
<file path=[Content_Types].xml><?xml version="1.0" encoding="utf-8"?>
<Types xmlns="http://schemas.openxmlformats.org/package/2006/content-types">
  <Default Extension="bin" ContentType="application/vnd.openxmlformats-officedocument.spreadsheetml.customProperty"/>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printerSettings/printerSettings1.bin" ContentType="application/vnd.openxmlformats-officedocument.spreadsheetml.printerSettings"/>
  <Override PartName="/xl/printerSettings/printerSettings2.bin" ContentType="application/vnd.openxmlformats-officedocument.spreadsheetml.printerSettings"/>
  <Override PartName="/xl/comments2.xml" ContentType="application/vnd.openxmlformats-officedocument.spreadsheetml.comments+xml"/>
  <Override PartName="/xl/printerSettings/printerSettings3.bin" ContentType="application/vnd.openxmlformats-officedocument.spreadsheetml.printerSettings"/>
  <Override PartName="/xl/printerSettings/printerSettings4.bin" ContentType="application/vnd.openxmlformats-officedocument.spreadsheetml.printerSettings"/>
  <Override PartName="/xl/printerSettings/printerSettings5.bin" ContentType="application/vnd.openxmlformats-officedocument.spreadsheetml.printerSettings"/>
  <Override PartName="/xl/printerSettings/printerSettings6.bin" ContentType="application/vnd.openxmlformats-officedocument.spreadsheetml.printerSettings"/>
  <Override PartName="/xl/printerSettings/printerSettings7.bin" ContentType="application/vnd.openxmlformats-officedocument.spreadsheetml.printerSettings"/>
  <Override PartName="/xl/printerSettings/printerSettings8.bin" ContentType="application/vnd.openxmlformats-officedocument.spreadsheetml.printerSettings"/>
  <Override PartName="/xl/printerSettings/printerSettings9.bin" ContentType="application/vnd.openxmlformats-officedocument.spreadsheetml.printerSettings"/>
  <Override PartName="/xl/printerSettings/printerSettings10.bin" ContentType="application/vnd.openxmlformats-officedocument.spreadsheetml.printerSettings"/>
  <Override PartName="/xl/comments3.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bookViews>
    <workbookView xWindow="-108" yWindow="-108" windowWidth="23256" windowHeight="13896" tabRatio="928" firstSheet="1" activeTab="1" xr2:uid="{C6B7A3A9-184A-4AA8-BC6F-B35785C29EFC}"/>
  </bookViews>
  <sheets>
    <sheet name="__FDSCACHE__" sheetId="13" state="veryHidden" r:id="rId1"/>
    <sheet name="Cover" sheetId="1" r:id="rId2"/>
    <sheet name="Rev. Summary" sheetId="42" r:id="rId3"/>
    <sheet name="Leading Indicators" sheetId="2" r:id="rId4"/>
    <sheet name="IS" sheetId="3" r:id="rId5"/>
    <sheet name="BS" sheetId="5" r:id="rId6"/>
    <sheet name="CF" sheetId="6" r:id="rId7"/>
    <sheet name="PBP" sheetId="14" r:id="rId8"/>
    <sheet name="IC" sheetId="15" r:id="rId9"/>
    <sheet name="Company1738" sheetId="17" r:id="rId10"/>
    <sheet name="Ticker0024_Live_Sheet" sheetId="32" state="hidden" r:id="rId11"/>
    <sheet name="Ticker0024_Validation_Sheet" sheetId="33" state="hidden" r:id="rId12"/>
    <sheet name="Ticker0024_Annotation_Sheet" sheetId="34" state="hidden" r:id="rId13"/>
    <sheet name="Share Count" sheetId="8" r:id="rId14"/>
    <sheet name="Def. Rev. &amp; Billings" sheetId="7" r:id="rId15"/>
    <sheet name="Ticker0024 Cloud" sheetId="18" r:id="rId16"/>
    <sheet name="CapEx Breakdown" sheetId="30" r:id="rId17"/>
    <sheet name="Guidance" sheetId="29" r:id="rId18"/>
    <sheet name="Dates" sheetId="11" state="hidden" r:id="rId19"/>
    <sheet name="Consensus" sheetId="10" state="hidden" r:id="rId20"/>
  </sheets>
  <definedNames>
    <definedName name="_bdm.FastTrackBookmark.10_31_2023_4_29_45_PM.edm" hidden="1">CF!$EQ$61</definedName>
    <definedName name="_bdm.FastTrackBookmark.11_6_2023_7_25_25_AM.edm" hidden="1">CF!$CO$10:$CO$18</definedName>
    <definedName name="_bdm.FastTrackBookmark.11_6_2023_7_29_48_AM.edm" hidden="1">CF!$CO$49:$CP$56</definedName>
    <definedName name="_bdm.FastTrackBookmark.11_9_2023_10_18_02_AM.edm" hidden="1">IS!$EO$211</definedName>
    <definedName name="_bdm.FastTrackBookmark.4_16_2024_7_06_01_PM.edm" hidden="1">#REF!</definedName>
    <definedName name="A_ALL_KEYWORDS_TYPE_ScalarContributed_EQTY_200001320" localSheetId="12">Ticker0024_Annotation_Sheet!$268:$276,Ticker0024_Annotation_Sheet!$318:$318,Ticker0024_Annotation_Sheet!$322:$324,Ticker0024_Annotation_Sheet!$329:$331</definedName>
    <definedName name="A_ALL_KEYWORDS_TYPE_ScalarContributed_ISSR_208000430" localSheetId="12">Ticker0024_Annotation_Sheet!$9:$9,Ticker0024_Annotation_Sheet!$39:$39,Ticker0024_Annotation_Sheet!$146:$146,Ticker0024_Annotation_Sheet!$148:$148,Ticker0024_Annotation_Sheet!$150:$150,Ticker0024_Annotation_Sheet!$152:$152,Ticker0024_Annotation_Sheet!$154:$154,Ticker0024_Annotation_Sheet!$156:$156,Ticker0024_Annotation_Sheet!$158:$158,Ticker0024_Annotation_Sheet!$160:$160,Ticker0024_Annotation_Sheet!$162:$162,Ticker0024_Annotation_Sheet!$164:$164</definedName>
    <definedName name="A_ALL_KEYWORDS_TYPE_ScalarReference_EQTY_200001320" localSheetId="12">Ticker0024_Annotation_Sheet!$261:$266</definedName>
    <definedName name="A_ALL_KEYWORDS_TYPE_ScalarReference_ISSR_208000430" localSheetId="12">Ticker0024_Annotation_Sheet!$6:$7</definedName>
    <definedName name="A_ALL_KEYWORDS_TYPE_Vector_EQTY_200001320" localSheetId="12">Ticker0024_Annotation_Sheet!$278:$293,Ticker0024_Annotation_Sheet!$295:$310,Ticker0024_Annotation_Sheet!$312:$312,Ticker0024_Annotation_Sheet!$314:$317,Ticker0024_Annotation_Sheet!$320:$320,Ticker0024_Annotation_Sheet!$325:$325,Ticker0024_Annotation_Sheet!$327:$327</definedName>
    <definedName name="A_ALL_KEYWORDS_TYPE_Vector_ISSR_208000430" localSheetId="12">Ticker0024_Annotation_Sheet!$2:$3,Ticker0024_Annotation_Sheet!$11:$30,Ticker0024_Annotation_Sheet!$32:$38,Ticker0024_Annotation_Sheet!$40:$52,Ticker0024_Annotation_Sheet!$54:$84,Ticker0024_Annotation_Sheet!$86:$104,Ticker0024_Annotation_Sheet!$106:$122,Ticker0024_Annotation_Sheet!$124:$137,Ticker0024_Annotation_Sheet!$139:$145,Ticker0024_Annotation_Sheet!$147:$147,Ticker0024_Annotation_Sheet!$149:$149,Ticker0024_Annotation_Sheet!$151:$151,Ticker0024_Annotation_Sheet!$153:$153,Ticker0024_Annotation_Sheet!$155:$155,Ticker0024_Annotation_Sheet!$157:$157,Ticker0024_Annotation_Sheet!$159:$159,Ticker0024_Annotation_Sheet!$161:$161,Ticker0024_Annotation_Sheet!$163:$163,Ticker0024_Annotation_Sheet!$165:$165,Ticker0024_Annotation_Sheet!$167:$228,Ticker0024_Annotation_Sheet!$230:$231,Ticker0024_Annotation_Sheet!$233:$247,Ticker0024_Annotation_Sheet!$249:$258</definedName>
    <definedName name="A_ALL_Ticker0024">Ticker0024_Annotation_Sheet!$A$1:$FT$331</definedName>
    <definedName name="A_ALL_PERIODS_Ticker0024" localSheetId="12">Ticker0024_Annotation_Sheet!$F$1:$FT$1</definedName>
    <definedName name="A_ALL_SECTION_KEYWORDS_EQTY_200001320_1314" localSheetId="12">Ticker0024_Annotation_Sheet!$C$320</definedName>
    <definedName name="A_ALL_SECTION_KEYWORDS_EQTY_200001320_1319" localSheetId="12">Ticker0024_Annotation_Sheet!$C$322:$C$325</definedName>
    <definedName name="A_ALL_SECTION_KEYWORDS_EQTY_200001320_131E" localSheetId="12">Ticker0024_Annotation_Sheet!$C$327</definedName>
    <definedName name="A_ALL_SECTION_KEYWORDS_EQTY_200001320_131O" localSheetId="12">Ticker0024_Annotation_Sheet!$C$329:$C$331</definedName>
    <definedName name="A_ALL_SECTION_KEYWORDS_EQTY_200001320_13A" localSheetId="12">Ticker0024_Annotation_Sheet!$C$268:$C$276</definedName>
    <definedName name="A_ALL_SECTION_KEYWORDS_EQTY_200001320_13K" localSheetId="12">Ticker0024_Annotation_Sheet!$C$278:$C$293</definedName>
    <definedName name="A_ALL_SECTION_KEYWORDS_EQTY_200001320_13U" localSheetId="12">Ticker0024_Annotation_Sheet!$C$295:$C$310</definedName>
    <definedName name="A_ALL_SECTION_KEYWORDS_EQTY_200001320_13V" localSheetId="12">Ticker0024_Annotation_Sheet!$C$312</definedName>
    <definedName name="A_ALL_SECTION_KEYWORDS_EQTY_200001320_13W" localSheetId="12">Ticker0024_Annotation_Sheet!$C$314:$C$318</definedName>
    <definedName name="A_ALL_SECTION_KEYWORDS_EQTY_200001320_Reference_Data" localSheetId="12">Ticker0024_Annotation_Sheet!$C$261:$C$266</definedName>
    <definedName name="A_ALL_SECTION_KEYWORDS_ISSR_208000430_1314" localSheetId="12">Ticker0024_Annotation_Sheet!$C$54:$C$84</definedName>
    <definedName name="A_ALL_SECTION_KEYWORDS_ISSR_208000430_13168" localSheetId="12">Ticker0024_Annotation_Sheet!$C$167:$C$228</definedName>
    <definedName name="A_ALL_SECTION_KEYWORDS_ISSR_208000430_1316T" localSheetId="12">Ticker0024_Annotation_Sheet!$C$230:$C$231</definedName>
    <definedName name="A_ALL_SECTION_KEYWORDS_ISSR_208000430_1316U" localSheetId="12">Ticker0024_Annotation_Sheet!$C$233:$C$247</definedName>
    <definedName name="A_ALL_SECTION_KEYWORDS_ISSR_208000430_1319" localSheetId="12">Ticker0024_Annotation_Sheet!$C$86:$C$104</definedName>
    <definedName name="A_ALL_SECTION_KEYWORDS_ISSR_208000430_131E" localSheetId="12">Ticker0024_Annotation_Sheet!$C$106:$C$122</definedName>
    <definedName name="A_ALL_SECTION_KEYWORDS_ISSR_208000430_131J" localSheetId="12">Ticker0024_Annotation_Sheet!$C$124:$C$137</definedName>
    <definedName name="A_ALL_SECTION_KEYWORDS_ISSR_208000430_131O" localSheetId="12">Ticker0024_Annotation_Sheet!$C$139:$C$165</definedName>
    <definedName name="A_ALL_SECTION_KEYWORDS_ISSR_208000430_136E" localSheetId="12">Ticker0024_Annotation_Sheet!$C$249:$C$258</definedName>
    <definedName name="A_ALL_SECTION_KEYWORDS_ISSR_208000430_13A" localSheetId="12">Ticker0024_Annotation_Sheet!$C$9</definedName>
    <definedName name="A_ALL_SECTION_KEYWORDS_ISSR_208000430_13U" localSheetId="12">Ticker0024_Annotation_Sheet!$C$11:$C$30</definedName>
    <definedName name="A_ALL_SECTION_KEYWORDS_ISSR_208000430_13V" localSheetId="12">Ticker0024_Annotation_Sheet!$C$32:$C$52</definedName>
    <definedName name="A_ALL_SECTION_KEYWORDS_ISSR_208000430_Reference_Data" localSheetId="12">Ticker0024_Annotation_Sheet!$C$6:$C$7</definedName>
    <definedName name="A_ALL_SECTIONS_EQTY_200001320" localSheetId="12">Ticker0024_Annotation_Sheet!$260:$260,Ticker0024_Annotation_Sheet!$267:$267,Ticker0024_Annotation_Sheet!$277:$277,Ticker0024_Annotation_Sheet!$294:$294,Ticker0024_Annotation_Sheet!$311:$311,Ticker0024_Annotation_Sheet!$313:$313,Ticker0024_Annotation_Sheet!$319:$319,Ticker0024_Annotation_Sheet!$321:$321,Ticker0024_Annotation_Sheet!$326:$326,Ticker0024_Annotation_Sheet!$328:$328</definedName>
    <definedName name="A_ALL_SECTIONS_ISSR_208000430" localSheetId="12">Ticker0024_Annotation_Sheet!$5:$5,Ticker0024_Annotation_Sheet!$8:$8,Ticker0024_Annotation_Sheet!$10:$10,Ticker0024_Annotation_Sheet!$31:$31,Ticker0024_Annotation_Sheet!$53:$53,Ticker0024_Annotation_Sheet!$85:$85,Ticker0024_Annotation_Sheet!$105:$105,Ticker0024_Annotation_Sheet!$123:$123,Ticker0024_Annotation_Sheet!$138:$138,Ticker0024_Annotation_Sheet!$166:$166,Ticker0024_Annotation_Sheet!$229:$229,Ticker0024_Annotation_Sheet!$232:$232,Ticker0024_Annotation_Sheet!$248:$248</definedName>
    <definedName name="A_CURRENCY_EQTY_200001320_PRI" localSheetId="12">Ticker0024_Annotation_Sheet!$E$265</definedName>
    <definedName name="A_CURRENCY_EQTY_200001320_PUB" localSheetId="12">Ticker0024_Annotation_Sheet!$E$264</definedName>
    <definedName name="A_CURRENCY_EQTY_200001320_REP" localSheetId="12">Ticker0024_Annotation_Sheet!$E$266</definedName>
    <definedName name="A_CURRENCY_ISSR_208000430_REP" localSheetId="12">Ticker0024_Annotation_Sheet!$E$7</definedName>
    <definedName name="A_ENTITY_DATA_EQTY_200001320" localSheetId="12">Ticker0024_Annotation_Sheet!$E$260:$FT$331</definedName>
    <definedName name="A_ENTITY_DATA_ISSR_208000430" localSheetId="12">Ticker0024_Annotation_Sheet!$E$5:$FT$258</definedName>
    <definedName name="A_KEYWORD_EQTY_200001320_AMER_LIST" localSheetId="12">Ticker0024_Annotation_Sheet!$268:$268</definedName>
    <definedName name="A_KEYWORD_EQTY_200001320_BETA_ANALYST" localSheetId="12">Ticker0024_Annotation_Sheet!$329:$329</definedName>
    <definedName name="A_KEYWORD_EQTY_200001320_BVPS" localSheetId="12">Ticker0024_Annotation_Sheet!$320:$320</definedName>
    <definedName name="A_KEYWORD_EQTY_200001320_BVPS_PUB" localSheetId="12">Ticker0024_Annotation_Sheet!$278:$278</definedName>
    <definedName name="A_KEYWORD_EQTY_200001320_CEEE_EPS" localSheetId="12">Ticker0024_Annotation_Sheet!$283:$283</definedName>
    <definedName name="A_KEYWORD_EQTY_200001320_CEEE_NDEBT" localSheetId="12">Ticker0024_Annotation_Sheet!$288:$288</definedName>
    <definedName name="A_KEYWORD_EQTY_200001320_CF_NI_PRE_PREF" localSheetId="12">Ticker0024_Annotation_Sheet!$327:$327</definedName>
    <definedName name="A_KEYWORD_EQTY_200001320_COMMON_DIV_PAID" localSheetId="12">Ticker0024_Annotation_Sheet!$306:$306</definedName>
    <definedName name="A_KEYWORD_EQTY_200001320_CURRENCY_ISO" localSheetId="12">Ticker0024_Annotation_Sheet!$266:$266</definedName>
    <definedName name="A_KEYWORD_EQTY_200001320_DILUTE_SHARES" localSheetId="12">Ticker0024_Annotation_Sheet!$309:$309</definedName>
    <definedName name="A_KEYWORD_EQTY_200001320_DPS" localSheetId="12">Ticker0024_Annotation_Sheet!$307:$307</definedName>
    <definedName name="A_KEYWORD_EQTY_200001320_DPS_PUB" localSheetId="12">Ticker0024_Annotation_Sheet!$279:$279</definedName>
    <definedName name="A_KEYWORD_EQTY_200001320_DPS_SPECIAL_PUB" localSheetId="12">Ticker0024_Annotation_Sheet!$280:$280</definedName>
    <definedName name="A_KEYWORD_EQTY_200001320_EBIT_PUB" localSheetId="12">Ticker0024_Annotation_Sheet!$290:$290</definedName>
    <definedName name="A_KEYWORD_EQTY_200001320_EBITDA_PUB" localSheetId="12">Ticker0024_Annotation_Sheet!$281:$281</definedName>
    <definedName name="A_KEYWORD_EQTY_200001320_EPS" localSheetId="12">Ticker0024_Annotation_Sheet!$302:$302</definedName>
    <definedName name="A_KEYWORD_EQTY_200001320_EPS_EX_ESO_B" localSheetId="12">Ticker0024_Annotation_Sheet!$316:$316</definedName>
    <definedName name="A_KEYWORD_EQTY_200001320_EPS_EX_ESO_D" localSheetId="12">Ticker0024_Annotation_Sheet!$317:$317</definedName>
    <definedName name="A_KEYWORD_EQTY_200001320_EPS_FUL_DIL" localSheetId="12">Ticker0024_Annotation_Sheet!$303:$303</definedName>
    <definedName name="A_KEYWORD_EQTY_200001320_EPS_POST_BASIC" localSheetId="12">Ticker0024_Annotation_Sheet!$304:$304</definedName>
    <definedName name="A_KEYWORD_EQTY_200001320_EPS_PUB" localSheetId="12">Ticker0024_Annotation_Sheet!$282:$282</definedName>
    <definedName name="A_KEYWORD_EQTY_200001320_EPS_PUB_EX_ESO" localSheetId="12">Ticker0024_Annotation_Sheet!$284:$284</definedName>
    <definedName name="A_KEYWORD_EQTY_200001320_EQ_PUB" localSheetId="12">Ticker0024_Annotation_Sheet!$293:$293</definedName>
    <definedName name="A_KEYWORD_EQTY_200001320_ESO_POST_TAX" localSheetId="12">Ticker0024_Annotation_Sheet!$315:$315</definedName>
    <definedName name="A_KEYWORD_EQTY_200001320_ESO_YEAR" localSheetId="12">Ticker0024_Annotation_Sheet!$318:$318</definedName>
    <definedName name="A_KEYWORD_EQTY_200001320_EV_ADJ_PUB" localSheetId="12">Ticker0024_Annotation_Sheet!$285:$285</definedName>
    <definedName name="A_KEYWORD_EQTY_200001320_FREE_FLOAT" localSheetId="12">Ticker0024_Annotation_Sheet!$276:$276</definedName>
    <definedName name="A_KEYWORD_EQTY_200001320_FULLY_DIL_EPS" localSheetId="12">Ticker0024_Annotation_Sheet!$305:$305</definedName>
    <definedName name="A_KEYWORD_EQTY_200001320_FV_GRANT" localSheetId="12">Ticker0024_Annotation_Sheet!$314:$314</definedName>
    <definedName name="A_KEYWORD_EQTY_200001320_INC_MINORITY" localSheetId="12">Ticker0024_Annotation_Sheet!$296:$296</definedName>
    <definedName name="A_KEYWORD_EQTY_200001320_Interim_Type" localSheetId="12">Ticker0024_Annotation_Sheet!$263:$263</definedName>
    <definedName name="A_KEYWORD_EQTY_200001320_LEGAL_RATING" localSheetId="12">Ticker0024_Annotation_Sheet!$270:$270</definedName>
    <definedName name="A_KEYWORD_EQTY_200001320_MARGIN_TAX_RATE" localSheetId="12">Ticker0024_Annotation_Sheet!$312:$312</definedName>
    <definedName name="A_KEYWORD_EQTY_200001320_MKT_EQ_RISK_PREM" localSheetId="12">Ticker0024_Annotation_Sheet!$330:$330</definedName>
    <definedName name="A_KEYWORD_EQTY_200001320_NET_DEBT_EX_LEASES_PUB" localSheetId="12">Ticker0024_Annotation_Sheet!$287:$287</definedName>
    <definedName name="A_KEYWORD_EQTY_200001320_NET_DEBT_PUB" localSheetId="12">Ticker0024_Annotation_Sheet!$286:$286</definedName>
    <definedName name="A_KEYWORD_EQTY_200001320_NET_EARNING" localSheetId="12">Ticker0024_Annotation_Sheet!$299:$299</definedName>
    <definedName name="A_KEYWORD_EQTY_200001320_NET_INC" localSheetId="12">Ticker0024_Annotation_Sheet!$301:$301</definedName>
    <definedName name="A_KEYWORD_EQTY_200001320_NI_PRE_PREF" localSheetId="12">Ticker0024_Annotation_Sheet!$297:$297</definedName>
    <definedName name="A_KEYWORD_EQTY_200001320_NI_PUB" localSheetId="12">Ticker0024_Annotation_Sheet!$289:$289</definedName>
    <definedName name="A_KEYWORD_EQTY_200001320_NON_OP_ADD" localSheetId="12">Ticker0024_Annotation_Sheet!$310:$310</definedName>
    <definedName name="A_KEYWORD_EQTY_200001320_NOT_IN_USE" localSheetId="12">Ticker0024_Annotation_Sheet!$269:$269</definedName>
    <definedName name="A_KEYWORD_EQTY_200001320_NUM_SH" localSheetId="12">Ticker0024_Annotation_Sheet!$275:$275</definedName>
    <definedName name="A_KEYWORD_EQTY_200001320_PREF_DIV" localSheetId="12">Ticker0024_Annotation_Sheet!$298:$298</definedName>
    <definedName name="A_KEYWORD_EQTY_200001320_PRICE_CURRENCY_ISO" localSheetId="12">Ticker0024_Annotation_Sheet!$265:$265</definedName>
    <definedName name="A_KEYWORD_EQTY_200001320_PROV_INC_TAX" localSheetId="12">Ticker0024_Annotation_Sheet!$295:$295</definedName>
    <definedName name="A_KEYWORD_EQTY_200001320_PTP_PUB" localSheetId="12">Ticker0024_Annotation_Sheet!$291:$291</definedName>
    <definedName name="A_KEYWORD_EQTY_200001320_PUB_CURRENCY_ISO" localSheetId="12">Ticker0024_Annotation_Sheet!$264:$264</definedName>
    <definedName name="A_KEYWORD_EQTY_200001320_REPUR_ACTUAL" localSheetId="12">Ticker0024_Annotation_Sheet!$325:$325</definedName>
    <definedName name="A_KEYWORD_EQTY_200001320_REPUR_REMAINING" localSheetId="12">Ticker0024_Annotation_Sheet!$323:$323</definedName>
    <definedName name="A_KEYWORD_EQTY_200001320_REPUR_SUSPENDED" localSheetId="12">Ticker0024_Annotation_Sheet!$324:$324</definedName>
    <definedName name="A_KEYWORD_EQTY_200001320_REPUR_TOT_AUTH" localSheetId="12">Ticker0024_Annotation_Sheet!$322:$322</definedName>
    <definedName name="A_KEYWORD_EQTY_200001320_REVS_PUB" localSheetId="12">Ticker0024_Annotation_Sheet!$292:$292</definedName>
    <definedName name="A_KEYWORD_EQTY_200001320_RISK_FR_RATE" localSheetId="12">Ticker0024_Annotation_Sheet!$331:$331</definedName>
    <definedName name="A_KEYWORD_EQTY_200001320_Security_Name" localSheetId="12">Ticker0024_Annotation_Sheet!$262:$262</definedName>
    <definedName name="A_KEYWORD_EQTY_200001320_SH" localSheetId="12">Ticker0024_Annotation_Sheet!$308:$308</definedName>
    <definedName name="A_KEYWORD_EQTY_200001320_TARGET_PRICE" localSheetId="12">Ticker0024_Annotation_Sheet!$271:$271</definedName>
    <definedName name="A_KEYWORD_EQTY_200001320_TARGET_PRICE_FUNDAMENTAL" localSheetId="12">Ticker0024_Annotation_Sheet!$273:$273</definedName>
    <definedName name="A_KEYWORD_EQTY_200001320_TARGET_PRICE_MA" localSheetId="12">Ticker0024_Annotation_Sheet!$274:$274</definedName>
    <definedName name="A_KEYWORD_EQTY_200001320_TAX_EXC" localSheetId="12">Ticker0024_Annotation_Sheet!$300:$300</definedName>
    <definedName name="A_KEYWORD_EQTY_200001320_Ticker" localSheetId="12">Ticker0024_Annotation_Sheet!$261:$261</definedName>
    <definedName name="A_KEYWORD_EQTY_200001320_TP_PERIOD" localSheetId="12">Ticker0024_Annotation_Sheet!$272:$272</definedName>
    <definedName name="A_KEYWORD_ISSR_208000430_ACC_AMORT" localSheetId="12">Ticker0024_Annotation_Sheet!$63:$63</definedName>
    <definedName name="A_KEYWORD_ISSR_208000430_ACC_DDA" localSheetId="12">Ticker0024_Annotation_Sheet!$60:$60</definedName>
    <definedName name="A_KEYWORD_ISSR_208000430_ACC_END_DATE" localSheetId="12">Ticker0024_Annotation_Sheet!$3:$3</definedName>
    <definedName name="A_KEYWORD_ISSR_208000430_ACC_PAY_GQ" localSheetId="12">Ticker0024_Annotation_Sheet!$69:$69</definedName>
    <definedName name="A_KEYWORD_ISSR_208000430_ACQ" localSheetId="12">Ticker0024_Annotation_Sheet!$112:$112</definedName>
    <definedName name="A_KEYWORD_ISSR_208000430_ADJ_UNF_PENS_GOOD" localSheetId="12">Ticker0024_Annotation_Sheet!$100:$100</definedName>
    <definedName name="A_KEYWORD_ISSR_208000430_ASSOC_JV_ADDBK" localSheetId="12">Ticker0024_Annotation_Sheet!$124:$124</definedName>
    <definedName name="A_KEYWORD_ISSR_208000430_ASSOCIATE" localSheetId="12">Ticker0024_Annotation_Sheet!$27:$27</definedName>
    <definedName name="A_KEYWORD_ISSR_208000430_ASSOCIATE_OP" localSheetId="12">Ticker0024_Annotation_Sheet!$36:$36</definedName>
    <definedName name="A_KEYWORD_ISSR_208000430_BAL_MINO_INT" localSheetId="12">Ticker0024_Annotation_Sheet!$103:$103</definedName>
    <definedName name="A_KEYWORD_ISSR_208000430_CAP_LEASES" localSheetId="12">Ticker0024_Annotation_Sheet!$91:$91</definedName>
    <definedName name="A_KEYWORD_ISSR_208000430_CAPEX" localSheetId="12">Ticker0024_Annotation_Sheet!$111:$111</definedName>
    <definedName name="A_KEYWORD_ISSR_208000430_CAPEX_EXPANSION" localSheetId="12">Ticker0024_Annotation_Sheet!$134:$134</definedName>
    <definedName name="A_KEYWORD_ISSR_208000430_CAPEX_MAINTENANCE" localSheetId="12">Ticker0024_Annotation_Sheet!$133:$133</definedName>
    <definedName name="A_KEYWORD_ISSR_208000430_CASH_EQ" localSheetId="12">Ticker0024_Annotation_Sheet!$54:$54</definedName>
    <definedName name="A_KEYWORD_ISSR_208000430_CASH_INT_EXP" localSheetId="12">Ticker0024_Annotation_Sheet!$130:$130</definedName>
    <definedName name="A_KEYWORD_ISSR_208000430_CASH_PCT_OS_US" localSheetId="12">Ticker0024_Annotation_Sheet!$226:$226</definedName>
    <definedName name="A_KEYWORD_ISSR_208000430_CASH_TAX_EXP" localSheetId="12">Ticker0024_Annotation_Sheet!$131:$131</definedName>
    <definedName name="A_KEYWORD_ISSR_208000430_CF_FIN" localSheetId="12">Ticker0024_Annotation_Sheet!$121:$121</definedName>
    <definedName name="A_KEYWORD_ISSR_208000430_CF_INC_MINORITY" localSheetId="12">Ticker0024_Annotation_Sheet!$106:$106</definedName>
    <definedName name="A_KEYWORD_ISSR_208000430_CF_INV" localSheetId="12">Ticker0024_Annotation_Sheet!$115:$115</definedName>
    <definedName name="A_KEYWORD_ISSR_208000430_CF_OPS" localSheetId="12">Ticker0024_Annotation_Sheet!$110:$110</definedName>
    <definedName name="A_KEYWORD_ISSR_208000430_CHG_DEF_TAX_CF" localSheetId="12">Ticker0024_Annotation_Sheet!$128:$128</definedName>
    <definedName name="A_KEYWORD_ISSR_208000430_CHG_LT_DEBT" localSheetId="12">Ticker0024_Annotation_Sheet!$118:$118</definedName>
    <definedName name="A_KEYWORD_ISSR_208000430_CO_BOR_MARGIN" localSheetId="12">Ticker0024_Annotation_Sheet!$96:$96</definedName>
    <definedName name="A_KEYWORD_ISSR_208000430_COGS_N_GAAP" localSheetId="12">Ticker0024_Annotation_Sheet!$45:$45</definedName>
    <definedName name="A_KEYWORD_ISSR_208000430_COGS_PCT_ROW" localSheetId="12">Ticker0024_Annotation_Sheet!$217:$217</definedName>
    <definedName name="A_KEYWORD_ISSR_208000430_COGS_PCT_US" localSheetId="12">Ticker0024_Annotation_Sheet!$216:$216</definedName>
    <definedName name="A_KEYWORD_ISSR_208000430_COST_GD_SD" localSheetId="12">Ticker0024_Annotation_Sheet!$12:$12</definedName>
    <definedName name="A_KEYWORD_ISSR_208000430_CUR_ASS" localSheetId="12">Ticker0024_Annotation_Sheet!$58:$58</definedName>
    <definedName name="A_KEYWORD_ISSR_208000430_CUR_REM_PERF_OBLIG" localSheetId="12">Ticker0024_Annotation_Sheet!$145:$145</definedName>
    <definedName name="A_KEYWORD_ISSR_208000430_CURRENCY_ISO" localSheetId="12">Ticker0024_Annotation_Sheet!$7:$7</definedName>
    <definedName name="A_KEYWORD_ISSR_208000430_DEBTORS" localSheetId="12">Ticker0024_Annotation_Sheet!$55:$55</definedName>
    <definedName name="A_KEYWORD_ISSR_208000430_DEF_INC_TAX" localSheetId="12">Ticker0024_Annotation_Sheet!$92:$92</definedName>
    <definedName name="A_KEYWORD_ISSR_208000430_DEPR_AMORT" localSheetId="12">Ticker0024_Annotation_Sheet!$107:$107</definedName>
    <definedName name="A_KEYWORD_ISSR_208000430_DEPR_ROU_ASSETS" localSheetId="12">Ticker0024_Annotation_Sheet!$37:$37</definedName>
    <definedName name="A_KEYWORD_ISSR_208000430_DEPREC" localSheetId="12">Ticker0024_Annotation_Sheet!$21:$21</definedName>
    <definedName name="A_KEYWORD_ISSR_208000430_DIV_PAID" localSheetId="12">Ticker0024_Annotation_Sheet!$116:$116</definedName>
    <definedName name="A_KEYWORD_ISSR_208000430_DIVDS_ASSOC_JV" localSheetId="12">Ticker0024_Annotation_Sheet!$132:$132</definedName>
    <definedName name="A_KEYWORD_ISSR_208000430_DIVDS_PD_MINORITIES" localSheetId="12">Ticker0024_Annotation_Sheet!$136:$136</definedName>
    <definedName name="A_KEYWORD_ISSR_208000430_DIVEST" localSheetId="12">Ticker0024_Annotation_Sheet!$113:$113</definedName>
    <definedName name="A_KEYWORD_ISSR_208000430_EBIT" localSheetId="12">Ticker0024_Annotation_Sheet!$23:$23</definedName>
    <definedName name="A_KEYWORD_ISSR_208000430_EBIT_FIN_SEGMENT" localSheetId="12">Ticker0024_Annotation_Sheet!$228:$228</definedName>
    <definedName name="A_KEYWORD_ISSR_208000430_EBITDA_CALC" localSheetId="12">Ticker0024_Annotation_Sheet!$20:$20</definedName>
    <definedName name="A_KEYWORD_ISSR_208000430_EMPLOYEES" localSheetId="12">Ticker0024_Annotation_Sheet!$141:$141</definedName>
    <definedName name="A_KEYWORD_ISSR_208000430_EQ" localSheetId="12">Ticker0024_Annotation_Sheet!$83:$83</definedName>
    <definedName name="A_KEYWORD_ISSR_208000430_ESO_PRE_TAX" localSheetId="12">Ticker0024_Annotation_Sheet!$16:$16</definedName>
    <definedName name="A_KEYWORD_ISSR_208000430_EXP_OIL_DERIV_NGLS_PLASTICS" localSheetId="12">Ticker0024_Annotation_Sheet!$231:$231</definedName>
    <definedName name="A_KEYWORD_ISSR_208000430_EXP_OIL_PETRO_FUEL" localSheetId="12">Ticker0024_Annotation_Sheet!$230:$230</definedName>
    <definedName name="A_KEYWORD_ISSR_208000430_FCF_UNLEVERED" localSheetId="12">Ticker0024_Annotation_Sheet!$137:$137</definedName>
    <definedName name="A_KEYWORD_ISSR_208000430_FIX_ASS_INV" localSheetId="12">Ticker0024_Annotation_Sheet!$65:$65</definedName>
    <definedName name="A_KEYWORD_ISSR_208000430_FLOATING_PCT_LOCAL_DEBT" localSheetId="12">Ticker0024_Annotation_Sheet!$88:$88</definedName>
    <definedName name="A_KEYWORD_ISSR_208000430_FLOATING_PCT_LOCAL_DEBT_HEDGED" localSheetId="12">Ticker0024_Annotation_Sheet!$89:$89</definedName>
    <definedName name="A_KEYWORD_ISSR_208000430_GCI_INFL" localSheetId="12">Ticker0024_Annotation_Sheet!$102:$102</definedName>
    <definedName name="A_KEYWORD_ISSR_208000430_GEN_ADMIN_N_GAAP" localSheetId="12">Ticker0024_Annotation_Sheet!$47:$47</definedName>
    <definedName name="A_KEYWORD_ISSR_208000430_GOODWILL_AMORT" localSheetId="12">Ticker0024_Annotation_Sheet!$22:$22</definedName>
    <definedName name="A_KEYWORD_ISSR_208000430_GR_FIX_ASS" localSheetId="12">Ticker0024_Annotation_Sheet!$59:$59</definedName>
    <definedName name="A_KEYWORD_ISSR_208000430_GR_INTANG" localSheetId="12">Ticker0024_Annotation_Sheet!$62:$62</definedName>
    <definedName name="A_KEYWORD_ISSR_208000430_GROSS_PROFIT_N_GAAP" localSheetId="12">Ticker0024_Annotation_Sheet!$46:$46</definedName>
    <definedName name="A_KEYWORD_ISSR_208000430_INT_EXP_IND" localSheetId="12">Ticker0024_Annotation_Sheet!$25:$25</definedName>
    <definedName name="A_KEYWORD_ISSR_208000430_INT_INC_IND" localSheetId="12">Ticker0024_Annotation_Sheet!$24:$24</definedName>
    <definedName name="A_KEYWORD_ISSR_208000430_INV_SECUR" localSheetId="12">Ticker0024_Annotation_Sheet!$66:$66</definedName>
    <definedName name="A_KEYWORD_ISSR_208000430_Issuer_Name" localSheetId="12">Ticker0024_Annotation_Sheet!$6:$6</definedName>
    <definedName name="A_KEYWORD_ISSR_208000430_LEASE_ADOPT" localSheetId="12">Ticker0024_Annotation_Sheet!$39:$39</definedName>
    <definedName name="A_KEYWORD_ISSR_208000430_LEASE_DEEM_DEPR" localSheetId="12">Ticker0024_Annotation_Sheet!$34:$34</definedName>
    <definedName name="A_KEYWORD_ISSR_208000430_LEASE_DEEM_INT" localSheetId="12">Ticker0024_Annotation_Sheet!$33:$33</definedName>
    <definedName name="A_KEYWORD_ISSR_208000430_LEASE_INT_CHG" localSheetId="12">Ticker0024_Annotation_Sheet!$38:$38</definedName>
    <definedName name="A_KEYWORD_ISSR_208000430_LEASE_PAY" localSheetId="12">Ticker0024_Annotation_Sheet!$32:$32</definedName>
    <definedName name="A_KEYWORD_ISSR_208000430_LEASE_PRINCIPAL_CASH" localSheetId="12">Ticker0024_Annotation_Sheet!$119:$119</definedName>
    <definedName name="A_KEYWORD_ISSR_208000430_LICENSE_REV" localSheetId="12">Ticker0024_Annotation_Sheet!$139:$139</definedName>
    <definedName name="A_KEYWORD_ISSR_208000430_LT_DEBT" localSheetId="12">Ticker0024_Annotation_Sheet!$75:$75</definedName>
    <definedName name="A_KEYWORD_ISSR_208000430_LT_LEASE_LIAB" localSheetId="12">Ticker0024_Annotation_Sheet!$76:$76</definedName>
    <definedName name="A_KEYWORD_ISSR_208000430_MA_PROB" localSheetId="12">Ticker0024_Annotation_Sheet!$9:$9</definedName>
    <definedName name="A_KEYWORD_ISSR_208000430_MAINTEN_REV" localSheetId="12">Ticker0024_Annotation_Sheet!$140:$140</definedName>
    <definedName name="A_KEYWORD_ISSR_208000430_MINORITIES" localSheetId="12">Ticker0024_Annotation_Sheet!$82:$82</definedName>
    <definedName name="A_KEYWORD_ISSR_208000430_MV_ASSOCIATES" localSheetId="12">Ticker0024_Annotation_Sheet!$94:$94</definedName>
    <definedName name="A_KEYWORD_ISSR_208000430_NET_DEBT" localSheetId="12">Ticker0024_Annotation_Sheet!$90:$90</definedName>
    <definedName name="A_KEYWORD_ISSR_208000430_NET_DEBT_ADJ" localSheetId="12">Ticker0024_Annotation_Sheet!$95:$95</definedName>
    <definedName name="A_KEYWORD_ISSR_208000430_NET_FIX_ASS" localSheetId="12">Ticker0024_Annotation_Sheet!$61:$61</definedName>
    <definedName name="A_KEYWORD_ISSR_208000430_NET_INC_N_GAAP" localSheetId="12">Ticker0024_Annotation_Sheet!$52:$52</definedName>
    <definedName name="A_KEYWORD_ISSR_208000430_NET_INT_CH" localSheetId="12">Ticker0024_Annotation_Sheet!$35:$35</definedName>
    <definedName name="A_KEYWORD_ISSR_208000430_NET_INT_EXP" localSheetId="12">Ticker0024_Annotation_Sheet!$26:$26</definedName>
    <definedName name="A_KEYWORD_ISSR_208000430_NET_INTANG" localSheetId="12">Ticker0024_Annotation_Sheet!$64:$64</definedName>
    <definedName name="A_KEYWORD_ISSR_208000430_NET_OP_LOSS_CFWD" localSheetId="12">Ticker0024_Annotation_Sheet!$93:$93</definedName>
    <definedName name="A_KEYWORD_ISSR_208000430_NONPPE_CAPEX" localSheetId="12">Ticker0024_Annotation_Sheet!$135:$135</definedName>
    <definedName name="A_KEYWORD_ISSR_208000430_OP_COST" localSheetId="12">Ticker0024_Annotation_Sheet!$14:$14</definedName>
    <definedName name="A_KEYWORD_ISSR_208000430_OP_INC_N_GAAP" localSheetId="12">Ticker0024_Annotation_Sheet!$51:$51</definedName>
    <definedName name="A_KEYWORD_ISSR_208000430_OPS_EXP_N_GAAP" localSheetId="12">Ticker0024_Annotation_Sheet!$50:$50</definedName>
    <definedName name="A_KEYWORD_ISSR_208000430_ORD_SH_FUND" localSheetId="12">Ticker0024_Annotation_Sheet!$81:$81</definedName>
    <definedName name="A_KEYWORD_ISSR_208000430_OTH_ADJ_CASH_TAX" localSheetId="12">Ticker0024_Annotation_Sheet!$129:$129</definedName>
    <definedName name="A_KEYWORD_ISSR_208000430_OTH_COST_INC" localSheetId="12">Ticker0024_Annotation_Sheet!$29:$29</definedName>
    <definedName name="A_KEYWORD_ISSR_208000430_OTH_CUR_ASS" localSheetId="12">Ticker0024_Annotation_Sheet!$57:$57</definedName>
    <definedName name="A_KEYWORD_ISSR_208000430_OTH_CUR_LIABS" localSheetId="12">Ticker0024_Annotation_Sheet!$72:$72</definedName>
    <definedName name="A_KEYWORD_ISSR_208000430_OTH_DACF_ADJ" localSheetId="12">Ticker0024_Annotation_Sheet!$127:$127</definedName>
    <definedName name="A_KEYWORD_ISSR_208000430_OTH_FIN_CF" localSheetId="12">Ticker0024_Annotation_Sheet!$120:$120</definedName>
    <definedName name="A_KEYWORD_ISSR_208000430_OTH_GCI_ADJ" localSheetId="12">Ticker0024_Annotation_Sheet!$101:$101</definedName>
    <definedName name="A_KEYWORD_ISSR_208000430_OTH_INV_CF" localSheetId="12">Ticker0024_Annotation_Sheet!$114:$114</definedName>
    <definedName name="A_KEYWORD_ISSR_208000430_OTH_LT_ASS" localSheetId="12">Ticker0024_Annotation_Sheet!$67:$67</definedName>
    <definedName name="A_KEYWORD_ISSR_208000430_OTH_LT_CRED_GQ" localSheetId="12">Ticker0024_Annotation_Sheet!$77:$77</definedName>
    <definedName name="A_KEYWORD_ISSR_208000430_OTH_NONCASH_ADJ" localSheetId="12">Ticker0024_Annotation_Sheet!$126:$126</definedName>
    <definedName name="A_KEYWORD_ISSR_208000430_OTH_OP_CF" localSheetId="12">Ticker0024_Annotation_Sheet!$109:$109</definedName>
    <definedName name="A_KEYWORD_ISSR_208000430_OTH_OP_INC_EXP" localSheetId="12">Ticker0024_Annotation_Sheet!$17:$17</definedName>
    <definedName name="A_KEYWORD_ISSR_208000430_PERIOD_MILESTONE" localSheetId="12">Ticker0024_Annotation_Sheet!$2:$2</definedName>
    <definedName name="A_KEYWORD_ISSR_208000430_PL_SALE_ASSETS" localSheetId="12">Ticker0024_Annotation_Sheet!$125:$125</definedName>
    <definedName name="A_KEYWORD_ISSR_208000430_PREF_SH" localSheetId="12">Ticker0024_Annotation_Sheet!$80:$80</definedName>
    <definedName name="A_KEYWORD_ISSR_208000430_PROFIT_ON_DISP" localSheetId="12">Ticker0024_Annotation_Sheet!$28:$28</definedName>
    <definedName name="A_KEYWORD_ISSR_208000430_PT_PROF" localSheetId="12">Ticker0024_Annotation_Sheet!$30:$30</definedName>
    <definedName name="A_KEYWORD_ISSR_208000430_RD_EXP" localSheetId="12">Ticker0024_Annotation_Sheet!$15:$15</definedName>
    <definedName name="A_KEYWORD_ISSR_208000430_RD_N_GAAP" localSheetId="12">Ticker0024_Annotation_Sheet!$49:$49</definedName>
    <definedName name="A_KEYWORD_ISSR_208000430_REM_PERF_OBLIG" localSheetId="12">Ticker0024_Annotation_Sheet!$144:$144</definedName>
    <definedName name="A_KEYWORD_ISSR_208000430_REV_FIN_SEGMENT" localSheetId="12">Ticker0024_Annotation_Sheet!$227:$227</definedName>
    <definedName name="A_KEYWORD_ISSR_208000430_ROU_ASSET" localSheetId="12">Ticker0024_Annotation_Sheet!$104:$104</definedName>
    <definedName name="A_KEYWORD_ISSR_208000430_SALES" localSheetId="12">Ticker0024_Annotation_Sheet!$11:$11</definedName>
    <definedName name="A_KEYWORD_ISSR_208000430_SALES_ARGENTINA" localSheetId="12">Ticker0024_Annotation_Sheet!$170:$170</definedName>
    <definedName name="A_KEYWORD_ISSR_208000430_SALES_AUSTRA" localSheetId="12">Ticker0024_Annotation_Sheet!$213:$213</definedName>
    <definedName name="A_KEYWORD_ISSR_208000430_SALES_AUSTRIA" localSheetId="12">Ticker0024_Annotation_Sheet!$177:$177</definedName>
    <definedName name="A_KEYWORD_ISSR_208000430_SALES_COMPANY0377" localSheetId="12">Ticker0024_Annotation_Sheet!$178:$178</definedName>
    <definedName name="A_KEYWORD_ISSR_208000430_SALES_BRAZIL" localSheetId="12">Ticker0024_Annotation_Sheet!$171:$171</definedName>
    <definedName name="A_KEYWORD_ISSR_208000430_SALES_CANADA" localSheetId="12">Ticker0024_Annotation_Sheet!$167:$167</definedName>
    <definedName name="A_KEYWORD_ISSR_208000430_SALES_CEE" localSheetId="12">Ticker0024_Annotation_Sheet!$253:$253</definedName>
    <definedName name="A_KEYWORD_ISSR_208000430_SALES_CHILE" localSheetId="12">Ticker0024_Annotation_Sheet!$172:$172</definedName>
    <definedName name="A_KEYWORD_ISSR_208000430_SALES_CHINA" localSheetId="12">Ticker0024_Annotation_Sheet!$208:$208</definedName>
    <definedName name="A_KEYWORD_ISSR_208000430_SALES_COLOMBIA" localSheetId="12">Ticker0024_Annotation_Sheet!$173:$173</definedName>
    <definedName name="A_KEYWORD_ISSR_208000430_SALES_CONS" localSheetId="12">Ticker0024_Annotation_Sheet!$220:$220</definedName>
    <definedName name="A_KEYWORD_ISSR_208000430_SALES_EU_EX_UK" localSheetId="12">Ticker0024_Annotation_Sheet!$252:$252</definedName>
    <definedName name="A_KEYWORD_ISSR_208000430_SALES_FINAN" localSheetId="12">Ticker0024_Annotation_Sheet!$223:$223</definedName>
    <definedName name="A_KEYWORD_ISSR_208000430_SALES_FRA" localSheetId="12">Ticker0024_Annotation_Sheet!$179:$179</definedName>
    <definedName name="A_KEYWORD_ISSR_208000430_SALES_FX_ARS" localSheetId="12">Ticker0024_Annotation_Sheet!$244:$244</definedName>
    <definedName name="A_KEYWORD_ISSR_208000430_SALES_FX_BRL" localSheetId="12">Ticker0024_Annotation_Sheet!$237:$237</definedName>
    <definedName name="A_KEYWORD_ISSR_208000430_SALES_FX_CAD" localSheetId="12">Ticker0024_Annotation_Sheet!$241:$241</definedName>
    <definedName name="A_KEYWORD_ISSR_208000430_SALES_FX_CLP" localSheetId="12">Ticker0024_Annotation_Sheet!$245:$245</definedName>
    <definedName name="A_KEYWORD_ISSR_208000430_SALES_FX_CNY" localSheetId="12">Ticker0024_Annotation_Sheet!$239:$239</definedName>
    <definedName name="A_KEYWORD_ISSR_208000430_SALES_FX_COP" localSheetId="12">Ticker0024_Annotation_Sheet!$243:$243</definedName>
    <definedName name="A_KEYWORD_ISSR_208000430_SALES_FX_EUR" localSheetId="12">Ticker0024_Annotation_Sheet!$234:$234</definedName>
    <definedName name="A_KEYWORD_ISSR_208000430_SALES_FX_GPB" localSheetId="12">Ticker0024_Annotation_Sheet!$233:$233</definedName>
    <definedName name="A_KEYWORD_ISSR_208000430_SALES_FX_INR" localSheetId="12">Ticker0024_Annotation_Sheet!$240:$240</definedName>
    <definedName name="A_KEYWORD_ISSR_208000430_SALES_FX_MXN" localSheetId="12">Ticker0024_Annotation_Sheet!$242:$242</definedName>
    <definedName name="A_KEYWORD_ISSR_208000430_SALES_FX_OTH" localSheetId="12">Ticker0024_Annotation_Sheet!$247:$247</definedName>
    <definedName name="A_KEYWORD_ISSR_208000430_SALES_FX_RUB" localSheetId="12">Ticker0024_Annotation_Sheet!$235:$235</definedName>
    <definedName name="A_KEYWORD_ISSR_208000430_SALES_FX_USD" localSheetId="12">Ticker0024_Annotation_Sheet!$236:$236</definedName>
    <definedName name="A_KEYWORD_ISSR_208000430_SALES_FX_VEF" localSheetId="12">Ticker0024_Annotation_Sheet!$246:$246</definedName>
    <definedName name="A_KEYWORD_ISSR_208000430_SALES_FX_YEN" localSheetId="12">Ticker0024_Annotation_Sheet!$238:$238</definedName>
    <definedName name="A_KEYWORD_ISSR_208000430_SALES_GER" localSheetId="12">Ticker0024_Annotation_Sheet!$180:$180</definedName>
    <definedName name="A_KEYWORD_ISSR_208000430_SALES_GOV" localSheetId="12">Ticker0024_Annotation_Sheet!$222:$222</definedName>
    <definedName name="A_KEYWORD_ISSR_208000430_SALES_GRE" localSheetId="12">Ticker0024_Annotation_Sheet!$181:$181</definedName>
    <definedName name="A_KEYWORD_ISSR_208000430_SALES_HONG_KONG" localSheetId="12">Ticker0024_Annotation_Sheet!$202:$202</definedName>
    <definedName name="A_KEYWORD_ISSR_208000430_SALES_IND" localSheetId="12">Ticker0024_Annotation_Sheet!$221:$221</definedName>
    <definedName name="A_KEYWORD_ISSR_208000430_SALES_INDIA" localSheetId="12">Ticker0024_Annotation_Sheet!$209:$209</definedName>
    <definedName name="A_KEYWORD_ISSR_208000430_SALES_INDONESIA" localSheetId="12">Ticker0024_Annotation_Sheet!$210:$210</definedName>
    <definedName name="A_KEYWORD_ISSR_208000430_SALES_IRE" localSheetId="12">Ticker0024_Annotation_Sheet!$182:$182</definedName>
    <definedName name="A_KEYWORD_ISSR_208000430_SALES_ITA" localSheetId="12">Ticker0024_Annotation_Sheet!$183:$183</definedName>
    <definedName name="A_KEYWORD_ISSR_208000430_SALES_JAPAN" localSheetId="12">Ticker0024_Annotation_Sheet!$203:$203</definedName>
    <definedName name="A_KEYWORD_ISSR_208000430_SALES_MARKETING_N_GAAP" localSheetId="12">Ticker0024_Annotation_Sheet!$48:$48</definedName>
    <definedName name="A_KEYWORD_ISSR_208000430_SALES_ME" localSheetId="12">Ticker0024_Annotation_Sheet!$254:$254</definedName>
    <definedName name="A_KEYWORD_ISSR_208000430_SALES_MEXICO" localSheetId="12">Ticker0024_Annotation_Sheet!$174:$174</definedName>
    <definedName name="A_KEYWORD_ISSR_208000430_SALES_NETH" localSheetId="12">Ticker0024_Annotation_Sheet!$184:$184</definedName>
    <definedName name="A_KEYWORD_ISSR_208000430_SALES_NIGERIA" localSheetId="12">Ticker0024_Annotation_Sheet!$199:$199</definedName>
    <definedName name="A_KEYWORD_ISSR_208000430_SALES_NOR" localSheetId="12">Ticker0024_Annotation_Sheet!$185:$185</definedName>
    <definedName name="A_KEYWORD_ISSR_208000430_SALES_NZ" localSheetId="12">Ticker0024_Annotation_Sheet!$214:$214</definedName>
    <definedName name="A_KEYWORD_ISSR_208000430_SALES_OIL_GAS" localSheetId="12">Ticker0024_Annotation_Sheet!$224:$224</definedName>
    <definedName name="A_KEYWORD_ISSR_208000430_SALES_OTH_AEJ" localSheetId="12">Ticker0024_Annotation_Sheet!$258:$258</definedName>
    <definedName name="A_KEYWORD_ISSR_208000430_SALES_OTH_AFRICA" localSheetId="12">Ticker0024_Annotation_Sheet!$201:$201</definedName>
    <definedName name="A_KEYWORD_ISSR_208000430_SALES_OTH_AM" localSheetId="12">Ticker0024_Annotation_Sheet!$250:$250</definedName>
    <definedName name="A_KEYWORD_ISSR_208000430_SALES_OTH_CEE" localSheetId="12">Ticker0024_Annotation_Sheet!$195:$195</definedName>
    <definedName name="A_KEYWORD_ISSR_208000430_SALES_OTH_DEV_ASIA" localSheetId="12">Ticker0024_Annotation_Sheet!$207:$207</definedName>
    <definedName name="A_KEYWORD_ISSR_208000430_SALES_OTH_EMEA" localSheetId="12">Ticker0024_Annotation_Sheet!$256:$256</definedName>
    <definedName name="A_KEYWORD_ISSR_208000430_SALES_OTH_EMERG_ASIA" localSheetId="12">Ticker0024_Annotation_Sheet!$212:$212</definedName>
    <definedName name="A_KEYWORD_ISSR_208000430_SALES_OTH_LATAM" localSheetId="12">Ticker0024_Annotation_Sheet!$176:$176</definedName>
    <definedName name="A_KEYWORD_ISSR_208000430_SALES_OTH_ME" localSheetId="12">Ticker0024_Annotation_Sheet!$198:$198</definedName>
    <definedName name="A_KEYWORD_ISSR_208000430_SALES_OTH_NO_AMER" localSheetId="12">Ticker0024_Annotation_Sheet!$169:$169</definedName>
    <definedName name="A_KEYWORD_ISSR_208000430_SALES_OTH_WEST_EURO" localSheetId="12">Ticker0024_Annotation_Sheet!$191:$191</definedName>
    <definedName name="A_KEYWORD_ISSR_208000430_SALES_OTHER" localSheetId="12">Ticker0024_Annotation_Sheet!$215:$215</definedName>
    <definedName name="A_KEYWORD_ISSR_208000430_SALES_POLAND" localSheetId="12">Ticker0024_Annotation_Sheet!$192:$192</definedName>
    <definedName name="A_KEYWORD_ISSR_208000430_SALES_POR" localSheetId="12">Ticker0024_Annotation_Sheet!$186:$186</definedName>
    <definedName name="A_KEYWORD_ISSR_208000430_SALES_RUSSIA" localSheetId="12">Ticker0024_Annotation_Sheet!$193:$193</definedName>
    <definedName name="A_KEYWORD_ISSR_208000430_SALES_SAUDI_ARABIA" localSheetId="12">Ticker0024_Annotation_Sheet!$196:$196</definedName>
    <definedName name="A_KEYWORD_ISSR_208000430_SALES_SINGAPORE" localSheetId="12">Ticker0024_Annotation_Sheet!$204:$204</definedName>
    <definedName name="A_KEYWORD_ISSR_208000430_SALES_SK" localSheetId="12">Ticker0024_Annotation_Sheet!$205:$205</definedName>
    <definedName name="A_KEYWORD_ISSR_208000430_SALES_SMB" localSheetId="12">Ticker0024_Annotation_Sheet!$225:$225</definedName>
    <definedName name="A_KEYWORD_ISSR_208000430_SALES_SO_AFRICA" localSheetId="12">Ticker0024_Annotation_Sheet!$200:$200</definedName>
    <definedName name="A_KEYWORD_ISSR_208000430_SALES_SPA" localSheetId="12">Ticker0024_Annotation_Sheet!$187:$187</definedName>
    <definedName name="A_KEYWORD_ISSR_208000430_SALES_SWE" localSheetId="12">Ticker0024_Annotation_Sheet!$188:$188</definedName>
    <definedName name="A_KEYWORD_ISSR_208000430_SALES_SWIT" localSheetId="12">Ticker0024_Annotation_Sheet!$189:$189</definedName>
    <definedName name="A_KEYWORD_ISSR_208000430_SALES_TAIWAN" localSheetId="12">Ticker0024_Annotation_Sheet!$206:$206</definedName>
    <definedName name="A_KEYWORD_ISSR_208000430_SALES_THAILAND" localSheetId="12">Ticker0024_Annotation_Sheet!$211:$211</definedName>
    <definedName name="A_KEYWORD_ISSR_208000430_SALES_TOT_AFRICA" localSheetId="12">Ticker0024_Annotation_Sheet!$255:$255</definedName>
    <definedName name="A_KEYWORD_ISSR_208000430_SALES_TOT_AM" localSheetId="12">Ticker0024_Annotation_Sheet!$249:$249</definedName>
    <definedName name="A_KEYWORD_ISSR_208000430_SALES_TOT_ASIA" localSheetId="12">Ticker0024_Annotation_Sheet!$257:$257</definedName>
    <definedName name="A_KEYWORD_ISSR_208000430_SALES_TOT_EMEA" localSheetId="12">Ticker0024_Annotation_Sheet!$251:$251</definedName>
    <definedName name="A_KEYWORD_ISSR_208000430_SALES_TURKEY" localSheetId="12">Ticker0024_Annotation_Sheet!$194:$194</definedName>
    <definedName name="A_KEYWORD_ISSR_208000430_SALES_UAE" localSheetId="12">Ticker0024_Annotation_Sheet!$197:$197</definedName>
    <definedName name="A_KEYWORD_ISSR_208000430_SALES_UK" localSheetId="12">Ticker0024_Annotation_Sheet!$190:$190</definedName>
    <definedName name="A_KEYWORD_ISSR_208000430_SALES_US" localSheetId="12">Ticker0024_Annotation_Sheet!$168:$168</definedName>
    <definedName name="A_KEYWORD_ISSR_208000430_SALES_VENEZUELA" localSheetId="12">Ticker0024_Annotation_Sheet!$175:$175</definedName>
    <definedName name="A_KEYWORD_ISSR_208000430_SBC_COST_OF_GOODS_SOLD" localSheetId="12">Ticker0024_Annotation_Sheet!$40:$40</definedName>
    <definedName name="A_KEYWORD_ISSR_208000430_SBC_GEN_ADMINISTRATIVE" localSheetId="12">Ticker0024_Annotation_Sheet!$43:$43</definedName>
    <definedName name="A_KEYWORD_ISSR_208000430_SBC_RESEARCH_DEVELOPMENT" localSheetId="12">Ticker0024_Annotation_Sheet!$42:$42</definedName>
    <definedName name="A_KEYWORD_ISSR_208000430_SBC_SALES_MARKETING" localSheetId="12">Ticker0024_Annotation_Sheet!$41:$41</definedName>
    <definedName name="A_KEYWORD_ISSR_208000430_SBC_TOTAL" localSheetId="12">Ticker0024_Annotation_Sheet!$44:$44</definedName>
    <definedName name="A_KEYWORD_ISSR_208000430_SEGMENT1_REV_NAME" localSheetId="12">Ticker0024_Annotation_Sheet!$146:$146</definedName>
    <definedName name="A_KEYWORD_ISSR_208000430_SEGMENT1_REV_VALUE" localSheetId="12">Ticker0024_Annotation_Sheet!$147:$147</definedName>
    <definedName name="A_KEYWORD_ISSR_208000430_SEGMENT10_REV_NAME" localSheetId="12">Ticker0024_Annotation_Sheet!$164:$164</definedName>
    <definedName name="A_KEYWORD_ISSR_208000430_SEGMENT10_REV_VALUE" localSheetId="12">Ticker0024_Annotation_Sheet!$165:$165</definedName>
    <definedName name="A_KEYWORD_ISSR_208000430_SEGMENT2_REV_NAME" localSheetId="12">Ticker0024_Annotation_Sheet!$148:$148</definedName>
    <definedName name="A_KEYWORD_ISSR_208000430_SEGMENT2_REV_VALUE" localSheetId="12">Ticker0024_Annotation_Sheet!$149:$149</definedName>
    <definedName name="A_KEYWORD_ISSR_208000430_SEGMENT3_REV_NAME" localSheetId="12">Ticker0024_Annotation_Sheet!$150:$150</definedName>
    <definedName name="A_KEYWORD_ISSR_208000430_SEGMENT3_REV_VALUE" localSheetId="12">Ticker0024_Annotation_Sheet!$151:$151</definedName>
    <definedName name="A_KEYWORD_ISSR_208000430_SEGMENT4_REV_NAME" localSheetId="12">Ticker0024_Annotation_Sheet!$152:$152</definedName>
    <definedName name="A_KEYWORD_ISSR_208000430_SEGMENT4_REV_VALUE" localSheetId="12">Ticker0024_Annotation_Sheet!$153:$153</definedName>
    <definedName name="A_KEYWORD_ISSR_208000430_SEGMENT5_REV_NAME" localSheetId="12">Ticker0024_Annotation_Sheet!$154:$154</definedName>
    <definedName name="A_KEYWORD_ISSR_208000430_SEGMENT5_REV_VALUE" localSheetId="12">Ticker0024_Annotation_Sheet!$155:$155</definedName>
    <definedName name="A_KEYWORD_ISSR_208000430_SEGMENT6_REV_NAME" localSheetId="12">Ticker0024_Annotation_Sheet!$156:$156</definedName>
    <definedName name="A_KEYWORD_ISSR_208000430_SEGMENT6_REV_VALUE" localSheetId="12">Ticker0024_Annotation_Sheet!$157:$157</definedName>
    <definedName name="A_KEYWORD_ISSR_208000430_SEGMENT7_REV_NAME" localSheetId="12">Ticker0024_Annotation_Sheet!$158:$158</definedName>
    <definedName name="A_KEYWORD_ISSR_208000430_SEGMENT7_REV_VALUE" localSheetId="12">Ticker0024_Annotation_Sheet!$159:$159</definedName>
    <definedName name="A_KEYWORD_ISSR_208000430_SEGMENT8_REV_NAME" localSheetId="12">Ticker0024_Annotation_Sheet!$160:$160</definedName>
    <definedName name="A_KEYWORD_ISSR_208000430_SEGMENT8_REV_VALUE" localSheetId="12">Ticker0024_Annotation_Sheet!$161:$161</definedName>
    <definedName name="A_KEYWORD_ISSR_208000430_SEGMENT9_REV_NAME" localSheetId="12">Ticker0024_Annotation_Sheet!$162:$162</definedName>
    <definedName name="A_KEYWORD_ISSR_208000430_SEGMENT9_REV_VALUE" localSheetId="12">Ticker0024_Annotation_Sheet!$163:$163</definedName>
    <definedName name="A_KEYWORD_ISSR_208000430_SEL_GL_AD" localSheetId="12">Ticker0024_Annotation_Sheet!$13:$13</definedName>
    <definedName name="A_KEYWORD_ISSR_208000430_SGA_PCT_ROW" localSheetId="12">Ticker0024_Annotation_Sheet!$219:$219</definedName>
    <definedName name="A_KEYWORD_ISSR_208000430_SGA_PCT_US" localSheetId="12">Ticker0024_Annotation_Sheet!$218:$218</definedName>
    <definedName name="A_KEYWORD_ISSR_208000430_SH_REPUR" localSheetId="12">Ticker0024_Annotation_Sheet!$117:$117</definedName>
    <definedName name="A_KEYWORD_ISSR_208000430_SHORT_T_DEBT" localSheetId="12">Ticker0024_Annotation_Sheet!$70:$70</definedName>
    <definedName name="A_KEYWORD_ISSR_208000430_SHORT_TERM_LIABS" localSheetId="12">Ticker0024_Annotation_Sheet!$73:$73</definedName>
    <definedName name="A_KEYWORD_ISSR_208000430_ST_BILLINGS" localSheetId="12">Ticker0024_Annotation_Sheet!$143:$143</definedName>
    <definedName name="A_KEYWORD_ISSR_208000430_ST_LEASE_LIAB" localSheetId="12">Ticker0024_Annotation_Sheet!$71:$71</definedName>
    <definedName name="A_KEYWORD_ISSR_208000430_STOCKS" localSheetId="12">Ticker0024_Annotation_Sheet!$56:$56</definedName>
    <definedName name="A_KEYWORD_ISSR_208000430_TOT_ASSET" localSheetId="12">Ticker0024_Annotation_Sheet!$68:$68</definedName>
    <definedName name="A_KEYWORD_ISSR_208000430_TOT_BILLINGS" localSheetId="12">Ticker0024_Annotation_Sheet!$142:$142</definedName>
    <definedName name="A_KEYWORD_ISSR_208000430_TOT_CF" localSheetId="12">Ticker0024_Annotation_Sheet!$122:$122</definedName>
    <definedName name="A_KEYWORD_ISSR_208000430_TOT_DEF_REV" localSheetId="12">Ticker0024_Annotation_Sheet!$74:$74</definedName>
    <definedName name="A_KEYWORD_ISSR_208000430_TOT_LIAB" localSheetId="12">Ticker0024_Annotation_Sheet!$79:$79</definedName>
    <definedName name="A_KEYWORD_ISSR_208000430_TOT_LIAB_EQ" localSheetId="12">Ticker0024_Annotation_Sheet!$84:$84</definedName>
    <definedName name="A_KEYWORD_ISSR_208000430_TOT_LT_LIAB" localSheetId="12">Ticker0024_Annotation_Sheet!$78:$78</definedName>
    <definedName name="A_KEYWORD_ISSR_208000430_TOT_OPS_EXP" localSheetId="12">Ticker0024_Annotation_Sheet!$19:$19</definedName>
    <definedName name="A_KEYWORD_ISSR_208000430_TOT_OPS_EXP_DDA" localSheetId="12">Ticker0024_Annotation_Sheet!$18:$18</definedName>
    <definedName name="A_KEYWORD_ISSR_208000430_TOT_PCT_USD_DEBT_HEDGED" localSheetId="12">Ticker0024_Annotation_Sheet!$87:$87</definedName>
    <definedName name="A_KEYWORD_ISSR_208000430_TOT_USD_DEBT" localSheetId="12">Ticker0024_Annotation_Sheet!$86:$86</definedName>
    <definedName name="A_KEYWORD_ISSR_208000430_UNF_PENS" localSheetId="12">Ticker0024_Annotation_Sheet!$97:$97</definedName>
    <definedName name="A_KEYWORD_ISSR_208000430_UNF_PENS_LIAB_OTH" localSheetId="12">Ticker0024_Annotation_Sheet!$99:$99</definedName>
    <definedName name="A_KEYWORD_ISSR_208000430_UNF_PENS_OFF" localSheetId="12">Ticker0024_Annotation_Sheet!$98:$98</definedName>
    <definedName name="A_KEYWORD_ISSR_208000430_WORK_CAP" localSheetId="12">Ticker0024_Annotation_Sheet!$108:$108</definedName>
    <definedName name="A_LIVEDATA_EQTY_200001320" localSheetId="12">Ticker0024_Annotation_Sheet!$B$259</definedName>
    <definedName name="A_LIVEDATA_ISSR_208000430" localSheetId="12">Ticker0024_Annotation_Sheet!$B$4</definedName>
    <definedName name="A_PERIOD_1995" localSheetId="12">Ticker0024_Annotation_Sheet!$F:$F</definedName>
    <definedName name="A_PERIOD_1996" localSheetId="12">Ticker0024_Annotation_Sheet!$K:$K</definedName>
    <definedName name="A_PERIOD_1996_Q1" localSheetId="12">Ticker0024_Annotation_Sheet!$G:$G</definedName>
    <definedName name="A_PERIOD_1996_Q2" localSheetId="12">Ticker0024_Annotation_Sheet!$H:$H</definedName>
    <definedName name="A_PERIOD_1996_Q3" localSheetId="12">Ticker0024_Annotation_Sheet!$I:$I</definedName>
    <definedName name="A_PERIOD_1996_Q4" localSheetId="12">Ticker0024_Annotation_Sheet!$J:$J</definedName>
    <definedName name="A_PERIOD_1997" localSheetId="12">Ticker0024_Annotation_Sheet!$P:$P</definedName>
    <definedName name="A_PERIOD_1997_Q1" localSheetId="12">Ticker0024_Annotation_Sheet!$L:$L</definedName>
    <definedName name="A_PERIOD_1997_Q2" localSheetId="12">Ticker0024_Annotation_Sheet!$M:$M</definedName>
    <definedName name="A_PERIOD_1997_Q3" localSheetId="12">Ticker0024_Annotation_Sheet!$N:$N</definedName>
    <definedName name="A_PERIOD_1997_Q4" localSheetId="12">Ticker0024_Annotation_Sheet!$O:$O</definedName>
    <definedName name="A_PERIOD_1998" localSheetId="12">Ticker0024_Annotation_Sheet!$U:$U</definedName>
    <definedName name="A_PERIOD_1998_Q1" localSheetId="12">Ticker0024_Annotation_Sheet!$Q:$Q</definedName>
    <definedName name="A_PERIOD_1998_Q2" localSheetId="12">Ticker0024_Annotation_Sheet!$R:$R</definedName>
    <definedName name="A_PERIOD_1998_Q3" localSheetId="12">Ticker0024_Annotation_Sheet!$S:$S</definedName>
    <definedName name="A_PERIOD_1998_Q4" localSheetId="12">Ticker0024_Annotation_Sheet!$T:$T</definedName>
    <definedName name="A_PERIOD_1999" localSheetId="12">Ticker0024_Annotation_Sheet!$Z:$Z</definedName>
    <definedName name="A_PERIOD_1999_Q1" localSheetId="12">Ticker0024_Annotation_Sheet!$V:$V</definedName>
    <definedName name="A_PERIOD_1999_Q2" localSheetId="12">Ticker0024_Annotation_Sheet!$W:$W</definedName>
    <definedName name="A_PERIOD_1999_Q3" localSheetId="12">Ticker0024_Annotation_Sheet!$X:$X</definedName>
    <definedName name="A_PERIOD_1999_Q4" localSheetId="12">Ticker0024_Annotation_Sheet!$Y:$Y</definedName>
    <definedName name="A_PERIOD_2000" localSheetId="12">Ticker0024_Annotation_Sheet!$AE:$AE</definedName>
    <definedName name="A_PERIOD_2000_Q1" localSheetId="12">Ticker0024_Annotation_Sheet!$AA:$AA</definedName>
    <definedName name="A_PERIOD_2000_Q2" localSheetId="12">Ticker0024_Annotation_Sheet!$AB:$AB</definedName>
    <definedName name="A_PERIOD_2000_Q3" localSheetId="12">Ticker0024_Annotation_Sheet!$AC:$AC</definedName>
    <definedName name="A_PERIOD_2000_Q4" localSheetId="12">Ticker0024_Annotation_Sheet!$AD:$AD</definedName>
    <definedName name="A_PERIOD_2001" localSheetId="12">Ticker0024_Annotation_Sheet!$AJ:$AJ</definedName>
    <definedName name="A_PERIOD_2001_Q1" localSheetId="12">Ticker0024_Annotation_Sheet!$AF:$AF</definedName>
    <definedName name="A_PERIOD_2001_Q2" localSheetId="12">Ticker0024_Annotation_Sheet!$AG:$AG</definedName>
    <definedName name="A_PERIOD_2001_Q3" localSheetId="12">Ticker0024_Annotation_Sheet!$AH:$AH</definedName>
    <definedName name="A_PERIOD_2001_Q4" localSheetId="12">Ticker0024_Annotation_Sheet!$AI:$AI</definedName>
    <definedName name="A_PERIOD_2002" localSheetId="12">Ticker0024_Annotation_Sheet!$AO:$AO</definedName>
    <definedName name="A_PERIOD_2002_Q1" localSheetId="12">Ticker0024_Annotation_Sheet!$AK:$AK</definedName>
    <definedName name="A_PERIOD_2002_Q2" localSheetId="12">Ticker0024_Annotation_Sheet!$AL:$AL</definedName>
    <definedName name="A_PERIOD_2002_Q3" localSheetId="12">Ticker0024_Annotation_Sheet!$AM:$AM</definedName>
    <definedName name="A_PERIOD_2002_Q4" localSheetId="12">Ticker0024_Annotation_Sheet!$AN:$AN</definedName>
    <definedName name="A_PERIOD_2003" localSheetId="12">Ticker0024_Annotation_Sheet!$AT:$AT</definedName>
    <definedName name="A_PERIOD_2003_Q1" localSheetId="12">Ticker0024_Annotation_Sheet!$AP:$AP</definedName>
    <definedName name="A_PERIOD_2003_Q2" localSheetId="12">Ticker0024_Annotation_Sheet!$AQ:$AQ</definedName>
    <definedName name="A_PERIOD_2003_Q3" localSheetId="12">Ticker0024_Annotation_Sheet!$AR:$AR</definedName>
    <definedName name="A_PERIOD_2003_Q4" localSheetId="12">Ticker0024_Annotation_Sheet!$AS:$AS</definedName>
    <definedName name="A_PERIOD_2004" localSheetId="12">Ticker0024_Annotation_Sheet!$AY:$AY</definedName>
    <definedName name="A_PERIOD_2004_Q1" localSheetId="12">Ticker0024_Annotation_Sheet!$AU:$AU</definedName>
    <definedName name="A_PERIOD_2004_Q2" localSheetId="12">Ticker0024_Annotation_Sheet!$AV:$AV</definedName>
    <definedName name="A_PERIOD_2004_Q3" localSheetId="12">Ticker0024_Annotation_Sheet!$AW:$AW</definedName>
    <definedName name="A_PERIOD_2004_Q4" localSheetId="12">Ticker0024_Annotation_Sheet!$AX:$AX</definedName>
    <definedName name="A_PERIOD_2005" localSheetId="12">Ticker0024_Annotation_Sheet!$BD:$BD</definedName>
    <definedName name="A_PERIOD_2005_Q1" localSheetId="12">Ticker0024_Annotation_Sheet!$AZ:$AZ</definedName>
    <definedName name="A_PERIOD_2005_Q2" localSheetId="12">Ticker0024_Annotation_Sheet!$BA:$BA</definedName>
    <definedName name="A_PERIOD_2005_Q3" localSheetId="12">Ticker0024_Annotation_Sheet!$BB:$BB</definedName>
    <definedName name="A_PERIOD_2005_Q4" localSheetId="12">Ticker0024_Annotation_Sheet!$BC:$BC</definedName>
    <definedName name="A_PERIOD_2006" localSheetId="12">Ticker0024_Annotation_Sheet!$BI:$BI</definedName>
    <definedName name="A_PERIOD_2006_Q1" localSheetId="12">Ticker0024_Annotation_Sheet!$BE:$BE</definedName>
    <definedName name="A_PERIOD_2006_Q2" localSheetId="12">Ticker0024_Annotation_Sheet!$BF:$BF</definedName>
    <definedName name="A_PERIOD_2006_Q3" localSheetId="12">Ticker0024_Annotation_Sheet!$BG:$BG</definedName>
    <definedName name="A_PERIOD_2006_Q4" localSheetId="12">Ticker0024_Annotation_Sheet!$BH:$BH</definedName>
    <definedName name="A_PERIOD_2007" localSheetId="12">Ticker0024_Annotation_Sheet!$BN:$BN</definedName>
    <definedName name="A_PERIOD_2007_Q1" localSheetId="12">Ticker0024_Annotation_Sheet!$BJ:$BJ</definedName>
    <definedName name="A_PERIOD_2007_Q2" localSheetId="12">Ticker0024_Annotation_Sheet!$BK:$BK</definedName>
    <definedName name="A_PERIOD_2007_Q3" localSheetId="12">Ticker0024_Annotation_Sheet!$BL:$BL</definedName>
    <definedName name="A_PERIOD_2007_Q4" localSheetId="12">Ticker0024_Annotation_Sheet!$BM:$BM</definedName>
    <definedName name="A_PERIOD_2008" localSheetId="12">Ticker0024_Annotation_Sheet!$BS:$BS</definedName>
    <definedName name="A_PERIOD_2008_Q1" localSheetId="12">Ticker0024_Annotation_Sheet!$BO:$BO</definedName>
    <definedName name="A_PERIOD_2008_Q2" localSheetId="12">Ticker0024_Annotation_Sheet!$BP:$BP</definedName>
    <definedName name="A_PERIOD_2008_Q3" localSheetId="12">Ticker0024_Annotation_Sheet!$BQ:$BQ</definedName>
    <definedName name="A_PERIOD_2008_Q4" localSheetId="12">Ticker0024_Annotation_Sheet!$BR:$BR</definedName>
    <definedName name="A_PERIOD_2009" localSheetId="12">Ticker0024_Annotation_Sheet!$BX:$BX</definedName>
    <definedName name="A_PERIOD_2009_Q1" localSheetId="12">Ticker0024_Annotation_Sheet!$BT:$BT</definedName>
    <definedName name="A_PERIOD_2009_Q2" localSheetId="12">Ticker0024_Annotation_Sheet!$BU:$BU</definedName>
    <definedName name="A_PERIOD_2009_Q3" localSheetId="12">Ticker0024_Annotation_Sheet!$BV:$BV</definedName>
    <definedName name="A_PERIOD_2009_Q4" localSheetId="12">Ticker0024_Annotation_Sheet!$BW:$BW</definedName>
    <definedName name="A_PERIOD_2010" localSheetId="12">Ticker0024_Annotation_Sheet!$CC:$CC</definedName>
    <definedName name="A_PERIOD_2010_Q1" localSheetId="12">Ticker0024_Annotation_Sheet!$BY:$BY</definedName>
    <definedName name="A_PERIOD_2010_Q2" localSheetId="12">Ticker0024_Annotation_Sheet!$BZ:$BZ</definedName>
    <definedName name="A_PERIOD_2010_Q3" localSheetId="12">Ticker0024_Annotation_Sheet!$CA:$CA</definedName>
    <definedName name="A_PERIOD_2010_Q4" localSheetId="12">Ticker0024_Annotation_Sheet!$CB:$CB</definedName>
    <definedName name="A_PERIOD_2011" localSheetId="12">Ticker0024_Annotation_Sheet!$CH:$CH</definedName>
    <definedName name="A_PERIOD_2011_Q1" localSheetId="12">Ticker0024_Annotation_Sheet!$CD:$CD</definedName>
    <definedName name="A_PERIOD_2011_Q2" localSheetId="12">Ticker0024_Annotation_Sheet!$CE:$CE</definedName>
    <definedName name="A_PERIOD_2011_Q3" localSheetId="12">Ticker0024_Annotation_Sheet!$CF:$CF</definedName>
    <definedName name="A_PERIOD_2011_Q4" localSheetId="12">Ticker0024_Annotation_Sheet!$CG:$CG</definedName>
    <definedName name="A_PERIOD_2012" localSheetId="12">Ticker0024_Annotation_Sheet!$CM:$CM</definedName>
    <definedName name="A_PERIOD_2012_Q1" localSheetId="12">Ticker0024_Annotation_Sheet!$CI:$CI</definedName>
    <definedName name="A_PERIOD_2012_Q2" localSheetId="12">Ticker0024_Annotation_Sheet!$CJ:$CJ</definedName>
    <definedName name="A_PERIOD_2012_Q3" localSheetId="12">Ticker0024_Annotation_Sheet!$CK:$CK</definedName>
    <definedName name="A_PERIOD_2012_Q4" localSheetId="12">Ticker0024_Annotation_Sheet!$CL:$CL</definedName>
    <definedName name="A_PERIOD_2013" localSheetId="12">Ticker0024_Annotation_Sheet!$CR:$CR</definedName>
    <definedName name="A_PERIOD_2013_Q1" localSheetId="12">Ticker0024_Annotation_Sheet!$CN:$CN</definedName>
    <definedName name="A_PERIOD_2013_Q2" localSheetId="12">Ticker0024_Annotation_Sheet!$CO:$CO</definedName>
    <definedName name="A_PERIOD_2013_Q3" localSheetId="12">Ticker0024_Annotation_Sheet!$CP:$CP</definedName>
    <definedName name="A_PERIOD_2013_Q4" localSheetId="12">Ticker0024_Annotation_Sheet!$CQ:$CQ</definedName>
    <definedName name="A_PERIOD_2014" localSheetId="12">Ticker0024_Annotation_Sheet!$CW:$CW</definedName>
    <definedName name="A_PERIOD_2014_Q1" localSheetId="12">Ticker0024_Annotation_Sheet!$CS:$CS</definedName>
    <definedName name="A_PERIOD_2014_Q2" localSheetId="12">Ticker0024_Annotation_Sheet!$CT:$CT</definedName>
    <definedName name="A_PERIOD_2014_Q3" localSheetId="12">Ticker0024_Annotation_Sheet!$CU:$CU</definedName>
    <definedName name="A_PERIOD_2014_Q4" localSheetId="12">Ticker0024_Annotation_Sheet!$CV:$CV</definedName>
    <definedName name="A_PERIOD_2015" localSheetId="12">Ticker0024_Annotation_Sheet!$DB:$DB</definedName>
    <definedName name="A_PERIOD_2015_Q1" localSheetId="12">Ticker0024_Annotation_Sheet!$CX:$CX</definedName>
    <definedName name="A_PERIOD_2015_Q2" localSheetId="12">Ticker0024_Annotation_Sheet!$CY:$CY</definedName>
    <definedName name="A_PERIOD_2015_Q3" localSheetId="12">Ticker0024_Annotation_Sheet!$CZ:$CZ</definedName>
    <definedName name="A_PERIOD_2015_Q4" localSheetId="12">Ticker0024_Annotation_Sheet!$DA:$DA</definedName>
    <definedName name="A_PERIOD_2016" localSheetId="12">Ticker0024_Annotation_Sheet!$DG:$DG</definedName>
    <definedName name="A_PERIOD_2016_Q1" localSheetId="12">Ticker0024_Annotation_Sheet!$DC:$DC</definedName>
    <definedName name="A_PERIOD_2016_Q2" localSheetId="12">Ticker0024_Annotation_Sheet!$DD:$DD</definedName>
    <definedName name="A_PERIOD_2016_Q3" localSheetId="12">Ticker0024_Annotation_Sheet!$DE:$DE</definedName>
    <definedName name="A_PERIOD_2016_Q4" localSheetId="12">Ticker0024_Annotation_Sheet!$DF:$DF</definedName>
    <definedName name="A_PERIOD_2017" localSheetId="12">Ticker0024_Annotation_Sheet!$DL:$DL</definedName>
    <definedName name="A_PERIOD_2017_Q1" localSheetId="12">Ticker0024_Annotation_Sheet!$DH:$DH</definedName>
    <definedName name="A_PERIOD_2017_Q2" localSheetId="12">Ticker0024_Annotation_Sheet!$DI:$DI</definedName>
    <definedName name="A_PERIOD_2017_Q3" localSheetId="12">Ticker0024_Annotation_Sheet!$DJ:$DJ</definedName>
    <definedName name="A_PERIOD_2017_Q4" localSheetId="12">Ticker0024_Annotation_Sheet!$DK:$DK</definedName>
    <definedName name="A_PERIOD_2018" localSheetId="12">Ticker0024_Annotation_Sheet!$DQ:$DQ</definedName>
    <definedName name="A_PERIOD_2018_Q1" localSheetId="12">Ticker0024_Annotation_Sheet!$DM:$DM</definedName>
    <definedName name="A_PERIOD_2018_Q2" localSheetId="12">Ticker0024_Annotation_Sheet!$DN:$DN</definedName>
    <definedName name="A_PERIOD_2018_Q3" localSheetId="12">Ticker0024_Annotation_Sheet!$DO:$DO</definedName>
    <definedName name="A_PERIOD_2018_Q4" localSheetId="12">Ticker0024_Annotation_Sheet!$DP:$DP</definedName>
    <definedName name="A_PERIOD_2019" localSheetId="12">Ticker0024_Annotation_Sheet!$DV:$DV</definedName>
    <definedName name="A_PERIOD_2019_Q1" localSheetId="12">Ticker0024_Annotation_Sheet!$DR:$DR</definedName>
    <definedName name="A_PERIOD_2019_Q2" localSheetId="12">Ticker0024_Annotation_Sheet!$DS:$DS</definedName>
    <definedName name="A_PERIOD_2019_Q3" localSheetId="12">Ticker0024_Annotation_Sheet!$DT:$DT</definedName>
    <definedName name="A_PERIOD_2019_Q4" localSheetId="12">Ticker0024_Annotation_Sheet!$DU:$DU</definedName>
    <definedName name="A_PERIOD_2020" localSheetId="12">Ticker0024_Annotation_Sheet!$EA:$EA</definedName>
    <definedName name="A_PERIOD_2020_Q1" localSheetId="12">Ticker0024_Annotation_Sheet!$DW:$DW</definedName>
    <definedName name="A_PERIOD_2020_Q2" localSheetId="12">Ticker0024_Annotation_Sheet!$DX:$DX</definedName>
    <definedName name="A_PERIOD_2020_Q3" localSheetId="12">Ticker0024_Annotation_Sheet!$DY:$DY</definedName>
    <definedName name="A_PERIOD_2020_Q4" localSheetId="12">Ticker0024_Annotation_Sheet!$DZ:$DZ</definedName>
    <definedName name="A_PERIOD_2021" localSheetId="12">Ticker0024_Annotation_Sheet!$EF:$EF</definedName>
    <definedName name="A_PERIOD_2021_Q1" localSheetId="12">Ticker0024_Annotation_Sheet!$EB:$EB</definedName>
    <definedName name="A_PERIOD_2021_Q2" localSheetId="12">Ticker0024_Annotation_Sheet!$EC:$EC</definedName>
    <definedName name="A_PERIOD_2021_Q3" localSheetId="12">Ticker0024_Annotation_Sheet!$ED:$ED</definedName>
    <definedName name="A_PERIOD_2021_Q4" localSheetId="12">Ticker0024_Annotation_Sheet!$EE:$EE</definedName>
    <definedName name="A_PERIOD_2022" localSheetId="12">Ticker0024_Annotation_Sheet!$EK:$EK</definedName>
    <definedName name="A_PERIOD_2022_Q1" localSheetId="12">Ticker0024_Annotation_Sheet!$EG:$EG</definedName>
    <definedName name="A_PERIOD_2022_Q2" localSheetId="12">Ticker0024_Annotation_Sheet!$EH:$EH</definedName>
    <definedName name="A_PERIOD_2022_Q3" localSheetId="12">Ticker0024_Annotation_Sheet!$EI:$EI</definedName>
    <definedName name="A_PERIOD_2022_Q4" localSheetId="12">Ticker0024_Annotation_Sheet!$EJ:$EJ</definedName>
    <definedName name="A_PERIOD_2023" localSheetId="12">Ticker0024_Annotation_Sheet!$EP:$EP</definedName>
    <definedName name="A_PERIOD_2023_Q1" localSheetId="12">Ticker0024_Annotation_Sheet!$EL:$EL</definedName>
    <definedName name="A_PERIOD_2023_Q2" localSheetId="12">Ticker0024_Annotation_Sheet!$EM:$EM</definedName>
    <definedName name="A_PERIOD_2023_Q3" localSheetId="12">Ticker0024_Annotation_Sheet!$EN:$EN</definedName>
    <definedName name="A_PERIOD_2023_Q4" localSheetId="12">Ticker0024_Annotation_Sheet!$EO:$EO</definedName>
    <definedName name="A_PERIOD_2024" localSheetId="12">Ticker0024_Annotation_Sheet!$EU:$EU</definedName>
    <definedName name="A_PERIOD_2024_Q1" localSheetId="12">Ticker0024_Annotation_Sheet!$EQ:$EQ</definedName>
    <definedName name="A_PERIOD_2024_Q2" localSheetId="12">Ticker0024_Annotation_Sheet!$ER:$ER</definedName>
    <definedName name="A_PERIOD_2024_Q3" localSheetId="12">Ticker0024_Annotation_Sheet!$ES:$ES</definedName>
    <definedName name="A_PERIOD_2024_Q4" localSheetId="12">Ticker0024_Annotation_Sheet!$ET:$ET</definedName>
    <definedName name="A_PERIOD_2025" localSheetId="12">Ticker0024_Annotation_Sheet!$EZ:$EZ</definedName>
    <definedName name="A_PERIOD_2025_Q1" localSheetId="12">Ticker0024_Annotation_Sheet!$EV:$EV</definedName>
    <definedName name="A_PERIOD_2025_Q2" localSheetId="12">Ticker0024_Annotation_Sheet!$EW:$EW</definedName>
    <definedName name="A_PERIOD_2025_Q3" localSheetId="12">Ticker0024_Annotation_Sheet!$EX:$EX</definedName>
    <definedName name="A_PERIOD_2025_Q4" localSheetId="12">Ticker0024_Annotation_Sheet!$EY:$EY</definedName>
    <definedName name="A_PERIOD_2026" localSheetId="12">Ticker0024_Annotation_Sheet!$FE:$FE</definedName>
    <definedName name="A_PERIOD_2026_Q1" localSheetId="12">Ticker0024_Annotation_Sheet!$FA:$FA</definedName>
    <definedName name="A_PERIOD_2026_Q2" localSheetId="12">Ticker0024_Annotation_Sheet!$FB:$FB</definedName>
    <definedName name="A_PERIOD_2026_Q3" localSheetId="12">Ticker0024_Annotation_Sheet!$FC:$FC</definedName>
    <definedName name="A_PERIOD_2026_Q4" localSheetId="12">Ticker0024_Annotation_Sheet!$FD:$FD</definedName>
    <definedName name="A_PERIOD_2027" localSheetId="12">Ticker0024_Annotation_Sheet!$FJ:$FJ</definedName>
    <definedName name="A_PERIOD_2027_Q1" localSheetId="12">Ticker0024_Annotation_Sheet!$FF:$FF</definedName>
    <definedName name="A_PERIOD_2027_Q2" localSheetId="12">Ticker0024_Annotation_Sheet!$FG:$FG</definedName>
    <definedName name="A_PERIOD_2027_Q3" localSheetId="12">Ticker0024_Annotation_Sheet!$FH:$FH</definedName>
    <definedName name="A_PERIOD_2027_Q4" localSheetId="12">Ticker0024_Annotation_Sheet!$FI:$FI</definedName>
    <definedName name="A_PERIOD_2028" localSheetId="12">Ticker0024_Annotation_Sheet!$FO:$FO</definedName>
    <definedName name="A_PERIOD_2028_Q1" localSheetId="12">Ticker0024_Annotation_Sheet!$FK:$FK</definedName>
    <definedName name="A_PERIOD_2028_Q2" localSheetId="12">Ticker0024_Annotation_Sheet!$FL:$FL</definedName>
    <definedName name="A_PERIOD_2028_Q3" localSheetId="12">Ticker0024_Annotation_Sheet!$FM:$FM</definedName>
    <definedName name="A_PERIOD_2028_Q4" localSheetId="12">Ticker0024_Annotation_Sheet!$FN:$FN</definedName>
    <definedName name="A_PERIOD_2029" localSheetId="12">Ticker0024_Annotation_Sheet!$FT:$FT</definedName>
    <definedName name="A_PERIOD_2029_Q1" localSheetId="12">Ticker0024_Annotation_Sheet!$FP:$FP</definedName>
    <definedName name="A_PERIOD_2029_Q2" localSheetId="12">Ticker0024_Annotation_Sheet!$FQ:$FQ</definedName>
    <definedName name="A_PERIOD_2029_Q3" localSheetId="12">Ticker0024_Annotation_Sheet!$FR:$FR</definedName>
    <definedName name="A_PERIOD_2029_Q4" localSheetId="12">Ticker0024_Annotation_Sheet!$FS:$FS</definedName>
    <definedName name="A_PERIOD_2030" localSheetId="12">Ticker0024_Annotation_Sheet!#REF!</definedName>
    <definedName name="A_PERIOD_2030_Q1" localSheetId="12">Ticker0024_Annotation_Sheet!#REF!</definedName>
    <definedName name="A_PERIOD_2030_Q2" localSheetId="12">Ticker0024_Annotation_Sheet!#REF!</definedName>
    <definedName name="A_PERIOD_2030_Q3" localSheetId="12">Ticker0024_Annotation_Sheet!#REF!</definedName>
    <definedName name="A_PERIOD_2030_Q4" localSheetId="12">Ticker0024_Annotation_Sheet!#REF!</definedName>
    <definedName name="A_SECTION_EQTY_200001320_1314" localSheetId="12">Ticker0024_Annotation_Sheet!$319:$319</definedName>
    <definedName name="A_SECTION_EQTY_200001320_1319" localSheetId="12">Ticker0024_Annotation_Sheet!$321:$321</definedName>
    <definedName name="A_SECTION_EQTY_200001320_131E" localSheetId="12">Ticker0024_Annotation_Sheet!$326:$326</definedName>
    <definedName name="A_SECTION_EQTY_200001320_131O" localSheetId="12">Ticker0024_Annotation_Sheet!$328:$328</definedName>
    <definedName name="A_SECTION_EQTY_200001320_13A" localSheetId="12">Ticker0024_Annotation_Sheet!$267:$267</definedName>
    <definedName name="A_SECTION_EQTY_200001320_13K" localSheetId="12">Ticker0024_Annotation_Sheet!$277:$277</definedName>
    <definedName name="A_SECTION_EQTY_200001320_13U" localSheetId="12">Ticker0024_Annotation_Sheet!$294:$294</definedName>
    <definedName name="A_SECTION_EQTY_200001320_13V" localSheetId="12">Ticker0024_Annotation_Sheet!$311:$311</definedName>
    <definedName name="A_SECTION_EQTY_200001320_13W" localSheetId="12">Ticker0024_Annotation_Sheet!$313:$313</definedName>
    <definedName name="A_SECTION_EQTY_200001320_Reference_Data" localSheetId="12">Ticker0024_Annotation_Sheet!$260:$260</definedName>
    <definedName name="A_SECTION_ISSR_208000430_1314" localSheetId="12">Ticker0024_Annotation_Sheet!$53:$53</definedName>
    <definedName name="A_SECTION_ISSR_208000430_13168" localSheetId="12">Ticker0024_Annotation_Sheet!$166:$166</definedName>
    <definedName name="A_SECTION_ISSR_208000430_1316T" localSheetId="12">Ticker0024_Annotation_Sheet!$229:$229</definedName>
    <definedName name="A_SECTION_ISSR_208000430_1316U" localSheetId="12">Ticker0024_Annotation_Sheet!$232:$232</definedName>
    <definedName name="A_SECTION_ISSR_208000430_1319" localSheetId="12">Ticker0024_Annotation_Sheet!$85:$85</definedName>
    <definedName name="A_SECTION_ISSR_208000430_131E" localSheetId="12">Ticker0024_Annotation_Sheet!$105:$105</definedName>
    <definedName name="A_SECTION_ISSR_208000430_131J" localSheetId="12">Ticker0024_Annotation_Sheet!$123:$123</definedName>
    <definedName name="A_SECTION_ISSR_208000430_131O" localSheetId="12">Ticker0024_Annotation_Sheet!$138:$138</definedName>
    <definedName name="A_SECTION_ISSR_208000430_136E" localSheetId="12">Ticker0024_Annotation_Sheet!$248:$248</definedName>
    <definedName name="A_SECTION_ISSR_208000430_13A" localSheetId="12">Ticker0024_Annotation_Sheet!$8:$8</definedName>
    <definedName name="A_SECTION_ISSR_208000430_13U" localSheetId="12">Ticker0024_Annotation_Sheet!$10:$10</definedName>
    <definedName name="A_SECTION_ISSR_208000430_13V" localSheetId="12">Ticker0024_Annotation_Sheet!$31:$31</definedName>
    <definedName name="A_SECTION_ISSR_208000430_Reference_Data" localSheetId="12">Ticker0024_Annotation_Sheet!$5:$5</definedName>
    <definedName name="A_TEMPLATEHASH" localSheetId="12">Ticker0024_Annotation_Sheet!$C$1</definedName>
    <definedName name="E_ALL_Ticker0024">#REF!</definedName>
    <definedName name="L_ALL_KEYWORDS_TYPE_ScalarContributed_EQTY_200001320" localSheetId="10">Ticker0024_Live_Sheet!$268:$276,Ticker0024_Live_Sheet!$318:$318,Ticker0024_Live_Sheet!$322:$324,Ticker0024_Live_Sheet!$329:$331</definedName>
    <definedName name="L_ALL_KEYWORDS_TYPE_ScalarContributed_ISSR_208000430" localSheetId="10">Ticker0024_Live_Sheet!$9:$9,Ticker0024_Live_Sheet!$39:$39,Ticker0024_Live_Sheet!$146:$146,Ticker0024_Live_Sheet!$148:$148,Ticker0024_Live_Sheet!$150:$150,Ticker0024_Live_Sheet!$152:$152,Ticker0024_Live_Sheet!$154:$154,Ticker0024_Live_Sheet!$156:$156,Ticker0024_Live_Sheet!$158:$158,Ticker0024_Live_Sheet!$160:$160,Ticker0024_Live_Sheet!$162:$162,Ticker0024_Live_Sheet!$164:$164</definedName>
    <definedName name="L_ALL_KEYWORDS_TYPE_ScalarReference_EQTY_200001320" localSheetId="10">Ticker0024_Live_Sheet!$261:$266</definedName>
    <definedName name="L_ALL_KEYWORDS_TYPE_ScalarReference_ISSR_208000430" localSheetId="10">Ticker0024_Live_Sheet!$6:$7</definedName>
    <definedName name="L_ALL_KEYWORDS_TYPE_Vector_EQTY_200001320" localSheetId="10">Ticker0024_Live_Sheet!$278:$293,Ticker0024_Live_Sheet!$295:$310,Ticker0024_Live_Sheet!$312:$312,Ticker0024_Live_Sheet!$314:$317,Ticker0024_Live_Sheet!$320:$320,Ticker0024_Live_Sheet!$325:$325,Ticker0024_Live_Sheet!$327:$327</definedName>
    <definedName name="L_ALL_KEYWORDS_TYPE_Vector_ISSR_208000430" localSheetId="10">Ticker0024_Live_Sheet!$2:$3,Ticker0024_Live_Sheet!$11:$30,Ticker0024_Live_Sheet!$32:$38,Ticker0024_Live_Sheet!$40:$52,Ticker0024_Live_Sheet!$54:$84,Ticker0024_Live_Sheet!$86:$104,Ticker0024_Live_Sheet!$106:$122,Ticker0024_Live_Sheet!$124:$137,Ticker0024_Live_Sheet!$139:$145,Ticker0024_Live_Sheet!$147:$147,Ticker0024_Live_Sheet!$149:$149,Ticker0024_Live_Sheet!$151:$151,Ticker0024_Live_Sheet!$153:$153,Ticker0024_Live_Sheet!$155:$155,Ticker0024_Live_Sheet!$157:$157,Ticker0024_Live_Sheet!$159:$159,Ticker0024_Live_Sheet!$161:$161,Ticker0024_Live_Sheet!$163:$163,Ticker0024_Live_Sheet!$165:$165,Ticker0024_Live_Sheet!$167:$228,Ticker0024_Live_Sheet!$230:$231,Ticker0024_Live_Sheet!$233:$247,Ticker0024_Live_Sheet!$249:$258</definedName>
    <definedName name="L_ALL_Ticker0024">Ticker0024_Live_Sheet!$A$1:$FT$331</definedName>
    <definedName name="L_ALL_PERIODS_Ticker0024" localSheetId="10">Ticker0024_Live_Sheet!$F$1:$FT$1</definedName>
    <definedName name="L_ALL_SECTION_KEYWORDS_EQTY_200001320_1314" localSheetId="10">Ticker0024_Live_Sheet!$C$320</definedName>
    <definedName name="L_ALL_SECTION_KEYWORDS_EQTY_200001320_1319" localSheetId="10">Ticker0024_Live_Sheet!$C$322:$C$325</definedName>
    <definedName name="L_ALL_SECTION_KEYWORDS_EQTY_200001320_131E" localSheetId="10">Ticker0024_Live_Sheet!$C$327</definedName>
    <definedName name="L_ALL_SECTION_KEYWORDS_EQTY_200001320_131O" localSheetId="10">Ticker0024_Live_Sheet!$C$329:$C$331</definedName>
    <definedName name="L_ALL_SECTION_KEYWORDS_EQTY_200001320_13A" localSheetId="10">Ticker0024_Live_Sheet!$C$268:$C$276</definedName>
    <definedName name="L_ALL_SECTION_KEYWORDS_EQTY_200001320_13K" localSheetId="10">Ticker0024_Live_Sheet!$C$278:$C$293</definedName>
    <definedName name="L_ALL_SECTION_KEYWORDS_EQTY_200001320_13U" localSheetId="10">Ticker0024_Live_Sheet!$C$295:$C$310</definedName>
    <definedName name="L_ALL_SECTION_KEYWORDS_EQTY_200001320_13V" localSheetId="10">Ticker0024_Live_Sheet!$C$312</definedName>
    <definedName name="L_ALL_SECTION_KEYWORDS_EQTY_200001320_13W" localSheetId="10">Ticker0024_Live_Sheet!$C$314:$C$318</definedName>
    <definedName name="L_ALL_SECTION_KEYWORDS_EQTY_200001320_Reference_Data" localSheetId="10">Ticker0024_Live_Sheet!$C$261:$C$266</definedName>
    <definedName name="L_ALL_SECTION_KEYWORDS_ISSR_208000430_1314" localSheetId="10">Ticker0024_Live_Sheet!$C$54:$C$84</definedName>
    <definedName name="L_ALL_SECTION_KEYWORDS_ISSR_208000430_13168" localSheetId="10">Ticker0024_Live_Sheet!$C$167:$C$228</definedName>
    <definedName name="L_ALL_SECTION_KEYWORDS_ISSR_208000430_1316T" localSheetId="10">Ticker0024_Live_Sheet!$C$230:$C$231</definedName>
    <definedName name="L_ALL_SECTION_KEYWORDS_ISSR_208000430_1316U" localSheetId="10">Ticker0024_Live_Sheet!$C$233:$C$247</definedName>
    <definedName name="L_ALL_SECTION_KEYWORDS_ISSR_208000430_1319" localSheetId="10">Ticker0024_Live_Sheet!$C$86:$C$104</definedName>
    <definedName name="L_ALL_SECTION_KEYWORDS_ISSR_208000430_131E" localSheetId="10">Ticker0024_Live_Sheet!$C$106:$C$122</definedName>
    <definedName name="L_ALL_SECTION_KEYWORDS_ISSR_208000430_131J" localSheetId="10">Ticker0024_Live_Sheet!$C$124:$C$137</definedName>
    <definedName name="L_ALL_SECTION_KEYWORDS_ISSR_208000430_131O" localSheetId="10">Ticker0024_Live_Sheet!$C$139:$C$165</definedName>
    <definedName name="L_ALL_SECTION_KEYWORDS_ISSR_208000430_136E" localSheetId="10">Ticker0024_Live_Sheet!$C$249:$C$258</definedName>
    <definedName name="L_ALL_SECTION_KEYWORDS_ISSR_208000430_13A" localSheetId="10">Ticker0024_Live_Sheet!$C$9</definedName>
    <definedName name="L_ALL_SECTION_KEYWORDS_ISSR_208000430_13U" localSheetId="10">Ticker0024_Live_Sheet!$C$11:$C$30</definedName>
    <definedName name="L_ALL_SECTION_KEYWORDS_ISSR_208000430_13V" localSheetId="10">Ticker0024_Live_Sheet!$C$32:$C$52</definedName>
    <definedName name="L_ALL_SECTION_KEYWORDS_ISSR_208000430_Reference_Data" localSheetId="10">Ticker0024_Live_Sheet!$C$6:$C$7</definedName>
    <definedName name="L_ALL_SECTIONS_EQTY_200001320" localSheetId="10">Ticker0024_Live_Sheet!$260:$260,Ticker0024_Live_Sheet!$267:$267,Ticker0024_Live_Sheet!$277:$277,Ticker0024_Live_Sheet!$294:$294,Ticker0024_Live_Sheet!$311:$311,Ticker0024_Live_Sheet!$313:$313,Ticker0024_Live_Sheet!$319:$319,Ticker0024_Live_Sheet!$321:$321,Ticker0024_Live_Sheet!$326:$326,Ticker0024_Live_Sheet!$328:$328</definedName>
    <definedName name="L_ALL_SECTIONS_ISSR_208000430" localSheetId="10">Ticker0024_Live_Sheet!$5:$5,Ticker0024_Live_Sheet!$8:$8,Ticker0024_Live_Sheet!$10:$10,Ticker0024_Live_Sheet!$31:$31,Ticker0024_Live_Sheet!$53:$53,Ticker0024_Live_Sheet!$85:$85,Ticker0024_Live_Sheet!$105:$105,Ticker0024_Live_Sheet!$123:$123,Ticker0024_Live_Sheet!$138:$138,Ticker0024_Live_Sheet!$166:$166,Ticker0024_Live_Sheet!$229:$229,Ticker0024_Live_Sheet!$232:$232,Ticker0024_Live_Sheet!$248:$248</definedName>
    <definedName name="L_CURRENCY_EQTY_200001320_PRI" localSheetId="10">Ticker0024_Live_Sheet!$E$265</definedName>
    <definedName name="L_CURRENCY_EQTY_200001320_PUB" localSheetId="10">Ticker0024_Live_Sheet!$E$264</definedName>
    <definedName name="L_CURRENCY_EQTY_200001320_REP" localSheetId="10">Ticker0024_Live_Sheet!$E$266</definedName>
    <definedName name="L_CURRENCY_ISSR_208000430_REP" localSheetId="10">Ticker0024_Live_Sheet!$E$7</definedName>
    <definedName name="L_ENTITY_DATA_EQTY_200001320" localSheetId="10">Ticker0024_Live_Sheet!$E$260:$FT$331</definedName>
    <definedName name="L_ENTITY_DATA_ISSR_208000430" localSheetId="10">Ticker0024_Live_Sheet!$E$5:$FT$258</definedName>
    <definedName name="L_KEYWORD_EQTY_200001320_AMER_LIST" localSheetId="10">Ticker0024_Live_Sheet!$268:$268</definedName>
    <definedName name="L_KEYWORD_EQTY_200001320_BETA_ANALYST" localSheetId="10">Ticker0024_Live_Sheet!$329:$329</definedName>
    <definedName name="L_KEYWORD_EQTY_200001320_BVPS" localSheetId="10">Ticker0024_Live_Sheet!$320:$320</definedName>
    <definedName name="L_KEYWORD_EQTY_200001320_BVPS_PUB" localSheetId="10">Ticker0024_Live_Sheet!$278:$278</definedName>
    <definedName name="L_KEYWORD_EQTY_200001320_CEEE_EPS" localSheetId="10">Ticker0024_Live_Sheet!$283:$283</definedName>
    <definedName name="L_KEYWORD_EQTY_200001320_CEEE_NDEBT" localSheetId="10">Ticker0024_Live_Sheet!$288:$288</definedName>
    <definedName name="L_KEYWORD_EQTY_200001320_CF_NI_PRE_PREF" localSheetId="10">Ticker0024_Live_Sheet!$327:$327</definedName>
    <definedName name="L_KEYWORD_EQTY_200001320_COMMON_DIV_PAID" localSheetId="10">Ticker0024_Live_Sheet!$306:$306</definedName>
    <definedName name="L_KEYWORD_EQTY_200001320_CURRENCY_ISO" localSheetId="10">Ticker0024_Live_Sheet!$266:$266</definedName>
    <definedName name="L_KEYWORD_EQTY_200001320_DILUTE_SHARES" localSheetId="10">Ticker0024_Live_Sheet!$309:$309</definedName>
    <definedName name="L_KEYWORD_EQTY_200001320_DPS" localSheetId="10">Ticker0024_Live_Sheet!$307:$307</definedName>
    <definedName name="L_KEYWORD_EQTY_200001320_DPS_PUB" localSheetId="10">Ticker0024_Live_Sheet!$279:$279</definedName>
    <definedName name="L_KEYWORD_EQTY_200001320_DPS_SPECIAL_PUB" localSheetId="10">Ticker0024_Live_Sheet!$280:$280</definedName>
    <definedName name="L_KEYWORD_EQTY_200001320_EBIT_PUB" localSheetId="10">Ticker0024_Live_Sheet!$290:$290</definedName>
    <definedName name="L_KEYWORD_EQTY_200001320_EBITDA_PUB" localSheetId="10">Ticker0024_Live_Sheet!$281:$281</definedName>
    <definedName name="L_KEYWORD_EQTY_200001320_EPS" localSheetId="10">Ticker0024_Live_Sheet!$302:$302</definedName>
    <definedName name="L_KEYWORD_EQTY_200001320_EPS_EX_ESO_B" localSheetId="10">Ticker0024_Live_Sheet!$316:$316</definedName>
    <definedName name="L_KEYWORD_EQTY_200001320_EPS_EX_ESO_D" localSheetId="10">Ticker0024_Live_Sheet!$317:$317</definedName>
    <definedName name="L_KEYWORD_EQTY_200001320_EPS_FUL_DIL" localSheetId="10">Ticker0024_Live_Sheet!$303:$303</definedName>
    <definedName name="L_KEYWORD_EQTY_200001320_EPS_POST_BASIC" localSheetId="10">Ticker0024_Live_Sheet!$304:$304</definedName>
    <definedName name="L_KEYWORD_EQTY_200001320_EPS_PUB" localSheetId="10">Ticker0024_Live_Sheet!$282:$282</definedName>
    <definedName name="L_KEYWORD_EQTY_200001320_EPS_PUB_EX_ESO" localSheetId="10">Ticker0024_Live_Sheet!$284:$284</definedName>
    <definedName name="L_KEYWORD_EQTY_200001320_EQ_PUB" localSheetId="10">Ticker0024_Live_Sheet!$293:$293</definedName>
    <definedName name="L_KEYWORD_EQTY_200001320_ESO_POST_TAX" localSheetId="10">Ticker0024_Live_Sheet!$315:$315</definedName>
    <definedName name="L_KEYWORD_EQTY_200001320_ESO_YEAR" localSheetId="10">Ticker0024_Live_Sheet!$318:$318</definedName>
    <definedName name="L_KEYWORD_EQTY_200001320_EV_ADJ_PUB" localSheetId="10">Ticker0024_Live_Sheet!$285:$285</definedName>
    <definedName name="L_KEYWORD_EQTY_200001320_FREE_FLOAT" localSheetId="10">Ticker0024_Live_Sheet!$276:$276</definedName>
    <definedName name="L_KEYWORD_EQTY_200001320_FULLY_DIL_EPS" localSheetId="10">Ticker0024_Live_Sheet!$305:$305</definedName>
    <definedName name="L_KEYWORD_EQTY_200001320_FV_GRANT" localSheetId="10">Ticker0024_Live_Sheet!$314:$314</definedName>
    <definedName name="L_KEYWORD_EQTY_200001320_INC_MINORITY" localSheetId="10">Ticker0024_Live_Sheet!$296:$296</definedName>
    <definedName name="L_KEYWORD_EQTY_200001320_Interim_Type" localSheetId="10">Ticker0024_Live_Sheet!$263:$263</definedName>
    <definedName name="L_KEYWORD_EQTY_200001320_LEGAL_RATING" localSheetId="10">Ticker0024_Live_Sheet!$270:$270</definedName>
    <definedName name="L_KEYWORD_EQTY_200001320_MARGIN_TAX_RATE" localSheetId="10">Ticker0024_Live_Sheet!$312:$312</definedName>
    <definedName name="L_KEYWORD_EQTY_200001320_MKT_EQ_RISK_PREM" localSheetId="10">Ticker0024_Live_Sheet!$330:$330</definedName>
    <definedName name="L_KEYWORD_EQTY_200001320_NET_DEBT_EX_LEASES_PUB" localSheetId="10">Ticker0024_Live_Sheet!$287:$287</definedName>
    <definedName name="L_KEYWORD_EQTY_200001320_NET_DEBT_PUB" localSheetId="10">Ticker0024_Live_Sheet!$286:$286</definedName>
    <definedName name="L_KEYWORD_EQTY_200001320_NET_EARNING" localSheetId="10">Ticker0024_Live_Sheet!$299:$299</definedName>
    <definedName name="L_KEYWORD_EQTY_200001320_NET_INC" localSheetId="10">Ticker0024_Live_Sheet!$301:$301</definedName>
    <definedName name="L_KEYWORD_EQTY_200001320_NI_PRE_PREF" localSheetId="10">Ticker0024_Live_Sheet!$297:$297</definedName>
    <definedName name="L_KEYWORD_EQTY_200001320_NI_PUB" localSheetId="10">Ticker0024_Live_Sheet!$289:$289</definedName>
    <definedName name="L_KEYWORD_EQTY_200001320_NON_OP_ADD" localSheetId="10">Ticker0024_Live_Sheet!$310:$310</definedName>
    <definedName name="L_KEYWORD_EQTY_200001320_NOT_IN_USE" localSheetId="10">Ticker0024_Live_Sheet!$269:$269</definedName>
    <definedName name="L_KEYWORD_EQTY_200001320_NUM_SH" localSheetId="10">Ticker0024_Live_Sheet!$275:$275</definedName>
    <definedName name="L_KEYWORD_EQTY_200001320_PREF_DIV" localSheetId="10">Ticker0024_Live_Sheet!$298:$298</definedName>
    <definedName name="L_KEYWORD_EQTY_200001320_PRICE_CURRENCY_ISO" localSheetId="10">Ticker0024_Live_Sheet!$265:$265</definedName>
    <definedName name="L_KEYWORD_EQTY_200001320_PROV_INC_TAX" localSheetId="10">Ticker0024_Live_Sheet!$295:$295</definedName>
    <definedName name="L_KEYWORD_EQTY_200001320_PTP_PUB" localSheetId="10">Ticker0024_Live_Sheet!$291:$291</definedName>
    <definedName name="L_KEYWORD_EQTY_200001320_PUB_CURRENCY_ISO" localSheetId="10">Ticker0024_Live_Sheet!$264:$264</definedName>
    <definedName name="L_KEYWORD_EQTY_200001320_REPUR_ACTUAL" localSheetId="10">Ticker0024_Live_Sheet!$325:$325</definedName>
    <definedName name="L_KEYWORD_EQTY_200001320_REPUR_REMAINING" localSheetId="10">Ticker0024_Live_Sheet!$323:$323</definedName>
    <definedName name="L_KEYWORD_EQTY_200001320_REPUR_SUSPENDED" localSheetId="10">Ticker0024_Live_Sheet!$324:$324</definedName>
    <definedName name="L_KEYWORD_EQTY_200001320_REPUR_TOT_AUTH" localSheetId="10">Ticker0024_Live_Sheet!$322:$322</definedName>
    <definedName name="L_KEYWORD_EQTY_200001320_REVS_PUB" localSheetId="10">Ticker0024_Live_Sheet!$292:$292</definedName>
    <definedName name="L_KEYWORD_EQTY_200001320_RISK_FR_RATE" localSheetId="10">Ticker0024_Live_Sheet!$331:$331</definedName>
    <definedName name="L_KEYWORD_EQTY_200001320_Security_Name" localSheetId="10">Ticker0024_Live_Sheet!$262:$262</definedName>
    <definedName name="L_KEYWORD_EQTY_200001320_SH" localSheetId="10">Ticker0024_Live_Sheet!$308:$308</definedName>
    <definedName name="L_KEYWORD_EQTY_200001320_TARGET_PRICE" localSheetId="10">Ticker0024_Live_Sheet!$271:$271</definedName>
    <definedName name="L_KEYWORD_EQTY_200001320_TARGET_PRICE_FUNDAMENTAL" localSheetId="10">Ticker0024_Live_Sheet!$273:$273</definedName>
    <definedName name="L_KEYWORD_EQTY_200001320_TARGET_PRICE_MA" localSheetId="10">Ticker0024_Live_Sheet!$274:$274</definedName>
    <definedName name="L_KEYWORD_EQTY_200001320_TAX_EXC" localSheetId="10">Ticker0024_Live_Sheet!$300:$300</definedName>
    <definedName name="L_KEYWORD_EQTY_200001320_Ticker" localSheetId="10">Ticker0024_Live_Sheet!$261:$261</definedName>
    <definedName name="L_KEYWORD_EQTY_200001320_TP_PERIOD" localSheetId="10">Ticker0024_Live_Sheet!$272:$272</definedName>
    <definedName name="L_KEYWORD_ISSR_208000430_ACC_AMORT" localSheetId="10">Ticker0024_Live_Sheet!$63:$63</definedName>
    <definedName name="L_KEYWORD_ISSR_208000430_ACC_DDA" localSheetId="10">Ticker0024_Live_Sheet!$60:$60</definedName>
    <definedName name="L_KEYWORD_ISSR_208000430_ACC_END_DATE" localSheetId="10">Ticker0024_Live_Sheet!$3:$3</definedName>
    <definedName name="L_KEYWORD_ISSR_208000430_ACC_PAY_GQ" localSheetId="10">Ticker0024_Live_Sheet!$69:$69</definedName>
    <definedName name="L_KEYWORD_ISSR_208000430_ACQ" localSheetId="10">Ticker0024_Live_Sheet!$112:$112</definedName>
    <definedName name="L_KEYWORD_ISSR_208000430_ADJ_UNF_PENS_GOOD" localSheetId="10">Ticker0024_Live_Sheet!$100:$100</definedName>
    <definedName name="L_KEYWORD_ISSR_208000430_ASSOC_JV_ADDBK" localSheetId="10">Ticker0024_Live_Sheet!$124:$124</definedName>
    <definedName name="L_KEYWORD_ISSR_208000430_ASSOCIATE" localSheetId="10">Ticker0024_Live_Sheet!$27:$27</definedName>
    <definedName name="L_KEYWORD_ISSR_208000430_ASSOCIATE_OP" localSheetId="10">Ticker0024_Live_Sheet!$36:$36</definedName>
    <definedName name="L_KEYWORD_ISSR_208000430_BAL_MINO_INT" localSheetId="10">Ticker0024_Live_Sheet!$103:$103</definedName>
    <definedName name="L_KEYWORD_ISSR_208000430_CAP_LEASES" localSheetId="10">Ticker0024_Live_Sheet!$91:$91</definedName>
    <definedName name="L_KEYWORD_ISSR_208000430_CAPEX" localSheetId="10">Ticker0024_Live_Sheet!$111:$111</definedName>
    <definedName name="L_KEYWORD_ISSR_208000430_CAPEX_EXPANSION" localSheetId="10">Ticker0024_Live_Sheet!$134:$134</definedName>
    <definedName name="L_KEYWORD_ISSR_208000430_CAPEX_MAINTENANCE" localSheetId="10">Ticker0024_Live_Sheet!$133:$133</definedName>
    <definedName name="L_KEYWORD_ISSR_208000430_CASH_EQ" localSheetId="10">Ticker0024_Live_Sheet!$54:$54</definedName>
    <definedName name="L_KEYWORD_ISSR_208000430_CASH_INT_EXP" localSheetId="10">Ticker0024_Live_Sheet!$130:$130</definedName>
    <definedName name="L_KEYWORD_ISSR_208000430_CASH_PCT_OS_US" localSheetId="10">Ticker0024_Live_Sheet!$226:$226</definedName>
    <definedName name="L_KEYWORD_ISSR_208000430_CASH_TAX_EXP" localSheetId="10">Ticker0024_Live_Sheet!$131:$131</definedName>
    <definedName name="L_KEYWORD_ISSR_208000430_CF_FIN" localSheetId="10">Ticker0024_Live_Sheet!$121:$121</definedName>
    <definedName name="L_KEYWORD_ISSR_208000430_CF_INC_MINORITY" localSheetId="10">Ticker0024_Live_Sheet!$106:$106</definedName>
    <definedName name="L_KEYWORD_ISSR_208000430_CF_INV" localSheetId="10">Ticker0024_Live_Sheet!$115:$115</definedName>
    <definedName name="L_KEYWORD_ISSR_208000430_CF_OPS" localSheetId="10">Ticker0024_Live_Sheet!$110:$110</definedName>
    <definedName name="L_KEYWORD_ISSR_208000430_CHG_DEF_TAX_CF" localSheetId="10">Ticker0024_Live_Sheet!$128:$128</definedName>
    <definedName name="L_KEYWORD_ISSR_208000430_CHG_LT_DEBT" localSheetId="10">Ticker0024_Live_Sheet!$118:$118</definedName>
    <definedName name="L_KEYWORD_ISSR_208000430_CO_BOR_MARGIN" localSheetId="10">Ticker0024_Live_Sheet!$96:$96</definedName>
    <definedName name="L_KEYWORD_ISSR_208000430_COGS_N_GAAP" localSheetId="10">Ticker0024_Live_Sheet!$45:$45</definedName>
    <definedName name="L_KEYWORD_ISSR_208000430_COGS_PCT_ROW" localSheetId="10">Ticker0024_Live_Sheet!$217:$217</definedName>
    <definedName name="L_KEYWORD_ISSR_208000430_COGS_PCT_US" localSheetId="10">Ticker0024_Live_Sheet!$216:$216</definedName>
    <definedName name="L_KEYWORD_ISSR_208000430_COST_GD_SD" localSheetId="10">Ticker0024_Live_Sheet!$12:$12</definedName>
    <definedName name="L_KEYWORD_ISSR_208000430_CUR_ASS" localSheetId="10">Ticker0024_Live_Sheet!$58:$58</definedName>
    <definedName name="L_KEYWORD_ISSR_208000430_CUR_REM_PERF_OBLIG" localSheetId="10">Ticker0024_Live_Sheet!$145:$145</definedName>
    <definedName name="L_KEYWORD_ISSR_208000430_CURRENCY_ISO" localSheetId="10">Ticker0024_Live_Sheet!$7:$7</definedName>
    <definedName name="L_KEYWORD_ISSR_208000430_DEBTORS" localSheetId="10">Ticker0024_Live_Sheet!$55:$55</definedName>
    <definedName name="L_KEYWORD_ISSR_208000430_DEF_INC_TAX" localSheetId="10">Ticker0024_Live_Sheet!$92:$92</definedName>
    <definedName name="L_KEYWORD_ISSR_208000430_DEPR_AMORT" localSheetId="10">Ticker0024_Live_Sheet!$107:$107</definedName>
    <definedName name="L_KEYWORD_ISSR_208000430_DEPR_ROU_ASSETS" localSheetId="10">Ticker0024_Live_Sheet!$37:$37</definedName>
    <definedName name="L_KEYWORD_ISSR_208000430_DEPREC" localSheetId="10">Ticker0024_Live_Sheet!$21:$21</definedName>
    <definedName name="L_KEYWORD_ISSR_208000430_DIV_PAID" localSheetId="10">Ticker0024_Live_Sheet!$116:$116</definedName>
    <definedName name="L_KEYWORD_ISSR_208000430_DIVDS_ASSOC_JV" localSheetId="10">Ticker0024_Live_Sheet!$132:$132</definedName>
    <definedName name="L_KEYWORD_ISSR_208000430_DIVDS_PD_MINORITIES" localSheetId="10">Ticker0024_Live_Sheet!$136:$136</definedName>
    <definedName name="L_KEYWORD_ISSR_208000430_DIVEST" localSheetId="10">Ticker0024_Live_Sheet!$113:$113</definedName>
    <definedName name="L_KEYWORD_ISSR_208000430_EBIT" localSheetId="10">Ticker0024_Live_Sheet!$23:$23</definedName>
    <definedName name="L_KEYWORD_ISSR_208000430_EBIT_FIN_SEGMENT" localSheetId="10">Ticker0024_Live_Sheet!$228:$228</definedName>
    <definedName name="L_KEYWORD_ISSR_208000430_EBITDA_CALC" localSheetId="10">Ticker0024_Live_Sheet!$20:$20</definedName>
    <definedName name="L_KEYWORD_ISSR_208000430_EMPLOYEES" localSheetId="10">Ticker0024_Live_Sheet!$141:$141</definedName>
    <definedName name="L_KEYWORD_ISSR_208000430_EQ" localSheetId="10">Ticker0024_Live_Sheet!$83:$83</definedName>
    <definedName name="L_KEYWORD_ISSR_208000430_ESO_PRE_TAX" localSheetId="10">Ticker0024_Live_Sheet!$16:$16</definedName>
    <definedName name="L_KEYWORD_ISSR_208000430_EXP_OIL_DERIV_NGLS_PLASTICS" localSheetId="10">Ticker0024_Live_Sheet!$231:$231</definedName>
    <definedName name="L_KEYWORD_ISSR_208000430_EXP_OIL_PETRO_FUEL" localSheetId="10">Ticker0024_Live_Sheet!$230:$230</definedName>
    <definedName name="L_KEYWORD_ISSR_208000430_FCF_UNLEVERED" localSheetId="10">Ticker0024_Live_Sheet!$137:$137</definedName>
    <definedName name="L_KEYWORD_ISSR_208000430_FIX_ASS_INV" localSheetId="10">Ticker0024_Live_Sheet!$65:$65</definedName>
    <definedName name="L_KEYWORD_ISSR_208000430_FLOATING_PCT_LOCAL_DEBT" localSheetId="10">Ticker0024_Live_Sheet!$88:$88</definedName>
    <definedName name="L_KEYWORD_ISSR_208000430_FLOATING_PCT_LOCAL_DEBT_HEDGED" localSheetId="10">Ticker0024_Live_Sheet!$89:$89</definedName>
    <definedName name="L_KEYWORD_ISSR_208000430_GCI_INFL" localSheetId="10">Ticker0024_Live_Sheet!$102:$102</definedName>
    <definedName name="L_KEYWORD_ISSR_208000430_GEN_ADMIN_N_GAAP" localSheetId="10">Ticker0024_Live_Sheet!$47:$47</definedName>
    <definedName name="L_KEYWORD_ISSR_208000430_GOODWILL_AMORT" localSheetId="10">Ticker0024_Live_Sheet!$22:$22</definedName>
    <definedName name="L_KEYWORD_ISSR_208000430_GR_FIX_ASS" localSheetId="10">Ticker0024_Live_Sheet!$59:$59</definedName>
    <definedName name="L_KEYWORD_ISSR_208000430_GR_INTANG" localSheetId="10">Ticker0024_Live_Sheet!$62:$62</definedName>
    <definedName name="L_KEYWORD_ISSR_208000430_GROSS_PROFIT_N_GAAP" localSheetId="10">Ticker0024_Live_Sheet!$46:$46</definedName>
    <definedName name="L_KEYWORD_ISSR_208000430_INT_EXP_IND" localSheetId="10">Ticker0024_Live_Sheet!$25:$25</definedName>
    <definedName name="L_KEYWORD_ISSR_208000430_INT_INC_IND" localSheetId="10">Ticker0024_Live_Sheet!$24:$24</definedName>
    <definedName name="L_KEYWORD_ISSR_208000430_INV_SECUR" localSheetId="10">Ticker0024_Live_Sheet!$66:$66</definedName>
    <definedName name="L_KEYWORD_ISSR_208000430_Issuer_Name" localSheetId="10">Ticker0024_Live_Sheet!$6:$6</definedName>
    <definedName name="L_KEYWORD_ISSR_208000430_LEASE_ADOPT" localSheetId="10">Ticker0024_Live_Sheet!$39:$39</definedName>
    <definedName name="L_KEYWORD_ISSR_208000430_LEASE_DEEM_DEPR" localSheetId="10">Ticker0024_Live_Sheet!$34:$34</definedName>
    <definedName name="L_KEYWORD_ISSR_208000430_LEASE_DEEM_INT" localSheetId="10">Ticker0024_Live_Sheet!$33:$33</definedName>
    <definedName name="L_KEYWORD_ISSR_208000430_LEASE_INT_CHG" localSheetId="10">Ticker0024_Live_Sheet!$38:$38</definedName>
    <definedName name="L_KEYWORD_ISSR_208000430_LEASE_PAY" localSheetId="10">Ticker0024_Live_Sheet!$32:$32</definedName>
    <definedName name="L_KEYWORD_ISSR_208000430_LEASE_PRINCIPAL_CASH" localSheetId="10">Ticker0024_Live_Sheet!$119:$119</definedName>
    <definedName name="L_KEYWORD_ISSR_208000430_LICENSE_REV" localSheetId="10">Ticker0024_Live_Sheet!$139:$139</definedName>
    <definedName name="L_KEYWORD_ISSR_208000430_LT_DEBT" localSheetId="10">Ticker0024_Live_Sheet!$75:$75</definedName>
    <definedName name="L_KEYWORD_ISSR_208000430_LT_LEASE_LIAB" localSheetId="10">Ticker0024_Live_Sheet!$76:$76</definedName>
    <definedName name="L_KEYWORD_ISSR_208000430_MA_PROB" localSheetId="10">Ticker0024_Live_Sheet!$9:$9</definedName>
    <definedName name="L_KEYWORD_ISSR_208000430_MAINTEN_REV" localSheetId="10">Ticker0024_Live_Sheet!$140:$140</definedName>
    <definedName name="L_KEYWORD_ISSR_208000430_MINORITIES" localSheetId="10">Ticker0024_Live_Sheet!$82:$82</definedName>
    <definedName name="L_KEYWORD_ISSR_208000430_MV_ASSOCIATES" localSheetId="10">Ticker0024_Live_Sheet!$94:$94</definedName>
    <definedName name="L_KEYWORD_ISSR_208000430_NET_DEBT" localSheetId="10">Ticker0024_Live_Sheet!$90:$90</definedName>
    <definedName name="L_KEYWORD_ISSR_208000430_NET_DEBT_ADJ" localSheetId="10">Ticker0024_Live_Sheet!$95:$95</definedName>
    <definedName name="L_KEYWORD_ISSR_208000430_NET_FIX_ASS" localSheetId="10">Ticker0024_Live_Sheet!$61:$61</definedName>
    <definedName name="L_KEYWORD_ISSR_208000430_NET_INC_N_GAAP" localSheetId="10">Ticker0024_Live_Sheet!$52:$52</definedName>
    <definedName name="L_KEYWORD_ISSR_208000430_NET_INT_CH" localSheetId="10">Ticker0024_Live_Sheet!$35:$35</definedName>
    <definedName name="L_KEYWORD_ISSR_208000430_NET_INT_EXP" localSheetId="10">Ticker0024_Live_Sheet!$26:$26</definedName>
    <definedName name="L_KEYWORD_ISSR_208000430_NET_INTANG" localSheetId="10">Ticker0024_Live_Sheet!$64:$64</definedName>
    <definedName name="L_KEYWORD_ISSR_208000430_NET_OP_LOSS_CFWD" localSheetId="10">Ticker0024_Live_Sheet!$93:$93</definedName>
    <definedName name="L_KEYWORD_ISSR_208000430_NONPPE_CAPEX" localSheetId="10">Ticker0024_Live_Sheet!$135:$135</definedName>
    <definedName name="L_KEYWORD_ISSR_208000430_OP_COST" localSheetId="10">Ticker0024_Live_Sheet!$14:$14</definedName>
    <definedName name="L_KEYWORD_ISSR_208000430_OP_INC_N_GAAP" localSheetId="10">Ticker0024_Live_Sheet!$51:$51</definedName>
    <definedName name="L_KEYWORD_ISSR_208000430_OPS_EXP_N_GAAP" localSheetId="10">Ticker0024_Live_Sheet!$50:$50</definedName>
    <definedName name="L_KEYWORD_ISSR_208000430_ORD_SH_FUND" localSheetId="10">Ticker0024_Live_Sheet!$81:$81</definedName>
    <definedName name="L_KEYWORD_ISSR_208000430_OTH_ADJ_CASH_TAX" localSheetId="10">Ticker0024_Live_Sheet!$129:$129</definedName>
    <definedName name="L_KEYWORD_ISSR_208000430_OTH_COST_INC" localSheetId="10">Ticker0024_Live_Sheet!$29:$29</definedName>
    <definedName name="L_KEYWORD_ISSR_208000430_OTH_CUR_ASS" localSheetId="10">Ticker0024_Live_Sheet!$57:$57</definedName>
    <definedName name="L_KEYWORD_ISSR_208000430_OTH_CUR_LIABS" localSheetId="10">Ticker0024_Live_Sheet!$72:$72</definedName>
    <definedName name="L_KEYWORD_ISSR_208000430_OTH_DACF_ADJ" localSheetId="10">Ticker0024_Live_Sheet!$127:$127</definedName>
    <definedName name="L_KEYWORD_ISSR_208000430_OTH_FIN_CF" localSheetId="10">Ticker0024_Live_Sheet!$120:$120</definedName>
    <definedName name="L_KEYWORD_ISSR_208000430_OTH_GCI_ADJ" localSheetId="10">Ticker0024_Live_Sheet!$101:$101</definedName>
    <definedName name="L_KEYWORD_ISSR_208000430_OTH_INV_CF" localSheetId="10">Ticker0024_Live_Sheet!$114:$114</definedName>
    <definedName name="L_KEYWORD_ISSR_208000430_OTH_LT_ASS" localSheetId="10">Ticker0024_Live_Sheet!$67:$67</definedName>
    <definedName name="L_KEYWORD_ISSR_208000430_OTH_LT_CRED_GQ" localSheetId="10">Ticker0024_Live_Sheet!$77:$77</definedName>
    <definedName name="L_KEYWORD_ISSR_208000430_OTH_NONCASH_ADJ" localSheetId="10">Ticker0024_Live_Sheet!$126:$126</definedName>
    <definedName name="L_KEYWORD_ISSR_208000430_OTH_OP_CF" localSheetId="10">Ticker0024_Live_Sheet!$109:$109</definedName>
    <definedName name="L_KEYWORD_ISSR_208000430_OTH_OP_INC_EXP" localSheetId="10">Ticker0024_Live_Sheet!$17:$17</definedName>
    <definedName name="L_KEYWORD_ISSR_208000430_PERIOD_MILESTONE" localSheetId="10">Ticker0024_Live_Sheet!$2:$2</definedName>
    <definedName name="L_KEYWORD_ISSR_208000430_PL_SALE_ASSETS" localSheetId="10">Ticker0024_Live_Sheet!$125:$125</definedName>
    <definedName name="L_KEYWORD_ISSR_208000430_PREF_SH" localSheetId="10">Ticker0024_Live_Sheet!$80:$80</definedName>
    <definedName name="L_KEYWORD_ISSR_208000430_PROFIT_ON_DISP" localSheetId="10">Ticker0024_Live_Sheet!$28:$28</definedName>
    <definedName name="L_KEYWORD_ISSR_208000430_PT_PROF" localSheetId="10">Ticker0024_Live_Sheet!$30:$30</definedName>
    <definedName name="L_KEYWORD_ISSR_208000430_RD_EXP" localSheetId="10">Ticker0024_Live_Sheet!$15:$15</definedName>
    <definedName name="L_KEYWORD_ISSR_208000430_RD_N_GAAP" localSheetId="10">Ticker0024_Live_Sheet!$49:$49</definedName>
    <definedName name="L_KEYWORD_ISSR_208000430_REM_PERF_OBLIG" localSheetId="10">Ticker0024_Live_Sheet!$144:$144</definedName>
    <definedName name="L_KEYWORD_ISSR_208000430_REV_FIN_SEGMENT" localSheetId="10">Ticker0024_Live_Sheet!$227:$227</definedName>
    <definedName name="L_KEYWORD_ISSR_208000430_ROU_ASSET" localSheetId="10">Ticker0024_Live_Sheet!$104:$104</definedName>
    <definedName name="L_KEYWORD_ISSR_208000430_SALES" localSheetId="10">Ticker0024_Live_Sheet!$11:$11</definedName>
    <definedName name="L_KEYWORD_ISSR_208000430_SALES_ARGENTINA" localSheetId="10">Ticker0024_Live_Sheet!$170:$170</definedName>
    <definedName name="L_KEYWORD_ISSR_208000430_SALES_AUSTRA" localSheetId="10">Ticker0024_Live_Sheet!$213:$213</definedName>
    <definedName name="L_KEYWORD_ISSR_208000430_SALES_AUSTRIA" localSheetId="10">Ticker0024_Live_Sheet!$177:$177</definedName>
    <definedName name="L_KEYWORD_ISSR_208000430_SALES_COMPANY0377" localSheetId="10">Ticker0024_Live_Sheet!$178:$178</definedName>
    <definedName name="L_KEYWORD_ISSR_208000430_SALES_BRAZIL" localSheetId="10">Ticker0024_Live_Sheet!$171:$171</definedName>
    <definedName name="L_KEYWORD_ISSR_208000430_SALES_CANADA" localSheetId="10">Ticker0024_Live_Sheet!$167:$167</definedName>
    <definedName name="L_KEYWORD_ISSR_208000430_SALES_CEE" localSheetId="10">Ticker0024_Live_Sheet!$253:$253</definedName>
    <definedName name="L_KEYWORD_ISSR_208000430_SALES_CHILE" localSheetId="10">Ticker0024_Live_Sheet!$172:$172</definedName>
    <definedName name="L_KEYWORD_ISSR_208000430_SALES_CHINA" localSheetId="10">Ticker0024_Live_Sheet!$208:$208</definedName>
    <definedName name="L_KEYWORD_ISSR_208000430_SALES_COLOMBIA" localSheetId="10">Ticker0024_Live_Sheet!$173:$173</definedName>
    <definedName name="L_KEYWORD_ISSR_208000430_SALES_CONS" localSheetId="10">Ticker0024_Live_Sheet!$220:$220</definedName>
    <definedName name="L_KEYWORD_ISSR_208000430_SALES_EU_EX_UK" localSheetId="10">Ticker0024_Live_Sheet!$252:$252</definedName>
    <definedName name="L_KEYWORD_ISSR_208000430_SALES_FINAN" localSheetId="10">Ticker0024_Live_Sheet!$223:$223</definedName>
    <definedName name="L_KEYWORD_ISSR_208000430_SALES_FRA" localSheetId="10">Ticker0024_Live_Sheet!$179:$179</definedName>
    <definedName name="L_KEYWORD_ISSR_208000430_SALES_FX_ARS" localSheetId="10">Ticker0024_Live_Sheet!$244:$244</definedName>
    <definedName name="L_KEYWORD_ISSR_208000430_SALES_FX_BRL" localSheetId="10">Ticker0024_Live_Sheet!$237:$237</definedName>
    <definedName name="L_KEYWORD_ISSR_208000430_SALES_FX_CAD" localSheetId="10">Ticker0024_Live_Sheet!$241:$241</definedName>
    <definedName name="L_KEYWORD_ISSR_208000430_SALES_FX_CLP" localSheetId="10">Ticker0024_Live_Sheet!$245:$245</definedName>
    <definedName name="L_KEYWORD_ISSR_208000430_SALES_FX_CNY" localSheetId="10">Ticker0024_Live_Sheet!$239:$239</definedName>
    <definedName name="L_KEYWORD_ISSR_208000430_SALES_FX_COP" localSheetId="10">Ticker0024_Live_Sheet!$243:$243</definedName>
    <definedName name="L_KEYWORD_ISSR_208000430_SALES_FX_EUR" localSheetId="10">Ticker0024_Live_Sheet!$234:$234</definedName>
    <definedName name="L_KEYWORD_ISSR_208000430_SALES_FX_GPB" localSheetId="10">Ticker0024_Live_Sheet!$233:$233</definedName>
    <definedName name="L_KEYWORD_ISSR_208000430_SALES_FX_INR" localSheetId="10">Ticker0024_Live_Sheet!$240:$240</definedName>
    <definedName name="L_KEYWORD_ISSR_208000430_SALES_FX_MXN" localSheetId="10">Ticker0024_Live_Sheet!$242:$242</definedName>
    <definedName name="L_KEYWORD_ISSR_208000430_SALES_FX_OTH" localSheetId="10">Ticker0024_Live_Sheet!$247:$247</definedName>
    <definedName name="L_KEYWORD_ISSR_208000430_SALES_FX_RUB" localSheetId="10">Ticker0024_Live_Sheet!$235:$235</definedName>
    <definedName name="L_KEYWORD_ISSR_208000430_SALES_FX_USD" localSheetId="10">Ticker0024_Live_Sheet!$236:$236</definedName>
    <definedName name="L_KEYWORD_ISSR_208000430_SALES_FX_VEF" localSheetId="10">Ticker0024_Live_Sheet!$246:$246</definedName>
    <definedName name="L_KEYWORD_ISSR_208000430_SALES_FX_YEN" localSheetId="10">Ticker0024_Live_Sheet!$238:$238</definedName>
    <definedName name="L_KEYWORD_ISSR_208000430_SALES_GER" localSheetId="10">Ticker0024_Live_Sheet!$180:$180</definedName>
    <definedName name="L_KEYWORD_ISSR_208000430_SALES_GOV" localSheetId="10">Ticker0024_Live_Sheet!$222:$222</definedName>
    <definedName name="L_KEYWORD_ISSR_208000430_SALES_GRE" localSheetId="10">Ticker0024_Live_Sheet!$181:$181</definedName>
    <definedName name="L_KEYWORD_ISSR_208000430_SALES_HONG_KONG" localSheetId="10">Ticker0024_Live_Sheet!$202:$202</definedName>
    <definedName name="L_KEYWORD_ISSR_208000430_SALES_IND" localSheetId="10">Ticker0024_Live_Sheet!$221:$221</definedName>
    <definedName name="L_KEYWORD_ISSR_208000430_SALES_INDIA" localSheetId="10">Ticker0024_Live_Sheet!$209:$209</definedName>
    <definedName name="L_KEYWORD_ISSR_208000430_SALES_INDONESIA" localSheetId="10">Ticker0024_Live_Sheet!$210:$210</definedName>
    <definedName name="L_KEYWORD_ISSR_208000430_SALES_IRE" localSheetId="10">Ticker0024_Live_Sheet!$182:$182</definedName>
    <definedName name="L_KEYWORD_ISSR_208000430_SALES_ITA" localSheetId="10">Ticker0024_Live_Sheet!$183:$183</definedName>
    <definedName name="L_KEYWORD_ISSR_208000430_SALES_JAPAN" localSheetId="10">Ticker0024_Live_Sheet!$203:$203</definedName>
    <definedName name="L_KEYWORD_ISSR_208000430_SALES_MARKETING_N_GAAP" localSheetId="10">Ticker0024_Live_Sheet!$48:$48</definedName>
    <definedName name="L_KEYWORD_ISSR_208000430_SALES_ME" localSheetId="10">Ticker0024_Live_Sheet!$254:$254</definedName>
    <definedName name="L_KEYWORD_ISSR_208000430_SALES_MEXICO" localSheetId="10">Ticker0024_Live_Sheet!$174:$174</definedName>
    <definedName name="L_KEYWORD_ISSR_208000430_SALES_NETH" localSheetId="10">Ticker0024_Live_Sheet!$184:$184</definedName>
    <definedName name="L_KEYWORD_ISSR_208000430_SALES_NIGERIA" localSheetId="10">Ticker0024_Live_Sheet!$199:$199</definedName>
    <definedName name="L_KEYWORD_ISSR_208000430_SALES_NOR" localSheetId="10">Ticker0024_Live_Sheet!$185:$185</definedName>
    <definedName name="L_KEYWORD_ISSR_208000430_SALES_NZ" localSheetId="10">Ticker0024_Live_Sheet!$214:$214</definedName>
    <definedName name="L_KEYWORD_ISSR_208000430_SALES_OIL_GAS" localSheetId="10">Ticker0024_Live_Sheet!$224:$224</definedName>
    <definedName name="L_KEYWORD_ISSR_208000430_SALES_OTH_AEJ" localSheetId="10">Ticker0024_Live_Sheet!$258:$258</definedName>
    <definedName name="L_KEYWORD_ISSR_208000430_SALES_OTH_AFRICA" localSheetId="10">Ticker0024_Live_Sheet!$201:$201</definedName>
    <definedName name="L_KEYWORD_ISSR_208000430_SALES_OTH_AM" localSheetId="10">Ticker0024_Live_Sheet!$250:$250</definedName>
    <definedName name="L_KEYWORD_ISSR_208000430_SALES_OTH_CEE" localSheetId="10">Ticker0024_Live_Sheet!$195:$195</definedName>
    <definedName name="L_KEYWORD_ISSR_208000430_SALES_OTH_DEV_ASIA" localSheetId="10">Ticker0024_Live_Sheet!$207:$207</definedName>
    <definedName name="L_KEYWORD_ISSR_208000430_SALES_OTH_EMEA" localSheetId="10">Ticker0024_Live_Sheet!$256:$256</definedName>
    <definedName name="L_KEYWORD_ISSR_208000430_SALES_OTH_EMERG_ASIA" localSheetId="10">Ticker0024_Live_Sheet!$212:$212</definedName>
    <definedName name="L_KEYWORD_ISSR_208000430_SALES_OTH_LATAM" localSheetId="10">Ticker0024_Live_Sheet!$176:$176</definedName>
    <definedName name="L_KEYWORD_ISSR_208000430_SALES_OTH_ME" localSheetId="10">Ticker0024_Live_Sheet!$198:$198</definedName>
    <definedName name="L_KEYWORD_ISSR_208000430_SALES_OTH_NO_AMER" localSheetId="10">Ticker0024_Live_Sheet!$169:$169</definedName>
    <definedName name="L_KEYWORD_ISSR_208000430_SALES_OTH_WEST_EURO" localSheetId="10">Ticker0024_Live_Sheet!$191:$191</definedName>
    <definedName name="L_KEYWORD_ISSR_208000430_SALES_OTHER" localSheetId="10">Ticker0024_Live_Sheet!$215:$215</definedName>
    <definedName name="L_KEYWORD_ISSR_208000430_SALES_POLAND" localSheetId="10">Ticker0024_Live_Sheet!$192:$192</definedName>
    <definedName name="L_KEYWORD_ISSR_208000430_SALES_POR" localSheetId="10">Ticker0024_Live_Sheet!$186:$186</definedName>
    <definedName name="L_KEYWORD_ISSR_208000430_SALES_RUSSIA" localSheetId="10">Ticker0024_Live_Sheet!$193:$193</definedName>
    <definedName name="L_KEYWORD_ISSR_208000430_SALES_SAUDI_ARABIA" localSheetId="10">Ticker0024_Live_Sheet!$196:$196</definedName>
    <definedName name="L_KEYWORD_ISSR_208000430_SALES_SINGAPORE" localSheetId="10">Ticker0024_Live_Sheet!$204:$204</definedName>
    <definedName name="L_KEYWORD_ISSR_208000430_SALES_SK" localSheetId="10">Ticker0024_Live_Sheet!$205:$205</definedName>
    <definedName name="L_KEYWORD_ISSR_208000430_SALES_SMB" localSheetId="10">Ticker0024_Live_Sheet!$225:$225</definedName>
    <definedName name="L_KEYWORD_ISSR_208000430_SALES_SO_AFRICA" localSheetId="10">Ticker0024_Live_Sheet!$200:$200</definedName>
    <definedName name="L_KEYWORD_ISSR_208000430_SALES_SPA" localSheetId="10">Ticker0024_Live_Sheet!$187:$187</definedName>
    <definedName name="L_KEYWORD_ISSR_208000430_SALES_SWE" localSheetId="10">Ticker0024_Live_Sheet!$188:$188</definedName>
    <definedName name="L_KEYWORD_ISSR_208000430_SALES_SWIT" localSheetId="10">Ticker0024_Live_Sheet!$189:$189</definedName>
    <definedName name="L_KEYWORD_ISSR_208000430_SALES_TAIWAN" localSheetId="10">Ticker0024_Live_Sheet!$206:$206</definedName>
    <definedName name="L_KEYWORD_ISSR_208000430_SALES_THAILAND" localSheetId="10">Ticker0024_Live_Sheet!$211:$211</definedName>
    <definedName name="L_KEYWORD_ISSR_208000430_SALES_TOT_AFRICA" localSheetId="10">Ticker0024_Live_Sheet!$255:$255</definedName>
    <definedName name="L_KEYWORD_ISSR_208000430_SALES_TOT_AM" localSheetId="10">Ticker0024_Live_Sheet!$249:$249</definedName>
    <definedName name="L_KEYWORD_ISSR_208000430_SALES_TOT_ASIA" localSheetId="10">Ticker0024_Live_Sheet!$257:$257</definedName>
    <definedName name="L_KEYWORD_ISSR_208000430_SALES_TOT_EMEA" localSheetId="10">Ticker0024_Live_Sheet!$251:$251</definedName>
    <definedName name="L_KEYWORD_ISSR_208000430_SALES_TURKEY" localSheetId="10">Ticker0024_Live_Sheet!$194:$194</definedName>
    <definedName name="L_KEYWORD_ISSR_208000430_SALES_UAE" localSheetId="10">Ticker0024_Live_Sheet!$197:$197</definedName>
    <definedName name="L_KEYWORD_ISSR_208000430_SALES_UK" localSheetId="10">Ticker0024_Live_Sheet!$190:$190</definedName>
    <definedName name="L_KEYWORD_ISSR_208000430_SALES_US" localSheetId="10">Ticker0024_Live_Sheet!$168:$168</definedName>
    <definedName name="L_KEYWORD_ISSR_208000430_SALES_VENEZUELA" localSheetId="10">Ticker0024_Live_Sheet!$175:$175</definedName>
    <definedName name="L_KEYWORD_ISSR_208000430_SBC_COST_OF_GOODS_SOLD" localSheetId="10">Ticker0024_Live_Sheet!$40:$40</definedName>
    <definedName name="L_KEYWORD_ISSR_208000430_SBC_GEN_ADMINISTRATIVE" localSheetId="10">Ticker0024_Live_Sheet!$43:$43</definedName>
    <definedName name="L_KEYWORD_ISSR_208000430_SBC_RESEARCH_DEVELOPMENT" localSheetId="10">Ticker0024_Live_Sheet!$42:$42</definedName>
    <definedName name="L_KEYWORD_ISSR_208000430_SBC_SALES_MARKETING" localSheetId="10">Ticker0024_Live_Sheet!$41:$41</definedName>
    <definedName name="L_KEYWORD_ISSR_208000430_SBC_TOTAL" localSheetId="10">Ticker0024_Live_Sheet!$44:$44</definedName>
    <definedName name="L_KEYWORD_ISSR_208000430_SEGMENT1_REV_NAME" localSheetId="10">Ticker0024_Live_Sheet!$146:$146</definedName>
    <definedName name="L_KEYWORD_ISSR_208000430_SEGMENT1_REV_VALUE" localSheetId="10">Ticker0024_Live_Sheet!$147:$147</definedName>
    <definedName name="L_KEYWORD_ISSR_208000430_SEGMENT10_REV_NAME" localSheetId="10">Ticker0024_Live_Sheet!$164:$164</definedName>
    <definedName name="L_KEYWORD_ISSR_208000430_SEGMENT10_REV_VALUE" localSheetId="10">Ticker0024_Live_Sheet!$165:$165</definedName>
    <definedName name="L_KEYWORD_ISSR_208000430_SEGMENT2_REV_NAME" localSheetId="10">Ticker0024_Live_Sheet!$148:$148</definedName>
    <definedName name="L_KEYWORD_ISSR_208000430_SEGMENT2_REV_VALUE" localSheetId="10">Ticker0024_Live_Sheet!$149:$149</definedName>
    <definedName name="L_KEYWORD_ISSR_208000430_SEGMENT3_REV_NAME" localSheetId="10">Ticker0024_Live_Sheet!$150:$150</definedName>
    <definedName name="L_KEYWORD_ISSR_208000430_SEGMENT3_REV_VALUE" localSheetId="10">Ticker0024_Live_Sheet!$151:$151</definedName>
    <definedName name="L_KEYWORD_ISSR_208000430_SEGMENT4_REV_NAME" localSheetId="10">Ticker0024_Live_Sheet!$152:$152</definedName>
    <definedName name="L_KEYWORD_ISSR_208000430_SEGMENT4_REV_VALUE" localSheetId="10">Ticker0024_Live_Sheet!$153:$153</definedName>
    <definedName name="L_KEYWORD_ISSR_208000430_SEGMENT5_REV_NAME" localSheetId="10">Ticker0024_Live_Sheet!$154:$154</definedName>
    <definedName name="L_KEYWORD_ISSR_208000430_SEGMENT5_REV_VALUE" localSheetId="10">Ticker0024_Live_Sheet!$155:$155</definedName>
    <definedName name="L_KEYWORD_ISSR_208000430_SEGMENT6_REV_NAME" localSheetId="10">Ticker0024_Live_Sheet!$156:$156</definedName>
    <definedName name="L_KEYWORD_ISSR_208000430_SEGMENT6_REV_VALUE" localSheetId="10">Ticker0024_Live_Sheet!$157:$157</definedName>
    <definedName name="L_KEYWORD_ISSR_208000430_SEGMENT7_REV_NAME" localSheetId="10">Ticker0024_Live_Sheet!$158:$158</definedName>
    <definedName name="L_KEYWORD_ISSR_208000430_SEGMENT7_REV_VALUE" localSheetId="10">Ticker0024_Live_Sheet!$159:$159</definedName>
    <definedName name="L_KEYWORD_ISSR_208000430_SEGMENT8_REV_NAME" localSheetId="10">Ticker0024_Live_Sheet!$160:$160</definedName>
    <definedName name="L_KEYWORD_ISSR_208000430_SEGMENT8_REV_VALUE" localSheetId="10">Ticker0024_Live_Sheet!$161:$161</definedName>
    <definedName name="L_KEYWORD_ISSR_208000430_SEGMENT9_REV_NAME" localSheetId="10">Ticker0024_Live_Sheet!$162:$162</definedName>
    <definedName name="L_KEYWORD_ISSR_208000430_SEGMENT9_REV_VALUE" localSheetId="10">Ticker0024_Live_Sheet!$163:$163</definedName>
    <definedName name="L_KEYWORD_ISSR_208000430_SEL_GL_AD" localSheetId="10">Ticker0024_Live_Sheet!$13:$13</definedName>
    <definedName name="L_KEYWORD_ISSR_208000430_SGA_PCT_ROW" localSheetId="10">Ticker0024_Live_Sheet!$219:$219</definedName>
    <definedName name="L_KEYWORD_ISSR_208000430_SGA_PCT_US" localSheetId="10">Ticker0024_Live_Sheet!$218:$218</definedName>
    <definedName name="L_KEYWORD_ISSR_208000430_SH_REPUR" localSheetId="10">Ticker0024_Live_Sheet!$117:$117</definedName>
    <definedName name="L_KEYWORD_ISSR_208000430_SHORT_T_DEBT" localSheetId="10">Ticker0024_Live_Sheet!$70:$70</definedName>
    <definedName name="L_KEYWORD_ISSR_208000430_SHORT_TERM_LIABS" localSheetId="10">Ticker0024_Live_Sheet!$73:$73</definedName>
    <definedName name="L_KEYWORD_ISSR_208000430_ST_BILLINGS" localSheetId="10">Ticker0024_Live_Sheet!$143:$143</definedName>
    <definedName name="L_KEYWORD_ISSR_208000430_ST_LEASE_LIAB" localSheetId="10">Ticker0024_Live_Sheet!$71:$71</definedName>
    <definedName name="L_KEYWORD_ISSR_208000430_STOCKS" localSheetId="10">Ticker0024_Live_Sheet!$56:$56</definedName>
    <definedName name="L_KEYWORD_ISSR_208000430_TOT_ASSET" localSheetId="10">Ticker0024_Live_Sheet!$68:$68</definedName>
    <definedName name="L_KEYWORD_ISSR_208000430_TOT_BILLINGS" localSheetId="10">Ticker0024_Live_Sheet!$142:$142</definedName>
    <definedName name="L_KEYWORD_ISSR_208000430_TOT_CF" localSheetId="10">Ticker0024_Live_Sheet!$122:$122</definedName>
    <definedName name="L_KEYWORD_ISSR_208000430_TOT_DEF_REV" localSheetId="10">Ticker0024_Live_Sheet!$74:$74</definedName>
    <definedName name="L_KEYWORD_ISSR_208000430_TOT_LIAB" localSheetId="10">Ticker0024_Live_Sheet!$79:$79</definedName>
    <definedName name="L_KEYWORD_ISSR_208000430_TOT_LIAB_EQ" localSheetId="10">Ticker0024_Live_Sheet!$84:$84</definedName>
    <definedName name="L_KEYWORD_ISSR_208000430_TOT_LT_LIAB" localSheetId="10">Ticker0024_Live_Sheet!$78:$78</definedName>
    <definedName name="L_KEYWORD_ISSR_208000430_TOT_OPS_EXP" localSheetId="10">Ticker0024_Live_Sheet!$19:$19</definedName>
    <definedName name="L_KEYWORD_ISSR_208000430_TOT_OPS_EXP_DDA" localSheetId="10">Ticker0024_Live_Sheet!$18:$18</definedName>
    <definedName name="L_KEYWORD_ISSR_208000430_TOT_PCT_USD_DEBT_HEDGED" localSheetId="10">Ticker0024_Live_Sheet!$87:$87</definedName>
    <definedName name="L_KEYWORD_ISSR_208000430_TOT_USD_DEBT" localSheetId="10">Ticker0024_Live_Sheet!$86:$86</definedName>
    <definedName name="L_KEYWORD_ISSR_208000430_UNF_PENS" localSheetId="10">Ticker0024_Live_Sheet!$97:$97</definedName>
    <definedName name="L_KEYWORD_ISSR_208000430_UNF_PENS_LIAB_OTH" localSheetId="10">Ticker0024_Live_Sheet!$99:$99</definedName>
    <definedName name="L_KEYWORD_ISSR_208000430_UNF_PENS_OFF" localSheetId="10">Ticker0024_Live_Sheet!$98:$98</definedName>
    <definedName name="L_KEYWORD_ISSR_208000430_WORK_CAP" localSheetId="10">Ticker0024_Live_Sheet!$108:$108</definedName>
    <definedName name="L_LIVEDATA_EQTY_200001320" localSheetId="10">Ticker0024_Live_Sheet!$B$259</definedName>
    <definedName name="L_LIVEDATA_ISSR_208000430" localSheetId="10">Ticker0024_Live_Sheet!$B$4</definedName>
    <definedName name="L_PERIOD_1995" localSheetId="10">Ticker0024_Live_Sheet!$F:$F</definedName>
    <definedName name="L_PERIOD_1996" localSheetId="10">Ticker0024_Live_Sheet!$K:$K</definedName>
    <definedName name="L_PERIOD_1996_Q1" localSheetId="10">Ticker0024_Live_Sheet!$G:$G</definedName>
    <definedName name="L_PERIOD_1996_Q2" localSheetId="10">Ticker0024_Live_Sheet!$H:$H</definedName>
    <definedName name="L_PERIOD_1996_Q3" localSheetId="10">Ticker0024_Live_Sheet!$I:$I</definedName>
    <definedName name="L_PERIOD_1996_Q4" localSheetId="10">Ticker0024_Live_Sheet!$J:$J</definedName>
    <definedName name="L_PERIOD_1997" localSheetId="10">Ticker0024_Live_Sheet!$P:$P</definedName>
    <definedName name="L_PERIOD_1997_Q1" localSheetId="10">Ticker0024_Live_Sheet!$L:$L</definedName>
    <definedName name="L_PERIOD_1997_Q2" localSheetId="10">Ticker0024_Live_Sheet!$M:$M</definedName>
    <definedName name="L_PERIOD_1997_Q3" localSheetId="10">Ticker0024_Live_Sheet!$N:$N</definedName>
    <definedName name="L_PERIOD_1997_Q4" localSheetId="10">Ticker0024_Live_Sheet!$O:$O</definedName>
    <definedName name="L_PERIOD_1998" localSheetId="10">Ticker0024_Live_Sheet!$U:$U</definedName>
    <definedName name="L_PERIOD_1998_Q1" localSheetId="10">Ticker0024_Live_Sheet!$Q:$Q</definedName>
    <definedName name="L_PERIOD_1998_Q2" localSheetId="10">Ticker0024_Live_Sheet!$R:$R</definedName>
    <definedName name="L_PERIOD_1998_Q3" localSheetId="10">Ticker0024_Live_Sheet!$S:$S</definedName>
    <definedName name="L_PERIOD_1998_Q4" localSheetId="10">Ticker0024_Live_Sheet!$T:$T</definedName>
    <definedName name="L_PERIOD_1999" localSheetId="10">Ticker0024_Live_Sheet!$Z:$Z</definedName>
    <definedName name="L_PERIOD_1999_Q1" localSheetId="10">Ticker0024_Live_Sheet!$V:$V</definedName>
    <definedName name="L_PERIOD_1999_Q2" localSheetId="10">Ticker0024_Live_Sheet!$W:$W</definedName>
    <definedName name="L_PERIOD_1999_Q3" localSheetId="10">Ticker0024_Live_Sheet!$X:$X</definedName>
    <definedName name="L_PERIOD_1999_Q4" localSheetId="10">Ticker0024_Live_Sheet!$Y:$Y</definedName>
    <definedName name="L_PERIOD_2000" localSheetId="10">Ticker0024_Live_Sheet!$AE:$AE</definedName>
    <definedName name="L_PERIOD_2000_Q1" localSheetId="10">Ticker0024_Live_Sheet!$AA:$AA</definedName>
    <definedName name="L_PERIOD_2000_Q2" localSheetId="10">Ticker0024_Live_Sheet!$AB:$AB</definedName>
    <definedName name="L_PERIOD_2000_Q3" localSheetId="10">Ticker0024_Live_Sheet!$AC:$AC</definedName>
    <definedName name="L_PERIOD_2000_Q4" localSheetId="10">Ticker0024_Live_Sheet!$AD:$AD</definedName>
    <definedName name="L_PERIOD_2001" localSheetId="10">Ticker0024_Live_Sheet!$AJ:$AJ</definedName>
    <definedName name="L_PERIOD_2001_Q1" localSheetId="10">Ticker0024_Live_Sheet!$AF:$AF</definedName>
    <definedName name="L_PERIOD_2001_Q2" localSheetId="10">Ticker0024_Live_Sheet!$AG:$AG</definedName>
    <definedName name="L_PERIOD_2001_Q3" localSheetId="10">Ticker0024_Live_Sheet!$AH:$AH</definedName>
    <definedName name="L_PERIOD_2001_Q4" localSheetId="10">Ticker0024_Live_Sheet!$AI:$AI</definedName>
    <definedName name="L_PERIOD_2002" localSheetId="10">Ticker0024_Live_Sheet!$AO:$AO</definedName>
    <definedName name="L_PERIOD_2002_Q1" localSheetId="10">Ticker0024_Live_Sheet!$AK:$AK</definedName>
    <definedName name="L_PERIOD_2002_Q2" localSheetId="10">Ticker0024_Live_Sheet!$AL:$AL</definedName>
    <definedName name="L_PERIOD_2002_Q3" localSheetId="10">Ticker0024_Live_Sheet!$AM:$AM</definedName>
    <definedName name="L_PERIOD_2002_Q4" localSheetId="10">Ticker0024_Live_Sheet!$AN:$AN</definedName>
    <definedName name="L_PERIOD_2003" localSheetId="10">Ticker0024_Live_Sheet!$AT:$AT</definedName>
    <definedName name="L_PERIOD_2003_Q1" localSheetId="10">Ticker0024_Live_Sheet!$AP:$AP</definedName>
    <definedName name="L_PERIOD_2003_Q2" localSheetId="10">Ticker0024_Live_Sheet!$AQ:$AQ</definedName>
    <definedName name="L_PERIOD_2003_Q3" localSheetId="10">Ticker0024_Live_Sheet!$AR:$AR</definedName>
    <definedName name="L_PERIOD_2003_Q4" localSheetId="10">Ticker0024_Live_Sheet!$AS:$AS</definedName>
    <definedName name="L_PERIOD_2004" localSheetId="10">Ticker0024_Live_Sheet!$AY:$AY</definedName>
    <definedName name="L_PERIOD_2004_Q1" localSheetId="10">Ticker0024_Live_Sheet!$AU:$AU</definedName>
    <definedName name="L_PERIOD_2004_Q2" localSheetId="10">Ticker0024_Live_Sheet!$AV:$AV</definedName>
    <definedName name="L_PERIOD_2004_Q3" localSheetId="10">Ticker0024_Live_Sheet!$AW:$AW</definedName>
    <definedName name="L_PERIOD_2004_Q4" localSheetId="10">Ticker0024_Live_Sheet!$AX:$AX</definedName>
    <definedName name="L_PERIOD_2005" localSheetId="10">Ticker0024_Live_Sheet!$BD:$BD</definedName>
    <definedName name="L_PERIOD_2005_Q1" localSheetId="10">Ticker0024_Live_Sheet!$AZ:$AZ</definedName>
    <definedName name="L_PERIOD_2005_Q2" localSheetId="10">Ticker0024_Live_Sheet!$BA:$BA</definedName>
    <definedName name="L_PERIOD_2005_Q3" localSheetId="10">Ticker0024_Live_Sheet!$BB:$BB</definedName>
    <definedName name="L_PERIOD_2005_Q4" localSheetId="10">Ticker0024_Live_Sheet!$BC:$BC</definedName>
    <definedName name="L_PERIOD_2006" localSheetId="10">Ticker0024_Live_Sheet!$BI:$BI</definedName>
    <definedName name="L_PERIOD_2006_Q1" localSheetId="10">Ticker0024_Live_Sheet!$BE:$BE</definedName>
    <definedName name="L_PERIOD_2006_Q2" localSheetId="10">Ticker0024_Live_Sheet!$BF:$BF</definedName>
    <definedName name="L_PERIOD_2006_Q3" localSheetId="10">Ticker0024_Live_Sheet!$BG:$BG</definedName>
    <definedName name="L_PERIOD_2006_Q4" localSheetId="10">Ticker0024_Live_Sheet!$BH:$BH</definedName>
    <definedName name="L_PERIOD_2007" localSheetId="10">Ticker0024_Live_Sheet!$BN:$BN</definedName>
    <definedName name="L_PERIOD_2007_Q1" localSheetId="10">Ticker0024_Live_Sheet!$BJ:$BJ</definedName>
    <definedName name="L_PERIOD_2007_Q2" localSheetId="10">Ticker0024_Live_Sheet!$BK:$BK</definedName>
    <definedName name="L_PERIOD_2007_Q3" localSheetId="10">Ticker0024_Live_Sheet!$BL:$BL</definedName>
    <definedName name="L_PERIOD_2007_Q4" localSheetId="10">Ticker0024_Live_Sheet!$BM:$BM</definedName>
    <definedName name="L_PERIOD_2008" localSheetId="10">Ticker0024_Live_Sheet!$BS:$BS</definedName>
    <definedName name="L_PERIOD_2008_Q1" localSheetId="10">Ticker0024_Live_Sheet!$BO:$BO</definedName>
    <definedName name="L_PERIOD_2008_Q2" localSheetId="10">Ticker0024_Live_Sheet!$BP:$BP</definedName>
    <definedName name="L_PERIOD_2008_Q3" localSheetId="10">Ticker0024_Live_Sheet!$BQ:$BQ</definedName>
    <definedName name="L_PERIOD_2008_Q4" localSheetId="10">Ticker0024_Live_Sheet!$BR:$BR</definedName>
    <definedName name="L_PERIOD_2009" localSheetId="10">Ticker0024_Live_Sheet!$BX:$BX</definedName>
    <definedName name="L_PERIOD_2009_Q1" localSheetId="10">Ticker0024_Live_Sheet!$BT:$BT</definedName>
    <definedName name="L_PERIOD_2009_Q2" localSheetId="10">Ticker0024_Live_Sheet!$BU:$BU</definedName>
    <definedName name="L_PERIOD_2009_Q3" localSheetId="10">Ticker0024_Live_Sheet!$BV:$BV</definedName>
    <definedName name="L_PERIOD_2009_Q4" localSheetId="10">Ticker0024_Live_Sheet!$BW:$BW</definedName>
    <definedName name="L_PERIOD_2010" localSheetId="10">Ticker0024_Live_Sheet!$CC:$CC</definedName>
    <definedName name="L_PERIOD_2010_Q1" localSheetId="10">Ticker0024_Live_Sheet!$BY:$BY</definedName>
    <definedName name="L_PERIOD_2010_Q2" localSheetId="10">Ticker0024_Live_Sheet!$BZ:$BZ</definedName>
    <definedName name="L_PERIOD_2010_Q3" localSheetId="10">Ticker0024_Live_Sheet!$CA:$CA</definedName>
    <definedName name="L_PERIOD_2010_Q4" localSheetId="10">Ticker0024_Live_Sheet!$CB:$CB</definedName>
    <definedName name="L_PERIOD_2011" localSheetId="10">Ticker0024_Live_Sheet!$CH:$CH</definedName>
    <definedName name="L_PERIOD_2011_Q1" localSheetId="10">Ticker0024_Live_Sheet!$CD:$CD</definedName>
    <definedName name="L_PERIOD_2011_Q2" localSheetId="10">Ticker0024_Live_Sheet!$CE:$CE</definedName>
    <definedName name="L_PERIOD_2011_Q3" localSheetId="10">Ticker0024_Live_Sheet!$CF:$CF</definedName>
    <definedName name="L_PERIOD_2011_Q4" localSheetId="10">Ticker0024_Live_Sheet!$CG:$CG</definedName>
    <definedName name="L_PERIOD_2012" localSheetId="10">Ticker0024_Live_Sheet!$CM:$CM</definedName>
    <definedName name="L_PERIOD_2012_Q1" localSheetId="10">Ticker0024_Live_Sheet!$CI:$CI</definedName>
    <definedName name="L_PERIOD_2012_Q2" localSheetId="10">Ticker0024_Live_Sheet!$CJ:$CJ</definedName>
    <definedName name="L_PERIOD_2012_Q3" localSheetId="10">Ticker0024_Live_Sheet!$CK:$CK</definedName>
    <definedName name="L_PERIOD_2012_Q4" localSheetId="10">Ticker0024_Live_Sheet!$CL:$CL</definedName>
    <definedName name="L_PERIOD_2013" localSheetId="10">Ticker0024_Live_Sheet!$CR:$CR</definedName>
    <definedName name="L_PERIOD_2013_Q1" localSheetId="10">Ticker0024_Live_Sheet!$CN:$CN</definedName>
    <definedName name="L_PERIOD_2013_Q2" localSheetId="10">Ticker0024_Live_Sheet!$CO:$CO</definedName>
    <definedName name="L_PERIOD_2013_Q3" localSheetId="10">Ticker0024_Live_Sheet!$CP:$CP</definedName>
    <definedName name="L_PERIOD_2013_Q4" localSheetId="10">Ticker0024_Live_Sheet!$CQ:$CQ</definedName>
    <definedName name="L_PERIOD_2014" localSheetId="10">Ticker0024_Live_Sheet!$CW:$CW</definedName>
    <definedName name="L_PERIOD_2014_Q1" localSheetId="10">Ticker0024_Live_Sheet!$CS:$CS</definedName>
    <definedName name="L_PERIOD_2014_Q2" localSheetId="10">Ticker0024_Live_Sheet!$CT:$CT</definedName>
    <definedName name="L_PERIOD_2014_Q3" localSheetId="10">Ticker0024_Live_Sheet!$CU:$CU</definedName>
    <definedName name="L_PERIOD_2014_Q4" localSheetId="10">Ticker0024_Live_Sheet!$CV:$CV</definedName>
    <definedName name="L_PERIOD_2015" localSheetId="10">Ticker0024_Live_Sheet!$DB:$DB</definedName>
    <definedName name="L_PERIOD_2015_Q1" localSheetId="10">Ticker0024_Live_Sheet!$CX:$CX</definedName>
    <definedName name="L_PERIOD_2015_Q2" localSheetId="10">Ticker0024_Live_Sheet!$CY:$CY</definedName>
    <definedName name="L_PERIOD_2015_Q3" localSheetId="10">Ticker0024_Live_Sheet!$CZ:$CZ</definedName>
    <definedName name="L_PERIOD_2015_Q4" localSheetId="10">Ticker0024_Live_Sheet!$DA:$DA</definedName>
    <definedName name="L_PERIOD_2016" localSheetId="10">Ticker0024_Live_Sheet!$DG:$DG</definedName>
    <definedName name="L_PERIOD_2016_Q1" localSheetId="10">Ticker0024_Live_Sheet!$DC:$DC</definedName>
    <definedName name="L_PERIOD_2016_Q2" localSheetId="10">Ticker0024_Live_Sheet!$DD:$DD</definedName>
    <definedName name="L_PERIOD_2016_Q3" localSheetId="10">Ticker0024_Live_Sheet!$DE:$DE</definedName>
    <definedName name="L_PERIOD_2016_Q4" localSheetId="10">Ticker0024_Live_Sheet!$DF:$DF</definedName>
    <definedName name="L_PERIOD_2017" localSheetId="10">Ticker0024_Live_Sheet!$DL:$DL</definedName>
    <definedName name="L_PERIOD_2017_Q1" localSheetId="10">Ticker0024_Live_Sheet!$DH:$DH</definedName>
    <definedName name="L_PERIOD_2017_Q2" localSheetId="10">Ticker0024_Live_Sheet!$DI:$DI</definedName>
    <definedName name="L_PERIOD_2017_Q3" localSheetId="10">Ticker0024_Live_Sheet!$DJ:$DJ</definedName>
    <definedName name="L_PERIOD_2017_Q4" localSheetId="10">Ticker0024_Live_Sheet!$DK:$DK</definedName>
    <definedName name="L_PERIOD_2018" localSheetId="10">Ticker0024_Live_Sheet!$DQ:$DQ</definedName>
    <definedName name="L_PERIOD_2018_Q1" localSheetId="10">Ticker0024_Live_Sheet!$DM:$DM</definedName>
    <definedName name="L_PERIOD_2018_Q2" localSheetId="10">Ticker0024_Live_Sheet!$DN:$DN</definedName>
    <definedName name="L_PERIOD_2018_Q3" localSheetId="10">Ticker0024_Live_Sheet!$DO:$DO</definedName>
    <definedName name="L_PERIOD_2018_Q4" localSheetId="10">Ticker0024_Live_Sheet!$DP:$DP</definedName>
    <definedName name="L_PERIOD_2019" localSheetId="10">Ticker0024_Live_Sheet!$DV:$DV</definedName>
    <definedName name="L_PERIOD_2019_Q1" localSheetId="10">Ticker0024_Live_Sheet!$DR:$DR</definedName>
    <definedName name="L_PERIOD_2019_Q2" localSheetId="10">Ticker0024_Live_Sheet!$DS:$DS</definedName>
    <definedName name="L_PERIOD_2019_Q3" localSheetId="10">Ticker0024_Live_Sheet!$DT:$DT</definedName>
    <definedName name="L_PERIOD_2019_Q4" localSheetId="10">Ticker0024_Live_Sheet!$DU:$DU</definedName>
    <definedName name="L_PERIOD_2020" localSheetId="10">Ticker0024_Live_Sheet!$EA:$EA</definedName>
    <definedName name="L_PERIOD_2020_Q1" localSheetId="10">Ticker0024_Live_Sheet!$DW:$DW</definedName>
    <definedName name="L_PERIOD_2020_Q2" localSheetId="10">Ticker0024_Live_Sheet!$DX:$DX</definedName>
    <definedName name="L_PERIOD_2020_Q3" localSheetId="10">Ticker0024_Live_Sheet!$DY:$DY</definedName>
    <definedName name="L_PERIOD_2020_Q4" localSheetId="10">Ticker0024_Live_Sheet!$DZ:$DZ</definedName>
    <definedName name="L_PERIOD_2021" localSheetId="10">Ticker0024_Live_Sheet!$EF:$EF</definedName>
    <definedName name="L_PERIOD_2021_Q1" localSheetId="10">Ticker0024_Live_Sheet!$EB:$EB</definedName>
    <definedName name="L_PERIOD_2021_Q2" localSheetId="10">Ticker0024_Live_Sheet!$EC:$EC</definedName>
    <definedName name="L_PERIOD_2021_Q3" localSheetId="10">Ticker0024_Live_Sheet!$ED:$ED</definedName>
    <definedName name="L_PERIOD_2021_Q4" localSheetId="10">Ticker0024_Live_Sheet!$EE:$EE</definedName>
    <definedName name="L_PERIOD_2022" localSheetId="10">Ticker0024_Live_Sheet!$EK:$EK</definedName>
    <definedName name="L_PERIOD_2022_Q1" localSheetId="10">Ticker0024_Live_Sheet!$EG:$EG</definedName>
    <definedName name="L_PERIOD_2022_Q2" localSheetId="10">Ticker0024_Live_Sheet!$EH:$EH</definedName>
    <definedName name="L_PERIOD_2022_Q3" localSheetId="10">Ticker0024_Live_Sheet!$EI:$EI</definedName>
    <definedName name="L_PERIOD_2022_Q4" localSheetId="10">Ticker0024_Live_Sheet!$EJ:$EJ</definedName>
    <definedName name="L_PERIOD_2023" localSheetId="10">Ticker0024_Live_Sheet!$EP:$EP</definedName>
    <definedName name="L_PERIOD_2023_Q1" localSheetId="10">Ticker0024_Live_Sheet!$EL:$EL</definedName>
    <definedName name="L_PERIOD_2023_Q2" localSheetId="10">Ticker0024_Live_Sheet!$EM:$EM</definedName>
    <definedName name="L_PERIOD_2023_Q3" localSheetId="10">Ticker0024_Live_Sheet!$EN:$EN</definedName>
    <definedName name="L_PERIOD_2023_Q4" localSheetId="10">Ticker0024_Live_Sheet!$EO:$EO</definedName>
    <definedName name="L_PERIOD_2024" localSheetId="10">Ticker0024_Live_Sheet!$EU:$EU</definedName>
    <definedName name="L_PERIOD_2024_Q1" localSheetId="10">Ticker0024_Live_Sheet!$EQ:$EQ</definedName>
    <definedName name="L_PERIOD_2024_Q2" localSheetId="10">Ticker0024_Live_Sheet!$ER:$ER</definedName>
    <definedName name="L_PERIOD_2024_Q3" localSheetId="10">Ticker0024_Live_Sheet!$ES:$ES</definedName>
    <definedName name="L_PERIOD_2024_Q4" localSheetId="10">Ticker0024_Live_Sheet!$ET:$ET</definedName>
    <definedName name="L_PERIOD_2025" localSheetId="10">Ticker0024_Live_Sheet!$EZ:$EZ</definedName>
    <definedName name="L_PERIOD_2025_Q1" localSheetId="10">Ticker0024_Live_Sheet!$EV:$EV</definedName>
    <definedName name="L_PERIOD_2025_Q2" localSheetId="10">Ticker0024_Live_Sheet!$EW:$EW</definedName>
    <definedName name="L_PERIOD_2025_Q3" localSheetId="10">Ticker0024_Live_Sheet!$EX:$EX</definedName>
    <definedName name="L_PERIOD_2025_Q4" localSheetId="10">Ticker0024_Live_Sheet!$EY:$EY</definedName>
    <definedName name="L_PERIOD_2026" localSheetId="10">Ticker0024_Live_Sheet!$FE:$FE</definedName>
    <definedName name="L_PERIOD_2026_Q1" localSheetId="10">Ticker0024_Live_Sheet!$FA:$FA</definedName>
    <definedName name="L_PERIOD_2026_Q2" localSheetId="10">Ticker0024_Live_Sheet!$FB:$FB</definedName>
    <definedName name="L_PERIOD_2026_Q3" localSheetId="10">Ticker0024_Live_Sheet!$FC:$FC</definedName>
    <definedName name="L_PERIOD_2026_Q4" localSheetId="10">Ticker0024_Live_Sheet!$FD:$FD</definedName>
    <definedName name="L_PERIOD_2027" localSheetId="10">Ticker0024_Live_Sheet!$FJ:$FJ</definedName>
    <definedName name="L_PERIOD_2027_Q1" localSheetId="10">Ticker0024_Live_Sheet!$FF:$FF</definedName>
    <definedName name="L_PERIOD_2027_Q2" localSheetId="10">Ticker0024_Live_Sheet!$FG:$FG</definedName>
    <definedName name="L_PERIOD_2027_Q3" localSheetId="10">Ticker0024_Live_Sheet!$FH:$FH</definedName>
    <definedName name="L_PERIOD_2027_Q4" localSheetId="10">Ticker0024_Live_Sheet!$FI:$FI</definedName>
    <definedName name="L_PERIOD_2028" localSheetId="10">Ticker0024_Live_Sheet!$FO:$FO</definedName>
    <definedName name="L_PERIOD_2028_Q1" localSheetId="10">Ticker0024_Live_Sheet!$FK:$FK</definedName>
    <definedName name="L_PERIOD_2028_Q2" localSheetId="10">Ticker0024_Live_Sheet!$FL:$FL</definedName>
    <definedName name="L_PERIOD_2028_Q3" localSheetId="10">Ticker0024_Live_Sheet!$FM:$FM</definedName>
    <definedName name="L_PERIOD_2028_Q4" localSheetId="10">Ticker0024_Live_Sheet!$FN:$FN</definedName>
    <definedName name="L_PERIOD_2029" localSheetId="10">Ticker0024_Live_Sheet!$FT:$FT</definedName>
    <definedName name="L_PERIOD_2029_Q1" localSheetId="10">Ticker0024_Live_Sheet!$FP:$FP</definedName>
    <definedName name="L_PERIOD_2029_Q2" localSheetId="10">Ticker0024_Live_Sheet!$FQ:$FQ</definedName>
    <definedName name="L_PERIOD_2029_Q3" localSheetId="10">Ticker0024_Live_Sheet!$FR:$FR</definedName>
    <definedName name="L_PERIOD_2029_Q4" localSheetId="10">Ticker0024_Live_Sheet!$FS:$FS</definedName>
    <definedName name="L_PERIOD_2030" localSheetId="10">Ticker0024_Live_Sheet!#REF!</definedName>
    <definedName name="L_PERIOD_2030_Q1" localSheetId="10">Ticker0024_Live_Sheet!#REF!</definedName>
    <definedName name="L_PERIOD_2030_Q2" localSheetId="10">Ticker0024_Live_Sheet!#REF!</definedName>
    <definedName name="L_PERIOD_2030_Q3" localSheetId="10">Ticker0024_Live_Sheet!#REF!</definedName>
    <definedName name="L_PERIOD_2030_Q4" localSheetId="10">Ticker0024_Live_Sheet!#REF!</definedName>
    <definedName name="L_SECTION_EQTY_200001320_1314" localSheetId="10">Ticker0024_Live_Sheet!$319:$319</definedName>
    <definedName name="L_SECTION_EQTY_200001320_1319" localSheetId="10">Ticker0024_Live_Sheet!$321:$321</definedName>
    <definedName name="L_SECTION_EQTY_200001320_131E" localSheetId="10">Ticker0024_Live_Sheet!$326:$326</definedName>
    <definedName name="L_SECTION_EQTY_200001320_131O" localSheetId="10">Ticker0024_Live_Sheet!$328:$328</definedName>
    <definedName name="L_SECTION_EQTY_200001320_13A" localSheetId="10">Ticker0024_Live_Sheet!$267:$267</definedName>
    <definedName name="L_SECTION_EQTY_200001320_13K" localSheetId="10">Ticker0024_Live_Sheet!$277:$277</definedName>
    <definedName name="L_SECTION_EQTY_200001320_13U" localSheetId="10">Ticker0024_Live_Sheet!$294:$294</definedName>
    <definedName name="L_SECTION_EQTY_200001320_13V" localSheetId="10">Ticker0024_Live_Sheet!$311:$311</definedName>
    <definedName name="L_SECTION_EQTY_200001320_13W" localSheetId="10">Ticker0024_Live_Sheet!$313:$313</definedName>
    <definedName name="L_SECTION_EQTY_200001320_Reference_Data" localSheetId="10">Ticker0024_Live_Sheet!$260:$260</definedName>
    <definedName name="L_SECTION_ISSR_208000430_1314" localSheetId="10">Ticker0024_Live_Sheet!$53:$53</definedName>
    <definedName name="L_SECTION_ISSR_208000430_13168" localSheetId="10">Ticker0024_Live_Sheet!$166:$166</definedName>
    <definedName name="L_SECTION_ISSR_208000430_1316T" localSheetId="10">Ticker0024_Live_Sheet!$229:$229</definedName>
    <definedName name="L_SECTION_ISSR_208000430_1316U" localSheetId="10">Ticker0024_Live_Sheet!$232:$232</definedName>
    <definedName name="L_SECTION_ISSR_208000430_1319" localSheetId="10">Ticker0024_Live_Sheet!$85:$85</definedName>
    <definedName name="L_SECTION_ISSR_208000430_131E" localSheetId="10">Ticker0024_Live_Sheet!$105:$105</definedName>
    <definedName name="L_SECTION_ISSR_208000430_131J" localSheetId="10">Ticker0024_Live_Sheet!$123:$123</definedName>
    <definedName name="L_SECTION_ISSR_208000430_131O" localSheetId="10">Ticker0024_Live_Sheet!$138:$138</definedName>
    <definedName name="L_SECTION_ISSR_208000430_136E" localSheetId="10">Ticker0024_Live_Sheet!$248:$248</definedName>
    <definedName name="L_SECTION_ISSR_208000430_13A" localSheetId="10">Ticker0024_Live_Sheet!$8:$8</definedName>
    <definedName name="L_SECTION_ISSR_208000430_13U" localSheetId="10">Ticker0024_Live_Sheet!$10:$10</definedName>
    <definedName name="L_SECTION_ISSR_208000430_13V" localSheetId="10">Ticker0024_Live_Sheet!$31:$31</definedName>
    <definedName name="L_SECTION_ISSR_208000430_Reference_Data" localSheetId="10">Ticker0024_Live_Sheet!$5:$5</definedName>
    <definedName name="L_TEMPLATEHASH" localSheetId="10">Ticker0024_Live_Sheet!$C$1</definedName>
    <definedName name="V_ALL_KEYWORDS_TYPE_ScalarContributed_EQTY_200001320" localSheetId="11">Ticker0024_Validation_Sheet!$268:$276,Ticker0024_Validation_Sheet!$318:$318,Ticker0024_Validation_Sheet!$322:$324,Ticker0024_Validation_Sheet!$329:$331</definedName>
    <definedName name="V_ALL_KEYWORDS_TYPE_ScalarContributed_ISSR_208000430" localSheetId="11">Ticker0024_Validation_Sheet!$9:$9,Ticker0024_Validation_Sheet!$39:$39,Ticker0024_Validation_Sheet!$146:$146,Ticker0024_Validation_Sheet!$148:$148,Ticker0024_Validation_Sheet!$150:$150,Ticker0024_Validation_Sheet!$152:$152,Ticker0024_Validation_Sheet!$154:$154,Ticker0024_Validation_Sheet!$156:$156,Ticker0024_Validation_Sheet!$158:$158,Ticker0024_Validation_Sheet!$160:$160,Ticker0024_Validation_Sheet!$162:$162,Ticker0024_Validation_Sheet!$164:$164</definedName>
    <definedName name="V_ALL_KEYWORDS_TYPE_ScalarReference_EQTY_200001320" localSheetId="11">Ticker0024_Validation_Sheet!$261:$266</definedName>
    <definedName name="V_ALL_KEYWORDS_TYPE_ScalarReference_ISSR_208000430" localSheetId="11">Ticker0024_Validation_Sheet!$6:$7</definedName>
    <definedName name="V_ALL_KEYWORDS_TYPE_Vector_EQTY_200001320" localSheetId="11">Ticker0024_Validation_Sheet!$278:$293,Ticker0024_Validation_Sheet!$295:$310,Ticker0024_Validation_Sheet!$312:$312,Ticker0024_Validation_Sheet!$314:$317,Ticker0024_Validation_Sheet!$320:$320,Ticker0024_Validation_Sheet!$325:$325,Ticker0024_Validation_Sheet!$327:$327</definedName>
    <definedName name="V_ALL_KEYWORDS_TYPE_Vector_ISSR_208000430" localSheetId="11">Ticker0024_Validation_Sheet!$2:$3,Ticker0024_Validation_Sheet!$11:$30,Ticker0024_Validation_Sheet!$32:$38,Ticker0024_Validation_Sheet!$40:$52,Ticker0024_Validation_Sheet!$54:$84,Ticker0024_Validation_Sheet!$86:$104,Ticker0024_Validation_Sheet!$106:$122,Ticker0024_Validation_Sheet!$124:$137,Ticker0024_Validation_Sheet!$139:$145,Ticker0024_Validation_Sheet!$147:$147,Ticker0024_Validation_Sheet!$149:$149,Ticker0024_Validation_Sheet!$151:$151,Ticker0024_Validation_Sheet!$153:$153,Ticker0024_Validation_Sheet!$155:$155,Ticker0024_Validation_Sheet!$157:$157,Ticker0024_Validation_Sheet!$159:$159,Ticker0024_Validation_Sheet!$161:$161,Ticker0024_Validation_Sheet!$163:$163,Ticker0024_Validation_Sheet!$165:$165,Ticker0024_Validation_Sheet!$167:$228,Ticker0024_Validation_Sheet!$230:$231,Ticker0024_Validation_Sheet!$233:$247,Ticker0024_Validation_Sheet!$249:$258</definedName>
    <definedName name="V_ALL_Ticker0024">Ticker0024_Validation_Sheet!$A$1:$FT$331</definedName>
    <definedName name="V_ALL_PERIODS_Ticker0024" localSheetId="11">Ticker0024_Validation_Sheet!$F$1:$FT$1</definedName>
    <definedName name="V_ALL_SECTION_KEYWORDS_EQTY_200001320_1314" localSheetId="11">Ticker0024_Validation_Sheet!$C$320</definedName>
    <definedName name="V_ALL_SECTION_KEYWORDS_EQTY_200001320_1319" localSheetId="11">Ticker0024_Validation_Sheet!$C$322:$C$325</definedName>
    <definedName name="V_ALL_SECTION_KEYWORDS_EQTY_200001320_131E" localSheetId="11">Ticker0024_Validation_Sheet!$C$327</definedName>
    <definedName name="V_ALL_SECTION_KEYWORDS_EQTY_200001320_131O" localSheetId="11">Ticker0024_Validation_Sheet!$C$329:$C$331</definedName>
    <definedName name="V_ALL_SECTION_KEYWORDS_EQTY_200001320_13A" localSheetId="11">Ticker0024_Validation_Sheet!$C$268:$C$276</definedName>
    <definedName name="V_ALL_SECTION_KEYWORDS_EQTY_200001320_13K" localSheetId="11">Ticker0024_Validation_Sheet!$C$278:$C$293</definedName>
    <definedName name="V_ALL_SECTION_KEYWORDS_EQTY_200001320_13U" localSheetId="11">Ticker0024_Validation_Sheet!$C$295:$C$310</definedName>
    <definedName name="V_ALL_SECTION_KEYWORDS_EQTY_200001320_13V" localSheetId="11">Ticker0024_Validation_Sheet!$C$312</definedName>
    <definedName name="V_ALL_SECTION_KEYWORDS_EQTY_200001320_13W" localSheetId="11">Ticker0024_Validation_Sheet!$C$314:$C$318</definedName>
    <definedName name="V_ALL_SECTION_KEYWORDS_EQTY_200001320_Reference_Data" localSheetId="11">Ticker0024_Validation_Sheet!$C$261:$C$266</definedName>
    <definedName name="V_ALL_SECTION_KEYWORDS_ISSR_208000430_1314" localSheetId="11">Ticker0024_Validation_Sheet!$C$54:$C$84</definedName>
    <definedName name="V_ALL_SECTION_KEYWORDS_ISSR_208000430_13168" localSheetId="11">Ticker0024_Validation_Sheet!$C$167:$C$228</definedName>
    <definedName name="V_ALL_SECTION_KEYWORDS_ISSR_208000430_1316T" localSheetId="11">Ticker0024_Validation_Sheet!$C$230:$C$231</definedName>
    <definedName name="V_ALL_SECTION_KEYWORDS_ISSR_208000430_1316U" localSheetId="11">Ticker0024_Validation_Sheet!$C$233:$C$247</definedName>
    <definedName name="V_ALL_SECTION_KEYWORDS_ISSR_208000430_1319" localSheetId="11">Ticker0024_Validation_Sheet!$C$86:$C$104</definedName>
    <definedName name="V_ALL_SECTION_KEYWORDS_ISSR_208000430_131E" localSheetId="11">Ticker0024_Validation_Sheet!$C$106:$C$122</definedName>
    <definedName name="V_ALL_SECTION_KEYWORDS_ISSR_208000430_131J" localSheetId="11">Ticker0024_Validation_Sheet!$C$124:$C$137</definedName>
    <definedName name="V_ALL_SECTION_KEYWORDS_ISSR_208000430_131O" localSheetId="11">Ticker0024_Validation_Sheet!$C$139:$C$165</definedName>
    <definedName name="V_ALL_SECTION_KEYWORDS_ISSR_208000430_136E" localSheetId="11">Ticker0024_Validation_Sheet!$C$249:$C$258</definedName>
    <definedName name="V_ALL_SECTION_KEYWORDS_ISSR_208000430_13A" localSheetId="11">Ticker0024_Validation_Sheet!$C$9</definedName>
    <definedName name="V_ALL_SECTION_KEYWORDS_ISSR_208000430_13U" localSheetId="11">Ticker0024_Validation_Sheet!$C$11:$C$30</definedName>
    <definedName name="V_ALL_SECTION_KEYWORDS_ISSR_208000430_13V" localSheetId="11">Ticker0024_Validation_Sheet!$C$32:$C$52</definedName>
    <definedName name="V_ALL_SECTION_KEYWORDS_ISSR_208000430_Reference_Data" localSheetId="11">Ticker0024_Validation_Sheet!$C$6:$C$7</definedName>
    <definedName name="V_ALL_SECTIONS_EQTY_200001320" localSheetId="11">Ticker0024_Validation_Sheet!$260:$260,Ticker0024_Validation_Sheet!$267:$267,Ticker0024_Validation_Sheet!$277:$277,Ticker0024_Validation_Sheet!$294:$294,Ticker0024_Validation_Sheet!$311:$311,Ticker0024_Validation_Sheet!$313:$313,Ticker0024_Validation_Sheet!$319:$319,Ticker0024_Validation_Sheet!$321:$321,Ticker0024_Validation_Sheet!$326:$326,Ticker0024_Validation_Sheet!$328:$328</definedName>
    <definedName name="V_ALL_SECTIONS_ISSR_208000430" localSheetId="11">Ticker0024_Validation_Sheet!$5:$5,Ticker0024_Validation_Sheet!$8:$8,Ticker0024_Validation_Sheet!$10:$10,Ticker0024_Validation_Sheet!$31:$31,Ticker0024_Validation_Sheet!$53:$53,Ticker0024_Validation_Sheet!$85:$85,Ticker0024_Validation_Sheet!$105:$105,Ticker0024_Validation_Sheet!$123:$123,Ticker0024_Validation_Sheet!$138:$138,Ticker0024_Validation_Sheet!$166:$166,Ticker0024_Validation_Sheet!$229:$229,Ticker0024_Validation_Sheet!$232:$232,Ticker0024_Validation_Sheet!$248:$248</definedName>
    <definedName name="V_CURRENCY_EQTY_200001320_PRI" localSheetId="11">Ticker0024_Validation_Sheet!$E$265</definedName>
    <definedName name="V_CURRENCY_EQTY_200001320_PUB" localSheetId="11">Ticker0024_Validation_Sheet!$E$264</definedName>
    <definedName name="V_CURRENCY_EQTY_200001320_REP" localSheetId="11">Ticker0024_Validation_Sheet!$E$266</definedName>
    <definedName name="V_CURRENCY_ISSR_208000430_REP" localSheetId="11">Ticker0024_Validation_Sheet!$E$7</definedName>
    <definedName name="V_ENTITY_DATA_EQTY_200001320" localSheetId="11">Ticker0024_Validation_Sheet!$E$260:$FT$331</definedName>
    <definedName name="V_ENTITY_DATA_ISSR_208000430" localSheetId="11">Ticker0024_Validation_Sheet!$E$5:$FT$258</definedName>
    <definedName name="V_KEYWORD_EQTY_200001320_AMER_LIST" localSheetId="11">Ticker0024_Validation_Sheet!$268:$268</definedName>
    <definedName name="V_KEYWORD_EQTY_200001320_BETA_ANALYST" localSheetId="11">Ticker0024_Validation_Sheet!$329:$329</definedName>
    <definedName name="V_KEYWORD_EQTY_200001320_BVPS" localSheetId="11">Ticker0024_Validation_Sheet!$320:$320</definedName>
    <definedName name="V_KEYWORD_EQTY_200001320_BVPS_PUB" localSheetId="11">Ticker0024_Validation_Sheet!$278:$278</definedName>
    <definedName name="V_KEYWORD_EQTY_200001320_CEEE_EPS" localSheetId="11">Ticker0024_Validation_Sheet!$283:$283</definedName>
    <definedName name="V_KEYWORD_EQTY_200001320_CEEE_NDEBT" localSheetId="11">Ticker0024_Validation_Sheet!$288:$288</definedName>
    <definedName name="V_KEYWORD_EQTY_200001320_CF_NI_PRE_PREF" localSheetId="11">Ticker0024_Validation_Sheet!$327:$327</definedName>
    <definedName name="V_KEYWORD_EQTY_200001320_COMMON_DIV_PAID" localSheetId="11">Ticker0024_Validation_Sheet!$306:$306</definedName>
    <definedName name="V_KEYWORD_EQTY_200001320_CURRENCY_ISO" localSheetId="11">Ticker0024_Validation_Sheet!$266:$266</definedName>
    <definedName name="V_KEYWORD_EQTY_200001320_DILUTE_SHARES" localSheetId="11">Ticker0024_Validation_Sheet!$309:$309</definedName>
    <definedName name="V_KEYWORD_EQTY_200001320_DPS" localSheetId="11">Ticker0024_Validation_Sheet!$307:$307</definedName>
    <definedName name="V_KEYWORD_EQTY_200001320_DPS_PUB" localSheetId="11">Ticker0024_Validation_Sheet!$279:$279</definedName>
    <definedName name="V_KEYWORD_EQTY_200001320_DPS_SPECIAL_PUB" localSheetId="11">Ticker0024_Validation_Sheet!$280:$280</definedName>
    <definedName name="V_KEYWORD_EQTY_200001320_EBIT_PUB" localSheetId="11">Ticker0024_Validation_Sheet!$290:$290</definedName>
    <definedName name="V_KEYWORD_EQTY_200001320_EBITDA_PUB" localSheetId="11">Ticker0024_Validation_Sheet!$281:$281</definedName>
    <definedName name="V_KEYWORD_EQTY_200001320_EPS" localSheetId="11">Ticker0024_Validation_Sheet!$302:$302</definedName>
    <definedName name="V_KEYWORD_EQTY_200001320_EPS_EX_ESO_B" localSheetId="11">Ticker0024_Validation_Sheet!$316:$316</definedName>
    <definedName name="V_KEYWORD_EQTY_200001320_EPS_EX_ESO_D" localSheetId="11">Ticker0024_Validation_Sheet!$317:$317</definedName>
    <definedName name="V_KEYWORD_EQTY_200001320_EPS_FUL_DIL" localSheetId="11">Ticker0024_Validation_Sheet!$303:$303</definedName>
    <definedName name="V_KEYWORD_EQTY_200001320_EPS_POST_BASIC" localSheetId="11">Ticker0024_Validation_Sheet!$304:$304</definedName>
    <definedName name="V_KEYWORD_EQTY_200001320_EPS_PUB" localSheetId="11">Ticker0024_Validation_Sheet!$282:$282</definedName>
    <definedName name="V_KEYWORD_EQTY_200001320_EPS_PUB_EX_ESO" localSheetId="11">Ticker0024_Validation_Sheet!$284:$284</definedName>
    <definedName name="V_KEYWORD_EQTY_200001320_EQ_PUB" localSheetId="11">Ticker0024_Validation_Sheet!$293:$293</definedName>
    <definedName name="V_KEYWORD_EQTY_200001320_ESO_POST_TAX" localSheetId="11">Ticker0024_Validation_Sheet!$315:$315</definedName>
    <definedName name="V_KEYWORD_EQTY_200001320_ESO_YEAR" localSheetId="11">Ticker0024_Validation_Sheet!$318:$318</definedName>
    <definedName name="V_KEYWORD_EQTY_200001320_EV_ADJ_PUB" localSheetId="11">Ticker0024_Validation_Sheet!$285:$285</definedName>
    <definedName name="V_KEYWORD_EQTY_200001320_FREE_FLOAT" localSheetId="11">Ticker0024_Validation_Sheet!$276:$276</definedName>
    <definedName name="V_KEYWORD_EQTY_200001320_FULLY_DIL_EPS" localSheetId="11">Ticker0024_Validation_Sheet!$305:$305</definedName>
    <definedName name="V_KEYWORD_EQTY_200001320_FV_GRANT" localSheetId="11">Ticker0024_Validation_Sheet!$314:$314</definedName>
    <definedName name="V_KEYWORD_EQTY_200001320_INC_MINORITY" localSheetId="11">Ticker0024_Validation_Sheet!$296:$296</definedName>
    <definedName name="V_KEYWORD_EQTY_200001320_Interim_Type" localSheetId="11">Ticker0024_Validation_Sheet!$263:$263</definedName>
    <definedName name="V_KEYWORD_EQTY_200001320_LEGAL_RATING" localSheetId="11">Ticker0024_Validation_Sheet!$270:$270</definedName>
    <definedName name="V_KEYWORD_EQTY_200001320_MARGIN_TAX_RATE" localSheetId="11">Ticker0024_Validation_Sheet!$312:$312</definedName>
    <definedName name="V_KEYWORD_EQTY_200001320_MKT_EQ_RISK_PREM" localSheetId="11">Ticker0024_Validation_Sheet!$330:$330</definedName>
    <definedName name="V_KEYWORD_EQTY_200001320_NET_DEBT_EX_LEASES_PUB" localSheetId="11">Ticker0024_Validation_Sheet!$287:$287</definedName>
    <definedName name="V_KEYWORD_EQTY_200001320_NET_DEBT_PUB" localSheetId="11">Ticker0024_Validation_Sheet!$286:$286</definedName>
    <definedName name="V_KEYWORD_EQTY_200001320_NET_EARNING" localSheetId="11">Ticker0024_Validation_Sheet!$299:$299</definedName>
    <definedName name="V_KEYWORD_EQTY_200001320_NET_INC" localSheetId="11">Ticker0024_Validation_Sheet!$301:$301</definedName>
    <definedName name="V_KEYWORD_EQTY_200001320_NI_PRE_PREF" localSheetId="11">Ticker0024_Validation_Sheet!$297:$297</definedName>
    <definedName name="V_KEYWORD_EQTY_200001320_NI_PUB" localSheetId="11">Ticker0024_Validation_Sheet!$289:$289</definedName>
    <definedName name="V_KEYWORD_EQTY_200001320_NON_OP_ADD" localSheetId="11">Ticker0024_Validation_Sheet!$310:$310</definedName>
    <definedName name="V_KEYWORD_EQTY_200001320_NOT_IN_USE" localSheetId="11">Ticker0024_Validation_Sheet!$269:$269</definedName>
    <definedName name="V_KEYWORD_EQTY_200001320_NUM_SH" localSheetId="11">Ticker0024_Validation_Sheet!$275:$275</definedName>
    <definedName name="V_KEYWORD_EQTY_200001320_PREF_DIV" localSheetId="11">Ticker0024_Validation_Sheet!$298:$298</definedName>
    <definedName name="V_KEYWORD_EQTY_200001320_PRICE_CURRENCY_ISO" localSheetId="11">Ticker0024_Validation_Sheet!$265:$265</definedName>
    <definedName name="V_KEYWORD_EQTY_200001320_PROV_INC_TAX" localSheetId="11">Ticker0024_Validation_Sheet!$295:$295</definedName>
    <definedName name="V_KEYWORD_EQTY_200001320_PTP_PUB" localSheetId="11">Ticker0024_Validation_Sheet!$291:$291</definedName>
    <definedName name="V_KEYWORD_EQTY_200001320_PUB_CURRENCY_ISO" localSheetId="11">Ticker0024_Validation_Sheet!$264:$264</definedName>
    <definedName name="V_KEYWORD_EQTY_200001320_REPUR_ACTUAL" localSheetId="11">Ticker0024_Validation_Sheet!$325:$325</definedName>
    <definedName name="V_KEYWORD_EQTY_200001320_REPUR_REMAINING" localSheetId="11">Ticker0024_Validation_Sheet!$323:$323</definedName>
    <definedName name="V_KEYWORD_EQTY_200001320_REPUR_SUSPENDED" localSheetId="11">Ticker0024_Validation_Sheet!$324:$324</definedName>
    <definedName name="V_KEYWORD_EQTY_200001320_REPUR_TOT_AUTH" localSheetId="11">Ticker0024_Validation_Sheet!$322:$322</definedName>
    <definedName name="V_KEYWORD_EQTY_200001320_REVS_PUB" localSheetId="11">Ticker0024_Validation_Sheet!$292:$292</definedName>
    <definedName name="V_KEYWORD_EQTY_200001320_RISK_FR_RATE" localSheetId="11">Ticker0024_Validation_Sheet!$331:$331</definedName>
    <definedName name="V_KEYWORD_EQTY_200001320_Security_Name" localSheetId="11">Ticker0024_Validation_Sheet!$262:$262</definedName>
    <definedName name="V_KEYWORD_EQTY_200001320_SH" localSheetId="11">Ticker0024_Validation_Sheet!$308:$308</definedName>
    <definedName name="V_KEYWORD_EQTY_200001320_TARGET_PRICE" localSheetId="11">Ticker0024_Validation_Sheet!$271:$271</definedName>
    <definedName name="V_KEYWORD_EQTY_200001320_TARGET_PRICE_FUNDAMENTAL" localSheetId="11">Ticker0024_Validation_Sheet!$273:$273</definedName>
    <definedName name="V_KEYWORD_EQTY_200001320_TARGET_PRICE_MA" localSheetId="11">Ticker0024_Validation_Sheet!$274:$274</definedName>
    <definedName name="V_KEYWORD_EQTY_200001320_TAX_EXC" localSheetId="11">Ticker0024_Validation_Sheet!$300:$300</definedName>
    <definedName name="V_KEYWORD_EQTY_200001320_Ticker" localSheetId="11">Ticker0024_Validation_Sheet!$261:$261</definedName>
    <definedName name="V_KEYWORD_EQTY_200001320_TP_PERIOD" localSheetId="11">Ticker0024_Validation_Sheet!$272:$272</definedName>
    <definedName name="V_KEYWORD_ISSR_208000430_ACC_AMORT" localSheetId="11">Ticker0024_Validation_Sheet!$63:$63</definedName>
    <definedName name="V_KEYWORD_ISSR_208000430_ACC_DDA" localSheetId="11">Ticker0024_Validation_Sheet!$60:$60</definedName>
    <definedName name="V_KEYWORD_ISSR_208000430_ACC_END_DATE" localSheetId="11">Ticker0024_Validation_Sheet!$3:$3</definedName>
    <definedName name="V_KEYWORD_ISSR_208000430_ACC_PAY_GQ" localSheetId="11">Ticker0024_Validation_Sheet!$69:$69</definedName>
    <definedName name="V_KEYWORD_ISSR_208000430_ACQ" localSheetId="11">Ticker0024_Validation_Sheet!$112:$112</definedName>
    <definedName name="V_KEYWORD_ISSR_208000430_ADJ_UNF_PENS_GOOD" localSheetId="11">Ticker0024_Validation_Sheet!$100:$100</definedName>
    <definedName name="V_KEYWORD_ISSR_208000430_ASSOC_JV_ADDBK" localSheetId="11">Ticker0024_Validation_Sheet!$124:$124</definedName>
    <definedName name="V_KEYWORD_ISSR_208000430_ASSOCIATE" localSheetId="11">Ticker0024_Validation_Sheet!$27:$27</definedName>
    <definedName name="V_KEYWORD_ISSR_208000430_ASSOCIATE_OP" localSheetId="11">Ticker0024_Validation_Sheet!$36:$36</definedName>
    <definedName name="V_KEYWORD_ISSR_208000430_BAL_MINO_INT" localSheetId="11">Ticker0024_Validation_Sheet!$103:$103</definedName>
    <definedName name="V_KEYWORD_ISSR_208000430_CAP_LEASES" localSheetId="11">Ticker0024_Validation_Sheet!$91:$91</definedName>
    <definedName name="V_KEYWORD_ISSR_208000430_CAPEX" localSheetId="11">Ticker0024_Validation_Sheet!$111:$111</definedName>
    <definedName name="V_KEYWORD_ISSR_208000430_CAPEX_EXPANSION" localSheetId="11">Ticker0024_Validation_Sheet!$134:$134</definedName>
    <definedName name="V_KEYWORD_ISSR_208000430_CAPEX_MAINTENANCE" localSheetId="11">Ticker0024_Validation_Sheet!$133:$133</definedName>
    <definedName name="V_KEYWORD_ISSR_208000430_CASH_EQ" localSheetId="11">Ticker0024_Validation_Sheet!$54:$54</definedName>
    <definedName name="V_KEYWORD_ISSR_208000430_CASH_INT_EXP" localSheetId="11">Ticker0024_Validation_Sheet!$130:$130</definedName>
    <definedName name="V_KEYWORD_ISSR_208000430_CASH_PCT_OS_US" localSheetId="11">Ticker0024_Validation_Sheet!$226:$226</definedName>
    <definedName name="V_KEYWORD_ISSR_208000430_CASH_TAX_EXP" localSheetId="11">Ticker0024_Validation_Sheet!$131:$131</definedName>
    <definedName name="V_KEYWORD_ISSR_208000430_CF_FIN" localSheetId="11">Ticker0024_Validation_Sheet!$121:$121</definedName>
    <definedName name="V_KEYWORD_ISSR_208000430_CF_INC_MINORITY" localSheetId="11">Ticker0024_Validation_Sheet!$106:$106</definedName>
    <definedName name="V_KEYWORD_ISSR_208000430_CF_INV" localSheetId="11">Ticker0024_Validation_Sheet!$115:$115</definedName>
    <definedName name="V_KEYWORD_ISSR_208000430_CF_OPS" localSheetId="11">Ticker0024_Validation_Sheet!$110:$110</definedName>
    <definedName name="V_KEYWORD_ISSR_208000430_CHG_DEF_TAX_CF" localSheetId="11">Ticker0024_Validation_Sheet!$128:$128</definedName>
    <definedName name="V_KEYWORD_ISSR_208000430_CHG_LT_DEBT" localSheetId="11">Ticker0024_Validation_Sheet!$118:$118</definedName>
    <definedName name="V_KEYWORD_ISSR_208000430_CO_BOR_MARGIN" localSheetId="11">Ticker0024_Validation_Sheet!$96:$96</definedName>
    <definedName name="V_KEYWORD_ISSR_208000430_COGS_N_GAAP" localSheetId="11">Ticker0024_Validation_Sheet!$45:$45</definedName>
    <definedName name="V_KEYWORD_ISSR_208000430_COGS_PCT_ROW" localSheetId="11">Ticker0024_Validation_Sheet!$217:$217</definedName>
    <definedName name="V_KEYWORD_ISSR_208000430_COGS_PCT_US" localSheetId="11">Ticker0024_Validation_Sheet!$216:$216</definedName>
    <definedName name="V_KEYWORD_ISSR_208000430_COST_GD_SD" localSheetId="11">Ticker0024_Validation_Sheet!$12:$12</definedName>
    <definedName name="V_KEYWORD_ISSR_208000430_CUR_ASS" localSheetId="11">Ticker0024_Validation_Sheet!$58:$58</definedName>
    <definedName name="V_KEYWORD_ISSR_208000430_CUR_REM_PERF_OBLIG" localSheetId="11">Ticker0024_Validation_Sheet!$145:$145</definedName>
    <definedName name="V_KEYWORD_ISSR_208000430_CURRENCY_ISO" localSheetId="11">Ticker0024_Validation_Sheet!$7:$7</definedName>
    <definedName name="V_KEYWORD_ISSR_208000430_DEBTORS" localSheetId="11">Ticker0024_Validation_Sheet!$55:$55</definedName>
    <definedName name="V_KEYWORD_ISSR_208000430_DEF_INC_TAX" localSheetId="11">Ticker0024_Validation_Sheet!$92:$92</definedName>
    <definedName name="V_KEYWORD_ISSR_208000430_DEPR_AMORT" localSheetId="11">Ticker0024_Validation_Sheet!$107:$107</definedName>
    <definedName name="V_KEYWORD_ISSR_208000430_DEPR_ROU_ASSETS" localSheetId="11">Ticker0024_Validation_Sheet!$37:$37</definedName>
    <definedName name="V_KEYWORD_ISSR_208000430_DEPREC" localSheetId="11">Ticker0024_Validation_Sheet!$21:$21</definedName>
    <definedName name="V_KEYWORD_ISSR_208000430_DIV_PAID" localSheetId="11">Ticker0024_Validation_Sheet!$116:$116</definedName>
    <definedName name="V_KEYWORD_ISSR_208000430_DIVDS_ASSOC_JV" localSheetId="11">Ticker0024_Validation_Sheet!$132:$132</definedName>
    <definedName name="V_KEYWORD_ISSR_208000430_DIVDS_PD_MINORITIES" localSheetId="11">Ticker0024_Validation_Sheet!$136:$136</definedName>
    <definedName name="V_KEYWORD_ISSR_208000430_DIVEST" localSheetId="11">Ticker0024_Validation_Sheet!$113:$113</definedName>
    <definedName name="V_KEYWORD_ISSR_208000430_EBIT" localSheetId="11">Ticker0024_Validation_Sheet!$23:$23</definedName>
    <definedName name="V_KEYWORD_ISSR_208000430_EBIT_FIN_SEGMENT" localSheetId="11">Ticker0024_Validation_Sheet!$228:$228</definedName>
    <definedName name="V_KEYWORD_ISSR_208000430_EBITDA_CALC" localSheetId="11">Ticker0024_Validation_Sheet!$20:$20</definedName>
    <definedName name="V_KEYWORD_ISSR_208000430_EMPLOYEES" localSheetId="11">Ticker0024_Validation_Sheet!$141:$141</definedName>
    <definedName name="V_KEYWORD_ISSR_208000430_EQ" localSheetId="11">Ticker0024_Validation_Sheet!$83:$83</definedName>
    <definedName name="V_KEYWORD_ISSR_208000430_ESO_PRE_TAX" localSheetId="11">Ticker0024_Validation_Sheet!$16:$16</definedName>
    <definedName name="V_KEYWORD_ISSR_208000430_EXP_OIL_DERIV_NGLS_PLASTICS" localSheetId="11">Ticker0024_Validation_Sheet!$231:$231</definedName>
    <definedName name="V_KEYWORD_ISSR_208000430_EXP_OIL_PETRO_FUEL" localSheetId="11">Ticker0024_Validation_Sheet!$230:$230</definedName>
    <definedName name="V_KEYWORD_ISSR_208000430_FCF_UNLEVERED" localSheetId="11">Ticker0024_Validation_Sheet!$137:$137</definedName>
    <definedName name="V_KEYWORD_ISSR_208000430_FIX_ASS_INV" localSheetId="11">Ticker0024_Validation_Sheet!$65:$65</definedName>
    <definedName name="V_KEYWORD_ISSR_208000430_FLOATING_PCT_LOCAL_DEBT" localSheetId="11">Ticker0024_Validation_Sheet!$88:$88</definedName>
    <definedName name="V_KEYWORD_ISSR_208000430_FLOATING_PCT_LOCAL_DEBT_HEDGED" localSheetId="11">Ticker0024_Validation_Sheet!$89:$89</definedName>
    <definedName name="V_KEYWORD_ISSR_208000430_GCI_INFL" localSheetId="11">Ticker0024_Validation_Sheet!$102:$102</definedName>
    <definedName name="V_KEYWORD_ISSR_208000430_GEN_ADMIN_N_GAAP" localSheetId="11">Ticker0024_Validation_Sheet!$47:$47</definedName>
    <definedName name="V_KEYWORD_ISSR_208000430_GOODWILL_AMORT" localSheetId="11">Ticker0024_Validation_Sheet!$22:$22</definedName>
    <definedName name="V_KEYWORD_ISSR_208000430_GR_FIX_ASS" localSheetId="11">Ticker0024_Validation_Sheet!$59:$59</definedName>
    <definedName name="V_KEYWORD_ISSR_208000430_GR_INTANG" localSheetId="11">Ticker0024_Validation_Sheet!$62:$62</definedName>
    <definedName name="V_KEYWORD_ISSR_208000430_GROSS_PROFIT_N_GAAP" localSheetId="11">Ticker0024_Validation_Sheet!$46:$46</definedName>
    <definedName name="V_KEYWORD_ISSR_208000430_INT_EXP_IND" localSheetId="11">Ticker0024_Validation_Sheet!$25:$25</definedName>
    <definedName name="V_KEYWORD_ISSR_208000430_INT_INC_IND" localSheetId="11">Ticker0024_Validation_Sheet!$24:$24</definedName>
    <definedName name="V_KEYWORD_ISSR_208000430_INV_SECUR" localSheetId="11">Ticker0024_Validation_Sheet!$66:$66</definedName>
    <definedName name="V_KEYWORD_ISSR_208000430_Issuer_Name" localSheetId="11">Ticker0024_Validation_Sheet!$6:$6</definedName>
    <definedName name="V_KEYWORD_ISSR_208000430_LEASE_ADOPT" localSheetId="11">Ticker0024_Validation_Sheet!$39:$39</definedName>
    <definedName name="V_KEYWORD_ISSR_208000430_LEASE_DEEM_DEPR" localSheetId="11">Ticker0024_Validation_Sheet!$34:$34</definedName>
    <definedName name="V_KEYWORD_ISSR_208000430_LEASE_DEEM_INT" localSheetId="11">Ticker0024_Validation_Sheet!$33:$33</definedName>
    <definedName name="V_KEYWORD_ISSR_208000430_LEASE_INT_CHG" localSheetId="11">Ticker0024_Validation_Sheet!$38:$38</definedName>
    <definedName name="V_KEYWORD_ISSR_208000430_LEASE_PAY" localSheetId="11">Ticker0024_Validation_Sheet!$32:$32</definedName>
    <definedName name="V_KEYWORD_ISSR_208000430_LEASE_PRINCIPAL_CASH" localSheetId="11">Ticker0024_Validation_Sheet!$119:$119</definedName>
    <definedName name="V_KEYWORD_ISSR_208000430_LICENSE_REV" localSheetId="11">Ticker0024_Validation_Sheet!$139:$139</definedName>
    <definedName name="V_KEYWORD_ISSR_208000430_LT_DEBT" localSheetId="11">Ticker0024_Validation_Sheet!$75:$75</definedName>
    <definedName name="V_KEYWORD_ISSR_208000430_LT_LEASE_LIAB" localSheetId="11">Ticker0024_Validation_Sheet!$76:$76</definedName>
    <definedName name="V_KEYWORD_ISSR_208000430_MA_PROB" localSheetId="11">Ticker0024_Validation_Sheet!$9:$9</definedName>
    <definedName name="V_KEYWORD_ISSR_208000430_MAINTEN_REV" localSheetId="11">Ticker0024_Validation_Sheet!$140:$140</definedName>
    <definedName name="V_KEYWORD_ISSR_208000430_MINORITIES" localSheetId="11">Ticker0024_Validation_Sheet!$82:$82</definedName>
    <definedName name="V_KEYWORD_ISSR_208000430_MV_ASSOCIATES" localSheetId="11">Ticker0024_Validation_Sheet!$94:$94</definedName>
    <definedName name="V_KEYWORD_ISSR_208000430_NET_DEBT" localSheetId="11">Ticker0024_Validation_Sheet!$90:$90</definedName>
    <definedName name="V_KEYWORD_ISSR_208000430_NET_DEBT_ADJ" localSheetId="11">Ticker0024_Validation_Sheet!$95:$95</definedName>
    <definedName name="V_KEYWORD_ISSR_208000430_NET_FIX_ASS" localSheetId="11">Ticker0024_Validation_Sheet!$61:$61</definedName>
    <definedName name="V_KEYWORD_ISSR_208000430_NET_INC_N_GAAP" localSheetId="11">Ticker0024_Validation_Sheet!$52:$52</definedName>
    <definedName name="V_KEYWORD_ISSR_208000430_NET_INT_CH" localSheetId="11">Ticker0024_Validation_Sheet!$35:$35</definedName>
    <definedName name="V_KEYWORD_ISSR_208000430_NET_INT_EXP" localSheetId="11">Ticker0024_Validation_Sheet!$26:$26</definedName>
    <definedName name="V_KEYWORD_ISSR_208000430_NET_INTANG" localSheetId="11">Ticker0024_Validation_Sheet!$64:$64</definedName>
    <definedName name="V_KEYWORD_ISSR_208000430_NET_OP_LOSS_CFWD" localSheetId="11">Ticker0024_Validation_Sheet!$93:$93</definedName>
    <definedName name="V_KEYWORD_ISSR_208000430_NONPPE_CAPEX" localSheetId="11">Ticker0024_Validation_Sheet!$135:$135</definedName>
    <definedName name="V_KEYWORD_ISSR_208000430_OP_COST" localSheetId="11">Ticker0024_Validation_Sheet!$14:$14</definedName>
    <definedName name="V_KEYWORD_ISSR_208000430_OP_INC_N_GAAP" localSheetId="11">Ticker0024_Validation_Sheet!$51:$51</definedName>
    <definedName name="V_KEYWORD_ISSR_208000430_OPS_EXP_N_GAAP" localSheetId="11">Ticker0024_Validation_Sheet!$50:$50</definedName>
    <definedName name="V_KEYWORD_ISSR_208000430_ORD_SH_FUND" localSheetId="11">Ticker0024_Validation_Sheet!$81:$81</definedName>
    <definedName name="V_KEYWORD_ISSR_208000430_OTH_ADJ_CASH_TAX" localSheetId="11">Ticker0024_Validation_Sheet!$129:$129</definedName>
    <definedName name="V_KEYWORD_ISSR_208000430_OTH_COST_INC" localSheetId="11">Ticker0024_Validation_Sheet!$29:$29</definedName>
    <definedName name="V_KEYWORD_ISSR_208000430_OTH_CUR_ASS" localSheetId="11">Ticker0024_Validation_Sheet!$57:$57</definedName>
    <definedName name="V_KEYWORD_ISSR_208000430_OTH_CUR_LIABS" localSheetId="11">Ticker0024_Validation_Sheet!$72:$72</definedName>
    <definedName name="V_KEYWORD_ISSR_208000430_OTH_DACF_ADJ" localSheetId="11">Ticker0024_Validation_Sheet!$127:$127</definedName>
    <definedName name="V_KEYWORD_ISSR_208000430_OTH_FIN_CF" localSheetId="11">Ticker0024_Validation_Sheet!$120:$120</definedName>
    <definedName name="V_KEYWORD_ISSR_208000430_OTH_GCI_ADJ" localSheetId="11">Ticker0024_Validation_Sheet!$101:$101</definedName>
    <definedName name="V_KEYWORD_ISSR_208000430_OTH_INV_CF" localSheetId="11">Ticker0024_Validation_Sheet!$114:$114</definedName>
    <definedName name="V_KEYWORD_ISSR_208000430_OTH_LT_ASS" localSheetId="11">Ticker0024_Validation_Sheet!$67:$67</definedName>
    <definedName name="V_KEYWORD_ISSR_208000430_OTH_LT_CRED_GQ" localSheetId="11">Ticker0024_Validation_Sheet!$77:$77</definedName>
    <definedName name="V_KEYWORD_ISSR_208000430_OTH_NONCASH_ADJ" localSheetId="11">Ticker0024_Validation_Sheet!$126:$126</definedName>
    <definedName name="V_KEYWORD_ISSR_208000430_OTH_OP_CF" localSheetId="11">Ticker0024_Validation_Sheet!$109:$109</definedName>
    <definedName name="V_KEYWORD_ISSR_208000430_OTH_OP_INC_EXP" localSheetId="11">Ticker0024_Validation_Sheet!$17:$17</definedName>
    <definedName name="V_KEYWORD_ISSR_208000430_PERIOD_MILESTONE" localSheetId="11">Ticker0024_Validation_Sheet!$2:$2</definedName>
    <definedName name="V_KEYWORD_ISSR_208000430_PL_SALE_ASSETS" localSheetId="11">Ticker0024_Validation_Sheet!$125:$125</definedName>
    <definedName name="V_KEYWORD_ISSR_208000430_PREF_SH" localSheetId="11">Ticker0024_Validation_Sheet!$80:$80</definedName>
    <definedName name="V_KEYWORD_ISSR_208000430_PROFIT_ON_DISP" localSheetId="11">Ticker0024_Validation_Sheet!$28:$28</definedName>
    <definedName name="V_KEYWORD_ISSR_208000430_PT_PROF" localSheetId="11">Ticker0024_Validation_Sheet!$30:$30</definedName>
    <definedName name="V_KEYWORD_ISSR_208000430_RD_EXP" localSheetId="11">Ticker0024_Validation_Sheet!$15:$15</definedName>
    <definedName name="V_KEYWORD_ISSR_208000430_RD_N_GAAP" localSheetId="11">Ticker0024_Validation_Sheet!$49:$49</definedName>
    <definedName name="V_KEYWORD_ISSR_208000430_REM_PERF_OBLIG" localSheetId="11">Ticker0024_Validation_Sheet!$144:$144</definedName>
    <definedName name="V_KEYWORD_ISSR_208000430_REV_FIN_SEGMENT" localSheetId="11">Ticker0024_Validation_Sheet!$227:$227</definedName>
    <definedName name="V_KEYWORD_ISSR_208000430_ROU_ASSET" localSheetId="11">Ticker0024_Validation_Sheet!$104:$104</definedName>
    <definedName name="V_KEYWORD_ISSR_208000430_SALES" localSheetId="11">Ticker0024_Validation_Sheet!$11:$11</definedName>
    <definedName name="V_KEYWORD_ISSR_208000430_SALES_ARGENTINA" localSheetId="11">Ticker0024_Validation_Sheet!$170:$170</definedName>
    <definedName name="V_KEYWORD_ISSR_208000430_SALES_AUSTRA" localSheetId="11">Ticker0024_Validation_Sheet!$213:$213</definedName>
    <definedName name="V_KEYWORD_ISSR_208000430_SALES_AUSTRIA" localSheetId="11">Ticker0024_Validation_Sheet!$177:$177</definedName>
    <definedName name="V_KEYWORD_ISSR_208000430_SALES_COMPANY0377" localSheetId="11">Ticker0024_Validation_Sheet!$178:$178</definedName>
    <definedName name="V_KEYWORD_ISSR_208000430_SALES_BRAZIL" localSheetId="11">Ticker0024_Validation_Sheet!$171:$171</definedName>
    <definedName name="V_KEYWORD_ISSR_208000430_SALES_CANADA" localSheetId="11">Ticker0024_Validation_Sheet!$167:$167</definedName>
    <definedName name="V_KEYWORD_ISSR_208000430_SALES_CEE" localSheetId="11">Ticker0024_Validation_Sheet!$253:$253</definedName>
    <definedName name="V_KEYWORD_ISSR_208000430_SALES_CHILE" localSheetId="11">Ticker0024_Validation_Sheet!$172:$172</definedName>
    <definedName name="V_KEYWORD_ISSR_208000430_SALES_CHINA" localSheetId="11">Ticker0024_Validation_Sheet!$208:$208</definedName>
    <definedName name="V_KEYWORD_ISSR_208000430_SALES_COLOMBIA" localSheetId="11">Ticker0024_Validation_Sheet!$173:$173</definedName>
    <definedName name="V_KEYWORD_ISSR_208000430_SALES_CONS" localSheetId="11">Ticker0024_Validation_Sheet!$220:$220</definedName>
    <definedName name="V_KEYWORD_ISSR_208000430_SALES_EU_EX_UK" localSheetId="11">Ticker0024_Validation_Sheet!$252:$252</definedName>
    <definedName name="V_KEYWORD_ISSR_208000430_SALES_FINAN" localSheetId="11">Ticker0024_Validation_Sheet!$223:$223</definedName>
    <definedName name="V_KEYWORD_ISSR_208000430_SALES_FRA" localSheetId="11">Ticker0024_Validation_Sheet!$179:$179</definedName>
    <definedName name="V_KEYWORD_ISSR_208000430_SALES_FX_ARS" localSheetId="11">Ticker0024_Validation_Sheet!$244:$244</definedName>
    <definedName name="V_KEYWORD_ISSR_208000430_SALES_FX_BRL" localSheetId="11">Ticker0024_Validation_Sheet!$237:$237</definedName>
    <definedName name="V_KEYWORD_ISSR_208000430_SALES_FX_CAD" localSheetId="11">Ticker0024_Validation_Sheet!$241:$241</definedName>
    <definedName name="V_KEYWORD_ISSR_208000430_SALES_FX_CLP" localSheetId="11">Ticker0024_Validation_Sheet!$245:$245</definedName>
    <definedName name="V_KEYWORD_ISSR_208000430_SALES_FX_CNY" localSheetId="11">Ticker0024_Validation_Sheet!$239:$239</definedName>
    <definedName name="V_KEYWORD_ISSR_208000430_SALES_FX_COP" localSheetId="11">Ticker0024_Validation_Sheet!$243:$243</definedName>
    <definedName name="V_KEYWORD_ISSR_208000430_SALES_FX_EUR" localSheetId="11">Ticker0024_Validation_Sheet!$234:$234</definedName>
    <definedName name="V_KEYWORD_ISSR_208000430_SALES_FX_GPB" localSheetId="11">Ticker0024_Validation_Sheet!$233:$233</definedName>
    <definedName name="V_KEYWORD_ISSR_208000430_SALES_FX_INR" localSheetId="11">Ticker0024_Validation_Sheet!$240:$240</definedName>
    <definedName name="V_KEYWORD_ISSR_208000430_SALES_FX_MXN" localSheetId="11">Ticker0024_Validation_Sheet!$242:$242</definedName>
    <definedName name="V_KEYWORD_ISSR_208000430_SALES_FX_OTH" localSheetId="11">Ticker0024_Validation_Sheet!$247:$247</definedName>
    <definedName name="V_KEYWORD_ISSR_208000430_SALES_FX_RUB" localSheetId="11">Ticker0024_Validation_Sheet!$235:$235</definedName>
    <definedName name="V_KEYWORD_ISSR_208000430_SALES_FX_USD" localSheetId="11">Ticker0024_Validation_Sheet!$236:$236</definedName>
    <definedName name="V_KEYWORD_ISSR_208000430_SALES_FX_VEF" localSheetId="11">Ticker0024_Validation_Sheet!$246:$246</definedName>
    <definedName name="V_KEYWORD_ISSR_208000430_SALES_FX_YEN" localSheetId="11">Ticker0024_Validation_Sheet!$238:$238</definedName>
    <definedName name="V_KEYWORD_ISSR_208000430_SALES_GER" localSheetId="11">Ticker0024_Validation_Sheet!$180:$180</definedName>
    <definedName name="V_KEYWORD_ISSR_208000430_SALES_GOV" localSheetId="11">Ticker0024_Validation_Sheet!$222:$222</definedName>
    <definedName name="V_KEYWORD_ISSR_208000430_SALES_GRE" localSheetId="11">Ticker0024_Validation_Sheet!$181:$181</definedName>
    <definedName name="V_KEYWORD_ISSR_208000430_SALES_HONG_KONG" localSheetId="11">Ticker0024_Validation_Sheet!$202:$202</definedName>
    <definedName name="V_KEYWORD_ISSR_208000430_SALES_IND" localSheetId="11">Ticker0024_Validation_Sheet!$221:$221</definedName>
    <definedName name="V_KEYWORD_ISSR_208000430_SALES_INDIA" localSheetId="11">Ticker0024_Validation_Sheet!$209:$209</definedName>
    <definedName name="V_KEYWORD_ISSR_208000430_SALES_INDONESIA" localSheetId="11">Ticker0024_Validation_Sheet!$210:$210</definedName>
    <definedName name="V_KEYWORD_ISSR_208000430_SALES_IRE" localSheetId="11">Ticker0024_Validation_Sheet!$182:$182</definedName>
    <definedName name="V_KEYWORD_ISSR_208000430_SALES_ITA" localSheetId="11">Ticker0024_Validation_Sheet!$183:$183</definedName>
    <definedName name="V_KEYWORD_ISSR_208000430_SALES_JAPAN" localSheetId="11">Ticker0024_Validation_Sheet!$203:$203</definedName>
    <definedName name="V_KEYWORD_ISSR_208000430_SALES_MARKETING_N_GAAP" localSheetId="11">Ticker0024_Validation_Sheet!$48:$48</definedName>
    <definedName name="V_KEYWORD_ISSR_208000430_SALES_ME" localSheetId="11">Ticker0024_Validation_Sheet!$254:$254</definedName>
    <definedName name="V_KEYWORD_ISSR_208000430_SALES_MEXICO" localSheetId="11">Ticker0024_Validation_Sheet!$174:$174</definedName>
    <definedName name="V_KEYWORD_ISSR_208000430_SALES_NETH" localSheetId="11">Ticker0024_Validation_Sheet!$184:$184</definedName>
    <definedName name="V_KEYWORD_ISSR_208000430_SALES_NIGERIA" localSheetId="11">Ticker0024_Validation_Sheet!$199:$199</definedName>
    <definedName name="V_KEYWORD_ISSR_208000430_SALES_NOR" localSheetId="11">Ticker0024_Validation_Sheet!$185:$185</definedName>
    <definedName name="V_KEYWORD_ISSR_208000430_SALES_NZ" localSheetId="11">Ticker0024_Validation_Sheet!$214:$214</definedName>
    <definedName name="V_KEYWORD_ISSR_208000430_SALES_OIL_GAS" localSheetId="11">Ticker0024_Validation_Sheet!$224:$224</definedName>
    <definedName name="V_KEYWORD_ISSR_208000430_SALES_OTH_AEJ" localSheetId="11">Ticker0024_Validation_Sheet!$258:$258</definedName>
    <definedName name="V_KEYWORD_ISSR_208000430_SALES_OTH_AFRICA" localSheetId="11">Ticker0024_Validation_Sheet!$201:$201</definedName>
    <definedName name="V_KEYWORD_ISSR_208000430_SALES_OTH_AM" localSheetId="11">Ticker0024_Validation_Sheet!$250:$250</definedName>
    <definedName name="V_KEYWORD_ISSR_208000430_SALES_OTH_CEE" localSheetId="11">Ticker0024_Validation_Sheet!$195:$195</definedName>
    <definedName name="V_KEYWORD_ISSR_208000430_SALES_OTH_DEV_ASIA" localSheetId="11">Ticker0024_Validation_Sheet!$207:$207</definedName>
    <definedName name="V_KEYWORD_ISSR_208000430_SALES_OTH_EMEA" localSheetId="11">Ticker0024_Validation_Sheet!$256:$256</definedName>
    <definedName name="V_KEYWORD_ISSR_208000430_SALES_OTH_EMERG_ASIA" localSheetId="11">Ticker0024_Validation_Sheet!$212:$212</definedName>
    <definedName name="V_KEYWORD_ISSR_208000430_SALES_OTH_LATAM" localSheetId="11">Ticker0024_Validation_Sheet!$176:$176</definedName>
    <definedName name="V_KEYWORD_ISSR_208000430_SALES_OTH_ME" localSheetId="11">Ticker0024_Validation_Sheet!$198:$198</definedName>
    <definedName name="V_KEYWORD_ISSR_208000430_SALES_OTH_NO_AMER" localSheetId="11">Ticker0024_Validation_Sheet!$169:$169</definedName>
    <definedName name="V_KEYWORD_ISSR_208000430_SALES_OTH_WEST_EURO" localSheetId="11">Ticker0024_Validation_Sheet!$191:$191</definedName>
    <definedName name="V_KEYWORD_ISSR_208000430_SALES_OTHER" localSheetId="11">Ticker0024_Validation_Sheet!$215:$215</definedName>
    <definedName name="V_KEYWORD_ISSR_208000430_SALES_POLAND" localSheetId="11">Ticker0024_Validation_Sheet!$192:$192</definedName>
    <definedName name="V_KEYWORD_ISSR_208000430_SALES_POR" localSheetId="11">Ticker0024_Validation_Sheet!$186:$186</definedName>
    <definedName name="V_KEYWORD_ISSR_208000430_SALES_RUSSIA" localSheetId="11">Ticker0024_Validation_Sheet!$193:$193</definedName>
    <definedName name="V_KEYWORD_ISSR_208000430_SALES_SAUDI_ARABIA" localSheetId="11">Ticker0024_Validation_Sheet!$196:$196</definedName>
    <definedName name="V_KEYWORD_ISSR_208000430_SALES_SINGAPORE" localSheetId="11">Ticker0024_Validation_Sheet!$204:$204</definedName>
    <definedName name="V_KEYWORD_ISSR_208000430_SALES_SK" localSheetId="11">Ticker0024_Validation_Sheet!$205:$205</definedName>
    <definedName name="V_KEYWORD_ISSR_208000430_SALES_SMB" localSheetId="11">Ticker0024_Validation_Sheet!$225:$225</definedName>
    <definedName name="V_KEYWORD_ISSR_208000430_SALES_SO_AFRICA" localSheetId="11">Ticker0024_Validation_Sheet!$200:$200</definedName>
    <definedName name="V_KEYWORD_ISSR_208000430_SALES_SPA" localSheetId="11">Ticker0024_Validation_Sheet!$187:$187</definedName>
    <definedName name="V_KEYWORD_ISSR_208000430_SALES_SWE" localSheetId="11">Ticker0024_Validation_Sheet!$188:$188</definedName>
    <definedName name="V_KEYWORD_ISSR_208000430_SALES_SWIT" localSheetId="11">Ticker0024_Validation_Sheet!$189:$189</definedName>
    <definedName name="V_KEYWORD_ISSR_208000430_SALES_TAIWAN" localSheetId="11">Ticker0024_Validation_Sheet!$206:$206</definedName>
    <definedName name="V_KEYWORD_ISSR_208000430_SALES_THAILAND" localSheetId="11">Ticker0024_Validation_Sheet!$211:$211</definedName>
    <definedName name="V_KEYWORD_ISSR_208000430_SALES_TOT_AFRICA" localSheetId="11">Ticker0024_Validation_Sheet!$255:$255</definedName>
    <definedName name="V_KEYWORD_ISSR_208000430_SALES_TOT_AM" localSheetId="11">Ticker0024_Validation_Sheet!$249:$249</definedName>
    <definedName name="V_KEYWORD_ISSR_208000430_SALES_TOT_ASIA" localSheetId="11">Ticker0024_Validation_Sheet!$257:$257</definedName>
    <definedName name="V_KEYWORD_ISSR_208000430_SALES_TOT_EMEA" localSheetId="11">Ticker0024_Validation_Sheet!$251:$251</definedName>
    <definedName name="V_KEYWORD_ISSR_208000430_SALES_TURKEY" localSheetId="11">Ticker0024_Validation_Sheet!$194:$194</definedName>
    <definedName name="V_KEYWORD_ISSR_208000430_SALES_UAE" localSheetId="11">Ticker0024_Validation_Sheet!$197:$197</definedName>
    <definedName name="V_KEYWORD_ISSR_208000430_SALES_UK" localSheetId="11">Ticker0024_Validation_Sheet!$190:$190</definedName>
    <definedName name="V_KEYWORD_ISSR_208000430_SALES_US" localSheetId="11">Ticker0024_Validation_Sheet!$168:$168</definedName>
    <definedName name="V_KEYWORD_ISSR_208000430_SALES_VENEZUELA" localSheetId="11">Ticker0024_Validation_Sheet!$175:$175</definedName>
    <definedName name="V_KEYWORD_ISSR_208000430_SBC_COST_OF_GOODS_SOLD" localSheetId="11">Ticker0024_Validation_Sheet!$40:$40</definedName>
    <definedName name="V_KEYWORD_ISSR_208000430_SBC_GEN_ADMINISTRATIVE" localSheetId="11">Ticker0024_Validation_Sheet!$43:$43</definedName>
    <definedName name="V_KEYWORD_ISSR_208000430_SBC_RESEARCH_DEVELOPMENT" localSheetId="11">Ticker0024_Validation_Sheet!$42:$42</definedName>
    <definedName name="V_KEYWORD_ISSR_208000430_SBC_SALES_MARKETING" localSheetId="11">Ticker0024_Validation_Sheet!$41:$41</definedName>
    <definedName name="V_KEYWORD_ISSR_208000430_SBC_TOTAL" localSheetId="11">Ticker0024_Validation_Sheet!$44:$44</definedName>
    <definedName name="V_KEYWORD_ISSR_208000430_SEGMENT1_REV_NAME" localSheetId="11">Ticker0024_Validation_Sheet!$146:$146</definedName>
    <definedName name="V_KEYWORD_ISSR_208000430_SEGMENT1_REV_VALUE" localSheetId="11">Ticker0024_Validation_Sheet!$147:$147</definedName>
    <definedName name="V_KEYWORD_ISSR_208000430_SEGMENT10_REV_NAME" localSheetId="11">Ticker0024_Validation_Sheet!$164:$164</definedName>
    <definedName name="V_KEYWORD_ISSR_208000430_SEGMENT10_REV_VALUE" localSheetId="11">Ticker0024_Validation_Sheet!$165:$165</definedName>
    <definedName name="V_KEYWORD_ISSR_208000430_SEGMENT2_REV_NAME" localSheetId="11">Ticker0024_Validation_Sheet!$148:$148</definedName>
    <definedName name="V_KEYWORD_ISSR_208000430_SEGMENT2_REV_VALUE" localSheetId="11">Ticker0024_Validation_Sheet!$149:$149</definedName>
    <definedName name="V_KEYWORD_ISSR_208000430_SEGMENT3_REV_NAME" localSheetId="11">Ticker0024_Validation_Sheet!$150:$150</definedName>
    <definedName name="V_KEYWORD_ISSR_208000430_SEGMENT3_REV_VALUE" localSheetId="11">Ticker0024_Validation_Sheet!$151:$151</definedName>
    <definedName name="V_KEYWORD_ISSR_208000430_SEGMENT4_REV_NAME" localSheetId="11">Ticker0024_Validation_Sheet!$152:$152</definedName>
    <definedName name="V_KEYWORD_ISSR_208000430_SEGMENT4_REV_VALUE" localSheetId="11">Ticker0024_Validation_Sheet!$153:$153</definedName>
    <definedName name="V_KEYWORD_ISSR_208000430_SEGMENT5_REV_NAME" localSheetId="11">Ticker0024_Validation_Sheet!$154:$154</definedName>
    <definedName name="V_KEYWORD_ISSR_208000430_SEGMENT5_REV_VALUE" localSheetId="11">Ticker0024_Validation_Sheet!$155:$155</definedName>
    <definedName name="V_KEYWORD_ISSR_208000430_SEGMENT6_REV_NAME" localSheetId="11">Ticker0024_Validation_Sheet!$156:$156</definedName>
    <definedName name="V_KEYWORD_ISSR_208000430_SEGMENT6_REV_VALUE" localSheetId="11">Ticker0024_Validation_Sheet!$157:$157</definedName>
    <definedName name="V_KEYWORD_ISSR_208000430_SEGMENT7_REV_NAME" localSheetId="11">Ticker0024_Validation_Sheet!$158:$158</definedName>
    <definedName name="V_KEYWORD_ISSR_208000430_SEGMENT7_REV_VALUE" localSheetId="11">Ticker0024_Validation_Sheet!$159:$159</definedName>
    <definedName name="V_KEYWORD_ISSR_208000430_SEGMENT8_REV_NAME" localSheetId="11">Ticker0024_Validation_Sheet!$160:$160</definedName>
    <definedName name="V_KEYWORD_ISSR_208000430_SEGMENT8_REV_VALUE" localSheetId="11">Ticker0024_Validation_Sheet!$161:$161</definedName>
    <definedName name="V_KEYWORD_ISSR_208000430_SEGMENT9_REV_NAME" localSheetId="11">Ticker0024_Validation_Sheet!$162:$162</definedName>
    <definedName name="V_KEYWORD_ISSR_208000430_SEGMENT9_REV_VALUE" localSheetId="11">Ticker0024_Validation_Sheet!$163:$163</definedName>
    <definedName name="V_KEYWORD_ISSR_208000430_SEL_GL_AD" localSheetId="11">Ticker0024_Validation_Sheet!$13:$13</definedName>
    <definedName name="V_KEYWORD_ISSR_208000430_SGA_PCT_ROW" localSheetId="11">Ticker0024_Validation_Sheet!$219:$219</definedName>
    <definedName name="V_KEYWORD_ISSR_208000430_SGA_PCT_US" localSheetId="11">Ticker0024_Validation_Sheet!$218:$218</definedName>
    <definedName name="V_KEYWORD_ISSR_208000430_SH_REPUR" localSheetId="11">Ticker0024_Validation_Sheet!$117:$117</definedName>
    <definedName name="V_KEYWORD_ISSR_208000430_SHORT_T_DEBT" localSheetId="11">Ticker0024_Validation_Sheet!$70:$70</definedName>
    <definedName name="V_KEYWORD_ISSR_208000430_SHORT_TERM_LIABS" localSheetId="11">Ticker0024_Validation_Sheet!$73:$73</definedName>
    <definedName name="V_KEYWORD_ISSR_208000430_ST_BILLINGS" localSheetId="11">Ticker0024_Validation_Sheet!$143:$143</definedName>
    <definedName name="V_KEYWORD_ISSR_208000430_ST_LEASE_LIAB" localSheetId="11">Ticker0024_Validation_Sheet!$71:$71</definedName>
    <definedName name="V_KEYWORD_ISSR_208000430_STOCKS" localSheetId="11">Ticker0024_Validation_Sheet!$56:$56</definedName>
    <definedName name="V_KEYWORD_ISSR_208000430_TOT_ASSET" localSheetId="11">Ticker0024_Validation_Sheet!$68:$68</definedName>
    <definedName name="V_KEYWORD_ISSR_208000430_TOT_BILLINGS" localSheetId="11">Ticker0024_Validation_Sheet!$142:$142</definedName>
    <definedName name="V_KEYWORD_ISSR_208000430_TOT_CF" localSheetId="11">Ticker0024_Validation_Sheet!$122:$122</definedName>
    <definedName name="V_KEYWORD_ISSR_208000430_TOT_DEF_REV" localSheetId="11">Ticker0024_Validation_Sheet!$74:$74</definedName>
    <definedName name="V_KEYWORD_ISSR_208000430_TOT_LIAB" localSheetId="11">Ticker0024_Validation_Sheet!$79:$79</definedName>
    <definedName name="V_KEYWORD_ISSR_208000430_TOT_LIAB_EQ" localSheetId="11">Ticker0024_Validation_Sheet!$84:$84</definedName>
    <definedName name="V_KEYWORD_ISSR_208000430_TOT_LT_LIAB" localSheetId="11">Ticker0024_Validation_Sheet!$78:$78</definedName>
    <definedName name="V_KEYWORD_ISSR_208000430_TOT_OPS_EXP" localSheetId="11">Ticker0024_Validation_Sheet!$19:$19</definedName>
    <definedName name="V_KEYWORD_ISSR_208000430_TOT_OPS_EXP_DDA" localSheetId="11">Ticker0024_Validation_Sheet!$18:$18</definedName>
    <definedName name="V_KEYWORD_ISSR_208000430_TOT_PCT_USD_DEBT_HEDGED" localSheetId="11">Ticker0024_Validation_Sheet!$87:$87</definedName>
    <definedName name="V_KEYWORD_ISSR_208000430_TOT_USD_DEBT" localSheetId="11">Ticker0024_Validation_Sheet!$86:$86</definedName>
    <definedName name="V_KEYWORD_ISSR_208000430_UNF_PENS" localSheetId="11">Ticker0024_Validation_Sheet!$97:$97</definedName>
    <definedName name="V_KEYWORD_ISSR_208000430_UNF_PENS_LIAB_OTH" localSheetId="11">Ticker0024_Validation_Sheet!$99:$99</definedName>
    <definedName name="V_KEYWORD_ISSR_208000430_UNF_PENS_OFF" localSheetId="11">Ticker0024_Validation_Sheet!$98:$98</definedName>
    <definedName name="V_KEYWORD_ISSR_208000430_WORK_CAP" localSheetId="11">Ticker0024_Validation_Sheet!$108:$108</definedName>
    <definedName name="V_LIVEDATA_EQTY_200001320" localSheetId="11">Ticker0024_Validation_Sheet!$B$259</definedName>
    <definedName name="V_LIVEDATA_ISSR_208000430" localSheetId="11">Ticker0024_Validation_Sheet!$B$4</definedName>
    <definedName name="V_PERIOD_1995" localSheetId="11">Ticker0024_Validation_Sheet!$F:$F</definedName>
    <definedName name="V_PERIOD_1996" localSheetId="11">Ticker0024_Validation_Sheet!$K:$K</definedName>
    <definedName name="V_PERIOD_1996_Q1" localSheetId="11">Ticker0024_Validation_Sheet!$G:$G</definedName>
    <definedName name="V_PERIOD_1996_Q2" localSheetId="11">Ticker0024_Validation_Sheet!$H:$H</definedName>
    <definedName name="V_PERIOD_1996_Q3" localSheetId="11">Ticker0024_Validation_Sheet!$I:$I</definedName>
    <definedName name="V_PERIOD_1996_Q4" localSheetId="11">Ticker0024_Validation_Sheet!$J:$J</definedName>
    <definedName name="V_PERIOD_1997" localSheetId="11">Ticker0024_Validation_Sheet!$P:$P</definedName>
    <definedName name="V_PERIOD_1997_Q1" localSheetId="11">Ticker0024_Validation_Sheet!$L:$L</definedName>
    <definedName name="V_PERIOD_1997_Q2" localSheetId="11">Ticker0024_Validation_Sheet!$M:$M</definedName>
    <definedName name="V_PERIOD_1997_Q3" localSheetId="11">Ticker0024_Validation_Sheet!$N:$N</definedName>
    <definedName name="V_PERIOD_1997_Q4" localSheetId="11">Ticker0024_Validation_Sheet!$O:$O</definedName>
    <definedName name="V_PERIOD_1998" localSheetId="11">Ticker0024_Validation_Sheet!$U:$U</definedName>
    <definedName name="V_PERIOD_1998_Q1" localSheetId="11">Ticker0024_Validation_Sheet!$Q:$Q</definedName>
    <definedName name="V_PERIOD_1998_Q2" localSheetId="11">Ticker0024_Validation_Sheet!$R:$R</definedName>
    <definedName name="V_PERIOD_1998_Q3" localSheetId="11">Ticker0024_Validation_Sheet!$S:$S</definedName>
    <definedName name="V_PERIOD_1998_Q4" localSheetId="11">Ticker0024_Validation_Sheet!$T:$T</definedName>
    <definedName name="V_PERIOD_1999" localSheetId="11">Ticker0024_Validation_Sheet!$Z:$Z</definedName>
    <definedName name="V_PERIOD_1999_Q1" localSheetId="11">Ticker0024_Validation_Sheet!$V:$V</definedName>
    <definedName name="V_PERIOD_1999_Q2" localSheetId="11">Ticker0024_Validation_Sheet!$W:$W</definedName>
    <definedName name="V_PERIOD_1999_Q3" localSheetId="11">Ticker0024_Validation_Sheet!$X:$X</definedName>
    <definedName name="V_PERIOD_1999_Q4" localSheetId="11">Ticker0024_Validation_Sheet!$Y:$Y</definedName>
    <definedName name="V_PERIOD_2000" localSheetId="11">Ticker0024_Validation_Sheet!$AE:$AE</definedName>
    <definedName name="V_PERIOD_2000_Q1" localSheetId="11">Ticker0024_Validation_Sheet!$AA:$AA</definedName>
    <definedName name="V_PERIOD_2000_Q2" localSheetId="11">Ticker0024_Validation_Sheet!$AB:$AB</definedName>
    <definedName name="V_PERIOD_2000_Q3" localSheetId="11">Ticker0024_Validation_Sheet!$AC:$AC</definedName>
    <definedName name="V_PERIOD_2000_Q4" localSheetId="11">Ticker0024_Validation_Sheet!$AD:$AD</definedName>
    <definedName name="V_PERIOD_2001" localSheetId="11">Ticker0024_Validation_Sheet!$AJ:$AJ</definedName>
    <definedName name="V_PERIOD_2001_Q1" localSheetId="11">Ticker0024_Validation_Sheet!$AF:$AF</definedName>
    <definedName name="V_PERIOD_2001_Q2" localSheetId="11">Ticker0024_Validation_Sheet!$AG:$AG</definedName>
    <definedName name="V_PERIOD_2001_Q3" localSheetId="11">Ticker0024_Validation_Sheet!$AH:$AH</definedName>
    <definedName name="V_PERIOD_2001_Q4" localSheetId="11">Ticker0024_Validation_Sheet!$AI:$AI</definedName>
    <definedName name="V_PERIOD_2002" localSheetId="11">Ticker0024_Validation_Sheet!$AO:$AO</definedName>
    <definedName name="V_PERIOD_2002_Q1" localSheetId="11">Ticker0024_Validation_Sheet!$AK:$AK</definedName>
    <definedName name="V_PERIOD_2002_Q2" localSheetId="11">Ticker0024_Validation_Sheet!$AL:$AL</definedName>
    <definedName name="V_PERIOD_2002_Q3" localSheetId="11">Ticker0024_Validation_Sheet!$AM:$AM</definedName>
    <definedName name="V_PERIOD_2002_Q4" localSheetId="11">Ticker0024_Validation_Sheet!$AN:$AN</definedName>
    <definedName name="V_PERIOD_2003" localSheetId="11">Ticker0024_Validation_Sheet!$AT:$AT</definedName>
    <definedName name="V_PERIOD_2003_Q1" localSheetId="11">Ticker0024_Validation_Sheet!$AP:$AP</definedName>
    <definedName name="V_PERIOD_2003_Q2" localSheetId="11">Ticker0024_Validation_Sheet!$AQ:$AQ</definedName>
    <definedName name="V_PERIOD_2003_Q3" localSheetId="11">Ticker0024_Validation_Sheet!$AR:$AR</definedName>
    <definedName name="V_PERIOD_2003_Q4" localSheetId="11">Ticker0024_Validation_Sheet!$AS:$AS</definedName>
    <definedName name="V_PERIOD_2004" localSheetId="11">Ticker0024_Validation_Sheet!$AY:$AY</definedName>
    <definedName name="V_PERIOD_2004_Q1" localSheetId="11">Ticker0024_Validation_Sheet!$AU:$AU</definedName>
    <definedName name="V_PERIOD_2004_Q2" localSheetId="11">Ticker0024_Validation_Sheet!$AV:$AV</definedName>
    <definedName name="V_PERIOD_2004_Q3" localSheetId="11">Ticker0024_Validation_Sheet!$AW:$AW</definedName>
    <definedName name="V_PERIOD_2004_Q4" localSheetId="11">Ticker0024_Validation_Sheet!$AX:$AX</definedName>
    <definedName name="V_PERIOD_2005" localSheetId="11">Ticker0024_Validation_Sheet!$BD:$BD</definedName>
    <definedName name="V_PERIOD_2005_Q1" localSheetId="11">Ticker0024_Validation_Sheet!$AZ:$AZ</definedName>
    <definedName name="V_PERIOD_2005_Q2" localSheetId="11">Ticker0024_Validation_Sheet!$BA:$BA</definedName>
    <definedName name="V_PERIOD_2005_Q3" localSheetId="11">Ticker0024_Validation_Sheet!$BB:$BB</definedName>
    <definedName name="V_PERIOD_2005_Q4" localSheetId="11">Ticker0024_Validation_Sheet!$BC:$BC</definedName>
    <definedName name="V_PERIOD_2006" localSheetId="11">Ticker0024_Validation_Sheet!$BI:$BI</definedName>
    <definedName name="V_PERIOD_2006_Q1" localSheetId="11">Ticker0024_Validation_Sheet!$BE:$BE</definedName>
    <definedName name="V_PERIOD_2006_Q2" localSheetId="11">Ticker0024_Validation_Sheet!$BF:$BF</definedName>
    <definedName name="V_PERIOD_2006_Q3" localSheetId="11">Ticker0024_Validation_Sheet!$BG:$BG</definedName>
    <definedName name="V_PERIOD_2006_Q4" localSheetId="11">Ticker0024_Validation_Sheet!$BH:$BH</definedName>
    <definedName name="V_PERIOD_2007" localSheetId="11">Ticker0024_Validation_Sheet!$BN:$BN</definedName>
    <definedName name="V_PERIOD_2007_Q1" localSheetId="11">Ticker0024_Validation_Sheet!$BJ:$BJ</definedName>
    <definedName name="V_PERIOD_2007_Q2" localSheetId="11">Ticker0024_Validation_Sheet!$BK:$BK</definedName>
    <definedName name="V_PERIOD_2007_Q3" localSheetId="11">Ticker0024_Validation_Sheet!$BL:$BL</definedName>
    <definedName name="V_PERIOD_2007_Q4" localSheetId="11">Ticker0024_Validation_Sheet!$BM:$BM</definedName>
    <definedName name="V_PERIOD_2008" localSheetId="11">Ticker0024_Validation_Sheet!$BS:$BS</definedName>
    <definedName name="V_PERIOD_2008_Q1" localSheetId="11">Ticker0024_Validation_Sheet!$BO:$BO</definedName>
    <definedName name="V_PERIOD_2008_Q2" localSheetId="11">Ticker0024_Validation_Sheet!$BP:$BP</definedName>
    <definedName name="V_PERIOD_2008_Q3" localSheetId="11">Ticker0024_Validation_Sheet!$BQ:$BQ</definedName>
    <definedName name="V_PERIOD_2008_Q4" localSheetId="11">Ticker0024_Validation_Sheet!$BR:$BR</definedName>
    <definedName name="V_PERIOD_2009" localSheetId="11">Ticker0024_Validation_Sheet!$BX:$BX</definedName>
    <definedName name="V_PERIOD_2009_Q1" localSheetId="11">Ticker0024_Validation_Sheet!$BT:$BT</definedName>
    <definedName name="V_PERIOD_2009_Q2" localSheetId="11">Ticker0024_Validation_Sheet!$BU:$BU</definedName>
    <definedName name="V_PERIOD_2009_Q3" localSheetId="11">Ticker0024_Validation_Sheet!$BV:$BV</definedName>
    <definedName name="V_PERIOD_2009_Q4" localSheetId="11">Ticker0024_Validation_Sheet!$BW:$BW</definedName>
    <definedName name="V_PERIOD_2010" localSheetId="11">Ticker0024_Validation_Sheet!$CC:$CC</definedName>
    <definedName name="V_PERIOD_2010_Q1" localSheetId="11">Ticker0024_Validation_Sheet!$BY:$BY</definedName>
    <definedName name="V_PERIOD_2010_Q2" localSheetId="11">Ticker0024_Validation_Sheet!$BZ:$BZ</definedName>
    <definedName name="V_PERIOD_2010_Q3" localSheetId="11">Ticker0024_Validation_Sheet!$CA:$CA</definedName>
    <definedName name="V_PERIOD_2010_Q4" localSheetId="11">Ticker0024_Validation_Sheet!$CB:$CB</definedName>
    <definedName name="V_PERIOD_2011" localSheetId="11">Ticker0024_Validation_Sheet!$CH:$CH</definedName>
    <definedName name="V_PERIOD_2011_Q1" localSheetId="11">Ticker0024_Validation_Sheet!$CD:$CD</definedName>
    <definedName name="V_PERIOD_2011_Q2" localSheetId="11">Ticker0024_Validation_Sheet!$CE:$CE</definedName>
    <definedName name="V_PERIOD_2011_Q3" localSheetId="11">Ticker0024_Validation_Sheet!$CF:$CF</definedName>
    <definedName name="V_PERIOD_2011_Q4" localSheetId="11">Ticker0024_Validation_Sheet!$CG:$CG</definedName>
    <definedName name="V_PERIOD_2012" localSheetId="11">Ticker0024_Validation_Sheet!$CM:$CM</definedName>
    <definedName name="V_PERIOD_2012_Q1" localSheetId="11">Ticker0024_Validation_Sheet!$CI:$CI</definedName>
    <definedName name="V_PERIOD_2012_Q2" localSheetId="11">Ticker0024_Validation_Sheet!$CJ:$CJ</definedName>
    <definedName name="V_PERIOD_2012_Q3" localSheetId="11">Ticker0024_Validation_Sheet!$CK:$CK</definedName>
    <definedName name="V_PERIOD_2012_Q4" localSheetId="11">Ticker0024_Validation_Sheet!$CL:$CL</definedName>
    <definedName name="V_PERIOD_2013" localSheetId="11">Ticker0024_Validation_Sheet!$CR:$CR</definedName>
    <definedName name="V_PERIOD_2013_Q1" localSheetId="11">Ticker0024_Validation_Sheet!$CN:$CN</definedName>
    <definedName name="V_PERIOD_2013_Q2" localSheetId="11">Ticker0024_Validation_Sheet!$CO:$CO</definedName>
    <definedName name="V_PERIOD_2013_Q3" localSheetId="11">Ticker0024_Validation_Sheet!$CP:$CP</definedName>
    <definedName name="V_PERIOD_2013_Q4" localSheetId="11">Ticker0024_Validation_Sheet!$CQ:$CQ</definedName>
    <definedName name="V_PERIOD_2014" localSheetId="11">Ticker0024_Validation_Sheet!$CW:$CW</definedName>
    <definedName name="V_PERIOD_2014_Q1" localSheetId="11">Ticker0024_Validation_Sheet!$CS:$CS</definedName>
    <definedName name="V_PERIOD_2014_Q2" localSheetId="11">Ticker0024_Validation_Sheet!$CT:$CT</definedName>
    <definedName name="V_PERIOD_2014_Q3" localSheetId="11">Ticker0024_Validation_Sheet!$CU:$CU</definedName>
    <definedName name="V_PERIOD_2014_Q4" localSheetId="11">Ticker0024_Validation_Sheet!$CV:$CV</definedName>
    <definedName name="V_PERIOD_2015" localSheetId="11">Ticker0024_Validation_Sheet!$DB:$DB</definedName>
    <definedName name="V_PERIOD_2015_Q1" localSheetId="11">Ticker0024_Validation_Sheet!$CX:$CX</definedName>
    <definedName name="V_PERIOD_2015_Q2" localSheetId="11">Ticker0024_Validation_Sheet!$CY:$CY</definedName>
    <definedName name="V_PERIOD_2015_Q3" localSheetId="11">Ticker0024_Validation_Sheet!$CZ:$CZ</definedName>
    <definedName name="V_PERIOD_2015_Q4" localSheetId="11">Ticker0024_Validation_Sheet!$DA:$DA</definedName>
    <definedName name="V_PERIOD_2016" localSheetId="11">Ticker0024_Validation_Sheet!$DG:$DG</definedName>
    <definedName name="V_PERIOD_2016_Q1" localSheetId="11">Ticker0024_Validation_Sheet!$DC:$DC</definedName>
    <definedName name="V_PERIOD_2016_Q2" localSheetId="11">Ticker0024_Validation_Sheet!$DD:$DD</definedName>
    <definedName name="V_PERIOD_2016_Q3" localSheetId="11">Ticker0024_Validation_Sheet!$DE:$DE</definedName>
    <definedName name="V_PERIOD_2016_Q4" localSheetId="11">Ticker0024_Validation_Sheet!$DF:$DF</definedName>
    <definedName name="V_PERIOD_2017" localSheetId="11">Ticker0024_Validation_Sheet!$DL:$DL</definedName>
    <definedName name="V_PERIOD_2017_Q1" localSheetId="11">Ticker0024_Validation_Sheet!$DH:$DH</definedName>
    <definedName name="V_PERIOD_2017_Q2" localSheetId="11">Ticker0024_Validation_Sheet!$DI:$DI</definedName>
    <definedName name="V_PERIOD_2017_Q3" localSheetId="11">Ticker0024_Validation_Sheet!$DJ:$DJ</definedName>
    <definedName name="V_PERIOD_2017_Q4" localSheetId="11">Ticker0024_Validation_Sheet!$DK:$DK</definedName>
    <definedName name="V_PERIOD_2018" localSheetId="11">Ticker0024_Validation_Sheet!$DQ:$DQ</definedName>
    <definedName name="V_PERIOD_2018_Q1" localSheetId="11">Ticker0024_Validation_Sheet!$DM:$DM</definedName>
    <definedName name="V_PERIOD_2018_Q2" localSheetId="11">Ticker0024_Validation_Sheet!$DN:$DN</definedName>
    <definedName name="V_PERIOD_2018_Q3" localSheetId="11">Ticker0024_Validation_Sheet!$DO:$DO</definedName>
    <definedName name="V_PERIOD_2018_Q4" localSheetId="11">Ticker0024_Validation_Sheet!$DP:$DP</definedName>
    <definedName name="V_PERIOD_2019" localSheetId="11">Ticker0024_Validation_Sheet!$DV:$DV</definedName>
    <definedName name="V_PERIOD_2019_Q1" localSheetId="11">Ticker0024_Validation_Sheet!$DR:$DR</definedName>
    <definedName name="V_PERIOD_2019_Q2" localSheetId="11">Ticker0024_Validation_Sheet!$DS:$DS</definedName>
    <definedName name="V_PERIOD_2019_Q3" localSheetId="11">Ticker0024_Validation_Sheet!$DT:$DT</definedName>
    <definedName name="V_PERIOD_2019_Q4" localSheetId="11">Ticker0024_Validation_Sheet!$DU:$DU</definedName>
    <definedName name="V_PERIOD_2020" localSheetId="11">Ticker0024_Validation_Sheet!$EA:$EA</definedName>
    <definedName name="V_PERIOD_2020_Q1" localSheetId="11">Ticker0024_Validation_Sheet!$DW:$DW</definedName>
    <definedName name="V_PERIOD_2020_Q2" localSheetId="11">Ticker0024_Validation_Sheet!$DX:$DX</definedName>
    <definedName name="V_PERIOD_2020_Q3" localSheetId="11">Ticker0024_Validation_Sheet!$DY:$DY</definedName>
    <definedName name="V_PERIOD_2020_Q4" localSheetId="11">Ticker0024_Validation_Sheet!$DZ:$DZ</definedName>
    <definedName name="V_PERIOD_2021" localSheetId="11">Ticker0024_Validation_Sheet!$EF:$EF</definedName>
    <definedName name="V_PERIOD_2021_Q1" localSheetId="11">Ticker0024_Validation_Sheet!$EB:$EB</definedName>
    <definedName name="V_PERIOD_2021_Q2" localSheetId="11">Ticker0024_Validation_Sheet!$EC:$EC</definedName>
    <definedName name="V_PERIOD_2021_Q3" localSheetId="11">Ticker0024_Validation_Sheet!$ED:$ED</definedName>
    <definedName name="V_PERIOD_2021_Q4" localSheetId="11">Ticker0024_Validation_Sheet!$EE:$EE</definedName>
    <definedName name="V_PERIOD_2022" localSheetId="11">Ticker0024_Validation_Sheet!$EK:$EK</definedName>
    <definedName name="V_PERIOD_2022_Q1" localSheetId="11">Ticker0024_Validation_Sheet!$EG:$EG</definedName>
    <definedName name="V_PERIOD_2022_Q2" localSheetId="11">Ticker0024_Validation_Sheet!$EH:$EH</definedName>
    <definedName name="V_PERIOD_2022_Q3" localSheetId="11">Ticker0024_Validation_Sheet!$EI:$EI</definedName>
    <definedName name="V_PERIOD_2022_Q4" localSheetId="11">Ticker0024_Validation_Sheet!$EJ:$EJ</definedName>
    <definedName name="V_PERIOD_2023" localSheetId="11">Ticker0024_Validation_Sheet!$EP:$EP</definedName>
    <definedName name="V_PERIOD_2023_Q1" localSheetId="11">Ticker0024_Validation_Sheet!$EL:$EL</definedName>
    <definedName name="V_PERIOD_2023_Q2" localSheetId="11">Ticker0024_Validation_Sheet!$EM:$EM</definedName>
    <definedName name="V_PERIOD_2023_Q3" localSheetId="11">Ticker0024_Validation_Sheet!$EN:$EN</definedName>
    <definedName name="V_PERIOD_2023_Q4" localSheetId="11">Ticker0024_Validation_Sheet!$EO:$EO</definedName>
    <definedName name="V_PERIOD_2024" localSheetId="11">Ticker0024_Validation_Sheet!$EU:$EU</definedName>
    <definedName name="V_PERIOD_2024_Q1" localSheetId="11">Ticker0024_Validation_Sheet!$EQ:$EQ</definedName>
    <definedName name="V_PERIOD_2024_Q2" localSheetId="11">Ticker0024_Validation_Sheet!$ER:$ER</definedName>
    <definedName name="V_PERIOD_2024_Q3" localSheetId="11">Ticker0024_Validation_Sheet!$ES:$ES</definedName>
    <definedName name="V_PERIOD_2024_Q4" localSheetId="11">Ticker0024_Validation_Sheet!$ET:$ET</definedName>
    <definedName name="V_PERIOD_2025" localSheetId="11">Ticker0024_Validation_Sheet!$EZ:$EZ</definedName>
    <definedName name="V_PERIOD_2025_Q1" localSheetId="11">Ticker0024_Validation_Sheet!$EV:$EV</definedName>
    <definedName name="V_PERIOD_2025_Q2" localSheetId="11">Ticker0024_Validation_Sheet!$EW:$EW</definedName>
    <definedName name="V_PERIOD_2025_Q3" localSheetId="11">Ticker0024_Validation_Sheet!$EX:$EX</definedName>
    <definedName name="V_PERIOD_2025_Q4" localSheetId="11">Ticker0024_Validation_Sheet!$EY:$EY</definedName>
    <definedName name="V_PERIOD_2026" localSheetId="11">Ticker0024_Validation_Sheet!$FE:$FE</definedName>
    <definedName name="V_PERIOD_2026_Q1" localSheetId="11">Ticker0024_Validation_Sheet!$FA:$FA</definedName>
    <definedName name="V_PERIOD_2026_Q2" localSheetId="11">Ticker0024_Validation_Sheet!$FB:$FB</definedName>
    <definedName name="V_PERIOD_2026_Q3" localSheetId="11">Ticker0024_Validation_Sheet!$FC:$FC</definedName>
    <definedName name="V_PERIOD_2026_Q4" localSheetId="11">Ticker0024_Validation_Sheet!$FD:$FD</definedName>
    <definedName name="V_PERIOD_2027" localSheetId="11">Ticker0024_Validation_Sheet!$FJ:$FJ</definedName>
    <definedName name="V_PERIOD_2027_Q1" localSheetId="11">Ticker0024_Validation_Sheet!$FF:$FF</definedName>
    <definedName name="V_PERIOD_2027_Q2" localSheetId="11">Ticker0024_Validation_Sheet!$FG:$FG</definedName>
    <definedName name="V_PERIOD_2027_Q3" localSheetId="11">Ticker0024_Validation_Sheet!$FH:$FH</definedName>
    <definedName name="V_PERIOD_2027_Q4" localSheetId="11">Ticker0024_Validation_Sheet!$FI:$FI</definedName>
    <definedName name="V_PERIOD_2028" localSheetId="11">Ticker0024_Validation_Sheet!$FO:$FO</definedName>
    <definedName name="V_PERIOD_2028_Q1" localSheetId="11">Ticker0024_Validation_Sheet!$FK:$FK</definedName>
    <definedName name="V_PERIOD_2028_Q2" localSheetId="11">Ticker0024_Validation_Sheet!$FL:$FL</definedName>
    <definedName name="V_PERIOD_2028_Q3" localSheetId="11">Ticker0024_Validation_Sheet!$FM:$FM</definedName>
    <definedName name="V_PERIOD_2028_Q4" localSheetId="11">Ticker0024_Validation_Sheet!$FN:$FN</definedName>
    <definedName name="V_PERIOD_2029" localSheetId="11">Ticker0024_Validation_Sheet!$FT:$FT</definedName>
    <definedName name="V_PERIOD_2029_Q1" localSheetId="11">Ticker0024_Validation_Sheet!$FP:$FP</definedName>
    <definedName name="V_PERIOD_2029_Q2" localSheetId="11">Ticker0024_Validation_Sheet!$FQ:$FQ</definedName>
    <definedName name="V_PERIOD_2029_Q3" localSheetId="11">Ticker0024_Validation_Sheet!$FR:$FR</definedName>
    <definedName name="V_PERIOD_2029_Q4" localSheetId="11">Ticker0024_Validation_Sheet!$FS:$FS</definedName>
    <definedName name="V_PERIOD_2030" localSheetId="11">Ticker0024_Validation_Sheet!#REF!</definedName>
    <definedName name="V_PERIOD_2030_Q1" localSheetId="11">Ticker0024_Validation_Sheet!#REF!</definedName>
    <definedName name="V_PERIOD_2030_Q2" localSheetId="11">Ticker0024_Validation_Sheet!#REF!</definedName>
    <definedName name="V_PERIOD_2030_Q3" localSheetId="11">Ticker0024_Validation_Sheet!#REF!</definedName>
    <definedName name="V_PERIOD_2030_Q4" localSheetId="11">Ticker0024_Validation_Sheet!#REF!</definedName>
    <definedName name="V_SECTION_EQTY_200001320_1314" localSheetId="11">Ticker0024_Validation_Sheet!$319:$319</definedName>
    <definedName name="V_SECTION_EQTY_200001320_1319" localSheetId="11">Ticker0024_Validation_Sheet!$321:$321</definedName>
    <definedName name="V_SECTION_EQTY_200001320_131E" localSheetId="11">Ticker0024_Validation_Sheet!$326:$326</definedName>
    <definedName name="V_SECTION_EQTY_200001320_131O" localSheetId="11">Ticker0024_Validation_Sheet!$328:$328</definedName>
    <definedName name="V_SECTION_EQTY_200001320_13A" localSheetId="11">Ticker0024_Validation_Sheet!$267:$267</definedName>
    <definedName name="V_SECTION_EQTY_200001320_13K" localSheetId="11">Ticker0024_Validation_Sheet!$277:$277</definedName>
    <definedName name="V_SECTION_EQTY_200001320_13U" localSheetId="11">Ticker0024_Validation_Sheet!$294:$294</definedName>
    <definedName name="V_SECTION_EQTY_200001320_13V" localSheetId="11">Ticker0024_Validation_Sheet!$311:$311</definedName>
    <definedName name="V_SECTION_EQTY_200001320_13W" localSheetId="11">Ticker0024_Validation_Sheet!$313:$313</definedName>
    <definedName name="V_SECTION_EQTY_200001320_Reference_Data" localSheetId="11">Ticker0024_Validation_Sheet!$260:$260</definedName>
    <definedName name="V_SECTION_ISSR_208000430_1314" localSheetId="11">Ticker0024_Validation_Sheet!$53:$53</definedName>
    <definedName name="V_SECTION_ISSR_208000430_13168" localSheetId="11">Ticker0024_Validation_Sheet!$166:$166</definedName>
    <definedName name="V_SECTION_ISSR_208000430_1316T" localSheetId="11">Ticker0024_Validation_Sheet!$229:$229</definedName>
    <definedName name="V_SECTION_ISSR_208000430_1316U" localSheetId="11">Ticker0024_Validation_Sheet!$232:$232</definedName>
    <definedName name="V_SECTION_ISSR_208000430_1319" localSheetId="11">Ticker0024_Validation_Sheet!$85:$85</definedName>
    <definedName name="V_SECTION_ISSR_208000430_131E" localSheetId="11">Ticker0024_Validation_Sheet!$105:$105</definedName>
    <definedName name="V_SECTION_ISSR_208000430_131J" localSheetId="11">Ticker0024_Validation_Sheet!$123:$123</definedName>
    <definedName name="V_SECTION_ISSR_208000430_131O" localSheetId="11">Ticker0024_Validation_Sheet!$138:$138</definedName>
    <definedName name="V_SECTION_ISSR_208000430_136E" localSheetId="11">Ticker0024_Validation_Sheet!$248:$248</definedName>
    <definedName name="V_SECTION_ISSR_208000430_13A" localSheetId="11">Ticker0024_Validation_Sheet!$8:$8</definedName>
    <definedName name="V_SECTION_ISSR_208000430_13U" localSheetId="11">Ticker0024_Validation_Sheet!$10:$10</definedName>
    <definedName name="V_SECTION_ISSR_208000430_13V" localSheetId="11">Ticker0024_Validation_Sheet!$31:$31</definedName>
    <definedName name="V_SECTION_ISSR_208000430_Reference_Data" localSheetId="11">Ticker0024_Validation_Sheet!$5:$5</definedName>
    <definedName name="V_TEMPLATEHASH" localSheetId="11">Ticker0024_Validation_Sheet!$C$1</definedName>
  </definedNames>
  <calcPr calcId="191029" calcMode="autoNoTable" iterate="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U169" i="15" l="1"/>
  <c r="EW169" i="15"/>
  <c r="EX169" i="15"/>
  <c r="EY169" i="15"/>
  <c r="EZ169" i="15"/>
  <c r="GG44" i="8"/>
  <c r="GH44" i="8" s="1"/>
  <c r="GI44" i="8" s="1"/>
  <c r="GG36" i="8"/>
  <c r="GH36" i="8" s="1"/>
  <c r="GG32" i="8"/>
  <c r="GH32" i="8" s="1"/>
  <c r="GI32" i="8" s="1"/>
  <c r="GG11" i="8"/>
  <c r="GH11" i="8" s="1"/>
  <c r="GI11" i="8" s="1"/>
  <c r="FR131" i="3"/>
  <c r="FS131" i="3" s="1"/>
  <c r="FM131" i="3"/>
  <c r="FN131" i="3" s="1"/>
  <c r="GJ131" i="3"/>
  <c r="GE131" i="3"/>
  <c r="FZ131" i="3"/>
  <c r="FK131" i="3"/>
  <c r="FF131" i="3"/>
  <c r="BF73" i="3"/>
  <c r="BF74" i="3" s="1"/>
  <c r="BG73" i="3"/>
  <c r="BG74" i="3" s="1"/>
  <c r="BH73" i="3"/>
  <c r="BH74" i="3" s="1"/>
  <c r="BI73" i="3"/>
  <c r="BI74" i="3" s="1"/>
  <c r="FC222" i="17"/>
  <c r="FH141" i="15"/>
  <c r="FI141" i="15" s="1"/>
  <c r="FJ141" i="15" s="1"/>
  <c r="FG109" i="15"/>
  <c r="FH123" i="15"/>
  <c r="FC357" i="14"/>
  <c r="FD357" i="14"/>
  <c r="FE357" i="14"/>
  <c r="FB357" i="14"/>
  <c r="FH109" i="15" l="1"/>
  <c r="FO131" i="3"/>
  <c r="FP131" i="3" s="1"/>
  <c r="GI36" i="8"/>
  <c r="FT131" i="3"/>
  <c r="FU131" i="3" s="1"/>
  <c r="FI123" i="15"/>
  <c r="FI109" i="15" s="1"/>
  <c r="FJ123" i="15" l="1"/>
  <c r="FJ109" i="15" l="1"/>
  <c r="FK123" i="15"/>
  <c r="FA320" i="14" l="1"/>
  <c r="ER322" i="14"/>
  <c r="ER321" i="14"/>
  <c r="ET206" i="14"/>
  <c r="EO206" i="14" s="1"/>
  <c r="DV176" i="14"/>
  <c r="DW176" i="14" s="1"/>
  <c r="DT176" i="14"/>
  <c r="DQ176" i="14"/>
  <c r="DR176" i="14" s="1"/>
  <c r="DO176" i="14"/>
  <c r="DL176" i="14"/>
  <c r="DM176" i="14" s="1"/>
  <c r="DJ176" i="14"/>
  <c r="DG176" i="14"/>
  <c r="DH176" i="14" s="1"/>
  <c r="DE176" i="14"/>
  <c r="DB176" i="14"/>
  <c r="DC176" i="14" s="1"/>
  <c r="EN171" i="14"/>
  <c r="EM171" i="14"/>
  <c r="ES169" i="14"/>
  <c r="ER169" i="14"/>
  <c r="EP169" i="14"/>
  <c r="EL169" i="14"/>
  <c r="EI169" i="14"/>
  <c r="ED169" i="14" s="1"/>
  <c r="DY169" i="14" s="1"/>
  <c r="EH169" i="14"/>
  <c r="EC169" i="14" s="1"/>
  <c r="DX169" i="14" s="1"/>
  <c r="DS169" i="14" s="1"/>
  <c r="EF169" i="14"/>
  <c r="EE169" i="14"/>
  <c r="DU169" i="14"/>
  <c r="DP169" i="14" s="1"/>
  <c r="DK169" i="14" s="1"/>
  <c r="FC208" i="14"/>
  <c r="FD208" i="14" s="1"/>
  <c r="FE208" i="14" s="1"/>
  <c r="FH208" i="14"/>
  <c r="FI208" i="14" s="1"/>
  <c r="FJ208" i="14" s="1"/>
  <c r="FK208" i="14" s="1"/>
  <c r="FM208" i="14"/>
  <c r="FN208" i="14" s="1"/>
  <c r="FO208" i="14" s="1"/>
  <c r="FR208" i="14"/>
  <c r="FS208" i="14" s="1"/>
  <c r="FT208" i="14" s="1"/>
  <c r="FW208" i="14"/>
  <c r="FX208" i="14" s="1"/>
  <c r="FY208" i="14" s="1"/>
  <c r="GB208" i="14"/>
  <c r="GC208" i="14" s="1"/>
  <c r="GD208" i="14" s="1"/>
  <c r="GG208" i="14"/>
  <c r="GH208" i="14" s="1"/>
  <c r="GI208" i="14" s="1"/>
  <c r="FD211" i="14"/>
  <c r="FE211" i="14" s="1"/>
  <c r="FH211" i="14"/>
  <c r="FI211" i="14" s="1"/>
  <c r="FJ211" i="14" s="1"/>
  <c r="FM211" i="14"/>
  <c r="FN211" i="14" s="1"/>
  <c r="FO211" i="14" s="1"/>
  <c r="FQ211" i="14"/>
  <c r="FV211" i="14" s="1"/>
  <c r="FA32" i="17"/>
  <c r="FA37" i="17"/>
  <c r="EZ46" i="17"/>
  <c r="EZ38" i="17"/>
  <c r="FA45" i="17"/>
  <c r="EZ46" i="15"/>
  <c r="FA45" i="14"/>
  <c r="EV45" i="14"/>
  <c r="EV26" i="2" s="1"/>
  <c r="EZ46" i="14"/>
  <c r="FA111" i="2"/>
  <c r="FY136" i="5"/>
  <c r="FX136" i="5"/>
  <c r="FW136" i="5"/>
  <c r="FV136" i="5"/>
  <c r="EU28" i="2"/>
  <c r="EU27" i="2"/>
  <c r="EU26" i="2"/>
  <c r="ER26" i="2"/>
  <c r="ES26" i="2"/>
  <c r="ET26" i="2"/>
  <c r="ER27" i="2"/>
  <c r="ES27" i="2"/>
  <c r="ET27" i="2"/>
  <c r="ER28" i="2"/>
  <c r="ES28" i="2"/>
  <c r="ET28" i="2"/>
  <c r="EX26" i="2"/>
  <c r="EY26" i="2"/>
  <c r="EZ26" i="2"/>
  <c r="EX27" i="2"/>
  <c r="EY27" i="2"/>
  <c r="EZ27" i="2"/>
  <c r="EX28" i="2"/>
  <c r="EY28" i="2"/>
  <c r="EZ28" i="2"/>
  <c r="EZ12" i="2"/>
  <c r="EZ13" i="2"/>
  <c r="EZ14" i="2"/>
  <c r="EU14" i="2"/>
  <c r="ET14" i="2"/>
  <c r="ES14" i="2"/>
  <c r="EU13" i="2"/>
  <c r="ET13" i="2"/>
  <c r="ES13" i="2"/>
  <c r="EU12" i="2"/>
  <c r="ET12" i="2"/>
  <c r="ES12" i="2"/>
  <c r="ER14" i="2"/>
  <c r="ER13" i="2"/>
  <c r="ER12" i="2"/>
  <c r="EZ255" i="14"/>
  <c r="EZ224" i="15"/>
  <c r="EZ221" i="17"/>
  <c r="EZ126" i="17"/>
  <c r="EZ89" i="17"/>
  <c r="EZ186" i="14"/>
  <c r="EZ90" i="15"/>
  <c r="EV231" i="17"/>
  <c r="FB231" i="17"/>
  <c r="EV64" i="3"/>
  <c r="EV54" i="3"/>
  <c r="EW206" i="14" l="1"/>
  <c r="EX206" i="14" s="1"/>
  <c r="ES206" i="14" s="1"/>
  <c r="EN206" i="14" s="1"/>
  <c r="EO208" i="14" s="1"/>
  <c r="FR211" i="14"/>
  <c r="FS211" i="14" s="1"/>
  <c r="FT211" i="14" s="1"/>
  <c r="EH171" i="14"/>
  <c r="ES171" i="14"/>
  <c r="DZ171" i="14"/>
  <c r="DT169" i="14"/>
  <c r="DO169" i="14" s="1"/>
  <c r="DJ169" i="14" s="1"/>
  <c r="DE169" i="14" s="1"/>
  <c r="CZ169" i="14" s="1"/>
  <c r="ER171" i="14"/>
  <c r="EF171" i="14"/>
  <c r="EE171" i="14"/>
  <c r="EJ169" i="14"/>
  <c r="EQ169" i="14"/>
  <c r="DN169" i="14"/>
  <c r="DY171" i="14"/>
  <c r="ED171" i="14"/>
  <c r="EG169" i="14"/>
  <c r="DF169" i="14"/>
  <c r="EA169" i="14"/>
  <c r="EC171" i="14" s="1"/>
  <c r="EU169" i="14"/>
  <c r="EI171" i="14"/>
  <c r="FA46" i="14"/>
  <c r="FZ208" i="14"/>
  <c r="FF208" i="14"/>
  <c r="GJ208" i="14"/>
  <c r="FU208" i="14"/>
  <c r="GA211" i="14"/>
  <c r="FW211" i="14"/>
  <c r="FX211" i="14" s="1"/>
  <c r="FY211" i="14" s="1"/>
  <c r="GE208" i="14"/>
  <c r="FP208" i="14"/>
  <c r="ER206" i="14" l="1"/>
  <c r="EM206" i="14" s="1"/>
  <c r="EN208" i="14" s="1"/>
  <c r="EU206" i="14"/>
  <c r="EP206" i="14" s="1"/>
  <c r="DO171" i="14"/>
  <c r="EP208" i="14"/>
  <c r="EQ206" i="14"/>
  <c r="DU171" i="14"/>
  <c r="DP171" i="14"/>
  <c r="DK171" i="14"/>
  <c r="DT171" i="14"/>
  <c r="EV169" i="14"/>
  <c r="CU169" i="14"/>
  <c r="EQ170" i="14"/>
  <c r="EQ173" i="14"/>
  <c r="EG171" i="14"/>
  <c r="DV169" i="14"/>
  <c r="EB169" i="14"/>
  <c r="EG170" i="14" s="1"/>
  <c r="EA171" i="14"/>
  <c r="EK171" i="14"/>
  <c r="EJ171" i="14"/>
  <c r="EO169" i="14"/>
  <c r="DF171" i="14"/>
  <c r="DA169" i="14"/>
  <c r="DI169" i="14"/>
  <c r="GF211" i="14"/>
  <c r="GG211" i="14" s="1"/>
  <c r="GH211" i="14" s="1"/>
  <c r="GI211" i="14" s="1"/>
  <c r="GB211" i="14"/>
  <c r="GC211" i="14" s="1"/>
  <c r="GD211" i="14" s="1"/>
  <c r="EQ208" i="14" l="1"/>
  <c r="EL171" i="14"/>
  <c r="DD169" i="14"/>
  <c r="DJ171" i="14"/>
  <c r="EO171" i="14"/>
  <c r="ET169" i="14"/>
  <c r="EP171" i="14"/>
  <c r="DW169" i="14"/>
  <c r="EB170" i="14" s="1"/>
  <c r="DQ169" i="14"/>
  <c r="DV171" i="14"/>
  <c r="DX171" i="14"/>
  <c r="EB171" i="14" s="1"/>
  <c r="DA171" i="14"/>
  <c r="CV169" i="14"/>
  <c r="CV171" i="14" s="1"/>
  <c r="EV173" i="14"/>
  <c r="EV174" i="14" s="1"/>
  <c r="EV170" i="14"/>
  <c r="ET171" i="14" l="1"/>
  <c r="EU171" i="14"/>
  <c r="EQ171" i="14"/>
  <c r="DQ171" i="14"/>
  <c r="DR169" i="14"/>
  <c r="DL169" i="14"/>
  <c r="DS171" i="14"/>
  <c r="DW171" i="14" s="1"/>
  <c r="CY169" i="14"/>
  <c r="DE171" i="14"/>
  <c r="EV171" i="14" l="1"/>
  <c r="CT169" i="14"/>
  <c r="CZ171" i="14"/>
  <c r="DW170" i="14"/>
  <c r="DL171" i="14"/>
  <c r="DM169" i="14"/>
  <c r="DG169" i="14"/>
  <c r="DN171" i="14"/>
  <c r="DR171" i="14" s="1"/>
  <c r="CT171" i="14" l="1"/>
  <c r="CU171" i="14"/>
  <c r="DR170" i="14"/>
  <c r="DG171" i="14"/>
  <c r="DH169" i="14"/>
  <c r="DB169" i="14"/>
  <c r="DI171" i="14"/>
  <c r="DM171" i="14" s="1"/>
  <c r="DC169" i="14" l="1"/>
  <c r="CW169" i="14"/>
  <c r="DB171" i="14"/>
  <c r="DD171" i="14"/>
  <c r="DH171" i="14" s="1"/>
  <c r="DM170" i="14"/>
  <c r="CX169" i="14" l="1"/>
  <c r="DC170" i="14" s="1"/>
  <c r="CW171" i="14"/>
  <c r="CX171" i="14" s="1"/>
  <c r="CY171" i="14"/>
  <c r="DC171" i="14" s="1"/>
  <c r="DH170" i="14"/>
  <c r="FA35" i="17" l="1"/>
  <c r="EZ35" i="17" s="1"/>
  <c r="FA35" i="15"/>
  <c r="EZ35" i="15" s="1"/>
  <c r="FA35" i="14"/>
  <c r="EZ35" i="14" s="1"/>
  <c r="FA10" i="14"/>
  <c r="FA12" i="2" s="1"/>
  <c r="FA21" i="17"/>
  <c r="FA19" i="17"/>
  <c r="FA45" i="15"/>
  <c r="FA37" i="15"/>
  <c r="FA21" i="15"/>
  <c r="FA19" i="15"/>
  <c r="FA37" i="14"/>
  <c r="FA32" i="14"/>
  <c r="FA21" i="14"/>
  <c r="FA19" i="14"/>
  <c r="EZ45" i="3"/>
  <c r="EZ24" i="3"/>
  <c r="FA23" i="14" l="1"/>
  <c r="FA51" i="3" s="1"/>
  <c r="FB120" i="29" l="1"/>
  <c r="FB112" i="29"/>
  <c r="FB100" i="29"/>
  <c r="FB84" i="29"/>
  <c r="FB75" i="29"/>
  <c r="FB60" i="29"/>
  <c r="FB59" i="29"/>
  <c r="FB43" i="29"/>
  <c r="FB29" i="29"/>
  <c r="FB15" i="29"/>
  <c r="EZ122" i="29"/>
  <c r="EZ120" i="29"/>
  <c r="EZ114" i="29"/>
  <c r="EZ112" i="29"/>
  <c r="EZ100" i="29"/>
  <c r="EZ84" i="29"/>
  <c r="EZ77" i="29"/>
  <c r="EZ75" i="29"/>
  <c r="EZ63" i="29"/>
  <c r="EZ60" i="29"/>
  <c r="EZ59" i="29"/>
  <c r="EZ61" i="29" s="1"/>
  <c r="EZ45" i="29"/>
  <c r="EZ43" i="29"/>
  <c r="EZ31" i="29"/>
  <c r="EZ29" i="29"/>
  <c r="EZ17" i="29"/>
  <c r="EZ18" i="29" s="1"/>
  <c r="EZ15" i="29"/>
  <c r="FB61" i="29" l="1"/>
  <c r="EZ78" i="29"/>
  <c r="EZ47" i="29"/>
  <c r="EZ123" i="29"/>
  <c r="EZ32" i="29"/>
  <c r="EZ64" i="29"/>
  <c r="EZ115" i="29"/>
  <c r="EZ65" i="29"/>
  <c r="EZ46" i="29"/>
  <c r="EZ19" i="29"/>
  <c r="EZ33" i="29"/>
  <c r="EZ79" i="29"/>
  <c r="FA53" i="30"/>
  <c r="EZ31" i="30"/>
  <c r="GI122" i="18"/>
  <c r="GH122" i="18"/>
  <c r="GG122" i="18"/>
  <c r="GF122" i="18"/>
  <c r="GG113" i="18"/>
  <c r="GH113" i="18" s="1"/>
  <c r="GI113" i="18" s="1"/>
  <c r="EZ122" i="18"/>
  <c r="EZ101" i="18"/>
  <c r="EZ52" i="18"/>
  <c r="FA44" i="18"/>
  <c r="FA40" i="18"/>
  <c r="FA28" i="18"/>
  <c r="EV28" i="18"/>
  <c r="FA10" i="18"/>
  <c r="EZ40" i="18"/>
  <c r="EZ35" i="18" s="1"/>
  <c r="FA35" i="18" s="1"/>
  <c r="FA40" i="2" s="1"/>
  <c r="FA98" i="2" s="1"/>
  <c r="EZ33" i="18"/>
  <c r="EZ32" i="18"/>
  <c r="EZ31" i="18"/>
  <c r="EZ29" i="18"/>
  <c r="EZ23" i="18"/>
  <c r="EZ16" i="18"/>
  <c r="EZ15" i="18"/>
  <c r="EZ14" i="18"/>
  <c r="EZ13" i="18"/>
  <c r="GG152" i="17"/>
  <c r="GH152" i="17" s="1"/>
  <c r="GI152" i="17" s="1"/>
  <c r="GG144" i="17"/>
  <c r="EZ226" i="17"/>
  <c r="EZ225" i="17"/>
  <c r="EZ223" i="17"/>
  <c r="EZ222" i="17"/>
  <c r="EZ231" i="17" s="1"/>
  <c r="EZ132" i="17"/>
  <c r="EZ131" i="17"/>
  <c r="EZ130" i="17"/>
  <c r="EZ129" i="17"/>
  <c r="EZ127" i="17"/>
  <c r="EZ95" i="17"/>
  <c r="EZ94" i="17"/>
  <c r="EZ92" i="17"/>
  <c r="EZ42" i="17"/>
  <c r="EZ41" i="17"/>
  <c r="EZ40" i="17"/>
  <c r="EU31" i="17"/>
  <c r="EZ16" i="17"/>
  <c r="EZ15" i="17"/>
  <c r="EZ14" i="17"/>
  <c r="EZ13" i="17"/>
  <c r="EZ11" i="17"/>
  <c r="EZ51" i="29" s="1"/>
  <c r="EZ52" i="29" s="1"/>
  <c r="GI234" i="15"/>
  <c r="GH234" i="15"/>
  <c r="GG234" i="15"/>
  <c r="GF234" i="15"/>
  <c r="GI233" i="15"/>
  <c r="GH233" i="15"/>
  <c r="GG233" i="15"/>
  <c r="GF233" i="15"/>
  <c r="GJ232" i="15"/>
  <c r="GI225" i="15"/>
  <c r="GH225" i="15"/>
  <c r="GG225" i="15"/>
  <c r="EZ232" i="15"/>
  <c r="EZ230" i="15"/>
  <c r="EZ229" i="15"/>
  <c r="EZ227" i="15"/>
  <c r="EZ217" i="15"/>
  <c r="EZ141" i="15"/>
  <c r="EZ120" i="15"/>
  <c r="EZ119" i="15"/>
  <c r="EZ96" i="15"/>
  <c r="EZ95" i="15"/>
  <c r="EZ94" i="15"/>
  <c r="EZ93" i="15"/>
  <c r="EZ92" i="15"/>
  <c r="EZ91" i="15"/>
  <c r="EZ42" i="15"/>
  <c r="EZ41" i="15"/>
  <c r="EZ40" i="15"/>
  <c r="EZ38" i="15"/>
  <c r="EU31" i="15"/>
  <c r="EZ16" i="15"/>
  <c r="EZ15" i="15"/>
  <c r="EZ14" i="15"/>
  <c r="EZ13" i="15"/>
  <c r="EZ11" i="15"/>
  <c r="EZ37" i="29" s="1"/>
  <c r="EZ38" i="29" s="1"/>
  <c r="GG279" i="14"/>
  <c r="GH279" i="14" s="1"/>
  <c r="GG242" i="14"/>
  <c r="GH242" i="14" s="1"/>
  <c r="GI242" i="14" s="1"/>
  <c r="FA351" i="14"/>
  <c r="FA348" i="14"/>
  <c r="FA316" i="14"/>
  <c r="FA313" i="14"/>
  <c r="FA273" i="14"/>
  <c r="EZ347" i="14"/>
  <c r="EZ352" i="14" s="1"/>
  <c r="EY315" i="14"/>
  <c r="EY316" i="14"/>
  <c r="EY317" i="14"/>
  <c r="EY318" i="14"/>
  <c r="EZ312" i="14"/>
  <c r="EZ323" i="14" s="1"/>
  <c r="EZ276" i="14"/>
  <c r="EZ275" i="14"/>
  <c r="EZ262" i="14"/>
  <c r="EZ260" i="14"/>
  <c r="EZ259" i="14"/>
  <c r="EZ258" i="14"/>
  <c r="EZ256" i="14"/>
  <c r="EZ193" i="14"/>
  <c r="EZ191" i="14"/>
  <c r="EZ190" i="14"/>
  <c r="EZ189" i="14"/>
  <c r="EZ187" i="14"/>
  <c r="EZ42" i="14"/>
  <c r="EZ41" i="14"/>
  <c r="EZ40" i="14"/>
  <c r="EZ38" i="14"/>
  <c r="EU31" i="14"/>
  <c r="EZ31" i="14" s="1"/>
  <c r="EZ16" i="14"/>
  <c r="EZ15" i="14"/>
  <c r="EZ14" i="14"/>
  <c r="EZ13" i="14"/>
  <c r="EZ11" i="14"/>
  <c r="EZ23" i="29" s="1"/>
  <c r="EZ24" i="29" s="1"/>
  <c r="EZ39" i="7"/>
  <c r="EZ23" i="7"/>
  <c r="EZ15" i="7"/>
  <c r="EZ10" i="7"/>
  <c r="FA28" i="8"/>
  <c r="FA24" i="8"/>
  <c r="EZ34" i="8"/>
  <c r="EZ43" i="8" s="1"/>
  <c r="EZ31" i="8"/>
  <c r="EZ22" i="8"/>
  <c r="EZ23" i="8" s="1"/>
  <c r="EZ20" i="8"/>
  <c r="EZ17" i="8"/>
  <c r="EZ13" i="8"/>
  <c r="GJ57" i="6"/>
  <c r="GJ55" i="6"/>
  <c r="GJ54" i="6"/>
  <c r="GJ53" i="6"/>
  <c r="GJ52" i="6"/>
  <c r="GJ51" i="6"/>
  <c r="GJ50" i="6"/>
  <c r="GJ45" i="6"/>
  <c r="GJ44" i="6"/>
  <c r="GJ41" i="6"/>
  <c r="GJ40" i="6"/>
  <c r="GJ39" i="6"/>
  <c r="GJ38" i="6"/>
  <c r="GJ37" i="6"/>
  <c r="GJ36" i="6"/>
  <c r="GJ35" i="6"/>
  <c r="GI27" i="6"/>
  <c r="GH27" i="6"/>
  <c r="GH34" i="2" s="1"/>
  <c r="GG27" i="6"/>
  <c r="GG34" i="2" s="1"/>
  <c r="GF27" i="6"/>
  <c r="GJ19" i="6"/>
  <c r="GJ18" i="6"/>
  <c r="GJ17" i="6"/>
  <c r="GJ16" i="6"/>
  <c r="GJ15" i="6"/>
  <c r="GG142" i="5"/>
  <c r="GH142" i="5" s="1"/>
  <c r="GI142" i="5" s="1"/>
  <c r="GF92" i="5"/>
  <c r="GG90" i="5"/>
  <c r="GH90" i="5" s="1"/>
  <c r="GH92" i="5" s="1"/>
  <c r="GI40" i="5"/>
  <c r="GH40" i="5"/>
  <c r="GH32" i="2" s="1"/>
  <c r="GG40" i="5"/>
  <c r="GG32" i="2" s="1"/>
  <c r="GF40" i="5"/>
  <c r="GF32" i="2" s="1"/>
  <c r="GJ33" i="5"/>
  <c r="GJ31" i="2" s="1"/>
  <c r="GI33" i="5"/>
  <c r="GI31" i="2" s="1"/>
  <c r="GH33" i="5"/>
  <c r="GH31" i="2" s="1"/>
  <c r="GG33" i="5"/>
  <c r="GG31" i="2" s="1"/>
  <c r="GF33" i="5"/>
  <c r="GF31" i="2" s="1"/>
  <c r="GG110" i="3"/>
  <c r="GH110" i="3" s="1"/>
  <c r="GH107" i="3" s="1"/>
  <c r="GF107" i="3"/>
  <c r="GG105" i="3"/>
  <c r="GH105" i="3" s="1"/>
  <c r="GH102" i="3" s="1"/>
  <c r="GF102" i="3"/>
  <c r="GG100" i="3"/>
  <c r="GH100" i="3" s="1"/>
  <c r="GI100" i="3" s="1"/>
  <c r="GF34" i="2"/>
  <c r="GE16" i="6"/>
  <c r="FZ16" i="6"/>
  <c r="FU16" i="6"/>
  <c r="FP16" i="6"/>
  <c r="FK16" i="6"/>
  <c r="FF16" i="6"/>
  <c r="FA16" i="6"/>
  <c r="GE57" i="6"/>
  <c r="GE55" i="6"/>
  <c r="GE54" i="6"/>
  <c r="GE53" i="6"/>
  <c r="GE52" i="6"/>
  <c r="GE51" i="6"/>
  <c r="GE50" i="6"/>
  <c r="GE45" i="6"/>
  <c r="GE44" i="6"/>
  <c r="GE41" i="6"/>
  <c r="GE40" i="6"/>
  <c r="GE39" i="6"/>
  <c r="GE38" i="6"/>
  <c r="GE37" i="6"/>
  <c r="GE36" i="6"/>
  <c r="GE35" i="6"/>
  <c r="GE19" i="6"/>
  <c r="GE18" i="6"/>
  <c r="GE17" i="6"/>
  <c r="GE15" i="6"/>
  <c r="FZ57" i="6"/>
  <c r="FZ55" i="6"/>
  <c r="FZ54" i="6"/>
  <c r="FZ53" i="6"/>
  <c r="FZ52" i="6"/>
  <c r="FZ51" i="6"/>
  <c r="FZ50" i="6"/>
  <c r="FZ45" i="6"/>
  <c r="FZ44" i="6"/>
  <c r="FZ41" i="6"/>
  <c r="FZ40" i="6"/>
  <c r="FZ39" i="6"/>
  <c r="FZ38" i="6"/>
  <c r="FZ37" i="6"/>
  <c r="FZ36" i="6"/>
  <c r="FZ35" i="6"/>
  <c r="FZ19" i="6"/>
  <c r="FZ18" i="6"/>
  <c r="FZ17" i="6"/>
  <c r="FZ15" i="6"/>
  <c r="FU57" i="6"/>
  <c r="FU55" i="6"/>
  <c r="FU54" i="6"/>
  <c r="FU53" i="6"/>
  <c r="FU52" i="6"/>
  <c r="FU51" i="6"/>
  <c r="FU50" i="6"/>
  <c r="FU45" i="6"/>
  <c r="FU44" i="6"/>
  <c r="FU41" i="6"/>
  <c r="FU40" i="6"/>
  <c r="FU39" i="6"/>
  <c r="FU38" i="6"/>
  <c r="FU37" i="6"/>
  <c r="FU36" i="6"/>
  <c r="FU35" i="6"/>
  <c r="FU19" i="6"/>
  <c r="FU18" i="6"/>
  <c r="FU17" i="6"/>
  <c r="FU15" i="6"/>
  <c r="FP57" i="6"/>
  <c r="FP55" i="6"/>
  <c r="FP54" i="6"/>
  <c r="FP53" i="6"/>
  <c r="FP52" i="6"/>
  <c r="FP51" i="6"/>
  <c r="FP50" i="6"/>
  <c r="FP45" i="6"/>
  <c r="FP44" i="6"/>
  <c r="FP41" i="6"/>
  <c r="FP40" i="6"/>
  <c r="FP39" i="6"/>
  <c r="FP38" i="6"/>
  <c r="FP37" i="6"/>
  <c r="FP36" i="6"/>
  <c r="FP35" i="6"/>
  <c r="FP19" i="6"/>
  <c r="FP18" i="6"/>
  <c r="FP17" i="6"/>
  <c r="FP15" i="6"/>
  <c r="FK57" i="6"/>
  <c r="FK55" i="6"/>
  <c r="FK54" i="6"/>
  <c r="FK53" i="6"/>
  <c r="FK52" i="6"/>
  <c r="FK51" i="6"/>
  <c r="FK50" i="6"/>
  <c r="FK45" i="6"/>
  <c r="FK44" i="6"/>
  <c r="FK41" i="6"/>
  <c r="FK40" i="6"/>
  <c r="FK39" i="6"/>
  <c r="FK38" i="6"/>
  <c r="FK37" i="6"/>
  <c r="FK36" i="6"/>
  <c r="FK35" i="6"/>
  <c r="FK19" i="6"/>
  <c r="FK18" i="6"/>
  <c r="FK17" i="6"/>
  <c r="FK15" i="6"/>
  <c r="FF57" i="6"/>
  <c r="FF55" i="6"/>
  <c r="FF54" i="6"/>
  <c r="FF53" i="6"/>
  <c r="FF52" i="6"/>
  <c r="FF51" i="6"/>
  <c r="FF50" i="6"/>
  <c r="FF45" i="6"/>
  <c r="FF44" i="6"/>
  <c r="FF41" i="6"/>
  <c r="FF40" i="6"/>
  <c r="FF39" i="6"/>
  <c r="FF38" i="6"/>
  <c r="FF37" i="6"/>
  <c r="FF36" i="6"/>
  <c r="FF35" i="6"/>
  <c r="FF19" i="6"/>
  <c r="FF18" i="6"/>
  <c r="FF17" i="6"/>
  <c r="FF15" i="6"/>
  <c r="FA78" i="6"/>
  <c r="FA93" i="6" s="1"/>
  <c r="FA57" i="6"/>
  <c r="FA55" i="6"/>
  <c r="FA54" i="6"/>
  <c r="FA53" i="6"/>
  <c r="FA52" i="6"/>
  <c r="FA51" i="6"/>
  <c r="FA50" i="6"/>
  <c r="FA49" i="6"/>
  <c r="FA45" i="6"/>
  <c r="FA44" i="6"/>
  <c r="FA43" i="6"/>
  <c r="FA34" i="8" s="1"/>
  <c r="FA42" i="6"/>
  <c r="FA22" i="8" s="1"/>
  <c r="FA41" i="6"/>
  <c r="FA40" i="6"/>
  <c r="FA39" i="6"/>
  <c r="FA38" i="6"/>
  <c r="FA37" i="6"/>
  <c r="FA36" i="6"/>
  <c r="FA35" i="6"/>
  <c r="FA30" i="6"/>
  <c r="FA29" i="6"/>
  <c r="FA28" i="6"/>
  <c r="FA27" i="6"/>
  <c r="FA39" i="7" s="1"/>
  <c r="FA26" i="6"/>
  <c r="FA25" i="6"/>
  <c r="FA24" i="6"/>
  <c r="FA23" i="6"/>
  <c r="FA22" i="6"/>
  <c r="FA19" i="6"/>
  <c r="FA18" i="6"/>
  <c r="FA17" i="6"/>
  <c r="FA15" i="6"/>
  <c r="FA14" i="6"/>
  <c r="FA20" i="8" s="1"/>
  <c r="FA13" i="6"/>
  <c r="EZ93" i="6"/>
  <c r="EZ82" i="6"/>
  <c r="EZ81" i="6"/>
  <c r="EZ80" i="6"/>
  <c r="EZ79" i="6"/>
  <c r="EZ68" i="6"/>
  <c r="FA147" i="5"/>
  <c r="FA54" i="30" s="1"/>
  <c r="FA146" i="5"/>
  <c r="FA49" i="5"/>
  <c r="FA48" i="5"/>
  <c r="FA47" i="5"/>
  <c r="FA43" i="5"/>
  <c r="FA42" i="5"/>
  <c r="FA41" i="5"/>
  <c r="FA40" i="5"/>
  <c r="FA23" i="7" s="1"/>
  <c r="FA39" i="5"/>
  <c r="FA38" i="5"/>
  <c r="FA35" i="5"/>
  <c r="FA34" i="5"/>
  <c r="FA33" i="5"/>
  <c r="FA15" i="7" s="1"/>
  <c r="FA32" i="5"/>
  <c r="FA31" i="5"/>
  <c r="FA30" i="5"/>
  <c r="FA29" i="5"/>
  <c r="FA28" i="5"/>
  <c r="FA24" i="5"/>
  <c r="FA23" i="5"/>
  <c r="FA22" i="5"/>
  <c r="FA21" i="5"/>
  <c r="FA20" i="5"/>
  <c r="FA19" i="5"/>
  <c r="FA18" i="5"/>
  <c r="FA15" i="5"/>
  <c r="FA14" i="5"/>
  <c r="FA13" i="5"/>
  <c r="FA12" i="5"/>
  <c r="FA11" i="5"/>
  <c r="FA10" i="5"/>
  <c r="EZ139" i="5"/>
  <c r="FA139" i="5" s="1"/>
  <c r="EZ136" i="5"/>
  <c r="EZ98" i="5"/>
  <c r="EZ95" i="5"/>
  <c r="EZ92" i="5"/>
  <c r="EZ90" i="5"/>
  <c r="EZ88" i="5"/>
  <c r="EZ85" i="5"/>
  <c r="EZ79" i="5"/>
  <c r="EZ76" i="5"/>
  <c r="EZ73" i="5"/>
  <c r="EZ67" i="5"/>
  <c r="EZ59" i="5"/>
  <c r="EZ58" i="5"/>
  <c r="EZ57" i="5"/>
  <c r="EZ56" i="5"/>
  <c r="EZ97" i="5" s="1"/>
  <c r="FE97" i="5" s="1"/>
  <c r="FJ97" i="5" s="1"/>
  <c r="FO97" i="5" s="1"/>
  <c r="FT97" i="5" s="1"/>
  <c r="FY97" i="5" s="1"/>
  <c r="GD97" i="5" s="1"/>
  <c r="GI97" i="5" s="1"/>
  <c r="EZ50" i="5"/>
  <c r="FA50" i="5" s="1"/>
  <c r="FA221" i="3"/>
  <c r="FA216" i="3"/>
  <c r="FA210" i="3"/>
  <c r="FA209" i="3"/>
  <c r="FA208" i="3"/>
  <c r="FA202" i="3"/>
  <c r="FA201" i="3"/>
  <c r="FA200" i="3"/>
  <c r="FA199" i="3"/>
  <c r="FA198" i="3"/>
  <c r="FA197" i="3"/>
  <c r="FA196" i="3"/>
  <c r="FA195" i="3"/>
  <c r="FA194" i="3"/>
  <c r="FA189" i="3"/>
  <c r="FA188" i="3"/>
  <c r="FA187" i="3"/>
  <c r="FA186" i="3"/>
  <c r="FA185" i="3"/>
  <c r="FA184" i="3"/>
  <c r="FA183" i="3"/>
  <c r="FA182" i="3"/>
  <c r="FA181" i="3"/>
  <c r="FA176" i="3"/>
  <c r="FA175" i="3"/>
  <c r="FA174" i="3"/>
  <c r="FA173" i="3"/>
  <c r="FA172" i="3"/>
  <c r="FA171" i="3"/>
  <c r="FA170" i="3"/>
  <c r="FA169" i="3"/>
  <c r="FA168" i="3"/>
  <c r="CY164" i="3"/>
  <c r="CZ164" i="3"/>
  <c r="DA164" i="3"/>
  <c r="DB164" i="3"/>
  <c r="DD164" i="3"/>
  <c r="DE164" i="3"/>
  <c r="DF164" i="3"/>
  <c r="DG164" i="3"/>
  <c r="EZ164" i="3"/>
  <c r="FA163" i="3"/>
  <c r="FA162" i="3"/>
  <c r="FA161" i="3"/>
  <c r="FA160" i="3"/>
  <c r="FA159" i="3"/>
  <c r="FA158" i="3"/>
  <c r="FA157" i="3"/>
  <c r="FA156" i="3"/>
  <c r="FA155" i="3"/>
  <c r="FA152" i="3"/>
  <c r="FA17" i="8" s="1"/>
  <c r="FA151" i="3"/>
  <c r="FA13" i="8" s="1"/>
  <c r="FA136" i="3"/>
  <c r="FA107" i="3"/>
  <c r="FA102" i="3"/>
  <c r="FA97" i="3"/>
  <c r="FA90" i="3"/>
  <c r="FA83" i="3"/>
  <c r="FA76" i="3"/>
  <c r="FA38" i="3"/>
  <c r="FA31" i="3"/>
  <c r="FA17" i="3"/>
  <c r="FA10" i="3"/>
  <c r="EZ218" i="3"/>
  <c r="EZ211" i="3"/>
  <c r="FA119" i="2"/>
  <c r="FA118" i="2"/>
  <c r="FA116" i="2"/>
  <c r="EZ117" i="2"/>
  <c r="EZ115" i="2"/>
  <c r="EZ130" i="3"/>
  <c r="EZ129" i="3"/>
  <c r="EZ128" i="3"/>
  <c r="EZ112" i="3"/>
  <c r="EZ86" i="29" s="1"/>
  <c r="EZ88" i="29" s="1"/>
  <c r="EZ110" i="3"/>
  <c r="EZ109" i="3"/>
  <c r="EZ108" i="3"/>
  <c r="EZ105" i="3"/>
  <c r="EZ104" i="3"/>
  <c r="EZ103" i="3"/>
  <c r="EZ100" i="3"/>
  <c r="EZ99" i="3"/>
  <c r="EZ98" i="3"/>
  <c r="EZ95" i="3"/>
  <c r="FE95" i="3" s="1"/>
  <c r="EZ94" i="3"/>
  <c r="EZ93" i="3"/>
  <c r="EZ92" i="3"/>
  <c r="EZ91" i="3"/>
  <c r="EZ88" i="3"/>
  <c r="FE88" i="3" s="1"/>
  <c r="EZ87" i="3"/>
  <c r="EZ86" i="3"/>
  <c r="EZ85" i="3"/>
  <c r="EZ84" i="3"/>
  <c r="EZ81" i="3"/>
  <c r="FE81" i="3" s="1"/>
  <c r="FJ81" i="3" s="1"/>
  <c r="EZ80" i="3"/>
  <c r="EZ79" i="3"/>
  <c r="EZ78" i="3"/>
  <c r="EZ77" i="3"/>
  <c r="EZ66" i="3"/>
  <c r="EZ71" i="3" s="1"/>
  <c r="EZ43" i="3"/>
  <c r="EZ42" i="3"/>
  <c r="EZ41" i="3"/>
  <c r="EZ40" i="3"/>
  <c r="EZ39" i="3"/>
  <c r="EZ36" i="3"/>
  <c r="EZ35" i="3"/>
  <c r="EZ34" i="3"/>
  <c r="EZ33" i="3"/>
  <c r="EZ32" i="3"/>
  <c r="EZ22" i="3"/>
  <c r="EZ21" i="3"/>
  <c r="EZ20" i="3"/>
  <c r="EZ19" i="3"/>
  <c r="EZ18" i="3"/>
  <c r="EZ15" i="3"/>
  <c r="EZ14" i="3"/>
  <c r="EZ13" i="3"/>
  <c r="EZ12" i="3"/>
  <c r="EZ11" i="3"/>
  <c r="FA42" i="2"/>
  <c r="FA46" i="2" s="1"/>
  <c r="FA83" i="2" s="1"/>
  <c r="EZ77" i="2"/>
  <c r="EZ46" i="2"/>
  <c r="EZ83" i="2" s="1"/>
  <c r="EZ44" i="2"/>
  <c r="EZ43" i="2"/>
  <c r="EZ37" i="2"/>
  <c r="EZ34" i="2"/>
  <c r="EZ32" i="2"/>
  <c r="EZ31" i="2"/>
  <c r="FA28" i="2"/>
  <c r="FA63" i="2" s="1"/>
  <c r="EZ63" i="2"/>
  <c r="FA27" i="2"/>
  <c r="FA56" i="2" s="1"/>
  <c r="EZ56" i="2"/>
  <c r="FA26" i="2"/>
  <c r="GG102" i="3" l="1"/>
  <c r="FA29" i="18"/>
  <c r="FA37" i="2"/>
  <c r="FA91" i="2" s="1"/>
  <c r="EZ31" i="17"/>
  <c r="FA77" i="2"/>
  <c r="FA104" i="2" s="1"/>
  <c r="FA59" i="5"/>
  <c r="GJ27" i="6"/>
  <c r="GJ34" i="2" s="1"/>
  <c r="FA31" i="2"/>
  <c r="FA58" i="5"/>
  <c r="GI34" i="2"/>
  <c r="GG92" i="5"/>
  <c r="GG107" i="3"/>
  <c r="EZ29" i="8"/>
  <c r="FA31" i="8"/>
  <c r="EZ119" i="2"/>
  <c r="EZ116" i="2"/>
  <c r="EZ118" i="2"/>
  <c r="EZ315" i="14"/>
  <c r="GG104" i="3"/>
  <c r="GG109" i="3"/>
  <c r="FA226" i="3"/>
  <c r="EZ350" i="14"/>
  <c r="EZ353" i="14"/>
  <c r="EZ317" i="14"/>
  <c r="EZ318" i="14"/>
  <c r="EZ99" i="18"/>
  <c r="EZ31" i="15"/>
  <c r="EZ84" i="6"/>
  <c r="EZ35" i="8"/>
  <c r="EZ37" i="8" s="1"/>
  <c r="EZ40" i="7"/>
  <c r="FA90" i="5"/>
  <c r="FA92" i="5"/>
  <c r="FA55" i="30"/>
  <c r="EZ60" i="5"/>
  <c r="FA16" i="8"/>
  <c r="EZ16" i="8"/>
  <c r="FA35" i="8"/>
  <c r="EZ87" i="29"/>
  <c r="FA36" i="3"/>
  <c r="EZ78" i="5"/>
  <c r="EZ91" i="5"/>
  <c r="EZ75" i="5"/>
  <c r="EZ118" i="3"/>
  <c r="EZ123" i="3" s="1"/>
  <c r="FA43" i="3"/>
  <c r="FA32" i="18"/>
  <c r="FA46" i="30"/>
  <c r="FA50" i="30"/>
  <c r="FA52" i="30"/>
  <c r="FA48" i="30"/>
  <c r="FA44" i="30"/>
  <c r="EZ40" i="2"/>
  <c r="EZ98" i="2" s="1"/>
  <c r="EZ104" i="2" s="1"/>
  <c r="EZ91" i="2"/>
  <c r="GH144" i="17"/>
  <c r="EZ68" i="2"/>
  <c r="EZ61" i="2"/>
  <c r="EZ29" i="2"/>
  <c r="EZ66" i="2" s="1"/>
  <c r="FA29" i="2"/>
  <c r="FA70" i="2" s="1"/>
  <c r="EZ15" i="2"/>
  <c r="GI279" i="14"/>
  <c r="FA49" i="2"/>
  <c r="EZ49" i="2"/>
  <c r="EZ31" i="7"/>
  <c r="EZ20" i="7" s="1"/>
  <c r="EZ28" i="7"/>
  <c r="FA31" i="7"/>
  <c r="EZ21" i="7"/>
  <c r="EZ29" i="7"/>
  <c r="FA37" i="8"/>
  <c r="FA43" i="8"/>
  <c r="GI90" i="5"/>
  <c r="GI32" i="2"/>
  <c r="GJ40" i="5"/>
  <c r="GJ32" i="2" s="1"/>
  <c r="GH109" i="3"/>
  <c r="GH104" i="3"/>
  <c r="GI110" i="3"/>
  <c r="GI107" i="3" s="1"/>
  <c r="GI105" i="3"/>
  <c r="GI102" i="3" s="1"/>
  <c r="EZ87" i="5"/>
  <c r="EZ94" i="5"/>
  <c r="EZ89" i="5"/>
  <c r="EZ89" i="2"/>
  <c r="FA60" i="5" l="1"/>
  <c r="FA89" i="2"/>
  <c r="EZ120" i="2"/>
  <c r="FA96" i="2"/>
  <c r="EZ35" i="2"/>
  <c r="EZ103" i="18"/>
  <c r="EZ177" i="3"/>
  <c r="EZ230" i="3"/>
  <c r="EZ96" i="2"/>
  <c r="GI144" i="17"/>
  <c r="EZ52" i="2"/>
  <c r="EZ70" i="2"/>
  <c r="EZ74" i="2" s="1"/>
  <c r="EZ59" i="2"/>
  <c r="FA59" i="2"/>
  <c r="FA52" i="2"/>
  <c r="FA66" i="2"/>
  <c r="EZ54" i="2"/>
  <c r="EZ36" i="7"/>
  <c r="FA20" i="7"/>
  <c r="GI92" i="5"/>
  <c r="GI109" i="3"/>
  <c r="GJ107" i="3"/>
  <c r="GI104" i="3"/>
  <c r="GJ102" i="3"/>
  <c r="GB279" i="14" l="1"/>
  <c r="GC279" i="14" s="1"/>
  <c r="GD279" i="14" s="1"/>
  <c r="FW279" i="14"/>
  <c r="FX279" i="14" s="1"/>
  <c r="FY279" i="14" s="1"/>
  <c r="FR279" i="14"/>
  <c r="FS279" i="14" s="1"/>
  <c r="FT279" i="14" s="1"/>
  <c r="FM279" i="14"/>
  <c r="FN279" i="14" s="1"/>
  <c r="FO279" i="14" s="1"/>
  <c r="FJ279" i="14"/>
  <c r="FV276" i="14"/>
  <c r="FW276" i="14" s="1"/>
  <c r="FX276" i="14" s="1"/>
  <c r="FL276" i="14"/>
  <c r="FM276" i="14" s="1"/>
  <c r="EY276" i="14"/>
  <c r="EX276" i="14"/>
  <c r="EU276" i="14"/>
  <c r="ET276" i="14"/>
  <c r="ES276" i="14"/>
  <c r="EP276" i="14"/>
  <c r="EO276" i="14"/>
  <c r="EN276" i="14"/>
  <c r="EK276" i="14"/>
  <c r="EJ276" i="14"/>
  <c r="EI276" i="14"/>
  <c r="EF276" i="14"/>
  <c r="EE276" i="14"/>
  <c r="ED276" i="14"/>
  <c r="EA276" i="14"/>
  <c r="DZ276" i="14"/>
  <c r="DY276" i="14"/>
  <c r="DV276" i="14"/>
  <c r="DU276" i="14"/>
  <c r="DT276" i="14"/>
  <c r="DQ276" i="14"/>
  <c r="DP276" i="14"/>
  <c r="DO276" i="14"/>
  <c r="DL276" i="14"/>
  <c r="DK276" i="14"/>
  <c r="DJ276" i="14"/>
  <c r="DG276" i="14"/>
  <c r="DF276" i="14"/>
  <c r="DE276" i="14"/>
  <c r="CZ276" i="14"/>
  <c r="DA276" i="14"/>
  <c r="DB276" i="14"/>
  <c r="FR276" i="14"/>
  <c r="FH276" i="14"/>
  <c r="FI276" i="14" s="1"/>
  <c r="FC276" i="14"/>
  <c r="GA276" i="14" l="1"/>
  <c r="DC276" i="14"/>
  <c r="FB273" i="14"/>
  <c r="FB275" i="14" s="1"/>
  <c r="FJ276" i="14"/>
  <c r="FK276" i="14" s="1"/>
  <c r="FY276" i="14"/>
  <c r="FZ276" i="14" s="1"/>
  <c r="FD276" i="14"/>
  <c r="FS276" i="14"/>
  <c r="FT276" i="14" s="1"/>
  <c r="FN276" i="14"/>
  <c r="FO276" i="14" s="1"/>
  <c r="EY33" i="18"/>
  <c r="EX33" i="18"/>
  <c r="EW33" i="18"/>
  <c r="EU33" i="18"/>
  <c r="ET33" i="18"/>
  <c r="ES33" i="18"/>
  <c r="ER33" i="18"/>
  <c r="EP33" i="18"/>
  <c r="EO33" i="18"/>
  <c r="EN33" i="18"/>
  <c r="EM33" i="18"/>
  <c r="EK33" i="18"/>
  <c r="EJ33" i="18"/>
  <c r="EI33" i="18"/>
  <c r="EH33" i="18"/>
  <c r="EF33" i="18"/>
  <c r="EE33" i="18"/>
  <c r="ED33" i="18"/>
  <c r="EC33" i="18"/>
  <c r="EA33" i="18"/>
  <c r="DZ33" i="18"/>
  <c r="DY33" i="18"/>
  <c r="DX33" i="18"/>
  <c r="DV33" i="18"/>
  <c r="DU33" i="18"/>
  <c r="DT33" i="18"/>
  <c r="EY32" i="18"/>
  <c r="EX32" i="18"/>
  <c r="EW32" i="18"/>
  <c r="EU32" i="18"/>
  <c r="ET32" i="18"/>
  <c r="ES32" i="18"/>
  <c r="ER32" i="18"/>
  <c r="EP32" i="18"/>
  <c r="EO32" i="18"/>
  <c r="EN32" i="18"/>
  <c r="EM32" i="18"/>
  <c r="EK32" i="18"/>
  <c r="EJ32" i="18"/>
  <c r="EI32" i="18"/>
  <c r="EH32" i="18"/>
  <c r="EF32" i="18"/>
  <c r="EE32" i="18"/>
  <c r="ED32" i="18"/>
  <c r="EC32" i="18"/>
  <c r="EA32" i="18"/>
  <c r="DZ32" i="18"/>
  <c r="DY32" i="18"/>
  <c r="DX32" i="18"/>
  <c r="GB276" i="14" l="1"/>
  <c r="GC276" i="14" s="1"/>
  <c r="GD276" i="14" s="1"/>
  <c r="GF276" i="14"/>
  <c r="FB274" i="14"/>
  <c r="FC273" i="14"/>
  <c r="FF276" i="14"/>
  <c r="FD273" i="14"/>
  <c r="FU276" i="14"/>
  <c r="FP276" i="14"/>
  <c r="GE276" i="14" l="1"/>
  <c r="GG276" i="14"/>
  <c r="GH276" i="14" s="1"/>
  <c r="GI276" i="14" s="1"/>
  <c r="FC275" i="14"/>
  <c r="FC274" i="14"/>
  <c r="FE273" i="14"/>
  <c r="FD275" i="14"/>
  <c r="FD274" i="14"/>
  <c r="GJ276" i="14" l="1"/>
  <c r="FE274" i="14"/>
  <c r="FE275" i="14"/>
  <c r="FF273" i="14"/>
  <c r="FG273" i="14" l="1"/>
  <c r="FF274" i="14"/>
  <c r="FH273" i="14" l="1"/>
  <c r="FG274" i="14"/>
  <c r="FG275" i="14"/>
  <c r="FH275" i="14" l="1"/>
  <c r="FI273" i="14"/>
  <c r="FH274" i="14"/>
  <c r="FI274" i="14" l="1"/>
  <c r="FJ273" i="14"/>
  <c r="FI275" i="14"/>
  <c r="FJ275" i="14" l="1"/>
  <c r="FK273" i="14"/>
  <c r="FJ274" i="14"/>
  <c r="FK274" i="14" l="1"/>
  <c r="FL273" i="14"/>
  <c r="FL274" i="14" l="1"/>
  <c r="FL275" i="14"/>
  <c r="FM273" i="14"/>
  <c r="FM275" i="14" l="1"/>
  <c r="FN273" i="14"/>
  <c r="FM274" i="14"/>
  <c r="FO273" i="14" l="1"/>
  <c r="FN275" i="14"/>
  <c r="FN274" i="14"/>
  <c r="FP273" i="14" l="1"/>
  <c r="FO274" i="14"/>
  <c r="FO275" i="14"/>
  <c r="FP274" i="14" l="1"/>
  <c r="FQ273" i="14"/>
  <c r="FQ274" i="14" l="1"/>
  <c r="FQ275" i="14"/>
  <c r="FR273" i="14"/>
  <c r="FR274" i="14" l="1"/>
  <c r="FS273" i="14"/>
  <c r="FR275" i="14"/>
  <c r="FT273" i="14" l="1"/>
  <c r="FS275" i="14"/>
  <c r="FS274" i="14"/>
  <c r="FT275" i="14" l="1"/>
  <c r="FU273" i="14"/>
  <c r="FT274" i="14"/>
  <c r="FU274" i="14" l="1"/>
  <c r="FV273" i="14"/>
  <c r="FW273" i="14" l="1"/>
  <c r="FV274" i="14"/>
  <c r="FV275" i="14"/>
  <c r="FX273" i="14" l="1"/>
  <c r="FW274" i="14"/>
  <c r="FW275" i="14"/>
  <c r="FY273" i="14" l="1"/>
  <c r="FX274" i="14"/>
  <c r="FX275" i="14"/>
  <c r="FY274" i="14" l="1"/>
  <c r="FY275" i="14"/>
  <c r="FZ273" i="14"/>
  <c r="FZ274" i="14" l="1"/>
  <c r="GA273" i="14"/>
  <c r="GB273" i="14" l="1"/>
  <c r="GA275" i="14"/>
  <c r="GA274" i="14"/>
  <c r="GB274" i="14" l="1"/>
  <c r="GC273" i="14"/>
  <c r="GB275" i="14"/>
  <c r="GC274" i="14" l="1"/>
  <c r="GC275" i="14"/>
  <c r="GD273" i="14"/>
  <c r="GD274" i="14" l="1"/>
  <c r="GE273" i="14"/>
  <c r="GD275" i="14"/>
  <c r="GE274" i="14" l="1"/>
  <c r="GF273" i="14"/>
  <c r="GF275" i="14" l="1"/>
  <c r="GG273" i="14"/>
  <c r="GF274" i="14"/>
  <c r="GG274" i="14" l="1"/>
  <c r="GH273" i="14"/>
  <c r="GG275" i="14"/>
  <c r="GI273" i="14" l="1"/>
  <c r="GH275" i="14"/>
  <c r="GH274" i="14"/>
  <c r="GI274" i="14" l="1"/>
  <c r="GJ273" i="14"/>
  <c r="GJ274" i="14" s="1"/>
  <c r="GI275" i="14"/>
  <c r="GA92" i="5" l="1"/>
  <c r="GB90" i="5"/>
  <c r="GB92" i="5" s="1"/>
  <c r="FV92" i="5"/>
  <c r="FW90" i="5"/>
  <c r="FW92" i="5" s="1"/>
  <c r="FQ92" i="5"/>
  <c r="FR90" i="5"/>
  <c r="FR92" i="5" s="1"/>
  <c r="FL92" i="5"/>
  <c r="FM90" i="5"/>
  <c r="FM92" i="5" s="1"/>
  <c r="FG92" i="5"/>
  <c r="FH90" i="5"/>
  <c r="FH92" i="5" s="1"/>
  <c r="FE75" i="5"/>
  <c r="FJ75" i="5" s="1"/>
  <c r="FO75" i="5" s="1"/>
  <c r="FT75" i="5" s="1"/>
  <c r="FY75" i="5" s="1"/>
  <c r="GD75" i="5" s="1"/>
  <c r="GI75" i="5" s="1"/>
  <c r="FE78" i="5"/>
  <c r="FJ78" i="5" s="1"/>
  <c r="FO78" i="5" s="1"/>
  <c r="FT78" i="5" s="1"/>
  <c r="FY78" i="5" s="1"/>
  <c r="GD78" i="5" s="1"/>
  <c r="GI78" i="5" s="1"/>
  <c r="FE94" i="5"/>
  <c r="FJ94" i="5" s="1"/>
  <c r="FO94" i="5" s="1"/>
  <c r="FT94" i="5" s="1"/>
  <c r="FE87" i="5"/>
  <c r="FJ87" i="5" s="1"/>
  <c r="FO87" i="5" s="1"/>
  <c r="FT87" i="5" s="1"/>
  <c r="FY87" i="5" s="1"/>
  <c r="GD87" i="5" s="1"/>
  <c r="GI87" i="5" s="1"/>
  <c r="FY94" i="5" l="1"/>
  <c r="GD94" i="5" s="1"/>
  <c r="GI94" i="5" s="1"/>
  <c r="GC90" i="5"/>
  <c r="FX90" i="5"/>
  <c r="FS90" i="5"/>
  <c r="FN90" i="5"/>
  <c r="FI90" i="5"/>
  <c r="GC92" i="5" l="1"/>
  <c r="GD90" i="5"/>
  <c r="GD92" i="5" s="1"/>
  <c r="FY90" i="5"/>
  <c r="FY92" i="5" s="1"/>
  <c r="FX92" i="5"/>
  <c r="FS92" i="5"/>
  <c r="FT90" i="5"/>
  <c r="FT92" i="5" s="1"/>
  <c r="FN92" i="5"/>
  <c r="FO90" i="5"/>
  <c r="FO92" i="5" s="1"/>
  <c r="FI92" i="5"/>
  <c r="FJ90" i="5"/>
  <c r="FJ92" i="5" s="1"/>
  <c r="DW221" i="3" l="1"/>
  <c r="DW222" i="3" s="1"/>
  <c r="EB221" i="3"/>
  <c r="EG221" i="3"/>
  <c r="EL221" i="3"/>
  <c r="EL222" i="3" s="1"/>
  <c r="EQ221" i="3"/>
  <c r="EB222" i="3" l="1"/>
  <c r="EG222" i="3"/>
  <c r="EQ222" i="3"/>
  <c r="EV216" i="3"/>
  <c r="EQ216" i="3"/>
  <c r="EL216" i="3"/>
  <c r="EG216" i="3"/>
  <c r="EB216" i="3"/>
  <c r="FG219" i="3"/>
  <c r="FL219" i="3" s="1"/>
  <c r="FQ219" i="3" s="1"/>
  <c r="FV219" i="3" s="1"/>
  <c r="GA219" i="3" s="1"/>
  <c r="GF219" i="3" s="1"/>
  <c r="GG219" i="3" s="1"/>
  <c r="GH219" i="3" s="1"/>
  <c r="GI219" i="3" s="1"/>
  <c r="FA217" i="3" l="1"/>
  <c r="EV217" i="3"/>
  <c r="EQ217" i="3"/>
  <c r="EL217" i="3"/>
  <c r="EG217" i="3"/>
  <c r="FH356" i="14" l="1"/>
  <c r="FI356" i="14" s="1"/>
  <c r="FJ356" i="14" s="1"/>
  <c r="FL356" i="14" s="1"/>
  <c r="FM356" i="14" s="1"/>
  <c r="FN356" i="14" s="1"/>
  <c r="FO356" i="14" s="1"/>
  <c r="FQ356" i="14" s="1"/>
  <c r="FR356" i="14" s="1"/>
  <c r="FS356" i="14" s="1"/>
  <c r="FT356" i="14" s="1"/>
  <c r="FV356" i="14" s="1"/>
  <c r="FW356" i="14" s="1"/>
  <c r="FX356" i="14" s="1"/>
  <c r="FY356" i="14" s="1"/>
  <c r="GA356" i="14" s="1"/>
  <c r="GB356" i="14" s="1"/>
  <c r="GC356" i="14" s="1"/>
  <c r="GD356" i="14" s="1"/>
  <c r="GF356" i="14" s="1"/>
  <c r="GG356" i="14" s="1"/>
  <c r="GH356" i="14" s="1"/>
  <c r="GI356" i="14" s="1"/>
  <c r="FB20" i="7"/>
  <c r="FC20" i="7" s="1"/>
  <c r="FD20" i="7" s="1"/>
  <c r="FE20" i="7" s="1"/>
  <c r="FG20" i="7" s="1"/>
  <c r="FH20" i="7" s="1"/>
  <c r="FI20" i="7" s="1"/>
  <c r="FJ20" i="7" s="1"/>
  <c r="FL20" i="7" s="1"/>
  <c r="FM20" i="7" s="1"/>
  <c r="FN20" i="7" s="1"/>
  <c r="FO20" i="7" s="1"/>
  <c r="FQ20" i="7" s="1"/>
  <c r="FR20" i="7" s="1"/>
  <c r="FS20" i="7" s="1"/>
  <c r="FT20" i="7" s="1"/>
  <c r="FV20" i="7" s="1"/>
  <c r="FW20" i="7" s="1"/>
  <c r="FX20" i="7" s="1"/>
  <c r="FY20" i="7" s="1"/>
  <c r="GA20" i="7" s="1"/>
  <c r="GB20" i="7" s="1"/>
  <c r="GC20" i="7" s="1"/>
  <c r="GD20" i="7" s="1"/>
  <c r="GB11" i="8"/>
  <c r="GC11" i="8" s="1"/>
  <c r="GD11" i="8" s="1"/>
  <c r="FW11" i="8"/>
  <c r="FX11" i="8" s="1"/>
  <c r="FY11" i="8" s="1"/>
  <c r="FR11" i="8"/>
  <c r="FS11" i="8" s="1"/>
  <c r="FT11" i="8" s="1"/>
  <c r="FM11" i="8"/>
  <c r="FN11" i="8" s="1"/>
  <c r="FO11" i="8" s="1"/>
  <c r="FH11" i="8"/>
  <c r="FI11" i="8" s="1"/>
  <c r="FJ11" i="8" s="1"/>
  <c r="FC11" i="8"/>
  <c r="FD11" i="8" s="1"/>
  <c r="FE11" i="8" s="1"/>
  <c r="EP136" i="15"/>
  <c r="EO136" i="15"/>
  <c r="EN136" i="15"/>
  <c r="EM136" i="15"/>
  <c r="EU168" i="15"/>
  <c r="EY168" i="15"/>
  <c r="EX168" i="15"/>
  <c r="EW168" i="15"/>
  <c r="EY46" i="2"/>
  <c r="EY40" i="18"/>
  <c r="EY35" i="18" s="1"/>
  <c r="ET31" i="17"/>
  <c r="ET23" i="17"/>
  <c r="ET31" i="15"/>
  <c r="ET23" i="15"/>
  <c r="ET31" i="14"/>
  <c r="ET23" i="14"/>
  <c r="EY31" i="18"/>
  <c r="EY29" i="18"/>
  <c r="EY23" i="18"/>
  <c r="EY132" i="3"/>
  <c r="EY45" i="3"/>
  <c r="EY24" i="3"/>
  <c r="EY141" i="15"/>
  <c r="EU34" i="17" l="1"/>
  <c r="EY23" i="15"/>
  <c r="EY56" i="3" s="1"/>
  <c r="ET56" i="3"/>
  <c r="EY23" i="14"/>
  <c r="EY51" i="3" s="1"/>
  <c r="ET51" i="3"/>
  <c r="EZ37" i="18"/>
  <c r="EZ39" i="18"/>
  <c r="EY23" i="17"/>
  <c r="ET61" i="3"/>
  <c r="EY164" i="3"/>
  <c r="EZ29" i="3"/>
  <c r="EZ27" i="3"/>
  <c r="EZ49" i="3"/>
  <c r="EZ47" i="3"/>
  <c r="ET28" i="17"/>
  <c r="ET64" i="3" s="1"/>
  <c r="ET28" i="14"/>
  <c r="ET54" i="3" s="1"/>
  <c r="ET28" i="15"/>
  <c r="ET59" i="3" s="1"/>
  <c r="EY61" i="3" l="1"/>
  <c r="EY73" i="5"/>
  <c r="EX73" i="5"/>
  <c r="EW73" i="5"/>
  <c r="EU73" i="5"/>
  <c r="ET73" i="5"/>
  <c r="ES73" i="5"/>
  <c r="ER73" i="5"/>
  <c r="EP73" i="5"/>
  <c r="EO73" i="5"/>
  <c r="EN73" i="5"/>
  <c r="EM73" i="5"/>
  <c r="EK73" i="5"/>
  <c r="EJ73" i="5"/>
  <c r="EI73" i="5"/>
  <c r="EH73" i="5"/>
  <c r="EF73" i="5"/>
  <c r="EE73" i="5"/>
  <c r="ED73" i="5"/>
  <c r="EC73" i="5"/>
  <c r="EA73" i="5"/>
  <c r="DZ73" i="5"/>
  <c r="DY73" i="5"/>
  <c r="DX73" i="5"/>
  <c r="DV73" i="5"/>
  <c r="DU73" i="5"/>
  <c r="DT73" i="5"/>
  <c r="DS73" i="5"/>
  <c r="DQ73" i="5"/>
  <c r="DP73" i="5"/>
  <c r="DO73" i="5"/>
  <c r="DN73" i="5"/>
  <c r="DL73" i="5"/>
  <c r="DK73" i="5"/>
  <c r="DJ73" i="5"/>
  <c r="DI73" i="5"/>
  <c r="DG73" i="5"/>
  <c r="DF73" i="5"/>
  <c r="DE73" i="5"/>
  <c r="DD73" i="5"/>
  <c r="DB73" i="5"/>
  <c r="DA73" i="5"/>
  <c r="CZ73" i="5"/>
  <c r="CY73" i="5"/>
  <c r="CW73" i="5"/>
  <c r="CV73" i="5"/>
  <c r="CU73" i="5"/>
  <c r="CT73" i="5"/>
  <c r="CR73" i="5"/>
  <c r="CQ73" i="5"/>
  <c r="CP73" i="5"/>
  <c r="CO73" i="5"/>
  <c r="CM73" i="5"/>
  <c r="CL73" i="5"/>
  <c r="CK73" i="5"/>
  <c r="CJ73" i="5"/>
  <c r="CH73" i="5"/>
  <c r="CG73" i="5"/>
  <c r="CF73" i="5"/>
  <c r="CE73" i="5"/>
  <c r="CC73" i="5"/>
  <c r="CB73" i="5"/>
  <c r="CA73" i="5"/>
  <c r="BZ73" i="5"/>
  <c r="BX73" i="5"/>
  <c r="BW73" i="5"/>
  <c r="BV73" i="5"/>
  <c r="BU73" i="5"/>
  <c r="BS73" i="5"/>
  <c r="BR73" i="5"/>
  <c r="BQ73" i="5"/>
  <c r="BP73" i="5"/>
  <c r="BN73" i="5"/>
  <c r="BM73" i="5"/>
  <c r="BL73" i="5"/>
  <c r="BK73" i="5"/>
  <c r="BI73" i="5"/>
  <c r="BH73" i="5"/>
  <c r="BG73" i="5"/>
  <c r="BF73" i="5"/>
  <c r="BD73" i="5"/>
  <c r="BC73" i="5"/>
  <c r="BB73" i="5"/>
  <c r="BA73" i="5"/>
  <c r="AY73" i="5"/>
  <c r="AX73" i="5"/>
  <c r="AW73" i="5"/>
  <c r="AV73" i="5"/>
  <c r="AT73" i="5"/>
  <c r="AS73" i="5"/>
  <c r="AR73" i="5"/>
  <c r="AQ73" i="5"/>
  <c r="AO73" i="5"/>
  <c r="AN73" i="5"/>
  <c r="AM73" i="5"/>
  <c r="AL73" i="5"/>
  <c r="AJ73" i="5"/>
  <c r="AI73" i="5"/>
  <c r="AH73" i="5"/>
  <c r="AG73" i="5"/>
  <c r="AE73" i="5"/>
  <c r="AD73" i="5"/>
  <c r="AC73" i="5"/>
  <c r="AB73" i="5"/>
  <c r="Z73" i="5"/>
  <c r="Y73" i="5"/>
  <c r="X73" i="5"/>
  <c r="W73" i="5"/>
  <c r="U73" i="5"/>
  <c r="T73" i="5"/>
  <c r="S73" i="5"/>
  <c r="R73" i="5"/>
  <c r="P73" i="5"/>
  <c r="O73" i="5"/>
  <c r="N73" i="5"/>
  <c r="M73" i="5"/>
  <c r="K73" i="5"/>
  <c r="H73" i="5"/>
  <c r="F73" i="5"/>
  <c r="C73" i="5"/>
  <c r="F57" i="5"/>
  <c r="E57" i="5"/>
  <c r="D57" i="5"/>
  <c r="C57" i="5"/>
  <c r="K57" i="5"/>
  <c r="J57" i="5"/>
  <c r="I57" i="5"/>
  <c r="H57" i="5"/>
  <c r="P57" i="5"/>
  <c r="O57" i="5"/>
  <c r="N57" i="5"/>
  <c r="M57" i="5"/>
  <c r="U57" i="5"/>
  <c r="T57" i="5"/>
  <c r="S57" i="5"/>
  <c r="R57" i="5"/>
  <c r="Z57" i="5"/>
  <c r="Y57" i="5"/>
  <c r="X57" i="5"/>
  <c r="W57" i="5"/>
  <c r="AE57" i="5"/>
  <c r="AD57" i="5"/>
  <c r="AC57" i="5"/>
  <c r="AB57" i="5"/>
  <c r="AJ57" i="5"/>
  <c r="AI57" i="5"/>
  <c r="AH57" i="5"/>
  <c r="AG57" i="5"/>
  <c r="AO57" i="5"/>
  <c r="AN57" i="5"/>
  <c r="AM57" i="5"/>
  <c r="AL57" i="5"/>
  <c r="AT57" i="5"/>
  <c r="AS57" i="5"/>
  <c r="AR57" i="5"/>
  <c r="AQ57" i="5"/>
  <c r="AY57" i="5"/>
  <c r="AX57" i="5"/>
  <c r="AW57" i="5"/>
  <c r="AV57" i="5"/>
  <c r="BC57" i="5"/>
  <c r="BB57" i="5"/>
  <c r="BA57" i="5"/>
  <c r="BI57" i="5"/>
  <c r="BH57" i="5"/>
  <c r="BG57" i="5"/>
  <c r="BF57" i="5"/>
  <c r="BN57" i="5"/>
  <c r="BM57" i="5"/>
  <c r="BL57" i="5"/>
  <c r="BK57" i="5"/>
  <c r="BS57" i="5"/>
  <c r="BR57" i="5"/>
  <c r="BQ57" i="5"/>
  <c r="BP57" i="5"/>
  <c r="BX57" i="5"/>
  <c r="BW57" i="5"/>
  <c r="BV57" i="5"/>
  <c r="BU57" i="5"/>
  <c r="CC57" i="5"/>
  <c r="CB57" i="5"/>
  <c r="CA57" i="5"/>
  <c r="BZ57" i="5"/>
  <c r="EY114" i="29" l="1"/>
  <c r="EY122" i="29"/>
  <c r="EY93" i="29"/>
  <c r="EY95" i="29" s="1"/>
  <c r="EY77" i="29"/>
  <c r="EY63" i="29"/>
  <c r="EY45" i="29"/>
  <c r="EY31" i="29"/>
  <c r="EY17" i="29"/>
  <c r="EY224" i="17"/>
  <c r="EY226" i="17"/>
  <c r="EY225" i="17"/>
  <c r="EY223" i="17"/>
  <c r="EY222" i="17"/>
  <c r="EY231" i="17" s="1"/>
  <c r="EY132" i="17"/>
  <c r="EY131" i="17"/>
  <c r="EY130" i="17"/>
  <c r="EY129" i="17"/>
  <c r="EY127" i="17"/>
  <c r="EY102" i="17"/>
  <c r="EY95" i="17"/>
  <c r="EY94" i="17"/>
  <c r="EY93" i="17"/>
  <c r="EY92" i="17"/>
  <c r="EY42" i="17"/>
  <c r="EY41" i="17"/>
  <c r="EY40" i="17"/>
  <c r="EY38" i="17"/>
  <c r="EY31" i="17"/>
  <c r="EY28" i="17"/>
  <c r="EY16" i="17"/>
  <c r="EY15" i="17"/>
  <c r="EY14" i="17"/>
  <c r="EY13" i="17"/>
  <c r="EY11" i="17"/>
  <c r="EY51" i="29" s="1"/>
  <c r="EY52" i="29" s="1"/>
  <c r="EY232" i="15"/>
  <c r="EZ234" i="15" s="1"/>
  <c r="EY230" i="15"/>
  <c r="EY229" i="15"/>
  <c r="EY228" i="15"/>
  <c r="EY227" i="15"/>
  <c r="EY217" i="15"/>
  <c r="EY120" i="15"/>
  <c r="EY119" i="15"/>
  <c r="EY96" i="15"/>
  <c r="EY95" i="15"/>
  <c r="EY94" i="15"/>
  <c r="EY93" i="15"/>
  <c r="EY92" i="15"/>
  <c r="EY91" i="15"/>
  <c r="EY42" i="15"/>
  <c r="EY41" i="15"/>
  <c r="EY40" i="15"/>
  <c r="EY38" i="15"/>
  <c r="EY31" i="15"/>
  <c r="EY28" i="15"/>
  <c r="EY16" i="15"/>
  <c r="EY15" i="15"/>
  <c r="EY14" i="15"/>
  <c r="EY13" i="15"/>
  <c r="EY11" i="15"/>
  <c r="EY37" i="29" s="1"/>
  <c r="EY38" i="29" s="1"/>
  <c r="EY353" i="14"/>
  <c r="EY352" i="14"/>
  <c r="EY351" i="14"/>
  <c r="EY350" i="14"/>
  <c r="EY275" i="14"/>
  <c r="EY262" i="14"/>
  <c r="EY260" i="14"/>
  <c r="EY258" i="14"/>
  <c r="EY256" i="14"/>
  <c r="EY193" i="14"/>
  <c r="EY191" i="14"/>
  <c r="EY190" i="14"/>
  <c r="EY189" i="14"/>
  <c r="EY187" i="14"/>
  <c r="EY42" i="14"/>
  <c r="EY41" i="14"/>
  <c r="EY40" i="14"/>
  <c r="EY38" i="14"/>
  <c r="EY31" i="14"/>
  <c r="EY28" i="14"/>
  <c r="EY16" i="14"/>
  <c r="EY15" i="14"/>
  <c r="EY14" i="14"/>
  <c r="EY13" i="14"/>
  <c r="EY11" i="14"/>
  <c r="EY23" i="29" s="1"/>
  <c r="EY24" i="29" s="1"/>
  <c r="EY31" i="30"/>
  <c r="EX113" i="18"/>
  <c r="EY122" i="18"/>
  <c r="EY99" i="18"/>
  <c r="EZ102" i="18" s="1"/>
  <c r="EY39" i="7"/>
  <c r="EY23" i="7"/>
  <c r="EY15" i="7"/>
  <c r="EY10" i="7"/>
  <c r="EZ12" i="7" s="1"/>
  <c r="EY34" i="8"/>
  <c r="EY31" i="8"/>
  <c r="EY22" i="8"/>
  <c r="EY23" i="8" s="1"/>
  <c r="EY20" i="8"/>
  <c r="EY17" i="8"/>
  <c r="EY13" i="8"/>
  <c r="EZ10" i="8" s="1"/>
  <c r="FA10" i="8" s="1"/>
  <c r="EY93" i="6"/>
  <c r="EY82" i="6"/>
  <c r="EY81" i="6"/>
  <c r="EY80" i="6"/>
  <c r="EY79" i="6"/>
  <c r="EY139" i="5"/>
  <c r="EY98" i="5"/>
  <c r="EY95" i="5"/>
  <c r="EY92" i="5"/>
  <c r="EY90" i="5"/>
  <c r="EY88" i="5"/>
  <c r="EY85" i="5"/>
  <c r="EY57" i="5"/>
  <c r="EY79" i="5"/>
  <c r="EY76" i="5"/>
  <c r="EY67" i="5"/>
  <c r="EY59" i="5"/>
  <c r="EZ223" i="3" s="1"/>
  <c r="EY58" i="5"/>
  <c r="EY56" i="5"/>
  <c r="EY221" i="3"/>
  <c r="EY218" i="3"/>
  <c r="EY216" i="3"/>
  <c r="EY211" i="3"/>
  <c r="EY112" i="3"/>
  <c r="EY110" i="3"/>
  <c r="EY109" i="3"/>
  <c r="EY108" i="3"/>
  <c r="EY105" i="3"/>
  <c r="EY104" i="3"/>
  <c r="EY103" i="3"/>
  <c r="EY100" i="3"/>
  <c r="EY95" i="3"/>
  <c r="FD95" i="3" s="1"/>
  <c r="EY94" i="3"/>
  <c r="EY93" i="3"/>
  <c r="EY92" i="3"/>
  <c r="EY91" i="3"/>
  <c r="EY88" i="3"/>
  <c r="FD88" i="3" s="1"/>
  <c r="EY87" i="3"/>
  <c r="EY86" i="3"/>
  <c r="EY85" i="3"/>
  <c r="EY84" i="3"/>
  <c r="EY81" i="3"/>
  <c r="FD81" i="3" s="1"/>
  <c r="FI81" i="3" s="1"/>
  <c r="EY80" i="3"/>
  <c r="EY79" i="3"/>
  <c r="EY78" i="3"/>
  <c r="EY77" i="3"/>
  <c r="EY66" i="3"/>
  <c r="EY43" i="3"/>
  <c r="EY42" i="3"/>
  <c r="EY41" i="3"/>
  <c r="EY40" i="3"/>
  <c r="EY39" i="3"/>
  <c r="EY36" i="3"/>
  <c r="EY35" i="3"/>
  <c r="EY34" i="3"/>
  <c r="EY33" i="3"/>
  <c r="EY32" i="3"/>
  <c r="EY22" i="3"/>
  <c r="EY21" i="3"/>
  <c r="EY20" i="3"/>
  <c r="EY19" i="3"/>
  <c r="EY18" i="3"/>
  <c r="ET18" i="3"/>
  <c r="ET19" i="3"/>
  <c r="ET20" i="3"/>
  <c r="ET21" i="3"/>
  <c r="EY15" i="3"/>
  <c r="EY14" i="3"/>
  <c r="EY13" i="3"/>
  <c r="EY12" i="3"/>
  <c r="EY11" i="3"/>
  <c r="EY119" i="2"/>
  <c r="EY118" i="2"/>
  <c r="EY116" i="2"/>
  <c r="EY83" i="2"/>
  <c r="EY77" i="2"/>
  <c r="EY44" i="2"/>
  <c r="EY43" i="2"/>
  <c r="EY40" i="2"/>
  <c r="EY98" i="2" s="1"/>
  <c r="EY37" i="2"/>
  <c r="EZ39" i="2" s="1"/>
  <c r="EY34" i="2"/>
  <c r="EY32" i="2"/>
  <c r="EY31" i="2"/>
  <c r="EY63" i="2"/>
  <c r="EZ65" i="2" s="1"/>
  <c r="EY56" i="2"/>
  <c r="EZ58" i="2" s="1"/>
  <c r="EY17" i="2"/>
  <c r="EY12" i="2"/>
  <c r="EY39" i="42"/>
  <c r="EY34" i="42"/>
  <c r="EY19" i="42"/>
  <c r="EY14" i="42"/>
  <c r="EZ32" i="8" l="1"/>
  <c r="EZ34" i="17"/>
  <c r="EZ95" i="6"/>
  <c r="EZ79" i="2"/>
  <c r="EZ81" i="2"/>
  <c r="EZ85" i="2"/>
  <c r="EZ87" i="2"/>
  <c r="EZ27" i="7"/>
  <c r="EZ53" i="7" s="1"/>
  <c r="EZ54" i="7" s="1"/>
  <c r="EZ25" i="7"/>
  <c r="EZ17" i="7"/>
  <c r="EZ19" i="7"/>
  <c r="EZ48" i="7" s="1"/>
  <c r="EZ49" i="7" s="1"/>
  <c r="EY86" i="29"/>
  <c r="EZ114" i="3"/>
  <c r="EZ116" i="3"/>
  <c r="EY71" i="3"/>
  <c r="EZ68" i="3"/>
  <c r="EZ70" i="3"/>
  <c r="EZ100" i="2"/>
  <c r="EZ102" i="2"/>
  <c r="EY29" i="17"/>
  <c r="EY64" i="3"/>
  <c r="EY28" i="7"/>
  <c r="EY91" i="2"/>
  <c r="EY29" i="2"/>
  <c r="EY70" i="2" s="1"/>
  <c r="EZ72" i="2" s="1"/>
  <c r="EY29" i="15"/>
  <c r="EY59" i="3"/>
  <c r="EY29" i="14"/>
  <c r="EY54" i="3"/>
  <c r="EY104" i="2"/>
  <c r="EY29" i="8"/>
  <c r="EY27" i="8" s="1"/>
  <c r="EY16" i="8"/>
  <c r="EY35" i="8"/>
  <c r="EY37" i="8" s="1"/>
  <c r="EY226" i="3"/>
  <c r="EY118" i="3"/>
  <c r="EY91" i="5"/>
  <c r="EY97" i="5"/>
  <c r="FD97" i="5" s="1"/>
  <c r="FI97" i="5" s="1"/>
  <c r="FN97" i="5" s="1"/>
  <c r="FS97" i="5" s="1"/>
  <c r="FX97" i="5" s="1"/>
  <c r="GC97" i="5" s="1"/>
  <c r="GH97" i="5" s="1"/>
  <c r="EY89" i="5"/>
  <c r="EY60" i="5"/>
  <c r="EY75" i="5"/>
  <c r="FD75" i="5" s="1"/>
  <c r="FI75" i="5" s="1"/>
  <c r="FN75" i="5" s="1"/>
  <c r="FS75" i="5" s="1"/>
  <c r="FX75" i="5" s="1"/>
  <c r="GC75" i="5" s="1"/>
  <c r="GH75" i="5" s="1"/>
  <c r="EY94" i="5"/>
  <c r="FD94" i="5" s="1"/>
  <c r="FI94" i="5" s="1"/>
  <c r="FN94" i="5" s="1"/>
  <c r="FS94" i="5" s="1"/>
  <c r="EY87" i="5"/>
  <c r="FD87" i="5" s="1"/>
  <c r="FI87" i="5" s="1"/>
  <c r="FN87" i="5" s="1"/>
  <c r="FS87" i="5" s="1"/>
  <c r="FX87" i="5" s="1"/>
  <c r="GC87" i="5" s="1"/>
  <c r="GH87" i="5" s="1"/>
  <c r="EY94" i="29"/>
  <c r="EY49" i="2"/>
  <c r="EZ51" i="2" s="1"/>
  <c r="EY108" i="18"/>
  <c r="EY103" i="18"/>
  <c r="EY42" i="42"/>
  <c r="EY21" i="7"/>
  <c r="EY29" i="7"/>
  <c r="EY31" i="7"/>
  <c r="EY40" i="7"/>
  <c r="EZ42" i="7" s="1"/>
  <c r="EY43" i="8"/>
  <c r="EY78" i="5"/>
  <c r="FD78" i="5" s="1"/>
  <c r="FI78" i="5" s="1"/>
  <c r="FN78" i="5" s="1"/>
  <c r="FS78" i="5" s="1"/>
  <c r="FX78" i="5" s="1"/>
  <c r="GC78" i="5" s="1"/>
  <c r="GH78" i="5" s="1"/>
  <c r="EY219" i="3"/>
  <c r="EY89" i="2"/>
  <c r="EY37" i="42"/>
  <c r="FX94" i="5" l="1"/>
  <c r="GC94" i="5" s="1"/>
  <c r="GH94" i="5" s="1"/>
  <c r="EZ35" i="7"/>
  <c r="EZ33" i="7"/>
  <c r="EY177" i="3"/>
  <c r="EZ120" i="3"/>
  <c r="EZ122" i="3"/>
  <c r="EY96" i="2"/>
  <c r="EZ95" i="2"/>
  <c r="EZ93" i="2"/>
  <c r="EY52" i="2"/>
  <c r="EY66" i="2"/>
  <c r="EY59" i="2"/>
  <c r="EY123" i="3"/>
  <c r="EY230" i="3"/>
  <c r="EY134" i="3"/>
  <c r="EY114" i="18"/>
  <c r="EY36" i="7"/>
  <c r="EY20" i="7"/>
  <c r="EY137" i="3" l="1"/>
  <c r="EY102" i="29" s="1"/>
  <c r="EY139" i="3"/>
  <c r="EY190" i="3" s="1"/>
  <c r="EY140" i="3" l="1"/>
  <c r="EY143" i="3"/>
  <c r="EY147" i="3"/>
  <c r="EY203" i="3" s="1"/>
  <c r="EY212" i="3"/>
  <c r="EY46" i="8" l="1"/>
  <c r="FA123" i="15" l="1"/>
  <c r="EX32" i="2" l="1"/>
  <c r="EX31" i="2"/>
  <c r="EX56" i="2"/>
  <c r="EY58" i="2" s="1"/>
  <c r="EX17" i="2"/>
  <c r="EX14" i="2"/>
  <c r="EX13" i="2"/>
  <c r="EX12" i="2"/>
  <c r="EX15" i="2" l="1"/>
  <c r="EX18" i="2" s="1"/>
  <c r="EX29" i="2"/>
  <c r="EY52" i="18" l="1"/>
  <c r="EP124" i="15"/>
  <c r="FG110" i="15"/>
  <c r="FJ110" i="15" s="1"/>
  <c r="FL109" i="15" s="1"/>
  <c r="ES152" i="15"/>
  <c r="ES31" i="17"/>
  <c r="ES31" i="14"/>
  <c r="FC28" i="14"/>
  <c r="FD28" i="14" s="1"/>
  <c r="FE28" i="14" s="1"/>
  <c r="FG28" i="14" s="1"/>
  <c r="FH28" i="14" s="1"/>
  <c r="FI28" i="14" s="1"/>
  <c r="FJ28" i="14" s="1"/>
  <c r="EX335" i="14"/>
  <c r="EX132" i="3"/>
  <c r="FG137" i="3"/>
  <c r="FL137" i="3" s="1"/>
  <c r="FQ137" i="3" s="1"/>
  <c r="ET34" i="17" l="1"/>
  <c r="FL110" i="15"/>
  <c r="FQ109" i="15"/>
  <c r="FV109" i="15" s="1"/>
  <c r="GA109" i="15" s="1"/>
  <c r="GF109" i="15" s="1"/>
  <c r="FV137" i="3"/>
  <c r="GA137" i="3" s="1"/>
  <c r="GF137" i="3" s="1"/>
  <c r="GG137" i="3" s="1"/>
  <c r="GH137" i="3" s="1"/>
  <c r="GI137" i="3" s="1"/>
  <c r="FD313" i="14"/>
  <c r="FE313" i="14" s="1"/>
  <c r="EX313" i="14"/>
  <c r="EX104" i="3"/>
  <c r="EX103" i="3"/>
  <c r="EX45" i="3"/>
  <c r="EX24" i="3"/>
  <c r="EU225" i="17"/>
  <c r="ET225" i="17"/>
  <c r="ES225" i="17"/>
  <c r="EX122" i="29"/>
  <c r="EX120" i="29"/>
  <c r="EX114" i="29"/>
  <c r="EX112" i="29"/>
  <c r="EX100" i="29"/>
  <c r="EX93" i="29"/>
  <c r="EX95" i="29" s="1"/>
  <c r="EX84" i="29"/>
  <c r="EX75" i="29"/>
  <c r="EW45" i="29"/>
  <c r="EX45" i="29"/>
  <c r="EW31" i="29"/>
  <c r="EX31" i="29"/>
  <c r="EW17" i="29"/>
  <c r="EX17" i="29"/>
  <c r="EX43" i="29"/>
  <c r="EX29" i="29"/>
  <c r="EY120" i="29"/>
  <c r="EY123" i="29" s="1"/>
  <c r="EY112" i="29"/>
  <c r="EY115" i="29" s="1"/>
  <c r="EY100" i="29"/>
  <c r="EY103" i="29" s="1"/>
  <c r="EY84" i="29"/>
  <c r="EY75" i="29"/>
  <c r="EY60" i="29"/>
  <c r="EY59" i="29"/>
  <c r="EY43" i="29"/>
  <c r="EY29" i="29"/>
  <c r="EY15" i="29"/>
  <c r="EX31" i="30"/>
  <c r="EX122" i="18"/>
  <c r="EX99" i="18"/>
  <c r="EY102" i="18" s="1"/>
  <c r="ER52" i="18"/>
  <c r="ES52" i="18"/>
  <c r="ET52" i="18"/>
  <c r="EU52" i="18"/>
  <c r="EW52" i="18"/>
  <c r="EX52" i="18"/>
  <c r="FG52" i="18"/>
  <c r="FH52" i="18"/>
  <c r="FI52" i="18"/>
  <c r="FJ52" i="18"/>
  <c r="EX40" i="18"/>
  <c r="EX35" i="18" s="1"/>
  <c r="EX31" i="18"/>
  <c r="EX29" i="18"/>
  <c r="EX23" i="18"/>
  <c r="EX18" i="18"/>
  <c r="EX15" i="18"/>
  <c r="EX14" i="18"/>
  <c r="EX13" i="18"/>
  <c r="EX39" i="7"/>
  <c r="EX23" i="7"/>
  <c r="EX15" i="7"/>
  <c r="EX34" i="8"/>
  <c r="EX31" i="8"/>
  <c r="EX22" i="8"/>
  <c r="EX23" i="8" s="1"/>
  <c r="EX20" i="8"/>
  <c r="EX17" i="8"/>
  <c r="EX13" i="8"/>
  <c r="EY10" i="8" s="1"/>
  <c r="EX93" i="6"/>
  <c r="EX82" i="6"/>
  <c r="EX81" i="6"/>
  <c r="EX80" i="6"/>
  <c r="EX79" i="6"/>
  <c r="EX68" i="6"/>
  <c r="EX139" i="5"/>
  <c r="EX98" i="5"/>
  <c r="EX95" i="5"/>
  <c r="EX92" i="5"/>
  <c r="EX90" i="5"/>
  <c r="EX88" i="5"/>
  <c r="EX85" i="5"/>
  <c r="EX57" i="5"/>
  <c r="EX79" i="5"/>
  <c r="EX76" i="5"/>
  <c r="EX67" i="5"/>
  <c r="EX59" i="5"/>
  <c r="EY223" i="3" s="1"/>
  <c r="EY224" i="3" s="1"/>
  <c r="EX58" i="5"/>
  <c r="EX50" i="5"/>
  <c r="EX221" i="3"/>
  <c r="EX218" i="3"/>
  <c r="EX216" i="3"/>
  <c r="EX226" i="3" s="1"/>
  <c r="EX211" i="3"/>
  <c r="EX112" i="3"/>
  <c r="EX109" i="3"/>
  <c r="EX108" i="3"/>
  <c r="EX94" i="3"/>
  <c r="EX93" i="3"/>
  <c r="EX92" i="3"/>
  <c r="EX91" i="3"/>
  <c r="EX87" i="3"/>
  <c r="EX86" i="3"/>
  <c r="EX85" i="3"/>
  <c r="EX84" i="3"/>
  <c r="EX80" i="3"/>
  <c r="EX79" i="3"/>
  <c r="EX78" i="3"/>
  <c r="EX77" i="3"/>
  <c r="EX43" i="3"/>
  <c r="EX42" i="3"/>
  <c r="EX41" i="3"/>
  <c r="EX40" i="3"/>
  <c r="EX39" i="3"/>
  <c r="EX36" i="3"/>
  <c r="EX35" i="3"/>
  <c r="EX34" i="3"/>
  <c r="EX33" i="3"/>
  <c r="EX32" i="3"/>
  <c r="EX21" i="3"/>
  <c r="EX20" i="3"/>
  <c r="EX19" i="3"/>
  <c r="EX18" i="3"/>
  <c r="EX14" i="3"/>
  <c r="EX13" i="3"/>
  <c r="EX12" i="3"/>
  <c r="EX11" i="3"/>
  <c r="EX225" i="17"/>
  <c r="EX224" i="17"/>
  <c r="EX226" i="17"/>
  <c r="EX223" i="17"/>
  <c r="EX222" i="17"/>
  <c r="EX231" i="17" s="1"/>
  <c r="EX102" i="17"/>
  <c r="EY104" i="17" s="1"/>
  <c r="EX95" i="17"/>
  <c r="EX94" i="17"/>
  <c r="EX93" i="17"/>
  <c r="EX92" i="17"/>
  <c r="EX132" i="17"/>
  <c r="EX131" i="17"/>
  <c r="EX130" i="17"/>
  <c r="EX127" i="17"/>
  <c r="EX42" i="17"/>
  <c r="EX41" i="17"/>
  <c r="EX40" i="17"/>
  <c r="EX38" i="17"/>
  <c r="EX31" i="17"/>
  <c r="ES23" i="17"/>
  <c r="ER232" i="15"/>
  <c r="ES232" i="15"/>
  <c r="ET232" i="15"/>
  <c r="EY233" i="15" s="1"/>
  <c r="EW232" i="15"/>
  <c r="EX232" i="15"/>
  <c r="FD233" i="15"/>
  <c r="FE233" i="15"/>
  <c r="FG233" i="15"/>
  <c r="FH233" i="15"/>
  <c r="FI233" i="15"/>
  <c r="FJ233" i="15"/>
  <c r="FL233" i="15"/>
  <c r="FM233" i="15"/>
  <c r="FN233" i="15"/>
  <c r="FO233" i="15"/>
  <c r="FQ233" i="15"/>
  <c r="FR233" i="15"/>
  <c r="FS233" i="15"/>
  <c r="FT233" i="15"/>
  <c r="FV233" i="15"/>
  <c r="FW233" i="15"/>
  <c r="FX233" i="15"/>
  <c r="FY233" i="15"/>
  <c r="GA233" i="15"/>
  <c r="GB233" i="15"/>
  <c r="GC233" i="15"/>
  <c r="GD233" i="15"/>
  <c r="EO232" i="15"/>
  <c r="EO233" i="15" s="1"/>
  <c r="EN232" i="15"/>
  <c r="EM232" i="15"/>
  <c r="EM233" i="15" s="1"/>
  <c r="EX230" i="15"/>
  <c r="EX229" i="15"/>
  <c r="EX228" i="15"/>
  <c r="EX227" i="15"/>
  <c r="EX217" i="15"/>
  <c r="EX141" i="15"/>
  <c r="EX120" i="15"/>
  <c r="EX119" i="15"/>
  <c r="EX96" i="15"/>
  <c r="EX95" i="15"/>
  <c r="EX94" i="15"/>
  <c r="EX93" i="15"/>
  <c r="EX92" i="15"/>
  <c r="EX91" i="15"/>
  <c r="EX42" i="15"/>
  <c r="EX41" i="15"/>
  <c r="EX40" i="15"/>
  <c r="ES31" i="15"/>
  <c r="EX31" i="15" s="1"/>
  <c r="EX38" i="15"/>
  <c r="ES23" i="15"/>
  <c r="ES56" i="3" s="1"/>
  <c r="EX353" i="14"/>
  <c r="EX352" i="14"/>
  <c r="EX351" i="14"/>
  <c r="EX350" i="14"/>
  <c r="EX318" i="14"/>
  <c r="EX317" i="14"/>
  <c r="EX315" i="14"/>
  <c r="EX275" i="14"/>
  <c r="EX262" i="14"/>
  <c r="EX260" i="14"/>
  <c r="EX258" i="14"/>
  <c r="EX256" i="14"/>
  <c r="EX193" i="14"/>
  <c r="EX191" i="14"/>
  <c r="EX190" i="14"/>
  <c r="EX189" i="14"/>
  <c r="EX42" i="14"/>
  <c r="EX41" i="14"/>
  <c r="EX40" i="14"/>
  <c r="EX38" i="14"/>
  <c r="EX31" i="14"/>
  <c r="ES23" i="14"/>
  <c r="EX16" i="14"/>
  <c r="EX15" i="14"/>
  <c r="EX14" i="14"/>
  <c r="EX13" i="14"/>
  <c r="EX11" i="14"/>
  <c r="EX23" i="29" s="1"/>
  <c r="EX24" i="29" s="1"/>
  <c r="EX119" i="2"/>
  <c r="EX118" i="2"/>
  <c r="EX116" i="2"/>
  <c r="EX77" i="2"/>
  <c r="EX46" i="2"/>
  <c r="EX83" i="2" s="1"/>
  <c r="EX44" i="2"/>
  <c r="EX43" i="2"/>
  <c r="EX37" i="2"/>
  <c r="EY39" i="2" s="1"/>
  <c r="EX34" i="2"/>
  <c r="EX63" i="2"/>
  <c r="EY65" i="2" s="1"/>
  <c r="EX115" i="29" l="1"/>
  <c r="EX47" i="29"/>
  <c r="EY78" i="29"/>
  <c r="EY79" i="29"/>
  <c r="EY19" i="29"/>
  <c r="EY18" i="29"/>
  <c r="EY87" i="29"/>
  <c r="EY88" i="29"/>
  <c r="EY33" i="29"/>
  <c r="EY32" i="29"/>
  <c r="EX123" i="29"/>
  <c r="EY46" i="29"/>
  <c r="EY47" i="29"/>
  <c r="EX33" i="29"/>
  <c r="EY32" i="8"/>
  <c r="ET26" i="17"/>
  <c r="EY34" i="17"/>
  <c r="EY95" i="6"/>
  <c r="GF110" i="15"/>
  <c r="GG109" i="15"/>
  <c r="EX77" i="29"/>
  <c r="EX79" i="29" s="1"/>
  <c r="ES28" i="14"/>
  <c r="ES54" i="3" s="1"/>
  <c r="ES51" i="3"/>
  <c r="ES28" i="17"/>
  <c r="ES64" i="3" s="1"/>
  <c r="ES61" i="3"/>
  <c r="EX63" i="29"/>
  <c r="EX164" i="3"/>
  <c r="EX22" i="3"/>
  <c r="EY37" i="18"/>
  <c r="EY39" i="18"/>
  <c r="EX23" i="15"/>
  <c r="EX56" i="3" s="1"/>
  <c r="EY58" i="3" s="1"/>
  <c r="ES28" i="15"/>
  <c r="ES59" i="3" s="1"/>
  <c r="EX81" i="3"/>
  <c r="FC81" i="3" s="1"/>
  <c r="FH81" i="3" s="1"/>
  <c r="EY27" i="3"/>
  <c r="EY29" i="3"/>
  <c r="EX95" i="3"/>
  <c r="FC95" i="3" s="1"/>
  <c r="EX88" i="3"/>
  <c r="FC88" i="3" s="1"/>
  <c r="EY49" i="3"/>
  <c r="EY47" i="3"/>
  <c r="EY79" i="2"/>
  <c r="EY81" i="2"/>
  <c r="EY87" i="2"/>
  <c r="EY85" i="2"/>
  <c r="FC233" i="15"/>
  <c r="EY234" i="15"/>
  <c r="EX86" i="29"/>
  <c r="EX87" i="29" s="1"/>
  <c r="EY114" i="3"/>
  <c r="EY116" i="3"/>
  <c r="EY19" i="7"/>
  <c r="EY48" i="7" s="1"/>
  <c r="EY49" i="7" s="1"/>
  <c r="EZ51" i="7" s="1"/>
  <c r="EY17" i="7"/>
  <c r="EY27" i="7"/>
  <c r="EY53" i="7" s="1"/>
  <c r="EY54" i="7" s="1"/>
  <c r="EZ56" i="7" s="1"/>
  <c r="EY25" i="7"/>
  <c r="EY61" i="29"/>
  <c r="EX105" i="3"/>
  <c r="EX56" i="5"/>
  <c r="EX10" i="7"/>
  <c r="EX16" i="18"/>
  <c r="EX94" i="29"/>
  <c r="EX100" i="3"/>
  <c r="EX15" i="3"/>
  <c r="EX66" i="3"/>
  <c r="EX110" i="3"/>
  <c r="ER233" i="15"/>
  <c r="EX40" i="2"/>
  <c r="EX98" i="2" s="1"/>
  <c r="ET233" i="15"/>
  <c r="EN234" i="15"/>
  <c r="ES233" i="15"/>
  <c r="EW233" i="15"/>
  <c r="EN233" i="15"/>
  <c r="EX219" i="3"/>
  <c r="EX29" i="8"/>
  <c r="EX27" i="8" s="1"/>
  <c r="EX103" i="18"/>
  <c r="EX108" i="18"/>
  <c r="EX233" i="15"/>
  <c r="EX84" i="6"/>
  <c r="EX60" i="5"/>
  <c r="EX16" i="8"/>
  <c r="EX35" i="8"/>
  <c r="EX37" i="8" s="1"/>
  <c r="EX46" i="29"/>
  <c r="EX32" i="29"/>
  <c r="EX91" i="2"/>
  <c r="EX31" i="7"/>
  <c r="EX43" i="8"/>
  <c r="EX234" i="15"/>
  <c r="FB233" i="15"/>
  <c r="EO234" i="15"/>
  <c r="EX70" i="2"/>
  <c r="EY72" i="2" s="1"/>
  <c r="EX49" i="2"/>
  <c r="EY51" i="2" s="1"/>
  <c r="EX89" i="2"/>
  <c r="EY65" i="29" l="1"/>
  <c r="EY64" i="29"/>
  <c r="EX78" i="29"/>
  <c r="GG119" i="15"/>
  <c r="GH109" i="15"/>
  <c r="GG110" i="15"/>
  <c r="GF52" i="18"/>
  <c r="EY26" i="15"/>
  <c r="EX88" i="29"/>
  <c r="EX94" i="5"/>
  <c r="FC94" i="5" s="1"/>
  <c r="FH94" i="5" s="1"/>
  <c r="FM94" i="5" s="1"/>
  <c r="FR94" i="5" s="1"/>
  <c r="EX21" i="7"/>
  <c r="EY12" i="7"/>
  <c r="EX71" i="3"/>
  <c r="EY68" i="3"/>
  <c r="EY70" i="3"/>
  <c r="EX104" i="2"/>
  <c r="EY102" i="2"/>
  <c r="EY100" i="2"/>
  <c r="EY93" i="2"/>
  <c r="EY95" i="2"/>
  <c r="EX75" i="5"/>
  <c r="FC75" i="5" s="1"/>
  <c r="FH75" i="5" s="1"/>
  <c r="FM75" i="5" s="1"/>
  <c r="FR75" i="5" s="1"/>
  <c r="FW75" i="5" s="1"/>
  <c r="GB75" i="5" s="1"/>
  <c r="GG75" i="5" s="1"/>
  <c r="EY33" i="7"/>
  <c r="EY35" i="7"/>
  <c r="EX97" i="5"/>
  <c r="FC97" i="5" s="1"/>
  <c r="FH97" i="5" s="1"/>
  <c r="FM97" i="5" s="1"/>
  <c r="FR97" i="5" s="1"/>
  <c r="FW97" i="5" s="1"/>
  <c r="GB97" i="5" s="1"/>
  <c r="GG97" i="5" s="1"/>
  <c r="EY112" i="18"/>
  <c r="EY110" i="18"/>
  <c r="EX78" i="5"/>
  <c r="FC78" i="5" s="1"/>
  <c r="FH78" i="5" s="1"/>
  <c r="FM78" i="5" s="1"/>
  <c r="FR78" i="5" s="1"/>
  <c r="FW78" i="5" s="1"/>
  <c r="GB78" i="5" s="1"/>
  <c r="GG78" i="5" s="1"/>
  <c r="EX91" i="5"/>
  <c r="EX29" i="7"/>
  <c r="EX28" i="7"/>
  <c r="EX87" i="5"/>
  <c r="FC87" i="5" s="1"/>
  <c r="FH87" i="5" s="1"/>
  <c r="FM87" i="5" s="1"/>
  <c r="FR87" i="5" s="1"/>
  <c r="FW87" i="5" s="1"/>
  <c r="GB87" i="5" s="1"/>
  <c r="GG87" i="5" s="1"/>
  <c r="EX40" i="7"/>
  <c r="EY42" i="7" s="1"/>
  <c r="EX89" i="5"/>
  <c r="EX118" i="3"/>
  <c r="EX177" i="3" s="1"/>
  <c r="EX96" i="2"/>
  <c r="EX36" i="7"/>
  <c r="EX20" i="7"/>
  <c r="EX66" i="2"/>
  <c r="EX52" i="2"/>
  <c r="FW94" i="5" l="1"/>
  <c r="GB94" i="5" s="1"/>
  <c r="GG94" i="5" s="1"/>
  <c r="GG52" i="18"/>
  <c r="GG120" i="15"/>
  <c r="GH110" i="15"/>
  <c r="GI109" i="15"/>
  <c r="GI119" i="15" s="1"/>
  <c r="GH119" i="15"/>
  <c r="EX134" i="3"/>
  <c r="EX139" i="3" s="1"/>
  <c r="EX147" i="3" s="1"/>
  <c r="EY120" i="3"/>
  <c r="EY122" i="3"/>
  <c r="EX230" i="3"/>
  <c r="EX123" i="3"/>
  <c r="GH52" i="18" l="1"/>
  <c r="GH120" i="15"/>
  <c r="GI110" i="15"/>
  <c r="EY149" i="3"/>
  <c r="EX203" i="3"/>
  <c r="EX212" i="3"/>
  <c r="EX190" i="3"/>
  <c r="EX143" i="3"/>
  <c r="EY145" i="3" s="1"/>
  <c r="EX140" i="3"/>
  <c r="EX137" i="3"/>
  <c r="EX102" i="29" s="1"/>
  <c r="EX103" i="29" s="1"/>
  <c r="EX46" i="8"/>
  <c r="GI120" i="15" l="1"/>
  <c r="GI52" i="18"/>
  <c r="EU14" i="42" l="1"/>
  <c r="ET14" i="42"/>
  <c r="EY15" i="42" s="1"/>
  <c r="ES14" i="42"/>
  <c r="ER14" i="42"/>
  <c r="EU84" i="42"/>
  <c r="ET84" i="42"/>
  <c r="ES84" i="42"/>
  <c r="ER84" i="42"/>
  <c r="ER86" i="42" s="1"/>
  <c r="EU79" i="42"/>
  <c r="ET79" i="42"/>
  <c r="ES79" i="42"/>
  <c r="ER79" i="42"/>
  <c r="EV69" i="42"/>
  <c r="ET69" i="42"/>
  <c r="ES69" i="42"/>
  <c r="ER69" i="42"/>
  <c r="EU64" i="42"/>
  <c r="ET64" i="42"/>
  <c r="ES64" i="42"/>
  <c r="ER64" i="42"/>
  <c r="EV59" i="42"/>
  <c r="ET59" i="42"/>
  <c r="ES59" i="42"/>
  <c r="ER59" i="42"/>
  <c r="EU44" i="42"/>
  <c r="ET44" i="42"/>
  <c r="ES44" i="42"/>
  <c r="ER44" i="42"/>
  <c r="EV39" i="42"/>
  <c r="ET39" i="42"/>
  <c r="EY40" i="42" s="1"/>
  <c r="ES39" i="42"/>
  <c r="ER39" i="42"/>
  <c r="EV34" i="42"/>
  <c r="ET34" i="42"/>
  <c r="EY35" i="42" s="1"/>
  <c r="ES34" i="42"/>
  <c r="ER34" i="42"/>
  <c r="EU19" i="42"/>
  <c r="ET19" i="42"/>
  <c r="EY20" i="42" s="1"/>
  <c r="ES19" i="42"/>
  <c r="ER19" i="42"/>
  <c r="FC123" i="15"/>
  <c r="GB242" i="14"/>
  <c r="FW242" i="14"/>
  <c r="FX242" i="14" s="1"/>
  <c r="FR242" i="14"/>
  <c r="FS242" i="14" s="1"/>
  <c r="FT242" i="14" s="1"/>
  <c r="FM242" i="14"/>
  <c r="FN242" i="14" s="1"/>
  <c r="FH242" i="14"/>
  <c r="FI242" i="14" s="1"/>
  <c r="FJ242" i="14" s="1"/>
  <c r="FD242" i="14"/>
  <c r="FE242" i="14" s="1"/>
  <c r="EW195" i="14"/>
  <c r="EW355" i="14"/>
  <c r="EW275" i="14"/>
  <c r="EU256" i="14"/>
  <c r="ET256" i="14"/>
  <c r="ES256" i="14"/>
  <c r="ER256" i="14"/>
  <c r="EW264" i="14"/>
  <c r="EV45" i="15"/>
  <c r="EV45" i="17"/>
  <c r="EW93" i="17"/>
  <c r="ET93" i="17"/>
  <c r="ES93" i="17"/>
  <c r="EW222" i="17"/>
  <c r="EW231" i="17" s="1"/>
  <c r="FL28" i="14"/>
  <c r="EW122" i="29"/>
  <c r="EX60" i="29"/>
  <c r="EX59" i="29"/>
  <c r="EX61" i="29" s="1"/>
  <c r="EX15" i="29"/>
  <c r="EW235" i="14"/>
  <c r="EW234" i="14"/>
  <c r="EW132" i="3"/>
  <c r="ER31" i="17"/>
  <c r="ER23" i="17"/>
  <c r="ER31" i="15"/>
  <c r="ER23" i="15"/>
  <c r="ER56" i="3" s="1"/>
  <c r="EW42" i="15"/>
  <c r="EW41" i="15"/>
  <c r="EW40" i="15"/>
  <c r="EW38" i="15"/>
  <c r="ER31" i="14"/>
  <c r="EW31" i="14" s="1"/>
  <c r="ER23" i="14"/>
  <c r="ER51" i="3" s="1"/>
  <c r="EW28" i="2"/>
  <c r="EW27" i="2"/>
  <c r="EW56" i="2" s="1"/>
  <c r="EW26" i="2"/>
  <c r="EX65" i="29" l="1"/>
  <c r="EX64" i="29"/>
  <c r="EX18" i="29"/>
  <c r="EX19" i="29"/>
  <c r="ER61" i="3"/>
  <c r="ES26" i="17"/>
  <c r="EW31" i="17"/>
  <c r="ES34" i="17"/>
  <c r="EV28" i="2"/>
  <c r="FA46" i="17"/>
  <c r="EV27" i="2"/>
  <c r="FA46" i="15"/>
  <c r="EW31" i="15"/>
  <c r="EW278" i="14"/>
  <c r="FB278" i="14" s="1"/>
  <c r="FG278" i="14" s="1"/>
  <c r="ER355" i="14"/>
  <c r="EM355" i="14" s="1"/>
  <c r="EM359" i="14" s="1"/>
  <c r="EW23" i="17"/>
  <c r="ER28" i="17"/>
  <c r="ER64" i="3" s="1"/>
  <c r="EW23" i="14"/>
  <c r="EW28" i="14" s="1"/>
  <c r="ER28" i="14"/>
  <c r="ER54" i="3" s="1"/>
  <c r="EW23" i="15"/>
  <c r="EW28" i="15" s="1"/>
  <c r="ER28" i="15"/>
  <c r="ER59" i="3" s="1"/>
  <c r="ER264" i="14"/>
  <c r="ER278" i="14" s="1"/>
  <c r="EW301" i="14"/>
  <c r="ET36" i="42"/>
  <c r="ER195" i="14"/>
  <c r="FC109" i="15"/>
  <c r="FC110" i="15" s="1"/>
  <c r="FC52" i="18" s="1"/>
  <c r="ES41" i="42"/>
  <c r="ET21" i="42"/>
  <c r="ES36" i="42"/>
  <c r="ET46" i="42"/>
  <c r="ES86" i="42"/>
  <c r="EU82" i="42"/>
  <c r="ES61" i="42"/>
  <c r="ET61" i="42"/>
  <c r="EU46" i="42"/>
  <c r="ER62" i="42"/>
  <c r="ET62" i="42"/>
  <c r="EU10" i="42"/>
  <c r="EU17" i="42" s="1"/>
  <c r="ES62" i="42"/>
  <c r="EW29" i="2"/>
  <c r="ES21" i="42"/>
  <c r="ET37" i="42"/>
  <c r="EW241" i="14"/>
  <c r="ET87" i="42"/>
  <c r="ES66" i="42"/>
  <c r="EU86" i="42"/>
  <c r="ER72" i="42"/>
  <c r="ET82" i="42"/>
  <c r="EU85" i="42"/>
  <c r="ES81" i="42"/>
  <c r="ES87" i="42"/>
  <c r="ET85" i="42"/>
  <c r="ET81" i="42"/>
  <c r="ES71" i="42"/>
  <c r="EU81" i="42"/>
  <c r="ET86" i="42"/>
  <c r="ER85" i="42"/>
  <c r="ET66" i="42"/>
  <c r="ES72" i="42"/>
  <c r="ES85" i="42"/>
  <c r="EU16" i="42"/>
  <c r="ES16" i="42"/>
  <c r="ES37" i="42"/>
  <c r="EU21" i="42"/>
  <c r="ER37" i="42"/>
  <c r="ER42" i="42"/>
  <c r="EU87" i="42"/>
  <c r="ES42" i="42"/>
  <c r="ET42" i="42"/>
  <c r="ER10" i="42"/>
  <c r="ER67" i="42" s="1"/>
  <c r="ES82" i="42"/>
  <c r="ER87" i="42"/>
  <c r="ET41" i="42"/>
  <c r="ES46" i="42"/>
  <c r="EU66" i="42"/>
  <c r="ET71" i="42"/>
  <c r="ET10" i="42"/>
  <c r="ET16" i="42"/>
  <c r="ET72" i="42"/>
  <c r="ER82" i="42"/>
  <c r="ES10" i="42"/>
  <c r="ES22" i="42" s="1"/>
  <c r="GC242" i="14"/>
  <c r="FY242" i="14"/>
  <c r="FO242" i="14"/>
  <c r="EU223" i="17"/>
  <c r="ET223" i="17"/>
  <c r="ES223" i="17"/>
  <c r="ER223" i="17"/>
  <c r="EU222" i="17"/>
  <c r="EU231" i="17" s="1"/>
  <c r="ET222" i="17"/>
  <c r="ET231" i="17" s="1"/>
  <c r="ES222" i="17"/>
  <c r="ES231" i="17" s="1"/>
  <c r="ER222" i="17"/>
  <c r="ER231" i="17" s="1"/>
  <c r="EW34" i="17" l="1"/>
  <c r="EX34" i="17"/>
  <c r="FB264" i="14"/>
  <c r="FB265" i="14" s="1"/>
  <c r="FB266" i="14" s="1"/>
  <c r="EM264" i="14"/>
  <c r="EM278" i="14" s="1"/>
  <c r="ER279" i="14" s="1"/>
  <c r="FA32" i="15"/>
  <c r="EW306" i="14"/>
  <c r="FL278" i="14"/>
  <c r="FG264" i="14"/>
  <c r="EW279" i="14"/>
  <c r="ER241" i="14"/>
  <c r="ER201" i="14"/>
  <c r="ER24" i="42"/>
  <c r="ER27" i="42" s="1"/>
  <c r="FE109" i="15"/>
  <c r="FE110" i="15" s="1"/>
  <c r="FE52" i="18" s="1"/>
  <c r="FD109" i="15"/>
  <c r="FD110" i="15" s="1"/>
  <c r="FD52" i="18" s="1"/>
  <c r="EU67" i="42"/>
  <c r="EU22" i="42"/>
  <c r="EU47" i="42"/>
  <c r="EU12" i="42"/>
  <c r="ER22" i="42"/>
  <c r="ET47" i="42"/>
  <c r="ET22" i="42"/>
  <c r="ET17" i="42"/>
  <c r="ER47" i="42"/>
  <c r="ER17" i="42"/>
  <c r="ES17" i="42"/>
  <c r="ES12" i="42"/>
  <c r="ES67" i="42"/>
  <c r="ET67" i="42"/>
  <c r="ET12" i="42"/>
  <c r="ES47" i="42"/>
  <c r="GD242" i="14"/>
  <c r="DH78" i="6"/>
  <c r="DH93" i="6" s="1"/>
  <c r="DL93" i="6"/>
  <c r="DK93" i="6"/>
  <c r="DJ93" i="6"/>
  <c r="DI93" i="6"/>
  <c r="DL82" i="6"/>
  <c r="DK82" i="6"/>
  <c r="DJ82" i="6"/>
  <c r="DI82" i="6"/>
  <c r="DL81" i="6"/>
  <c r="DK81" i="6"/>
  <c r="DJ81" i="6"/>
  <c r="DI81" i="6"/>
  <c r="DL80" i="6"/>
  <c r="DK80" i="6"/>
  <c r="DJ80" i="6"/>
  <c r="DI80" i="6"/>
  <c r="DL79" i="6"/>
  <c r="DK79" i="6"/>
  <c r="DJ79" i="6"/>
  <c r="DI79" i="6"/>
  <c r="DG93" i="6"/>
  <c r="DG94" i="6" s="1"/>
  <c r="DF93" i="6"/>
  <c r="DF94" i="6" s="1"/>
  <c r="DE93" i="6"/>
  <c r="DJ94" i="6" s="1"/>
  <c r="DD93" i="6"/>
  <c r="DD95" i="6" s="1"/>
  <c r="EQ221" i="17"/>
  <c r="EW127" i="17"/>
  <c r="EU127" i="17"/>
  <c r="ET127" i="17"/>
  <c r="ES127" i="17"/>
  <c r="ER127" i="17"/>
  <c r="EV126" i="17"/>
  <c r="EV79" i="42" s="1"/>
  <c r="EQ126" i="17"/>
  <c r="EW90" i="17"/>
  <c r="EW42" i="17"/>
  <c r="EW41" i="17"/>
  <c r="EW40" i="17"/>
  <c r="EW38" i="17"/>
  <c r="EU38" i="17"/>
  <c r="ET38" i="17"/>
  <c r="EU42" i="17"/>
  <c r="ET42" i="17"/>
  <c r="ES42" i="17"/>
  <c r="EX43" i="17" s="1"/>
  <c r="ER42" i="17"/>
  <c r="EU41" i="17"/>
  <c r="ET41" i="17"/>
  <c r="ES41" i="17"/>
  <c r="ER41" i="17"/>
  <c r="EU40" i="17"/>
  <c r="ET40" i="17"/>
  <c r="ES40" i="17"/>
  <c r="ER40" i="17"/>
  <c r="ES38" i="17"/>
  <c r="ER38" i="17"/>
  <c r="EV37" i="17"/>
  <c r="EQ37" i="17"/>
  <c r="EQ10" i="17"/>
  <c r="EU38" i="15"/>
  <c r="ET38" i="15"/>
  <c r="ES38" i="15"/>
  <c r="ER38" i="15"/>
  <c r="EU42" i="15"/>
  <c r="ET42" i="15"/>
  <c r="ES42" i="15"/>
  <c r="EX43" i="15" s="1"/>
  <c r="ER42" i="15"/>
  <c r="EW43" i="15" s="1"/>
  <c r="EU41" i="15"/>
  <c r="ET41" i="15"/>
  <c r="ES41" i="15"/>
  <c r="ER41" i="15"/>
  <c r="EU40" i="15"/>
  <c r="ET40" i="15"/>
  <c r="ES40" i="15"/>
  <c r="ER40" i="15"/>
  <c r="EV37" i="15"/>
  <c r="EQ37" i="15"/>
  <c r="FA38" i="17" l="1"/>
  <c r="FA41" i="17"/>
  <c r="DJ95" i="6"/>
  <c r="DK95" i="6"/>
  <c r="DL95" i="6"/>
  <c r="DK94" i="6"/>
  <c r="FA38" i="15"/>
  <c r="FA41" i="15"/>
  <c r="EU43" i="15"/>
  <c r="EZ43" i="15"/>
  <c r="EZ43" i="17"/>
  <c r="EY43" i="17"/>
  <c r="FQ278" i="14"/>
  <c r="FL264" i="14"/>
  <c r="ET43" i="15"/>
  <c r="EY43" i="15"/>
  <c r="ER25" i="42"/>
  <c r="ER26" i="42"/>
  <c r="EV38" i="17"/>
  <c r="FF123" i="15"/>
  <c r="EV41" i="15"/>
  <c r="EV38" i="15"/>
  <c r="ES43" i="15"/>
  <c r="ER43" i="15"/>
  <c r="EV41" i="17"/>
  <c r="EW43" i="17"/>
  <c r="DL94" i="6"/>
  <c r="DF95" i="6"/>
  <c r="DE94" i="6"/>
  <c r="DD94" i="6"/>
  <c r="DI94" i="6"/>
  <c r="DE95" i="6"/>
  <c r="DG95" i="6"/>
  <c r="DI95" i="6"/>
  <c r="DH94" i="6"/>
  <c r="EQ10" i="15"/>
  <c r="EW365" i="14"/>
  <c r="EW348" i="14"/>
  <c r="EP347" i="14"/>
  <c r="EK347" i="14" s="1"/>
  <c r="EF347" i="14" s="1"/>
  <c r="ER189" i="14"/>
  <c r="EU187" i="14"/>
  <c r="ET187" i="14"/>
  <c r="ES187" i="14"/>
  <c r="ER187" i="14"/>
  <c r="EQ186" i="14"/>
  <c r="EW42" i="14"/>
  <c r="EW41" i="14"/>
  <c r="EW40" i="14"/>
  <c r="EW38" i="14"/>
  <c r="EU42" i="14"/>
  <c r="ET42" i="14"/>
  <c r="ES42" i="14"/>
  <c r="ER42" i="14"/>
  <c r="ER43" i="14" s="1"/>
  <c r="EU41" i="14"/>
  <c r="ET41" i="14"/>
  <c r="ES41" i="14"/>
  <c r="ER41" i="14"/>
  <c r="EU40" i="14"/>
  <c r="ET40" i="14"/>
  <c r="ES40" i="14"/>
  <c r="ER40" i="14"/>
  <c r="EU38" i="14"/>
  <c r="ET38" i="14"/>
  <c r="ES38" i="14"/>
  <c r="ER38" i="14"/>
  <c r="EV37" i="14"/>
  <c r="EQ37" i="14"/>
  <c r="EQ10" i="14"/>
  <c r="EV10" i="14"/>
  <c r="EW24" i="3"/>
  <c r="FA41" i="14" l="1"/>
  <c r="FA38" i="14"/>
  <c r="EV19" i="42"/>
  <c r="EV37" i="42" s="1"/>
  <c r="EV12" i="2"/>
  <c r="EV23" i="14"/>
  <c r="FA24" i="3"/>
  <c r="EW164" i="3"/>
  <c r="EU43" i="14"/>
  <c r="EZ43" i="14"/>
  <c r="EW370" i="14"/>
  <c r="FV278" i="14"/>
  <c r="FQ264" i="14"/>
  <c r="ET43" i="14"/>
  <c r="EY43" i="14"/>
  <c r="EW63" i="29"/>
  <c r="EX29" i="3"/>
  <c r="EX27" i="3"/>
  <c r="EV38" i="14"/>
  <c r="ES43" i="14"/>
  <c r="EX43" i="14"/>
  <c r="EV41" i="14"/>
  <c r="EV42" i="14"/>
  <c r="EV43" i="14" s="1"/>
  <c r="EW43" i="14"/>
  <c r="EV42" i="42" l="1"/>
  <c r="EV51" i="3"/>
  <c r="FA52" i="3" s="1"/>
  <c r="FA27" i="14"/>
  <c r="EZ27" i="14" s="1"/>
  <c r="EU23" i="14" s="1"/>
  <c r="FA81" i="3"/>
  <c r="FA100" i="3"/>
  <c r="FA56" i="5"/>
  <c r="FA164" i="3"/>
  <c r="FA22" i="3"/>
  <c r="FA15" i="3"/>
  <c r="FA88" i="3"/>
  <c r="FA10" i="7"/>
  <c r="FA16" i="18"/>
  <c r="FA110" i="3"/>
  <c r="FA95" i="3"/>
  <c r="FA105" i="3"/>
  <c r="GA278" i="14"/>
  <c r="FV264" i="14"/>
  <c r="EU51" i="3" l="1"/>
  <c r="EU28" i="14"/>
  <c r="EU54" i="3" s="1"/>
  <c r="EZ23" i="14"/>
  <c r="FA40" i="7"/>
  <c r="FA21" i="7"/>
  <c r="FA28" i="7"/>
  <c r="FA29" i="7"/>
  <c r="FA36" i="7"/>
  <c r="FA91" i="5"/>
  <c r="FA89" i="5"/>
  <c r="FA78" i="5"/>
  <c r="FA75" i="5"/>
  <c r="FA97" i="5"/>
  <c r="FA87" i="5"/>
  <c r="FA94" i="5"/>
  <c r="GA264" i="14"/>
  <c r="GF278" i="14"/>
  <c r="GF264" i="14" s="1"/>
  <c r="GF268" i="14" l="1"/>
  <c r="GF265" i="14"/>
  <c r="EZ28" i="14"/>
  <c r="EZ51" i="3"/>
  <c r="EZ53" i="3" l="1"/>
  <c r="EZ52" i="3"/>
  <c r="EZ54" i="3"/>
  <c r="EZ29" i="14"/>
  <c r="EV141" i="15" l="1"/>
  <c r="EP138" i="15"/>
  <c r="EQ138" i="15" s="1"/>
  <c r="ER141" i="15"/>
  <c r="ES141" i="15"/>
  <c r="ET141" i="15"/>
  <c r="EU141" i="15"/>
  <c r="EW114" i="29"/>
  <c r="EW112" i="29"/>
  <c r="EW100" i="29"/>
  <c r="EW93" i="29"/>
  <c r="EW95" i="29" s="1"/>
  <c r="EW84" i="29"/>
  <c r="EW75" i="29"/>
  <c r="EW60" i="29"/>
  <c r="EW59" i="29"/>
  <c r="EW61" i="29" s="1"/>
  <c r="EW43" i="29"/>
  <c r="EW47" i="29" s="1"/>
  <c r="EW29" i="29"/>
  <c r="EW33" i="29" s="1"/>
  <c r="EW15" i="29"/>
  <c r="EW19" i="29" s="1"/>
  <c r="EW119" i="2"/>
  <c r="EW118" i="2"/>
  <c r="EW116" i="2"/>
  <c r="EW77" i="2"/>
  <c r="EW70" i="2"/>
  <c r="EX72" i="2" s="1"/>
  <c r="EW63" i="2"/>
  <c r="EX65" i="2" s="1"/>
  <c r="EW49" i="2"/>
  <c r="EX51" i="2" s="1"/>
  <c r="EW46" i="2"/>
  <c r="EW83" i="2" s="1"/>
  <c r="EW44" i="2"/>
  <c r="EW43" i="2"/>
  <c r="EW37" i="2"/>
  <c r="EX39" i="2" s="1"/>
  <c r="EW31" i="30"/>
  <c r="EW40" i="18"/>
  <c r="EW35" i="18" s="1"/>
  <c r="EW31" i="18"/>
  <c r="EW29" i="18"/>
  <c r="EW39" i="7"/>
  <c r="EW23" i="7"/>
  <c r="EW15" i="7"/>
  <c r="EW10" i="7"/>
  <c r="EX12" i="7" s="1"/>
  <c r="EW34" i="8"/>
  <c r="EW31" i="8"/>
  <c r="EW22" i="8"/>
  <c r="EW23" i="8" s="1"/>
  <c r="FA23" i="8" s="1"/>
  <c r="EW20" i="8"/>
  <c r="EW17" i="8"/>
  <c r="EW13" i="8"/>
  <c r="EX10" i="8" s="1"/>
  <c r="EW230" i="15"/>
  <c r="EW228" i="15"/>
  <c r="EW115" i="29" l="1"/>
  <c r="EX32" i="8"/>
  <c r="EX37" i="18"/>
  <c r="EX39" i="18"/>
  <c r="EX81" i="2"/>
  <c r="EX79" i="2"/>
  <c r="EX85" i="2"/>
  <c r="EX87" i="2"/>
  <c r="EX19" i="7"/>
  <c r="EX48" i="7" s="1"/>
  <c r="EX49" i="7" s="1"/>
  <c r="EY51" i="7" s="1"/>
  <c r="EX17" i="7"/>
  <c r="EX27" i="7"/>
  <c r="EX53" i="7" s="1"/>
  <c r="EX54" i="7" s="1"/>
  <c r="EY56" i="7" s="1"/>
  <c r="EX25" i="7"/>
  <c r="EW91" i="2"/>
  <c r="EW29" i="8"/>
  <c r="EW35" i="8"/>
  <c r="EW37" i="8" s="1"/>
  <c r="EW40" i="2"/>
  <c r="EW98" i="2" s="1"/>
  <c r="EW18" i="29"/>
  <c r="EW94" i="29"/>
  <c r="EW65" i="29"/>
  <c r="EW64" i="29"/>
  <c r="EW46" i="29"/>
  <c r="EW32" i="29"/>
  <c r="EW66" i="2"/>
  <c r="EW89" i="2"/>
  <c r="EW52" i="2"/>
  <c r="EW21" i="7"/>
  <c r="EW28" i="7"/>
  <c r="EW29" i="7"/>
  <c r="EW31" i="7"/>
  <c r="EW40" i="7"/>
  <c r="EX42" i="7" s="1"/>
  <c r="EW43" i="8"/>
  <c r="EW16" i="8"/>
  <c r="EW27" i="8" l="1"/>
  <c r="FA29" i="8"/>
  <c r="EX33" i="7"/>
  <c r="EX35" i="7"/>
  <c r="EX102" i="2"/>
  <c r="EX100" i="2"/>
  <c r="EX93" i="2"/>
  <c r="EX95" i="2"/>
  <c r="EW96" i="2"/>
  <c r="EW104" i="2"/>
  <c r="EW36" i="7"/>
  <c r="EW20" i="7"/>
  <c r="EW93" i="6" l="1"/>
  <c r="EW82" i="6"/>
  <c r="EW81" i="6"/>
  <c r="EW80" i="6"/>
  <c r="EW79" i="6"/>
  <c r="EW68" i="6"/>
  <c r="EW139" i="5"/>
  <c r="EW98" i="5"/>
  <c r="EW95" i="5"/>
  <c r="EW92" i="5"/>
  <c r="EW90" i="5"/>
  <c r="EW88" i="5"/>
  <c r="EW85" i="5"/>
  <c r="EW79" i="5"/>
  <c r="EW76" i="5"/>
  <c r="EW67" i="5"/>
  <c r="EW59" i="5"/>
  <c r="EX223" i="3" s="1"/>
  <c r="EX224" i="3" s="1"/>
  <c r="EW58" i="5"/>
  <c r="EW56" i="5"/>
  <c r="EU136" i="5"/>
  <c r="EW221" i="3"/>
  <c r="EW218" i="3"/>
  <c r="EW216" i="3"/>
  <c r="EW211" i="3"/>
  <c r="FA211" i="3" s="1"/>
  <c r="EW110" i="3"/>
  <c r="DG110" i="3"/>
  <c r="DF110" i="3"/>
  <c r="DE110" i="3"/>
  <c r="DD110" i="3"/>
  <c r="DB110" i="3"/>
  <c r="DA110" i="3"/>
  <c r="CZ110" i="3"/>
  <c r="CY110" i="3"/>
  <c r="CW110" i="3"/>
  <c r="CV110" i="3"/>
  <c r="CU110" i="3"/>
  <c r="CT110" i="3"/>
  <c r="CR110" i="3"/>
  <c r="CQ110" i="3"/>
  <c r="CP110" i="3"/>
  <c r="CO110" i="3"/>
  <c r="CM110" i="3"/>
  <c r="CL110" i="3"/>
  <c r="CK110" i="3"/>
  <c r="CJ110" i="3"/>
  <c r="CH110" i="3"/>
  <c r="CG110" i="3"/>
  <c r="CF110" i="3"/>
  <c r="CE110" i="3"/>
  <c r="CC110" i="3"/>
  <c r="CB110" i="3"/>
  <c r="CA110" i="3"/>
  <c r="BZ110" i="3"/>
  <c r="BX110" i="3"/>
  <c r="BW110" i="3"/>
  <c r="BV110" i="3"/>
  <c r="BU110" i="3"/>
  <c r="BS110" i="3"/>
  <c r="BR110" i="3"/>
  <c r="BQ110" i="3"/>
  <c r="BP110" i="3"/>
  <c r="BN110" i="3"/>
  <c r="BM110" i="3"/>
  <c r="BL110" i="3"/>
  <c r="BK110" i="3"/>
  <c r="BI110" i="3"/>
  <c r="BH110" i="3"/>
  <c r="BG110" i="3"/>
  <c r="BF110" i="3"/>
  <c r="BD110" i="3"/>
  <c r="BC110" i="3"/>
  <c r="BB110" i="3"/>
  <c r="BA110" i="3"/>
  <c r="AY110" i="3"/>
  <c r="AX110" i="3"/>
  <c r="AW110" i="3"/>
  <c r="AV110" i="3"/>
  <c r="AT110" i="3"/>
  <c r="AS110" i="3"/>
  <c r="AR110" i="3"/>
  <c r="AQ110" i="3"/>
  <c r="AO110" i="3"/>
  <c r="AN110" i="3"/>
  <c r="AM110" i="3"/>
  <c r="AL110" i="3"/>
  <c r="AJ110" i="3"/>
  <c r="AI110" i="3"/>
  <c r="AH110" i="3"/>
  <c r="AG110" i="3"/>
  <c r="AE110" i="3"/>
  <c r="AD110" i="3"/>
  <c r="AC110" i="3"/>
  <c r="AB110" i="3"/>
  <c r="Z110" i="3"/>
  <c r="Y110" i="3"/>
  <c r="X110" i="3"/>
  <c r="W110" i="3"/>
  <c r="U110" i="3"/>
  <c r="T110" i="3"/>
  <c r="S110" i="3"/>
  <c r="R110" i="3"/>
  <c r="P110" i="3"/>
  <c r="O110" i="3"/>
  <c r="N110" i="3"/>
  <c r="M110" i="3"/>
  <c r="K110" i="3"/>
  <c r="J110" i="3"/>
  <c r="I110" i="3"/>
  <c r="H110" i="3"/>
  <c r="F110" i="3"/>
  <c r="E110" i="3"/>
  <c r="D110" i="3"/>
  <c r="C110" i="3"/>
  <c r="EW105" i="3"/>
  <c r="DG105" i="3"/>
  <c r="DF105" i="3"/>
  <c r="DE105" i="3"/>
  <c r="DD105" i="3"/>
  <c r="DB105" i="3"/>
  <c r="DA105" i="3"/>
  <c r="CZ105" i="3"/>
  <c r="CY105" i="3"/>
  <c r="CW105" i="3"/>
  <c r="CV105" i="3"/>
  <c r="CU105" i="3"/>
  <c r="CT105" i="3"/>
  <c r="CR105" i="3"/>
  <c r="CQ105" i="3"/>
  <c r="CP105" i="3"/>
  <c r="CO105" i="3"/>
  <c r="CM105" i="3"/>
  <c r="CL105" i="3"/>
  <c r="CK105" i="3"/>
  <c r="CJ105" i="3"/>
  <c r="CH105" i="3"/>
  <c r="CG105" i="3"/>
  <c r="CF105" i="3"/>
  <c r="CE105" i="3"/>
  <c r="CC105" i="3"/>
  <c r="CB105" i="3"/>
  <c r="CA105" i="3"/>
  <c r="BZ105" i="3"/>
  <c r="BX105" i="3"/>
  <c r="BW105" i="3"/>
  <c r="BV105" i="3"/>
  <c r="BU105" i="3"/>
  <c r="BS105" i="3"/>
  <c r="BR105" i="3"/>
  <c r="BQ105" i="3"/>
  <c r="BP105" i="3"/>
  <c r="BN105" i="3"/>
  <c r="BM105" i="3"/>
  <c r="BL105" i="3"/>
  <c r="BK105" i="3"/>
  <c r="BI105" i="3"/>
  <c r="BH105" i="3"/>
  <c r="BG105" i="3"/>
  <c r="BF105" i="3"/>
  <c r="BD105" i="3"/>
  <c r="BC105" i="3"/>
  <c r="BB105" i="3"/>
  <c r="BA105" i="3"/>
  <c r="AY105" i="3"/>
  <c r="AX105" i="3"/>
  <c r="AW105" i="3"/>
  <c r="AV105" i="3"/>
  <c r="AT105" i="3"/>
  <c r="AS105" i="3"/>
  <c r="AR105" i="3"/>
  <c r="AQ105" i="3"/>
  <c r="AO105" i="3"/>
  <c r="AN105" i="3"/>
  <c r="AM105" i="3"/>
  <c r="AL105" i="3"/>
  <c r="AJ105" i="3"/>
  <c r="AI105" i="3"/>
  <c r="AH105" i="3"/>
  <c r="AG105" i="3"/>
  <c r="AE105" i="3"/>
  <c r="AD105" i="3"/>
  <c r="AC105" i="3"/>
  <c r="AB105" i="3"/>
  <c r="Z105" i="3"/>
  <c r="Y105" i="3"/>
  <c r="X105" i="3"/>
  <c r="W105" i="3"/>
  <c r="U105" i="3"/>
  <c r="T105" i="3"/>
  <c r="S105" i="3"/>
  <c r="R105" i="3"/>
  <c r="P105" i="3"/>
  <c r="O105" i="3"/>
  <c r="N105" i="3"/>
  <c r="M105" i="3"/>
  <c r="K105" i="3"/>
  <c r="J105" i="3"/>
  <c r="I105" i="3"/>
  <c r="H105" i="3"/>
  <c r="F105" i="3"/>
  <c r="E105" i="3"/>
  <c r="D105" i="3"/>
  <c r="C105" i="3"/>
  <c r="C100" i="3"/>
  <c r="D100" i="3"/>
  <c r="E100" i="3"/>
  <c r="F100" i="3"/>
  <c r="H100" i="3"/>
  <c r="I100" i="3"/>
  <c r="J100" i="3"/>
  <c r="K100" i="3"/>
  <c r="M100" i="3"/>
  <c r="N100" i="3"/>
  <c r="O100" i="3"/>
  <c r="P100" i="3"/>
  <c r="R100" i="3"/>
  <c r="S100" i="3"/>
  <c r="T100" i="3"/>
  <c r="U100" i="3"/>
  <c r="W100" i="3"/>
  <c r="X100" i="3"/>
  <c r="Y100" i="3"/>
  <c r="Z100" i="3"/>
  <c r="AB100" i="3"/>
  <c r="AC100" i="3"/>
  <c r="AD100" i="3"/>
  <c r="AE100" i="3"/>
  <c r="AG100" i="3"/>
  <c r="AH100" i="3"/>
  <c r="AI100" i="3"/>
  <c r="AJ100" i="3"/>
  <c r="AL100" i="3"/>
  <c r="AM100" i="3"/>
  <c r="AN100" i="3"/>
  <c r="AO100" i="3"/>
  <c r="AQ100" i="3"/>
  <c r="AR100" i="3"/>
  <c r="AS100" i="3"/>
  <c r="AT100" i="3"/>
  <c r="AV100" i="3"/>
  <c r="AW100" i="3"/>
  <c r="AX100" i="3"/>
  <c r="AY100" i="3"/>
  <c r="BA100" i="3"/>
  <c r="BB100" i="3"/>
  <c r="BC100" i="3"/>
  <c r="BD100" i="3"/>
  <c r="BF100" i="3"/>
  <c r="BG100" i="3"/>
  <c r="BH100" i="3"/>
  <c r="BI100" i="3"/>
  <c r="BK100" i="3"/>
  <c r="BL100" i="3"/>
  <c r="BM100" i="3"/>
  <c r="BN100" i="3"/>
  <c r="BP100" i="3"/>
  <c r="BQ100" i="3"/>
  <c r="BR100" i="3"/>
  <c r="BS100" i="3"/>
  <c r="BU100" i="3"/>
  <c r="BV100" i="3"/>
  <c r="BW100" i="3"/>
  <c r="BX100" i="3"/>
  <c r="BZ100" i="3"/>
  <c r="CA100" i="3"/>
  <c r="CB100" i="3"/>
  <c r="CC100" i="3"/>
  <c r="CE100" i="3"/>
  <c r="CF100" i="3"/>
  <c r="CG100" i="3"/>
  <c r="CH100" i="3"/>
  <c r="CJ100" i="3"/>
  <c r="CK100" i="3"/>
  <c r="CL100" i="3"/>
  <c r="CM100" i="3"/>
  <c r="CO100" i="3"/>
  <c r="CP100" i="3"/>
  <c r="CQ100" i="3"/>
  <c r="CR100" i="3"/>
  <c r="CT100" i="3"/>
  <c r="CU100" i="3"/>
  <c r="CV100" i="3"/>
  <c r="CW100" i="3"/>
  <c r="CY100" i="3"/>
  <c r="CZ100" i="3"/>
  <c r="DA100" i="3"/>
  <c r="DB100" i="3"/>
  <c r="DD100" i="3"/>
  <c r="DE100" i="3"/>
  <c r="DF100" i="3"/>
  <c r="DG100" i="3"/>
  <c r="EW100" i="3"/>
  <c r="EW112" i="3"/>
  <c r="FA112" i="3" s="1"/>
  <c r="EW109" i="3"/>
  <c r="EW108" i="3"/>
  <c r="EW104" i="3"/>
  <c r="EW103" i="3"/>
  <c r="EW95" i="3"/>
  <c r="FB95" i="3" s="1"/>
  <c r="EW94" i="3"/>
  <c r="EW93" i="3"/>
  <c r="EW92" i="3"/>
  <c r="EW91" i="3"/>
  <c r="EW88" i="3"/>
  <c r="FB88" i="3" s="1"/>
  <c r="EW87" i="3"/>
  <c r="EW86" i="3"/>
  <c r="EW85" i="3"/>
  <c r="EW84" i="3"/>
  <c r="EW81" i="3"/>
  <c r="FB81" i="3" s="1"/>
  <c r="FG81" i="3" s="1"/>
  <c r="EW80" i="3"/>
  <c r="EW79" i="3"/>
  <c r="EW78" i="3"/>
  <c r="EW77" i="3"/>
  <c r="EW59" i="3"/>
  <c r="EW54" i="3"/>
  <c r="EW45" i="3"/>
  <c r="EW43" i="3"/>
  <c r="EW42" i="3"/>
  <c r="EW41" i="3"/>
  <c r="EW40" i="3"/>
  <c r="EW39" i="3"/>
  <c r="EW36" i="3"/>
  <c r="EW35" i="3"/>
  <c r="EW34" i="3"/>
  <c r="EW33" i="3"/>
  <c r="EW32" i="3"/>
  <c r="EW22" i="3"/>
  <c r="EW21" i="3"/>
  <c r="EW20" i="3"/>
  <c r="EW19" i="3"/>
  <c r="EW18" i="3"/>
  <c r="EW15" i="3"/>
  <c r="EW14" i="3"/>
  <c r="EW13" i="3"/>
  <c r="EW12" i="3"/>
  <c r="EW11" i="3"/>
  <c r="EX70" i="6" l="1"/>
  <c r="EX95" i="6"/>
  <c r="FA45" i="3"/>
  <c r="FA57" i="5" s="1"/>
  <c r="EW94" i="5"/>
  <c r="FB94" i="5" s="1"/>
  <c r="FG94" i="5" s="1"/>
  <c r="FL94" i="5" s="1"/>
  <c r="FQ94" i="5" s="1"/>
  <c r="EX49" i="3"/>
  <c r="EX47" i="3"/>
  <c r="EX116" i="3"/>
  <c r="EX114" i="3"/>
  <c r="EW66" i="3"/>
  <c r="EW57" i="5"/>
  <c r="EW219" i="3"/>
  <c r="EW226" i="3"/>
  <c r="EW84" i="6"/>
  <c r="EW60" i="5"/>
  <c r="EW86" i="29"/>
  <c r="EW77" i="29"/>
  <c r="EW97" i="5"/>
  <c r="FB97" i="5" s="1"/>
  <c r="FG97" i="5" s="1"/>
  <c r="FL97" i="5" s="1"/>
  <c r="FQ97" i="5" s="1"/>
  <c r="FV97" i="5" s="1"/>
  <c r="GA97" i="5" s="1"/>
  <c r="GF97" i="5" s="1"/>
  <c r="EW75" i="5"/>
  <c r="FB75" i="5" s="1"/>
  <c r="FG75" i="5" s="1"/>
  <c r="FL75" i="5" s="1"/>
  <c r="FQ75" i="5" s="1"/>
  <c r="FV75" i="5" s="1"/>
  <c r="GA75" i="5" s="1"/>
  <c r="GF75" i="5" s="1"/>
  <c r="EW89" i="5"/>
  <c r="EW78" i="5"/>
  <c r="FB78" i="5" s="1"/>
  <c r="FG78" i="5" s="1"/>
  <c r="FL78" i="5" s="1"/>
  <c r="FQ78" i="5" s="1"/>
  <c r="FV78" i="5" s="1"/>
  <c r="GA78" i="5" s="1"/>
  <c r="GF78" i="5" s="1"/>
  <c r="EW91" i="5"/>
  <c r="EW87" i="5"/>
  <c r="FB87" i="5" s="1"/>
  <c r="FG87" i="5" s="1"/>
  <c r="FL87" i="5" s="1"/>
  <c r="FQ87" i="5" s="1"/>
  <c r="FV87" i="5" s="1"/>
  <c r="GA87" i="5" s="1"/>
  <c r="GF87" i="5" s="1"/>
  <c r="EX88" i="6" l="1"/>
  <c r="EX86" i="6"/>
  <c r="FV94" i="5"/>
  <c r="GA94" i="5" s="1"/>
  <c r="GF94" i="5" s="1"/>
  <c r="EW118" i="3"/>
  <c r="EX122" i="3" s="1"/>
  <c r="FA66" i="3"/>
  <c r="EW71" i="3"/>
  <c r="EX68" i="3"/>
  <c r="EX70" i="3"/>
  <c r="EW88" i="29"/>
  <c r="EW87" i="29"/>
  <c r="EW134" i="3"/>
  <c r="EW230" i="3"/>
  <c r="EW79" i="29"/>
  <c r="EW78" i="29"/>
  <c r="EW123" i="3" l="1"/>
  <c r="EX120" i="3"/>
  <c r="FA71" i="3"/>
  <c r="EW177" i="3"/>
  <c r="FA118" i="3"/>
  <c r="EW139" i="3"/>
  <c r="EW190" i="3" s="1"/>
  <c r="EW137" i="3"/>
  <c r="EW102" i="29" s="1"/>
  <c r="EW103" i="29" s="1"/>
  <c r="DR227" i="3"/>
  <c r="DQ227" i="3"/>
  <c r="DP227" i="3"/>
  <c r="DO227" i="3"/>
  <c r="DN227" i="3"/>
  <c r="DM227" i="3"/>
  <c r="DL227" i="3"/>
  <c r="DK227" i="3"/>
  <c r="DJ227" i="3"/>
  <c r="DI227" i="3"/>
  <c r="DH227" i="3"/>
  <c r="DG227" i="3"/>
  <c r="DF227" i="3"/>
  <c r="DE227" i="3"/>
  <c r="DD227" i="3"/>
  <c r="DC227" i="3"/>
  <c r="DB227" i="3"/>
  <c r="DA227" i="3"/>
  <c r="CZ227" i="3"/>
  <c r="CY227" i="3"/>
  <c r="CX227" i="3"/>
  <c r="CW227" i="3"/>
  <c r="CV227" i="3"/>
  <c r="CU227" i="3"/>
  <c r="CT227" i="3"/>
  <c r="CS227" i="3"/>
  <c r="CR227" i="3"/>
  <c r="CQ227" i="3"/>
  <c r="CP227" i="3"/>
  <c r="CO227" i="3"/>
  <c r="CN227" i="3"/>
  <c r="CM227" i="3"/>
  <c r="CL227" i="3"/>
  <c r="CK227" i="3"/>
  <c r="CJ227" i="3"/>
  <c r="CI227" i="3"/>
  <c r="CH227" i="3"/>
  <c r="CG227" i="3"/>
  <c r="CF227" i="3"/>
  <c r="CE227" i="3"/>
  <c r="DR222" i="3"/>
  <c r="DQ222" i="3"/>
  <c r="DP222" i="3"/>
  <c r="DO222" i="3"/>
  <c r="DN222" i="3"/>
  <c r="DM222" i="3"/>
  <c r="DL222" i="3"/>
  <c r="DK222" i="3"/>
  <c r="DJ222" i="3"/>
  <c r="DI222" i="3"/>
  <c r="DH222" i="3"/>
  <c r="DG222" i="3"/>
  <c r="DF222" i="3"/>
  <c r="DE222" i="3"/>
  <c r="DD222" i="3"/>
  <c r="DC222" i="3"/>
  <c r="DB222" i="3"/>
  <c r="DA222" i="3"/>
  <c r="CZ222" i="3"/>
  <c r="CY222" i="3"/>
  <c r="CX222" i="3"/>
  <c r="CW222" i="3"/>
  <c r="CV222" i="3"/>
  <c r="CU222" i="3"/>
  <c r="CT222" i="3"/>
  <c r="CS222" i="3"/>
  <c r="CR222" i="3"/>
  <c r="CQ222" i="3"/>
  <c r="CP222" i="3"/>
  <c r="CO222" i="3"/>
  <c r="CN222" i="3"/>
  <c r="CM222" i="3"/>
  <c r="CL222" i="3"/>
  <c r="CK222" i="3"/>
  <c r="CJ222" i="3"/>
  <c r="CI222" i="3"/>
  <c r="CH222" i="3"/>
  <c r="CG222" i="3"/>
  <c r="CF222" i="3"/>
  <c r="CE222" i="3"/>
  <c r="EU218" i="3"/>
  <c r="ET218" i="3"/>
  <c r="ES218" i="3"/>
  <c r="ER218" i="3"/>
  <c r="EP218" i="3"/>
  <c r="EO218" i="3"/>
  <c r="EN218" i="3"/>
  <c r="EM218" i="3"/>
  <c r="EK218" i="3"/>
  <c r="EJ218" i="3"/>
  <c r="EI218" i="3"/>
  <c r="EH218" i="3"/>
  <c r="EF218" i="3"/>
  <c r="EE218" i="3"/>
  <c r="ED218" i="3"/>
  <c r="EC218" i="3"/>
  <c r="EA218" i="3"/>
  <c r="DZ218" i="3"/>
  <c r="DY218" i="3"/>
  <c r="DX218" i="3"/>
  <c r="DV218" i="3"/>
  <c r="DU218" i="3"/>
  <c r="DT218" i="3"/>
  <c r="DS218" i="3"/>
  <c r="FA230" i="3" l="1"/>
  <c r="FA177" i="3"/>
  <c r="FA123" i="3"/>
  <c r="EW140" i="3"/>
  <c r="EW10" i="6"/>
  <c r="EW143" i="3"/>
  <c r="EX145" i="3" s="1"/>
  <c r="EW212" i="3"/>
  <c r="EW147" i="3"/>
  <c r="DS221" i="3"/>
  <c r="DS222" i="3" s="1"/>
  <c r="DT221" i="3"/>
  <c r="DT222" i="3" s="1"/>
  <c r="DU221" i="3"/>
  <c r="DU222" i="3" s="1"/>
  <c r="DX221" i="3"/>
  <c r="DY221" i="3"/>
  <c r="DZ221" i="3"/>
  <c r="EC221" i="3"/>
  <c r="ED221" i="3"/>
  <c r="EE221" i="3"/>
  <c r="EH221" i="3"/>
  <c r="EI221" i="3"/>
  <c r="EJ221" i="3"/>
  <c r="EM221" i="3"/>
  <c r="EN221" i="3"/>
  <c r="EO221" i="3"/>
  <c r="ER221" i="3"/>
  <c r="EW222" i="3" s="1"/>
  <c r="ES221" i="3"/>
  <c r="EX222" i="3" s="1"/>
  <c r="ET221" i="3"/>
  <c r="EV221" i="3"/>
  <c r="FA222" i="3" s="1"/>
  <c r="DR217" i="3"/>
  <c r="DQ217" i="3"/>
  <c r="DP217" i="3"/>
  <c r="DO217" i="3"/>
  <c r="DN217" i="3"/>
  <c r="DM217" i="3"/>
  <c r="DL217" i="3"/>
  <c r="DK217" i="3"/>
  <c r="DJ217" i="3"/>
  <c r="DI217" i="3"/>
  <c r="DH217" i="3"/>
  <c r="DG217" i="3"/>
  <c r="DF217" i="3"/>
  <c r="DE217" i="3"/>
  <c r="DD217" i="3"/>
  <c r="DC217" i="3"/>
  <c r="DB217" i="3"/>
  <c r="DA217" i="3"/>
  <c r="CZ217" i="3"/>
  <c r="CY217" i="3"/>
  <c r="CX217" i="3"/>
  <c r="CW217" i="3"/>
  <c r="CV217" i="3"/>
  <c r="CU217" i="3"/>
  <c r="CT217" i="3"/>
  <c r="CS217" i="3"/>
  <c r="CR217" i="3"/>
  <c r="CQ217" i="3"/>
  <c r="CP217" i="3"/>
  <c r="CO217" i="3"/>
  <c r="CN217" i="3"/>
  <c r="CM217" i="3"/>
  <c r="CL217" i="3"/>
  <c r="CK217" i="3"/>
  <c r="CJ217" i="3"/>
  <c r="CI217" i="3"/>
  <c r="CH217" i="3"/>
  <c r="CG217" i="3"/>
  <c r="CF217" i="3"/>
  <c r="CE217" i="3"/>
  <c r="GB219" i="3"/>
  <c r="GC219" i="3" s="1"/>
  <c r="GD219" i="3" s="1"/>
  <c r="FW219" i="3"/>
  <c r="FX219" i="3" s="1"/>
  <c r="FY219" i="3" s="1"/>
  <c r="FR219" i="3"/>
  <c r="FS219" i="3" s="1"/>
  <c r="FT219" i="3" s="1"/>
  <c r="FM219" i="3"/>
  <c r="FN219" i="3" s="1"/>
  <c r="FO219" i="3" s="1"/>
  <c r="FH219" i="3"/>
  <c r="FI219" i="3" s="1"/>
  <c r="FJ219" i="3" s="1"/>
  <c r="FC219" i="3"/>
  <c r="FD219" i="3" s="1"/>
  <c r="FE219" i="3" s="1"/>
  <c r="DS216" i="3"/>
  <c r="DT216" i="3"/>
  <c r="DU216" i="3"/>
  <c r="DW216" i="3"/>
  <c r="DX216" i="3"/>
  <c r="DY216" i="3"/>
  <c r="DZ216" i="3"/>
  <c r="DZ226" i="3" s="1"/>
  <c r="EB226" i="3"/>
  <c r="EC216" i="3"/>
  <c r="ED216" i="3"/>
  <c r="EE216" i="3"/>
  <c r="EH216" i="3"/>
  <c r="EI216" i="3"/>
  <c r="EI226" i="3" s="1"/>
  <c r="EJ216" i="3"/>
  <c r="EM216" i="3"/>
  <c r="EN216" i="3"/>
  <c r="EO216" i="3"/>
  <c r="EQ226" i="3"/>
  <c r="ER216" i="3"/>
  <c r="ES216" i="3"/>
  <c r="EX217" i="3" s="1"/>
  <c r="ET216" i="3"/>
  <c r="EY217" i="3" s="1"/>
  <c r="EM222" i="3" l="1"/>
  <c r="EH226" i="3"/>
  <c r="DS226" i="3"/>
  <c r="DS227" i="3" s="1"/>
  <c r="EX149" i="3"/>
  <c r="EW203" i="3"/>
  <c r="EW217" i="3"/>
  <c r="ER219" i="3"/>
  <c r="EV222" i="3"/>
  <c r="ET222" i="3"/>
  <c r="EY222" i="3"/>
  <c r="DY222" i="3"/>
  <c r="EB217" i="3"/>
  <c r="DX222" i="3"/>
  <c r="EC226" i="3"/>
  <c r="EH227" i="3" s="1"/>
  <c r="EJ226" i="3"/>
  <c r="EE226" i="3"/>
  <c r="EE227" i="3" s="1"/>
  <c r="ED226" i="3"/>
  <c r="EI227" i="3" s="1"/>
  <c r="EW46" i="8"/>
  <c r="EV226" i="3"/>
  <c r="EN226" i="3"/>
  <c r="EN227" i="3" s="1"/>
  <c r="EG226" i="3"/>
  <c r="EG227" i="3" s="1"/>
  <c r="DY226" i="3"/>
  <c r="DW217" i="3"/>
  <c r="DW226" i="3"/>
  <c r="DW227" i="3" s="1"/>
  <c r="EN222" i="3"/>
  <c r="DX217" i="3"/>
  <c r="DX226" i="3"/>
  <c r="DX227" i="3" s="1"/>
  <c r="ET219" i="3"/>
  <c r="ET226" i="3"/>
  <c r="EY227" i="3" s="1"/>
  <c r="ES219" i="3"/>
  <c r="ES226" i="3"/>
  <c r="EX227" i="3" s="1"/>
  <c r="DT219" i="3"/>
  <c r="DT226" i="3"/>
  <c r="DT227" i="3" s="1"/>
  <c r="EM219" i="3"/>
  <c r="EM226" i="3"/>
  <c r="EM227" i="3" s="1"/>
  <c r="EL226" i="3"/>
  <c r="ER226" i="3"/>
  <c r="DU219" i="3"/>
  <c r="DU226" i="3"/>
  <c r="DU227" i="3" s="1"/>
  <c r="EO219" i="3"/>
  <c r="EO226" i="3"/>
  <c r="EH222" i="3"/>
  <c r="DZ222" i="3"/>
  <c r="EC217" i="3"/>
  <c r="EI217" i="3"/>
  <c r="EJ222" i="3"/>
  <c r="EJ217" i="3"/>
  <c r="ES222" i="3"/>
  <c r="ED222" i="3"/>
  <c r="ED217" i="3"/>
  <c r="EJ219" i="3"/>
  <c r="EC219" i="3"/>
  <c r="EO222" i="3"/>
  <c r="EI222" i="3"/>
  <c r="EC222" i="3"/>
  <c r="ER222" i="3"/>
  <c r="EE222" i="3"/>
  <c r="EO217" i="3"/>
  <c r="ER217" i="3"/>
  <c r="DX219" i="3"/>
  <c r="ED219" i="3"/>
  <c r="EI219" i="3"/>
  <c r="EH219" i="3"/>
  <c r="EH217" i="3"/>
  <c r="DZ219" i="3"/>
  <c r="DZ217" i="3"/>
  <c r="DS219" i="3"/>
  <c r="DS217" i="3"/>
  <c r="EN219" i="3"/>
  <c r="EN217" i="3"/>
  <c r="DY219" i="3"/>
  <c r="DY217" i="3"/>
  <c r="EE219" i="3"/>
  <c r="EE217" i="3"/>
  <c r="DT217" i="3"/>
  <c r="DU217" i="3"/>
  <c r="EM217" i="3"/>
  <c r="ET217" i="3"/>
  <c r="ES217" i="3"/>
  <c r="EJ227" i="3" l="1"/>
  <c r="EV227" i="3"/>
  <c r="FA227" i="3"/>
  <c r="EO227" i="3"/>
  <c r="ED227" i="3"/>
  <c r="EL227" i="3"/>
  <c r="ER227" i="3"/>
  <c r="EW227" i="3"/>
  <c r="EB227" i="3"/>
  <c r="EC227" i="3"/>
  <c r="ES227" i="3"/>
  <c r="DZ227" i="3"/>
  <c r="ET227" i="3"/>
  <c r="DY227" i="3"/>
  <c r="EQ227" i="3"/>
  <c r="FE28" i="15" l="1"/>
  <c r="FQ109" i="5" l="1"/>
  <c r="FV109" i="5" s="1"/>
  <c r="GA109" i="5" s="1"/>
  <c r="GF109" i="5" s="1"/>
  <c r="GG109" i="5" s="1"/>
  <c r="GH109" i="5" s="1"/>
  <c r="GI109" i="5" s="1"/>
  <c r="ER31" i="30" l="1"/>
  <c r="ES31" i="30"/>
  <c r="ET31" i="30"/>
  <c r="EU31" i="30"/>
  <c r="EV31" i="30"/>
  <c r="EW120" i="29"/>
  <c r="EW123" i="29" s="1"/>
  <c r="FQ28" i="14" l="1"/>
  <c r="FR28" i="14" l="1"/>
  <c r="FV28" i="14"/>
  <c r="GA28" i="14" s="1"/>
  <c r="GF28" i="14" s="1"/>
  <c r="FM28" i="14"/>
  <c r="GG28" i="14" l="1"/>
  <c r="GF54" i="3"/>
  <c r="GF29" i="14"/>
  <c r="FN28" i="14"/>
  <c r="FO28" i="14" s="1"/>
  <c r="FS28" i="14"/>
  <c r="FT28" i="14" s="1"/>
  <c r="GH28" i="14" l="1"/>
  <c r="GG54" i="3"/>
  <c r="FW28" i="14"/>
  <c r="FX28" i="14" s="1"/>
  <c r="FY28" i="14" s="1"/>
  <c r="GB28" i="14"/>
  <c r="GC28" i="14" s="1"/>
  <c r="GD28" i="14" s="1"/>
  <c r="GG29" i="14" l="1"/>
  <c r="GH54" i="3"/>
  <c r="GI28" i="14"/>
  <c r="GH29" i="14"/>
  <c r="FC115" i="17"/>
  <c r="FD115" i="17" s="1"/>
  <c r="FE115" i="17" s="1"/>
  <c r="FG115" i="17" s="1"/>
  <c r="FH115" i="17" s="1"/>
  <c r="FI115" i="17" s="1"/>
  <c r="FJ115" i="17" s="1"/>
  <c r="FL115" i="17" s="1"/>
  <c r="FM115" i="17" s="1"/>
  <c r="FN115" i="17" s="1"/>
  <c r="FO115" i="17" s="1"/>
  <c r="FQ115" i="17" s="1"/>
  <c r="FR115" i="17" s="1"/>
  <c r="FS115" i="17" s="1"/>
  <c r="FM107" i="17"/>
  <c r="FN107" i="17" s="1"/>
  <c r="FH107" i="17"/>
  <c r="GI54" i="3" l="1"/>
  <c r="GI29" i="14"/>
  <c r="FE107" i="17"/>
  <c r="FQ107" i="17"/>
  <c r="FT115" i="17"/>
  <c r="FV115" i="17" s="1"/>
  <c r="FW115" i="17" s="1"/>
  <c r="FX115" i="17" s="1"/>
  <c r="FY115" i="17" s="1"/>
  <c r="GA115" i="17" s="1"/>
  <c r="GB115" i="17" s="1"/>
  <c r="GC115" i="17" s="1"/>
  <c r="GD115" i="17" s="1"/>
  <c r="GF115" i="17" s="1"/>
  <c r="GG115" i="17" s="1"/>
  <c r="GH115" i="17" s="1"/>
  <c r="GI115" i="17" s="1"/>
  <c r="FI107" i="17"/>
  <c r="FJ107" i="17" s="1"/>
  <c r="FO107" i="17"/>
  <c r="GB144" i="17"/>
  <c r="GC144" i="17" s="1"/>
  <c r="GD144" i="17" s="1"/>
  <c r="GB152" i="17"/>
  <c r="GC152" i="17" s="1"/>
  <c r="GD152" i="17" s="1"/>
  <c r="FB59" i="3"/>
  <c r="FC59" i="3"/>
  <c r="FD59" i="3"/>
  <c r="FE59" i="3"/>
  <c r="FG59" i="3"/>
  <c r="FB54" i="3"/>
  <c r="FG54" i="3"/>
  <c r="FL54" i="3"/>
  <c r="FQ54" i="3"/>
  <c r="FR54" i="3"/>
  <c r="FV54" i="3"/>
  <c r="FX54" i="3"/>
  <c r="GA54" i="3"/>
  <c r="FD222" i="17"/>
  <c r="FE222" i="17" s="1"/>
  <c r="GA29" i="14"/>
  <c r="FV29" i="14"/>
  <c r="FQ29" i="14"/>
  <c r="FL29" i="14"/>
  <c r="FG29" i="14"/>
  <c r="FB29" i="14"/>
  <c r="EW29" i="14"/>
  <c r="GD54" i="3"/>
  <c r="FY54" i="3"/>
  <c r="FT29" i="14"/>
  <c r="FO29" i="14"/>
  <c r="FJ54" i="3"/>
  <c r="FD54" i="3"/>
  <c r="FH222" i="17" l="1"/>
  <c r="FI222" i="17" s="1"/>
  <c r="FJ222" i="17" s="1"/>
  <c r="FR107" i="17"/>
  <c r="FS107" i="17" s="1"/>
  <c r="FT107" i="17" s="1"/>
  <c r="FV107" i="17"/>
  <c r="GC54" i="3"/>
  <c r="FW54" i="3"/>
  <c r="GB54" i="3"/>
  <c r="FO54" i="3"/>
  <c r="FI54" i="3"/>
  <c r="FC54" i="3"/>
  <c r="FT54" i="3"/>
  <c r="FN54" i="3"/>
  <c r="FH54" i="3"/>
  <c r="FS54" i="3"/>
  <c r="FM54" i="3"/>
  <c r="EX84" i="42"/>
  <c r="EY84" i="42"/>
  <c r="GD29" i="14"/>
  <c r="FY29" i="14"/>
  <c r="FJ29" i="14"/>
  <c r="FD29" i="14"/>
  <c r="FH29" i="14"/>
  <c r="FN29" i="14"/>
  <c r="FI29" i="14"/>
  <c r="GB29" i="14"/>
  <c r="FW29" i="14"/>
  <c r="GC29" i="14"/>
  <c r="FR29" i="14"/>
  <c r="FX29" i="14"/>
  <c r="FM29" i="14"/>
  <c r="FS29" i="14"/>
  <c r="DM103" i="15"/>
  <c r="DN103" i="15"/>
  <c r="DO103" i="15"/>
  <c r="DP103" i="15"/>
  <c r="DR103" i="15"/>
  <c r="DS103" i="15"/>
  <c r="DT103" i="15"/>
  <c r="DU103" i="15"/>
  <c r="DW103" i="15"/>
  <c r="DX103" i="15"/>
  <c r="DY103" i="15"/>
  <c r="DZ103" i="15"/>
  <c r="EB103" i="15"/>
  <c r="EC103" i="15"/>
  <c r="ED103" i="15"/>
  <c r="EE103" i="15"/>
  <c r="EG103" i="15"/>
  <c r="EH103" i="15"/>
  <c r="EI103" i="15"/>
  <c r="EJ103" i="15"/>
  <c r="EL103" i="15"/>
  <c r="EM103" i="15"/>
  <c r="EN103" i="15"/>
  <c r="EO103" i="15"/>
  <c r="EQ103" i="15"/>
  <c r="ER103" i="15"/>
  <c r="ES103" i="15"/>
  <c r="ET103" i="15"/>
  <c r="EV103" i="15"/>
  <c r="DJ104" i="15"/>
  <c r="DK104" i="15"/>
  <c r="DO104" i="15"/>
  <c r="DP104" i="15"/>
  <c r="DT104" i="15"/>
  <c r="DU104" i="15"/>
  <c r="DY104" i="15"/>
  <c r="DZ104" i="15"/>
  <c r="ED104" i="15"/>
  <c r="EE104" i="15"/>
  <c r="EI104" i="15"/>
  <c r="EJ104" i="15"/>
  <c r="EN104" i="15"/>
  <c r="EO104" i="15"/>
  <c r="ES104" i="15"/>
  <c r="ET104" i="15"/>
  <c r="FW144" i="17"/>
  <c r="FX144" i="17" s="1"/>
  <c r="FY144" i="17" s="1"/>
  <c r="FR144" i="17"/>
  <c r="FS144" i="17" s="1"/>
  <c r="FT144" i="17" s="1"/>
  <c r="FM144" i="17"/>
  <c r="FN144" i="17" s="1"/>
  <c r="FO144" i="17" s="1"/>
  <c r="FH144" i="17"/>
  <c r="FI144" i="17" s="1"/>
  <c r="FJ144" i="17" s="1"/>
  <c r="FW152" i="17"/>
  <c r="FX152" i="17" s="1"/>
  <c r="FY152" i="17" s="1"/>
  <c r="FR152" i="17"/>
  <c r="FS152" i="17" s="1"/>
  <c r="FT152" i="17" s="1"/>
  <c r="FM152" i="17"/>
  <c r="FN152" i="17" s="1"/>
  <c r="FO152" i="17" s="1"/>
  <c r="FH152" i="17"/>
  <c r="FI152" i="17" s="1"/>
  <c r="FJ152" i="17" s="1"/>
  <c r="FC152" i="17"/>
  <c r="FD152" i="17" s="1"/>
  <c r="FE152" i="17" s="1"/>
  <c r="FL222" i="17" l="1"/>
  <c r="FM222" i="17" s="1"/>
  <c r="FN222" i="17" s="1"/>
  <c r="FO222" i="17" s="1"/>
  <c r="EY85" i="42"/>
  <c r="EY86" i="42"/>
  <c r="EX85" i="42"/>
  <c r="FW107" i="17"/>
  <c r="FX107" i="17" s="1"/>
  <c r="FY107" i="17" s="1"/>
  <c r="GA107" i="17"/>
  <c r="FE29" i="14"/>
  <c r="FE54" i="3"/>
  <c r="FC221" i="17"/>
  <c r="FC84" i="42" s="1"/>
  <c r="FD221" i="17"/>
  <c r="FD84" i="42" s="1"/>
  <c r="GB107" i="17" l="1"/>
  <c r="GC107" i="17" s="1"/>
  <c r="GD107" i="17" s="1"/>
  <c r="GF107" i="17"/>
  <c r="GG107" i="17" s="1"/>
  <c r="GH107" i="17" s="1"/>
  <c r="GI107" i="17" s="1"/>
  <c r="FQ222" i="17"/>
  <c r="FR222" i="17" s="1"/>
  <c r="FS222" i="17" s="1"/>
  <c r="FT222" i="17" s="1"/>
  <c r="FV222" i="17" s="1"/>
  <c r="FW222" i="17" s="1"/>
  <c r="FX222" i="17" s="1"/>
  <c r="FY222" i="17" s="1"/>
  <c r="GA222" i="17" s="1"/>
  <c r="GB222" i="17" s="1"/>
  <c r="GC222" i="17" s="1"/>
  <c r="GD222" i="17" s="1"/>
  <c r="GF222" i="17" s="1"/>
  <c r="GG222" i="17" s="1"/>
  <c r="GH222" i="17" s="1"/>
  <c r="GI222" i="17" s="1"/>
  <c r="FH221" i="17"/>
  <c r="FC224" i="17"/>
  <c r="FI221" i="17"/>
  <c r="FI84" i="42" s="1"/>
  <c r="FD225" i="17"/>
  <c r="FD223" i="17"/>
  <c r="FD224" i="17"/>
  <c r="FH84" i="42" l="1"/>
  <c r="FH224" i="17"/>
  <c r="FM221" i="17"/>
  <c r="FN221" i="17"/>
  <c r="FN84" i="42" s="1"/>
  <c r="FI225" i="17"/>
  <c r="FI223" i="17"/>
  <c r="FI224" i="17"/>
  <c r="FR221" i="17" l="1"/>
  <c r="FR84" i="42" s="1"/>
  <c r="FM84" i="42"/>
  <c r="FM224" i="17"/>
  <c r="FS221" i="17"/>
  <c r="FS84" i="42" s="1"/>
  <c r="FN225" i="17"/>
  <c r="FN223" i="17"/>
  <c r="FN224" i="17"/>
  <c r="FW221" i="17" l="1"/>
  <c r="GB221" i="17" s="1"/>
  <c r="GG221" i="17" s="1"/>
  <c r="FR224" i="17"/>
  <c r="FX221" i="17"/>
  <c r="FS225" i="17"/>
  <c r="FS223" i="17"/>
  <c r="FS224" i="17"/>
  <c r="GG224" i="17" l="1"/>
  <c r="GG84" i="42"/>
  <c r="FW224" i="17"/>
  <c r="FW84" i="42"/>
  <c r="GB84" i="42"/>
  <c r="GG85" i="42" s="1"/>
  <c r="GB224" i="17"/>
  <c r="GC221" i="17"/>
  <c r="FX84" i="42"/>
  <c r="FX225" i="17"/>
  <c r="FX223" i="17"/>
  <c r="FX224" i="17"/>
  <c r="GC84" i="42" l="1"/>
  <c r="GH221" i="17"/>
  <c r="GC224" i="17"/>
  <c r="GC225" i="17"/>
  <c r="GC223" i="17"/>
  <c r="ET237" i="14"/>
  <c r="EM237" i="14"/>
  <c r="ET235" i="14"/>
  <c r="EU230" i="14"/>
  <c r="ET230" i="14"/>
  <c r="ES230" i="14"/>
  <c r="ER230" i="14"/>
  <c r="EP230" i="14"/>
  <c r="EO230" i="14"/>
  <c r="EN230" i="14"/>
  <c r="EM230" i="14"/>
  <c r="EK230" i="14"/>
  <c r="EJ230" i="14"/>
  <c r="EI230" i="14"/>
  <c r="EH230" i="14"/>
  <c r="EF230" i="14"/>
  <c r="EE230" i="14"/>
  <c r="ED230" i="14"/>
  <c r="EC230" i="14"/>
  <c r="EA230" i="14"/>
  <c r="DZ230" i="14"/>
  <c r="DY230" i="14"/>
  <c r="DX230" i="14"/>
  <c r="DV230" i="14"/>
  <c r="DU230" i="14"/>
  <c r="DT230" i="14"/>
  <c r="DS230" i="14"/>
  <c r="DQ230" i="14"/>
  <c r="DP230" i="14"/>
  <c r="DO230" i="14"/>
  <c r="DN230" i="14"/>
  <c r="EU229" i="14"/>
  <c r="ET229" i="14"/>
  <c r="ES229" i="14"/>
  <c r="ER229" i="14"/>
  <c r="EP229" i="14"/>
  <c r="EO229" i="14"/>
  <c r="EN229" i="14"/>
  <c r="EM229" i="14"/>
  <c r="EK229" i="14"/>
  <c r="EJ229" i="14"/>
  <c r="EI229" i="14"/>
  <c r="EH229" i="14"/>
  <c r="EF229" i="14"/>
  <c r="EE229" i="14"/>
  <c r="ED229" i="14"/>
  <c r="EC229" i="14"/>
  <c r="EA229" i="14"/>
  <c r="DZ229" i="14"/>
  <c r="DY229" i="14"/>
  <c r="DX229" i="14"/>
  <c r="DV229" i="14"/>
  <c r="DU229" i="14"/>
  <c r="DT229" i="14"/>
  <c r="DS229" i="14"/>
  <c r="DQ229" i="14"/>
  <c r="EU228" i="14"/>
  <c r="ET228" i="14"/>
  <c r="ES228" i="14"/>
  <c r="ER228" i="14"/>
  <c r="EP228" i="14"/>
  <c r="EO228" i="14"/>
  <c r="EN228" i="14"/>
  <c r="EM228" i="14"/>
  <c r="EK228" i="14"/>
  <c r="EJ228" i="14"/>
  <c r="EI228" i="14"/>
  <c r="EH228" i="14"/>
  <c r="EF228" i="14"/>
  <c r="EE228" i="14"/>
  <c r="ED228" i="14"/>
  <c r="EC228" i="14"/>
  <c r="EA228" i="14"/>
  <c r="DZ228" i="14"/>
  <c r="DY228" i="14"/>
  <c r="DX228" i="14"/>
  <c r="DV228" i="14"/>
  <c r="DU228" i="14"/>
  <c r="DT228" i="14"/>
  <c r="DS228" i="14"/>
  <c r="DQ228" i="14"/>
  <c r="DP228" i="14"/>
  <c r="DO228" i="14"/>
  <c r="DN228" i="14"/>
  <c r="EP227" i="14"/>
  <c r="EV226" i="14"/>
  <c r="EQ226" i="14"/>
  <c r="EL226" i="14"/>
  <c r="EG226" i="14"/>
  <c r="EB226" i="14"/>
  <c r="DW226" i="14"/>
  <c r="DR226" i="14"/>
  <c r="DM226" i="14"/>
  <c r="DK226" i="14"/>
  <c r="DJ226" i="14"/>
  <c r="DO229" i="14" s="1"/>
  <c r="DI226" i="14"/>
  <c r="DN229" i="14" s="1"/>
  <c r="EI215" i="14"/>
  <c r="EJ215" i="14" s="1"/>
  <c r="GA110" i="15"/>
  <c r="GB109" i="15"/>
  <c r="GC109" i="15" s="1"/>
  <c r="GC119" i="15" s="1"/>
  <c r="FV110" i="15"/>
  <c r="FW109" i="15"/>
  <c r="FX109" i="15" s="1"/>
  <c r="FY109" i="15" s="1"/>
  <c r="FQ110" i="15"/>
  <c r="FR109" i="15"/>
  <c r="FS109" i="15" s="1"/>
  <c r="FS119" i="15" s="1"/>
  <c r="FM109" i="15"/>
  <c r="FM119" i="15" s="1"/>
  <c r="FH120" i="15"/>
  <c r="EW120" i="15"/>
  <c r="EW119" i="15"/>
  <c r="EV119" i="15"/>
  <c r="FH28" i="15"/>
  <c r="FG29" i="15"/>
  <c r="FD29" i="15"/>
  <c r="FB29" i="15"/>
  <c r="EW29" i="15"/>
  <c r="GH223" i="17" l="1"/>
  <c r="GH224" i="17"/>
  <c r="GH225" i="17"/>
  <c r="GH84" i="42"/>
  <c r="GH85" i="42" s="1"/>
  <c r="FM110" i="15"/>
  <c r="FM52" i="18" s="1"/>
  <c r="FL52" i="18"/>
  <c r="GB110" i="15"/>
  <c r="GB52" i="18" s="1"/>
  <c r="GA52" i="18"/>
  <c r="FR110" i="15"/>
  <c r="FR52" i="18" s="1"/>
  <c r="FQ52" i="18"/>
  <c r="FW110" i="15"/>
  <c r="FW52" i="18" s="1"/>
  <c r="FV52" i="18"/>
  <c r="FI28" i="15"/>
  <c r="FI59" i="3" s="1"/>
  <c r="FH59" i="3"/>
  <c r="GB119" i="15"/>
  <c r="FD119" i="15"/>
  <c r="FH29" i="15"/>
  <c r="DK230" i="14"/>
  <c r="EL229" i="14"/>
  <c r="EH215" i="14"/>
  <c r="EV230" i="14"/>
  <c r="EB230" i="14"/>
  <c r="DL230" i="14"/>
  <c r="DW230" i="14"/>
  <c r="EL227" i="14"/>
  <c r="DJ230" i="14"/>
  <c r="EG227" i="14"/>
  <c r="DL228" i="14"/>
  <c r="EG229" i="14"/>
  <c r="DR229" i="14"/>
  <c r="DR227" i="14"/>
  <c r="DM230" i="14"/>
  <c r="DR230" i="14"/>
  <c r="EQ229" i="14"/>
  <c r="EV227" i="14"/>
  <c r="EQ227" i="14"/>
  <c r="EQ230" i="14"/>
  <c r="EV229" i="14"/>
  <c r="DP229" i="14"/>
  <c r="EB229" i="14"/>
  <c r="DW229" i="14"/>
  <c r="EL230" i="14"/>
  <c r="DW227" i="14"/>
  <c r="EG230" i="14"/>
  <c r="EB227" i="14"/>
  <c r="DJ228" i="14"/>
  <c r="DK228" i="14"/>
  <c r="FW119" i="15"/>
  <c r="FR119" i="15"/>
  <c r="FN109" i="15"/>
  <c r="FN119" i="15" s="1"/>
  <c r="GD109" i="15"/>
  <c r="GA119" i="15"/>
  <c r="FY119" i="15"/>
  <c r="FX119" i="15"/>
  <c r="FT109" i="15"/>
  <c r="FH119" i="15"/>
  <c r="FM120" i="15" l="1"/>
  <c r="FX110" i="15"/>
  <c r="FX52" i="18" s="1"/>
  <c r="FN110" i="15"/>
  <c r="FN52" i="18" s="1"/>
  <c r="GH86" i="42"/>
  <c r="GD119" i="15"/>
  <c r="GF119" i="15"/>
  <c r="GC110" i="15"/>
  <c r="GC52" i="18" s="1"/>
  <c r="FW120" i="15"/>
  <c r="GB120" i="15"/>
  <c r="FS110" i="15"/>
  <c r="FS52" i="18" s="1"/>
  <c r="FR120" i="15"/>
  <c r="FI29" i="15"/>
  <c r="FJ28" i="15"/>
  <c r="FG119" i="15"/>
  <c r="FO109" i="15"/>
  <c r="FQ119" i="15" s="1"/>
  <c r="FD120" i="15"/>
  <c r="EY208" i="14"/>
  <c r="FV119" i="15"/>
  <c r="FT119" i="15"/>
  <c r="FI120" i="15"/>
  <c r="FI119" i="15"/>
  <c r="FJ59" i="3" l="1"/>
  <c r="FL28" i="15"/>
  <c r="FX120" i="15"/>
  <c r="FY110" i="15"/>
  <c r="FY52" i="18" s="1"/>
  <c r="FN120" i="15"/>
  <c r="FO110" i="15"/>
  <c r="FO52" i="18" s="1"/>
  <c r="GC120" i="15"/>
  <c r="GD110" i="15"/>
  <c r="GF120" i="15" s="1"/>
  <c r="FO119" i="15"/>
  <c r="FT110" i="15"/>
  <c r="FT52" i="18" s="1"/>
  <c r="FS120" i="15"/>
  <c r="FJ29" i="15"/>
  <c r="FE119" i="15"/>
  <c r="FE120" i="15"/>
  <c r="FG120" i="15"/>
  <c r="GA120" i="15"/>
  <c r="FJ119" i="15"/>
  <c r="FL119" i="15"/>
  <c r="FJ120" i="15"/>
  <c r="FL120" i="15"/>
  <c r="FL59" i="3" l="1"/>
  <c r="FL29" i="15"/>
  <c r="FM28" i="15"/>
  <c r="FY120" i="15"/>
  <c r="FO120" i="15"/>
  <c r="FQ120" i="15"/>
  <c r="GD120" i="15"/>
  <c r="GD52" i="18"/>
  <c r="EX208" i="14"/>
  <c r="EW210" i="14"/>
  <c r="ER210" i="14"/>
  <c r="FV120" i="15"/>
  <c r="FT120" i="15"/>
  <c r="FN28" i="15" l="1"/>
  <c r="FM29" i="15"/>
  <c r="FM59" i="3"/>
  <c r="FB210" i="14"/>
  <c r="FG210" i="14" s="1"/>
  <c r="FL210" i="14" s="1"/>
  <c r="FQ210" i="14" s="1"/>
  <c r="FV210" i="14" s="1"/>
  <c r="GA210" i="14" s="1"/>
  <c r="GF210" i="14" s="1"/>
  <c r="EW211" i="14"/>
  <c r="ES208" i="14"/>
  <c r="ET208" i="14"/>
  <c r="ER208" i="14"/>
  <c r="FN59" i="3" l="1"/>
  <c r="FN29" i="15"/>
  <c r="FO28" i="15"/>
  <c r="EZ206" i="14"/>
  <c r="EW208" i="14"/>
  <c r="EU208" i="14"/>
  <c r="EV208" i="14" s="1"/>
  <c r="EV206" i="14"/>
  <c r="FO59" i="3" l="1"/>
  <c r="FQ28" i="15"/>
  <c r="FO29" i="15"/>
  <c r="EZ208" i="14"/>
  <c r="FA208" i="14" s="1"/>
  <c r="FA206" i="14"/>
  <c r="EV207" i="14"/>
  <c r="FQ59" i="3" l="1"/>
  <c r="FQ29" i="15"/>
  <c r="FR28" i="15"/>
  <c r="FA207" i="14"/>
  <c r="FB206" i="14"/>
  <c r="FB195" i="14" s="1"/>
  <c r="FB196" i="14" s="1"/>
  <c r="FB197" i="14" s="1"/>
  <c r="FR59" i="3" l="1"/>
  <c r="FR29" i="15"/>
  <c r="FS28" i="15"/>
  <c r="FC206" i="14"/>
  <c r="FB207" i="14"/>
  <c r="FS59" i="3" l="1"/>
  <c r="FS29" i="15"/>
  <c r="FT28" i="15"/>
  <c r="FC207" i="14"/>
  <c r="FD206" i="14"/>
  <c r="FT59" i="3" l="1"/>
  <c r="FV28" i="15"/>
  <c r="FT29" i="15"/>
  <c r="FE206" i="14"/>
  <c r="FD207" i="14"/>
  <c r="FV59" i="3" l="1"/>
  <c r="FW28" i="15"/>
  <c r="FV29" i="15"/>
  <c r="FE207" i="14"/>
  <c r="FF206" i="14"/>
  <c r="FW29" i="15" l="1"/>
  <c r="FX28" i="15"/>
  <c r="FW59" i="3"/>
  <c r="FG206" i="14"/>
  <c r="FG195" i="14" s="1"/>
  <c r="FG196" i="14" s="1"/>
  <c r="FF207" i="14"/>
  <c r="FX59" i="3" l="1"/>
  <c r="FY28" i="15"/>
  <c r="FX29" i="15"/>
  <c r="FG207" i="14"/>
  <c r="FH206" i="14"/>
  <c r="CD54" i="30"/>
  <c r="CD53" i="30"/>
  <c r="CI54" i="30"/>
  <c r="CI53" i="30"/>
  <c r="CN54" i="30"/>
  <c r="CN53" i="30"/>
  <c r="CS54" i="30"/>
  <c r="CS53" i="30"/>
  <c r="CX54" i="30"/>
  <c r="CX53" i="30"/>
  <c r="DC54" i="30"/>
  <c r="DC53" i="30"/>
  <c r="DH54" i="30"/>
  <c r="DM54" i="30"/>
  <c r="DR54" i="30"/>
  <c r="DW54" i="30"/>
  <c r="EB54" i="30"/>
  <c r="DH53" i="30"/>
  <c r="DH52" i="30" s="1"/>
  <c r="DM53" i="30"/>
  <c r="DM52" i="30" s="1"/>
  <c r="FY59" i="3" l="1"/>
  <c r="GA28" i="15"/>
  <c r="FY29" i="15"/>
  <c r="FI206" i="14"/>
  <c r="FH207" i="14"/>
  <c r="DH48" i="30"/>
  <c r="DH50" i="30"/>
  <c r="DH44" i="30"/>
  <c r="DH46" i="30"/>
  <c r="CD46" i="30"/>
  <c r="CD48" i="30"/>
  <c r="CD50" i="30"/>
  <c r="CD52" i="30"/>
  <c r="CD44" i="30"/>
  <c r="CI44" i="30"/>
  <c r="CI48" i="30"/>
  <c r="CI50" i="30"/>
  <c r="CI52" i="30"/>
  <c r="CI46" i="30"/>
  <c r="CN44" i="30"/>
  <c r="CN48" i="30"/>
  <c r="CS48" i="30"/>
  <c r="CS50" i="30"/>
  <c r="CS52" i="30"/>
  <c r="CN50" i="30"/>
  <c r="CN52" i="30"/>
  <c r="CN46" i="30"/>
  <c r="CS44" i="30"/>
  <c r="CS46" i="30"/>
  <c r="CX48" i="30"/>
  <c r="CX50" i="30"/>
  <c r="CX52" i="30"/>
  <c r="CX44" i="30"/>
  <c r="CX46" i="30"/>
  <c r="DC44" i="30"/>
  <c r="DC46" i="30"/>
  <c r="DC48" i="30"/>
  <c r="DC50" i="30"/>
  <c r="DC52" i="30"/>
  <c r="DM44" i="30"/>
  <c r="DM46" i="30"/>
  <c r="DM48" i="30"/>
  <c r="DM50" i="30"/>
  <c r="GA59" i="3" l="1"/>
  <c r="GA29" i="15"/>
  <c r="GB28" i="15"/>
  <c r="FI207" i="14"/>
  <c r="FJ206" i="14"/>
  <c r="DR53" i="30"/>
  <c r="DW53" i="30"/>
  <c r="EB53" i="30"/>
  <c r="EG53" i="30"/>
  <c r="EL53" i="30"/>
  <c r="EQ53" i="30"/>
  <c r="EV53" i="30"/>
  <c r="EV52" i="30" s="1"/>
  <c r="GB59" i="3" l="1"/>
  <c r="GB29" i="15"/>
  <c r="GC28" i="15"/>
  <c r="FK206" i="14"/>
  <c r="FJ207" i="14"/>
  <c r="DW52" i="30"/>
  <c r="DR52" i="30"/>
  <c r="EV44" i="30"/>
  <c r="DW44" i="30"/>
  <c r="EV46" i="30"/>
  <c r="DW46" i="30"/>
  <c r="EV48" i="30"/>
  <c r="DW48" i="30"/>
  <c r="EV50" i="30"/>
  <c r="DR48" i="30"/>
  <c r="DR44" i="30"/>
  <c r="DR46" i="30"/>
  <c r="DR50" i="30"/>
  <c r="DW50" i="30"/>
  <c r="EB48" i="30"/>
  <c r="EB50" i="30"/>
  <c r="EB52" i="30"/>
  <c r="EB44" i="30"/>
  <c r="EB46" i="30"/>
  <c r="EG48" i="30"/>
  <c r="EG50" i="30"/>
  <c r="EG52" i="30"/>
  <c r="EG44" i="30"/>
  <c r="EG46" i="30"/>
  <c r="EL48" i="30"/>
  <c r="EL50" i="30"/>
  <c r="EL52" i="30"/>
  <c r="EL44" i="30"/>
  <c r="EL46" i="30"/>
  <c r="EQ48" i="30"/>
  <c r="EQ50" i="30"/>
  <c r="EQ52" i="30"/>
  <c r="EQ44" i="30"/>
  <c r="EQ46" i="30"/>
  <c r="DI105" i="15"/>
  <c r="DJ105" i="15"/>
  <c r="DK105" i="15"/>
  <c r="DN105" i="15"/>
  <c r="DO105" i="15"/>
  <c r="DP105" i="15"/>
  <c r="DS105" i="15"/>
  <c r="DT105" i="15"/>
  <c r="DU105" i="15"/>
  <c r="DX105" i="15"/>
  <c r="DY105" i="15"/>
  <c r="DZ105" i="15"/>
  <c r="EC105" i="15"/>
  <c r="ED105" i="15"/>
  <c r="EE105" i="15"/>
  <c r="EH105" i="15"/>
  <c r="EI105" i="15"/>
  <c r="EJ105" i="15"/>
  <c r="EM105" i="15"/>
  <c r="EN105" i="15"/>
  <c r="EO105" i="15"/>
  <c r="ER105" i="15"/>
  <c r="ES105" i="15"/>
  <c r="ET105" i="15"/>
  <c r="EM204" i="15"/>
  <c r="ET204" i="15"/>
  <c r="ET202" i="15"/>
  <c r="GC59" i="3" l="1"/>
  <c r="GC29" i="15"/>
  <c r="GD28" i="15"/>
  <c r="FK207" i="14"/>
  <c r="FL206" i="14"/>
  <c r="FL195" i="14" s="1"/>
  <c r="FL196" i="14" s="1"/>
  <c r="EU198" i="15"/>
  <c r="ET198" i="15"/>
  <c r="ES198" i="15"/>
  <c r="ER198" i="15"/>
  <c r="EP198" i="15"/>
  <c r="EO198" i="15"/>
  <c r="EN198" i="15"/>
  <c r="EM198" i="15"/>
  <c r="EK198" i="15"/>
  <c r="EJ198" i="15"/>
  <c r="EI198" i="15"/>
  <c r="EH198" i="15"/>
  <c r="EF198" i="15"/>
  <c r="EE198" i="15"/>
  <c r="ED198" i="15"/>
  <c r="EC198" i="15"/>
  <c r="EA198" i="15"/>
  <c r="DZ198" i="15"/>
  <c r="DY198" i="15"/>
  <c r="DX198" i="15"/>
  <c r="DV198" i="15"/>
  <c r="DU198" i="15"/>
  <c r="DT198" i="15"/>
  <c r="DS198" i="15"/>
  <c r="DQ198" i="15"/>
  <c r="DP198" i="15"/>
  <c r="DO198" i="15"/>
  <c r="DN198" i="15"/>
  <c r="EU197" i="15"/>
  <c r="ET197" i="15"/>
  <c r="ES197" i="15"/>
  <c r="ER197" i="15"/>
  <c r="EP197" i="15"/>
  <c r="EO197" i="15"/>
  <c r="EN197" i="15"/>
  <c r="EM197" i="15"/>
  <c r="EK197" i="15"/>
  <c r="EJ197" i="15"/>
  <c r="EI197" i="15"/>
  <c r="EH197" i="15"/>
  <c r="EF197" i="15"/>
  <c r="EE197" i="15"/>
  <c r="ED197" i="15"/>
  <c r="EC197" i="15"/>
  <c r="EA197" i="15"/>
  <c r="DZ197" i="15"/>
  <c r="DY197" i="15"/>
  <c r="DX197" i="15"/>
  <c r="DV197" i="15"/>
  <c r="DU197" i="15"/>
  <c r="DT197" i="15"/>
  <c r="DS197" i="15"/>
  <c r="DQ197" i="15"/>
  <c r="EU196" i="15"/>
  <c r="ET196" i="15"/>
  <c r="ES196" i="15"/>
  <c r="ER196" i="15"/>
  <c r="EP196" i="15"/>
  <c r="EO196" i="15"/>
  <c r="EN196" i="15"/>
  <c r="EM196" i="15"/>
  <c r="EK196" i="15"/>
  <c r="EJ196" i="15"/>
  <c r="EI196" i="15"/>
  <c r="EH196" i="15"/>
  <c r="EF196" i="15"/>
  <c r="EE196" i="15"/>
  <c r="ED196" i="15"/>
  <c r="EC196" i="15"/>
  <c r="EA196" i="15"/>
  <c r="DZ196" i="15"/>
  <c r="DY196" i="15"/>
  <c r="DX196" i="15"/>
  <c r="DV196" i="15"/>
  <c r="DU196" i="15"/>
  <c r="DT196" i="15"/>
  <c r="DS196" i="15"/>
  <c r="DQ196" i="15"/>
  <c r="DP196" i="15"/>
  <c r="DO196" i="15"/>
  <c r="DN196" i="15"/>
  <c r="EP195" i="15"/>
  <c r="EV194" i="15"/>
  <c r="EQ194" i="15"/>
  <c r="EL194" i="15"/>
  <c r="EG194" i="15"/>
  <c r="EB194" i="15"/>
  <c r="DW194" i="15"/>
  <c r="DR194" i="15"/>
  <c r="DM194" i="15"/>
  <c r="DM198" i="15" s="1"/>
  <c r="DK194" i="15"/>
  <c r="DL198" i="15" s="1"/>
  <c r="DJ194" i="15"/>
  <c r="DO197" i="15" s="1"/>
  <c r="DI194" i="15"/>
  <c r="DN197" i="15" s="1"/>
  <c r="ES163" i="15"/>
  <c r="ES164" i="15" s="1"/>
  <c r="EU120" i="15"/>
  <c r="ET120" i="15"/>
  <c r="ES120" i="15"/>
  <c r="EU119" i="15"/>
  <c r="ET119" i="15"/>
  <c r="ES119" i="15"/>
  <c r="FM44" i="8"/>
  <c r="FN44" i="8" s="1"/>
  <c r="FO44" i="8" s="1"/>
  <c r="GD59" i="3" l="1"/>
  <c r="GF28" i="15"/>
  <c r="GD29" i="15"/>
  <c r="FM206" i="14"/>
  <c r="FL207" i="14"/>
  <c r="EQ195" i="15"/>
  <c r="EB197" i="15"/>
  <c r="EL195" i="15"/>
  <c r="EQ198" i="15"/>
  <c r="DR198" i="15"/>
  <c r="EV198" i="15"/>
  <c r="DW198" i="15"/>
  <c r="DP197" i="15"/>
  <c r="EB198" i="15"/>
  <c r="EG197" i="15"/>
  <c r="DR195" i="15"/>
  <c r="DW197" i="15"/>
  <c r="EL198" i="15"/>
  <c r="DW195" i="15"/>
  <c r="EV195" i="15"/>
  <c r="DR197" i="15"/>
  <c r="EV197" i="15"/>
  <c r="EG198" i="15"/>
  <c r="EB195" i="15"/>
  <c r="DJ196" i="15"/>
  <c r="EQ197" i="15"/>
  <c r="DJ198" i="15"/>
  <c r="DK196" i="15"/>
  <c r="EL197" i="15"/>
  <c r="DK198" i="15"/>
  <c r="EG195" i="15"/>
  <c r="DL196" i="15"/>
  <c r="GG28" i="15" l="1"/>
  <c r="GF29" i="15"/>
  <c r="GF59" i="3"/>
  <c r="FM207" i="14"/>
  <c r="FN206" i="14"/>
  <c r="EU31" i="8"/>
  <c r="EW32" i="8" s="1"/>
  <c r="EU131" i="3"/>
  <c r="EU130" i="3"/>
  <c r="EU129" i="3"/>
  <c r="EU128" i="3"/>
  <c r="EU127" i="3"/>
  <c r="EU126" i="3"/>
  <c r="EU216" i="3" s="1"/>
  <c r="EU70" i="17"/>
  <c r="EU62" i="17"/>
  <c r="EU62" i="14"/>
  <c r="EU62" i="15"/>
  <c r="EU40" i="18"/>
  <c r="FT136" i="5"/>
  <c r="FS136" i="5"/>
  <c r="FR136" i="5"/>
  <c r="FQ136" i="5"/>
  <c r="EV202" i="3"/>
  <c r="EV201" i="3"/>
  <c r="EV200" i="3"/>
  <c r="EV199" i="3"/>
  <c r="EV198" i="3"/>
  <c r="EV197" i="3"/>
  <c r="EV196" i="3"/>
  <c r="EV195" i="3"/>
  <c r="EV194" i="3"/>
  <c r="EV163" i="3"/>
  <c r="EV162" i="3"/>
  <c r="EV161" i="3"/>
  <c r="EV160" i="3"/>
  <c r="EV159" i="3"/>
  <c r="EV158" i="3"/>
  <c r="EV157" i="3"/>
  <c r="EV156" i="3"/>
  <c r="EV155" i="3"/>
  <c r="EV176" i="3"/>
  <c r="EV175" i="3"/>
  <c r="EV174" i="3"/>
  <c r="EV173" i="3"/>
  <c r="EV172" i="3"/>
  <c r="EV171" i="3"/>
  <c r="EV170" i="3"/>
  <c r="EV169" i="3"/>
  <c r="EV168" i="3"/>
  <c r="EV181" i="3"/>
  <c r="EV189" i="3"/>
  <c r="EV188" i="3"/>
  <c r="EV187" i="3"/>
  <c r="EV186" i="3"/>
  <c r="EV185" i="3"/>
  <c r="EV184" i="3"/>
  <c r="EV183" i="3"/>
  <c r="EV182" i="3"/>
  <c r="EU238" i="17"/>
  <c r="EU110" i="14"/>
  <c r="EU192" i="17"/>
  <c r="EU135" i="17"/>
  <c r="EU89" i="17"/>
  <c r="EU99" i="15"/>
  <c r="EU224" i="15"/>
  <c r="EZ228" i="15" s="1"/>
  <c r="EU347" i="14"/>
  <c r="EU312" i="14"/>
  <c r="EV273" i="14"/>
  <c r="FA274" i="14" s="1"/>
  <c r="GH28" i="15" l="1"/>
  <c r="GG59" i="3"/>
  <c r="GG29" i="15"/>
  <c r="EZ316" i="14"/>
  <c r="FO206" i="14"/>
  <c r="FN207" i="14"/>
  <c r="EU39" i="42"/>
  <c r="EU42" i="42" s="1"/>
  <c r="EZ351" i="14"/>
  <c r="EU69" i="42"/>
  <c r="EU71" i="42" s="1"/>
  <c r="EZ93" i="17"/>
  <c r="EW276" i="14"/>
  <c r="FA276" i="14" s="1"/>
  <c r="EU221" i="3"/>
  <c r="EU226" i="3" s="1"/>
  <c r="EU59" i="42"/>
  <c r="EU62" i="42" s="1"/>
  <c r="EU232" i="15"/>
  <c r="EZ233" i="15" s="1"/>
  <c r="EU34" i="42"/>
  <c r="EW227" i="15"/>
  <c r="EW229" i="15"/>
  <c r="EU219" i="3"/>
  <c r="EV221" i="17"/>
  <c r="EV84" i="42" s="1"/>
  <c r="EZ84" i="42"/>
  <c r="EU105" i="15"/>
  <c r="EU104" i="15"/>
  <c r="GI28" i="15" l="1"/>
  <c r="GH59" i="3"/>
  <c r="GH29" i="15"/>
  <c r="FO207" i="14"/>
  <c r="FP206" i="14"/>
  <c r="EU72" i="42"/>
  <c r="EU41" i="42"/>
  <c r="EZ85" i="42"/>
  <c r="EZ86" i="42"/>
  <c r="EU61" i="42"/>
  <c r="EV85" i="42"/>
  <c r="EU37" i="42"/>
  <c r="EU36" i="42"/>
  <c r="FE221" i="17"/>
  <c r="FE84" i="42" s="1"/>
  <c r="EU45" i="3"/>
  <c r="EU24" i="3"/>
  <c r="EU44" i="2"/>
  <c r="ET44" i="2"/>
  <c r="ES44" i="2"/>
  <c r="ER44" i="2"/>
  <c r="EP44" i="2"/>
  <c r="EO44" i="2"/>
  <c r="EN44" i="2"/>
  <c r="EM44" i="2"/>
  <c r="EK44" i="2"/>
  <c r="EJ44" i="2"/>
  <c r="EI44" i="2"/>
  <c r="EH44" i="2"/>
  <c r="EF44" i="2"/>
  <c r="EE44" i="2"/>
  <c r="ED44" i="2"/>
  <c r="EC44" i="2"/>
  <c r="EA44" i="2"/>
  <c r="DZ44" i="2"/>
  <c r="DY44" i="2"/>
  <c r="DX44" i="2"/>
  <c r="DV44" i="2"/>
  <c r="DU44" i="2"/>
  <c r="DT44" i="2"/>
  <c r="DS44" i="2"/>
  <c r="DQ44" i="2"/>
  <c r="DP44" i="2"/>
  <c r="DO44" i="2"/>
  <c r="EU43" i="2"/>
  <c r="ET43" i="2"/>
  <c r="ES43" i="2"/>
  <c r="ER43" i="2"/>
  <c r="EP43" i="2"/>
  <c r="EO43" i="2"/>
  <c r="EN43" i="2"/>
  <c r="EM43" i="2"/>
  <c r="EK43" i="2"/>
  <c r="EJ43" i="2"/>
  <c r="EI43" i="2"/>
  <c r="EH43" i="2"/>
  <c r="EF43" i="2"/>
  <c r="EE43" i="2"/>
  <c r="ED43" i="2"/>
  <c r="EC43" i="2"/>
  <c r="EA43" i="2"/>
  <c r="DZ43" i="2"/>
  <c r="DY43" i="2"/>
  <c r="DX43" i="2"/>
  <c r="DV43" i="2"/>
  <c r="DU43" i="2"/>
  <c r="DT43" i="2"/>
  <c r="DS43" i="2"/>
  <c r="EU29" i="18"/>
  <c r="GI59" i="3" l="1"/>
  <c r="GI29" i="15"/>
  <c r="FQ206" i="14"/>
  <c r="FQ195" i="14" s="1"/>
  <c r="FQ196" i="14" s="1"/>
  <c r="FP207" i="14"/>
  <c r="EZ28" i="3"/>
  <c r="EU164" i="3"/>
  <c r="EZ165" i="3" s="1"/>
  <c r="EZ48" i="3"/>
  <c r="EZ46" i="3"/>
  <c r="EU105" i="3"/>
  <c r="EW27" i="3"/>
  <c r="EU110" i="3"/>
  <c r="EU100" i="3"/>
  <c r="EW29" i="3"/>
  <c r="EW47" i="3"/>
  <c r="EW49" i="3"/>
  <c r="FJ221" i="17"/>
  <c r="FJ84" i="42" s="1"/>
  <c r="FE223" i="17"/>
  <c r="FE224" i="17"/>
  <c r="FE225" i="17"/>
  <c r="EQ124" i="15"/>
  <c r="FQ207" i="14" l="1"/>
  <c r="FR206" i="14"/>
  <c r="FO221" i="17"/>
  <c r="FO84" i="42" s="1"/>
  <c r="FJ223" i="17"/>
  <c r="FJ224" i="17"/>
  <c r="FJ225" i="17"/>
  <c r="EQ126" i="15"/>
  <c r="FS206" i="14" l="1"/>
  <c r="FR207" i="14"/>
  <c r="EQ133" i="15"/>
  <c r="FT221" i="17"/>
  <c r="FT84" i="42" s="1"/>
  <c r="FO223" i="17"/>
  <c r="FO224" i="17"/>
  <c r="FO225" i="17"/>
  <c r="FS207" i="14" l="1"/>
  <c r="FT206" i="14"/>
  <c r="FY221" i="17"/>
  <c r="FY84" i="42" s="1"/>
  <c r="FT223" i="17"/>
  <c r="FT224" i="17"/>
  <c r="FT225" i="17"/>
  <c r="FT207" i="14" l="1"/>
  <c r="FU206" i="14"/>
  <c r="GD221" i="17"/>
  <c r="FY223" i="17"/>
  <c r="FY224" i="17"/>
  <c r="FY225" i="17"/>
  <c r="FU207" i="14" l="1"/>
  <c r="FV206" i="14"/>
  <c r="FV195" i="14" s="1"/>
  <c r="FV196" i="14" s="1"/>
  <c r="GD84" i="42"/>
  <c r="GI221" i="17"/>
  <c r="GD225" i="17"/>
  <c r="GD224" i="17"/>
  <c r="GD223" i="17"/>
  <c r="FV207" i="14" l="1"/>
  <c r="FW206" i="14"/>
  <c r="GI223" i="17"/>
  <c r="GI224" i="17"/>
  <c r="GI225" i="17"/>
  <c r="GI84" i="42"/>
  <c r="DS132" i="3"/>
  <c r="DT132" i="3"/>
  <c r="DU132" i="3"/>
  <c r="DV131" i="3"/>
  <c r="DV130" i="3"/>
  <c r="DV129" i="3"/>
  <c r="DV128" i="3"/>
  <c r="DV127" i="3"/>
  <c r="DV126" i="3"/>
  <c r="DW132" i="3"/>
  <c r="DX132" i="3"/>
  <c r="DY132" i="3"/>
  <c r="DZ132" i="3"/>
  <c r="EA131" i="3"/>
  <c r="EA130" i="3"/>
  <c r="EA129" i="3"/>
  <c r="EA128" i="3"/>
  <c r="EA127" i="3"/>
  <c r="EA126" i="3"/>
  <c r="EB132" i="3"/>
  <c r="EC132" i="3"/>
  <c r="ED132" i="3"/>
  <c r="EE132" i="3"/>
  <c r="EF131" i="3"/>
  <c r="EF130" i="3"/>
  <c r="EF129" i="3"/>
  <c r="EF128" i="3"/>
  <c r="EF127" i="3"/>
  <c r="EF126" i="3"/>
  <c r="EG132" i="3"/>
  <c r="EH132" i="3"/>
  <c r="EI132" i="3"/>
  <c r="EJ132" i="3"/>
  <c r="EK131" i="3"/>
  <c r="EK130" i="3"/>
  <c r="EK129" i="3"/>
  <c r="EK128" i="3"/>
  <c r="EK127" i="3"/>
  <c r="EK126" i="3"/>
  <c r="EK216" i="3" s="1"/>
  <c r="EL132" i="3"/>
  <c r="EP131" i="3"/>
  <c r="EP130" i="3"/>
  <c r="EP129" i="3"/>
  <c r="EP128" i="3"/>
  <c r="EP127" i="3"/>
  <c r="EP126" i="3"/>
  <c r="EQ132" i="3"/>
  <c r="EM132" i="3"/>
  <c r="ER132" i="3"/>
  <c r="EN132" i="3"/>
  <c r="ES132" i="3"/>
  <c r="EO132" i="3"/>
  <c r="ET132" i="3"/>
  <c r="FW207" i="14" l="1"/>
  <c r="FX206" i="14"/>
  <c r="GI86" i="42"/>
  <c r="GI85" i="42"/>
  <c r="EA221" i="3"/>
  <c r="EF221" i="3"/>
  <c r="EP221" i="3"/>
  <c r="EK221" i="3"/>
  <c r="EK226" i="3" s="1"/>
  <c r="DV221" i="3"/>
  <c r="DV222" i="3" s="1"/>
  <c r="EK219" i="3"/>
  <c r="EF216" i="3"/>
  <c r="EP216" i="3"/>
  <c r="DV216" i="3"/>
  <c r="EA216" i="3"/>
  <c r="EK132" i="3"/>
  <c r="EF132" i="3"/>
  <c r="EA132" i="3"/>
  <c r="DV132" i="3"/>
  <c r="DV226" i="3" l="1"/>
  <c r="DV227" i="3" s="1"/>
  <c r="EF222" i="3"/>
  <c r="FY206" i="14"/>
  <c r="FX207" i="14"/>
  <c r="EP226" i="3"/>
  <c r="EP227" i="3" s="1"/>
  <c r="EA226" i="3"/>
  <c r="EA227" i="3" s="1"/>
  <c r="EK217" i="3"/>
  <c r="EF226" i="3"/>
  <c r="EK227" i="3" s="1"/>
  <c r="EP222" i="3"/>
  <c r="EU222" i="3"/>
  <c r="EK222" i="3"/>
  <c r="EA222" i="3"/>
  <c r="EA219" i="3"/>
  <c r="EA217" i="3"/>
  <c r="EF219" i="3"/>
  <c r="EF217" i="3"/>
  <c r="DV219" i="3"/>
  <c r="DV217" i="3"/>
  <c r="EP219" i="3"/>
  <c r="EP217" i="3"/>
  <c r="EU217" i="3"/>
  <c r="GT13" i="11"/>
  <c r="GS13" i="11"/>
  <c r="GR13" i="11"/>
  <c r="GQ13" i="11"/>
  <c r="GP13" i="11"/>
  <c r="GO13" i="11"/>
  <c r="GN13" i="11"/>
  <c r="GM13" i="11"/>
  <c r="GL13" i="11"/>
  <c r="GK13" i="11"/>
  <c r="GJ13" i="11"/>
  <c r="GI13" i="11"/>
  <c r="GH13" i="11"/>
  <c r="GG13" i="11"/>
  <c r="GF13" i="11"/>
  <c r="GD122" i="18"/>
  <c r="GC122" i="18"/>
  <c r="GB122" i="18"/>
  <c r="GA122" i="18"/>
  <c r="GB113" i="18"/>
  <c r="GC113" i="18" s="1"/>
  <c r="GD234" i="15"/>
  <c r="GC234" i="15"/>
  <c r="GB234" i="15"/>
  <c r="GA234" i="15"/>
  <c r="GE232" i="15"/>
  <c r="GJ233" i="15" s="1"/>
  <c r="GD225" i="15"/>
  <c r="GC225" i="15"/>
  <c r="GB225" i="15"/>
  <c r="GB44" i="8"/>
  <c r="GC44" i="8" s="1"/>
  <c r="GD44" i="8" s="1"/>
  <c r="GB36" i="8"/>
  <c r="GC36" i="8" s="1"/>
  <c r="GB32" i="8"/>
  <c r="GC32" i="8" s="1"/>
  <c r="GD32" i="8" s="1"/>
  <c r="GB109" i="5"/>
  <c r="GC109" i="5" s="1"/>
  <c r="GD109" i="5" s="1"/>
  <c r="GB137" i="3"/>
  <c r="GB110" i="3"/>
  <c r="GB107" i="3" s="1"/>
  <c r="GG108" i="3" s="1"/>
  <c r="GA107" i="3"/>
  <c r="GF108" i="3" s="1"/>
  <c r="GB105" i="3"/>
  <c r="GC105" i="3" s="1"/>
  <c r="GA102" i="3"/>
  <c r="GF103" i="3" s="1"/>
  <c r="GB100" i="3"/>
  <c r="GC100" i="3" s="1"/>
  <c r="EW128" i="29"/>
  <c r="EU130" i="29"/>
  <c r="EU128" i="29"/>
  <c r="EU114" i="29"/>
  <c r="EU112" i="29"/>
  <c r="EU227" i="3" l="1"/>
  <c r="FY207" i="14"/>
  <c r="FZ206" i="14"/>
  <c r="EF227" i="3"/>
  <c r="EU115" i="29"/>
  <c r="EU131" i="29"/>
  <c r="GC110" i="3"/>
  <c r="GC107" i="3" s="1"/>
  <c r="GH108" i="3" s="1"/>
  <c r="GB102" i="3"/>
  <c r="GD113" i="18"/>
  <c r="GD36" i="8"/>
  <c r="GD100" i="3"/>
  <c r="GC102" i="3"/>
  <c r="GH103" i="3" s="1"/>
  <c r="GD105" i="3"/>
  <c r="GD102" i="3" s="1"/>
  <c r="GB109" i="3"/>
  <c r="GC137" i="3"/>
  <c r="GA206" i="14" l="1"/>
  <c r="GA195" i="14" s="1"/>
  <c r="GA196" i="14" s="1"/>
  <c r="FZ207" i="14"/>
  <c r="GF104" i="3"/>
  <c r="GI103" i="3"/>
  <c r="GB104" i="3"/>
  <c r="GG103" i="3"/>
  <c r="GD110" i="3"/>
  <c r="GD107" i="3" s="1"/>
  <c r="GD137" i="3"/>
  <c r="GC109" i="3"/>
  <c r="GD104" i="3"/>
  <c r="GE102" i="3"/>
  <c r="GJ103" i="3" s="1"/>
  <c r="GC104" i="3"/>
  <c r="GA207" i="14" l="1"/>
  <c r="GB206" i="14"/>
  <c r="GD109" i="3"/>
  <c r="GF109" i="3"/>
  <c r="GI108" i="3"/>
  <c r="GE107" i="3"/>
  <c r="GJ108" i="3" s="1"/>
  <c r="EU93" i="29"/>
  <c r="EU95" i="29" s="1"/>
  <c r="EU84" i="29"/>
  <c r="EU77" i="29"/>
  <c r="EU63" i="29"/>
  <c r="EU60" i="29"/>
  <c r="EU59" i="29"/>
  <c r="EU45" i="29"/>
  <c r="EU43" i="29"/>
  <c r="EU31" i="29"/>
  <c r="EU29" i="29"/>
  <c r="EU17" i="29"/>
  <c r="EU122" i="18"/>
  <c r="EU101" i="18"/>
  <c r="EV99" i="18"/>
  <c r="EU99" i="18"/>
  <c r="EZ100" i="18" s="1"/>
  <c r="EU89" i="18"/>
  <c r="EU81" i="18"/>
  <c r="EU73" i="18"/>
  <c r="EU35" i="18"/>
  <c r="EU31" i="18"/>
  <c r="EU23" i="18"/>
  <c r="EV44" i="18"/>
  <c r="EU18" i="18"/>
  <c r="EU16" i="18"/>
  <c r="EU15" i="18"/>
  <c r="EU14" i="18"/>
  <c r="EU13" i="18"/>
  <c r="GC206" i="14" l="1"/>
  <c r="GB207" i="14"/>
  <c r="EZ38" i="18"/>
  <c r="EZ36" i="18"/>
  <c r="EW37" i="18"/>
  <c r="EW39" i="18"/>
  <c r="EU61" i="29"/>
  <c r="EU64" i="29" s="1"/>
  <c r="EU47" i="29"/>
  <c r="EU33" i="29"/>
  <c r="EU103" i="18"/>
  <c r="EV35" i="18"/>
  <c r="EU94" i="29"/>
  <c r="EU46" i="29"/>
  <c r="EU32" i="29"/>
  <c r="EU198" i="17"/>
  <c r="EU197" i="17"/>
  <c r="EU195" i="17"/>
  <c r="EU243" i="17"/>
  <c r="EU242" i="17"/>
  <c r="EU240" i="17"/>
  <c r="EV239" i="17"/>
  <c r="EU141" i="17"/>
  <c r="EU140" i="17"/>
  <c r="EU138" i="17"/>
  <c r="EU94" i="17"/>
  <c r="EU92" i="17"/>
  <c r="EU83" i="17"/>
  <c r="EU82" i="17"/>
  <c r="EU81" i="17"/>
  <c r="EU77" i="17"/>
  <c r="EU76" i="17"/>
  <c r="EU75" i="17"/>
  <c r="EV80" i="17"/>
  <c r="EV72" i="17"/>
  <c r="EQ72" i="17"/>
  <c r="EQ80" i="17"/>
  <c r="EU56" i="17"/>
  <c r="EU55" i="17"/>
  <c r="EU54" i="17"/>
  <c r="EU53" i="17"/>
  <c r="EU229" i="15"/>
  <c r="EU227" i="15"/>
  <c r="EU102" i="15"/>
  <c r="EU217" i="15"/>
  <c r="EV163" i="15"/>
  <c r="EU83" i="15"/>
  <c r="EU82" i="15"/>
  <c r="EU81" i="15"/>
  <c r="EU77" i="15"/>
  <c r="EU76" i="15"/>
  <c r="EU75" i="15"/>
  <c r="EV80" i="15"/>
  <c r="EV72" i="15"/>
  <c r="EU56" i="15"/>
  <c r="EU55" i="15"/>
  <c r="EU54" i="15"/>
  <c r="EU53" i="15"/>
  <c r="EU352" i="14"/>
  <c r="EU350" i="14"/>
  <c r="EU317" i="14"/>
  <c r="EU315" i="14"/>
  <c r="EU115" i="14"/>
  <c r="EU114" i="14"/>
  <c r="EV113" i="14"/>
  <c r="EU112" i="14"/>
  <c r="EV111" i="14"/>
  <c r="EU65" i="29" l="1"/>
  <c r="GC207" i="14"/>
  <c r="GD206" i="14"/>
  <c r="FA38" i="18"/>
  <c r="FA36" i="18"/>
  <c r="EV73" i="17"/>
  <c r="EV76" i="17"/>
  <c r="EV81" i="17"/>
  <c r="GE206" i="14" l="1"/>
  <c r="GD207" i="14"/>
  <c r="EU293" i="14"/>
  <c r="EU291" i="14"/>
  <c r="EU275" i="14"/>
  <c r="EU83" i="14"/>
  <c r="EU82" i="14"/>
  <c r="EU81" i="14"/>
  <c r="EU77" i="14"/>
  <c r="EU76" i="14"/>
  <c r="EU75" i="14"/>
  <c r="EU73" i="14"/>
  <c r="EV80" i="14"/>
  <c r="EV49" i="2" s="1"/>
  <c r="FA50" i="2" s="1"/>
  <c r="EV72" i="14"/>
  <c r="EU70" i="14"/>
  <c r="EU56" i="14"/>
  <c r="EU55" i="14"/>
  <c r="EU54" i="14"/>
  <c r="EU53" i="14"/>
  <c r="EU39" i="7"/>
  <c r="EU23" i="7"/>
  <c r="EU15" i="7"/>
  <c r="EU10" i="7"/>
  <c r="EU34" i="8"/>
  <c r="EU20" i="8"/>
  <c r="EU17" i="8"/>
  <c r="EZ18" i="8" s="1"/>
  <c r="EU13" i="8"/>
  <c r="EV78" i="6"/>
  <c r="EU93" i="6"/>
  <c r="EU82" i="6"/>
  <c r="EU81" i="6"/>
  <c r="EU80" i="6"/>
  <c r="EU79" i="6"/>
  <c r="EU68" i="6"/>
  <c r="EU56" i="6"/>
  <c r="EV43" i="6"/>
  <c r="EV34" i="8" s="1"/>
  <c r="EU139" i="5"/>
  <c r="EU98" i="5"/>
  <c r="EU95" i="5"/>
  <c r="EU92" i="5"/>
  <c r="EU90" i="5"/>
  <c r="EU88" i="5"/>
  <c r="EU85" i="5"/>
  <c r="EU57" i="5"/>
  <c r="EU79" i="5"/>
  <c r="EU76" i="5"/>
  <c r="EU67" i="5"/>
  <c r="EU59" i="5"/>
  <c r="EW223" i="3" s="1"/>
  <c r="EW224" i="3" s="1"/>
  <c r="EU58" i="5"/>
  <c r="EU56" i="5"/>
  <c r="EU50" i="5"/>
  <c r="EV210" i="3"/>
  <c r="EV209" i="3"/>
  <c r="EV208" i="3"/>
  <c r="EU211" i="3"/>
  <c r="EU112" i="3"/>
  <c r="EU95" i="3"/>
  <c r="EU94" i="3"/>
  <c r="EU93" i="3"/>
  <c r="EU92" i="3"/>
  <c r="EU91" i="3"/>
  <c r="EU88" i="3"/>
  <c r="EU87" i="3"/>
  <c r="EU86" i="3"/>
  <c r="EU85" i="3"/>
  <c r="EU84" i="3"/>
  <c r="EU81" i="3"/>
  <c r="EU80" i="3"/>
  <c r="EU79" i="3"/>
  <c r="EU78" i="3"/>
  <c r="EU77" i="3"/>
  <c r="EU66" i="3"/>
  <c r="EU43" i="3"/>
  <c r="EU42" i="3"/>
  <c r="EU41" i="3"/>
  <c r="EU40" i="3"/>
  <c r="EU39" i="3"/>
  <c r="EU36" i="3"/>
  <c r="EU35" i="3"/>
  <c r="EU34" i="3"/>
  <c r="EU33" i="3"/>
  <c r="EU32" i="3"/>
  <c r="EV132" i="3"/>
  <c r="EV107" i="3"/>
  <c r="FA108" i="3" s="1"/>
  <c r="EV102" i="3"/>
  <c r="FA103" i="3" s="1"/>
  <c r="EV97" i="3"/>
  <c r="EV90" i="3"/>
  <c r="EV83" i="3"/>
  <c r="EV76" i="3"/>
  <c r="EV38" i="3"/>
  <c r="EV31" i="3"/>
  <c r="EV10" i="3"/>
  <c r="EV17" i="3"/>
  <c r="EU22" i="3"/>
  <c r="EU21" i="3"/>
  <c r="EU20" i="3"/>
  <c r="EU19" i="3"/>
  <c r="EU18" i="3"/>
  <c r="EU15" i="3"/>
  <c r="EU14" i="3"/>
  <c r="EU13" i="3"/>
  <c r="EU12" i="3"/>
  <c r="EU11" i="3"/>
  <c r="EU117" i="2"/>
  <c r="EU115" i="2"/>
  <c r="EV119" i="2"/>
  <c r="EV118" i="2"/>
  <c r="EV116" i="2"/>
  <c r="EV111" i="2"/>
  <c r="FA112" i="2" s="1"/>
  <c r="EU77" i="2"/>
  <c r="EU46" i="2"/>
  <c r="EU83" i="2" s="1"/>
  <c r="EV45" i="2"/>
  <c r="EV40" i="18" s="1"/>
  <c r="EV42" i="2"/>
  <c r="FA43" i="2" s="1"/>
  <c r="EV40" i="2"/>
  <c r="EV98" i="2" s="1"/>
  <c r="EU40" i="2"/>
  <c r="EU98" i="2" s="1"/>
  <c r="EV37" i="2"/>
  <c r="FA38" i="2" s="1"/>
  <c r="EU37" i="2"/>
  <c r="EU34" i="2"/>
  <c r="EU32" i="2"/>
  <c r="EU31" i="2"/>
  <c r="EV63" i="2"/>
  <c r="FA64" i="2" s="1"/>
  <c r="EU63" i="2"/>
  <c r="EV56" i="2"/>
  <c r="FA57" i="2" s="1"/>
  <c r="EU56" i="2"/>
  <c r="EZ57" i="2" s="1"/>
  <c r="EU49" i="2"/>
  <c r="EZ94" i="6" l="1"/>
  <c r="EW95" i="6"/>
  <c r="FA81" i="6"/>
  <c r="FA79" i="6"/>
  <c r="EU84" i="6"/>
  <c r="EZ69" i="6"/>
  <c r="EW70" i="6"/>
  <c r="EZ86" i="2"/>
  <c r="EZ84" i="2"/>
  <c r="EZ78" i="2"/>
  <c r="EZ80" i="2"/>
  <c r="EZ18" i="7"/>
  <c r="EZ16" i="7"/>
  <c r="EZ24" i="7"/>
  <c r="EZ26" i="7"/>
  <c r="FA77" i="3"/>
  <c r="FA79" i="3"/>
  <c r="FA86" i="3"/>
  <c r="FA84" i="3"/>
  <c r="FA91" i="3"/>
  <c r="FA93" i="3"/>
  <c r="EW10" i="8"/>
  <c r="EZ14" i="8"/>
  <c r="GE207" i="14"/>
  <c r="GF206" i="14"/>
  <c r="EZ113" i="3"/>
  <c r="EZ115" i="3"/>
  <c r="EW12" i="7"/>
  <c r="EZ11" i="7"/>
  <c r="FA18" i="3"/>
  <c r="FA20" i="3"/>
  <c r="FA11" i="3"/>
  <c r="FA13" i="3"/>
  <c r="FA41" i="3"/>
  <c r="FA39" i="3"/>
  <c r="EZ67" i="3"/>
  <c r="EZ69" i="3"/>
  <c r="FA34" i="3"/>
  <c r="FA32" i="3"/>
  <c r="FA101" i="2"/>
  <c r="FA99" i="2"/>
  <c r="EZ99" i="2"/>
  <c r="EZ101" i="2"/>
  <c r="EW39" i="2"/>
  <c r="EZ38" i="2"/>
  <c r="EW65" i="2"/>
  <c r="EZ64" i="2"/>
  <c r="EW51" i="2"/>
  <c r="EZ50" i="2"/>
  <c r="EU97" i="5"/>
  <c r="EW85" i="2"/>
  <c r="EW87" i="2"/>
  <c r="EU119" i="2"/>
  <c r="EW81" i="2"/>
  <c r="EW79" i="2"/>
  <c r="EW102" i="2"/>
  <c r="EW100" i="2"/>
  <c r="EW19" i="7"/>
  <c r="EW48" i="7" s="1"/>
  <c r="EW17" i="7"/>
  <c r="EW25" i="7"/>
  <c r="EW27" i="7"/>
  <c r="EW53" i="7" s="1"/>
  <c r="EU71" i="3"/>
  <c r="EW68" i="3"/>
  <c r="EW70" i="3"/>
  <c r="EW114" i="3"/>
  <c r="EW116" i="3"/>
  <c r="EV93" i="29"/>
  <c r="EV83" i="14"/>
  <c r="EV83" i="17"/>
  <c r="EV83" i="15"/>
  <c r="EV77" i="2"/>
  <c r="EU91" i="2"/>
  <c r="EV91" i="2"/>
  <c r="EV46" i="2"/>
  <c r="EV83" i="2" s="1"/>
  <c r="EU68" i="2"/>
  <c r="EU29" i="2"/>
  <c r="EU70" i="2" s="1"/>
  <c r="EU118" i="2"/>
  <c r="EV36" i="3"/>
  <c r="EV43" i="3"/>
  <c r="EU118" i="3"/>
  <c r="EU86" i="29"/>
  <c r="EU40" i="7"/>
  <c r="EU16" i="8"/>
  <c r="EU35" i="8"/>
  <c r="EZ36" i="8" s="1"/>
  <c r="EU43" i="8"/>
  <c r="EZ44" i="8" s="1"/>
  <c r="EV29" i="2"/>
  <c r="EV66" i="2" s="1"/>
  <c r="EU15" i="2"/>
  <c r="EU28" i="7"/>
  <c r="EU21" i="7"/>
  <c r="EU29" i="7"/>
  <c r="EU31" i="7"/>
  <c r="EU60" i="5"/>
  <c r="EU78" i="5"/>
  <c r="EU91" i="5"/>
  <c r="EU87" i="5"/>
  <c r="EU94" i="5"/>
  <c r="EU75" i="5"/>
  <c r="EU89" i="5"/>
  <c r="EU116" i="2"/>
  <c r="EU89" i="2"/>
  <c r="EU104" i="2"/>
  <c r="EZ87" i="6" l="1"/>
  <c r="EZ85" i="6"/>
  <c r="EW88" i="6"/>
  <c r="EW86" i="6"/>
  <c r="FA84" i="2"/>
  <c r="FA86" i="2"/>
  <c r="EV104" i="2"/>
  <c r="FA80" i="2"/>
  <c r="FA78" i="2"/>
  <c r="EW49" i="7"/>
  <c r="EX51" i="7" s="1"/>
  <c r="FA48" i="7"/>
  <c r="FA49" i="7" s="1"/>
  <c r="EZ32" i="7"/>
  <c r="EZ34" i="7"/>
  <c r="EZ44" i="7" s="1"/>
  <c r="EW54" i="7"/>
  <c r="EX56" i="7" s="1"/>
  <c r="FA53" i="7"/>
  <c r="FA54" i="7" s="1"/>
  <c r="GG206" i="14"/>
  <c r="GF207" i="14"/>
  <c r="GF195" i="14"/>
  <c r="GF199" i="14" s="1"/>
  <c r="EW42" i="7"/>
  <c r="EZ41" i="7"/>
  <c r="EU177" i="3"/>
  <c r="EZ178" i="3" s="1"/>
  <c r="EZ119" i="3"/>
  <c r="EZ121" i="3"/>
  <c r="GF62" i="18"/>
  <c r="EZ92" i="2"/>
  <c r="EZ94" i="2"/>
  <c r="FA94" i="2"/>
  <c r="FA92" i="2"/>
  <c r="EW72" i="2"/>
  <c r="EZ71" i="2"/>
  <c r="EU120" i="2"/>
  <c r="EU96" i="2"/>
  <c r="EW93" i="2"/>
  <c r="EW95" i="2"/>
  <c r="EW35" i="7"/>
  <c r="EW33" i="7"/>
  <c r="EW122" i="3"/>
  <c r="EW120" i="3"/>
  <c r="EV89" i="2"/>
  <c r="EV96" i="2"/>
  <c r="EU123" i="3"/>
  <c r="EZ124" i="3" s="1"/>
  <c r="EU35" i="2"/>
  <c r="EU74" i="2"/>
  <c r="EU54" i="2"/>
  <c r="EU52" i="2"/>
  <c r="EV52" i="2"/>
  <c r="EU66" i="2"/>
  <c r="EV70" i="2"/>
  <c r="FA71" i="2" s="1"/>
  <c r="EU230" i="3"/>
  <c r="EU134" i="3"/>
  <c r="EU88" i="29"/>
  <c r="EU87" i="29"/>
  <c r="EU36" i="7"/>
  <c r="EU20" i="7"/>
  <c r="GF117" i="14" l="1"/>
  <c r="GF24" i="42"/>
  <c r="GF196" i="14"/>
  <c r="GG207" i="14"/>
  <c r="GH206" i="14"/>
  <c r="EU139" i="3"/>
  <c r="EU190" i="3" s="1"/>
  <c r="EU137" i="3"/>
  <c r="EU102" i="29" s="1"/>
  <c r="GI206" i="14" l="1"/>
  <c r="GH207" i="14"/>
  <c r="EU140" i="3"/>
  <c r="EU10" i="6"/>
  <c r="EU31" i="6" s="1"/>
  <c r="EU143" i="3"/>
  <c r="EW145" i="3" s="1"/>
  <c r="EU147" i="3"/>
  <c r="EU203" i="3" s="1"/>
  <c r="EU212" i="3"/>
  <c r="GI207" i="14" l="1"/>
  <c r="GJ206" i="14"/>
  <c r="GJ207" i="14" s="1"/>
  <c r="EW149" i="3"/>
  <c r="EU46" i="8"/>
  <c r="EU32" i="6"/>
  <c r="EU91" i="6"/>
  <c r="EU66" i="6"/>
  <c r="EU67" i="6" l="1"/>
  <c r="EU71" i="6"/>
  <c r="EU96" i="6"/>
  <c r="EU92" i="6"/>
  <c r="EU73" i="6" l="1"/>
  <c r="EU98" i="6"/>
  <c r="BN136" i="5" l="1"/>
  <c r="BS136" i="5"/>
  <c r="CH136" i="5"/>
  <c r="CM136" i="5" l="1"/>
  <c r="BX136" i="5"/>
  <c r="BW136" i="5"/>
  <c r="CB136" i="5"/>
  <c r="CC136" i="5"/>
  <c r="CP136" i="5"/>
  <c r="CR136" i="5" s="1"/>
  <c r="CU136" i="5"/>
  <c r="CW136" i="5" s="1"/>
  <c r="DB136" i="5"/>
  <c r="DG136" i="5"/>
  <c r="DC190" i="17" l="1"/>
  <c r="DH190" i="17"/>
  <c r="DM190" i="17"/>
  <c r="DN190" i="17"/>
  <c r="DO190" i="17"/>
  <c r="DP190" i="17"/>
  <c r="DR190" i="17"/>
  <c r="DS190" i="17"/>
  <c r="DT190" i="17"/>
  <c r="DU190" i="17"/>
  <c r="DW190" i="17"/>
  <c r="DX190" i="17"/>
  <c r="DY190" i="17"/>
  <c r="DZ190" i="17"/>
  <c r="EB190" i="17"/>
  <c r="EC190" i="17"/>
  <c r="ED190" i="17"/>
  <c r="EE190" i="17"/>
  <c r="EG190" i="17"/>
  <c r="DC185" i="17"/>
  <c r="DH185" i="17"/>
  <c r="DG185" i="17"/>
  <c r="DF185" i="17"/>
  <c r="DE185" i="17"/>
  <c r="DD185" i="17"/>
  <c r="DM185" i="17"/>
  <c r="DL185" i="17"/>
  <c r="DK185" i="17"/>
  <c r="DJ185" i="17"/>
  <c r="DI185" i="17"/>
  <c r="DR185" i="17"/>
  <c r="DQ185" i="17"/>
  <c r="DP185" i="17"/>
  <c r="DO185" i="17"/>
  <c r="DN185" i="17"/>
  <c r="DW185" i="17"/>
  <c r="DV185" i="17"/>
  <c r="DU185" i="17"/>
  <c r="DT185" i="17"/>
  <c r="DS185" i="17"/>
  <c r="EB185" i="17"/>
  <c r="EA185" i="17"/>
  <c r="DZ185" i="17"/>
  <c r="DY185" i="17"/>
  <c r="DX185" i="17"/>
  <c r="EE185" i="17"/>
  <c r="ED185" i="17"/>
  <c r="EC185" i="17"/>
  <c r="EK184" i="17"/>
  <c r="EK188" i="17" s="1"/>
  <c r="EJ184" i="17"/>
  <c r="EI184" i="17"/>
  <c r="EI190" i="17" s="1"/>
  <c r="EH184" i="17"/>
  <c r="EH188" i="17" s="1"/>
  <c r="DQ192" i="17"/>
  <c r="DQ190" i="17" s="1"/>
  <c r="DV192" i="17"/>
  <c r="DV190" i="17" s="1"/>
  <c r="EA192" i="17"/>
  <c r="EA190" i="17" s="1"/>
  <c r="EF192" i="17"/>
  <c r="EF190" i="17" s="1"/>
  <c r="EK192" i="17"/>
  <c r="EP192" i="17"/>
  <c r="EU196" i="17" s="1"/>
  <c r="DR193" i="17"/>
  <c r="DS193" i="17"/>
  <c r="DT193" i="17"/>
  <c r="DU193" i="17"/>
  <c r="DW193" i="17"/>
  <c r="DX193" i="17"/>
  <c r="DY193" i="17"/>
  <c r="DZ193" i="17"/>
  <c r="EB193" i="17"/>
  <c r="EC193" i="17"/>
  <c r="ED193" i="17"/>
  <c r="EE193" i="17"/>
  <c r="EG193" i="17"/>
  <c r="EH193" i="17"/>
  <c r="EI193" i="17"/>
  <c r="EJ193" i="17"/>
  <c r="EL193" i="17"/>
  <c r="EQ193" i="17"/>
  <c r="DV193" i="17" l="1"/>
  <c r="EI188" i="17"/>
  <c r="EJ189" i="17"/>
  <c r="EI187" i="17"/>
  <c r="EJ190" i="17"/>
  <c r="EH187" i="17"/>
  <c r="EJ188" i="17"/>
  <c r="EH190" i="17"/>
  <c r="EJ187" i="17"/>
  <c r="EH189" i="17"/>
  <c r="EK187" i="17"/>
  <c r="EI189" i="17"/>
  <c r="EL184" i="17"/>
  <c r="EK190" i="17"/>
  <c r="EK189" i="17"/>
  <c r="EF193" i="17"/>
  <c r="EA193" i="17"/>
  <c r="FG24" i="8"/>
  <c r="FL24" i="8" s="1"/>
  <c r="ER158" i="15"/>
  <c r="ET164" i="15"/>
  <c r="ET83" i="17"/>
  <c r="ET82" i="17"/>
  <c r="ET81" i="17"/>
  <c r="ET77" i="17"/>
  <c r="ET31" i="18"/>
  <c r="EV19" i="6"/>
  <c r="EV18" i="6"/>
  <c r="ET24" i="3"/>
  <c r="ET164" i="3" s="1"/>
  <c r="CY77" i="15"/>
  <c r="CZ77" i="15"/>
  <c r="DA77" i="15"/>
  <c r="DB77" i="15"/>
  <c r="DD77" i="15"/>
  <c r="DE77" i="15"/>
  <c r="DF77" i="15"/>
  <c r="DG77" i="15"/>
  <c r="DI77" i="15"/>
  <c r="DJ77" i="15"/>
  <c r="DK77" i="15"/>
  <c r="DL77" i="15"/>
  <c r="DN77" i="15"/>
  <c r="DO77" i="15"/>
  <c r="DP77" i="15"/>
  <c r="DQ77" i="15"/>
  <c r="DS77" i="15"/>
  <c r="DT77" i="15"/>
  <c r="DU77" i="15"/>
  <c r="DV77" i="15"/>
  <c r="DX77" i="15"/>
  <c r="DY77" i="15"/>
  <c r="DZ77" i="15"/>
  <c r="EA77" i="15"/>
  <c r="EC77" i="15"/>
  <c r="ED77" i="15"/>
  <c r="EE77" i="15"/>
  <c r="EF77" i="15"/>
  <c r="EH77" i="15"/>
  <c r="EI77" i="15"/>
  <c r="EJ77" i="15"/>
  <c r="EK77" i="15"/>
  <c r="EM77" i="15"/>
  <c r="EN77" i="15"/>
  <c r="EO77" i="15"/>
  <c r="EP77" i="15"/>
  <c r="EU78" i="15" s="1"/>
  <c r="ER77" i="15"/>
  <c r="ES77" i="15"/>
  <c r="ET77" i="15"/>
  <c r="ET22" i="3" l="1"/>
  <c r="EY25" i="3"/>
  <c r="EY69" i="29" s="1"/>
  <c r="EY70" i="29" s="1"/>
  <c r="EY28" i="3"/>
  <c r="ET100" i="3"/>
  <c r="ET110" i="3"/>
  <c r="ET105" i="3"/>
  <c r="EU27" i="3"/>
  <c r="EU29" i="3"/>
  <c r="FJ88" i="3"/>
  <c r="EV193" i="17"/>
  <c r="EL190" i="17"/>
  <c r="EL188" i="17"/>
  <c r="ET75" i="17"/>
  <c r="ET76" i="17"/>
  <c r="C231" i="3"/>
  <c r="H231" i="3"/>
  <c r="M231" i="3"/>
  <c r="N231" i="3"/>
  <c r="O231" i="3"/>
  <c r="P231" i="3"/>
  <c r="R231" i="3"/>
  <c r="S231" i="3"/>
  <c r="T231" i="3"/>
  <c r="U231" i="3"/>
  <c r="W231" i="3"/>
  <c r="AB231" i="3"/>
  <c r="AG231" i="3"/>
  <c r="AL231" i="3"/>
  <c r="AQ231" i="3"/>
  <c r="AR231" i="3"/>
  <c r="AS231" i="3"/>
  <c r="AT231" i="3"/>
  <c r="AV231" i="3"/>
  <c r="AW231" i="3"/>
  <c r="AX231" i="3"/>
  <c r="AY231" i="3"/>
  <c r="BA231" i="3"/>
  <c r="BB231" i="3"/>
  <c r="BC231" i="3"/>
  <c r="BD231" i="3"/>
  <c r="BF231" i="3"/>
  <c r="BG231" i="3"/>
  <c r="BH231" i="3"/>
  <c r="BI231" i="3"/>
  <c r="BK231" i="3"/>
  <c r="BL231" i="3"/>
  <c r="BM231" i="3"/>
  <c r="BN231" i="3"/>
  <c r="BP231" i="3"/>
  <c r="BQ231" i="3"/>
  <c r="BR231" i="3"/>
  <c r="BS231" i="3"/>
  <c r="BU231" i="3"/>
  <c r="BV231" i="3"/>
  <c r="BW231" i="3"/>
  <c r="BX231" i="3"/>
  <c r="BZ231" i="3"/>
  <c r="CA231" i="3"/>
  <c r="CB231" i="3"/>
  <c r="CC231" i="3"/>
  <c r="CE231" i="3"/>
  <c r="CF231" i="3"/>
  <c r="CG231" i="3"/>
  <c r="CH231" i="3"/>
  <c r="CJ231" i="3"/>
  <c r="CK231" i="3"/>
  <c r="CL231" i="3"/>
  <c r="CM231" i="3"/>
  <c r="CO231" i="3"/>
  <c r="CP231" i="3"/>
  <c r="CQ231" i="3"/>
  <c r="CR231" i="3"/>
  <c r="CT231" i="3"/>
  <c r="CU231" i="3"/>
  <c r="CV231" i="3"/>
  <c r="CW231" i="3"/>
  <c r="CY231" i="3"/>
  <c r="CZ231" i="3"/>
  <c r="DA231" i="3"/>
  <c r="DB231" i="3"/>
  <c r="DD231" i="3"/>
  <c r="DE231" i="3"/>
  <c r="DF231" i="3"/>
  <c r="DG231" i="3"/>
  <c r="DI231" i="3"/>
  <c r="DJ231" i="3"/>
  <c r="DK231" i="3"/>
  <c r="DL231" i="3"/>
  <c r="DN231" i="3"/>
  <c r="DO231" i="3"/>
  <c r="DP231" i="3"/>
  <c r="DQ231" i="3"/>
  <c r="DS231" i="3"/>
  <c r="DT231" i="3"/>
  <c r="DU231" i="3"/>
  <c r="DV231" i="3"/>
  <c r="DX231" i="3"/>
  <c r="DY231" i="3"/>
  <c r="DZ231" i="3"/>
  <c r="EA231" i="3"/>
  <c r="EC231" i="3"/>
  <c r="ED231" i="3"/>
  <c r="EE231" i="3"/>
  <c r="EF231" i="3"/>
  <c r="EH231" i="3"/>
  <c r="EI231" i="3"/>
  <c r="EJ231" i="3"/>
  <c r="EK231" i="3"/>
  <c r="EM231" i="3"/>
  <c r="EN231" i="3"/>
  <c r="EO231" i="3"/>
  <c r="EP231" i="3"/>
  <c r="ER231" i="3"/>
  <c r="ES231" i="3"/>
  <c r="ET231" i="3"/>
  <c r="GC86" i="42" l="1"/>
  <c r="GD86" i="42"/>
  <c r="ET293" i="14" l="1"/>
  <c r="ET291" i="14"/>
  <c r="ET128" i="29"/>
  <c r="ES128" i="29"/>
  <c r="ER128" i="29"/>
  <c r="EP128" i="29"/>
  <c r="EM128" i="29"/>
  <c r="ET112" i="29"/>
  <c r="ES112" i="29"/>
  <c r="ER112" i="29"/>
  <c r="EP112" i="29"/>
  <c r="EU100" i="29"/>
  <c r="EU103" i="29" s="1"/>
  <c r="ET100" i="29"/>
  <c r="ES100" i="29"/>
  <c r="ER100" i="29"/>
  <c r="EP100" i="29"/>
  <c r="EO100" i="29"/>
  <c r="EN100" i="29"/>
  <c r="EM100" i="29"/>
  <c r="EK100" i="29"/>
  <c r="EJ100" i="29"/>
  <c r="EI100" i="29"/>
  <c r="EH100" i="29"/>
  <c r="EF100" i="29"/>
  <c r="EE100" i="29"/>
  <c r="ED100" i="29"/>
  <c r="EC100" i="29"/>
  <c r="EA100" i="29"/>
  <c r="DZ100" i="29"/>
  <c r="DY100" i="29"/>
  <c r="DX100" i="29"/>
  <c r="ET84" i="29"/>
  <c r="ES84" i="29"/>
  <c r="ER84" i="29"/>
  <c r="EP84" i="29"/>
  <c r="EO84" i="29"/>
  <c r="EN84" i="29"/>
  <c r="EM84" i="29"/>
  <c r="EK84" i="29"/>
  <c r="EJ84" i="29"/>
  <c r="EI84" i="29"/>
  <c r="EH84" i="29"/>
  <c r="EF84" i="29"/>
  <c r="EE84" i="29"/>
  <c r="ED84" i="29"/>
  <c r="EC84" i="29"/>
  <c r="EA84" i="29"/>
  <c r="DZ84" i="29"/>
  <c r="DY84" i="29"/>
  <c r="DX84" i="29"/>
  <c r="EU75" i="29"/>
  <c r="ET75" i="29"/>
  <c r="ES75" i="29"/>
  <c r="ER75" i="29"/>
  <c r="EP75" i="29"/>
  <c r="EO75" i="29"/>
  <c r="EN75" i="29"/>
  <c r="EM75" i="29"/>
  <c r="EK75" i="29"/>
  <c r="EJ75" i="29"/>
  <c r="EI75" i="29"/>
  <c r="EH75" i="29"/>
  <c r="EF75" i="29"/>
  <c r="EE75" i="29"/>
  <c r="ED75" i="29"/>
  <c r="EC75" i="29"/>
  <c r="EA75" i="29"/>
  <c r="DZ75" i="29"/>
  <c r="DY75" i="29"/>
  <c r="DX75" i="29"/>
  <c r="ET43" i="29"/>
  <c r="ES43" i="29"/>
  <c r="ER43" i="29"/>
  <c r="EP43" i="29"/>
  <c r="EO43" i="29"/>
  <c r="EN43" i="29"/>
  <c r="EM43" i="29"/>
  <c r="EK43" i="29"/>
  <c r="EJ43" i="29"/>
  <c r="EI43" i="29"/>
  <c r="EH43" i="29"/>
  <c r="EF43" i="29"/>
  <c r="EE43" i="29"/>
  <c r="ED43" i="29"/>
  <c r="EC43" i="29"/>
  <c r="EA43" i="29"/>
  <c r="DZ43" i="29"/>
  <c r="DY43" i="29"/>
  <c r="DX43" i="29"/>
  <c r="ET29" i="29"/>
  <c r="ES29" i="29"/>
  <c r="ER29" i="29"/>
  <c r="EP29" i="29"/>
  <c r="EO29" i="29"/>
  <c r="EN29" i="29"/>
  <c r="EM29" i="29"/>
  <c r="EK29" i="29"/>
  <c r="EJ29" i="29"/>
  <c r="EI29" i="29"/>
  <c r="EH29" i="29"/>
  <c r="EF29" i="29"/>
  <c r="EE29" i="29"/>
  <c r="ED29" i="29"/>
  <c r="EC29" i="29"/>
  <c r="EA29" i="29"/>
  <c r="DZ29" i="29"/>
  <c r="DY29" i="29"/>
  <c r="DX29" i="29"/>
  <c r="EU15" i="29"/>
  <c r="ET15" i="29"/>
  <c r="ES15" i="29"/>
  <c r="ER15" i="29"/>
  <c r="EP15" i="29"/>
  <c r="EO15" i="29"/>
  <c r="EN15" i="29"/>
  <c r="EM15" i="29"/>
  <c r="EK15" i="29"/>
  <c r="EJ15" i="29"/>
  <c r="EI15" i="29"/>
  <c r="EH15" i="29"/>
  <c r="EF15" i="29"/>
  <c r="EE15" i="29"/>
  <c r="ED15" i="29"/>
  <c r="EC15" i="29"/>
  <c r="DY15" i="29"/>
  <c r="DZ15" i="29"/>
  <c r="EA15" i="29"/>
  <c r="DX15" i="29"/>
  <c r="EU19" i="29" l="1"/>
  <c r="EU18" i="29"/>
  <c r="EU79" i="29"/>
  <c r="EU78" i="29"/>
  <c r="ET17" i="29" l="1"/>
  <c r="ET19" i="29" s="1"/>
  <c r="ET31" i="29"/>
  <c r="ET33" i="29" s="1"/>
  <c r="ET45" i="29"/>
  <c r="ET47" i="29" s="1"/>
  <c r="ET93" i="29"/>
  <c r="ET95" i="29" s="1"/>
  <c r="ET130" i="29"/>
  <c r="ET131" i="29" s="1"/>
  <c r="ET114" i="29"/>
  <c r="ET115" i="29" s="1"/>
  <c r="ET122" i="18"/>
  <c r="ET99" i="18"/>
  <c r="EY100" i="18" s="1"/>
  <c r="ET89" i="18"/>
  <c r="ET81" i="18"/>
  <c r="ET73" i="18"/>
  <c r="ET40" i="18"/>
  <c r="ET35" i="18" s="1"/>
  <c r="ET42" i="18" s="1"/>
  <c r="ET23" i="18"/>
  <c r="ET18" i="18"/>
  <c r="EU20" i="18" s="1"/>
  <c r="ET15" i="18"/>
  <c r="ET14" i="18"/>
  <c r="ET13" i="18"/>
  <c r="ET198" i="17"/>
  <c r="ET197" i="17"/>
  <c r="ET195" i="17"/>
  <c r="ET243" i="17"/>
  <c r="ET242" i="17"/>
  <c r="ET240" i="17"/>
  <c r="ET239" i="17"/>
  <c r="ET94" i="17"/>
  <c r="ET92" i="17"/>
  <c r="ET229" i="15"/>
  <c r="ET227" i="15"/>
  <c r="ET217" i="15"/>
  <c r="ET83" i="15"/>
  <c r="ET82" i="15"/>
  <c r="ET81" i="15"/>
  <c r="ET76" i="15"/>
  <c r="ET75" i="15"/>
  <c r="ET55" i="15"/>
  <c r="ET54" i="15"/>
  <c r="ET53" i="15"/>
  <c r="ET317" i="14"/>
  <c r="ET315" i="14"/>
  <c r="ET115" i="14"/>
  <c r="ET114" i="14"/>
  <c r="ET113" i="14"/>
  <c r="ET112" i="14"/>
  <c r="ET111" i="14"/>
  <c r="ET275" i="14"/>
  <c r="ET83" i="14"/>
  <c r="ET82" i="14"/>
  <c r="ET81" i="14"/>
  <c r="ET77" i="14"/>
  <c r="ET76" i="14"/>
  <c r="ET75" i="14"/>
  <c r="ES73" i="14"/>
  <c r="ET73" i="14"/>
  <c r="ET55" i="14"/>
  <c r="ET54" i="14"/>
  <c r="ET53" i="14"/>
  <c r="ET51" i="14"/>
  <c r="ET23" i="29" s="1"/>
  <c r="ET24" i="29" s="1"/>
  <c r="ET39" i="7"/>
  <c r="ET23" i="7"/>
  <c r="ET15" i="7"/>
  <c r="ET93" i="6"/>
  <c r="ET82" i="6"/>
  <c r="ET81" i="6"/>
  <c r="ET80" i="6"/>
  <c r="ET79" i="6"/>
  <c r="ET68" i="6"/>
  <c r="EU70" i="6" s="1"/>
  <c r="ET150" i="5"/>
  <c r="ET139" i="5"/>
  <c r="ET134" i="5"/>
  <c r="ET108" i="5"/>
  <c r="ET98" i="5"/>
  <c r="ET95" i="5"/>
  <c r="ET92" i="5"/>
  <c r="ET90" i="5"/>
  <c r="ET88" i="5"/>
  <c r="ET85" i="5"/>
  <c r="ET79" i="5"/>
  <c r="ET76" i="5"/>
  <c r="ET67" i="5"/>
  <c r="ET59" i="5"/>
  <c r="EU223" i="3" s="1"/>
  <c r="ET58" i="5"/>
  <c r="ET50" i="5"/>
  <c r="ET34" i="8"/>
  <c r="ET43" i="8" s="1"/>
  <c r="EY44" i="8" s="1"/>
  <c r="ET31" i="8"/>
  <c r="ET22" i="8"/>
  <c r="ET23" i="8" s="1"/>
  <c r="ET20" i="8"/>
  <c r="ET17" i="8"/>
  <c r="EY18" i="8" s="1"/>
  <c r="ET13" i="8"/>
  <c r="ET211" i="3"/>
  <c r="ET112" i="3"/>
  <c r="ET109" i="3"/>
  <c r="ET108" i="3"/>
  <c r="ET104" i="3"/>
  <c r="ET103" i="3"/>
  <c r="ET94" i="3"/>
  <c r="ET93" i="3"/>
  <c r="ET92" i="3"/>
  <c r="ET91" i="3"/>
  <c r="ET87" i="3"/>
  <c r="ET86" i="3"/>
  <c r="ET85" i="3"/>
  <c r="ET84" i="3"/>
  <c r="ET80" i="3"/>
  <c r="ET79" i="3"/>
  <c r="ET78" i="3"/>
  <c r="ET77" i="3"/>
  <c r="ET45" i="3"/>
  <c r="ET43" i="3"/>
  <c r="ET42" i="3"/>
  <c r="ET41" i="3"/>
  <c r="ET40" i="3"/>
  <c r="ET39" i="3"/>
  <c r="ET36" i="3"/>
  <c r="ET35" i="3"/>
  <c r="ET34" i="3"/>
  <c r="ET33" i="3"/>
  <c r="ET32" i="3"/>
  <c r="ET14" i="3"/>
  <c r="ET13" i="3"/>
  <c r="ET12" i="3"/>
  <c r="ET11" i="3"/>
  <c r="ET119" i="2"/>
  <c r="ET118" i="2"/>
  <c r="ET116" i="2"/>
  <c r="ET77" i="2"/>
  <c r="ET46" i="2"/>
  <c r="ET83" i="2" s="1"/>
  <c r="ET37" i="2"/>
  <c r="EY38" i="2" s="1"/>
  <c r="ET34" i="2"/>
  <c r="ET32" i="2"/>
  <c r="ET31" i="2"/>
  <c r="ET63" i="2"/>
  <c r="ET56" i="2"/>
  <c r="EY57" i="2" s="1"/>
  <c r="ET17" i="2"/>
  <c r="EU95" i="6" l="1"/>
  <c r="EY94" i="6"/>
  <c r="EU10" i="8"/>
  <c r="EV10" i="8" s="1"/>
  <c r="EY14" i="8"/>
  <c r="EY38" i="18"/>
  <c r="EU39" i="18"/>
  <c r="EY48" i="3"/>
  <c r="EY46" i="3"/>
  <c r="EU37" i="18"/>
  <c r="EY36" i="18"/>
  <c r="EY86" i="2"/>
  <c r="EY84" i="2"/>
  <c r="EY78" i="2"/>
  <c r="EY80" i="2"/>
  <c r="EY113" i="3"/>
  <c r="EY115" i="3"/>
  <c r="EY24" i="7"/>
  <c r="EY26" i="7"/>
  <c r="EY18" i="7"/>
  <c r="EY16" i="7"/>
  <c r="EU65" i="2"/>
  <c r="EY64" i="2"/>
  <c r="EU224" i="3"/>
  <c r="ET103" i="18"/>
  <c r="EU102" i="18"/>
  <c r="EU25" i="7"/>
  <c r="EU27" i="7"/>
  <c r="EU53" i="7" s="1"/>
  <c r="EU54" i="7" s="1"/>
  <c r="EU17" i="7"/>
  <c r="EU19" i="7"/>
  <c r="EU48" i="7" s="1"/>
  <c r="EU49" i="7" s="1"/>
  <c r="ET91" i="2"/>
  <c r="EU39" i="2"/>
  <c r="EU81" i="2"/>
  <c r="EU79" i="2"/>
  <c r="EU85" i="2"/>
  <c r="EU87" i="2"/>
  <c r="EU114" i="3"/>
  <c r="EU116" i="3"/>
  <c r="EU49" i="3"/>
  <c r="EU47" i="3"/>
  <c r="ET138" i="5"/>
  <c r="ET84" i="6"/>
  <c r="ET29" i="2"/>
  <c r="ET70" i="2" s="1"/>
  <c r="ET40" i="2"/>
  <c r="ET98" i="2" s="1"/>
  <c r="ET68" i="2"/>
  <c r="ET49" i="2"/>
  <c r="ET31" i="7"/>
  <c r="ET16" i="8"/>
  <c r="ET57" i="5"/>
  <c r="ET86" i="29"/>
  <c r="ET88" i="29" s="1"/>
  <c r="ET137" i="5"/>
  <c r="ET73" i="3" s="1"/>
  <c r="ET74" i="3" s="1"/>
  <c r="ET15" i="2"/>
  <c r="ET18" i="2" s="1"/>
  <c r="ET60" i="5"/>
  <c r="ET77" i="29"/>
  <c r="ET79" i="29" s="1"/>
  <c r="ET29" i="8"/>
  <c r="ET27" i="8" s="1"/>
  <c r="ET35" i="8"/>
  <c r="ET18" i="29"/>
  <c r="ET32" i="29"/>
  <c r="ET46" i="29"/>
  <c r="ET94" i="29"/>
  <c r="ET89" i="2"/>
  <c r="EW51" i="7" l="1"/>
  <c r="EZ50" i="7"/>
  <c r="EW56" i="7"/>
  <c r="EZ55" i="7"/>
  <c r="ET37" i="8"/>
  <c r="EY36" i="8"/>
  <c r="EY101" i="2"/>
  <c r="EY99" i="2"/>
  <c r="EU95" i="2"/>
  <c r="EY94" i="2"/>
  <c r="EY92" i="2"/>
  <c r="EY32" i="7"/>
  <c r="EY34" i="7"/>
  <c r="EY44" i="7" s="1"/>
  <c r="EZ46" i="7" s="1"/>
  <c r="EU72" i="2"/>
  <c r="EY71" i="2"/>
  <c r="EU51" i="2"/>
  <c r="EY50" i="2"/>
  <c r="EU93" i="2"/>
  <c r="ET96" i="2"/>
  <c r="ET20" i="7"/>
  <c r="EU35" i="7"/>
  <c r="EU33" i="7"/>
  <c r="ET104" i="2"/>
  <c r="EU100" i="2"/>
  <c r="EU102" i="2"/>
  <c r="ET66" i="2"/>
  <c r="EU88" i="6"/>
  <c r="EU86" i="6"/>
  <c r="ET142" i="5"/>
  <c r="ET52" i="2"/>
  <c r="ET87" i="29"/>
  <c r="ET74" i="2"/>
  <c r="ET120" i="2"/>
  <c r="ET35" i="2"/>
  <c r="ET54" i="2"/>
  <c r="ET78" i="29"/>
  <c r="DH146" i="5" l="1"/>
  <c r="DM146" i="5"/>
  <c r="DR146" i="5"/>
  <c r="DW146" i="5"/>
  <c r="EB146" i="5"/>
  <c r="EB41" i="8" l="1"/>
  <c r="EA41" i="8"/>
  <c r="DZ41" i="8"/>
  <c r="DY41" i="8"/>
  <c r="DX41" i="8"/>
  <c r="DW41" i="8"/>
  <c r="DV41" i="8"/>
  <c r="DU41" i="8"/>
  <c r="DT41" i="8"/>
  <c r="DS41" i="8"/>
  <c r="DR41" i="8"/>
  <c r="DQ41" i="8"/>
  <c r="DP41" i="8"/>
  <c r="DO41" i="8"/>
  <c r="DN41" i="8"/>
  <c r="DM41" i="8"/>
  <c r="DL41" i="8"/>
  <c r="DK41" i="8"/>
  <c r="DJ41" i="8"/>
  <c r="DI41" i="8"/>
  <c r="DH41" i="8"/>
  <c r="DG41" i="8"/>
  <c r="DF41" i="8"/>
  <c r="DE41" i="8"/>
  <c r="DD41" i="8"/>
  <c r="DC41" i="8"/>
  <c r="DB41" i="8"/>
  <c r="DA41" i="8"/>
  <c r="CZ41" i="8"/>
  <c r="CY41" i="8"/>
  <c r="CX41" i="8"/>
  <c r="CW41" i="8"/>
  <c r="CV41" i="8"/>
  <c r="CU41" i="8"/>
  <c r="CT41" i="8"/>
  <c r="CS41" i="8"/>
  <c r="CR41" i="8"/>
  <c r="CQ41" i="8"/>
  <c r="CP41" i="8"/>
  <c r="CO41" i="8"/>
  <c r="CN41" i="8"/>
  <c r="CM41" i="8"/>
  <c r="CL41" i="8"/>
  <c r="CK41" i="8"/>
  <c r="CJ41" i="8"/>
  <c r="CI41" i="8"/>
  <c r="CH41" i="8"/>
  <c r="CG41" i="8"/>
  <c r="CF41" i="8"/>
  <c r="CE41" i="8"/>
  <c r="CD41" i="8"/>
  <c r="CC41" i="8"/>
  <c r="CB41" i="8"/>
  <c r="CA41" i="8"/>
  <c r="BZ41" i="8"/>
  <c r="BY41" i="8"/>
  <c r="BX41" i="8"/>
  <c r="BW41" i="8"/>
  <c r="BV41" i="8"/>
  <c r="BU41" i="8"/>
  <c r="BT41" i="8"/>
  <c r="BS41" i="8"/>
  <c r="BR41" i="8"/>
  <c r="BQ41" i="8"/>
  <c r="BP41" i="8"/>
  <c r="BO41" i="8"/>
  <c r="BN41" i="8"/>
  <c r="BM41" i="8"/>
  <c r="BL41" i="8"/>
  <c r="BK41" i="8"/>
  <c r="BJ41" i="8"/>
  <c r="BI41" i="8"/>
  <c r="BH41" i="8"/>
  <c r="BG41" i="8"/>
  <c r="BF41" i="8"/>
  <c r="BE41" i="8"/>
  <c r="BD41" i="8"/>
  <c r="BC41" i="8"/>
  <c r="BB41" i="8"/>
  <c r="BA41" i="8"/>
  <c r="AZ41" i="8"/>
  <c r="AY41" i="8"/>
  <c r="AX41" i="8"/>
  <c r="AW41" i="8"/>
  <c r="AV41" i="8"/>
  <c r="AU41" i="8"/>
  <c r="AT41" i="8"/>
  <c r="AS41" i="8"/>
  <c r="AR41" i="8"/>
  <c r="AQ41" i="8"/>
  <c r="AP41" i="8"/>
  <c r="AO41" i="8"/>
  <c r="AN41" i="8"/>
  <c r="AM41" i="8"/>
  <c r="AL41" i="8"/>
  <c r="AK41" i="8"/>
  <c r="AJ41" i="8"/>
  <c r="AI41" i="8"/>
  <c r="AH41" i="8"/>
  <c r="AG41" i="8"/>
  <c r="AF41" i="8"/>
  <c r="AE41" i="8"/>
  <c r="AD41" i="8"/>
  <c r="AC41" i="8"/>
  <c r="AB41" i="8"/>
  <c r="AA41" i="8"/>
  <c r="Z41" i="8"/>
  <c r="Y41" i="8"/>
  <c r="X41" i="8"/>
  <c r="W41" i="8"/>
  <c r="V41" i="8"/>
  <c r="U41" i="8"/>
  <c r="T41" i="8"/>
  <c r="S41" i="8"/>
  <c r="R41" i="8"/>
  <c r="Q41" i="8"/>
  <c r="P41" i="8"/>
  <c r="O41" i="8"/>
  <c r="N41" i="8"/>
  <c r="M41" i="8"/>
  <c r="L41" i="8"/>
  <c r="K41" i="8"/>
  <c r="J41" i="8"/>
  <c r="I41" i="8"/>
  <c r="H41" i="8"/>
  <c r="G41" i="8"/>
  <c r="F41" i="8"/>
  <c r="E41" i="8"/>
  <c r="D41" i="8"/>
  <c r="C41" i="8"/>
  <c r="FC24" i="8"/>
  <c r="FD24" i="8" s="1"/>
  <c r="FE24" i="8" s="1"/>
  <c r="FF24" i="8" l="1"/>
  <c r="FH24" i="8" l="1"/>
  <c r="FI24" i="8" s="1"/>
  <c r="FJ24" i="8" s="1"/>
  <c r="FQ24" i="8" l="1"/>
  <c r="FM24" i="8"/>
  <c r="FN24" i="8" s="1"/>
  <c r="FO24" i="8" s="1"/>
  <c r="FK24" i="8"/>
  <c r="FP24" i="8" l="1"/>
  <c r="FR24" i="8"/>
  <c r="FS24" i="8" s="1"/>
  <c r="FT24" i="8" s="1"/>
  <c r="FV24" i="8"/>
  <c r="GA24" i="8" s="1"/>
  <c r="GF24" i="8" s="1"/>
  <c r="GG24" i="8" l="1"/>
  <c r="GH24" i="8" s="1"/>
  <c r="GI24" i="8" s="1"/>
  <c r="GI40" i="8" s="1"/>
  <c r="GB24" i="8"/>
  <c r="GC24" i="8" s="1"/>
  <c r="GD24" i="8" s="1"/>
  <c r="FU24" i="8"/>
  <c r="FW24" i="8"/>
  <c r="FX24" i="8" s="1"/>
  <c r="FY24" i="8" s="1"/>
  <c r="GJ24" i="8" l="1"/>
  <c r="GE24" i="8"/>
  <c r="FZ24" i="8"/>
  <c r="FW44" i="8" l="1"/>
  <c r="FX44" i="8" s="1"/>
  <c r="FY44" i="8" s="1"/>
  <c r="FR44" i="8"/>
  <c r="FS44" i="8" s="1"/>
  <c r="FT44" i="8" s="1"/>
  <c r="EB44" i="8"/>
  <c r="EA44" i="8"/>
  <c r="DZ44" i="8"/>
  <c r="DY44" i="8"/>
  <c r="DX44" i="8"/>
  <c r="DW44" i="8"/>
  <c r="DV44" i="8"/>
  <c r="DU44" i="8"/>
  <c r="DT44" i="8"/>
  <c r="DS44" i="8"/>
  <c r="DR44" i="8"/>
  <c r="DQ44" i="8"/>
  <c r="DP44" i="8"/>
  <c r="DO44" i="8"/>
  <c r="DN44" i="8"/>
  <c r="DM44" i="8"/>
  <c r="DL44" i="8"/>
  <c r="DK44" i="8"/>
  <c r="DJ44" i="8"/>
  <c r="DI44" i="8"/>
  <c r="DH44" i="8"/>
  <c r="DG44" i="8"/>
  <c r="DF44" i="8"/>
  <c r="DE44" i="8"/>
  <c r="DD44" i="8"/>
  <c r="DC44" i="8"/>
  <c r="DB44" i="8"/>
  <c r="DA44" i="8"/>
  <c r="CZ44" i="8"/>
  <c r="CY44" i="8"/>
  <c r="CX44" i="8"/>
  <c r="CW44" i="8"/>
  <c r="CV44" i="8"/>
  <c r="CU44" i="8"/>
  <c r="CT44" i="8"/>
  <c r="CS44" i="8"/>
  <c r="CR44" i="8"/>
  <c r="CQ44" i="8"/>
  <c r="CP44" i="8"/>
  <c r="CO44" i="8"/>
  <c r="CN44" i="8"/>
  <c r="CM44" i="8"/>
  <c r="CL44" i="8"/>
  <c r="CK44" i="8"/>
  <c r="CJ44" i="8"/>
  <c r="CI44" i="8"/>
  <c r="CH44" i="8"/>
  <c r="CG44" i="8"/>
  <c r="CF44" i="8"/>
  <c r="CE44" i="8"/>
  <c r="CD44" i="8"/>
  <c r="CC44" i="8"/>
  <c r="CB44" i="8"/>
  <c r="CA44" i="8"/>
  <c r="BZ44" i="8"/>
  <c r="BY44" i="8"/>
  <c r="BX44" i="8"/>
  <c r="BW44" i="8"/>
  <c r="BV44" i="8"/>
  <c r="BU44" i="8"/>
  <c r="BT44" i="8"/>
  <c r="BS44" i="8"/>
  <c r="BR44" i="8"/>
  <c r="BQ44" i="8"/>
  <c r="BP44" i="8"/>
  <c r="BO44" i="8"/>
  <c r="BN44" i="8"/>
  <c r="BM44" i="8"/>
  <c r="BL44" i="8"/>
  <c r="BK44" i="8"/>
  <c r="BJ44" i="8"/>
  <c r="BI44" i="8"/>
  <c r="BH44" i="8"/>
  <c r="BG44" i="8"/>
  <c r="BF44" i="8"/>
  <c r="BE44" i="8"/>
  <c r="BD44" i="8"/>
  <c r="BC44" i="8"/>
  <c r="BB44" i="8"/>
  <c r="BA44" i="8"/>
  <c r="AZ44" i="8"/>
  <c r="AY44" i="8"/>
  <c r="AX44" i="8"/>
  <c r="AW44" i="8"/>
  <c r="AV44" i="8"/>
  <c r="AU44" i="8"/>
  <c r="AT44" i="8"/>
  <c r="AS44" i="8"/>
  <c r="AR44" i="8"/>
  <c r="AQ44" i="8"/>
  <c r="AP44" i="8"/>
  <c r="AO44" i="8"/>
  <c r="AN44" i="8"/>
  <c r="AM44" i="8"/>
  <c r="AL44" i="8"/>
  <c r="AK44" i="8"/>
  <c r="AJ44" i="8"/>
  <c r="AI44" i="8"/>
  <c r="AH44" i="8"/>
  <c r="AG44" i="8"/>
  <c r="AF44" i="8"/>
  <c r="AE44" i="8"/>
  <c r="AD44" i="8"/>
  <c r="AC44" i="8"/>
  <c r="AB44" i="8"/>
  <c r="AA44" i="8"/>
  <c r="Z44" i="8"/>
  <c r="Y44" i="8"/>
  <c r="X44" i="8"/>
  <c r="W44" i="8"/>
  <c r="V44" i="8"/>
  <c r="U44" i="8"/>
  <c r="T44" i="8"/>
  <c r="S44" i="8"/>
  <c r="R44" i="8"/>
  <c r="Q44" i="8"/>
  <c r="P44" i="8"/>
  <c r="O44" i="8"/>
  <c r="N44" i="8"/>
  <c r="M44" i="8"/>
  <c r="L44" i="8"/>
  <c r="K44" i="8"/>
  <c r="J44" i="8"/>
  <c r="I44" i="8"/>
  <c r="H44" i="8"/>
  <c r="G44" i="8"/>
  <c r="F44" i="8"/>
  <c r="E44" i="8"/>
  <c r="D44" i="8"/>
  <c r="C44" i="8"/>
  <c r="ER299" i="14"/>
  <c r="ES297" i="14"/>
  <c r="ET297" i="14" s="1"/>
  <c r="ES115" i="14"/>
  <c r="ER115" i="14"/>
  <c r="EO115" i="14"/>
  <c r="EN115" i="14"/>
  <c r="EM115" i="14"/>
  <c r="EJ115" i="14"/>
  <c r="EI115" i="14"/>
  <c r="EH115" i="14"/>
  <c r="EE115" i="14"/>
  <c r="ED115" i="14"/>
  <c r="EC115" i="14"/>
  <c r="DZ115" i="14"/>
  <c r="DY115" i="14"/>
  <c r="DX115" i="14"/>
  <c r="DU115" i="14"/>
  <c r="DT115" i="14"/>
  <c r="DS115" i="14"/>
  <c r="DI115" i="14"/>
  <c r="DJ115" i="14"/>
  <c r="DK115" i="14"/>
  <c r="DN115" i="14"/>
  <c r="DO115" i="14"/>
  <c r="DP115" i="14"/>
  <c r="EW217" i="15"/>
  <c r="ES217" i="15"/>
  <c r="ER217" i="15"/>
  <c r="EP217" i="15"/>
  <c r="EO217" i="15"/>
  <c r="EN217" i="15"/>
  <c r="EM217" i="15"/>
  <c r="EK217" i="15"/>
  <c r="EJ217" i="15"/>
  <c r="EI217" i="15"/>
  <c r="EH217" i="15"/>
  <c r="EF217" i="15"/>
  <c r="EE217" i="15"/>
  <c r="ED217" i="15"/>
  <c r="EC217" i="15"/>
  <c r="EA217" i="15"/>
  <c r="DZ217" i="15"/>
  <c r="DY217" i="15"/>
  <c r="DX217" i="15"/>
  <c r="DV217" i="15"/>
  <c r="DU217" i="15"/>
  <c r="DT217" i="15"/>
  <c r="DS217" i="15"/>
  <c r="DQ217" i="15"/>
  <c r="DP217" i="15"/>
  <c r="DO217" i="15"/>
  <c r="DN217" i="15"/>
  <c r="DL217" i="15"/>
  <c r="DK217" i="15"/>
  <c r="DJ217" i="15"/>
  <c r="DI217" i="15"/>
  <c r="FG210" i="15"/>
  <c r="FG313" i="14" l="1"/>
  <c r="FH313" i="14" s="1"/>
  <c r="FI313" i="14" s="1"/>
  <c r="FJ313" i="14" s="1"/>
  <c r="ET299" i="14"/>
  <c r="EU297" i="14"/>
  <c r="EU299" i="14" s="1"/>
  <c r="FL313" i="14" l="1"/>
  <c r="FQ313" i="14" s="1"/>
  <c r="FM313" i="14" l="1"/>
  <c r="FN313" i="14" s="1"/>
  <c r="FR313" i="14"/>
  <c r="FV313" i="14"/>
  <c r="GA313" i="14" s="1"/>
  <c r="GB313" i="14" l="1"/>
  <c r="GC313" i="14" s="1"/>
  <c r="GD313" i="14" s="1"/>
  <c r="GF313" i="14"/>
  <c r="FW313" i="14"/>
  <c r="FS313" i="14"/>
  <c r="FO313" i="14"/>
  <c r="GG313" i="14" l="1"/>
  <c r="GH313" i="14" s="1"/>
  <c r="GI313" i="14" s="1"/>
  <c r="FX313" i="14"/>
  <c r="FY313" i="14" s="1"/>
  <c r="FT313" i="14"/>
  <c r="CY294" i="14" l="1"/>
  <c r="CY292" i="14" s="1"/>
  <c r="DB293" i="14"/>
  <c r="DA293" i="14"/>
  <c r="CZ293" i="14"/>
  <c r="CY293" i="14"/>
  <c r="DD294" i="14"/>
  <c r="DD292" i="14" s="1"/>
  <c r="DG293" i="14"/>
  <c r="DF293" i="14"/>
  <c r="DE293" i="14"/>
  <c r="DD293" i="14"/>
  <c r="DI294" i="14"/>
  <c r="DI292" i="14" s="1"/>
  <c r="DL293" i="14"/>
  <c r="DK293" i="14"/>
  <c r="DJ293" i="14"/>
  <c r="DI293" i="14"/>
  <c r="DN294" i="14"/>
  <c r="DN292" i="14" s="1"/>
  <c r="DQ293" i="14"/>
  <c r="DP293" i="14"/>
  <c r="DO293" i="14"/>
  <c r="DN293" i="14"/>
  <c r="DS294" i="14"/>
  <c r="DS292" i="14" s="1"/>
  <c r="DV293" i="14"/>
  <c r="DU293" i="14"/>
  <c r="DT293" i="14"/>
  <c r="DS293" i="14"/>
  <c r="DX294" i="14"/>
  <c r="DX292" i="14" s="1"/>
  <c r="EA293" i="14"/>
  <c r="DZ293" i="14"/>
  <c r="DY293" i="14"/>
  <c r="DX293" i="14"/>
  <c r="EC294" i="14"/>
  <c r="EC292" i="14" s="1"/>
  <c r="EF293" i="14"/>
  <c r="EE293" i="14"/>
  <c r="ED293" i="14"/>
  <c r="EC293" i="14"/>
  <c r="EH294" i="14"/>
  <c r="EH292" i="14" s="1"/>
  <c r="EK293" i="14"/>
  <c r="EJ293" i="14"/>
  <c r="EI293" i="14"/>
  <c r="EH293" i="14"/>
  <c r="EM294" i="14"/>
  <c r="EM292" i="14" s="1"/>
  <c r="ER294" i="14"/>
  <c r="ER292" i="14" s="1"/>
  <c r="ES299" i="14"/>
  <c r="CZ287" i="14"/>
  <c r="DA287" i="14" s="1"/>
  <c r="DA294" i="14" s="1"/>
  <c r="DA292" i="14" s="1"/>
  <c r="CY286" i="14"/>
  <c r="CZ286" i="14" s="1"/>
  <c r="DA286" i="14" s="1"/>
  <c r="DB286" i="14" s="1"/>
  <c r="CY285" i="14"/>
  <c r="DE287" i="14"/>
  <c r="DE294" i="14" s="1"/>
  <c r="DE292" i="14" s="1"/>
  <c r="DD286" i="14"/>
  <c r="DE286" i="14" s="1"/>
  <c r="DF286" i="14" s="1"/>
  <c r="DG286" i="14" s="1"/>
  <c r="DD285" i="14"/>
  <c r="DJ287" i="14"/>
  <c r="DK287" i="14" s="1"/>
  <c r="DI286" i="14"/>
  <c r="DJ286" i="14" s="1"/>
  <c r="DK286" i="14" s="1"/>
  <c r="DL286" i="14" s="1"/>
  <c r="DI285" i="14"/>
  <c r="DO287" i="14"/>
  <c r="DO294" i="14" s="1"/>
  <c r="DO292" i="14" s="1"/>
  <c r="DN286" i="14"/>
  <c r="DO286" i="14" s="1"/>
  <c r="DP286" i="14" s="1"/>
  <c r="DQ286" i="14" s="1"/>
  <c r="DN285" i="14"/>
  <c r="DT287" i="14"/>
  <c r="DU287" i="14" s="1"/>
  <c r="DU294" i="14" s="1"/>
  <c r="DU292" i="14" s="1"/>
  <c r="DS286" i="14"/>
  <c r="DT286" i="14" s="1"/>
  <c r="DU286" i="14" s="1"/>
  <c r="DV286" i="14" s="1"/>
  <c r="DS285" i="14"/>
  <c r="DY287" i="14"/>
  <c r="DZ287" i="14" s="1"/>
  <c r="DZ294" i="14" s="1"/>
  <c r="DZ292" i="14" s="1"/>
  <c r="DX286" i="14"/>
  <c r="DY286" i="14" s="1"/>
  <c r="DZ286" i="14" s="1"/>
  <c r="EA286" i="14" s="1"/>
  <c r="DX285" i="14"/>
  <c r="ED287" i="14"/>
  <c r="ED285" i="14" s="1"/>
  <c r="EC286" i="14"/>
  <c r="ED286" i="14" s="1"/>
  <c r="EE286" i="14" s="1"/>
  <c r="EF286" i="14" s="1"/>
  <c r="EC285" i="14"/>
  <c r="EI287" i="14"/>
  <c r="EJ287" i="14" s="1"/>
  <c r="EJ294" i="14" s="1"/>
  <c r="EJ292" i="14" s="1"/>
  <c r="EH286" i="14"/>
  <c r="EI286" i="14" s="1"/>
  <c r="EJ286" i="14" s="1"/>
  <c r="EK286" i="14" s="1"/>
  <c r="EH285" i="14"/>
  <c r="ES287" i="14"/>
  <c r="EM285" i="14"/>
  <c r="EN287" i="14"/>
  <c r="EO287" i="14" s="1"/>
  <c r="EP287" i="14" s="1"/>
  <c r="EP294" i="14" s="1"/>
  <c r="EP292" i="14" s="1"/>
  <c r="DT285" i="14" l="1"/>
  <c r="ES294" i="14"/>
  <c r="ES292" i="14" s="1"/>
  <c r="ET287" i="14"/>
  <c r="EU287" i="14" s="1"/>
  <c r="DO285" i="14"/>
  <c r="DY285" i="14"/>
  <c r="DP287" i="14"/>
  <c r="DQ287" i="14" s="1"/>
  <c r="DQ285" i="14" s="1"/>
  <c r="DF287" i="14"/>
  <c r="DE285" i="14"/>
  <c r="EN285" i="14"/>
  <c r="EO285" i="14"/>
  <c r="DJ285" i="14"/>
  <c r="CZ285" i="14"/>
  <c r="EP285" i="14"/>
  <c r="EN294" i="14"/>
  <c r="EN292" i="14" s="1"/>
  <c r="EO294" i="14"/>
  <c r="EO292" i="14" s="1"/>
  <c r="CZ294" i="14"/>
  <c r="CZ292" i="14" s="1"/>
  <c r="DK285" i="14"/>
  <c r="DL287" i="14"/>
  <c r="DK294" i="14"/>
  <c r="DK292" i="14" s="1"/>
  <c r="EI285" i="14"/>
  <c r="EI294" i="14"/>
  <c r="EI292" i="14" s="1"/>
  <c r="ED294" i="14"/>
  <c r="ED292" i="14" s="1"/>
  <c r="DY294" i="14"/>
  <c r="DY292" i="14" s="1"/>
  <c r="DT294" i="14"/>
  <c r="DT292" i="14" s="1"/>
  <c r="DJ294" i="14"/>
  <c r="DJ292" i="14" s="1"/>
  <c r="DB287" i="14"/>
  <c r="DA285" i="14"/>
  <c r="DV287" i="14"/>
  <c r="DU285" i="14"/>
  <c r="EA287" i="14"/>
  <c r="DZ285" i="14"/>
  <c r="EE287" i="14"/>
  <c r="EE294" i="14" s="1"/>
  <c r="EE292" i="14" s="1"/>
  <c r="EK287" i="14"/>
  <c r="EJ285" i="14"/>
  <c r="EU294" i="14" l="1"/>
  <c r="EU292" i="14" s="1"/>
  <c r="EU285" i="14"/>
  <c r="ET294" i="14"/>
  <c r="ET292" i="14" s="1"/>
  <c r="ET285" i="14"/>
  <c r="DP294" i="14"/>
  <c r="DP292" i="14" s="1"/>
  <c r="DP285" i="14"/>
  <c r="DF294" i="14"/>
  <c r="DF292" i="14" s="1"/>
  <c r="DG287" i="14"/>
  <c r="DF285" i="14"/>
  <c r="DQ294" i="14"/>
  <c r="DQ292" i="14" s="1"/>
  <c r="DB285" i="14"/>
  <c r="DB294" i="14"/>
  <c r="DB292" i="14" s="1"/>
  <c r="EA285" i="14"/>
  <c r="EA294" i="14"/>
  <c r="EA292" i="14" s="1"/>
  <c r="DV285" i="14"/>
  <c r="DV294" i="14"/>
  <c r="DV292" i="14" s="1"/>
  <c r="DL285" i="14"/>
  <c r="DL294" i="14"/>
  <c r="DL292" i="14" s="1"/>
  <c r="EK285" i="14"/>
  <c r="EK294" i="14"/>
  <c r="EK292" i="14" s="1"/>
  <c r="EF287" i="14"/>
  <c r="EE285" i="14"/>
  <c r="DG285" i="14" l="1"/>
  <c r="DG294" i="14"/>
  <c r="DG292" i="14" s="1"/>
  <c r="EF285" i="14"/>
  <c r="EF294" i="14"/>
  <c r="EF292" i="14" s="1"/>
  <c r="DB291" i="14"/>
  <c r="DA291" i="14"/>
  <c r="CZ291" i="14"/>
  <c r="CY291" i="14"/>
  <c r="CY290" i="14"/>
  <c r="DG291" i="14"/>
  <c r="DF291" i="14"/>
  <c r="DE291" i="14"/>
  <c r="DD291" i="14"/>
  <c r="DD290" i="14"/>
  <c r="DL291" i="14"/>
  <c r="DK291" i="14"/>
  <c r="DJ291" i="14"/>
  <c r="DI291" i="14"/>
  <c r="DI290" i="14"/>
  <c r="DQ291" i="14"/>
  <c r="DP291" i="14"/>
  <c r="DO291" i="14"/>
  <c r="DN291" i="14"/>
  <c r="DN290" i="14"/>
  <c r="DV291" i="14"/>
  <c r="DU291" i="14"/>
  <c r="DT291" i="14"/>
  <c r="DS291" i="14"/>
  <c r="DS290" i="14"/>
  <c r="EA291" i="14"/>
  <c r="DZ291" i="14"/>
  <c r="DY291" i="14"/>
  <c r="DX291" i="14"/>
  <c r="DX290" i="14"/>
  <c r="EF291" i="14"/>
  <c r="EE291" i="14"/>
  <c r="ED291" i="14"/>
  <c r="EC291" i="14"/>
  <c r="EC290" i="14"/>
  <c r="CY284" i="14"/>
  <c r="CZ284" i="14" s="1"/>
  <c r="CZ283" i="14"/>
  <c r="DA283" i="14" s="1"/>
  <c r="DB283" i="14" s="1"/>
  <c r="DD284" i="14"/>
  <c r="DE284" i="14" s="1"/>
  <c r="DE283" i="14"/>
  <c r="DF283" i="14" s="1"/>
  <c r="DG283" i="14" s="1"/>
  <c r="EK291" i="14"/>
  <c r="EJ291" i="14"/>
  <c r="EI291" i="14"/>
  <c r="EH291" i="14"/>
  <c r="EH289" i="14" s="1"/>
  <c r="EH290" i="14"/>
  <c r="EM296" i="14"/>
  <c r="EN296" i="14" s="1"/>
  <c r="EO296" i="14" s="1"/>
  <c r="EP296" i="14" s="1"/>
  <c r="ER290" i="14"/>
  <c r="ES293" i="14"/>
  <c r="ER293" i="14"/>
  <c r="ES291" i="14"/>
  <c r="ER291" i="14"/>
  <c r="ER286" i="14"/>
  <c r="ES286" i="14" s="1"/>
  <c r="ET286" i="14" s="1"/>
  <c r="EU286" i="14" s="1"/>
  <c r="ER284" i="14"/>
  <c r="ES284" i="14" s="1"/>
  <c r="ET284" i="14" s="1"/>
  <c r="EU284" i="14" s="1"/>
  <c r="ES283" i="14"/>
  <c r="ET283" i="14" s="1"/>
  <c r="EM286" i="14"/>
  <c r="EN286" i="14" s="1"/>
  <c r="EO286" i="14" s="1"/>
  <c r="EP286" i="14" s="1"/>
  <c r="EM284" i="14"/>
  <c r="EN284" i="14" s="1"/>
  <c r="EN283" i="14"/>
  <c r="EH284" i="14"/>
  <c r="EI284" i="14" s="1"/>
  <c r="EI283" i="14"/>
  <c r="DI284" i="14"/>
  <c r="DJ284" i="14" s="1"/>
  <c r="DJ283" i="14"/>
  <c r="DK283" i="14" s="1"/>
  <c r="DL283" i="14" s="1"/>
  <c r="DL290" i="14" s="1"/>
  <c r="DN284" i="14"/>
  <c r="DN282" i="14" s="1"/>
  <c r="DO283" i="14"/>
  <c r="DP283" i="14" s="1"/>
  <c r="DQ283" i="14" s="1"/>
  <c r="DS284" i="14"/>
  <c r="DT283" i="14"/>
  <c r="DU283" i="14" s="1"/>
  <c r="DV283" i="14" s="1"/>
  <c r="DV290" i="14" s="1"/>
  <c r="DX284" i="14"/>
  <c r="DY284" i="14" s="1"/>
  <c r="DZ284" i="14" s="1"/>
  <c r="DY283" i="14"/>
  <c r="DZ283" i="14" s="1"/>
  <c r="EA283" i="14" s="1"/>
  <c r="ED283" i="14"/>
  <c r="EE283" i="14" s="1"/>
  <c r="EF283" i="14" s="1"/>
  <c r="ER296" i="14"/>
  <c r="ES296" i="14" s="1"/>
  <c r="ET296" i="14" s="1"/>
  <c r="EU296" i="14" s="1"/>
  <c r="EP293" i="14"/>
  <c r="EO293" i="14"/>
  <c r="EN293" i="14"/>
  <c r="EM293" i="14"/>
  <c r="EP291" i="14"/>
  <c r="EO291" i="14"/>
  <c r="EN291" i="14"/>
  <c r="EM291" i="14"/>
  <c r="EU282" i="14" l="1"/>
  <c r="ET290" i="14"/>
  <c r="EU283" i="14"/>
  <c r="EU290" i="14" s="1"/>
  <c r="ET282" i="14"/>
  <c r="EM289" i="14"/>
  <c r="DD282" i="14"/>
  <c r="DB290" i="14"/>
  <c r="DY290" i="14"/>
  <c r="DN289" i="14"/>
  <c r="DN278" i="14" s="1"/>
  <c r="DG290" i="14"/>
  <c r="DZ290" i="14"/>
  <c r="DX289" i="14"/>
  <c r="DS289" i="14"/>
  <c r="DQ290" i="14"/>
  <c r="DJ290" i="14"/>
  <c r="DI289" i="14"/>
  <c r="EI289" i="14"/>
  <c r="DS282" i="14"/>
  <c r="EC289" i="14"/>
  <c r="EA290" i="14"/>
  <c r="DK290" i="14"/>
  <c r="DE290" i="14"/>
  <c r="DD289" i="14"/>
  <c r="CY289" i="14"/>
  <c r="CZ289" i="14" s="1"/>
  <c r="DA289" i="14" s="1"/>
  <c r="DB289" i="14" s="1"/>
  <c r="CZ290" i="14"/>
  <c r="DA290" i="14"/>
  <c r="DF290" i="14"/>
  <c r="DO290" i="14"/>
  <c r="DP290" i="14"/>
  <c r="DT290" i="14"/>
  <c r="DU290" i="14"/>
  <c r="ED290" i="14"/>
  <c r="EE290" i="14"/>
  <c r="EF290" i="14"/>
  <c r="EJ283" i="14"/>
  <c r="EJ290" i="14" s="1"/>
  <c r="EO283" i="14"/>
  <c r="DA284" i="14"/>
  <c r="CZ282" i="14"/>
  <c r="CY282" i="14"/>
  <c r="DF284" i="14"/>
  <c r="DE282" i="14"/>
  <c r="EI290" i="14"/>
  <c r="DT284" i="14"/>
  <c r="DU284" i="14" s="1"/>
  <c r="DV284" i="14" s="1"/>
  <c r="DI282" i="14"/>
  <c r="EH282" i="14"/>
  <c r="EH278" i="14" s="1"/>
  <c r="EM279" i="14" s="1"/>
  <c r="EN282" i="14"/>
  <c r="DO284" i="14"/>
  <c r="DP284" i="14" s="1"/>
  <c r="DQ284" i="14" s="1"/>
  <c r="DX282" i="14"/>
  <c r="DX278" i="14" s="1"/>
  <c r="ES290" i="14"/>
  <c r="EM282" i="14"/>
  <c r="EO284" i="14"/>
  <c r="EJ284" i="14"/>
  <c r="EI282" i="14"/>
  <c r="DK284" i="14"/>
  <c r="DJ282" i="14"/>
  <c r="DZ282" i="14"/>
  <c r="EA284" i="14"/>
  <c r="DY282" i="14"/>
  <c r="EC284" i="14"/>
  <c r="ED284" i="14" s="1"/>
  <c r="EE284" i="14" s="1"/>
  <c r="EF284" i="14" s="1"/>
  <c r="DL86" i="42"/>
  <c r="DK86" i="42"/>
  <c r="DJ86" i="42"/>
  <c r="DI86" i="42"/>
  <c r="DG86" i="42"/>
  <c r="DF86" i="42"/>
  <c r="DE86" i="42"/>
  <c r="DD86" i="42"/>
  <c r="DB86" i="42"/>
  <c r="DA86" i="42"/>
  <c r="CZ86" i="42"/>
  <c r="CY86" i="42"/>
  <c r="CW86" i="42"/>
  <c r="CV86" i="42"/>
  <c r="CU86" i="42"/>
  <c r="CT86" i="42"/>
  <c r="DL85" i="42"/>
  <c r="DK85" i="42"/>
  <c r="DJ85" i="42"/>
  <c r="DI85" i="42"/>
  <c r="DH85" i="42"/>
  <c r="DG85" i="42"/>
  <c r="DF85" i="42"/>
  <c r="DE85" i="42"/>
  <c r="DD85" i="42"/>
  <c r="DC85" i="42"/>
  <c r="DB85" i="42"/>
  <c r="DA85" i="42"/>
  <c r="CZ85" i="42"/>
  <c r="CY85" i="42"/>
  <c r="CX85" i="42"/>
  <c r="CW85" i="42"/>
  <c r="CV85" i="42"/>
  <c r="CU85" i="42"/>
  <c r="CT85" i="42"/>
  <c r="DL81" i="42"/>
  <c r="DK81" i="42"/>
  <c r="DJ81" i="42"/>
  <c r="DI81" i="42"/>
  <c r="DG81" i="42"/>
  <c r="DF81" i="42"/>
  <c r="DE81" i="42"/>
  <c r="DD81" i="42"/>
  <c r="DB81" i="42"/>
  <c r="DA81" i="42"/>
  <c r="CZ81" i="42"/>
  <c r="CY81" i="42"/>
  <c r="CW81" i="42"/>
  <c r="CV81" i="42"/>
  <c r="CU81" i="42"/>
  <c r="CT81" i="42"/>
  <c r="DL80" i="42"/>
  <c r="DK80" i="42"/>
  <c r="DJ80" i="42"/>
  <c r="DI80" i="42"/>
  <c r="DH80" i="42"/>
  <c r="DG80" i="42"/>
  <c r="DF80" i="42"/>
  <c r="DE80" i="42"/>
  <c r="DD80" i="42"/>
  <c r="DC80" i="42"/>
  <c r="DB80" i="42"/>
  <c r="DA80" i="42"/>
  <c r="CZ80" i="42"/>
  <c r="CY80" i="42"/>
  <c r="CX80" i="42"/>
  <c r="CW80" i="42"/>
  <c r="CV80" i="42"/>
  <c r="CU80" i="42"/>
  <c r="CT80" i="42"/>
  <c r="DF71" i="42"/>
  <c r="DE71" i="42"/>
  <c r="DD71" i="42"/>
  <c r="DB71" i="42"/>
  <c r="DA71" i="42"/>
  <c r="CZ71" i="42"/>
  <c r="CY71" i="42"/>
  <c r="CW71" i="42"/>
  <c r="CV71" i="42"/>
  <c r="CU71" i="42"/>
  <c r="CT71" i="42"/>
  <c r="DH70" i="42"/>
  <c r="DF70" i="42"/>
  <c r="DE70" i="42"/>
  <c r="DD70" i="42"/>
  <c r="DC70" i="42"/>
  <c r="DB70" i="42"/>
  <c r="DA70" i="42"/>
  <c r="CZ70" i="42"/>
  <c r="CY70" i="42"/>
  <c r="CX70" i="42"/>
  <c r="CW70" i="42"/>
  <c r="CV70" i="42"/>
  <c r="CU70" i="42"/>
  <c r="CT70" i="42"/>
  <c r="DI69" i="42"/>
  <c r="DI70" i="42" s="1"/>
  <c r="DJ69" i="42"/>
  <c r="DJ70" i="42" s="1"/>
  <c r="DK69" i="42"/>
  <c r="DL69" i="42"/>
  <c r="DN69" i="42"/>
  <c r="DO69" i="42"/>
  <c r="DP69" i="42"/>
  <c r="DQ69" i="42"/>
  <c r="DS69" i="42"/>
  <c r="DT69" i="42"/>
  <c r="DU69" i="42"/>
  <c r="DV69" i="42"/>
  <c r="DX69" i="42"/>
  <c r="DY69" i="42"/>
  <c r="DZ69" i="42"/>
  <c r="EB69" i="42"/>
  <c r="EC69" i="42"/>
  <c r="ED69" i="42"/>
  <c r="EE69" i="42"/>
  <c r="EG69" i="42"/>
  <c r="EH69" i="42"/>
  <c r="EI69" i="42"/>
  <c r="EJ69" i="42"/>
  <c r="EL69" i="42"/>
  <c r="EM69" i="42"/>
  <c r="ER70" i="42" s="1"/>
  <c r="EN69" i="42"/>
  <c r="ES70" i="42" s="1"/>
  <c r="EO69" i="42"/>
  <c r="ET70" i="42" s="1"/>
  <c r="EQ69" i="42"/>
  <c r="EV70" i="42" s="1"/>
  <c r="DH59" i="42"/>
  <c r="DI59" i="42"/>
  <c r="DJ59" i="42"/>
  <c r="DK59" i="42"/>
  <c r="DM59" i="42"/>
  <c r="DN59" i="42"/>
  <c r="DO59" i="42"/>
  <c r="DP59" i="42"/>
  <c r="DR59" i="42"/>
  <c r="DS59" i="42"/>
  <c r="DT59" i="42"/>
  <c r="DU59" i="42"/>
  <c r="DW59" i="42"/>
  <c r="DX59" i="42"/>
  <c r="DY59" i="42"/>
  <c r="DZ59" i="42"/>
  <c r="EB59" i="42"/>
  <c r="EC59" i="42"/>
  <c r="ED59" i="42"/>
  <c r="EE59" i="42"/>
  <c r="EG59" i="42"/>
  <c r="EH59" i="42"/>
  <c r="EI59" i="42"/>
  <c r="EJ59" i="42"/>
  <c r="EL59" i="42"/>
  <c r="EM59" i="42"/>
  <c r="ER60" i="42" s="1"/>
  <c r="EN59" i="42"/>
  <c r="ES60" i="42" s="1"/>
  <c r="EO59" i="42"/>
  <c r="ET60" i="42" s="1"/>
  <c r="EQ59" i="42"/>
  <c r="EV60" i="42" s="1"/>
  <c r="DB56" i="42"/>
  <c r="DA56" i="42"/>
  <c r="CZ56" i="42"/>
  <c r="CY56" i="42"/>
  <c r="CW56" i="42"/>
  <c r="CV56" i="42"/>
  <c r="CU56" i="42"/>
  <c r="CT56" i="42"/>
  <c r="DC55" i="42"/>
  <c r="DB55" i="42"/>
  <c r="DA55" i="42"/>
  <c r="CZ55" i="42"/>
  <c r="CY55" i="42"/>
  <c r="CX55" i="42"/>
  <c r="CW55" i="42"/>
  <c r="CV55" i="42"/>
  <c r="CU55" i="42"/>
  <c r="CT55" i="42"/>
  <c r="EG39" i="42"/>
  <c r="EL39" i="42"/>
  <c r="EM39" i="42"/>
  <c r="ER40" i="42" s="1"/>
  <c r="EN39" i="42"/>
  <c r="ES40" i="42" s="1"/>
  <c r="EQ39" i="42"/>
  <c r="EV40" i="42" s="1"/>
  <c r="DJ34" i="42"/>
  <c r="DJ36" i="42" s="1"/>
  <c r="DK34" i="42"/>
  <c r="DL34" i="42"/>
  <c r="DL35" i="42" s="1"/>
  <c r="DN34" i="42"/>
  <c r="DN35" i="42" s="1"/>
  <c r="DO34" i="42"/>
  <c r="DP34" i="42"/>
  <c r="DQ34" i="42"/>
  <c r="EG34" i="42"/>
  <c r="EH34" i="42"/>
  <c r="EI34" i="42"/>
  <c r="EJ34" i="42"/>
  <c r="EL34" i="42"/>
  <c r="EM34" i="42"/>
  <c r="ER35" i="42" s="1"/>
  <c r="EN34" i="42"/>
  <c r="ES35" i="42" s="1"/>
  <c r="EO34" i="42"/>
  <c r="ET35" i="42" s="1"/>
  <c r="EQ34" i="42"/>
  <c r="EV35" i="42" s="1"/>
  <c r="DI36" i="42"/>
  <c r="DG36" i="42"/>
  <c r="DF36" i="42"/>
  <c r="DE36" i="42"/>
  <c r="DD36" i="42"/>
  <c r="DB36" i="42"/>
  <c r="DA36" i="42"/>
  <c r="CZ36" i="42"/>
  <c r="CY36" i="42"/>
  <c r="CW36" i="42"/>
  <c r="CV36" i="42"/>
  <c r="CU36" i="42"/>
  <c r="CT36" i="42"/>
  <c r="DI35" i="42"/>
  <c r="DH35" i="42"/>
  <c r="DG35" i="42"/>
  <c r="DF35" i="42"/>
  <c r="DE35" i="42"/>
  <c r="DD35" i="42"/>
  <c r="DC35" i="42"/>
  <c r="DB35" i="42"/>
  <c r="DA35" i="42"/>
  <c r="CZ35" i="42"/>
  <c r="CY35" i="42"/>
  <c r="CX35" i="42"/>
  <c r="CW35" i="42"/>
  <c r="CV35" i="42"/>
  <c r="CU35" i="42"/>
  <c r="CT35" i="42"/>
  <c r="DG26" i="42"/>
  <c r="DF26" i="42"/>
  <c r="DE26" i="42"/>
  <c r="DD26" i="42"/>
  <c r="DB26" i="42"/>
  <c r="DA26" i="42"/>
  <c r="CZ26" i="42"/>
  <c r="DH25" i="42"/>
  <c r="DG25" i="42"/>
  <c r="DF25" i="42"/>
  <c r="DE25" i="42"/>
  <c r="DD25" i="42"/>
  <c r="DF16" i="42"/>
  <c r="DE16" i="42"/>
  <c r="DD16" i="42"/>
  <c r="DB16" i="42"/>
  <c r="DA16" i="42"/>
  <c r="CZ16" i="42"/>
  <c r="DF15" i="42"/>
  <c r="DE15" i="42"/>
  <c r="DD15" i="42"/>
  <c r="DG14" i="42"/>
  <c r="DG16" i="42" s="1"/>
  <c r="DH14" i="42"/>
  <c r="DH15" i="42" s="1"/>
  <c r="DI14" i="42"/>
  <c r="DJ14" i="42"/>
  <c r="DJ15" i="42" s="1"/>
  <c r="DK14" i="42"/>
  <c r="DK15" i="42" s="1"/>
  <c r="DL14" i="42"/>
  <c r="DM14" i="42"/>
  <c r="DN14" i="42"/>
  <c r="DO14" i="42"/>
  <c r="DP14" i="42"/>
  <c r="DQ14" i="42"/>
  <c r="DS14" i="42"/>
  <c r="DT14" i="42"/>
  <c r="DU14" i="42"/>
  <c r="DV14" i="42"/>
  <c r="DX14" i="42"/>
  <c r="DY14" i="42"/>
  <c r="DZ14" i="42"/>
  <c r="EA14" i="42"/>
  <c r="EC14" i="42"/>
  <c r="ED14" i="42"/>
  <c r="EE14" i="42"/>
  <c r="EF14" i="42"/>
  <c r="EH14" i="42"/>
  <c r="EI14" i="42"/>
  <c r="EJ14" i="42"/>
  <c r="EK14" i="42"/>
  <c r="EM14" i="42"/>
  <c r="ER15" i="42" s="1"/>
  <c r="EN14" i="42"/>
  <c r="ES15" i="42" s="1"/>
  <c r="EO14" i="42"/>
  <c r="ET15" i="42" s="1"/>
  <c r="EP14" i="42"/>
  <c r="EP64" i="42"/>
  <c r="EO64" i="42"/>
  <c r="ET65" i="42" s="1"/>
  <c r="EN64" i="42"/>
  <c r="ES65" i="42" s="1"/>
  <c r="EM64" i="42"/>
  <c r="ER65" i="42" s="1"/>
  <c r="EK64" i="42"/>
  <c r="EJ64" i="42"/>
  <c r="EI64" i="42"/>
  <c r="EH64" i="42"/>
  <c r="EF64" i="42"/>
  <c r="EE64" i="42"/>
  <c r="ED64" i="42"/>
  <c r="EC64" i="42"/>
  <c r="EA64" i="42"/>
  <c r="DZ64" i="42"/>
  <c r="DY64" i="42"/>
  <c r="DX64" i="42"/>
  <c r="DV64" i="42"/>
  <c r="DU64" i="42"/>
  <c r="DT64" i="42"/>
  <c r="DS64" i="42"/>
  <c r="DQ64" i="42"/>
  <c r="DP64" i="42"/>
  <c r="DO64" i="42"/>
  <c r="DN64" i="42"/>
  <c r="DL64" i="42"/>
  <c r="DK64" i="42"/>
  <c r="DJ64" i="42"/>
  <c r="DI64" i="42"/>
  <c r="DG64" i="42"/>
  <c r="DF64" i="42"/>
  <c r="DE64" i="42"/>
  <c r="DD64" i="42"/>
  <c r="DB64" i="42"/>
  <c r="DA64" i="42"/>
  <c r="CZ64" i="42"/>
  <c r="CY64" i="42"/>
  <c r="EP44" i="42"/>
  <c r="EO44" i="42"/>
  <c r="ET45" i="42" s="1"/>
  <c r="EN44" i="42"/>
  <c r="ES45" i="42" s="1"/>
  <c r="EM44" i="42"/>
  <c r="ER45" i="42" s="1"/>
  <c r="EK44" i="42"/>
  <c r="EJ44" i="42"/>
  <c r="EI44" i="42"/>
  <c r="EH44" i="42"/>
  <c r="EF44" i="42"/>
  <c r="EE44" i="42"/>
  <c r="ED44" i="42"/>
  <c r="EC44" i="42"/>
  <c r="EA44" i="42"/>
  <c r="DZ44" i="42"/>
  <c r="DY44" i="42"/>
  <c r="DX44" i="42"/>
  <c r="DV44" i="42"/>
  <c r="DU44" i="42"/>
  <c r="DT44" i="42"/>
  <c r="DS44" i="42"/>
  <c r="DQ44" i="42"/>
  <c r="DP44" i="42"/>
  <c r="DO44" i="42"/>
  <c r="DN44" i="42"/>
  <c r="DL44" i="42"/>
  <c r="DK44" i="42"/>
  <c r="DJ44" i="42"/>
  <c r="DI44" i="42"/>
  <c r="DG44" i="42"/>
  <c r="DF44" i="42"/>
  <c r="DE44" i="42"/>
  <c r="DD44" i="42"/>
  <c r="DB44" i="42"/>
  <c r="DA44" i="42"/>
  <c r="CZ44" i="42"/>
  <c r="CY44" i="42"/>
  <c r="EP19" i="42"/>
  <c r="EO19" i="42"/>
  <c r="ET20" i="42" s="1"/>
  <c r="EN19" i="42"/>
  <c r="ES20" i="42" s="1"/>
  <c r="EM19" i="42"/>
  <c r="ER20" i="42" s="1"/>
  <c r="EK19" i="42"/>
  <c r="EJ19" i="42"/>
  <c r="EI19" i="42"/>
  <c r="EH19" i="42"/>
  <c r="EF19" i="42"/>
  <c r="EE19" i="42"/>
  <c r="ED19" i="42"/>
  <c r="EC19" i="42"/>
  <c r="EA19" i="42"/>
  <c r="DZ19" i="42"/>
  <c r="DY19" i="42"/>
  <c r="DX19" i="42"/>
  <c r="DV19" i="42"/>
  <c r="DU19" i="42"/>
  <c r="DT19" i="42"/>
  <c r="DS19" i="42"/>
  <c r="DQ19" i="42"/>
  <c r="DP19" i="42"/>
  <c r="DO19" i="42"/>
  <c r="DN19" i="42"/>
  <c r="DL19" i="42"/>
  <c r="DK19" i="42"/>
  <c r="DJ19" i="42"/>
  <c r="DI19" i="42"/>
  <c r="DG19" i="42"/>
  <c r="DF19" i="42"/>
  <c r="DE19" i="42"/>
  <c r="DD19" i="42"/>
  <c r="DB19" i="42"/>
  <c r="DA19" i="42"/>
  <c r="CZ19" i="42"/>
  <c r="CY19" i="42"/>
  <c r="ER79" i="6"/>
  <c r="ES79" i="6"/>
  <c r="DN93" i="6"/>
  <c r="DO93" i="6"/>
  <c r="DP93" i="6"/>
  <c r="DQ93" i="6"/>
  <c r="DS93" i="6"/>
  <c r="DT93" i="6"/>
  <c r="DU93" i="6"/>
  <c r="DV93" i="6"/>
  <c r="DX93" i="6"/>
  <c r="DY93" i="6"/>
  <c r="DZ93" i="6"/>
  <c r="EA93" i="6"/>
  <c r="EC93" i="6"/>
  <c r="ED93" i="6"/>
  <c r="EE93" i="6"/>
  <c r="EF93" i="6"/>
  <c r="EH93" i="6"/>
  <c r="EI93" i="6"/>
  <c r="EJ93" i="6"/>
  <c r="EK93" i="6"/>
  <c r="EM93" i="6"/>
  <c r="EN93" i="6"/>
  <c r="EO93" i="6"/>
  <c r="ET94" i="6" s="1"/>
  <c r="EP93" i="6"/>
  <c r="EU94" i="6" s="1"/>
  <c r="ER93" i="6"/>
  <c r="EW94" i="6" s="1"/>
  <c r="ES93" i="6"/>
  <c r="BS68" i="6"/>
  <c r="BR68" i="6"/>
  <c r="BQ68" i="6"/>
  <c r="BP68" i="6"/>
  <c r="C150" i="5"/>
  <c r="D150" i="5"/>
  <c r="E150" i="5"/>
  <c r="F150" i="5"/>
  <c r="H150" i="5"/>
  <c r="I150" i="5"/>
  <c r="J150" i="5"/>
  <c r="K150" i="5"/>
  <c r="M150" i="5"/>
  <c r="N150" i="5"/>
  <c r="O150" i="5"/>
  <c r="P150" i="5"/>
  <c r="R150" i="5"/>
  <c r="S150" i="5"/>
  <c r="T150" i="5"/>
  <c r="U150" i="5"/>
  <c r="ES150" i="5"/>
  <c r="ET95" i="6" l="1"/>
  <c r="EX94" i="6"/>
  <c r="EI278" i="14"/>
  <c r="DI278" i="14"/>
  <c r="CY278" i="14"/>
  <c r="CZ278" i="14"/>
  <c r="DS278" i="14"/>
  <c r="DD278" i="14"/>
  <c r="ER46" i="42"/>
  <c r="EU45" i="42"/>
  <c r="ER66" i="42"/>
  <c r="EU65" i="42"/>
  <c r="EU15" i="42"/>
  <c r="ER16" i="42"/>
  <c r="EU20" i="42"/>
  <c r="ER21" i="42"/>
  <c r="DO72" i="42"/>
  <c r="DT289" i="14"/>
  <c r="DY289" i="14"/>
  <c r="DY278" i="14" s="1"/>
  <c r="EJ289" i="14"/>
  <c r="EN289" i="14"/>
  <c r="DJ289" i="14"/>
  <c r="DJ278" i="14" s="1"/>
  <c r="DO289" i="14"/>
  <c r="DN62" i="42"/>
  <c r="DS60" i="42"/>
  <c r="DT62" i="42"/>
  <c r="DU72" i="42"/>
  <c r="DT282" i="14"/>
  <c r="DY60" i="42"/>
  <c r="DE289" i="14"/>
  <c r="DE278" i="14" s="1"/>
  <c r="ED289" i="14"/>
  <c r="EF282" i="14"/>
  <c r="EK283" i="14"/>
  <c r="EP283" i="14"/>
  <c r="DA282" i="14"/>
  <c r="DA278" i="14" s="1"/>
  <c r="DB284" i="14"/>
  <c r="DF282" i="14"/>
  <c r="DG284" i="14"/>
  <c r="DO282" i="14"/>
  <c r="DU282" i="14"/>
  <c r="EC282" i="14"/>
  <c r="EC278" i="14" s="1"/>
  <c r="DV282" i="14"/>
  <c r="ED282" i="14"/>
  <c r="EE282" i="14"/>
  <c r="EO282" i="14"/>
  <c r="EP284" i="14"/>
  <c r="EP282" i="14" s="1"/>
  <c r="EJ282" i="14"/>
  <c r="EK284" i="14"/>
  <c r="EK282" i="14" s="1"/>
  <c r="DK282" i="14"/>
  <c r="DL284" i="14"/>
  <c r="DP282" i="14"/>
  <c r="EA282" i="14"/>
  <c r="EN41" i="42"/>
  <c r="DK37" i="42"/>
  <c r="DQ37" i="42"/>
  <c r="EI37" i="42"/>
  <c r="EO37" i="42"/>
  <c r="DI72" i="42"/>
  <c r="EM72" i="42"/>
  <c r="EI36" i="42"/>
  <c r="EN35" i="42"/>
  <c r="DO61" i="42"/>
  <c r="EE61" i="42"/>
  <c r="DX60" i="42"/>
  <c r="EN70" i="42"/>
  <c r="EH70" i="42"/>
  <c r="DV70" i="42"/>
  <c r="DP70" i="42"/>
  <c r="DY62" i="42"/>
  <c r="EE62" i="42"/>
  <c r="DP61" i="42"/>
  <c r="EL70" i="42"/>
  <c r="DZ70" i="42"/>
  <c r="DT70" i="42"/>
  <c r="DN71" i="42"/>
  <c r="EE72" i="42"/>
  <c r="DY72" i="42"/>
  <c r="DS72" i="42"/>
  <c r="EJ72" i="42"/>
  <c r="ED72" i="42"/>
  <c r="DX72" i="42"/>
  <c r="EQ40" i="42"/>
  <c r="ED71" i="42"/>
  <c r="EH72" i="42"/>
  <c r="DT72" i="42"/>
  <c r="EQ60" i="42"/>
  <c r="EO70" i="42"/>
  <c r="EO72" i="42"/>
  <c r="EI70" i="42"/>
  <c r="EI72" i="42"/>
  <c r="EC72" i="42"/>
  <c r="DQ70" i="42"/>
  <c r="DQ72" i="42"/>
  <c r="DK70" i="42"/>
  <c r="DK72" i="42"/>
  <c r="EN72" i="42"/>
  <c r="DZ72" i="42"/>
  <c r="DL72" i="42"/>
  <c r="DJ72" i="42"/>
  <c r="ED61" i="42"/>
  <c r="DO71" i="42"/>
  <c r="DP72" i="42"/>
  <c r="DL36" i="42"/>
  <c r="EL40" i="42"/>
  <c r="DP71" i="42"/>
  <c r="DV72" i="42"/>
  <c r="EQ70" i="42"/>
  <c r="DV71" i="42"/>
  <c r="DN72" i="42"/>
  <c r="EL60" i="42"/>
  <c r="DT61" i="42"/>
  <c r="EM70" i="42"/>
  <c r="EG70" i="42"/>
  <c r="DU71" i="42"/>
  <c r="DO70" i="42"/>
  <c r="EE71" i="42"/>
  <c r="EE70" i="42"/>
  <c r="DZ71" i="42"/>
  <c r="DY71" i="42"/>
  <c r="DY70" i="42"/>
  <c r="DT71" i="42"/>
  <c r="DS71" i="42"/>
  <c r="DS70" i="42"/>
  <c r="ED70" i="42"/>
  <c r="EJ70" i="42"/>
  <c r="DN37" i="42"/>
  <c r="EJ62" i="42"/>
  <c r="EJ60" i="42"/>
  <c r="ED62" i="42"/>
  <c r="ED60" i="42"/>
  <c r="DX62" i="42"/>
  <c r="DR60" i="42"/>
  <c r="DX70" i="42"/>
  <c r="DX71" i="42"/>
  <c r="EM42" i="42"/>
  <c r="DZ62" i="42"/>
  <c r="DN70" i="42"/>
  <c r="DJ71" i="42"/>
  <c r="DQ71" i="42"/>
  <c r="EN71" i="42"/>
  <c r="DU61" i="42"/>
  <c r="DM60" i="42"/>
  <c r="EE60" i="42"/>
  <c r="DU70" i="42"/>
  <c r="DK71" i="42"/>
  <c r="EO71" i="42"/>
  <c r="DQ36" i="42"/>
  <c r="DL71" i="42"/>
  <c r="EI71" i="42"/>
  <c r="DY61" i="42"/>
  <c r="EC70" i="42"/>
  <c r="EJ71" i="42"/>
  <c r="EN60" i="42"/>
  <c r="EN62" i="42"/>
  <c r="EN61" i="42"/>
  <c r="EH60" i="42"/>
  <c r="EH62" i="42"/>
  <c r="EM60" i="42"/>
  <c r="EB60" i="42"/>
  <c r="EG60" i="42"/>
  <c r="DP60" i="42"/>
  <c r="DP62" i="42"/>
  <c r="DU60" i="42"/>
  <c r="DJ62" i="42"/>
  <c r="DO60" i="42"/>
  <c r="DJ61" i="42"/>
  <c r="EI60" i="42"/>
  <c r="EI62" i="42"/>
  <c r="EI61" i="42"/>
  <c r="DW60" i="42"/>
  <c r="EM62" i="42"/>
  <c r="DO62" i="42"/>
  <c r="DI62" i="42"/>
  <c r="DS62" i="42"/>
  <c r="EO60" i="42"/>
  <c r="EO62" i="42"/>
  <c r="EO61" i="42"/>
  <c r="EC60" i="42"/>
  <c r="EC62" i="42"/>
  <c r="DK62" i="42"/>
  <c r="DK61" i="42"/>
  <c r="EO36" i="42"/>
  <c r="DN60" i="42"/>
  <c r="DT60" i="42"/>
  <c r="DZ60" i="42"/>
  <c r="DU62" i="42"/>
  <c r="DZ61" i="42"/>
  <c r="EJ61" i="42"/>
  <c r="DJ35" i="42"/>
  <c r="DK36" i="42"/>
  <c r="DP35" i="42"/>
  <c r="DK35" i="42"/>
  <c r="DP37" i="42"/>
  <c r="DJ37" i="42"/>
  <c r="EH37" i="42"/>
  <c r="EN37" i="42"/>
  <c r="EN42" i="42"/>
  <c r="EQ35" i="42"/>
  <c r="EM35" i="42"/>
  <c r="DO35" i="42"/>
  <c r="EJ37" i="42"/>
  <c r="DL37" i="42"/>
  <c r="DQ35" i="42"/>
  <c r="EO35" i="42"/>
  <c r="DN36" i="42"/>
  <c r="EJ36" i="42"/>
  <c r="DO36" i="42"/>
  <c r="DP36" i="42"/>
  <c r="EL35" i="42"/>
  <c r="EN36" i="42"/>
  <c r="DO37" i="42"/>
  <c r="EM37" i="42"/>
  <c r="EK66" i="42"/>
  <c r="EP15" i="42"/>
  <c r="EJ15" i="42"/>
  <c r="DL15" i="42"/>
  <c r="DG66" i="42"/>
  <c r="DX15" i="42"/>
  <c r="EF15" i="42"/>
  <c r="DZ15" i="42"/>
  <c r="DS15" i="42"/>
  <c r="ED15" i="42"/>
  <c r="EH16" i="42"/>
  <c r="DP16" i="42"/>
  <c r="EO15" i="42"/>
  <c r="EI16" i="42"/>
  <c r="EC15" i="42"/>
  <c r="DQ15" i="42"/>
  <c r="DX16" i="42"/>
  <c r="EA16" i="42"/>
  <c r="DU16" i="42"/>
  <c r="EK16" i="42"/>
  <c r="EE15" i="42"/>
  <c r="DY16" i="42"/>
  <c r="DM15" i="42"/>
  <c r="EK15" i="42"/>
  <c r="EE16" i="42"/>
  <c r="EN15" i="42"/>
  <c r="DG15" i="42"/>
  <c r="DY15" i="42"/>
  <c r="EJ16" i="42"/>
  <c r="DT16" i="42"/>
  <c r="DN15" i="42"/>
  <c r="DN16" i="42"/>
  <c r="DS16" i="42"/>
  <c r="ED16" i="42"/>
  <c r="EC16" i="42"/>
  <c r="CZ66" i="42"/>
  <c r="ED66" i="42"/>
  <c r="DI15" i="42"/>
  <c r="DO15" i="42"/>
  <c r="DU15" i="42"/>
  <c r="EA15" i="42"/>
  <c r="EM15" i="42"/>
  <c r="DJ16" i="42"/>
  <c r="DQ16" i="42"/>
  <c r="EF16" i="42"/>
  <c r="EN16" i="42"/>
  <c r="DO16" i="42"/>
  <c r="DV16" i="42"/>
  <c r="EC66" i="42"/>
  <c r="DS66" i="42"/>
  <c r="DP15" i="42"/>
  <c r="DV15" i="42"/>
  <c r="EH15" i="42"/>
  <c r="DK16" i="42"/>
  <c r="DZ16" i="42"/>
  <c r="EO16" i="42"/>
  <c r="DT15" i="42"/>
  <c r="DI16" i="42"/>
  <c r="EM16" i="42"/>
  <c r="EI15" i="42"/>
  <c r="DL16" i="42"/>
  <c r="EP16" i="42"/>
  <c r="DG20" i="42"/>
  <c r="DY20" i="42"/>
  <c r="DJ65" i="42"/>
  <c r="DP65" i="42"/>
  <c r="DV65" i="42"/>
  <c r="EN65" i="42"/>
  <c r="DF65" i="42"/>
  <c r="DL65" i="42"/>
  <c r="DX65" i="42"/>
  <c r="EP65" i="42"/>
  <c r="DK21" i="42"/>
  <c r="EO21" i="42"/>
  <c r="DU46" i="42"/>
  <c r="DA66" i="42"/>
  <c r="DY66" i="42"/>
  <c r="EJ10" i="42"/>
  <c r="EJ47" i="42" s="1"/>
  <c r="DF66" i="42"/>
  <c r="DI65" i="42"/>
  <c r="DO65" i="42"/>
  <c r="DU65" i="42"/>
  <c r="EM65" i="42"/>
  <c r="EJ66" i="42"/>
  <c r="ED65" i="42"/>
  <c r="DE21" i="42"/>
  <c r="DQ21" i="42"/>
  <c r="EI21" i="42"/>
  <c r="EE66" i="42"/>
  <c r="DG46" i="42"/>
  <c r="DE66" i="42"/>
  <c r="DK65" i="42"/>
  <c r="DQ65" i="42"/>
  <c r="EC65" i="42"/>
  <c r="EI66" i="42"/>
  <c r="EO65" i="42"/>
  <c r="EJ65" i="42"/>
  <c r="DB66" i="42"/>
  <c r="DG65" i="42"/>
  <c r="DN65" i="42"/>
  <c r="DS65" i="42"/>
  <c r="DN66" i="42"/>
  <c r="DT66" i="42"/>
  <c r="DU66" i="42"/>
  <c r="DT65" i="42"/>
  <c r="DY65" i="42"/>
  <c r="DZ66" i="42"/>
  <c r="DZ65" i="42"/>
  <c r="EE65" i="42"/>
  <c r="EF66" i="42"/>
  <c r="EF65" i="42"/>
  <c r="EK65" i="42"/>
  <c r="EA66" i="42"/>
  <c r="DD66" i="42"/>
  <c r="EH66" i="42"/>
  <c r="DO66" i="42"/>
  <c r="DV66" i="42"/>
  <c r="DN20" i="42"/>
  <c r="EF20" i="42"/>
  <c r="DX45" i="42"/>
  <c r="EP45" i="42"/>
  <c r="DI66" i="42"/>
  <c r="DP66" i="42"/>
  <c r="DX66" i="42"/>
  <c r="EM66" i="42"/>
  <c r="EA65" i="42"/>
  <c r="DJ66" i="42"/>
  <c r="DQ66" i="42"/>
  <c r="EN66" i="42"/>
  <c r="DV21" i="42"/>
  <c r="DB46" i="42"/>
  <c r="DN46" i="42"/>
  <c r="DD65" i="42"/>
  <c r="EH65" i="42"/>
  <c r="DK66" i="42"/>
  <c r="EO66" i="42"/>
  <c r="EC21" i="42"/>
  <c r="DI10" i="42"/>
  <c r="DI17" i="42" s="1"/>
  <c r="EA10" i="42"/>
  <c r="EA17" i="42" s="1"/>
  <c r="DE65" i="42"/>
  <c r="EI65" i="42"/>
  <c r="DL66" i="42"/>
  <c r="EP66" i="42"/>
  <c r="DD10" i="42"/>
  <c r="DD17" i="42" s="1"/>
  <c r="DP10" i="42"/>
  <c r="DP17" i="42" s="1"/>
  <c r="EH10" i="42"/>
  <c r="EH17" i="42" s="1"/>
  <c r="EN10" i="42"/>
  <c r="ED21" i="42"/>
  <c r="EK21" i="42"/>
  <c r="CZ46" i="42"/>
  <c r="DF46" i="42"/>
  <c r="DL45" i="42"/>
  <c r="ED45" i="42"/>
  <c r="DN21" i="42"/>
  <c r="DO10" i="42"/>
  <c r="DO22" i="42" s="1"/>
  <c r="DU21" i="42"/>
  <c r="DS46" i="42"/>
  <c r="DY45" i="42"/>
  <c r="EE45" i="42"/>
  <c r="EK46" i="42"/>
  <c r="DF45" i="42"/>
  <c r="DO45" i="42"/>
  <c r="EI20" i="42"/>
  <c r="DQ20" i="42"/>
  <c r="DF21" i="42"/>
  <c r="CZ21" i="42"/>
  <c r="DL21" i="42"/>
  <c r="DX21" i="42"/>
  <c r="EP21" i="42"/>
  <c r="DD46" i="42"/>
  <c r="DD45" i="42"/>
  <c r="DJ45" i="42"/>
  <c r="DJ46" i="42"/>
  <c r="DP45" i="42"/>
  <c r="DP46" i="42"/>
  <c r="DV45" i="42"/>
  <c r="EH46" i="42"/>
  <c r="EH45" i="42"/>
  <c r="EN45" i="42"/>
  <c r="EN46" i="42"/>
  <c r="EP20" i="42"/>
  <c r="DX20" i="42"/>
  <c r="DF20" i="42"/>
  <c r="EP10" i="42"/>
  <c r="DX10" i="42"/>
  <c r="DX17" i="42" s="1"/>
  <c r="DF10" i="42"/>
  <c r="DF17" i="42" s="1"/>
  <c r="DO21" i="42"/>
  <c r="DG45" i="42"/>
  <c r="DV46" i="42"/>
  <c r="DI45" i="42"/>
  <c r="DI46" i="42"/>
  <c r="EA46" i="42"/>
  <c r="EA45" i="42"/>
  <c r="EM45" i="42"/>
  <c r="EM46" i="42"/>
  <c r="EI10" i="42"/>
  <c r="EI17" i="42" s="1"/>
  <c r="DQ10" i="42"/>
  <c r="DQ17" i="42" s="1"/>
  <c r="CY10" i="42"/>
  <c r="EJ21" i="42"/>
  <c r="DA10" i="42"/>
  <c r="DA17" i="42" s="1"/>
  <c r="DG10" i="42"/>
  <c r="DG17" i="42" s="1"/>
  <c r="DG21" i="42"/>
  <c r="DS21" i="42"/>
  <c r="DS10" i="42"/>
  <c r="DS17" i="42" s="1"/>
  <c r="DY21" i="42"/>
  <c r="DY10" i="42"/>
  <c r="DY17" i="42" s="1"/>
  <c r="EE10" i="42"/>
  <c r="EE17" i="42" s="1"/>
  <c r="EE21" i="42"/>
  <c r="EK10" i="42"/>
  <c r="EK17" i="42" s="1"/>
  <c r="DE46" i="42"/>
  <c r="DE45" i="42"/>
  <c r="DK45" i="42"/>
  <c r="DK46" i="42"/>
  <c r="DQ45" i="42"/>
  <c r="DQ46" i="42"/>
  <c r="EC45" i="42"/>
  <c r="EI46" i="42"/>
  <c r="EI45" i="42"/>
  <c r="EO45" i="42"/>
  <c r="EO46" i="42"/>
  <c r="EO20" i="42"/>
  <c r="EE20" i="42"/>
  <c r="DE20" i="42"/>
  <c r="EO10" i="42"/>
  <c r="ET11" i="42" s="1"/>
  <c r="DE10" i="42"/>
  <c r="DE17" i="42" s="1"/>
  <c r="EC46" i="42"/>
  <c r="DB10" i="42"/>
  <c r="DB17" i="42" s="1"/>
  <c r="DN10" i="42"/>
  <c r="DN17" i="42" s="1"/>
  <c r="DT21" i="42"/>
  <c r="DT10" i="42"/>
  <c r="DT17" i="42" s="1"/>
  <c r="DZ21" i="42"/>
  <c r="DZ10" i="42"/>
  <c r="DZ17" i="42" s="1"/>
  <c r="EF21" i="42"/>
  <c r="EF10" i="42"/>
  <c r="EF17" i="42" s="1"/>
  <c r="DL46" i="42"/>
  <c r="DX46" i="42"/>
  <c r="EP46" i="42"/>
  <c r="ED20" i="42"/>
  <c r="DT20" i="42"/>
  <c r="DL20" i="42"/>
  <c r="DA21" i="42"/>
  <c r="ED10" i="42"/>
  <c r="ED17" i="42" s="1"/>
  <c r="DV10" i="42"/>
  <c r="DV17" i="42" s="1"/>
  <c r="DL10" i="42"/>
  <c r="DL17" i="42" s="1"/>
  <c r="ED46" i="42"/>
  <c r="DU45" i="42"/>
  <c r="DI20" i="42"/>
  <c r="DI21" i="42"/>
  <c r="DO20" i="42"/>
  <c r="DU20" i="42"/>
  <c r="EA21" i="42"/>
  <c r="EA20" i="42"/>
  <c r="EM20" i="42"/>
  <c r="EM21" i="42"/>
  <c r="DA46" i="42"/>
  <c r="DY46" i="42"/>
  <c r="EE46" i="42"/>
  <c r="EK20" i="42"/>
  <c r="EC20" i="42"/>
  <c r="DS20" i="42"/>
  <c r="DK20" i="42"/>
  <c r="DB21" i="42"/>
  <c r="EM10" i="42"/>
  <c r="EC10" i="42"/>
  <c r="EC17" i="42" s="1"/>
  <c r="DU10" i="42"/>
  <c r="DU17" i="42" s="1"/>
  <c r="DK10" i="42"/>
  <c r="DK17" i="42" s="1"/>
  <c r="EJ45" i="42"/>
  <c r="EJ46" i="42"/>
  <c r="DD21" i="42"/>
  <c r="DD20" i="42"/>
  <c r="DJ21" i="42"/>
  <c r="DJ20" i="42"/>
  <c r="DP21" i="42"/>
  <c r="DP20" i="42"/>
  <c r="DV20" i="42"/>
  <c r="EH21" i="42"/>
  <c r="EH20" i="42"/>
  <c r="EN21" i="42"/>
  <c r="EN20" i="42"/>
  <c r="DN45" i="42"/>
  <c r="DT46" i="42"/>
  <c r="DT45" i="42"/>
  <c r="DZ46" i="42"/>
  <c r="DZ45" i="42"/>
  <c r="EF46" i="42"/>
  <c r="EF45" i="42"/>
  <c r="EJ20" i="42"/>
  <c r="DZ20" i="42"/>
  <c r="DJ10" i="42"/>
  <c r="DJ17" i="42" s="1"/>
  <c r="CZ10" i="42"/>
  <c r="CZ17" i="42" s="1"/>
  <c r="DS45" i="42"/>
  <c r="EK45" i="42"/>
  <c r="DO46" i="42"/>
  <c r="BQ70" i="6"/>
  <c r="BS70" i="6"/>
  <c r="BR70" i="6"/>
  <c r="BT68" i="6"/>
  <c r="S152" i="5"/>
  <c r="R152" i="5"/>
  <c r="I152" i="5"/>
  <c r="T152" i="5"/>
  <c r="H152" i="5"/>
  <c r="K152" i="5"/>
  <c r="U152" i="5"/>
  <c r="P152" i="5"/>
  <c r="J152" i="5"/>
  <c r="O152" i="5"/>
  <c r="N152" i="5"/>
  <c r="M152" i="5"/>
  <c r="ED278" i="14" l="1"/>
  <c r="EJ278" i="14"/>
  <c r="DT278" i="14"/>
  <c r="DO278" i="14"/>
  <c r="EP17" i="42"/>
  <c r="EU11" i="42"/>
  <c r="ER12" i="42"/>
  <c r="EN17" i="42"/>
  <c r="ES11" i="42"/>
  <c r="EM17" i="42"/>
  <c r="ER11" i="42"/>
  <c r="DK289" i="14"/>
  <c r="DK278" i="14" s="1"/>
  <c r="EE289" i="14"/>
  <c r="EE278" i="14" s="1"/>
  <c r="EO289" i="14"/>
  <c r="DF289" i="14"/>
  <c r="DF278" i="14" s="1"/>
  <c r="DP289" i="14"/>
  <c r="DP278" i="14" s="1"/>
  <c r="EK289" i="14"/>
  <c r="DZ289" i="14"/>
  <c r="DZ278" i="14" s="1"/>
  <c r="DU289" i="14"/>
  <c r="DU278" i="14" s="1"/>
  <c r="EO17" i="42"/>
  <c r="DG282" i="14"/>
  <c r="EK290" i="14"/>
  <c r="DB282" i="14"/>
  <c r="DB278" i="14" s="1"/>
  <c r="DC278" i="14" s="1"/>
  <c r="DL282" i="14"/>
  <c r="DQ282" i="14"/>
  <c r="EH22" i="42"/>
  <c r="DP22" i="42"/>
  <c r="DI47" i="42"/>
  <c r="EN22" i="42"/>
  <c r="DI22" i="42"/>
  <c r="DT47" i="42"/>
  <c r="EJ22" i="42"/>
  <c r="EN47" i="42"/>
  <c r="EI22" i="42"/>
  <c r="EJ17" i="42"/>
  <c r="DF47" i="42"/>
  <c r="DQ22" i="42"/>
  <c r="CY22" i="42"/>
  <c r="CY17" i="42"/>
  <c r="DO17" i="42"/>
  <c r="DU11" i="42"/>
  <c r="DU12" i="42"/>
  <c r="DV22" i="42"/>
  <c r="DV12" i="42"/>
  <c r="DV11" i="42"/>
  <c r="DZ22" i="42"/>
  <c r="DZ11" i="42"/>
  <c r="DZ12" i="42"/>
  <c r="DB47" i="42"/>
  <c r="DB12" i="42"/>
  <c r="DA12" i="42"/>
  <c r="DX47" i="42"/>
  <c r="DX12" i="42"/>
  <c r="DX11" i="42"/>
  <c r="EH67" i="42"/>
  <c r="EH11" i="42"/>
  <c r="EH12" i="42"/>
  <c r="CZ47" i="42"/>
  <c r="CZ12" i="42"/>
  <c r="DJ47" i="42"/>
  <c r="DJ12" i="42"/>
  <c r="DJ11" i="42"/>
  <c r="EC22" i="42"/>
  <c r="EC12" i="42"/>
  <c r="EC11" i="42"/>
  <c r="ED22" i="42"/>
  <c r="ED12" i="42"/>
  <c r="ED11" i="42"/>
  <c r="EO47" i="42"/>
  <c r="EO12" i="42"/>
  <c r="EO11" i="42"/>
  <c r="DS11" i="42"/>
  <c r="DS12" i="42"/>
  <c r="EP22" i="42"/>
  <c r="EP11" i="42"/>
  <c r="EP12" i="42"/>
  <c r="DP67" i="42"/>
  <c r="DP12" i="42"/>
  <c r="DP11" i="42"/>
  <c r="EM47" i="42"/>
  <c r="EM11" i="42"/>
  <c r="EM12" i="42"/>
  <c r="DT22" i="42"/>
  <c r="DT11" i="42"/>
  <c r="DT12" i="42"/>
  <c r="EK12" i="42"/>
  <c r="EK11" i="42"/>
  <c r="DD47" i="42"/>
  <c r="DD12" i="42"/>
  <c r="DD11" i="42"/>
  <c r="DQ67" i="42"/>
  <c r="DQ12" i="42"/>
  <c r="DQ11" i="42"/>
  <c r="EA22" i="42"/>
  <c r="EA11" i="42"/>
  <c r="EA12" i="42"/>
  <c r="EF47" i="42"/>
  <c r="EF12" i="42"/>
  <c r="EF11" i="42"/>
  <c r="DN22" i="42"/>
  <c r="DN11" i="42"/>
  <c r="DN12" i="42"/>
  <c r="EE47" i="42"/>
  <c r="EE12" i="42"/>
  <c r="EE11" i="42"/>
  <c r="EI47" i="42"/>
  <c r="EI12" i="42"/>
  <c r="EI11" i="42"/>
  <c r="DI67" i="42"/>
  <c r="DI11" i="42"/>
  <c r="DI12" i="42"/>
  <c r="EJ67" i="42"/>
  <c r="EJ12" i="42"/>
  <c r="EJ11" i="42"/>
  <c r="DK47" i="42"/>
  <c r="DK11" i="42"/>
  <c r="DK12" i="42"/>
  <c r="DL22" i="42"/>
  <c r="DL11" i="42"/>
  <c r="DL12" i="42"/>
  <c r="DE22" i="42"/>
  <c r="DE12" i="42"/>
  <c r="DE11" i="42"/>
  <c r="DY12" i="42"/>
  <c r="DY11" i="42"/>
  <c r="DG12" i="42"/>
  <c r="DG11" i="42"/>
  <c r="DF22" i="42"/>
  <c r="DF12" i="42"/>
  <c r="DF11" i="42"/>
  <c r="DO67" i="42"/>
  <c r="DO11" i="42"/>
  <c r="DO12" i="42"/>
  <c r="EN67" i="42"/>
  <c r="EN12" i="42"/>
  <c r="EN11" i="42"/>
  <c r="DQ47" i="42"/>
  <c r="EC67" i="42"/>
  <c r="EO22" i="42"/>
  <c r="EM67" i="42"/>
  <c r="EP67" i="42"/>
  <c r="DN47" i="42"/>
  <c r="EH47" i="42"/>
  <c r="DP47" i="42"/>
  <c r="DV67" i="42"/>
  <c r="EP47" i="42"/>
  <c r="EI67" i="42"/>
  <c r="DG47" i="42"/>
  <c r="DG67" i="42"/>
  <c r="DZ67" i="42"/>
  <c r="ED67" i="42"/>
  <c r="DE47" i="42"/>
  <c r="DS22" i="42"/>
  <c r="DS67" i="42"/>
  <c r="EA47" i="42"/>
  <c r="DO47" i="42"/>
  <c r="EF67" i="42"/>
  <c r="DX67" i="42"/>
  <c r="DD22" i="42"/>
  <c r="DA22" i="42"/>
  <c r="DA67" i="42"/>
  <c r="EK47" i="42"/>
  <c r="EK67" i="42"/>
  <c r="DJ67" i="42"/>
  <c r="EA67" i="42"/>
  <c r="DL67" i="42"/>
  <c r="DK67" i="42"/>
  <c r="DD67" i="42"/>
  <c r="DU67" i="42"/>
  <c r="CY67" i="42"/>
  <c r="DT67" i="42"/>
  <c r="DN67" i="42"/>
  <c r="DB67" i="42"/>
  <c r="DF67" i="42"/>
  <c r="DY47" i="42"/>
  <c r="DY67" i="42"/>
  <c r="DJ22" i="42"/>
  <c r="DA47" i="42"/>
  <c r="CY47" i="42"/>
  <c r="EE22" i="42"/>
  <c r="EE67" i="42"/>
  <c r="EO67" i="42"/>
  <c r="DE67" i="42"/>
  <c r="CZ67" i="42"/>
  <c r="EM22" i="42"/>
  <c r="ED47" i="42"/>
  <c r="EF22" i="42"/>
  <c r="DZ47" i="42"/>
  <c r="DB22" i="42"/>
  <c r="DL47" i="42"/>
  <c r="EC47" i="42"/>
  <c r="EK22" i="42"/>
  <c r="DY22" i="42"/>
  <c r="DK22" i="42"/>
  <c r="DV47" i="42"/>
  <c r="CZ22" i="42"/>
  <c r="DX22" i="42"/>
  <c r="DG22" i="42"/>
  <c r="DU22" i="42"/>
  <c r="DU47" i="42"/>
  <c r="DS47" i="42"/>
  <c r="EK278" i="14" l="1"/>
  <c r="EL278" i="14" s="1"/>
  <c r="EF289" i="14"/>
  <c r="EF278" i="14" s="1"/>
  <c r="EG278" i="14" s="1"/>
  <c r="DV289" i="14"/>
  <c r="DV278" i="14" s="1"/>
  <c r="DW278" i="14" s="1"/>
  <c r="DQ289" i="14"/>
  <c r="DQ278" i="14" s="1"/>
  <c r="DR278" i="14" s="1"/>
  <c r="EP289" i="14"/>
  <c r="EA289" i="14"/>
  <c r="EA278" i="14" s="1"/>
  <c r="EB278" i="14" s="1"/>
  <c r="DG289" i="14"/>
  <c r="DG278" i="14" s="1"/>
  <c r="DH278" i="14" s="1"/>
  <c r="DL289" i="14"/>
  <c r="DL278" i="14" s="1"/>
  <c r="DM278" i="14" s="1"/>
  <c r="B86" i="6"/>
  <c r="B87" i="6"/>
  <c r="B88" i="6"/>
  <c r="B84" i="6"/>
  <c r="ES82" i="6"/>
  <c r="ER82" i="6"/>
  <c r="EP82" i="6"/>
  <c r="EO82" i="6"/>
  <c r="EN82" i="6"/>
  <c r="EM82" i="6"/>
  <c r="EK82" i="6"/>
  <c r="EJ82" i="6"/>
  <c r="EI82" i="6"/>
  <c r="EH82" i="6"/>
  <c r="EF82" i="6"/>
  <c r="EE82" i="6"/>
  <c r="ED82" i="6"/>
  <c r="EC82" i="6"/>
  <c r="EA82" i="6"/>
  <c r="DZ82" i="6"/>
  <c r="DY82" i="6"/>
  <c r="DX82" i="6"/>
  <c r="DV82" i="6"/>
  <c r="DU82" i="6"/>
  <c r="DT82" i="6"/>
  <c r="DS82" i="6"/>
  <c r="DQ82" i="6"/>
  <c r="DP82" i="6"/>
  <c r="DO82" i="6"/>
  <c r="DN82" i="6"/>
  <c r="ES81" i="6"/>
  <c r="ER81" i="6"/>
  <c r="EP81" i="6"/>
  <c r="EO81" i="6"/>
  <c r="EN81" i="6"/>
  <c r="EM81" i="6"/>
  <c r="EK81" i="6"/>
  <c r="EJ81" i="6"/>
  <c r="EI81" i="6"/>
  <c r="EH81" i="6"/>
  <c r="EF81" i="6"/>
  <c r="EE81" i="6"/>
  <c r="ED81" i="6"/>
  <c r="EC81" i="6"/>
  <c r="EA81" i="6"/>
  <c r="DZ81" i="6"/>
  <c r="DY81" i="6"/>
  <c r="DX81" i="6"/>
  <c r="DV81" i="6"/>
  <c r="DU81" i="6"/>
  <c r="DT81" i="6"/>
  <c r="DS81" i="6"/>
  <c r="DQ81" i="6"/>
  <c r="DP81" i="6"/>
  <c r="DO81" i="6"/>
  <c r="DN81" i="6"/>
  <c r="FJ95" i="3" l="1"/>
  <c r="FO95" i="3" s="1"/>
  <c r="FT95" i="3" s="1"/>
  <c r="FY95" i="3" s="1"/>
  <c r="GD95" i="3" s="1"/>
  <c r="GI95" i="3" s="1"/>
  <c r="FO88" i="3"/>
  <c r="FT88" i="3" s="1"/>
  <c r="FY88" i="3" s="1"/>
  <c r="GD88" i="3" s="1"/>
  <c r="GI88" i="3" s="1"/>
  <c r="EN299" i="14" l="1"/>
  <c r="EN297" i="14" s="1"/>
  <c r="EN290" i="14" s="1"/>
  <c r="EO299" i="14"/>
  <c r="EO297" i="14" s="1"/>
  <c r="EO290" i="14" s="1"/>
  <c r="EP299" i="14"/>
  <c r="EM299" i="14"/>
  <c r="ES80" i="6"/>
  <c r="ER80" i="6"/>
  <c r="EP80" i="6"/>
  <c r="EO80" i="6"/>
  <c r="EN80" i="6"/>
  <c r="EM80" i="6"/>
  <c r="EK80" i="6"/>
  <c r="EJ80" i="6"/>
  <c r="EI80" i="6"/>
  <c r="EH80" i="6"/>
  <c r="EF80" i="6"/>
  <c r="EE80" i="6"/>
  <c r="ED80" i="6"/>
  <c r="EC80" i="6"/>
  <c r="EA80" i="6"/>
  <c r="DZ80" i="6"/>
  <c r="DY80" i="6"/>
  <c r="DX80" i="6"/>
  <c r="DV80" i="6"/>
  <c r="DU80" i="6"/>
  <c r="DT80" i="6"/>
  <c r="DS80" i="6"/>
  <c r="DQ80" i="6"/>
  <c r="DP80" i="6"/>
  <c r="DO80" i="6"/>
  <c r="DN80" i="6"/>
  <c r="EP79" i="6"/>
  <c r="EO79" i="6"/>
  <c r="EN79" i="6"/>
  <c r="EM79" i="6"/>
  <c r="EK79" i="6"/>
  <c r="EJ79" i="6"/>
  <c r="EI79" i="6"/>
  <c r="EH79" i="6"/>
  <c r="EF79" i="6"/>
  <c r="EE79" i="6"/>
  <c r="ED79" i="6"/>
  <c r="EC79" i="6"/>
  <c r="EA79" i="6"/>
  <c r="DZ79" i="6"/>
  <c r="DY79" i="6"/>
  <c r="DX79" i="6"/>
  <c r="DV79" i="6"/>
  <c r="DU79" i="6"/>
  <c r="DT79" i="6"/>
  <c r="DS79" i="6"/>
  <c r="DQ79" i="6"/>
  <c r="DP79" i="6"/>
  <c r="DO79" i="6"/>
  <c r="DN79" i="6"/>
  <c r="EQ78" i="6"/>
  <c r="EL78" i="6"/>
  <c r="EG78" i="6"/>
  <c r="EB78" i="6"/>
  <c r="DW78" i="6"/>
  <c r="DR78" i="6"/>
  <c r="DM78" i="6"/>
  <c r="EQ202" i="3"/>
  <c r="EL202" i="3"/>
  <c r="EG202" i="3"/>
  <c r="EB202" i="3"/>
  <c r="DW202" i="3"/>
  <c r="DR202" i="3"/>
  <c r="DM202" i="3"/>
  <c r="DH202" i="3"/>
  <c r="DC202" i="3"/>
  <c r="EQ201" i="3"/>
  <c r="EL201" i="3"/>
  <c r="EG201" i="3"/>
  <c r="EB201" i="3"/>
  <c r="DW201" i="3"/>
  <c r="DR201" i="3"/>
  <c r="DM201" i="3"/>
  <c r="DH201" i="3"/>
  <c r="DC201" i="3"/>
  <c r="EQ200" i="3"/>
  <c r="EL200" i="3"/>
  <c r="EG200" i="3"/>
  <c r="EB200" i="3"/>
  <c r="DW200" i="3"/>
  <c r="DR200" i="3"/>
  <c r="DM200" i="3"/>
  <c r="DH200" i="3"/>
  <c r="DC200" i="3"/>
  <c r="EQ189" i="3"/>
  <c r="EL189" i="3"/>
  <c r="EG189" i="3"/>
  <c r="EB189" i="3"/>
  <c r="DW189" i="3"/>
  <c r="DR189" i="3"/>
  <c r="DM189" i="3"/>
  <c r="DH189" i="3"/>
  <c r="DC189" i="3"/>
  <c r="EQ188" i="3"/>
  <c r="EL188" i="3"/>
  <c r="EG188" i="3"/>
  <c r="EB188" i="3"/>
  <c r="DW188" i="3"/>
  <c r="DR188" i="3"/>
  <c r="DM188" i="3"/>
  <c r="DH188" i="3"/>
  <c r="DC188" i="3"/>
  <c r="EQ187" i="3"/>
  <c r="EL187" i="3"/>
  <c r="EG187" i="3"/>
  <c r="EB187" i="3"/>
  <c r="DW187" i="3"/>
  <c r="DR187" i="3"/>
  <c r="DM187" i="3"/>
  <c r="DH187" i="3"/>
  <c r="DC187" i="3"/>
  <c r="EQ176" i="3"/>
  <c r="EL176" i="3"/>
  <c r="EG176" i="3"/>
  <c r="EB176" i="3"/>
  <c r="DW176" i="3"/>
  <c r="DR176" i="3"/>
  <c r="DM176" i="3"/>
  <c r="DH176" i="3"/>
  <c r="DC176" i="3"/>
  <c r="EQ175" i="3"/>
  <c r="EL175" i="3"/>
  <c r="EG175" i="3"/>
  <c r="EB175" i="3"/>
  <c r="DW175" i="3"/>
  <c r="DR175" i="3"/>
  <c r="DM175" i="3"/>
  <c r="DH175" i="3"/>
  <c r="DC175" i="3"/>
  <c r="EQ174" i="3"/>
  <c r="EL174" i="3"/>
  <c r="EG174" i="3"/>
  <c r="EB174" i="3"/>
  <c r="DW174" i="3"/>
  <c r="DR174" i="3"/>
  <c r="DM174" i="3"/>
  <c r="DH174" i="3"/>
  <c r="DC174" i="3"/>
  <c r="EQ163" i="3"/>
  <c r="EL163" i="3"/>
  <c r="EG163" i="3"/>
  <c r="EB163" i="3"/>
  <c r="DW163" i="3"/>
  <c r="DR163" i="3"/>
  <c r="DM163" i="3"/>
  <c r="DH163" i="3"/>
  <c r="DC163" i="3"/>
  <c r="EQ162" i="3"/>
  <c r="EL162" i="3"/>
  <c r="EG162" i="3"/>
  <c r="EB162" i="3"/>
  <c r="DW162" i="3"/>
  <c r="DR162" i="3"/>
  <c r="DM162" i="3"/>
  <c r="DH162" i="3"/>
  <c r="DC162" i="3"/>
  <c r="EQ161" i="3"/>
  <c r="EL161" i="3"/>
  <c r="EG161" i="3"/>
  <c r="EB161" i="3"/>
  <c r="DW161" i="3"/>
  <c r="DR161" i="3"/>
  <c r="DM161" i="3"/>
  <c r="DH161" i="3"/>
  <c r="DC161" i="3"/>
  <c r="CX204" i="3"/>
  <c r="CW204" i="3"/>
  <c r="CV204" i="3"/>
  <c r="CU204" i="3"/>
  <c r="CT204" i="3"/>
  <c r="CS204" i="3"/>
  <c r="CR204" i="3"/>
  <c r="CQ204" i="3"/>
  <c r="CP204" i="3"/>
  <c r="CO204" i="3"/>
  <c r="CN204" i="3"/>
  <c r="CM204" i="3"/>
  <c r="CL204" i="3"/>
  <c r="CK204" i="3"/>
  <c r="CJ204" i="3"/>
  <c r="CI204" i="3"/>
  <c r="CH204" i="3"/>
  <c r="CG204" i="3"/>
  <c r="CF204" i="3"/>
  <c r="CE204" i="3"/>
  <c r="CD204" i="3"/>
  <c r="CC204" i="3"/>
  <c r="CB204" i="3"/>
  <c r="CA204" i="3"/>
  <c r="BZ204" i="3"/>
  <c r="BY204" i="3"/>
  <c r="BX204" i="3"/>
  <c r="BW204" i="3"/>
  <c r="BV204" i="3"/>
  <c r="BU204" i="3"/>
  <c r="BT204" i="3"/>
  <c r="BS204" i="3"/>
  <c r="BR204" i="3"/>
  <c r="BQ204" i="3"/>
  <c r="BP204" i="3"/>
  <c r="BO204" i="3"/>
  <c r="BN204" i="3"/>
  <c r="BM204" i="3"/>
  <c r="BL204" i="3"/>
  <c r="BK204" i="3"/>
  <c r="BJ204" i="3"/>
  <c r="BI204" i="3"/>
  <c r="BH204" i="3"/>
  <c r="BG204" i="3"/>
  <c r="BF204" i="3"/>
  <c r="BE204" i="3"/>
  <c r="BD204" i="3"/>
  <c r="BC204" i="3"/>
  <c r="BB204" i="3"/>
  <c r="BA204" i="3"/>
  <c r="AZ204" i="3"/>
  <c r="AY204" i="3"/>
  <c r="AX204" i="3"/>
  <c r="AW204" i="3"/>
  <c r="AV204" i="3"/>
  <c r="AU204" i="3"/>
  <c r="AT204" i="3"/>
  <c r="AS204" i="3"/>
  <c r="AR204" i="3"/>
  <c r="AQ204" i="3"/>
  <c r="AP204" i="3"/>
  <c r="AO204" i="3"/>
  <c r="AN204" i="3"/>
  <c r="AM204" i="3"/>
  <c r="AL204" i="3"/>
  <c r="AK204" i="3"/>
  <c r="AJ204" i="3"/>
  <c r="AI204" i="3"/>
  <c r="AH204" i="3"/>
  <c r="AG204" i="3"/>
  <c r="AF204" i="3"/>
  <c r="AE204" i="3"/>
  <c r="AD204" i="3"/>
  <c r="AC204" i="3"/>
  <c r="AB204" i="3"/>
  <c r="AA204" i="3"/>
  <c r="Z204" i="3"/>
  <c r="Y204" i="3"/>
  <c r="X204" i="3"/>
  <c r="W204" i="3"/>
  <c r="V204" i="3"/>
  <c r="U204" i="3"/>
  <c r="T204" i="3"/>
  <c r="S204" i="3"/>
  <c r="R204" i="3"/>
  <c r="Q204" i="3"/>
  <c r="P204" i="3"/>
  <c r="O204" i="3"/>
  <c r="N204" i="3"/>
  <c r="M204" i="3"/>
  <c r="L204" i="3"/>
  <c r="K204" i="3"/>
  <c r="J204" i="3"/>
  <c r="I204" i="3"/>
  <c r="H204" i="3"/>
  <c r="G204" i="3"/>
  <c r="F204" i="3"/>
  <c r="E204" i="3"/>
  <c r="D204" i="3"/>
  <c r="C204" i="3"/>
  <c r="CX191" i="3"/>
  <c r="CW191" i="3"/>
  <c r="CV191" i="3"/>
  <c r="CU191" i="3"/>
  <c r="CT191" i="3"/>
  <c r="CS191" i="3"/>
  <c r="CR191" i="3"/>
  <c r="CQ191" i="3"/>
  <c r="CP191" i="3"/>
  <c r="CO191" i="3"/>
  <c r="CN191" i="3"/>
  <c r="CM191" i="3"/>
  <c r="CL191" i="3"/>
  <c r="CK191" i="3"/>
  <c r="CJ191" i="3"/>
  <c r="CI191" i="3"/>
  <c r="CH191" i="3"/>
  <c r="CG191" i="3"/>
  <c r="CF191" i="3"/>
  <c r="CE191" i="3"/>
  <c r="CD191" i="3"/>
  <c r="CC191" i="3"/>
  <c r="CB191" i="3"/>
  <c r="CA191" i="3"/>
  <c r="BZ191" i="3"/>
  <c r="BY191" i="3"/>
  <c r="BX191" i="3"/>
  <c r="BW191" i="3"/>
  <c r="BV191" i="3"/>
  <c r="BU191" i="3"/>
  <c r="BT191" i="3"/>
  <c r="BS191" i="3"/>
  <c r="BR191" i="3"/>
  <c r="BQ191" i="3"/>
  <c r="BP191" i="3"/>
  <c r="BO191" i="3"/>
  <c r="BN191" i="3"/>
  <c r="BM191" i="3"/>
  <c r="BL191" i="3"/>
  <c r="BK191" i="3"/>
  <c r="BJ191" i="3"/>
  <c r="BI191" i="3"/>
  <c r="BH191" i="3"/>
  <c r="BG191" i="3"/>
  <c r="BF191" i="3"/>
  <c r="BE191" i="3"/>
  <c r="BD191" i="3"/>
  <c r="BC191" i="3"/>
  <c r="BB191" i="3"/>
  <c r="BA191" i="3"/>
  <c r="AZ191" i="3"/>
  <c r="AY191" i="3"/>
  <c r="AX191" i="3"/>
  <c r="AW191" i="3"/>
  <c r="AV191" i="3"/>
  <c r="AU191" i="3"/>
  <c r="AT191" i="3"/>
  <c r="AS191" i="3"/>
  <c r="AR191" i="3"/>
  <c r="AQ191" i="3"/>
  <c r="AP191" i="3"/>
  <c r="AO191" i="3"/>
  <c r="AN191" i="3"/>
  <c r="AM191" i="3"/>
  <c r="AL191" i="3"/>
  <c r="AK191" i="3"/>
  <c r="AJ191" i="3"/>
  <c r="AI191" i="3"/>
  <c r="AH191" i="3"/>
  <c r="AG191" i="3"/>
  <c r="AF191" i="3"/>
  <c r="AE191" i="3"/>
  <c r="AD191" i="3"/>
  <c r="AC191" i="3"/>
  <c r="AB191" i="3"/>
  <c r="AA191" i="3"/>
  <c r="Z191" i="3"/>
  <c r="Y191" i="3"/>
  <c r="X191" i="3"/>
  <c r="W191" i="3"/>
  <c r="V191" i="3"/>
  <c r="U191" i="3"/>
  <c r="T191" i="3"/>
  <c r="S191" i="3"/>
  <c r="R191" i="3"/>
  <c r="Q191" i="3"/>
  <c r="P191" i="3"/>
  <c r="O191" i="3"/>
  <c r="N191" i="3"/>
  <c r="M191" i="3"/>
  <c r="L191" i="3"/>
  <c r="K191" i="3"/>
  <c r="J191" i="3"/>
  <c r="I191" i="3"/>
  <c r="H191" i="3"/>
  <c r="G191" i="3"/>
  <c r="F191" i="3"/>
  <c r="E191" i="3"/>
  <c r="D191" i="3"/>
  <c r="C191" i="3"/>
  <c r="CX178" i="3"/>
  <c r="CW178" i="3"/>
  <c r="CV178" i="3"/>
  <c r="CU178" i="3"/>
  <c r="CT178" i="3"/>
  <c r="CS178" i="3"/>
  <c r="CR178" i="3"/>
  <c r="CQ178" i="3"/>
  <c r="CP178" i="3"/>
  <c r="CO178" i="3"/>
  <c r="CN178" i="3"/>
  <c r="CM178" i="3"/>
  <c r="CL178" i="3"/>
  <c r="CK178" i="3"/>
  <c r="CJ178" i="3"/>
  <c r="CI178" i="3"/>
  <c r="CH178" i="3"/>
  <c r="CG178" i="3"/>
  <c r="CF178" i="3"/>
  <c r="CE178" i="3"/>
  <c r="CD178" i="3"/>
  <c r="CC178" i="3"/>
  <c r="CB178" i="3"/>
  <c r="CA178" i="3"/>
  <c r="BZ178" i="3"/>
  <c r="BY178" i="3"/>
  <c r="BX178" i="3"/>
  <c r="BW178" i="3"/>
  <c r="BV178" i="3"/>
  <c r="BU178" i="3"/>
  <c r="BT178" i="3"/>
  <c r="BS178" i="3"/>
  <c r="BR178" i="3"/>
  <c r="BQ178" i="3"/>
  <c r="BP178" i="3"/>
  <c r="BO178" i="3"/>
  <c r="BN178" i="3"/>
  <c r="BM178" i="3"/>
  <c r="BL178" i="3"/>
  <c r="BK178" i="3"/>
  <c r="BJ178" i="3"/>
  <c r="BI178" i="3"/>
  <c r="BH178" i="3"/>
  <c r="BG178" i="3"/>
  <c r="BF178" i="3"/>
  <c r="BE178" i="3"/>
  <c r="BD178" i="3"/>
  <c r="BC178" i="3"/>
  <c r="BB178" i="3"/>
  <c r="BA178" i="3"/>
  <c r="AZ178" i="3"/>
  <c r="AY178" i="3"/>
  <c r="AX178" i="3"/>
  <c r="AW178" i="3"/>
  <c r="AV178" i="3"/>
  <c r="AU178" i="3"/>
  <c r="AT178" i="3"/>
  <c r="AS178" i="3"/>
  <c r="AR178" i="3"/>
  <c r="AQ178" i="3"/>
  <c r="AP178" i="3"/>
  <c r="AO178" i="3"/>
  <c r="AN178" i="3"/>
  <c r="AM178" i="3"/>
  <c r="AL178" i="3"/>
  <c r="AK178" i="3"/>
  <c r="AJ178" i="3"/>
  <c r="AI178" i="3"/>
  <c r="AH178" i="3"/>
  <c r="AG178" i="3"/>
  <c r="AF178" i="3"/>
  <c r="AE178" i="3"/>
  <c r="AD178" i="3"/>
  <c r="AC178" i="3"/>
  <c r="AB178" i="3"/>
  <c r="AA178" i="3"/>
  <c r="Z178" i="3"/>
  <c r="Y178" i="3"/>
  <c r="X178" i="3"/>
  <c r="W178" i="3"/>
  <c r="V178" i="3"/>
  <c r="U178" i="3"/>
  <c r="T178" i="3"/>
  <c r="S178" i="3"/>
  <c r="R178" i="3"/>
  <c r="Q178" i="3"/>
  <c r="P178" i="3"/>
  <c r="O178" i="3"/>
  <c r="N178" i="3"/>
  <c r="M178" i="3"/>
  <c r="L178" i="3"/>
  <c r="K178" i="3"/>
  <c r="J178" i="3"/>
  <c r="I178" i="3"/>
  <c r="H178" i="3"/>
  <c r="G178" i="3"/>
  <c r="F178" i="3"/>
  <c r="E178" i="3"/>
  <c r="D178" i="3"/>
  <c r="C178" i="3"/>
  <c r="C165" i="3"/>
  <c r="D165" i="3"/>
  <c r="E165" i="3"/>
  <c r="F165" i="3"/>
  <c r="G165" i="3"/>
  <c r="H165" i="3"/>
  <c r="I165" i="3"/>
  <c r="J165" i="3"/>
  <c r="K165" i="3"/>
  <c r="L165" i="3"/>
  <c r="M165" i="3"/>
  <c r="N165" i="3"/>
  <c r="O165" i="3"/>
  <c r="P165" i="3"/>
  <c r="Q165" i="3"/>
  <c r="R165" i="3"/>
  <c r="S165" i="3"/>
  <c r="T165" i="3"/>
  <c r="U165" i="3"/>
  <c r="V165" i="3"/>
  <c r="W165" i="3"/>
  <c r="X165" i="3"/>
  <c r="Y165" i="3"/>
  <c r="Z165" i="3"/>
  <c r="AA165" i="3"/>
  <c r="AB165" i="3"/>
  <c r="AC165" i="3"/>
  <c r="AD165" i="3"/>
  <c r="AE165" i="3"/>
  <c r="AF165" i="3"/>
  <c r="AG165" i="3"/>
  <c r="AH165" i="3"/>
  <c r="AI165" i="3"/>
  <c r="AJ165" i="3"/>
  <c r="AK165" i="3"/>
  <c r="AL165" i="3"/>
  <c r="AM165" i="3"/>
  <c r="AN165" i="3"/>
  <c r="AO165" i="3"/>
  <c r="AP165" i="3"/>
  <c r="AQ165" i="3"/>
  <c r="AR165" i="3"/>
  <c r="AS165" i="3"/>
  <c r="AT165" i="3"/>
  <c r="AU165" i="3"/>
  <c r="AV165" i="3"/>
  <c r="AW165" i="3"/>
  <c r="AX165" i="3"/>
  <c r="AY165" i="3"/>
  <c r="AZ165" i="3"/>
  <c r="BA165" i="3"/>
  <c r="BB165" i="3"/>
  <c r="BC165" i="3"/>
  <c r="BD165" i="3"/>
  <c r="BE165" i="3"/>
  <c r="BF165" i="3"/>
  <c r="BG165" i="3"/>
  <c r="BH165" i="3"/>
  <c r="BI165" i="3"/>
  <c r="BJ165" i="3"/>
  <c r="BK165" i="3"/>
  <c r="BL165" i="3"/>
  <c r="BM165" i="3"/>
  <c r="BN165" i="3"/>
  <c r="BO165" i="3"/>
  <c r="BP165" i="3"/>
  <c r="BQ165" i="3"/>
  <c r="BR165" i="3"/>
  <c r="BS165" i="3"/>
  <c r="BT165" i="3"/>
  <c r="BU165" i="3"/>
  <c r="BV165" i="3"/>
  <c r="BW165" i="3"/>
  <c r="BX165" i="3"/>
  <c r="BY165" i="3"/>
  <c r="BZ165" i="3"/>
  <c r="CA165" i="3"/>
  <c r="CB165" i="3"/>
  <c r="CC165" i="3"/>
  <c r="CD165" i="3"/>
  <c r="CE165" i="3"/>
  <c r="CF165" i="3"/>
  <c r="CG165" i="3"/>
  <c r="CH165" i="3"/>
  <c r="CI165" i="3"/>
  <c r="CJ165" i="3"/>
  <c r="CK165" i="3"/>
  <c r="CL165" i="3"/>
  <c r="CM165" i="3"/>
  <c r="CN165" i="3"/>
  <c r="CO165" i="3"/>
  <c r="CP165" i="3"/>
  <c r="CQ165" i="3"/>
  <c r="CR165" i="3"/>
  <c r="CS165" i="3"/>
  <c r="CT165" i="3"/>
  <c r="CU165" i="3"/>
  <c r="CV165" i="3"/>
  <c r="CW165" i="3"/>
  <c r="CX165" i="3"/>
  <c r="DB165" i="3"/>
  <c r="DA165" i="3"/>
  <c r="CZ165" i="3"/>
  <c r="CY165" i="3"/>
  <c r="DW184" i="3"/>
  <c r="DR184" i="3"/>
  <c r="DC186" i="3"/>
  <c r="DC185" i="3"/>
  <c r="DC172" i="3"/>
  <c r="DC173" i="3"/>
  <c r="DC160" i="3"/>
  <c r="DH160" i="3"/>
  <c r="DH172" i="3"/>
  <c r="DH173" i="3"/>
  <c r="DH186" i="3"/>
  <c r="DH185" i="3"/>
  <c r="DM185" i="3"/>
  <c r="DM172" i="3"/>
  <c r="DC198" i="3"/>
  <c r="DC199" i="3"/>
  <c r="DH199" i="3"/>
  <c r="DH198" i="3"/>
  <c r="DM198" i="3"/>
  <c r="DW197" i="3"/>
  <c r="DR197" i="3"/>
  <c r="DC171" i="3"/>
  <c r="DC168" i="3"/>
  <c r="DC169" i="3"/>
  <c r="DC170" i="3"/>
  <c r="DC159" i="3"/>
  <c r="DC158" i="3"/>
  <c r="DC157" i="3"/>
  <c r="DC156" i="3"/>
  <c r="DC155" i="3"/>
  <c r="DH155" i="3"/>
  <c r="DH156" i="3"/>
  <c r="DH152" i="3"/>
  <c r="DH157" i="3"/>
  <c r="DH158" i="3"/>
  <c r="DH159" i="3"/>
  <c r="DH168" i="3"/>
  <c r="DH169" i="3"/>
  <c r="DH170" i="3"/>
  <c r="DH171" i="3"/>
  <c r="DH181" i="3"/>
  <c r="DH182" i="3"/>
  <c r="DH183" i="3"/>
  <c r="DH184" i="3"/>
  <c r="DH194" i="3"/>
  <c r="DH195" i="3"/>
  <c r="DH196" i="3"/>
  <c r="DH197" i="3"/>
  <c r="DC197" i="3"/>
  <c r="DC196" i="3"/>
  <c r="DC195" i="3"/>
  <c r="DC194" i="3"/>
  <c r="DC181" i="3"/>
  <c r="DC182" i="3"/>
  <c r="DC183" i="3"/>
  <c r="DC184" i="3"/>
  <c r="EB185" i="3"/>
  <c r="EB186" i="3"/>
  <c r="EB198" i="3"/>
  <c r="EB199" i="3"/>
  <c r="DW199" i="3"/>
  <c r="DW198" i="3"/>
  <c r="DW195" i="3"/>
  <c r="DW194" i="3"/>
  <c r="DW181" i="3"/>
  <c r="DW183" i="3"/>
  <c r="DW185" i="3"/>
  <c r="DW186" i="3"/>
  <c r="DR186" i="3"/>
  <c r="DR185" i="3"/>
  <c r="DR183" i="3"/>
  <c r="DR182" i="3"/>
  <c r="DR181" i="3"/>
  <c r="DR194" i="3"/>
  <c r="DR195" i="3"/>
  <c r="DR196" i="3"/>
  <c r="DR198" i="3"/>
  <c r="DR199" i="3"/>
  <c r="DM199" i="3"/>
  <c r="DM197" i="3"/>
  <c r="DM196" i="3"/>
  <c r="DM195" i="3"/>
  <c r="DM194" i="3"/>
  <c r="DM186" i="3"/>
  <c r="DM184" i="3"/>
  <c r="DM183" i="3"/>
  <c r="DM181" i="3"/>
  <c r="DM182" i="3"/>
  <c r="DM173" i="3"/>
  <c r="DM171" i="3"/>
  <c r="DM170" i="3"/>
  <c r="DM168" i="3"/>
  <c r="DM169" i="3"/>
  <c r="DR173" i="3"/>
  <c r="DR172" i="3"/>
  <c r="DR171" i="3"/>
  <c r="DR170" i="3"/>
  <c r="DR169" i="3"/>
  <c r="DR168" i="3"/>
  <c r="EB173" i="3"/>
  <c r="EB172" i="3"/>
  <c r="EB171" i="3"/>
  <c r="EB170" i="3"/>
  <c r="EB169" i="3"/>
  <c r="EB168" i="3"/>
  <c r="DW173" i="3"/>
  <c r="DW172" i="3"/>
  <c r="DW171" i="3"/>
  <c r="DW170" i="3"/>
  <c r="DW169" i="3"/>
  <c r="DW168" i="3"/>
  <c r="DM160" i="3"/>
  <c r="DM159" i="3"/>
  <c r="DM158" i="3"/>
  <c r="DM157" i="3"/>
  <c r="DM156" i="3"/>
  <c r="DM155" i="3"/>
  <c r="DR160" i="3"/>
  <c r="DR159" i="3"/>
  <c r="DR158" i="3"/>
  <c r="DR157" i="3"/>
  <c r="DR156" i="3"/>
  <c r="DR155" i="3"/>
  <c r="DW160" i="3"/>
  <c r="DW159" i="3"/>
  <c r="DW158" i="3"/>
  <c r="DW157" i="3"/>
  <c r="DW156" i="3"/>
  <c r="DW155" i="3"/>
  <c r="EB160" i="3"/>
  <c r="EB159" i="3"/>
  <c r="EB158" i="3"/>
  <c r="EB157" i="3"/>
  <c r="EB156" i="3"/>
  <c r="EB155" i="3"/>
  <c r="EL186" i="3"/>
  <c r="EL194" i="3"/>
  <c r="EL185" i="3"/>
  <c r="EL184" i="3"/>
  <c r="EL173" i="3"/>
  <c r="EL181" i="3"/>
  <c r="EL172" i="3"/>
  <c r="EL171" i="3"/>
  <c r="EL160" i="3"/>
  <c r="EL168" i="3"/>
  <c r="EL159" i="3"/>
  <c r="EL158" i="3"/>
  <c r="EL157" i="3"/>
  <c r="EL156" i="3"/>
  <c r="EL155" i="3"/>
  <c r="EG155" i="3"/>
  <c r="EG156" i="3"/>
  <c r="EG157" i="3"/>
  <c r="EG158" i="3"/>
  <c r="EG159" i="3"/>
  <c r="EG160" i="3"/>
  <c r="EG171" i="3"/>
  <c r="EG172" i="3"/>
  <c r="EG170" i="3"/>
  <c r="EG173" i="3"/>
  <c r="EG184" i="3"/>
  <c r="EG185" i="3"/>
  <c r="EG186" i="3"/>
  <c r="EG197" i="3"/>
  <c r="EG198" i="3"/>
  <c r="EG199" i="3"/>
  <c r="EL197" i="3"/>
  <c r="EL198" i="3"/>
  <c r="EL199" i="3"/>
  <c r="EQ199" i="3"/>
  <c r="EQ198" i="3"/>
  <c r="EQ197" i="3"/>
  <c r="EQ186" i="3"/>
  <c r="EQ185" i="3"/>
  <c r="EQ184" i="3"/>
  <c r="EQ173" i="3"/>
  <c r="EQ172" i="3"/>
  <c r="EQ171" i="3"/>
  <c r="EQ155" i="3"/>
  <c r="EQ156" i="3"/>
  <c r="EQ157" i="3"/>
  <c r="EQ158" i="3"/>
  <c r="EQ159" i="3"/>
  <c r="EQ160" i="3"/>
  <c r="EB197" i="3"/>
  <c r="EB196" i="3"/>
  <c r="EB195" i="3"/>
  <c r="EB194" i="3"/>
  <c r="EB184" i="3"/>
  <c r="EB183" i="3"/>
  <c r="EB182" i="3"/>
  <c r="EB181" i="3"/>
  <c r="EG195" i="3"/>
  <c r="EG194" i="3"/>
  <c r="EG182" i="3"/>
  <c r="EG181" i="3"/>
  <c r="EG169" i="3"/>
  <c r="EG168" i="3"/>
  <c r="EL170" i="3"/>
  <c r="EL169" i="3"/>
  <c r="EL183" i="3"/>
  <c r="EL196" i="3"/>
  <c r="EQ196" i="3"/>
  <c r="EQ195" i="3"/>
  <c r="EQ183" i="3"/>
  <c r="EQ182" i="3"/>
  <c r="EQ170" i="3"/>
  <c r="EQ169" i="3"/>
  <c r="DM93" i="6" l="1"/>
  <c r="DM94" i="6" s="1"/>
  <c r="DM79" i="6"/>
  <c r="DM81" i="6"/>
  <c r="FL210" i="15"/>
  <c r="EG93" i="6"/>
  <c r="EL93" i="6"/>
  <c r="EQ93" i="6"/>
  <c r="DR93" i="6"/>
  <c r="DW93" i="6"/>
  <c r="EB93" i="6"/>
  <c r="EM297" i="14"/>
  <c r="EM290" i="14" s="1"/>
  <c r="DR81" i="6"/>
  <c r="DW79" i="6"/>
  <c r="DW81" i="6"/>
  <c r="EB79" i="6"/>
  <c r="EB81" i="6"/>
  <c r="EG79" i="6"/>
  <c r="EG81" i="6"/>
  <c r="EL79" i="6"/>
  <c r="EL81" i="6"/>
  <c r="EQ79" i="6"/>
  <c r="EQ81" i="6"/>
  <c r="DR79" i="6"/>
  <c r="EP297" i="14"/>
  <c r="EP290" i="14" s="1"/>
  <c r="DG165" i="3"/>
  <c r="DE165" i="3"/>
  <c r="DD165" i="3"/>
  <c r="DF165" i="3"/>
  <c r="FQ210" i="15" l="1"/>
  <c r="FO210" i="15"/>
  <c r="FM210" i="15"/>
  <c r="FN210" i="15"/>
  <c r="FM217" i="15" l="1"/>
  <c r="FN217" i="15"/>
  <c r="FO217" i="15"/>
  <c r="FV210" i="15"/>
  <c r="GA210" i="15" s="1"/>
  <c r="GF210" i="15" s="1"/>
  <c r="FQ217" i="15"/>
  <c r="GH210" i="15" l="1"/>
  <c r="GG210" i="15"/>
  <c r="GG217" i="15" s="1"/>
  <c r="GI210" i="15"/>
  <c r="GI217" i="15" s="1"/>
  <c r="GC210" i="15"/>
  <c r="GB210" i="15"/>
  <c r="GD210" i="15"/>
  <c r="GF217" i="15" s="1"/>
  <c r="GH217" i="15" l="1"/>
  <c r="GD217" i="15"/>
  <c r="GB217" i="15"/>
  <c r="GC217" i="15"/>
  <c r="DL136" i="5" l="1"/>
  <c r="DQ136" i="5"/>
  <c r="DV136" i="5"/>
  <c r="EA136" i="5"/>
  <c r="EF136" i="5"/>
  <c r="EK136" i="5"/>
  <c r="EP136" i="5"/>
  <c r="DH111" i="2"/>
  <c r="DM111" i="2"/>
  <c r="DR111" i="2"/>
  <c r="DW111" i="2"/>
  <c r="EB111" i="2"/>
  <c r="EG111" i="2"/>
  <c r="EL111" i="2"/>
  <c r="EL112" i="2" l="1"/>
  <c r="EG112" i="2"/>
  <c r="EB112" i="2"/>
  <c r="DW112" i="2"/>
  <c r="DM112" i="2"/>
  <c r="DR112" i="2"/>
  <c r="EQ111" i="2"/>
  <c r="DM119" i="2"/>
  <c r="DK119" i="2"/>
  <c r="DJ119" i="2"/>
  <c r="DI119" i="2"/>
  <c r="DM118" i="2"/>
  <c r="DK118" i="2"/>
  <c r="DJ118" i="2"/>
  <c r="DI118" i="2"/>
  <c r="DL117" i="2"/>
  <c r="DM116" i="2"/>
  <c r="DK116" i="2"/>
  <c r="DJ116" i="2"/>
  <c r="DI116" i="2"/>
  <c r="DL115" i="2"/>
  <c r="DR119" i="2"/>
  <c r="DP119" i="2"/>
  <c r="DO119" i="2"/>
  <c r="DN119" i="2"/>
  <c r="DR118" i="2"/>
  <c r="DP118" i="2"/>
  <c r="DO118" i="2"/>
  <c r="DN118" i="2"/>
  <c r="DQ117" i="2"/>
  <c r="DR116" i="2"/>
  <c r="DP116" i="2"/>
  <c r="DO116" i="2"/>
  <c r="DN116" i="2"/>
  <c r="DQ115" i="2"/>
  <c r="DW119" i="2"/>
  <c r="DU119" i="2"/>
  <c r="DT119" i="2"/>
  <c r="DS119" i="2"/>
  <c r="DW118" i="2"/>
  <c r="DU118" i="2"/>
  <c r="DT118" i="2"/>
  <c r="DS118" i="2"/>
  <c r="DV117" i="2"/>
  <c r="DW116" i="2"/>
  <c r="DU116" i="2"/>
  <c r="DT116" i="2"/>
  <c r="DS116" i="2"/>
  <c r="DV115" i="2"/>
  <c r="EB119" i="2"/>
  <c r="DZ119" i="2"/>
  <c r="DY119" i="2"/>
  <c r="DX119" i="2"/>
  <c r="EB118" i="2"/>
  <c r="DZ118" i="2"/>
  <c r="DY118" i="2"/>
  <c r="DX118" i="2"/>
  <c r="EA117" i="2"/>
  <c r="EB116" i="2"/>
  <c r="DZ116" i="2"/>
  <c r="DY116" i="2"/>
  <c r="DX116" i="2"/>
  <c r="EA115" i="2"/>
  <c r="EF117" i="2"/>
  <c r="EF115" i="2"/>
  <c r="EK117" i="2"/>
  <c r="EK115" i="2"/>
  <c r="EC119" i="2"/>
  <c r="EC118" i="2"/>
  <c r="EC116" i="2"/>
  <c r="EH119" i="2"/>
  <c r="EH118" i="2"/>
  <c r="EH116" i="2"/>
  <c r="ED119" i="2"/>
  <c r="ED118" i="2"/>
  <c r="ED116" i="2"/>
  <c r="EE119" i="2"/>
  <c r="EE118" i="2"/>
  <c r="EE116" i="2"/>
  <c r="EI119" i="2"/>
  <c r="EI118" i="2"/>
  <c r="EI116" i="2"/>
  <c r="EP117" i="2"/>
  <c r="EP115" i="2"/>
  <c r="EJ119" i="2"/>
  <c r="EJ118" i="2"/>
  <c r="EJ116" i="2"/>
  <c r="EO119" i="2"/>
  <c r="EO118" i="2"/>
  <c r="EO116" i="2"/>
  <c r="EG119" i="2"/>
  <c r="EG118" i="2"/>
  <c r="EG116" i="2"/>
  <c r="EL116" i="2"/>
  <c r="EL119" i="2"/>
  <c r="EL118" i="2"/>
  <c r="EQ119" i="2"/>
  <c r="EQ118" i="2"/>
  <c r="EQ116" i="2"/>
  <c r="ER116" i="2"/>
  <c r="ER119" i="2"/>
  <c r="ER118" i="2"/>
  <c r="EM119" i="2"/>
  <c r="EM118" i="2"/>
  <c r="EM116" i="2"/>
  <c r="ES119" i="2"/>
  <c r="EN119" i="2"/>
  <c r="EN118" i="2"/>
  <c r="EN116" i="2"/>
  <c r="ES118" i="2"/>
  <c r="ES116" i="2"/>
  <c r="EQ112" i="2" l="1"/>
  <c r="EV112" i="2"/>
  <c r="EF118" i="2"/>
  <c r="EA119" i="2"/>
  <c r="EK119" i="2"/>
  <c r="DL119" i="2"/>
  <c r="DL118" i="2"/>
  <c r="DL116" i="2"/>
  <c r="EK118" i="2"/>
  <c r="EA116" i="2"/>
  <c r="EP116" i="2"/>
  <c r="EP119" i="2"/>
  <c r="EF116" i="2"/>
  <c r="EP118" i="2"/>
  <c r="EK116" i="2"/>
  <c r="EA118" i="2"/>
  <c r="DV119" i="2"/>
  <c r="DV116" i="2"/>
  <c r="DV118" i="2"/>
  <c r="DQ119" i="2"/>
  <c r="DQ116" i="2"/>
  <c r="DQ118" i="2"/>
  <c r="EF119" i="2"/>
  <c r="FC210" i="15" l="1"/>
  <c r="FC217" i="15" l="1"/>
  <c r="FD210" i="15"/>
  <c r="FD217" i="15" l="1"/>
  <c r="FE210" i="15"/>
  <c r="EQ147" i="5"/>
  <c r="EL147" i="5"/>
  <c r="EG147" i="5"/>
  <c r="EG146" i="5"/>
  <c r="EL146" i="5"/>
  <c r="EQ146" i="5"/>
  <c r="EG54" i="30" l="1"/>
  <c r="EL54" i="30"/>
  <c r="EQ54" i="30"/>
  <c r="FE217" i="15"/>
  <c r="FG217" i="15"/>
  <c r="CC66" i="3"/>
  <c r="CC112" i="3"/>
  <c r="CC118" i="3" l="1"/>
  <c r="CC230" i="3" s="1"/>
  <c r="CC232" i="3" s="1"/>
  <c r="DT176" i="17" l="1"/>
  <c r="CY159" i="17"/>
  <c r="CY143" i="17" s="1"/>
  <c r="DY214" i="17"/>
  <c r="DY206" i="17"/>
  <c r="EM228" i="15"/>
  <c r="CY74" i="42" l="1"/>
  <c r="CY77" i="42" s="1"/>
  <c r="EH163" i="15"/>
  <c r="EI163" i="15"/>
  <c r="EJ163" i="15"/>
  <c r="EK163" i="15"/>
  <c r="EQ163" i="15"/>
  <c r="DH113" i="14" l="1"/>
  <c r="DH111" i="14"/>
  <c r="DK114" i="14"/>
  <c r="DJ114" i="14"/>
  <c r="DM113" i="14"/>
  <c r="DK112" i="14"/>
  <c r="DJ112" i="14"/>
  <c r="DM111" i="14"/>
  <c r="EE144" i="14" l="1"/>
  <c r="EH144" i="14"/>
  <c r="EI144" i="14"/>
  <c r="DD82" i="14"/>
  <c r="DL91" i="14"/>
  <c r="DK91" i="14"/>
  <c r="DJ91" i="14"/>
  <c r="DI91" i="14"/>
  <c r="DE91" i="14"/>
  <c r="DD91" i="14"/>
  <c r="DB91" i="14"/>
  <c r="DA91" i="14"/>
  <c r="DL90" i="14"/>
  <c r="DJ90" i="14"/>
  <c r="DI90" i="14"/>
  <c r="DG90" i="14"/>
  <c r="DE90" i="14"/>
  <c r="DD90" i="14"/>
  <c r="DB90" i="14"/>
  <c r="DA90" i="14"/>
  <c r="DI87" i="14"/>
  <c r="DL87" i="14"/>
  <c r="DK87" i="14"/>
  <c r="DJ87" i="14"/>
  <c r="DG87" i="14"/>
  <c r="DF87" i="14"/>
  <c r="DE87" i="14"/>
  <c r="DB87" i="14"/>
  <c r="DA87" i="14"/>
  <c r="DF86" i="14"/>
  <c r="DG86" i="14"/>
  <c r="DL86" i="14"/>
  <c r="DK86" i="14"/>
  <c r="DJ86" i="14"/>
  <c r="DI86" i="14"/>
  <c r="DG81" i="14"/>
  <c r="DF81" i="14"/>
  <c r="DE81" i="14"/>
  <c r="DD81" i="14"/>
  <c r="DE86" i="14"/>
  <c r="DD86" i="14"/>
  <c r="DB86" i="14"/>
  <c r="DA86" i="14"/>
  <c r="CY75" i="14"/>
  <c r="DB73" i="14"/>
  <c r="DA73" i="14"/>
  <c r="CZ73" i="14"/>
  <c r="CY73" i="14"/>
  <c r="CY53" i="14"/>
  <c r="DB51" i="14"/>
  <c r="DA51" i="14"/>
  <c r="CZ51" i="14"/>
  <c r="CY51" i="14"/>
  <c r="G45" i="3"/>
  <c r="G57" i="5" s="1"/>
  <c r="L45" i="3"/>
  <c r="L57" i="5" s="1"/>
  <c r="Q45" i="3"/>
  <c r="Q57" i="5" s="1"/>
  <c r="V45" i="3"/>
  <c r="V57" i="5" s="1"/>
  <c r="AA45" i="3"/>
  <c r="AA57" i="5" s="1"/>
  <c r="AF45" i="3"/>
  <c r="AF57" i="5" s="1"/>
  <c r="AK45" i="3"/>
  <c r="AK57" i="5" s="1"/>
  <c r="AP45" i="3"/>
  <c r="AP57" i="5" s="1"/>
  <c r="AU45" i="3"/>
  <c r="AU57" i="5" s="1"/>
  <c r="AZ45" i="3"/>
  <c r="AZ57" i="5" s="1"/>
  <c r="BD45" i="3"/>
  <c r="BD57" i="5" s="1"/>
  <c r="BJ45" i="3"/>
  <c r="BO45" i="3"/>
  <c r="BT45" i="3"/>
  <c r="BY45" i="3"/>
  <c r="CD45" i="3"/>
  <c r="CI45" i="3"/>
  <c r="CN45" i="3"/>
  <c r="CS45" i="3"/>
  <c r="CX45" i="3"/>
  <c r="H46" i="3"/>
  <c r="I46" i="3"/>
  <c r="J46" i="3"/>
  <c r="K46" i="3"/>
  <c r="M46" i="3"/>
  <c r="N46" i="3"/>
  <c r="O46" i="3"/>
  <c r="P46" i="3"/>
  <c r="R46" i="3"/>
  <c r="S46" i="3"/>
  <c r="T46" i="3"/>
  <c r="U46" i="3"/>
  <c r="W46" i="3"/>
  <c r="X46" i="3"/>
  <c r="Y46" i="3"/>
  <c r="Z46" i="3"/>
  <c r="AB46" i="3"/>
  <c r="AC46" i="3"/>
  <c r="AD46" i="3"/>
  <c r="AE46" i="3"/>
  <c r="AG46" i="3"/>
  <c r="AH46" i="3"/>
  <c r="AI46" i="3"/>
  <c r="AJ46" i="3"/>
  <c r="AL46" i="3"/>
  <c r="AM46" i="3"/>
  <c r="AN46" i="3"/>
  <c r="AO46" i="3"/>
  <c r="AQ46" i="3"/>
  <c r="AR46" i="3"/>
  <c r="AS46" i="3"/>
  <c r="AT46" i="3"/>
  <c r="AV46" i="3"/>
  <c r="AW46" i="3"/>
  <c r="AX46" i="3"/>
  <c r="AY46" i="3"/>
  <c r="BA46" i="3"/>
  <c r="BB46" i="3"/>
  <c r="BC46" i="3"/>
  <c r="BF46" i="3"/>
  <c r="BG46" i="3"/>
  <c r="BH46" i="3"/>
  <c r="BK46" i="3"/>
  <c r="BL46" i="3"/>
  <c r="BM46" i="3"/>
  <c r="BN46" i="3"/>
  <c r="BP46" i="3"/>
  <c r="BQ46" i="3"/>
  <c r="BR46" i="3"/>
  <c r="BS46" i="3"/>
  <c r="BU46" i="3"/>
  <c r="BV46" i="3"/>
  <c r="BW46" i="3"/>
  <c r="BX46" i="3"/>
  <c r="BZ46" i="3"/>
  <c r="CA46" i="3"/>
  <c r="CB46" i="3"/>
  <c r="CC46" i="3"/>
  <c r="CE46" i="3"/>
  <c r="CF46" i="3"/>
  <c r="CG46" i="3"/>
  <c r="CH46" i="3"/>
  <c r="CJ46" i="3"/>
  <c r="CK46" i="3"/>
  <c r="CL46" i="3"/>
  <c r="CM46" i="3"/>
  <c r="CO46" i="3"/>
  <c r="CP46" i="3"/>
  <c r="CQ46" i="3"/>
  <c r="CR46" i="3"/>
  <c r="CT46" i="3"/>
  <c r="CU46" i="3"/>
  <c r="CV46" i="3"/>
  <c r="CW46" i="3"/>
  <c r="H47" i="3"/>
  <c r="I47" i="3"/>
  <c r="J47" i="3"/>
  <c r="K47" i="3"/>
  <c r="M47" i="3"/>
  <c r="N47" i="3"/>
  <c r="O47" i="3"/>
  <c r="P47" i="3"/>
  <c r="R47" i="3"/>
  <c r="S47" i="3"/>
  <c r="T47" i="3"/>
  <c r="U47" i="3"/>
  <c r="W47" i="3"/>
  <c r="X47" i="3"/>
  <c r="Y47" i="3"/>
  <c r="Z47" i="3"/>
  <c r="AB47" i="3"/>
  <c r="AC47" i="3"/>
  <c r="AD47" i="3"/>
  <c r="AE47" i="3"/>
  <c r="AG47" i="3"/>
  <c r="AH47" i="3"/>
  <c r="AI47" i="3"/>
  <c r="AJ47" i="3"/>
  <c r="AL47" i="3"/>
  <c r="AM47" i="3"/>
  <c r="AN47" i="3"/>
  <c r="AO47" i="3"/>
  <c r="AQ47" i="3"/>
  <c r="AR47" i="3"/>
  <c r="AS47" i="3"/>
  <c r="AT47" i="3"/>
  <c r="AV47" i="3"/>
  <c r="AW47" i="3"/>
  <c r="AX47" i="3"/>
  <c r="AY47" i="3"/>
  <c r="BA47" i="3"/>
  <c r="BB47" i="3"/>
  <c r="BC47" i="3"/>
  <c r="BG47" i="3"/>
  <c r="BH47" i="3"/>
  <c r="BI47" i="3"/>
  <c r="BK47" i="3"/>
  <c r="BL47" i="3"/>
  <c r="BM47" i="3"/>
  <c r="BN47" i="3"/>
  <c r="BP47" i="3"/>
  <c r="BQ47" i="3"/>
  <c r="BR47" i="3"/>
  <c r="BS47" i="3"/>
  <c r="BU47" i="3"/>
  <c r="BV47" i="3"/>
  <c r="BW47" i="3"/>
  <c r="BX47" i="3"/>
  <c r="BZ47" i="3"/>
  <c r="CA47" i="3"/>
  <c r="CB47" i="3"/>
  <c r="CC47" i="3"/>
  <c r="CE47" i="3"/>
  <c r="CF47" i="3"/>
  <c r="CG47" i="3"/>
  <c r="CH47" i="3"/>
  <c r="CJ47" i="3"/>
  <c r="CK47" i="3"/>
  <c r="CL47" i="3"/>
  <c r="CM47" i="3"/>
  <c r="CO47" i="3"/>
  <c r="CP47" i="3"/>
  <c r="CQ47" i="3"/>
  <c r="CR47" i="3"/>
  <c r="CT47" i="3"/>
  <c r="CU47" i="3"/>
  <c r="CV47" i="3"/>
  <c r="CW47" i="3"/>
  <c r="H48" i="3"/>
  <c r="I48" i="3"/>
  <c r="J48" i="3"/>
  <c r="K48" i="3"/>
  <c r="M48" i="3"/>
  <c r="N48" i="3"/>
  <c r="O48" i="3"/>
  <c r="P48" i="3"/>
  <c r="R48" i="3"/>
  <c r="S48" i="3"/>
  <c r="T48" i="3"/>
  <c r="U48" i="3"/>
  <c r="W48" i="3"/>
  <c r="X48" i="3"/>
  <c r="Y48" i="3"/>
  <c r="Z48" i="3"/>
  <c r="AB48" i="3"/>
  <c r="AC48" i="3"/>
  <c r="AD48" i="3"/>
  <c r="AE48" i="3"/>
  <c r="AG48" i="3"/>
  <c r="AH48" i="3"/>
  <c r="AI48" i="3"/>
  <c r="AJ48" i="3"/>
  <c r="AL48" i="3"/>
  <c r="AM48" i="3"/>
  <c r="AN48" i="3"/>
  <c r="AO48" i="3"/>
  <c r="AQ48" i="3"/>
  <c r="AR48" i="3"/>
  <c r="AS48" i="3"/>
  <c r="AT48" i="3"/>
  <c r="AV48" i="3"/>
  <c r="AW48" i="3"/>
  <c r="AX48" i="3"/>
  <c r="AY48" i="3"/>
  <c r="BA48" i="3"/>
  <c r="BB48" i="3"/>
  <c r="BC48" i="3"/>
  <c r="BF48" i="3"/>
  <c r="BG48" i="3"/>
  <c r="BH48" i="3"/>
  <c r="BK48" i="3"/>
  <c r="BL48" i="3"/>
  <c r="BM48" i="3"/>
  <c r="BN48" i="3"/>
  <c r="BP48" i="3"/>
  <c r="BQ48" i="3"/>
  <c r="BR48" i="3"/>
  <c r="BS48" i="3"/>
  <c r="BU48" i="3"/>
  <c r="BV48" i="3"/>
  <c r="BW48" i="3"/>
  <c r="BX48" i="3"/>
  <c r="BZ48" i="3"/>
  <c r="CA48" i="3"/>
  <c r="CB48" i="3"/>
  <c r="CC48" i="3"/>
  <c r="CE48" i="3"/>
  <c r="CF48" i="3"/>
  <c r="CG48" i="3"/>
  <c r="CH48" i="3"/>
  <c r="CJ48" i="3"/>
  <c r="CK48" i="3"/>
  <c r="CL48" i="3"/>
  <c r="CM48" i="3"/>
  <c r="CO48" i="3"/>
  <c r="CP48" i="3"/>
  <c r="CQ48" i="3"/>
  <c r="CR48" i="3"/>
  <c r="CT48" i="3"/>
  <c r="CU48" i="3"/>
  <c r="CV48" i="3"/>
  <c r="CW48" i="3"/>
  <c r="D49" i="3"/>
  <c r="E49" i="3"/>
  <c r="F49" i="3"/>
  <c r="H49" i="3"/>
  <c r="I49" i="3"/>
  <c r="J49" i="3"/>
  <c r="K49" i="3"/>
  <c r="M49" i="3"/>
  <c r="N49" i="3"/>
  <c r="O49" i="3"/>
  <c r="P49" i="3"/>
  <c r="R49" i="3"/>
  <c r="S49" i="3"/>
  <c r="T49" i="3"/>
  <c r="U49" i="3"/>
  <c r="W49" i="3"/>
  <c r="X49" i="3"/>
  <c r="Y49" i="3"/>
  <c r="Z49" i="3"/>
  <c r="AB49" i="3"/>
  <c r="AC49" i="3"/>
  <c r="AD49" i="3"/>
  <c r="AE49" i="3"/>
  <c r="AG49" i="3"/>
  <c r="AH49" i="3"/>
  <c r="AI49" i="3"/>
  <c r="AJ49" i="3"/>
  <c r="AL49" i="3"/>
  <c r="AM49" i="3"/>
  <c r="AN49" i="3"/>
  <c r="AO49" i="3"/>
  <c r="AQ49" i="3"/>
  <c r="AR49" i="3"/>
  <c r="AS49" i="3"/>
  <c r="AT49" i="3"/>
  <c r="AV49" i="3"/>
  <c r="AW49" i="3"/>
  <c r="AX49" i="3"/>
  <c r="AY49" i="3"/>
  <c r="BA49" i="3"/>
  <c r="BB49" i="3"/>
  <c r="BC49" i="3"/>
  <c r="BG49" i="3"/>
  <c r="BH49" i="3"/>
  <c r="BI49" i="3"/>
  <c r="BK49" i="3"/>
  <c r="BL49" i="3"/>
  <c r="BM49" i="3"/>
  <c r="BN49" i="3"/>
  <c r="BP49" i="3"/>
  <c r="BQ49" i="3"/>
  <c r="BR49" i="3"/>
  <c r="BS49" i="3"/>
  <c r="BU49" i="3"/>
  <c r="BV49" i="3"/>
  <c r="BW49" i="3"/>
  <c r="BX49" i="3"/>
  <c r="BZ49" i="3"/>
  <c r="CA49" i="3"/>
  <c r="CB49" i="3"/>
  <c r="CC49" i="3"/>
  <c r="CE49" i="3"/>
  <c r="CF49" i="3"/>
  <c r="CG49" i="3"/>
  <c r="CH49" i="3"/>
  <c r="CJ49" i="3"/>
  <c r="CK49" i="3"/>
  <c r="CL49" i="3"/>
  <c r="CM49" i="3"/>
  <c r="CO49" i="3"/>
  <c r="CP49" i="3"/>
  <c r="CQ49" i="3"/>
  <c r="CR49" i="3"/>
  <c r="CT49" i="3"/>
  <c r="CU49" i="3"/>
  <c r="CV49" i="3"/>
  <c r="CW49" i="3"/>
  <c r="ES94" i="3"/>
  <c r="ER94" i="3"/>
  <c r="EP94" i="3"/>
  <c r="EO94" i="3"/>
  <c r="EN94" i="3"/>
  <c r="EM94" i="3"/>
  <c r="EK94" i="3"/>
  <c r="EJ94" i="3"/>
  <c r="EI94" i="3"/>
  <c r="EH94" i="3"/>
  <c r="EF94" i="3"/>
  <c r="EE94" i="3"/>
  <c r="ED94" i="3"/>
  <c r="EC94" i="3"/>
  <c r="EA94" i="3"/>
  <c r="DZ94" i="3"/>
  <c r="DY94" i="3"/>
  <c r="DX94" i="3"/>
  <c r="DV94" i="3"/>
  <c r="DU94" i="3"/>
  <c r="DT94" i="3"/>
  <c r="DS94" i="3"/>
  <c r="DQ94" i="3"/>
  <c r="DP94" i="3"/>
  <c r="DO94" i="3"/>
  <c r="DN94" i="3"/>
  <c r="DL94" i="3"/>
  <c r="DK94" i="3"/>
  <c r="DJ94" i="3"/>
  <c r="DI94" i="3"/>
  <c r="DG94" i="3"/>
  <c r="DF94" i="3"/>
  <c r="DE94" i="3"/>
  <c r="DD94" i="3"/>
  <c r="DB94" i="3"/>
  <c r="DA94" i="3"/>
  <c r="CZ94" i="3"/>
  <c r="CY94" i="3"/>
  <c r="CW94" i="3"/>
  <c r="CV94" i="3"/>
  <c r="CU94" i="3"/>
  <c r="CT94" i="3"/>
  <c r="CR94" i="3"/>
  <c r="CQ94" i="3"/>
  <c r="CP94" i="3"/>
  <c r="CO94" i="3"/>
  <c r="CM94" i="3"/>
  <c r="CL94" i="3"/>
  <c r="CK94" i="3"/>
  <c r="CJ94" i="3"/>
  <c r="CH94" i="3"/>
  <c r="CG94" i="3"/>
  <c r="CF94" i="3"/>
  <c r="CE94" i="3"/>
  <c r="CC94" i="3"/>
  <c r="CB94" i="3"/>
  <c r="CA94" i="3"/>
  <c r="BZ94" i="3"/>
  <c r="BX94" i="3"/>
  <c r="BW94" i="3"/>
  <c r="BV94" i="3"/>
  <c r="BU94" i="3"/>
  <c r="BS94" i="3"/>
  <c r="BR94" i="3"/>
  <c r="BQ94" i="3"/>
  <c r="BP94" i="3"/>
  <c r="BN94" i="3"/>
  <c r="BM94" i="3"/>
  <c r="BL94" i="3"/>
  <c r="BK94" i="3"/>
  <c r="BI94" i="3"/>
  <c r="BH94" i="3"/>
  <c r="BG94" i="3"/>
  <c r="BC94" i="3"/>
  <c r="BB94" i="3"/>
  <c r="BA94" i="3"/>
  <c r="AY94" i="3"/>
  <c r="AX94" i="3"/>
  <c r="AW94" i="3"/>
  <c r="AV94" i="3"/>
  <c r="AT94" i="3"/>
  <c r="AS94" i="3"/>
  <c r="AR94" i="3"/>
  <c r="AQ94" i="3"/>
  <c r="AO94" i="3"/>
  <c r="AN94" i="3"/>
  <c r="AM94" i="3"/>
  <c r="AL94" i="3"/>
  <c r="AJ94" i="3"/>
  <c r="AI94" i="3"/>
  <c r="AH94" i="3"/>
  <c r="AG94" i="3"/>
  <c r="AE94" i="3"/>
  <c r="AD94" i="3"/>
  <c r="AC94" i="3"/>
  <c r="AB94" i="3"/>
  <c r="Z94" i="3"/>
  <c r="Y94" i="3"/>
  <c r="X94" i="3"/>
  <c r="W94" i="3"/>
  <c r="U94" i="3"/>
  <c r="T94" i="3"/>
  <c r="S94" i="3"/>
  <c r="R94" i="3"/>
  <c r="P94" i="3"/>
  <c r="O94" i="3"/>
  <c r="N94" i="3"/>
  <c r="M94" i="3"/>
  <c r="K94" i="3"/>
  <c r="J94" i="3"/>
  <c r="I94" i="3"/>
  <c r="H94" i="3"/>
  <c r="F94" i="3"/>
  <c r="E94" i="3"/>
  <c r="D94" i="3"/>
  <c r="ES93" i="3"/>
  <c r="ER93" i="3"/>
  <c r="EP93" i="3"/>
  <c r="EO93" i="3"/>
  <c r="EN93" i="3"/>
  <c r="EM93" i="3"/>
  <c r="EK93" i="3"/>
  <c r="EJ93" i="3"/>
  <c r="EI93" i="3"/>
  <c r="EH93" i="3"/>
  <c r="EF93" i="3"/>
  <c r="EE93" i="3"/>
  <c r="ED93" i="3"/>
  <c r="EC93" i="3"/>
  <c r="EA93" i="3"/>
  <c r="DZ93" i="3"/>
  <c r="DY93" i="3"/>
  <c r="DX93" i="3"/>
  <c r="DV93" i="3"/>
  <c r="DU93" i="3"/>
  <c r="DT93" i="3"/>
  <c r="DS93" i="3"/>
  <c r="DQ93" i="3"/>
  <c r="DP93" i="3"/>
  <c r="DO93" i="3"/>
  <c r="DN93" i="3"/>
  <c r="DL93" i="3"/>
  <c r="DK93" i="3"/>
  <c r="DJ93" i="3"/>
  <c r="DI93" i="3"/>
  <c r="DG93" i="3"/>
  <c r="DF93" i="3"/>
  <c r="DE93" i="3"/>
  <c r="DD93" i="3"/>
  <c r="DB93" i="3"/>
  <c r="DA93" i="3"/>
  <c r="CZ93" i="3"/>
  <c r="CY93" i="3"/>
  <c r="CW93" i="3"/>
  <c r="CV93" i="3"/>
  <c r="CU93" i="3"/>
  <c r="CT93" i="3"/>
  <c r="CR93" i="3"/>
  <c r="CQ93" i="3"/>
  <c r="CP93" i="3"/>
  <c r="CO93" i="3"/>
  <c r="CM93" i="3"/>
  <c r="CL93" i="3"/>
  <c r="CK93" i="3"/>
  <c r="CJ93" i="3"/>
  <c r="CH93" i="3"/>
  <c r="CG93" i="3"/>
  <c r="CF93" i="3"/>
  <c r="CE93" i="3"/>
  <c r="CC93" i="3"/>
  <c r="CB93" i="3"/>
  <c r="CA93" i="3"/>
  <c r="BZ93" i="3"/>
  <c r="BX93" i="3"/>
  <c r="BW93" i="3"/>
  <c r="BV93" i="3"/>
  <c r="BU93" i="3"/>
  <c r="BS93" i="3"/>
  <c r="BR93" i="3"/>
  <c r="BQ93" i="3"/>
  <c r="BP93" i="3"/>
  <c r="BN93" i="3"/>
  <c r="BM93" i="3"/>
  <c r="BL93" i="3"/>
  <c r="BK93" i="3"/>
  <c r="BH93" i="3"/>
  <c r="BG93" i="3"/>
  <c r="BF93" i="3"/>
  <c r="BC93" i="3"/>
  <c r="BB93" i="3"/>
  <c r="BA93" i="3"/>
  <c r="AY93" i="3"/>
  <c r="AX93" i="3"/>
  <c r="AW93" i="3"/>
  <c r="AV93" i="3"/>
  <c r="AT93" i="3"/>
  <c r="AS93" i="3"/>
  <c r="AR93" i="3"/>
  <c r="AQ93" i="3"/>
  <c r="AO93" i="3"/>
  <c r="AN93" i="3"/>
  <c r="AM93" i="3"/>
  <c r="AL93" i="3"/>
  <c r="AJ93" i="3"/>
  <c r="AI93" i="3"/>
  <c r="AH93" i="3"/>
  <c r="AG93" i="3"/>
  <c r="AE93" i="3"/>
  <c r="AD93" i="3"/>
  <c r="AC93" i="3"/>
  <c r="AB93" i="3"/>
  <c r="Z93" i="3"/>
  <c r="Y93" i="3"/>
  <c r="X93" i="3"/>
  <c r="W93" i="3"/>
  <c r="U93" i="3"/>
  <c r="T93" i="3"/>
  <c r="S93" i="3"/>
  <c r="R93" i="3"/>
  <c r="P93" i="3"/>
  <c r="O93" i="3"/>
  <c r="N93" i="3"/>
  <c r="M93" i="3"/>
  <c r="K93" i="3"/>
  <c r="J93" i="3"/>
  <c r="I93" i="3"/>
  <c r="H93" i="3"/>
  <c r="ES87" i="3"/>
  <c r="ER87" i="3"/>
  <c r="EP87" i="3"/>
  <c r="EO87" i="3"/>
  <c r="EN87" i="3"/>
  <c r="EM87" i="3"/>
  <c r="EK87" i="3"/>
  <c r="EJ87" i="3"/>
  <c r="EI87" i="3"/>
  <c r="EH87" i="3"/>
  <c r="EF87" i="3"/>
  <c r="EE87" i="3"/>
  <c r="ED87" i="3"/>
  <c r="EC87" i="3"/>
  <c r="EA87" i="3"/>
  <c r="DZ87" i="3"/>
  <c r="DY87" i="3"/>
  <c r="DX87" i="3"/>
  <c r="DV87" i="3"/>
  <c r="DU87" i="3"/>
  <c r="DT87" i="3"/>
  <c r="DS87" i="3"/>
  <c r="DQ87" i="3"/>
  <c r="DP87" i="3"/>
  <c r="DO87" i="3"/>
  <c r="DN87" i="3"/>
  <c r="DL87" i="3"/>
  <c r="DK87" i="3"/>
  <c r="DJ87" i="3"/>
  <c r="DI87" i="3"/>
  <c r="DG87" i="3"/>
  <c r="DF87" i="3"/>
  <c r="DE87" i="3"/>
  <c r="DD87" i="3"/>
  <c r="DB87" i="3"/>
  <c r="DA87" i="3"/>
  <c r="CZ87" i="3"/>
  <c r="CY87" i="3"/>
  <c r="CW87" i="3"/>
  <c r="CV87" i="3"/>
  <c r="CU87" i="3"/>
  <c r="CT87" i="3"/>
  <c r="CR87" i="3"/>
  <c r="CQ87" i="3"/>
  <c r="CP87" i="3"/>
  <c r="CO87" i="3"/>
  <c r="CM87" i="3"/>
  <c r="CL87" i="3"/>
  <c r="CK87" i="3"/>
  <c r="CJ87" i="3"/>
  <c r="CH87" i="3"/>
  <c r="CG87" i="3"/>
  <c r="CF87" i="3"/>
  <c r="CE87" i="3"/>
  <c r="CC87" i="3"/>
  <c r="CB87" i="3"/>
  <c r="CA87" i="3"/>
  <c r="BZ87" i="3"/>
  <c r="BX87" i="3"/>
  <c r="BW87" i="3"/>
  <c r="BV87" i="3"/>
  <c r="BU87" i="3"/>
  <c r="BS87" i="3"/>
  <c r="BR87" i="3"/>
  <c r="BQ87" i="3"/>
  <c r="BP87" i="3"/>
  <c r="BN87" i="3"/>
  <c r="BM87" i="3"/>
  <c r="BL87" i="3"/>
  <c r="BK87" i="3"/>
  <c r="BI87" i="3"/>
  <c r="BH87" i="3"/>
  <c r="BG87" i="3"/>
  <c r="BC87" i="3"/>
  <c r="BB87" i="3"/>
  <c r="BA87" i="3"/>
  <c r="AY87" i="3"/>
  <c r="AX87" i="3"/>
  <c r="AW87" i="3"/>
  <c r="AV87" i="3"/>
  <c r="AT87" i="3"/>
  <c r="AS87" i="3"/>
  <c r="AR87" i="3"/>
  <c r="AQ87" i="3"/>
  <c r="AO87" i="3"/>
  <c r="AN87" i="3"/>
  <c r="AM87" i="3"/>
  <c r="AL87" i="3"/>
  <c r="AJ87" i="3"/>
  <c r="AI87" i="3"/>
  <c r="AH87" i="3"/>
  <c r="AG87" i="3"/>
  <c r="AE87" i="3"/>
  <c r="AD87" i="3"/>
  <c r="AC87" i="3"/>
  <c r="AB87" i="3"/>
  <c r="Z87" i="3"/>
  <c r="Y87" i="3"/>
  <c r="X87" i="3"/>
  <c r="W87" i="3"/>
  <c r="U87" i="3"/>
  <c r="T87" i="3"/>
  <c r="S87" i="3"/>
  <c r="R87" i="3"/>
  <c r="P87" i="3"/>
  <c r="O87" i="3"/>
  <c r="N87" i="3"/>
  <c r="M87" i="3"/>
  <c r="K87" i="3"/>
  <c r="J87" i="3"/>
  <c r="I87" i="3"/>
  <c r="H87" i="3"/>
  <c r="F87" i="3"/>
  <c r="E87" i="3"/>
  <c r="D87" i="3"/>
  <c r="ES86" i="3"/>
  <c r="ER86" i="3"/>
  <c r="EP86" i="3"/>
  <c r="EO86" i="3"/>
  <c r="EN86" i="3"/>
  <c r="EM86" i="3"/>
  <c r="EK86" i="3"/>
  <c r="EJ86" i="3"/>
  <c r="EI86" i="3"/>
  <c r="EH86" i="3"/>
  <c r="EF86" i="3"/>
  <c r="EE86" i="3"/>
  <c r="ED86" i="3"/>
  <c r="EC86" i="3"/>
  <c r="EA86" i="3"/>
  <c r="DZ86" i="3"/>
  <c r="DY86" i="3"/>
  <c r="DX86" i="3"/>
  <c r="DV86" i="3"/>
  <c r="DU86" i="3"/>
  <c r="DT86" i="3"/>
  <c r="DS86" i="3"/>
  <c r="DQ86" i="3"/>
  <c r="DP86" i="3"/>
  <c r="DO86" i="3"/>
  <c r="DN86" i="3"/>
  <c r="DL86" i="3"/>
  <c r="DK86" i="3"/>
  <c r="DJ86" i="3"/>
  <c r="DI86" i="3"/>
  <c r="DG86" i="3"/>
  <c r="DF86" i="3"/>
  <c r="DE86" i="3"/>
  <c r="DD86" i="3"/>
  <c r="DB86" i="3"/>
  <c r="DA86" i="3"/>
  <c r="CZ86" i="3"/>
  <c r="CY86" i="3"/>
  <c r="CW86" i="3"/>
  <c r="CV86" i="3"/>
  <c r="CU86" i="3"/>
  <c r="CT86" i="3"/>
  <c r="CR86" i="3"/>
  <c r="CQ86" i="3"/>
  <c r="CP86" i="3"/>
  <c r="CO86" i="3"/>
  <c r="CM86" i="3"/>
  <c r="CL86" i="3"/>
  <c r="CK86" i="3"/>
  <c r="CJ86" i="3"/>
  <c r="CH86" i="3"/>
  <c r="CG86" i="3"/>
  <c r="CF86" i="3"/>
  <c r="CE86" i="3"/>
  <c r="CC86" i="3"/>
  <c r="CB86" i="3"/>
  <c r="CA86" i="3"/>
  <c r="BZ86" i="3"/>
  <c r="BX86" i="3"/>
  <c r="BW86" i="3"/>
  <c r="BV86" i="3"/>
  <c r="BU86" i="3"/>
  <c r="BS86" i="3"/>
  <c r="BR86" i="3"/>
  <c r="BQ86" i="3"/>
  <c r="BP86" i="3"/>
  <c r="BN86" i="3"/>
  <c r="BM86" i="3"/>
  <c r="BL86" i="3"/>
  <c r="BK86" i="3"/>
  <c r="BH86" i="3"/>
  <c r="BG86" i="3"/>
  <c r="BF86" i="3"/>
  <c r="BC86" i="3"/>
  <c r="BB86" i="3"/>
  <c r="BA86" i="3"/>
  <c r="AY86" i="3"/>
  <c r="AX86" i="3"/>
  <c r="AW86" i="3"/>
  <c r="AV86" i="3"/>
  <c r="AT86" i="3"/>
  <c r="AS86" i="3"/>
  <c r="AR86" i="3"/>
  <c r="AQ86" i="3"/>
  <c r="AO86" i="3"/>
  <c r="AN86" i="3"/>
  <c r="AM86" i="3"/>
  <c r="AL86" i="3"/>
  <c r="AJ86" i="3"/>
  <c r="AI86" i="3"/>
  <c r="AH86" i="3"/>
  <c r="AG86" i="3"/>
  <c r="AE86" i="3"/>
  <c r="AD86" i="3"/>
  <c r="AC86" i="3"/>
  <c r="AB86" i="3"/>
  <c r="Z86" i="3"/>
  <c r="Y86" i="3"/>
  <c r="X86" i="3"/>
  <c r="W86" i="3"/>
  <c r="U86" i="3"/>
  <c r="T86" i="3"/>
  <c r="S86" i="3"/>
  <c r="R86" i="3"/>
  <c r="P86" i="3"/>
  <c r="O86" i="3"/>
  <c r="N86" i="3"/>
  <c r="M86" i="3"/>
  <c r="K86" i="3"/>
  <c r="J86" i="3"/>
  <c r="I86" i="3"/>
  <c r="H86" i="3"/>
  <c r="ES80" i="3"/>
  <c r="ER80" i="3"/>
  <c r="EP80" i="3"/>
  <c r="EO80" i="3"/>
  <c r="EN80" i="3"/>
  <c r="EM80" i="3"/>
  <c r="EK80" i="3"/>
  <c r="EJ80" i="3"/>
  <c r="EI80" i="3"/>
  <c r="EH80" i="3"/>
  <c r="EF80" i="3"/>
  <c r="EE80" i="3"/>
  <c r="ED80" i="3"/>
  <c r="EC80" i="3"/>
  <c r="EA80" i="3"/>
  <c r="DZ80" i="3"/>
  <c r="DY80" i="3"/>
  <c r="DX80" i="3"/>
  <c r="DV80" i="3"/>
  <c r="DU80" i="3"/>
  <c r="DT80" i="3"/>
  <c r="DS80" i="3"/>
  <c r="DQ80" i="3"/>
  <c r="DP80" i="3"/>
  <c r="DO80" i="3"/>
  <c r="DN80" i="3"/>
  <c r="DL80" i="3"/>
  <c r="DK80" i="3"/>
  <c r="DJ80" i="3"/>
  <c r="DI80" i="3"/>
  <c r="DG80" i="3"/>
  <c r="DF80" i="3"/>
  <c r="DE80" i="3"/>
  <c r="DD80" i="3"/>
  <c r="DB80" i="3"/>
  <c r="DA80" i="3"/>
  <c r="CZ80" i="3"/>
  <c r="CY80" i="3"/>
  <c r="CW80" i="3"/>
  <c r="CV80" i="3"/>
  <c r="CU80" i="3"/>
  <c r="CT80" i="3"/>
  <c r="CR80" i="3"/>
  <c r="CQ80" i="3"/>
  <c r="CP80" i="3"/>
  <c r="CO80" i="3"/>
  <c r="CM80" i="3"/>
  <c r="CL80" i="3"/>
  <c r="CK80" i="3"/>
  <c r="CJ80" i="3"/>
  <c r="CH80" i="3"/>
  <c r="CG80" i="3"/>
  <c r="CF80" i="3"/>
  <c r="CE80" i="3"/>
  <c r="CC80" i="3"/>
  <c r="CB80" i="3"/>
  <c r="CA80" i="3"/>
  <c r="BZ80" i="3"/>
  <c r="BX80" i="3"/>
  <c r="BW80" i="3"/>
  <c r="BV80" i="3"/>
  <c r="BU80" i="3"/>
  <c r="BS80" i="3"/>
  <c r="BR80" i="3"/>
  <c r="BQ80" i="3"/>
  <c r="BP80" i="3"/>
  <c r="BN80" i="3"/>
  <c r="BM80" i="3"/>
  <c r="BL80" i="3"/>
  <c r="BK80" i="3"/>
  <c r="BI80" i="3"/>
  <c r="BH80" i="3"/>
  <c r="BG80" i="3"/>
  <c r="BC80" i="3"/>
  <c r="BB80" i="3"/>
  <c r="BA80" i="3"/>
  <c r="AY80" i="3"/>
  <c r="AX80" i="3"/>
  <c r="AW80" i="3"/>
  <c r="AV80" i="3"/>
  <c r="AT80" i="3"/>
  <c r="AS80" i="3"/>
  <c r="AR80" i="3"/>
  <c r="AQ80" i="3"/>
  <c r="AO80" i="3"/>
  <c r="AN80" i="3"/>
  <c r="AM80" i="3"/>
  <c r="AL80" i="3"/>
  <c r="AJ80" i="3"/>
  <c r="AI80" i="3"/>
  <c r="AH80" i="3"/>
  <c r="AG80" i="3"/>
  <c r="AE80" i="3"/>
  <c r="AD80" i="3"/>
  <c r="AC80" i="3"/>
  <c r="AB80" i="3"/>
  <c r="Z80" i="3"/>
  <c r="Y80" i="3"/>
  <c r="X80" i="3"/>
  <c r="W80" i="3"/>
  <c r="U80" i="3"/>
  <c r="T80" i="3"/>
  <c r="S80" i="3"/>
  <c r="R80" i="3"/>
  <c r="P80" i="3"/>
  <c r="O80" i="3"/>
  <c r="N80" i="3"/>
  <c r="M80" i="3"/>
  <c r="K80" i="3"/>
  <c r="J80" i="3"/>
  <c r="I80" i="3"/>
  <c r="H80" i="3"/>
  <c r="F80" i="3"/>
  <c r="E80" i="3"/>
  <c r="D80" i="3"/>
  <c r="ES79" i="3"/>
  <c r="ER79" i="3"/>
  <c r="EP79" i="3"/>
  <c r="EO79" i="3"/>
  <c r="EN79" i="3"/>
  <c r="EM79" i="3"/>
  <c r="EK79" i="3"/>
  <c r="EJ79" i="3"/>
  <c r="EI79" i="3"/>
  <c r="EH79" i="3"/>
  <c r="EF79" i="3"/>
  <c r="EE79" i="3"/>
  <c r="ED79" i="3"/>
  <c r="EC79" i="3"/>
  <c r="EA79" i="3"/>
  <c r="DZ79" i="3"/>
  <c r="DY79" i="3"/>
  <c r="DX79" i="3"/>
  <c r="DV79" i="3"/>
  <c r="DU79" i="3"/>
  <c r="DT79" i="3"/>
  <c r="DS79" i="3"/>
  <c r="DQ79" i="3"/>
  <c r="DP79" i="3"/>
  <c r="DO79" i="3"/>
  <c r="DN79" i="3"/>
  <c r="DL79" i="3"/>
  <c r="DK79" i="3"/>
  <c r="DJ79" i="3"/>
  <c r="DI79" i="3"/>
  <c r="DG79" i="3"/>
  <c r="DF79" i="3"/>
  <c r="DE79" i="3"/>
  <c r="DD79" i="3"/>
  <c r="DB79" i="3"/>
  <c r="DA79" i="3"/>
  <c r="CZ79" i="3"/>
  <c r="CY79" i="3"/>
  <c r="CW79" i="3"/>
  <c r="CV79" i="3"/>
  <c r="CU79" i="3"/>
  <c r="CT79" i="3"/>
  <c r="CR79" i="3"/>
  <c r="CQ79" i="3"/>
  <c r="CP79" i="3"/>
  <c r="CO79" i="3"/>
  <c r="CM79" i="3"/>
  <c r="CL79" i="3"/>
  <c r="CK79" i="3"/>
  <c r="CJ79" i="3"/>
  <c r="CH79" i="3"/>
  <c r="CG79" i="3"/>
  <c r="CF79" i="3"/>
  <c r="CE79" i="3"/>
  <c r="CC79" i="3"/>
  <c r="CB79" i="3"/>
  <c r="CA79" i="3"/>
  <c r="BZ79" i="3"/>
  <c r="BX79" i="3"/>
  <c r="BW79" i="3"/>
  <c r="BV79" i="3"/>
  <c r="BU79" i="3"/>
  <c r="BS79" i="3"/>
  <c r="BR79" i="3"/>
  <c r="BQ79" i="3"/>
  <c r="BP79" i="3"/>
  <c r="BN79" i="3"/>
  <c r="BM79" i="3"/>
  <c r="BL79" i="3"/>
  <c r="BK79" i="3"/>
  <c r="BH79" i="3"/>
  <c r="BG79" i="3"/>
  <c r="BF79" i="3"/>
  <c r="BC79" i="3"/>
  <c r="BB79" i="3"/>
  <c r="BA79" i="3"/>
  <c r="AY79" i="3"/>
  <c r="AX79" i="3"/>
  <c r="AW79" i="3"/>
  <c r="AV79" i="3"/>
  <c r="AT79" i="3"/>
  <c r="AS79" i="3"/>
  <c r="AR79" i="3"/>
  <c r="AQ79" i="3"/>
  <c r="AO79" i="3"/>
  <c r="AN79" i="3"/>
  <c r="AM79" i="3"/>
  <c r="AL79" i="3"/>
  <c r="AJ79" i="3"/>
  <c r="AI79" i="3"/>
  <c r="AH79" i="3"/>
  <c r="AG79" i="3"/>
  <c r="AE79" i="3"/>
  <c r="AD79" i="3"/>
  <c r="AC79" i="3"/>
  <c r="AB79" i="3"/>
  <c r="Z79" i="3"/>
  <c r="Y79" i="3"/>
  <c r="X79" i="3"/>
  <c r="W79" i="3"/>
  <c r="U79" i="3"/>
  <c r="T79" i="3"/>
  <c r="S79" i="3"/>
  <c r="R79" i="3"/>
  <c r="P79" i="3"/>
  <c r="O79" i="3"/>
  <c r="N79" i="3"/>
  <c r="M79" i="3"/>
  <c r="K79" i="3"/>
  <c r="J79" i="3"/>
  <c r="I79" i="3"/>
  <c r="H79" i="3"/>
  <c r="DG49" i="3"/>
  <c r="DF49" i="3"/>
  <c r="DE49" i="3"/>
  <c r="DD49" i="3"/>
  <c r="DB49" i="3"/>
  <c r="DA49" i="3"/>
  <c r="CZ49" i="3"/>
  <c r="CY49" i="3"/>
  <c r="DG48" i="3"/>
  <c r="DF48" i="3"/>
  <c r="DE48" i="3"/>
  <c r="DD48" i="3"/>
  <c r="DB48" i="3"/>
  <c r="DA48" i="3"/>
  <c r="CZ48" i="3"/>
  <c r="CY48" i="3"/>
  <c r="ES42" i="3"/>
  <c r="ER42" i="3"/>
  <c r="EP42" i="3"/>
  <c r="EO42" i="3"/>
  <c r="EN42" i="3"/>
  <c r="EM42" i="3"/>
  <c r="EK42" i="3"/>
  <c r="EJ42" i="3"/>
  <c r="EI42" i="3"/>
  <c r="EH42" i="3"/>
  <c r="EF42" i="3"/>
  <c r="EE42" i="3"/>
  <c r="ED42" i="3"/>
  <c r="EC42" i="3"/>
  <c r="EA42" i="3"/>
  <c r="DZ42" i="3"/>
  <c r="DY42" i="3"/>
  <c r="DX42" i="3"/>
  <c r="DV42" i="3"/>
  <c r="DU42" i="3"/>
  <c r="DT42" i="3"/>
  <c r="DS42" i="3"/>
  <c r="DQ42" i="3"/>
  <c r="DP42" i="3"/>
  <c r="DO42" i="3"/>
  <c r="DN42" i="3"/>
  <c r="DL42" i="3"/>
  <c r="DK42" i="3"/>
  <c r="DJ42" i="3"/>
  <c r="ES41" i="3"/>
  <c r="ER41" i="3"/>
  <c r="EP41" i="3"/>
  <c r="EO41" i="3"/>
  <c r="EN41" i="3"/>
  <c r="EM41" i="3"/>
  <c r="EK41" i="3"/>
  <c r="EJ41" i="3"/>
  <c r="EI41" i="3"/>
  <c r="EH41" i="3"/>
  <c r="EF41" i="3"/>
  <c r="EE41" i="3"/>
  <c r="ED41" i="3"/>
  <c r="EC41" i="3"/>
  <c r="EA41" i="3"/>
  <c r="DZ41" i="3"/>
  <c r="DY41" i="3"/>
  <c r="DX41" i="3"/>
  <c r="DV41" i="3"/>
  <c r="DU41" i="3"/>
  <c r="DT41" i="3"/>
  <c r="DS41" i="3"/>
  <c r="DQ41" i="3"/>
  <c r="DP41" i="3"/>
  <c r="DO41" i="3"/>
  <c r="DN41" i="3"/>
  <c r="ES35" i="3"/>
  <c r="ER35" i="3"/>
  <c r="EP35" i="3"/>
  <c r="EO35" i="3"/>
  <c r="EN35" i="3"/>
  <c r="EM35" i="3"/>
  <c r="EK35" i="3"/>
  <c r="EJ35" i="3"/>
  <c r="EI35" i="3"/>
  <c r="EH35" i="3"/>
  <c r="EF35" i="3"/>
  <c r="EE35" i="3"/>
  <c r="ED35" i="3"/>
  <c r="EC35" i="3"/>
  <c r="EA35" i="3"/>
  <c r="DZ35" i="3"/>
  <c r="DY35" i="3"/>
  <c r="DX35" i="3"/>
  <c r="DV35" i="3"/>
  <c r="DU35" i="3"/>
  <c r="DT35" i="3"/>
  <c r="DS35" i="3"/>
  <c r="DQ35" i="3"/>
  <c r="DP35" i="3"/>
  <c r="DO35" i="3"/>
  <c r="DN35" i="3"/>
  <c r="DL35" i="3"/>
  <c r="DK35" i="3"/>
  <c r="DJ35" i="3"/>
  <c r="ES34" i="3"/>
  <c r="ER34" i="3"/>
  <c r="EP34" i="3"/>
  <c r="EO34" i="3"/>
  <c r="EN34" i="3"/>
  <c r="EM34" i="3"/>
  <c r="EK34" i="3"/>
  <c r="EJ34" i="3"/>
  <c r="EI34" i="3"/>
  <c r="EH34" i="3"/>
  <c r="EF34" i="3"/>
  <c r="EE34" i="3"/>
  <c r="ED34" i="3"/>
  <c r="EC34" i="3"/>
  <c r="EA34" i="3"/>
  <c r="DZ34" i="3"/>
  <c r="DY34" i="3"/>
  <c r="DX34" i="3"/>
  <c r="DV34" i="3"/>
  <c r="DU34" i="3"/>
  <c r="DT34" i="3"/>
  <c r="DS34" i="3"/>
  <c r="DQ34" i="3"/>
  <c r="DP34" i="3"/>
  <c r="DO34" i="3"/>
  <c r="DN34" i="3"/>
  <c r="DG29" i="3"/>
  <c r="DF29" i="3"/>
  <c r="DE29" i="3"/>
  <c r="DD29" i="3"/>
  <c r="DB29" i="3"/>
  <c r="DA29" i="3"/>
  <c r="CZ29" i="3"/>
  <c r="CY29" i="3"/>
  <c r="DG28" i="3"/>
  <c r="DF28" i="3"/>
  <c r="DE28" i="3"/>
  <c r="DD28" i="3"/>
  <c r="DB28" i="3"/>
  <c r="DA28" i="3"/>
  <c r="CZ28" i="3"/>
  <c r="CY28" i="3"/>
  <c r="CW29" i="3"/>
  <c r="CV29" i="3"/>
  <c r="CU29" i="3"/>
  <c r="CT29" i="3"/>
  <c r="CR29" i="3"/>
  <c r="CQ29" i="3"/>
  <c r="CP29" i="3"/>
  <c r="CO29" i="3"/>
  <c r="CM29" i="3"/>
  <c r="CL29" i="3"/>
  <c r="CK29" i="3"/>
  <c r="CJ29" i="3"/>
  <c r="CH29" i="3"/>
  <c r="CG29" i="3"/>
  <c r="CF29" i="3"/>
  <c r="CE29" i="3"/>
  <c r="CC29" i="3"/>
  <c r="CB29" i="3"/>
  <c r="CA29" i="3"/>
  <c r="BZ29" i="3"/>
  <c r="CW28" i="3"/>
  <c r="CV28" i="3"/>
  <c r="CU28" i="3"/>
  <c r="CT28" i="3"/>
  <c r="CR28" i="3"/>
  <c r="CQ28" i="3"/>
  <c r="CP28" i="3"/>
  <c r="CO28" i="3"/>
  <c r="CM28" i="3"/>
  <c r="CL28" i="3"/>
  <c r="CK28" i="3"/>
  <c r="CJ28" i="3"/>
  <c r="CH28" i="3"/>
  <c r="CG28" i="3"/>
  <c r="CF28" i="3"/>
  <c r="CE28" i="3"/>
  <c r="CC28" i="3"/>
  <c r="CB28" i="3"/>
  <c r="CA28" i="3"/>
  <c r="BZ28" i="3"/>
  <c r="BX29" i="3"/>
  <c r="BW29" i="3"/>
  <c r="BV29" i="3"/>
  <c r="BU29" i="3"/>
  <c r="BS29" i="3"/>
  <c r="BR29" i="3"/>
  <c r="BQ29" i="3"/>
  <c r="BP29" i="3"/>
  <c r="BN29" i="3"/>
  <c r="BM29" i="3"/>
  <c r="BL29" i="3"/>
  <c r="BK29" i="3"/>
  <c r="BI29" i="3"/>
  <c r="BH29" i="3"/>
  <c r="BG29" i="3"/>
  <c r="BF29" i="3"/>
  <c r="BD29" i="3"/>
  <c r="BC29" i="3"/>
  <c r="BB29" i="3"/>
  <c r="BA29" i="3"/>
  <c r="BX28" i="3"/>
  <c r="BW28" i="3"/>
  <c r="BV28" i="3"/>
  <c r="BU28" i="3"/>
  <c r="BS28" i="3"/>
  <c r="BR28" i="3"/>
  <c r="BQ28" i="3"/>
  <c r="BP28" i="3"/>
  <c r="BN28" i="3"/>
  <c r="BM28" i="3"/>
  <c r="BL28" i="3"/>
  <c r="BK28" i="3"/>
  <c r="BI28" i="3"/>
  <c r="BH28" i="3"/>
  <c r="BG28" i="3"/>
  <c r="BF28" i="3"/>
  <c r="BD28" i="3"/>
  <c r="BC28" i="3"/>
  <c r="BB28" i="3"/>
  <c r="BA28" i="3"/>
  <c r="AY29" i="3"/>
  <c r="AX29" i="3"/>
  <c r="AW29" i="3"/>
  <c r="AV29" i="3"/>
  <c r="AT29" i="3"/>
  <c r="AS29" i="3"/>
  <c r="AR29" i="3"/>
  <c r="AQ29" i="3"/>
  <c r="AO29" i="3"/>
  <c r="AN29" i="3"/>
  <c r="AM29" i="3"/>
  <c r="AL29" i="3"/>
  <c r="AJ29" i="3"/>
  <c r="AI29" i="3"/>
  <c r="AH29" i="3"/>
  <c r="AG29" i="3"/>
  <c r="AE29" i="3"/>
  <c r="AD29" i="3"/>
  <c r="AC29" i="3"/>
  <c r="AB29" i="3"/>
  <c r="AY28" i="3"/>
  <c r="AX28" i="3"/>
  <c r="AW28" i="3"/>
  <c r="AV28" i="3"/>
  <c r="AT28" i="3"/>
  <c r="AS28" i="3"/>
  <c r="AR28" i="3"/>
  <c r="AQ28" i="3"/>
  <c r="AO28" i="3"/>
  <c r="AN28" i="3"/>
  <c r="AM28" i="3"/>
  <c r="AL28" i="3"/>
  <c r="AJ28" i="3"/>
  <c r="AI28" i="3"/>
  <c r="AH28" i="3"/>
  <c r="AG28" i="3"/>
  <c r="AE28" i="3"/>
  <c r="AD28" i="3"/>
  <c r="AC28" i="3"/>
  <c r="AB28" i="3"/>
  <c r="Z29" i="3"/>
  <c r="Y29" i="3"/>
  <c r="X29" i="3"/>
  <c r="W29" i="3"/>
  <c r="U29" i="3"/>
  <c r="T29" i="3"/>
  <c r="S29" i="3"/>
  <c r="R29" i="3"/>
  <c r="P29" i="3"/>
  <c r="O29" i="3"/>
  <c r="N29" i="3"/>
  <c r="M29" i="3"/>
  <c r="K29" i="3"/>
  <c r="J29" i="3"/>
  <c r="I29" i="3"/>
  <c r="H29" i="3"/>
  <c r="F29" i="3"/>
  <c r="E29" i="3"/>
  <c r="D29" i="3"/>
  <c r="Z28" i="3"/>
  <c r="Y28" i="3"/>
  <c r="X28" i="3"/>
  <c r="W28" i="3"/>
  <c r="U28" i="3"/>
  <c r="T28" i="3"/>
  <c r="S28" i="3"/>
  <c r="R28" i="3"/>
  <c r="P28" i="3"/>
  <c r="O28" i="3"/>
  <c r="N28" i="3"/>
  <c r="M28" i="3"/>
  <c r="K28" i="3"/>
  <c r="J28" i="3"/>
  <c r="I28" i="3"/>
  <c r="H28" i="3"/>
  <c r="ES21" i="3"/>
  <c r="ER21" i="3"/>
  <c r="EP21" i="3"/>
  <c r="EO21" i="3"/>
  <c r="EN21" i="3"/>
  <c r="EM21" i="3"/>
  <c r="EK21" i="3"/>
  <c r="EJ21" i="3"/>
  <c r="EI21" i="3"/>
  <c r="EH21" i="3"/>
  <c r="EF21" i="3"/>
  <c r="EE21" i="3"/>
  <c r="ED21" i="3"/>
  <c r="EC21" i="3"/>
  <c r="EA21" i="3"/>
  <c r="DZ21" i="3"/>
  <c r="DY21" i="3"/>
  <c r="DX21" i="3"/>
  <c r="DV21" i="3"/>
  <c r="DU21" i="3"/>
  <c r="DT21" i="3"/>
  <c r="DS21" i="3"/>
  <c r="DQ21" i="3"/>
  <c r="DP21" i="3"/>
  <c r="DO21" i="3"/>
  <c r="DN21" i="3"/>
  <c r="DL21" i="3"/>
  <c r="DK21" i="3"/>
  <c r="DJ21" i="3"/>
  <c r="ES20" i="3"/>
  <c r="ER20" i="3"/>
  <c r="EP20" i="3"/>
  <c r="EO20" i="3"/>
  <c r="EN20" i="3"/>
  <c r="EM20" i="3"/>
  <c r="EK20" i="3"/>
  <c r="EJ20" i="3"/>
  <c r="EI20" i="3"/>
  <c r="EH20" i="3"/>
  <c r="EF20" i="3"/>
  <c r="EE20" i="3"/>
  <c r="ED20" i="3"/>
  <c r="EC20" i="3"/>
  <c r="EA20" i="3"/>
  <c r="DZ20" i="3"/>
  <c r="DY20" i="3"/>
  <c r="DX20" i="3"/>
  <c r="DV20" i="3"/>
  <c r="DU20" i="3"/>
  <c r="DT20" i="3"/>
  <c r="DS20" i="3"/>
  <c r="DQ20" i="3"/>
  <c r="DP20" i="3"/>
  <c r="DO20" i="3"/>
  <c r="DN20" i="3"/>
  <c r="DL14" i="3"/>
  <c r="DK14" i="3"/>
  <c r="DJ14" i="3"/>
  <c r="DQ14" i="3"/>
  <c r="DP14" i="3"/>
  <c r="DO14" i="3"/>
  <c r="DN14" i="3"/>
  <c r="DQ13" i="3"/>
  <c r="DP13" i="3"/>
  <c r="DO13" i="3"/>
  <c r="DN13" i="3"/>
  <c r="DV14" i="3"/>
  <c r="DU14" i="3"/>
  <c r="DT14" i="3"/>
  <c r="DS14" i="3"/>
  <c r="DV13" i="3"/>
  <c r="DU13" i="3"/>
  <c r="DT13" i="3"/>
  <c r="DS13" i="3"/>
  <c r="EA14" i="3"/>
  <c r="DZ14" i="3"/>
  <c r="DY14" i="3"/>
  <c r="DX14" i="3"/>
  <c r="EA13" i="3"/>
  <c r="DZ13" i="3"/>
  <c r="DY13" i="3"/>
  <c r="DX13" i="3"/>
  <c r="EF14" i="3"/>
  <c r="EE14" i="3"/>
  <c r="ED14" i="3"/>
  <c r="EC14" i="3"/>
  <c r="EF13" i="3"/>
  <c r="EE13" i="3"/>
  <c r="ED13" i="3"/>
  <c r="EC13" i="3"/>
  <c r="EK14" i="3"/>
  <c r="EJ14" i="3"/>
  <c r="EI14" i="3"/>
  <c r="EH14" i="3"/>
  <c r="EK13" i="3"/>
  <c r="EJ13" i="3"/>
  <c r="EI13" i="3"/>
  <c r="EH13" i="3"/>
  <c r="EM14" i="3"/>
  <c r="EN14" i="3"/>
  <c r="EO14" i="3"/>
  <c r="EP14" i="3"/>
  <c r="ER14" i="3"/>
  <c r="ES14" i="3"/>
  <c r="EP13" i="3"/>
  <c r="EO13" i="3"/>
  <c r="EN13" i="3"/>
  <c r="EM13" i="3"/>
  <c r="ER13" i="3"/>
  <c r="ES13" i="3"/>
  <c r="CD57" i="5" l="1"/>
  <c r="BO57" i="5"/>
  <c r="BJ57" i="5"/>
  <c r="BY57" i="5"/>
  <c r="BT57" i="5"/>
  <c r="BE45" i="3"/>
  <c r="EE151" i="14"/>
  <c r="EH151" i="14"/>
  <c r="EN144" i="14"/>
  <c r="EN151" i="14" s="1"/>
  <c r="EI151" i="14"/>
  <c r="BD49" i="3"/>
  <c r="L46" i="3"/>
  <c r="CX46" i="3"/>
  <c r="BO46" i="3"/>
  <c r="AP46" i="3"/>
  <c r="Q48" i="3"/>
  <c r="CN48" i="3"/>
  <c r="AF48" i="3"/>
  <c r="BF47" i="3"/>
  <c r="AA46" i="3"/>
  <c r="BI48" i="3"/>
  <c r="BY48" i="3"/>
  <c r="AZ48" i="3"/>
  <c r="V46" i="3"/>
  <c r="AK48" i="3"/>
  <c r="CS48" i="3"/>
  <c r="L48" i="3"/>
  <c r="CX48" i="3"/>
  <c r="BO48" i="3"/>
  <c r="CS46" i="3"/>
  <c r="AP48" i="3"/>
  <c r="BD47" i="3"/>
  <c r="AU46" i="3"/>
  <c r="Q46" i="3"/>
  <c r="DZ144" i="14"/>
  <c r="ED144" i="14"/>
  <c r="EC144" i="14"/>
  <c r="EC151" i="14" s="1"/>
  <c r="EJ144" i="14"/>
  <c r="EJ151" i="14" s="1"/>
  <c r="EM144" i="14"/>
  <c r="EM151" i="14" s="1"/>
  <c r="AU48" i="3"/>
  <c r="AZ46" i="3"/>
  <c r="BY46" i="3"/>
  <c r="CD46" i="3"/>
  <c r="BT48" i="3"/>
  <c r="BT46" i="3"/>
  <c r="V48" i="3"/>
  <c r="CD48" i="3"/>
  <c r="AA48" i="3"/>
  <c r="CI46" i="3"/>
  <c r="CN46" i="3"/>
  <c r="BD46" i="3"/>
  <c r="AF46" i="3"/>
  <c r="BI46" i="3"/>
  <c r="AK46" i="3"/>
  <c r="CI48" i="3"/>
  <c r="BF49" i="3"/>
  <c r="BD48" i="3"/>
  <c r="EE31" i="8"/>
  <c r="ED31" i="8"/>
  <c r="EG25" i="8"/>
  <c r="EV24" i="8"/>
  <c r="EV43" i="8" s="1"/>
  <c r="FA44" i="8" s="1"/>
  <c r="EI31" i="8"/>
  <c r="EP28" i="8"/>
  <c r="EP31" i="8" s="1"/>
  <c r="ES31" i="8"/>
  <c r="ET32" i="8" s="1"/>
  <c r="EH31" i="8"/>
  <c r="EJ31" i="8"/>
  <c r="EN31" i="8"/>
  <c r="EM31" i="8"/>
  <c r="EO31" i="8"/>
  <c r="EE25" i="8"/>
  <c r="EH25" i="8"/>
  <c r="EG24" i="8"/>
  <c r="EL24" i="8"/>
  <c r="C20" i="8"/>
  <c r="D20" i="8"/>
  <c r="E20" i="8"/>
  <c r="F20" i="8"/>
  <c r="H20" i="8"/>
  <c r="I20" i="8"/>
  <c r="J20" i="8"/>
  <c r="K20" i="8"/>
  <c r="M20" i="8"/>
  <c r="N20" i="8"/>
  <c r="O20" i="8"/>
  <c r="P20" i="8"/>
  <c r="R20" i="8"/>
  <c r="S20" i="8"/>
  <c r="T20" i="8"/>
  <c r="U20" i="8"/>
  <c r="W20" i="8"/>
  <c r="X20" i="8"/>
  <c r="Y20" i="8"/>
  <c r="Z20" i="8"/>
  <c r="AB20" i="8"/>
  <c r="AC20" i="8"/>
  <c r="AD20" i="8"/>
  <c r="AE20" i="8"/>
  <c r="AG20" i="8"/>
  <c r="AH20" i="8"/>
  <c r="AI20" i="8"/>
  <c r="AJ20" i="8"/>
  <c r="AL20" i="8"/>
  <c r="AM20" i="8"/>
  <c r="AN20" i="8"/>
  <c r="AO20" i="8"/>
  <c r="AQ20" i="8"/>
  <c r="AR20" i="8"/>
  <c r="AS20" i="8"/>
  <c r="AT20" i="8"/>
  <c r="AV20" i="8"/>
  <c r="AW20" i="8"/>
  <c r="AX20" i="8"/>
  <c r="AY20" i="8"/>
  <c r="BA20" i="8"/>
  <c r="BB20" i="8"/>
  <c r="BC20" i="8"/>
  <c r="BD20" i="8"/>
  <c r="BF20" i="8"/>
  <c r="BG20" i="8"/>
  <c r="BH20" i="8"/>
  <c r="BI20" i="8"/>
  <c r="BK20" i="8"/>
  <c r="BL20" i="8"/>
  <c r="BM20" i="8"/>
  <c r="BN20" i="8"/>
  <c r="BP20" i="8"/>
  <c r="BQ20" i="8"/>
  <c r="BR20" i="8"/>
  <c r="BS20" i="8"/>
  <c r="BU20" i="8"/>
  <c r="BV20" i="8"/>
  <c r="BW20" i="8"/>
  <c r="BX20" i="8"/>
  <c r="BZ20" i="8"/>
  <c r="CA20" i="8"/>
  <c r="CB20" i="8"/>
  <c r="CC20" i="8"/>
  <c r="CE20" i="8"/>
  <c r="CF20" i="8"/>
  <c r="CG20" i="8"/>
  <c r="CH20" i="8"/>
  <c r="CJ20" i="8"/>
  <c r="CK20" i="8"/>
  <c r="CL20" i="8"/>
  <c r="CM20" i="8"/>
  <c r="CO20" i="8"/>
  <c r="CP20" i="8"/>
  <c r="CQ20" i="8"/>
  <c r="CR20" i="8"/>
  <c r="CT20" i="8"/>
  <c r="CU20" i="8"/>
  <c r="CV20" i="8"/>
  <c r="CW20" i="8"/>
  <c r="CY20" i="8"/>
  <c r="CZ20" i="8"/>
  <c r="DA20" i="8"/>
  <c r="DB20" i="8"/>
  <c r="DD20" i="8"/>
  <c r="DE20" i="8"/>
  <c r="DF20" i="8"/>
  <c r="DG20" i="8"/>
  <c r="DI20" i="8"/>
  <c r="DJ20" i="8"/>
  <c r="DK20" i="8"/>
  <c r="DL20" i="8"/>
  <c r="DN20" i="8"/>
  <c r="DO20" i="8"/>
  <c r="DP20" i="8"/>
  <c r="DQ20" i="8"/>
  <c r="DS20" i="8"/>
  <c r="DT20" i="8"/>
  <c r="DU20" i="8"/>
  <c r="DV20" i="8"/>
  <c r="DX20" i="8"/>
  <c r="DY20" i="8"/>
  <c r="DZ20" i="8"/>
  <c r="EA20" i="8"/>
  <c r="EC20" i="8"/>
  <c r="ED20" i="8"/>
  <c r="EE20" i="8"/>
  <c r="EF20" i="8"/>
  <c r="EH20" i="8"/>
  <c r="EI20" i="8"/>
  <c r="EJ20" i="8"/>
  <c r="EK20" i="8"/>
  <c r="EM20" i="8"/>
  <c r="EN20" i="8"/>
  <c r="EO20" i="8"/>
  <c r="EP20" i="8"/>
  <c r="ER20" i="8"/>
  <c r="ES20" i="8"/>
  <c r="BJ48" i="3" l="1"/>
  <c r="BE57" i="5"/>
  <c r="BE46" i="3"/>
  <c r="BE48" i="3"/>
  <c r="BJ46" i="3"/>
  <c r="EO32" i="8"/>
  <c r="FB23" i="8"/>
  <c r="FC23" i="8" s="1"/>
  <c r="FD23" i="8" s="1"/>
  <c r="DZ151" i="14"/>
  <c r="ES144" i="14"/>
  <c r="ES151" i="14" s="1"/>
  <c r="DY144" i="14"/>
  <c r="ED151" i="14"/>
  <c r="DU144" i="14"/>
  <c r="EI25" i="8"/>
  <c r="ED25" i="8"/>
  <c r="DX144" i="14"/>
  <c r="DX151" i="14" s="1"/>
  <c r="EO144" i="14"/>
  <c r="ET144" i="14" s="1"/>
  <c r="ER144" i="14"/>
  <c r="EI32" i="8"/>
  <c r="EJ32" i="8"/>
  <c r="EN32" i="8"/>
  <c r="EP32" i="8"/>
  <c r="DP144" i="14" l="1"/>
  <c r="FB22" i="8"/>
  <c r="FB42" i="6" s="1"/>
  <c r="ET87" i="18"/>
  <c r="ET151" i="14"/>
  <c r="ET149" i="14"/>
  <c r="ET147" i="14"/>
  <c r="ER151" i="14"/>
  <c r="DT144" i="14"/>
  <c r="DY151" i="14"/>
  <c r="EO151" i="14"/>
  <c r="EJ25" i="8"/>
  <c r="FC22" i="8"/>
  <c r="FC42" i="6" s="1"/>
  <c r="FE23" i="8"/>
  <c r="FF23" i="8" s="1"/>
  <c r="FD22" i="8"/>
  <c r="FD42" i="6" s="1"/>
  <c r="EC25" i="8"/>
  <c r="DS144" i="14"/>
  <c r="DK144" i="14" l="1"/>
  <c r="ET93" i="18"/>
  <c r="DO144" i="14"/>
  <c r="EK25" i="8"/>
  <c r="FE22" i="8"/>
  <c r="FE42" i="6" s="1"/>
  <c r="FG23" i="8"/>
  <c r="DN144" i="14"/>
  <c r="FF42" i="6" l="1"/>
  <c r="DF144" i="14"/>
  <c r="DA144" i="14" s="1"/>
  <c r="CV144" i="14" s="1"/>
  <c r="CQ144" i="14" s="1"/>
  <c r="DJ144" i="14"/>
  <c r="EL25" i="8"/>
  <c r="FH23" i="8"/>
  <c r="FG22" i="8"/>
  <c r="FG42" i="6" s="1"/>
  <c r="DI144" i="14"/>
  <c r="DF178" i="14" l="1"/>
  <c r="DE144" i="14"/>
  <c r="FI23" i="8"/>
  <c r="FH22" i="8"/>
  <c r="FH42" i="6" s="1"/>
  <c r="DD144" i="14"/>
  <c r="DD178" i="14" s="1"/>
  <c r="EA60" i="29"/>
  <c r="DZ60" i="29"/>
  <c r="DY60" i="29"/>
  <c r="DX60" i="29"/>
  <c r="EA59" i="29"/>
  <c r="DZ59" i="29"/>
  <c r="DY59" i="29"/>
  <c r="DX59" i="29"/>
  <c r="EF60" i="29"/>
  <c r="EE60" i="29"/>
  <c r="ED60" i="29"/>
  <c r="EC60" i="29"/>
  <c r="EF59" i="29"/>
  <c r="EE59" i="29"/>
  <c r="ED59" i="29"/>
  <c r="EC59" i="29"/>
  <c r="EK60" i="29"/>
  <c r="EJ60" i="29"/>
  <c r="EI60" i="29"/>
  <c r="EH60" i="29"/>
  <c r="EK59" i="29"/>
  <c r="EJ59" i="29"/>
  <c r="EI59" i="29"/>
  <c r="EH59" i="29"/>
  <c r="DI51" i="29"/>
  <c r="DJ51" i="29"/>
  <c r="DK51" i="29"/>
  <c r="DL51" i="29"/>
  <c r="EL51" i="29"/>
  <c r="DI37" i="29"/>
  <c r="DJ37" i="29"/>
  <c r="DK37" i="29"/>
  <c r="DL37" i="29"/>
  <c r="DI23" i="29"/>
  <c r="DJ23" i="29"/>
  <c r="DK23" i="29"/>
  <c r="DL23" i="29"/>
  <c r="D77" i="29"/>
  <c r="E77" i="29"/>
  <c r="F77" i="29"/>
  <c r="H77" i="29"/>
  <c r="I77" i="29"/>
  <c r="J77" i="29"/>
  <c r="K77" i="29"/>
  <c r="M77" i="29"/>
  <c r="N77" i="29"/>
  <c r="O77" i="29"/>
  <c r="P77" i="29"/>
  <c r="R77" i="29"/>
  <c r="S77" i="29"/>
  <c r="T77" i="29"/>
  <c r="U77" i="29"/>
  <c r="W77" i="29"/>
  <c r="X77" i="29"/>
  <c r="Y77" i="29"/>
  <c r="Z77" i="29"/>
  <c r="AB77" i="29"/>
  <c r="AC77" i="29"/>
  <c r="AD77" i="29"/>
  <c r="AE77" i="29"/>
  <c r="AG77" i="29"/>
  <c r="AH77" i="29"/>
  <c r="AI77" i="29"/>
  <c r="AJ77" i="29"/>
  <c r="AL77" i="29"/>
  <c r="AM77" i="29"/>
  <c r="AN77" i="29"/>
  <c r="AO77" i="29"/>
  <c r="AQ77" i="29"/>
  <c r="AR77" i="29"/>
  <c r="AS77" i="29"/>
  <c r="AT77" i="29"/>
  <c r="AV77" i="29"/>
  <c r="AW77" i="29"/>
  <c r="AX77" i="29"/>
  <c r="AY77" i="29"/>
  <c r="BA77" i="29"/>
  <c r="BB77" i="29"/>
  <c r="BC77" i="29"/>
  <c r="BF77" i="29"/>
  <c r="BG77" i="29"/>
  <c r="BH77" i="29"/>
  <c r="BI77" i="29"/>
  <c r="BK77" i="29"/>
  <c r="BL77" i="29"/>
  <c r="BM77" i="29"/>
  <c r="BN77" i="29"/>
  <c r="BP77" i="29"/>
  <c r="BQ77" i="29"/>
  <c r="BR77" i="29"/>
  <c r="BS77" i="29"/>
  <c r="BU77" i="29"/>
  <c r="BV77" i="29"/>
  <c r="BW77" i="29"/>
  <c r="BX77" i="29"/>
  <c r="BZ77" i="29"/>
  <c r="CA77" i="29"/>
  <c r="CB77" i="29"/>
  <c r="CC77" i="29"/>
  <c r="CE77" i="29"/>
  <c r="CF77" i="29"/>
  <c r="CG77" i="29"/>
  <c r="CH77" i="29"/>
  <c r="CJ77" i="29"/>
  <c r="CK77" i="29"/>
  <c r="CL77" i="29"/>
  <c r="CM77" i="29"/>
  <c r="CO77" i="29"/>
  <c r="CP77" i="29"/>
  <c r="CQ77" i="29"/>
  <c r="CR77" i="29"/>
  <c r="CT77" i="29"/>
  <c r="CU77" i="29"/>
  <c r="CV77" i="29"/>
  <c r="CW77" i="29"/>
  <c r="CY77" i="29"/>
  <c r="CZ77" i="29"/>
  <c r="DA77" i="29"/>
  <c r="DB77" i="29"/>
  <c r="DD77" i="29"/>
  <c r="DE77" i="29"/>
  <c r="DF77" i="29"/>
  <c r="DG77" i="29"/>
  <c r="C77" i="29"/>
  <c r="EM60" i="29"/>
  <c r="EM59" i="29"/>
  <c r="EN60" i="29"/>
  <c r="EN59" i="29"/>
  <c r="EO60" i="29"/>
  <c r="EO59" i="29"/>
  <c r="EP60" i="29"/>
  <c r="EP59" i="29"/>
  <c r="ER60" i="29"/>
  <c r="ER59" i="29"/>
  <c r="ES60" i="29"/>
  <c r="ES59" i="29"/>
  <c r="ET60" i="29"/>
  <c r="ET59" i="29"/>
  <c r="DE130" i="29"/>
  <c r="DF130" i="29"/>
  <c r="DG130" i="29"/>
  <c r="DI130" i="29"/>
  <c r="DJ130" i="29"/>
  <c r="DK130" i="29"/>
  <c r="DL130" i="29"/>
  <c r="DN130" i="29"/>
  <c r="DO130" i="29"/>
  <c r="DP130" i="29"/>
  <c r="DQ130" i="29"/>
  <c r="DS130" i="29"/>
  <c r="DT130" i="29"/>
  <c r="DU130" i="29"/>
  <c r="DV130" i="29"/>
  <c r="DX130" i="29"/>
  <c r="DY130" i="29"/>
  <c r="DZ130" i="29"/>
  <c r="EA130" i="29"/>
  <c r="EC130" i="29"/>
  <c r="ED130" i="29"/>
  <c r="EE130" i="29"/>
  <c r="EF130" i="29"/>
  <c r="EH130" i="29"/>
  <c r="EI130" i="29"/>
  <c r="EJ130" i="29"/>
  <c r="EK130" i="29"/>
  <c r="EM130" i="29"/>
  <c r="EN130" i="29"/>
  <c r="EO130" i="29"/>
  <c r="EP130" i="29"/>
  <c r="EP131" i="29" s="1"/>
  <c r="ER130" i="29"/>
  <c r="ES130" i="29"/>
  <c r="ES131" i="29" s="1"/>
  <c r="DD130" i="29"/>
  <c r="DE114" i="29"/>
  <c r="DF114" i="29"/>
  <c r="DG114" i="29"/>
  <c r="DI114" i="29"/>
  <c r="DJ114" i="29"/>
  <c r="DK114" i="29"/>
  <c r="DL114" i="29"/>
  <c r="DN114" i="29"/>
  <c r="DO114" i="29"/>
  <c r="DP114" i="29"/>
  <c r="DQ114" i="29"/>
  <c r="DS114" i="29"/>
  <c r="DT114" i="29"/>
  <c r="DU114" i="29"/>
  <c r="DV114" i="29"/>
  <c r="DX114" i="29"/>
  <c r="DY114" i="29"/>
  <c r="DZ114" i="29"/>
  <c r="EA114" i="29"/>
  <c r="EC114" i="29"/>
  <c r="ED114" i="29"/>
  <c r="EE114" i="29"/>
  <c r="EF114" i="29"/>
  <c r="EH110" i="29" s="1"/>
  <c r="EH111" i="29" s="1"/>
  <c r="EH114" i="29"/>
  <c r="EI114" i="29"/>
  <c r="EJ114" i="29"/>
  <c r="EK110" i="29" s="1"/>
  <c r="EK111" i="29" s="1"/>
  <c r="EK114" i="29"/>
  <c r="EM110" i="29" s="1"/>
  <c r="EM114" i="29"/>
  <c r="EN114" i="29"/>
  <c r="EO114" i="29"/>
  <c r="EP114" i="29"/>
  <c r="ER114" i="29"/>
  <c r="ER115" i="29" s="1"/>
  <c r="ES114" i="29"/>
  <c r="ES115" i="29" s="1"/>
  <c r="DD114" i="29"/>
  <c r="X93" i="29"/>
  <c r="Y93" i="29"/>
  <c r="Z93" i="29"/>
  <c r="AC93" i="29"/>
  <c r="AD93" i="29"/>
  <c r="AE93" i="29"/>
  <c r="BA93" i="29"/>
  <c r="BB93" i="29"/>
  <c r="BC93" i="29"/>
  <c r="BD93" i="29"/>
  <c r="BF93" i="29"/>
  <c r="BG93" i="29"/>
  <c r="BH93" i="29"/>
  <c r="BI93" i="29"/>
  <c r="BK93" i="29"/>
  <c r="BL93" i="29"/>
  <c r="BM93" i="29"/>
  <c r="BN93" i="29"/>
  <c r="BP93" i="29"/>
  <c r="BQ93" i="29"/>
  <c r="BR93" i="29"/>
  <c r="BS93" i="29"/>
  <c r="BU93" i="29"/>
  <c r="BV93" i="29"/>
  <c r="BW93" i="29"/>
  <c r="BX93" i="29"/>
  <c r="BZ93" i="29"/>
  <c r="CA93" i="29"/>
  <c r="CB93" i="29"/>
  <c r="CC93" i="29"/>
  <c r="CE93" i="29"/>
  <c r="CF93" i="29"/>
  <c r="CG93" i="29"/>
  <c r="CH93" i="29"/>
  <c r="CJ93" i="29"/>
  <c r="CK93" i="29"/>
  <c r="CL93" i="29"/>
  <c r="CM93" i="29"/>
  <c r="CO93" i="29"/>
  <c r="CP93" i="29"/>
  <c r="CQ93" i="29"/>
  <c r="CR93" i="29"/>
  <c r="CT93" i="29"/>
  <c r="CU93" i="29"/>
  <c r="CV93" i="29"/>
  <c r="CW93" i="29"/>
  <c r="CY93" i="29"/>
  <c r="CZ93" i="29"/>
  <c r="DA93" i="29"/>
  <c r="DB93" i="29"/>
  <c r="DD93" i="29"/>
  <c r="DE93" i="29"/>
  <c r="DF93" i="29"/>
  <c r="DG93" i="29"/>
  <c r="DI93" i="29"/>
  <c r="DJ93" i="29"/>
  <c r="DK93" i="29"/>
  <c r="DL93" i="29"/>
  <c r="DN93" i="29"/>
  <c r="DO93" i="29"/>
  <c r="DP93" i="29"/>
  <c r="DQ93" i="29"/>
  <c r="DS93" i="29"/>
  <c r="DT93" i="29"/>
  <c r="DU93" i="29"/>
  <c r="DV93" i="29"/>
  <c r="DX93" i="29"/>
  <c r="DX95" i="29" s="1"/>
  <c r="DY93" i="29"/>
  <c r="DY94" i="29" s="1"/>
  <c r="DZ93" i="29"/>
  <c r="DZ94" i="29" s="1"/>
  <c r="EA93" i="29"/>
  <c r="EA94" i="29" s="1"/>
  <c r="EC93" i="29"/>
  <c r="EC95" i="29" s="1"/>
  <c r="ED93" i="29"/>
  <c r="ED95" i="29" s="1"/>
  <c r="EE93" i="29"/>
  <c r="EE94" i="29" s="1"/>
  <c r="EF93" i="29"/>
  <c r="EF94" i="29" s="1"/>
  <c r="EH93" i="29"/>
  <c r="EH94" i="29" s="1"/>
  <c r="EI93" i="29"/>
  <c r="EI94" i="29" s="1"/>
  <c r="EJ93" i="29"/>
  <c r="EJ95" i="29" s="1"/>
  <c r="EK93" i="29"/>
  <c r="EK95" i="29" s="1"/>
  <c r="EM93" i="29"/>
  <c r="EM94" i="29" s="1"/>
  <c r="EN93" i="29"/>
  <c r="EN94" i="29" s="1"/>
  <c r="EO93" i="29"/>
  <c r="EO95" i="29" s="1"/>
  <c r="EP93" i="29"/>
  <c r="EP95" i="29" s="1"/>
  <c r="ER93" i="29"/>
  <c r="ER94" i="29" s="1"/>
  <c r="ES93" i="29"/>
  <c r="ES94" i="29" s="1"/>
  <c r="D63" i="29"/>
  <c r="E63" i="29"/>
  <c r="F63" i="29"/>
  <c r="H63" i="29"/>
  <c r="I63" i="29"/>
  <c r="J63" i="29"/>
  <c r="K63" i="29"/>
  <c r="M63" i="29"/>
  <c r="N63" i="29"/>
  <c r="O63" i="29"/>
  <c r="P63" i="29"/>
  <c r="R63" i="29"/>
  <c r="S63" i="29"/>
  <c r="T63" i="29"/>
  <c r="U63" i="29"/>
  <c r="W63" i="29"/>
  <c r="X63" i="29"/>
  <c r="Y63" i="29"/>
  <c r="Z63" i="29"/>
  <c r="AB63" i="29"/>
  <c r="AC63" i="29"/>
  <c r="AD63" i="29"/>
  <c r="AE63" i="29"/>
  <c r="AG63" i="29"/>
  <c r="AH63" i="29"/>
  <c r="AI63" i="29"/>
  <c r="AJ63" i="29"/>
  <c r="AL63" i="29"/>
  <c r="AM63" i="29"/>
  <c r="AN63" i="29"/>
  <c r="AO63" i="29"/>
  <c r="AQ63" i="29"/>
  <c r="AR63" i="29"/>
  <c r="AS63" i="29"/>
  <c r="AT63" i="29"/>
  <c r="AV63" i="29"/>
  <c r="AW63" i="29"/>
  <c r="AX63" i="29"/>
  <c r="AY63" i="29"/>
  <c r="BA63" i="29"/>
  <c r="BB63" i="29"/>
  <c r="BC63" i="29"/>
  <c r="BD63" i="29"/>
  <c r="BF63" i="29"/>
  <c r="BG63" i="29"/>
  <c r="BH63" i="29"/>
  <c r="BI63" i="29"/>
  <c r="BK63" i="29"/>
  <c r="BL63" i="29"/>
  <c r="BM63" i="29"/>
  <c r="BN63" i="29"/>
  <c r="BP63" i="29"/>
  <c r="BQ63" i="29"/>
  <c r="BR63" i="29"/>
  <c r="BS63" i="29"/>
  <c r="BU63" i="29"/>
  <c r="BV63" i="29"/>
  <c r="BW63" i="29"/>
  <c r="BX63" i="29"/>
  <c r="BZ63" i="29"/>
  <c r="CA63" i="29"/>
  <c r="CB63" i="29"/>
  <c r="CC63" i="29"/>
  <c r="CE63" i="29"/>
  <c r="CF63" i="29"/>
  <c r="CG63" i="29"/>
  <c r="CH63" i="29"/>
  <c r="CJ63" i="29"/>
  <c r="CK63" i="29"/>
  <c r="CL63" i="29"/>
  <c r="CM63" i="29"/>
  <c r="CO63" i="29"/>
  <c r="CP63" i="29"/>
  <c r="CQ63" i="29"/>
  <c r="CR63" i="29"/>
  <c r="CT63" i="29"/>
  <c r="CU63" i="29"/>
  <c r="CV63" i="29"/>
  <c r="CW63" i="29"/>
  <c r="CY63" i="29"/>
  <c r="CZ63" i="29"/>
  <c r="DA63" i="29"/>
  <c r="DB63" i="29"/>
  <c r="DD63" i="29"/>
  <c r="DE63" i="29"/>
  <c r="DF63" i="29"/>
  <c r="DG63" i="29"/>
  <c r="C63" i="29"/>
  <c r="CZ45" i="29"/>
  <c r="DA45" i="29"/>
  <c r="DB45" i="29"/>
  <c r="DD45" i="29"/>
  <c r="DE45" i="29"/>
  <c r="DF45" i="29"/>
  <c r="DG45" i="29"/>
  <c r="DI45" i="29"/>
  <c r="DJ45" i="29"/>
  <c r="DK45" i="29"/>
  <c r="DL45" i="29"/>
  <c r="DN45" i="29"/>
  <c r="DO45" i="29"/>
  <c r="DP45" i="29"/>
  <c r="DQ45" i="29"/>
  <c r="DS45" i="29"/>
  <c r="DT45" i="29"/>
  <c r="DU45" i="29"/>
  <c r="DV45" i="29"/>
  <c r="DX45" i="29"/>
  <c r="DX47" i="29" s="1"/>
  <c r="DY45" i="29"/>
  <c r="DY46" i="29" s="1"/>
  <c r="DZ45" i="29"/>
  <c r="DZ46" i="29" s="1"/>
  <c r="EA45" i="29"/>
  <c r="EA46" i="29" s="1"/>
  <c r="EC45" i="29"/>
  <c r="EC47" i="29" s="1"/>
  <c r="ED45" i="29"/>
  <c r="ED47" i="29" s="1"/>
  <c r="EE45" i="29"/>
  <c r="EE46" i="29" s="1"/>
  <c r="EF45" i="29"/>
  <c r="EF46" i="29" s="1"/>
  <c r="EH45" i="29"/>
  <c r="EH47" i="29" s="1"/>
  <c r="EI45" i="29"/>
  <c r="EI46" i="29" s="1"/>
  <c r="EJ45" i="29"/>
  <c r="EJ46" i="29" s="1"/>
  <c r="EK45" i="29"/>
  <c r="EK46" i="29" s="1"/>
  <c r="EM45" i="29"/>
  <c r="EM47" i="29" s="1"/>
  <c r="EN45" i="29"/>
  <c r="EN47" i="29" s="1"/>
  <c r="EO45" i="29"/>
  <c r="EO47" i="29" s="1"/>
  <c r="EP45" i="29"/>
  <c r="EP46" i="29" s="1"/>
  <c r="ER45" i="29"/>
  <c r="ER46" i="29" s="1"/>
  <c r="ES45" i="29"/>
  <c r="ES47" i="29" s="1"/>
  <c r="CY45" i="29"/>
  <c r="CZ31" i="29"/>
  <c r="DA31" i="29"/>
  <c r="DB31" i="29"/>
  <c r="DD31" i="29"/>
  <c r="DE31" i="29"/>
  <c r="DF31" i="29"/>
  <c r="DG31" i="29"/>
  <c r="DI31" i="29"/>
  <c r="DJ31" i="29"/>
  <c r="DK31" i="29"/>
  <c r="DL31" i="29"/>
  <c r="DN31" i="29"/>
  <c r="DO31" i="29"/>
  <c r="DP31" i="29"/>
  <c r="DQ31" i="29"/>
  <c r="DS31" i="29"/>
  <c r="DT31" i="29"/>
  <c r="DU31" i="29"/>
  <c r="DV31" i="29"/>
  <c r="DX31" i="29"/>
  <c r="DX32" i="29" s="1"/>
  <c r="DY31" i="29"/>
  <c r="DY32" i="29" s="1"/>
  <c r="DZ31" i="29"/>
  <c r="DZ32" i="29" s="1"/>
  <c r="EA31" i="29"/>
  <c r="EA32" i="29" s="1"/>
  <c r="EC31" i="29"/>
  <c r="EC32" i="29" s="1"/>
  <c r="ED31" i="29"/>
  <c r="ED32" i="29" s="1"/>
  <c r="EE31" i="29"/>
  <c r="EE32" i="29" s="1"/>
  <c r="EF31" i="29"/>
  <c r="EF32" i="29" s="1"/>
  <c r="EH31" i="29"/>
  <c r="EH32" i="29" s="1"/>
  <c r="EI31" i="29"/>
  <c r="EI32" i="29" s="1"/>
  <c r="EJ31" i="29"/>
  <c r="EJ32" i="29" s="1"/>
  <c r="EK31" i="29"/>
  <c r="EK33" i="29" s="1"/>
  <c r="EM31" i="29"/>
  <c r="EM33" i="29" s="1"/>
  <c r="EN31" i="29"/>
  <c r="EN33" i="29" s="1"/>
  <c r="EO31" i="29"/>
  <c r="EO33" i="29" s="1"/>
  <c r="EP31" i="29"/>
  <c r="EP33" i="29" s="1"/>
  <c r="ER31" i="29"/>
  <c r="ER33" i="29" s="1"/>
  <c r="ES31" i="29"/>
  <c r="ES33" i="29" s="1"/>
  <c r="CY31" i="29"/>
  <c r="CZ17" i="29"/>
  <c r="DA17" i="29"/>
  <c r="DB17" i="29"/>
  <c r="DD17" i="29"/>
  <c r="DE17" i="29"/>
  <c r="DF17" i="29"/>
  <c r="DG17" i="29"/>
  <c r="DI17" i="29"/>
  <c r="DJ17" i="29"/>
  <c r="DK17" i="29"/>
  <c r="DL17" i="29"/>
  <c r="DN17" i="29"/>
  <c r="DO17" i="29"/>
  <c r="DP17" i="29"/>
  <c r="DQ17" i="29"/>
  <c r="DS17" i="29"/>
  <c r="DT17" i="29"/>
  <c r="DU17" i="29"/>
  <c r="DV17" i="29"/>
  <c r="DX17" i="29"/>
  <c r="DX18" i="29" s="1"/>
  <c r="DY17" i="29"/>
  <c r="DY18" i="29" s="1"/>
  <c r="DZ17" i="29"/>
  <c r="DZ19" i="29" s="1"/>
  <c r="EA17" i="29"/>
  <c r="EA19" i="29" s="1"/>
  <c r="EC17" i="29"/>
  <c r="EC18" i="29" s="1"/>
  <c r="ED17" i="29"/>
  <c r="ED18" i="29" s="1"/>
  <c r="EE17" i="29"/>
  <c r="EE19" i="29" s="1"/>
  <c r="EF17" i="29"/>
  <c r="EF19" i="29" s="1"/>
  <c r="EH17" i="29"/>
  <c r="EH18" i="29" s="1"/>
  <c r="EI17" i="29"/>
  <c r="EI18" i="29" s="1"/>
  <c r="EJ17" i="29"/>
  <c r="EJ19" i="29" s="1"/>
  <c r="EK17" i="29"/>
  <c r="EK19" i="29" s="1"/>
  <c r="EM17" i="29"/>
  <c r="EM18" i="29" s="1"/>
  <c r="EN17" i="29"/>
  <c r="EN18" i="29" s="1"/>
  <c r="EO17" i="29"/>
  <c r="EO19" i="29" s="1"/>
  <c r="EP17" i="29"/>
  <c r="EP19" i="29" s="1"/>
  <c r="ER17" i="29"/>
  <c r="ER19" i="29" s="1"/>
  <c r="ES17" i="29"/>
  <c r="ES19" i="29" s="1"/>
  <c r="CY17" i="29"/>
  <c r="DN77" i="2"/>
  <c r="DO77" i="2"/>
  <c r="DP77" i="2"/>
  <c r="DQ77" i="2"/>
  <c r="DS77" i="2"/>
  <c r="DT77" i="2"/>
  <c r="DU77" i="2"/>
  <c r="DV77" i="2"/>
  <c r="DX77" i="2"/>
  <c r="DY77" i="2"/>
  <c r="DZ77" i="2"/>
  <c r="EA77" i="2"/>
  <c r="EC77" i="2"/>
  <c r="ED77" i="2"/>
  <c r="EE77" i="2"/>
  <c r="EF77" i="2"/>
  <c r="EH77" i="2"/>
  <c r="EI77" i="2"/>
  <c r="EJ77" i="2"/>
  <c r="EK77" i="2"/>
  <c r="EM77" i="2"/>
  <c r="EN77" i="2"/>
  <c r="EO77" i="2"/>
  <c r="EP77" i="2"/>
  <c r="ER77" i="2"/>
  <c r="ES77" i="2"/>
  <c r="DN40" i="18"/>
  <c r="DO40" i="18"/>
  <c r="DP40" i="18"/>
  <c r="DQ40" i="18"/>
  <c r="DS40" i="18"/>
  <c r="DT40" i="18"/>
  <c r="DU40" i="18"/>
  <c r="DV40" i="18"/>
  <c r="DX40" i="18"/>
  <c r="DY40" i="18"/>
  <c r="DZ40" i="18"/>
  <c r="EA40" i="18"/>
  <c r="EC40" i="18"/>
  <c r="ED40" i="18"/>
  <c r="EE40" i="18"/>
  <c r="EF40" i="18"/>
  <c r="EH40" i="18"/>
  <c r="EI40" i="18"/>
  <c r="EJ40" i="18"/>
  <c r="EK40" i="18"/>
  <c r="EM40" i="18"/>
  <c r="EN40" i="18"/>
  <c r="EO40" i="18"/>
  <c r="EP40" i="18"/>
  <c r="ER40" i="18"/>
  <c r="ES40" i="18"/>
  <c r="DQ46" i="2"/>
  <c r="DQ83" i="2" s="1"/>
  <c r="DP46" i="2"/>
  <c r="DP83" i="2" s="1"/>
  <c r="DO46" i="2"/>
  <c r="DO83" i="2" s="1"/>
  <c r="DN46" i="2"/>
  <c r="DN83" i="2" s="1"/>
  <c r="DV46" i="2"/>
  <c r="DV83" i="2" s="1"/>
  <c r="DU46" i="2"/>
  <c r="DU83" i="2" s="1"/>
  <c r="DT46" i="2"/>
  <c r="DT83" i="2" s="1"/>
  <c r="DS46" i="2"/>
  <c r="DS83" i="2" s="1"/>
  <c r="EA46" i="2"/>
  <c r="EA83" i="2" s="1"/>
  <c r="DZ46" i="2"/>
  <c r="DZ83" i="2" s="1"/>
  <c r="DY46" i="2"/>
  <c r="DY83" i="2" s="1"/>
  <c r="DX46" i="2"/>
  <c r="DX83" i="2" s="1"/>
  <c r="EF46" i="2"/>
  <c r="EF83" i="2" s="1"/>
  <c r="EE46" i="2"/>
  <c r="EE83" i="2" s="1"/>
  <c r="ED46" i="2"/>
  <c r="ED83" i="2" s="1"/>
  <c r="EC46" i="2"/>
  <c r="EC83" i="2" s="1"/>
  <c r="EK46" i="2"/>
  <c r="EK83" i="2" s="1"/>
  <c r="EJ46" i="2"/>
  <c r="EJ83" i="2" s="1"/>
  <c r="EI46" i="2"/>
  <c r="EI83" i="2" s="1"/>
  <c r="EH46" i="2"/>
  <c r="EH83" i="2" s="1"/>
  <c r="EM46" i="2"/>
  <c r="EM83" i="2" s="1"/>
  <c r="EN46" i="2"/>
  <c r="EN83" i="2" s="1"/>
  <c r="EO46" i="2"/>
  <c r="EO83" i="2" s="1"/>
  <c r="EP46" i="2"/>
  <c r="EP83" i="2" s="1"/>
  <c r="ER46" i="2"/>
  <c r="ER83" i="2" s="1"/>
  <c r="EQ45" i="2"/>
  <c r="EQ40" i="18" s="1"/>
  <c r="EQ42" i="2"/>
  <c r="EL45" i="2"/>
  <c r="EL40" i="18" s="1"/>
  <c r="EL42" i="2"/>
  <c r="EG45" i="2"/>
  <c r="EG42" i="2"/>
  <c r="EB45" i="2"/>
  <c r="EB40" i="18" s="1"/>
  <c r="EB42" i="2"/>
  <c r="DW45" i="2"/>
  <c r="DW40" i="18" s="1"/>
  <c r="DW42" i="2"/>
  <c r="DR45" i="2"/>
  <c r="DR40" i="18" s="1"/>
  <c r="DR42" i="2"/>
  <c r="ES46" i="2"/>
  <c r="ES83" i="2" s="1"/>
  <c r="DI34" i="2"/>
  <c r="DJ34" i="2"/>
  <c r="DK34" i="2"/>
  <c r="DL34" i="2"/>
  <c r="DN34" i="2"/>
  <c r="DO34" i="2"/>
  <c r="DP34" i="2"/>
  <c r="DQ34" i="2"/>
  <c r="DS34" i="2"/>
  <c r="DT34" i="2"/>
  <c r="DU34" i="2"/>
  <c r="DV34" i="2"/>
  <c r="DX34" i="2"/>
  <c r="DY34" i="2"/>
  <c r="DZ34" i="2"/>
  <c r="EA34" i="2"/>
  <c r="EC34" i="2"/>
  <c r="ED34" i="2"/>
  <c r="EE34" i="2"/>
  <c r="EF34" i="2"/>
  <c r="EH34" i="2"/>
  <c r="EI34" i="2"/>
  <c r="EJ34" i="2"/>
  <c r="EK34" i="2"/>
  <c r="EM34" i="2"/>
  <c r="EN34" i="2"/>
  <c r="EO34" i="2"/>
  <c r="EP34" i="2"/>
  <c r="ER34" i="2"/>
  <c r="ES34" i="2"/>
  <c r="H31" i="2"/>
  <c r="I31" i="2"/>
  <c r="J31" i="2"/>
  <c r="K31" i="2"/>
  <c r="M31" i="2"/>
  <c r="N31" i="2"/>
  <c r="O31" i="2"/>
  <c r="P31" i="2"/>
  <c r="R31" i="2"/>
  <c r="S31" i="2"/>
  <c r="T31" i="2"/>
  <c r="U31" i="2"/>
  <c r="W31" i="2"/>
  <c r="X31" i="2"/>
  <c r="Y31" i="2"/>
  <c r="Z31" i="2"/>
  <c r="AB31" i="2"/>
  <c r="AC31" i="2"/>
  <c r="AD31" i="2"/>
  <c r="AE31" i="2"/>
  <c r="AG31" i="2"/>
  <c r="AH31" i="2"/>
  <c r="AI31" i="2"/>
  <c r="AJ31" i="2"/>
  <c r="AL31" i="2"/>
  <c r="AM31" i="2"/>
  <c r="AN31" i="2"/>
  <c r="AO31" i="2"/>
  <c r="AQ31" i="2"/>
  <c r="AR31" i="2"/>
  <c r="AS31" i="2"/>
  <c r="AT31" i="2"/>
  <c r="AV31" i="2"/>
  <c r="AW31" i="2"/>
  <c r="AX31" i="2"/>
  <c r="AY31" i="2"/>
  <c r="BA31" i="2"/>
  <c r="BB31" i="2"/>
  <c r="BC31" i="2"/>
  <c r="BD31" i="2"/>
  <c r="BF31" i="2"/>
  <c r="BG31" i="2"/>
  <c r="BH31" i="2"/>
  <c r="BI31" i="2"/>
  <c r="BK31" i="2"/>
  <c r="BL31" i="2"/>
  <c r="BM31" i="2"/>
  <c r="BN31" i="2"/>
  <c r="BP31" i="2"/>
  <c r="BQ31" i="2"/>
  <c r="BR31" i="2"/>
  <c r="BS31" i="2"/>
  <c r="BU31" i="2"/>
  <c r="BV31" i="2"/>
  <c r="BW31" i="2"/>
  <c r="BX31" i="2"/>
  <c r="BZ31" i="2"/>
  <c r="CA31" i="2"/>
  <c r="CB31" i="2"/>
  <c r="CC31" i="2"/>
  <c r="CE31" i="2"/>
  <c r="CF31" i="2"/>
  <c r="CG31" i="2"/>
  <c r="CH31" i="2"/>
  <c r="CJ31" i="2"/>
  <c r="CK31" i="2"/>
  <c r="CL31" i="2"/>
  <c r="CM31" i="2"/>
  <c r="CO31" i="2"/>
  <c r="CP31" i="2"/>
  <c r="CQ31" i="2"/>
  <c r="CR31" i="2"/>
  <c r="CT31" i="2"/>
  <c r="CU31" i="2"/>
  <c r="CV31" i="2"/>
  <c r="CW31" i="2"/>
  <c r="CY31" i="2"/>
  <c r="CZ31" i="2"/>
  <c r="DA31" i="2"/>
  <c r="DB31" i="2"/>
  <c r="DD31" i="2"/>
  <c r="DE31" i="2"/>
  <c r="DF31" i="2"/>
  <c r="DG31" i="2"/>
  <c r="DI31" i="2"/>
  <c r="DJ31" i="2"/>
  <c r="DK31" i="2"/>
  <c r="DL31" i="2"/>
  <c r="DN31" i="2"/>
  <c r="DO31" i="2"/>
  <c r="DP31" i="2"/>
  <c r="DQ31" i="2"/>
  <c r="DS31" i="2"/>
  <c r="DT31" i="2"/>
  <c r="DU31" i="2"/>
  <c r="DV31" i="2"/>
  <c r="DX31" i="2"/>
  <c r="DY31" i="2"/>
  <c r="DZ31" i="2"/>
  <c r="EA31" i="2"/>
  <c r="EC31" i="2"/>
  <c r="ED31" i="2"/>
  <c r="EE31" i="2"/>
  <c r="EF31" i="2"/>
  <c r="EH31" i="2"/>
  <c r="EI31" i="2"/>
  <c r="EJ31" i="2"/>
  <c r="EK31" i="2"/>
  <c r="EM31" i="2"/>
  <c r="EN31" i="2"/>
  <c r="EO31" i="2"/>
  <c r="EP31" i="2"/>
  <c r="ER31" i="2"/>
  <c r="ES31" i="2"/>
  <c r="H32" i="2"/>
  <c r="I32" i="2"/>
  <c r="J32" i="2"/>
  <c r="K32" i="2"/>
  <c r="M32" i="2"/>
  <c r="N32" i="2"/>
  <c r="O32" i="2"/>
  <c r="P32" i="2"/>
  <c r="R32" i="2"/>
  <c r="S32" i="2"/>
  <c r="T32" i="2"/>
  <c r="U32" i="2"/>
  <c r="W32" i="2"/>
  <c r="X32" i="2"/>
  <c r="Y32" i="2"/>
  <c r="Z32" i="2"/>
  <c r="AB32" i="2"/>
  <c r="AC32" i="2"/>
  <c r="AD32" i="2"/>
  <c r="AE32" i="2"/>
  <c r="AG32" i="2"/>
  <c r="AH32" i="2"/>
  <c r="AI32" i="2"/>
  <c r="AJ32" i="2"/>
  <c r="AL32" i="2"/>
  <c r="AM32" i="2"/>
  <c r="AN32" i="2"/>
  <c r="AO32" i="2"/>
  <c r="AQ32" i="2"/>
  <c r="AR32" i="2"/>
  <c r="AS32" i="2"/>
  <c r="AT32" i="2"/>
  <c r="AV32" i="2"/>
  <c r="AW32" i="2"/>
  <c r="AX32" i="2"/>
  <c r="AY32" i="2"/>
  <c r="BA32" i="2"/>
  <c r="BB32" i="2"/>
  <c r="BC32" i="2"/>
  <c r="BD32" i="2"/>
  <c r="BF32" i="2"/>
  <c r="BG32" i="2"/>
  <c r="BH32" i="2"/>
  <c r="BI32" i="2"/>
  <c r="BK32" i="2"/>
  <c r="BL32" i="2"/>
  <c r="BM32" i="2"/>
  <c r="BN32" i="2"/>
  <c r="BP32" i="2"/>
  <c r="BQ32" i="2"/>
  <c r="BR32" i="2"/>
  <c r="BS32" i="2"/>
  <c r="BU32" i="2"/>
  <c r="BV32" i="2"/>
  <c r="BW32" i="2"/>
  <c r="BX32" i="2"/>
  <c r="BZ32" i="2"/>
  <c r="CA32" i="2"/>
  <c r="CB32" i="2"/>
  <c r="CC32" i="2"/>
  <c r="CE32" i="2"/>
  <c r="CF32" i="2"/>
  <c r="CG32" i="2"/>
  <c r="CH32" i="2"/>
  <c r="CJ32" i="2"/>
  <c r="CK32" i="2"/>
  <c r="CL32" i="2"/>
  <c r="CM32" i="2"/>
  <c r="CO32" i="2"/>
  <c r="CP32" i="2"/>
  <c r="CQ32" i="2"/>
  <c r="CR32" i="2"/>
  <c r="CT32" i="2"/>
  <c r="CU32" i="2"/>
  <c r="CV32" i="2"/>
  <c r="CW32" i="2"/>
  <c r="CY32" i="2"/>
  <c r="CZ32" i="2"/>
  <c r="DA32" i="2"/>
  <c r="DB32" i="2"/>
  <c r="DD32" i="2"/>
  <c r="DE32" i="2"/>
  <c r="DF32" i="2"/>
  <c r="DG32" i="2"/>
  <c r="DI32" i="2"/>
  <c r="DJ32" i="2"/>
  <c r="DK32" i="2"/>
  <c r="DL32" i="2"/>
  <c r="DN32" i="2"/>
  <c r="DO32" i="2"/>
  <c r="DP32" i="2"/>
  <c r="DQ32" i="2"/>
  <c r="DS32" i="2"/>
  <c r="DT32" i="2"/>
  <c r="DU32" i="2"/>
  <c r="DV32" i="2"/>
  <c r="DX32" i="2"/>
  <c r="DY32" i="2"/>
  <c r="DZ32" i="2"/>
  <c r="EA32" i="2"/>
  <c r="EC32" i="2"/>
  <c r="ED32" i="2"/>
  <c r="EE32" i="2"/>
  <c r="EF32" i="2"/>
  <c r="EH32" i="2"/>
  <c r="EI32" i="2"/>
  <c r="EJ32" i="2"/>
  <c r="EK32" i="2"/>
  <c r="EM32" i="2"/>
  <c r="EN32" i="2"/>
  <c r="EO32" i="2"/>
  <c r="EP32" i="2"/>
  <c r="ER32" i="2"/>
  <c r="ES32" i="2"/>
  <c r="DS37" i="2"/>
  <c r="DT37" i="2"/>
  <c r="DU37" i="2"/>
  <c r="DV37" i="2"/>
  <c r="DX37" i="2"/>
  <c r="DY37" i="2"/>
  <c r="DZ37" i="2"/>
  <c r="EA37" i="2"/>
  <c r="EC37" i="2"/>
  <c r="ED37" i="2"/>
  <c r="EE37" i="2"/>
  <c r="EF37" i="2"/>
  <c r="EH37" i="2"/>
  <c r="EI37" i="2"/>
  <c r="EJ37" i="2"/>
  <c r="EK37" i="2"/>
  <c r="EM37" i="2"/>
  <c r="EN37" i="2"/>
  <c r="EO37" i="2"/>
  <c r="EP37" i="2"/>
  <c r="ER37" i="2"/>
  <c r="EW38" i="2" s="1"/>
  <c r="ES37" i="2"/>
  <c r="EX38" i="2" s="1"/>
  <c r="DG17" i="2"/>
  <c r="DH17" i="2"/>
  <c r="DI17" i="2"/>
  <c r="DJ17" i="2"/>
  <c r="DK17" i="2"/>
  <c r="DL17" i="2"/>
  <c r="DM17" i="2"/>
  <c r="DH19" i="2" s="1"/>
  <c r="DN17" i="2"/>
  <c r="DO17" i="2"/>
  <c r="DP17" i="2"/>
  <c r="DQ17" i="2"/>
  <c r="DS17" i="2"/>
  <c r="DT17" i="2"/>
  <c r="DU17" i="2"/>
  <c r="DV17" i="2"/>
  <c r="DX17" i="2"/>
  <c r="DY17" i="2"/>
  <c r="DZ17" i="2"/>
  <c r="EA17" i="2"/>
  <c r="EC17" i="2"/>
  <c r="ED17" i="2"/>
  <c r="EE17" i="2"/>
  <c r="EF17" i="2"/>
  <c r="EH17" i="2"/>
  <c r="EI17" i="2"/>
  <c r="EJ17" i="2"/>
  <c r="EK17" i="2"/>
  <c r="EM17" i="2"/>
  <c r="EN17" i="2"/>
  <c r="EO17" i="2"/>
  <c r="EP17" i="2"/>
  <c r="ER17" i="2"/>
  <c r="ES17" i="2"/>
  <c r="DD26" i="2"/>
  <c r="DD49" i="2" s="1"/>
  <c r="DE26" i="2"/>
  <c r="DE49" i="2" s="1"/>
  <c r="DF26" i="2"/>
  <c r="DF49" i="2" s="1"/>
  <c r="DG26" i="2"/>
  <c r="DG49" i="2" s="1"/>
  <c r="DI26" i="2"/>
  <c r="DI49" i="2" s="1"/>
  <c r="DJ26" i="2"/>
  <c r="DJ49" i="2" s="1"/>
  <c r="DK26" i="2"/>
  <c r="DK49" i="2" s="1"/>
  <c r="DL26" i="2"/>
  <c r="DL49" i="2" s="1"/>
  <c r="DN26" i="2"/>
  <c r="DN49" i="2" s="1"/>
  <c r="DO26" i="2"/>
  <c r="DO49" i="2" s="1"/>
  <c r="DP26" i="2"/>
  <c r="DP49" i="2" s="1"/>
  <c r="DQ26" i="2"/>
  <c r="DQ49" i="2" s="1"/>
  <c r="DS26" i="2"/>
  <c r="DS49" i="2" s="1"/>
  <c r="DT26" i="2"/>
  <c r="DT49" i="2" s="1"/>
  <c r="DU26" i="2"/>
  <c r="DU49" i="2" s="1"/>
  <c r="DV26" i="2"/>
  <c r="DV49" i="2" s="1"/>
  <c r="DX26" i="2"/>
  <c r="DX49" i="2" s="1"/>
  <c r="DY26" i="2"/>
  <c r="DY49" i="2" s="1"/>
  <c r="DZ26" i="2"/>
  <c r="DZ49" i="2" s="1"/>
  <c r="EA26" i="2"/>
  <c r="EA49" i="2" s="1"/>
  <c r="EC26" i="2"/>
  <c r="EC49" i="2" s="1"/>
  <c r="ED26" i="2"/>
  <c r="ED49" i="2" s="1"/>
  <c r="EE26" i="2"/>
  <c r="EE49" i="2" s="1"/>
  <c r="EF26" i="2"/>
  <c r="EF49" i="2" s="1"/>
  <c r="EH26" i="2"/>
  <c r="EH49" i="2" s="1"/>
  <c r="EI26" i="2"/>
  <c r="EI49" i="2" s="1"/>
  <c r="EJ26" i="2"/>
  <c r="EJ49" i="2" s="1"/>
  <c r="EK26" i="2"/>
  <c r="EK49" i="2" s="1"/>
  <c r="EM26" i="2"/>
  <c r="EM49" i="2" s="1"/>
  <c r="EN26" i="2"/>
  <c r="EN49" i="2" s="1"/>
  <c r="EO26" i="2"/>
  <c r="EO49" i="2" s="1"/>
  <c r="EP26" i="2"/>
  <c r="EP49" i="2" s="1"/>
  <c r="EU50" i="2" s="1"/>
  <c r="ER49" i="2"/>
  <c r="EW50" i="2" s="1"/>
  <c r="ES49" i="2"/>
  <c r="EX50" i="2" s="1"/>
  <c r="DD27" i="2"/>
  <c r="DD56" i="2" s="1"/>
  <c r="DE27" i="2"/>
  <c r="DE56" i="2" s="1"/>
  <c r="DF27" i="2"/>
  <c r="DF56" i="2" s="1"/>
  <c r="DG27" i="2"/>
  <c r="DG56" i="2" s="1"/>
  <c r="DI27" i="2"/>
  <c r="DI56" i="2" s="1"/>
  <c r="DJ27" i="2"/>
  <c r="DJ56" i="2" s="1"/>
  <c r="DK27" i="2"/>
  <c r="DK56" i="2" s="1"/>
  <c r="DL27" i="2"/>
  <c r="DL56" i="2" s="1"/>
  <c r="DN27" i="2"/>
  <c r="DN56" i="2" s="1"/>
  <c r="DO27" i="2"/>
  <c r="DO56" i="2" s="1"/>
  <c r="DP27" i="2"/>
  <c r="DP56" i="2" s="1"/>
  <c r="DQ27" i="2"/>
  <c r="DQ56" i="2" s="1"/>
  <c r="DS27" i="2"/>
  <c r="DS56" i="2" s="1"/>
  <c r="DT27" i="2"/>
  <c r="DT56" i="2" s="1"/>
  <c r="DU27" i="2"/>
  <c r="DU56" i="2" s="1"/>
  <c r="DV27" i="2"/>
  <c r="DV56" i="2" s="1"/>
  <c r="DX27" i="2"/>
  <c r="DX56" i="2" s="1"/>
  <c r="DY27" i="2"/>
  <c r="DY56" i="2" s="1"/>
  <c r="DZ27" i="2"/>
  <c r="DZ56" i="2" s="1"/>
  <c r="EA27" i="2"/>
  <c r="EA56" i="2" s="1"/>
  <c r="EC27" i="2"/>
  <c r="EC56" i="2" s="1"/>
  <c r="ED27" i="2"/>
  <c r="ED56" i="2" s="1"/>
  <c r="EE27" i="2"/>
  <c r="EE56" i="2" s="1"/>
  <c r="EF27" i="2"/>
  <c r="EF56" i="2" s="1"/>
  <c r="EH27" i="2"/>
  <c r="EH56" i="2" s="1"/>
  <c r="EI27" i="2"/>
  <c r="EI56" i="2" s="1"/>
  <c r="EJ27" i="2"/>
  <c r="EJ56" i="2" s="1"/>
  <c r="EK27" i="2"/>
  <c r="EK56" i="2" s="1"/>
  <c r="EM27" i="2"/>
  <c r="EM56" i="2" s="1"/>
  <c r="EN27" i="2"/>
  <c r="EN56" i="2" s="1"/>
  <c r="EO27" i="2"/>
  <c r="EO56" i="2" s="1"/>
  <c r="EP27" i="2"/>
  <c r="EP56" i="2" s="1"/>
  <c r="ER56" i="2"/>
  <c r="ES56" i="2"/>
  <c r="DD28" i="2"/>
  <c r="DD63" i="2" s="1"/>
  <c r="DE28" i="2"/>
  <c r="DE63" i="2" s="1"/>
  <c r="DF28" i="2"/>
  <c r="DF63" i="2" s="1"/>
  <c r="DG28" i="2"/>
  <c r="DG63" i="2" s="1"/>
  <c r="DI28" i="2"/>
  <c r="DI63" i="2" s="1"/>
  <c r="DJ28" i="2"/>
  <c r="DJ63" i="2" s="1"/>
  <c r="DK28" i="2"/>
  <c r="DK63" i="2" s="1"/>
  <c r="DL28" i="2"/>
  <c r="DL63" i="2" s="1"/>
  <c r="DN28" i="2"/>
  <c r="DN63" i="2" s="1"/>
  <c r="DO28" i="2"/>
  <c r="DO63" i="2" s="1"/>
  <c r="DP28" i="2"/>
  <c r="DP63" i="2" s="1"/>
  <c r="DQ28" i="2"/>
  <c r="DQ63" i="2" s="1"/>
  <c r="DS28" i="2"/>
  <c r="DS63" i="2" s="1"/>
  <c r="DT28" i="2"/>
  <c r="DT63" i="2" s="1"/>
  <c r="DU28" i="2"/>
  <c r="DU63" i="2" s="1"/>
  <c r="DV28" i="2"/>
  <c r="DV63" i="2" s="1"/>
  <c r="DX28" i="2"/>
  <c r="DX63" i="2" s="1"/>
  <c r="DY28" i="2"/>
  <c r="DY63" i="2" s="1"/>
  <c r="DZ28" i="2"/>
  <c r="DZ63" i="2" s="1"/>
  <c r="EA28" i="2"/>
  <c r="EA63" i="2" s="1"/>
  <c r="EC28" i="2"/>
  <c r="EC63" i="2" s="1"/>
  <c r="ED28" i="2"/>
  <c r="ED63" i="2" s="1"/>
  <c r="EE28" i="2"/>
  <c r="EE63" i="2" s="1"/>
  <c r="EF28" i="2"/>
  <c r="EF63" i="2" s="1"/>
  <c r="EH28" i="2"/>
  <c r="EH63" i="2" s="1"/>
  <c r="EI28" i="2"/>
  <c r="EI63" i="2" s="1"/>
  <c r="EJ28" i="2"/>
  <c r="EJ63" i="2" s="1"/>
  <c r="EK28" i="2"/>
  <c r="EK63" i="2" s="1"/>
  <c r="EM28" i="2"/>
  <c r="EM63" i="2" s="1"/>
  <c r="EN28" i="2"/>
  <c r="EN63" i="2" s="1"/>
  <c r="EO28" i="2"/>
  <c r="EO63" i="2" s="1"/>
  <c r="EP28" i="2"/>
  <c r="EP63" i="2" s="1"/>
  <c r="EU64" i="2" s="1"/>
  <c r="ER63" i="2"/>
  <c r="EW64" i="2" s="1"/>
  <c r="ES63" i="2"/>
  <c r="EX64" i="2" s="1"/>
  <c r="CY13" i="2"/>
  <c r="CZ13" i="2"/>
  <c r="DA13" i="2"/>
  <c r="DB13" i="2"/>
  <c r="DD13" i="2"/>
  <c r="DE13" i="2"/>
  <c r="DF13" i="2"/>
  <c r="DG13" i="2"/>
  <c r="DI13" i="2"/>
  <c r="DJ13" i="2"/>
  <c r="DK13" i="2"/>
  <c r="DL13" i="2"/>
  <c r="DN13" i="2"/>
  <c r="DO13" i="2"/>
  <c r="DP13" i="2"/>
  <c r="DQ13" i="2"/>
  <c r="DS13" i="2"/>
  <c r="DT13" i="2"/>
  <c r="DU13" i="2"/>
  <c r="DV13" i="2"/>
  <c r="DX13" i="2"/>
  <c r="DY13" i="2"/>
  <c r="DZ13" i="2"/>
  <c r="EA13" i="2"/>
  <c r="EC13" i="2"/>
  <c r="ED13" i="2"/>
  <c r="EE13" i="2"/>
  <c r="EF13" i="2"/>
  <c r="EH13" i="2"/>
  <c r="EI13" i="2"/>
  <c r="EJ13" i="2"/>
  <c r="EK13" i="2"/>
  <c r="EM13" i="2"/>
  <c r="EN13" i="2"/>
  <c r="EO13" i="2"/>
  <c r="EP13" i="2"/>
  <c r="CY14" i="2"/>
  <c r="CZ14" i="2"/>
  <c r="DA14" i="2"/>
  <c r="DB14" i="2"/>
  <c r="DD14" i="2"/>
  <c r="DE14" i="2"/>
  <c r="DF14" i="2"/>
  <c r="DG14" i="2"/>
  <c r="DI14" i="2"/>
  <c r="DJ14" i="2"/>
  <c r="DK14" i="2"/>
  <c r="DL14" i="2"/>
  <c r="DN14" i="2"/>
  <c r="DO14" i="2"/>
  <c r="DP14" i="2"/>
  <c r="DQ14" i="2"/>
  <c r="DS14" i="2"/>
  <c r="DT14" i="2"/>
  <c r="DU14" i="2"/>
  <c r="DV14" i="2"/>
  <c r="DX14" i="2"/>
  <c r="DY14" i="2"/>
  <c r="DZ14" i="2"/>
  <c r="EA14" i="2"/>
  <c r="EC14" i="2"/>
  <c r="ED14" i="2"/>
  <c r="EE14" i="2"/>
  <c r="EF14" i="2"/>
  <c r="EH14" i="2"/>
  <c r="EI14" i="2"/>
  <c r="EJ14" i="2"/>
  <c r="EK14" i="2"/>
  <c r="EM14" i="2"/>
  <c r="EN14" i="2"/>
  <c r="EO14" i="2"/>
  <c r="EP14" i="2"/>
  <c r="CY12" i="2"/>
  <c r="CZ12" i="2"/>
  <c r="DA12" i="2"/>
  <c r="DB12" i="2"/>
  <c r="DD12" i="2"/>
  <c r="DE12" i="2"/>
  <c r="DF12" i="2"/>
  <c r="DG12" i="2"/>
  <c r="DI12" i="2"/>
  <c r="DJ12" i="2"/>
  <c r="DK12" i="2"/>
  <c r="DL12" i="2"/>
  <c r="DN12" i="2"/>
  <c r="DO12" i="2"/>
  <c r="DP12" i="2"/>
  <c r="DQ12" i="2"/>
  <c r="DS12" i="2"/>
  <c r="DT12" i="2"/>
  <c r="DU12" i="2"/>
  <c r="DV12" i="2"/>
  <c r="DX12" i="2"/>
  <c r="DY12" i="2"/>
  <c r="DZ12" i="2"/>
  <c r="EA12" i="2"/>
  <c r="EC12" i="2"/>
  <c r="ED12" i="2"/>
  <c r="EE12" i="2"/>
  <c r="EF12" i="2"/>
  <c r="EH12" i="2"/>
  <c r="EI12" i="2"/>
  <c r="EJ12" i="2"/>
  <c r="EK12" i="2"/>
  <c r="EM12" i="2"/>
  <c r="EN12" i="2"/>
  <c r="EO12" i="2"/>
  <c r="EP12" i="2"/>
  <c r="EI61" i="29" l="1"/>
  <c r="EA61" i="29"/>
  <c r="ER61" i="29"/>
  <c r="EN61" i="29"/>
  <c r="EW80" i="2"/>
  <c r="EW78" i="2"/>
  <c r="EX84" i="2"/>
  <c r="EX86" i="2"/>
  <c r="EW84" i="2"/>
  <c r="EW86" i="2"/>
  <c r="EX78" i="2"/>
  <c r="EX80" i="2"/>
  <c r="ET61" i="29"/>
  <c r="EH61" i="29"/>
  <c r="DZ61" i="29"/>
  <c r="ED91" i="2"/>
  <c r="ED96" i="2" s="1"/>
  <c r="ED38" i="2"/>
  <c r="ED39" i="2"/>
  <c r="EI91" i="2"/>
  <c r="EI38" i="2"/>
  <c r="EI39" i="2"/>
  <c r="EA91" i="2"/>
  <c r="EA96" i="2" s="1"/>
  <c r="EA38" i="2"/>
  <c r="EA39" i="2"/>
  <c r="DT91" i="2"/>
  <c r="DT94" i="2" s="1"/>
  <c r="DT39" i="2"/>
  <c r="EN91" i="2"/>
  <c r="EN96" i="2" s="1"/>
  <c r="EN39" i="2"/>
  <c r="EN38" i="2"/>
  <c r="EF91" i="2"/>
  <c r="EF96" i="2" s="1"/>
  <c r="EF39" i="2"/>
  <c r="EF38" i="2"/>
  <c r="DY91" i="2"/>
  <c r="DY96" i="2" s="1"/>
  <c r="DY39" i="2"/>
  <c r="DY38" i="2"/>
  <c r="EM91" i="2"/>
  <c r="EM96" i="2" s="1"/>
  <c r="EM39" i="2"/>
  <c r="EM38" i="2"/>
  <c r="DX91" i="2"/>
  <c r="DY93" i="2" s="1"/>
  <c r="DX39" i="2"/>
  <c r="DX38" i="2"/>
  <c r="EG77" i="2"/>
  <c r="EG43" i="2"/>
  <c r="DV91" i="2"/>
  <c r="DV96" i="2" s="1"/>
  <c r="DV39" i="2"/>
  <c r="EE91" i="2"/>
  <c r="EF95" i="2" s="1"/>
  <c r="EE39" i="2"/>
  <c r="EE38" i="2"/>
  <c r="DW77" i="2"/>
  <c r="DW43" i="2"/>
  <c r="EL77" i="2"/>
  <c r="EL43" i="2"/>
  <c r="EK91" i="2"/>
  <c r="EK96" i="2" s="1"/>
  <c r="EK39" i="2"/>
  <c r="EK38" i="2"/>
  <c r="ER91" i="2"/>
  <c r="ER39" i="2"/>
  <c r="ER38" i="2"/>
  <c r="DU91" i="2"/>
  <c r="DU94" i="2" s="1"/>
  <c r="DU39" i="2"/>
  <c r="ES91" i="2"/>
  <c r="ES38" i="2"/>
  <c r="ES39" i="2"/>
  <c r="ET39" i="2"/>
  <c r="EJ91" i="2"/>
  <c r="EJ38" i="2"/>
  <c r="EJ39" i="2"/>
  <c r="EC91" i="2"/>
  <c r="EC96" i="2" s="1"/>
  <c r="EC38" i="2"/>
  <c r="EC39" i="2"/>
  <c r="EP91" i="2"/>
  <c r="EP92" i="2" s="1"/>
  <c r="EP38" i="2"/>
  <c r="EP39" i="2"/>
  <c r="EU38" i="2"/>
  <c r="EO91" i="2"/>
  <c r="EO96" i="2" s="1"/>
  <c r="EO38" i="2"/>
  <c r="EO39" i="2"/>
  <c r="ET38" i="2"/>
  <c r="EH91" i="2"/>
  <c r="EH96" i="2" s="1"/>
  <c r="EH38" i="2"/>
  <c r="EH39" i="2"/>
  <c r="DZ91" i="2"/>
  <c r="DZ39" i="2"/>
  <c r="DZ38" i="2"/>
  <c r="DS91" i="2"/>
  <c r="DS94" i="2" s="1"/>
  <c r="EB77" i="2"/>
  <c r="EB43" i="2"/>
  <c r="EQ77" i="2"/>
  <c r="EV80" i="2" s="1"/>
  <c r="EQ43" i="2"/>
  <c r="EV43" i="2"/>
  <c r="EU78" i="2"/>
  <c r="EU80" i="2"/>
  <c r="EU86" i="2"/>
  <c r="EU84" i="2"/>
  <c r="EP61" i="29"/>
  <c r="EM61" i="29"/>
  <c r="ES61" i="29"/>
  <c r="EO61" i="29"/>
  <c r="EK61" i="29"/>
  <c r="ED61" i="29"/>
  <c r="ET80" i="2"/>
  <c r="ET78" i="2"/>
  <c r="EJ61" i="29"/>
  <c r="EC61" i="29"/>
  <c r="ET86" i="2"/>
  <c r="ET84" i="2"/>
  <c r="ET79" i="2"/>
  <c r="ET81" i="2"/>
  <c r="EE61" i="29"/>
  <c r="DX61" i="29"/>
  <c r="ET87" i="2"/>
  <c r="ET85" i="2"/>
  <c r="EF61" i="29"/>
  <c r="DY61" i="29"/>
  <c r="ET64" i="2"/>
  <c r="ET65" i="2"/>
  <c r="EM111" i="29"/>
  <c r="EM112" i="29" s="1"/>
  <c r="EM115" i="29" s="1"/>
  <c r="ET50" i="2"/>
  <c r="ET51" i="2"/>
  <c r="CZ144" i="14"/>
  <c r="CU144" i="14" s="1"/>
  <c r="CP144" i="14" s="1"/>
  <c r="DE178" i="14"/>
  <c r="DF19" i="2"/>
  <c r="DS19" i="2"/>
  <c r="DZ19" i="2"/>
  <c r="EH19" i="2"/>
  <c r="DK19" i="2"/>
  <c r="DN81" i="2"/>
  <c r="EJ111" i="29"/>
  <c r="EJ110" i="29"/>
  <c r="EO126" i="29"/>
  <c r="DX33" i="29"/>
  <c r="ES89" i="2"/>
  <c r="EM131" i="29"/>
  <c r="EN126" i="29"/>
  <c r="DY33" i="29"/>
  <c r="EF19" i="2"/>
  <c r="DY19" i="2"/>
  <c r="EO111" i="29"/>
  <c r="EO110" i="29"/>
  <c r="DQ80" i="2"/>
  <c r="EN110" i="29"/>
  <c r="ER131" i="29"/>
  <c r="FJ23" i="8"/>
  <c r="FI22" i="8"/>
  <c r="FI42" i="6" s="1"/>
  <c r="DP80" i="2"/>
  <c r="EN19" i="2"/>
  <c r="DX19" i="2"/>
  <c r="DJ19" i="2"/>
  <c r="EI19" i="2"/>
  <c r="EA19" i="2"/>
  <c r="DT19" i="2"/>
  <c r="DL19" i="2"/>
  <c r="DQ19" i="2"/>
  <c r="DP19" i="2"/>
  <c r="EM19" i="2"/>
  <c r="EK19" i="2"/>
  <c r="ED19" i="2"/>
  <c r="DV19" i="2"/>
  <c r="DO19" i="2"/>
  <c r="DI19" i="2"/>
  <c r="EE19" i="2"/>
  <c r="EJ19" i="2"/>
  <c r="EC19" i="2"/>
  <c r="DU19" i="2"/>
  <c r="DN19" i="2"/>
  <c r="DG19" i="2"/>
  <c r="EP47" i="29"/>
  <c r="EE47" i="29"/>
  <c r="DY47" i="29"/>
  <c r="ER47" i="29"/>
  <c r="EF47" i="29"/>
  <c r="DZ47" i="29"/>
  <c r="EJ47" i="29"/>
  <c r="EK47" i="29"/>
  <c r="ED46" i="29"/>
  <c r="DX46" i="29"/>
  <c r="EC46" i="29"/>
  <c r="ES46" i="29"/>
  <c r="EA47" i="29"/>
  <c r="EH46" i="29"/>
  <c r="EM46" i="29"/>
  <c r="EO46" i="29"/>
  <c r="EI47" i="29"/>
  <c r="EN46" i="29"/>
  <c r="DP85" i="2"/>
  <c r="EH86" i="2"/>
  <c r="DU89" i="2"/>
  <c r="EP115" i="29"/>
  <c r="EK32" i="29"/>
  <c r="EH33" i="29"/>
  <c r="EI33" i="29"/>
  <c r="EC33" i="29"/>
  <c r="ED33" i="29"/>
  <c r="EE33" i="29"/>
  <c r="DZ33" i="29"/>
  <c r="EJ33" i="29"/>
  <c r="EF33" i="29"/>
  <c r="EA33" i="29"/>
  <c r="CY144" i="14"/>
  <c r="EJ18" i="29"/>
  <c r="EK18" i="29"/>
  <c r="DZ18" i="29"/>
  <c r="EH19" i="29"/>
  <c r="DX19" i="29"/>
  <c r="EE18" i="29"/>
  <c r="EC19" i="29"/>
  <c r="EI19" i="29"/>
  <c r="ED19" i="29"/>
  <c r="DY19" i="29"/>
  <c r="EF18" i="29"/>
  <c r="EA18" i="29"/>
  <c r="EO94" i="29"/>
  <c r="DX94" i="29"/>
  <c r="EP94" i="29"/>
  <c r="EM95" i="29"/>
  <c r="EJ94" i="29"/>
  <c r="EI95" i="29"/>
  <c r="EC94" i="29"/>
  <c r="ED94" i="29"/>
  <c r="EN95" i="29"/>
  <c r="EK94" i="29"/>
  <c r="EE95" i="29"/>
  <c r="DY95" i="29"/>
  <c r="EH95" i="29"/>
  <c r="EF95" i="29"/>
  <c r="DZ95" i="29"/>
  <c r="EA95" i="29"/>
  <c r="ER95" i="29"/>
  <c r="ES95" i="29"/>
  <c r="ER18" i="29"/>
  <c r="EM19" i="29"/>
  <c r="EM32" i="29"/>
  <c r="ES18" i="29"/>
  <c r="EN19" i="29"/>
  <c r="EN32" i="29"/>
  <c r="EO18" i="29"/>
  <c r="EO32" i="29"/>
  <c r="EP18" i="29"/>
  <c r="EP32" i="29"/>
  <c r="ER32" i="29"/>
  <c r="ES32" i="29"/>
  <c r="DY89" i="2"/>
  <c r="ES81" i="2"/>
  <c r="EK89" i="2"/>
  <c r="DV87" i="2"/>
  <c r="EN87" i="2"/>
  <c r="EN86" i="2"/>
  <c r="EN89" i="2"/>
  <c r="EN84" i="2"/>
  <c r="DO85" i="2"/>
  <c r="DN89" i="2"/>
  <c r="DN87" i="2"/>
  <c r="EE84" i="2"/>
  <c r="EE89" i="2"/>
  <c r="DS85" i="2"/>
  <c r="DS89" i="2"/>
  <c r="EC86" i="2"/>
  <c r="EC85" i="2"/>
  <c r="EC89" i="2"/>
  <c r="DZ84" i="2"/>
  <c r="DZ89" i="2"/>
  <c r="EM86" i="2"/>
  <c r="EM89" i="2"/>
  <c r="EM87" i="2"/>
  <c r="EM84" i="2"/>
  <c r="ED89" i="2"/>
  <c r="ED87" i="2"/>
  <c r="EA89" i="2"/>
  <c r="EA84" i="2"/>
  <c r="DO89" i="2"/>
  <c r="DO87" i="2"/>
  <c r="EI87" i="2"/>
  <c r="EI89" i="2"/>
  <c r="DQ85" i="2"/>
  <c r="DQ89" i="2"/>
  <c r="DQ87" i="2"/>
  <c r="EO87" i="2"/>
  <c r="EO86" i="2"/>
  <c r="EO89" i="2"/>
  <c r="EP89" i="2"/>
  <c r="EP85" i="2"/>
  <c r="EJ89" i="2"/>
  <c r="DX87" i="2"/>
  <c r="DX89" i="2"/>
  <c r="DV85" i="2"/>
  <c r="EH84" i="2"/>
  <c r="ES87" i="2"/>
  <c r="EF84" i="2"/>
  <c r="DU87" i="2"/>
  <c r="DV84" i="2"/>
  <c r="DU84" i="2"/>
  <c r="ES84" i="2"/>
  <c r="DY84" i="2"/>
  <c r="EH89" i="2"/>
  <c r="DV89" i="2"/>
  <c r="DP89" i="2"/>
  <c r="DP87" i="2"/>
  <c r="DP86" i="2"/>
  <c r="ER89" i="2"/>
  <c r="EF89" i="2"/>
  <c r="DT89" i="2"/>
  <c r="DT85" i="2"/>
  <c r="DQ86" i="2"/>
  <c r="EA85" i="2"/>
  <c r="EI86" i="2"/>
  <c r="EK87" i="2"/>
  <c r="ER84" i="2"/>
  <c r="DU85" i="2"/>
  <c r="EJ86" i="2"/>
  <c r="ES85" i="2"/>
  <c r="EJ85" i="2"/>
  <c r="ED86" i="2"/>
  <c r="EE87" i="2"/>
  <c r="EK85" i="2"/>
  <c r="DS86" i="2"/>
  <c r="DY86" i="2"/>
  <c r="EE86" i="2"/>
  <c r="EK86" i="2"/>
  <c r="DY87" i="2"/>
  <c r="EF87" i="2"/>
  <c r="EC84" i="2"/>
  <c r="EI84" i="2"/>
  <c r="EO84" i="2"/>
  <c r="DX85" i="2"/>
  <c r="EE85" i="2"/>
  <c r="EM85" i="2"/>
  <c r="DN86" i="2"/>
  <c r="DT86" i="2"/>
  <c r="DZ86" i="2"/>
  <c r="EF86" i="2"/>
  <c r="ER86" i="2"/>
  <c r="DS87" i="2"/>
  <c r="DZ87" i="2"/>
  <c r="EH87" i="2"/>
  <c r="DX84" i="2"/>
  <c r="ED84" i="2"/>
  <c r="EJ84" i="2"/>
  <c r="EP84" i="2"/>
  <c r="DY85" i="2"/>
  <c r="EF85" i="2"/>
  <c r="EN85" i="2"/>
  <c r="DO86" i="2"/>
  <c r="DU86" i="2"/>
  <c r="EA86" i="2"/>
  <c r="ES86" i="2"/>
  <c r="DT87" i="2"/>
  <c r="EA87" i="2"/>
  <c r="EP87" i="2"/>
  <c r="DS84" i="2"/>
  <c r="EK84" i="2"/>
  <c r="DZ85" i="2"/>
  <c r="EH85" i="2"/>
  <c r="EO85" i="2"/>
  <c r="DV86" i="2"/>
  <c r="EC87" i="2"/>
  <c r="EJ87" i="2"/>
  <c r="ER87" i="2"/>
  <c r="ER85" i="2"/>
  <c r="DX86" i="2"/>
  <c r="EP86" i="2"/>
  <c r="ED85" i="2"/>
  <c r="DT84" i="2"/>
  <c r="EI85" i="2"/>
  <c r="EP80" i="2"/>
  <c r="EI80" i="2"/>
  <c r="EO80" i="2"/>
  <c r="EM80" i="2"/>
  <c r="DX80" i="2"/>
  <c r="EK81" i="2"/>
  <c r="DS79" i="2"/>
  <c r="EF78" i="2"/>
  <c r="EJ80" i="2"/>
  <c r="EC80" i="2"/>
  <c r="DU79" i="2"/>
  <c r="DT79" i="2"/>
  <c r="DU78" i="2"/>
  <c r="DZ78" i="2"/>
  <c r="ER79" i="2"/>
  <c r="DV81" i="2"/>
  <c r="DO81" i="2"/>
  <c r="EN81" i="2"/>
  <c r="EH78" i="2"/>
  <c r="EA79" i="2"/>
  <c r="DU81" i="2"/>
  <c r="DX79" i="2"/>
  <c r="DP81" i="2"/>
  <c r="DY78" i="2"/>
  <c r="EA78" i="2"/>
  <c r="DX81" i="2"/>
  <c r="ER78" i="2"/>
  <c r="EE78" i="2"/>
  <c r="EM78" i="2"/>
  <c r="EE81" i="2"/>
  <c r="EQ46" i="2"/>
  <c r="EQ83" i="2" s="1"/>
  <c r="EP79" i="2"/>
  <c r="ED81" i="2"/>
  <c r="ES78" i="2"/>
  <c r="ED80" i="2"/>
  <c r="EM81" i="2"/>
  <c r="EC79" i="2"/>
  <c r="EJ79" i="2"/>
  <c r="DW46" i="2"/>
  <c r="DW83" i="2" s="1"/>
  <c r="DV78" i="2"/>
  <c r="EN78" i="2"/>
  <c r="DO79" i="2"/>
  <c r="DV79" i="2"/>
  <c r="ED79" i="2"/>
  <c r="EK79" i="2"/>
  <c r="ES79" i="2"/>
  <c r="DS80" i="2"/>
  <c r="DY80" i="2"/>
  <c r="EE80" i="2"/>
  <c r="EK80" i="2"/>
  <c r="DQ81" i="2"/>
  <c r="DY81" i="2"/>
  <c r="EF81" i="2"/>
  <c r="EC78" i="2"/>
  <c r="EI78" i="2"/>
  <c r="EO78" i="2"/>
  <c r="DP79" i="2"/>
  <c r="EE79" i="2"/>
  <c r="EM79" i="2"/>
  <c r="DN80" i="2"/>
  <c r="DT80" i="2"/>
  <c r="DZ80" i="2"/>
  <c r="EF80" i="2"/>
  <c r="ER80" i="2"/>
  <c r="DS81" i="2"/>
  <c r="DZ81" i="2"/>
  <c r="EH81" i="2"/>
  <c r="EO81" i="2"/>
  <c r="EB46" i="2"/>
  <c r="EB83" i="2" s="1"/>
  <c r="EL46" i="2"/>
  <c r="EL83" i="2" s="1"/>
  <c r="DX78" i="2"/>
  <c r="ED78" i="2"/>
  <c r="EJ78" i="2"/>
  <c r="EP78" i="2"/>
  <c r="DQ79" i="2"/>
  <c r="DY79" i="2"/>
  <c r="EF79" i="2"/>
  <c r="EN79" i="2"/>
  <c r="DO80" i="2"/>
  <c r="DU80" i="2"/>
  <c r="EA80" i="2"/>
  <c r="ES80" i="2"/>
  <c r="DT81" i="2"/>
  <c r="EA81" i="2"/>
  <c r="EI81" i="2"/>
  <c r="EP81" i="2"/>
  <c r="DS78" i="2"/>
  <c r="EK78" i="2"/>
  <c r="DZ79" i="2"/>
  <c r="EH79" i="2"/>
  <c r="EO79" i="2"/>
  <c r="DV80" i="2"/>
  <c r="EH80" i="2"/>
  <c r="EN80" i="2"/>
  <c r="EC81" i="2"/>
  <c r="EJ81" i="2"/>
  <c r="ER81" i="2"/>
  <c r="DR46" i="2"/>
  <c r="DR83" i="2" s="1"/>
  <c r="DR77" i="2"/>
  <c r="DT78" i="2"/>
  <c r="EI79" i="2"/>
  <c r="EG46" i="2"/>
  <c r="EG83" i="2" s="1"/>
  <c r="EG40" i="18"/>
  <c r="EH68" i="2"/>
  <c r="ES68" i="2"/>
  <c r="EM68" i="2"/>
  <c r="DI68" i="2"/>
  <c r="DZ68" i="2"/>
  <c r="DQ68" i="2"/>
  <c r="EN68" i="2"/>
  <c r="DP68" i="2"/>
  <c r="DJ68" i="2"/>
  <c r="EE68" i="2"/>
  <c r="DY68" i="2"/>
  <c r="DS68" i="2"/>
  <c r="EF68" i="2"/>
  <c r="EC68" i="2"/>
  <c r="DK68" i="2"/>
  <c r="DE68" i="2"/>
  <c r="EO68" i="2"/>
  <c r="EP68" i="2"/>
  <c r="EJ68" i="2"/>
  <c r="ED68" i="2"/>
  <c r="DX68" i="2"/>
  <c r="DL68" i="2"/>
  <c r="DF68" i="2"/>
  <c r="EK68" i="2"/>
  <c r="DG68" i="2"/>
  <c r="EI68" i="2"/>
  <c r="DD68" i="2"/>
  <c r="DV68" i="2"/>
  <c r="DO68" i="2"/>
  <c r="EA68" i="2"/>
  <c r="DU68" i="2"/>
  <c r="DT68" i="2"/>
  <c r="DN68" i="2"/>
  <c r="ER68" i="2"/>
  <c r="DI51" i="2"/>
  <c r="EF51" i="2"/>
  <c r="EE50" i="2"/>
  <c r="DZ50" i="2"/>
  <c r="DP51" i="2"/>
  <c r="DV50" i="2"/>
  <c r="DQ51" i="2"/>
  <c r="DN50" i="2"/>
  <c r="DN51" i="2"/>
  <c r="DU51" i="2"/>
  <c r="EH50" i="2"/>
  <c r="EH51" i="2"/>
  <c r="DJ51" i="2"/>
  <c r="DJ50" i="2"/>
  <c r="DP50" i="2"/>
  <c r="ER50" i="2"/>
  <c r="ER51" i="2"/>
  <c r="DT50" i="2"/>
  <c r="DT51" i="2"/>
  <c r="EK51" i="2"/>
  <c r="EK50" i="2"/>
  <c r="DY50" i="2"/>
  <c r="DY51" i="2"/>
  <c r="DG51" i="2"/>
  <c r="DO50" i="2"/>
  <c r="DO51" i="2"/>
  <c r="EN50" i="2"/>
  <c r="EN51" i="2"/>
  <c r="EA50" i="2"/>
  <c r="DZ51" i="2"/>
  <c r="EE51" i="2"/>
  <c r="DS50" i="2"/>
  <c r="DS51" i="2"/>
  <c r="EP51" i="2"/>
  <c r="EP50" i="2"/>
  <c r="EJ51" i="2"/>
  <c r="EJ50" i="2"/>
  <c r="DX50" i="2"/>
  <c r="DX51" i="2"/>
  <c r="DF51" i="2"/>
  <c r="ES50" i="2"/>
  <c r="ES51" i="2"/>
  <c r="DI50" i="2"/>
  <c r="DU50" i="2"/>
  <c r="EF50" i="2"/>
  <c r="EA51" i="2"/>
  <c r="ED50" i="2"/>
  <c r="ED51" i="2"/>
  <c r="DL51" i="2"/>
  <c r="DL50" i="2"/>
  <c r="EO51" i="2"/>
  <c r="EO50" i="2"/>
  <c r="EI50" i="2"/>
  <c r="EI51" i="2"/>
  <c r="EC50" i="2"/>
  <c r="EC51" i="2"/>
  <c r="DQ50" i="2"/>
  <c r="DK51" i="2"/>
  <c r="DK50" i="2"/>
  <c r="EM50" i="2"/>
  <c r="EM51" i="2"/>
  <c r="DE51" i="2"/>
  <c r="DV51" i="2"/>
  <c r="DE29" i="2"/>
  <c r="DE70" i="2" s="1"/>
  <c r="EC21" i="2"/>
  <c r="EC53" i="2" s="1"/>
  <c r="CY21" i="2"/>
  <c r="EM22" i="2"/>
  <c r="DI22" i="2"/>
  <c r="DN21" i="2"/>
  <c r="DN53" i="2" s="1"/>
  <c r="EH23" i="2"/>
  <c r="EH67" i="2" s="1"/>
  <c r="DD23" i="2"/>
  <c r="DD67" i="2" s="1"/>
  <c r="DX22" i="2"/>
  <c r="ED21" i="2"/>
  <c r="ED53" i="2" s="1"/>
  <c r="CZ21" i="2"/>
  <c r="EN22" i="2"/>
  <c r="EK21" i="2"/>
  <c r="EK53" i="2" s="1"/>
  <c r="DZ21" i="2"/>
  <c r="DZ53" i="2" s="1"/>
  <c r="DT21" i="2"/>
  <c r="DT53" i="2" s="1"/>
  <c r="DG21" i="2"/>
  <c r="DG53" i="2" s="1"/>
  <c r="EN23" i="2"/>
  <c r="EN67" i="2" s="1"/>
  <c r="EA23" i="2"/>
  <c r="EA67" i="2" s="1"/>
  <c r="DP23" i="2"/>
  <c r="DP67" i="2" s="1"/>
  <c r="DJ23" i="2"/>
  <c r="DJ67" i="2" s="1"/>
  <c r="EJ22" i="2"/>
  <c r="ED22" i="2"/>
  <c r="DQ22" i="2"/>
  <c r="DF22" i="2"/>
  <c r="CZ22" i="2"/>
  <c r="EE21" i="2"/>
  <c r="EE53" i="2" s="1"/>
  <c r="DY21" i="2"/>
  <c r="DY53" i="2" s="1"/>
  <c r="DS21" i="2"/>
  <c r="DS53" i="2" s="1"/>
  <c r="DL21" i="2"/>
  <c r="DL53" i="2" s="1"/>
  <c r="DA21" i="2"/>
  <c r="EM23" i="2"/>
  <c r="EM67" i="2" s="1"/>
  <c r="EF23" i="2"/>
  <c r="EF67" i="2" s="1"/>
  <c r="DU23" i="2"/>
  <c r="DU67" i="2" s="1"/>
  <c r="DO23" i="2"/>
  <c r="DO67" i="2" s="1"/>
  <c r="DI23" i="2"/>
  <c r="DI67" i="2" s="1"/>
  <c r="DB23" i="2"/>
  <c r="EI22" i="2"/>
  <c r="EC22" i="2"/>
  <c r="DV22" i="2"/>
  <c r="DK22" i="2"/>
  <c r="DE22" i="2"/>
  <c r="CY22" i="2"/>
  <c r="EJ21" i="2"/>
  <c r="EJ53" i="2" s="1"/>
  <c r="DX21" i="2"/>
  <c r="DX53" i="2" s="1"/>
  <c r="DQ21" i="2"/>
  <c r="DQ53" i="2" s="1"/>
  <c r="DF21" i="2"/>
  <c r="DF53" i="2" s="1"/>
  <c r="EK23" i="2"/>
  <c r="EK67" i="2" s="1"/>
  <c r="DZ23" i="2"/>
  <c r="DZ67" i="2" s="1"/>
  <c r="DT23" i="2"/>
  <c r="DT67" i="2" s="1"/>
  <c r="DN23" i="2"/>
  <c r="DN67" i="2" s="1"/>
  <c r="DG23" i="2"/>
  <c r="DG67" i="2" s="1"/>
  <c r="EH22" i="2"/>
  <c r="EA22" i="2"/>
  <c r="DP22" i="2"/>
  <c r="DJ22" i="2"/>
  <c r="DD22" i="2"/>
  <c r="EI21" i="2"/>
  <c r="EI53" i="2" s="1"/>
  <c r="DV21" i="2"/>
  <c r="DV53" i="2" s="1"/>
  <c r="DK21" i="2"/>
  <c r="DK53" i="2" s="1"/>
  <c r="DE21" i="2"/>
  <c r="DE53" i="2" s="1"/>
  <c r="EE23" i="2"/>
  <c r="EE67" i="2" s="1"/>
  <c r="DY23" i="2"/>
  <c r="DY67" i="2" s="1"/>
  <c r="DS23" i="2"/>
  <c r="DS67" i="2" s="1"/>
  <c r="DL23" i="2"/>
  <c r="DL67" i="2" s="1"/>
  <c r="DA23" i="2"/>
  <c r="EF22" i="2"/>
  <c r="DU22" i="2"/>
  <c r="DO22" i="2"/>
  <c r="DB22" i="2"/>
  <c r="EN21" i="2"/>
  <c r="EN53" i="2" s="1"/>
  <c r="EH21" i="2"/>
  <c r="EH53" i="2" s="1"/>
  <c r="EA21" i="2"/>
  <c r="EA53" i="2" s="1"/>
  <c r="DP21" i="2"/>
  <c r="DP53" i="2" s="1"/>
  <c r="DJ21" i="2"/>
  <c r="DJ53" i="2" s="1"/>
  <c r="DD21" i="2"/>
  <c r="DD53" i="2" s="1"/>
  <c r="EJ23" i="2"/>
  <c r="EJ67" i="2" s="1"/>
  <c r="ED23" i="2"/>
  <c r="ED67" i="2" s="1"/>
  <c r="DX23" i="2"/>
  <c r="DX67" i="2" s="1"/>
  <c r="DQ23" i="2"/>
  <c r="DQ67" i="2" s="1"/>
  <c r="DF23" i="2"/>
  <c r="DF67" i="2" s="1"/>
  <c r="CZ23" i="2"/>
  <c r="EK22" i="2"/>
  <c r="DZ22" i="2"/>
  <c r="DT22" i="2"/>
  <c r="DN22" i="2"/>
  <c r="DG22" i="2"/>
  <c r="EM21" i="2"/>
  <c r="EM53" i="2" s="1"/>
  <c r="EF21" i="2"/>
  <c r="EF53" i="2" s="1"/>
  <c r="DU21" i="2"/>
  <c r="DU53" i="2" s="1"/>
  <c r="DO21" i="2"/>
  <c r="DO53" i="2" s="1"/>
  <c r="DI21" i="2"/>
  <c r="DI53" i="2" s="1"/>
  <c r="DB21" i="2"/>
  <c r="EI23" i="2"/>
  <c r="EI67" i="2" s="1"/>
  <c r="EC23" i="2"/>
  <c r="EC67" i="2" s="1"/>
  <c r="DV23" i="2"/>
  <c r="DV67" i="2" s="1"/>
  <c r="DK23" i="2"/>
  <c r="DK67" i="2" s="1"/>
  <c r="DE23" i="2"/>
  <c r="DE67" i="2" s="1"/>
  <c r="CY23" i="2"/>
  <c r="EE22" i="2"/>
  <c r="DY22" i="2"/>
  <c r="DS22" i="2"/>
  <c r="DL22" i="2"/>
  <c r="DA22" i="2"/>
  <c r="EO29" i="2"/>
  <c r="EO70" i="2" s="1"/>
  <c r="EI29" i="2"/>
  <c r="EI70" i="2" s="1"/>
  <c r="EC29" i="2"/>
  <c r="EC70" i="2" s="1"/>
  <c r="EN29" i="2"/>
  <c r="EN70" i="2" s="1"/>
  <c r="DJ29" i="2"/>
  <c r="DJ70" i="2" s="1"/>
  <c r="DD29" i="2"/>
  <c r="DD70" i="2" s="1"/>
  <c r="ES29" i="2"/>
  <c r="ES70" i="2" s="1"/>
  <c r="EX71" i="2" s="1"/>
  <c r="EM29" i="2"/>
  <c r="EM70" i="2" s="1"/>
  <c r="EA29" i="2"/>
  <c r="EA70" i="2" s="1"/>
  <c r="DU29" i="2"/>
  <c r="DU70" i="2" s="1"/>
  <c r="DO29" i="2"/>
  <c r="DO70" i="2" s="1"/>
  <c r="DI29" i="2"/>
  <c r="DI70" i="2" s="1"/>
  <c r="DQ29" i="2"/>
  <c r="DQ70" i="2" s="1"/>
  <c r="EH29" i="2"/>
  <c r="EH70" i="2" s="1"/>
  <c r="DV29" i="2"/>
  <c r="DV70" i="2" s="1"/>
  <c r="DP29" i="2"/>
  <c r="DP70" i="2" s="1"/>
  <c r="ER15" i="2"/>
  <c r="EF15" i="2"/>
  <c r="DZ15" i="2"/>
  <c r="DT15" i="2"/>
  <c r="DN15" i="2"/>
  <c r="DB15" i="2"/>
  <c r="DK29" i="2"/>
  <c r="DK70" i="2" s="1"/>
  <c r="EO15" i="2"/>
  <c r="EI15" i="2"/>
  <c r="EC15" i="2"/>
  <c r="DQ15" i="2"/>
  <c r="DK15" i="2"/>
  <c r="DE15" i="2"/>
  <c r="DE54" i="2" s="1"/>
  <c r="CY15" i="2"/>
  <c r="EK29" i="2"/>
  <c r="EK70" i="2" s="1"/>
  <c r="EE29" i="2"/>
  <c r="EE70" i="2" s="1"/>
  <c r="DY29" i="2"/>
  <c r="DY70" i="2" s="1"/>
  <c r="DS29" i="2"/>
  <c r="DS70" i="2" s="1"/>
  <c r="DG29" i="2"/>
  <c r="DG70" i="2" s="1"/>
  <c r="EP29" i="2"/>
  <c r="EP70" i="2" s="1"/>
  <c r="EU71" i="2" s="1"/>
  <c r="EJ29" i="2"/>
  <c r="EJ70" i="2" s="1"/>
  <c r="ED29" i="2"/>
  <c r="ED70" i="2" s="1"/>
  <c r="DX29" i="2"/>
  <c r="DX70" i="2" s="1"/>
  <c r="DL29" i="2"/>
  <c r="DL70" i="2" s="1"/>
  <c r="DF29" i="2"/>
  <c r="DF70" i="2" s="1"/>
  <c r="ES15" i="2"/>
  <c r="EM15" i="2"/>
  <c r="EA15" i="2"/>
  <c r="DU15" i="2"/>
  <c r="DO15" i="2"/>
  <c r="DI15" i="2"/>
  <c r="ER29" i="2"/>
  <c r="ER70" i="2" s="1"/>
  <c r="EW71" i="2" s="1"/>
  <c r="EF29" i="2"/>
  <c r="EF70" i="2" s="1"/>
  <c r="DZ29" i="2"/>
  <c r="DZ70" i="2" s="1"/>
  <c r="DT29" i="2"/>
  <c r="DT70" i="2" s="1"/>
  <c r="DN29" i="2"/>
  <c r="DN70" i="2" s="1"/>
  <c r="EP15" i="2"/>
  <c r="EJ15" i="2"/>
  <c r="ED15" i="2"/>
  <c r="DX15" i="2"/>
  <c r="DL15" i="2"/>
  <c r="DF15" i="2"/>
  <c r="DF54" i="2" s="1"/>
  <c r="EK15" i="2"/>
  <c r="EK120" i="2" s="1"/>
  <c r="EE15" i="2"/>
  <c r="EE120" i="2" s="1"/>
  <c r="DY15" i="2"/>
  <c r="DY120" i="2" s="1"/>
  <c r="DS15" i="2"/>
  <c r="DS120" i="2" s="1"/>
  <c r="DG15" i="2"/>
  <c r="DG54" i="2" s="1"/>
  <c r="DA15" i="2"/>
  <c r="EN15" i="2"/>
  <c r="EH15" i="2"/>
  <c r="DV15" i="2"/>
  <c r="DP15" i="2"/>
  <c r="DJ15" i="2"/>
  <c r="DD15" i="2"/>
  <c r="DD54" i="2" s="1"/>
  <c r="CZ15" i="2"/>
  <c r="EE92" i="2" l="1"/>
  <c r="EQ78" i="2"/>
  <c r="DY95" i="2"/>
  <c r="EE93" i="2"/>
  <c r="DZ94" i="2"/>
  <c r="ES92" i="2"/>
  <c r="EN94" i="2"/>
  <c r="DZ92" i="2"/>
  <c r="EE96" i="2"/>
  <c r="EN92" i="2"/>
  <c r="EG80" i="2"/>
  <c r="EK92" i="2"/>
  <c r="DX93" i="2"/>
  <c r="DV94" i="2"/>
  <c r="EL80" i="2"/>
  <c r="DU93" i="2"/>
  <c r="EB78" i="2"/>
  <c r="EM92" i="2"/>
  <c r="EG78" i="2"/>
  <c r="EB80" i="2"/>
  <c r="EA94" i="2"/>
  <c r="EM95" i="2"/>
  <c r="ET95" i="2"/>
  <c r="EX92" i="2"/>
  <c r="EX94" i="2"/>
  <c r="ET94" i="2"/>
  <c r="ER96" i="2"/>
  <c r="EW94" i="2"/>
  <c r="EW92" i="2"/>
  <c r="EO93" i="2"/>
  <c r="EE95" i="2"/>
  <c r="EO92" i="2"/>
  <c r="EL78" i="2"/>
  <c r="EQ80" i="2"/>
  <c r="EV78" i="2"/>
  <c r="DX94" i="2"/>
  <c r="EA92" i="2"/>
  <c r="EH92" i="2"/>
  <c r="ES95" i="2"/>
  <c r="DX92" i="2"/>
  <c r="EC93" i="2"/>
  <c r="EN95" i="2"/>
  <c r="DX96" i="2"/>
  <c r="ED94" i="2"/>
  <c r="EF92" i="2"/>
  <c r="EO95" i="2"/>
  <c r="ED92" i="2"/>
  <c r="DX95" i="2"/>
  <c r="ES94" i="2"/>
  <c r="DS95" i="2"/>
  <c r="ES93" i="2"/>
  <c r="ES96" i="2"/>
  <c r="EC95" i="2"/>
  <c r="EC92" i="2"/>
  <c r="ED95" i="2"/>
  <c r="EH94" i="2"/>
  <c r="ED93" i="2"/>
  <c r="EC94" i="2"/>
  <c r="ET93" i="2"/>
  <c r="DZ93" i="2"/>
  <c r="DV93" i="2"/>
  <c r="DT95" i="2"/>
  <c r="EI92" i="2"/>
  <c r="DS96" i="2"/>
  <c r="DZ96" i="2"/>
  <c r="EJ92" i="2"/>
  <c r="ET92" i="2"/>
  <c r="ER93" i="2"/>
  <c r="EP94" i="2"/>
  <c r="EU94" i="2"/>
  <c r="EI93" i="2"/>
  <c r="ER95" i="2"/>
  <c r="DY92" i="2"/>
  <c r="EN93" i="2"/>
  <c r="EM93" i="2"/>
  <c r="EE94" i="2"/>
  <c r="EI96" i="2"/>
  <c r="DT96" i="2"/>
  <c r="EU92" i="2"/>
  <c r="EA93" i="2"/>
  <c r="EP95" i="2"/>
  <c r="EH95" i="2"/>
  <c r="EO94" i="2"/>
  <c r="EP96" i="2"/>
  <c r="EI94" i="2"/>
  <c r="DY94" i="2"/>
  <c r="EJ93" i="2"/>
  <c r="DT93" i="2"/>
  <c r="EH93" i="2"/>
  <c r="EI95" i="2"/>
  <c r="ER94" i="2"/>
  <c r="EK94" i="2"/>
  <c r="EJ94" i="2"/>
  <c r="EJ96" i="2"/>
  <c r="EA95" i="2"/>
  <c r="DU96" i="2"/>
  <c r="EP93" i="2"/>
  <c r="EK95" i="2"/>
  <c r="EJ95" i="2"/>
  <c r="EF93" i="2"/>
  <c r="DZ95" i="2"/>
  <c r="EK93" i="2"/>
  <c r="DV95" i="2"/>
  <c r="ER92" i="2"/>
  <c r="DU95" i="2"/>
  <c r="EF94" i="2"/>
  <c r="EM94" i="2"/>
  <c r="EV84" i="2"/>
  <c r="EV86" i="2"/>
  <c r="EO112" i="29"/>
  <c r="EO115" i="29" s="1"/>
  <c r="ET72" i="2"/>
  <c r="ET71" i="2"/>
  <c r="DJ35" i="2"/>
  <c r="DJ120" i="2"/>
  <c r="DL35" i="2"/>
  <c r="DL120" i="2"/>
  <c r="DI35" i="2"/>
  <c r="DI120" i="2"/>
  <c r="DK35" i="2"/>
  <c r="DK120" i="2"/>
  <c r="DU35" i="2"/>
  <c r="DU120" i="2"/>
  <c r="EA35" i="2"/>
  <c r="EA120" i="2"/>
  <c r="EO35" i="2"/>
  <c r="EO120" i="2"/>
  <c r="EN35" i="2"/>
  <c r="EN120" i="2"/>
  <c r="EP35" i="2"/>
  <c r="EP120" i="2"/>
  <c r="DO35" i="2"/>
  <c r="DO120" i="2"/>
  <c r="DQ35" i="2"/>
  <c r="DQ120" i="2"/>
  <c r="DN35" i="2"/>
  <c r="DN120" i="2"/>
  <c r="EI35" i="2"/>
  <c r="EI120" i="2"/>
  <c r="DZ35" i="2"/>
  <c r="DZ120" i="2"/>
  <c r="DP35" i="2"/>
  <c r="DP120" i="2"/>
  <c r="EM35" i="2"/>
  <c r="EM120" i="2"/>
  <c r="DV35" i="2"/>
  <c r="DV120" i="2"/>
  <c r="ED18" i="2"/>
  <c r="ED120" i="2"/>
  <c r="ES35" i="2"/>
  <c r="ES120" i="2"/>
  <c r="EF35" i="2"/>
  <c r="EF120" i="2"/>
  <c r="EC35" i="2"/>
  <c r="EC120" i="2"/>
  <c r="DT18" i="2"/>
  <c r="DT120" i="2"/>
  <c r="DX35" i="2"/>
  <c r="DX120" i="2"/>
  <c r="EH35" i="2"/>
  <c r="EH120" i="2"/>
  <c r="EJ35" i="2"/>
  <c r="EJ120" i="2"/>
  <c r="ER35" i="2"/>
  <c r="ER120" i="2"/>
  <c r="FL23" i="8"/>
  <c r="FJ22" i="8"/>
  <c r="FJ42" i="6" s="1"/>
  <c r="FK23" i="8"/>
  <c r="DR80" i="2"/>
  <c r="DR86" i="2"/>
  <c r="EN111" i="29"/>
  <c r="EN127" i="29"/>
  <c r="EN128" i="29" s="1"/>
  <c r="EO127" i="29"/>
  <c r="EO128" i="29" s="1"/>
  <c r="CT144" i="14"/>
  <c r="DW84" i="2"/>
  <c r="EG89" i="2"/>
  <c r="EG86" i="2"/>
  <c r="EG84" i="2"/>
  <c r="EQ84" i="2"/>
  <c r="EQ89" i="2"/>
  <c r="EQ86" i="2"/>
  <c r="EB86" i="2"/>
  <c r="EB84" i="2"/>
  <c r="EB89" i="2"/>
  <c r="EL86" i="2"/>
  <c r="EL84" i="2"/>
  <c r="EL89" i="2"/>
  <c r="DR89" i="2"/>
  <c r="DW89" i="2"/>
  <c r="DW86" i="2"/>
  <c r="DW78" i="2"/>
  <c r="DW80" i="2"/>
  <c r="DX18" i="2"/>
  <c r="DG18" i="2"/>
  <c r="DJ18" i="2"/>
  <c r="DK18" i="2"/>
  <c r="EM18" i="2"/>
  <c r="DP18" i="2"/>
  <c r="EJ18" i="2"/>
  <c r="DQ18" i="2"/>
  <c r="ER18" i="2"/>
  <c r="DI18" i="2"/>
  <c r="ES18" i="2"/>
  <c r="DV18" i="2"/>
  <c r="EP18" i="2"/>
  <c r="DN18" i="2"/>
  <c r="DO18" i="2"/>
  <c r="EC18" i="2"/>
  <c r="DL18" i="2"/>
  <c r="DU18" i="2"/>
  <c r="EK35" i="2"/>
  <c r="EK18" i="2"/>
  <c r="DS35" i="2"/>
  <c r="DS18" i="2"/>
  <c r="DY35" i="2"/>
  <c r="DY18" i="2"/>
  <c r="EH18" i="2"/>
  <c r="EI18" i="2"/>
  <c r="DZ18" i="2"/>
  <c r="EA18" i="2"/>
  <c r="EE35" i="2"/>
  <c r="EE18" i="2"/>
  <c r="EN18" i="2"/>
  <c r="EO18" i="2"/>
  <c r="EF18" i="2"/>
  <c r="DI71" i="2"/>
  <c r="DL71" i="2"/>
  <c r="EM72" i="2"/>
  <c r="DT71" i="2"/>
  <c r="ED72" i="2"/>
  <c r="DY72" i="2"/>
  <c r="DU72" i="2"/>
  <c r="EN72" i="2"/>
  <c r="EC72" i="2"/>
  <c r="ES72" i="2"/>
  <c r="EF72" i="2"/>
  <c r="DX72" i="2"/>
  <c r="DS72" i="2"/>
  <c r="DK71" i="2"/>
  <c r="EH71" i="2"/>
  <c r="DO72" i="2"/>
  <c r="ER74" i="2"/>
  <c r="EJ74" i="2"/>
  <c r="EE74" i="2"/>
  <c r="EA74" i="2"/>
  <c r="EI74" i="2"/>
  <c r="DE74" i="2"/>
  <c r="EH72" i="2"/>
  <c r="EJ71" i="2"/>
  <c r="DO71" i="2"/>
  <c r="EF71" i="2"/>
  <c r="DN74" i="2"/>
  <c r="DF74" i="2"/>
  <c r="EP74" i="2"/>
  <c r="EK74" i="2"/>
  <c r="DP74" i="2"/>
  <c r="EO74" i="2"/>
  <c r="EI72" i="2"/>
  <c r="EK71" i="2"/>
  <c r="EP72" i="2"/>
  <c r="DF72" i="2"/>
  <c r="DT74" i="2"/>
  <c r="DL74" i="2"/>
  <c r="DG72" i="2"/>
  <c r="DG74" i="2"/>
  <c r="DQ74" i="2"/>
  <c r="EM74" i="2"/>
  <c r="DP71" i="2"/>
  <c r="EN71" i="2"/>
  <c r="DK72" i="2"/>
  <c r="EI71" i="2"/>
  <c r="EM71" i="2"/>
  <c r="DS71" i="2"/>
  <c r="DX71" i="2"/>
  <c r="EP71" i="2"/>
  <c r="EE71" i="2"/>
  <c r="DN71" i="2"/>
  <c r="ER71" i="2"/>
  <c r="DZ74" i="2"/>
  <c r="DV74" i="2"/>
  <c r="DI74" i="2"/>
  <c r="DI72" i="2"/>
  <c r="ES74" i="2"/>
  <c r="DD74" i="2"/>
  <c r="DV71" i="2"/>
  <c r="EO72" i="2"/>
  <c r="DU71" i="2"/>
  <c r="DT72" i="2"/>
  <c r="ED71" i="2"/>
  <c r="EA71" i="2"/>
  <c r="DN72" i="2"/>
  <c r="ER72" i="2"/>
  <c r="DE72" i="2"/>
  <c r="EF74" i="2"/>
  <c r="DX74" i="2"/>
  <c r="DS74" i="2"/>
  <c r="DK74" i="2"/>
  <c r="EH74" i="2"/>
  <c r="DO74" i="2"/>
  <c r="DJ74" i="2"/>
  <c r="DV72" i="2"/>
  <c r="EO71" i="2"/>
  <c r="DJ72" i="2"/>
  <c r="EK72" i="2"/>
  <c r="EA72" i="2"/>
  <c r="DZ71" i="2"/>
  <c r="DJ71" i="2"/>
  <c r="EE72" i="2"/>
  <c r="ED74" i="2"/>
  <c r="DY74" i="2"/>
  <c r="DU74" i="2"/>
  <c r="EN74" i="2"/>
  <c r="EC74" i="2"/>
  <c r="DY71" i="2"/>
  <c r="EC71" i="2"/>
  <c r="DQ72" i="2"/>
  <c r="DQ71" i="2"/>
  <c r="DL72" i="2"/>
  <c r="EJ72" i="2"/>
  <c r="ES71" i="2"/>
  <c r="DZ72" i="2"/>
  <c r="DP72" i="2"/>
  <c r="DF60" i="2"/>
  <c r="DF61" i="2"/>
  <c r="EA60" i="2"/>
  <c r="EA61" i="2"/>
  <c r="DO60" i="2"/>
  <c r="DO61" i="2"/>
  <c r="DV60" i="2"/>
  <c r="DV61" i="2"/>
  <c r="DX61" i="2"/>
  <c r="DX60" i="2"/>
  <c r="ED60" i="2"/>
  <c r="ED61" i="2"/>
  <c r="DY59" i="2"/>
  <c r="DY60" i="2"/>
  <c r="DY61" i="2"/>
  <c r="DT59" i="2"/>
  <c r="DT60" i="2"/>
  <c r="DT61" i="2"/>
  <c r="EF57" i="2"/>
  <c r="EF61" i="2"/>
  <c r="EF60" i="2"/>
  <c r="DD59" i="2"/>
  <c r="EI58" i="2"/>
  <c r="EI60" i="2"/>
  <c r="EI61" i="2"/>
  <c r="EJ60" i="2"/>
  <c r="EJ61" i="2"/>
  <c r="EN61" i="2"/>
  <c r="EN60" i="2"/>
  <c r="EM61" i="2"/>
  <c r="EM60" i="2"/>
  <c r="DL60" i="2"/>
  <c r="DL61" i="2"/>
  <c r="DG61" i="2"/>
  <c r="DG60" i="2"/>
  <c r="DQ60" i="2"/>
  <c r="DQ61" i="2"/>
  <c r="DS57" i="2"/>
  <c r="DS60" i="2"/>
  <c r="DS61" i="2"/>
  <c r="DU60" i="2"/>
  <c r="DU61" i="2"/>
  <c r="EC60" i="2"/>
  <c r="EC61" i="2"/>
  <c r="EE61" i="2"/>
  <c r="EE60" i="2"/>
  <c r="DZ60" i="2"/>
  <c r="DZ61" i="2"/>
  <c r="DK60" i="2"/>
  <c r="DK61" i="2"/>
  <c r="EH58" i="2"/>
  <c r="EH60" i="2"/>
  <c r="EH61" i="2"/>
  <c r="DN57" i="2"/>
  <c r="DN60" i="2"/>
  <c r="DN61" i="2"/>
  <c r="DI61" i="2"/>
  <c r="DI60" i="2"/>
  <c r="EK60" i="2"/>
  <c r="EK61" i="2"/>
  <c r="DP61" i="2"/>
  <c r="DP60" i="2"/>
  <c r="EE59" i="2"/>
  <c r="DZ59" i="2"/>
  <c r="DV52" i="2"/>
  <c r="EK57" i="2"/>
  <c r="DP58" i="2"/>
  <c r="EN57" i="2"/>
  <c r="DI54" i="2"/>
  <c r="DS52" i="2"/>
  <c r="EJ52" i="2"/>
  <c r="DL52" i="2"/>
  <c r="EJ58" i="2"/>
  <c r="DZ57" i="2"/>
  <c r="DU59" i="2"/>
  <c r="EC57" i="2"/>
  <c r="EI54" i="2"/>
  <c r="DO58" i="2"/>
  <c r="DT57" i="2"/>
  <c r="DV58" i="2"/>
  <c r="DN52" i="2"/>
  <c r="DY66" i="2"/>
  <c r="DY65" i="2"/>
  <c r="DY64" i="2"/>
  <c r="ED65" i="2"/>
  <c r="EC52" i="2"/>
  <c r="DU57" i="2"/>
  <c r="ER66" i="2"/>
  <c r="ER65" i="2"/>
  <c r="ER64" i="2"/>
  <c r="EI52" i="2"/>
  <c r="DK59" i="2"/>
  <c r="DF65" i="2"/>
  <c r="DE52" i="2"/>
  <c r="EP54" i="2"/>
  <c r="ER54" i="2"/>
  <c r="DP54" i="2"/>
  <c r="EA59" i="2"/>
  <c r="ED57" i="2"/>
  <c r="EI57" i="2"/>
  <c r="EE57" i="2"/>
  <c r="EA58" i="2"/>
  <c r="DZ58" i="2"/>
  <c r="DY52" i="2"/>
  <c r="DT52" i="2"/>
  <c r="EA52" i="2"/>
  <c r="EH52" i="2"/>
  <c r="ED52" i="2"/>
  <c r="DU52" i="2"/>
  <c r="EJ64" i="2"/>
  <c r="EJ65" i="2"/>
  <c r="EJ66" i="2"/>
  <c r="EE66" i="2"/>
  <c r="EE65" i="2"/>
  <c r="EE64" i="2"/>
  <c r="EA66" i="2"/>
  <c r="EA65" i="2"/>
  <c r="EA64" i="2"/>
  <c r="DN66" i="2"/>
  <c r="DN65" i="2"/>
  <c r="DN64" i="2"/>
  <c r="DF66" i="2"/>
  <c r="EP64" i="2"/>
  <c r="EP66" i="2"/>
  <c r="EK65" i="2"/>
  <c r="EK64" i="2"/>
  <c r="EK66" i="2"/>
  <c r="DP66" i="2"/>
  <c r="DP65" i="2"/>
  <c r="EO52" i="2"/>
  <c r="DL57" i="2"/>
  <c r="DL59" i="2"/>
  <c r="DG58" i="2"/>
  <c r="DV59" i="2"/>
  <c r="DQ59" i="2"/>
  <c r="DX58" i="2"/>
  <c r="DX57" i="2"/>
  <c r="DX59" i="2"/>
  <c r="DQ54" i="2"/>
  <c r="EJ54" i="2"/>
  <c r="EF59" i="2"/>
  <c r="DT58" i="2"/>
  <c r="EN59" i="2"/>
  <c r="DF59" i="2"/>
  <c r="EF52" i="2"/>
  <c r="EE52" i="2"/>
  <c r="DZ52" i="2"/>
  <c r="EN52" i="2"/>
  <c r="EP52" i="2"/>
  <c r="EK59" i="2"/>
  <c r="DT66" i="2"/>
  <c r="DT65" i="2"/>
  <c r="DT64" i="2"/>
  <c r="DQ52" i="2"/>
  <c r="EM66" i="2"/>
  <c r="EM65" i="2"/>
  <c r="EM64" i="2"/>
  <c r="DS58" i="2"/>
  <c r="EC59" i="2"/>
  <c r="EE58" i="2"/>
  <c r="ED58" i="2"/>
  <c r="DI58" i="2"/>
  <c r="DO59" i="2"/>
  <c r="EC58" i="2"/>
  <c r="DQ57" i="2"/>
  <c r="DS59" i="2"/>
  <c r="DL58" i="2"/>
  <c r="EF58" i="2"/>
  <c r="EH57" i="2"/>
  <c r="DO52" i="2"/>
  <c r="DD52" i="2"/>
  <c r="ED64" i="2"/>
  <c r="ED66" i="2"/>
  <c r="DU66" i="2"/>
  <c r="DU65" i="2"/>
  <c r="DU64" i="2"/>
  <c r="DP57" i="2"/>
  <c r="DV65" i="2"/>
  <c r="DV66" i="2"/>
  <c r="DV64" i="2"/>
  <c r="DY58" i="2"/>
  <c r="DY57" i="2"/>
  <c r="EI59" i="2"/>
  <c r="EK58" i="2"/>
  <c r="EJ57" i="2"/>
  <c r="EJ59" i="2"/>
  <c r="EM58" i="2"/>
  <c r="DS54" i="2"/>
  <c r="DI59" i="2"/>
  <c r="DU58" i="2"/>
  <c r="DK57" i="2"/>
  <c r="DV57" i="2"/>
  <c r="EM57" i="2"/>
  <c r="ED59" i="2"/>
  <c r="DP59" i="2"/>
  <c r="EK52" i="2"/>
  <c r="ER52" i="2"/>
  <c r="DF52" i="2"/>
  <c r="EM52" i="2"/>
  <c r="DJ52" i="2"/>
  <c r="EN66" i="2"/>
  <c r="EN64" i="2"/>
  <c r="EN65" i="2"/>
  <c r="DL64" i="2"/>
  <c r="DL66" i="2"/>
  <c r="DG65" i="2"/>
  <c r="DG66" i="2"/>
  <c r="DZ66" i="2"/>
  <c r="DZ65" i="2"/>
  <c r="DZ64" i="2"/>
  <c r="DI66" i="2"/>
  <c r="DI65" i="2"/>
  <c r="DI64" i="2"/>
  <c r="ES66" i="2"/>
  <c r="ES65" i="2"/>
  <c r="ES64" i="2"/>
  <c r="DD66" i="2"/>
  <c r="EF66" i="2"/>
  <c r="EF65" i="2"/>
  <c r="EF64" i="2"/>
  <c r="DX64" i="2"/>
  <c r="DX65" i="2"/>
  <c r="DX66" i="2"/>
  <c r="DS66" i="2"/>
  <c r="DS65" i="2"/>
  <c r="DS64" i="2"/>
  <c r="DK52" i="2"/>
  <c r="EH64" i="2"/>
  <c r="EH65" i="2"/>
  <c r="EH66" i="2"/>
  <c r="DO66" i="2"/>
  <c r="DO65" i="2"/>
  <c r="DO64" i="2"/>
  <c r="DJ66" i="2"/>
  <c r="DJ64" i="2"/>
  <c r="DJ65" i="2"/>
  <c r="DY54" i="2"/>
  <c r="DO54" i="2"/>
  <c r="EM59" i="2"/>
  <c r="DN59" i="2"/>
  <c r="DN58" i="2"/>
  <c r="EN58" i="2"/>
  <c r="DG59" i="2"/>
  <c r="EA57" i="2"/>
  <c r="DQ58" i="2"/>
  <c r="EH59" i="2"/>
  <c r="DG52" i="2"/>
  <c r="DX52" i="2"/>
  <c r="DI52" i="2"/>
  <c r="ES52" i="2"/>
  <c r="DP52" i="2"/>
  <c r="ED35" i="2"/>
  <c r="ED54" i="2"/>
  <c r="DT35" i="2"/>
  <c r="DT54" i="2"/>
  <c r="EA54" i="2"/>
  <c r="DJ54" i="2"/>
  <c r="EM54" i="2"/>
  <c r="DL54" i="2"/>
  <c r="ES54" i="2"/>
  <c r="EN54" i="2"/>
  <c r="EK54" i="2"/>
  <c r="EH54" i="2"/>
  <c r="DK54" i="2"/>
  <c r="EE54" i="2"/>
  <c r="DZ54" i="2"/>
  <c r="EC54" i="2"/>
  <c r="DX54" i="2"/>
  <c r="DU54" i="2"/>
  <c r="DV54" i="2"/>
  <c r="EO54" i="2"/>
  <c r="EF54" i="2"/>
  <c r="DN54" i="2"/>
  <c r="DU24" i="2"/>
  <c r="EF24" i="2"/>
  <c r="DO24" i="2"/>
  <c r="DF24" i="2"/>
  <c r="DF73" i="2" s="1"/>
  <c r="CY24" i="2"/>
  <c r="DP24" i="2"/>
  <c r="EE24" i="2"/>
  <c r="DE24" i="2"/>
  <c r="DE73" i="2" s="1"/>
  <c r="DX24" i="2"/>
  <c r="DK24" i="2"/>
  <c r="DK73" i="2" s="1"/>
  <c r="EK24" i="2"/>
  <c r="DA24" i="2"/>
  <c r="DG24" i="2"/>
  <c r="DG73" i="2" s="1"/>
  <c r="EA24" i="2"/>
  <c r="DV24" i="2"/>
  <c r="DN24" i="2"/>
  <c r="EH24" i="2"/>
  <c r="DL24" i="2"/>
  <c r="DL73" i="2" s="1"/>
  <c r="DB24" i="2"/>
  <c r="ED24" i="2"/>
  <c r="EC24" i="2"/>
  <c r="DT24" i="2"/>
  <c r="EN24" i="2"/>
  <c r="DQ24" i="2"/>
  <c r="EM24" i="2"/>
  <c r="DD24" i="2"/>
  <c r="DD73" i="2" s="1"/>
  <c r="DS24" i="2"/>
  <c r="DI24" i="2"/>
  <c r="DI73" i="2" s="1"/>
  <c r="CZ24" i="2"/>
  <c r="EJ24" i="2"/>
  <c r="EI24" i="2"/>
  <c r="DZ24" i="2"/>
  <c r="DJ24" i="2"/>
  <c r="DJ73" i="2" s="1"/>
  <c r="DY24" i="2"/>
  <c r="FK42" i="6" l="1"/>
  <c r="EN112" i="29"/>
  <c r="EN115" i="29" s="1"/>
  <c r="EO131" i="29"/>
  <c r="EN131" i="29"/>
  <c r="FK22" i="8"/>
  <c r="FM23" i="8"/>
  <c r="FL22" i="8"/>
  <c r="FL42" i="6" s="1"/>
  <c r="CO144" i="14"/>
  <c r="DZ73" i="2"/>
  <c r="DZ88" i="2"/>
  <c r="EM73" i="2"/>
  <c r="EM88" i="2"/>
  <c r="EC73" i="2"/>
  <c r="EC88" i="2"/>
  <c r="EN73" i="2"/>
  <c r="EN88" i="2"/>
  <c r="DO73" i="2"/>
  <c r="DO88" i="2"/>
  <c r="DX73" i="2"/>
  <c r="DX88" i="2"/>
  <c r="EF73" i="2"/>
  <c r="EF88" i="2"/>
  <c r="DQ73" i="2"/>
  <c r="DQ88" i="2"/>
  <c r="EH73" i="2"/>
  <c r="EH88" i="2"/>
  <c r="EI73" i="2"/>
  <c r="EI88" i="2"/>
  <c r="DP73" i="2"/>
  <c r="DP88" i="2"/>
  <c r="DT73" i="2"/>
  <c r="DT88" i="2"/>
  <c r="DV73" i="2"/>
  <c r="DV88" i="2"/>
  <c r="DS73" i="2"/>
  <c r="DS88" i="2"/>
  <c r="ED73" i="2"/>
  <c r="ED88" i="2"/>
  <c r="EE73" i="2"/>
  <c r="EE88" i="2"/>
  <c r="DU73" i="2"/>
  <c r="DU88" i="2"/>
  <c r="DY73" i="2"/>
  <c r="DY88" i="2"/>
  <c r="EJ73" i="2"/>
  <c r="EJ88" i="2"/>
  <c r="DN73" i="2"/>
  <c r="DN88" i="2"/>
  <c r="EA73" i="2"/>
  <c r="EA88" i="2"/>
  <c r="EK73" i="2"/>
  <c r="EK88" i="2"/>
  <c r="DJ59" i="2"/>
  <c r="DK58" i="2"/>
  <c r="DJ58" i="2"/>
  <c r="DF58" i="2"/>
  <c r="DE59" i="2"/>
  <c r="DI57" i="2"/>
  <c r="DE58" i="2"/>
  <c r="DO57" i="2"/>
  <c r="DJ57" i="2"/>
  <c r="DE61" i="2"/>
  <c r="DE60" i="2"/>
  <c r="DD61" i="2"/>
  <c r="DD60" i="2"/>
  <c r="DJ61" i="2"/>
  <c r="DJ60" i="2"/>
  <c r="EO64" i="2"/>
  <c r="EO65" i="2"/>
  <c r="EO66" i="2"/>
  <c r="EP65" i="2"/>
  <c r="DE65" i="2"/>
  <c r="DE66" i="2"/>
  <c r="DK64" i="2"/>
  <c r="DK65" i="2"/>
  <c r="DK66" i="2"/>
  <c r="DL65" i="2"/>
  <c r="DQ64" i="2"/>
  <c r="DQ66" i="2"/>
  <c r="DQ65" i="2"/>
  <c r="EC65" i="2"/>
  <c r="EC64" i="2"/>
  <c r="EC66" i="2"/>
  <c r="DP64" i="2"/>
  <c r="EI64" i="2"/>
  <c r="EI65" i="2"/>
  <c r="EI66" i="2"/>
  <c r="FN23" i="8" l="1"/>
  <c r="FM22" i="8"/>
  <c r="FM42" i="6" s="1"/>
  <c r="FO23" i="8" l="1"/>
  <c r="FP23" i="8" s="1"/>
  <c r="FN22" i="8"/>
  <c r="FN42" i="6" s="1"/>
  <c r="AG112" i="3"/>
  <c r="DL48" i="5"/>
  <c r="DK48" i="5"/>
  <c r="DJ48" i="5"/>
  <c r="DI48" i="5"/>
  <c r="FQ23" i="8" l="1"/>
  <c r="FO22" i="8"/>
  <c r="FO42" i="6" s="1"/>
  <c r="AG86" i="29"/>
  <c r="BD90" i="3"/>
  <c r="BD83" i="3"/>
  <c r="BD76" i="3"/>
  <c r="EV35" i="6"/>
  <c r="EQ35" i="6"/>
  <c r="EL35" i="6"/>
  <c r="EG35" i="6"/>
  <c r="EB35" i="6"/>
  <c r="DW35" i="6"/>
  <c r="G12" i="6"/>
  <c r="G11" i="6"/>
  <c r="G14" i="6"/>
  <c r="G15" i="6"/>
  <c r="G16" i="6"/>
  <c r="G17" i="6"/>
  <c r="G18" i="6"/>
  <c r="G19" i="6"/>
  <c r="G25" i="6"/>
  <c r="G26" i="6"/>
  <c r="G27" i="6"/>
  <c r="G28" i="6"/>
  <c r="G30" i="6"/>
  <c r="G35" i="6"/>
  <c r="G36" i="6"/>
  <c r="G37" i="6"/>
  <c r="G38" i="6"/>
  <c r="G39" i="6"/>
  <c r="G40" i="6"/>
  <c r="G43" i="6"/>
  <c r="G45" i="6"/>
  <c r="G50" i="6"/>
  <c r="G52" i="6"/>
  <c r="G53" i="6"/>
  <c r="G54" i="6"/>
  <c r="G55" i="6"/>
  <c r="L55" i="6"/>
  <c r="L54" i="6"/>
  <c r="L53" i="6"/>
  <c r="L52" i="6"/>
  <c r="L50" i="6"/>
  <c r="L45" i="6"/>
  <c r="L43" i="6"/>
  <c r="L40" i="6"/>
  <c r="L39" i="6"/>
  <c r="I41" i="6"/>
  <c r="L38" i="6"/>
  <c r="L37" i="6"/>
  <c r="L36" i="6"/>
  <c r="L35" i="6"/>
  <c r="L30" i="6"/>
  <c r="L28" i="6"/>
  <c r="L27" i="6"/>
  <c r="L26" i="6"/>
  <c r="L25" i="6"/>
  <c r="L19" i="6"/>
  <c r="L18" i="6"/>
  <c r="L17" i="6"/>
  <c r="L16" i="6"/>
  <c r="L15" i="6"/>
  <c r="L14" i="6"/>
  <c r="L12" i="6"/>
  <c r="L11" i="6"/>
  <c r="Q11" i="6"/>
  <c r="Q13" i="6"/>
  <c r="Q231" i="3" s="1"/>
  <c r="Q14" i="6"/>
  <c r="Q15" i="6"/>
  <c r="Q16" i="6"/>
  <c r="Q17" i="6"/>
  <c r="Q23" i="6"/>
  <c r="Q73" i="5" s="1"/>
  <c r="Q25" i="6"/>
  <c r="Q26" i="6"/>
  <c r="Q27" i="6"/>
  <c r="Q28" i="6"/>
  <c r="Q30" i="6"/>
  <c r="Q35" i="6"/>
  <c r="Q36" i="6"/>
  <c r="Q37" i="6"/>
  <c r="Q38" i="6"/>
  <c r="Q39" i="6"/>
  <c r="Q40" i="6"/>
  <c r="Q43" i="6"/>
  <c r="Q50" i="6"/>
  <c r="Q52" i="6"/>
  <c r="Q53" i="6"/>
  <c r="Q54" i="6"/>
  <c r="Q55" i="6"/>
  <c r="V55" i="6"/>
  <c r="V54" i="6"/>
  <c r="V53" i="6"/>
  <c r="V52" i="6"/>
  <c r="V43" i="6"/>
  <c r="V40" i="6"/>
  <c r="V39" i="6"/>
  <c r="V38" i="6"/>
  <c r="V37" i="6"/>
  <c r="V36" i="6"/>
  <c r="V35" i="6"/>
  <c r="V30" i="6"/>
  <c r="V28" i="6"/>
  <c r="V27" i="6"/>
  <c r="V26" i="6"/>
  <c r="V25" i="6"/>
  <c r="V23" i="6"/>
  <c r="V73" i="5" s="1"/>
  <c r="V17" i="6"/>
  <c r="V16" i="6"/>
  <c r="V14" i="6"/>
  <c r="V13" i="6"/>
  <c r="V231" i="3" s="1"/>
  <c r="V11" i="6"/>
  <c r="I13" i="6"/>
  <c r="I57" i="6"/>
  <c r="I49" i="6"/>
  <c r="I68" i="6" s="1"/>
  <c r="I44" i="6"/>
  <c r="J44" i="6" s="1"/>
  <c r="K44" i="6" s="1"/>
  <c r="I42" i="6"/>
  <c r="I29" i="6"/>
  <c r="J29" i="6" s="1"/>
  <c r="I24" i="6"/>
  <c r="J24" i="6" s="1"/>
  <c r="I23" i="6"/>
  <c r="I22" i="6"/>
  <c r="D57" i="6"/>
  <c r="E57" i="6" s="1"/>
  <c r="D49" i="6"/>
  <c r="E49" i="6" s="1"/>
  <c r="D44" i="6"/>
  <c r="E44" i="6" s="1"/>
  <c r="D42" i="6"/>
  <c r="E42" i="6" s="1"/>
  <c r="D41" i="6"/>
  <c r="E41" i="6" s="1"/>
  <c r="D29" i="6"/>
  <c r="E29" i="6" s="1"/>
  <c r="F29" i="6" s="1"/>
  <c r="G29" i="6" s="1"/>
  <c r="D24" i="6"/>
  <c r="D23" i="6"/>
  <c r="D22" i="6"/>
  <c r="E22" i="6" s="1"/>
  <c r="D13" i="6"/>
  <c r="H51" i="6"/>
  <c r="C51" i="6"/>
  <c r="D51" i="6" s="1"/>
  <c r="E51" i="6" s="1"/>
  <c r="S57" i="6"/>
  <c r="T57" i="6" s="1"/>
  <c r="S50" i="6"/>
  <c r="S49" i="6"/>
  <c r="S44" i="6"/>
  <c r="S42" i="6"/>
  <c r="T42" i="6" s="1"/>
  <c r="S41" i="6"/>
  <c r="S29" i="6"/>
  <c r="T29" i="6" s="1"/>
  <c r="U29" i="6" s="1"/>
  <c r="S24" i="6"/>
  <c r="T24" i="6" s="1"/>
  <c r="S22" i="6"/>
  <c r="S19" i="6"/>
  <c r="T19" i="6" s="1"/>
  <c r="S18" i="6"/>
  <c r="T18" i="6" s="1"/>
  <c r="S15" i="6"/>
  <c r="T15" i="6" s="1"/>
  <c r="S12" i="6"/>
  <c r="N57" i="6"/>
  <c r="O57" i="6" s="1"/>
  <c r="P57" i="6" s="1"/>
  <c r="Q57" i="6" s="1"/>
  <c r="N49" i="6"/>
  <c r="N68" i="6" s="1"/>
  <c r="N45" i="6"/>
  <c r="N44" i="6"/>
  <c r="O44" i="6" s="1"/>
  <c r="N42" i="6"/>
  <c r="N41" i="6"/>
  <c r="O41" i="6" s="1"/>
  <c r="N29" i="6"/>
  <c r="O29" i="6" s="1"/>
  <c r="N24" i="6"/>
  <c r="O24" i="6" s="1"/>
  <c r="N22" i="6"/>
  <c r="N19" i="6"/>
  <c r="O19" i="6" s="1"/>
  <c r="N18" i="6"/>
  <c r="N12" i="6"/>
  <c r="R51" i="6"/>
  <c r="R45" i="6"/>
  <c r="M51" i="6"/>
  <c r="AA12" i="6"/>
  <c r="AA11" i="6"/>
  <c r="AA14" i="6"/>
  <c r="AA17" i="6"/>
  <c r="AA23" i="6"/>
  <c r="AA73" i="5" s="1"/>
  <c r="AA30" i="6"/>
  <c r="AA25" i="6"/>
  <c r="AA26" i="6"/>
  <c r="AA27" i="6"/>
  <c r="AA28" i="6"/>
  <c r="AA35" i="6"/>
  <c r="AA36" i="6"/>
  <c r="AA37" i="6"/>
  <c r="AA38" i="6"/>
  <c r="AA39" i="6"/>
  <c r="AA40" i="6"/>
  <c r="AA43" i="6"/>
  <c r="AA50" i="6"/>
  <c r="AA54" i="6"/>
  <c r="AF55" i="6"/>
  <c r="AF54" i="6"/>
  <c r="AF50" i="6"/>
  <c r="AF43" i="6"/>
  <c r="AF40" i="6"/>
  <c r="AF39" i="6"/>
  <c r="AF38" i="6"/>
  <c r="AC41" i="6"/>
  <c r="AD41" i="6" s="1"/>
  <c r="AF37" i="6"/>
  <c r="AF36" i="6"/>
  <c r="AF35" i="6"/>
  <c r="AF30" i="6"/>
  <c r="AF28" i="6"/>
  <c r="AF27" i="6"/>
  <c r="AF26" i="6"/>
  <c r="AF25" i="6"/>
  <c r="AF23" i="6"/>
  <c r="AF73" i="5" s="1"/>
  <c r="AF17" i="6"/>
  <c r="AF14" i="6"/>
  <c r="AF12" i="6"/>
  <c r="AF11" i="6"/>
  <c r="AE11" i="5"/>
  <c r="AE16" i="6"/>
  <c r="AF16" i="6" s="1"/>
  <c r="Z11" i="5"/>
  <c r="AC57" i="6"/>
  <c r="AC53" i="6"/>
  <c r="AC52" i="6"/>
  <c r="AC51" i="6"/>
  <c r="AC49" i="6"/>
  <c r="AC68" i="6" s="1"/>
  <c r="AC44" i="6"/>
  <c r="AD44" i="6" s="1"/>
  <c r="AE44" i="6" s="1"/>
  <c r="AF44" i="6" s="1"/>
  <c r="AC42" i="6"/>
  <c r="AC29" i="6"/>
  <c r="AD29" i="6" s="1"/>
  <c r="AC24" i="6"/>
  <c r="AC22" i="6"/>
  <c r="AC19" i="6"/>
  <c r="AD19" i="6" s="1"/>
  <c r="AE19" i="6" s="1"/>
  <c r="AC18" i="6"/>
  <c r="AD18" i="6" s="1"/>
  <c r="AC15" i="6"/>
  <c r="AC13" i="6"/>
  <c r="AC231" i="3" s="1"/>
  <c r="X57" i="6"/>
  <c r="Y57" i="6" s="1"/>
  <c r="X53" i="6"/>
  <c r="X52" i="6"/>
  <c r="X51" i="6"/>
  <c r="X55" i="6"/>
  <c r="Y55" i="6" s="1"/>
  <c r="X49" i="6"/>
  <c r="X45" i="6"/>
  <c r="X44" i="6"/>
  <c r="X42" i="6"/>
  <c r="Y42" i="6" s="1"/>
  <c r="Z42" i="6" s="1"/>
  <c r="X41" i="6"/>
  <c r="Y41" i="6" s="1"/>
  <c r="X29" i="6"/>
  <c r="Y29" i="6" s="1"/>
  <c r="X24" i="6"/>
  <c r="Y24" i="6" s="1"/>
  <c r="Z24" i="6" s="1"/>
  <c r="AA24" i="6" s="1"/>
  <c r="X22" i="6"/>
  <c r="X19" i="6"/>
  <c r="Y19" i="6" s="1"/>
  <c r="X18" i="6"/>
  <c r="X15" i="6"/>
  <c r="X13" i="6"/>
  <c r="X231" i="3" s="1"/>
  <c r="AB45" i="6"/>
  <c r="AB46" i="6" s="1"/>
  <c r="AM57" i="6"/>
  <c r="AH57" i="6"/>
  <c r="AI57" i="6" s="1"/>
  <c r="AH52" i="6"/>
  <c r="AI52" i="6" s="1"/>
  <c r="AJ52" i="6" s="1"/>
  <c r="AK52" i="6" s="1"/>
  <c r="AH53" i="6"/>
  <c r="AH51" i="6"/>
  <c r="AH49" i="6"/>
  <c r="AH45" i="6"/>
  <c r="AH42" i="6"/>
  <c r="AH41" i="6"/>
  <c r="AH30" i="6"/>
  <c r="AI30" i="6" s="1"/>
  <c r="AH29" i="6"/>
  <c r="AI29" i="6" s="1"/>
  <c r="AJ29" i="6" s="1"/>
  <c r="AK29" i="6" s="1"/>
  <c r="AH25" i="6"/>
  <c r="AI25" i="6" s="1"/>
  <c r="AJ25" i="6" s="1"/>
  <c r="AH24" i="6"/>
  <c r="AI24" i="6" s="1"/>
  <c r="AJ24" i="6" s="1"/>
  <c r="AK24" i="6" s="1"/>
  <c r="AH22" i="6"/>
  <c r="AH19" i="6"/>
  <c r="AI19" i="6" s="1"/>
  <c r="AJ19" i="6" s="1"/>
  <c r="AH18" i="6"/>
  <c r="AH17" i="6"/>
  <c r="AI17" i="6" s="1"/>
  <c r="AJ17" i="6" s="1"/>
  <c r="AK17" i="6" s="1"/>
  <c r="AH16" i="6"/>
  <c r="AI16" i="6" s="1"/>
  <c r="AJ16" i="6" s="1"/>
  <c r="AH15" i="6"/>
  <c r="AI15" i="6" s="1"/>
  <c r="AJ15" i="6" s="1"/>
  <c r="AK15" i="6" s="1"/>
  <c r="AH13" i="6"/>
  <c r="AH231" i="3" s="1"/>
  <c r="AH12" i="6"/>
  <c r="AM53" i="6"/>
  <c r="AM52" i="6"/>
  <c r="AM51" i="6"/>
  <c r="AM49" i="6"/>
  <c r="AM42" i="6"/>
  <c r="AN42" i="6" s="1"/>
  <c r="AO42" i="6" s="1"/>
  <c r="AP42" i="6" s="1"/>
  <c r="AM41" i="6"/>
  <c r="AM30" i="6"/>
  <c r="AN30" i="6" s="1"/>
  <c r="AM29" i="6"/>
  <c r="AM25" i="6"/>
  <c r="AN25" i="6" s="1"/>
  <c r="AM24" i="6"/>
  <c r="AN24" i="6" s="1"/>
  <c r="AM22" i="6"/>
  <c r="AM19" i="6"/>
  <c r="AN19" i="6" s="1"/>
  <c r="AO19" i="6" s="1"/>
  <c r="AM18" i="6"/>
  <c r="AN18" i="6" s="1"/>
  <c r="AM17" i="6"/>
  <c r="AM16" i="6"/>
  <c r="AN16" i="6" s="1"/>
  <c r="AM15" i="6"/>
  <c r="AM13" i="6"/>
  <c r="AM231" i="3" s="1"/>
  <c r="AK55" i="6"/>
  <c r="AK54" i="6"/>
  <c r="AK50" i="6"/>
  <c r="AK44" i="6"/>
  <c r="AK43" i="6"/>
  <c r="AK40" i="6"/>
  <c r="AK39" i="6"/>
  <c r="AK38" i="6"/>
  <c r="AK37" i="6"/>
  <c r="AK36" i="6"/>
  <c r="AK35" i="6"/>
  <c r="AK28" i="6"/>
  <c r="AK27" i="6"/>
  <c r="AK26" i="6"/>
  <c r="AK23" i="6"/>
  <c r="AK73" i="5" s="1"/>
  <c r="AK14" i="6"/>
  <c r="AK11" i="6"/>
  <c r="AP11" i="6"/>
  <c r="AP12" i="6"/>
  <c r="AP14" i="6"/>
  <c r="AP23" i="6"/>
  <c r="AP73" i="5" s="1"/>
  <c r="AP26" i="6"/>
  <c r="AP27" i="6"/>
  <c r="AP28" i="6"/>
  <c r="AP35" i="6"/>
  <c r="AP36" i="6"/>
  <c r="AP37" i="6"/>
  <c r="AP38" i="6"/>
  <c r="AP39" i="6"/>
  <c r="AP40" i="6"/>
  <c r="AP43" i="6"/>
  <c r="AP44" i="6"/>
  <c r="AP45" i="6"/>
  <c r="AP50" i="6"/>
  <c r="AP54" i="6"/>
  <c r="AP55" i="6"/>
  <c r="EQ12" i="6"/>
  <c r="EL12" i="6"/>
  <c r="EG12" i="6"/>
  <c r="EB12" i="6"/>
  <c r="DW12" i="6"/>
  <c r="DR12" i="6"/>
  <c r="DM12" i="6"/>
  <c r="DH12" i="6"/>
  <c r="DC12" i="6"/>
  <c r="CX12" i="6"/>
  <c r="CS12" i="6"/>
  <c r="CN12" i="6"/>
  <c r="CI12" i="6"/>
  <c r="CD12" i="6"/>
  <c r="BY12" i="6"/>
  <c r="BT12" i="6"/>
  <c r="BO12" i="6"/>
  <c r="BJ12" i="6"/>
  <c r="BE12" i="6"/>
  <c r="AZ12" i="6"/>
  <c r="AU12" i="6"/>
  <c r="AU55" i="6"/>
  <c r="AU54" i="6"/>
  <c r="AU45" i="6"/>
  <c r="AU44" i="6"/>
  <c r="AU40" i="6"/>
  <c r="AU39" i="6"/>
  <c r="AU38" i="6"/>
  <c r="AU37" i="6"/>
  <c r="AU36" i="6"/>
  <c r="AU35" i="6"/>
  <c r="AU28" i="6"/>
  <c r="AU27" i="6"/>
  <c r="AU26" i="6"/>
  <c r="AU23" i="6"/>
  <c r="AU73" i="5" s="1"/>
  <c r="AU11" i="6"/>
  <c r="AZ55" i="6"/>
  <c r="AZ54" i="6"/>
  <c r="AZ50" i="6"/>
  <c r="AZ49" i="6"/>
  <c r="AZ45" i="6"/>
  <c r="AZ44" i="6"/>
  <c r="AZ40" i="6"/>
  <c r="AZ39" i="6"/>
  <c r="AZ38" i="6"/>
  <c r="AZ37" i="6"/>
  <c r="AZ36" i="6"/>
  <c r="AZ35" i="6"/>
  <c r="AZ28" i="6"/>
  <c r="AZ27" i="6"/>
  <c r="AZ26" i="6"/>
  <c r="AZ23" i="6"/>
  <c r="AZ73" i="5" s="1"/>
  <c r="AZ11" i="6"/>
  <c r="BE55" i="6"/>
  <c r="BE54" i="6"/>
  <c r="BE44" i="6"/>
  <c r="BE40" i="6"/>
  <c r="BE39" i="6"/>
  <c r="BE38" i="6"/>
  <c r="BE37" i="6"/>
  <c r="BE36" i="6"/>
  <c r="BE35" i="6"/>
  <c r="BE28" i="6"/>
  <c r="BE27" i="6"/>
  <c r="BE26" i="6"/>
  <c r="BE23" i="6"/>
  <c r="BE73" i="5" s="1"/>
  <c r="BE11" i="6"/>
  <c r="BJ11" i="6"/>
  <c r="BJ23" i="6"/>
  <c r="BJ73" i="5" s="1"/>
  <c r="BJ26" i="6"/>
  <c r="BJ27" i="6"/>
  <c r="BJ28" i="6"/>
  <c r="BJ35" i="6"/>
  <c r="BJ36" i="6"/>
  <c r="BJ37" i="6"/>
  <c r="BJ38" i="6"/>
  <c r="BJ39" i="6"/>
  <c r="BJ40" i="6"/>
  <c r="BJ45" i="6"/>
  <c r="BJ55" i="6"/>
  <c r="BT39" i="6"/>
  <c r="BT54" i="6"/>
  <c r="D68" i="6"/>
  <c r="C68" i="6"/>
  <c r="C69" i="6" s="1"/>
  <c r="G60" i="6"/>
  <c r="C46" i="6"/>
  <c r="H68" i="6"/>
  <c r="H46" i="6"/>
  <c r="M68" i="6"/>
  <c r="M46" i="6"/>
  <c r="R68" i="6"/>
  <c r="W68" i="6"/>
  <c r="W56" i="6"/>
  <c r="W46" i="6"/>
  <c r="AA16" i="6"/>
  <c r="AB68" i="6"/>
  <c r="AB56" i="6"/>
  <c r="AG68" i="6"/>
  <c r="AG56" i="6"/>
  <c r="AG46" i="6"/>
  <c r="AL68" i="6"/>
  <c r="AL56" i="6"/>
  <c r="AL46" i="6"/>
  <c r="AT68" i="6"/>
  <c r="AS68" i="6"/>
  <c r="AR68" i="6"/>
  <c r="AQ68" i="6"/>
  <c r="AU57" i="6"/>
  <c r="AT56" i="6"/>
  <c r="AS56" i="6"/>
  <c r="AR56" i="6"/>
  <c r="AQ56" i="6"/>
  <c r="AU53" i="6"/>
  <c r="AU52" i="6"/>
  <c r="AU51" i="6"/>
  <c r="AU50" i="6"/>
  <c r="AU49" i="6"/>
  <c r="AT46" i="6"/>
  <c r="AS46" i="6"/>
  <c r="AR46" i="6"/>
  <c r="AQ46" i="6"/>
  <c r="AU43" i="6"/>
  <c r="AU42" i="6"/>
  <c r="AU41" i="6"/>
  <c r="AU30" i="6"/>
  <c r="AU29" i="6"/>
  <c r="AU25" i="6"/>
  <c r="AU24" i="6"/>
  <c r="AU22" i="6"/>
  <c r="AU19" i="6"/>
  <c r="AU18" i="6"/>
  <c r="AU17" i="6"/>
  <c r="AU16" i="6"/>
  <c r="AU15" i="6"/>
  <c r="AU14" i="6"/>
  <c r="AU13" i="6"/>
  <c r="AU231" i="3" s="1"/>
  <c r="AY68" i="6"/>
  <c r="AX68" i="6"/>
  <c r="AW68" i="6"/>
  <c r="AV68" i="6"/>
  <c r="AZ57" i="6"/>
  <c r="AY56" i="6"/>
  <c r="AX56" i="6"/>
  <c r="AW56" i="6"/>
  <c r="AV56" i="6"/>
  <c r="AZ53" i="6"/>
  <c r="AZ52" i="6"/>
  <c r="AZ51" i="6"/>
  <c r="AY46" i="6"/>
  <c r="AX46" i="6"/>
  <c r="AW46" i="6"/>
  <c r="AV46" i="6"/>
  <c r="AZ43" i="6"/>
  <c r="AZ42" i="6"/>
  <c r="AZ41" i="6"/>
  <c r="AZ30" i="6"/>
  <c r="AZ29" i="6"/>
  <c r="AZ25" i="6"/>
  <c r="AZ24" i="6"/>
  <c r="AZ22" i="6"/>
  <c r="AZ19" i="6"/>
  <c r="AZ18" i="6"/>
  <c r="AZ17" i="6"/>
  <c r="AZ16" i="6"/>
  <c r="AZ15" i="6"/>
  <c r="AZ14" i="6"/>
  <c r="AZ13" i="6"/>
  <c r="AZ231" i="3" s="1"/>
  <c r="BD68" i="6"/>
  <c r="BC68" i="6"/>
  <c r="BB68" i="6"/>
  <c r="BA68" i="6"/>
  <c r="BE57" i="6"/>
  <c r="BD56" i="6"/>
  <c r="BC56" i="6"/>
  <c r="BB56" i="6"/>
  <c r="BA56" i="6"/>
  <c r="BE53" i="6"/>
  <c r="BE52" i="6"/>
  <c r="BE51" i="6"/>
  <c r="BE50" i="6"/>
  <c r="BE49" i="6"/>
  <c r="BD46" i="6"/>
  <c r="BC46" i="6"/>
  <c r="BB46" i="6"/>
  <c r="BA46" i="6"/>
  <c r="BE45" i="6"/>
  <c r="BE43" i="6"/>
  <c r="BE42" i="6"/>
  <c r="BE41" i="6"/>
  <c r="BE30" i="6"/>
  <c r="BE29" i="6"/>
  <c r="BE25" i="6"/>
  <c r="BE24" i="6"/>
  <c r="BE22" i="6"/>
  <c r="BE19" i="6"/>
  <c r="BE18" i="6"/>
  <c r="BE17" i="6"/>
  <c r="BE16" i="6"/>
  <c r="BE15" i="6"/>
  <c r="BE14" i="6"/>
  <c r="BE13" i="6"/>
  <c r="BE231" i="3" s="1"/>
  <c r="BI68" i="6"/>
  <c r="BH68" i="6"/>
  <c r="BG68" i="6"/>
  <c r="BF68" i="6"/>
  <c r="BJ57" i="6"/>
  <c r="BI56" i="6"/>
  <c r="BH56" i="6"/>
  <c r="BG56" i="6"/>
  <c r="BF56" i="6"/>
  <c r="BJ54" i="6"/>
  <c r="BJ53" i="6"/>
  <c r="BJ52" i="6"/>
  <c r="BJ51" i="6"/>
  <c r="BJ50" i="6"/>
  <c r="BJ49" i="6"/>
  <c r="BI46" i="6"/>
  <c r="BH46" i="6"/>
  <c r="BG46" i="6"/>
  <c r="BF46" i="6"/>
  <c r="BJ44" i="6"/>
  <c r="BJ43" i="6"/>
  <c r="BJ42" i="6"/>
  <c r="BJ41" i="6"/>
  <c r="BJ30" i="6"/>
  <c r="BJ29" i="6"/>
  <c r="BJ25" i="6"/>
  <c r="BJ24" i="6"/>
  <c r="BJ22" i="6"/>
  <c r="BJ19" i="6"/>
  <c r="BJ18" i="6"/>
  <c r="BJ17" i="6"/>
  <c r="BJ16" i="6"/>
  <c r="BJ15" i="6"/>
  <c r="BJ14" i="6"/>
  <c r="BJ13" i="6"/>
  <c r="BJ231" i="3" s="1"/>
  <c r="BO54" i="6"/>
  <c r="BO39" i="6"/>
  <c r="BO19" i="6"/>
  <c r="BO18" i="6"/>
  <c r="BO16" i="6"/>
  <c r="BN68" i="6"/>
  <c r="BM68" i="6"/>
  <c r="BR69" i="6" s="1"/>
  <c r="BL68" i="6"/>
  <c r="BQ69" i="6" s="1"/>
  <c r="BK68" i="6"/>
  <c r="BP69" i="6" s="1"/>
  <c r="BN56" i="6"/>
  <c r="BM56" i="6"/>
  <c r="BL56" i="6"/>
  <c r="BK56" i="6"/>
  <c r="BS56" i="6"/>
  <c r="BR56" i="6"/>
  <c r="BQ56" i="6"/>
  <c r="BP56" i="6"/>
  <c r="BN46" i="6"/>
  <c r="BM46" i="6"/>
  <c r="BL46" i="6"/>
  <c r="BK46" i="6"/>
  <c r="BS46" i="6"/>
  <c r="BR46" i="6"/>
  <c r="BQ46" i="6"/>
  <c r="BP46" i="6"/>
  <c r="BT19" i="6"/>
  <c r="BT18" i="6"/>
  <c r="BT16" i="6"/>
  <c r="DR54" i="6"/>
  <c r="DM54" i="6"/>
  <c r="DH54" i="6"/>
  <c r="DC54" i="6"/>
  <c r="DC19" i="6"/>
  <c r="DC18" i="6"/>
  <c r="DC16" i="6"/>
  <c r="CX15" i="6"/>
  <c r="CX16" i="6"/>
  <c r="CX17" i="6"/>
  <c r="CX18" i="6"/>
  <c r="CX19" i="6"/>
  <c r="CX54" i="6"/>
  <c r="CS54" i="6"/>
  <c r="CS16" i="6"/>
  <c r="CS18" i="6"/>
  <c r="CS19" i="6"/>
  <c r="CN19" i="6"/>
  <c r="CN18" i="6"/>
  <c r="CN16" i="6"/>
  <c r="CN54" i="6"/>
  <c r="CI54" i="6"/>
  <c r="CI19" i="6"/>
  <c r="CI18" i="6"/>
  <c r="CI16" i="6"/>
  <c r="CD16" i="6"/>
  <c r="CD19" i="6"/>
  <c r="CD18" i="6"/>
  <c r="CD54" i="6"/>
  <c r="BY54" i="6"/>
  <c r="BY39" i="6"/>
  <c r="BY19" i="6"/>
  <c r="BY18" i="6"/>
  <c r="BY16" i="6"/>
  <c r="BO57" i="6"/>
  <c r="BO55" i="6"/>
  <c r="BO53" i="6"/>
  <c r="BO52" i="6"/>
  <c r="BO51" i="6"/>
  <c r="BO50" i="6"/>
  <c r="BO49" i="6"/>
  <c r="BO45" i="6"/>
  <c r="BO44" i="6"/>
  <c r="BO43" i="6"/>
  <c r="BO42" i="6"/>
  <c r="BO41" i="6"/>
  <c r="BO40" i="6"/>
  <c r="BO38" i="6"/>
  <c r="BO37" i="6"/>
  <c r="BO36" i="6"/>
  <c r="BO35" i="6"/>
  <c r="BO30" i="6"/>
  <c r="BO29" i="6"/>
  <c r="BO28" i="6"/>
  <c r="BO27" i="6"/>
  <c r="BO26" i="6"/>
  <c r="BO25" i="6"/>
  <c r="BO24" i="6"/>
  <c r="BO23" i="6"/>
  <c r="BO73" i="5" s="1"/>
  <c r="BO22" i="6"/>
  <c r="BO17" i="6"/>
  <c r="BO15" i="6"/>
  <c r="BO14" i="6"/>
  <c r="BO13" i="6"/>
  <c r="BO231" i="3" s="1"/>
  <c r="BO11" i="6"/>
  <c r="BT57" i="6"/>
  <c r="BT55" i="6"/>
  <c r="BT53" i="6"/>
  <c r="BT52" i="6"/>
  <c r="BT51" i="6"/>
  <c r="BT50" i="6"/>
  <c r="BT49" i="6"/>
  <c r="BT45" i="6"/>
  <c r="BT44" i="6"/>
  <c r="BT43" i="6"/>
  <c r="BT42" i="6"/>
  <c r="BT41" i="6"/>
  <c r="BT40" i="6"/>
  <c r="BT38" i="6"/>
  <c r="BT37" i="6"/>
  <c r="BT36" i="6"/>
  <c r="BT35" i="6"/>
  <c r="BT30" i="6"/>
  <c r="BT29" i="6"/>
  <c r="BT28" i="6"/>
  <c r="BT27" i="6"/>
  <c r="BT26" i="6"/>
  <c r="BT25" i="6"/>
  <c r="BT24" i="6"/>
  <c r="BT23" i="6"/>
  <c r="BT73" i="5" s="1"/>
  <c r="BT22" i="6"/>
  <c r="BT17" i="6"/>
  <c r="BT15" i="6"/>
  <c r="BT14" i="6"/>
  <c r="BT13" i="6"/>
  <c r="BT231" i="3" s="1"/>
  <c r="BT11" i="6"/>
  <c r="C47" i="5"/>
  <c r="D47" i="5"/>
  <c r="E47" i="5"/>
  <c r="F47" i="5"/>
  <c r="H47" i="5"/>
  <c r="I47" i="5"/>
  <c r="J47" i="5"/>
  <c r="H16" i="5"/>
  <c r="I16" i="5"/>
  <c r="J16" i="5"/>
  <c r="K16" i="5"/>
  <c r="K47" i="5"/>
  <c r="M47" i="5"/>
  <c r="N47" i="5"/>
  <c r="O47" i="5"/>
  <c r="M36" i="5"/>
  <c r="N36" i="5"/>
  <c r="O36" i="5"/>
  <c r="P36" i="5"/>
  <c r="P47" i="5"/>
  <c r="R47" i="5"/>
  <c r="S47" i="5"/>
  <c r="T47" i="5"/>
  <c r="U47" i="5"/>
  <c r="W47" i="5"/>
  <c r="X47" i="5"/>
  <c r="Y47" i="5"/>
  <c r="Z47" i="5"/>
  <c r="AB47" i="5"/>
  <c r="G107" i="3"/>
  <c r="L102" i="3"/>
  <c r="L107" i="3"/>
  <c r="Q107" i="3"/>
  <c r="Q102" i="3"/>
  <c r="V102" i="3"/>
  <c r="AA102" i="3"/>
  <c r="AK107" i="3"/>
  <c r="AK102" i="3"/>
  <c r="AP102" i="3"/>
  <c r="AP107" i="3"/>
  <c r="AU107" i="3"/>
  <c r="AU102" i="3"/>
  <c r="AZ102" i="3"/>
  <c r="AZ107" i="3"/>
  <c r="BE107" i="3"/>
  <c r="BE102" i="3"/>
  <c r="BJ102" i="3"/>
  <c r="BJ107" i="3"/>
  <c r="BO107" i="3"/>
  <c r="BO102" i="3"/>
  <c r="BT102" i="3"/>
  <c r="BT107" i="3"/>
  <c r="BY107" i="3"/>
  <c r="CD107" i="3"/>
  <c r="DM107" i="3"/>
  <c r="DH107" i="3"/>
  <c r="DC102" i="3"/>
  <c r="DC107" i="3"/>
  <c r="G102" i="3"/>
  <c r="G97" i="3"/>
  <c r="L97" i="3"/>
  <c r="Q97" i="3"/>
  <c r="V97" i="3"/>
  <c r="AA97" i="3"/>
  <c r="AF97" i="3"/>
  <c r="AK97" i="3"/>
  <c r="AP97" i="3"/>
  <c r="AU97" i="3"/>
  <c r="AZ97" i="3"/>
  <c r="BE97" i="3"/>
  <c r="BJ97" i="3"/>
  <c r="BO97" i="3"/>
  <c r="BT97" i="3"/>
  <c r="BY97" i="3"/>
  <c r="CD97" i="3"/>
  <c r="C132" i="3"/>
  <c r="C93" i="29" s="1"/>
  <c r="H132" i="3"/>
  <c r="D132" i="3"/>
  <c r="D93" i="29" s="1"/>
  <c r="I132" i="3"/>
  <c r="E132" i="3"/>
  <c r="E93" i="29" s="1"/>
  <c r="J132" i="3"/>
  <c r="F132" i="3"/>
  <c r="F93" i="29" s="1"/>
  <c r="K132" i="3"/>
  <c r="N132" i="3"/>
  <c r="M132" i="3"/>
  <c r="R132" i="3"/>
  <c r="S132" i="3"/>
  <c r="O132" i="3"/>
  <c r="T132" i="3"/>
  <c r="U132" i="3"/>
  <c r="P132" i="3"/>
  <c r="W132" i="3"/>
  <c r="AB132" i="3"/>
  <c r="ES112" i="3"/>
  <c r="ER112" i="3"/>
  <c r="EP112" i="3"/>
  <c r="EO112" i="3"/>
  <c r="EN112" i="3"/>
  <c r="EM112" i="3"/>
  <c r="EK112" i="3"/>
  <c r="EJ112" i="3"/>
  <c r="EI112" i="3"/>
  <c r="EH112" i="3"/>
  <c r="EF112" i="3"/>
  <c r="EE112" i="3"/>
  <c r="ED112" i="3"/>
  <c r="EC112" i="3"/>
  <c r="EA112" i="3"/>
  <c r="DZ112" i="3"/>
  <c r="DY112" i="3"/>
  <c r="DX112" i="3"/>
  <c r="DV112" i="3"/>
  <c r="DU112" i="3"/>
  <c r="DT112" i="3"/>
  <c r="DS112" i="3"/>
  <c r="DQ112" i="3"/>
  <c r="DP112" i="3"/>
  <c r="DO112" i="3"/>
  <c r="DN112" i="3"/>
  <c r="DL112" i="3"/>
  <c r="DK112" i="3"/>
  <c r="DJ112" i="3"/>
  <c r="DI112" i="3"/>
  <c r="DG112" i="3"/>
  <c r="DF112" i="3"/>
  <c r="DE112" i="3"/>
  <c r="DD112" i="3"/>
  <c r="DB112" i="3"/>
  <c r="DA112" i="3"/>
  <c r="CZ112" i="3"/>
  <c r="CY112" i="3"/>
  <c r="CW112" i="3"/>
  <c r="CV112" i="3"/>
  <c r="CU112" i="3"/>
  <c r="CT112" i="3"/>
  <c r="CR112" i="3"/>
  <c r="CQ112" i="3"/>
  <c r="CP112" i="3"/>
  <c r="CO112" i="3"/>
  <c r="CM112" i="3"/>
  <c r="CL112" i="3"/>
  <c r="CK112" i="3"/>
  <c r="CJ112" i="3"/>
  <c r="CH112" i="3"/>
  <c r="CG112" i="3"/>
  <c r="CF112" i="3"/>
  <c r="CE112" i="3"/>
  <c r="CB112" i="3"/>
  <c r="CA112" i="3"/>
  <c r="BZ112" i="3"/>
  <c r="BX112" i="3"/>
  <c r="BW112" i="3"/>
  <c r="BV112" i="3"/>
  <c r="BU112" i="3"/>
  <c r="BS112" i="3"/>
  <c r="BR112" i="3"/>
  <c r="BQ112" i="3"/>
  <c r="BP112" i="3"/>
  <c r="BN112" i="3"/>
  <c r="BM112" i="3"/>
  <c r="BL112" i="3"/>
  <c r="BK112" i="3"/>
  <c r="BI112" i="3"/>
  <c r="BH112" i="3"/>
  <c r="BG112" i="3"/>
  <c r="BF112" i="3"/>
  <c r="BC112" i="3"/>
  <c r="BB112" i="3"/>
  <c r="BA112" i="3"/>
  <c r="AY112" i="3"/>
  <c r="AX112" i="3"/>
  <c r="AW112" i="3"/>
  <c r="AV112" i="3"/>
  <c r="AT112" i="3"/>
  <c r="AS112" i="3"/>
  <c r="AR112" i="3"/>
  <c r="AQ112" i="3"/>
  <c r="AO112" i="3"/>
  <c r="AN112" i="3"/>
  <c r="AM112" i="3"/>
  <c r="AL112" i="3"/>
  <c r="AJ112" i="3"/>
  <c r="AI112" i="3"/>
  <c r="AH112" i="3"/>
  <c r="AE112" i="3"/>
  <c r="AD112" i="3"/>
  <c r="AC112" i="3"/>
  <c r="AB112" i="3"/>
  <c r="Z112" i="3"/>
  <c r="Y112" i="3"/>
  <c r="X112" i="3"/>
  <c r="W112" i="3"/>
  <c r="U112" i="3"/>
  <c r="T112" i="3"/>
  <c r="S112" i="3"/>
  <c r="R112" i="3"/>
  <c r="P112" i="3"/>
  <c r="O112" i="3"/>
  <c r="N112" i="3"/>
  <c r="M112" i="3"/>
  <c r="K112" i="3"/>
  <c r="J112" i="3"/>
  <c r="I112" i="3"/>
  <c r="H112" i="3"/>
  <c r="F112" i="3"/>
  <c r="E112" i="3"/>
  <c r="D112" i="3"/>
  <c r="C112" i="3"/>
  <c r="C86" i="29" s="1"/>
  <c r="FW110" i="3"/>
  <c r="FX110" i="3" s="1"/>
  <c r="FR110" i="3"/>
  <c r="FS110" i="3" s="1"/>
  <c r="FM110" i="3"/>
  <c r="FM107" i="3" s="1"/>
  <c r="FH110" i="3"/>
  <c r="FI110" i="3" s="1"/>
  <c r="FC110" i="3"/>
  <c r="FD110" i="3" s="1"/>
  <c r="ES109" i="3"/>
  <c r="ER109" i="3"/>
  <c r="EP109" i="3"/>
  <c r="EO109" i="3"/>
  <c r="EN109" i="3"/>
  <c r="EM109" i="3"/>
  <c r="EK109" i="3"/>
  <c r="EJ109" i="3"/>
  <c r="EI109" i="3"/>
  <c r="EH109" i="3"/>
  <c r="EF109" i="3"/>
  <c r="EE109" i="3"/>
  <c r="ED109" i="3"/>
  <c r="EC109" i="3"/>
  <c r="EA109" i="3"/>
  <c r="DZ109" i="3"/>
  <c r="DY109" i="3"/>
  <c r="DX109" i="3"/>
  <c r="DV109" i="3"/>
  <c r="DU109" i="3"/>
  <c r="DT109" i="3"/>
  <c r="DS109" i="3"/>
  <c r="DQ109" i="3"/>
  <c r="DP109" i="3"/>
  <c r="DO109" i="3"/>
  <c r="DN109" i="3"/>
  <c r="DL109" i="3"/>
  <c r="DK109" i="3"/>
  <c r="DJ109" i="3"/>
  <c r="DI109" i="3"/>
  <c r="DG109" i="3"/>
  <c r="DF109" i="3"/>
  <c r="DE109" i="3"/>
  <c r="DD109" i="3"/>
  <c r="DB109" i="3"/>
  <c r="DA109" i="3"/>
  <c r="CZ109" i="3"/>
  <c r="CY109" i="3"/>
  <c r="CW109" i="3"/>
  <c r="CV109" i="3"/>
  <c r="CU109" i="3"/>
  <c r="CT109" i="3"/>
  <c r="CR109" i="3"/>
  <c r="CQ109" i="3"/>
  <c r="CP109" i="3"/>
  <c r="CO109" i="3"/>
  <c r="CM109" i="3"/>
  <c r="CL109" i="3"/>
  <c r="CK109" i="3"/>
  <c r="CJ109" i="3"/>
  <c r="CH109" i="3"/>
  <c r="CG109" i="3"/>
  <c r="CF109" i="3"/>
  <c r="CE109" i="3"/>
  <c r="CC109" i="3"/>
  <c r="CB109" i="3"/>
  <c r="CA109" i="3"/>
  <c r="BZ109" i="3"/>
  <c r="BX109" i="3"/>
  <c r="BW109" i="3"/>
  <c r="BV109" i="3"/>
  <c r="BU109" i="3"/>
  <c r="BS109" i="3"/>
  <c r="BR109" i="3"/>
  <c r="BQ109" i="3"/>
  <c r="BP109" i="3"/>
  <c r="BN109" i="3"/>
  <c r="BM109" i="3"/>
  <c r="BL109" i="3"/>
  <c r="BK109" i="3"/>
  <c r="BI109" i="3"/>
  <c r="BH109" i="3"/>
  <c r="BG109" i="3"/>
  <c r="BF109" i="3"/>
  <c r="BD109" i="3"/>
  <c r="BC109" i="3"/>
  <c r="BB109" i="3"/>
  <c r="BA109" i="3"/>
  <c r="AY109" i="3"/>
  <c r="AX109" i="3"/>
  <c r="AW109" i="3"/>
  <c r="AV109" i="3"/>
  <c r="AT109" i="3"/>
  <c r="AS109" i="3"/>
  <c r="AR109" i="3"/>
  <c r="AQ109" i="3"/>
  <c r="AO109" i="3"/>
  <c r="AN109" i="3"/>
  <c r="AM109" i="3"/>
  <c r="AL109" i="3"/>
  <c r="AJ109" i="3"/>
  <c r="AI109" i="3"/>
  <c r="AH109" i="3"/>
  <c r="AG109" i="3"/>
  <c r="AE109" i="3"/>
  <c r="AD109" i="3"/>
  <c r="AC109" i="3"/>
  <c r="AB109" i="3"/>
  <c r="Z109" i="3"/>
  <c r="Y109" i="3"/>
  <c r="X109" i="3"/>
  <c r="W109" i="3"/>
  <c r="U109" i="3"/>
  <c r="T109" i="3"/>
  <c r="S109" i="3"/>
  <c r="R109" i="3"/>
  <c r="P109" i="3"/>
  <c r="O109" i="3"/>
  <c r="N109" i="3"/>
  <c r="M109" i="3"/>
  <c r="K109" i="3"/>
  <c r="J109" i="3"/>
  <c r="I109" i="3"/>
  <c r="H109" i="3"/>
  <c r="ES108" i="3"/>
  <c r="ER108" i="3"/>
  <c r="EP108" i="3"/>
  <c r="EO108" i="3"/>
  <c r="EN108" i="3"/>
  <c r="EM108" i="3"/>
  <c r="EK108" i="3"/>
  <c r="EJ108" i="3"/>
  <c r="EI108" i="3"/>
  <c r="EH108" i="3"/>
  <c r="EF108" i="3"/>
  <c r="EE108" i="3"/>
  <c r="ED108" i="3"/>
  <c r="EC108" i="3"/>
  <c r="EA108" i="3"/>
  <c r="DZ108" i="3"/>
  <c r="DY108" i="3"/>
  <c r="DX108" i="3"/>
  <c r="DV108" i="3"/>
  <c r="DU108" i="3"/>
  <c r="DT108" i="3"/>
  <c r="DS108" i="3"/>
  <c r="DQ108" i="3"/>
  <c r="DP108" i="3"/>
  <c r="DO108" i="3"/>
  <c r="DN108" i="3"/>
  <c r="DL108" i="3"/>
  <c r="DK108" i="3"/>
  <c r="DJ108" i="3"/>
  <c r="DI108" i="3"/>
  <c r="DG108" i="3"/>
  <c r="DF108" i="3"/>
  <c r="DE108" i="3"/>
  <c r="DD108" i="3"/>
  <c r="DB108" i="3"/>
  <c r="DA108" i="3"/>
  <c r="CZ108" i="3"/>
  <c r="CY108" i="3"/>
  <c r="CW108" i="3"/>
  <c r="CV108" i="3"/>
  <c r="CU108" i="3"/>
  <c r="CT108" i="3"/>
  <c r="CR108" i="3"/>
  <c r="CQ108" i="3"/>
  <c r="CP108" i="3"/>
  <c r="CO108" i="3"/>
  <c r="CM108" i="3"/>
  <c r="CL108" i="3"/>
  <c r="CK108" i="3"/>
  <c r="CJ108" i="3"/>
  <c r="CH108" i="3"/>
  <c r="CG108" i="3"/>
  <c r="CF108" i="3"/>
  <c r="CE108" i="3"/>
  <c r="CC108" i="3"/>
  <c r="CB108" i="3"/>
  <c r="CA108" i="3"/>
  <c r="BZ108" i="3"/>
  <c r="BX108" i="3"/>
  <c r="BW108" i="3"/>
  <c r="BV108" i="3"/>
  <c r="BU108" i="3"/>
  <c r="BS108" i="3"/>
  <c r="BR108" i="3"/>
  <c r="BQ108" i="3"/>
  <c r="BP108" i="3"/>
  <c r="BN108" i="3"/>
  <c r="BM108" i="3"/>
  <c r="BL108" i="3"/>
  <c r="BK108" i="3"/>
  <c r="BI108" i="3"/>
  <c r="BH108" i="3"/>
  <c r="BG108" i="3"/>
  <c r="BF108" i="3"/>
  <c r="BD108" i="3"/>
  <c r="BC108" i="3"/>
  <c r="BB108" i="3"/>
  <c r="BA108" i="3"/>
  <c r="AY108" i="3"/>
  <c r="AX108" i="3"/>
  <c r="AW108" i="3"/>
  <c r="AV108" i="3"/>
  <c r="AT108" i="3"/>
  <c r="AS108" i="3"/>
  <c r="AR108" i="3"/>
  <c r="AQ108" i="3"/>
  <c r="AO108" i="3"/>
  <c r="AN108" i="3"/>
  <c r="AM108" i="3"/>
  <c r="AL108" i="3"/>
  <c r="AJ108" i="3"/>
  <c r="AI108" i="3"/>
  <c r="AH108" i="3"/>
  <c r="AG108" i="3"/>
  <c r="AE108" i="3"/>
  <c r="AD108" i="3"/>
  <c r="AC108" i="3"/>
  <c r="AB108" i="3"/>
  <c r="Z108" i="3"/>
  <c r="Y108" i="3"/>
  <c r="X108" i="3"/>
  <c r="W108" i="3"/>
  <c r="U108" i="3"/>
  <c r="T108" i="3"/>
  <c r="S108" i="3"/>
  <c r="R108" i="3"/>
  <c r="P108" i="3"/>
  <c r="O108" i="3"/>
  <c r="N108" i="3"/>
  <c r="M108" i="3"/>
  <c r="K108" i="3"/>
  <c r="J108" i="3"/>
  <c r="I108" i="3"/>
  <c r="H108" i="3"/>
  <c r="FV107" i="3"/>
  <c r="GA108" i="3" s="1"/>
  <c r="FQ107" i="3"/>
  <c r="FL107" i="3"/>
  <c r="FG107" i="3"/>
  <c r="FB107" i="3"/>
  <c r="EU108" i="3"/>
  <c r="EQ107" i="3"/>
  <c r="EL107" i="3"/>
  <c r="EG107" i="3"/>
  <c r="EB107" i="3"/>
  <c r="DW107" i="3"/>
  <c r="DR107" i="3"/>
  <c r="CX107" i="3"/>
  <c r="CS107" i="3"/>
  <c r="CN107" i="3"/>
  <c r="CI107" i="3"/>
  <c r="AF107" i="3"/>
  <c r="AA107" i="3"/>
  <c r="V107" i="3"/>
  <c r="AG132" i="3"/>
  <c r="AG84" i="3"/>
  <c r="AL132" i="3"/>
  <c r="AH132" i="3"/>
  <c r="AM132" i="3"/>
  <c r="AI132" i="3"/>
  <c r="AN132" i="3"/>
  <c r="AJ132" i="3"/>
  <c r="AO132" i="3"/>
  <c r="AQ132" i="3"/>
  <c r="AV132" i="3"/>
  <c r="AR132" i="3"/>
  <c r="AW132" i="3"/>
  <c r="AS132" i="3"/>
  <c r="AX132" i="3"/>
  <c r="AT132" i="3"/>
  <c r="AY132" i="3"/>
  <c r="BA66" i="3"/>
  <c r="C56" i="6" l="1"/>
  <c r="J23" i="6"/>
  <c r="I73" i="5"/>
  <c r="E23" i="6"/>
  <c r="D73" i="5"/>
  <c r="FP42" i="6"/>
  <c r="FR107" i="3"/>
  <c r="FR109" i="3" s="1"/>
  <c r="EX115" i="3"/>
  <c r="EX113" i="3"/>
  <c r="EV108" i="3"/>
  <c r="EW115" i="3"/>
  <c r="EW113" i="3"/>
  <c r="R56" i="6"/>
  <c r="EU115" i="3"/>
  <c r="EU113" i="3"/>
  <c r="AP20" i="8"/>
  <c r="BT20" i="8"/>
  <c r="AZ20" i="8"/>
  <c r="AU20" i="8"/>
  <c r="BO20" i="8"/>
  <c r="BJ20" i="8"/>
  <c r="AK20" i="8"/>
  <c r="AA20" i="8"/>
  <c r="BE20" i="8"/>
  <c r="AF20" i="8"/>
  <c r="H56" i="6"/>
  <c r="E13" i="6"/>
  <c r="E231" i="3" s="1"/>
  <c r="D231" i="3"/>
  <c r="J13" i="6"/>
  <c r="J231" i="3" s="1"/>
  <c r="I231" i="3"/>
  <c r="BD112" i="3"/>
  <c r="BD86" i="29" s="1"/>
  <c r="ET115" i="3"/>
  <c r="ET113" i="3"/>
  <c r="ET116" i="3"/>
  <c r="ET114" i="3"/>
  <c r="M56" i="6"/>
  <c r="N51" i="6"/>
  <c r="O51" i="6" s="1"/>
  <c r="AD53" i="6"/>
  <c r="AN53" i="6"/>
  <c r="AO53" i="6" s="1"/>
  <c r="AI53" i="6"/>
  <c r="Y53" i="6"/>
  <c r="BS69" i="6"/>
  <c r="BP70" i="6"/>
  <c r="L20" i="8"/>
  <c r="L150" i="5"/>
  <c r="G20" i="8"/>
  <c r="G150" i="5"/>
  <c r="Q20" i="8"/>
  <c r="Q150" i="5"/>
  <c r="V20" i="8"/>
  <c r="V150" i="5"/>
  <c r="AM46" i="6"/>
  <c r="R46" i="6"/>
  <c r="S68" i="6"/>
  <c r="S69" i="6" s="1"/>
  <c r="D46" i="6"/>
  <c r="AM68" i="6"/>
  <c r="AR69" i="6" s="1"/>
  <c r="X68" i="6"/>
  <c r="I51" i="6"/>
  <c r="I56" i="6" s="1"/>
  <c r="AN57" i="6"/>
  <c r="T41" i="6"/>
  <c r="AI93" i="29"/>
  <c r="AM93" i="29"/>
  <c r="P93" i="29"/>
  <c r="M93" i="29"/>
  <c r="I93" i="29"/>
  <c r="AN51" i="6"/>
  <c r="AO51" i="6" s="1"/>
  <c r="AI49" i="6"/>
  <c r="X56" i="6"/>
  <c r="AD49" i="6"/>
  <c r="Z41" i="6"/>
  <c r="O49" i="6"/>
  <c r="J57" i="6"/>
  <c r="FP22" i="8"/>
  <c r="AW93" i="29"/>
  <c r="AN93" i="29"/>
  <c r="AX93" i="29"/>
  <c r="AO93" i="29"/>
  <c r="AL93" i="29"/>
  <c r="AS93" i="29"/>
  <c r="AJ93" i="29"/>
  <c r="U93" i="29"/>
  <c r="N93" i="29"/>
  <c r="AD22" i="6"/>
  <c r="AE22" i="6" s="1"/>
  <c r="Y49" i="6"/>
  <c r="AE41" i="6"/>
  <c r="AF41" i="6" s="1"/>
  <c r="S45" i="6"/>
  <c r="S46" i="6" s="1"/>
  <c r="FR23" i="8"/>
  <c r="FQ22" i="8"/>
  <c r="FQ42" i="6" s="1"/>
  <c r="T93" i="29"/>
  <c r="K93" i="29"/>
  <c r="H93" i="29"/>
  <c r="Y22" i="6"/>
  <c r="AC56" i="6"/>
  <c r="O12" i="6"/>
  <c r="P12" i="6" s="1"/>
  <c r="Q12" i="6" s="1"/>
  <c r="T22" i="6"/>
  <c r="J22" i="6"/>
  <c r="J49" i="6"/>
  <c r="J41" i="6"/>
  <c r="K41" i="6" s="1"/>
  <c r="AR93" i="29"/>
  <c r="O93" i="29"/>
  <c r="AN41" i="6"/>
  <c r="AO41" i="6" s="1"/>
  <c r="AI12" i="6"/>
  <c r="AI41" i="6"/>
  <c r="AC45" i="6"/>
  <c r="AC46" i="6" s="1"/>
  <c r="AD13" i="6"/>
  <c r="AD231" i="3" s="1"/>
  <c r="AG93" i="29"/>
  <c r="AY93" i="29"/>
  <c r="AB93" i="29"/>
  <c r="S93" i="29"/>
  <c r="J93" i="29"/>
  <c r="AH68" i="6"/>
  <c r="AH70" i="6" s="1"/>
  <c r="AN13" i="6"/>
  <c r="AN231" i="3" s="1"/>
  <c r="AN22" i="6"/>
  <c r="AI13" i="6"/>
  <c r="AI231" i="3" s="1"/>
  <c r="AI22" i="6"/>
  <c r="Y13" i="6"/>
  <c r="AD15" i="6"/>
  <c r="S51" i="6"/>
  <c r="S56" i="6" s="1"/>
  <c r="T49" i="6"/>
  <c r="U49" i="6" s="1"/>
  <c r="AV93" i="29"/>
  <c r="AT93" i="29"/>
  <c r="AQ93" i="29"/>
  <c r="AH93" i="29"/>
  <c r="W93" i="29"/>
  <c r="R93" i="29"/>
  <c r="AN15" i="6"/>
  <c r="AO15" i="6" s="1"/>
  <c r="AI45" i="6"/>
  <c r="Y15" i="6"/>
  <c r="Y51" i="6"/>
  <c r="AD51" i="6"/>
  <c r="O22" i="6"/>
  <c r="O45" i="6"/>
  <c r="I46" i="6"/>
  <c r="BY108" i="3"/>
  <c r="E86" i="29"/>
  <c r="E116" i="3"/>
  <c r="M86" i="29"/>
  <c r="M115" i="3"/>
  <c r="M116" i="3"/>
  <c r="T86" i="29"/>
  <c r="T115" i="3"/>
  <c r="T116" i="3"/>
  <c r="AB86" i="29"/>
  <c r="AB116" i="3"/>
  <c r="AB115" i="3"/>
  <c r="AJ86" i="29"/>
  <c r="AJ115" i="3"/>
  <c r="AJ116" i="3"/>
  <c r="AR86" i="29"/>
  <c r="AR116" i="3"/>
  <c r="AR115" i="3"/>
  <c r="AY86" i="29"/>
  <c r="AY116" i="3"/>
  <c r="AY115" i="3"/>
  <c r="BG86" i="29"/>
  <c r="BG116" i="3"/>
  <c r="BG115" i="3"/>
  <c r="BN86" i="29"/>
  <c r="BN115" i="3"/>
  <c r="BN116" i="3"/>
  <c r="BV86" i="29"/>
  <c r="BV116" i="3"/>
  <c r="BV115" i="3"/>
  <c r="CC86" i="29"/>
  <c r="CC116" i="3"/>
  <c r="CC115" i="3"/>
  <c r="CK86" i="29"/>
  <c r="CK116" i="3"/>
  <c r="CK115" i="3"/>
  <c r="CR86" i="29"/>
  <c r="CR115" i="3"/>
  <c r="CR116" i="3"/>
  <c r="CZ86" i="29"/>
  <c r="CZ116" i="3"/>
  <c r="CZ115" i="3"/>
  <c r="DG86" i="29"/>
  <c r="DG116" i="3"/>
  <c r="DG115" i="3"/>
  <c r="DO86" i="29"/>
  <c r="DO116" i="3"/>
  <c r="DO115" i="3"/>
  <c r="DV86" i="29"/>
  <c r="DV115" i="3"/>
  <c r="DV116" i="3"/>
  <c r="ED86" i="29"/>
  <c r="ED88" i="29" s="1"/>
  <c r="ED115" i="3"/>
  <c r="ED116" i="3"/>
  <c r="EK86" i="29"/>
  <c r="EK88" i="29" s="1"/>
  <c r="EK116" i="3"/>
  <c r="EK115" i="3"/>
  <c r="ES86" i="29"/>
  <c r="ES88" i="29" s="1"/>
  <c r="ES116" i="3"/>
  <c r="ES115" i="3"/>
  <c r="F86" i="29"/>
  <c r="F116" i="3"/>
  <c r="N86" i="29"/>
  <c r="N116" i="3"/>
  <c r="N115" i="3"/>
  <c r="U86" i="29"/>
  <c r="U116" i="3"/>
  <c r="U115" i="3"/>
  <c r="AC86" i="29"/>
  <c r="AC116" i="3"/>
  <c r="AC115" i="3"/>
  <c r="AL86" i="29"/>
  <c r="AL116" i="3"/>
  <c r="AL115" i="3"/>
  <c r="AS86" i="29"/>
  <c r="AS116" i="3"/>
  <c r="AS115" i="3"/>
  <c r="BA86" i="29"/>
  <c r="BA116" i="3"/>
  <c r="BA115" i="3"/>
  <c r="BH86" i="29"/>
  <c r="BH116" i="3"/>
  <c r="BH115" i="3"/>
  <c r="BP86" i="29"/>
  <c r="BP116" i="3"/>
  <c r="BP115" i="3"/>
  <c r="BW86" i="29"/>
  <c r="BW116" i="3"/>
  <c r="BW115" i="3"/>
  <c r="CE86" i="29"/>
  <c r="CE116" i="3"/>
  <c r="CE115" i="3"/>
  <c r="CL86" i="29"/>
  <c r="CL116" i="3"/>
  <c r="CL115" i="3"/>
  <c r="CT86" i="29"/>
  <c r="CT116" i="3"/>
  <c r="CT115" i="3"/>
  <c r="DA86" i="29"/>
  <c r="DA116" i="3"/>
  <c r="DA115" i="3"/>
  <c r="DI86" i="29"/>
  <c r="DI116" i="3"/>
  <c r="DI115" i="3"/>
  <c r="DP86" i="29"/>
  <c r="DP116" i="3"/>
  <c r="DP115" i="3"/>
  <c r="DX86" i="29"/>
  <c r="DX87" i="29" s="1"/>
  <c r="DX116" i="3"/>
  <c r="DX115" i="3"/>
  <c r="EE86" i="29"/>
  <c r="EE87" i="29" s="1"/>
  <c r="EE116" i="3"/>
  <c r="EE115" i="3"/>
  <c r="EM86" i="29"/>
  <c r="EM88" i="29" s="1"/>
  <c r="EM116" i="3"/>
  <c r="EM115" i="3"/>
  <c r="H86" i="29"/>
  <c r="H116" i="3"/>
  <c r="H115" i="3"/>
  <c r="O86" i="29"/>
  <c r="O116" i="3"/>
  <c r="O115" i="3"/>
  <c r="W86" i="29"/>
  <c r="W116" i="3"/>
  <c r="W115" i="3"/>
  <c r="AD86" i="29"/>
  <c r="AD116" i="3"/>
  <c r="AD115" i="3"/>
  <c r="AM86" i="29"/>
  <c r="AM116" i="3"/>
  <c r="AM115" i="3"/>
  <c r="AT86" i="29"/>
  <c r="AT116" i="3"/>
  <c r="AT115" i="3"/>
  <c r="BB86" i="29"/>
  <c r="BB116" i="3"/>
  <c r="BB115" i="3"/>
  <c r="BI86" i="29"/>
  <c r="BI116" i="3"/>
  <c r="BQ86" i="29"/>
  <c r="BQ116" i="3"/>
  <c r="BQ115" i="3"/>
  <c r="BX86" i="29"/>
  <c r="BX116" i="3"/>
  <c r="BX115" i="3"/>
  <c r="CF86" i="29"/>
  <c r="CF116" i="3"/>
  <c r="CF115" i="3"/>
  <c r="CM86" i="29"/>
  <c r="CM116" i="3"/>
  <c r="CM115" i="3"/>
  <c r="CU86" i="29"/>
  <c r="CU116" i="3"/>
  <c r="CU115" i="3"/>
  <c r="DB86" i="29"/>
  <c r="DB116" i="3"/>
  <c r="DB115" i="3"/>
  <c r="DJ86" i="29"/>
  <c r="DJ116" i="3"/>
  <c r="DJ115" i="3"/>
  <c r="DQ86" i="29"/>
  <c r="DQ116" i="3"/>
  <c r="DQ115" i="3"/>
  <c r="DY86" i="29"/>
  <c r="DY88" i="29" s="1"/>
  <c r="DY116" i="3"/>
  <c r="DY115" i="3"/>
  <c r="EF86" i="29"/>
  <c r="EF87" i="29" s="1"/>
  <c r="EF116" i="3"/>
  <c r="EF115" i="3"/>
  <c r="EN86" i="29"/>
  <c r="EN87" i="29" s="1"/>
  <c r="EN116" i="3"/>
  <c r="EN115" i="3"/>
  <c r="I86" i="29"/>
  <c r="I116" i="3"/>
  <c r="I115" i="3"/>
  <c r="P86" i="29"/>
  <c r="P116" i="3"/>
  <c r="P115" i="3"/>
  <c r="X86" i="29"/>
  <c r="X116" i="3"/>
  <c r="X115" i="3"/>
  <c r="AE86" i="29"/>
  <c r="AE116" i="3"/>
  <c r="AE115" i="3"/>
  <c r="AN86" i="29"/>
  <c r="AN115" i="3"/>
  <c r="AN116" i="3"/>
  <c r="AV86" i="29"/>
  <c r="AV115" i="3"/>
  <c r="AV116" i="3"/>
  <c r="BC86" i="29"/>
  <c r="BC115" i="3"/>
  <c r="BC116" i="3"/>
  <c r="BK86" i="29"/>
  <c r="BK116" i="3"/>
  <c r="BK115" i="3"/>
  <c r="BR86" i="29"/>
  <c r="BR116" i="3"/>
  <c r="BR115" i="3"/>
  <c r="BZ86" i="29"/>
  <c r="BZ115" i="3"/>
  <c r="BZ116" i="3"/>
  <c r="CG86" i="29"/>
  <c r="CG115" i="3"/>
  <c r="CG116" i="3"/>
  <c r="CO86" i="29"/>
  <c r="CO116" i="3"/>
  <c r="CO115" i="3"/>
  <c r="CV86" i="29"/>
  <c r="CV115" i="3"/>
  <c r="CV116" i="3"/>
  <c r="DD86" i="29"/>
  <c r="DD115" i="3"/>
  <c r="DD116" i="3"/>
  <c r="DK86" i="29"/>
  <c r="DK115" i="3"/>
  <c r="DK116" i="3"/>
  <c r="DS86" i="29"/>
  <c r="DS116" i="3"/>
  <c r="DS115" i="3"/>
  <c r="DZ86" i="29"/>
  <c r="DZ87" i="29" s="1"/>
  <c r="DZ115" i="3"/>
  <c r="DZ116" i="3"/>
  <c r="EH86" i="29"/>
  <c r="EH88" i="29" s="1"/>
  <c r="EH115" i="3"/>
  <c r="EH116" i="3"/>
  <c r="EO86" i="29"/>
  <c r="EO88" i="29" s="1"/>
  <c r="EO115" i="3"/>
  <c r="EO116" i="3"/>
  <c r="AG116" i="3"/>
  <c r="J86" i="29"/>
  <c r="J115" i="3"/>
  <c r="J116" i="3"/>
  <c r="R86" i="29"/>
  <c r="R115" i="3"/>
  <c r="R116" i="3"/>
  <c r="Y86" i="29"/>
  <c r="Y115" i="3"/>
  <c r="Y116" i="3"/>
  <c r="AH86" i="29"/>
  <c r="AH115" i="3"/>
  <c r="AH116" i="3"/>
  <c r="AO86" i="29"/>
  <c r="AO115" i="3"/>
  <c r="AO116" i="3"/>
  <c r="AW86" i="29"/>
  <c r="AW115" i="3"/>
  <c r="AW116" i="3"/>
  <c r="BL86" i="29"/>
  <c r="BL115" i="3"/>
  <c r="BL116" i="3"/>
  <c r="BS86" i="29"/>
  <c r="BS115" i="3"/>
  <c r="BS116" i="3"/>
  <c r="CA86" i="29"/>
  <c r="CA115" i="3"/>
  <c r="CA116" i="3"/>
  <c r="CH86" i="29"/>
  <c r="CH115" i="3"/>
  <c r="CH116" i="3"/>
  <c r="CP86" i="29"/>
  <c r="CP115" i="3"/>
  <c r="CP116" i="3"/>
  <c r="CW86" i="29"/>
  <c r="CW115" i="3"/>
  <c r="CW116" i="3"/>
  <c r="DE86" i="29"/>
  <c r="DE115" i="3"/>
  <c r="DE116" i="3"/>
  <c r="DL86" i="29"/>
  <c r="DL115" i="3"/>
  <c r="DL116" i="3"/>
  <c r="DT86" i="29"/>
  <c r="DT115" i="3"/>
  <c r="DT116" i="3"/>
  <c r="EA86" i="29"/>
  <c r="EA88" i="29" s="1"/>
  <c r="EA115" i="3"/>
  <c r="EA116" i="3"/>
  <c r="EI86" i="29"/>
  <c r="EI87" i="29" s="1"/>
  <c r="EI115" i="3"/>
  <c r="EI116" i="3"/>
  <c r="EP86" i="29"/>
  <c r="EP88" i="29" s="1"/>
  <c r="EP115" i="3"/>
  <c r="EP116" i="3"/>
  <c r="L108" i="3"/>
  <c r="AG115" i="3"/>
  <c r="D86" i="29"/>
  <c r="D116" i="3"/>
  <c r="K86" i="29"/>
  <c r="K115" i="3"/>
  <c r="K116" i="3"/>
  <c r="S86" i="29"/>
  <c r="S115" i="3"/>
  <c r="S116" i="3"/>
  <c r="Z86" i="29"/>
  <c r="Z115" i="3"/>
  <c r="Z116" i="3"/>
  <c r="AI86" i="29"/>
  <c r="AI115" i="3"/>
  <c r="AI116" i="3"/>
  <c r="AQ86" i="29"/>
  <c r="AQ115" i="3"/>
  <c r="AQ116" i="3"/>
  <c r="AX86" i="29"/>
  <c r="AX116" i="3"/>
  <c r="AX115" i="3"/>
  <c r="BF86" i="29"/>
  <c r="BF115" i="3"/>
  <c r="BM86" i="29"/>
  <c r="BM115" i="3"/>
  <c r="BM116" i="3"/>
  <c r="BU86" i="29"/>
  <c r="BU115" i="3"/>
  <c r="BU116" i="3"/>
  <c r="CB86" i="29"/>
  <c r="CB116" i="3"/>
  <c r="CB115" i="3"/>
  <c r="CJ86" i="29"/>
  <c r="CJ116" i="3"/>
  <c r="CJ115" i="3"/>
  <c r="CQ86" i="29"/>
  <c r="CQ115" i="3"/>
  <c r="CQ116" i="3"/>
  <c r="CY86" i="29"/>
  <c r="CY115" i="3"/>
  <c r="CY116" i="3"/>
  <c r="DF86" i="29"/>
  <c r="DF116" i="3"/>
  <c r="DF115" i="3"/>
  <c r="DN86" i="29"/>
  <c r="DN116" i="3"/>
  <c r="DN115" i="3"/>
  <c r="DU86" i="29"/>
  <c r="DU115" i="3"/>
  <c r="DU116" i="3"/>
  <c r="EC86" i="29"/>
  <c r="EC88" i="29" s="1"/>
  <c r="EC115" i="3"/>
  <c r="EC116" i="3"/>
  <c r="EJ86" i="29"/>
  <c r="EJ87" i="29" s="1"/>
  <c r="EJ115" i="3"/>
  <c r="EJ116" i="3"/>
  <c r="ER86" i="29"/>
  <c r="ER88" i="29" s="1"/>
  <c r="ER116" i="3"/>
  <c r="ER115" i="3"/>
  <c r="BI93" i="3"/>
  <c r="BD93" i="3"/>
  <c r="BF94" i="3"/>
  <c r="BD94" i="3"/>
  <c r="BI86" i="3"/>
  <c r="BD87" i="3"/>
  <c r="BD86" i="3"/>
  <c r="BF87" i="3"/>
  <c r="BI79" i="3"/>
  <c r="BF80" i="3"/>
  <c r="BD79" i="3"/>
  <c r="BD80" i="3"/>
  <c r="BD77" i="29"/>
  <c r="AP108" i="3"/>
  <c r="BO108" i="3"/>
  <c r="FC107" i="3"/>
  <c r="FC109" i="3" s="1"/>
  <c r="P24" i="6"/>
  <c r="Q24" i="6" s="1"/>
  <c r="F51" i="6"/>
  <c r="G51" i="6" s="1"/>
  <c r="P29" i="6"/>
  <c r="Q29" i="6" s="1"/>
  <c r="F57" i="6"/>
  <c r="G57" i="6" s="1"/>
  <c r="Z57" i="6"/>
  <c r="AA57" i="6" s="1"/>
  <c r="U24" i="6"/>
  <c r="V24" i="6" s="1"/>
  <c r="F41" i="6"/>
  <c r="G41" i="6" s="1"/>
  <c r="AE29" i="6"/>
  <c r="AF29" i="6" s="1"/>
  <c r="F42" i="6"/>
  <c r="G42" i="6" s="1"/>
  <c r="Z29" i="6"/>
  <c r="AA29" i="6" s="1"/>
  <c r="Z55" i="6"/>
  <c r="AA55" i="6" s="1"/>
  <c r="U15" i="6"/>
  <c r="V15" i="6" s="1"/>
  <c r="F22" i="6"/>
  <c r="G22" i="6" s="1"/>
  <c r="K24" i="6"/>
  <c r="L24" i="6" s="1"/>
  <c r="U42" i="6"/>
  <c r="V42" i="6" s="1"/>
  <c r="U57" i="6"/>
  <c r="V57" i="6" s="1"/>
  <c r="F49" i="6"/>
  <c r="G49" i="6" s="1"/>
  <c r="E68" i="6"/>
  <c r="E69" i="6" s="1"/>
  <c r="E56" i="6"/>
  <c r="AD24" i="6"/>
  <c r="AE24" i="6" s="1"/>
  <c r="AD52" i="6"/>
  <c r="AE52" i="6" s="1"/>
  <c r="O42" i="6"/>
  <c r="P42" i="6" s="1"/>
  <c r="T50" i="6"/>
  <c r="J42" i="6"/>
  <c r="E24" i="6"/>
  <c r="F24" i="6" s="1"/>
  <c r="V29" i="6"/>
  <c r="N46" i="6"/>
  <c r="D56" i="6"/>
  <c r="Y45" i="6"/>
  <c r="AD42" i="6"/>
  <c r="AE42" i="6" s="1"/>
  <c r="P41" i="6"/>
  <c r="AD57" i="6"/>
  <c r="AE57" i="6" s="1"/>
  <c r="AI51" i="6"/>
  <c r="AA42" i="6"/>
  <c r="K29" i="6"/>
  <c r="L29" i="6" s="1"/>
  <c r="AL69" i="6"/>
  <c r="Y52" i="6"/>
  <c r="Z52" i="6" s="1"/>
  <c r="E46" i="6"/>
  <c r="F44" i="6"/>
  <c r="G44" i="6" s="1"/>
  <c r="BE108" i="3"/>
  <c r="T12" i="6"/>
  <c r="AE18" i="6"/>
  <c r="AF18" i="6" s="1"/>
  <c r="U19" i="6"/>
  <c r="V19" i="6" s="1"/>
  <c r="U18" i="6"/>
  <c r="Z19" i="6"/>
  <c r="AA19" i="6" s="1"/>
  <c r="P19" i="6"/>
  <c r="Q19" i="6" s="1"/>
  <c r="AF19" i="6"/>
  <c r="O18" i="6"/>
  <c r="Y18" i="6"/>
  <c r="AP19" i="6"/>
  <c r="P44" i="6"/>
  <c r="T44" i="6"/>
  <c r="L44" i="6"/>
  <c r="Y44" i="6"/>
  <c r="AO16" i="6"/>
  <c r="AP16" i="6" s="1"/>
  <c r="AO25" i="6"/>
  <c r="AP25" i="6" s="1"/>
  <c r="AO18" i="6"/>
  <c r="AP18" i="6" s="1"/>
  <c r="AO30" i="6"/>
  <c r="AP30" i="6" s="1"/>
  <c r="AJ30" i="6"/>
  <c r="AK30" i="6" s="1"/>
  <c r="AO24" i="6"/>
  <c r="AP24" i="6" s="1"/>
  <c r="AJ57" i="6"/>
  <c r="AK57" i="6" s="1"/>
  <c r="AK19" i="6"/>
  <c r="X46" i="6"/>
  <c r="AN17" i="6"/>
  <c r="AO17" i="6" s="1"/>
  <c r="AN29" i="6"/>
  <c r="AO29" i="6" s="1"/>
  <c r="AN52" i="6"/>
  <c r="AO52" i="6" s="1"/>
  <c r="BI69" i="6"/>
  <c r="AH46" i="6"/>
  <c r="AK25" i="6"/>
  <c r="AI18" i="6"/>
  <c r="AJ18" i="6" s="1"/>
  <c r="AI42" i="6"/>
  <c r="AH56" i="6"/>
  <c r="AN49" i="6"/>
  <c r="AK16" i="6"/>
  <c r="AM56" i="6"/>
  <c r="BC70" i="6"/>
  <c r="AT70" i="6"/>
  <c r="AY69" i="6"/>
  <c r="AR70" i="6"/>
  <c r="AS70" i="6"/>
  <c r="AU46" i="6"/>
  <c r="AX70" i="6"/>
  <c r="BB69" i="6"/>
  <c r="AW70" i="6"/>
  <c r="BK69" i="6"/>
  <c r="BH70" i="6"/>
  <c r="BD70" i="6"/>
  <c r="BE46" i="6"/>
  <c r="BN69" i="6"/>
  <c r="BL70" i="6"/>
  <c r="BM70" i="6"/>
  <c r="BL69" i="6"/>
  <c r="D70" i="6"/>
  <c r="D69" i="6"/>
  <c r="I70" i="6"/>
  <c r="N70" i="6"/>
  <c r="N69" i="6"/>
  <c r="AC70" i="6"/>
  <c r="AU56" i="6"/>
  <c r="AZ56" i="6"/>
  <c r="AZ46" i="6"/>
  <c r="AY70" i="6"/>
  <c r="BD69" i="6"/>
  <c r="BC69" i="6"/>
  <c r="BE56" i="6"/>
  <c r="BB70" i="6"/>
  <c r="BJ56" i="6"/>
  <c r="BG70" i="6"/>
  <c r="BJ46" i="6"/>
  <c r="BI70" i="6"/>
  <c r="BO56" i="6"/>
  <c r="BM69" i="6"/>
  <c r="BN70" i="6"/>
  <c r="BO46" i="6"/>
  <c r="BT56" i="6"/>
  <c r="BT46" i="6"/>
  <c r="I69" i="6"/>
  <c r="C70" i="6"/>
  <c r="H69" i="6"/>
  <c r="M69" i="6"/>
  <c r="R69" i="6"/>
  <c r="W69" i="6"/>
  <c r="AB69" i="6"/>
  <c r="AG69" i="6"/>
  <c r="AQ69" i="6"/>
  <c r="AU68" i="6"/>
  <c r="AW69" i="6"/>
  <c r="AX69" i="6"/>
  <c r="AZ68" i="6"/>
  <c r="AV70" i="6"/>
  <c r="BA69" i="6"/>
  <c r="AV69" i="6"/>
  <c r="BF69" i="6"/>
  <c r="BE68" i="6"/>
  <c r="BA70" i="6"/>
  <c r="BG69" i="6"/>
  <c r="BH69" i="6"/>
  <c r="BJ68" i="6"/>
  <c r="BF70" i="6"/>
  <c r="BO68" i="6"/>
  <c r="BT69" i="6" s="1"/>
  <c r="BK70" i="6"/>
  <c r="AU108" i="3"/>
  <c r="FH107" i="3"/>
  <c r="FH109" i="3" s="1"/>
  <c r="V108" i="3"/>
  <c r="CS108" i="3"/>
  <c r="DW108" i="3"/>
  <c r="FL108" i="3"/>
  <c r="Q108" i="3"/>
  <c r="CI108" i="3"/>
  <c r="DH108" i="3"/>
  <c r="EL108" i="3"/>
  <c r="CX108" i="3"/>
  <c r="DC108" i="3"/>
  <c r="EG108" i="3"/>
  <c r="EB108" i="3"/>
  <c r="FB108" i="3"/>
  <c r="BJ108" i="3"/>
  <c r="CN108" i="3"/>
  <c r="DR108" i="3"/>
  <c r="FW107" i="3"/>
  <c r="AF108" i="3"/>
  <c r="FE110" i="3"/>
  <c r="FE107" i="3" s="1"/>
  <c r="FG109" i="3" s="1"/>
  <c r="FD107" i="3"/>
  <c r="FI107" i="3"/>
  <c r="FJ110" i="3"/>
  <c r="FJ107" i="3" s="1"/>
  <c r="FL109" i="3" s="1"/>
  <c r="FM109" i="3"/>
  <c r="FS107" i="3"/>
  <c r="FT110" i="3"/>
  <c r="FT107" i="3" s="1"/>
  <c r="FY110" i="3"/>
  <c r="FY107" i="3" s="1"/>
  <c r="FX107" i="3"/>
  <c r="GC108" i="3" s="1"/>
  <c r="AA108" i="3"/>
  <c r="DM108" i="3"/>
  <c r="AZ108" i="3"/>
  <c r="FQ108" i="3"/>
  <c r="FV108" i="3"/>
  <c r="EU109" i="3"/>
  <c r="FN110" i="3"/>
  <c r="BT108" i="3"/>
  <c r="EQ108" i="3"/>
  <c r="CD108" i="3"/>
  <c r="AK108" i="3"/>
  <c r="FG108" i="3"/>
  <c r="ES239" i="17"/>
  <c r="ES241" i="17"/>
  <c r="ER239" i="17"/>
  <c r="DR239" i="17"/>
  <c r="DP239" i="17"/>
  <c r="DO239" i="17"/>
  <c r="DN239" i="17"/>
  <c r="DW239" i="17"/>
  <c r="DU239" i="17"/>
  <c r="DT239" i="17"/>
  <c r="DS239" i="17"/>
  <c r="EB239" i="17"/>
  <c r="DZ239" i="17"/>
  <c r="DY239" i="17"/>
  <c r="DX239" i="17"/>
  <c r="EG239" i="17"/>
  <c r="EE239" i="17"/>
  <c r="ED239" i="17"/>
  <c r="EC239" i="17"/>
  <c r="EL239" i="17"/>
  <c r="EJ239" i="17"/>
  <c r="EI239" i="17"/>
  <c r="EH239" i="17"/>
  <c r="EQ239" i="17"/>
  <c r="EO239" i="17"/>
  <c r="EN239" i="17"/>
  <c r="EM239" i="17"/>
  <c r="EQ241" i="17"/>
  <c r="EO241" i="17"/>
  <c r="EN241" i="17"/>
  <c r="EM241" i="17"/>
  <c r="EL241" i="17"/>
  <c r="EJ241" i="17"/>
  <c r="EI241" i="17"/>
  <c r="EH241" i="17"/>
  <c r="EG241" i="17"/>
  <c r="EE241" i="17"/>
  <c r="ED241" i="17"/>
  <c r="EC241" i="17"/>
  <c r="EB241" i="17"/>
  <c r="DZ241" i="17"/>
  <c r="DY241" i="17"/>
  <c r="DX241" i="17"/>
  <c r="DW241" i="17"/>
  <c r="DU241" i="17"/>
  <c r="DT241" i="17"/>
  <c r="DS241" i="17"/>
  <c r="FR108" i="3" l="1"/>
  <c r="G23" i="6"/>
  <c r="G73" i="5" s="1"/>
  <c r="E73" i="5"/>
  <c r="X69" i="6"/>
  <c r="L23" i="6"/>
  <c r="L73" i="5" s="1"/>
  <c r="J73" i="5"/>
  <c r="K13" i="6"/>
  <c r="K231" i="3" s="1"/>
  <c r="GA109" i="3"/>
  <c r="GD108" i="3"/>
  <c r="FW109" i="3"/>
  <c r="GB108" i="3"/>
  <c r="F13" i="6"/>
  <c r="O68" i="6"/>
  <c r="O70" i="6" s="1"/>
  <c r="P49" i="6"/>
  <c r="BF116" i="3"/>
  <c r="BD116" i="3"/>
  <c r="AO57" i="6"/>
  <c r="BD115" i="3"/>
  <c r="AH69" i="6"/>
  <c r="K49" i="6"/>
  <c r="N56" i="6"/>
  <c r="G13" i="6"/>
  <c r="G231" i="3" s="1"/>
  <c r="F231" i="3"/>
  <c r="Z13" i="6"/>
  <c r="Z231" i="3" s="1"/>
  <c r="Y231" i="3"/>
  <c r="BI115" i="3"/>
  <c r="ED87" i="29"/>
  <c r="J68" i="6"/>
  <c r="J70" i="6" s="1"/>
  <c r="J51" i="6"/>
  <c r="K51" i="6" s="1"/>
  <c r="AP53" i="6"/>
  <c r="AJ53" i="6"/>
  <c r="Z53" i="6"/>
  <c r="AE53" i="6"/>
  <c r="S70" i="6"/>
  <c r="U41" i="6"/>
  <c r="V41" i="6" s="1"/>
  <c r="AM70" i="6"/>
  <c r="X70" i="6"/>
  <c r="O56" i="6"/>
  <c r="AA41" i="6"/>
  <c r="AC69" i="6"/>
  <c r="Z22" i="6"/>
  <c r="AA22" i="6" s="1"/>
  <c r="AM69" i="6"/>
  <c r="Q152" i="5"/>
  <c r="J46" i="6"/>
  <c r="P51" i="6"/>
  <c r="Q51" i="6" s="1"/>
  <c r="V152" i="5"/>
  <c r="L152" i="5"/>
  <c r="AE49" i="6"/>
  <c r="P45" i="6"/>
  <c r="P46" i="6" s="1"/>
  <c r="AD68" i="6"/>
  <c r="AD70" i="6" s="1"/>
  <c r="AA52" i="6"/>
  <c r="P22" i="6"/>
  <c r="AI68" i="6"/>
  <c r="K22" i="6"/>
  <c r="AJ49" i="6"/>
  <c r="EE88" i="29"/>
  <c r="EN88" i="29"/>
  <c r="DY87" i="29"/>
  <c r="EH87" i="29"/>
  <c r="Q42" i="6"/>
  <c r="AF42" i="6"/>
  <c r="AP15" i="6"/>
  <c r="AF52" i="6"/>
  <c r="Q49" i="6"/>
  <c r="AE51" i="6"/>
  <c r="AO13" i="6"/>
  <c r="AO231" i="3" s="1"/>
  <c r="AP51" i="6"/>
  <c r="AF24" i="6"/>
  <c r="AF22" i="6"/>
  <c r="AJ45" i="6"/>
  <c r="T68" i="6"/>
  <c r="AJ13" i="6"/>
  <c r="AJ231" i="3" s="1"/>
  <c r="AD45" i="6"/>
  <c r="AN46" i="6"/>
  <c r="T51" i="6"/>
  <c r="T45" i="6"/>
  <c r="T46" i="6" s="1"/>
  <c r="AO22" i="6"/>
  <c r="AE13" i="6"/>
  <c r="AE231" i="3" s="1"/>
  <c r="AJ41" i="6"/>
  <c r="U12" i="6"/>
  <c r="Q41" i="6"/>
  <c r="E70" i="6"/>
  <c r="L41" i="6"/>
  <c r="O46" i="6"/>
  <c r="AJ51" i="6"/>
  <c r="Z51" i="6"/>
  <c r="AA51" i="6" s="1"/>
  <c r="AJ22" i="6"/>
  <c r="FR22" i="8"/>
  <c r="FR42" i="6" s="1"/>
  <c r="FS23" i="8"/>
  <c r="Z49" i="6"/>
  <c r="Y68" i="6"/>
  <c r="AO46" i="6"/>
  <c r="Z45" i="6"/>
  <c r="V49" i="6"/>
  <c r="Z15" i="6"/>
  <c r="AE15" i="6"/>
  <c r="AJ12" i="6"/>
  <c r="U22" i="6"/>
  <c r="K57" i="6"/>
  <c r="Q44" i="6"/>
  <c r="EF88" i="29"/>
  <c r="EJ88" i="29"/>
  <c r="DZ88" i="29"/>
  <c r="EC87" i="29"/>
  <c r="EM87" i="29"/>
  <c r="ES87" i="29"/>
  <c r="DX88" i="29"/>
  <c r="EA87" i="29"/>
  <c r="EK87" i="29"/>
  <c r="EI88" i="29"/>
  <c r="EP87" i="29"/>
  <c r="EO87" i="29"/>
  <c r="ER87" i="29"/>
  <c r="AP29" i="6"/>
  <c r="G24" i="6"/>
  <c r="K42" i="6"/>
  <c r="L42" i="6" s="1"/>
  <c r="Y56" i="6"/>
  <c r="F46" i="6"/>
  <c r="G46" i="6" s="1"/>
  <c r="U50" i="6"/>
  <c r="F68" i="6"/>
  <c r="F56" i="6"/>
  <c r="G56" i="6" s="1"/>
  <c r="U68" i="6"/>
  <c r="AD56" i="6"/>
  <c r="AI56" i="6"/>
  <c r="AF57" i="6"/>
  <c r="P68" i="6"/>
  <c r="FH108" i="3"/>
  <c r="FM108" i="3"/>
  <c r="Z18" i="6"/>
  <c r="AA18" i="6" s="1"/>
  <c r="P18" i="6"/>
  <c r="V18" i="6"/>
  <c r="U44" i="6"/>
  <c r="Y46" i="6"/>
  <c r="Z44" i="6"/>
  <c r="AI46" i="6"/>
  <c r="AJ42" i="6"/>
  <c r="AP52" i="6"/>
  <c r="AP41" i="6"/>
  <c r="AO49" i="6"/>
  <c r="AN56" i="6"/>
  <c r="AN68" i="6"/>
  <c r="AP17" i="6"/>
  <c r="AK18" i="6"/>
  <c r="AZ69" i="6"/>
  <c r="BJ69" i="6"/>
  <c r="BE69" i="6"/>
  <c r="BO69" i="6"/>
  <c r="FW108" i="3"/>
  <c r="FC108" i="3"/>
  <c r="FY108" i="3"/>
  <c r="FY109" i="3"/>
  <c r="FT109" i="3"/>
  <c r="FV109" i="3"/>
  <c r="FS109" i="3"/>
  <c r="FN107" i="3"/>
  <c r="FS108" i="3" s="1"/>
  <c r="FO110" i="3"/>
  <c r="FO107" i="3" s="1"/>
  <c r="FT108" i="3" s="1"/>
  <c r="FJ108" i="3"/>
  <c r="FJ109" i="3"/>
  <c r="FU107" i="3"/>
  <c r="FB109" i="3"/>
  <c r="FI109" i="3"/>
  <c r="FK107" i="3"/>
  <c r="FI108" i="3"/>
  <c r="FD108" i="3"/>
  <c r="FD109" i="3"/>
  <c r="FF107" i="3"/>
  <c r="FZ107" i="3"/>
  <c r="GE108" i="3" s="1"/>
  <c r="FX108" i="3"/>
  <c r="FX109" i="3"/>
  <c r="FE109" i="3"/>
  <c r="FE108" i="3"/>
  <c r="L13" i="6" l="1"/>
  <c r="L231" i="3" s="1"/>
  <c r="K68" i="6"/>
  <c r="AP57" i="6"/>
  <c r="AA13" i="6"/>
  <c r="AA231" i="3" s="1"/>
  <c r="L49" i="6"/>
  <c r="AF49" i="6"/>
  <c r="AE68" i="6"/>
  <c r="AF68" i="6" s="1"/>
  <c r="J69" i="6"/>
  <c r="O69" i="6"/>
  <c r="Z46" i="6"/>
  <c r="AA46" i="6" s="1"/>
  <c r="L51" i="6"/>
  <c r="K56" i="6"/>
  <c r="P56" i="6"/>
  <c r="Q56" i="6" s="1"/>
  <c r="Q45" i="6"/>
  <c r="J56" i="6"/>
  <c r="AF53" i="6"/>
  <c r="AA53" i="6"/>
  <c r="AK53" i="6"/>
  <c r="AE56" i="6"/>
  <c r="AF56" i="6" s="1"/>
  <c r="AP46" i="6"/>
  <c r="AJ56" i="6"/>
  <c r="AK56" i="6" s="1"/>
  <c r="AJ68" i="6"/>
  <c r="Q22" i="6"/>
  <c r="L22" i="6"/>
  <c r="AI69" i="6"/>
  <c r="AI70" i="6"/>
  <c r="AJ46" i="6"/>
  <c r="AK49" i="6"/>
  <c r="Q46" i="6"/>
  <c r="K46" i="6"/>
  <c r="L46" i="6" s="1"/>
  <c r="V22" i="6"/>
  <c r="AA15" i="6"/>
  <c r="FS22" i="8"/>
  <c r="FS42" i="6" s="1"/>
  <c r="FT23" i="8"/>
  <c r="FU23" i="8" s="1"/>
  <c r="AP22" i="6"/>
  <c r="AF51" i="6"/>
  <c r="AK22" i="6"/>
  <c r="AK41" i="6"/>
  <c r="U51" i="6"/>
  <c r="U56" i="6" s="1"/>
  <c r="AK45" i="6"/>
  <c r="AK12" i="6"/>
  <c r="AF13" i="6"/>
  <c r="AF231" i="3" s="1"/>
  <c r="U45" i="6"/>
  <c r="AP13" i="6"/>
  <c r="AP231" i="3" s="1"/>
  <c r="AD69" i="6"/>
  <c r="Y69" i="6"/>
  <c r="Y70" i="6"/>
  <c r="AK13" i="6"/>
  <c r="AK231" i="3" s="1"/>
  <c r="AK51" i="6"/>
  <c r="T56" i="6"/>
  <c r="L57" i="6"/>
  <c r="AF15" i="6"/>
  <c r="AA45" i="6"/>
  <c r="AP49" i="6"/>
  <c r="V12" i="6"/>
  <c r="Z68" i="6"/>
  <c r="Z69" i="6" s="1"/>
  <c r="AA49" i="6"/>
  <c r="Z56" i="6"/>
  <c r="AE45" i="6"/>
  <c r="AF45" i="6" s="1"/>
  <c r="AD46" i="6"/>
  <c r="T70" i="6"/>
  <c r="T69" i="6"/>
  <c r="V68" i="6"/>
  <c r="W70" i="6"/>
  <c r="U69" i="6"/>
  <c r="U70" i="6"/>
  <c r="K69" i="6"/>
  <c r="L68" i="6"/>
  <c r="K70" i="6"/>
  <c r="M70" i="6"/>
  <c r="AK42" i="6"/>
  <c r="Q68" i="6"/>
  <c r="P70" i="6"/>
  <c r="R70" i="6"/>
  <c r="P69" i="6"/>
  <c r="V50" i="6"/>
  <c r="F69" i="6"/>
  <c r="G68" i="6"/>
  <c r="G69" i="6" s="1"/>
  <c r="H70" i="6"/>
  <c r="F70" i="6"/>
  <c r="Q18" i="6"/>
  <c r="V44" i="6"/>
  <c r="AA44" i="6"/>
  <c r="AN69" i="6"/>
  <c r="AN70" i="6"/>
  <c r="AS69" i="6"/>
  <c r="AO68" i="6"/>
  <c r="AO56" i="6"/>
  <c r="FZ108" i="3"/>
  <c r="FF108" i="3"/>
  <c r="FO109" i="3"/>
  <c r="FO108" i="3"/>
  <c r="FQ109" i="3"/>
  <c r="FN108" i="3"/>
  <c r="FN109" i="3"/>
  <c r="FP107" i="3"/>
  <c r="FK108" i="3"/>
  <c r="AG70" i="6" l="1"/>
  <c r="AE70" i="6"/>
  <c r="AJ69" i="6"/>
  <c r="L56" i="6"/>
  <c r="AK46" i="6"/>
  <c r="AK68" i="6"/>
  <c r="AK69" i="6" s="1"/>
  <c r="AL70" i="6"/>
  <c r="AJ70" i="6"/>
  <c r="V56" i="6"/>
  <c r="AE69" i="6"/>
  <c r="AA56" i="6"/>
  <c r="AB70" i="6"/>
  <c r="Z70" i="6"/>
  <c r="V45" i="6"/>
  <c r="AE46" i="6"/>
  <c r="AP56" i="6"/>
  <c r="V51" i="6"/>
  <c r="U46" i="6"/>
  <c r="AA68" i="6"/>
  <c r="AF69" i="6" s="1"/>
  <c r="FT22" i="8"/>
  <c r="FT42" i="6" s="1"/>
  <c r="FV23" i="8"/>
  <c r="Q69" i="6"/>
  <c r="L69" i="6"/>
  <c r="V69" i="6"/>
  <c r="AO70" i="6"/>
  <c r="AO69" i="6"/>
  <c r="AT69" i="6"/>
  <c r="AQ70" i="6"/>
  <c r="AP68" i="6"/>
  <c r="FP108" i="3"/>
  <c r="FU108" i="3"/>
  <c r="FU42" i="6" l="1"/>
  <c r="AA69" i="6"/>
  <c r="AF46" i="6"/>
  <c r="FV22" i="8"/>
  <c r="FV42" i="6" s="1"/>
  <c r="FW23" i="8"/>
  <c r="V46" i="6"/>
  <c r="FU22" i="8"/>
  <c r="AP69" i="6"/>
  <c r="AU69" i="6"/>
  <c r="FW22" i="8" l="1"/>
  <c r="FW42" i="6" s="1"/>
  <c r="FX23" i="8"/>
  <c r="FW105" i="3"/>
  <c r="FX105" i="3" s="1"/>
  <c r="FR105" i="3"/>
  <c r="FS105" i="3" s="1"/>
  <c r="FM105" i="3"/>
  <c r="FN105" i="3" s="1"/>
  <c r="FH105" i="3"/>
  <c r="FI105" i="3" s="1"/>
  <c r="FC105" i="3"/>
  <c r="FD105" i="3" s="1"/>
  <c r="ES104" i="3"/>
  <c r="ER104" i="3"/>
  <c r="EP104" i="3"/>
  <c r="EO104" i="3"/>
  <c r="EN104" i="3"/>
  <c r="EM104" i="3"/>
  <c r="EK104" i="3"/>
  <c r="EJ104" i="3"/>
  <c r="EI104" i="3"/>
  <c r="EH104" i="3"/>
  <c r="EF104" i="3"/>
  <c r="EE104" i="3"/>
  <c r="ED104" i="3"/>
  <c r="EC104" i="3"/>
  <c r="EA104" i="3"/>
  <c r="DZ104" i="3"/>
  <c r="DY104" i="3"/>
  <c r="DX104" i="3"/>
  <c r="DV104" i="3"/>
  <c r="DU104" i="3"/>
  <c r="DT104" i="3"/>
  <c r="DS104" i="3"/>
  <c r="DQ104" i="3"/>
  <c r="DP104" i="3"/>
  <c r="DO104" i="3"/>
  <c r="DN104" i="3"/>
  <c r="DL104" i="3"/>
  <c r="DK104" i="3"/>
  <c r="DJ104" i="3"/>
  <c r="DI104" i="3"/>
  <c r="DG104" i="3"/>
  <c r="DF104" i="3"/>
  <c r="DE104" i="3"/>
  <c r="DD104" i="3"/>
  <c r="DB104" i="3"/>
  <c r="DA104" i="3"/>
  <c r="CZ104" i="3"/>
  <c r="CY104" i="3"/>
  <c r="CW104" i="3"/>
  <c r="CV104" i="3"/>
  <c r="CU104" i="3"/>
  <c r="CT104" i="3"/>
  <c r="CR104" i="3"/>
  <c r="CQ104" i="3"/>
  <c r="CP104" i="3"/>
  <c r="CO104" i="3"/>
  <c r="CM104" i="3"/>
  <c r="CL104" i="3"/>
  <c r="CK104" i="3"/>
  <c r="CJ104" i="3"/>
  <c r="CH104" i="3"/>
  <c r="CG104" i="3"/>
  <c r="CF104" i="3"/>
  <c r="CE104" i="3"/>
  <c r="CC104" i="3"/>
  <c r="CB104" i="3"/>
  <c r="CA104" i="3"/>
  <c r="BZ104" i="3"/>
  <c r="BX104" i="3"/>
  <c r="BW104" i="3"/>
  <c r="BV104" i="3"/>
  <c r="BU104" i="3"/>
  <c r="BS104" i="3"/>
  <c r="BR104" i="3"/>
  <c r="BQ104" i="3"/>
  <c r="BP104" i="3"/>
  <c r="BN104" i="3"/>
  <c r="BM104" i="3"/>
  <c r="BL104" i="3"/>
  <c r="BK104" i="3"/>
  <c r="BI104" i="3"/>
  <c r="BH104" i="3"/>
  <c r="BG104" i="3"/>
  <c r="BF104" i="3"/>
  <c r="BD104" i="3"/>
  <c r="BC104" i="3"/>
  <c r="BB104" i="3"/>
  <c r="BA104" i="3"/>
  <c r="AY104" i="3"/>
  <c r="AX104" i="3"/>
  <c r="AW104" i="3"/>
  <c r="AV104" i="3"/>
  <c r="AT104" i="3"/>
  <c r="AS104" i="3"/>
  <c r="AR104" i="3"/>
  <c r="AQ104" i="3"/>
  <c r="AO104" i="3"/>
  <c r="AN104" i="3"/>
  <c r="AM104" i="3"/>
  <c r="AL104" i="3"/>
  <c r="AJ104" i="3"/>
  <c r="AI104" i="3"/>
  <c r="AH104" i="3"/>
  <c r="AG104" i="3"/>
  <c r="AE104" i="3"/>
  <c r="AD104" i="3"/>
  <c r="AC104" i="3"/>
  <c r="AB104" i="3"/>
  <c r="Z104" i="3"/>
  <c r="Y104" i="3"/>
  <c r="X104" i="3"/>
  <c r="W104" i="3"/>
  <c r="U104" i="3"/>
  <c r="T104" i="3"/>
  <c r="S104" i="3"/>
  <c r="R104" i="3"/>
  <c r="P104" i="3"/>
  <c r="O104" i="3"/>
  <c r="N104" i="3"/>
  <c r="M104" i="3"/>
  <c r="K104" i="3"/>
  <c r="J104" i="3"/>
  <c r="I104" i="3"/>
  <c r="H104" i="3"/>
  <c r="ES103" i="3"/>
  <c r="ER103" i="3"/>
  <c r="EP103" i="3"/>
  <c r="EO103" i="3"/>
  <c r="EN103" i="3"/>
  <c r="EM103" i="3"/>
  <c r="EK103" i="3"/>
  <c r="EJ103" i="3"/>
  <c r="EI103" i="3"/>
  <c r="EH103" i="3"/>
  <c r="EF103" i="3"/>
  <c r="EE103" i="3"/>
  <c r="ED103" i="3"/>
  <c r="EC103" i="3"/>
  <c r="EA103" i="3"/>
  <c r="DZ103" i="3"/>
  <c r="DY103" i="3"/>
  <c r="DX103" i="3"/>
  <c r="DV103" i="3"/>
  <c r="DU103" i="3"/>
  <c r="DT103" i="3"/>
  <c r="DS103" i="3"/>
  <c r="DQ103" i="3"/>
  <c r="DP103" i="3"/>
  <c r="DO103" i="3"/>
  <c r="DN103" i="3"/>
  <c r="DL103" i="3"/>
  <c r="DK103" i="3"/>
  <c r="DJ103" i="3"/>
  <c r="DI103" i="3"/>
  <c r="DG103" i="3"/>
  <c r="DF103" i="3"/>
  <c r="DE103" i="3"/>
  <c r="DD103" i="3"/>
  <c r="DB103" i="3"/>
  <c r="DA103" i="3"/>
  <c r="CZ103" i="3"/>
  <c r="CY103" i="3"/>
  <c r="CW103" i="3"/>
  <c r="CV103" i="3"/>
  <c r="CU103" i="3"/>
  <c r="CT103" i="3"/>
  <c r="CR103" i="3"/>
  <c r="CQ103" i="3"/>
  <c r="CP103" i="3"/>
  <c r="CO103" i="3"/>
  <c r="CM103" i="3"/>
  <c r="CL103" i="3"/>
  <c r="CK103" i="3"/>
  <c r="CJ103" i="3"/>
  <c r="CH103" i="3"/>
  <c r="CG103" i="3"/>
  <c r="CF103" i="3"/>
  <c r="CE103" i="3"/>
  <c r="CC103" i="3"/>
  <c r="CB103" i="3"/>
  <c r="CA103" i="3"/>
  <c r="BZ103" i="3"/>
  <c r="BX103" i="3"/>
  <c r="BW103" i="3"/>
  <c r="BV103" i="3"/>
  <c r="BU103" i="3"/>
  <c r="BS103" i="3"/>
  <c r="BR103" i="3"/>
  <c r="BQ103" i="3"/>
  <c r="BP103" i="3"/>
  <c r="BN103" i="3"/>
  <c r="BM103" i="3"/>
  <c r="BL103" i="3"/>
  <c r="BK103" i="3"/>
  <c r="BI103" i="3"/>
  <c r="BH103" i="3"/>
  <c r="BG103" i="3"/>
  <c r="BF103" i="3"/>
  <c r="BD103" i="3"/>
  <c r="BC103" i="3"/>
  <c r="BB103" i="3"/>
  <c r="BA103" i="3"/>
  <c r="AY103" i="3"/>
  <c r="AX103" i="3"/>
  <c r="AW103" i="3"/>
  <c r="AV103" i="3"/>
  <c r="AT103" i="3"/>
  <c r="AS103" i="3"/>
  <c r="AR103" i="3"/>
  <c r="AQ103" i="3"/>
  <c r="AO103" i="3"/>
  <c r="AN103" i="3"/>
  <c r="AM103" i="3"/>
  <c r="AL103" i="3"/>
  <c r="AJ103" i="3"/>
  <c r="AI103" i="3"/>
  <c r="AH103" i="3"/>
  <c r="AG103" i="3"/>
  <c r="AE103" i="3"/>
  <c r="AD103" i="3"/>
  <c r="AC103" i="3"/>
  <c r="AB103" i="3"/>
  <c r="Z103" i="3"/>
  <c r="Y103" i="3"/>
  <c r="X103" i="3"/>
  <c r="W103" i="3"/>
  <c r="U103" i="3"/>
  <c r="T103" i="3"/>
  <c r="S103" i="3"/>
  <c r="R103" i="3"/>
  <c r="P103" i="3"/>
  <c r="O103" i="3"/>
  <c r="N103" i="3"/>
  <c r="M103" i="3"/>
  <c r="K103" i="3"/>
  <c r="J103" i="3"/>
  <c r="I103" i="3"/>
  <c r="H103" i="3"/>
  <c r="FV102" i="3"/>
  <c r="GA103" i="3" s="1"/>
  <c r="FQ102" i="3"/>
  <c r="FL102" i="3"/>
  <c r="FG102" i="3"/>
  <c r="FB102" i="3"/>
  <c r="EQ102" i="3"/>
  <c r="EL102" i="3"/>
  <c r="EG102" i="3"/>
  <c r="EB102" i="3"/>
  <c r="DW102" i="3"/>
  <c r="DR102" i="3"/>
  <c r="DM102" i="3"/>
  <c r="DH102" i="3"/>
  <c r="CX102" i="3"/>
  <c r="CS102" i="3"/>
  <c r="CN102" i="3"/>
  <c r="CI102" i="3"/>
  <c r="CD102" i="3"/>
  <c r="BY102" i="3"/>
  <c r="AF102" i="3"/>
  <c r="ES335" i="14"/>
  <c r="EV54" i="6"/>
  <c r="EQ54" i="6"/>
  <c r="EL54" i="6"/>
  <c r="EG54" i="6"/>
  <c r="EB54" i="6"/>
  <c r="DW54" i="6"/>
  <c r="EV39" i="6"/>
  <c r="EV37" i="6"/>
  <c r="EV45" i="6"/>
  <c r="EQ45" i="6"/>
  <c r="EL45" i="6"/>
  <c r="EG45" i="6"/>
  <c r="EG39" i="6"/>
  <c r="EV44" i="6"/>
  <c r="EQ44" i="6"/>
  <c r="EL44" i="6"/>
  <c r="EG44" i="6"/>
  <c r="EL39" i="6"/>
  <c r="EQ39" i="6"/>
  <c r="EQ38" i="6"/>
  <c r="EQ37" i="6"/>
  <c r="EQ36" i="6"/>
  <c r="EL38" i="6"/>
  <c r="EL37" i="6"/>
  <c r="EL36" i="6"/>
  <c r="EG38" i="6"/>
  <c r="EG37" i="6"/>
  <c r="EG36" i="6"/>
  <c r="EB39" i="6"/>
  <c r="EB45" i="6"/>
  <c r="EB38" i="6"/>
  <c r="EB37" i="6"/>
  <c r="EB36" i="6"/>
  <c r="EB44" i="6"/>
  <c r="DW45" i="6"/>
  <c r="DW44" i="6"/>
  <c r="DW39" i="6"/>
  <c r="DW37" i="6"/>
  <c r="DR45" i="6"/>
  <c r="DR44" i="6"/>
  <c r="DR39" i="6"/>
  <c r="DR37" i="6"/>
  <c r="DR35" i="6"/>
  <c r="DM35" i="6"/>
  <c r="DM37" i="6"/>
  <c r="DM39" i="6"/>
  <c r="DM44" i="6"/>
  <c r="DM45" i="6"/>
  <c r="DH45" i="6"/>
  <c r="DH39" i="6"/>
  <c r="DH37" i="6"/>
  <c r="DH35" i="6"/>
  <c r="DC35" i="6"/>
  <c r="DC37" i="6"/>
  <c r="DC39" i="6"/>
  <c r="DC44" i="6"/>
  <c r="DC45" i="6"/>
  <c r="CX45" i="6"/>
  <c r="CX44" i="6"/>
  <c r="CX39" i="6"/>
  <c r="CX37" i="6"/>
  <c r="CX35" i="6"/>
  <c r="CS35" i="6"/>
  <c r="CS37" i="6"/>
  <c r="CS39" i="6"/>
  <c r="CS44" i="6"/>
  <c r="CS45" i="6"/>
  <c r="CN45" i="6"/>
  <c r="CN44" i="6"/>
  <c r="CN39" i="6"/>
  <c r="CN37" i="6"/>
  <c r="CN35" i="6"/>
  <c r="CI35" i="6"/>
  <c r="CI37" i="6"/>
  <c r="CI39" i="6"/>
  <c r="CI44" i="6"/>
  <c r="CI45" i="6"/>
  <c r="CD45" i="6"/>
  <c r="CD44" i="6"/>
  <c r="CD39" i="6"/>
  <c r="CD37" i="6"/>
  <c r="CD35" i="6"/>
  <c r="BY37" i="6"/>
  <c r="BY35" i="6"/>
  <c r="BY44" i="6"/>
  <c r="BY45" i="6"/>
  <c r="DH44" i="6"/>
  <c r="EQ16" i="6"/>
  <c r="EQ18" i="6"/>
  <c r="EQ19" i="6"/>
  <c r="EL19" i="6"/>
  <c r="EL18" i="6"/>
  <c r="EL16" i="6"/>
  <c r="EG16" i="6"/>
  <c r="EG18" i="6"/>
  <c r="EG19" i="6"/>
  <c r="EB19" i="6"/>
  <c r="EB18" i="6"/>
  <c r="EB16" i="6"/>
  <c r="DW16" i="6"/>
  <c r="DW19" i="6"/>
  <c r="DW18" i="6"/>
  <c r="DM18" i="6"/>
  <c r="DM19" i="6"/>
  <c r="DR19" i="6"/>
  <c r="DR18" i="6"/>
  <c r="DR16" i="6"/>
  <c r="DM16" i="6"/>
  <c r="DH19" i="6"/>
  <c r="DH18" i="6"/>
  <c r="DH16" i="6"/>
  <c r="FW102" i="3" l="1"/>
  <c r="GB103" i="3" s="1"/>
  <c r="EV103" i="3"/>
  <c r="FX22" i="8"/>
  <c r="FX42" i="6" s="1"/>
  <c r="FY23" i="8"/>
  <c r="EU103" i="3"/>
  <c r="FH102" i="3"/>
  <c r="FM102" i="3"/>
  <c r="FR102" i="3"/>
  <c r="FJ105" i="3"/>
  <c r="FJ102" i="3" s="1"/>
  <c r="FI102" i="3"/>
  <c r="AA103" i="3"/>
  <c r="BE103" i="3"/>
  <c r="CI103" i="3"/>
  <c r="EQ103" i="3"/>
  <c r="Q103" i="3"/>
  <c r="AU103" i="3"/>
  <c r="FC102" i="3"/>
  <c r="BT103" i="3"/>
  <c r="CX103" i="3"/>
  <c r="EB103" i="3"/>
  <c r="FW104" i="3"/>
  <c r="EG103" i="3"/>
  <c r="FL103" i="3"/>
  <c r="FB103" i="3"/>
  <c r="AF103" i="3"/>
  <c r="BJ103" i="3"/>
  <c r="CN103" i="3"/>
  <c r="L103" i="3"/>
  <c r="AK103" i="3"/>
  <c r="BO103" i="3"/>
  <c r="DW103" i="3"/>
  <c r="CS103" i="3"/>
  <c r="DH103" i="3"/>
  <c r="DR103" i="3"/>
  <c r="FD102" i="3"/>
  <c r="FE105" i="3"/>
  <c r="FE102" i="3" s="1"/>
  <c r="FN102" i="3"/>
  <c r="FO105" i="3"/>
  <c r="FO102" i="3" s="1"/>
  <c r="FS102" i="3"/>
  <c r="FT105" i="3"/>
  <c r="FT102" i="3" s="1"/>
  <c r="FY105" i="3"/>
  <c r="FY102" i="3" s="1"/>
  <c r="FX102" i="3"/>
  <c r="GC103" i="3" s="1"/>
  <c r="DM103" i="3"/>
  <c r="V103" i="3"/>
  <c r="AZ103" i="3"/>
  <c r="CD103" i="3"/>
  <c r="EL103" i="3"/>
  <c r="FV103" i="3"/>
  <c r="EU104" i="3"/>
  <c r="BY103" i="3"/>
  <c r="DC103" i="3"/>
  <c r="FQ103" i="3"/>
  <c r="AP103" i="3"/>
  <c r="FG103" i="3"/>
  <c r="FZ23" i="8" l="1"/>
  <c r="GA23" i="8"/>
  <c r="GA104" i="3"/>
  <c r="GD103" i="3"/>
  <c r="FM104" i="3"/>
  <c r="FR103" i="3"/>
  <c r="FL104" i="3"/>
  <c r="FY22" i="8"/>
  <c r="FR104" i="3"/>
  <c r="FV104" i="3"/>
  <c r="FH103" i="3"/>
  <c r="FH104" i="3"/>
  <c r="FI104" i="3"/>
  <c r="FW103" i="3"/>
  <c r="FM103" i="3"/>
  <c r="FJ103" i="3"/>
  <c r="FK102" i="3"/>
  <c r="FC103" i="3"/>
  <c r="FC104" i="3"/>
  <c r="FJ104" i="3"/>
  <c r="FU102" i="3"/>
  <c r="FG104" i="3"/>
  <c r="FY103" i="3"/>
  <c r="FY104" i="3"/>
  <c r="FT103" i="3"/>
  <c r="FT104" i="3"/>
  <c r="FB104" i="3"/>
  <c r="FS103" i="3"/>
  <c r="FS104" i="3"/>
  <c r="FX103" i="3"/>
  <c r="FX104" i="3"/>
  <c r="FZ102" i="3"/>
  <c r="GE103" i="3" s="1"/>
  <c r="FO104" i="3"/>
  <c r="FQ104" i="3"/>
  <c r="FO103" i="3"/>
  <c r="FE104" i="3"/>
  <c r="FE103" i="3"/>
  <c r="FN103" i="3"/>
  <c r="FN104" i="3"/>
  <c r="FP102" i="3"/>
  <c r="FI103" i="3"/>
  <c r="FD104" i="3"/>
  <c r="FF102" i="3"/>
  <c r="FD103" i="3"/>
  <c r="GB23" i="8" l="1"/>
  <c r="GA22" i="8"/>
  <c r="FZ22" i="8"/>
  <c r="FY42" i="6"/>
  <c r="FZ42" i="6" s="1"/>
  <c r="FK103" i="3"/>
  <c r="FU103" i="3"/>
  <c r="FZ103" i="3"/>
  <c r="FP103" i="3"/>
  <c r="FF103" i="3"/>
  <c r="GA42" i="6" l="1"/>
  <c r="GB22" i="8"/>
  <c r="GB42" i="6" s="1"/>
  <c r="GC23" i="8"/>
  <c r="DQ35" i="18"/>
  <c r="DP35" i="18"/>
  <c r="DP36" i="18" s="1"/>
  <c r="DO35" i="18"/>
  <c r="DO36" i="18" s="1"/>
  <c r="DN35" i="18"/>
  <c r="DN37" i="18" s="1"/>
  <c r="DV35" i="18"/>
  <c r="DV42" i="18" s="1"/>
  <c r="DU35" i="18"/>
  <c r="DU42" i="18" s="1"/>
  <c r="DT35" i="18"/>
  <c r="DT42" i="18" s="1"/>
  <c r="DS35" i="18"/>
  <c r="EA35" i="18"/>
  <c r="EA42" i="18" s="1"/>
  <c r="DZ35" i="18"/>
  <c r="DZ42" i="18" s="1"/>
  <c r="DY35" i="18"/>
  <c r="DY42" i="18" s="1"/>
  <c r="DX35" i="18"/>
  <c r="DX42" i="18" s="1"/>
  <c r="EF35" i="18"/>
  <c r="EF42" i="18" s="1"/>
  <c r="EE35" i="18"/>
  <c r="EE42" i="18" s="1"/>
  <c r="ED35" i="18"/>
  <c r="ED42" i="18" s="1"/>
  <c r="EC35" i="18"/>
  <c r="EC42" i="18" s="1"/>
  <c r="EK35" i="18"/>
  <c r="EK42" i="18" s="1"/>
  <c r="EJ35" i="18"/>
  <c r="EJ42" i="18" s="1"/>
  <c r="EI35" i="18"/>
  <c r="EI42" i="18" s="1"/>
  <c r="EH35" i="18"/>
  <c r="EH42" i="18" s="1"/>
  <c r="EP35" i="18"/>
  <c r="EP42" i="18" s="1"/>
  <c r="EO35" i="18"/>
  <c r="EO42" i="18" s="1"/>
  <c r="EN35" i="18"/>
  <c r="EN42" i="18" s="1"/>
  <c r="EM35" i="18"/>
  <c r="EM42" i="18" s="1"/>
  <c r="ER35" i="18"/>
  <c r="ER42" i="18" s="1"/>
  <c r="DS40" i="2" l="1"/>
  <c r="DS98" i="2" s="1"/>
  <c r="DS103" i="2" s="1"/>
  <c r="DS42" i="18"/>
  <c r="EI40" i="2"/>
  <c r="EI98" i="2" s="1"/>
  <c r="EI103" i="2" s="1"/>
  <c r="EI38" i="18"/>
  <c r="EI39" i="18"/>
  <c r="EM40" i="2"/>
  <c r="EM98" i="2" s="1"/>
  <c r="EM103" i="2" s="1"/>
  <c r="EM38" i="18"/>
  <c r="EM39" i="18"/>
  <c r="EJ40" i="2"/>
  <c r="EJ98" i="2" s="1"/>
  <c r="EJ103" i="2" s="1"/>
  <c r="EJ39" i="18"/>
  <c r="EJ38" i="18"/>
  <c r="DX40" i="2"/>
  <c r="DX98" i="2" s="1"/>
  <c r="DX103" i="2" s="1"/>
  <c r="DX39" i="18"/>
  <c r="DX38" i="18"/>
  <c r="DU40" i="2"/>
  <c r="DU98" i="2" s="1"/>
  <c r="DU103" i="2" s="1"/>
  <c r="DU39" i="18"/>
  <c r="ER39" i="18"/>
  <c r="ER38" i="18"/>
  <c r="EW38" i="18"/>
  <c r="EF40" i="2"/>
  <c r="EF98" i="2" s="1"/>
  <c r="EF103" i="2" s="1"/>
  <c r="EF39" i="18"/>
  <c r="EF38" i="18"/>
  <c r="DT40" i="2"/>
  <c r="DT98" i="2" s="1"/>
  <c r="DT103" i="2" s="1"/>
  <c r="DT39" i="18"/>
  <c r="EN40" i="2"/>
  <c r="EN98" i="2" s="1"/>
  <c r="EN103" i="2" s="1"/>
  <c r="EN38" i="18"/>
  <c r="EN39" i="18"/>
  <c r="EK39" i="18"/>
  <c r="EK38" i="18"/>
  <c r="DY40" i="2"/>
  <c r="DY98" i="2" s="1"/>
  <c r="DY103" i="2" s="1"/>
  <c r="DY39" i="18"/>
  <c r="DY38" i="18"/>
  <c r="DV40" i="2"/>
  <c r="DV98" i="2" s="1"/>
  <c r="DV103" i="2" s="1"/>
  <c r="DV39" i="18"/>
  <c r="EP39" i="18"/>
  <c r="EP38" i="18"/>
  <c r="EU38" i="18"/>
  <c r="ED40" i="2"/>
  <c r="ED98" i="2" s="1"/>
  <c r="ED103" i="2" s="1"/>
  <c r="ED38" i="18"/>
  <c r="ED39" i="18"/>
  <c r="EA39" i="18"/>
  <c r="EA38" i="18"/>
  <c r="EH40" i="2"/>
  <c r="EH98" i="2" s="1"/>
  <c r="EH103" i="2" s="1"/>
  <c r="EH38" i="18"/>
  <c r="EH39" i="18"/>
  <c r="EE39" i="18"/>
  <c r="EE38" i="18"/>
  <c r="EO38" i="18"/>
  <c r="EO39" i="18"/>
  <c r="ET38" i="18"/>
  <c r="EC40" i="2"/>
  <c r="EC98" i="2" s="1"/>
  <c r="EC103" i="2" s="1"/>
  <c r="EC39" i="18"/>
  <c r="EC38" i="18"/>
  <c r="DZ40" i="2"/>
  <c r="DZ98" i="2" s="1"/>
  <c r="DZ103" i="2" s="1"/>
  <c r="DZ39" i="18"/>
  <c r="DZ38" i="18"/>
  <c r="ER40" i="2"/>
  <c r="ER98" i="2" s="1"/>
  <c r="ER104" i="2" s="1"/>
  <c r="EW36" i="18"/>
  <c r="GC22" i="8"/>
  <c r="GC42" i="6" s="1"/>
  <c r="GD23" i="8"/>
  <c r="EP40" i="2"/>
  <c r="EP98" i="2" s="1"/>
  <c r="EP104" i="2" s="1"/>
  <c r="EU36" i="18"/>
  <c r="EO40" i="2"/>
  <c r="EO98" i="2" s="1"/>
  <c r="EO104" i="2" s="1"/>
  <c r="ET36" i="18"/>
  <c r="DS101" i="2"/>
  <c r="DS104" i="2"/>
  <c r="DS102" i="2"/>
  <c r="EI104" i="2"/>
  <c r="EN36" i="18"/>
  <c r="EO37" i="18"/>
  <c r="EP36" i="18"/>
  <c r="EK37" i="18"/>
  <c r="EK40" i="2"/>
  <c r="EK98" i="2" s="1"/>
  <c r="EK103" i="2" s="1"/>
  <c r="EE36" i="18"/>
  <c r="EE40" i="2"/>
  <c r="EE98" i="2" s="1"/>
  <c r="ER36" i="18"/>
  <c r="EQ35" i="18"/>
  <c r="EN37" i="18"/>
  <c r="EO36" i="18"/>
  <c r="EM37" i="18"/>
  <c r="EA37" i="18"/>
  <c r="EA40" i="2"/>
  <c r="EA98" i="2" s="1"/>
  <c r="ER37" i="18"/>
  <c r="EP37" i="18"/>
  <c r="ED36" i="18"/>
  <c r="DN36" i="18"/>
  <c r="DS36" i="18"/>
  <c r="DT36" i="18"/>
  <c r="DQ37" i="18"/>
  <c r="DQ36" i="18"/>
  <c r="DY36" i="18"/>
  <c r="DV37" i="18"/>
  <c r="ED37" i="18"/>
  <c r="EF37" i="18"/>
  <c r="EK36" i="18"/>
  <c r="EH37" i="18"/>
  <c r="DO37" i="18"/>
  <c r="DR35" i="18"/>
  <c r="DR36" i="18" s="1"/>
  <c r="DV36" i="18"/>
  <c r="DP37" i="18"/>
  <c r="DU36" i="18"/>
  <c r="DZ36" i="18"/>
  <c r="DW35" i="18"/>
  <c r="DW40" i="2" s="1"/>
  <c r="DW98" i="2" s="1"/>
  <c r="DS37" i="18"/>
  <c r="DX36" i="18"/>
  <c r="DT37" i="18"/>
  <c r="DU37" i="18"/>
  <c r="DX37" i="18"/>
  <c r="EB35" i="18"/>
  <c r="DY37" i="18"/>
  <c r="EF36" i="18"/>
  <c r="DZ37" i="18"/>
  <c r="EA36" i="18"/>
  <c r="EJ36" i="18"/>
  <c r="EG35" i="18"/>
  <c r="EC37" i="18"/>
  <c r="EC36" i="18"/>
  <c r="EE37" i="18"/>
  <c r="EI37" i="18"/>
  <c r="EM36" i="18"/>
  <c r="EH36" i="18"/>
  <c r="EI36" i="18"/>
  <c r="EL35" i="18"/>
  <c r="EJ37" i="18"/>
  <c r="EG38" i="18" l="1"/>
  <c r="EW101" i="2"/>
  <c r="GD22" i="8"/>
  <c r="GD42" i="6" s="1"/>
  <c r="GE42" i="6" s="1"/>
  <c r="GF23" i="8"/>
  <c r="EW99" i="2"/>
  <c r="DT104" i="2"/>
  <c r="DV104" i="2"/>
  <c r="DU102" i="2"/>
  <c r="ED100" i="2"/>
  <c r="DU101" i="2"/>
  <c r="DU104" i="2"/>
  <c r="EC101" i="2"/>
  <c r="DY101" i="2"/>
  <c r="EM104" i="2"/>
  <c r="EJ100" i="2"/>
  <c r="EN100" i="2"/>
  <c r="DV101" i="2"/>
  <c r="EJ104" i="2"/>
  <c r="DT100" i="2"/>
  <c r="DZ101" i="2"/>
  <c r="DV100" i="2"/>
  <c r="DT101" i="2"/>
  <c r="DZ99" i="2"/>
  <c r="EC104" i="2"/>
  <c r="DV102" i="2"/>
  <c r="EJ102" i="2"/>
  <c r="EM101" i="2"/>
  <c r="DY99" i="2"/>
  <c r="EH99" i="2"/>
  <c r="DU100" i="2"/>
  <c r="EN101" i="2"/>
  <c r="EM99" i="2"/>
  <c r="EI99" i="2"/>
  <c r="DZ102" i="2"/>
  <c r="DX99" i="2"/>
  <c r="DT102" i="2"/>
  <c r="EI102" i="2"/>
  <c r="DY104" i="2"/>
  <c r="DX104" i="2"/>
  <c r="EH102" i="2"/>
  <c r="ED104" i="2"/>
  <c r="EF104" i="2"/>
  <c r="ER99" i="2"/>
  <c r="ED101" i="2"/>
  <c r="DZ100" i="2"/>
  <c r="EN104" i="2"/>
  <c r="EH104" i="2"/>
  <c r="DX100" i="2"/>
  <c r="EL40" i="2"/>
  <c r="EL98" i="2" s="1"/>
  <c r="EL104" i="2" s="1"/>
  <c r="EL38" i="18"/>
  <c r="EI100" i="2"/>
  <c r="ER101" i="2"/>
  <c r="ED102" i="2"/>
  <c r="DY102" i="2"/>
  <c r="EN99" i="2"/>
  <c r="EC99" i="2"/>
  <c r="DX101" i="2"/>
  <c r="EB40" i="2"/>
  <c r="EB98" i="2" s="1"/>
  <c r="EB99" i="2" s="1"/>
  <c r="EB38" i="18"/>
  <c r="ED99" i="2"/>
  <c r="EQ38" i="18"/>
  <c r="EV38" i="18"/>
  <c r="EI101" i="2"/>
  <c r="EH100" i="2"/>
  <c r="DZ104" i="2"/>
  <c r="DY100" i="2"/>
  <c r="EN102" i="2"/>
  <c r="EH101" i="2"/>
  <c r="DX102" i="2"/>
  <c r="GE22" i="8"/>
  <c r="ER100" i="2"/>
  <c r="GE23" i="8"/>
  <c r="ER102" i="2"/>
  <c r="EP100" i="2"/>
  <c r="EO102" i="2"/>
  <c r="EP102" i="2"/>
  <c r="EO99" i="2"/>
  <c r="EO101" i="2"/>
  <c r="EQ40" i="2"/>
  <c r="EQ98" i="2" s="1"/>
  <c r="EQ101" i="2" s="1"/>
  <c r="EV36" i="18"/>
  <c r="EO100" i="2"/>
  <c r="EU99" i="2"/>
  <c r="EU101" i="2"/>
  <c r="ET101" i="2"/>
  <c r="ET99" i="2"/>
  <c r="EF99" i="2"/>
  <c r="EA103" i="2"/>
  <c r="EJ99" i="2"/>
  <c r="EE103" i="2"/>
  <c r="EJ101" i="2"/>
  <c r="EF100" i="2"/>
  <c r="DW104" i="2"/>
  <c r="DW101" i="2"/>
  <c r="EK102" i="2"/>
  <c r="EK101" i="2"/>
  <c r="EK99" i="2"/>
  <c r="EK104" i="2"/>
  <c r="EK100" i="2"/>
  <c r="EF101" i="2"/>
  <c r="EP101" i="2"/>
  <c r="EC100" i="2"/>
  <c r="EC102" i="2"/>
  <c r="EM100" i="2"/>
  <c r="EE101" i="2"/>
  <c r="EE104" i="2"/>
  <c r="EE100" i="2"/>
  <c r="EE102" i="2"/>
  <c r="EE99" i="2"/>
  <c r="EP99" i="2"/>
  <c r="EM102" i="2"/>
  <c r="EA99" i="2"/>
  <c r="EA101" i="2"/>
  <c r="EA100" i="2"/>
  <c r="EA104" i="2"/>
  <c r="EA102" i="2"/>
  <c r="EF102" i="2"/>
  <c r="EG36" i="18"/>
  <c r="EG40" i="2"/>
  <c r="EG98" i="2" s="1"/>
  <c r="EB36" i="18"/>
  <c r="DW36" i="18"/>
  <c r="EQ36" i="18"/>
  <c r="EL36" i="18"/>
  <c r="GF22" i="8" l="1"/>
  <c r="GG23" i="8"/>
  <c r="EB104" i="2"/>
  <c r="EB101" i="2"/>
  <c r="EQ104" i="2"/>
  <c r="EQ99" i="2"/>
  <c r="EV99" i="2"/>
  <c r="EV101" i="2"/>
  <c r="EL101" i="2"/>
  <c r="EL99" i="2"/>
  <c r="EG104" i="2"/>
  <c r="EG99" i="2"/>
  <c r="EG101" i="2"/>
  <c r="EM102" i="17"/>
  <c r="EN102" i="17"/>
  <c r="EO102" i="17"/>
  <c r="ER102" i="17"/>
  <c r="ES98" i="17"/>
  <c r="DV23" i="18"/>
  <c r="DU23" i="18"/>
  <c r="DT23" i="18"/>
  <c r="EA23" i="18"/>
  <c r="DZ23" i="18"/>
  <c r="DY23" i="18"/>
  <c r="EF23" i="18"/>
  <c r="EE23" i="18"/>
  <c r="ED23" i="18"/>
  <c r="EK23" i="18"/>
  <c r="EJ23" i="18"/>
  <c r="EI23" i="18"/>
  <c r="EP23" i="18"/>
  <c r="EO23" i="18"/>
  <c r="EN23" i="18"/>
  <c r="ES23" i="18"/>
  <c r="DG18" i="18"/>
  <c r="DL18" i="18"/>
  <c r="DK18" i="18"/>
  <c r="DK19" i="18" s="1"/>
  <c r="DJ18" i="18"/>
  <c r="DJ19" i="18" s="1"/>
  <c r="DI18" i="18"/>
  <c r="DI19" i="18" s="1"/>
  <c r="DQ18" i="18"/>
  <c r="DP18" i="18"/>
  <c r="DO18" i="18"/>
  <c r="DN18" i="18"/>
  <c r="DV18" i="18"/>
  <c r="DU18" i="18"/>
  <c r="DT18" i="18"/>
  <c r="DS18" i="18"/>
  <c r="EA18" i="18"/>
  <c r="DZ18" i="18"/>
  <c r="DY18" i="18"/>
  <c r="DX18" i="18"/>
  <c r="EF18" i="18"/>
  <c r="EE18" i="18"/>
  <c r="ED18" i="18"/>
  <c r="EC18" i="18"/>
  <c r="EK18" i="18"/>
  <c r="EJ18" i="18"/>
  <c r="EI18" i="18"/>
  <c r="EH18" i="18"/>
  <c r="EM18" i="18"/>
  <c r="EN18" i="18"/>
  <c r="EO18" i="18"/>
  <c r="ET19" i="18" s="1"/>
  <c r="EP18" i="18"/>
  <c r="EU19" i="18" s="1"/>
  <c r="ER18" i="18"/>
  <c r="ES18" i="18"/>
  <c r="EX19" i="18" s="1"/>
  <c r="ES35" i="18"/>
  <c r="ES42" i="18" s="1"/>
  <c r="GH23" i="8" l="1"/>
  <c r="GG22" i="8"/>
  <c r="GF42" i="6"/>
  <c r="ES38" i="18"/>
  <c r="ES39" i="18"/>
  <c r="EX38" i="18"/>
  <c r="ET39" i="18"/>
  <c r="ET37" i="18"/>
  <c r="EX36" i="18"/>
  <c r="EV18" i="18"/>
  <c r="ER20" i="18"/>
  <c r="DQ20" i="18"/>
  <c r="ES20" i="18"/>
  <c r="ET20" i="18"/>
  <c r="EI20" i="18"/>
  <c r="DL20" i="18"/>
  <c r="DP20" i="18"/>
  <c r="EP20" i="18"/>
  <c r="EJ19" i="18"/>
  <c r="DS20" i="18"/>
  <c r="DI20" i="18"/>
  <c r="EN19" i="18"/>
  <c r="EC19" i="18"/>
  <c r="DZ19" i="18"/>
  <c r="EJ20" i="18"/>
  <c r="DX20" i="18"/>
  <c r="EM20" i="18"/>
  <c r="EI19" i="18"/>
  <c r="EA19" i="18"/>
  <c r="DO20" i="18"/>
  <c r="DN20" i="18"/>
  <c r="ED20" i="18"/>
  <c r="EE19" i="18"/>
  <c r="DT19" i="18"/>
  <c r="DU19" i="18"/>
  <c r="ES19" i="18"/>
  <c r="ER19" i="18"/>
  <c r="EF20" i="18"/>
  <c r="EO20" i="18"/>
  <c r="EK19" i="18"/>
  <c r="DY19" i="18"/>
  <c r="DV20" i="18"/>
  <c r="EO19" i="18"/>
  <c r="DT20" i="18"/>
  <c r="DZ20" i="18"/>
  <c r="EC20" i="18"/>
  <c r="EN20" i="18"/>
  <c r="EH19" i="18"/>
  <c r="EF19" i="18"/>
  <c r="DX19" i="18"/>
  <c r="DY20" i="18"/>
  <c r="DV19" i="18"/>
  <c r="DN19" i="18"/>
  <c r="DL19" i="18"/>
  <c r="DO19" i="18"/>
  <c r="EA20" i="18"/>
  <c r="EM19" i="18"/>
  <c r="DQ19" i="18"/>
  <c r="DJ20" i="18"/>
  <c r="EL18" i="18"/>
  <c r="DW18" i="18"/>
  <c r="ED19" i="18"/>
  <c r="EE20" i="18"/>
  <c r="DU20" i="18"/>
  <c r="DK20" i="18"/>
  <c r="EP19" i="18"/>
  <c r="EK20" i="18"/>
  <c r="DP19" i="18"/>
  <c r="EQ18" i="18"/>
  <c r="DS19" i="18"/>
  <c r="EH20" i="18"/>
  <c r="ER103" i="17"/>
  <c r="ES40" i="2"/>
  <c r="ES98" i="2" s="1"/>
  <c r="ES37" i="18"/>
  <c r="ES36" i="18"/>
  <c r="ES102" i="17"/>
  <c r="EB18" i="18"/>
  <c r="DM18" i="18"/>
  <c r="EG18" i="18"/>
  <c r="DR18" i="18"/>
  <c r="ES76" i="14"/>
  <c r="ES114" i="14"/>
  <c r="ES113" i="14"/>
  <c r="ES112" i="14"/>
  <c r="ES111" i="14"/>
  <c r="ES31" i="18"/>
  <c r="ES76" i="17"/>
  <c r="ES83" i="17"/>
  <c r="ES82" i="17"/>
  <c r="ES81" i="17"/>
  <c r="ES77" i="17"/>
  <c r="ES75" i="17"/>
  <c r="ES73" i="17"/>
  <c r="ES55" i="17"/>
  <c r="ES54" i="17"/>
  <c r="ES53" i="17"/>
  <c r="ES51" i="17"/>
  <c r="ES51" i="29" s="1"/>
  <c r="ES52" i="29" s="1"/>
  <c r="ES83" i="15"/>
  <c r="ES82" i="15"/>
  <c r="ES81" i="15"/>
  <c r="ES76" i="15"/>
  <c r="ES75" i="15"/>
  <c r="ES55" i="15"/>
  <c r="ES54" i="15"/>
  <c r="ES53" i="15"/>
  <c r="ES51" i="15"/>
  <c r="ES37" i="29" s="1"/>
  <c r="ES38" i="29" s="1"/>
  <c r="ES275" i="14"/>
  <c r="ES83" i="14"/>
  <c r="ES82" i="14"/>
  <c r="ES81" i="14"/>
  <c r="ES77" i="14"/>
  <c r="ES75" i="14"/>
  <c r="ES55" i="14"/>
  <c r="ES54" i="14"/>
  <c r="ES53" i="14"/>
  <c r="ES51" i="14"/>
  <c r="ES23" i="29" s="1"/>
  <c r="ES24" i="29" s="1"/>
  <c r="ES39" i="7"/>
  <c r="ES23" i="7"/>
  <c r="ES15" i="7"/>
  <c r="ES34" i="8"/>
  <c r="ES22" i="8"/>
  <c r="ES23" i="8" s="1"/>
  <c r="ES29" i="8" s="1"/>
  <c r="ES27" i="8" s="1"/>
  <c r="ES17" i="8"/>
  <c r="EX18" i="8" s="1"/>
  <c r="ES13" i="8"/>
  <c r="ES16" i="5"/>
  <c r="ES139" i="5"/>
  <c r="ES92" i="5"/>
  <c r="ES90" i="5"/>
  <c r="ES59" i="5"/>
  <c r="ET223" i="3" s="1"/>
  <c r="ET224" i="3" s="1"/>
  <c r="ES58" i="5"/>
  <c r="ES50" i="5"/>
  <c r="ES36" i="5"/>
  <c r="ES211" i="3"/>
  <c r="ES92" i="3"/>
  <c r="ES91" i="3"/>
  <c r="ES85" i="3"/>
  <c r="ES84" i="3"/>
  <c r="ES78" i="3"/>
  <c r="ES77" i="3"/>
  <c r="ES45" i="3"/>
  <c r="ES43" i="3"/>
  <c r="ES40" i="3"/>
  <c r="ES39" i="3"/>
  <c r="ES36" i="3"/>
  <c r="ES33" i="3"/>
  <c r="ES32" i="3"/>
  <c r="ES24" i="3"/>
  <c r="ES164" i="3" s="1"/>
  <c r="ES19" i="3"/>
  <c r="ES18" i="3"/>
  <c r="ES12" i="3"/>
  <c r="ES11" i="3"/>
  <c r="GG42" i="6" l="1"/>
  <c r="GI23" i="8"/>
  <c r="GJ23" i="8" s="1"/>
  <c r="GH22" i="8"/>
  <c r="EV19" i="18"/>
  <c r="ET10" i="8"/>
  <c r="EX14" i="8"/>
  <c r="EX46" i="3"/>
  <c r="EX48" i="3"/>
  <c r="EX28" i="3"/>
  <c r="EX25" i="3"/>
  <c r="EX69" i="29" s="1"/>
  <c r="EX70" i="29" s="1"/>
  <c r="EX16" i="7"/>
  <c r="EX18" i="7"/>
  <c r="EX24" i="7"/>
  <c r="EX26" i="7"/>
  <c r="EX101" i="2"/>
  <c r="EX99" i="2"/>
  <c r="ES104" i="17"/>
  <c r="EX103" i="17"/>
  <c r="ES110" i="3"/>
  <c r="ES105" i="3"/>
  <c r="ES100" i="3"/>
  <c r="EX165" i="3"/>
  <c r="ET19" i="7"/>
  <c r="ET48" i="7" s="1"/>
  <c r="ET17" i="7"/>
  <c r="ET25" i="7"/>
  <c r="ET27" i="7"/>
  <c r="ET53" i="7" s="1"/>
  <c r="ET100" i="2"/>
  <c r="ET102" i="2"/>
  <c r="ET47" i="3"/>
  <c r="ET49" i="3"/>
  <c r="ES43" i="8"/>
  <c r="EX44" i="8" s="1"/>
  <c r="ER40" i="8"/>
  <c r="ES25" i="5"/>
  <c r="ES44" i="5"/>
  <c r="ES12" i="8"/>
  <c r="DR19" i="18"/>
  <c r="DW19" i="18"/>
  <c r="DM21" i="18"/>
  <c r="DM19" i="18"/>
  <c r="EL19" i="18"/>
  <c r="EB19" i="18"/>
  <c r="EG19" i="18"/>
  <c r="EQ19" i="18"/>
  <c r="ES103" i="17"/>
  <c r="ES77" i="29"/>
  <c r="ES79" i="29" s="1"/>
  <c r="ES63" i="29"/>
  <c r="ES22" i="3"/>
  <c r="ES101" i="2"/>
  <c r="ES102" i="2"/>
  <c r="ES100" i="2"/>
  <c r="ES99" i="2"/>
  <c r="ES104" i="2"/>
  <c r="ES56" i="14"/>
  <c r="ES15" i="3"/>
  <c r="ES35" i="8"/>
  <c r="ES16" i="8"/>
  <c r="ES99" i="17"/>
  <c r="ES66" i="3"/>
  <c r="ES57" i="5"/>
  <c r="ES81" i="3"/>
  <c r="ES95" i="3"/>
  <c r="ES10" i="7"/>
  <c r="ES56" i="15"/>
  <c r="ES56" i="17"/>
  <c r="ES88" i="3"/>
  <c r="ES56" i="5"/>
  <c r="ES31" i="7"/>
  <c r="ES60" i="5"/>
  <c r="ES51" i="5"/>
  <c r="GI22" i="8" l="1"/>
  <c r="GH42" i="6"/>
  <c r="GJ22" i="8"/>
  <c r="ES37" i="8"/>
  <c r="EX36" i="8"/>
  <c r="EX69" i="3"/>
  <c r="EX67" i="3"/>
  <c r="ES29" i="7"/>
  <c r="EX11" i="7"/>
  <c r="EX34" i="7"/>
  <c r="EX44" i="7" s="1"/>
  <c r="EY46" i="7" s="1"/>
  <c r="EX32" i="7"/>
  <c r="ET33" i="7"/>
  <c r="ET35" i="7"/>
  <c r="ES94" i="5"/>
  <c r="ES151" i="5"/>
  <c r="FH95" i="3"/>
  <c r="FM95" i="3" s="1"/>
  <c r="FR95" i="3" s="1"/>
  <c r="FW95" i="3" s="1"/>
  <c r="GB95" i="3" s="1"/>
  <c r="GG95" i="3" s="1"/>
  <c r="ES53" i="5"/>
  <c r="ES78" i="29"/>
  <c r="ES71" i="3"/>
  <c r="ES65" i="29"/>
  <c r="ES64" i="29"/>
  <c r="ES40" i="7"/>
  <c r="ES118" i="3"/>
  <c r="ES177" i="3" s="1"/>
  <c r="ES75" i="5"/>
  <c r="ES91" i="5"/>
  <c r="ES78" i="5"/>
  <c r="ES89" i="5"/>
  <c r="ES87" i="5"/>
  <c r="ES97" i="5"/>
  <c r="ES28" i="7"/>
  <c r="ES21" i="7"/>
  <c r="ES20" i="7"/>
  <c r="ES36" i="7"/>
  <c r="GI42" i="6" l="1"/>
  <c r="GJ42" i="6" s="1"/>
  <c r="EX41" i="7"/>
  <c r="FH88" i="3"/>
  <c r="FM88" i="3" s="1"/>
  <c r="FR88" i="3" s="1"/>
  <c r="FW88" i="3" s="1"/>
  <c r="GB88" i="3" s="1"/>
  <c r="GG88" i="3" s="1"/>
  <c r="ES230" i="3"/>
  <c r="ES232" i="3" s="1"/>
  <c r="EX119" i="3"/>
  <c r="EX121" i="3"/>
  <c r="EX178" i="3"/>
  <c r="ES134" i="3"/>
  <c r="ES123" i="3"/>
  <c r="EX124" i="3" s="1"/>
  <c r="ES139" i="3" l="1"/>
  <c r="ES190" i="3" s="1"/>
  <c r="ES137" i="3"/>
  <c r="ES140" i="3" l="1"/>
  <c r="EX191" i="3"/>
  <c r="ES102" i="29"/>
  <c r="ES103" i="29" s="1"/>
  <c r="ES212" i="3"/>
  <c r="EX213" i="3" s="1"/>
  <c r="ES10" i="6"/>
  <c r="DQ238" i="17" l="1"/>
  <c r="DV238" i="17"/>
  <c r="EA238" i="17"/>
  <c r="EF238" i="17"/>
  <c r="EK238" i="17"/>
  <c r="EP238" i="17"/>
  <c r="ES240" i="17"/>
  <c r="DO240" i="17"/>
  <c r="DP240" i="17"/>
  <c r="DT240" i="17"/>
  <c r="DU240" i="17"/>
  <c r="DY240" i="17"/>
  <c r="DZ240" i="17"/>
  <c r="ED240" i="17"/>
  <c r="EE240" i="17"/>
  <c r="EI240" i="17"/>
  <c r="EJ240" i="17"/>
  <c r="EN240" i="17"/>
  <c r="EO240" i="17"/>
  <c r="DO242" i="17"/>
  <c r="DP242" i="17"/>
  <c r="DT242" i="17"/>
  <c r="DU242" i="17"/>
  <c r="DY242" i="17"/>
  <c r="DZ242" i="17"/>
  <c r="ED242" i="17"/>
  <c r="EE242" i="17"/>
  <c r="EI242" i="17"/>
  <c r="EJ242" i="17"/>
  <c r="EN242" i="17"/>
  <c r="EO242" i="17"/>
  <c r="ES242" i="17"/>
  <c r="EU241" i="17" l="1"/>
  <c r="EU239" i="17"/>
  <c r="EP242" i="17"/>
  <c r="EP241" i="17"/>
  <c r="EP239" i="17"/>
  <c r="EM240" i="17"/>
  <c r="EK241" i="17"/>
  <c r="EK239" i="17"/>
  <c r="EH242" i="17"/>
  <c r="EF239" i="17"/>
  <c r="EF241" i="17"/>
  <c r="EC242" i="17"/>
  <c r="EA241" i="17"/>
  <c r="EA239" i="17"/>
  <c r="DV240" i="17"/>
  <c r="DV239" i="17"/>
  <c r="DV241" i="17"/>
  <c r="EH240" i="17"/>
  <c r="DQ240" i="17"/>
  <c r="DQ239" i="17"/>
  <c r="DS240" i="17"/>
  <c r="EF240" i="17"/>
  <c r="DV242" i="17"/>
  <c r="DQ242" i="17"/>
  <c r="DX242" i="17"/>
  <c r="EA242" i="17"/>
  <c r="DS242" i="17"/>
  <c r="EC240" i="17"/>
  <c r="EM242" i="17"/>
  <c r="EF242" i="17"/>
  <c r="EA240" i="17"/>
  <c r="ER240" i="17"/>
  <c r="EP240" i="17"/>
  <c r="ER242" i="17"/>
  <c r="EK242" i="17"/>
  <c r="EK240" i="17"/>
  <c r="DX240" i="17"/>
  <c r="EV241" i="17" l="1"/>
  <c r="DB182" i="14" l="1"/>
  <c r="ER24" i="3" l="1"/>
  <c r="EP24" i="3"/>
  <c r="EO24" i="3"/>
  <c r="DN225" i="15"/>
  <c r="DO225" i="15"/>
  <c r="DP225" i="15"/>
  <c r="DS225" i="15"/>
  <c r="DT225" i="15"/>
  <c r="DU225" i="15"/>
  <c r="DX225" i="15"/>
  <c r="DY225" i="15"/>
  <c r="DZ225" i="15"/>
  <c r="EC225" i="15"/>
  <c r="ED225" i="15"/>
  <c r="EE225" i="15"/>
  <c r="EH225" i="15"/>
  <c r="EI225" i="15"/>
  <c r="EJ225" i="15"/>
  <c r="EN225" i="15"/>
  <c r="EO225" i="15"/>
  <c r="FE234" i="15"/>
  <c r="FD234" i="15"/>
  <c r="FC234" i="15"/>
  <c r="FB234" i="15"/>
  <c r="FF232" i="15"/>
  <c r="FJ234" i="15"/>
  <c r="FI234" i="15"/>
  <c r="FH234" i="15"/>
  <c r="FG234" i="15"/>
  <c r="FK232" i="15"/>
  <c r="FO234" i="15"/>
  <c r="FN234" i="15"/>
  <c r="FM234" i="15"/>
  <c r="FL234" i="15"/>
  <c r="FP232" i="15"/>
  <c r="FT234" i="15"/>
  <c r="FS234" i="15"/>
  <c r="FR234" i="15"/>
  <c r="FQ234" i="15"/>
  <c r="FU232" i="15"/>
  <c r="FY234" i="15"/>
  <c r="FX234" i="15"/>
  <c r="FW234" i="15"/>
  <c r="FV234" i="15"/>
  <c r="ER15" i="18"/>
  <c r="ER14" i="18"/>
  <c r="ER13" i="18"/>
  <c r="FW113" i="18"/>
  <c r="FR113" i="18"/>
  <c r="FS113" i="18" s="1"/>
  <c r="FT113" i="18" s="1"/>
  <c r="FM113" i="18"/>
  <c r="FH113" i="18"/>
  <c r="FI113" i="18" s="1"/>
  <c r="FJ113" i="18" s="1"/>
  <c r="FC113" i="18"/>
  <c r="ES113" i="18"/>
  <c r="ET113" i="18" s="1"/>
  <c r="DQ106" i="18"/>
  <c r="DP106" i="18"/>
  <c r="DO106" i="18"/>
  <c r="DN106" i="18"/>
  <c r="EN113" i="18"/>
  <c r="EO113" i="18" s="1"/>
  <c r="EP113" i="18" s="1"/>
  <c r="EI113" i="18"/>
  <c r="ED113" i="18"/>
  <c r="DY113" i="18"/>
  <c r="DT113" i="18"/>
  <c r="DU113" i="18" s="1"/>
  <c r="DV113" i="18" s="1"/>
  <c r="DN108" i="18"/>
  <c r="DN114" i="18" s="1"/>
  <c r="DO108" i="18"/>
  <c r="DO114" i="18" s="1"/>
  <c r="DP108" i="18"/>
  <c r="DP114" i="18" s="1"/>
  <c r="EO164" i="3" l="1"/>
  <c r="EP164" i="3"/>
  <c r="EU165" i="3" s="1"/>
  <c r="ER164" i="3"/>
  <c r="EW165" i="3" s="1"/>
  <c r="FU233" i="15"/>
  <c r="FK233" i="15"/>
  <c r="FP233" i="15"/>
  <c r="EO110" i="3"/>
  <c r="EO105" i="3"/>
  <c r="EO100" i="3"/>
  <c r="EP105" i="3"/>
  <c r="EP100" i="3"/>
  <c r="EP110" i="3"/>
  <c r="ER100" i="3"/>
  <c r="EW25" i="3"/>
  <c r="EW69" i="29" s="1"/>
  <c r="EW70" i="29" s="1"/>
  <c r="EW28" i="3"/>
  <c r="ER110" i="3"/>
  <c r="ER105" i="3"/>
  <c r="ET108" i="18"/>
  <c r="EU113" i="18"/>
  <c r="EU108" i="18" s="1"/>
  <c r="ES234" i="15"/>
  <c r="EU28" i="3"/>
  <c r="EU25" i="3"/>
  <c r="EU69" i="29" s="1"/>
  <c r="EU70" i="29" s="1"/>
  <c r="EP29" i="3"/>
  <c r="ER29" i="3"/>
  <c r="ES29" i="3"/>
  <c r="EP15" i="3"/>
  <c r="EP63" i="29"/>
  <c r="EP22" i="3"/>
  <c r="EO15" i="3"/>
  <c r="EO63" i="29"/>
  <c r="EO22" i="3"/>
  <c r="ER63" i="29"/>
  <c r="ER22" i="3"/>
  <c r="ES27" i="3"/>
  <c r="ER15" i="3"/>
  <c r="FX113" i="18"/>
  <c r="FN113" i="18"/>
  <c r="FD113" i="18"/>
  <c r="EJ113" i="18"/>
  <c r="EE113" i="18"/>
  <c r="DZ113" i="18"/>
  <c r="EU114" i="18" l="1"/>
  <c r="ET114" i="18"/>
  <c r="EY109" i="18"/>
  <c r="EY111" i="18"/>
  <c r="EU112" i="18"/>
  <c r="EU110" i="18"/>
  <c r="EP65" i="29"/>
  <c r="EP64" i="29"/>
  <c r="EO65" i="29"/>
  <c r="EO64" i="29"/>
  <c r="ER65" i="29"/>
  <c r="ER64" i="29"/>
  <c r="FY113" i="18"/>
  <c r="FO113" i="18"/>
  <c r="FE113" i="18"/>
  <c r="EZ113" i="18"/>
  <c r="EZ108" i="18" s="1"/>
  <c r="EK113" i="18"/>
  <c r="EF113" i="18"/>
  <c r="EA113" i="18"/>
  <c r="EZ110" i="18" l="1"/>
  <c r="EZ112" i="18"/>
  <c r="EZ109" i="18"/>
  <c r="EZ111" i="18"/>
  <c r="DQ108" i="18"/>
  <c r="DL99" i="18"/>
  <c r="DK99" i="18"/>
  <c r="DJ99" i="18"/>
  <c r="DQ99" i="18"/>
  <c r="DP99" i="18"/>
  <c r="DP113" i="18" s="1"/>
  <c r="DO99" i="18"/>
  <c r="DO113" i="18" s="1"/>
  <c r="DN99" i="18"/>
  <c r="DN113" i="18" s="1"/>
  <c r="EG99" i="18"/>
  <c r="EL99" i="18"/>
  <c r="EJ99" i="18"/>
  <c r="EJ108" i="18" s="1"/>
  <c r="EI99" i="18"/>
  <c r="EI108" i="18" s="1"/>
  <c r="EH99" i="18"/>
  <c r="EH108" i="18" s="1"/>
  <c r="DQ101" i="18"/>
  <c r="DP101" i="18"/>
  <c r="DV101" i="18"/>
  <c r="DU101" i="18"/>
  <c r="DT101" i="18"/>
  <c r="DS101" i="18"/>
  <c r="EA101" i="18"/>
  <c r="DZ101" i="18"/>
  <c r="DY101" i="18"/>
  <c r="DX101" i="18"/>
  <c r="EF101" i="18"/>
  <c r="EE101" i="18"/>
  <c r="ED101" i="18"/>
  <c r="EC101" i="18"/>
  <c r="EK101" i="18"/>
  <c r="EJ101" i="18"/>
  <c r="EI101" i="18"/>
  <c r="EH101" i="18"/>
  <c r="ER101" i="18"/>
  <c r="EP101" i="18"/>
  <c r="EO101" i="18"/>
  <c r="EN101" i="18"/>
  <c r="EM101" i="18"/>
  <c r="ER99" i="18"/>
  <c r="ER108" i="18" s="1"/>
  <c r="EQ99" i="18"/>
  <c r="EV100" i="18" s="1"/>
  <c r="EO99" i="18"/>
  <c r="EN99" i="18"/>
  <c r="EN108" i="18" s="1"/>
  <c r="EM99" i="18"/>
  <c r="EM108" i="18" s="1"/>
  <c r="ER111" i="14"/>
  <c r="ES89" i="18"/>
  <c r="ER89" i="18"/>
  <c r="ES81" i="18"/>
  <c r="ER81" i="18"/>
  <c r="ES73" i="18"/>
  <c r="ER73" i="18"/>
  <c r="DC80" i="18"/>
  <c r="DG81" i="18"/>
  <c r="DF81" i="18"/>
  <c r="DE81" i="18"/>
  <c r="DD81" i="18"/>
  <c r="DL81" i="18"/>
  <c r="DK81" i="18"/>
  <c r="DJ81" i="18"/>
  <c r="DI81" i="18"/>
  <c r="DQ81" i="18"/>
  <c r="DP81" i="18"/>
  <c r="DO81" i="18"/>
  <c r="DN81" i="18"/>
  <c r="DV81" i="18"/>
  <c r="DU81" i="18"/>
  <c r="DT81" i="18"/>
  <c r="DS81" i="18"/>
  <c r="EA81" i="18"/>
  <c r="DZ81" i="18"/>
  <c r="DY81" i="18"/>
  <c r="DX81" i="18"/>
  <c r="EF81" i="18"/>
  <c r="EE81" i="18"/>
  <c r="ED81" i="18"/>
  <c r="EC81" i="18"/>
  <c r="EK81" i="18"/>
  <c r="EJ81" i="18"/>
  <c r="EI81" i="18"/>
  <c r="EH81" i="18"/>
  <c r="EP81" i="18"/>
  <c r="EO81" i="18"/>
  <c r="EN81" i="18"/>
  <c r="EM81" i="18"/>
  <c r="CX72" i="18"/>
  <c r="CW72" i="18"/>
  <c r="CV72" i="18"/>
  <c r="CU72" i="18"/>
  <c r="CT72" i="18"/>
  <c r="DC72" i="18"/>
  <c r="DA72" i="18"/>
  <c r="CZ72" i="18"/>
  <c r="CY72" i="18"/>
  <c r="DG73" i="18"/>
  <c r="DF73" i="18"/>
  <c r="DE73" i="18"/>
  <c r="DD73" i="18"/>
  <c r="DL73" i="18"/>
  <c r="DK73" i="18"/>
  <c r="DJ73" i="18"/>
  <c r="DI73" i="18"/>
  <c r="DQ73" i="18"/>
  <c r="DP73" i="18"/>
  <c r="DO73" i="18"/>
  <c r="DN73" i="18"/>
  <c r="DV73" i="18"/>
  <c r="DU73" i="18"/>
  <c r="DT73" i="18"/>
  <c r="DS73" i="18"/>
  <c r="EA73" i="18"/>
  <c r="DZ73" i="18"/>
  <c r="DY73" i="18"/>
  <c r="DX73" i="18"/>
  <c r="EF73" i="18"/>
  <c r="EE73" i="18"/>
  <c r="ED73" i="18"/>
  <c r="EC73" i="18"/>
  <c r="EK73" i="18"/>
  <c r="EJ73" i="18"/>
  <c r="EI73" i="18"/>
  <c r="EH73" i="18"/>
  <c r="EP73" i="18"/>
  <c r="EO73" i="18"/>
  <c r="EN73" i="18"/>
  <c r="EM73" i="18"/>
  <c r="EO108" i="18" l="1"/>
  <c r="EO114" i="18" s="1"/>
  <c r="ET100" i="18"/>
  <c r="ER111" i="18"/>
  <c r="ER109" i="18"/>
  <c r="ER114" i="18"/>
  <c r="EH114" i="18"/>
  <c r="EI112" i="18"/>
  <c r="EI114" i="18"/>
  <c r="EI110" i="18"/>
  <c r="EJ114" i="18"/>
  <c r="EJ112" i="18"/>
  <c r="EJ110" i="18"/>
  <c r="EM111" i="18"/>
  <c r="EM109" i="18"/>
  <c r="EM114" i="18"/>
  <c r="EN111" i="18"/>
  <c r="EN109" i="18"/>
  <c r="EN112" i="18"/>
  <c r="EN114" i="18"/>
  <c r="EN110" i="18"/>
  <c r="EO111" i="18"/>
  <c r="EO112" i="18"/>
  <c r="DQ114" i="18"/>
  <c r="DR108" i="18"/>
  <c r="DQ113" i="18"/>
  <c r="ER100" i="18"/>
  <c r="EM100" i="18"/>
  <c r="EN100" i="18"/>
  <c r="EL100" i="18"/>
  <c r="DP100" i="18"/>
  <c r="EO100" i="18"/>
  <c r="DQ100" i="18"/>
  <c r="ER103" i="18"/>
  <c r="EM269" i="14"/>
  <c r="EM268" i="14"/>
  <c r="EO109" i="18" l="1"/>
  <c r="EO110" i="18"/>
  <c r="ET111" i="18"/>
  <c r="ET109" i="18"/>
  <c r="DN325" i="14" l="1"/>
  <c r="FY122" i="18"/>
  <c r="FX122" i="18"/>
  <c r="FW122" i="18"/>
  <c r="FV122" i="18"/>
  <c r="FO122" i="18"/>
  <c r="FN122" i="18"/>
  <c r="FM122" i="18"/>
  <c r="FL122" i="18"/>
  <c r="FT122" i="18"/>
  <c r="FS122" i="18"/>
  <c r="FR122" i="18"/>
  <c r="FQ122" i="18"/>
  <c r="FJ122" i="18"/>
  <c r="FI122" i="18"/>
  <c r="FH122" i="18"/>
  <c r="FG122" i="18"/>
  <c r="FE122" i="18"/>
  <c r="FD122" i="18"/>
  <c r="FC122" i="18"/>
  <c r="FB122" i="18"/>
  <c r="EW122" i="18"/>
  <c r="ES122" i="18"/>
  <c r="ER122" i="18"/>
  <c r="DL122" i="18"/>
  <c r="DK122" i="18"/>
  <c r="DQ122" i="18"/>
  <c r="DP122" i="18"/>
  <c r="DO122" i="18"/>
  <c r="DN122" i="18"/>
  <c r="DV122" i="18"/>
  <c r="DU122" i="18"/>
  <c r="DT122" i="18"/>
  <c r="DS122" i="18"/>
  <c r="EA122" i="18"/>
  <c r="DZ122" i="18"/>
  <c r="DY122" i="18"/>
  <c r="DX122" i="18"/>
  <c r="EF122" i="18"/>
  <c r="EE122" i="18"/>
  <c r="ED122" i="18"/>
  <c r="EC122" i="18"/>
  <c r="EK122" i="18"/>
  <c r="EJ122" i="18"/>
  <c r="EI122" i="18"/>
  <c r="EH122" i="18"/>
  <c r="FW137" i="3"/>
  <c r="FR137" i="3"/>
  <c r="FM137" i="3"/>
  <c r="FH137" i="3"/>
  <c r="FC137" i="3"/>
  <c r="FX137" i="3" l="1"/>
  <c r="FD137" i="3"/>
  <c r="FN137" i="3"/>
  <c r="FI137" i="3"/>
  <c r="FS137" i="3"/>
  <c r="DS325" i="14"/>
  <c r="DP325" i="14" s="1"/>
  <c r="DO325" i="14" s="1"/>
  <c r="DT325" i="14" s="1"/>
  <c r="DY325" i="14" s="1"/>
  <c r="ED325" i="14" s="1"/>
  <c r="EI325" i="14" s="1"/>
  <c r="EN325" i="14" s="1"/>
  <c r="ES325" i="14" s="1"/>
  <c r="EX325" i="14" s="1"/>
  <c r="FJ137" i="3" l="1"/>
  <c r="FO137" i="3"/>
  <c r="FY137" i="3"/>
  <c r="FT137" i="3"/>
  <c r="FE137" i="3"/>
  <c r="DU325" i="14"/>
  <c r="DZ325" i="14" s="1"/>
  <c r="EE325" i="14" s="1"/>
  <c r="EJ325" i="14" s="1"/>
  <c r="EO325" i="14" s="1"/>
  <c r="ET325" i="14" s="1"/>
  <c r="EY325" i="14" s="1"/>
  <c r="DQ325" i="14"/>
  <c r="DX325" i="14"/>
  <c r="EC325" i="14" s="1"/>
  <c r="EH325" i="14" s="1"/>
  <c r="EM325" i="14" s="1"/>
  <c r="ER325" i="14" s="1"/>
  <c r="EW325" i="14" s="1"/>
  <c r="DR325" i="14" l="1"/>
  <c r="DR326" i="14" s="1"/>
  <c r="DV325" i="14"/>
  <c r="EA325" i="14" l="1"/>
  <c r="DW325" i="14"/>
  <c r="DW326" i="14" s="1"/>
  <c r="EB325" i="14" l="1"/>
  <c r="EF325" i="14"/>
  <c r="EG325" i="14" l="1"/>
  <c r="EK325" i="14"/>
  <c r="EL325" i="14" l="1"/>
  <c r="EP325" i="14"/>
  <c r="EQ325" i="14" l="1"/>
  <c r="EU325" i="14"/>
  <c r="FW100" i="3"/>
  <c r="FX100" i="3" s="1"/>
  <c r="FY100" i="3" s="1"/>
  <c r="FR100" i="3"/>
  <c r="FS100" i="3" s="1"/>
  <c r="FT100" i="3" s="1"/>
  <c r="FM100" i="3"/>
  <c r="FN100" i="3" s="1"/>
  <c r="FO100" i="3" s="1"/>
  <c r="FH100" i="3"/>
  <c r="FI100" i="3" s="1"/>
  <c r="FJ100" i="3" s="1"/>
  <c r="FC100" i="3"/>
  <c r="FD100" i="3" s="1"/>
  <c r="FE100" i="3" s="1"/>
  <c r="ER55" i="14"/>
  <c r="ER54" i="14"/>
  <c r="ER53" i="14"/>
  <c r="ER51" i="14"/>
  <c r="ER23" i="29" s="1"/>
  <c r="ER24" i="29" s="1"/>
  <c r="ER113" i="14"/>
  <c r="ER55" i="15"/>
  <c r="ER54" i="15"/>
  <c r="ER53" i="15"/>
  <c r="ER55" i="17"/>
  <c r="ER54" i="17"/>
  <c r="ER53" i="17"/>
  <c r="ER93" i="17"/>
  <c r="ES94" i="17"/>
  <c r="EV325" i="14" l="1"/>
  <c r="EZ325" i="14"/>
  <c r="FA325" i="14" s="1"/>
  <c r="ES92" i="17"/>
  <c r="DZ106" i="17" l="1"/>
  <c r="DU106" i="17" s="1"/>
  <c r="DU112" i="17" s="1"/>
  <c r="DY106" i="17"/>
  <c r="DT106" i="17" s="1"/>
  <c r="DX106" i="17"/>
  <c r="EC106" i="17" s="1"/>
  <c r="DW106" i="17"/>
  <c r="EF110" i="17"/>
  <c r="CX114" i="17"/>
  <c r="DC114" i="17" s="1"/>
  <c r="CT114" i="17"/>
  <c r="CY114" i="17" s="1"/>
  <c r="CU114" i="17"/>
  <c r="CZ114" i="17" s="1"/>
  <c r="CV114" i="17"/>
  <c r="DA114" i="17" s="1"/>
  <c r="ER243" i="17"/>
  <c r="ER198" i="17"/>
  <c r="ER196" i="17"/>
  <c r="ES196" i="17"/>
  <c r="ER141" i="17"/>
  <c r="ER139" i="17"/>
  <c r="CV159" i="17"/>
  <c r="CX159" i="17"/>
  <c r="CZ159" i="17"/>
  <c r="CZ143" i="17" s="1"/>
  <c r="CS159" i="17"/>
  <c r="CO159" i="17"/>
  <c r="CJ255" i="14"/>
  <c r="CO255" i="14" s="1"/>
  <c r="CZ74" i="42" l="1"/>
  <c r="CZ76" i="42" s="1"/>
  <c r="CN159" i="17"/>
  <c r="CT159" i="17"/>
  <c r="DC159" i="17"/>
  <c r="DC143" i="17" s="1"/>
  <c r="CX160" i="17"/>
  <c r="DA159" i="17"/>
  <c r="DA143" i="17" s="1"/>
  <c r="DE159" i="17"/>
  <c r="DD159" i="17"/>
  <c r="DD143" i="17" s="1"/>
  <c r="EE106" i="17"/>
  <c r="EE114" i="17" s="1"/>
  <c r="EE120" i="17" s="1"/>
  <c r="DZ112" i="17"/>
  <c r="CW114" i="17"/>
  <c r="DZ109" i="17"/>
  <c r="DO106" i="17"/>
  <c r="DJ106" i="17" s="1"/>
  <c r="DT112" i="17"/>
  <c r="DT114" i="17"/>
  <c r="EB106" i="17"/>
  <c r="EA106" i="17" s="1"/>
  <c r="EF106" i="17" s="1"/>
  <c r="ED106" i="17"/>
  <c r="DP106" i="17"/>
  <c r="DU114" i="17"/>
  <c r="DU120" i="17" s="1"/>
  <c r="DU111" i="17"/>
  <c r="DY112" i="17"/>
  <c r="DX114" i="17"/>
  <c r="DU109" i="17"/>
  <c r="DY111" i="17"/>
  <c r="EH106" i="17"/>
  <c r="DY114" i="17"/>
  <c r="DY109" i="17"/>
  <c r="DZ111" i="17"/>
  <c r="EC112" i="17"/>
  <c r="EC114" i="17"/>
  <c r="DS106" i="17"/>
  <c r="DT109" i="17" s="1"/>
  <c r="DZ114" i="17"/>
  <c r="DX112" i="17"/>
  <c r="DB114" i="17"/>
  <c r="ES195" i="17"/>
  <c r="ES197" i="17"/>
  <c r="CZ162" i="17"/>
  <c r="CZ164" i="17"/>
  <c r="CJ159" i="17"/>
  <c r="DD144" i="17" l="1"/>
  <c r="DE143" i="17"/>
  <c r="CZ77" i="42"/>
  <c r="DC74" i="42"/>
  <c r="DC75" i="42" s="1"/>
  <c r="DA74" i="42"/>
  <c r="DA76" i="42" s="1"/>
  <c r="DH159" i="17"/>
  <c r="DH143" i="17" s="1"/>
  <c r="DH144" i="17" s="1"/>
  <c r="CY75" i="42"/>
  <c r="DJ159" i="17"/>
  <c r="DJ143" i="17" s="1"/>
  <c r="DE162" i="17"/>
  <c r="DB159" i="17"/>
  <c r="DB143" i="17" s="1"/>
  <c r="DE164" i="17"/>
  <c r="DA164" i="17"/>
  <c r="DF159" i="17"/>
  <c r="DF143" i="17" s="1"/>
  <c r="DA162" i="17"/>
  <c r="EJ106" i="17"/>
  <c r="EJ114" i="17" s="1"/>
  <c r="EE112" i="17"/>
  <c r="DI159" i="17"/>
  <c r="EE111" i="17"/>
  <c r="EE118" i="17"/>
  <c r="DT111" i="17"/>
  <c r="DX110" i="17"/>
  <c r="EF111" i="17"/>
  <c r="EF109" i="17"/>
  <c r="EG106" i="17"/>
  <c r="EG112" i="17" s="1"/>
  <c r="DO114" i="17"/>
  <c r="DO112" i="17"/>
  <c r="DO110" i="17"/>
  <c r="EB112" i="17"/>
  <c r="EH111" i="17"/>
  <c r="EM106" i="17"/>
  <c r="EH109" i="17"/>
  <c r="EH114" i="17"/>
  <c r="EH112" i="17"/>
  <c r="EH110" i="17"/>
  <c r="EA109" i="17"/>
  <c r="EA111" i="17"/>
  <c r="DZ120" i="17"/>
  <c r="DZ118" i="17"/>
  <c r="DP112" i="17"/>
  <c r="DP111" i="17"/>
  <c r="DP114" i="17"/>
  <c r="DP109" i="17"/>
  <c r="DK106" i="17"/>
  <c r="DV106" i="17"/>
  <c r="DQ106" i="17" s="1"/>
  <c r="DS114" i="17"/>
  <c r="DN106" i="17"/>
  <c r="DO109" i="17" s="1"/>
  <c r="DS112" i="17"/>
  <c r="EC111" i="17"/>
  <c r="DU110" i="17"/>
  <c r="ED114" i="17"/>
  <c r="ED109" i="17"/>
  <c r="ED112" i="17"/>
  <c r="ED111" i="17"/>
  <c r="EI106" i="17"/>
  <c r="EE109" i="17"/>
  <c r="DT110" i="17"/>
  <c r="EC109" i="17"/>
  <c r="DJ112" i="17"/>
  <c r="DE106" i="17"/>
  <c r="DJ110" i="17" s="1"/>
  <c r="DJ114" i="17"/>
  <c r="EK106" i="17"/>
  <c r="DB118" i="17"/>
  <c r="DB115" i="17"/>
  <c r="DI143" i="17" l="1"/>
  <c r="DE144" i="17"/>
  <c r="DE146" i="17"/>
  <c r="DE74" i="42"/>
  <c r="DE148" i="17"/>
  <c r="DF144" i="17"/>
  <c r="DF146" i="17"/>
  <c r="DF148" i="17"/>
  <c r="DJ147" i="17"/>
  <c r="DJ144" i="17"/>
  <c r="DJ146" i="17"/>
  <c r="DD74" i="42"/>
  <c r="DD77" i="42" s="1"/>
  <c r="DA75" i="42"/>
  <c r="DA77" i="42"/>
  <c r="DF163" i="17"/>
  <c r="DB74" i="42"/>
  <c r="DO159" i="17"/>
  <c r="DJ162" i="17"/>
  <c r="DF162" i="17"/>
  <c r="DG159" i="17"/>
  <c r="DB162" i="17"/>
  <c r="DD162" i="17"/>
  <c r="DK159" i="17"/>
  <c r="DK143" i="17" s="1"/>
  <c r="DB164" i="17"/>
  <c r="DD164" i="17"/>
  <c r="DJ163" i="17"/>
  <c r="DJ164" i="17"/>
  <c r="DF164" i="17"/>
  <c r="FC85" i="42"/>
  <c r="EJ111" i="17"/>
  <c r="EJ112" i="17"/>
  <c r="EJ110" i="17"/>
  <c r="EO106" i="17"/>
  <c r="DP119" i="17"/>
  <c r="DN159" i="17"/>
  <c r="DI163" i="17"/>
  <c r="DO120" i="17"/>
  <c r="DS110" i="17"/>
  <c r="DO111" i="17"/>
  <c r="DV114" i="17"/>
  <c r="DV119" i="17" s="1"/>
  <c r="DP117" i="17"/>
  <c r="DQ111" i="17"/>
  <c r="DQ109" i="17"/>
  <c r="DS109" i="17"/>
  <c r="DS111" i="17"/>
  <c r="EN106" i="17"/>
  <c r="EI109" i="17"/>
  <c r="EI110" i="17"/>
  <c r="EI111" i="17"/>
  <c r="EI112" i="17"/>
  <c r="EI114" i="17"/>
  <c r="EL106" i="17"/>
  <c r="EL107" i="17" s="1"/>
  <c r="EJ109" i="17"/>
  <c r="DV110" i="17"/>
  <c r="DV109" i="17"/>
  <c r="DV111" i="17"/>
  <c r="DX109" i="17"/>
  <c r="DX111" i="17"/>
  <c r="DK112" i="17"/>
  <c r="DK109" i="17"/>
  <c r="DK111" i="17"/>
  <c r="DK114" i="17"/>
  <c r="DK119" i="17" s="1"/>
  <c r="DF106" i="17"/>
  <c r="ER106" i="17"/>
  <c r="ER114" i="17" s="1"/>
  <c r="EM110" i="17"/>
  <c r="EM112" i="17"/>
  <c r="EM114" i="17"/>
  <c r="EJ118" i="17"/>
  <c r="EJ120" i="17"/>
  <c r="DP110" i="17"/>
  <c r="EA110" i="17"/>
  <c r="EK110" i="17"/>
  <c r="EK111" i="17"/>
  <c r="EK109" i="17"/>
  <c r="DV112" i="17"/>
  <c r="DN112" i="17"/>
  <c r="DI106" i="17"/>
  <c r="DN110" i="17" s="1"/>
  <c r="DN114" i="17"/>
  <c r="DO119" i="17" s="1"/>
  <c r="DU118" i="17"/>
  <c r="DP120" i="17"/>
  <c r="EP106" i="17"/>
  <c r="EU106" i="17" s="1"/>
  <c r="EM109" i="17"/>
  <c r="EM111" i="17"/>
  <c r="DQ112" i="17"/>
  <c r="DQ114" i="17"/>
  <c r="DL106" i="17"/>
  <c r="DN109" i="17" s="1"/>
  <c r="DR106" i="17"/>
  <c r="DJ120" i="17"/>
  <c r="DE114" i="17"/>
  <c r="DO118" i="17"/>
  <c r="DU119" i="17"/>
  <c r="DT118" i="17"/>
  <c r="DT120" i="17"/>
  <c r="DU117" i="17"/>
  <c r="DT117" i="17"/>
  <c r="DE76" i="42" l="1"/>
  <c r="DD75" i="42"/>
  <c r="DN143" i="17"/>
  <c r="DG162" i="17"/>
  <c r="DG143" i="17"/>
  <c r="DI148" i="17" s="1"/>
  <c r="DE77" i="42"/>
  <c r="EZ106" i="17"/>
  <c r="EU114" i="17"/>
  <c r="DE75" i="42"/>
  <c r="DK148" i="17"/>
  <c r="DK147" i="17"/>
  <c r="DK144" i="17"/>
  <c r="DK146" i="17"/>
  <c r="DO163" i="17"/>
  <c r="DO143" i="17"/>
  <c r="DO74" i="42" s="1"/>
  <c r="DI144" i="17"/>
  <c r="DI147" i="17"/>
  <c r="DD76" i="42"/>
  <c r="DJ148" i="17"/>
  <c r="DI74" i="42"/>
  <c r="DI77" i="42" s="1"/>
  <c r="DJ74" i="42"/>
  <c r="DJ75" i="42" s="1"/>
  <c r="DH74" i="42"/>
  <c r="DH75" i="42" s="1"/>
  <c r="DF74" i="42"/>
  <c r="DF75" i="42" s="1"/>
  <c r="DV117" i="17"/>
  <c r="DB76" i="42"/>
  <c r="DI162" i="17"/>
  <c r="DG163" i="17"/>
  <c r="DB77" i="42"/>
  <c r="DK74" i="42"/>
  <c r="DO165" i="17"/>
  <c r="DT159" i="17"/>
  <c r="DL159" i="17"/>
  <c r="DG164" i="17"/>
  <c r="EU112" i="17"/>
  <c r="EU110" i="17"/>
  <c r="DK163" i="17"/>
  <c r="DK164" i="17"/>
  <c r="DP159" i="17"/>
  <c r="DP143" i="17" s="1"/>
  <c r="DI164" i="17"/>
  <c r="DG160" i="17"/>
  <c r="DK162" i="17"/>
  <c r="DO162" i="17"/>
  <c r="ET106" i="17"/>
  <c r="FD86" i="42"/>
  <c r="FD85" i="42"/>
  <c r="EO110" i="17"/>
  <c r="EO112" i="17"/>
  <c r="EO114" i="17"/>
  <c r="EO118" i="17" s="1"/>
  <c r="EO109" i="17"/>
  <c r="DN163" i="17"/>
  <c r="DS159" i="17"/>
  <c r="DS143" i="17" s="1"/>
  <c r="DN165" i="17"/>
  <c r="DO164" i="17"/>
  <c r="DW114" i="17"/>
  <c r="EO111" i="17"/>
  <c r="DN120" i="17"/>
  <c r="EQ106" i="17"/>
  <c r="EQ107" i="17" s="1"/>
  <c r="DO117" i="17"/>
  <c r="DN111" i="17"/>
  <c r="DP115" i="17"/>
  <c r="DV120" i="17"/>
  <c r="DW110" i="17"/>
  <c r="DW107" i="17"/>
  <c r="DF114" i="17"/>
  <c r="DK118" i="17" s="1"/>
  <c r="DK117" i="17"/>
  <c r="DP118" i="17"/>
  <c r="DK120" i="17"/>
  <c r="DL109" i="17"/>
  <c r="DL111" i="17"/>
  <c r="ER110" i="17"/>
  <c r="ER111" i="17"/>
  <c r="ER112" i="17"/>
  <c r="ER109" i="17"/>
  <c r="DF111" i="17"/>
  <c r="DF109" i="17"/>
  <c r="DK110" i="17"/>
  <c r="DD106" i="17"/>
  <c r="DI110" i="17" s="1"/>
  <c r="DI114" i="17"/>
  <c r="DI112" i="17"/>
  <c r="DJ111" i="17"/>
  <c r="DJ109" i="17"/>
  <c r="ES106" i="17"/>
  <c r="EX106" i="17" s="1"/>
  <c r="EN114" i="17"/>
  <c r="EN112" i="17"/>
  <c r="EN109" i="17"/>
  <c r="EN110" i="17"/>
  <c r="EN111" i="17"/>
  <c r="DQ110" i="17"/>
  <c r="DE118" i="17"/>
  <c r="DE120" i="17"/>
  <c r="DQ119" i="17"/>
  <c r="DQ117" i="17"/>
  <c r="DQ120" i="17"/>
  <c r="DR114" i="17"/>
  <c r="DV118" i="17"/>
  <c r="DJ118" i="17"/>
  <c r="EP111" i="17"/>
  <c r="EP109" i="17"/>
  <c r="EP110" i="17"/>
  <c r="DG106" i="17"/>
  <c r="DI109" i="17" s="1"/>
  <c r="DL114" i="17"/>
  <c r="DQ115" i="17" s="1"/>
  <c r="DL112" i="17"/>
  <c r="DM106" i="17"/>
  <c r="DR110" i="17" s="1"/>
  <c r="DS118" i="17"/>
  <c r="DS119" i="17"/>
  <c r="DS120" i="17"/>
  <c r="DS117" i="17"/>
  <c r="DT119" i="17"/>
  <c r="DZ119" i="17"/>
  <c r="DY118" i="17"/>
  <c r="DY120" i="17"/>
  <c r="DZ117" i="17"/>
  <c r="FE106" i="17" l="1"/>
  <c r="EZ114" i="17"/>
  <c r="EZ110" i="17"/>
  <c r="EZ112" i="17"/>
  <c r="ET114" i="17"/>
  <c r="EY106" i="17"/>
  <c r="EZ111" i="17" s="1"/>
  <c r="DI75" i="42"/>
  <c r="EX110" i="17"/>
  <c r="EX112" i="17"/>
  <c r="EX114" i="17"/>
  <c r="DJ76" i="42"/>
  <c r="FC106" i="17"/>
  <c r="ES114" i="17"/>
  <c r="DN162" i="17"/>
  <c r="DL143" i="17"/>
  <c r="DN146" i="17" s="1"/>
  <c r="DT165" i="17"/>
  <c r="DT143" i="17"/>
  <c r="DG148" i="17"/>
  <c r="DG146" i="17"/>
  <c r="DG144" i="17"/>
  <c r="DS147" i="17"/>
  <c r="DS144" i="17"/>
  <c r="DO75" i="42"/>
  <c r="DI146" i="17"/>
  <c r="DJ77" i="42"/>
  <c r="DO147" i="17"/>
  <c r="DO148" i="17"/>
  <c r="DO146" i="17"/>
  <c r="DO144" i="17"/>
  <c r="DN144" i="17"/>
  <c r="DN147" i="17"/>
  <c r="DP146" i="17"/>
  <c r="DP144" i="17"/>
  <c r="DP147" i="17"/>
  <c r="DP148" i="17"/>
  <c r="DK76" i="42"/>
  <c r="DN74" i="42"/>
  <c r="DO76" i="42" s="1"/>
  <c r="DF76" i="42"/>
  <c r="DF77" i="42"/>
  <c r="DG74" i="42"/>
  <c r="DG77" i="42" s="1"/>
  <c r="FJ106" i="17"/>
  <c r="EU111" i="17"/>
  <c r="EZ69" i="42"/>
  <c r="DL164" i="17"/>
  <c r="DT163" i="17"/>
  <c r="DY159" i="17"/>
  <c r="DL163" i="17"/>
  <c r="DM159" i="17"/>
  <c r="DL162" i="17"/>
  <c r="DQ159" i="17"/>
  <c r="DN164" i="17"/>
  <c r="DK77" i="42"/>
  <c r="DK75" i="42"/>
  <c r="DP74" i="42"/>
  <c r="DP75" i="42" s="1"/>
  <c r="DO77" i="42"/>
  <c r="EV106" i="17"/>
  <c r="EV110" i="17" s="1"/>
  <c r="DT164" i="17"/>
  <c r="DS74" i="42"/>
  <c r="EU109" i="17"/>
  <c r="EU120" i="17"/>
  <c r="EO120" i="17"/>
  <c r="DP164" i="17"/>
  <c r="DP163" i="17"/>
  <c r="DU159" i="17"/>
  <c r="DU143" i="17" s="1"/>
  <c r="DP165" i="17"/>
  <c r="DP162" i="17"/>
  <c r="DT162" i="17"/>
  <c r="ET110" i="17"/>
  <c r="ET109" i="17"/>
  <c r="ET111" i="17"/>
  <c r="ET112" i="17"/>
  <c r="FH85" i="42"/>
  <c r="FM85" i="42"/>
  <c r="GB85" i="42"/>
  <c r="FI86" i="42"/>
  <c r="FI85" i="42"/>
  <c r="DX159" i="17"/>
  <c r="DX143" i="17" s="1"/>
  <c r="DS163" i="17"/>
  <c r="DS165" i="17"/>
  <c r="DF119" i="17"/>
  <c r="DF117" i="17"/>
  <c r="DI111" i="17"/>
  <c r="DR107" i="17"/>
  <c r="DD114" i="17"/>
  <c r="DI120" i="17"/>
  <c r="DN118" i="17"/>
  <c r="DJ117" i="17"/>
  <c r="DJ119" i="17"/>
  <c r="ER120" i="17"/>
  <c r="ER118" i="17"/>
  <c r="ES111" i="17"/>
  <c r="ES110" i="17"/>
  <c r="ES112" i="17"/>
  <c r="ES109" i="17"/>
  <c r="DF120" i="17"/>
  <c r="DF118" i="17"/>
  <c r="DG109" i="17"/>
  <c r="DG111" i="17"/>
  <c r="DE111" i="17"/>
  <c r="DE109" i="17"/>
  <c r="DL110" i="17"/>
  <c r="DH106" i="17"/>
  <c r="DM107" i="17" s="1"/>
  <c r="DW118" i="17"/>
  <c r="DN117" i="17"/>
  <c r="DL119" i="17"/>
  <c r="DM114" i="17"/>
  <c r="DR115" i="17" s="1"/>
  <c r="DL120" i="17"/>
  <c r="DL117" i="17"/>
  <c r="DN119" i="17"/>
  <c r="DQ118" i="17"/>
  <c r="EE119" i="17"/>
  <c r="ED118" i="17"/>
  <c r="ED120" i="17"/>
  <c r="EE117" i="17"/>
  <c r="DX117" i="17"/>
  <c r="DX118" i="17"/>
  <c r="DX119" i="17"/>
  <c r="DX120" i="17"/>
  <c r="DY117" i="17"/>
  <c r="DY119" i="17"/>
  <c r="DN75" i="42" l="1"/>
  <c r="EZ109" i="17"/>
  <c r="DN77" i="42"/>
  <c r="EZ120" i="17"/>
  <c r="EZ118" i="17"/>
  <c r="FE114" i="17"/>
  <c r="EZ70" i="42"/>
  <c r="EY111" i="17"/>
  <c r="EY109" i="17"/>
  <c r="EY112" i="17"/>
  <c r="EY114" i="17"/>
  <c r="FD114" i="17" s="1"/>
  <c r="EY110" i="17"/>
  <c r="EX118" i="17"/>
  <c r="EX120" i="17"/>
  <c r="FC114" i="17"/>
  <c r="FC118" i="17" s="1"/>
  <c r="DN148" i="17"/>
  <c r="DT148" i="17"/>
  <c r="DT147" i="17"/>
  <c r="DT144" i="17"/>
  <c r="DQ162" i="17"/>
  <c r="DQ143" i="17"/>
  <c r="DT146" i="17"/>
  <c r="DL144" i="17"/>
  <c r="DL146" i="17"/>
  <c r="DL148" i="17"/>
  <c r="DL147" i="17"/>
  <c r="DU147" i="17"/>
  <c r="DU146" i="17"/>
  <c r="DU148" i="17"/>
  <c r="DU144" i="17"/>
  <c r="DT74" i="42"/>
  <c r="DT76" i="42" s="1"/>
  <c r="DM160" i="17"/>
  <c r="DM143" i="17"/>
  <c r="DX144" i="17"/>
  <c r="DX147" i="17"/>
  <c r="DG76" i="42"/>
  <c r="DY143" i="17"/>
  <c r="DI76" i="42"/>
  <c r="DG75" i="42"/>
  <c r="ED159" i="17"/>
  <c r="EI159" i="17" s="1"/>
  <c r="EI143" i="17" s="1"/>
  <c r="DL74" i="42"/>
  <c r="DN76" i="42" s="1"/>
  <c r="DY163" i="17"/>
  <c r="FO106" i="17"/>
  <c r="EZ90" i="17"/>
  <c r="FH106" i="17"/>
  <c r="FC110" i="17"/>
  <c r="FD106" i="17"/>
  <c r="EX69" i="42"/>
  <c r="DY165" i="17"/>
  <c r="DY201" i="17"/>
  <c r="DY209" i="17" s="1"/>
  <c r="EU119" i="17"/>
  <c r="DP76" i="42"/>
  <c r="DP77" i="42"/>
  <c r="DM165" i="17"/>
  <c r="DM163" i="17"/>
  <c r="DV159" i="17"/>
  <c r="EV114" i="17"/>
  <c r="DQ164" i="17"/>
  <c r="EV112" i="17"/>
  <c r="DQ163" i="17"/>
  <c r="DS162" i="17"/>
  <c r="DS164" i="17"/>
  <c r="DR159" i="17"/>
  <c r="DX74" i="42"/>
  <c r="DX75" i="42" s="1"/>
  <c r="DU74" i="42"/>
  <c r="DU75" i="42" s="1"/>
  <c r="EU117" i="17"/>
  <c r="DU163" i="17"/>
  <c r="DU165" i="17"/>
  <c r="DZ159" i="17"/>
  <c r="DZ143" i="17" s="1"/>
  <c r="DU162" i="17"/>
  <c r="DU164" i="17"/>
  <c r="FW85" i="42"/>
  <c r="DS75" i="42"/>
  <c r="DS77" i="42"/>
  <c r="ET120" i="17"/>
  <c r="ET117" i="17"/>
  <c r="ET119" i="17"/>
  <c r="ET118" i="17"/>
  <c r="FN85" i="42"/>
  <c r="FN86" i="42"/>
  <c r="EC159" i="17"/>
  <c r="EC143" i="17" s="1"/>
  <c r="DX163" i="17"/>
  <c r="DX165" i="17"/>
  <c r="DY162" i="17"/>
  <c r="DY164" i="17"/>
  <c r="DM110" i="17"/>
  <c r="DD120" i="17"/>
  <c r="DD118" i="17"/>
  <c r="DD119" i="17"/>
  <c r="DD117" i="17"/>
  <c r="DE119" i="17"/>
  <c r="DE117" i="17"/>
  <c r="ES118" i="17"/>
  <c r="ES119" i="17"/>
  <c r="ES120" i="17"/>
  <c r="ES117" i="17"/>
  <c r="DI118" i="17"/>
  <c r="DR118" i="17"/>
  <c r="EI119" i="17"/>
  <c r="EC118" i="17"/>
  <c r="EC120" i="17"/>
  <c r="ED119" i="17"/>
  <c r="EJ119" i="17"/>
  <c r="EI118" i="17"/>
  <c r="EI120" i="17"/>
  <c r="EJ117" i="17"/>
  <c r="EI117" i="17"/>
  <c r="ED117" i="17"/>
  <c r="EV120" i="17" l="1"/>
  <c r="EZ117" i="17"/>
  <c r="EZ119" i="17"/>
  <c r="FJ114" i="17"/>
  <c r="FE89" i="17"/>
  <c r="DT77" i="42"/>
  <c r="DT75" i="42"/>
  <c r="EY119" i="17"/>
  <c r="EY120" i="17"/>
  <c r="EY118" i="17"/>
  <c r="EY117" i="17"/>
  <c r="FH114" i="17"/>
  <c r="FM114" i="17" s="1"/>
  <c r="EY69" i="42"/>
  <c r="EZ71" i="42" s="1"/>
  <c r="EZ103" i="17"/>
  <c r="FC89" i="17"/>
  <c r="FC112" i="17" s="1"/>
  <c r="FC120" i="17" s="1"/>
  <c r="ED163" i="17"/>
  <c r="ED165" i="17"/>
  <c r="EX70" i="42"/>
  <c r="DR143" i="17"/>
  <c r="DY148" i="17"/>
  <c r="DY146" i="17"/>
  <c r="DY147" i="17"/>
  <c r="DY144" i="17"/>
  <c r="DY74" i="42"/>
  <c r="DY77" i="42" s="1"/>
  <c r="DM144" i="17"/>
  <c r="DM147" i="17"/>
  <c r="DQ144" i="17"/>
  <c r="DQ147" i="17"/>
  <c r="DQ146" i="17"/>
  <c r="DQ148" i="17"/>
  <c r="DS148" i="17"/>
  <c r="DS146" i="17"/>
  <c r="EC144" i="17"/>
  <c r="EC147" i="17"/>
  <c r="DQ74" i="42"/>
  <c r="DS76" i="42" s="1"/>
  <c r="DX164" i="17"/>
  <c r="DV143" i="17"/>
  <c r="ED143" i="17"/>
  <c r="EI144" i="17" s="1"/>
  <c r="DZ144" i="17"/>
  <c r="DZ148" i="17"/>
  <c r="DZ146" i="17"/>
  <c r="DZ147" i="17"/>
  <c r="DM74" i="42"/>
  <c r="DM75" i="42" s="1"/>
  <c r="DL77" i="42"/>
  <c r="DL76" i="42"/>
  <c r="DL75" i="42"/>
  <c r="ED201" i="17"/>
  <c r="ED204" i="17" s="1"/>
  <c r="DT79" i="42"/>
  <c r="DT201" i="17"/>
  <c r="DY204" i="17" s="1"/>
  <c r="FI114" i="17"/>
  <c r="FD117" i="17"/>
  <c r="FD118" i="17"/>
  <c r="FD119" i="17"/>
  <c r="EY90" i="17"/>
  <c r="FD89" i="17"/>
  <c r="FD112" i="17" s="1"/>
  <c r="FD120" i="17" s="1"/>
  <c r="FI106" i="17"/>
  <c r="FD111" i="17"/>
  <c r="FD109" i="17"/>
  <c r="FD110" i="17"/>
  <c r="EX90" i="17"/>
  <c r="FM106" i="17"/>
  <c r="FH110" i="17"/>
  <c r="FT106" i="17"/>
  <c r="DW159" i="17"/>
  <c r="EA159" i="17"/>
  <c r="DX162" i="17"/>
  <c r="DV162" i="17"/>
  <c r="DV164" i="17"/>
  <c r="DR163" i="17"/>
  <c r="DV163" i="17"/>
  <c r="DU77" i="42"/>
  <c r="DX77" i="42"/>
  <c r="DR165" i="17"/>
  <c r="DR160" i="17"/>
  <c r="EI74" i="42"/>
  <c r="EI77" i="42" s="1"/>
  <c r="DZ74" i="42"/>
  <c r="DZ77" i="42" s="1"/>
  <c r="DU76" i="42"/>
  <c r="ED164" i="17"/>
  <c r="EC74" i="42"/>
  <c r="DZ165" i="17"/>
  <c r="DZ164" i="17"/>
  <c r="DZ162" i="17"/>
  <c r="EE159" i="17"/>
  <c r="DZ163" i="17"/>
  <c r="FR85" i="42"/>
  <c r="ED162" i="17"/>
  <c r="GC85" i="42"/>
  <c r="FS85" i="42"/>
  <c r="FS86" i="42"/>
  <c r="EC165" i="17"/>
  <c r="EH159" i="17"/>
  <c r="EC163" i="17"/>
  <c r="EN120" i="17"/>
  <c r="EN118" i="17"/>
  <c r="EO119" i="17"/>
  <c r="EO117" i="17"/>
  <c r="EN119" i="17"/>
  <c r="EH118" i="17"/>
  <c r="EH120" i="17"/>
  <c r="EI165" i="17"/>
  <c r="EI163" i="17"/>
  <c r="EN159" i="17"/>
  <c r="EN143" i="17" s="1"/>
  <c r="FH118" i="17" l="1"/>
  <c r="FH89" i="17"/>
  <c r="FH90" i="17" s="1"/>
  <c r="FE90" i="17"/>
  <c r="FE112" i="17"/>
  <c r="FE120" i="17" s="1"/>
  <c r="FO114" i="17"/>
  <c r="FJ89" i="17"/>
  <c r="FC93" i="17"/>
  <c r="FC69" i="42"/>
  <c r="FC70" i="42" s="1"/>
  <c r="EY70" i="42"/>
  <c r="EY71" i="42"/>
  <c r="FC90" i="17"/>
  <c r="ED207" i="17"/>
  <c r="ED209" i="17"/>
  <c r="ED215" i="17" s="1"/>
  <c r="ED206" i="17"/>
  <c r="DQ75" i="42"/>
  <c r="DQ76" i="42"/>
  <c r="DY76" i="42"/>
  <c r="DY75" i="42"/>
  <c r="EE164" i="17"/>
  <c r="EE143" i="17"/>
  <c r="EE74" i="42" s="1"/>
  <c r="EC162" i="17"/>
  <c r="EA143" i="17"/>
  <c r="DW143" i="17"/>
  <c r="ED144" i="17"/>
  <c r="ED148" i="17"/>
  <c r="ED146" i="17"/>
  <c r="ED147" i="17"/>
  <c r="EI147" i="17"/>
  <c r="EH143" i="17"/>
  <c r="EH74" i="42" s="1"/>
  <c r="ED74" i="42"/>
  <c r="ED76" i="42" s="1"/>
  <c r="DR144" i="17"/>
  <c r="DR147" i="17"/>
  <c r="EN74" i="42"/>
  <c r="EN151" i="17"/>
  <c r="EN144" i="17"/>
  <c r="DQ77" i="42"/>
  <c r="DV147" i="17"/>
  <c r="DV146" i="17"/>
  <c r="DV144" i="17"/>
  <c r="DV148" i="17"/>
  <c r="DX148" i="17"/>
  <c r="DX146" i="17"/>
  <c r="DR74" i="42"/>
  <c r="DR75" i="42" s="1"/>
  <c r="DO201" i="17"/>
  <c r="DO207" i="17" s="1"/>
  <c r="DT206" i="17"/>
  <c r="DT209" i="17"/>
  <c r="DT215" i="17" s="1"/>
  <c r="DT207" i="17"/>
  <c r="DV74" i="42"/>
  <c r="DT82" i="42"/>
  <c r="FM89" i="17"/>
  <c r="FM112" i="17" s="1"/>
  <c r="FM120" i="17" s="1"/>
  <c r="FR106" i="17"/>
  <c r="FM110" i="17"/>
  <c r="FR114" i="17"/>
  <c r="FM118" i="17"/>
  <c r="FY106" i="17"/>
  <c r="FI89" i="17"/>
  <c r="FI112" i="17" s="1"/>
  <c r="FI120" i="17" s="1"/>
  <c r="FN106" i="17"/>
  <c r="FI110" i="17"/>
  <c r="FI109" i="17"/>
  <c r="FI111" i="17"/>
  <c r="FH93" i="17"/>
  <c r="FH69" i="42"/>
  <c r="FH112" i="17"/>
  <c r="FH120" i="17" s="1"/>
  <c r="FD90" i="17"/>
  <c r="FD92" i="17"/>
  <c r="FD93" i="17"/>
  <c r="FD94" i="17"/>
  <c r="FD69" i="42"/>
  <c r="FN114" i="17"/>
  <c r="FI118" i="17"/>
  <c r="FI117" i="17"/>
  <c r="FI119" i="17"/>
  <c r="EA163" i="17"/>
  <c r="DW160" i="17"/>
  <c r="DW165" i="17"/>
  <c r="DW163" i="17"/>
  <c r="EC164" i="17"/>
  <c r="EA164" i="17"/>
  <c r="EB159" i="17"/>
  <c r="EA162" i="17"/>
  <c r="EF159" i="17"/>
  <c r="EF143" i="17" s="1"/>
  <c r="DZ76" i="42"/>
  <c r="EN147" i="17"/>
  <c r="DZ75" i="42"/>
  <c r="EE165" i="17"/>
  <c r="EE162" i="17"/>
  <c r="EJ159" i="17"/>
  <c r="EJ143" i="17" s="1"/>
  <c r="EE163" i="17"/>
  <c r="EI162" i="17"/>
  <c r="ES159" i="17"/>
  <c r="EC75" i="42"/>
  <c r="EC77" i="42"/>
  <c r="FX85" i="42"/>
  <c r="FX86" i="42"/>
  <c r="EH163" i="17"/>
  <c r="EH165" i="17"/>
  <c r="EM159" i="17"/>
  <c r="EM143" i="17" s="1"/>
  <c r="EI164" i="17"/>
  <c r="EM120" i="17"/>
  <c r="EM118" i="17"/>
  <c r="EN117" i="17"/>
  <c r="EN163" i="17"/>
  <c r="EN165" i="17"/>
  <c r="FH70" i="42" l="1"/>
  <c r="FJ90" i="17"/>
  <c r="FJ112" i="17"/>
  <c r="FJ120" i="17" s="1"/>
  <c r="FT114" i="17"/>
  <c r="FO89" i="17"/>
  <c r="ED212" i="17"/>
  <c r="EI75" i="42"/>
  <c r="ED214" i="17"/>
  <c r="DO206" i="17"/>
  <c r="DQ206" i="17" s="1"/>
  <c r="DJ201" i="17"/>
  <c r="DJ206" i="17" s="1"/>
  <c r="DT204" i="17"/>
  <c r="DY212" i="17"/>
  <c r="DW147" i="17"/>
  <c r="DW144" i="17"/>
  <c r="EB165" i="17"/>
  <c r="EB143" i="17"/>
  <c r="EB74" i="42" s="1"/>
  <c r="DW74" i="42"/>
  <c r="DW75" i="42" s="1"/>
  <c r="EA147" i="17"/>
  <c r="EA146" i="17"/>
  <c r="EA148" i="17"/>
  <c r="EA144" i="17"/>
  <c r="EC146" i="17"/>
  <c r="EC148" i="17"/>
  <c r="DT214" i="17"/>
  <c r="EJ144" i="17"/>
  <c r="EJ146" i="17"/>
  <c r="EJ148" i="17"/>
  <c r="EJ147" i="17"/>
  <c r="ED77" i="42"/>
  <c r="ED75" i="42"/>
  <c r="EE146" i="17"/>
  <c r="EE147" i="17"/>
  <c r="EE144" i="17"/>
  <c r="EE148" i="17"/>
  <c r="DO209" i="17"/>
  <c r="DT212" i="17" s="1"/>
  <c r="EM74" i="42"/>
  <c r="EM144" i="17"/>
  <c r="EM147" i="17"/>
  <c r="EM151" i="17"/>
  <c r="EF146" i="17"/>
  <c r="EF147" i="17"/>
  <c r="EF144" i="17"/>
  <c r="EF148" i="17"/>
  <c r="EI148" i="17"/>
  <c r="EH148" i="17"/>
  <c r="EH144" i="17"/>
  <c r="EH147" i="17"/>
  <c r="EH146" i="17"/>
  <c r="EI146" i="17"/>
  <c r="EA74" i="42"/>
  <c r="DV77" i="42"/>
  <c r="DV75" i="42"/>
  <c r="DX76" i="42"/>
  <c r="DV76" i="42"/>
  <c r="FN89" i="17"/>
  <c r="FN112" i="17" s="1"/>
  <c r="FN120" i="17" s="1"/>
  <c r="FS106" i="17"/>
  <c r="FN111" i="17"/>
  <c r="FN109" i="17"/>
  <c r="FN110" i="17"/>
  <c r="FW114" i="17"/>
  <c r="FR118" i="17"/>
  <c r="FS114" i="17"/>
  <c r="FN117" i="17"/>
  <c r="FN119" i="17"/>
  <c r="FN118" i="17"/>
  <c r="FI90" i="17"/>
  <c r="FI69" i="42"/>
  <c r="FI92" i="17"/>
  <c r="FI94" i="17"/>
  <c r="FI93" i="17"/>
  <c r="FW106" i="17"/>
  <c r="FR89" i="17"/>
  <c r="FR112" i="17" s="1"/>
  <c r="FR120" i="17" s="1"/>
  <c r="FR110" i="17"/>
  <c r="GD106" i="17"/>
  <c r="FD70" i="42"/>
  <c r="FD71" i="42"/>
  <c r="EB163" i="17"/>
  <c r="FM90" i="17"/>
  <c r="FM69" i="42"/>
  <c r="FM70" i="42" s="1"/>
  <c r="FM93" i="17"/>
  <c r="EK159" i="17"/>
  <c r="EK143" i="17" s="1"/>
  <c r="EB160" i="17"/>
  <c r="EF162" i="17"/>
  <c r="EF163" i="17"/>
  <c r="EH162" i="17"/>
  <c r="EF164" i="17"/>
  <c r="EG159" i="17"/>
  <c r="EH164" i="17"/>
  <c r="EN146" i="17"/>
  <c r="EE77" i="42"/>
  <c r="ES143" i="17"/>
  <c r="EN148" i="17"/>
  <c r="EE75" i="42"/>
  <c r="EE76" i="42"/>
  <c r="EJ74" i="42"/>
  <c r="EJ75" i="42" s="1"/>
  <c r="EJ164" i="17"/>
  <c r="EJ163" i="17"/>
  <c r="EJ165" i="17"/>
  <c r="EO159" i="17"/>
  <c r="EO164" i="17" s="1"/>
  <c r="EJ162" i="17"/>
  <c r="EN77" i="42"/>
  <c r="EN75" i="42"/>
  <c r="EH77" i="42"/>
  <c r="EH75" i="42"/>
  <c r="EI76" i="42"/>
  <c r="EN162" i="17"/>
  <c r="ES163" i="17"/>
  <c r="EN164" i="17"/>
  <c r="EM163" i="17"/>
  <c r="ER159" i="17"/>
  <c r="EM165" i="17"/>
  <c r="FO90" i="17" l="1"/>
  <c r="FO112" i="17"/>
  <c r="FO120" i="17" s="1"/>
  <c r="FY114" i="17"/>
  <c r="FT89" i="17"/>
  <c r="GI106" i="17"/>
  <c r="DE201" i="17"/>
  <c r="DE206" i="17" s="1"/>
  <c r="DO204" i="17"/>
  <c r="ES74" i="42"/>
  <c r="ES75" i="42" s="1"/>
  <c r="EX143" i="17"/>
  <c r="EX74" i="42" s="1"/>
  <c r="DO214" i="17"/>
  <c r="DO215" i="17"/>
  <c r="DJ209" i="17"/>
  <c r="DO212" i="17" s="1"/>
  <c r="ES151" i="17"/>
  <c r="EB75" i="42"/>
  <c r="EB147" i="17"/>
  <c r="EB144" i="17"/>
  <c r="EG165" i="17"/>
  <c r="EG143" i="17"/>
  <c r="EK146" i="17"/>
  <c r="EK148" i="17"/>
  <c r="EK144" i="17"/>
  <c r="EK147" i="17"/>
  <c r="EM146" i="17"/>
  <c r="EL159" i="17"/>
  <c r="EL143" i="17" s="1"/>
  <c r="EM164" i="17"/>
  <c r="EM162" i="17"/>
  <c r="EF74" i="42"/>
  <c r="EC76" i="42"/>
  <c r="EA77" i="42"/>
  <c r="EA76" i="42"/>
  <c r="EA75" i="42"/>
  <c r="EM148" i="17"/>
  <c r="EK74" i="42"/>
  <c r="EK77" i="42" s="1"/>
  <c r="EG163" i="17"/>
  <c r="ER143" i="17"/>
  <c r="ER74" i="42" s="1"/>
  <c r="GB106" i="17"/>
  <c r="GG106" i="17" s="1"/>
  <c r="FW89" i="17"/>
  <c r="FW110" i="17"/>
  <c r="FX114" i="17"/>
  <c r="FS117" i="17"/>
  <c r="FS119" i="17"/>
  <c r="FS118" i="17"/>
  <c r="FI70" i="42"/>
  <c r="FI71" i="42"/>
  <c r="FX106" i="17"/>
  <c r="FS89" i="17"/>
  <c r="FS109" i="17"/>
  <c r="FS110" i="17"/>
  <c r="FS111" i="17"/>
  <c r="FR90" i="17"/>
  <c r="FR69" i="42"/>
  <c r="FR70" i="42" s="1"/>
  <c r="FR93" i="17"/>
  <c r="GB114" i="17"/>
  <c r="FW118" i="17"/>
  <c r="FN90" i="17"/>
  <c r="FN69" i="42"/>
  <c r="FN94" i="17"/>
  <c r="FN93" i="17"/>
  <c r="FN92" i="17"/>
  <c r="EK162" i="17"/>
  <c r="EK164" i="17"/>
  <c r="EK163" i="17"/>
  <c r="EP159" i="17"/>
  <c r="EP143" i="17" s="1"/>
  <c r="EG160" i="17"/>
  <c r="ES147" i="17"/>
  <c r="EJ76" i="42"/>
  <c r="EJ77" i="42"/>
  <c r="ET159" i="17"/>
  <c r="ET143" i="17" s="1"/>
  <c r="EO143" i="17"/>
  <c r="EO165" i="17"/>
  <c r="EO163" i="17"/>
  <c r="EO162" i="17"/>
  <c r="EM75" i="42"/>
  <c r="EM77" i="42"/>
  <c r="EN76" i="42"/>
  <c r="DQ201" i="17"/>
  <c r="DS206" i="17"/>
  <c r="DS201" i="17" s="1"/>
  <c r="DS207" i="17" s="1"/>
  <c r="ES164" i="17"/>
  <c r="ER165" i="17"/>
  <c r="ER163" i="17"/>
  <c r="ES162" i="17"/>
  <c r="DP206" i="17"/>
  <c r="DP201" i="17" s="1"/>
  <c r="DP207" i="17" s="1"/>
  <c r="DJ204" i="17" l="1"/>
  <c r="DE209" i="17"/>
  <c r="CZ201" i="17"/>
  <c r="CZ206" i="17" s="1"/>
  <c r="GG110" i="17"/>
  <c r="GB118" i="17"/>
  <c r="GG114" i="17"/>
  <c r="GG89" i="17" s="1"/>
  <c r="FT90" i="17"/>
  <c r="FT112" i="17"/>
  <c r="FT120" i="17" s="1"/>
  <c r="GD114" i="17"/>
  <c r="FY89" i="17"/>
  <c r="GI110" i="17"/>
  <c r="ES77" i="42"/>
  <c r="ET74" i="42"/>
  <c r="ET76" i="42" s="1"/>
  <c r="EY143" i="17"/>
  <c r="EY74" i="42" s="1"/>
  <c r="DJ214" i="17"/>
  <c r="DJ212" i="17"/>
  <c r="EX151" i="17"/>
  <c r="EX149" i="17"/>
  <c r="EX147" i="17"/>
  <c r="EL163" i="17"/>
  <c r="EX75" i="42"/>
  <c r="ER75" i="42"/>
  <c r="ER77" i="42"/>
  <c r="ES76" i="42"/>
  <c r="EL165" i="17"/>
  <c r="EO74" i="42"/>
  <c r="EO77" i="42" s="1"/>
  <c r="EO151" i="17"/>
  <c r="EO144" i="17"/>
  <c r="ET151" i="17"/>
  <c r="EP151" i="17"/>
  <c r="EP144" i="17"/>
  <c r="ER151" i="17"/>
  <c r="EL144" i="17"/>
  <c r="EL147" i="17"/>
  <c r="EG147" i="17"/>
  <c r="EG144" i="17"/>
  <c r="EL74" i="42"/>
  <c r="EK75" i="42"/>
  <c r="EP164" i="17"/>
  <c r="ES146" i="17"/>
  <c r="ES148" i="17"/>
  <c r="EU159" i="17"/>
  <c r="EU162" i="17" s="1"/>
  <c r="ER147" i="17"/>
  <c r="EW143" i="17"/>
  <c r="EX148" i="17" s="1"/>
  <c r="EQ159" i="17"/>
  <c r="EQ165" i="17" s="1"/>
  <c r="EP147" i="17"/>
  <c r="EP74" i="42"/>
  <c r="EP77" i="42" s="1"/>
  <c r="ER146" i="17"/>
  <c r="ER162" i="17"/>
  <c r="EF75" i="42"/>
  <c r="EH76" i="42"/>
  <c r="EF77" i="42"/>
  <c r="EF76" i="42"/>
  <c r="ER164" i="17"/>
  <c r="EG74" i="42"/>
  <c r="EG75" i="42" s="1"/>
  <c r="FS90" i="17"/>
  <c r="FS93" i="17"/>
  <c r="FS94" i="17"/>
  <c r="FS92" i="17"/>
  <c r="FS69" i="42"/>
  <c r="FW90" i="17"/>
  <c r="FW69" i="42"/>
  <c r="FW70" i="42" s="1"/>
  <c r="FW93" i="17"/>
  <c r="GC106" i="17"/>
  <c r="GH106" i="17" s="1"/>
  <c r="GI109" i="17" s="1"/>
  <c r="FX89" i="17"/>
  <c r="FX112" i="17" s="1"/>
  <c r="FX120" i="17" s="1"/>
  <c r="FX110" i="17"/>
  <c r="FX111" i="17"/>
  <c r="FX109" i="17"/>
  <c r="GC114" i="17"/>
  <c r="GH114" i="17" s="1"/>
  <c r="FX119" i="17"/>
  <c r="FX118" i="17"/>
  <c r="FX117" i="17"/>
  <c r="GB89" i="17"/>
  <c r="GB112" i="17" s="1"/>
  <c r="GB120" i="17" s="1"/>
  <c r="GB110" i="17"/>
  <c r="FN70" i="42"/>
  <c r="FN71" i="42"/>
  <c r="FS112" i="17"/>
  <c r="FS120" i="17" s="1"/>
  <c r="FW112" i="17"/>
  <c r="FW120" i="17" s="1"/>
  <c r="EM76" i="42"/>
  <c r="EK76" i="42"/>
  <c r="ER148" i="17"/>
  <c r="EP163" i="17"/>
  <c r="EP162" i="17"/>
  <c r="FC143" i="17"/>
  <c r="EP148" i="17"/>
  <c r="ET162" i="17"/>
  <c r="ET164" i="17"/>
  <c r="ET163" i="17"/>
  <c r="EO147" i="17"/>
  <c r="EO146" i="17"/>
  <c r="EO148" i="17"/>
  <c r="ET147" i="17"/>
  <c r="ET146" i="17"/>
  <c r="ET148" i="17"/>
  <c r="EP146" i="17"/>
  <c r="DE214" i="17"/>
  <c r="DS203" i="17"/>
  <c r="DS205" i="17"/>
  <c r="DT203" i="17"/>
  <c r="DT205" i="17"/>
  <c r="DQ203" i="17"/>
  <c r="DQ205" i="17"/>
  <c r="DE204" i="17"/>
  <c r="DP203" i="17"/>
  <c r="DP205" i="17"/>
  <c r="DU201" i="17"/>
  <c r="DK201" i="17"/>
  <c r="DK206" i="17" s="1"/>
  <c r="DP209" i="17"/>
  <c r="CU201" i="17"/>
  <c r="CZ209" i="17"/>
  <c r="DX201" i="17"/>
  <c r="DN201" i="17"/>
  <c r="DS209" i="17"/>
  <c r="DL201" i="17"/>
  <c r="DL206" i="17" s="1"/>
  <c r="DV201" i="17"/>
  <c r="DQ209" i="17"/>
  <c r="GG93" i="17" l="1"/>
  <c r="GG90" i="17"/>
  <c r="GG69" i="42"/>
  <c r="GG112" i="17"/>
  <c r="GG120" i="17" s="1"/>
  <c r="GH109" i="17"/>
  <c r="GH110" i="17"/>
  <c r="GH89" i="17"/>
  <c r="GH111" i="17"/>
  <c r="ET77" i="42"/>
  <c r="GH118" i="17"/>
  <c r="GH119" i="17"/>
  <c r="GH117" i="17"/>
  <c r="GI111" i="17"/>
  <c r="GG118" i="17"/>
  <c r="FY90" i="17"/>
  <c r="FY112" i="17"/>
  <c r="FY120" i="17" s="1"/>
  <c r="GI114" i="17"/>
  <c r="GD89" i="17"/>
  <c r="EY149" i="17"/>
  <c r="EY151" i="17"/>
  <c r="EY147" i="17"/>
  <c r="EY148" i="17"/>
  <c r="EY146" i="17"/>
  <c r="EY75" i="42"/>
  <c r="EY76" i="42"/>
  <c r="EX146" i="17"/>
  <c r="EX156" i="17"/>
  <c r="EX152" i="17"/>
  <c r="EX154" i="17"/>
  <c r="EO75" i="42"/>
  <c r="EU143" i="17"/>
  <c r="EO76" i="42"/>
  <c r="EV159" i="17"/>
  <c r="EV143" i="17" s="1"/>
  <c r="EV74" i="42" s="1"/>
  <c r="ER76" i="42"/>
  <c r="ET75" i="42"/>
  <c r="FB143" i="17"/>
  <c r="FB74" i="42" s="1"/>
  <c r="EW151" i="17"/>
  <c r="EX153" i="17" s="1"/>
  <c r="EQ151" i="17"/>
  <c r="EU165" i="17"/>
  <c r="EU163" i="17"/>
  <c r="EU164" i="17"/>
  <c r="EL75" i="42"/>
  <c r="EQ143" i="17"/>
  <c r="EQ160" i="17"/>
  <c r="EW147" i="17"/>
  <c r="EW74" i="42"/>
  <c r="EQ163" i="17"/>
  <c r="FH143" i="17"/>
  <c r="FH74" i="42" s="1"/>
  <c r="FC74" i="42"/>
  <c r="FC75" i="42" s="1"/>
  <c r="EP76" i="42"/>
  <c r="EP75" i="42"/>
  <c r="FS70" i="42"/>
  <c r="FS71" i="42"/>
  <c r="FX90" i="17"/>
  <c r="FX92" i="17"/>
  <c r="FX69" i="42"/>
  <c r="FX94" i="17"/>
  <c r="FX93" i="17"/>
  <c r="GC118" i="17"/>
  <c r="GC119" i="17"/>
  <c r="GC117" i="17"/>
  <c r="GC89" i="17"/>
  <c r="GC111" i="17"/>
  <c r="GC110" i="17"/>
  <c r="GC109" i="17"/>
  <c r="GB90" i="17"/>
  <c r="GB69" i="42"/>
  <c r="GB93" i="17"/>
  <c r="FC147" i="17"/>
  <c r="FD143" i="17"/>
  <c r="EW146" i="17"/>
  <c r="DU206" i="17"/>
  <c r="DU207" i="17"/>
  <c r="CU209" i="17"/>
  <c r="CP209" i="17" s="1"/>
  <c r="CZ214" i="17"/>
  <c r="DP215" i="17"/>
  <c r="DP211" i="17"/>
  <c r="DP214" i="17"/>
  <c r="DP213" i="17"/>
  <c r="DE212" i="17"/>
  <c r="DQ213" i="17"/>
  <c r="DQ211" i="17"/>
  <c r="DQ214" i="17"/>
  <c r="DV206" i="17"/>
  <c r="DS213" i="17"/>
  <c r="DS215" i="17"/>
  <c r="DT211" i="17"/>
  <c r="DS211" i="17"/>
  <c r="DS214" i="17"/>
  <c r="DT213" i="17"/>
  <c r="DN207" i="17"/>
  <c r="DN206" i="17"/>
  <c r="DX206" i="17"/>
  <c r="DX207" i="17"/>
  <c r="DL205" i="17"/>
  <c r="DL203" i="17"/>
  <c r="DK203" i="17"/>
  <c r="DK205" i="17"/>
  <c r="DU205" i="17"/>
  <c r="DU203" i="17"/>
  <c r="DU204" i="17"/>
  <c r="DP204" i="17"/>
  <c r="DV205" i="17"/>
  <c r="DV203" i="17"/>
  <c r="DV204" i="17"/>
  <c r="DN205" i="17"/>
  <c r="DN203" i="17"/>
  <c r="DO205" i="17"/>
  <c r="DO203" i="17"/>
  <c r="DX203" i="17"/>
  <c r="DX204" i="17"/>
  <c r="DX205" i="17"/>
  <c r="DY203" i="17"/>
  <c r="DY205" i="17"/>
  <c r="DQ204" i="17"/>
  <c r="DW201" i="17"/>
  <c r="CP201" i="17"/>
  <c r="CU204" i="17" s="1"/>
  <c r="CZ204" i="17"/>
  <c r="DS204" i="17"/>
  <c r="DG201" i="17"/>
  <c r="DG206" i="17" s="1"/>
  <c r="DL209" i="17"/>
  <c r="DI201" i="17"/>
  <c r="DR201" i="17"/>
  <c r="DN209" i="17"/>
  <c r="DF201" i="17"/>
  <c r="DF206" i="17" s="1"/>
  <c r="DK209" i="17"/>
  <c r="DP212" i="17" s="1"/>
  <c r="EA201" i="17"/>
  <c r="DV209" i="17"/>
  <c r="EC201" i="17"/>
  <c r="DX209" i="17"/>
  <c r="DZ201" i="17"/>
  <c r="DU209" i="17"/>
  <c r="EU74" i="42" l="1"/>
  <c r="EU77" i="42" s="1"/>
  <c r="EZ143" i="17"/>
  <c r="EZ146" i="17" s="1"/>
  <c r="EU147" i="17"/>
  <c r="GH93" i="17"/>
  <c r="GH94" i="17"/>
  <c r="GH90" i="17"/>
  <c r="GH69" i="42"/>
  <c r="GH92" i="17"/>
  <c r="GH112" i="17"/>
  <c r="GH120" i="17" s="1"/>
  <c r="GD90" i="17"/>
  <c r="GD112" i="17"/>
  <c r="GD120" i="17" s="1"/>
  <c r="GI119" i="17"/>
  <c r="GI117" i="17"/>
  <c r="GI118" i="17"/>
  <c r="GI89" i="17"/>
  <c r="FC146" i="17"/>
  <c r="EY156" i="17"/>
  <c r="EY152" i="17"/>
  <c r="EY153" i="17"/>
  <c r="EY154" i="17"/>
  <c r="EY155" i="17"/>
  <c r="GB70" i="42"/>
  <c r="GG70" i="42"/>
  <c r="EU151" i="17"/>
  <c r="EV151" i="17" s="1"/>
  <c r="EU146" i="17"/>
  <c r="EU75" i="42"/>
  <c r="FC148" i="17"/>
  <c r="EU148" i="17"/>
  <c r="EX155" i="17"/>
  <c r="EV165" i="17"/>
  <c r="EV163" i="17"/>
  <c r="EW148" i="17"/>
  <c r="FG143" i="17"/>
  <c r="FG74" i="42" s="1"/>
  <c r="EV160" i="17"/>
  <c r="EU76" i="42"/>
  <c r="FB147" i="17"/>
  <c r="EW75" i="42"/>
  <c r="EX76" i="42"/>
  <c r="EQ74" i="42"/>
  <c r="EQ144" i="17"/>
  <c r="EW156" i="17"/>
  <c r="EW152" i="17"/>
  <c r="EW154" i="17"/>
  <c r="EV147" i="17"/>
  <c r="EQ147" i="17"/>
  <c r="FH147" i="17"/>
  <c r="FM143" i="17"/>
  <c r="FM74" i="42" s="1"/>
  <c r="FM75" i="42" s="1"/>
  <c r="EW76" i="42"/>
  <c r="FH75" i="42"/>
  <c r="FD148" i="17"/>
  <c r="FD74" i="42"/>
  <c r="FX70" i="42"/>
  <c r="FX71" i="42"/>
  <c r="GC112" i="17"/>
  <c r="GC120" i="17" s="1"/>
  <c r="GC90" i="17"/>
  <c r="GC94" i="17"/>
  <c r="GC93" i="17"/>
  <c r="GC69" i="42"/>
  <c r="GC92" i="17"/>
  <c r="FI143" i="17"/>
  <c r="FD147" i="17"/>
  <c r="FD146" i="17"/>
  <c r="FB146" i="17"/>
  <c r="FB75" i="42"/>
  <c r="FC76" i="42"/>
  <c r="CZ212" i="17"/>
  <c r="DK204" i="17"/>
  <c r="CP159" i="17"/>
  <c r="CU212" i="17"/>
  <c r="DK213" i="17"/>
  <c r="DK214" i="17"/>
  <c r="DK211" i="17"/>
  <c r="DU215" i="17"/>
  <c r="DU211" i="17"/>
  <c r="DU214" i="17"/>
  <c r="DU212" i="17"/>
  <c r="DU213" i="17"/>
  <c r="DZ206" i="17"/>
  <c r="DZ207" i="17"/>
  <c r="CU159" i="17"/>
  <c r="DL214" i="17"/>
  <c r="DL213" i="17"/>
  <c r="DL211" i="17"/>
  <c r="DV211" i="17"/>
  <c r="DV212" i="17"/>
  <c r="DV213" i="17"/>
  <c r="DV214" i="17"/>
  <c r="DN204" i="17"/>
  <c r="DI206" i="17"/>
  <c r="DW206" i="17"/>
  <c r="DW207" i="17"/>
  <c r="DQ212" i="17"/>
  <c r="EA206" i="17"/>
  <c r="DY213" i="17"/>
  <c r="DX211" i="17"/>
  <c r="DX213" i="17"/>
  <c r="DX215" i="17"/>
  <c r="DX212" i="17"/>
  <c r="DX214" i="17"/>
  <c r="DY211" i="17"/>
  <c r="DR209" i="17"/>
  <c r="DO211" i="17"/>
  <c r="DN211" i="17"/>
  <c r="DN214" i="17"/>
  <c r="DN215" i="17"/>
  <c r="DO213" i="17"/>
  <c r="DN213" i="17"/>
  <c r="EC206" i="17"/>
  <c r="EC207" i="17"/>
  <c r="DR206" i="17"/>
  <c r="DR207" i="17"/>
  <c r="DS212" i="17"/>
  <c r="EC205" i="17"/>
  <c r="EC204" i="17"/>
  <c r="EC203" i="17"/>
  <c r="ED205" i="17"/>
  <c r="ED203" i="17"/>
  <c r="EA205" i="17"/>
  <c r="EA203" i="17"/>
  <c r="EA204" i="17"/>
  <c r="DF203" i="17"/>
  <c r="DF205" i="17"/>
  <c r="DG203" i="17"/>
  <c r="DG205" i="17"/>
  <c r="DL204" i="17"/>
  <c r="DI203" i="17"/>
  <c r="DI205" i="17"/>
  <c r="DJ203" i="17"/>
  <c r="DJ205" i="17"/>
  <c r="DW209" i="17"/>
  <c r="DZ204" i="17"/>
  <c r="DZ205" i="17"/>
  <c r="DZ203" i="17"/>
  <c r="DM201" i="17"/>
  <c r="DR204" i="17" s="1"/>
  <c r="DW204" i="17"/>
  <c r="EF201" i="17"/>
  <c r="EA209" i="17"/>
  <c r="DD201" i="17"/>
  <c r="DD206" i="17" s="1"/>
  <c r="DI209" i="17"/>
  <c r="EE201" i="17"/>
  <c r="DZ209" i="17"/>
  <c r="EC209" i="17"/>
  <c r="DB201" i="17"/>
  <c r="DB206" i="17" s="1"/>
  <c r="DG209" i="17"/>
  <c r="DA201" i="17"/>
  <c r="DA206" i="17" s="1"/>
  <c r="DF209" i="17"/>
  <c r="EB201" i="17"/>
  <c r="GH70" i="42" l="1"/>
  <c r="EW153" i="17"/>
  <c r="FA143" i="17"/>
  <c r="FA147" i="17" s="1"/>
  <c r="FE143" i="17"/>
  <c r="FE148" i="17" s="1"/>
  <c r="FB148" i="17"/>
  <c r="FH148" i="17"/>
  <c r="GH71" i="42"/>
  <c r="EZ151" i="17"/>
  <c r="EZ148" i="17"/>
  <c r="EZ147" i="17"/>
  <c r="EZ149" i="17"/>
  <c r="EZ74" i="42"/>
  <c r="GI90" i="17"/>
  <c r="GI69" i="42"/>
  <c r="GI71" i="42" s="1"/>
  <c r="GI92" i="17"/>
  <c r="GI93" i="17"/>
  <c r="GI94" i="17"/>
  <c r="GI112" i="17"/>
  <c r="GI120" i="17" s="1"/>
  <c r="EW155" i="17"/>
  <c r="FH146" i="17"/>
  <c r="FL143" i="17"/>
  <c r="FL74" i="42" s="1"/>
  <c r="FG147" i="17"/>
  <c r="EQ75" i="42"/>
  <c r="EV75" i="42"/>
  <c r="FR143" i="17"/>
  <c r="FR74" i="42" s="1"/>
  <c r="FR75" i="42" s="1"/>
  <c r="FM147" i="17"/>
  <c r="FJ143" i="17"/>
  <c r="FJ74" i="42" s="1"/>
  <c r="FF143" i="17"/>
  <c r="FF74" i="42" s="1"/>
  <c r="FI147" i="17"/>
  <c r="FI74" i="42"/>
  <c r="FD75" i="42"/>
  <c r="FD76" i="42"/>
  <c r="FE74" i="42"/>
  <c r="FE76" i="42" s="1"/>
  <c r="FI148" i="17"/>
  <c r="GC71" i="42"/>
  <c r="GC70" i="42"/>
  <c r="FN143" i="17"/>
  <c r="FN146" i="17" s="1"/>
  <c r="FE146" i="17"/>
  <c r="FI146" i="17"/>
  <c r="CZ75" i="42"/>
  <c r="CP214" i="17"/>
  <c r="FG75" i="42"/>
  <c r="FH76" i="42"/>
  <c r="CP206" i="17"/>
  <c r="CU206" i="17"/>
  <c r="CU160" i="17"/>
  <c r="CU214" i="17"/>
  <c r="EE207" i="17"/>
  <c r="EE206" i="17"/>
  <c r="DF213" i="17"/>
  <c r="DF214" i="17"/>
  <c r="DF211" i="17"/>
  <c r="DZ213" i="17"/>
  <c r="DZ214" i="17"/>
  <c r="DZ212" i="17"/>
  <c r="DZ215" i="17"/>
  <c r="DZ211" i="17"/>
  <c r="DF204" i="17"/>
  <c r="DK212" i="17"/>
  <c r="EB204" i="17"/>
  <c r="EB207" i="17"/>
  <c r="EB206" i="17"/>
  <c r="DM209" i="17"/>
  <c r="DR212" i="17" s="1"/>
  <c r="DJ213" i="17"/>
  <c r="DI213" i="17"/>
  <c r="DI211" i="17"/>
  <c r="DI214" i="17"/>
  <c r="DJ211" i="17"/>
  <c r="DI204" i="17"/>
  <c r="DR214" i="17"/>
  <c r="DR215" i="17"/>
  <c r="EF206" i="17"/>
  <c r="EA212" i="17"/>
  <c r="EA214" i="17"/>
  <c r="EA211" i="17"/>
  <c r="EA213" i="17"/>
  <c r="DG211" i="17"/>
  <c r="DG214" i="17"/>
  <c r="DG213" i="17"/>
  <c r="DW214" i="17"/>
  <c r="DW212" i="17"/>
  <c r="DW215" i="17"/>
  <c r="EB209" i="17"/>
  <c r="DN212" i="17"/>
  <c r="DL212" i="17"/>
  <c r="ED211" i="17"/>
  <c r="EC211" i="17"/>
  <c r="EC214" i="17"/>
  <c r="EC215" i="17"/>
  <c r="ED213" i="17"/>
  <c r="EC213" i="17"/>
  <c r="EC212" i="17"/>
  <c r="DM207" i="17"/>
  <c r="DM206" i="17"/>
  <c r="EF209" i="17"/>
  <c r="EF204" i="17"/>
  <c r="EF203" i="17"/>
  <c r="EF205" i="17"/>
  <c r="DD203" i="17"/>
  <c r="DD205" i="17"/>
  <c r="DE203" i="17"/>
  <c r="DE205" i="17"/>
  <c r="DB205" i="17"/>
  <c r="DB203" i="17"/>
  <c r="EE209" i="17"/>
  <c r="EE204" i="17"/>
  <c r="EE203" i="17"/>
  <c r="EE205" i="17"/>
  <c r="DA203" i="17"/>
  <c r="DA205" i="17"/>
  <c r="DG204" i="17"/>
  <c r="EG201" i="17"/>
  <c r="DH201" i="17"/>
  <c r="DH206" i="17" s="1"/>
  <c r="CY201" i="17"/>
  <c r="CY206" i="17" s="1"/>
  <c r="DD209" i="17"/>
  <c r="DI212" i="17" s="1"/>
  <c r="CV201" i="17"/>
  <c r="CV206" i="17" s="1"/>
  <c r="DA209" i="17"/>
  <c r="CW201" i="17"/>
  <c r="DB209" i="17"/>
  <c r="FE147" i="17" l="1"/>
  <c r="FG146" i="17"/>
  <c r="FA74" i="42"/>
  <c r="FA75" i="42" s="1"/>
  <c r="FA144" i="17"/>
  <c r="FG148" i="17"/>
  <c r="EZ156" i="17"/>
  <c r="EZ154" i="17"/>
  <c r="EZ153" i="17"/>
  <c r="EZ152" i="17"/>
  <c r="EZ155" i="17"/>
  <c r="EZ76" i="42"/>
  <c r="FB76" i="42"/>
  <c r="EZ75" i="42"/>
  <c r="FQ143" i="17"/>
  <c r="FQ74" i="42" s="1"/>
  <c r="FM148" i="17"/>
  <c r="FM146" i="17"/>
  <c r="FL147" i="17"/>
  <c r="FJ148" i="17"/>
  <c r="FJ147" i="17"/>
  <c r="FL148" i="17"/>
  <c r="FL146" i="17"/>
  <c r="FW143" i="17"/>
  <c r="FW74" i="42" s="1"/>
  <c r="FW75" i="42" s="1"/>
  <c r="FO143" i="17"/>
  <c r="FO74" i="42" s="1"/>
  <c r="FK143" i="17"/>
  <c r="FK144" i="17" s="1"/>
  <c r="FR147" i="17"/>
  <c r="FJ146" i="17"/>
  <c r="FF144" i="17"/>
  <c r="FG76" i="42"/>
  <c r="FE75" i="42"/>
  <c r="FF147" i="17"/>
  <c r="FS143" i="17"/>
  <c r="FS74" i="42" s="1"/>
  <c r="FS76" i="42" s="1"/>
  <c r="FN74" i="42"/>
  <c r="FI75" i="42"/>
  <c r="FI76" i="42"/>
  <c r="FN147" i="17"/>
  <c r="FN148" i="17"/>
  <c r="FL75" i="42"/>
  <c r="FL76" i="42"/>
  <c r="FM76" i="42"/>
  <c r="FJ75" i="42"/>
  <c r="FJ76" i="42"/>
  <c r="DD204" i="17"/>
  <c r="CV209" i="17"/>
  <c r="DA212" i="17" s="1"/>
  <c r="DA214" i="17"/>
  <c r="DA213" i="17"/>
  <c r="DA211" i="17"/>
  <c r="EE214" i="17"/>
  <c r="EE212" i="17"/>
  <c r="EE211" i="17"/>
  <c r="EE215" i="17"/>
  <c r="EE213" i="17"/>
  <c r="DF212" i="17"/>
  <c r="CW209" i="17"/>
  <c r="CW159" i="17" s="1"/>
  <c r="DB213" i="17"/>
  <c r="DB214" i="17"/>
  <c r="DB211" i="17"/>
  <c r="EG204" i="17"/>
  <c r="EG206" i="17"/>
  <c r="EG207" i="17"/>
  <c r="EF213" i="17"/>
  <c r="EF212" i="17"/>
  <c r="EF211" i="17"/>
  <c r="EF214" i="17"/>
  <c r="DG212" i="17"/>
  <c r="DM214" i="17"/>
  <c r="DM215" i="17"/>
  <c r="EB214" i="17"/>
  <c r="EB215" i="17"/>
  <c r="EB212" i="17"/>
  <c r="EG209" i="17"/>
  <c r="DH209" i="17"/>
  <c r="DM212" i="17" s="1"/>
  <c r="DD213" i="17"/>
  <c r="DE211" i="17"/>
  <c r="DD211" i="17"/>
  <c r="DE213" i="17"/>
  <c r="DD214" i="17"/>
  <c r="CR201" i="17"/>
  <c r="CW205" i="17"/>
  <c r="CW203" i="17"/>
  <c r="DM204" i="17"/>
  <c r="CQ201" i="17"/>
  <c r="CV205" i="17"/>
  <c r="CV203" i="17"/>
  <c r="DB204" i="17"/>
  <c r="CY205" i="17"/>
  <c r="CY203" i="17"/>
  <c r="CZ205" i="17"/>
  <c r="CZ203" i="17"/>
  <c r="DA204" i="17"/>
  <c r="DC201" i="17"/>
  <c r="DC206" i="17" s="1"/>
  <c r="CT201" i="17"/>
  <c r="CT206" i="17" s="1"/>
  <c r="CY209" i="17"/>
  <c r="DD212" i="17" s="1"/>
  <c r="FF75" i="42" l="1"/>
  <c r="GB143" i="17"/>
  <c r="GG143" i="17" s="1"/>
  <c r="FQ147" i="17"/>
  <c r="GG147" i="17"/>
  <c r="GG74" i="42"/>
  <c r="FR148" i="17"/>
  <c r="FR146" i="17"/>
  <c r="FO146" i="17"/>
  <c r="FP143" i="17"/>
  <c r="FP74" i="42" s="1"/>
  <c r="FQ146" i="17"/>
  <c r="FW147" i="17"/>
  <c r="FO147" i="17"/>
  <c r="FK147" i="17"/>
  <c r="FO148" i="17"/>
  <c r="FK74" i="42"/>
  <c r="FK75" i="42" s="1"/>
  <c r="FQ148" i="17"/>
  <c r="FT143" i="17"/>
  <c r="FT74" i="42" s="1"/>
  <c r="FS146" i="17"/>
  <c r="FS148" i="17"/>
  <c r="FS75" i="42"/>
  <c r="FS147" i="17"/>
  <c r="FX143" i="17"/>
  <c r="FX74" i="42" s="1"/>
  <c r="FX75" i="42" s="1"/>
  <c r="GB147" i="17"/>
  <c r="GB74" i="42"/>
  <c r="FN76" i="42"/>
  <c r="FN75" i="42"/>
  <c r="CW206" i="17"/>
  <c r="CY76" i="42"/>
  <c r="DB75" i="42"/>
  <c r="FR76" i="42"/>
  <c r="FQ75" i="42"/>
  <c r="FQ76" i="42"/>
  <c r="FO75" i="42"/>
  <c r="FO76" i="42"/>
  <c r="DB160" i="17"/>
  <c r="DB212" i="17"/>
  <c r="CR209" i="17"/>
  <c r="CR159" i="17" s="1"/>
  <c r="CV204" i="17"/>
  <c r="CQ209" i="17"/>
  <c r="CV214" i="17"/>
  <c r="CV211" i="17"/>
  <c r="CV213" i="17"/>
  <c r="DH214" i="17"/>
  <c r="CZ211" i="17"/>
  <c r="CY211" i="17"/>
  <c r="CZ213" i="17"/>
  <c r="CY213" i="17"/>
  <c r="CY214" i="17"/>
  <c r="EG212" i="17"/>
  <c r="EG214" i="17"/>
  <c r="EG215" i="17"/>
  <c r="CW204" i="17"/>
  <c r="CW211" i="17"/>
  <c r="CW214" i="17"/>
  <c r="CW213" i="17"/>
  <c r="CR205" i="17"/>
  <c r="CR203" i="17"/>
  <c r="CT203" i="17"/>
  <c r="CT205" i="17"/>
  <c r="CU205" i="17"/>
  <c r="CU203" i="17"/>
  <c r="CY204" i="17"/>
  <c r="CQ205" i="17"/>
  <c r="CQ203" i="17"/>
  <c r="DH204" i="17"/>
  <c r="CX201" i="17"/>
  <c r="CX206" i="17" s="1"/>
  <c r="CO201" i="17"/>
  <c r="CO206" i="17" s="1"/>
  <c r="CT209" i="17"/>
  <c r="CY212" i="17" s="1"/>
  <c r="DC209" i="17"/>
  <c r="GB75" i="42" l="1"/>
  <c r="GG75" i="42"/>
  <c r="FP147" i="17"/>
  <c r="FU143" i="17"/>
  <c r="FU74" i="42" s="1"/>
  <c r="FU75" i="42" s="1"/>
  <c r="FP144" i="17"/>
  <c r="FT146" i="17"/>
  <c r="FT148" i="17"/>
  <c r="FP75" i="42"/>
  <c r="FT147" i="17"/>
  <c r="FY143" i="17"/>
  <c r="FY74" i="42" s="1"/>
  <c r="FX148" i="17"/>
  <c r="GC143" i="17"/>
  <c r="FX76" i="42"/>
  <c r="FX147" i="17"/>
  <c r="FX146" i="17"/>
  <c r="CR206" i="17"/>
  <c r="CR211" i="17"/>
  <c r="FT75" i="42"/>
  <c r="FT76" i="42"/>
  <c r="CW160" i="17"/>
  <c r="CR213" i="17"/>
  <c r="CR214" i="17"/>
  <c r="CQ213" i="17"/>
  <c r="CQ211" i="17"/>
  <c r="CQ159" i="17"/>
  <c r="CV212" i="17"/>
  <c r="CW212" i="17"/>
  <c r="DC214" i="17"/>
  <c r="CT214" i="17"/>
  <c r="CU213" i="17"/>
  <c r="CT213" i="17"/>
  <c r="CT211" i="17"/>
  <c r="CU211" i="17"/>
  <c r="CT204" i="17"/>
  <c r="DH212" i="17"/>
  <c r="CS201" i="17"/>
  <c r="CS206" i="17" s="1"/>
  <c r="CP205" i="17"/>
  <c r="CP203" i="17"/>
  <c r="DC204" i="17"/>
  <c r="CX209" i="17"/>
  <c r="CO209" i="17"/>
  <c r="GC74" i="42" l="1"/>
  <c r="GH143" i="17"/>
  <c r="FU147" i="17"/>
  <c r="GC148" i="17"/>
  <c r="FU144" i="17"/>
  <c r="GC146" i="17"/>
  <c r="GC147" i="17"/>
  <c r="FY146" i="17"/>
  <c r="FY147" i="17"/>
  <c r="FY148" i="17"/>
  <c r="GD143" i="17"/>
  <c r="GC75" i="42"/>
  <c r="GC76" i="42"/>
  <c r="FY76" i="42"/>
  <c r="FY75" i="42"/>
  <c r="CQ206" i="17"/>
  <c r="CV160" i="17"/>
  <c r="CQ214" i="17"/>
  <c r="CX214" i="17"/>
  <c r="CX204" i="17"/>
  <c r="CS209" i="17"/>
  <c r="CS214" i="17" s="1"/>
  <c r="CP211" i="17"/>
  <c r="CP213" i="17"/>
  <c r="CO214" i="17"/>
  <c r="CT212" i="17"/>
  <c r="DC212" i="17"/>
  <c r="GH147" i="17" l="1"/>
  <c r="GH148" i="17"/>
  <c r="GH74" i="42"/>
  <c r="GH146" i="17"/>
  <c r="GH75" i="42"/>
  <c r="GD74" i="42"/>
  <c r="GD76" i="42" s="1"/>
  <c r="GI143" i="17"/>
  <c r="GD146" i="17"/>
  <c r="GD148" i="17"/>
  <c r="GD147" i="17"/>
  <c r="CX212" i="17"/>
  <c r="GD75" i="42" l="1"/>
  <c r="GH76" i="42"/>
  <c r="GI146" i="17"/>
  <c r="GI147" i="17"/>
  <c r="GI148" i="17"/>
  <c r="GI74" i="42"/>
  <c r="GI76" i="42" l="1"/>
  <c r="GI75" i="42"/>
  <c r="FE136" i="5" l="1"/>
  <c r="FD136" i="5"/>
  <c r="FC136" i="5"/>
  <c r="FB136" i="5"/>
  <c r="FB92" i="5"/>
  <c r="FC90" i="5"/>
  <c r="FC92" i="5" s="1"/>
  <c r="FD90" i="5" l="1"/>
  <c r="FE90" i="5" l="1"/>
  <c r="FD92" i="5"/>
  <c r="FE92" i="5" l="1"/>
  <c r="W150" i="5" l="1"/>
  <c r="W152" i="5" s="1"/>
  <c r="X150" i="5"/>
  <c r="X152" i="5" s="1"/>
  <c r="Y150" i="5"/>
  <c r="Y152" i="5" s="1"/>
  <c r="Z150" i="5"/>
  <c r="Z152" i="5" s="1"/>
  <c r="AA150" i="5"/>
  <c r="AA152" i="5" s="1"/>
  <c r="AB150" i="5"/>
  <c r="AC150" i="5"/>
  <c r="AD150" i="5"/>
  <c r="AE150" i="5"/>
  <c r="AF150" i="5"/>
  <c r="AG150" i="5"/>
  <c r="AH150" i="5"/>
  <c r="AI150" i="5"/>
  <c r="AJ150" i="5"/>
  <c r="AK150" i="5"/>
  <c r="AL150" i="5"/>
  <c r="AM150" i="5"/>
  <c r="AN150" i="5"/>
  <c r="AO150" i="5"/>
  <c r="AP150" i="5"/>
  <c r="AQ150" i="5"/>
  <c r="AR150" i="5"/>
  <c r="AS150" i="5"/>
  <c r="AT150" i="5"/>
  <c r="AU150" i="5"/>
  <c r="AV150" i="5"/>
  <c r="AW150" i="5"/>
  <c r="AX150" i="5"/>
  <c r="AY150" i="5"/>
  <c r="AZ150" i="5"/>
  <c r="BA150" i="5"/>
  <c r="BB150" i="5"/>
  <c r="BC150" i="5"/>
  <c r="BD150" i="5"/>
  <c r="BE150" i="5"/>
  <c r="BF150" i="5"/>
  <c r="BG150" i="5"/>
  <c r="BH150" i="5"/>
  <c r="BI150" i="5"/>
  <c r="BJ150" i="5"/>
  <c r="BK150" i="5"/>
  <c r="BL150" i="5"/>
  <c r="BM150" i="5"/>
  <c r="BN150" i="5"/>
  <c r="BO150" i="5"/>
  <c r="BP150" i="5"/>
  <c r="BQ150" i="5"/>
  <c r="BR150" i="5"/>
  <c r="BS150" i="5"/>
  <c r="BT150" i="5"/>
  <c r="BU150" i="5"/>
  <c r="BV150" i="5"/>
  <c r="BW150" i="5"/>
  <c r="BX150" i="5"/>
  <c r="BZ150" i="5"/>
  <c r="CA150" i="5"/>
  <c r="CB150" i="5"/>
  <c r="CC150" i="5"/>
  <c r="CE150" i="5"/>
  <c r="CF150" i="5"/>
  <c r="CG150" i="5"/>
  <c r="CH150" i="5"/>
  <c r="CJ150" i="5"/>
  <c r="CK150" i="5"/>
  <c r="CL150" i="5"/>
  <c r="CM150" i="5"/>
  <c r="CO150" i="5"/>
  <c r="CP150" i="5"/>
  <c r="CQ150" i="5"/>
  <c r="CR150" i="5"/>
  <c r="CT150" i="5"/>
  <c r="CU150" i="5"/>
  <c r="CV150" i="5"/>
  <c r="CW150" i="5"/>
  <c r="CY150" i="5"/>
  <c r="CZ150" i="5"/>
  <c r="DA150" i="5"/>
  <c r="DB150" i="5"/>
  <c r="DD150" i="5"/>
  <c r="DE150" i="5"/>
  <c r="DF150" i="5"/>
  <c r="DG150" i="5"/>
  <c r="DI150" i="5"/>
  <c r="DJ150" i="5"/>
  <c r="DK150" i="5"/>
  <c r="DL150" i="5"/>
  <c r="DN150" i="5"/>
  <c r="DO150" i="5"/>
  <c r="DP150" i="5"/>
  <c r="DQ150" i="5"/>
  <c r="DS150" i="5"/>
  <c r="DT150" i="5"/>
  <c r="DU150" i="5"/>
  <c r="DV150" i="5"/>
  <c r="DX150" i="5"/>
  <c r="DY150" i="5"/>
  <c r="DZ150" i="5"/>
  <c r="EA150" i="5"/>
  <c r="EC150" i="5"/>
  <c r="ED150" i="5"/>
  <c r="EE150" i="5"/>
  <c r="EF150" i="5"/>
  <c r="EH150" i="5"/>
  <c r="EI150" i="5"/>
  <c r="EJ150" i="5"/>
  <c r="EK150" i="5"/>
  <c r="EM150" i="5"/>
  <c r="EN150" i="5"/>
  <c r="EO150" i="5"/>
  <c r="EP150" i="5"/>
  <c r="ER150" i="5"/>
  <c r="BZ152" i="5" l="1"/>
  <c r="BS152" i="5"/>
  <c r="BM152" i="5"/>
  <c r="BG152" i="5"/>
  <c r="BA152" i="5"/>
  <c r="AU152" i="5"/>
  <c r="AO152" i="5"/>
  <c r="AI152" i="5"/>
  <c r="AC152" i="5"/>
  <c r="EH152" i="5"/>
  <c r="DK152" i="5"/>
  <c r="CV152" i="5"/>
  <c r="DZ152" i="5"/>
  <c r="DS152" i="5"/>
  <c r="DD152" i="5"/>
  <c r="CG152" i="5"/>
  <c r="CO152" i="5"/>
  <c r="EO152" i="5"/>
  <c r="ET152" i="5"/>
  <c r="AD152" i="5"/>
  <c r="EP152" i="5"/>
  <c r="BT152" i="5"/>
  <c r="BN152" i="5"/>
  <c r="BH152" i="5"/>
  <c r="BB152" i="5"/>
  <c r="DY152" i="5"/>
  <c r="DQ152" i="5"/>
  <c r="DB152" i="5"/>
  <c r="CU152" i="5"/>
  <c r="CM152" i="5"/>
  <c r="CF152" i="5"/>
  <c r="EF152" i="5"/>
  <c r="DJ152" i="5"/>
  <c r="AV152" i="5"/>
  <c r="EI152" i="5"/>
  <c r="EA152" i="5"/>
  <c r="DT152" i="5"/>
  <c r="DL152" i="5"/>
  <c r="DE152" i="5"/>
  <c r="CW152" i="5"/>
  <c r="CP152" i="5"/>
  <c r="AP152" i="5"/>
  <c r="AJ152" i="5"/>
  <c r="BU152" i="5"/>
  <c r="BO152" i="5"/>
  <c r="BI152" i="5"/>
  <c r="BC152" i="5"/>
  <c r="AW152" i="5"/>
  <c r="AQ152" i="5"/>
  <c r="AK152" i="5"/>
  <c r="AE152" i="5"/>
  <c r="CH152" i="5"/>
  <c r="CA152" i="5"/>
  <c r="BX152" i="5"/>
  <c r="BL152" i="5"/>
  <c r="BF152" i="5"/>
  <c r="AN152" i="5"/>
  <c r="AB152" i="5"/>
  <c r="EE152" i="5"/>
  <c r="DP152" i="5"/>
  <c r="DA152" i="5"/>
  <c r="CL152" i="5"/>
  <c r="CE152" i="5"/>
  <c r="BQ152" i="5"/>
  <c r="BE152" i="5"/>
  <c r="AY152" i="5"/>
  <c r="AS152" i="5"/>
  <c r="AM152" i="5"/>
  <c r="AG152" i="5"/>
  <c r="EK152" i="5"/>
  <c r="ED152" i="5"/>
  <c r="DV152" i="5"/>
  <c r="DO152" i="5"/>
  <c r="DG152" i="5"/>
  <c r="CZ152" i="5"/>
  <c r="CR152" i="5"/>
  <c r="CK152" i="5"/>
  <c r="CC152" i="5"/>
  <c r="BV152" i="5"/>
  <c r="BP152" i="5"/>
  <c r="BJ152" i="5"/>
  <c r="BD152" i="5"/>
  <c r="AX152" i="5"/>
  <c r="AR152" i="5"/>
  <c r="AL152" i="5"/>
  <c r="AF152" i="5"/>
  <c r="BR152" i="5"/>
  <c r="AT152" i="5"/>
  <c r="AH152" i="5"/>
  <c r="DX152" i="5"/>
  <c r="DI152" i="5"/>
  <c r="CT152" i="5"/>
  <c r="BW152" i="5"/>
  <c r="BK152" i="5"/>
  <c r="ER152" i="5"/>
  <c r="EJ152" i="5"/>
  <c r="EC152" i="5"/>
  <c r="DU152" i="5"/>
  <c r="DN152" i="5"/>
  <c r="DF152" i="5"/>
  <c r="CY152" i="5"/>
  <c r="CQ152" i="5"/>
  <c r="CJ152" i="5"/>
  <c r="CB152" i="5"/>
  <c r="EN152" i="5"/>
  <c r="ES152" i="5"/>
  <c r="AZ152" i="5"/>
  <c r="EM152" i="5"/>
  <c r="C92" i="5" l="1"/>
  <c r="D92" i="5"/>
  <c r="E92" i="5"/>
  <c r="F92" i="5"/>
  <c r="H92" i="5"/>
  <c r="I92" i="5"/>
  <c r="J92" i="5"/>
  <c r="K92" i="5"/>
  <c r="M92" i="5"/>
  <c r="N92" i="5"/>
  <c r="O92" i="5"/>
  <c r="P92" i="5"/>
  <c r="R92" i="5"/>
  <c r="S92" i="5"/>
  <c r="T92" i="5"/>
  <c r="U92" i="5"/>
  <c r="W92" i="5"/>
  <c r="X92" i="5"/>
  <c r="Y92" i="5"/>
  <c r="Z92" i="5"/>
  <c r="AB92" i="5"/>
  <c r="AC92" i="5"/>
  <c r="AD92" i="5"/>
  <c r="AE92" i="5"/>
  <c r="AG92" i="5"/>
  <c r="AH92" i="5"/>
  <c r="AI92" i="5"/>
  <c r="AJ92" i="5"/>
  <c r="AL92" i="5"/>
  <c r="AM92" i="5"/>
  <c r="AN92" i="5"/>
  <c r="AO92" i="5"/>
  <c r="AQ92" i="5"/>
  <c r="AR92" i="5"/>
  <c r="AS92" i="5"/>
  <c r="AT92" i="5"/>
  <c r="AV92" i="5"/>
  <c r="AW92" i="5"/>
  <c r="AX92" i="5"/>
  <c r="AY92" i="5"/>
  <c r="BA92" i="5"/>
  <c r="BB92" i="5"/>
  <c r="BC92" i="5"/>
  <c r="BD92" i="5"/>
  <c r="BF92" i="5"/>
  <c r="BG92" i="5"/>
  <c r="BH92" i="5"/>
  <c r="BI92" i="5"/>
  <c r="BK92" i="5"/>
  <c r="BL92" i="5"/>
  <c r="BM92" i="5"/>
  <c r="BN92" i="5"/>
  <c r="BP92" i="5"/>
  <c r="BQ92" i="5"/>
  <c r="BR92" i="5"/>
  <c r="BS92" i="5"/>
  <c r="BU92" i="5"/>
  <c r="BV92" i="5"/>
  <c r="BW92" i="5"/>
  <c r="BX92" i="5"/>
  <c r="BZ92" i="5"/>
  <c r="CA92" i="5"/>
  <c r="CB92" i="5"/>
  <c r="CC92" i="5"/>
  <c r="CE92" i="5"/>
  <c r="CF92" i="5"/>
  <c r="CG92" i="5"/>
  <c r="CH92" i="5"/>
  <c r="CJ92" i="5"/>
  <c r="CK92" i="5"/>
  <c r="CL92" i="5"/>
  <c r="CM92" i="5"/>
  <c r="CO92" i="5"/>
  <c r="CP92" i="5"/>
  <c r="CQ92" i="5"/>
  <c r="CR92" i="5"/>
  <c r="CT92" i="5"/>
  <c r="CU92" i="5"/>
  <c r="CV92" i="5"/>
  <c r="CW92" i="5"/>
  <c r="CY92" i="5"/>
  <c r="CZ92" i="5"/>
  <c r="DA92" i="5"/>
  <c r="DB92" i="5"/>
  <c r="DD92" i="5"/>
  <c r="DE92" i="5"/>
  <c r="DF92" i="5"/>
  <c r="DG92" i="5"/>
  <c r="DI92" i="5"/>
  <c r="DJ92" i="5"/>
  <c r="DK92" i="5"/>
  <c r="DL92" i="5"/>
  <c r="DN92" i="5"/>
  <c r="DO92" i="5"/>
  <c r="DP92" i="5"/>
  <c r="DQ92" i="5"/>
  <c r="DS92" i="5"/>
  <c r="DT92" i="5"/>
  <c r="DU92" i="5"/>
  <c r="DV92" i="5"/>
  <c r="DX92" i="5"/>
  <c r="DY92" i="5"/>
  <c r="DZ92" i="5"/>
  <c r="EA92" i="5"/>
  <c r="EC92" i="5"/>
  <c r="ED92" i="5"/>
  <c r="EE92" i="5"/>
  <c r="EF92" i="5"/>
  <c r="EH92" i="5"/>
  <c r="EI92" i="5"/>
  <c r="EJ92" i="5"/>
  <c r="EK92" i="5"/>
  <c r="EM92" i="5"/>
  <c r="EN92" i="5"/>
  <c r="EO92" i="5"/>
  <c r="EP92" i="5"/>
  <c r="ER92" i="5"/>
  <c r="C90" i="5"/>
  <c r="D90" i="5"/>
  <c r="E90" i="5"/>
  <c r="F90" i="5"/>
  <c r="H90" i="5"/>
  <c r="I90" i="5"/>
  <c r="J90" i="5"/>
  <c r="K90" i="5"/>
  <c r="M90" i="5"/>
  <c r="N90" i="5"/>
  <c r="O90" i="5"/>
  <c r="P90" i="5"/>
  <c r="R90" i="5"/>
  <c r="S90" i="5"/>
  <c r="T90" i="5"/>
  <c r="U90" i="5"/>
  <c r="W90" i="5"/>
  <c r="X90" i="5"/>
  <c r="Y90" i="5"/>
  <c r="Z90" i="5"/>
  <c r="AB90" i="5"/>
  <c r="AC90" i="5"/>
  <c r="AD90" i="5"/>
  <c r="AE90" i="5"/>
  <c r="AG90" i="5"/>
  <c r="AH90" i="5"/>
  <c r="AI90" i="5"/>
  <c r="AJ90" i="5"/>
  <c r="AL90" i="5"/>
  <c r="AM90" i="5"/>
  <c r="AN90" i="5"/>
  <c r="AO90" i="5"/>
  <c r="AQ90" i="5"/>
  <c r="AR90" i="5"/>
  <c r="AS90" i="5"/>
  <c r="AT90" i="5"/>
  <c r="AV90" i="5"/>
  <c r="AW90" i="5"/>
  <c r="AX90" i="5"/>
  <c r="AY90" i="5"/>
  <c r="BA90" i="5"/>
  <c r="BB90" i="5"/>
  <c r="BC90" i="5"/>
  <c r="BD90" i="5"/>
  <c r="BF90" i="5"/>
  <c r="BG90" i="5"/>
  <c r="BH90" i="5"/>
  <c r="BI90" i="5"/>
  <c r="BK90" i="5"/>
  <c r="BL90" i="5"/>
  <c r="BM90" i="5"/>
  <c r="BN90" i="5"/>
  <c r="BP90" i="5"/>
  <c r="BQ90" i="5"/>
  <c r="BR90" i="5"/>
  <c r="BS90" i="5"/>
  <c r="BU90" i="5"/>
  <c r="BV90" i="5"/>
  <c r="BW90" i="5"/>
  <c r="BX90" i="5"/>
  <c r="BZ90" i="5"/>
  <c r="CA90" i="5"/>
  <c r="CB90" i="5"/>
  <c r="CC90" i="5"/>
  <c r="CE90" i="5"/>
  <c r="CF90" i="5"/>
  <c r="CG90" i="5"/>
  <c r="CH90" i="5"/>
  <c r="CJ90" i="5"/>
  <c r="CK90" i="5"/>
  <c r="CL90" i="5"/>
  <c r="CM90" i="5"/>
  <c r="CO90" i="5"/>
  <c r="CP90" i="5"/>
  <c r="CQ90" i="5"/>
  <c r="CR90" i="5"/>
  <c r="CT90" i="5"/>
  <c r="CU90" i="5"/>
  <c r="CV90" i="5"/>
  <c r="CW90" i="5"/>
  <c r="CY90" i="5"/>
  <c r="CZ90" i="5"/>
  <c r="DA90" i="5"/>
  <c r="DB90" i="5"/>
  <c r="DD90" i="5"/>
  <c r="DE90" i="5"/>
  <c r="DF90" i="5"/>
  <c r="DG90" i="5"/>
  <c r="DI90" i="5"/>
  <c r="DJ90" i="5"/>
  <c r="DK90" i="5"/>
  <c r="DL90" i="5"/>
  <c r="DN90" i="5"/>
  <c r="DO90" i="5"/>
  <c r="DP90" i="5"/>
  <c r="DQ90" i="5"/>
  <c r="DS90" i="5"/>
  <c r="DT90" i="5"/>
  <c r="DU90" i="5"/>
  <c r="DV90" i="5"/>
  <c r="DX90" i="5"/>
  <c r="DY90" i="5"/>
  <c r="DZ90" i="5"/>
  <c r="EA90" i="5"/>
  <c r="EC90" i="5"/>
  <c r="ED90" i="5"/>
  <c r="EE90" i="5"/>
  <c r="EF90" i="5"/>
  <c r="EH90" i="5"/>
  <c r="EI90" i="5"/>
  <c r="EJ90" i="5"/>
  <c r="EK90" i="5"/>
  <c r="EM90" i="5"/>
  <c r="EN90" i="5"/>
  <c r="EO90" i="5"/>
  <c r="EP90" i="5"/>
  <c r="ER90" i="5"/>
  <c r="ER134" i="5" l="1"/>
  <c r="FO136" i="5"/>
  <c r="FN136" i="5"/>
  <c r="FM136" i="5"/>
  <c r="FL136" i="5"/>
  <c r="FJ136" i="5"/>
  <c r="FI136" i="5"/>
  <c r="FH136" i="5"/>
  <c r="FG136" i="5"/>
  <c r="FB41" i="5" l="1"/>
  <c r="GA136" i="5"/>
  <c r="GF136" i="5" s="1"/>
  <c r="EQ11" i="6"/>
  <c r="EL11" i="6"/>
  <c r="EG11" i="6"/>
  <c r="EB11" i="6"/>
  <c r="DW11" i="6"/>
  <c r="DR11" i="6"/>
  <c r="DM11" i="6"/>
  <c r="DH11" i="6"/>
  <c r="DC11" i="6"/>
  <c r="CX11" i="6"/>
  <c r="CS11" i="6"/>
  <c r="CN11" i="6"/>
  <c r="CI11" i="6"/>
  <c r="CD11" i="6"/>
  <c r="BY11" i="6"/>
  <c r="ER79" i="5"/>
  <c r="FW109" i="5"/>
  <c r="FX109" i="5" s="1"/>
  <c r="FY109" i="5" s="1"/>
  <c r="FH109" i="5"/>
  <c r="FI109" i="5" s="1"/>
  <c r="FJ109" i="5" s="1"/>
  <c r="GD136" i="5" l="1"/>
  <c r="GI136" i="5" s="1"/>
  <c r="GB136" i="5"/>
  <c r="GG136" i="5" s="1"/>
  <c r="GC136" i="5"/>
  <c r="GH136" i="5" s="1"/>
  <c r="FC41" i="5"/>
  <c r="FB34" i="5"/>
  <c r="FC34" i="5" s="1"/>
  <c r="FD34" i="5" s="1"/>
  <c r="FE34" i="5" s="1"/>
  <c r="FF34" i="5" s="1"/>
  <c r="EV34" i="5"/>
  <c r="EV31" i="5"/>
  <c r="FB31" i="5"/>
  <c r="FC31" i="5" s="1"/>
  <c r="FD31" i="5" s="1"/>
  <c r="FE31" i="5" s="1"/>
  <c r="FF31" i="5" s="1"/>
  <c r="EV30" i="5"/>
  <c r="EV23" i="5"/>
  <c r="FB23" i="5"/>
  <c r="FC23" i="5" s="1"/>
  <c r="FD23" i="5" s="1"/>
  <c r="FE23" i="5" s="1"/>
  <c r="FF23" i="5" s="1"/>
  <c r="GJ136" i="5" l="1"/>
  <c r="FB30" i="5"/>
  <c r="GE136" i="5"/>
  <c r="EV42" i="5"/>
  <c r="EV29" i="5"/>
  <c r="EV19" i="5"/>
  <c r="EV21" i="5"/>
  <c r="EV38" i="5"/>
  <c r="FD41" i="5"/>
  <c r="EV20" i="5"/>
  <c r="FC30" i="5" l="1"/>
  <c r="FE41" i="5"/>
  <c r="FG31" i="5"/>
  <c r="FH31" i="5" s="1"/>
  <c r="FI31" i="5" s="1"/>
  <c r="FJ31" i="5" s="1"/>
  <c r="FG23" i="5"/>
  <c r="FH23" i="5" s="1"/>
  <c r="FI23" i="5" s="1"/>
  <c r="FJ23" i="5" s="1"/>
  <c r="FG34" i="5"/>
  <c r="FH34" i="5" s="1"/>
  <c r="FI34" i="5" s="1"/>
  <c r="FJ34" i="5" s="1"/>
  <c r="FD30" i="5" l="1"/>
  <c r="FF41" i="5"/>
  <c r="FG41" i="5"/>
  <c r="FK23" i="5"/>
  <c r="FL23" i="5"/>
  <c r="FM23" i="5" s="1"/>
  <c r="FN23" i="5" s="1"/>
  <c r="FO23" i="5" s="1"/>
  <c r="FK34" i="5"/>
  <c r="FL34" i="5"/>
  <c r="FM34" i="5" s="1"/>
  <c r="FN34" i="5" s="1"/>
  <c r="FO34" i="5" s="1"/>
  <c r="FK31" i="5"/>
  <c r="FL31" i="5"/>
  <c r="FM31" i="5" s="1"/>
  <c r="FN31" i="5" s="1"/>
  <c r="FO31" i="5" s="1"/>
  <c r="FE30" i="5" l="1"/>
  <c r="FB42" i="5"/>
  <c r="FB21" i="5"/>
  <c r="FH41" i="5"/>
  <c r="FB19" i="5"/>
  <c r="FB38" i="5"/>
  <c r="FB29" i="5"/>
  <c r="FP34" i="5"/>
  <c r="FQ34" i="5"/>
  <c r="FR34" i="5" s="1"/>
  <c r="FS34" i="5" s="1"/>
  <c r="FT34" i="5" s="1"/>
  <c r="FP31" i="5"/>
  <c r="FQ31" i="5"/>
  <c r="FR31" i="5" s="1"/>
  <c r="FS31" i="5" s="1"/>
  <c r="FT31" i="5" s="1"/>
  <c r="FP23" i="5"/>
  <c r="FQ23" i="5"/>
  <c r="FR23" i="5" s="1"/>
  <c r="FS23" i="5" s="1"/>
  <c r="FT23" i="5" s="1"/>
  <c r="FF30" i="5" l="1"/>
  <c r="FG30" i="5"/>
  <c r="FB20" i="5"/>
  <c r="FC19" i="5"/>
  <c r="FB59" i="5"/>
  <c r="FC223" i="3" s="1"/>
  <c r="FC29" i="5"/>
  <c r="FC21" i="5"/>
  <c r="FC38" i="5"/>
  <c r="FI41" i="5"/>
  <c r="FC42" i="5"/>
  <c r="FU23" i="5"/>
  <c r="FV23" i="5"/>
  <c r="FW23" i="5" s="1"/>
  <c r="FX23" i="5" s="1"/>
  <c r="FY23" i="5" s="1"/>
  <c r="FU34" i="5"/>
  <c r="FV34" i="5"/>
  <c r="FW34" i="5" s="1"/>
  <c r="FX34" i="5" s="1"/>
  <c r="FY34" i="5" s="1"/>
  <c r="FU31" i="5"/>
  <c r="FV31" i="5"/>
  <c r="FW31" i="5" s="1"/>
  <c r="FX31" i="5" s="1"/>
  <c r="FY31" i="5" s="1"/>
  <c r="FH30" i="5" l="1"/>
  <c r="FZ23" i="5"/>
  <c r="GA23" i="5"/>
  <c r="GB23" i="5" s="1"/>
  <c r="GC23" i="5" s="1"/>
  <c r="GD23" i="5" s="1"/>
  <c r="FZ34" i="5"/>
  <c r="GA34" i="5"/>
  <c r="GB34" i="5" s="1"/>
  <c r="GC34" i="5" s="1"/>
  <c r="GD34" i="5" s="1"/>
  <c r="FZ31" i="5"/>
  <c r="GA31" i="5"/>
  <c r="GB31" i="5" s="1"/>
  <c r="GC31" i="5" s="1"/>
  <c r="GD31" i="5" s="1"/>
  <c r="FD42" i="5"/>
  <c r="FD21" i="5"/>
  <c r="FC59" i="5"/>
  <c r="FD223" i="3" s="1"/>
  <c r="FD29" i="5"/>
  <c r="FD38" i="5"/>
  <c r="FD19" i="5"/>
  <c r="FJ41" i="5"/>
  <c r="FC20" i="5"/>
  <c r="FW32" i="8"/>
  <c r="FX32" i="8" s="1"/>
  <c r="FY32" i="8" s="1"/>
  <c r="FR32" i="8"/>
  <c r="FS32" i="8" s="1"/>
  <c r="FT32" i="8" s="1"/>
  <c r="FM32" i="8"/>
  <c r="FN32" i="8" s="1"/>
  <c r="FO32" i="8" s="1"/>
  <c r="FH32" i="8"/>
  <c r="FI32" i="8" s="1"/>
  <c r="FJ32" i="8" s="1"/>
  <c r="FC32" i="8"/>
  <c r="FD32" i="8" s="1"/>
  <c r="FE32" i="8" s="1"/>
  <c r="FW36" i="8"/>
  <c r="FX36" i="8" s="1"/>
  <c r="FR36" i="8"/>
  <c r="FS36" i="8" s="1"/>
  <c r="FM36" i="8"/>
  <c r="FN36" i="8" s="1"/>
  <c r="FH36" i="8"/>
  <c r="FI36" i="8" s="1"/>
  <c r="FJ36" i="8" s="1"/>
  <c r="FC36" i="8"/>
  <c r="FD36" i="8" s="1"/>
  <c r="FE36" i="8" s="1"/>
  <c r="EF28" i="8"/>
  <c r="CS12" i="8"/>
  <c r="CX12" i="8"/>
  <c r="DC12" i="8"/>
  <c r="DH12" i="8"/>
  <c r="DM12" i="8"/>
  <c r="DR12" i="8"/>
  <c r="DW12" i="8"/>
  <c r="EK28" i="8"/>
  <c r="EQ28" i="8"/>
  <c r="GE34" i="5" l="1"/>
  <c r="GF34" i="5"/>
  <c r="GG34" i="5" s="1"/>
  <c r="GH34" i="5" s="1"/>
  <c r="GI34" i="5" s="1"/>
  <c r="GJ34" i="5" s="1"/>
  <c r="GE23" i="5"/>
  <c r="GF23" i="5"/>
  <c r="GG23" i="5" s="1"/>
  <c r="GH23" i="5" s="1"/>
  <c r="GI23" i="5" s="1"/>
  <c r="GJ23" i="5" s="1"/>
  <c r="GE31" i="5"/>
  <c r="GF31" i="5"/>
  <c r="FI30" i="5"/>
  <c r="FE19" i="5"/>
  <c r="FD20" i="5"/>
  <c r="FE38" i="5"/>
  <c r="FD59" i="5"/>
  <c r="FE223" i="3" s="1"/>
  <c r="FE29" i="5"/>
  <c r="FL41" i="5"/>
  <c r="FE21" i="5"/>
  <c r="FE42" i="5"/>
  <c r="EL28" i="8"/>
  <c r="EK31" i="8"/>
  <c r="EF31" i="8"/>
  <c r="FF22" i="8"/>
  <c r="FY36" i="8"/>
  <c r="FT36" i="8"/>
  <c r="FO36" i="8"/>
  <c r="GG31" i="5" l="1"/>
  <c r="FJ30" i="5"/>
  <c r="FF42" i="5"/>
  <c r="FG42" i="5"/>
  <c r="FF21" i="5"/>
  <c r="FG21" i="5"/>
  <c r="FF38" i="5"/>
  <c r="FG38" i="5"/>
  <c r="FF29" i="5"/>
  <c r="FG29" i="5"/>
  <c r="FE59" i="5"/>
  <c r="FG223" i="3" s="1"/>
  <c r="FE20" i="5"/>
  <c r="FM41" i="5"/>
  <c r="FF19" i="5"/>
  <c r="FG19" i="5"/>
  <c r="EH32" i="8"/>
  <c r="EM32" i="8"/>
  <c r="EK32" i="8"/>
  <c r="GH31" i="5" l="1"/>
  <c r="FK30" i="5"/>
  <c r="FL30" i="5"/>
  <c r="FH29" i="5"/>
  <c r="FH21" i="5"/>
  <c r="FN41" i="5"/>
  <c r="FF59" i="5"/>
  <c r="FF223" i="3" s="1"/>
  <c r="FH42" i="5"/>
  <c r="FF20" i="5"/>
  <c r="FG20" i="5"/>
  <c r="FH19" i="5"/>
  <c r="FH38" i="5"/>
  <c r="C34" i="8"/>
  <c r="D34" i="8"/>
  <c r="E34" i="8"/>
  <c r="F34" i="8"/>
  <c r="G34" i="8"/>
  <c r="H34" i="8"/>
  <c r="I34" i="8"/>
  <c r="J34" i="8"/>
  <c r="K34" i="8"/>
  <c r="L34" i="8"/>
  <c r="M34" i="8"/>
  <c r="N34" i="8"/>
  <c r="O34" i="8"/>
  <c r="P34" i="8"/>
  <c r="Q34" i="8"/>
  <c r="R34" i="8"/>
  <c r="S34" i="8"/>
  <c r="T34" i="8"/>
  <c r="U34" i="8"/>
  <c r="V34" i="8"/>
  <c r="W34" i="8"/>
  <c r="X34" i="8"/>
  <c r="Y34" i="8"/>
  <c r="Z34" i="8"/>
  <c r="AA34" i="8"/>
  <c r="AB34" i="8"/>
  <c r="AC34" i="8"/>
  <c r="AD34" i="8"/>
  <c r="AE34" i="8"/>
  <c r="AF34" i="8"/>
  <c r="AG34" i="8"/>
  <c r="AH34" i="8"/>
  <c r="AI34" i="8"/>
  <c r="AJ34" i="8"/>
  <c r="AK34" i="8"/>
  <c r="AL34" i="8"/>
  <c r="AM34" i="8"/>
  <c r="AN34" i="8"/>
  <c r="AO34" i="8"/>
  <c r="AP34" i="8"/>
  <c r="AQ34" i="8"/>
  <c r="AR34" i="8"/>
  <c r="AS34" i="8"/>
  <c r="AT34" i="8"/>
  <c r="AU34" i="8"/>
  <c r="AV34" i="8"/>
  <c r="AW34" i="8"/>
  <c r="AX34" i="8"/>
  <c r="AY34" i="8"/>
  <c r="AZ34" i="8"/>
  <c r="BA34" i="8"/>
  <c r="BB34" i="8"/>
  <c r="BC34" i="8"/>
  <c r="BD34" i="8"/>
  <c r="BE34" i="8"/>
  <c r="BF34" i="8"/>
  <c r="BG34" i="8"/>
  <c r="BH34" i="8"/>
  <c r="BI34" i="8"/>
  <c r="BJ34" i="8"/>
  <c r="BK34" i="8"/>
  <c r="BL34" i="8"/>
  <c r="BM34" i="8"/>
  <c r="BN34" i="8"/>
  <c r="BO34" i="8"/>
  <c r="BP34" i="8"/>
  <c r="BQ34" i="8"/>
  <c r="BR34" i="8"/>
  <c r="BS34" i="8"/>
  <c r="BT34" i="8"/>
  <c r="BU34" i="8"/>
  <c r="BV34" i="8"/>
  <c r="BW34" i="8"/>
  <c r="BX34" i="8"/>
  <c r="BZ34" i="8"/>
  <c r="CA34" i="8"/>
  <c r="CB34" i="8"/>
  <c r="CC34" i="8"/>
  <c r="CE34" i="8"/>
  <c r="CF34" i="8"/>
  <c r="CG34" i="8"/>
  <c r="CH34" i="8"/>
  <c r="CJ34" i="8"/>
  <c r="CK34" i="8"/>
  <c r="CL34" i="8"/>
  <c r="CM34" i="8"/>
  <c r="CO34" i="8"/>
  <c r="CP34" i="8"/>
  <c r="CQ34" i="8"/>
  <c r="CR34" i="8"/>
  <c r="CT34" i="8"/>
  <c r="CU34" i="8"/>
  <c r="CV34" i="8"/>
  <c r="CW34" i="8"/>
  <c r="CY34" i="8"/>
  <c r="CZ34" i="8"/>
  <c r="DA34" i="8"/>
  <c r="DB34" i="8"/>
  <c r="DD34" i="8"/>
  <c r="DE34" i="8"/>
  <c r="DF34" i="8"/>
  <c r="DG34" i="8"/>
  <c r="DI34" i="8"/>
  <c r="DJ34" i="8"/>
  <c r="DK34" i="8"/>
  <c r="DL34" i="8"/>
  <c r="DN34" i="8"/>
  <c r="DO34" i="8"/>
  <c r="DP34" i="8"/>
  <c r="DQ34" i="8"/>
  <c r="DS34" i="8"/>
  <c r="DT34" i="8"/>
  <c r="DU34" i="8"/>
  <c r="DV34" i="8"/>
  <c r="DX34" i="8"/>
  <c r="DY34" i="8"/>
  <c r="DZ34" i="8"/>
  <c r="EA34" i="8"/>
  <c r="EC34" i="8"/>
  <c r="EC43" i="8" s="1"/>
  <c r="EC44" i="8" s="1"/>
  <c r="ED34" i="8"/>
  <c r="EE34" i="8"/>
  <c r="EF34" i="8"/>
  <c r="EH34" i="8"/>
  <c r="EI34" i="8"/>
  <c r="EJ34" i="8"/>
  <c r="EK34" i="8"/>
  <c r="EM34" i="8"/>
  <c r="EN34" i="8"/>
  <c r="EO34" i="8"/>
  <c r="EP34" i="8"/>
  <c r="ER34" i="8"/>
  <c r="C22" i="8"/>
  <c r="C31" i="8" s="1"/>
  <c r="C32" i="8" s="1"/>
  <c r="D22" i="8"/>
  <c r="D31" i="8" s="1"/>
  <c r="D32" i="8" s="1"/>
  <c r="E22" i="8"/>
  <c r="E31" i="8" s="1"/>
  <c r="E32" i="8" s="1"/>
  <c r="F22" i="8"/>
  <c r="F31" i="8" s="1"/>
  <c r="F32" i="8" s="1"/>
  <c r="G22" i="8"/>
  <c r="G31" i="8" s="1"/>
  <c r="H22" i="8"/>
  <c r="H31" i="8" s="1"/>
  <c r="I22" i="8"/>
  <c r="I31" i="8" s="1"/>
  <c r="J22" i="8"/>
  <c r="J31" i="8" s="1"/>
  <c r="K22" i="8"/>
  <c r="K31" i="8" s="1"/>
  <c r="L22" i="8"/>
  <c r="L31" i="8" s="1"/>
  <c r="M22" i="8"/>
  <c r="M31" i="8" s="1"/>
  <c r="N22" i="8"/>
  <c r="N31" i="8" s="1"/>
  <c r="O22" i="8"/>
  <c r="O31" i="8" s="1"/>
  <c r="P22" i="8"/>
  <c r="P31" i="8" s="1"/>
  <c r="Q22" i="8"/>
  <c r="Q31" i="8" s="1"/>
  <c r="R22" i="8"/>
  <c r="R31" i="8" s="1"/>
  <c r="S22" i="8"/>
  <c r="S31" i="8" s="1"/>
  <c r="T22" i="8"/>
  <c r="T31" i="8" s="1"/>
  <c r="U22" i="8"/>
  <c r="U31" i="8" s="1"/>
  <c r="V22" i="8"/>
  <c r="V31" i="8" s="1"/>
  <c r="W22" i="8"/>
  <c r="W31" i="8" s="1"/>
  <c r="X22" i="8"/>
  <c r="X31" i="8" s="1"/>
  <c r="Y22" i="8"/>
  <c r="Y31" i="8" s="1"/>
  <c r="Z22" i="8"/>
  <c r="Z31" i="8" s="1"/>
  <c r="AA22" i="8"/>
  <c r="AA31" i="8" s="1"/>
  <c r="AB22" i="8"/>
  <c r="AB31" i="8" s="1"/>
  <c r="AC22" i="8"/>
  <c r="AC31" i="8" s="1"/>
  <c r="AD22" i="8"/>
  <c r="AD31" i="8" s="1"/>
  <c r="AE22" i="8"/>
  <c r="AE31" i="8" s="1"/>
  <c r="AF22" i="8"/>
  <c r="AF31" i="8" s="1"/>
  <c r="AG22" i="8"/>
  <c r="AG31" i="8" s="1"/>
  <c r="AH22" i="8"/>
  <c r="AH31" i="8" s="1"/>
  <c r="AI22" i="8"/>
  <c r="AI31" i="8" s="1"/>
  <c r="AJ22" i="8"/>
  <c r="AJ31" i="8" s="1"/>
  <c r="AK22" i="8"/>
  <c r="AK31" i="8" s="1"/>
  <c r="AL22" i="8"/>
  <c r="AL31" i="8" s="1"/>
  <c r="AM22" i="8"/>
  <c r="AM31" i="8" s="1"/>
  <c r="AN22" i="8"/>
  <c r="AN31" i="8" s="1"/>
  <c r="AO22" i="8"/>
  <c r="AO31" i="8" s="1"/>
  <c r="AP22" i="8"/>
  <c r="AP31" i="8" s="1"/>
  <c r="AQ22" i="8"/>
  <c r="AQ31" i="8" s="1"/>
  <c r="AR22" i="8"/>
  <c r="AR31" i="8" s="1"/>
  <c r="AS22" i="8"/>
  <c r="AS31" i="8" s="1"/>
  <c r="AT22" i="8"/>
  <c r="AT31" i="8" s="1"/>
  <c r="AU22" i="8"/>
  <c r="AU31" i="8" s="1"/>
  <c r="AV22" i="8"/>
  <c r="AV31" i="8" s="1"/>
  <c r="AW22" i="8"/>
  <c r="AW31" i="8" s="1"/>
  <c r="AX22" i="8"/>
  <c r="AX31" i="8" s="1"/>
  <c r="AY22" i="8"/>
  <c r="AY31" i="8" s="1"/>
  <c r="AZ22" i="8"/>
  <c r="AZ31" i="8" s="1"/>
  <c r="BA22" i="8"/>
  <c r="BA31" i="8" s="1"/>
  <c r="BB22" i="8"/>
  <c r="BB31" i="8" s="1"/>
  <c r="BC22" i="8"/>
  <c r="BC31" i="8" s="1"/>
  <c r="BD22" i="8"/>
  <c r="BD31" i="8" s="1"/>
  <c r="BE22" i="8"/>
  <c r="BE31" i="8" s="1"/>
  <c r="BF22" i="8"/>
  <c r="BF31" i="8" s="1"/>
  <c r="BG22" i="8"/>
  <c r="BG31" i="8" s="1"/>
  <c r="BH22" i="8"/>
  <c r="BH31" i="8" s="1"/>
  <c r="BI22" i="8"/>
  <c r="BI31" i="8" s="1"/>
  <c r="BJ22" i="8"/>
  <c r="BJ31" i="8" s="1"/>
  <c r="BK22" i="8"/>
  <c r="BK31" i="8" s="1"/>
  <c r="BL22" i="8"/>
  <c r="BL31" i="8" s="1"/>
  <c r="BM22" i="8"/>
  <c r="BM31" i="8" s="1"/>
  <c r="BN22" i="8"/>
  <c r="BN31" i="8" s="1"/>
  <c r="BO22" i="8"/>
  <c r="BO31" i="8" s="1"/>
  <c r="BP22" i="8"/>
  <c r="BP31" i="8" s="1"/>
  <c r="BQ22" i="8"/>
  <c r="BQ31" i="8" s="1"/>
  <c r="BR22" i="8"/>
  <c r="BR31" i="8" s="1"/>
  <c r="BS22" i="8"/>
  <c r="BS31" i="8" s="1"/>
  <c r="BT22" i="8"/>
  <c r="BT31" i="8" s="1"/>
  <c r="BU22" i="8"/>
  <c r="BU31" i="8" s="1"/>
  <c r="BV22" i="8"/>
  <c r="BV31" i="8" s="1"/>
  <c r="BW22" i="8"/>
  <c r="BW31" i="8" s="1"/>
  <c r="BX22" i="8"/>
  <c r="BX31" i="8" s="1"/>
  <c r="BZ22" i="8"/>
  <c r="BZ31" i="8" s="1"/>
  <c r="CA22" i="8"/>
  <c r="CA31" i="8" s="1"/>
  <c r="CB22" i="8"/>
  <c r="CB31" i="8" s="1"/>
  <c r="CC22" i="8"/>
  <c r="CC31" i="8" s="1"/>
  <c r="CE22" i="8"/>
  <c r="CE31" i="8" s="1"/>
  <c r="CF22" i="8"/>
  <c r="CF31" i="8" s="1"/>
  <c r="CG22" i="8"/>
  <c r="CG31" i="8" s="1"/>
  <c r="CH22" i="8"/>
  <c r="CH31" i="8" s="1"/>
  <c r="CJ22" i="8"/>
  <c r="CJ31" i="8" s="1"/>
  <c r="CK22" i="8"/>
  <c r="CK31" i="8" s="1"/>
  <c r="CL22" i="8"/>
  <c r="CL31" i="8" s="1"/>
  <c r="CM22" i="8"/>
  <c r="CM31" i="8" s="1"/>
  <c r="CO22" i="8"/>
  <c r="CO31" i="8" s="1"/>
  <c r="CP22" i="8"/>
  <c r="CP31" i="8" s="1"/>
  <c r="CQ22" i="8"/>
  <c r="CQ31" i="8" s="1"/>
  <c r="CR22" i="8"/>
  <c r="CR31" i="8" s="1"/>
  <c r="CT22" i="8"/>
  <c r="CT31" i="8" s="1"/>
  <c r="CU22" i="8"/>
  <c r="CU31" i="8" s="1"/>
  <c r="CV22" i="8"/>
  <c r="CV31" i="8" s="1"/>
  <c r="CW22" i="8"/>
  <c r="CW31" i="8" s="1"/>
  <c r="CY22" i="8"/>
  <c r="CY31" i="8" s="1"/>
  <c r="CZ22" i="8"/>
  <c r="CZ31" i="8" s="1"/>
  <c r="DA22" i="8"/>
  <c r="DA31" i="8" s="1"/>
  <c r="DB22" i="8"/>
  <c r="DB31" i="8" s="1"/>
  <c r="DD22" i="8"/>
  <c r="DD31" i="8" s="1"/>
  <c r="DE22" i="8"/>
  <c r="DE31" i="8" s="1"/>
  <c r="DF22" i="8"/>
  <c r="DF31" i="8" s="1"/>
  <c r="DG22" i="8"/>
  <c r="DG31" i="8" s="1"/>
  <c r="DI22" i="8"/>
  <c r="DI31" i="8" s="1"/>
  <c r="DJ22" i="8"/>
  <c r="DJ31" i="8" s="1"/>
  <c r="DK22" i="8"/>
  <c r="DK31" i="8" s="1"/>
  <c r="DL22" i="8"/>
  <c r="DL31" i="8" s="1"/>
  <c r="DN22" i="8"/>
  <c r="DN31" i="8" s="1"/>
  <c r="DO22" i="8"/>
  <c r="DO31" i="8" s="1"/>
  <c r="DP22" i="8"/>
  <c r="DP31" i="8" s="1"/>
  <c r="DQ22" i="8"/>
  <c r="DQ31" i="8" s="1"/>
  <c r="DS22" i="8"/>
  <c r="DS31" i="8" s="1"/>
  <c r="DT22" i="8"/>
  <c r="DT31" i="8" s="1"/>
  <c r="DU22" i="8"/>
  <c r="DU31" i="8" s="1"/>
  <c r="DV22" i="8"/>
  <c r="DV31" i="8" s="1"/>
  <c r="DX22" i="8"/>
  <c r="DX31" i="8" s="1"/>
  <c r="DY22" i="8"/>
  <c r="DY31" i="8" s="1"/>
  <c r="DZ22" i="8"/>
  <c r="DZ31" i="8" s="1"/>
  <c r="EA22" i="8"/>
  <c r="EA31" i="8" s="1"/>
  <c r="EC22" i="8"/>
  <c r="EC23" i="8" s="1"/>
  <c r="ED22" i="8"/>
  <c r="ED23" i="8" s="1"/>
  <c r="ED29" i="8" s="1"/>
  <c r="ED27" i="8" s="1"/>
  <c r="EE22" i="8"/>
  <c r="EE23" i="8" s="1"/>
  <c r="EE29" i="8" s="1"/>
  <c r="EE27" i="8" s="1"/>
  <c r="EF22" i="8"/>
  <c r="EF23" i="8" s="1"/>
  <c r="EF29" i="8" s="1"/>
  <c r="EF27" i="8" s="1"/>
  <c r="EH22" i="8"/>
  <c r="EH23" i="8" s="1"/>
  <c r="EH29" i="8" s="1"/>
  <c r="EI22" i="8"/>
  <c r="EI23" i="8" s="1"/>
  <c r="EI29" i="8" s="1"/>
  <c r="EI27" i="8" s="1"/>
  <c r="EJ22" i="8"/>
  <c r="EJ23" i="8" s="1"/>
  <c r="EJ29" i="8" s="1"/>
  <c r="EJ27" i="8" s="1"/>
  <c r="EK22" i="8"/>
  <c r="EK23" i="8" s="1"/>
  <c r="EK29" i="8" s="1"/>
  <c r="EK27" i="8" s="1"/>
  <c r="EM22" i="8"/>
  <c r="EM23" i="8" s="1"/>
  <c r="EN22" i="8"/>
  <c r="EN23" i="8" s="1"/>
  <c r="EN29" i="8" s="1"/>
  <c r="EN27" i="8" s="1"/>
  <c r="EO22" i="8"/>
  <c r="EO23" i="8" s="1"/>
  <c r="EO29" i="8" s="1"/>
  <c r="EO27" i="8" s="1"/>
  <c r="EP22" i="8"/>
  <c r="EP23" i="8" s="1"/>
  <c r="EP29" i="8" s="1"/>
  <c r="EP27" i="8" s="1"/>
  <c r="ER22" i="8"/>
  <c r="ER46" i="6"/>
  <c r="C17" i="8"/>
  <c r="C18" i="8" s="1"/>
  <c r="D17" i="8"/>
  <c r="D18" i="8" s="1"/>
  <c r="E17" i="8"/>
  <c r="E18" i="8" s="1"/>
  <c r="F17" i="8"/>
  <c r="F18" i="8" s="1"/>
  <c r="H17" i="8"/>
  <c r="I17" i="8"/>
  <c r="J17" i="8"/>
  <c r="K17" i="8"/>
  <c r="M17" i="8"/>
  <c r="N17" i="8"/>
  <c r="O17" i="8"/>
  <c r="P17" i="8"/>
  <c r="R17" i="8"/>
  <c r="S17" i="8"/>
  <c r="T17" i="8"/>
  <c r="U17" i="8"/>
  <c r="W17" i="8"/>
  <c r="X17" i="8"/>
  <c r="Y17" i="8"/>
  <c r="Z17" i="8"/>
  <c r="AB17" i="8"/>
  <c r="AC17" i="8"/>
  <c r="AD17" i="8"/>
  <c r="AE17" i="8"/>
  <c r="AG17" i="8"/>
  <c r="AH17" i="8"/>
  <c r="AI17" i="8"/>
  <c r="AJ17" i="8"/>
  <c r="AL17" i="8"/>
  <c r="AM17" i="8"/>
  <c r="AN17" i="8"/>
  <c r="AO17" i="8"/>
  <c r="AQ17" i="8"/>
  <c r="AR17" i="8"/>
  <c r="AS17" i="8"/>
  <c r="AT17" i="8"/>
  <c r="AV17" i="8"/>
  <c r="AW17" i="8"/>
  <c r="AX17" i="8"/>
  <c r="AY17" i="8"/>
  <c r="BA17" i="8"/>
  <c r="BB17" i="8"/>
  <c r="BC17" i="8"/>
  <c r="BD17" i="8"/>
  <c r="BF17" i="8"/>
  <c r="BG17" i="8"/>
  <c r="BH17" i="8"/>
  <c r="BI17" i="8"/>
  <c r="BK17" i="8"/>
  <c r="BL17" i="8"/>
  <c r="BM17" i="8"/>
  <c r="BN17" i="8"/>
  <c r="BP17" i="8"/>
  <c r="BQ17" i="8"/>
  <c r="BR17" i="8"/>
  <c r="BS17" i="8"/>
  <c r="BU17" i="8"/>
  <c r="BV17" i="8"/>
  <c r="BW17" i="8"/>
  <c r="BX17" i="8"/>
  <c r="BZ17" i="8"/>
  <c r="CA17" i="8"/>
  <c r="CB17" i="8"/>
  <c r="CC17" i="8"/>
  <c r="CE17" i="8"/>
  <c r="CF17" i="8"/>
  <c r="CG17" i="8"/>
  <c r="CH17" i="8"/>
  <c r="CJ17" i="8"/>
  <c r="CK17" i="8"/>
  <c r="CL17" i="8"/>
  <c r="CM17" i="8"/>
  <c r="CO17" i="8"/>
  <c r="CP17" i="8"/>
  <c r="CQ17" i="8"/>
  <c r="CR17" i="8"/>
  <c r="CT17" i="8"/>
  <c r="CU17" i="8"/>
  <c r="CV17" i="8"/>
  <c r="CW17" i="8"/>
  <c r="CY17" i="8"/>
  <c r="CZ17" i="8"/>
  <c r="DA17" i="8"/>
  <c r="DB17" i="8"/>
  <c r="DD17" i="8"/>
  <c r="DE17" i="8"/>
  <c r="DF17" i="8"/>
  <c r="DG17" i="8"/>
  <c r="DI17" i="8"/>
  <c r="DJ17" i="8"/>
  <c r="DK17" i="8"/>
  <c r="DL17" i="8"/>
  <c r="DN17" i="8"/>
  <c r="DO17" i="8"/>
  <c r="DP17" i="8"/>
  <c r="DQ17" i="8"/>
  <c r="DS17" i="8"/>
  <c r="DT17" i="8"/>
  <c r="DU17" i="8"/>
  <c r="DV17" i="8"/>
  <c r="DX17" i="8"/>
  <c r="DY17" i="8"/>
  <c r="DZ17" i="8"/>
  <c r="EA17" i="8"/>
  <c r="EC17" i="8"/>
  <c r="ED17" i="8"/>
  <c r="EE17" i="8"/>
  <c r="EF17" i="8"/>
  <c r="EH17" i="8"/>
  <c r="EI17" i="8"/>
  <c r="EJ17" i="8"/>
  <c r="EK17" i="8"/>
  <c r="EM17" i="8"/>
  <c r="EN17" i="8"/>
  <c r="ES18" i="8" s="1"/>
  <c r="EO17" i="8"/>
  <c r="ET18" i="8" s="1"/>
  <c r="EP17" i="8"/>
  <c r="EU18" i="8" s="1"/>
  <c r="ER17" i="8"/>
  <c r="EW18" i="8" s="1"/>
  <c r="D13" i="8"/>
  <c r="E13" i="8"/>
  <c r="E14" i="8" s="1"/>
  <c r="F13" i="8"/>
  <c r="H13" i="8"/>
  <c r="I13" i="8"/>
  <c r="J13" i="8"/>
  <c r="K13" i="8"/>
  <c r="M13" i="8"/>
  <c r="N13" i="8"/>
  <c r="O13" i="8"/>
  <c r="P13" i="8"/>
  <c r="R13" i="8"/>
  <c r="S13" i="8"/>
  <c r="T13" i="8"/>
  <c r="U13" i="8"/>
  <c r="W13" i="8"/>
  <c r="X13" i="8"/>
  <c r="Y13" i="8"/>
  <c r="Z13" i="8"/>
  <c r="AB13" i="8"/>
  <c r="AC13" i="8"/>
  <c r="AD13" i="8"/>
  <c r="AE13" i="8"/>
  <c r="AG13" i="8"/>
  <c r="AH13" i="8"/>
  <c r="AI13" i="8"/>
  <c r="AJ13" i="8"/>
  <c r="AL13" i="8"/>
  <c r="AM13" i="8"/>
  <c r="AN13" i="8"/>
  <c r="AO13" i="8"/>
  <c r="AQ13" i="8"/>
  <c r="AR13" i="8"/>
  <c r="AS13" i="8"/>
  <c r="AT13" i="8"/>
  <c r="AV13" i="8"/>
  <c r="AW13" i="8"/>
  <c r="AX13" i="8"/>
  <c r="AY13" i="8"/>
  <c r="BA13" i="8"/>
  <c r="BB13" i="8"/>
  <c r="BC13" i="8"/>
  <c r="BD13" i="8"/>
  <c r="BF13" i="8"/>
  <c r="BG13" i="8"/>
  <c r="BH13" i="8"/>
  <c r="BI13" i="8"/>
  <c r="BK13" i="8"/>
  <c r="BL13" i="8"/>
  <c r="BM13" i="8"/>
  <c r="BN13" i="8"/>
  <c r="BP13" i="8"/>
  <c r="BQ13" i="8"/>
  <c r="BR13" i="8"/>
  <c r="BS13" i="8"/>
  <c r="BU13" i="8"/>
  <c r="BV13" i="8"/>
  <c r="BW13" i="8"/>
  <c r="BX13" i="8"/>
  <c r="BZ13" i="8"/>
  <c r="CA13" i="8"/>
  <c r="CB13" i="8"/>
  <c r="CC13" i="8"/>
  <c r="CE13" i="8"/>
  <c r="CF13" i="8"/>
  <c r="CG13" i="8"/>
  <c r="CH13" i="8"/>
  <c r="CJ13" i="8"/>
  <c r="CK13" i="8"/>
  <c r="CL13" i="8"/>
  <c r="CM13" i="8"/>
  <c r="CO13" i="8"/>
  <c r="CP13" i="8"/>
  <c r="CQ13" i="8"/>
  <c r="CR13" i="8"/>
  <c r="CT13" i="8"/>
  <c r="CU13" i="8"/>
  <c r="CV13" i="8"/>
  <c r="CW13" i="8"/>
  <c r="CY13" i="8"/>
  <c r="CZ13" i="8"/>
  <c r="DA13" i="8"/>
  <c r="DB13" i="8"/>
  <c r="DD13" i="8"/>
  <c r="DE13" i="8"/>
  <c r="DF13" i="8"/>
  <c r="DG13" i="8"/>
  <c r="DI13" i="8"/>
  <c r="DJ13" i="8"/>
  <c r="DK13" i="8"/>
  <c r="DL13" i="8"/>
  <c r="DN13" i="8"/>
  <c r="DO13" i="8"/>
  <c r="DP13" i="8"/>
  <c r="DQ13" i="8"/>
  <c r="DS13" i="8"/>
  <c r="DT13" i="8"/>
  <c r="DU13" i="8"/>
  <c r="DV13" i="8"/>
  <c r="DX13" i="8"/>
  <c r="DY13" i="8"/>
  <c r="DZ13" i="8"/>
  <c r="EA13" i="8"/>
  <c r="EC13" i="8"/>
  <c r="ED13" i="8"/>
  <c r="EE13" i="8"/>
  <c r="EF13" i="8"/>
  <c r="EH13" i="8"/>
  <c r="EI13" i="8"/>
  <c r="EJ13" i="8"/>
  <c r="EK13" i="8"/>
  <c r="EM13" i="8"/>
  <c r="EN13" i="8"/>
  <c r="EO13" i="8"/>
  <c r="ET14" i="8" s="1"/>
  <c r="EP13" i="8"/>
  <c r="EU14" i="8" s="1"/>
  <c r="ER13" i="8"/>
  <c r="EW14" i="8" s="1"/>
  <c r="C13" i="8"/>
  <c r="GI31" i="5" l="1"/>
  <c r="GJ31" i="5" s="1"/>
  <c r="FM30" i="5"/>
  <c r="EK43" i="8"/>
  <c r="EJ40" i="8"/>
  <c r="ED43" i="8"/>
  <c r="ED44" i="8" s="1"/>
  <c r="EC40" i="8"/>
  <c r="EC41" i="8" s="1"/>
  <c r="ER43" i="8"/>
  <c r="EW44" i="8" s="1"/>
  <c r="EP40" i="8"/>
  <c r="EJ43" i="8"/>
  <c r="EI40" i="8"/>
  <c r="EP43" i="8"/>
  <c r="EO40" i="8"/>
  <c r="EO41" i="8" s="1"/>
  <c r="EI43" i="8"/>
  <c r="EH40" i="8"/>
  <c r="EO43" i="8"/>
  <c r="EN40" i="8"/>
  <c r="EN41" i="8" s="1"/>
  <c r="EH43" i="8"/>
  <c r="EH44" i="8" s="1"/>
  <c r="EF40" i="8"/>
  <c r="EF41" i="8" s="1"/>
  <c r="EN43" i="8"/>
  <c r="EM40" i="8"/>
  <c r="EF43" i="8"/>
  <c r="EF44" i="8" s="1"/>
  <c r="EE40" i="8"/>
  <c r="EE41" i="8" s="1"/>
  <c r="EM43" i="8"/>
  <c r="EM44" i="8" s="1"/>
  <c r="EK40" i="8"/>
  <c r="EE43" i="8"/>
  <c r="EE44" i="8" s="1"/>
  <c r="ED40" i="8"/>
  <c r="ED41" i="8" s="1"/>
  <c r="I32" i="8"/>
  <c r="EO12" i="8"/>
  <c r="EH27" i="8"/>
  <c r="EL27" i="8" s="1"/>
  <c r="EL29" i="8"/>
  <c r="EN12" i="8"/>
  <c r="EF12" i="8"/>
  <c r="FI42" i="5"/>
  <c r="FI21" i="5"/>
  <c r="EQ23" i="8"/>
  <c r="EM29" i="8"/>
  <c r="EE12" i="8"/>
  <c r="AS32" i="8"/>
  <c r="AM32" i="8"/>
  <c r="AG32" i="8"/>
  <c r="U32" i="8"/>
  <c r="O32" i="8"/>
  <c r="ED12" i="8"/>
  <c r="FI38" i="5"/>
  <c r="FH20" i="5"/>
  <c r="EK12" i="8"/>
  <c r="EJ12" i="8"/>
  <c r="EP12" i="8"/>
  <c r="EI12" i="8"/>
  <c r="FI19" i="5"/>
  <c r="FO41" i="5"/>
  <c r="FI29" i="5"/>
  <c r="ES10" i="8"/>
  <c r="ES11" i="8" s="1"/>
  <c r="ES14" i="8"/>
  <c r="ER31" i="8"/>
  <c r="ER32" i="8" s="1"/>
  <c r="ER23" i="8"/>
  <c r="EG23" i="8"/>
  <c r="EL23" i="8"/>
  <c r="EF32" i="8"/>
  <c r="EE32" i="8"/>
  <c r="EM25" i="8"/>
  <c r="EQ24" i="8"/>
  <c r="CU14" i="8"/>
  <c r="BQ14" i="8"/>
  <c r="BI14" i="8"/>
  <c r="AM14" i="8"/>
  <c r="EP18" i="8"/>
  <c r="DT18" i="8"/>
  <c r="DL18" i="8"/>
  <c r="CP18" i="8"/>
  <c r="CH18" i="8"/>
  <c r="BL18" i="8"/>
  <c r="BD18" i="8"/>
  <c r="AW18" i="8"/>
  <c r="AH18" i="8"/>
  <c r="Z18" i="8"/>
  <c r="S18" i="8"/>
  <c r="DY14" i="8"/>
  <c r="EE14" i="8"/>
  <c r="DA14" i="8"/>
  <c r="BW14" i="8"/>
  <c r="O14" i="8"/>
  <c r="DZ18" i="8"/>
  <c r="CV18" i="8"/>
  <c r="BR18" i="8"/>
  <c r="BC18" i="8"/>
  <c r="AN18" i="8"/>
  <c r="Y18" i="8"/>
  <c r="J18" i="8"/>
  <c r="DQ32" i="8"/>
  <c r="CM32" i="8"/>
  <c r="N32" i="8"/>
  <c r="BU32" i="8"/>
  <c r="BI32" i="8"/>
  <c r="AQ32" i="8"/>
  <c r="DE32" i="8"/>
  <c r="CA32" i="8"/>
  <c r="H32" i="8"/>
  <c r="CY32" i="8"/>
  <c r="BC32" i="8"/>
  <c r="M32" i="8"/>
  <c r="DK32" i="8"/>
  <c r="CG32" i="8"/>
  <c r="T32" i="8"/>
  <c r="AW32" i="8"/>
  <c r="H18" i="8"/>
  <c r="EK14" i="8"/>
  <c r="CC14" i="8"/>
  <c r="U14" i="8"/>
  <c r="EF18" i="8"/>
  <c r="DB18" i="8"/>
  <c r="BX18" i="8"/>
  <c r="BI18" i="8"/>
  <c r="AT18" i="8"/>
  <c r="AE18" i="8"/>
  <c r="P18" i="8"/>
  <c r="EC14" i="8"/>
  <c r="DX18" i="8"/>
  <c r="AL18" i="8"/>
  <c r="M14" i="8"/>
  <c r="BP18" i="8"/>
  <c r="S14" i="8"/>
  <c r="ED18" i="8"/>
  <c r="CZ18" i="8"/>
  <c r="BV18" i="8"/>
  <c r="AR18" i="8"/>
  <c r="N18" i="8"/>
  <c r="CY14" i="8"/>
  <c r="CT18" i="8"/>
  <c r="CO14" i="8"/>
  <c r="BK14" i="8"/>
  <c r="AG14" i="8"/>
  <c r="ER18" i="8"/>
  <c r="EJ18" i="8"/>
  <c r="DN18" i="8"/>
  <c r="DF18" i="8"/>
  <c r="CJ18" i="8"/>
  <c r="CB18" i="8"/>
  <c r="BF18" i="8"/>
  <c r="AX18" i="8"/>
  <c r="AQ18" i="8"/>
  <c r="AB18" i="8"/>
  <c r="M18" i="8"/>
  <c r="DO32" i="8"/>
  <c r="CW32" i="8"/>
  <c r="BG32" i="8"/>
  <c r="AO32" i="8"/>
  <c r="W32" i="8"/>
  <c r="K32" i="8"/>
  <c r="DZ32" i="8"/>
  <c r="DN32" i="8"/>
  <c r="DB32" i="8"/>
  <c r="CV32" i="8"/>
  <c r="CP32" i="8"/>
  <c r="CJ32" i="8"/>
  <c r="BX32" i="8"/>
  <c r="BR32" i="8"/>
  <c r="BL32" i="8"/>
  <c r="BF32" i="8"/>
  <c r="AT32" i="8"/>
  <c r="AN32" i="8"/>
  <c r="AH32" i="8"/>
  <c r="AB32" i="8"/>
  <c r="P32" i="8"/>
  <c r="J32" i="8"/>
  <c r="DI32" i="8"/>
  <c r="CQ32" i="8"/>
  <c r="BS32" i="8"/>
  <c r="BA32" i="8"/>
  <c r="AI32" i="8"/>
  <c r="CE32" i="8"/>
  <c r="BM32" i="8"/>
  <c r="AC32" i="8"/>
  <c r="AJ18" i="8"/>
  <c r="AD18" i="8"/>
  <c r="X18" i="8"/>
  <c r="R18" i="8"/>
  <c r="ER14" i="8"/>
  <c r="EP14" i="8"/>
  <c r="EJ14" i="8"/>
  <c r="ED14" i="8"/>
  <c r="DX14" i="8"/>
  <c r="CZ14" i="8"/>
  <c r="CT14" i="8"/>
  <c r="CB14" i="8"/>
  <c r="BV14" i="8"/>
  <c r="BP14" i="8"/>
  <c r="Z14" i="8"/>
  <c r="T14" i="8"/>
  <c r="N14" i="8"/>
  <c r="EK18" i="8"/>
  <c r="EE18" i="8"/>
  <c r="DY18" i="8"/>
  <c r="DS18" i="8"/>
  <c r="DG18" i="8"/>
  <c r="DA18" i="8"/>
  <c r="CU18" i="8"/>
  <c r="CO18" i="8"/>
  <c r="CC18" i="8"/>
  <c r="BW18" i="8"/>
  <c r="BQ18" i="8"/>
  <c r="BK18" i="8"/>
  <c r="AY18" i="8"/>
  <c r="AS18" i="8"/>
  <c r="AM18" i="8"/>
  <c r="AG18" i="8"/>
  <c r="U18" i="8"/>
  <c r="O18" i="8"/>
  <c r="I18" i="8"/>
  <c r="T18" i="8"/>
  <c r="DS32" i="8"/>
  <c r="DG32" i="8"/>
  <c r="DA32" i="8"/>
  <c r="CU32" i="8"/>
  <c r="CO32" i="8"/>
  <c r="CC32" i="8"/>
  <c r="BW32" i="8"/>
  <c r="BQ32" i="8"/>
  <c r="BK32" i="8"/>
  <c r="AY32" i="8"/>
  <c r="DX32" i="8"/>
  <c r="DL32" i="8"/>
  <c r="DF32" i="8"/>
  <c r="CZ32" i="8"/>
  <c r="CT32" i="8"/>
  <c r="CH32" i="8"/>
  <c r="CB32" i="8"/>
  <c r="BV32" i="8"/>
  <c r="BP32" i="8"/>
  <c r="BD32" i="8"/>
  <c r="AX32" i="8"/>
  <c r="AR32" i="8"/>
  <c r="AL32" i="8"/>
  <c r="AE32" i="8"/>
  <c r="Y32" i="8"/>
  <c r="S32" i="8"/>
  <c r="EP10" i="8"/>
  <c r="EQ10" i="8" s="1"/>
  <c r="EO14" i="8"/>
  <c r="DK11" i="8"/>
  <c r="DK14" i="8"/>
  <c r="Z10" i="8"/>
  <c r="AA10" i="8" s="1"/>
  <c r="Y14" i="8"/>
  <c r="CO10" i="8"/>
  <c r="CO11" i="8" s="1"/>
  <c r="CM14" i="8"/>
  <c r="CH10" i="8"/>
  <c r="CI10" i="8" s="1"/>
  <c r="CG14" i="8"/>
  <c r="BV10" i="8"/>
  <c r="BV11" i="8" s="1"/>
  <c r="BU14" i="8"/>
  <c r="BD10" i="8"/>
  <c r="BE10" i="8" s="1"/>
  <c r="BC14" i="8"/>
  <c r="EJ10" i="8"/>
  <c r="EI14" i="8"/>
  <c r="DQ11" i="8"/>
  <c r="DQ14" i="8"/>
  <c r="DE11" i="8"/>
  <c r="DE14" i="8"/>
  <c r="CB10" i="8"/>
  <c r="CB11" i="8" s="1"/>
  <c r="CA14" i="8"/>
  <c r="AX10" i="8"/>
  <c r="AX11" i="8" s="1"/>
  <c r="AW14" i="8"/>
  <c r="AR10" i="8"/>
  <c r="AR11" i="8" s="1"/>
  <c r="AQ14" i="8"/>
  <c r="DD11" i="8"/>
  <c r="DD14" i="8"/>
  <c r="CG10" i="8"/>
  <c r="CG11" i="8" s="1"/>
  <c r="CF14" i="8"/>
  <c r="H10" i="8"/>
  <c r="H11" i="8" s="1"/>
  <c r="F14" i="8"/>
  <c r="DK18" i="8"/>
  <c r="CG18" i="8"/>
  <c r="BU18" i="8"/>
  <c r="EC10" i="8"/>
  <c r="EA14" i="8"/>
  <c r="AQ10" i="8"/>
  <c r="AQ11" i="8" s="1"/>
  <c r="AO14" i="8"/>
  <c r="BZ18" i="8"/>
  <c r="EO10" i="8"/>
  <c r="EN14" i="8"/>
  <c r="DX10" i="8"/>
  <c r="DX11" i="8" s="1"/>
  <c r="DV14" i="8"/>
  <c r="DJ11" i="8"/>
  <c r="DJ14" i="8"/>
  <c r="CR14" i="8"/>
  <c r="BH14" i="8"/>
  <c r="BC10" i="8"/>
  <c r="BC11" i="8" s="1"/>
  <c r="BB14" i="8"/>
  <c r="AL10" i="8"/>
  <c r="AL11" i="8" s="1"/>
  <c r="AJ14" i="8"/>
  <c r="Y10" i="8"/>
  <c r="Y11" i="8" s="1"/>
  <c r="X14" i="8"/>
  <c r="EI18" i="8"/>
  <c r="EC18" i="8"/>
  <c r="DQ18" i="8"/>
  <c r="DE18" i="8"/>
  <c r="CY18" i="8"/>
  <c r="CM18" i="8"/>
  <c r="CA18" i="8"/>
  <c r="C11" i="8"/>
  <c r="C14" i="8"/>
  <c r="EN10" i="8"/>
  <c r="EM14" i="8"/>
  <c r="DU11" i="8"/>
  <c r="DU14" i="8"/>
  <c r="DO11" i="8"/>
  <c r="DO14" i="8"/>
  <c r="DI11" i="8"/>
  <c r="DI14" i="8"/>
  <c r="CY10" i="8"/>
  <c r="CY11" i="8" s="1"/>
  <c r="CW14" i="8"/>
  <c r="CR10" i="8"/>
  <c r="CS10" i="8" s="1"/>
  <c r="CQ14" i="8"/>
  <c r="CL10" i="8"/>
  <c r="CL11" i="8" s="1"/>
  <c r="CK14" i="8"/>
  <c r="CF10" i="8"/>
  <c r="CF11" i="8" s="1"/>
  <c r="CE14" i="8"/>
  <c r="BU10" i="8"/>
  <c r="BU11" i="8" s="1"/>
  <c r="BS14" i="8"/>
  <c r="BN10" i="8"/>
  <c r="BO10" i="8" s="1"/>
  <c r="BM14" i="8"/>
  <c r="BH10" i="8"/>
  <c r="BH11" i="8" s="1"/>
  <c r="BG14" i="8"/>
  <c r="BB10" i="8"/>
  <c r="BB11" i="8" s="1"/>
  <c r="BA14" i="8"/>
  <c r="AJ10" i="8"/>
  <c r="AK10" i="8" s="1"/>
  <c r="AI14" i="8"/>
  <c r="AD10" i="8"/>
  <c r="AD11" i="8" s="1"/>
  <c r="AC14" i="8"/>
  <c r="X10" i="8"/>
  <c r="X11" i="8" s="1"/>
  <c r="W14" i="8"/>
  <c r="M10" i="8"/>
  <c r="M11" i="8" s="1"/>
  <c r="K14" i="8"/>
  <c r="EN18" i="8"/>
  <c r="EH18" i="8"/>
  <c r="DV18" i="8"/>
  <c r="DP18" i="8"/>
  <c r="DJ18" i="8"/>
  <c r="DD18" i="8"/>
  <c r="CR18" i="8"/>
  <c r="CL18" i="8"/>
  <c r="CF18" i="8"/>
  <c r="AG10" i="8"/>
  <c r="AG11" i="8" s="1"/>
  <c r="AE14" i="8"/>
  <c r="EI10" i="8"/>
  <c r="EH14" i="8"/>
  <c r="DP11" i="8"/>
  <c r="DP14" i="8"/>
  <c r="CM10" i="8"/>
  <c r="CN10" i="8" s="1"/>
  <c r="CL14" i="8"/>
  <c r="CA10" i="8"/>
  <c r="CA11" i="8" s="1"/>
  <c r="BZ14" i="8"/>
  <c r="BP10" i="8"/>
  <c r="BP11" i="8" s="1"/>
  <c r="BN14" i="8"/>
  <c r="AW10" i="8"/>
  <c r="AW11" i="8" s="1"/>
  <c r="AV14" i="8"/>
  <c r="AE10" i="8"/>
  <c r="AF10" i="8" s="1"/>
  <c r="AD14" i="8"/>
  <c r="S10" i="8"/>
  <c r="S11" i="8" s="1"/>
  <c r="R14" i="8"/>
  <c r="EO18" i="8"/>
  <c r="DL11" i="8"/>
  <c r="DL14" i="8"/>
  <c r="DF11" i="8"/>
  <c r="DF14" i="8"/>
  <c r="CJ10" i="8"/>
  <c r="CJ11" i="8" s="1"/>
  <c r="CH14" i="8"/>
  <c r="BF10" i="8"/>
  <c r="BF11" i="8" s="1"/>
  <c r="BD14" i="8"/>
  <c r="AY10" i="8"/>
  <c r="AZ10" i="8" s="1"/>
  <c r="AX14" i="8"/>
  <c r="AS10" i="8"/>
  <c r="AS11" i="8" s="1"/>
  <c r="AR14" i="8"/>
  <c r="AM10" i="8"/>
  <c r="AM11" i="8" s="1"/>
  <c r="AL14" i="8"/>
  <c r="H14" i="8"/>
  <c r="DY32" i="8"/>
  <c r="DT32" i="8"/>
  <c r="EN35" i="8"/>
  <c r="ES36" i="8" s="1"/>
  <c r="EH35" i="8"/>
  <c r="DV35" i="8"/>
  <c r="DP35" i="8"/>
  <c r="DJ35" i="8"/>
  <c r="DD35" i="8"/>
  <c r="CR35" i="8"/>
  <c r="CL35" i="8"/>
  <c r="CF35" i="8"/>
  <c r="BZ35" i="8"/>
  <c r="BN35" i="8"/>
  <c r="BH35" i="8"/>
  <c r="BB35" i="8"/>
  <c r="AV35" i="8"/>
  <c r="AJ35" i="8"/>
  <c r="AD35" i="8"/>
  <c r="X35" i="8"/>
  <c r="R35" i="8"/>
  <c r="F35" i="8"/>
  <c r="EM35" i="8"/>
  <c r="EA35" i="8"/>
  <c r="DU35" i="8"/>
  <c r="DO35" i="8"/>
  <c r="DI35" i="8"/>
  <c r="CW35" i="8"/>
  <c r="CQ35" i="8"/>
  <c r="CK35" i="8"/>
  <c r="CE35" i="8"/>
  <c r="BS35" i="8"/>
  <c r="BM35" i="8"/>
  <c r="BG35" i="8"/>
  <c r="BA35" i="8"/>
  <c r="AO35" i="8"/>
  <c r="AI35" i="8"/>
  <c r="AC35" i="8"/>
  <c r="W35" i="8"/>
  <c r="K35" i="8"/>
  <c r="E35" i="8"/>
  <c r="Z32" i="8"/>
  <c r="ER35" i="8"/>
  <c r="EW36" i="8" s="1"/>
  <c r="EF35" i="8"/>
  <c r="DZ35" i="8"/>
  <c r="DT35" i="8"/>
  <c r="DN35" i="8"/>
  <c r="DB35" i="8"/>
  <c r="CV35" i="8"/>
  <c r="CP35" i="8"/>
  <c r="CJ35" i="8"/>
  <c r="BX35" i="8"/>
  <c r="BR35" i="8"/>
  <c r="BL35" i="8"/>
  <c r="BF35" i="8"/>
  <c r="AT35" i="8"/>
  <c r="AN35" i="8"/>
  <c r="AH35" i="8"/>
  <c r="AB35" i="8"/>
  <c r="P35" i="8"/>
  <c r="J35" i="8"/>
  <c r="D35" i="8"/>
  <c r="BH18" i="8"/>
  <c r="AV18" i="8"/>
  <c r="EK35" i="8"/>
  <c r="EE35" i="8"/>
  <c r="DY35" i="8"/>
  <c r="DS35" i="8"/>
  <c r="DG35" i="8"/>
  <c r="DA35" i="8"/>
  <c r="CU35" i="8"/>
  <c r="CO35" i="8"/>
  <c r="CC35" i="8"/>
  <c r="BW35" i="8"/>
  <c r="BQ35" i="8"/>
  <c r="BK35" i="8"/>
  <c r="AY35" i="8"/>
  <c r="AS35" i="8"/>
  <c r="AM35" i="8"/>
  <c r="AG35" i="8"/>
  <c r="U35" i="8"/>
  <c r="O35" i="8"/>
  <c r="I35" i="8"/>
  <c r="C35" i="8"/>
  <c r="BN18" i="8"/>
  <c r="BB18" i="8"/>
  <c r="EF14" i="8"/>
  <c r="DZ14" i="8"/>
  <c r="DT11" i="8"/>
  <c r="DT14" i="8"/>
  <c r="DN11" i="8"/>
  <c r="DN14" i="8"/>
  <c r="DB14" i="8"/>
  <c r="CV14" i="8"/>
  <c r="CP14" i="8"/>
  <c r="CJ14" i="8"/>
  <c r="BX14" i="8"/>
  <c r="BR14" i="8"/>
  <c r="BL14" i="8"/>
  <c r="BF14" i="8"/>
  <c r="AT14" i="8"/>
  <c r="AN14" i="8"/>
  <c r="AH14" i="8"/>
  <c r="AB14" i="8"/>
  <c r="R10" i="8"/>
  <c r="R11" i="8" s="1"/>
  <c r="P14" i="8"/>
  <c r="K10" i="8"/>
  <c r="L10" i="8" s="1"/>
  <c r="J14" i="8"/>
  <c r="D11" i="8"/>
  <c r="D14" i="8"/>
  <c r="EM18" i="8"/>
  <c r="EA18" i="8"/>
  <c r="DU18" i="8"/>
  <c r="DO18" i="8"/>
  <c r="DI18" i="8"/>
  <c r="CW18" i="8"/>
  <c r="CQ18" i="8"/>
  <c r="CK18" i="8"/>
  <c r="CE18" i="8"/>
  <c r="BS18" i="8"/>
  <c r="BM18" i="8"/>
  <c r="BG18" i="8"/>
  <c r="BA18" i="8"/>
  <c r="AO18" i="8"/>
  <c r="AI18" i="8"/>
  <c r="AC18" i="8"/>
  <c r="W18" i="8"/>
  <c r="K18" i="8"/>
  <c r="DV32" i="8"/>
  <c r="DU32" i="8"/>
  <c r="DP32" i="8"/>
  <c r="DJ32" i="8"/>
  <c r="DD32" i="8"/>
  <c r="CR32" i="8"/>
  <c r="CL32" i="8"/>
  <c r="CF32" i="8"/>
  <c r="BZ32" i="8"/>
  <c r="BN32" i="8"/>
  <c r="BH32" i="8"/>
  <c r="BB32" i="8"/>
  <c r="AV32" i="8"/>
  <c r="AJ32" i="8"/>
  <c r="AD32" i="8"/>
  <c r="X32" i="8"/>
  <c r="R32" i="8"/>
  <c r="EP35" i="8"/>
  <c r="EU36" i="8" s="1"/>
  <c r="EJ35" i="8"/>
  <c r="ED35" i="8"/>
  <c r="DX35" i="8"/>
  <c r="DL35" i="8"/>
  <c r="DF35" i="8"/>
  <c r="CZ35" i="8"/>
  <c r="CT35" i="8"/>
  <c r="CH35" i="8"/>
  <c r="CB35" i="8"/>
  <c r="BV35" i="8"/>
  <c r="BP35" i="8"/>
  <c r="BD35" i="8"/>
  <c r="AX35" i="8"/>
  <c r="AR35" i="8"/>
  <c r="AL35" i="8"/>
  <c r="Z35" i="8"/>
  <c r="T35" i="8"/>
  <c r="N35" i="8"/>
  <c r="H35" i="8"/>
  <c r="DS11" i="8"/>
  <c r="DS14" i="8"/>
  <c r="DG11" i="8"/>
  <c r="DG14" i="8"/>
  <c r="BA10" i="8"/>
  <c r="BA11" i="8" s="1"/>
  <c r="AY14" i="8"/>
  <c r="AT10" i="8"/>
  <c r="AU10" i="8" s="1"/>
  <c r="AS14" i="8"/>
  <c r="J10" i="8"/>
  <c r="J11" i="8" s="1"/>
  <c r="I14" i="8"/>
  <c r="EA32" i="8"/>
  <c r="CK32" i="8"/>
  <c r="EO35" i="8"/>
  <c r="ET36" i="8" s="1"/>
  <c r="EI35" i="8"/>
  <c r="EC35" i="8"/>
  <c r="DQ35" i="8"/>
  <c r="DK35" i="8"/>
  <c r="DE35" i="8"/>
  <c r="CY35" i="8"/>
  <c r="CM35" i="8"/>
  <c r="CG35" i="8"/>
  <c r="CA35" i="8"/>
  <c r="BU35" i="8"/>
  <c r="BI35" i="8"/>
  <c r="BC35" i="8"/>
  <c r="AW35" i="8"/>
  <c r="AQ35" i="8"/>
  <c r="AE35" i="8"/>
  <c r="Y35" i="8"/>
  <c r="S35" i="8"/>
  <c r="M35" i="8"/>
  <c r="E16" i="8"/>
  <c r="DP16" i="8"/>
  <c r="AV16" i="8"/>
  <c r="X16" i="8"/>
  <c r="EN16" i="8"/>
  <c r="DV16" i="8"/>
  <c r="DD16" i="8"/>
  <c r="CL16" i="8"/>
  <c r="BB16" i="8"/>
  <c r="AD16" i="8"/>
  <c r="ER16" i="8"/>
  <c r="EF16" i="8"/>
  <c r="DZ16" i="8"/>
  <c r="DT16" i="8"/>
  <c r="DN16" i="8"/>
  <c r="DB16" i="8"/>
  <c r="CV16" i="8"/>
  <c r="CP16" i="8"/>
  <c r="CJ16" i="8"/>
  <c r="BX16" i="8"/>
  <c r="BR16" i="8"/>
  <c r="BL16" i="8"/>
  <c r="BF16" i="8"/>
  <c r="AT16" i="8"/>
  <c r="AN16" i="8"/>
  <c r="AH16" i="8"/>
  <c r="AB16" i="8"/>
  <c r="P16" i="8"/>
  <c r="J16" i="8"/>
  <c r="D16" i="8"/>
  <c r="BZ16" i="8"/>
  <c r="BH16" i="8"/>
  <c r="AJ16" i="8"/>
  <c r="F16" i="8"/>
  <c r="CF16" i="8"/>
  <c r="EH16" i="8"/>
  <c r="DJ16" i="8"/>
  <c r="CR16" i="8"/>
  <c r="BN16" i="8"/>
  <c r="R16" i="8"/>
  <c r="EK16" i="8"/>
  <c r="EE16" i="8"/>
  <c r="DY16" i="8"/>
  <c r="DS16" i="8"/>
  <c r="DG16" i="8"/>
  <c r="DA16" i="8"/>
  <c r="CU16" i="8"/>
  <c r="CO16" i="8"/>
  <c r="CC16" i="8"/>
  <c r="BW16" i="8"/>
  <c r="BQ16" i="8"/>
  <c r="BK16" i="8"/>
  <c r="AY16" i="8"/>
  <c r="AS16" i="8"/>
  <c r="AM16" i="8"/>
  <c r="AG16" i="8"/>
  <c r="U16" i="8"/>
  <c r="O16" i="8"/>
  <c r="I16" i="8"/>
  <c r="C16" i="8"/>
  <c r="E11" i="8"/>
  <c r="EP16" i="8"/>
  <c r="EJ16" i="8"/>
  <c r="ED16" i="8"/>
  <c r="DX16" i="8"/>
  <c r="DL16" i="8"/>
  <c r="DF16" i="8"/>
  <c r="CZ16" i="8"/>
  <c r="CT16" i="8"/>
  <c r="CH16" i="8"/>
  <c r="CB16" i="8"/>
  <c r="BV16" i="8"/>
  <c r="BP16" i="8"/>
  <c r="BD16" i="8"/>
  <c r="AX16" i="8"/>
  <c r="AR16" i="8"/>
  <c r="AL16" i="8"/>
  <c r="BW10" i="8"/>
  <c r="BW11" i="8" s="1"/>
  <c r="EO16" i="8"/>
  <c r="EI16" i="8"/>
  <c r="EC16" i="8"/>
  <c r="DQ16" i="8"/>
  <c r="DK16" i="8"/>
  <c r="DE16" i="8"/>
  <c r="CY16" i="8"/>
  <c r="CM16" i="8"/>
  <c r="CG16" i="8"/>
  <c r="CA16" i="8"/>
  <c r="BU16" i="8"/>
  <c r="BI16" i="8"/>
  <c r="BC16" i="8"/>
  <c r="AW16" i="8"/>
  <c r="AQ16" i="8"/>
  <c r="AE16" i="8"/>
  <c r="Y16" i="8"/>
  <c r="S16" i="8"/>
  <c r="M16" i="8"/>
  <c r="EK10" i="8"/>
  <c r="EL10" i="8" s="1"/>
  <c r="CC10" i="8"/>
  <c r="CD10" i="8" s="1"/>
  <c r="DY10" i="8"/>
  <c r="DY11" i="8" s="1"/>
  <c r="CK10" i="8"/>
  <c r="CK11" i="8" s="1"/>
  <c r="EM16" i="8"/>
  <c r="EA16" i="8"/>
  <c r="DU16" i="8"/>
  <c r="DO16" i="8"/>
  <c r="DI16" i="8"/>
  <c r="CW16" i="8"/>
  <c r="CQ16" i="8"/>
  <c r="CK16" i="8"/>
  <c r="CE16" i="8"/>
  <c r="BS16" i="8"/>
  <c r="BM16" i="8"/>
  <c r="BG16" i="8"/>
  <c r="BA16" i="8"/>
  <c r="AO16" i="8"/>
  <c r="AI16" i="8"/>
  <c r="AC16" i="8"/>
  <c r="W16" i="8"/>
  <c r="K16" i="8"/>
  <c r="EM10" i="8"/>
  <c r="DZ10" i="8"/>
  <c r="DZ11" i="8" s="1"/>
  <c r="N10" i="8"/>
  <c r="N11" i="8" s="1"/>
  <c r="T10" i="8"/>
  <c r="T11" i="8" s="1"/>
  <c r="AH10" i="8"/>
  <c r="AH11" i="8" s="1"/>
  <c r="AO10" i="8"/>
  <c r="AV10" i="8"/>
  <c r="AV11" i="8" s="1"/>
  <c r="BI10" i="8"/>
  <c r="BJ10" i="8" s="1"/>
  <c r="BQ10" i="8"/>
  <c r="BQ11" i="8" s="1"/>
  <c r="BX10" i="8"/>
  <c r="BY10" i="8" s="1"/>
  <c r="CE10" i="8"/>
  <c r="CE11" i="8" s="1"/>
  <c r="CT10" i="8"/>
  <c r="CT11" i="8" s="1"/>
  <c r="CZ10" i="8"/>
  <c r="CZ11" i="8" s="1"/>
  <c r="F11" i="8"/>
  <c r="DV11" i="8"/>
  <c r="ED10" i="8"/>
  <c r="EA10" i="8"/>
  <c r="O10" i="8"/>
  <c r="O11" i="8" s="1"/>
  <c r="U10" i="8"/>
  <c r="V10" i="8" s="1"/>
  <c r="AB10" i="8"/>
  <c r="AB11" i="8" s="1"/>
  <c r="AI10" i="8"/>
  <c r="AI11" i="8" s="1"/>
  <c r="BK10" i="8"/>
  <c r="BK11" i="8" s="1"/>
  <c r="BR10" i="8"/>
  <c r="BR11" i="8" s="1"/>
  <c r="CU10" i="8"/>
  <c r="CU11" i="8" s="1"/>
  <c r="DA10" i="8"/>
  <c r="DA11" i="8" s="1"/>
  <c r="EH10" i="8"/>
  <c r="EE10" i="8"/>
  <c r="ER10" i="8"/>
  <c r="I10" i="8"/>
  <c r="I11" i="8" s="1"/>
  <c r="P10" i="8"/>
  <c r="Q10" i="8" s="1"/>
  <c r="W10" i="8"/>
  <c r="W11" i="8" s="1"/>
  <c r="AC10" i="8"/>
  <c r="AC11" i="8" s="1"/>
  <c r="BL10" i="8"/>
  <c r="BL11" i="8" s="1"/>
  <c r="BS10" i="8"/>
  <c r="BZ10" i="8"/>
  <c r="BZ11" i="8" s="1"/>
  <c r="CV10" i="8"/>
  <c r="CV11" i="8" s="1"/>
  <c r="DB10" i="8"/>
  <c r="DC10" i="8" s="1"/>
  <c r="AN10" i="8"/>
  <c r="AN11" i="8" s="1"/>
  <c r="Z16" i="8"/>
  <c r="T16" i="8"/>
  <c r="N16" i="8"/>
  <c r="H16" i="8"/>
  <c r="EF10" i="8"/>
  <c r="EG10" i="8" s="1"/>
  <c r="BM10" i="8"/>
  <c r="BM11" i="8" s="1"/>
  <c r="CP10" i="8"/>
  <c r="CP11" i="8" s="1"/>
  <c r="CW10" i="8"/>
  <c r="BG10" i="8"/>
  <c r="BG11" i="8" s="1"/>
  <c r="CQ10" i="8"/>
  <c r="CQ11" i="8" s="1"/>
  <c r="EN11" i="8" l="1"/>
  <c r="EI44" i="8"/>
  <c r="FN30" i="5"/>
  <c r="EP44" i="8"/>
  <c r="EU44" i="8"/>
  <c r="EK41" i="8"/>
  <c r="EJ11" i="8"/>
  <c r="EO44" i="8"/>
  <c r="ET44" i="8"/>
  <c r="EH41" i="8"/>
  <c r="EM41" i="8"/>
  <c r="ER41" i="8"/>
  <c r="EP41" i="8"/>
  <c r="EI41" i="8"/>
  <c r="EJ41" i="8"/>
  <c r="ER44" i="8"/>
  <c r="EN44" i="8"/>
  <c r="ES44" i="8"/>
  <c r="EJ44" i="8"/>
  <c r="EK44" i="8"/>
  <c r="EI11" i="8"/>
  <c r="ER29" i="8"/>
  <c r="ER27" i="8" s="1"/>
  <c r="ED11" i="8"/>
  <c r="EO11" i="8"/>
  <c r="EE11" i="8"/>
  <c r="EL12" i="8"/>
  <c r="FP41" i="5"/>
  <c r="FQ41" i="5"/>
  <c r="FJ21" i="5"/>
  <c r="FI20" i="5"/>
  <c r="FJ19" i="5"/>
  <c r="FJ42" i="5"/>
  <c r="EH12" i="8"/>
  <c r="EH11" i="8" s="1"/>
  <c r="EN25" i="8"/>
  <c r="FJ38" i="5"/>
  <c r="EM27" i="8"/>
  <c r="EQ29" i="8"/>
  <c r="ES32" i="8"/>
  <c r="FJ29" i="5"/>
  <c r="EP11" i="8"/>
  <c r="EF11" i="8"/>
  <c r="EK11" i="8"/>
  <c r="AY11" i="8"/>
  <c r="CH11" i="8"/>
  <c r="BN11" i="8"/>
  <c r="CM11" i="8"/>
  <c r="AJ11" i="8"/>
  <c r="AE11" i="8"/>
  <c r="Z11" i="8"/>
  <c r="AT11" i="8"/>
  <c r="K11" i="8"/>
  <c r="BD11" i="8"/>
  <c r="CR11" i="8"/>
  <c r="AQ37" i="8"/>
  <c r="AQ36" i="8"/>
  <c r="CA37" i="8"/>
  <c r="CA36" i="8"/>
  <c r="DK37" i="8"/>
  <c r="DK36" i="8"/>
  <c r="Z37" i="8"/>
  <c r="Z36" i="8"/>
  <c r="CT37" i="8"/>
  <c r="CT36" i="8"/>
  <c r="ED37" i="8"/>
  <c r="ED36" i="8"/>
  <c r="O37" i="8"/>
  <c r="O36" i="8"/>
  <c r="AY37" i="8"/>
  <c r="AY36" i="8"/>
  <c r="DS37" i="8"/>
  <c r="DS36" i="8"/>
  <c r="AB37" i="8"/>
  <c r="AB36" i="8"/>
  <c r="BL37" i="8"/>
  <c r="BL36" i="8"/>
  <c r="CV37" i="8"/>
  <c r="CV36" i="8"/>
  <c r="EF37" i="8"/>
  <c r="EF36" i="8"/>
  <c r="BA37" i="8"/>
  <c r="BA36" i="8"/>
  <c r="CK37" i="8"/>
  <c r="CK36" i="8"/>
  <c r="DU37" i="8"/>
  <c r="DU36" i="8"/>
  <c r="R37" i="8"/>
  <c r="R36" i="8"/>
  <c r="BB37" i="8"/>
  <c r="BB36" i="8"/>
  <c r="CL37" i="8"/>
  <c r="CL36" i="8"/>
  <c r="DV37" i="8"/>
  <c r="DV36" i="8"/>
  <c r="M37" i="8"/>
  <c r="M36" i="8"/>
  <c r="AW37" i="8"/>
  <c r="AW36" i="8"/>
  <c r="CG37" i="8"/>
  <c r="CG36" i="8"/>
  <c r="DQ37" i="8"/>
  <c r="DQ36" i="8"/>
  <c r="BP37" i="8"/>
  <c r="BP36" i="8"/>
  <c r="CZ37" i="8"/>
  <c r="CZ36" i="8"/>
  <c r="EJ37" i="8"/>
  <c r="EJ36" i="8"/>
  <c r="U37" i="8"/>
  <c r="U36" i="8"/>
  <c r="CO37" i="8"/>
  <c r="CO36" i="8"/>
  <c r="DY37" i="8"/>
  <c r="DY36" i="8"/>
  <c r="AH37" i="8"/>
  <c r="AH36" i="8"/>
  <c r="BR37" i="8"/>
  <c r="BR36" i="8"/>
  <c r="DB37" i="8"/>
  <c r="DB36" i="8"/>
  <c r="W37" i="8"/>
  <c r="W36" i="8"/>
  <c r="BG37" i="8"/>
  <c r="BG36" i="8"/>
  <c r="CQ37" i="8"/>
  <c r="CQ36" i="8"/>
  <c r="EA37" i="8"/>
  <c r="EA36" i="8"/>
  <c r="X37" i="8"/>
  <c r="X36" i="8"/>
  <c r="BH37" i="8"/>
  <c r="BH36" i="8"/>
  <c r="CR37" i="8"/>
  <c r="CR36" i="8"/>
  <c r="S37" i="8"/>
  <c r="S36" i="8"/>
  <c r="BC37" i="8"/>
  <c r="BC36" i="8"/>
  <c r="CM37" i="8"/>
  <c r="CM36" i="8"/>
  <c r="AL37" i="8"/>
  <c r="AL36" i="8"/>
  <c r="BV37" i="8"/>
  <c r="BV36" i="8"/>
  <c r="DF37" i="8"/>
  <c r="DF36" i="8"/>
  <c r="EP37" i="8"/>
  <c r="EP36" i="8"/>
  <c r="BK37" i="8"/>
  <c r="BK36" i="8"/>
  <c r="CU37" i="8"/>
  <c r="CU36" i="8"/>
  <c r="EE37" i="8"/>
  <c r="EE36" i="8"/>
  <c r="D37" i="8"/>
  <c r="D36" i="8"/>
  <c r="AN37" i="8"/>
  <c r="AN36" i="8"/>
  <c r="BX37" i="8"/>
  <c r="BX36" i="8"/>
  <c r="ER37" i="8"/>
  <c r="ER36" i="8"/>
  <c r="AC37" i="8"/>
  <c r="AC36" i="8"/>
  <c r="BM37" i="8"/>
  <c r="BM36" i="8"/>
  <c r="CW37" i="8"/>
  <c r="CW36" i="8"/>
  <c r="AD37" i="8"/>
  <c r="AD36" i="8"/>
  <c r="BN37" i="8"/>
  <c r="BN36" i="8"/>
  <c r="EH37" i="8"/>
  <c r="EH36" i="8"/>
  <c r="H37" i="8"/>
  <c r="H36" i="8"/>
  <c r="DL37" i="8"/>
  <c r="DL36" i="8"/>
  <c r="AG37" i="8"/>
  <c r="AG36" i="8"/>
  <c r="BQ37" i="8"/>
  <c r="BQ36" i="8"/>
  <c r="DA37" i="8"/>
  <c r="DA36" i="8"/>
  <c r="EK37" i="8"/>
  <c r="EK36" i="8"/>
  <c r="J37" i="8"/>
  <c r="J36" i="8"/>
  <c r="AT37" i="8"/>
  <c r="AT36" i="8"/>
  <c r="DN37" i="8"/>
  <c r="DN36" i="8"/>
  <c r="AI37" i="8"/>
  <c r="AI36" i="8"/>
  <c r="BS37" i="8"/>
  <c r="BS36" i="8"/>
  <c r="EM37" i="8"/>
  <c r="EM36" i="8"/>
  <c r="AJ37" i="8"/>
  <c r="AJ36" i="8"/>
  <c r="DD37" i="8"/>
  <c r="DD36" i="8"/>
  <c r="EN37" i="8"/>
  <c r="EN36" i="8"/>
  <c r="Y37" i="8"/>
  <c r="Y36" i="8"/>
  <c r="BI37" i="8"/>
  <c r="BI36" i="8"/>
  <c r="EC36" i="8"/>
  <c r="AR37" i="8"/>
  <c r="AR36" i="8"/>
  <c r="CB37" i="8"/>
  <c r="CB36" i="8"/>
  <c r="AE37" i="8"/>
  <c r="AE36" i="8"/>
  <c r="CY37" i="8"/>
  <c r="CY36" i="8"/>
  <c r="EI37" i="8"/>
  <c r="EI36" i="8"/>
  <c r="N37" i="8"/>
  <c r="N36" i="8"/>
  <c r="AX37" i="8"/>
  <c r="AX36" i="8"/>
  <c r="CH37" i="8"/>
  <c r="CH36" i="8"/>
  <c r="C37" i="8"/>
  <c r="C36" i="8"/>
  <c r="AM37" i="8"/>
  <c r="AM36" i="8"/>
  <c r="BW37" i="8"/>
  <c r="BW36" i="8"/>
  <c r="DG37" i="8"/>
  <c r="DG36" i="8"/>
  <c r="P37" i="8"/>
  <c r="P36" i="8"/>
  <c r="CJ37" i="8"/>
  <c r="CJ36" i="8"/>
  <c r="DT37" i="8"/>
  <c r="DT36" i="8"/>
  <c r="E37" i="8"/>
  <c r="E36" i="8"/>
  <c r="AO37" i="8"/>
  <c r="AO36" i="8"/>
  <c r="DI37" i="8"/>
  <c r="DI36" i="8"/>
  <c r="F37" i="8"/>
  <c r="F36" i="8"/>
  <c r="BZ37" i="8"/>
  <c r="BZ36" i="8"/>
  <c r="DJ37" i="8"/>
  <c r="DJ36" i="8"/>
  <c r="BU37" i="8"/>
  <c r="BU36" i="8"/>
  <c r="DE37" i="8"/>
  <c r="DE36" i="8"/>
  <c r="EO37" i="8"/>
  <c r="EO36" i="8"/>
  <c r="T37" i="8"/>
  <c r="T36" i="8"/>
  <c r="BD37" i="8"/>
  <c r="BD36" i="8"/>
  <c r="DX37" i="8"/>
  <c r="DX36" i="8"/>
  <c r="I37" i="8"/>
  <c r="I36" i="8"/>
  <c r="AS37" i="8"/>
  <c r="AS36" i="8"/>
  <c r="CC37" i="8"/>
  <c r="CC36" i="8"/>
  <c r="BF37" i="8"/>
  <c r="BF36" i="8"/>
  <c r="CP37" i="8"/>
  <c r="CP36" i="8"/>
  <c r="DZ37" i="8"/>
  <c r="DZ36" i="8"/>
  <c r="K37" i="8"/>
  <c r="K36" i="8"/>
  <c r="CE37" i="8"/>
  <c r="CE36" i="8"/>
  <c r="DO37" i="8"/>
  <c r="DO36" i="8"/>
  <c r="AV37" i="8"/>
  <c r="AV36" i="8"/>
  <c r="CF37" i="8"/>
  <c r="CF36" i="8"/>
  <c r="DP37" i="8"/>
  <c r="DP36" i="8"/>
  <c r="DB11" i="8"/>
  <c r="CC11" i="8"/>
  <c r="AP10" i="8"/>
  <c r="AO11" i="8"/>
  <c r="CX10" i="8"/>
  <c r="CW11" i="8"/>
  <c r="BT10" i="8"/>
  <c r="BS11" i="8"/>
  <c r="EB10" i="8"/>
  <c r="EA11" i="8"/>
  <c r="U11" i="8"/>
  <c r="BI11" i="8"/>
  <c r="P11" i="8"/>
  <c r="BX11" i="8"/>
  <c r="FO30" i="5" l="1"/>
  <c r="FL29" i="5"/>
  <c r="FK29" i="5"/>
  <c r="FK38" i="5"/>
  <c r="FL38" i="5"/>
  <c r="ER12" i="8"/>
  <c r="FK21" i="5"/>
  <c r="FL21" i="5"/>
  <c r="EO25" i="8"/>
  <c r="FL42" i="5"/>
  <c r="FK42" i="5"/>
  <c r="FR41" i="5"/>
  <c r="EM12" i="8"/>
  <c r="EM11" i="8" s="1"/>
  <c r="EQ27" i="8"/>
  <c r="FL19" i="5"/>
  <c r="FK19" i="5"/>
  <c r="FJ20" i="5"/>
  <c r="FC35" i="8"/>
  <c r="FB35" i="8"/>
  <c r="FP30" i="5" l="1"/>
  <c r="FQ30" i="5"/>
  <c r="EP25" i="8"/>
  <c r="ER25" i="8" s="1"/>
  <c r="FM38" i="5"/>
  <c r="EQ12" i="8"/>
  <c r="FL20" i="5"/>
  <c r="FK20" i="5"/>
  <c r="FM42" i="5"/>
  <c r="ER11" i="8"/>
  <c r="FM29" i="5"/>
  <c r="FM21" i="5"/>
  <c r="FM19" i="5"/>
  <c r="FS41" i="5"/>
  <c r="FE35" i="8"/>
  <c r="FG35" i="8"/>
  <c r="FL35" i="8" s="1"/>
  <c r="FH35" i="8"/>
  <c r="FD35" i="8"/>
  <c r="FR30" i="5" l="1"/>
  <c r="ES25" i="8"/>
  <c r="FN21" i="5"/>
  <c r="FN19" i="5"/>
  <c r="FM20" i="5"/>
  <c r="FT41" i="5"/>
  <c r="FN42" i="5"/>
  <c r="FN29" i="5"/>
  <c r="FN38" i="5"/>
  <c r="EQ25" i="8"/>
  <c r="ET12" i="8"/>
  <c r="ET11" i="8" s="1"/>
  <c r="FJ35" i="8"/>
  <c r="FF35" i="8"/>
  <c r="FQ35" i="8"/>
  <c r="FM35" i="8"/>
  <c r="FI35" i="8"/>
  <c r="ER92" i="3"/>
  <c r="EP92" i="3"/>
  <c r="EO92" i="3"/>
  <c r="EN92" i="3"/>
  <c r="EM92" i="3"/>
  <c r="EK92" i="3"/>
  <c r="EJ92" i="3"/>
  <c r="EI92" i="3"/>
  <c r="EH92" i="3"/>
  <c r="EF92" i="3"/>
  <c r="EE92" i="3"/>
  <c r="ED92" i="3"/>
  <c r="EC92" i="3"/>
  <c r="EA92" i="3"/>
  <c r="DZ92" i="3"/>
  <c r="DY92" i="3"/>
  <c r="DX92" i="3"/>
  <c r="DV92" i="3"/>
  <c r="DU92" i="3"/>
  <c r="DT92" i="3"/>
  <c r="DS92" i="3"/>
  <c r="DQ92" i="3"/>
  <c r="DP92" i="3"/>
  <c r="DO92" i="3"/>
  <c r="DN92" i="3"/>
  <c r="DL92" i="3"/>
  <c r="DK92" i="3"/>
  <c r="DJ92" i="3"/>
  <c r="DI92" i="3"/>
  <c r="DG92" i="3"/>
  <c r="DF92" i="3"/>
  <c r="DE92" i="3"/>
  <c r="DD92" i="3"/>
  <c r="DB92" i="3"/>
  <c r="DA92" i="3"/>
  <c r="CZ92" i="3"/>
  <c r="CY92" i="3"/>
  <c r="CW92" i="3"/>
  <c r="CV92" i="3"/>
  <c r="CU92" i="3"/>
  <c r="CT92" i="3"/>
  <c r="CR92" i="3"/>
  <c r="CQ92" i="3"/>
  <c r="CP92" i="3"/>
  <c r="CO92" i="3"/>
  <c r="CM92" i="3"/>
  <c r="CL92" i="3"/>
  <c r="CK92" i="3"/>
  <c r="CJ92" i="3"/>
  <c r="CH92" i="3"/>
  <c r="CG92" i="3"/>
  <c r="CF92" i="3"/>
  <c r="CE92" i="3"/>
  <c r="CC92" i="3"/>
  <c r="CB92" i="3"/>
  <c r="CA92" i="3"/>
  <c r="BZ92" i="3"/>
  <c r="BX92" i="3"/>
  <c r="BW92" i="3"/>
  <c r="BV92" i="3"/>
  <c r="BU92" i="3"/>
  <c r="BS92" i="3"/>
  <c r="BR92" i="3"/>
  <c r="BQ92" i="3"/>
  <c r="BP92" i="3"/>
  <c r="BN92" i="3"/>
  <c r="BM92" i="3"/>
  <c r="BL92" i="3"/>
  <c r="BK92" i="3"/>
  <c r="BI92" i="3"/>
  <c r="BH92" i="3"/>
  <c r="BG92" i="3"/>
  <c r="BF92" i="3"/>
  <c r="BD92" i="3"/>
  <c r="BC92" i="3"/>
  <c r="BB92" i="3"/>
  <c r="BA92" i="3"/>
  <c r="AY92" i="3"/>
  <c r="AX92" i="3"/>
  <c r="AW92" i="3"/>
  <c r="AV92" i="3"/>
  <c r="AT92" i="3"/>
  <c r="AS92" i="3"/>
  <c r="AR92" i="3"/>
  <c r="AQ92" i="3"/>
  <c r="AO92" i="3"/>
  <c r="AN92" i="3"/>
  <c r="AM92" i="3"/>
  <c r="AL92" i="3"/>
  <c r="AJ92" i="3"/>
  <c r="AI92" i="3"/>
  <c r="AH92" i="3"/>
  <c r="AG92" i="3"/>
  <c r="AE92" i="3"/>
  <c r="AD92" i="3"/>
  <c r="AC92" i="3"/>
  <c r="AB92" i="3"/>
  <c r="Z92" i="3"/>
  <c r="Y92" i="3"/>
  <c r="X92" i="3"/>
  <c r="W92" i="3"/>
  <c r="U92" i="3"/>
  <c r="T92" i="3"/>
  <c r="S92" i="3"/>
  <c r="R92" i="3"/>
  <c r="P92" i="3"/>
  <c r="O92" i="3"/>
  <c r="N92" i="3"/>
  <c r="M92" i="3"/>
  <c r="K92" i="3"/>
  <c r="J92" i="3"/>
  <c r="I92" i="3"/>
  <c r="H92" i="3"/>
  <c r="D43" i="3"/>
  <c r="E43" i="3"/>
  <c r="F43" i="3"/>
  <c r="G43" i="3"/>
  <c r="H43" i="3"/>
  <c r="I43" i="3"/>
  <c r="J43" i="3"/>
  <c r="K43" i="3"/>
  <c r="L43" i="3"/>
  <c r="M43" i="3"/>
  <c r="N43" i="3"/>
  <c r="O43" i="3"/>
  <c r="P43" i="3"/>
  <c r="Q43" i="3"/>
  <c r="R43" i="3"/>
  <c r="S43" i="3"/>
  <c r="T43" i="3"/>
  <c r="U43" i="3"/>
  <c r="V43" i="3"/>
  <c r="W43" i="3"/>
  <c r="X43" i="3"/>
  <c r="Y43" i="3"/>
  <c r="Z43" i="3"/>
  <c r="AA43" i="3"/>
  <c r="AB43" i="3"/>
  <c r="AC43" i="3"/>
  <c r="AD43" i="3"/>
  <c r="AE43" i="3"/>
  <c r="AF43" i="3"/>
  <c r="AG43" i="3"/>
  <c r="AH43" i="3"/>
  <c r="AI43" i="3"/>
  <c r="AJ43" i="3"/>
  <c r="AK43" i="3"/>
  <c r="AL43" i="3"/>
  <c r="AM43" i="3"/>
  <c r="AN43" i="3"/>
  <c r="AO43" i="3"/>
  <c r="AP43" i="3"/>
  <c r="AQ43" i="3"/>
  <c r="AR43" i="3"/>
  <c r="AS43" i="3"/>
  <c r="AT43" i="3"/>
  <c r="AU43" i="3"/>
  <c r="AV43" i="3"/>
  <c r="AW43" i="3"/>
  <c r="AX43" i="3"/>
  <c r="AY43" i="3"/>
  <c r="AZ43" i="3"/>
  <c r="BA43" i="3"/>
  <c r="BB43" i="3"/>
  <c r="BC43" i="3"/>
  <c r="BD43" i="3"/>
  <c r="BE43" i="3"/>
  <c r="BF43" i="3"/>
  <c r="BG43" i="3"/>
  <c r="BH43" i="3"/>
  <c r="BI43" i="3"/>
  <c r="BJ43" i="3"/>
  <c r="BK43" i="3"/>
  <c r="BL43" i="3"/>
  <c r="BM43" i="3"/>
  <c r="BN43" i="3"/>
  <c r="BO43" i="3"/>
  <c r="BP43" i="3"/>
  <c r="BQ43" i="3"/>
  <c r="BR43" i="3"/>
  <c r="BS43" i="3"/>
  <c r="BT43" i="3"/>
  <c r="BU43" i="3"/>
  <c r="BV43" i="3"/>
  <c r="BW43" i="3"/>
  <c r="BX43" i="3"/>
  <c r="BY43" i="3"/>
  <c r="BZ43" i="3"/>
  <c r="CA43" i="3"/>
  <c r="CB43" i="3"/>
  <c r="CC43" i="3"/>
  <c r="CD43" i="3"/>
  <c r="CE43" i="3"/>
  <c r="CF43" i="3"/>
  <c r="CG43" i="3"/>
  <c r="CH43" i="3"/>
  <c r="CI43" i="3"/>
  <c r="CJ43" i="3"/>
  <c r="CK43" i="3"/>
  <c r="CL43" i="3"/>
  <c r="CM43" i="3"/>
  <c r="CN43" i="3"/>
  <c r="CO43" i="3"/>
  <c r="CP43" i="3"/>
  <c r="CQ43" i="3"/>
  <c r="CR43" i="3"/>
  <c r="CS43" i="3"/>
  <c r="CT43" i="3"/>
  <c r="CU43" i="3"/>
  <c r="CV43" i="3"/>
  <c r="CW43" i="3"/>
  <c r="CX43" i="3"/>
  <c r="CY43" i="3"/>
  <c r="CZ43" i="3"/>
  <c r="DA43" i="3"/>
  <c r="DB43" i="3"/>
  <c r="DC43" i="3"/>
  <c r="DD43" i="3"/>
  <c r="DE43" i="3"/>
  <c r="DF43" i="3"/>
  <c r="DG43" i="3"/>
  <c r="DI43" i="3"/>
  <c r="DJ43" i="3"/>
  <c r="DK43" i="3"/>
  <c r="DL43" i="3"/>
  <c r="DN43" i="3"/>
  <c r="DO43" i="3"/>
  <c r="DP43" i="3"/>
  <c r="DQ43" i="3"/>
  <c r="DS43" i="3"/>
  <c r="DT43" i="3"/>
  <c r="DU43" i="3"/>
  <c r="DV43" i="3"/>
  <c r="DX43" i="3"/>
  <c r="DY43" i="3"/>
  <c r="DZ43" i="3"/>
  <c r="EA43" i="3"/>
  <c r="EC43" i="3"/>
  <c r="ED43" i="3"/>
  <c r="EE43" i="3"/>
  <c r="EF43" i="3"/>
  <c r="EH43" i="3"/>
  <c r="EI43" i="3"/>
  <c r="EJ43" i="3"/>
  <c r="EK43" i="3"/>
  <c r="EM43" i="3"/>
  <c r="EN43" i="3"/>
  <c r="EO43" i="3"/>
  <c r="EP43" i="3"/>
  <c r="ER43" i="3"/>
  <c r="C43" i="3"/>
  <c r="D36" i="3"/>
  <c r="E36" i="3"/>
  <c r="F36" i="3"/>
  <c r="G36" i="3"/>
  <c r="H36" i="3"/>
  <c r="I36" i="3"/>
  <c r="J36" i="3"/>
  <c r="K36" i="3"/>
  <c r="L36" i="3"/>
  <c r="M36" i="3"/>
  <c r="N36" i="3"/>
  <c r="O36" i="3"/>
  <c r="P36" i="3"/>
  <c r="Q36" i="3"/>
  <c r="R36" i="3"/>
  <c r="S36" i="3"/>
  <c r="T36" i="3"/>
  <c r="U36" i="3"/>
  <c r="V36" i="3"/>
  <c r="W36" i="3"/>
  <c r="X36" i="3"/>
  <c r="Y36" i="3"/>
  <c r="Z36" i="3"/>
  <c r="AA36" i="3"/>
  <c r="AB36" i="3"/>
  <c r="AC36" i="3"/>
  <c r="AD36" i="3"/>
  <c r="AE36" i="3"/>
  <c r="AF36" i="3"/>
  <c r="AG36" i="3"/>
  <c r="AH36" i="3"/>
  <c r="AI36" i="3"/>
  <c r="AJ36" i="3"/>
  <c r="AK36" i="3"/>
  <c r="AL36" i="3"/>
  <c r="AM36" i="3"/>
  <c r="AN36" i="3"/>
  <c r="AO36" i="3"/>
  <c r="AP36" i="3"/>
  <c r="AQ36" i="3"/>
  <c r="AR36" i="3"/>
  <c r="AS36" i="3"/>
  <c r="AT36" i="3"/>
  <c r="AU36" i="3"/>
  <c r="AV36" i="3"/>
  <c r="AW36" i="3"/>
  <c r="AX36" i="3"/>
  <c r="AY36" i="3"/>
  <c r="AZ36" i="3"/>
  <c r="BA36" i="3"/>
  <c r="BB36" i="3"/>
  <c r="BC36" i="3"/>
  <c r="BD36" i="3"/>
  <c r="BE36" i="3"/>
  <c r="BF36" i="3"/>
  <c r="BG36" i="3"/>
  <c r="BH36" i="3"/>
  <c r="BI36" i="3"/>
  <c r="BJ36" i="3"/>
  <c r="BK36" i="3"/>
  <c r="BL36" i="3"/>
  <c r="BM36" i="3"/>
  <c r="BN36" i="3"/>
  <c r="BO36" i="3"/>
  <c r="BP36" i="3"/>
  <c r="BQ36" i="3"/>
  <c r="BR36" i="3"/>
  <c r="BS36" i="3"/>
  <c r="BT36" i="3"/>
  <c r="BU36" i="3"/>
  <c r="BV36" i="3"/>
  <c r="BW36" i="3"/>
  <c r="BX36" i="3"/>
  <c r="BY36" i="3"/>
  <c r="BZ36" i="3"/>
  <c r="CA36" i="3"/>
  <c r="CB36" i="3"/>
  <c r="CC36" i="3"/>
  <c r="CD36" i="3"/>
  <c r="CE36" i="3"/>
  <c r="CF36" i="3"/>
  <c r="CG36" i="3"/>
  <c r="CH36" i="3"/>
  <c r="CI36" i="3"/>
  <c r="CJ36" i="3"/>
  <c r="CK36" i="3"/>
  <c r="CL36" i="3"/>
  <c r="CM36" i="3"/>
  <c r="CN36" i="3"/>
  <c r="CO36" i="3"/>
  <c r="CP36" i="3"/>
  <c r="CQ36" i="3"/>
  <c r="CR36" i="3"/>
  <c r="CS36" i="3"/>
  <c r="CT36" i="3"/>
  <c r="CU36" i="3"/>
  <c r="CV36" i="3"/>
  <c r="CW36" i="3"/>
  <c r="CX36" i="3"/>
  <c r="CY36" i="3"/>
  <c r="CZ36" i="3"/>
  <c r="DA36" i="3"/>
  <c r="DB36" i="3"/>
  <c r="DC36" i="3"/>
  <c r="DI36" i="3"/>
  <c r="DJ36" i="3"/>
  <c r="DK36" i="3"/>
  <c r="DL36" i="3"/>
  <c r="DN36" i="3"/>
  <c r="DO36" i="3"/>
  <c r="DP36" i="3"/>
  <c r="DQ36" i="3"/>
  <c r="DS36" i="3"/>
  <c r="DT36" i="3"/>
  <c r="DU36" i="3"/>
  <c r="DV36" i="3"/>
  <c r="DX36" i="3"/>
  <c r="DY36" i="3"/>
  <c r="DZ36" i="3"/>
  <c r="EA36" i="3"/>
  <c r="EC36" i="3"/>
  <c r="ED36" i="3"/>
  <c r="EE36" i="3"/>
  <c r="EF36" i="3"/>
  <c r="EH36" i="3"/>
  <c r="EI36" i="3"/>
  <c r="EJ36" i="3"/>
  <c r="EK36" i="3"/>
  <c r="EM36" i="3"/>
  <c r="EN36" i="3"/>
  <c r="EO36" i="3"/>
  <c r="EP36" i="3"/>
  <c r="ER36" i="3"/>
  <c r="C36" i="3"/>
  <c r="DB95" i="3"/>
  <c r="DA95" i="3"/>
  <c r="CZ95" i="3"/>
  <c r="CY95" i="3"/>
  <c r="CW95" i="3"/>
  <c r="CV95" i="3"/>
  <c r="CU95" i="3"/>
  <c r="CT95" i="3"/>
  <c r="CR95" i="3"/>
  <c r="CQ95" i="3"/>
  <c r="CP95" i="3"/>
  <c r="CO95" i="3"/>
  <c r="CM95" i="3"/>
  <c r="CL95" i="3"/>
  <c r="CK95" i="3"/>
  <c r="CJ95" i="3"/>
  <c r="CH95" i="3"/>
  <c r="CG95" i="3"/>
  <c r="CF95" i="3"/>
  <c r="CE95" i="3"/>
  <c r="DB88" i="3"/>
  <c r="DA88" i="3"/>
  <c r="CZ88" i="3"/>
  <c r="CY88" i="3"/>
  <c r="CW88" i="3"/>
  <c r="CV88" i="3"/>
  <c r="CU88" i="3"/>
  <c r="CT88" i="3"/>
  <c r="CR88" i="3"/>
  <c r="CQ88" i="3"/>
  <c r="CP88" i="3"/>
  <c r="CO88" i="3"/>
  <c r="CM88" i="3"/>
  <c r="CL88" i="3"/>
  <c r="CK88" i="3"/>
  <c r="CJ88" i="3"/>
  <c r="CH88" i="3"/>
  <c r="CG88" i="3"/>
  <c r="CF88" i="3"/>
  <c r="CE88" i="3"/>
  <c r="DB81" i="3"/>
  <c r="DA81" i="3"/>
  <c r="CZ81" i="3"/>
  <c r="CY81" i="3"/>
  <c r="CW81" i="3"/>
  <c r="CV81" i="3"/>
  <c r="CU81" i="3"/>
  <c r="CT81" i="3"/>
  <c r="CR81" i="3"/>
  <c r="CQ81" i="3"/>
  <c r="CP81" i="3"/>
  <c r="CO81" i="3"/>
  <c r="CM81" i="3"/>
  <c r="CL81" i="3"/>
  <c r="CK81" i="3"/>
  <c r="CJ81" i="3"/>
  <c r="CH81" i="3"/>
  <c r="CG81" i="3"/>
  <c r="CF81" i="3"/>
  <c r="CE81" i="3"/>
  <c r="DL99" i="3"/>
  <c r="DK99" i="3"/>
  <c r="DJ99" i="3"/>
  <c r="DI99" i="3"/>
  <c r="DG99" i="3"/>
  <c r="DF99" i="3"/>
  <c r="DE99" i="3"/>
  <c r="DD99" i="3"/>
  <c r="DB99" i="3"/>
  <c r="DA99" i="3"/>
  <c r="CZ99" i="3"/>
  <c r="CY99" i="3"/>
  <c r="CW99" i="3"/>
  <c r="CV99" i="3"/>
  <c r="CU99" i="3"/>
  <c r="CT99" i="3"/>
  <c r="CR99" i="3"/>
  <c r="CQ99" i="3"/>
  <c r="CP99" i="3"/>
  <c r="CO99" i="3"/>
  <c r="CM99" i="3"/>
  <c r="CL99" i="3"/>
  <c r="CK99" i="3"/>
  <c r="CJ99" i="3"/>
  <c r="CH99" i="3"/>
  <c r="CG99" i="3"/>
  <c r="CF99" i="3"/>
  <c r="CE99" i="3"/>
  <c r="CC99" i="3"/>
  <c r="CB99" i="3"/>
  <c r="CA99" i="3"/>
  <c r="BZ99" i="3"/>
  <c r="BX99" i="3"/>
  <c r="BW99" i="3"/>
  <c r="BV99" i="3"/>
  <c r="BU99" i="3"/>
  <c r="BS99" i="3"/>
  <c r="BR99" i="3"/>
  <c r="BQ99" i="3"/>
  <c r="BP99" i="3"/>
  <c r="BN99" i="3"/>
  <c r="BM99" i="3"/>
  <c r="BL99" i="3"/>
  <c r="BK99" i="3"/>
  <c r="BI99" i="3"/>
  <c r="BH99" i="3"/>
  <c r="BG99" i="3"/>
  <c r="BF99" i="3"/>
  <c r="BD99" i="3"/>
  <c r="BC99" i="3"/>
  <c r="BB99" i="3"/>
  <c r="BA99" i="3"/>
  <c r="AY99" i="3"/>
  <c r="AX99" i="3"/>
  <c r="AW99" i="3"/>
  <c r="AV99" i="3"/>
  <c r="AT99" i="3"/>
  <c r="AS99" i="3"/>
  <c r="AR99" i="3"/>
  <c r="AQ99" i="3"/>
  <c r="AO99" i="3"/>
  <c r="AN99" i="3"/>
  <c r="AM99" i="3"/>
  <c r="AL99" i="3"/>
  <c r="AJ99" i="3"/>
  <c r="AI99" i="3"/>
  <c r="AH99" i="3"/>
  <c r="AG99" i="3"/>
  <c r="AE99" i="3"/>
  <c r="AD99" i="3"/>
  <c r="AC99" i="3"/>
  <c r="AB99" i="3"/>
  <c r="Z99" i="3"/>
  <c r="Y99" i="3"/>
  <c r="X99" i="3"/>
  <c r="W99" i="3"/>
  <c r="U99" i="3"/>
  <c r="T99" i="3"/>
  <c r="S99" i="3"/>
  <c r="R99" i="3"/>
  <c r="P99" i="3"/>
  <c r="O99" i="3"/>
  <c r="N99" i="3"/>
  <c r="M99" i="3"/>
  <c r="K99" i="3"/>
  <c r="J99" i="3"/>
  <c r="I99" i="3"/>
  <c r="H99" i="3"/>
  <c r="DL98" i="3"/>
  <c r="DK98" i="3"/>
  <c r="DJ98" i="3"/>
  <c r="DI98" i="3"/>
  <c r="DG98" i="3"/>
  <c r="DF98" i="3"/>
  <c r="DE98" i="3"/>
  <c r="DD98" i="3"/>
  <c r="DB98" i="3"/>
  <c r="DA98" i="3"/>
  <c r="CZ98" i="3"/>
  <c r="CY98" i="3"/>
  <c r="CW98" i="3"/>
  <c r="CV98" i="3"/>
  <c r="CU98" i="3"/>
  <c r="CT98" i="3"/>
  <c r="CR98" i="3"/>
  <c r="CQ98" i="3"/>
  <c r="CP98" i="3"/>
  <c r="CO98" i="3"/>
  <c r="CM98" i="3"/>
  <c r="CL98" i="3"/>
  <c r="CK98" i="3"/>
  <c r="CJ98" i="3"/>
  <c r="CH98" i="3"/>
  <c r="CG98" i="3"/>
  <c r="CF98" i="3"/>
  <c r="CE98" i="3"/>
  <c r="CC98" i="3"/>
  <c r="CB98" i="3"/>
  <c r="CA98" i="3"/>
  <c r="BZ98" i="3"/>
  <c r="BX98" i="3"/>
  <c r="BW98" i="3"/>
  <c r="BV98" i="3"/>
  <c r="BU98" i="3"/>
  <c r="BS98" i="3"/>
  <c r="BR98" i="3"/>
  <c r="BQ98" i="3"/>
  <c r="BP98" i="3"/>
  <c r="BN98" i="3"/>
  <c r="BM98" i="3"/>
  <c r="BL98" i="3"/>
  <c r="BK98" i="3"/>
  <c r="BI98" i="3"/>
  <c r="BH98" i="3"/>
  <c r="BG98" i="3"/>
  <c r="BF98" i="3"/>
  <c r="BD98" i="3"/>
  <c r="BC98" i="3"/>
  <c r="BB98" i="3"/>
  <c r="BA98" i="3"/>
  <c r="AY98" i="3"/>
  <c r="AX98" i="3"/>
  <c r="AW98" i="3"/>
  <c r="AV98" i="3"/>
  <c r="AT98" i="3"/>
  <c r="AS98" i="3"/>
  <c r="AR98" i="3"/>
  <c r="AQ98" i="3"/>
  <c r="AO98" i="3"/>
  <c r="AN98" i="3"/>
  <c r="AM98" i="3"/>
  <c r="AL98" i="3"/>
  <c r="AJ98" i="3"/>
  <c r="AI98" i="3"/>
  <c r="AH98" i="3"/>
  <c r="AG98" i="3"/>
  <c r="AE98" i="3"/>
  <c r="AD98" i="3"/>
  <c r="AC98" i="3"/>
  <c r="AB98" i="3"/>
  <c r="Z98" i="3"/>
  <c r="Y98" i="3"/>
  <c r="X98" i="3"/>
  <c r="W98" i="3"/>
  <c r="U98" i="3"/>
  <c r="T98" i="3"/>
  <c r="S98" i="3"/>
  <c r="R98" i="3"/>
  <c r="P98" i="3"/>
  <c r="O98" i="3"/>
  <c r="N98" i="3"/>
  <c r="M98" i="3"/>
  <c r="K98" i="3"/>
  <c r="J98" i="3"/>
  <c r="I98" i="3"/>
  <c r="H98" i="3"/>
  <c r="ER91" i="3"/>
  <c r="EP91" i="3"/>
  <c r="EO91" i="3"/>
  <c r="EN91" i="3"/>
  <c r="EM91" i="3"/>
  <c r="EK91" i="3"/>
  <c r="EJ91" i="3"/>
  <c r="EI91" i="3"/>
  <c r="EH91" i="3"/>
  <c r="EF91" i="3"/>
  <c r="EE91" i="3"/>
  <c r="ED91" i="3"/>
  <c r="EC91" i="3"/>
  <c r="EA91" i="3"/>
  <c r="DZ91" i="3"/>
  <c r="DY91" i="3"/>
  <c r="DX91" i="3"/>
  <c r="DV91" i="3"/>
  <c r="DU91" i="3"/>
  <c r="DT91" i="3"/>
  <c r="DS91" i="3"/>
  <c r="DQ91" i="3"/>
  <c r="DP91" i="3"/>
  <c r="DO91" i="3"/>
  <c r="DN91" i="3"/>
  <c r="DL91" i="3"/>
  <c r="DK91" i="3"/>
  <c r="DJ91" i="3"/>
  <c r="DI91" i="3"/>
  <c r="DG91" i="3"/>
  <c r="DF91" i="3"/>
  <c r="DE91" i="3"/>
  <c r="DD91" i="3"/>
  <c r="DB91" i="3"/>
  <c r="DA91" i="3"/>
  <c r="CZ91" i="3"/>
  <c r="CY91" i="3"/>
  <c r="CW91" i="3"/>
  <c r="CV91" i="3"/>
  <c r="CU91" i="3"/>
  <c r="CT91" i="3"/>
  <c r="CR91" i="3"/>
  <c r="CQ91" i="3"/>
  <c r="CP91" i="3"/>
  <c r="CO91" i="3"/>
  <c r="CM91" i="3"/>
  <c r="CL91" i="3"/>
  <c r="CK91" i="3"/>
  <c r="CJ91" i="3"/>
  <c r="CH91" i="3"/>
  <c r="CG91" i="3"/>
  <c r="CF91" i="3"/>
  <c r="CE91" i="3"/>
  <c r="CC91" i="3"/>
  <c r="CB91" i="3"/>
  <c r="CA91" i="3"/>
  <c r="BZ91" i="3"/>
  <c r="BX91" i="3"/>
  <c r="BW91" i="3"/>
  <c r="BV91" i="3"/>
  <c r="BU91" i="3"/>
  <c r="BS91" i="3"/>
  <c r="BR91" i="3"/>
  <c r="BQ91" i="3"/>
  <c r="BP91" i="3"/>
  <c r="BN91" i="3"/>
  <c r="BM91" i="3"/>
  <c r="BL91" i="3"/>
  <c r="BK91" i="3"/>
  <c r="BI91" i="3"/>
  <c r="BH91" i="3"/>
  <c r="BG91" i="3"/>
  <c r="BF91" i="3"/>
  <c r="BD91" i="3"/>
  <c r="BC91" i="3"/>
  <c r="BB91" i="3"/>
  <c r="BA91" i="3"/>
  <c r="AY91" i="3"/>
  <c r="AX91" i="3"/>
  <c r="AW91" i="3"/>
  <c r="AV91" i="3"/>
  <c r="AT91" i="3"/>
  <c r="AS91" i="3"/>
  <c r="AR91" i="3"/>
  <c r="AQ91" i="3"/>
  <c r="AO91" i="3"/>
  <c r="AN91" i="3"/>
  <c r="AM91" i="3"/>
  <c r="AL91" i="3"/>
  <c r="AJ91" i="3"/>
  <c r="AI91" i="3"/>
  <c r="AH91" i="3"/>
  <c r="AG91" i="3"/>
  <c r="AE91" i="3"/>
  <c r="AD91" i="3"/>
  <c r="AC91" i="3"/>
  <c r="AB91" i="3"/>
  <c r="Z91" i="3"/>
  <c r="Y91" i="3"/>
  <c r="X91" i="3"/>
  <c r="W91" i="3"/>
  <c r="U91" i="3"/>
  <c r="T91" i="3"/>
  <c r="S91" i="3"/>
  <c r="R91" i="3"/>
  <c r="P91" i="3"/>
  <c r="O91" i="3"/>
  <c r="N91" i="3"/>
  <c r="M91" i="3"/>
  <c r="K91" i="3"/>
  <c r="J91" i="3"/>
  <c r="I91" i="3"/>
  <c r="H91" i="3"/>
  <c r="ER85" i="3"/>
  <c r="EP85" i="3"/>
  <c r="EO85" i="3"/>
  <c r="EN85" i="3"/>
  <c r="EM85" i="3"/>
  <c r="EK85" i="3"/>
  <c r="EJ85" i="3"/>
  <c r="EI85" i="3"/>
  <c r="EH85" i="3"/>
  <c r="EF85" i="3"/>
  <c r="EE85" i="3"/>
  <c r="ED85" i="3"/>
  <c r="EC85" i="3"/>
  <c r="EA85" i="3"/>
  <c r="DZ85" i="3"/>
  <c r="DY85" i="3"/>
  <c r="DX85" i="3"/>
  <c r="DV85" i="3"/>
  <c r="DU85" i="3"/>
  <c r="DT85" i="3"/>
  <c r="DS85" i="3"/>
  <c r="DQ85" i="3"/>
  <c r="DP85" i="3"/>
  <c r="DO85" i="3"/>
  <c r="DN85" i="3"/>
  <c r="DL85" i="3"/>
  <c r="DK85" i="3"/>
  <c r="DJ85" i="3"/>
  <c r="DI85" i="3"/>
  <c r="DG85" i="3"/>
  <c r="DF85" i="3"/>
  <c r="DE85" i="3"/>
  <c r="DD85" i="3"/>
  <c r="DB85" i="3"/>
  <c r="DA85" i="3"/>
  <c r="CZ85" i="3"/>
  <c r="CY85" i="3"/>
  <c r="CW85" i="3"/>
  <c r="CV85" i="3"/>
  <c r="CU85" i="3"/>
  <c r="CT85" i="3"/>
  <c r="CR85" i="3"/>
  <c r="CQ85" i="3"/>
  <c r="CP85" i="3"/>
  <c r="CO85" i="3"/>
  <c r="CM85" i="3"/>
  <c r="CL85" i="3"/>
  <c r="CK85" i="3"/>
  <c r="CJ85" i="3"/>
  <c r="CH85" i="3"/>
  <c r="CG85" i="3"/>
  <c r="CF85" i="3"/>
  <c r="CE85" i="3"/>
  <c r="CC85" i="3"/>
  <c r="CB85" i="3"/>
  <c r="CA85" i="3"/>
  <c r="BZ85" i="3"/>
  <c r="BX85" i="3"/>
  <c r="BW85" i="3"/>
  <c r="BV85" i="3"/>
  <c r="BU85" i="3"/>
  <c r="BS85" i="3"/>
  <c r="BR85" i="3"/>
  <c r="BQ85" i="3"/>
  <c r="BP85" i="3"/>
  <c r="BN85" i="3"/>
  <c r="BM85" i="3"/>
  <c r="BL85" i="3"/>
  <c r="BK85" i="3"/>
  <c r="BI85" i="3"/>
  <c r="BH85" i="3"/>
  <c r="BG85" i="3"/>
  <c r="BF85" i="3"/>
  <c r="BD85" i="3"/>
  <c r="BC85" i="3"/>
  <c r="BB85" i="3"/>
  <c r="BA85" i="3"/>
  <c r="AY85" i="3"/>
  <c r="AX85" i="3"/>
  <c r="AW85" i="3"/>
  <c r="AV85" i="3"/>
  <c r="AT85" i="3"/>
  <c r="AS85" i="3"/>
  <c r="AR85" i="3"/>
  <c r="AQ85" i="3"/>
  <c r="AO85" i="3"/>
  <c r="AN85" i="3"/>
  <c r="AM85" i="3"/>
  <c r="AL85" i="3"/>
  <c r="AJ85" i="3"/>
  <c r="AI85" i="3"/>
  <c r="AH85" i="3"/>
  <c r="AG85" i="3"/>
  <c r="AE85" i="3"/>
  <c r="AD85" i="3"/>
  <c r="AC85" i="3"/>
  <c r="AB85" i="3"/>
  <c r="Z85" i="3"/>
  <c r="Y85" i="3"/>
  <c r="X85" i="3"/>
  <c r="W85" i="3"/>
  <c r="U85" i="3"/>
  <c r="T85" i="3"/>
  <c r="S85" i="3"/>
  <c r="R85" i="3"/>
  <c r="P85" i="3"/>
  <c r="O85" i="3"/>
  <c r="N85" i="3"/>
  <c r="M85" i="3"/>
  <c r="K85" i="3"/>
  <c r="J85" i="3"/>
  <c r="I85" i="3"/>
  <c r="H85" i="3"/>
  <c r="ER84" i="3"/>
  <c r="EP84" i="3"/>
  <c r="EO84" i="3"/>
  <c r="EN84" i="3"/>
  <c r="EM84" i="3"/>
  <c r="EK84" i="3"/>
  <c r="EJ84" i="3"/>
  <c r="EI84" i="3"/>
  <c r="EH84" i="3"/>
  <c r="EF84" i="3"/>
  <c r="EE84" i="3"/>
  <c r="ED84" i="3"/>
  <c r="EC84" i="3"/>
  <c r="EA84" i="3"/>
  <c r="DZ84" i="3"/>
  <c r="DY84" i="3"/>
  <c r="DX84" i="3"/>
  <c r="DV84" i="3"/>
  <c r="DU84" i="3"/>
  <c r="DT84" i="3"/>
  <c r="DS84" i="3"/>
  <c r="DQ84" i="3"/>
  <c r="DP84" i="3"/>
  <c r="DO84" i="3"/>
  <c r="DN84" i="3"/>
  <c r="DL84" i="3"/>
  <c r="DK84" i="3"/>
  <c r="DJ84" i="3"/>
  <c r="DI84" i="3"/>
  <c r="DG84" i="3"/>
  <c r="DF84" i="3"/>
  <c r="DE84" i="3"/>
  <c r="DD84" i="3"/>
  <c r="DB84" i="3"/>
  <c r="DA84" i="3"/>
  <c r="CZ84" i="3"/>
  <c r="CY84" i="3"/>
  <c r="CW84" i="3"/>
  <c r="CV84" i="3"/>
  <c r="CU84" i="3"/>
  <c r="CT84" i="3"/>
  <c r="CR84" i="3"/>
  <c r="CQ84" i="3"/>
  <c r="CP84" i="3"/>
  <c r="CO84" i="3"/>
  <c r="CM84" i="3"/>
  <c r="CL84" i="3"/>
  <c r="CK84" i="3"/>
  <c r="CJ84" i="3"/>
  <c r="CH84" i="3"/>
  <c r="CG84" i="3"/>
  <c r="CF84" i="3"/>
  <c r="CE84" i="3"/>
  <c r="CC84" i="3"/>
  <c r="CB84" i="3"/>
  <c r="CA84" i="3"/>
  <c r="BZ84" i="3"/>
  <c r="BX84" i="3"/>
  <c r="BW84" i="3"/>
  <c r="BV84" i="3"/>
  <c r="BU84" i="3"/>
  <c r="BS84" i="3"/>
  <c r="BR84" i="3"/>
  <c r="BQ84" i="3"/>
  <c r="BP84" i="3"/>
  <c r="BN84" i="3"/>
  <c r="BM84" i="3"/>
  <c r="BL84" i="3"/>
  <c r="BK84" i="3"/>
  <c r="BI84" i="3"/>
  <c r="BH84" i="3"/>
  <c r="BG84" i="3"/>
  <c r="BF84" i="3"/>
  <c r="BD84" i="3"/>
  <c r="BC84" i="3"/>
  <c r="BB84" i="3"/>
  <c r="BA84" i="3"/>
  <c r="AY84" i="3"/>
  <c r="AX84" i="3"/>
  <c r="AW84" i="3"/>
  <c r="AV84" i="3"/>
  <c r="AT84" i="3"/>
  <c r="AS84" i="3"/>
  <c r="AR84" i="3"/>
  <c r="AQ84" i="3"/>
  <c r="AO84" i="3"/>
  <c r="AN84" i="3"/>
  <c r="AM84" i="3"/>
  <c r="AL84" i="3"/>
  <c r="AJ84" i="3"/>
  <c r="AI84" i="3"/>
  <c r="AH84" i="3"/>
  <c r="AE84" i="3"/>
  <c r="AD84" i="3"/>
  <c r="AC84" i="3"/>
  <c r="AB84" i="3"/>
  <c r="Z84" i="3"/>
  <c r="Y84" i="3"/>
  <c r="X84" i="3"/>
  <c r="W84" i="3"/>
  <c r="U84" i="3"/>
  <c r="T84" i="3"/>
  <c r="S84" i="3"/>
  <c r="R84" i="3"/>
  <c r="P84" i="3"/>
  <c r="O84" i="3"/>
  <c r="N84" i="3"/>
  <c r="M84" i="3"/>
  <c r="K84" i="3"/>
  <c r="J84" i="3"/>
  <c r="I84" i="3"/>
  <c r="H84" i="3"/>
  <c r="ER78" i="3"/>
  <c r="EP78" i="3"/>
  <c r="EO78" i="3"/>
  <c r="EN78" i="3"/>
  <c r="EM78" i="3"/>
  <c r="EK78" i="3"/>
  <c r="EJ78" i="3"/>
  <c r="EI78" i="3"/>
  <c r="EH78" i="3"/>
  <c r="EF78" i="3"/>
  <c r="EE78" i="3"/>
  <c r="ED78" i="3"/>
  <c r="EC78" i="3"/>
  <c r="EA78" i="3"/>
  <c r="DZ78" i="3"/>
  <c r="DY78" i="3"/>
  <c r="DX78" i="3"/>
  <c r="DV78" i="3"/>
  <c r="DU78" i="3"/>
  <c r="DT78" i="3"/>
  <c r="DS78" i="3"/>
  <c r="DQ78" i="3"/>
  <c r="DP78" i="3"/>
  <c r="DO78" i="3"/>
  <c r="DN78" i="3"/>
  <c r="DL78" i="3"/>
  <c r="DK78" i="3"/>
  <c r="DJ78" i="3"/>
  <c r="DI78" i="3"/>
  <c r="DG78" i="3"/>
  <c r="DF78" i="3"/>
  <c r="DE78" i="3"/>
  <c r="DD78" i="3"/>
  <c r="DB78" i="3"/>
  <c r="DA78" i="3"/>
  <c r="CZ78" i="3"/>
  <c r="CY78" i="3"/>
  <c r="CW78" i="3"/>
  <c r="CV78" i="3"/>
  <c r="CU78" i="3"/>
  <c r="CT78" i="3"/>
  <c r="CR78" i="3"/>
  <c r="CQ78" i="3"/>
  <c r="CP78" i="3"/>
  <c r="CO78" i="3"/>
  <c r="CM78" i="3"/>
  <c r="CL78" i="3"/>
  <c r="CK78" i="3"/>
  <c r="CJ78" i="3"/>
  <c r="CH78" i="3"/>
  <c r="CG78" i="3"/>
  <c r="CF78" i="3"/>
  <c r="CE78" i="3"/>
  <c r="CC78" i="3"/>
  <c r="CB78" i="3"/>
  <c r="CA78" i="3"/>
  <c r="BZ78" i="3"/>
  <c r="BX78" i="3"/>
  <c r="BW78" i="3"/>
  <c r="BV78" i="3"/>
  <c r="BU78" i="3"/>
  <c r="BS78" i="3"/>
  <c r="BR78" i="3"/>
  <c r="BQ78" i="3"/>
  <c r="BP78" i="3"/>
  <c r="BN78" i="3"/>
  <c r="BM78" i="3"/>
  <c r="BL78" i="3"/>
  <c r="BK78" i="3"/>
  <c r="BI78" i="3"/>
  <c r="BH78" i="3"/>
  <c r="BG78" i="3"/>
  <c r="BF78" i="3"/>
  <c r="BD78" i="3"/>
  <c r="BC78" i="3"/>
  <c r="BB78" i="3"/>
  <c r="BA78" i="3"/>
  <c r="AY78" i="3"/>
  <c r="AX78" i="3"/>
  <c r="AW78" i="3"/>
  <c r="AV78" i="3"/>
  <c r="AT78" i="3"/>
  <c r="AS78" i="3"/>
  <c r="AR78" i="3"/>
  <c r="AQ78" i="3"/>
  <c r="AO78" i="3"/>
  <c r="AN78" i="3"/>
  <c r="AM78" i="3"/>
  <c r="AL78" i="3"/>
  <c r="AJ78" i="3"/>
  <c r="AI78" i="3"/>
  <c r="AH78" i="3"/>
  <c r="AG78" i="3"/>
  <c r="AE78" i="3"/>
  <c r="AD78" i="3"/>
  <c r="AC78" i="3"/>
  <c r="AB78" i="3"/>
  <c r="Z78" i="3"/>
  <c r="Y78" i="3"/>
  <c r="X78" i="3"/>
  <c r="W78" i="3"/>
  <c r="U78" i="3"/>
  <c r="T78" i="3"/>
  <c r="S78" i="3"/>
  <c r="R78" i="3"/>
  <c r="P78" i="3"/>
  <c r="O78" i="3"/>
  <c r="N78" i="3"/>
  <c r="M78" i="3"/>
  <c r="K78" i="3"/>
  <c r="J78" i="3"/>
  <c r="I78" i="3"/>
  <c r="H78" i="3"/>
  <c r="ER77" i="3"/>
  <c r="EP77" i="3"/>
  <c r="EO77" i="3"/>
  <c r="EN77" i="3"/>
  <c r="EM77" i="3"/>
  <c r="EK77" i="3"/>
  <c r="EJ77" i="3"/>
  <c r="EI77" i="3"/>
  <c r="EH77" i="3"/>
  <c r="EF77" i="3"/>
  <c r="EE77" i="3"/>
  <c r="ED77" i="3"/>
  <c r="EC77" i="3"/>
  <c r="EA77" i="3"/>
  <c r="DZ77" i="3"/>
  <c r="DY77" i="3"/>
  <c r="DX77" i="3"/>
  <c r="DV77" i="3"/>
  <c r="DU77" i="3"/>
  <c r="DT77" i="3"/>
  <c r="DS77" i="3"/>
  <c r="DQ77" i="3"/>
  <c r="DP77" i="3"/>
  <c r="DO77" i="3"/>
  <c r="DN77" i="3"/>
  <c r="DL77" i="3"/>
  <c r="DK77" i="3"/>
  <c r="DJ77" i="3"/>
  <c r="DI77" i="3"/>
  <c r="DG77" i="3"/>
  <c r="DF77" i="3"/>
  <c r="DE77" i="3"/>
  <c r="DD77" i="3"/>
  <c r="DB77" i="3"/>
  <c r="DA77" i="3"/>
  <c r="CZ77" i="3"/>
  <c r="CY77" i="3"/>
  <c r="CW77" i="3"/>
  <c r="CV77" i="3"/>
  <c r="CU77" i="3"/>
  <c r="CT77" i="3"/>
  <c r="CR77" i="3"/>
  <c r="CQ77" i="3"/>
  <c r="CP77" i="3"/>
  <c r="CO77" i="3"/>
  <c r="CM77" i="3"/>
  <c r="CL77" i="3"/>
  <c r="CK77" i="3"/>
  <c r="CJ77" i="3"/>
  <c r="CH77" i="3"/>
  <c r="CG77" i="3"/>
  <c r="CF77" i="3"/>
  <c r="CE77" i="3"/>
  <c r="CC77" i="3"/>
  <c r="CB77" i="3"/>
  <c r="CA77" i="3"/>
  <c r="BZ77" i="3"/>
  <c r="BX77" i="3"/>
  <c r="BW77" i="3"/>
  <c r="BV77" i="3"/>
  <c r="BU77" i="3"/>
  <c r="BS77" i="3"/>
  <c r="BR77" i="3"/>
  <c r="BQ77" i="3"/>
  <c r="BP77" i="3"/>
  <c r="BN77" i="3"/>
  <c r="BM77" i="3"/>
  <c r="BL77" i="3"/>
  <c r="BK77" i="3"/>
  <c r="BI77" i="3"/>
  <c r="BH77" i="3"/>
  <c r="BG77" i="3"/>
  <c r="BF77" i="3"/>
  <c r="BD77" i="3"/>
  <c r="BC77" i="3"/>
  <c r="BB77" i="3"/>
  <c r="BA77" i="3"/>
  <c r="AY77" i="3"/>
  <c r="AX77" i="3"/>
  <c r="AW77" i="3"/>
  <c r="AV77" i="3"/>
  <c r="AT77" i="3"/>
  <c r="AS77" i="3"/>
  <c r="AR77" i="3"/>
  <c r="AQ77" i="3"/>
  <c r="AO77" i="3"/>
  <c r="AN77" i="3"/>
  <c r="AM77" i="3"/>
  <c r="AL77" i="3"/>
  <c r="AJ77" i="3"/>
  <c r="AI77" i="3"/>
  <c r="AH77" i="3"/>
  <c r="AG77" i="3"/>
  <c r="AE77" i="3"/>
  <c r="AD77" i="3"/>
  <c r="AC77" i="3"/>
  <c r="AB77" i="3"/>
  <c r="Z77" i="3"/>
  <c r="Y77" i="3"/>
  <c r="X77" i="3"/>
  <c r="W77" i="3"/>
  <c r="U77" i="3"/>
  <c r="T77" i="3"/>
  <c r="S77" i="3"/>
  <c r="R77" i="3"/>
  <c r="P77" i="3"/>
  <c r="O77" i="3"/>
  <c r="N77" i="3"/>
  <c r="M77" i="3"/>
  <c r="K77" i="3"/>
  <c r="J77" i="3"/>
  <c r="I77" i="3"/>
  <c r="H77" i="3"/>
  <c r="DB47" i="3"/>
  <c r="DA47" i="3"/>
  <c r="CZ47" i="3"/>
  <c r="CY47" i="3"/>
  <c r="DB46" i="3"/>
  <c r="DA46" i="3"/>
  <c r="CZ46" i="3"/>
  <c r="CY46" i="3"/>
  <c r="ER40" i="3"/>
  <c r="EP40" i="3"/>
  <c r="EO40" i="3"/>
  <c r="EN40" i="3"/>
  <c r="EM40" i="3"/>
  <c r="EK40" i="3"/>
  <c r="EJ40" i="3"/>
  <c r="EI40" i="3"/>
  <c r="EH40" i="3"/>
  <c r="EF40" i="3"/>
  <c r="EE40" i="3"/>
  <c r="ED40" i="3"/>
  <c r="EC40" i="3"/>
  <c r="EA40" i="3"/>
  <c r="DZ40" i="3"/>
  <c r="DY40" i="3"/>
  <c r="DX40" i="3"/>
  <c r="DV40" i="3"/>
  <c r="DU40" i="3"/>
  <c r="DT40" i="3"/>
  <c r="DS40" i="3"/>
  <c r="DQ40" i="3"/>
  <c r="DP40" i="3"/>
  <c r="DO40" i="3"/>
  <c r="DN40" i="3"/>
  <c r="DL40" i="3"/>
  <c r="DK40" i="3"/>
  <c r="DJ40" i="3"/>
  <c r="DI40" i="3"/>
  <c r="DB40" i="3"/>
  <c r="DA40" i="3"/>
  <c r="CZ40" i="3"/>
  <c r="CY40" i="3"/>
  <c r="CW40" i="3"/>
  <c r="CV40" i="3"/>
  <c r="CU40" i="3"/>
  <c r="CT40" i="3"/>
  <c r="CR40" i="3"/>
  <c r="CQ40" i="3"/>
  <c r="CP40" i="3"/>
  <c r="CO40" i="3"/>
  <c r="CM40" i="3"/>
  <c r="CL40" i="3"/>
  <c r="CK40" i="3"/>
  <c r="CJ40" i="3"/>
  <c r="CH40" i="3"/>
  <c r="CG40" i="3"/>
  <c r="CF40" i="3"/>
  <c r="CE40" i="3"/>
  <c r="CC40" i="3"/>
  <c r="CB40" i="3"/>
  <c r="CA40" i="3"/>
  <c r="BZ40" i="3"/>
  <c r="BX40" i="3"/>
  <c r="BW40" i="3"/>
  <c r="BV40" i="3"/>
  <c r="BU40" i="3"/>
  <c r="BS40" i="3"/>
  <c r="BR40" i="3"/>
  <c r="BQ40" i="3"/>
  <c r="BP40" i="3"/>
  <c r="BN40" i="3"/>
  <c r="BM40" i="3"/>
  <c r="BL40" i="3"/>
  <c r="BK40" i="3"/>
  <c r="BI40" i="3"/>
  <c r="BH40" i="3"/>
  <c r="BG40" i="3"/>
  <c r="BF40" i="3"/>
  <c r="BD40" i="3"/>
  <c r="BC40" i="3"/>
  <c r="BB40" i="3"/>
  <c r="BA40" i="3"/>
  <c r="AY40" i="3"/>
  <c r="AX40" i="3"/>
  <c r="AW40" i="3"/>
  <c r="AV40" i="3"/>
  <c r="AT40" i="3"/>
  <c r="AS40" i="3"/>
  <c r="AR40" i="3"/>
  <c r="AQ40" i="3"/>
  <c r="AO40" i="3"/>
  <c r="AN40" i="3"/>
  <c r="AM40" i="3"/>
  <c r="AL40" i="3"/>
  <c r="AJ40" i="3"/>
  <c r="AI40" i="3"/>
  <c r="AH40" i="3"/>
  <c r="AG40" i="3"/>
  <c r="AE40" i="3"/>
  <c r="AD40" i="3"/>
  <c r="AC40" i="3"/>
  <c r="AB40" i="3"/>
  <c r="Z40" i="3"/>
  <c r="Y40" i="3"/>
  <c r="X40" i="3"/>
  <c r="W40" i="3"/>
  <c r="U40" i="3"/>
  <c r="T40" i="3"/>
  <c r="S40" i="3"/>
  <c r="R40" i="3"/>
  <c r="P40" i="3"/>
  <c r="O40" i="3"/>
  <c r="N40" i="3"/>
  <c r="M40" i="3"/>
  <c r="K40" i="3"/>
  <c r="J40" i="3"/>
  <c r="I40" i="3"/>
  <c r="H40" i="3"/>
  <c r="ER39" i="3"/>
  <c r="EP39" i="3"/>
  <c r="EO39" i="3"/>
  <c r="EN39" i="3"/>
  <c r="EM39" i="3"/>
  <c r="EK39" i="3"/>
  <c r="EJ39" i="3"/>
  <c r="EI39" i="3"/>
  <c r="EH39" i="3"/>
  <c r="EF39" i="3"/>
  <c r="EE39" i="3"/>
  <c r="ED39" i="3"/>
  <c r="EC39" i="3"/>
  <c r="EA39" i="3"/>
  <c r="DZ39" i="3"/>
  <c r="DY39" i="3"/>
  <c r="DX39" i="3"/>
  <c r="DV39" i="3"/>
  <c r="DU39" i="3"/>
  <c r="DT39" i="3"/>
  <c r="DS39" i="3"/>
  <c r="DQ39" i="3"/>
  <c r="DP39" i="3"/>
  <c r="DO39" i="3"/>
  <c r="DN39" i="3"/>
  <c r="DL39" i="3"/>
  <c r="DK39" i="3"/>
  <c r="DJ39" i="3"/>
  <c r="DI39" i="3"/>
  <c r="DC39" i="3"/>
  <c r="DB39" i="3"/>
  <c r="DA39" i="3"/>
  <c r="CZ39" i="3"/>
  <c r="CY39" i="3"/>
  <c r="CX39" i="3"/>
  <c r="CW39" i="3"/>
  <c r="CV39" i="3"/>
  <c r="CU39" i="3"/>
  <c r="CT39" i="3"/>
  <c r="CS39" i="3"/>
  <c r="CR39" i="3"/>
  <c r="CQ39" i="3"/>
  <c r="CP39" i="3"/>
  <c r="CO39" i="3"/>
  <c r="CN39" i="3"/>
  <c r="CM39" i="3"/>
  <c r="CL39" i="3"/>
  <c r="CK39" i="3"/>
  <c r="CJ39" i="3"/>
  <c r="CI39" i="3"/>
  <c r="CH39" i="3"/>
  <c r="CG39" i="3"/>
  <c r="CF39" i="3"/>
  <c r="CE39" i="3"/>
  <c r="CD39" i="3"/>
  <c r="CC39" i="3"/>
  <c r="CB39" i="3"/>
  <c r="CA39" i="3"/>
  <c r="BZ39" i="3"/>
  <c r="BY39" i="3"/>
  <c r="BX39" i="3"/>
  <c r="BW39" i="3"/>
  <c r="BV39" i="3"/>
  <c r="BU39" i="3"/>
  <c r="BT39" i="3"/>
  <c r="BS39" i="3"/>
  <c r="BR39" i="3"/>
  <c r="BQ39" i="3"/>
  <c r="BP39" i="3"/>
  <c r="BO39" i="3"/>
  <c r="BN39" i="3"/>
  <c r="BM39" i="3"/>
  <c r="BL39" i="3"/>
  <c r="BK39" i="3"/>
  <c r="BJ39" i="3"/>
  <c r="BI39" i="3"/>
  <c r="BH39" i="3"/>
  <c r="BG39" i="3"/>
  <c r="BF39" i="3"/>
  <c r="BE39" i="3"/>
  <c r="BD39" i="3"/>
  <c r="BC39" i="3"/>
  <c r="BB39" i="3"/>
  <c r="BA39" i="3"/>
  <c r="AZ39" i="3"/>
  <c r="AY39" i="3"/>
  <c r="AX39" i="3"/>
  <c r="AW39" i="3"/>
  <c r="AV39" i="3"/>
  <c r="AU39" i="3"/>
  <c r="AT39" i="3"/>
  <c r="AS39" i="3"/>
  <c r="AR39" i="3"/>
  <c r="AQ39" i="3"/>
  <c r="AP39" i="3"/>
  <c r="AO39" i="3"/>
  <c r="AN39" i="3"/>
  <c r="AM39" i="3"/>
  <c r="AL39" i="3"/>
  <c r="AK39" i="3"/>
  <c r="AJ39" i="3"/>
  <c r="AI39" i="3"/>
  <c r="AH39" i="3"/>
  <c r="AG39" i="3"/>
  <c r="AF39" i="3"/>
  <c r="AE39" i="3"/>
  <c r="AD39" i="3"/>
  <c r="AC39" i="3"/>
  <c r="AB39" i="3"/>
  <c r="AA39" i="3"/>
  <c r="Z39" i="3"/>
  <c r="Y39" i="3"/>
  <c r="X39" i="3"/>
  <c r="W39" i="3"/>
  <c r="V39" i="3"/>
  <c r="U39" i="3"/>
  <c r="T39" i="3"/>
  <c r="S39" i="3"/>
  <c r="R39" i="3"/>
  <c r="Q39" i="3"/>
  <c r="P39" i="3"/>
  <c r="O39" i="3"/>
  <c r="N39" i="3"/>
  <c r="M39" i="3"/>
  <c r="L39" i="3"/>
  <c r="K39" i="3"/>
  <c r="J39" i="3"/>
  <c r="I39" i="3"/>
  <c r="H39" i="3"/>
  <c r="ER33" i="3"/>
  <c r="EP33" i="3"/>
  <c r="EO33" i="3"/>
  <c r="EN33" i="3"/>
  <c r="EM33" i="3"/>
  <c r="EK33" i="3"/>
  <c r="EJ33" i="3"/>
  <c r="EI33" i="3"/>
  <c r="EH33" i="3"/>
  <c r="EF33" i="3"/>
  <c r="EE33" i="3"/>
  <c r="ED33" i="3"/>
  <c r="EC33" i="3"/>
  <c r="EA33" i="3"/>
  <c r="DZ33" i="3"/>
  <c r="DY33" i="3"/>
  <c r="DX33" i="3"/>
  <c r="DV33" i="3"/>
  <c r="DU33" i="3"/>
  <c r="DT33" i="3"/>
  <c r="DS33" i="3"/>
  <c r="DQ33" i="3"/>
  <c r="DP33" i="3"/>
  <c r="DO33" i="3"/>
  <c r="DN33" i="3"/>
  <c r="DL33" i="3"/>
  <c r="DK33" i="3"/>
  <c r="DJ33" i="3"/>
  <c r="DI33" i="3"/>
  <c r="DB33" i="3"/>
  <c r="DA33" i="3"/>
  <c r="CZ33" i="3"/>
  <c r="CY33" i="3"/>
  <c r="CW33" i="3"/>
  <c r="CV33" i="3"/>
  <c r="CU33" i="3"/>
  <c r="CT33" i="3"/>
  <c r="CR33" i="3"/>
  <c r="CQ33" i="3"/>
  <c r="CP33" i="3"/>
  <c r="CO33" i="3"/>
  <c r="CM33" i="3"/>
  <c r="CL33" i="3"/>
  <c r="CK33" i="3"/>
  <c r="CJ33" i="3"/>
  <c r="CH33" i="3"/>
  <c r="CG33" i="3"/>
  <c r="CF33" i="3"/>
  <c r="CE33" i="3"/>
  <c r="CC33" i="3"/>
  <c r="CB33" i="3"/>
  <c r="CA33" i="3"/>
  <c r="BZ33" i="3"/>
  <c r="BX33" i="3"/>
  <c r="BW33" i="3"/>
  <c r="BV33" i="3"/>
  <c r="BU33" i="3"/>
  <c r="BS33" i="3"/>
  <c r="BR33" i="3"/>
  <c r="BQ33" i="3"/>
  <c r="BP33" i="3"/>
  <c r="BN33" i="3"/>
  <c r="BM33" i="3"/>
  <c r="BL33" i="3"/>
  <c r="BK33" i="3"/>
  <c r="BI33" i="3"/>
  <c r="BH33" i="3"/>
  <c r="BG33" i="3"/>
  <c r="BF33" i="3"/>
  <c r="BD33" i="3"/>
  <c r="BC33" i="3"/>
  <c r="BB33" i="3"/>
  <c r="BA33" i="3"/>
  <c r="AY33" i="3"/>
  <c r="AX33" i="3"/>
  <c r="AW33" i="3"/>
  <c r="AV33" i="3"/>
  <c r="AT33" i="3"/>
  <c r="AS33" i="3"/>
  <c r="AR33" i="3"/>
  <c r="AQ33" i="3"/>
  <c r="AO33" i="3"/>
  <c r="AN33" i="3"/>
  <c r="AM33" i="3"/>
  <c r="AL33" i="3"/>
  <c r="AJ33" i="3"/>
  <c r="AI33" i="3"/>
  <c r="AH33" i="3"/>
  <c r="AG33" i="3"/>
  <c r="AE33" i="3"/>
  <c r="AD33" i="3"/>
  <c r="AC33" i="3"/>
  <c r="AB33" i="3"/>
  <c r="Z33" i="3"/>
  <c r="Y33" i="3"/>
  <c r="X33" i="3"/>
  <c r="W33" i="3"/>
  <c r="U33" i="3"/>
  <c r="T33" i="3"/>
  <c r="S33" i="3"/>
  <c r="R33" i="3"/>
  <c r="P33" i="3"/>
  <c r="O33" i="3"/>
  <c r="N33" i="3"/>
  <c r="M33" i="3"/>
  <c r="K33" i="3"/>
  <c r="J33" i="3"/>
  <c r="I33" i="3"/>
  <c r="H33" i="3"/>
  <c r="ER32" i="3"/>
  <c r="EP32" i="3"/>
  <c r="EO32" i="3"/>
  <c r="EN32" i="3"/>
  <c r="EM32" i="3"/>
  <c r="EK32" i="3"/>
  <c r="EJ32" i="3"/>
  <c r="EI32" i="3"/>
  <c r="EH32" i="3"/>
  <c r="EF32" i="3"/>
  <c r="EE32" i="3"/>
  <c r="ED32" i="3"/>
  <c r="EC32" i="3"/>
  <c r="EA32" i="3"/>
  <c r="DZ32" i="3"/>
  <c r="DY32" i="3"/>
  <c r="DX32" i="3"/>
  <c r="DV32" i="3"/>
  <c r="DU32" i="3"/>
  <c r="DT32" i="3"/>
  <c r="DS32" i="3"/>
  <c r="DQ32" i="3"/>
  <c r="DP32" i="3"/>
  <c r="DO32" i="3"/>
  <c r="DN32" i="3"/>
  <c r="DL32" i="3"/>
  <c r="DK32" i="3"/>
  <c r="DJ32" i="3"/>
  <c r="DI32" i="3"/>
  <c r="DC32" i="3"/>
  <c r="DB32" i="3"/>
  <c r="DA32" i="3"/>
  <c r="CZ32" i="3"/>
  <c r="CY32" i="3"/>
  <c r="CX32" i="3"/>
  <c r="CW32" i="3"/>
  <c r="CV32" i="3"/>
  <c r="CU32" i="3"/>
  <c r="CT32" i="3"/>
  <c r="CS32" i="3"/>
  <c r="CR32" i="3"/>
  <c r="CQ32" i="3"/>
  <c r="CP32" i="3"/>
  <c r="CO32" i="3"/>
  <c r="CN32" i="3"/>
  <c r="CM32" i="3"/>
  <c r="CL32" i="3"/>
  <c r="CK32" i="3"/>
  <c r="CJ32" i="3"/>
  <c r="CI32" i="3"/>
  <c r="CH32" i="3"/>
  <c r="CG32" i="3"/>
  <c r="CF32" i="3"/>
  <c r="CE32" i="3"/>
  <c r="CD32" i="3"/>
  <c r="CC32" i="3"/>
  <c r="CB32" i="3"/>
  <c r="CA32" i="3"/>
  <c r="BZ32" i="3"/>
  <c r="BY32" i="3"/>
  <c r="BX32" i="3"/>
  <c r="BW32" i="3"/>
  <c r="BV32" i="3"/>
  <c r="BU32" i="3"/>
  <c r="BT32" i="3"/>
  <c r="BS32" i="3"/>
  <c r="BR32" i="3"/>
  <c r="BQ32" i="3"/>
  <c r="BP32" i="3"/>
  <c r="BO32" i="3"/>
  <c r="BN32" i="3"/>
  <c r="BM32" i="3"/>
  <c r="BL32" i="3"/>
  <c r="BK32" i="3"/>
  <c r="BJ32" i="3"/>
  <c r="BI32" i="3"/>
  <c r="BH32" i="3"/>
  <c r="BG32" i="3"/>
  <c r="BF32" i="3"/>
  <c r="BE32" i="3"/>
  <c r="BD32" i="3"/>
  <c r="BC32" i="3"/>
  <c r="BB32" i="3"/>
  <c r="BA32" i="3"/>
  <c r="AZ32" i="3"/>
  <c r="AY32" i="3"/>
  <c r="AX32" i="3"/>
  <c r="AW32" i="3"/>
  <c r="AV32" i="3"/>
  <c r="AU32" i="3"/>
  <c r="AT32" i="3"/>
  <c r="AS32" i="3"/>
  <c r="AR32" i="3"/>
  <c r="AQ32" i="3"/>
  <c r="AP32" i="3"/>
  <c r="AO32" i="3"/>
  <c r="AN32" i="3"/>
  <c r="AM32" i="3"/>
  <c r="AL32" i="3"/>
  <c r="AK32" i="3"/>
  <c r="AJ32" i="3"/>
  <c r="AI32" i="3"/>
  <c r="AH32" i="3"/>
  <c r="AG32" i="3"/>
  <c r="AF32" i="3"/>
  <c r="AE32" i="3"/>
  <c r="AD32" i="3"/>
  <c r="AC32" i="3"/>
  <c r="AB32" i="3"/>
  <c r="AA32" i="3"/>
  <c r="Z32" i="3"/>
  <c r="Y32" i="3"/>
  <c r="X32" i="3"/>
  <c r="W32" i="3"/>
  <c r="V32" i="3"/>
  <c r="U32" i="3"/>
  <c r="T32" i="3"/>
  <c r="S32" i="3"/>
  <c r="R32" i="3"/>
  <c r="Q32" i="3"/>
  <c r="P32" i="3"/>
  <c r="O32" i="3"/>
  <c r="N32" i="3"/>
  <c r="M32" i="3"/>
  <c r="L32" i="3"/>
  <c r="K32" i="3"/>
  <c r="J32" i="3"/>
  <c r="I32" i="3"/>
  <c r="H32" i="3"/>
  <c r="DB27" i="3"/>
  <c r="DA27" i="3"/>
  <c r="CZ27" i="3"/>
  <c r="CY27" i="3"/>
  <c r="CW27" i="3"/>
  <c r="CV27" i="3"/>
  <c r="CU27" i="3"/>
  <c r="CT27" i="3"/>
  <c r="CR27" i="3"/>
  <c r="CQ27" i="3"/>
  <c r="CP27" i="3"/>
  <c r="CO27" i="3"/>
  <c r="CM27" i="3"/>
  <c r="CL27" i="3"/>
  <c r="CK27" i="3"/>
  <c r="CJ27" i="3"/>
  <c r="CH27" i="3"/>
  <c r="CG27" i="3"/>
  <c r="CF27" i="3"/>
  <c r="DB25" i="3"/>
  <c r="DA25" i="3"/>
  <c r="CZ25" i="3"/>
  <c r="CY25" i="3"/>
  <c r="CW25" i="3"/>
  <c r="CV25" i="3"/>
  <c r="CU25" i="3"/>
  <c r="CT25" i="3"/>
  <c r="CR25" i="3"/>
  <c r="CQ25" i="3"/>
  <c r="CP25" i="3"/>
  <c r="CO25" i="3"/>
  <c r="CM25" i="3"/>
  <c r="CL25" i="3"/>
  <c r="CK25" i="3"/>
  <c r="CJ25" i="3"/>
  <c r="ER19" i="3"/>
  <c r="EP19" i="3"/>
  <c r="EO19" i="3"/>
  <c r="EN19" i="3"/>
  <c r="EM19" i="3"/>
  <c r="EK19" i="3"/>
  <c r="EJ19" i="3"/>
  <c r="EI19" i="3"/>
  <c r="EH19" i="3"/>
  <c r="EF19" i="3"/>
  <c r="EE19" i="3"/>
  <c r="ED19" i="3"/>
  <c r="EC19" i="3"/>
  <c r="EA19" i="3"/>
  <c r="DZ19" i="3"/>
  <c r="DY19" i="3"/>
  <c r="DX19" i="3"/>
  <c r="DV19" i="3"/>
  <c r="DU19" i="3"/>
  <c r="DT19" i="3"/>
  <c r="DS19" i="3"/>
  <c r="DQ19" i="3"/>
  <c r="DP19" i="3"/>
  <c r="DO19" i="3"/>
  <c r="DN19" i="3"/>
  <c r="DL19" i="3"/>
  <c r="DK19" i="3"/>
  <c r="DJ19" i="3"/>
  <c r="DI19" i="3"/>
  <c r="DB19" i="3"/>
  <c r="DA19" i="3"/>
  <c r="CZ19" i="3"/>
  <c r="CY19" i="3"/>
  <c r="CW19" i="3"/>
  <c r="CV19" i="3"/>
  <c r="CU19" i="3"/>
  <c r="CT19" i="3"/>
  <c r="CR19" i="3"/>
  <c r="CQ19" i="3"/>
  <c r="CP19" i="3"/>
  <c r="CO19" i="3"/>
  <c r="CM19" i="3"/>
  <c r="CL19" i="3"/>
  <c r="CK19" i="3"/>
  <c r="CJ19" i="3"/>
  <c r="CH19" i="3"/>
  <c r="CG19" i="3"/>
  <c r="CF19" i="3"/>
  <c r="CE19" i="3"/>
  <c r="CC19" i="3"/>
  <c r="CB19" i="3"/>
  <c r="CA19" i="3"/>
  <c r="BZ19" i="3"/>
  <c r="BX19" i="3"/>
  <c r="BW19" i="3"/>
  <c r="BV19" i="3"/>
  <c r="BU19" i="3"/>
  <c r="BS19" i="3"/>
  <c r="BR19" i="3"/>
  <c r="BQ19" i="3"/>
  <c r="BP19" i="3"/>
  <c r="BN19" i="3"/>
  <c r="BM19" i="3"/>
  <c r="BL19" i="3"/>
  <c r="BK19" i="3"/>
  <c r="BI19" i="3"/>
  <c r="BH19" i="3"/>
  <c r="BG19" i="3"/>
  <c r="BF19" i="3"/>
  <c r="BD19" i="3"/>
  <c r="BC19" i="3"/>
  <c r="BB19" i="3"/>
  <c r="BA19" i="3"/>
  <c r="AY19" i="3"/>
  <c r="AX19" i="3"/>
  <c r="AW19" i="3"/>
  <c r="AV19" i="3"/>
  <c r="AT19" i="3"/>
  <c r="AS19" i="3"/>
  <c r="AR19" i="3"/>
  <c r="AQ19" i="3"/>
  <c r="AO19" i="3"/>
  <c r="AN19" i="3"/>
  <c r="AM19" i="3"/>
  <c r="AL19" i="3"/>
  <c r="AJ19" i="3"/>
  <c r="AI19" i="3"/>
  <c r="AH19" i="3"/>
  <c r="AG19" i="3"/>
  <c r="AE19" i="3"/>
  <c r="AD19" i="3"/>
  <c r="AC19" i="3"/>
  <c r="AB19" i="3"/>
  <c r="Z19" i="3"/>
  <c r="Y19" i="3"/>
  <c r="X19" i="3"/>
  <c r="W19" i="3"/>
  <c r="U19" i="3"/>
  <c r="T19" i="3"/>
  <c r="S19" i="3"/>
  <c r="R19" i="3"/>
  <c r="P19" i="3"/>
  <c r="O19" i="3"/>
  <c r="N19" i="3"/>
  <c r="M19" i="3"/>
  <c r="K19" i="3"/>
  <c r="J19" i="3"/>
  <c r="I19" i="3"/>
  <c r="H19" i="3"/>
  <c r="ER18" i="3"/>
  <c r="EP18" i="3"/>
  <c r="EO18" i="3"/>
  <c r="EN18" i="3"/>
  <c r="EM18" i="3"/>
  <c r="EK18" i="3"/>
  <c r="EJ18" i="3"/>
  <c r="EI18" i="3"/>
  <c r="EH18" i="3"/>
  <c r="EF18" i="3"/>
  <c r="EE18" i="3"/>
  <c r="ED18" i="3"/>
  <c r="EC18" i="3"/>
  <c r="EA18" i="3"/>
  <c r="DZ18" i="3"/>
  <c r="DY18" i="3"/>
  <c r="DX18" i="3"/>
  <c r="DV18" i="3"/>
  <c r="DU18" i="3"/>
  <c r="DT18" i="3"/>
  <c r="DS18" i="3"/>
  <c r="DQ18" i="3"/>
  <c r="DP18" i="3"/>
  <c r="DO18" i="3"/>
  <c r="DN18" i="3"/>
  <c r="DL18" i="3"/>
  <c r="DK18" i="3"/>
  <c r="DJ18" i="3"/>
  <c r="DI18" i="3"/>
  <c r="DC18" i="3"/>
  <c r="DB18" i="3"/>
  <c r="DA18" i="3"/>
  <c r="CZ18" i="3"/>
  <c r="CY18" i="3"/>
  <c r="CX18" i="3"/>
  <c r="CW18" i="3"/>
  <c r="CV18" i="3"/>
  <c r="CU18" i="3"/>
  <c r="CT18" i="3"/>
  <c r="CS18" i="3"/>
  <c r="CR18" i="3"/>
  <c r="CQ18" i="3"/>
  <c r="CP18" i="3"/>
  <c r="CO18" i="3"/>
  <c r="CN18" i="3"/>
  <c r="CM18" i="3"/>
  <c r="CL18" i="3"/>
  <c r="CK18" i="3"/>
  <c r="CJ18" i="3"/>
  <c r="CI18" i="3"/>
  <c r="CH18" i="3"/>
  <c r="CG18" i="3"/>
  <c r="CF18" i="3"/>
  <c r="CE18" i="3"/>
  <c r="CD18" i="3"/>
  <c r="CC18" i="3"/>
  <c r="CB18" i="3"/>
  <c r="CA18" i="3"/>
  <c r="BZ18" i="3"/>
  <c r="BY18" i="3"/>
  <c r="BX18" i="3"/>
  <c r="BW18" i="3"/>
  <c r="BV18" i="3"/>
  <c r="BU18" i="3"/>
  <c r="BT18" i="3"/>
  <c r="BS18" i="3"/>
  <c r="BR18" i="3"/>
  <c r="BQ18" i="3"/>
  <c r="BP18" i="3"/>
  <c r="BO18" i="3"/>
  <c r="BN18" i="3"/>
  <c r="BM18" i="3"/>
  <c r="BL18" i="3"/>
  <c r="BK18" i="3"/>
  <c r="BJ18" i="3"/>
  <c r="BI18" i="3"/>
  <c r="BH18" i="3"/>
  <c r="BG18" i="3"/>
  <c r="BF18" i="3"/>
  <c r="BE18" i="3"/>
  <c r="BD18" i="3"/>
  <c r="BC18" i="3"/>
  <c r="BB18" i="3"/>
  <c r="BA18" i="3"/>
  <c r="AZ18" i="3"/>
  <c r="AY18" i="3"/>
  <c r="AX18" i="3"/>
  <c r="AW18" i="3"/>
  <c r="AV18" i="3"/>
  <c r="AU18" i="3"/>
  <c r="AT18" i="3"/>
  <c r="AS18" i="3"/>
  <c r="AR18" i="3"/>
  <c r="AQ18" i="3"/>
  <c r="AP18" i="3"/>
  <c r="AO18" i="3"/>
  <c r="AN18" i="3"/>
  <c r="AM18" i="3"/>
  <c r="AL18" i="3"/>
  <c r="AK18" i="3"/>
  <c r="AJ18" i="3"/>
  <c r="AI18" i="3"/>
  <c r="AH18" i="3"/>
  <c r="AG18" i="3"/>
  <c r="AF18" i="3"/>
  <c r="AE18" i="3"/>
  <c r="AD18" i="3"/>
  <c r="AC18" i="3"/>
  <c r="AB18" i="3"/>
  <c r="AA18" i="3"/>
  <c r="Z18" i="3"/>
  <c r="Y18" i="3"/>
  <c r="X18" i="3"/>
  <c r="W18" i="3"/>
  <c r="V18" i="3"/>
  <c r="U18" i="3"/>
  <c r="T18" i="3"/>
  <c r="S18" i="3"/>
  <c r="R18" i="3"/>
  <c r="Q18" i="3"/>
  <c r="P18" i="3"/>
  <c r="O18" i="3"/>
  <c r="N18" i="3"/>
  <c r="M18" i="3"/>
  <c r="L18" i="3"/>
  <c r="K18" i="3"/>
  <c r="J18" i="3"/>
  <c r="I18" i="3"/>
  <c r="H18" i="3"/>
  <c r="ER12" i="3"/>
  <c r="EP12" i="3"/>
  <c r="EO12" i="3"/>
  <c r="EN12" i="3"/>
  <c r="EM12" i="3"/>
  <c r="EK12" i="3"/>
  <c r="EJ12" i="3"/>
  <c r="EI12" i="3"/>
  <c r="EH12" i="3"/>
  <c r="EF12" i="3"/>
  <c r="EE12" i="3"/>
  <c r="ED12" i="3"/>
  <c r="EC12" i="3"/>
  <c r="EA12" i="3"/>
  <c r="DZ12" i="3"/>
  <c r="DY12" i="3"/>
  <c r="DX12" i="3"/>
  <c r="DV12" i="3"/>
  <c r="DU12" i="3"/>
  <c r="DT12" i="3"/>
  <c r="DS12" i="3"/>
  <c r="DQ12" i="3"/>
  <c r="DP12" i="3"/>
  <c r="DO12" i="3"/>
  <c r="DN12" i="3"/>
  <c r="DL12" i="3"/>
  <c r="DK12" i="3"/>
  <c r="DJ12" i="3"/>
  <c r="DI12" i="3"/>
  <c r="DB12" i="3"/>
  <c r="DA12" i="3"/>
  <c r="CZ12" i="3"/>
  <c r="CY12" i="3"/>
  <c r="CW12" i="3"/>
  <c r="CV12" i="3"/>
  <c r="CU12" i="3"/>
  <c r="CT12" i="3"/>
  <c r="CR12" i="3"/>
  <c r="CQ12" i="3"/>
  <c r="CP12" i="3"/>
  <c r="CO12" i="3"/>
  <c r="CM12" i="3"/>
  <c r="CL12" i="3"/>
  <c r="CK12" i="3"/>
  <c r="CJ12" i="3"/>
  <c r="CH12" i="3"/>
  <c r="CG12" i="3"/>
  <c r="CF12" i="3"/>
  <c r="CE12" i="3"/>
  <c r="CC12" i="3"/>
  <c r="CB12" i="3"/>
  <c r="CA12" i="3"/>
  <c r="BZ12" i="3"/>
  <c r="BX12" i="3"/>
  <c r="BW12" i="3"/>
  <c r="BV12" i="3"/>
  <c r="BU12" i="3"/>
  <c r="BS12" i="3"/>
  <c r="BR12" i="3"/>
  <c r="BQ12" i="3"/>
  <c r="BP12" i="3"/>
  <c r="BN12" i="3"/>
  <c r="BM12" i="3"/>
  <c r="BL12" i="3"/>
  <c r="BK12" i="3"/>
  <c r="BI12" i="3"/>
  <c r="BH12" i="3"/>
  <c r="BG12" i="3"/>
  <c r="BF12" i="3"/>
  <c r="BD12" i="3"/>
  <c r="BC12" i="3"/>
  <c r="BB12" i="3"/>
  <c r="BA12" i="3"/>
  <c r="AY12" i="3"/>
  <c r="AX12" i="3"/>
  <c r="AW12" i="3"/>
  <c r="AV12" i="3"/>
  <c r="AT12" i="3"/>
  <c r="AS12" i="3"/>
  <c r="AR12" i="3"/>
  <c r="AQ12" i="3"/>
  <c r="AO12" i="3"/>
  <c r="AN12" i="3"/>
  <c r="AM12" i="3"/>
  <c r="AL12" i="3"/>
  <c r="AJ12" i="3"/>
  <c r="AI12" i="3"/>
  <c r="AH12" i="3"/>
  <c r="AG12" i="3"/>
  <c r="AE12" i="3"/>
  <c r="AD12" i="3"/>
  <c r="AC12" i="3"/>
  <c r="AB12" i="3"/>
  <c r="Z12" i="3"/>
  <c r="Y12" i="3"/>
  <c r="X12" i="3"/>
  <c r="W12" i="3"/>
  <c r="U12" i="3"/>
  <c r="T12" i="3"/>
  <c r="S12" i="3"/>
  <c r="R12" i="3"/>
  <c r="P12" i="3"/>
  <c r="O12" i="3"/>
  <c r="N12" i="3"/>
  <c r="M12" i="3"/>
  <c r="K12" i="3"/>
  <c r="J12" i="3"/>
  <c r="I12" i="3"/>
  <c r="H12" i="3"/>
  <c r="ER11" i="3"/>
  <c r="EP11" i="3"/>
  <c r="EO11" i="3"/>
  <c r="EN11" i="3"/>
  <c r="EM11" i="3"/>
  <c r="EK11" i="3"/>
  <c r="EJ11" i="3"/>
  <c r="EI11" i="3"/>
  <c r="EH11" i="3"/>
  <c r="EF11" i="3"/>
  <c r="EE11" i="3"/>
  <c r="ED11" i="3"/>
  <c r="EC11" i="3"/>
  <c r="EA11" i="3"/>
  <c r="DZ11" i="3"/>
  <c r="DY11" i="3"/>
  <c r="DX11" i="3"/>
  <c r="DV11" i="3"/>
  <c r="DU11" i="3"/>
  <c r="DT11" i="3"/>
  <c r="DS11" i="3"/>
  <c r="DQ11" i="3"/>
  <c r="DP11" i="3"/>
  <c r="DO11" i="3"/>
  <c r="DN11" i="3"/>
  <c r="DL11" i="3"/>
  <c r="DK11" i="3"/>
  <c r="DJ11" i="3"/>
  <c r="DI11" i="3"/>
  <c r="DC11" i="3"/>
  <c r="DB11" i="3"/>
  <c r="DA11" i="3"/>
  <c r="CZ11" i="3"/>
  <c r="CY11" i="3"/>
  <c r="CX11" i="3"/>
  <c r="CW11" i="3"/>
  <c r="CV11" i="3"/>
  <c r="CU11" i="3"/>
  <c r="CT11" i="3"/>
  <c r="CS11" i="3"/>
  <c r="CR11" i="3"/>
  <c r="CQ11" i="3"/>
  <c r="CP11" i="3"/>
  <c r="CO11" i="3"/>
  <c r="CN11" i="3"/>
  <c r="CM11" i="3"/>
  <c r="CL11" i="3"/>
  <c r="CK11" i="3"/>
  <c r="CJ11" i="3"/>
  <c r="CI11" i="3"/>
  <c r="CH11" i="3"/>
  <c r="CG11" i="3"/>
  <c r="CF11" i="3"/>
  <c r="CE11" i="3"/>
  <c r="CD11" i="3"/>
  <c r="CC11" i="3"/>
  <c r="CB11" i="3"/>
  <c r="CA11" i="3"/>
  <c r="BZ11" i="3"/>
  <c r="BY11" i="3"/>
  <c r="BX11" i="3"/>
  <c r="BW11" i="3"/>
  <c r="BV11" i="3"/>
  <c r="BU11" i="3"/>
  <c r="BT11" i="3"/>
  <c r="BS11" i="3"/>
  <c r="BR11" i="3"/>
  <c r="BQ11" i="3"/>
  <c r="BP11" i="3"/>
  <c r="BO11" i="3"/>
  <c r="BN11" i="3"/>
  <c r="BM11" i="3"/>
  <c r="BL11" i="3"/>
  <c r="BK11" i="3"/>
  <c r="BJ11" i="3"/>
  <c r="BI11" i="3"/>
  <c r="BH11" i="3"/>
  <c r="BG11" i="3"/>
  <c r="BF11" i="3"/>
  <c r="BE11" i="3"/>
  <c r="BD11" i="3"/>
  <c r="BC11" i="3"/>
  <c r="BB11" i="3"/>
  <c r="BA11" i="3"/>
  <c r="AZ11" i="3"/>
  <c r="AY11" i="3"/>
  <c r="AX11" i="3"/>
  <c r="AW11" i="3"/>
  <c r="AV11" i="3"/>
  <c r="AU11" i="3"/>
  <c r="AT11" i="3"/>
  <c r="AS11" i="3"/>
  <c r="AR11" i="3"/>
  <c r="AQ11" i="3"/>
  <c r="AP11" i="3"/>
  <c r="AO11" i="3"/>
  <c r="AN11" i="3"/>
  <c r="AM11" i="3"/>
  <c r="AL11" i="3"/>
  <c r="AK11" i="3"/>
  <c r="AJ11" i="3"/>
  <c r="AI11" i="3"/>
  <c r="AH11" i="3"/>
  <c r="AG11" i="3"/>
  <c r="AF11" i="3"/>
  <c r="AE11" i="3"/>
  <c r="AD11" i="3"/>
  <c r="AC11" i="3"/>
  <c r="AB11" i="3"/>
  <c r="AA11" i="3"/>
  <c r="Z11" i="3"/>
  <c r="Y11" i="3"/>
  <c r="X11" i="3"/>
  <c r="W11" i="3"/>
  <c r="V11" i="3"/>
  <c r="U11" i="3"/>
  <c r="T11" i="3"/>
  <c r="S11" i="3"/>
  <c r="R11" i="3"/>
  <c r="Q11" i="3"/>
  <c r="P11" i="3"/>
  <c r="O11" i="3"/>
  <c r="N11" i="3"/>
  <c r="M11" i="3"/>
  <c r="L11" i="3"/>
  <c r="K11" i="3"/>
  <c r="J11" i="3"/>
  <c r="I11" i="3"/>
  <c r="H11" i="3"/>
  <c r="C88" i="5"/>
  <c r="D88" i="5"/>
  <c r="E88" i="5"/>
  <c r="F88" i="5"/>
  <c r="G88" i="5"/>
  <c r="H88" i="5"/>
  <c r="I88" i="5"/>
  <c r="J88" i="5"/>
  <c r="K88" i="5"/>
  <c r="L88" i="5"/>
  <c r="M88" i="5"/>
  <c r="N88" i="5"/>
  <c r="O88" i="5"/>
  <c r="P88" i="5"/>
  <c r="Q88" i="5"/>
  <c r="R88" i="5"/>
  <c r="S88" i="5"/>
  <c r="T88" i="5"/>
  <c r="U88" i="5"/>
  <c r="V88" i="5"/>
  <c r="W88" i="5"/>
  <c r="X88" i="5"/>
  <c r="Y88" i="5"/>
  <c r="Z88" i="5"/>
  <c r="AA88" i="5"/>
  <c r="AB88" i="5"/>
  <c r="AC88" i="5"/>
  <c r="AD88" i="5"/>
  <c r="AE88" i="5"/>
  <c r="AF88" i="5"/>
  <c r="AG88" i="5"/>
  <c r="AH88" i="5"/>
  <c r="AI88" i="5"/>
  <c r="AJ88" i="5"/>
  <c r="AK88" i="5"/>
  <c r="AL88" i="5"/>
  <c r="AM88" i="5"/>
  <c r="AN88" i="5"/>
  <c r="AO88" i="5"/>
  <c r="AP88" i="5"/>
  <c r="AQ88" i="5"/>
  <c r="AR88" i="5"/>
  <c r="AS88" i="5"/>
  <c r="AT88" i="5"/>
  <c r="AU88" i="5"/>
  <c r="AV88" i="5"/>
  <c r="AW88" i="5"/>
  <c r="AX88" i="5"/>
  <c r="AY88" i="5"/>
  <c r="AZ88" i="5"/>
  <c r="BA88" i="5"/>
  <c r="BB88" i="5"/>
  <c r="BC88" i="5"/>
  <c r="BD88" i="5"/>
  <c r="BE88" i="5"/>
  <c r="BF88" i="5"/>
  <c r="BG88" i="5"/>
  <c r="BH88" i="5"/>
  <c r="BI88" i="5"/>
  <c r="BJ88" i="5"/>
  <c r="BK88" i="5"/>
  <c r="BL88" i="5"/>
  <c r="BM88" i="5"/>
  <c r="BN88" i="5"/>
  <c r="BO88" i="5"/>
  <c r="BP88" i="5"/>
  <c r="BQ88" i="5"/>
  <c r="BR88" i="5"/>
  <c r="BS88" i="5"/>
  <c r="BT88" i="5"/>
  <c r="BU88" i="5"/>
  <c r="BV88" i="5"/>
  <c r="BW88" i="5"/>
  <c r="BX88" i="5"/>
  <c r="BZ88" i="5"/>
  <c r="CA88" i="5"/>
  <c r="CB88" i="5"/>
  <c r="CC88" i="5"/>
  <c r="CE88" i="5"/>
  <c r="CF88" i="5"/>
  <c r="CG88" i="5"/>
  <c r="CH88" i="5"/>
  <c r="CJ88" i="5"/>
  <c r="CK88" i="5"/>
  <c r="CL88" i="5"/>
  <c r="CM88" i="5"/>
  <c r="CO88" i="5"/>
  <c r="CP88" i="5"/>
  <c r="CQ88" i="5"/>
  <c r="CR88" i="5"/>
  <c r="CT88" i="5"/>
  <c r="CU88" i="5"/>
  <c r="CV88" i="5"/>
  <c r="CW88" i="5"/>
  <c r="CY88" i="5"/>
  <c r="CZ88" i="5"/>
  <c r="DA88" i="5"/>
  <c r="DB88" i="5"/>
  <c r="DD88" i="5"/>
  <c r="DE88" i="5"/>
  <c r="DF88" i="5"/>
  <c r="DG88" i="5"/>
  <c r="DI88" i="5"/>
  <c r="DJ88" i="5"/>
  <c r="DK88" i="5"/>
  <c r="DL88" i="5"/>
  <c r="DN88" i="5"/>
  <c r="DO88" i="5"/>
  <c r="DP88" i="5"/>
  <c r="DQ88" i="5"/>
  <c r="DS88" i="5"/>
  <c r="DT88" i="5"/>
  <c r="DU88" i="5"/>
  <c r="DV88" i="5"/>
  <c r="DX88" i="5"/>
  <c r="DY88" i="5"/>
  <c r="DZ88" i="5"/>
  <c r="EA88" i="5"/>
  <c r="EC88" i="5"/>
  <c r="ED88" i="5"/>
  <c r="EE88" i="5"/>
  <c r="EF88" i="5"/>
  <c r="EH88" i="5"/>
  <c r="EI88" i="5"/>
  <c r="EJ88" i="5"/>
  <c r="EK88" i="5"/>
  <c r="EM88" i="5"/>
  <c r="EN88" i="5"/>
  <c r="EO88" i="5"/>
  <c r="EP88" i="5"/>
  <c r="ER88" i="5"/>
  <c r="FS30" i="5" l="1"/>
  <c r="ET25" i="8"/>
  <c r="EU25" i="8" s="1"/>
  <c r="FO42" i="5"/>
  <c r="FO19" i="5"/>
  <c r="FO38" i="5"/>
  <c r="FV41" i="5"/>
  <c r="FO21" i="5"/>
  <c r="FO29" i="5"/>
  <c r="FN20" i="5"/>
  <c r="FV35" i="8"/>
  <c r="GA35" i="8" s="1"/>
  <c r="GF35" i="8" s="1"/>
  <c r="FO35" i="8"/>
  <c r="FK35" i="8"/>
  <c r="FR35" i="8"/>
  <c r="FN35" i="8"/>
  <c r="EV25" i="8" l="1"/>
  <c r="EW25" i="8"/>
  <c r="EX25" i="8" s="1"/>
  <c r="EY25" i="8" s="1"/>
  <c r="EZ25" i="8" s="1"/>
  <c r="FA25" i="8" s="1"/>
  <c r="FT30" i="5"/>
  <c r="FP21" i="5"/>
  <c r="FQ21" i="5"/>
  <c r="FQ29" i="5"/>
  <c r="FP29" i="5"/>
  <c r="FW41" i="5"/>
  <c r="FO20" i="5"/>
  <c r="FQ38" i="5"/>
  <c r="FP38" i="5"/>
  <c r="FP19" i="5"/>
  <c r="FQ19" i="5"/>
  <c r="FP42" i="5"/>
  <c r="FQ42" i="5"/>
  <c r="FT35" i="8"/>
  <c r="FP35" i="8"/>
  <c r="FW35" i="8"/>
  <c r="GB35" i="8" s="1"/>
  <c r="GG35" i="8" s="1"/>
  <c r="FS35" i="8"/>
  <c r="FU30" i="5" l="1"/>
  <c r="FV30" i="5"/>
  <c r="FR19" i="5"/>
  <c r="FR21" i="5"/>
  <c r="FQ20" i="5"/>
  <c r="FP20" i="5"/>
  <c r="FR42" i="5"/>
  <c r="FR29" i="5"/>
  <c r="FQ59" i="5"/>
  <c r="FR223" i="3" s="1"/>
  <c r="FX41" i="5"/>
  <c r="FR38" i="5"/>
  <c r="FU35" i="8"/>
  <c r="FY35" i="8"/>
  <c r="GD35" i="8" s="1"/>
  <c r="GI35" i="8" s="1"/>
  <c r="FX35" i="8"/>
  <c r="GC35" i="8" s="1"/>
  <c r="GH35" i="8" s="1"/>
  <c r="GJ35" i="8" l="1"/>
  <c r="FW30" i="5"/>
  <c r="GE35" i="8"/>
  <c r="FS21" i="5"/>
  <c r="FS19" i="5"/>
  <c r="FR20" i="5"/>
  <c r="FS29" i="5"/>
  <c r="FR59" i="5"/>
  <c r="FS223" i="3" s="1"/>
  <c r="FS38" i="5"/>
  <c r="FY41" i="5"/>
  <c r="GA41" i="5" s="1"/>
  <c r="GB41" i="5" s="1"/>
  <c r="GC41" i="5" s="1"/>
  <c r="GD41" i="5" s="1"/>
  <c r="FS42" i="5"/>
  <c r="FZ35" i="8"/>
  <c r="GE41" i="5" l="1"/>
  <c r="GF41" i="5"/>
  <c r="GG41" i="5" s="1"/>
  <c r="GH41" i="5" s="1"/>
  <c r="GI41" i="5" s="1"/>
  <c r="GJ41" i="5" s="1"/>
  <c r="FX30" i="5"/>
  <c r="FT38" i="5"/>
  <c r="FT21" i="5"/>
  <c r="FT19" i="5"/>
  <c r="FT29" i="5"/>
  <c r="FS59" i="5"/>
  <c r="FT223" i="3" s="1"/>
  <c r="FT42" i="5"/>
  <c r="FS20" i="5"/>
  <c r="D39" i="7"/>
  <c r="E39" i="7"/>
  <c r="F39" i="7"/>
  <c r="G39" i="7"/>
  <c r="H39" i="7"/>
  <c r="I39" i="7"/>
  <c r="J39" i="7"/>
  <c r="K39" i="7"/>
  <c r="L39" i="7"/>
  <c r="M39" i="7"/>
  <c r="N39" i="7"/>
  <c r="O39" i="7"/>
  <c r="P39" i="7"/>
  <c r="Q39" i="7"/>
  <c r="R39" i="7"/>
  <c r="S39" i="7"/>
  <c r="T39" i="7"/>
  <c r="U39" i="7"/>
  <c r="V39" i="7"/>
  <c r="W39" i="7"/>
  <c r="X39" i="7"/>
  <c r="Y39" i="7"/>
  <c r="Z39" i="7"/>
  <c r="AA39" i="7"/>
  <c r="AB39" i="7"/>
  <c r="AC39" i="7"/>
  <c r="AD39" i="7"/>
  <c r="AE39" i="7"/>
  <c r="AF39" i="7"/>
  <c r="AG39" i="7"/>
  <c r="AH39" i="7"/>
  <c r="AI39" i="7"/>
  <c r="AJ39" i="7"/>
  <c r="AK39" i="7"/>
  <c r="AL39" i="7"/>
  <c r="AM39" i="7"/>
  <c r="AN39" i="7"/>
  <c r="AO39" i="7"/>
  <c r="AP39" i="7"/>
  <c r="AQ39" i="7"/>
  <c r="AR39" i="7"/>
  <c r="AS39" i="7"/>
  <c r="AT39" i="7"/>
  <c r="AU39" i="7"/>
  <c r="AV39" i="7"/>
  <c r="AW39" i="7"/>
  <c r="AX39" i="7"/>
  <c r="AY39" i="7"/>
  <c r="AZ39" i="7"/>
  <c r="BA39" i="7"/>
  <c r="BB39" i="7"/>
  <c r="BC39" i="7"/>
  <c r="BD39" i="7"/>
  <c r="BE39" i="7"/>
  <c r="BF39" i="7"/>
  <c r="BG39" i="7"/>
  <c r="BH39" i="7"/>
  <c r="BI39" i="7"/>
  <c r="BJ39" i="7"/>
  <c r="BK39" i="7"/>
  <c r="BL39" i="7"/>
  <c r="BM39" i="7"/>
  <c r="BN39" i="7"/>
  <c r="BO39" i="7"/>
  <c r="BP39" i="7"/>
  <c r="BQ39" i="7"/>
  <c r="BR39" i="7"/>
  <c r="BS39" i="7"/>
  <c r="BT39" i="7"/>
  <c r="BU39" i="7"/>
  <c r="BV39" i="7"/>
  <c r="BW39" i="7"/>
  <c r="BX39" i="7"/>
  <c r="BZ39" i="7"/>
  <c r="CA39" i="7"/>
  <c r="CB39" i="7"/>
  <c r="CC39" i="7"/>
  <c r="CE39" i="7"/>
  <c r="CF39" i="7"/>
  <c r="CG39" i="7"/>
  <c r="CH39" i="7"/>
  <c r="CJ39" i="7"/>
  <c r="CK39" i="7"/>
  <c r="CL39" i="7"/>
  <c r="CM39" i="7"/>
  <c r="CO39" i="7"/>
  <c r="CP39" i="7"/>
  <c r="CQ39" i="7"/>
  <c r="CR39" i="7"/>
  <c r="CT39" i="7"/>
  <c r="CU39" i="7"/>
  <c r="CV39" i="7"/>
  <c r="CW39" i="7"/>
  <c r="CY39" i="7"/>
  <c r="CZ39" i="7"/>
  <c r="DA39" i="7"/>
  <c r="DB39" i="7"/>
  <c r="DD39" i="7"/>
  <c r="DE39" i="7"/>
  <c r="DF39" i="7"/>
  <c r="DG39" i="7"/>
  <c r="DI39" i="7"/>
  <c r="DJ39" i="7"/>
  <c r="DK39" i="7"/>
  <c r="DL39" i="7"/>
  <c r="DN39" i="7"/>
  <c r="DO39" i="7"/>
  <c r="DP39" i="7"/>
  <c r="DQ39" i="7"/>
  <c r="DS39" i="7"/>
  <c r="DT39" i="7"/>
  <c r="DU39" i="7"/>
  <c r="DV39" i="7"/>
  <c r="DX39" i="7"/>
  <c r="DY39" i="7"/>
  <c r="DZ39" i="7"/>
  <c r="EA39" i="7"/>
  <c r="EC39" i="7"/>
  <c r="ED39" i="7"/>
  <c r="EE39" i="7"/>
  <c r="EF39" i="7"/>
  <c r="EH39" i="7"/>
  <c r="EI39" i="7"/>
  <c r="EJ39" i="7"/>
  <c r="EK39" i="7"/>
  <c r="EM39" i="7"/>
  <c r="EN39" i="7"/>
  <c r="EO39" i="7"/>
  <c r="EP39" i="7"/>
  <c r="ER39" i="7"/>
  <c r="C39" i="7"/>
  <c r="FY30" i="5" l="1"/>
  <c r="FV21" i="5"/>
  <c r="FU21" i="5"/>
  <c r="FV29" i="5"/>
  <c r="FU29" i="5"/>
  <c r="FT59" i="5"/>
  <c r="FV223" i="3" s="1"/>
  <c r="FU19" i="5"/>
  <c r="FV19" i="5"/>
  <c r="FT20" i="5"/>
  <c r="FU42" i="5"/>
  <c r="FV42" i="5"/>
  <c r="FU38" i="5"/>
  <c r="FV38" i="5"/>
  <c r="D23" i="7"/>
  <c r="E23" i="7"/>
  <c r="F23" i="7"/>
  <c r="H23" i="7"/>
  <c r="I23" i="7"/>
  <c r="J23" i="7"/>
  <c r="K23" i="7"/>
  <c r="M23" i="7"/>
  <c r="N23" i="7"/>
  <c r="O23" i="7"/>
  <c r="P23" i="7"/>
  <c r="R23" i="7"/>
  <c r="S23" i="7"/>
  <c r="T23" i="7"/>
  <c r="U23" i="7"/>
  <c r="W23" i="7"/>
  <c r="X23" i="7"/>
  <c r="Y23" i="7"/>
  <c r="Z23" i="7"/>
  <c r="AB23" i="7"/>
  <c r="AC23" i="7"/>
  <c r="AD23" i="7"/>
  <c r="AE23" i="7"/>
  <c r="AG23" i="7"/>
  <c r="AH23" i="7"/>
  <c r="AI23" i="7"/>
  <c r="AJ23" i="7"/>
  <c r="AL23" i="7"/>
  <c r="AM23" i="7"/>
  <c r="AN23" i="7"/>
  <c r="AO23" i="7"/>
  <c r="AQ23" i="7"/>
  <c r="AR23" i="7"/>
  <c r="AS23" i="7"/>
  <c r="AT23" i="7"/>
  <c r="AV23" i="7"/>
  <c r="AW23" i="7"/>
  <c r="AX23" i="7"/>
  <c r="AY23" i="7"/>
  <c r="BA23" i="7"/>
  <c r="BB23" i="7"/>
  <c r="BC23" i="7"/>
  <c r="BD23" i="7"/>
  <c r="BF23" i="7"/>
  <c r="BG23" i="7"/>
  <c r="BH23" i="7"/>
  <c r="BI23" i="7"/>
  <c r="BK23" i="7"/>
  <c r="BL23" i="7"/>
  <c r="BM23" i="7"/>
  <c r="BN23" i="7"/>
  <c r="BP23" i="7"/>
  <c r="BQ23" i="7"/>
  <c r="BR23" i="7"/>
  <c r="BS23" i="7"/>
  <c r="BU23" i="7"/>
  <c r="BV23" i="7"/>
  <c r="BW23" i="7"/>
  <c r="BX23" i="7"/>
  <c r="BZ23" i="7"/>
  <c r="CA23" i="7"/>
  <c r="CB23" i="7"/>
  <c r="CC23" i="7"/>
  <c r="CE23" i="7"/>
  <c r="CF23" i="7"/>
  <c r="CG23" i="7"/>
  <c r="CH23" i="7"/>
  <c r="CJ23" i="7"/>
  <c r="CK23" i="7"/>
  <c r="CL23" i="7"/>
  <c r="CM23" i="7"/>
  <c r="CO23" i="7"/>
  <c r="CP23" i="7"/>
  <c r="CQ23" i="7"/>
  <c r="CR23" i="7"/>
  <c r="CT23" i="7"/>
  <c r="CU23" i="7"/>
  <c r="CV23" i="7"/>
  <c r="CW23" i="7"/>
  <c r="CY23" i="7"/>
  <c r="CZ23" i="7"/>
  <c r="DA23" i="7"/>
  <c r="DB23" i="7"/>
  <c r="DD23" i="7"/>
  <c r="DE23" i="7"/>
  <c r="DF23" i="7"/>
  <c r="DG23" i="7"/>
  <c r="DI23" i="7"/>
  <c r="DJ23" i="7"/>
  <c r="DK23" i="7"/>
  <c r="DL23" i="7"/>
  <c r="DN23" i="7"/>
  <c r="DO23" i="7"/>
  <c r="DP23" i="7"/>
  <c r="DQ23" i="7"/>
  <c r="DS23" i="7"/>
  <c r="DT23" i="7"/>
  <c r="DU23" i="7"/>
  <c r="DV23" i="7"/>
  <c r="DX23" i="7"/>
  <c r="DY23" i="7"/>
  <c r="DZ23" i="7"/>
  <c r="EA23" i="7"/>
  <c r="EC23" i="7"/>
  <c r="ED23" i="7"/>
  <c r="EE23" i="7"/>
  <c r="EF23" i="7"/>
  <c r="EH23" i="7"/>
  <c r="EI23" i="7"/>
  <c r="EJ23" i="7"/>
  <c r="EK23" i="7"/>
  <c r="EM23" i="7"/>
  <c r="EN23" i="7"/>
  <c r="EO23" i="7"/>
  <c r="EP23" i="7"/>
  <c r="ER23" i="7"/>
  <c r="C23" i="7"/>
  <c r="C27" i="7" s="1"/>
  <c r="D15" i="7"/>
  <c r="E15" i="7"/>
  <c r="F15" i="7"/>
  <c r="H15" i="7"/>
  <c r="I15" i="7"/>
  <c r="J15" i="7"/>
  <c r="K15" i="7"/>
  <c r="M15" i="7"/>
  <c r="N15" i="7"/>
  <c r="O15" i="7"/>
  <c r="P15" i="7"/>
  <c r="R15" i="7"/>
  <c r="S15" i="7"/>
  <c r="T15" i="7"/>
  <c r="U15" i="7"/>
  <c r="W15" i="7"/>
  <c r="X15" i="7"/>
  <c r="Y15" i="7"/>
  <c r="Z15" i="7"/>
  <c r="AB15" i="7"/>
  <c r="AC15" i="7"/>
  <c r="AD15" i="7"/>
  <c r="AE15" i="7"/>
  <c r="AG15" i="7"/>
  <c r="AH15" i="7"/>
  <c r="AI15" i="7"/>
  <c r="AJ15" i="7"/>
  <c r="AL15" i="7"/>
  <c r="AM15" i="7"/>
  <c r="AN15" i="7"/>
  <c r="AO15" i="7"/>
  <c r="AQ15" i="7"/>
  <c r="AR15" i="7"/>
  <c r="AS15" i="7"/>
  <c r="AT15" i="7"/>
  <c r="AV15" i="7"/>
  <c r="AW15" i="7"/>
  <c r="AX15" i="7"/>
  <c r="AY15" i="7"/>
  <c r="BA15" i="7"/>
  <c r="BB15" i="7"/>
  <c r="BC15" i="7"/>
  <c r="BD15" i="7"/>
  <c r="BF15" i="7"/>
  <c r="BG15" i="7"/>
  <c r="BH15" i="7"/>
  <c r="BI15" i="7"/>
  <c r="BK15" i="7"/>
  <c r="BL15" i="7"/>
  <c r="BM15" i="7"/>
  <c r="BN15" i="7"/>
  <c r="BP15" i="7"/>
  <c r="BQ15" i="7"/>
  <c r="BR15" i="7"/>
  <c r="BS15" i="7"/>
  <c r="BU15" i="7"/>
  <c r="BV15" i="7"/>
  <c r="BW15" i="7"/>
  <c r="BX15" i="7"/>
  <c r="BZ15" i="7"/>
  <c r="CA15" i="7"/>
  <c r="CB15" i="7"/>
  <c r="CC15" i="7"/>
  <c r="CE15" i="7"/>
  <c r="CF15" i="7"/>
  <c r="CG15" i="7"/>
  <c r="CH15" i="7"/>
  <c r="CJ15" i="7"/>
  <c r="CK15" i="7"/>
  <c r="CL15" i="7"/>
  <c r="CM15" i="7"/>
  <c r="CO15" i="7"/>
  <c r="CP15" i="7"/>
  <c r="CQ15" i="7"/>
  <c r="CR15" i="7"/>
  <c r="CT15" i="7"/>
  <c r="CU15" i="7"/>
  <c r="CV15" i="7"/>
  <c r="CW15" i="7"/>
  <c r="CY15" i="7"/>
  <c r="CZ15" i="7"/>
  <c r="DA15" i="7"/>
  <c r="DB15" i="7"/>
  <c r="DD15" i="7"/>
  <c r="DE15" i="7"/>
  <c r="DF15" i="7"/>
  <c r="DG15" i="7"/>
  <c r="DI15" i="7"/>
  <c r="DJ15" i="7"/>
  <c r="DK15" i="7"/>
  <c r="DL15" i="7"/>
  <c r="DN15" i="7"/>
  <c r="DO15" i="7"/>
  <c r="DP15" i="7"/>
  <c r="DQ15" i="7"/>
  <c r="DS15" i="7"/>
  <c r="DT15" i="7"/>
  <c r="DU15" i="7"/>
  <c r="DV15" i="7"/>
  <c r="DX15" i="7"/>
  <c r="DY15" i="7"/>
  <c r="DZ15" i="7"/>
  <c r="EA15" i="7"/>
  <c r="EC15" i="7"/>
  <c r="ED15" i="7"/>
  <c r="EE15" i="7"/>
  <c r="EF15" i="7"/>
  <c r="EH15" i="7"/>
  <c r="EI15" i="7"/>
  <c r="EJ15" i="7"/>
  <c r="EK15" i="7"/>
  <c r="EM15" i="7"/>
  <c r="EN15" i="7"/>
  <c r="EO15" i="7"/>
  <c r="EP15" i="7"/>
  <c r="ER15" i="7"/>
  <c r="C15" i="7"/>
  <c r="C19" i="7" s="1"/>
  <c r="CE10" i="7"/>
  <c r="CE40" i="7" s="1"/>
  <c r="CF10" i="7"/>
  <c r="CF40" i="7" s="1"/>
  <c r="CG10" i="7"/>
  <c r="CG40" i="7" s="1"/>
  <c r="CH10" i="7"/>
  <c r="CH40" i="7" s="1"/>
  <c r="CJ10" i="7"/>
  <c r="CJ40" i="7" s="1"/>
  <c r="CK10" i="7"/>
  <c r="CK40" i="7" s="1"/>
  <c r="CL10" i="7"/>
  <c r="CL40" i="7" s="1"/>
  <c r="CM10" i="7"/>
  <c r="CM40" i="7" s="1"/>
  <c r="CO10" i="7"/>
  <c r="CO40" i="7" s="1"/>
  <c r="CP10" i="7"/>
  <c r="CP40" i="7" s="1"/>
  <c r="CQ10" i="7"/>
  <c r="CQ40" i="7" s="1"/>
  <c r="CR10" i="7"/>
  <c r="CR40" i="7" s="1"/>
  <c r="CT10" i="7"/>
  <c r="CT40" i="7" s="1"/>
  <c r="CU10" i="7"/>
  <c r="CU40" i="7" s="1"/>
  <c r="CV10" i="7"/>
  <c r="CV40" i="7" s="1"/>
  <c r="CW10" i="7"/>
  <c r="CW40" i="7" s="1"/>
  <c r="CY10" i="7"/>
  <c r="CY40" i="7" s="1"/>
  <c r="CZ10" i="7"/>
  <c r="CZ40" i="7" s="1"/>
  <c r="DA10" i="7"/>
  <c r="DA40" i="7" s="1"/>
  <c r="DB10" i="7"/>
  <c r="DB40" i="7" s="1"/>
  <c r="FZ30" i="5" l="1"/>
  <c r="GA30" i="5"/>
  <c r="EW26" i="7"/>
  <c r="EW24" i="7"/>
  <c r="EW16" i="7"/>
  <c r="EW18" i="7"/>
  <c r="EU18" i="7"/>
  <c r="EU16" i="7"/>
  <c r="EU26" i="7"/>
  <c r="EU24" i="7"/>
  <c r="ET24" i="7"/>
  <c r="ET26" i="7"/>
  <c r="ET18" i="7"/>
  <c r="ET16" i="7"/>
  <c r="FB25" i="8"/>
  <c r="EP19" i="7"/>
  <c r="EP48" i="7" s="1"/>
  <c r="EI19" i="7"/>
  <c r="EI48" i="7" s="1"/>
  <c r="EA19" i="7"/>
  <c r="EA48" i="7" s="1"/>
  <c r="DT19" i="7"/>
  <c r="DT48" i="7" s="1"/>
  <c r="DE19" i="7"/>
  <c r="DE48" i="7" s="1"/>
  <c r="CW19" i="7"/>
  <c r="CW48" i="7" s="1"/>
  <c r="CP19" i="7"/>
  <c r="CP48" i="7" s="1"/>
  <c r="CH19" i="7"/>
  <c r="CH48" i="7" s="1"/>
  <c r="CA19" i="7"/>
  <c r="CA48" i="7" s="1"/>
  <c r="BS19" i="7"/>
  <c r="BS48" i="7" s="1"/>
  <c r="BL19" i="7"/>
  <c r="BL48" i="7" s="1"/>
  <c r="AW19" i="7"/>
  <c r="AW48" i="7" s="1"/>
  <c r="AO19" i="7"/>
  <c r="AO48" i="7" s="1"/>
  <c r="S19" i="7"/>
  <c r="S48" i="7" s="1"/>
  <c r="EM27" i="7"/>
  <c r="EM53" i="7" s="1"/>
  <c r="DX27" i="7"/>
  <c r="DX53" i="7" s="1"/>
  <c r="DP27" i="7"/>
  <c r="DP53" i="7" s="1"/>
  <c r="DA27" i="7"/>
  <c r="DA53" i="7" s="1"/>
  <c r="CT27" i="7"/>
  <c r="CT53" i="7" s="1"/>
  <c r="CL27" i="7"/>
  <c r="CL53" i="7" s="1"/>
  <c r="CE27" i="7"/>
  <c r="CE53" i="7" s="1"/>
  <c r="BW27" i="7"/>
  <c r="BW53" i="7" s="1"/>
  <c r="BP27" i="7"/>
  <c r="BP53" i="7" s="1"/>
  <c r="BH27" i="7"/>
  <c r="BH53" i="7" s="1"/>
  <c r="AL27" i="7"/>
  <c r="AL53" i="7" s="1"/>
  <c r="AD27" i="7"/>
  <c r="AD53" i="7" s="1"/>
  <c r="W27" i="7"/>
  <c r="W53" i="7" s="1"/>
  <c r="H27" i="7"/>
  <c r="H53" i="7" s="1"/>
  <c r="FW29" i="5"/>
  <c r="FV59" i="5"/>
  <c r="FW223" i="3" s="1"/>
  <c r="FW38" i="5"/>
  <c r="FV20" i="5"/>
  <c r="FU20" i="5"/>
  <c r="FW42" i="5"/>
  <c r="FW21" i="5"/>
  <c r="FW19" i="5"/>
  <c r="FU59" i="5"/>
  <c r="FU223" i="3" s="1"/>
  <c r="DL19" i="7"/>
  <c r="DL48" i="7" s="1"/>
  <c r="DI27" i="7"/>
  <c r="DI53" i="7" s="1"/>
  <c r="K19" i="7"/>
  <c r="K48" i="7" s="1"/>
  <c r="Z19" i="7"/>
  <c r="Z48" i="7" s="1"/>
  <c r="AS27" i="7"/>
  <c r="AS53" i="7" s="1"/>
  <c r="BD19" i="7"/>
  <c r="BD48" i="7" s="1"/>
  <c r="BA27" i="7"/>
  <c r="BA53" i="7" s="1"/>
  <c r="ES16" i="7"/>
  <c r="ES18" i="7"/>
  <c r="ES27" i="7"/>
  <c r="ES53" i="7" s="1"/>
  <c r="ES25" i="7"/>
  <c r="ES19" i="7"/>
  <c r="ES48" i="7" s="1"/>
  <c r="ES17" i="7"/>
  <c r="ES26" i="7"/>
  <c r="ES24" i="7"/>
  <c r="EO19" i="7"/>
  <c r="EO48" i="7" s="1"/>
  <c r="EH19" i="7"/>
  <c r="EH48" i="7" s="1"/>
  <c r="DZ19" i="7"/>
  <c r="DZ48" i="7" s="1"/>
  <c r="DS19" i="7"/>
  <c r="DS48" i="7" s="1"/>
  <c r="DK19" i="7"/>
  <c r="DK48" i="7" s="1"/>
  <c r="DD19" i="7"/>
  <c r="DD48" i="7" s="1"/>
  <c r="CV19" i="7"/>
  <c r="CV48" i="7" s="1"/>
  <c r="CO19" i="7"/>
  <c r="CO48" i="7" s="1"/>
  <c r="CG19" i="7"/>
  <c r="CG48" i="7" s="1"/>
  <c r="BZ19" i="7"/>
  <c r="BZ48" i="7" s="1"/>
  <c r="BR19" i="7"/>
  <c r="BR48" i="7" s="1"/>
  <c r="BK19" i="7"/>
  <c r="BK48" i="7" s="1"/>
  <c r="BC19" i="7"/>
  <c r="BC48" i="7" s="1"/>
  <c r="AV19" i="7"/>
  <c r="AV48" i="7" s="1"/>
  <c r="AN19" i="7"/>
  <c r="AN48" i="7" s="1"/>
  <c r="AG19" i="7"/>
  <c r="AG48" i="7" s="1"/>
  <c r="Y19" i="7"/>
  <c r="Y48" i="7" s="1"/>
  <c r="R19" i="7"/>
  <c r="R48" i="7" s="1"/>
  <c r="J19" i="7"/>
  <c r="J48" i="7" s="1"/>
  <c r="EK27" i="7"/>
  <c r="EK53" i="7" s="1"/>
  <c r="ED27" i="7"/>
  <c r="ED53" i="7" s="1"/>
  <c r="DV27" i="7"/>
  <c r="DV53" i="7" s="1"/>
  <c r="DO27" i="7"/>
  <c r="DO53" i="7" s="1"/>
  <c r="DG27" i="7"/>
  <c r="DG53" i="7" s="1"/>
  <c r="CZ27" i="7"/>
  <c r="CZ53" i="7" s="1"/>
  <c r="CR27" i="7"/>
  <c r="CR53" i="7" s="1"/>
  <c r="CK27" i="7"/>
  <c r="CK53" i="7" s="1"/>
  <c r="CC27" i="7"/>
  <c r="CC53" i="7" s="1"/>
  <c r="BV27" i="7"/>
  <c r="BV53" i="7" s="1"/>
  <c r="BN27" i="7"/>
  <c r="BN53" i="7" s="1"/>
  <c r="BG27" i="7"/>
  <c r="BG53" i="7" s="1"/>
  <c r="AY27" i="7"/>
  <c r="AY53" i="7" s="1"/>
  <c r="AR27" i="7"/>
  <c r="AR53" i="7" s="1"/>
  <c r="AJ27" i="7"/>
  <c r="AJ53" i="7" s="1"/>
  <c r="AC27" i="7"/>
  <c r="AC53" i="7" s="1"/>
  <c r="U27" i="7"/>
  <c r="U53" i="7" s="1"/>
  <c r="F27" i="7"/>
  <c r="EM19" i="7"/>
  <c r="EM48" i="7" s="1"/>
  <c r="EE19" i="7"/>
  <c r="EE48" i="7" s="1"/>
  <c r="DX19" i="7"/>
  <c r="DX48" i="7" s="1"/>
  <c r="DP19" i="7"/>
  <c r="DP48" i="7" s="1"/>
  <c r="DI19" i="7"/>
  <c r="DI48" i="7" s="1"/>
  <c r="DA19" i="7"/>
  <c r="DA48" i="7" s="1"/>
  <c r="CT19" i="7"/>
  <c r="CT48" i="7" s="1"/>
  <c r="CL19" i="7"/>
  <c r="CL48" i="7" s="1"/>
  <c r="CE19" i="7"/>
  <c r="CE48" i="7" s="1"/>
  <c r="BW19" i="7"/>
  <c r="BW48" i="7" s="1"/>
  <c r="BP19" i="7"/>
  <c r="BP48" i="7" s="1"/>
  <c r="BH19" i="7"/>
  <c r="BH48" i="7" s="1"/>
  <c r="BA19" i="7"/>
  <c r="BA48" i="7" s="1"/>
  <c r="AS19" i="7"/>
  <c r="AS48" i="7" s="1"/>
  <c r="AL19" i="7"/>
  <c r="AL48" i="7" s="1"/>
  <c r="AD19" i="7"/>
  <c r="AD48" i="7" s="1"/>
  <c r="W19" i="7"/>
  <c r="W48" i="7" s="1"/>
  <c r="O19" i="7"/>
  <c r="O48" i="7" s="1"/>
  <c r="H19" i="7"/>
  <c r="H48" i="7" s="1"/>
  <c r="EP27" i="7"/>
  <c r="EP53" i="7" s="1"/>
  <c r="EI27" i="7"/>
  <c r="EI53" i="7" s="1"/>
  <c r="EA27" i="7"/>
  <c r="EA53" i="7" s="1"/>
  <c r="DT27" i="7"/>
  <c r="DT53" i="7" s="1"/>
  <c r="DL27" i="7"/>
  <c r="DL53" i="7" s="1"/>
  <c r="DE27" i="7"/>
  <c r="DE53" i="7" s="1"/>
  <c r="CW27" i="7"/>
  <c r="CW53" i="7" s="1"/>
  <c r="CP27" i="7"/>
  <c r="CP53" i="7" s="1"/>
  <c r="CH27" i="7"/>
  <c r="CH53" i="7" s="1"/>
  <c r="CA27" i="7"/>
  <c r="CA53" i="7" s="1"/>
  <c r="BS27" i="7"/>
  <c r="BS53" i="7" s="1"/>
  <c r="BL27" i="7"/>
  <c r="BL53" i="7" s="1"/>
  <c r="BD27" i="7"/>
  <c r="BD53" i="7" s="1"/>
  <c r="AW27" i="7"/>
  <c r="AW53" i="7" s="1"/>
  <c r="AO27" i="7"/>
  <c r="AO53" i="7" s="1"/>
  <c r="AH27" i="7"/>
  <c r="AH53" i="7" s="1"/>
  <c r="Z27" i="7"/>
  <c r="Z53" i="7" s="1"/>
  <c r="S27" i="7"/>
  <c r="S53" i="7" s="1"/>
  <c r="K27" i="7"/>
  <c r="K53" i="7" s="1"/>
  <c r="AH19" i="7"/>
  <c r="AH48" i="7" s="1"/>
  <c r="EE27" i="7"/>
  <c r="EE53" i="7" s="1"/>
  <c r="O27" i="7"/>
  <c r="O53" i="7" s="1"/>
  <c r="D27" i="7"/>
  <c r="E19" i="7"/>
  <c r="EN27" i="7"/>
  <c r="EN53" i="7" s="1"/>
  <c r="EF27" i="7"/>
  <c r="EF53" i="7" s="1"/>
  <c r="DY27" i="7"/>
  <c r="DY53" i="7" s="1"/>
  <c r="DQ27" i="7"/>
  <c r="DQ53" i="7" s="1"/>
  <c r="DJ27" i="7"/>
  <c r="DJ53" i="7" s="1"/>
  <c r="DB27" i="7"/>
  <c r="DB53" i="7" s="1"/>
  <c r="CU27" i="7"/>
  <c r="CU53" i="7" s="1"/>
  <c r="CM27" i="7"/>
  <c r="CM53" i="7" s="1"/>
  <c r="CF27" i="7"/>
  <c r="CF53" i="7" s="1"/>
  <c r="BX27" i="7"/>
  <c r="BX53" i="7" s="1"/>
  <c r="BQ27" i="7"/>
  <c r="BQ53" i="7" s="1"/>
  <c r="BI27" i="7"/>
  <c r="BI53" i="7" s="1"/>
  <c r="BB27" i="7"/>
  <c r="BB53" i="7" s="1"/>
  <c r="AT27" i="7"/>
  <c r="AT53" i="7" s="1"/>
  <c r="AM27" i="7"/>
  <c r="AM53" i="7" s="1"/>
  <c r="AE27" i="7"/>
  <c r="AE53" i="7" s="1"/>
  <c r="X27" i="7"/>
  <c r="X53" i="7" s="1"/>
  <c r="P27" i="7"/>
  <c r="P53" i="7" s="1"/>
  <c r="I27" i="7"/>
  <c r="I53" i="7" s="1"/>
  <c r="EK19" i="7"/>
  <c r="EK48" i="7" s="1"/>
  <c r="ED19" i="7"/>
  <c r="ED48" i="7" s="1"/>
  <c r="DV19" i="7"/>
  <c r="DV48" i="7" s="1"/>
  <c r="DO19" i="7"/>
  <c r="DO48" i="7" s="1"/>
  <c r="DG19" i="7"/>
  <c r="DG48" i="7" s="1"/>
  <c r="CZ19" i="7"/>
  <c r="CZ48" i="7" s="1"/>
  <c r="CR19" i="7"/>
  <c r="CR48" i="7" s="1"/>
  <c r="CK19" i="7"/>
  <c r="CK48" i="7" s="1"/>
  <c r="CC19" i="7"/>
  <c r="CC48" i="7" s="1"/>
  <c r="BV19" i="7"/>
  <c r="BV48" i="7" s="1"/>
  <c r="BN19" i="7"/>
  <c r="BN48" i="7" s="1"/>
  <c r="BG19" i="7"/>
  <c r="BG48" i="7" s="1"/>
  <c r="AY19" i="7"/>
  <c r="AY48" i="7" s="1"/>
  <c r="AR19" i="7"/>
  <c r="AR48" i="7" s="1"/>
  <c r="AJ19" i="7"/>
  <c r="AJ48" i="7" s="1"/>
  <c r="AC19" i="7"/>
  <c r="AC48" i="7" s="1"/>
  <c r="U19" i="7"/>
  <c r="U48" i="7" s="1"/>
  <c r="N19" i="7"/>
  <c r="N48" i="7" s="1"/>
  <c r="F19" i="7"/>
  <c r="EO27" i="7"/>
  <c r="EO53" i="7" s="1"/>
  <c r="EH27" i="7"/>
  <c r="EH53" i="7" s="1"/>
  <c r="DZ27" i="7"/>
  <c r="DZ53" i="7" s="1"/>
  <c r="DS27" i="7"/>
  <c r="DS53" i="7" s="1"/>
  <c r="DK27" i="7"/>
  <c r="DK53" i="7" s="1"/>
  <c r="DD27" i="7"/>
  <c r="DD53" i="7" s="1"/>
  <c r="CV27" i="7"/>
  <c r="CV53" i="7" s="1"/>
  <c r="CO27" i="7"/>
  <c r="CO53" i="7" s="1"/>
  <c r="CG27" i="7"/>
  <c r="CG53" i="7" s="1"/>
  <c r="BZ27" i="7"/>
  <c r="BZ53" i="7" s="1"/>
  <c r="BR27" i="7"/>
  <c r="BR53" i="7" s="1"/>
  <c r="BK27" i="7"/>
  <c r="BK53" i="7" s="1"/>
  <c r="BC27" i="7"/>
  <c r="BC53" i="7" s="1"/>
  <c r="AV27" i="7"/>
  <c r="AV53" i="7" s="1"/>
  <c r="AN27" i="7"/>
  <c r="AN53" i="7" s="1"/>
  <c r="AG27" i="7"/>
  <c r="AG53" i="7" s="1"/>
  <c r="Y27" i="7"/>
  <c r="Y53" i="7" s="1"/>
  <c r="R27" i="7"/>
  <c r="R53" i="7" s="1"/>
  <c r="J27" i="7"/>
  <c r="J53" i="7" s="1"/>
  <c r="ER19" i="7"/>
  <c r="ER48" i="7" s="1"/>
  <c r="EJ19" i="7"/>
  <c r="EJ48" i="7" s="1"/>
  <c r="EC19" i="7"/>
  <c r="EC48" i="7" s="1"/>
  <c r="DU19" i="7"/>
  <c r="DU48" i="7" s="1"/>
  <c r="DN19" i="7"/>
  <c r="DN48" i="7" s="1"/>
  <c r="DF19" i="7"/>
  <c r="DF48" i="7" s="1"/>
  <c r="CY19" i="7"/>
  <c r="CY48" i="7" s="1"/>
  <c r="CQ19" i="7"/>
  <c r="CQ48" i="7" s="1"/>
  <c r="CJ19" i="7"/>
  <c r="CJ48" i="7" s="1"/>
  <c r="CB19" i="7"/>
  <c r="CB48" i="7" s="1"/>
  <c r="BU19" i="7"/>
  <c r="BU48" i="7" s="1"/>
  <c r="BM19" i="7"/>
  <c r="BM48" i="7" s="1"/>
  <c r="BF19" i="7"/>
  <c r="BF48" i="7" s="1"/>
  <c r="AX19" i="7"/>
  <c r="AX48" i="7" s="1"/>
  <c r="AQ19" i="7"/>
  <c r="AQ48" i="7" s="1"/>
  <c r="AI19" i="7"/>
  <c r="AI48" i="7" s="1"/>
  <c r="AB19" i="7"/>
  <c r="AB48" i="7" s="1"/>
  <c r="T19" i="7"/>
  <c r="T48" i="7" s="1"/>
  <c r="M19" i="7"/>
  <c r="M48" i="7" s="1"/>
  <c r="D19" i="7"/>
  <c r="N27" i="7"/>
  <c r="N53" i="7" s="1"/>
  <c r="EN19" i="7"/>
  <c r="EN48" i="7" s="1"/>
  <c r="EF19" i="7"/>
  <c r="EF48" i="7" s="1"/>
  <c r="DY19" i="7"/>
  <c r="DY48" i="7" s="1"/>
  <c r="DQ19" i="7"/>
  <c r="DQ48" i="7" s="1"/>
  <c r="DJ19" i="7"/>
  <c r="DJ48" i="7" s="1"/>
  <c r="DB19" i="7"/>
  <c r="DB48" i="7" s="1"/>
  <c r="CU19" i="7"/>
  <c r="CU48" i="7" s="1"/>
  <c r="CM19" i="7"/>
  <c r="CM48" i="7" s="1"/>
  <c r="CF19" i="7"/>
  <c r="CF48" i="7" s="1"/>
  <c r="BX19" i="7"/>
  <c r="BX48" i="7" s="1"/>
  <c r="BQ19" i="7"/>
  <c r="BQ48" i="7" s="1"/>
  <c r="BI19" i="7"/>
  <c r="BI48" i="7" s="1"/>
  <c r="BB19" i="7"/>
  <c r="BB48" i="7" s="1"/>
  <c r="AT19" i="7"/>
  <c r="AT48" i="7" s="1"/>
  <c r="AM19" i="7"/>
  <c r="AM48" i="7" s="1"/>
  <c r="AE19" i="7"/>
  <c r="AE48" i="7" s="1"/>
  <c r="X19" i="7"/>
  <c r="X48" i="7" s="1"/>
  <c r="P19" i="7"/>
  <c r="P48" i="7" s="1"/>
  <c r="I19" i="7"/>
  <c r="I48" i="7" s="1"/>
  <c r="ER27" i="7"/>
  <c r="ER53" i="7" s="1"/>
  <c r="EJ27" i="7"/>
  <c r="EJ53" i="7" s="1"/>
  <c r="EC27" i="7"/>
  <c r="EC53" i="7" s="1"/>
  <c r="DU27" i="7"/>
  <c r="DU53" i="7" s="1"/>
  <c r="DN27" i="7"/>
  <c r="DN53" i="7" s="1"/>
  <c r="DF27" i="7"/>
  <c r="DF53" i="7" s="1"/>
  <c r="CY27" i="7"/>
  <c r="CY53" i="7" s="1"/>
  <c r="CQ27" i="7"/>
  <c r="CQ53" i="7" s="1"/>
  <c r="CJ27" i="7"/>
  <c r="CJ53" i="7" s="1"/>
  <c r="CB27" i="7"/>
  <c r="CB53" i="7" s="1"/>
  <c r="BU27" i="7"/>
  <c r="BU53" i="7" s="1"/>
  <c r="BM27" i="7"/>
  <c r="BM53" i="7" s="1"/>
  <c r="BF27" i="7"/>
  <c r="BF53" i="7" s="1"/>
  <c r="AX27" i="7"/>
  <c r="AX53" i="7" s="1"/>
  <c r="AQ27" i="7"/>
  <c r="AQ53" i="7" s="1"/>
  <c r="AI27" i="7"/>
  <c r="AI53" i="7" s="1"/>
  <c r="AB27" i="7"/>
  <c r="AB53" i="7" s="1"/>
  <c r="T27" i="7"/>
  <c r="T53" i="7" s="1"/>
  <c r="M27" i="7"/>
  <c r="M53" i="7" s="1"/>
  <c r="E27" i="7"/>
  <c r="CY31" i="7"/>
  <c r="CY36" i="7" s="1"/>
  <c r="AW31" i="7"/>
  <c r="CE31" i="7"/>
  <c r="DD17" i="7"/>
  <c r="DP25" i="7"/>
  <c r="AO26" i="7"/>
  <c r="R25" i="7"/>
  <c r="CO21" i="7"/>
  <c r="DA21" i="7"/>
  <c r="CU21" i="7"/>
  <c r="CO29" i="7"/>
  <c r="ED18" i="7"/>
  <c r="CZ18" i="7"/>
  <c r="CH18" i="7"/>
  <c r="BV18" i="7"/>
  <c r="BD18" i="7"/>
  <c r="AL18" i="7"/>
  <c r="T18" i="7"/>
  <c r="EP24" i="7"/>
  <c r="DX24" i="7"/>
  <c r="CZ24" i="7"/>
  <c r="CH24" i="7"/>
  <c r="BP24" i="7"/>
  <c r="BD24" i="7"/>
  <c r="AX24" i="7"/>
  <c r="AL24" i="7"/>
  <c r="T24" i="7"/>
  <c r="CG21" i="7"/>
  <c r="DA29" i="7"/>
  <c r="CZ11" i="7"/>
  <c r="CT11" i="7"/>
  <c r="EP18" i="7"/>
  <c r="DX18" i="7"/>
  <c r="DF18" i="7"/>
  <c r="BP18" i="7"/>
  <c r="N18" i="7"/>
  <c r="EJ24" i="7"/>
  <c r="CT29" i="7"/>
  <c r="CO12" i="7"/>
  <c r="CM21" i="7"/>
  <c r="EJ18" i="7"/>
  <c r="DL18" i="7"/>
  <c r="CT18" i="7"/>
  <c r="CB18" i="7"/>
  <c r="AR18" i="7"/>
  <c r="Z18" i="7"/>
  <c r="DF24" i="7"/>
  <c r="BV24" i="7"/>
  <c r="N24" i="7"/>
  <c r="CU29" i="7"/>
  <c r="CY29" i="7"/>
  <c r="CM29" i="7"/>
  <c r="EN18" i="7"/>
  <c r="EH18" i="7"/>
  <c r="DV18" i="7"/>
  <c r="DP18" i="7"/>
  <c r="DJ18" i="7"/>
  <c r="CR18" i="7"/>
  <c r="CL16" i="7"/>
  <c r="CF18" i="7"/>
  <c r="CF49" i="7" s="1"/>
  <c r="BZ18" i="7"/>
  <c r="BN18" i="7"/>
  <c r="BH18" i="7"/>
  <c r="BB16" i="7"/>
  <c r="AV18" i="7"/>
  <c r="AJ16" i="7"/>
  <c r="AD18" i="7"/>
  <c r="X18" i="7"/>
  <c r="R16" i="7"/>
  <c r="CR26" i="7"/>
  <c r="CL29" i="7"/>
  <c r="BZ26" i="7"/>
  <c r="BH26" i="7"/>
  <c r="X26" i="7"/>
  <c r="CW21" i="7"/>
  <c r="CQ21" i="7"/>
  <c r="CK21" i="7"/>
  <c r="DO31" i="7"/>
  <c r="CW29" i="7"/>
  <c r="CQ29" i="7"/>
  <c r="CK29" i="7"/>
  <c r="CE29" i="7"/>
  <c r="DJ26" i="7"/>
  <c r="CF29" i="7"/>
  <c r="AV26" i="7"/>
  <c r="DB21" i="7"/>
  <c r="CV21" i="7"/>
  <c r="CP21" i="7"/>
  <c r="CJ21" i="7"/>
  <c r="DB29" i="7"/>
  <c r="CV29" i="7"/>
  <c r="CP29" i="7"/>
  <c r="CJ29" i="7"/>
  <c r="I26" i="7"/>
  <c r="AQ17" i="7"/>
  <c r="CG31" i="7"/>
  <c r="CG36" i="7" s="1"/>
  <c r="AE31" i="7"/>
  <c r="BP25" i="7"/>
  <c r="H25" i="7"/>
  <c r="CE21" i="7"/>
  <c r="BM31" i="7"/>
  <c r="K31" i="7"/>
  <c r="CR29" i="7"/>
  <c r="CF21" i="7"/>
  <c r="CL21" i="7"/>
  <c r="CR21" i="7"/>
  <c r="ER26" i="7"/>
  <c r="DZ26" i="7"/>
  <c r="CP26" i="7"/>
  <c r="BX26" i="7"/>
  <c r="BF24" i="7"/>
  <c r="AN26" i="7"/>
  <c r="CG29" i="7"/>
  <c r="CY21" i="7"/>
  <c r="DS17" i="7"/>
  <c r="DG24" i="7"/>
  <c r="CH29" i="7"/>
  <c r="CZ29" i="7"/>
  <c r="CH21" i="7"/>
  <c r="CT21" i="7"/>
  <c r="CZ21" i="7"/>
  <c r="EH31" i="7"/>
  <c r="CF31" i="7"/>
  <c r="AD31" i="7"/>
  <c r="EM18" i="7"/>
  <c r="DU18" i="7"/>
  <c r="CK18" i="7"/>
  <c r="BS18" i="7"/>
  <c r="BA18" i="7"/>
  <c r="AI18" i="7"/>
  <c r="AC16" i="7"/>
  <c r="EA26" i="7"/>
  <c r="DI26" i="7"/>
  <c r="CW31" i="7"/>
  <c r="CQ26" i="7"/>
  <c r="BG26" i="7"/>
  <c r="W26" i="7"/>
  <c r="DB12" i="7"/>
  <c r="DA12" i="7"/>
  <c r="EK17" i="7"/>
  <c r="DG17" i="7"/>
  <c r="U17" i="7"/>
  <c r="EK25" i="7"/>
  <c r="EE25" i="7"/>
  <c r="CU25" i="7"/>
  <c r="BW25" i="7"/>
  <c r="AY25" i="7"/>
  <c r="AM25" i="7"/>
  <c r="U25" i="7"/>
  <c r="H16" i="7"/>
  <c r="EP17" i="7"/>
  <c r="EC18" i="7"/>
  <c r="DQ16" i="7"/>
  <c r="DK18" i="7"/>
  <c r="DE18" i="7"/>
  <c r="CM18" i="7"/>
  <c r="CA16" i="7"/>
  <c r="BV17" i="7"/>
  <c r="BK17" i="7"/>
  <c r="BC18" i="7"/>
  <c r="Y18" i="7"/>
  <c r="S16" i="7"/>
  <c r="EO31" i="7"/>
  <c r="ED25" i="7"/>
  <c r="DQ25" i="7"/>
  <c r="DE31" i="7"/>
  <c r="CM31" i="7"/>
  <c r="CG25" i="7"/>
  <c r="BU31" i="7"/>
  <c r="BC31" i="7"/>
  <c r="AG25" i="7"/>
  <c r="M31" i="7"/>
  <c r="EI31" i="7"/>
  <c r="BI18" i="7"/>
  <c r="AC31" i="7"/>
  <c r="R18" i="7"/>
  <c r="AQ18" i="7"/>
  <c r="AL16" i="7"/>
  <c r="CM16" i="7"/>
  <c r="DF16" i="7"/>
  <c r="EO16" i="7"/>
  <c r="T17" i="7"/>
  <c r="CU12" i="7"/>
  <c r="C31" i="7"/>
  <c r="AV31" i="7"/>
  <c r="S31" i="7"/>
  <c r="CF26" i="7"/>
  <c r="DP26" i="7"/>
  <c r="AQ16" i="7"/>
  <c r="BU16" i="7"/>
  <c r="DL16" i="7"/>
  <c r="EP16" i="7"/>
  <c r="EN31" i="7"/>
  <c r="H18" i="7"/>
  <c r="DQ31" i="7"/>
  <c r="BB18" i="7"/>
  <c r="CA18" i="7"/>
  <c r="DD18" i="7"/>
  <c r="BF26" i="7"/>
  <c r="AR16" i="7"/>
  <c r="BV16" i="7"/>
  <c r="CT16" i="7"/>
  <c r="AE25" i="7"/>
  <c r="DP31" i="7"/>
  <c r="BN31" i="7"/>
  <c r="CZ12" i="7"/>
  <c r="T16" i="7"/>
  <c r="BC17" i="7"/>
  <c r="EO17" i="7"/>
  <c r="DV31" i="7"/>
  <c r="DD31" i="7"/>
  <c r="CL31" i="7"/>
  <c r="BB31" i="7"/>
  <c r="AJ31" i="7"/>
  <c r="R31" i="7"/>
  <c r="AJ18" i="7"/>
  <c r="CL18" i="7"/>
  <c r="AD26" i="7"/>
  <c r="BN26" i="7"/>
  <c r="EH26" i="7"/>
  <c r="Z16" i="7"/>
  <c r="BD16" i="7"/>
  <c r="CB16" i="7"/>
  <c r="DD16" i="7"/>
  <c r="DX16" i="7"/>
  <c r="BD17" i="7"/>
  <c r="AI16" i="7"/>
  <c r="DO26" i="7"/>
  <c r="DI31" i="7"/>
  <c r="AO31" i="7"/>
  <c r="E31" i="7"/>
  <c r="CU11" i="7"/>
  <c r="BI16" i="7"/>
  <c r="DE16" i="7"/>
  <c r="EJ16" i="7"/>
  <c r="DF17" i="7"/>
  <c r="BB25" i="7"/>
  <c r="EA17" i="7"/>
  <c r="EA18" i="7"/>
  <c r="EA16" i="7"/>
  <c r="DI17" i="7"/>
  <c r="DI16" i="7"/>
  <c r="DI18" i="7"/>
  <c r="CK16" i="7"/>
  <c r="EA25" i="7"/>
  <c r="EA24" i="7"/>
  <c r="CQ25" i="7"/>
  <c r="CQ28" i="7"/>
  <c r="CQ24" i="7"/>
  <c r="CE28" i="7"/>
  <c r="CE25" i="7"/>
  <c r="BM25" i="7"/>
  <c r="BM24" i="7"/>
  <c r="BN25" i="7"/>
  <c r="AC25" i="7"/>
  <c r="W24" i="7"/>
  <c r="W25" i="7"/>
  <c r="DB11" i="7"/>
  <c r="CV12" i="7"/>
  <c r="CV11" i="7"/>
  <c r="DA11" i="7"/>
  <c r="CJ12" i="7"/>
  <c r="CJ11" i="7"/>
  <c r="ER16" i="7"/>
  <c r="ER17" i="7"/>
  <c r="ER18" i="7"/>
  <c r="EF17" i="7"/>
  <c r="EF16" i="7"/>
  <c r="DZ17" i="7"/>
  <c r="DZ18" i="7"/>
  <c r="DZ16" i="7"/>
  <c r="DT16" i="7"/>
  <c r="DT17" i="7"/>
  <c r="DN17" i="7"/>
  <c r="DN16" i="7"/>
  <c r="DB17" i="7"/>
  <c r="DB16" i="7"/>
  <c r="CV16" i="7"/>
  <c r="CV17" i="7"/>
  <c r="CP17" i="7"/>
  <c r="CP16" i="7"/>
  <c r="CP18" i="7"/>
  <c r="CJ16" i="7"/>
  <c r="BX17" i="7"/>
  <c r="BX16" i="7"/>
  <c r="BX18" i="7"/>
  <c r="BR16" i="7"/>
  <c r="BR17" i="7"/>
  <c r="BL16" i="7"/>
  <c r="BL17" i="7"/>
  <c r="BF16" i="7"/>
  <c r="BF17" i="7"/>
  <c r="BF18" i="7"/>
  <c r="AT17" i="7"/>
  <c r="AT16" i="7"/>
  <c r="AN16" i="7"/>
  <c r="AN17" i="7"/>
  <c r="AN18" i="7"/>
  <c r="AH16" i="7"/>
  <c r="AH17" i="7"/>
  <c r="AB16" i="7"/>
  <c r="AB17" i="7"/>
  <c r="P17" i="7"/>
  <c r="P16" i="7"/>
  <c r="J16" i="7"/>
  <c r="ER25" i="7"/>
  <c r="ER24" i="7"/>
  <c r="EF25" i="7"/>
  <c r="EK24" i="7"/>
  <c r="EF24" i="7"/>
  <c r="EF26" i="7"/>
  <c r="EF31" i="7"/>
  <c r="DZ25" i="7"/>
  <c r="DZ24" i="7"/>
  <c r="EE26" i="7"/>
  <c r="DT25" i="7"/>
  <c r="DT24" i="7"/>
  <c r="DY24" i="7"/>
  <c r="DT31" i="7"/>
  <c r="DT26" i="7"/>
  <c r="DN25" i="7"/>
  <c r="DN24" i="7"/>
  <c r="DN26" i="7"/>
  <c r="DS24" i="7"/>
  <c r="DN31" i="7"/>
  <c r="DB28" i="7"/>
  <c r="DB24" i="7"/>
  <c r="DB25" i="7"/>
  <c r="DB31" i="7"/>
  <c r="DB26" i="7"/>
  <c r="CV28" i="7"/>
  <c r="CV26" i="7"/>
  <c r="CV25" i="7"/>
  <c r="CV24" i="7"/>
  <c r="CV31" i="7"/>
  <c r="CP28" i="7"/>
  <c r="CP25" i="7"/>
  <c r="CU26" i="7"/>
  <c r="CP24" i="7"/>
  <c r="CJ28" i="7"/>
  <c r="CJ25" i="7"/>
  <c r="CJ24" i="7"/>
  <c r="CJ31" i="7"/>
  <c r="CJ26" i="7"/>
  <c r="BX25" i="7"/>
  <c r="BX24" i="7"/>
  <c r="CC26" i="7"/>
  <c r="BR25" i="7"/>
  <c r="BR24" i="7"/>
  <c r="BW24" i="7"/>
  <c r="BR31" i="7"/>
  <c r="BR26" i="7"/>
  <c r="BL25" i="7"/>
  <c r="BL24" i="7"/>
  <c r="BL26" i="7"/>
  <c r="BQ24" i="7"/>
  <c r="BL31" i="7"/>
  <c r="BF25" i="7"/>
  <c r="BK26" i="7"/>
  <c r="AT25" i="7"/>
  <c r="AT26" i="7"/>
  <c r="AT24" i="7"/>
  <c r="AT31" i="7"/>
  <c r="AN25" i="7"/>
  <c r="AS26" i="7"/>
  <c r="AN24" i="7"/>
  <c r="AH25" i="7"/>
  <c r="AH24" i="7"/>
  <c r="AH31" i="7"/>
  <c r="AH26" i="7"/>
  <c r="AB25" i="7"/>
  <c r="AG24" i="7"/>
  <c r="AB24" i="7"/>
  <c r="AB26" i="7"/>
  <c r="AB31" i="7"/>
  <c r="P24" i="7"/>
  <c r="U24" i="7"/>
  <c r="P25" i="7"/>
  <c r="P31" i="7"/>
  <c r="P26" i="7"/>
  <c r="J25" i="7"/>
  <c r="J24" i="7"/>
  <c r="J26" i="7"/>
  <c r="O24" i="7"/>
  <c r="J31" i="7"/>
  <c r="ER31" i="7"/>
  <c r="DZ31" i="7"/>
  <c r="CP31" i="7"/>
  <c r="BX31" i="7"/>
  <c r="BF31" i="7"/>
  <c r="AN31" i="7"/>
  <c r="D31" i="7"/>
  <c r="J17" i="7"/>
  <c r="BZ17" i="7"/>
  <c r="AC24" i="7"/>
  <c r="CW12" i="7"/>
  <c r="CW11" i="7"/>
  <c r="CQ12" i="7"/>
  <c r="CQ11" i="7"/>
  <c r="CK11" i="7"/>
  <c r="CK12" i="7"/>
  <c r="EM17" i="7"/>
  <c r="EM16" i="7"/>
  <c r="DO16" i="7"/>
  <c r="DO17" i="7"/>
  <c r="DO18" i="7"/>
  <c r="CW17" i="7"/>
  <c r="CW16" i="7"/>
  <c r="CW18" i="7"/>
  <c r="BS17" i="7"/>
  <c r="BS16" i="7"/>
  <c r="BG17" i="7"/>
  <c r="BG16" i="7"/>
  <c r="BG18" i="7"/>
  <c r="AO16" i="7"/>
  <c r="AO17" i="7"/>
  <c r="AO18" i="7"/>
  <c r="W17" i="7"/>
  <c r="W16" i="7"/>
  <c r="W18" i="7"/>
  <c r="DO24" i="7"/>
  <c r="BG25" i="7"/>
  <c r="BG24" i="7"/>
  <c r="AO25" i="7"/>
  <c r="AO24" i="7"/>
  <c r="K25" i="7"/>
  <c r="K24" i="7"/>
  <c r="W31" i="7"/>
  <c r="AC26" i="7"/>
  <c r="CE26" i="7"/>
  <c r="CP12" i="7"/>
  <c r="CP11" i="7"/>
  <c r="CO11" i="7"/>
  <c r="J18" i="7"/>
  <c r="AB18" i="7"/>
  <c r="AT18" i="7"/>
  <c r="BL18" i="7"/>
  <c r="CV18" i="7"/>
  <c r="DN18" i="7"/>
  <c r="EF18" i="7"/>
  <c r="O26" i="7"/>
  <c r="AG26" i="7"/>
  <c r="AY26" i="7"/>
  <c r="BQ26" i="7"/>
  <c r="DA26" i="7"/>
  <c r="DS26" i="7"/>
  <c r="EK26" i="7"/>
  <c r="CF12" i="7"/>
  <c r="CJ17" i="7"/>
  <c r="CE24" i="7"/>
  <c r="DU17" i="7"/>
  <c r="DU16" i="7"/>
  <c r="CQ16" i="7"/>
  <c r="CQ18" i="7"/>
  <c r="CQ17" i="7"/>
  <c r="CE17" i="7"/>
  <c r="CE16" i="7"/>
  <c r="CE18" i="7"/>
  <c r="BM17" i="7"/>
  <c r="BM16" i="7"/>
  <c r="BM18" i="7"/>
  <c r="BA17" i="7"/>
  <c r="BA16" i="7"/>
  <c r="AI17" i="7"/>
  <c r="AC17" i="7"/>
  <c r="AC18" i="7"/>
  <c r="K17" i="7"/>
  <c r="K18" i="7"/>
  <c r="EM24" i="7"/>
  <c r="EM25" i="7"/>
  <c r="EM26" i="7"/>
  <c r="EM31" i="7"/>
  <c r="DU25" i="7"/>
  <c r="DU24" i="7"/>
  <c r="DU26" i="7"/>
  <c r="DU31" i="7"/>
  <c r="DI25" i="7"/>
  <c r="DI24" i="7"/>
  <c r="CW25" i="7"/>
  <c r="CW24" i="7"/>
  <c r="CW28" i="7"/>
  <c r="CK24" i="7"/>
  <c r="CK28" i="7"/>
  <c r="CK26" i="7"/>
  <c r="CK31" i="7"/>
  <c r="CK25" i="7"/>
  <c r="BS25" i="7"/>
  <c r="BS24" i="7"/>
  <c r="BS26" i="7"/>
  <c r="BS31" i="7"/>
  <c r="BA24" i="7"/>
  <c r="BA26" i="7"/>
  <c r="BA31" i="7"/>
  <c r="AI25" i="7"/>
  <c r="AI24" i="7"/>
  <c r="AI26" i="7"/>
  <c r="AI31" i="7"/>
  <c r="EA31" i="7"/>
  <c r="CQ31" i="7"/>
  <c r="BG31" i="7"/>
  <c r="K26" i="7"/>
  <c r="BM26" i="7"/>
  <c r="CW26" i="7"/>
  <c r="K16" i="7"/>
  <c r="CF25" i="7"/>
  <c r="P18" i="7"/>
  <c r="AH18" i="7"/>
  <c r="BR18" i="7"/>
  <c r="CJ18" i="7"/>
  <c r="DB18" i="7"/>
  <c r="DT18" i="7"/>
  <c r="U26" i="7"/>
  <c r="AM26" i="7"/>
  <c r="BW26" i="7"/>
  <c r="CO26" i="7"/>
  <c r="DG26" i="7"/>
  <c r="DY26" i="7"/>
  <c r="CK17" i="7"/>
  <c r="BA25" i="7"/>
  <c r="DO25" i="7"/>
  <c r="AX17" i="7"/>
  <c r="AR25" i="7"/>
  <c r="S18" i="7"/>
  <c r="BU18" i="7"/>
  <c r="EO18" i="7"/>
  <c r="CM12" i="7"/>
  <c r="CY12" i="7"/>
  <c r="CY11" i="7"/>
  <c r="CG12" i="7"/>
  <c r="EI17" i="7"/>
  <c r="EC16" i="7"/>
  <c r="EC17" i="7"/>
  <c r="DQ17" i="7"/>
  <c r="DK17" i="7"/>
  <c r="DK16" i="7"/>
  <c r="CY17" i="7"/>
  <c r="CY16" i="7"/>
  <c r="CM17" i="7"/>
  <c r="CG17" i="7"/>
  <c r="CG16" i="7"/>
  <c r="CA17" i="7"/>
  <c r="BI17" i="7"/>
  <c r="AW17" i="7"/>
  <c r="AW16" i="7"/>
  <c r="AR17" i="7"/>
  <c r="AE17" i="7"/>
  <c r="AE16" i="7"/>
  <c r="Y17" i="7"/>
  <c r="S17" i="7"/>
  <c r="M17" i="7"/>
  <c r="M16" i="7"/>
  <c r="EO24" i="7"/>
  <c r="EO25" i="7"/>
  <c r="EO26" i="7"/>
  <c r="EI24" i="7"/>
  <c r="EI25" i="7"/>
  <c r="EI26" i="7"/>
  <c r="EC25" i="7"/>
  <c r="EC24" i="7"/>
  <c r="EC26" i="7"/>
  <c r="DQ24" i="7"/>
  <c r="DQ26" i="7"/>
  <c r="DS25" i="7"/>
  <c r="DK24" i="7"/>
  <c r="DK25" i="7"/>
  <c r="DK26" i="7"/>
  <c r="DE24" i="7"/>
  <c r="DE25" i="7"/>
  <c r="DE26" i="7"/>
  <c r="CY25" i="7"/>
  <c r="CY24" i="7"/>
  <c r="CY28" i="7"/>
  <c r="CY26" i="7"/>
  <c r="CM24" i="7"/>
  <c r="CM25" i="7"/>
  <c r="CM28" i="7"/>
  <c r="CM26" i="7"/>
  <c r="CG24" i="7"/>
  <c r="CG28" i="7"/>
  <c r="CG26" i="7"/>
  <c r="CA24" i="7"/>
  <c r="CA25" i="7"/>
  <c r="CA26" i="7"/>
  <c r="BU25" i="7"/>
  <c r="BU24" i="7"/>
  <c r="BU26" i="7"/>
  <c r="BI24" i="7"/>
  <c r="BI25" i="7"/>
  <c r="BI26" i="7"/>
  <c r="BC24" i="7"/>
  <c r="BC26" i="7"/>
  <c r="BC25" i="7"/>
  <c r="AW24" i="7"/>
  <c r="AW25" i="7"/>
  <c r="AW26" i="7"/>
  <c r="AQ25" i="7"/>
  <c r="AQ24" i="7"/>
  <c r="AQ26" i="7"/>
  <c r="AE24" i="7"/>
  <c r="AE26" i="7"/>
  <c r="Y24" i="7"/>
  <c r="Y25" i="7"/>
  <c r="Y26" i="7"/>
  <c r="S24" i="7"/>
  <c r="S25" i="7"/>
  <c r="S26" i="7"/>
  <c r="M25" i="7"/>
  <c r="M24" i="7"/>
  <c r="M26" i="7"/>
  <c r="EC31" i="7"/>
  <c r="DK31" i="7"/>
  <c r="CA31" i="7"/>
  <c r="BI31" i="7"/>
  <c r="AQ31" i="7"/>
  <c r="Y31" i="7"/>
  <c r="CM11" i="7"/>
  <c r="BU17" i="7"/>
  <c r="BV25" i="7"/>
  <c r="CR11" i="7"/>
  <c r="CT12" i="7"/>
  <c r="CL11" i="7"/>
  <c r="CL12" i="7"/>
  <c r="EN17" i="7"/>
  <c r="EN16" i="7"/>
  <c r="EH17" i="7"/>
  <c r="EH16" i="7"/>
  <c r="DV17" i="7"/>
  <c r="DV16" i="7"/>
  <c r="DP17" i="7"/>
  <c r="DP16" i="7"/>
  <c r="DJ17" i="7"/>
  <c r="DJ16" i="7"/>
  <c r="CR16" i="7"/>
  <c r="CR17" i="7"/>
  <c r="CL17" i="7"/>
  <c r="CF17" i="7"/>
  <c r="CF16" i="7"/>
  <c r="BZ16" i="7"/>
  <c r="BN17" i="7"/>
  <c r="BN16" i="7"/>
  <c r="BH17" i="7"/>
  <c r="BH16" i="7"/>
  <c r="BB17" i="7"/>
  <c r="AV17" i="7"/>
  <c r="AV16" i="7"/>
  <c r="AJ17" i="7"/>
  <c r="AD17" i="7"/>
  <c r="AD16" i="7"/>
  <c r="X17" i="7"/>
  <c r="X16" i="7"/>
  <c r="R17" i="7"/>
  <c r="EN24" i="7"/>
  <c r="EN25" i="7"/>
  <c r="EH24" i="7"/>
  <c r="EH25" i="7"/>
  <c r="DV24" i="7"/>
  <c r="DV25" i="7"/>
  <c r="DP24" i="7"/>
  <c r="DJ24" i="7"/>
  <c r="DJ25" i="7"/>
  <c r="DD24" i="7"/>
  <c r="DD25" i="7"/>
  <c r="CR28" i="7"/>
  <c r="CR24" i="7"/>
  <c r="CR25" i="7"/>
  <c r="CL28" i="7"/>
  <c r="CL24" i="7"/>
  <c r="CL25" i="7"/>
  <c r="CF24" i="7"/>
  <c r="CF28" i="7"/>
  <c r="BZ24" i="7"/>
  <c r="BZ25" i="7"/>
  <c r="BN24" i="7"/>
  <c r="BH24" i="7"/>
  <c r="BH25" i="7"/>
  <c r="BB24" i="7"/>
  <c r="AV24" i="7"/>
  <c r="AV25" i="7"/>
  <c r="AJ24" i="7"/>
  <c r="AJ25" i="7"/>
  <c r="AD24" i="7"/>
  <c r="AD25" i="7"/>
  <c r="X24" i="7"/>
  <c r="X25" i="7"/>
  <c r="R24" i="7"/>
  <c r="DJ31" i="7"/>
  <c r="CR31" i="7"/>
  <c r="BZ31" i="7"/>
  <c r="BH31" i="7"/>
  <c r="X31" i="7"/>
  <c r="F31" i="7"/>
  <c r="M18" i="7"/>
  <c r="AE18" i="7"/>
  <c r="AW18" i="7"/>
  <c r="CG18" i="7"/>
  <c r="CY18" i="7"/>
  <c r="DQ18" i="7"/>
  <c r="EI18" i="7"/>
  <c r="R26" i="7"/>
  <c r="AJ26" i="7"/>
  <c r="BB26" i="7"/>
  <c r="CL26" i="7"/>
  <c r="DD26" i="7"/>
  <c r="DV26" i="7"/>
  <c r="EN26" i="7"/>
  <c r="CR12" i="7"/>
  <c r="Y16" i="7"/>
  <c r="BC16" i="7"/>
  <c r="EI16" i="7"/>
  <c r="DE17" i="7"/>
  <c r="EJ17" i="7"/>
  <c r="EK16" i="7"/>
  <c r="EE17" i="7"/>
  <c r="EE16" i="7"/>
  <c r="DY17" i="7"/>
  <c r="DY16" i="7"/>
  <c r="DS16" i="7"/>
  <c r="DG16" i="7"/>
  <c r="DA17" i="7"/>
  <c r="DA16" i="7"/>
  <c r="CU17" i="7"/>
  <c r="CU16" i="7"/>
  <c r="CO17" i="7"/>
  <c r="CO16" i="7"/>
  <c r="CC17" i="7"/>
  <c r="CC16" i="7"/>
  <c r="BW17" i="7"/>
  <c r="BW16" i="7"/>
  <c r="BQ17" i="7"/>
  <c r="BQ16" i="7"/>
  <c r="BK16" i="7"/>
  <c r="AY16" i="7"/>
  <c r="AS17" i="7"/>
  <c r="AS16" i="7"/>
  <c r="AM17" i="7"/>
  <c r="AM16" i="7"/>
  <c r="AG16" i="7"/>
  <c r="U16" i="7"/>
  <c r="O17" i="7"/>
  <c r="O16" i="7"/>
  <c r="I17" i="7"/>
  <c r="I16" i="7"/>
  <c r="EE24" i="7"/>
  <c r="DA28" i="7"/>
  <c r="DA25" i="7"/>
  <c r="CU28" i="7"/>
  <c r="CU24" i="7"/>
  <c r="CO28" i="7"/>
  <c r="CO25" i="7"/>
  <c r="CC24" i="7"/>
  <c r="CC25" i="7"/>
  <c r="BQ25" i="7"/>
  <c r="BK24" i="7"/>
  <c r="AS24" i="7"/>
  <c r="O25" i="7"/>
  <c r="I24" i="7"/>
  <c r="EK31" i="7"/>
  <c r="EE31" i="7"/>
  <c r="DY31" i="7"/>
  <c r="DS31" i="7"/>
  <c r="DG31" i="7"/>
  <c r="DA31" i="7"/>
  <c r="CU31" i="7"/>
  <c r="CO31" i="7"/>
  <c r="CC31" i="7"/>
  <c r="BW31" i="7"/>
  <c r="BQ31" i="7"/>
  <c r="BK31" i="7"/>
  <c r="AY31" i="7"/>
  <c r="AS31" i="7"/>
  <c r="AM31" i="7"/>
  <c r="AG31" i="7"/>
  <c r="U31" i="7"/>
  <c r="O31" i="7"/>
  <c r="I31" i="7"/>
  <c r="AX18" i="7"/>
  <c r="AG17" i="7"/>
  <c r="I25" i="7"/>
  <c r="DG25" i="7"/>
  <c r="DY25" i="7"/>
  <c r="CH12" i="7"/>
  <c r="ED16" i="7"/>
  <c r="DX17" i="7"/>
  <c r="DL17" i="7"/>
  <c r="CZ17" i="7"/>
  <c r="CT17" i="7"/>
  <c r="CB17" i="7"/>
  <c r="BP17" i="7"/>
  <c r="AL17" i="7"/>
  <c r="Z17" i="7"/>
  <c r="N17" i="7"/>
  <c r="H17" i="7"/>
  <c r="EP25" i="7"/>
  <c r="EJ25" i="7"/>
  <c r="ED24" i="7"/>
  <c r="DX25" i="7"/>
  <c r="DL25" i="7"/>
  <c r="DL24" i="7"/>
  <c r="DF25" i="7"/>
  <c r="CZ28" i="7"/>
  <c r="CZ25" i="7"/>
  <c r="CT28" i="7"/>
  <c r="CT24" i="7"/>
  <c r="CH28" i="7"/>
  <c r="CH25" i="7"/>
  <c r="CB25" i="7"/>
  <c r="CB24" i="7"/>
  <c r="BD25" i="7"/>
  <c r="AX25" i="7"/>
  <c r="AR24" i="7"/>
  <c r="AL25" i="7"/>
  <c r="Z25" i="7"/>
  <c r="Z24" i="7"/>
  <c r="T25" i="7"/>
  <c r="N25" i="7"/>
  <c r="H24" i="7"/>
  <c r="EP31" i="7"/>
  <c r="EJ31" i="7"/>
  <c r="ED31" i="7"/>
  <c r="DX31" i="7"/>
  <c r="DL31" i="7"/>
  <c r="DF31" i="7"/>
  <c r="CZ31" i="7"/>
  <c r="CT31" i="7"/>
  <c r="CH31" i="7"/>
  <c r="CB31" i="7"/>
  <c r="BV31" i="7"/>
  <c r="BP31" i="7"/>
  <c r="BD31" i="7"/>
  <c r="AX31" i="7"/>
  <c r="AR31" i="7"/>
  <c r="AL31" i="7"/>
  <c r="Z31" i="7"/>
  <c r="T31" i="7"/>
  <c r="N31" i="7"/>
  <c r="H31" i="7"/>
  <c r="I18" i="7"/>
  <c r="O18" i="7"/>
  <c r="U18" i="7"/>
  <c r="AG18" i="7"/>
  <c r="AM18" i="7"/>
  <c r="AS18" i="7"/>
  <c r="AY18" i="7"/>
  <c r="BK18" i="7"/>
  <c r="BQ18" i="7"/>
  <c r="BW18" i="7"/>
  <c r="CC18" i="7"/>
  <c r="CO18" i="7"/>
  <c r="CU18" i="7"/>
  <c r="DA18" i="7"/>
  <c r="DG18" i="7"/>
  <c r="DS18" i="7"/>
  <c r="DY18" i="7"/>
  <c r="EE18" i="7"/>
  <c r="EK18" i="7"/>
  <c r="H26" i="7"/>
  <c r="N26" i="7"/>
  <c r="T26" i="7"/>
  <c r="Z26" i="7"/>
  <c r="AL26" i="7"/>
  <c r="AR26" i="7"/>
  <c r="AX26" i="7"/>
  <c r="BD26" i="7"/>
  <c r="BP26" i="7"/>
  <c r="BV26" i="7"/>
  <c r="CB26" i="7"/>
  <c r="CH26" i="7"/>
  <c r="CT26" i="7"/>
  <c r="CT54" i="7" s="1"/>
  <c r="CZ26" i="7"/>
  <c r="DF26" i="7"/>
  <c r="DL26" i="7"/>
  <c r="DX26" i="7"/>
  <c r="ED26" i="7"/>
  <c r="EJ26" i="7"/>
  <c r="EP26" i="7"/>
  <c r="N16" i="7"/>
  <c r="AX16" i="7"/>
  <c r="BP16" i="7"/>
  <c r="CH16" i="7"/>
  <c r="CZ16" i="7"/>
  <c r="AY17" i="7"/>
  <c r="CH17" i="7"/>
  <c r="ED17" i="7"/>
  <c r="AM24" i="7"/>
  <c r="AY24" i="7"/>
  <c r="CO24" i="7"/>
  <c r="DA24" i="7"/>
  <c r="AS25" i="7"/>
  <c r="BK25" i="7"/>
  <c r="CT25" i="7"/>
  <c r="CK54" i="7" l="1"/>
  <c r="CR54" i="7"/>
  <c r="CJ54" i="7"/>
  <c r="CO54" i="7"/>
  <c r="CO55" i="7" s="1"/>
  <c r="CY49" i="7"/>
  <c r="GB30" i="5"/>
  <c r="CE54" i="7"/>
  <c r="CJ55" i="7" s="1"/>
  <c r="CQ54" i="7"/>
  <c r="CR56" i="7" s="1"/>
  <c r="CV54" i="7"/>
  <c r="CH54" i="7"/>
  <c r="CF54" i="7"/>
  <c r="CK49" i="7"/>
  <c r="EW32" i="7"/>
  <c r="EW34" i="7"/>
  <c r="EW44" i="7" s="1"/>
  <c r="EX46" i="7" s="1"/>
  <c r="CY54" i="7"/>
  <c r="CY55" i="7" s="1"/>
  <c r="CE49" i="7"/>
  <c r="CH49" i="7"/>
  <c r="CR49" i="7"/>
  <c r="CM54" i="7"/>
  <c r="CP54" i="7"/>
  <c r="CL54" i="7"/>
  <c r="CM49" i="7"/>
  <c r="CV49" i="7"/>
  <c r="EV53" i="7"/>
  <c r="CO49" i="7"/>
  <c r="EL48" i="7"/>
  <c r="DA54" i="7"/>
  <c r="CW49" i="7"/>
  <c r="CT49" i="7"/>
  <c r="DB49" i="7"/>
  <c r="DB54" i="7"/>
  <c r="CJ49" i="7"/>
  <c r="DH48" i="7"/>
  <c r="CU49" i="7"/>
  <c r="AF53" i="7"/>
  <c r="CU54" i="7"/>
  <c r="CU56" i="7" s="1"/>
  <c r="CL49" i="7"/>
  <c r="CZ49" i="7"/>
  <c r="EV48" i="7"/>
  <c r="CP49" i="7"/>
  <c r="EL53" i="7"/>
  <c r="AP48" i="7"/>
  <c r="CI48" i="7"/>
  <c r="CG49" i="7"/>
  <c r="CW54" i="7"/>
  <c r="DR53" i="7"/>
  <c r="BJ48" i="7"/>
  <c r="L53" i="7"/>
  <c r="EU32" i="7"/>
  <c r="EU34" i="7"/>
  <c r="EU44" i="7" s="1"/>
  <c r="EZ45" i="7" s="1"/>
  <c r="Q53" i="7"/>
  <c r="V53" i="7"/>
  <c r="EB53" i="7"/>
  <c r="CZ54" i="7"/>
  <c r="AU53" i="7"/>
  <c r="AZ53" i="7"/>
  <c r="CS53" i="7"/>
  <c r="BO53" i="7"/>
  <c r="AA53" i="7"/>
  <c r="CG54" i="7"/>
  <c r="CI53" i="7"/>
  <c r="ES54" i="7"/>
  <c r="EX55" i="7" s="1"/>
  <c r="CN53" i="7"/>
  <c r="DC53" i="7"/>
  <c r="BE53" i="7"/>
  <c r="AP53" i="7"/>
  <c r="CX53" i="7"/>
  <c r="DM53" i="7"/>
  <c r="DH53" i="7"/>
  <c r="EQ53" i="7"/>
  <c r="EG53" i="7"/>
  <c r="BJ53" i="7"/>
  <c r="BY53" i="7"/>
  <c r="AK53" i="7"/>
  <c r="CD53" i="7"/>
  <c r="DW53" i="7"/>
  <c r="BT53" i="7"/>
  <c r="Q48" i="7"/>
  <c r="DC48" i="7"/>
  <c r="AA48" i="7"/>
  <c r="BT48" i="7"/>
  <c r="V48" i="7"/>
  <c r="ES49" i="7"/>
  <c r="CQ49" i="7"/>
  <c r="EG48" i="7"/>
  <c r="AF48" i="7"/>
  <c r="BY48" i="7"/>
  <c r="DR48" i="7"/>
  <c r="AZ48" i="7"/>
  <c r="CS48" i="7"/>
  <c r="EB48" i="7"/>
  <c r="AK48" i="7"/>
  <c r="CD48" i="7"/>
  <c r="DW48" i="7"/>
  <c r="DM48" i="7"/>
  <c r="EQ48" i="7"/>
  <c r="AU48" i="7"/>
  <c r="CN48" i="7"/>
  <c r="DA49" i="7"/>
  <c r="BO48" i="7"/>
  <c r="L48" i="7"/>
  <c r="BE48" i="7"/>
  <c r="CX48" i="7"/>
  <c r="ET34" i="7"/>
  <c r="ET32" i="7"/>
  <c r="FC25" i="8"/>
  <c r="F35" i="7"/>
  <c r="FX19" i="5"/>
  <c r="FX42" i="5"/>
  <c r="FX38" i="5"/>
  <c r="FX21" i="5"/>
  <c r="FW20" i="5"/>
  <c r="FX29" i="5"/>
  <c r="FW59" i="5"/>
  <c r="FX223" i="3" s="1"/>
  <c r="D35" i="7"/>
  <c r="ES34" i="7"/>
  <c r="ES44" i="7" s="1"/>
  <c r="EX45" i="7" s="1"/>
  <c r="ES32" i="7"/>
  <c r="ES33" i="7"/>
  <c r="ES35" i="7"/>
  <c r="E35" i="7"/>
  <c r="CT35" i="7"/>
  <c r="CT34" i="7"/>
  <c r="CT44" i="7" s="1"/>
  <c r="CO34" i="7"/>
  <c r="CO44" i="7" s="1"/>
  <c r="CO35" i="7"/>
  <c r="Y35" i="7"/>
  <c r="Y34" i="7"/>
  <c r="BF34" i="7"/>
  <c r="BF35" i="7"/>
  <c r="EF34" i="7"/>
  <c r="EF35" i="7"/>
  <c r="DV35" i="7"/>
  <c r="DV34" i="7"/>
  <c r="CZ35" i="7"/>
  <c r="CZ34" i="7"/>
  <c r="CZ44" i="7" s="1"/>
  <c r="AY35" i="7"/>
  <c r="AY34" i="7"/>
  <c r="DJ20" i="7"/>
  <c r="DJ35" i="7"/>
  <c r="DJ34" i="7"/>
  <c r="CK34" i="7"/>
  <c r="CK44" i="7" s="1"/>
  <c r="CK35" i="7"/>
  <c r="BX20" i="7"/>
  <c r="BX35" i="7"/>
  <c r="BX34" i="7"/>
  <c r="CV34" i="7"/>
  <c r="CV44" i="7" s="1"/>
  <c r="CV35" i="7"/>
  <c r="R35" i="7"/>
  <c r="R34" i="7"/>
  <c r="AV20" i="7"/>
  <c r="AV35" i="7"/>
  <c r="AV34" i="7"/>
  <c r="CM20" i="7"/>
  <c r="CM35" i="7"/>
  <c r="CM34" i="7"/>
  <c r="CM44" i="7" s="1"/>
  <c r="T20" i="7"/>
  <c r="T35" i="7"/>
  <c r="T34" i="7"/>
  <c r="BP35" i="7"/>
  <c r="BP34" i="7"/>
  <c r="DF35" i="7"/>
  <c r="DF34" i="7"/>
  <c r="O35" i="7"/>
  <c r="O34" i="7"/>
  <c r="BK20" i="7"/>
  <c r="BK35" i="7"/>
  <c r="BK34" i="7"/>
  <c r="DA20" i="7"/>
  <c r="DA35" i="7"/>
  <c r="DA34" i="7"/>
  <c r="DA44" i="7" s="1"/>
  <c r="BI35" i="7"/>
  <c r="BI34" i="7"/>
  <c r="BS35" i="7"/>
  <c r="BS34" i="7"/>
  <c r="EM20" i="7"/>
  <c r="EM35" i="7"/>
  <c r="EM34" i="7"/>
  <c r="CP20" i="7"/>
  <c r="CP35" i="7"/>
  <c r="CP34" i="7"/>
  <c r="CP44" i="7" s="1"/>
  <c r="AJ35" i="7"/>
  <c r="AJ34" i="7"/>
  <c r="M35" i="7"/>
  <c r="M34" i="7"/>
  <c r="DE35" i="7"/>
  <c r="DE34" i="7"/>
  <c r="AD35" i="7"/>
  <c r="AD34" i="7"/>
  <c r="X35" i="7"/>
  <c r="X34" i="7"/>
  <c r="DZ20" i="7"/>
  <c r="DZ35" i="7"/>
  <c r="DZ34" i="7"/>
  <c r="AB20" i="7"/>
  <c r="AB34" i="7"/>
  <c r="AB35" i="7"/>
  <c r="AH35" i="7"/>
  <c r="AH34" i="7"/>
  <c r="AT34" i="7"/>
  <c r="AT35" i="7"/>
  <c r="BM33" i="7"/>
  <c r="BL35" i="7"/>
  <c r="BL34" i="7"/>
  <c r="BR20" i="7"/>
  <c r="BR34" i="7"/>
  <c r="BR35" i="7"/>
  <c r="BB20" i="7"/>
  <c r="BB35" i="7"/>
  <c r="BB34" i="7"/>
  <c r="DQ35" i="7"/>
  <c r="DQ34" i="7"/>
  <c r="CF36" i="7"/>
  <c r="CF34" i="7"/>
  <c r="CF44" i="7" s="1"/>
  <c r="CF35" i="7"/>
  <c r="CE36" i="7"/>
  <c r="CE35" i="7"/>
  <c r="CE34" i="7"/>
  <c r="CE44" i="7" s="1"/>
  <c r="AX35" i="7"/>
  <c r="AX34" i="7"/>
  <c r="EE35" i="7"/>
  <c r="EE34" i="7"/>
  <c r="CR35" i="7"/>
  <c r="CR34" i="7"/>
  <c r="CR44" i="7" s="1"/>
  <c r="EA20" i="7"/>
  <c r="EA35" i="7"/>
  <c r="EA34" i="7"/>
  <c r="DP20" i="7"/>
  <c r="DP35" i="7"/>
  <c r="DP34" i="7"/>
  <c r="CG35" i="7"/>
  <c r="CG34" i="7"/>
  <c r="CG44" i="7" s="1"/>
  <c r="N20" i="7"/>
  <c r="N34" i="7"/>
  <c r="N35" i="7"/>
  <c r="EP35" i="7"/>
  <c r="EP34" i="7"/>
  <c r="I20" i="7"/>
  <c r="I35" i="7"/>
  <c r="I34" i="7"/>
  <c r="EK20" i="7"/>
  <c r="EK35" i="7"/>
  <c r="EK34" i="7"/>
  <c r="DB34" i="7"/>
  <c r="DB35" i="7"/>
  <c r="Z35" i="7"/>
  <c r="Z34" i="7"/>
  <c r="BV35" i="7"/>
  <c r="BV34" i="7"/>
  <c r="DL35" i="7"/>
  <c r="DL34" i="7"/>
  <c r="U20" i="7"/>
  <c r="U35" i="7"/>
  <c r="U34" i="7"/>
  <c r="DG34" i="7"/>
  <c r="DG35" i="7"/>
  <c r="AL35" i="7"/>
  <c r="AL34" i="7"/>
  <c r="CB34" i="7"/>
  <c r="CB35" i="7"/>
  <c r="DX20" i="7"/>
  <c r="DX35" i="7"/>
  <c r="DX34" i="7"/>
  <c r="AG20" i="7"/>
  <c r="AG34" i="7"/>
  <c r="AG35" i="7"/>
  <c r="BW20" i="7"/>
  <c r="BW35" i="7"/>
  <c r="BW34" i="7"/>
  <c r="DS34" i="7"/>
  <c r="DS35" i="7"/>
  <c r="BH35" i="7"/>
  <c r="BH34" i="7"/>
  <c r="DK35" i="7"/>
  <c r="DK34" i="7"/>
  <c r="BG20" i="7"/>
  <c r="BG34" i="7"/>
  <c r="BG35" i="7"/>
  <c r="DU34" i="7"/>
  <c r="DU35" i="7"/>
  <c r="W20" i="7"/>
  <c r="W35" i="7"/>
  <c r="W34" i="7"/>
  <c r="ER34" i="7"/>
  <c r="ER35" i="7"/>
  <c r="AO20" i="7"/>
  <c r="AO35" i="7"/>
  <c r="AO34" i="7"/>
  <c r="CL36" i="7"/>
  <c r="CL35" i="7"/>
  <c r="CL34" i="7"/>
  <c r="BC34" i="7"/>
  <c r="BC35" i="7"/>
  <c r="CW36" i="7"/>
  <c r="CW35" i="7"/>
  <c r="CW34" i="7"/>
  <c r="EH20" i="7"/>
  <c r="EH34" i="7"/>
  <c r="EH35" i="7"/>
  <c r="AW20" i="7"/>
  <c r="AW35" i="7"/>
  <c r="AW34" i="7"/>
  <c r="H35" i="7"/>
  <c r="H34" i="7"/>
  <c r="EJ35" i="7"/>
  <c r="EJ34" i="7"/>
  <c r="AS20" i="7"/>
  <c r="AS35" i="7"/>
  <c r="AS34" i="7"/>
  <c r="S35" i="7"/>
  <c r="S34" i="7"/>
  <c r="K35" i="7"/>
  <c r="K34" i="7"/>
  <c r="DO34" i="7"/>
  <c r="DO35" i="7"/>
  <c r="BD35" i="7"/>
  <c r="BD34" i="7"/>
  <c r="CU35" i="7"/>
  <c r="CU34" i="7"/>
  <c r="CU44" i="7" s="1"/>
  <c r="AQ20" i="7"/>
  <c r="AQ35" i="7"/>
  <c r="AQ34" i="7"/>
  <c r="S20" i="7"/>
  <c r="AI34" i="7"/>
  <c r="AI35" i="7"/>
  <c r="EI35" i="7"/>
  <c r="EI34" i="7"/>
  <c r="BM20" i="7"/>
  <c r="BM35" i="7"/>
  <c r="BM34" i="7"/>
  <c r="BQ34" i="7"/>
  <c r="BQ35" i="7"/>
  <c r="CA20" i="7"/>
  <c r="CA35" i="7"/>
  <c r="CA34" i="7"/>
  <c r="AR34" i="7"/>
  <c r="AR35" i="7"/>
  <c r="CH35" i="7"/>
  <c r="CH34" i="7"/>
  <c r="CH44" i="7" s="1"/>
  <c r="ED34" i="7"/>
  <c r="ED35" i="7"/>
  <c r="AM20" i="7"/>
  <c r="AM35" i="7"/>
  <c r="AM34" i="7"/>
  <c r="CC20" i="7"/>
  <c r="CC34" i="7"/>
  <c r="CC35" i="7"/>
  <c r="DY35" i="7"/>
  <c r="DY34" i="7"/>
  <c r="CG20" i="7"/>
  <c r="BZ34" i="7"/>
  <c r="BZ35" i="7"/>
  <c r="EC20" i="7"/>
  <c r="EC35" i="7"/>
  <c r="EC34" i="7"/>
  <c r="CQ20" i="7"/>
  <c r="CQ34" i="7"/>
  <c r="CQ44" i="7" s="1"/>
  <c r="CQ35" i="7"/>
  <c r="BA35" i="7"/>
  <c r="BA34" i="7"/>
  <c r="AN35" i="7"/>
  <c r="AN34" i="7"/>
  <c r="J20" i="7"/>
  <c r="J35" i="7"/>
  <c r="J34" i="7"/>
  <c r="P20" i="7"/>
  <c r="P34" i="7"/>
  <c r="P35" i="7"/>
  <c r="CJ20" i="7"/>
  <c r="CJ35" i="7"/>
  <c r="CJ34" i="7"/>
  <c r="CJ44" i="7" s="1"/>
  <c r="DN34" i="7"/>
  <c r="DN35" i="7"/>
  <c r="DT35" i="7"/>
  <c r="DT34" i="7"/>
  <c r="DI35" i="7"/>
  <c r="DI34" i="7"/>
  <c r="DD35" i="7"/>
  <c r="DD34" i="7"/>
  <c r="BN34" i="7"/>
  <c r="BN35" i="7"/>
  <c r="EN35" i="7"/>
  <c r="EN34" i="7"/>
  <c r="AC34" i="7"/>
  <c r="AC35" i="7"/>
  <c r="BU35" i="7"/>
  <c r="BU34" i="7"/>
  <c r="EO34" i="7"/>
  <c r="EO35" i="7"/>
  <c r="AE35" i="7"/>
  <c r="AE34" i="7"/>
  <c r="CY20" i="7"/>
  <c r="CY35" i="7"/>
  <c r="CY34" i="7"/>
  <c r="CY44" i="7" s="1"/>
  <c r="AW33" i="7"/>
  <c r="DE32" i="7"/>
  <c r="BB33" i="7"/>
  <c r="DI33" i="7"/>
  <c r="AC32" i="7"/>
  <c r="BB32" i="7"/>
  <c r="DE20" i="7"/>
  <c r="CE32" i="7"/>
  <c r="BN20" i="7"/>
  <c r="BM32" i="7"/>
  <c r="DP33" i="7"/>
  <c r="BN33" i="7"/>
  <c r="BN32" i="7"/>
  <c r="DP32" i="7"/>
  <c r="K20" i="7"/>
  <c r="DO20" i="7"/>
  <c r="EI20" i="7"/>
  <c r="R20" i="7"/>
  <c r="EO20" i="7"/>
  <c r="DO33" i="7"/>
  <c r="CK56" i="7"/>
  <c r="CT56" i="7"/>
  <c r="CT55" i="7"/>
  <c r="DE33" i="7"/>
  <c r="CM33" i="7"/>
  <c r="CF20" i="7"/>
  <c r="CG33" i="7"/>
  <c r="CL33" i="7"/>
  <c r="CE20" i="7"/>
  <c r="CM36" i="7"/>
  <c r="AC20" i="7"/>
  <c r="CF33" i="7"/>
  <c r="CL32" i="7"/>
  <c r="AD20" i="7"/>
  <c r="CL20" i="7"/>
  <c r="DV20" i="7"/>
  <c r="AJ20" i="7"/>
  <c r="DV33" i="7"/>
  <c r="AE20" i="7"/>
  <c r="BC20" i="7"/>
  <c r="AE33" i="7"/>
  <c r="BC33" i="7"/>
  <c r="DD33" i="7"/>
  <c r="K33" i="7"/>
  <c r="AC33" i="7"/>
  <c r="AD33" i="7"/>
  <c r="M20" i="7"/>
  <c r="M33" i="7"/>
  <c r="EI33" i="7"/>
  <c r="EH33" i="7"/>
  <c r="CW32" i="7"/>
  <c r="EN32" i="7"/>
  <c r="CY33" i="7"/>
  <c r="BU33" i="7"/>
  <c r="CW20" i="7"/>
  <c r="CZ20" i="7"/>
  <c r="EN20" i="7"/>
  <c r="DI20" i="7"/>
  <c r="AO32" i="7"/>
  <c r="BU20" i="7"/>
  <c r="EO33" i="7"/>
  <c r="CW33" i="7"/>
  <c r="AJ32" i="7"/>
  <c r="ED20" i="7"/>
  <c r="BI20" i="7"/>
  <c r="BS20" i="7"/>
  <c r="EF20" i="7"/>
  <c r="CK20" i="7"/>
  <c r="BH20" i="7"/>
  <c r="BZ20" i="7"/>
  <c r="EI32" i="7"/>
  <c r="CF32" i="7"/>
  <c r="BU32" i="7"/>
  <c r="DI32" i="7"/>
  <c r="BP20" i="7"/>
  <c r="CY32" i="7"/>
  <c r="S33" i="7"/>
  <c r="K32" i="7"/>
  <c r="CE33" i="7"/>
  <c r="DD32" i="7"/>
  <c r="AE32" i="7"/>
  <c r="DQ20" i="7"/>
  <c r="DQ33" i="7"/>
  <c r="R32" i="7"/>
  <c r="DV32" i="7"/>
  <c r="DD20" i="7"/>
  <c r="R33" i="7"/>
  <c r="DF33" i="7"/>
  <c r="DF32" i="7"/>
  <c r="AR20" i="7"/>
  <c r="CO33" i="7"/>
  <c r="CO32" i="7"/>
  <c r="CO36" i="7"/>
  <c r="Y33" i="7"/>
  <c r="Y32" i="7"/>
  <c r="AW32" i="7"/>
  <c r="BF32" i="7"/>
  <c r="BF33" i="7"/>
  <c r="DN33" i="7"/>
  <c r="DN32" i="7"/>
  <c r="N33" i="7"/>
  <c r="N32" i="7"/>
  <c r="CH36" i="7"/>
  <c r="CH32" i="7"/>
  <c r="CH33" i="7"/>
  <c r="CM32" i="7"/>
  <c r="AX20" i="7"/>
  <c r="CB20" i="7"/>
  <c r="EE33" i="7"/>
  <c r="EE32" i="7"/>
  <c r="EE20" i="7"/>
  <c r="X33" i="7"/>
  <c r="X32" i="7"/>
  <c r="AI32" i="7"/>
  <c r="AI33" i="7"/>
  <c r="AI20" i="7"/>
  <c r="AV32" i="7"/>
  <c r="BX32" i="7"/>
  <c r="BX33" i="7"/>
  <c r="DB20" i="7"/>
  <c r="T32" i="7"/>
  <c r="T33" i="7"/>
  <c r="BD32" i="7"/>
  <c r="BD33" i="7"/>
  <c r="DX33" i="7"/>
  <c r="DX32" i="7"/>
  <c r="Z20" i="7"/>
  <c r="BD20" i="7"/>
  <c r="CH20" i="7"/>
  <c r="EJ20" i="7"/>
  <c r="AG33" i="7"/>
  <c r="AG32" i="7"/>
  <c r="BQ32" i="7"/>
  <c r="BQ33" i="7"/>
  <c r="DA33" i="7"/>
  <c r="DA32" i="7"/>
  <c r="DA36" i="7"/>
  <c r="EK32" i="7"/>
  <c r="EK33" i="7"/>
  <c r="BQ20" i="7"/>
  <c r="CR20" i="7"/>
  <c r="BI33" i="7"/>
  <c r="BI32" i="7"/>
  <c r="DK20" i="7"/>
  <c r="EA32" i="7"/>
  <c r="EA33" i="7"/>
  <c r="DU32" i="7"/>
  <c r="DU33" i="7"/>
  <c r="DU20" i="7"/>
  <c r="BC32" i="7"/>
  <c r="EO32" i="7"/>
  <c r="CP32" i="7"/>
  <c r="CP33" i="7"/>
  <c r="CP36" i="7"/>
  <c r="P33" i="7"/>
  <c r="P32" i="7"/>
  <c r="BR33" i="7"/>
  <c r="BR32" i="7"/>
  <c r="BV32" i="7"/>
  <c r="BV20" i="7"/>
  <c r="BV33" i="7"/>
  <c r="AY32" i="7"/>
  <c r="AY33" i="7"/>
  <c r="DS33" i="7"/>
  <c r="DS32" i="7"/>
  <c r="AN33" i="7"/>
  <c r="AN32" i="7"/>
  <c r="ER32" i="7"/>
  <c r="ER33" i="7"/>
  <c r="AH32" i="7"/>
  <c r="AH33" i="7"/>
  <c r="ER20" i="7"/>
  <c r="H33" i="7"/>
  <c r="H32" i="7"/>
  <c r="DL33" i="7"/>
  <c r="DL32" i="7"/>
  <c r="DY33" i="7"/>
  <c r="DY32" i="7"/>
  <c r="DJ32" i="7"/>
  <c r="DJ33" i="7"/>
  <c r="EC33" i="7"/>
  <c r="EC32" i="7"/>
  <c r="DB36" i="7"/>
  <c r="DB33" i="7"/>
  <c r="DB32" i="7"/>
  <c r="AH20" i="7"/>
  <c r="DO32" i="7"/>
  <c r="DF20" i="7"/>
  <c r="CU36" i="7"/>
  <c r="CU32" i="7"/>
  <c r="CU33" i="7"/>
  <c r="AY20" i="7"/>
  <c r="CO20" i="7"/>
  <c r="EM32" i="7"/>
  <c r="EM33" i="7"/>
  <c r="AT32" i="7"/>
  <c r="AT33" i="7"/>
  <c r="AT20" i="7"/>
  <c r="DN20" i="7"/>
  <c r="Z33" i="7"/>
  <c r="Z32" i="7"/>
  <c r="CT36" i="7"/>
  <c r="CT33" i="7"/>
  <c r="CT32" i="7"/>
  <c r="ED32" i="7"/>
  <c r="ED33" i="7"/>
  <c r="H20" i="7"/>
  <c r="DL20" i="7"/>
  <c r="AM33" i="7"/>
  <c r="AM32" i="7"/>
  <c r="BW33" i="7"/>
  <c r="BW32" i="7"/>
  <c r="DG33" i="7"/>
  <c r="DG32" i="7"/>
  <c r="DG20" i="7"/>
  <c r="BH33" i="7"/>
  <c r="BH32" i="7"/>
  <c r="CA33" i="7"/>
  <c r="CA32" i="7"/>
  <c r="M32" i="7"/>
  <c r="AV33" i="7"/>
  <c r="S32" i="7"/>
  <c r="AJ33" i="7"/>
  <c r="EN33" i="7"/>
  <c r="AO33" i="7"/>
  <c r="AL33" i="7"/>
  <c r="AL32" i="7"/>
  <c r="EP33" i="7"/>
  <c r="EP20" i="7"/>
  <c r="EP32" i="7"/>
  <c r="O33" i="7"/>
  <c r="O32" i="7"/>
  <c r="O20" i="7"/>
  <c r="CR36" i="7"/>
  <c r="CR33" i="7"/>
  <c r="CR32" i="7"/>
  <c r="DK33" i="7"/>
  <c r="DK32" i="7"/>
  <c r="AR32" i="7"/>
  <c r="AR33" i="7"/>
  <c r="CB33" i="7"/>
  <c r="CB32" i="7"/>
  <c r="U32" i="7"/>
  <c r="U33" i="7"/>
  <c r="BG33" i="7"/>
  <c r="BG32" i="7"/>
  <c r="BA33" i="7"/>
  <c r="BA32" i="7"/>
  <c r="W33" i="7"/>
  <c r="W32" i="7"/>
  <c r="CV36" i="7"/>
  <c r="CV33" i="7"/>
  <c r="CV32" i="7"/>
  <c r="EH32" i="7"/>
  <c r="AX33" i="7"/>
  <c r="AX32" i="7"/>
  <c r="BK33" i="7"/>
  <c r="BK32" i="7"/>
  <c r="DS20" i="7"/>
  <c r="AQ32" i="7"/>
  <c r="AQ33" i="7"/>
  <c r="Y20" i="7"/>
  <c r="CG32" i="7"/>
  <c r="CQ33" i="7"/>
  <c r="CQ36" i="7"/>
  <c r="CQ32" i="7"/>
  <c r="J33" i="7"/>
  <c r="J32" i="7"/>
  <c r="BL32" i="7"/>
  <c r="BL33" i="7"/>
  <c r="DT33" i="7"/>
  <c r="DT32" i="7"/>
  <c r="BF20" i="7"/>
  <c r="BP33" i="7"/>
  <c r="BP32" i="7"/>
  <c r="CZ36" i="7"/>
  <c r="CZ33" i="7"/>
  <c r="CZ32" i="7"/>
  <c r="EJ33" i="7"/>
  <c r="EJ32" i="7"/>
  <c r="AL20" i="7"/>
  <c r="CT20" i="7"/>
  <c r="I32" i="7"/>
  <c r="I33" i="7"/>
  <c r="AS33" i="7"/>
  <c r="AS32" i="7"/>
  <c r="CC33" i="7"/>
  <c r="CC32" i="7"/>
  <c r="CU20" i="7"/>
  <c r="DY20" i="7"/>
  <c r="BZ33" i="7"/>
  <c r="BZ32" i="7"/>
  <c r="X20" i="7"/>
  <c r="DQ32" i="7"/>
  <c r="BS33" i="7"/>
  <c r="BS32" i="7"/>
  <c r="CK32" i="7"/>
  <c r="CK36" i="7"/>
  <c r="CK33" i="7"/>
  <c r="BA20" i="7"/>
  <c r="DZ33" i="7"/>
  <c r="DZ32" i="7"/>
  <c r="AB33" i="7"/>
  <c r="AB32" i="7"/>
  <c r="CJ36" i="7"/>
  <c r="CJ32" i="7"/>
  <c r="CJ33" i="7"/>
  <c r="EF33" i="7"/>
  <c r="EF32" i="7"/>
  <c r="AN20" i="7"/>
  <c r="BL20" i="7"/>
  <c r="CV20" i="7"/>
  <c r="DT20" i="7"/>
  <c r="AD32" i="7"/>
  <c r="CJ56" i="7" l="1"/>
  <c r="CF56" i="7"/>
  <c r="GC30" i="5"/>
  <c r="EW46" i="7"/>
  <c r="CV55" i="7"/>
  <c r="EX50" i="7"/>
  <c r="CK55" i="7"/>
  <c r="CY56" i="7"/>
  <c r="CH56" i="7"/>
  <c r="CM55" i="7"/>
  <c r="CU51" i="7"/>
  <c r="DA55" i="7"/>
  <c r="CK50" i="7"/>
  <c r="CF51" i="7"/>
  <c r="CY50" i="7"/>
  <c r="CU55" i="7"/>
  <c r="CM51" i="7"/>
  <c r="CQ56" i="7"/>
  <c r="CO51" i="7"/>
  <c r="CT50" i="7"/>
  <c r="CR55" i="7"/>
  <c r="CO56" i="7"/>
  <c r="CM50" i="7"/>
  <c r="CR50" i="7"/>
  <c r="CT51" i="7"/>
  <c r="CM56" i="7"/>
  <c r="CP56" i="7"/>
  <c r="CP55" i="7"/>
  <c r="CQ55" i="7"/>
  <c r="CO50" i="7"/>
  <c r="CL55" i="7"/>
  <c r="CL56" i="7"/>
  <c r="CJ50" i="7"/>
  <c r="CP51" i="7"/>
  <c r="DB56" i="7"/>
  <c r="CW51" i="7"/>
  <c r="CP50" i="7"/>
  <c r="CY51" i="7"/>
  <c r="CK51" i="7"/>
  <c r="CW50" i="7"/>
  <c r="DA56" i="7"/>
  <c r="CV51" i="7"/>
  <c r="CJ51" i="7"/>
  <c r="CU50" i="7"/>
  <c r="CZ55" i="7"/>
  <c r="DB50" i="7"/>
  <c r="CQ51" i="7"/>
  <c r="CZ56" i="7"/>
  <c r="CV56" i="7"/>
  <c r="CG56" i="7"/>
  <c r="CR51" i="7"/>
  <c r="CV50" i="7"/>
  <c r="CZ51" i="7"/>
  <c r="CL50" i="7"/>
  <c r="CL51" i="7"/>
  <c r="CQ50" i="7"/>
  <c r="CH51" i="7"/>
  <c r="CZ50" i="7"/>
  <c r="CG51" i="7"/>
  <c r="CW56" i="7"/>
  <c r="DB55" i="7"/>
  <c r="CW55" i="7"/>
  <c r="DB51" i="7"/>
  <c r="DA50" i="7"/>
  <c r="DA51" i="7"/>
  <c r="FD25" i="8"/>
  <c r="FX20" i="5"/>
  <c r="FY38" i="5"/>
  <c r="FY42" i="5"/>
  <c r="GA42" i="5" s="1"/>
  <c r="GB42" i="5" s="1"/>
  <c r="GC42" i="5" s="1"/>
  <c r="GD42" i="5" s="1"/>
  <c r="FY19" i="5"/>
  <c r="GA19" i="5" s="1"/>
  <c r="GB19" i="5" s="1"/>
  <c r="GC19" i="5" s="1"/>
  <c r="GD19" i="5" s="1"/>
  <c r="FY29" i="5"/>
  <c r="FX59" i="5"/>
  <c r="FY223" i="3" s="1"/>
  <c r="FY21" i="5"/>
  <c r="GA21" i="5" s="1"/>
  <c r="GB21" i="5" s="1"/>
  <c r="GC21" i="5" s="1"/>
  <c r="GD21" i="5" s="1"/>
  <c r="FB31" i="7"/>
  <c r="FB35" i="7" s="1"/>
  <c r="FB27" i="6" s="1"/>
  <c r="CY45" i="7"/>
  <c r="EW34" i="2"/>
  <c r="CG46" i="7"/>
  <c r="CU46" i="7"/>
  <c r="CU45" i="7"/>
  <c r="CK45" i="7"/>
  <c r="CK46" i="7"/>
  <c r="DB44" i="7"/>
  <c r="CY42" i="7"/>
  <c r="CW44" i="7"/>
  <c r="CO45" i="7"/>
  <c r="CO46" i="7"/>
  <c r="CJ46" i="7"/>
  <c r="CJ45" i="7"/>
  <c r="CL41" i="7"/>
  <c r="CL44" i="7"/>
  <c r="CQ45" i="7" s="1"/>
  <c r="CH46" i="7"/>
  <c r="CR45" i="7"/>
  <c r="CR46" i="7"/>
  <c r="CZ46" i="7"/>
  <c r="CZ45" i="7"/>
  <c r="CQ46" i="7"/>
  <c r="CP46" i="7"/>
  <c r="CP45" i="7"/>
  <c r="CF46" i="7"/>
  <c r="CT46" i="7"/>
  <c r="CT45" i="7"/>
  <c r="DA45" i="7"/>
  <c r="DA46" i="7"/>
  <c r="CV46" i="7"/>
  <c r="CV45" i="7"/>
  <c r="CM45" i="7"/>
  <c r="CM42" i="7"/>
  <c r="CF42" i="7"/>
  <c r="CK41" i="7"/>
  <c r="CK42" i="7"/>
  <c r="CV42" i="7"/>
  <c r="CV41" i="7"/>
  <c r="CG42" i="7"/>
  <c r="CL42" i="7"/>
  <c r="CR42" i="7"/>
  <c r="CR41" i="7"/>
  <c r="CT42" i="7"/>
  <c r="CT41" i="7"/>
  <c r="DA42" i="7"/>
  <c r="DA41" i="7"/>
  <c r="CH42" i="7"/>
  <c r="CM41" i="7"/>
  <c r="CY41" i="7"/>
  <c r="CP41" i="7"/>
  <c r="CP42" i="7"/>
  <c r="CU42" i="7"/>
  <c r="CU41" i="7"/>
  <c r="CJ41" i="7"/>
  <c r="CJ42" i="7"/>
  <c r="CZ42" i="7"/>
  <c r="CZ41" i="7"/>
  <c r="CQ41" i="7"/>
  <c r="CQ42" i="7"/>
  <c r="DB42" i="7"/>
  <c r="DB41" i="7"/>
  <c r="CW41" i="7"/>
  <c r="CW42" i="7"/>
  <c r="CO42" i="7"/>
  <c r="CO41" i="7"/>
  <c r="FE31" i="7"/>
  <c r="FD31" i="7"/>
  <c r="GE42" i="5" l="1"/>
  <c r="GF42" i="5"/>
  <c r="GG42" i="5" s="1"/>
  <c r="GH42" i="5" s="1"/>
  <c r="GI42" i="5" s="1"/>
  <c r="GJ42" i="5" s="1"/>
  <c r="GE21" i="5"/>
  <c r="GF21" i="5"/>
  <c r="GG21" i="5" s="1"/>
  <c r="GH21" i="5" s="1"/>
  <c r="GI21" i="5" s="1"/>
  <c r="GJ21" i="5" s="1"/>
  <c r="GE19" i="5"/>
  <c r="GF19" i="5"/>
  <c r="GG19" i="5" s="1"/>
  <c r="GH19" i="5" s="1"/>
  <c r="GI19" i="5" s="1"/>
  <c r="GJ19" i="5" s="1"/>
  <c r="FB34" i="2"/>
  <c r="GA29" i="5"/>
  <c r="GA38" i="5"/>
  <c r="GD30" i="5"/>
  <c r="GF30" i="5" s="1"/>
  <c r="GG30" i="5" s="1"/>
  <c r="GH30" i="5" s="1"/>
  <c r="GI30" i="5" s="1"/>
  <c r="GJ30" i="5" s="1"/>
  <c r="FE25" i="8"/>
  <c r="FG31" i="7"/>
  <c r="FG35" i="7" s="1"/>
  <c r="FG27" i="6" s="1"/>
  <c r="FB33" i="7"/>
  <c r="FB34" i="7"/>
  <c r="FZ29" i="5"/>
  <c r="FY59" i="5"/>
  <c r="GA223" i="3" s="1"/>
  <c r="FZ42" i="5"/>
  <c r="FZ38" i="5"/>
  <c r="FZ19" i="5"/>
  <c r="FZ21" i="5"/>
  <c r="FY20" i="5"/>
  <c r="GA20" i="5" s="1"/>
  <c r="GB20" i="5" s="1"/>
  <c r="GC20" i="5" s="1"/>
  <c r="GD20" i="5" s="1"/>
  <c r="FE35" i="7"/>
  <c r="FE27" i="6" s="1"/>
  <c r="FE34" i="2" s="1"/>
  <c r="FE34" i="7"/>
  <c r="FD34" i="7"/>
  <c r="EW32" i="2"/>
  <c r="EW31" i="2"/>
  <c r="DB45" i="7"/>
  <c r="DB46" i="7"/>
  <c r="CL46" i="7"/>
  <c r="CL45" i="7"/>
  <c r="CM46" i="7"/>
  <c r="CW46" i="7"/>
  <c r="CW45" i="7"/>
  <c r="CY46" i="7"/>
  <c r="FC31" i="7"/>
  <c r="FD35" i="7" s="1"/>
  <c r="FD27" i="6" s="1"/>
  <c r="FD34" i="2" s="1"/>
  <c r="FJ31" i="7"/>
  <c r="FE33" i="7"/>
  <c r="FF31" i="7"/>
  <c r="FF34" i="7" s="1"/>
  <c r="FB15" i="7"/>
  <c r="FB33" i="5" s="1"/>
  <c r="FB31" i="2" s="1"/>
  <c r="FB28" i="7"/>
  <c r="FB23" i="7" s="1"/>
  <c r="FB40" i="5" s="1"/>
  <c r="FB32" i="2" s="1"/>
  <c r="FI31" i="7"/>
  <c r="FD28" i="7"/>
  <c r="FD23" i="7" s="1"/>
  <c r="FD40" i="5" s="1"/>
  <c r="FD32" i="2" s="1"/>
  <c r="FD15" i="7"/>
  <c r="FD33" i="5" s="1"/>
  <c r="FD31" i="2" s="1"/>
  <c r="GB29" i="5" l="1"/>
  <c r="GC29" i="5" s="1"/>
  <c r="GA59" i="5"/>
  <c r="GB223" i="3" s="1"/>
  <c r="GE20" i="5"/>
  <c r="GF20" i="5"/>
  <c r="GG20" i="5" s="1"/>
  <c r="GH20" i="5" s="1"/>
  <c r="GI20" i="5" s="1"/>
  <c r="GJ20" i="5" s="1"/>
  <c r="FG34" i="2"/>
  <c r="GB38" i="5"/>
  <c r="GB59" i="5" s="1"/>
  <c r="GC223" i="3" s="1"/>
  <c r="GE30" i="5"/>
  <c r="FL31" i="7"/>
  <c r="FL34" i="7" s="1"/>
  <c r="FG33" i="7"/>
  <c r="FG34" i="7"/>
  <c r="FF25" i="8"/>
  <c r="FG25" i="8"/>
  <c r="FZ59" i="5"/>
  <c r="FZ223" i="3" s="1"/>
  <c r="FZ20" i="5"/>
  <c r="EV33" i="5"/>
  <c r="FD33" i="7"/>
  <c r="FJ35" i="7"/>
  <c r="FJ27" i="6" s="1"/>
  <c r="FJ34" i="2" s="1"/>
  <c r="FJ34" i="7"/>
  <c r="FC34" i="7"/>
  <c r="FC35" i="7"/>
  <c r="FC27" i="6" s="1"/>
  <c r="FF27" i="6" s="1"/>
  <c r="FI34" i="7"/>
  <c r="FB27" i="7"/>
  <c r="FB53" i="7" s="1"/>
  <c r="FB19" i="7"/>
  <c r="FB48" i="7" s="1"/>
  <c r="FD26" i="7"/>
  <c r="FD24" i="7"/>
  <c r="FO31" i="7"/>
  <c r="FJ33" i="7"/>
  <c r="FK31" i="7"/>
  <c r="FK34" i="7" s="1"/>
  <c r="FI15" i="7"/>
  <c r="FI28" i="7"/>
  <c r="FI23" i="7" s="1"/>
  <c r="FG15" i="7"/>
  <c r="FG28" i="7"/>
  <c r="FG23" i="7" s="1"/>
  <c r="FB25" i="7"/>
  <c r="FB26" i="7"/>
  <c r="FB24" i="7"/>
  <c r="FB17" i="7"/>
  <c r="FB18" i="7"/>
  <c r="FB16" i="7"/>
  <c r="FF32" i="7"/>
  <c r="FC33" i="7"/>
  <c r="FH31" i="7"/>
  <c r="FI35" i="7" s="1"/>
  <c r="FI27" i="6" s="1"/>
  <c r="FI34" i="2" s="1"/>
  <c r="FD18" i="7"/>
  <c r="FD16" i="7"/>
  <c r="FN31" i="7"/>
  <c r="FC28" i="7"/>
  <c r="FC23" i="7" s="1"/>
  <c r="FC15" i="7"/>
  <c r="FC33" i="5" s="1"/>
  <c r="FC31" i="2" s="1"/>
  <c r="FE28" i="7"/>
  <c r="FE23" i="7" s="1"/>
  <c r="FE40" i="5" s="1"/>
  <c r="FE15" i="7"/>
  <c r="FE33" i="5" s="1"/>
  <c r="FE31" i="2" s="1"/>
  <c r="FL33" i="7" l="1"/>
  <c r="FL35" i="7"/>
  <c r="FL27" i="6" s="1"/>
  <c r="FQ31" i="7"/>
  <c r="FQ35" i="7" s="1"/>
  <c r="FQ27" i="6" s="1"/>
  <c r="FL34" i="2"/>
  <c r="GC38" i="5"/>
  <c r="GC59" i="5" s="1"/>
  <c r="GD223" i="3" s="1"/>
  <c r="EV31" i="2"/>
  <c r="EV15" i="7"/>
  <c r="GD29" i="5"/>
  <c r="FH25" i="8"/>
  <c r="FF34" i="2"/>
  <c r="FC34" i="2"/>
  <c r="FF40" i="5"/>
  <c r="FF32" i="2" s="1"/>
  <c r="FE32" i="2"/>
  <c r="FD19" i="7"/>
  <c r="FD48" i="7" s="1"/>
  <c r="FC27" i="7"/>
  <c r="FC53" i="7" s="1"/>
  <c r="FC40" i="5"/>
  <c r="FC32" i="2" s="1"/>
  <c r="FO35" i="7"/>
  <c r="FO27" i="6" s="1"/>
  <c r="FO34" i="2" s="1"/>
  <c r="FO34" i="7"/>
  <c r="FN34" i="7"/>
  <c r="FI33" i="7"/>
  <c r="FH35" i="7"/>
  <c r="FH27" i="6" s="1"/>
  <c r="FK27" i="6" s="1"/>
  <c r="FH34" i="7"/>
  <c r="FE19" i="7"/>
  <c r="FE48" i="7" s="1"/>
  <c r="FI40" i="5"/>
  <c r="FI32" i="2" s="1"/>
  <c r="FI33" i="5"/>
  <c r="FI31" i="2" s="1"/>
  <c r="FG33" i="5"/>
  <c r="FG31" i="2" s="1"/>
  <c r="FG19" i="7"/>
  <c r="FG48" i="7" s="1"/>
  <c r="FD27" i="7"/>
  <c r="FD53" i="7" s="1"/>
  <c r="FG40" i="5"/>
  <c r="FG32" i="2" s="1"/>
  <c r="FG27" i="7"/>
  <c r="FG53" i="7" s="1"/>
  <c r="FE27" i="7"/>
  <c r="FE53" i="7" s="1"/>
  <c r="FC19" i="7"/>
  <c r="FC48" i="7" s="1"/>
  <c r="FD25" i="7"/>
  <c r="FQ33" i="7"/>
  <c r="FV31" i="7"/>
  <c r="GA31" i="7" s="1"/>
  <c r="FI18" i="7"/>
  <c r="FI16" i="7"/>
  <c r="FK32" i="7"/>
  <c r="FI26" i="7"/>
  <c r="FI24" i="7"/>
  <c r="FT31" i="7"/>
  <c r="FP31" i="7"/>
  <c r="FP34" i="7" s="1"/>
  <c r="FO33" i="7"/>
  <c r="FS31" i="7"/>
  <c r="FC18" i="7"/>
  <c r="FC17" i="7"/>
  <c r="FC16" i="7"/>
  <c r="FC26" i="7"/>
  <c r="FC25" i="7"/>
  <c r="FC24" i="7"/>
  <c r="FH15" i="7"/>
  <c r="FI19" i="7" s="1"/>
  <c r="FI48" i="7" s="1"/>
  <c r="FH28" i="7"/>
  <c r="FH23" i="7" s="1"/>
  <c r="FI27" i="7" s="1"/>
  <c r="FI53" i="7" s="1"/>
  <c r="FL15" i="7"/>
  <c r="FL28" i="7"/>
  <c r="FL23" i="7" s="1"/>
  <c r="FF15" i="7"/>
  <c r="FF33" i="5" s="1"/>
  <c r="FF31" i="2" s="1"/>
  <c r="FE18" i="7"/>
  <c r="FE16" i="7"/>
  <c r="FE17" i="7"/>
  <c r="FG17" i="7"/>
  <c r="FG18" i="7"/>
  <c r="FG16" i="7"/>
  <c r="FJ15" i="7"/>
  <c r="FJ28" i="7"/>
  <c r="FJ23" i="7" s="1"/>
  <c r="FN28" i="7"/>
  <c r="FN23" i="7" s="1"/>
  <c r="FN15" i="7"/>
  <c r="FF23" i="7"/>
  <c r="FE26" i="7"/>
  <c r="FE24" i="7"/>
  <c r="FE25" i="7"/>
  <c r="FH33" i="7"/>
  <c r="FM31" i="7"/>
  <c r="FD17" i="7"/>
  <c r="FG25" i="7"/>
  <c r="FG26" i="7"/>
  <c r="FG24" i="7"/>
  <c r="FQ34" i="7" l="1"/>
  <c r="GF29" i="5"/>
  <c r="GG29" i="5" s="1"/>
  <c r="GH29" i="5" s="1"/>
  <c r="GI29" i="5" s="1"/>
  <c r="GJ29" i="5" s="1"/>
  <c r="FA18" i="7"/>
  <c r="FA16" i="7"/>
  <c r="FQ34" i="2"/>
  <c r="GD38" i="5"/>
  <c r="GF38" i="5" s="1"/>
  <c r="GA34" i="7"/>
  <c r="FF48" i="7"/>
  <c r="GE29" i="5"/>
  <c r="FI25" i="8"/>
  <c r="FF53" i="7"/>
  <c r="FK34" i="2"/>
  <c r="FH34" i="2"/>
  <c r="FM35" i="7"/>
  <c r="FM27" i="6" s="1"/>
  <c r="FM34" i="2" s="1"/>
  <c r="FM34" i="7"/>
  <c r="FT35" i="7"/>
  <c r="FT27" i="6" s="1"/>
  <c r="FT34" i="2" s="1"/>
  <c r="FT34" i="7"/>
  <c r="FN35" i="7"/>
  <c r="FN27" i="6" s="1"/>
  <c r="FN34" i="2" s="1"/>
  <c r="FV35" i="7"/>
  <c r="FV34" i="7"/>
  <c r="FS34" i="7"/>
  <c r="FH40" i="5"/>
  <c r="FH32" i="2" s="1"/>
  <c r="FH27" i="7"/>
  <c r="FH53" i="7" s="1"/>
  <c r="FL40" i="5"/>
  <c r="FL32" i="2" s="1"/>
  <c r="FL27" i="7"/>
  <c r="FL53" i="7" s="1"/>
  <c r="FL33" i="5"/>
  <c r="FL31" i="2" s="1"/>
  <c r="FL19" i="7"/>
  <c r="FL48" i="7" s="1"/>
  <c r="FJ40" i="5"/>
  <c r="FJ27" i="7"/>
  <c r="FJ53" i="7" s="1"/>
  <c r="FJ33" i="5"/>
  <c r="FJ31" i="2" s="1"/>
  <c r="FJ19" i="7"/>
  <c r="FJ48" i="7" s="1"/>
  <c r="FH33" i="5"/>
  <c r="FH31" i="2" s="1"/>
  <c r="FH19" i="7"/>
  <c r="FH48" i="7" s="1"/>
  <c r="FN40" i="5"/>
  <c r="FN32" i="2" s="1"/>
  <c r="FN33" i="5"/>
  <c r="FN31" i="2" s="1"/>
  <c r="FI17" i="7"/>
  <c r="FN26" i="7"/>
  <c r="FN24" i="7"/>
  <c r="FK23" i="7"/>
  <c r="FJ26" i="7"/>
  <c r="FJ24" i="7"/>
  <c r="FJ25" i="7"/>
  <c r="FQ15" i="7"/>
  <c r="FQ28" i="7"/>
  <c r="FQ23" i="7" s="1"/>
  <c r="FY31" i="7"/>
  <c r="FT33" i="7"/>
  <c r="FU31" i="7"/>
  <c r="FU34" i="7" s="1"/>
  <c r="FS28" i="7"/>
  <c r="FS23" i="7" s="1"/>
  <c r="FS15" i="7"/>
  <c r="FF16" i="7"/>
  <c r="FF18" i="7"/>
  <c r="FF20" i="7"/>
  <c r="FM15" i="7"/>
  <c r="FM28" i="7"/>
  <c r="FM23" i="7" s="1"/>
  <c r="FH26" i="7"/>
  <c r="FH25" i="7"/>
  <c r="FH24" i="7"/>
  <c r="FO28" i="7"/>
  <c r="FO23" i="7" s="1"/>
  <c r="FO15" i="7"/>
  <c r="FM33" i="7"/>
  <c r="FR31" i="7"/>
  <c r="FS35" i="7" s="1"/>
  <c r="FS27" i="6" s="1"/>
  <c r="FS34" i="2" s="1"/>
  <c r="FF26" i="7"/>
  <c r="FF24" i="7"/>
  <c r="FJ18" i="7"/>
  <c r="FJ16" i="7"/>
  <c r="FJ17" i="7"/>
  <c r="FK15" i="7"/>
  <c r="FK33" i="5" s="1"/>
  <c r="FK31" i="2" s="1"/>
  <c r="FL16" i="7"/>
  <c r="FL17" i="7"/>
  <c r="FL18" i="7"/>
  <c r="FV33" i="7"/>
  <c r="FH18" i="7"/>
  <c r="FH17" i="7"/>
  <c r="FH16" i="7"/>
  <c r="FX31" i="7"/>
  <c r="GC31" i="7" s="1"/>
  <c r="FL25" i="7"/>
  <c r="FL24" i="7"/>
  <c r="FL26" i="7"/>
  <c r="FN18" i="7"/>
  <c r="FN16" i="7"/>
  <c r="FN33" i="7"/>
  <c r="FP32" i="7"/>
  <c r="FI25" i="7"/>
  <c r="FP27" i="6" l="1"/>
  <c r="FP34" i="2" s="1"/>
  <c r="GG38" i="5"/>
  <c r="GF59" i="5"/>
  <c r="GG223" i="3" s="1"/>
  <c r="GE38" i="5"/>
  <c r="GD59" i="5"/>
  <c r="GF223" i="3" s="1"/>
  <c r="FK53" i="7"/>
  <c r="GC34" i="7"/>
  <c r="GA28" i="7"/>
  <c r="GA23" i="7" s="1"/>
  <c r="GA15" i="7"/>
  <c r="GC28" i="7"/>
  <c r="GC23" i="7" s="1"/>
  <c r="GC15" i="7"/>
  <c r="GD31" i="7"/>
  <c r="GA35" i="7"/>
  <c r="GA27" i="6" s="1"/>
  <c r="GA33" i="7"/>
  <c r="FK48" i="7"/>
  <c r="FJ25" i="8"/>
  <c r="FV27" i="6"/>
  <c r="FK40" i="5"/>
  <c r="FK32" i="2" s="1"/>
  <c r="FJ32" i="2"/>
  <c r="FQ19" i="7"/>
  <c r="FQ48" i="7" s="1"/>
  <c r="FY34" i="7"/>
  <c r="FY35" i="7"/>
  <c r="FX34" i="7"/>
  <c r="FS33" i="7"/>
  <c r="FR34" i="7"/>
  <c r="FR35" i="7"/>
  <c r="FR27" i="6" s="1"/>
  <c r="FU27" i="6" s="1"/>
  <c r="FM33" i="5"/>
  <c r="FM31" i="2" s="1"/>
  <c r="FM19" i="7"/>
  <c r="FM48" i="7" s="1"/>
  <c r="FQ40" i="5"/>
  <c r="FQ32" i="2" s="1"/>
  <c r="FQ27" i="7"/>
  <c r="FQ53" i="7" s="1"/>
  <c r="FN19" i="7"/>
  <c r="FN48" i="7" s="1"/>
  <c r="FO40" i="5"/>
  <c r="FO27" i="7"/>
  <c r="FO53" i="7" s="1"/>
  <c r="FS40" i="5"/>
  <c r="FS32" i="2" s="1"/>
  <c r="FM40" i="5"/>
  <c r="FM32" i="2" s="1"/>
  <c r="FM27" i="7"/>
  <c r="FM53" i="7" s="1"/>
  <c r="FN27" i="7"/>
  <c r="FN53" i="7" s="1"/>
  <c r="FO33" i="5"/>
  <c r="FO31" i="2" s="1"/>
  <c r="FO19" i="7"/>
  <c r="FO48" i="7" s="1"/>
  <c r="FS33" i="5"/>
  <c r="FS31" i="2" s="1"/>
  <c r="FQ33" i="5"/>
  <c r="FQ31" i="2" s="1"/>
  <c r="FN17" i="7"/>
  <c r="FM26" i="7"/>
  <c r="FM24" i="7"/>
  <c r="FM25" i="7"/>
  <c r="FN25" i="7"/>
  <c r="FQ24" i="7"/>
  <c r="FQ25" i="7"/>
  <c r="FQ26" i="7"/>
  <c r="FP15" i="7"/>
  <c r="FP33" i="5" s="1"/>
  <c r="FP31" i="2" s="1"/>
  <c r="FO18" i="7"/>
  <c r="FO16" i="7"/>
  <c r="FO17" i="7"/>
  <c r="FS26" i="7"/>
  <c r="FS24" i="7"/>
  <c r="FP23" i="7"/>
  <c r="FO26" i="7"/>
  <c r="FO25" i="7"/>
  <c r="FO24" i="7"/>
  <c r="FR28" i="7"/>
  <c r="FR23" i="7" s="1"/>
  <c r="FR15" i="7"/>
  <c r="FR19" i="7" s="1"/>
  <c r="FR48" i="7" s="1"/>
  <c r="FS18" i="7"/>
  <c r="FS16" i="7"/>
  <c r="FZ31" i="7"/>
  <c r="FZ34" i="7" s="1"/>
  <c r="FY33" i="7"/>
  <c r="FK24" i="7"/>
  <c r="FK26" i="7"/>
  <c r="FR33" i="7"/>
  <c r="FW31" i="7"/>
  <c r="GB31" i="7" s="1"/>
  <c r="GC35" i="7" s="1"/>
  <c r="GC27" i="6" s="1"/>
  <c r="GC34" i="2" s="1"/>
  <c r="FM18" i="7"/>
  <c r="FM17" i="7"/>
  <c r="FM16" i="7"/>
  <c r="FX28" i="7"/>
  <c r="FX23" i="7" s="1"/>
  <c r="FX15" i="7"/>
  <c r="FU32" i="7"/>
  <c r="FV15" i="7"/>
  <c r="FV28" i="7"/>
  <c r="FV23" i="7" s="1"/>
  <c r="FT15" i="7"/>
  <c r="FT19" i="7" s="1"/>
  <c r="FT48" i="7" s="1"/>
  <c r="FT28" i="7"/>
  <c r="FT23" i="7" s="1"/>
  <c r="FQ17" i="7"/>
  <c r="FQ18" i="7"/>
  <c r="FQ16" i="7"/>
  <c r="FK16" i="7"/>
  <c r="FK18" i="7"/>
  <c r="FK20" i="7"/>
  <c r="GE59" i="5" l="1"/>
  <c r="GE223" i="3" s="1"/>
  <c r="GH38" i="5"/>
  <c r="GG59" i="5"/>
  <c r="GH223" i="3" s="1"/>
  <c r="FV34" i="2"/>
  <c r="GA18" i="7"/>
  <c r="GA33" i="5"/>
  <c r="GA31" i="2" s="1"/>
  <c r="GA16" i="7"/>
  <c r="GA40" i="5"/>
  <c r="GA32" i="2" s="1"/>
  <c r="GA24" i="7"/>
  <c r="GA26" i="7"/>
  <c r="GB28" i="7"/>
  <c r="GB23" i="7" s="1"/>
  <c r="GC25" i="7" s="1"/>
  <c r="GB15" i="7"/>
  <c r="GC17" i="7" s="1"/>
  <c r="GC33" i="7"/>
  <c r="GC18" i="7"/>
  <c r="GC33" i="5"/>
  <c r="GC31" i="2" s="1"/>
  <c r="GC16" i="7"/>
  <c r="GC26" i="7"/>
  <c r="GC40" i="5"/>
  <c r="GC32" i="2" s="1"/>
  <c r="GC24" i="7"/>
  <c r="GB35" i="7"/>
  <c r="GB27" i="6" s="1"/>
  <c r="GB34" i="2" s="1"/>
  <c r="GB34" i="7"/>
  <c r="GB33" i="7"/>
  <c r="GA34" i="2"/>
  <c r="GD33" i="7"/>
  <c r="GD34" i="7"/>
  <c r="GE31" i="7"/>
  <c r="GD35" i="7"/>
  <c r="GD27" i="6" s="1"/>
  <c r="GD34" i="2" s="1"/>
  <c r="GD15" i="7"/>
  <c r="GD28" i="7"/>
  <c r="GD23" i="7" s="1"/>
  <c r="FP53" i="7"/>
  <c r="FL25" i="8"/>
  <c r="FK25" i="8"/>
  <c r="FP48" i="7"/>
  <c r="FY27" i="6"/>
  <c r="FY34" i="2" s="1"/>
  <c r="FU34" i="2"/>
  <c r="FR34" i="2"/>
  <c r="FP40" i="5"/>
  <c r="FP32" i="2" s="1"/>
  <c r="FO32" i="2"/>
  <c r="FV19" i="7"/>
  <c r="FV48" i="7" s="1"/>
  <c r="FW35" i="7"/>
  <c r="FW34" i="7"/>
  <c r="FX35" i="7"/>
  <c r="FS19" i="7"/>
  <c r="FS48" i="7" s="1"/>
  <c r="FU48" i="7" s="1"/>
  <c r="FR40" i="5"/>
  <c r="FR32" i="2" s="1"/>
  <c r="FR27" i="7"/>
  <c r="FR53" i="7" s="1"/>
  <c r="FS27" i="7"/>
  <c r="FS53" i="7" s="1"/>
  <c r="FT40" i="5"/>
  <c r="FT27" i="7"/>
  <c r="FT53" i="7" s="1"/>
  <c r="FX40" i="5"/>
  <c r="FX32" i="2" s="1"/>
  <c r="FV40" i="5"/>
  <c r="FV32" i="2" s="1"/>
  <c r="FV27" i="7"/>
  <c r="FV53" i="7" s="1"/>
  <c r="FT33" i="5"/>
  <c r="FT31" i="2" s="1"/>
  <c r="FV33" i="5"/>
  <c r="FV31" i="2" s="1"/>
  <c r="FX33" i="5"/>
  <c r="FX31" i="2" s="1"/>
  <c r="FR33" i="5"/>
  <c r="FR31" i="2" s="1"/>
  <c r="FX26" i="7"/>
  <c r="FX24" i="7"/>
  <c r="FR26" i="7"/>
  <c r="FR25" i="7"/>
  <c r="FR24" i="7"/>
  <c r="FS25" i="7"/>
  <c r="FV25" i="7"/>
  <c r="FV26" i="7"/>
  <c r="FV24" i="7"/>
  <c r="FW28" i="7"/>
  <c r="FW23" i="7" s="1"/>
  <c r="FW15" i="7"/>
  <c r="FW33" i="7"/>
  <c r="FY28" i="7"/>
  <c r="FY23" i="7" s="1"/>
  <c r="FY15" i="7"/>
  <c r="FR18" i="7"/>
  <c r="FR17" i="7"/>
  <c r="FR16" i="7"/>
  <c r="FS17" i="7"/>
  <c r="FZ32" i="7"/>
  <c r="FP16" i="7"/>
  <c r="FP18" i="7"/>
  <c r="FP20" i="7"/>
  <c r="FX18" i="7"/>
  <c r="FX16" i="7"/>
  <c r="FP24" i="7"/>
  <c r="FP26" i="7"/>
  <c r="FV16" i="7"/>
  <c r="FV17" i="7"/>
  <c r="FV18" i="7"/>
  <c r="FU23" i="7"/>
  <c r="FT26" i="7"/>
  <c r="FT24" i="7"/>
  <c r="FT25" i="7"/>
  <c r="FU15" i="7"/>
  <c r="FU33" i="5" s="1"/>
  <c r="FU31" i="2" s="1"/>
  <c r="FT18" i="7"/>
  <c r="FT17" i="7"/>
  <c r="FT16" i="7"/>
  <c r="FX33" i="7"/>
  <c r="GI38" i="5" l="1"/>
  <c r="GH59" i="5"/>
  <c r="GI223" i="3" s="1"/>
  <c r="GE27" i="6"/>
  <c r="GE34" i="2" s="1"/>
  <c r="GC19" i="7"/>
  <c r="GC48" i="7" s="1"/>
  <c r="GC27" i="7"/>
  <c r="GC53" i="7" s="1"/>
  <c r="GB18" i="7"/>
  <c r="GB33" i="5"/>
  <c r="GB31" i="2" s="1"/>
  <c r="GB17" i="7"/>
  <c r="GB19" i="7"/>
  <c r="GB48" i="7" s="1"/>
  <c r="GB16" i="7"/>
  <c r="GB24" i="7"/>
  <c r="GB25" i="7"/>
  <c r="GB26" i="7"/>
  <c r="GB40" i="5"/>
  <c r="GB32" i="2" s="1"/>
  <c r="GB27" i="7"/>
  <c r="GB53" i="7" s="1"/>
  <c r="GD40" i="5"/>
  <c r="GD26" i="7"/>
  <c r="GD24" i="7"/>
  <c r="GD25" i="7"/>
  <c r="GD27" i="7"/>
  <c r="GD53" i="7" s="1"/>
  <c r="GE23" i="7"/>
  <c r="GE34" i="7"/>
  <c r="GE32" i="7"/>
  <c r="FY19" i="7"/>
  <c r="FY48" i="7" s="1"/>
  <c r="GA17" i="7"/>
  <c r="GA19" i="7"/>
  <c r="GA48" i="7" s="1"/>
  <c r="FU53" i="7"/>
  <c r="GD17" i="7"/>
  <c r="GD33" i="5"/>
  <c r="GD31" i="2" s="1"/>
  <c r="GD18" i="7"/>
  <c r="GD19" i="7"/>
  <c r="GD48" i="7" s="1"/>
  <c r="GE15" i="7"/>
  <c r="GD16" i="7"/>
  <c r="GA25" i="7"/>
  <c r="GA27" i="7"/>
  <c r="GA53" i="7" s="1"/>
  <c r="FM25" i="8"/>
  <c r="FX27" i="6"/>
  <c r="FX34" i="2" s="1"/>
  <c r="FW27" i="6"/>
  <c r="FU40" i="5"/>
  <c r="FU32" i="2" s="1"/>
  <c r="FT32" i="2"/>
  <c r="FW33" i="5"/>
  <c r="FW31" i="2" s="1"/>
  <c r="FW19" i="7"/>
  <c r="FW48" i="7" s="1"/>
  <c r="FX19" i="7"/>
  <c r="FX48" i="7" s="1"/>
  <c r="FW40" i="5"/>
  <c r="FW32" i="2" s="1"/>
  <c r="FW27" i="7"/>
  <c r="FW53" i="7" s="1"/>
  <c r="FX27" i="7"/>
  <c r="FX53" i="7" s="1"/>
  <c r="FY40" i="5"/>
  <c r="FY27" i="7"/>
  <c r="FY53" i="7" s="1"/>
  <c r="FY33" i="5"/>
  <c r="FY31" i="2" s="1"/>
  <c r="FX17" i="7"/>
  <c r="FW26" i="7"/>
  <c r="FW25" i="7"/>
  <c r="FW24" i="7"/>
  <c r="FU18" i="7"/>
  <c r="FU20" i="7"/>
  <c r="FU16" i="7"/>
  <c r="FZ15" i="7"/>
  <c r="FZ33" i="5" s="1"/>
  <c r="FZ31" i="2" s="1"/>
  <c r="FY17" i="7"/>
  <c r="FY18" i="7"/>
  <c r="FY16" i="7"/>
  <c r="FW18" i="7"/>
  <c r="FW16" i="7"/>
  <c r="FW17" i="7"/>
  <c r="FX25" i="7"/>
  <c r="FZ23" i="7"/>
  <c r="FY24" i="7"/>
  <c r="FY26" i="7"/>
  <c r="FY25" i="7"/>
  <c r="FU24" i="7"/>
  <c r="FU26" i="7"/>
  <c r="FZ27" i="6" l="1"/>
  <c r="FZ34" i="2" s="1"/>
  <c r="GJ38" i="5"/>
  <c r="GJ59" i="5" s="1"/>
  <c r="GJ223" i="3" s="1"/>
  <c r="GI59" i="5"/>
  <c r="FZ53" i="7"/>
  <c r="GE53" i="7"/>
  <c r="GE26" i="7"/>
  <c r="GE24" i="7"/>
  <c r="FZ48" i="7"/>
  <c r="GE20" i="7"/>
  <c r="GE33" i="5"/>
  <c r="GE31" i="2" s="1"/>
  <c r="GE18" i="7"/>
  <c r="GE16" i="7"/>
  <c r="GE48" i="7"/>
  <c r="GE40" i="5"/>
  <c r="GE32" i="2" s="1"/>
  <c r="GD32" i="2"/>
  <c r="FN25" i="8"/>
  <c r="FW34" i="2"/>
  <c r="FZ40" i="5"/>
  <c r="FZ32" i="2" s="1"/>
  <c r="FY32" i="2"/>
  <c r="FZ20" i="7"/>
  <c r="FZ16" i="7"/>
  <c r="FZ18" i="7"/>
  <c r="FZ24" i="7"/>
  <c r="FZ26" i="7"/>
  <c r="FO25" i="8" l="1"/>
  <c r="FO59" i="5"/>
  <c r="FQ223" i="3" s="1"/>
  <c r="FN59" i="5"/>
  <c r="FO223" i="3" s="1"/>
  <c r="FM59" i="5"/>
  <c r="FN223" i="3" s="1"/>
  <c r="FL59" i="5"/>
  <c r="FM223" i="3" s="1"/>
  <c r="FJ59" i="5"/>
  <c r="FL223" i="3" s="1"/>
  <c r="FI59" i="5"/>
  <c r="FJ223" i="3" s="1"/>
  <c r="FH59" i="5"/>
  <c r="FI223" i="3" s="1"/>
  <c r="FG59" i="5"/>
  <c r="FH223" i="3" s="1"/>
  <c r="FB223" i="3"/>
  <c r="EV57" i="6"/>
  <c r="EV41" i="6"/>
  <c r="EV40" i="6"/>
  <c r="EV38" i="6"/>
  <c r="EV36" i="6"/>
  <c r="EV55" i="6"/>
  <c r="EV53" i="6"/>
  <c r="EV52" i="6"/>
  <c r="EV51" i="6"/>
  <c r="EV50" i="6"/>
  <c r="EV17" i="6"/>
  <c r="EV15" i="6"/>
  <c r="ES46" i="6"/>
  <c r="DB57" i="5"/>
  <c r="DA57" i="5"/>
  <c r="CZ57" i="5"/>
  <c r="CY57" i="5"/>
  <c r="CW57" i="5"/>
  <c r="CV57" i="5"/>
  <c r="CU57" i="5"/>
  <c r="CT57" i="5"/>
  <c r="CR57" i="5"/>
  <c r="CQ57" i="5"/>
  <c r="CP57" i="5"/>
  <c r="CO57" i="5"/>
  <c r="CM57" i="5"/>
  <c r="CL57" i="5"/>
  <c r="CK57" i="5"/>
  <c r="CJ57" i="5"/>
  <c r="CF57" i="5"/>
  <c r="CG57" i="5"/>
  <c r="CH57" i="5"/>
  <c r="CE57" i="5"/>
  <c r="CY77" i="17"/>
  <c r="CZ77" i="17"/>
  <c r="DA77" i="17"/>
  <c r="DB77" i="17"/>
  <c r="DD77" i="17"/>
  <c r="DE77" i="17"/>
  <c r="DF77" i="17"/>
  <c r="DG77" i="17"/>
  <c r="DI77" i="17"/>
  <c r="DJ77" i="17"/>
  <c r="DK77" i="17"/>
  <c r="DL77" i="17"/>
  <c r="DN77" i="17"/>
  <c r="DO77" i="17"/>
  <c r="DP77" i="17"/>
  <c r="DQ77" i="17"/>
  <c r="DS77" i="17"/>
  <c r="DT77" i="17"/>
  <c r="DU77" i="17"/>
  <c r="DV77" i="17"/>
  <c r="DX77" i="17"/>
  <c r="DY77" i="17"/>
  <c r="DZ77" i="17"/>
  <c r="EA77" i="17"/>
  <c r="EC77" i="17"/>
  <c r="ED77" i="17"/>
  <c r="EE77" i="17"/>
  <c r="EF77" i="17"/>
  <c r="EH77" i="17"/>
  <c r="EI77" i="17"/>
  <c r="EJ77" i="17"/>
  <c r="EK77" i="17"/>
  <c r="EM77" i="17"/>
  <c r="EN77" i="17"/>
  <c r="EO77" i="17"/>
  <c r="ET78" i="17" s="1"/>
  <c r="EP77" i="17"/>
  <c r="EU78" i="17" s="1"/>
  <c r="ER77" i="17"/>
  <c r="CY77" i="14"/>
  <c r="CZ77" i="14"/>
  <c r="DA77" i="14"/>
  <c r="DB77" i="14"/>
  <c r="DD77" i="14"/>
  <c r="DE77" i="14"/>
  <c r="DF77" i="14"/>
  <c r="DG77" i="14"/>
  <c r="DI77" i="14"/>
  <c r="DJ77" i="14"/>
  <c r="DK77" i="14"/>
  <c r="DL77" i="14"/>
  <c r="DN77" i="14"/>
  <c r="DO77" i="14"/>
  <c r="DP77" i="14"/>
  <c r="DQ77" i="14"/>
  <c r="DS77" i="14"/>
  <c r="DT77" i="14"/>
  <c r="DU77" i="14"/>
  <c r="DV77" i="14"/>
  <c r="DX77" i="14"/>
  <c r="DY77" i="14"/>
  <c r="DZ77" i="14"/>
  <c r="EA77" i="14"/>
  <c r="EC77" i="14"/>
  <c r="ED77" i="14"/>
  <c r="EE77" i="14"/>
  <c r="EF77" i="14"/>
  <c r="EH77" i="14"/>
  <c r="EI77" i="14"/>
  <c r="EJ77" i="14"/>
  <c r="EK77" i="14"/>
  <c r="EM77" i="14"/>
  <c r="EN77" i="14"/>
  <c r="EO77" i="14"/>
  <c r="ET78" i="14" s="1"/>
  <c r="EP77" i="14"/>
  <c r="EU78" i="14" s="1"/>
  <c r="ER77" i="14"/>
  <c r="DQ148" i="14"/>
  <c r="DL148" i="14"/>
  <c r="DG148" i="14"/>
  <c r="FP25" i="8" l="1"/>
  <c r="FQ25" i="8"/>
  <c r="ED78" i="17"/>
  <c r="EK78" i="17"/>
  <c r="DO78" i="17"/>
  <c r="DV78" i="17"/>
  <c r="EE78" i="14"/>
  <c r="DI78" i="14"/>
  <c r="EM78" i="14"/>
  <c r="DX78" i="14"/>
  <c r="DP78" i="14"/>
  <c r="DL78" i="14"/>
  <c r="DN78" i="17"/>
  <c r="DT78" i="17"/>
  <c r="EJ78" i="17"/>
  <c r="DU78" i="17"/>
  <c r="DS78" i="17"/>
  <c r="EC78" i="17"/>
  <c r="ED78" i="14"/>
  <c r="DV78" i="14"/>
  <c r="DO78" i="14"/>
  <c r="EK78" i="14"/>
  <c r="EJ78" i="14"/>
  <c r="DU78" i="14"/>
  <c r="EI78" i="14"/>
  <c r="DT78" i="14"/>
  <c r="EO78" i="14"/>
  <c r="EH78" i="14"/>
  <c r="DZ78" i="14"/>
  <c r="DS78" i="14"/>
  <c r="DK78" i="14"/>
  <c r="ER78" i="14"/>
  <c r="EC78" i="14"/>
  <c r="DN78" i="14"/>
  <c r="EP78" i="14"/>
  <c r="EA78" i="14"/>
  <c r="EN78" i="14"/>
  <c r="ES78" i="14"/>
  <c r="EF78" i="14"/>
  <c r="DY78" i="14"/>
  <c r="DQ78" i="14"/>
  <c r="DJ78" i="14"/>
  <c r="ER78" i="17"/>
  <c r="EP78" i="17"/>
  <c r="EA78" i="17"/>
  <c r="DZ78" i="17"/>
  <c r="EN78" i="17"/>
  <c r="ES78" i="17"/>
  <c r="EF78" i="17"/>
  <c r="DY78" i="17"/>
  <c r="DQ78" i="17"/>
  <c r="DJ78" i="17"/>
  <c r="EI78" i="17"/>
  <c r="DL78" i="17"/>
  <c r="EO78" i="17"/>
  <c r="EH78" i="17"/>
  <c r="DK78" i="17"/>
  <c r="EM78" i="17"/>
  <c r="EE78" i="17"/>
  <c r="DX78" i="17"/>
  <c r="DP78" i="17"/>
  <c r="DI78" i="17"/>
  <c r="FB14" i="5"/>
  <c r="FC14" i="5" s="1"/>
  <c r="FD14" i="5" s="1"/>
  <c r="FE14" i="5" s="1"/>
  <c r="FF14" i="5" s="1"/>
  <c r="CS301" i="14"/>
  <c r="CX301" i="14"/>
  <c r="CR98" i="14"/>
  <c r="CV97" i="14"/>
  <c r="CW275" i="14"/>
  <c r="DB275" i="14"/>
  <c r="DA275" i="14"/>
  <c r="CZ275" i="14"/>
  <c r="CY275" i="14"/>
  <c r="DG275" i="14"/>
  <c r="DF275" i="14"/>
  <c r="DE275" i="14"/>
  <c r="DD275" i="14"/>
  <c r="DL275" i="14"/>
  <c r="DK275" i="14"/>
  <c r="DJ275" i="14"/>
  <c r="DI275" i="14"/>
  <c r="DQ275" i="14"/>
  <c r="DP275" i="14"/>
  <c r="DO275" i="14"/>
  <c r="DN275" i="14"/>
  <c r="DV275" i="14"/>
  <c r="DU275" i="14"/>
  <c r="DT275" i="14"/>
  <c r="DS275" i="14"/>
  <c r="EA275" i="14"/>
  <c r="DZ275" i="14"/>
  <c r="DY275" i="14"/>
  <c r="DX275" i="14"/>
  <c r="EF275" i="14"/>
  <c r="EE275" i="14"/>
  <c r="ED275" i="14"/>
  <c r="EC275" i="14"/>
  <c r="EK275" i="14"/>
  <c r="EJ275" i="14"/>
  <c r="EI275" i="14"/>
  <c r="EH275" i="14"/>
  <c r="EM275" i="14"/>
  <c r="EN275" i="14"/>
  <c r="EO275" i="14"/>
  <c r="EP275" i="14"/>
  <c r="ER275" i="14"/>
  <c r="CX273" i="14"/>
  <c r="DC273" i="14"/>
  <c r="DD276" i="14" s="1"/>
  <c r="DH276" i="14" s="1"/>
  <c r="DH273" i="14"/>
  <c r="DI276" i="14" s="1"/>
  <c r="DM276" i="14" s="1"/>
  <c r="DM273" i="14"/>
  <c r="DN276" i="14" s="1"/>
  <c r="DR276" i="14" s="1"/>
  <c r="DR273" i="14"/>
  <c r="DS276" i="14" s="1"/>
  <c r="DW276" i="14" s="1"/>
  <c r="DW273" i="14"/>
  <c r="DX276" i="14" s="1"/>
  <c r="EB276" i="14" s="1"/>
  <c r="EB273" i="14"/>
  <c r="EC276" i="14" s="1"/>
  <c r="EG276" i="14" s="1"/>
  <c r="EG273" i="14"/>
  <c r="EH276" i="14" s="1"/>
  <c r="EL276" i="14" s="1"/>
  <c r="EL273" i="14"/>
  <c r="EM276" i="14" s="1"/>
  <c r="EQ276" i="14" s="1"/>
  <c r="EQ273" i="14"/>
  <c r="ER276" i="14" s="1"/>
  <c r="EV276" i="14" s="1"/>
  <c r="DB268" i="14"/>
  <c r="FR25" i="8" l="1"/>
  <c r="EV274" i="14"/>
  <c r="DC301" i="14"/>
  <c r="DH274" i="14"/>
  <c r="FG14" i="5"/>
  <c r="FH14" i="5" s="1"/>
  <c r="FI14" i="5" s="1"/>
  <c r="FJ14" i="5" s="1"/>
  <c r="FL14" i="5" s="1"/>
  <c r="FM14" i="5" s="1"/>
  <c r="FN14" i="5" s="1"/>
  <c r="FO14" i="5" s="1"/>
  <c r="FQ14" i="5" s="1"/>
  <c r="FR14" i="5" s="1"/>
  <c r="FS14" i="5" s="1"/>
  <c r="FT14" i="5" s="1"/>
  <c r="DC274" i="14"/>
  <c r="DR274" i="14"/>
  <c r="EQ274" i="14"/>
  <c r="DM274" i="14"/>
  <c r="EB274" i="14"/>
  <c r="DW274" i="14"/>
  <c r="EG274" i="14"/>
  <c r="FS25" i="8" l="1"/>
  <c r="FV14" i="5"/>
  <c r="FW14" i="5" s="1"/>
  <c r="FX14" i="5" s="1"/>
  <c r="FY14" i="5" s="1"/>
  <c r="FU14" i="5"/>
  <c r="FT25" i="8" l="1"/>
  <c r="FZ14" i="5"/>
  <c r="GA14" i="5"/>
  <c r="GB14" i="5" s="1"/>
  <c r="GC14" i="5" s="1"/>
  <c r="GD14" i="5" s="1"/>
  <c r="GE14" i="5" l="1"/>
  <c r="GF14" i="5"/>
  <c r="GG14" i="5" s="1"/>
  <c r="GH14" i="5" s="1"/>
  <c r="GI14" i="5" s="1"/>
  <c r="GJ14" i="5" s="1"/>
  <c r="FV25" i="8"/>
  <c r="FW25" i="8" s="1"/>
  <c r="FX25" i="8" s="1"/>
  <c r="FY25" i="8" s="1"/>
  <c r="FU25" i="8"/>
  <c r="FZ25" i="8" l="1"/>
  <c r="GA25" i="8"/>
  <c r="GB25" i="8" s="1"/>
  <c r="GC25" i="8" s="1"/>
  <c r="GD25" i="8" s="1"/>
  <c r="FB11" i="5"/>
  <c r="GE25" i="8" l="1"/>
  <c r="GF25" i="8"/>
  <c r="GG25" i="8" s="1"/>
  <c r="GH25" i="8" s="1"/>
  <c r="GI25" i="8" s="1"/>
  <c r="GJ25" i="8" s="1"/>
  <c r="FC11" i="5"/>
  <c r="FD11" i="5" l="1"/>
  <c r="FE11" i="5" l="1"/>
  <c r="FF11" i="5" l="1"/>
  <c r="FG11" i="5"/>
  <c r="FH11" i="5" l="1"/>
  <c r="FZ232" i="15"/>
  <c r="FY210" i="15"/>
  <c r="GA217" i="15" s="1"/>
  <c r="FX210" i="15"/>
  <c r="FW210" i="15"/>
  <c r="FT210" i="15"/>
  <c r="FS210" i="15"/>
  <c r="FR210" i="15"/>
  <c r="FJ210" i="15"/>
  <c r="FI210" i="15"/>
  <c r="FH210" i="15"/>
  <c r="FY225" i="15"/>
  <c r="FX225" i="15"/>
  <c r="FW225" i="15"/>
  <c r="FT225" i="15"/>
  <c r="FS225" i="15"/>
  <c r="FR225" i="15"/>
  <c r="FO225" i="15"/>
  <c r="FN225" i="15"/>
  <c r="FM225" i="15"/>
  <c r="FJ225" i="15"/>
  <c r="FI225" i="15"/>
  <c r="FH225" i="15"/>
  <c r="FE225" i="15"/>
  <c r="FD225" i="15"/>
  <c r="FC225" i="15"/>
  <c r="FZ233" i="15" l="1"/>
  <c r="GE233" i="15"/>
  <c r="EW59" i="42"/>
  <c r="EW60" i="42" s="1"/>
  <c r="FJ217" i="15"/>
  <c r="FL217" i="15"/>
  <c r="FT217" i="15"/>
  <c r="FV217" i="15"/>
  <c r="FW217" i="15"/>
  <c r="FX217" i="15"/>
  <c r="FY217" i="15"/>
  <c r="FH217" i="15"/>
  <c r="FR217" i="15"/>
  <c r="FB217" i="15"/>
  <c r="FI217" i="15"/>
  <c r="FS217" i="15"/>
  <c r="FI11" i="5"/>
  <c r="ES228" i="15"/>
  <c r="FB224" i="15"/>
  <c r="EY59" i="42"/>
  <c r="ES227" i="15"/>
  <c r="EX59" i="42"/>
  <c r="ES229" i="15"/>
  <c r="EY60" i="42" l="1"/>
  <c r="EY61" i="42"/>
  <c r="EX61" i="42"/>
  <c r="EX60" i="42"/>
  <c r="FB59" i="42"/>
  <c r="FB60" i="42" s="1"/>
  <c r="FJ11" i="5"/>
  <c r="FB228" i="15"/>
  <c r="FG224" i="15"/>
  <c r="FD224" i="15"/>
  <c r="FC224" i="15"/>
  <c r="FG59" i="42" l="1"/>
  <c r="FG60" i="42" s="1"/>
  <c r="FC59" i="42"/>
  <c r="FC61" i="42" s="1"/>
  <c r="FD59" i="42"/>
  <c r="FD60" i="42" s="1"/>
  <c r="FL11" i="5"/>
  <c r="FK11" i="5"/>
  <c r="FL224" i="15"/>
  <c r="FG228" i="15"/>
  <c r="FD227" i="15"/>
  <c r="FD229" i="15"/>
  <c r="FC229" i="15"/>
  <c r="FH224" i="15"/>
  <c r="FC228" i="15"/>
  <c r="FD228" i="15"/>
  <c r="FI224" i="15"/>
  <c r="FC227" i="15"/>
  <c r="FC60" i="42" l="1"/>
  <c r="FH59" i="42"/>
  <c r="FH60" i="42" s="1"/>
  <c r="FD61" i="42"/>
  <c r="FI59" i="42"/>
  <c r="FQ224" i="15"/>
  <c r="FL59" i="42"/>
  <c r="FL228" i="15"/>
  <c r="FM11" i="5"/>
  <c r="FH229" i="15"/>
  <c r="FI227" i="15"/>
  <c r="FH228" i="15"/>
  <c r="FH227" i="15"/>
  <c r="FM224" i="15"/>
  <c r="FI228" i="15"/>
  <c r="FN224" i="15"/>
  <c r="FI229" i="15"/>
  <c r="FQ228" i="15" l="1"/>
  <c r="FI61" i="42"/>
  <c r="FV224" i="15"/>
  <c r="FH61" i="42"/>
  <c r="FI60" i="42"/>
  <c r="FQ59" i="42"/>
  <c r="FQ60" i="42" s="1"/>
  <c r="FN59" i="42"/>
  <c r="FN60" i="42" s="1"/>
  <c r="FM228" i="15"/>
  <c r="FM59" i="42"/>
  <c r="FL60" i="42"/>
  <c r="FN11" i="5"/>
  <c r="FN229" i="15"/>
  <c r="FM227" i="15"/>
  <c r="FN227" i="15"/>
  <c r="FR224" i="15"/>
  <c r="FM229" i="15"/>
  <c r="FS224" i="15"/>
  <c r="FN228" i="15"/>
  <c r="GA224" i="15" l="1"/>
  <c r="FV59" i="42"/>
  <c r="FV60" i="42" s="1"/>
  <c r="FV228" i="15"/>
  <c r="FR59" i="42"/>
  <c r="FR60" i="42" s="1"/>
  <c r="FS59" i="42"/>
  <c r="FM60" i="42"/>
  <c r="FM61" i="42"/>
  <c r="FN61" i="42"/>
  <c r="FO11" i="5"/>
  <c r="FR227" i="15"/>
  <c r="FS227" i="15"/>
  <c r="FR228" i="15"/>
  <c r="FW224" i="15"/>
  <c r="FS229" i="15"/>
  <c r="FR229" i="15"/>
  <c r="FX224" i="15"/>
  <c r="FS228" i="15"/>
  <c r="GA228" i="15" l="1"/>
  <c r="GF224" i="15"/>
  <c r="GB224" i="15"/>
  <c r="GC224" i="15"/>
  <c r="GA59" i="42"/>
  <c r="FS61" i="42"/>
  <c r="FS60" i="42"/>
  <c r="FR61" i="42"/>
  <c r="FW59" i="42"/>
  <c r="FW60" i="42" s="1"/>
  <c r="FX59" i="42"/>
  <c r="FQ11" i="5"/>
  <c r="FP11" i="5"/>
  <c r="FX229" i="15"/>
  <c r="FW228" i="15"/>
  <c r="FW229" i="15"/>
  <c r="FW227" i="15"/>
  <c r="FX228" i="15"/>
  <c r="FX227" i="15"/>
  <c r="ES99" i="18"/>
  <c r="ER351" i="14"/>
  <c r="GF228" i="15" l="1"/>
  <c r="GF59" i="42"/>
  <c r="GF60" i="42" s="1"/>
  <c r="GC228" i="15"/>
  <c r="GH224" i="15"/>
  <c r="GB228" i="15"/>
  <c r="GG224" i="15"/>
  <c r="GA60" i="42"/>
  <c r="GB59" i="42"/>
  <c r="GC229" i="15"/>
  <c r="ET102" i="18"/>
  <c r="EX100" i="18"/>
  <c r="GC59" i="42"/>
  <c r="GB227" i="15"/>
  <c r="GB229" i="15"/>
  <c r="GC227" i="15"/>
  <c r="FX61" i="42"/>
  <c r="FX60" i="42"/>
  <c r="FW61" i="42"/>
  <c r="EW99" i="18"/>
  <c r="EW34" i="42"/>
  <c r="FR11" i="5"/>
  <c r="ES108" i="18"/>
  <c r="ES102" i="18"/>
  <c r="ES100" i="18"/>
  <c r="ES317" i="14"/>
  <c r="FB312" i="14"/>
  <c r="EW316" i="14"/>
  <c r="ES315" i="14"/>
  <c r="EX34" i="42"/>
  <c r="EY36" i="42" s="1"/>
  <c r="DL15" i="18"/>
  <c r="DK15" i="18"/>
  <c r="DJ15" i="18"/>
  <c r="DI15" i="18"/>
  <c r="DL14" i="18"/>
  <c r="DQ15" i="18"/>
  <c r="DP15" i="18"/>
  <c r="DO15" i="18"/>
  <c r="DN15" i="18"/>
  <c r="DQ14" i="18"/>
  <c r="DP14" i="18"/>
  <c r="DO14" i="18"/>
  <c r="DN14" i="18"/>
  <c r="DV15" i="18"/>
  <c r="DU15" i="18"/>
  <c r="DT15" i="18"/>
  <c r="DS15" i="18"/>
  <c r="DV14" i="18"/>
  <c r="DU14" i="18"/>
  <c r="DT14" i="18"/>
  <c r="DS14" i="18"/>
  <c r="EA15" i="18"/>
  <c r="DZ15" i="18"/>
  <c r="DY15" i="18"/>
  <c r="DX15" i="18"/>
  <c r="EA14" i="18"/>
  <c r="DZ14" i="18"/>
  <c r="DY14" i="18"/>
  <c r="DX14" i="18"/>
  <c r="EF15" i="18"/>
  <c r="EE15" i="18"/>
  <c r="ED15" i="18"/>
  <c r="EC15" i="18"/>
  <c r="EF14" i="18"/>
  <c r="EE14" i="18"/>
  <c r="ED14" i="18"/>
  <c r="EC14" i="18"/>
  <c r="EK15" i="18"/>
  <c r="EJ15" i="18"/>
  <c r="EI15" i="18"/>
  <c r="EH15" i="18"/>
  <c r="EK14" i="18"/>
  <c r="EJ14" i="18"/>
  <c r="EI14" i="18"/>
  <c r="EH14" i="18"/>
  <c r="EP15" i="18"/>
  <c r="EO15" i="18"/>
  <c r="EN15" i="18"/>
  <c r="EM15" i="18"/>
  <c r="EP14" i="18"/>
  <c r="EO14" i="18"/>
  <c r="EN14" i="18"/>
  <c r="EM14" i="18"/>
  <c r="GB61" i="42" l="1"/>
  <c r="GH229" i="15"/>
  <c r="GH227" i="15"/>
  <c r="GH59" i="42"/>
  <c r="GH60" i="42" s="1"/>
  <c r="GH228" i="15"/>
  <c r="GG228" i="15"/>
  <c r="GG229" i="15"/>
  <c r="GG227" i="15"/>
  <c r="GG59" i="42"/>
  <c r="GG60" i="42" s="1"/>
  <c r="GB60" i="42"/>
  <c r="GC61" i="42"/>
  <c r="EV108" i="18"/>
  <c r="EX111" i="18"/>
  <c r="EX109" i="18"/>
  <c r="EW108" i="18"/>
  <c r="EW111" i="18" s="1"/>
  <c r="EX102" i="18"/>
  <c r="GC60" i="42"/>
  <c r="EX36" i="42"/>
  <c r="EX35" i="42"/>
  <c r="ET110" i="18"/>
  <c r="ET112" i="18"/>
  <c r="FB34" i="42"/>
  <c r="FB35" i="42" s="1"/>
  <c r="EW100" i="18"/>
  <c r="EW35" i="42"/>
  <c r="FS11" i="5"/>
  <c r="FG312" i="14"/>
  <c r="FB99" i="18"/>
  <c r="ES111" i="18"/>
  <c r="ES110" i="18"/>
  <c r="ES112" i="18"/>
  <c r="ES109" i="18"/>
  <c r="FB316" i="14"/>
  <c r="FD312" i="14"/>
  <c r="FC312" i="14"/>
  <c r="EX316" i="14"/>
  <c r="DQ93" i="17"/>
  <c r="DG89" i="17"/>
  <c r="DG69" i="42" s="1"/>
  <c r="EG90" i="17"/>
  <c r="EL90" i="17"/>
  <c r="EQ90" i="17"/>
  <c r="DH44" i="18"/>
  <c r="DM44" i="18"/>
  <c r="DR44" i="18"/>
  <c r="DW44" i="18"/>
  <c r="EB44" i="18"/>
  <c r="EG44" i="18"/>
  <c r="EL44" i="18"/>
  <c r="EQ44" i="18"/>
  <c r="EM122" i="18"/>
  <c r="EN122" i="18"/>
  <c r="EO122" i="18"/>
  <c r="EP122" i="18"/>
  <c r="DI89" i="18"/>
  <c r="CY89" i="18"/>
  <c r="CZ89" i="18"/>
  <c r="DA89" i="18"/>
  <c r="DB89" i="18"/>
  <c r="DD89" i="18"/>
  <c r="DE89" i="18"/>
  <c r="DF89" i="18"/>
  <c r="DG89" i="18"/>
  <c r="DJ89" i="18"/>
  <c r="DK89" i="18"/>
  <c r="DL89" i="18"/>
  <c r="DN89" i="18"/>
  <c r="DO89" i="18"/>
  <c r="DP89" i="18"/>
  <c r="DQ89" i="18"/>
  <c r="DS89" i="18"/>
  <c r="DT89" i="18"/>
  <c r="DU89" i="18"/>
  <c r="DV89" i="18"/>
  <c r="DX89" i="18"/>
  <c r="DY89" i="18"/>
  <c r="DZ89" i="18"/>
  <c r="EA89" i="18"/>
  <c r="EC89" i="18"/>
  <c r="ED89" i="18"/>
  <c r="EE89" i="18"/>
  <c r="EF89" i="18"/>
  <c r="EH89" i="18"/>
  <c r="EI89" i="18"/>
  <c r="EJ89" i="18"/>
  <c r="EK89" i="18"/>
  <c r="EM89" i="18"/>
  <c r="EN89" i="18"/>
  <c r="EO89" i="18"/>
  <c r="EP89" i="18"/>
  <c r="DJ103" i="18"/>
  <c r="DK103" i="18"/>
  <c r="DL103" i="18"/>
  <c r="DN103" i="18"/>
  <c r="DO103" i="18"/>
  <c r="DP103" i="18"/>
  <c r="DQ103" i="18"/>
  <c r="EH103" i="18"/>
  <c r="EI103" i="18"/>
  <c r="EJ103" i="18"/>
  <c r="EM103" i="18"/>
  <c r="EN103" i="18"/>
  <c r="EO103" i="18"/>
  <c r="ER31" i="18"/>
  <c r="DB56" i="17"/>
  <c r="DA56" i="17"/>
  <c r="CZ56" i="17"/>
  <c r="CY56" i="17"/>
  <c r="DB55" i="17"/>
  <c r="DA55" i="17"/>
  <c r="CZ55" i="17"/>
  <c r="DG55" i="17"/>
  <c r="DF55" i="17"/>
  <c r="DE55" i="17"/>
  <c r="DD55" i="17"/>
  <c r="DG54" i="17"/>
  <c r="DF54" i="17"/>
  <c r="DE54" i="17"/>
  <c r="DD54" i="17"/>
  <c r="DL55" i="17"/>
  <c r="DK55" i="17"/>
  <c r="DJ55" i="17"/>
  <c r="DI55" i="17"/>
  <c r="DL54" i="17"/>
  <c r="DK54" i="17"/>
  <c r="DJ54" i="17"/>
  <c r="DI54" i="17"/>
  <c r="DQ55" i="17"/>
  <c r="DP55" i="17"/>
  <c r="DO55" i="17"/>
  <c r="DN55" i="17"/>
  <c r="DQ54" i="17"/>
  <c r="DP54" i="17"/>
  <c r="DO54" i="17"/>
  <c r="DN54" i="17"/>
  <c r="EM58" i="17"/>
  <c r="EM61" i="3" s="1"/>
  <c r="EJ58" i="17"/>
  <c r="EI58" i="17"/>
  <c r="EI61" i="3" s="1"/>
  <c r="EJ66" i="17"/>
  <c r="EI66" i="17"/>
  <c r="EN66" i="17" s="1"/>
  <c r="ES66" i="17" s="1"/>
  <c r="EH66" i="17"/>
  <c r="EM66" i="17" s="1"/>
  <c r="CY56" i="15"/>
  <c r="CZ56" i="15"/>
  <c r="DA56" i="15"/>
  <c r="DB56" i="15"/>
  <c r="EJ66" i="15"/>
  <c r="EO66" i="15" s="1"/>
  <c r="EI66" i="15"/>
  <c r="EN66" i="15" s="1"/>
  <c r="ES66" i="15" s="1"/>
  <c r="EH66" i="15"/>
  <c r="EM66" i="15" s="1"/>
  <c r="ER66" i="15" s="1"/>
  <c r="ER69" i="15" s="1"/>
  <c r="EJ58" i="15"/>
  <c r="EJ56" i="3" s="1"/>
  <c r="EI58" i="15"/>
  <c r="EI56" i="3" s="1"/>
  <c r="EH58" i="15"/>
  <c r="EH56" i="3" s="1"/>
  <c r="DB56" i="14"/>
  <c r="DA56" i="14"/>
  <c r="CZ56" i="14"/>
  <c r="CY56" i="14"/>
  <c r="EJ66" i="14"/>
  <c r="EI66" i="14"/>
  <c r="EN66" i="14" s="1"/>
  <c r="ES66" i="14" s="1"/>
  <c r="EH66" i="14"/>
  <c r="EH58" i="14"/>
  <c r="EJ58" i="14"/>
  <c r="EJ51" i="3" s="1"/>
  <c r="EI58" i="14"/>
  <c r="EI51" i="3" s="1"/>
  <c r="EP62" i="17"/>
  <c r="EP70" i="17"/>
  <c r="EK66" i="17" s="1"/>
  <c r="EP70" i="15"/>
  <c r="EK66" i="15" s="1"/>
  <c r="EP62" i="15"/>
  <c r="EK58" i="15" s="1"/>
  <c r="EK56" i="3" s="1"/>
  <c r="EP70" i="14"/>
  <c r="EP62" i="14"/>
  <c r="EK58" i="14" s="1"/>
  <c r="EK51" i="3" s="1"/>
  <c r="EP259" i="14"/>
  <c r="DG76" i="14"/>
  <c r="DF76" i="14"/>
  <c r="DE76" i="14"/>
  <c r="DD76" i="14"/>
  <c r="DL76" i="14"/>
  <c r="DK76" i="14"/>
  <c r="DJ76" i="14"/>
  <c r="DI76" i="14"/>
  <c r="DQ76" i="14"/>
  <c r="DP76" i="14"/>
  <c r="DO76" i="14"/>
  <c r="DN76" i="14"/>
  <c r="DV76" i="14"/>
  <c r="DU76" i="14"/>
  <c r="DT76" i="14"/>
  <c r="DS76" i="14"/>
  <c r="EA76" i="14"/>
  <c r="DZ76" i="14"/>
  <c r="DY76" i="14"/>
  <c r="DX76" i="14"/>
  <c r="EF76" i="14"/>
  <c r="EE76" i="14"/>
  <c r="ED76" i="14"/>
  <c r="EC76" i="14"/>
  <c r="EK76" i="14"/>
  <c r="EJ76" i="14"/>
  <c r="EI76" i="14"/>
  <c r="EH76" i="14"/>
  <c r="ER76" i="14"/>
  <c r="EP76" i="14"/>
  <c r="EO76" i="14"/>
  <c r="EN76" i="14"/>
  <c r="EM76" i="14"/>
  <c r="EP55" i="17"/>
  <c r="EO55" i="17"/>
  <c r="EN55" i="17"/>
  <c r="EM55" i="17"/>
  <c r="EK55" i="17"/>
  <c r="EJ55" i="17"/>
  <c r="EI55" i="17"/>
  <c r="EH55" i="17"/>
  <c r="EF55" i="17"/>
  <c r="EE55" i="17"/>
  <c r="ED55" i="17"/>
  <c r="EC55" i="17"/>
  <c r="EA55" i="17"/>
  <c r="DZ55" i="17"/>
  <c r="DY55" i="17"/>
  <c r="DX55" i="17"/>
  <c r="DV55" i="17"/>
  <c r="DU55" i="17"/>
  <c r="DT55" i="17"/>
  <c r="DS55" i="17"/>
  <c r="EP54" i="17"/>
  <c r="EO54" i="17"/>
  <c r="EN54" i="17"/>
  <c r="EM54" i="17"/>
  <c r="EK54" i="17"/>
  <c r="EJ54" i="17"/>
  <c r="EI54" i="17"/>
  <c r="EH54" i="17"/>
  <c r="EF54" i="17"/>
  <c r="EE54" i="17"/>
  <c r="ED54" i="17"/>
  <c r="EC54" i="17"/>
  <c r="EA54" i="17"/>
  <c r="DZ54" i="17"/>
  <c r="DY54" i="17"/>
  <c r="DX54" i="17"/>
  <c r="DV54" i="17"/>
  <c r="DU54" i="17"/>
  <c r="DT54" i="17"/>
  <c r="DS54" i="17"/>
  <c r="DB55" i="15"/>
  <c r="DA55" i="15"/>
  <c r="CZ55" i="15"/>
  <c r="DG55" i="15"/>
  <c r="DF55" i="15"/>
  <c r="DE55" i="15"/>
  <c r="DD55" i="15"/>
  <c r="DG54" i="15"/>
  <c r="DF54" i="15"/>
  <c r="DE54" i="15"/>
  <c r="DD54" i="15"/>
  <c r="EP55" i="15"/>
  <c r="EO55" i="15"/>
  <c r="EN55" i="15"/>
  <c r="EM55" i="15"/>
  <c r="EK55" i="15"/>
  <c r="EJ55" i="15"/>
  <c r="EI55" i="15"/>
  <c r="EH55" i="15"/>
  <c r="EF55" i="15"/>
  <c r="EE55" i="15"/>
  <c r="ED55" i="15"/>
  <c r="EC55" i="15"/>
  <c r="EA55" i="15"/>
  <c r="DZ55" i="15"/>
  <c r="DY55" i="15"/>
  <c r="DX55" i="15"/>
  <c r="DV55" i="15"/>
  <c r="DU55" i="15"/>
  <c r="DT55" i="15"/>
  <c r="DS55" i="15"/>
  <c r="DQ55" i="15"/>
  <c r="DP55" i="15"/>
  <c r="DO55" i="15"/>
  <c r="DN55" i="15"/>
  <c r="DL55" i="15"/>
  <c r="DK55" i="15"/>
  <c r="DJ55" i="15"/>
  <c r="DI55" i="15"/>
  <c r="EP54" i="15"/>
  <c r="EO54" i="15"/>
  <c r="EN54" i="15"/>
  <c r="EM54" i="15"/>
  <c r="EK54" i="15"/>
  <c r="EJ54" i="15"/>
  <c r="EI54" i="15"/>
  <c r="EH54" i="15"/>
  <c r="EF54" i="15"/>
  <c r="EE54" i="15"/>
  <c r="ED54" i="15"/>
  <c r="EC54" i="15"/>
  <c r="EA54" i="15"/>
  <c r="DZ54" i="15"/>
  <c r="DY54" i="15"/>
  <c r="DX54" i="15"/>
  <c r="DV54" i="15"/>
  <c r="DU54" i="15"/>
  <c r="DT54" i="15"/>
  <c r="DS54" i="15"/>
  <c r="DQ54" i="15"/>
  <c r="DP54" i="15"/>
  <c r="DO54" i="15"/>
  <c r="DN54" i="15"/>
  <c r="DL54" i="15"/>
  <c r="DK54" i="15"/>
  <c r="DJ54" i="15"/>
  <c r="DI54" i="15"/>
  <c r="DB55" i="14"/>
  <c r="DA55" i="14"/>
  <c r="CZ55" i="14"/>
  <c r="DG55" i="14"/>
  <c r="DF55" i="14"/>
  <c r="DE55" i="14"/>
  <c r="DD55" i="14"/>
  <c r="DG54" i="14"/>
  <c r="DF54" i="14"/>
  <c r="DE54" i="14"/>
  <c r="DD54" i="14"/>
  <c r="DL55" i="14"/>
  <c r="DK55" i="14"/>
  <c r="DJ55" i="14"/>
  <c r="DI55" i="14"/>
  <c r="DL54" i="14"/>
  <c r="DK54" i="14"/>
  <c r="DJ54" i="14"/>
  <c r="DI54" i="14"/>
  <c r="DQ55" i="14"/>
  <c r="DP55" i="14"/>
  <c r="DO55" i="14"/>
  <c r="DN55" i="14"/>
  <c r="DQ54" i="14"/>
  <c r="DP54" i="14"/>
  <c r="DO54" i="14"/>
  <c r="DN54" i="14"/>
  <c r="DV55" i="14"/>
  <c r="DU55" i="14"/>
  <c r="DT55" i="14"/>
  <c r="DS55" i="14"/>
  <c r="DV54" i="14"/>
  <c r="DU54" i="14"/>
  <c r="DT54" i="14"/>
  <c r="DS54" i="14"/>
  <c r="EA55" i="14"/>
  <c r="DZ55" i="14"/>
  <c r="DY55" i="14"/>
  <c r="DX55" i="14"/>
  <c r="EA54" i="14"/>
  <c r="DZ54" i="14"/>
  <c r="DY54" i="14"/>
  <c r="DX54" i="14"/>
  <c r="EF55" i="14"/>
  <c r="EE55" i="14"/>
  <c r="ED55" i="14"/>
  <c r="EC55" i="14"/>
  <c r="EF54" i="14"/>
  <c r="EE54" i="14"/>
  <c r="ED54" i="14"/>
  <c r="EC54" i="14"/>
  <c r="EK55" i="14"/>
  <c r="EJ55" i="14"/>
  <c r="EI55" i="14"/>
  <c r="EH55" i="14"/>
  <c r="EK54" i="14"/>
  <c r="EJ54" i="14"/>
  <c r="EI54" i="14"/>
  <c r="EH54" i="14"/>
  <c r="EP55" i="14"/>
  <c r="EO55" i="14"/>
  <c r="EN55" i="14"/>
  <c r="EM55" i="14"/>
  <c r="EP54" i="14"/>
  <c r="EO54" i="14"/>
  <c r="EN54" i="14"/>
  <c r="EM54" i="14"/>
  <c r="DG76" i="17"/>
  <c r="DF76" i="17"/>
  <c r="DE76" i="17"/>
  <c r="DD76" i="17"/>
  <c r="DL76" i="17"/>
  <c r="DK76" i="17"/>
  <c r="DJ76" i="17"/>
  <c r="DI76" i="17"/>
  <c r="DN76" i="17"/>
  <c r="DQ76" i="17"/>
  <c r="DP76" i="17"/>
  <c r="DO76" i="17"/>
  <c r="DV76" i="17"/>
  <c r="DU76" i="17"/>
  <c r="DT76" i="17"/>
  <c r="DS76" i="17"/>
  <c r="EA76" i="17"/>
  <c r="DZ76" i="17"/>
  <c r="DY76" i="17"/>
  <c r="DX76" i="17"/>
  <c r="EF76" i="17"/>
  <c r="EE76" i="17"/>
  <c r="ED76" i="17"/>
  <c r="EC76" i="17"/>
  <c r="EK76" i="17"/>
  <c r="EJ76" i="17"/>
  <c r="EI76" i="17"/>
  <c r="EH76" i="17"/>
  <c r="ER76" i="17"/>
  <c r="EP76" i="17"/>
  <c r="EO76" i="17"/>
  <c r="EN76" i="17"/>
  <c r="EM76" i="17"/>
  <c r="ER76" i="15"/>
  <c r="DG76" i="15"/>
  <c r="DF76" i="15"/>
  <c r="DE76" i="15"/>
  <c r="DD76" i="15"/>
  <c r="DL76" i="15"/>
  <c r="DK76" i="15"/>
  <c r="DJ76" i="15"/>
  <c r="DI76" i="15"/>
  <c r="DI78" i="15" s="1"/>
  <c r="DQ76" i="15"/>
  <c r="DP76" i="15"/>
  <c r="DO76" i="15"/>
  <c r="DN76" i="15"/>
  <c r="DV76" i="15"/>
  <c r="DU76" i="15"/>
  <c r="DU78" i="15" s="1"/>
  <c r="DT76" i="15"/>
  <c r="DS76" i="15"/>
  <c r="EA76" i="15"/>
  <c r="DZ76" i="15"/>
  <c r="DY76" i="15"/>
  <c r="DX76" i="15"/>
  <c r="DX78" i="15" s="1"/>
  <c r="EF76" i="15"/>
  <c r="EF78" i="15" s="1"/>
  <c r="EE76" i="15"/>
  <c r="ED76" i="15"/>
  <c r="EC76" i="15"/>
  <c r="EK76" i="15"/>
  <c r="EJ76" i="15"/>
  <c r="EJ78" i="15" s="1"/>
  <c r="EI76" i="15"/>
  <c r="EI78" i="15" s="1"/>
  <c r="EH76" i="15"/>
  <c r="EP76" i="15"/>
  <c r="EO76" i="15"/>
  <c r="ET78" i="15" s="1"/>
  <c r="EN76" i="15"/>
  <c r="EM76" i="15"/>
  <c r="EM78" i="15" s="1"/>
  <c r="DD274" i="14"/>
  <c r="DE274" i="14"/>
  <c r="DF274" i="14"/>
  <c r="DG274" i="14"/>
  <c r="DI274" i="14"/>
  <c r="DJ274" i="14"/>
  <c r="DK274" i="14"/>
  <c r="DL274" i="14"/>
  <c r="DN274" i="14"/>
  <c r="DO274" i="14"/>
  <c r="DP274" i="14"/>
  <c r="DQ274" i="14"/>
  <c r="DS274" i="14"/>
  <c r="DT274" i="14"/>
  <c r="DU274" i="14"/>
  <c r="DV274" i="14"/>
  <c r="DX274" i="14"/>
  <c r="DY274" i="14"/>
  <c r="DZ274" i="14"/>
  <c r="EA274" i="14"/>
  <c r="EC274" i="14"/>
  <c r="ED274" i="14"/>
  <c r="EE274" i="14"/>
  <c r="EF274" i="14"/>
  <c r="EH274" i="14"/>
  <c r="EI274" i="14"/>
  <c r="EJ274" i="14"/>
  <c r="EK274" i="14"/>
  <c r="DL317" i="14"/>
  <c r="DQ317" i="14"/>
  <c r="DP317" i="14"/>
  <c r="DO317" i="14"/>
  <c r="DN317" i="14"/>
  <c r="DQ316" i="14"/>
  <c r="DP316" i="14"/>
  <c r="DO316" i="14"/>
  <c r="EJ317" i="14"/>
  <c r="EI317" i="14"/>
  <c r="EO317" i="14"/>
  <c r="EN317" i="14"/>
  <c r="EQ316" i="14"/>
  <c r="EO316" i="14"/>
  <c r="EN316" i="14"/>
  <c r="EM316" i="14"/>
  <c r="DL110" i="14"/>
  <c r="DL115" i="14" s="1"/>
  <c r="DP112" i="14"/>
  <c r="DO112" i="14"/>
  <c r="DR111" i="14"/>
  <c r="DP111" i="14"/>
  <c r="DO111" i="14"/>
  <c r="DN111" i="14"/>
  <c r="DQ110" i="14"/>
  <c r="DQ115" i="14" s="1"/>
  <c r="DV110" i="14"/>
  <c r="DV115" i="14" s="1"/>
  <c r="DU112" i="14"/>
  <c r="DT112" i="14"/>
  <c r="DW111" i="14"/>
  <c r="DU111" i="14"/>
  <c r="DT111" i="14"/>
  <c r="DS111" i="14"/>
  <c r="DZ112" i="14"/>
  <c r="DY112" i="14"/>
  <c r="EB111" i="14"/>
  <c r="DZ111" i="14"/>
  <c r="DY111" i="14"/>
  <c r="DX111" i="14"/>
  <c r="EE112" i="14"/>
  <c r="ED112" i="14"/>
  <c r="EG111" i="14"/>
  <c r="EE111" i="14"/>
  <c r="ED111" i="14"/>
  <c r="EC111" i="14"/>
  <c r="EA110" i="14"/>
  <c r="EA115" i="14" s="1"/>
  <c r="EF110" i="14"/>
  <c r="EF115" i="14" s="1"/>
  <c r="EL351" i="14"/>
  <c r="EQ351" i="14"/>
  <c r="EQ348" i="14"/>
  <c r="DP114" i="14"/>
  <c r="DO114" i="14"/>
  <c r="DR113" i="14"/>
  <c r="DP113" i="14"/>
  <c r="DO113" i="14"/>
  <c r="DN113" i="14"/>
  <c r="DU114" i="14"/>
  <c r="DT114" i="14"/>
  <c r="DW113" i="14"/>
  <c r="DU113" i="14"/>
  <c r="DT113" i="14"/>
  <c r="DS113" i="14"/>
  <c r="DZ114" i="14"/>
  <c r="DY114" i="14"/>
  <c r="EB113" i="14"/>
  <c r="DZ113" i="14"/>
  <c r="DY113" i="14"/>
  <c r="DX113" i="14"/>
  <c r="EE114" i="14"/>
  <c r="ED114" i="14"/>
  <c r="EG113" i="14"/>
  <c r="EE113" i="14"/>
  <c r="ED113" i="14"/>
  <c r="EC113" i="14"/>
  <c r="EJ114" i="14"/>
  <c r="EI114" i="14"/>
  <c r="EL113" i="14"/>
  <c r="EJ113" i="14"/>
  <c r="EI113" i="14"/>
  <c r="EH113" i="14"/>
  <c r="EN114" i="14"/>
  <c r="EO114" i="14"/>
  <c r="EM113" i="14"/>
  <c r="EN113" i="14"/>
  <c r="EO113" i="14"/>
  <c r="EQ113" i="14"/>
  <c r="EO102" i="18"/>
  <c r="EN102" i="18"/>
  <c r="EJ102" i="18"/>
  <c r="EI102" i="18"/>
  <c r="DQ102" i="18"/>
  <c r="DP102" i="18"/>
  <c r="DO102" i="18"/>
  <c r="DN102" i="18"/>
  <c r="DL102" i="18"/>
  <c r="EQ100" i="18"/>
  <c r="EQ28" i="18"/>
  <c r="EL28" i="18"/>
  <c r="EG28" i="18"/>
  <c r="EB28" i="18"/>
  <c r="DW28" i="18"/>
  <c r="DV31" i="18"/>
  <c r="DU31" i="18"/>
  <c r="DT31" i="18"/>
  <c r="EA31" i="18"/>
  <c r="DZ31" i="18"/>
  <c r="DY31" i="18"/>
  <c r="DX31" i="18"/>
  <c r="EF31" i="18"/>
  <c r="EE31" i="18"/>
  <c r="ED31" i="18"/>
  <c r="EC31" i="18"/>
  <c r="EK31" i="18"/>
  <c r="EJ31" i="18"/>
  <c r="EI31" i="18"/>
  <c r="EH31" i="18"/>
  <c r="EM31" i="18"/>
  <c r="EN31" i="18"/>
  <c r="EO31" i="18"/>
  <c r="EP31" i="18"/>
  <c r="DX29" i="18"/>
  <c r="DY29" i="18"/>
  <c r="DZ29" i="18"/>
  <c r="EC29" i="18"/>
  <c r="ED29" i="18"/>
  <c r="EE29" i="18"/>
  <c r="EF29" i="18"/>
  <c r="EH29" i="18"/>
  <c r="EI29" i="18"/>
  <c r="EJ29" i="18"/>
  <c r="EK29" i="18"/>
  <c r="EM29" i="18"/>
  <c r="EN29" i="18"/>
  <c r="EO29" i="18"/>
  <c r="EP29" i="18"/>
  <c r="ER29" i="18"/>
  <c r="DL13" i="18"/>
  <c r="DK13" i="18"/>
  <c r="DJ13" i="18"/>
  <c r="DI13" i="18"/>
  <c r="DQ13" i="18"/>
  <c r="DP13" i="18"/>
  <c r="DO13" i="18"/>
  <c r="DN13" i="18"/>
  <c r="DV13" i="18"/>
  <c r="DU13" i="18"/>
  <c r="DT13" i="18"/>
  <c r="DS13" i="18"/>
  <c r="EA13" i="18"/>
  <c r="DZ13" i="18"/>
  <c r="DY13" i="18"/>
  <c r="DX13" i="18"/>
  <c r="EF13" i="18"/>
  <c r="EE13" i="18"/>
  <c r="ED13" i="18"/>
  <c r="EC13" i="18"/>
  <c r="EK13" i="18"/>
  <c r="EJ13" i="18"/>
  <c r="EI13" i="18"/>
  <c r="EH13" i="18"/>
  <c r="EM13" i="18"/>
  <c r="EN13" i="18"/>
  <c r="EO13" i="18"/>
  <c r="EP13" i="18"/>
  <c r="DR10" i="18"/>
  <c r="DR14" i="42" s="1"/>
  <c r="DR15" i="42" s="1"/>
  <c r="DW10" i="18"/>
  <c r="DW14" i="42" s="1"/>
  <c r="EB10" i="18"/>
  <c r="EB14" i="42" s="1"/>
  <c r="EG10" i="18"/>
  <c r="EG14" i="42" s="1"/>
  <c r="EL10" i="18"/>
  <c r="EL14" i="42" s="1"/>
  <c r="EQ10" i="18"/>
  <c r="EQ14" i="42" s="1"/>
  <c r="DP11" i="18"/>
  <c r="DV11" i="18"/>
  <c r="DX11" i="18"/>
  <c r="DY11" i="18"/>
  <c r="DZ11" i="18"/>
  <c r="EC11" i="18"/>
  <c r="ED11" i="18"/>
  <c r="EE11" i="18"/>
  <c r="EF11" i="18"/>
  <c r="EH11" i="18"/>
  <c r="EI11" i="18"/>
  <c r="EJ11" i="18"/>
  <c r="EK11" i="18"/>
  <c r="EM11" i="18"/>
  <c r="EO11" i="18"/>
  <c r="EP11" i="18"/>
  <c r="ER11" i="18"/>
  <c r="DP195" i="17"/>
  <c r="DO195" i="17"/>
  <c r="DU195" i="17"/>
  <c r="DT195" i="17"/>
  <c r="DZ195" i="17"/>
  <c r="DY195" i="17"/>
  <c r="EE195" i="17"/>
  <c r="ED195" i="17"/>
  <c r="DP198" i="17"/>
  <c r="DO198" i="17"/>
  <c r="DN198" i="17"/>
  <c r="DU198" i="17"/>
  <c r="DT198" i="17"/>
  <c r="DS198" i="17"/>
  <c r="DZ198" i="17"/>
  <c r="DY198" i="17"/>
  <c r="DX198" i="17"/>
  <c r="EE198" i="17"/>
  <c r="ED198" i="17"/>
  <c r="EC198" i="17"/>
  <c r="EO197" i="17"/>
  <c r="EN197" i="17"/>
  <c r="EJ197" i="17"/>
  <c r="EI197" i="17"/>
  <c r="EE197" i="17"/>
  <c r="ED197" i="17"/>
  <c r="DZ197" i="17"/>
  <c r="DY197" i="17"/>
  <c r="DU197" i="17"/>
  <c r="DT197" i="17"/>
  <c r="DP197" i="17"/>
  <c r="DO197" i="17"/>
  <c r="EQ196" i="17"/>
  <c r="EO196" i="17"/>
  <c r="EN196" i="17"/>
  <c r="EM196" i="17"/>
  <c r="EL196" i="17"/>
  <c r="EJ196" i="17"/>
  <c r="EI196" i="17"/>
  <c r="EH196" i="17"/>
  <c r="EG196" i="17"/>
  <c r="EE196" i="17"/>
  <c r="ED196" i="17"/>
  <c r="EC196" i="17"/>
  <c r="EB196" i="17"/>
  <c r="DZ196" i="17"/>
  <c r="DY196" i="17"/>
  <c r="DX196" i="17"/>
  <c r="DW196" i="17"/>
  <c r="DU196" i="17"/>
  <c r="DT196" i="17"/>
  <c r="DS196" i="17"/>
  <c r="DR196" i="17"/>
  <c r="DL94" i="17"/>
  <c r="DK94" i="17"/>
  <c r="DJ94" i="17"/>
  <c r="DQ94" i="17"/>
  <c r="DP94" i="17"/>
  <c r="DO94" i="17"/>
  <c r="DN94" i="17"/>
  <c r="DL93" i="17"/>
  <c r="DP93" i="17"/>
  <c r="DO93" i="17"/>
  <c r="DN93" i="17"/>
  <c r="DL92" i="17"/>
  <c r="DK92" i="17"/>
  <c r="DJ92" i="17"/>
  <c r="DQ92" i="17"/>
  <c r="DP92" i="17"/>
  <c r="DO92" i="17"/>
  <c r="DN92" i="17"/>
  <c r="DV92" i="17"/>
  <c r="DU92" i="17"/>
  <c r="DT92" i="17"/>
  <c r="DS92" i="17"/>
  <c r="DZ92" i="17"/>
  <c r="DY92" i="17"/>
  <c r="DX92" i="17"/>
  <c r="EE92" i="17"/>
  <c r="ED92" i="17"/>
  <c r="DP243" i="17"/>
  <c r="DO243" i="17"/>
  <c r="DN243" i="17"/>
  <c r="DU243" i="17"/>
  <c r="DT243" i="17"/>
  <c r="DS243" i="17"/>
  <c r="DZ243" i="17"/>
  <c r="DY243" i="17"/>
  <c r="DX243" i="17"/>
  <c r="EE243" i="17"/>
  <c r="ED243" i="17"/>
  <c r="EC243" i="17"/>
  <c r="EJ243" i="17"/>
  <c r="EI243" i="17"/>
  <c r="EH243" i="17"/>
  <c r="EO94" i="17"/>
  <c r="EN94" i="17"/>
  <c r="EJ94" i="17"/>
  <c r="EI94" i="17"/>
  <c r="EE94" i="17"/>
  <c r="ED94" i="17"/>
  <c r="DZ94" i="17"/>
  <c r="DY94" i="17"/>
  <c r="DX94" i="17"/>
  <c r="DV94" i="17"/>
  <c r="DU94" i="17"/>
  <c r="DT94" i="17"/>
  <c r="DS94" i="17"/>
  <c r="EQ93" i="17"/>
  <c r="EO93" i="17"/>
  <c r="EN93" i="17"/>
  <c r="EM93" i="17"/>
  <c r="EL93" i="17"/>
  <c r="EJ93" i="17"/>
  <c r="EI93" i="17"/>
  <c r="EH93" i="17"/>
  <c r="EG93" i="17"/>
  <c r="EE93" i="17"/>
  <c r="ED93" i="17"/>
  <c r="EC93" i="17"/>
  <c r="DZ93" i="17"/>
  <c r="DY93" i="17"/>
  <c r="DX93" i="17"/>
  <c r="DV93" i="17"/>
  <c r="DU93" i="17"/>
  <c r="DT93" i="17"/>
  <c r="DS93" i="17"/>
  <c r="DP140" i="17"/>
  <c r="DO140" i="17"/>
  <c r="DR139" i="17"/>
  <c r="DU140" i="17"/>
  <c r="DT140" i="17"/>
  <c r="DW139" i="17"/>
  <c r="DU139" i="17"/>
  <c r="DT139" i="17"/>
  <c r="DS139" i="17"/>
  <c r="DZ140" i="17"/>
  <c r="DY140" i="17"/>
  <c r="EB139" i="17"/>
  <c r="DZ139" i="17"/>
  <c r="DY139" i="17"/>
  <c r="DX139" i="17"/>
  <c r="EE140" i="17"/>
  <c r="ED140" i="17"/>
  <c r="EG139" i="17"/>
  <c r="EE139" i="17"/>
  <c r="ED139" i="17"/>
  <c r="EC139" i="17"/>
  <c r="EJ140" i="17"/>
  <c r="EI140" i="17"/>
  <c r="EL139" i="17"/>
  <c r="EJ139" i="17"/>
  <c r="EI139" i="17"/>
  <c r="EH139" i="17"/>
  <c r="EQ139" i="17"/>
  <c r="EO139" i="17"/>
  <c r="EN139" i="17"/>
  <c r="EO140" i="17"/>
  <c r="EN140" i="17"/>
  <c r="EM139" i="17"/>
  <c r="DP141" i="17"/>
  <c r="DO141" i="17"/>
  <c r="DN141" i="17"/>
  <c r="DP138" i="17"/>
  <c r="DO138" i="17"/>
  <c r="DU141" i="17"/>
  <c r="DT141" i="17"/>
  <c r="DS141" i="17"/>
  <c r="DU138" i="17"/>
  <c r="DT138" i="17"/>
  <c r="DZ141" i="17"/>
  <c r="DY141" i="17"/>
  <c r="DX141" i="17"/>
  <c r="DZ138" i="17"/>
  <c r="DY138" i="17"/>
  <c r="EE141" i="17"/>
  <c r="ED141" i="17"/>
  <c r="EC141" i="17"/>
  <c r="EE138" i="17"/>
  <c r="ED138" i="17"/>
  <c r="EJ141" i="17"/>
  <c r="EI141" i="17"/>
  <c r="EH141" i="17"/>
  <c r="EJ138" i="17"/>
  <c r="EI138" i="17"/>
  <c r="EM141" i="17"/>
  <c r="EN141" i="17"/>
  <c r="EO141" i="17"/>
  <c r="EN138" i="17"/>
  <c r="EO138" i="17"/>
  <c r="DR136" i="17"/>
  <c r="DW136" i="17"/>
  <c r="DU136" i="17"/>
  <c r="DT136" i="17"/>
  <c r="DS136" i="17"/>
  <c r="EB136" i="17"/>
  <c r="DZ136" i="17"/>
  <c r="DY136" i="17"/>
  <c r="DX136" i="17"/>
  <c r="EG136" i="17"/>
  <c r="EE136" i="17"/>
  <c r="ED136" i="17"/>
  <c r="EC136" i="17"/>
  <c r="EJ136" i="17"/>
  <c r="EI136" i="17"/>
  <c r="EH136" i="17"/>
  <c r="EQ136" i="17"/>
  <c r="EM136" i="17"/>
  <c r="EN136" i="17"/>
  <c r="EO136" i="17"/>
  <c r="DV243" i="17"/>
  <c r="DQ135" i="17"/>
  <c r="DV135" i="17"/>
  <c r="DM89" i="17"/>
  <c r="DM69" i="42" s="1"/>
  <c r="DM70" i="42" s="1"/>
  <c r="DR89" i="17"/>
  <c r="DR69" i="42" s="1"/>
  <c r="EF243" i="17"/>
  <c r="EF89" i="17"/>
  <c r="EF69" i="42" s="1"/>
  <c r="EA89" i="17"/>
  <c r="EA69" i="42" s="1"/>
  <c r="EA135" i="17"/>
  <c r="EP135" i="17"/>
  <c r="EF135" i="17"/>
  <c r="EK135" i="17"/>
  <c r="DW89" i="17"/>
  <c r="EV32" i="18" l="1"/>
  <c r="EV29" i="18"/>
  <c r="GH61" i="42"/>
  <c r="GG61" i="42"/>
  <c r="EB32" i="18"/>
  <c r="EG32" i="18"/>
  <c r="EQ32" i="18"/>
  <c r="EL32" i="18"/>
  <c r="EX110" i="18"/>
  <c r="EX112" i="18"/>
  <c r="EW109" i="18"/>
  <c r="EU139" i="17"/>
  <c r="EU136" i="17"/>
  <c r="EG15" i="42"/>
  <c r="EB15" i="42"/>
  <c r="EL15" i="42"/>
  <c r="EQ15" i="42"/>
  <c r="DW15" i="42"/>
  <c r="DR70" i="42"/>
  <c r="EA72" i="42"/>
  <c r="EA71" i="42"/>
  <c r="EC71" i="42"/>
  <c r="EA70" i="42"/>
  <c r="EF71" i="42"/>
  <c r="EF72" i="42"/>
  <c r="EF70" i="42"/>
  <c r="EH71" i="42"/>
  <c r="DS197" i="17"/>
  <c r="DG72" i="42"/>
  <c r="DG70" i="42"/>
  <c r="DG71" i="42"/>
  <c r="DL70" i="42"/>
  <c r="DI71" i="42"/>
  <c r="EA198" i="17"/>
  <c r="DW112" i="17"/>
  <c r="DW69" i="42"/>
  <c r="DQ78" i="15"/>
  <c r="EK78" i="15"/>
  <c r="DY78" i="15"/>
  <c r="DV78" i="15"/>
  <c r="DJ78" i="15"/>
  <c r="EO69" i="15"/>
  <c r="ET66" i="15"/>
  <c r="ET69" i="15" s="1"/>
  <c r="FD34" i="42"/>
  <c r="FD35" i="42" s="1"/>
  <c r="EC78" i="15"/>
  <c r="DZ78" i="15"/>
  <c r="DN78" i="15"/>
  <c r="DK78" i="15"/>
  <c r="FG99" i="18"/>
  <c r="FG100" i="18" s="1"/>
  <c r="FG34" i="42"/>
  <c r="FC99" i="18"/>
  <c r="FC108" i="18" s="1"/>
  <c r="FC34" i="42"/>
  <c r="EJ61" i="3"/>
  <c r="EO58" i="17"/>
  <c r="ET58" i="17" s="1"/>
  <c r="DT78" i="15"/>
  <c r="EN78" i="15"/>
  <c r="ES78" i="15"/>
  <c r="EO78" i="15"/>
  <c r="ER78" i="15"/>
  <c r="EP78" i="15"/>
  <c r="ED78" i="15"/>
  <c r="EA78" i="15"/>
  <c r="DO78" i="15"/>
  <c r="DL78" i="15"/>
  <c r="EH78" i="15"/>
  <c r="EE78" i="15"/>
  <c r="DS78" i="15"/>
  <c r="DP78" i="15"/>
  <c r="EF207" i="17"/>
  <c r="EF215" i="17"/>
  <c r="EA207" i="17"/>
  <c r="EA215" i="17"/>
  <c r="DV207" i="17"/>
  <c r="DV215" i="17"/>
  <c r="DQ207" i="17"/>
  <c r="DQ215" i="17"/>
  <c r="FT11" i="5"/>
  <c r="EB17" i="2"/>
  <c r="DW19" i="2" s="1"/>
  <c r="DW103" i="2" s="1"/>
  <c r="EB21" i="18"/>
  <c r="DW37" i="2"/>
  <c r="DX23" i="18"/>
  <c r="EB23" i="18" s="1"/>
  <c r="DW17" i="2"/>
  <c r="DR19" i="2" s="1"/>
  <c r="DW21" i="18"/>
  <c r="EB37" i="2"/>
  <c r="EC23" i="18"/>
  <c r="EG23" i="18" s="1"/>
  <c r="EG37" i="2"/>
  <c r="EH23" i="18"/>
  <c r="EL23" i="18" s="1"/>
  <c r="EL37" i="2"/>
  <c r="EM23" i="18"/>
  <c r="EQ23" i="18" s="1"/>
  <c r="DR17" i="2"/>
  <c r="DM19" i="2" s="1"/>
  <c r="DR21" i="18"/>
  <c r="EQ17" i="2"/>
  <c r="EL19" i="2" s="1"/>
  <c r="EL103" i="2" s="1"/>
  <c r="EQ21" i="18"/>
  <c r="EL17" i="2"/>
  <c r="EG19" i="2" s="1"/>
  <c r="EG103" i="2" s="1"/>
  <c r="EL21" i="18"/>
  <c r="EQ37" i="2"/>
  <c r="ER23" i="18"/>
  <c r="EV23" i="18" s="1"/>
  <c r="EG17" i="2"/>
  <c r="EB19" i="2" s="1"/>
  <c r="EB103" i="2" s="1"/>
  <c r="EG21" i="18"/>
  <c r="EI58" i="3"/>
  <c r="EJ58" i="3"/>
  <c r="EK58" i="3"/>
  <c r="DL114" i="14"/>
  <c r="DL112" i="14"/>
  <c r="FL312" i="14"/>
  <c r="EK53" i="3"/>
  <c r="EJ53" i="3"/>
  <c r="EH63" i="14"/>
  <c r="EH51" i="3"/>
  <c r="EI53" i="3" s="1"/>
  <c r="DV112" i="14"/>
  <c r="DU168" i="17"/>
  <c r="DZ168" i="17" s="1"/>
  <c r="EN69" i="15"/>
  <c r="ES69" i="15"/>
  <c r="FD316" i="14"/>
  <c r="FD99" i="18"/>
  <c r="FB108" i="18"/>
  <c r="FB100" i="18"/>
  <c r="FG316" i="14"/>
  <c r="FI312" i="14"/>
  <c r="DM14" i="18"/>
  <c r="DG114" i="17"/>
  <c r="DG120" i="17" s="1"/>
  <c r="DG112" i="17"/>
  <c r="DM120" i="17"/>
  <c r="DM112" i="17"/>
  <c r="DR120" i="17"/>
  <c r="DR112" i="17"/>
  <c r="EF114" i="17"/>
  <c r="EF120" i="17" s="1"/>
  <c r="EF112" i="17"/>
  <c r="EA114" i="17"/>
  <c r="EA115" i="17" s="1"/>
  <c r="EA112" i="17"/>
  <c r="EB93" i="17"/>
  <c r="DW120" i="17"/>
  <c r="DI94" i="17"/>
  <c r="ER140" i="17"/>
  <c r="ER138" i="17"/>
  <c r="EP165" i="17"/>
  <c r="EH138" i="17"/>
  <c r="EF165" i="17"/>
  <c r="DQ140" i="17"/>
  <c r="DQ165" i="17"/>
  <c r="EA165" i="17"/>
  <c r="EK165" i="17"/>
  <c r="DV141" i="17"/>
  <c r="DV165" i="17"/>
  <c r="DW14" i="18"/>
  <c r="EO58" i="14"/>
  <c r="EJ63" i="14"/>
  <c r="EN58" i="14"/>
  <c r="EN51" i="3" s="1"/>
  <c r="EI63" i="14"/>
  <c r="DR14" i="18"/>
  <c r="EP58" i="14"/>
  <c r="EU58" i="14" s="1"/>
  <c r="EK63" i="14"/>
  <c r="EB14" i="18"/>
  <c r="EG103" i="18"/>
  <c r="EG14" i="18"/>
  <c r="EQ103" i="18"/>
  <c r="EQ14" i="18"/>
  <c r="EL103" i="18"/>
  <c r="EL14" i="18"/>
  <c r="EH58" i="17"/>
  <c r="EM63" i="17"/>
  <c r="EJ69" i="17"/>
  <c r="EN58" i="17"/>
  <c r="EN61" i="3" s="1"/>
  <c r="EI63" i="17"/>
  <c r="EJ63" i="17"/>
  <c r="EO58" i="15"/>
  <c r="EJ63" i="15"/>
  <c r="EI63" i="15"/>
  <c r="EM58" i="15"/>
  <c r="EH63" i="15"/>
  <c r="EP58" i="15"/>
  <c r="EK63" i="15"/>
  <c r="DR93" i="17"/>
  <c r="EN69" i="17"/>
  <c r="EO66" i="17"/>
  <c r="EC66" i="17"/>
  <c r="EH70" i="17" s="1"/>
  <c r="EI69" i="17"/>
  <c r="ED58" i="17"/>
  <c r="ED61" i="3" s="1"/>
  <c r="ED66" i="17"/>
  <c r="DY66" i="17" s="1"/>
  <c r="ER58" i="17"/>
  <c r="EB90" i="17"/>
  <c r="FH312" i="14"/>
  <c r="FC315" i="14"/>
  <c r="FC316" i="14"/>
  <c r="FD315" i="14"/>
  <c r="FD317" i="14"/>
  <c r="FC317" i="14"/>
  <c r="EJ61" i="15"/>
  <c r="EC58" i="15"/>
  <c r="EC56" i="3" s="1"/>
  <c r="EI61" i="15"/>
  <c r="EE58" i="15"/>
  <c r="EF66" i="15"/>
  <c r="EK70" i="15" s="1"/>
  <c r="EL58" i="15"/>
  <c r="ED58" i="15"/>
  <c r="EP66" i="15"/>
  <c r="EE66" i="15"/>
  <c r="EJ70" i="15" s="1"/>
  <c r="ED66" i="15"/>
  <c r="EI70" i="15" s="1"/>
  <c r="EM69" i="15"/>
  <c r="EN58" i="15"/>
  <c r="EF58" i="15"/>
  <c r="EL66" i="15"/>
  <c r="EC66" i="15"/>
  <c r="EH70" i="15" s="1"/>
  <c r="EK61" i="15"/>
  <c r="EJ61" i="14"/>
  <c r="DN114" i="14"/>
  <c r="EE58" i="14"/>
  <c r="EE51" i="3" s="1"/>
  <c r="EJ52" i="3" s="1"/>
  <c r="DN112" i="14"/>
  <c r="EM69" i="17"/>
  <c r="ER66" i="17"/>
  <c r="ES69" i="17" s="1"/>
  <c r="EL66" i="17"/>
  <c r="EE58" i="17"/>
  <c r="EE61" i="3" s="1"/>
  <c r="EP66" i="17"/>
  <c r="EU66" i="17" s="1"/>
  <c r="EE66" i="17"/>
  <c r="EJ70" i="17" s="1"/>
  <c r="DR90" i="17"/>
  <c r="DW90" i="17"/>
  <c r="EF66" i="17"/>
  <c r="EK69" i="17"/>
  <c r="EJ61" i="17"/>
  <c r="DI92" i="17"/>
  <c r="DR11" i="18"/>
  <c r="EM66" i="14"/>
  <c r="EJ69" i="14"/>
  <c r="EE66" i="14"/>
  <c r="EJ70" i="14" s="1"/>
  <c r="EI61" i="14"/>
  <c r="EK61" i="14"/>
  <c r="EO66" i="14"/>
  <c r="EC66" i="14"/>
  <c r="EH70" i="14" s="1"/>
  <c r="EF58" i="14"/>
  <c r="ED66" i="14"/>
  <c r="DY66" i="14" s="1"/>
  <c r="EI69" i="14"/>
  <c r="ED58" i="14"/>
  <c r="EA94" i="17"/>
  <c r="DV196" i="17"/>
  <c r="DX197" i="17"/>
  <c r="DS195" i="17"/>
  <c r="EC197" i="17"/>
  <c r="EF198" i="17"/>
  <c r="DQ198" i="17"/>
  <c r="DQ195" i="17"/>
  <c r="EC94" i="17"/>
  <c r="EA92" i="17"/>
  <c r="DV197" i="17"/>
  <c r="EA93" i="17"/>
  <c r="EF196" i="17"/>
  <c r="DV198" i="17"/>
  <c r="EF195" i="17"/>
  <c r="DX195" i="17"/>
  <c r="DV195" i="17"/>
  <c r="EA197" i="17"/>
  <c r="EC195" i="17"/>
  <c r="EA195" i="17"/>
  <c r="DQ243" i="17"/>
  <c r="EF92" i="17"/>
  <c r="EA196" i="17"/>
  <c r="DQ197" i="17"/>
  <c r="EF197" i="17"/>
  <c r="EH94" i="17"/>
  <c r="EH197" i="17"/>
  <c r="DV114" i="14"/>
  <c r="DX114" i="14"/>
  <c r="DV113" i="14"/>
  <c r="EF114" i="14"/>
  <c r="EF113" i="14"/>
  <c r="DS114" i="14"/>
  <c r="DQ114" i="14"/>
  <c r="DQ113" i="14"/>
  <c r="EH114" i="14"/>
  <c r="EC114" i="14"/>
  <c r="EA114" i="14"/>
  <c r="EA113" i="14"/>
  <c r="DX112" i="14"/>
  <c r="DV111" i="14"/>
  <c r="EA111" i="14"/>
  <c r="EF112" i="14"/>
  <c r="EF111" i="14"/>
  <c r="DS112" i="14"/>
  <c r="EC112" i="14"/>
  <c r="EA112" i="14"/>
  <c r="DQ112" i="14"/>
  <c r="DQ111" i="14"/>
  <c r="EG11" i="18"/>
  <c r="EQ11" i="18"/>
  <c r="EB11" i="18"/>
  <c r="DW11" i="18"/>
  <c r="EB29" i="18"/>
  <c r="EQ29" i="18"/>
  <c r="EG29" i="18"/>
  <c r="EL29" i="18"/>
  <c r="EL11" i="18"/>
  <c r="DW93" i="17"/>
  <c r="EA243" i="17"/>
  <c r="EF93" i="17"/>
  <c r="EF94" i="17"/>
  <c r="EC92" i="17"/>
  <c r="EK139" i="17"/>
  <c r="DS138" i="17"/>
  <c r="EF139" i="17"/>
  <c r="EK136" i="17"/>
  <c r="EP139" i="17"/>
  <c r="EA139" i="17"/>
  <c r="DX138" i="17"/>
  <c r="EF138" i="17"/>
  <c r="DQ138" i="17"/>
  <c r="EP136" i="17"/>
  <c r="EA136" i="17"/>
  <c r="EP141" i="17"/>
  <c r="EC138" i="17"/>
  <c r="DQ141" i="17"/>
  <c r="EF136" i="17"/>
  <c r="EK138" i="17"/>
  <c r="EF141" i="17"/>
  <c r="DV138" i="17"/>
  <c r="EP140" i="17"/>
  <c r="EH140" i="17"/>
  <c r="EF140" i="17"/>
  <c r="DX140" i="17"/>
  <c r="DV140" i="17"/>
  <c r="EP138" i="17"/>
  <c r="DV139" i="17"/>
  <c r="EA141" i="17"/>
  <c r="EK140" i="17"/>
  <c r="EC140" i="17"/>
  <c r="EA140" i="17"/>
  <c r="DS140" i="17"/>
  <c r="EM140" i="17"/>
  <c r="DV136" i="17"/>
  <c r="EM138" i="17"/>
  <c r="EK141" i="17"/>
  <c r="EA138" i="17"/>
  <c r="EV24" i="18" l="1"/>
  <c r="EU63" i="14"/>
  <c r="EP69" i="15"/>
  <c r="EU66" i="15"/>
  <c r="EG91" i="2"/>
  <c r="EG96" i="2" s="1"/>
  <c r="EG38" i="2"/>
  <c r="DW91" i="2"/>
  <c r="DW96" i="2" s="1"/>
  <c r="EQ91" i="2"/>
  <c r="EV92" i="2" s="1"/>
  <c r="EQ38" i="2"/>
  <c r="EV38" i="2"/>
  <c r="EB91" i="2"/>
  <c r="EB96" i="2" s="1"/>
  <c r="EB38" i="2"/>
  <c r="EL91" i="2"/>
  <c r="EL96" i="2" s="1"/>
  <c r="EL38" i="2"/>
  <c r="ET58" i="15"/>
  <c r="ET63" i="15" s="1"/>
  <c r="EL56" i="3"/>
  <c r="DT188" i="17"/>
  <c r="ED188" i="17"/>
  <c r="DY188" i="17"/>
  <c r="DU174" i="17"/>
  <c r="DP168" i="17"/>
  <c r="DU172" i="17" s="1"/>
  <c r="ET63" i="17"/>
  <c r="EO69" i="17"/>
  <c r="ET66" i="17"/>
  <c r="EV66" i="17" s="1"/>
  <c r="DW70" i="42"/>
  <c r="EB70" i="42"/>
  <c r="FD36" i="42"/>
  <c r="EO69" i="14"/>
  <c r="ET66" i="14"/>
  <c r="FI34" i="42"/>
  <c r="FI35" i="42" s="1"/>
  <c r="FG108" i="18"/>
  <c r="FG111" i="18" s="1"/>
  <c r="FC102" i="18"/>
  <c r="FC100" i="18"/>
  <c r="FG35" i="42"/>
  <c r="FL99" i="18"/>
  <c r="FL108" i="18" s="1"/>
  <c r="FL34" i="42"/>
  <c r="FC36" i="42"/>
  <c r="FC35" i="42"/>
  <c r="FH99" i="18"/>
  <c r="FH108" i="18" s="1"/>
  <c r="FH34" i="42"/>
  <c r="EI64" i="3"/>
  <c r="EM64" i="3"/>
  <c r="EJ64" i="3"/>
  <c r="EH54" i="3"/>
  <c r="EK54" i="3"/>
  <c r="EI54" i="3"/>
  <c r="EJ54" i="3"/>
  <c r="EI59" i="3"/>
  <c r="EJ59" i="3"/>
  <c r="EK59" i="3"/>
  <c r="EH59" i="3"/>
  <c r="DU176" i="17"/>
  <c r="FV11" i="5"/>
  <c r="FU11" i="5"/>
  <c r="EQ24" i="18"/>
  <c r="EO63" i="17"/>
  <c r="EO61" i="3"/>
  <c r="EH63" i="17"/>
  <c r="EH61" i="3"/>
  <c r="ES58" i="15"/>
  <c r="EX57" i="3" s="1"/>
  <c r="EN56" i="3"/>
  <c r="EK62" i="15"/>
  <c r="EF56" i="3"/>
  <c r="EI62" i="15"/>
  <c r="ED56" i="3"/>
  <c r="EP63" i="15"/>
  <c r="EP64" i="15" s="1"/>
  <c r="EP56" i="3"/>
  <c r="EM63" i="15"/>
  <c r="EM64" i="15" s="1"/>
  <c r="EM56" i="3"/>
  <c r="EJ62" i="15"/>
  <c r="EE56" i="3"/>
  <c r="EO63" i="15"/>
  <c r="EO64" i="15" s="1"/>
  <c r="EO56" i="3"/>
  <c r="EH57" i="3"/>
  <c r="FQ312" i="14"/>
  <c r="FL316" i="14"/>
  <c r="EP63" i="14"/>
  <c r="EP51" i="3"/>
  <c r="EO63" i="14"/>
  <c r="EO51" i="3"/>
  <c r="EF63" i="14"/>
  <c r="EK64" i="14" s="1"/>
  <c r="EF51" i="3"/>
  <c r="ED63" i="14"/>
  <c r="ED51" i="3"/>
  <c r="EE53" i="3" s="1"/>
  <c r="EN52" i="3"/>
  <c r="EN258" i="14"/>
  <c r="EO258" i="14"/>
  <c r="EN63" i="14"/>
  <c r="ES58" i="14"/>
  <c r="EN63" i="17"/>
  <c r="ES58" i="17"/>
  <c r="ER63" i="17"/>
  <c r="FB109" i="18"/>
  <c r="FB111" i="18"/>
  <c r="FC109" i="18"/>
  <c r="FC111" i="18"/>
  <c r="FC110" i="18"/>
  <c r="FC112" i="18"/>
  <c r="FD108" i="18"/>
  <c r="FD102" i="18"/>
  <c r="FD100" i="18"/>
  <c r="FI316" i="14"/>
  <c r="FI99" i="18"/>
  <c r="EM301" i="14"/>
  <c r="EM270" i="14"/>
  <c r="FN312" i="14"/>
  <c r="EA118" i="17"/>
  <c r="EA117" i="17"/>
  <c r="EA119" i="17"/>
  <c r="EB114" i="17"/>
  <c r="EC117" i="17"/>
  <c r="EC119" i="17"/>
  <c r="EA120" i="17"/>
  <c r="EF117" i="17"/>
  <c r="EF119" i="17"/>
  <c r="EF118" i="17"/>
  <c r="EG114" i="17"/>
  <c r="EH119" i="17"/>
  <c r="EH117" i="17"/>
  <c r="DG117" i="17"/>
  <c r="DI117" i="17"/>
  <c r="DG115" i="17"/>
  <c r="DG119" i="17"/>
  <c r="DG118" i="17"/>
  <c r="DI119" i="17"/>
  <c r="DH114" i="17"/>
  <c r="DL115" i="17"/>
  <c r="DL118" i="17"/>
  <c r="DZ172" i="17"/>
  <c r="DZ176" i="17"/>
  <c r="EI61" i="17"/>
  <c r="EC58" i="17"/>
  <c r="EO61" i="14"/>
  <c r="EO61" i="17"/>
  <c r="EP61" i="15"/>
  <c r="EN61" i="17"/>
  <c r="DZ58" i="14"/>
  <c r="EE63" i="14"/>
  <c r="EP61" i="14"/>
  <c r="EI62" i="17"/>
  <c r="ED63" i="17"/>
  <c r="EI64" i="17" s="1"/>
  <c r="EJ62" i="17"/>
  <c r="EE63" i="17"/>
  <c r="DT66" i="17"/>
  <c r="DY70" i="17" s="1"/>
  <c r="EI70" i="17"/>
  <c r="EP69" i="17"/>
  <c r="ED70" i="17"/>
  <c r="EF63" i="15"/>
  <c r="DX58" i="15"/>
  <c r="EC63" i="15"/>
  <c r="EO61" i="15"/>
  <c r="EN63" i="15"/>
  <c r="EN64" i="15" s="1"/>
  <c r="EM61" i="15"/>
  <c r="ED63" i="15"/>
  <c r="ER58" i="15"/>
  <c r="DZ58" i="15"/>
  <c r="EE63" i="15"/>
  <c r="EJ64" i="15" s="1"/>
  <c r="EH62" i="15"/>
  <c r="EO260" i="14"/>
  <c r="EN260" i="14"/>
  <c r="DX66" i="17"/>
  <c r="DY69" i="17" s="1"/>
  <c r="ED69" i="17"/>
  <c r="EQ66" i="17"/>
  <c r="EQ67" i="17" s="1"/>
  <c r="DY58" i="17"/>
  <c r="DY61" i="3" s="1"/>
  <c r="ER69" i="17"/>
  <c r="FM312" i="14"/>
  <c r="FH316" i="14"/>
  <c r="FH317" i="14"/>
  <c r="FH315" i="14"/>
  <c r="FI317" i="14"/>
  <c r="FI315" i="14"/>
  <c r="EF61" i="15"/>
  <c r="EJ69" i="15"/>
  <c r="EA66" i="15"/>
  <c r="EF70" i="15" s="1"/>
  <c r="EI69" i="15"/>
  <c r="EE61" i="15"/>
  <c r="EK69" i="15"/>
  <c r="DZ66" i="15"/>
  <c r="DX66" i="15"/>
  <c r="EC70" i="15" s="1"/>
  <c r="EG66" i="15"/>
  <c r="EH69" i="15"/>
  <c r="DY66" i="15"/>
  <c r="ED69" i="15" s="1"/>
  <c r="DY58" i="15"/>
  <c r="ED61" i="15"/>
  <c r="EQ58" i="15"/>
  <c r="EN61" i="15"/>
  <c r="EG58" i="15"/>
  <c r="EA58" i="15"/>
  <c r="EQ66" i="15"/>
  <c r="EQ67" i="15" s="1"/>
  <c r="EH61" i="15"/>
  <c r="EE61" i="14"/>
  <c r="EJ62" i="14"/>
  <c r="EF69" i="17"/>
  <c r="EA66" i="17"/>
  <c r="EH69" i="17"/>
  <c r="EK70" i="17"/>
  <c r="EG66" i="17"/>
  <c r="EL67" i="17" s="1"/>
  <c r="EE69" i="17"/>
  <c r="DZ66" i="17"/>
  <c r="EE70" i="17" s="1"/>
  <c r="EE61" i="17"/>
  <c r="DZ58" i="17"/>
  <c r="DZ66" i="14"/>
  <c r="EE69" i="14"/>
  <c r="ER66" i="14"/>
  <c r="ES69" i="14" s="1"/>
  <c r="EA58" i="14"/>
  <c r="EA51" i="3" s="1"/>
  <c r="EF61" i="14"/>
  <c r="EK62" i="14"/>
  <c r="EI70" i="14"/>
  <c r="EK70" i="14" s="1"/>
  <c r="EF66" i="14" s="1"/>
  <c r="EG66" i="14" s="1"/>
  <c r="ED69" i="14"/>
  <c r="DY58" i="14"/>
  <c r="DY51" i="3" s="1"/>
  <c r="EI62" i="14"/>
  <c r="DX66" i="14"/>
  <c r="DY69" i="14" s="1"/>
  <c r="EN69" i="14"/>
  <c r="EH61" i="14"/>
  <c r="DT66" i="14"/>
  <c r="ED70" i="14"/>
  <c r="EE168" i="17"/>
  <c r="DZ174" i="17"/>
  <c r="EG92" i="2" l="1"/>
  <c r="EL94" i="2"/>
  <c r="EG94" i="2"/>
  <c r="EB94" i="2"/>
  <c r="DW94" i="2"/>
  <c r="EB92" i="2"/>
  <c r="EQ94" i="2"/>
  <c r="EQ92" i="2"/>
  <c r="EL92" i="2"/>
  <c r="DU181" i="17"/>
  <c r="EU64" i="14"/>
  <c r="DK168" i="17"/>
  <c r="DP172" i="17" s="1"/>
  <c r="DP174" i="17"/>
  <c r="EV67" i="17"/>
  <c r="EV66" i="15"/>
  <c r="EV67" i="15" s="1"/>
  <c r="EU69" i="15"/>
  <c r="EQ96" i="2"/>
  <c r="EV94" i="2"/>
  <c r="EQ56" i="3"/>
  <c r="EQ57" i="3" s="1"/>
  <c r="EG56" i="3"/>
  <c r="EL57" i="3" s="1"/>
  <c r="DP176" i="17"/>
  <c r="DO188" i="17"/>
  <c r="ET69" i="14"/>
  <c r="ET69" i="17"/>
  <c r="ET61" i="15"/>
  <c r="ET64" i="15"/>
  <c r="FN34" i="42"/>
  <c r="FN35" i="42" s="1"/>
  <c r="FV312" i="14"/>
  <c r="GA312" i="14" s="1"/>
  <c r="GF312" i="14" s="1"/>
  <c r="FG109" i="18"/>
  <c r="FL111" i="18"/>
  <c r="FQ316" i="14"/>
  <c r="FL109" i="18"/>
  <c r="FL100" i="18"/>
  <c r="FH35" i="42"/>
  <c r="FH36" i="42"/>
  <c r="FH100" i="18"/>
  <c r="FQ99" i="18"/>
  <c r="FQ108" i="18" s="1"/>
  <c r="FQ111" i="18" s="1"/>
  <c r="FQ34" i="42"/>
  <c r="FL35" i="42"/>
  <c r="FH102" i="18"/>
  <c r="FI36" i="42"/>
  <c r="FM99" i="18"/>
  <c r="FM102" i="18" s="1"/>
  <c r="FM34" i="42"/>
  <c r="EH64" i="15"/>
  <c r="EK64" i="15"/>
  <c r="EI64" i="15"/>
  <c r="ER64" i="17"/>
  <c r="EH64" i="3"/>
  <c r="EM64" i="17"/>
  <c r="EE64" i="3"/>
  <c r="EN64" i="3"/>
  <c r="EN64" i="17"/>
  <c r="EO64" i="3"/>
  <c r="EO64" i="17"/>
  <c r="ET64" i="17"/>
  <c r="EJ64" i="17"/>
  <c r="ED64" i="3"/>
  <c r="EE54" i="3"/>
  <c r="EJ64" i="14"/>
  <c r="EO54" i="3"/>
  <c r="EO64" i="14"/>
  <c r="EN54" i="3"/>
  <c r="EN64" i="14"/>
  <c r="ED54" i="3"/>
  <c r="EP54" i="3"/>
  <c r="EP64" i="14"/>
  <c r="EI64" i="14"/>
  <c r="EF54" i="3"/>
  <c r="ED59" i="3"/>
  <c r="EO59" i="3"/>
  <c r="EP59" i="3"/>
  <c r="EE59" i="3"/>
  <c r="EC59" i="3"/>
  <c r="EM59" i="3"/>
  <c r="EF59" i="3"/>
  <c r="EN59" i="3"/>
  <c r="FW11" i="5"/>
  <c r="ES63" i="15"/>
  <c r="EC63" i="17"/>
  <c r="EH64" i="17" s="1"/>
  <c r="EC61" i="3"/>
  <c r="DZ63" i="17"/>
  <c r="EE64" i="17" s="1"/>
  <c r="DZ61" i="3"/>
  <c r="ED58" i="3"/>
  <c r="EI57" i="3"/>
  <c r="EO58" i="3"/>
  <c r="EO57" i="3"/>
  <c r="EM58" i="3"/>
  <c r="EM57" i="3"/>
  <c r="EE62" i="15"/>
  <c r="DZ56" i="3"/>
  <c r="EE57" i="3" s="1"/>
  <c r="EF58" i="3"/>
  <c r="EH58" i="3"/>
  <c r="EK57" i="3"/>
  <c r="EC62" i="15"/>
  <c r="DX56" i="3"/>
  <c r="EP57" i="3"/>
  <c r="EP58" i="3"/>
  <c r="EN58" i="3"/>
  <c r="EN57" i="3"/>
  <c r="ED62" i="15"/>
  <c r="DY56" i="3"/>
  <c r="EF62" i="15"/>
  <c r="EA56" i="3"/>
  <c r="ES61" i="15"/>
  <c r="ES58" i="3"/>
  <c r="EE58" i="3"/>
  <c r="EJ57" i="3"/>
  <c r="ES57" i="3"/>
  <c r="EF52" i="3"/>
  <c r="EF53" i="3"/>
  <c r="EK52" i="3"/>
  <c r="DZ63" i="14"/>
  <c r="EE64" i="14" s="1"/>
  <c r="DZ51" i="3"/>
  <c r="EA53" i="3" s="1"/>
  <c r="EO53" i="3"/>
  <c r="EO52" i="3"/>
  <c r="ES52" i="3"/>
  <c r="EH53" i="3"/>
  <c r="ED52" i="3"/>
  <c r="EI52" i="3"/>
  <c r="EP52" i="3"/>
  <c r="EP53" i="3"/>
  <c r="ES63" i="14"/>
  <c r="ES258" i="14"/>
  <c r="ES63" i="17"/>
  <c r="ES61" i="17"/>
  <c r="EM304" i="14"/>
  <c r="FI108" i="18"/>
  <c r="FI100" i="18"/>
  <c r="FI102" i="18"/>
  <c r="FD109" i="18"/>
  <c r="FD110" i="18"/>
  <c r="FD112" i="18"/>
  <c r="FD111" i="18"/>
  <c r="FN316" i="14"/>
  <c r="FN99" i="18"/>
  <c r="FH109" i="18"/>
  <c r="FH110" i="18"/>
  <c r="FH111" i="18"/>
  <c r="FH112" i="18"/>
  <c r="ER61" i="15"/>
  <c r="EM306" i="14"/>
  <c r="FS312" i="14"/>
  <c r="DU58" i="14"/>
  <c r="EE62" i="14"/>
  <c r="EG118" i="17"/>
  <c r="EG120" i="17"/>
  <c r="EB120" i="17"/>
  <c r="EB118" i="17"/>
  <c r="DH120" i="17"/>
  <c r="DH118" i="17"/>
  <c r="DM118" i="17"/>
  <c r="DZ177" i="17"/>
  <c r="DZ179" i="17"/>
  <c r="DZ181" i="17"/>
  <c r="EE176" i="17"/>
  <c r="EE172" i="17"/>
  <c r="DX58" i="17"/>
  <c r="EH62" i="17"/>
  <c r="ED61" i="17"/>
  <c r="DS66" i="17"/>
  <c r="DT69" i="17" s="1"/>
  <c r="ED62" i="14"/>
  <c r="DY63" i="14"/>
  <c r="EF62" i="14"/>
  <c r="EA63" i="14"/>
  <c r="EF64" i="14" s="1"/>
  <c r="ED62" i="17"/>
  <c r="DY63" i="17"/>
  <c r="DO66" i="17"/>
  <c r="DT70" i="17" s="1"/>
  <c r="EB66" i="17"/>
  <c r="EG70" i="17" s="1"/>
  <c r="EC70" i="17"/>
  <c r="DT58" i="17"/>
  <c r="DT61" i="3" s="1"/>
  <c r="DS58" i="15"/>
  <c r="DX63" i="15"/>
  <c r="DY63" i="15"/>
  <c r="EA63" i="15"/>
  <c r="EF64" i="15" s="1"/>
  <c r="DU58" i="15"/>
  <c r="DZ63" i="15"/>
  <c r="EE64" i="15" s="1"/>
  <c r="EQ59" i="15"/>
  <c r="ER63" i="15"/>
  <c r="DV66" i="15"/>
  <c r="EA70" i="15" s="1"/>
  <c r="FR312" i="14"/>
  <c r="FM316" i="14"/>
  <c r="FM317" i="14"/>
  <c r="FN315" i="14"/>
  <c r="FM315" i="14"/>
  <c r="FN317" i="14"/>
  <c r="EF69" i="15"/>
  <c r="ED70" i="15"/>
  <c r="EB66" i="15"/>
  <c r="EG67" i="15" s="1"/>
  <c r="DS66" i="15"/>
  <c r="DX69" i="15" s="1"/>
  <c r="DU66" i="15"/>
  <c r="DZ69" i="15" s="1"/>
  <c r="DV58" i="15"/>
  <c r="DV56" i="3" s="1"/>
  <c r="EA61" i="15"/>
  <c r="EC61" i="15"/>
  <c r="EE70" i="15"/>
  <c r="DT58" i="15"/>
  <c r="DT56" i="3" s="1"/>
  <c r="DY61" i="15"/>
  <c r="DZ61" i="15"/>
  <c r="EB58" i="15"/>
  <c r="EC69" i="15"/>
  <c r="EE69" i="15"/>
  <c r="DT66" i="15"/>
  <c r="DY70" i="15" s="1"/>
  <c r="EL70" i="17"/>
  <c r="DU58" i="17"/>
  <c r="DU61" i="3" s="1"/>
  <c r="EE62" i="17"/>
  <c r="DU66" i="17"/>
  <c r="DZ70" i="17" s="1"/>
  <c r="DZ69" i="17"/>
  <c r="EF70" i="17"/>
  <c r="EA69" i="17"/>
  <c r="DV66" i="17"/>
  <c r="EC69" i="17"/>
  <c r="DZ61" i="17"/>
  <c r="DZ69" i="14"/>
  <c r="EE70" i="14"/>
  <c r="DU66" i="14"/>
  <c r="DS66" i="14"/>
  <c r="DT58" i="14"/>
  <c r="DT51" i="3" s="1"/>
  <c r="DY52" i="3" s="1"/>
  <c r="DZ61" i="14"/>
  <c r="EF69" i="14"/>
  <c r="EA66" i="14"/>
  <c r="EK66" i="14"/>
  <c r="EH69" i="14"/>
  <c r="EC70" i="14"/>
  <c r="EA61" i="14"/>
  <c r="DV58" i="14"/>
  <c r="DV51" i="3" s="1"/>
  <c r="DO66" i="14"/>
  <c r="DT70" i="14" s="1"/>
  <c r="DY70" i="14"/>
  <c r="EJ168" i="17"/>
  <c r="EE174" i="17"/>
  <c r="EC174" i="17" s="1"/>
  <c r="GF99" i="18" l="1"/>
  <c r="GF34" i="42"/>
  <c r="GF316" i="14"/>
  <c r="ET58" i="3"/>
  <c r="EY57" i="3"/>
  <c r="DF168" i="17"/>
  <c r="DK172" i="17" s="1"/>
  <c r="DZ79" i="42"/>
  <c r="ET57" i="3"/>
  <c r="DU79" i="42"/>
  <c r="EE79" i="42"/>
  <c r="DP181" i="17"/>
  <c r="DU179" i="17"/>
  <c r="DU177" i="17"/>
  <c r="GA99" i="18"/>
  <c r="GA316" i="14"/>
  <c r="GA34" i="42"/>
  <c r="GF35" i="42" s="1"/>
  <c r="EB56" i="3"/>
  <c r="EG57" i="3" s="1"/>
  <c r="DJ188" i="17"/>
  <c r="FM108" i="18"/>
  <c r="FM110" i="18" s="1"/>
  <c r="FV316" i="14"/>
  <c r="FV34" i="42"/>
  <c r="FV35" i="42" s="1"/>
  <c r="FV99" i="18"/>
  <c r="FV108" i="18" s="1"/>
  <c r="FV109" i="18" s="1"/>
  <c r="FS34" i="42"/>
  <c r="FS35" i="42" s="1"/>
  <c r="FM100" i="18"/>
  <c r="FQ109" i="18"/>
  <c r="FQ100" i="18"/>
  <c r="FM35" i="42"/>
  <c r="FM36" i="42"/>
  <c r="FN36" i="42"/>
  <c r="FQ35" i="42"/>
  <c r="FR99" i="18"/>
  <c r="FR108" i="18" s="1"/>
  <c r="FR34" i="42"/>
  <c r="DY59" i="3"/>
  <c r="ER64" i="15"/>
  <c r="DZ59" i="3"/>
  <c r="ED64" i="15"/>
  <c r="DX59" i="3"/>
  <c r="EA59" i="3"/>
  <c r="ES64" i="15"/>
  <c r="EC64" i="15"/>
  <c r="DY64" i="3"/>
  <c r="ES64" i="17"/>
  <c r="EC64" i="3"/>
  <c r="ED64" i="17"/>
  <c r="DZ64" i="3"/>
  <c r="ES64" i="14"/>
  <c r="EA54" i="3"/>
  <c r="DY54" i="3"/>
  <c r="DZ54" i="3"/>
  <c r="ED64" i="14"/>
  <c r="FX11" i="5"/>
  <c r="DX63" i="17"/>
  <c r="DX61" i="3"/>
  <c r="EA58" i="3"/>
  <c r="EA57" i="3"/>
  <c r="EC58" i="3"/>
  <c r="EF57" i="3"/>
  <c r="DX62" i="15"/>
  <c r="DS56" i="3"/>
  <c r="DY57" i="3"/>
  <c r="DY58" i="3"/>
  <c r="DX58" i="3"/>
  <c r="EC57" i="3"/>
  <c r="DZ58" i="3"/>
  <c r="ER58" i="3"/>
  <c r="ER57" i="3"/>
  <c r="ED57" i="3"/>
  <c r="DZ62" i="15"/>
  <c r="DU56" i="3"/>
  <c r="DZ53" i="3"/>
  <c r="EE52" i="3"/>
  <c r="DZ62" i="14"/>
  <c r="DU51" i="3"/>
  <c r="DV53" i="3" s="1"/>
  <c r="EA52" i="3"/>
  <c r="ED174" i="17"/>
  <c r="ED168" i="17" s="1"/>
  <c r="EC168" i="17"/>
  <c r="EA174" i="17"/>
  <c r="EA168" i="17" s="1"/>
  <c r="FS316" i="14"/>
  <c r="FS99" i="18"/>
  <c r="FI111" i="18"/>
  <c r="FI109" i="18"/>
  <c r="FI110" i="18"/>
  <c r="FI112" i="18"/>
  <c r="FN108" i="18"/>
  <c r="FN100" i="18"/>
  <c r="FN102" i="18"/>
  <c r="DQ66" i="15"/>
  <c r="DV69" i="15" s="1"/>
  <c r="ES260" i="14"/>
  <c r="DP58" i="14"/>
  <c r="DU63" i="14"/>
  <c r="FX312" i="14"/>
  <c r="GC312" i="14" s="1"/>
  <c r="GH312" i="14" s="1"/>
  <c r="EA69" i="15"/>
  <c r="DY61" i="17"/>
  <c r="EC62" i="17"/>
  <c r="EF62" i="17" s="1"/>
  <c r="EA58" i="17" s="1"/>
  <c r="EE179" i="17"/>
  <c r="EE181" i="17"/>
  <c r="EE177" i="17"/>
  <c r="EJ172" i="17"/>
  <c r="EJ176" i="17"/>
  <c r="DS58" i="17"/>
  <c r="DX70" i="17"/>
  <c r="DN66" i="17"/>
  <c r="DS70" i="17" s="1"/>
  <c r="DJ66" i="17"/>
  <c r="DO70" i="17" s="1"/>
  <c r="EA62" i="14"/>
  <c r="DV63" i="14"/>
  <c r="EA64" i="14" s="1"/>
  <c r="DU61" i="14"/>
  <c r="DT63" i="14"/>
  <c r="EG67" i="17"/>
  <c r="DO58" i="17"/>
  <c r="DT63" i="17"/>
  <c r="DY64" i="17" s="1"/>
  <c r="DZ62" i="17"/>
  <c r="DU63" i="17"/>
  <c r="DZ64" i="17" s="1"/>
  <c r="DY62" i="17"/>
  <c r="DP58" i="15"/>
  <c r="DU63" i="15"/>
  <c r="DZ64" i="15" s="1"/>
  <c r="DV63" i="15"/>
  <c r="EA64" i="15" s="1"/>
  <c r="EA62" i="15"/>
  <c r="EG62" i="15"/>
  <c r="DT63" i="15"/>
  <c r="DY62" i="15"/>
  <c r="DS63" i="15"/>
  <c r="DN58" i="15"/>
  <c r="DW66" i="17"/>
  <c r="EB70" i="17" s="1"/>
  <c r="DY69" i="15"/>
  <c r="FW312" i="14"/>
  <c r="GB312" i="14" s="1"/>
  <c r="GG312" i="14" s="1"/>
  <c r="FR317" i="14"/>
  <c r="FS315" i="14"/>
  <c r="FR315" i="14"/>
  <c r="FS317" i="14"/>
  <c r="FR316" i="14"/>
  <c r="EG70" i="15"/>
  <c r="DX70" i="15"/>
  <c r="DQ58" i="15"/>
  <c r="DV61" i="15"/>
  <c r="DX61" i="15"/>
  <c r="DO66" i="15"/>
  <c r="DT70" i="15" s="1"/>
  <c r="DP66" i="15"/>
  <c r="DU69" i="15" s="1"/>
  <c r="DZ70" i="15"/>
  <c r="DT61" i="15"/>
  <c r="DO58" i="15"/>
  <c r="DO56" i="3" s="1"/>
  <c r="DU61" i="15"/>
  <c r="DW58" i="15"/>
  <c r="EG59" i="15"/>
  <c r="DW66" i="15"/>
  <c r="EB70" i="15" s="1"/>
  <c r="DN66" i="15"/>
  <c r="DS70" i="15" s="1"/>
  <c r="DY62" i="14"/>
  <c r="DV69" i="17"/>
  <c r="DP66" i="17"/>
  <c r="DU69" i="17"/>
  <c r="DU61" i="17"/>
  <c r="DP58" i="17"/>
  <c r="EA70" i="17"/>
  <c r="DQ66" i="17"/>
  <c r="DV70" i="17" s="1"/>
  <c r="DX69" i="17"/>
  <c r="DN66" i="14"/>
  <c r="DO69" i="14" s="1"/>
  <c r="EF70" i="14"/>
  <c r="EA69" i="14"/>
  <c r="DV66" i="14"/>
  <c r="EA70" i="14" s="1"/>
  <c r="EC69" i="14"/>
  <c r="DU69" i="14"/>
  <c r="DP66" i="14"/>
  <c r="DU70" i="14" s="1"/>
  <c r="EK69" i="14"/>
  <c r="EP66" i="14"/>
  <c r="EU66" i="14" s="1"/>
  <c r="EL66" i="14"/>
  <c r="EM69" i="14"/>
  <c r="DZ70" i="14"/>
  <c r="DO58" i="14"/>
  <c r="DX70" i="14"/>
  <c r="DQ58" i="14"/>
  <c r="DQ51" i="3" s="1"/>
  <c r="DV61" i="14"/>
  <c r="EB66" i="14"/>
  <c r="DT69" i="14"/>
  <c r="DJ66" i="14"/>
  <c r="EJ174" i="17"/>
  <c r="EO168" i="17"/>
  <c r="GH99" i="18" l="1"/>
  <c r="GH317" i="14"/>
  <c r="GH316" i="14"/>
  <c r="GH34" i="42"/>
  <c r="GH315" i="14"/>
  <c r="GG99" i="18"/>
  <c r="GG316" i="14"/>
  <c r="GG317" i="14"/>
  <c r="GG34" i="42"/>
  <c r="GG315" i="14"/>
  <c r="GF108" i="18"/>
  <c r="GF100" i="18"/>
  <c r="EE82" i="42"/>
  <c r="EE80" i="42"/>
  <c r="DU82" i="42"/>
  <c r="DU81" i="42"/>
  <c r="DZ82" i="42"/>
  <c r="DZ80" i="42"/>
  <c r="EJ79" i="42"/>
  <c r="DP79" i="42"/>
  <c r="DU80" i="42" s="1"/>
  <c r="EV66" i="14"/>
  <c r="EU69" i="14"/>
  <c r="FM109" i="18"/>
  <c r="FM112" i="18"/>
  <c r="FM111" i="18"/>
  <c r="GC99" i="18"/>
  <c r="GC34" i="42"/>
  <c r="GC317" i="14"/>
  <c r="GC316" i="14"/>
  <c r="GC315" i="14"/>
  <c r="FV111" i="18"/>
  <c r="GA35" i="42"/>
  <c r="GB99" i="18"/>
  <c r="GB316" i="14"/>
  <c r="GB34" i="42"/>
  <c r="GB317" i="14"/>
  <c r="GB315" i="14"/>
  <c r="GA100" i="18"/>
  <c r="GA108" i="18"/>
  <c r="DE188" i="17"/>
  <c r="DP189" i="17"/>
  <c r="DP187" i="17"/>
  <c r="DP188" i="17"/>
  <c r="ET168" i="17"/>
  <c r="FV100" i="18"/>
  <c r="FR100" i="18"/>
  <c r="FR35" i="42"/>
  <c r="FR36" i="42"/>
  <c r="FR102" i="18"/>
  <c r="FW99" i="18"/>
  <c r="FW34" i="42"/>
  <c r="FS36" i="42"/>
  <c r="FX99" i="18"/>
  <c r="FX100" i="18" s="1"/>
  <c r="FX34" i="42"/>
  <c r="DT59" i="3"/>
  <c r="DY64" i="15"/>
  <c r="DV59" i="3"/>
  <c r="DS59" i="3"/>
  <c r="DU59" i="3"/>
  <c r="DX64" i="15"/>
  <c r="DU64" i="3"/>
  <c r="DX64" i="3"/>
  <c r="EC64" i="17"/>
  <c r="DT64" i="3"/>
  <c r="DU54" i="3"/>
  <c r="DT54" i="3"/>
  <c r="DZ64" i="14"/>
  <c r="DV54" i="3"/>
  <c r="DY64" i="14"/>
  <c r="FY11" i="5"/>
  <c r="GA11" i="5" s="1"/>
  <c r="GB11" i="5" s="1"/>
  <c r="GC11" i="5" s="1"/>
  <c r="GD11" i="5" s="1"/>
  <c r="DJ58" i="17"/>
  <c r="DJ61" i="3" s="1"/>
  <c r="DO61" i="3"/>
  <c r="DP63" i="17"/>
  <c r="DP61" i="3"/>
  <c r="DS63" i="17"/>
  <c r="DX64" i="17" s="1"/>
  <c r="DS61" i="3"/>
  <c r="EA63" i="17"/>
  <c r="EA61" i="3"/>
  <c r="DL66" i="15"/>
  <c r="DQ70" i="15" s="1"/>
  <c r="DS62" i="15"/>
  <c r="DN56" i="3"/>
  <c r="DO58" i="3" s="1"/>
  <c r="DU58" i="3"/>
  <c r="DZ57" i="3"/>
  <c r="DV58" i="3"/>
  <c r="DV62" i="15"/>
  <c r="DQ56" i="3"/>
  <c r="EB62" i="15"/>
  <c r="DW56" i="3"/>
  <c r="DU62" i="15"/>
  <c r="DP56" i="3"/>
  <c r="DU57" i="3" s="1"/>
  <c r="DX57" i="3"/>
  <c r="DT57" i="3"/>
  <c r="DT58" i="3"/>
  <c r="DZ52" i="3"/>
  <c r="DO63" i="14"/>
  <c r="DT64" i="14" s="1"/>
  <c r="DO51" i="3"/>
  <c r="DU62" i="14"/>
  <c r="DP51" i="3"/>
  <c r="DU53" i="3"/>
  <c r="DV52" i="3"/>
  <c r="EA176" i="17"/>
  <c r="EA171" i="17"/>
  <c r="EA173" i="17"/>
  <c r="EF168" i="17"/>
  <c r="EG168" i="17" s="1"/>
  <c r="DV168" i="17"/>
  <c r="DX168" i="17"/>
  <c r="EC172" i="17" s="1"/>
  <c r="EC176" i="17"/>
  <c r="EH168" i="17"/>
  <c r="EC173" i="17"/>
  <c r="EC171" i="17"/>
  <c r="EI168" i="17"/>
  <c r="ED171" i="17"/>
  <c r="ED173" i="17"/>
  <c r="ED176" i="17"/>
  <c r="EE171" i="17"/>
  <c r="EE173" i="17"/>
  <c r="DV70" i="15"/>
  <c r="ES243" i="17"/>
  <c r="ES198" i="17"/>
  <c r="EB67" i="17"/>
  <c r="DK58" i="14"/>
  <c r="DK51" i="3" s="1"/>
  <c r="FN109" i="18"/>
  <c r="FN112" i="18"/>
  <c r="FN110" i="18"/>
  <c r="FN111" i="18"/>
  <c r="FR110" i="18"/>
  <c r="FR112" i="18"/>
  <c r="FR111" i="18"/>
  <c r="FR109" i="18"/>
  <c r="FS108" i="18"/>
  <c r="FS100" i="18"/>
  <c r="FS102" i="18"/>
  <c r="DP63" i="14"/>
  <c r="FX316" i="14"/>
  <c r="EJ181" i="17"/>
  <c r="EJ179" i="17"/>
  <c r="EJ177" i="17"/>
  <c r="DT61" i="17"/>
  <c r="DO69" i="17"/>
  <c r="EO172" i="17"/>
  <c r="EO176" i="17"/>
  <c r="DX62" i="17"/>
  <c r="DN58" i="17"/>
  <c r="DI66" i="17"/>
  <c r="DN70" i="17" s="1"/>
  <c r="DE66" i="17"/>
  <c r="CZ66" i="17" s="1"/>
  <c r="DE70" i="17" s="1"/>
  <c r="DU70" i="15"/>
  <c r="DV62" i="14"/>
  <c r="DQ63" i="14"/>
  <c r="DT62" i="17"/>
  <c r="DO63" i="17"/>
  <c r="DI58" i="15"/>
  <c r="DN63" i="15"/>
  <c r="EB59" i="15"/>
  <c r="DQ63" i="15"/>
  <c r="DV64" i="15" s="1"/>
  <c r="DO63" i="15"/>
  <c r="DT62" i="15"/>
  <c r="DP63" i="15"/>
  <c r="DK58" i="15"/>
  <c r="DR66" i="17"/>
  <c r="DW67" i="17" s="1"/>
  <c r="FW315" i="14"/>
  <c r="FW316" i="14"/>
  <c r="FW317" i="14"/>
  <c r="FX317" i="14"/>
  <c r="FX315" i="14"/>
  <c r="DT69" i="15"/>
  <c r="DR66" i="15"/>
  <c r="DW70" i="15" s="1"/>
  <c r="DI66" i="15"/>
  <c r="DN70" i="15" s="1"/>
  <c r="EB67" i="15"/>
  <c r="DS69" i="15"/>
  <c r="DJ58" i="15"/>
  <c r="DP61" i="15"/>
  <c r="DK66" i="15"/>
  <c r="DP70" i="15" s="1"/>
  <c r="DJ66" i="15"/>
  <c r="DO70" i="15" s="1"/>
  <c r="DL58" i="15"/>
  <c r="DL56" i="3" s="1"/>
  <c r="DQ61" i="15"/>
  <c r="DS61" i="15"/>
  <c r="DL66" i="17"/>
  <c r="DQ69" i="17"/>
  <c r="DS69" i="17"/>
  <c r="DU62" i="17"/>
  <c r="DK58" i="17"/>
  <c r="DP61" i="17"/>
  <c r="DV58" i="17"/>
  <c r="EF58" i="17"/>
  <c r="EK58" i="17" s="1"/>
  <c r="EC61" i="17"/>
  <c r="EA61" i="17"/>
  <c r="EB58" i="17"/>
  <c r="EB61" i="3" s="1"/>
  <c r="DK66" i="17"/>
  <c r="DP69" i="17"/>
  <c r="DU70" i="17"/>
  <c r="EG70" i="14"/>
  <c r="EG67" i="14"/>
  <c r="DI66" i="14"/>
  <c r="DN70" i="14" s="1"/>
  <c r="DK66" i="14"/>
  <c r="DP70" i="14" s="1"/>
  <c r="DP69" i="14"/>
  <c r="DL58" i="14"/>
  <c r="DQ61" i="14"/>
  <c r="DJ58" i="14"/>
  <c r="DJ51" i="3" s="1"/>
  <c r="EP69" i="14"/>
  <c r="EQ66" i="14"/>
  <c r="EQ67" i="14" s="1"/>
  <c r="ER69" i="14"/>
  <c r="DP61" i="14"/>
  <c r="DT62" i="14"/>
  <c r="DQ66" i="14"/>
  <c r="DV69" i="14"/>
  <c r="DX69" i="14"/>
  <c r="DW66" i="14"/>
  <c r="EB67" i="14" s="1"/>
  <c r="DS70" i="14"/>
  <c r="DE66" i="14"/>
  <c r="DO70" i="14"/>
  <c r="EO174" i="17"/>
  <c r="GH35" i="42" l="1"/>
  <c r="GF109" i="18"/>
  <c r="GF111" i="18"/>
  <c r="GG108" i="18"/>
  <c r="GG100" i="18"/>
  <c r="GG102" i="18"/>
  <c r="GH108" i="18"/>
  <c r="GH100" i="18"/>
  <c r="GH102" i="18"/>
  <c r="GG36" i="42"/>
  <c r="GG35" i="42"/>
  <c r="GH36" i="42"/>
  <c r="GE11" i="5"/>
  <c r="GF11" i="5"/>
  <c r="GG11" i="5" s="1"/>
  <c r="GH11" i="5" s="1"/>
  <c r="GI11" i="5" s="1"/>
  <c r="GJ11" i="5" s="1"/>
  <c r="DP80" i="42"/>
  <c r="DP82" i="42"/>
  <c r="EJ82" i="42"/>
  <c r="EJ80" i="42"/>
  <c r="EA79" i="42"/>
  <c r="EV67" i="14"/>
  <c r="GB35" i="42"/>
  <c r="GB36" i="42"/>
  <c r="GA111" i="18"/>
  <c r="GA109" i="18"/>
  <c r="GB108" i="18"/>
  <c r="GB102" i="18"/>
  <c r="GB100" i="18"/>
  <c r="GC36" i="42"/>
  <c r="GC35" i="42"/>
  <c r="GC100" i="18"/>
  <c r="GC102" i="18"/>
  <c r="GC108" i="18"/>
  <c r="DQ69" i="15"/>
  <c r="DK187" i="17"/>
  <c r="DK188" i="17"/>
  <c r="DK189" i="17"/>
  <c r="DU189" i="17"/>
  <c r="DU188" i="17"/>
  <c r="DU187" i="17"/>
  <c r="DS189" i="17"/>
  <c r="DS187" i="17"/>
  <c r="DS188" i="17"/>
  <c r="DT187" i="17"/>
  <c r="DT189" i="17"/>
  <c r="DQ187" i="17"/>
  <c r="DQ188" i="17"/>
  <c r="DQ189" i="17"/>
  <c r="DE58" i="17"/>
  <c r="DE61" i="3" s="1"/>
  <c r="ET176" i="17"/>
  <c r="ET172" i="17"/>
  <c r="FX108" i="18"/>
  <c r="FX109" i="18" s="1"/>
  <c r="FX102" i="18"/>
  <c r="FW100" i="18"/>
  <c r="FW102" i="18"/>
  <c r="FW108" i="18"/>
  <c r="FW110" i="18" s="1"/>
  <c r="FX35" i="42"/>
  <c r="FX36" i="42"/>
  <c r="FW36" i="42"/>
  <c r="FW35" i="42"/>
  <c r="DJ63" i="17"/>
  <c r="DO64" i="17" s="1"/>
  <c r="DO62" i="17"/>
  <c r="DN59" i="3"/>
  <c r="DO59" i="3"/>
  <c r="DT64" i="15"/>
  <c r="DP59" i="3"/>
  <c r="DU64" i="15"/>
  <c r="DQ59" i="3"/>
  <c r="DS64" i="15"/>
  <c r="DP64" i="3"/>
  <c r="DO64" i="3"/>
  <c r="DS64" i="3"/>
  <c r="DU64" i="17"/>
  <c r="EA64" i="3"/>
  <c r="DT64" i="17"/>
  <c r="DQ54" i="3"/>
  <c r="DP54" i="3"/>
  <c r="DO54" i="3"/>
  <c r="DU64" i="14"/>
  <c r="DV64" i="14"/>
  <c r="DG66" i="15"/>
  <c r="DL69" i="15" s="1"/>
  <c r="DS57" i="3"/>
  <c r="FZ11" i="5"/>
  <c r="DV63" i="17"/>
  <c r="DV61" i="3"/>
  <c r="DK63" i="17"/>
  <c r="DK61" i="3"/>
  <c r="EF63" i="17"/>
  <c r="EF61" i="3"/>
  <c r="DN63" i="17"/>
  <c r="DN61" i="3"/>
  <c r="DP62" i="15"/>
  <c r="DK56" i="3"/>
  <c r="DL58" i="3" s="1"/>
  <c r="DO62" i="15"/>
  <c r="DJ56" i="3"/>
  <c r="DQ57" i="3"/>
  <c r="DQ58" i="3"/>
  <c r="DV57" i="3"/>
  <c r="DN62" i="15"/>
  <c r="DI56" i="3"/>
  <c r="DN57" i="3" s="1"/>
  <c r="DP58" i="3"/>
  <c r="DS58" i="3"/>
  <c r="EB57" i="3"/>
  <c r="DN58" i="3"/>
  <c r="DK63" i="14"/>
  <c r="DP64" i="14" s="1"/>
  <c r="DP62" i="14"/>
  <c r="DF58" i="14"/>
  <c r="DF51" i="3" s="1"/>
  <c r="DK52" i="3" s="1"/>
  <c r="DP53" i="3"/>
  <c r="DP52" i="3"/>
  <c r="DL63" i="14"/>
  <c r="DL51" i="3"/>
  <c r="DQ53" i="3"/>
  <c r="DK53" i="3"/>
  <c r="DO52" i="3"/>
  <c r="DT52" i="3"/>
  <c r="DU52" i="3"/>
  <c r="EG174" i="17"/>
  <c r="EG176" i="17"/>
  <c r="DX174" i="17"/>
  <c r="DX176" i="17"/>
  <c r="DS168" i="17"/>
  <c r="DX172" i="17" s="1"/>
  <c r="DX173" i="17"/>
  <c r="DX171" i="17"/>
  <c r="ED180" i="17"/>
  <c r="ED181" i="17"/>
  <c r="ED178" i="17"/>
  <c r="EE180" i="17"/>
  <c r="EE178" i="17"/>
  <c r="EA172" i="17"/>
  <c r="DV176" i="17"/>
  <c r="DV174" i="17"/>
  <c r="DQ168" i="17"/>
  <c r="DV173" i="17"/>
  <c r="DV171" i="17"/>
  <c r="EH173" i="17"/>
  <c r="EF172" i="17"/>
  <c r="EK168" i="17"/>
  <c r="EF173" i="17"/>
  <c r="EF171" i="17"/>
  <c r="EF174" i="17"/>
  <c r="EF176" i="17"/>
  <c r="EH176" i="17"/>
  <c r="EM168" i="17"/>
  <c r="EH174" i="17"/>
  <c r="EH172" i="17"/>
  <c r="EH171" i="17"/>
  <c r="EI172" i="17"/>
  <c r="EN168" i="17"/>
  <c r="EI171" i="17"/>
  <c r="EI176" i="17"/>
  <c r="EI173" i="17"/>
  <c r="EI174" i="17"/>
  <c r="EJ173" i="17"/>
  <c r="EJ171" i="17"/>
  <c r="EC181" i="17"/>
  <c r="EC180" i="17"/>
  <c r="EC178" i="17"/>
  <c r="EA181" i="17"/>
  <c r="EA180" i="17"/>
  <c r="EA178" i="17"/>
  <c r="FS110" i="18"/>
  <c r="FS112" i="18"/>
  <c r="FS109" i="18"/>
  <c r="FS111" i="18"/>
  <c r="DM66" i="17"/>
  <c r="DR67" i="17" s="1"/>
  <c r="DJ70" i="17"/>
  <c r="DI58" i="17"/>
  <c r="DO61" i="17"/>
  <c r="DJ69" i="17"/>
  <c r="EO181" i="17"/>
  <c r="EO177" i="17"/>
  <c r="EO179" i="17"/>
  <c r="DD66" i="17"/>
  <c r="DI70" i="17" s="1"/>
  <c r="DS62" i="17"/>
  <c r="DK61" i="14"/>
  <c r="DJ63" i="14"/>
  <c r="DW70" i="17"/>
  <c r="DL63" i="15"/>
  <c r="DQ64" i="15" s="1"/>
  <c r="DK63" i="15"/>
  <c r="DF58" i="15"/>
  <c r="DF56" i="3" s="1"/>
  <c r="DJ63" i="15"/>
  <c r="DQ62" i="15"/>
  <c r="DI63" i="15"/>
  <c r="DN64" i="15" s="1"/>
  <c r="DD58" i="15"/>
  <c r="DD56" i="3" s="1"/>
  <c r="DP70" i="17"/>
  <c r="DP69" i="15"/>
  <c r="DW67" i="15"/>
  <c r="DO69" i="15"/>
  <c r="DF66" i="15"/>
  <c r="DK69" i="15" s="1"/>
  <c r="DL61" i="15"/>
  <c r="DG58" i="15"/>
  <c r="DG56" i="3" s="1"/>
  <c r="DE66" i="15"/>
  <c r="DJ69" i="15" s="1"/>
  <c r="DM66" i="15"/>
  <c r="DR70" i="15" s="1"/>
  <c r="DD66" i="15"/>
  <c r="DN69" i="15"/>
  <c r="DE58" i="15"/>
  <c r="DJ61" i="15"/>
  <c r="DK61" i="15"/>
  <c r="DM58" i="15"/>
  <c r="DO62" i="14"/>
  <c r="DJ69" i="14"/>
  <c r="DL69" i="17"/>
  <c r="DG66" i="17"/>
  <c r="DL70" i="17" s="1"/>
  <c r="DN69" i="17"/>
  <c r="DF58" i="17"/>
  <c r="DK61" i="17"/>
  <c r="EF61" i="17"/>
  <c r="EH61" i="17"/>
  <c r="EG58" i="17"/>
  <c r="EG61" i="3" s="1"/>
  <c r="EA62" i="17"/>
  <c r="DV61" i="17"/>
  <c r="DQ58" i="17"/>
  <c r="DQ61" i="3" s="1"/>
  <c r="DX61" i="17"/>
  <c r="DW58" i="17"/>
  <c r="DW61" i="3" s="1"/>
  <c r="DF66" i="17"/>
  <c r="DK69" i="17"/>
  <c r="DP62" i="17"/>
  <c r="DQ70" i="17"/>
  <c r="DL66" i="14"/>
  <c r="DM66" i="14" s="1"/>
  <c r="DQ69" i="14"/>
  <c r="DS69" i="14"/>
  <c r="DK69" i="14"/>
  <c r="DF66" i="14"/>
  <c r="DG58" i="14"/>
  <c r="DG51" i="3" s="1"/>
  <c r="DL61" i="14"/>
  <c r="EB70" i="14"/>
  <c r="DV70" i="14"/>
  <c r="DR66" i="14"/>
  <c r="DJ70" i="14"/>
  <c r="DE58" i="14"/>
  <c r="DE51" i="3" s="1"/>
  <c r="DJ52" i="3" s="1"/>
  <c r="DQ62" i="14"/>
  <c r="DD66" i="14"/>
  <c r="DI70" i="14" s="1"/>
  <c r="CZ66" i="14"/>
  <c r="DE70" i="14" s="1"/>
  <c r="GG111" i="18" l="1"/>
  <c r="GG109" i="18"/>
  <c r="GG112" i="18"/>
  <c r="GG110" i="18"/>
  <c r="GH112" i="18"/>
  <c r="GH111" i="18"/>
  <c r="GH109" i="18"/>
  <c r="GH110" i="18"/>
  <c r="EC79" i="42"/>
  <c r="EO149" i="17"/>
  <c r="EO79" i="42"/>
  <c r="ET80" i="42" s="1"/>
  <c r="ED79" i="42"/>
  <c r="EA81" i="42"/>
  <c r="EA82" i="42"/>
  <c r="EO156" i="17"/>
  <c r="EO130" i="17"/>
  <c r="EI79" i="42"/>
  <c r="EC177" i="17"/>
  <c r="EA177" i="17"/>
  <c r="FX111" i="18"/>
  <c r="DE63" i="17"/>
  <c r="DE64" i="3" s="1"/>
  <c r="CZ58" i="17"/>
  <c r="CZ61" i="3" s="1"/>
  <c r="DE62" i="3" s="1"/>
  <c r="DJ62" i="17"/>
  <c r="GC109" i="18"/>
  <c r="GC110" i="18"/>
  <c r="GC112" i="18"/>
  <c r="GC111" i="18"/>
  <c r="GB111" i="18"/>
  <c r="GB109" i="18"/>
  <c r="GB110" i="18"/>
  <c r="GB112" i="18"/>
  <c r="DM56" i="3"/>
  <c r="DL70" i="15"/>
  <c r="DB66" i="15"/>
  <c r="DG70" i="15" s="1"/>
  <c r="DX189" i="17"/>
  <c r="DX188" i="17"/>
  <c r="DX187" i="17"/>
  <c r="DY189" i="17"/>
  <c r="DY187" i="17"/>
  <c r="DN189" i="17"/>
  <c r="DN188" i="17"/>
  <c r="DN187" i="17"/>
  <c r="DO187" i="17"/>
  <c r="DO189" i="17"/>
  <c r="DL187" i="17"/>
  <c r="DL188" i="17"/>
  <c r="DL189" i="17"/>
  <c r="DF189" i="17"/>
  <c r="DF187" i="17"/>
  <c r="DV188" i="17"/>
  <c r="DV189" i="17"/>
  <c r="DV187" i="17"/>
  <c r="DZ187" i="17"/>
  <c r="DZ189" i="17"/>
  <c r="DZ188" i="17"/>
  <c r="DJ64" i="3"/>
  <c r="FX110" i="18"/>
  <c r="FX112" i="18"/>
  <c r="FW112" i="18"/>
  <c r="FW109" i="18"/>
  <c r="FW111" i="18"/>
  <c r="DA58" i="14"/>
  <c r="DF62" i="14" s="1"/>
  <c r="DP57" i="3"/>
  <c r="DJ59" i="3"/>
  <c r="DO64" i="15"/>
  <c r="DK59" i="3"/>
  <c r="DL59" i="3"/>
  <c r="DI59" i="3"/>
  <c r="DP64" i="15"/>
  <c r="DN64" i="3"/>
  <c r="DV64" i="3"/>
  <c r="DS64" i="17"/>
  <c r="EF64" i="3"/>
  <c r="EF64" i="17"/>
  <c r="DK64" i="3"/>
  <c r="DP64" i="17"/>
  <c r="EA64" i="17"/>
  <c r="DJ54" i="3"/>
  <c r="DO64" i="14"/>
  <c r="DL54" i="3"/>
  <c r="DQ64" i="14"/>
  <c r="DK54" i="3"/>
  <c r="EO23" i="2"/>
  <c r="EO67" i="2" s="1"/>
  <c r="EK63" i="17"/>
  <c r="EK61" i="3"/>
  <c r="DN62" i="17"/>
  <c r="DI61" i="3"/>
  <c r="DF63" i="17"/>
  <c r="DF64" i="3" s="1"/>
  <c r="DF61" i="3"/>
  <c r="DJ58" i="3"/>
  <c r="DO57" i="3"/>
  <c r="DI58" i="3"/>
  <c r="DI57" i="3"/>
  <c r="DJ62" i="15"/>
  <c r="DE56" i="3"/>
  <c r="DJ57" i="3" s="1"/>
  <c r="DG58" i="3"/>
  <c r="DK58" i="3"/>
  <c r="DK57" i="3"/>
  <c r="DL57" i="3"/>
  <c r="DF63" i="14"/>
  <c r="DF54" i="3" s="1"/>
  <c r="DK62" i="14"/>
  <c r="DG53" i="3"/>
  <c r="DL52" i="3"/>
  <c r="DL53" i="3"/>
  <c r="DQ52" i="3"/>
  <c r="DF53" i="3"/>
  <c r="EA179" i="17"/>
  <c r="EH178" i="17"/>
  <c r="EF179" i="17"/>
  <c r="EF181" i="17"/>
  <c r="EF177" i="17"/>
  <c r="EF178" i="17"/>
  <c r="EF180" i="17"/>
  <c r="EI179" i="17"/>
  <c r="EI180" i="17"/>
  <c r="EI181" i="17"/>
  <c r="EI177" i="17"/>
  <c r="EI178" i="17"/>
  <c r="EJ178" i="17"/>
  <c r="EJ180" i="17"/>
  <c r="ES168" i="17"/>
  <c r="EN173" i="17"/>
  <c r="EN176" i="17"/>
  <c r="EN171" i="17"/>
  <c r="EN174" i="17"/>
  <c r="EN172" i="17"/>
  <c r="EO171" i="17"/>
  <c r="EO173" i="17"/>
  <c r="EM176" i="17"/>
  <c r="EM172" i="17"/>
  <c r="ER168" i="17"/>
  <c r="EM174" i="17"/>
  <c r="EM173" i="17"/>
  <c r="EM171" i="17"/>
  <c r="DV172" i="17"/>
  <c r="DL168" i="17"/>
  <c r="DQ173" i="17"/>
  <c r="DQ176" i="17"/>
  <c r="DQ171" i="17"/>
  <c r="DQ174" i="17"/>
  <c r="EG181" i="17"/>
  <c r="EH181" i="17"/>
  <c r="EH177" i="17"/>
  <c r="EH179" i="17"/>
  <c r="EH180" i="17"/>
  <c r="EK173" i="17"/>
  <c r="EK171" i="17"/>
  <c r="EP168" i="17"/>
  <c r="EK172" i="17"/>
  <c r="EK174" i="17"/>
  <c r="EK176" i="17"/>
  <c r="DN168" i="17"/>
  <c r="DS176" i="17"/>
  <c r="DS174" i="17"/>
  <c r="DS171" i="17"/>
  <c r="DS173" i="17"/>
  <c r="EL168" i="17"/>
  <c r="DX180" i="17"/>
  <c r="DV181" i="17"/>
  <c r="DV180" i="17"/>
  <c r="DV178" i="17"/>
  <c r="EC179" i="17"/>
  <c r="DX181" i="17"/>
  <c r="DX178" i="17"/>
  <c r="DR70" i="17"/>
  <c r="DD58" i="17"/>
  <c r="CY58" i="17" s="1"/>
  <c r="EY62" i="3"/>
  <c r="ET54" i="17"/>
  <c r="ET55" i="17"/>
  <c r="ET51" i="17"/>
  <c r="ET51" i="29" s="1"/>
  <c r="ET52" i="29" s="1"/>
  <c r="ET53" i="17"/>
  <c r="DE69" i="17"/>
  <c r="DI63" i="17"/>
  <c r="DN64" i="17" s="1"/>
  <c r="DJ61" i="17"/>
  <c r="CY66" i="17"/>
  <c r="CZ69" i="17" s="1"/>
  <c r="DJ62" i="14"/>
  <c r="DE63" i="14"/>
  <c r="DE54" i="3" s="1"/>
  <c r="DJ70" i="15"/>
  <c r="DL62" i="14"/>
  <c r="DG63" i="14"/>
  <c r="DG54" i="3" s="1"/>
  <c r="DV62" i="17"/>
  <c r="DQ63" i="17"/>
  <c r="DH66" i="17"/>
  <c r="DM70" i="17" s="1"/>
  <c r="DF63" i="15"/>
  <c r="DF59" i="3" s="1"/>
  <c r="DA58" i="15"/>
  <c r="DG63" i="15"/>
  <c r="DG59" i="3" s="1"/>
  <c r="DK62" i="15"/>
  <c r="DE63" i="15"/>
  <c r="DE59" i="3" s="1"/>
  <c r="DD63" i="15"/>
  <c r="DD59" i="3" s="1"/>
  <c r="CY58" i="15"/>
  <c r="DI62" i="15"/>
  <c r="DL62" i="15"/>
  <c r="DK70" i="15"/>
  <c r="DK70" i="17"/>
  <c r="DR67" i="15"/>
  <c r="DH66" i="15"/>
  <c r="DM70" i="15" s="1"/>
  <c r="CY66" i="15"/>
  <c r="DB58" i="15"/>
  <c r="DG61" i="15"/>
  <c r="DI61" i="15"/>
  <c r="DI70" i="15"/>
  <c r="DA66" i="15"/>
  <c r="DF69" i="15" s="1"/>
  <c r="DE61" i="15"/>
  <c r="CZ58" i="15"/>
  <c r="DH58" i="15"/>
  <c r="DF61" i="15"/>
  <c r="DI69" i="15"/>
  <c r="CZ66" i="15"/>
  <c r="DE69" i="15" s="1"/>
  <c r="DQ70" i="14"/>
  <c r="EK61" i="17"/>
  <c r="EP58" i="17"/>
  <c r="EK62" i="17"/>
  <c r="EL58" i="17"/>
  <c r="EL61" i="3" s="1"/>
  <c r="EM61" i="17"/>
  <c r="DF61" i="17"/>
  <c r="DA58" i="17"/>
  <c r="DA61" i="3" s="1"/>
  <c r="EB62" i="17"/>
  <c r="DQ61" i="17"/>
  <c r="DL58" i="17"/>
  <c r="DS61" i="17"/>
  <c r="DR58" i="17"/>
  <c r="DR61" i="3" s="1"/>
  <c r="DA66" i="17"/>
  <c r="DA69" i="17" s="1"/>
  <c r="DF69" i="17"/>
  <c r="EB59" i="17"/>
  <c r="EG59" i="17"/>
  <c r="DK62" i="17"/>
  <c r="DB66" i="17"/>
  <c r="DG69" i="17"/>
  <c r="DI69" i="17"/>
  <c r="DR67" i="14"/>
  <c r="DW70" i="14"/>
  <c r="DK70" i="14"/>
  <c r="DF69" i="14"/>
  <c r="DA66" i="14"/>
  <c r="DF70" i="14" s="1"/>
  <c r="CZ58" i="14"/>
  <c r="CZ51" i="3" s="1"/>
  <c r="DF61" i="14"/>
  <c r="DB58" i="14"/>
  <c r="DB51" i="3" s="1"/>
  <c r="DG52" i="3" s="1"/>
  <c r="DG61" i="14"/>
  <c r="DL69" i="14"/>
  <c r="DG66" i="14"/>
  <c r="DL70" i="14" s="1"/>
  <c r="DN69" i="14"/>
  <c r="CY66" i="14"/>
  <c r="CY69" i="14" s="1"/>
  <c r="DR70" i="14"/>
  <c r="DW67" i="14"/>
  <c r="DE69" i="14"/>
  <c r="CZ70" i="14"/>
  <c r="EG79" i="42" l="1"/>
  <c r="ET149" i="17"/>
  <c r="ED82" i="42"/>
  <c r="ED81" i="42"/>
  <c r="EE81" i="42"/>
  <c r="EF79" i="42"/>
  <c r="EI82" i="42"/>
  <c r="EI80" i="42"/>
  <c r="EJ81" i="42"/>
  <c r="EO80" i="42"/>
  <c r="EO82" i="42"/>
  <c r="EH79" i="42"/>
  <c r="EI81" i="42" s="1"/>
  <c r="EC82" i="42"/>
  <c r="EC81" i="42"/>
  <c r="ET156" i="17"/>
  <c r="CZ62" i="3"/>
  <c r="DJ64" i="17"/>
  <c r="EU168" i="17"/>
  <c r="EV168" i="17" s="1"/>
  <c r="EN79" i="42"/>
  <c r="EK79" i="42"/>
  <c r="FD151" i="17"/>
  <c r="EY79" i="42"/>
  <c r="CZ63" i="17"/>
  <c r="CZ64" i="3" s="1"/>
  <c r="DV177" i="17"/>
  <c r="DX179" i="17"/>
  <c r="DG69" i="15"/>
  <c r="DE62" i="17"/>
  <c r="EN153" i="17"/>
  <c r="EN155" i="17"/>
  <c r="EN154" i="17"/>
  <c r="EM154" i="17"/>
  <c r="EM155" i="17"/>
  <c r="EM153" i="17"/>
  <c r="EO155" i="17"/>
  <c r="EO153" i="17"/>
  <c r="EO154" i="17"/>
  <c r="EP61" i="3"/>
  <c r="EU58" i="17"/>
  <c r="DH56" i="3"/>
  <c r="DM57" i="3" s="1"/>
  <c r="EE189" i="17"/>
  <c r="EE188" i="17"/>
  <c r="EE187" i="17"/>
  <c r="EA187" i="17"/>
  <c r="EA189" i="17"/>
  <c r="EA188" i="17"/>
  <c r="DG189" i="17"/>
  <c r="DG187" i="17"/>
  <c r="DW188" i="17"/>
  <c r="DF188" i="17"/>
  <c r="DI189" i="17"/>
  <c r="DI188" i="17"/>
  <c r="DI187" i="17"/>
  <c r="DJ189" i="17"/>
  <c r="DJ187" i="17"/>
  <c r="EC189" i="17"/>
  <c r="EC188" i="17"/>
  <c r="EC187" i="17"/>
  <c r="ED189" i="17"/>
  <c r="ED187" i="17"/>
  <c r="ET171" i="17"/>
  <c r="ET173" i="17"/>
  <c r="ET62" i="3"/>
  <c r="ET63" i="3"/>
  <c r="DA63" i="14"/>
  <c r="DA54" i="3" s="1"/>
  <c r="DK64" i="15"/>
  <c r="DA51" i="3"/>
  <c r="DB53" i="3" s="1"/>
  <c r="DK64" i="17"/>
  <c r="DJ64" i="15"/>
  <c r="DI64" i="15"/>
  <c r="DL64" i="15"/>
  <c r="DQ64" i="3"/>
  <c r="DV64" i="17"/>
  <c r="EK64" i="3"/>
  <c r="EK64" i="17"/>
  <c r="DI64" i="3"/>
  <c r="DL64" i="14"/>
  <c r="DK64" i="14"/>
  <c r="DJ64" i="14"/>
  <c r="DL63" i="17"/>
  <c r="DL61" i="3"/>
  <c r="DE61" i="17"/>
  <c r="DD61" i="3"/>
  <c r="DA62" i="3"/>
  <c r="DA63" i="3"/>
  <c r="DF62" i="3"/>
  <c r="DF63" i="3"/>
  <c r="CY63" i="17"/>
  <c r="CY64" i="3" s="1"/>
  <c r="CY61" i="3"/>
  <c r="DA63" i="15"/>
  <c r="DA59" i="3" s="1"/>
  <c r="DA56" i="3"/>
  <c r="CZ63" i="15"/>
  <c r="CZ59" i="3" s="1"/>
  <c r="CZ56" i="3"/>
  <c r="DB63" i="15"/>
  <c r="DB59" i="3" s="1"/>
  <c r="DB56" i="3"/>
  <c r="DE58" i="3"/>
  <c r="DD62" i="15"/>
  <c r="CY56" i="3"/>
  <c r="DF58" i="3"/>
  <c r="CZ52" i="3"/>
  <c r="DE52" i="3"/>
  <c r="DB52" i="3"/>
  <c r="DD63" i="17"/>
  <c r="DD64" i="3" s="1"/>
  <c r="DI62" i="17"/>
  <c r="EM180" i="17"/>
  <c r="EK181" i="17"/>
  <c r="EK177" i="17"/>
  <c r="EK179" i="17"/>
  <c r="EK178" i="17"/>
  <c r="EK180" i="17"/>
  <c r="DS180" i="17"/>
  <c r="DQ180" i="17"/>
  <c r="DQ178" i="17"/>
  <c r="DQ181" i="17"/>
  <c r="ES172" i="17"/>
  <c r="ES173" i="17"/>
  <c r="ES171" i="17"/>
  <c r="DQ172" i="17"/>
  <c r="DL173" i="17"/>
  <c r="DG168" i="17"/>
  <c r="DL171" i="17"/>
  <c r="ER172" i="17"/>
  <c r="ER174" i="17"/>
  <c r="ER176" i="17"/>
  <c r="ER171" i="17"/>
  <c r="ER173" i="17"/>
  <c r="EP172" i="17"/>
  <c r="EP176" i="17"/>
  <c r="EP174" i="17"/>
  <c r="EP173" i="17"/>
  <c r="EP171" i="17"/>
  <c r="DV179" i="17"/>
  <c r="EL172" i="17"/>
  <c r="EL176" i="17"/>
  <c r="EL174" i="17"/>
  <c r="DS181" i="17"/>
  <c r="DS178" i="17"/>
  <c r="EQ168" i="17"/>
  <c r="EM177" i="17"/>
  <c r="EM179" i="17"/>
  <c r="EM181" i="17"/>
  <c r="EM178" i="17"/>
  <c r="EN181" i="17"/>
  <c r="EN178" i="17"/>
  <c r="EN177" i="17"/>
  <c r="EN179" i="17"/>
  <c r="EN180" i="17"/>
  <c r="EO178" i="17"/>
  <c r="EO180" i="17"/>
  <c r="DX177" i="17"/>
  <c r="DS172" i="17"/>
  <c r="DI168" i="17"/>
  <c r="DN172" i="17" s="1"/>
  <c r="DN176" i="17"/>
  <c r="DN174" i="17"/>
  <c r="DN173" i="17"/>
  <c r="DN171" i="17"/>
  <c r="DM67" i="15"/>
  <c r="DD70" i="17"/>
  <c r="ET61" i="17"/>
  <c r="EP63" i="17"/>
  <c r="ER61" i="17"/>
  <c r="DQ62" i="17"/>
  <c r="DM67" i="17"/>
  <c r="DE62" i="14"/>
  <c r="CZ63" i="14"/>
  <c r="CZ54" i="3" s="1"/>
  <c r="DB61" i="14"/>
  <c r="DB63" i="14"/>
  <c r="DB54" i="3" s="1"/>
  <c r="FU41" i="5"/>
  <c r="DF70" i="17"/>
  <c r="DA61" i="17"/>
  <c r="DA63" i="17"/>
  <c r="DA64" i="3" s="1"/>
  <c r="DW62" i="17"/>
  <c r="EL62" i="17"/>
  <c r="DG62" i="15"/>
  <c r="DE62" i="15"/>
  <c r="DF62" i="15"/>
  <c r="CY63" i="15"/>
  <c r="CY59" i="3" s="1"/>
  <c r="CY61" i="15"/>
  <c r="DM62" i="15"/>
  <c r="EL59" i="17"/>
  <c r="DF62" i="17"/>
  <c r="DC66" i="17"/>
  <c r="DH67" i="17" s="1"/>
  <c r="DB61" i="15"/>
  <c r="DD61" i="15"/>
  <c r="DC66" i="15"/>
  <c r="DH70" i="15" s="1"/>
  <c r="DM59" i="15"/>
  <c r="DD70" i="15"/>
  <c r="CZ61" i="15"/>
  <c r="DC58" i="15"/>
  <c r="DA61" i="15"/>
  <c r="DE70" i="15"/>
  <c r="DD69" i="15"/>
  <c r="DF70" i="15"/>
  <c r="DA61" i="14"/>
  <c r="DG62" i="14"/>
  <c r="EP61" i="17"/>
  <c r="EQ58" i="17"/>
  <c r="EQ61" i="3" s="1"/>
  <c r="DG58" i="17"/>
  <c r="DL61" i="17"/>
  <c r="DN61" i="17"/>
  <c r="DM58" i="17"/>
  <c r="DG70" i="17"/>
  <c r="DB69" i="17"/>
  <c r="DD69" i="17"/>
  <c r="DD62" i="17"/>
  <c r="DW59" i="17"/>
  <c r="CZ61" i="17"/>
  <c r="CY70" i="14"/>
  <c r="DA69" i="14"/>
  <c r="DA70" i="14"/>
  <c r="DD70" i="14"/>
  <c r="DG69" i="14"/>
  <c r="DB66" i="14"/>
  <c r="DC66" i="14" s="1"/>
  <c r="DC70" i="14" s="1"/>
  <c r="DI69" i="14"/>
  <c r="DH66" i="14"/>
  <c r="CZ69" i="14"/>
  <c r="DJ75" i="17"/>
  <c r="EY80" i="42" l="1"/>
  <c r="EO81" i="42"/>
  <c r="ES80" i="42"/>
  <c r="EU174" i="17"/>
  <c r="EM149" i="17"/>
  <c r="EM79" i="42"/>
  <c r="DX79" i="42"/>
  <c r="EF82" i="42"/>
  <c r="EF81" i="42"/>
  <c r="EF80" i="42"/>
  <c r="DV79" i="42"/>
  <c r="EK82" i="42"/>
  <c r="EK81" i="42"/>
  <c r="EK80" i="42"/>
  <c r="EN80" i="42"/>
  <c r="EN82" i="42"/>
  <c r="EH82" i="42"/>
  <c r="EH80" i="42"/>
  <c r="EH81" i="42"/>
  <c r="ET11" i="17"/>
  <c r="EN149" i="17"/>
  <c r="EN156" i="17"/>
  <c r="EM156" i="17"/>
  <c r="ET226" i="17"/>
  <c r="ET132" i="17"/>
  <c r="ET95" i="17"/>
  <c r="ET14" i="17"/>
  <c r="ET16" i="17"/>
  <c r="EU171" i="17"/>
  <c r="EU172" i="17"/>
  <c r="EU176" i="17"/>
  <c r="EU154" i="17" s="1"/>
  <c r="EU173" i="17"/>
  <c r="EM131" i="17"/>
  <c r="EN130" i="17"/>
  <c r="EO131" i="17"/>
  <c r="EO129" i="17"/>
  <c r="EM130" i="17"/>
  <c r="FI151" i="17"/>
  <c r="FD126" i="17"/>
  <c r="EL79" i="42"/>
  <c r="EL80" i="42" s="1"/>
  <c r="EN131" i="17"/>
  <c r="EN129" i="17"/>
  <c r="DQ79" i="42"/>
  <c r="DN181" i="17"/>
  <c r="EP153" i="17"/>
  <c r="EP154" i="17"/>
  <c r="EP155" i="17"/>
  <c r="EV58" i="17"/>
  <c r="EU61" i="17"/>
  <c r="EU63" i="17"/>
  <c r="ER153" i="17"/>
  <c r="ER152" i="17"/>
  <c r="ER155" i="17"/>
  <c r="ER154" i="17"/>
  <c r="ET154" i="17"/>
  <c r="ET152" i="17"/>
  <c r="EV174" i="17"/>
  <c r="EV172" i="17"/>
  <c r="DG188" i="17"/>
  <c r="DD187" i="17"/>
  <c r="DD188" i="17"/>
  <c r="DD189" i="17"/>
  <c r="DE187" i="17"/>
  <c r="DE189" i="17"/>
  <c r="DR188" i="17"/>
  <c r="EB188" i="17"/>
  <c r="EF187" i="17"/>
  <c r="EF188" i="17"/>
  <c r="EF189" i="17"/>
  <c r="DF52" i="3"/>
  <c r="DA52" i="3"/>
  <c r="DA53" i="3"/>
  <c r="DI64" i="17"/>
  <c r="EP64" i="3"/>
  <c r="EP64" i="17"/>
  <c r="DL64" i="3"/>
  <c r="DQ64" i="17"/>
  <c r="DG63" i="17"/>
  <c r="DG64" i="3" s="1"/>
  <c r="DG61" i="3"/>
  <c r="CY63" i="3"/>
  <c r="CY62" i="3"/>
  <c r="CZ63" i="3"/>
  <c r="DD62" i="3"/>
  <c r="DE63" i="3"/>
  <c r="DR59" i="17"/>
  <c r="DM61" i="3"/>
  <c r="DB58" i="3"/>
  <c r="DB57" i="3"/>
  <c r="DD58" i="3"/>
  <c r="DG57" i="3"/>
  <c r="CY58" i="3"/>
  <c r="CY57" i="3"/>
  <c r="DD57" i="3"/>
  <c r="CZ57" i="3"/>
  <c r="CZ58" i="3"/>
  <c r="DH62" i="15"/>
  <c r="DC56" i="3"/>
  <c r="DA58" i="3"/>
  <c r="DA57" i="3"/>
  <c r="DF57" i="3"/>
  <c r="DE57" i="3"/>
  <c r="DS177" i="17"/>
  <c r="ER178" i="17"/>
  <c r="EP181" i="17"/>
  <c r="EP179" i="17"/>
  <c r="EP180" i="17"/>
  <c r="EP178" i="17"/>
  <c r="EP177" i="17"/>
  <c r="EL177" i="17"/>
  <c r="EL179" i="17"/>
  <c r="EL181" i="17"/>
  <c r="DL172" i="17"/>
  <c r="DG171" i="17"/>
  <c r="DG173" i="17"/>
  <c r="EQ176" i="17"/>
  <c r="EQ172" i="17"/>
  <c r="EQ169" i="17"/>
  <c r="EQ174" i="17"/>
  <c r="DS179" i="17"/>
  <c r="ER179" i="17"/>
  <c r="ER177" i="17"/>
  <c r="ER181" i="17"/>
  <c r="ER180" i="17"/>
  <c r="DD168" i="17"/>
  <c r="DI173" i="17"/>
  <c r="DI171" i="17"/>
  <c r="DR62" i="17"/>
  <c r="EQ59" i="17"/>
  <c r="DH70" i="17"/>
  <c r="DH59" i="15"/>
  <c r="DH67" i="15"/>
  <c r="DG70" i="14"/>
  <c r="DL62" i="17"/>
  <c r="DB58" i="17"/>
  <c r="DB61" i="3" s="1"/>
  <c r="DD63" i="3" s="1"/>
  <c r="DG61" i="17"/>
  <c r="DI61" i="17"/>
  <c r="DH58" i="17"/>
  <c r="DH61" i="3" s="1"/>
  <c r="DH67" i="14"/>
  <c r="DM70" i="14"/>
  <c r="DH70" i="14"/>
  <c r="DM67" i="14"/>
  <c r="DB69" i="14"/>
  <c r="DB70" i="14"/>
  <c r="DD69" i="14"/>
  <c r="EE177" i="15"/>
  <c r="ED177" i="15"/>
  <c r="DF224" i="15"/>
  <c r="DE224" i="15"/>
  <c r="DE59" i="42" s="1"/>
  <c r="DD224" i="15"/>
  <c r="DL99" i="15"/>
  <c r="DE99" i="15"/>
  <c r="DD99" i="15"/>
  <c r="DQ99" i="15"/>
  <c r="DP102" i="15"/>
  <c r="EO229" i="15"/>
  <c r="EN229" i="15"/>
  <c r="EJ229" i="15"/>
  <c r="EI229" i="15"/>
  <c r="EE229" i="15"/>
  <c r="ED229" i="15"/>
  <c r="DZ229" i="15"/>
  <c r="DY229" i="15"/>
  <c r="DU229" i="15"/>
  <c r="DT229" i="15"/>
  <c r="DP229" i="15"/>
  <c r="DO229" i="15"/>
  <c r="DK229" i="15"/>
  <c r="DJ229" i="15"/>
  <c r="ER228" i="15"/>
  <c r="EQ228" i="15"/>
  <c r="EO228" i="15"/>
  <c r="EN228" i="15"/>
  <c r="EL228" i="15"/>
  <c r="EJ228" i="15"/>
  <c r="EI228" i="15"/>
  <c r="EH228" i="15"/>
  <c r="EG228" i="15"/>
  <c r="EE228" i="15"/>
  <c r="ED228" i="15"/>
  <c r="EC228" i="15"/>
  <c r="EB228" i="15"/>
  <c r="DZ228" i="15"/>
  <c r="DY228" i="15"/>
  <c r="DX228" i="15"/>
  <c r="DW228" i="15"/>
  <c r="DU228" i="15"/>
  <c r="DT228" i="15"/>
  <c r="DS228" i="15"/>
  <c r="DR228" i="15"/>
  <c r="DP228" i="15"/>
  <c r="DO228" i="15"/>
  <c r="DN228" i="15"/>
  <c r="DK102" i="15"/>
  <c r="DJ102" i="15"/>
  <c r="DU102" i="15"/>
  <c r="DT102" i="15"/>
  <c r="DZ102" i="15"/>
  <c r="DY102" i="15"/>
  <c r="EE102" i="15"/>
  <c r="ED102" i="15"/>
  <c r="EJ102" i="15"/>
  <c r="EI102" i="15"/>
  <c r="EY64" i="42" l="1"/>
  <c r="EY14" i="2"/>
  <c r="EY68" i="2" s="1"/>
  <c r="EN81" i="42"/>
  <c r="ER80" i="42"/>
  <c r="FD156" i="17"/>
  <c r="FD79" i="42"/>
  <c r="ER149" i="17"/>
  <c r="DQ80" i="42"/>
  <c r="DQ82" i="42"/>
  <c r="DQ81" i="42"/>
  <c r="EP149" i="17"/>
  <c r="EP79" i="42"/>
  <c r="DX82" i="42"/>
  <c r="DX81" i="42"/>
  <c r="EC80" i="42"/>
  <c r="DV82" i="42"/>
  <c r="DV81" i="42"/>
  <c r="DV80" i="42"/>
  <c r="EA80" i="42"/>
  <c r="DS79" i="42"/>
  <c r="DX80" i="42" s="1"/>
  <c r="EM82" i="42"/>
  <c r="EM80" i="42"/>
  <c r="EM81" i="42"/>
  <c r="EU149" i="17"/>
  <c r="EU181" i="17"/>
  <c r="EU153" i="17"/>
  <c r="EU177" i="17"/>
  <c r="EU179" i="17"/>
  <c r="EU178" i="17"/>
  <c r="EU180" i="17"/>
  <c r="ER156" i="17"/>
  <c r="EU156" i="17"/>
  <c r="FD10" i="17"/>
  <c r="FD149" i="17"/>
  <c r="EP156" i="17"/>
  <c r="EU152" i="17"/>
  <c r="EU155" i="17"/>
  <c r="EU131" i="17"/>
  <c r="EU129" i="17"/>
  <c r="ED184" i="15"/>
  <c r="EE184" i="15"/>
  <c r="EE182" i="15"/>
  <c r="DI103" i="15"/>
  <c r="DQ105" i="15"/>
  <c r="DQ104" i="15"/>
  <c r="DS104" i="15"/>
  <c r="DQ103" i="15"/>
  <c r="DE105" i="15"/>
  <c r="DJ103" i="15"/>
  <c r="DE104" i="15"/>
  <c r="DL104" i="15"/>
  <c r="DN104" i="15"/>
  <c r="ER131" i="17"/>
  <c r="EP130" i="17"/>
  <c r="ER130" i="17"/>
  <c r="EP131" i="17"/>
  <c r="ER129" i="17"/>
  <c r="FD130" i="17"/>
  <c r="FD127" i="17"/>
  <c r="FN151" i="17"/>
  <c r="FI126" i="17"/>
  <c r="EQ79" i="42"/>
  <c r="EU130" i="17"/>
  <c r="FB151" i="17"/>
  <c r="EW79" i="42"/>
  <c r="EP129" i="17"/>
  <c r="EQ154" i="17"/>
  <c r="DG99" i="15"/>
  <c r="DL103" i="15" s="1"/>
  <c r="DL105" i="15"/>
  <c r="CY99" i="15"/>
  <c r="DD105" i="15"/>
  <c r="EU64" i="17"/>
  <c r="EG188" i="17"/>
  <c r="DM188" i="17"/>
  <c r="DE62" i="42"/>
  <c r="DJ60" i="42"/>
  <c r="DI228" i="15"/>
  <c r="DD59" i="42"/>
  <c r="DF59" i="42"/>
  <c r="DL64" i="17"/>
  <c r="ED30" i="30"/>
  <c r="DB63" i="3"/>
  <c r="DB62" i="3"/>
  <c r="DG63" i="3"/>
  <c r="DG62" i="3"/>
  <c r="DC57" i="3"/>
  <c r="DH57" i="3"/>
  <c r="EE30" i="30"/>
  <c r="EV169" i="17"/>
  <c r="DI172" i="17"/>
  <c r="EQ181" i="17"/>
  <c r="EQ179" i="17"/>
  <c r="EQ177" i="17"/>
  <c r="DK228" i="15"/>
  <c r="DG62" i="17"/>
  <c r="DB63" i="17"/>
  <c r="DB64" i="3" s="1"/>
  <c r="DB61" i="17"/>
  <c r="DD61" i="17"/>
  <c r="DC58" i="17"/>
  <c r="DC61" i="3" s="1"/>
  <c r="DC62" i="3" s="1"/>
  <c r="DM62" i="17"/>
  <c r="DM59" i="17"/>
  <c r="DZ177" i="15"/>
  <c r="EE181" i="15" s="1"/>
  <c r="EI177" i="15"/>
  <c r="ED209" i="15"/>
  <c r="ED54" i="42" s="1"/>
  <c r="ED57" i="42" s="1"/>
  <c r="EJ177" i="15"/>
  <c r="EE209" i="15"/>
  <c r="EE54" i="42" s="1"/>
  <c r="EE57" i="42" s="1"/>
  <c r="DY177" i="15"/>
  <c r="DE229" i="15"/>
  <c r="DF229" i="15"/>
  <c r="DJ228" i="15"/>
  <c r="CZ224" i="15"/>
  <c r="CZ59" i="42" s="1"/>
  <c r="DA224" i="15"/>
  <c r="DA59" i="42" s="1"/>
  <c r="CY224" i="15"/>
  <c r="CY59" i="42" s="1"/>
  <c r="DE102" i="15"/>
  <c r="CZ99" i="15"/>
  <c r="DO102" i="15"/>
  <c r="EH177" i="15"/>
  <c r="DF227" i="15"/>
  <c r="DE227" i="15"/>
  <c r="EY65" i="42" l="1"/>
  <c r="EY87" i="42"/>
  <c r="EY72" i="42"/>
  <c r="EY77" i="42"/>
  <c r="EY82" i="42"/>
  <c r="ER81" i="42"/>
  <c r="EU80" i="42"/>
  <c r="EQ80" i="42"/>
  <c r="EV80" i="42"/>
  <c r="FI156" i="17"/>
  <c r="FI79" i="42"/>
  <c r="FD64" i="42"/>
  <c r="FD14" i="2"/>
  <c r="EP81" i="42"/>
  <c r="EP82" i="42"/>
  <c r="EP80" i="42"/>
  <c r="DN79" i="42"/>
  <c r="DS80" i="42" s="1"/>
  <c r="FE151" i="17"/>
  <c r="FJ151" i="17" s="1"/>
  <c r="DS82" i="42"/>
  <c r="DT81" i="42"/>
  <c r="DS81" i="42"/>
  <c r="FD14" i="17"/>
  <c r="FD226" i="17"/>
  <c r="FD11" i="17"/>
  <c r="EQ130" i="17"/>
  <c r="EQ149" i="17"/>
  <c r="ER11" i="17"/>
  <c r="ER13" i="17"/>
  <c r="FI10" i="17"/>
  <c r="FI14" i="2" s="1"/>
  <c r="FI149" i="17"/>
  <c r="EU13" i="17"/>
  <c r="EU11" i="17"/>
  <c r="FD132" i="17"/>
  <c r="FD95" i="17"/>
  <c r="EQ156" i="17"/>
  <c r="EW149" i="17"/>
  <c r="ER132" i="17"/>
  <c r="ER95" i="17"/>
  <c r="ER226" i="17"/>
  <c r="EU95" i="17"/>
  <c r="EU132" i="17"/>
  <c r="EU226" i="17"/>
  <c r="ER14" i="17"/>
  <c r="ER15" i="17"/>
  <c r="ER16" i="17"/>
  <c r="EU14" i="17"/>
  <c r="EU15" i="17"/>
  <c r="EU16" i="17"/>
  <c r="EH184" i="15"/>
  <c r="EH183" i="15"/>
  <c r="EI182" i="15"/>
  <c r="EI181" i="15"/>
  <c r="EI184" i="15"/>
  <c r="EI183" i="15"/>
  <c r="DY183" i="15"/>
  <c r="DY184" i="15"/>
  <c r="EJ184" i="15"/>
  <c r="EJ183" i="15"/>
  <c r="EJ181" i="15"/>
  <c r="EJ182" i="15"/>
  <c r="ED181" i="15"/>
  <c r="DZ182" i="15"/>
  <c r="DZ183" i="15"/>
  <c r="DZ184" i="15"/>
  <c r="CZ105" i="15"/>
  <c r="CZ104" i="15"/>
  <c r="DI104" i="15"/>
  <c r="CY105" i="15"/>
  <c r="DE103" i="15"/>
  <c r="FG151" i="17"/>
  <c r="FB126" i="17"/>
  <c r="FB79" i="42" s="1"/>
  <c r="FI130" i="17"/>
  <c r="FI127" i="17"/>
  <c r="FS151" i="17"/>
  <c r="FN126" i="17"/>
  <c r="EW129" i="17"/>
  <c r="EW130" i="17"/>
  <c r="EW131" i="17"/>
  <c r="DB99" i="15"/>
  <c r="DG103" i="15" s="1"/>
  <c r="DG105" i="15"/>
  <c r="FD154" i="17"/>
  <c r="FB155" i="17"/>
  <c r="FB154" i="17"/>
  <c r="FB153" i="17"/>
  <c r="DH188" i="17"/>
  <c r="EW80" i="42"/>
  <c r="CZ61" i="42"/>
  <c r="EE56" i="42"/>
  <c r="DE60" i="42"/>
  <c r="DD60" i="42"/>
  <c r="DD62" i="42"/>
  <c r="DI60" i="42"/>
  <c r="DA61" i="42"/>
  <c r="DK60" i="42"/>
  <c r="DF60" i="42"/>
  <c r="DF61" i="42"/>
  <c r="DF62" i="42"/>
  <c r="DE61" i="42"/>
  <c r="DY30" i="30"/>
  <c r="ED31" i="30" s="1"/>
  <c r="EH30" i="30"/>
  <c r="DZ30" i="30"/>
  <c r="EJ30" i="30"/>
  <c r="EJ33" i="30" s="1"/>
  <c r="DH62" i="3"/>
  <c r="EE34" i="30"/>
  <c r="EE32" i="30"/>
  <c r="EI30" i="30"/>
  <c r="EM177" i="15"/>
  <c r="EE214" i="15"/>
  <c r="EE212" i="15"/>
  <c r="DH62" i="17"/>
  <c r="DH59" i="17"/>
  <c r="EH209" i="15"/>
  <c r="EH54" i="42" s="1"/>
  <c r="EH57" i="42" s="1"/>
  <c r="DZ209" i="15"/>
  <c r="DU177" i="15"/>
  <c r="DZ181" i="15" s="1"/>
  <c r="DY209" i="15"/>
  <c r="DY54" i="42" s="1"/>
  <c r="EO177" i="15"/>
  <c r="EJ180" i="15"/>
  <c r="EJ209" i="15"/>
  <c r="EJ54" i="42" s="1"/>
  <c r="EJ57" i="42" s="1"/>
  <c r="EN177" i="15"/>
  <c r="EI209" i="15"/>
  <c r="EI54" i="42" s="1"/>
  <c r="EI57" i="42" s="1"/>
  <c r="DT177" i="15"/>
  <c r="DZ180" i="15"/>
  <c r="EI180" i="15"/>
  <c r="EC177" i="15"/>
  <c r="CU99" i="15"/>
  <c r="CT224" i="15"/>
  <c r="CT59" i="42" s="1"/>
  <c r="CY60" i="42" s="1"/>
  <c r="CV224" i="15"/>
  <c r="CV59" i="42" s="1"/>
  <c r="DA229" i="15"/>
  <c r="DF228" i="15"/>
  <c r="CU224" i="15"/>
  <c r="CU59" i="42" s="1"/>
  <c r="CZ229" i="15"/>
  <c r="DE228" i="15"/>
  <c r="CZ102" i="15"/>
  <c r="CT99" i="15"/>
  <c r="CY103" i="15" s="1"/>
  <c r="CZ227" i="15"/>
  <c r="DA227" i="15"/>
  <c r="EZ79" i="42" l="1"/>
  <c r="FE153" i="17"/>
  <c r="FE154" i="17"/>
  <c r="FE126" i="17"/>
  <c r="FE79" i="42" s="1"/>
  <c r="FE155" i="17"/>
  <c r="FB81" i="42"/>
  <c r="FN156" i="17"/>
  <c r="FN79" i="42"/>
  <c r="DN80" i="42"/>
  <c r="DN82" i="42"/>
  <c r="DN81" i="42"/>
  <c r="ED55" i="42"/>
  <c r="DY57" i="42"/>
  <c r="FI132" i="17"/>
  <c r="FI64" i="42"/>
  <c r="FI226" i="17"/>
  <c r="FI95" i="17"/>
  <c r="FI11" i="17"/>
  <c r="FN10" i="17"/>
  <c r="FN149" i="17"/>
  <c r="FI14" i="17"/>
  <c r="FB156" i="17"/>
  <c r="FB149" i="17"/>
  <c r="DT183" i="15"/>
  <c r="DT184" i="15"/>
  <c r="EO182" i="15"/>
  <c r="EO181" i="15"/>
  <c r="EO184" i="15"/>
  <c r="EO183" i="15"/>
  <c r="EC183" i="15"/>
  <c r="EC184" i="15"/>
  <c r="ED182" i="15"/>
  <c r="EN184" i="15"/>
  <c r="EN183" i="15"/>
  <c r="EN181" i="15"/>
  <c r="EN182" i="15"/>
  <c r="DY181" i="15"/>
  <c r="EH181" i="15"/>
  <c r="DU182" i="15"/>
  <c r="DU183" i="15"/>
  <c r="DU184" i="15"/>
  <c r="EM183" i="15"/>
  <c r="EM181" i="15"/>
  <c r="EM184" i="15"/>
  <c r="CU104" i="15"/>
  <c r="DB105" i="15"/>
  <c r="DD104" i="15"/>
  <c r="CZ103" i="15"/>
  <c r="FO151" i="17"/>
  <c r="FJ126" i="17"/>
  <c r="FB127" i="17"/>
  <c r="FB129" i="17"/>
  <c r="FB130" i="17"/>
  <c r="FB131" i="17"/>
  <c r="FN127" i="17"/>
  <c r="FN130" i="17"/>
  <c r="FL151" i="17"/>
  <c r="FG126" i="17"/>
  <c r="FG79" i="42" s="1"/>
  <c r="FX151" i="17"/>
  <c r="FS126" i="17"/>
  <c r="FG153" i="17"/>
  <c r="FG155" i="17"/>
  <c r="FG154" i="17"/>
  <c r="FI154" i="17"/>
  <c r="FJ155" i="17"/>
  <c r="FJ154" i="17"/>
  <c r="FJ153" i="17"/>
  <c r="DZ32" i="30"/>
  <c r="DC188" i="17"/>
  <c r="EW81" i="42"/>
  <c r="FB80" i="42"/>
  <c r="CV60" i="42"/>
  <c r="CV61" i="42"/>
  <c r="DT30" i="30"/>
  <c r="DY31" i="30" s="1"/>
  <c r="EJ56" i="42"/>
  <c r="EJ55" i="42"/>
  <c r="CU60" i="42"/>
  <c r="CU61" i="42"/>
  <c r="CZ60" i="42"/>
  <c r="CT61" i="42"/>
  <c r="CT60" i="42"/>
  <c r="ET177" i="15"/>
  <c r="EE213" i="15"/>
  <c r="DZ54" i="42"/>
  <c r="DZ57" i="42" s="1"/>
  <c r="EI56" i="42"/>
  <c r="EI55" i="42"/>
  <c r="DU30" i="30"/>
  <c r="DZ31" i="30" s="1"/>
  <c r="DA60" i="42"/>
  <c r="EE33" i="30"/>
  <c r="EJ31" i="30"/>
  <c r="DZ34" i="30"/>
  <c r="EE31" i="30"/>
  <c r="ED33" i="30"/>
  <c r="EC30" i="30"/>
  <c r="EH33" i="30" s="1"/>
  <c r="EJ34" i="30"/>
  <c r="EI31" i="30"/>
  <c r="EI32" i="30"/>
  <c r="EI33" i="30"/>
  <c r="EI34" i="30"/>
  <c r="EJ32" i="30"/>
  <c r="ES177" i="15"/>
  <c r="ES209" i="15" s="1"/>
  <c r="ES108" i="15" s="1"/>
  <c r="EJ214" i="15"/>
  <c r="EJ212" i="15"/>
  <c r="EJ213" i="15"/>
  <c r="EI213" i="15"/>
  <c r="EI214" i="15"/>
  <c r="EI212" i="15"/>
  <c r="DZ214" i="15"/>
  <c r="DZ212" i="15"/>
  <c r="ED213" i="15"/>
  <c r="FZ41" i="5"/>
  <c r="EC209" i="15"/>
  <c r="DP177" i="15"/>
  <c r="DU209" i="15"/>
  <c r="EO180" i="15"/>
  <c r="EO209" i="15"/>
  <c r="DT209" i="15"/>
  <c r="EN209" i="15"/>
  <c r="EN180" i="15"/>
  <c r="DO177" i="15"/>
  <c r="DU180" i="15"/>
  <c r="DX177" i="15"/>
  <c r="EC181" i="15" s="1"/>
  <c r="EM209" i="15"/>
  <c r="CV229" i="15"/>
  <c r="ER177" i="15"/>
  <c r="CU227" i="15"/>
  <c r="CV227" i="15"/>
  <c r="CU229" i="15"/>
  <c r="CU102" i="15"/>
  <c r="EZ80" i="42" l="1"/>
  <c r="EZ81" i="42"/>
  <c r="ES117" i="15"/>
  <c r="FE129" i="17"/>
  <c r="FE127" i="17"/>
  <c r="FE131" i="17"/>
  <c r="FE130" i="17"/>
  <c r="FE156" i="17"/>
  <c r="FE149" i="17"/>
  <c r="FS156" i="17"/>
  <c r="FS79" i="42"/>
  <c r="FN64" i="42"/>
  <c r="FN14" i="2"/>
  <c r="FJ149" i="17"/>
  <c r="FJ79" i="42"/>
  <c r="FN11" i="17"/>
  <c r="FN226" i="17"/>
  <c r="FN95" i="17"/>
  <c r="GC151" i="17"/>
  <c r="GH151" i="17" s="1"/>
  <c r="FN132" i="17"/>
  <c r="FJ156" i="17"/>
  <c r="FS10" i="17"/>
  <c r="FS149" i="17"/>
  <c r="FN14" i="17"/>
  <c r="FG156" i="17"/>
  <c r="FG149" i="17"/>
  <c r="ER183" i="15"/>
  <c r="ER181" i="15"/>
  <c r="ER184" i="15"/>
  <c r="DO183" i="15"/>
  <c r="DO184" i="15"/>
  <c r="DP183" i="15"/>
  <c r="DP184" i="15"/>
  <c r="DP182" i="15"/>
  <c r="ES183" i="15"/>
  <c r="ES181" i="15"/>
  <c r="ES182" i="15"/>
  <c r="ES184" i="15"/>
  <c r="ET184" i="15"/>
  <c r="ET182" i="15"/>
  <c r="ET183" i="15"/>
  <c r="ET181" i="15"/>
  <c r="DU181" i="15"/>
  <c r="DX183" i="15"/>
  <c r="DX184" i="15"/>
  <c r="DY182" i="15"/>
  <c r="DT181" i="15"/>
  <c r="FX126" i="17"/>
  <c r="FQ151" i="17"/>
  <c r="FL126" i="17"/>
  <c r="FL79" i="42" s="1"/>
  <c r="FG127" i="17"/>
  <c r="FG129" i="17"/>
  <c r="FG130" i="17"/>
  <c r="FG131" i="17"/>
  <c r="FJ130" i="17"/>
  <c r="FJ131" i="17"/>
  <c r="FJ127" i="17"/>
  <c r="FJ129" i="17"/>
  <c r="FS127" i="17"/>
  <c r="FS130" i="17"/>
  <c r="FT151" i="17"/>
  <c r="FO126" i="17"/>
  <c r="EM54" i="42"/>
  <c r="EN54" i="42"/>
  <c r="EN57" i="42" s="1"/>
  <c r="EN215" i="15"/>
  <c r="EO54" i="42"/>
  <c r="EO215" i="15"/>
  <c r="ET187" i="15"/>
  <c r="ET189" i="15" s="1"/>
  <c r="FN154" i="17"/>
  <c r="FO153" i="17"/>
  <c r="FO154" i="17"/>
  <c r="FO155" i="17"/>
  <c r="FL155" i="17"/>
  <c r="FL154" i="17"/>
  <c r="FL153" i="17"/>
  <c r="ET209" i="15"/>
  <c r="DZ33" i="30"/>
  <c r="DU34" i="30"/>
  <c r="DY33" i="30"/>
  <c r="DU32" i="30"/>
  <c r="ET180" i="15"/>
  <c r="FG81" i="42"/>
  <c r="FG80" i="42"/>
  <c r="ED34" i="30"/>
  <c r="DZ56" i="42"/>
  <c r="EE55" i="42"/>
  <c r="DO30" i="30"/>
  <c r="DT31" i="30" s="1"/>
  <c r="EH213" i="15"/>
  <c r="EC54" i="42"/>
  <c r="EC57" i="42" s="1"/>
  <c r="DZ213" i="15"/>
  <c r="DU54" i="42"/>
  <c r="DY213" i="15"/>
  <c r="DT54" i="42"/>
  <c r="DT57" i="42" s="1"/>
  <c r="ED32" i="30"/>
  <c r="EH31" i="30"/>
  <c r="DX30" i="30"/>
  <c r="DY32" i="30" s="1"/>
  <c r="DP30" i="30"/>
  <c r="ES187" i="15"/>
  <c r="EO214" i="15"/>
  <c r="EO213" i="15"/>
  <c r="DU214" i="15"/>
  <c r="DU212" i="15"/>
  <c r="EM213" i="15"/>
  <c r="ED214" i="15"/>
  <c r="ED212" i="15"/>
  <c r="EN213" i="15"/>
  <c r="EN214" i="15"/>
  <c r="ES180" i="15"/>
  <c r="DX209" i="15"/>
  <c r="EN212" i="15"/>
  <c r="EO212" i="15"/>
  <c r="DO209" i="15"/>
  <c r="DO54" i="42" s="1"/>
  <c r="DO57" i="42" s="1"/>
  <c r="DP209" i="15"/>
  <c r="DK177" i="15"/>
  <c r="DP181" i="15" s="1"/>
  <c r="DJ177" i="15"/>
  <c r="DO181" i="15" s="1"/>
  <c r="DP180" i="15"/>
  <c r="DY180" i="15"/>
  <c r="ER187" i="15"/>
  <c r="ER209" i="15"/>
  <c r="DS177" i="15"/>
  <c r="GH154" i="17" l="1"/>
  <c r="GH126" i="17"/>
  <c r="GH156" i="17" s="1"/>
  <c r="ET108" i="15"/>
  <c r="ET117" i="15" s="1"/>
  <c r="ET54" i="42"/>
  <c r="EW209" i="15"/>
  <c r="ER54" i="42"/>
  <c r="FS64" i="42"/>
  <c r="FS14" i="2"/>
  <c r="FO149" i="17"/>
  <c r="FO79" i="42"/>
  <c r="FX156" i="17"/>
  <c r="FX79" i="42"/>
  <c r="DZ55" i="42"/>
  <c r="DU57" i="42"/>
  <c r="EO55" i="42"/>
  <c r="EO57" i="42"/>
  <c r="EM55" i="42"/>
  <c r="EM57" i="42"/>
  <c r="FS95" i="17"/>
  <c r="FS226" i="17"/>
  <c r="FS132" i="17"/>
  <c r="FS14" i="17"/>
  <c r="FX10" i="17"/>
  <c r="FX149" i="17"/>
  <c r="FO156" i="17"/>
  <c r="GC126" i="17"/>
  <c r="FS11" i="17"/>
  <c r="GC154" i="17"/>
  <c r="FL156" i="17"/>
  <c r="FL149" i="17"/>
  <c r="DS183" i="15"/>
  <c r="DS184" i="15"/>
  <c r="DT182" i="15"/>
  <c r="DX181" i="15"/>
  <c r="DJ183" i="15"/>
  <c r="DJ184" i="15"/>
  <c r="DK182" i="15"/>
  <c r="DK183" i="15"/>
  <c r="DK184" i="15"/>
  <c r="FY151" i="17"/>
  <c r="FT126" i="17"/>
  <c r="FL131" i="17"/>
  <c r="FL127" i="17"/>
  <c r="FL129" i="17"/>
  <c r="FL130" i="17"/>
  <c r="FV151" i="17"/>
  <c r="GA151" i="17" s="1"/>
  <c r="GF151" i="17" s="1"/>
  <c r="GF153" i="17" s="1"/>
  <c r="FQ126" i="17"/>
  <c r="FQ79" i="42" s="1"/>
  <c r="FX127" i="17"/>
  <c r="FX130" i="17"/>
  <c r="FO129" i="17"/>
  <c r="FO130" i="17"/>
  <c r="FO131" i="17"/>
  <c r="FO127" i="17"/>
  <c r="EO230" i="15"/>
  <c r="EN230" i="15"/>
  <c r="EO56" i="42"/>
  <c r="EN56" i="42"/>
  <c r="EN55" i="42"/>
  <c r="EO95" i="15"/>
  <c r="EO92" i="15"/>
  <c r="EO93" i="15"/>
  <c r="FS154" i="17"/>
  <c r="FT153" i="17"/>
  <c r="FT155" i="17"/>
  <c r="FT154" i="17"/>
  <c r="FQ154" i="17"/>
  <c r="FQ153" i="17"/>
  <c r="FQ155" i="17"/>
  <c r="ET192" i="15"/>
  <c r="ES189" i="15"/>
  <c r="ER189" i="15"/>
  <c r="DT33" i="30"/>
  <c r="FE80" i="42"/>
  <c r="DU213" i="15"/>
  <c r="DP54" i="42"/>
  <c r="DP57" i="42" s="1"/>
  <c r="DT55" i="42"/>
  <c r="DY55" i="42"/>
  <c r="DU56" i="42"/>
  <c r="DJ30" i="30"/>
  <c r="DO33" i="30" s="1"/>
  <c r="EC213" i="15"/>
  <c r="DX54" i="42"/>
  <c r="DX57" i="42" s="1"/>
  <c r="DK30" i="30"/>
  <c r="DP31" i="30" s="1"/>
  <c r="ED56" i="42"/>
  <c r="EH55" i="42"/>
  <c r="DY34" i="30"/>
  <c r="EC33" i="30"/>
  <c r="EC31" i="30"/>
  <c r="DS30" i="30"/>
  <c r="DP32" i="30"/>
  <c r="DP34" i="30"/>
  <c r="DU33" i="30"/>
  <c r="DU31" i="30"/>
  <c r="DP214" i="15"/>
  <c r="DP212" i="15"/>
  <c r="DY214" i="15"/>
  <c r="DY212" i="15"/>
  <c r="ER213" i="15"/>
  <c r="DT213" i="15"/>
  <c r="ES102" i="15"/>
  <c r="DJ209" i="15"/>
  <c r="DS209" i="15"/>
  <c r="DK209" i="15"/>
  <c r="DF177" i="15"/>
  <c r="DF30" i="30" s="1"/>
  <c r="DT180" i="15"/>
  <c r="DE177" i="15"/>
  <c r="DK180" i="15"/>
  <c r="GF154" i="17" l="1"/>
  <c r="GH149" i="17"/>
  <c r="GH79" i="42"/>
  <c r="GH130" i="17"/>
  <c r="GH127" i="17"/>
  <c r="GH10" i="17"/>
  <c r="GH132" i="17" s="1"/>
  <c r="GF155" i="17"/>
  <c r="EW108" i="15"/>
  <c r="EW117" i="15" s="1"/>
  <c r="EY108" i="15"/>
  <c r="ET50" i="18"/>
  <c r="EO108" i="15"/>
  <c r="EO143" i="15" s="1"/>
  <c r="ET114" i="15"/>
  <c r="ET30" i="30"/>
  <c r="ER55" i="42"/>
  <c r="ER57" i="42"/>
  <c r="ET57" i="42"/>
  <c r="ET55" i="42"/>
  <c r="ET49" i="42"/>
  <c r="DJ181" i="15"/>
  <c r="DE30" i="30"/>
  <c r="DF32" i="30" s="1"/>
  <c r="FT149" i="17"/>
  <c r="FT79" i="42"/>
  <c r="FX64" i="42"/>
  <c r="FX14" i="2"/>
  <c r="GC149" i="17"/>
  <c r="GC79" i="42"/>
  <c r="FX226" i="17"/>
  <c r="FX132" i="17"/>
  <c r="FX14" i="17"/>
  <c r="GC10" i="17"/>
  <c r="GC130" i="17"/>
  <c r="GC127" i="17"/>
  <c r="FX11" i="17"/>
  <c r="FX95" i="17"/>
  <c r="GC156" i="17"/>
  <c r="GD151" i="17"/>
  <c r="FT156" i="17"/>
  <c r="FQ156" i="17"/>
  <c r="FQ149" i="17"/>
  <c r="ES91" i="15"/>
  <c r="ES94" i="15"/>
  <c r="GA153" i="17"/>
  <c r="GA154" i="17"/>
  <c r="GA155" i="17"/>
  <c r="ES230" i="15"/>
  <c r="ET91" i="15"/>
  <c r="ET93" i="15"/>
  <c r="ET94" i="15"/>
  <c r="ET92" i="15"/>
  <c r="ET95" i="15"/>
  <c r="ET215" i="15"/>
  <c r="DF184" i="15"/>
  <c r="DF182" i="15"/>
  <c r="DE183" i="15"/>
  <c r="DE184" i="15"/>
  <c r="DK181" i="15"/>
  <c r="FQ130" i="17"/>
  <c r="FQ131" i="17"/>
  <c r="FQ127" i="17"/>
  <c r="FQ129" i="17"/>
  <c r="FT127" i="17"/>
  <c r="FT129" i="17"/>
  <c r="FT130" i="17"/>
  <c r="FT131" i="17"/>
  <c r="FY126" i="17"/>
  <c r="EN96" i="15"/>
  <c r="EO96" i="15"/>
  <c r="EN11" i="15"/>
  <c r="EN14" i="15"/>
  <c r="EO16" i="15"/>
  <c r="EO11" i="15"/>
  <c r="EO13" i="15"/>
  <c r="EO14" i="15"/>
  <c r="EO15" i="15"/>
  <c r="DP33" i="30"/>
  <c r="ET191" i="15"/>
  <c r="FY153" i="17"/>
  <c r="FY155" i="17"/>
  <c r="FY154" i="17"/>
  <c r="FV154" i="17"/>
  <c r="FV153" i="17"/>
  <c r="FV155" i="17"/>
  <c r="FX154" i="17"/>
  <c r="ES192" i="15"/>
  <c r="ES191" i="15"/>
  <c r="ER192" i="15"/>
  <c r="DO31" i="30"/>
  <c r="DK34" i="30"/>
  <c r="DK32" i="30"/>
  <c r="FJ80" i="42"/>
  <c r="FL80" i="42"/>
  <c r="FL81" i="42"/>
  <c r="FQ80" i="42"/>
  <c r="DP56" i="42"/>
  <c r="DY56" i="42"/>
  <c r="EW54" i="42"/>
  <c r="DX213" i="15"/>
  <c r="DS54" i="42"/>
  <c r="EC55" i="42"/>
  <c r="DP213" i="15"/>
  <c r="DK54" i="42"/>
  <c r="DK57" i="42" s="1"/>
  <c r="DO213" i="15"/>
  <c r="DJ54" i="42"/>
  <c r="DJ57" i="42" s="1"/>
  <c r="DU55" i="42"/>
  <c r="EO22" i="2"/>
  <c r="DT34" i="30"/>
  <c r="DT32" i="30"/>
  <c r="DX31" i="30"/>
  <c r="DX33" i="30"/>
  <c r="EW213" i="15"/>
  <c r="DT214" i="15"/>
  <c r="DT212" i="15"/>
  <c r="DK214" i="15"/>
  <c r="DK212" i="15"/>
  <c r="ET51" i="15"/>
  <c r="ET37" i="29" s="1"/>
  <c r="ET38" i="29" s="1"/>
  <c r="FB209" i="15"/>
  <c r="DE209" i="15"/>
  <c r="DF180" i="15"/>
  <c r="GH80" i="42" l="1"/>
  <c r="GH11" i="17"/>
  <c r="GH64" i="42"/>
  <c r="GH82" i="42" s="1"/>
  <c r="GH14" i="17"/>
  <c r="GH14" i="2"/>
  <c r="GH226" i="17"/>
  <c r="GH95" i="17"/>
  <c r="ER108" i="15"/>
  <c r="ER117" i="15" s="1"/>
  <c r="GD154" i="17"/>
  <c r="GI151" i="17"/>
  <c r="EO149" i="15"/>
  <c r="EY117" i="15"/>
  <c r="EO50" i="18"/>
  <c r="EO51" i="18" s="1"/>
  <c r="EO117" i="15"/>
  <c r="EY115" i="15"/>
  <c r="EY114" i="15"/>
  <c r="EY124" i="15"/>
  <c r="EY112" i="15"/>
  <c r="EY49" i="42"/>
  <c r="EY30" i="30"/>
  <c r="EY50" i="18"/>
  <c r="ET124" i="15"/>
  <c r="ET126" i="15" s="1"/>
  <c r="EO115" i="15"/>
  <c r="EO30" i="30"/>
  <c r="ET33" i="30" s="1"/>
  <c r="EO49" i="42"/>
  <c r="ET50" i="42" s="1"/>
  <c r="ET112" i="15"/>
  <c r="FD108" i="15"/>
  <c r="FI108" i="15" s="1"/>
  <c r="EO114" i="15"/>
  <c r="ET56" i="18"/>
  <c r="ET52" i="42"/>
  <c r="DF34" i="30"/>
  <c r="DJ33" i="30"/>
  <c r="ES16" i="15"/>
  <c r="ES14" i="15"/>
  <c r="ES96" i="15"/>
  <c r="FY149" i="17"/>
  <c r="FY79" i="42"/>
  <c r="GC64" i="42"/>
  <c r="GC14" i="2"/>
  <c r="DX55" i="42"/>
  <c r="DS57" i="42"/>
  <c r="ES11" i="15"/>
  <c r="GC14" i="17"/>
  <c r="GC226" i="17"/>
  <c r="GC132" i="17"/>
  <c r="GC95" i="17"/>
  <c r="GC11" i="17"/>
  <c r="GD126" i="17"/>
  <c r="GD155" i="17"/>
  <c r="GD153" i="17"/>
  <c r="FY156" i="17"/>
  <c r="FY127" i="17"/>
  <c r="FY129" i="17"/>
  <c r="FY130" i="17"/>
  <c r="FY131" i="17"/>
  <c r="FO80" i="42"/>
  <c r="FT80" i="42"/>
  <c r="FQ81" i="42"/>
  <c r="DO55" i="42"/>
  <c r="DT56" i="42"/>
  <c r="DK56" i="42"/>
  <c r="DJ213" i="15"/>
  <c r="DE54" i="42"/>
  <c r="DE57" i="42" s="1"/>
  <c r="EW55" i="42"/>
  <c r="DP55" i="42"/>
  <c r="FB54" i="42"/>
  <c r="DJ31" i="30"/>
  <c r="EO59" i="2"/>
  <c r="EO57" i="2"/>
  <c r="EO61" i="2"/>
  <c r="EO58" i="2"/>
  <c r="EO60" i="2"/>
  <c r="DK33" i="30"/>
  <c r="DK31" i="30"/>
  <c r="FB213" i="15"/>
  <c r="FG209" i="15"/>
  <c r="DR100" i="15"/>
  <c r="DW100" i="15"/>
  <c r="EB100" i="15"/>
  <c r="EG100" i="15"/>
  <c r="EQ100" i="15"/>
  <c r="EO102" i="15"/>
  <c r="EN102" i="15"/>
  <c r="DR225" i="15"/>
  <c r="DW225" i="15"/>
  <c r="EB225" i="15"/>
  <c r="EG225" i="15"/>
  <c r="DK227" i="15"/>
  <c r="DJ227" i="15"/>
  <c r="DP227" i="15"/>
  <c r="DO227" i="15"/>
  <c r="DU227" i="15"/>
  <c r="DT227" i="15"/>
  <c r="DZ227" i="15"/>
  <c r="DY227" i="15"/>
  <c r="EE227" i="15"/>
  <c r="ED227" i="15"/>
  <c r="EJ227" i="15"/>
  <c r="EI227" i="15"/>
  <c r="EQ225" i="15"/>
  <c r="EN227" i="15"/>
  <c r="EO227" i="15"/>
  <c r="DL224" i="15"/>
  <c r="DL59" i="42" s="1"/>
  <c r="DV224" i="15"/>
  <c r="DV59" i="42" s="1"/>
  <c r="DQ224" i="15"/>
  <c r="DQ59" i="42" s="1"/>
  <c r="DV99" i="15"/>
  <c r="EF224" i="15"/>
  <c r="EF59" i="42" s="1"/>
  <c r="EA224" i="15"/>
  <c r="EA59" i="42" s="1"/>
  <c r="EA99" i="15"/>
  <c r="EF99" i="15"/>
  <c r="EK224" i="15"/>
  <c r="EK59" i="42" s="1"/>
  <c r="EK99" i="15"/>
  <c r="EP99" i="15"/>
  <c r="EP224" i="15"/>
  <c r="EP232" i="15" s="1"/>
  <c r="EK243" i="17"/>
  <c r="EO243" i="17"/>
  <c r="EN243" i="17"/>
  <c r="EM243" i="17"/>
  <c r="EJ92" i="17"/>
  <c r="EI92" i="17"/>
  <c r="EH92" i="17"/>
  <c r="EO92" i="17"/>
  <c r="EN92" i="17"/>
  <c r="EK89" i="17"/>
  <c r="EK69" i="42" s="1"/>
  <c r="EP89" i="17"/>
  <c r="EU93" i="17" s="1"/>
  <c r="EJ198" i="17"/>
  <c r="EI198" i="17"/>
  <c r="EH198" i="17"/>
  <c r="EM198" i="17"/>
  <c r="EN198" i="17"/>
  <c r="EO198" i="17"/>
  <c r="EJ195" i="17"/>
  <c r="EI195" i="17"/>
  <c r="EH195" i="17"/>
  <c r="EN195" i="17"/>
  <c r="EO195" i="17"/>
  <c r="EJ323" i="14"/>
  <c r="EH323" i="14"/>
  <c r="EO323" i="14"/>
  <c r="EN323" i="14"/>
  <c r="EM323" i="14"/>
  <c r="ER323" i="14"/>
  <c r="EW124" i="15" l="1"/>
  <c r="GH65" i="42"/>
  <c r="FI124" i="15"/>
  <c r="ES323" i="14"/>
  <c r="GH87" i="42"/>
  <c r="GH72" i="42"/>
  <c r="GH77" i="42"/>
  <c r="GI153" i="17"/>
  <c r="GI155" i="17"/>
  <c r="GI154" i="17"/>
  <c r="GI126" i="17"/>
  <c r="GI156" i="17" s="1"/>
  <c r="ET54" i="18"/>
  <c r="EO56" i="18"/>
  <c r="ET51" i="18"/>
  <c r="EO54" i="18"/>
  <c r="ET133" i="15"/>
  <c r="EY131" i="15"/>
  <c r="EY126" i="15"/>
  <c r="EY56" i="18"/>
  <c r="EY51" i="18"/>
  <c r="EY54" i="18"/>
  <c r="EY33" i="30"/>
  <c r="EY50" i="42"/>
  <c r="ET129" i="15"/>
  <c r="ET143" i="15"/>
  <c r="FD124" i="15"/>
  <c r="FD50" i="18"/>
  <c r="FD51" i="18" s="1"/>
  <c r="FD112" i="15"/>
  <c r="FD30" i="30"/>
  <c r="FI50" i="18"/>
  <c r="FD49" i="42"/>
  <c r="FD50" i="42" s="1"/>
  <c r="EO31" i="30"/>
  <c r="EO33" i="30"/>
  <c r="ET138" i="15"/>
  <c r="ET130" i="15"/>
  <c r="ET131" i="15"/>
  <c r="EP234" i="15"/>
  <c r="EP233" i="15"/>
  <c r="EU233" i="15"/>
  <c r="EW13" i="2"/>
  <c r="GD149" i="17"/>
  <c r="GD79" i="42"/>
  <c r="GD131" i="17"/>
  <c r="GD130" i="17"/>
  <c r="GD127" i="17"/>
  <c r="GD156" i="17"/>
  <c r="GD129" i="17"/>
  <c r="EW44" i="42"/>
  <c r="EW56" i="3"/>
  <c r="EP103" i="15"/>
  <c r="EP104" i="15"/>
  <c r="ER104" i="15"/>
  <c r="EU103" i="15"/>
  <c r="EK105" i="15"/>
  <c r="EM104" i="15"/>
  <c r="EK104" i="15"/>
  <c r="EK103" i="15"/>
  <c r="DV105" i="15"/>
  <c r="DX104" i="15"/>
  <c r="DV103" i="15"/>
  <c r="DV104" i="15"/>
  <c r="EF105" i="15"/>
  <c r="EF104" i="15"/>
  <c r="EF103" i="15"/>
  <c r="EH104" i="15"/>
  <c r="EA105" i="15"/>
  <c r="EA103" i="15"/>
  <c r="EA104" i="15"/>
  <c r="EC104" i="15"/>
  <c r="EP105" i="15"/>
  <c r="EP59" i="42"/>
  <c r="EU228" i="15"/>
  <c r="FY80" i="42"/>
  <c r="EP102" i="17"/>
  <c r="EP69" i="42"/>
  <c r="EK70" i="42"/>
  <c r="EK71" i="42"/>
  <c r="EK72" i="42"/>
  <c r="EM71" i="42"/>
  <c r="EK60" i="42"/>
  <c r="EM61" i="42"/>
  <c r="EK62" i="42"/>
  <c r="EK61" i="42"/>
  <c r="EF62" i="42"/>
  <c r="EH61" i="42"/>
  <c r="EF60" i="42"/>
  <c r="EF61" i="42"/>
  <c r="DE55" i="42"/>
  <c r="DJ55" i="42"/>
  <c r="DQ60" i="42"/>
  <c r="DQ62" i="42"/>
  <c r="DQ61" i="42"/>
  <c r="DS61" i="42"/>
  <c r="DN61" i="42"/>
  <c r="DL62" i="42"/>
  <c r="DL61" i="42"/>
  <c r="DV61" i="42"/>
  <c r="DX61" i="42"/>
  <c r="DV60" i="42"/>
  <c r="DV62" i="42"/>
  <c r="EA60" i="42"/>
  <c r="EA62" i="42"/>
  <c r="EA61" i="42"/>
  <c r="EC61" i="42"/>
  <c r="FB55" i="42"/>
  <c r="FG54" i="42"/>
  <c r="EK225" i="15"/>
  <c r="EA225" i="15"/>
  <c r="ER94" i="17"/>
  <c r="ER92" i="17"/>
  <c r="EF225" i="15"/>
  <c r="DV225" i="15"/>
  <c r="FG213" i="15"/>
  <c r="EK114" i="17"/>
  <c r="EK112" i="17"/>
  <c r="EP114" i="17"/>
  <c r="EU118" i="17" s="1"/>
  <c r="EP112" i="17"/>
  <c r="ER197" i="17"/>
  <c r="ER195" i="17"/>
  <c r="FL209" i="15"/>
  <c r="ER102" i="15"/>
  <c r="EK195" i="17"/>
  <c r="EM197" i="17"/>
  <c r="EK197" i="17"/>
  <c r="EK196" i="17"/>
  <c r="EP198" i="17"/>
  <c r="EP196" i="17"/>
  <c r="EP197" i="17"/>
  <c r="EP92" i="17"/>
  <c r="EP93" i="17"/>
  <c r="EP94" i="17"/>
  <c r="EM92" i="17"/>
  <c r="EK94" i="17"/>
  <c r="EM94" i="17"/>
  <c r="EK93" i="17"/>
  <c r="EP243" i="17"/>
  <c r="EK198" i="17"/>
  <c r="EP227" i="15"/>
  <c r="ER229" i="15"/>
  <c r="EP228" i="15"/>
  <c r="EP229" i="15"/>
  <c r="EA227" i="15"/>
  <c r="EC229" i="15"/>
  <c r="EA228" i="15"/>
  <c r="EA229" i="15"/>
  <c r="DL227" i="15"/>
  <c r="DN229" i="15"/>
  <c r="DL229" i="15"/>
  <c r="EF227" i="15"/>
  <c r="EH229" i="15"/>
  <c r="EF228" i="15"/>
  <c r="EF229" i="15"/>
  <c r="DQ227" i="15"/>
  <c r="DS229" i="15"/>
  <c r="DQ229" i="15"/>
  <c r="DQ228" i="15"/>
  <c r="DN227" i="15"/>
  <c r="EK227" i="15"/>
  <c r="EM229" i="15"/>
  <c r="EK229" i="15"/>
  <c r="EK228" i="15"/>
  <c r="EC227" i="15"/>
  <c r="DV227" i="15"/>
  <c r="DV228" i="15"/>
  <c r="DV229" i="15"/>
  <c r="DX229" i="15"/>
  <c r="EK102" i="15"/>
  <c r="DQ102" i="15"/>
  <c r="DS102" i="15"/>
  <c r="DL102" i="15"/>
  <c r="DN102" i="15"/>
  <c r="EF102" i="15"/>
  <c r="EH102" i="15"/>
  <c r="DV102" i="15"/>
  <c r="DX102" i="15"/>
  <c r="DX227" i="15"/>
  <c r="DI102" i="15"/>
  <c r="EA102" i="15"/>
  <c r="EC102" i="15"/>
  <c r="EM102" i="15"/>
  <c r="EH227" i="15"/>
  <c r="EP102" i="15"/>
  <c r="ER227" i="15"/>
  <c r="DS227" i="15"/>
  <c r="EM227" i="15"/>
  <c r="EM195" i="17"/>
  <c r="EP195" i="17"/>
  <c r="EK92" i="17"/>
  <c r="EK322" i="14"/>
  <c r="EM322" i="14"/>
  <c r="EN322" i="14"/>
  <c r="EO322" i="14"/>
  <c r="EP322" i="14"/>
  <c r="EL320" i="14"/>
  <c r="EI320" i="14"/>
  <c r="EO321" i="14"/>
  <c r="EP321" i="14"/>
  <c r="EM321" i="14"/>
  <c r="EQ320" i="14"/>
  <c r="DM312" i="14"/>
  <c r="DR312" i="14"/>
  <c r="EQ313" i="14"/>
  <c r="DL315" i="14"/>
  <c r="DQ315" i="14"/>
  <c r="DP315" i="14"/>
  <c r="DO315" i="14"/>
  <c r="DN315" i="14"/>
  <c r="EJ315" i="14"/>
  <c r="EI315" i="14"/>
  <c r="EN315" i="14"/>
  <c r="EO315" i="14"/>
  <c r="EL111" i="14"/>
  <c r="EJ111" i="14"/>
  <c r="EI111" i="14"/>
  <c r="EH111" i="14"/>
  <c r="EQ111" i="14"/>
  <c r="EN111" i="14"/>
  <c r="EO111" i="14"/>
  <c r="EJ112" i="14"/>
  <c r="EI112" i="14"/>
  <c r="EH112" i="14"/>
  <c r="EN112" i="14"/>
  <c r="EO112" i="14"/>
  <c r="EM111" i="14"/>
  <c r="EK312" i="14"/>
  <c r="EP312" i="14"/>
  <c r="EU316" i="14" s="1"/>
  <c r="EK110" i="14"/>
  <c r="EK115" i="14" s="1"/>
  <c r="EP110" i="14"/>
  <c r="ET323" i="14" l="1"/>
  <c r="ES320" i="14"/>
  <c r="GI130" i="17"/>
  <c r="GI127" i="17"/>
  <c r="GI129" i="17"/>
  <c r="GI79" i="42"/>
  <c r="GI80" i="42" s="1"/>
  <c r="GI131" i="17"/>
  <c r="GI10" i="17"/>
  <c r="GI132" i="17" s="1"/>
  <c r="GI149" i="17"/>
  <c r="GD80" i="42"/>
  <c r="ET146" i="15"/>
  <c r="ET148" i="15"/>
  <c r="ET144" i="15"/>
  <c r="ET149" i="15"/>
  <c r="EY133" i="15"/>
  <c r="EY127" i="15"/>
  <c r="EY130" i="15"/>
  <c r="EY129" i="15"/>
  <c r="EY138" i="15"/>
  <c r="EY143" i="15"/>
  <c r="FD33" i="30"/>
  <c r="FD54" i="18"/>
  <c r="FD31" i="30"/>
  <c r="FI51" i="18"/>
  <c r="FN108" i="15"/>
  <c r="FN50" i="18" s="1"/>
  <c r="FN51" i="18" s="1"/>
  <c r="FI112" i="15"/>
  <c r="FI49" i="42"/>
  <c r="FI50" i="42" s="1"/>
  <c r="FI30" i="30"/>
  <c r="FI33" i="30" s="1"/>
  <c r="FD126" i="15"/>
  <c r="FI126" i="15" s="1"/>
  <c r="EP61" i="42"/>
  <c r="ER61" i="42"/>
  <c r="EU60" i="42"/>
  <c r="ER71" i="42"/>
  <c r="EU70" i="42"/>
  <c r="FI54" i="18"/>
  <c r="EW57" i="3"/>
  <c r="EP60" i="42"/>
  <c r="EP62" i="42"/>
  <c r="EP115" i="14"/>
  <c r="EU113" i="14"/>
  <c r="EU111" i="14"/>
  <c r="EP72" i="42"/>
  <c r="EP71" i="42"/>
  <c r="EP70" i="42"/>
  <c r="ER104" i="17"/>
  <c r="EQ102" i="17"/>
  <c r="EP34" i="42"/>
  <c r="FL54" i="42"/>
  <c r="FG55" i="42"/>
  <c r="EW57" i="42"/>
  <c r="EW62" i="42"/>
  <c r="EW45" i="42"/>
  <c r="DR99" i="18"/>
  <c r="DR34" i="42"/>
  <c r="DM99" i="18"/>
  <c r="DM103" i="18" s="1"/>
  <c r="DM34" i="42"/>
  <c r="EK99" i="18"/>
  <c r="EK108" i="18" s="1"/>
  <c r="EK34" i="42"/>
  <c r="ER119" i="17"/>
  <c r="ER117" i="17"/>
  <c r="EP99" i="18"/>
  <c r="EU100" i="18" s="1"/>
  <c r="ER234" i="15"/>
  <c r="FL213" i="15"/>
  <c r="EZ59" i="42"/>
  <c r="ER112" i="14"/>
  <c r="ER114" i="14"/>
  <c r="EP118" i="17"/>
  <c r="EP117" i="17"/>
  <c r="EP119" i="17"/>
  <c r="EQ114" i="17"/>
  <c r="EP120" i="17"/>
  <c r="EK117" i="17"/>
  <c r="EK119" i="17"/>
  <c r="EK118" i="17"/>
  <c r="EL114" i="17"/>
  <c r="EL115" i="17" s="1"/>
  <c r="EM117" i="17"/>
  <c r="EM119" i="17"/>
  <c r="EK120" i="17"/>
  <c r="DR316" i="14"/>
  <c r="FQ209" i="15"/>
  <c r="EQ321" i="14"/>
  <c r="EP323" i="14"/>
  <c r="EQ323" i="14" s="1"/>
  <c r="ER317" i="14"/>
  <c r="EP316" i="14"/>
  <c r="EP317" i="14"/>
  <c r="EK323" i="14"/>
  <c r="EM317" i="14"/>
  <c r="EK317" i="14"/>
  <c r="EP112" i="14"/>
  <c r="ER315" i="14"/>
  <c r="EP111" i="14"/>
  <c r="EP114" i="14"/>
  <c r="EP113" i="14"/>
  <c r="EK114" i="14"/>
  <c r="EM114" i="14"/>
  <c r="EK113" i="14"/>
  <c r="EN321" i="14"/>
  <c r="EI323" i="14"/>
  <c r="DR313" i="14"/>
  <c r="EI322" i="14"/>
  <c r="EJ322" i="14"/>
  <c r="EK315" i="14"/>
  <c r="EM112" i="14"/>
  <c r="EK111" i="14"/>
  <c r="EK112" i="14"/>
  <c r="EP315" i="14"/>
  <c r="EM315" i="14"/>
  <c r="EM332" i="14" s="1"/>
  <c r="EN332" i="14" s="1"/>
  <c r="DV177" i="15"/>
  <c r="DD102" i="15"/>
  <c r="CW99" i="15"/>
  <c r="EV118" i="17" l="1"/>
  <c r="EV115" i="17"/>
  <c r="FI143" i="15"/>
  <c r="FI127" i="15"/>
  <c r="FI133" i="15"/>
  <c r="FI138" i="15"/>
  <c r="FI129" i="15"/>
  <c r="ES321" i="14"/>
  <c r="ES322" i="14"/>
  <c r="ET320" i="14"/>
  <c r="EU323" i="14"/>
  <c r="GI81" i="42"/>
  <c r="GI95" i="17"/>
  <c r="GI14" i="2"/>
  <c r="GI15" i="17"/>
  <c r="GI13" i="17"/>
  <c r="GI64" i="42"/>
  <c r="GI226" i="17"/>
  <c r="EZ60" i="42"/>
  <c r="EZ61" i="42"/>
  <c r="EY134" i="15"/>
  <c r="FD133" i="15"/>
  <c r="EY148" i="15"/>
  <c r="EY146" i="15"/>
  <c r="EY144" i="15"/>
  <c r="EY149" i="15"/>
  <c r="FD129" i="15"/>
  <c r="FD143" i="15"/>
  <c r="FD148" i="15" s="1"/>
  <c r="FN49" i="42"/>
  <c r="FN50" i="42" s="1"/>
  <c r="FS108" i="15"/>
  <c r="FX108" i="15" s="1"/>
  <c r="FN112" i="15"/>
  <c r="FN30" i="30"/>
  <c r="FN33" i="30" s="1"/>
  <c r="FI31" i="30"/>
  <c r="FD127" i="15"/>
  <c r="FD138" i="15"/>
  <c r="EP37" i="42"/>
  <c r="ER36" i="42"/>
  <c r="EU35" i="42"/>
  <c r="FN54" i="18"/>
  <c r="EZ102" i="17"/>
  <c r="EZ104" i="17" s="1"/>
  <c r="DV183" i="15"/>
  <c r="DV184" i="15"/>
  <c r="DV182" i="15"/>
  <c r="DX182" i="15"/>
  <c r="CY104" i="15"/>
  <c r="DB103" i="15"/>
  <c r="EP36" i="42"/>
  <c r="EO39" i="42"/>
  <c r="EP35" i="42"/>
  <c r="EV225" i="15"/>
  <c r="DV30" i="30"/>
  <c r="DV32" i="30" s="1"/>
  <c r="EW61" i="42"/>
  <c r="FB227" i="15"/>
  <c r="FQ54" i="42"/>
  <c r="FL55" i="42"/>
  <c r="EK102" i="18"/>
  <c r="EM102" i="18"/>
  <c r="EK103" i="18"/>
  <c r="DR35" i="42"/>
  <c r="DR100" i="18"/>
  <c r="DM35" i="42"/>
  <c r="DR103" i="18"/>
  <c r="EM36" i="42"/>
  <c r="EK36" i="42"/>
  <c r="EK37" i="42"/>
  <c r="EV50" i="17"/>
  <c r="EV93" i="17"/>
  <c r="EV90" i="17"/>
  <c r="EV228" i="15"/>
  <c r="EZ34" i="42"/>
  <c r="EW315" i="14"/>
  <c r="EW317" i="14"/>
  <c r="FE224" i="15"/>
  <c r="FB229" i="15"/>
  <c r="EU51" i="17"/>
  <c r="EU51" i="29" s="1"/>
  <c r="EU52" i="29" s="1"/>
  <c r="EQ115" i="17"/>
  <c r="FE10" i="17"/>
  <c r="EM112" i="18"/>
  <c r="EK112" i="18"/>
  <c r="EK110" i="18"/>
  <c r="EK114" i="18"/>
  <c r="EL108" i="18"/>
  <c r="EM110" i="18"/>
  <c r="EP108" i="18"/>
  <c r="ER102" i="18"/>
  <c r="EP100" i="18"/>
  <c r="EP102" i="18"/>
  <c r="EP103" i="18"/>
  <c r="FQ213" i="15"/>
  <c r="EQ120" i="17"/>
  <c r="EQ118" i="17"/>
  <c r="EL118" i="17"/>
  <c r="EL120" i="17"/>
  <c r="EV196" i="17"/>
  <c r="FV209" i="15"/>
  <c r="DV209" i="15"/>
  <c r="DV54" i="42" s="1"/>
  <c r="DV57" i="42" s="1"/>
  <c r="EL323" i="14"/>
  <c r="DV180" i="15"/>
  <c r="DX180" i="15"/>
  <c r="DW177" i="15"/>
  <c r="EA177" i="15"/>
  <c r="DQ177" i="15"/>
  <c r="CY102" i="15"/>
  <c r="FI134" i="15" l="1"/>
  <c r="FI144" i="15"/>
  <c r="FI146" i="15"/>
  <c r="FI148" i="15"/>
  <c r="EW323" i="14"/>
  <c r="EU320" i="14"/>
  <c r="EV323" i="14"/>
  <c r="ET322" i="14"/>
  <c r="ET321" i="14"/>
  <c r="FA59" i="42"/>
  <c r="FA60" i="42" s="1"/>
  <c r="FA228" i="15"/>
  <c r="FA225" i="15"/>
  <c r="GI72" i="42"/>
  <c r="GI66" i="42"/>
  <c r="GI87" i="42"/>
  <c r="GI77" i="42"/>
  <c r="GI82" i="42"/>
  <c r="EZ64" i="42"/>
  <c r="EZ36" i="42"/>
  <c r="EZ35" i="42"/>
  <c r="FD134" i="15"/>
  <c r="FD144" i="15"/>
  <c r="FD146" i="15"/>
  <c r="FS49" i="42"/>
  <c r="FS50" i="42" s="1"/>
  <c r="FS30" i="30"/>
  <c r="FS31" i="30" s="1"/>
  <c r="FS112" i="15"/>
  <c r="FS50" i="18"/>
  <c r="FS51" i="18" s="1"/>
  <c r="FN31" i="30"/>
  <c r="EO42" i="42"/>
  <c r="ET40" i="42"/>
  <c r="FX50" i="18"/>
  <c r="FX49" i="42"/>
  <c r="GC108" i="15"/>
  <c r="GH108" i="15" s="1"/>
  <c r="FX30" i="30"/>
  <c r="FX112" i="15"/>
  <c r="FE64" i="42"/>
  <c r="FE14" i="2"/>
  <c r="FE13" i="17"/>
  <c r="FE11" i="17"/>
  <c r="FE95" i="17"/>
  <c r="FE132" i="17"/>
  <c r="FE226" i="17"/>
  <c r="FE14" i="17"/>
  <c r="FE15" i="17"/>
  <c r="DW183" i="15"/>
  <c r="DQ183" i="15"/>
  <c r="DQ184" i="15"/>
  <c r="DQ182" i="15"/>
  <c r="DS182" i="15"/>
  <c r="DV181" i="15"/>
  <c r="EA182" i="15"/>
  <c r="EA181" i="15"/>
  <c r="EA183" i="15"/>
  <c r="EA184" i="15"/>
  <c r="EC182" i="15"/>
  <c r="GA209" i="15"/>
  <c r="EU111" i="18"/>
  <c r="EU109" i="18"/>
  <c r="DX34" i="30"/>
  <c r="DX32" i="30"/>
  <c r="EV243" i="17"/>
  <c r="EV141" i="17"/>
  <c r="EV77" i="17"/>
  <c r="EV198" i="17"/>
  <c r="EV63" i="17"/>
  <c r="EO41" i="42"/>
  <c r="FE229" i="15"/>
  <c r="DV34" i="30"/>
  <c r="FE69" i="42"/>
  <c r="DQ30" i="30"/>
  <c r="DV33" i="30" s="1"/>
  <c r="FB61" i="42"/>
  <c r="FG227" i="15"/>
  <c r="FE59" i="42"/>
  <c r="DV56" i="42"/>
  <c r="DX56" i="42"/>
  <c r="FV54" i="42"/>
  <c r="FQ55" i="42"/>
  <c r="EW102" i="18"/>
  <c r="EW36" i="42"/>
  <c r="EV316" i="14"/>
  <c r="EA30" i="30"/>
  <c r="EC32" i="30" s="1"/>
  <c r="FA34" i="42"/>
  <c r="FB317" i="14"/>
  <c r="FE312" i="14"/>
  <c r="FB315" i="14"/>
  <c r="FF224" i="15"/>
  <c r="FE228" i="15"/>
  <c r="FJ224" i="15"/>
  <c r="EP23" i="2"/>
  <c r="EP67" i="2" s="1"/>
  <c r="FG229" i="15"/>
  <c r="FE227" i="15"/>
  <c r="DW30" i="30"/>
  <c r="EV313" i="14"/>
  <c r="EV107" i="17"/>
  <c r="FE94" i="17"/>
  <c r="FE92" i="17"/>
  <c r="FE93" i="17"/>
  <c r="FJ10" i="17"/>
  <c r="EP112" i="18"/>
  <c r="EQ108" i="18"/>
  <c r="ER110" i="18"/>
  <c r="EP109" i="18"/>
  <c r="EP110" i="18"/>
  <c r="EP111" i="18"/>
  <c r="EP114" i="18"/>
  <c r="ER112" i="18"/>
  <c r="EL113" i="18"/>
  <c r="EL114" i="18"/>
  <c r="EW112" i="18"/>
  <c r="EW110" i="18"/>
  <c r="DV214" i="15"/>
  <c r="DV212" i="15"/>
  <c r="DX212" i="15"/>
  <c r="DX214" i="15"/>
  <c r="FV213" i="15"/>
  <c r="EA209" i="15"/>
  <c r="EA54" i="42" s="1"/>
  <c r="EA57" i="42" s="1"/>
  <c r="DW209" i="15"/>
  <c r="DW54" i="42" s="1"/>
  <c r="DQ209" i="15"/>
  <c r="DQ54" i="42" s="1"/>
  <c r="DQ57" i="42" s="1"/>
  <c r="DQ180" i="15"/>
  <c r="DS180" i="15"/>
  <c r="EA180" i="15"/>
  <c r="EB177" i="15"/>
  <c r="DL177" i="15"/>
  <c r="DQ181" i="15" s="1"/>
  <c r="EF177" i="15"/>
  <c r="EU321" i="14" l="1"/>
  <c r="EV320" i="14"/>
  <c r="EZ321" i="14"/>
  <c r="EU322" i="14"/>
  <c r="EX323" i="14"/>
  <c r="EW320" i="14"/>
  <c r="GH50" i="18"/>
  <c r="GH30" i="30"/>
  <c r="GH49" i="42"/>
  <c r="GH112" i="15"/>
  <c r="GA54" i="42"/>
  <c r="GF209" i="15"/>
  <c r="EZ66" i="42"/>
  <c r="EZ65" i="42"/>
  <c r="EZ87" i="42"/>
  <c r="EZ72" i="42"/>
  <c r="EZ77" i="42"/>
  <c r="EZ82" i="42"/>
  <c r="FA35" i="42"/>
  <c r="FX51" i="18"/>
  <c r="FS54" i="18"/>
  <c r="FX50" i="42"/>
  <c r="FS33" i="30"/>
  <c r="FX33" i="30"/>
  <c r="GC30" i="30"/>
  <c r="GC50" i="18"/>
  <c r="GC51" i="18" s="1"/>
  <c r="GC49" i="42"/>
  <c r="GC112" i="15"/>
  <c r="FX31" i="30"/>
  <c r="FX54" i="18"/>
  <c r="FJ64" i="42"/>
  <c r="FJ14" i="2"/>
  <c r="FJ13" i="17"/>
  <c r="FJ11" i="17"/>
  <c r="FJ95" i="17"/>
  <c r="FJ132" i="17"/>
  <c r="FJ226" i="17"/>
  <c r="FJ14" i="17"/>
  <c r="FJ15" i="17"/>
  <c r="GA213" i="15"/>
  <c r="EF183" i="15"/>
  <c r="EF181" i="15"/>
  <c r="EF184" i="15"/>
  <c r="EF182" i="15"/>
  <c r="EH182" i="15"/>
  <c r="DL183" i="15"/>
  <c r="DL184" i="15"/>
  <c r="DL182" i="15"/>
  <c r="EB183" i="15"/>
  <c r="EB181" i="15"/>
  <c r="EV109" i="18"/>
  <c r="EV111" i="18"/>
  <c r="GA55" i="42"/>
  <c r="DQ34" i="30"/>
  <c r="DS32" i="30"/>
  <c r="DQ32" i="30"/>
  <c r="FL229" i="15"/>
  <c r="FJ229" i="15"/>
  <c r="FO224" i="15"/>
  <c r="EA34" i="30"/>
  <c r="EA31" i="30"/>
  <c r="FJ228" i="15"/>
  <c r="FJ69" i="42"/>
  <c r="FE71" i="42"/>
  <c r="FE70" i="42"/>
  <c r="FE86" i="42"/>
  <c r="FE85" i="42"/>
  <c r="FE82" i="42"/>
  <c r="DQ56" i="42"/>
  <c r="DS56" i="42"/>
  <c r="FF228" i="15"/>
  <c r="FF59" i="42"/>
  <c r="FF60" i="42" s="1"/>
  <c r="FE61" i="42"/>
  <c r="FE60" i="42"/>
  <c r="FG61" i="42"/>
  <c r="DV55" i="42"/>
  <c r="DL30" i="30"/>
  <c r="DQ31" i="30" s="1"/>
  <c r="EA55" i="42"/>
  <c r="EA56" i="42"/>
  <c r="EC56" i="42"/>
  <c r="DS34" i="30"/>
  <c r="DV31" i="30"/>
  <c r="FL227" i="15"/>
  <c r="FJ59" i="42"/>
  <c r="FV55" i="42"/>
  <c r="FB102" i="18"/>
  <c r="FA99" i="18"/>
  <c r="FA100" i="18" s="1"/>
  <c r="FE99" i="18"/>
  <c r="FE100" i="18" s="1"/>
  <c r="FE34" i="42"/>
  <c r="FB36" i="42"/>
  <c r="EA33" i="30"/>
  <c r="EC34" i="30"/>
  <c r="EA32" i="30"/>
  <c r="EF30" i="30"/>
  <c r="EH34" i="30" s="1"/>
  <c r="FF225" i="15"/>
  <c r="EV59" i="17"/>
  <c r="FJ312" i="14"/>
  <c r="FG317" i="14"/>
  <c r="FG315" i="14"/>
  <c r="FE317" i="14"/>
  <c r="FF312" i="14"/>
  <c r="FE315" i="14"/>
  <c r="FE316" i="14"/>
  <c r="FK224" i="15"/>
  <c r="FJ227" i="15"/>
  <c r="EB30" i="30"/>
  <c r="FJ93" i="17"/>
  <c r="FO10" i="17"/>
  <c r="FJ94" i="17"/>
  <c r="FJ92" i="17"/>
  <c r="FE110" i="17"/>
  <c r="FE111" i="17"/>
  <c r="FE109" i="17"/>
  <c r="FE117" i="17"/>
  <c r="FE119" i="17"/>
  <c r="FE118" i="17"/>
  <c r="EQ109" i="18"/>
  <c r="EQ111" i="18"/>
  <c r="EQ114" i="18"/>
  <c r="EQ113" i="18"/>
  <c r="DQ214" i="15"/>
  <c r="DQ212" i="15"/>
  <c r="DS214" i="15"/>
  <c r="DS212" i="15"/>
  <c r="DV213" i="15"/>
  <c r="EA214" i="15"/>
  <c r="EA212" i="15"/>
  <c r="EA213" i="15"/>
  <c r="EC214" i="15"/>
  <c r="EC212" i="15"/>
  <c r="DL209" i="15"/>
  <c r="DL54" i="42" s="1"/>
  <c r="EB209" i="15"/>
  <c r="EB54" i="42" s="1"/>
  <c r="EF209" i="15"/>
  <c r="EF54" i="42" s="1"/>
  <c r="EF57" i="42" s="1"/>
  <c r="EH180" i="15"/>
  <c r="EG177" i="15"/>
  <c r="DL180" i="15"/>
  <c r="EB178" i="15"/>
  <c r="DG177" i="15"/>
  <c r="DG30" i="30" s="1"/>
  <c r="EK177" i="15"/>
  <c r="EY323" i="14" l="1"/>
  <c r="EY320" i="14" s="1"/>
  <c r="EX320" i="14"/>
  <c r="FA323" i="14"/>
  <c r="FA321" i="14"/>
  <c r="EV321" i="14"/>
  <c r="EW321" i="14"/>
  <c r="EW322" i="14"/>
  <c r="GF213" i="15"/>
  <c r="GF54" i="42"/>
  <c r="GF55" i="42" s="1"/>
  <c r="GH50" i="42"/>
  <c r="GH54" i="18"/>
  <c r="GH51" i="18"/>
  <c r="GH33" i="30"/>
  <c r="GH31" i="30"/>
  <c r="GC50" i="42"/>
  <c r="GC54" i="18"/>
  <c r="GC31" i="30"/>
  <c r="GC33" i="30"/>
  <c r="DG34" i="30"/>
  <c r="DG32" i="30"/>
  <c r="FO64" i="42"/>
  <c r="FO14" i="2"/>
  <c r="DQ55" i="42"/>
  <c r="DL57" i="42"/>
  <c r="FO13" i="17"/>
  <c r="FO11" i="17"/>
  <c r="FO132" i="17"/>
  <c r="FO95" i="17"/>
  <c r="FO226" i="17"/>
  <c r="FO15" i="17"/>
  <c r="FO14" i="17"/>
  <c r="FO59" i="42"/>
  <c r="FO61" i="42" s="1"/>
  <c r="DG183" i="15"/>
  <c r="DG184" i="15"/>
  <c r="DG182" i="15"/>
  <c r="EK181" i="15"/>
  <c r="EK183" i="15"/>
  <c r="EK184" i="15"/>
  <c r="EK182" i="15"/>
  <c r="EM182" i="15"/>
  <c r="DL181" i="15"/>
  <c r="EG183" i="15"/>
  <c r="EG181" i="15"/>
  <c r="DL34" i="30"/>
  <c r="FO229" i="15"/>
  <c r="FO227" i="15"/>
  <c r="FO228" i="15"/>
  <c r="FQ229" i="15"/>
  <c r="FP224" i="15"/>
  <c r="FQ227" i="15"/>
  <c r="FT224" i="15"/>
  <c r="DL32" i="30"/>
  <c r="EF34" i="30"/>
  <c r="DQ33" i="30"/>
  <c r="FE77" i="42"/>
  <c r="FE87" i="42"/>
  <c r="FE72" i="42"/>
  <c r="FO69" i="42"/>
  <c r="FJ71" i="42"/>
  <c r="FJ70" i="42"/>
  <c r="FJ86" i="42"/>
  <c r="FJ85" i="42"/>
  <c r="FE65" i="42"/>
  <c r="FA108" i="18"/>
  <c r="FA109" i="18" s="1"/>
  <c r="FB110" i="18"/>
  <c r="EB55" i="42"/>
  <c r="FK228" i="15"/>
  <c r="FK59" i="42"/>
  <c r="FK60" i="42" s="1"/>
  <c r="EF55" i="42"/>
  <c r="EF56" i="42"/>
  <c r="EH56" i="42"/>
  <c r="FK225" i="15"/>
  <c r="DL56" i="42"/>
  <c r="FJ60" i="42"/>
  <c r="FJ61" i="42"/>
  <c r="FL61" i="42"/>
  <c r="FB112" i="18"/>
  <c r="FE102" i="18"/>
  <c r="FG102" i="18"/>
  <c r="FE108" i="18"/>
  <c r="FG112" i="18" s="1"/>
  <c r="FE35" i="42"/>
  <c r="FE36" i="42"/>
  <c r="FG36" i="42"/>
  <c r="FF99" i="18"/>
  <c r="FF100" i="18" s="1"/>
  <c r="FF34" i="42"/>
  <c r="FJ99" i="18"/>
  <c r="FL102" i="18" s="1"/>
  <c r="FJ34" i="42"/>
  <c r="EF31" i="30"/>
  <c r="FL315" i="14"/>
  <c r="FL317" i="14"/>
  <c r="FJ316" i="14"/>
  <c r="FO312" i="14"/>
  <c r="FK312" i="14"/>
  <c r="FJ315" i="14"/>
  <c r="FJ317" i="14"/>
  <c r="EG30" i="30"/>
  <c r="EG33" i="30" s="1"/>
  <c r="EF33" i="30"/>
  <c r="EF32" i="30"/>
  <c r="EH32" i="30"/>
  <c r="DL31" i="30"/>
  <c r="DB177" i="15"/>
  <c r="FF313" i="14"/>
  <c r="FF316" i="14"/>
  <c r="EK30" i="30"/>
  <c r="EB31" i="30"/>
  <c r="EB33" i="30"/>
  <c r="FT10" i="17"/>
  <c r="FO92" i="17"/>
  <c r="FO94" i="17"/>
  <c r="FO93" i="17"/>
  <c r="FJ117" i="17"/>
  <c r="FJ118" i="17"/>
  <c r="FJ119" i="17"/>
  <c r="FJ109" i="17"/>
  <c r="FJ111" i="17"/>
  <c r="FJ110" i="17"/>
  <c r="DL214" i="15"/>
  <c r="DL212" i="15"/>
  <c r="DQ213" i="15"/>
  <c r="EF214" i="15"/>
  <c r="EF212" i="15"/>
  <c r="EF213" i="15"/>
  <c r="EH212" i="15"/>
  <c r="EH214" i="15"/>
  <c r="EB213" i="15"/>
  <c r="EB210" i="15"/>
  <c r="DG209" i="15"/>
  <c r="DG54" i="42" s="1"/>
  <c r="DG57" i="42" s="1"/>
  <c r="EG209" i="15"/>
  <c r="EG54" i="42" s="1"/>
  <c r="EK209" i="15"/>
  <c r="EK54" i="42" s="1"/>
  <c r="EK57" i="42" s="1"/>
  <c r="EG178" i="15"/>
  <c r="DG180" i="15"/>
  <c r="EK180" i="15"/>
  <c r="EL177" i="15"/>
  <c r="EM180" i="15"/>
  <c r="EP177" i="15"/>
  <c r="EX321" i="14" l="1"/>
  <c r="EX322" i="14"/>
  <c r="EY322" i="14"/>
  <c r="EZ322" i="14"/>
  <c r="EY321" i="14"/>
  <c r="FO60" i="42"/>
  <c r="FT64" i="42"/>
  <c r="FT14" i="2"/>
  <c r="FT11" i="17"/>
  <c r="FT13" i="17"/>
  <c r="FQ61" i="42"/>
  <c r="FT132" i="17"/>
  <c r="FT95" i="17"/>
  <c r="FT226" i="17"/>
  <c r="FT15" i="17"/>
  <c r="FT14" i="17"/>
  <c r="FT59" i="42"/>
  <c r="FV61" i="42" s="1"/>
  <c r="FP59" i="42"/>
  <c r="FP60" i="42" s="1"/>
  <c r="EP184" i="15"/>
  <c r="EP181" i="15"/>
  <c r="EP182" i="15"/>
  <c r="EP183" i="15"/>
  <c r="ER182" i="15"/>
  <c r="EL183" i="15"/>
  <c r="EL181" i="15"/>
  <c r="DB183" i="15"/>
  <c r="DB184" i="15"/>
  <c r="DG181" i="15"/>
  <c r="DB30" i="30"/>
  <c r="EU177" i="15"/>
  <c r="FT227" i="15"/>
  <c r="FP228" i="15"/>
  <c r="FP225" i="15"/>
  <c r="FT229" i="15"/>
  <c r="FT228" i="15"/>
  <c r="FV229" i="15"/>
  <c r="FV227" i="15"/>
  <c r="FU224" i="15"/>
  <c r="FY224" i="15"/>
  <c r="EG31" i="30"/>
  <c r="FA111" i="18"/>
  <c r="FT69" i="42"/>
  <c r="FO70" i="42"/>
  <c r="FO71" i="42"/>
  <c r="FO85" i="42"/>
  <c r="FO86" i="42"/>
  <c r="EG55" i="42"/>
  <c r="DG55" i="42"/>
  <c r="DL55" i="42"/>
  <c r="CW177" i="15"/>
  <c r="EK56" i="42"/>
  <c r="EK55" i="42"/>
  <c r="EM56" i="42"/>
  <c r="FE111" i="18"/>
  <c r="FJ108" i="18"/>
  <c r="FE112" i="18"/>
  <c r="FJ100" i="18"/>
  <c r="FE109" i="18"/>
  <c r="FF108" i="18"/>
  <c r="FF109" i="18" s="1"/>
  <c r="FG110" i="18"/>
  <c r="FJ102" i="18"/>
  <c r="FE110" i="18"/>
  <c r="FF35" i="42"/>
  <c r="FO99" i="18"/>
  <c r="FQ102" i="18" s="1"/>
  <c r="FO34" i="42"/>
  <c r="FK99" i="18"/>
  <c r="FK100" i="18" s="1"/>
  <c r="FK34" i="42"/>
  <c r="FJ36" i="42"/>
  <c r="FJ35" i="42"/>
  <c r="FL36" i="42"/>
  <c r="FJ82" i="42"/>
  <c r="FJ87" i="42"/>
  <c r="FJ72" i="42"/>
  <c r="FJ77" i="42"/>
  <c r="FJ65" i="42"/>
  <c r="FO317" i="14"/>
  <c r="FO316" i="14"/>
  <c r="FQ315" i="14"/>
  <c r="FK313" i="14"/>
  <c r="FK316" i="14"/>
  <c r="FQ317" i="14"/>
  <c r="FO315" i="14"/>
  <c r="FP312" i="14"/>
  <c r="FT312" i="14"/>
  <c r="DL33" i="30"/>
  <c r="EL30" i="30"/>
  <c r="EK33" i="30"/>
  <c r="EK31" i="30"/>
  <c r="EK34" i="30"/>
  <c r="EK32" i="30"/>
  <c r="FO109" i="17"/>
  <c r="FO111" i="17"/>
  <c r="FO110" i="17"/>
  <c r="FO118" i="17"/>
  <c r="FO117" i="17"/>
  <c r="FO119" i="17"/>
  <c r="FT93" i="17"/>
  <c r="FT94" i="17"/>
  <c r="FT92" i="17"/>
  <c r="EK214" i="15"/>
  <c r="EK212" i="15"/>
  <c r="EK213" i="15"/>
  <c r="EM214" i="15"/>
  <c r="EG213" i="15"/>
  <c r="DL213" i="15"/>
  <c r="ER180" i="15"/>
  <c r="DB50" i="18"/>
  <c r="EL209" i="15"/>
  <c r="EL54" i="42" s="1"/>
  <c r="EM212" i="15"/>
  <c r="EG210" i="15"/>
  <c r="EP180" i="15"/>
  <c r="EP187" i="15"/>
  <c r="EQ177" i="15"/>
  <c r="DB209" i="15"/>
  <c r="EP209" i="15"/>
  <c r="DG33" i="30" l="1"/>
  <c r="DG31" i="30"/>
  <c r="FJ110" i="18"/>
  <c r="FY10" i="17"/>
  <c r="FT61" i="42"/>
  <c r="FT60" i="42"/>
  <c r="FY227" i="15"/>
  <c r="FU228" i="15"/>
  <c r="EU182" i="15"/>
  <c r="EU181" i="15"/>
  <c r="EU184" i="15"/>
  <c r="EU183" i="15"/>
  <c r="EQ181" i="15"/>
  <c r="EQ183" i="15"/>
  <c r="CW183" i="15"/>
  <c r="DB181" i="15"/>
  <c r="EU209" i="15"/>
  <c r="EZ209" i="15" s="1"/>
  <c r="EU187" i="15"/>
  <c r="EU189" i="15" s="1"/>
  <c r="EU180" i="15"/>
  <c r="EP54" i="42"/>
  <c r="EP230" i="15"/>
  <c r="FY59" i="42"/>
  <c r="FY60" i="42" s="1"/>
  <c r="FU225" i="15"/>
  <c r="GA227" i="15"/>
  <c r="GA229" i="15"/>
  <c r="GD224" i="15"/>
  <c r="FU59" i="42"/>
  <c r="FU60" i="42" s="1"/>
  <c r="FY229" i="15"/>
  <c r="FY228" i="15"/>
  <c r="FZ224" i="15"/>
  <c r="EP189" i="15"/>
  <c r="CW30" i="30"/>
  <c r="CR177" i="15"/>
  <c r="CW181" i="15" s="1"/>
  <c r="FJ109" i="18"/>
  <c r="FT71" i="42"/>
  <c r="FT70" i="42"/>
  <c r="FY69" i="42"/>
  <c r="FT86" i="42"/>
  <c r="FT85" i="42"/>
  <c r="FF111" i="18"/>
  <c r="EG217" i="15"/>
  <c r="EL217" i="15"/>
  <c r="EL55" i="42"/>
  <c r="FL110" i="18"/>
  <c r="FJ111" i="18"/>
  <c r="FK108" i="18"/>
  <c r="FK109" i="18" s="1"/>
  <c r="FL112" i="18"/>
  <c r="FJ112" i="18"/>
  <c r="FO108" i="18"/>
  <c r="FO110" i="18" s="1"/>
  <c r="FO100" i="18"/>
  <c r="FO102" i="18"/>
  <c r="FP99" i="18"/>
  <c r="FP100" i="18" s="1"/>
  <c r="FP34" i="42"/>
  <c r="FO36" i="42"/>
  <c r="FO35" i="42"/>
  <c r="FQ36" i="42"/>
  <c r="FK35" i="42"/>
  <c r="FT99" i="18"/>
  <c r="FV102" i="18" s="1"/>
  <c r="FT34" i="42"/>
  <c r="FO82" i="42"/>
  <c r="FO87" i="42"/>
  <c r="FO77" i="42"/>
  <c r="FO72" i="42"/>
  <c r="FO65" i="42"/>
  <c r="FU312" i="14"/>
  <c r="FV315" i="14"/>
  <c r="FT317" i="14"/>
  <c r="FP313" i="14"/>
  <c r="FT316" i="14"/>
  <c r="FT315" i="14"/>
  <c r="FY312" i="14"/>
  <c r="FV317" i="14"/>
  <c r="FP316" i="14"/>
  <c r="EQ187" i="15"/>
  <c r="EL33" i="30"/>
  <c r="EL31" i="30"/>
  <c r="FT110" i="17"/>
  <c r="FT111" i="17"/>
  <c r="FT109" i="17"/>
  <c r="FY92" i="17"/>
  <c r="FY94" i="17"/>
  <c r="FY93" i="17"/>
  <c r="FT119" i="17"/>
  <c r="FT118" i="17"/>
  <c r="FT117" i="17"/>
  <c r="EP213" i="15"/>
  <c r="EP214" i="15"/>
  <c r="ER212" i="15"/>
  <c r="ER214" i="15"/>
  <c r="EL213" i="15"/>
  <c r="DG213" i="15"/>
  <c r="EV177" i="15"/>
  <c r="EP212" i="15"/>
  <c r="EQ209" i="15"/>
  <c r="EQ178" i="15"/>
  <c r="EZ213" i="15" l="1"/>
  <c r="EZ215" i="15"/>
  <c r="GI224" i="15"/>
  <c r="GF229" i="15"/>
  <c r="GF227" i="15"/>
  <c r="EP57" i="42"/>
  <c r="ER56" i="42"/>
  <c r="EU108" i="15"/>
  <c r="EU54" i="42"/>
  <c r="FY226" i="17"/>
  <c r="FY14" i="2"/>
  <c r="FY132" i="17"/>
  <c r="FY95" i="17"/>
  <c r="FY64" i="42"/>
  <c r="FY13" i="17"/>
  <c r="FY11" i="17"/>
  <c r="FY14" i="17"/>
  <c r="FY15" i="17"/>
  <c r="GD10" i="17"/>
  <c r="GD92" i="17"/>
  <c r="GD94" i="17"/>
  <c r="GD93" i="17"/>
  <c r="EU91" i="15"/>
  <c r="EP215" i="15"/>
  <c r="EQ54" i="42"/>
  <c r="FZ59" i="42"/>
  <c r="FZ60" i="42" s="1"/>
  <c r="EV183" i="15"/>
  <c r="EV181" i="15"/>
  <c r="CR30" i="30"/>
  <c r="EU214" i="15"/>
  <c r="EU213" i="15"/>
  <c r="EU212" i="15"/>
  <c r="EV187" i="15"/>
  <c r="EP96" i="15"/>
  <c r="EP16" i="15"/>
  <c r="EP11" i="15"/>
  <c r="EP13" i="15"/>
  <c r="EP14" i="15"/>
  <c r="EP15" i="15"/>
  <c r="FY61" i="42"/>
  <c r="FZ228" i="15"/>
  <c r="EP56" i="42"/>
  <c r="EP55" i="42"/>
  <c r="EP93" i="15"/>
  <c r="EP92" i="15"/>
  <c r="EP95" i="15"/>
  <c r="GA61" i="42"/>
  <c r="ER191" i="15"/>
  <c r="FZ225" i="15"/>
  <c r="CM177" i="15"/>
  <c r="CR181" i="15" s="1"/>
  <c r="EV189" i="15"/>
  <c r="EV192" i="15" s="1"/>
  <c r="EU192" i="15"/>
  <c r="GD85" i="42"/>
  <c r="GD69" i="42"/>
  <c r="GD59" i="42"/>
  <c r="GD228" i="15"/>
  <c r="GD227" i="15"/>
  <c r="GE224" i="15"/>
  <c r="GD229" i="15"/>
  <c r="GA317" i="14"/>
  <c r="GA315" i="14"/>
  <c r="GD312" i="14"/>
  <c r="EP192" i="15"/>
  <c r="EQ189" i="15"/>
  <c r="EQ192" i="15" s="1"/>
  <c r="FK111" i="18"/>
  <c r="FY71" i="42"/>
  <c r="FY70" i="42"/>
  <c r="FY85" i="42"/>
  <c r="FY86" i="42"/>
  <c r="FZ312" i="14"/>
  <c r="FZ313" i="14" s="1"/>
  <c r="FU313" i="14"/>
  <c r="FO111" i="18"/>
  <c r="FQ110" i="18"/>
  <c r="FO112" i="18"/>
  <c r="FO109" i="18"/>
  <c r="FP108" i="18"/>
  <c r="FP109" i="18" s="1"/>
  <c r="FQ112" i="18"/>
  <c r="FU316" i="14"/>
  <c r="FY99" i="18"/>
  <c r="FY34" i="42"/>
  <c r="GA36" i="42" s="1"/>
  <c r="FT100" i="18"/>
  <c r="FP35" i="42"/>
  <c r="FT35" i="42"/>
  <c r="FT36" i="42"/>
  <c r="FV36" i="42"/>
  <c r="FT102" i="18"/>
  <c r="FT108" i="18"/>
  <c r="FV112" i="18" s="1"/>
  <c r="FU99" i="18"/>
  <c r="FU100" i="18" s="1"/>
  <c r="FU34" i="42"/>
  <c r="FT82" i="42"/>
  <c r="FT87" i="42"/>
  <c r="FT72" i="42"/>
  <c r="FT77" i="42"/>
  <c r="FT65" i="42"/>
  <c r="FY315" i="14"/>
  <c r="FY317" i="14"/>
  <c r="FY316" i="14"/>
  <c r="EQ186" i="15"/>
  <c r="FY117" i="17"/>
  <c r="FY118" i="17"/>
  <c r="FY119" i="17"/>
  <c r="FY110" i="17"/>
  <c r="FY111" i="17"/>
  <c r="FY109" i="17"/>
  <c r="EW214" i="15"/>
  <c r="EW212" i="15"/>
  <c r="EQ213" i="15"/>
  <c r="EZ54" i="42"/>
  <c r="EV178" i="15"/>
  <c r="EQ210" i="15"/>
  <c r="EU117" i="15" l="1"/>
  <c r="EZ108" i="15"/>
  <c r="EZ124" i="15" s="1"/>
  <c r="GI227" i="15"/>
  <c r="GI59" i="42"/>
  <c r="GI61" i="42" s="1"/>
  <c r="GI229" i="15"/>
  <c r="GI228" i="15"/>
  <c r="GJ224" i="15"/>
  <c r="EZ115" i="15"/>
  <c r="EZ113" i="15"/>
  <c r="EZ117" i="15"/>
  <c r="EZ30" i="30"/>
  <c r="EZ114" i="15"/>
  <c r="EZ112" i="15"/>
  <c r="GI312" i="14"/>
  <c r="GF315" i="14"/>
  <c r="GF317" i="14"/>
  <c r="GI11" i="17"/>
  <c r="GI14" i="17"/>
  <c r="GI70" i="42"/>
  <c r="GI60" i="42"/>
  <c r="GF61" i="42"/>
  <c r="EZ55" i="42"/>
  <c r="EU30" i="30"/>
  <c r="EU34" i="30" s="1"/>
  <c r="EU50" i="18"/>
  <c r="EP108" i="15"/>
  <c r="EZ49" i="42"/>
  <c r="EU55" i="42"/>
  <c r="EU56" i="42"/>
  <c r="EU57" i="42"/>
  <c r="EU49" i="42"/>
  <c r="EU111" i="15"/>
  <c r="EU113" i="15"/>
  <c r="EU93" i="15"/>
  <c r="EU94" i="15"/>
  <c r="EU92" i="15"/>
  <c r="GD64" i="42"/>
  <c r="GD14" i="2"/>
  <c r="EQ55" i="42"/>
  <c r="EU95" i="15"/>
  <c r="EU14" i="15"/>
  <c r="EU114" i="15"/>
  <c r="GD11" i="17"/>
  <c r="GD13" i="17"/>
  <c r="GD95" i="17"/>
  <c r="EU215" i="15"/>
  <c r="GD109" i="17"/>
  <c r="GD111" i="17"/>
  <c r="GD110" i="17"/>
  <c r="GD117" i="17"/>
  <c r="GD119" i="17"/>
  <c r="GD118" i="17"/>
  <c r="GD14" i="17"/>
  <c r="GD15" i="17"/>
  <c r="GD226" i="17"/>
  <c r="GD132" i="17"/>
  <c r="EW56" i="42"/>
  <c r="CM30" i="30"/>
  <c r="GD70" i="42"/>
  <c r="GD71" i="42"/>
  <c r="GE225" i="15"/>
  <c r="GE228" i="15"/>
  <c r="GE59" i="42"/>
  <c r="GD60" i="42"/>
  <c r="GD61" i="42"/>
  <c r="FY102" i="18"/>
  <c r="GA102" i="18"/>
  <c r="GD99" i="18"/>
  <c r="GF102" i="18" s="1"/>
  <c r="GE312" i="14"/>
  <c r="GD34" i="42"/>
  <c r="GD317" i="14"/>
  <c r="GD315" i="14"/>
  <c r="GD316" i="14"/>
  <c r="EU190" i="15"/>
  <c r="EU191" i="15"/>
  <c r="FY108" i="18"/>
  <c r="FY100" i="18"/>
  <c r="EQ217" i="15"/>
  <c r="FP111" i="18"/>
  <c r="FT110" i="18"/>
  <c r="FV110" i="18"/>
  <c r="FT109" i="18"/>
  <c r="FT111" i="18"/>
  <c r="FU108" i="18"/>
  <c r="FY36" i="42"/>
  <c r="FY35" i="42"/>
  <c r="FZ99" i="18"/>
  <c r="FZ100" i="18" s="1"/>
  <c r="FZ34" i="42"/>
  <c r="FT112" i="18"/>
  <c r="FU35" i="42"/>
  <c r="FY82" i="42"/>
  <c r="FY87" i="42"/>
  <c r="FY77" i="42"/>
  <c r="FY72" i="42"/>
  <c r="FY65" i="42"/>
  <c r="FZ316" i="14"/>
  <c r="EV186" i="15"/>
  <c r="FB212" i="15"/>
  <c r="FB214" i="15"/>
  <c r="FE209" i="15"/>
  <c r="EZ50" i="18" l="1"/>
  <c r="EZ111" i="15"/>
  <c r="GJ228" i="15"/>
  <c r="GJ59" i="42"/>
  <c r="GJ60" i="42" s="1"/>
  <c r="GJ225" i="15"/>
  <c r="EZ131" i="15"/>
  <c r="EZ34" i="30"/>
  <c r="EZ32" i="30"/>
  <c r="EZ55" i="18"/>
  <c r="EZ56" i="18"/>
  <c r="EZ53" i="18"/>
  <c r="EZ51" i="18"/>
  <c r="EZ54" i="18"/>
  <c r="GI99" i="18"/>
  <c r="GI315" i="14"/>
  <c r="GI317" i="14"/>
  <c r="GI34" i="42"/>
  <c r="GI36" i="42" s="1"/>
  <c r="GI316" i="14"/>
  <c r="GJ312" i="14"/>
  <c r="EU32" i="30"/>
  <c r="EZ33" i="30"/>
  <c r="GD72" i="42"/>
  <c r="GI65" i="42"/>
  <c r="EZ51" i="42"/>
  <c r="EZ50" i="42"/>
  <c r="GE60" i="42"/>
  <c r="GF36" i="42"/>
  <c r="EP117" i="15"/>
  <c r="EP143" i="15"/>
  <c r="EP50" i="18"/>
  <c r="EP54" i="18" s="1"/>
  <c r="EU124" i="15"/>
  <c r="EU126" i="15" s="1"/>
  <c r="EP113" i="15"/>
  <c r="EP129" i="15"/>
  <c r="EP111" i="15"/>
  <c r="EP30" i="30"/>
  <c r="EP33" i="30" s="1"/>
  <c r="EP114" i="15"/>
  <c r="EU56" i="18"/>
  <c r="EU55" i="18"/>
  <c r="EU53" i="18"/>
  <c r="EP49" i="42"/>
  <c r="FE108" i="15"/>
  <c r="FJ108" i="15" s="1"/>
  <c r="EU112" i="15"/>
  <c r="EP115" i="15"/>
  <c r="EU52" i="42"/>
  <c r="EU51" i="42"/>
  <c r="EU230" i="15"/>
  <c r="EU96" i="15"/>
  <c r="EW13" i="15"/>
  <c r="EU16" i="15"/>
  <c r="EW15" i="15"/>
  <c r="EU11" i="15"/>
  <c r="EU115" i="15"/>
  <c r="GD87" i="42"/>
  <c r="GD77" i="42"/>
  <c r="GD65" i="42"/>
  <c r="GD82" i="42"/>
  <c r="GE99" i="18"/>
  <c r="GE100" i="18" s="1"/>
  <c r="GE34" i="42"/>
  <c r="GE316" i="14"/>
  <c r="GE313" i="14"/>
  <c r="GD35" i="42"/>
  <c r="GD36" i="42"/>
  <c r="FY112" i="18"/>
  <c r="GA112" i="18"/>
  <c r="GA110" i="18"/>
  <c r="GD102" i="18"/>
  <c r="GD100" i="18"/>
  <c r="GD108" i="18"/>
  <c r="EV190" i="15"/>
  <c r="FB56" i="42"/>
  <c r="FY110" i="18"/>
  <c r="FY109" i="18"/>
  <c r="FY111" i="18"/>
  <c r="FZ108" i="18"/>
  <c r="FZ111" i="18" s="1"/>
  <c r="EP22" i="2"/>
  <c r="FE54" i="42"/>
  <c r="FU109" i="18"/>
  <c r="FU111" i="18"/>
  <c r="FZ35" i="42"/>
  <c r="EU51" i="15"/>
  <c r="EU37" i="29" s="1"/>
  <c r="EU38" i="29" s="1"/>
  <c r="EV50" i="15"/>
  <c r="FE213" i="15"/>
  <c r="FG214" i="15"/>
  <c r="FG212" i="15"/>
  <c r="FJ209" i="15"/>
  <c r="EL330" i="14"/>
  <c r="DV312" i="14"/>
  <c r="DU312" i="14"/>
  <c r="DT312" i="14"/>
  <c r="DS312" i="14"/>
  <c r="ER75" i="14"/>
  <c r="EP75" i="14"/>
  <c r="EO75" i="14"/>
  <c r="EN75" i="14"/>
  <c r="EM75" i="14"/>
  <c r="EK75" i="14"/>
  <c r="EJ75" i="14"/>
  <c r="EI75" i="14"/>
  <c r="EH75" i="14"/>
  <c r="EF75" i="14"/>
  <c r="EE75" i="14"/>
  <c r="ED75" i="14"/>
  <c r="EC75" i="14"/>
  <c r="EA75" i="14"/>
  <c r="DZ75" i="14"/>
  <c r="DY75" i="14"/>
  <c r="DX75" i="14"/>
  <c r="DV75" i="14"/>
  <c r="DU75" i="14"/>
  <c r="DT75" i="14"/>
  <c r="DS75" i="14"/>
  <c r="DQ75" i="14"/>
  <c r="DP75" i="14"/>
  <c r="DO75" i="14"/>
  <c r="DN75" i="14"/>
  <c r="DL75" i="14"/>
  <c r="DK75" i="14"/>
  <c r="DJ75" i="14"/>
  <c r="DI75" i="14"/>
  <c r="DG75" i="14"/>
  <c r="DF75" i="14"/>
  <c r="DE75" i="14"/>
  <c r="DD75" i="14"/>
  <c r="DB75" i="14"/>
  <c r="DA75" i="14"/>
  <c r="CZ75" i="14"/>
  <c r="ER73" i="14"/>
  <c r="EP73" i="14"/>
  <c r="EO73" i="14"/>
  <c r="EN73" i="14"/>
  <c r="EM73" i="14"/>
  <c r="EK73" i="14"/>
  <c r="EJ73" i="14"/>
  <c r="EI73" i="14"/>
  <c r="EH73" i="14"/>
  <c r="EF73" i="14"/>
  <c r="EE73" i="14"/>
  <c r="ED73" i="14"/>
  <c r="EC73" i="14"/>
  <c r="EA73" i="14"/>
  <c r="DZ73" i="14"/>
  <c r="DY73" i="14"/>
  <c r="DX73" i="14"/>
  <c r="DV73" i="14"/>
  <c r="DU73" i="14"/>
  <c r="DT73" i="14"/>
  <c r="DS73" i="14"/>
  <c r="DQ73" i="14"/>
  <c r="DP73" i="14"/>
  <c r="DO73" i="14"/>
  <c r="DN73" i="14"/>
  <c r="DL73" i="14"/>
  <c r="DK73" i="14"/>
  <c r="DJ73" i="14"/>
  <c r="DI73" i="14"/>
  <c r="DG73" i="14"/>
  <c r="DF73" i="14"/>
  <c r="DE73" i="14"/>
  <c r="DD73" i="14"/>
  <c r="EQ72" i="14"/>
  <c r="EL72" i="14"/>
  <c r="EG72" i="14"/>
  <c r="EB72" i="14"/>
  <c r="DW72" i="14"/>
  <c r="DR72" i="14"/>
  <c r="DM72" i="14"/>
  <c r="DH72" i="14"/>
  <c r="DC72" i="14"/>
  <c r="DC73" i="14" s="1"/>
  <c r="EZ126" i="15" l="1"/>
  <c r="EZ129" i="15" s="1"/>
  <c r="GI35" i="42"/>
  <c r="EZ127" i="15"/>
  <c r="EZ138" i="15"/>
  <c r="FA138" i="15" s="1"/>
  <c r="EZ128" i="15"/>
  <c r="EZ130" i="15"/>
  <c r="EZ133" i="15"/>
  <c r="EZ135" i="15" s="1"/>
  <c r="EZ143" i="15"/>
  <c r="EU51" i="18"/>
  <c r="GJ99" i="18"/>
  <c r="GJ100" i="18" s="1"/>
  <c r="GJ316" i="14"/>
  <c r="GJ313" i="14"/>
  <c r="GJ34" i="42"/>
  <c r="GJ35" i="42" s="1"/>
  <c r="GF112" i="18"/>
  <c r="GF110" i="18"/>
  <c r="GI100" i="18"/>
  <c r="GI102" i="18"/>
  <c r="GI108" i="18"/>
  <c r="GE35" i="42"/>
  <c r="EP145" i="15"/>
  <c r="EP148" i="15"/>
  <c r="EP147" i="15"/>
  <c r="EP149" i="15"/>
  <c r="EU133" i="15"/>
  <c r="EU135" i="15" s="1"/>
  <c r="EU136" i="15"/>
  <c r="EU129" i="15"/>
  <c r="EU143" i="15"/>
  <c r="EU54" i="18"/>
  <c r="EP51" i="18"/>
  <c r="EP53" i="18"/>
  <c r="EP55" i="18"/>
  <c r="EP56" i="18"/>
  <c r="EU130" i="15"/>
  <c r="FE124" i="15"/>
  <c r="EU131" i="15"/>
  <c r="EU128" i="15"/>
  <c r="EU127" i="15"/>
  <c r="EU138" i="15"/>
  <c r="EV138" i="15" s="1"/>
  <c r="EU33" i="30"/>
  <c r="EP31" i="30"/>
  <c r="EP34" i="30"/>
  <c r="EP32" i="30"/>
  <c r="EU50" i="42"/>
  <c r="FE112" i="15"/>
  <c r="FE30" i="30"/>
  <c r="FE113" i="15"/>
  <c r="FE49" i="42"/>
  <c r="FE50" i="42" s="1"/>
  <c r="FE90" i="15"/>
  <c r="FE215" i="15" s="1"/>
  <c r="FE111" i="15"/>
  <c r="FE50" i="18"/>
  <c r="FE55" i="18" s="1"/>
  <c r="EV184" i="15"/>
  <c r="EV232" i="15"/>
  <c r="EV105" i="15"/>
  <c r="EV73" i="14"/>
  <c r="EV76" i="14"/>
  <c r="GE108" i="18"/>
  <c r="GD109" i="18"/>
  <c r="GD110" i="18"/>
  <c r="GD112" i="18"/>
  <c r="GD111" i="18"/>
  <c r="EV77" i="15"/>
  <c r="FZ109" i="18"/>
  <c r="ER22" i="2"/>
  <c r="ER60" i="2" s="1"/>
  <c r="FE55" i="42"/>
  <c r="FJ54" i="42"/>
  <c r="FJ55" i="42" s="1"/>
  <c r="FG56" i="42"/>
  <c r="EW46" i="42"/>
  <c r="DS99" i="18"/>
  <c r="DS103" i="18" s="1"/>
  <c r="DS34" i="42"/>
  <c r="DU99" i="18"/>
  <c r="DU108" i="18" s="1"/>
  <c r="DU34" i="42"/>
  <c r="DV99" i="18"/>
  <c r="DV100" i="18" s="1"/>
  <c r="DV34" i="42"/>
  <c r="DT99" i="18"/>
  <c r="DT108" i="18" s="1"/>
  <c r="DT34" i="42"/>
  <c r="EP57" i="2"/>
  <c r="EP59" i="2"/>
  <c r="EP61" i="2"/>
  <c r="EP58" i="2"/>
  <c r="EP60" i="2"/>
  <c r="FJ213" i="15"/>
  <c r="FL214" i="15"/>
  <c r="FL212" i="15"/>
  <c r="EB76" i="14"/>
  <c r="FO209" i="15"/>
  <c r="EG76" i="14"/>
  <c r="DH76" i="14"/>
  <c r="DM76" i="14"/>
  <c r="EQ76" i="14"/>
  <c r="DR76" i="14"/>
  <c r="DW76" i="14"/>
  <c r="DT317" i="14"/>
  <c r="DT316" i="14"/>
  <c r="DU317" i="14"/>
  <c r="DU316" i="14"/>
  <c r="DV316" i="14"/>
  <c r="DV317" i="14"/>
  <c r="DS316" i="14"/>
  <c r="DS317" i="14"/>
  <c r="DX312" i="14"/>
  <c r="DW312" i="14"/>
  <c r="DS315" i="14"/>
  <c r="DY312" i="14"/>
  <c r="DT315" i="14"/>
  <c r="DZ312" i="14"/>
  <c r="DU315" i="14"/>
  <c r="EA312" i="14"/>
  <c r="DV315" i="14"/>
  <c r="EG73" i="14"/>
  <c r="DR73" i="14"/>
  <c r="EB73" i="14"/>
  <c r="DM73" i="14"/>
  <c r="EQ73" i="14"/>
  <c r="DW73" i="14"/>
  <c r="DH73" i="14"/>
  <c r="ER274" i="14"/>
  <c r="EZ136" i="15" l="1"/>
  <c r="FJ30" i="30"/>
  <c r="FJ31" i="30" s="1"/>
  <c r="FJ124" i="15"/>
  <c r="EZ148" i="15"/>
  <c r="EZ145" i="15"/>
  <c r="EZ144" i="15"/>
  <c r="EZ146" i="15"/>
  <c r="EZ147" i="15"/>
  <c r="EZ149" i="15"/>
  <c r="GI112" i="18"/>
  <c r="GI109" i="18"/>
  <c r="GI110" i="18"/>
  <c r="GI111" i="18"/>
  <c r="GJ108" i="18"/>
  <c r="FE33" i="30"/>
  <c r="EZ44" i="42"/>
  <c r="EU146" i="15"/>
  <c r="EU147" i="15"/>
  <c r="EU148" i="15"/>
  <c r="EU144" i="15"/>
  <c r="EU149" i="15"/>
  <c r="EU145" i="15"/>
  <c r="FE126" i="15"/>
  <c r="FE34" i="30"/>
  <c r="FJ90" i="15"/>
  <c r="FJ94" i="15" s="1"/>
  <c r="FJ49" i="42"/>
  <c r="FJ50" i="42" s="1"/>
  <c r="FO108" i="15"/>
  <c r="FO49" i="42" s="1"/>
  <c r="FJ112" i="15"/>
  <c r="FJ113" i="15"/>
  <c r="FJ50" i="18"/>
  <c r="FJ55" i="18" s="1"/>
  <c r="FJ111" i="15"/>
  <c r="FE32" i="30"/>
  <c r="FE91" i="15"/>
  <c r="FE114" i="15"/>
  <c r="FE51" i="42"/>
  <c r="FE10" i="15"/>
  <c r="FE13" i="2" s="1"/>
  <c r="FE31" i="30"/>
  <c r="FE53" i="18"/>
  <c r="FE51" i="18"/>
  <c r="FE54" i="18"/>
  <c r="FE94" i="15"/>
  <c r="FJ32" i="30"/>
  <c r="FJ33" i="30"/>
  <c r="GE109" i="18"/>
  <c r="GE111" i="18"/>
  <c r="ER61" i="2"/>
  <c r="ER57" i="2"/>
  <c r="ER58" i="2"/>
  <c r="ER59" i="2"/>
  <c r="DW34" i="42"/>
  <c r="DW35" i="42" s="1"/>
  <c r="DT102" i="18"/>
  <c r="DS100" i="18"/>
  <c r="DT103" i="18"/>
  <c r="DS108" i="18"/>
  <c r="DS112" i="18" s="1"/>
  <c r="FL56" i="42"/>
  <c r="FO54" i="42"/>
  <c r="DT100" i="18"/>
  <c r="DS102" i="18"/>
  <c r="DU102" i="18"/>
  <c r="DU103" i="18"/>
  <c r="DU100" i="18"/>
  <c r="DV108" i="18"/>
  <c r="DV111" i="18" s="1"/>
  <c r="DY99" i="18"/>
  <c r="DY108" i="18" s="1"/>
  <c r="DY34" i="42"/>
  <c r="DU36" i="42"/>
  <c r="DU37" i="42"/>
  <c r="DU35" i="42"/>
  <c r="DZ99" i="18"/>
  <c r="DZ100" i="18" s="1"/>
  <c r="DZ34" i="42"/>
  <c r="DV102" i="18"/>
  <c r="EA99" i="18"/>
  <c r="EA108" i="18" s="1"/>
  <c r="EA34" i="42"/>
  <c r="DV103" i="18"/>
  <c r="DT35" i="42"/>
  <c r="DT36" i="42"/>
  <c r="DT37" i="42"/>
  <c r="DS36" i="42"/>
  <c r="DS37" i="42"/>
  <c r="DS35" i="42"/>
  <c r="DV36" i="42"/>
  <c r="DV35" i="42"/>
  <c r="DV37" i="42"/>
  <c r="DX99" i="18"/>
  <c r="DX103" i="18" s="1"/>
  <c r="DX34" i="42"/>
  <c r="DW316" i="14"/>
  <c r="DW99" i="18"/>
  <c r="DT114" i="18"/>
  <c r="DT111" i="18"/>
  <c r="DT109" i="18"/>
  <c r="DU111" i="18"/>
  <c r="DU109" i="18"/>
  <c r="DU110" i="18"/>
  <c r="DU114" i="18"/>
  <c r="DU112" i="18"/>
  <c r="FO213" i="15"/>
  <c r="FQ212" i="15"/>
  <c r="FQ214" i="15"/>
  <c r="FT209" i="15"/>
  <c r="DX316" i="14"/>
  <c r="DX317" i="14"/>
  <c r="DZ316" i="14"/>
  <c r="DZ317" i="14"/>
  <c r="EA316" i="14"/>
  <c r="EA317" i="14"/>
  <c r="DY316" i="14"/>
  <c r="DY317" i="14"/>
  <c r="EF312" i="14"/>
  <c r="EA315" i="14"/>
  <c r="ED312" i="14"/>
  <c r="DY315" i="14"/>
  <c r="DW313" i="14"/>
  <c r="EE312" i="14"/>
  <c r="DZ315" i="14"/>
  <c r="EC312" i="14"/>
  <c r="EB312" i="14"/>
  <c r="DX315" i="14"/>
  <c r="ER83" i="14"/>
  <c r="EP83" i="14"/>
  <c r="EO83" i="14"/>
  <c r="EN83" i="14"/>
  <c r="EM83" i="14"/>
  <c r="EK83" i="14"/>
  <c r="EJ83" i="14"/>
  <c r="EI83" i="14"/>
  <c r="EH83" i="14"/>
  <c r="EF83" i="14"/>
  <c r="EE83" i="14"/>
  <c r="ED83" i="14"/>
  <c r="EC83" i="14"/>
  <c r="EA83" i="14"/>
  <c r="DZ83" i="14"/>
  <c r="DY83" i="14"/>
  <c r="DX83" i="14"/>
  <c r="DV83" i="14"/>
  <c r="DU83" i="14"/>
  <c r="DT83" i="14"/>
  <c r="DS83" i="14"/>
  <c r="DQ83" i="14"/>
  <c r="DP83" i="14"/>
  <c r="DO83" i="14"/>
  <c r="DN83" i="14"/>
  <c r="DL83" i="14"/>
  <c r="DK83" i="14"/>
  <c r="DJ83" i="14"/>
  <c r="DI83" i="14"/>
  <c r="DE83" i="14"/>
  <c r="DF83" i="14"/>
  <c r="DG83" i="14"/>
  <c r="DD83" i="14"/>
  <c r="DH80" i="14"/>
  <c r="DM80" i="14"/>
  <c r="DM26" i="2" s="1"/>
  <c r="DR80" i="14"/>
  <c r="DR26" i="2" s="1"/>
  <c r="DW80" i="14"/>
  <c r="DW26" i="2" s="1"/>
  <c r="EB80" i="14"/>
  <c r="EB26" i="2" s="1"/>
  <c r="EG80" i="14"/>
  <c r="EG26" i="2" s="1"/>
  <c r="EL80" i="14"/>
  <c r="EL26" i="2" s="1"/>
  <c r="EQ80" i="14"/>
  <c r="ER82" i="14"/>
  <c r="EP82" i="14"/>
  <c r="EO82" i="14"/>
  <c r="EN82" i="14"/>
  <c r="EM82" i="14"/>
  <c r="EK82" i="14"/>
  <c r="EJ82" i="14"/>
  <c r="EI82" i="14"/>
  <c r="EH82" i="14"/>
  <c r="EF82" i="14"/>
  <c r="EE82" i="14"/>
  <c r="ED82" i="14"/>
  <c r="EC82" i="14"/>
  <c r="EA82" i="14"/>
  <c r="DZ82" i="14"/>
  <c r="DY82" i="14"/>
  <c r="DX82" i="14"/>
  <c r="DV82" i="14"/>
  <c r="DU82" i="14"/>
  <c r="DT82" i="14"/>
  <c r="DS82" i="14"/>
  <c r="DQ82" i="14"/>
  <c r="DP82" i="14"/>
  <c r="DO82" i="14"/>
  <c r="DN82" i="14"/>
  <c r="DL82" i="14"/>
  <c r="DK82" i="14"/>
  <c r="DJ82" i="14"/>
  <c r="DI82" i="14"/>
  <c r="DG82" i="14"/>
  <c r="DF82" i="14"/>
  <c r="DE82" i="14"/>
  <c r="ER81" i="14"/>
  <c r="EP81" i="14"/>
  <c r="EO81" i="14"/>
  <c r="EN81" i="14"/>
  <c r="EM81" i="14"/>
  <c r="EK81" i="14"/>
  <c r="EJ81" i="14"/>
  <c r="EI81" i="14"/>
  <c r="EH81" i="14"/>
  <c r="EF81" i="14"/>
  <c r="EE81" i="14"/>
  <c r="ED81" i="14"/>
  <c r="EC81" i="14"/>
  <c r="EA81" i="14"/>
  <c r="DZ81" i="14"/>
  <c r="DY81" i="14"/>
  <c r="DX81" i="14"/>
  <c r="DV81" i="14"/>
  <c r="DU81" i="14"/>
  <c r="DT81" i="14"/>
  <c r="DS81" i="14"/>
  <c r="DQ81" i="14"/>
  <c r="DP81" i="14"/>
  <c r="DO81" i="14"/>
  <c r="DN81" i="14"/>
  <c r="DL81" i="14"/>
  <c r="DK81" i="14"/>
  <c r="DJ81" i="14"/>
  <c r="DI81" i="14"/>
  <c r="DM80" i="15"/>
  <c r="DM27" i="2" s="1"/>
  <c r="DM56" i="2" s="1"/>
  <c r="DR80" i="15"/>
  <c r="DR27" i="2" s="1"/>
  <c r="DR56" i="2" s="1"/>
  <c r="DW80" i="15"/>
  <c r="DW27" i="2" s="1"/>
  <c r="DW56" i="2" s="1"/>
  <c r="EB80" i="15"/>
  <c r="EB27" i="2" s="1"/>
  <c r="EB56" i="2" s="1"/>
  <c r="EG80" i="15"/>
  <c r="EG27" i="2" s="1"/>
  <c r="EG56" i="2" s="1"/>
  <c r="EL80" i="15"/>
  <c r="EL27" i="2" s="1"/>
  <c r="EL56" i="2" s="1"/>
  <c r="EQ80" i="15"/>
  <c r="ER83" i="15"/>
  <c r="EP83" i="15"/>
  <c r="EO83" i="15"/>
  <c r="EN83" i="15"/>
  <c r="EM83" i="15"/>
  <c r="EK83" i="15"/>
  <c r="EJ83" i="15"/>
  <c r="EI83" i="15"/>
  <c r="EH83" i="15"/>
  <c r="EF83" i="15"/>
  <c r="EE83" i="15"/>
  <c r="ED83" i="15"/>
  <c r="EC83" i="15"/>
  <c r="EA83" i="15"/>
  <c r="DZ83" i="15"/>
  <c r="DY83" i="15"/>
  <c r="DX83" i="15"/>
  <c r="DV83" i="15"/>
  <c r="DU83" i="15"/>
  <c r="DT83" i="15"/>
  <c r="DS83" i="15"/>
  <c r="DQ83" i="15"/>
  <c r="DP83" i="15"/>
  <c r="DO83" i="15"/>
  <c r="DN83" i="15"/>
  <c r="DL83" i="15"/>
  <c r="DK83" i="15"/>
  <c r="DJ83" i="15"/>
  <c r="DI83" i="15"/>
  <c r="DH80" i="15"/>
  <c r="DH27" i="2" s="1"/>
  <c r="DH56" i="2" s="1"/>
  <c r="DE83" i="15"/>
  <c r="DF83" i="15"/>
  <c r="DG83" i="15"/>
  <c r="DD83" i="15"/>
  <c r="ER82" i="15"/>
  <c r="EP82" i="15"/>
  <c r="EO82" i="15"/>
  <c r="EN82" i="15"/>
  <c r="EM82" i="15"/>
  <c r="EK82" i="15"/>
  <c r="EJ82" i="15"/>
  <c r="EI82" i="15"/>
  <c r="EH82" i="15"/>
  <c r="EF82" i="15"/>
  <c r="EE82" i="15"/>
  <c r="ED82" i="15"/>
  <c r="EC82" i="15"/>
  <c r="EA82" i="15"/>
  <c r="DZ82" i="15"/>
  <c r="DY82" i="15"/>
  <c r="DX82" i="15"/>
  <c r="DV82" i="15"/>
  <c r="DU82" i="15"/>
  <c r="DT82" i="15"/>
  <c r="DS82" i="15"/>
  <c r="DQ82" i="15"/>
  <c r="DP82" i="15"/>
  <c r="DO82" i="15"/>
  <c r="DN82" i="15"/>
  <c r="DL82" i="15"/>
  <c r="DK82" i="15"/>
  <c r="DJ82" i="15"/>
  <c r="DI82" i="15"/>
  <c r="DG82" i="15"/>
  <c r="DF82" i="15"/>
  <c r="DE82" i="15"/>
  <c r="DD82" i="15"/>
  <c r="ER81" i="15"/>
  <c r="EP81" i="15"/>
  <c r="EO81" i="15"/>
  <c r="EN81" i="15"/>
  <c r="EM81" i="15"/>
  <c r="EK81" i="15"/>
  <c r="EJ81" i="15"/>
  <c r="EI81" i="15"/>
  <c r="EH81" i="15"/>
  <c r="EF81" i="15"/>
  <c r="EE81" i="15"/>
  <c r="ED81" i="15"/>
  <c r="EC81" i="15"/>
  <c r="EA81" i="15"/>
  <c r="DZ81" i="15"/>
  <c r="DY81" i="15"/>
  <c r="DX81" i="15"/>
  <c r="DV81" i="15"/>
  <c r="DU81" i="15"/>
  <c r="DT81" i="15"/>
  <c r="DS81" i="15"/>
  <c r="DQ81" i="15"/>
  <c r="DP81" i="15"/>
  <c r="DO81" i="15"/>
  <c r="DN81" i="15"/>
  <c r="DL81" i="15"/>
  <c r="DK81" i="15"/>
  <c r="DJ81" i="15"/>
  <c r="DI81" i="15"/>
  <c r="DG81" i="15"/>
  <c r="DF81" i="15"/>
  <c r="DE81" i="15"/>
  <c r="DD81" i="15"/>
  <c r="ER83" i="17"/>
  <c r="EP83" i="17"/>
  <c r="EO83" i="17"/>
  <c r="EN83" i="17"/>
  <c r="EM83" i="17"/>
  <c r="EK83" i="17"/>
  <c r="EJ83" i="17"/>
  <c r="EI83" i="17"/>
  <c r="EH83" i="17"/>
  <c r="EF83" i="17"/>
  <c r="EE83" i="17"/>
  <c r="ED83" i="17"/>
  <c r="EC83" i="17"/>
  <c r="EA83" i="17"/>
  <c r="DZ83" i="17"/>
  <c r="DY83" i="17"/>
  <c r="DX83" i="17"/>
  <c r="DV83" i="17"/>
  <c r="DU83" i="17"/>
  <c r="DT83" i="17"/>
  <c r="DS83" i="17"/>
  <c r="DQ83" i="17"/>
  <c r="DP83" i="17"/>
  <c r="DO83" i="17"/>
  <c r="DN83" i="17"/>
  <c r="DL83" i="17"/>
  <c r="DK83" i="17"/>
  <c r="DJ83" i="17"/>
  <c r="DI83" i="17"/>
  <c r="DE83" i="17"/>
  <c r="DF83" i="17"/>
  <c r="DG83" i="17"/>
  <c r="DD83" i="17"/>
  <c r="ER82" i="17"/>
  <c r="EP82" i="17"/>
  <c r="EO82" i="17"/>
  <c r="EN82" i="17"/>
  <c r="EM82" i="17"/>
  <c r="EK82" i="17"/>
  <c r="EJ82" i="17"/>
  <c r="EI82" i="17"/>
  <c r="EH82" i="17"/>
  <c r="EF82" i="17"/>
  <c r="EE82" i="17"/>
  <c r="ED82" i="17"/>
  <c r="EC82" i="17"/>
  <c r="EA82" i="17"/>
  <c r="DZ82" i="17"/>
  <c r="DY82" i="17"/>
  <c r="DX82" i="17"/>
  <c r="DV82" i="17"/>
  <c r="DU82" i="17"/>
  <c r="DT82" i="17"/>
  <c r="DS82" i="17"/>
  <c r="DQ82" i="17"/>
  <c r="DP82" i="17"/>
  <c r="DO82" i="17"/>
  <c r="DN82" i="17"/>
  <c r="DL82" i="17"/>
  <c r="DK82" i="17"/>
  <c r="DJ82" i="17"/>
  <c r="DI82" i="17"/>
  <c r="DG82" i="17"/>
  <c r="DF82" i="17"/>
  <c r="DE82" i="17"/>
  <c r="DD82" i="17"/>
  <c r="ER81" i="17"/>
  <c r="EP81" i="17"/>
  <c r="EO81" i="17"/>
  <c r="EN81" i="17"/>
  <c r="EM81" i="17"/>
  <c r="EK81" i="17"/>
  <c r="EJ81" i="17"/>
  <c r="EI81" i="17"/>
  <c r="EH81" i="17"/>
  <c r="EF81" i="17"/>
  <c r="EE81" i="17"/>
  <c r="ED81" i="17"/>
  <c r="EC81" i="17"/>
  <c r="EA81" i="17"/>
  <c r="DZ81" i="17"/>
  <c r="DY81" i="17"/>
  <c r="DX81" i="17"/>
  <c r="DV81" i="17"/>
  <c r="DU81" i="17"/>
  <c r="DT81" i="17"/>
  <c r="DS81" i="17"/>
  <c r="DQ81" i="17"/>
  <c r="DP81" i="17"/>
  <c r="DO81" i="17"/>
  <c r="DN81" i="17"/>
  <c r="DL81" i="17"/>
  <c r="DK81" i="17"/>
  <c r="DJ81" i="17"/>
  <c r="DI81" i="17"/>
  <c r="DG81" i="17"/>
  <c r="DF81" i="17"/>
  <c r="DE81" i="17"/>
  <c r="DD81" i="17"/>
  <c r="EQ28" i="2"/>
  <c r="EQ63" i="2" s="1"/>
  <c r="EV64" i="2" s="1"/>
  <c r="EL80" i="17"/>
  <c r="EG80" i="17"/>
  <c r="EG28" i="2" s="1"/>
  <c r="EG63" i="2" s="1"/>
  <c r="EB80" i="17"/>
  <c r="EB28" i="2" s="1"/>
  <c r="EB63" i="2" s="1"/>
  <c r="DW80" i="17"/>
  <c r="DW28" i="2" s="1"/>
  <c r="DW63" i="2" s="1"/>
  <c r="DR80" i="17"/>
  <c r="DR28" i="2" s="1"/>
  <c r="DR63" i="2" s="1"/>
  <c r="DM80" i="17"/>
  <c r="DM28" i="2" s="1"/>
  <c r="DM63" i="2" s="1"/>
  <c r="DH80" i="17"/>
  <c r="DH28" i="2" s="1"/>
  <c r="DH63" i="2" s="1"/>
  <c r="DD87" i="14"/>
  <c r="DF89" i="14"/>
  <c r="DH85" i="14"/>
  <c r="DM85" i="14"/>
  <c r="DM89" i="14"/>
  <c r="DC89" i="14"/>
  <c r="DC90" i="14" s="1"/>
  <c r="DC85" i="14"/>
  <c r="DC86" i="14" s="1"/>
  <c r="EQ50" i="14"/>
  <c r="EL50" i="14"/>
  <c r="EG50" i="14"/>
  <c r="EB50" i="14"/>
  <c r="DW50" i="14"/>
  <c r="DR50" i="14"/>
  <c r="DM50" i="14"/>
  <c r="DH50" i="14"/>
  <c r="DH115" i="14" s="1"/>
  <c r="DC50" i="14"/>
  <c r="DC115" i="14" s="1"/>
  <c r="EQ72" i="15"/>
  <c r="EQ50" i="15"/>
  <c r="EL72" i="15"/>
  <c r="EL50" i="15"/>
  <c r="EL184" i="15" s="1"/>
  <c r="EG72" i="15"/>
  <c r="EG50" i="15"/>
  <c r="EG184" i="15" s="1"/>
  <c r="EB72" i="15"/>
  <c r="EB50" i="15"/>
  <c r="EB184" i="15" s="1"/>
  <c r="DW72" i="15"/>
  <c r="DW50" i="15"/>
  <c r="DW184" i="15" s="1"/>
  <c r="DR72" i="15"/>
  <c r="DR50" i="15"/>
  <c r="DR105" i="15" s="1"/>
  <c r="DM72" i="15"/>
  <c r="DM50" i="15"/>
  <c r="DM105" i="15" s="1"/>
  <c r="DH72" i="15"/>
  <c r="DH50" i="15"/>
  <c r="DH105" i="15" s="1"/>
  <c r="DC72" i="15"/>
  <c r="DC50" i="15"/>
  <c r="EQ50" i="17"/>
  <c r="EL72" i="17"/>
  <c r="EL50" i="17"/>
  <c r="EG72" i="17"/>
  <c r="EG50" i="17"/>
  <c r="EB72" i="17"/>
  <c r="EB50" i="17"/>
  <c r="DW72" i="17"/>
  <c r="DW50" i="17"/>
  <c r="DR72" i="17"/>
  <c r="DR50" i="17"/>
  <c r="DM72" i="17"/>
  <c r="DM50" i="17"/>
  <c r="DH72" i="17"/>
  <c r="DH50" i="17"/>
  <c r="DH64" i="42" s="1"/>
  <c r="DC72" i="17"/>
  <c r="DC50" i="17"/>
  <c r="DC64" i="42" s="1"/>
  <c r="ER75" i="17"/>
  <c r="EP75" i="17"/>
  <c r="EO75" i="17"/>
  <c r="EN75" i="17"/>
  <c r="EM75" i="17"/>
  <c r="EK75" i="17"/>
  <c r="EJ75" i="17"/>
  <c r="EI75" i="17"/>
  <c r="EH75" i="17"/>
  <c r="EF75" i="17"/>
  <c r="EE75" i="17"/>
  <c r="ED75" i="17"/>
  <c r="EC75" i="17"/>
  <c r="EA75" i="17"/>
  <c r="DZ75" i="17"/>
  <c r="DY75" i="17"/>
  <c r="DX75" i="17"/>
  <c r="DV75" i="17"/>
  <c r="DU75" i="17"/>
  <c r="DT75" i="17"/>
  <c r="DS75" i="17"/>
  <c r="DQ75" i="17"/>
  <c r="DP75" i="17"/>
  <c r="DO75" i="17"/>
  <c r="DN75" i="17"/>
  <c r="DL75" i="17"/>
  <c r="DK75" i="17"/>
  <c r="DI75" i="17"/>
  <c r="DG75" i="17"/>
  <c r="DF75" i="17"/>
  <c r="DE75" i="17"/>
  <c r="DD75" i="17"/>
  <c r="DB75" i="17"/>
  <c r="DA75" i="17"/>
  <c r="CZ75" i="17"/>
  <c r="CY75" i="17"/>
  <c r="ER73" i="17"/>
  <c r="EP73" i="17"/>
  <c r="EK73" i="17"/>
  <c r="EJ73" i="17"/>
  <c r="EI73" i="17"/>
  <c r="EH73" i="17"/>
  <c r="EF73" i="17"/>
  <c r="EE73" i="17"/>
  <c r="ED73" i="17"/>
  <c r="EC73" i="17"/>
  <c r="EA73" i="17"/>
  <c r="DZ73" i="17"/>
  <c r="DY73" i="17"/>
  <c r="DX73" i="17"/>
  <c r="DV73" i="17"/>
  <c r="DU73" i="17"/>
  <c r="DT73" i="17"/>
  <c r="DS73" i="17"/>
  <c r="DQ73" i="17"/>
  <c r="DP73" i="17"/>
  <c r="DO73" i="17"/>
  <c r="DN73" i="17"/>
  <c r="DG73" i="17"/>
  <c r="DF73" i="17"/>
  <c r="DE73" i="17"/>
  <c r="DD73" i="17"/>
  <c r="DB73" i="17"/>
  <c r="DA73" i="17"/>
  <c r="CZ73" i="17"/>
  <c r="CY73" i="17"/>
  <c r="EP53" i="17"/>
  <c r="EO53" i="17"/>
  <c r="EN53" i="17"/>
  <c r="EM53" i="17"/>
  <c r="EK53" i="17"/>
  <c r="EJ53" i="17"/>
  <c r="EI53" i="17"/>
  <c r="EH53" i="17"/>
  <c r="EF53" i="17"/>
  <c r="EE53" i="17"/>
  <c r="ED53" i="17"/>
  <c r="EC53" i="17"/>
  <c r="EA53" i="17"/>
  <c r="DZ53" i="17"/>
  <c r="DY53" i="17"/>
  <c r="DX53" i="17"/>
  <c r="DV53" i="17"/>
  <c r="DU53" i="17"/>
  <c r="DT53" i="17"/>
  <c r="DS53" i="17"/>
  <c r="DQ53" i="17"/>
  <c r="DP53" i="17"/>
  <c r="DO53" i="17"/>
  <c r="DN53" i="17"/>
  <c r="DL53" i="17"/>
  <c r="DK53" i="17"/>
  <c r="DJ53" i="17"/>
  <c r="DI53" i="17"/>
  <c r="DG53" i="17"/>
  <c r="DF53" i="17"/>
  <c r="DE53" i="17"/>
  <c r="DD53" i="17"/>
  <c r="DB53" i="17"/>
  <c r="DA53" i="17"/>
  <c r="CZ53" i="17"/>
  <c r="CY53" i="17"/>
  <c r="ER51" i="17"/>
  <c r="ER51" i="29" s="1"/>
  <c r="ER52" i="29" s="1"/>
  <c r="EP51" i="17"/>
  <c r="EP51" i="29" s="1"/>
  <c r="EP52" i="29" s="1"/>
  <c r="EO51" i="17"/>
  <c r="EO51" i="29" s="1"/>
  <c r="EO52" i="29" s="1"/>
  <c r="EN51" i="29"/>
  <c r="EN52" i="29" s="1"/>
  <c r="EM51" i="17"/>
  <c r="EM51" i="29" s="1"/>
  <c r="EM52" i="29" s="1"/>
  <c r="EK51" i="17"/>
  <c r="EK51" i="29" s="1"/>
  <c r="EK52" i="29" s="1"/>
  <c r="EJ51" i="17"/>
  <c r="EJ51" i="29" s="1"/>
  <c r="EJ52" i="29" s="1"/>
  <c r="EI51" i="17"/>
  <c r="EI51" i="29" s="1"/>
  <c r="EI52" i="29" s="1"/>
  <c r="EH51" i="17"/>
  <c r="EH51" i="29" s="1"/>
  <c r="EH52" i="29" s="1"/>
  <c r="EF51" i="17"/>
  <c r="EF51" i="29" s="1"/>
  <c r="EF52" i="29" s="1"/>
  <c r="EE51" i="17"/>
  <c r="EE51" i="29" s="1"/>
  <c r="EE52" i="29" s="1"/>
  <c r="ED51" i="17"/>
  <c r="ED51" i="29" s="1"/>
  <c r="ED52" i="29" s="1"/>
  <c r="EC51" i="17"/>
  <c r="EC51" i="29" s="1"/>
  <c r="EC52" i="29" s="1"/>
  <c r="EA51" i="17"/>
  <c r="EA51" i="29" s="1"/>
  <c r="EA52" i="29" s="1"/>
  <c r="DZ51" i="17"/>
  <c r="DZ51" i="29" s="1"/>
  <c r="DZ52" i="29" s="1"/>
  <c r="DY51" i="17"/>
  <c r="DY51" i="29" s="1"/>
  <c r="DY52" i="29" s="1"/>
  <c r="DX51" i="17"/>
  <c r="DX51" i="29" s="1"/>
  <c r="DX52" i="29" s="1"/>
  <c r="DV51" i="17"/>
  <c r="DV51" i="29" s="1"/>
  <c r="DU51" i="17"/>
  <c r="DU51" i="29" s="1"/>
  <c r="DT51" i="17"/>
  <c r="DT51" i="29" s="1"/>
  <c r="DS51" i="17"/>
  <c r="DS51" i="29" s="1"/>
  <c r="DQ51" i="17"/>
  <c r="DQ51" i="29" s="1"/>
  <c r="DP51" i="17"/>
  <c r="DP51" i="29" s="1"/>
  <c r="DO51" i="17"/>
  <c r="DO51" i="29" s="1"/>
  <c r="DN51" i="17"/>
  <c r="DN51" i="29" s="1"/>
  <c r="DG51" i="17"/>
  <c r="DG51" i="29" s="1"/>
  <c r="DF51" i="17"/>
  <c r="DF51" i="29" s="1"/>
  <c r="DE51" i="17"/>
  <c r="DE51" i="29" s="1"/>
  <c r="DD51" i="17"/>
  <c r="DD51" i="29" s="1"/>
  <c r="DB51" i="17"/>
  <c r="DA51" i="17"/>
  <c r="CZ51" i="17"/>
  <c r="CY51" i="17"/>
  <c r="EP53" i="15"/>
  <c r="EO53" i="15"/>
  <c r="EN53" i="15"/>
  <c r="EM53" i="15"/>
  <c r="EK53" i="15"/>
  <c r="EJ53" i="15"/>
  <c r="EI53" i="15"/>
  <c r="EH53" i="15"/>
  <c r="EF53" i="15"/>
  <c r="EE53" i="15"/>
  <c r="ED53" i="15"/>
  <c r="EC53" i="15"/>
  <c r="EA53" i="15"/>
  <c r="DZ53" i="15"/>
  <c r="DY53" i="15"/>
  <c r="DX53" i="15"/>
  <c r="DV53" i="15"/>
  <c r="DU53" i="15"/>
  <c r="DT53" i="15"/>
  <c r="DS53" i="15"/>
  <c r="DQ53" i="15"/>
  <c r="DP53" i="15"/>
  <c r="DO53" i="15"/>
  <c r="DN53" i="15"/>
  <c r="DL53" i="15"/>
  <c r="DK53" i="15"/>
  <c r="DJ53" i="15"/>
  <c r="DI53" i="15"/>
  <c r="DG53" i="15"/>
  <c r="DF53" i="15"/>
  <c r="DE53" i="15"/>
  <c r="DD53" i="15"/>
  <c r="DB53" i="15"/>
  <c r="DA53" i="15"/>
  <c r="CZ53" i="15"/>
  <c r="CY53" i="15"/>
  <c r="ER51" i="15"/>
  <c r="ER37" i="29" s="1"/>
  <c r="ER38" i="29" s="1"/>
  <c r="EP51" i="15"/>
  <c r="EP37" i="29" s="1"/>
  <c r="EP38" i="29" s="1"/>
  <c r="EO51" i="15"/>
  <c r="EO37" i="29" s="1"/>
  <c r="EO38" i="29" s="1"/>
  <c r="EN51" i="15"/>
  <c r="EN37" i="29" s="1"/>
  <c r="EN38" i="29" s="1"/>
  <c r="EM51" i="15"/>
  <c r="EM37" i="29" s="1"/>
  <c r="EM38" i="29" s="1"/>
  <c r="EK51" i="15"/>
  <c r="EK37" i="29" s="1"/>
  <c r="EK38" i="29" s="1"/>
  <c r="EJ51" i="15"/>
  <c r="EJ37" i="29" s="1"/>
  <c r="EJ38" i="29" s="1"/>
  <c r="EI51" i="15"/>
  <c r="EI37" i="29" s="1"/>
  <c r="EI38" i="29" s="1"/>
  <c r="EH51" i="15"/>
  <c r="EH37" i="29" s="1"/>
  <c r="EH38" i="29" s="1"/>
  <c r="EF51" i="15"/>
  <c r="EF37" i="29" s="1"/>
  <c r="EF38" i="29" s="1"/>
  <c r="EE51" i="15"/>
  <c r="EE37" i="29" s="1"/>
  <c r="EE38" i="29" s="1"/>
  <c r="ED51" i="15"/>
  <c r="ED37" i="29" s="1"/>
  <c r="ED38" i="29" s="1"/>
  <c r="EC51" i="15"/>
  <c r="EC37" i="29" s="1"/>
  <c r="EC38" i="29" s="1"/>
  <c r="EA51" i="15"/>
  <c r="EA37" i="29" s="1"/>
  <c r="EA38" i="29" s="1"/>
  <c r="DZ51" i="15"/>
  <c r="DZ37" i="29" s="1"/>
  <c r="DZ38" i="29" s="1"/>
  <c r="DY51" i="15"/>
  <c r="DY37" i="29" s="1"/>
  <c r="DY38" i="29" s="1"/>
  <c r="DX51" i="15"/>
  <c r="DX37" i="29" s="1"/>
  <c r="DX38" i="29" s="1"/>
  <c r="DV51" i="15"/>
  <c r="DV37" i="29" s="1"/>
  <c r="DU51" i="15"/>
  <c r="DU37" i="29" s="1"/>
  <c r="DT51" i="15"/>
  <c r="DT37" i="29" s="1"/>
  <c r="DS51" i="15"/>
  <c r="DS37" i="29" s="1"/>
  <c r="DQ51" i="15"/>
  <c r="DQ37" i="29" s="1"/>
  <c r="DP51" i="15"/>
  <c r="DP37" i="29" s="1"/>
  <c r="DO51" i="15"/>
  <c r="DO37" i="29" s="1"/>
  <c r="DN51" i="15"/>
  <c r="DN37" i="29" s="1"/>
  <c r="DG51" i="15"/>
  <c r="DG37" i="29" s="1"/>
  <c r="DF51" i="15"/>
  <c r="DE51" i="15"/>
  <c r="DD51" i="15"/>
  <c r="DB51" i="15"/>
  <c r="DA51" i="15"/>
  <c r="CZ51" i="15"/>
  <c r="CY51" i="15"/>
  <c r="ER75" i="15"/>
  <c r="EP75" i="15"/>
  <c r="EO75" i="15"/>
  <c r="EN75" i="15"/>
  <c r="EM75" i="15"/>
  <c r="EK75" i="15"/>
  <c r="EJ75" i="15"/>
  <c r="EI75" i="15"/>
  <c r="EH75" i="15"/>
  <c r="EF75" i="15"/>
  <c r="EE75" i="15"/>
  <c r="ED75" i="15"/>
  <c r="EC75" i="15"/>
  <c r="EA75" i="15"/>
  <c r="DZ75" i="15"/>
  <c r="DY75" i="15"/>
  <c r="DX75" i="15"/>
  <c r="DV75" i="15"/>
  <c r="DU75" i="15"/>
  <c r="DT75" i="15"/>
  <c r="DS75" i="15"/>
  <c r="DQ75" i="15"/>
  <c r="DP75" i="15"/>
  <c r="DO75" i="15"/>
  <c r="DN75" i="15"/>
  <c r="DL75" i="15"/>
  <c r="DK75" i="15"/>
  <c r="DJ75" i="15"/>
  <c r="DI75" i="15"/>
  <c r="DG75" i="15"/>
  <c r="DF75" i="15"/>
  <c r="DE75" i="15"/>
  <c r="DD75" i="15"/>
  <c r="DB75" i="15"/>
  <c r="DA75" i="15"/>
  <c r="CZ75" i="15"/>
  <c r="CY75" i="15"/>
  <c r="EP73" i="15"/>
  <c r="EK73" i="15"/>
  <c r="EJ73" i="15"/>
  <c r="EI73" i="15"/>
  <c r="EH73" i="15"/>
  <c r="EF73" i="15"/>
  <c r="EE73" i="15"/>
  <c r="ED73" i="15"/>
  <c r="EC73" i="15"/>
  <c r="EA73" i="15"/>
  <c r="DZ73" i="15"/>
  <c r="DY73" i="15"/>
  <c r="DX73" i="15"/>
  <c r="DV73" i="15"/>
  <c r="DU73" i="15"/>
  <c r="DT73" i="15"/>
  <c r="DS73" i="15"/>
  <c r="DQ73" i="15"/>
  <c r="DP73" i="15"/>
  <c r="DO73" i="15"/>
  <c r="DN73" i="15"/>
  <c r="DB73" i="15"/>
  <c r="DA73" i="15"/>
  <c r="CZ73" i="15"/>
  <c r="CY73" i="15"/>
  <c r="EP53" i="14"/>
  <c r="EO53" i="14"/>
  <c r="EN53" i="14"/>
  <c r="EM53" i="14"/>
  <c r="EP51" i="14"/>
  <c r="EP23" i="29" s="1"/>
  <c r="EP24" i="29" s="1"/>
  <c r="EO51" i="14"/>
  <c r="EO23" i="29" s="1"/>
  <c r="EO24" i="29" s="1"/>
  <c r="EN51" i="14"/>
  <c r="EN23" i="29" s="1"/>
  <c r="EN24" i="29" s="1"/>
  <c r="EM51" i="14"/>
  <c r="EM23" i="29" s="1"/>
  <c r="EM24" i="29" s="1"/>
  <c r="EK53" i="14"/>
  <c r="EJ53" i="14"/>
  <c r="EI53" i="14"/>
  <c r="EH53" i="14"/>
  <c r="EK51" i="14"/>
  <c r="EK23" i="29" s="1"/>
  <c r="EK24" i="29" s="1"/>
  <c r="EJ51" i="14"/>
  <c r="EJ23" i="29" s="1"/>
  <c r="EJ24" i="29" s="1"/>
  <c r="EI51" i="14"/>
  <c r="EI23" i="29" s="1"/>
  <c r="EI24" i="29" s="1"/>
  <c r="EH51" i="14"/>
  <c r="EH23" i="29" s="1"/>
  <c r="EH24" i="29" s="1"/>
  <c r="EF53" i="14"/>
  <c r="EE53" i="14"/>
  <c r="ED53" i="14"/>
  <c r="EC53" i="14"/>
  <c r="EF51" i="14"/>
  <c r="EF23" i="29" s="1"/>
  <c r="EF24" i="29" s="1"/>
  <c r="EE51" i="14"/>
  <c r="EE23" i="29" s="1"/>
  <c r="EE24" i="29" s="1"/>
  <c r="ED51" i="14"/>
  <c r="ED23" i="29" s="1"/>
  <c r="ED24" i="29" s="1"/>
  <c r="EC51" i="14"/>
  <c r="EC23" i="29" s="1"/>
  <c r="EC24" i="29" s="1"/>
  <c r="EA53" i="14"/>
  <c r="DZ53" i="14"/>
  <c r="DY53" i="14"/>
  <c r="DX53" i="14"/>
  <c r="EA51" i="14"/>
  <c r="EA23" i="29" s="1"/>
  <c r="EA24" i="29" s="1"/>
  <c r="DZ51" i="14"/>
  <c r="DZ23" i="29" s="1"/>
  <c r="DZ24" i="29" s="1"/>
  <c r="DY51" i="14"/>
  <c r="DY23" i="29" s="1"/>
  <c r="DY24" i="29" s="1"/>
  <c r="DX51" i="14"/>
  <c r="DX23" i="29" s="1"/>
  <c r="DX24" i="29" s="1"/>
  <c r="DV53" i="14"/>
  <c r="DU53" i="14"/>
  <c r="DT53" i="14"/>
  <c r="DS53" i="14"/>
  <c r="DV51" i="14"/>
  <c r="DV23" i="29" s="1"/>
  <c r="DU51" i="14"/>
  <c r="DU23" i="29" s="1"/>
  <c r="DT51" i="14"/>
  <c r="DT23" i="29" s="1"/>
  <c r="DS51" i="14"/>
  <c r="DS23" i="29" s="1"/>
  <c r="DQ53" i="14"/>
  <c r="DP53" i="14"/>
  <c r="DO53" i="14"/>
  <c r="DN53" i="14"/>
  <c r="DQ51" i="14"/>
  <c r="DQ23" i="29" s="1"/>
  <c r="DP51" i="14"/>
  <c r="DP23" i="29" s="1"/>
  <c r="DO51" i="14"/>
  <c r="DO23" i="29" s="1"/>
  <c r="DN51" i="14"/>
  <c r="DN23" i="29" s="1"/>
  <c r="DL53" i="14"/>
  <c r="DK53" i="14"/>
  <c r="DJ53" i="14"/>
  <c r="DI53" i="14"/>
  <c r="DG53" i="14"/>
  <c r="DF53" i="14"/>
  <c r="DE53" i="14"/>
  <c r="DD53" i="14"/>
  <c r="DG51" i="14"/>
  <c r="DG23" i="29" s="1"/>
  <c r="DF51" i="14"/>
  <c r="DF23" i="29" s="1"/>
  <c r="DE51" i="14"/>
  <c r="DE23" i="29" s="1"/>
  <c r="DD51" i="14"/>
  <c r="DD23" i="29" s="1"/>
  <c r="DB53" i="14"/>
  <c r="DA53" i="14"/>
  <c r="CZ53" i="14"/>
  <c r="FJ34" i="30" l="1"/>
  <c r="FJ126" i="15"/>
  <c r="GJ109" i="18"/>
  <c r="GJ111" i="18"/>
  <c r="EZ45" i="42"/>
  <c r="EZ62" i="42"/>
  <c r="EZ57" i="42"/>
  <c r="EZ52" i="42"/>
  <c r="FE136" i="15"/>
  <c r="FE133" i="15"/>
  <c r="FE129" i="15"/>
  <c r="FE143" i="15"/>
  <c r="FJ10" i="15"/>
  <c r="FJ13" i="2" s="1"/>
  <c r="FJ114" i="15"/>
  <c r="FE127" i="15"/>
  <c r="FE128" i="15"/>
  <c r="FE138" i="15"/>
  <c r="FE14" i="15"/>
  <c r="FO50" i="42"/>
  <c r="FJ91" i="15"/>
  <c r="FJ215" i="15"/>
  <c r="FO90" i="15"/>
  <c r="FO94" i="15" s="1"/>
  <c r="FT108" i="15"/>
  <c r="FT111" i="15" s="1"/>
  <c r="FJ51" i="42"/>
  <c r="FO30" i="30"/>
  <c r="FO34" i="30" s="1"/>
  <c r="FO113" i="15"/>
  <c r="FO111" i="15"/>
  <c r="FO112" i="15"/>
  <c r="FO50" i="18"/>
  <c r="FO51" i="18" s="1"/>
  <c r="FE96" i="15"/>
  <c r="FJ51" i="18"/>
  <c r="FJ54" i="18"/>
  <c r="FE115" i="15"/>
  <c r="FJ53" i="18"/>
  <c r="FE11" i="15"/>
  <c r="FE44" i="42"/>
  <c r="FE62" i="42" s="1"/>
  <c r="FE230" i="15"/>
  <c r="FE23" i="15"/>
  <c r="FE56" i="3" s="1"/>
  <c r="EQ184" i="15"/>
  <c r="EQ232" i="15"/>
  <c r="EQ233" i="15" s="1"/>
  <c r="FO51" i="42"/>
  <c r="EB105" i="15"/>
  <c r="DW105" i="15"/>
  <c r="EL105" i="15"/>
  <c r="DM115" i="14"/>
  <c r="EQ105" i="15"/>
  <c r="EG105" i="15"/>
  <c r="DS114" i="18"/>
  <c r="DS110" i="18"/>
  <c r="DT112" i="18"/>
  <c r="DS111" i="18"/>
  <c r="DS109" i="18"/>
  <c r="EQ26" i="2"/>
  <c r="EQ49" i="2" s="1"/>
  <c r="EV50" i="2" s="1"/>
  <c r="EV81" i="14"/>
  <c r="DM64" i="42"/>
  <c r="EB64" i="42"/>
  <c r="DR64" i="42"/>
  <c r="EG64" i="42"/>
  <c r="DW64" i="42"/>
  <c r="EL64" i="42"/>
  <c r="EQ64" i="42"/>
  <c r="EQ77" i="17"/>
  <c r="EV54" i="17"/>
  <c r="EQ73" i="17"/>
  <c r="EQ76" i="17"/>
  <c r="EL28" i="2"/>
  <c r="EL63" i="2" s="1"/>
  <c r="EQ64" i="2" s="1"/>
  <c r="EQ81" i="17"/>
  <c r="EV76" i="15"/>
  <c r="EV73" i="15"/>
  <c r="EQ27" i="2"/>
  <c r="EQ56" i="2" s="1"/>
  <c r="EQ83" i="17"/>
  <c r="EV81" i="15"/>
  <c r="DM44" i="42"/>
  <c r="DM62" i="42" s="1"/>
  <c r="EB44" i="42"/>
  <c r="EQ44" i="42"/>
  <c r="DC44" i="42"/>
  <c r="DR44" i="42"/>
  <c r="DH44" i="42"/>
  <c r="DW44" i="42"/>
  <c r="DW57" i="42" s="1"/>
  <c r="EL44" i="42"/>
  <c r="DY103" i="18"/>
  <c r="DY100" i="18"/>
  <c r="EQ77" i="15"/>
  <c r="EV78" i="15" s="1"/>
  <c r="EL77" i="15"/>
  <c r="DC77" i="15"/>
  <c r="DR77" i="15"/>
  <c r="EG77" i="15"/>
  <c r="DH77" i="15"/>
  <c r="DW77" i="15"/>
  <c r="DM77" i="15"/>
  <c r="EB77" i="15"/>
  <c r="FT54" i="42"/>
  <c r="FT55" i="42" s="1"/>
  <c r="DD37" i="29"/>
  <c r="DD178" i="15"/>
  <c r="DE37" i="29"/>
  <c r="DE178" i="15"/>
  <c r="CZ177" i="15" s="1"/>
  <c r="DF37" i="29"/>
  <c r="DF178" i="15"/>
  <c r="DT110" i="18"/>
  <c r="EB19" i="42"/>
  <c r="EB115" i="14"/>
  <c r="EG19" i="42"/>
  <c r="EG115" i="14"/>
  <c r="EL19" i="42"/>
  <c r="EL115" i="14"/>
  <c r="EQ19" i="42"/>
  <c r="EQ115" i="14"/>
  <c r="DR19" i="42"/>
  <c r="DR37" i="42" s="1"/>
  <c r="DR115" i="14"/>
  <c r="DW19" i="42"/>
  <c r="DW115" i="14"/>
  <c r="DZ102" i="18"/>
  <c r="FO55" i="42"/>
  <c r="EG44" i="42"/>
  <c r="EG57" i="42" s="1"/>
  <c r="FQ56" i="42"/>
  <c r="DV114" i="18"/>
  <c r="DW108" i="18"/>
  <c r="DW111" i="18" s="1"/>
  <c r="DV110" i="18"/>
  <c r="DV112" i="18"/>
  <c r="DZ108" i="18"/>
  <c r="EA110" i="18" s="1"/>
  <c r="DV109" i="18"/>
  <c r="DZ103" i="18"/>
  <c r="EA102" i="18"/>
  <c r="DX100" i="18"/>
  <c r="EA103" i="18"/>
  <c r="DX108" i="18"/>
  <c r="DX112" i="18" s="1"/>
  <c r="DX35" i="42"/>
  <c r="DX37" i="42"/>
  <c r="DX36" i="42"/>
  <c r="EB99" i="18"/>
  <c r="EB100" i="18" s="1"/>
  <c r="EB34" i="42"/>
  <c r="EC99" i="18"/>
  <c r="EC102" i="18" s="1"/>
  <c r="EC34" i="42"/>
  <c r="EA100" i="18"/>
  <c r="DC19" i="42"/>
  <c r="ED99" i="18"/>
  <c r="ED108" i="18" s="1"/>
  <c r="ED34" i="42"/>
  <c r="DY102" i="18"/>
  <c r="DZ35" i="42"/>
  <c r="DZ36" i="42"/>
  <c r="DZ37" i="42"/>
  <c r="EF99" i="18"/>
  <c r="EH102" i="18" s="1"/>
  <c r="EF34" i="42"/>
  <c r="EA35" i="42"/>
  <c r="EA37" i="42"/>
  <c r="EA36" i="42"/>
  <c r="DH19" i="42"/>
  <c r="DX102" i="18"/>
  <c r="DY35" i="42"/>
  <c r="DY36" i="42"/>
  <c r="DY37" i="42"/>
  <c r="DM19" i="42"/>
  <c r="EE99" i="18"/>
  <c r="EJ100" i="18" s="1"/>
  <c r="EE34" i="42"/>
  <c r="DC77" i="42"/>
  <c r="DH77" i="42"/>
  <c r="DH65" i="42"/>
  <c r="EQ76" i="15"/>
  <c r="DM64" i="2"/>
  <c r="DC63" i="17"/>
  <c r="DC64" i="3" s="1"/>
  <c r="DC14" i="2"/>
  <c r="DC45" i="29"/>
  <c r="DR45" i="29"/>
  <c r="DR14" i="2"/>
  <c r="DM23" i="2" s="1"/>
  <c r="DM67" i="2" s="1"/>
  <c r="EG14" i="2"/>
  <c r="EB23" i="2" s="1"/>
  <c r="EB67" i="2" s="1"/>
  <c r="EG45" i="29"/>
  <c r="DR64" i="2"/>
  <c r="DW64" i="2"/>
  <c r="DH63" i="17"/>
  <c r="DH14" i="2"/>
  <c r="DC23" i="2" s="1"/>
  <c r="DH45" i="29"/>
  <c r="DW14" i="2"/>
  <c r="DR23" i="2" s="1"/>
  <c r="DR67" i="2" s="1"/>
  <c r="DW45" i="29"/>
  <c r="EL14" i="2"/>
  <c r="EG23" i="2" s="1"/>
  <c r="EG67" i="2" s="1"/>
  <c r="EL45" i="29"/>
  <c r="EB64" i="2"/>
  <c r="EG64" i="2"/>
  <c r="DM14" i="2"/>
  <c r="DH23" i="2" s="1"/>
  <c r="DH67" i="2" s="1"/>
  <c r="DM45" i="29"/>
  <c r="EB14" i="2"/>
  <c r="DW23" i="2" s="1"/>
  <c r="DW67" i="2" s="1"/>
  <c r="EB45" i="29"/>
  <c r="EQ14" i="2"/>
  <c r="EL23" i="2" s="1"/>
  <c r="EQ45" i="29"/>
  <c r="DC63" i="15"/>
  <c r="DC13" i="2"/>
  <c r="DC31" i="29"/>
  <c r="DR13" i="2"/>
  <c r="DM22" i="2" s="1"/>
  <c r="DR31" i="29"/>
  <c r="EG63" i="15"/>
  <c r="EG13" i="2"/>
  <c r="EB22" i="2" s="1"/>
  <c r="EG31" i="29"/>
  <c r="DH63" i="15"/>
  <c r="DH13" i="2"/>
  <c r="DC22" i="2" s="1"/>
  <c r="DH31" i="29"/>
  <c r="DW63" i="15"/>
  <c r="DW13" i="2"/>
  <c r="DR22" i="2" s="1"/>
  <c r="DW31" i="29"/>
  <c r="EL63" i="15"/>
  <c r="EL13" i="2"/>
  <c r="EG22" i="2" s="1"/>
  <c r="EL31" i="29"/>
  <c r="DM63" i="15"/>
  <c r="DM13" i="2"/>
  <c r="DH22" i="2" s="1"/>
  <c r="DM31" i="29"/>
  <c r="EB63" i="15"/>
  <c r="EB31" i="29"/>
  <c r="EB13" i="2"/>
  <c r="DW22" i="2" s="1"/>
  <c r="EV54" i="15"/>
  <c r="EQ13" i="2"/>
  <c r="EQ31" i="29"/>
  <c r="DH86" i="14"/>
  <c r="DF90" i="14"/>
  <c r="DG91" i="14"/>
  <c r="DF91" i="14"/>
  <c r="DK90" i="14"/>
  <c r="EL49" i="2"/>
  <c r="EQ12" i="2"/>
  <c r="EQ17" i="29"/>
  <c r="EG49" i="2"/>
  <c r="EG29" i="2"/>
  <c r="DR77" i="14"/>
  <c r="DR17" i="29"/>
  <c r="DR12" i="2"/>
  <c r="EB29" i="2"/>
  <c r="EB49" i="2"/>
  <c r="EL77" i="14"/>
  <c r="EL12" i="2"/>
  <c r="EL17" i="29"/>
  <c r="DW49" i="2"/>
  <c r="DW29" i="2"/>
  <c r="DM77" i="14"/>
  <c r="DM12" i="2"/>
  <c r="DM17" i="29"/>
  <c r="DW77" i="14"/>
  <c r="DW17" i="29"/>
  <c r="DW12" i="2"/>
  <c r="EB77" i="14"/>
  <c r="EB17" i="29"/>
  <c r="EB12" i="2"/>
  <c r="DR49" i="2"/>
  <c r="DR29" i="2"/>
  <c r="DH77" i="14"/>
  <c r="DH12" i="2"/>
  <c r="DH17" i="29"/>
  <c r="DH81" i="14"/>
  <c r="DH26" i="2"/>
  <c r="DC77" i="14"/>
  <c r="DC51" i="14"/>
  <c r="DC17" i="29"/>
  <c r="DC12" i="2"/>
  <c r="EG77" i="14"/>
  <c r="EG12" i="2"/>
  <c r="EG17" i="29"/>
  <c r="DM86" i="14"/>
  <c r="DM29" i="2"/>
  <c r="DM49" i="2"/>
  <c r="DW63" i="17"/>
  <c r="EL63" i="17"/>
  <c r="DM63" i="17"/>
  <c r="EB63" i="17"/>
  <c r="DM77" i="17"/>
  <c r="EB77" i="17"/>
  <c r="DR63" i="17"/>
  <c r="EG63" i="17"/>
  <c r="EA114" i="18"/>
  <c r="EA111" i="18"/>
  <c r="EA109" i="18"/>
  <c r="DY114" i="18"/>
  <c r="DY109" i="18"/>
  <c r="DY111" i="18"/>
  <c r="DW100" i="18"/>
  <c r="DW103" i="18"/>
  <c r="FT213" i="15"/>
  <c r="FV212" i="15"/>
  <c r="FV214" i="15"/>
  <c r="DH77" i="17"/>
  <c r="DW77" i="17"/>
  <c r="EL77" i="17"/>
  <c r="DC73" i="17"/>
  <c r="DC77" i="17"/>
  <c r="DR77" i="17"/>
  <c r="EG77" i="17"/>
  <c r="DC73" i="15"/>
  <c r="EQ77" i="14"/>
  <c r="EQ63" i="17"/>
  <c r="EV64" i="17" s="1"/>
  <c r="EV51" i="17"/>
  <c r="EQ63" i="15"/>
  <c r="EV51" i="15"/>
  <c r="DH76" i="17"/>
  <c r="DW76" i="17"/>
  <c r="EL76" i="17"/>
  <c r="FY209" i="15"/>
  <c r="DH76" i="15"/>
  <c r="DW76" i="15"/>
  <c r="DH54" i="15"/>
  <c r="DW54" i="15"/>
  <c r="DM54" i="15"/>
  <c r="EB54" i="15"/>
  <c r="EQ54" i="15"/>
  <c r="DR54" i="15"/>
  <c r="EG54" i="15"/>
  <c r="DW54" i="17"/>
  <c r="DM54" i="17"/>
  <c r="EB54" i="17"/>
  <c r="EQ141" i="17"/>
  <c r="EQ54" i="17"/>
  <c r="DH54" i="17"/>
  <c r="DC51" i="17"/>
  <c r="DR54" i="17"/>
  <c r="EG54" i="17"/>
  <c r="EL54" i="17"/>
  <c r="EL54" i="14"/>
  <c r="DM54" i="14"/>
  <c r="EQ54" i="14"/>
  <c r="EL76" i="15"/>
  <c r="EG54" i="14"/>
  <c r="DR54" i="14"/>
  <c r="DW54" i="14"/>
  <c r="DH54" i="14"/>
  <c r="EB54" i="14"/>
  <c r="DM76" i="17"/>
  <c r="EB76" i="17"/>
  <c r="DR76" i="17"/>
  <c r="EG76" i="17"/>
  <c r="DM76" i="15"/>
  <c r="EB76" i="15"/>
  <c r="DR76" i="15"/>
  <c r="EG76" i="15"/>
  <c r="ED317" i="14"/>
  <c r="ED316" i="14"/>
  <c r="EI316" i="14"/>
  <c r="EF316" i="14"/>
  <c r="EF317" i="14"/>
  <c r="EH317" i="14"/>
  <c r="EK316" i="14"/>
  <c r="EG316" i="14"/>
  <c r="EB316" i="14"/>
  <c r="EE317" i="14"/>
  <c r="EJ316" i="14"/>
  <c r="EE316" i="14"/>
  <c r="EC316" i="14"/>
  <c r="EC317" i="14"/>
  <c r="EH316" i="14"/>
  <c r="EC315" i="14"/>
  <c r="ED315" i="14"/>
  <c r="EE315" i="14"/>
  <c r="EB313" i="14"/>
  <c r="EG313" i="14"/>
  <c r="EF315" i="14"/>
  <c r="EH315" i="14"/>
  <c r="DM243" i="17"/>
  <c r="DM198" i="17"/>
  <c r="EB243" i="17"/>
  <c r="EB198" i="17"/>
  <c r="DR243" i="17"/>
  <c r="DR198" i="17"/>
  <c r="EG243" i="17"/>
  <c r="EG198" i="17"/>
  <c r="DW243" i="17"/>
  <c r="DW198" i="17"/>
  <c r="EL141" i="17"/>
  <c r="EL243" i="17"/>
  <c r="DM141" i="17"/>
  <c r="EB141" i="17"/>
  <c r="DR141" i="17"/>
  <c r="EG141" i="17"/>
  <c r="DW141" i="17"/>
  <c r="DC51" i="15"/>
  <c r="EQ198" i="17"/>
  <c r="EQ243" i="17"/>
  <c r="EL198" i="17"/>
  <c r="DR81" i="17"/>
  <c r="DH81" i="17"/>
  <c r="EB73" i="17"/>
  <c r="DM81" i="17"/>
  <c r="EL81" i="17"/>
  <c r="DW73" i="17"/>
  <c r="DW81" i="17"/>
  <c r="EB51" i="17"/>
  <c r="EB51" i="29" s="1"/>
  <c r="EL83" i="17"/>
  <c r="EG73" i="17"/>
  <c r="EB81" i="15"/>
  <c r="DW81" i="15"/>
  <c r="EQ81" i="15"/>
  <c r="DW83" i="14"/>
  <c r="DR81" i="15"/>
  <c r="DW73" i="15"/>
  <c r="EL81" i="15"/>
  <c r="DR83" i="14"/>
  <c r="DM81" i="15"/>
  <c r="DH83" i="17"/>
  <c r="DR73" i="15"/>
  <c r="EB73" i="15"/>
  <c r="DH81" i="15"/>
  <c r="DH83" i="15"/>
  <c r="DM83" i="14"/>
  <c r="DH83" i="14"/>
  <c r="DM83" i="15"/>
  <c r="EQ83" i="15"/>
  <c r="DR83" i="15"/>
  <c r="DW83" i="15"/>
  <c r="DW83" i="17"/>
  <c r="EG81" i="14"/>
  <c r="DM83" i="17"/>
  <c r="DM81" i="14"/>
  <c r="EB83" i="17"/>
  <c r="EG83" i="17"/>
  <c r="EG83" i="15"/>
  <c r="EL81" i="14"/>
  <c r="DH89" i="14"/>
  <c r="DH90" i="14" s="1"/>
  <c r="EL83" i="15"/>
  <c r="EQ81" i="14"/>
  <c r="DW81" i="14"/>
  <c r="DR81" i="14"/>
  <c r="EL83" i="14"/>
  <c r="EG83" i="14"/>
  <c r="DR83" i="17"/>
  <c r="EB81" i="14"/>
  <c r="EQ83" i="14"/>
  <c r="EB83" i="15"/>
  <c r="EG81" i="17"/>
  <c r="EB83" i="14"/>
  <c r="EB81" i="17"/>
  <c r="EG81" i="15"/>
  <c r="DH73" i="15"/>
  <c r="EQ73" i="15"/>
  <c r="EB51" i="15"/>
  <c r="EB37" i="29" s="1"/>
  <c r="DH51" i="17"/>
  <c r="DH51" i="29" s="1"/>
  <c r="DH73" i="17"/>
  <c r="EL73" i="17"/>
  <c r="EL73" i="15"/>
  <c r="EG73" i="15"/>
  <c r="DH51" i="15"/>
  <c r="DH37" i="29" s="1"/>
  <c r="EL51" i="15"/>
  <c r="EL37" i="29" s="1"/>
  <c r="DM73" i="17"/>
  <c r="DM51" i="17"/>
  <c r="DM51" i="29" s="1"/>
  <c r="DM73" i="15"/>
  <c r="DR73" i="17"/>
  <c r="DR51" i="15"/>
  <c r="DR37" i="29" s="1"/>
  <c r="DR51" i="17"/>
  <c r="DR51" i="29" s="1"/>
  <c r="DM51" i="14"/>
  <c r="DM23" i="29" s="1"/>
  <c r="EB51" i="14"/>
  <c r="EB23" i="29" s="1"/>
  <c r="EQ51" i="14"/>
  <c r="EQ23" i="29" s="1"/>
  <c r="DR51" i="14"/>
  <c r="DR23" i="29" s="1"/>
  <c r="EG51" i="14"/>
  <c r="EG23" i="29" s="1"/>
  <c r="DW51" i="14"/>
  <c r="DW23" i="29" s="1"/>
  <c r="EL51" i="14"/>
  <c r="EL23" i="29" s="1"/>
  <c r="EG51" i="17"/>
  <c r="EG51" i="29" s="1"/>
  <c r="EQ51" i="17"/>
  <c r="EQ51" i="29" s="1"/>
  <c r="DH51" i="14"/>
  <c r="DH23" i="29" s="1"/>
  <c r="EQ51" i="15"/>
  <c r="EQ37" i="29" s="1"/>
  <c r="EG51" i="15"/>
  <c r="EG37" i="29" s="1"/>
  <c r="DW51" i="15"/>
  <c r="DW37" i="29" s="1"/>
  <c r="DM51" i="15"/>
  <c r="DM37" i="29" s="1"/>
  <c r="DW51" i="17"/>
  <c r="DW51" i="29" s="1"/>
  <c r="FE148" i="15" l="1"/>
  <c r="FJ128" i="15"/>
  <c r="FJ138" i="15"/>
  <c r="FK138" i="15" s="1"/>
  <c r="FJ143" i="15"/>
  <c r="FJ127" i="15"/>
  <c r="FJ133" i="15"/>
  <c r="FJ136" i="15"/>
  <c r="FJ129" i="15"/>
  <c r="FJ44" i="42"/>
  <c r="FJ62" i="42" s="1"/>
  <c r="FJ23" i="15"/>
  <c r="FJ56" i="3" s="1"/>
  <c r="FE135" i="15"/>
  <c r="FE134" i="15"/>
  <c r="FJ115" i="15"/>
  <c r="FE144" i="15"/>
  <c r="FE146" i="15"/>
  <c r="FE147" i="15"/>
  <c r="FJ11" i="15"/>
  <c r="FJ14" i="15"/>
  <c r="FJ230" i="15"/>
  <c r="FJ96" i="15"/>
  <c r="FE145" i="15"/>
  <c r="FO32" i="30"/>
  <c r="FT90" i="15"/>
  <c r="FT94" i="15" s="1"/>
  <c r="FT50" i="18"/>
  <c r="FO215" i="15"/>
  <c r="FO114" i="15"/>
  <c r="FY108" i="15"/>
  <c r="FY49" i="42" s="1"/>
  <c r="FY51" i="42" s="1"/>
  <c r="FO10" i="15"/>
  <c r="FO13" i="2" s="1"/>
  <c r="FT112" i="15"/>
  <c r="FO91" i="15"/>
  <c r="FT30" i="30"/>
  <c r="FT32" i="30" s="1"/>
  <c r="FT113" i="15"/>
  <c r="FT49" i="42"/>
  <c r="FT50" i="42" s="1"/>
  <c r="FO33" i="30"/>
  <c r="FO31" i="30"/>
  <c r="FO54" i="18"/>
  <c r="FE45" i="42"/>
  <c r="FO55" i="18"/>
  <c r="FE57" i="42"/>
  <c r="FO53" i="18"/>
  <c r="FE52" i="42"/>
  <c r="EQ37" i="42"/>
  <c r="EV20" i="42"/>
  <c r="EQ57" i="42"/>
  <c r="EL62" i="42"/>
  <c r="EL57" i="42"/>
  <c r="EB62" i="42"/>
  <c r="EB57" i="42"/>
  <c r="EG77" i="42"/>
  <c r="EG72" i="42"/>
  <c r="EG82" i="42"/>
  <c r="DW72" i="42"/>
  <c r="CZ183" i="15"/>
  <c r="CZ184" i="15"/>
  <c r="DH10" i="42"/>
  <c r="DH67" i="42" s="1"/>
  <c r="EQ82" i="42"/>
  <c r="EL65" i="42"/>
  <c r="EL72" i="42"/>
  <c r="EQ72" i="42"/>
  <c r="DM65" i="42"/>
  <c r="EL77" i="42"/>
  <c r="EB72" i="42"/>
  <c r="EQ77" i="42"/>
  <c r="DR65" i="42"/>
  <c r="DM77" i="42"/>
  <c r="EG65" i="42"/>
  <c r="DM72" i="42"/>
  <c r="EF103" i="18"/>
  <c r="EG37" i="42"/>
  <c r="DM45" i="42"/>
  <c r="DM10" i="42"/>
  <c r="DM67" i="42" s="1"/>
  <c r="DH45" i="42"/>
  <c r="EQ10" i="42"/>
  <c r="EG78" i="15"/>
  <c r="EQ29" i="2"/>
  <c r="EQ70" i="2" s="1"/>
  <c r="EV71" i="2" s="1"/>
  <c r="DR77" i="42"/>
  <c r="DR72" i="42"/>
  <c r="DW65" i="42"/>
  <c r="EQ65" i="42"/>
  <c r="DW77" i="42"/>
  <c r="EB77" i="42"/>
  <c r="EB65" i="42"/>
  <c r="EL82" i="42"/>
  <c r="EL29" i="2"/>
  <c r="EL52" i="2" s="1"/>
  <c r="EL64" i="2"/>
  <c r="EL67" i="2"/>
  <c r="EQ78" i="17"/>
  <c r="EV78" i="17"/>
  <c r="DH62" i="42"/>
  <c r="DR45" i="42"/>
  <c r="DR62" i="42"/>
  <c r="DW45" i="42"/>
  <c r="DW62" i="42"/>
  <c r="EB45" i="42"/>
  <c r="GA212" i="15"/>
  <c r="GA214" i="15"/>
  <c r="GD209" i="15"/>
  <c r="EQ45" i="42"/>
  <c r="EQ62" i="42"/>
  <c r="EL10" i="42"/>
  <c r="EL67" i="42" s="1"/>
  <c r="EL37" i="42"/>
  <c r="EL42" i="42"/>
  <c r="EG10" i="42"/>
  <c r="EG67" i="42" s="1"/>
  <c r="DZ114" i="18"/>
  <c r="DW10" i="42"/>
  <c r="DW67" i="42" s="1"/>
  <c r="EB10" i="42"/>
  <c r="EB67" i="42" s="1"/>
  <c r="EQ20" i="42"/>
  <c r="EG20" i="42"/>
  <c r="EA112" i="18"/>
  <c r="DR78" i="15"/>
  <c r="FY54" i="42"/>
  <c r="GA56" i="42" s="1"/>
  <c r="DM78" i="15"/>
  <c r="FV56" i="42"/>
  <c r="CZ30" i="30"/>
  <c r="CU177" i="15"/>
  <c r="EB78" i="15"/>
  <c r="EQ42" i="42"/>
  <c r="EG42" i="42"/>
  <c r="DR10" i="42"/>
  <c r="DR67" i="42" s="1"/>
  <c r="EB20" i="42"/>
  <c r="DW37" i="42"/>
  <c r="DW20" i="42"/>
  <c r="EL20" i="42"/>
  <c r="DC10" i="42"/>
  <c r="DC67" i="42" s="1"/>
  <c r="DW114" i="18"/>
  <c r="EH100" i="18"/>
  <c r="DW109" i="18"/>
  <c r="DW113" i="18"/>
  <c r="DH78" i="15"/>
  <c r="DH64" i="15"/>
  <c r="EG45" i="42"/>
  <c r="EG62" i="42"/>
  <c r="DM64" i="15"/>
  <c r="EG64" i="15"/>
  <c r="EL45" i="42"/>
  <c r="EQ64" i="15"/>
  <c r="DY112" i="18"/>
  <c r="DZ110" i="18"/>
  <c r="DX109" i="18"/>
  <c r="EB108" i="18"/>
  <c r="EB111" i="18" s="1"/>
  <c r="DZ112" i="18"/>
  <c r="DX110" i="18"/>
  <c r="DZ109" i="18"/>
  <c r="DZ111" i="18"/>
  <c r="EC103" i="18"/>
  <c r="DX114" i="18"/>
  <c r="DX111" i="18"/>
  <c r="DY110" i="18"/>
  <c r="EE100" i="18"/>
  <c r="DW78" i="14"/>
  <c r="EE108" i="18"/>
  <c r="EE109" i="18" s="1"/>
  <c r="ED103" i="18"/>
  <c r="EG100" i="18"/>
  <c r="EF108" i="18"/>
  <c r="EF114" i="18" s="1"/>
  <c r="EK100" i="18"/>
  <c r="EB103" i="18"/>
  <c r="ED100" i="18"/>
  <c r="EE103" i="18"/>
  <c r="EI100" i="18"/>
  <c r="EF102" i="18"/>
  <c r="EE102" i="18"/>
  <c r="ED102" i="18"/>
  <c r="EF100" i="18"/>
  <c r="EF37" i="42"/>
  <c r="EF35" i="42"/>
  <c r="EH36" i="42"/>
  <c r="EF36" i="42"/>
  <c r="EK35" i="42"/>
  <c r="ED37" i="42"/>
  <c r="ED36" i="42"/>
  <c r="ED35" i="42"/>
  <c r="EI35" i="42"/>
  <c r="EC108" i="18"/>
  <c r="EC110" i="18" s="1"/>
  <c r="EJ35" i="42"/>
  <c r="EE36" i="42"/>
  <c r="EE35" i="42"/>
  <c r="EE37" i="42"/>
  <c r="DM20" i="42"/>
  <c r="DM37" i="42"/>
  <c r="DR20" i="42"/>
  <c r="DH20" i="42"/>
  <c r="EG35" i="42"/>
  <c r="EB35" i="42"/>
  <c r="EB37" i="42"/>
  <c r="EG78" i="14"/>
  <c r="EC36" i="42"/>
  <c r="EH35" i="42"/>
  <c r="EC37" i="42"/>
  <c r="EC35" i="42"/>
  <c r="EC100" i="18"/>
  <c r="DW78" i="17"/>
  <c r="EG78" i="17"/>
  <c r="DH78" i="17"/>
  <c r="DR78" i="14"/>
  <c r="EL78" i="14"/>
  <c r="EQ78" i="14"/>
  <c r="EB78" i="14"/>
  <c r="DM78" i="14"/>
  <c r="DH78" i="14"/>
  <c r="EB78" i="17"/>
  <c r="DM78" i="17"/>
  <c r="DR78" i="17"/>
  <c r="EL78" i="17"/>
  <c r="EB64" i="15"/>
  <c r="EL64" i="15"/>
  <c r="EQ78" i="15"/>
  <c r="DW78" i="15"/>
  <c r="EL78" i="15"/>
  <c r="EQ64" i="3"/>
  <c r="EQ64" i="17"/>
  <c r="EG64" i="3"/>
  <c r="EG64" i="17"/>
  <c r="EB64" i="3"/>
  <c r="EB64" i="17"/>
  <c r="DH64" i="3"/>
  <c r="DH64" i="17"/>
  <c r="DW64" i="3"/>
  <c r="DW64" i="17"/>
  <c r="DR64" i="3"/>
  <c r="DR64" i="17"/>
  <c r="DM64" i="3"/>
  <c r="DM64" i="17"/>
  <c r="EL64" i="3"/>
  <c r="EL64" i="17"/>
  <c r="DM59" i="3"/>
  <c r="DW59" i="3"/>
  <c r="EQ59" i="3"/>
  <c r="EG59" i="3"/>
  <c r="EB59" i="3"/>
  <c r="EL59" i="3"/>
  <c r="DH59" i="3"/>
  <c r="DC59" i="3"/>
  <c r="DC15" i="2"/>
  <c r="DH68" i="2"/>
  <c r="EG68" i="2"/>
  <c r="EQ68" i="2"/>
  <c r="DR68" i="2"/>
  <c r="EB68" i="2"/>
  <c r="DW68" i="2"/>
  <c r="DM68" i="2"/>
  <c r="EL68" i="2"/>
  <c r="EL22" i="2"/>
  <c r="EQ61" i="2"/>
  <c r="DH61" i="2"/>
  <c r="DH60" i="2"/>
  <c r="DR60" i="2"/>
  <c r="DR57" i="2"/>
  <c r="DR61" i="2"/>
  <c r="DM60" i="2"/>
  <c r="DM61" i="2"/>
  <c r="DM57" i="2"/>
  <c r="DW60" i="2"/>
  <c r="DW61" i="2"/>
  <c r="DW57" i="2"/>
  <c r="EG60" i="2"/>
  <c r="EG61" i="2"/>
  <c r="EG57" i="2"/>
  <c r="EB60" i="2"/>
  <c r="EB61" i="2"/>
  <c r="EB57" i="2"/>
  <c r="DM90" i="14"/>
  <c r="DR70" i="2"/>
  <c r="DR66" i="2"/>
  <c r="DR59" i="2"/>
  <c r="DR21" i="2"/>
  <c r="DR53" i="2" s="1"/>
  <c r="DW15" i="2"/>
  <c r="DH21" i="2"/>
  <c r="DM15" i="2"/>
  <c r="DM113" i="2" s="1"/>
  <c r="EG70" i="2"/>
  <c r="EG66" i="2"/>
  <c r="EG59" i="2"/>
  <c r="DM52" i="2"/>
  <c r="EB21" i="2"/>
  <c r="EB53" i="2" s="1"/>
  <c r="EG15" i="2"/>
  <c r="DH49" i="2"/>
  <c r="DM50" i="2" s="1"/>
  <c r="DH29" i="2"/>
  <c r="DR50" i="2"/>
  <c r="DR52" i="2"/>
  <c r="EB52" i="2"/>
  <c r="EB50" i="2"/>
  <c r="EG52" i="2"/>
  <c r="EG50" i="2"/>
  <c r="DM70" i="2"/>
  <c r="DM59" i="2"/>
  <c r="DM66" i="2"/>
  <c r="DW70" i="2"/>
  <c r="DW59" i="2"/>
  <c r="DW66" i="2"/>
  <c r="EB70" i="2"/>
  <c r="EB59" i="2"/>
  <c r="EB66" i="2"/>
  <c r="DW21" i="2"/>
  <c r="DW53" i="2" s="1"/>
  <c r="EB15" i="2"/>
  <c r="DW50" i="2"/>
  <c r="DW52" i="2"/>
  <c r="DM21" i="2"/>
  <c r="DM53" i="2" s="1"/>
  <c r="DR15" i="2"/>
  <c r="EL21" i="2"/>
  <c r="EL53" i="2" s="1"/>
  <c r="EQ15" i="2"/>
  <c r="EQ113" i="2" s="1"/>
  <c r="EQ50" i="2"/>
  <c r="DC21" i="2"/>
  <c r="DH15" i="2"/>
  <c r="EG21" i="2"/>
  <c r="EG53" i="2" s="1"/>
  <c r="EL15" i="2"/>
  <c r="EL113" i="2" s="1"/>
  <c r="EL50" i="2"/>
  <c r="ED111" i="18"/>
  <c r="EI111" i="18"/>
  <c r="EI109" i="18"/>
  <c r="ED109" i="18"/>
  <c r="ED114" i="18"/>
  <c r="FY213" i="15"/>
  <c r="FJ52" i="42" l="1"/>
  <c r="FJ57" i="42"/>
  <c r="FJ45" i="42"/>
  <c r="FJ24" i="15"/>
  <c r="FJ148" i="15"/>
  <c r="FJ146" i="15"/>
  <c r="FJ144" i="15"/>
  <c r="FJ147" i="15"/>
  <c r="FJ145" i="15"/>
  <c r="FJ134" i="15"/>
  <c r="FJ135" i="15"/>
  <c r="FJ27" i="15"/>
  <c r="FT55" i="18"/>
  <c r="GI209" i="15"/>
  <c r="GF212" i="15"/>
  <c r="GF214" i="15"/>
  <c r="FT91" i="15"/>
  <c r="FT215" i="15"/>
  <c r="FT51" i="18"/>
  <c r="FT10" i="15"/>
  <c r="FT230" i="15" s="1"/>
  <c r="FT53" i="18"/>
  <c r="FT114" i="15"/>
  <c r="FY112" i="15"/>
  <c r="FY113" i="15"/>
  <c r="FT54" i="18"/>
  <c r="FT51" i="42"/>
  <c r="FO115" i="15"/>
  <c r="GD108" i="15"/>
  <c r="FT34" i="30"/>
  <c r="FO14" i="15"/>
  <c r="FO96" i="15"/>
  <c r="FO230" i="15"/>
  <c r="FY111" i="15"/>
  <c r="FT31" i="30"/>
  <c r="FY90" i="15"/>
  <c r="FY91" i="15" s="1"/>
  <c r="FY50" i="18"/>
  <c r="FY55" i="18" s="1"/>
  <c r="FO23" i="15"/>
  <c r="FO27" i="15" s="1"/>
  <c r="FY30" i="30"/>
  <c r="FY32" i="30" s="1"/>
  <c r="FO11" i="15"/>
  <c r="FO44" i="42"/>
  <c r="FO52" i="42" s="1"/>
  <c r="FT33" i="30"/>
  <c r="EQ67" i="42"/>
  <c r="FY50" i="42"/>
  <c r="DE33" i="30"/>
  <c r="DE31" i="30"/>
  <c r="DH17" i="42"/>
  <c r="DH22" i="42"/>
  <c r="DH47" i="42"/>
  <c r="CU183" i="15"/>
  <c r="DM11" i="42"/>
  <c r="DM22" i="42"/>
  <c r="DM47" i="42"/>
  <c r="DM17" i="42"/>
  <c r="EL59" i="2"/>
  <c r="EL66" i="2"/>
  <c r="EL70" i="2"/>
  <c r="EL71" i="2" s="1"/>
  <c r="EQ22" i="42"/>
  <c r="EQ47" i="42"/>
  <c r="EQ17" i="42"/>
  <c r="EQ52" i="2"/>
  <c r="EQ59" i="2"/>
  <c r="EQ66" i="2"/>
  <c r="DW17" i="42"/>
  <c r="EQ11" i="42"/>
  <c r="EL47" i="42"/>
  <c r="EL22" i="42"/>
  <c r="EL17" i="42"/>
  <c r="FY55" i="42"/>
  <c r="GD213" i="15"/>
  <c r="GD54" i="42"/>
  <c r="DW22" i="42"/>
  <c r="EG47" i="42"/>
  <c r="EG22" i="42"/>
  <c r="EG17" i="42"/>
  <c r="EL11" i="42"/>
  <c r="DW47" i="42"/>
  <c r="EB17" i="42"/>
  <c r="EG11" i="42"/>
  <c r="ED112" i="18"/>
  <c r="DR17" i="42"/>
  <c r="EB47" i="42"/>
  <c r="EB11" i="42"/>
  <c r="EB120" i="2"/>
  <c r="EB113" i="2"/>
  <c r="DW120" i="2"/>
  <c r="DW113" i="2"/>
  <c r="DC24" i="2"/>
  <c r="DH113" i="2"/>
  <c r="EG120" i="2"/>
  <c r="EG113" i="2"/>
  <c r="DR120" i="2"/>
  <c r="DR113" i="2"/>
  <c r="EB22" i="42"/>
  <c r="DR11" i="42"/>
  <c r="DH11" i="42"/>
  <c r="DC22" i="42"/>
  <c r="DR47" i="42"/>
  <c r="DW11" i="42"/>
  <c r="DR22" i="42"/>
  <c r="DC47" i="42"/>
  <c r="DC17" i="42"/>
  <c r="CP177" i="15"/>
  <c r="CU30" i="30"/>
  <c r="EJ111" i="18"/>
  <c r="EB114" i="18"/>
  <c r="EB113" i="18"/>
  <c r="EB109" i="18"/>
  <c r="EF112" i="18"/>
  <c r="EC111" i="18"/>
  <c r="EC109" i="18"/>
  <c r="EE112" i="18"/>
  <c r="EE110" i="18"/>
  <c r="EJ109" i="18"/>
  <c r="EE111" i="18"/>
  <c r="EE114" i="18"/>
  <c r="EK111" i="18"/>
  <c r="EF109" i="18"/>
  <c r="EH110" i="18"/>
  <c r="EF110" i="18"/>
  <c r="EG108" i="18"/>
  <c r="EL109" i="18" s="1"/>
  <c r="EH112" i="18"/>
  <c r="EK109" i="18"/>
  <c r="EF111" i="18"/>
  <c r="EH111" i="18"/>
  <c r="EC112" i="18"/>
  <c r="EC114" i="18"/>
  <c r="EH109" i="18"/>
  <c r="ED110" i="18"/>
  <c r="DM54" i="2"/>
  <c r="DM120" i="2"/>
  <c r="EQ54" i="2"/>
  <c r="EQ120" i="2"/>
  <c r="EL54" i="2"/>
  <c r="EL120" i="2"/>
  <c r="EL60" i="2"/>
  <c r="EL61" i="2"/>
  <c r="EL57" i="2"/>
  <c r="EQ57" i="2"/>
  <c r="DH53" i="2"/>
  <c r="DH54" i="2"/>
  <c r="DH52" i="2"/>
  <c r="DR54" i="2"/>
  <c r="DR18" i="2"/>
  <c r="DM24" i="2"/>
  <c r="DM73" i="2" s="1"/>
  <c r="EB18" i="2"/>
  <c r="DW24" i="2"/>
  <c r="EG54" i="2"/>
  <c r="EG18" i="2"/>
  <c r="EB24" i="2"/>
  <c r="DW54" i="2"/>
  <c r="DR24" i="2"/>
  <c r="DW18" i="2"/>
  <c r="EB71" i="2"/>
  <c r="EB74" i="2"/>
  <c r="DM74" i="2"/>
  <c r="EB54" i="2"/>
  <c r="EG71" i="2"/>
  <c r="EG74" i="2"/>
  <c r="EL18" i="2"/>
  <c r="EG24" i="2"/>
  <c r="EQ18" i="2"/>
  <c r="EL24" i="2"/>
  <c r="EQ74" i="2"/>
  <c r="DW74" i="2"/>
  <c r="DW71" i="2"/>
  <c r="DH70" i="2"/>
  <c r="DH74" i="2" s="1"/>
  <c r="DH59" i="2"/>
  <c r="DH66" i="2"/>
  <c r="DM18" i="2"/>
  <c r="DH24" i="2"/>
  <c r="DR74" i="2"/>
  <c r="DR71" i="2"/>
  <c r="EQ210" i="3"/>
  <c r="EQ209" i="3"/>
  <c r="EQ208" i="3"/>
  <c r="EL210" i="3"/>
  <c r="EL209" i="3"/>
  <c r="EL208" i="3"/>
  <c r="EG210" i="3"/>
  <c r="EG209" i="3"/>
  <c r="EG208" i="3"/>
  <c r="EB210" i="3"/>
  <c r="EB209" i="3"/>
  <c r="EB208" i="3"/>
  <c r="DW210" i="3"/>
  <c r="DW209" i="3"/>
  <c r="DW208" i="3"/>
  <c r="DR210" i="3"/>
  <c r="DR209" i="3"/>
  <c r="DR208" i="3"/>
  <c r="DM210" i="3"/>
  <c r="DM209" i="3"/>
  <c r="DM208" i="3"/>
  <c r="DH210" i="3"/>
  <c r="DH209" i="3"/>
  <c r="DH208" i="3"/>
  <c r="DC210" i="3"/>
  <c r="DC209" i="3"/>
  <c r="DC208" i="3"/>
  <c r="CX210" i="3"/>
  <c r="CX209" i="3"/>
  <c r="CX208" i="3"/>
  <c r="CS210" i="3"/>
  <c r="CS209" i="3"/>
  <c r="CS208" i="3"/>
  <c r="CN210" i="3"/>
  <c r="CN209" i="3"/>
  <c r="CN208" i="3"/>
  <c r="CH210" i="3"/>
  <c r="CI210" i="3" s="1"/>
  <c r="CH209" i="3"/>
  <c r="CI209" i="3" s="1"/>
  <c r="CH208" i="3"/>
  <c r="CI208" i="3" s="1"/>
  <c r="C134" i="5"/>
  <c r="D134" i="5"/>
  <c r="E134" i="5"/>
  <c r="F134" i="5"/>
  <c r="G134" i="5"/>
  <c r="H134" i="5"/>
  <c r="I134" i="5"/>
  <c r="J134" i="5"/>
  <c r="K134" i="5"/>
  <c r="L134" i="5"/>
  <c r="M134" i="5"/>
  <c r="N134" i="5"/>
  <c r="O134" i="5"/>
  <c r="P134" i="5"/>
  <c r="Q134" i="5"/>
  <c r="R134" i="5"/>
  <c r="S134" i="5"/>
  <c r="T134" i="5"/>
  <c r="U134" i="5"/>
  <c r="V134" i="5"/>
  <c r="W134" i="5"/>
  <c r="X134" i="5"/>
  <c r="Y134" i="5"/>
  <c r="Z134" i="5"/>
  <c r="AA134" i="5"/>
  <c r="AB134" i="5"/>
  <c r="AC134" i="5"/>
  <c r="AD134" i="5"/>
  <c r="AE134" i="5"/>
  <c r="AF134" i="5"/>
  <c r="AG134" i="5"/>
  <c r="AH134" i="5"/>
  <c r="AI134" i="5"/>
  <c r="AJ134" i="5"/>
  <c r="AK134" i="5"/>
  <c r="AL134" i="5"/>
  <c r="AM134" i="5"/>
  <c r="AN134" i="5"/>
  <c r="AO134" i="5"/>
  <c r="AP134" i="5"/>
  <c r="AQ134" i="5"/>
  <c r="AR134" i="5"/>
  <c r="AS134" i="5"/>
  <c r="AT134" i="5"/>
  <c r="AU134" i="5"/>
  <c r="AV134" i="5"/>
  <c r="AW134" i="5"/>
  <c r="AX134" i="5"/>
  <c r="AY134" i="5"/>
  <c r="AZ134" i="5"/>
  <c r="BA134" i="5"/>
  <c r="BB134" i="5"/>
  <c r="BC134" i="5"/>
  <c r="BD134" i="5"/>
  <c r="BE134" i="5"/>
  <c r="BF134" i="5"/>
  <c r="BG134" i="5"/>
  <c r="BH134" i="5"/>
  <c r="BI134" i="5"/>
  <c r="BJ134" i="5"/>
  <c r="BK134" i="5"/>
  <c r="BL134" i="5"/>
  <c r="BM134" i="5"/>
  <c r="BN134" i="5"/>
  <c r="BO134" i="5"/>
  <c r="BP134" i="5"/>
  <c r="BQ134" i="5"/>
  <c r="BR134" i="5"/>
  <c r="BS134" i="5"/>
  <c r="BT134" i="5"/>
  <c r="BU134" i="5"/>
  <c r="BV134" i="5"/>
  <c r="BW134" i="5"/>
  <c r="BX134" i="5"/>
  <c r="BZ134" i="5"/>
  <c r="CA134" i="5"/>
  <c r="CB134" i="5"/>
  <c r="CC134" i="5"/>
  <c r="CE134" i="5"/>
  <c r="CF134" i="5"/>
  <c r="CG134" i="5"/>
  <c r="CH134" i="5"/>
  <c r="CJ134" i="5"/>
  <c r="CK134" i="5"/>
  <c r="CL134" i="5"/>
  <c r="CM134" i="5"/>
  <c r="CO134" i="5"/>
  <c r="CP134" i="5"/>
  <c r="CQ134" i="5"/>
  <c r="CR134" i="5"/>
  <c r="CT134" i="5"/>
  <c r="CU134" i="5"/>
  <c r="CV134" i="5"/>
  <c r="CW134" i="5"/>
  <c r="CY134" i="5"/>
  <c r="CZ134" i="5"/>
  <c r="DA134" i="5"/>
  <c r="DB134" i="5"/>
  <c r="DD134" i="5"/>
  <c r="DE134" i="5"/>
  <c r="DF134" i="5"/>
  <c r="DG134" i="5"/>
  <c r="DI134" i="5"/>
  <c r="DJ134" i="5"/>
  <c r="DK134" i="5"/>
  <c r="DL134" i="5"/>
  <c r="DN134" i="5"/>
  <c r="DO134" i="5"/>
  <c r="DP134" i="5"/>
  <c r="DQ134" i="5"/>
  <c r="DS134" i="5"/>
  <c r="DT134" i="5"/>
  <c r="DU134" i="5"/>
  <c r="DV134" i="5"/>
  <c r="DX134" i="5"/>
  <c r="DY134" i="5"/>
  <c r="DZ134" i="5"/>
  <c r="EA134" i="5"/>
  <c r="EC134" i="5"/>
  <c r="ED134" i="5"/>
  <c r="EE134" i="5"/>
  <c r="EF134" i="5"/>
  <c r="EH134" i="5"/>
  <c r="EI134" i="5"/>
  <c r="EJ134" i="5"/>
  <c r="EK134" i="5"/>
  <c r="EM134" i="5"/>
  <c r="EN134" i="5"/>
  <c r="EO134" i="5"/>
  <c r="EP134" i="5"/>
  <c r="C139" i="5"/>
  <c r="C142" i="5" s="1"/>
  <c r="D139" i="5"/>
  <c r="D142" i="5" s="1"/>
  <c r="E139" i="5"/>
  <c r="E142" i="5" s="1"/>
  <c r="F139" i="5"/>
  <c r="F142" i="5" s="1"/>
  <c r="H139" i="5"/>
  <c r="H142" i="5" s="1"/>
  <c r="I139" i="5"/>
  <c r="I142" i="5" s="1"/>
  <c r="J139" i="5"/>
  <c r="J142" i="5" s="1"/>
  <c r="K139" i="5"/>
  <c r="K142" i="5" s="1"/>
  <c r="M139" i="5"/>
  <c r="M142" i="5" s="1"/>
  <c r="N139" i="5"/>
  <c r="N142" i="5" s="1"/>
  <c r="O139" i="5"/>
  <c r="O142" i="5" s="1"/>
  <c r="P139" i="5"/>
  <c r="P142" i="5" s="1"/>
  <c r="R139" i="5"/>
  <c r="R142" i="5" s="1"/>
  <c r="S139" i="5"/>
  <c r="S142" i="5" s="1"/>
  <c r="T139" i="5"/>
  <c r="T142" i="5" s="1"/>
  <c r="U139" i="5"/>
  <c r="U142" i="5" s="1"/>
  <c r="W139" i="5"/>
  <c r="W142" i="5" s="1"/>
  <c r="X139" i="5"/>
  <c r="X142" i="5" s="1"/>
  <c r="Y139" i="5"/>
  <c r="Y142" i="5" s="1"/>
  <c r="Z139" i="5"/>
  <c r="Z142" i="5" s="1"/>
  <c r="AB139" i="5"/>
  <c r="AB142" i="5" s="1"/>
  <c r="AC139" i="5"/>
  <c r="AC142" i="5" s="1"/>
  <c r="AD139" i="5"/>
  <c r="AD142" i="5" s="1"/>
  <c r="AE139" i="5"/>
  <c r="AE142" i="5" s="1"/>
  <c r="AG139" i="5"/>
  <c r="AG142" i="5" s="1"/>
  <c r="AH139" i="5"/>
  <c r="AH142" i="5" s="1"/>
  <c r="AI139" i="5"/>
  <c r="AI142" i="5" s="1"/>
  <c r="AJ139" i="5"/>
  <c r="AJ142" i="5" s="1"/>
  <c r="AL139" i="5"/>
  <c r="AL142" i="5" s="1"/>
  <c r="AM139" i="5"/>
  <c r="AM142" i="5" s="1"/>
  <c r="AN139" i="5"/>
  <c r="AN142" i="5" s="1"/>
  <c r="AO139" i="5"/>
  <c r="AO142" i="5" s="1"/>
  <c r="AQ139" i="5"/>
  <c r="AQ142" i="5" s="1"/>
  <c r="AR139" i="5"/>
  <c r="AR142" i="5" s="1"/>
  <c r="AS139" i="5"/>
  <c r="AS142" i="5" s="1"/>
  <c r="AT139" i="5"/>
  <c r="AT142" i="5" s="1"/>
  <c r="AV139" i="5"/>
  <c r="AV142" i="5" s="1"/>
  <c r="AW139" i="5"/>
  <c r="AW142" i="5" s="1"/>
  <c r="AX139" i="5"/>
  <c r="AX142" i="5" s="1"/>
  <c r="AY139" i="5"/>
  <c r="AY142" i="5" s="1"/>
  <c r="BA139" i="5"/>
  <c r="BA142" i="5" s="1"/>
  <c r="BB139" i="5"/>
  <c r="BB142" i="5" s="1"/>
  <c r="BC139" i="5"/>
  <c r="BC142" i="5" s="1"/>
  <c r="BD139" i="5"/>
  <c r="BD142" i="5" s="1"/>
  <c r="BF139" i="5"/>
  <c r="BF142" i="5" s="1"/>
  <c r="BG139" i="5"/>
  <c r="BG142" i="5" s="1"/>
  <c r="BH139" i="5"/>
  <c r="BH142" i="5" s="1"/>
  <c r="BI139" i="5"/>
  <c r="BI142" i="5" s="1"/>
  <c r="BK139" i="5"/>
  <c r="BL139" i="5"/>
  <c r="BM139" i="5"/>
  <c r="BN139" i="5"/>
  <c r="BP139" i="5"/>
  <c r="BQ139" i="5"/>
  <c r="BR139" i="5"/>
  <c r="BS139" i="5"/>
  <c r="BU139" i="5"/>
  <c r="BV139" i="5"/>
  <c r="BW139" i="5"/>
  <c r="BX139" i="5"/>
  <c r="BZ139" i="5"/>
  <c r="CA139" i="5"/>
  <c r="CB139" i="5"/>
  <c r="CC139" i="5"/>
  <c r="CE139" i="5"/>
  <c r="CF139" i="5"/>
  <c r="CG139" i="5"/>
  <c r="CH139" i="5"/>
  <c r="CJ139" i="5"/>
  <c r="CK139" i="5"/>
  <c r="CL139" i="5"/>
  <c r="CM139" i="5"/>
  <c r="CO139" i="5"/>
  <c r="CP139" i="5"/>
  <c r="CQ139" i="5"/>
  <c r="CR139" i="5"/>
  <c r="CT139" i="5"/>
  <c r="CU139" i="5"/>
  <c r="CV139" i="5"/>
  <c r="CW139" i="5"/>
  <c r="CY139" i="5"/>
  <c r="CZ139" i="5"/>
  <c r="DA139" i="5"/>
  <c r="DB139" i="5"/>
  <c r="DD139" i="5"/>
  <c r="DE139" i="5"/>
  <c r="DF139" i="5"/>
  <c r="DG139" i="5"/>
  <c r="DI139" i="5"/>
  <c r="DJ139" i="5"/>
  <c r="DK139" i="5"/>
  <c r="DL139" i="5"/>
  <c r="DN139" i="5"/>
  <c r="DO139" i="5"/>
  <c r="DP139" i="5"/>
  <c r="DQ139" i="5"/>
  <c r="DS139" i="5"/>
  <c r="DT139" i="5"/>
  <c r="DU139" i="5"/>
  <c r="DV139" i="5"/>
  <c r="DX139" i="5"/>
  <c r="DY139" i="5"/>
  <c r="DZ139" i="5"/>
  <c r="EA139" i="5"/>
  <c r="EC139" i="5"/>
  <c r="ED139" i="5"/>
  <c r="EE139" i="5"/>
  <c r="EF139" i="5"/>
  <c r="EH139" i="5"/>
  <c r="EI139" i="5"/>
  <c r="EJ139" i="5"/>
  <c r="EK139" i="5"/>
  <c r="EM139" i="5"/>
  <c r="EN139" i="5"/>
  <c r="EO139" i="5"/>
  <c r="EP139" i="5"/>
  <c r="ER139" i="5"/>
  <c r="ER137" i="5"/>
  <c r="GD112" i="15" l="1"/>
  <c r="GI108" i="15"/>
  <c r="GI213" i="15"/>
  <c r="GI54" i="42"/>
  <c r="GI55" i="42" s="1"/>
  <c r="GF56" i="42"/>
  <c r="FT23" i="15"/>
  <c r="FT24" i="15" s="1"/>
  <c r="FT13" i="2"/>
  <c r="FT11" i="15"/>
  <c r="FT115" i="15"/>
  <c r="FT44" i="42"/>
  <c r="FT52" i="42" s="1"/>
  <c r="FT96" i="15"/>
  <c r="FT14" i="15"/>
  <c r="FY53" i="18"/>
  <c r="GD49" i="42"/>
  <c r="FY51" i="18"/>
  <c r="FY10" i="15"/>
  <c r="FY13" i="2" s="1"/>
  <c r="FY33" i="30"/>
  <c r="GD50" i="18"/>
  <c r="GD113" i="15"/>
  <c r="GD30" i="30"/>
  <c r="FO57" i="42"/>
  <c r="FO62" i="42"/>
  <c r="GD111" i="15"/>
  <c r="GD90" i="15"/>
  <c r="FY31" i="30"/>
  <c r="FY54" i="18"/>
  <c r="FO24" i="15"/>
  <c r="FO56" i="3"/>
  <c r="FY215" i="15"/>
  <c r="FY114" i="15"/>
  <c r="FO45" i="42"/>
  <c r="FY94" i="15"/>
  <c r="FY34" i="30"/>
  <c r="EQ71" i="2"/>
  <c r="EL74" i="2"/>
  <c r="AP135" i="5"/>
  <c r="L135" i="5"/>
  <c r="EH135" i="5"/>
  <c r="DZ135" i="5"/>
  <c r="DS135" i="5"/>
  <c r="DK135" i="5"/>
  <c r="AU135" i="5"/>
  <c r="Q135" i="5"/>
  <c r="EN135" i="5"/>
  <c r="EF135" i="5"/>
  <c r="DY135" i="5"/>
  <c r="DQ135" i="5"/>
  <c r="DJ135" i="5"/>
  <c r="GD55" i="42"/>
  <c r="AZ135" i="5"/>
  <c r="DP135" i="5"/>
  <c r="DI135" i="5"/>
  <c r="V135" i="5"/>
  <c r="EE135" i="5"/>
  <c r="DX135" i="5"/>
  <c r="AA135" i="5"/>
  <c r="CM135" i="5"/>
  <c r="CM137" i="5"/>
  <c r="CM73" i="3" s="1"/>
  <c r="CM74" i="3" s="1"/>
  <c r="BL135" i="5"/>
  <c r="BL137" i="5"/>
  <c r="BL73" i="3" s="1"/>
  <c r="BL74" i="3" s="1"/>
  <c r="AB135" i="5"/>
  <c r="CT135" i="5"/>
  <c r="CT137" i="5"/>
  <c r="CT73" i="3" s="1"/>
  <c r="CT74" i="3" s="1"/>
  <c r="CE135" i="5"/>
  <c r="CE137" i="5"/>
  <c r="CE73" i="3" s="1"/>
  <c r="CE74" i="3" s="1"/>
  <c r="BQ135" i="5"/>
  <c r="BQ137" i="5"/>
  <c r="BQ73" i="3" s="1"/>
  <c r="BQ74" i="3" s="1"/>
  <c r="AS135" i="5"/>
  <c r="EO135" i="5"/>
  <c r="ET135" i="5"/>
  <c r="DD135" i="5"/>
  <c r="DD137" i="5"/>
  <c r="DD73" i="3" s="1"/>
  <c r="DD74" i="3" s="1"/>
  <c r="CV135" i="5"/>
  <c r="CV137" i="5"/>
  <c r="CV73" i="3" s="1"/>
  <c r="CV74" i="3" s="1"/>
  <c r="CO135" i="5"/>
  <c r="CO137" i="5"/>
  <c r="CO73" i="3" s="1"/>
  <c r="CO74" i="3" s="1"/>
  <c r="CG135" i="5"/>
  <c r="CG137" i="5"/>
  <c r="CG73" i="3" s="1"/>
  <c r="CG74" i="3" s="1"/>
  <c r="BZ135" i="5"/>
  <c r="BZ137" i="5"/>
  <c r="BZ73" i="3" s="1"/>
  <c r="BZ74" i="3" s="1"/>
  <c r="BS135" i="5"/>
  <c r="BS137" i="5"/>
  <c r="BS73" i="3" s="1"/>
  <c r="BS74" i="3" s="1"/>
  <c r="BM135" i="5"/>
  <c r="BM137" i="5"/>
  <c r="BM73" i="3" s="1"/>
  <c r="BM74" i="3" s="1"/>
  <c r="BG135" i="5"/>
  <c r="BA135" i="5"/>
  <c r="AO135" i="5"/>
  <c r="AI135" i="5"/>
  <c r="AC135" i="5"/>
  <c r="W135" i="5"/>
  <c r="K135" i="5"/>
  <c r="BF135" i="5"/>
  <c r="P135" i="5"/>
  <c r="J135" i="5"/>
  <c r="U135" i="5"/>
  <c r="BX135" i="5"/>
  <c r="BX137" i="5"/>
  <c r="BX73" i="3" s="1"/>
  <c r="BX74" i="3" s="1"/>
  <c r="N135" i="5"/>
  <c r="DB135" i="5"/>
  <c r="DB137" i="5"/>
  <c r="DB73" i="3" s="1"/>
  <c r="DB74" i="3" s="1"/>
  <c r="CF135" i="5"/>
  <c r="CF137" i="5"/>
  <c r="CF73" i="3" s="1"/>
  <c r="CF74" i="3" s="1"/>
  <c r="BR135" i="5"/>
  <c r="BR137" i="5"/>
  <c r="BR73" i="3" s="1"/>
  <c r="BR74" i="3" s="1"/>
  <c r="AT135" i="5"/>
  <c r="AN135" i="5"/>
  <c r="DA135" i="5"/>
  <c r="DA137" i="5"/>
  <c r="DA73" i="3" s="1"/>
  <c r="DA74" i="3" s="1"/>
  <c r="BW135" i="5"/>
  <c r="BW137" i="5"/>
  <c r="BW73" i="3" s="1"/>
  <c r="BW74" i="3" s="1"/>
  <c r="BE135" i="5"/>
  <c r="AG135" i="5"/>
  <c r="I135" i="5"/>
  <c r="ED135" i="5"/>
  <c r="DO135" i="5"/>
  <c r="DG135" i="5"/>
  <c r="DG137" i="5"/>
  <c r="DG73" i="3" s="1"/>
  <c r="DG74" i="3" s="1"/>
  <c r="CZ135" i="5"/>
  <c r="CZ137" i="5"/>
  <c r="CZ73" i="3" s="1"/>
  <c r="CZ74" i="3" s="1"/>
  <c r="CK135" i="5"/>
  <c r="CK137" i="5"/>
  <c r="CK73" i="3" s="1"/>
  <c r="CK74" i="3" s="1"/>
  <c r="CC135" i="5"/>
  <c r="CC137" i="5"/>
  <c r="CC73" i="3" s="1"/>
  <c r="CC74" i="3" s="1"/>
  <c r="BV135" i="5"/>
  <c r="BV137" i="5"/>
  <c r="BV73" i="3" s="1"/>
  <c r="BV74" i="3" s="1"/>
  <c r="BJ135" i="5"/>
  <c r="BJ137" i="5"/>
  <c r="BJ73" i="3" s="1"/>
  <c r="BD135" i="5"/>
  <c r="AX135" i="5"/>
  <c r="AR135" i="5"/>
  <c r="AL135" i="5"/>
  <c r="Z135" i="5"/>
  <c r="T135" i="5"/>
  <c r="H135" i="5"/>
  <c r="EJ135" i="5"/>
  <c r="EC135" i="5"/>
  <c r="DU135" i="5"/>
  <c r="DN135" i="5"/>
  <c r="DF135" i="5"/>
  <c r="DF137" i="5"/>
  <c r="DF73" i="3" s="1"/>
  <c r="DF74" i="3" s="1"/>
  <c r="CY135" i="5"/>
  <c r="CY137" i="5"/>
  <c r="CY73" i="3" s="1"/>
  <c r="CY74" i="3" s="1"/>
  <c r="CQ135" i="5"/>
  <c r="CQ137" i="5"/>
  <c r="CQ73" i="3" s="1"/>
  <c r="CQ74" i="3" s="1"/>
  <c r="CJ135" i="5"/>
  <c r="CJ137" i="5"/>
  <c r="CJ73" i="3" s="1"/>
  <c r="CJ74" i="3" s="1"/>
  <c r="CB135" i="5"/>
  <c r="CB137" i="5"/>
  <c r="CB73" i="3" s="1"/>
  <c r="CB74" i="3" s="1"/>
  <c r="BU135" i="5"/>
  <c r="BU137" i="5"/>
  <c r="BU73" i="3" s="1"/>
  <c r="BU74" i="3" s="1"/>
  <c r="BO135" i="5"/>
  <c r="BO137" i="5"/>
  <c r="BO73" i="3" s="1"/>
  <c r="BI135" i="5"/>
  <c r="BC135" i="5"/>
  <c r="AW135" i="5"/>
  <c r="AQ135" i="5"/>
  <c r="AK135" i="5"/>
  <c r="AE135" i="5"/>
  <c r="Y135" i="5"/>
  <c r="S135" i="5"/>
  <c r="M135" i="5"/>
  <c r="CU135" i="5"/>
  <c r="CU137" i="5"/>
  <c r="CU73" i="3" s="1"/>
  <c r="CU74" i="3" s="1"/>
  <c r="AH135" i="5"/>
  <c r="EM135" i="5"/>
  <c r="ER135" i="5"/>
  <c r="CL135" i="5"/>
  <c r="CL137" i="5"/>
  <c r="CL73" i="3" s="1"/>
  <c r="CL74" i="3" s="1"/>
  <c r="BK135" i="5"/>
  <c r="BK137" i="5"/>
  <c r="BK73" i="3" s="1"/>
  <c r="BK74" i="3" s="1"/>
  <c r="AY135" i="5"/>
  <c r="AM135" i="5"/>
  <c r="O135" i="5"/>
  <c r="EK135" i="5"/>
  <c r="DV135" i="5"/>
  <c r="CR135" i="5"/>
  <c r="CR137" i="5"/>
  <c r="CR73" i="3" s="1"/>
  <c r="CR74" i="3" s="1"/>
  <c r="BP135" i="5"/>
  <c r="BP137" i="5"/>
  <c r="BP73" i="3" s="1"/>
  <c r="BP74" i="3" s="1"/>
  <c r="AF135" i="5"/>
  <c r="EP135" i="5"/>
  <c r="EI135" i="5"/>
  <c r="EA135" i="5"/>
  <c r="DT135" i="5"/>
  <c r="DL135" i="5"/>
  <c r="DE135" i="5"/>
  <c r="DE137" i="5"/>
  <c r="DE73" i="3" s="1"/>
  <c r="DE74" i="3" s="1"/>
  <c r="CW135" i="5"/>
  <c r="CW137" i="5"/>
  <c r="CW73" i="3" s="1"/>
  <c r="CW74" i="3" s="1"/>
  <c r="CP135" i="5"/>
  <c r="CP137" i="5"/>
  <c r="CP73" i="3" s="1"/>
  <c r="CP74" i="3" s="1"/>
  <c r="CH135" i="5"/>
  <c r="CH137" i="5"/>
  <c r="CH73" i="3" s="1"/>
  <c r="CH74" i="3" s="1"/>
  <c r="CA135" i="5"/>
  <c r="CA137" i="5"/>
  <c r="CA73" i="3" s="1"/>
  <c r="CA74" i="3" s="1"/>
  <c r="BT135" i="5"/>
  <c r="BT137" i="5"/>
  <c r="BT73" i="3" s="1"/>
  <c r="BN135" i="5"/>
  <c r="BN137" i="5"/>
  <c r="BN73" i="3" s="1"/>
  <c r="BN74" i="3" s="1"/>
  <c r="BH135" i="5"/>
  <c r="BB135" i="5"/>
  <c r="AV135" i="5"/>
  <c r="AJ135" i="5"/>
  <c r="AD135" i="5"/>
  <c r="X135" i="5"/>
  <c r="R135" i="5"/>
  <c r="CK177" i="15"/>
  <c r="CP30" i="30"/>
  <c r="EE137" i="5"/>
  <c r="DX137" i="5"/>
  <c r="EK137" i="5"/>
  <c r="ED137" i="5"/>
  <c r="DV137" i="5"/>
  <c r="DO137" i="5"/>
  <c r="EM137" i="5"/>
  <c r="DI137" i="5"/>
  <c r="EJ137" i="5"/>
  <c r="EC137" i="5"/>
  <c r="DU137" i="5"/>
  <c r="DN137" i="5"/>
  <c r="DP137" i="5"/>
  <c r="EI137" i="5"/>
  <c r="DL137" i="5"/>
  <c r="EA137" i="5"/>
  <c r="EO137" i="5"/>
  <c r="EH137" i="5"/>
  <c r="DZ137" i="5"/>
  <c r="DS137" i="5"/>
  <c r="DK137" i="5"/>
  <c r="EP137" i="5"/>
  <c r="DT137" i="5"/>
  <c r="EN137" i="5"/>
  <c r="EF137" i="5"/>
  <c r="DY137" i="5"/>
  <c r="DQ137" i="5"/>
  <c r="DJ137" i="5"/>
  <c r="EL111" i="18"/>
  <c r="EG113" i="18"/>
  <c r="EG114" i="18"/>
  <c r="EG109" i="18"/>
  <c r="EG111" i="18"/>
  <c r="DM71" i="2"/>
  <c r="DR73" i="2"/>
  <c r="DR88" i="2"/>
  <c r="DW73" i="2"/>
  <c r="DW88" i="2"/>
  <c r="EG73" i="2"/>
  <c r="EG88" i="2"/>
  <c r="EB73" i="2"/>
  <c r="EB88" i="2"/>
  <c r="DH73" i="2"/>
  <c r="EL73" i="2"/>
  <c r="EL88" i="2"/>
  <c r="ER142" i="5"/>
  <c r="C108" i="5"/>
  <c r="D108" i="5"/>
  <c r="E108" i="5"/>
  <c r="F108" i="5"/>
  <c r="G108" i="5"/>
  <c r="H108" i="5"/>
  <c r="I108" i="5"/>
  <c r="J108" i="5"/>
  <c r="K108" i="5"/>
  <c r="L108" i="5"/>
  <c r="M108" i="5"/>
  <c r="N108" i="5"/>
  <c r="O108" i="5"/>
  <c r="P108" i="5"/>
  <c r="Q108" i="5"/>
  <c r="R108" i="5"/>
  <c r="S108" i="5"/>
  <c r="T108" i="5"/>
  <c r="U108" i="5"/>
  <c r="V108" i="5"/>
  <c r="W108" i="5"/>
  <c r="X108" i="5"/>
  <c r="Y108" i="5"/>
  <c r="Z108" i="5"/>
  <c r="AA108" i="5"/>
  <c r="AB108" i="5"/>
  <c r="AC108" i="5"/>
  <c r="AD108" i="5"/>
  <c r="AE108" i="5"/>
  <c r="AF108" i="5"/>
  <c r="AG108" i="5"/>
  <c r="AH108" i="5"/>
  <c r="AI108" i="5"/>
  <c r="AJ108" i="5"/>
  <c r="AK108" i="5"/>
  <c r="AL108" i="5"/>
  <c r="AM108" i="5"/>
  <c r="AN108" i="5"/>
  <c r="AO108" i="5"/>
  <c r="AP108" i="5"/>
  <c r="AQ108" i="5"/>
  <c r="AR108" i="5"/>
  <c r="AS108" i="5"/>
  <c r="AT108" i="5"/>
  <c r="AU108" i="5"/>
  <c r="AV108" i="5"/>
  <c r="AW108" i="5"/>
  <c r="AX108" i="5"/>
  <c r="AY108" i="5"/>
  <c r="AZ108" i="5"/>
  <c r="BA108" i="5"/>
  <c r="BB108" i="5"/>
  <c r="BC108" i="5"/>
  <c r="BD108" i="5"/>
  <c r="BE108" i="5"/>
  <c r="BF108" i="5"/>
  <c r="BG108" i="5"/>
  <c r="BH108" i="5"/>
  <c r="BI108" i="5"/>
  <c r="BJ108" i="5"/>
  <c r="BK108" i="5"/>
  <c r="BL108" i="5"/>
  <c r="BM108" i="5"/>
  <c r="BN108" i="5"/>
  <c r="BO108" i="5"/>
  <c r="BP108" i="5"/>
  <c r="BQ108" i="5"/>
  <c r="BR108" i="5"/>
  <c r="BS108" i="5"/>
  <c r="BT108" i="5"/>
  <c r="BU108" i="5"/>
  <c r="BV108" i="5"/>
  <c r="BW108" i="5"/>
  <c r="BX108" i="5"/>
  <c r="BZ108" i="5"/>
  <c r="CA108" i="5"/>
  <c r="CB108" i="5"/>
  <c r="CC108" i="5"/>
  <c r="CE108" i="5"/>
  <c r="CF108" i="5"/>
  <c r="CG108" i="5"/>
  <c r="CH108" i="5"/>
  <c r="CJ108" i="5"/>
  <c r="CK108" i="5"/>
  <c r="CL108" i="5"/>
  <c r="CM108" i="5"/>
  <c r="CO108" i="5"/>
  <c r="CP108" i="5"/>
  <c r="CQ108" i="5"/>
  <c r="CR108" i="5"/>
  <c r="CT108" i="5"/>
  <c r="CU108" i="5"/>
  <c r="CV108" i="5"/>
  <c r="CW108" i="5"/>
  <c r="CY108" i="5"/>
  <c r="CZ108" i="5"/>
  <c r="DA108" i="5"/>
  <c r="DB108" i="5"/>
  <c r="DD108" i="5"/>
  <c r="DE108" i="5"/>
  <c r="DF108" i="5"/>
  <c r="DG108" i="5"/>
  <c r="DI108" i="5"/>
  <c r="DJ108" i="5"/>
  <c r="DK108" i="5"/>
  <c r="DL108" i="5"/>
  <c r="DN108" i="5"/>
  <c r="DO108" i="5"/>
  <c r="DP108" i="5"/>
  <c r="DQ108" i="5"/>
  <c r="DS108" i="5"/>
  <c r="DT108" i="5"/>
  <c r="DU108" i="5"/>
  <c r="DV108" i="5"/>
  <c r="DX108" i="5"/>
  <c r="DY108" i="5"/>
  <c r="DZ108" i="5"/>
  <c r="EA108" i="5"/>
  <c r="EC108" i="5"/>
  <c r="ED108" i="5"/>
  <c r="EE108" i="5"/>
  <c r="EF108" i="5"/>
  <c r="EH108" i="5"/>
  <c r="EI108" i="5"/>
  <c r="EJ108" i="5"/>
  <c r="EK108" i="5"/>
  <c r="EM108" i="5"/>
  <c r="EN108" i="5"/>
  <c r="EO108" i="5"/>
  <c r="EP108" i="5"/>
  <c r="ER108" i="5"/>
  <c r="C95" i="5"/>
  <c r="D95" i="5"/>
  <c r="E95" i="5"/>
  <c r="F95" i="5"/>
  <c r="G95" i="5"/>
  <c r="H95" i="5"/>
  <c r="I95" i="5"/>
  <c r="J95" i="5"/>
  <c r="K95" i="5"/>
  <c r="L95" i="5"/>
  <c r="M95" i="5"/>
  <c r="N95" i="5"/>
  <c r="O95" i="5"/>
  <c r="P95" i="5"/>
  <c r="Q95" i="5"/>
  <c r="R95" i="5"/>
  <c r="S95" i="5"/>
  <c r="T95" i="5"/>
  <c r="U95" i="5"/>
  <c r="V95" i="5"/>
  <c r="W95" i="5"/>
  <c r="X95" i="5"/>
  <c r="Y95" i="5"/>
  <c r="Z95" i="5"/>
  <c r="AA95" i="5"/>
  <c r="AB95" i="5"/>
  <c r="AC95" i="5"/>
  <c r="AD95" i="5"/>
  <c r="AE95" i="5"/>
  <c r="AF95" i="5"/>
  <c r="AG95" i="5"/>
  <c r="AH95" i="5"/>
  <c r="AI95" i="5"/>
  <c r="AJ95" i="5"/>
  <c r="AK95" i="5"/>
  <c r="AL95" i="5"/>
  <c r="AM95" i="5"/>
  <c r="AN95" i="5"/>
  <c r="AO95" i="5"/>
  <c r="AP95" i="5"/>
  <c r="AQ95" i="5"/>
  <c r="AR95" i="5"/>
  <c r="AS95" i="5"/>
  <c r="AT95" i="5"/>
  <c r="AU95" i="5"/>
  <c r="AV95" i="5"/>
  <c r="AW95" i="5"/>
  <c r="AX95" i="5"/>
  <c r="AY95" i="5"/>
  <c r="AZ95" i="5"/>
  <c r="BA95" i="5"/>
  <c r="BB95" i="5"/>
  <c r="BC95" i="5"/>
  <c r="BD95" i="5"/>
  <c r="BE95" i="5"/>
  <c r="BF95" i="5"/>
  <c r="BG95" i="5"/>
  <c r="BH95" i="5"/>
  <c r="BI95" i="5"/>
  <c r="BJ95" i="5"/>
  <c r="BK95" i="5"/>
  <c r="BL95" i="5"/>
  <c r="BM95" i="5"/>
  <c r="BN95" i="5"/>
  <c r="BO95" i="5"/>
  <c r="BP95" i="5"/>
  <c r="BQ95" i="5"/>
  <c r="BR95" i="5"/>
  <c r="BS95" i="5"/>
  <c r="BT95" i="5"/>
  <c r="BU95" i="5"/>
  <c r="BV95" i="5"/>
  <c r="BW95" i="5"/>
  <c r="BX95" i="5"/>
  <c r="BZ95" i="5"/>
  <c r="CA95" i="5"/>
  <c r="CB95" i="5"/>
  <c r="CC95" i="5"/>
  <c r="CE95" i="5"/>
  <c r="CF95" i="5"/>
  <c r="CG95" i="5"/>
  <c r="CH95" i="5"/>
  <c r="CJ95" i="5"/>
  <c r="CK95" i="5"/>
  <c r="CL95" i="5"/>
  <c r="CM95" i="5"/>
  <c r="CO95" i="5"/>
  <c r="CP95" i="5"/>
  <c r="CQ95" i="5"/>
  <c r="CR95" i="5"/>
  <c r="CT95" i="5"/>
  <c r="CU95" i="5"/>
  <c r="CV95" i="5"/>
  <c r="CW95" i="5"/>
  <c r="CY95" i="5"/>
  <c r="CZ95" i="5"/>
  <c r="DA95" i="5"/>
  <c r="DB95" i="5"/>
  <c r="DD95" i="5"/>
  <c r="DE95" i="5"/>
  <c r="DF95" i="5"/>
  <c r="DG95" i="5"/>
  <c r="DI95" i="5"/>
  <c r="DJ95" i="5"/>
  <c r="DK95" i="5"/>
  <c r="DL95" i="5"/>
  <c r="DN95" i="5"/>
  <c r="DO95" i="5"/>
  <c r="DP95" i="5"/>
  <c r="DQ95" i="5"/>
  <c r="DS95" i="5"/>
  <c r="DT95" i="5"/>
  <c r="DU95" i="5"/>
  <c r="DV95" i="5"/>
  <c r="DX95" i="5"/>
  <c r="DY95" i="5"/>
  <c r="DZ95" i="5"/>
  <c r="EA95" i="5"/>
  <c r="EC95" i="5"/>
  <c r="ED95" i="5"/>
  <c r="EE95" i="5"/>
  <c r="EF95" i="5"/>
  <c r="EH95" i="5"/>
  <c r="EI95" i="5"/>
  <c r="EJ95" i="5"/>
  <c r="EK95" i="5"/>
  <c r="EM95" i="5"/>
  <c r="EN95" i="5"/>
  <c r="EO95" i="5"/>
  <c r="EP95" i="5"/>
  <c r="C98" i="5"/>
  <c r="D98" i="5"/>
  <c r="E98" i="5"/>
  <c r="F98" i="5"/>
  <c r="G98" i="5"/>
  <c r="H98" i="5"/>
  <c r="I98" i="5"/>
  <c r="J98" i="5"/>
  <c r="K98" i="5"/>
  <c r="L98" i="5"/>
  <c r="M98" i="5"/>
  <c r="N98" i="5"/>
  <c r="O98" i="5"/>
  <c r="P98" i="5"/>
  <c r="Q98" i="5"/>
  <c r="R98" i="5"/>
  <c r="S98" i="5"/>
  <c r="T98" i="5"/>
  <c r="U98" i="5"/>
  <c r="V98" i="5"/>
  <c r="W98" i="5"/>
  <c r="X98" i="5"/>
  <c r="Y98" i="5"/>
  <c r="Z98" i="5"/>
  <c r="AA98" i="5"/>
  <c r="AB98" i="5"/>
  <c r="AC98" i="5"/>
  <c r="AD98" i="5"/>
  <c r="AE98" i="5"/>
  <c r="AF98" i="5"/>
  <c r="AG98" i="5"/>
  <c r="AH98" i="5"/>
  <c r="AI98" i="5"/>
  <c r="AJ98" i="5"/>
  <c r="AK98" i="5"/>
  <c r="AL98" i="5"/>
  <c r="AM98" i="5"/>
  <c r="AN98" i="5"/>
  <c r="AO98" i="5"/>
  <c r="AP98" i="5"/>
  <c r="AQ98" i="5"/>
  <c r="AR98" i="5"/>
  <c r="AS98" i="5"/>
  <c r="AT98" i="5"/>
  <c r="AU98" i="5"/>
  <c r="AV98" i="5"/>
  <c r="AW98" i="5"/>
  <c r="AX98" i="5"/>
  <c r="AY98" i="5"/>
  <c r="AZ98" i="5"/>
  <c r="BA98" i="5"/>
  <c r="BB98" i="5"/>
  <c r="BC98" i="5"/>
  <c r="BD98" i="5"/>
  <c r="BE98" i="5"/>
  <c r="BF98" i="5"/>
  <c r="BG98" i="5"/>
  <c r="BH98" i="5"/>
  <c r="BI98" i="5"/>
  <c r="BJ98" i="5"/>
  <c r="BK98" i="5"/>
  <c r="BL98" i="5"/>
  <c r="BM98" i="5"/>
  <c r="BN98" i="5"/>
  <c r="BO98" i="5"/>
  <c r="BP98" i="5"/>
  <c r="BQ98" i="5"/>
  <c r="BR98" i="5"/>
  <c r="BS98" i="5"/>
  <c r="BT98" i="5"/>
  <c r="BU98" i="5"/>
  <c r="BV98" i="5"/>
  <c r="BW98" i="5"/>
  <c r="BX98" i="5"/>
  <c r="BZ98" i="5"/>
  <c r="CA98" i="5"/>
  <c r="CB98" i="5"/>
  <c r="CC98" i="5"/>
  <c r="CE98" i="5"/>
  <c r="CF98" i="5"/>
  <c r="CG98" i="5"/>
  <c r="CH98" i="5"/>
  <c r="CJ98" i="5"/>
  <c r="CK98" i="5"/>
  <c r="CL98" i="5"/>
  <c r="CM98" i="5"/>
  <c r="CO98" i="5"/>
  <c r="CP98" i="5"/>
  <c r="CQ98" i="5"/>
  <c r="CR98" i="5"/>
  <c r="CT98" i="5"/>
  <c r="CU98" i="5"/>
  <c r="CV98" i="5"/>
  <c r="CW98" i="5"/>
  <c r="CY98" i="5"/>
  <c r="CZ98" i="5"/>
  <c r="DA98" i="5"/>
  <c r="DB98" i="5"/>
  <c r="DD98" i="5"/>
  <c r="DE98" i="5"/>
  <c r="DF98" i="5"/>
  <c r="DG98" i="5"/>
  <c r="DI98" i="5"/>
  <c r="DJ98" i="5"/>
  <c r="DK98" i="5"/>
  <c r="DL98" i="5"/>
  <c r="DN98" i="5"/>
  <c r="DO98" i="5"/>
  <c r="DP98" i="5"/>
  <c r="DQ98" i="5"/>
  <c r="DS98" i="5"/>
  <c r="DT98" i="5"/>
  <c r="DU98" i="5"/>
  <c r="DV98" i="5"/>
  <c r="DX98" i="5"/>
  <c r="DY98" i="5"/>
  <c r="DZ98" i="5"/>
  <c r="EA98" i="5"/>
  <c r="EC98" i="5"/>
  <c r="ED98" i="5"/>
  <c r="EE98" i="5"/>
  <c r="EF98" i="5"/>
  <c r="EH98" i="5"/>
  <c r="EI98" i="5"/>
  <c r="EJ98" i="5"/>
  <c r="EK98" i="5"/>
  <c r="EM98" i="5"/>
  <c r="EN98" i="5"/>
  <c r="EO98" i="5"/>
  <c r="EP98" i="5"/>
  <c r="ER98" i="5"/>
  <c r="ER95" i="5"/>
  <c r="BY57" i="6"/>
  <c r="BY43" i="6"/>
  <c r="BY42" i="6"/>
  <c r="BY22" i="8" s="1"/>
  <c r="BY31" i="8" s="1"/>
  <c r="BY41" i="6"/>
  <c r="BY40" i="6"/>
  <c r="BY38" i="6"/>
  <c r="BY36" i="6"/>
  <c r="BY55" i="6"/>
  <c r="BY53" i="6"/>
  <c r="BY52" i="6"/>
  <c r="BY51" i="6"/>
  <c r="BY50" i="6"/>
  <c r="BY49" i="6"/>
  <c r="BY30" i="6"/>
  <c r="BY98" i="5" s="1"/>
  <c r="BY29" i="6"/>
  <c r="BY95" i="5" s="1"/>
  <c r="BY28" i="6"/>
  <c r="BY88" i="5" s="1"/>
  <c r="BY27" i="6"/>
  <c r="BY39" i="7" s="1"/>
  <c r="BY26" i="6"/>
  <c r="BY85" i="5" s="1"/>
  <c r="BY25" i="6"/>
  <c r="BY79" i="5" s="1"/>
  <c r="BY24" i="6"/>
  <c r="BY76" i="5" s="1"/>
  <c r="BY23" i="6"/>
  <c r="BY73" i="5" s="1"/>
  <c r="BY22" i="6"/>
  <c r="BY17" i="6"/>
  <c r="BY15" i="6"/>
  <c r="BY14" i="6"/>
  <c r="BY13" i="6"/>
  <c r="BY231" i="3" s="1"/>
  <c r="CD57" i="6"/>
  <c r="CD43" i="6"/>
  <c r="CD42" i="6"/>
  <c r="CD22" i="8" s="1"/>
  <c r="CD31" i="8" s="1"/>
  <c r="CD41" i="6"/>
  <c r="CD40" i="6"/>
  <c r="CD38" i="6"/>
  <c r="CD36" i="6"/>
  <c r="CD55" i="6"/>
  <c r="CD53" i="6"/>
  <c r="CD52" i="6"/>
  <c r="CD51" i="6"/>
  <c r="CD50" i="6"/>
  <c r="CD49" i="6"/>
  <c r="CD30" i="6"/>
  <c r="CD98" i="5" s="1"/>
  <c r="CD29" i="6"/>
  <c r="CD95" i="5" s="1"/>
  <c r="CD28" i="6"/>
  <c r="CD88" i="5" s="1"/>
  <c r="CD27" i="6"/>
  <c r="CD39" i="7" s="1"/>
  <c r="CD26" i="6"/>
  <c r="CD85" i="5" s="1"/>
  <c r="CD25" i="6"/>
  <c r="CD79" i="5" s="1"/>
  <c r="CD24" i="6"/>
  <c r="CD76" i="5" s="1"/>
  <c r="CD23" i="6"/>
  <c r="CD73" i="5" s="1"/>
  <c r="CD22" i="6"/>
  <c r="CD17" i="6"/>
  <c r="CD15" i="6"/>
  <c r="CD14" i="6"/>
  <c r="CD13" i="6"/>
  <c r="CD231" i="3" s="1"/>
  <c r="CI57" i="6"/>
  <c r="CI43" i="6"/>
  <c r="CI42" i="6"/>
  <c r="CI22" i="8" s="1"/>
  <c r="CI31" i="8" s="1"/>
  <c r="CI41" i="6"/>
  <c r="CI40" i="6"/>
  <c r="CI38" i="6"/>
  <c r="CI36" i="6"/>
  <c r="CI55" i="6"/>
  <c r="CI53" i="6"/>
  <c r="CI52" i="6"/>
  <c r="CI51" i="6"/>
  <c r="CI50" i="6"/>
  <c r="CI49" i="6"/>
  <c r="CI30" i="6"/>
  <c r="CI98" i="5" s="1"/>
  <c r="CI29" i="6"/>
  <c r="CI95" i="5" s="1"/>
  <c r="CI28" i="6"/>
  <c r="CI88" i="5" s="1"/>
  <c r="CI27" i="6"/>
  <c r="CI39" i="7" s="1"/>
  <c r="CI26" i="6"/>
  <c r="CI85" i="5" s="1"/>
  <c r="CI25" i="6"/>
  <c r="CI79" i="5" s="1"/>
  <c r="CI24" i="6"/>
  <c r="CI76" i="5" s="1"/>
  <c r="CI23" i="6"/>
  <c r="CI73" i="5" s="1"/>
  <c r="CI22" i="6"/>
  <c r="CI17" i="6"/>
  <c r="CI15" i="6"/>
  <c r="CI14" i="6"/>
  <c r="CI13" i="6"/>
  <c r="CI231" i="3" s="1"/>
  <c r="CN57" i="6"/>
  <c r="CN43" i="6"/>
  <c r="CN42" i="6"/>
  <c r="CN22" i="8" s="1"/>
  <c r="CN31" i="8" s="1"/>
  <c r="CN41" i="6"/>
  <c r="CN40" i="6"/>
  <c r="CN38" i="6"/>
  <c r="CN36" i="6"/>
  <c r="CN55" i="6"/>
  <c r="CN53" i="6"/>
  <c r="CN52" i="6"/>
  <c r="CN51" i="6"/>
  <c r="CN50" i="6"/>
  <c r="CN49" i="6"/>
  <c r="CN30" i="6"/>
  <c r="CN98" i="5" s="1"/>
  <c r="CN29" i="6"/>
  <c r="CN95" i="5" s="1"/>
  <c r="CN28" i="6"/>
  <c r="CN88" i="5" s="1"/>
  <c r="CN27" i="6"/>
  <c r="CN39" i="7" s="1"/>
  <c r="CN26" i="6"/>
  <c r="CN85" i="5" s="1"/>
  <c r="CN25" i="6"/>
  <c r="CN79" i="5" s="1"/>
  <c r="CN24" i="6"/>
  <c r="CN76" i="5" s="1"/>
  <c r="CN23" i="6"/>
  <c r="CN73" i="5" s="1"/>
  <c r="CN22" i="6"/>
  <c r="CN17" i="6"/>
  <c r="CN15" i="6"/>
  <c r="CN14" i="6"/>
  <c r="CN13" i="6"/>
  <c r="CN231" i="3" s="1"/>
  <c r="CS57" i="6"/>
  <c r="CS43" i="6"/>
  <c r="CS42" i="6"/>
  <c r="CS22" i="8" s="1"/>
  <c r="CS31" i="8" s="1"/>
  <c r="CS41" i="6"/>
  <c r="CS40" i="6"/>
  <c r="CS38" i="6"/>
  <c r="CS36" i="6"/>
  <c r="CS55" i="6"/>
  <c r="CS53" i="6"/>
  <c r="CS52" i="6"/>
  <c r="CS51" i="6"/>
  <c r="CS50" i="6"/>
  <c r="CS49" i="6"/>
  <c r="CS30" i="6"/>
  <c r="CS98" i="5" s="1"/>
  <c r="CS29" i="6"/>
  <c r="CS95" i="5" s="1"/>
  <c r="CS28" i="6"/>
  <c r="CS88" i="5" s="1"/>
  <c r="CS27" i="6"/>
  <c r="CS39" i="7" s="1"/>
  <c r="CS26" i="6"/>
  <c r="CS85" i="5" s="1"/>
  <c r="CS25" i="6"/>
  <c r="CS79" i="5" s="1"/>
  <c r="CS24" i="6"/>
  <c r="CS76" i="5" s="1"/>
  <c r="CS23" i="6"/>
  <c r="CS73" i="5" s="1"/>
  <c r="CS22" i="6"/>
  <c r="CS17" i="6"/>
  <c r="CS15" i="6"/>
  <c r="CS14" i="6"/>
  <c r="CS13" i="6"/>
  <c r="CS231" i="3" s="1"/>
  <c r="CX57" i="6"/>
  <c r="CX43" i="6"/>
  <c r="CX42" i="6"/>
  <c r="CX22" i="8" s="1"/>
  <c r="CX31" i="8" s="1"/>
  <c r="CX41" i="6"/>
  <c r="CX40" i="6"/>
  <c r="CX38" i="6"/>
  <c r="CX36" i="6"/>
  <c r="CX55" i="6"/>
  <c r="CX53" i="6"/>
  <c r="CX52" i="6"/>
  <c r="CX51" i="6"/>
  <c r="CX50" i="6"/>
  <c r="CX49" i="6"/>
  <c r="CX30" i="6"/>
  <c r="CX98" i="5" s="1"/>
  <c r="CX29" i="6"/>
  <c r="CX95" i="5" s="1"/>
  <c r="CX28" i="6"/>
  <c r="CX88" i="5" s="1"/>
  <c r="CX27" i="6"/>
  <c r="CX39" i="7" s="1"/>
  <c r="CX26" i="6"/>
  <c r="CX85" i="5" s="1"/>
  <c r="CX25" i="6"/>
  <c r="CX79" i="5" s="1"/>
  <c r="CX24" i="6"/>
  <c r="CX76" i="5" s="1"/>
  <c r="CX23" i="6"/>
  <c r="CX73" i="5" s="1"/>
  <c r="CX22" i="6"/>
  <c r="CX14" i="6"/>
  <c r="CX13" i="6"/>
  <c r="CX231" i="3" s="1"/>
  <c r="DC57" i="6"/>
  <c r="DC43" i="6"/>
  <c r="DC42" i="6"/>
  <c r="DC22" i="8" s="1"/>
  <c r="DC31" i="8" s="1"/>
  <c r="DC41" i="6"/>
  <c r="DC40" i="6"/>
  <c r="DC38" i="6"/>
  <c r="DC36" i="6"/>
  <c r="DC55" i="6"/>
  <c r="DC53" i="6"/>
  <c r="DC52" i="6"/>
  <c r="DC51" i="6"/>
  <c r="DC50" i="6"/>
  <c r="DC49" i="6"/>
  <c r="DC30" i="6"/>
  <c r="DC98" i="5" s="1"/>
  <c r="DC29" i="6"/>
  <c r="DC95" i="5" s="1"/>
  <c r="DC28" i="6"/>
  <c r="DC88" i="5" s="1"/>
  <c r="DC27" i="6"/>
  <c r="DC39" i="7" s="1"/>
  <c r="DC26" i="6"/>
  <c r="DC85" i="5" s="1"/>
  <c r="DC25" i="6"/>
  <c r="DC79" i="5" s="1"/>
  <c r="DC24" i="6"/>
  <c r="DC76" i="5" s="1"/>
  <c r="DC23" i="6"/>
  <c r="DC73" i="5" s="1"/>
  <c r="DC22" i="6"/>
  <c r="DC17" i="6"/>
  <c r="DC15" i="6"/>
  <c r="DC14" i="6"/>
  <c r="DC13" i="6"/>
  <c r="DC231" i="3" s="1"/>
  <c r="DH57" i="6"/>
  <c r="DH43" i="6"/>
  <c r="DH42" i="6"/>
  <c r="DH22" i="8" s="1"/>
  <c r="DH31" i="8" s="1"/>
  <c r="DH41" i="6"/>
  <c r="DH40" i="6"/>
  <c r="DH38" i="6"/>
  <c r="DH36" i="6"/>
  <c r="DH55" i="6"/>
  <c r="DH53" i="6"/>
  <c r="DH52" i="6"/>
  <c r="DH51" i="6"/>
  <c r="DH50" i="6"/>
  <c r="DH49" i="6"/>
  <c r="DH30" i="6"/>
  <c r="DH98" i="5" s="1"/>
  <c r="DH29" i="6"/>
  <c r="DH95" i="5" s="1"/>
  <c r="DH28" i="6"/>
  <c r="DH88" i="5" s="1"/>
  <c r="DH27" i="6"/>
  <c r="DH39" i="7" s="1"/>
  <c r="DH26" i="6"/>
  <c r="DH85" i="5" s="1"/>
  <c r="DH25" i="6"/>
  <c r="DH79" i="5" s="1"/>
  <c r="DH24" i="6"/>
  <c r="DH76" i="5" s="1"/>
  <c r="DH23" i="6"/>
  <c r="DH73" i="5" s="1"/>
  <c r="DH22" i="6"/>
  <c r="DH17" i="6"/>
  <c r="DH15" i="6"/>
  <c r="DH14" i="6"/>
  <c r="DH13" i="6"/>
  <c r="DH231" i="3" s="1"/>
  <c r="DM57" i="6"/>
  <c r="DM43" i="6"/>
  <c r="DM42" i="6"/>
  <c r="DM22" i="8" s="1"/>
  <c r="DM31" i="8" s="1"/>
  <c r="DM41" i="6"/>
  <c r="DM40" i="6"/>
  <c r="DM38" i="6"/>
  <c r="DM36" i="6"/>
  <c r="DM55" i="6"/>
  <c r="DM53" i="6"/>
  <c r="DM52" i="6"/>
  <c r="DM51" i="6"/>
  <c r="DM50" i="6"/>
  <c r="DM49" i="6"/>
  <c r="DM30" i="6"/>
  <c r="DM98" i="5" s="1"/>
  <c r="DM29" i="6"/>
  <c r="DM95" i="5" s="1"/>
  <c r="DM28" i="6"/>
  <c r="DM88" i="5" s="1"/>
  <c r="DM27" i="6"/>
  <c r="DM26" i="6"/>
  <c r="DM85" i="5" s="1"/>
  <c r="DM25" i="6"/>
  <c r="DM79" i="5" s="1"/>
  <c r="DM24" i="6"/>
  <c r="DM76" i="5" s="1"/>
  <c r="DM23" i="6"/>
  <c r="DM73" i="5" s="1"/>
  <c r="DM22" i="6"/>
  <c r="DM17" i="6"/>
  <c r="DM15" i="6"/>
  <c r="DM14" i="6"/>
  <c r="DM13" i="6"/>
  <c r="DM231" i="3" s="1"/>
  <c r="DR57" i="6"/>
  <c r="DR43" i="6"/>
  <c r="DR42" i="6"/>
  <c r="DR22" i="8" s="1"/>
  <c r="DR31" i="8" s="1"/>
  <c r="DR41" i="6"/>
  <c r="DR40" i="6"/>
  <c r="DR38" i="6"/>
  <c r="DR36" i="6"/>
  <c r="DR55" i="6"/>
  <c r="DR53" i="6"/>
  <c r="DR52" i="6"/>
  <c r="DR51" i="6"/>
  <c r="DR50" i="6"/>
  <c r="DR49" i="6"/>
  <c r="DR30" i="6"/>
  <c r="DR98" i="5" s="1"/>
  <c r="DR29" i="6"/>
  <c r="DR95" i="5" s="1"/>
  <c r="DR28" i="6"/>
  <c r="DR88" i="5" s="1"/>
  <c r="DR27" i="6"/>
  <c r="DR26" i="6"/>
  <c r="DR85" i="5" s="1"/>
  <c r="DR25" i="6"/>
  <c r="DR79" i="5" s="1"/>
  <c r="DR24" i="6"/>
  <c r="DR76" i="5" s="1"/>
  <c r="DR23" i="6"/>
  <c r="DR73" i="5" s="1"/>
  <c r="DR22" i="6"/>
  <c r="DR17" i="6"/>
  <c r="DR15" i="6"/>
  <c r="DR14" i="6"/>
  <c r="DR13" i="6"/>
  <c r="DR231" i="3" s="1"/>
  <c r="DW57" i="6"/>
  <c r="DW43" i="6"/>
  <c r="DW42" i="6"/>
  <c r="DW22" i="8" s="1"/>
  <c r="DW31" i="8" s="1"/>
  <c r="DW41" i="6"/>
  <c r="DW40" i="6"/>
  <c r="DW38" i="6"/>
  <c r="DW36" i="6"/>
  <c r="DW55" i="6"/>
  <c r="DW53" i="6"/>
  <c r="DW52" i="6"/>
  <c r="DW51" i="6"/>
  <c r="DW50" i="6"/>
  <c r="DW49" i="6"/>
  <c r="DW30" i="6"/>
  <c r="DW98" i="5" s="1"/>
  <c r="DW29" i="6"/>
  <c r="DW95" i="5" s="1"/>
  <c r="DW28" i="6"/>
  <c r="DW88" i="5" s="1"/>
  <c r="DW27" i="6"/>
  <c r="DW26" i="6"/>
  <c r="DW85" i="5" s="1"/>
  <c r="DW25" i="6"/>
  <c r="DW79" i="5" s="1"/>
  <c r="DW24" i="6"/>
  <c r="DW76" i="5" s="1"/>
  <c r="DW23" i="6"/>
  <c r="DW73" i="5" s="1"/>
  <c r="DW22" i="6"/>
  <c r="DW17" i="6"/>
  <c r="DW15" i="6"/>
  <c r="DW14" i="6"/>
  <c r="DW13" i="6"/>
  <c r="DW231" i="3" s="1"/>
  <c r="EB57" i="6"/>
  <c r="EB43" i="6"/>
  <c r="EB42" i="6"/>
  <c r="EB22" i="8" s="1"/>
  <c r="EB31" i="8" s="1"/>
  <c r="EB41" i="6"/>
  <c r="EB40" i="6"/>
  <c r="EB55" i="6"/>
  <c r="EB53" i="6"/>
  <c r="EB52" i="6"/>
  <c r="EB51" i="6"/>
  <c r="EB50" i="6"/>
  <c r="EB49" i="6"/>
  <c r="EB30" i="6"/>
  <c r="EB98" i="5" s="1"/>
  <c r="EB29" i="6"/>
  <c r="EB95" i="5" s="1"/>
  <c r="EB28" i="6"/>
  <c r="EB88" i="5" s="1"/>
  <c r="EB27" i="6"/>
  <c r="EB26" i="6"/>
  <c r="EB85" i="5" s="1"/>
  <c r="EB25" i="6"/>
  <c r="EB79" i="5" s="1"/>
  <c r="EB24" i="6"/>
  <c r="EB76" i="5" s="1"/>
  <c r="EB23" i="6"/>
  <c r="EB73" i="5" s="1"/>
  <c r="EB22" i="6"/>
  <c r="EB17" i="6"/>
  <c r="EB15" i="6"/>
  <c r="EB14" i="6"/>
  <c r="EB13" i="6"/>
  <c r="EB231" i="3" s="1"/>
  <c r="EG57" i="6"/>
  <c r="EG43" i="6"/>
  <c r="EG42" i="6"/>
  <c r="EG22" i="8" s="1"/>
  <c r="EG41" i="6"/>
  <c r="EG40" i="6"/>
  <c r="EG55" i="6"/>
  <c r="EG53" i="6"/>
  <c r="EG52" i="6"/>
  <c r="EG51" i="6"/>
  <c r="EG50" i="6"/>
  <c r="EG49" i="6"/>
  <c r="EG30" i="6"/>
  <c r="EG98" i="5" s="1"/>
  <c r="EG29" i="6"/>
  <c r="EG95" i="5" s="1"/>
  <c r="EG28" i="6"/>
  <c r="EG88" i="5" s="1"/>
  <c r="EG27" i="6"/>
  <c r="EG26" i="6"/>
  <c r="EG85" i="5" s="1"/>
  <c r="EG25" i="6"/>
  <c r="EG79" i="5" s="1"/>
  <c r="EG24" i="6"/>
  <c r="EG76" i="5" s="1"/>
  <c r="EG23" i="6"/>
  <c r="EG73" i="5" s="1"/>
  <c r="EG22" i="6"/>
  <c r="EG17" i="6"/>
  <c r="EG15" i="6"/>
  <c r="EG14" i="6"/>
  <c r="EG13" i="6"/>
  <c r="EG231" i="3" s="1"/>
  <c r="EL57" i="6"/>
  <c r="EL43" i="6"/>
  <c r="EL42" i="6"/>
  <c r="EL22" i="8" s="1"/>
  <c r="EL31" i="8" s="1"/>
  <c r="EL41" i="6"/>
  <c r="EL40" i="6"/>
  <c r="EL55" i="6"/>
  <c r="EL53" i="6"/>
  <c r="EL52" i="6"/>
  <c r="EL51" i="6"/>
  <c r="EL50" i="6"/>
  <c r="EL49" i="6"/>
  <c r="EL30" i="6"/>
  <c r="EL98" i="5" s="1"/>
  <c r="EL29" i="6"/>
  <c r="EL95" i="5" s="1"/>
  <c r="EL28" i="6"/>
  <c r="EL88" i="5" s="1"/>
  <c r="EL27" i="6"/>
  <c r="EL26" i="6"/>
  <c r="EL85" i="5" s="1"/>
  <c r="EL25" i="6"/>
  <c r="EL79" i="5" s="1"/>
  <c r="EL24" i="6"/>
  <c r="EL76" i="5" s="1"/>
  <c r="EL23" i="6"/>
  <c r="EL73" i="5" s="1"/>
  <c r="EL22" i="6"/>
  <c r="EL17" i="6"/>
  <c r="EL15" i="6"/>
  <c r="EL14" i="6"/>
  <c r="EL13" i="6"/>
  <c r="EL231" i="3" s="1"/>
  <c r="C85" i="5"/>
  <c r="D85" i="5"/>
  <c r="E85" i="5"/>
  <c r="F85" i="5"/>
  <c r="G85" i="5"/>
  <c r="H85" i="5"/>
  <c r="I85" i="5"/>
  <c r="J85" i="5"/>
  <c r="K85" i="5"/>
  <c r="L85" i="5"/>
  <c r="M85" i="5"/>
  <c r="N85" i="5"/>
  <c r="O85" i="5"/>
  <c r="P85" i="5"/>
  <c r="Q85" i="5"/>
  <c r="R85" i="5"/>
  <c r="S85" i="5"/>
  <c r="T85" i="5"/>
  <c r="U85" i="5"/>
  <c r="V85" i="5"/>
  <c r="W85" i="5"/>
  <c r="X85" i="5"/>
  <c r="Y85" i="5"/>
  <c r="Z85" i="5"/>
  <c r="AA85" i="5"/>
  <c r="AB85" i="5"/>
  <c r="AC85" i="5"/>
  <c r="AD85" i="5"/>
  <c r="AE85" i="5"/>
  <c r="AF85" i="5"/>
  <c r="AG85" i="5"/>
  <c r="AH85" i="5"/>
  <c r="AI85" i="5"/>
  <c r="AJ85" i="5"/>
  <c r="AK85" i="5"/>
  <c r="AL85" i="5"/>
  <c r="AM85" i="5"/>
  <c r="AN85" i="5"/>
  <c r="AO85" i="5"/>
  <c r="AP85" i="5"/>
  <c r="AQ85" i="5"/>
  <c r="AR85" i="5"/>
  <c r="AS85" i="5"/>
  <c r="AT85" i="5"/>
  <c r="AU85" i="5"/>
  <c r="AV85" i="5"/>
  <c r="AW85" i="5"/>
  <c r="AX85" i="5"/>
  <c r="AY85" i="5"/>
  <c r="AZ85" i="5"/>
  <c r="BA85" i="5"/>
  <c r="BB85" i="5"/>
  <c r="BC85" i="5"/>
  <c r="BD85" i="5"/>
  <c r="BE85" i="5"/>
  <c r="BF85" i="5"/>
  <c r="BG85" i="5"/>
  <c r="BH85" i="5"/>
  <c r="BI85" i="5"/>
  <c r="BJ85" i="5"/>
  <c r="BK85" i="5"/>
  <c r="BL85" i="5"/>
  <c r="BM85" i="5"/>
  <c r="BN85" i="5"/>
  <c r="BO85" i="5"/>
  <c r="BP85" i="5"/>
  <c r="BQ85" i="5"/>
  <c r="BR85" i="5"/>
  <c r="BS85" i="5"/>
  <c r="BT85" i="5"/>
  <c r="BU85" i="5"/>
  <c r="BV85" i="5"/>
  <c r="BW85" i="5"/>
  <c r="BX85" i="5"/>
  <c r="BZ85" i="5"/>
  <c r="CA85" i="5"/>
  <c r="CB85" i="5"/>
  <c r="CC85" i="5"/>
  <c r="CE85" i="5"/>
  <c r="CF85" i="5"/>
  <c r="CG85" i="5"/>
  <c r="CH85" i="5"/>
  <c r="CJ85" i="5"/>
  <c r="CK85" i="5"/>
  <c r="CL85" i="5"/>
  <c r="CM85" i="5"/>
  <c r="CO85" i="5"/>
  <c r="CP85" i="5"/>
  <c r="CQ85" i="5"/>
  <c r="CR85" i="5"/>
  <c r="CT85" i="5"/>
  <c r="CU85" i="5"/>
  <c r="CV85" i="5"/>
  <c r="CW85" i="5"/>
  <c r="CY85" i="5"/>
  <c r="CZ85" i="5"/>
  <c r="DA85" i="5"/>
  <c r="DB85" i="5"/>
  <c r="DD85" i="5"/>
  <c r="DE85" i="5"/>
  <c r="DF85" i="5"/>
  <c r="DG85" i="5"/>
  <c r="DI85" i="5"/>
  <c r="DJ85" i="5"/>
  <c r="DK85" i="5"/>
  <c r="DL85" i="5"/>
  <c r="DN85" i="5"/>
  <c r="DO85" i="5"/>
  <c r="DP85" i="5"/>
  <c r="DQ85" i="5"/>
  <c r="DS85" i="5"/>
  <c r="DT85" i="5"/>
  <c r="DU85" i="5"/>
  <c r="DV85" i="5"/>
  <c r="DX85" i="5"/>
  <c r="DY85" i="5"/>
  <c r="DZ85" i="5"/>
  <c r="EA85" i="5"/>
  <c r="EC85" i="5"/>
  <c r="ED85" i="5"/>
  <c r="EE85" i="5"/>
  <c r="EF85" i="5"/>
  <c r="EH85" i="5"/>
  <c r="EI85" i="5"/>
  <c r="EJ85" i="5"/>
  <c r="EK85" i="5"/>
  <c r="EM85" i="5"/>
  <c r="EN85" i="5"/>
  <c r="EO85" i="5"/>
  <c r="EP85" i="5"/>
  <c r="ER85" i="5"/>
  <c r="C79" i="5"/>
  <c r="D79" i="5"/>
  <c r="E79" i="5"/>
  <c r="F79" i="5"/>
  <c r="G79" i="5"/>
  <c r="H79" i="5"/>
  <c r="I79" i="5"/>
  <c r="J79" i="5"/>
  <c r="K79" i="5"/>
  <c r="L79" i="5"/>
  <c r="M79" i="5"/>
  <c r="N79" i="5"/>
  <c r="O79" i="5"/>
  <c r="P79" i="5"/>
  <c r="Q79" i="5"/>
  <c r="R79" i="5"/>
  <c r="S79" i="5"/>
  <c r="T79" i="5"/>
  <c r="U79" i="5"/>
  <c r="V79" i="5"/>
  <c r="W79" i="5"/>
  <c r="X79" i="5"/>
  <c r="Y79" i="5"/>
  <c r="Z79" i="5"/>
  <c r="AA79" i="5"/>
  <c r="AB79" i="5"/>
  <c r="AC79" i="5"/>
  <c r="AD79" i="5"/>
  <c r="AE79" i="5"/>
  <c r="AF79" i="5"/>
  <c r="AG79" i="5"/>
  <c r="AH79" i="5"/>
  <c r="AI79" i="5"/>
  <c r="AJ79" i="5"/>
  <c r="AK79" i="5"/>
  <c r="AL79" i="5"/>
  <c r="AM79" i="5"/>
  <c r="AN79" i="5"/>
  <c r="AO79" i="5"/>
  <c r="AP79" i="5"/>
  <c r="AQ79" i="5"/>
  <c r="AR79" i="5"/>
  <c r="AS79" i="5"/>
  <c r="AT79" i="5"/>
  <c r="AU79" i="5"/>
  <c r="AV79" i="5"/>
  <c r="AW79" i="5"/>
  <c r="AX79" i="5"/>
  <c r="AY79" i="5"/>
  <c r="AZ79" i="5"/>
  <c r="BA79" i="5"/>
  <c r="BB79" i="5"/>
  <c r="BC79" i="5"/>
  <c r="BD79" i="5"/>
  <c r="BE79" i="5"/>
  <c r="BF79" i="5"/>
  <c r="BG79" i="5"/>
  <c r="BH79" i="5"/>
  <c r="BI79" i="5"/>
  <c r="BJ79" i="5"/>
  <c r="BK79" i="5"/>
  <c r="BL79" i="5"/>
  <c r="BM79" i="5"/>
  <c r="BN79" i="5"/>
  <c r="BO79" i="5"/>
  <c r="BP79" i="5"/>
  <c r="BQ79" i="5"/>
  <c r="BR79" i="5"/>
  <c r="BS79" i="5"/>
  <c r="BT79" i="5"/>
  <c r="BU79" i="5"/>
  <c r="BV79" i="5"/>
  <c r="BW79" i="5"/>
  <c r="BX79" i="5"/>
  <c r="BZ79" i="5"/>
  <c r="CA79" i="5"/>
  <c r="CB79" i="5"/>
  <c r="CC79" i="5"/>
  <c r="CE79" i="5"/>
  <c r="CF79" i="5"/>
  <c r="CG79" i="5"/>
  <c r="CH79" i="5"/>
  <c r="CJ79" i="5"/>
  <c r="CK79" i="5"/>
  <c r="CL79" i="5"/>
  <c r="CM79" i="5"/>
  <c r="CO79" i="5"/>
  <c r="CP79" i="5"/>
  <c r="CQ79" i="5"/>
  <c r="CR79" i="5"/>
  <c r="CT79" i="5"/>
  <c r="CU79" i="5"/>
  <c r="CV79" i="5"/>
  <c r="CW79" i="5"/>
  <c r="CY79" i="5"/>
  <c r="CZ79" i="5"/>
  <c r="DA79" i="5"/>
  <c r="DB79" i="5"/>
  <c r="DD79" i="5"/>
  <c r="DE79" i="5"/>
  <c r="DF79" i="5"/>
  <c r="DG79" i="5"/>
  <c r="DI79" i="5"/>
  <c r="DJ79" i="5"/>
  <c r="DK79" i="5"/>
  <c r="DL79" i="5"/>
  <c r="DN79" i="5"/>
  <c r="DO79" i="5"/>
  <c r="DP79" i="5"/>
  <c r="DQ79" i="5"/>
  <c r="DS79" i="5"/>
  <c r="DT79" i="5"/>
  <c r="DU79" i="5"/>
  <c r="DV79" i="5"/>
  <c r="DX79" i="5"/>
  <c r="DY79" i="5"/>
  <c r="DZ79" i="5"/>
  <c r="EA79" i="5"/>
  <c r="EC79" i="5"/>
  <c r="ED79" i="5"/>
  <c r="EE79" i="5"/>
  <c r="EF79" i="5"/>
  <c r="EH79" i="5"/>
  <c r="EI79" i="5"/>
  <c r="EJ79" i="5"/>
  <c r="EK79" i="5"/>
  <c r="EM79" i="5"/>
  <c r="EN79" i="5"/>
  <c r="EO79" i="5"/>
  <c r="EP79" i="5"/>
  <c r="C76" i="5"/>
  <c r="D76" i="5"/>
  <c r="E76" i="5"/>
  <c r="F76" i="5"/>
  <c r="G76" i="5"/>
  <c r="H76" i="5"/>
  <c r="I76" i="5"/>
  <c r="J76" i="5"/>
  <c r="K76" i="5"/>
  <c r="L76" i="5"/>
  <c r="M76" i="5"/>
  <c r="N76" i="5"/>
  <c r="O76" i="5"/>
  <c r="P76" i="5"/>
  <c r="Q76" i="5"/>
  <c r="R76" i="5"/>
  <c r="S76" i="5"/>
  <c r="T76" i="5"/>
  <c r="U76" i="5"/>
  <c r="V76" i="5"/>
  <c r="W76" i="5"/>
  <c r="X76" i="5"/>
  <c r="Y76" i="5"/>
  <c r="Z76" i="5"/>
  <c r="AA76" i="5"/>
  <c r="AB76" i="5"/>
  <c r="AC76" i="5"/>
  <c r="AD76" i="5"/>
  <c r="AE76" i="5"/>
  <c r="AF76" i="5"/>
  <c r="AG76" i="5"/>
  <c r="AH76" i="5"/>
  <c r="AI76" i="5"/>
  <c r="AJ76" i="5"/>
  <c r="AK76" i="5"/>
  <c r="AL76" i="5"/>
  <c r="AM76" i="5"/>
  <c r="AN76" i="5"/>
  <c r="AO76" i="5"/>
  <c r="AP76" i="5"/>
  <c r="AQ76" i="5"/>
  <c r="AR76" i="5"/>
  <c r="AS76" i="5"/>
  <c r="AT76" i="5"/>
  <c r="AU76" i="5"/>
  <c r="AV76" i="5"/>
  <c r="AW76" i="5"/>
  <c r="AX76" i="5"/>
  <c r="AY76" i="5"/>
  <c r="AZ76" i="5"/>
  <c r="BA76" i="5"/>
  <c r="BB76" i="5"/>
  <c r="BC76" i="5"/>
  <c r="BD76" i="5"/>
  <c r="BE76" i="5"/>
  <c r="BF76" i="5"/>
  <c r="BG76" i="5"/>
  <c r="BH76" i="5"/>
  <c r="BI76" i="5"/>
  <c r="BJ76" i="5"/>
  <c r="BK76" i="5"/>
  <c r="BL76" i="5"/>
  <c r="BM76" i="5"/>
  <c r="BN76" i="5"/>
  <c r="BO76" i="5"/>
  <c r="BP76" i="5"/>
  <c r="BQ76" i="5"/>
  <c r="BR76" i="5"/>
  <c r="BS76" i="5"/>
  <c r="BT76" i="5"/>
  <c r="BU76" i="5"/>
  <c r="BV76" i="5"/>
  <c r="BW76" i="5"/>
  <c r="BX76" i="5"/>
  <c r="BZ76" i="5"/>
  <c r="CA76" i="5"/>
  <c r="CB76" i="5"/>
  <c r="CC76" i="5"/>
  <c r="CE76" i="5"/>
  <c r="CF76" i="5"/>
  <c r="CG76" i="5"/>
  <c r="CH76" i="5"/>
  <c r="CJ76" i="5"/>
  <c r="CK76" i="5"/>
  <c r="CL76" i="5"/>
  <c r="CM76" i="5"/>
  <c r="CO76" i="5"/>
  <c r="CP76" i="5"/>
  <c r="CQ76" i="5"/>
  <c r="CR76" i="5"/>
  <c r="CT76" i="5"/>
  <c r="CU76" i="5"/>
  <c r="CV76" i="5"/>
  <c r="CW76" i="5"/>
  <c r="CY76" i="5"/>
  <c r="CZ76" i="5"/>
  <c r="DA76" i="5"/>
  <c r="DB76" i="5"/>
  <c r="DD76" i="5"/>
  <c r="DE76" i="5"/>
  <c r="DF76" i="5"/>
  <c r="DG76" i="5"/>
  <c r="DI76" i="5"/>
  <c r="DJ76" i="5"/>
  <c r="DK76" i="5"/>
  <c r="DL76" i="5"/>
  <c r="DN76" i="5"/>
  <c r="DO76" i="5"/>
  <c r="DP76" i="5"/>
  <c r="DQ76" i="5"/>
  <c r="DS76" i="5"/>
  <c r="DT76" i="5"/>
  <c r="DU76" i="5"/>
  <c r="DV76" i="5"/>
  <c r="DX76" i="5"/>
  <c r="DY76" i="5"/>
  <c r="DZ76" i="5"/>
  <c r="EA76" i="5"/>
  <c r="EC76" i="5"/>
  <c r="ED76" i="5"/>
  <c r="EE76" i="5"/>
  <c r="EF76" i="5"/>
  <c r="EH76" i="5"/>
  <c r="EI76" i="5"/>
  <c r="EJ76" i="5"/>
  <c r="EK76" i="5"/>
  <c r="EM76" i="5"/>
  <c r="EN76" i="5"/>
  <c r="EO76" i="5"/>
  <c r="EP76" i="5"/>
  <c r="ER76" i="5"/>
  <c r="FT27" i="15" l="1"/>
  <c r="GI30" i="30"/>
  <c r="GI31" i="30" s="1"/>
  <c r="GI50" i="18"/>
  <c r="GI90" i="15"/>
  <c r="GI114" i="15" s="1"/>
  <c r="GI111" i="15"/>
  <c r="GI112" i="15"/>
  <c r="GI113" i="15"/>
  <c r="GI49" i="42"/>
  <c r="GD10" i="15"/>
  <c r="GD230" i="15" s="1"/>
  <c r="GD53" i="18"/>
  <c r="GD33" i="30"/>
  <c r="FT56" i="3"/>
  <c r="GD50" i="42"/>
  <c r="FT62" i="42"/>
  <c r="FT45" i="42"/>
  <c r="FT57" i="42"/>
  <c r="FY44" i="42"/>
  <c r="FY57" i="42" s="1"/>
  <c r="GD51" i="42"/>
  <c r="FY11" i="15"/>
  <c r="FY14" i="15"/>
  <c r="FY23" i="15"/>
  <c r="FY24" i="15" s="1"/>
  <c r="FY96" i="15"/>
  <c r="FY230" i="15"/>
  <c r="FY115" i="15"/>
  <c r="GD94" i="15"/>
  <c r="GD31" i="30"/>
  <c r="GD34" i="30"/>
  <c r="GD51" i="18"/>
  <c r="GD55" i="18"/>
  <c r="GD54" i="18"/>
  <c r="GD215" i="15"/>
  <c r="GD114" i="15"/>
  <c r="GD91" i="15"/>
  <c r="GD32" i="30"/>
  <c r="DZ142" i="5"/>
  <c r="DP142" i="5"/>
  <c r="BK142" i="5"/>
  <c r="BR142" i="5"/>
  <c r="DB142" i="5"/>
  <c r="BM142" i="5"/>
  <c r="BZ142" i="5"/>
  <c r="CO142" i="5"/>
  <c r="DD142" i="5"/>
  <c r="BL142" i="5"/>
  <c r="DN142" i="5"/>
  <c r="DO142" i="5"/>
  <c r="CA142" i="5"/>
  <c r="CP142" i="5"/>
  <c r="DE142" i="5"/>
  <c r="CR142" i="5"/>
  <c r="CC142" i="5"/>
  <c r="CZ142" i="5"/>
  <c r="BQ142" i="5"/>
  <c r="CT142" i="5"/>
  <c r="DT142" i="5"/>
  <c r="DU142" i="5"/>
  <c r="DV142" i="5"/>
  <c r="BN142" i="5"/>
  <c r="BU142" i="5"/>
  <c r="CJ142" i="5"/>
  <c r="CY142" i="5"/>
  <c r="BW142" i="5"/>
  <c r="DJ142" i="5"/>
  <c r="EA142" i="5"/>
  <c r="CL142" i="5"/>
  <c r="CF142" i="5"/>
  <c r="BS142" i="5"/>
  <c r="CG142" i="5"/>
  <c r="CV142" i="5"/>
  <c r="CM142" i="5"/>
  <c r="DQ142" i="5"/>
  <c r="DK142" i="5"/>
  <c r="DL142" i="5"/>
  <c r="CH142" i="5"/>
  <c r="CW142" i="5"/>
  <c r="BP142" i="5"/>
  <c r="CU142" i="5"/>
  <c r="BV142" i="5"/>
  <c r="CK142" i="5"/>
  <c r="DG142" i="5"/>
  <c r="CE142" i="5"/>
  <c r="DY142" i="5"/>
  <c r="DS142" i="5"/>
  <c r="DI142" i="5"/>
  <c r="DX142" i="5"/>
  <c r="CB142" i="5"/>
  <c r="CQ142" i="5"/>
  <c r="DF142" i="5"/>
  <c r="DA142" i="5"/>
  <c r="BX142" i="5"/>
  <c r="ET111" i="5"/>
  <c r="ET110" i="5"/>
  <c r="CK30" i="30"/>
  <c r="EM142" i="5"/>
  <c r="EJ142" i="5"/>
  <c r="EK142" i="5"/>
  <c r="EF142" i="5"/>
  <c r="EP142" i="5"/>
  <c r="EH142" i="5"/>
  <c r="EN142" i="5"/>
  <c r="EO142" i="5"/>
  <c r="EI142" i="5"/>
  <c r="EC142" i="5"/>
  <c r="ED142" i="5"/>
  <c r="EE142" i="5"/>
  <c r="F112" i="5"/>
  <c r="AZ111" i="5"/>
  <c r="V111" i="5"/>
  <c r="BJ111" i="5"/>
  <c r="AF111" i="5"/>
  <c r="AK111" i="5"/>
  <c r="BE111" i="5"/>
  <c r="AA111" i="5"/>
  <c r="BO111" i="5"/>
  <c r="Q111" i="5"/>
  <c r="EN112" i="5"/>
  <c r="EN111" i="5"/>
  <c r="EF112" i="5"/>
  <c r="EF111" i="5"/>
  <c r="DY112" i="5"/>
  <c r="DY111" i="5"/>
  <c r="DQ112" i="5"/>
  <c r="DQ111" i="5"/>
  <c r="DJ112" i="5"/>
  <c r="DJ111" i="5"/>
  <c r="DB112" i="5"/>
  <c r="DB111" i="5"/>
  <c r="CU112" i="5"/>
  <c r="CU111" i="5"/>
  <c r="CM112" i="5"/>
  <c r="CM111" i="5"/>
  <c r="CF112" i="5"/>
  <c r="CF111" i="5"/>
  <c r="BX112" i="5"/>
  <c r="BX111" i="5"/>
  <c r="BR111" i="5"/>
  <c r="BR112" i="5"/>
  <c r="BL111" i="5"/>
  <c r="BL112" i="5"/>
  <c r="BF112" i="5"/>
  <c r="BF111" i="5"/>
  <c r="AT112" i="5"/>
  <c r="AT111" i="5"/>
  <c r="AN111" i="5"/>
  <c r="AN112" i="5"/>
  <c r="AH111" i="5"/>
  <c r="AH112" i="5"/>
  <c r="AB112" i="5"/>
  <c r="AB111" i="5"/>
  <c r="P112" i="5"/>
  <c r="P111" i="5"/>
  <c r="J111" i="5"/>
  <c r="J112" i="5"/>
  <c r="D112" i="5"/>
  <c r="EM112" i="5"/>
  <c r="EM111" i="5"/>
  <c r="EE112" i="5"/>
  <c r="EE111" i="5"/>
  <c r="DX112" i="5"/>
  <c r="DX111" i="5"/>
  <c r="DP112" i="5"/>
  <c r="DP111" i="5"/>
  <c r="DI112" i="5"/>
  <c r="DI111" i="5"/>
  <c r="DA112" i="5"/>
  <c r="DA111" i="5"/>
  <c r="CT112" i="5"/>
  <c r="CT111" i="5"/>
  <c r="CL112" i="5"/>
  <c r="CL111" i="5"/>
  <c r="CE112" i="5"/>
  <c r="CE111" i="5"/>
  <c r="BW112" i="5"/>
  <c r="BW111" i="5"/>
  <c r="BQ112" i="5"/>
  <c r="BQ111" i="5"/>
  <c r="BK111" i="5"/>
  <c r="BK112" i="5"/>
  <c r="AY112" i="5"/>
  <c r="AY111" i="5"/>
  <c r="AS112" i="5"/>
  <c r="AS111" i="5"/>
  <c r="AM112" i="5"/>
  <c r="AM111" i="5"/>
  <c r="AG111" i="5"/>
  <c r="AG112" i="5"/>
  <c r="U112" i="5"/>
  <c r="U111" i="5"/>
  <c r="O112" i="5"/>
  <c r="O111" i="5"/>
  <c r="I112" i="5"/>
  <c r="I111" i="5"/>
  <c r="EK112" i="5"/>
  <c r="EK111" i="5"/>
  <c r="ED112" i="5"/>
  <c r="ED111" i="5"/>
  <c r="DV111" i="5"/>
  <c r="DV112" i="5"/>
  <c r="DO112" i="5"/>
  <c r="DO111" i="5"/>
  <c r="DG112" i="5"/>
  <c r="DG111" i="5"/>
  <c r="CZ112" i="5"/>
  <c r="CZ111" i="5"/>
  <c r="CR111" i="5"/>
  <c r="CR112" i="5"/>
  <c r="CK112" i="5"/>
  <c r="CK111" i="5"/>
  <c r="CC112" i="5"/>
  <c r="CC111" i="5"/>
  <c r="BV112" i="5"/>
  <c r="BV111" i="5"/>
  <c r="BP112" i="5"/>
  <c r="BP111" i="5"/>
  <c r="BD112" i="5"/>
  <c r="BD111" i="5"/>
  <c r="AX112" i="5"/>
  <c r="AX111" i="5"/>
  <c r="AR112" i="5"/>
  <c r="AR111" i="5"/>
  <c r="AL112" i="5"/>
  <c r="AL111" i="5"/>
  <c r="Z112" i="5"/>
  <c r="Z111" i="5"/>
  <c r="T112" i="5"/>
  <c r="T111" i="5"/>
  <c r="N112" i="5"/>
  <c r="N111" i="5"/>
  <c r="H112" i="5"/>
  <c r="H111" i="5"/>
  <c r="ER112" i="5"/>
  <c r="ER111" i="5"/>
  <c r="EJ112" i="5"/>
  <c r="EJ111" i="5"/>
  <c r="EC111" i="5"/>
  <c r="EC112" i="5"/>
  <c r="DU111" i="5"/>
  <c r="DU112" i="5"/>
  <c r="DN112" i="5"/>
  <c r="DN111" i="5"/>
  <c r="DF112" i="5"/>
  <c r="DF111" i="5"/>
  <c r="CY111" i="5"/>
  <c r="CY112" i="5"/>
  <c r="CQ111" i="5"/>
  <c r="CQ112" i="5"/>
  <c r="CJ112" i="5"/>
  <c r="CJ111" i="5"/>
  <c r="CB112" i="5"/>
  <c r="CB111" i="5"/>
  <c r="BU111" i="5"/>
  <c r="BU112" i="5"/>
  <c r="BI112" i="5"/>
  <c r="BI111" i="5"/>
  <c r="BC111" i="5"/>
  <c r="BC112" i="5"/>
  <c r="AW111" i="5"/>
  <c r="AW112" i="5"/>
  <c r="AQ111" i="5"/>
  <c r="AQ112" i="5"/>
  <c r="AE112" i="5"/>
  <c r="AE111" i="5"/>
  <c r="Y111" i="5"/>
  <c r="Y112" i="5"/>
  <c r="S111" i="5"/>
  <c r="S112" i="5"/>
  <c r="M111" i="5"/>
  <c r="M112" i="5"/>
  <c r="EP112" i="5"/>
  <c r="EP111" i="5"/>
  <c r="EI111" i="5"/>
  <c r="EI112" i="5"/>
  <c r="EA111" i="5"/>
  <c r="EA112" i="5"/>
  <c r="DT111" i="5"/>
  <c r="DT112" i="5"/>
  <c r="DL112" i="5"/>
  <c r="DL111" i="5"/>
  <c r="DE111" i="5"/>
  <c r="DE112" i="5"/>
  <c r="CW111" i="5"/>
  <c r="CW112" i="5"/>
  <c r="CP111" i="5"/>
  <c r="CP112" i="5"/>
  <c r="CH112" i="5"/>
  <c r="CH111" i="5"/>
  <c r="CA111" i="5"/>
  <c r="CA112" i="5"/>
  <c r="BT111" i="5"/>
  <c r="BN111" i="5"/>
  <c r="BN112" i="5"/>
  <c r="BH112" i="5"/>
  <c r="BH111" i="5"/>
  <c r="BB112" i="5"/>
  <c r="BB111" i="5"/>
  <c r="AV111" i="5"/>
  <c r="AV112" i="5"/>
  <c r="AP111" i="5"/>
  <c r="AJ111" i="5"/>
  <c r="AJ112" i="5"/>
  <c r="AD112" i="5"/>
  <c r="AD111" i="5"/>
  <c r="X112" i="5"/>
  <c r="X111" i="5"/>
  <c r="R111" i="5"/>
  <c r="R112" i="5"/>
  <c r="L111" i="5"/>
  <c r="EO111" i="5"/>
  <c r="EO112" i="5"/>
  <c r="EH111" i="5"/>
  <c r="EH112" i="5"/>
  <c r="DZ111" i="5"/>
  <c r="DZ112" i="5"/>
  <c r="DS111" i="5"/>
  <c r="DS112" i="5"/>
  <c r="DK111" i="5"/>
  <c r="DK112" i="5"/>
  <c r="DD111" i="5"/>
  <c r="DD112" i="5"/>
  <c r="CV111" i="5"/>
  <c r="CV112" i="5"/>
  <c r="CO111" i="5"/>
  <c r="CO112" i="5"/>
  <c r="CG111" i="5"/>
  <c r="CG112" i="5"/>
  <c r="BZ111" i="5"/>
  <c r="BZ112" i="5"/>
  <c r="BS111" i="5"/>
  <c r="BS112" i="5"/>
  <c r="BM111" i="5"/>
  <c r="BM112" i="5"/>
  <c r="BG112" i="5"/>
  <c r="BG111" i="5"/>
  <c r="BA112" i="5"/>
  <c r="BA111" i="5"/>
  <c r="AU111" i="5"/>
  <c r="AO111" i="5"/>
  <c r="AO112" i="5"/>
  <c r="AI111" i="5"/>
  <c r="AI112" i="5"/>
  <c r="AC112" i="5"/>
  <c r="AC111" i="5"/>
  <c r="W112" i="5"/>
  <c r="W111" i="5"/>
  <c r="K111" i="5"/>
  <c r="K112" i="5"/>
  <c r="E112" i="5"/>
  <c r="DR134" i="5"/>
  <c r="DR34" i="8"/>
  <c r="DC134" i="5"/>
  <c r="DC34" i="8"/>
  <c r="CX34" i="8"/>
  <c r="CI134" i="5"/>
  <c r="CI34" i="8"/>
  <c r="EL39" i="7"/>
  <c r="EL34" i="2"/>
  <c r="EL35" i="2" s="1"/>
  <c r="EG39" i="7"/>
  <c r="EG34" i="2"/>
  <c r="EG35" i="2" s="1"/>
  <c r="EB39" i="7"/>
  <c r="EB34" i="2"/>
  <c r="EB35" i="2" s="1"/>
  <c r="DW39" i="7"/>
  <c r="DW34" i="2"/>
  <c r="DW35" i="2" s="1"/>
  <c r="DR150" i="5"/>
  <c r="DR20" i="8"/>
  <c r="DR108" i="5"/>
  <c r="DC150" i="5"/>
  <c r="DC20" i="8"/>
  <c r="DC108" i="5"/>
  <c r="CX108" i="5"/>
  <c r="CI150" i="5"/>
  <c r="CI20" i="8"/>
  <c r="CI108" i="5"/>
  <c r="EG34" i="8"/>
  <c r="EG43" i="8" s="1"/>
  <c r="EG44" i="8" s="1"/>
  <c r="EB34" i="8"/>
  <c r="DM134" i="5"/>
  <c r="DM34" i="8"/>
  <c r="CX134" i="5"/>
  <c r="CS134" i="5"/>
  <c r="CS34" i="8"/>
  <c r="CD134" i="5"/>
  <c r="CD34" i="8"/>
  <c r="DR39" i="7"/>
  <c r="DR34" i="2"/>
  <c r="DR35" i="2" s="1"/>
  <c r="DM150" i="5"/>
  <c r="DM20" i="8"/>
  <c r="DM108" i="5"/>
  <c r="CX150" i="5"/>
  <c r="CX20" i="8"/>
  <c r="CS150" i="5"/>
  <c r="CS20" i="8"/>
  <c r="CS108" i="5"/>
  <c r="CD150" i="5"/>
  <c r="CD20" i="8"/>
  <c r="CD108" i="5"/>
  <c r="EL134" i="5"/>
  <c r="EG134" i="5"/>
  <c r="EB134" i="5"/>
  <c r="DW134" i="5"/>
  <c r="DW34" i="8"/>
  <c r="DH134" i="5"/>
  <c r="DH34" i="8"/>
  <c r="CN134" i="5"/>
  <c r="CN34" i="8"/>
  <c r="BY134" i="5"/>
  <c r="BY34" i="8"/>
  <c r="EL34" i="8"/>
  <c r="EL43" i="8" s="1"/>
  <c r="EL150" i="5"/>
  <c r="EL20" i="8"/>
  <c r="EL108" i="5"/>
  <c r="EG150" i="5"/>
  <c r="EG20" i="8"/>
  <c r="EG108" i="5"/>
  <c r="EB150" i="5"/>
  <c r="EB20" i="8"/>
  <c r="EB108" i="5"/>
  <c r="DW150" i="5"/>
  <c r="DW20" i="8"/>
  <c r="DW108" i="5"/>
  <c r="DM39" i="7"/>
  <c r="DM34" i="2"/>
  <c r="DM35" i="2" s="1"/>
  <c r="DH150" i="5"/>
  <c r="DH20" i="8"/>
  <c r="DH108" i="5"/>
  <c r="CN150" i="5"/>
  <c r="CN20" i="8"/>
  <c r="CN108" i="5"/>
  <c r="BY150" i="5"/>
  <c r="BY152" i="5" s="1"/>
  <c r="BY20" i="8"/>
  <c r="BY108" i="5"/>
  <c r="ER110" i="5"/>
  <c r="ER10" i="30"/>
  <c r="EJ138" i="5"/>
  <c r="EK141" i="5" s="1"/>
  <c r="EJ10" i="30"/>
  <c r="EJ110" i="5"/>
  <c r="EC138" i="5"/>
  <c r="ED141" i="5" s="1"/>
  <c r="EC110" i="5"/>
  <c r="EC10" i="30"/>
  <c r="DU138" i="5"/>
  <c r="DV141" i="5" s="1"/>
  <c r="DU10" i="30"/>
  <c r="DU110" i="5"/>
  <c r="DN138" i="5"/>
  <c r="DO141" i="5" s="1"/>
  <c r="DN10" i="30"/>
  <c r="DN110" i="5"/>
  <c r="DF138" i="5"/>
  <c r="DG141" i="5" s="1"/>
  <c r="DF10" i="30"/>
  <c r="DF110" i="5"/>
  <c r="CY138" i="5"/>
  <c r="CZ141" i="5" s="1"/>
  <c r="CY110" i="5"/>
  <c r="CY10" i="30"/>
  <c r="CQ138" i="5"/>
  <c r="CR141" i="5" s="1"/>
  <c r="CQ10" i="30"/>
  <c r="CQ110" i="5"/>
  <c r="CJ138" i="5"/>
  <c r="CK141" i="5" s="1"/>
  <c r="CJ10" i="30"/>
  <c r="CJ110" i="5"/>
  <c r="CB138" i="5"/>
  <c r="CC141" i="5" s="1"/>
  <c r="CB10" i="30"/>
  <c r="CB110" i="5"/>
  <c r="BU138" i="5"/>
  <c r="BV141" i="5" s="1"/>
  <c r="BU10" i="30"/>
  <c r="BU110" i="5"/>
  <c r="BO138" i="5"/>
  <c r="BT141" i="5" s="1"/>
  <c r="BO110" i="5"/>
  <c r="BO10" i="30"/>
  <c r="BI138" i="5"/>
  <c r="BK141" i="5" s="1"/>
  <c r="BI10" i="30"/>
  <c r="BI110" i="5"/>
  <c r="BC138" i="5"/>
  <c r="BD141" i="5" s="1"/>
  <c r="BC10" i="30"/>
  <c r="BC110" i="5"/>
  <c r="AW138" i="5"/>
  <c r="AW141" i="5" s="1"/>
  <c r="AW10" i="30"/>
  <c r="AW110" i="5"/>
  <c r="AQ138" i="5"/>
  <c r="AQ141" i="5" s="1"/>
  <c r="AQ10" i="30"/>
  <c r="AQ110" i="5"/>
  <c r="AK138" i="5"/>
  <c r="AK10" i="30"/>
  <c r="AK110" i="5"/>
  <c r="AE138" i="5"/>
  <c r="AE141" i="5" s="1"/>
  <c r="AE10" i="30"/>
  <c r="AE110" i="5"/>
  <c r="Y138" i="5"/>
  <c r="Y141" i="5" s="1"/>
  <c r="Y10" i="30"/>
  <c r="Y110" i="5"/>
  <c r="S138" i="5"/>
  <c r="S141" i="5" s="1"/>
  <c r="S10" i="30"/>
  <c r="S110" i="5"/>
  <c r="M138" i="5"/>
  <c r="M141" i="5" s="1"/>
  <c r="M10" i="30"/>
  <c r="M110" i="5"/>
  <c r="G138" i="5"/>
  <c r="G10" i="30"/>
  <c r="EP138" i="5"/>
  <c r="ER141" i="5" s="1"/>
  <c r="EP10" i="30"/>
  <c r="EP110" i="5"/>
  <c r="EI138" i="5"/>
  <c r="EJ141" i="5" s="1"/>
  <c r="EI110" i="5"/>
  <c r="EI10" i="30"/>
  <c r="EA138" i="5"/>
  <c r="EC141" i="5" s="1"/>
  <c r="EA110" i="5"/>
  <c r="EA10" i="30"/>
  <c r="DT138" i="5"/>
  <c r="DU141" i="5" s="1"/>
  <c r="DT110" i="5"/>
  <c r="DT10" i="30"/>
  <c r="DL138" i="5"/>
  <c r="DN141" i="5" s="1"/>
  <c r="DL10" i="30"/>
  <c r="DL110" i="5"/>
  <c r="DE138" i="5"/>
  <c r="DF141" i="5" s="1"/>
  <c r="DE10" i="30"/>
  <c r="DE110" i="5"/>
  <c r="CW138" i="5"/>
  <c r="CY141" i="5" s="1"/>
  <c r="CW10" i="30"/>
  <c r="CW110" i="5"/>
  <c r="CP138" i="5"/>
  <c r="CQ141" i="5" s="1"/>
  <c r="CP10" i="30"/>
  <c r="CP110" i="5"/>
  <c r="CH138" i="5"/>
  <c r="CJ141" i="5" s="1"/>
  <c r="CH10" i="30"/>
  <c r="CH110" i="5"/>
  <c r="CA138" i="5"/>
  <c r="CB141" i="5" s="1"/>
  <c r="CA10" i="30"/>
  <c r="CA110" i="5"/>
  <c r="BT138" i="5"/>
  <c r="BT10" i="30"/>
  <c r="BT110" i="5"/>
  <c r="BN138" i="5"/>
  <c r="BP141" i="5" s="1"/>
  <c r="BN10" i="30"/>
  <c r="BN110" i="5"/>
  <c r="BH138" i="5"/>
  <c r="BI141" i="5" s="1"/>
  <c r="BH10" i="30"/>
  <c r="BH110" i="5"/>
  <c r="BB138" i="5"/>
  <c r="BC141" i="5" s="1"/>
  <c r="BB10" i="30"/>
  <c r="BB110" i="5"/>
  <c r="AV138" i="5"/>
  <c r="AV141" i="5" s="1"/>
  <c r="AV110" i="5"/>
  <c r="AV10" i="30"/>
  <c r="AP138" i="5"/>
  <c r="AP10" i="30"/>
  <c r="AP110" i="5"/>
  <c r="AJ138" i="5"/>
  <c r="AJ141" i="5" s="1"/>
  <c r="AJ10" i="30"/>
  <c r="AJ110" i="5"/>
  <c r="AD138" i="5"/>
  <c r="AD141" i="5" s="1"/>
  <c r="AD10" i="30"/>
  <c r="AD110" i="5"/>
  <c r="X138" i="5"/>
  <c r="X141" i="5" s="1"/>
  <c r="X10" i="30"/>
  <c r="X110" i="5"/>
  <c r="R138" i="5"/>
  <c r="R141" i="5" s="1"/>
  <c r="R10" i="30"/>
  <c r="R110" i="5"/>
  <c r="L138" i="5"/>
  <c r="L110" i="5"/>
  <c r="L10" i="30"/>
  <c r="F138" i="5"/>
  <c r="F141" i="5" s="1"/>
  <c r="F10" i="30"/>
  <c r="EO138" i="5"/>
  <c r="EP141" i="5" s="1"/>
  <c r="EO10" i="30"/>
  <c r="EO110" i="5"/>
  <c r="EH138" i="5"/>
  <c r="EI141" i="5" s="1"/>
  <c r="EH110" i="5"/>
  <c r="EH10" i="30"/>
  <c r="DZ138" i="5"/>
  <c r="EA141" i="5" s="1"/>
  <c r="DZ10" i="30"/>
  <c r="DZ110" i="5"/>
  <c r="DS138" i="5"/>
  <c r="DT141" i="5" s="1"/>
  <c r="DS110" i="5"/>
  <c r="DS10" i="30"/>
  <c r="DK138" i="5"/>
  <c r="DL141" i="5" s="1"/>
  <c r="DK110" i="5"/>
  <c r="DK10" i="30"/>
  <c r="DD138" i="5"/>
  <c r="DE141" i="5" s="1"/>
  <c r="DD110" i="5"/>
  <c r="DD10" i="30"/>
  <c r="CV138" i="5"/>
  <c r="CW141" i="5" s="1"/>
  <c r="CV10" i="30"/>
  <c r="CV110" i="5"/>
  <c r="CO138" i="5"/>
  <c r="CP141" i="5" s="1"/>
  <c r="CO10" i="30"/>
  <c r="CO110" i="5"/>
  <c r="CG138" i="5"/>
  <c r="CH141" i="5" s="1"/>
  <c r="CG10" i="30"/>
  <c r="CG110" i="5"/>
  <c r="BZ138" i="5"/>
  <c r="CA141" i="5" s="1"/>
  <c r="BZ10" i="30"/>
  <c r="BZ110" i="5"/>
  <c r="BS138" i="5"/>
  <c r="BU141" i="5" s="1"/>
  <c r="BS10" i="30"/>
  <c r="BS110" i="5"/>
  <c r="BM138" i="5"/>
  <c r="BN141" i="5" s="1"/>
  <c r="BM10" i="30"/>
  <c r="BM110" i="5"/>
  <c r="BG138" i="5"/>
  <c r="BH141" i="5" s="1"/>
  <c r="BG10" i="30"/>
  <c r="BG110" i="5"/>
  <c r="BA138" i="5"/>
  <c r="BB141" i="5" s="1"/>
  <c r="BA10" i="30"/>
  <c r="BA110" i="5"/>
  <c r="AU138" i="5"/>
  <c r="AU10" i="30"/>
  <c r="AU110" i="5"/>
  <c r="AO138" i="5"/>
  <c r="AO141" i="5" s="1"/>
  <c r="AO10" i="30"/>
  <c r="AO110" i="5"/>
  <c r="AI138" i="5"/>
  <c r="AI141" i="5" s="1"/>
  <c r="AI10" i="30"/>
  <c r="AI110" i="5"/>
  <c r="AC138" i="5"/>
  <c r="AC141" i="5" s="1"/>
  <c r="AC10" i="30"/>
  <c r="AC110" i="5"/>
  <c r="W138" i="5"/>
  <c r="W141" i="5" s="1"/>
  <c r="W10" i="30"/>
  <c r="W110" i="5"/>
  <c r="Q138" i="5"/>
  <c r="Q10" i="30"/>
  <c r="Q110" i="5"/>
  <c r="K138" i="5"/>
  <c r="K141" i="5" s="1"/>
  <c r="K10" i="30"/>
  <c r="K110" i="5"/>
  <c r="E138" i="5"/>
  <c r="E141" i="5" s="1"/>
  <c r="E10" i="30"/>
  <c r="EN138" i="5"/>
  <c r="EO141" i="5" s="1"/>
  <c r="EN110" i="5"/>
  <c r="EN10" i="30"/>
  <c r="EF138" i="5"/>
  <c r="EH141" i="5" s="1"/>
  <c r="EF10" i="30"/>
  <c r="EF110" i="5"/>
  <c r="DY138" i="5"/>
  <c r="DZ141" i="5" s="1"/>
  <c r="DY10" i="30"/>
  <c r="DY110" i="5"/>
  <c r="DQ138" i="5"/>
  <c r="DS141" i="5" s="1"/>
  <c r="DQ10" i="30"/>
  <c r="DQ110" i="5"/>
  <c r="DJ138" i="5"/>
  <c r="DK141" i="5" s="1"/>
  <c r="DJ110" i="5"/>
  <c r="DJ10" i="30"/>
  <c r="DB138" i="5"/>
  <c r="DD141" i="5" s="1"/>
  <c r="DB10" i="30"/>
  <c r="DB110" i="5"/>
  <c r="CU138" i="5"/>
  <c r="CV141" i="5" s="1"/>
  <c r="CU10" i="30"/>
  <c r="CU110" i="5"/>
  <c r="CM138" i="5"/>
  <c r="CO141" i="5" s="1"/>
  <c r="CM110" i="5"/>
  <c r="CM10" i="30"/>
  <c r="CF138" i="5"/>
  <c r="CG141" i="5" s="1"/>
  <c r="CF10" i="30"/>
  <c r="CF110" i="5"/>
  <c r="BX138" i="5"/>
  <c r="BZ141" i="5" s="1"/>
  <c r="BX10" i="30"/>
  <c r="BX110" i="5"/>
  <c r="BR138" i="5"/>
  <c r="BS141" i="5" s="1"/>
  <c r="BR10" i="30"/>
  <c r="BR110" i="5"/>
  <c r="BL138" i="5"/>
  <c r="BM141" i="5" s="1"/>
  <c r="BL10" i="30"/>
  <c r="BL110" i="5"/>
  <c r="BF138" i="5"/>
  <c r="BG141" i="5" s="1"/>
  <c r="BF10" i="30"/>
  <c r="BF110" i="5"/>
  <c r="AZ138" i="5"/>
  <c r="BE141" i="5" s="1"/>
  <c r="AZ10" i="30"/>
  <c r="AZ110" i="5"/>
  <c r="AT138" i="5"/>
  <c r="AT141" i="5" s="1"/>
  <c r="AT10" i="30"/>
  <c r="AT110" i="5"/>
  <c r="AN138" i="5"/>
  <c r="AN141" i="5" s="1"/>
  <c r="AN10" i="30"/>
  <c r="AN110" i="5"/>
  <c r="AH138" i="5"/>
  <c r="AH141" i="5" s="1"/>
  <c r="AH110" i="5"/>
  <c r="AH10" i="30"/>
  <c r="AB138" i="5"/>
  <c r="AB141" i="5" s="1"/>
  <c r="AB10" i="30"/>
  <c r="AB110" i="5"/>
  <c r="V138" i="5"/>
  <c r="V10" i="30"/>
  <c r="V110" i="5"/>
  <c r="P138" i="5"/>
  <c r="P141" i="5" s="1"/>
  <c r="P10" i="30"/>
  <c r="P110" i="5"/>
  <c r="J138" i="5"/>
  <c r="J141" i="5" s="1"/>
  <c r="J10" i="30"/>
  <c r="J110" i="5"/>
  <c r="D138" i="5"/>
  <c r="D141" i="5" s="1"/>
  <c r="D10" i="30"/>
  <c r="EM138" i="5"/>
  <c r="EN141" i="5" s="1"/>
  <c r="EM10" i="30"/>
  <c r="EM110" i="5"/>
  <c r="EE138" i="5"/>
  <c r="EF141" i="5" s="1"/>
  <c r="EE10" i="30"/>
  <c r="EE110" i="5"/>
  <c r="DX138" i="5"/>
  <c r="DY141" i="5" s="1"/>
  <c r="DX10" i="30"/>
  <c r="DX110" i="5"/>
  <c r="DP138" i="5"/>
  <c r="DQ141" i="5" s="1"/>
  <c r="DP110" i="5"/>
  <c r="DP10" i="30"/>
  <c r="DI138" i="5"/>
  <c r="DJ141" i="5" s="1"/>
  <c r="DI10" i="30"/>
  <c r="DI110" i="5"/>
  <c r="DA138" i="5"/>
  <c r="DB141" i="5" s="1"/>
  <c r="DA10" i="30"/>
  <c r="DA110" i="5"/>
  <c r="CT138" i="5"/>
  <c r="CU141" i="5" s="1"/>
  <c r="CT10" i="30"/>
  <c r="CT110" i="5"/>
  <c r="CL138" i="5"/>
  <c r="CM141" i="5" s="1"/>
  <c r="CL110" i="5"/>
  <c r="CL10" i="30"/>
  <c r="CE138" i="5"/>
  <c r="CF141" i="5" s="1"/>
  <c r="CE10" i="30"/>
  <c r="CE110" i="5"/>
  <c r="BW138" i="5"/>
  <c r="BX141" i="5" s="1"/>
  <c r="BW10" i="30"/>
  <c r="BW110" i="5"/>
  <c r="BQ138" i="5"/>
  <c r="BR141" i="5" s="1"/>
  <c r="BQ10" i="30"/>
  <c r="BQ110" i="5"/>
  <c r="BK138" i="5"/>
  <c r="BL141" i="5" s="1"/>
  <c r="BK10" i="30"/>
  <c r="BK110" i="5"/>
  <c r="BE138" i="5"/>
  <c r="BJ141" i="5" s="1"/>
  <c r="BE10" i="30"/>
  <c r="BE110" i="5"/>
  <c r="AY138" i="5"/>
  <c r="AY10" i="30"/>
  <c r="AY110" i="5"/>
  <c r="AS138" i="5"/>
  <c r="AS141" i="5" s="1"/>
  <c r="AS10" i="30"/>
  <c r="AS110" i="5"/>
  <c r="AM138" i="5"/>
  <c r="AM141" i="5" s="1"/>
  <c r="AM10" i="30"/>
  <c r="AM110" i="5"/>
  <c r="AG138" i="5"/>
  <c r="AG141" i="5" s="1"/>
  <c r="AG10" i="30"/>
  <c r="AG110" i="5"/>
  <c r="AA138" i="5"/>
  <c r="AA110" i="5"/>
  <c r="AA10" i="30"/>
  <c r="U138" i="5"/>
  <c r="U141" i="5" s="1"/>
  <c r="U10" i="30"/>
  <c r="U110" i="5"/>
  <c r="O138" i="5"/>
  <c r="O141" i="5" s="1"/>
  <c r="O10" i="30"/>
  <c r="O110" i="5"/>
  <c r="I138" i="5"/>
  <c r="I141" i="5" s="1"/>
  <c r="I10" i="30"/>
  <c r="I110" i="5"/>
  <c r="C138" i="5"/>
  <c r="C141" i="5" s="1"/>
  <c r="C10" i="30"/>
  <c r="C12" i="30" s="1"/>
  <c r="EK138" i="5"/>
  <c r="EM141" i="5" s="1"/>
  <c r="EK110" i="5"/>
  <c r="EK10" i="30"/>
  <c r="ED138" i="5"/>
  <c r="EE141" i="5" s="1"/>
  <c r="ED10" i="30"/>
  <c r="ED110" i="5"/>
  <c r="DV138" i="5"/>
  <c r="DX141" i="5" s="1"/>
  <c r="DV110" i="5"/>
  <c r="DV10" i="30"/>
  <c r="DO138" i="5"/>
  <c r="DP141" i="5" s="1"/>
  <c r="DO110" i="5"/>
  <c r="DO10" i="30"/>
  <c r="DG138" i="5"/>
  <c r="DI141" i="5" s="1"/>
  <c r="DG110" i="5"/>
  <c r="DG10" i="30"/>
  <c r="CZ138" i="5"/>
  <c r="DA141" i="5" s="1"/>
  <c r="CZ10" i="30"/>
  <c r="CZ110" i="5"/>
  <c r="CR138" i="5"/>
  <c r="CT141" i="5" s="1"/>
  <c r="CR110" i="5"/>
  <c r="CR10" i="30"/>
  <c r="CK138" i="5"/>
  <c r="CL141" i="5" s="1"/>
  <c r="CK10" i="30"/>
  <c r="CK110" i="5"/>
  <c r="CC138" i="5"/>
  <c r="CE141" i="5" s="1"/>
  <c r="CC10" i="30"/>
  <c r="CC110" i="5"/>
  <c r="BV138" i="5"/>
  <c r="BW141" i="5" s="1"/>
  <c r="BV10" i="30"/>
  <c r="BV110" i="5"/>
  <c r="BP138" i="5"/>
  <c r="BQ141" i="5" s="1"/>
  <c r="BP10" i="30"/>
  <c r="BP110" i="5"/>
  <c r="BJ138" i="5"/>
  <c r="BO141" i="5" s="1"/>
  <c r="BJ10" i="30"/>
  <c r="BJ110" i="5"/>
  <c r="BD138" i="5"/>
  <c r="BF141" i="5" s="1"/>
  <c r="BD10" i="30"/>
  <c r="BD110" i="5"/>
  <c r="AX138" i="5"/>
  <c r="AX141" i="5" s="1"/>
  <c r="AX10" i="30"/>
  <c r="AX110" i="5"/>
  <c r="AR138" i="5"/>
  <c r="AR141" i="5" s="1"/>
  <c r="AR10" i="30"/>
  <c r="AR110" i="5"/>
  <c r="AL138" i="5"/>
  <c r="AL141" i="5" s="1"/>
  <c r="AL10" i="30"/>
  <c r="AL110" i="5"/>
  <c r="AF138" i="5"/>
  <c r="AF10" i="30"/>
  <c r="AF110" i="5"/>
  <c r="Z138" i="5"/>
  <c r="Z141" i="5" s="1"/>
  <c r="Z10" i="30"/>
  <c r="Z110" i="5"/>
  <c r="T138" i="5"/>
  <c r="T141" i="5" s="1"/>
  <c r="T10" i="30"/>
  <c r="T110" i="5"/>
  <c r="N138" i="5"/>
  <c r="N141" i="5" s="1"/>
  <c r="N10" i="30"/>
  <c r="N110" i="5"/>
  <c r="H138" i="5"/>
  <c r="H141" i="5" s="1"/>
  <c r="H10" i="30"/>
  <c r="H110" i="5"/>
  <c r="ER138" i="5"/>
  <c r="DH152" i="5" l="1"/>
  <c r="BY138" i="5"/>
  <c r="DC138" i="5"/>
  <c r="CS138" i="5"/>
  <c r="CI138" i="5"/>
  <c r="CD10" i="30"/>
  <c r="FY62" i="42"/>
  <c r="GD44" i="42"/>
  <c r="GD52" i="42" s="1"/>
  <c r="GD115" i="15"/>
  <c r="GD96" i="15"/>
  <c r="GD14" i="15"/>
  <c r="GD11" i="15"/>
  <c r="GD23" i="15"/>
  <c r="GD27" i="15" s="1"/>
  <c r="GD13" i="2"/>
  <c r="GI91" i="15"/>
  <c r="GI94" i="15"/>
  <c r="GI10" i="15"/>
  <c r="GI96" i="15" s="1"/>
  <c r="GI215" i="15"/>
  <c r="GI53" i="18"/>
  <c r="GI54" i="18"/>
  <c r="GI55" i="18"/>
  <c r="GI51" i="18"/>
  <c r="GI51" i="42"/>
  <c r="GI32" i="30"/>
  <c r="GI34" i="30"/>
  <c r="GI33" i="30"/>
  <c r="GI50" i="42"/>
  <c r="EF11" i="30"/>
  <c r="DY11" i="30"/>
  <c r="DX11" i="30"/>
  <c r="EM11" i="30"/>
  <c r="FY45" i="42"/>
  <c r="FY52" i="42"/>
  <c r="EG10" i="30"/>
  <c r="DM10" i="30"/>
  <c r="EB138" i="5"/>
  <c r="FY27" i="15"/>
  <c r="FY56" i="3"/>
  <c r="DH138" i="5"/>
  <c r="DO11" i="30"/>
  <c r="DW135" i="5"/>
  <c r="EL135" i="5"/>
  <c r="ED11" i="30"/>
  <c r="EN11" i="30"/>
  <c r="DZ11" i="30"/>
  <c r="EB135" i="5"/>
  <c r="CS135" i="5"/>
  <c r="CS137" i="5"/>
  <c r="CS73" i="3" s="1"/>
  <c r="DM135" i="5"/>
  <c r="DC135" i="5"/>
  <c r="DC137" i="5"/>
  <c r="DR135" i="5"/>
  <c r="CN135" i="5"/>
  <c r="CN137" i="5"/>
  <c r="CN73" i="3" s="1"/>
  <c r="DH135" i="5"/>
  <c r="DH137" i="5"/>
  <c r="CD135" i="5"/>
  <c r="CD137" i="5"/>
  <c r="CD73" i="3" s="1"/>
  <c r="CX135" i="5"/>
  <c r="CX137" i="5"/>
  <c r="CX73" i="3" s="1"/>
  <c r="BY135" i="5"/>
  <c r="BY137" i="5"/>
  <c r="BY73" i="3" s="1"/>
  <c r="EO11" i="30"/>
  <c r="CI135" i="5"/>
  <c r="CI137" i="5"/>
  <c r="CI73" i="3" s="1"/>
  <c r="AY141" i="5"/>
  <c r="BA141" i="5"/>
  <c r="EG135" i="5"/>
  <c r="DP11" i="30"/>
  <c r="DQ11" i="30"/>
  <c r="AA11" i="30"/>
  <c r="AZ11" i="30"/>
  <c r="L11" i="30"/>
  <c r="EE11" i="30"/>
  <c r="BT11" i="30"/>
  <c r="EL44" i="8"/>
  <c r="EA11" i="30"/>
  <c r="EP11" i="30"/>
  <c r="BJ11" i="30"/>
  <c r="AU11" i="30"/>
  <c r="V11" i="30"/>
  <c r="EH11" i="30"/>
  <c r="AY11" i="30"/>
  <c r="AY12" i="30"/>
  <c r="AL11" i="30"/>
  <c r="AL12" i="30"/>
  <c r="BV12" i="30"/>
  <c r="BV11" i="30"/>
  <c r="AH12" i="30"/>
  <c r="AH11" i="30"/>
  <c r="H11" i="30"/>
  <c r="H12" i="30"/>
  <c r="T11" i="30"/>
  <c r="T12" i="30"/>
  <c r="AF11" i="30"/>
  <c r="AR11" i="30"/>
  <c r="AR12" i="30"/>
  <c r="BD12" i="30"/>
  <c r="BD11" i="30"/>
  <c r="BP11" i="30"/>
  <c r="BP12" i="30"/>
  <c r="CC11" i="30"/>
  <c r="CC12" i="30"/>
  <c r="CM12" i="30"/>
  <c r="CM11" i="30"/>
  <c r="E12" i="30"/>
  <c r="Q11" i="30"/>
  <c r="AC12" i="30"/>
  <c r="AC11" i="30"/>
  <c r="AO12" i="30"/>
  <c r="AO11" i="30"/>
  <c r="BA12" i="30"/>
  <c r="BA11" i="30"/>
  <c r="BM12" i="30"/>
  <c r="BM11" i="30"/>
  <c r="BZ11" i="30"/>
  <c r="BZ12" i="30"/>
  <c r="CO12" i="30"/>
  <c r="CO11" i="30"/>
  <c r="CY11" i="30"/>
  <c r="CY12" i="30"/>
  <c r="EC11" i="30"/>
  <c r="ER11" i="30"/>
  <c r="D12" i="30"/>
  <c r="P12" i="30"/>
  <c r="P11" i="30"/>
  <c r="AB12" i="30"/>
  <c r="AB11" i="30"/>
  <c r="AN12" i="30"/>
  <c r="AN11" i="30"/>
  <c r="BL12" i="30"/>
  <c r="BL11" i="30"/>
  <c r="BX12" i="30"/>
  <c r="BX11" i="30"/>
  <c r="DB12" i="30"/>
  <c r="DB11" i="30"/>
  <c r="AV11" i="30"/>
  <c r="AV12" i="30"/>
  <c r="M11" i="30"/>
  <c r="M12" i="30"/>
  <c r="Y11" i="30"/>
  <c r="Y12" i="30"/>
  <c r="AK11" i="30"/>
  <c r="AW12" i="30"/>
  <c r="AW11" i="30"/>
  <c r="BI12" i="30"/>
  <c r="BI11" i="30"/>
  <c r="BU11" i="30"/>
  <c r="BU12" i="30"/>
  <c r="CJ12" i="30"/>
  <c r="CJ11" i="30"/>
  <c r="DN11" i="30"/>
  <c r="BW12" i="30"/>
  <c r="BW11" i="30"/>
  <c r="DK11" i="30"/>
  <c r="DK12" i="30"/>
  <c r="X11" i="30"/>
  <c r="X12" i="30"/>
  <c r="AJ11" i="30"/>
  <c r="AJ12" i="30"/>
  <c r="BH11" i="30"/>
  <c r="BH12" i="30"/>
  <c r="CH11" i="30"/>
  <c r="CH12" i="30"/>
  <c r="CW12" i="30"/>
  <c r="CW11" i="30"/>
  <c r="DL12" i="30"/>
  <c r="DL11" i="30"/>
  <c r="DJ11" i="30"/>
  <c r="DJ12" i="30"/>
  <c r="W11" i="30"/>
  <c r="W12" i="30"/>
  <c r="AI11" i="30"/>
  <c r="AI12" i="30"/>
  <c r="CG11" i="30"/>
  <c r="CG12" i="30"/>
  <c r="CV12" i="30"/>
  <c r="CV11" i="30"/>
  <c r="BO11" i="30"/>
  <c r="CL11" i="30"/>
  <c r="CL12" i="30"/>
  <c r="O12" i="30"/>
  <c r="O11" i="30"/>
  <c r="BK12" i="30"/>
  <c r="BK11" i="30"/>
  <c r="N11" i="30"/>
  <c r="N12" i="30"/>
  <c r="BS12" i="30"/>
  <c r="BS11" i="30"/>
  <c r="J12" i="30"/>
  <c r="J11" i="30"/>
  <c r="AT12" i="30"/>
  <c r="AT11" i="30"/>
  <c r="BF12" i="30"/>
  <c r="BF11" i="30"/>
  <c r="BR12" i="30"/>
  <c r="BR11" i="30"/>
  <c r="CF11" i="30"/>
  <c r="CF12" i="30"/>
  <c r="CU11" i="30"/>
  <c r="CU12" i="30"/>
  <c r="DT11" i="30"/>
  <c r="EI11" i="30"/>
  <c r="S12" i="30"/>
  <c r="S11" i="30"/>
  <c r="AE12" i="30"/>
  <c r="AE11" i="30"/>
  <c r="AQ11" i="30"/>
  <c r="AQ12" i="30"/>
  <c r="BC11" i="30"/>
  <c r="BC12" i="30"/>
  <c r="CB11" i="30"/>
  <c r="CB12" i="30"/>
  <c r="CQ12" i="30"/>
  <c r="CQ11" i="30"/>
  <c r="DF12" i="30"/>
  <c r="DF11" i="30"/>
  <c r="DU11" i="30"/>
  <c r="EJ11" i="30"/>
  <c r="AM11" i="30"/>
  <c r="AM12" i="30"/>
  <c r="DA12" i="30"/>
  <c r="DA11" i="30"/>
  <c r="Z11" i="30"/>
  <c r="Z12" i="30"/>
  <c r="AX11" i="30"/>
  <c r="AX12" i="30"/>
  <c r="CK12" i="30"/>
  <c r="CK11" i="30"/>
  <c r="CZ12" i="30"/>
  <c r="CZ11" i="30"/>
  <c r="K11" i="30"/>
  <c r="K12" i="30"/>
  <c r="BG12" i="30"/>
  <c r="BG11" i="30"/>
  <c r="CR11" i="30"/>
  <c r="CR12" i="30"/>
  <c r="DG11" i="30"/>
  <c r="DG12" i="30"/>
  <c r="DV11" i="30"/>
  <c r="EK11" i="30"/>
  <c r="I11" i="30"/>
  <c r="I12" i="30"/>
  <c r="U11" i="30"/>
  <c r="U12" i="30"/>
  <c r="AG12" i="30"/>
  <c r="AG11" i="30"/>
  <c r="AS12" i="30"/>
  <c r="AS11" i="30"/>
  <c r="BE11" i="30"/>
  <c r="BQ11" i="30"/>
  <c r="BQ12" i="30"/>
  <c r="CE11" i="30"/>
  <c r="CE12" i="30"/>
  <c r="CT11" i="30"/>
  <c r="CT12" i="30"/>
  <c r="DI12" i="30"/>
  <c r="DI11" i="30"/>
  <c r="DD11" i="30"/>
  <c r="DD12" i="30"/>
  <c r="DS11" i="30"/>
  <c r="F12" i="30"/>
  <c r="R11" i="30"/>
  <c r="R12" i="30"/>
  <c r="AD11" i="30"/>
  <c r="AD12" i="30"/>
  <c r="AP11" i="30"/>
  <c r="BB11" i="30"/>
  <c r="BB12" i="30"/>
  <c r="BN11" i="30"/>
  <c r="BN12" i="30"/>
  <c r="CA12" i="30"/>
  <c r="CA11" i="30"/>
  <c r="CP12" i="30"/>
  <c r="CP11" i="30"/>
  <c r="DE12" i="30"/>
  <c r="DE11" i="30"/>
  <c r="EG137" i="5"/>
  <c r="DM137" i="5"/>
  <c r="DR137" i="5"/>
  <c r="DW137" i="5"/>
  <c r="EL137" i="5"/>
  <c r="EB137" i="5"/>
  <c r="DC10" i="30"/>
  <c r="EB152" i="5"/>
  <c r="CS152" i="5"/>
  <c r="DC110" i="5"/>
  <c r="DM152" i="5"/>
  <c r="EG152" i="5"/>
  <c r="DR152" i="5"/>
  <c r="CI152" i="5"/>
  <c r="DW152" i="5"/>
  <c r="CD152" i="5"/>
  <c r="CN152" i="5"/>
  <c r="CX152" i="5"/>
  <c r="EL152" i="5"/>
  <c r="DC152" i="5"/>
  <c r="DM138" i="5"/>
  <c r="EB10" i="30"/>
  <c r="L13" i="30"/>
  <c r="CS10" i="30"/>
  <c r="CI10" i="30"/>
  <c r="CS110" i="5"/>
  <c r="DR111" i="5"/>
  <c r="DR10" i="30"/>
  <c r="DR138" i="5"/>
  <c r="CI111" i="5"/>
  <c r="DR110" i="5"/>
  <c r="DC111" i="5"/>
  <c r="CI110" i="5"/>
  <c r="BY10" i="30"/>
  <c r="CD11" i="30" s="1"/>
  <c r="BY111" i="5"/>
  <c r="DM111" i="5"/>
  <c r="CN110" i="5"/>
  <c r="CN111" i="5"/>
  <c r="DH10" i="30"/>
  <c r="DH111" i="5"/>
  <c r="EL111" i="5"/>
  <c r="EG111" i="5"/>
  <c r="CN10" i="30"/>
  <c r="EL110" i="5"/>
  <c r="EB111" i="5"/>
  <c r="CS111" i="5"/>
  <c r="DH110" i="5"/>
  <c r="EL138" i="5"/>
  <c r="DW10" i="30"/>
  <c r="DW111" i="5"/>
  <c r="CD111" i="5"/>
  <c r="CX138" i="5"/>
  <c r="CX111" i="5"/>
  <c r="CD110" i="5"/>
  <c r="DM110" i="5"/>
  <c r="CD138" i="5"/>
  <c r="EB110" i="5"/>
  <c r="CX10" i="30"/>
  <c r="CX110" i="5"/>
  <c r="BY110" i="5"/>
  <c r="DW138" i="5"/>
  <c r="EL10" i="30"/>
  <c r="BJ13" i="30"/>
  <c r="CG13" i="30"/>
  <c r="BT13" i="30"/>
  <c r="CK36" i="30"/>
  <c r="CK37" i="30"/>
  <c r="CR37" i="30"/>
  <c r="CR36" i="30"/>
  <c r="CZ37" i="30"/>
  <c r="CZ36" i="30"/>
  <c r="DG37" i="30"/>
  <c r="DG36" i="30"/>
  <c r="DA37" i="30"/>
  <c r="CM36" i="30"/>
  <c r="CM37" i="30"/>
  <c r="CU36" i="30"/>
  <c r="CU37" i="30"/>
  <c r="DB36" i="30"/>
  <c r="DB37" i="30"/>
  <c r="DJ36" i="30"/>
  <c r="DJ37" i="30"/>
  <c r="DK36" i="30"/>
  <c r="DK37" i="30"/>
  <c r="CP36" i="30"/>
  <c r="CP37" i="30"/>
  <c r="CW36" i="30"/>
  <c r="CW37" i="30"/>
  <c r="DE36" i="30"/>
  <c r="DE37" i="30"/>
  <c r="DL36" i="30"/>
  <c r="DL37" i="30"/>
  <c r="DF36" i="30"/>
  <c r="DF37" i="30"/>
  <c r="DW110" i="5"/>
  <c r="EG110" i="5"/>
  <c r="Q13" i="30"/>
  <c r="CN138" i="5"/>
  <c r="EG138" i="5"/>
  <c r="AA13" i="30"/>
  <c r="AZ13" i="30"/>
  <c r="BV14" i="30"/>
  <c r="BV13" i="30"/>
  <c r="AY14" i="30"/>
  <c r="AY13" i="30"/>
  <c r="DO13" i="30"/>
  <c r="DO37" i="30"/>
  <c r="DO36" i="30"/>
  <c r="DO14" i="30"/>
  <c r="DO12" i="30"/>
  <c r="I14" i="30"/>
  <c r="I13" i="30"/>
  <c r="U14" i="30"/>
  <c r="U13" i="30"/>
  <c r="AG14" i="30"/>
  <c r="AG13" i="30"/>
  <c r="AS14" i="30"/>
  <c r="AS13" i="30"/>
  <c r="BE13" i="30"/>
  <c r="BQ14" i="30"/>
  <c r="BQ13" i="30"/>
  <c r="CE14" i="30"/>
  <c r="CE13" i="30"/>
  <c r="CY13" i="30"/>
  <c r="CT14" i="30"/>
  <c r="CT13" i="30"/>
  <c r="DI14" i="30"/>
  <c r="DI13" i="30"/>
  <c r="DX36" i="30"/>
  <c r="DX37" i="30"/>
  <c r="DX14" i="30"/>
  <c r="DX13" i="30"/>
  <c r="DX12" i="30"/>
  <c r="EM14" i="30"/>
  <c r="EM13" i="30"/>
  <c r="EM12" i="30"/>
  <c r="DE14" i="30"/>
  <c r="DD13" i="30"/>
  <c r="DD14" i="30"/>
  <c r="DS36" i="30"/>
  <c r="DS37" i="30"/>
  <c r="DS14" i="30"/>
  <c r="DS13" i="30"/>
  <c r="DS12" i="30"/>
  <c r="EH13" i="30"/>
  <c r="EH36" i="30"/>
  <c r="EH14" i="30"/>
  <c r="EH12" i="30"/>
  <c r="F14" i="30"/>
  <c r="R13" i="30"/>
  <c r="R14" i="30"/>
  <c r="AE14" i="30"/>
  <c r="AD13" i="30"/>
  <c r="AD14" i="30"/>
  <c r="AU13" i="30"/>
  <c r="AP13" i="30"/>
  <c r="BB13" i="30"/>
  <c r="BB14" i="30"/>
  <c r="BN14" i="30"/>
  <c r="BN13" i="30"/>
  <c r="CA13" i="30"/>
  <c r="CP14" i="30"/>
  <c r="CP13" i="30"/>
  <c r="DE13" i="30"/>
  <c r="ED36" i="30"/>
  <c r="ED37" i="30"/>
  <c r="ED14" i="30"/>
  <c r="ED13" i="30"/>
  <c r="ED12" i="30"/>
  <c r="CM13" i="30"/>
  <c r="CM14" i="30"/>
  <c r="E14" i="30"/>
  <c r="AC14" i="30"/>
  <c r="AC13" i="30"/>
  <c r="AO13" i="30"/>
  <c r="AO14" i="30"/>
  <c r="BA13" i="30"/>
  <c r="BA14" i="30"/>
  <c r="BM14" i="30"/>
  <c r="BM13" i="30"/>
  <c r="CA14" i="30"/>
  <c r="BZ14" i="30"/>
  <c r="BZ13" i="30"/>
  <c r="CO14" i="30"/>
  <c r="CO13" i="30"/>
  <c r="BO13" i="30"/>
  <c r="AQ13" i="30"/>
  <c r="AL13" i="30"/>
  <c r="AL14" i="30"/>
  <c r="CL14" i="30"/>
  <c r="CL13" i="30"/>
  <c r="DP37" i="30"/>
  <c r="DP36" i="30"/>
  <c r="DP13" i="30"/>
  <c r="DP14" i="30"/>
  <c r="DP12" i="30"/>
  <c r="D14" i="30"/>
  <c r="P13" i="30"/>
  <c r="P14" i="30"/>
  <c r="AB14" i="30"/>
  <c r="AB13" i="30"/>
  <c r="AN14" i="30"/>
  <c r="AN13" i="30"/>
  <c r="BL14" i="30"/>
  <c r="BL13" i="30"/>
  <c r="BX14" i="30"/>
  <c r="BX13" i="30"/>
  <c r="DB13" i="30"/>
  <c r="DB14" i="30"/>
  <c r="DQ36" i="30"/>
  <c r="DQ13" i="30"/>
  <c r="DQ37" i="30"/>
  <c r="DQ12" i="30"/>
  <c r="DQ14" i="30"/>
  <c r="EF14" i="30"/>
  <c r="EF36" i="30"/>
  <c r="EF13" i="30"/>
  <c r="EF37" i="30"/>
  <c r="EF12" i="30"/>
  <c r="AW14" i="30"/>
  <c r="AV14" i="30"/>
  <c r="AV13" i="30"/>
  <c r="EA13" i="30"/>
  <c r="EA37" i="30"/>
  <c r="EA14" i="30"/>
  <c r="EA36" i="30"/>
  <c r="EA12" i="30"/>
  <c r="S13" i="30"/>
  <c r="S14" i="30"/>
  <c r="AE13" i="30"/>
  <c r="AQ14" i="30"/>
  <c r="BC13" i="30"/>
  <c r="BC14" i="30"/>
  <c r="CB14" i="30"/>
  <c r="CB13" i="30"/>
  <c r="CQ13" i="30"/>
  <c r="CQ14" i="30"/>
  <c r="DF14" i="30"/>
  <c r="DF13" i="30"/>
  <c r="DU13" i="30"/>
  <c r="DU37" i="30"/>
  <c r="DU36" i="30"/>
  <c r="DU14" i="30"/>
  <c r="DU12" i="30"/>
  <c r="EJ36" i="30"/>
  <c r="EJ37" i="30"/>
  <c r="EJ13" i="30"/>
  <c r="EJ14" i="30"/>
  <c r="EJ12" i="30"/>
  <c r="AX13" i="30"/>
  <c r="AX14" i="30"/>
  <c r="CR13" i="30"/>
  <c r="CR14" i="30"/>
  <c r="O14" i="30"/>
  <c r="O13" i="30"/>
  <c r="BK14" i="30"/>
  <c r="BK13" i="30"/>
  <c r="DA14" i="30"/>
  <c r="DA13" i="30"/>
  <c r="EE14" i="30"/>
  <c r="EE36" i="30"/>
  <c r="EE37" i="30"/>
  <c r="EE13" i="30"/>
  <c r="EE12" i="30"/>
  <c r="DK13" i="30"/>
  <c r="DK14" i="30"/>
  <c r="Y14" i="30"/>
  <c r="X13" i="30"/>
  <c r="X14" i="30"/>
  <c r="AJ14" i="30"/>
  <c r="AJ13" i="30"/>
  <c r="BI14" i="30"/>
  <c r="BH14" i="30"/>
  <c r="BH13" i="30"/>
  <c r="CH14" i="30"/>
  <c r="CH13" i="30"/>
  <c r="CY14" i="30"/>
  <c r="CW13" i="30"/>
  <c r="CW14" i="30"/>
  <c r="DL14" i="30"/>
  <c r="DL13" i="30"/>
  <c r="EP36" i="30"/>
  <c r="EP37" i="30"/>
  <c r="EP13" i="30"/>
  <c r="EP12" i="30"/>
  <c r="EP14" i="30"/>
  <c r="N14" i="30"/>
  <c r="N13" i="30"/>
  <c r="Z13" i="30"/>
  <c r="Z14" i="30"/>
  <c r="CK13" i="30"/>
  <c r="CK14" i="30"/>
  <c r="DG13" i="30"/>
  <c r="DG14" i="30"/>
  <c r="EK36" i="30"/>
  <c r="EK37" i="30"/>
  <c r="EK14" i="30"/>
  <c r="EK13" i="30"/>
  <c r="EK12" i="30"/>
  <c r="AM13" i="30"/>
  <c r="AM14" i="30"/>
  <c r="H13" i="30"/>
  <c r="H14" i="30"/>
  <c r="T14" i="30"/>
  <c r="T13" i="30"/>
  <c r="AK13" i="30"/>
  <c r="AF13" i="30"/>
  <c r="AR14" i="30"/>
  <c r="AR13" i="30"/>
  <c r="BD14" i="30"/>
  <c r="BD13" i="30"/>
  <c r="BP14" i="30"/>
  <c r="BP13" i="30"/>
  <c r="CC14" i="30"/>
  <c r="CC13" i="30"/>
  <c r="AH14" i="30"/>
  <c r="AH13" i="30"/>
  <c r="DJ13" i="30"/>
  <c r="DJ14" i="30"/>
  <c r="EN14" i="30"/>
  <c r="EN13" i="30"/>
  <c r="EN12" i="30"/>
  <c r="M14" i="30"/>
  <c r="K14" i="30"/>
  <c r="K13" i="30"/>
  <c r="W14" i="30"/>
  <c r="W13" i="30"/>
  <c r="AI13" i="30"/>
  <c r="AI14" i="30"/>
  <c r="BG14" i="30"/>
  <c r="BG13" i="30"/>
  <c r="BU14" i="30"/>
  <c r="BS14" i="30"/>
  <c r="BS13" i="30"/>
  <c r="CV14" i="30"/>
  <c r="CV13" i="30"/>
  <c r="DZ14" i="30"/>
  <c r="DZ36" i="30"/>
  <c r="DZ37" i="30"/>
  <c r="DZ12" i="30"/>
  <c r="DZ13" i="30"/>
  <c r="EO36" i="30"/>
  <c r="EO37" i="30"/>
  <c r="EO14" i="30"/>
  <c r="EO12" i="30"/>
  <c r="EO13" i="30"/>
  <c r="EC36" i="30"/>
  <c r="EC37" i="30"/>
  <c r="EC14" i="30"/>
  <c r="EC13" i="30"/>
  <c r="EC12" i="30"/>
  <c r="ER14" i="30"/>
  <c r="ER12" i="30"/>
  <c r="ER13" i="30"/>
  <c r="CZ14" i="30"/>
  <c r="CZ13" i="30"/>
  <c r="DV13" i="30"/>
  <c r="DV37" i="30"/>
  <c r="DV36" i="30"/>
  <c r="DV14" i="30"/>
  <c r="DV12" i="30"/>
  <c r="BW14" i="30"/>
  <c r="BW13" i="30"/>
  <c r="J14" i="30"/>
  <c r="J13" i="30"/>
  <c r="V13" i="30"/>
  <c r="AT14" i="30"/>
  <c r="AT13" i="30"/>
  <c r="BF14" i="30"/>
  <c r="BF13" i="30"/>
  <c r="BR13" i="30"/>
  <c r="BR14" i="30"/>
  <c r="CG14" i="30"/>
  <c r="CF13" i="30"/>
  <c r="CF14" i="30"/>
  <c r="CU14" i="30"/>
  <c r="CU13" i="30"/>
  <c r="DY14" i="30"/>
  <c r="DY36" i="30"/>
  <c r="DY37" i="30"/>
  <c r="DY13" i="30"/>
  <c r="DY12" i="30"/>
  <c r="DT13" i="30"/>
  <c r="DT14" i="30"/>
  <c r="DT36" i="30"/>
  <c r="DT37" i="30"/>
  <c r="DT12" i="30"/>
  <c r="EI36" i="30"/>
  <c r="EI12" i="30"/>
  <c r="EI14" i="30"/>
  <c r="EI13" i="30"/>
  <c r="M13" i="30"/>
  <c r="Y13" i="30"/>
  <c r="AW13" i="30"/>
  <c r="BI13" i="30"/>
  <c r="BU13" i="30"/>
  <c r="CJ13" i="30"/>
  <c r="CJ14" i="30"/>
  <c r="DN13" i="30"/>
  <c r="DN37" i="30"/>
  <c r="DN12" i="30"/>
  <c r="DN14" i="30"/>
  <c r="C67" i="5"/>
  <c r="D67" i="5"/>
  <c r="E67" i="5"/>
  <c r="F67" i="5"/>
  <c r="G67" i="5"/>
  <c r="H67" i="5"/>
  <c r="I67" i="5"/>
  <c r="J67" i="5"/>
  <c r="K67" i="5"/>
  <c r="L67" i="5"/>
  <c r="M67" i="5"/>
  <c r="N67" i="5"/>
  <c r="O67" i="5"/>
  <c r="P67" i="5"/>
  <c r="Q67" i="5"/>
  <c r="R67" i="5"/>
  <c r="S67" i="5"/>
  <c r="T67" i="5"/>
  <c r="U67" i="5"/>
  <c r="V67" i="5"/>
  <c r="W67" i="5"/>
  <c r="X67" i="5"/>
  <c r="Y67" i="5"/>
  <c r="Z67" i="5"/>
  <c r="AA67" i="5"/>
  <c r="AB67" i="5"/>
  <c r="AC67" i="5"/>
  <c r="AD67" i="5"/>
  <c r="AE67" i="5"/>
  <c r="AF67" i="5"/>
  <c r="AG67" i="5"/>
  <c r="AH67" i="5"/>
  <c r="AI67" i="5"/>
  <c r="AJ67" i="5"/>
  <c r="AK67" i="5"/>
  <c r="AL67" i="5"/>
  <c r="AM67" i="5"/>
  <c r="AN67" i="5"/>
  <c r="AO67" i="5"/>
  <c r="AP67" i="5"/>
  <c r="AQ67" i="5"/>
  <c r="AR67" i="5"/>
  <c r="AS67" i="5"/>
  <c r="AT67" i="5"/>
  <c r="AU67" i="5"/>
  <c r="AV67" i="5"/>
  <c r="AW67" i="5"/>
  <c r="AX67" i="5"/>
  <c r="AY67" i="5"/>
  <c r="AZ67" i="5"/>
  <c r="BA67" i="5"/>
  <c r="BB67" i="5"/>
  <c r="BC67" i="5"/>
  <c r="BD67" i="5"/>
  <c r="BE67" i="5"/>
  <c r="BF67" i="5"/>
  <c r="BG67" i="5"/>
  <c r="BH67" i="5"/>
  <c r="BI67" i="5"/>
  <c r="BJ67" i="5"/>
  <c r="BK67" i="5"/>
  <c r="BL67" i="5"/>
  <c r="BM67" i="5"/>
  <c r="BN67" i="5"/>
  <c r="BO67" i="5"/>
  <c r="BP67" i="5"/>
  <c r="BQ67" i="5"/>
  <c r="BR67" i="5"/>
  <c r="BS67" i="5"/>
  <c r="BT67" i="5"/>
  <c r="BU67" i="5"/>
  <c r="BV67" i="5"/>
  <c r="BW67" i="5"/>
  <c r="BX67" i="5"/>
  <c r="BY67" i="5"/>
  <c r="BZ67" i="5"/>
  <c r="CA67" i="5"/>
  <c r="CB67" i="5"/>
  <c r="CC67" i="5"/>
  <c r="CD67" i="5"/>
  <c r="CE67" i="5"/>
  <c r="CF67" i="5"/>
  <c r="CG67" i="5"/>
  <c r="CH67" i="5"/>
  <c r="CI67" i="5"/>
  <c r="CJ67" i="5"/>
  <c r="CK67" i="5"/>
  <c r="CL67" i="5"/>
  <c r="CM67" i="5"/>
  <c r="CN67" i="5"/>
  <c r="CO67" i="5"/>
  <c r="CP67" i="5"/>
  <c r="CQ67" i="5"/>
  <c r="CR67" i="5"/>
  <c r="CS67" i="5"/>
  <c r="CT67" i="5"/>
  <c r="CU67" i="5"/>
  <c r="CV67" i="5"/>
  <c r="CW67" i="5"/>
  <c r="CX67" i="5"/>
  <c r="CY67" i="5"/>
  <c r="CZ67" i="5"/>
  <c r="DA67" i="5"/>
  <c r="DB67" i="5"/>
  <c r="DC67" i="5"/>
  <c r="DD67" i="5"/>
  <c r="DE67" i="5"/>
  <c r="DF67" i="5"/>
  <c r="DG67" i="5"/>
  <c r="DH67" i="5"/>
  <c r="DI67" i="5"/>
  <c r="DJ67" i="5"/>
  <c r="DK67" i="5"/>
  <c r="DL67" i="5"/>
  <c r="DM67" i="5"/>
  <c r="DN67" i="5"/>
  <c r="DO67" i="5"/>
  <c r="DP67" i="5"/>
  <c r="DQ67" i="5"/>
  <c r="DR67" i="5"/>
  <c r="DS67" i="5"/>
  <c r="DT67" i="5"/>
  <c r="DU67" i="5"/>
  <c r="DV67" i="5"/>
  <c r="DW67" i="5"/>
  <c r="DX67" i="5"/>
  <c r="DY67" i="5"/>
  <c r="DZ67" i="5"/>
  <c r="EA67" i="5"/>
  <c r="EB67" i="5"/>
  <c r="EC67" i="5"/>
  <c r="ED67" i="5"/>
  <c r="EE67" i="5"/>
  <c r="EF67" i="5"/>
  <c r="EG67" i="5"/>
  <c r="EH67" i="5"/>
  <c r="EI67" i="5"/>
  <c r="EJ67" i="5"/>
  <c r="EK67" i="5"/>
  <c r="EL67" i="5"/>
  <c r="EM67" i="5"/>
  <c r="EN67" i="5"/>
  <c r="EO67" i="5"/>
  <c r="EP67" i="5"/>
  <c r="ER67" i="5"/>
  <c r="GD45" i="42" l="1"/>
  <c r="GD62" i="42"/>
  <c r="GD57" i="42"/>
  <c r="GD24" i="15"/>
  <c r="GD56" i="3"/>
  <c r="GD57" i="3" s="1"/>
  <c r="GI11" i="15"/>
  <c r="GI23" i="15"/>
  <c r="GI14" i="15"/>
  <c r="GI230" i="15"/>
  <c r="GI44" i="42"/>
  <c r="GI13" i="2"/>
  <c r="GI115" i="15"/>
  <c r="EG36" i="30"/>
  <c r="EG37" i="30"/>
  <c r="DM141" i="5"/>
  <c r="CI141" i="5"/>
  <c r="BY141" i="5"/>
  <c r="DH141" i="5"/>
  <c r="DW11" i="30"/>
  <c r="DC11" i="30"/>
  <c r="EG141" i="5"/>
  <c r="DC141" i="5"/>
  <c r="EB141" i="5"/>
  <c r="CX141" i="5"/>
  <c r="CN141" i="5"/>
  <c r="EG11" i="30"/>
  <c r="DW141" i="5"/>
  <c r="CD141" i="5"/>
  <c r="CS141" i="5"/>
  <c r="DR141" i="5"/>
  <c r="EL141" i="5"/>
  <c r="CN11" i="30"/>
  <c r="DH11" i="30"/>
  <c r="DC13" i="30"/>
  <c r="CX11" i="30"/>
  <c r="CI13" i="30"/>
  <c r="CI11" i="30"/>
  <c r="CS11" i="30"/>
  <c r="EL36" i="30"/>
  <c r="EL11" i="30"/>
  <c r="DM11" i="30"/>
  <c r="BY13" i="30"/>
  <c r="BY11" i="30"/>
  <c r="DR37" i="30"/>
  <c r="DR11" i="30"/>
  <c r="EB37" i="30"/>
  <c r="EB11" i="30"/>
  <c r="CS13" i="30"/>
  <c r="EG13" i="30"/>
  <c r="EB36" i="30"/>
  <c r="EB13" i="30"/>
  <c r="DH13" i="30"/>
  <c r="DM13" i="30"/>
  <c r="CN13" i="30"/>
  <c r="DR13" i="30"/>
  <c r="CD13" i="30"/>
  <c r="DW13" i="30"/>
  <c r="DW37" i="30"/>
  <c r="DW36" i="30"/>
  <c r="EL13" i="30"/>
  <c r="CX13" i="30"/>
  <c r="C59" i="5"/>
  <c r="D59" i="5"/>
  <c r="E59" i="5"/>
  <c r="F59" i="5"/>
  <c r="H59" i="5"/>
  <c r="I59" i="5"/>
  <c r="J59" i="5"/>
  <c r="K59" i="5"/>
  <c r="M59" i="5"/>
  <c r="N59" i="5"/>
  <c r="O59" i="5"/>
  <c r="P59" i="5"/>
  <c r="R59" i="5"/>
  <c r="S59" i="5"/>
  <c r="T59" i="5"/>
  <c r="U59" i="5"/>
  <c r="W59" i="5"/>
  <c r="X59" i="5"/>
  <c r="Y59" i="5"/>
  <c r="Z59" i="5"/>
  <c r="AB59" i="5"/>
  <c r="AC59" i="5"/>
  <c r="AD59" i="5"/>
  <c r="AE59" i="5"/>
  <c r="AG59" i="5"/>
  <c r="AH59" i="5"/>
  <c r="AI59" i="5"/>
  <c r="AJ59" i="5"/>
  <c r="AL59" i="5"/>
  <c r="AM59" i="5"/>
  <c r="AN59" i="5"/>
  <c r="AO59" i="5"/>
  <c r="AQ59" i="5"/>
  <c r="AR59" i="5"/>
  <c r="AS59" i="5"/>
  <c r="AT59" i="5"/>
  <c r="AV59" i="5"/>
  <c r="AW59" i="5"/>
  <c r="AX59" i="5"/>
  <c r="AY59" i="5"/>
  <c r="BA59" i="5"/>
  <c r="BB59" i="5"/>
  <c r="BC59" i="5"/>
  <c r="BD59" i="5"/>
  <c r="BF59" i="5"/>
  <c r="BG59" i="5"/>
  <c r="BH59" i="5"/>
  <c r="BI59" i="5"/>
  <c r="BK59" i="5"/>
  <c r="BL59" i="5"/>
  <c r="BM59" i="5"/>
  <c r="BN59" i="5"/>
  <c r="BP59" i="5"/>
  <c r="BQ59" i="5"/>
  <c r="BR59" i="5"/>
  <c r="BS59" i="5"/>
  <c r="BU59" i="5"/>
  <c r="BV59" i="5"/>
  <c r="BW59" i="5"/>
  <c r="BX59" i="5"/>
  <c r="BZ59" i="5"/>
  <c r="CA59" i="5"/>
  <c r="CB59" i="5"/>
  <c r="CC59" i="5"/>
  <c r="CE59" i="5"/>
  <c r="CF59" i="5"/>
  <c r="CG59" i="5"/>
  <c r="CH59" i="5"/>
  <c r="CJ59" i="5"/>
  <c r="CK59" i="5"/>
  <c r="CL59" i="5"/>
  <c r="CM59" i="5"/>
  <c r="CO59" i="5"/>
  <c r="CP59" i="5"/>
  <c r="CQ59" i="5"/>
  <c r="CR59" i="5"/>
  <c r="CT59" i="5"/>
  <c r="CU59" i="5"/>
  <c r="CV59" i="5"/>
  <c r="CW59" i="5"/>
  <c r="CY59" i="5"/>
  <c r="CZ59" i="5"/>
  <c r="DA59" i="5"/>
  <c r="DB59" i="5"/>
  <c r="DD59" i="5"/>
  <c r="DE59" i="5"/>
  <c r="DF59" i="5"/>
  <c r="DG59" i="5"/>
  <c r="DI59" i="5"/>
  <c r="DJ59" i="5"/>
  <c r="DK59" i="5"/>
  <c r="DL59" i="5"/>
  <c r="DN59" i="5"/>
  <c r="DO59" i="5"/>
  <c r="DP59" i="5"/>
  <c r="DQ59" i="5"/>
  <c r="DS223" i="3" s="1"/>
  <c r="DS224" i="3" s="1"/>
  <c r="DS59" i="5"/>
  <c r="DT223" i="3" s="1"/>
  <c r="DT224" i="3" s="1"/>
  <c r="DT59" i="5"/>
  <c r="DU223" i="3" s="1"/>
  <c r="DU224" i="3" s="1"/>
  <c r="DU59" i="5"/>
  <c r="DV223" i="3" s="1"/>
  <c r="DV59" i="5"/>
  <c r="DX223" i="3" s="1"/>
  <c r="DX224" i="3" s="1"/>
  <c r="DX59" i="5"/>
  <c r="DY223" i="3" s="1"/>
  <c r="DY224" i="3" s="1"/>
  <c r="DY59" i="5"/>
  <c r="DZ223" i="3" s="1"/>
  <c r="DZ224" i="3" s="1"/>
  <c r="DZ59" i="5"/>
  <c r="EA223" i="3" s="1"/>
  <c r="EA59" i="5"/>
  <c r="EC223" i="3" s="1"/>
  <c r="EC224" i="3" s="1"/>
  <c r="EC59" i="5"/>
  <c r="ED223" i="3" s="1"/>
  <c r="ED224" i="3" s="1"/>
  <c r="ED59" i="5"/>
  <c r="EE223" i="3" s="1"/>
  <c r="EE224" i="3" s="1"/>
  <c r="EE59" i="5"/>
  <c r="EF223" i="3" s="1"/>
  <c r="EF59" i="5"/>
  <c r="EH223" i="3" s="1"/>
  <c r="EH224" i="3" s="1"/>
  <c r="EH59" i="5"/>
  <c r="EI223" i="3" s="1"/>
  <c r="EI224" i="3" s="1"/>
  <c r="EI59" i="5"/>
  <c r="EJ223" i="3" s="1"/>
  <c r="EJ224" i="3" s="1"/>
  <c r="EJ59" i="5"/>
  <c r="EK223" i="3" s="1"/>
  <c r="EK59" i="5"/>
  <c r="EM223" i="3" s="1"/>
  <c r="EM224" i="3" s="1"/>
  <c r="EM59" i="5"/>
  <c r="EN223" i="3" s="1"/>
  <c r="EN224" i="3" s="1"/>
  <c r="EN59" i="5"/>
  <c r="EO223" i="3" s="1"/>
  <c r="EO224" i="3" s="1"/>
  <c r="EO59" i="5"/>
  <c r="EP223" i="3" s="1"/>
  <c r="EP59" i="5"/>
  <c r="ER223" i="3" s="1"/>
  <c r="ER224" i="3" s="1"/>
  <c r="ER59" i="5"/>
  <c r="ES223" i="3" s="1"/>
  <c r="ES224" i="3" s="1"/>
  <c r="C58" i="5"/>
  <c r="D58" i="5"/>
  <c r="E58" i="5"/>
  <c r="F58" i="5"/>
  <c r="H58" i="5"/>
  <c r="I58" i="5"/>
  <c r="J58" i="5"/>
  <c r="K58" i="5"/>
  <c r="M58" i="5"/>
  <c r="N58" i="5"/>
  <c r="O58" i="5"/>
  <c r="P58" i="5"/>
  <c r="R58" i="5"/>
  <c r="S58" i="5"/>
  <c r="T58" i="5"/>
  <c r="U58" i="5"/>
  <c r="W58" i="5"/>
  <c r="X58" i="5"/>
  <c r="Y58" i="5"/>
  <c r="Z58" i="5"/>
  <c r="AB58" i="5"/>
  <c r="AC58" i="5"/>
  <c r="AD58" i="5"/>
  <c r="AE58" i="5"/>
  <c r="AG58" i="5"/>
  <c r="AH58" i="5"/>
  <c r="AI58" i="5"/>
  <c r="AJ58" i="5"/>
  <c r="AL58" i="5"/>
  <c r="AM58" i="5"/>
  <c r="AN58" i="5"/>
  <c r="AO58" i="5"/>
  <c r="AQ58" i="5"/>
  <c r="AR58" i="5"/>
  <c r="AS58" i="5"/>
  <c r="AT58" i="5"/>
  <c r="AV58" i="5"/>
  <c r="AW58" i="5"/>
  <c r="AX58" i="5"/>
  <c r="AY58" i="5"/>
  <c r="BA58" i="5"/>
  <c r="BB58" i="5"/>
  <c r="BC58" i="5"/>
  <c r="BD58" i="5"/>
  <c r="BF58" i="5"/>
  <c r="BG58" i="5"/>
  <c r="BH58" i="5"/>
  <c r="BI58" i="5"/>
  <c r="BK58" i="5"/>
  <c r="BL58" i="5"/>
  <c r="BM58" i="5"/>
  <c r="BN58" i="5"/>
  <c r="BP58" i="5"/>
  <c r="BQ58" i="5"/>
  <c r="BR58" i="5"/>
  <c r="BS58" i="5"/>
  <c r="BU58" i="5"/>
  <c r="BV58" i="5"/>
  <c r="BW58" i="5"/>
  <c r="BX58" i="5"/>
  <c r="BZ58" i="5"/>
  <c r="CA58" i="5"/>
  <c r="CB58" i="5"/>
  <c r="CC58" i="5"/>
  <c r="CE58" i="5"/>
  <c r="CF58" i="5"/>
  <c r="CG58" i="5"/>
  <c r="CH58" i="5"/>
  <c r="CJ58" i="5"/>
  <c r="CK58" i="5"/>
  <c r="CL58" i="5"/>
  <c r="CM58" i="5"/>
  <c r="CO58" i="5"/>
  <c r="CP58" i="5"/>
  <c r="CQ58" i="5"/>
  <c r="CR58" i="5"/>
  <c r="CT58" i="5"/>
  <c r="CU58" i="5"/>
  <c r="CV58" i="5"/>
  <c r="CW58" i="5"/>
  <c r="CY58" i="5"/>
  <c r="CZ58" i="5"/>
  <c r="DA58" i="5"/>
  <c r="DB58" i="5"/>
  <c r="DD58" i="5"/>
  <c r="DE58" i="5"/>
  <c r="DF58" i="5"/>
  <c r="DG58" i="5"/>
  <c r="DI58" i="5"/>
  <c r="DJ58" i="5"/>
  <c r="DK58" i="5"/>
  <c r="DL58" i="5"/>
  <c r="DN58" i="5"/>
  <c r="DO58" i="5"/>
  <c r="DP58" i="5"/>
  <c r="DQ58" i="5"/>
  <c r="DS58" i="5"/>
  <c r="DT58" i="5"/>
  <c r="DU58" i="5"/>
  <c r="DV58" i="5"/>
  <c r="DX58" i="5"/>
  <c r="DY58" i="5"/>
  <c r="DZ58" i="5"/>
  <c r="EA58" i="5"/>
  <c r="EC58" i="5"/>
  <c r="ED58" i="5"/>
  <c r="EE58" i="5"/>
  <c r="EF58" i="5"/>
  <c r="EH58" i="5"/>
  <c r="EI58" i="5"/>
  <c r="EJ58" i="5"/>
  <c r="EK58" i="5"/>
  <c r="EM58" i="5"/>
  <c r="EN58" i="5"/>
  <c r="EO58" i="5"/>
  <c r="EP58" i="5"/>
  <c r="GI24" i="15" l="1"/>
  <c r="GI27" i="15"/>
  <c r="GI56" i="3"/>
  <c r="GI62" i="42"/>
  <c r="GI57" i="42"/>
  <c r="GI52" i="42"/>
  <c r="GI45" i="42"/>
  <c r="EP224" i="3"/>
  <c r="EA224" i="3"/>
  <c r="EF224" i="3"/>
  <c r="EK224" i="3"/>
  <c r="DV224" i="3"/>
  <c r="BU60" i="5"/>
  <c r="M60" i="5"/>
  <c r="EC60" i="5"/>
  <c r="CY60" i="5"/>
  <c r="AQ60" i="5"/>
  <c r="BC60" i="5"/>
  <c r="Y60" i="5"/>
  <c r="S60" i="5"/>
  <c r="CG60" i="5"/>
  <c r="CA60" i="5"/>
  <c r="AW60" i="5"/>
  <c r="DE60" i="5"/>
  <c r="EO60" i="5"/>
  <c r="DK60" i="5"/>
  <c r="EK60" i="5"/>
  <c r="ED60" i="5"/>
  <c r="DV60" i="5"/>
  <c r="DO60" i="5"/>
  <c r="DG60" i="5"/>
  <c r="CZ60" i="5"/>
  <c r="CR60" i="5"/>
  <c r="EI60" i="5"/>
  <c r="EN60" i="5"/>
  <c r="EF60" i="5"/>
  <c r="DY60" i="5"/>
  <c r="DJ60" i="5"/>
  <c r="DB60" i="5"/>
  <c r="CU60" i="5"/>
  <c r="CF60" i="5"/>
  <c r="CK60" i="5"/>
  <c r="CC60" i="5"/>
  <c r="BV60" i="5"/>
  <c r="BX60" i="5"/>
  <c r="BQ60" i="5"/>
  <c r="BB60" i="5"/>
  <c r="AT60" i="5"/>
  <c r="AM60" i="5"/>
  <c r="X60" i="5"/>
  <c r="P60" i="5"/>
  <c r="I60" i="5"/>
  <c r="EM60" i="5"/>
  <c r="EE60" i="5"/>
  <c r="DX60" i="5"/>
  <c r="DP60" i="5"/>
  <c r="DI60" i="5"/>
  <c r="DA60" i="5"/>
  <c r="CT60" i="5"/>
  <c r="CL60" i="5"/>
  <c r="CE60" i="5"/>
  <c r="BW60" i="5"/>
  <c r="BP60" i="5"/>
  <c r="BH60" i="5"/>
  <c r="BA60" i="5"/>
  <c r="AS60" i="5"/>
  <c r="AL60" i="5"/>
  <c r="AD60" i="5"/>
  <c r="W60" i="5"/>
  <c r="O60" i="5"/>
  <c r="H60" i="5"/>
  <c r="BN60" i="5"/>
  <c r="BG60" i="5"/>
  <c r="AY60" i="5"/>
  <c r="AR60" i="5"/>
  <c r="AJ60" i="5"/>
  <c r="AC60" i="5"/>
  <c r="U60" i="5"/>
  <c r="N60" i="5"/>
  <c r="F60" i="5"/>
  <c r="DU60" i="5"/>
  <c r="DN60" i="5"/>
  <c r="DF60" i="5"/>
  <c r="CQ60" i="5"/>
  <c r="CJ60" i="5"/>
  <c r="CB60" i="5"/>
  <c r="BM60" i="5"/>
  <c r="BF60" i="5"/>
  <c r="AX60" i="5"/>
  <c r="AI60" i="5"/>
  <c r="AB60" i="5"/>
  <c r="T60" i="5"/>
  <c r="E60" i="5"/>
  <c r="BI60" i="5"/>
  <c r="AE60" i="5"/>
  <c r="EP60" i="5"/>
  <c r="EA60" i="5"/>
  <c r="DT60" i="5"/>
  <c r="DL60" i="5"/>
  <c r="CW60" i="5"/>
  <c r="CP60" i="5"/>
  <c r="CH60" i="5"/>
  <c r="BS60" i="5"/>
  <c r="BL60" i="5"/>
  <c r="BD60" i="5"/>
  <c r="AO60" i="5"/>
  <c r="AH60" i="5"/>
  <c r="Z60" i="5"/>
  <c r="K60" i="5"/>
  <c r="D60" i="5"/>
  <c r="DQ60" i="5"/>
  <c r="CM60" i="5"/>
  <c r="EJ60" i="5"/>
  <c r="EH60" i="5"/>
  <c r="DZ60" i="5"/>
  <c r="DS60" i="5"/>
  <c r="DD60" i="5"/>
  <c r="CV60" i="5"/>
  <c r="CO60" i="5"/>
  <c r="BZ60" i="5"/>
  <c r="BR60" i="5"/>
  <c r="BK60" i="5"/>
  <c r="AV60" i="5"/>
  <c r="AN60" i="5"/>
  <c r="AG60" i="5"/>
  <c r="R60" i="5"/>
  <c r="J60" i="5"/>
  <c r="C60" i="5"/>
  <c r="GI57" i="3" l="1"/>
  <c r="ER58" i="5"/>
  <c r="ER60" i="5" s="1"/>
  <c r="CE56" i="5"/>
  <c r="CF56" i="5"/>
  <c r="CG56" i="5"/>
  <c r="CH56" i="5"/>
  <c r="CJ56" i="5"/>
  <c r="CK56" i="5"/>
  <c r="CL56" i="5"/>
  <c r="CM56" i="5"/>
  <c r="CO56" i="5"/>
  <c r="CP56" i="5"/>
  <c r="CQ56" i="5"/>
  <c r="CR56" i="5"/>
  <c r="CT56" i="5"/>
  <c r="CU56" i="5"/>
  <c r="CV56" i="5"/>
  <c r="CW56" i="5"/>
  <c r="CY56" i="5"/>
  <c r="CZ56" i="5"/>
  <c r="DA56" i="5"/>
  <c r="DB56" i="5"/>
  <c r="DA143" i="5" l="1"/>
  <c r="CE143" i="5"/>
  <c r="CZ143" i="5"/>
  <c r="CR143" i="5"/>
  <c r="CK143" i="5"/>
  <c r="CY143" i="5"/>
  <c r="CQ143" i="5"/>
  <c r="CJ143" i="5"/>
  <c r="CP143" i="5"/>
  <c r="CL143" i="5"/>
  <c r="CV143" i="5"/>
  <c r="CT143" i="5"/>
  <c r="CW143" i="5"/>
  <c r="CH143" i="5"/>
  <c r="CO143" i="5"/>
  <c r="CG143" i="5"/>
  <c r="DB143" i="5"/>
  <c r="CU143" i="5"/>
  <c r="CM143" i="5"/>
  <c r="CF143" i="5"/>
  <c r="CH151" i="5"/>
  <c r="CV151" i="5"/>
  <c r="CG151" i="5"/>
  <c r="DB151" i="5"/>
  <c r="CF151" i="5"/>
  <c r="DA151" i="5"/>
  <c r="CT151" i="5"/>
  <c r="CL151" i="5"/>
  <c r="CE151" i="5"/>
  <c r="CZ151" i="5"/>
  <c r="CR151" i="5"/>
  <c r="CK151" i="5"/>
  <c r="CW151" i="5"/>
  <c r="CP151" i="5"/>
  <c r="CO151" i="5"/>
  <c r="CU151" i="5"/>
  <c r="CM151" i="5"/>
  <c r="CY151" i="5"/>
  <c r="CQ151" i="5"/>
  <c r="CJ151" i="5"/>
  <c r="DB91" i="5"/>
  <c r="DB87" i="5"/>
  <c r="DA91" i="5"/>
  <c r="DA87" i="5"/>
  <c r="CZ91" i="5"/>
  <c r="CZ87" i="5"/>
  <c r="CY91" i="5"/>
  <c r="CY87" i="5"/>
  <c r="CW91" i="5"/>
  <c r="CW87" i="5"/>
  <c r="CV91" i="5"/>
  <c r="CV87" i="5"/>
  <c r="CU91" i="5"/>
  <c r="CU87" i="5"/>
  <c r="CT91" i="5"/>
  <c r="CT87" i="5"/>
  <c r="CR91" i="5"/>
  <c r="CR87" i="5"/>
  <c r="CQ91" i="5"/>
  <c r="CQ87" i="5"/>
  <c r="CP91" i="5"/>
  <c r="CP87" i="5"/>
  <c r="CO91" i="5"/>
  <c r="CO87" i="5"/>
  <c r="CM91" i="5"/>
  <c r="CM87" i="5"/>
  <c r="CL91" i="5"/>
  <c r="CL87" i="5"/>
  <c r="CK91" i="5"/>
  <c r="CK87" i="5"/>
  <c r="CJ91" i="5"/>
  <c r="CJ87" i="5"/>
  <c r="CH91" i="5"/>
  <c r="CH87" i="5"/>
  <c r="CG91" i="5"/>
  <c r="CG87" i="5"/>
  <c r="CF91" i="5"/>
  <c r="CF87" i="5"/>
  <c r="CE91" i="5"/>
  <c r="CE87" i="5"/>
  <c r="CW89" i="5"/>
  <c r="CH89" i="5"/>
  <c r="CV89" i="5"/>
  <c r="CG89" i="5"/>
  <c r="CU89" i="5"/>
  <c r="CF89" i="5"/>
  <c r="CR89" i="5"/>
  <c r="CP89" i="5"/>
  <c r="CO89" i="5"/>
  <c r="DB89" i="5"/>
  <c r="CM89" i="5"/>
  <c r="DA89" i="5"/>
  <c r="CT89" i="5"/>
  <c r="CL89" i="5"/>
  <c r="CE89" i="5"/>
  <c r="CZ89" i="5"/>
  <c r="CK89" i="5"/>
  <c r="CY89" i="5"/>
  <c r="CQ89" i="5"/>
  <c r="CJ89" i="5"/>
  <c r="CM109" i="5"/>
  <c r="CM94" i="5"/>
  <c r="CM97" i="5"/>
  <c r="CF109" i="5"/>
  <c r="CF97" i="5"/>
  <c r="CF94" i="5"/>
  <c r="CW94" i="5"/>
  <c r="CW97" i="5"/>
  <c r="CW109" i="5"/>
  <c r="CQ94" i="5"/>
  <c r="CQ97" i="5"/>
  <c r="CQ109" i="5"/>
  <c r="CK94" i="5"/>
  <c r="CK97" i="5"/>
  <c r="CK109" i="5"/>
  <c r="CE94" i="5"/>
  <c r="CE97" i="5"/>
  <c r="CE109" i="5"/>
  <c r="CL109" i="5"/>
  <c r="CL94" i="5"/>
  <c r="CL97" i="5"/>
  <c r="DB97" i="5"/>
  <c r="DB94" i="5"/>
  <c r="DB109" i="5"/>
  <c r="CV94" i="5"/>
  <c r="CV97" i="5"/>
  <c r="CV109" i="5"/>
  <c r="CP97" i="5"/>
  <c r="CP94" i="5"/>
  <c r="CP109" i="5"/>
  <c r="CJ97" i="5"/>
  <c r="CJ94" i="5"/>
  <c r="CJ109" i="5"/>
  <c r="CY109" i="5"/>
  <c r="CY97" i="5"/>
  <c r="CY94" i="5"/>
  <c r="CG109" i="5"/>
  <c r="CG94" i="5"/>
  <c r="CG97" i="5"/>
  <c r="CR109" i="5"/>
  <c r="CR97" i="5"/>
  <c r="CR94" i="5"/>
  <c r="DA94" i="5"/>
  <c r="DA109" i="5"/>
  <c r="DA97" i="5"/>
  <c r="CU94" i="5"/>
  <c r="CU109" i="5"/>
  <c r="CU97" i="5"/>
  <c r="CO109" i="5"/>
  <c r="CO97" i="5"/>
  <c r="CO94" i="5"/>
  <c r="CZ94" i="5"/>
  <c r="CZ97" i="5"/>
  <c r="CZ109" i="5"/>
  <c r="CT94" i="5"/>
  <c r="CT97" i="5"/>
  <c r="CT109" i="5"/>
  <c r="CH94" i="5"/>
  <c r="CH97" i="5"/>
  <c r="CH109" i="5"/>
  <c r="CY75" i="5"/>
  <c r="CY78" i="5"/>
  <c r="CM75" i="5"/>
  <c r="CM78" i="5"/>
  <c r="CG75" i="5"/>
  <c r="CG78" i="5"/>
  <c r="CR75" i="5"/>
  <c r="CR78" i="5"/>
  <c r="CL75" i="5"/>
  <c r="CL78" i="5"/>
  <c r="CF75" i="5"/>
  <c r="CF78" i="5"/>
  <c r="CW75" i="5"/>
  <c r="CW78" i="5"/>
  <c r="CQ75" i="5"/>
  <c r="CQ78" i="5"/>
  <c r="CK75" i="5"/>
  <c r="CK78" i="5"/>
  <c r="CE75" i="5"/>
  <c r="CE78" i="5"/>
  <c r="DB78" i="5"/>
  <c r="DB75" i="5"/>
  <c r="CV78" i="5"/>
  <c r="CV75" i="5"/>
  <c r="CP78" i="5"/>
  <c r="CP75" i="5"/>
  <c r="CJ78" i="5"/>
  <c r="CJ75" i="5"/>
  <c r="DA78" i="5"/>
  <c r="DA75" i="5"/>
  <c r="CU78" i="5"/>
  <c r="CU75" i="5"/>
  <c r="CO78" i="5"/>
  <c r="CO75" i="5"/>
  <c r="CZ78" i="5"/>
  <c r="CZ75" i="5"/>
  <c r="CT78" i="5"/>
  <c r="CT75" i="5"/>
  <c r="CH78" i="5"/>
  <c r="CH75" i="5"/>
  <c r="EQ97" i="3" l="1"/>
  <c r="EL97" i="3"/>
  <c r="EG97" i="3"/>
  <c r="EB97" i="3"/>
  <c r="DW97" i="3"/>
  <c r="DR97" i="3"/>
  <c r="DM97" i="3"/>
  <c r="ER16" i="18"/>
  <c r="EN24" i="3"/>
  <c r="EM24" i="3"/>
  <c r="EK24" i="3"/>
  <c r="EJ24" i="3"/>
  <c r="EI24" i="3"/>
  <c r="EH24" i="3"/>
  <c r="EF24" i="3"/>
  <c r="EE24" i="3"/>
  <c r="ED24" i="3"/>
  <c r="EC24" i="3"/>
  <c r="EA24" i="3"/>
  <c r="DZ24" i="3"/>
  <c r="DY24" i="3"/>
  <c r="DX24" i="3"/>
  <c r="DV24" i="3"/>
  <c r="DU24" i="3"/>
  <c r="DT24" i="3"/>
  <c r="DS24" i="3"/>
  <c r="DQ24" i="3"/>
  <c r="DP24" i="3"/>
  <c r="DO24" i="3"/>
  <c r="DN24" i="3"/>
  <c r="DL24" i="3"/>
  <c r="DK24" i="3"/>
  <c r="DJ24" i="3"/>
  <c r="DI24" i="3"/>
  <c r="ER45" i="3"/>
  <c r="ER73" i="3" s="1"/>
  <c r="ER74" i="3" s="1"/>
  <c r="EB90" i="3"/>
  <c r="DW90" i="3"/>
  <c r="DW83" i="3"/>
  <c r="DR83" i="3"/>
  <c r="EQ76" i="3"/>
  <c r="DR76" i="3"/>
  <c r="DM76" i="3"/>
  <c r="EF45" i="3"/>
  <c r="EF73" i="3" s="1"/>
  <c r="DZ45" i="3"/>
  <c r="DZ73" i="3" s="1"/>
  <c r="DZ74" i="3" s="1"/>
  <c r="DT45" i="3"/>
  <c r="DT73" i="3" s="1"/>
  <c r="DT74" i="3" s="1"/>
  <c r="DN45" i="3"/>
  <c r="DN73" i="3" s="1"/>
  <c r="EK45" i="3"/>
  <c r="EK73" i="3" s="1"/>
  <c r="EK74" i="3" s="1"/>
  <c r="EJ45" i="3"/>
  <c r="EJ73" i="3" s="1"/>
  <c r="EJ74" i="3" s="1"/>
  <c r="EI45" i="3"/>
  <c r="EI73" i="3" s="1"/>
  <c r="EE45" i="3"/>
  <c r="EE73" i="3" s="1"/>
  <c r="EG38" i="3"/>
  <c r="EB38" i="3"/>
  <c r="DY45" i="3"/>
  <c r="DY73" i="3" s="1"/>
  <c r="DY74" i="3" s="1"/>
  <c r="DS45" i="3"/>
  <c r="DS73" i="3" s="1"/>
  <c r="DS74" i="3" s="1"/>
  <c r="DW31" i="3"/>
  <c r="DR31" i="3"/>
  <c r="DI45" i="3"/>
  <c r="DI73" i="3" s="1"/>
  <c r="EG17" i="3"/>
  <c r="EB17" i="3"/>
  <c r="EL10" i="3"/>
  <c r="EG10" i="3"/>
  <c r="DR10" i="3"/>
  <c r="EI74" i="3" l="1"/>
  <c r="EE74" i="3"/>
  <c r="DN74" i="3"/>
  <c r="DI74" i="3"/>
  <c r="EF74" i="3"/>
  <c r="DU164" i="3"/>
  <c r="EC164" i="3"/>
  <c r="DO164" i="3"/>
  <c r="ED164" i="3"/>
  <c r="EK164" i="3"/>
  <c r="DI164" i="3"/>
  <c r="DI165" i="3" s="1"/>
  <c r="DP164" i="3"/>
  <c r="DX164" i="3"/>
  <c r="EE164" i="3"/>
  <c r="EM164" i="3"/>
  <c r="DJ164" i="3"/>
  <c r="DJ165" i="3" s="1"/>
  <c r="DQ164" i="3"/>
  <c r="DY164" i="3"/>
  <c r="EF164" i="3"/>
  <c r="EN164" i="3"/>
  <c r="ES165" i="3" s="1"/>
  <c r="DS164" i="3"/>
  <c r="DN164" i="3"/>
  <c r="EJ164" i="3"/>
  <c r="DV164" i="3"/>
  <c r="DK164" i="3"/>
  <c r="DK165" i="3" s="1"/>
  <c r="DZ164" i="3"/>
  <c r="EH164" i="3"/>
  <c r="DL164" i="3"/>
  <c r="DT164" i="3"/>
  <c r="EA164" i="3"/>
  <c r="EI164" i="3"/>
  <c r="EC100" i="3"/>
  <c r="EC110" i="3"/>
  <c r="EC105" i="3"/>
  <c r="DV110" i="3"/>
  <c r="DV105" i="3"/>
  <c r="DV100" i="3"/>
  <c r="EK110" i="3"/>
  <c r="EK105" i="3"/>
  <c r="EK100" i="3"/>
  <c r="DI100" i="3"/>
  <c r="DI110" i="3"/>
  <c r="DI105" i="3"/>
  <c r="DP100" i="3"/>
  <c r="DP110" i="3"/>
  <c r="DP105" i="3"/>
  <c r="DX100" i="3"/>
  <c r="DX110" i="3"/>
  <c r="DX105" i="3"/>
  <c r="EE100" i="3"/>
  <c r="EE110" i="3"/>
  <c r="EE105" i="3"/>
  <c r="EM100" i="3"/>
  <c r="EM110" i="3"/>
  <c r="EM105" i="3"/>
  <c r="DN100" i="3"/>
  <c r="DN105" i="3"/>
  <c r="DN110" i="3"/>
  <c r="EJ105" i="3"/>
  <c r="EJ110" i="3"/>
  <c r="EJ100" i="3"/>
  <c r="ED110" i="3"/>
  <c r="ED105" i="3"/>
  <c r="ED100" i="3"/>
  <c r="DQ110" i="3"/>
  <c r="DQ100" i="3"/>
  <c r="DQ105" i="3"/>
  <c r="EF105" i="3"/>
  <c r="EF110" i="3"/>
  <c r="EF100" i="3"/>
  <c r="DK110" i="3"/>
  <c r="DK105" i="3"/>
  <c r="DK100" i="3"/>
  <c r="DS110" i="3"/>
  <c r="DS100" i="3"/>
  <c r="DS105" i="3"/>
  <c r="DZ110" i="3"/>
  <c r="DZ105" i="3"/>
  <c r="DZ100" i="3"/>
  <c r="EH110" i="3"/>
  <c r="EH100" i="3"/>
  <c r="EH105" i="3"/>
  <c r="DU110" i="3"/>
  <c r="DU100" i="3"/>
  <c r="DU105" i="3"/>
  <c r="DO110" i="3"/>
  <c r="DO105" i="3"/>
  <c r="DO100" i="3"/>
  <c r="DJ105" i="3"/>
  <c r="DJ110" i="3"/>
  <c r="DJ100" i="3"/>
  <c r="DY105" i="3"/>
  <c r="DY110" i="3"/>
  <c r="DY100" i="3"/>
  <c r="EN16" i="15"/>
  <c r="EN110" i="3"/>
  <c r="EN100" i="3"/>
  <c r="EN105" i="3"/>
  <c r="DL105" i="3"/>
  <c r="DL100" i="3"/>
  <c r="DL110" i="3"/>
  <c r="DT105" i="3"/>
  <c r="DT100" i="3"/>
  <c r="DT110" i="3"/>
  <c r="EA105" i="3"/>
  <c r="EA100" i="3"/>
  <c r="EA110" i="3"/>
  <c r="EI105" i="3"/>
  <c r="EI100" i="3"/>
  <c r="EI110" i="3"/>
  <c r="EW46" i="3"/>
  <c r="EW48" i="3"/>
  <c r="EV45" i="3"/>
  <c r="EV79" i="3"/>
  <c r="EV77" i="3"/>
  <c r="EB93" i="3"/>
  <c r="DL165" i="3"/>
  <c r="EL13" i="3"/>
  <c r="DW86" i="3"/>
  <c r="DR79" i="3"/>
  <c r="DS48" i="3"/>
  <c r="DY48" i="3"/>
  <c r="DN48" i="3"/>
  <c r="DT49" i="3"/>
  <c r="DI77" i="29"/>
  <c r="DI49" i="3"/>
  <c r="DI48" i="3"/>
  <c r="DZ49" i="3"/>
  <c r="ES49" i="3"/>
  <c r="DS77" i="29"/>
  <c r="EJ77" i="29"/>
  <c r="EJ79" i="29" s="1"/>
  <c r="EJ49" i="3"/>
  <c r="EJ48" i="3"/>
  <c r="EK77" i="29"/>
  <c r="EK78" i="29" s="1"/>
  <c r="EK49" i="3"/>
  <c r="EK48" i="3"/>
  <c r="DY77" i="29"/>
  <c r="DY78" i="29" s="1"/>
  <c r="DN77" i="29"/>
  <c r="EE77" i="29"/>
  <c r="EE79" i="29" s="1"/>
  <c r="EE48" i="3"/>
  <c r="DZ77" i="29"/>
  <c r="DZ79" i="29" s="1"/>
  <c r="DT77" i="29"/>
  <c r="EI77" i="29"/>
  <c r="EI79" i="29" s="1"/>
  <c r="EF77" i="29"/>
  <c r="EF79" i="29" s="1"/>
  <c r="EF49" i="3"/>
  <c r="EG41" i="3"/>
  <c r="DN28" i="3"/>
  <c r="DN29" i="3"/>
  <c r="DU28" i="3"/>
  <c r="DU29" i="3"/>
  <c r="EC29" i="3"/>
  <c r="EC28" i="3"/>
  <c r="EJ28" i="3"/>
  <c r="EJ29" i="3"/>
  <c r="EO28" i="3"/>
  <c r="DO28" i="3"/>
  <c r="DO29" i="3"/>
  <c r="DV29" i="3"/>
  <c r="DV28" i="3"/>
  <c r="DX28" i="3"/>
  <c r="DX29" i="3"/>
  <c r="EM29" i="3"/>
  <c r="EM28" i="3"/>
  <c r="ER28" i="3"/>
  <c r="DQ29" i="3"/>
  <c r="DQ28" i="3"/>
  <c r="ED29" i="3"/>
  <c r="ED28" i="3"/>
  <c r="EK29" i="3"/>
  <c r="EK28" i="3"/>
  <c r="EP28" i="3"/>
  <c r="DP29" i="3"/>
  <c r="DP28" i="3"/>
  <c r="DK28" i="3"/>
  <c r="DK29" i="3"/>
  <c r="DS28" i="3"/>
  <c r="DS29" i="3"/>
  <c r="DZ29" i="3"/>
  <c r="DZ28" i="3"/>
  <c r="EH28" i="3"/>
  <c r="EH29" i="3"/>
  <c r="DI29" i="3"/>
  <c r="DI28" i="3"/>
  <c r="EE28" i="3"/>
  <c r="EE29" i="3"/>
  <c r="DJ29" i="3"/>
  <c r="DJ28" i="3"/>
  <c r="DY28" i="3"/>
  <c r="DY29" i="3"/>
  <c r="EF29" i="3"/>
  <c r="EF28" i="3"/>
  <c r="EN28" i="3"/>
  <c r="EN29" i="3"/>
  <c r="ES28" i="3"/>
  <c r="EO29" i="3"/>
  <c r="DW34" i="3"/>
  <c r="DL28" i="3"/>
  <c r="DL29" i="3"/>
  <c r="DT28" i="3"/>
  <c r="DT29" i="3"/>
  <c r="EA29" i="3"/>
  <c r="EA28" i="3"/>
  <c r="EI28" i="3"/>
  <c r="EI29" i="3"/>
  <c r="EG20" i="3"/>
  <c r="DN15" i="3"/>
  <c r="DN63" i="29"/>
  <c r="DN22" i="3"/>
  <c r="DU15" i="3"/>
  <c r="DU63" i="29"/>
  <c r="DU22" i="3"/>
  <c r="EC15" i="3"/>
  <c r="EC63" i="29"/>
  <c r="EC22" i="3"/>
  <c r="EJ15" i="3"/>
  <c r="EJ63" i="29"/>
  <c r="EJ22" i="3"/>
  <c r="DO15" i="3"/>
  <c r="DO63" i="29"/>
  <c r="DO22" i="3"/>
  <c r="ED15" i="3"/>
  <c r="ED63" i="29"/>
  <c r="ED22" i="3"/>
  <c r="EK15" i="3"/>
  <c r="EK63" i="29"/>
  <c r="EK22" i="3"/>
  <c r="EE15" i="3"/>
  <c r="EE63" i="29"/>
  <c r="EE22" i="3"/>
  <c r="DP15" i="3"/>
  <c r="DP63" i="29"/>
  <c r="DP22" i="3"/>
  <c r="DV15" i="3"/>
  <c r="DV63" i="29"/>
  <c r="DV22" i="3"/>
  <c r="DI15" i="3"/>
  <c r="DI63" i="29"/>
  <c r="DI22" i="3"/>
  <c r="EM15" i="3"/>
  <c r="EM63" i="29"/>
  <c r="EM22" i="3"/>
  <c r="DJ15" i="3"/>
  <c r="DJ63" i="29"/>
  <c r="DJ22" i="3"/>
  <c r="DQ15" i="3"/>
  <c r="DQ63" i="29"/>
  <c r="DQ22" i="3"/>
  <c r="DY15" i="3"/>
  <c r="DY63" i="29"/>
  <c r="DY22" i="3"/>
  <c r="EN63" i="29"/>
  <c r="EN22" i="3"/>
  <c r="DK15" i="3"/>
  <c r="DK63" i="29"/>
  <c r="DK22" i="3"/>
  <c r="DS15" i="3"/>
  <c r="DS63" i="29"/>
  <c r="DS22" i="3"/>
  <c r="DZ15" i="3"/>
  <c r="DZ63" i="29"/>
  <c r="DZ22" i="3"/>
  <c r="EH15" i="3"/>
  <c r="EH63" i="29"/>
  <c r="EH22" i="3"/>
  <c r="ES47" i="3"/>
  <c r="ER77" i="29"/>
  <c r="DX15" i="3"/>
  <c r="DX63" i="29"/>
  <c r="DX22" i="3"/>
  <c r="EF15" i="3"/>
  <c r="EF63" i="29"/>
  <c r="EF22" i="3"/>
  <c r="DL15" i="3"/>
  <c r="DL63" i="29"/>
  <c r="DL22" i="3"/>
  <c r="DT15" i="3"/>
  <c r="DT63" i="29"/>
  <c r="DT22" i="3"/>
  <c r="EA15" i="3"/>
  <c r="EA63" i="29"/>
  <c r="EA22" i="3"/>
  <c r="EI15" i="3"/>
  <c r="EI63" i="29"/>
  <c r="EI22" i="3"/>
  <c r="ES25" i="3"/>
  <c r="ES69" i="29" s="1"/>
  <c r="ES70" i="29" s="1"/>
  <c r="EN15" i="3"/>
  <c r="ER56" i="14"/>
  <c r="ER56" i="17"/>
  <c r="ER56" i="15"/>
  <c r="EL11" i="3"/>
  <c r="EB43" i="3"/>
  <c r="EG43" i="3"/>
  <c r="DR36" i="3"/>
  <c r="DY57" i="5"/>
  <c r="DY46" i="3"/>
  <c r="DZ95" i="3"/>
  <c r="DZ81" i="3"/>
  <c r="DZ88" i="3"/>
  <c r="DZ25" i="3"/>
  <c r="DZ69" i="29" s="1"/>
  <c r="DZ70" i="29" s="1"/>
  <c r="DZ27" i="3"/>
  <c r="EG18" i="3"/>
  <c r="DS57" i="5"/>
  <c r="DS46" i="3"/>
  <c r="EJ57" i="5"/>
  <c r="EJ46" i="3"/>
  <c r="EJ47" i="3"/>
  <c r="EB91" i="3"/>
  <c r="DJ88" i="3"/>
  <c r="DJ81" i="3"/>
  <c r="DJ95" i="3"/>
  <c r="DJ27" i="3"/>
  <c r="DJ25" i="3"/>
  <c r="DQ88" i="3"/>
  <c r="DQ95" i="3"/>
  <c r="DQ81" i="3"/>
  <c r="DQ25" i="3"/>
  <c r="DQ27" i="3"/>
  <c r="DY95" i="3"/>
  <c r="DY88" i="3"/>
  <c r="DY81" i="3"/>
  <c r="DY25" i="3"/>
  <c r="DY69" i="29" s="1"/>
  <c r="DY70" i="29" s="1"/>
  <c r="DY27" i="3"/>
  <c r="EF95" i="3"/>
  <c r="EF88" i="3"/>
  <c r="EF81" i="3"/>
  <c r="EF25" i="3"/>
  <c r="EF69" i="29" s="1"/>
  <c r="EF70" i="29" s="1"/>
  <c r="EF27" i="3"/>
  <c r="EN88" i="3"/>
  <c r="EN81" i="3"/>
  <c r="EN95" i="3"/>
  <c r="EN25" i="3"/>
  <c r="EN69" i="29" s="1"/>
  <c r="EN70" i="29" s="1"/>
  <c r="EN27" i="3"/>
  <c r="DK88" i="3"/>
  <c r="DK95" i="3"/>
  <c r="DK81" i="3"/>
  <c r="DK27" i="3"/>
  <c r="DK25" i="3"/>
  <c r="ER57" i="5"/>
  <c r="DL95" i="3"/>
  <c r="DL81" i="3"/>
  <c r="DL88" i="3"/>
  <c r="DL27" i="3"/>
  <c r="DL25" i="3"/>
  <c r="EA95" i="3"/>
  <c r="EA88" i="3"/>
  <c r="EA81" i="3"/>
  <c r="EA25" i="3"/>
  <c r="EA69" i="29" s="1"/>
  <c r="EA70" i="29" s="1"/>
  <c r="EA27" i="3"/>
  <c r="EI88" i="3"/>
  <c r="EI95" i="3"/>
  <c r="EI81" i="3"/>
  <c r="EI27" i="3"/>
  <c r="EI25" i="3"/>
  <c r="EI69" i="29" s="1"/>
  <c r="EI70" i="29" s="1"/>
  <c r="EP81" i="3"/>
  <c r="EP95" i="3"/>
  <c r="EP88" i="3"/>
  <c r="EP27" i="3"/>
  <c r="EP25" i="3"/>
  <c r="EP69" i="29" s="1"/>
  <c r="EP70" i="29" s="1"/>
  <c r="EK57" i="5"/>
  <c r="EK47" i="3"/>
  <c r="EK46" i="3"/>
  <c r="EJ81" i="3"/>
  <c r="EJ88" i="3"/>
  <c r="EJ95" i="3"/>
  <c r="EJ27" i="3"/>
  <c r="EJ25" i="3"/>
  <c r="EJ69" i="29" s="1"/>
  <c r="EJ70" i="29" s="1"/>
  <c r="DR77" i="3"/>
  <c r="EH88" i="3"/>
  <c r="EH81" i="3"/>
  <c r="EH95" i="3"/>
  <c r="EH27" i="3"/>
  <c r="EH25" i="3"/>
  <c r="EH69" i="29" s="1"/>
  <c r="EH70" i="29" s="1"/>
  <c r="DN57" i="5"/>
  <c r="DN46" i="3"/>
  <c r="EG39" i="3"/>
  <c r="DF81" i="3"/>
  <c r="DF95" i="3"/>
  <c r="DF88" i="3"/>
  <c r="DF27" i="3"/>
  <c r="DF25" i="3"/>
  <c r="DU95" i="3"/>
  <c r="DU88" i="3"/>
  <c r="DU81" i="3"/>
  <c r="DU25" i="3"/>
  <c r="DU27" i="3"/>
  <c r="EE57" i="5"/>
  <c r="EE46" i="3"/>
  <c r="DZ57" i="5"/>
  <c r="DZ47" i="3"/>
  <c r="DW84" i="3"/>
  <c r="DG95" i="3"/>
  <c r="DG88" i="3"/>
  <c r="DG81" i="3"/>
  <c r="DG27" i="3"/>
  <c r="DG25" i="3"/>
  <c r="DO95" i="3"/>
  <c r="DO88" i="3"/>
  <c r="DO81" i="3"/>
  <c r="DO25" i="3"/>
  <c r="DO27" i="3"/>
  <c r="DV88" i="3"/>
  <c r="DV81" i="3"/>
  <c r="DV95" i="3"/>
  <c r="DV27" i="3"/>
  <c r="DV25" i="3"/>
  <c r="ED95" i="3"/>
  <c r="ED81" i="3"/>
  <c r="ED88" i="3"/>
  <c r="ED27" i="3"/>
  <c r="ED25" i="3"/>
  <c r="ED69" i="29" s="1"/>
  <c r="ED70" i="29" s="1"/>
  <c r="EK95" i="3"/>
  <c r="EK88" i="3"/>
  <c r="EK81" i="3"/>
  <c r="EK27" i="3"/>
  <c r="EK25" i="3"/>
  <c r="EK69" i="29" s="1"/>
  <c r="EK70" i="29" s="1"/>
  <c r="DS95" i="3"/>
  <c r="DS88" i="3"/>
  <c r="DS81" i="3"/>
  <c r="DS27" i="3"/>
  <c r="DS25" i="3"/>
  <c r="EO88" i="3"/>
  <c r="EO95" i="3"/>
  <c r="EO81" i="3"/>
  <c r="EO27" i="3"/>
  <c r="EO25" i="3"/>
  <c r="EO69" i="29" s="1"/>
  <c r="EO70" i="29" s="1"/>
  <c r="DE88" i="3"/>
  <c r="DE95" i="3"/>
  <c r="DE81" i="3"/>
  <c r="DE25" i="3"/>
  <c r="DT95" i="3"/>
  <c r="DT88" i="3"/>
  <c r="DT81" i="3"/>
  <c r="DT25" i="3"/>
  <c r="DT27" i="3"/>
  <c r="DI57" i="5"/>
  <c r="DT57" i="5"/>
  <c r="DT47" i="3"/>
  <c r="DN95" i="3"/>
  <c r="DN81" i="3"/>
  <c r="DN88" i="3"/>
  <c r="DN25" i="3"/>
  <c r="DN27" i="3"/>
  <c r="EC88" i="3"/>
  <c r="EC95" i="3"/>
  <c r="EC81" i="3"/>
  <c r="EC27" i="3"/>
  <c r="EC25" i="3"/>
  <c r="EC69" i="29" s="1"/>
  <c r="EC70" i="29" s="1"/>
  <c r="ER10" i="7"/>
  <c r="EW11" i="7" s="1"/>
  <c r="ER95" i="3"/>
  <c r="ER88" i="3"/>
  <c r="ER81" i="3"/>
  <c r="ER25" i="3"/>
  <c r="ER69" i="29" s="1"/>
  <c r="ER70" i="29" s="1"/>
  <c r="ER27" i="3"/>
  <c r="DW32" i="3"/>
  <c r="EI57" i="5"/>
  <c r="EF57" i="5"/>
  <c r="EF47" i="3"/>
  <c r="DI95" i="3"/>
  <c r="DI88" i="3"/>
  <c r="DI81" i="3"/>
  <c r="DI27" i="3"/>
  <c r="DP88" i="3"/>
  <c r="DP81" i="3"/>
  <c r="DP95" i="3"/>
  <c r="DP27" i="3"/>
  <c r="DP25" i="3"/>
  <c r="DX95" i="3"/>
  <c r="DX81" i="3"/>
  <c r="DX88" i="3"/>
  <c r="DX27" i="3"/>
  <c r="DX25" i="3"/>
  <c r="DX69" i="29" s="1"/>
  <c r="DX70" i="29" s="1"/>
  <c r="EE95" i="3"/>
  <c r="EE88" i="3"/>
  <c r="EE81" i="3"/>
  <c r="EE27" i="3"/>
  <c r="EE25" i="3"/>
  <c r="EE69" i="29" s="1"/>
  <c r="EE70" i="29" s="1"/>
  <c r="EM95" i="3"/>
  <c r="EM88" i="3"/>
  <c r="EM81" i="3"/>
  <c r="EM27" i="3"/>
  <c r="EM25" i="3"/>
  <c r="EM69" i="29" s="1"/>
  <c r="EM70" i="29" s="1"/>
  <c r="DQ10" i="7"/>
  <c r="DY10" i="7"/>
  <c r="EF10" i="7"/>
  <c r="EN10" i="7"/>
  <c r="ES11" i="7" s="1"/>
  <c r="DK10" i="7"/>
  <c r="DS10" i="7"/>
  <c r="DZ10" i="7"/>
  <c r="EH10" i="7"/>
  <c r="EO10" i="7"/>
  <c r="DE10" i="7"/>
  <c r="DL10" i="7"/>
  <c r="DT10" i="7"/>
  <c r="EA10" i="7"/>
  <c r="EI10" i="7"/>
  <c r="EP10" i="7"/>
  <c r="EU11" i="7" s="1"/>
  <c r="DF10" i="7"/>
  <c r="DN10" i="7"/>
  <c r="DU10" i="7"/>
  <c r="EC10" i="7"/>
  <c r="EJ10" i="7"/>
  <c r="DG10" i="7"/>
  <c r="DO10" i="7"/>
  <c r="DV10" i="7"/>
  <c r="ED10" i="7"/>
  <c r="EK10" i="7"/>
  <c r="DJ10" i="7"/>
  <c r="DI10" i="7"/>
  <c r="DP10" i="7"/>
  <c r="DX10" i="7"/>
  <c r="EE10" i="7"/>
  <c r="EM10" i="7"/>
  <c r="DQ56" i="5"/>
  <c r="DQ16" i="18"/>
  <c r="DQ56" i="17"/>
  <c r="DQ56" i="14"/>
  <c r="DQ56" i="15"/>
  <c r="DK56" i="5"/>
  <c r="DK16" i="18"/>
  <c r="DK56" i="17"/>
  <c r="DK56" i="15"/>
  <c r="DK56" i="14"/>
  <c r="DS56" i="5"/>
  <c r="DS56" i="17"/>
  <c r="DS16" i="18"/>
  <c r="DS56" i="14"/>
  <c r="DS56" i="15"/>
  <c r="DZ56" i="5"/>
  <c r="DZ56" i="17"/>
  <c r="DZ16" i="18"/>
  <c r="DZ56" i="15"/>
  <c r="DZ56" i="14"/>
  <c r="EH56" i="5"/>
  <c r="EH56" i="17"/>
  <c r="EH16" i="18"/>
  <c r="EH56" i="14"/>
  <c r="EH56" i="15"/>
  <c r="EO56" i="5"/>
  <c r="EO56" i="17"/>
  <c r="EO16" i="18"/>
  <c r="EO56" i="15"/>
  <c r="EO56" i="14"/>
  <c r="EN56" i="5"/>
  <c r="EN16" i="18"/>
  <c r="EN56" i="17"/>
  <c r="EN56" i="15"/>
  <c r="EN56" i="14"/>
  <c r="DE56" i="5"/>
  <c r="DE56" i="14"/>
  <c r="DE56" i="17"/>
  <c r="DE56" i="15"/>
  <c r="DL56" i="5"/>
  <c r="DL56" i="17"/>
  <c r="DL56" i="15"/>
  <c r="DL16" i="18"/>
  <c r="DL56" i="14"/>
  <c r="DT56" i="5"/>
  <c r="DT56" i="17"/>
  <c r="DT56" i="14"/>
  <c r="DT56" i="15"/>
  <c r="DT16" i="18"/>
  <c r="EA56" i="5"/>
  <c r="EA56" i="17"/>
  <c r="EA16" i="18"/>
  <c r="EA56" i="14"/>
  <c r="EA56" i="15"/>
  <c r="EI56" i="5"/>
  <c r="EI56" i="15"/>
  <c r="EI56" i="17"/>
  <c r="EI56" i="14"/>
  <c r="EI16" i="18"/>
  <c r="EP56" i="5"/>
  <c r="EP56" i="14"/>
  <c r="EP56" i="17"/>
  <c r="EP16" i="18"/>
  <c r="EP56" i="15"/>
  <c r="DF56" i="5"/>
  <c r="DF56" i="15"/>
  <c r="DF56" i="14"/>
  <c r="DF56" i="17"/>
  <c r="DN56" i="5"/>
  <c r="DN56" i="15"/>
  <c r="DN16" i="18"/>
  <c r="DN56" i="17"/>
  <c r="DN56" i="14"/>
  <c r="DU56" i="5"/>
  <c r="DU56" i="15"/>
  <c r="DU56" i="14"/>
  <c r="DU56" i="17"/>
  <c r="DU16" i="18"/>
  <c r="EC56" i="15"/>
  <c r="EC56" i="17"/>
  <c r="EC16" i="18"/>
  <c r="EC56" i="14"/>
  <c r="EJ56" i="5"/>
  <c r="EJ56" i="15"/>
  <c r="EJ56" i="14"/>
  <c r="EJ56" i="17"/>
  <c r="EJ16" i="18"/>
  <c r="DY56" i="5"/>
  <c r="DY16" i="18"/>
  <c r="DY56" i="14"/>
  <c r="DY56" i="15"/>
  <c r="DY56" i="17"/>
  <c r="DG56" i="5"/>
  <c r="DG56" i="17"/>
  <c r="DG56" i="15"/>
  <c r="DG56" i="14"/>
  <c r="DG16" i="18"/>
  <c r="DO56" i="15"/>
  <c r="DO56" i="17"/>
  <c r="DO56" i="14"/>
  <c r="DO16" i="18"/>
  <c r="DV56" i="5"/>
  <c r="DV56" i="14"/>
  <c r="DV56" i="15"/>
  <c r="DV56" i="17"/>
  <c r="DV16" i="18"/>
  <c r="ED56" i="5"/>
  <c r="ED56" i="15"/>
  <c r="ED56" i="17"/>
  <c r="ED56" i="14"/>
  <c r="ED16" i="18"/>
  <c r="EK56" i="5"/>
  <c r="EK56" i="14"/>
  <c r="EK56" i="15"/>
  <c r="EK56" i="17"/>
  <c r="EK16" i="18"/>
  <c r="DJ56" i="5"/>
  <c r="DJ16" i="18"/>
  <c r="DJ56" i="17"/>
  <c r="DJ56" i="15"/>
  <c r="DJ56" i="14"/>
  <c r="EF56" i="5"/>
  <c r="EF16" i="18"/>
  <c r="EF56" i="17"/>
  <c r="EF56" i="14"/>
  <c r="EF56" i="15"/>
  <c r="DI56" i="5"/>
  <c r="DI56" i="14"/>
  <c r="DI56" i="15"/>
  <c r="DI56" i="17"/>
  <c r="DI16" i="18"/>
  <c r="DP56" i="5"/>
  <c r="DP56" i="17"/>
  <c r="DP56" i="15"/>
  <c r="DP56" i="14"/>
  <c r="DP16" i="18"/>
  <c r="DX56" i="5"/>
  <c r="DX56" i="14"/>
  <c r="DX56" i="15"/>
  <c r="DX56" i="17"/>
  <c r="DX16" i="18"/>
  <c r="EE56" i="5"/>
  <c r="EE56" i="15"/>
  <c r="EE56" i="14"/>
  <c r="EE56" i="17"/>
  <c r="EE16" i="18"/>
  <c r="EM56" i="5"/>
  <c r="EM56" i="15"/>
  <c r="EM56" i="14"/>
  <c r="EM56" i="17"/>
  <c r="EM16" i="18"/>
  <c r="EG24" i="3"/>
  <c r="EC56" i="5"/>
  <c r="ER56" i="5"/>
  <c r="DO56" i="5"/>
  <c r="EL24" i="3"/>
  <c r="EQ24" i="3"/>
  <c r="DW24" i="3"/>
  <c r="DR24" i="3"/>
  <c r="DR164" i="3" s="1"/>
  <c r="DM24" i="3"/>
  <c r="EB24" i="3"/>
  <c r="DM10" i="3"/>
  <c r="DR13" i="3" s="1"/>
  <c r="DW10" i="3"/>
  <c r="DW13" i="3" s="1"/>
  <c r="DW17" i="3"/>
  <c r="EB31" i="3"/>
  <c r="EB34" i="3" s="1"/>
  <c r="EQ38" i="3"/>
  <c r="EN45" i="3"/>
  <c r="EN73" i="3" s="1"/>
  <c r="EN74" i="3" s="1"/>
  <c r="DR17" i="3"/>
  <c r="EK66" i="3"/>
  <c r="DL45" i="3"/>
  <c r="DL73" i="3" s="1"/>
  <c r="DL74" i="3" s="1"/>
  <c r="EL38" i="3"/>
  <c r="EL41" i="3" s="1"/>
  <c r="EH45" i="3"/>
  <c r="EH73" i="3" s="1"/>
  <c r="EH74" i="3" s="1"/>
  <c r="EQ90" i="3"/>
  <c r="EG31" i="3"/>
  <c r="DM17" i="3"/>
  <c r="EE66" i="3"/>
  <c r="DM31" i="3"/>
  <c r="DR34" i="3" s="1"/>
  <c r="EP45" i="3"/>
  <c r="EP73" i="3" s="1"/>
  <c r="EP74" i="3" s="1"/>
  <c r="DI66" i="3"/>
  <c r="EI66" i="3"/>
  <c r="DM38" i="3"/>
  <c r="DJ45" i="3"/>
  <c r="DJ73" i="3" s="1"/>
  <c r="DJ74" i="3" s="1"/>
  <c r="EQ17" i="3"/>
  <c r="EQ31" i="3"/>
  <c r="DV45" i="3"/>
  <c r="DV73" i="3" s="1"/>
  <c r="DV74" i="3" s="1"/>
  <c r="DW38" i="3"/>
  <c r="EB10" i="3"/>
  <c r="EQ10" i="3"/>
  <c r="EL17" i="3"/>
  <c r="EL20" i="3" s="1"/>
  <c r="EL31" i="3"/>
  <c r="DP45" i="3"/>
  <c r="DP73" i="3" s="1"/>
  <c r="DP74" i="3" s="1"/>
  <c r="DR38" i="3"/>
  <c r="DX45" i="3"/>
  <c r="DX73" i="3" s="1"/>
  <c r="DX74" i="3" s="1"/>
  <c r="ED45" i="3"/>
  <c r="ED73" i="3" s="1"/>
  <c r="ED74" i="3" s="1"/>
  <c r="EB76" i="3"/>
  <c r="EL83" i="3"/>
  <c r="DO45" i="3"/>
  <c r="DO73" i="3" s="1"/>
  <c r="DO74" i="3" s="1"/>
  <c r="DU45" i="3"/>
  <c r="DU73" i="3" s="1"/>
  <c r="DU74" i="3" s="1"/>
  <c r="EA45" i="3"/>
  <c r="EA73" i="3" s="1"/>
  <c r="EA74" i="3" s="1"/>
  <c r="DW76" i="3"/>
  <c r="EG83" i="3"/>
  <c r="EL90" i="3"/>
  <c r="EO45" i="3"/>
  <c r="EO73" i="3" s="1"/>
  <c r="EO74" i="3" s="1"/>
  <c r="EB83" i="3"/>
  <c r="EG90" i="3"/>
  <c r="EG93" i="3" s="1"/>
  <c r="DK45" i="3"/>
  <c r="DK73" i="3" s="1"/>
  <c r="DK74" i="3" s="1"/>
  <c r="DQ45" i="3"/>
  <c r="DQ73" i="3" s="1"/>
  <c r="DQ74" i="3" s="1"/>
  <c r="EC45" i="3"/>
  <c r="EC73" i="3" s="1"/>
  <c r="EC74" i="3" s="1"/>
  <c r="EM45" i="3"/>
  <c r="EM73" i="3" s="1"/>
  <c r="EM74" i="3" s="1"/>
  <c r="EG76" i="3"/>
  <c r="DM90" i="3"/>
  <c r="EL76" i="3"/>
  <c r="DM83" i="3"/>
  <c r="EQ83" i="3"/>
  <c r="DR90" i="3"/>
  <c r="EK79" i="29" l="1"/>
  <c r="DT165" i="3"/>
  <c r="EG164" i="3"/>
  <c r="EQ164" i="3"/>
  <c r="EL164" i="3"/>
  <c r="DW164" i="3"/>
  <c r="EB164" i="3"/>
  <c r="DM164" i="3"/>
  <c r="EV77" i="29"/>
  <c r="FA48" i="3"/>
  <c r="FA46" i="3"/>
  <c r="EC143" i="5"/>
  <c r="EM143" i="5"/>
  <c r="DP143" i="5"/>
  <c r="DV143" i="5"/>
  <c r="EP143" i="5"/>
  <c r="DK143" i="5"/>
  <c r="DO143" i="5"/>
  <c r="DX143" i="5"/>
  <c r="ED143" i="5"/>
  <c r="EJ143" i="5"/>
  <c r="DS143" i="5"/>
  <c r="EE143" i="5"/>
  <c r="EK143" i="5"/>
  <c r="DY143" i="5"/>
  <c r="DL143" i="5"/>
  <c r="DZ143" i="5"/>
  <c r="DT143" i="5"/>
  <c r="EH143" i="5"/>
  <c r="DJ143" i="5"/>
  <c r="EF143" i="5"/>
  <c r="DU143" i="5"/>
  <c r="EA143" i="5"/>
  <c r="EO143" i="5"/>
  <c r="DN143" i="5"/>
  <c r="DI143" i="5"/>
  <c r="EI143" i="5"/>
  <c r="EN143" i="5"/>
  <c r="DQ143" i="5"/>
  <c r="FG88" i="3"/>
  <c r="FL88" i="3" s="1"/>
  <c r="FQ88" i="3" s="1"/>
  <c r="FV88" i="3" s="1"/>
  <c r="GA88" i="3" s="1"/>
  <c r="GF88" i="3" s="1"/>
  <c r="DR100" i="3"/>
  <c r="DW100" i="3"/>
  <c r="EQ100" i="3"/>
  <c r="EL100" i="3"/>
  <c r="DG143" i="5"/>
  <c r="DE143" i="5"/>
  <c r="DF143" i="5"/>
  <c r="DW110" i="3"/>
  <c r="DW105" i="3"/>
  <c r="EG110" i="3"/>
  <c r="EG105" i="3"/>
  <c r="EB110" i="3"/>
  <c r="EB105" i="3"/>
  <c r="DR110" i="3"/>
  <c r="DR105" i="3"/>
  <c r="EQ110" i="3"/>
  <c r="EQ105" i="3"/>
  <c r="EB100" i="3"/>
  <c r="DM110" i="3"/>
  <c r="DM105" i="3"/>
  <c r="DM100" i="3"/>
  <c r="EL110" i="3"/>
  <c r="EL105" i="3"/>
  <c r="EG100" i="3"/>
  <c r="FG95" i="3"/>
  <c r="FL95" i="3" s="1"/>
  <c r="FQ95" i="3" s="1"/>
  <c r="FV95" i="3" s="1"/>
  <c r="GA95" i="3" s="1"/>
  <c r="GF95" i="3" s="1"/>
  <c r="EM165" i="3"/>
  <c r="EI165" i="3"/>
  <c r="EK165" i="3"/>
  <c r="EH165" i="3"/>
  <c r="EQ13" i="3"/>
  <c r="EV13" i="3"/>
  <c r="EV11" i="3"/>
  <c r="EV86" i="3"/>
  <c r="EV84" i="3"/>
  <c r="EV34" i="3"/>
  <c r="EV32" i="3"/>
  <c r="EU48" i="3"/>
  <c r="EU46" i="3"/>
  <c r="EV39" i="3"/>
  <c r="EV41" i="3"/>
  <c r="EV18" i="3"/>
  <c r="EV20" i="3"/>
  <c r="EV93" i="3"/>
  <c r="EV91" i="3"/>
  <c r="EN165" i="3"/>
  <c r="EJ165" i="3"/>
  <c r="ER165" i="3"/>
  <c r="EO165" i="3"/>
  <c r="EP165" i="3"/>
  <c r="ET46" i="3"/>
  <c r="ET48" i="3"/>
  <c r="EA97" i="5"/>
  <c r="EA165" i="3"/>
  <c r="DY165" i="3"/>
  <c r="DX165" i="3"/>
  <c r="DV165" i="3"/>
  <c r="DU165" i="3"/>
  <c r="DZ165" i="3"/>
  <c r="DN165" i="3"/>
  <c r="EF165" i="3"/>
  <c r="DS165" i="3"/>
  <c r="DQ165" i="3"/>
  <c r="DP165" i="3"/>
  <c r="DO165" i="3"/>
  <c r="EE165" i="3"/>
  <c r="EC165" i="3"/>
  <c r="ED165" i="3"/>
  <c r="EF78" i="29"/>
  <c r="ER48" i="3"/>
  <c r="ER49" i="3"/>
  <c r="EG86" i="3"/>
  <c r="DW79" i="3"/>
  <c r="EE49" i="3"/>
  <c r="DN49" i="3"/>
  <c r="DY49" i="3"/>
  <c r="EB86" i="3"/>
  <c r="DZ48" i="3"/>
  <c r="ES48" i="3"/>
  <c r="DZ63" i="3"/>
  <c r="EK62" i="3"/>
  <c r="EK63" i="3"/>
  <c r="EE62" i="3"/>
  <c r="DY62" i="3"/>
  <c r="EJ62" i="3"/>
  <c r="DI63" i="3"/>
  <c r="DI62" i="3"/>
  <c r="ES63" i="3"/>
  <c r="DN62" i="3"/>
  <c r="DN63" i="3"/>
  <c r="EF63" i="3"/>
  <c r="EL93" i="3"/>
  <c r="EQ86" i="3"/>
  <c r="DR93" i="3"/>
  <c r="EQ93" i="3"/>
  <c r="DW93" i="3"/>
  <c r="EL86" i="3"/>
  <c r="DR86" i="3"/>
  <c r="DY79" i="29"/>
  <c r="EJ78" i="29"/>
  <c r="EB13" i="3"/>
  <c r="EB79" i="3"/>
  <c r="EQ77" i="3"/>
  <c r="EL79" i="3"/>
  <c r="EG79" i="3"/>
  <c r="DZ78" i="29"/>
  <c r="EQ79" i="3"/>
  <c r="DP49" i="3"/>
  <c r="DP48" i="3"/>
  <c r="EE78" i="29"/>
  <c r="DO49" i="3"/>
  <c r="DO48" i="3"/>
  <c r="DV49" i="3"/>
  <c r="DV48" i="3"/>
  <c r="DQ49" i="3"/>
  <c r="DQ48" i="3"/>
  <c r="DL49" i="3"/>
  <c r="DL48" i="3"/>
  <c r="DT48" i="3"/>
  <c r="DU49" i="3"/>
  <c r="DZ62" i="3" s="1"/>
  <c r="DU48" i="3"/>
  <c r="DK49" i="3"/>
  <c r="DK48" i="3"/>
  <c r="DJ49" i="3"/>
  <c r="DJ48" i="3"/>
  <c r="EA49" i="3"/>
  <c r="EA48" i="3"/>
  <c r="DX48" i="3"/>
  <c r="DX49" i="3"/>
  <c r="DS49" i="3"/>
  <c r="DT63" i="3" s="1"/>
  <c r="EI78" i="29"/>
  <c r="EA77" i="29"/>
  <c r="EA78" i="29" s="1"/>
  <c r="DX77" i="29"/>
  <c r="DX79" i="29" s="1"/>
  <c r="DU77" i="29"/>
  <c r="EI48" i="3"/>
  <c r="EC77" i="29"/>
  <c r="EC78" i="29" s="1"/>
  <c r="EC49" i="3"/>
  <c r="EC48" i="3"/>
  <c r="EH49" i="3"/>
  <c r="EH48" i="3"/>
  <c r="EM49" i="3"/>
  <c r="EM48" i="3"/>
  <c r="EO77" i="29"/>
  <c r="EO78" i="29" s="1"/>
  <c r="EO49" i="3"/>
  <c r="EO48" i="3"/>
  <c r="DO77" i="29"/>
  <c r="DP77" i="29"/>
  <c r="DV77" i="29"/>
  <c r="EN49" i="3"/>
  <c r="EN48" i="3"/>
  <c r="EI49" i="3"/>
  <c r="DK77" i="29"/>
  <c r="ED49" i="3"/>
  <c r="ED48" i="3"/>
  <c r="DJ77" i="29"/>
  <c r="EF48" i="3"/>
  <c r="EP77" i="29"/>
  <c r="EP78" i="29" s="1"/>
  <c r="EP49" i="3"/>
  <c r="EP48" i="3"/>
  <c r="DR28" i="3"/>
  <c r="DR41" i="3"/>
  <c r="DW41" i="3"/>
  <c r="EQ41" i="3"/>
  <c r="EB41" i="3"/>
  <c r="EQ63" i="29"/>
  <c r="EQ28" i="3"/>
  <c r="EG36" i="3"/>
  <c r="EG34" i="3"/>
  <c r="EL28" i="3"/>
  <c r="DW63" i="29"/>
  <c r="DW28" i="3"/>
  <c r="EG22" i="3"/>
  <c r="EG28" i="3"/>
  <c r="EB63" i="29"/>
  <c r="EB28" i="3"/>
  <c r="EL36" i="3"/>
  <c r="EL34" i="3"/>
  <c r="EQ34" i="3"/>
  <c r="DM63" i="29"/>
  <c r="DR20" i="3"/>
  <c r="EQ20" i="3"/>
  <c r="EG13" i="3"/>
  <c r="DW20" i="3"/>
  <c r="EB20" i="3"/>
  <c r="DR43" i="3"/>
  <c r="DM22" i="3"/>
  <c r="DR22" i="3"/>
  <c r="DM15" i="3"/>
  <c r="EH64" i="29"/>
  <c r="EH65" i="29"/>
  <c r="EK65" i="29"/>
  <c r="EK64" i="29"/>
  <c r="ER79" i="29"/>
  <c r="ER78" i="29"/>
  <c r="EM65" i="29"/>
  <c r="EM64" i="29"/>
  <c r="ES46" i="3"/>
  <c r="EN77" i="29"/>
  <c r="EI64" i="29"/>
  <c r="EI65" i="29"/>
  <c r="EF64" i="29"/>
  <c r="EF65" i="29"/>
  <c r="EN65" i="29"/>
  <c r="EN64" i="29"/>
  <c r="EC64" i="29"/>
  <c r="EC65" i="29"/>
  <c r="DZ65" i="29"/>
  <c r="DZ64" i="29"/>
  <c r="EB22" i="3"/>
  <c r="EE64" i="29"/>
  <c r="EE65" i="29"/>
  <c r="ED64" i="29"/>
  <c r="ED65" i="29"/>
  <c r="ER46" i="3"/>
  <c r="EM77" i="29"/>
  <c r="DS47" i="3"/>
  <c r="DQ77" i="29"/>
  <c r="EL18" i="3"/>
  <c r="EL22" i="3"/>
  <c r="EQ22" i="3"/>
  <c r="DR15" i="3"/>
  <c r="DR63" i="29"/>
  <c r="DY65" i="29"/>
  <c r="DY64" i="29"/>
  <c r="EL15" i="3"/>
  <c r="EL63" i="29"/>
  <c r="EI47" i="3"/>
  <c r="EH77" i="29"/>
  <c r="EE47" i="3"/>
  <c r="ED77" i="29"/>
  <c r="DN47" i="3"/>
  <c r="DL77" i="29"/>
  <c r="EB18" i="3"/>
  <c r="DW22" i="3"/>
  <c r="EG15" i="3"/>
  <c r="EG63" i="29"/>
  <c r="EA64" i="29"/>
  <c r="EA65" i="29"/>
  <c r="DX65" i="29"/>
  <c r="DX64" i="29"/>
  <c r="EJ65" i="29"/>
  <c r="EJ64" i="29"/>
  <c r="DM43" i="3"/>
  <c r="EQ11" i="3"/>
  <c r="EQ15" i="3"/>
  <c r="EB11" i="3"/>
  <c r="EB15" i="3"/>
  <c r="DW11" i="3"/>
  <c r="DW15" i="3"/>
  <c r="ER29" i="7"/>
  <c r="ES12" i="7"/>
  <c r="ER91" i="5"/>
  <c r="ER89" i="5"/>
  <c r="ER36" i="7"/>
  <c r="DR81" i="3"/>
  <c r="DW95" i="3"/>
  <c r="ER49" i="7"/>
  <c r="EW50" i="7" s="1"/>
  <c r="DO151" i="5"/>
  <c r="ER143" i="5"/>
  <c r="EC151" i="5"/>
  <c r="ER87" i="5"/>
  <c r="ER151" i="5"/>
  <c r="EP87" i="5"/>
  <c r="EP151" i="5"/>
  <c r="DE87" i="5"/>
  <c r="DE151" i="5"/>
  <c r="DK87" i="5"/>
  <c r="DK151" i="5"/>
  <c r="DS87" i="5"/>
  <c r="DS151" i="5"/>
  <c r="DP87" i="5"/>
  <c r="DP151" i="5"/>
  <c r="DV87" i="5"/>
  <c r="DV151" i="5"/>
  <c r="DL87" i="5"/>
  <c r="DL151" i="5"/>
  <c r="DZ87" i="5"/>
  <c r="DZ151" i="5"/>
  <c r="DI87" i="5"/>
  <c r="DI151" i="5"/>
  <c r="EJ87" i="5"/>
  <c r="EJ151" i="5"/>
  <c r="DX87" i="5"/>
  <c r="DX151" i="5"/>
  <c r="ED87" i="5"/>
  <c r="ED151" i="5"/>
  <c r="DT87" i="5"/>
  <c r="DT151" i="5"/>
  <c r="EH87" i="5"/>
  <c r="EH151" i="5"/>
  <c r="EE87" i="5"/>
  <c r="EE151" i="5"/>
  <c r="EK87" i="5"/>
  <c r="EK151" i="5"/>
  <c r="DY87" i="5"/>
  <c r="DY151" i="5"/>
  <c r="DU87" i="5"/>
  <c r="DU151" i="5"/>
  <c r="EA87" i="5"/>
  <c r="EA151" i="5"/>
  <c r="EO87" i="5"/>
  <c r="EO151" i="5"/>
  <c r="EF87" i="5"/>
  <c r="EF151" i="5"/>
  <c r="DF87" i="5"/>
  <c r="DF151" i="5"/>
  <c r="DN87" i="5"/>
  <c r="DN151" i="5"/>
  <c r="EM87" i="5"/>
  <c r="EM151" i="5"/>
  <c r="DJ87" i="5"/>
  <c r="DJ151" i="5"/>
  <c r="DG87" i="5"/>
  <c r="DG151" i="5"/>
  <c r="EI87" i="5"/>
  <c r="EI151" i="5"/>
  <c r="EN87" i="5"/>
  <c r="EN151" i="5"/>
  <c r="DQ87" i="5"/>
  <c r="DQ151" i="5"/>
  <c r="ER40" i="7"/>
  <c r="EW41" i="7" s="1"/>
  <c r="ER54" i="7"/>
  <c r="DO91" i="5"/>
  <c r="DO87" i="5"/>
  <c r="EC91" i="5"/>
  <c r="EC87" i="5"/>
  <c r="EV41" i="5"/>
  <c r="FK41" i="5"/>
  <c r="DI89" i="5"/>
  <c r="DI91" i="5"/>
  <c r="EJ89" i="5"/>
  <c r="EJ91" i="5"/>
  <c r="DF89" i="5"/>
  <c r="DF91" i="5"/>
  <c r="DS89" i="5"/>
  <c r="DS91" i="5"/>
  <c r="DV89" i="5"/>
  <c r="DV91" i="5"/>
  <c r="DL89" i="5"/>
  <c r="DL91" i="5"/>
  <c r="DZ89" i="5"/>
  <c r="DZ91" i="5"/>
  <c r="DP89" i="5"/>
  <c r="DP91" i="5"/>
  <c r="DX89" i="5"/>
  <c r="DX91" i="5"/>
  <c r="ED89" i="5"/>
  <c r="ED91" i="5"/>
  <c r="DN89" i="5"/>
  <c r="DN91" i="5"/>
  <c r="DT89" i="5"/>
  <c r="DT91" i="5"/>
  <c r="EH89" i="5"/>
  <c r="EH91" i="5"/>
  <c r="EE89" i="5"/>
  <c r="EE91" i="5"/>
  <c r="EK89" i="5"/>
  <c r="EK91" i="5"/>
  <c r="DY89" i="5"/>
  <c r="DY91" i="5"/>
  <c r="DU89" i="5"/>
  <c r="DU91" i="5"/>
  <c r="EA89" i="5"/>
  <c r="EA91" i="5"/>
  <c r="EO89" i="5"/>
  <c r="EO91" i="5"/>
  <c r="EM89" i="5"/>
  <c r="EM91" i="5"/>
  <c r="DJ89" i="5"/>
  <c r="DJ91" i="5"/>
  <c r="DG89" i="5"/>
  <c r="DG91" i="5"/>
  <c r="EI89" i="5"/>
  <c r="EI91" i="5"/>
  <c r="EN89" i="5"/>
  <c r="EN91" i="5"/>
  <c r="DQ89" i="5"/>
  <c r="DQ91" i="5"/>
  <c r="EF89" i="5"/>
  <c r="EF91" i="5"/>
  <c r="EP89" i="5"/>
  <c r="EP91" i="5"/>
  <c r="DE89" i="5"/>
  <c r="DE91" i="5"/>
  <c r="DK89" i="5"/>
  <c r="DK91" i="5"/>
  <c r="DS109" i="5"/>
  <c r="EC89" i="5"/>
  <c r="DO89" i="5"/>
  <c r="DL109" i="5"/>
  <c r="DN75" i="5"/>
  <c r="EP97" i="5"/>
  <c r="DE94" i="5"/>
  <c r="DK78" i="5"/>
  <c r="DS97" i="5"/>
  <c r="DL94" i="5"/>
  <c r="DT75" i="5"/>
  <c r="EH78" i="5"/>
  <c r="DL97" i="5"/>
  <c r="EK78" i="5"/>
  <c r="DU94" i="5"/>
  <c r="EA109" i="5"/>
  <c r="DI78" i="5"/>
  <c r="DF109" i="5"/>
  <c r="DP75" i="5"/>
  <c r="DZ94" i="5"/>
  <c r="DX75" i="5"/>
  <c r="EM75" i="5"/>
  <c r="DJ97" i="5"/>
  <c r="EI97" i="5"/>
  <c r="EN78" i="5"/>
  <c r="DQ109" i="5"/>
  <c r="EQ36" i="3"/>
  <c r="EQ39" i="3"/>
  <c r="EQ43" i="3"/>
  <c r="EL39" i="3"/>
  <c r="EL43" i="3"/>
  <c r="DW43" i="3"/>
  <c r="EL25" i="3"/>
  <c r="DR32" i="3"/>
  <c r="DM36" i="3"/>
  <c r="EB32" i="3"/>
  <c r="EB36" i="3"/>
  <c r="DR39" i="3"/>
  <c r="DR18" i="3"/>
  <c r="DV78" i="5"/>
  <c r="DW36" i="3"/>
  <c r="EB25" i="3"/>
  <c r="DV97" i="5"/>
  <c r="EQ18" i="3"/>
  <c r="EG32" i="3"/>
  <c r="DU57" i="5"/>
  <c r="DU47" i="3"/>
  <c r="DU46" i="3"/>
  <c r="DW39" i="3"/>
  <c r="DR95" i="3"/>
  <c r="DR91" i="3"/>
  <c r="DO57" i="5"/>
  <c r="DO47" i="3"/>
  <c r="DO46" i="3"/>
  <c r="DI71" i="3"/>
  <c r="EQ88" i="3"/>
  <c r="EQ84" i="3"/>
  <c r="EL32" i="3"/>
  <c r="EP47" i="3"/>
  <c r="EP46" i="3"/>
  <c r="DM88" i="3"/>
  <c r="EG88" i="3"/>
  <c r="EG84" i="3"/>
  <c r="DM95" i="3"/>
  <c r="EG95" i="3"/>
  <c r="EG91" i="3"/>
  <c r="EA47" i="3"/>
  <c r="EA46" i="3"/>
  <c r="DX57" i="5"/>
  <c r="DX46" i="3"/>
  <c r="DX47" i="3"/>
  <c r="EK71" i="3"/>
  <c r="EQ25" i="3"/>
  <c r="DZ78" i="5"/>
  <c r="DP78" i="5"/>
  <c r="ER44" i="7"/>
  <c r="ER21" i="7"/>
  <c r="ER12" i="7"/>
  <c r="EI46" i="3"/>
  <c r="DZ46" i="3"/>
  <c r="ER47" i="3"/>
  <c r="DW91" i="3"/>
  <c r="DT46" i="3"/>
  <c r="DR11" i="3"/>
  <c r="DR84" i="3"/>
  <c r="EQ95" i="3"/>
  <c r="EQ91" i="3"/>
  <c r="DR88" i="3"/>
  <c r="EB88" i="3"/>
  <c r="EB84" i="3"/>
  <c r="EL88" i="3"/>
  <c r="EL84" i="3"/>
  <c r="EF46" i="3"/>
  <c r="EB95" i="3"/>
  <c r="EG81" i="3"/>
  <c r="EG77" i="3"/>
  <c r="EI71" i="3"/>
  <c r="EO57" i="5"/>
  <c r="EO47" i="3"/>
  <c r="EO46" i="3"/>
  <c r="EG25" i="3"/>
  <c r="EC57" i="5"/>
  <c r="EC46" i="3"/>
  <c r="EC47" i="3"/>
  <c r="DV109" i="5"/>
  <c r="EB81" i="3"/>
  <c r="EB77" i="3"/>
  <c r="ER28" i="7"/>
  <c r="EG11" i="3"/>
  <c r="DY47" i="3"/>
  <c r="EM46" i="3"/>
  <c r="EM47" i="3"/>
  <c r="DP57" i="5"/>
  <c r="DP46" i="3"/>
  <c r="DP47" i="3"/>
  <c r="DV57" i="5"/>
  <c r="DV46" i="3"/>
  <c r="DV47" i="3"/>
  <c r="EN57" i="5"/>
  <c r="EN47" i="3"/>
  <c r="EN46" i="3"/>
  <c r="EL95" i="3"/>
  <c r="EL91" i="3"/>
  <c r="EQ32" i="3"/>
  <c r="EH47" i="3"/>
  <c r="EH46" i="3"/>
  <c r="DQ57" i="5"/>
  <c r="DQ46" i="3"/>
  <c r="DQ47" i="3"/>
  <c r="DR25" i="3"/>
  <c r="DZ75" i="5"/>
  <c r="EL81" i="3"/>
  <c r="EL77" i="3"/>
  <c r="DK57" i="5"/>
  <c r="DK47" i="3"/>
  <c r="DW77" i="3"/>
  <c r="DW81" i="3"/>
  <c r="ED57" i="5"/>
  <c r="ED46" i="3"/>
  <c r="ED47" i="3"/>
  <c r="DJ57" i="5"/>
  <c r="DJ47" i="3"/>
  <c r="EE71" i="3"/>
  <c r="DL47" i="3"/>
  <c r="DW18" i="3"/>
  <c r="DW25" i="3"/>
  <c r="DP109" i="5"/>
  <c r="EB39" i="3"/>
  <c r="DW88" i="3"/>
  <c r="EQ81" i="3"/>
  <c r="DM81" i="3"/>
  <c r="DZ97" i="5"/>
  <c r="DF75" i="5"/>
  <c r="DS78" i="5"/>
  <c r="DL75" i="5"/>
  <c r="DI94" i="5"/>
  <c r="DP94" i="5"/>
  <c r="DZ109" i="5"/>
  <c r="DL78" i="5"/>
  <c r="DV75" i="5"/>
  <c r="DJ40" i="7"/>
  <c r="DJ11" i="7"/>
  <c r="DJ21" i="7"/>
  <c r="DJ12" i="7"/>
  <c r="DJ29" i="7"/>
  <c r="DJ28" i="7"/>
  <c r="DJ54" i="7"/>
  <c r="DJ49" i="7"/>
  <c r="DJ36" i="7"/>
  <c r="DJ44" i="7"/>
  <c r="EO40" i="7"/>
  <c r="EO11" i="7"/>
  <c r="EO29" i="7"/>
  <c r="EO28" i="7"/>
  <c r="EO21" i="7"/>
  <c r="EO12" i="7"/>
  <c r="EO54" i="7"/>
  <c r="EO49" i="7"/>
  <c r="EO36" i="7"/>
  <c r="EO44" i="7"/>
  <c r="DS40" i="7"/>
  <c r="DS21" i="7"/>
  <c r="DS29" i="7"/>
  <c r="DS12" i="7"/>
  <c r="DS11" i="7"/>
  <c r="DS28" i="7"/>
  <c r="DS54" i="7"/>
  <c r="DS49" i="7"/>
  <c r="DS36" i="7"/>
  <c r="DS44" i="7"/>
  <c r="DR10" i="7"/>
  <c r="EM40" i="7"/>
  <c r="EM11" i="7"/>
  <c r="EM28" i="7"/>
  <c r="EM12" i="7"/>
  <c r="EM21" i="7"/>
  <c r="EM29" i="7"/>
  <c r="EM54" i="7"/>
  <c r="EM49" i="7"/>
  <c r="EM36" i="7"/>
  <c r="EM44" i="7"/>
  <c r="DP40" i="7"/>
  <c r="DP29" i="7"/>
  <c r="DP12" i="7"/>
  <c r="DP21" i="7"/>
  <c r="DP11" i="7"/>
  <c r="DP36" i="7"/>
  <c r="DP28" i="7"/>
  <c r="DP54" i="7"/>
  <c r="DP49" i="7"/>
  <c r="DP44" i="7"/>
  <c r="ED40" i="7"/>
  <c r="ED29" i="7"/>
  <c r="ED21" i="7"/>
  <c r="ED11" i="7"/>
  <c r="ED12" i="7"/>
  <c r="ED28" i="7"/>
  <c r="ED49" i="7"/>
  <c r="ED54" i="7"/>
  <c r="ED36" i="7"/>
  <c r="ED44" i="7"/>
  <c r="DG40" i="7"/>
  <c r="DG21" i="7"/>
  <c r="DG29" i="7"/>
  <c r="DG28" i="7"/>
  <c r="DG11" i="7"/>
  <c r="DG12" i="7"/>
  <c r="DG54" i="7"/>
  <c r="DG49" i="7"/>
  <c r="DG36" i="7"/>
  <c r="DG44" i="7"/>
  <c r="EC40" i="7"/>
  <c r="EC29" i="7"/>
  <c r="EC11" i="7"/>
  <c r="EC28" i="7"/>
  <c r="EC21" i="7"/>
  <c r="EC12" i="7"/>
  <c r="EC54" i="7"/>
  <c r="EC49" i="7"/>
  <c r="EC36" i="7"/>
  <c r="EC44" i="7"/>
  <c r="DF40" i="7"/>
  <c r="DF29" i="7"/>
  <c r="DF11" i="7"/>
  <c r="DF21" i="7"/>
  <c r="DF12" i="7"/>
  <c r="DF28" i="7"/>
  <c r="DF54" i="7"/>
  <c r="DF36" i="7"/>
  <c r="DF49" i="7"/>
  <c r="DF44" i="7"/>
  <c r="EA40" i="7"/>
  <c r="EA21" i="7"/>
  <c r="EA29" i="7"/>
  <c r="EA28" i="7"/>
  <c r="EA12" i="7"/>
  <c r="EA11" i="7"/>
  <c r="EA49" i="7"/>
  <c r="EA54" i="7"/>
  <c r="EA36" i="7"/>
  <c r="EA44" i="7"/>
  <c r="DE40" i="7"/>
  <c r="DE29" i="7"/>
  <c r="DE21" i="7"/>
  <c r="DE11" i="7"/>
  <c r="DE28" i="7"/>
  <c r="DE54" i="7"/>
  <c r="DE36" i="7"/>
  <c r="DE49" i="7"/>
  <c r="DE44" i="7"/>
  <c r="EF40" i="7"/>
  <c r="EF12" i="7"/>
  <c r="EF21" i="7"/>
  <c r="EF29" i="7"/>
  <c r="EF28" i="7"/>
  <c r="EF11" i="7"/>
  <c r="EF49" i="7"/>
  <c r="EF54" i="7"/>
  <c r="EF36" i="7"/>
  <c r="EF44" i="7"/>
  <c r="DW10" i="7"/>
  <c r="EH40" i="7"/>
  <c r="EH29" i="7"/>
  <c r="EH11" i="7"/>
  <c r="EH28" i="7"/>
  <c r="EH12" i="7"/>
  <c r="EH21" i="7"/>
  <c r="EH54" i="7"/>
  <c r="EH49" i="7"/>
  <c r="EH36" i="7"/>
  <c r="EH44" i="7"/>
  <c r="DK40" i="7"/>
  <c r="DK21" i="7"/>
  <c r="DK29" i="7"/>
  <c r="DK11" i="7"/>
  <c r="DK12" i="7"/>
  <c r="DK28" i="7"/>
  <c r="DK54" i="7"/>
  <c r="DK49" i="7"/>
  <c r="DK36" i="7"/>
  <c r="DK44" i="7"/>
  <c r="DL57" i="5"/>
  <c r="EQ10" i="7"/>
  <c r="EG10" i="7"/>
  <c r="EE40" i="7"/>
  <c r="EE12" i="7"/>
  <c r="EE21" i="7"/>
  <c r="EE11" i="7"/>
  <c r="EE29" i="7"/>
  <c r="EE28" i="7"/>
  <c r="EE49" i="7"/>
  <c r="EE54" i="7"/>
  <c r="EE36" i="7"/>
  <c r="EE44" i="7"/>
  <c r="DI40" i="7"/>
  <c r="DI21" i="7"/>
  <c r="DI29" i="7"/>
  <c r="DI28" i="7"/>
  <c r="DI12" i="7"/>
  <c r="DI36" i="7"/>
  <c r="DI49" i="7"/>
  <c r="DI54" i="7"/>
  <c r="DI44" i="7"/>
  <c r="DV40" i="7"/>
  <c r="DV11" i="7"/>
  <c r="DV29" i="7"/>
  <c r="DV12" i="7"/>
  <c r="DV21" i="7"/>
  <c r="DV28" i="7"/>
  <c r="DV36" i="7"/>
  <c r="DV54" i="7"/>
  <c r="DV49" i="7"/>
  <c r="DV44" i="7"/>
  <c r="DU40" i="7"/>
  <c r="DU21" i="7"/>
  <c r="DU29" i="7"/>
  <c r="DU28" i="7"/>
  <c r="DU12" i="7"/>
  <c r="DU11" i="7"/>
  <c r="DU54" i="7"/>
  <c r="DU49" i="7"/>
  <c r="DU36" i="7"/>
  <c r="DU44" i="7"/>
  <c r="EP40" i="7"/>
  <c r="EP11" i="7"/>
  <c r="EP29" i="7"/>
  <c r="EP21" i="7"/>
  <c r="EP12" i="7"/>
  <c r="EP28" i="7"/>
  <c r="EP54" i="7"/>
  <c r="EU55" i="7" s="1"/>
  <c r="EP49" i="7"/>
  <c r="EP36" i="7"/>
  <c r="EP44" i="7"/>
  <c r="EU45" i="7" s="1"/>
  <c r="DT40" i="7"/>
  <c r="DT28" i="7"/>
  <c r="DT21" i="7"/>
  <c r="DT12" i="7"/>
  <c r="DT11" i="7"/>
  <c r="DT29" i="7"/>
  <c r="DT54" i="7"/>
  <c r="DT49" i="7"/>
  <c r="DT36" i="7"/>
  <c r="DT44" i="7"/>
  <c r="DY40" i="7"/>
  <c r="DY29" i="7"/>
  <c r="DY21" i="7"/>
  <c r="DY11" i="7"/>
  <c r="DY28" i="7"/>
  <c r="DY12" i="7"/>
  <c r="DY54" i="7"/>
  <c r="DY49" i="7"/>
  <c r="DY36" i="7"/>
  <c r="DY44" i="7"/>
  <c r="DM10" i="7"/>
  <c r="EP66" i="3"/>
  <c r="EP57" i="5"/>
  <c r="EH57" i="5"/>
  <c r="EL10" i="7"/>
  <c r="EI75" i="5"/>
  <c r="DZ40" i="7"/>
  <c r="DZ21" i="7"/>
  <c r="DZ11" i="7"/>
  <c r="DZ12" i="7"/>
  <c r="DZ28" i="7"/>
  <c r="DZ29" i="7"/>
  <c r="DZ49" i="7"/>
  <c r="DZ36" i="7"/>
  <c r="DZ54" i="7"/>
  <c r="DZ44" i="7"/>
  <c r="EM57" i="5"/>
  <c r="EA57" i="5"/>
  <c r="EB10" i="7"/>
  <c r="EN97" i="5"/>
  <c r="EJ97" i="5"/>
  <c r="DX40" i="7"/>
  <c r="DX21" i="7"/>
  <c r="DX29" i="7"/>
  <c r="DX11" i="7"/>
  <c r="DX12" i="7"/>
  <c r="DX28" i="7"/>
  <c r="DX54" i="7"/>
  <c r="DX36" i="7"/>
  <c r="DX49" i="7"/>
  <c r="DX44" i="7"/>
  <c r="EK40" i="7"/>
  <c r="EK29" i="7"/>
  <c r="EK12" i="7"/>
  <c r="EK21" i="7"/>
  <c r="EK28" i="7"/>
  <c r="EK11" i="7"/>
  <c r="EK54" i="7"/>
  <c r="EK49" i="7"/>
  <c r="EK36" i="7"/>
  <c r="EK44" i="7"/>
  <c r="DO40" i="7"/>
  <c r="DO11" i="7"/>
  <c r="DO21" i="7"/>
  <c r="DO29" i="7"/>
  <c r="DO12" i="7"/>
  <c r="DO28" i="7"/>
  <c r="DO54" i="7"/>
  <c r="DO36" i="7"/>
  <c r="DO49" i="7"/>
  <c r="DO44" i="7"/>
  <c r="ER11" i="7"/>
  <c r="EJ40" i="7"/>
  <c r="EJ29" i="7"/>
  <c r="EJ21" i="7"/>
  <c r="EJ12" i="7"/>
  <c r="EJ28" i="7"/>
  <c r="EJ11" i="7"/>
  <c r="EJ54" i="7"/>
  <c r="EJ49" i="7"/>
  <c r="EJ36" i="7"/>
  <c r="EJ44" i="7"/>
  <c r="DN40" i="7"/>
  <c r="DN29" i="7"/>
  <c r="DN12" i="7"/>
  <c r="DN28" i="7"/>
  <c r="DN21" i="7"/>
  <c r="DN11" i="7"/>
  <c r="DN49" i="7"/>
  <c r="DN54" i="7"/>
  <c r="DN36" i="7"/>
  <c r="DN44" i="7"/>
  <c r="EI40" i="7"/>
  <c r="EI28" i="7"/>
  <c r="EI29" i="7"/>
  <c r="EI12" i="7"/>
  <c r="EI11" i="7"/>
  <c r="EI21" i="7"/>
  <c r="EI54" i="7"/>
  <c r="EI36" i="7"/>
  <c r="EI49" i="7"/>
  <c r="EI44" i="7"/>
  <c r="DL40" i="7"/>
  <c r="DL11" i="7"/>
  <c r="DL21" i="7"/>
  <c r="DL28" i="7"/>
  <c r="DL12" i="7"/>
  <c r="DL29" i="7"/>
  <c r="DL54" i="7"/>
  <c r="DL49" i="7"/>
  <c r="DL36" i="7"/>
  <c r="DL44" i="7"/>
  <c r="EN40" i="7"/>
  <c r="EN29" i="7"/>
  <c r="EN21" i="7"/>
  <c r="EN28" i="7"/>
  <c r="EN11" i="7"/>
  <c r="EN12" i="7"/>
  <c r="EN54" i="7"/>
  <c r="ES55" i="7" s="1"/>
  <c r="EN49" i="7"/>
  <c r="EN36" i="7"/>
  <c r="EN44" i="7"/>
  <c r="ES45" i="7" s="1"/>
  <c r="DQ40" i="7"/>
  <c r="DQ29" i="7"/>
  <c r="DQ28" i="7"/>
  <c r="DQ21" i="7"/>
  <c r="DQ12" i="7"/>
  <c r="DQ11" i="7"/>
  <c r="DQ54" i="7"/>
  <c r="DQ49" i="7"/>
  <c r="DQ36" i="7"/>
  <c r="DQ44" i="7"/>
  <c r="DG75" i="5"/>
  <c r="EA94" i="5"/>
  <c r="EN94" i="5"/>
  <c r="DJ78" i="5"/>
  <c r="DJ75" i="5"/>
  <c r="EO78" i="5"/>
  <c r="DQ78" i="5"/>
  <c r="EO75" i="5"/>
  <c r="EI109" i="5"/>
  <c r="DQ75" i="5"/>
  <c r="ED78" i="5"/>
  <c r="EI94" i="5"/>
  <c r="EM109" i="5"/>
  <c r="DG109" i="5"/>
  <c r="EO97" i="5"/>
  <c r="EE78" i="5"/>
  <c r="EO94" i="5"/>
  <c r="EI78" i="5"/>
  <c r="EN75" i="5"/>
  <c r="DY78" i="5"/>
  <c r="DQ97" i="5"/>
  <c r="DJ109" i="5"/>
  <c r="EE94" i="5"/>
  <c r="DG97" i="5"/>
  <c r="DU75" i="5"/>
  <c r="EO109" i="5"/>
  <c r="EN109" i="5"/>
  <c r="DY75" i="5"/>
  <c r="DQ94" i="5"/>
  <c r="EM97" i="5"/>
  <c r="DN97" i="5"/>
  <c r="EH94" i="5"/>
  <c r="DY97" i="5"/>
  <c r="EM94" i="5"/>
  <c r="EK109" i="5"/>
  <c r="DF97" i="5"/>
  <c r="DY94" i="5"/>
  <c r="DJ94" i="5"/>
  <c r="EM78" i="5"/>
  <c r="DG94" i="5"/>
  <c r="EA78" i="5"/>
  <c r="DY109" i="5"/>
  <c r="EK75" i="5"/>
  <c r="DG78" i="5"/>
  <c r="DU78" i="5"/>
  <c r="EA75" i="5"/>
  <c r="DX97" i="5"/>
  <c r="EF75" i="5"/>
  <c r="EH97" i="5"/>
  <c r="DX94" i="5"/>
  <c r="DT78" i="5"/>
  <c r="ED94" i="5"/>
  <c r="EH109" i="5"/>
  <c r="EE109" i="5"/>
  <c r="DX78" i="5"/>
  <c r="DT109" i="5"/>
  <c r="EK94" i="5"/>
  <c r="DU97" i="5"/>
  <c r="DN78" i="5"/>
  <c r="EH75" i="5"/>
  <c r="EE97" i="5"/>
  <c r="DT94" i="5"/>
  <c r="ED75" i="5"/>
  <c r="DU109" i="5"/>
  <c r="DX109" i="5"/>
  <c r="DN109" i="5"/>
  <c r="DT97" i="5"/>
  <c r="ED97" i="5"/>
  <c r="DS75" i="5"/>
  <c r="EE75" i="5"/>
  <c r="EJ94" i="5"/>
  <c r="EK97" i="5"/>
  <c r="DS94" i="5"/>
  <c r="DI75" i="5"/>
  <c r="EJ109" i="5"/>
  <c r="DF78" i="5"/>
  <c r="DI109" i="5"/>
  <c r="EJ75" i="5"/>
  <c r="EP75" i="5"/>
  <c r="DE97" i="5"/>
  <c r="DK75" i="5"/>
  <c r="EJ78" i="5"/>
  <c r="EQ56" i="5"/>
  <c r="EQ16" i="18"/>
  <c r="EQ56" i="14"/>
  <c r="EQ56" i="15"/>
  <c r="EQ56" i="17"/>
  <c r="EF78" i="5"/>
  <c r="EP78" i="5"/>
  <c r="DE78" i="5"/>
  <c r="EL56" i="5"/>
  <c r="EL16" i="18"/>
  <c r="EL56" i="15"/>
  <c r="EL56" i="17"/>
  <c r="EL56" i="14"/>
  <c r="DK97" i="5"/>
  <c r="EF109" i="5"/>
  <c r="DW56" i="5"/>
  <c r="DW16" i="18"/>
  <c r="DW56" i="14"/>
  <c r="DW56" i="17"/>
  <c r="DW56" i="15"/>
  <c r="EB56" i="5"/>
  <c r="EB16" i="18"/>
  <c r="EB56" i="14"/>
  <c r="EB56" i="17"/>
  <c r="EB56" i="15"/>
  <c r="DK109" i="5"/>
  <c r="EF97" i="5"/>
  <c r="EP94" i="5"/>
  <c r="DE75" i="5"/>
  <c r="DM56" i="5"/>
  <c r="DM16" i="18"/>
  <c r="DM56" i="14"/>
  <c r="DM56" i="15"/>
  <c r="DM56" i="17"/>
  <c r="DK94" i="5"/>
  <c r="EF94" i="5"/>
  <c r="DP97" i="5"/>
  <c r="DI97" i="5"/>
  <c r="DN94" i="5"/>
  <c r="EP109" i="5"/>
  <c r="ED109" i="5"/>
  <c r="DV94" i="5"/>
  <c r="EG56" i="5"/>
  <c r="EG16" i="18"/>
  <c r="EG56" i="14"/>
  <c r="EG56" i="15"/>
  <c r="EG56" i="17"/>
  <c r="DF94" i="5"/>
  <c r="DE109" i="5"/>
  <c r="DR56" i="5"/>
  <c r="DR16" i="18"/>
  <c r="DR56" i="14"/>
  <c r="DR56" i="15"/>
  <c r="DR56" i="17"/>
  <c r="ER109" i="5"/>
  <c r="ER97" i="5"/>
  <c r="ER94" i="5"/>
  <c r="ER75" i="5"/>
  <c r="ER78" i="5"/>
  <c r="DO109" i="5"/>
  <c r="DO75" i="5"/>
  <c r="DO78" i="5"/>
  <c r="DO94" i="5"/>
  <c r="DO97" i="5"/>
  <c r="EC97" i="5"/>
  <c r="EC94" i="5"/>
  <c r="EC75" i="5"/>
  <c r="EC78" i="5"/>
  <c r="EC109" i="5"/>
  <c r="DW45" i="3"/>
  <c r="DW73" i="3" s="1"/>
  <c r="DW74" i="3" s="1"/>
  <c r="ER66" i="3"/>
  <c r="EG45" i="3"/>
  <c r="EG73" i="3" s="1"/>
  <c r="EG74" i="3" s="1"/>
  <c r="DL66" i="3"/>
  <c r="DN66" i="3"/>
  <c r="ED66" i="3"/>
  <c r="EE70" i="3" s="1"/>
  <c r="DP66" i="3"/>
  <c r="EM66" i="3"/>
  <c r="EO66" i="3"/>
  <c r="EB45" i="3"/>
  <c r="EB73" i="3" s="1"/>
  <c r="EB74" i="3" s="1"/>
  <c r="EH66" i="3"/>
  <c r="DS66" i="3"/>
  <c r="DY66" i="3"/>
  <c r="EQ45" i="3"/>
  <c r="EC66" i="3"/>
  <c r="DR45" i="3"/>
  <c r="DR73" i="3" s="1"/>
  <c r="DR74" i="3" s="1"/>
  <c r="DZ66" i="3"/>
  <c r="DK66" i="3"/>
  <c r="DO66" i="3"/>
  <c r="DV66" i="3"/>
  <c r="DQ66" i="3"/>
  <c r="EN66" i="3"/>
  <c r="EA66" i="3"/>
  <c r="DT66" i="3"/>
  <c r="DJ66" i="3"/>
  <c r="DU66" i="3"/>
  <c r="DM45" i="3"/>
  <c r="DM73" i="3" s="1"/>
  <c r="DM74" i="3" s="1"/>
  <c r="EF66" i="3"/>
  <c r="EK69" i="3" s="1"/>
  <c r="EL45" i="3"/>
  <c r="EL73" i="3" s="1"/>
  <c r="EL74" i="3" s="1"/>
  <c r="DX66" i="3"/>
  <c r="EJ66" i="3"/>
  <c r="EK70" i="3" s="1"/>
  <c r="EG143" i="5" l="1"/>
  <c r="DR143" i="5"/>
  <c r="DW143" i="5"/>
  <c r="DM143" i="5"/>
  <c r="EB143" i="5"/>
  <c r="EL143" i="5"/>
  <c r="ES56" i="7"/>
  <c r="EW55" i="7"/>
  <c r="ES46" i="7"/>
  <c r="EW45" i="7"/>
  <c r="EW67" i="3"/>
  <c r="EW69" i="3"/>
  <c r="EL165" i="3"/>
  <c r="EQ165" i="3"/>
  <c r="EG165" i="3"/>
  <c r="EV48" i="3"/>
  <c r="EV46" i="3"/>
  <c r="EU67" i="3"/>
  <c r="EU69" i="3"/>
  <c r="EU50" i="7"/>
  <c r="EU41" i="7"/>
  <c r="DW165" i="3"/>
  <c r="DR165" i="3"/>
  <c r="EB165" i="3"/>
  <c r="ES51" i="7"/>
  <c r="ES50" i="7"/>
  <c r="ES42" i="7"/>
  <c r="ES41" i="7"/>
  <c r="DY63" i="3"/>
  <c r="EP62" i="3"/>
  <c r="EP63" i="3"/>
  <c r="EI62" i="3"/>
  <c r="EI63" i="3"/>
  <c r="EH62" i="3"/>
  <c r="EH63" i="3"/>
  <c r="DK62" i="3"/>
  <c r="DK63" i="3"/>
  <c r="DQ63" i="3"/>
  <c r="DQ62" i="3"/>
  <c r="EN63" i="3"/>
  <c r="EN62" i="3"/>
  <c r="EC63" i="3"/>
  <c r="EC62" i="3"/>
  <c r="DV63" i="3"/>
  <c r="DV62" i="3"/>
  <c r="EO62" i="3"/>
  <c r="EO63" i="3"/>
  <c r="EA63" i="3"/>
  <c r="EA62" i="3"/>
  <c r="DP63" i="3"/>
  <c r="DP62" i="3"/>
  <c r="EJ63" i="3"/>
  <c r="ER63" i="3"/>
  <c r="DS62" i="3"/>
  <c r="DS63" i="3"/>
  <c r="DJ63" i="3"/>
  <c r="DJ62" i="3"/>
  <c r="ES62" i="3"/>
  <c r="DU63" i="3"/>
  <c r="DU62" i="3"/>
  <c r="EF62" i="3"/>
  <c r="ED63" i="3"/>
  <c r="ED62" i="3"/>
  <c r="EM63" i="3"/>
  <c r="EM62" i="3"/>
  <c r="DX63" i="3"/>
  <c r="DX62" i="3"/>
  <c r="DL62" i="3"/>
  <c r="DL63" i="3"/>
  <c r="DO63" i="3"/>
  <c r="DO62" i="3"/>
  <c r="EE63" i="3"/>
  <c r="ER62" i="3"/>
  <c r="DT62" i="3"/>
  <c r="EO79" i="29"/>
  <c r="EC79" i="29"/>
  <c r="EP79" i="29"/>
  <c r="DX78" i="29"/>
  <c r="EA79" i="29"/>
  <c r="DW48" i="3"/>
  <c r="DR48" i="3"/>
  <c r="DX70" i="3"/>
  <c r="DX69" i="3"/>
  <c r="DT69" i="3"/>
  <c r="DT70" i="3"/>
  <c r="DK70" i="3"/>
  <c r="DS69" i="3"/>
  <c r="DS70" i="3"/>
  <c r="EE68" i="3"/>
  <c r="ED70" i="3"/>
  <c r="ED69" i="3"/>
  <c r="DP70" i="3"/>
  <c r="DP69" i="3"/>
  <c r="EA69" i="3"/>
  <c r="EA70" i="3"/>
  <c r="EH69" i="3"/>
  <c r="EH70" i="3"/>
  <c r="DN70" i="3"/>
  <c r="DN69" i="3"/>
  <c r="EJ70" i="3"/>
  <c r="EJ69" i="3"/>
  <c r="DY70" i="3"/>
  <c r="DY69" i="3"/>
  <c r="DZ69" i="3"/>
  <c r="DZ70" i="3"/>
  <c r="ES67" i="3"/>
  <c r="EN70" i="3"/>
  <c r="EN69" i="3"/>
  <c r="ES69" i="3"/>
  <c r="DL70" i="3"/>
  <c r="DO70" i="3"/>
  <c r="DO69" i="3"/>
  <c r="EC69" i="3"/>
  <c r="EC70" i="3"/>
  <c r="EO69" i="3"/>
  <c r="EO70" i="3"/>
  <c r="EI70" i="3"/>
  <c r="DJ70" i="3"/>
  <c r="EF70" i="3"/>
  <c r="EF69" i="3"/>
  <c r="EB48" i="3"/>
  <c r="DM77" i="29"/>
  <c r="DQ70" i="3"/>
  <c r="DQ69" i="3"/>
  <c r="DU69" i="3"/>
  <c r="DU70" i="3"/>
  <c r="DV69" i="3"/>
  <c r="DV70" i="3"/>
  <c r="EM70" i="3"/>
  <c r="EM69" i="3"/>
  <c r="ES68" i="3"/>
  <c r="ER70" i="3"/>
  <c r="ER69" i="3"/>
  <c r="ES70" i="3"/>
  <c r="EP70" i="3"/>
  <c r="EP69" i="3"/>
  <c r="EI69" i="3"/>
  <c r="EE69" i="3"/>
  <c r="EB77" i="29"/>
  <c r="EG77" i="29"/>
  <c r="EG48" i="3"/>
  <c r="EQ77" i="29"/>
  <c r="EQ48" i="3"/>
  <c r="DR77" i="29"/>
  <c r="DW77" i="29"/>
  <c r="EL77" i="29"/>
  <c r="EL48" i="3"/>
  <c r="ED78" i="29"/>
  <c r="ED79" i="29"/>
  <c r="EH78" i="29"/>
  <c r="EH79" i="29"/>
  <c r="EN79" i="29"/>
  <c r="EN78" i="29"/>
  <c r="EM79" i="29"/>
  <c r="EM78" i="29"/>
  <c r="ER56" i="7"/>
  <c r="ER55" i="7"/>
  <c r="ER51" i="7"/>
  <c r="ER50" i="7"/>
  <c r="ER41" i="7"/>
  <c r="DM151" i="5"/>
  <c r="DR151" i="5"/>
  <c r="EG151" i="5"/>
  <c r="DW151" i="5"/>
  <c r="EB151" i="5"/>
  <c r="EL151" i="5"/>
  <c r="ER42" i="7"/>
  <c r="ER46" i="7"/>
  <c r="ER45" i="7"/>
  <c r="DW109" i="5"/>
  <c r="EB109" i="5"/>
  <c r="EG109" i="5"/>
  <c r="ES134" i="5"/>
  <c r="DR109" i="5"/>
  <c r="EL109" i="5"/>
  <c r="DM109" i="5"/>
  <c r="DQ71" i="3"/>
  <c r="DQ67" i="3"/>
  <c r="DQ68" i="3"/>
  <c r="EG57" i="5"/>
  <c r="EG46" i="3"/>
  <c r="DV71" i="3"/>
  <c r="DV68" i="3"/>
  <c r="DV67" i="3"/>
  <c r="EM71" i="3"/>
  <c r="EM68" i="3"/>
  <c r="EM67" i="3"/>
  <c r="EJ71" i="3"/>
  <c r="EJ68" i="3"/>
  <c r="EJ67" i="3"/>
  <c r="DP71" i="3"/>
  <c r="DP68" i="3"/>
  <c r="DP67" i="3"/>
  <c r="DX71" i="3"/>
  <c r="DX68" i="3"/>
  <c r="DX67" i="3"/>
  <c r="DK68" i="3"/>
  <c r="DK71" i="3"/>
  <c r="EA71" i="3"/>
  <c r="EA67" i="3"/>
  <c r="EA68" i="3"/>
  <c r="EH71" i="3"/>
  <c r="EH68" i="3"/>
  <c r="EH67" i="3"/>
  <c r="EF71" i="3"/>
  <c r="EF67" i="3"/>
  <c r="EF68" i="3"/>
  <c r="EN71" i="3"/>
  <c r="EN67" i="3"/>
  <c r="EN68" i="3"/>
  <c r="DR57" i="5"/>
  <c r="DR46" i="3"/>
  <c r="EB57" i="5"/>
  <c r="EB46" i="3"/>
  <c r="DL71" i="3"/>
  <c r="DL68" i="3"/>
  <c r="EP71" i="3"/>
  <c r="EP67" i="3"/>
  <c r="EP68" i="3"/>
  <c r="EK67" i="3"/>
  <c r="EO71" i="3"/>
  <c r="EO68" i="3"/>
  <c r="EO67" i="3"/>
  <c r="DU71" i="3"/>
  <c r="DU67" i="3"/>
  <c r="DU68" i="3"/>
  <c r="ER71" i="3"/>
  <c r="ER67" i="3"/>
  <c r="ER68" i="3"/>
  <c r="DO71" i="3"/>
  <c r="DO67" i="3"/>
  <c r="DO68" i="3"/>
  <c r="DW57" i="5"/>
  <c r="DW46" i="3"/>
  <c r="DS71" i="3"/>
  <c r="DS67" i="3"/>
  <c r="DS68" i="3"/>
  <c r="ED71" i="3"/>
  <c r="ED68" i="3"/>
  <c r="ED67" i="3"/>
  <c r="EI45" i="7"/>
  <c r="EI68" i="3"/>
  <c r="EK68" i="3"/>
  <c r="DM57" i="5"/>
  <c r="EC68" i="3"/>
  <c r="EC71" i="3"/>
  <c r="EC67" i="3"/>
  <c r="EQ57" i="5"/>
  <c r="EQ46" i="3"/>
  <c r="DJ71" i="3"/>
  <c r="DJ68" i="3"/>
  <c r="DY71" i="3"/>
  <c r="DY67" i="3"/>
  <c r="DY68" i="3"/>
  <c r="DT67" i="3"/>
  <c r="DT71" i="3"/>
  <c r="DT68" i="3"/>
  <c r="EL57" i="5"/>
  <c r="EL46" i="3"/>
  <c r="DZ71" i="3"/>
  <c r="DZ67" i="3"/>
  <c r="DZ68" i="3"/>
  <c r="DN71" i="3"/>
  <c r="DN67" i="3"/>
  <c r="DN68" i="3"/>
  <c r="EE67" i="3"/>
  <c r="EI67" i="3"/>
  <c r="EE45" i="7"/>
  <c r="DQ55" i="7"/>
  <c r="DQ56" i="7"/>
  <c r="DQ41" i="7"/>
  <c r="DQ42" i="7"/>
  <c r="EI55" i="7"/>
  <c r="EI56" i="7"/>
  <c r="EI41" i="7"/>
  <c r="EI42" i="7"/>
  <c r="EJ55" i="7"/>
  <c r="EJ56" i="7"/>
  <c r="EJ42" i="7"/>
  <c r="EJ41" i="7"/>
  <c r="DO45" i="7"/>
  <c r="DO46" i="7"/>
  <c r="EK51" i="7"/>
  <c r="EK50" i="7"/>
  <c r="DZ56" i="7"/>
  <c r="DZ55" i="7"/>
  <c r="DU56" i="7"/>
  <c r="DU55" i="7"/>
  <c r="DU41" i="7"/>
  <c r="DU42" i="7"/>
  <c r="DV51" i="7"/>
  <c r="DV50" i="7"/>
  <c r="EG40" i="7"/>
  <c r="EG11" i="7"/>
  <c r="EF51" i="7"/>
  <c r="EF50" i="7"/>
  <c r="EF41" i="7"/>
  <c r="EF42" i="7"/>
  <c r="DE50" i="7"/>
  <c r="EA50" i="7"/>
  <c r="EA51" i="7"/>
  <c r="EA41" i="7"/>
  <c r="EA42" i="7"/>
  <c r="DF46" i="7"/>
  <c r="DF45" i="7"/>
  <c r="EC50" i="7"/>
  <c r="EC51" i="7"/>
  <c r="EE46" i="7"/>
  <c r="ED46" i="7"/>
  <c r="ED45" i="7"/>
  <c r="DP56" i="7"/>
  <c r="DP55" i="7"/>
  <c r="EO56" i="7"/>
  <c r="EO55" i="7"/>
  <c r="EO41" i="7"/>
  <c r="EO42" i="7"/>
  <c r="EN45" i="7"/>
  <c r="EN46" i="7"/>
  <c r="DL50" i="7"/>
  <c r="DL51" i="7"/>
  <c r="DN55" i="7"/>
  <c r="DN56" i="7"/>
  <c r="DO51" i="7"/>
  <c r="DO50" i="7"/>
  <c r="EK56" i="7"/>
  <c r="EK55" i="7"/>
  <c r="EK42" i="7"/>
  <c r="EK41" i="7"/>
  <c r="DM40" i="7"/>
  <c r="DT46" i="7"/>
  <c r="DT45" i="7"/>
  <c r="EP50" i="7"/>
  <c r="EP51" i="7"/>
  <c r="DV56" i="7"/>
  <c r="DV55" i="7"/>
  <c r="DK45" i="7"/>
  <c r="DK46" i="7"/>
  <c r="EH50" i="7"/>
  <c r="EH51" i="7"/>
  <c r="DW40" i="7"/>
  <c r="DW11" i="7"/>
  <c r="DF50" i="7"/>
  <c r="DF51" i="7"/>
  <c r="EC55" i="7"/>
  <c r="EC56" i="7"/>
  <c r="EC42" i="7"/>
  <c r="EC41" i="7"/>
  <c r="DP42" i="7"/>
  <c r="DP41" i="7"/>
  <c r="DS50" i="7"/>
  <c r="DS51" i="7"/>
  <c r="DJ51" i="7"/>
  <c r="DJ50" i="7"/>
  <c r="DL55" i="7"/>
  <c r="DL56" i="7"/>
  <c r="DL41" i="7"/>
  <c r="DL42" i="7"/>
  <c r="DN50" i="7"/>
  <c r="DN51" i="7"/>
  <c r="DN41" i="7"/>
  <c r="DN42" i="7"/>
  <c r="DX45" i="7"/>
  <c r="DX46" i="7"/>
  <c r="DZ50" i="7"/>
  <c r="DZ51" i="7"/>
  <c r="DZ41" i="7"/>
  <c r="DZ42" i="7"/>
  <c r="DY46" i="7"/>
  <c r="DY45" i="7"/>
  <c r="EP56" i="7"/>
  <c r="EP55" i="7"/>
  <c r="EP41" i="7"/>
  <c r="EP42" i="7"/>
  <c r="DV41" i="7"/>
  <c r="DV42" i="7"/>
  <c r="DI46" i="7"/>
  <c r="EE56" i="7"/>
  <c r="EE55" i="7"/>
  <c r="EQ11" i="7"/>
  <c r="EH56" i="7"/>
  <c r="EH55" i="7"/>
  <c r="EH42" i="7"/>
  <c r="EH41" i="7"/>
  <c r="DE55" i="7"/>
  <c r="DE41" i="7"/>
  <c r="DG46" i="7"/>
  <c r="DG45" i="7"/>
  <c r="ED56" i="7"/>
  <c r="ED55" i="7"/>
  <c r="EM45" i="7"/>
  <c r="EM46" i="7"/>
  <c r="DS55" i="7"/>
  <c r="DS56" i="7"/>
  <c r="DS41" i="7"/>
  <c r="DS42" i="7"/>
  <c r="DJ56" i="7"/>
  <c r="DJ55" i="7"/>
  <c r="DJ41" i="7"/>
  <c r="DJ42" i="7"/>
  <c r="DQ45" i="7"/>
  <c r="DQ46" i="7"/>
  <c r="EN50" i="7"/>
  <c r="EN51" i="7"/>
  <c r="EJ46" i="7"/>
  <c r="EJ45" i="7"/>
  <c r="DO55" i="7"/>
  <c r="DO56" i="7"/>
  <c r="DO42" i="7"/>
  <c r="DO41" i="7"/>
  <c r="DX50" i="7"/>
  <c r="DX51" i="7"/>
  <c r="DT50" i="7"/>
  <c r="DT51" i="7"/>
  <c r="DU46" i="7"/>
  <c r="DU45" i="7"/>
  <c r="DI56" i="7"/>
  <c r="EE51" i="7"/>
  <c r="EE50" i="7"/>
  <c r="EE42" i="7"/>
  <c r="EE41" i="7"/>
  <c r="DK50" i="7"/>
  <c r="DK51" i="7"/>
  <c r="EF46" i="7"/>
  <c r="EF45" i="7"/>
  <c r="EA46" i="7"/>
  <c r="EA45" i="7"/>
  <c r="DF55" i="7"/>
  <c r="DF56" i="7"/>
  <c r="DF42" i="7"/>
  <c r="DF41" i="7"/>
  <c r="ED51" i="7"/>
  <c r="ED50" i="7"/>
  <c r="ED42" i="7"/>
  <c r="ED41" i="7"/>
  <c r="EO45" i="7"/>
  <c r="EO46" i="7"/>
  <c r="EN55" i="7"/>
  <c r="EN56" i="7"/>
  <c r="EN42" i="7"/>
  <c r="EN41" i="7"/>
  <c r="EI51" i="7"/>
  <c r="EI50" i="7"/>
  <c r="EK46" i="7"/>
  <c r="EK45" i="7"/>
  <c r="EB40" i="7"/>
  <c r="EB11" i="7"/>
  <c r="DY51" i="7"/>
  <c r="DY50" i="7"/>
  <c r="DT55" i="7"/>
  <c r="DT56" i="7"/>
  <c r="DT41" i="7"/>
  <c r="DT42" i="7"/>
  <c r="DI51" i="7"/>
  <c r="DK55" i="7"/>
  <c r="DK56" i="7"/>
  <c r="DK42" i="7"/>
  <c r="DK41" i="7"/>
  <c r="EC46" i="7"/>
  <c r="EC45" i="7"/>
  <c r="DG50" i="7"/>
  <c r="DG51" i="7"/>
  <c r="DP45" i="7"/>
  <c r="DP46" i="7"/>
  <c r="EM51" i="7"/>
  <c r="EM50" i="7"/>
  <c r="DR40" i="7"/>
  <c r="DR11" i="7"/>
  <c r="DQ51" i="7"/>
  <c r="DQ50" i="7"/>
  <c r="DL46" i="7"/>
  <c r="DL45" i="7"/>
  <c r="DN45" i="7"/>
  <c r="DN46" i="7"/>
  <c r="EJ50" i="7"/>
  <c r="EJ51" i="7"/>
  <c r="DX55" i="7"/>
  <c r="DX56" i="7"/>
  <c r="DX42" i="7"/>
  <c r="DX41" i="7"/>
  <c r="DZ46" i="7"/>
  <c r="DZ45" i="7"/>
  <c r="EL40" i="7"/>
  <c r="EL11" i="7"/>
  <c r="DY55" i="7"/>
  <c r="DY56" i="7"/>
  <c r="DY42" i="7"/>
  <c r="DY41" i="7"/>
  <c r="EP46" i="7"/>
  <c r="EP45" i="7"/>
  <c r="DU50" i="7"/>
  <c r="DU51" i="7"/>
  <c r="DV45" i="7"/>
  <c r="DV46" i="7"/>
  <c r="DI42" i="7"/>
  <c r="EI46" i="7"/>
  <c r="EH45" i="7"/>
  <c r="EH46" i="7"/>
  <c r="EF56" i="7"/>
  <c r="EF55" i="7"/>
  <c r="DE45" i="7"/>
  <c r="EA55" i="7"/>
  <c r="EA56" i="7"/>
  <c r="DG56" i="7"/>
  <c r="DG55" i="7"/>
  <c r="DG42" i="7"/>
  <c r="DG41" i="7"/>
  <c r="DP51" i="7"/>
  <c r="DP50" i="7"/>
  <c r="EM56" i="7"/>
  <c r="EM55" i="7"/>
  <c r="EM41" i="7"/>
  <c r="EM42" i="7"/>
  <c r="DS46" i="7"/>
  <c r="DS45" i="7"/>
  <c r="EO50" i="7"/>
  <c r="EO51" i="7"/>
  <c r="DJ46" i="7"/>
  <c r="DJ45" i="7"/>
  <c r="DW66" i="3"/>
  <c r="EG66" i="3"/>
  <c r="EL66" i="3"/>
  <c r="EQ66" i="3"/>
  <c r="DR66" i="3"/>
  <c r="EB66" i="3"/>
  <c r="DM66" i="3"/>
  <c r="ES135" i="5" l="1"/>
  <c r="ES137" i="5"/>
  <c r="DR62" i="3"/>
  <c r="DM62" i="3"/>
  <c r="EL62" i="3"/>
  <c r="EG62" i="3"/>
  <c r="DW62" i="3"/>
  <c r="EB62" i="3"/>
  <c r="EQ62" i="3"/>
  <c r="EL69" i="3"/>
  <c r="EG69" i="3"/>
  <c r="DW69" i="3"/>
  <c r="EB69" i="3"/>
  <c r="DR69" i="3"/>
  <c r="EQ69" i="3"/>
  <c r="EB71" i="3"/>
  <c r="EB67" i="3"/>
  <c r="DR71" i="3"/>
  <c r="DR67" i="3"/>
  <c r="EQ71" i="3"/>
  <c r="EQ67" i="3"/>
  <c r="EG71" i="3"/>
  <c r="EG67" i="3"/>
  <c r="EB41" i="7"/>
  <c r="EL67" i="3"/>
  <c r="EL71" i="3"/>
  <c r="DM71" i="3"/>
  <c r="DW71" i="3"/>
  <c r="DW67" i="3"/>
  <c r="DW41" i="7"/>
  <c r="DR41" i="7"/>
  <c r="ES73" i="3" l="1"/>
  <c r="ES74" i="3" s="1"/>
  <c r="ES141" i="5"/>
  <c r="ES143" i="5"/>
  <c r="ES142" i="5"/>
  <c r="EV151" i="3"/>
  <c r="EV13" i="8" s="1"/>
  <c r="FA14" i="8" s="1"/>
  <c r="ER211" i="3"/>
  <c r="EV211" i="3" s="1"/>
  <c r="ES114" i="3"/>
  <c r="G152" i="3"/>
  <c r="G151" i="3"/>
  <c r="G136" i="3"/>
  <c r="G132" i="3"/>
  <c r="G90" i="3"/>
  <c r="G83" i="3"/>
  <c r="G76" i="3"/>
  <c r="L152" i="3"/>
  <c r="L151" i="3"/>
  <c r="L136" i="3"/>
  <c r="L132" i="3"/>
  <c r="L90" i="3"/>
  <c r="L83" i="3"/>
  <c r="L76" i="3"/>
  <c r="Q152" i="3"/>
  <c r="Q151" i="3"/>
  <c r="Q136" i="3"/>
  <c r="Q132" i="3"/>
  <c r="Q90" i="3"/>
  <c r="Q83" i="3"/>
  <c r="Q76" i="3"/>
  <c r="V152" i="3"/>
  <c r="V151" i="3"/>
  <c r="V136" i="3"/>
  <c r="V132" i="3"/>
  <c r="V98" i="3"/>
  <c r="V90" i="3"/>
  <c r="V83" i="3"/>
  <c r="V76" i="3"/>
  <c r="AA152" i="3"/>
  <c r="AA151" i="3"/>
  <c r="AA136" i="3"/>
  <c r="AA132" i="3"/>
  <c r="AA90" i="3"/>
  <c r="AA83" i="3"/>
  <c r="AA76" i="3"/>
  <c r="AF152" i="3"/>
  <c r="AF151" i="3"/>
  <c r="AF136" i="3"/>
  <c r="AF132" i="3"/>
  <c r="AF90" i="3"/>
  <c r="AF83" i="3"/>
  <c r="AF76" i="3"/>
  <c r="AK152" i="3"/>
  <c r="AK151" i="3"/>
  <c r="AK136" i="3"/>
  <c r="AK132" i="3"/>
  <c r="AK98" i="3"/>
  <c r="AK90" i="3"/>
  <c r="AK83" i="3"/>
  <c r="AK76" i="3"/>
  <c r="AP152" i="3"/>
  <c r="AP151" i="3"/>
  <c r="AP136" i="3"/>
  <c r="AP132" i="3"/>
  <c r="AP90" i="3"/>
  <c r="AP83" i="3"/>
  <c r="AP76" i="3"/>
  <c r="AU152" i="3"/>
  <c r="AU151" i="3"/>
  <c r="AU136" i="3"/>
  <c r="AU132" i="3"/>
  <c r="AU90" i="3"/>
  <c r="AU83" i="3"/>
  <c r="AU76" i="3"/>
  <c r="AZ152" i="3"/>
  <c r="AZ151" i="3"/>
  <c r="AZ136" i="3"/>
  <c r="AZ132" i="3"/>
  <c r="AZ90" i="3"/>
  <c r="AZ83" i="3"/>
  <c r="AZ76" i="3"/>
  <c r="BE152" i="3"/>
  <c r="BE151" i="3"/>
  <c r="BE136" i="3"/>
  <c r="BE132" i="3"/>
  <c r="BE90" i="3"/>
  <c r="BE83" i="3"/>
  <c r="BE76" i="3"/>
  <c r="BJ152" i="3"/>
  <c r="BJ151" i="3"/>
  <c r="BJ136" i="3"/>
  <c r="BJ132" i="3"/>
  <c r="BJ90" i="3"/>
  <c r="BJ83" i="3"/>
  <c r="BJ76" i="3"/>
  <c r="BO152" i="3"/>
  <c r="BO151" i="3"/>
  <c r="BO136" i="3"/>
  <c r="BO132" i="3"/>
  <c r="BO90" i="3"/>
  <c r="BO83" i="3"/>
  <c r="BO76" i="3"/>
  <c r="BT152" i="3"/>
  <c r="BT151" i="3"/>
  <c r="BT136" i="3"/>
  <c r="BT132" i="3"/>
  <c r="BT90" i="3"/>
  <c r="BT83" i="3"/>
  <c r="BT76" i="3"/>
  <c r="BY152" i="3"/>
  <c r="BY151" i="3"/>
  <c r="BY136" i="3"/>
  <c r="BY132" i="3"/>
  <c r="BY90" i="3"/>
  <c r="BY83" i="3"/>
  <c r="BY76" i="3"/>
  <c r="CD152" i="3"/>
  <c r="CD151" i="3"/>
  <c r="CD136" i="3"/>
  <c r="CD132" i="3"/>
  <c r="CD90" i="3"/>
  <c r="CD83" i="3"/>
  <c r="CD76" i="3"/>
  <c r="CI152" i="3"/>
  <c r="CI151" i="3"/>
  <c r="CH211" i="3"/>
  <c r="CG211" i="3"/>
  <c r="CF211" i="3"/>
  <c r="CE211" i="3"/>
  <c r="CI136" i="3"/>
  <c r="CI132" i="3"/>
  <c r="CI97" i="3"/>
  <c r="CI90" i="3"/>
  <c r="CI83" i="3"/>
  <c r="CI76" i="3"/>
  <c r="CN152" i="3"/>
  <c r="CN151" i="3"/>
  <c r="CM211" i="3"/>
  <c r="CL211" i="3"/>
  <c r="CK211" i="3"/>
  <c r="CJ211" i="3"/>
  <c r="CN136" i="3"/>
  <c r="CN132" i="3"/>
  <c r="CN97" i="3"/>
  <c r="CN90" i="3"/>
  <c r="CN83" i="3"/>
  <c r="CN76" i="3"/>
  <c r="CL66" i="3"/>
  <c r="CS152" i="3"/>
  <c r="CS151" i="3"/>
  <c r="CR211" i="3"/>
  <c r="CQ211" i="3"/>
  <c r="CP211" i="3"/>
  <c r="CO211" i="3"/>
  <c r="CS136" i="3"/>
  <c r="CS132" i="3"/>
  <c r="CS97" i="3"/>
  <c r="CS90" i="3"/>
  <c r="CS83" i="3"/>
  <c r="CS76" i="3"/>
  <c r="CQ66" i="3"/>
  <c r="CX152" i="3"/>
  <c r="CX151" i="3"/>
  <c r="CW211" i="3"/>
  <c r="CV211" i="3"/>
  <c r="CU211" i="3"/>
  <c r="CT211" i="3"/>
  <c r="CX136" i="3"/>
  <c r="CX132" i="3"/>
  <c r="CX97" i="3"/>
  <c r="CX90" i="3"/>
  <c r="CX83" i="3"/>
  <c r="CX76" i="3"/>
  <c r="CV66" i="3"/>
  <c r="DC152" i="3"/>
  <c r="DC151" i="3"/>
  <c r="DB211" i="3"/>
  <c r="DA211" i="3"/>
  <c r="CZ211" i="3"/>
  <c r="CY211" i="3"/>
  <c r="DC136" i="3"/>
  <c r="DC132" i="3"/>
  <c r="DC97" i="3"/>
  <c r="DC90" i="3"/>
  <c r="DC83" i="3"/>
  <c r="DC76" i="3"/>
  <c r="DA66" i="3"/>
  <c r="DH151" i="3"/>
  <c r="DG211" i="3"/>
  <c r="DF211" i="3"/>
  <c r="DE211" i="3"/>
  <c r="DD211" i="3"/>
  <c r="DH136" i="3"/>
  <c r="DH132" i="3"/>
  <c r="DH97" i="3"/>
  <c r="DH90" i="3"/>
  <c r="DH83" i="3"/>
  <c r="DH76" i="3"/>
  <c r="DM152" i="3"/>
  <c r="DM151" i="3"/>
  <c r="DL211" i="3"/>
  <c r="DK211" i="3"/>
  <c r="DJ211" i="3"/>
  <c r="DI211" i="3"/>
  <c r="DM136" i="3"/>
  <c r="DM132" i="3"/>
  <c r="DR152" i="3"/>
  <c r="DR151" i="3"/>
  <c r="DQ211" i="3"/>
  <c r="DP211" i="3"/>
  <c r="DO211" i="3"/>
  <c r="DN211" i="3"/>
  <c r="DR136" i="3"/>
  <c r="DR132" i="3"/>
  <c r="DW152" i="3"/>
  <c r="DW151" i="3"/>
  <c r="DV211" i="3"/>
  <c r="DU211" i="3"/>
  <c r="DT211" i="3"/>
  <c r="DS211" i="3"/>
  <c r="DW136" i="3"/>
  <c r="EB152" i="3"/>
  <c r="EB151" i="3"/>
  <c r="EA211" i="3"/>
  <c r="DZ211" i="3"/>
  <c r="DY211" i="3"/>
  <c r="DX211" i="3"/>
  <c r="EB136" i="3"/>
  <c r="EF211" i="3"/>
  <c r="EE211" i="3"/>
  <c r="ED211" i="3"/>
  <c r="EC211" i="3"/>
  <c r="EG136" i="3"/>
  <c r="EK211" i="3"/>
  <c r="EJ211" i="3"/>
  <c r="EI211" i="3"/>
  <c r="EH211" i="3"/>
  <c r="EL136" i="3"/>
  <c r="EM211" i="3"/>
  <c r="EN211" i="3"/>
  <c r="EO211" i="3"/>
  <c r="EP211" i="3"/>
  <c r="EQ136" i="3"/>
  <c r="ES113" i="3"/>
  <c r="EV35" i="8" l="1"/>
  <c r="CN93" i="3"/>
  <c r="AK93" i="3"/>
  <c r="CI93" i="3"/>
  <c r="EB17" i="8"/>
  <c r="DM17" i="8"/>
  <c r="DH17" i="8"/>
  <c r="DC93" i="29"/>
  <c r="DC13" i="8"/>
  <c r="DC35" i="8" s="1"/>
  <c r="CN86" i="3"/>
  <c r="CI86" i="3"/>
  <c r="BY17" i="8"/>
  <c r="BO17" i="8"/>
  <c r="BJ13" i="8"/>
  <c r="BJ11" i="8" s="1"/>
  <c r="AZ93" i="29"/>
  <c r="AK13" i="8"/>
  <c r="AK11" i="8" s="1"/>
  <c r="AA93" i="29"/>
  <c r="Q17" i="8"/>
  <c r="L13" i="8"/>
  <c r="L35" i="8" s="1"/>
  <c r="EL93" i="29"/>
  <c r="BJ17" i="8"/>
  <c r="BE13" i="8"/>
  <c r="AU93" i="29"/>
  <c r="AK17" i="8"/>
  <c r="AF13" i="8"/>
  <c r="AF11" i="8" s="1"/>
  <c r="L17" i="8"/>
  <c r="G13" i="8"/>
  <c r="G14" i="8" s="1"/>
  <c r="EQ13" i="8"/>
  <c r="EV14" i="8" s="1"/>
  <c r="EL17" i="8"/>
  <c r="DW17" i="8"/>
  <c r="CX17" i="8"/>
  <c r="CS93" i="29"/>
  <c r="CS13" i="8"/>
  <c r="CS11" i="8" s="1"/>
  <c r="CD93" i="29"/>
  <c r="BT93" i="29"/>
  <c r="BE17" i="8"/>
  <c r="AZ13" i="8"/>
  <c r="AZ11" i="8" s="1"/>
  <c r="AP93" i="29"/>
  <c r="AF17" i="8"/>
  <c r="AA13" i="8"/>
  <c r="AA11" i="8" s="1"/>
  <c r="V93" i="29"/>
  <c r="Q93" i="3"/>
  <c r="L86" i="3"/>
  <c r="G17" i="8"/>
  <c r="G18" i="8" s="1"/>
  <c r="CX93" i="29"/>
  <c r="EQ17" i="8"/>
  <c r="EG93" i="29"/>
  <c r="DR93" i="29"/>
  <c r="DR13" i="8"/>
  <c r="DR11" i="8" s="1"/>
  <c r="CS17" i="8"/>
  <c r="CN93" i="29"/>
  <c r="CN13" i="8"/>
  <c r="CN11" i="8" s="1"/>
  <c r="CI93" i="29"/>
  <c r="CI13" i="8"/>
  <c r="BY93" i="29"/>
  <c r="BO93" i="29"/>
  <c r="AZ17" i="8"/>
  <c r="AU13" i="8"/>
  <c r="AU35" i="8" s="1"/>
  <c r="AA17" i="8"/>
  <c r="Q93" i="29"/>
  <c r="DW13" i="8"/>
  <c r="CN17" i="8"/>
  <c r="CI17" i="8"/>
  <c r="CD13" i="8"/>
  <c r="CD35" i="8" s="1"/>
  <c r="BT13" i="8"/>
  <c r="BT35" i="8" s="1"/>
  <c r="BJ93" i="29"/>
  <c r="AU17" i="8"/>
  <c r="AP13" i="8"/>
  <c r="AP35" i="8" s="1"/>
  <c r="AK93" i="29"/>
  <c r="V13" i="8"/>
  <c r="V11" i="8" s="1"/>
  <c r="L93" i="29"/>
  <c r="EL13" i="8"/>
  <c r="EL11" i="8" s="1"/>
  <c r="DW93" i="29"/>
  <c r="DC17" i="8"/>
  <c r="CX13" i="8"/>
  <c r="CX35" i="8" s="1"/>
  <c r="EG13" i="8"/>
  <c r="EG35" i="8" s="1"/>
  <c r="EG17" i="8"/>
  <c r="DR17" i="8"/>
  <c r="EQ93" i="29"/>
  <c r="EB93" i="29"/>
  <c r="EB13" i="8"/>
  <c r="EB35" i="8" s="1"/>
  <c r="DM93" i="29"/>
  <c r="DM13" i="8"/>
  <c r="DH93" i="29"/>
  <c r="DH13" i="8"/>
  <c r="DH11" i="8" s="1"/>
  <c r="CN79" i="3"/>
  <c r="CD17" i="8"/>
  <c r="BY13" i="8"/>
  <c r="BY35" i="8" s="1"/>
  <c r="BT17" i="8"/>
  <c r="BO13" i="8"/>
  <c r="BE93" i="29"/>
  <c r="AP17" i="8"/>
  <c r="AF93" i="29"/>
  <c r="V17" i="8"/>
  <c r="V16" i="8" s="1"/>
  <c r="Q13" i="8"/>
  <c r="G93" i="29"/>
  <c r="BE93" i="3"/>
  <c r="AZ86" i="3"/>
  <c r="AK86" i="3"/>
  <c r="AF79" i="3"/>
  <c r="AF86" i="3"/>
  <c r="AA79" i="3"/>
  <c r="L93" i="3"/>
  <c r="CI79" i="3"/>
  <c r="BY79" i="3"/>
  <c r="DC86" i="3"/>
  <c r="CX79" i="3"/>
  <c r="Q86" i="3"/>
  <c r="CD93" i="3"/>
  <c r="BT93" i="3"/>
  <c r="AP93" i="3"/>
  <c r="AU79" i="3"/>
  <c r="DC93" i="3"/>
  <c r="AF93" i="3"/>
  <c r="AA86" i="3"/>
  <c r="DC79" i="3"/>
  <c r="BJ93" i="3"/>
  <c r="BE86" i="3"/>
  <c r="AZ79" i="3"/>
  <c r="CS93" i="3"/>
  <c r="AU93" i="3"/>
  <c r="V93" i="3"/>
  <c r="BO93" i="3"/>
  <c r="BJ86" i="3"/>
  <c r="BE79" i="3"/>
  <c r="BY86" i="3"/>
  <c r="BY93" i="3"/>
  <c r="DH93" i="3"/>
  <c r="DM93" i="3"/>
  <c r="CX93" i="3"/>
  <c r="AZ93" i="3"/>
  <c r="AA93" i="3"/>
  <c r="CD86" i="3"/>
  <c r="BT86" i="3"/>
  <c r="BO79" i="3"/>
  <c r="AP86" i="3"/>
  <c r="AK79" i="3"/>
  <c r="Q79" i="3"/>
  <c r="BO86" i="3"/>
  <c r="DH86" i="3"/>
  <c r="DM86" i="3"/>
  <c r="CX86" i="3"/>
  <c r="CS86" i="3"/>
  <c r="AU86" i="3"/>
  <c r="V86" i="3"/>
  <c r="BJ79" i="3"/>
  <c r="L79" i="3"/>
  <c r="DH79" i="3"/>
  <c r="DM79" i="3"/>
  <c r="CS79" i="3"/>
  <c r="V79" i="3"/>
  <c r="CD79" i="3"/>
  <c r="BT79" i="3"/>
  <c r="AP79" i="3"/>
  <c r="DA69" i="3"/>
  <c r="CV69" i="3"/>
  <c r="CQ69" i="3"/>
  <c r="L98" i="3"/>
  <c r="AZ98" i="3"/>
  <c r="CI98" i="3"/>
  <c r="BY98" i="3"/>
  <c r="BJ98" i="3"/>
  <c r="AU98" i="3"/>
  <c r="BT98" i="3"/>
  <c r="BE98" i="3"/>
  <c r="AP98" i="3"/>
  <c r="AA98" i="3"/>
  <c r="Q98" i="3"/>
  <c r="AF98" i="3"/>
  <c r="BO98" i="3"/>
  <c r="CD98" i="3"/>
  <c r="DH43" i="3"/>
  <c r="CX98" i="3"/>
  <c r="DH91" i="3"/>
  <c r="DM91" i="3"/>
  <c r="EM114" i="3"/>
  <c r="EM113" i="3"/>
  <c r="EC113" i="3"/>
  <c r="EC114" i="3"/>
  <c r="DI114" i="3"/>
  <c r="DI113" i="3"/>
  <c r="DE47" i="3"/>
  <c r="DE46" i="3"/>
  <c r="DJ46" i="3"/>
  <c r="CV71" i="3"/>
  <c r="CV67" i="3"/>
  <c r="CQ114" i="3"/>
  <c r="CQ113" i="3"/>
  <c r="EJ114" i="3"/>
  <c r="EJ113" i="3"/>
  <c r="DZ114" i="3"/>
  <c r="DZ113" i="3"/>
  <c r="DP114" i="3"/>
  <c r="DP113" i="3"/>
  <c r="DK114" i="3"/>
  <c r="DK113" i="3"/>
  <c r="DD88" i="3"/>
  <c r="DD81" i="3"/>
  <c r="DD95" i="3"/>
  <c r="DD27" i="3"/>
  <c r="DD25" i="3"/>
  <c r="DI25" i="3"/>
  <c r="DE27" i="3"/>
  <c r="EP113" i="3"/>
  <c r="EP114" i="3"/>
  <c r="EK113" i="3"/>
  <c r="EK114" i="3"/>
  <c r="EF114" i="3"/>
  <c r="EF113" i="3"/>
  <c r="EA114" i="3"/>
  <c r="EA113" i="3"/>
  <c r="DV114" i="3"/>
  <c r="DV113" i="3"/>
  <c r="DQ113" i="3"/>
  <c r="DQ114" i="3"/>
  <c r="DL113" i="3"/>
  <c r="DL114" i="3"/>
  <c r="DM32" i="3"/>
  <c r="DH77" i="3"/>
  <c r="DM77" i="3"/>
  <c r="DF114" i="3"/>
  <c r="DF113" i="3"/>
  <c r="DC84" i="3"/>
  <c r="DB114" i="3"/>
  <c r="DB113" i="3"/>
  <c r="CX91" i="3"/>
  <c r="CS98" i="3"/>
  <c r="CJ114" i="3"/>
  <c r="CJ113" i="3"/>
  <c r="CI77" i="3"/>
  <c r="CG114" i="3"/>
  <c r="CG113" i="3"/>
  <c r="CB95" i="3"/>
  <c r="CB88" i="3"/>
  <c r="CB81" i="3"/>
  <c r="CG25" i="3"/>
  <c r="CB27" i="3"/>
  <c r="CB25" i="3"/>
  <c r="CD77" i="3"/>
  <c r="CB114" i="3"/>
  <c r="CB113" i="3"/>
  <c r="BW95" i="3"/>
  <c r="BW88" i="3"/>
  <c r="BW81" i="3"/>
  <c r="BW27" i="3"/>
  <c r="BW25" i="3"/>
  <c r="BY77" i="3"/>
  <c r="BW113" i="3"/>
  <c r="BW114" i="3"/>
  <c r="BR10" i="7"/>
  <c r="BR29" i="7" s="1"/>
  <c r="BR95" i="3"/>
  <c r="BR81" i="3"/>
  <c r="BR88" i="3"/>
  <c r="BR25" i="3"/>
  <c r="BR27" i="3"/>
  <c r="BT77" i="3"/>
  <c r="BR114" i="3"/>
  <c r="BR113" i="3"/>
  <c r="BM95" i="3"/>
  <c r="BM88" i="3"/>
  <c r="BM81" i="3"/>
  <c r="BM25" i="3"/>
  <c r="BM27" i="3"/>
  <c r="BO77" i="3"/>
  <c r="BM114" i="3"/>
  <c r="BM113" i="3"/>
  <c r="BH10" i="7"/>
  <c r="BH28" i="7" s="1"/>
  <c r="BH88" i="3"/>
  <c r="BH81" i="3"/>
  <c r="BH95" i="3"/>
  <c r="BH27" i="3"/>
  <c r="BH25" i="3"/>
  <c r="BJ77" i="3"/>
  <c r="BH114" i="3"/>
  <c r="BH113" i="3"/>
  <c r="BC88" i="3"/>
  <c r="BC95" i="3"/>
  <c r="BC81" i="3"/>
  <c r="BC27" i="3"/>
  <c r="BC25" i="3"/>
  <c r="BE77" i="3"/>
  <c r="BC114" i="3"/>
  <c r="BC113" i="3"/>
  <c r="AX95" i="3"/>
  <c r="AX88" i="3"/>
  <c r="AX81" i="3"/>
  <c r="AX25" i="3"/>
  <c r="AX27" i="3"/>
  <c r="AZ77" i="3"/>
  <c r="AX114" i="3"/>
  <c r="AX113" i="3"/>
  <c r="AS10" i="7"/>
  <c r="AS49" i="7" s="1"/>
  <c r="AS95" i="3"/>
  <c r="AS81" i="3"/>
  <c r="AS88" i="3"/>
  <c r="AS27" i="3"/>
  <c r="AS25" i="3"/>
  <c r="AU77" i="3"/>
  <c r="AS113" i="3"/>
  <c r="AS114" i="3"/>
  <c r="AN95" i="3"/>
  <c r="AN81" i="3"/>
  <c r="AN25" i="3"/>
  <c r="AN27" i="3"/>
  <c r="AN88" i="3"/>
  <c r="AP77" i="3"/>
  <c r="AN114" i="3"/>
  <c r="AN113" i="3"/>
  <c r="AI10" i="7"/>
  <c r="AI49" i="7" s="1"/>
  <c r="AI95" i="3"/>
  <c r="AI88" i="3"/>
  <c r="AI81" i="3"/>
  <c r="AI25" i="3"/>
  <c r="AI27" i="3"/>
  <c r="AK77" i="3"/>
  <c r="AI114" i="3"/>
  <c r="AI113" i="3"/>
  <c r="AD88" i="3"/>
  <c r="AD95" i="3"/>
  <c r="AD81" i="3"/>
  <c r="AD27" i="3"/>
  <c r="AD25" i="3"/>
  <c r="AF77" i="3"/>
  <c r="AD113" i="3"/>
  <c r="AD114" i="3"/>
  <c r="Y10" i="7"/>
  <c r="Y54" i="7" s="1"/>
  <c r="Y88" i="3"/>
  <c r="Y95" i="3"/>
  <c r="Y81" i="3"/>
  <c r="Y27" i="3"/>
  <c r="Y25" i="3"/>
  <c r="AA77" i="3"/>
  <c r="Y114" i="3"/>
  <c r="Y113" i="3"/>
  <c r="T81" i="3"/>
  <c r="T95" i="3"/>
  <c r="T88" i="3"/>
  <c r="T27" i="3"/>
  <c r="T25" i="3"/>
  <c r="V77" i="3"/>
  <c r="T114" i="3"/>
  <c r="T113" i="3"/>
  <c r="O95" i="3"/>
  <c r="O88" i="3"/>
  <c r="O81" i="3"/>
  <c r="O27" i="3"/>
  <c r="O25" i="3"/>
  <c r="Q77" i="3"/>
  <c r="O113" i="3"/>
  <c r="O114" i="3"/>
  <c r="J95" i="3"/>
  <c r="J88" i="3"/>
  <c r="J81" i="3"/>
  <c r="J25" i="3"/>
  <c r="J27" i="3"/>
  <c r="L77" i="3"/>
  <c r="J114" i="3"/>
  <c r="J113" i="3"/>
  <c r="E95" i="3"/>
  <c r="E88" i="3"/>
  <c r="E81" i="3"/>
  <c r="CL71" i="3"/>
  <c r="CI84" i="3"/>
  <c r="CH114" i="3"/>
  <c r="CH113" i="3"/>
  <c r="CC95" i="3"/>
  <c r="CC88" i="3"/>
  <c r="CC81" i="3"/>
  <c r="CE27" i="3"/>
  <c r="CC27" i="3"/>
  <c r="CH25" i="3"/>
  <c r="CC25" i="3"/>
  <c r="CD84" i="3"/>
  <c r="CC113" i="3"/>
  <c r="CC114" i="3"/>
  <c r="BX95" i="3"/>
  <c r="BX81" i="3"/>
  <c r="BX88" i="3"/>
  <c r="BX25" i="3"/>
  <c r="BX27" i="3"/>
  <c r="BY84" i="3"/>
  <c r="BX113" i="3"/>
  <c r="BX114" i="3"/>
  <c r="BS95" i="3"/>
  <c r="BS88" i="3"/>
  <c r="BS81" i="3"/>
  <c r="BS25" i="3"/>
  <c r="BS27" i="3"/>
  <c r="BT84" i="3"/>
  <c r="BS114" i="3"/>
  <c r="BS113" i="3"/>
  <c r="BN88" i="3"/>
  <c r="BN81" i="3"/>
  <c r="BN95" i="3"/>
  <c r="BN27" i="3"/>
  <c r="BN25" i="3"/>
  <c r="BO84" i="3"/>
  <c r="BN113" i="3"/>
  <c r="BN114" i="3"/>
  <c r="BI88" i="3"/>
  <c r="BI95" i="3"/>
  <c r="BI81" i="3"/>
  <c r="BI25" i="3"/>
  <c r="BI27" i="3"/>
  <c r="BJ84" i="3"/>
  <c r="BI113" i="3"/>
  <c r="BI114" i="3"/>
  <c r="BD10" i="7"/>
  <c r="BD21" i="7" s="1"/>
  <c r="BD81" i="3"/>
  <c r="BD95" i="3"/>
  <c r="BD88" i="3"/>
  <c r="BD27" i="3"/>
  <c r="BD25" i="3"/>
  <c r="BE84" i="3"/>
  <c r="BD113" i="3"/>
  <c r="BD114" i="3"/>
  <c r="AY10" i="7"/>
  <c r="AY28" i="7" s="1"/>
  <c r="AY95" i="3"/>
  <c r="AY88" i="3"/>
  <c r="AY81" i="3"/>
  <c r="AY27" i="3"/>
  <c r="AY25" i="3"/>
  <c r="AZ84" i="3"/>
  <c r="AY113" i="3"/>
  <c r="AY114" i="3"/>
  <c r="AT95" i="3"/>
  <c r="AT88" i="3"/>
  <c r="AT81" i="3"/>
  <c r="AT25" i="3"/>
  <c r="AT27" i="3"/>
  <c r="AU84" i="3"/>
  <c r="AT114" i="3"/>
  <c r="AT113" i="3"/>
  <c r="AO10" i="7"/>
  <c r="AO54" i="7" s="1"/>
  <c r="AO95" i="3"/>
  <c r="AO88" i="3"/>
  <c r="AO81" i="3"/>
  <c r="AO25" i="3"/>
  <c r="AO27" i="3"/>
  <c r="AP84" i="3"/>
  <c r="AO114" i="3"/>
  <c r="AO113" i="3"/>
  <c r="AJ88" i="3"/>
  <c r="AJ81" i="3"/>
  <c r="AJ95" i="3"/>
  <c r="AJ27" i="3"/>
  <c r="AJ25" i="3"/>
  <c r="AK84" i="3"/>
  <c r="AJ114" i="3"/>
  <c r="AJ113" i="3"/>
  <c r="AE10" i="7"/>
  <c r="AE28" i="7" s="1"/>
  <c r="AE88" i="3"/>
  <c r="AE95" i="3"/>
  <c r="AE81" i="3"/>
  <c r="AE25" i="3"/>
  <c r="AE27" i="3"/>
  <c r="AF84" i="3"/>
  <c r="AE113" i="3"/>
  <c r="AE114" i="3"/>
  <c r="Z10" i="7"/>
  <c r="Z40" i="7" s="1"/>
  <c r="Z88" i="3"/>
  <c r="Z81" i="3"/>
  <c r="Z95" i="3"/>
  <c r="Z27" i="3"/>
  <c r="Z25" i="3"/>
  <c r="AA84" i="3"/>
  <c r="Z114" i="3"/>
  <c r="Z113" i="3"/>
  <c r="U95" i="3"/>
  <c r="U81" i="3"/>
  <c r="U88" i="3"/>
  <c r="U27" i="3"/>
  <c r="U25" i="3"/>
  <c r="V84" i="3"/>
  <c r="U113" i="3"/>
  <c r="U114" i="3"/>
  <c r="P95" i="3"/>
  <c r="P88" i="3"/>
  <c r="P81" i="3"/>
  <c r="P25" i="3"/>
  <c r="P27" i="3"/>
  <c r="Q84" i="3"/>
  <c r="P114" i="3"/>
  <c r="P113" i="3"/>
  <c r="K95" i="3"/>
  <c r="K88" i="3"/>
  <c r="K81" i="3"/>
  <c r="K25" i="3"/>
  <c r="K27" i="3"/>
  <c r="L84" i="3"/>
  <c r="K113" i="3"/>
  <c r="K114" i="3"/>
  <c r="F10" i="7"/>
  <c r="F49" i="7" s="1"/>
  <c r="F88" i="3"/>
  <c r="F95" i="3"/>
  <c r="F81" i="3"/>
  <c r="DG113" i="3"/>
  <c r="DG114" i="3"/>
  <c r="DC91" i="3"/>
  <c r="DC98" i="3"/>
  <c r="CT114" i="3"/>
  <c r="CT113" i="3"/>
  <c r="CQ71" i="3"/>
  <c r="CQ67" i="3"/>
  <c r="CP113" i="3"/>
  <c r="CP114" i="3"/>
  <c r="CN77" i="3"/>
  <c r="CL114" i="3"/>
  <c r="CL113" i="3"/>
  <c r="CI91" i="3"/>
  <c r="CD91" i="3"/>
  <c r="BY91" i="3"/>
  <c r="BT91" i="3"/>
  <c r="BO91" i="3"/>
  <c r="BJ91" i="3"/>
  <c r="BE91" i="3"/>
  <c r="AZ91" i="3"/>
  <c r="AU91" i="3"/>
  <c r="AP91" i="3"/>
  <c r="AK91" i="3"/>
  <c r="AF91" i="3"/>
  <c r="AA91" i="3"/>
  <c r="V91" i="3"/>
  <c r="Q91" i="3"/>
  <c r="L91" i="3"/>
  <c r="DM39" i="3"/>
  <c r="CK113" i="3"/>
  <c r="CK114" i="3"/>
  <c r="CM113" i="3"/>
  <c r="CM114" i="3"/>
  <c r="DD47" i="3"/>
  <c r="DD46" i="3"/>
  <c r="DI46" i="3"/>
  <c r="DS114" i="3"/>
  <c r="DS113" i="3"/>
  <c r="DN114" i="3"/>
  <c r="DN113" i="3"/>
  <c r="DH98" i="3"/>
  <c r="DM98" i="3"/>
  <c r="CS77" i="3"/>
  <c r="CN84" i="3"/>
  <c r="EN114" i="3"/>
  <c r="EN113" i="3"/>
  <c r="EI113" i="3"/>
  <c r="EI114" i="3"/>
  <c r="ED113" i="3"/>
  <c r="ED114" i="3"/>
  <c r="DY114" i="3"/>
  <c r="DY113" i="3"/>
  <c r="DT114" i="3"/>
  <c r="DT113" i="3"/>
  <c r="DO113" i="3"/>
  <c r="DO114" i="3"/>
  <c r="DJ114" i="3"/>
  <c r="DJ113" i="3"/>
  <c r="DM18" i="3"/>
  <c r="DF46" i="3"/>
  <c r="DF47" i="3"/>
  <c r="DK46" i="3"/>
  <c r="DD114" i="3"/>
  <c r="DD113" i="3"/>
  <c r="DA71" i="3"/>
  <c r="DA67" i="3"/>
  <c r="CZ114" i="3"/>
  <c r="CZ113" i="3"/>
  <c r="CX77" i="3"/>
  <c r="CV114" i="3"/>
  <c r="CV113" i="3"/>
  <c r="CS84" i="3"/>
  <c r="CR114" i="3"/>
  <c r="CR113" i="3"/>
  <c r="CN91" i="3"/>
  <c r="CE114" i="3"/>
  <c r="CE113" i="3"/>
  <c r="BZ88" i="3"/>
  <c r="BZ81" i="3"/>
  <c r="BZ95" i="3"/>
  <c r="CE25" i="3"/>
  <c r="BZ27" i="3"/>
  <c r="BZ25" i="3"/>
  <c r="BZ114" i="3"/>
  <c r="BZ113" i="3"/>
  <c r="BU88" i="3"/>
  <c r="BU95" i="3"/>
  <c r="BU81" i="3"/>
  <c r="BU25" i="3"/>
  <c r="BU27" i="3"/>
  <c r="BU113" i="3"/>
  <c r="BU114" i="3"/>
  <c r="BP10" i="7"/>
  <c r="BP21" i="7" s="1"/>
  <c r="BP95" i="3"/>
  <c r="BP88" i="3"/>
  <c r="BP81" i="3"/>
  <c r="BP27" i="3"/>
  <c r="BP25" i="3"/>
  <c r="BP114" i="3"/>
  <c r="BP113" i="3"/>
  <c r="BK95" i="3"/>
  <c r="BK88" i="3"/>
  <c r="BK81" i="3"/>
  <c r="BK27" i="3"/>
  <c r="BK25" i="3"/>
  <c r="BK114" i="3"/>
  <c r="BK113" i="3"/>
  <c r="BF10" i="7"/>
  <c r="BF21" i="7" s="1"/>
  <c r="BF95" i="3"/>
  <c r="BF88" i="3"/>
  <c r="BF81" i="3"/>
  <c r="BF25" i="3"/>
  <c r="BF27" i="3"/>
  <c r="BF114" i="3"/>
  <c r="BF113" i="3"/>
  <c r="BA10" i="7"/>
  <c r="BA28" i="7" s="1"/>
  <c r="BA95" i="3"/>
  <c r="BA88" i="3"/>
  <c r="BA81" i="3"/>
  <c r="BA27" i="3"/>
  <c r="BA25" i="3"/>
  <c r="BA113" i="3"/>
  <c r="BA114" i="3"/>
  <c r="AV10" i="7"/>
  <c r="AV36" i="7" s="1"/>
  <c r="AV88" i="3"/>
  <c r="AV95" i="3"/>
  <c r="AV81" i="3"/>
  <c r="AV27" i="3"/>
  <c r="AV25" i="3"/>
  <c r="AV114" i="3"/>
  <c r="AV113" i="3"/>
  <c r="AQ10" i="7"/>
  <c r="AQ29" i="7" s="1"/>
  <c r="AQ88" i="3"/>
  <c r="AQ95" i="3"/>
  <c r="AQ81" i="3"/>
  <c r="AQ25" i="3"/>
  <c r="AQ27" i="3"/>
  <c r="AQ113" i="3"/>
  <c r="AQ114" i="3"/>
  <c r="AL10" i="7"/>
  <c r="AL54" i="7" s="1"/>
  <c r="AL88" i="3"/>
  <c r="AL81" i="3"/>
  <c r="AL95" i="3"/>
  <c r="AL27" i="3"/>
  <c r="AL25" i="3"/>
  <c r="AL114" i="3"/>
  <c r="AL113" i="3"/>
  <c r="AG10" i="7"/>
  <c r="AG40" i="7" s="1"/>
  <c r="AG95" i="3"/>
  <c r="AG81" i="3"/>
  <c r="AG88" i="3"/>
  <c r="AG27" i="3"/>
  <c r="AG25" i="3"/>
  <c r="AG114" i="3"/>
  <c r="AG113" i="3"/>
  <c r="AB95" i="3"/>
  <c r="AB88" i="3"/>
  <c r="AB81" i="3"/>
  <c r="AB25" i="3"/>
  <c r="AB27" i="3"/>
  <c r="AB114" i="3"/>
  <c r="AB113" i="3"/>
  <c r="W95" i="3"/>
  <c r="W88" i="3"/>
  <c r="W81" i="3"/>
  <c r="W27" i="3"/>
  <c r="W25" i="3"/>
  <c r="W114" i="3"/>
  <c r="W113" i="3"/>
  <c r="R10" i="7"/>
  <c r="R29" i="7" s="1"/>
  <c r="R88" i="3"/>
  <c r="R95" i="3"/>
  <c r="R81" i="3"/>
  <c r="R27" i="3"/>
  <c r="R25" i="3"/>
  <c r="R114" i="3"/>
  <c r="R113" i="3"/>
  <c r="M88" i="3"/>
  <c r="M95" i="3"/>
  <c r="M81" i="3"/>
  <c r="M25" i="3"/>
  <c r="M27" i="3"/>
  <c r="M113" i="3"/>
  <c r="M114" i="3"/>
  <c r="H10" i="7"/>
  <c r="H28" i="7" s="1"/>
  <c r="H81" i="3"/>
  <c r="H95" i="3"/>
  <c r="H88" i="3"/>
  <c r="H27" i="3"/>
  <c r="H25" i="3"/>
  <c r="H113" i="3"/>
  <c r="H114" i="3"/>
  <c r="C10" i="7"/>
  <c r="C29" i="7" s="1"/>
  <c r="C95" i="3"/>
  <c r="C88" i="3"/>
  <c r="C81" i="3"/>
  <c r="DH84" i="3"/>
  <c r="DM84" i="3"/>
  <c r="CO114" i="3"/>
  <c r="CO113" i="3"/>
  <c r="EH114" i="3"/>
  <c r="EH113" i="3"/>
  <c r="DX114" i="3"/>
  <c r="DX113" i="3"/>
  <c r="DM11" i="3"/>
  <c r="CY113" i="3"/>
  <c r="CY114" i="3"/>
  <c r="CU114" i="3"/>
  <c r="CU113" i="3"/>
  <c r="EO114" i="3"/>
  <c r="EO113" i="3"/>
  <c r="EE114" i="3"/>
  <c r="EE113" i="3"/>
  <c r="DU114" i="3"/>
  <c r="DU113" i="3"/>
  <c r="DG57" i="5"/>
  <c r="DG47" i="3"/>
  <c r="DG46" i="3"/>
  <c r="DI47" i="3"/>
  <c r="DL46" i="3"/>
  <c r="DE113" i="3"/>
  <c r="DE114" i="3"/>
  <c r="DC77" i="3"/>
  <c r="DA114" i="3"/>
  <c r="DA113" i="3"/>
  <c r="CX84" i="3"/>
  <c r="CW113" i="3"/>
  <c r="CW114" i="3"/>
  <c r="CS91" i="3"/>
  <c r="CN98" i="3"/>
  <c r="CF114" i="3"/>
  <c r="CF113" i="3"/>
  <c r="CA88" i="3"/>
  <c r="CA95" i="3"/>
  <c r="CA81" i="3"/>
  <c r="CA27" i="3"/>
  <c r="CA25" i="3"/>
  <c r="CF25" i="3"/>
  <c r="CA113" i="3"/>
  <c r="CA114" i="3"/>
  <c r="BV88" i="3"/>
  <c r="BV95" i="3"/>
  <c r="BV81" i="3"/>
  <c r="BV27" i="3"/>
  <c r="BV25" i="3"/>
  <c r="BV114" i="3"/>
  <c r="BV113" i="3"/>
  <c r="BQ10" i="7"/>
  <c r="BQ44" i="7" s="1"/>
  <c r="BQ95" i="3"/>
  <c r="BQ81" i="3"/>
  <c r="BQ88" i="3"/>
  <c r="BQ25" i="3"/>
  <c r="BQ27" i="3"/>
  <c r="BQ113" i="3"/>
  <c r="BQ114" i="3"/>
  <c r="BL10" i="7"/>
  <c r="BL54" i="7" s="1"/>
  <c r="BL95" i="3"/>
  <c r="BL81" i="3"/>
  <c r="BL88" i="3"/>
  <c r="BL25" i="3"/>
  <c r="BL27" i="3"/>
  <c r="BL113" i="3"/>
  <c r="BL114" i="3"/>
  <c r="BG10" i="7"/>
  <c r="BG40" i="7" s="1"/>
  <c r="BG95" i="3"/>
  <c r="BG88" i="3"/>
  <c r="BG81" i="3"/>
  <c r="BG25" i="3"/>
  <c r="BG27" i="3"/>
  <c r="BG114" i="3"/>
  <c r="BG113" i="3"/>
  <c r="BB10" i="7"/>
  <c r="BB29" i="7" s="1"/>
  <c r="BB88" i="3"/>
  <c r="BB95" i="3"/>
  <c r="BB81" i="3"/>
  <c r="BB27" i="3"/>
  <c r="BB25" i="3"/>
  <c r="BB113" i="3"/>
  <c r="BB114" i="3"/>
  <c r="AW10" i="7"/>
  <c r="AW49" i="7" s="1"/>
  <c r="AW88" i="3"/>
  <c r="AW95" i="3"/>
  <c r="AW81" i="3"/>
  <c r="AW27" i="3"/>
  <c r="AW25" i="3"/>
  <c r="AW113" i="3"/>
  <c r="AW114" i="3"/>
  <c r="AR10" i="7"/>
  <c r="AR29" i="7" s="1"/>
  <c r="AR81" i="3"/>
  <c r="AR95" i="3"/>
  <c r="AR88" i="3"/>
  <c r="AR27" i="3"/>
  <c r="AR25" i="3"/>
  <c r="AR113" i="3"/>
  <c r="AR114" i="3"/>
  <c r="AM10" i="7"/>
  <c r="AM29" i="7" s="1"/>
  <c r="AM95" i="3"/>
  <c r="AM88" i="3"/>
  <c r="AM81" i="3"/>
  <c r="AM27" i="3"/>
  <c r="AM25" i="3"/>
  <c r="AM113" i="3"/>
  <c r="AM114" i="3"/>
  <c r="AH95" i="3"/>
  <c r="AH88" i="3"/>
  <c r="AH81" i="3"/>
  <c r="AH25" i="3"/>
  <c r="AH27" i="3"/>
  <c r="AH114" i="3"/>
  <c r="AH113" i="3"/>
  <c r="AC10" i="7"/>
  <c r="AC29" i="7" s="1"/>
  <c r="AC95" i="3"/>
  <c r="AC88" i="3"/>
  <c r="AC81" i="3"/>
  <c r="AC25" i="3"/>
  <c r="AC27" i="3"/>
  <c r="AC114" i="3"/>
  <c r="AC113" i="3"/>
  <c r="X10" i="7"/>
  <c r="X28" i="7" s="1"/>
  <c r="X88" i="3"/>
  <c r="X95" i="3"/>
  <c r="X81" i="3"/>
  <c r="X25" i="3"/>
  <c r="X27" i="3"/>
  <c r="X114" i="3"/>
  <c r="X113" i="3"/>
  <c r="S10" i="7"/>
  <c r="S49" i="7" s="1"/>
  <c r="S88" i="3"/>
  <c r="S95" i="3"/>
  <c r="S81" i="3"/>
  <c r="S27" i="3"/>
  <c r="S25" i="3"/>
  <c r="S113" i="3"/>
  <c r="S114" i="3"/>
  <c r="N10" i="7"/>
  <c r="N28" i="7" s="1"/>
  <c r="N95" i="3"/>
  <c r="N88" i="3"/>
  <c r="N81" i="3"/>
  <c r="N27" i="3"/>
  <c r="N25" i="3"/>
  <c r="N114" i="3"/>
  <c r="N113" i="3"/>
  <c r="I10" i="7"/>
  <c r="I29" i="7" s="1"/>
  <c r="I95" i="3"/>
  <c r="I81" i="3"/>
  <c r="I88" i="3"/>
  <c r="I25" i="3"/>
  <c r="I27" i="3"/>
  <c r="I113" i="3"/>
  <c r="I114" i="3"/>
  <c r="D10" i="7"/>
  <c r="D44" i="7" s="1"/>
  <c r="D95" i="3"/>
  <c r="D81" i="3"/>
  <c r="D88" i="3"/>
  <c r="ER114" i="3"/>
  <c r="ER113" i="3"/>
  <c r="BW10" i="7"/>
  <c r="AD56" i="5"/>
  <c r="AD10" i="7"/>
  <c r="W10" i="7"/>
  <c r="O56" i="5"/>
  <c r="O10" i="7"/>
  <c r="DE57" i="5"/>
  <c r="DF57" i="5"/>
  <c r="BX56" i="5"/>
  <c r="BX10" i="7"/>
  <c r="BI56" i="5"/>
  <c r="BI10" i="7"/>
  <c r="AT56" i="5"/>
  <c r="AT10" i="7"/>
  <c r="P56" i="5"/>
  <c r="P10" i="7"/>
  <c r="BZ10" i="7"/>
  <c r="BK56" i="5"/>
  <c r="BK10" i="7"/>
  <c r="BC56" i="5"/>
  <c r="BC10" i="7"/>
  <c r="AN56" i="5"/>
  <c r="AN10" i="7"/>
  <c r="J56" i="5"/>
  <c r="J10" i="7"/>
  <c r="CA10" i="7"/>
  <c r="BS56" i="5"/>
  <c r="BS10" i="7"/>
  <c r="AH56" i="5"/>
  <c r="AH10" i="7"/>
  <c r="K56" i="5"/>
  <c r="K10" i="7"/>
  <c r="CB56" i="5"/>
  <c r="CB10" i="7"/>
  <c r="BU56" i="5"/>
  <c r="BU10" i="7"/>
  <c r="BM56" i="5"/>
  <c r="BM10" i="7"/>
  <c r="AX56" i="5"/>
  <c r="AX10" i="7"/>
  <c r="AB56" i="5"/>
  <c r="AB10" i="7"/>
  <c r="T56" i="5"/>
  <c r="T10" i="7"/>
  <c r="M10" i="7"/>
  <c r="E10" i="7"/>
  <c r="DD10" i="7"/>
  <c r="DD57" i="5"/>
  <c r="CC56" i="5"/>
  <c r="CC10" i="7"/>
  <c r="BV10" i="7"/>
  <c r="BN56" i="5"/>
  <c r="BN10" i="7"/>
  <c r="AJ56" i="5"/>
  <c r="AJ10" i="7"/>
  <c r="U56" i="5"/>
  <c r="U10" i="7"/>
  <c r="DD56" i="5"/>
  <c r="DD56" i="14"/>
  <c r="DD56" i="17"/>
  <c r="DD56" i="15"/>
  <c r="DM211" i="3"/>
  <c r="DH211" i="3"/>
  <c r="CI211" i="3"/>
  <c r="BZ56" i="5"/>
  <c r="AV56" i="5"/>
  <c r="N56" i="5"/>
  <c r="D56" i="5"/>
  <c r="BD56" i="5"/>
  <c r="AW56" i="5"/>
  <c r="DR211" i="3"/>
  <c r="DC211" i="3"/>
  <c r="CX211" i="3"/>
  <c r="BF56" i="5"/>
  <c r="AQ56" i="5"/>
  <c r="AO56" i="5"/>
  <c r="AE56" i="5"/>
  <c r="Z56" i="5"/>
  <c r="R56" i="5"/>
  <c r="H56" i="5"/>
  <c r="F56" i="5"/>
  <c r="BR56" i="5"/>
  <c r="X56" i="5"/>
  <c r="EG211" i="3"/>
  <c r="EB211" i="3"/>
  <c r="DW211" i="3"/>
  <c r="CS211" i="3"/>
  <c r="BV56" i="5"/>
  <c r="BG56" i="5"/>
  <c r="AY56" i="5"/>
  <c r="AR56" i="5"/>
  <c r="AG56" i="5"/>
  <c r="S56" i="5"/>
  <c r="I56" i="5"/>
  <c r="BP56" i="5"/>
  <c r="BH56" i="5"/>
  <c r="BA56" i="5"/>
  <c r="AS56" i="5"/>
  <c r="AM56" i="5"/>
  <c r="AC56" i="5"/>
  <c r="CA56" i="5"/>
  <c r="BL56" i="5"/>
  <c r="Y56" i="5"/>
  <c r="E66" i="3"/>
  <c r="E56" i="5"/>
  <c r="EQ211" i="3"/>
  <c r="EL211" i="3"/>
  <c r="BW56" i="5"/>
  <c r="BQ56" i="5"/>
  <c r="BB56" i="5"/>
  <c r="AL56" i="5"/>
  <c r="AI56" i="5"/>
  <c r="W56" i="5"/>
  <c r="M56" i="5"/>
  <c r="C56" i="5"/>
  <c r="CN211" i="3"/>
  <c r="U66" i="3"/>
  <c r="AN66" i="3"/>
  <c r="BI66" i="3"/>
  <c r="BM66" i="3"/>
  <c r="CB66" i="3"/>
  <c r="CN24" i="3"/>
  <c r="CW66" i="3"/>
  <c r="BK66" i="3"/>
  <c r="AX66" i="3"/>
  <c r="W66" i="3"/>
  <c r="DB66" i="3"/>
  <c r="CG66" i="3"/>
  <c r="BS66" i="3"/>
  <c r="CM66" i="3"/>
  <c r="BX66" i="3"/>
  <c r="BN66" i="3"/>
  <c r="BC66" i="3"/>
  <c r="AB66" i="3"/>
  <c r="T66" i="3"/>
  <c r="AU24" i="3"/>
  <c r="AF24" i="3"/>
  <c r="G24" i="3"/>
  <c r="BO24" i="3"/>
  <c r="BO74" i="3" s="1"/>
  <c r="L24" i="3"/>
  <c r="BU66" i="3"/>
  <c r="BE24" i="3"/>
  <c r="AK24" i="3"/>
  <c r="CR66" i="3"/>
  <c r="CH66" i="3"/>
  <c r="CD24" i="3"/>
  <c r="CD74" i="3" s="1"/>
  <c r="BW66" i="3"/>
  <c r="BH66" i="3"/>
  <c r="AY66" i="3"/>
  <c r="AO66" i="3"/>
  <c r="DC24" i="3"/>
  <c r="CS24" i="3"/>
  <c r="CI24" i="3"/>
  <c r="CI74" i="3" s="1"/>
  <c r="BR66" i="3"/>
  <c r="AZ24" i="3"/>
  <c r="AJ66" i="3"/>
  <c r="BY24" i="3"/>
  <c r="BY74" i="3" s="1"/>
  <c r="BJ24" i="3"/>
  <c r="BJ74" i="3" s="1"/>
  <c r="CX24" i="3"/>
  <c r="CX74" i="3" s="1"/>
  <c r="BT24" i="3"/>
  <c r="BT74" i="3" s="1"/>
  <c r="BD66" i="3"/>
  <c r="AD66" i="3"/>
  <c r="Z66" i="3"/>
  <c r="AA24" i="3"/>
  <c r="O66" i="3"/>
  <c r="P66" i="3"/>
  <c r="AG66" i="3"/>
  <c r="Q24" i="3"/>
  <c r="J66" i="3"/>
  <c r="AT66" i="3"/>
  <c r="AP24" i="3"/>
  <c r="AI66" i="3"/>
  <c r="AE66" i="3"/>
  <c r="Y66" i="3"/>
  <c r="V24" i="3"/>
  <c r="K66" i="3"/>
  <c r="F66" i="3"/>
  <c r="DH24" i="3"/>
  <c r="DG66" i="3"/>
  <c r="DF66" i="3"/>
  <c r="DD66" i="3"/>
  <c r="EN118" i="3"/>
  <c r="G77" i="29"/>
  <c r="G112" i="3"/>
  <c r="C66" i="3"/>
  <c r="C71" i="3" s="1"/>
  <c r="D66" i="3"/>
  <c r="L112" i="3"/>
  <c r="H66" i="3"/>
  <c r="I66" i="3"/>
  <c r="Q112" i="3"/>
  <c r="M66" i="3"/>
  <c r="N66" i="3"/>
  <c r="R66" i="3"/>
  <c r="S66" i="3"/>
  <c r="V112" i="3"/>
  <c r="AA112" i="3"/>
  <c r="X66" i="3"/>
  <c r="AF112" i="3"/>
  <c r="AC66" i="3"/>
  <c r="AK112" i="3"/>
  <c r="AH66" i="3"/>
  <c r="AP112" i="3"/>
  <c r="AL66" i="3"/>
  <c r="AM66" i="3"/>
  <c r="AQ66" i="3"/>
  <c r="AU112" i="3"/>
  <c r="AR66" i="3"/>
  <c r="AS66" i="3"/>
  <c r="AV66" i="3"/>
  <c r="AW66" i="3"/>
  <c r="AZ112" i="3"/>
  <c r="BB66" i="3"/>
  <c r="BE112" i="3"/>
  <c r="BJ112" i="3"/>
  <c r="BF66" i="3"/>
  <c r="BG66" i="3"/>
  <c r="BL66" i="3"/>
  <c r="BO112" i="3"/>
  <c r="BT112" i="3"/>
  <c r="BP66" i="3"/>
  <c r="BQ66" i="3"/>
  <c r="BY112" i="3"/>
  <c r="BV66" i="3"/>
  <c r="CD112" i="3"/>
  <c r="BZ66" i="3"/>
  <c r="CA66" i="3"/>
  <c r="CI112" i="3"/>
  <c r="CE66" i="3"/>
  <c r="CF66" i="3"/>
  <c r="CL118" i="3"/>
  <c r="CN112" i="3"/>
  <c r="CJ66" i="3"/>
  <c r="CK66" i="3"/>
  <c r="CQ118" i="3"/>
  <c r="CS112" i="3"/>
  <c r="CO66" i="3"/>
  <c r="CP66" i="3"/>
  <c r="CX112" i="3"/>
  <c r="CV118" i="3"/>
  <c r="CT66" i="3"/>
  <c r="CU66" i="3"/>
  <c r="CV70" i="3" s="1"/>
  <c r="DA118" i="3"/>
  <c r="DC112" i="3"/>
  <c r="CY66" i="3"/>
  <c r="CZ66" i="3"/>
  <c r="DC45" i="3"/>
  <c r="DC73" i="3" s="1"/>
  <c r="DH45" i="3"/>
  <c r="DH73" i="3" s="1"/>
  <c r="DH112" i="3"/>
  <c r="DE66" i="3"/>
  <c r="DK118" i="3"/>
  <c r="DL118" i="3"/>
  <c r="DI118" i="3"/>
  <c r="DM112" i="3"/>
  <c r="DP118" i="3"/>
  <c r="DQ118" i="3"/>
  <c r="DR112" i="3"/>
  <c r="DT118" i="3"/>
  <c r="DU118" i="3"/>
  <c r="DV118" i="3"/>
  <c r="DW112" i="3"/>
  <c r="DZ118" i="3"/>
  <c r="EA118" i="3"/>
  <c r="EB112" i="3"/>
  <c r="EE118" i="3"/>
  <c r="EF118" i="3"/>
  <c r="EG112" i="3"/>
  <c r="EK118" i="3"/>
  <c r="EJ118" i="3"/>
  <c r="EL112" i="3"/>
  <c r="EQ112" i="3"/>
  <c r="EO118" i="3"/>
  <c r="EP118" i="3"/>
  <c r="EP177" i="3" s="1"/>
  <c r="AA16" i="8" l="1"/>
  <c r="DC74" i="3"/>
  <c r="CS100" i="3"/>
  <c r="CS74" i="3"/>
  <c r="DH74" i="3"/>
  <c r="CN100" i="3"/>
  <c r="CN74" i="3"/>
  <c r="DC100" i="3"/>
  <c r="DC164" i="3"/>
  <c r="DH100" i="3"/>
  <c r="DH164" i="3"/>
  <c r="DA230" i="3"/>
  <c r="DA232" i="3" s="1"/>
  <c r="DA177" i="3"/>
  <c r="EO230" i="3"/>
  <c r="EO232" i="3" s="1"/>
  <c r="EO177" i="3"/>
  <c r="EF230" i="3"/>
  <c r="EF232" i="3" s="1"/>
  <c r="EF177" i="3"/>
  <c r="DV230" i="3"/>
  <c r="DV232" i="3" s="1"/>
  <c r="DV177" i="3"/>
  <c r="EN230" i="3"/>
  <c r="EN232" i="3" s="1"/>
  <c r="ES233" i="3" s="1"/>
  <c r="EN177" i="3"/>
  <c r="EE230" i="3"/>
  <c r="EE232" i="3" s="1"/>
  <c r="EJ233" i="3" s="1"/>
  <c r="EE177" i="3"/>
  <c r="DU230" i="3"/>
  <c r="DU232" i="3" s="1"/>
  <c r="DU177" i="3"/>
  <c r="DI230" i="3"/>
  <c r="DI232" i="3" s="1"/>
  <c r="DI177" i="3"/>
  <c r="DP230" i="3"/>
  <c r="DP232" i="3" s="1"/>
  <c r="DP177" i="3"/>
  <c r="DT230" i="3"/>
  <c r="DT232" i="3" s="1"/>
  <c r="DT177" i="3"/>
  <c r="DL230" i="3"/>
  <c r="DL232" i="3" s="1"/>
  <c r="DQ233" i="3" s="1"/>
  <c r="DL177" i="3"/>
  <c r="EJ230" i="3"/>
  <c r="EJ232" i="3" s="1"/>
  <c r="EJ177" i="3"/>
  <c r="EA230" i="3"/>
  <c r="EA232" i="3" s="1"/>
  <c r="EA177" i="3"/>
  <c r="DK230" i="3"/>
  <c r="DK232" i="3" s="1"/>
  <c r="DK177" i="3"/>
  <c r="EK230" i="3"/>
  <c r="EK232" i="3" s="1"/>
  <c r="EK233" i="3" s="1"/>
  <c r="EK177" i="3"/>
  <c r="DZ230" i="3"/>
  <c r="DZ232" i="3" s="1"/>
  <c r="DZ177" i="3"/>
  <c r="DQ230" i="3"/>
  <c r="DQ232" i="3" s="1"/>
  <c r="DQ177" i="3"/>
  <c r="AS143" i="5"/>
  <c r="AG143" i="5"/>
  <c r="Y143" i="5"/>
  <c r="AT143" i="5"/>
  <c r="W143" i="5"/>
  <c r="CA143" i="5"/>
  <c r="BP143" i="5"/>
  <c r="BG143" i="5"/>
  <c r="X143" i="5"/>
  <c r="AE143" i="5"/>
  <c r="BZ143" i="5"/>
  <c r="AB143" i="5"/>
  <c r="BU143" i="5"/>
  <c r="AH143" i="5"/>
  <c r="BI143" i="5"/>
  <c r="BB143" i="5"/>
  <c r="BC143" i="5"/>
  <c r="AD143" i="5"/>
  <c r="BQ143" i="5"/>
  <c r="AR143" i="5"/>
  <c r="CC143" i="5"/>
  <c r="BM143" i="5"/>
  <c r="BL143" i="5"/>
  <c r="BH143" i="5"/>
  <c r="Z143" i="5"/>
  <c r="AV143" i="5"/>
  <c r="AJ143" i="5"/>
  <c r="AI143" i="5"/>
  <c r="AC143" i="5"/>
  <c r="BV143" i="5"/>
  <c r="BR143" i="5"/>
  <c r="AO143" i="5"/>
  <c r="AW143" i="5"/>
  <c r="BN143" i="5"/>
  <c r="AN143" i="5"/>
  <c r="BF143" i="5"/>
  <c r="BA143" i="5"/>
  <c r="BW143" i="5"/>
  <c r="AY143" i="5"/>
  <c r="BK143" i="5"/>
  <c r="AL143" i="5"/>
  <c r="AM143" i="5"/>
  <c r="AQ143" i="5"/>
  <c r="BD143" i="5"/>
  <c r="AX143" i="5"/>
  <c r="CB143" i="5"/>
  <c r="BS143" i="5"/>
  <c r="BX143" i="5"/>
  <c r="DH110" i="3"/>
  <c r="DH105" i="3"/>
  <c r="BT105" i="3"/>
  <c r="BT110" i="3"/>
  <c r="BT100" i="3"/>
  <c r="BE110" i="3"/>
  <c r="BE105" i="3"/>
  <c r="BE100" i="3"/>
  <c r="AU105" i="3"/>
  <c r="AU110" i="3"/>
  <c r="AU100" i="3"/>
  <c r="V110" i="3"/>
  <c r="V100" i="3"/>
  <c r="V105" i="3"/>
  <c r="BY110" i="3"/>
  <c r="BY100" i="3"/>
  <c r="BY105" i="3"/>
  <c r="G110" i="3"/>
  <c r="G100" i="3"/>
  <c r="G105" i="3"/>
  <c r="AK110" i="3"/>
  <c r="AK105" i="3"/>
  <c r="AK100" i="3"/>
  <c r="AP110" i="3"/>
  <c r="AP105" i="3"/>
  <c r="AP100" i="3"/>
  <c r="CX110" i="3"/>
  <c r="CX105" i="3"/>
  <c r="CI110" i="3"/>
  <c r="CI105" i="3"/>
  <c r="CI100" i="3"/>
  <c r="DC105" i="3"/>
  <c r="DC110" i="3"/>
  <c r="BO110" i="3"/>
  <c r="BO105" i="3"/>
  <c r="BO100" i="3"/>
  <c r="Q110" i="3"/>
  <c r="Q100" i="3"/>
  <c r="Q105" i="3"/>
  <c r="AZ110" i="3"/>
  <c r="AZ105" i="3"/>
  <c r="AZ100" i="3"/>
  <c r="AF100" i="3"/>
  <c r="AF110" i="3"/>
  <c r="AF105" i="3"/>
  <c r="AA105" i="3"/>
  <c r="AA110" i="3"/>
  <c r="AA100" i="3"/>
  <c r="BJ105" i="3"/>
  <c r="BJ100" i="3"/>
  <c r="BJ110" i="3"/>
  <c r="CS110" i="3"/>
  <c r="CS105" i="3"/>
  <c r="CD110" i="3"/>
  <c r="CD100" i="3"/>
  <c r="CD105" i="3"/>
  <c r="L110" i="3"/>
  <c r="L100" i="3"/>
  <c r="L105" i="3"/>
  <c r="CN110" i="3"/>
  <c r="CN105" i="3"/>
  <c r="CX100" i="3"/>
  <c r="DD143" i="5"/>
  <c r="EP230" i="3"/>
  <c r="EP232" i="3" s="1"/>
  <c r="EU119" i="3"/>
  <c r="EU121" i="3"/>
  <c r="EQ11" i="8"/>
  <c r="CL230" i="3"/>
  <c r="CL232" i="3" s="1"/>
  <c r="DV233" i="3"/>
  <c r="CQ230" i="3"/>
  <c r="CQ232" i="3" s="1"/>
  <c r="CV230" i="3"/>
  <c r="CV232" i="3" s="1"/>
  <c r="G86" i="29"/>
  <c r="G11" i="8"/>
  <c r="N151" i="5"/>
  <c r="N143" i="5"/>
  <c r="J151" i="5"/>
  <c r="J143" i="5"/>
  <c r="BK94" i="5"/>
  <c r="R151" i="5"/>
  <c r="R143" i="5"/>
  <c r="T151" i="5"/>
  <c r="T143" i="5"/>
  <c r="K151" i="5"/>
  <c r="K143" i="5"/>
  <c r="O151" i="5"/>
  <c r="O143" i="5"/>
  <c r="I151" i="5"/>
  <c r="I143" i="5"/>
  <c r="S151" i="5"/>
  <c r="S143" i="5"/>
  <c r="F151" i="5"/>
  <c r="F143" i="5"/>
  <c r="P151" i="5"/>
  <c r="P143" i="5"/>
  <c r="M151" i="5"/>
  <c r="M143" i="5"/>
  <c r="E151" i="5"/>
  <c r="E143" i="5"/>
  <c r="C151" i="5"/>
  <c r="C143" i="5"/>
  <c r="H151" i="5"/>
  <c r="H143" i="5"/>
  <c r="D151" i="5"/>
  <c r="D143" i="5"/>
  <c r="U151" i="5"/>
  <c r="U143" i="5"/>
  <c r="BJ16" i="8"/>
  <c r="DC165" i="3"/>
  <c r="EU178" i="3"/>
  <c r="DR16" i="8"/>
  <c r="CX18" i="8"/>
  <c r="BT11" i="8"/>
  <c r="L16" i="8"/>
  <c r="L11" i="8"/>
  <c r="DC18" i="8"/>
  <c r="AU16" i="8"/>
  <c r="AK35" i="8"/>
  <c r="AP36" i="8" s="1"/>
  <c r="EB18" i="8"/>
  <c r="AK14" i="8"/>
  <c r="CS35" i="8"/>
  <c r="CX36" i="8" s="1"/>
  <c r="BJ35" i="8"/>
  <c r="AK16" i="8"/>
  <c r="G16" i="8"/>
  <c r="AF35" i="8"/>
  <c r="AF37" i="8" s="1"/>
  <c r="CD16" i="8"/>
  <c r="AU18" i="8"/>
  <c r="DW18" i="8"/>
  <c r="BO18" i="8"/>
  <c r="EB16" i="8"/>
  <c r="V14" i="8"/>
  <c r="EB11" i="8"/>
  <c r="V35" i="8"/>
  <c r="V37" i="8" s="1"/>
  <c r="AP14" i="8"/>
  <c r="DC16" i="8"/>
  <c r="DC11" i="8"/>
  <c r="CS14" i="8"/>
  <c r="AF16" i="8"/>
  <c r="AZ35" i="8"/>
  <c r="AZ37" i="8" s="1"/>
  <c r="DH35" i="8"/>
  <c r="DH36" i="8" s="1"/>
  <c r="CS16" i="8"/>
  <c r="BY16" i="8"/>
  <c r="DH14" i="8"/>
  <c r="L14" i="8"/>
  <c r="AF14" i="8"/>
  <c r="AZ14" i="8"/>
  <c r="DR18" i="8"/>
  <c r="BT16" i="8"/>
  <c r="EB14" i="8"/>
  <c r="BE14" i="8"/>
  <c r="AF18" i="8"/>
  <c r="EL16" i="8"/>
  <c r="BY18" i="8"/>
  <c r="BE18" i="8"/>
  <c r="DH16" i="8"/>
  <c r="EG14" i="8"/>
  <c r="L18" i="8"/>
  <c r="AZ18" i="8"/>
  <c r="Q18" i="8"/>
  <c r="DM18" i="8"/>
  <c r="AK18" i="8"/>
  <c r="BJ14" i="8"/>
  <c r="DW16" i="8"/>
  <c r="DW11" i="8"/>
  <c r="BE16" i="8"/>
  <c r="BE35" i="8"/>
  <c r="BE37" i="8" s="1"/>
  <c r="DW35" i="8"/>
  <c r="EB36" i="8" s="1"/>
  <c r="CS18" i="8"/>
  <c r="BJ18" i="8"/>
  <c r="BE11" i="8"/>
  <c r="Q14" i="8"/>
  <c r="CN18" i="8"/>
  <c r="AZ16" i="8"/>
  <c r="CN35" i="8"/>
  <c r="CN37" i="8" s="1"/>
  <c r="BT18" i="8"/>
  <c r="DH18" i="8"/>
  <c r="G35" i="8"/>
  <c r="G37" i="8" s="1"/>
  <c r="Q35" i="8"/>
  <c r="Q37" i="8" s="1"/>
  <c r="AU11" i="8"/>
  <c r="BY11" i="8"/>
  <c r="DC14" i="8"/>
  <c r="AP18" i="8"/>
  <c r="BO14" i="8"/>
  <c r="DM16" i="8"/>
  <c r="CI16" i="8"/>
  <c r="EQ18" i="8"/>
  <c r="EQ14" i="8"/>
  <c r="V18" i="8"/>
  <c r="CD18" i="8"/>
  <c r="EL18" i="8"/>
  <c r="BO35" i="8"/>
  <c r="BO37" i="8" s="1"/>
  <c r="DM11" i="8"/>
  <c r="EL14" i="8"/>
  <c r="Q16" i="8"/>
  <c r="Q11" i="8"/>
  <c r="AP11" i="8"/>
  <c r="EG16" i="8"/>
  <c r="EG18" i="8"/>
  <c r="CX11" i="8"/>
  <c r="AA18" i="8"/>
  <c r="CI35" i="8"/>
  <c r="CI36" i="8" s="1"/>
  <c r="DM35" i="8"/>
  <c r="DM37" i="8" s="1"/>
  <c r="DW14" i="8"/>
  <c r="CI11" i="8"/>
  <c r="DM14" i="8"/>
  <c r="BO11" i="8"/>
  <c r="CD11" i="8"/>
  <c r="DR14" i="8"/>
  <c r="AA14" i="8"/>
  <c r="CI18" i="8"/>
  <c r="AA35" i="8"/>
  <c r="CD14" i="8"/>
  <c r="DR35" i="8"/>
  <c r="CX14" i="8"/>
  <c r="BT14" i="8"/>
  <c r="EQ16" i="8"/>
  <c r="CN16" i="8"/>
  <c r="CI14" i="8"/>
  <c r="AP16" i="8"/>
  <c r="BY14" i="8"/>
  <c r="AU14" i="8"/>
  <c r="G63" i="29"/>
  <c r="BO16" i="8"/>
  <c r="CN14" i="8"/>
  <c r="EL35" i="8"/>
  <c r="EL37" i="8" s="1"/>
  <c r="EL40" i="8" s="1"/>
  <c r="CX16" i="8"/>
  <c r="DQ122" i="3"/>
  <c r="DQ121" i="3"/>
  <c r="EP122" i="3"/>
  <c r="EP121" i="3"/>
  <c r="DP121" i="3"/>
  <c r="DA121" i="3"/>
  <c r="EK122" i="3"/>
  <c r="EK121" i="3"/>
  <c r="DV121" i="3"/>
  <c r="DV122" i="3"/>
  <c r="ES119" i="3"/>
  <c r="ES121" i="3"/>
  <c r="EO121" i="3"/>
  <c r="EO122" i="3"/>
  <c r="DZ121" i="3"/>
  <c r="EF122" i="3"/>
  <c r="EF121" i="3"/>
  <c r="EE121" i="3"/>
  <c r="DU121" i="3"/>
  <c r="DU122" i="3"/>
  <c r="CV121" i="3"/>
  <c r="DL122" i="3"/>
  <c r="EJ121" i="3"/>
  <c r="EA121" i="3"/>
  <c r="EA122" i="3"/>
  <c r="CQ121" i="3"/>
  <c r="EQ86" i="29"/>
  <c r="EQ115" i="3"/>
  <c r="DM86" i="29"/>
  <c r="DM115" i="3"/>
  <c r="CI86" i="29"/>
  <c r="CI115" i="3"/>
  <c r="BJ86" i="29"/>
  <c r="BJ115" i="3"/>
  <c r="L86" i="29"/>
  <c r="L115" i="3"/>
  <c r="BO86" i="29"/>
  <c r="BO115" i="3"/>
  <c r="V86" i="29"/>
  <c r="V115" i="3"/>
  <c r="CN86" i="29"/>
  <c r="CN115" i="3"/>
  <c r="BE86" i="29"/>
  <c r="BE115" i="3"/>
  <c r="AA86" i="29"/>
  <c r="AA115" i="3"/>
  <c r="EB86" i="29"/>
  <c r="EB115" i="3"/>
  <c r="BY86" i="29"/>
  <c r="BY115" i="3"/>
  <c r="AK86" i="29"/>
  <c r="AK115" i="3"/>
  <c r="EL86" i="29"/>
  <c r="EL115" i="3"/>
  <c r="CS86" i="29"/>
  <c r="CS115" i="3"/>
  <c r="DR86" i="29"/>
  <c r="DR115" i="3"/>
  <c r="CX86" i="29"/>
  <c r="CX115" i="3"/>
  <c r="DC86" i="29"/>
  <c r="DC115" i="3"/>
  <c r="CD86" i="29"/>
  <c r="CD115" i="3"/>
  <c r="AP86" i="29"/>
  <c r="AP115" i="3"/>
  <c r="AF86" i="29"/>
  <c r="AF115" i="3"/>
  <c r="Q86" i="29"/>
  <c r="Q115" i="3"/>
  <c r="EG86" i="29"/>
  <c r="EG115" i="3"/>
  <c r="DW86" i="29"/>
  <c r="DW115" i="3"/>
  <c r="DH86" i="29"/>
  <c r="DH115" i="3"/>
  <c r="BT86" i="29"/>
  <c r="BT115" i="3"/>
  <c r="AZ86" i="29"/>
  <c r="AZ115" i="3"/>
  <c r="AU86" i="29"/>
  <c r="AU115" i="3"/>
  <c r="F70" i="3"/>
  <c r="CP69" i="3"/>
  <c r="CP70" i="3"/>
  <c r="BV70" i="3"/>
  <c r="BV69" i="3"/>
  <c r="AQ69" i="3"/>
  <c r="AQ70" i="3"/>
  <c r="AB70" i="3"/>
  <c r="AB69" i="3"/>
  <c r="CW69" i="3"/>
  <c r="CW70" i="3"/>
  <c r="CQ70" i="3"/>
  <c r="DC77" i="29"/>
  <c r="DC48" i="3"/>
  <c r="CT70" i="3"/>
  <c r="CT69" i="3"/>
  <c r="CO69" i="3"/>
  <c r="CO70" i="3"/>
  <c r="CD77" i="29"/>
  <c r="AV69" i="3"/>
  <c r="AV70" i="3"/>
  <c r="BA69" i="3"/>
  <c r="AP77" i="29"/>
  <c r="N70" i="3"/>
  <c r="N69" i="3"/>
  <c r="DD69" i="3"/>
  <c r="DD70" i="3"/>
  <c r="DI69" i="3"/>
  <c r="J69" i="3"/>
  <c r="J70" i="3"/>
  <c r="Z70" i="3"/>
  <c r="Z69" i="3"/>
  <c r="CH70" i="3"/>
  <c r="CH69" i="3"/>
  <c r="BC69" i="3"/>
  <c r="BC70" i="3"/>
  <c r="DB70" i="3"/>
  <c r="DB69" i="3"/>
  <c r="E70" i="3"/>
  <c r="AW69" i="3"/>
  <c r="AW70" i="3"/>
  <c r="K69" i="3"/>
  <c r="K70" i="3"/>
  <c r="CZ70" i="3"/>
  <c r="CZ69" i="3"/>
  <c r="CA69" i="3"/>
  <c r="CA70" i="3"/>
  <c r="BT77" i="29"/>
  <c r="BL69" i="3"/>
  <c r="BL70" i="3"/>
  <c r="BE77" i="29"/>
  <c r="AS70" i="3"/>
  <c r="AS69" i="3"/>
  <c r="AM70" i="3"/>
  <c r="AM69" i="3"/>
  <c r="AF77" i="29"/>
  <c r="M69" i="3"/>
  <c r="M70" i="3"/>
  <c r="D71" i="3"/>
  <c r="D70" i="3"/>
  <c r="DF70" i="3"/>
  <c r="DF69" i="3"/>
  <c r="DK69" i="3"/>
  <c r="Y69" i="3"/>
  <c r="Y70" i="3"/>
  <c r="AD70" i="3"/>
  <c r="AD69" i="3"/>
  <c r="AJ69" i="3"/>
  <c r="AJ70" i="3"/>
  <c r="AO69" i="3"/>
  <c r="AO70" i="3"/>
  <c r="CR69" i="3"/>
  <c r="CR70" i="3"/>
  <c r="BN69" i="3"/>
  <c r="BN70" i="3"/>
  <c r="W70" i="3"/>
  <c r="W69" i="3"/>
  <c r="CB70" i="3"/>
  <c r="CB69" i="3"/>
  <c r="X70" i="3"/>
  <c r="X69" i="3"/>
  <c r="AT70" i="3"/>
  <c r="AT69" i="3"/>
  <c r="CL67" i="3"/>
  <c r="CG69" i="3"/>
  <c r="CG70" i="3"/>
  <c r="CY69" i="3"/>
  <c r="CY70" i="3"/>
  <c r="CI77" i="29"/>
  <c r="BQ70" i="3"/>
  <c r="BQ69" i="3"/>
  <c r="BB70" i="3"/>
  <c r="BB69" i="3"/>
  <c r="AU77" i="29"/>
  <c r="AC70" i="3"/>
  <c r="AC69" i="3"/>
  <c r="DG70" i="3"/>
  <c r="DG69" i="3"/>
  <c r="DI70" i="3"/>
  <c r="DL69" i="3"/>
  <c r="AE70" i="3"/>
  <c r="AE69" i="3"/>
  <c r="AG69" i="3"/>
  <c r="AG70" i="3"/>
  <c r="BD70" i="3"/>
  <c r="BD69" i="3"/>
  <c r="AY70" i="3"/>
  <c r="AY69" i="3"/>
  <c r="BA70" i="3"/>
  <c r="BX70" i="3"/>
  <c r="BX69" i="3"/>
  <c r="AX70" i="3"/>
  <c r="AX69" i="3"/>
  <c r="BM69" i="3"/>
  <c r="BM70" i="3"/>
  <c r="DH77" i="29"/>
  <c r="DH48" i="3"/>
  <c r="DM48" i="3"/>
  <c r="CU70" i="3"/>
  <c r="CU69" i="3"/>
  <c r="CJ70" i="3"/>
  <c r="CJ69" i="3"/>
  <c r="BO77" i="29"/>
  <c r="AH69" i="3"/>
  <c r="AH70" i="3"/>
  <c r="H70" i="3"/>
  <c r="H69" i="3"/>
  <c r="U70" i="3"/>
  <c r="U69" i="3"/>
  <c r="BZ69" i="3"/>
  <c r="BZ70" i="3"/>
  <c r="AL70" i="3"/>
  <c r="AL69" i="3"/>
  <c r="DE69" i="3"/>
  <c r="DE70" i="3"/>
  <c r="DJ69" i="3"/>
  <c r="CX77" i="29"/>
  <c r="CN77" i="29"/>
  <c r="CF70" i="3"/>
  <c r="CF69" i="3"/>
  <c r="BP70" i="3"/>
  <c r="BP69" i="3"/>
  <c r="AR70" i="3"/>
  <c r="AR69" i="3"/>
  <c r="S69" i="3"/>
  <c r="S70" i="3"/>
  <c r="AI69" i="3"/>
  <c r="AI70" i="3"/>
  <c r="P70" i="3"/>
  <c r="P69" i="3"/>
  <c r="BR69" i="3"/>
  <c r="BR70" i="3"/>
  <c r="BH70" i="3"/>
  <c r="BH69" i="3"/>
  <c r="CM70" i="3"/>
  <c r="CM69" i="3"/>
  <c r="BK69" i="3"/>
  <c r="BK70" i="3"/>
  <c r="BI70" i="3"/>
  <c r="BI69" i="3"/>
  <c r="CL69" i="3"/>
  <c r="Q77" i="29"/>
  <c r="BJ77" i="29"/>
  <c r="V77" i="29"/>
  <c r="BG70" i="3"/>
  <c r="BG69" i="3"/>
  <c r="AZ77" i="29"/>
  <c r="L77" i="29"/>
  <c r="CS77" i="29"/>
  <c r="CK70" i="3"/>
  <c r="CK69" i="3"/>
  <c r="CE70" i="3"/>
  <c r="CE69" i="3"/>
  <c r="BY77" i="29"/>
  <c r="BF70" i="3"/>
  <c r="BF69" i="3"/>
  <c r="AK77" i="29"/>
  <c r="AA77" i="29"/>
  <c r="R69" i="3"/>
  <c r="R70" i="3"/>
  <c r="I70" i="3"/>
  <c r="I69" i="3"/>
  <c r="O70" i="3"/>
  <c r="O69" i="3"/>
  <c r="BW70" i="3"/>
  <c r="BW69" i="3"/>
  <c r="BU69" i="3"/>
  <c r="BU70" i="3"/>
  <c r="T70" i="3"/>
  <c r="T69" i="3"/>
  <c r="BS69" i="3"/>
  <c r="BS70" i="3"/>
  <c r="CC70" i="3"/>
  <c r="CC69" i="3"/>
  <c r="AN69" i="3"/>
  <c r="AN70" i="3"/>
  <c r="CL70" i="3"/>
  <c r="DA70" i="3"/>
  <c r="AP63" i="29"/>
  <c r="AP28" i="3"/>
  <c r="AA63" i="29"/>
  <c r="AA28" i="3"/>
  <c r="CS63" i="29"/>
  <c r="CS28" i="3"/>
  <c r="L63" i="29"/>
  <c r="L28" i="3"/>
  <c r="V63" i="29"/>
  <c r="V28" i="3"/>
  <c r="DC63" i="29"/>
  <c r="DC28" i="3"/>
  <c r="BO63" i="29"/>
  <c r="BO28" i="3"/>
  <c r="CN63" i="29"/>
  <c r="CN28" i="3"/>
  <c r="DH63" i="29"/>
  <c r="DH28" i="3"/>
  <c r="DM28" i="3"/>
  <c r="BT28" i="3"/>
  <c r="BE63" i="29"/>
  <c r="BE28" i="3"/>
  <c r="AU63" i="29"/>
  <c r="AU28" i="3"/>
  <c r="CX63" i="29"/>
  <c r="CX28" i="3"/>
  <c r="CI63" i="29"/>
  <c r="CI28" i="3"/>
  <c r="BJ63" i="29"/>
  <c r="BJ28" i="3"/>
  <c r="BY63" i="29"/>
  <c r="BY28" i="3"/>
  <c r="Q63" i="29"/>
  <c r="Q28" i="3"/>
  <c r="CD63" i="29"/>
  <c r="CD28" i="3"/>
  <c r="AZ63" i="29"/>
  <c r="AZ28" i="3"/>
  <c r="AK63" i="29"/>
  <c r="AK28" i="3"/>
  <c r="AF63" i="29"/>
  <c r="AF28" i="3"/>
  <c r="BR49" i="7"/>
  <c r="BR36" i="7"/>
  <c r="AS29" i="7"/>
  <c r="AS11" i="7"/>
  <c r="AS28" i="7"/>
  <c r="F44" i="7"/>
  <c r="AE21" i="7"/>
  <c r="Y28" i="7"/>
  <c r="AE44" i="7"/>
  <c r="BT63" i="29"/>
  <c r="BA54" i="7"/>
  <c r="BR54" i="7"/>
  <c r="AY21" i="7"/>
  <c r="Z49" i="7"/>
  <c r="BR40" i="7"/>
  <c r="AY11" i="7"/>
  <c r="AS44" i="7"/>
  <c r="BD49" i="7"/>
  <c r="BD54" i="7"/>
  <c r="BD29" i="7"/>
  <c r="AZ113" i="3"/>
  <c r="BD40" i="7"/>
  <c r="AR40" i="7"/>
  <c r="C54" i="7"/>
  <c r="AM54" i="7"/>
  <c r="AM56" i="7" s="1"/>
  <c r="BA40" i="7"/>
  <c r="AL40" i="7"/>
  <c r="BH11" i="7"/>
  <c r="V113" i="3"/>
  <c r="AI28" i="7"/>
  <c r="BH21" i="7"/>
  <c r="AL21" i="7"/>
  <c r="BA36" i="7"/>
  <c r="AL28" i="7"/>
  <c r="AL29" i="7"/>
  <c r="BA44" i="7"/>
  <c r="AC54" i="7"/>
  <c r="BH44" i="7"/>
  <c r="BH29" i="7"/>
  <c r="AI29" i="7"/>
  <c r="AI44" i="7"/>
  <c r="AI21" i="7"/>
  <c r="AI11" i="7"/>
  <c r="BH36" i="7"/>
  <c r="BH40" i="7"/>
  <c r="AI36" i="7"/>
  <c r="BH49" i="7"/>
  <c r="BP40" i="7"/>
  <c r="AI54" i="7"/>
  <c r="BB40" i="7"/>
  <c r="AL44" i="7"/>
  <c r="BA21" i="7"/>
  <c r="BH54" i="7"/>
  <c r="AI40" i="7"/>
  <c r="AL36" i="7"/>
  <c r="BA29" i="7"/>
  <c r="N21" i="7"/>
  <c r="C49" i="7"/>
  <c r="AC36" i="7"/>
  <c r="AO49" i="7"/>
  <c r="AC49" i="7"/>
  <c r="AG54" i="7"/>
  <c r="AL55" i="7" s="1"/>
  <c r="BP36" i="7"/>
  <c r="AC40" i="7"/>
  <c r="BP12" i="7"/>
  <c r="AW36" i="7"/>
  <c r="AV28" i="7"/>
  <c r="BP29" i="7"/>
  <c r="N29" i="7"/>
  <c r="AC21" i="7"/>
  <c r="BG21" i="7"/>
  <c r="BL49" i="7"/>
  <c r="C40" i="7"/>
  <c r="BP54" i="7"/>
  <c r="G10" i="7"/>
  <c r="G49" i="7" s="1"/>
  <c r="AK25" i="3"/>
  <c r="AZ81" i="3"/>
  <c r="AF81" i="3"/>
  <c r="DH88" i="3"/>
  <c r="AA88" i="3"/>
  <c r="BJ81" i="3"/>
  <c r="CS25" i="3"/>
  <c r="AM28" i="7"/>
  <c r="BQ54" i="7"/>
  <c r="BQ55" i="7" s="1"/>
  <c r="AL49" i="7"/>
  <c r="BA49" i="7"/>
  <c r="BO81" i="3"/>
  <c r="BA151" i="5"/>
  <c r="AU36" i="8"/>
  <c r="AU37" i="8"/>
  <c r="DC37" i="8"/>
  <c r="DC36" i="8"/>
  <c r="BB151" i="5"/>
  <c r="CA151" i="5"/>
  <c r="BH151" i="5"/>
  <c r="AR151" i="5"/>
  <c r="BF151" i="5"/>
  <c r="AY44" i="7"/>
  <c r="AY29" i="7"/>
  <c r="R21" i="7"/>
  <c r="BY36" i="8"/>
  <c r="BY37" i="8"/>
  <c r="CX37" i="8"/>
  <c r="EG36" i="8"/>
  <c r="AL151" i="5"/>
  <c r="BW151" i="5"/>
  <c r="AG151" i="5"/>
  <c r="AQ151" i="5"/>
  <c r="BP151" i="5"/>
  <c r="AY40" i="7"/>
  <c r="AH151" i="5"/>
  <c r="BX75" i="5"/>
  <c r="X151" i="5"/>
  <c r="AV151" i="5"/>
  <c r="BA12" i="7"/>
  <c r="W151" i="5"/>
  <c r="BX94" i="5"/>
  <c r="J78" i="5"/>
  <c r="BV151" i="5"/>
  <c r="BR151" i="5"/>
  <c r="AE151" i="5"/>
  <c r="AY36" i="7"/>
  <c r="EB37" i="8"/>
  <c r="L37" i="8"/>
  <c r="AP37" i="8"/>
  <c r="BL151" i="5"/>
  <c r="BD151" i="5"/>
  <c r="BQ151" i="5"/>
  <c r="AC151" i="5"/>
  <c r="AY151" i="5"/>
  <c r="AY49" i="7"/>
  <c r="AM151" i="5"/>
  <c r="BG151" i="5"/>
  <c r="Z151" i="5"/>
  <c r="AY54" i="7"/>
  <c r="CX25" i="3"/>
  <c r="CI25" i="3"/>
  <c r="AI151" i="5"/>
  <c r="BX97" i="5"/>
  <c r="Y151" i="5"/>
  <c r="AS151" i="5"/>
  <c r="AO151" i="5"/>
  <c r="AW151" i="5"/>
  <c r="BZ151" i="5"/>
  <c r="N11" i="7"/>
  <c r="AR11" i="7"/>
  <c r="K75" i="5"/>
  <c r="I40" i="7"/>
  <c r="H44" i="7"/>
  <c r="BT37" i="8"/>
  <c r="CD37" i="8"/>
  <c r="CD36" i="8"/>
  <c r="AB87" i="5"/>
  <c r="AB151" i="5"/>
  <c r="CC87" i="5"/>
  <c r="CC151" i="5"/>
  <c r="K87" i="5"/>
  <c r="BS87" i="5"/>
  <c r="BS151" i="5"/>
  <c r="AN87" i="5"/>
  <c r="AN151" i="5"/>
  <c r="U87" i="5"/>
  <c r="CB87" i="5"/>
  <c r="CB151" i="5"/>
  <c r="AD87" i="5"/>
  <c r="AD151" i="5"/>
  <c r="BU87" i="5"/>
  <c r="BU151" i="5"/>
  <c r="DD87" i="5"/>
  <c r="DD151" i="5"/>
  <c r="T87" i="5"/>
  <c r="AX87" i="5"/>
  <c r="AX151" i="5"/>
  <c r="AT87" i="5"/>
  <c r="AT151" i="5"/>
  <c r="O87" i="5"/>
  <c r="BM87" i="5"/>
  <c r="BM151" i="5"/>
  <c r="AJ87" i="5"/>
  <c r="AJ151" i="5"/>
  <c r="BK87" i="5"/>
  <c r="BK151" i="5"/>
  <c r="BI87" i="5"/>
  <c r="BI151" i="5"/>
  <c r="BN87" i="5"/>
  <c r="BN151" i="5"/>
  <c r="J87" i="5"/>
  <c r="BC87" i="5"/>
  <c r="BC151" i="5"/>
  <c r="BX151" i="5"/>
  <c r="AO28" i="7"/>
  <c r="AW44" i="7"/>
  <c r="BL28" i="7"/>
  <c r="AG49" i="7"/>
  <c r="AV21" i="7"/>
  <c r="AO21" i="7"/>
  <c r="AW21" i="7"/>
  <c r="BL21" i="7"/>
  <c r="AG28" i="7"/>
  <c r="AV44" i="7"/>
  <c r="AV29" i="7"/>
  <c r="AL11" i="7"/>
  <c r="BA11" i="7"/>
  <c r="AW28" i="7"/>
  <c r="BL44" i="7"/>
  <c r="BQ45" i="7" s="1"/>
  <c r="BL29" i="7"/>
  <c r="AG29" i="7"/>
  <c r="AV54" i="7"/>
  <c r="AV40" i="7"/>
  <c r="AO29" i="7"/>
  <c r="AO36" i="7"/>
  <c r="AO40" i="7"/>
  <c r="AW29" i="7"/>
  <c r="BL36" i="7"/>
  <c r="BL40" i="7"/>
  <c r="AG44" i="7"/>
  <c r="AG21" i="7"/>
  <c r="AV49" i="7"/>
  <c r="AO44" i="7"/>
  <c r="AG36" i="7"/>
  <c r="BB28" i="7"/>
  <c r="BQ28" i="7"/>
  <c r="BB11" i="7"/>
  <c r="BQ11" i="7"/>
  <c r="AM49" i="7"/>
  <c r="BB12" i="7"/>
  <c r="BQ29" i="7"/>
  <c r="BP44" i="7"/>
  <c r="BQ46" i="7" s="1"/>
  <c r="AW40" i="7"/>
  <c r="AM40" i="7"/>
  <c r="BQ40" i="7"/>
  <c r="AW54" i="7"/>
  <c r="BG11" i="7"/>
  <c r="AW12" i="7"/>
  <c r="BM75" i="5"/>
  <c r="BX78" i="5"/>
  <c r="BK78" i="5"/>
  <c r="BX109" i="5"/>
  <c r="J97" i="5"/>
  <c r="AN78" i="5"/>
  <c r="BK109" i="5"/>
  <c r="AJ75" i="5"/>
  <c r="C91" i="5"/>
  <c r="C87" i="5"/>
  <c r="M91" i="5"/>
  <c r="M87" i="5"/>
  <c r="W91" i="5"/>
  <c r="W87" i="5"/>
  <c r="AI91" i="5"/>
  <c r="AI87" i="5"/>
  <c r="AL91" i="5"/>
  <c r="AL87" i="5"/>
  <c r="BB91" i="5"/>
  <c r="BB87" i="5"/>
  <c r="BQ91" i="5"/>
  <c r="BQ87" i="5"/>
  <c r="BW91" i="5"/>
  <c r="BW87" i="5"/>
  <c r="E91" i="5"/>
  <c r="E87" i="5"/>
  <c r="Y91" i="5"/>
  <c r="Y87" i="5"/>
  <c r="BL91" i="5"/>
  <c r="BL87" i="5"/>
  <c r="CA91" i="5"/>
  <c r="CA87" i="5"/>
  <c r="AC91" i="5"/>
  <c r="AC87" i="5"/>
  <c r="AM91" i="5"/>
  <c r="AM87" i="5"/>
  <c r="AS91" i="5"/>
  <c r="AS87" i="5"/>
  <c r="BA91" i="5"/>
  <c r="BA87" i="5"/>
  <c r="BH91" i="5"/>
  <c r="BH87" i="5"/>
  <c r="BP91" i="5"/>
  <c r="BP87" i="5"/>
  <c r="I91" i="5"/>
  <c r="I87" i="5"/>
  <c r="S91" i="5"/>
  <c r="S87" i="5"/>
  <c r="AG91" i="5"/>
  <c r="AG87" i="5"/>
  <c r="AR91" i="5"/>
  <c r="AR87" i="5"/>
  <c r="AY91" i="5"/>
  <c r="AY87" i="5"/>
  <c r="BG91" i="5"/>
  <c r="BG87" i="5"/>
  <c r="BV91" i="5"/>
  <c r="BV87" i="5"/>
  <c r="X91" i="5"/>
  <c r="X87" i="5"/>
  <c r="BR91" i="5"/>
  <c r="BR87" i="5"/>
  <c r="F91" i="5"/>
  <c r="F87" i="5"/>
  <c r="H91" i="5"/>
  <c r="H87" i="5"/>
  <c r="R91" i="5"/>
  <c r="R87" i="5"/>
  <c r="Z91" i="5"/>
  <c r="Z87" i="5"/>
  <c r="AE91" i="5"/>
  <c r="AE87" i="5"/>
  <c r="AO91" i="5"/>
  <c r="AO87" i="5"/>
  <c r="AQ91" i="5"/>
  <c r="AQ87" i="5"/>
  <c r="BF91" i="5"/>
  <c r="BF87" i="5"/>
  <c r="AW91" i="5"/>
  <c r="AW87" i="5"/>
  <c r="BD91" i="5"/>
  <c r="BD87" i="5"/>
  <c r="D91" i="5"/>
  <c r="D87" i="5"/>
  <c r="N91" i="5"/>
  <c r="N87" i="5"/>
  <c r="AV91" i="5"/>
  <c r="AV87" i="5"/>
  <c r="BZ91" i="5"/>
  <c r="BZ87" i="5"/>
  <c r="AH91" i="5"/>
  <c r="AH87" i="5"/>
  <c r="P91" i="5"/>
  <c r="P87" i="5"/>
  <c r="BX91" i="5"/>
  <c r="BX87" i="5"/>
  <c r="BN89" i="5"/>
  <c r="BN91" i="5"/>
  <c r="BU89" i="5"/>
  <c r="BU91" i="5"/>
  <c r="AD89" i="5"/>
  <c r="AD91" i="5"/>
  <c r="DD89" i="5"/>
  <c r="DD91" i="5"/>
  <c r="T91" i="5"/>
  <c r="AX89" i="5"/>
  <c r="AX91" i="5"/>
  <c r="BC89" i="5"/>
  <c r="BC91" i="5"/>
  <c r="BI89" i="5"/>
  <c r="BI91" i="5"/>
  <c r="U89" i="5"/>
  <c r="U91" i="5"/>
  <c r="AB89" i="5"/>
  <c r="AB91" i="5"/>
  <c r="BM89" i="5"/>
  <c r="BM91" i="5"/>
  <c r="CB89" i="5"/>
  <c r="CB91" i="5"/>
  <c r="BS89" i="5"/>
  <c r="BS91" i="5"/>
  <c r="AT89" i="5"/>
  <c r="AT91" i="5"/>
  <c r="O89" i="5"/>
  <c r="O91" i="5"/>
  <c r="AJ89" i="5"/>
  <c r="AJ91" i="5"/>
  <c r="J91" i="5"/>
  <c r="AN89" i="5"/>
  <c r="AN91" i="5"/>
  <c r="BK91" i="5"/>
  <c r="CC89" i="5"/>
  <c r="CC91" i="5"/>
  <c r="K89" i="5"/>
  <c r="K91" i="5"/>
  <c r="J75" i="5"/>
  <c r="AJ97" i="5"/>
  <c r="J94" i="5"/>
  <c r="J109" i="5"/>
  <c r="BK97" i="5"/>
  <c r="K109" i="5"/>
  <c r="BN109" i="5"/>
  <c r="BK75" i="5"/>
  <c r="BU78" i="5"/>
  <c r="AD78" i="5"/>
  <c r="AD94" i="5"/>
  <c r="BU75" i="5"/>
  <c r="BN78" i="5"/>
  <c r="AD97" i="5"/>
  <c r="Y89" i="5"/>
  <c r="AI89" i="5"/>
  <c r="AC89" i="5"/>
  <c r="BP89" i="5"/>
  <c r="AR89" i="5"/>
  <c r="F89" i="5"/>
  <c r="AQ89" i="5"/>
  <c r="N89" i="5"/>
  <c r="C89" i="5"/>
  <c r="AY89" i="5"/>
  <c r="H89" i="5"/>
  <c r="BF89" i="5"/>
  <c r="AV89" i="5"/>
  <c r="T89" i="5"/>
  <c r="P97" i="5"/>
  <c r="P89" i="5"/>
  <c r="BB89" i="5"/>
  <c r="BG89" i="5"/>
  <c r="BV89" i="5"/>
  <c r="R89" i="5"/>
  <c r="AH89" i="5"/>
  <c r="BQ89" i="5"/>
  <c r="AS89" i="5"/>
  <c r="X89" i="5"/>
  <c r="M89" i="5"/>
  <c r="BW89" i="5"/>
  <c r="BL89" i="5"/>
  <c r="BA89" i="5"/>
  <c r="S89" i="5"/>
  <c r="BR89" i="5"/>
  <c r="AE89" i="5"/>
  <c r="BD89" i="5"/>
  <c r="J89" i="5"/>
  <c r="BK89" i="5"/>
  <c r="BX89" i="5"/>
  <c r="AL89" i="5"/>
  <c r="E89" i="5"/>
  <c r="I89" i="5"/>
  <c r="Z89" i="5"/>
  <c r="AW89" i="5"/>
  <c r="W89" i="5"/>
  <c r="CA89" i="5"/>
  <c r="AM89" i="5"/>
  <c r="BH89" i="5"/>
  <c r="AG89" i="5"/>
  <c r="AO89" i="5"/>
  <c r="D89" i="5"/>
  <c r="BZ89" i="5"/>
  <c r="AT78" i="5"/>
  <c r="BN94" i="5"/>
  <c r="BU94" i="5"/>
  <c r="AD109" i="5"/>
  <c r="T109" i="5"/>
  <c r="BC94" i="5"/>
  <c r="CB75" i="5"/>
  <c r="T78" i="5"/>
  <c r="AB109" i="5"/>
  <c r="U97" i="5"/>
  <c r="AT109" i="5"/>
  <c r="O78" i="5"/>
  <c r="AJ94" i="5"/>
  <c r="AN94" i="5"/>
  <c r="AH109" i="5"/>
  <c r="BS75" i="5"/>
  <c r="CB78" i="5"/>
  <c r="K97" i="5"/>
  <c r="BF54" i="7"/>
  <c r="Z28" i="7"/>
  <c r="Y12" i="7"/>
  <c r="AT97" i="5"/>
  <c r="AH75" i="5"/>
  <c r="BM94" i="5"/>
  <c r="DD109" i="5"/>
  <c r="AQ54" i="7"/>
  <c r="AQ55" i="7" s="1"/>
  <c r="BF28" i="7"/>
  <c r="S12" i="7"/>
  <c r="Z12" i="7"/>
  <c r="Y44" i="7"/>
  <c r="Y29" i="7"/>
  <c r="DR113" i="3"/>
  <c r="U75" i="5"/>
  <c r="AH97" i="5"/>
  <c r="CC78" i="5"/>
  <c r="AR54" i="7"/>
  <c r="BG49" i="7"/>
  <c r="AQ21" i="7"/>
  <c r="BF40" i="7"/>
  <c r="Z44" i="7"/>
  <c r="Z29" i="7"/>
  <c r="Y36" i="7"/>
  <c r="Y21" i="7"/>
  <c r="R40" i="7"/>
  <c r="U78" i="5"/>
  <c r="AH94" i="5"/>
  <c r="CC97" i="5"/>
  <c r="AR49" i="7"/>
  <c r="BG36" i="7"/>
  <c r="AQ40" i="7"/>
  <c r="Z36" i="7"/>
  <c r="Z21" i="7"/>
  <c r="R44" i="7"/>
  <c r="Y49" i="7"/>
  <c r="Y40" i="7"/>
  <c r="AS12" i="7"/>
  <c r="BI78" i="5"/>
  <c r="AX109" i="5"/>
  <c r="Z54" i="7"/>
  <c r="R54" i="7"/>
  <c r="F40" i="7"/>
  <c r="S28" i="7"/>
  <c r="H36" i="7"/>
  <c r="F54" i="7"/>
  <c r="AQ12" i="7"/>
  <c r="S29" i="7"/>
  <c r="R36" i="7"/>
  <c r="AE49" i="7"/>
  <c r="BH12" i="7"/>
  <c r="AT94" i="5"/>
  <c r="BI94" i="5"/>
  <c r="O75" i="5"/>
  <c r="O94" i="5"/>
  <c r="AX97" i="5"/>
  <c r="F29" i="7"/>
  <c r="N44" i="7"/>
  <c r="AC28" i="7"/>
  <c r="AR28" i="7"/>
  <c r="BG12" i="7"/>
  <c r="AQ44" i="7"/>
  <c r="AQ28" i="7"/>
  <c r="BF44" i="7"/>
  <c r="BF12" i="7"/>
  <c r="D29" i="7"/>
  <c r="S36" i="7"/>
  <c r="S21" i="7"/>
  <c r="BD28" i="7"/>
  <c r="BL11" i="7"/>
  <c r="C36" i="7"/>
  <c r="C44" i="7"/>
  <c r="R49" i="7"/>
  <c r="BP11" i="7"/>
  <c r="BR21" i="7"/>
  <c r="AE36" i="7"/>
  <c r="H29" i="7"/>
  <c r="AS36" i="7"/>
  <c r="AS21" i="7"/>
  <c r="BP49" i="7"/>
  <c r="BQ12" i="7"/>
  <c r="AE54" i="7"/>
  <c r="BI75" i="5"/>
  <c r="BS94" i="5"/>
  <c r="AR12" i="7"/>
  <c r="BG29" i="7"/>
  <c r="BD12" i="7"/>
  <c r="AE40" i="7"/>
  <c r="AT75" i="5"/>
  <c r="O109" i="5"/>
  <c r="F21" i="7"/>
  <c r="N36" i="7"/>
  <c r="AC11" i="7"/>
  <c r="AR44" i="7"/>
  <c r="AR21" i="7"/>
  <c r="BG44" i="7"/>
  <c r="BG28" i="7"/>
  <c r="AQ36" i="7"/>
  <c r="AQ11" i="7"/>
  <c r="BF36" i="7"/>
  <c r="BF29" i="7"/>
  <c r="D21" i="7"/>
  <c r="S54" i="7"/>
  <c r="S40" i="7"/>
  <c r="BD44" i="7"/>
  <c r="BD11" i="7"/>
  <c r="C21" i="7"/>
  <c r="R28" i="7"/>
  <c r="AG12" i="7"/>
  <c r="AV11" i="7"/>
  <c r="BR28" i="7"/>
  <c r="R12" i="7"/>
  <c r="AE11" i="7"/>
  <c r="H11" i="7"/>
  <c r="AS54" i="7"/>
  <c r="AS40" i="7"/>
  <c r="BP28" i="7"/>
  <c r="AB94" i="5"/>
  <c r="AE29" i="7"/>
  <c r="K94" i="5"/>
  <c r="O97" i="5"/>
  <c r="F36" i="7"/>
  <c r="BF11" i="7"/>
  <c r="S44" i="7"/>
  <c r="AW11" i="7"/>
  <c r="H49" i="7"/>
  <c r="EQ113" i="3"/>
  <c r="K78" i="5"/>
  <c r="AB97" i="5"/>
  <c r="BI109" i="5"/>
  <c r="CC109" i="5"/>
  <c r="BM78" i="5"/>
  <c r="BC75" i="5"/>
  <c r="AC44" i="7"/>
  <c r="AR36" i="7"/>
  <c r="BG54" i="7"/>
  <c r="BL55" i="7" s="1"/>
  <c r="AC12" i="7"/>
  <c r="AQ49" i="7"/>
  <c r="BF49" i="7"/>
  <c r="D54" i="7"/>
  <c r="BD36" i="7"/>
  <c r="BR44" i="7"/>
  <c r="BR46" i="7" s="1"/>
  <c r="H21" i="7"/>
  <c r="CX113" i="3"/>
  <c r="BJ113" i="3"/>
  <c r="AP25" i="3"/>
  <c r="BS78" i="5"/>
  <c r="BU109" i="5"/>
  <c r="D36" i="7"/>
  <c r="D40" i="7"/>
  <c r="I28" i="7"/>
  <c r="X11" i="7"/>
  <c r="CD113" i="3"/>
  <c r="Q113" i="3"/>
  <c r="CD25" i="3"/>
  <c r="AB75" i="5"/>
  <c r="BS97" i="5"/>
  <c r="BS109" i="5"/>
  <c r="BU97" i="5"/>
  <c r="D49" i="7"/>
  <c r="I49" i="7"/>
  <c r="X54" i="7"/>
  <c r="EG113" i="3"/>
  <c r="BT113" i="3"/>
  <c r="AP113" i="3"/>
  <c r="AF113" i="3"/>
  <c r="BY25" i="3"/>
  <c r="AB78" i="5"/>
  <c r="P75" i="5"/>
  <c r="I21" i="7"/>
  <c r="X29" i="7"/>
  <c r="S11" i="7"/>
  <c r="BQ71" i="3"/>
  <c r="BQ67" i="3"/>
  <c r="BQ68" i="3"/>
  <c r="O71" i="3"/>
  <c r="O68" i="3"/>
  <c r="O67" i="3"/>
  <c r="BW118" i="3"/>
  <c r="BW71" i="3"/>
  <c r="BW68" i="3"/>
  <c r="BW67" i="3"/>
  <c r="T71" i="3"/>
  <c r="T68" i="3"/>
  <c r="T67" i="3"/>
  <c r="AN71" i="3"/>
  <c r="AN67" i="3"/>
  <c r="AN68" i="3"/>
  <c r="DC113" i="3"/>
  <c r="CX57" i="5"/>
  <c r="CF71" i="3"/>
  <c r="CF68" i="3"/>
  <c r="CF67" i="3"/>
  <c r="BG71" i="3"/>
  <c r="BG67" i="3"/>
  <c r="BG68" i="3"/>
  <c r="AE118" i="3"/>
  <c r="AE71" i="3"/>
  <c r="AE67" i="3"/>
  <c r="AE68" i="3"/>
  <c r="L10" i="7"/>
  <c r="L40" i="7" s="1"/>
  <c r="L25" i="3"/>
  <c r="CW118" i="3"/>
  <c r="CW71" i="3"/>
  <c r="CW67" i="3"/>
  <c r="CW68" i="3"/>
  <c r="DW113" i="3"/>
  <c r="DA119" i="3"/>
  <c r="BF71" i="3"/>
  <c r="BF67" i="3"/>
  <c r="BF68" i="3"/>
  <c r="S71" i="3"/>
  <c r="S67" i="3"/>
  <c r="S68" i="3"/>
  <c r="Q10" i="7"/>
  <c r="Q40" i="7" s="1"/>
  <c r="Q25" i="3"/>
  <c r="DC25" i="3"/>
  <c r="CH71" i="3"/>
  <c r="CH68" i="3"/>
  <c r="CH67" i="3"/>
  <c r="BC118" i="3"/>
  <c r="BC71" i="3"/>
  <c r="BC68" i="3"/>
  <c r="BC67" i="3"/>
  <c r="CN25" i="3"/>
  <c r="DM113" i="3"/>
  <c r="CU71" i="3"/>
  <c r="CU67" i="3"/>
  <c r="CU68" i="3"/>
  <c r="CJ67" i="3"/>
  <c r="CJ71" i="3"/>
  <c r="CJ68" i="3"/>
  <c r="BV71" i="3"/>
  <c r="BV68" i="3"/>
  <c r="BV67" i="3"/>
  <c r="AU113" i="3"/>
  <c r="R71" i="3"/>
  <c r="R68" i="3"/>
  <c r="R67" i="3"/>
  <c r="AD71" i="3"/>
  <c r="AD68" i="3"/>
  <c r="AD67" i="3"/>
  <c r="EE119" i="3"/>
  <c r="EL113" i="3"/>
  <c r="EB113" i="3"/>
  <c r="DL120" i="3"/>
  <c r="CZ71" i="3"/>
  <c r="CZ68" i="3"/>
  <c r="CZ67" i="3"/>
  <c r="CV119" i="3"/>
  <c r="CS113" i="3"/>
  <c r="CA71" i="3"/>
  <c r="CA67" i="3"/>
  <c r="CA68" i="3"/>
  <c r="BL71" i="3"/>
  <c r="BL67" i="3"/>
  <c r="BL68" i="3"/>
  <c r="AV71" i="3"/>
  <c r="AV68" i="3"/>
  <c r="AV67" i="3"/>
  <c r="AK113" i="3"/>
  <c r="AA113" i="3"/>
  <c r="N71" i="3"/>
  <c r="N68" i="3"/>
  <c r="N67" i="3"/>
  <c r="L113" i="3"/>
  <c r="DF71" i="3"/>
  <c r="DF68" i="3"/>
  <c r="DF67" i="3"/>
  <c r="DK67" i="3"/>
  <c r="V25" i="3"/>
  <c r="P118" i="3"/>
  <c r="P67" i="3"/>
  <c r="P71" i="3"/>
  <c r="P68" i="3"/>
  <c r="BT10" i="7"/>
  <c r="BT40" i="7" s="1"/>
  <c r="BT25" i="3"/>
  <c r="BR67" i="3"/>
  <c r="BR71" i="3"/>
  <c r="BR68" i="3"/>
  <c r="BH118" i="3"/>
  <c r="BH71" i="3"/>
  <c r="BH68" i="3"/>
  <c r="BH67" i="3"/>
  <c r="BE25" i="3"/>
  <c r="AU25" i="3"/>
  <c r="CM118" i="3"/>
  <c r="CM71" i="3"/>
  <c r="CM67" i="3"/>
  <c r="CM68" i="3"/>
  <c r="BK118" i="3"/>
  <c r="BK71" i="3"/>
  <c r="BK67" i="3"/>
  <c r="BK68" i="3"/>
  <c r="BI118" i="3"/>
  <c r="BI67" i="3"/>
  <c r="BI68" i="3"/>
  <c r="BI71" i="3"/>
  <c r="U109" i="5"/>
  <c r="BI97" i="5"/>
  <c r="AJ109" i="5"/>
  <c r="T75" i="5"/>
  <c r="T97" i="5"/>
  <c r="BN97" i="5"/>
  <c r="CC94" i="5"/>
  <c r="AN75" i="5"/>
  <c r="P94" i="5"/>
  <c r="AX94" i="5"/>
  <c r="CB94" i="5"/>
  <c r="BC109" i="5"/>
  <c r="N49" i="7"/>
  <c r="I54" i="7"/>
  <c r="I11" i="7"/>
  <c r="X49" i="7"/>
  <c r="X40" i="7"/>
  <c r="AE12" i="7"/>
  <c r="AM36" i="7"/>
  <c r="AM21" i="7"/>
  <c r="BB54" i="7"/>
  <c r="BB21" i="7"/>
  <c r="BQ49" i="7"/>
  <c r="BQ21" i="7"/>
  <c r="H12" i="7"/>
  <c r="DC81" i="3"/>
  <c r="DC95" i="3"/>
  <c r="AP88" i="3"/>
  <c r="BO88" i="3"/>
  <c r="BY88" i="3"/>
  <c r="L81" i="3"/>
  <c r="V81" i="3"/>
  <c r="BE81" i="3"/>
  <c r="DC88" i="3"/>
  <c r="E118" i="3"/>
  <c r="E230" i="3" s="1"/>
  <c r="E232" i="3" s="1"/>
  <c r="E233" i="3" s="1"/>
  <c r="E71" i="3"/>
  <c r="X12" i="7"/>
  <c r="CX81" i="3"/>
  <c r="G95" i="3"/>
  <c r="Q95" i="3"/>
  <c r="AF95" i="3"/>
  <c r="AU95" i="3"/>
  <c r="BJ95" i="3"/>
  <c r="BY95" i="3"/>
  <c r="CN81" i="3"/>
  <c r="Q88" i="3"/>
  <c r="AZ88" i="3"/>
  <c r="CQ119" i="3"/>
  <c r="AS71" i="3"/>
  <c r="AS68" i="3"/>
  <c r="AS67" i="3"/>
  <c r="AL71" i="3"/>
  <c r="AL68" i="3"/>
  <c r="AL67" i="3"/>
  <c r="AA10" i="7"/>
  <c r="AA40" i="7" s="1"/>
  <c r="AA25" i="3"/>
  <c r="CX88" i="3"/>
  <c r="G88" i="3"/>
  <c r="CI88" i="3"/>
  <c r="AP81" i="3"/>
  <c r="BY81" i="3"/>
  <c r="CX95" i="3"/>
  <c r="CY71" i="3"/>
  <c r="CY68" i="3"/>
  <c r="CY67" i="3"/>
  <c r="CS88" i="3"/>
  <c r="CN88" i="3"/>
  <c r="L95" i="3"/>
  <c r="AA95" i="3"/>
  <c r="AP95" i="3"/>
  <c r="BE95" i="3"/>
  <c r="BT95" i="3"/>
  <c r="AK88" i="3"/>
  <c r="BJ88" i="3"/>
  <c r="BT88" i="3"/>
  <c r="CD88" i="3"/>
  <c r="Q81" i="3"/>
  <c r="AA81" i="3"/>
  <c r="CI81" i="3"/>
  <c r="CV68" i="3"/>
  <c r="EA119" i="3"/>
  <c r="EA120" i="3"/>
  <c r="CI57" i="5"/>
  <c r="DG118" i="3"/>
  <c r="DG177" i="3" s="1"/>
  <c r="DG71" i="3"/>
  <c r="DG68" i="3"/>
  <c r="DG67" i="3"/>
  <c r="DI68" i="3"/>
  <c r="DL67" i="3"/>
  <c r="BU118" i="3"/>
  <c r="BU71" i="3"/>
  <c r="BU68" i="3"/>
  <c r="BU67" i="3"/>
  <c r="CC71" i="3"/>
  <c r="CC68" i="3"/>
  <c r="CC67" i="3"/>
  <c r="DZ119" i="3"/>
  <c r="DQ120" i="3"/>
  <c r="DQ119" i="3"/>
  <c r="CN57" i="5"/>
  <c r="BP71" i="3"/>
  <c r="BP68" i="3"/>
  <c r="BP67" i="3"/>
  <c r="BA71" i="3"/>
  <c r="BA68" i="3"/>
  <c r="BA67" i="3"/>
  <c r="BJ10" i="7"/>
  <c r="BJ40" i="7" s="1"/>
  <c r="BJ25" i="3"/>
  <c r="CG71" i="3"/>
  <c r="CG68" i="3"/>
  <c r="CG67" i="3"/>
  <c r="EP120" i="3"/>
  <c r="EP119" i="3"/>
  <c r="DP119" i="3"/>
  <c r="CK71" i="3"/>
  <c r="CK67" i="3"/>
  <c r="CK68" i="3"/>
  <c r="DV120" i="3"/>
  <c r="DV119" i="3"/>
  <c r="CP71" i="3"/>
  <c r="CP67" i="3"/>
  <c r="CP68" i="3"/>
  <c r="F118" i="3"/>
  <c r="F230" i="3" s="1"/>
  <c r="F232" i="3" s="1"/>
  <c r="F233" i="3" s="1"/>
  <c r="F71" i="3"/>
  <c r="AG71" i="3"/>
  <c r="AG67" i="3"/>
  <c r="AG68" i="3"/>
  <c r="AJ71" i="3"/>
  <c r="AJ68" i="3"/>
  <c r="AJ67" i="3"/>
  <c r="CR71" i="3"/>
  <c r="CR68" i="3"/>
  <c r="CR67" i="3"/>
  <c r="BN71" i="3"/>
  <c r="BN68" i="3"/>
  <c r="BN67" i="3"/>
  <c r="W71" i="3"/>
  <c r="W68" i="3"/>
  <c r="W67" i="3"/>
  <c r="CB71" i="3"/>
  <c r="CB68" i="3"/>
  <c r="CB67" i="3"/>
  <c r="U94" i="5"/>
  <c r="AJ78" i="5"/>
  <c r="AH78" i="5"/>
  <c r="BN75" i="5"/>
  <c r="CC75" i="5"/>
  <c r="AD75" i="5"/>
  <c r="AN97" i="5"/>
  <c r="AN109" i="5"/>
  <c r="P78" i="5"/>
  <c r="AX75" i="5"/>
  <c r="BM109" i="5"/>
  <c r="CB109" i="5"/>
  <c r="BC97" i="5"/>
  <c r="I44" i="7"/>
  <c r="I45" i="7" s="1"/>
  <c r="I12" i="7"/>
  <c r="X44" i="7"/>
  <c r="X21" i="7"/>
  <c r="AM12" i="7"/>
  <c r="BB44" i="7"/>
  <c r="BB36" i="7"/>
  <c r="H54" i="7"/>
  <c r="H40" i="7"/>
  <c r="CS95" i="3"/>
  <c r="CI95" i="3"/>
  <c r="L88" i="3"/>
  <c r="V88" i="3"/>
  <c r="AU88" i="3"/>
  <c r="CL68" i="3"/>
  <c r="AK81" i="3"/>
  <c r="BT81" i="3"/>
  <c r="EJ119" i="3"/>
  <c r="BZ71" i="3"/>
  <c r="BZ68" i="3"/>
  <c r="BZ67" i="3"/>
  <c r="BB71" i="3"/>
  <c r="BB67" i="3"/>
  <c r="BB68" i="3"/>
  <c r="AM71" i="3"/>
  <c r="AM67" i="3"/>
  <c r="AM68" i="3"/>
  <c r="M71" i="3"/>
  <c r="M68" i="3"/>
  <c r="M67" i="3"/>
  <c r="Y118" i="3"/>
  <c r="Y71" i="3"/>
  <c r="Y68" i="3"/>
  <c r="Y67" i="3"/>
  <c r="J118" i="3"/>
  <c r="J71" i="3"/>
  <c r="J67" i="3"/>
  <c r="J68" i="3"/>
  <c r="BS118" i="3"/>
  <c r="BS71" i="3"/>
  <c r="BS67" i="3"/>
  <c r="BS68" i="3"/>
  <c r="EK120" i="3"/>
  <c r="EK119" i="3"/>
  <c r="DE71" i="3"/>
  <c r="DE67" i="3"/>
  <c r="DE68" i="3"/>
  <c r="DJ67" i="3"/>
  <c r="AC71" i="3"/>
  <c r="AC67" i="3"/>
  <c r="AC68" i="3"/>
  <c r="DH25" i="3"/>
  <c r="DM25" i="3"/>
  <c r="AB118" i="3"/>
  <c r="AB71" i="3"/>
  <c r="AB67" i="3"/>
  <c r="AB68" i="3"/>
  <c r="U71" i="3"/>
  <c r="U68" i="3"/>
  <c r="U67" i="3"/>
  <c r="DH113" i="3"/>
  <c r="CS57" i="5"/>
  <c r="CE71" i="3"/>
  <c r="CE68" i="3"/>
  <c r="CE67" i="3"/>
  <c r="AR71" i="3"/>
  <c r="AR68" i="3"/>
  <c r="AR67" i="3"/>
  <c r="AI118" i="3"/>
  <c r="AI71" i="3"/>
  <c r="AI67" i="3"/>
  <c r="AI68" i="3"/>
  <c r="Z71" i="3"/>
  <c r="Z68" i="3"/>
  <c r="Z67" i="3"/>
  <c r="BO25" i="3"/>
  <c r="DB118" i="3"/>
  <c r="DB71" i="3"/>
  <c r="DB67" i="3"/>
  <c r="DB68" i="3"/>
  <c r="EO120" i="3"/>
  <c r="EO119" i="3"/>
  <c r="EF120" i="3"/>
  <c r="EF119" i="3"/>
  <c r="DH46" i="3"/>
  <c r="DM46" i="3"/>
  <c r="CI113" i="3"/>
  <c r="I71" i="3"/>
  <c r="I67" i="3"/>
  <c r="I68" i="3"/>
  <c r="AO118" i="3"/>
  <c r="AO71" i="3"/>
  <c r="AO67" i="3"/>
  <c r="AO68" i="3"/>
  <c r="DU119" i="3"/>
  <c r="DU120" i="3"/>
  <c r="DC57" i="5"/>
  <c r="DC46" i="3"/>
  <c r="CT71" i="3"/>
  <c r="CT68" i="3"/>
  <c r="CT67" i="3"/>
  <c r="CO71" i="3"/>
  <c r="CO67" i="3"/>
  <c r="CO68" i="3"/>
  <c r="CN113" i="3"/>
  <c r="BY113" i="3"/>
  <c r="BO113" i="3"/>
  <c r="BE113" i="3"/>
  <c r="AW71" i="3"/>
  <c r="AW67" i="3"/>
  <c r="AW68" i="3"/>
  <c r="AQ71" i="3"/>
  <c r="AQ68" i="3"/>
  <c r="AQ67" i="3"/>
  <c r="AH67" i="3"/>
  <c r="AH71" i="3"/>
  <c r="AH68" i="3"/>
  <c r="X71" i="3"/>
  <c r="X68" i="3"/>
  <c r="X67" i="3"/>
  <c r="H71" i="3"/>
  <c r="H68" i="3"/>
  <c r="H67" i="3"/>
  <c r="DD71" i="3"/>
  <c r="DD68" i="3"/>
  <c r="DD67" i="3"/>
  <c r="DI67" i="3"/>
  <c r="K71" i="3"/>
  <c r="K67" i="3"/>
  <c r="K68" i="3"/>
  <c r="AT71" i="3"/>
  <c r="AT67" i="3"/>
  <c r="AT68" i="3"/>
  <c r="BD71" i="3"/>
  <c r="BD67" i="3"/>
  <c r="BD68" i="3"/>
  <c r="AZ10" i="7"/>
  <c r="AZ40" i="7" s="1"/>
  <c r="AZ25" i="3"/>
  <c r="AY118" i="3"/>
  <c r="AY71" i="3"/>
  <c r="AY68" i="3"/>
  <c r="AY67" i="3"/>
  <c r="AF25" i="3"/>
  <c r="BX118" i="3"/>
  <c r="BX71" i="3"/>
  <c r="BX67" i="3"/>
  <c r="BX68" i="3"/>
  <c r="AX118" i="3"/>
  <c r="AX71" i="3"/>
  <c r="AX68" i="3"/>
  <c r="AX67" i="3"/>
  <c r="BM71" i="3"/>
  <c r="BM67" i="3"/>
  <c r="BM68" i="3"/>
  <c r="T94" i="5"/>
  <c r="P109" i="5"/>
  <c r="AX78" i="5"/>
  <c r="BM97" i="5"/>
  <c r="CB97" i="5"/>
  <c r="BC78" i="5"/>
  <c r="N54" i="7"/>
  <c r="N40" i="7"/>
  <c r="BL12" i="7"/>
  <c r="BR12" i="7"/>
  <c r="I36" i="7"/>
  <c r="X36" i="7"/>
  <c r="AM44" i="7"/>
  <c r="BB49" i="7"/>
  <c r="BQ36" i="7"/>
  <c r="CN95" i="3"/>
  <c r="DA68" i="3"/>
  <c r="CS81" i="3"/>
  <c r="V95" i="3"/>
  <c r="AK95" i="3"/>
  <c r="AZ95" i="3"/>
  <c r="BO95" i="3"/>
  <c r="CD95" i="3"/>
  <c r="CQ68" i="3"/>
  <c r="AF88" i="3"/>
  <c r="BE88" i="3"/>
  <c r="G81" i="3"/>
  <c r="AU81" i="3"/>
  <c r="CD81" i="3"/>
  <c r="DH81" i="3"/>
  <c r="DH95" i="3"/>
  <c r="DD75" i="5"/>
  <c r="DD94" i="5"/>
  <c r="DD78" i="5"/>
  <c r="DD97" i="5"/>
  <c r="DH10" i="7"/>
  <c r="AK56" i="5"/>
  <c r="AK10" i="7"/>
  <c r="BO56" i="5"/>
  <c r="BO10" i="7"/>
  <c r="AF10" i="7"/>
  <c r="M40" i="7"/>
  <c r="M29" i="7"/>
  <c r="M12" i="7"/>
  <c r="M28" i="7"/>
  <c r="M21" i="7"/>
  <c r="M11" i="7"/>
  <c r="M36" i="7"/>
  <c r="M49" i="7"/>
  <c r="M54" i="7"/>
  <c r="M44" i="7"/>
  <c r="J40" i="7"/>
  <c r="J21" i="7"/>
  <c r="J29" i="7"/>
  <c r="J11" i="7"/>
  <c r="J28" i="7"/>
  <c r="J12" i="7"/>
  <c r="J54" i="7"/>
  <c r="J49" i="7"/>
  <c r="J36" i="7"/>
  <c r="J44" i="7"/>
  <c r="AD40" i="7"/>
  <c r="AD29" i="7"/>
  <c r="AD21" i="7"/>
  <c r="AD12" i="7"/>
  <c r="AD28" i="7"/>
  <c r="AD11" i="7"/>
  <c r="AD36" i="7"/>
  <c r="AD49" i="7"/>
  <c r="AD54" i="7"/>
  <c r="AD44" i="7"/>
  <c r="BY10" i="7"/>
  <c r="DD40" i="7"/>
  <c r="DD21" i="7"/>
  <c r="DD29" i="7"/>
  <c r="DD11" i="7"/>
  <c r="DD28" i="7"/>
  <c r="DD12" i="7"/>
  <c r="DD54" i="7"/>
  <c r="DD49" i="7"/>
  <c r="DD44" i="7"/>
  <c r="DD36" i="7"/>
  <c r="DE12" i="7"/>
  <c r="DI11" i="7"/>
  <c r="AH40" i="7"/>
  <c r="AH11" i="7"/>
  <c r="AH21" i="7"/>
  <c r="AH12" i="7"/>
  <c r="AH29" i="7"/>
  <c r="AH28" i="7"/>
  <c r="AH54" i="7"/>
  <c r="AH49" i="7"/>
  <c r="AH36" i="7"/>
  <c r="AH44" i="7"/>
  <c r="BS40" i="7"/>
  <c r="BS21" i="7"/>
  <c r="BS29" i="7"/>
  <c r="BS11" i="7"/>
  <c r="BS12" i="7"/>
  <c r="BS28" i="7"/>
  <c r="BS49" i="7"/>
  <c r="BS54" i="7"/>
  <c r="BS36" i="7"/>
  <c r="BS44" i="7"/>
  <c r="P40" i="7"/>
  <c r="P29" i="7"/>
  <c r="P28" i="7"/>
  <c r="P11" i="7"/>
  <c r="P21" i="7"/>
  <c r="P12" i="7"/>
  <c r="P54" i="7"/>
  <c r="P49" i="7"/>
  <c r="P36" i="7"/>
  <c r="P44" i="7"/>
  <c r="BV40" i="7"/>
  <c r="BV29" i="7"/>
  <c r="BV11" i="7"/>
  <c r="BV12" i="7"/>
  <c r="BV28" i="7"/>
  <c r="BV21" i="7"/>
  <c r="BV54" i="7"/>
  <c r="BV49" i="7"/>
  <c r="BV36" i="7"/>
  <c r="BV44" i="7"/>
  <c r="T40" i="7"/>
  <c r="T11" i="7"/>
  <c r="T21" i="7"/>
  <c r="T29" i="7"/>
  <c r="T28" i="7"/>
  <c r="T12" i="7"/>
  <c r="T49" i="7"/>
  <c r="T54" i="7"/>
  <c r="Y55" i="7" s="1"/>
  <c r="T36" i="7"/>
  <c r="T44" i="7"/>
  <c r="AX40" i="7"/>
  <c r="AX29" i="7"/>
  <c r="AX12" i="7"/>
  <c r="AX11" i="7"/>
  <c r="AX21" i="7"/>
  <c r="AX28" i="7"/>
  <c r="AX54" i="7"/>
  <c r="AX49" i="7"/>
  <c r="AX36" i="7"/>
  <c r="AX44" i="7"/>
  <c r="BM40" i="7"/>
  <c r="BM21" i="7"/>
  <c r="BM29" i="7"/>
  <c r="BM28" i="7"/>
  <c r="BM12" i="7"/>
  <c r="BM11" i="7"/>
  <c r="BM36" i="7"/>
  <c r="BM49" i="7"/>
  <c r="BM54" i="7"/>
  <c r="BM44" i="7"/>
  <c r="CB40" i="7"/>
  <c r="CB21" i="7"/>
  <c r="CB11" i="7"/>
  <c r="CB29" i="7"/>
  <c r="CG11" i="7"/>
  <c r="CB28" i="7"/>
  <c r="CB12" i="7"/>
  <c r="CB54" i="7"/>
  <c r="CB49" i="7"/>
  <c r="CB36" i="7"/>
  <c r="CB44" i="7"/>
  <c r="AN40" i="7"/>
  <c r="AN28" i="7"/>
  <c r="AN21" i="7"/>
  <c r="AN11" i="7"/>
  <c r="AN29" i="7"/>
  <c r="AN12" i="7"/>
  <c r="AN54" i="7"/>
  <c r="AN49" i="7"/>
  <c r="AN36" i="7"/>
  <c r="AN44" i="7"/>
  <c r="BC40" i="7"/>
  <c r="BC11" i="7"/>
  <c r="BC21" i="7"/>
  <c r="BC29" i="7"/>
  <c r="BC28" i="7"/>
  <c r="BC12" i="7"/>
  <c r="BC36" i="7"/>
  <c r="BC54" i="7"/>
  <c r="BC49" i="7"/>
  <c r="BC44" i="7"/>
  <c r="O40" i="7"/>
  <c r="O21" i="7"/>
  <c r="O12" i="7"/>
  <c r="O29" i="7"/>
  <c r="O11" i="7"/>
  <c r="O28" i="7"/>
  <c r="O49" i="7"/>
  <c r="O54" i="7"/>
  <c r="O36" i="7"/>
  <c r="O44" i="7"/>
  <c r="CX10" i="7"/>
  <c r="CI10" i="7"/>
  <c r="CD10" i="7"/>
  <c r="AU56" i="5"/>
  <c r="AU10" i="7"/>
  <c r="U40" i="7"/>
  <c r="U12" i="7"/>
  <c r="U21" i="7"/>
  <c r="U29" i="7"/>
  <c r="U11" i="7"/>
  <c r="U28" i="7"/>
  <c r="U49" i="7"/>
  <c r="U54" i="7"/>
  <c r="U36" i="7"/>
  <c r="U44" i="7"/>
  <c r="AJ40" i="7"/>
  <c r="AJ11" i="7"/>
  <c r="AJ12" i="7"/>
  <c r="AJ21" i="7"/>
  <c r="AJ28" i="7"/>
  <c r="AJ29" i="7"/>
  <c r="AJ54" i="7"/>
  <c r="AL56" i="7" s="1"/>
  <c r="AJ36" i="7"/>
  <c r="AJ49" i="7"/>
  <c r="AJ44" i="7"/>
  <c r="K40" i="7"/>
  <c r="K21" i="7"/>
  <c r="K29" i="7"/>
  <c r="K28" i="7"/>
  <c r="K12" i="7"/>
  <c r="K11" i="7"/>
  <c r="K36" i="7"/>
  <c r="K49" i="7"/>
  <c r="K54" i="7"/>
  <c r="K44" i="7"/>
  <c r="AO11" i="7"/>
  <c r="R11" i="7"/>
  <c r="AM11" i="7"/>
  <c r="AT40" i="7"/>
  <c r="AT12" i="7"/>
  <c r="AT11" i="7"/>
  <c r="AT21" i="7"/>
  <c r="AT29" i="7"/>
  <c r="AT28" i="7"/>
  <c r="AT49" i="7"/>
  <c r="AT54" i="7"/>
  <c r="AT36" i="7"/>
  <c r="AT44" i="7"/>
  <c r="BI40" i="7"/>
  <c r="BI21" i="7"/>
  <c r="BI29" i="7"/>
  <c r="BI28" i="7"/>
  <c r="BI11" i="7"/>
  <c r="BI12" i="7"/>
  <c r="BI49" i="7"/>
  <c r="BI36" i="7"/>
  <c r="BI54" i="7"/>
  <c r="BI44" i="7"/>
  <c r="AP10" i="7"/>
  <c r="BE10" i="7"/>
  <c r="N12" i="7"/>
  <c r="AY12" i="7"/>
  <c r="CC40" i="7"/>
  <c r="CC11" i="7"/>
  <c r="CC29" i="7"/>
  <c r="CH11" i="7"/>
  <c r="CC12" i="7"/>
  <c r="CE12" i="7"/>
  <c r="CC21" i="7"/>
  <c r="CC28" i="7"/>
  <c r="CC54" i="7"/>
  <c r="CC49" i="7"/>
  <c r="CC36" i="7"/>
  <c r="CC44" i="7"/>
  <c r="E40" i="7"/>
  <c r="E44" i="7"/>
  <c r="E49" i="7"/>
  <c r="E54" i="7"/>
  <c r="E29" i="7"/>
  <c r="E21" i="7"/>
  <c r="E36" i="7"/>
  <c r="AB40" i="7"/>
  <c r="AB29" i="7"/>
  <c r="AB28" i="7"/>
  <c r="AB21" i="7"/>
  <c r="AB12" i="7"/>
  <c r="AB11" i="7"/>
  <c r="AB54" i="7"/>
  <c r="AB49" i="7"/>
  <c r="AB36" i="7"/>
  <c r="AB44" i="7"/>
  <c r="AI12" i="7"/>
  <c r="Z11" i="7"/>
  <c r="AO12" i="7"/>
  <c r="CA40" i="7"/>
  <c r="CA29" i="7"/>
  <c r="CA21" i="7"/>
  <c r="CF11" i="7"/>
  <c r="CA12" i="7"/>
  <c r="CA28" i="7"/>
  <c r="CA11" i="7"/>
  <c r="CA54" i="7"/>
  <c r="CA49" i="7"/>
  <c r="CA36" i="7"/>
  <c r="CA44" i="7"/>
  <c r="Y11" i="7"/>
  <c r="AG11" i="7"/>
  <c r="AV12" i="7"/>
  <c r="BK40" i="7"/>
  <c r="BK11" i="7"/>
  <c r="BK12" i="7"/>
  <c r="BK21" i="7"/>
  <c r="BK28" i="7"/>
  <c r="BK29" i="7"/>
  <c r="BK49" i="7"/>
  <c r="BK54" i="7"/>
  <c r="BL56" i="7" s="1"/>
  <c r="BK36" i="7"/>
  <c r="BK44" i="7"/>
  <c r="BX40" i="7"/>
  <c r="BX11" i="7"/>
  <c r="BX21" i="7"/>
  <c r="BX12" i="7"/>
  <c r="BX29" i="7"/>
  <c r="BX28" i="7"/>
  <c r="BX54" i="7"/>
  <c r="BX49" i="7"/>
  <c r="BX36" i="7"/>
  <c r="BX44" i="7"/>
  <c r="W40" i="7"/>
  <c r="W21" i="7"/>
  <c r="W29" i="7"/>
  <c r="W28" i="7"/>
  <c r="W12" i="7"/>
  <c r="W11" i="7"/>
  <c r="W54" i="7"/>
  <c r="W49" i="7"/>
  <c r="W36" i="7"/>
  <c r="W44" i="7"/>
  <c r="AL12" i="7"/>
  <c r="DH57" i="5"/>
  <c r="V10" i="7"/>
  <c r="CS10" i="7"/>
  <c r="DC10" i="7"/>
  <c r="CN10" i="7"/>
  <c r="BN40" i="7"/>
  <c r="BN29" i="7"/>
  <c r="BN21" i="7"/>
  <c r="BN28" i="7"/>
  <c r="BN11" i="7"/>
  <c r="BN12" i="7"/>
  <c r="BN54" i="7"/>
  <c r="BN36" i="7"/>
  <c r="BN49" i="7"/>
  <c r="BN44" i="7"/>
  <c r="BU40" i="7"/>
  <c r="BU28" i="7"/>
  <c r="BU21" i="7"/>
  <c r="BU29" i="7"/>
  <c r="BU12" i="7"/>
  <c r="BU11" i="7"/>
  <c r="BU54" i="7"/>
  <c r="BU49" i="7"/>
  <c r="BU36" i="7"/>
  <c r="BU44" i="7"/>
  <c r="BR11" i="7"/>
  <c r="BZ40" i="7"/>
  <c r="BZ29" i="7"/>
  <c r="BZ21" i="7"/>
  <c r="CE11" i="7"/>
  <c r="BZ12" i="7"/>
  <c r="BZ28" i="7"/>
  <c r="BZ11" i="7"/>
  <c r="BZ54" i="7"/>
  <c r="BZ49" i="7"/>
  <c r="BZ36" i="7"/>
  <c r="BZ44" i="7"/>
  <c r="BW40" i="7"/>
  <c r="BW12" i="7"/>
  <c r="BW29" i="7"/>
  <c r="BW21" i="7"/>
  <c r="BW11" i="7"/>
  <c r="BW28" i="7"/>
  <c r="BW54" i="7"/>
  <c r="BW36" i="7"/>
  <c r="BW49" i="7"/>
  <c r="BW44" i="7"/>
  <c r="DH56" i="5"/>
  <c r="DH56" i="15"/>
  <c r="DH56" i="14"/>
  <c r="DH56" i="17"/>
  <c r="DC56" i="17"/>
  <c r="DC56" i="14"/>
  <c r="DC56" i="15"/>
  <c r="AD118" i="3"/>
  <c r="CB118" i="3"/>
  <c r="BM118" i="3"/>
  <c r="BR118" i="3"/>
  <c r="AN118" i="3"/>
  <c r="DF118" i="3"/>
  <c r="DF177" i="3" s="1"/>
  <c r="AJ118" i="3"/>
  <c r="DD118" i="3"/>
  <c r="DD177" i="3" s="1"/>
  <c r="CX56" i="5"/>
  <c r="BJ56" i="5"/>
  <c r="I109" i="5"/>
  <c r="I97" i="5"/>
  <c r="I94" i="5"/>
  <c r="I78" i="5"/>
  <c r="I75" i="5"/>
  <c r="Q56" i="5"/>
  <c r="AG109" i="5"/>
  <c r="AG97" i="5"/>
  <c r="AG78" i="5"/>
  <c r="AG75" i="5"/>
  <c r="AG94" i="5"/>
  <c r="AW109" i="5"/>
  <c r="AW94" i="5"/>
  <c r="AW97" i="5"/>
  <c r="AW75" i="5"/>
  <c r="AW78" i="5"/>
  <c r="U118" i="3"/>
  <c r="O118" i="3"/>
  <c r="BT56" i="5"/>
  <c r="CI56" i="5"/>
  <c r="E97" i="5"/>
  <c r="E109" i="5"/>
  <c r="E75" i="5"/>
  <c r="E78" i="5"/>
  <c r="E94" i="5"/>
  <c r="BP97" i="5"/>
  <c r="BP78" i="5"/>
  <c r="BP109" i="5"/>
  <c r="BP75" i="5"/>
  <c r="BP94" i="5"/>
  <c r="S94" i="5"/>
  <c r="S109" i="5"/>
  <c r="S75" i="5"/>
  <c r="S78" i="5"/>
  <c r="S97" i="5"/>
  <c r="Z94" i="5"/>
  <c r="Z78" i="5"/>
  <c r="Z75" i="5"/>
  <c r="Z97" i="5"/>
  <c r="Z109" i="5"/>
  <c r="AQ97" i="5"/>
  <c r="AQ109" i="5"/>
  <c r="AQ94" i="5"/>
  <c r="AQ75" i="5"/>
  <c r="AQ78" i="5"/>
  <c r="BF109" i="5"/>
  <c r="BF78" i="5"/>
  <c r="BF97" i="5"/>
  <c r="BF75" i="5"/>
  <c r="BF94" i="5"/>
  <c r="N109" i="5"/>
  <c r="N94" i="5"/>
  <c r="N78" i="5"/>
  <c r="N75" i="5"/>
  <c r="N97" i="5"/>
  <c r="AA56" i="5"/>
  <c r="R109" i="5"/>
  <c r="R94" i="5"/>
  <c r="R97" i="5"/>
  <c r="R78" i="5"/>
  <c r="R75" i="5"/>
  <c r="AO94" i="5"/>
  <c r="AO97" i="5"/>
  <c r="AO109" i="5"/>
  <c r="AO75" i="5"/>
  <c r="AO78" i="5"/>
  <c r="AS109" i="5"/>
  <c r="AS94" i="5"/>
  <c r="AS78" i="5"/>
  <c r="AS75" i="5"/>
  <c r="AS97" i="5"/>
  <c r="BG94" i="5"/>
  <c r="BG97" i="5"/>
  <c r="BG75" i="5"/>
  <c r="BG109" i="5"/>
  <c r="BG78" i="5"/>
  <c r="BN118" i="3"/>
  <c r="V56" i="5"/>
  <c r="AZ56" i="5"/>
  <c r="CD56" i="5"/>
  <c r="AI94" i="5"/>
  <c r="AI97" i="5"/>
  <c r="AI109" i="5"/>
  <c r="AI75" i="5"/>
  <c r="AI78" i="5"/>
  <c r="BQ109" i="5"/>
  <c r="BQ94" i="5"/>
  <c r="BQ97" i="5"/>
  <c r="BQ78" i="5"/>
  <c r="BQ75" i="5"/>
  <c r="BW109" i="5"/>
  <c r="BW78" i="5"/>
  <c r="BW75" i="5"/>
  <c r="BW97" i="5"/>
  <c r="BW94" i="5"/>
  <c r="CA109" i="5"/>
  <c r="CA94" i="5"/>
  <c r="CA97" i="5"/>
  <c r="CA75" i="5"/>
  <c r="CA78" i="5"/>
  <c r="AM109" i="5"/>
  <c r="AM97" i="5"/>
  <c r="AM94" i="5"/>
  <c r="AM78" i="5"/>
  <c r="AM75" i="5"/>
  <c r="BA94" i="5"/>
  <c r="BA97" i="5"/>
  <c r="BA109" i="5"/>
  <c r="BA75" i="5"/>
  <c r="BA78" i="5"/>
  <c r="AR97" i="5"/>
  <c r="AR109" i="5"/>
  <c r="AR78" i="5"/>
  <c r="AR75" i="5"/>
  <c r="AR94" i="5"/>
  <c r="BR97" i="5"/>
  <c r="BR94" i="5"/>
  <c r="BR109" i="5"/>
  <c r="BR78" i="5"/>
  <c r="BR75" i="5"/>
  <c r="BD78" i="5"/>
  <c r="BD94" i="5"/>
  <c r="BD97" i="5"/>
  <c r="BD109" i="5"/>
  <c r="BD75" i="5"/>
  <c r="CN56" i="5"/>
  <c r="C97" i="5"/>
  <c r="C109" i="5"/>
  <c r="C78" i="5"/>
  <c r="C94" i="5"/>
  <c r="C75" i="5"/>
  <c r="M109" i="5"/>
  <c r="M94" i="5"/>
  <c r="M97" i="5"/>
  <c r="M75" i="5"/>
  <c r="M78" i="5"/>
  <c r="AF56" i="5"/>
  <c r="BL97" i="5"/>
  <c r="BL109" i="5"/>
  <c r="BL78" i="5"/>
  <c r="BL75" i="5"/>
  <c r="BL94" i="5"/>
  <c r="X109" i="5"/>
  <c r="X94" i="5"/>
  <c r="X97" i="5"/>
  <c r="X75" i="5"/>
  <c r="X78" i="5"/>
  <c r="H78" i="5"/>
  <c r="H75" i="5"/>
  <c r="H94" i="5"/>
  <c r="H97" i="5"/>
  <c r="H109" i="5"/>
  <c r="W118" i="3"/>
  <c r="AP56" i="5"/>
  <c r="CS56" i="5"/>
  <c r="DC56" i="5"/>
  <c r="L56" i="5"/>
  <c r="BB97" i="5"/>
  <c r="BB78" i="5"/>
  <c r="BB109" i="5"/>
  <c r="BB94" i="5"/>
  <c r="BB75" i="5"/>
  <c r="Y109" i="5"/>
  <c r="Y94" i="5"/>
  <c r="Y97" i="5"/>
  <c r="Y75" i="5"/>
  <c r="Y78" i="5"/>
  <c r="AE109" i="5"/>
  <c r="AE97" i="5"/>
  <c r="AE75" i="5"/>
  <c r="AE94" i="5"/>
  <c r="AE78" i="5"/>
  <c r="AV97" i="5"/>
  <c r="AV94" i="5"/>
  <c r="AV75" i="5"/>
  <c r="AV78" i="5"/>
  <c r="AV109" i="5"/>
  <c r="BZ97" i="5"/>
  <c r="BZ94" i="5"/>
  <c r="BZ109" i="5"/>
  <c r="BZ75" i="5"/>
  <c r="BZ78" i="5"/>
  <c r="D97" i="5"/>
  <c r="D78" i="5"/>
  <c r="D94" i="5"/>
  <c r="D109" i="5"/>
  <c r="D75" i="5"/>
  <c r="T118" i="3"/>
  <c r="BY56" i="5"/>
  <c r="BE56" i="5"/>
  <c r="G56" i="5"/>
  <c r="G151" i="5" s="1"/>
  <c r="W94" i="5"/>
  <c r="W97" i="5"/>
  <c r="W109" i="5"/>
  <c r="W75" i="5"/>
  <c r="W78" i="5"/>
  <c r="AL109" i="5"/>
  <c r="AL78" i="5"/>
  <c r="AL94" i="5"/>
  <c r="AL97" i="5"/>
  <c r="AL75" i="5"/>
  <c r="AC94" i="5"/>
  <c r="AC97" i="5"/>
  <c r="AC109" i="5"/>
  <c r="AC75" i="5"/>
  <c r="AC78" i="5"/>
  <c r="BH94" i="5"/>
  <c r="BH109" i="5"/>
  <c r="BH97" i="5"/>
  <c r="BH75" i="5"/>
  <c r="BH78" i="5"/>
  <c r="AY109" i="5"/>
  <c r="AY78" i="5"/>
  <c r="AY75" i="5"/>
  <c r="AY94" i="5"/>
  <c r="AY97" i="5"/>
  <c r="BV94" i="5"/>
  <c r="BV78" i="5"/>
  <c r="BV75" i="5"/>
  <c r="BV97" i="5"/>
  <c r="BV109" i="5"/>
  <c r="F94" i="5"/>
  <c r="F109" i="5"/>
  <c r="F97" i="5"/>
  <c r="F75" i="5"/>
  <c r="F78" i="5"/>
  <c r="CR118" i="3"/>
  <c r="BY66" i="3"/>
  <c r="Z118" i="3"/>
  <c r="CG118" i="3"/>
  <c r="CH118" i="3"/>
  <c r="AT118" i="3"/>
  <c r="AG118" i="3"/>
  <c r="BD118" i="3"/>
  <c r="AK66" i="3"/>
  <c r="K118" i="3"/>
  <c r="EO134" i="3"/>
  <c r="EN134" i="3"/>
  <c r="EP134" i="3"/>
  <c r="EM118" i="3"/>
  <c r="ER118" i="3"/>
  <c r="ER177" i="3" s="1"/>
  <c r="C118" i="3"/>
  <c r="C230" i="3" s="1"/>
  <c r="C232" i="3" s="1"/>
  <c r="C233" i="3" s="1"/>
  <c r="G66" i="3"/>
  <c r="G71" i="3" s="1"/>
  <c r="D118" i="3"/>
  <c r="D230" i="3" s="1"/>
  <c r="D232" i="3" s="1"/>
  <c r="D233" i="3" s="1"/>
  <c r="H118" i="3"/>
  <c r="L66" i="3"/>
  <c r="I118" i="3"/>
  <c r="N118" i="3"/>
  <c r="M118" i="3"/>
  <c r="Q66" i="3"/>
  <c r="R118" i="3"/>
  <c r="V66" i="3"/>
  <c r="S118" i="3"/>
  <c r="X118" i="3"/>
  <c r="AA66" i="3"/>
  <c r="AC118" i="3"/>
  <c r="AF66" i="3"/>
  <c r="AH118" i="3"/>
  <c r="AL118" i="3"/>
  <c r="AP66" i="3"/>
  <c r="AM118" i="3"/>
  <c r="AS118" i="3"/>
  <c r="AQ118" i="3"/>
  <c r="AU66" i="3"/>
  <c r="AR118" i="3"/>
  <c r="AV118" i="3"/>
  <c r="AZ66" i="3"/>
  <c r="AW118" i="3"/>
  <c r="BA118" i="3"/>
  <c r="BE66" i="3"/>
  <c r="BB118" i="3"/>
  <c r="BF118" i="3"/>
  <c r="BJ66" i="3"/>
  <c r="BG118" i="3"/>
  <c r="BL118" i="3"/>
  <c r="BO66" i="3"/>
  <c r="BP118" i="3"/>
  <c r="BT66" i="3"/>
  <c r="BQ118" i="3"/>
  <c r="BV118" i="3"/>
  <c r="CA118" i="3"/>
  <c r="BZ118" i="3"/>
  <c r="CD66" i="3"/>
  <c r="CF118" i="3"/>
  <c r="CE118" i="3"/>
  <c r="CI66" i="3"/>
  <c r="CJ118" i="3"/>
  <c r="CN66" i="3"/>
  <c r="CK118" i="3"/>
  <c r="CK230" i="3" s="1"/>
  <c r="CK232" i="3" s="1"/>
  <c r="CL134" i="3"/>
  <c r="CL123" i="3"/>
  <c r="CQ134" i="3"/>
  <c r="CQ123" i="3"/>
  <c r="CP118" i="3"/>
  <c r="CO118" i="3"/>
  <c r="CS66" i="3"/>
  <c r="CU118" i="3"/>
  <c r="CU230" i="3" s="1"/>
  <c r="CU232" i="3" s="1"/>
  <c r="CT118" i="3"/>
  <c r="CX66" i="3"/>
  <c r="CV134" i="3"/>
  <c r="CV123" i="3"/>
  <c r="CY118" i="3"/>
  <c r="DC66" i="3"/>
  <c r="CZ118" i="3"/>
  <c r="DA134" i="3"/>
  <c r="DA123" i="3"/>
  <c r="DE118" i="3"/>
  <c r="DH66" i="3"/>
  <c r="DK134" i="3"/>
  <c r="DK123" i="3"/>
  <c r="DI134" i="3"/>
  <c r="DI123" i="3"/>
  <c r="DL134" i="3"/>
  <c r="DL123" i="3"/>
  <c r="DJ118" i="3"/>
  <c r="DJ177" i="3" s="1"/>
  <c r="DN118" i="3"/>
  <c r="DO118" i="3"/>
  <c r="DO177" i="3" s="1"/>
  <c r="DP134" i="3"/>
  <c r="DP123" i="3"/>
  <c r="DQ134" i="3"/>
  <c r="DQ123" i="3"/>
  <c r="DV134" i="3"/>
  <c r="DV123" i="3"/>
  <c r="DS118" i="3"/>
  <c r="DT134" i="3"/>
  <c r="DT123" i="3"/>
  <c r="DU134" i="3"/>
  <c r="DU123" i="3"/>
  <c r="EA134" i="3"/>
  <c r="EA123" i="3"/>
  <c r="DZ134" i="3"/>
  <c r="DZ123" i="3"/>
  <c r="DX118" i="3"/>
  <c r="DY118" i="3"/>
  <c r="DY177" i="3" s="1"/>
  <c r="ED118" i="3"/>
  <c r="EC118" i="3"/>
  <c r="EE134" i="3"/>
  <c r="EE123" i="3"/>
  <c r="EF134" i="3"/>
  <c r="EF123" i="3"/>
  <c r="EH118" i="3"/>
  <c r="EJ134" i="3"/>
  <c r="EJ123" i="3"/>
  <c r="EI118" i="3"/>
  <c r="EI177" i="3" s="1"/>
  <c r="EK134" i="3"/>
  <c r="EK123" i="3"/>
  <c r="EO123" i="3"/>
  <c r="EP123" i="3"/>
  <c r="EU124" i="3" s="1"/>
  <c r="EN123" i="3"/>
  <c r="EE124" i="3" l="1"/>
  <c r="DP233" i="3"/>
  <c r="DA233" i="3"/>
  <c r="DB230" i="3"/>
  <c r="DB232" i="3" s="1"/>
  <c r="DB177" i="3"/>
  <c r="DB178" i="3" s="1"/>
  <c r="CY230" i="3"/>
  <c r="CY232" i="3" s="1"/>
  <c r="CY177" i="3"/>
  <c r="DV178" i="3"/>
  <c r="CZ230" i="3"/>
  <c r="CZ232" i="3" s="1"/>
  <c r="CZ233" i="3" s="1"/>
  <c r="CZ177" i="3"/>
  <c r="DE230" i="3"/>
  <c r="DE232" i="3" s="1"/>
  <c r="DE177" i="3"/>
  <c r="EF233" i="3"/>
  <c r="EE233" i="3"/>
  <c r="DU233" i="3"/>
  <c r="EO233" i="3"/>
  <c r="EC230" i="3"/>
  <c r="EC232" i="3" s="1"/>
  <c r="EC177" i="3"/>
  <c r="DN230" i="3"/>
  <c r="DN232" i="3" s="1"/>
  <c r="DN233" i="3" s="1"/>
  <c r="DN177" i="3"/>
  <c r="DN178" i="3" s="1"/>
  <c r="DZ233" i="3"/>
  <c r="EA233" i="3"/>
  <c r="EH230" i="3"/>
  <c r="EH232" i="3" s="1"/>
  <c r="EH177" i="3"/>
  <c r="DX230" i="3"/>
  <c r="DX232" i="3" s="1"/>
  <c r="DX177" i="3"/>
  <c r="DS230" i="3"/>
  <c r="DS232" i="3" s="1"/>
  <c r="DS177" i="3"/>
  <c r="EM230" i="3"/>
  <c r="EM232" i="3" s="1"/>
  <c r="EM177" i="3"/>
  <c r="ED230" i="3"/>
  <c r="ED232" i="3" s="1"/>
  <c r="ED177" i="3"/>
  <c r="BE143" i="5"/>
  <c r="CI143" i="5"/>
  <c r="L151" i="5"/>
  <c r="BT143" i="5"/>
  <c r="BO143" i="5"/>
  <c r="BY143" i="5"/>
  <c r="DC143" i="5"/>
  <c r="CN143" i="5"/>
  <c r="V151" i="5"/>
  <c r="Q151" i="5"/>
  <c r="BJ143" i="5"/>
  <c r="CD143" i="5"/>
  <c r="CS143" i="5"/>
  <c r="CX143" i="5"/>
  <c r="EK124" i="3"/>
  <c r="DH143" i="5"/>
  <c r="ER230" i="3"/>
  <c r="ER232" i="3" s="1"/>
  <c r="EW119" i="3"/>
  <c r="EW121" i="3"/>
  <c r="EE178" i="3"/>
  <c r="EP178" i="3"/>
  <c r="EP233" i="3"/>
  <c r="BT36" i="8"/>
  <c r="DU178" i="3"/>
  <c r="AC230" i="3"/>
  <c r="AC232" i="3" s="1"/>
  <c r="M230" i="3"/>
  <c r="M232" i="3" s="1"/>
  <c r="BI230" i="3"/>
  <c r="BI232" i="3" s="1"/>
  <c r="BV230" i="3"/>
  <c r="BV232" i="3" s="1"/>
  <c r="AD230" i="3"/>
  <c r="AD232" i="3" s="1"/>
  <c r="AJ230" i="3"/>
  <c r="AJ232" i="3" s="1"/>
  <c r="CQ233" i="3"/>
  <c r="AV230" i="3"/>
  <c r="AV232" i="3" s="1"/>
  <c r="K230" i="3"/>
  <c r="K232" i="3" s="1"/>
  <c r="AN230" i="3"/>
  <c r="AN232" i="3" s="1"/>
  <c r="AO230" i="3"/>
  <c r="AO232" i="3" s="1"/>
  <c r="CO230" i="3"/>
  <c r="CO232" i="3" s="1"/>
  <c r="BP230" i="3"/>
  <c r="BP232" i="3" s="1"/>
  <c r="BB230" i="3"/>
  <c r="BB232" i="3" s="1"/>
  <c r="AR230" i="3"/>
  <c r="AR232" i="3" s="1"/>
  <c r="AL230" i="3"/>
  <c r="AL232" i="3" s="1"/>
  <c r="S230" i="3"/>
  <c r="S232" i="3" s="1"/>
  <c r="I230" i="3"/>
  <c r="I232" i="3" s="1"/>
  <c r="Z230" i="3"/>
  <c r="Z232" i="3" s="1"/>
  <c r="T230" i="3"/>
  <c r="T232" i="3" s="1"/>
  <c r="BR230" i="3"/>
  <c r="BR232" i="3" s="1"/>
  <c r="BX230" i="3"/>
  <c r="BX232" i="3" s="1"/>
  <c r="AB230" i="3"/>
  <c r="AB232" i="3" s="1"/>
  <c r="BU230" i="3"/>
  <c r="BU232" i="3" s="1"/>
  <c r="DL178" i="3"/>
  <c r="DG230" i="3"/>
  <c r="DG232" i="3" s="1"/>
  <c r="CM230" i="3"/>
  <c r="CM232" i="3" s="1"/>
  <c r="BH230" i="3"/>
  <c r="BH232" i="3" s="1"/>
  <c r="BC230" i="3"/>
  <c r="BC232" i="3" s="1"/>
  <c r="CW230" i="3"/>
  <c r="CW232" i="3" s="1"/>
  <c r="AE230" i="3"/>
  <c r="AE232" i="3" s="1"/>
  <c r="BW230" i="3"/>
  <c r="BW232" i="3" s="1"/>
  <c r="CT230" i="3"/>
  <c r="CT232" i="3" s="1"/>
  <c r="BG230" i="3"/>
  <c r="BG232" i="3" s="1"/>
  <c r="AS230" i="3"/>
  <c r="AS232" i="3" s="1"/>
  <c r="AT230" i="3"/>
  <c r="AT232" i="3" s="1"/>
  <c r="BS230" i="3"/>
  <c r="BS232" i="3" s="1"/>
  <c r="P230" i="3"/>
  <c r="P232" i="3" s="1"/>
  <c r="CV233" i="3"/>
  <c r="BQ230" i="3"/>
  <c r="BQ232" i="3" s="1"/>
  <c r="AM230" i="3"/>
  <c r="AM232" i="3" s="1"/>
  <c r="U230" i="3"/>
  <c r="U232" i="3" s="1"/>
  <c r="W230" i="3"/>
  <c r="W232" i="3" s="1"/>
  <c r="BN230" i="3"/>
  <c r="BN232" i="3" s="1"/>
  <c r="Y230" i="3"/>
  <c r="Y232" i="3" s="1"/>
  <c r="CP230" i="3"/>
  <c r="CP232" i="3" s="1"/>
  <c r="BZ230" i="3"/>
  <c r="BZ232" i="3" s="1"/>
  <c r="AH230" i="3"/>
  <c r="AH232" i="3" s="1"/>
  <c r="BD230" i="3"/>
  <c r="BD232" i="3" s="1"/>
  <c r="BM230" i="3"/>
  <c r="BM232" i="3" s="1"/>
  <c r="J230" i="3"/>
  <c r="J232" i="3" s="1"/>
  <c r="DY178" i="3"/>
  <c r="DY230" i="3"/>
  <c r="DY232" i="3" s="1"/>
  <c r="AW230" i="3"/>
  <c r="AW232" i="3" s="1"/>
  <c r="O230" i="3"/>
  <c r="O232" i="3" s="1"/>
  <c r="AI230" i="3"/>
  <c r="AI232" i="3" s="1"/>
  <c r="DJ230" i="3"/>
  <c r="DJ232" i="3" s="1"/>
  <c r="CE230" i="3"/>
  <c r="CE232" i="3" s="1"/>
  <c r="CH230" i="3"/>
  <c r="CH232" i="3" s="1"/>
  <c r="DK178" i="3"/>
  <c r="DF230" i="3"/>
  <c r="DF232" i="3" s="1"/>
  <c r="EN178" i="3"/>
  <c r="EI230" i="3"/>
  <c r="EI232" i="3" s="1"/>
  <c r="CF230" i="3"/>
  <c r="CF232" i="3" s="1"/>
  <c r="BF230" i="3"/>
  <c r="BF232" i="3" s="1"/>
  <c r="X230" i="3"/>
  <c r="X232" i="3" s="1"/>
  <c r="N230" i="3"/>
  <c r="N232" i="3" s="1"/>
  <c r="CG230" i="3"/>
  <c r="CG232" i="3" s="1"/>
  <c r="CL233" i="3" s="1"/>
  <c r="AY230" i="3"/>
  <c r="AY232" i="3" s="1"/>
  <c r="DT178" i="3"/>
  <c r="DO230" i="3"/>
  <c r="DO232" i="3" s="1"/>
  <c r="CJ230" i="3"/>
  <c r="CJ232" i="3" s="1"/>
  <c r="CA230" i="3"/>
  <c r="CA232" i="3" s="1"/>
  <c r="BL230" i="3"/>
  <c r="BL232" i="3" s="1"/>
  <c r="BA230" i="3"/>
  <c r="BA232" i="3" s="1"/>
  <c r="AQ230" i="3"/>
  <c r="AQ232" i="3" s="1"/>
  <c r="R230" i="3"/>
  <c r="R232" i="3" s="1"/>
  <c r="H230" i="3"/>
  <c r="H232" i="3" s="1"/>
  <c r="AG230" i="3"/>
  <c r="AG232" i="3" s="1"/>
  <c r="CR230" i="3"/>
  <c r="CR232" i="3" s="1"/>
  <c r="DI178" i="3"/>
  <c r="DD230" i="3"/>
  <c r="DD232" i="3" s="1"/>
  <c r="CB230" i="3"/>
  <c r="CB232" i="3" s="1"/>
  <c r="AX230" i="3"/>
  <c r="AX232" i="3" s="1"/>
  <c r="BK230" i="3"/>
  <c r="BK232" i="3" s="1"/>
  <c r="EF124" i="3"/>
  <c r="EA124" i="3"/>
  <c r="AZ36" i="8"/>
  <c r="CS37" i="8"/>
  <c r="DZ124" i="3"/>
  <c r="EP124" i="3"/>
  <c r="ES124" i="3"/>
  <c r="DU124" i="3"/>
  <c r="EJ124" i="3"/>
  <c r="EO124" i="3"/>
  <c r="DV124" i="3"/>
  <c r="AA36" i="8"/>
  <c r="EA178" i="3"/>
  <c r="DZ178" i="3"/>
  <c r="EK178" i="3"/>
  <c r="EO178" i="3"/>
  <c r="ES178" i="3"/>
  <c r="EJ178" i="3"/>
  <c r="EF178" i="3"/>
  <c r="DQ178" i="3"/>
  <c r="DP178" i="3"/>
  <c r="DA178" i="3"/>
  <c r="DH165" i="3"/>
  <c r="DM165" i="3"/>
  <c r="EW178" i="3"/>
  <c r="EL36" i="8"/>
  <c r="AA37" i="8"/>
  <c r="BO36" i="8"/>
  <c r="AK37" i="8"/>
  <c r="AK36" i="8"/>
  <c r="CS36" i="8"/>
  <c r="BJ37" i="8"/>
  <c r="DM36" i="8"/>
  <c r="AF36" i="8"/>
  <c r="BR55" i="7"/>
  <c r="DH37" i="8"/>
  <c r="DW37" i="8"/>
  <c r="L36" i="8"/>
  <c r="Q36" i="8"/>
  <c r="V36" i="8"/>
  <c r="CI37" i="8"/>
  <c r="DW36" i="8"/>
  <c r="DR36" i="8"/>
  <c r="G36" i="8"/>
  <c r="CN36" i="8"/>
  <c r="DR37" i="8"/>
  <c r="BE36" i="8"/>
  <c r="BJ36" i="8"/>
  <c r="Y46" i="7"/>
  <c r="DP139" i="3"/>
  <c r="DP190" i="3" s="1"/>
  <c r="CV139" i="3"/>
  <c r="EA139" i="3"/>
  <c r="EA190" i="3" s="1"/>
  <c r="DI139" i="3"/>
  <c r="DI190" i="3" s="1"/>
  <c r="DA139" i="3"/>
  <c r="DA190" i="3" s="1"/>
  <c r="EP139" i="3"/>
  <c r="EP190" i="3" s="1"/>
  <c r="DZ122" i="3"/>
  <c r="EN121" i="3"/>
  <c r="DQ139" i="3"/>
  <c r="DQ190" i="3" s="1"/>
  <c r="CL139" i="3"/>
  <c r="DI121" i="3"/>
  <c r="BL41" i="7"/>
  <c r="S51" i="7"/>
  <c r="DK121" i="3"/>
  <c r="Z42" i="7"/>
  <c r="EE139" i="3"/>
  <c r="EE190" i="3" s="1"/>
  <c r="DZ139" i="3"/>
  <c r="DZ190" i="3" s="1"/>
  <c r="DT139" i="3"/>
  <c r="DT190" i="3" s="1"/>
  <c r="DL139" i="3"/>
  <c r="DL190" i="3" s="1"/>
  <c r="S50" i="7"/>
  <c r="AS51" i="7"/>
  <c r="EJ139" i="3"/>
  <c r="EJ190" i="3" s="1"/>
  <c r="DV139" i="3"/>
  <c r="DV190" i="3" s="1"/>
  <c r="CQ139" i="3"/>
  <c r="EN139" i="3"/>
  <c r="EN190" i="3" s="1"/>
  <c r="BB50" i="7"/>
  <c r="DL121" i="3"/>
  <c r="AG42" i="7"/>
  <c r="CL122" i="3"/>
  <c r="DP122" i="3"/>
  <c r="EK139" i="3"/>
  <c r="EK190" i="3" s="1"/>
  <c r="EF139" i="3"/>
  <c r="EF190" i="3" s="1"/>
  <c r="DU139" i="3"/>
  <c r="DU190" i="3" s="1"/>
  <c r="DK122" i="3"/>
  <c r="DK139" i="3"/>
  <c r="DK190" i="3" s="1"/>
  <c r="CV122" i="3"/>
  <c r="EO139" i="3"/>
  <c r="EO190" i="3" s="1"/>
  <c r="AG41" i="7"/>
  <c r="BH42" i="7"/>
  <c r="AL41" i="7"/>
  <c r="AC55" i="7"/>
  <c r="AM55" i="7"/>
  <c r="BF56" i="7"/>
  <c r="BR56" i="7"/>
  <c r="AV121" i="3"/>
  <c r="AV122" i="3"/>
  <c r="X122" i="3"/>
  <c r="X121" i="3"/>
  <c r="CG121" i="3"/>
  <c r="CG122" i="3"/>
  <c r="W122" i="3"/>
  <c r="W121" i="3"/>
  <c r="CB122" i="3"/>
  <c r="CB121" i="3"/>
  <c r="AY134" i="3"/>
  <c r="AY122" i="3"/>
  <c r="AY121" i="3"/>
  <c r="CL121" i="3"/>
  <c r="CO121" i="3"/>
  <c r="CO122" i="3"/>
  <c r="AR122" i="3"/>
  <c r="AR121" i="3"/>
  <c r="T122" i="3"/>
  <c r="T121" i="3"/>
  <c r="O122" i="3"/>
  <c r="O121" i="3"/>
  <c r="AJ121" i="3"/>
  <c r="AJ122" i="3"/>
  <c r="AD122" i="3"/>
  <c r="AD121" i="3"/>
  <c r="AI41" i="7"/>
  <c r="BX134" i="3"/>
  <c r="BX122" i="3"/>
  <c r="BX121" i="3"/>
  <c r="AI123" i="3"/>
  <c r="AI121" i="3"/>
  <c r="AI122" i="3"/>
  <c r="J134" i="3"/>
  <c r="J121" i="3"/>
  <c r="J122" i="3"/>
  <c r="P134" i="3"/>
  <c r="P137" i="3" s="1"/>
  <c r="P122" i="3"/>
  <c r="P121" i="3"/>
  <c r="BC134" i="3"/>
  <c r="BC121" i="3"/>
  <c r="BC122" i="3"/>
  <c r="CW134" i="3"/>
  <c r="CW121" i="3"/>
  <c r="CW122" i="3"/>
  <c r="AE134" i="3"/>
  <c r="AE122" i="3"/>
  <c r="AE121" i="3"/>
  <c r="BF51" i="7"/>
  <c r="BL50" i="7"/>
  <c r="BA45" i="7"/>
  <c r="I122" i="3"/>
  <c r="I121" i="3"/>
  <c r="CP121" i="3"/>
  <c r="CP122" i="3"/>
  <c r="BZ121" i="3"/>
  <c r="BZ122" i="3"/>
  <c r="AH121" i="3"/>
  <c r="AH122" i="3"/>
  <c r="EM122" i="3"/>
  <c r="EM121" i="3"/>
  <c r="BD122" i="3"/>
  <c r="BD121" i="3"/>
  <c r="BN121" i="3"/>
  <c r="BN122" i="3"/>
  <c r="U122" i="3"/>
  <c r="U121" i="3"/>
  <c r="DF122" i="3"/>
  <c r="DF121" i="3"/>
  <c r="AO134" i="3"/>
  <c r="AO121" i="3"/>
  <c r="AO122" i="3"/>
  <c r="F134" i="3"/>
  <c r="F139" i="3" s="1"/>
  <c r="F10" i="6" s="1"/>
  <c r="F31" i="6" s="1"/>
  <c r="F66" i="6" s="1"/>
  <c r="F122" i="3"/>
  <c r="BI134" i="3"/>
  <c r="BI137" i="3" s="1"/>
  <c r="BI122" i="3"/>
  <c r="BI121" i="3"/>
  <c r="BW134" i="3"/>
  <c r="BW122" i="3"/>
  <c r="BW121" i="3"/>
  <c r="BD50" i="7"/>
  <c r="DE121" i="3"/>
  <c r="DE122" i="3"/>
  <c r="BP122" i="3"/>
  <c r="BP121" i="3"/>
  <c r="ES120" i="3"/>
  <c r="ER122" i="3"/>
  <c r="ER121" i="3"/>
  <c r="ES122" i="3"/>
  <c r="EC121" i="3"/>
  <c r="EC122" i="3"/>
  <c r="DS121" i="3"/>
  <c r="DS122" i="3"/>
  <c r="DT119" i="3"/>
  <c r="DO122" i="3"/>
  <c r="DO121" i="3"/>
  <c r="CJ122" i="3"/>
  <c r="CJ121" i="3"/>
  <c r="CA121" i="3"/>
  <c r="CA122" i="3"/>
  <c r="BA122" i="3"/>
  <c r="BA121" i="3"/>
  <c r="AQ121" i="3"/>
  <c r="AQ122" i="3"/>
  <c r="R121" i="3"/>
  <c r="R122" i="3"/>
  <c r="AG121" i="3"/>
  <c r="AG122" i="3"/>
  <c r="CR121" i="3"/>
  <c r="CR122" i="3"/>
  <c r="AN121" i="3"/>
  <c r="AN122" i="3"/>
  <c r="AX134" i="3"/>
  <c r="AX122" i="3"/>
  <c r="AX121" i="3"/>
  <c r="BS123" i="3"/>
  <c r="BS121" i="3"/>
  <c r="BS122" i="3"/>
  <c r="BU134" i="3"/>
  <c r="BU121" i="3"/>
  <c r="BU122" i="3"/>
  <c r="DG134" i="3"/>
  <c r="DG137" i="3" s="1"/>
  <c r="DG122" i="3"/>
  <c r="DG121" i="3"/>
  <c r="AL122" i="3"/>
  <c r="AL121" i="3"/>
  <c r="EH121" i="3"/>
  <c r="EH122" i="3"/>
  <c r="EE120" i="3"/>
  <c r="ED122" i="3"/>
  <c r="ED121" i="3"/>
  <c r="CM134" i="3"/>
  <c r="CM122" i="3"/>
  <c r="CM121" i="3"/>
  <c r="BH123" i="3"/>
  <c r="BH122" i="3"/>
  <c r="BH121" i="3"/>
  <c r="CQ122" i="3"/>
  <c r="DT122" i="3"/>
  <c r="EN122" i="3"/>
  <c r="EJ120" i="3"/>
  <c r="EI121" i="3"/>
  <c r="EI122" i="3"/>
  <c r="CY121" i="3"/>
  <c r="CY122" i="3"/>
  <c r="CF122" i="3"/>
  <c r="CF121" i="3"/>
  <c r="BF122" i="3"/>
  <c r="BF121" i="3"/>
  <c r="N122" i="3"/>
  <c r="N121" i="3"/>
  <c r="K121" i="3"/>
  <c r="K122" i="3"/>
  <c r="DD121" i="3"/>
  <c r="DD122" i="3"/>
  <c r="AB123" i="3"/>
  <c r="AB122" i="3"/>
  <c r="AB121" i="3"/>
  <c r="BK134" i="3"/>
  <c r="BK137" i="3" s="1"/>
  <c r="BK121" i="3"/>
  <c r="BK122" i="3"/>
  <c r="CL120" i="3"/>
  <c r="CK122" i="3"/>
  <c r="CK121" i="3"/>
  <c r="BB122" i="3"/>
  <c r="BB121" i="3"/>
  <c r="S121" i="3"/>
  <c r="S122" i="3"/>
  <c r="Z122" i="3"/>
  <c r="Z121" i="3"/>
  <c r="BL121" i="3"/>
  <c r="BL122" i="3"/>
  <c r="H122" i="3"/>
  <c r="H121" i="3"/>
  <c r="DY122" i="3"/>
  <c r="DY121" i="3"/>
  <c r="DN122" i="3"/>
  <c r="DN121" i="3"/>
  <c r="DA120" i="3"/>
  <c r="CZ122" i="3"/>
  <c r="CZ121" i="3"/>
  <c r="CT122" i="3"/>
  <c r="CT121" i="3"/>
  <c r="BV122" i="3"/>
  <c r="BV121" i="3"/>
  <c r="BG122" i="3"/>
  <c r="BG121" i="3"/>
  <c r="AW121" i="3"/>
  <c r="AW122" i="3"/>
  <c r="AS122" i="3"/>
  <c r="AS121" i="3"/>
  <c r="AC122" i="3"/>
  <c r="AC121" i="3"/>
  <c r="D122" i="3"/>
  <c r="AT122" i="3"/>
  <c r="AT121" i="3"/>
  <c r="BR121" i="3"/>
  <c r="BR122" i="3"/>
  <c r="DX122" i="3"/>
  <c r="DX121" i="3"/>
  <c r="DJ122" i="3"/>
  <c r="DJ121" i="3"/>
  <c r="CU122" i="3"/>
  <c r="CU121" i="3"/>
  <c r="CE122" i="3"/>
  <c r="CE121" i="3"/>
  <c r="BQ122" i="3"/>
  <c r="BQ121" i="3"/>
  <c r="AM122" i="3"/>
  <c r="AM121" i="3"/>
  <c r="M121" i="3"/>
  <c r="M122" i="3"/>
  <c r="CH122" i="3"/>
  <c r="CH121" i="3"/>
  <c r="BM121" i="3"/>
  <c r="BM122" i="3"/>
  <c r="DB123" i="3"/>
  <c r="DB122" i="3"/>
  <c r="DB121" i="3"/>
  <c r="Y134" i="3"/>
  <c r="Y121" i="3"/>
  <c r="Y122" i="3"/>
  <c r="CC134" i="3"/>
  <c r="CC122" i="3"/>
  <c r="CC121" i="3"/>
  <c r="E134" i="3"/>
  <c r="E139" i="3" s="1"/>
  <c r="E10" i="6" s="1"/>
  <c r="E31" i="6" s="1"/>
  <c r="E122" i="3"/>
  <c r="BR51" i="7"/>
  <c r="EJ122" i="3"/>
  <c r="DT121" i="3"/>
  <c r="EE122" i="3"/>
  <c r="DI122" i="3"/>
  <c r="DA122" i="3"/>
  <c r="BA46" i="7"/>
  <c r="CN69" i="3"/>
  <c r="BO69" i="3"/>
  <c r="BE69" i="3"/>
  <c r="AU69" i="3"/>
  <c r="V69" i="3"/>
  <c r="L69" i="3"/>
  <c r="BY69" i="3"/>
  <c r="CX69" i="3"/>
  <c r="AW56" i="7"/>
  <c r="CD69" i="3"/>
  <c r="AK69" i="3"/>
  <c r="AF69" i="3"/>
  <c r="CI69" i="3"/>
  <c r="Q69" i="3"/>
  <c r="BJ69" i="3"/>
  <c r="AZ69" i="3"/>
  <c r="AA69" i="3"/>
  <c r="DC69" i="3"/>
  <c r="DH69" i="3"/>
  <c r="DM69" i="3"/>
  <c r="CS69" i="3"/>
  <c r="BT69" i="3"/>
  <c r="AP69" i="3"/>
  <c r="H46" i="7"/>
  <c r="BA56" i="7"/>
  <c r="BA55" i="7"/>
  <c r="AS46" i="7"/>
  <c r="AC50" i="7"/>
  <c r="BB42" i="7"/>
  <c r="BG41" i="7"/>
  <c r="Z51" i="7"/>
  <c r="AE50" i="7"/>
  <c r="BB41" i="7"/>
  <c r="Z50" i="7"/>
  <c r="BA41" i="7"/>
  <c r="BQ56" i="7"/>
  <c r="S42" i="7"/>
  <c r="BR42" i="7"/>
  <c r="H56" i="7"/>
  <c r="AO123" i="3"/>
  <c r="BD41" i="7"/>
  <c r="BD42" i="7"/>
  <c r="BF42" i="7"/>
  <c r="AR41" i="7"/>
  <c r="AS42" i="7"/>
  <c r="Y123" i="3"/>
  <c r="BC123" i="3"/>
  <c r="BG45" i="7"/>
  <c r="DB134" i="3"/>
  <c r="DG123" i="3"/>
  <c r="AX123" i="3"/>
  <c r="AC41" i="7"/>
  <c r="AQ41" i="7"/>
  <c r="H45" i="7"/>
  <c r="BA51" i="7"/>
  <c r="AL45" i="7"/>
  <c r="AG56" i="7"/>
  <c r="AY51" i="7"/>
  <c r="AM46" i="7"/>
  <c r="AM51" i="7"/>
  <c r="AG55" i="7"/>
  <c r="BL45" i="7"/>
  <c r="BA50" i="7"/>
  <c r="AL50" i="7"/>
  <c r="BH51" i="7"/>
  <c r="AM50" i="7"/>
  <c r="BP50" i="7"/>
  <c r="BH50" i="7"/>
  <c r="BH55" i="7"/>
  <c r="AI45" i="7"/>
  <c r="AI46" i="7"/>
  <c r="I55" i="7"/>
  <c r="AB134" i="3"/>
  <c r="F123" i="3"/>
  <c r="X42" i="7"/>
  <c r="G44" i="7"/>
  <c r="AW51" i="7"/>
  <c r="G40" i="7"/>
  <c r="BS134" i="3"/>
  <c r="E123" i="3"/>
  <c r="BH56" i="7"/>
  <c r="G54" i="7"/>
  <c r="BQ42" i="7"/>
  <c r="AI42" i="7"/>
  <c r="BP42" i="7"/>
  <c r="AY41" i="7"/>
  <c r="H50" i="7"/>
  <c r="AW55" i="7"/>
  <c r="BA42" i="7"/>
  <c r="AY45" i="7"/>
  <c r="BD45" i="7"/>
  <c r="BQ41" i="7"/>
  <c r="R42" i="7"/>
  <c r="AE41" i="7"/>
  <c r="CW123" i="3"/>
  <c r="BP45" i="7"/>
  <c r="AG46" i="7"/>
  <c r="AY55" i="7"/>
  <c r="BK123" i="3"/>
  <c r="BD55" i="7"/>
  <c r="AY123" i="3"/>
  <c r="AE123" i="3"/>
  <c r="BG42" i="7"/>
  <c r="AY56" i="7"/>
  <c r="AG45" i="7"/>
  <c r="AZ11" i="7"/>
  <c r="CM123" i="3"/>
  <c r="BI123" i="3"/>
  <c r="Q11" i="7"/>
  <c r="BU123" i="3"/>
  <c r="BT11" i="7"/>
  <c r="L11" i="7"/>
  <c r="Y56" i="7"/>
  <c r="H51" i="7"/>
  <c r="AQ50" i="7"/>
  <c r="Y42" i="7"/>
  <c r="AR42" i="7"/>
  <c r="AW42" i="7"/>
  <c r="Y41" i="7"/>
  <c r="BF41" i="7"/>
  <c r="AW41" i="7"/>
  <c r="AV41" i="7"/>
  <c r="AY42" i="7"/>
  <c r="AQ42" i="7"/>
  <c r="I41" i="7"/>
  <c r="AI134" i="3"/>
  <c r="CN151" i="5"/>
  <c r="CI151" i="5"/>
  <c r="CX151" i="5"/>
  <c r="AM42" i="7"/>
  <c r="BJ151" i="5"/>
  <c r="BT151" i="5"/>
  <c r="AW46" i="7"/>
  <c r="BO151" i="5"/>
  <c r="I42" i="7"/>
  <c r="AP151" i="5"/>
  <c r="AQ56" i="7"/>
  <c r="AF151" i="5"/>
  <c r="BH134" i="3"/>
  <c r="X50" i="7"/>
  <c r="CC123" i="3"/>
  <c r="DC151" i="5"/>
  <c r="CD151" i="5"/>
  <c r="AA151" i="5"/>
  <c r="DH151" i="5"/>
  <c r="AV55" i="7"/>
  <c r="AG50" i="7"/>
  <c r="AO42" i="7"/>
  <c r="BE151" i="5"/>
  <c r="BY151" i="5"/>
  <c r="CS151" i="5"/>
  <c r="AZ151" i="5"/>
  <c r="AO41" i="7"/>
  <c r="AU151" i="5"/>
  <c r="AR56" i="7"/>
  <c r="X55" i="7"/>
  <c r="AR55" i="7"/>
  <c r="AK109" i="5"/>
  <c r="AK151" i="5"/>
  <c r="BH46" i="7"/>
  <c r="AO46" i="7"/>
  <c r="AV45" i="7"/>
  <c r="AS56" i="7"/>
  <c r="AG51" i="7"/>
  <c r="AE51" i="7"/>
  <c r="H42" i="7"/>
  <c r="R51" i="7"/>
  <c r="H41" i="7"/>
  <c r="R50" i="7"/>
  <c r="I50" i="7"/>
  <c r="AQ46" i="7"/>
  <c r="R46" i="7"/>
  <c r="AQ45" i="7"/>
  <c r="BB46" i="7"/>
  <c r="BB45" i="7"/>
  <c r="AS55" i="7"/>
  <c r="BP51" i="7"/>
  <c r="R45" i="7"/>
  <c r="S55" i="7"/>
  <c r="BQ50" i="7"/>
  <c r="BF55" i="7"/>
  <c r="R56" i="7"/>
  <c r="BQ51" i="7"/>
  <c r="BF50" i="7"/>
  <c r="BG55" i="7"/>
  <c r="BG46" i="7"/>
  <c r="S46" i="7"/>
  <c r="N46" i="7"/>
  <c r="BB55" i="7"/>
  <c r="I51" i="7"/>
  <c r="BF46" i="7"/>
  <c r="BG56" i="7"/>
  <c r="BF45" i="7"/>
  <c r="AU109" i="5"/>
  <c r="AC45" i="7"/>
  <c r="S45" i="7"/>
  <c r="Z46" i="7"/>
  <c r="N45" i="7"/>
  <c r="S56" i="7"/>
  <c r="AO56" i="7"/>
  <c r="BB56" i="7"/>
  <c r="BO109" i="5"/>
  <c r="AR46" i="7"/>
  <c r="Z45" i="7"/>
  <c r="H55" i="7"/>
  <c r="AE45" i="7"/>
  <c r="AW45" i="7"/>
  <c r="N50" i="7"/>
  <c r="X46" i="7"/>
  <c r="BG51" i="7"/>
  <c r="Y51" i="7"/>
  <c r="AE56" i="7"/>
  <c r="X45" i="7"/>
  <c r="BD46" i="7"/>
  <c r="R55" i="7"/>
  <c r="AC46" i="7"/>
  <c r="Z55" i="7"/>
  <c r="N51" i="7"/>
  <c r="AE55" i="7"/>
  <c r="CD109" i="5"/>
  <c r="DH109" i="5"/>
  <c r="CN109" i="5"/>
  <c r="CI109" i="5"/>
  <c r="CX109" i="5"/>
  <c r="I46" i="7"/>
  <c r="DC109" i="5"/>
  <c r="CS109" i="5"/>
  <c r="AM45" i="7"/>
  <c r="BY109" i="5"/>
  <c r="R41" i="7"/>
  <c r="P123" i="3"/>
  <c r="BW123" i="3"/>
  <c r="Z56" i="7"/>
  <c r="AR45" i="7"/>
  <c r="I56" i="7"/>
  <c r="AE42" i="7"/>
  <c r="AR50" i="7"/>
  <c r="AW50" i="7"/>
  <c r="BX123" i="3"/>
  <c r="J123" i="3"/>
  <c r="AR51" i="7"/>
  <c r="X41" i="7"/>
  <c r="AV50" i="7"/>
  <c r="AQ51" i="7"/>
  <c r="Y50" i="7"/>
  <c r="AV56" i="7"/>
  <c r="AI50" i="7"/>
  <c r="BG50" i="7"/>
  <c r="N56" i="7"/>
  <c r="N42" i="7"/>
  <c r="AL42" i="7"/>
  <c r="BB51" i="7"/>
  <c r="S41" i="7"/>
  <c r="DJ120" i="3"/>
  <c r="DJ119" i="3"/>
  <c r="S119" i="3"/>
  <c r="S120" i="3"/>
  <c r="Z119" i="3"/>
  <c r="Z120" i="3"/>
  <c r="DH71" i="3"/>
  <c r="DH67" i="3"/>
  <c r="DM67" i="3"/>
  <c r="BZ120" i="3"/>
  <c r="BZ119" i="3"/>
  <c r="AV120" i="3"/>
  <c r="AV119" i="3"/>
  <c r="AP71" i="3"/>
  <c r="AP67" i="3"/>
  <c r="V71" i="3"/>
  <c r="V67" i="3"/>
  <c r="EM119" i="3"/>
  <c r="EM120" i="3"/>
  <c r="CX71" i="3"/>
  <c r="CX67" i="3"/>
  <c r="CE120" i="3"/>
  <c r="CE119" i="3"/>
  <c r="AL120" i="3"/>
  <c r="AL119" i="3"/>
  <c r="AG134" i="3"/>
  <c r="AG119" i="3"/>
  <c r="AG120" i="3"/>
  <c r="CR120" i="3"/>
  <c r="CR119" i="3"/>
  <c r="O120" i="3"/>
  <c r="O119" i="3"/>
  <c r="DS119" i="3"/>
  <c r="DS120" i="3"/>
  <c r="CT120" i="3"/>
  <c r="CT119" i="3"/>
  <c r="CP119" i="3"/>
  <c r="CP120" i="3"/>
  <c r="BY118" i="3"/>
  <c r="BV120" i="3"/>
  <c r="BV119" i="3"/>
  <c r="BO71" i="3"/>
  <c r="BO67" i="3"/>
  <c r="AU71" i="3"/>
  <c r="AU67" i="3"/>
  <c r="Q71" i="3"/>
  <c r="Q67" i="3"/>
  <c r="DY120" i="3"/>
  <c r="DY119" i="3"/>
  <c r="DN120" i="3"/>
  <c r="DN119" i="3"/>
  <c r="CY120" i="3"/>
  <c r="CY119" i="3"/>
  <c r="CN71" i="3"/>
  <c r="CN67" i="3"/>
  <c r="BF119" i="3"/>
  <c r="BF120" i="3"/>
  <c r="BE71" i="3"/>
  <c r="BE67" i="3"/>
  <c r="AS120" i="3"/>
  <c r="AS119" i="3"/>
  <c r="AC119" i="3"/>
  <c r="AC120" i="3"/>
  <c r="X119" i="3"/>
  <c r="X120" i="3"/>
  <c r="L71" i="3"/>
  <c r="L67" i="3"/>
  <c r="K119" i="3"/>
  <c r="K120" i="3"/>
  <c r="CG120" i="3"/>
  <c r="CG119" i="3"/>
  <c r="AN134" i="3"/>
  <c r="AN119" i="3"/>
  <c r="AN120" i="3"/>
  <c r="AO55" i="7"/>
  <c r="AI51" i="7"/>
  <c r="AM41" i="7"/>
  <c r="AI55" i="7"/>
  <c r="N41" i="7"/>
  <c r="N55" i="7"/>
  <c r="DB120" i="3"/>
  <c r="DB119" i="3"/>
  <c r="DP120" i="3"/>
  <c r="BU120" i="3"/>
  <c r="BU119" i="3"/>
  <c r="DG120" i="3"/>
  <c r="DG119" i="3"/>
  <c r="P119" i="3"/>
  <c r="P120" i="3"/>
  <c r="DT120" i="3"/>
  <c r="EN120" i="3"/>
  <c r="CW119" i="3"/>
  <c r="CW120" i="3"/>
  <c r="AE119" i="3"/>
  <c r="AE120" i="3"/>
  <c r="AZ71" i="3"/>
  <c r="AZ67" i="3"/>
  <c r="AK71" i="3"/>
  <c r="AK67" i="3"/>
  <c r="T120" i="3"/>
  <c r="T119" i="3"/>
  <c r="W123" i="3"/>
  <c r="W120" i="3"/>
  <c r="W119" i="3"/>
  <c r="BN123" i="3"/>
  <c r="BN120" i="3"/>
  <c r="BN119" i="3"/>
  <c r="BR119" i="3"/>
  <c r="BR120" i="3"/>
  <c r="AX120" i="3"/>
  <c r="AX119" i="3"/>
  <c r="AB119" i="3"/>
  <c r="AB120" i="3"/>
  <c r="BS119" i="3"/>
  <c r="BS120" i="3"/>
  <c r="CQ120" i="3"/>
  <c r="BI119" i="3"/>
  <c r="BI120" i="3"/>
  <c r="BC120" i="3"/>
  <c r="BC119" i="3"/>
  <c r="DX120" i="3"/>
  <c r="DX119" i="3"/>
  <c r="CD71" i="3"/>
  <c r="CD67" i="3"/>
  <c r="AM119" i="3"/>
  <c r="AM120" i="3"/>
  <c r="H120" i="3"/>
  <c r="H119" i="3"/>
  <c r="AH119" i="3"/>
  <c r="AH120" i="3"/>
  <c r="DD123" i="3"/>
  <c r="DD120" i="3"/>
  <c r="DD119" i="3"/>
  <c r="BM123" i="3"/>
  <c r="BM119" i="3"/>
  <c r="BM120" i="3"/>
  <c r="AI119" i="3"/>
  <c r="AI120" i="3"/>
  <c r="CC120" i="3"/>
  <c r="CC119" i="3"/>
  <c r="CL119" i="3"/>
  <c r="BW120" i="3"/>
  <c r="BW119" i="3"/>
  <c r="CU119" i="3"/>
  <c r="CU120" i="3"/>
  <c r="BL119" i="3"/>
  <c r="BL120" i="3"/>
  <c r="R120" i="3"/>
  <c r="R119" i="3"/>
  <c r="AJ120" i="3"/>
  <c r="AJ119" i="3"/>
  <c r="CB120" i="3"/>
  <c r="CB119" i="3"/>
  <c r="AO119" i="3"/>
  <c r="AO120" i="3"/>
  <c r="Y120" i="3"/>
  <c r="Y119" i="3"/>
  <c r="CM119" i="3"/>
  <c r="CM120" i="3"/>
  <c r="BH120" i="3"/>
  <c r="BH119" i="3"/>
  <c r="BQ119" i="3"/>
  <c r="BQ120" i="3"/>
  <c r="EI120" i="3"/>
  <c r="EI119" i="3"/>
  <c r="CZ120" i="3"/>
  <c r="CZ119" i="3"/>
  <c r="CS71" i="3"/>
  <c r="CS67" i="3"/>
  <c r="BY71" i="3"/>
  <c r="BY67" i="3"/>
  <c r="CA120" i="3"/>
  <c r="CA119" i="3"/>
  <c r="BP120" i="3"/>
  <c r="BP119" i="3"/>
  <c r="AR120" i="3"/>
  <c r="AR119" i="3"/>
  <c r="CF120" i="3"/>
  <c r="CF119" i="3"/>
  <c r="BG119" i="3"/>
  <c r="BG120" i="3"/>
  <c r="AT119" i="3"/>
  <c r="AT120" i="3"/>
  <c r="U134" i="3"/>
  <c r="U120" i="3"/>
  <c r="U119" i="3"/>
  <c r="DF120" i="3"/>
  <c r="DF119" i="3"/>
  <c r="AD134" i="3"/>
  <c r="AD120" i="3"/>
  <c r="AD119" i="3"/>
  <c r="AS41" i="7"/>
  <c r="AY120" i="3"/>
  <c r="AY119" i="3"/>
  <c r="DK119" i="3"/>
  <c r="DZ120" i="3"/>
  <c r="DL119" i="3"/>
  <c r="DI120" i="3"/>
  <c r="CJ119" i="3"/>
  <c r="CJ120" i="3"/>
  <c r="BA120" i="3"/>
  <c r="BA119" i="3"/>
  <c r="CI71" i="3"/>
  <c r="CI67" i="3"/>
  <c r="BT71" i="3"/>
  <c r="BT67" i="3"/>
  <c r="AW120" i="3"/>
  <c r="AW119" i="3"/>
  <c r="N120" i="3"/>
  <c r="N119" i="3"/>
  <c r="BD134" i="3"/>
  <c r="BD120" i="3"/>
  <c r="BD119" i="3"/>
  <c r="DE119" i="3"/>
  <c r="DE120" i="3"/>
  <c r="CO119" i="3"/>
  <c r="CO120" i="3"/>
  <c r="EC120" i="3"/>
  <c r="EC119" i="3"/>
  <c r="ER119" i="3"/>
  <c r="ER120" i="3"/>
  <c r="EH120" i="3"/>
  <c r="EH119" i="3"/>
  <c r="ED120" i="3"/>
  <c r="ED119" i="3"/>
  <c r="DO120" i="3"/>
  <c r="DO119" i="3"/>
  <c r="DC71" i="3"/>
  <c r="DC67" i="3"/>
  <c r="CK119" i="3"/>
  <c r="CK120" i="3"/>
  <c r="BJ71" i="3"/>
  <c r="BJ67" i="3"/>
  <c r="BB120" i="3"/>
  <c r="BB119" i="3"/>
  <c r="AQ120" i="3"/>
  <c r="AQ119" i="3"/>
  <c r="AF71" i="3"/>
  <c r="AF67" i="3"/>
  <c r="AA71" i="3"/>
  <c r="AA67" i="3"/>
  <c r="M120" i="3"/>
  <c r="M119" i="3"/>
  <c r="I119" i="3"/>
  <c r="I120" i="3"/>
  <c r="CH123" i="3"/>
  <c r="CH120" i="3"/>
  <c r="CH119" i="3"/>
  <c r="BH41" i="7"/>
  <c r="BX119" i="3"/>
  <c r="BX120" i="3"/>
  <c r="J119" i="3"/>
  <c r="J120" i="3"/>
  <c r="DK120" i="3"/>
  <c r="BK119" i="3"/>
  <c r="BK120" i="3"/>
  <c r="CV120" i="3"/>
  <c r="DI119" i="3"/>
  <c r="EN119" i="3"/>
  <c r="AE46" i="7"/>
  <c r="AV46" i="7"/>
  <c r="BZ41" i="7"/>
  <c r="CE41" i="7"/>
  <c r="BZ42" i="7"/>
  <c r="BU46" i="7"/>
  <c r="BU45" i="7"/>
  <c r="V40" i="7"/>
  <c r="V11" i="7"/>
  <c r="CA50" i="7"/>
  <c r="CA51" i="7"/>
  <c r="CF50" i="7"/>
  <c r="CE42" i="7"/>
  <c r="CC41" i="7"/>
  <c r="CH41" i="7"/>
  <c r="CC42" i="7"/>
  <c r="K46" i="7"/>
  <c r="K45" i="7"/>
  <c r="AJ46" i="7"/>
  <c r="AJ45" i="7"/>
  <c r="U56" i="7"/>
  <c r="U55" i="7"/>
  <c r="O56" i="7"/>
  <c r="O55" i="7"/>
  <c r="AN46" i="7"/>
  <c r="AN45" i="7"/>
  <c r="CB50" i="7"/>
  <c r="CG50" i="7"/>
  <c r="CB51" i="7"/>
  <c r="BM41" i="7"/>
  <c r="BM42" i="7"/>
  <c r="AH55" i="7"/>
  <c r="AH56" i="7"/>
  <c r="AH41" i="7"/>
  <c r="AH42" i="7"/>
  <c r="AD50" i="7"/>
  <c r="AD51" i="7"/>
  <c r="J50" i="7"/>
  <c r="J51" i="7"/>
  <c r="AK40" i="7"/>
  <c r="AK11" i="7"/>
  <c r="BW55" i="7"/>
  <c r="BW56" i="7"/>
  <c r="BW42" i="7"/>
  <c r="BW41" i="7"/>
  <c r="BN55" i="7"/>
  <c r="BN56" i="7"/>
  <c r="BN41" i="7"/>
  <c r="BN42" i="7"/>
  <c r="DC40" i="7"/>
  <c r="DC11" i="7"/>
  <c r="W51" i="7"/>
  <c r="W50" i="7"/>
  <c r="BX51" i="7"/>
  <c r="BX50" i="7"/>
  <c r="BK55" i="7"/>
  <c r="BK56" i="7"/>
  <c r="CF55" i="7"/>
  <c r="CA55" i="7"/>
  <c r="CA56" i="7"/>
  <c r="CH45" i="7"/>
  <c r="CE46" i="7"/>
  <c r="CC46" i="7"/>
  <c r="CC45" i="7"/>
  <c r="BI45" i="7"/>
  <c r="BI46" i="7"/>
  <c r="AT55" i="7"/>
  <c r="AT56" i="7"/>
  <c r="K55" i="7"/>
  <c r="K56" i="7"/>
  <c r="AJ50" i="7"/>
  <c r="AJ51" i="7"/>
  <c r="U51" i="7"/>
  <c r="U50" i="7"/>
  <c r="U41" i="7"/>
  <c r="U42" i="7"/>
  <c r="CD40" i="7"/>
  <c r="CD11" i="7"/>
  <c r="CX40" i="7"/>
  <c r="CX11" i="7"/>
  <c r="O50" i="7"/>
  <c r="O51" i="7"/>
  <c r="O41" i="7"/>
  <c r="O42" i="7"/>
  <c r="CB55" i="7"/>
  <c r="CB56" i="7"/>
  <c r="CG55" i="7"/>
  <c r="AX46" i="7"/>
  <c r="AX45" i="7"/>
  <c r="T46" i="7"/>
  <c r="T45" i="7"/>
  <c r="BV51" i="7"/>
  <c r="BV50" i="7"/>
  <c r="P45" i="7"/>
  <c r="P46" i="7"/>
  <c r="AV42" i="7"/>
  <c r="BS46" i="7"/>
  <c r="BS45" i="7"/>
  <c r="AD41" i="7"/>
  <c r="AD42" i="7"/>
  <c r="J56" i="7"/>
  <c r="J55" i="7"/>
  <c r="J42" i="7"/>
  <c r="J41" i="7"/>
  <c r="CE45" i="7"/>
  <c r="BZ46" i="7"/>
  <c r="BZ45" i="7"/>
  <c r="BU51" i="7"/>
  <c r="BU50" i="7"/>
  <c r="W55" i="7"/>
  <c r="W56" i="7"/>
  <c r="W41" i="7"/>
  <c r="W42" i="7"/>
  <c r="BX56" i="7"/>
  <c r="BX55" i="7"/>
  <c r="BX41" i="7"/>
  <c r="BX42" i="7"/>
  <c r="BK51" i="7"/>
  <c r="BK50" i="7"/>
  <c r="BK41" i="7"/>
  <c r="BK42" i="7"/>
  <c r="CA42" i="7"/>
  <c r="CF41" i="7"/>
  <c r="CA41" i="7"/>
  <c r="AB46" i="7"/>
  <c r="AB45" i="7"/>
  <c r="BI55" i="7"/>
  <c r="BI56" i="7"/>
  <c r="AT50" i="7"/>
  <c r="AT51" i="7"/>
  <c r="AT42" i="7"/>
  <c r="AT41" i="7"/>
  <c r="AO45" i="7"/>
  <c r="K50" i="7"/>
  <c r="K51" i="7"/>
  <c r="AU40" i="7"/>
  <c r="AU11" i="7"/>
  <c r="BP55" i="7"/>
  <c r="BC45" i="7"/>
  <c r="BC46" i="7"/>
  <c r="AN50" i="7"/>
  <c r="AN51" i="7"/>
  <c r="CB41" i="7"/>
  <c r="CB42" i="7"/>
  <c r="CG41" i="7"/>
  <c r="BV56" i="7"/>
  <c r="BV55" i="7"/>
  <c r="BV42" i="7"/>
  <c r="BV41" i="7"/>
  <c r="Q41" i="7"/>
  <c r="DD45" i="7"/>
  <c r="DD46" i="7"/>
  <c r="DE46" i="7"/>
  <c r="DI45" i="7"/>
  <c r="BY40" i="7"/>
  <c r="BY11" i="7"/>
  <c r="X56" i="7"/>
  <c r="BL42" i="7"/>
  <c r="AO51" i="7"/>
  <c r="M46" i="7"/>
  <c r="M45" i="7"/>
  <c r="AF40" i="7"/>
  <c r="AF11" i="7"/>
  <c r="AA11" i="7"/>
  <c r="BU56" i="7"/>
  <c r="BU55" i="7"/>
  <c r="BU41" i="7"/>
  <c r="BU42" i="7"/>
  <c r="CS40" i="7"/>
  <c r="CS11" i="7"/>
  <c r="CH50" i="7"/>
  <c r="CC50" i="7"/>
  <c r="CE51" i="7"/>
  <c r="CC51" i="7"/>
  <c r="AP40" i="7"/>
  <c r="AP11" i="7"/>
  <c r="K41" i="7"/>
  <c r="K42" i="7"/>
  <c r="AJ56" i="7"/>
  <c r="AJ55" i="7"/>
  <c r="AJ42" i="7"/>
  <c r="AJ41" i="7"/>
  <c r="BP56" i="7"/>
  <c r="AL46" i="7"/>
  <c r="BC50" i="7"/>
  <c r="BC51" i="7"/>
  <c r="AN56" i="7"/>
  <c r="AN55" i="7"/>
  <c r="AN42" i="7"/>
  <c r="AN41" i="7"/>
  <c r="BM46" i="7"/>
  <c r="BM45" i="7"/>
  <c r="AX51" i="7"/>
  <c r="AX50" i="7"/>
  <c r="T55" i="7"/>
  <c r="T56" i="7"/>
  <c r="AC42" i="7"/>
  <c r="P50" i="7"/>
  <c r="P51" i="7"/>
  <c r="BS55" i="7"/>
  <c r="BS56" i="7"/>
  <c r="AH46" i="7"/>
  <c r="AH45" i="7"/>
  <c r="DD51" i="7"/>
  <c r="DD50" i="7"/>
  <c r="DE51" i="7"/>
  <c r="DI50" i="7"/>
  <c r="AS45" i="7"/>
  <c r="BR45" i="7"/>
  <c r="Y45" i="7"/>
  <c r="AO50" i="7"/>
  <c r="M55" i="7"/>
  <c r="M56" i="7"/>
  <c r="BW46" i="7"/>
  <c r="BW45" i="7"/>
  <c r="BZ50" i="7"/>
  <c r="BZ51" i="7"/>
  <c r="CE50" i="7"/>
  <c r="BN46" i="7"/>
  <c r="BN45" i="7"/>
  <c r="AL51" i="7"/>
  <c r="CA46" i="7"/>
  <c r="CA45" i="7"/>
  <c r="CF45" i="7"/>
  <c r="AB51" i="7"/>
  <c r="AB50" i="7"/>
  <c r="CH55" i="7"/>
  <c r="CC56" i="7"/>
  <c r="CE56" i="7"/>
  <c r="CC55" i="7"/>
  <c r="AY50" i="7"/>
  <c r="BI51" i="7"/>
  <c r="BI50" i="7"/>
  <c r="BI42" i="7"/>
  <c r="BI41" i="7"/>
  <c r="BL46" i="7"/>
  <c r="U46" i="7"/>
  <c r="U45" i="7"/>
  <c r="CI40" i="7"/>
  <c r="CI11" i="7"/>
  <c r="O45" i="7"/>
  <c r="O46" i="7"/>
  <c r="BC55" i="7"/>
  <c r="BC56" i="7"/>
  <c r="BD56" i="7"/>
  <c r="CG45" i="7"/>
  <c r="CB46" i="7"/>
  <c r="CB45" i="7"/>
  <c r="BM56" i="7"/>
  <c r="BM55" i="7"/>
  <c r="AX55" i="7"/>
  <c r="AX56" i="7"/>
  <c r="AX42" i="7"/>
  <c r="AX41" i="7"/>
  <c r="T50" i="7"/>
  <c r="T51" i="7"/>
  <c r="T41" i="7"/>
  <c r="T42" i="7"/>
  <c r="P56" i="7"/>
  <c r="P55" i="7"/>
  <c r="P41" i="7"/>
  <c r="P42" i="7"/>
  <c r="BS50" i="7"/>
  <c r="BS51" i="7"/>
  <c r="BS41" i="7"/>
  <c r="BS42" i="7"/>
  <c r="DD56" i="7"/>
  <c r="DD55" i="7"/>
  <c r="DE56" i="7"/>
  <c r="DI55" i="7"/>
  <c r="DD41" i="7"/>
  <c r="DD42" i="7"/>
  <c r="DE42" i="7"/>
  <c r="DI41" i="7"/>
  <c r="AC51" i="7"/>
  <c r="AD45" i="7"/>
  <c r="AD46" i="7"/>
  <c r="J46" i="7"/>
  <c r="J45" i="7"/>
  <c r="BL51" i="7"/>
  <c r="Z41" i="7"/>
  <c r="M51" i="7"/>
  <c r="M50" i="7"/>
  <c r="BO40" i="7"/>
  <c r="BO11" i="7"/>
  <c r="BW51" i="7"/>
  <c r="BW50" i="7"/>
  <c r="X51" i="7"/>
  <c r="BZ55" i="7"/>
  <c r="CE55" i="7"/>
  <c r="BZ56" i="7"/>
  <c r="BN51" i="7"/>
  <c r="BN50" i="7"/>
  <c r="CN40" i="7"/>
  <c r="CN11" i="7"/>
  <c r="W46" i="7"/>
  <c r="W45" i="7"/>
  <c r="BX46" i="7"/>
  <c r="BX45" i="7"/>
  <c r="BK46" i="7"/>
  <c r="BK45" i="7"/>
  <c r="AB56" i="7"/>
  <c r="AB55" i="7"/>
  <c r="AB41" i="7"/>
  <c r="AB42" i="7"/>
  <c r="BE40" i="7"/>
  <c r="BE11" i="7"/>
  <c r="BP41" i="7"/>
  <c r="AS50" i="7"/>
  <c r="AT46" i="7"/>
  <c r="AT45" i="7"/>
  <c r="BR41" i="7"/>
  <c r="AY46" i="7"/>
  <c r="BH45" i="7"/>
  <c r="BC42" i="7"/>
  <c r="BC41" i="7"/>
  <c r="BM50" i="7"/>
  <c r="BM51" i="7"/>
  <c r="AI56" i="7"/>
  <c r="BV46" i="7"/>
  <c r="BV45" i="7"/>
  <c r="AC56" i="7"/>
  <c r="BJ11" i="7"/>
  <c r="BR50" i="7"/>
  <c r="BD51" i="7"/>
  <c r="AH50" i="7"/>
  <c r="AH51" i="7"/>
  <c r="BP46" i="7"/>
  <c r="AD56" i="7"/>
  <c r="AD55" i="7"/>
  <c r="AV51" i="7"/>
  <c r="M42" i="7"/>
  <c r="M41" i="7"/>
  <c r="DH40" i="7"/>
  <c r="DH11" i="7"/>
  <c r="DM11" i="7"/>
  <c r="AD123" i="3"/>
  <c r="BR123" i="3"/>
  <c r="BN134" i="3"/>
  <c r="CB123" i="3"/>
  <c r="CB134" i="3"/>
  <c r="BM134" i="3"/>
  <c r="CG123" i="3"/>
  <c r="CG134" i="3"/>
  <c r="BR134" i="3"/>
  <c r="W134" i="3"/>
  <c r="AN123" i="3"/>
  <c r="EN137" i="3"/>
  <c r="U123" i="3"/>
  <c r="AJ123" i="3"/>
  <c r="DF123" i="3"/>
  <c r="DF134" i="3"/>
  <c r="T123" i="3"/>
  <c r="BD123" i="3"/>
  <c r="AG123" i="3"/>
  <c r="T134" i="3"/>
  <c r="EO137" i="3"/>
  <c r="AJ134" i="3"/>
  <c r="DD134" i="3"/>
  <c r="CR134" i="3"/>
  <c r="AA118" i="3"/>
  <c r="Z123" i="3"/>
  <c r="O123" i="3"/>
  <c r="Z134" i="3"/>
  <c r="O134" i="3"/>
  <c r="Q109" i="5"/>
  <c r="AF109" i="5"/>
  <c r="AZ109" i="5"/>
  <c r="CH134" i="3"/>
  <c r="AT123" i="3"/>
  <c r="G109" i="5"/>
  <c r="BJ109" i="5"/>
  <c r="BE109" i="5"/>
  <c r="L109" i="5"/>
  <c r="AP109" i="5"/>
  <c r="CR123" i="3"/>
  <c r="V109" i="5"/>
  <c r="AA109" i="5"/>
  <c r="BT109" i="5"/>
  <c r="K123" i="3"/>
  <c r="K134" i="3"/>
  <c r="AT134" i="3"/>
  <c r="BO118" i="3"/>
  <c r="AK118" i="3"/>
  <c r="AF118" i="3"/>
  <c r="EP137" i="3"/>
  <c r="EM134" i="3"/>
  <c r="EQ134" i="3" s="1"/>
  <c r="EM123" i="3"/>
  <c r="EQ118" i="3"/>
  <c r="ER134" i="3"/>
  <c r="ER123" i="3"/>
  <c r="EW124" i="3" s="1"/>
  <c r="D134" i="3"/>
  <c r="D139" i="3" s="1"/>
  <c r="D10" i="6" s="1"/>
  <c r="D31" i="6" s="1"/>
  <c r="D32" i="6" s="1"/>
  <c r="D123" i="3"/>
  <c r="G118" i="3"/>
  <c r="C134" i="3"/>
  <c r="C139" i="3" s="1"/>
  <c r="C10" i="6" s="1"/>
  <c r="C31" i="6" s="1"/>
  <c r="C32" i="6" s="1"/>
  <c r="C123" i="3"/>
  <c r="I134" i="3"/>
  <c r="I123" i="3"/>
  <c r="L118" i="3"/>
  <c r="H134" i="3"/>
  <c r="H123" i="3"/>
  <c r="Q118" i="3"/>
  <c r="M134" i="3"/>
  <c r="M123" i="3"/>
  <c r="N134" i="3"/>
  <c r="N123" i="3"/>
  <c r="S134" i="3"/>
  <c r="S123" i="3"/>
  <c r="R134" i="3"/>
  <c r="R123" i="3"/>
  <c r="V118" i="3"/>
  <c r="X134" i="3"/>
  <c r="X123" i="3"/>
  <c r="AC134" i="3"/>
  <c r="AC123" i="3"/>
  <c r="AH134" i="3"/>
  <c r="AH123" i="3"/>
  <c r="AL134" i="3"/>
  <c r="AP118" i="3"/>
  <c r="AL123" i="3"/>
  <c r="AM134" i="3"/>
  <c r="AM123" i="3"/>
  <c r="AR134" i="3"/>
  <c r="AR123" i="3"/>
  <c r="AQ134" i="3"/>
  <c r="AU118" i="3"/>
  <c r="AQ123" i="3"/>
  <c r="AS134" i="3"/>
  <c r="AS123" i="3"/>
  <c r="AW134" i="3"/>
  <c r="AW123" i="3"/>
  <c r="AV123" i="3"/>
  <c r="AZ118" i="3"/>
  <c r="AV134" i="3"/>
  <c r="BB134" i="3"/>
  <c r="BB123" i="3"/>
  <c r="BA134" i="3"/>
  <c r="BA123" i="3"/>
  <c r="BE118" i="3"/>
  <c r="BG134" i="3"/>
  <c r="BG123" i="3"/>
  <c r="BJ118" i="3"/>
  <c r="BF134" i="3"/>
  <c r="BF123" i="3"/>
  <c r="BL123" i="3"/>
  <c r="BL134" i="3"/>
  <c r="BQ134" i="3"/>
  <c r="BQ123" i="3"/>
  <c r="BT118" i="3"/>
  <c r="BP134" i="3"/>
  <c r="BP123" i="3"/>
  <c r="BV134" i="3"/>
  <c r="BV123" i="3"/>
  <c r="BZ134" i="3"/>
  <c r="BZ123" i="3"/>
  <c r="CD118" i="3"/>
  <c r="CA134" i="3"/>
  <c r="CA123" i="3"/>
  <c r="CF134" i="3"/>
  <c r="CF123" i="3"/>
  <c r="CI118" i="3"/>
  <c r="CE134" i="3"/>
  <c r="CE123" i="3"/>
  <c r="CL137" i="3"/>
  <c r="CK134" i="3"/>
  <c r="CK123" i="3"/>
  <c r="CN118" i="3"/>
  <c r="CJ134" i="3"/>
  <c r="CJ123" i="3"/>
  <c r="CP134" i="3"/>
  <c r="CP123" i="3"/>
  <c r="CQ137" i="3"/>
  <c r="CS118" i="3"/>
  <c r="CS230" i="3" s="1"/>
  <c r="CS232" i="3" s="1"/>
  <c r="CO134" i="3"/>
  <c r="CO123" i="3"/>
  <c r="CV137" i="3"/>
  <c r="CU134" i="3"/>
  <c r="CU123" i="3"/>
  <c r="CX118" i="3"/>
  <c r="CX230" i="3" s="1"/>
  <c r="CX232" i="3" s="1"/>
  <c r="CT134" i="3"/>
  <c r="CT123" i="3"/>
  <c r="DA137" i="3"/>
  <c r="CZ134" i="3"/>
  <c r="CZ123" i="3"/>
  <c r="DC118" i="3"/>
  <c r="DC177" i="3" s="1"/>
  <c r="CY134" i="3"/>
  <c r="CY123" i="3"/>
  <c r="DE123" i="3"/>
  <c r="DE134" i="3"/>
  <c r="DH118" i="3"/>
  <c r="DH177" i="3" s="1"/>
  <c r="DJ134" i="3"/>
  <c r="DJ123" i="3"/>
  <c r="DI137" i="3"/>
  <c r="DL137" i="3"/>
  <c r="DM118" i="3"/>
  <c r="DK137" i="3"/>
  <c r="DQ137" i="3"/>
  <c r="DP137" i="3"/>
  <c r="DO134" i="3"/>
  <c r="DO123" i="3"/>
  <c r="DT124" i="3" s="1"/>
  <c r="DR118" i="3"/>
  <c r="DN134" i="3"/>
  <c r="DN123" i="3"/>
  <c r="DU137" i="3"/>
  <c r="DW118" i="3"/>
  <c r="DS134" i="3"/>
  <c r="DS123" i="3"/>
  <c r="DT137" i="3"/>
  <c r="DV137" i="3"/>
  <c r="DZ137" i="3"/>
  <c r="DX123" i="3"/>
  <c r="EB118" i="3"/>
  <c r="DX134" i="3"/>
  <c r="DY134" i="3"/>
  <c r="DY123" i="3"/>
  <c r="DY124" i="3" s="1"/>
  <c r="EA137" i="3"/>
  <c r="EE137" i="3"/>
  <c r="EG118" i="3"/>
  <c r="EC134" i="3"/>
  <c r="EC123" i="3"/>
  <c r="EF137" i="3"/>
  <c r="ED134" i="3"/>
  <c r="ED123" i="3"/>
  <c r="EK137" i="3"/>
  <c r="EJ137" i="3"/>
  <c r="EI134" i="3"/>
  <c r="EI123" i="3"/>
  <c r="EL118" i="3"/>
  <c r="EH134" i="3"/>
  <c r="EH123" i="3"/>
  <c r="EM233" i="3" l="1"/>
  <c r="DX233" i="3"/>
  <c r="CY233" i="3"/>
  <c r="DE233" i="3"/>
  <c r="DB233" i="3"/>
  <c r="ER233" i="3"/>
  <c r="EC233" i="3"/>
  <c r="DS233" i="3"/>
  <c r="EH233" i="3"/>
  <c r="DR230" i="3"/>
  <c r="DR232" i="3" s="1"/>
  <c r="DR177" i="3"/>
  <c r="EG230" i="3"/>
  <c r="EG232" i="3" s="1"/>
  <c r="EG177" i="3"/>
  <c r="EB230" i="3"/>
  <c r="EB232" i="3" s="1"/>
  <c r="EB177" i="3"/>
  <c r="DW230" i="3"/>
  <c r="DW232" i="3" s="1"/>
  <c r="DW233" i="3" s="1"/>
  <c r="DW177" i="3"/>
  <c r="EQ230" i="3"/>
  <c r="EQ177" i="3"/>
  <c r="DM230" i="3"/>
  <c r="DM232" i="3" s="1"/>
  <c r="DM177" i="3"/>
  <c r="EL230" i="3"/>
  <c r="EL232" i="3" s="1"/>
  <c r="EL177" i="3"/>
  <c r="ED233" i="3"/>
  <c r="DX178" i="3"/>
  <c r="DO178" i="3"/>
  <c r="ED178" i="3"/>
  <c r="CI230" i="3"/>
  <c r="CI232" i="3" s="1"/>
  <c r="DG233" i="3"/>
  <c r="DL233" i="3"/>
  <c r="Z233" i="3"/>
  <c r="BB233" i="3"/>
  <c r="CO233" i="3"/>
  <c r="BK233" i="3"/>
  <c r="DD233" i="3"/>
  <c r="DI233" i="3"/>
  <c r="H233" i="3"/>
  <c r="BA233" i="3"/>
  <c r="CJ233" i="3"/>
  <c r="N233" i="3"/>
  <c r="CF233" i="3"/>
  <c r="CH233" i="3"/>
  <c r="AI233" i="3"/>
  <c r="CP233" i="3"/>
  <c r="Y233" i="3"/>
  <c r="U233" i="3"/>
  <c r="CU233" i="3"/>
  <c r="P233" i="3"/>
  <c r="AS233" i="3"/>
  <c r="DS178" i="3"/>
  <c r="BX233" i="3"/>
  <c r="CC233" i="3"/>
  <c r="AN233" i="3"/>
  <c r="DJ178" i="3"/>
  <c r="AE233" i="3"/>
  <c r="BH233" i="3"/>
  <c r="BU233" i="3"/>
  <c r="BR233" i="3"/>
  <c r="AL233" i="3"/>
  <c r="BP233" i="3"/>
  <c r="K233" i="3"/>
  <c r="AD233" i="3"/>
  <c r="M233" i="3"/>
  <c r="CX233" i="3"/>
  <c r="CN230" i="3"/>
  <c r="CN232" i="3" s="1"/>
  <c r="CS233" i="3" s="1"/>
  <c r="BC233" i="3"/>
  <c r="S233" i="3"/>
  <c r="BI233" i="3"/>
  <c r="DH230" i="3"/>
  <c r="DH232" i="3" s="1"/>
  <c r="AP230" i="3"/>
  <c r="AP232" i="3" s="1"/>
  <c r="G230" i="3"/>
  <c r="G232" i="3" s="1"/>
  <c r="V230" i="3"/>
  <c r="V232" i="3" s="1"/>
  <c r="L230" i="3"/>
  <c r="L232" i="3" s="1"/>
  <c r="AX233" i="3"/>
  <c r="CR233" i="3"/>
  <c r="R233" i="3"/>
  <c r="BL233" i="3"/>
  <c r="DO233" i="3"/>
  <c r="DT233" i="3"/>
  <c r="AY233" i="3"/>
  <c r="X233" i="3"/>
  <c r="EI233" i="3"/>
  <c r="EN233" i="3"/>
  <c r="CE233" i="3"/>
  <c r="O233" i="3"/>
  <c r="DY233" i="3"/>
  <c r="BM233" i="3"/>
  <c r="AH233" i="3"/>
  <c r="BN233" i="3"/>
  <c r="AM233" i="3"/>
  <c r="BS233" i="3"/>
  <c r="BG233" i="3"/>
  <c r="BT230" i="3"/>
  <c r="BT232" i="3" s="1"/>
  <c r="AU230" i="3"/>
  <c r="AU232" i="3" s="1"/>
  <c r="AK230" i="3"/>
  <c r="AK232" i="3" s="1"/>
  <c r="BW233" i="3"/>
  <c r="BJ230" i="3"/>
  <c r="BJ232" i="3" s="1"/>
  <c r="BY230" i="3"/>
  <c r="BY232" i="3" s="1"/>
  <c r="CW233" i="3"/>
  <c r="CM233" i="3"/>
  <c r="AB233" i="3"/>
  <c r="T233" i="3"/>
  <c r="I233" i="3"/>
  <c r="AR233" i="3"/>
  <c r="AO233" i="3"/>
  <c r="AV233" i="3"/>
  <c r="AJ233" i="3"/>
  <c r="BV233" i="3"/>
  <c r="AC233" i="3"/>
  <c r="DC178" i="3"/>
  <c r="DC230" i="3"/>
  <c r="DC232" i="3" s="1"/>
  <c r="Q230" i="3"/>
  <c r="Q232" i="3" s="1"/>
  <c r="BO230" i="3"/>
  <c r="BO232" i="3" s="1"/>
  <c r="CD230" i="3"/>
  <c r="CD232" i="3" s="1"/>
  <c r="BE230" i="3"/>
  <c r="BE232" i="3" s="1"/>
  <c r="AZ230" i="3"/>
  <c r="AZ232" i="3" s="1"/>
  <c r="AF230" i="3"/>
  <c r="AF232" i="3" s="1"/>
  <c r="AA230" i="3"/>
  <c r="AA232" i="3" s="1"/>
  <c r="DF178" i="3"/>
  <c r="CB233" i="3"/>
  <c r="AG233" i="3"/>
  <c r="AQ233" i="3"/>
  <c r="CA233" i="3"/>
  <c r="CG233" i="3"/>
  <c r="BF233" i="3"/>
  <c r="DF233" i="3"/>
  <c r="DK233" i="3"/>
  <c r="DJ233" i="3"/>
  <c r="AW233" i="3"/>
  <c r="J233" i="3"/>
  <c r="BD233" i="3"/>
  <c r="BZ233" i="3"/>
  <c r="W233" i="3"/>
  <c r="BQ233" i="3"/>
  <c r="AT233" i="3"/>
  <c r="CT233" i="3"/>
  <c r="CK233" i="3"/>
  <c r="DA191" i="3"/>
  <c r="EU191" i="3"/>
  <c r="EH124" i="3"/>
  <c r="E100" i="5"/>
  <c r="E32" i="6"/>
  <c r="F59" i="6"/>
  <c r="F32" i="6"/>
  <c r="F67" i="6"/>
  <c r="F71" i="6"/>
  <c r="F73" i="6" s="1"/>
  <c r="ED124" i="3"/>
  <c r="DS124" i="3"/>
  <c r="DX124" i="3"/>
  <c r="EI124" i="3"/>
  <c r="ER124" i="3"/>
  <c r="EM124" i="3"/>
  <c r="EC124" i="3"/>
  <c r="EN124" i="3"/>
  <c r="EP212" i="3"/>
  <c r="EU213" i="3" s="1"/>
  <c r="EC178" i="3"/>
  <c r="EH178" i="3"/>
  <c r="EM178" i="3"/>
  <c r="DG178" i="3"/>
  <c r="ER178" i="3"/>
  <c r="EI178" i="3"/>
  <c r="DD178" i="3"/>
  <c r="CY178" i="3"/>
  <c r="DE178" i="3"/>
  <c r="CZ178" i="3"/>
  <c r="EP143" i="3"/>
  <c r="EU144" i="3" s="1"/>
  <c r="EP147" i="3"/>
  <c r="EP203" i="3" s="1"/>
  <c r="EO212" i="3"/>
  <c r="EP140" i="3"/>
  <c r="EO147" i="3"/>
  <c r="EO203" i="3" s="1"/>
  <c r="EO143" i="3"/>
  <c r="EO140" i="3"/>
  <c r="EN140" i="3"/>
  <c r="EN212" i="3"/>
  <c r="EN147" i="3"/>
  <c r="EN143" i="3"/>
  <c r="CC137" i="3"/>
  <c r="EK102" i="29"/>
  <c r="EK103" i="29" s="1"/>
  <c r="DS139" i="3"/>
  <c r="DS190" i="3" s="1"/>
  <c r="DL102" i="29"/>
  <c r="DE139" i="3"/>
  <c r="DE190" i="3" s="1"/>
  <c r="CZ139" i="3"/>
  <c r="CZ190" i="3" s="1"/>
  <c r="CU139" i="3"/>
  <c r="CK139" i="3"/>
  <c r="BZ139" i="3"/>
  <c r="AC139" i="3"/>
  <c r="I139" i="3"/>
  <c r="AG139" i="3"/>
  <c r="CW139" i="3"/>
  <c r="P139" i="3"/>
  <c r="CF139" i="3"/>
  <c r="EH139" i="3"/>
  <c r="EH190" i="3" s="1"/>
  <c r="EE102" i="29"/>
  <c r="EE103" i="29" s="1"/>
  <c r="DO139" i="3"/>
  <c r="DO190" i="3" s="1"/>
  <c r="DI102" i="29"/>
  <c r="DA102" i="29"/>
  <c r="CV102" i="29"/>
  <c r="CP139" i="3"/>
  <c r="CL102" i="29"/>
  <c r="BQ139" i="3"/>
  <c r="BF139" i="3"/>
  <c r="BA139" i="3"/>
  <c r="AQ139" i="3"/>
  <c r="S139" i="3"/>
  <c r="P102" i="29"/>
  <c r="ER139" i="3"/>
  <c r="ER190" i="3" s="1"/>
  <c r="CR139" i="3"/>
  <c r="EN102" i="29"/>
  <c r="EN103" i="29" s="1"/>
  <c r="BM139" i="3"/>
  <c r="BJ41" i="7"/>
  <c r="BD139" i="3"/>
  <c r="CM139" i="3"/>
  <c r="BW139" i="3"/>
  <c r="EF10" i="6"/>
  <c r="EJ10" i="6"/>
  <c r="DT10" i="6"/>
  <c r="CL10" i="6"/>
  <c r="DA10" i="6"/>
  <c r="DP10" i="6"/>
  <c r="ED139" i="3"/>
  <c r="ED190" i="3" s="1"/>
  <c r="EA102" i="29"/>
  <c r="EA103" i="29" s="1"/>
  <c r="DZ102" i="29"/>
  <c r="DZ103" i="29" s="1"/>
  <c r="DU102" i="29"/>
  <c r="DP102" i="29"/>
  <c r="CA139" i="3"/>
  <c r="BV139" i="3"/>
  <c r="BK102" i="29"/>
  <c r="AW139" i="3"/>
  <c r="AL139" i="3"/>
  <c r="O139" i="3"/>
  <c r="DD139" i="3"/>
  <c r="DD190" i="3" s="1"/>
  <c r="CB139" i="3"/>
  <c r="AN139" i="3"/>
  <c r="BH139" i="3"/>
  <c r="BU139" i="3"/>
  <c r="AX139" i="3"/>
  <c r="AY139" i="3"/>
  <c r="EF102" i="29"/>
  <c r="EF103" i="29" s="1"/>
  <c r="DV102" i="29"/>
  <c r="DQ102" i="29"/>
  <c r="DJ139" i="3"/>
  <c r="DJ190" i="3" s="1"/>
  <c r="CY139" i="3"/>
  <c r="CY190" i="3" s="1"/>
  <c r="CT139" i="3"/>
  <c r="CO139" i="3"/>
  <c r="CE139" i="3"/>
  <c r="BL139" i="3"/>
  <c r="BB139" i="3"/>
  <c r="AR139" i="3"/>
  <c r="N139" i="3"/>
  <c r="H139" i="3"/>
  <c r="AT139" i="3"/>
  <c r="Z139" i="3"/>
  <c r="AJ139" i="3"/>
  <c r="DF139" i="3"/>
  <c r="DF190" i="3" s="1"/>
  <c r="W139" i="3"/>
  <c r="Y139" i="3"/>
  <c r="AO139" i="3"/>
  <c r="AE139" i="3"/>
  <c r="BC139" i="3"/>
  <c r="J139" i="3"/>
  <c r="BX139" i="3"/>
  <c r="DU10" i="6"/>
  <c r="EK10" i="6"/>
  <c r="EN10" i="6"/>
  <c r="CQ10" i="6"/>
  <c r="DZ10" i="6"/>
  <c r="DI10" i="6"/>
  <c r="EI139" i="3"/>
  <c r="EI190" i="3" s="1"/>
  <c r="DY139" i="3"/>
  <c r="DY190" i="3" s="1"/>
  <c r="DT102" i="29"/>
  <c r="DN139" i="3"/>
  <c r="DN190" i="3" s="1"/>
  <c r="DK102" i="29"/>
  <c r="DH121" i="3"/>
  <c r="DC121" i="3"/>
  <c r="CX121" i="3"/>
  <c r="CS121" i="3"/>
  <c r="BP139" i="3"/>
  <c r="BG139" i="3"/>
  <c r="AV139" i="3"/>
  <c r="AS139" i="3"/>
  <c r="AH139" i="3"/>
  <c r="EM139" i="3"/>
  <c r="EM190" i="3" s="1"/>
  <c r="K139" i="3"/>
  <c r="CH139" i="3"/>
  <c r="EO102" i="29"/>
  <c r="EO103" i="29" s="1"/>
  <c r="BR139" i="3"/>
  <c r="BN139" i="3"/>
  <c r="U139" i="3"/>
  <c r="BS139" i="3"/>
  <c r="AB139" i="3"/>
  <c r="DB139" i="3"/>
  <c r="DB190" i="3" s="1"/>
  <c r="BK139" i="3"/>
  <c r="BI139" i="3"/>
  <c r="EJ102" i="29"/>
  <c r="EJ103" i="29" s="1"/>
  <c r="EC139" i="3"/>
  <c r="EC190" i="3" s="1"/>
  <c r="DX139" i="3"/>
  <c r="DX190" i="3" s="1"/>
  <c r="DG102" i="29"/>
  <c r="CQ102" i="29"/>
  <c r="BI102" i="29"/>
  <c r="AM139" i="3"/>
  <c r="R139" i="3"/>
  <c r="M139" i="3"/>
  <c r="EP102" i="29"/>
  <c r="EP103" i="29" s="1"/>
  <c r="T139" i="3"/>
  <c r="CG139" i="3"/>
  <c r="AA41" i="7"/>
  <c r="AD139" i="3"/>
  <c r="AI139" i="3"/>
  <c r="DG139" i="3"/>
  <c r="DG190" i="3" s="1"/>
  <c r="EO10" i="6"/>
  <c r="DK10" i="6"/>
  <c r="DV10" i="6"/>
  <c r="DL10" i="6"/>
  <c r="EE10" i="6"/>
  <c r="DQ10" i="6"/>
  <c r="EP10" i="6"/>
  <c r="EA10" i="6"/>
  <c r="CV10" i="6"/>
  <c r="CC139" i="3"/>
  <c r="L121" i="3"/>
  <c r="BT121" i="3"/>
  <c r="J137" i="3"/>
  <c r="AO137" i="3"/>
  <c r="AE137" i="3"/>
  <c r="CD121" i="3"/>
  <c r="EG121" i="3"/>
  <c r="CI121" i="3"/>
  <c r="F137" i="3"/>
  <c r="F102" i="29" s="1"/>
  <c r="F100" i="5"/>
  <c r="BC137" i="3"/>
  <c r="AX137" i="3"/>
  <c r="CW137" i="3"/>
  <c r="BX137" i="3"/>
  <c r="Y137" i="3"/>
  <c r="E137" i="3"/>
  <c r="E102" i="29" s="1"/>
  <c r="BU137" i="3"/>
  <c r="AY137" i="3"/>
  <c r="AP121" i="3"/>
  <c r="AF121" i="3"/>
  <c r="DW121" i="3"/>
  <c r="BE121" i="3"/>
  <c r="BO121" i="3"/>
  <c r="E59" i="6"/>
  <c r="EB121" i="3"/>
  <c r="AU121" i="3"/>
  <c r="V121" i="3"/>
  <c r="E66" i="6"/>
  <c r="DR121" i="3"/>
  <c r="BJ121" i="3"/>
  <c r="EL121" i="3"/>
  <c r="CM137" i="3"/>
  <c r="BY123" i="3"/>
  <c r="BY121" i="3"/>
  <c r="AK121" i="3"/>
  <c r="AA121" i="3"/>
  <c r="EQ121" i="3"/>
  <c r="DM121" i="3"/>
  <c r="CN121" i="3"/>
  <c r="BW137" i="3"/>
  <c r="AZ121" i="3"/>
  <c r="Q121" i="3"/>
  <c r="AB137" i="3"/>
  <c r="DB137" i="3"/>
  <c r="BS137" i="3"/>
  <c r="D66" i="6"/>
  <c r="D59" i="6"/>
  <c r="D100" i="5"/>
  <c r="C66" i="6"/>
  <c r="C71" i="6" s="1"/>
  <c r="C59" i="6"/>
  <c r="C61" i="6" s="1"/>
  <c r="G31" i="6"/>
  <c r="G32" i="6" s="1"/>
  <c r="C100" i="5"/>
  <c r="DH119" i="3"/>
  <c r="EG119" i="3"/>
  <c r="BH137" i="3"/>
  <c r="DR119" i="3"/>
  <c r="CI119" i="3"/>
  <c r="CD119" i="3"/>
  <c r="AD137" i="3"/>
  <c r="CS119" i="3"/>
  <c r="AI137" i="3"/>
  <c r="U137" i="3"/>
  <c r="BD137" i="3"/>
  <c r="AN137" i="3"/>
  <c r="AG137" i="3"/>
  <c r="CI41" i="7"/>
  <c r="EB119" i="3"/>
  <c r="CN119" i="3"/>
  <c r="AP41" i="7"/>
  <c r="BE119" i="3"/>
  <c r="DC119" i="3"/>
  <c r="AZ119" i="3"/>
  <c r="DW119" i="3"/>
  <c r="EL119" i="3"/>
  <c r="BT119" i="3"/>
  <c r="AU119" i="3"/>
  <c r="AF123" i="3"/>
  <c r="AF119" i="3"/>
  <c r="L119" i="3"/>
  <c r="AK123" i="3"/>
  <c r="AK119" i="3"/>
  <c r="EQ123" i="3"/>
  <c r="EQ119" i="3"/>
  <c r="BY119" i="3"/>
  <c r="BO123" i="3"/>
  <c r="BO119" i="3"/>
  <c r="AP119" i="3"/>
  <c r="Q119" i="3"/>
  <c r="DM119" i="3"/>
  <c r="CX119" i="3"/>
  <c r="BJ119" i="3"/>
  <c r="AA123" i="3"/>
  <c r="AA119" i="3"/>
  <c r="V119" i="3"/>
  <c r="CX41" i="7"/>
  <c r="AU41" i="7"/>
  <c r="AZ41" i="7"/>
  <c r="DH41" i="7"/>
  <c r="DM41" i="7"/>
  <c r="CD41" i="7"/>
  <c r="AK41" i="7"/>
  <c r="CN41" i="7"/>
  <c r="DC41" i="7"/>
  <c r="CB137" i="3"/>
  <c r="W137" i="3"/>
  <c r="BR137" i="3"/>
  <c r="BN137" i="3"/>
  <c r="BM137" i="3"/>
  <c r="CG137" i="3"/>
  <c r="DF137" i="3"/>
  <c r="AJ137" i="3"/>
  <c r="CR137" i="3"/>
  <c r="T137" i="3"/>
  <c r="Z137" i="3"/>
  <c r="DD137" i="3"/>
  <c r="O137" i="3"/>
  <c r="EM137" i="3"/>
  <c r="K137" i="3"/>
  <c r="CJ139" i="3"/>
  <c r="CJ137" i="3"/>
  <c r="AT137" i="3"/>
  <c r="CH137" i="3"/>
  <c r="AK134" i="3"/>
  <c r="BY134" i="3"/>
  <c r="AA134" i="3"/>
  <c r="X139" i="3"/>
  <c r="AF134" i="3"/>
  <c r="DM134" i="3"/>
  <c r="ER137" i="3"/>
  <c r="F143" i="3"/>
  <c r="F144" i="3" s="1"/>
  <c r="F147" i="3"/>
  <c r="F148" i="3" s="1"/>
  <c r="F140" i="3"/>
  <c r="G134" i="3"/>
  <c r="C137" i="3"/>
  <c r="C102" i="29" s="1"/>
  <c r="E143" i="3"/>
  <c r="E144" i="3" s="1"/>
  <c r="E140" i="3"/>
  <c r="E147" i="3"/>
  <c r="E148" i="3" s="1"/>
  <c r="G123" i="3"/>
  <c r="D137" i="3"/>
  <c r="D102" i="29" s="1"/>
  <c r="I137" i="3"/>
  <c r="L134" i="3"/>
  <c r="H137" i="3"/>
  <c r="L123" i="3"/>
  <c r="Q134" i="3"/>
  <c r="M137" i="3"/>
  <c r="Q123" i="3"/>
  <c r="N137" i="3"/>
  <c r="V134" i="3"/>
  <c r="R137" i="3"/>
  <c r="V123" i="3"/>
  <c r="S137" i="3"/>
  <c r="X137" i="3"/>
  <c r="AC137" i="3"/>
  <c r="AH137" i="3"/>
  <c r="AM137" i="3"/>
  <c r="AP123" i="3"/>
  <c r="AP134" i="3"/>
  <c r="AL137" i="3"/>
  <c r="AR137" i="3"/>
  <c r="AS137" i="3"/>
  <c r="AU123" i="3"/>
  <c r="AU134" i="3"/>
  <c r="AQ137" i="3"/>
  <c r="AZ123" i="3"/>
  <c r="AZ134" i="3"/>
  <c r="AV137" i="3"/>
  <c r="AW137" i="3"/>
  <c r="BE134" i="3"/>
  <c r="BA137" i="3"/>
  <c r="BB137" i="3"/>
  <c r="BE123" i="3"/>
  <c r="BJ134" i="3"/>
  <c r="BF137" i="3"/>
  <c r="BG137" i="3"/>
  <c r="BJ123" i="3"/>
  <c r="BL137" i="3"/>
  <c r="BO134" i="3"/>
  <c r="BQ137" i="3"/>
  <c r="BT134" i="3"/>
  <c r="BP137" i="3"/>
  <c r="BT123" i="3"/>
  <c r="BV137" i="3"/>
  <c r="CD134" i="3"/>
  <c r="BZ137" i="3"/>
  <c r="CD123" i="3"/>
  <c r="CA137" i="3"/>
  <c r="CF137" i="3"/>
  <c r="CI134" i="3"/>
  <c r="CE137" i="3"/>
  <c r="CI123" i="3"/>
  <c r="CL212" i="3"/>
  <c r="CL143" i="3"/>
  <c r="CL147" i="3"/>
  <c r="CL140" i="3"/>
  <c r="CK137" i="3"/>
  <c r="CN134" i="3"/>
  <c r="CN123" i="3"/>
  <c r="CP137" i="3"/>
  <c r="CS134" i="3"/>
  <c r="CO137" i="3"/>
  <c r="CQ212" i="3"/>
  <c r="CQ143" i="3"/>
  <c r="CQ147" i="3"/>
  <c r="CQ140" i="3"/>
  <c r="CS123" i="3"/>
  <c r="CV212" i="3"/>
  <c r="CV143" i="3"/>
  <c r="CV147" i="3"/>
  <c r="CV140" i="3"/>
  <c r="CU137" i="3"/>
  <c r="CX123" i="3"/>
  <c r="CX134" i="3"/>
  <c r="CT137" i="3"/>
  <c r="DC134" i="3"/>
  <c r="CY137" i="3"/>
  <c r="DA212" i="3"/>
  <c r="DA143" i="3"/>
  <c r="DA147" i="3"/>
  <c r="DA140" i="3"/>
  <c r="CZ137" i="3"/>
  <c r="DC123" i="3"/>
  <c r="DE137" i="3"/>
  <c r="DH134" i="3"/>
  <c r="DH123" i="3"/>
  <c r="DK212" i="3"/>
  <c r="DK147" i="3"/>
  <c r="DK143" i="3"/>
  <c r="DK140" i="3"/>
  <c r="DM123" i="3"/>
  <c r="DL212" i="3"/>
  <c r="DL143" i="3"/>
  <c r="DL147" i="3"/>
  <c r="DL140" i="3"/>
  <c r="DJ137" i="3"/>
  <c r="DI147" i="3"/>
  <c r="DI140" i="3"/>
  <c r="DI143" i="3"/>
  <c r="DI212" i="3"/>
  <c r="DP212" i="3"/>
  <c r="DP143" i="3"/>
  <c r="DP147" i="3"/>
  <c r="DP140" i="3"/>
  <c r="DR134" i="3"/>
  <c r="DN137" i="3"/>
  <c r="DQ212" i="3"/>
  <c r="DQ143" i="3"/>
  <c r="DQ147" i="3"/>
  <c r="DQ140" i="3"/>
  <c r="DO137" i="3"/>
  <c r="DR123" i="3"/>
  <c r="DW134" i="3"/>
  <c r="DS137" i="3"/>
  <c r="DW123" i="3"/>
  <c r="DT147" i="3"/>
  <c r="DT212" i="3"/>
  <c r="DT140" i="3"/>
  <c r="DT143" i="3"/>
  <c r="DV212" i="3"/>
  <c r="DV143" i="3"/>
  <c r="DV147" i="3"/>
  <c r="DV140" i="3"/>
  <c r="DU212" i="3"/>
  <c r="DU143" i="3"/>
  <c r="DU147" i="3"/>
  <c r="DU140" i="3"/>
  <c r="EB123" i="3"/>
  <c r="DY137" i="3"/>
  <c r="EA212" i="3"/>
  <c r="EA143" i="3"/>
  <c r="EA147" i="3"/>
  <c r="EA140" i="3"/>
  <c r="DZ143" i="3"/>
  <c r="DZ212" i="3"/>
  <c r="DZ147" i="3"/>
  <c r="DZ140" i="3"/>
  <c r="EB134" i="3"/>
  <c r="DX137" i="3"/>
  <c r="EF212" i="3"/>
  <c r="EF143" i="3"/>
  <c r="EF147" i="3"/>
  <c r="EF203" i="3" s="1"/>
  <c r="EF140" i="3"/>
  <c r="EE212" i="3"/>
  <c r="EE143" i="3"/>
  <c r="EE147" i="3"/>
  <c r="EE203" i="3" s="1"/>
  <c r="EE140" i="3"/>
  <c r="EG134" i="3"/>
  <c r="EC137" i="3"/>
  <c r="EG123" i="3"/>
  <c r="ED137" i="3"/>
  <c r="EL134" i="3"/>
  <c r="EH137" i="3"/>
  <c r="EL123" i="3"/>
  <c r="EI137" i="3"/>
  <c r="EJ143" i="3"/>
  <c r="EJ147" i="3"/>
  <c r="EJ203" i="3" s="1"/>
  <c r="EJ140" i="3"/>
  <c r="EJ212" i="3"/>
  <c r="EK212" i="3"/>
  <c r="EK143" i="3"/>
  <c r="EK147" i="3"/>
  <c r="EK203" i="3" s="1"/>
  <c r="EK140" i="3"/>
  <c r="DR233" i="3" l="1"/>
  <c r="DA203" i="3"/>
  <c r="EB233" i="3"/>
  <c r="EG233" i="3"/>
  <c r="DV203" i="3"/>
  <c r="DQ203" i="3"/>
  <c r="DI203" i="3"/>
  <c r="EA203" i="3"/>
  <c r="DT203" i="3"/>
  <c r="DP203" i="3"/>
  <c r="DU203" i="3"/>
  <c r="DZ203" i="3"/>
  <c r="DL203" i="3"/>
  <c r="DK203" i="3"/>
  <c r="EN203" i="3"/>
  <c r="EL233" i="3"/>
  <c r="DM233" i="3"/>
  <c r="EU148" i="3"/>
  <c r="DH178" i="3"/>
  <c r="EE191" i="3"/>
  <c r="DU191" i="3"/>
  <c r="DZ191" i="3"/>
  <c r="DP191" i="3"/>
  <c r="EK191" i="3"/>
  <c r="EP191" i="3"/>
  <c r="AF233" i="3"/>
  <c r="AK233" i="3"/>
  <c r="EO191" i="3"/>
  <c r="AZ233" i="3"/>
  <c r="Q233" i="3"/>
  <c r="BJ233" i="3"/>
  <c r="AU233" i="3"/>
  <c r="L233" i="3"/>
  <c r="CN233" i="3"/>
  <c r="BO233" i="3"/>
  <c r="DH233" i="3"/>
  <c r="EF191" i="3"/>
  <c r="DV191" i="3"/>
  <c r="AA233" i="3"/>
  <c r="BE233" i="3"/>
  <c r="DC233" i="3"/>
  <c r="BY233" i="3"/>
  <c r="BT233" i="3"/>
  <c r="V233" i="3"/>
  <c r="G233" i="3"/>
  <c r="AP233" i="3"/>
  <c r="CI233" i="3"/>
  <c r="CD233" i="3"/>
  <c r="DM178" i="3"/>
  <c r="DQ191" i="3"/>
  <c r="AB147" i="3"/>
  <c r="CH140" i="3"/>
  <c r="AO147" i="3"/>
  <c r="AT147" i="3"/>
  <c r="DT191" i="3"/>
  <c r="EE46" i="8"/>
  <c r="CG212" i="3"/>
  <c r="CG213" i="3" s="1"/>
  <c r="AY140" i="3"/>
  <c r="BH143" i="3"/>
  <c r="EA191" i="3"/>
  <c r="BI143" i="3"/>
  <c r="BN147" i="3"/>
  <c r="J143" i="3"/>
  <c r="J144" i="3" s="1"/>
  <c r="BW140" i="3"/>
  <c r="CR212" i="3"/>
  <c r="AG140" i="3"/>
  <c r="EJ46" i="8"/>
  <c r="BK140" i="3"/>
  <c r="BS140" i="3"/>
  <c r="BR140" i="3"/>
  <c r="K140" i="3"/>
  <c r="DN191" i="3"/>
  <c r="EN191" i="3"/>
  <c r="BC147" i="3"/>
  <c r="Y143" i="3"/>
  <c r="AJ140" i="3"/>
  <c r="CM212" i="3"/>
  <c r="BM147" i="3"/>
  <c r="P147" i="3"/>
  <c r="EO46" i="8"/>
  <c r="EK46" i="8"/>
  <c r="AD143" i="3"/>
  <c r="T143" i="3"/>
  <c r="EC191" i="3"/>
  <c r="AX140" i="3"/>
  <c r="AN147" i="3"/>
  <c r="O143" i="3"/>
  <c r="DY191" i="3"/>
  <c r="U140" i="3"/>
  <c r="EM143" i="3"/>
  <c r="EN145" i="3" s="1"/>
  <c r="BX143" i="3"/>
  <c r="AE147" i="3"/>
  <c r="W147" i="3"/>
  <c r="Z143" i="3"/>
  <c r="BD143" i="3"/>
  <c r="EW191" i="3"/>
  <c r="EH191" i="3"/>
  <c r="CW212" i="3"/>
  <c r="EF46" i="8"/>
  <c r="AG147" i="3"/>
  <c r="CC143" i="3"/>
  <c r="AI140" i="3"/>
  <c r="CY191" i="3"/>
  <c r="BU147" i="3"/>
  <c r="CB143" i="3"/>
  <c r="EP46" i="8"/>
  <c r="EJ191" i="3"/>
  <c r="DP46" i="8"/>
  <c r="EN46" i="8"/>
  <c r="EA46" i="8"/>
  <c r="DU46" i="8"/>
  <c r="DV46" i="8"/>
  <c r="DA46" i="8"/>
  <c r="DQ46" i="8"/>
  <c r="DI46" i="8"/>
  <c r="DL46" i="8"/>
  <c r="DT46" i="8"/>
  <c r="DZ46" i="8"/>
  <c r="DR124" i="3"/>
  <c r="DK46" i="8"/>
  <c r="AG143" i="3"/>
  <c r="C101" i="5"/>
  <c r="F101" i="5"/>
  <c r="F125" i="5"/>
  <c r="F126" i="5" s="1"/>
  <c r="D101" i="5"/>
  <c r="E101" i="5"/>
  <c r="D67" i="6"/>
  <c r="D71" i="6"/>
  <c r="D125" i="5" s="1"/>
  <c r="E67" i="6"/>
  <c r="E71" i="6"/>
  <c r="E125" i="5" s="1"/>
  <c r="E126" i="5" s="1"/>
  <c r="EL124" i="3"/>
  <c r="EB124" i="3"/>
  <c r="EG124" i="3"/>
  <c r="DW124" i="3"/>
  <c r="EQ124" i="3"/>
  <c r="EU204" i="3"/>
  <c r="BD140" i="3"/>
  <c r="BD147" i="3"/>
  <c r="EQ178" i="3"/>
  <c r="DR178" i="3"/>
  <c r="EB178" i="3"/>
  <c r="EG178" i="3"/>
  <c r="EL178" i="3"/>
  <c r="DW178" i="3"/>
  <c r="ES191" i="3"/>
  <c r="CV213" i="3"/>
  <c r="EO149" i="3"/>
  <c r="DA213" i="3"/>
  <c r="DP213" i="3"/>
  <c r="DQ213" i="3"/>
  <c r="EK213" i="3"/>
  <c r="EA213" i="3"/>
  <c r="EJ213" i="3"/>
  <c r="DZ213" i="3"/>
  <c r="CQ213" i="3"/>
  <c r="EE213" i="3"/>
  <c r="DV213" i="3"/>
  <c r="ES213" i="3"/>
  <c r="DU213" i="3"/>
  <c r="EF213" i="3"/>
  <c r="W143" i="3"/>
  <c r="EO213" i="3"/>
  <c r="EP213" i="3"/>
  <c r="EP149" i="3"/>
  <c r="EP145" i="3"/>
  <c r="AX143" i="3"/>
  <c r="BW147" i="3"/>
  <c r="AE140" i="3"/>
  <c r="CC102" i="29"/>
  <c r="EQ139" i="3"/>
  <c r="EQ190" i="3" s="1"/>
  <c r="DB212" i="3"/>
  <c r="DB191" i="3"/>
  <c r="EM212" i="3"/>
  <c r="DF140" i="3"/>
  <c r="DG143" i="3"/>
  <c r="DM139" i="3"/>
  <c r="DD140" i="3"/>
  <c r="DI191" i="3"/>
  <c r="BM143" i="3"/>
  <c r="EO145" i="3"/>
  <c r="CM140" i="3"/>
  <c r="BM140" i="3"/>
  <c r="DF212" i="3"/>
  <c r="DF213" i="3" s="1"/>
  <c r="CH143" i="3"/>
  <c r="J140" i="3"/>
  <c r="BS147" i="3"/>
  <c r="AY147" i="3"/>
  <c r="BC140" i="3"/>
  <c r="Y140" i="3"/>
  <c r="BR143" i="3"/>
  <c r="AJ147" i="3"/>
  <c r="CC140" i="3"/>
  <c r="DG147" i="3"/>
  <c r="DG203" i="3" s="1"/>
  <c r="BH140" i="3"/>
  <c r="BS143" i="3"/>
  <c r="Y147" i="3"/>
  <c r="DD143" i="3"/>
  <c r="K147" i="3"/>
  <c r="BC143" i="3"/>
  <c r="AY143" i="3"/>
  <c r="AJ143" i="3"/>
  <c r="DD147" i="3"/>
  <c r="BR147" i="3"/>
  <c r="K143" i="3"/>
  <c r="DG212" i="3"/>
  <c r="T140" i="3"/>
  <c r="BK147" i="3"/>
  <c r="J147" i="3"/>
  <c r="CM147" i="3"/>
  <c r="CG140" i="3"/>
  <c r="AO143" i="3"/>
  <c r="CH147" i="3"/>
  <c r="CG147" i="3"/>
  <c r="DG140" i="3"/>
  <c r="CC147" i="3"/>
  <c r="T147" i="3"/>
  <c r="BO139" i="3"/>
  <c r="DH139" i="3"/>
  <c r="DH190" i="3" s="1"/>
  <c r="BW143" i="3"/>
  <c r="AB143" i="3"/>
  <c r="CR140" i="3"/>
  <c r="CH212" i="3"/>
  <c r="CH213" i="3" s="1"/>
  <c r="CG143" i="3"/>
  <c r="P140" i="3"/>
  <c r="DF147" i="3"/>
  <c r="CR147" i="3"/>
  <c r="CM143" i="3"/>
  <c r="CB140" i="3"/>
  <c r="BI140" i="3"/>
  <c r="DF143" i="3"/>
  <c r="BU140" i="3"/>
  <c r="AT143" i="3"/>
  <c r="P143" i="3"/>
  <c r="AT140" i="3"/>
  <c r="CW140" i="3"/>
  <c r="BU143" i="3"/>
  <c r="BN143" i="3"/>
  <c r="AB140" i="3"/>
  <c r="DD212" i="3"/>
  <c r="DI213" i="3" s="1"/>
  <c r="CW147" i="3"/>
  <c r="CR143" i="3"/>
  <c r="CB147" i="3"/>
  <c r="BN140" i="3"/>
  <c r="BK143" i="3"/>
  <c r="BI147" i="3"/>
  <c r="BH147" i="3"/>
  <c r="AO140" i="3"/>
  <c r="AD147" i="3"/>
  <c r="AD140" i="3"/>
  <c r="U147" i="3"/>
  <c r="AN143" i="3"/>
  <c r="BX140" i="3"/>
  <c r="AX147" i="3"/>
  <c r="AE143" i="3"/>
  <c r="W140" i="3"/>
  <c r="U143" i="3"/>
  <c r="DB147" i="3"/>
  <c r="BX147" i="3"/>
  <c r="AI147" i="3"/>
  <c r="DB140" i="3"/>
  <c r="EM147" i="3"/>
  <c r="EM140" i="3"/>
  <c r="DB143" i="3"/>
  <c r="AK139" i="3"/>
  <c r="AI143" i="3"/>
  <c r="Z140" i="3"/>
  <c r="O140" i="3"/>
  <c r="AN140" i="3"/>
  <c r="AF139" i="3"/>
  <c r="Z147" i="3"/>
  <c r="O147" i="3"/>
  <c r="ED102" i="29"/>
  <c r="ED103" i="29" s="1"/>
  <c r="DJ102" i="29"/>
  <c r="DH137" i="3"/>
  <c r="CE102" i="29"/>
  <c r="EI102" i="29"/>
  <c r="EI103" i="29" s="1"/>
  <c r="EC102" i="29"/>
  <c r="EC103" i="29" s="1"/>
  <c r="DW137" i="3"/>
  <c r="CO102" i="29"/>
  <c r="CI137" i="3"/>
  <c r="CA102" i="29"/>
  <c r="BP102" i="29"/>
  <c r="BJ137" i="3"/>
  <c r="AS102" i="29"/>
  <c r="EG137" i="3"/>
  <c r="DN102" i="29"/>
  <c r="DE102" i="29"/>
  <c r="CS137" i="3"/>
  <c r="CK102" i="29"/>
  <c r="BV102" i="29"/>
  <c r="BT137" i="3"/>
  <c r="BE137" i="3"/>
  <c r="AU137" i="3"/>
  <c r="AR102" i="29"/>
  <c r="DM137" i="3"/>
  <c r="CH102" i="29"/>
  <c r="EM102" i="29"/>
  <c r="EM103" i="29" s="1"/>
  <c r="AJ102" i="29"/>
  <c r="W102" i="29"/>
  <c r="BD102" i="29"/>
  <c r="BH102" i="29"/>
  <c r="BC102" i="29"/>
  <c r="CF102" i="29"/>
  <c r="CN137" i="3"/>
  <c r="EH102" i="29"/>
  <c r="EH103" i="29" s="1"/>
  <c r="DY102" i="29"/>
  <c r="DY103" i="29" s="1"/>
  <c r="DO102" i="29"/>
  <c r="DR137" i="3"/>
  <c r="CY102" i="29"/>
  <c r="CT102" i="29"/>
  <c r="CU102" i="29"/>
  <c r="CP102" i="29"/>
  <c r="BZ102" i="29"/>
  <c r="BQ102" i="29"/>
  <c r="BB102" i="29"/>
  <c r="AW102" i="29"/>
  <c r="AL102" i="29"/>
  <c r="S102" i="29"/>
  <c r="M102" i="29"/>
  <c r="H102" i="29"/>
  <c r="G137" i="3"/>
  <c r="AF137" i="3"/>
  <c r="AT102" i="29"/>
  <c r="O102" i="29"/>
  <c r="DF102" i="29"/>
  <c r="CB102" i="29"/>
  <c r="U102" i="29"/>
  <c r="BW102" i="29"/>
  <c r="CG10" i="6"/>
  <c r="M10" i="6"/>
  <c r="EC10" i="6"/>
  <c r="BI10" i="6"/>
  <c r="AB10" i="6"/>
  <c r="BN10" i="6"/>
  <c r="CH10" i="6"/>
  <c r="AV10" i="6"/>
  <c r="DY10" i="6"/>
  <c r="J10" i="6"/>
  <c r="AO10" i="6"/>
  <c r="DF10" i="6"/>
  <c r="AT10" i="6"/>
  <c r="N10" i="6"/>
  <c r="BB10" i="6"/>
  <c r="CY10" i="6"/>
  <c r="BU10" i="6"/>
  <c r="CB10" i="6"/>
  <c r="AL10" i="6"/>
  <c r="BW10" i="6"/>
  <c r="CR10" i="6"/>
  <c r="AQ10" i="6"/>
  <c r="BQ10" i="6"/>
  <c r="DO10" i="6"/>
  <c r="EH10" i="6"/>
  <c r="P10" i="6"/>
  <c r="BZ10" i="6"/>
  <c r="CZ10" i="6"/>
  <c r="DS10" i="6"/>
  <c r="EL137" i="3"/>
  <c r="CZ102" i="29"/>
  <c r="DC137" i="3"/>
  <c r="CX137" i="3"/>
  <c r="AV102" i="29"/>
  <c r="AP137" i="3"/>
  <c r="Q137" i="3"/>
  <c r="L137" i="3"/>
  <c r="X10" i="6"/>
  <c r="EQ137" i="3"/>
  <c r="DD102" i="29"/>
  <c r="CG102" i="29"/>
  <c r="AI102" i="29"/>
  <c r="BS102" i="29"/>
  <c r="BX102" i="29"/>
  <c r="BG102" i="29"/>
  <c r="AZ137" i="3"/>
  <c r="AH102" i="29"/>
  <c r="X102" i="29"/>
  <c r="R102" i="29"/>
  <c r="I102" i="29"/>
  <c r="AA137" i="3"/>
  <c r="CJ102" i="29"/>
  <c r="Z102" i="29"/>
  <c r="BM102" i="29"/>
  <c r="DB102" i="29"/>
  <c r="CM102" i="29"/>
  <c r="AY102" i="29"/>
  <c r="Y102" i="29"/>
  <c r="CW102" i="29"/>
  <c r="AE102" i="29"/>
  <c r="DG10" i="6"/>
  <c r="AD10" i="6"/>
  <c r="T10" i="6"/>
  <c r="R10" i="6"/>
  <c r="BK10" i="6"/>
  <c r="BS10" i="6"/>
  <c r="BR10" i="6"/>
  <c r="K10" i="6"/>
  <c r="AH10" i="6"/>
  <c r="BG10" i="6"/>
  <c r="DN10" i="6"/>
  <c r="EI10" i="6"/>
  <c r="BC10" i="6"/>
  <c r="Y10" i="6"/>
  <c r="AJ10" i="6"/>
  <c r="BL10" i="6"/>
  <c r="CO10" i="6"/>
  <c r="DJ10" i="6"/>
  <c r="AY10" i="6"/>
  <c r="BH10" i="6"/>
  <c r="DD10" i="6"/>
  <c r="AW10" i="6"/>
  <c r="BV10" i="6"/>
  <c r="ED10" i="6"/>
  <c r="CM10" i="6"/>
  <c r="BM10" i="6"/>
  <c r="S10" i="6"/>
  <c r="BA10" i="6"/>
  <c r="CF10" i="6"/>
  <c r="CW143" i="3"/>
  <c r="CW10" i="6"/>
  <c r="AC10" i="6"/>
  <c r="CK10" i="6"/>
  <c r="DE10" i="6"/>
  <c r="BL102" i="29"/>
  <c r="BF102" i="29"/>
  <c r="AM102" i="29"/>
  <c r="AC102" i="29"/>
  <c r="V137" i="3"/>
  <c r="BY137" i="3"/>
  <c r="CJ10" i="6"/>
  <c r="T102" i="29"/>
  <c r="BN102" i="29"/>
  <c r="AG102" i="29"/>
  <c r="AD102" i="29"/>
  <c r="AB102" i="29"/>
  <c r="BU102" i="29"/>
  <c r="AO102" i="29"/>
  <c r="DX102" i="29"/>
  <c r="DX103" i="29" s="1"/>
  <c r="EB137" i="3"/>
  <c r="DS102" i="29"/>
  <c r="BO137" i="3"/>
  <c r="BA102" i="29"/>
  <c r="AQ102" i="29"/>
  <c r="N102" i="29"/>
  <c r="ER102" i="29"/>
  <c r="ER103" i="29" s="1"/>
  <c r="AK137" i="3"/>
  <c r="K102" i="29"/>
  <c r="CR102" i="29"/>
  <c r="BR102" i="29"/>
  <c r="AN102" i="29"/>
  <c r="AX102" i="29"/>
  <c r="J102" i="29"/>
  <c r="AI10" i="6"/>
  <c r="AM10" i="6"/>
  <c r="DX10" i="6"/>
  <c r="DB10" i="6"/>
  <c r="U10" i="6"/>
  <c r="EM10" i="6"/>
  <c r="AS10" i="6"/>
  <c r="BP10" i="6"/>
  <c r="DI31" i="6"/>
  <c r="BX10" i="6"/>
  <c r="AE10" i="6"/>
  <c r="W10" i="6"/>
  <c r="Z10" i="6"/>
  <c r="H10" i="6"/>
  <c r="AR10" i="6"/>
  <c r="CE10" i="6"/>
  <c r="CT10" i="6"/>
  <c r="AX10" i="6"/>
  <c r="AN10" i="6"/>
  <c r="O10" i="6"/>
  <c r="CA10" i="6"/>
  <c r="BD10" i="6"/>
  <c r="ER10" i="6"/>
  <c r="BF10" i="6"/>
  <c r="CP10" i="6"/>
  <c r="AG10" i="6"/>
  <c r="I10" i="6"/>
  <c r="CU10" i="6"/>
  <c r="CC10" i="6"/>
  <c r="CD137" i="3"/>
  <c r="DQ145" i="3"/>
  <c r="G59" i="6"/>
  <c r="G100" i="5"/>
  <c r="C63" i="6"/>
  <c r="D60" i="6"/>
  <c r="D61" i="6" s="1"/>
  <c r="C67" i="6"/>
  <c r="G66" i="6"/>
  <c r="DL149" i="3"/>
  <c r="EA145" i="3"/>
  <c r="DU145" i="3"/>
  <c r="EF149" i="3"/>
  <c r="EF145" i="3"/>
  <c r="EK144" i="3"/>
  <c r="EK145" i="3"/>
  <c r="EE148" i="3"/>
  <c r="DV148" i="3"/>
  <c r="DV149" i="3"/>
  <c r="DL145" i="3"/>
  <c r="CQ148" i="3"/>
  <c r="DZ144" i="3"/>
  <c r="CQ144" i="3"/>
  <c r="DV144" i="3"/>
  <c r="DV145" i="3"/>
  <c r="DQ148" i="3"/>
  <c r="DQ149" i="3"/>
  <c r="DP148" i="3"/>
  <c r="EK148" i="3"/>
  <c r="EK149" i="3"/>
  <c r="EA149" i="3"/>
  <c r="DU149" i="3"/>
  <c r="DP144" i="3"/>
  <c r="EJ148" i="3"/>
  <c r="EE144" i="3"/>
  <c r="DU148" i="3"/>
  <c r="EA144" i="3"/>
  <c r="DU144" i="3"/>
  <c r="DA144" i="3"/>
  <c r="CV148" i="3"/>
  <c r="EJ144" i="3"/>
  <c r="EA148" i="3"/>
  <c r="DA148" i="3"/>
  <c r="CV144" i="3"/>
  <c r="EP148" i="3"/>
  <c r="EF148" i="3"/>
  <c r="DZ148" i="3"/>
  <c r="EO148" i="3"/>
  <c r="EP144" i="3"/>
  <c r="DQ144" i="3"/>
  <c r="EF144" i="3"/>
  <c r="EO144" i="3"/>
  <c r="ER147" i="3"/>
  <c r="ER140" i="3"/>
  <c r="ER212" i="3"/>
  <c r="EW213" i="3" s="1"/>
  <c r="ER143" i="3"/>
  <c r="EW144" i="3" s="1"/>
  <c r="D143" i="3"/>
  <c r="D144" i="3" s="1"/>
  <c r="D140" i="3"/>
  <c r="D147" i="3"/>
  <c r="D148" i="3" s="1"/>
  <c r="C147" i="3"/>
  <c r="C148" i="3" s="1"/>
  <c r="C140" i="3"/>
  <c r="G139" i="3"/>
  <c r="C143" i="3"/>
  <c r="C144" i="3" s="1"/>
  <c r="I147" i="3"/>
  <c r="I143" i="3"/>
  <c r="I140" i="3"/>
  <c r="H147" i="3"/>
  <c r="H140" i="3"/>
  <c r="L139" i="3"/>
  <c r="H143" i="3"/>
  <c r="M147" i="3"/>
  <c r="M140" i="3"/>
  <c r="M143" i="3"/>
  <c r="Q139" i="3"/>
  <c r="N147" i="3"/>
  <c r="N140" i="3"/>
  <c r="N143" i="3"/>
  <c r="S143" i="3"/>
  <c r="S147" i="3"/>
  <c r="S140" i="3"/>
  <c r="R147" i="3"/>
  <c r="R140" i="3"/>
  <c r="V139" i="3"/>
  <c r="R143" i="3"/>
  <c r="X147" i="3"/>
  <c r="X140" i="3"/>
  <c r="X143" i="3"/>
  <c r="AA139" i="3"/>
  <c r="AC143" i="3"/>
  <c r="AC147" i="3"/>
  <c r="AC140" i="3"/>
  <c r="AH143" i="3"/>
  <c r="AH147" i="3"/>
  <c r="AH140" i="3"/>
  <c r="AL147" i="3"/>
  <c r="AL140" i="3"/>
  <c r="AP139" i="3"/>
  <c r="AL143" i="3"/>
  <c r="AM143" i="3"/>
  <c r="AM147" i="3"/>
  <c r="AM140" i="3"/>
  <c r="AS147" i="3"/>
  <c r="AS140" i="3"/>
  <c r="AS143" i="3"/>
  <c r="AQ147" i="3"/>
  <c r="AQ140" i="3"/>
  <c r="AQ143" i="3"/>
  <c r="AU139" i="3"/>
  <c r="AR143" i="3"/>
  <c r="AR147" i="3"/>
  <c r="AR140" i="3"/>
  <c r="AW140" i="3"/>
  <c r="AW143" i="3"/>
  <c r="AW147" i="3"/>
  <c r="AV147" i="3"/>
  <c r="AV140" i="3"/>
  <c r="AV143" i="3"/>
  <c r="AZ139" i="3"/>
  <c r="BB143" i="3"/>
  <c r="BB147" i="3"/>
  <c r="BB140" i="3"/>
  <c r="BA147" i="3"/>
  <c r="BA140" i="3"/>
  <c r="BE139" i="3"/>
  <c r="BA143" i="3"/>
  <c r="BF147" i="3"/>
  <c r="BF140" i="3"/>
  <c r="BJ139" i="3"/>
  <c r="BF143" i="3"/>
  <c r="BG147" i="3"/>
  <c r="BG140" i="3"/>
  <c r="BG143" i="3"/>
  <c r="BL143" i="3"/>
  <c r="BL147" i="3"/>
  <c r="BL140" i="3"/>
  <c r="BQ147" i="3"/>
  <c r="BQ140" i="3"/>
  <c r="BQ143" i="3"/>
  <c r="BP147" i="3"/>
  <c r="BP140" i="3"/>
  <c r="BP143" i="3"/>
  <c r="BT139" i="3"/>
  <c r="BV147" i="3"/>
  <c r="BV140" i="3"/>
  <c r="BV143" i="3"/>
  <c r="BY139" i="3"/>
  <c r="BZ147" i="3"/>
  <c r="BZ140" i="3"/>
  <c r="CD139" i="3"/>
  <c r="BZ143" i="3"/>
  <c r="CA140" i="3"/>
  <c r="CA143" i="3"/>
  <c r="CA147" i="3"/>
  <c r="CF212" i="3"/>
  <c r="CF213" i="3" s="1"/>
  <c r="CF140" i="3"/>
  <c r="CF143" i="3"/>
  <c r="CF147" i="3"/>
  <c r="CE147" i="3"/>
  <c r="CE140" i="3"/>
  <c r="CI139" i="3"/>
  <c r="CE212" i="3"/>
  <c r="CE213" i="3" s="1"/>
  <c r="CE143" i="3"/>
  <c r="CK147" i="3"/>
  <c r="CK212" i="3"/>
  <c r="CK140" i="3"/>
  <c r="CK143" i="3"/>
  <c r="CJ147" i="3"/>
  <c r="CJ140" i="3"/>
  <c r="CN139" i="3"/>
  <c r="CJ143" i="3"/>
  <c r="CJ212" i="3"/>
  <c r="CP143" i="3"/>
  <c r="CP147" i="3"/>
  <c r="CP212" i="3"/>
  <c r="CP140" i="3"/>
  <c r="CO147" i="3"/>
  <c r="CO140" i="3"/>
  <c r="CO143" i="3"/>
  <c r="CS139" i="3"/>
  <c r="CO212" i="3"/>
  <c r="CU212" i="3"/>
  <c r="CU143" i="3"/>
  <c r="CU147" i="3"/>
  <c r="CU140" i="3"/>
  <c r="CT147" i="3"/>
  <c r="CT140" i="3"/>
  <c r="CX139" i="3"/>
  <c r="CT212" i="3"/>
  <c r="CT143" i="3"/>
  <c r="CY147" i="3"/>
  <c r="CY140" i="3"/>
  <c r="DC139" i="3"/>
  <c r="DC190" i="3" s="1"/>
  <c r="CY143" i="3"/>
  <c r="CY212" i="3"/>
  <c r="CZ140" i="3"/>
  <c r="CZ212" i="3"/>
  <c r="CZ147" i="3"/>
  <c r="CZ203" i="3" s="1"/>
  <c r="CZ143" i="3"/>
  <c r="DE143" i="3"/>
  <c r="DE212" i="3"/>
  <c r="DE147" i="3"/>
  <c r="DE203" i="3" s="1"/>
  <c r="DE140" i="3"/>
  <c r="DJ140" i="3"/>
  <c r="DJ212" i="3"/>
  <c r="DJ143" i="3"/>
  <c r="DJ147" i="3"/>
  <c r="DJ203" i="3" s="1"/>
  <c r="DN147" i="3"/>
  <c r="DN140" i="3"/>
  <c r="DR139" i="3"/>
  <c r="DR190" i="3" s="1"/>
  <c r="DN143" i="3"/>
  <c r="DN212" i="3"/>
  <c r="DN213" i="3" s="1"/>
  <c r="DO140" i="3"/>
  <c r="DO212" i="3"/>
  <c r="DO147" i="3"/>
  <c r="DO203" i="3" s="1"/>
  <c r="DO143" i="3"/>
  <c r="DS147" i="3"/>
  <c r="DS203" i="3" s="1"/>
  <c r="DS140" i="3"/>
  <c r="DW139" i="3"/>
  <c r="DW190" i="3" s="1"/>
  <c r="DS212" i="3"/>
  <c r="DS143" i="3"/>
  <c r="DX147" i="3"/>
  <c r="DX203" i="3" s="1"/>
  <c r="DX140" i="3"/>
  <c r="DX212" i="3"/>
  <c r="DX143" i="3"/>
  <c r="EB139" i="3"/>
  <c r="EB190" i="3" s="1"/>
  <c r="DY143" i="3"/>
  <c r="DY212" i="3"/>
  <c r="DY213" i="3" s="1"/>
  <c r="DY147" i="3"/>
  <c r="DY203" i="3" s="1"/>
  <c r="DY140" i="3"/>
  <c r="EC147" i="3"/>
  <c r="EC203" i="3" s="1"/>
  <c r="EC140" i="3"/>
  <c r="EG139" i="3"/>
  <c r="EG190" i="3" s="1"/>
  <c r="EC212" i="3"/>
  <c r="EC143" i="3"/>
  <c r="ED212" i="3"/>
  <c r="ED143" i="3"/>
  <c r="ED147" i="3"/>
  <c r="ED140" i="3"/>
  <c r="EH147" i="3"/>
  <c r="EH140" i="3"/>
  <c r="EH212" i="3"/>
  <c r="EH143" i="3"/>
  <c r="EL139" i="3"/>
  <c r="EL190" i="3" s="1"/>
  <c r="EI212" i="3"/>
  <c r="EI143" i="3"/>
  <c r="EI147" i="3"/>
  <c r="EI203" i="3" s="1"/>
  <c r="EI140" i="3"/>
  <c r="G101" i="5" l="1"/>
  <c r="G105" i="5"/>
  <c r="DF203" i="3"/>
  <c r="CY203" i="3"/>
  <c r="CC144" i="3"/>
  <c r="DB203" i="3"/>
  <c r="DD203" i="3"/>
  <c r="EM203" i="3"/>
  <c r="DM140" i="3"/>
  <c r="DM190" i="3"/>
  <c r="ED203" i="3"/>
  <c r="DN203" i="3"/>
  <c r="EW148" i="3"/>
  <c r="ER203" i="3"/>
  <c r="EW204" i="3" s="1"/>
  <c r="EH203" i="3"/>
  <c r="DI32" i="6"/>
  <c r="DI91" i="6"/>
  <c r="BI144" i="3"/>
  <c r="AG149" i="3"/>
  <c r="BI145" i="3"/>
  <c r="Y144" i="3"/>
  <c r="T144" i="3"/>
  <c r="AD144" i="3"/>
  <c r="Z145" i="3"/>
  <c r="D73" i="6"/>
  <c r="CL213" i="3"/>
  <c r="DJ191" i="3"/>
  <c r="EI191" i="3"/>
  <c r="AG148" i="3"/>
  <c r="DX191" i="3"/>
  <c r="DS191" i="3"/>
  <c r="ED191" i="3"/>
  <c r="EM145" i="3"/>
  <c r="EM191" i="3"/>
  <c r="AB148" i="3"/>
  <c r="CC145" i="3"/>
  <c r="DE191" i="3"/>
  <c r="BN149" i="3"/>
  <c r="CW213" i="3"/>
  <c r="AT148" i="3"/>
  <c r="DB213" i="3"/>
  <c r="CR213" i="3"/>
  <c r="O144" i="3"/>
  <c r="AO149" i="3"/>
  <c r="CZ191" i="3"/>
  <c r="AF10" i="6"/>
  <c r="DJ46" i="8"/>
  <c r="AK140" i="3"/>
  <c r="BO143" i="3"/>
  <c r="DG46" i="8"/>
  <c r="DY46" i="8"/>
  <c r="DS46" i="8"/>
  <c r="DE46" i="8"/>
  <c r="EI46" i="8"/>
  <c r="DX46" i="8"/>
  <c r="DC191" i="3"/>
  <c r="EC46" i="8"/>
  <c r="DO46" i="8"/>
  <c r="CZ46" i="8"/>
  <c r="ER46" i="8"/>
  <c r="DB46" i="8"/>
  <c r="DF46" i="8"/>
  <c r="ED46" i="8"/>
  <c r="DN46" i="8"/>
  <c r="CY46" i="8"/>
  <c r="EM46" i="8"/>
  <c r="EH46" i="8"/>
  <c r="DD46" i="8"/>
  <c r="F103" i="5"/>
  <c r="E103" i="5"/>
  <c r="D103" i="5"/>
  <c r="C103" i="5"/>
  <c r="E73" i="6"/>
  <c r="G67" i="6"/>
  <c r="G71" i="6"/>
  <c r="G73" i="6" s="1"/>
  <c r="BD149" i="3"/>
  <c r="EK204" i="3"/>
  <c r="EO204" i="3"/>
  <c r="BM144" i="3"/>
  <c r="EP204" i="3"/>
  <c r="EJ204" i="3"/>
  <c r="EF204" i="3"/>
  <c r="DI149" i="3"/>
  <c r="EN204" i="3"/>
  <c r="EQ143" i="3"/>
  <c r="ER213" i="3"/>
  <c r="P148" i="3"/>
  <c r="W145" i="3"/>
  <c r="EQ140" i="3"/>
  <c r="DZ204" i="3"/>
  <c r="EQ10" i="6"/>
  <c r="DL144" i="3"/>
  <c r="DI145" i="3"/>
  <c r="DG213" i="3"/>
  <c r="EE204" i="3"/>
  <c r="DO191" i="3"/>
  <c r="DU204" i="3"/>
  <c r="DV204" i="3"/>
  <c r="DP204" i="3"/>
  <c r="DQ204" i="3"/>
  <c r="ER191" i="3"/>
  <c r="DG191" i="3"/>
  <c r="DL191" i="3"/>
  <c r="DK191" i="3"/>
  <c r="DF191" i="3"/>
  <c r="DD191" i="3"/>
  <c r="EA204" i="3"/>
  <c r="DA204" i="3"/>
  <c r="K148" i="3"/>
  <c r="EH213" i="3"/>
  <c r="ED213" i="3"/>
  <c r="BD148" i="3"/>
  <c r="K145" i="3"/>
  <c r="DM147" i="3"/>
  <c r="DM203" i="3" s="1"/>
  <c r="AY148" i="3"/>
  <c r="DM143" i="3"/>
  <c r="CJ213" i="3"/>
  <c r="K144" i="3"/>
  <c r="DM10" i="6"/>
  <c r="CT213" i="3"/>
  <c r="CK213" i="3"/>
  <c r="CU213" i="3"/>
  <c r="CM213" i="3"/>
  <c r="CY213" i="3"/>
  <c r="DK213" i="3"/>
  <c r="EI213" i="3"/>
  <c r="DO213" i="3"/>
  <c r="CO213" i="3"/>
  <c r="CP213" i="3"/>
  <c r="EC213" i="3"/>
  <c r="DE213" i="3"/>
  <c r="DW212" i="3"/>
  <c r="DS213" i="3"/>
  <c r="EQ212" i="3"/>
  <c r="EM213" i="3"/>
  <c r="DD213" i="3"/>
  <c r="DL213" i="3"/>
  <c r="EN213" i="3"/>
  <c r="DX213" i="3"/>
  <c r="CZ213" i="3"/>
  <c r="DM212" i="3"/>
  <c r="DJ213" i="3"/>
  <c r="DT213" i="3"/>
  <c r="BC144" i="3"/>
  <c r="EQ147" i="3"/>
  <c r="EQ203" i="3" s="1"/>
  <c r="BO10" i="6"/>
  <c r="AF147" i="3"/>
  <c r="DH140" i="3"/>
  <c r="EM149" i="3"/>
  <c r="DH147" i="3"/>
  <c r="BD145" i="3"/>
  <c r="AY145" i="3"/>
  <c r="BH144" i="3"/>
  <c r="DH143" i="3"/>
  <c r="DH10" i="6"/>
  <c r="BO140" i="3"/>
  <c r="DL148" i="3"/>
  <c r="AJ144" i="3"/>
  <c r="CH144" i="3"/>
  <c r="BD144" i="3"/>
  <c r="BW148" i="3"/>
  <c r="BS148" i="3"/>
  <c r="AG144" i="3"/>
  <c r="BK149" i="3"/>
  <c r="AO148" i="3"/>
  <c r="CL148" i="3"/>
  <c r="AN148" i="3"/>
  <c r="BU149" i="3"/>
  <c r="AJ148" i="3"/>
  <c r="CM148" i="3"/>
  <c r="BR144" i="3"/>
  <c r="Y148" i="3"/>
  <c r="AB144" i="3"/>
  <c r="BS145" i="3"/>
  <c r="W149" i="3"/>
  <c r="BX144" i="3"/>
  <c r="AK147" i="3"/>
  <c r="AT144" i="3"/>
  <c r="AY144" i="3"/>
  <c r="DI148" i="3"/>
  <c r="AO144" i="3"/>
  <c r="K149" i="3"/>
  <c r="J148" i="3"/>
  <c r="AB145" i="3"/>
  <c r="BN148" i="3"/>
  <c r="BS149" i="3"/>
  <c r="AO145" i="3"/>
  <c r="BR148" i="3"/>
  <c r="CM145" i="3"/>
  <c r="BI148" i="3"/>
  <c r="P144" i="3"/>
  <c r="CH148" i="3"/>
  <c r="U144" i="3"/>
  <c r="CM149" i="3"/>
  <c r="DI144" i="3"/>
  <c r="CH149" i="3"/>
  <c r="BO147" i="3"/>
  <c r="AY149" i="3"/>
  <c r="BI149" i="3"/>
  <c r="BX145" i="3"/>
  <c r="U145" i="3"/>
  <c r="DK148" i="3"/>
  <c r="P149" i="3"/>
  <c r="AD148" i="3"/>
  <c r="BN145" i="3"/>
  <c r="BW144" i="3"/>
  <c r="DG149" i="3"/>
  <c r="CB144" i="3"/>
  <c r="DF148" i="3"/>
  <c r="BS144" i="3"/>
  <c r="BN144" i="3"/>
  <c r="DD145" i="3"/>
  <c r="AE145" i="3"/>
  <c r="BX148" i="3"/>
  <c r="CC148" i="3"/>
  <c r="AK10" i="6"/>
  <c r="AK143" i="3"/>
  <c r="U149" i="3"/>
  <c r="U148" i="3"/>
  <c r="BK145" i="3"/>
  <c r="AG145" i="3"/>
  <c r="Z148" i="3"/>
  <c r="AE148" i="3"/>
  <c r="AB149" i="3"/>
  <c r="CC149" i="3"/>
  <c r="AE149" i="3"/>
  <c r="CB148" i="3"/>
  <c r="CR145" i="3"/>
  <c r="DF144" i="3"/>
  <c r="DK144" i="3"/>
  <c r="AI148" i="3"/>
  <c r="CW144" i="3"/>
  <c r="BM148" i="3"/>
  <c r="CW149" i="3"/>
  <c r="CG144" i="3"/>
  <c r="CG148" i="3"/>
  <c r="CL144" i="3"/>
  <c r="CR144" i="3"/>
  <c r="P145" i="3"/>
  <c r="CM144" i="3"/>
  <c r="CH145" i="3"/>
  <c r="BU145" i="3"/>
  <c r="DH212" i="3"/>
  <c r="BH148" i="3"/>
  <c r="Z144" i="3"/>
  <c r="CR148" i="3"/>
  <c r="CW148" i="3"/>
  <c r="CR149" i="3"/>
  <c r="AE144" i="3"/>
  <c r="BX149" i="3"/>
  <c r="DG145" i="3"/>
  <c r="DB149" i="3"/>
  <c r="BC148" i="3"/>
  <c r="DG144" i="3"/>
  <c r="AF143" i="3"/>
  <c r="EN149" i="3"/>
  <c r="DB148" i="3"/>
  <c r="DG148" i="3"/>
  <c r="O148" i="3"/>
  <c r="DD149" i="3"/>
  <c r="AF140" i="3"/>
  <c r="DB145" i="3"/>
  <c r="T148" i="3"/>
  <c r="DB144" i="3"/>
  <c r="Z149" i="3"/>
  <c r="AN144" i="3"/>
  <c r="AJ149" i="3"/>
  <c r="AI144" i="3"/>
  <c r="AJ145" i="3"/>
  <c r="CB149" i="3"/>
  <c r="BH145" i="3"/>
  <c r="BF149" i="3"/>
  <c r="AX149" i="3"/>
  <c r="AU10" i="6"/>
  <c r="DJ149" i="3"/>
  <c r="DJ145" i="3"/>
  <c r="CY145" i="3"/>
  <c r="EG10" i="6"/>
  <c r="DS145" i="3"/>
  <c r="DP149" i="3"/>
  <c r="DE145" i="3"/>
  <c r="CO145" i="3"/>
  <c r="CI10" i="6"/>
  <c r="BT10" i="6"/>
  <c r="AV149" i="3"/>
  <c r="AP10" i="6"/>
  <c r="X149" i="3"/>
  <c r="T149" i="3"/>
  <c r="M145" i="3"/>
  <c r="I31" i="6"/>
  <c r="I32" i="6" s="1"/>
  <c r="BF31" i="6"/>
  <c r="BF32" i="6" s="1"/>
  <c r="AX31" i="6"/>
  <c r="AX32" i="6" s="1"/>
  <c r="AR31" i="6"/>
  <c r="AR32" i="6" s="1"/>
  <c r="W31" i="6"/>
  <c r="W32" i="6" s="1"/>
  <c r="EB102" i="29"/>
  <c r="AC31" i="6"/>
  <c r="AC32" i="6" s="1"/>
  <c r="T145" i="3"/>
  <c r="BA31" i="6"/>
  <c r="BA32" i="6" s="1"/>
  <c r="AW31" i="6"/>
  <c r="AW32" i="6" s="1"/>
  <c r="AY31" i="6"/>
  <c r="AY32" i="6" s="1"/>
  <c r="BL31" i="6"/>
  <c r="BL32" i="6" s="1"/>
  <c r="BC31" i="6"/>
  <c r="BC32" i="6" s="1"/>
  <c r="BG31" i="6"/>
  <c r="BG32" i="6" s="1"/>
  <c r="BR31" i="6"/>
  <c r="BR32" i="6" s="1"/>
  <c r="R31" i="6"/>
  <c r="R32" i="6" s="1"/>
  <c r="AZ102" i="29"/>
  <c r="EQ102" i="29"/>
  <c r="Q102" i="29"/>
  <c r="CX102" i="29"/>
  <c r="EL102" i="29"/>
  <c r="BB31" i="6"/>
  <c r="BB32" i="6" s="1"/>
  <c r="BN31" i="6"/>
  <c r="BN32" i="6" s="1"/>
  <c r="AF102" i="29"/>
  <c r="BJ102" i="29"/>
  <c r="CI102" i="29"/>
  <c r="DH102" i="29"/>
  <c r="DW10" i="6"/>
  <c r="O145" i="3"/>
  <c r="AG31" i="6"/>
  <c r="AG32" i="6" s="1"/>
  <c r="O31" i="6"/>
  <c r="O32" i="6" s="1"/>
  <c r="H31" i="6"/>
  <c r="H32" i="6" s="1"/>
  <c r="AE31" i="6"/>
  <c r="AE32" i="6" s="1"/>
  <c r="BP31" i="6"/>
  <c r="BP32" i="6" s="1"/>
  <c r="U31" i="6"/>
  <c r="U32" i="6" s="1"/>
  <c r="AM31" i="6"/>
  <c r="AM32" i="6" s="1"/>
  <c r="AK102" i="29"/>
  <c r="BO102" i="29"/>
  <c r="BY102" i="29"/>
  <c r="S31" i="6"/>
  <c r="S32" i="6" s="1"/>
  <c r="AJ31" i="6"/>
  <c r="AJ32" i="6" s="1"/>
  <c r="AH31" i="6"/>
  <c r="AH32" i="6" s="1"/>
  <c r="BS31" i="6"/>
  <c r="BS32" i="6" s="1"/>
  <c r="T31" i="6"/>
  <c r="T32" i="6" s="1"/>
  <c r="AA102" i="29"/>
  <c r="X31" i="6"/>
  <c r="X32" i="6" s="1"/>
  <c r="AP102" i="29"/>
  <c r="DC102" i="29"/>
  <c r="P31" i="6"/>
  <c r="P32" i="6" s="1"/>
  <c r="BQ31" i="6"/>
  <c r="BQ32" i="6" s="1"/>
  <c r="N31" i="6"/>
  <c r="N32" i="6" s="1"/>
  <c r="AO31" i="6"/>
  <c r="AO32" i="6" s="1"/>
  <c r="AV31" i="6"/>
  <c r="AV32" i="6" s="1"/>
  <c r="AB31" i="6"/>
  <c r="AB32" i="6" s="1"/>
  <c r="M31" i="6"/>
  <c r="M32" i="6" s="1"/>
  <c r="G102" i="29"/>
  <c r="CN102" i="29"/>
  <c r="DM102" i="29"/>
  <c r="AU102" i="29"/>
  <c r="BT102" i="29"/>
  <c r="CS102" i="29"/>
  <c r="EG102" i="29"/>
  <c r="EE149" i="3"/>
  <c r="BC149" i="3"/>
  <c r="BY10" i="6"/>
  <c r="V10" i="6"/>
  <c r="M149" i="3"/>
  <c r="J145" i="3"/>
  <c r="CN10" i="6"/>
  <c r="BV145" i="3"/>
  <c r="AZ10" i="6"/>
  <c r="AA10" i="6"/>
  <c r="DF149" i="3"/>
  <c r="DA145" i="3"/>
  <c r="DC10" i="6"/>
  <c r="AV145" i="3"/>
  <c r="AQ149" i="3"/>
  <c r="AC149" i="3"/>
  <c r="L10" i="6"/>
  <c r="BD31" i="6"/>
  <c r="BD32" i="6" s="1"/>
  <c r="AN31" i="6"/>
  <c r="AN32" i="6" s="1"/>
  <c r="Z31" i="6"/>
  <c r="Z32" i="6" s="1"/>
  <c r="AS31" i="6"/>
  <c r="AS32" i="6" s="1"/>
  <c r="AI31" i="6"/>
  <c r="AI32" i="6" s="1"/>
  <c r="V102" i="29"/>
  <c r="EL10" i="6"/>
  <c r="EB10" i="6"/>
  <c r="EH145" i="3"/>
  <c r="CJ145" i="3"/>
  <c r="CX10" i="6"/>
  <c r="BL145" i="3"/>
  <c r="BE10" i="6"/>
  <c r="DZ149" i="3"/>
  <c r="DS149" i="3"/>
  <c r="CG145" i="3"/>
  <c r="Y145" i="3"/>
  <c r="EJ145" i="3"/>
  <c r="EH149" i="3"/>
  <c r="DX149" i="3"/>
  <c r="DP145" i="3"/>
  <c r="DR10" i="6"/>
  <c r="DA149" i="3"/>
  <c r="CT149" i="3"/>
  <c r="CS10" i="6"/>
  <c r="CQ149" i="3"/>
  <c r="CJ149" i="3"/>
  <c r="BV149" i="3"/>
  <c r="BJ10" i="6"/>
  <c r="AT145" i="3"/>
  <c r="AH145" i="3"/>
  <c r="AD145" i="3"/>
  <c r="Q10" i="6"/>
  <c r="G10" i="6"/>
  <c r="CW145" i="3"/>
  <c r="BM31" i="6"/>
  <c r="BM32" i="6" s="1"/>
  <c r="BH31" i="6"/>
  <c r="BH32" i="6" s="1"/>
  <c r="Y31" i="6"/>
  <c r="Y32" i="6" s="1"/>
  <c r="K31" i="6"/>
  <c r="K32" i="6" s="1"/>
  <c r="BK31" i="6"/>
  <c r="BK32" i="6" s="1"/>
  <c r="AD31" i="6"/>
  <c r="AD32" i="6" s="1"/>
  <c r="L102" i="29"/>
  <c r="AQ31" i="6"/>
  <c r="AQ32" i="6" s="1"/>
  <c r="AL31" i="6"/>
  <c r="AL32" i="6" s="1"/>
  <c r="AT31" i="6"/>
  <c r="AT32" i="6" s="1"/>
  <c r="J31" i="6"/>
  <c r="J32" i="6" s="1"/>
  <c r="BI31" i="6"/>
  <c r="BI32" i="6" s="1"/>
  <c r="DR102" i="29"/>
  <c r="BE102" i="29"/>
  <c r="DW102" i="29"/>
  <c r="G61" i="6"/>
  <c r="CD102" i="29"/>
  <c r="CD10" i="6"/>
  <c r="D126" i="5"/>
  <c r="E60" i="6"/>
  <c r="E61" i="6" s="1"/>
  <c r="D63" i="6"/>
  <c r="C73" i="6"/>
  <c r="C125" i="5"/>
  <c r="N149" i="3"/>
  <c r="EI149" i="3"/>
  <c r="CK145" i="3"/>
  <c r="CF149" i="3"/>
  <c r="AM148" i="3"/>
  <c r="AM149" i="3"/>
  <c r="H148" i="3"/>
  <c r="H149" i="3"/>
  <c r="Y149" i="3"/>
  <c r="DT149" i="3"/>
  <c r="AN149" i="3"/>
  <c r="CU148" i="3"/>
  <c r="CU149" i="3"/>
  <c r="BP148" i="3"/>
  <c r="BP149" i="3"/>
  <c r="AW144" i="3"/>
  <c r="AW145" i="3"/>
  <c r="ED144" i="3"/>
  <c r="ED145" i="3"/>
  <c r="EC148" i="3"/>
  <c r="EC149" i="3"/>
  <c r="DX144" i="3"/>
  <c r="DX145" i="3"/>
  <c r="CU144" i="3"/>
  <c r="CU145" i="3"/>
  <c r="CO148" i="3"/>
  <c r="CO149" i="3"/>
  <c r="CE148" i="3"/>
  <c r="CE149" i="3"/>
  <c r="BQ144" i="3"/>
  <c r="BQ145" i="3"/>
  <c r="BA148" i="3"/>
  <c r="BA149" i="3"/>
  <c r="AM144" i="3"/>
  <c r="AM145" i="3"/>
  <c r="EM148" i="3"/>
  <c r="CL145" i="3"/>
  <c r="CV149" i="3"/>
  <c r="DF145" i="3"/>
  <c r="DN148" i="3"/>
  <c r="DN149" i="3"/>
  <c r="CT144" i="3"/>
  <c r="CT145" i="3"/>
  <c r="BL148" i="3"/>
  <c r="BL149" i="3"/>
  <c r="R148" i="3"/>
  <c r="R149" i="3"/>
  <c r="CK148" i="3"/>
  <c r="CK149" i="3"/>
  <c r="CA144" i="3"/>
  <c r="CA145" i="3"/>
  <c r="BZ148" i="3"/>
  <c r="BZ149" i="3"/>
  <c r="AL144" i="3"/>
  <c r="AL145" i="3"/>
  <c r="AH148" i="3"/>
  <c r="AH149" i="3"/>
  <c r="I145" i="3"/>
  <c r="ER144" i="3"/>
  <c r="ER145" i="3"/>
  <c r="O149" i="3"/>
  <c r="AI145" i="3"/>
  <c r="AI149" i="3"/>
  <c r="BG144" i="3"/>
  <c r="BG145" i="3"/>
  <c r="AS144" i="3"/>
  <c r="AS145" i="3"/>
  <c r="DY148" i="3"/>
  <c r="DY149" i="3"/>
  <c r="DN144" i="3"/>
  <c r="DN145" i="3"/>
  <c r="CZ144" i="3"/>
  <c r="CZ145" i="3"/>
  <c r="CF144" i="3"/>
  <c r="CF145" i="3"/>
  <c r="BQ149" i="3"/>
  <c r="BG148" i="3"/>
  <c r="BG149" i="3"/>
  <c r="BA144" i="3"/>
  <c r="BA145" i="3"/>
  <c r="AQ144" i="3"/>
  <c r="AQ145" i="3"/>
  <c r="AS148" i="3"/>
  <c r="AS149" i="3"/>
  <c r="R144" i="3"/>
  <c r="R145" i="3"/>
  <c r="S148" i="3"/>
  <c r="S149" i="3"/>
  <c r="H144" i="3"/>
  <c r="H145" i="3"/>
  <c r="I148" i="3"/>
  <c r="I149" i="3"/>
  <c r="BM149" i="3"/>
  <c r="BR145" i="3"/>
  <c r="AN145" i="3"/>
  <c r="BR149" i="3"/>
  <c r="BW149" i="3"/>
  <c r="BH149" i="3"/>
  <c r="DK149" i="3"/>
  <c r="AT149" i="3"/>
  <c r="ED148" i="3"/>
  <c r="ED149" i="3"/>
  <c r="CA148" i="3"/>
  <c r="CA149" i="3"/>
  <c r="AL148" i="3"/>
  <c r="AL149" i="3"/>
  <c r="EC144" i="3"/>
  <c r="EC145" i="3"/>
  <c r="DE148" i="3"/>
  <c r="DE149" i="3"/>
  <c r="CE144" i="3"/>
  <c r="CE145" i="3"/>
  <c r="EI145" i="3"/>
  <c r="DO145" i="3"/>
  <c r="CZ149" i="3"/>
  <c r="CP149" i="3"/>
  <c r="BP144" i="3"/>
  <c r="BP145" i="3"/>
  <c r="BB149" i="3"/>
  <c r="AR149" i="3"/>
  <c r="X144" i="3"/>
  <c r="X145" i="3"/>
  <c r="S145" i="3"/>
  <c r="DT145" i="3"/>
  <c r="CV145" i="3"/>
  <c r="EE145" i="3"/>
  <c r="EJ149" i="3"/>
  <c r="AD149" i="3"/>
  <c r="CL149" i="3"/>
  <c r="DK145" i="3"/>
  <c r="DY144" i="3"/>
  <c r="DY145" i="3"/>
  <c r="DT148" i="3"/>
  <c r="DO149" i="3"/>
  <c r="CY148" i="3"/>
  <c r="CY149" i="3"/>
  <c r="CP144" i="3"/>
  <c r="CP145" i="3"/>
  <c r="BZ144" i="3"/>
  <c r="BZ145" i="3"/>
  <c r="BK144" i="3"/>
  <c r="BF145" i="3"/>
  <c r="BB145" i="3"/>
  <c r="AW148" i="3"/>
  <c r="AW149" i="3"/>
  <c r="AR145" i="3"/>
  <c r="AC144" i="3"/>
  <c r="AC145" i="3"/>
  <c r="N144" i="3"/>
  <c r="N145" i="3"/>
  <c r="ER148" i="3"/>
  <c r="ER149" i="3"/>
  <c r="AX145" i="3"/>
  <c r="CB145" i="3"/>
  <c r="BW145" i="3"/>
  <c r="CQ145" i="3"/>
  <c r="DZ145" i="3"/>
  <c r="BM145" i="3"/>
  <c r="J149" i="3"/>
  <c r="BC145" i="3"/>
  <c r="CG149" i="3"/>
  <c r="BU148" i="3"/>
  <c r="EH144" i="3"/>
  <c r="DJ148" i="3"/>
  <c r="CJ144" i="3"/>
  <c r="BV148" i="3"/>
  <c r="X148" i="3"/>
  <c r="N148" i="3"/>
  <c r="M148" i="3"/>
  <c r="DD148" i="3"/>
  <c r="AX144" i="3"/>
  <c r="DJ144" i="3"/>
  <c r="CY144" i="3"/>
  <c r="CF148" i="3"/>
  <c r="BL144" i="3"/>
  <c r="BF148" i="3"/>
  <c r="AV144" i="3"/>
  <c r="I144" i="3"/>
  <c r="W148" i="3"/>
  <c r="AX148" i="3"/>
  <c r="DD144" i="3"/>
  <c r="EI144" i="3"/>
  <c r="EN144" i="3"/>
  <c r="EH148" i="3"/>
  <c r="DX148" i="3"/>
  <c r="DO144" i="3"/>
  <c r="CZ148" i="3"/>
  <c r="CT148" i="3"/>
  <c r="CP148" i="3"/>
  <c r="CJ148" i="3"/>
  <c r="BV144" i="3"/>
  <c r="BB148" i="3"/>
  <c r="AV148" i="3"/>
  <c r="AR148" i="3"/>
  <c r="AH144" i="3"/>
  <c r="AC148" i="3"/>
  <c r="S144" i="3"/>
  <c r="BK148" i="3"/>
  <c r="W144" i="3"/>
  <c r="DT144" i="3"/>
  <c r="EI148" i="3"/>
  <c r="EN148" i="3"/>
  <c r="DS148" i="3"/>
  <c r="BQ148" i="3"/>
  <c r="DS144" i="3"/>
  <c r="DO148" i="3"/>
  <c r="DE144" i="3"/>
  <c r="CO144" i="3"/>
  <c r="CK144" i="3"/>
  <c r="BF144" i="3"/>
  <c r="BB144" i="3"/>
  <c r="AR144" i="3"/>
  <c r="AQ148" i="3"/>
  <c r="M144" i="3"/>
  <c r="BU144" i="3"/>
  <c r="EM144" i="3"/>
  <c r="CS212" i="3"/>
  <c r="CX212" i="3"/>
  <c r="EB212" i="3"/>
  <c r="DC212" i="3"/>
  <c r="EL212" i="3"/>
  <c r="DR212" i="3"/>
  <c r="EG212" i="3"/>
  <c r="CI212" i="3"/>
  <c r="CI213" i="3" s="1"/>
  <c r="CN212" i="3"/>
  <c r="G143" i="3"/>
  <c r="G147" i="3"/>
  <c r="G140" i="3"/>
  <c r="L143" i="3"/>
  <c r="L147" i="3"/>
  <c r="L140" i="3"/>
  <c r="Q143" i="3"/>
  <c r="Q147" i="3"/>
  <c r="Q140" i="3"/>
  <c r="V143" i="3"/>
  <c r="V147" i="3"/>
  <c r="V140" i="3"/>
  <c r="AA143" i="3"/>
  <c r="AA147" i="3"/>
  <c r="AA140" i="3"/>
  <c r="AP143" i="3"/>
  <c r="AP147" i="3"/>
  <c r="AP140" i="3"/>
  <c r="AU143" i="3"/>
  <c r="AU147" i="3"/>
  <c r="AU140" i="3"/>
  <c r="AZ143" i="3"/>
  <c r="AZ147" i="3"/>
  <c r="AZ140" i="3"/>
  <c r="BE143" i="3"/>
  <c r="BE147" i="3"/>
  <c r="BE140" i="3"/>
  <c r="BJ143" i="3"/>
  <c r="BJ147" i="3"/>
  <c r="BJ140" i="3"/>
  <c r="BT143" i="3"/>
  <c r="BT147" i="3"/>
  <c r="BT140" i="3"/>
  <c r="BY143" i="3"/>
  <c r="BY147" i="3"/>
  <c r="BY140" i="3"/>
  <c r="CD143" i="3"/>
  <c r="CD147" i="3"/>
  <c r="CD140" i="3"/>
  <c r="CI143" i="3"/>
  <c r="CI147" i="3"/>
  <c r="CI140" i="3"/>
  <c r="CN143" i="3"/>
  <c r="CN147" i="3"/>
  <c r="CN140" i="3"/>
  <c r="CS143" i="3"/>
  <c r="CS147" i="3"/>
  <c r="CS140" i="3"/>
  <c r="CX143" i="3"/>
  <c r="CX147" i="3"/>
  <c r="CX140" i="3"/>
  <c r="DC143" i="3"/>
  <c r="DC147" i="3"/>
  <c r="DC140" i="3"/>
  <c r="DR143" i="3"/>
  <c r="DR147" i="3"/>
  <c r="DR203" i="3" s="1"/>
  <c r="DR140" i="3"/>
  <c r="DW143" i="3"/>
  <c r="DW147" i="3"/>
  <c r="DW140" i="3"/>
  <c r="EB140" i="3"/>
  <c r="EB143" i="3"/>
  <c r="EB147" i="3"/>
  <c r="EB203" i="3" s="1"/>
  <c r="EG143" i="3"/>
  <c r="EG147" i="3"/>
  <c r="EG203" i="3" s="1"/>
  <c r="EG140" i="3"/>
  <c r="EL147" i="3"/>
  <c r="EL140" i="3"/>
  <c r="EL143" i="3"/>
  <c r="DH203" i="3" l="1"/>
  <c r="DC203" i="3"/>
  <c r="EL203" i="3"/>
  <c r="DW203" i="3"/>
  <c r="DI96" i="6"/>
  <c r="DI92" i="6"/>
  <c r="DW191" i="3"/>
  <c r="EG191" i="3"/>
  <c r="DR191" i="3"/>
  <c r="EB191" i="3"/>
  <c r="EL191" i="3"/>
  <c r="EQ191" i="3"/>
  <c r="DH191" i="3"/>
  <c r="EQ46" i="8"/>
  <c r="DM46" i="8"/>
  <c r="EB46" i="8"/>
  <c r="EG46" i="8"/>
  <c r="DR46" i="8"/>
  <c r="CX46" i="8"/>
  <c r="ED204" i="3"/>
  <c r="EL46" i="8"/>
  <c r="DW46" i="8"/>
  <c r="DC46" i="8"/>
  <c r="G125" i="5"/>
  <c r="F127" i="5" s="1"/>
  <c r="DH46" i="8"/>
  <c r="BQ66" i="6"/>
  <c r="BQ71" i="6" s="1"/>
  <c r="BS66" i="6"/>
  <c r="BS67" i="6" s="1"/>
  <c r="BP66" i="6"/>
  <c r="BP71" i="6" s="1"/>
  <c r="BR66" i="6"/>
  <c r="BR71" i="6" s="1"/>
  <c r="DO204" i="3"/>
  <c r="DM148" i="3"/>
  <c r="EB213" i="3"/>
  <c r="EH204" i="3"/>
  <c r="CZ204" i="3"/>
  <c r="DX204" i="3"/>
  <c r="DE204" i="3"/>
  <c r="DT204" i="3"/>
  <c r="DI204" i="3"/>
  <c r="DJ204" i="3"/>
  <c r="DB204" i="3"/>
  <c r="DY204" i="3"/>
  <c r="DK204" i="3"/>
  <c r="DN204" i="3"/>
  <c r="EC204" i="3"/>
  <c r="DR213" i="3"/>
  <c r="DM191" i="3"/>
  <c r="DG204" i="3"/>
  <c r="DF204" i="3"/>
  <c r="DS204" i="3"/>
  <c r="EI204" i="3"/>
  <c r="EM204" i="3"/>
  <c r="ER204" i="3"/>
  <c r="DL204" i="3"/>
  <c r="CN213" i="3"/>
  <c r="DD204" i="3"/>
  <c r="CY204" i="3"/>
  <c r="DC213" i="3"/>
  <c r="EG213" i="3"/>
  <c r="CS213" i="3"/>
  <c r="CX213" i="3"/>
  <c r="DM213" i="3"/>
  <c r="EQ213" i="3"/>
  <c r="DW213" i="3"/>
  <c r="EL213" i="3"/>
  <c r="DH213" i="3"/>
  <c r="DM144" i="3"/>
  <c r="AK148" i="3"/>
  <c r="AK144" i="3"/>
  <c r="EQ148" i="3"/>
  <c r="BT144" i="3"/>
  <c r="AT66" i="6"/>
  <c r="AT59" i="6"/>
  <c r="AT100" i="5"/>
  <c r="AT105" i="5" s="1"/>
  <c r="AD66" i="6"/>
  <c r="AD59" i="6"/>
  <c r="AD100" i="5"/>
  <c r="AD105" i="5" s="1"/>
  <c r="Y66" i="6"/>
  <c r="Y59" i="6"/>
  <c r="Y100" i="5"/>
  <c r="Y105" i="5" s="1"/>
  <c r="AI59" i="6"/>
  <c r="AI66" i="6"/>
  <c r="AI100" i="5"/>
  <c r="AI105" i="5" s="1"/>
  <c r="AN100" i="5"/>
  <c r="AN105" i="5" s="1"/>
  <c r="AN66" i="6"/>
  <c r="AN59" i="6"/>
  <c r="AB66" i="6"/>
  <c r="AB71" i="6" s="1"/>
  <c r="AB59" i="6"/>
  <c r="AF31" i="6"/>
  <c r="AF32" i="6" s="1"/>
  <c r="AB100" i="5"/>
  <c r="AB105" i="5" s="1"/>
  <c r="N66" i="6"/>
  <c r="N59" i="6"/>
  <c r="N100" i="5"/>
  <c r="N105" i="5" s="1"/>
  <c r="T66" i="6"/>
  <c r="T59" i="6"/>
  <c r="T100" i="5"/>
  <c r="T105" i="5" s="1"/>
  <c r="AJ59" i="6"/>
  <c r="AJ66" i="6"/>
  <c r="AJ100" i="5"/>
  <c r="AJ105" i="5" s="1"/>
  <c r="U66" i="6"/>
  <c r="U59" i="6"/>
  <c r="U100" i="5"/>
  <c r="U105" i="5" s="1"/>
  <c r="H100" i="5"/>
  <c r="H105" i="5" s="1"/>
  <c r="H66" i="6"/>
  <c r="H71" i="6" s="1"/>
  <c r="H59" i="6"/>
  <c r="L31" i="6"/>
  <c r="L32" i="6" s="1"/>
  <c r="BB66" i="6"/>
  <c r="BB59" i="6"/>
  <c r="BB100" i="5"/>
  <c r="BB105" i="5" s="1"/>
  <c r="BR59" i="6"/>
  <c r="BR100" i="5"/>
  <c r="BR105" i="5" s="1"/>
  <c r="BL59" i="6"/>
  <c r="BL100" i="5"/>
  <c r="BL105" i="5" s="1"/>
  <c r="BL66" i="6"/>
  <c r="BA59" i="6"/>
  <c r="BE31" i="6"/>
  <c r="BE32" i="6" s="1"/>
  <c r="BA100" i="5"/>
  <c r="BA105" i="5" s="1"/>
  <c r="BA66" i="6"/>
  <c r="BA71" i="6" s="1"/>
  <c r="AC59" i="6"/>
  <c r="AC100" i="5"/>
  <c r="AC105" i="5" s="1"/>
  <c r="AC66" i="6"/>
  <c r="AR100" i="5"/>
  <c r="AR105" i="5" s="1"/>
  <c r="AR66" i="6"/>
  <c r="AR59" i="6"/>
  <c r="I66" i="6"/>
  <c r="I59" i="6"/>
  <c r="I100" i="5"/>
  <c r="I105" i="5" s="1"/>
  <c r="AP144" i="3"/>
  <c r="BI66" i="6"/>
  <c r="BI100" i="5"/>
  <c r="BI105" i="5" s="1"/>
  <c r="BI59" i="6"/>
  <c r="AL66" i="6"/>
  <c r="AL71" i="6" s="1"/>
  <c r="AL59" i="6"/>
  <c r="AP31" i="6"/>
  <c r="AP32" i="6" s="1"/>
  <c r="AL100" i="5"/>
  <c r="AL105" i="5" s="1"/>
  <c r="BK100" i="5"/>
  <c r="BK105" i="5" s="1"/>
  <c r="BK66" i="6"/>
  <c r="BK71" i="6" s="1"/>
  <c r="BK59" i="6"/>
  <c r="BO31" i="6"/>
  <c r="BO32" i="6" s="1"/>
  <c r="BH66" i="6"/>
  <c r="BH59" i="6"/>
  <c r="BH100" i="5"/>
  <c r="BH105" i="5" s="1"/>
  <c r="AS66" i="6"/>
  <c r="AS59" i="6"/>
  <c r="AS100" i="5"/>
  <c r="AS105" i="5" s="1"/>
  <c r="BD66" i="6"/>
  <c r="BD59" i="6"/>
  <c r="BD100" i="5"/>
  <c r="BD105" i="5" s="1"/>
  <c r="AV59" i="6"/>
  <c r="AV100" i="5"/>
  <c r="AV105" i="5" s="1"/>
  <c r="AV66" i="6"/>
  <c r="AV71" i="6" s="1"/>
  <c r="AZ31" i="6"/>
  <c r="AZ32" i="6" s="1"/>
  <c r="BQ59" i="6"/>
  <c r="BQ100" i="5"/>
  <c r="BQ105" i="5" s="1"/>
  <c r="BS100" i="5"/>
  <c r="BS105" i="5" s="1"/>
  <c r="BS59" i="6"/>
  <c r="S66" i="6"/>
  <c r="S59" i="6"/>
  <c r="S100" i="5"/>
  <c r="S105" i="5" s="1"/>
  <c r="BP59" i="6"/>
  <c r="BT31" i="6"/>
  <c r="BT32" i="6" s="1"/>
  <c r="BP100" i="5"/>
  <c r="BP105" i="5" s="1"/>
  <c r="O66" i="6"/>
  <c r="O59" i="6"/>
  <c r="O100" i="5"/>
  <c r="O105" i="5" s="1"/>
  <c r="BG66" i="6"/>
  <c r="BG59" i="6"/>
  <c r="BG100" i="5"/>
  <c r="BG105" i="5" s="1"/>
  <c r="AY59" i="6"/>
  <c r="AY66" i="6"/>
  <c r="AY100" i="5"/>
  <c r="AY105" i="5" s="1"/>
  <c r="AX66" i="6"/>
  <c r="AX59" i="6"/>
  <c r="AX100" i="5"/>
  <c r="AX105" i="5" s="1"/>
  <c r="DR148" i="3"/>
  <c r="BT148" i="3"/>
  <c r="G148" i="3"/>
  <c r="J66" i="6"/>
  <c r="J100" i="5"/>
  <c r="J105" i="5" s="1"/>
  <c r="J59" i="6"/>
  <c r="AQ66" i="6"/>
  <c r="AQ71" i="6" s="1"/>
  <c r="AU31" i="6"/>
  <c r="AU32" i="6" s="1"/>
  <c r="AQ59" i="6"/>
  <c r="AQ100" i="5"/>
  <c r="AQ105" i="5" s="1"/>
  <c r="K59" i="6"/>
  <c r="K100" i="5"/>
  <c r="K105" i="5" s="1"/>
  <c r="K66" i="6"/>
  <c r="BM59" i="6"/>
  <c r="BM100" i="5"/>
  <c r="BM105" i="5" s="1"/>
  <c r="BM66" i="6"/>
  <c r="AP148" i="3"/>
  <c r="DR144" i="3"/>
  <c r="AF144" i="3"/>
  <c r="G144" i="3"/>
  <c r="Z66" i="6"/>
  <c r="Z59" i="6"/>
  <c r="Z100" i="5"/>
  <c r="Z105" i="5" s="1"/>
  <c r="M66" i="6"/>
  <c r="M71" i="6" s="1"/>
  <c r="M59" i="6"/>
  <c r="M100" i="5"/>
  <c r="M105" i="5" s="1"/>
  <c r="Q31" i="6"/>
  <c r="Q32" i="6" s="1"/>
  <c r="AO59" i="6"/>
  <c r="AO100" i="5"/>
  <c r="AO105" i="5" s="1"/>
  <c r="AO66" i="6"/>
  <c r="P59" i="6"/>
  <c r="P66" i="6"/>
  <c r="P100" i="5"/>
  <c r="P105" i="5" s="1"/>
  <c r="AA31" i="6"/>
  <c r="AA32" i="6" s="1"/>
  <c r="X100" i="5"/>
  <c r="X105" i="5" s="1"/>
  <c r="X66" i="6"/>
  <c r="X59" i="6"/>
  <c r="AH66" i="6"/>
  <c r="AH59" i="6"/>
  <c r="AH100" i="5"/>
  <c r="AH105" i="5" s="1"/>
  <c r="AM100" i="5"/>
  <c r="AM105" i="5" s="1"/>
  <c r="AM66" i="6"/>
  <c r="AM59" i="6"/>
  <c r="AE59" i="6"/>
  <c r="AE66" i="6"/>
  <c r="AE100" i="5"/>
  <c r="AE105" i="5" s="1"/>
  <c r="AG66" i="6"/>
  <c r="AG71" i="6" s="1"/>
  <c r="AG59" i="6"/>
  <c r="AK31" i="6"/>
  <c r="AK32" i="6" s="1"/>
  <c r="AG100" i="5"/>
  <c r="AG105" i="5" s="1"/>
  <c r="BN59" i="6"/>
  <c r="BN100" i="5"/>
  <c r="BN105" i="5" s="1"/>
  <c r="BN66" i="6"/>
  <c r="R66" i="6"/>
  <c r="R71" i="6" s="1"/>
  <c r="R59" i="6"/>
  <c r="V31" i="6"/>
  <c r="V32" i="6" s="1"/>
  <c r="R100" i="5"/>
  <c r="R105" i="5" s="1"/>
  <c r="BC66" i="6"/>
  <c r="BC100" i="5"/>
  <c r="BC105" i="5" s="1"/>
  <c r="BC59" i="6"/>
  <c r="AW59" i="6"/>
  <c r="AW100" i="5"/>
  <c r="AW105" i="5" s="1"/>
  <c r="AW66" i="6"/>
  <c r="W66" i="6"/>
  <c r="W71" i="6" s="1"/>
  <c r="W59" i="6"/>
  <c r="W100" i="5"/>
  <c r="W105" i="5" s="1"/>
  <c r="BF66" i="6"/>
  <c r="BF71" i="6" s="1"/>
  <c r="BF59" i="6"/>
  <c r="BJ31" i="6"/>
  <c r="BJ32" i="6" s="1"/>
  <c r="BF100" i="5"/>
  <c r="BF105" i="5" s="1"/>
  <c r="C126" i="5"/>
  <c r="E63" i="6"/>
  <c r="F60" i="6"/>
  <c r="F61" i="6" s="1"/>
  <c r="CS144" i="3"/>
  <c r="AZ144" i="3"/>
  <c r="V144" i="3"/>
  <c r="L144" i="3"/>
  <c r="DC144" i="3"/>
  <c r="DW144" i="3"/>
  <c r="BJ144" i="3"/>
  <c r="BY144" i="3"/>
  <c r="CI144" i="3"/>
  <c r="EG148" i="3"/>
  <c r="DC148" i="3"/>
  <c r="CS148" i="3"/>
  <c r="CI148" i="3"/>
  <c r="BY148" i="3"/>
  <c r="BJ148" i="3"/>
  <c r="AZ148" i="3"/>
  <c r="V148" i="3"/>
  <c r="L148" i="3"/>
  <c r="DW148" i="3"/>
  <c r="EG144" i="3"/>
  <c r="DH148" i="3"/>
  <c r="EL144" i="3"/>
  <c r="EB148" i="3"/>
  <c r="DH144" i="3"/>
  <c r="BE148" i="3"/>
  <c r="EB144" i="3"/>
  <c r="CX148" i="3"/>
  <c r="AA148" i="3"/>
  <c r="Q148" i="3"/>
  <c r="EL148" i="3"/>
  <c r="CN144" i="3"/>
  <c r="CD144" i="3"/>
  <c r="BE144" i="3"/>
  <c r="AA144" i="3"/>
  <c r="Q144" i="3"/>
  <c r="BO144" i="3"/>
  <c r="EQ144" i="3"/>
  <c r="BO148" i="3"/>
  <c r="CN148" i="3"/>
  <c r="CD148" i="3"/>
  <c r="AU148" i="3"/>
  <c r="CX144" i="3"/>
  <c r="AU144" i="3"/>
  <c r="AF148" i="3"/>
  <c r="BX68" i="6"/>
  <c r="BW68" i="6"/>
  <c r="BV68" i="6"/>
  <c r="BU68" i="6"/>
  <c r="BX46" i="6"/>
  <c r="BW46" i="6"/>
  <c r="BV46" i="6"/>
  <c r="BU46" i="6"/>
  <c r="BX56" i="6"/>
  <c r="BW56" i="6"/>
  <c r="BV56" i="6"/>
  <c r="BU56" i="6"/>
  <c r="BX31" i="6"/>
  <c r="BX32" i="6" s="1"/>
  <c r="BW31" i="6"/>
  <c r="BW32" i="6" s="1"/>
  <c r="BV31" i="6"/>
  <c r="BV32" i="6" s="1"/>
  <c r="BU31" i="6"/>
  <c r="BU32" i="6" s="1"/>
  <c r="DI98" i="6" l="1"/>
  <c r="AL74" i="6"/>
  <c r="AL75" i="6" s="1"/>
  <c r="AB74" i="6"/>
  <c r="AB75" i="6" s="1"/>
  <c r="W74" i="6"/>
  <c r="W75" i="6" s="1"/>
  <c r="BQ67" i="6"/>
  <c r="BK74" i="6"/>
  <c r="BK75" i="6" s="1"/>
  <c r="M74" i="6"/>
  <c r="M75" i="6" s="1"/>
  <c r="BA74" i="6"/>
  <c r="BA75" i="6" s="1"/>
  <c r="AG74" i="6"/>
  <c r="AG75" i="6" s="1"/>
  <c r="AV74" i="6"/>
  <c r="AV75" i="6" s="1"/>
  <c r="AQ74" i="6"/>
  <c r="AQ75" i="6" s="1"/>
  <c r="R74" i="6"/>
  <c r="R75" i="6" s="1"/>
  <c r="BP74" i="6"/>
  <c r="BP75" i="6" s="1"/>
  <c r="BF74" i="6"/>
  <c r="BF75" i="6" s="1"/>
  <c r="D127" i="5"/>
  <c r="G126" i="5"/>
  <c r="C127" i="5"/>
  <c r="E127" i="5"/>
  <c r="BR67" i="6"/>
  <c r="BS71" i="6"/>
  <c r="BP67" i="6"/>
  <c r="BT66" i="6"/>
  <c r="BT71" i="6" s="1"/>
  <c r="BN101" i="5"/>
  <c r="AQ101" i="5"/>
  <c r="J101" i="5"/>
  <c r="AS101" i="5"/>
  <c r="AI101" i="5"/>
  <c r="Y101" i="5"/>
  <c r="P101" i="5"/>
  <c r="AY101" i="5"/>
  <c r="BP101" i="5"/>
  <c r="AC101" i="5"/>
  <c r="BA101" i="5"/>
  <c r="H101" i="5"/>
  <c r="T101" i="5"/>
  <c r="R101" i="5"/>
  <c r="AO101" i="5"/>
  <c r="BL101" i="5"/>
  <c r="AE101" i="5"/>
  <c r="AM101" i="5"/>
  <c r="Z101" i="5"/>
  <c r="BD101" i="5"/>
  <c r="BH101" i="5"/>
  <c r="AT101" i="5"/>
  <c r="O101" i="5"/>
  <c r="BR101" i="5"/>
  <c r="U101" i="5"/>
  <c r="AJ101" i="5"/>
  <c r="AB101" i="5"/>
  <c r="BQ101" i="5"/>
  <c r="BC101" i="5"/>
  <c r="AX101" i="5"/>
  <c r="W101" i="5"/>
  <c r="AH101" i="5"/>
  <c r="X101" i="5"/>
  <c r="M101" i="5"/>
  <c r="BS101" i="5"/>
  <c r="BK101" i="5"/>
  <c r="I101" i="5"/>
  <c r="AR101" i="5"/>
  <c r="AN101" i="5"/>
  <c r="AD101" i="5"/>
  <c r="BB101" i="5"/>
  <c r="AG101" i="5"/>
  <c r="K101" i="5"/>
  <c r="BF101" i="5"/>
  <c r="AW101" i="5"/>
  <c r="BM101" i="5"/>
  <c r="BG101" i="5"/>
  <c r="S101" i="5"/>
  <c r="AV101" i="5"/>
  <c r="AL101" i="5"/>
  <c r="BI101" i="5"/>
  <c r="N101" i="5"/>
  <c r="BC67" i="6"/>
  <c r="BC71" i="6"/>
  <c r="BN67" i="6"/>
  <c r="BN71" i="6"/>
  <c r="AO67" i="6"/>
  <c r="AO71" i="6"/>
  <c r="O67" i="6"/>
  <c r="O71" i="6"/>
  <c r="BL67" i="6"/>
  <c r="BL71" i="6"/>
  <c r="U67" i="6"/>
  <c r="U71" i="6"/>
  <c r="AH67" i="6"/>
  <c r="AH71" i="6"/>
  <c r="AX67" i="6"/>
  <c r="AX71" i="6"/>
  <c r="I67" i="6"/>
  <c r="I71" i="6"/>
  <c r="I73" i="6" s="1"/>
  <c r="AC67" i="6"/>
  <c r="AC71" i="6"/>
  <c r="AD67" i="6"/>
  <c r="AD71" i="6"/>
  <c r="BG67" i="6"/>
  <c r="BG71" i="6"/>
  <c r="S67" i="6"/>
  <c r="S71" i="6"/>
  <c r="BI67" i="6"/>
  <c r="BI71" i="6"/>
  <c r="N67" i="6"/>
  <c r="N71" i="6"/>
  <c r="AI67" i="6"/>
  <c r="AI71" i="6"/>
  <c r="K67" i="6"/>
  <c r="K71" i="6"/>
  <c r="K73" i="6" s="1"/>
  <c r="J67" i="6"/>
  <c r="J71" i="6"/>
  <c r="J73" i="6" s="1"/>
  <c r="AY67" i="6"/>
  <c r="AY71" i="6"/>
  <c r="AS67" i="6"/>
  <c r="AS71" i="6"/>
  <c r="BB67" i="6"/>
  <c r="BB71" i="6"/>
  <c r="AE67" i="6"/>
  <c r="AE71" i="6"/>
  <c r="X67" i="6"/>
  <c r="X71" i="6"/>
  <c r="AR67" i="6"/>
  <c r="AR71" i="6"/>
  <c r="T67" i="6"/>
  <c r="T71" i="6"/>
  <c r="AN67" i="6"/>
  <c r="AN71" i="6"/>
  <c r="Y67" i="6"/>
  <c r="Y71" i="6"/>
  <c r="AM67" i="6"/>
  <c r="AM71" i="6"/>
  <c r="P67" i="6"/>
  <c r="P71" i="6"/>
  <c r="AW67" i="6"/>
  <c r="AW71" i="6"/>
  <c r="Z67" i="6"/>
  <c r="Z71" i="6"/>
  <c r="BM67" i="6"/>
  <c r="BM71" i="6"/>
  <c r="BR74" i="6" s="1"/>
  <c r="BR75" i="6" s="1"/>
  <c r="BD67" i="6"/>
  <c r="BD71" i="6"/>
  <c r="BH67" i="6"/>
  <c r="BH71" i="6"/>
  <c r="AJ67" i="6"/>
  <c r="AJ71" i="6"/>
  <c r="AT67" i="6"/>
  <c r="AT71" i="6"/>
  <c r="DI129" i="5"/>
  <c r="DI130" i="5" s="1"/>
  <c r="BP73" i="6"/>
  <c r="BP125" i="5"/>
  <c r="BR73" i="6"/>
  <c r="BR125" i="5"/>
  <c r="BQ73" i="6"/>
  <c r="BQ125" i="5"/>
  <c r="EQ204" i="3"/>
  <c r="EG204" i="3"/>
  <c r="DR204" i="3"/>
  <c r="DW204" i="3"/>
  <c r="DM204" i="3"/>
  <c r="EB204" i="3"/>
  <c r="EL204" i="3"/>
  <c r="DC204" i="3"/>
  <c r="DH204" i="3"/>
  <c r="BJ59" i="6"/>
  <c r="BJ100" i="5"/>
  <c r="W67" i="6"/>
  <c r="AA66" i="6"/>
  <c r="AG67" i="6"/>
  <c r="AK66" i="6"/>
  <c r="AA59" i="6"/>
  <c r="AA100" i="5"/>
  <c r="M67" i="6"/>
  <c r="Q66" i="6"/>
  <c r="L59" i="6"/>
  <c r="L100" i="5"/>
  <c r="AF100" i="5"/>
  <c r="AF59" i="6"/>
  <c r="V100" i="5"/>
  <c r="V59" i="6"/>
  <c r="BJ66" i="6"/>
  <c r="BF67" i="6"/>
  <c r="BC61" i="6"/>
  <c r="AU59" i="6"/>
  <c r="AU100" i="5"/>
  <c r="BT59" i="6"/>
  <c r="BT100" i="5"/>
  <c r="BO59" i="6"/>
  <c r="BO100" i="5"/>
  <c r="AP59" i="6"/>
  <c r="AP100" i="5"/>
  <c r="BE66" i="6"/>
  <c r="BA67" i="6"/>
  <c r="H67" i="6"/>
  <c r="L66" i="6"/>
  <c r="AB67" i="6"/>
  <c r="AF66" i="6"/>
  <c r="R67" i="6"/>
  <c r="V66" i="6"/>
  <c r="Q59" i="6"/>
  <c r="Q100" i="5"/>
  <c r="AQ67" i="6"/>
  <c r="AU66" i="6"/>
  <c r="AZ59" i="6"/>
  <c r="AZ100" i="5"/>
  <c r="AV67" i="6"/>
  <c r="AZ66" i="6"/>
  <c r="BK67" i="6"/>
  <c r="BO66" i="6"/>
  <c r="AL67" i="6"/>
  <c r="AP66" i="6"/>
  <c r="BE59" i="6"/>
  <c r="BE100" i="5"/>
  <c r="AK100" i="5"/>
  <c r="AK59" i="6"/>
  <c r="F63" i="6"/>
  <c r="H60" i="6"/>
  <c r="BV59" i="6"/>
  <c r="BU59" i="6"/>
  <c r="BW100" i="5"/>
  <c r="BW105" i="5" s="1"/>
  <c r="BW59" i="6"/>
  <c r="BX100" i="5"/>
  <c r="BX105" i="5" s="1"/>
  <c r="BX59" i="6"/>
  <c r="BV69" i="6"/>
  <c r="BV70" i="6"/>
  <c r="BU70" i="6"/>
  <c r="BU69" i="6"/>
  <c r="BW69" i="6"/>
  <c r="BW70" i="6"/>
  <c r="BX69" i="6"/>
  <c r="BX70" i="6"/>
  <c r="BY68" i="6"/>
  <c r="BY69" i="6" s="1"/>
  <c r="BY31" i="6"/>
  <c r="BY32" i="6" s="1"/>
  <c r="BU100" i="5"/>
  <c r="BU105" i="5" s="1"/>
  <c r="BV100" i="5"/>
  <c r="BV105" i="5" s="1"/>
  <c r="BY46" i="6"/>
  <c r="BY56" i="6"/>
  <c r="BU66" i="6"/>
  <c r="BV66" i="6"/>
  <c r="BV71" i="6" s="1"/>
  <c r="BV74" i="6" s="1"/>
  <c r="BV75" i="6" s="1"/>
  <c r="BW66" i="6"/>
  <c r="BW71" i="6" s="1"/>
  <c r="BW74" i="6" s="1"/>
  <c r="BW75" i="6" s="1"/>
  <c r="BX66" i="6"/>
  <c r="BX71" i="6" s="1"/>
  <c r="BX74" i="6" s="1"/>
  <c r="BX75" i="6" s="1"/>
  <c r="Q101" i="5" l="1"/>
  <c r="Q105" i="5"/>
  <c r="BT101" i="5"/>
  <c r="BT105" i="5"/>
  <c r="AP101" i="5"/>
  <c r="AP105" i="5"/>
  <c r="AK101" i="5"/>
  <c r="AK105" i="5"/>
  <c r="BO101" i="5"/>
  <c r="BO105" i="5"/>
  <c r="AF101" i="5"/>
  <c r="AF105" i="5"/>
  <c r="AZ101" i="5"/>
  <c r="AZ105" i="5"/>
  <c r="AU101" i="5"/>
  <c r="AU105" i="5"/>
  <c r="BE101" i="5"/>
  <c r="BE105" i="5"/>
  <c r="AA101" i="5"/>
  <c r="AA105" i="5"/>
  <c r="V101" i="5"/>
  <c r="V105" i="5"/>
  <c r="L101" i="5"/>
  <c r="L105" i="5"/>
  <c r="BJ101" i="5"/>
  <c r="BJ105" i="5"/>
  <c r="AT125" i="5"/>
  <c r="AT126" i="5" s="1"/>
  <c r="AT74" i="6"/>
  <c r="AT75" i="6" s="1"/>
  <c r="AR73" i="6"/>
  <c r="AR74" i="6"/>
  <c r="AR75" i="6" s="1"/>
  <c r="U125" i="5"/>
  <c r="U126" i="5" s="1"/>
  <c r="U74" i="6"/>
  <c r="U75" i="6" s="1"/>
  <c r="BL73" i="6"/>
  <c r="BL74" i="6"/>
  <c r="BL75" i="6" s="1"/>
  <c r="BD73" i="6"/>
  <c r="BD74" i="6"/>
  <c r="BD75" i="6" s="1"/>
  <c r="AW73" i="6"/>
  <c r="AW74" i="6"/>
  <c r="AW75" i="6" s="1"/>
  <c r="BB125" i="5"/>
  <c r="BB126" i="5" s="1"/>
  <c r="BB74" i="6"/>
  <c r="BB75" i="6" s="1"/>
  <c r="N73" i="6"/>
  <c r="N74" i="6"/>
  <c r="N75" i="6" s="1"/>
  <c r="BG73" i="6"/>
  <c r="BG74" i="6"/>
  <c r="BG75" i="6" s="1"/>
  <c r="AO125" i="5"/>
  <c r="AO126" i="5" s="1"/>
  <c r="AO74" i="6"/>
  <c r="AO75" i="6" s="1"/>
  <c r="AJ73" i="6"/>
  <c r="AJ74" i="6"/>
  <c r="AJ75" i="6" s="1"/>
  <c r="P73" i="6"/>
  <c r="P74" i="6"/>
  <c r="P75" i="6" s="1"/>
  <c r="X73" i="6"/>
  <c r="X74" i="6"/>
  <c r="X75" i="6" s="1"/>
  <c r="BI73" i="6"/>
  <c r="BI74" i="6"/>
  <c r="BI75" i="6" s="1"/>
  <c r="BN125" i="5"/>
  <c r="BN126" i="5" s="1"/>
  <c r="BN74" i="6"/>
  <c r="BN75" i="6" s="1"/>
  <c r="BQ74" i="6"/>
  <c r="BQ75" i="6" s="1"/>
  <c r="BH125" i="5"/>
  <c r="BH126" i="5" s="1"/>
  <c r="BH74" i="6"/>
  <c r="BH75" i="6" s="1"/>
  <c r="Z125" i="5"/>
  <c r="Z126" i="5" s="1"/>
  <c r="Z74" i="6"/>
  <c r="Z75" i="6" s="1"/>
  <c r="AM73" i="6"/>
  <c r="AM74" i="6"/>
  <c r="AM75" i="6" s="1"/>
  <c r="T125" i="5"/>
  <c r="T126" i="5" s="1"/>
  <c r="T74" i="6"/>
  <c r="T75" i="6" s="1"/>
  <c r="AE73" i="6"/>
  <c r="AE74" i="6"/>
  <c r="AE75" i="6" s="1"/>
  <c r="AY73" i="6"/>
  <c r="AY74" i="6"/>
  <c r="AY75" i="6" s="1"/>
  <c r="AI73" i="6"/>
  <c r="AI74" i="6"/>
  <c r="AI75" i="6" s="1"/>
  <c r="S73" i="6"/>
  <c r="S74" i="6"/>
  <c r="S75" i="6" s="1"/>
  <c r="AC125" i="5"/>
  <c r="AC126" i="5" s="1"/>
  <c r="AC74" i="6"/>
  <c r="AC75" i="6" s="1"/>
  <c r="AH73" i="6"/>
  <c r="AH74" i="6"/>
  <c r="AH75" i="6" s="1"/>
  <c r="O73" i="6"/>
  <c r="O74" i="6"/>
  <c r="O75" i="6" s="1"/>
  <c r="BC73" i="6"/>
  <c r="BC74" i="6"/>
  <c r="BC75" i="6" s="1"/>
  <c r="BS125" i="5"/>
  <c r="BS126" i="5" s="1"/>
  <c r="BS74" i="6"/>
  <c r="BS75" i="6" s="1"/>
  <c r="Y73" i="6"/>
  <c r="Y74" i="6"/>
  <c r="Y75" i="6" s="1"/>
  <c r="BM73" i="6"/>
  <c r="BM74" i="6"/>
  <c r="BM75" i="6" s="1"/>
  <c r="AN73" i="6"/>
  <c r="AN74" i="6"/>
  <c r="AN75" i="6" s="1"/>
  <c r="AS73" i="6"/>
  <c r="AS74" i="6"/>
  <c r="AS75" i="6" s="1"/>
  <c r="AD73" i="6"/>
  <c r="AD74" i="6"/>
  <c r="AD75" i="6" s="1"/>
  <c r="AX73" i="6"/>
  <c r="AX74" i="6"/>
  <c r="AX75" i="6" s="1"/>
  <c r="BT67" i="6"/>
  <c r="BI125" i="5"/>
  <c r="BI126" i="5" s="1"/>
  <c r="BH73" i="6"/>
  <c r="AM125" i="5"/>
  <c r="AM126" i="5" s="1"/>
  <c r="BC125" i="5"/>
  <c r="BC126" i="5" s="1"/>
  <c r="AY125" i="5"/>
  <c r="AY126" i="5" s="1"/>
  <c r="AH125" i="5"/>
  <c r="AH126" i="5" s="1"/>
  <c r="Z73" i="6"/>
  <c r="T73" i="6"/>
  <c r="AC73" i="6"/>
  <c r="O125" i="5"/>
  <c r="O126" i="5" s="1"/>
  <c r="AI125" i="5"/>
  <c r="AI126" i="5" s="1"/>
  <c r="AE125" i="5"/>
  <c r="AE126" i="5" s="1"/>
  <c r="S125" i="5"/>
  <c r="S126" i="5" s="1"/>
  <c r="AS125" i="5"/>
  <c r="AS126" i="5" s="1"/>
  <c r="BS73" i="6"/>
  <c r="BL125" i="5"/>
  <c r="BL126" i="5" s="1"/>
  <c r="W103" i="5"/>
  <c r="AY103" i="5"/>
  <c r="AT103" i="5"/>
  <c r="S103" i="5"/>
  <c r="AD103" i="5"/>
  <c r="M103" i="5"/>
  <c r="U103" i="5"/>
  <c r="J103" i="5"/>
  <c r="BI103" i="5"/>
  <c r="BQ103" i="5"/>
  <c r="Z103" i="5"/>
  <c r="Y103" i="5"/>
  <c r="R103" i="5"/>
  <c r="N103" i="5"/>
  <c r="AV103" i="5"/>
  <c r="BM103" i="5"/>
  <c r="BB103" i="5"/>
  <c r="BA103" i="5"/>
  <c r="BX101" i="5"/>
  <c r="AN103" i="5"/>
  <c r="BK103" i="5"/>
  <c r="X103" i="5"/>
  <c r="AX103" i="5"/>
  <c r="AB103" i="5"/>
  <c r="BR103" i="5"/>
  <c r="BH103" i="5"/>
  <c r="AM103" i="5"/>
  <c r="BL103" i="5"/>
  <c r="T103" i="5"/>
  <c r="AC103" i="5"/>
  <c r="P103" i="5"/>
  <c r="AI103" i="5"/>
  <c r="AQ103" i="5"/>
  <c r="I103" i="5"/>
  <c r="AW103" i="5"/>
  <c r="K103" i="5"/>
  <c r="BV101" i="5"/>
  <c r="BW101" i="5"/>
  <c r="P125" i="5"/>
  <c r="P126" i="5" s="1"/>
  <c r="AR103" i="5"/>
  <c r="BS103" i="5"/>
  <c r="AH103" i="5"/>
  <c r="BC103" i="5"/>
  <c r="AJ103" i="5"/>
  <c r="O103" i="5"/>
  <c r="BD103" i="5"/>
  <c r="AE103" i="5"/>
  <c r="AO103" i="5"/>
  <c r="H103" i="5"/>
  <c r="BP103" i="5"/>
  <c r="AS103" i="5"/>
  <c r="BN103" i="5"/>
  <c r="BU101" i="5"/>
  <c r="AJ125" i="5"/>
  <c r="AJ126" i="5" s="1"/>
  <c r="AL103" i="5"/>
  <c r="BG103" i="5"/>
  <c r="BF103" i="5"/>
  <c r="AG103" i="5"/>
  <c r="AO73" i="6"/>
  <c r="AW125" i="5"/>
  <c r="AW126" i="5" s="1"/>
  <c r="AD125" i="5"/>
  <c r="AD126" i="5" s="1"/>
  <c r="I125" i="5"/>
  <c r="I126" i="5" s="1"/>
  <c r="U73" i="6"/>
  <c r="AX125" i="5"/>
  <c r="AX126" i="5" s="1"/>
  <c r="AN125" i="5"/>
  <c r="AN126" i="5" s="1"/>
  <c r="BN73" i="6"/>
  <c r="BM125" i="5"/>
  <c r="BM126" i="5" s="1"/>
  <c r="X125" i="5"/>
  <c r="X126" i="5" s="1"/>
  <c r="K125" i="5"/>
  <c r="K126" i="5" s="1"/>
  <c r="BD125" i="5"/>
  <c r="BD126" i="5" s="1"/>
  <c r="BB73" i="6"/>
  <c r="Y125" i="5"/>
  <c r="Y126" i="5" s="1"/>
  <c r="AR125" i="5"/>
  <c r="AR126" i="5" s="1"/>
  <c r="N125" i="5"/>
  <c r="N126" i="5" s="1"/>
  <c r="J125" i="5"/>
  <c r="J126" i="5" s="1"/>
  <c r="AT73" i="6"/>
  <c r="BG125" i="5"/>
  <c r="BG126" i="5" s="1"/>
  <c r="V67" i="6"/>
  <c r="V71" i="6"/>
  <c r="L67" i="6"/>
  <c r="L71" i="6"/>
  <c r="AA67" i="6"/>
  <c r="AA71" i="6"/>
  <c r="AP67" i="6"/>
  <c r="AP71" i="6"/>
  <c r="BU67" i="6"/>
  <c r="BU71" i="6"/>
  <c r="BU74" i="6" s="1"/>
  <c r="BU75" i="6" s="1"/>
  <c r="BO67" i="6"/>
  <c r="BO71" i="6"/>
  <c r="AZ67" i="6"/>
  <c r="AZ71" i="6"/>
  <c r="BE67" i="6"/>
  <c r="BE71" i="6"/>
  <c r="BJ67" i="6"/>
  <c r="BJ71" i="6"/>
  <c r="AF67" i="6"/>
  <c r="AF71" i="6"/>
  <c r="Q67" i="6"/>
  <c r="Q71" i="6"/>
  <c r="AU67" i="6"/>
  <c r="AU71" i="6"/>
  <c r="AK67" i="6"/>
  <c r="AK71" i="6"/>
  <c r="BT73" i="6"/>
  <c r="BT125" i="5"/>
  <c r="BR127" i="5" s="1"/>
  <c r="BR126" i="5"/>
  <c r="BQ126" i="5"/>
  <c r="BP126" i="5"/>
  <c r="AL125" i="5"/>
  <c r="AL126" i="5" s="1"/>
  <c r="AL73" i="6"/>
  <c r="R73" i="6"/>
  <c r="R125" i="5"/>
  <c r="H125" i="5"/>
  <c r="H126" i="5" s="1"/>
  <c r="H73" i="6"/>
  <c r="BD60" i="6"/>
  <c r="BD61" i="6" s="1"/>
  <c r="BC63" i="6"/>
  <c r="AG73" i="6"/>
  <c r="AG125" i="5"/>
  <c r="BA73" i="6"/>
  <c r="BA125" i="5"/>
  <c r="BF73" i="6"/>
  <c r="BF125" i="5"/>
  <c r="BK73" i="6"/>
  <c r="BK125" i="5"/>
  <c r="AV73" i="6"/>
  <c r="AV125" i="5"/>
  <c r="W73" i="6"/>
  <c r="W125" i="5"/>
  <c r="W126" i="5" s="1"/>
  <c r="AB73" i="6"/>
  <c r="AB125" i="5"/>
  <c r="AQ125" i="5"/>
  <c r="AQ73" i="6"/>
  <c r="M73" i="6"/>
  <c r="M125" i="5"/>
  <c r="L60" i="6"/>
  <c r="L61" i="6" s="1"/>
  <c r="H61" i="6"/>
  <c r="BY59" i="6"/>
  <c r="BV67" i="6"/>
  <c r="BW67" i="6"/>
  <c r="BX67" i="6"/>
  <c r="BY66" i="6"/>
  <c r="BY71" i="6" s="1"/>
  <c r="BY74" i="6" s="1"/>
  <c r="BY75" i="6" s="1"/>
  <c r="BY100" i="5"/>
  <c r="BY101" i="5" l="1"/>
  <c r="BY105" i="5"/>
  <c r="V73" i="6"/>
  <c r="V74" i="6"/>
  <c r="V75" i="6" s="1"/>
  <c r="AU73" i="6"/>
  <c r="AU74" i="6"/>
  <c r="AU75" i="6" s="1"/>
  <c r="BJ125" i="5"/>
  <c r="BI127" i="5" s="1"/>
  <c r="BJ74" i="6"/>
  <c r="BJ75" i="6" s="1"/>
  <c r="BO73" i="6"/>
  <c r="BO74" i="6"/>
  <c r="BO75" i="6" s="1"/>
  <c r="AA125" i="5"/>
  <c r="Z127" i="5" s="1"/>
  <c r="AA74" i="6"/>
  <c r="AA75" i="6" s="1"/>
  <c r="AK125" i="5"/>
  <c r="AK126" i="5" s="1"/>
  <c r="AK74" i="6"/>
  <c r="AK75" i="6" s="1"/>
  <c r="AZ125" i="5"/>
  <c r="AY127" i="5" s="1"/>
  <c r="AZ74" i="6"/>
  <c r="AZ75" i="6" s="1"/>
  <c r="AF125" i="5"/>
  <c r="AE127" i="5" s="1"/>
  <c r="AF74" i="6"/>
  <c r="AF75" i="6" s="1"/>
  <c r="AP125" i="5"/>
  <c r="AO127" i="5" s="1"/>
  <c r="AP74" i="6"/>
  <c r="AP75" i="6" s="1"/>
  <c r="Q73" i="6"/>
  <c r="Q74" i="6"/>
  <c r="Q75" i="6" s="1"/>
  <c r="BE125" i="5"/>
  <c r="BE126" i="5" s="1"/>
  <c r="BE74" i="6"/>
  <c r="BE75" i="6" s="1"/>
  <c r="L73" i="6"/>
  <c r="L74" i="6"/>
  <c r="L75" i="6" s="1"/>
  <c r="BT74" i="6"/>
  <c r="BT75" i="6" s="1"/>
  <c r="BO125" i="5"/>
  <c r="BO126" i="5" s="1"/>
  <c r="AZ73" i="6"/>
  <c r="BJ73" i="6"/>
  <c r="AU125" i="5"/>
  <c r="AU126" i="5" s="1"/>
  <c r="AP73" i="6"/>
  <c r="AA73" i="6"/>
  <c r="BW103" i="5"/>
  <c r="V125" i="5"/>
  <c r="V126" i="5" s="1"/>
  <c r="BU103" i="5"/>
  <c r="BV103" i="5"/>
  <c r="AK73" i="6"/>
  <c r="AF73" i="6"/>
  <c r="BX103" i="5"/>
  <c r="BE73" i="6"/>
  <c r="Q125" i="5"/>
  <c r="Q126" i="5" s="1"/>
  <c r="L125" i="5"/>
  <c r="L126" i="5" s="1"/>
  <c r="BQ127" i="5"/>
  <c r="BP127" i="5"/>
  <c r="BT126" i="5"/>
  <c r="BS127" i="5"/>
  <c r="AX127" i="5"/>
  <c r="AQ126" i="5"/>
  <c r="AV126" i="5"/>
  <c r="AG126" i="5"/>
  <c r="BF126" i="5"/>
  <c r="BA126" i="5"/>
  <c r="AB126" i="5"/>
  <c r="M126" i="5"/>
  <c r="R126" i="5"/>
  <c r="BK126" i="5"/>
  <c r="BF60" i="6"/>
  <c r="BD63" i="6"/>
  <c r="I60" i="6"/>
  <c r="I61" i="6" s="1"/>
  <c r="H63" i="6"/>
  <c r="BX73" i="6"/>
  <c r="BX125" i="5"/>
  <c r="BW125" i="5"/>
  <c r="BW73" i="6"/>
  <c r="BV73" i="6"/>
  <c r="BV125" i="5"/>
  <c r="BY67" i="6"/>
  <c r="BU125" i="5"/>
  <c r="BU73" i="6"/>
  <c r="AW127" i="5" l="1"/>
  <c r="AZ126" i="5"/>
  <c r="BL127" i="5"/>
  <c r="AV127" i="5"/>
  <c r="AA126" i="5"/>
  <c r="X127" i="5"/>
  <c r="BC127" i="5"/>
  <c r="W127" i="5"/>
  <c r="AF126" i="5"/>
  <c r="Y127" i="5"/>
  <c r="AC127" i="5"/>
  <c r="AH127" i="5"/>
  <c r="BB127" i="5"/>
  <c r="BK127" i="5"/>
  <c r="AB127" i="5"/>
  <c r="AG127" i="5"/>
  <c r="AQ127" i="5"/>
  <c r="AD127" i="5"/>
  <c r="AR127" i="5"/>
  <c r="BN127" i="5"/>
  <c r="BA127" i="5"/>
  <c r="BG127" i="5"/>
  <c r="AP126" i="5"/>
  <c r="BF127" i="5"/>
  <c r="AN127" i="5"/>
  <c r="AI127" i="5"/>
  <c r="BH127" i="5"/>
  <c r="AM127" i="5"/>
  <c r="AJ127" i="5"/>
  <c r="BJ126" i="5"/>
  <c r="AL127" i="5"/>
  <c r="BD127" i="5"/>
  <c r="BM127" i="5"/>
  <c r="U127" i="5"/>
  <c r="AS127" i="5"/>
  <c r="AT127" i="5"/>
  <c r="T127" i="5"/>
  <c r="R127" i="5"/>
  <c r="O127" i="5"/>
  <c r="I127" i="5"/>
  <c r="S127" i="5"/>
  <c r="H127" i="5"/>
  <c r="K127" i="5"/>
  <c r="J127" i="5"/>
  <c r="P127" i="5"/>
  <c r="M127" i="5"/>
  <c r="N127" i="5"/>
  <c r="BJ60" i="6"/>
  <c r="BJ61" i="6" s="1"/>
  <c r="BF61" i="6"/>
  <c r="BU126" i="5"/>
  <c r="BX126" i="5"/>
  <c r="BV126" i="5"/>
  <c r="BW126" i="5"/>
  <c r="I63" i="6"/>
  <c r="J60" i="6"/>
  <c r="J61" i="6" s="1"/>
  <c r="BY125" i="5"/>
  <c r="BY126" i="5" s="1"/>
  <c r="BY73" i="6"/>
  <c r="BG60" i="6" l="1"/>
  <c r="BG61" i="6" s="1"/>
  <c r="BF63" i="6"/>
  <c r="BV127" i="5"/>
  <c r="BX127" i="5"/>
  <c r="BW127" i="5"/>
  <c r="BU127" i="5"/>
  <c r="J63" i="6"/>
  <c r="K60" i="6"/>
  <c r="K61" i="6" s="1"/>
  <c r="BG63" i="6" l="1"/>
  <c r="BH60" i="6"/>
  <c r="BH61" i="6" s="1"/>
  <c r="K63" i="6"/>
  <c r="M60" i="6"/>
  <c r="CC68" i="6"/>
  <c r="CB68" i="6"/>
  <c r="CA68" i="6"/>
  <c r="BZ68" i="6"/>
  <c r="CC46" i="6"/>
  <c r="CB46" i="6"/>
  <c r="CA46" i="6"/>
  <c r="BZ46" i="6"/>
  <c r="CC56" i="6"/>
  <c r="CB56" i="6"/>
  <c r="CA56" i="6"/>
  <c r="BZ56" i="6"/>
  <c r="CC31" i="6"/>
  <c r="CC32" i="6" s="1"/>
  <c r="CB31" i="6"/>
  <c r="CB32" i="6" s="1"/>
  <c r="CA31" i="6"/>
  <c r="CA32" i="6" s="1"/>
  <c r="BZ31" i="6"/>
  <c r="BZ32" i="6" s="1"/>
  <c r="BI60" i="6" l="1"/>
  <c r="BI61" i="6" s="1"/>
  <c r="BH63" i="6"/>
  <c r="BZ59" i="6"/>
  <c r="Q60" i="6"/>
  <c r="Q61" i="6" s="1"/>
  <c r="M61" i="6"/>
  <c r="CA59" i="6"/>
  <c r="CB59" i="6"/>
  <c r="CC59" i="6"/>
  <c r="CA69" i="6"/>
  <c r="CA70" i="6"/>
  <c r="CB69" i="6"/>
  <c r="CB70" i="6"/>
  <c r="BZ69" i="6"/>
  <c r="BZ70" i="6"/>
  <c r="CC69" i="6"/>
  <c r="CC70" i="6"/>
  <c r="CD68" i="6"/>
  <c r="CD69" i="6" s="1"/>
  <c r="BZ100" i="5"/>
  <c r="BZ105" i="5" s="1"/>
  <c r="CD31" i="6"/>
  <c r="CD32" i="6" s="1"/>
  <c r="CD46" i="6"/>
  <c r="CA66" i="6"/>
  <c r="CA71" i="6" s="1"/>
  <c r="CA74" i="6" s="1"/>
  <c r="CA75" i="6" s="1"/>
  <c r="CA100" i="5"/>
  <c r="CA105" i="5" s="1"/>
  <c r="CB66" i="6"/>
  <c r="CB71" i="6" s="1"/>
  <c r="CB74" i="6" s="1"/>
  <c r="CB75" i="6" s="1"/>
  <c r="CB100" i="5"/>
  <c r="CB105" i="5" s="1"/>
  <c r="CC66" i="6"/>
  <c r="CC71" i="6" s="1"/>
  <c r="CC74" i="6" s="1"/>
  <c r="CC75" i="6" s="1"/>
  <c r="CC100" i="5"/>
  <c r="CC105" i="5" s="1"/>
  <c r="CD56" i="6"/>
  <c r="BZ66" i="6"/>
  <c r="CC101" i="5" l="1"/>
  <c r="CA101" i="5"/>
  <c r="CB101" i="5"/>
  <c r="BZ101" i="5"/>
  <c r="BZ67" i="6"/>
  <c r="BZ71" i="6"/>
  <c r="BZ74" i="6" s="1"/>
  <c r="BZ75" i="6" s="1"/>
  <c r="BI63" i="6"/>
  <c r="BK60" i="6"/>
  <c r="M63" i="6"/>
  <c r="N60" i="6"/>
  <c r="N61" i="6" s="1"/>
  <c r="CD59" i="6"/>
  <c r="CC67" i="6"/>
  <c r="CA67" i="6"/>
  <c r="CB67" i="6"/>
  <c r="CD100" i="5"/>
  <c r="CD66" i="6"/>
  <c r="CD71" i="6" s="1"/>
  <c r="CD74" i="6" s="1"/>
  <c r="CD75" i="6" s="1"/>
  <c r="CD101" i="5" l="1"/>
  <c r="CD105" i="5"/>
  <c r="CA103" i="5"/>
  <c r="BZ103" i="5"/>
  <c r="CB103" i="5"/>
  <c r="CC103" i="5"/>
  <c r="BO60" i="6"/>
  <c r="BO61" i="6" s="1"/>
  <c r="BK61" i="6"/>
  <c r="O60" i="6"/>
  <c r="O61" i="6" s="1"/>
  <c r="N63" i="6"/>
  <c r="CB125" i="5"/>
  <c r="CB73" i="6"/>
  <c r="CA125" i="5"/>
  <c r="CA73" i="6"/>
  <c r="CC125" i="5"/>
  <c r="CC73" i="6"/>
  <c r="CD67" i="6"/>
  <c r="BZ125" i="5"/>
  <c r="BZ73" i="6"/>
  <c r="BK63" i="6" l="1"/>
  <c r="BL60" i="6"/>
  <c r="BL61" i="6" s="1"/>
  <c r="CC126" i="5"/>
  <c r="BZ126" i="5"/>
  <c r="CB126" i="5"/>
  <c r="CA126" i="5"/>
  <c r="P60" i="6"/>
  <c r="P61" i="6" s="1"/>
  <c r="O63" i="6"/>
  <c r="CD73" i="6"/>
  <c r="CD125" i="5"/>
  <c r="CD126" i="5" s="1"/>
  <c r="BM60" i="6" l="1"/>
  <c r="BM61" i="6" s="1"/>
  <c r="BL63" i="6"/>
  <c r="CB127" i="5"/>
  <c r="BZ127" i="5"/>
  <c r="CA127" i="5"/>
  <c r="CC127" i="5"/>
  <c r="R60" i="6"/>
  <c r="P63" i="6"/>
  <c r="CH31" i="6"/>
  <c r="CH32" i="6" s="1"/>
  <c r="CG31" i="6"/>
  <c r="CG32" i="6" s="1"/>
  <c r="CF31" i="6"/>
  <c r="CF32" i="6" s="1"/>
  <c r="CE31" i="6"/>
  <c r="CE32" i="6" s="1"/>
  <c r="CH56" i="6"/>
  <c r="CG56" i="6"/>
  <c r="CF56" i="6"/>
  <c r="CE56" i="6"/>
  <c r="CH46" i="6"/>
  <c r="CG46" i="6"/>
  <c r="CF46" i="6"/>
  <c r="CE46" i="6"/>
  <c r="CH68" i="6"/>
  <c r="CG68" i="6"/>
  <c r="CF68" i="6"/>
  <c r="CE68" i="6"/>
  <c r="CK56" i="6"/>
  <c r="CM46" i="6"/>
  <c r="CL46" i="6"/>
  <c r="CK46" i="6"/>
  <c r="CJ46" i="6"/>
  <c r="CM56" i="6"/>
  <c r="CL56" i="6"/>
  <c r="CJ56" i="6"/>
  <c r="CM31" i="6"/>
  <c r="CM32" i="6" s="1"/>
  <c r="CL31" i="6"/>
  <c r="CL32" i="6" s="1"/>
  <c r="CK31" i="6"/>
  <c r="CK32" i="6" s="1"/>
  <c r="CJ31" i="6"/>
  <c r="CJ32" i="6" s="1"/>
  <c r="CM68" i="6"/>
  <c r="CL68" i="6"/>
  <c r="CK68" i="6"/>
  <c r="CJ68" i="6"/>
  <c r="CW68" i="6"/>
  <c r="CV68" i="6"/>
  <c r="CU68" i="6"/>
  <c r="CT68" i="6"/>
  <c r="CW46" i="6"/>
  <c r="CV46" i="6"/>
  <c r="CU46" i="6"/>
  <c r="CT46" i="6"/>
  <c r="CW56" i="6"/>
  <c r="CV56" i="6"/>
  <c r="CU56" i="6"/>
  <c r="CT56" i="6"/>
  <c r="CW31" i="6"/>
  <c r="CW32" i="6" s="1"/>
  <c r="CV31" i="6"/>
  <c r="CV32" i="6" s="1"/>
  <c r="CU31" i="6"/>
  <c r="CU32" i="6" s="1"/>
  <c r="CT31" i="6"/>
  <c r="CT32" i="6" s="1"/>
  <c r="CR68" i="6"/>
  <c r="CQ68" i="6"/>
  <c r="CP68" i="6"/>
  <c r="CO68" i="6"/>
  <c r="CR46" i="6"/>
  <c r="CQ46" i="6"/>
  <c r="CP46" i="6"/>
  <c r="CO46" i="6"/>
  <c r="CR56" i="6"/>
  <c r="CQ56" i="6"/>
  <c r="CP56" i="6"/>
  <c r="CO56" i="6"/>
  <c r="CR31" i="6"/>
  <c r="CR32" i="6" s="1"/>
  <c r="CQ31" i="6"/>
  <c r="CQ32" i="6" s="1"/>
  <c r="CP31" i="6"/>
  <c r="CP32" i="6" s="1"/>
  <c r="CO31" i="6"/>
  <c r="CO32" i="6" s="1"/>
  <c r="DB68" i="6"/>
  <c r="DA68" i="6"/>
  <c r="CZ68" i="6"/>
  <c r="CY68" i="6"/>
  <c r="DB46" i="6"/>
  <c r="DA46" i="6"/>
  <c r="CZ46" i="6"/>
  <c r="CY46" i="6"/>
  <c r="DB56" i="6"/>
  <c r="DA56" i="6"/>
  <c r="CZ56" i="6"/>
  <c r="CY56" i="6"/>
  <c r="DB31" i="6"/>
  <c r="DB32" i="6" s="1"/>
  <c r="DA31" i="6"/>
  <c r="DA32" i="6" s="1"/>
  <c r="CZ31" i="6"/>
  <c r="CZ32" i="6" s="1"/>
  <c r="CY31" i="6"/>
  <c r="CY32" i="6" s="1"/>
  <c r="DG68" i="6"/>
  <c r="DG84" i="6" s="1"/>
  <c r="DF68" i="6"/>
  <c r="DF84" i="6" s="1"/>
  <c r="DE68" i="6"/>
  <c r="DE84" i="6" s="1"/>
  <c r="DD68" i="6"/>
  <c r="DD84" i="6" s="1"/>
  <c r="DG46" i="6"/>
  <c r="DF46" i="6"/>
  <c r="DE46" i="6"/>
  <c r="DD46" i="6"/>
  <c r="DG56" i="6"/>
  <c r="DF56" i="6"/>
  <c r="DE56" i="6"/>
  <c r="DD56" i="6"/>
  <c r="DG31" i="6"/>
  <c r="DF31" i="6"/>
  <c r="DE31" i="6"/>
  <c r="DD31" i="6"/>
  <c r="DN46" i="6"/>
  <c r="DO46" i="6"/>
  <c r="DP46" i="6"/>
  <c r="DQ46" i="6"/>
  <c r="DS46" i="6"/>
  <c r="DT46" i="6"/>
  <c r="DU46" i="6"/>
  <c r="DV46" i="6"/>
  <c r="DX46" i="6"/>
  <c r="DY46" i="6"/>
  <c r="DZ46" i="6"/>
  <c r="EA46" i="6"/>
  <c r="EC46" i="6"/>
  <c r="ED46" i="6"/>
  <c r="EE46" i="6"/>
  <c r="EF46" i="6"/>
  <c r="EH46" i="6"/>
  <c r="EI46" i="6"/>
  <c r="EJ46" i="6"/>
  <c r="EK46" i="6"/>
  <c r="EM46" i="6"/>
  <c r="EN46" i="6"/>
  <c r="EO46" i="6"/>
  <c r="EP46" i="6"/>
  <c r="DI46" i="6"/>
  <c r="DJ46" i="6"/>
  <c r="DK46" i="6"/>
  <c r="DL46" i="6"/>
  <c r="DL56" i="6"/>
  <c r="DK56" i="6"/>
  <c r="DJ56" i="6"/>
  <c r="DI56" i="6"/>
  <c r="DL31" i="6"/>
  <c r="DK31" i="6"/>
  <c r="DJ31" i="6"/>
  <c r="DL68" i="6"/>
  <c r="DL84" i="6" s="1"/>
  <c r="DK68" i="6"/>
  <c r="DK84" i="6" s="1"/>
  <c r="DJ68" i="6"/>
  <c r="DJ84" i="6" s="1"/>
  <c r="DI68" i="6"/>
  <c r="DQ68" i="6"/>
  <c r="DQ84" i="6" s="1"/>
  <c r="DP68" i="6"/>
  <c r="DP84" i="6" s="1"/>
  <c r="DO68" i="6"/>
  <c r="DO84" i="6" s="1"/>
  <c r="DN68" i="6"/>
  <c r="DN84" i="6" s="1"/>
  <c r="DQ56" i="6"/>
  <c r="DP56" i="6"/>
  <c r="DO56" i="6"/>
  <c r="DN56" i="6"/>
  <c r="DQ31" i="6"/>
  <c r="DQ32" i="6" s="1"/>
  <c r="DP31" i="6"/>
  <c r="DP32" i="6" s="1"/>
  <c r="DO31" i="6"/>
  <c r="DO32" i="6" s="1"/>
  <c r="DN31" i="6"/>
  <c r="DN32" i="6" s="1"/>
  <c r="DJ87" i="6" l="1"/>
  <c r="DJ85" i="6"/>
  <c r="DE114" i="5"/>
  <c r="DE86" i="6"/>
  <c r="DF114" i="5"/>
  <c r="DF86" i="6"/>
  <c r="DI84" i="6"/>
  <c r="DI114" i="5" s="1"/>
  <c r="DI86" i="6"/>
  <c r="DG114" i="5"/>
  <c r="DG86" i="6"/>
  <c r="DK88" i="6"/>
  <c r="DK87" i="6"/>
  <c r="DK85" i="6"/>
  <c r="DK86" i="6"/>
  <c r="DL86" i="6"/>
  <c r="DL85" i="6"/>
  <c r="DL88" i="6"/>
  <c r="DL87" i="6"/>
  <c r="DD114" i="5"/>
  <c r="DK32" i="6"/>
  <c r="DK91" i="6"/>
  <c r="DF32" i="6"/>
  <c r="DF91" i="6"/>
  <c r="DL32" i="6"/>
  <c r="DL91" i="6"/>
  <c r="DG32" i="6"/>
  <c r="DG91" i="6"/>
  <c r="DD32" i="6"/>
  <c r="DD91" i="6"/>
  <c r="DJ32" i="6"/>
  <c r="DJ91" i="6"/>
  <c r="DE32" i="6"/>
  <c r="DE91" i="6"/>
  <c r="DJ114" i="5"/>
  <c r="DQ87" i="6"/>
  <c r="DQ86" i="6"/>
  <c r="DQ88" i="6"/>
  <c r="DL114" i="5"/>
  <c r="DN88" i="6"/>
  <c r="DN86" i="6"/>
  <c r="DO87" i="6"/>
  <c r="DO88" i="6"/>
  <c r="DO86" i="6"/>
  <c r="DP114" i="5"/>
  <c r="DP88" i="6"/>
  <c r="DP87" i="6"/>
  <c r="DP86" i="6"/>
  <c r="DQ85" i="6"/>
  <c r="DQ114" i="5"/>
  <c r="DP85" i="6"/>
  <c r="DK114" i="5"/>
  <c r="DN114" i="5"/>
  <c r="DO85" i="6"/>
  <c r="DO114" i="5"/>
  <c r="DN91" i="6"/>
  <c r="DP91" i="6"/>
  <c r="DQ91" i="6"/>
  <c r="DO91" i="6"/>
  <c r="BM63" i="6"/>
  <c r="BN60" i="6"/>
  <c r="BN61" i="6" s="1"/>
  <c r="DN59" i="6"/>
  <c r="V60" i="6"/>
  <c r="V61" i="6" s="1"/>
  <c r="R61" i="6"/>
  <c r="DF59" i="6"/>
  <c r="CO59" i="6"/>
  <c r="CV59" i="6"/>
  <c r="CJ59" i="6"/>
  <c r="CW59" i="6"/>
  <c r="CL59" i="6"/>
  <c r="CE59" i="6"/>
  <c r="DL59" i="6"/>
  <c r="CK59" i="6"/>
  <c r="DP59" i="6"/>
  <c r="DK59" i="6"/>
  <c r="DE59" i="6"/>
  <c r="DB59" i="6"/>
  <c r="CY59" i="6"/>
  <c r="CF59" i="6"/>
  <c r="DQ59" i="6"/>
  <c r="CQ59" i="6"/>
  <c r="DI59" i="6"/>
  <c r="CZ59" i="6"/>
  <c r="CM59" i="6"/>
  <c r="CG59" i="6"/>
  <c r="DJ59" i="6"/>
  <c r="DD59" i="6"/>
  <c r="CT59" i="6"/>
  <c r="CU100" i="5"/>
  <c r="CU105" i="5" s="1"/>
  <c r="CU59" i="6"/>
  <c r="DO100" i="5"/>
  <c r="DO105" i="5" s="1"/>
  <c r="DO59" i="6"/>
  <c r="CP100" i="5"/>
  <c r="CP105" i="5" s="1"/>
  <c r="CP59" i="6"/>
  <c r="CR100" i="5"/>
  <c r="CR105" i="5" s="1"/>
  <c r="CR59" i="6"/>
  <c r="DG100" i="5"/>
  <c r="DG105" i="5" s="1"/>
  <c r="DG59" i="6"/>
  <c r="DA100" i="5"/>
  <c r="DA105" i="5" s="1"/>
  <c r="DA59" i="6"/>
  <c r="CH100" i="5"/>
  <c r="CH105" i="5" s="1"/>
  <c r="CH59" i="6"/>
  <c r="DB69" i="6"/>
  <c r="DB70" i="6"/>
  <c r="CU69" i="6"/>
  <c r="CU70" i="6"/>
  <c r="CM69" i="6"/>
  <c r="CM70" i="6"/>
  <c r="DF69" i="6"/>
  <c r="DF70" i="6"/>
  <c r="CO69" i="6"/>
  <c r="CO70" i="6"/>
  <c r="CV70" i="6"/>
  <c r="CV69" i="6"/>
  <c r="DI69" i="6"/>
  <c r="DI70" i="6"/>
  <c r="DE70" i="6"/>
  <c r="DE69" i="6"/>
  <c r="DN70" i="6"/>
  <c r="DN69" i="6"/>
  <c r="DG69" i="6"/>
  <c r="DG70" i="6"/>
  <c r="CP69" i="6"/>
  <c r="CP70" i="6"/>
  <c r="CW70" i="6"/>
  <c r="CW69" i="6"/>
  <c r="CE69" i="6"/>
  <c r="CE70" i="6"/>
  <c r="DK70" i="6"/>
  <c r="DK69" i="6"/>
  <c r="CY70" i="6"/>
  <c r="CY69" i="6"/>
  <c r="CQ69" i="6"/>
  <c r="CQ70" i="6"/>
  <c r="CJ70" i="6"/>
  <c r="CJ69" i="6"/>
  <c r="CF69" i="6"/>
  <c r="CF70" i="6"/>
  <c r="DL69" i="6"/>
  <c r="DL70" i="6"/>
  <c r="DP69" i="6"/>
  <c r="DP70" i="6"/>
  <c r="CZ69" i="6"/>
  <c r="CZ70" i="6"/>
  <c r="CR69" i="6"/>
  <c r="CR70" i="6"/>
  <c r="CK70" i="6"/>
  <c r="CK69" i="6"/>
  <c r="CG70" i="6"/>
  <c r="CG69" i="6"/>
  <c r="DJ69" i="6"/>
  <c r="DJ70" i="6"/>
  <c r="DO70" i="6"/>
  <c r="DO69" i="6"/>
  <c r="DQ70" i="6"/>
  <c r="DQ69" i="6"/>
  <c r="DD69" i="6"/>
  <c r="DD70" i="6"/>
  <c r="DA69" i="6"/>
  <c r="DA70" i="6"/>
  <c r="CT69" i="6"/>
  <c r="CT70" i="6"/>
  <c r="CL69" i="6"/>
  <c r="CL70" i="6"/>
  <c r="CH69" i="6"/>
  <c r="CH70" i="6"/>
  <c r="CH66" i="6"/>
  <c r="CH71" i="6" s="1"/>
  <c r="CH74" i="6" s="1"/>
  <c r="CH75" i="6" s="1"/>
  <c r="DR68" i="6"/>
  <c r="DR84" i="6" s="1"/>
  <c r="DH56" i="6"/>
  <c r="DC68" i="6"/>
  <c r="CS46" i="6"/>
  <c r="CX56" i="6"/>
  <c r="CN68" i="6"/>
  <c r="CI68" i="6"/>
  <c r="CI69" i="6" s="1"/>
  <c r="DM56" i="6"/>
  <c r="CN46" i="6"/>
  <c r="DH46" i="6"/>
  <c r="DC56" i="6"/>
  <c r="CS68" i="6"/>
  <c r="CX46" i="6"/>
  <c r="CI46" i="6"/>
  <c r="EQ46" i="6"/>
  <c r="CQ66" i="6"/>
  <c r="CQ71" i="6" s="1"/>
  <c r="CQ100" i="5"/>
  <c r="CQ105" i="5" s="1"/>
  <c r="CL66" i="6"/>
  <c r="CL71" i="6" s="1"/>
  <c r="CL100" i="5"/>
  <c r="CL105" i="5" s="1"/>
  <c r="CE100" i="5"/>
  <c r="CE105" i="5" s="1"/>
  <c r="CI31" i="6"/>
  <c r="CI32" i="6" s="1"/>
  <c r="DF66" i="6"/>
  <c r="DF71" i="6" s="1"/>
  <c r="DF100" i="5"/>
  <c r="DF105" i="5" s="1"/>
  <c r="CO66" i="6"/>
  <c r="CO71" i="6" s="1"/>
  <c r="CS31" i="6"/>
  <c r="CS32" i="6" s="1"/>
  <c r="CO100" i="5"/>
  <c r="CO105" i="5" s="1"/>
  <c r="CV66" i="6"/>
  <c r="CV71" i="6" s="1"/>
  <c r="CV100" i="5"/>
  <c r="CV105" i="5" s="1"/>
  <c r="EB46" i="6"/>
  <c r="DM46" i="6"/>
  <c r="DC31" i="6"/>
  <c r="DC32" i="6" s="1"/>
  <c r="CY100" i="5"/>
  <c r="CY105" i="5" s="1"/>
  <c r="DR56" i="6"/>
  <c r="DI100" i="5"/>
  <c r="DI105" i="5" s="1"/>
  <c r="DM31" i="6"/>
  <c r="EG46" i="6"/>
  <c r="DR46" i="6"/>
  <c r="CZ66" i="6"/>
  <c r="CZ71" i="6" s="1"/>
  <c r="CZ100" i="5"/>
  <c r="CZ105" i="5" s="1"/>
  <c r="CM66" i="6"/>
  <c r="CM71" i="6" s="1"/>
  <c r="CM100" i="5"/>
  <c r="CM105" i="5" s="1"/>
  <c r="CF66" i="6"/>
  <c r="CF71" i="6" s="1"/>
  <c r="CF74" i="6" s="1"/>
  <c r="CF75" i="6" s="1"/>
  <c r="CF100" i="5"/>
  <c r="CF105" i="5" s="1"/>
  <c r="DL66" i="6"/>
  <c r="DL71" i="6" s="1"/>
  <c r="DL100" i="5"/>
  <c r="DL105" i="5" s="1"/>
  <c r="DP66" i="6"/>
  <c r="DP71" i="6" s="1"/>
  <c r="DP100" i="5"/>
  <c r="DP105" i="5" s="1"/>
  <c r="CK66" i="6"/>
  <c r="CK71" i="6" s="1"/>
  <c r="CK100" i="5"/>
  <c r="CK105" i="5" s="1"/>
  <c r="DQ66" i="6"/>
  <c r="DQ71" i="6" s="1"/>
  <c r="DQ100" i="5"/>
  <c r="DQ105" i="5" s="1"/>
  <c r="DJ66" i="6"/>
  <c r="DJ71" i="6" s="1"/>
  <c r="DJ100" i="5"/>
  <c r="DJ105" i="5" s="1"/>
  <c r="DD100" i="5"/>
  <c r="DD105" i="5" s="1"/>
  <c r="DH31" i="6"/>
  <c r="DH68" i="6"/>
  <c r="DH84" i="6" s="1"/>
  <c r="DC46" i="6"/>
  <c r="CS56" i="6"/>
  <c r="CT66" i="6"/>
  <c r="CT71" i="6" s="1"/>
  <c r="CX31" i="6"/>
  <c r="CX32" i="6" s="1"/>
  <c r="CT100" i="5"/>
  <c r="CT105" i="5" s="1"/>
  <c r="CX68" i="6"/>
  <c r="CN56" i="6"/>
  <c r="CI56" i="6"/>
  <c r="CG66" i="6"/>
  <c r="CG71" i="6" s="1"/>
  <c r="CG74" i="6" s="1"/>
  <c r="CG75" i="6" s="1"/>
  <c r="CG100" i="5"/>
  <c r="CG105" i="5" s="1"/>
  <c r="CJ100" i="5"/>
  <c r="CJ105" i="5" s="1"/>
  <c r="CN31" i="6"/>
  <c r="CN32" i="6" s="1"/>
  <c r="CW66" i="6"/>
  <c r="CW71" i="6" s="1"/>
  <c r="CW100" i="5"/>
  <c r="CW105" i="5" s="1"/>
  <c r="DR31" i="6"/>
  <c r="DR32" i="6" s="1"/>
  <c r="DN100" i="5"/>
  <c r="DN105" i="5" s="1"/>
  <c r="DM68" i="6"/>
  <c r="DK66" i="6"/>
  <c r="DK71" i="6" s="1"/>
  <c r="DK100" i="5"/>
  <c r="DK105" i="5" s="1"/>
  <c r="EL46" i="6"/>
  <c r="DW46" i="6"/>
  <c r="DE66" i="6"/>
  <c r="DE71" i="6" s="1"/>
  <c r="DE100" i="5"/>
  <c r="DE105" i="5" s="1"/>
  <c r="DB66" i="6"/>
  <c r="DB71" i="6" s="1"/>
  <c r="DB100" i="5"/>
  <c r="DB105" i="5" s="1"/>
  <c r="CE66" i="6"/>
  <c r="CJ66" i="6"/>
  <c r="CR66" i="6"/>
  <c r="CR71" i="6" s="1"/>
  <c r="CU66" i="6"/>
  <c r="CU71" i="6" s="1"/>
  <c r="CP66" i="6"/>
  <c r="CP71" i="6" s="1"/>
  <c r="DA66" i="6"/>
  <c r="DA71" i="6" s="1"/>
  <c r="CY66" i="6"/>
  <c r="DG66" i="6"/>
  <c r="DG71" i="6" s="1"/>
  <c r="DD66" i="6"/>
  <c r="DI66" i="6"/>
  <c r="DN66" i="6"/>
  <c r="DO66" i="6"/>
  <c r="DO71" i="6" s="1"/>
  <c r="DI87" i="6" l="1"/>
  <c r="DN87" i="6"/>
  <c r="DI17" i="30"/>
  <c r="DI122" i="5"/>
  <c r="DI120" i="5" s="1"/>
  <c r="DH114" i="5"/>
  <c r="DG119" i="5"/>
  <c r="DG118" i="5"/>
  <c r="DG17" i="30"/>
  <c r="DG122" i="5"/>
  <c r="DG120" i="5" s="1"/>
  <c r="DG115" i="5"/>
  <c r="DD119" i="5"/>
  <c r="DD118" i="5"/>
  <c r="DD17" i="30"/>
  <c r="DI18" i="30" s="1"/>
  <c r="DD122" i="5"/>
  <c r="DD120" i="5" s="1"/>
  <c r="DD115" i="5"/>
  <c r="DE118" i="5"/>
  <c r="DE119" i="5"/>
  <c r="DE17" i="30"/>
  <c r="DE122" i="5"/>
  <c r="DE120" i="5" s="1"/>
  <c r="DE115" i="5"/>
  <c r="DI88" i="6"/>
  <c r="DI85" i="6"/>
  <c r="DM84" i="6"/>
  <c r="DM87" i="6" s="1"/>
  <c r="DJ86" i="6"/>
  <c r="DF119" i="5"/>
  <c r="DF118" i="5"/>
  <c r="DF17" i="30"/>
  <c r="DF122" i="5"/>
  <c r="DF120" i="5" s="1"/>
  <c r="DF115" i="5"/>
  <c r="DJ88" i="6"/>
  <c r="DN122" i="5"/>
  <c r="DN120" i="5" s="1"/>
  <c r="DQ122" i="5"/>
  <c r="DQ120" i="5" s="1"/>
  <c r="DL122" i="5"/>
  <c r="DL120" i="5" s="1"/>
  <c r="DO17" i="30"/>
  <c r="DO122" i="5"/>
  <c r="DO120" i="5" s="1"/>
  <c r="DP17" i="30"/>
  <c r="DP122" i="5"/>
  <c r="DP120" i="5" s="1"/>
  <c r="DK17" i="30"/>
  <c r="DK122" i="5"/>
  <c r="DK120" i="5" s="1"/>
  <c r="DJ17" i="30"/>
  <c r="DJ19" i="30" s="1"/>
  <c r="DJ122" i="5"/>
  <c r="DJ120" i="5" s="1"/>
  <c r="DM32" i="6"/>
  <c r="DM91" i="6"/>
  <c r="DJ96" i="6"/>
  <c r="DJ92" i="6"/>
  <c r="DL92" i="6"/>
  <c r="DL96" i="6"/>
  <c r="DD92" i="6"/>
  <c r="DD96" i="6"/>
  <c r="DF96" i="6"/>
  <c r="DF92" i="6"/>
  <c r="DH32" i="6"/>
  <c r="DH91" i="6"/>
  <c r="DE96" i="6"/>
  <c r="DE92" i="6"/>
  <c r="DG92" i="6"/>
  <c r="DG96" i="6"/>
  <c r="DK96" i="6"/>
  <c r="DK92" i="6"/>
  <c r="DJ118" i="5"/>
  <c r="DP72" i="6"/>
  <c r="DE74" i="6"/>
  <c r="DE75" i="6" s="1"/>
  <c r="CR74" i="6"/>
  <c r="CR75" i="6" s="1"/>
  <c r="DG74" i="6"/>
  <c r="DG75" i="6" s="1"/>
  <c r="CL74" i="6"/>
  <c r="CL75" i="6" s="1"/>
  <c r="DJ72" i="6"/>
  <c r="DO72" i="6"/>
  <c r="DK72" i="6"/>
  <c r="DQ74" i="6"/>
  <c r="DQ75" i="6" s="1"/>
  <c r="DQ72" i="6"/>
  <c r="DL72" i="6"/>
  <c r="CK74" i="6"/>
  <c r="CK75" i="6" s="1"/>
  <c r="DA74" i="6"/>
  <c r="DA75" i="6" s="1"/>
  <c r="DP74" i="6"/>
  <c r="DP75" i="6" s="1"/>
  <c r="CV74" i="6"/>
  <c r="CV75" i="6" s="1"/>
  <c r="DO74" i="6"/>
  <c r="DO75" i="6" s="1"/>
  <c r="CU74" i="6"/>
  <c r="CU75" i="6" s="1"/>
  <c r="CT74" i="6"/>
  <c r="CT75" i="6" s="1"/>
  <c r="DJ74" i="6"/>
  <c r="DJ75" i="6" s="1"/>
  <c r="CM74" i="6"/>
  <c r="CM75" i="6" s="1"/>
  <c r="DF74" i="6"/>
  <c r="DF75" i="6" s="1"/>
  <c r="CQ74" i="6"/>
  <c r="CQ75" i="6" s="1"/>
  <c r="CW74" i="6"/>
  <c r="CW75" i="6" s="1"/>
  <c r="CP74" i="6"/>
  <c r="CP75" i="6" s="1"/>
  <c r="DB74" i="6"/>
  <c r="DB75" i="6" s="1"/>
  <c r="DK74" i="6"/>
  <c r="DK75" i="6" s="1"/>
  <c r="DL74" i="6"/>
  <c r="DL75" i="6" s="1"/>
  <c r="CZ74" i="6"/>
  <c r="CZ75" i="6" s="1"/>
  <c r="DJ115" i="5"/>
  <c r="DN17" i="30"/>
  <c r="DQ17" i="30"/>
  <c r="DL118" i="5"/>
  <c r="DL17" i="30"/>
  <c r="DP119" i="5"/>
  <c r="DP115" i="5"/>
  <c r="DB101" i="5"/>
  <c r="CZ101" i="5"/>
  <c r="CY101" i="5"/>
  <c r="CO101" i="5"/>
  <c r="CE101" i="5"/>
  <c r="DG101" i="5"/>
  <c r="DO101" i="5"/>
  <c r="DP117" i="5"/>
  <c r="DK101" i="5"/>
  <c r="DQ101" i="5"/>
  <c r="DE101" i="5"/>
  <c r="CT101" i="5"/>
  <c r="CL101" i="5"/>
  <c r="DR114" i="5"/>
  <c r="CK101" i="5"/>
  <c r="CG101" i="5"/>
  <c r="CH101" i="5"/>
  <c r="CR101" i="5"/>
  <c r="CU101" i="5"/>
  <c r="DL119" i="5"/>
  <c r="DL101" i="5"/>
  <c r="CJ101" i="5"/>
  <c r="CF101" i="5"/>
  <c r="DD101" i="5"/>
  <c r="DJ101" i="5"/>
  <c r="DP101" i="5"/>
  <c r="CM101" i="5"/>
  <c r="DF101" i="5"/>
  <c r="CQ101" i="5"/>
  <c r="DL115" i="5"/>
  <c r="DN101" i="5"/>
  <c r="CW101" i="5"/>
  <c r="DI101" i="5"/>
  <c r="CV101" i="5"/>
  <c r="DA101" i="5"/>
  <c r="CP101" i="5"/>
  <c r="DK119" i="5"/>
  <c r="DK118" i="5"/>
  <c r="DK115" i="5"/>
  <c r="DO118" i="5"/>
  <c r="DO117" i="5"/>
  <c r="DO116" i="5"/>
  <c r="DO119" i="5"/>
  <c r="DO115" i="5"/>
  <c r="DQ117" i="5"/>
  <c r="DQ119" i="5"/>
  <c r="DQ116" i="5"/>
  <c r="DQ118" i="5"/>
  <c r="DQ115" i="5"/>
  <c r="DP118" i="5"/>
  <c r="DP116" i="5"/>
  <c r="DN117" i="5"/>
  <c r="DN119" i="5"/>
  <c r="DN115" i="5"/>
  <c r="CE67" i="6"/>
  <c r="CE71" i="6"/>
  <c r="CE74" i="6" s="1"/>
  <c r="CE75" i="6" s="1"/>
  <c r="CJ67" i="6"/>
  <c r="CJ71" i="6"/>
  <c r="DN92" i="6"/>
  <c r="DN96" i="6"/>
  <c r="DN97" i="6" s="1"/>
  <c r="DQ96" i="6"/>
  <c r="DQ92" i="6"/>
  <c r="DO92" i="6"/>
  <c r="DO96" i="6"/>
  <c r="DD67" i="6"/>
  <c r="DD71" i="6"/>
  <c r="DP96" i="6"/>
  <c r="DP92" i="6"/>
  <c r="CY67" i="6"/>
  <c r="CY71" i="6"/>
  <c r="CY74" i="6" s="1"/>
  <c r="CY75" i="6" s="1"/>
  <c r="DN67" i="6"/>
  <c r="DN71" i="6"/>
  <c r="DI67" i="6"/>
  <c r="DI71" i="6"/>
  <c r="DR91" i="6"/>
  <c r="CS69" i="6"/>
  <c r="DO94" i="6"/>
  <c r="DO95" i="6"/>
  <c r="DQ95" i="6"/>
  <c r="DQ94" i="6"/>
  <c r="DP94" i="6"/>
  <c r="DP95" i="6"/>
  <c r="DN95" i="6"/>
  <c r="DN94" i="6"/>
  <c r="BN63" i="6"/>
  <c r="BP60" i="6"/>
  <c r="R63" i="6"/>
  <c r="S60" i="6"/>
  <c r="S61" i="6" s="1"/>
  <c r="CS59" i="6"/>
  <c r="CN59" i="6"/>
  <c r="DH59" i="6"/>
  <c r="CI59" i="6"/>
  <c r="DM69" i="6"/>
  <c r="DC59" i="6"/>
  <c r="CX59" i="6"/>
  <c r="DM59" i="6"/>
  <c r="DR59" i="6"/>
  <c r="CN69" i="6"/>
  <c r="DH69" i="6"/>
  <c r="DR69" i="6"/>
  <c r="DC69" i="6"/>
  <c r="CX69" i="6"/>
  <c r="DJ67" i="6"/>
  <c r="DF67" i="6"/>
  <c r="DO67" i="6"/>
  <c r="DG67" i="6"/>
  <c r="DK67" i="6"/>
  <c r="DQ67" i="6"/>
  <c r="DL67" i="6"/>
  <c r="DP67" i="6"/>
  <c r="DE67" i="6"/>
  <c r="DA67" i="6"/>
  <c r="CP67" i="6"/>
  <c r="CU67" i="6"/>
  <c r="CR67" i="6"/>
  <c r="DB67" i="6"/>
  <c r="CW67" i="6"/>
  <c r="CG67" i="6"/>
  <c r="CT67" i="6"/>
  <c r="CK67" i="6"/>
  <c r="CF67" i="6"/>
  <c r="CM67" i="6"/>
  <c r="CZ67" i="6"/>
  <c r="CV67" i="6"/>
  <c r="CO67" i="6"/>
  <c r="CL67" i="6"/>
  <c r="CQ67" i="6"/>
  <c r="CH67" i="6"/>
  <c r="DH66" i="6"/>
  <c r="DH71" i="6" s="1"/>
  <c r="DC100" i="5"/>
  <c r="CS100" i="5"/>
  <c r="CX100" i="5"/>
  <c r="CS66" i="6"/>
  <c r="CS71" i="6" s="1"/>
  <c r="DR66" i="6"/>
  <c r="DR71" i="6" s="1"/>
  <c r="CN66" i="6"/>
  <c r="CN71" i="6" s="1"/>
  <c r="DR100" i="5"/>
  <c r="CX66" i="6"/>
  <c r="CX71" i="6" s="1"/>
  <c r="DM100" i="5"/>
  <c r="CN100" i="5"/>
  <c r="DM66" i="6"/>
  <c r="DM71" i="6" s="1"/>
  <c r="DH100" i="5"/>
  <c r="DC66" i="6"/>
  <c r="DC71" i="6" s="1"/>
  <c r="CI66" i="6"/>
  <c r="CI71" i="6" s="1"/>
  <c r="CI74" i="6" s="1"/>
  <c r="CI75" i="6" s="1"/>
  <c r="CI100" i="5"/>
  <c r="DM114" i="5" l="1"/>
  <c r="DR87" i="6"/>
  <c r="DG20" i="30"/>
  <c r="DG18" i="30"/>
  <c r="DG21" i="30"/>
  <c r="DG19" i="30"/>
  <c r="DG24" i="30"/>
  <c r="DD20" i="30"/>
  <c r="DD19" i="30"/>
  <c r="DD18" i="30"/>
  <c r="DD21" i="30"/>
  <c r="DD24" i="30"/>
  <c r="DE18" i="30"/>
  <c r="DE19" i="30"/>
  <c r="DE20" i="30"/>
  <c r="DE21" i="30"/>
  <c r="DE24" i="30"/>
  <c r="DH118" i="5"/>
  <c r="DH17" i="30"/>
  <c r="DH122" i="5"/>
  <c r="DH120" i="5" s="1"/>
  <c r="DH115" i="5"/>
  <c r="DF18" i="30"/>
  <c r="DF21" i="30"/>
  <c r="DF19" i="30"/>
  <c r="DF20" i="30"/>
  <c r="DF24" i="30"/>
  <c r="DI19" i="30"/>
  <c r="DM85" i="6"/>
  <c r="DJ24" i="30"/>
  <c r="DJ15" i="30" s="1"/>
  <c r="DJ18" i="30"/>
  <c r="DR101" i="5"/>
  <c r="DR105" i="5"/>
  <c r="DH101" i="5"/>
  <c r="DH105" i="5"/>
  <c r="CN101" i="5"/>
  <c r="CN105" i="5"/>
  <c r="DM101" i="5"/>
  <c r="DM105" i="5"/>
  <c r="CX101" i="5"/>
  <c r="CX105" i="5"/>
  <c r="CI101" i="5"/>
  <c r="CI105" i="5"/>
  <c r="CS101" i="5"/>
  <c r="CS105" i="5"/>
  <c r="DC101" i="5"/>
  <c r="DC105" i="5"/>
  <c r="DO18" i="30"/>
  <c r="DK19" i="30"/>
  <c r="DJ20" i="30"/>
  <c r="DP24" i="30"/>
  <c r="DP15" i="30" s="1"/>
  <c r="DL24" i="30"/>
  <c r="DL15" i="30" s="1"/>
  <c r="DN18" i="30"/>
  <c r="DJ25" i="30"/>
  <c r="DP18" i="30"/>
  <c r="DK18" i="30"/>
  <c r="DR17" i="30"/>
  <c r="DR122" i="5"/>
  <c r="DR120" i="5" s="1"/>
  <c r="DH92" i="6"/>
  <c r="DH96" i="6"/>
  <c r="DL98" i="6"/>
  <c r="DL97" i="6"/>
  <c r="DK97" i="6"/>
  <c r="DK98" i="6"/>
  <c r="DG129" i="5"/>
  <c r="DG97" i="6"/>
  <c r="DG98" i="6"/>
  <c r="DF129" i="5"/>
  <c r="DF97" i="6"/>
  <c r="DF98" i="6"/>
  <c r="DJ97" i="6"/>
  <c r="DJ98" i="6"/>
  <c r="DD129" i="5"/>
  <c r="DD98" i="6"/>
  <c r="DD97" i="6"/>
  <c r="DI97" i="6"/>
  <c r="DM96" i="6"/>
  <c r="DM92" i="6"/>
  <c r="DE129" i="5"/>
  <c r="DE98" i="6"/>
  <c r="DE97" i="6"/>
  <c r="DM72" i="6"/>
  <c r="DP97" i="6"/>
  <c r="DN72" i="6"/>
  <c r="DI74" i="6"/>
  <c r="DI75" i="6" s="1"/>
  <c r="DI72" i="6"/>
  <c r="DR72" i="6"/>
  <c r="DQ97" i="6"/>
  <c r="DO97" i="6"/>
  <c r="DM74" i="6"/>
  <c r="DM75" i="6" s="1"/>
  <c r="CX74" i="6"/>
  <c r="CX75" i="6" s="1"/>
  <c r="CJ74" i="6"/>
  <c r="CJ75" i="6" s="1"/>
  <c r="CN74" i="6"/>
  <c r="CN75" i="6" s="1"/>
  <c r="DH74" i="6"/>
  <c r="DH75" i="6" s="1"/>
  <c r="DD74" i="6"/>
  <c r="DD75" i="6" s="1"/>
  <c r="DC74" i="6"/>
  <c r="DC75" i="6" s="1"/>
  <c r="DR74" i="6"/>
  <c r="DR75" i="6" s="1"/>
  <c r="CS74" i="6"/>
  <c r="CS75" i="6" s="1"/>
  <c r="DN74" i="6"/>
  <c r="DN75" i="6" s="1"/>
  <c r="CO74" i="6"/>
  <c r="CO75" i="6" s="1"/>
  <c r="DQ18" i="30"/>
  <c r="DL19" i="30"/>
  <c r="DL18" i="30"/>
  <c r="DL20" i="30"/>
  <c r="DR115" i="5"/>
  <c r="DP20" i="30"/>
  <c r="DL21" i="30"/>
  <c r="CU103" i="5"/>
  <c r="DE103" i="5"/>
  <c r="DN103" i="5"/>
  <c r="CE103" i="5"/>
  <c r="CV103" i="5"/>
  <c r="CG103" i="5"/>
  <c r="CM103" i="5"/>
  <c r="DD103" i="5"/>
  <c r="CP103" i="5"/>
  <c r="DI103" i="5"/>
  <c r="CR103" i="5"/>
  <c r="CK103" i="5"/>
  <c r="CL103" i="5"/>
  <c r="DQ103" i="5"/>
  <c r="DO103" i="5"/>
  <c r="CO103" i="5"/>
  <c r="CZ103" i="5"/>
  <c r="CQ103" i="5"/>
  <c r="DP103" i="5"/>
  <c r="CF103" i="5"/>
  <c r="DL103" i="5"/>
  <c r="DA103" i="5"/>
  <c r="CW103" i="5"/>
  <c r="CH103" i="5"/>
  <c r="CT103" i="5"/>
  <c r="DK103" i="5"/>
  <c r="DG103" i="5"/>
  <c r="CY103" i="5"/>
  <c r="DB103" i="5"/>
  <c r="DF103" i="5"/>
  <c r="DJ103" i="5"/>
  <c r="CJ103" i="5"/>
  <c r="DN21" i="30"/>
  <c r="DN24" i="30"/>
  <c r="DN15" i="30" s="1"/>
  <c r="DN19" i="30"/>
  <c r="DQ20" i="30"/>
  <c r="DQ21" i="30"/>
  <c r="DQ19" i="30"/>
  <c r="DQ24" i="30"/>
  <c r="DQ15" i="30" s="1"/>
  <c r="DO20" i="30"/>
  <c r="DO21" i="30"/>
  <c r="DO19" i="30"/>
  <c r="DO24" i="30"/>
  <c r="DP21" i="30"/>
  <c r="DJ39" i="30"/>
  <c r="DP19" i="30"/>
  <c r="DL39" i="30"/>
  <c r="DK21" i="30"/>
  <c r="DK24" i="30"/>
  <c r="DK20" i="30"/>
  <c r="DJ129" i="5"/>
  <c r="DJ130" i="5" s="1"/>
  <c r="DK129" i="5"/>
  <c r="DK130" i="5" s="1"/>
  <c r="DQ129" i="5"/>
  <c r="DQ130" i="5" s="1"/>
  <c r="DQ98" i="6"/>
  <c r="DR96" i="6"/>
  <c r="DR92" i="6"/>
  <c r="DL129" i="5"/>
  <c r="DL130" i="5" s="1"/>
  <c r="DO98" i="6"/>
  <c r="DO129" i="5"/>
  <c r="DO130" i="5" s="1"/>
  <c r="DN98" i="6"/>
  <c r="DN129" i="5"/>
  <c r="DN130" i="5" s="1"/>
  <c r="DP98" i="6"/>
  <c r="DP129" i="5"/>
  <c r="DP130" i="5" s="1"/>
  <c r="DR94" i="6"/>
  <c r="BP61" i="6"/>
  <c r="BT60" i="6"/>
  <c r="BT61" i="6" s="1"/>
  <c r="T60" i="6"/>
  <c r="T61" i="6" s="1"/>
  <c r="S63" i="6"/>
  <c r="CL73" i="6"/>
  <c r="CL125" i="5"/>
  <c r="DQ73" i="6"/>
  <c r="DQ125" i="5"/>
  <c r="DK125" i="5"/>
  <c r="DK73" i="6"/>
  <c r="CV73" i="6"/>
  <c r="CV125" i="5"/>
  <c r="DA125" i="5"/>
  <c r="DA73" i="6"/>
  <c r="DG125" i="5"/>
  <c r="DG73" i="6"/>
  <c r="CZ125" i="5"/>
  <c r="CZ73" i="6"/>
  <c r="CW125" i="5"/>
  <c r="CW73" i="6"/>
  <c r="DE73" i="6"/>
  <c r="DE125" i="5"/>
  <c r="DO73" i="6"/>
  <c r="DO125" i="5"/>
  <c r="CK125" i="5"/>
  <c r="CK73" i="6"/>
  <c r="CO125" i="5"/>
  <c r="CO73" i="6"/>
  <c r="CP125" i="5"/>
  <c r="CP73" i="6"/>
  <c r="CH125" i="5"/>
  <c r="CH73" i="6"/>
  <c r="CM125" i="5"/>
  <c r="CM73" i="6"/>
  <c r="DB125" i="5"/>
  <c r="DB73" i="6"/>
  <c r="DP125" i="5"/>
  <c r="DP73" i="6"/>
  <c r="DF125" i="5"/>
  <c r="DF73" i="6"/>
  <c r="CU125" i="5"/>
  <c r="CU73" i="6"/>
  <c r="CT125" i="5"/>
  <c r="CT73" i="6"/>
  <c r="CG125" i="5"/>
  <c r="CG73" i="6"/>
  <c r="CQ125" i="5"/>
  <c r="CQ73" i="6"/>
  <c r="CF125" i="5"/>
  <c r="CF73" i="6"/>
  <c r="CR125" i="5"/>
  <c r="CR73" i="6"/>
  <c r="DL125" i="5"/>
  <c r="DL73" i="6"/>
  <c r="DJ125" i="5"/>
  <c r="DJ73" i="6"/>
  <c r="CI67" i="6"/>
  <c r="DH67" i="6"/>
  <c r="CN67" i="6"/>
  <c r="CX67" i="6"/>
  <c r="DM67" i="6"/>
  <c r="DM125" i="5" s="1"/>
  <c r="DM126" i="5" s="1"/>
  <c r="CS67" i="6"/>
  <c r="DC67" i="6"/>
  <c r="DR67" i="6"/>
  <c r="CE125" i="5"/>
  <c r="CE73" i="6"/>
  <c r="DD125" i="5"/>
  <c r="DD73" i="6"/>
  <c r="CJ125" i="5"/>
  <c r="CJ73" i="6"/>
  <c r="CY125" i="5"/>
  <c r="CY73" i="6"/>
  <c r="DN125" i="5"/>
  <c r="DN73" i="6"/>
  <c r="DI125" i="5"/>
  <c r="DI73" i="6"/>
  <c r="DM122" i="5" l="1"/>
  <c r="DM120" i="5" s="1"/>
  <c r="DM17" i="30"/>
  <c r="DJ27" i="30"/>
  <c r="DF28" i="30"/>
  <c r="DF26" i="30"/>
  <c r="DH20" i="30"/>
  <c r="DH18" i="30"/>
  <c r="DH24" i="30"/>
  <c r="DG28" i="30"/>
  <c r="DG26" i="30"/>
  <c r="DE28" i="30"/>
  <c r="DE26" i="30"/>
  <c r="DO40" i="30"/>
  <c r="DJ22" i="30"/>
  <c r="DM18" i="30"/>
  <c r="DU40" i="30"/>
  <c r="DR102" i="5"/>
  <c r="DP39" i="30"/>
  <c r="DL22" i="30"/>
  <c r="DL25" i="30"/>
  <c r="DL27" i="30"/>
  <c r="DQ40" i="30"/>
  <c r="DL26" i="30"/>
  <c r="DK15" i="30"/>
  <c r="DP22" i="30"/>
  <c r="DP28" i="30"/>
  <c r="DO15" i="30"/>
  <c r="DR18" i="30"/>
  <c r="DO22" i="30"/>
  <c r="DN22" i="30"/>
  <c r="DQ22" i="30"/>
  <c r="DK22" i="30"/>
  <c r="DP25" i="30"/>
  <c r="DK27" i="30"/>
  <c r="DK28" i="30"/>
  <c r="DK25" i="30"/>
  <c r="DK26" i="30"/>
  <c r="DL28" i="30"/>
  <c r="DR24" i="30"/>
  <c r="DR15" i="30" s="1"/>
  <c r="DF130" i="5"/>
  <c r="DE130" i="5"/>
  <c r="DD130" i="5"/>
  <c r="DH98" i="6"/>
  <c r="DH129" i="5"/>
  <c r="DH130" i="5" s="1"/>
  <c r="DH97" i="6"/>
  <c r="DM98" i="6"/>
  <c r="DM97" i="6"/>
  <c r="DG130" i="5"/>
  <c r="DR97" i="6"/>
  <c r="DP27" i="30"/>
  <c r="DO27" i="30"/>
  <c r="DT40" i="30"/>
  <c r="DO25" i="30"/>
  <c r="DO39" i="30"/>
  <c r="DO26" i="30"/>
  <c r="DO28" i="30"/>
  <c r="DK39" i="30"/>
  <c r="DP40" i="30"/>
  <c r="DQ39" i="30"/>
  <c r="DQ27" i="30"/>
  <c r="DQ28" i="30"/>
  <c r="DV40" i="30"/>
  <c r="DQ25" i="30"/>
  <c r="DQ26" i="30"/>
  <c r="DS40" i="30"/>
  <c r="DN28" i="30"/>
  <c r="DN26" i="30"/>
  <c r="DP26" i="30"/>
  <c r="DM129" i="5"/>
  <c r="DM130" i="5" s="1"/>
  <c r="DR129" i="5"/>
  <c r="DR130" i="5" s="1"/>
  <c r="DR98" i="6"/>
  <c r="BQ60" i="6"/>
  <c r="BQ61" i="6" s="1"/>
  <c r="BP63" i="6"/>
  <c r="CV126" i="5"/>
  <c r="DO126" i="5"/>
  <c r="CY126" i="5"/>
  <c r="DL126" i="5"/>
  <c r="DL127" i="5"/>
  <c r="CU126" i="5"/>
  <c r="CP126" i="5"/>
  <c r="DE126" i="5"/>
  <c r="CJ126" i="5"/>
  <c r="CG126" i="5"/>
  <c r="CM126" i="5"/>
  <c r="DK126" i="5"/>
  <c r="DK127" i="5"/>
  <c r="DQ126" i="5"/>
  <c r="CL126" i="5"/>
  <c r="CE126" i="5"/>
  <c r="CQ126" i="5"/>
  <c r="DB126" i="5"/>
  <c r="CZ126" i="5"/>
  <c r="DI126" i="5"/>
  <c r="DI127" i="5"/>
  <c r="CR126" i="5"/>
  <c r="DF126" i="5"/>
  <c r="CO126" i="5"/>
  <c r="DG126" i="5"/>
  <c r="DN126" i="5"/>
  <c r="DD126" i="5"/>
  <c r="DJ126" i="5"/>
  <c r="DJ127" i="5"/>
  <c r="CF126" i="5"/>
  <c r="CT126" i="5"/>
  <c r="DP126" i="5"/>
  <c r="CH126" i="5"/>
  <c r="CK126" i="5"/>
  <c r="CW126" i="5"/>
  <c r="DA126" i="5"/>
  <c r="T63" i="6"/>
  <c r="U60" i="6"/>
  <c r="U61" i="6" s="1"/>
  <c r="DR125" i="5"/>
  <c r="DR126" i="5" s="1"/>
  <c r="DR73" i="6"/>
  <c r="DM73" i="6"/>
  <c r="DH73" i="6"/>
  <c r="DH125" i="5"/>
  <c r="DH126" i="5" s="1"/>
  <c r="CI125" i="5"/>
  <c r="CI126" i="5" s="1"/>
  <c r="CI73" i="6"/>
  <c r="DC125" i="5"/>
  <c r="DC126" i="5" s="1"/>
  <c r="DC73" i="6"/>
  <c r="CX125" i="5"/>
  <c r="CX126" i="5" s="1"/>
  <c r="CX73" i="6"/>
  <c r="CS125" i="5"/>
  <c r="CS126" i="5" s="1"/>
  <c r="CS73" i="6"/>
  <c r="CN73" i="6"/>
  <c r="CN125" i="5"/>
  <c r="CN126" i="5" s="1"/>
  <c r="DH22" i="30" l="1"/>
  <c r="DH15" i="30"/>
  <c r="DW40" i="30"/>
  <c r="DR22" i="30"/>
  <c r="DG131" i="5"/>
  <c r="DD131" i="5"/>
  <c r="DE131" i="5"/>
  <c r="DF131" i="5"/>
  <c r="BR60" i="6"/>
  <c r="BR61" i="6" s="1"/>
  <c r="BQ63" i="6"/>
  <c r="DN127" i="5"/>
  <c r="CY127" i="5"/>
  <c r="DO127" i="5"/>
  <c r="CK127" i="5"/>
  <c r="CF127" i="5"/>
  <c r="CQ127" i="5"/>
  <c r="CH127" i="5"/>
  <c r="CE127" i="5"/>
  <c r="CP127" i="5"/>
  <c r="DD127" i="5"/>
  <c r="CG127" i="5"/>
  <c r="CO127" i="5"/>
  <c r="DF127" i="5"/>
  <c r="DQ127" i="5"/>
  <c r="CT127" i="5"/>
  <c r="CJ127" i="5"/>
  <c r="CZ127" i="5"/>
  <c r="CW127" i="5"/>
  <c r="DP127" i="5"/>
  <c r="DG127" i="5"/>
  <c r="CR127" i="5"/>
  <c r="DB127" i="5"/>
  <c r="CL127" i="5"/>
  <c r="CM127" i="5"/>
  <c r="DE127" i="5"/>
  <c r="CV127" i="5"/>
  <c r="DA127" i="5"/>
  <c r="CU127" i="5"/>
  <c r="U63" i="6"/>
  <c r="W60" i="6"/>
  <c r="BS60" i="6" l="1"/>
  <c r="BS61" i="6" s="1"/>
  <c r="BR63" i="6"/>
  <c r="AA60" i="6"/>
  <c r="AA61" i="6" s="1"/>
  <c r="W61" i="6"/>
  <c r="BS63" i="6" l="1"/>
  <c r="BU60" i="6"/>
  <c r="W63" i="6"/>
  <c r="X60" i="6"/>
  <c r="X61" i="6" s="1"/>
  <c r="BY60" i="6" l="1"/>
  <c r="BY61" i="6" s="1"/>
  <c r="BU61" i="6"/>
  <c r="Y60" i="6"/>
  <c r="Y61" i="6" s="1"/>
  <c r="X63" i="6"/>
  <c r="BU63" i="6" l="1"/>
  <c r="BV60" i="6"/>
  <c r="BV61" i="6" s="1"/>
  <c r="Y63" i="6"/>
  <c r="Z60" i="6"/>
  <c r="Z61" i="6" s="1"/>
  <c r="BV63" i="6" l="1"/>
  <c r="BW60" i="6"/>
  <c r="BW61" i="6" s="1"/>
  <c r="Z63" i="6"/>
  <c r="AB60" i="6"/>
  <c r="BW63" i="6" l="1"/>
  <c r="BX60" i="6"/>
  <c r="BX61" i="6" s="1"/>
  <c r="AF60" i="6"/>
  <c r="AF61" i="6" s="1"/>
  <c r="AB61" i="6"/>
  <c r="BZ60" i="6" l="1"/>
  <c r="BX63" i="6"/>
  <c r="AB63" i="6"/>
  <c r="AC60" i="6"/>
  <c r="AC61" i="6" s="1"/>
  <c r="CD60" i="6" l="1"/>
  <c r="CD61" i="6" s="1"/>
  <c r="BZ61" i="6"/>
  <c r="AD60" i="6"/>
  <c r="AD61" i="6" s="1"/>
  <c r="AC63" i="6"/>
  <c r="CA60" i="6" l="1"/>
  <c r="CA61" i="6" s="1"/>
  <c r="BZ63" i="6"/>
  <c r="AD63" i="6"/>
  <c r="AE60" i="6"/>
  <c r="AE61" i="6" s="1"/>
  <c r="DV31" i="6"/>
  <c r="DV32" i="6" s="1"/>
  <c r="DU31" i="6"/>
  <c r="DU32" i="6" s="1"/>
  <c r="DT31" i="6"/>
  <c r="DT32" i="6" s="1"/>
  <c r="DS31" i="6"/>
  <c r="DS32" i="6" s="1"/>
  <c r="DV56" i="6"/>
  <c r="DU56" i="6"/>
  <c r="DT56" i="6"/>
  <c r="DS56" i="6"/>
  <c r="DV68" i="6"/>
  <c r="DV84" i="6" s="1"/>
  <c r="DU68" i="6"/>
  <c r="DU84" i="6" s="1"/>
  <c r="DT68" i="6"/>
  <c r="DT84" i="6" s="1"/>
  <c r="DS68" i="6"/>
  <c r="DS84" i="6" s="1"/>
  <c r="EA56" i="6"/>
  <c r="DZ56" i="6"/>
  <c r="DY56" i="6"/>
  <c r="DX56" i="6"/>
  <c r="EA31" i="6"/>
  <c r="EA32" i="6" s="1"/>
  <c r="DZ31" i="6"/>
  <c r="DZ32" i="6" s="1"/>
  <c r="DY31" i="6"/>
  <c r="DY32" i="6" s="1"/>
  <c r="DX31" i="6"/>
  <c r="DX32" i="6" s="1"/>
  <c r="EA68" i="6"/>
  <c r="EA84" i="6" s="1"/>
  <c r="DZ68" i="6"/>
  <c r="DZ84" i="6" s="1"/>
  <c r="DY68" i="6"/>
  <c r="DY84" i="6" s="1"/>
  <c r="DX68" i="6"/>
  <c r="DX84" i="6" s="1"/>
  <c r="EF56" i="6"/>
  <c r="EE56" i="6"/>
  <c r="ED56" i="6"/>
  <c r="EC56" i="6"/>
  <c r="EF31" i="6"/>
  <c r="EF32" i="6" s="1"/>
  <c r="EE31" i="6"/>
  <c r="EE32" i="6" s="1"/>
  <c r="ED31" i="6"/>
  <c r="ED32" i="6" s="1"/>
  <c r="EC31" i="6"/>
  <c r="EC32" i="6" s="1"/>
  <c r="EF68" i="6"/>
  <c r="EE68" i="6"/>
  <c r="ED68" i="6"/>
  <c r="ED84" i="6" s="1"/>
  <c r="EC68" i="6"/>
  <c r="EC84" i="6" s="1"/>
  <c r="EM68" i="6"/>
  <c r="EK68" i="6"/>
  <c r="EJ68" i="6"/>
  <c r="EI68" i="6"/>
  <c r="EH68" i="6"/>
  <c r="EK56" i="6"/>
  <c r="EJ56" i="6"/>
  <c r="EI56" i="6"/>
  <c r="EH56" i="6"/>
  <c r="EK31" i="6"/>
  <c r="EK32" i="6" s="1"/>
  <c r="EJ31" i="6"/>
  <c r="EJ32" i="6" s="1"/>
  <c r="EI31" i="6"/>
  <c r="EI32" i="6" s="1"/>
  <c r="EH31" i="6"/>
  <c r="EH32" i="6" s="1"/>
  <c r="EN68" i="6"/>
  <c r="EO68" i="6"/>
  <c r="EP68" i="6"/>
  <c r="EU69" i="6" s="1"/>
  <c r="EQ57" i="6"/>
  <c r="EQ40" i="6"/>
  <c r="EQ41" i="6"/>
  <c r="EQ42" i="6"/>
  <c r="EQ22" i="8" s="1"/>
  <c r="EQ31" i="8" s="1"/>
  <c r="EQ43" i="6"/>
  <c r="EQ50" i="6"/>
  <c r="EQ51" i="6"/>
  <c r="EQ52" i="6"/>
  <c r="EQ53" i="6"/>
  <c r="EQ55" i="6"/>
  <c r="EQ49" i="6"/>
  <c r="EQ23" i="6"/>
  <c r="EQ73" i="5" s="1"/>
  <c r="EQ24" i="6"/>
  <c r="EQ76" i="5" s="1"/>
  <c r="EQ25" i="6"/>
  <c r="EQ79" i="5" s="1"/>
  <c r="EQ26" i="6"/>
  <c r="EQ85" i="5" s="1"/>
  <c r="EQ27" i="6"/>
  <c r="EQ28" i="6"/>
  <c r="EQ88" i="5" s="1"/>
  <c r="EQ29" i="6"/>
  <c r="EQ95" i="5" s="1"/>
  <c r="EQ30" i="6"/>
  <c r="EQ98" i="5" s="1"/>
  <c r="EQ22" i="6"/>
  <c r="EQ13" i="6"/>
  <c r="EQ231" i="3" s="1"/>
  <c r="EQ232" i="3" s="1"/>
  <c r="EQ14" i="6"/>
  <c r="EQ15" i="6"/>
  <c r="EQ17" i="6"/>
  <c r="EN56" i="6"/>
  <c r="EO56" i="6"/>
  <c r="EP56" i="6"/>
  <c r="EM56" i="6"/>
  <c r="ER68" i="6"/>
  <c r="EW69" i="6" s="1"/>
  <c r="ER56" i="6"/>
  <c r="EN31" i="6"/>
  <c r="EN32" i="6" s="1"/>
  <c r="EO31" i="6"/>
  <c r="EO32" i="6" s="1"/>
  <c r="EP31" i="6"/>
  <c r="EP32" i="6" s="1"/>
  <c r="EM31" i="6"/>
  <c r="EM32" i="6" s="1"/>
  <c r="ER31" i="6"/>
  <c r="ER32" i="6" s="1"/>
  <c r="EM84" i="6" l="1"/>
  <c r="EN84" i="6"/>
  <c r="EH84" i="6"/>
  <c r="EP84" i="6"/>
  <c r="EI84" i="6"/>
  <c r="EI85" i="6" s="1"/>
  <c r="EE84" i="6"/>
  <c r="EE87" i="6" s="1"/>
  <c r="EK84" i="6"/>
  <c r="EK114" i="5" s="1"/>
  <c r="ER84" i="6"/>
  <c r="EJ84" i="6"/>
  <c r="EF84" i="6"/>
  <c r="EF87" i="6" s="1"/>
  <c r="EQ233" i="3"/>
  <c r="EO84" i="6"/>
  <c r="ET69" i="6"/>
  <c r="DU91" i="6"/>
  <c r="DU92" i="6" s="1"/>
  <c r="EN91" i="6"/>
  <c r="EN92" i="6" s="1"/>
  <c r="EC86" i="6"/>
  <c r="EC85" i="6"/>
  <c r="EC88" i="6"/>
  <c r="EC87" i="6"/>
  <c r="DX86" i="6"/>
  <c r="DX87" i="6"/>
  <c r="DX85" i="6"/>
  <c r="DX88" i="6"/>
  <c r="DS86" i="6"/>
  <c r="DS85" i="6"/>
  <c r="DS88" i="6"/>
  <c r="DS87" i="6"/>
  <c r="ED87" i="6"/>
  <c r="ED86" i="6"/>
  <c r="ED85" i="6"/>
  <c r="ED88" i="6"/>
  <c r="DY85" i="6"/>
  <c r="DY87" i="6"/>
  <c r="DY86" i="6"/>
  <c r="DY88" i="6"/>
  <c r="DT87" i="6"/>
  <c r="DT85" i="6"/>
  <c r="DT86" i="6"/>
  <c r="DT88" i="6"/>
  <c r="DZ87" i="6"/>
  <c r="DZ88" i="6"/>
  <c r="DZ86" i="6"/>
  <c r="DZ85" i="6"/>
  <c r="DU87" i="6"/>
  <c r="DU86" i="6"/>
  <c r="DU85" i="6"/>
  <c r="DU88" i="6"/>
  <c r="EA88" i="6"/>
  <c r="EA87" i="6"/>
  <c r="EA85" i="6"/>
  <c r="EA86" i="6"/>
  <c r="DV88" i="6"/>
  <c r="DV86" i="6"/>
  <c r="DV85" i="6"/>
  <c r="DV87" i="6"/>
  <c r="EC114" i="5"/>
  <c r="DX114" i="5"/>
  <c r="DS114" i="5"/>
  <c r="ED114" i="5"/>
  <c r="DY114" i="5"/>
  <c r="DT114" i="5"/>
  <c r="DZ114" i="5"/>
  <c r="DU114" i="5"/>
  <c r="EP114" i="5"/>
  <c r="EF114" i="5"/>
  <c r="EA114" i="5"/>
  <c r="DV114" i="5"/>
  <c r="EC91" i="6"/>
  <c r="EP91" i="6"/>
  <c r="EH91" i="6"/>
  <c r="ED91" i="6"/>
  <c r="DY91" i="6"/>
  <c r="DV91" i="6"/>
  <c r="EM91" i="6"/>
  <c r="EE91" i="6"/>
  <c r="EJ91" i="6"/>
  <c r="EA91" i="6"/>
  <c r="EK91" i="6"/>
  <c r="DS91" i="6"/>
  <c r="DX91" i="6"/>
  <c r="EO91" i="6"/>
  <c r="EI91" i="6"/>
  <c r="DZ91" i="6"/>
  <c r="EF91" i="6"/>
  <c r="ER91" i="6"/>
  <c r="DT91" i="6"/>
  <c r="EQ67" i="5"/>
  <c r="EQ39" i="7"/>
  <c r="EQ40" i="7" s="1"/>
  <c r="EQ34" i="2"/>
  <c r="EQ35" i="2" s="1"/>
  <c r="EQ150" i="5"/>
  <c r="EQ20" i="8"/>
  <c r="EN59" i="6"/>
  <c r="EQ108" i="5"/>
  <c r="EQ34" i="8"/>
  <c r="EQ43" i="8" s="1"/>
  <c r="DU59" i="6"/>
  <c r="EQ134" i="5"/>
  <c r="CB60" i="6"/>
  <c r="CB61" i="6" s="1"/>
  <c r="CA63" i="6"/>
  <c r="EK59" i="6"/>
  <c r="AE63" i="6"/>
  <c r="AG60" i="6"/>
  <c r="DT59" i="6"/>
  <c r="EM59" i="6"/>
  <c r="EO59" i="6"/>
  <c r="EP59" i="6"/>
  <c r="DX59" i="6"/>
  <c r="EC59" i="6"/>
  <c r="DS59" i="6"/>
  <c r="ER59" i="6"/>
  <c r="EH59" i="6"/>
  <c r="ED59" i="6"/>
  <c r="EI59" i="6"/>
  <c r="EE59" i="6"/>
  <c r="DZ59" i="6"/>
  <c r="EF59" i="6"/>
  <c r="EA59" i="6"/>
  <c r="DY100" i="5"/>
  <c r="DY105" i="5" s="1"/>
  <c r="DY59" i="6"/>
  <c r="DV100" i="5"/>
  <c r="DV105" i="5" s="1"/>
  <c r="DV59" i="6"/>
  <c r="EJ100" i="5"/>
  <c r="EJ105" i="5" s="1"/>
  <c r="EJ59" i="6"/>
  <c r="EE69" i="6"/>
  <c r="EE70" i="6"/>
  <c r="DZ70" i="6"/>
  <c r="DZ69" i="6"/>
  <c r="DU69" i="6"/>
  <c r="DU70" i="6"/>
  <c r="EO70" i="6"/>
  <c r="EO69" i="6"/>
  <c r="EJ69" i="6"/>
  <c r="EJ70" i="6"/>
  <c r="EF69" i="6"/>
  <c r="EF70" i="6"/>
  <c r="EA70" i="6"/>
  <c r="EA69" i="6"/>
  <c r="DV69" i="6"/>
  <c r="DV70" i="6"/>
  <c r="ER70" i="6"/>
  <c r="ER69" i="6"/>
  <c r="EI70" i="6"/>
  <c r="EI69" i="6"/>
  <c r="EN69" i="6"/>
  <c r="EN70" i="6"/>
  <c r="EK69" i="6"/>
  <c r="EK70" i="6"/>
  <c r="EM69" i="6"/>
  <c r="EM70" i="6"/>
  <c r="EC70" i="6"/>
  <c r="EC69" i="6"/>
  <c r="DX69" i="6"/>
  <c r="DX70" i="6"/>
  <c r="DS69" i="6"/>
  <c r="DS70" i="6"/>
  <c r="EP69" i="6"/>
  <c r="EP70" i="6"/>
  <c r="EH69" i="6"/>
  <c r="EH70" i="6"/>
  <c r="ED69" i="6"/>
  <c r="ED70" i="6"/>
  <c r="DY69" i="6"/>
  <c r="DY70" i="6"/>
  <c r="DT69" i="6"/>
  <c r="DT70" i="6"/>
  <c r="EQ56" i="6"/>
  <c r="DW56" i="6"/>
  <c r="EL56" i="6"/>
  <c r="EG56" i="6"/>
  <c r="EB56" i="6"/>
  <c r="ER66" i="6"/>
  <c r="ER71" i="6" s="1"/>
  <c r="ER100" i="5"/>
  <c r="DS66" i="6"/>
  <c r="DS71" i="6" s="1"/>
  <c r="DW31" i="6"/>
  <c r="DW32" i="6" s="1"/>
  <c r="DS100" i="5"/>
  <c r="DS105" i="5" s="1"/>
  <c r="DT66" i="6"/>
  <c r="DT71" i="6" s="1"/>
  <c r="DT100" i="5"/>
  <c r="DT105" i="5" s="1"/>
  <c r="DU66" i="6"/>
  <c r="DU71" i="6" s="1"/>
  <c r="DU100" i="5"/>
  <c r="DU105" i="5" s="1"/>
  <c r="EO66" i="6"/>
  <c r="EO71" i="6" s="1"/>
  <c r="EO100" i="5"/>
  <c r="EO105" i="5" s="1"/>
  <c r="EL31" i="6"/>
  <c r="EL32" i="6" s="1"/>
  <c r="EH100" i="5"/>
  <c r="EH105" i="5" s="1"/>
  <c r="ED66" i="6"/>
  <c r="ED71" i="6" s="1"/>
  <c r="ED100" i="5"/>
  <c r="ED105" i="5" s="1"/>
  <c r="EK66" i="6"/>
  <c r="EK71" i="6" s="1"/>
  <c r="EK100" i="5"/>
  <c r="EK105" i="5" s="1"/>
  <c r="EM66" i="6"/>
  <c r="EM71" i="6" s="1"/>
  <c r="EM100" i="5"/>
  <c r="EM105" i="5" s="1"/>
  <c r="EG31" i="6"/>
  <c r="EG32" i="6" s="1"/>
  <c r="EC100" i="5"/>
  <c r="EC105" i="5" s="1"/>
  <c r="EN66" i="6"/>
  <c r="EN100" i="5"/>
  <c r="EN105" i="5" s="1"/>
  <c r="EI66" i="6"/>
  <c r="EI71" i="6" s="1"/>
  <c r="EI100" i="5"/>
  <c r="EI105" i="5" s="1"/>
  <c r="EG68" i="6"/>
  <c r="EG84" i="6" s="1"/>
  <c r="EE66" i="6"/>
  <c r="EE71" i="6" s="1"/>
  <c r="EE100" i="5"/>
  <c r="EE105" i="5" s="1"/>
  <c r="EB68" i="6"/>
  <c r="EB84" i="6" s="1"/>
  <c r="DZ66" i="6"/>
  <c r="DZ100" i="5"/>
  <c r="DZ105" i="5" s="1"/>
  <c r="DW68" i="6"/>
  <c r="DW84" i="6" s="1"/>
  <c r="EP66" i="6"/>
  <c r="EP100" i="5"/>
  <c r="EP105" i="5" s="1"/>
  <c r="EB31" i="6"/>
  <c r="EB32" i="6" s="1"/>
  <c r="DX100" i="5"/>
  <c r="DX105" i="5" s="1"/>
  <c r="EL68" i="6"/>
  <c r="EL84" i="6" s="1"/>
  <c r="EF66" i="6"/>
  <c r="EF100" i="5"/>
  <c r="EF105" i="5" s="1"/>
  <c r="EA66" i="6"/>
  <c r="EA71" i="6" s="1"/>
  <c r="EA100" i="5"/>
  <c r="EA105" i="5" s="1"/>
  <c r="DV66" i="6"/>
  <c r="DV71" i="6" s="1"/>
  <c r="DX66" i="6"/>
  <c r="DY66" i="6"/>
  <c r="EC66" i="6"/>
  <c r="EH66" i="6"/>
  <c r="EJ66" i="6"/>
  <c r="EJ71" i="6" s="1"/>
  <c r="EQ68" i="6"/>
  <c r="EQ31" i="6"/>
  <c r="EQ32" i="6" s="1"/>
  <c r="EM86" i="6" l="1"/>
  <c r="EM114" i="5"/>
  <c r="EM122" i="5" s="1"/>
  <c r="EM120" i="5" s="1"/>
  <c r="EM88" i="6"/>
  <c r="EP85" i="6"/>
  <c r="EW87" i="6"/>
  <c r="EW85" i="6"/>
  <c r="ER101" i="5"/>
  <c r="ER105" i="5"/>
  <c r="EP122" i="5"/>
  <c r="EP120" i="5" s="1"/>
  <c r="DV17" i="30"/>
  <c r="DV122" i="5"/>
  <c r="DV120" i="5" s="1"/>
  <c r="EA17" i="30"/>
  <c r="EA122" i="5"/>
  <c r="EA120" i="5" s="1"/>
  <c r="DT17" i="30"/>
  <c r="DT122" i="5"/>
  <c r="DT120" i="5" s="1"/>
  <c r="EK17" i="30"/>
  <c r="EK122" i="5"/>
  <c r="EK120" i="5" s="1"/>
  <c r="EQ138" i="5"/>
  <c r="EF17" i="30"/>
  <c r="EF122" i="5"/>
  <c r="EF120" i="5" s="1"/>
  <c r="DY17" i="30"/>
  <c r="DY122" i="5"/>
  <c r="DY120" i="5" s="1"/>
  <c r="ED17" i="30"/>
  <c r="ED122" i="5"/>
  <c r="ED120" i="5" s="1"/>
  <c r="DU17" i="30"/>
  <c r="DU122" i="5"/>
  <c r="DU120" i="5" s="1"/>
  <c r="DS17" i="30"/>
  <c r="DS122" i="5"/>
  <c r="DS120" i="5" s="1"/>
  <c r="EC17" i="30"/>
  <c r="EC122" i="5"/>
  <c r="EC120" i="5" s="1"/>
  <c r="DZ17" i="30"/>
  <c r="DZ122" i="5"/>
  <c r="DZ120" i="5" s="1"/>
  <c r="DX17" i="30"/>
  <c r="DX122" i="5"/>
  <c r="DX120" i="5" s="1"/>
  <c r="EP17" i="30"/>
  <c r="EM17" i="30"/>
  <c r="EP87" i="6"/>
  <c r="EQ84" i="6"/>
  <c r="EQ85" i="6" s="1"/>
  <c r="ER72" i="6"/>
  <c r="EO74" i="6"/>
  <c r="EO75" i="6" s="1"/>
  <c r="EO72" i="6"/>
  <c r="EA74" i="6"/>
  <c r="EA75" i="6" s="1"/>
  <c r="EA72" i="6"/>
  <c r="DV74" i="6"/>
  <c r="DV75" i="6" s="1"/>
  <c r="DV72" i="6"/>
  <c r="EI72" i="6"/>
  <c r="DT74" i="6"/>
  <c r="DT75" i="6" s="1"/>
  <c r="DT72" i="6"/>
  <c r="DS74" i="6"/>
  <c r="DS75" i="6" s="1"/>
  <c r="DS72" i="6"/>
  <c r="DU74" i="6"/>
  <c r="DU75" i="6" s="1"/>
  <c r="DU72" i="6"/>
  <c r="EJ72" i="6"/>
  <c r="ER74" i="6"/>
  <c r="ER75" i="6" s="1"/>
  <c r="EI74" i="6"/>
  <c r="EI75" i="6" s="1"/>
  <c r="EJ74" i="6"/>
  <c r="EJ75" i="6" s="1"/>
  <c r="EU85" i="6"/>
  <c r="EU87" i="6"/>
  <c r="EQ44" i="8"/>
  <c r="EV44" i="8"/>
  <c r="EK87" i="6"/>
  <c r="EK85" i="6"/>
  <c r="EF85" i="6"/>
  <c r="EK86" i="6"/>
  <c r="EM87" i="6"/>
  <c r="EQ135" i="5"/>
  <c r="ER88" i="6"/>
  <c r="EN88" i="6"/>
  <c r="EI87" i="6"/>
  <c r="EO86" i="6"/>
  <c r="ER85" i="6"/>
  <c r="ER87" i="6"/>
  <c r="ER114" i="5"/>
  <c r="ER118" i="5" s="1"/>
  <c r="EN114" i="5"/>
  <c r="ER86" i="6"/>
  <c r="EF88" i="6"/>
  <c r="EI86" i="6"/>
  <c r="EE86" i="6"/>
  <c r="EJ88" i="6"/>
  <c r="EH85" i="6"/>
  <c r="EJ114" i="5"/>
  <c r="EH114" i="5"/>
  <c r="EO87" i="6"/>
  <c r="EH86" i="6"/>
  <c r="EO114" i="5"/>
  <c r="EE114" i="5"/>
  <c r="EE85" i="6"/>
  <c r="EM85" i="6"/>
  <c r="EK88" i="6"/>
  <c r="EI114" i="5"/>
  <c r="EF86" i="6"/>
  <c r="EJ87" i="6"/>
  <c r="EP86" i="6"/>
  <c r="EH87" i="6"/>
  <c r="EN87" i="6"/>
  <c r="DU96" i="6"/>
  <c r="EJ85" i="6"/>
  <c r="EE88" i="6"/>
  <c r="EJ86" i="6"/>
  <c r="EI88" i="6"/>
  <c r="EH88" i="6"/>
  <c r="EN86" i="6"/>
  <c r="EO88" i="6"/>
  <c r="EN85" i="6"/>
  <c r="EP88" i="6"/>
  <c r="EN96" i="6"/>
  <c r="EN129" i="5" s="1"/>
  <c r="ET87" i="6"/>
  <c r="ET85" i="6"/>
  <c r="EO85" i="6"/>
  <c r="DT115" i="5"/>
  <c r="EF115" i="5"/>
  <c r="DY115" i="5"/>
  <c r="DX115" i="5"/>
  <c r="EM115" i="5"/>
  <c r="EA115" i="5"/>
  <c r="EP115" i="5"/>
  <c r="DU115" i="5"/>
  <c r="ED115" i="5"/>
  <c r="DV115" i="5"/>
  <c r="EC115" i="5"/>
  <c r="EK115" i="5"/>
  <c r="DZ115" i="5"/>
  <c r="DS115" i="5"/>
  <c r="EQ137" i="5"/>
  <c r="EQ73" i="3" s="1"/>
  <c r="EQ74" i="3" s="1"/>
  <c r="EL85" i="6"/>
  <c r="EL87" i="6"/>
  <c r="EM101" i="5"/>
  <c r="DX101" i="5"/>
  <c r="EJ101" i="5"/>
  <c r="EI101" i="5"/>
  <c r="EK101" i="5"/>
  <c r="EH101" i="5"/>
  <c r="EA101" i="5"/>
  <c r="EB85" i="6"/>
  <c r="EB87" i="6"/>
  <c r="EN101" i="5"/>
  <c r="DS101" i="5"/>
  <c r="EP101" i="5"/>
  <c r="DV101" i="5"/>
  <c r="EF101" i="5"/>
  <c r="EC101" i="5"/>
  <c r="ED101" i="5"/>
  <c r="DU101" i="5"/>
  <c r="DZ101" i="5"/>
  <c r="DT101" i="5"/>
  <c r="EB91" i="6"/>
  <c r="EB96" i="6" s="1"/>
  <c r="EO101" i="5"/>
  <c r="EE101" i="5"/>
  <c r="DW85" i="6"/>
  <c r="DW87" i="6"/>
  <c r="EG85" i="6"/>
  <c r="EG87" i="6"/>
  <c r="DY101" i="5"/>
  <c r="EQ109" i="5"/>
  <c r="EQ10" i="30"/>
  <c r="EB114" i="5"/>
  <c r="DV116" i="5"/>
  <c r="DV118" i="5"/>
  <c r="DV119" i="5"/>
  <c r="DV117" i="5"/>
  <c r="DU118" i="5"/>
  <c r="DU117" i="5"/>
  <c r="DU119" i="5"/>
  <c r="DU116" i="5"/>
  <c r="EM119" i="5"/>
  <c r="EM117" i="5"/>
  <c r="ED119" i="5"/>
  <c r="ED118" i="5"/>
  <c r="ED116" i="5"/>
  <c r="ED117" i="5"/>
  <c r="DZ117" i="5"/>
  <c r="DZ116" i="5"/>
  <c r="DZ118" i="5"/>
  <c r="DZ119" i="5"/>
  <c r="DT119" i="5"/>
  <c r="DT116" i="5"/>
  <c r="DT118" i="5"/>
  <c r="DT117" i="5"/>
  <c r="EA118" i="5"/>
  <c r="EA117" i="5"/>
  <c r="EA119" i="5"/>
  <c r="EA116" i="5"/>
  <c r="EP118" i="5"/>
  <c r="EP116" i="5"/>
  <c r="DS116" i="5"/>
  <c r="DS118" i="5"/>
  <c r="DS117" i="5"/>
  <c r="DS119" i="5"/>
  <c r="EK116" i="5"/>
  <c r="EK118" i="5"/>
  <c r="EC118" i="5"/>
  <c r="EC119" i="5"/>
  <c r="EC116" i="5"/>
  <c r="EC117" i="5"/>
  <c r="DW69" i="6"/>
  <c r="EF116" i="5"/>
  <c r="EF118" i="5"/>
  <c r="EG114" i="5"/>
  <c r="EL114" i="5"/>
  <c r="DY117" i="5"/>
  <c r="DY119" i="5"/>
  <c r="DY116" i="5"/>
  <c r="DY118" i="5"/>
  <c r="DX116" i="5"/>
  <c r="DX118" i="5"/>
  <c r="DX119" i="5"/>
  <c r="DX117" i="5"/>
  <c r="DZ96" i="6"/>
  <c r="DZ92" i="6"/>
  <c r="DX96" i="6"/>
  <c r="DX92" i="6"/>
  <c r="EA92" i="6"/>
  <c r="EA96" i="6"/>
  <c r="EE92" i="6"/>
  <c r="EE96" i="6"/>
  <c r="DV92" i="6"/>
  <c r="DV96" i="6"/>
  <c r="DV97" i="6" s="1"/>
  <c r="EH96" i="6"/>
  <c r="EH92" i="6"/>
  <c r="EH67" i="6"/>
  <c r="EH71" i="6"/>
  <c r="EN67" i="6"/>
  <c r="EN71" i="6"/>
  <c r="ER96" i="6"/>
  <c r="ER92" i="6"/>
  <c r="EI96" i="6"/>
  <c r="EI92" i="6"/>
  <c r="DS96" i="6"/>
  <c r="DS97" i="6" s="1"/>
  <c r="DS92" i="6"/>
  <c r="EJ96" i="6"/>
  <c r="EJ92" i="6"/>
  <c r="DY92" i="6"/>
  <c r="DY96" i="6"/>
  <c r="EP96" i="6"/>
  <c r="EP92" i="6"/>
  <c r="EP67" i="6"/>
  <c r="EP71" i="6"/>
  <c r="EF67" i="6"/>
  <c r="EF71" i="6"/>
  <c r="EQ91" i="6"/>
  <c r="DX67" i="6"/>
  <c r="DX71" i="6"/>
  <c r="EF92" i="6"/>
  <c r="EF96" i="6"/>
  <c r="EO96" i="6"/>
  <c r="EO92" i="6"/>
  <c r="EK96" i="6"/>
  <c r="EK92" i="6"/>
  <c r="EM92" i="6"/>
  <c r="EM96" i="6"/>
  <c r="ED96" i="6"/>
  <c r="ED92" i="6"/>
  <c r="EC96" i="6"/>
  <c r="EC92" i="6"/>
  <c r="DT92" i="6"/>
  <c r="DT96" i="6"/>
  <c r="DT97" i="6" s="1"/>
  <c r="EC67" i="6"/>
  <c r="EC71" i="6"/>
  <c r="DY67" i="6"/>
  <c r="DY71" i="6"/>
  <c r="EG91" i="6"/>
  <c r="DW91" i="6"/>
  <c r="DZ67" i="6"/>
  <c r="DZ71" i="6"/>
  <c r="DZ72" i="6" s="1"/>
  <c r="EL91" i="6"/>
  <c r="DT95" i="6"/>
  <c r="DT94" i="6"/>
  <c r="EH95" i="6"/>
  <c r="EH94" i="6"/>
  <c r="DX95" i="6"/>
  <c r="DX94" i="6"/>
  <c r="EK94" i="6"/>
  <c r="EK95" i="6"/>
  <c r="EF95" i="6"/>
  <c r="EF94" i="6"/>
  <c r="DU95" i="6"/>
  <c r="DU94" i="6"/>
  <c r="ER95" i="6"/>
  <c r="ER94" i="6"/>
  <c r="DY95" i="6"/>
  <c r="DY94" i="6"/>
  <c r="EP95" i="6"/>
  <c r="EP94" i="6"/>
  <c r="EN95" i="6"/>
  <c r="EN94" i="6"/>
  <c r="DV95" i="6"/>
  <c r="DV94" i="6"/>
  <c r="EC95" i="6"/>
  <c r="EC94" i="6"/>
  <c r="DZ94" i="6"/>
  <c r="DZ95" i="6"/>
  <c r="EJ95" i="6"/>
  <c r="EJ94" i="6"/>
  <c r="ED95" i="6"/>
  <c r="ED94" i="6"/>
  <c r="DS95" i="6"/>
  <c r="DS94" i="6"/>
  <c r="EM94" i="6"/>
  <c r="EM95" i="6"/>
  <c r="EE95" i="6"/>
  <c r="EE94" i="6"/>
  <c r="EI95" i="6"/>
  <c r="EI94" i="6"/>
  <c r="EA94" i="6"/>
  <c r="EA95" i="6"/>
  <c r="EO95" i="6"/>
  <c r="EO94" i="6"/>
  <c r="EQ35" i="8"/>
  <c r="EQ37" i="8" s="1"/>
  <c r="EQ40" i="8" s="1"/>
  <c r="EQ151" i="5"/>
  <c r="EQ152" i="5"/>
  <c r="EQ111" i="5"/>
  <c r="EQ110" i="5"/>
  <c r="CC60" i="6"/>
  <c r="CC61" i="6" s="1"/>
  <c r="CB63" i="6"/>
  <c r="EB59" i="6"/>
  <c r="AG61" i="6"/>
  <c r="AK60" i="6"/>
  <c r="AK61" i="6" s="1"/>
  <c r="EL69" i="6"/>
  <c r="EL59" i="6"/>
  <c r="EG59" i="6"/>
  <c r="DW59" i="6"/>
  <c r="EQ100" i="5"/>
  <c r="EQ59" i="6"/>
  <c r="EB69" i="6"/>
  <c r="EQ69" i="6"/>
  <c r="EG69" i="6"/>
  <c r="DT67" i="6"/>
  <c r="EE67" i="6"/>
  <c r="ED67" i="6"/>
  <c r="EO67" i="6"/>
  <c r="EK67" i="6"/>
  <c r="DS67" i="6"/>
  <c r="DS73" i="6" s="1"/>
  <c r="ER67" i="6"/>
  <c r="EA67" i="6"/>
  <c r="DV67" i="6"/>
  <c r="EJ67" i="6"/>
  <c r="EI67" i="6"/>
  <c r="EM67" i="6"/>
  <c r="DU67" i="6"/>
  <c r="EQ66" i="6"/>
  <c r="EQ71" i="6" s="1"/>
  <c r="EG66" i="6"/>
  <c r="EG71" i="6" s="1"/>
  <c r="EG100" i="5"/>
  <c r="DW100" i="5"/>
  <c r="EB66" i="6"/>
  <c r="EB71" i="6" s="1"/>
  <c r="DW66" i="6"/>
  <c r="DW71" i="6" s="1"/>
  <c r="EL100" i="5"/>
  <c r="EL66" i="6"/>
  <c r="EL71" i="6" s="1"/>
  <c r="EB100" i="5"/>
  <c r="EQ87" i="6" l="1"/>
  <c r="EQ114" i="5"/>
  <c r="EP123" i="5"/>
  <c r="EL101" i="5"/>
  <c r="EL105" i="5"/>
  <c r="EQ101" i="5"/>
  <c r="EQ105" i="5"/>
  <c r="DW101" i="5"/>
  <c r="DW102" i="5" s="1"/>
  <c r="DW105" i="5"/>
  <c r="EB101" i="5"/>
  <c r="EB105" i="5"/>
  <c r="EG101" i="5"/>
  <c r="EG105" i="5"/>
  <c r="EN122" i="5"/>
  <c r="EN120" i="5" s="1"/>
  <c r="EQ122" i="5"/>
  <c r="EQ120" i="5" s="1"/>
  <c r="EO122" i="5"/>
  <c r="EO120" i="5" s="1"/>
  <c r="ER122" i="5"/>
  <c r="ER123" i="5" s="1"/>
  <c r="DU18" i="30"/>
  <c r="DT18" i="30"/>
  <c r="EK18" i="30"/>
  <c r="EA24" i="30"/>
  <c r="EA15" i="30" s="1"/>
  <c r="DX18" i="30"/>
  <c r="DS18" i="30"/>
  <c r="DV18" i="30"/>
  <c r="EP18" i="30"/>
  <c r="DZ18" i="30"/>
  <c r="EA18" i="30"/>
  <c r="EC18" i="30"/>
  <c r="DY18" i="30"/>
  <c r="ED18" i="30"/>
  <c r="EJ17" i="30"/>
  <c r="EJ122" i="5"/>
  <c r="EO123" i="5" s="1"/>
  <c r="EG17" i="30"/>
  <c r="EG122" i="5"/>
  <c r="EG120" i="5" s="1"/>
  <c r="EF18" i="30"/>
  <c r="EE17" i="30"/>
  <c r="EE122" i="5"/>
  <c r="EE120" i="5" s="1"/>
  <c r="EH17" i="30"/>
  <c r="EH122" i="5"/>
  <c r="EH120" i="5" s="1"/>
  <c r="EB17" i="30"/>
  <c r="EB122" i="5"/>
  <c r="EB120" i="5" s="1"/>
  <c r="EI17" i="30"/>
  <c r="EI122" i="5"/>
  <c r="EI123" i="5" s="1"/>
  <c r="EK123" i="5"/>
  <c r="EL17" i="30"/>
  <c r="EL122" i="5"/>
  <c r="EL120" i="5" s="1"/>
  <c r="EQ17" i="30"/>
  <c r="EN17" i="30"/>
  <c r="EO17" i="30"/>
  <c r="ER17" i="30"/>
  <c r="EH117" i="5"/>
  <c r="EC72" i="6"/>
  <c r="EB72" i="6"/>
  <c r="EL72" i="6"/>
  <c r="EE97" i="6"/>
  <c r="EF97" i="6"/>
  <c r="EG72" i="6"/>
  <c r="EM97" i="6"/>
  <c r="DZ97" i="6"/>
  <c r="EE72" i="6"/>
  <c r="EH72" i="6"/>
  <c r="DW74" i="6"/>
  <c r="DW75" i="6" s="1"/>
  <c r="DW72" i="6"/>
  <c r="DY74" i="6"/>
  <c r="DY75" i="6" s="1"/>
  <c r="DY72" i="6"/>
  <c r="DX74" i="6"/>
  <c r="DX75" i="6" s="1"/>
  <c r="DX72" i="6"/>
  <c r="EP72" i="6"/>
  <c r="EU72" i="6"/>
  <c r="ER119" i="5"/>
  <c r="ED72" i="6"/>
  <c r="EM72" i="6"/>
  <c r="EF74" i="6"/>
  <c r="EF75" i="6" s="1"/>
  <c r="EF72" i="6"/>
  <c r="EQ72" i="6"/>
  <c r="EI97" i="6"/>
  <c r="EC97" i="6"/>
  <c r="ER116" i="5"/>
  <c r="EP119" i="5"/>
  <c r="ER115" i="5"/>
  <c r="EN74" i="6"/>
  <c r="EN75" i="6" s="1"/>
  <c r="EN72" i="6"/>
  <c r="ER117" i="5"/>
  <c r="EK72" i="6"/>
  <c r="EA97" i="6"/>
  <c r="ER97" i="6"/>
  <c r="EH97" i="6"/>
  <c r="DU98" i="6"/>
  <c r="DU97" i="6"/>
  <c r="EK97" i="6"/>
  <c r="EN115" i="5"/>
  <c r="DY97" i="6"/>
  <c r="EJ97" i="6"/>
  <c r="ED97" i="6"/>
  <c r="EO97" i="6"/>
  <c r="EP97" i="6"/>
  <c r="EU97" i="6"/>
  <c r="DX97" i="6"/>
  <c r="EN98" i="6"/>
  <c r="EN97" i="6"/>
  <c r="EL74" i="6"/>
  <c r="EL75" i="6" s="1"/>
  <c r="EC74" i="6"/>
  <c r="EC75" i="6" s="1"/>
  <c r="EK74" i="6"/>
  <c r="EK75" i="6" s="1"/>
  <c r="EB74" i="6"/>
  <c r="EB75" i="6" s="1"/>
  <c r="EG74" i="6"/>
  <c r="EG75" i="6" s="1"/>
  <c r="EQ74" i="6"/>
  <c r="EQ75" i="6" s="1"/>
  <c r="DZ73" i="6"/>
  <c r="DZ74" i="6"/>
  <c r="DZ75" i="6" s="1"/>
  <c r="EP74" i="6"/>
  <c r="EP75" i="6" s="1"/>
  <c r="EU74" i="6"/>
  <c r="EU75" i="6" s="1"/>
  <c r="EE74" i="6"/>
  <c r="EE75" i="6" s="1"/>
  <c r="EH74" i="6"/>
  <c r="EH75" i="6" s="1"/>
  <c r="EM74" i="6"/>
  <c r="EM75" i="6" s="1"/>
  <c r="ED74" i="6"/>
  <c r="ED75" i="6" s="1"/>
  <c r="EH119" i="5"/>
  <c r="EM118" i="5"/>
  <c r="EH116" i="5"/>
  <c r="EQ141" i="5"/>
  <c r="EH118" i="5"/>
  <c r="DU129" i="5"/>
  <c r="DU130" i="5" s="1"/>
  <c r="EO115" i="5"/>
  <c r="EO119" i="5"/>
  <c r="EE116" i="5"/>
  <c r="EF117" i="5"/>
  <c r="EN117" i="5"/>
  <c r="EE115" i="5"/>
  <c r="EN119" i="5"/>
  <c r="EO117" i="5"/>
  <c r="EP117" i="5"/>
  <c r="EM116" i="5"/>
  <c r="EH115" i="5"/>
  <c r="EJ117" i="5"/>
  <c r="EJ116" i="5"/>
  <c r="EE118" i="5"/>
  <c r="EF119" i="5"/>
  <c r="EO118" i="5"/>
  <c r="EJ118" i="5"/>
  <c r="EJ115" i="5"/>
  <c r="EE119" i="5"/>
  <c r="EK117" i="5"/>
  <c r="EE117" i="5"/>
  <c r="EK119" i="5"/>
  <c r="EO116" i="5"/>
  <c r="EN116" i="5"/>
  <c r="EI119" i="5"/>
  <c r="EN118" i="5"/>
  <c r="EJ119" i="5"/>
  <c r="EI116" i="5"/>
  <c r="EI117" i="5"/>
  <c r="EI118" i="5"/>
  <c r="EI115" i="5"/>
  <c r="EB92" i="6"/>
  <c r="EQ41" i="8"/>
  <c r="EQ11" i="30"/>
  <c r="EQ115" i="5"/>
  <c r="EQ13" i="30"/>
  <c r="EB115" i="5"/>
  <c r="EL115" i="5"/>
  <c r="EG115" i="5"/>
  <c r="EQ143" i="5"/>
  <c r="DS103" i="5"/>
  <c r="EF103" i="5"/>
  <c r="EI103" i="5"/>
  <c r="DU103" i="5"/>
  <c r="EA103" i="5"/>
  <c r="DY103" i="5"/>
  <c r="EE103" i="5"/>
  <c r="DT103" i="5"/>
  <c r="ED103" i="5"/>
  <c r="DV103" i="5"/>
  <c r="EN103" i="5"/>
  <c r="EH103" i="5"/>
  <c r="EJ103" i="5"/>
  <c r="EM103" i="5"/>
  <c r="EO103" i="5"/>
  <c r="DZ103" i="5"/>
  <c r="EC103" i="5"/>
  <c r="EP103" i="5"/>
  <c r="EK103" i="5"/>
  <c r="DX103" i="5"/>
  <c r="EG118" i="5"/>
  <c r="EG116" i="5"/>
  <c r="EA21" i="30"/>
  <c r="EA19" i="30"/>
  <c r="EA20" i="30"/>
  <c r="EM21" i="30"/>
  <c r="EM24" i="30"/>
  <c r="EM15" i="30" s="1"/>
  <c r="EM19" i="30"/>
  <c r="EC24" i="30"/>
  <c r="EC22" i="30" s="1"/>
  <c r="EC20" i="30"/>
  <c r="EC21" i="30"/>
  <c r="EC19" i="30"/>
  <c r="DT24" i="30"/>
  <c r="DT15" i="30" s="1"/>
  <c r="DT19" i="30"/>
  <c r="DT21" i="30"/>
  <c r="DT20" i="30"/>
  <c r="DU24" i="30"/>
  <c r="DU15" i="30" s="1"/>
  <c r="DU21" i="30"/>
  <c r="DU19" i="30"/>
  <c r="DU20" i="30"/>
  <c r="EQ118" i="5"/>
  <c r="EQ116" i="5"/>
  <c r="EK24" i="30"/>
  <c r="EK15" i="30" s="1"/>
  <c r="EK20" i="30"/>
  <c r="DZ24" i="30"/>
  <c r="DZ15" i="30" s="1"/>
  <c r="DZ20" i="30"/>
  <c r="DZ21" i="30"/>
  <c r="DZ19" i="30"/>
  <c r="EL118" i="5"/>
  <c r="EL116" i="5"/>
  <c r="DS21" i="30"/>
  <c r="DS24" i="30"/>
  <c r="DS15" i="30" s="1"/>
  <c r="DS19" i="30"/>
  <c r="DS20" i="30"/>
  <c r="DV21" i="30"/>
  <c r="DV19" i="30"/>
  <c r="DV24" i="30"/>
  <c r="DV15" i="30" s="1"/>
  <c r="DV20" i="30"/>
  <c r="DX21" i="30"/>
  <c r="DX19" i="30"/>
  <c r="DX20" i="30"/>
  <c r="DX24" i="30"/>
  <c r="DX15" i="30" s="1"/>
  <c r="EF20" i="30"/>
  <c r="EF24" i="30"/>
  <c r="EF15" i="30" s="1"/>
  <c r="DW114" i="5"/>
  <c r="EP20" i="30"/>
  <c r="EP24" i="30"/>
  <c r="EP22" i="30" s="1"/>
  <c r="DY20" i="30"/>
  <c r="DY19" i="30"/>
  <c r="DY21" i="30"/>
  <c r="DY24" i="30"/>
  <c r="DY15" i="30" s="1"/>
  <c r="ED19" i="30"/>
  <c r="ED20" i="30"/>
  <c r="ED24" i="30"/>
  <c r="ED22" i="30" s="1"/>
  <c r="ED21" i="30"/>
  <c r="EL92" i="6"/>
  <c r="EL96" i="6"/>
  <c r="EG92" i="6"/>
  <c r="EG96" i="6"/>
  <c r="EG97" i="6" s="1"/>
  <c r="DT98" i="6"/>
  <c r="DT129" i="5"/>
  <c r="EM98" i="6"/>
  <c r="EM129" i="5"/>
  <c r="EF98" i="6"/>
  <c r="EF129" i="5"/>
  <c r="EA98" i="6"/>
  <c r="EA129" i="5"/>
  <c r="EP129" i="5"/>
  <c r="EP98" i="6"/>
  <c r="EJ98" i="6"/>
  <c r="EJ129" i="5"/>
  <c r="ER98" i="6"/>
  <c r="ER129" i="5"/>
  <c r="ER130" i="5" s="1"/>
  <c r="EH98" i="6"/>
  <c r="EH129" i="5"/>
  <c r="DY129" i="5"/>
  <c r="DY98" i="6"/>
  <c r="DV98" i="6"/>
  <c r="DV129" i="5"/>
  <c r="EC129" i="5"/>
  <c r="EC98" i="6"/>
  <c r="EK129" i="5"/>
  <c r="EK98" i="6"/>
  <c r="DS129" i="5"/>
  <c r="DS98" i="6"/>
  <c r="DX98" i="6"/>
  <c r="DX129" i="5"/>
  <c r="EN130" i="5"/>
  <c r="DW96" i="6"/>
  <c r="DW97" i="6" s="1"/>
  <c r="DW92" i="6"/>
  <c r="EQ92" i="6"/>
  <c r="EQ96" i="6"/>
  <c r="EE129" i="5"/>
  <c r="EE98" i="6"/>
  <c r="ED129" i="5"/>
  <c r="ED98" i="6"/>
  <c r="EO129" i="5"/>
  <c r="EO98" i="6"/>
  <c r="EB98" i="6"/>
  <c r="EB129" i="5"/>
  <c r="EB130" i="5" s="1"/>
  <c r="EI129" i="5"/>
  <c r="EI98" i="6"/>
  <c r="DZ98" i="6"/>
  <c r="DZ129" i="5"/>
  <c r="EL94" i="6"/>
  <c r="DW94" i="6"/>
  <c r="EG94" i="6"/>
  <c r="EQ94" i="6"/>
  <c r="EB94" i="6"/>
  <c r="EP125" i="5"/>
  <c r="EP126" i="5" s="1"/>
  <c r="EJ73" i="6"/>
  <c r="ED125" i="5"/>
  <c r="ED126" i="5" s="1"/>
  <c r="EF73" i="6"/>
  <c r="CC63" i="6"/>
  <c r="CE60" i="6"/>
  <c r="DZ125" i="5"/>
  <c r="AH60" i="6"/>
  <c r="AH61" i="6" s="1"/>
  <c r="AG63" i="6"/>
  <c r="EF125" i="5"/>
  <c r="EP73" i="6"/>
  <c r="DU73" i="6"/>
  <c r="DU125" i="5"/>
  <c r="EM73" i="6"/>
  <c r="EM125" i="5"/>
  <c r="ER125" i="5"/>
  <c r="ER73" i="6"/>
  <c r="DT125" i="5"/>
  <c r="DT73" i="6"/>
  <c r="DV73" i="6"/>
  <c r="DV125" i="5"/>
  <c r="EO125" i="5"/>
  <c r="EO73" i="6"/>
  <c r="EJ125" i="5"/>
  <c r="EE125" i="5"/>
  <c r="EE73" i="6"/>
  <c r="EK125" i="5"/>
  <c r="EK73" i="6"/>
  <c r="EI73" i="6"/>
  <c r="EI125" i="5"/>
  <c r="EA73" i="6"/>
  <c r="EA125" i="5"/>
  <c r="EL67" i="6"/>
  <c r="ED73" i="6"/>
  <c r="DS125" i="5"/>
  <c r="DW67" i="6"/>
  <c r="EB67" i="6"/>
  <c r="EQ67" i="6"/>
  <c r="EG67" i="6"/>
  <c r="EH125" i="5"/>
  <c r="EH73" i="6"/>
  <c r="DX125" i="5"/>
  <c r="DX73" i="6"/>
  <c r="EN125" i="5"/>
  <c r="EN73" i="6"/>
  <c r="EC125" i="5"/>
  <c r="EC73" i="6"/>
  <c r="DY125" i="5"/>
  <c r="DY73" i="6"/>
  <c r="EQ102" i="5" l="1"/>
  <c r="EB102" i="5"/>
  <c r="EL102" i="5"/>
  <c r="ER120" i="5"/>
  <c r="EG102" i="5"/>
  <c r="EJ120" i="5"/>
  <c r="DT22" i="30"/>
  <c r="EI120" i="5"/>
  <c r="EA22" i="30"/>
  <c r="ER24" i="30"/>
  <c r="ER15" i="30" s="1"/>
  <c r="EK19" i="30"/>
  <c r="DX22" i="30"/>
  <c r="EN24" i="30"/>
  <c r="EN15" i="30" s="1"/>
  <c r="EI18" i="30"/>
  <c r="EE18" i="30"/>
  <c r="DV22" i="30"/>
  <c r="DU22" i="30"/>
  <c r="EP15" i="30"/>
  <c r="EM18" i="30"/>
  <c r="EC15" i="30"/>
  <c r="EF22" i="30"/>
  <c r="EH19" i="30"/>
  <c r="EK22" i="30"/>
  <c r="DZ22" i="30"/>
  <c r="ED15" i="30"/>
  <c r="EH24" i="30"/>
  <c r="EH15" i="30" s="1"/>
  <c r="DS22" i="30"/>
  <c r="EM22" i="30"/>
  <c r="DY22" i="30"/>
  <c r="ER18" i="30"/>
  <c r="EF21" i="30"/>
  <c r="EE24" i="30"/>
  <c r="EE26" i="30" s="1"/>
  <c r="EN19" i="30"/>
  <c r="EN21" i="30"/>
  <c r="EI21" i="30"/>
  <c r="EJ20" i="30"/>
  <c r="EI20" i="30"/>
  <c r="EJ21" i="30"/>
  <c r="EI24" i="30"/>
  <c r="EI22" i="30" s="1"/>
  <c r="EF19" i="30"/>
  <c r="EE20" i="30"/>
  <c r="EJ19" i="30"/>
  <c r="EJ18" i="30"/>
  <c r="EH18" i="30"/>
  <c r="EJ24" i="30"/>
  <c r="EJ22" i="30" s="1"/>
  <c r="EK21" i="30"/>
  <c r="EH20" i="30"/>
  <c r="EI19" i="30"/>
  <c r="EH21" i="30"/>
  <c r="EM20" i="30"/>
  <c r="EO21" i="30"/>
  <c r="EE19" i="30"/>
  <c r="EE21" i="30"/>
  <c r="EL18" i="30"/>
  <c r="EG18" i="30"/>
  <c r="EQ18" i="30"/>
  <c r="EH123" i="5"/>
  <c r="EM123" i="5"/>
  <c r="EN123" i="5"/>
  <c r="EJ123" i="5"/>
  <c r="DW17" i="30"/>
  <c r="EB18" i="30" s="1"/>
  <c r="DW122" i="5"/>
  <c r="DW120" i="5" s="1"/>
  <c r="ER21" i="30"/>
  <c r="EN18" i="30"/>
  <c r="EL123" i="5"/>
  <c r="EQ123" i="5"/>
  <c r="ER20" i="30"/>
  <c r="EN20" i="30"/>
  <c r="ER19" i="30"/>
  <c r="EO18" i="30"/>
  <c r="EO24" i="30"/>
  <c r="EO19" i="30"/>
  <c r="EO20" i="30"/>
  <c r="EP19" i="30"/>
  <c r="EP21" i="30"/>
  <c r="EQ97" i="6"/>
  <c r="EL97" i="6"/>
  <c r="EB97" i="6"/>
  <c r="EU40" i="30"/>
  <c r="EB118" i="5"/>
  <c r="DW115" i="5"/>
  <c r="EB116" i="5"/>
  <c r="EB24" i="30"/>
  <c r="EB15" i="30" s="1"/>
  <c r="DX26" i="30"/>
  <c r="DX28" i="30"/>
  <c r="EC40" i="30"/>
  <c r="DX39" i="30"/>
  <c r="DX27" i="30"/>
  <c r="DX25" i="30"/>
  <c r="DV28" i="30"/>
  <c r="DV39" i="30"/>
  <c r="DV26" i="30"/>
  <c r="DV25" i="30"/>
  <c r="DV27" i="30"/>
  <c r="EA40" i="30"/>
  <c r="DZ39" i="30"/>
  <c r="DZ25" i="30"/>
  <c r="EE40" i="30"/>
  <c r="DZ27" i="30"/>
  <c r="DZ26" i="30"/>
  <c r="DZ28" i="30"/>
  <c r="EF27" i="30"/>
  <c r="EF39" i="30"/>
  <c r="EF25" i="30"/>
  <c r="EK40" i="30"/>
  <c r="DT26" i="30"/>
  <c r="DS25" i="30"/>
  <c r="DS26" i="30"/>
  <c r="DS27" i="30"/>
  <c r="DX40" i="30"/>
  <c r="DS28" i="30"/>
  <c r="DS39" i="30"/>
  <c r="EA28" i="30"/>
  <c r="EA25" i="30"/>
  <c r="EA39" i="30"/>
  <c r="EA27" i="30"/>
  <c r="EF40" i="30"/>
  <c r="EA26" i="30"/>
  <c r="ER28" i="30"/>
  <c r="ER25" i="30"/>
  <c r="EC27" i="30"/>
  <c r="EH40" i="30"/>
  <c r="EC28" i="30"/>
  <c r="EC25" i="30"/>
  <c r="EC39" i="30"/>
  <c r="EC26" i="30"/>
  <c r="EG24" i="30"/>
  <c r="EG15" i="30" s="1"/>
  <c r="EG20" i="30"/>
  <c r="EQ20" i="30"/>
  <c r="EQ24" i="30"/>
  <c r="EQ15" i="30" s="1"/>
  <c r="DT39" i="30"/>
  <c r="DY40" i="30"/>
  <c r="DT27" i="30"/>
  <c r="DT28" i="30"/>
  <c r="DT25" i="30"/>
  <c r="EM26" i="30"/>
  <c r="EM28" i="30"/>
  <c r="ED26" i="30"/>
  <c r="ED39" i="30"/>
  <c r="EI40" i="30"/>
  <c r="ED28" i="30"/>
  <c r="ED27" i="30"/>
  <c r="ED25" i="30"/>
  <c r="DY25" i="30"/>
  <c r="DY39" i="30"/>
  <c r="DY28" i="30"/>
  <c r="DY26" i="30"/>
  <c r="ED40" i="30"/>
  <c r="DY27" i="30"/>
  <c r="EP25" i="30"/>
  <c r="EP27" i="30"/>
  <c r="EP39" i="30"/>
  <c r="DW118" i="5"/>
  <c r="DW116" i="5"/>
  <c r="EL24" i="30"/>
  <c r="EL15" i="30" s="1"/>
  <c r="EL20" i="30"/>
  <c r="EK39" i="30"/>
  <c r="EK25" i="30"/>
  <c r="EK27" i="30"/>
  <c r="EP40" i="30"/>
  <c r="DU39" i="30"/>
  <c r="DZ40" i="30"/>
  <c r="DU28" i="30"/>
  <c r="DU26" i="30"/>
  <c r="DU27" i="30"/>
  <c r="DU25" i="30"/>
  <c r="DV130" i="5"/>
  <c r="EA131" i="5"/>
  <c r="EA130" i="5"/>
  <c r="DT130" i="5"/>
  <c r="EE130" i="5"/>
  <c r="DW129" i="5"/>
  <c r="DT131" i="5" s="1"/>
  <c r="DW98" i="6"/>
  <c r="DS130" i="5"/>
  <c r="DZ131" i="5"/>
  <c r="DZ130" i="5"/>
  <c r="EJ130" i="5"/>
  <c r="EF130" i="5"/>
  <c r="EG129" i="5"/>
  <c r="EG130" i="5" s="1"/>
  <c r="EG98" i="6"/>
  <c r="DY131" i="5"/>
  <c r="DY130" i="5"/>
  <c r="EQ129" i="5"/>
  <c r="EM131" i="5" s="1"/>
  <c r="EQ98" i="6"/>
  <c r="DX131" i="5"/>
  <c r="DX130" i="5"/>
  <c r="EH130" i="5"/>
  <c r="EM130" i="5"/>
  <c r="EL98" i="6"/>
  <c r="EL129" i="5"/>
  <c r="EL130" i="5" s="1"/>
  <c r="EO130" i="5"/>
  <c r="EK130" i="5"/>
  <c r="EI130" i="5"/>
  <c r="ED130" i="5"/>
  <c r="EC130" i="5"/>
  <c r="EP130" i="5"/>
  <c r="EG125" i="5"/>
  <c r="EG126" i="5" s="1"/>
  <c r="CI60" i="6"/>
  <c r="CI61" i="6" s="1"/>
  <c r="CE61" i="6"/>
  <c r="EA126" i="5"/>
  <c r="EE126" i="5"/>
  <c r="DU126" i="5"/>
  <c r="DX126" i="5"/>
  <c r="EI126" i="5"/>
  <c r="EJ126" i="5"/>
  <c r="DT126" i="5"/>
  <c r="DZ126" i="5"/>
  <c r="EC126" i="5"/>
  <c r="EH126" i="5"/>
  <c r="EO126" i="5"/>
  <c r="ER126" i="5"/>
  <c r="EF126" i="5"/>
  <c r="EN126" i="5"/>
  <c r="DY126" i="5"/>
  <c r="DS126" i="5"/>
  <c r="EK126" i="5"/>
  <c r="DV126" i="5"/>
  <c r="EM126" i="5"/>
  <c r="AI60" i="6"/>
  <c r="AI61" i="6" s="1"/>
  <c r="AH63" i="6"/>
  <c r="DW125" i="5"/>
  <c r="DW126" i="5" s="1"/>
  <c r="DW73" i="6"/>
  <c r="EB125" i="5"/>
  <c r="EB126" i="5" s="1"/>
  <c r="EB73" i="6"/>
  <c r="EG73" i="6"/>
  <c r="ER26" i="30" l="1"/>
  <c r="EL22" i="30"/>
  <c r="EB22" i="30"/>
  <c r="EH27" i="30"/>
  <c r="EN26" i="30"/>
  <c r="EH26" i="30"/>
  <c r="EN28" i="30"/>
  <c r="EM27" i="30"/>
  <c r="EE27" i="30"/>
  <c r="EH39" i="30"/>
  <c r="EM25" i="30"/>
  <c r="EH22" i="30"/>
  <c r="EE22" i="30"/>
  <c r="EH25" i="30"/>
  <c r="ER27" i="30"/>
  <c r="EN22" i="30"/>
  <c r="DW18" i="30"/>
  <c r="EO15" i="30"/>
  <c r="EQ22" i="30"/>
  <c r="EO22" i="30"/>
  <c r="EJ26" i="30"/>
  <c r="EJ15" i="30"/>
  <c r="EI28" i="30"/>
  <c r="EI15" i="30"/>
  <c r="EH28" i="30"/>
  <c r="EF28" i="30"/>
  <c r="EE15" i="30"/>
  <c r="EG22" i="30"/>
  <c r="ER22" i="30"/>
  <c r="EF26" i="30"/>
  <c r="EE28" i="30"/>
  <c r="EJ40" i="30"/>
  <c r="EE25" i="30"/>
  <c r="EE39" i="30"/>
  <c r="EB20" i="30"/>
  <c r="EI25" i="30"/>
  <c r="EN27" i="30"/>
  <c r="EI26" i="30"/>
  <c r="EJ28" i="30"/>
  <c r="EJ27" i="30"/>
  <c r="EN25" i="30"/>
  <c r="EK26" i="30"/>
  <c r="EI27" i="30"/>
  <c r="EI39" i="30"/>
  <c r="EK28" i="30"/>
  <c r="EJ39" i="30"/>
  <c r="EO40" i="30"/>
  <c r="EJ25" i="30"/>
  <c r="ET40" i="30"/>
  <c r="EO39" i="30"/>
  <c r="EO25" i="30"/>
  <c r="EO27" i="30"/>
  <c r="EP28" i="30"/>
  <c r="EO28" i="30"/>
  <c r="EP26" i="30"/>
  <c r="EO26" i="30"/>
  <c r="EQ27" i="30"/>
  <c r="EQ25" i="30"/>
  <c r="EB39" i="30"/>
  <c r="EG40" i="30"/>
  <c r="EC131" i="5"/>
  <c r="EG27" i="30"/>
  <c r="EG39" i="30"/>
  <c r="EL40" i="30"/>
  <c r="EG25" i="30"/>
  <c r="EL25" i="30"/>
  <c r="EL39" i="30"/>
  <c r="EL27" i="30"/>
  <c r="ED131" i="5"/>
  <c r="DW24" i="30"/>
  <c r="DW15" i="30" s="1"/>
  <c r="DW20" i="30"/>
  <c r="EK131" i="5"/>
  <c r="ED127" i="5"/>
  <c r="EH131" i="5"/>
  <c r="EJ131" i="5"/>
  <c r="EF131" i="5"/>
  <c r="EQ130" i="5"/>
  <c r="EN131" i="5"/>
  <c r="DS131" i="5"/>
  <c r="DW130" i="5"/>
  <c r="DU131" i="5"/>
  <c r="EE127" i="5"/>
  <c r="EO131" i="5"/>
  <c r="EP131" i="5"/>
  <c r="EI131" i="5"/>
  <c r="EE131" i="5"/>
  <c r="DV131" i="5"/>
  <c r="EC127" i="5"/>
  <c r="EF127" i="5"/>
  <c r="CF60" i="6"/>
  <c r="CF61" i="6" s="1"/>
  <c r="CE63" i="6"/>
  <c r="DU127" i="5"/>
  <c r="DS127" i="5"/>
  <c r="EA127" i="5"/>
  <c r="DZ127" i="5"/>
  <c r="DT127" i="5"/>
  <c r="DX127" i="5"/>
  <c r="DV127" i="5"/>
  <c r="DY127" i="5"/>
  <c r="AJ60" i="6"/>
  <c r="AJ61" i="6" s="1"/>
  <c r="AI63" i="6"/>
  <c r="EL125" i="5"/>
  <c r="EL73" i="6"/>
  <c r="EQ73" i="6"/>
  <c r="EQ125" i="5"/>
  <c r="EQ34" i="5"/>
  <c r="EL34" i="5"/>
  <c r="EG34" i="5"/>
  <c r="EB34" i="5"/>
  <c r="DW34" i="5"/>
  <c r="EV14" i="5"/>
  <c r="FK14" i="5"/>
  <c r="FP14" i="5"/>
  <c r="EQ14" i="5"/>
  <c r="EL14" i="5"/>
  <c r="EG14" i="5"/>
  <c r="EB14" i="5"/>
  <c r="DW14" i="5"/>
  <c r="DR14" i="5"/>
  <c r="DM14" i="5"/>
  <c r="DH14" i="5"/>
  <c r="G23" i="5"/>
  <c r="L23" i="5"/>
  <c r="Q23" i="5"/>
  <c r="V23" i="5"/>
  <c r="AA23" i="5"/>
  <c r="AF23" i="5"/>
  <c r="AK23" i="5"/>
  <c r="AP23" i="5"/>
  <c r="AU23" i="5"/>
  <c r="AZ23" i="5"/>
  <c r="BE23" i="5"/>
  <c r="DW22" i="30" l="1"/>
  <c r="EB40" i="30"/>
  <c r="DW25" i="30"/>
  <c r="DW27" i="30"/>
  <c r="DW39" i="30"/>
  <c r="EB27" i="30"/>
  <c r="EB25" i="30"/>
  <c r="CF63" i="6"/>
  <c r="CG60" i="6"/>
  <c r="CG61" i="6" s="1"/>
  <c r="EL126" i="5"/>
  <c r="EH127" i="5"/>
  <c r="EI127" i="5"/>
  <c r="EK127" i="5"/>
  <c r="EJ127" i="5"/>
  <c r="EQ126" i="5"/>
  <c r="EP127" i="5"/>
  <c r="EO127" i="5"/>
  <c r="EN127" i="5"/>
  <c r="EM127" i="5"/>
  <c r="AL60" i="6"/>
  <c r="AJ63" i="6"/>
  <c r="BJ23" i="5"/>
  <c r="BO23" i="5"/>
  <c r="BT23" i="5"/>
  <c r="BN50" i="5"/>
  <c r="BM50" i="5"/>
  <c r="BL50" i="5"/>
  <c r="BK50" i="5"/>
  <c r="BI50" i="5"/>
  <c r="BH50" i="5"/>
  <c r="BG50" i="5"/>
  <c r="BF50" i="5"/>
  <c r="BO49" i="5"/>
  <c r="BJ49" i="5"/>
  <c r="BO48" i="5"/>
  <c r="BJ48" i="5"/>
  <c r="BO47" i="5"/>
  <c r="BJ47" i="5"/>
  <c r="BO43" i="5"/>
  <c r="BO97" i="5" s="1"/>
  <c r="BJ43" i="5"/>
  <c r="BJ97" i="5" s="1"/>
  <c r="BO42" i="5"/>
  <c r="BJ42" i="5"/>
  <c r="BO41" i="5"/>
  <c r="BJ41" i="5"/>
  <c r="BO40" i="5"/>
  <c r="BJ40" i="5"/>
  <c r="BO39" i="5"/>
  <c r="BJ39" i="5"/>
  <c r="BO38" i="5"/>
  <c r="BJ38" i="5"/>
  <c r="BN36" i="5"/>
  <c r="BM36" i="5"/>
  <c r="BL36" i="5"/>
  <c r="BK36" i="5"/>
  <c r="BI36" i="5"/>
  <c r="BH36" i="5"/>
  <c r="BG36" i="5"/>
  <c r="BF36" i="5"/>
  <c r="BO35" i="5"/>
  <c r="BO94" i="5" s="1"/>
  <c r="BJ35" i="5"/>
  <c r="BJ94" i="5" s="1"/>
  <c r="BO34" i="5"/>
  <c r="BJ34" i="5"/>
  <c r="BO33" i="5"/>
  <c r="BJ33" i="5"/>
  <c r="BO32" i="5"/>
  <c r="BJ32" i="5"/>
  <c r="BO31" i="5"/>
  <c r="BJ31" i="5"/>
  <c r="BO30" i="5"/>
  <c r="BJ30" i="5"/>
  <c r="BO29" i="5"/>
  <c r="BJ29" i="5"/>
  <c r="BO28" i="5"/>
  <c r="BJ28" i="5"/>
  <c r="BO24" i="5"/>
  <c r="BO78" i="5" s="1"/>
  <c r="BJ24" i="5"/>
  <c r="BJ78" i="5" s="1"/>
  <c r="BO22" i="5"/>
  <c r="BJ22" i="5"/>
  <c r="BO21" i="5"/>
  <c r="BJ21" i="5"/>
  <c r="BO20" i="5"/>
  <c r="BJ20" i="5"/>
  <c r="BO19" i="5"/>
  <c r="BJ19" i="5"/>
  <c r="BO18" i="5"/>
  <c r="BJ18" i="5"/>
  <c r="BN16" i="5"/>
  <c r="BM16" i="5"/>
  <c r="BL16" i="5"/>
  <c r="BK16" i="5"/>
  <c r="BI16" i="5"/>
  <c r="BH16" i="5"/>
  <c r="BG16" i="5"/>
  <c r="BF16" i="5"/>
  <c r="BO15" i="5"/>
  <c r="BO75" i="5" s="1"/>
  <c r="BJ15" i="5"/>
  <c r="BJ75" i="5" s="1"/>
  <c r="BO14" i="5"/>
  <c r="BJ14" i="5"/>
  <c r="BO13" i="5"/>
  <c r="BJ13" i="5"/>
  <c r="BO12" i="5"/>
  <c r="BJ12" i="5"/>
  <c r="BO11" i="5"/>
  <c r="BJ11" i="5"/>
  <c r="BO10" i="5"/>
  <c r="BJ10" i="5"/>
  <c r="BD36" i="5"/>
  <c r="BC36" i="5"/>
  <c r="BB36" i="5"/>
  <c r="BA36" i="5"/>
  <c r="BD16" i="5"/>
  <c r="BC16" i="5"/>
  <c r="BB16" i="5"/>
  <c r="BA16" i="5"/>
  <c r="BY23" i="5"/>
  <c r="EQ23" i="5"/>
  <c r="EL23" i="5"/>
  <c r="EG23" i="5"/>
  <c r="EB23" i="5"/>
  <c r="DW23" i="5"/>
  <c r="DR23" i="5"/>
  <c r="DM23" i="5"/>
  <c r="DH23" i="5"/>
  <c r="DC23" i="5"/>
  <c r="CX23" i="5"/>
  <c r="CS23" i="5"/>
  <c r="CN23" i="5"/>
  <c r="CI23" i="5"/>
  <c r="CD23" i="5"/>
  <c r="CS34" i="5"/>
  <c r="G34" i="5"/>
  <c r="L34" i="5"/>
  <c r="Q34" i="5"/>
  <c r="V34" i="5"/>
  <c r="AA34" i="5"/>
  <c r="AF34" i="5"/>
  <c r="AK34" i="5"/>
  <c r="AP34" i="5"/>
  <c r="AU34" i="5"/>
  <c r="AZ34" i="5"/>
  <c r="BE34" i="5"/>
  <c r="BT34" i="5"/>
  <c r="BY34" i="5"/>
  <c r="CD34" i="5"/>
  <c r="CI34" i="5"/>
  <c r="CN34" i="5"/>
  <c r="G14" i="5"/>
  <c r="L14" i="5"/>
  <c r="Q14" i="5"/>
  <c r="V14" i="5"/>
  <c r="AA14" i="5"/>
  <c r="AF14" i="5"/>
  <c r="AK14" i="5"/>
  <c r="AP14" i="5"/>
  <c r="AU14" i="5"/>
  <c r="AZ14" i="5"/>
  <c r="BE14" i="5"/>
  <c r="BT14" i="5"/>
  <c r="BY14" i="5"/>
  <c r="CD14" i="5"/>
  <c r="CI14" i="5"/>
  <c r="CN14" i="5"/>
  <c r="CX34" i="5"/>
  <c r="DC34" i="5"/>
  <c r="DH34" i="5"/>
  <c r="DB50" i="5"/>
  <c r="DA50" i="5"/>
  <c r="CZ50" i="5"/>
  <c r="CY50" i="5"/>
  <c r="DC49" i="5"/>
  <c r="DC48" i="5"/>
  <c r="DC47" i="5"/>
  <c r="DC43" i="5"/>
  <c r="DC97" i="5" s="1"/>
  <c r="DC42" i="5"/>
  <c r="DC41" i="5"/>
  <c r="DC40" i="5"/>
  <c r="DC39" i="5"/>
  <c r="DC38" i="5"/>
  <c r="DB36" i="5"/>
  <c r="DA36" i="5"/>
  <c r="CZ36" i="5"/>
  <c r="CY36" i="5"/>
  <c r="DC35" i="5"/>
  <c r="DC94" i="5" s="1"/>
  <c r="DC33" i="5"/>
  <c r="DC32" i="5"/>
  <c r="DC31" i="5"/>
  <c r="DC30" i="5"/>
  <c r="DC29" i="5"/>
  <c r="DC28" i="5"/>
  <c r="DC24" i="5"/>
  <c r="DC78" i="5" s="1"/>
  <c r="DC22" i="5"/>
  <c r="DC21" i="5"/>
  <c r="DC20" i="5"/>
  <c r="DC19" i="5"/>
  <c r="DC18" i="5"/>
  <c r="DB16" i="5"/>
  <c r="DA16" i="5"/>
  <c r="CZ16" i="5"/>
  <c r="CY16" i="5"/>
  <c r="DC15" i="5"/>
  <c r="DC75" i="5" s="1"/>
  <c r="DC14" i="5"/>
  <c r="DC13" i="5"/>
  <c r="DC12" i="5"/>
  <c r="DC11" i="5"/>
  <c r="DC10" i="5"/>
  <c r="CW50" i="5"/>
  <c r="CV50" i="5"/>
  <c r="CU50" i="5"/>
  <c r="CT50" i="5"/>
  <c r="CX49" i="5"/>
  <c r="CX48" i="5"/>
  <c r="CX47" i="5"/>
  <c r="CX43" i="5"/>
  <c r="CX97" i="5" s="1"/>
  <c r="CX42" i="5"/>
  <c r="CX41" i="5"/>
  <c r="CX40" i="5"/>
  <c r="CX39" i="5"/>
  <c r="CX38" i="5"/>
  <c r="CW36" i="5"/>
  <c r="CV36" i="5"/>
  <c r="CU36" i="5"/>
  <c r="CT36" i="5"/>
  <c r="CX35" i="5"/>
  <c r="CX94" i="5" s="1"/>
  <c r="CX33" i="5"/>
  <c r="CX32" i="5"/>
  <c r="CX31" i="5"/>
  <c r="CX30" i="5"/>
  <c r="CX29" i="5"/>
  <c r="CX28" i="5"/>
  <c r="CX24" i="5"/>
  <c r="CX78" i="5" s="1"/>
  <c r="CX22" i="5"/>
  <c r="CX21" i="5"/>
  <c r="CX20" i="5"/>
  <c r="CX19" i="5"/>
  <c r="CX18" i="5"/>
  <c r="CW16" i="5"/>
  <c r="CV16" i="5"/>
  <c r="CU16" i="5"/>
  <c r="CT16" i="5"/>
  <c r="CX15" i="5"/>
  <c r="CX75" i="5" s="1"/>
  <c r="CX14" i="5"/>
  <c r="CX13" i="5"/>
  <c r="CX12" i="5"/>
  <c r="CX11" i="5"/>
  <c r="CX10" i="5"/>
  <c r="CS14" i="5"/>
  <c r="CR36" i="5"/>
  <c r="CQ36" i="5"/>
  <c r="CP36" i="5"/>
  <c r="CO36" i="5"/>
  <c r="CR16" i="5"/>
  <c r="CQ16" i="5"/>
  <c r="CP16" i="5"/>
  <c r="CO16" i="5"/>
  <c r="FK59" i="5"/>
  <c r="FK223" i="3" s="1"/>
  <c r="DM34" i="5"/>
  <c r="DR34" i="5"/>
  <c r="DL36" i="5"/>
  <c r="DK36" i="5"/>
  <c r="DJ36" i="5"/>
  <c r="DI36" i="5"/>
  <c r="DL16" i="5"/>
  <c r="DK16" i="5"/>
  <c r="DJ16" i="5"/>
  <c r="DI16" i="5"/>
  <c r="EM50" i="5"/>
  <c r="EM36" i="5"/>
  <c r="ER50" i="5"/>
  <c r="ER36" i="5"/>
  <c r="BJ87" i="5" l="1"/>
  <c r="BO87" i="5"/>
  <c r="DC55" i="30"/>
  <c r="CX55" i="30"/>
  <c r="BO50" i="5"/>
  <c r="BJ50" i="5"/>
  <c r="DC50" i="5"/>
  <c r="CX50" i="5"/>
  <c r="BC25" i="5"/>
  <c r="BJ63" i="6"/>
  <c r="BF25" i="5"/>
  <c r="BM25" i="5"/>
  <c r="BF44" i="5"/>
  <c r="BM44" i="5"/>
  <c r="CY25" i="5"/>
  <c r="CZ44" i="5"/>
  <c r="DJ25" i="5"/>
  <c r="CQ25" i="5"/>
  <c r="CO44" i="5"/>
  <c r="CV44" i="5"/>
  <c r="DB25" i="5"/>
  <c r="EM44" i="5"/>
  <c r="DI44" i="5"/>
  <c r="CP44" i="5"/>
  <c r="CV25" i="5"/>
  <c r="CW44" i="5"/>
  <c r="DC139" i="5"/>
  <c r="DC142" i="5" s="1"/>
  <c r="BD25" i="5"/>
  <c r="BO63" i="6"/>
  <c r="BG25" i="5"/>
  <c r="BO16" i="5"/>
  <c r="BG44" i="5"/>
  <c r="DL44" i="5"/>
  <c r="DL25" i="5"/>
  <c r="CU25" i="5"/>
  <c r="DJ44" i="5"/>
  <c r="CO25" i="5"/>
  <c r="CQ44" i="5"/>
  <c r="CX16" i="5"/>
  <c r="CY44" i="5"/>
  <c r="BA44" i="5"/>
  <c r="BH25" i="5"/>
  <c r="BJ139" i="5"/>
  <c r="BJ142" i="5" s="1"/>
  <c r="BH44" i="5"/>
  <c r="DI25" i="5"/>
  <c r="DK44" i="5"/>
  <c r="CP25" i="5"/>
  <c r="CR44" i="5"/>
  <c r="CX139" i="5"/>
  <c r="CX142" i="5" s="1"/>
  <c r="BB44" i="5"/>
  <c r="BJ16" i="5"/>
  <c r="BO139" i="5"/>
  <c r="BO142" i="5" s="1"/>
  <c r="CG63" i="6"/>
  <c r="CH60" i="6"/>
  <c r="CH61" i="6" s="1"/>
  <c r="CT44" i="5"/>
  <c r="CZ25" i="5"/>
  <c r="DA44" i="5"/>
  <c r="BA25" i="5"/>
  <c r="BC44" i="5"/>
  <c r="BK25" i="5"/>
  <c r="ER44" i="5"/>
  <c r="DK25" i="5"/>
  <c r="CR25" i="5"/>
  <c r="CT25" i="5"/>
  <c r="CU44" i="5"/>
  <c r="DA25" i="5"/>
  <c r="DB44" i="5"/>
  <c r="BB25" i="5"/>
  <c r="BD44" i="5"/>
  <c r="BL25" i="5"/>
  <c r="BL44" i="5"/>
  <c r="BJ15" i="7"/>
  <c r="BJ21" i="7" s="1"/>
  <c r="BJ31" i="2"/>
  <c r="BJ23" i="7"/>
  <c r="BJ32" i="2"/>
  <c r="BO15" i="7"/>
  <c r="BO31" i="2"/>
  <c r="BO23" i="7"/>
  <c r="BO29" i="7" s="1"/>
  <c r="BO32" i="2"/>
  <c r="DC15" i="7"/>
  <c r="DC21" i="7" s="1"/>
  <c r="DC31" i="2"/>
  <c r="CX15" i="7"/>
  <c r="CX21" i="7" s="1"/>
  <c r="CX31" i="2"/>
  <c r="DC23" i="7"/>
  <c r="DC28" i="7" s="1"/>
  <c r="DC32" i="2"/>
  <c r="CX23" i="7"/>
  <c r="CX32" i="2"/>
  <c r="AP60" i="6"/>
  <c r="AP61" i="6" s="1"/>
  <c r="AL61" i="6"/>
  <c r="DC87" i="5"/>
  <c r="CX87" i="5"/>
  <c r="CX92" i="5"/>
  <c r="CX91" i="5"/>
  <c r="BJ91" i="5"/>
  <c r="BJ92" i="5"/>
  <c r="DC92" i="5"/>
  <c r="DC91" i="5"/>
  <c r="BO91" i="5"/>
  <c r="BO92" i="5"/>
  <c r="DC89" i="5"/>
  <c r="DC90" i="5"/>
  <c r="BJ89" i="5"/>
  <c r="BJ90" i="5"/>
  <c r="BO89" i="5"/>
  <c r="BO90" i="5"/>
  <c r="CX89" i="5"/>
  <c r="CX90" i="5"/>
  <c r="FP59" i="5"/>
  <c r="FP223" i="3" s="1"/>
  <c r="BO59" i="5"/>
  <c r="BO36" i="5"/>
  <c r="BN44" i="5"/>
  <c r="BI51" i="5"/>
  <c r="BI44" i="5"/>
  <c r="BK51" i="5"/>
  <c r="BK44" i="5"/>
  <c r="BM51" i="5"/>
  <c r="BF51" i="5"/>
  <c r="ER51" i="5"/>
  <c r="CX59" i="5"/>
  <c r="DC58" i="5"/>
  <c r="CX58" i="5"/>
  <c r="BO58" i="5"/>
  <c r="BJ59" i="5"/>
  <c r="DC59" i="5"/>
  <c r="BJ58" i="5"/>
  <c r="BH51" i="5"/>
  <c r="BG51" i="5"/>
  <c r="CV51" i="5"/>
  <c r="BJ36" i="5"/>
  <c r="BL51" i="5"/>
  <c r="BI25" i="5"/>
  <c r="BN51" i="5"/>
  <c r="BN25" i="5"/>
  <c r="CW51" i="5"/>
  <c r="CU51" i="5"/>
  <c r="CT51" i="5"/>
  <c r="DB51" i="5"/>
  <c r="DA51" i="5"/>
  <c r="CZ51" i="5"/>
  <c r="CY51" i="5"/>
  <c r="DC16" i="5"/>
  <c r="DC36" i="5"/>
  <c r="CW25" i="5"/>
  <c r="CX36" i="5"/>
  <c r="EM51" i="5"/>
  <c r="BO28" i="7" l="1"/>
  <c r="DC24" i="7"/>
  <c r="DC26" i="7"/>
  <c r="DC54" i="7" s="1"/>
  <c r="DC31" i="7"/>
  <c r="DC36" i="7" s="1"/>
  <c r="BO24" i="7"/>
  <c r="BO25" i="5"/>
  <c r="CX25" i="5"/>
  <c r="DC51" i="5"/>
  <c r="BJ25" i="5"/>
  <c r="DC29" i="7"/>
  <c r="BJ51" i="5"/>
  <c r="DC44" i="5"/>
  <c r="CJ60" i="6"/>
  <c r="CH63" i="6"/>
  <c r="CX51" i="5"/>
  <c r="BJ31" i="7"/>
  <c r="BJ20" i="7" s="1"/>
  <c r="DC25" i="5"/>
  <c r="BJ44" i="5"/>
  <c r="BO44" i="5"/>
  <c r="CX44" i="5"/>
  <c r="BO51" i="5"/>
  <c r="BO18" i="7"/>
  <c r="BO49" i="7" s="1"/>
  <c r="BO31" i="7"/>
  <c r="BO20" i="7" s="1"/>
  <c r="BO26" i="7"/>
  <c r="BO54" i="7" s="1"/>
  <c r="DC16" i="7"/>
  <c r="CX29" i="7"/>
  <c r="BJ28" i="7"/>
  <c r="CX28" i="7"/>
  <c r="BJ29" i="7"/>
  <c r="BO16" i="7"/>
  <c r="BO21" i="7"/>
  <c r="DC18" i="7"/>
  <c r="DC49" i="7" s="1"/>
  <c r="CX31" i="7"/>
  <c r="AM60" i="6"/>
  <c r="AM61" i="6" s="1"/>
  <c r="AL63" i="6"/>
  <c r="BO60" i="5"/>
  <c r="DC60" i="5"/>
  <c r="CX60" i="5"/>
  <c r="BJ60" i="5"/>
  <c r="FA32" i="2"/>
  <c r="EV49" i="5"/>
  <c r="EV40" i="5"/>
  <c r="EV11" i="5"/>
  <c r="ER16" i="5"/>
  <c r="EP50" i="5"/>
  <c r="EO50" i="5"/>
  <c r="EN50" i="5"/>
  <c r="EK50" i="5"/>
  <c r="EJ50" i="5"/>
  <c r="EI50" i="5"/>
  <c r="EH50" i="5"/>
  <c r="EF50" i="5"/>
  <c r="EE50" i="5"/>
  <c r="ED50" i="5"/>
  <c r="EC50" i="5"/>
  <c r="EA50" i="5"/>
  <c r="DZ50" i="5"/>
  <c r="DY50" i="5"/>
  <c r="DX50" i="5"/>
  <c r="DV50" i="5"/>
  <c r="DU50" i="5"/>
  <c r="DT50" i="5"/>
  <c r="DS50" i="5"/>
  <c r="DQ50" i="5"/>
  <c r="DP50" i="5"/>
  <c r="DO50" i="5"/>
  <c r="DN50" i="5"/>
  <c r="DL50" i="5"/>
  <c r="DK50" i="5"/>
  <c r="DJ50" i="5"/>
  <c r="DI50" i="5"/>
  <c r="DG50" i="5"/>
  <c r="DF50" i="5"/>
  <c r="DE50" i="5"/>
  <c r="DD50" i="5"/>
  <c r="CR50" i="5"/>
  <c r="CQ50" i="5"/>
  <c r="CP50" i="5"/>
  <c r="CO50" i="5"/>
  <c r="CM50" i="5"/>
  <c r="CL50" i="5"/>
  <c r="CK50" i="5"/>
  <c r="CJ50" i="5"/>
  <c r="CH50" i="5"/>
  <c r="CG50" i="5"/>
  <c r="CF50" i="5"/>
  <c r="CE50" i="5"/>
  <c r="CC50" i="5"/>
  <c r="CB50" i="5"/>
  <c r="CA50" i="5"/>
  <c r="BZ50" i="5"/>
  <c r="BX50" i="5"/>
  <c r="BW50" i="5"/>
  <c r="BV50" i="5"/>
  <c r="BU50" i="5"/>
  <c r="BS50" i="5"/>
  <c r="BR50" i="5"/>
  <c r="BQ50" i="5"/>
  <c r="BP50" i="5"/>
  <c r="BD50" i="5"/>
  <c r="BC50" i="5"/>
  <c r="BB50" i="5"/>
  <c r="BA50" i="5"/>
  <c r="AY50" i="5"/>
  <c r="AX50" i="5"/>
  <c r="AW50" i="5"/>
  <c r="AV50" i="5"/>
  <c r="AT50" i="5"/>
  <c r="AS50" i="5"/>
  <c r="AR50" i="5"/>
  <c r="AQ50" i="5"/>
  <c r="AO50" i="5"/>
  <c r="AN50" i="5"/>
  <c r="AM50" i="5"/>
  <c r="AL50" i="5"/>
  <c r="AJ50" i="5"/>
  <c r="AI50" i="5"/>
  <c r="AH50" i="5"/>
  <c r="AG50" i="5"/>
  <c r="AE50" i="5"/>
  <c r="AD50" i="5"/>
  <c r="AC50" i="5"/>
  <c r="AB50" i="5"/>
  <c r="Z50" i="5"/>
  <c r="Y50" i="5"/>
  <c r="X50" i="5"/>
  <c r="W50" i="5"/>
  <c r="U50" i="5"/>
  <c r="T50" i="5"/>
  <c r="S50" i="5"/>
  <c r="R50" i="5"/>
  <c r="P50" i="5"/>
  <c r="O50" i="5"/>
  <c r="N50" i="5"/>
  <c r="M50" i="5"/>
  <c r="K50" i="5"/>
  <c r="J50" i="5"/>
  <c r="I50" i="5"/>
  <c r="H50" i="5"/>
  <c r="EQ49" i="5"/>
  <c r="EL49" i="5"/>
  <c r="EG49" i="5"/>
  <c r="EB49" i="5"/>
  <c r="DW49" i="5"/>
  <c r="DR49" i="5"/>
  <c r="DM49" i="5"/>
  <c r="DH49" i="5"/>
  <c r="CS49" i="5"/>
  <c r="CN49" i="5"/>
  <c r="CI49" i="5"/>
  <c r="CD49" i="5"/>
  <c r="BY49" i="5"/>
  <c r="BT49" i="5"/>
  <c r="BE49" i="5"/>
  <c r="AZ49" i="5"/>
  <c r="AU49" i="5"/>
  <c r="AP49" i="5"/>
  <c r="AK49" i="5"/>
  <c r="AF49" i="5"/>
  <c r="AA49" i="5"/>
  <c r="V49" i="5"/>
  <c r="Q49" i="5"/>
  <c r="L49" i="5"/>
  <c r="EQ48" i="5"/>
  <c r="EL48" i="5"/>
  <c r="EG48" i="5"/>
  <c r="EB48" i="5"/>
  <c r="DW48" i="5"/>
  <c r="DR48" i="5"/>
  <c r="DM48" i="5"/>
  <c r="DH48" i="5"/>
  <c r="CS48" i="5"/>
  <c r="CN48" i="5"/>
  <c r="CI48" i="5"/>
  <c r="CD48" i="5"/>
  <c r="BY48" i="5"/>
  <c r="BT48" i="5"/>
  <c r="BE48" i="5"/>
  <c r="AZ48" i="5"/>
  <c r="AU48" i="5"/>
  <c r="AP48" i="5"/>
  <c r="AK48" i="5"/>
  <c r="AF48" i="5"/>
  <c r="AA48" i="5"/>
  <c r="V48" i="5"/>
  <c r="Q48" i="5"/>
  <c r="L48" i="5"/>
  <c r="EQ47" i="5"/>
  <c r="EL47" i="5"/>
  <c r="EG47" i="5"/>
  <c r="EB47" i="5"/>
  <c r="DW47" i="5"/>
  <c r="DR47" i="5"/>
  <c r="DM47" i="5"/>
  <c r="DH47" i="5"/>
  <c r="CS47" i="5"/>
  <c r="CN47" i="5"/>
  <c r="CI47" i="5"/>
  <c r="CD47" i="5"/>
  <c r="BY47" i="5"/>
  <c r="BT47" i="5"/>
  <c r="BE47" i="5"/>
  <c r="AZ47" i="5"/>
  <c r="AU47" i="5"/>
  <c r="AP47" i="5"/>
  <c r="AK47" i="5"/>
  <c r="AF47" i="5"/>
  <c r="AA47" i="5"/>
  <c r="V47" i="5"/>
  <c r="Q47" i="5"/>
  <c r="L47" i="5"/>
  <c r="EQ43" i="5"/>
  <c r="EQ97" i="5" s="1"/>
  <c r="EL43" i="5"/>
  <c r="EL97" i="5" s="1"/>
  <c r="EG43" i="5"/>
  <c r="EG97" i="5" s="1"/>
  <c r="EB43" i="5"/>
  <c r="EB97" i="5" s="1"/>
  <c r="DW43" i="5"/>
  <c r="DW97" i="5" s="1"/>
  <c r="DR43" i="5"/>
  <c r="DR97" i="5" s="1"/>
  <c r="DM43" i="5"/>
  <c r="DM97" i="5" s="1"/>
  <c r="DH43" i="5"/>
  <c r="DH97" i="5" s="1"/>
  <c r="CS43" i="5"/>
  <c r="CS97" i="5" s="1"/>
  <c r="CN43" i="5"/>
  <c r="CN97" i="5" s="1"/>
  <c r="CI43" i="5"/>
  <c r="CI97" i="5" s="1"/>
  <c r="CD43" i="5"/>
  <c r="CD97" i="5" s="1"/>
  <c r="BY43" i="5"/>
  <c r="BY97" i="5" s="1"/>
  <c r="BT43" i="5"/>
  <c r="BT97" i="5" s="1"/>
  <c r="BE43" i="5"/>
  <c r="BE97" i="5" s="1"/>
  <c r="AZ43" i="5"/>
  <c r="AZ97" i="5" s="1"/>
  <c r="AU43" i="5"/>
  <c r="AU97" i="5" s="1"/>
  <c r="AP43" i="5"/>
  <c r="AP97" i="5" s="1"/>
  <c r="AK43" i="5"/>
  <c r="AK97" i="5" s="1"/>
  <c r="AF43" i="5"/>
  <c r="AF97" i="5" s="1"/>
  <c r="AA43" i="5"/>
  <c r="AA97" i="5" s="1"/>
  <c r="V43" i="5"/>
  <c r="V97" i="5" s="1"/>
  <c r="Q43" i="5"/>
  <c r="Q97" i="5" s="1"/>
  <c r="L43" i="5"/>
  <c r="L97" i="5" s="1"/>
  <c r="EQ42" i="5"/>
  <c r="EL42" i="5"/>
  <c r="EG42" i="5"/>
  <c r="EB42" i="5"/>
  <c r="DW42" i="5"/>
  <c r="DR42" i="5"/>
  <c r="DM42" i="5"/>
  <c r="DH42" i="5"/>
  <c r="CS42" i="5"/>
  <c r="CN42" i="5"/>
  <c r="CI42" i="5"/>
  <c r="CD42" i="5"/>
  <c r="BY42" i="5"/>
  <c r="BT42" i="5"/>
  <c r="BE42" i="5"/>
  <c r="AZ42" i="5"/>
  <c r="AU42" i="5"/>
  <c r="AP42" i="5"/>
  <c r="AK42" i="5"/>
  <c r="AF42" i="5"/>
  <c r="AA42" i="5"/>
  <c r="V42" i="5"/>
  <c r="Q42" i="5"/>
  <c r="L42" i="5"/>
  <c r="EQ41" i="5"/>
  <c r="EL41" i="5"/>
  <c r="EG41" i="5"/>
  <c r="EB41" i="5"/>
  <c r="DW41" i="5"/>
  <c r="DR41" i="5"/>
  <c r="DM41" i="5"/>
  <c r="DH41" i="5"/>
  <c r="CS41" i="5"/>
  <c r="CN41" i="5"/>
  <c r="CI41" i="5"/>
  <c r="CD41" i="5"/>
  <c r="BY41" i="5"/>
  <c r="BT41" i="5"/>
  <c r="BE41" i="5"/>
  <c r="AZ41" i="5"/>
  <c r="AU41" i="5"/>
  <c r="AP41" i="5"/>
  <c r="AK41" i="5"/>
  <c r="AF41" i="5"/>
  <c r="AA41" i="5"/>
  <c r="V41" i="5"/>
  <c r="Q41" i="5"/>
  <c r="L41" i="5"/>
  <c r="EQ40" i="5"/>
  <c r="EL40" i="5"/>
  <c r="EG40" i="5"/>
  <c r="EB40" i="5"/>
  <c r="DW40" i="5"/>
  <c r="DR40" i="5"/>
  <c r="DM40" i="5"/>
  <c r="DH40" i="5"/>
  <c r="CS40" i="5"/>
  <c r="CN40" i="5"/>
  <c r="CI40" i="5"/>
  <c r="CD40" i="5"/>
  <c r="BY40" i="5"/>
  <c r="BT40" i="5"/>
  <c r="BE40" i="5"/>
  <c r="AZ40" i="5"/>
  <c r="AU40" i="5"/>
  <c r="AP40" i="5"/>
  <c r="AK40" i="5"/>
  <c r="AF40" i="5"/>
  <c r="AA40" i="5"/>
  <c r="V40" i="5"/>
  <c r="Q40" i="5"/>
  <c r="L40" i="5"/>
  <c r="EQ39" i="5"/>
  <c r="EL39" i="5"/>
  <c r="EG39" i="5"/>
  <c r="EB39" i="5"/>
  <c r="DW39" i="5"/>
  <c r="DR39" i="5"/>
  <c r="DM39" i="5"/>
  <c r="DH39" i="5"/>
  <c r="CS39" i="5"/>
  <c r="CN39" i="5"/>
  <c r="CI39" i="5"/>
  <c r="CD39" i="5"/>
  <c r="BY39" i="5"/>
  <c r="BT39" i="5"/>
  <c r="BE39" i="5"/>
  <c r="AZ39" i="5"/>
  <c r="AU39" i="5"/>
  <c r="AP39" i="5"/>
  <c r="AK39" i="5"/>
  <c r="AF39" i="5"/>
  <c r="AA39" i="5"/>
  <c r="V39" i="5"/>
  <c r="Q39" i="5"/>
  <c r="L39" i="5"/>
  <c r="EQ38" i="5"/>
  <c r="EL38" i="5"/>
  <c r="EG38" i="5"/>
  <c r="EB38" i="5"/>
  <c r="DW38" i="5"/>
  <c r="DR38" i="5"/>
  <c r="DM38" i="5"/>
  <c r="DH38" i="5"/>
  <c r="CS38" i="5"/>
  <c r="CN38" i="5"/>
  <c r="CI38" i="5"/>
  <c r="CD38" i="5"/>
  <c r="BY38" i="5"/>
  <c r="BT38" i="5"/>
  <c r="BE38" i="5"/>
  <c r="AZ38" i="5"/>
  <c r="AU38" i="5"/>
  <c r="AP38" i="5"/>
  <c r="AK38" i="5"/>
  <c r="AF38" i="5"/>
  <c r="AA38" i="5"/>
  <c r="V38" i="5"/>
  <c r="Q38" i="5"/>
  <c r="L38" i="5"/>
  <c r="EP36" i="5"/>
  <c r="EO36" i="5"/>
  <c r="EN36" i="5"/>
  <c r="EK36" i="5"/>
  <c r="EJ36" i="5"/>
  <c r="EI36" i="5"/>
  <c r="EH36" i="5"/>
  <c r="EF36" i="5"/>
  <c r="EE36" i="5"/>
  <c r="ED36" i="5"/>
  <c r="EC36" i="5"/>
  <c r="EA36" i="5"/>
  <c r="DZ36" i="5"/>
  <c r="DY36" i="5"/>
  <c r="DX36" i="5"/>
  <c r="DV36" i="5"/>
  <c r="DU36" i="5"/>
  <c r="DT36" i="5"/>
  <c r="DS36" i="5"/>
  <c r="DQ36" i="5"/>
  <c r="DP36" i="5"/>
  <c r="DO36" i="5"/>
  <c r="DN36" i="5"/>
  <c r="DM36" i="5"/>
  <c r="DG36" i="5"/>
  <c r="DF36" i="5"/>
  <c r="DE36" i="5"/>
  <c r="DD36" i="5"/>
  <c r="CS36" i="5"/>
  <c r="CM36" i="5"/>
  <c r="CL36" i="5"/>
  <c r="CK36" i="5"/>
  <c r="CJ36" i="5"/>
  <c r="CH36" i="5"/>
  <c r="CG36" i="5"/>
  <c r="CF36" i="5"/>
  <c r="CE36" i="5"/>
  <c r="CC36" i="5"/>
  <c r="CB36" i="5"/>
  <c r="CA36" i="5"/>
  <c r="BZ36" i="5"/>
  <c r="BX36" i="5"/>
  <c r="BW36" i="5"/>
  <c r="BV36" i="5"/>
  <c r="BU36" i="5"/>
  <c r="BS36" i="5"/>
  <c r="BR36" i="5"/>
  <c r="BQ36" i="5"/>
  <c r="BP36" i="5"/>
  <c r="BE36" i="5"/>
  <c r="AY36" i="5"/>
  <c r="AX36" i="5"/>
  <c r="AW36" i="5"/>
  <c r="AV36" i="5"/>
  <c r="AT36" i="5"/>
  <c r="AS36" i="5"/>
  <c r="AR36" i="5"/>
  <c r="AQ36" i="5"/>
  <c r="AO36" i="5"/>
  <c r="AN36" i="5"/>
  <c r="AM36" i="5"/>
  <c r="AL36" i="5"/>
  <c r="AJ36" i="5"/>
  <c r="AI36" i="5"/>
  <c r="AH36" i="5"/>
  <c r="AG36" i="5"/>
  <c r="AE36" i="5"/>
  <c r="AD36" i="5"/>
  <c r="AC36" i="5"/>
  <c r="AB36" i="5"/>
  <c r="Z36" i="5"/>
  <c r="Y36" i="5"/>
  <c r="X36" i="5"/>
  <c r="W36" i="5"/>
  <c r="U36" i="5"/>
  <c r="T36" i="5"/>
  <c r="S36" i="5"/>
  <c r="R36" i="5"/>
  <c r="O44" i="5"/>
  <c r="N44" i="5"/>
  <c r="M44" i="5"/>
  <c r="K36" i="5"/>
  <c r="J36" i="5"/>
  <c r="I36" i="5"/>
  <c r="H36" i="5"/>
  <c r="EQ35" i="5"/>
  <c r="EQ94" i="5" s="1"/>
  <c r="EL35" i="5"/>
  <c r="EL94" i="5" s="1"/>
  <c r="EG35" i="5"/>
  <c r="EG94" i="5" s="1"/>
  <c r="EB35" i="5"/>
  <c r="EB94" i="5" s="1"/>
  <c r="DW35" i="5"/>
  <c r="DW94" i="5" s="1"/>
  <c r="DR35" i="5"/>
  <c r="DR94" i="5" s="1"/>
  <c r="DM35" i="5"/>
  <c r="DM94" i="5" s="1"/>
  <c r="DH35" i="5"/>
  <c r="DH94" i="5" s="1"/>
  <c r="CS35" i="5"/>
  <c r="CS94" i="5" s="1"/>
  <c r="CN35" i="5"/>
  <c r="CN94" i="5" s="1"/>
  <c r="CI35" i="5"/>
  <c r="CI94" i="5" s="1"/>
  <c r="CD35" i="5"/>
  <c r="CD94" i="5" s="1"/>
  <c r="BY35" i="5"/>
  <c r="BY94" i="5" s="1"/>
  <c r="BT35" i="5"/>
  <c r="BT94" i="5" s="1"/>
  <c r="BE35" i="5"/>
  <c r="BE94" i="5" s="1"/>
  <c r="AZ35" i="5"/>
  <c r="AZ94" i="5" s="1"/>
  <c r="AU35" i="5"/>
  <c r="AU94" i="5" s="1"/>
  <c r="AP35" i="5"/>
  <c r="AP94" i="5" s="1"/>
  <c r="AK35" i="5"/>
  <c r="AK94" i="5" s="1"/>
  <c r="AF35" i="5"/>
  <c r="AF94" i="5" s="1"/>
  <c r="AA35" i="5"/>
  <c r="AA94" i="5" s="1"/>
  <c r="V35" i="5"/>
  <c r="V94" i="5" s="1"/>
  <c r="Q35" i="5"/>
  <c r="Q94" i="5" s="1"/>
  <c r="L35" i="5"/>
  <c r="L94" i="5" s="1"/>
  <c r="EQ33" i="5"/>
  <c r="EL33" i="5"/>
  <c r="EG33" i="5"/>
  <c r="EB33" i="5"/>
  <c r="DW33" i="5"/>
  <c r="DR33" i="5"/>
  <c r="DM33" i="5"/>
  <c r="DH33" i="5"/>
  <c r="CS33" i="5"/>
  <c r="CN33" i="5"/>
  <c r="CI33" i="5"/>
  <c r="CD33" i="5"/>
  <c r="BY33" i="5"/>
  <c r="BT33" i="5"/>
  <c r="BE33" i="5"/>
  <c r="AZ33" i="5"/>
  <c r="AU33" i="5"/>
  <c r="AP33" i="5"/>
  <c r="AK33" i="5"/>
  <c r="AF33" i="5"/>
  <c r="AA33" i="5"/>
  <c r="V33" i="5"/>
  <c r="Q33" i="5"/>
  <c r="L33" i="5"/>
  <c r="EQ32" i="5"/>
  <c r="EL32" i="5"/>
  <c r="EG32" i="5"/>
  <c r="EB32" i="5"/>
  <c r="DW32" i="5"/>
  <c r="DR32" i="5"/>
  <c r="DM32" i="5"/>
  <c r="DH32" i="5"/>
  <c r="CS32" i="5"/>
  <c r="CN32" i="5"/>
  <c r="CI32" i="5"/>
  <c r="CD32" i="5"/>
  <c r="BY32" i="5"/>
  <c r="BT32" i="5"/>
  <c r="BE32" i="5"/>
  <c r="AZ32" i="5"/>
  <c r="AU32" i="5"/>
  <c r="AP32" i="5"/>
  <c r="AK32" i="5"/>
  <c r="AF32" i="5"/>
  <c r="AA32" i="5"/>
  <c r="V32" i="5"/>
  <c r="Q32" i="5"/>
  <c r="L32" i="5"/>
  <c r="EQ31" i="5"/>
  <c r="EL31" i="5"/>
  <c r="EG31" i="5"/>
  <c r="EB31" i="5"/>
  <c r="DW31" i="5"/>
  <c r="DR31" i="5"/>
  <c r="DM31" i="5"/>
  <c r="DH31" i="5"/>
  <c r="CS31" i="5"/>
  <c r="CN31" i="5"/>
  <c r="CI31" i="5"/>
  <c r="CD31" i="5"/>
  <c r="BY31" i="5"/>
  <c r="BT31" i="5"/>
  <c r="BE31" i="5"/>
  <c r="AZ31" i="5"/>
  <c r="AU31" i="5"/>
  <c r="AP31" i="5"/>
  <c r="AK31" i="5"/>
  <c r="AF31" i="5"/>
  <c r="AA31" i="5"/>
  <c r="V31" i="5"/>
  <c r="Q31" i="5"/>
  <c r="L31" i="5"/>
  <c r="EQ30" i="5"/>
  <c r="EL30" i="5"/>
  <c r="EG30" i="5"/>
  <c r="EB30" i="5"/>
  <c r="DW30" i="5"/>
  <c r="DR30" i="5"/>
  <c r="DM30" i="5"/>
  <c r="DH30" i="5"/>
  <c r="CS30" i="5"/>
  <c r="CN30" i="5"/>
  <c r="CI30" i="5"/>
  <c r="CD30" i="5"/>
  <c r="BY30" i="5"/>
  <c r="BT30" i="5"/>
  <c r="BE30" i="5"/>
  <c r="AZ30" i="5"/>
  <c r="AU30" i="5"/>
  <c r="AP30" i="5"/>
  <c r="AK30" i="5"/>
  <c r="AF30" i="5"/>
  <c r="AA30" i="5"/>
  <c r="V30" i="5"/>
  <c r="Q30" i="5"/>
  <c r="L30" i="5"/>
  <c r="EQ29" i="5"/>
  <c r="EL29" i="5"/>
  <c r="EG29" i="5"/>
  <c r="EB29" i="5"/>
  <c r="DW29" i="5"/>
  <c r="DR29" i="5"/>
  <c r="DM29" i="5"/>
  <c r="DH29" i="5"/>
  <c r="CS29" i="5"/>
  <c r="CN29" i="5"/>
  <c r="CI29" i="5"/>
  <c r="CD29" i="5"/>
  <c r="BY29" i="5"/>
  <c r="BT29" i="5"/>
  <c r="BE29" i="5"/>
  <c r="AZ29" i="5"/>
  <c r="AU29" i="5"/>
  <c r="AP29" i="5"/>
  <c r="AK29" i="5"/>
  <c r="AF29" i="5"/>
  <c r="AA29" i="5"/>
  <c r="V29" i="5"/>
  <c r="Q29" i="5"/>
  <c r="L29" i="5"/>
  <c r="EQ28" i="5"/>
  <c r="EL28" i="5"/>
  <c r="EG28" i="5"/>
  <c r="EB28" i="5"/>
  <c r="DW28" i="5"/>
  <c r="DR28" i="5"/>
  <c r="DM28" i="5"/>
  <c r="DH28" i="5"/>
  <c r="CS28" i="5"/>
  <c r="CN28" i="5"/>
  <c r="CI28" i="5"/>
  <c r="CD28" i="5"/>
  <c r="BY28" i="5"/>
  <c r="BT28" i="5"/>
  <c r="BE28" i="5"/>
  <c r="AZ28" i="5"/>
  <c r="AU28" i="5"/>
  <c r="AP28" i="5"/>
  <c r="AK28" i="5"/>
  <c r="AF28" i="5"/>
  <c r="AA28" i="5"/>
  <c r="V28" i="5"/>
  <c r="Q28" i="5"/>
  <c r="L28" i="5"/>
  <c r="EQ24" i="5"/>
  <c r="EL24" i="5"/>
  <c r="EG24" i="5"/>
  <c r="EB24" i="5"/>
  <c r="DW24" i="5"/>
  <c r="DR24" i="5"/>
  <c r="DM24" i="5"/>
  <c r="DH24" i="5"/>
  <c r="CS24" i="5"/>
  <c r="CN24" i="5"/>
  <c r="CI24" i="5"/>
  <c r="CD24" i="5"/>
  <c r="BY24" i="5"/>
  <c r="BT24" i="5"/>
  <c r="BE24" i="5"/>
  <c r="AZ24" i="5"/>
  <c r="AU24" i="5"/>
  <c r="AP24" i="5"/>
  <c r="AK24" i="5"/>
  <c r="AF24" i="5"/>
  <c r="AA24" i="5"/>
  <c r="V24" i="5"/>
  <c r="Q24" i="5"/>
  <c r="L24" i="5"/>
  <c r="EQ22" i="5"/>
  <c r="EL22" i="5"/>
  <c r="EG22" i="5"/>
  <c r="EB22" i="5"/>
  <c r="DW22" i="5"/>
  <c r="DR22" i="5"/>
  <c r="DM22" i="5"/>
  <c r="DH22" i="5"/>
  <c r="CS22" i="5"/>
  <c r="CN22" i="5"/>
  <c r="CI22" i="5"/>
  <c r="CD22" i="5"/>
  <c r="BY22" i="5"/>
  <c r="BT22" i="5"/>
  <c r="BE22" i="5"/>
  <c r="AZ22" i="5"/>
  <c r="AU22" i="5"/>
  <c r="AP22" i="5"/>
  <c r="AK22" i="5"/>
  <c r="AF22" i="5"/>
  <c r="AA22" i="5"/>
  <c r="V22" i="5"/>
  <c r="Q22" i="5"/>
  <c r="L22" i="5"/>
  <c r="EQ21" i="5"/>
  <c r="EL21" i="5"/>
  <c r="EG21" i="5"/>
  <c r="EB21" i="5"/>
  <c r="DW21" i="5"/>
  <c r="DR21" i="5"/>
  <c r="DM21" i="5"/>
  <c r="DH21" i="5"/>
  <c r="CS21" i="5"/>
  <c r="CN21" i="5"/>
  <c r="CI21" i="5"/>
  <c r="CD21" i="5"/>
  <c r="BY21" i="5"/>
  <c r="BT21" i="5"/>
  <c r="BE21" i="5"/>
  <c r="AZ21" i="5"/>
  <c r="AU21" i="5"/>
  <c r="AP21" i="5"/>
  <c r="AK21" i="5"/>
  <c r="AF21" i="5"/>
  <c r="AA21" i="5"/>
  <c r="V21" i="5"/>
  <c r="Q21" i="5"/>
  <c r="L21" i="5"/>
  <c r="EQ20" i="5"/>
  <c r="EL20" i="5"/>
  <c r="EG20" i="5"/>
  <c r="EB20" i="5"/>
  <c r="DW20" i="5"/>
  <c r="DR20" i="5"/>
  <c r="DM20" i="5"/>
  <c r="DH20" i="5"/>
  <c r="CS20" i="5"/>
  <c r="CN20" i="5"/>
  <c r="CI20" i="5"/>
  <c r="CD20" i="5"/>
  <c r="BY20" i="5"/>
  <c r="BT20" i="5"/>
  <c r="BE20" i="5"/>
  <c r="AZ20" i="5"/>
  <c r="AU20" i="5"/>
  <c r="AP20" i="5"/>
  <c r="AK20" i="5"/>
  <c r="AF20" i="5"/>
  <c r="AA20" i="5"/>
  <c r="V20" i="5"/>
  <c r="Q20" i="5"/>
  <c r="L20" i="5"/>
  <c r="EQ19" i="5"/>
  <c r="EL19" i="5"/>
  <c r="EG19" i="5"/>
  <c r="EB19" i="5"/>
  <c r="DW19" i="5"/>
  <c r="DR19" i="5"/>
  <c r="DM19" i="5"/>
  <c r="DH19" i="5"/>
  <c r="CS19" i="5"/>
  <c r="CN19" i="5"/>
  <c r="CI19" i="5"/>
  <c r="CD19" i="5"/>
  <c r="BY19" i="5"/>
  <c r="BT19" i="5"/>
  <c r="BE19" i="5"/>
  <c r="AZ19" i="5"/>
  <c r="AU19" i="5"/>
  <c r="AP19" i="5"/>
  <c r="AK19" i="5"/>
  <c r="AF19" i="5"/>
  <c r="AA19" i="5"/>
  <c r="V19" i="5"/>
  <c r="Q19" i="5"/>
  <c r="L19" i="5"/>
  <c r="EQ18" i="5"/>
  <c r="EL18" i="5"/>
  <c r="EG18" i="5"/>
  <c r="EB18" i="5"/>
  <c r="DW18" i="5"/>
  <c r="DR18" i="5"/>
  <c r="DM18" i="5"/>
  <c r="DH18" i="5"/>
  <c r="CS18" i="5"/>
  <c r="CN18" i="5"/>
  <c r="CI18" i="5"/>
  <c r="CD18" i="5"/>
  <c r="BY18" i="5"/>
  <c r="BT18" i="5"/>
  <c r="BE18" i="5"/>
  <c r="AZ18" i="5"/>
  <c r="AU18" i="5"/>
  <c r="AP18" i="5"/>
  <c r="AK18" i="5"/>
  <c r="AF18" i="5"/>
  <c r="AA18" i="5"/>
  <c r="V18" i="5"/>
  <c r="Q18" i="5"/>
  <c r="L18" i="5"/>
  <c r="EP16" i="5"/>
  <c r="EO16" i="5"/>
  <c r="EN16" i="5"/>
  <c r="EM16" i="5"/>
  <c r="EK16" i="5"/>
  <c r="EJ16" i="5"/>
  <c r="EI16" i="5"/>
  <c r="EH16" i="5"/>
  <c r="EF16" i="5"/>
  <c r="EE16" i="5"/>
  <c r="ED16" i="5"/>
  <c r="EC16" i="5"/>
  <c r="EA16" i="5"/>
  <c r="DZ16" i="5"/>
  <c r="DY16" i="5"/>
  <c r="DX16" i="5"/>
  <c r="DV16" i="5"/>
  <c r="DU16" i="5"/>
  <c r="DT16" i="5"/>
  <c r="DS16" i="5"/>
  <c r="DQ16" i="5"/>
  <c r="DP16" i="5"/>
  <c r="DO16" i="5"/>
  <c r="DN16" i="5"/>
  <c r="DM16" i="5"/>
  <c r="DG16" i="5"/>
  <c r="DF16" i="5"/>
  <c r="DE16" i="5"/>
  <c r="DD16" i="5"/>
  <c r="CV53" i="5"/>
  <c r="CM16" i="5"/>
  <c r="CL16" i="5"/>
  <c r="CK16" i="5"/>
  <c r="CJ16" i="5"/>
  <c r="CH16" i="5"/>
  <c r="CG16" i="5"/>
  <c r="CF16" i="5"/>
  <c r="CE16" i="5"/>
  <c r="CC16" i="5"/>
  <c r="CB16" i="5"/>
  <c r="CA16" i="5"/>
  <c r="BZ16" i="5"/>
  <c r="BX16" i="5"/>
  <c r="BW16" i="5"/>
  <c r="BV16" i="5"/>
  <c r="BU16" i="5"/>
  <c r="BS16" i="5"/>
  <c r="BR16" i="5"/>
  <c r="BQ16" i="5"/>
  <c r="BP16" i="5"/>
  <c r="BL53" i="5"/>
  <c r="BE16" i="5"/>
  <c r="AY16" i="5"/>
  <c r="AX16" i="5"/>
  <c r="AW16" i="5"/>
  <c r="AV16" i="5"/>
  <c r="AT16" i="5"/>
  <c r="AS16" i="5"/>
  <c r="AR16" i="5"/>
  <c r="AQ16" i="5"/>
  <c r="AO16" i="5"/>
  <c r="AN16" i="5"/>
  <c r="AM16" i="5"/>
  <c r="AL16" i="5"/>
  <c r="AJ16" i="5"/>
  <c r="AI16" i="5"/>
  <c r="AH16" i="5"/>
  <c r="AG16" i="5"/>
  <c r="AE16" i="5"/>
  <c r="AD16" i="5"/>
  <c r="AC16" i="5"/>
  <c r="AB16" i="5"/>
  <c r="Z16" i="5"/>
  <c r="Y16" i="5"/>
  <c r="X16" i="5"/>
  <c r="W16" i="5"/>
  <c r="U16" i="5"/>
  <c r="T16" i="5"/>
  <c r="S16" i="5"/>
  <c r="R16" i="5"/>
  <c r="P16" i="5"/>
  <c r="O16" i="5"/>
  <c r="N16" i="5"/>
  <c r="M16" i="5"/>
  <c r="EQ15" i="5"/>
  <c r="EL15" i="5"/>
  <c r="EG15" i="5"/>
  <c r="EB15" i="5"/>
  <c r="DW15" i="5"/>
  <c r="DR15" i="5"/>
  <c r="DM15" i="5"/>
  <c r="DH15" i="5"/>
  <c r="CS15" i="5"/>
  <c r="CN15" i="5"/>
  <c r="CI15" i="5"/>
  <c r="CD15" i="5"/>
  <c r="BY15" i="5"/>
  <c r="BT15" i="5"/>
  <c r="BE15" i="5"/>
  <c r="AZ15" i="5"/>
  <c r="AU15" i="5"/>
  <c r="AP15" i="5"/>
  <c r="AK15" i="5"/>
  <c r="AF15" i="5"/>
  <c r="AA15" i="5"/>
  <c r="V15" i="5"/>
  <c r="Q15" i="5"/>
  <c r="L15" i="5"/>
  <c r="EQ13" i="5"/>
  <c r="EL13" i="5"/>
  <c r="EG13" i="5"/>
  <c r="EB13" i="5"/>
  <c r="DW13" i="5"/>
  <c r="DR13" i="5"/>
  <c r="DM13" i="5"/>
  <c r="DH13" i="5"/>
  <c r="CS13" i="5"/>
  <c r="CN13" i="5"/>
  <c r="CI13" i="5"/>
  <c r="CD13" i="5"/>
  <c r="BY13" i="5"/>
  <c r="BT13" i="5"/>
  <c r="BE13" i="5"/>
  <c r="AZ13" i="5"/>
  <c r="AU13" i="5"/>
  <c r="AP13" i="5"/>
  <c r="AK13" i="5"/>
  <c r="AF13" i="5"/>
  <c r="AA13" i="5"/>
  <c r="V13" i="5"/>
  <c r="Q13" i="5"/>
  <c r="L13" i="5"/>
  <c r="EQ12" i="5"/>
  <c r="EL12" i="5"/>
  <c r="EG12" i="5"/>
  <c r="EB12" i="5"/>
  <c r="DW12" i="5"/>
  <c r="DR12" i="5"/>
  <c r="DM12" i="5"/>
  <c r="DH12" i="5"/>
  <c r="CS12" i="5"/>
  <c r="CN12" i="5"/>
  <c r="CI12" i="5"/>
  <c r="CD12" i="5"/>
  <c r="BY12" i="5"/>
  <c r="BT12" i="5"/>
  <c r="BE12" i="5"/>
  <c r="AZ12" i="5"/>
  <c r="AU12" i="5"/>
  <c r="AP12" i="5"/>
  <c r="AK12" i="5"/>
  <c r="AF12" i="5"/>
  <c r="AA12" i="5"/>
  <c r="V12" i="5"/>
  <c r="Q12" i="5"/>
  <c r="L12" i="5"/>
  <c r="EQ11" i="5"/>
  <c r="EL11" i="5"/>
  <c r="EG11" i="5"/>
  <c r="EB11" i="5"/>
  <c r="DW11" i="5"/>
  <c r="DR11" i="5"/>
  <c r="DM11" i="5"/>
  <c r="DH11" i="5"/>
  <c r="CS11" i="5"/>
  <c r="CN11" i="5"/>
  <c r="CI11" i="5"/>
  <c r="CD11" i="5"/>
  <c r="BY11" i="5"/>
  <c r="BT11" i="5"/>
  <c r="BE11" i="5"/>
  <c r="AZ11" i="5"/>
  <c r="AU11" i="5"/>
  <c r="AP11" i="5"/>
  <c r="AK11" i="5"/>
  <c r="AF11" i="5"/>
  <c r="AA11" i="5"/>
  <c r="V11" i="5"/>
  <c r="Q11" i="5"/>
  <c r="L11" i="5"/>
  <c r="EQ10" i="5"/>
  <c r="EQ218" i="3" s="1"/>
  <c r="EL10" i="5"/>
  <c r="EL218" i="3" s="1"/>
  <c r="EG10" i="5"/>
  <c r="EG218" i="3" s="1"/>
  <c r="EB10" i="5"/>
  <c r="EB218" i="3" s="1"/>
  <c r="DW10" i="5"/>
  <c r="DW218" i="3" s="1"/>
  <c r="DR10" i="5"/>
  <c r="DR218" i="3" s="1"/>
  <c r="DM10" i="5"/>
  <c r="DH10" i="5"/>
  <c r="CS10" i="5"/>
  <c r="CN10" i="5"/>
  <c r="CI10" i="5"/>
  <c r="CD10" i="5"/>
  <c r="BY10" i="5"/>
  <c r="BT10" i="5"/>
  <c r="BE10" i="5"/>
  <c r="AZ10" i="5"/>
  <c r="AU10" i="5"/>
  <c r="AP10" i="5"/>
  <c r="AK10" i="5"/>
  <c r="AF10" i="5"/>
  <c r="AA10" i="5"/>
  <c r="V10" i="5"/>
  <c r="Q10" i="5"/>
  <c r="L10" i="5"/>
  <c r="D50" i="5"/>
  <c r="E50" i="5"/>
  <c r="F50" i="5"/>
  <c r="G50" i="5" s="1"/>
  <c r="C50" i="5"/>
  <c r="G48" i="5"/>
  <c r="G49" i="5"/>
  <c r="G47" i="5"/>
  <c r="G39" i="5"/>
  <c r="G40" i="5"/>
  <c r="G23" i="7" s="1"/>
  <c r="G41" i="5"/>
  <c r="G42" i="5"/>
  <c r="G43" i="5"/>
  <c r="G97" i="5" s="1"/>
  <c r="G38" i="5"/>
  <c r="D36" i="5"/>
  <c r="D44" i="5" s="1"/>
  <c r="E36" i="5"/>
  <c r="E44" i="5" s="1"/>
  <c r="F36" i="5"/>
  <c r="C36" i="5"/>
  <c r="C44" i="5" s="1"/>
  <c r="G29" i="5"/>
  <c r="G30" i="5"/>
  <c r="G31" i="5"/>
  <c r="G32" i="5"/>
  <c r="G33" i="5"/>
  <c r="G15" i="7" s="1"/>
  <c r="G21" i="7" s="1"/>
  <c r="G35" i="5"/>
  <c r="G94" i="5" s="1"/>
  <c r="G28" i="5"/>
  <c r="G19" i="5"/>
  <c r="G20" i="5"/>
  <c r="G21" i="5"/>
  <c r="G22" i="5"/>
  <c r="G24" i="5"/>
  <c r="G18" i="5"/>
  <c r="G11" i="5"/>
  <c r="G12" i="5"/>
  <c r="G13" i="5"/>
  <c r="G15" i="5"/>
  <c r="G10" i="5"/>
  <c r="D16" i="5"/>
  <c r="D25" i="5" s="1"/>
  <c r="E16" i="5"/>
  <c r="F16" i="5"/>
  <c r="F25" i="5" s="1"/>
  <c r="C16" i="5"/>
  <c r="EQ219" i="3" l="1"/>
  <c r="EB219" i="3"/>
  <c r="EL219" i="3"/>
  <c r="DW219" i="3"/>
  <c r="EG219" i="3"/>
  <c r="G81" i="5"/>
  <c r="CS55" i="30"/>
  <c r="CN55" i="30"/>
  <c r="EG55" i="30"/>
  <c r="DH55" i="30"/>
  <c r="EL55" i="30"/>
  <c r="EQ55" i="30"/>
  <c r="EB55" i="30"/>
  <c r="DM55" i="30"/>
  <c r="CD55" i="30"/>
  <c r="DR55" i="30"/>
  <c r="CI55" i="30"/>
  <c r="DW55" i="30"/>
  <c r="EV32" i="2"/>
  <c r="EV23" i="7"/>
  <c r="L50" i="5"/>
  <c r="AA50" i="5"/>
  <c r="AP50" i="5"/>
  <c r="BE50" i="5"/>
  <c r="CD50" i="5"/>
  <c r="CS50" i="5"/>
  <c r="DR50" i="5"/>
  <c r="EG50" i="5"/>
  <c r="DK51" i="5"/>
  <c r="EQ50" i="5"/>
  <c r="V50" i="5"/>
  <c r="AK50" i="5"/>
  <c r="AZ50" i="5"/>
  <c r="BY50" i="5"/>
  <c r="CN50" i="5"/>
  <c r="DM50" i="5"/>
  <c r="EB50" i="5"/>
  <c r="BC51" i="5"/>
  <c r="CO51" i="5"/>
  <c r="DI51" i="5"/>
  <c r="Q50" i="5"/>
  <c r="AF50" i="5"/>
  <c r="AU50" i="5"/>
  <c r="BB51" i="5"/>
  <c r="BT50" i="5"/>
  <c r="CI50" i="5"/>
  <c r="CP51" i="5"/>
  <c r="DH50" i="5"/>
  <c r="DW50" i="5"/>
  <c r="EL50" i="5"/>
  <c r="BJ36" i="7"/>
  <c r="DC20" i="7"/>
  <c r="EG87" i="5"/>
  <c r="DC32" i="7"/>
  <c r="DC34" i="7"/>
  <c r="DC44" i="7" s="1"/>
  <c r="BO36" i="7"/>
  <c r="AA87" i="5"/>
  <c r="BE87" i="5"/>
  <c r="CS87" i="5"/>
  <c r="BO32" i="7"/>
  <c r="BO34" i="7"/>
  <c r="BO44" i="7" s="1"/>
  <c r="DH16" i="5"/>
  <c r="EH25" i="5"/>
  <c r="AF139" i="5"/>
  <c r="BT139" i="5"/>
  <c r="BT142" i="5" s="1"/>
  <c r="DH139" i="5"/>
  <c r="DH142" i="5" s="1"/>
  <c r="EL139" i="5"/>
  <c r="EL142" i="5" s="1"/>
  <c r="AF78" i="5"/>
  <c r="BT78" i="5"/>
  <c r="DH78" i="5"/>
  <c r="EL78" i="5"/>
  <c r="AC44" i="5"/>
  <c r="AR44" i="5"/>
  <c r="BU44" i="5"/>
  <c r="CB44" i="5"/>
  <c r="CJ44" i="5"/>
  <c r="DE44" i="5"/>
  <c r="DP44" i="5"/>
  <c r="DX44" i="5"/>
  <c r="EE44" i="5"/>
  <c r="EN44" i="5"/>
  <c r="G75" i="5"/>
  <c r="BT63" i="6"/>
  <c r="EL75" i="5"/>
  <c r="CL25" i="5"/>
  <c r="AK75" i="5"/>
  <c r="BY75" i="5"/>
  <c r="EQ75" i="5"/>
  <c r="AA16" i="5"/>
  <c r="AP16" i="5"/>
  <c r="BX25" i="5"/>
  <c r="CN16" i="5"/>
  <c r="DT25" i="5"/>
  <c r="EA25" i="5"/>
  <c r="AK139" i="5"/>
  <c r="BY139" i="5"/>
  <c r="BY142" i="5" s="1"/>
  <c r="DM139" i="5"/>
  <c r="DM142" i="5" s="1"/>
  <c r="EQ139" i="5"/>
  <c r="EQ142" i="5" s="1"/>
  <c r="AK78" i="5"/>
  <c r="BY78" i="5"/>
  <c r="DM78" i="5"/>
  <c r="EQ78" i="5"/>
  <c r="W44" i="5"/>
  <c r="AD44" i="5"/>
  <c r="AL44" i="5"/>
  <c r="AS44" i="5"/>
  <c r="BV44" i="5"/>
  <c r="CC44" i="5"/>
  <c r="CK44" i="5"/>
  <c r="DF44" i="5"/>
  <c r="DY44" i="5"/>
  <c r="EO44" i="5"/>
  <c r="AF63" i="6"/>
  <c r="AF75" i="5"/>
  <c r="BT75" i="5"/>
  <c r="DH75" i="5"/>
  <c r="R25" i="5"/>
  <c r="AN25" i="5"/>
  <c r="AV25" i="5"/>
  <c r="BY63" i="6"/>
  <c r="EQ58" i="5"/>
  <c r="DM75" i="5"/>
  <c r="G139" i="5"/>
  <c r="L63" i="6"/>
  <c r="AP63" i="6"/>
  <c r="CD63" i="6"/>
  <c r="L75" i="5"/>
  <c r="AP75" i="5"/>
  <c r="CD75" i="5"/>
  <c r="DR75" i="5"/>
  <c r="AB25" i="5"/>
  <c r="DN25" i="5"/>
  <c r="L139" i="5"/>
  <c r="AP139" i="5"/>
  <c r="CD139" i="5"/>
  <c r="CD142" i="5" s="1"/>
  <c r="DR139" i="5"/>
  <c r="DR142" i="5" s="1"/>
  <c r="L78" i="5"/>
  <c r="AP78" i="5"/>
  <c r="CD78" i="5"/>
  <c r="DR78" i="5"/>
  <c r="H44" i="5"/>
  <c r="X44" i="5"/>
  <c r="AE44" i="5"/>
  <c r="AM44" i="5"/>
  <c r="BP44" i="5"/>
  <c r="BW44" i="5"/>
  <c r="CE44" i="5"/>
  <c r="CL44" i="5"/>
  <c r="DS44" i="5"/>
  <c r="DZ44" i="5"/>
  <c r="EH44" i="5"/>
  <c r="ER25" i="5"/>
  <c r="CN60" i="6"/>
  <c r="CN61" i="6" s="1"/>
  <c r="CN63" i="6" s="1"/>
  <c r="CJ61" i="6"/>
  <c r="G63" i="6"/>
  <c r="G78" i="5"/>
  <c r="Q63" i="6"/>
  <c r="CI63" i="6"/>
  <c r="Q75" i="5"/>
  <c r="AU75" i="5"/>
  <c r="CI75" i="5"/>
  <c r="DW75" i="5"/>
  <c r="AC25" i="5"/>
  <c r="CI16" i="5"/>
  <c r="EL16" i="5"/>
  <c r="Q139" i="5"/>
  <c r="AU139" i="5"/>
  <c r="CI139" i="5"/>
  <c r="CI142" i="5" s="1"/>
  <c r="DW139" i="5"/>
  <c r="DW142" i="5" s="1"/>
  <c r="Q78" i="5"/>
  <c r="AU78" i="5"/>
  <c r="CI78" i="5"/>
  <c r="DW78" i="5"/>
  <c r="I44" i="5"/>
  <c r="R44" i="5"/>
  <c r="Y44" i="5"/>
  <c r="AG44" i="5"/>
  <c r="AN44" i="5"/>
  <c r="AV44" i="5"/>
  <c r="BQ44" i="5"/>
  <c r="CF44" i="5"/>
  <c r="DT44" i="5"/>
  <c r="EA44" i="5"/>
  <c r="EI44" i="5"/>
  <c r="V63" i="6"/>
  <c r="V75" i="5"/>
  <c r="AZ75" i="5"/>
  <c r="CN75" i="5"/>
  <c r="EM25" i="5"/>
  <c r="V139" i="5"/>
  <c r="AZ139" i="5"/>
  <c r="CN139" i="5"/>
  <c r="CN142" i="5" s="1"/>
  <c r="EB139" i="5"/>
  <c r="EB142" i="5" s="1"/>
  <c r="V78" i="5"/>
  <c r="AZ78" i="5"/>
  <c r="CN78" i="5"/>
  <c r="EB78" i="5"/>
  <c r="J44" i="5"/>
  <c r="S44" i="5"/>
  <c r="Z44" i="5"/>
  <c r="AH44" i="5"/>
  <c r="AO44" i="5"/>
  <c r="AW44" i="5"/>
  <c r="BR44" i="5"/>
  <c r="BZ44" i="5"/>
  <c r="CG44" i="5"/>
  <c r="DN44" i="5"/>
  <c r="DU44" i="5"/>
  <c r="EC44" i="5"/>
  <c r="EJ44" i="5"/>
  <c r="EB75" i="5"/>
  <c r="W25" i="5"/>
  <c r="AD25" i="5"/>
  <c r="CJ25" i="5"/>
  <c r="AA63" i="6"/>
  <c r="AA75" i="5"/>
  <c r="BE75" i="5"/>
  <c r="CS75" i="5"/>
  <c r="EG75" i="5"/>
  <c r="P25" i="5"/>
  <c r="AF16" i="5"/>
  <c r="CD16" i="5"/>
  <c r="DR16" i="5"/>
  <c r="EF25" i="5"/>
  <c r="AA139" i="5"/>
  <c r="BE139" i="5"/>
  <c r="BE142" i="5" s="1"/>
  <c r="CS139" i="5"/>
  <c r="CS142" i="5" s="1"/>
  <c r="EG139" i="5"/>
  <c r="EG142" i="5" s="1"/>
  <c r="AA78" i="5"/>
  <c r="BE78" i="5"/>
  <c r="CS78" i="5"/>
  <c r="EG78" i="5"/>
  <c r="K44" i="5"/>
  <c r="T44" i="5"/>
  <c r="AB44" i="5"/>
  <c r="AI44" i="5"/>
  <c r="AQ44" i="5"/>
  <c r="AX44" i="5"/>
  <c r="BS44" i="5"/>
  <c r="CA44" i="5"/>
  <c r="DD44" i="5"/>
  <c r="DO44" i="5"/>
  <c r="DV44" i="5"/>
  <c r="ED44" i="5"/>
  <c r="EK44" i="5"/>
  <c r="CX36" i="7"/>
  <c r="CX20" i="7"/>
  <c r="Q15" i="7"/>
  <c r="Q31" i="2"/>
  <c r="AU15" i="7"/>
  <c r="AU31" i="2"/>
  <c r="CI15" i="7"/>
  <c r="CI21" i="7" s="1"/>
  <c r="CI31" i="2"/>
  <c r="DW15" i="7"/>
  <c r="DW31" i="2"/>
  <c r="L23" i="7"/>
  <c r="L24" i="7" s="1"/>
  <c r="L32" i="2"/>
  <c r="AP23" i="7"/>
  <c r="AP29" i="7" s="1"/>
  <c r="AP32" i="2"/>
  <c r="CD23" i="7"/>
  <c r="CD28" i="7" s="1"/>
  <c r="CD32" i="2"/>
  <c r="DR23" i="7"/>
  <c r="DR29" i="7" s="1"/>
  <c r="DR32" i="2"/>
  <c r="V15" i="7"/>
  <c r="V21" i="7" s="1"/>
  <c r="V31" i="2"/>
  <c r="AZ15" i="7"/>
  <c r="AZ21" i="7" s="1"/>
  <c r="AZ31" i="2"/>
  <c r="CN15" i="7"/>
  <c r="CN21" i="7" s="1"/>
  <c r="CN31" i="2"/>
  <c r="EB15" i="7"/>
  <c r="EB21" i="7" s="1"/>
  <c r="EB31" i="2"/>
  <c r="Q23" i="7"/>
  <c r="Q29" i="7" s="1"/>
  <c r="Q32" i="2"/>
  <c r="AU23" i="7"/>
  <c r="AU29" i="7" s="1"/>
  <c r="AU32" i="2"/>
  <c r="CI23" i="7"/>
  <c r="CI28" i="7" s="1"/>
  <c r="CI32" i="2"/>
  <c r="DW23" i="7"/>
  <c r="DW29" i="7" s="1"/>
  <c r="DW32" i="2"/>
  <c r="AA15" i="7"/>
  <c r="AA31" i="2"/>
  <c r="BE15" i="7"/>
  <c r="BE21" i="7" s="1"/>
  <c r="BE31" i="2"/>
  <c r="CS15" i="7"/>
  <c r="CX18" i="7" s="1"/>
  <c r="CX49" i="7" s="1"/>
  <c r="CS31" i="2"/>
  <c r="EG15" i="7"/>
  <c r="EG21" i="7" s="1"/>
  <c r="EG31" i="2"/>
  <c r="V23" i="7"/>
  <c r="V28" i="7" s="1"/>
  <c r="V32" i="2"/>
  <c r="AZ23" i="7"/>
  <c r="AZ28" i="7" s="1"/>
  <c r="AZ32" i="2"/>
  <c r="CN23" i="7"/>
  <c r="CN29" i="7" s="1"/>
  <c r="CN32" i="2"/>
  <c r="EB23" i="7"/>
  <c r="EB29" i="7" s="1"/>
  <c r="EB32" i="2"/>
  <c r="AF15" i="7"/>
  <c r="AF21" i="7" s="1"/>
  <c r="AF31" i="2"/>
  <c r="BT15" i="7"/>
  <c r="BT16" i="7" s="1"/>
  <c r="BT31" i="2"/>
  <c r="DH15" i="7"/>
  <c r="DH18" i="7" s="1"/>
  <c r="DH49" i="7" s="1"/>
  <c r="DH31" i="2"/>
  <c r="EL15" i="7"/>
  <c r="EL31" i="2"/>
  <c r="AA23" i="7"/>
  <c r="AA31" i="7" s="1"/>
  <c r="AA32" i="2"/>
  <c r="BE23" i="7"/>
  <c r="BJ26" i="7" s="1"/>
  <c r="BJ54" i="7" s="1"/>
  <c r="BE32" i="2"/>
  <c r="CS23" i="7"/>
  <c r="CX26" i="7" s="1"/>
  <c r="CX54" i="7" s="1"/>
  <c r="CS32" i="2"/>
  <c r="EG23" i="7"/>
  <c r="EG32" i="2"/>
  <c r="AK58" i="5"/>
  <c r="AK63" i="6"/>
  <c r="AK15" i="7"/>
  <c r="AK21" i="7" s="1"/>
  <c r="AK31" i="2"/>
  <c r="BY15" i="7"/>
  <c r="BY21" i="7" s="1"/>
  <c r="BY31" i="2"/>
  <c r="DM15" i="7"/>
  <c r="DM18" i="7" s="1"/>
  <c r="DM49" i="7" s="1"/>
  <c r="DM31" i="2"/>
  <c r="EQ15" i="7"/>
  <c r="EQ31" i="2"/>
  <c r="AF23" i="7"/>
  <c r="AF29" i="7" s="1"/>
  <c r="AF32" i="2"/>
  <c r="BT23" i="7"/>
  <c r="BT29" i="7" s="1"/>
  <c r="BT32" i="2"/>
  <c r="DH23" i="7"/>
  <c r="DH29" i="7" s="1"/>
  <c r="DH32" i="2"/>
  <c r="EL23" i="7"/>
  <c r="EL32" i="2"/>
  <c r="L15" i="7"/>
  <c r="L16" i="7" s="1"/>
  <c r="L31" i="2"/>
  <c r="AP15" i="7"/>
  <c r="AP21" i="7" s="1"/>
  <c r="AP31" i="2"/>
  <c r="CD15" i="7"/>
  <c r="CD31" i="2"/>
  <c r="DR15" i="7"/>
  <c r="DR31" i="2"/>
  <c r="AK23" i="7"/>
  <c r="AK29" i="7" s="1"/>
  <c r="AK32" i="2"/>
  <c r="BY23" i="7"/>
  <c r="BY29" i="7" s="1"/>
  <c r="BY32" i="2"/>
  <c r="DM23" i="7"/>
  <c r="DM28" i="7" s="1"/>
  <c r="DM32" i="2"/>
  <c r="EQ23" i="7"/>
  <c r="EQ29" i="7" s="1"/>
  <c r="EQ32" i="2"/>
  <c r="AM63" i="6"/>
  <c r="AN60" i="6"/>
  <c r="AN61" i="6" s="1"/>
  <c r="AP58" i="5"/>
  <c r="L58" i="5"/>
  <c r="Q58" i="5"/>
  <c r="AK87" i="5"/>
  <c r="BY87" i="5"/>
  <c r="DM87" i="5"/>
  <c r="EQ87" i="5"/>
  <c r="FB49" i="5"/>
  <c r="FC49" i="5" s="1"/>
  <c r="FD49" i="5" s="1"/>
  <c r="FE49" i="5" s="1"/>
  <c r="FF49" i="5" s="1"/>
  <c r="FG49" i="5" s="1"/>
  <c r="FH49" i="5" s="1"/>
  <c r="FI49" i="5" s="1"/>
  <c r="FJ49" i="5" s="1"/>
  <c r="FK49" i="5" s="1"/>
  <c r="FL49" i="5" s="1"/>
  <c r="FM49" i="5" s="1"/>
  <c r="FN49" i="5" s="1"/>
  <c r="FO49" i="5" s="1"/>
  <c r="FP49" i="5" s="1"/>
  <c r="FQ49" i="5" s="1"/>
  <c r="FR49" i="5" s="1"/>
  <c r="FS49" i="5" s="1"/>
  <c r="FT49" i="5" s="1"/>
  <c r="FU49" i="5" s="1"/>
  <c r="FV49" i="5" s="1"/>
  <c r="FW49" i="5" s="1"/>
  <c r="FX49" i="5" s="1"/>
  <c r="FY49" i="5" s="1"/>
  <c r="FZ49" i="5" s="1"/>
  <c r="GA49" i="5" s="1"/>
  <c r="GB49" i="5" s="1"/>
  <c r="GC49" i="5" s="1"/>
  <c r="GD49" i="5" s="1"/>
  <c r="GE49" i="5" s="1"/>
  <c r="GF49" i="5" s="1"/>
  <c r="GG49" i="5" s="1"/>
  <c r="GH49" i="5" s="1"/>
  <c r="GI49" i="5" s="1"/>
  <c r="GJ49" i="5" s="1"/>
  <c r="V87" i="5"/>
  <c r="AZ87" i="5"/>
  <c r="CN87" i="5"/>
  <c r="Q87" i="5"/>
  <c r="AU87" i="5"/>
  <c r="G87" i="5"/>
  <c r="AF87" i="5"/>
  <c r="BT87" i="5"/>
  <c r="DH87" i="5"/>
  <c r="EL87" i="5"/>
  <c r="EB87" i="5"/>
  <c r="L87" i="5"/>
  <c r="AP87" i="5"/>
  <c r="CD87" i="5"/>
  <c r="DR87" i="5"/>
  <c r="CI87" i="5"/>
  <c r="DW87" i="5"/>
  <c r="L92" i="5"/>
  <c r="L91" i="5"/>
  <c r="AP92" i="5"/>
  <c r="AP91" i="5"/>
  <c r="CD92" i="5"/>
  <c r="CD91" i="5"/>
  <c r="DR91" i="5"/>
  <c r="DR92" i="5"/>
  <c r="CI92" i="5"/>
  <c r="CI91" i="5"/>
  <c r="V92" i="5"/>
  <c r="V91" i="5"/>
  <c r="AZ92" i="5"/>
  <c r="AZ91" i="5"/>
  <c r="CN91" i="5"/>
  <c r="CN92" i="5"/>
  <c r="EB92" i="5"/>
  <c r="EB91" i="5"/>
  <c r="AU92" i="5"/>
  <c r="AU91" i="5"/>
  <c r="G91" i="5"/>
  <c r="G92" i="5"/>
  <c r="AA92" i="5"/>
  <c r="AA91" i="5"/>
  <c r="BE92" i="5"/>
  <c r="BE91" i="5"/>
  <c r="CS92" i="5"/>
  <c r="CS91" i="5"/>
  <c r="EG92" i="5"/>
  <c r="EG91" i="5"/>
  <c r="DW91" i="5"/>
  <c r="DW92" i="5"/>
  <c r="AF91" i="5"/>
  <c r="AF92" i="5"/>
  <c r="BT92" i="5"/>
  <c r="BT91" i="5"/>
  <c r="DH92" i="5"/>
  <c r="DH91" i="5"/>
  <c r="EL92" i="5"/>
  <c r="EL91" i="5"/>
  <c r="Q92" i="5"/>
  <c r="Q91" i="5"/>
  <c r="AK92" i="5"/>
  <c r="AK91" i="5"/>
  <c r="BY92" i="5"/>
  <c r="BY91" i="5"/>
  <c r="DM92" i="5"/>
  <c r="DM91" i="5"/>
  <c r="EQ92" i="5"/>
  <c r="EQ91" i="5"/>
  <c r="AU58" i="5"/>
  <c r="V89" i="5"/>
  <c r="V90" i="5"/>
  <c r="AZ89" i="5"/>
  <c r="AZ90" i="5"/>
  <c r="CN89" i="5"/>
  <c r="CN90" i="5"/>
  <c r="EB89" i="5"/>
  <c r="EB90" i="5"/>
  <c r="AA89" i="5"/>
  <c r="AA90" i="5"/>
  <c r="BE89" i="5"/>
  <c r="BE90" i="5"/>
  <c r="CS89" i="5"/>
  <c r="CS90" i="5"/>
  <c r="EG89" i="5"/>
  <c r="EG90" i="5"/>
  <c r="AF89" i="5"/>
  <c r="AF90" i="5"/>
  <c r="BT89" i="5"/>
  <c r="BT90" i="5"/>
  <c r="DH89" i="5"/>
  <c r="DH90" i="5"/>
  <c r="EL89" i="5"/>
  <c r="EL90" i="5"/>
  <c r="AK89" i="5"/>
  <c r="AK90" i="5"/>
  <c r="BY89" i="5"/>
  <c r="BY90" i="5"/>
  <c r="DM89" i="5"/>
  <c r="DM90" i="5"/>
  <c r="EQ89" i="5"/>
  <c r="EQ90" i="5"/>
  <c r="G89" i="5"/>
  <c r="G90" i="5"/>
  <c r="L89" i="5"/>
  <c r="L90" i="5"/>
  <c r="AP89" i="5"/>
  <c r="AP90" i="5"/>
  <c r="CD89" i="5"/>
  <c r="CD90" i="5"/>
  <c r="DR89" i="5"/>
  <c r="DR90" i="5"/>
  <c r="Q89" i="5"/>
  <c r="Q90" i="5"/>
  <c r="AU89" i="5"/>
  <c r="AU90" i="5"/>
  <c r="CI89" i="5"/>
  <c r="CI90" i="5"/>
  <c r="DW89" i="5"/>
  <c r="DW90" i="5"/>
  <c r="EV59" i="5"/>
  <c r="EV223" i="3" s="1"/>
  <c r="FA223" i="3"/>
  <c r="G31" i="7"/>
  <c r="G36" i="7" s="1"/>
  <c r="G29" i="7"/>
  <c r="V58" i="5"/>
  <c r="AA58" i="5"/>
  <c r="AF58" i="5"/>
  <c r="BT58" i="5"/>
  <c r="BE58" i="5"/>
  <c r="AZ58" i="5"/>
  <c r="AF59" i="5"/>
  <c r="BT59" i="5"/>
  <c r="DH59" i="5"/>
  <c r="EL59" i="5"/>
  <c r="EL223" i="3" s="1"/>
  <c r="DM44" i="5"/>
  <c r="CS44" i="5"/>
  <c r="BY36" i="5"/>
  <c r="BX44" i="5"/>
  <c r="CN36" i="5"/>
  <c r="CM44" i="5"/>
  <c r="CI36" i="5"/>
  <c r="CH44" i="5"/>
  <c r="V36" i="5"/>
  <c r="U44" i="5"/>
  <c r="AK36" i="5"/>
  <c r="AJ44" i="5"/>
  <c r="AZ36" i="5"/>
  <c r="AY44" i="5"/>
  <c r="G36" i="5"/>
  <c r="F44" i="5"/>
  <c r="BE44" i="5"/>
  <c r="DR36" i="5"/>
  <c r="DQ44" i="5"/>
  <c r="EG36" i="5"/>
  <c r="EF44" i="5"/>
  <c r="Q36" i="5"/>
  <c r="P44" i="5"/>
  <c r="AU36" i="5"/>
  <c r="AT44" i="5"/>
  <c r="DH36" i="5"/>
  <c r="DG44" i="5"/>
  <c r="EQ36" i="5"/>
  <c r="EP44" i="5"/>
  <c r="AA59" i="5"/>
  <c r="BE59" i="5"/>
  <c r="CS59" i="5"/>
  <c r="V59" i="5"/>
  <c r="AZ59" i="5"/>
  <c r="CN59" i="5"/>
  <c r="EB59" i="5"/>
  <c r="EB223" i="3" s="1"/>
  <c r="G58" i="5"/>
  <c r="EG58" i="5"/>
  <c r="AK59" i="5"/>
  <c r="BY59" i="5"/>
  <c r="DM59" i="5"/>
  <c r="EQ59" i="5"/>
  <c r="EQ223" i="3" s="1"/>
  <c r="BS51" i="5"/>
  <c r="CA51" i="5"/>
  <c r="EB58" i="5"/>
  <c r="DH58" i="5"/>
  <c r="EL58" i="5"/>
  <c r="DR58" i="5"/>
  <c r="DW58" i="5"/>
  <c r="EG59" i="5"/>
  <c r="EG223" i="3" s="1"/>
  <c r="DM58" i="5"/>
  <c r="CD58" i="5"/>
  <c r="CI58" i="5"/>
  <c r="CN58" i="5"/>
  <c r="CS58" i="5"/>
  <c r="G59" i="5"/>
  <c r="L59" i="5"/>
  <c r="AP59" i="5"/>
  <c r="CD59" i="5"/>
  <c r="DR59" i="5"/>
  <c r="BY58" i="5"/>
  <c r="Q59" i="5"/>
  <c r="AU59" i="5"/>
  <c r="CI59" i="5"/>
  <c r="DW59" i="5"/>
  <c r="DW223" i="3" s="1"/>
  <c r="DW224" i="3" s="1"/>
  <c r="AV51" i="5"/>
  <c r="R51" i="5"/>
  <c r="Y51" i="5"/>
  <c r="AG51" i="5"/>
  <c r="K51" i="5"/>
  <c r="S51" i="5"/>
  <c r="AH51" i="5"/>
  <c r="AO51" i="5"/>
  <c r="DZ51" i="5"/>
  <c r="EH51" i="5"/>
  <c r="DO51" i="5"/>
  <c r="DV51" i="5"/>
  <c r="DU51" i="5"/>
  <c r="EC51" i="5"/>
  <c r="CG51" i="5"/>
  <c r="BR51" i="5"/>
  <c r="BZ51" i="5"/>
  <c r="M51" i="5"/>
  <c r="T51" i="5"/>
  <c r="AB51" i="5"/>
  <c r="AI51" i="5"/>
  <c r="BF53" i="5"/>
  <c r="AC51" i="5"/>
  <c r="BV51" i="5"/>
  <c r="CC51" i="5"/>
  <c r="CK51" i="5"/>
  <c r="DE51" i="5"/>
  <c r="AS51" i="5"/>
  <c r="E51" i="5"/>
  <c r="AJ51" i="5"/>
  <c r="J51" i="5"/>
  <c r="X51" i="5"/>
  <c r="AE51" i="5"/>
  <c r="AM51" i="5"/>
  <c r="BP51" i="5"/>
  <c r="CL51" i="5"/>
  <c r="DP51" i="5"/>
  <c r="DX51" i="5"/>
  <c r="G16" i="5"/>
  <c r="CM51" i="5"/>
  <c r="O51" i="5"/>
  <c r="BM53" i="5"/>
  <c r="BU51" i="5"/>
  <c r="CB51" i="5"/>
  <c r="I51" i="5"/>
  <c r="W51" i="5"/>
  <c r="AD51" i="5"/>
  <c r="BG53" i="5"/>
  <c r="CQ51" i="5"/>
  <c r="DT51" i="5"/>
  <c r="EA51" i="5"/>
  <c r="G25" i="5"/>
  <c r="BO53" i="5"/>
  <c r="BN53" i="5"/>
  <c r="CD36" i="5"/>
  <c r="DD51" i="5"/>
  <c r="C51" i="5"/>
  <c r="EB16" i="5"/>
  <c r="ED51" i="5"/>
  <c r="EJ51" i="5"/>
  <c r="EI51" i="5"/>
  <c r="EK51" i="5"/>
  <c r="EN51" i="5"/>
  <c r="AP36" i="5"/>
  <c r="CE51" i="5"/>
  <c r="AO25" i="5"/>
  <c r="DZ25" i="5"/>
  <c r="AQ51" i="5"/>
  <c r="CF51" i="5"/>
  <c r="DN51" i="5"/>
  <c r="EB36" i="5"/>
  <c r="EO51" i="5"/>
  <c r="AW51" i="5"/>
  <c r="CR51" i="5"/>
  <c r="D51" i="5"/>
  <c r="D53" i="5" s="1"/>
  <c r="F51" i="5"/>
  <c r="F53" i="5" s="1"/>
  <c r="EG16" i="5"/>
  <c r="BZ25" i="5"/>
  <c r="L36" i="5"/>
  <c r="AF36" i="5"/>
  <c r="BT36" i="5"/>
  <c r="CK25" i="5"/>
  <c r="L16" i="5"/>
  <c r="H51" i="5"/>
  <c r="N51" i="5"/>
  <c r="U51" i="5"/>
  <c r="AN51" i="5"/>
  <c r="BA51" i="5"/>
  <c r="BH53" i="5"/>
  <c r="CJ51" i="5"/>
  <c r="DJ51" i="5"/>
  <c r="EL36" i="5"/>
  <c r="N25" i="5"/>
  <c r="AA36" i="5"/>
  <c r="Z51" i="5"/>
  <c r="U25" i="5"/>
  <c r="DW16" i="5"/>
  <c r="DW36" i="5"/>
  <c r="C25" i="5"/>
  <c r="V16" i="5"/>
  <c r="AU16" i="5"/>
  <c r="BT16" i="5"/>
  <c r="CS16" i="5"/>
  <c r="DX25" i="5"/>
  <c r="ED25" i="5"/>
  <c r="EJ25" i="5"/>
  <c r="EP25" i="5"/>
  <c r="J25" i="5"/>
  <c r="AH25" i="5"/>
  <c r="AT25" i="5"/>
  <c r="BR25" i="5"/>
  <c r="Q16" i="5"/>
  <c r="DF25" i="5"/>
  <c r="DY25" i="5"/>
  <c r="EE25" i="5"/>
  <c r="EK25" i="5"/>
  <c r="EQ16" i="5"/>
  <c r="K25" i="5"/>
  <c r="AI25" i="5"/>
  <c r="BS25" i="5"/>
  <c r="CE25" i="5"/>
  <c r="DO25" i="5"/>
  <c r="BQ51" i="5"/>
  <c r="BW51" i="5"/>
  <c r="DS51" i="5"/>
  <c r="DY51" i="5"/>
  <c r="EE51" i="5"/>
  <c r="Z25" i="5"/>
  <c r="AS25" i="5"/>
  <c r="I25" i="5"/>
  <c r="AG25" i="5"/>
  <c r="BY16" i="5"/>
  <c r="AK16" i="5"/>
  <c r="BP25" i="5"/>
  <c r="BV25" i="5"/>
  <c r="CB25" i="5"/>
  <c r="CH25" i="5"/>
  <c r="CU53" i="5"/>
  <c r="DA53" i="5"/>
  <c r="DG25" i="5"/>
  <c r="DS25" i="5"/>
  <c r="X25" i="5"/>
  <c r="AJ25" i="5"/>
  <c r="CF25" i="5"/>
  <c r="DD25" i="5"/>
  <c r="DP25" i="5"/>
  <c r="EN25" i="5"/>
  <c r="AX51" i="5"/>
  <c r="DF51" i="5"/>
  <c r="H25" i="5"/>
  <c r="T25" i="5"/>
  <c r="AM25" i="5"/>
  <c r="AY25" i="5"/>
  <c r="DU25" i="5"/>
  <c r="O25" i="5"/>
  <c r="AZ16" i="5"/>
  <c r="DV25" i="5"/>
  <c r="E25" i="5"/>
  <c r="AL25" i="5"/>
  <c r="AR25" i="5"/>
  <c r="AX25" i="5"/>
  <c r="BQ25" i="5"/>
  <c r="BW25" i="5"/>
  <c r="CC25" i="5"/>
  <c r="AL51" i="5"/>
  <c r="AR51" i="5"/>
  <c r="AY51" i="5"/>
  <c r="DG51" i="5"/>
  <c r="DQ51" i="5"/>
  <c r="BD51" i="5"/>
  <c r="CH51" i="5"/>
  <c r="DL51" i="5"/>
  <c r="EP51" i="5"/>
  <c r="M25" i="5"/>
  <c r="S25" i="5"/>
  <c r="Y25" i="5"/>
  <c r="AE25" i="5"/>
  <c r="AQ25" i="5"/>
  <c r="AW25" i="5"/>
  <c r="BU25" i="5"/>
  <c r="CA25" i="5"/>
  <c r="CG25" i="5"/>
  <c r="CM25" i="5"/>
  <c r="CY53" i="5"/>
  <c r="DE25" i="5"/>
  <c r="DQ25" i="5"/>
  <c r="EC25" i="5"/>
  <c r="EI25" i="5"/>
  <c r="EO25" i="5"/>
  <c r="P51" i="5"/>
  <c r="AT51" i="5"/>
  <c r="BX51" i="5"/>
  <c r="EF51" i="5"/>
  <c r="EQ224" i="3" l="1"/>
  <c r="EB224" i="3"/>
  <c r="EL224" i="3"/>
  <c r="EV224" i="3"/>
  <c r="EG224" i="3"/>
  <c r="FA24" i="7"/>
  <c r="FA26" i="7"/>
  <c r="FA224" i="3"/>
  <c r="G71" i="5"/>
  <c r="G72" i="5"/>
  <c r="BE60" i="5"/>
  <c r="BB53" i="5"/>
  <c r="CO53" i="5"/>
  <c r="DK53" i="5"/>
  <c r="CD16" i="7"/>
  <c r="EL26" i="7"/>
  <c r="EL54" i="7" s="1"/>
  <c r="BC53" i="5"/>
  <c r="EG31" i="7"/>
  <c r="EG20" i="7" s="1"/>
  <c r="EV18" i="7"/>
  <c r="EV16" i="7"/>
  <c r="EV24" i="7"/>
  <c r="EV26" i="7"/>
  <c r="EV31" i="7"/>
  <c r="EQ16" i="7"/>
  <c r="CP53" i="5"/>
  <c r="DI53" i="5"/>
  <c r="EM53" i="5"/>
  <c r="EG25" i="5"/>
  <c r="ER53" i="5"/>
  <c r="EQ60" i="5"/>
  <c r="Q25" i="5"/>
  <c r="EB25" i="5"/>
  <c r="BY25" i="5"/>
  <c r="BT21" i="7"/>
  <c r="AP60" i="5"/>
  <c r="DW16" i="7"/>
  <c r="DR18" i="7"/>
  <c r="DR49" i="7" s="1"/>
  <c r="EB28" i="7"/>
  <c r="CX16" i="7"/>
  <c r="AZ31" i="7"/>
  <c r="AZ36" i="7" s="1"/>
  <c r="BJ18" i="7"/>
  <c r="BJ49" i="7" s="1"/>
  <c r="DH16" i="7"/>
  <c r="DH24" i="7"/>
  <c r="EQ28" i="7"/>
  <c r="EQ18" i="7"/>
  <c r="EQ49" i="7" s="1"/>
  <c r="BE28" i="7"/>
  <c r="V29" i="7"/>
  <c r="CI29" i="7"/>
  <c r="EB16" i="7"/>
  <c r="Q18" i="7"/>
  <c r="Q49" i="7" s="1"/>
  <c r="DM31" i="7"/>
  <c r="DM36" i="7" s="1"/>
  <c r="AK60" i="5"/>
  <c r="AA24" i="7"/>
  <c r="AA16" i="7"/>
  <c r="BJ24" i="7"/>
  <c r="BT28" i="7"/>
  <c r="CS28" i="7"/>
  <c r="L29" i="7"/>
  <c r="EG29" i="7"/>
  <c r="CX24" i="7"/>
  <c r="EQ21" i="7"/>
  <c r="CN28" i="7"/>
  <c r="BT18" i="7"/>
  <c r="BT49" i="7" s="1"/>
  <c r="BT50" i="7" s="1"/>
  <c r="CI24" i="7"/>
  <c r="BE18" i="7"/>
  <c r="BE49" i="7" s="1"/>
  <c r="AK28" i="7"/>
  <c r="AP18" i="7"/>
  <c r="AP49" i="7" s="1"/>
  <c r="EL18" i="7"/>
  <c r="EL49" i="7" s="1"/>
  <c r="AK18" i="7"/>
  <c r="AK49" i="7" s="1"/>
  <c r="V24" i="7"/>
  <c r="AU26" i="7"/>
  <c r="AU54" i="7" s="1"/>
  <c r="AA21" i="7"/>
  <c r="V18" i="7"/>
  <c r="V49" i="7" s="1"/>
  <c r="AU31" i="7"/>
  <c r="AU36" i="7" s="1"/>
  <c r="DW26" i="7"/>
  <c r="DW54" i="7" s="1"/>
  <c r="BE24" i="7"/>
  <c r="AK16" i="7"/>
  <c r="DW28" i="7"/>
  <c r="Q28" i="7"/>
  <c r="CD29" i="7"/>
  <c r="EL31" i="7"/>
  <c r="EG18" i="7"/>
  <c r="EG49" i="7" s="1"/>
  <c r="V16" i="7"/>
  <c r="AP26" i="7"/>
  <c r="AP54" i="7" s="1"/>
  <c r="CS31" i="7"/>
  <c r="CS20" i="7" s="1"/>
  <c r="BE29" i="7"/>
  <c r="DW31" i="7"/>
  <c r="DW36" i="7" s="1"/>
  <c r="CI31" i="7"/>
  <c r="CI36" i="7" s="1"/>
  <c r="BE16" i="7"/>
  <c r="AP28" i="7"/>
  <c r="DM24" i="7"/>
  <c r="DW21" i="7"/>
  <c r="DH28" i="7"/>
  <c r="DR21" i="7"/>
  <c r="EB24" i="7"/>
  <c r="V26" i="7"/>
  <c r="V54" i="7" s="1"/>
  <c r="CS29" i="7"/>
  <c r="BE26" i="7"/>
  <c r="BE54" i="7" s="1"/>
  <c r="BJ55" i="7" s="1"/>
  <c r="DM16" i="7"/>
  <c r="EB26" i="7"/>
  <c r="EB54" i="7" s="1"/>
  <c r="AZ29" i="7"/>
  <c r="EL21" i="7"/>
  <c r="CS21" i="7"/>
  <c r="AP31" i="7"/>
  <c r="AP36" i="7" s="1"/>
  <c r="EB18" i="7"/>
  <c r="EB49" i="7" s="1"/>
  <c r="DM26" i="7"/>
  <c r="DM54" i="7" s="1"/>
  <c r="DH26" i="7"/>
  <c r="DH54" i="7" s="1"/>
  <c r="DH55" i="7" s="1"/>
  <c r="AP16" i="7"/>
  <c r="DM21" i="7"/>
  <c r="Q31" i="7"/>
  <c r="Q36" i="7" s="1"/>
  <c r="DR24" i="7"/>
  <c r="AP24" i="7"/>
  <c r="AK31" i="7"/>
  <c r="AK36" i="7" s="1"/>
  <c r="Q21" i="7"/>
  <c r="DH31" i="7"/>
  <c r="DH32" i="7" s="1"/>
  <c r="L18" i="7"/>
  <c r="L49" i="7" s="1"/>
  <c r="BE31" i="7"/>
  <c r="BY16" i="7"/>
  <c r="EB31" i="7"/>
  <c r="V31" i="7"/>
  <c r="AA34" i="7" s="1"/>
  <c r="AA44" i="7" s="1"/>
  <c r="DH21" i="7"/>
  <c r="CI26" i="7"/>
  <c r="CI54" i="7" s="1"/>
  <c r="Q26" i="7"/>
  <c r="Q54" i="7" s="1"/>
  <c r="BJ16" i="7"/>
  <c r="CD26" i="7"/>
  <c r="CD54" i="7" s="1"/>
  <c r="EQ31" i="7"/>
  <c r="BT24" i="7"/>
  <c r="L21" i="7"/>
  <c r="DW18" i="7"/>
  <c r="DW49" i="7" s="1"/>
  <c r="DH50" i="7"/>
  <c r="AA51" i="5"/>
  <c r="CJ53" i="5"/>
  <c r="W53" i="5"/>
  <c r="DW51" i="5"/>
  <c r="AK44" i="5"/>
  <c r="CN44" i="5"/>
  <c r="AU51" i="5"/>
  <c r="DR51" i="5"/>
  <c r="AA44" i="5"/>
  <c r="EB44" i="5"/>
  <c r="CD44" i="5"/>
  <c r="EB51" i="5"/>
  <c r="CN51" i="5"/>
  <c r="AC53" i="5"/>
  <c r="L51" i="5"/>
  <c r="EQ44" i="5"/>
  <c r="Q44" i="5"/>
  <c r="BA53" i="5"/>
  <c r="DN53" i="5"/>
  <c r="AP44" i="5"/>
  <c r="DT53" i="5"/>
  <c r="AF51" i="5"/>
  <c r="EH53" i="5"/>
  <c r="G44" i="5"/>
  <c r="V44" i="5"/>
  <c r="BY44" i="5"/>
  <c r="CK60" i="6"/>
  <c r="CK61" i="6" s="1"/>
  <c r="CJ63" i="6"/>
  <c r="Q51" i="5"/>
  <c r="CQ53" i="5"/>
  <c r="DH44" i="5"/>
  <c r="EG44" i="5"/>
  <c r="BE51" i="5"/>
  <c r="DH51" i="5"/>
  <c r="DW44" i="5"/>
  <c r="AN53" i="5"/>
  <c r="BT44" i="5"/>
  <c r="DM51" i="5"/>
  <c r="EL44" i="5"/>
  <c r="V51" i="5"/>
  <c r="AF44" i="5"/>
  <c r="CS51" i="5"/>
  <c r="AB53" i="5"/>
  <c r="AP51" i="5"/>
  <c r="R53" i="5"/>
  <c r="BT51" i="5"/>
  <c r="AZ44" i="5"/>
  <c r="CI44" i="5"/>
  <c r="BY51" i="5"/>
  <c r="EQ51" i="5"/>
  <c r="AZ51" i="5"/>
  <c r="EG51" i="5"/>
  <c r="CI51" i="5"/>
  <c r="DJ53" i="5"/>
  <c r="L44" i="5"/>
  <c r="EL51" i="5"/>
  <c r="AD53" i="5"/>
  <c r="CL53" i="5"/>
  <c r="AK51" i="5"/>
  <c r="CD51" i="5"/>
  <c r="AV53" i="5"/>
  <c r="AU44" i="5"/>
  <c r="DR44" i="5"/>
  <c r="CN24" i="7"/>
  <c r="DM29" i="7"/>
  <c r="EG24" i="7"/>
  <c r="AA26" i="7"/>
  <c r="AA54" i="7" s="1"/>
  <c r="AA18" i="7"/>
  <c r="AA49" i="7" s="1"/>
  <c r="AF26" i="7"/>
  <c r="AF54" i="7" s="1"/>
  <c r="CS18" i="7"/>
  <c r="CS49" i="7" s="1"/>
  <c r="L31" i="7"/>
  <c r="L34" i="7" s="1"/>
  <c r="AZ16" i="7"/>
  <c r="Q60" i="5"/>
  <c r="EQ26" i="7"/>
  <c r="EQ54" i="7" s="1"/>
  <c r="AK24" i="7"/>
  <c r="CD21" i="7"/>
  <c r="EG28" i="7"/>
  <c r="AA28" i="7"/>
  <c r="AZ26" i="7"/>
  <c r="AZ54" i="7" s="1"/>
  <c r="EL16" i="7"/>
  <c r="AU24" i="7"/>
  <c r="Q24" i="7"/>
  <c r="DR26" i="7"/>
  <c r="DR54" i="7" s="1"/>
  <c r="CD24" i="7"/>
  <c r="L26" i="7"/>
  <c r="L54" i="7" s="1"/>
  <c r="L55" i="7" s="1"/>
  <c r="CN16" i="7"/>
  <c r="AU18" i="7"/>
  <c r="AU49" i="7" s="1"/>
  <c r="EL29" i="7"/>
  <c r="AF24" i="7"/>
  <c r="L60" i="5"/>
  <c r="CS26" i="7"/>
  <c r="CS54" i="7" s="1"/>
  <c r="CX55" i="7" s="1"/>
  <c r="AA29" i="7"/>
  <c r="CN31" i="7"/>
  <c r="AF18" i="7"/>
  <c r="AF49" i="7" s="1"/>
  <c r="AU28" i="7"/>
  <c r="CS16" i="7"/>
  <c r="DR31" i="7"/>
  <c r="L28" i="7"/>
  <c r="CN18" i="7"/>
  <c r="CN49" i="7" s="1"/>
  <c r="BY31" i="7"/>
  <c r="BY36" i="7" s="1"/>
  <c r="AU16" i="7"/>
  <c r="EL24" i="7"/>
  <c r="AF28" i="7"/>
  <c r="AZ24" i="7"/>
  <c r="AF16" i="7"/>
  <c r="DW24" i="7"/>
  <c r="DR28" i="7"/>
  <c r="AZ18" i="7"/>
  <c r="AZ49" i="7" s="1"/>
  <c r="EQ24" i="7"/>
  <c r="BY26" i="7"/>
  <c r="BY54" i="7" s="1"/>
  <c r="AU21" i="7"/>
  <c r="EL28" i="7"/>
  <c r="EG26" i="7"/>
  <c r="EG54" i="7" s="1"/>
  <c r="BY18" i="7"/>
  <c r="BY49" i="7" s="1"/>
  <c r="CN26" i="7"/>
  <c r="CN54" i="7" s="1"/>
  <c r="EG16" i="7"/>
  <c r="CS24" i="7"/>
  <c r="CD31" i="7"/>
  <c r="CD20" i="7" s="1"/>
  <c r="AK26" i="7"/>
  <c r="AK54" i="7" s="1"/>
  <c r="CD18" i="7"/>
  <c r="CD49" i="7" s="1"/>
  <c r="BT31" i="7"/>
  <c r="BT32" i="7" s="1"/>
  <c r="BY24" i="7"/>
  <c r="CI16" i="7"/>
  <c r="AF31" i="7"/>
  <c r="BY28" i="7"/>
  <c r="CI18" i="7"/>
  <c r="CI49" i="7" s="1"/>
  <c r="DR16" i="7"/>
  <c r="BT26" i="7"/>
  <c r="BT54" i="7" s="1"/>
  <c r="BT55" i="7" s="1"/>
  <c r="Q16" i="7"/>
  <c r="AO60" i="6"/>
  <c r="AO61" i="6" s="1"/>
  <c r="AN63" i="6"/>
  <c r="V60" i="5"/>
  <c r="AQ53" i="5"/>
  <c r="AA20" i="7"/>
  <c r="AU60" i="5"/>
  <c r="AH53" i="5"/>
  <c r="DM50" i="7"/>
  <c r="DC55" i="7"/>
  <c r="BO55" i="7"/>
  <c r="DC50" i="7"/>
  <c r="AA60" i="5"/>
  <c r="AA36" i="7"/>
  <c r="AF60" i="5"/>
  <c r="BT60" i="5"/>
  <c r="AZ60" i="5"/>
  <c r="EL60" i="5"/>
  <c r="CS60" i="5"/>
  <c r="DH60" i="5"/>
  <c r="EB60" i="5"/>
  <c r="CN60" i="5"/>
  <c r="EG60" i="5"/>
  <c r="DM60" i="5"/>
  <c r="CD60" i="5"/>
  <c r="AG53" i="5"/>
  <c r="G60" i="5"/>
  <c r="DW60" i="5"/>
  <c r="DR60" i="5"/>
  <c r="CG53" i="5"/>
  <c r="DZ53" i="5"/>
  <c r="BY60" i="5"/>
  <c r="CI60" i="5"/>
  <c r="CA53" i="5"/>
  <c r="BZ53" i="5"/>
  <c r="DU53" i="5"/>
  <c r="EC53" i="5"/>
  <c r="DO53" i="5"/>
  <c r="DE53" i="5"/>
  <c r="Y53" i="5"/>
  <c r="G66" i="5"/>
  <c r="G65" i="5"/>
  <c r="S53" i="5"/>
  <c r="M53" i="5"/>
  <c r="AM53" i="5"/>
  <c r="T53" i="5"/>
  <c r="AX53" i="5"/>
  <c r="O53" i="5"/>
  <c r="BR53" i="5"/>
  <c r="BQ53" i="5"/>
  <c r="BP53" i="5"/>
  <c r="BU53" i="5"/>
  <c r="BV53" i="5"/>
  <c r="E53" i="5"/>
  <c r="AI53" i="5"/>
  <c r="CF53" i="5"/>
  <c r="CK53" i="5"/>
  <c r="X53" i="5"/>
  <c r="AS53" i="5"/>
  <c r="J53" i="5"/>
  <c r="DD53" i="5"/>
  <c r="CB53" i="5"/>
  <c r="CE53" i="5"/>
  <c r="C53" i="5"/>
  <c r="CZ53" i="5"/>
  <c r="AR53" i="5"/>
  <c r="DP53" i="5"/>
  <c r="DS53" i="5"/>
  <c r="DX53" i="5"/>
  <c r="DY53" i="5"/>
  <c r="ED53" i="5"/>
  <c r="DW25" i="5"/>
  <c r="DV53" i="5"/>
  <c r="BE25" i="5"/>
  <c r="BD53" i="5"/>
  <c r="H53" i="5"/>
  <c r="CS25" i="5"/>
  <c r="CR53" i="5"/>
  <c r="AA25" i="5"/>
  <c r="Z53" i="5"/>
  <c r="DM25" i="5"/>
  <c r="DL53" i="5"/>
  <c r="V25" i="5"/>
  <c r="U53" i="5"/>
  <c r="DR25" i="5"/>
  <c r="DQ53" i="5"/>
  <c r="L25" i="5"/>
  <c r="K53" i="5"/>
  <c r="DF53" i="5"/>
  <c r="CW53" i="5"/>
  <c r="BX53" i="5"/>
  <c r="AF25" i="5"/>
  <c r="AE53" i="5"/>
  <c r="DH25" i="5"/>
  <c r="DG53" i="5"/>
  <c r="EA53" i="5"/>
  <c r="CX53" i="5"/>
  <c r="BT25" i="5"/>
  <c r="BS53" i="5"/>
  <c r="BJ53" i="5"/>
  <c r="BI53" i="5"/>
  <c r="AK25" i="5"/>
  <c r="AJ53" i="5"/>
  <c r="AU25" i="5"/>
  <c r="AT53" i="5"/>
  <c r="CN25" i="5"/>
  <c r="CM53" i="5"/>
  <c r="AW53" i="5"/>
  <c r="CD25" i="5"/>
  <c r="CC53" i="5"/>
  <c r="AL53" i="5"/>
  <c r="AZ25" i="5"/>
  <c r="AY53" i="5"/>
  <c r="I53" i="5"/>
  <c r="CT53" i="5"/>
  <c r="AP25" i="5"/>
  <c r="AO53" i="5"/>
  <c r="P53" i="5"/>
  <c r="DB53" i="5"/>
  <c r="CI25" i="5"/>
  <c r="CH53" i="5"/>
  <c r="BW53" i="5"/>
  <c r="BK53" i="5"/>
  <c r="N53" i="5"/>
  <c r="DC53" i="5"/>
  <c r="EE53" i="5"/>
  <c r="EF53" i="5"/>
  <c r="EJ53" i="5"/>
  <c r="EI53" i="5"/>
  <c r="EL25" i="5"/>
  <c r="EK53" i="5"/>
  <c r="EO53" i="5"/>
  <c r="EN53" i="5"/>
  <c r="EQ25" i="5"/>
  <c r="EP53" i="5"/>
  <c r="G51" i="5"/>
  <c r="FA32" i="7" l="1"/>
  <c r="FA34" i="7"/>
  <c r="FA44" i="7" s="1"/>
  <c r="EG36" i="7"/>
  <c r="EL55" i="7"/>
  <c r="EQ55" i="7"/>
  <c r="EG32" i="7"/>
  <c r="EL34" i="7"/>
  <c r="EV20" i="7"/>
  <c r="EV32" i="7"/>
  <c r="EV34" i="7"/>
  <c r="EG34" i="7"/>
  <c r="EG44" i="7" s="1"/>
  <c r="CX32" i="7"/>
  <c r="DM34" i="7"/>
  <c r="DM44" i="7" s="1"/>
  <c r="EB53" i="5"/>
  <c r="DR50" i="7"/>
  <c r="CS32" i="7"/>
  <c r="DM32" i="7"/>
  <c r="DM20" i="7"/>
  <c r="AP20" i="7"/>
  <c r="CN32" i="7"/>
  <c r="DH36" i="7"/>
  <c r="AZ20" i="7"/>
  <c r="BJ50" i="7"/>
  <c r="Q20" i="7"/>
  <c r="DR34" i="7"/>
  <c r="DR44" i="7" s="1"/>
  <c r="DH34" i="7"/>
  <c r="DH44" i="7" s="1"/>
  <c r="DH45" i="7" s="1"/>
  <c r="CI20" i="7"/>
  <c r="EL32" i="7"/>
  <c r="DW20" i="7"/>
  <c r="BO50" i="7"/>
  <c r="EL36" i="7"/>
  <c r="EL20" i="7"/>
  <c r="BE34" i="7"/>
  <c r="BE44" i="7" s="1"/>
  <c r="V36" i="7"/>
  <c r="EQ34" i="7"/>
  <c r="EQ44" i="7" s="1"/>
  <c r="L32" i="7"/>
  <c r="CD34" i="7"/>
  <c r="CD44" i="7" s="1"/>
  <c r="L36" i="7"/>
  <c r="L20" i="7"/>
  <c r="V34" i="7"/>
  <c r="V44" i="7" s="1"/>
  <c r="AU55" i="7"/>
  <c r="AU32" i="7"/>
  <c r="EB55" i="7"/>
  <c r="AA55" i="7"/>
  <c r="CS36" i="7"/>
  <c r="V20" i="7"/>
  <c r="AK32" i="7"/>
  <c r="AZ32" i="7"/>
  <c r="AZ34" i="7"/>
  <c r="AZ44" i="7" s="1"/>
  <c r="AK20" i="7"/>
  <c r="CX34" i="7"/>
  <c r="CX44" i="7" s="1"/>
  <c r="DC45" i="7" s="1"/>
  <c r="EQ36" i="7"/>
  <c r="EB36" i="7"/>
  <c r="AU20" i="7"/>
  <c r="V50" i="7"/>
  <c r="BY20" i="7"/>
  <c r="Q53" i="5"/>
  <c r="EB20" i="7"/>
  <c r="AP32" i="7"/>
  <c r="AU34" i="7"/>
  <c r="AU44" i="7" s="1"/>
  <c r="AK34" i="7"/>
  <c r="AK44" i="7" s="1"/>
  <c r="V32" i="7"/>
  <c r="AP34" i="7"/>
  <c r="AP44" i="7" s="1"/>
  <c r="EQ20" i="7"/>
  <c r="AA32" i="7"/>
  <c r="EQ50" i="7"/>
  <c r="Q34" i="7"/>
  <c r="Q44" i="7" s="1"/>
  <c r="EQ32" i="7"/>
  <c r="BE20" i="7"/>
  <c r="BE32" i="7"/>
  <c r="EB32" i="7"/>
  <c r="CN34" i="7"/>
  <c r="CN44" i="7" s="1"/>
  <c r="DH20" i="7"/>
  <c r="BJ32" i="7"/>
  <c r="CN20" i="7"/>
  <c r="AP50" i="7"/>
  <c r="BE36" i="7"/>
  <c r="BJ34" i="7"/>
  <c r="BJ44" i="7" s="1"/>
  <c r="EB34" i="7"/>
  <c r="EB44" i="7" s="1"/>
  <c r="CN36" i="7"/>
  <c r="CS34" i="7"/>
  <c r="CS44" i="7" s="1"/>
  <c r="EL50" i="7"/>
  <c r="CI32" i="7"/>
  <c r="BE55" i="7"/>
  <c r="CI55" i="7"/>
  <c r="AA50" i="7"/>
  <c r="EB50" i="7"/>
  <c r="Q50" i="7"/>
  <c r="EG50" i="7"/>
  <c r="DM55" i="7"/>
  <c r="AF55" i="7"/>
  <c r="V55" i="7"/>
  <c r="DW50" i="7"/>
  <c r="L50" i="7"/>
  <c r="DR55" i="7"/>
  <c r="AK55" i="7"/>
  <c r="AK53" i="5"/>
  <c r="DR53" i="5"/>
  <c r="EQ53" i="5"/>
  <c r="DR36" i="7"/>
  <c r="DW34" i="7"/>
  <c r="DW44" i="7" s="1"/>
  <c r="CN50" i="7"/>
  <c r="EG53" i="5"/>
  <c r="V53" i="5"/>
  <c r="CS53" i="5"/>
  <c r="AK50" i="7"/>
  <c r="CK63" i="6"/>
  <c r="CL60" i="6"/>
  <c r="CL61" i="6" s="1"/>
  <c r="AA53" i="5"/>
  <c r="DW53" i="5"/>
  <c r="BE50" i="7"/>
  <c r="CN53" i="5"/>
  <c r="DR32" i="7"/>
  <c r="AF50" i="7"/>
  <c r="AP53" i="5"/>
  <c r="AU53" i="5"/>
  <c r="BT53" i="5"/>
  <c r="L53" i="5"/>
  <c r="DM53" i="5"/>
  <c r="CD36" i="7"/>
  <c r="Q32" i="7"/>
  <c r="CS50" i="7"/>
  <c r="AU50" i="7"/>
  <c r="CX50" i="7"/>
  <c r="BY50" i="7"/>
  <c r="AZ53" i="5"/>
  <c r="DH53" i="5"/>
  <c r="G53" i="5"/>
  <c r="EL53" i="5"/>
  <c r="CI53" i="5"/>
  <c r="CD53" i="5"/>
  <c r="BY53" i="5"/>
  <c r="AF53" i="5"/>
  <c r="BE53" i="5"/>
  <c r="CD32" i="7"/>
  <c r="EG55" i="7"/>
  <c r="CS55" i="7"/>
  <c r="AP55" i="7"/>
  <c r="AZ55" i="7"/>
  <c r="CN55" i="7"/>
  <c r="DR20" i="7"/>
  <c r="DW32" i="7"/>
  <c r="Q55" i="7"/>
  <c r="BY55" i="7"/>
  <c r="CI50" i="7"/>
  <c r="BY32" i="7"/>
  <c r="CD55" i="7"/>
  <c r="BT36" i="7"/>
  <c r="BT34" i="7"/>
  <c r="BT44" i="7" s="1"/>
  <c r="BT45" i="7" s="1"/>
  <c r="AF36" i="7"/>
  <c r="BT20" i="7"/>
  <c r="AF20" i="7"/>
  <c r="BY34" i="7"/>
  <c r="BY44" i="7" s="1"/>
  <c r="AZ50" i="7"/>
  <c r="CD50" i="7"/>
  <c r="CI34" i="7"/>
  <c r="CI44" i="7" s="1"/>
  <c r="AF32" i="7"/>
  <c r="DW55" i="7"/>
  <c r="AF34" i="7"/>
  <c r="AF44" i="7" s="1"/>
  <c r="AF45" i="7" s="1"/>
  <c r="AO63" i="6"/>
  <c r="AQ60" i="6"/>
  <c r="EQ41" i="7"/>
  <c r="CS41" i="7"/>
  <c r="V41" i="7"/>
  <c r="AF41" i="7"/>
  <c r="EL41" i="7"/>
  <c r="EL44" i="7"/>
  <c r="L41" i="7"/>
  <c r="L44" i="7"/>
  <c r="L45" i="7" s="1"/>
  <c r="BE41" i="7"/>
  <c r="BY41" i="7"/>
  <c r="BT41" i="7"/>
  <c r="BO41" i="7"/>
  <c r="EG41" i="7"/>
  <c r="EL45" i="7" l="1"/>
  <c r="DR45" i="7"/>
  <c r="DM45" i="7"/>
  <c r="AP45" i="7"/>
  <c r="DW45" i="7"/>
  <c r="V45" i="7"/>
  <c r="AU45" i="7"/>
  <c r="AZ45" i="7"/>
  <c r="BE45" i="7"/>
  <c r="CN45" i="7"/>
  <c r="CS45" i="7"/>
  <c r="EB45" i="7"/>
  <c r="CL63" i="6"/>
  <c r="CM60" i="6"/>
  <c r="CM61" i="6" s="1"/>
  <c r="CI45" i="7"/>
  <c r="AU60" i="6"/>
  <c r="AU61" i="6" s="1"/>
  <c r="AU63" i="6" s="1"/>
  <c r="AQ61" i="6"/>
  <c r="EG45" i="7"/>
  <c r="AA45" i="7"/>
  <c r="BY45" i="7"/>
  <c r="AK45" i="7"/>
  <c r="CX45" i="7"/>
  <c r="EQ45" i="7"/>
  <c r="CD45" i="7"/>
  <c r="BJ45" i="7"/>
  <c r="BO45" i="7"/>
  <c r="Q45" i="7"/>
  <c r="CM63" i="6" l="1"/>
  <c r="CO60" i="6"/>
  <c r="AQ63" i="6"/>
  <c r="AR60" i="6"/>
  <c r="AR61" i="6" s="1"/>
  <c r="CS60" i="6" l="1"/>
  <c r="CS61" i="6" s="1"/>
  <c r="CS63" i="6" s="1"/>
  <c r="CO61" i="6"/>
  <c r="AS60" i="6"/>
  <c r="AS61" i="6" s="1"/>
  <c r="AR63" i="6"/>
  <c r="CP60" i="6" l="1"/>
  <c r="CP61" i="6" s="1"/>
  <c r="CO63" i="6"/>
  <c r="AS63" i="6"/>
  <c r="AT60" i="6"/>
  <c r="AT61" i="6" s="1"/>
  <c r="CQ60" i="6" l="1"/>
  <c r="CQ61" i="6" s="1"/>
  <c r="CP63" i="6"/>
  <c r="AT63" i="6"/>
  <c r="AV60" i="6"/>
  <c r="CQ63" i="6" l="1"/>
  <c r="CR60" i="6"/>
  <c r="CR61" i="6" s="1"/>
  <c r="AZ60" i="6"/>
  <c r="AZ61" i="6" s="1"/>
  <c r="AZ63" i="6" s="1"/>
  <c r="AV61" i="6"/>
  <c r="CR63" i="6" l="1"/>
  <c r="CT60" i="6"/>
  <c r="AW60" i="6"/>
  <c r="AW61" i="6" s="1"/>
  <c r="AV63" i="6"/>
  <c r="CX60" i="6" l="1"/>
  <c r="CX61" i="6" s="1"/>
  <c r="CX63" i="6" s="1"/>
  <c r="CT61" i="6"/>
  <c r="AX60" i="6"/>
  <c r="AX61" i="6" s="1"/>
  <c r="AW63" i="6"/>
  <c r="CT63" i="6" l="1"/>
  <c r="CU60" i="6"/>
  <c r="CU61" i="6" s="1"/>
  <c r="AY60" i="6"/>
  <c r="AY61" i="6" s="1"/>
  <c r="AX63" i="6"/>
  <c r="CV60" i="6" l="1"/>
  <c r="CV61" i="6" s="1"/>
  <c r="CU63" i="6"/>
  <c r="AY63" i="6"/>
  <c r="BA60" i="6"/>
  <c r="CW60" i="6" l="1"/>
  <c r="CW61" i="6" s="1"/>
  <c r="CV63" i="6"/>
  <c r="BE60" i="6"/>
  <c r="BE61" i="6" s="1"/>
  <c r="BE63" i="6" s="1"/>
  <c r="BA61" i="6"/>
  <c r="CW63" i="6" l="1"/>
  <c r="CY60" i="6"/>
  <c r="BA63" i="6"/>
  <c r="BB60" i="6"/>
  <c r="BB61" i="6" s="1"/>
  <c r="BB63" i="6" s="1"/>
  <c r="CY61" i="6" l="1"/>
  <c r="DC60" i="6"/>
  <c r="DC61" i="6" s="1"/>
  <c r="DC63" i="6" s="1"/>
  <c r="CZ60" i="6" l="1"/>
  <c r="CZ61" i="6" s="1"/>
  <c r="CY63" i="6"/>
  <c r="CZ63" i="6" l="1"/>
  <c r="DA60" i="6"/>
  <c r="DA61" i="6" s="1"/>
  <c r="DB60" i="6" l="1"/>
  <c r="DB61" i="6" s="1"/>
  <c r="DA63" i="6"/>
  <c r="DB63" i="6" l="1"/>
  <c r="DD60" i="6"/>
  <c r="DH60" i="6" l="1"/>
  <c r="DH61" i="6" s="1"/>
  <c r="DH63" i="6" s="1"/>
  <c r="DD61" i="6"/>
  <c r="DE60" i="6" l="1"/>
  <c r="DE61" i="6" s="1"/>
  <c r="DD63" i="6"/>
  <c r="DE63" i="6" l="1"/>
  <c r="DF60" i="6"/>
  <c r="DF61" i="6" s="1"/>
  <c r="DF63" i="6" l="1"/>
  <c r="DG60" i="6"/>
  <c r="DG61" i="6" s="1"/>
  <c r="DG63" i="6" l="1"/>
  <c r="DI60" i="6"/>
  <c r="DM60" i="6" l="1"/>
  <c r="DM61" i="6" s="1"/>
  <c r="DM63" i="6" s="1"/>
  <c r="DI61" i="6"/>
  <c r="DI63" i="6" l="1"/>
  <c r="DJ60" i="6"/>
  <c r="DJ61" i="6" s="1"/>
  <c r="DK60" i="6" l="1"/>
  <c r="DK61" i="6" s="1"/>
  <c r="DJ63" i="6"/>
  <c r="DL60" i="6" l="1"/>
  <c r="DL61" i="6" s="1"/>
  <c r="DK63" i="6"/>
  <c r="DL63" i="6" l="1"/>
  <c r="DN60" i="6"/>
  <c r="DR60" i="6" l="1"/>
  <c r="DR61" i="6" s="1"/>
  <c r="DR63" i="6" s="1"/>
  <c r="DN61" i="6"/>
  <c r="DO60" i="6" l="1"/>
  <c r="DO61" i="6" s="1"/>
  <c r="DN63" i="6"/>
  <c r="DO63" i="6" l="1"/>
  <c r="DP60" i="6"/>
  <c r="DP61" i="6" s="1"/>
  <c r="DP63" i="6" l="1"/>
  <c r="DQ60" i="6"/>
  <c r="DQ61" i="6" s="1"/>
  <c r="DQ63" i="6" l="1"/>
  <c r="DS60" i="6"/>
  <c r="DW60" i="6" l="1"/>
  <c r="DW61" i="6" s="1"/>
  <c r="DW63" i="6" s="1"/>
  <c r="DS61" i="6"/>
  <c r="DS63" i="6" l="1"/>
  <c r="DT60" i="6"/>
  <c r="DT61" i="6" s="1"/>
  <c r="DT63" i="6" l="1"/>
  <c r="DU60" i="6"/>
  <c r="DU61" i="6" s="1"/>
  <c r="DV60" i="6" l="1"/>
  <c r="DV61" i="6" s="1"/>
  <c r="DU63" i="6"/>
  <c r="DV63" i="6" l="1"/>
  <c r="DX60" i="6"/>
  <c r="EB60" i="6" l="1"/>
  <c r="EB61" i="6" s="1"/>
  <c r="EB63" i="6" s="1"/>
  <c r="DX61" i="6"/>
  <c r="DX63" i="6" l="1"/>
  <c r="DY60" i="6"/>
  <c r="DY61" i="6" s="1"/>
  <c r="DZ60" i="6" l="1"/>
  <c r="DZ61" i="6" s="1"/>
  <c r="DY63" i="6"/>
  <c r="DH19" i="11"/>
  <c r="DM19" i="11" s="1"/>
  <c r="DR19" i="11" s="1"/>
  <c r="DW19" i="11" s="1"/>
  <c r="EB19" i="11" s="1"/>
  <c r="EG19" i="11" s="1"/>
  <c r="EL19" i="11" s="1"/>
  <c r="EQ19" i="11" s="1"/>
  <c r="DK18" i="11"/>
  <c r="DJ18" i="11"/>
  <c r="DI18" i="11"/>
  <c r="DG18" i="11"/>
  <c r="DF18" i="11"/>
  <c r="DE18" i="11"/>
  <c r="DD18" i="11"/>
  <c r="DB18" i="11"/>
  <c r="DA18" i="11"/>
  <c r="CZ18" i="11"/>
  <c r="CY18" i="11"/>
  <c r="CW18" i="11"/>
  <c r="CV18" i="11"/>
  <c r="CU18" i="11"/>
  <c r="CT18" i="11"/>
  <c r="CR18" i="11"/>
  <c r="CQ18" i="11"/>
  <c r="CP18" i="11"/>
  <c r="CO18" i="11"/>
  <c r="G15" i="11"/>
  <c r="F15" i="11"/>
  <c r="E15" i="11"/>
  <c r="D15" i="11"/>
  <c r="C15" i="11"/>
  <c r="GE13" i="11"/>
  <c r="GD13" i="11"/>
  <c r="GC13" i="11"/>
  <c r="GB13" i="11"/>
  <c r="GA13" i="11"/>
  <c r="FZ13" i="11"/>
  <c r="FY13" i="11"/>
  <c r="FX13" i="11"/>
  <c r="FW13" i="11"/>
  <c r="FV13" i="11"/>
  <c r="FU13" i="11"/>
  <c r="FT13" i="11"/>
  <c r="FS13" i="11"/>
  <c r="FR13" i="11"/>
  <c r="FQ13" i="11"/>
  <c r="FP13" i="11"/>
  <c r="FO13" i="11"/>
  <c r="FN13" i="11"/>
  <c r="FM13" i="11"/>
  <c r="FL13" i="11"/>
  <c r="FK13" i="11"/>
  <c r="FJ13" i="11"/>
  <c r="FI13" i="11"/>
  <c r="FH13" i="11"/>
  <c r="FG13" i="11"/>
  <c r="FF13" i="11"/>
  <c r="FE13" i="11"/>
  <c r="FD13" i="11"/>
  <c r="FC13" i="11"/>
  <c r="FB13" i="11"/>
  <c r="FA13" i="11"/>
  <c r="EZ13" i="11"/>
  <c r="EY13" i="11"/>
  <c r="EX13" i="11"/>
  <c r="EW13" i="11"/>
  <c r="EV13" i="11"/>
  <c r="EU13" i="11"/>
  <c r="ET13" i="11"/>
  <c r="ES13" i="11"/>
  <c r="ER13" i="11"/>
  <c r="EQ13" i="11"/>
  <c r="EP13" i="11"/>
  <c r="EO13" i="11"/>
  <c r="EN13" i="11"/>
  <c r="EM13" i="11"/>
  <c r="EL13" i="11"/>
  <c r="EK13" i="11"/>
  <c r="EJ13" i="11"/>
  <c r="EI13" i="11"/>
  <c r="EH13" i="11"/>
  <c r="EG13" i="11"/>
  <c r="EF13" i="11"/>
  <c r="EE13" i="11"/>
  <c r="ED13" i="11"/>
  <c r="EC13" i="11"/>
  <c r="EB13" i="11"/>
  <c r="EA13" i="11"/>
  <c r="DZ13" i="11"/>
  <c r="DY13" i="11"/>
  <c r="DX13" i="11"/>
  <c r="DW13" i="11"/>
  <c r="DV13" i="11"/>
  <c r="DU13" i="11"/>
  <c r="DT13" i="11"/>
  <c r="DS13" i="11"/>
  <c r="DR13" i="11"/>
  <c r="DQ13" i="11"/>
  <c r="DP13" i="11"/>
  <c r="DO13" i="11"/>
  <c r="DN13" i="11"/>
  <c r="DM13" i="11"/>
  <c r="DL13" i="11"/>
  <c r="DK13" i="11"/>
  <c r="DJ13" i="11"/>
  <c r="DI13" i="11"/>
  <c r="DH13" i="11"/>
  <c r="DG13" i="11"/>
  <c r="DF13" i="11"/>
  <c r="DE13" i="11"/>
  <c r="DD13" i="11"/>
  <c r="DC13" i="11"/>
  <c r="DB13" i="11"/>
  <c r="DA13" i="11"/>
  <c r="CZ13" i="11"/>
  <c r="CY13" i="11"/>
  <c r="CX13" i="11"/>
  <c r="CW13" i="11"/>
  <c r="CV13" i="11"/>
  <c r="CU13" i="11"/>
  <c r="CT13" i="11"/>
  <c r="CS13" i="11"/>
  <c r="CR13" i="11"/>
  <c r="CQ13" i="11"/>
  <c r="CP13" i="11"/>
  <c r="CO13" i="11"/>
  <c r="CN13" i="11"/>
  <c r="CM13" i="11"/>
  <c r="CL13" i="11"/>
  <c r="CK13" i="11"/>
  <c r="CJ13" i="11"/>
  <c r="CI13" i="11"/>
  <c r="CH13" i="11"/>
  <c r="CG13" i="11"/>
  <c r="CF13" i="11"/>
  <c r="CE13" i="11"/>
  <c r="CD13" i="11"/>
  <c r="CC13" i="11"/>
  <c r="CB13" i="11"/>
  <c r="CA13" i="11"/>
  <c r="BZ13" i="11"/>
  <c r="BY13" i="11"/>
  <c r="BX13" i="11"/>
  <c r="BW13" i="11"/>
  <c r="BV13" i="11"/>
  <c r="BU13" i="11"/>
  <c r="BT13" i="11"/>
  <c r="BS13" i="11"/>
  <c r="BR13" i="11"/>
  <c r="BQ13" i="11"/>
  <c r="BP13" i="11"/>
  <c r="BO13" i="11"/>
  <c r="BN13" i="11"/>
  <c r="BM13" i="11"/>
  <c r="BL13" i="11"/>
  <c r="BK13" i="11"/>
  <c r="BJ13" i="11"/>
  <c r="BI13" i="11"/>
  <c r="BH13" i="11"/>
  <c r="BG13" i="11"/>
  <c r="BF13" i="11"/>
  <c r="BE13" i="11"/>
  <c r="BD13" i="11"/>
  <c r="BC13" i="11"/>
  <c r="BB13" i="11"/>
  <c r="BA13" i="11"/>
  <c r="AZ13" i="11"/>
  <c r="AY13" i="11"/>
  <c r="AX13" i="11"/>
  <c r="AW13" i="11"/>
  <c r="AV13" i="11"/>
  <c r="AU13" i="11"/>
  <c r="AT13" i="11"/>
  <c r="AS13" i="11"/>
  <c r="AR13" i="11"/>
  <c r="AQ13" i="11"/>
  <c r="AP13" i="11"/>
  <c r="AO13" i="11"/>
  <c r="AN13" i="11"/>
  <c r="AM13" i="11"/>
  <c r="AL13" i="11"/>
  <c r="AK13" i="11"/>
  <c r="AJ13" i="11"/>
  <c r="AI13" i="11"/>
  <c r="AH13" i="11"/>
  <c r="AG13" i="11"/>
  <c r="AF13" i="11"/>
  <c r="AE13" i="11"/>
  <c r="AD13" i="11"/>
  <c r="AC13" i="11"/>
  <c r="AB13" i="11"/>
  <c r="AA13" i="11"/>
  <c r="Z13" i="11"/>
  <c r="Y13" i="11"/>
  <c r="X13" i="11"/>
  <c r="W13" i="11"/>
  <c r="V13" i="11"/>
  <c r="U13" i="11"/>
  <c r="T13" i="11"/>
  <c r="S13" i="11"/>
  <c r="R13" i="11"/>
  <c r="Q13" i="11"/>
  <c r="P13" i="11"/>
  <c r="O13" i="11"/>
  <c r="N13" i="11"/>
  <c r="M13" i="11"/>
  <c r="L13" i="11"/>
  <c r="K13" i="11"/>
  <c r="J13" i="11"/>
  <c r="I13" i="11"/>
  <c r="H13" i="11"/>
  <c r="G13" i="11"/>
  <c r="F13" i="11"/>
  <c r="E13" i="11"/>
  <c r="D13" i="11"/>
  <c r="C13" i="11"/>
  <c r="D11" i="11"/>
  <c r="D14" i="11" s="1"/>
  <c r="C5" i="11"/>
  <c r="C8" i="42" l="1"/>
  <c r="C8" i="8"/>
  <c r="C8" i="30"/>
  <c r="C8" i="2"/>
  <c r="C8" i="29"/>
  <c r="DZ63" i="6"/>
  <c r="EA60" i="6"/>
  <c r="EA61" i="6" s="1"/>
  <c r="EV19" i="11"/>
  <c r="FA19" i="11" s="1"/>
  <c r="FF19" i="11" s="1"/>
  <c r="FK19" i="11" s="1"/>
  <c r="FP19" i="11" s="1"/>
  <c r="FU19" i="11" s="1"/>
  <c r="FZ19" i="11" s="1"/>
  <c r="GE19" i="11" s="1"/>
  <c r="GJ19" i="11" s="1"/>
  <c r="GO19" i="11" s="1"/>
  <c r="GT19" i="11" s="1"/>
  <c r="C8" i="7"/>
  <c r="C8" i="18"/>
  <c r="C8" i="17"/>
  <c r="C8" i="15"/>
  <c r="C8" i="14"/>
  <c r="C8" i="3"/>
  <c r="C8" i="6"/>
  <c r="C8" i="5"/>
  <c r="E11" i="11"/>
  <c r="F11" i="11" s="1"/>
  <c r="D5" i="11"/>
  <c r="D8" i="42" l="1"/>
  <c r="EC60" i="6"/>
  <c r="EA63" i="6"/>
  <c r="D8" i="8"/>
  <c r="D8" i="2"/>
  <c r="D8" i="30"/>
  <c r="D8" i="29"/>
  <c r="D8" i="7"/>
  <c r="D8" i="18"/>
  <c r="D8" i="17"/>
  <c r="D8" i="15"/>
  <c r="D8" i="14"/>
  <c r="D8" i="3"/>
  <c r="D8" i="6"/>
  <c r="D8" i="5"/>
  <c r="D70" i="5" s="1"/>
  <c r="E14" i="11"/>
  <c r="E5" i="11"/>
  <c r="F14" i="11"/>
  <c r="H11" i="11"/>
  <c r="G11" i="11"/>
  <c r="C3" i="11" s="1"/>
  <c r="F5" i="11"/>
  <c r="C6" i="42" l="1"/>
  <c r="F8" i="42"/>
  <c r="E8" i="42"/>
  <c r="F8" i="8"/>
  <c r="F8" i="30"/>
  <c r="F8" i="2"/>
  <c r="F8" i="29"/>
  <c r="C6" i="29"/>
  <c r="C6" i="8"/>
  <c r="C6" i="2"/>
  <c r="C6" i="30"/>
  <c r="E8" i="8"/>
  <c r="E8" i="2"/>
  <c r="E8" i="30"/>
  <c r="E8" i="29"/>
  <c r="EG60" i="6"/>
  <c r="EG61" i="6" s="1"/>
  <c r="EG63" i="6" s="1"/>
  <c r="EC61" i="6"/>
  <c r="E8" i="7"/>
  <c r="F8" i="7"/>
  <c r="C6" i="7"/>
  <c r="F8" i="18"/>
  <c r="F8" i="15"/>
  <c r="F8" i="14"/>
  <c r="F8" i="17"/>
  <c r="F8" i="3"/>
  <c r="F8" i="6"/>
  <c r="F8" i="5"/>
  <c r="C6" i="18"/>
  <c r="C6" i="17"/>
  <c r="C6" i="15"/>
  <c r="C6" i="14"/>
  <c r="C6" i="3"/>
  <c r="C6" i="6"/>
  <c r="C6" i="5"/>
  <c r="E8" i="18"/>
  <c r="E8" i="15"/>
  <c r="E8" i="14"/>
  <c r="E8" i="17"/>
  <c r="E8" i="3"/>
  <c r="E8" i="6"/>
  <c r="E8" i="5"/>
  <c r="E70" i="5" s="1"/>
  <c r="D64" i="5"/>
  <c r="D82" i="5"/>
  <c r="D81" i="5" s="1"/>
  <c r="G5" i="11"/>
  <c r="E4" i="11"/>
  <c r="C4" i="11"/>
  <c r="D4" i="11"/>
  <c r="F4" i="11"/>
  <c r="G4" i="11"/>
  <c r="H14" i="11"/>
  <c r="I11" i="11"/>
  <c r="H5" i="11"/>
  <c r="F70" i="5" l="1"/>
  <c r="C70" i="5" s="1"/>
  <c r="D72" i="5"/>
  <c r="D71" i="5"/>
  <c r="G8" i="42"/>
  <c r="H8" i="42"/>
  <c r="E7" i="42"/>
  <c r="F7" i="42"/>
  <c r="D7" i="42"/>
  <c r="G7" i="42"/>
  <c r="C7" i="42"/>
  <c r="E7" i="29"/>
  <c r="E7" i="8"/>
  <c r="E7" i="2"/>
  <c r="E7" i="30"/>
  <c r="G8" i="8"/>
  <c r="G8" i="2"/>
  <c r="G8" i="30"/>
  <c r="G8" i="29"/>
  <c r="G7" i="29"/>
  <c r="G7" i="8"/>
  <c r="G7" i="2"/>
  <c r="G7" i="30"/>
  <c r="F7" i="29"/>
  <c r="F7" i="8"/>
  <c r="F7" i="30"/>
  <c r="F7" i="2"/>
  <c r="D7" i="29"/>
  <c r="D7" i="8"/>
  <c r="D7" i="2"/>
  <c r="D7" i="30"/>
  <c r="ED60" i="6"/>
  <c r="ED61" i="6" s="1"/>
  <c r="EC63" i="6"/>
  <c r="H8" i="8"/>
  <c r="H8" i="30"/>
  <c r="H8" i="2"/>
  <c r="H8" i="29"/>
  <c r="C7" i="29"/>
  <c r="C7" i="8"/>
  <c r="C7" i="30"/>
  <c r="C7" i="2"/>
  <c r="D7" i="7"/>
  <c r="C7" i="7"/>
  <c r="G8" i="7"/>
  <c r="G7" i="7"/>
  <c r="H8" i="7"/>
  <c r="E7" i="7"/>
  <c r="F7" i="7"/>
  <c r="G7" i="18"/>
  <c r="G7" i="15"/>
  <c r="G7" i="14"/>
  <c r="G7" i="17"/>
  <c r="G7" i="3"/>
  <c r="G7" i="6"/>
  <c r="G7" i="5"/>
  <c r="G8" i="18"/>
  <c r="G8" i="17"/>
  <c r="G8" i="14"/>
  <c r="G8" i="15"/>
  <c r="G8" i="3"/>
  <c r="G8" i="6"/>
  <c r="G8" i="5"/>
  <c r="F7" i="18"/>
  <c r="F7" i="17"/>
  <c r="F7" i="15"/>
  <c r="F7" i="14"/>
  <c r="F7" i="3"/>
  <c r="F7" i="6"/>
  <c r="F7" i="5"/>
  <c r="D7" i="18"/>
  <c r="D7" i="17"/>
  <c r="D7" i="14"/>
  <c r="D7" i="15"/>
  <c r="D7" i="3"/>
  <c r="D7" i="6"/>
  <c r="D7" i="5"/>
  <c r="H8" i="18"/>
  <c r="H8" i="17"/>
  <c r="H8" i="15"/>
  <c r="H8" i="14"/>
  <c r="H8" i="3"/>
  <c r="H8" i="6"/>
  <c r="H8" i="5"/>
  <c r="H70" i="5" s="1"/>
  <c r="H69" i="5" s="1"/>
  <c r="C7" i="18"/>
  <c r="C7" i="17"/>
  <c r="C7" i="15"/>
  <c r="C7" i="14"/>
  <c r="C7" i="3"/>
  <c r="C7" i="6"/>
  <c r="C7" i="5"/>
  <c r="E7" i="18"/>
  <c r="E7" i="17"/>
  <c r="E7" i="15"/>
  <c r="E7" i="14"/>
  <c r="E7" i="3"/>
  <c r="E7" i="6"/>
  <c r="E7" i="5"/>
  <c r="E82" i="5"/>
  <c r="E81" i="5" s="1"/>
  <c r="E64" i="5"/>
  <c r="D65" i="5"/>
  <c r="D66" i="5"/>
  <c r="F82" i="5"/>
  <c r="F81" i="5" s="1"/>
  <c r="F64" i="5"/>
  <c r="I14" i="11"/>
  <c r="J11" i="11"/>
  <c r="I5" i="11"/>
  <c r="E71" i="5" l="1"/>
  <c r="E72" i="5"/>
  <c r="F72" i="5"/>
  <c r="F71" i="5"/>
  <c r="I8" i="42"/>
  <c r="EE60" i="6"/>
  <c r="EE61" i="6" s="1"/>
  <c r="ED63" i="6"/>
  <c r="I8" i="8"/>
  <c r="I8" i="2"/>
  <c r="I8" i="30"/>
  <c r="I8" i="29"/>
  <c r="I8" i="7"/>
  <c r="I8" i="18"/>
  <c r="I8" i="17"/>
  <c r="I8" i="15"/>
  <c r="I8" i="14"/>
  <c r="I8" i="3"/>
  <c r="I8" i="6"/>
  <c r="I8" i="5"/>
  <c r="I70" i="5" s="1"/>
  <c r="I69" i="5" s="1"/>
  <c r="E65" i="5"/>
  <c r="E66" i="5"/>
  <c r="H64" i="5"/>
  <c r="H63" i="5" s="1"/>
  <c r="H82" i="5"/>
  <c r="H81" i="5" s="1"/>
  <c r="C64" i="5"/>
  <c r="C82" i="5"/>
  <c r="C81" i="5" s="1"/>
  <c r="J14" i="11"/>
  <c r="K11" i="11"/>
  <c r="J5" i="11"/>
  <c r="H71" i="5" l="1"/>
  <c r="H72" i="5"/>
  <c r="C72" i="5"/>
  <c r="C71" i="5"/>
  <c r="J8" i="42"/>
  <c r="J8" i="8"/>
  <c r="J8" i="2"/>
  <c r="J8" i="30"/>
  <c r="J8" i="29"/>
  <c r="EF60" i="6"/>
  <c r="EF61" i="6" s="1"/>
  <c r="EE63" i="6"/>
  <c r="J8" i="7"/>
  <c r="H66" i="5"/>
  <c r="C66" i="5"/>
  <c r="C65" i="5"/>
  <c r="H65" i="5"/>
  <c r="J8" i="18"/>
  <c r="J8" i="17"/>
  <c r="J8" i="15"/>
  <c r="J8" i="14"/>
  <c r="J8" i="3"/>
  <c r="J8" i="6"/>
  <c r="J8" i="5"/>
  <c r="J70" i="5" s="1"/>
  <c r="J69" i="5" s="1"/>
  <c r="F66" i="5"/>
  <c r="F65" i="5"/>
  <c r="I82" i="5"/>
  <c r="I81" i="5" s="1"/>
  <c r="I64" i="5"/>
  <c r="I63" i="5" s="1"/>
  <c r="K14" i="11"/>
  <c r="M11" i="11"/>
  <c r="K5" i="11"/>
  <c r="L11" i="11"/>
  <c r="H3" i="11" s="1"/>
  <c r="I71" i="5" l="1"/>
  <c r="I72" i="5"/>
  <c r="K8" i="42"/>
  <c r="H6" i="42"/>
  <c r="EF63" i="6"/>
  <c r="EH60" i="6"/>
  <c r="K8" i="8"/>
  <c r="K8" i="2"/>
  <c r="K8" i="30"/>
  <c r="K8" i="29"/>
  <c r="H6" i="29"/>
  <c r="H6" i="8"/>
  <c r="H6" i="2"/>
  <c r="H6" i="30"/>
  <c r="H6" i="7"/>
  <c r="K8" i="7"/>
  <c r="J64" i="5"/>
  <c r="J63" i="5" s="1"/>
  <c r="J82" i="5"/>
  <c r="J81" i="5" s="1"/>
  <c r="I65" i="5"/>
  <c r="I66" i="5"/>
  <c r="H6" i="18"/>
  <c r="H6" i="17"/>
  <c r="H6" i="15"/>
  <c r="H6" i="14"/>
  <c r="H6" i="3"/>
  <c r="H6" i="6"/>
  <c r="H6" i="5"/>
  <c r="K8" i="18"/>
  <c r="K8" i="15"/>
  <c r="K8" i="17"/>
  <c r="K8" i="14"/>
  <c r="K8" i="3"/>
  <c r="K8" i="6"/>
  <c r="K8" i="5"/>
  <c r="K70" i="5" s="1"/>
  <c r="K69" i="5" s="1"/>
  <c r="L14" i="11"/>
  <c r="K4" i="11"/>
  <c r="I4" i="11"/>
  <c r="L5" i="11"/>
  <c r="H4" i="11"/>
  <c r="J4" i="11"/>
  <c r="L4" i="11"/>
  <c r="M14" i="11"/>
  <c r="M5" i="11"/>
  <c r="N11" i="11"/>
  <c r="J72" i="5" l="1"/>
  <c r="J71" i="5"/>
  <c r="L8" i="42"/>
  <c r="M8" i="42"/>
  <c r="L7" i="42"/>
  <c r="J7" i="42"/>
  <c r="I7" i="42"/>
  <c r="H7" i="42"/>
  <c r="K7" i="42"/>
  <c r="L7" i="29"/>
  <c r="L7" i="8"/>
  <c r="L7" i="30"/>
  <c r="L7" i="2"/>
  <c r="J7" i="29"/>
  <c r="J7" i="8"/>
  <c r="J7" i="2"/>
  <c r="J7" i="30"/>
  <c r="H7" i="29"/>
  <c r="H7" i="8"/>
  <c r="H7" i="2"/>
  <c r="H7" i="30"/>
  <c r="L8" i="8"/>
  <c r="L8" i="30"/>
  <c r="L8" i="2"/>
  <c r="L8" i="29"/>
  <c r="I7" i="29"/>
  <c r="I7" i="8"/>
  <c r="I7" i="2"/>
  <c r="I7" i="30"/>
  <c r="EL60" i="6"/>
  <c r="EL61" i="6" s="1"/>
  <c r="EL63" i="6" s="1"/>
  <c r="EH61" i="6"/>
  <c r="M8" i="8"/>
  <c r="M8" i="2"/>
  <c r="M8" i="30"/>
  <c r="M8" i="29"/>
  <c r="K7" i="29"/>
  <c r="K7" i="8"/>
  <c r="K7" i="2"/>
  <c r="K7" i="30"/>
  <c r="J7" i="7"/>
  <c r="H7" i="7"/>
  <c r="L7" i="7"/>
  <c r="L8" i="7"/>
  <c r="I7" i="7"/>
  <c r="M8" i="7"/>
  <c r="K7" i="7"/>
  <c r="L8" i="18"/>
  <c r="L8" i="15"/>
  <c r="L8" i="17"/>
  <c r="L8" i="14"/>
  <c r="L8" i="3"/>
  <c r="L8" i="6"/>
  <c r="L8" i="5"/>
  <c r="L70" i="5" s="1"/>
  <c r="L69" i="5" s="1"/>
  <c r="K7" i="18"/>
  <c r="K7" i="17"/>
  <c r="K7" i="15"/>
  <c r="K7" i="14"/>
  <c r="K7" i="3"/>
  <c r="K7" i="6"/>
  <c r="K7" i="5"/>
  <c r="L7" i="18"/>
  <c r="L7" i="17"/>
  <c r="L7" i="15"/>
  <c r="L7" i="14"/>
  <c r="L7" i="3"/>
  <c r="L7" i="6"/>
  <c r="L7" i="5"/>
  <c r="I7" i="18"/>
  <c r="I7" i="17"/>
  <c r="I7" i="15"/>
  <c r="I7" i="14"/>
  <c r="I7" i="3"/>
  <c r="I7" i="6"/>
  <c r="I7" i="5"/>
  <c r="M8" i="18"/>
  <c r="M8" i="17"/>
  <c r="M8" i="15"/>
  <c r="M8" i="14"/>
  <c r="M8" i="3"/>
  <c r="M8" i="6"/>
  <c r="M8" i="5"/>
  <c r="M70" i="5" s="1"/>
  <c r="M69" i="5" s="1"/>
  <c r="J7" i="18"/>
  <c r="J7" i="17"/>
  <c r="J7" i="14"/>
  <c r="J7" i="15"/>
  <c r="J7" i="3"/>
  <c r="J7" i="6"/>
  <c r="J7" i="5"/>
  <c r="H7" i="18"/>
  <c r="H7" i="15"/>
  <c r="H7" i="14"/>
  <c r="H7" i="17"/>
  <c r="H7" i="3"/>
  <c r="H7" i="6"/>
  <c r="H7" i="5"/>
  <c r="K82" i="5"/>
  <c r="K81" i="5" s="1"/>
  <c r="K64" i="5"/>
  <c r="K63" i="5" s="1"/>
  <c r="J66" i="5"/>
  <c r="J65" i="5"/>
  <c r="N14" i="11"/>
  <c r="O11" i="11"/>
  <c r="N5" i="11"/>
  <c r="K15" i="11"/>
  <c r="J15" i="11"/>
  <c r="I15" i="11"/>
  <c r="H15" i="11"/>
  <c r="L15" i="11"/>
  <c r="K71" i="5" l="1"/>
  <c r="K72" i="5"/>
  <c r="N8" i="42"/>
  <c r="EH63" i="6"/>
  <c r="EI60" i="6"/>
  <c r="EI61" i="6" s="1"/>
  <c r="N8" i="8"/>
  <c r="N8" i="2"/>
  <c r="N8" i="30"/>
  <c r="N8" i="29"/>
  <c r="N8" i="7"/>
  <c r="K65" i="5"/>
  <c r="K66" i="5"/>
  <c r="M82" i="5"/>
  <c r="M81" i="5" s="1"/>
  <c r="M64" i="5"/>
  <c r="M63" i="5" s="1"/>
  <c r="N8" i="18"/>
  <c r="N8" i="17"/>
  <c r="N8" i="15"/>
  <c r="N8" i="14"/>
  <c r="N8" i="3"/>
  <c r="N8" i="6"/>
  <c r="N8" i="5"/>
  <c r="N70" i="5" s="1"/>
  <c r="N69" i="5" s="1"/>
  <c r="L82" i="5"/>
  <c r="L81" i="5" s="1"/>
  <c r="L64" i="5"/>
  <c r="L63" i="5" s="1"/>
  <c r="O14" i="11"/>
  <c r="P11" i="11"/>
  <c r="O5" i="11"/>
  <c r="L72" i="5" l="1"/>
  <c r="L71" i="5"/>
  <c r="M72" i="5"/>
  <c r="M71" i="5"/>
  <c r="O8" i="42"/>
  <c r="O8" i="8"/>
  <c r="O8" i="2"/>
  <c r="O8" i="30"/>
  <c r="O8" i="29"/>
  <c r="EJ60" i="6"/>
  <c r="EJ61" i="6" s="1"/>
  <c r="EI63" i="6"/>
  <c r="O8" i="7"/>
  <c r="N82" i="5"/>
  <c r="N81" i="5" s="1"/>
  <c r="N64" i="5"/>
  <c r="N63" i="5" s="1"/>
  <c r="M65" i="5"/>
  <c r="M66" i="5"/>
  <c r="O8" i="18"/>
  <c r="O8" i="17"/>
  <c r="O8" i="15"/>
  <c r="O8" i="14"/>
  <c r="O8" i="3"/>
  <c r="O8" i="6"/>
  <c r="O8" i="5"/>
  <c r="O70" i="5" s="1"/>
  <c r="O69" i="5" s="1"/>
  <c r="L66" i="5"/>
  <c r="L65" i="5"/>
  <c r="P14" i="11"/>
  <c r="Q11" i="11"/>
  <c r="M3" i="11" s="1"/>
  <c r="P5" i="11"/>
  <c r="R11" i="11"/>
  <c r="N72" i="5" l="1"/>
  <c r="N71" i="5"/>
  <c r="P8" i="42"/>
  <c r="M6" i="42"/>
  <c r="M6" i="29"/>
  <c r="M6" i="8"/>
  <c r="M6" i="2"/>
  <c r="M6" i="30"/>
  <c r="EJ63" i="6"/>
  <c r="EK60" i="6"/>
  <c r="EK61" i="6" s="1"/>
  <c r="P8" i="8"/>
  <c r="P8" i="2"/>
  <c r="P8" i="30"/>
  <c r="P8" i="29"/>
  <c r="P8" i="7"/>
  <c r="M6" i="7"/>
  <c r="N65" i="5"/>
  <c r="N66" i="5"/>
  <c r="P8" i="18"/>
  <c r="P8" i="17"/>
  <c r="P8" i="15"/>
  <c r="P8" i="14"/>
  <c r="P8" i="3"/>
  <c r="P8" i="6"/>
  <c r="P8" i="5"/>
  <c r="P70" i="5" s="1"/>
  <c r="P69" i="5" s="1"/>
  <c r="M6" i="18"/>
  <c r="M6" i="15"/>
  <c r="M6" i="14"/>
  <c r="M6" i="17"/>
  <c r="M6" i="3"/>
  <c r="M6" i="6"/>
  <c r="M6" i="5"/>
  <c r="O64" i="5"/>
  <c r="O63" i="5" s="1"/>
  <c r="O82" i="5"/>
  <c r="O81" i="5" s="1"/>
  <c r="R14" i="11"/>
  <c r="S11" i="11"/>
  <c r="R5" i="11"/>
  <c r="Q14" i="11"/>
  <c r="Q5" i="11"/>
  <c r="Q4" i="11"/>
  <c r="O4" i="11"/>
  <c r="N4" i="11"/>
  <c r="P4" i="11"/>
  <c r="M4" i="11"/>
  <c r="O71" i="5" l="1"/>
  <c r="O72" i="5"/>
  <c r="R8" i="42"/>
  <c r="Q8" i="42"/>
  <c r="O7" i="42"/>
  <c r="Q7" i="42"/>
  <c r="M7" i="42"/>
  <c r="N7" i="42"/>
  <c r="P7" i="42"/>
  <c r="Q7" i="29"/>
  <c r="Q7" i="8"/>
  <c r="Q7" i="2"/>
  <c r="Q7" i="30"/>
  <c r="EM60" i="6"/>
  <c r="EK63" i="6"/>
  <c r="R8" i="8"/>
  <c r="R8" i="30"/>
  <c r="R8" i="2"/>
  <c r="R8" i="29"/>
  <c r="P7" i="29"/>
  <c r="P7" i="8"/>
  <c r="P7" i="2"/>
  <c r="P7" i="30"/>
  <c r="N7" i="29"/>
  <c r="N7" i="8"/>
  <c r="N7" i="2"/>
  <c r="N7" i="30"/>
  <c r="Q8" i="8"/>
  <c r="Q8" i="2"/>
  <c r="Q8" i="30"/>
  <c r="Q8" i="29"/>
  <c r="M7" i="29"/>
  <c r="M7" i="8"/>
  <c r="M7" i="2"/>
  <c r="M7" i="30"/>
  <c r="O7" i="29"/>
  <c r="O7" i="8"/>
  <c r="O7" i="2"/>
  <c r="O7" i="30"/>
  <c r="Q8" i="7"/>
  <c r="O7" i="7"/>
  <c r="Q7" i="7"/>
  <c r="M7" i="7"/>
  <c r="P7" i="7"/>
  <c r="R8" i="7"/>
  <c r="N7" i="7"/>
  <c r="M7" i="18"/>
  <c r="M7" i="15"/>
  <c r="M7" i="17"/>
  <c r="M7" i="14"/>
  <c r="M7" i="3"/>
  <c r="M7" i="6"/>
  <c r="M7" i="5"/>
  <c r="P7" i="18"/>
  <c r="P7" i="17"/>
  <c r="P7" i="15"/>
  <c r="P7" i="14"/>
  <c r="P7" i="3"/>
  <c r="P7" i="6"/>
  <c r="P7" i="5"/>
  <c r="R8" i="18"/>
  <c r="R8" i="15"/>
  <c r="R8" i="14"/>
  <c r="R8" i="17"/>
  <c r="R8" i="3"/>
  <c r="R8" i="6"/>
  <c r="R8" i="5"/>
  <c r="R70" i="5" s="1"/>
  <c r="R69" i="5" s="1"/>
  <c r="P64" i="5"/>
  <c r="P63" i="5" s="1"/>
  <c r="P82" i="5"/>
  <c r="P81" i="5" s="1"/>
  <c r="O7" i="18"/>
  <c r="O7" i="17"/>
  <c r="O7" i="15"/>
  <c r="O7" i="14"/>
  <c r="O7" i="3"/>
  <c r="O7" i="6"/>
  <c r="O7" i="5"/>
  <c r="N7" i="18"/>
  <c r="N7" i="15"/>
  <c r="N7" i="17"/>
  <c r="N7" i="14"/>
  <c r="N7" i="3"/>
  <c r="N7" i="6"/>
  <c r="N7" i="5"/>
  <c r="Q7" i="18"/>
  <c r="Q7" i="17"/>
  <c r="Q7" i="15"/>
  <c r="Q7" i="14"/>
  <c r="Q7" i="3"/>
  <c r="Q7" i="6"/>
  <c r="Q7" i="5"/>
  <c r="O65" i="5"/>
  <c r="O66" i="5"/>
  <c r="Q8" i="18"/>
  <c r="Q8" i="15"/>
  <c r="Q8" i="14"/>
  <c r="Q8" i="17"/>
  <c r="Q8" i="3"/>
  <c r="Q8" i="6"/>
  <c r="Q8" i="5"/>
  <c r="Q70" i="5" s="1"/>
  <c r="Q69" i="5" s="1"/>
  <c r="Q15" i="11"/>
  <c r="P15" i="11"/>
  <c r="O15" i="11"/>
  <c r="N15" i="11"/>
  <c r="M15" i="11"/>
  <c r="S14" i="11"/>
  <c r="S5" i="11"/>
  <c r="T11" i="11"/>
  <c r="P71" i="5" l="1"/>
  <c r="P72" i="5"/>
  <c r="S8" i="42"/>
  <c r="EM61" i="6"/>
  <c r="EQ60" i="6"/>
  <c r="EQ61" i="6" s="1"/>
  <c r="EQ63" i="6" s="1"/>
  <c r="S8" i="8"/>
  <c r="S8" i="2"/>
  <c r="S8" i="30"/>
  <c r="S8" i="29"/>
  <c r="S8" i="7"/>
  <c r="S8" i="18"/>
  <c r="S8" i="17"/>
  <c r="S8" i="15"/>
  <c r="S8" i="14"/>
  <c r="S8" i="3"/>
  <c r="S8" i="6"/>
  <c r="S8" i="5"/>
  <c r="S70" i="5" s="1"/>
  <c r="S69" i="5" s="1"/>
  <c r="P65" i="5"/>
  <c r="P66" i="5"/>
  <c r="R64" i="5"/>
  <c r="R63" i="5" s="1"/>
  <c r="R82" i="5"/>
  <c r="R81" i="5" s="1"/>
  <c r="Q64" i="5"/>
  <c r="Q63" i="5" s="1"/>
  <c r="Q82" i="5"/>
  <c r="Q81" i="5" s="1"/>
  <c r="T14" i="11"/>
  <c r="U11" i="11"/>
  <c r="T5" i="11"/>
  <c r="R72" i="5" l="1"/>
  <c r="R71" i="5"/>
  <c r="Q71" i="5"/>
  <c r="Q72" i="5"/>
  <c r="T8" i="42"/>
  <c r="T8" i="8"/>
  <c r="T8" i="2"/>
  <c r="T8" i="30"/>
  <c r="T8" i="29"/>
  <c r="EN60" i="6"/>
  <c r="EN61" i="6" s="1"/>
  <c r="EM63" i="6"/>
  <c r="T8" i="7"/>
  <c r="R65" i="5"/>
  <c r="R66" i="5"/>
  <c r="S64" i="5"/>
  <c r="S63" i="5" s="1"/>
  <c r="S82" i="5"/>
  <c r="S81" i="5" s="1"/>
  <c r="T8" i="18"/>
  <c r="T8" i="17"/>
  <c r="T8" i="14"/>
  <c r="T8" i="15"/>
  <c r="T8" i="3"/>
  <c r="T8" i="6"/>
  <c r="T8" i="5"/>
  <c r="T70" i="5" s="1"/>
  <c r="T69" i="5" s="1"/>
  <c r="Q65" i="5"/>
  <c r="Q66" i="5"/>
  <c r="U14" i="11"/>
  <c r="V11" i="11"/>
  <c r="R3" i="11" s="1"/>
  <c r="U5" i="11"/>
  <c r="W11" i="11"/>
  <c r="S72" i="5" l="1"/>
  <c r="S71" i="5"/>
  <c r="U8" i="42"/>
  <c r="R6" i="42"/>
  <c r="R6" i="29"/>
  <c r="R6" i="8"/>
  <c r="R6" i="30"/>
  <c r="R6" i="2"/>
  <c r="EN63" i="6"/>
  <c r="EO60" i="6"/>
  <c r="EO61" i="6" s="1"/>
  <c r="U8" i="8"/>
  <c r="U8" i="30"/>
  <c r="U8" i="2"/>
  <c r="U8" i="29"/>
  <c r="R6" i="7"/>
  <c r="U8" i="7"/>
  <c r="R6" i="18"/>
  <c r="R6" i="15"/>
  <c r="R6" i="14"/>
  <c r="R6" i="17"/>
  <c r="R6" i="3"/>
  <c r="R6" i="6"/>
  <c r="R6" i="5"/>
  <c r="S65" i="5"/>
  <c r="S66" i="5"/>
  <c r="U8" i="18"/>
  <c r="U8" i="17"/>
  <c r="U8" i="14"/>
  <c r="U8" i="15"/>
  <c r="U8" i="3"/>
  <c r="U8" i="6"/>
  <c r="U8" i="5"/>
  <c r="U70" i="5" s="1"/>
  <c r="U69" i="5" s="1"/>
  <c r="T64" i="5"/>
  <c r="T63" i="5" s="1"/>
  <c r="T82" i="5"/>
  <c r="T81" i="5" s="1"/>
  <c r="W14" i="11"/>
  <c r="W5" i="11"/>
  <c r="X11" i="11"/>
  <c r="V14" i="11"/>
  <c r="V5" i="11"/>
  <c r="U4" i="11"/>
  <c r="T4" i="11"/>
  <c r="V4" i="11"/>
  <c r="R4" i="11"/>
  <c r="S4" i="11"/>
  <c r="T72" i="5" l="1"/>
  <c r="T71" i="5"/>
  <c r="V8" i="42"/>
  <c r="W8" i="42"/>
  <c r="S7" i="42"/>
  <c r="R7" i="42"/>
  <c r="V7" i="42"/>
  <c r="T7" i="42"/>
  <c r="U7" i="42"/>
  <c r="W8" i="8"/>
  <c r="W8" i="2"/>
  <c r="W8" i="30"/>
  <c r="W8" i="29"/>
  <c r="T7" i="29"/>
  <c r="T7" i="8"/>
  <c r="T7" i="30"/>
  <c r="T7" i="2"/>
  <c r="V8" i="8"/>
  <c r="V8" i="2"/>
  <c r="V8" i="30"/>
  <c r="V8" i="29"/>
  <c r="EO63" i="6"/>
  <c r="EP60" i="6"/>
  <c r="EP61" i="6" s="1"/>
  <c r="S7" i="29"/>
  <c r="S7" i="8"/>
  <c r="S7" i="30"/>
  <c r="S7" i="2"/>
  <c r="V7" i="29"/>
  <c r="V7" i="8"/>
  <c r="V7" i="2"/>
  <c r="V7" i="30"/>
  <c r="R7" i="29"/>
  <c r="R7" i="8"/>
  <c r="R7" i="30"/>
  <c r="R7" i="2"/>
  <c r="U7" i="29"/>
  <c r="U7" i="8"/>
  <c r="U7" i="30"/>
  <c r="U7" i="2"/>
  <c r="S7" i="7"/>
  <c r="V8" i="7"/>
  <c r="T7" i="7"/>
  <c r="R7" i="7"/>
  <c r="W8" i="7"/>
  <c r="V7" i="7"/>
  <c r="U7" i="7"/>
  <c r="S7" i="18"/>
  <c r="S7" i="15"/>
  <c r="S7" i="14"/>
  <c r="S7" i="17"/>
  <c r="S7" i="3"/>
  <c r="S7" i="6"/>
  <c r="S7" i="5"/>
  <c r="U64" i="5"/>
  <c r="U63" i="5" s="1"/>
  <c r="U82" i="5"/>
  <c r="U81" i="5" s="1"/>
  <c r="W8" i="18"/>
  <c r="W8" i="15"/>
  <c r="W8" i="17"/>
  <c r="W8" i="14"/>
  <c r="W8" i="3"/>
  <c r="W8" i="6"/>
  <c r="W8" i="5"/>
  <c r="W70" i="5" s="1"/>
  <c r="W69" i="5" s="1"/>
  <c r="V7" i="18"/>
  <c r="V7" i="17"/>
  <c r="V7" i="15"/>
  <c r="V7" i="14"/>
  <c r="V7" i="3"/>
  <c r="V7" i="6"/>
  <c r="V7" i="5"/>
  <c r="R7" i="18"/>
  <c r="R7" i="17"/>
  <c r="R7" i="15"/>
  <c r="R7" i="14"/>
  <c r="R7" i="3"/>
  <c r="R7" i="6"/>
  <c r="R7" i="5"/>
  <c r="T7" i="18"/>
  <c r="T7" i="15"/>
  <c r="T7" i="14"/>
  <c r="T7" i="17"/>
  <c r="T7" i="3"/>
  <c r="T7" i="6"/>
  <c r="T7" i="5"/>
  <c r="U7" i="18"/>
  <c r="U7" i="17"/>
  <c r="U7" i="15"/>
  <c r="U7" i="14"/>
  <c r="U7" i="3"/>
  <c r="U7" i="6"/>
  <c r="U7" i="5"/>
  <c r="T66" i="5"/>
  <c r="T65" i="5"/>
  <c r="V8" i="18"/>
  <c r="V8" i="17"/>
  <c r="V8" i="15"/>
  <c r="V8" i="14"/>
  <c r="V8" i="3"/>
  <c r="V8" i="6"/>
  <c r="V8" i="5"/>
  <c r="V70" i="5" s="1"/>
  <c r="V69" i="5" s="1"/>
  <c r="X14" i="11"/>
  <c r="Y11" i="11"/>
  <c r="X5" i="11"/>
  <c r="V15" i="11"/>
  <c r="U15" i="11"/>
  <c r="T15" i="11"/>
  <c r="S15" i="11"/>
  <c r="R15" i="11"/>
  <c r="U72" i="5" l="1"/>
  <c r="U71" i="5"/>
  <c r="X8" i="42"/>
  <c r="X8" i="8"/>
  <c r="X8" i="30"/>
  <c r="X8" i="2"/>
  <c r="X8" i="29"/>
  <c r="ER60" i="6"/>
  <c r="EP63" i="6"/>
  <c r="X8" i="7"/>
  <c r="X8" i="18"/>
  <c r="X8" i="15"/>
  <c r="X8" i="17"/>
  <c r="X8" i="14"/>
  <c r="X8" i="3"/>
  <c r="X8" i="6"/>
  <c r="X8" i="5"/>
  <c r="X70" i="5" s="1"/>
  <c r="X69" i="5" s="1"/>
  <c r="W64" i="5"/>
  <c r="W63" i="5" s="1"/>
  <c r="W82" i="5"/>
  <c r="W81" i="5" s="1"/>
  <c r="U65" i="5"/>
  <c r="U66" i="5"/>
  <c r="V64" i="5"/>
  <c r="V63" i="5" s="1"/>
  <c r="V82" i="5"/>
  <c r="V81" i="5" s="1"/>
  <c r="Y14" i="11"/>
  <c r="Y5" i="11"/>
  <c r="Z11" i="11"/>
  <c r="V71" i="5" l="1"/>
  <c r="V72" i="5"/>
  <c r="W71" i="5"/>
  <c r="W72" i="5"/>
  <c r="Y8" i="42"/>
  <c r="ER61" i="6"/>
  <c r="EV60" i="6"/>
  <c r="Y8" i="8"/>
  <c r="Y8" i="2"/>
  <c r="Y8" i="30"/>
  <c r="Y8" i="29"/>
  <c r="Y8" i="7"/>
  <c r="V66" i="5"/>
  <c r="V65" i="5"/>
  <c r="W65" i="5"/>
  <c r="W66" i="5"/>
  <c r="X64" i="5"/>
  <c r="X63" i="5" s="1"/>
  <c r="X82" i="5"/>
  <c r="X81" i="5" s="1"/>
  <c r="Y8" i="18"/>
  <c r="Y8" i="17"/>
  <c r="Y8" i="15"/>
  <c r="Y8" i="14"/>
  <c r="Y8" i="3"/>
  <c r="Y8" i="6"/>
  <c r="Y8" i="5"/>
  <c r="Y70" i="5" s="1"/>
  <c r="Y69" i="5" s="1"/>
  <c r="Z14" i="11"/>
  <c r="AA11" i="11"/>
  <c r="W3" i="11" s="1"/>
  <c r="AB11" i="11"/>
  <c r="Z5" i="11"/>
  <c r="X72" i="5" l="1"/>
  <c r="X71" i="5"/>
  <c r="Z8" i="42"/>
  <c r="W6" i="42"/>
  <c r="Z8" i="8"/>
  <c r="Z8" i="2"/>
  <c r="Z8" i="30"/>
  <c r="Z8" i="29"/>
  <c r="W6" i="29"/>
  <c r="W6" i="8"/>
  <c r="W6" i="2"/>
  <c r="W6" i="30"/>
  <c r="ER63" i="6"/>
  <c r="ES60" i="6"/>
  <c r="W6" i="7"/>
  <c r="Z8" i="7"/>
  <c r="Y64" i="5"/>
  <c r="Y63" i="5" s="1"/>
  <c r="Y82" i="5"/>
  <c r="Y81" i="5" s="1"/>
  <c r="X66" i="5"/>
  <c r="X65" i="5"/>
  <c r="W6" i="18"/>
  <c r="W6" i="17"/>
  <c r="W6" i="14"/>
  <c r="W6" i="15"/>
  <c r="W6" i="3"/>
  <c r="W6" i="6"/>
  <c r="W6" i="5"/>
  <c r="Z8" i="18"/>
  <c r="Z8" i="17"/>
  <c r="Z8" i="15"/>
  <c r="Z8" i="14"/>
  <c r="Z8" i="3"/>
  <c r="Z8" i="6"/>
  <c r="Z8" i="5"/>
  <c r="Z70" i="5" s="1"/>
  <c r="Z69" i="5" s="1"/>
  <c r="AB14" i="11"/>
  <c r="AC11" i="11"/>
  <c r="AB5" i="11"/>
  <c r="AA14" i="11"/>
  <c r="W4" i="11"/>
  <c r="AA4" i="11"/>
  <c r="Z4" i="11"/>
  <c r="AA5" i="11"/>
  <c r="X4" i="11"/>
  <c r="Y4" i="11"/>
  <c r="Y72" i="5" l="1"/>
  <c r="Y71" i="5"/>
  <c r="AB8" i="42"/>
  <c r="AA8" i="42"/>
  <c r="Y7" i="42"/>
  <c r="X7" i="42"/>
  <c r="Z7" i="42"/>
  <c r="AA7" i="42"/>
  <c r="W7" i="42"/>
  <c r="Z7" i="29"/>
  <c r="Z7" i="8"/>
  <c r="Z7" i="2"/>
  <c r="Z7" i="30"/>
  <c r="X7" i="29"/>
  <c r="X7" i="8"/>
  <c r="X7" i="30"/>
  <c r="X7" i="2"/>
  <c r="AA8" i="8"/>
  <c r="AA8" i="2"/>
  <c r="AA8" i="30"/>
  <c r="AA8" i="29"/>
  <c r="AA7" i="29"/>
  <c r="AA7" i="8"/>
  <c r="AA7" i="2"/>
  <c r="AA7" i="30"/>
  <c r="Y7" i="29"/>
  <c r="Y7" i="8"/>
  <c r="Y7" i="2"/>
  <c r="Y7" i="30"/>
  <c r="W7" i="29"/>
  <c r="W7" i="8"/>
  <c r="W7" i="2"/>
  <c r="W7" i="30"/>
  <c r="AB8" i="8"/>
  <c r="AB8" i="2"/>
  <c r="AB8" i="30"/>
  <c r="AB8" i="29"/>
  <c r="AA8" i="7"/>
  <c r="AA7" i="7"/>
  <c r="Y7" i="7"/>
  <c r="Z7" i="7"/>
  <c r="W7" i="7"/>
  <c r="X7" i="7"/>
  <c r="AB8" i="7"/>
  <c r="Y7" i="18"/>
  <c r="Y7" i="15"/>
  <c r="Y7" i="17"/>
  <c r="Y7" i="14"/>
  <c r="Y7" i="3"/>
  <c r="Y7" i="6"/>
  <c r="Y7" i="5"/>
  <c r="Z7" i="18"/>
  <c r="Z7" i="15"/>
  <c r="Z7" i="17"/>
  <c r="Z7" i="14"/>
  <c r="Z7" i="3"/>
  <c r="Z7" i="6"/>
  <c r="Z7" i="5"/>
  <c r="X7" i="18"/>
  <c r="X7" i="17"/>
  <c r="X7" i="15"/>
  <c r="X7" i="14"/>
  <c r="X7" i="3"/>
  <c r="X7" i="6"/>
  <c r="X7" i="5"/>
  <c r="AB8" i="18"/>
  <c r="AB8" i="17"/>
  <c r="AB8" i="15"/>
  <c r="AB8" i="14"/>
  <c r="AB8" i="3"/>
  <c r="AB8" i="6"/>
  <c r="AB8" i="5"/>
  <c r="AB70" i="5" s="1"/>
  <c r="AB69" i="5" s="1"/>
  <c r="AA8" i="18"/>
  <c r="AA8" i="17"/>
  <c r="AA8" i="15"/>
  <c r="AA8" i="14"/>
  <c r="AA8" i="3"/>
  <c r="AA8" i="6"/>
  <c r="AA8" i="5"/>
  <c r="AA70" i="5" s="1"/>
  <c r="AA69" i="5" s="1"/>
  <c r="Z82" i="5"/>
  <c r="Z81" i="5" s="1"/>
  <c r="Z64" i="5"/>
  <c r="Z63" i="5" s="1"/>
  <c r="Y65" i="5"/>
  <c r="Y66" i="5"/>
  <c r="AA7" i="18"/>
  <c r="AA7" i="17"/>
  <c r="AA7" i="15"/>
  <c r="AA7" i="14"/>
  <c r="AA7" i="3"/>
  <c r="AA7" i="6"/>
  <c r="AA7" i="5"/>
  <c r="W7" i="18"/>
  <c r="W7" i="17"/>
  <c r="W7" i="15"/>
  <c r="W7" i="14"/>
  <c r="W7" i="3"/>
  <c r="W7" i="6"/>
  <c r="W7" i="5"/>
  <c r="W15" i="11"/>
  <c r="AA15" i="11"/>
  <c r="Z15" i="11"/>
  <c r="Y15" i="11"/>
  <c r="X15" i="11"/>
  <c r="AC14" i="11"/>
  <c r="AC5" i="11"/>
  <c r="AD11" i="11"/>
  <c r="Z72" i="5" l="1"/>
  <c r="Z71" i="5"/>
  <c r="AC8" i="42"/>
  <c r="AC8" i="8"/>
  <c r="AC8" i="2"/>
  <c r="AC8" i="30"/>
  <c r="AC8" i="29"/>
  <c r="AC8" i="7"/>
  <c r="Z65" i="5"/>
  <c r="Z66" i="5"/>
  <c r="AC8" i="18"/>
  <c r="AC8" i="15"/>
  <c r="AC8" i="17"/>
  <c r="AC8" i="14"/>
  <c r="AC8" i="3"/>
  <c r="AC8" i="6"/>
  <c r="AC8" i="5"/>
  <c r="AC70" i="5" s="1"/>
  <c r="AC69" i="5" s="1"/>
  <c r="AA64" i="5"/>
  <c r="AA63" i="5" s="1"/>
  <c r="AA82" i="5"/>
  <c r="AA81" i="5" s="1"/>
  <c r="AB64" i="5"/>
  <c r="AB63" i="5" s="1"/>
  <c r="AB82" i="5"/>
  <c r="AB81" i="5" s="1"/>
  <c r="AD14" i="11"/>
  <c r="AE11" i="11"/>
  <c r="AD5" i="11"/>
  <c r="AA72" i="5" l="1"/>
  <c r="AA71" i="5"/>
  <c r="AB72" i="5"/>
  <c r="AB71" i="5"/>
  <c r="AD8" i="42"/>
  <c r="AD8" i="8"/>
  <c r="AD8" i="30"/>
  <c r="AD8" i="2"/>
  <c r="AD8" i="29"/>
  <c r="AD8" i="7"/>
  <c r="AB66" i="5"/>
  <c r="AB65" i="5"/>
  <c r="AA66" i="5"/>
  <c r="AA65" i="5"/>
  <c r="AD8" i="18"/>
  <c r="AD8" i="15"/>
  <c r="AD8" i="14"/>
  <c r="AD8" i="17"/>
  <c r="AD8" i="3"/>
  <c r="AD8" i="6"/>
  <c r="AD8" i="5"/>
  <c r="AD70" i="5" s="1"/>
  <c r="AD69" i="5" s="1"/>
  <c r="AC64" i="5"/>
  <c r="AC63" i="5" s="1"/>
  <c r="AC82" i="5"/>
  <c r="AC81" i="5" s="1"/>
  <c r="AE14" i="11"/>
  <c r="AG11" i="11"/>
  <c r="AE5" i="11"/>
  <c r="AF11" i="11"/>
  <c r="AB3" i="11" s="1"/>
  <c r="AC71" i="5" l="1"/>
  <c r="AC72" i="5"/>
  <c r="AE8" i="42"/>
  <c r="AB6" i="42"/>
  <c r="AE8" i="8"/>
  <c r="AE8" i="2"/>
  <c r="AE8" i="30"/>
  <c r="AE8" i="29"/>
  <c r="AB6" i="29"/>
  <c r="AB6" i="8"/>
  <c r="AB6" i="2"/>
  <c r="AB6" i="30"/>
  <c r="AB6" i="7"/>
  <c r="AE8" i="7"/>
  <c r="AB6" i="18"/>
  <c r="AB6" i="17"/>
  <c r="AB6" i="15"/>
  <c r="AB6" i="14"/>
  <c r="AB6" i="3"/>
  <c r="AB6" i="6"/>
  <c r="AB6" i="5"/>
  <c r="AC66" i="5"/>
  <c r="AC65" i="5"/>
  <c r="AE8" i="18"/>
  <c r="AE8" i="14"/>
  <c r="AE8" i="17"/>
  <c r="AE8" i="15"/>
  <c r="AE8" i="3"/>
  <c r="AE8" i="6"/>
  <c r="AE8" i="5"/>
  <c r="AE70" i="5" s="1"/>
  <c r="AE69" i="5" s="1"/>
  <c r="AD82" i="5"/>
  <c r="AD81" i="5" s="1"/>
  <c r="AD64" i="5"/>
  <c r="AD63" i="5" s="1"/>
  <c r="AF14" i="11"/>
  <c r="AC4" i="11"/>
  <c r="AF5" i="11"/>
  <c r="AF4" i="11"/>
  <c r="AB4" i="11"/>
  <c r="AD4" i="11"/>
  <c r="AE4" i="11"/>
  <c r="AG14" i="11"/>
  <c r="AH11" i="11"/>
  <c r="AG5" i="11"/>
  <c r="AD72" i="5" l="1"/>
  <c r="AD71" i="5"/>
  <c r="AG8" i="42"/>
  <c r="AF8" i="42"/>
  <c r="AE7" i="42"/>
  <c r="AD7" i="42"/>
  <c r="AB7" i="42"/>
  <c r="AF7" i="42"/>
  <c r="AC7" i="42"/>
  <c r="AB7" i="29"/>
  <c r="AB7" i="8"/>
  <c r="AB7" i="2"/>
  <c r="AB7" i="30"/>
  <c r="AG8" i="8"/>
  <c r="AG8" i="2"/>
  <c r="AG8" i="30"/>
  <c r="AG8" i="29"/>
  <c r="AE7" i="29"/>
  <c r="AE7" i="8"/>
  <c r="AE7" i="2"/>
  <c r="AE7" i="30"/>
  <c r="AD7" i="29"/>
  <c r="AD7" i="8"/>
  <c r="AD7" i="30"/>
  <c r="AD7" i="2"/>
  <c r="AF7" i="29"/>
  <c r="AF7" i="8"/>
  <c r="AF7" i="2"/>
  <c r="AF7" i="30"/>
  <c r="AF8" i="8"/>
  <c r="AF8" i="30"/>
  <c r="AF8" i="2"/>
  <c r="AF8" i="29"/>
  <c r="AC7" i="29"/>
  <c r="AC7" i="8"/>
  <c r="AC7" i="2"/>
  <c r="AC7" i="30"/>
  <c r="AD7" i="7"/>
  <c r="AB7" i="7"/>
  <c r="AF7" i="7"/>
  <c r="AC7" i="7"/>
  <c r="AG8" i="7"/>
  <c r="AF8" i="7"/>
  <c r="AE7" i="7"/>
  <c r="AD65" i="5"/>
  <c r="AD66" i="5"/>
  <c r="AG8" i="18"/>
  <c r="AG8" i="17"/>
  <c r="AG8" i="15"/>
  <c r="AG8" i="14"/>
  <c r="AG8" i="3"/>
  <c r="AG8" i="6"/>
  <c r="AG8" i="5"/>
  <c r="AG70" i="5" s="1"/>
  <c r="AG69" i="5" s="1"/>
  <c r="AF7" i="18"/>
  <c r="AF7" i="15"/>
  <c r="AF7" i="14"/>
  <c r="AF7" i="17"/>
  <c r="AF7" i="3"/>
  <c r="AF7" i="6"/>
  <c r="AF7" i="5"/>
  <c r="AE64" i="5"/>
  <c r="AE63" i="5" s="1"/>
  <c r="AE82" i="5"/>
  <c r="AE81" i="5" s="1"/>
  <c r="AF8" i="18"/>
  <c r="AF8" i="17"/>
  <c r="AF8" i="15"/>
  <c r="AF8" i="14"/>
  <c r="AF8" i="3"/>
  <c r="AF8" i="6"/>
  <c r="AF8" i="5"/>
  <c r="AF70" i="5" s="1"/>
  <c r="AF69" i="5" s="1"/>
  <c r="AC7" i="18"/>
  <c r="AC7" i="17"/>
  <c r="AC7" i="15"/>
  <c r="AC7" i="14"/>
  <c r="AC7" i="3"/>
  <c r="AC7" i="6"/>
  <c r="AC7" i="5"/>
  <c r="AD7" i="18"/>
  <c r="AD7" i="17"/>
  <c r="AD7" i="15"/>
  <c r="AD7" i="14"/>
  <c r="AD7" i="3"/>
  <c r="AD7" i="6"/>
  <c r="AD7" i="5"/>
  <c r="AE7" i="18"/>
  <c r="AE7" i="15"/>
  <c r="AE7" i="14"/>
  <c r="AE7" i="17"/>
  <c r="AE7" i="3"/>
  <c r="AE7" i="6"/>
  <c r="AE7" i="5"/>
  <c r="AB7" i="18"/>
  <c r="AB7" i="17"/>
  <c r="AB7" i="15"/>
  <c r="AB7" i="14"/>
  <c r="AB7" i="3"/>
  <c r="AB7" i="6"/>
  <c r="AB7" i="5"/>
  <c r="AC15" i="11"/>
  <c r="AB15" i="11"/>
  <c r="AF15" i="11"/>
  <c r="AE15" i="11"/>
  <c r="AD15" i="11"/>
  <c r="AH14" i="11"/>
  <c r="AI11" i="11"/>
  <c r="AH5" i="11"/>
  <c r="AE71" i="5" l="1"/>
  <c r="AE72" i="5"/>
  <c r="AH8" i="42"/>
  <c r="AH8" i="8"/>
  <c r="AH8" i="2"/>
  <c r="AH8" i="30"/>
  <c r="AH8" i="29"/>
  <c r="AH8" i="7"/>
  <c r="AF82" i="5"/>
  <c r="AF81" i="5" s="1"/>
  <c r="AF64" i="5"/>
  <c r="AF63" i="5" s="1"/>
  <c r="AG64" i="5"/>
  <c r="AG63" i="5" s="1"/>
  <c r="AG82" i="5"/>
  <c r="AG81" i="5" s="1"/>
  <c r="AH8" i="18"/>
  <c r="AH8" i="17"/>
  <c r="AH8" i="15"/>
  <c r="AH8" i="14"/>
  <c r="AH8" i="3"/>
  <c r="AH8" i="6"/>
  <c r="AH8" i="5"/>
  <c r="AH70" i="5" s="1"/>
  <c r="AH69" i="5" s="1"/>
  <c r="AE66" i="5"/>
  <c r="AE65" i="5"/>
  <c r="AI14" i="11"/>
  <c r="AI5" i="11"/>
  <c r="AJ11" i="11"/>
  <c r="AG72" i="5" l="1"/>
  <c r="AG71" i="5"/>
  <c r="AF72" i="5"/>
  <c r="AF71" i="5"/>
  <c r="AI8" i="42"/>
  <c r="AI8" i="8"/>
  <c r="AI8" i="2"/>
  <c r="AI8" i="30"/>
  <c r="AI8" i="29"/>
  <c r="AI8" i="7"/>
  <c r="AH64" i="5"/>
  <c r="AH63" i="5" s="1"/>
  <c r="AH82" i="5"/>
  <c r="AH81" i="5" s="1"/>
  <c r="AG66" i="5"/>
  <c r="AG65" i="5"/>
  <c r="AF66" i="5"/>
  <c r="AF65" i="5"/>
  <c r="AI8" i="18"/>
  <c r="AI8" i="15"/>
  <c r="AI8" i="17"/>
  <c r="AI8" i="14"/>
  <c r="AI8" i="3"/>
  <c r="AI8" i="6"/>
  <c r="AI8" i="5"/>
  <c r="AI70" i="5" s="1"/>
  <c r="AI69" i="5" s="1"/>
  <c r="AJ14" i="11"/>
  <c r="AL11" i="11"/>
  <c r="AK11" i="11"/>
  <c r="AG3" i="11" s="1"/>
  <c r="AJ5" i="11"/>
  <c r="AH72" i="5" l="1"/>
  <c r="AH71" i="5"/>
  <c r="AJ8" i="42"/>
  <c r="AG6" i="42"/>
  <c r="AJ8" i="8"/>
  <c r="AJ8" i="30"/>
  <c r="AJ8" i="2"/>
  <c r="AJ8" i="29"/>
  <c r="AG6" i="29"/>
  <c r="AG6" i="8"/>
  <c r="AG6" i="2"/>
  <c r="AG6" i="30"/>
  <c r="AG6" i="3"/>
  <c r="AG6" i="7"/>
  <c r="AJ8" i="7"/>
  <c r="AJ8" i="18"/>
  <c r="AJ8" i="15"/>
  <c r="AJ8" i="17"/>
  <c r="AJ8" i="14"/>
  <c r="AJ8" i="3"/>
  <c r="AJ8" i="6"/>
  <c r="AJ8" i="5"/>
  <c r="AJ70" i="5" s="1"/>
  <c r="AJ69" i="5" s="1"/>
  <c r="AI82" i="5"/>
  <c r="AI81" i="5" s="1"/>
  <c r="AI64" i="5"/>
  <c r="AI63" i="5" s="1"/>
  <c r="AG6" i="18"/>
  <c r="AG6" i="17"/>
  <c r="AG6" i="15"/>
  <c r="AG6" i="14"/>
  <c r="AG6" i="6"/>
  <c r="AG6" i="5"/>
  <c r="AH65" i="5"/>
  <c r="AH66" i="5"/>
  <c r="AK14" i="11"/>
  <c r="AK5" i="11"/>
  <c r="AI4" i="11"/>
  <c r="AG4" i="11"/>
  <c r="AH4" i="11"/>
  <c r="AK4" i="11"/>
  <c r="AJ4" i="11"/>
  <c r="AL14" i="11"/>
  <c r="AM11" i="11"/>
  <c r="AL5" i="11"/>
  <c r="AI71" i="5" l="1"/>
  <c r="AI72" i="5"/>
  <c r="AL8" i="42"/>
  <c r="AK8" i="42"/>
  <c r="AJ7" i="42"/>
  <c r="AK7" i="42"/>
  <c r="AH7" i="42"/>
  <c r="AG7" i="42"/>
  <c r="AI7" i="42"/>
  <c r="AH7" i="29"/>
  <c r="AH7" i="8"/>
  <c r="AH7" i="2"/>
  <c r="AH7" i="30"/>
  <c r="AG7" i="29"/>
  <c r="AG7" i="8"/>
  <c r="AG7" i="2"/>
  <c r="AG7" i="30"/>
  <c r="AI7" i="29"/>
  <c r="AI7" i="8"/>
  <c r="AI7" i="2"/>
  <c r="AI7" i="30"/>
  <c r="AL8" i="8"/>
  <c r="AL8" i="2"/>
  <c r="AL8" i="30"/>
  <c r="AL8" i="29"/>
  <c r="AK8" i="8"/>
  <c r="AK8" i="2"/>
  <c r="AK8" i="30"/>
  <c r="AK8" i="29"/>
  <c r="AJ7" i="29"/>
  <c r="AJ7" i="8"/>
  <c r="AJ7" i="30"/>
  <c r="AJ7" i="2"/>
  <c r="AK7" i="29"/>
  <c r="AK7" i="8"/>
  <c r="AK7" i="2"/>
  <c r="AK7" i="30"/>
  <c r="AH7" i="7"/>
  <c r="AK8" i="7"/>
  <c r="AL8" i="7"/>
  <c r="AG7" i="7"/>
  <c r="AJ7" i="7"/>
  <c r="AK7" i="7"/>
  <c r="AI7" i="7"/>
  <c r="AG7" i="18"/>
  <c r="AG7" i="17"/>
  <c r="AG7" i="14"/>
  <c r="AG7" i="15"/>
  <c r="AG7" i="3"/>
  <c r="AG7" i="6"/>
  <c r="AG7" i="5"/>
  <c r="AI7" i="18"/>
  <c r="AI7" i="17"/>
  <c r="AI7" i="14"/>
  <c r="AI7" i="15"/>
  <c r="AI7" i="3"/>
  <c r="AI7" i="6"/>
  <c r="AI7" i="5"/>
  <c r="AI65" i="5"/>
  <c r="AI66" i="5"/>
  <c r="AK7" i="18"/>
  <c r="AK7" i="15"/>
  <c r="AK7" i="17"/>
  <c r="AK7" i="14"/>
  <c r="AK7" i="3"/>
  <c r="AK7" i="6"/>
  <c r="AK7" i="5"/>
  <c r="AL8" i="18"/>
  <c r="AL8" i="17"/>
  <c r="AL8" i="14"/>
  <c r="AL8" i="15"/>
  <c r="AL8" i="3"/>
  <c r="AL8" i="6"/>
  <c r="AL8" i="5"/>
  <c r="AL70" i="5" s="1"/>
  <c r="AL69" i="5" s="1"/>
  <c r="AK8" i="18"/>
  <c r="AK8" i="17"/>
  <c r="AK8" i="15"/>
  <c r="AK8" i="14"/>
  <c r="AK8" i="3"/>
  <c r="AK8" i="6"/>
  <c r="AK8" i="5"/>
  <c r="AK70" i="5" s="1"/>
  <c r="AK69" i="5" s="1"/>
  <c r="AJ7" i="18"/>
  <c r="AJ7" i="17"/>
  <c r="AJ7" i="15"/>
  <c r="AJ7" i="14"/>
  <c r="AJ7" i="3"/>
  <c r="AJ7" i="6"/>
  <c r="AJ7" i="5"/>
  <c r="AJ64" i="5"/>
  <c r="AJ63" i="5" s="1"/>
  <c r="AJ82" i="5"/>
  <c r="AJ81" i="5" s="1"/>
  <c r="AH7" i="18"/>
  <c r="AH7" i="17"/>
  <c r="AH7" i="14"/>
  <c r="AH7" i="15"/>
  <c r="AH7" i="3"/>
  <c r="AH7" i="6"/>
  <c r="AH7" i="5"/>
  <c r="AI15" i="11"/>
  <c r="AH15" i="11"/>
  <c r="AG15" i="11"/>
  <c r="AK15" i="11"/>
  <c r="AJ15" i="11"/>
  <c r="AM14" i="11"/>
  <c r="AN11" i="11"/>
  <c r="AM5" i="11"/>
  <c r="AJ72" i="5" l="1"/>
  <c r="AJ71" i="5"/>
  <c r="AM8" i="42"/>
  <c r="AM8" i="8"/>
  <c r="AM8" i="30"/>
  <c r="AM8" i="2"/>
  <c r="AM8" i="29"/>
  <c r="AM8" i="7"/>
  <c r="AK82" i="5"/>
  <c r="AK81" i="5" s="1"/>
  <c r="AK64" i="5"/>
  <c r="AK63" i="5" s="1"/>
  <c r="AM8" i="18"/>
  <c r="AM8" i="17"/>
  <c r="AM8" i="15"/>
  <c r="AM8" i="14"/>
  <c r="AM8" i="3"/>
  <c r="AM8" i="6"/>
  <c r="AM8" i="5"/>
  <c r="AM70" i="5" s="1"/>
  <c r="AM69" i="5" s="1"/>
  <c r="AJ66" i="5"/>
  <c r="AJ65" i="5"/>
  <c r="AL82" i="5"/>
  <c r="AL81" i="5" s="1"/>
  <c r="AL64" i="5"/>
  <c r="AL63" i="5" s="1"/>
  <c r="AN14" i="11"/>
  <c r="AN5" i="11"/>
  <c r="AO11" i="11"/>
  <c r="AL71" i="5" l="1"/>
  <c r="AL72" i="5"/>
  <c r="AK71" i="5"/>
  <c r="AK72" i="5"/>
  <c r="AN8" i="42"/>
  <c r="AN8" i="8"/>
  <c r="AN8" i="2"/>
  <c r="AN8" i="30"/>
  <c r="AN8" i="29"/>
  <c r="AN8" i="7"/>
  <c r="AN8" i="18"/>
  <c r="AN8" i="17"/>
  <c r="AN8" i="15"/>
  <c r="AN8" i="14"/>
  <c r="AN8" i="3"/>
  <c r="AN8" i="6"/>
  <c r="AN8" i="5"/>
  <c r="AN70" i="5" s="1"/>
  <c r="AN69" i="5" s="1"/>
  <c r="AM64" i="5"/>
  <c r="AM63" i="5" s="1"/>
  <c r="AM82" i="5"/>
  <c r="AM81" i="5" s="1"/>
  <c r="AL65" i="5"/>
  <c r="AL66" i="5"/>
  <c r="AK66" i="5"/>
  <c r="AK65" i="5"/>
  <c r="AO14" i="11"/>
  <c r="AQ11" i="11"/>
  <c r="AO5" i="11"/>
  <c r="AP11" i="11"/>
  <c r="AL3" i="11" s="1"/>
  <c r="AM72" i="5" l="1"/>
  <c r="AM71" i="5"/>
  <c r="AO8" i="42"/>
  <c r="AL6" i="42"/>
  <c r="AO8" i="8"/>
  <c r="AO8" i="2"/>
  <c r="AO8" i="30"/>
  <c r="AO8" i="29"/>
  <c r="AL6" i="29"/>
  <c r="AL6" i="8"/>
  <c r="AL6" i="2"/>
  <c r="AL6" i="30"/>
  <c r="AL6" i="7"/>
  <c r="AO8" i="7"/>
  <c r="AO8" i="18"/>
  <c r="AO8" i="15"/>
  <c r="AO8" i="14"/>
  <c r="AO8" i="17"/>
  <c r="AO8" i="3"/>
  <c r="AO8" i="6"/>
  <c r="AO8" i="5"/>
  <c r="AO70" i="5" s="1"/>
  <c r="AO69" i="5" s="1"/>
  <c r="AM65" i="5"/>
  <c r="AM66" i="5"/>
  <c r="AN64" i="5"/>
  <c r="AN63" i="5" s="1"/>
  <c r="AN82" i="5"/>
  <c r="AN81" i="5" s="1"/>
  <c r="AL6" i="18"/>
  <c r="AL6" i="17"/>
  <c r="AL6" i="15"/>
  <c r="AL6" i="14"/>
  <c r="AL6" i="3"/>
  <c r="AL6" i="6"/>
  <c r="AL6" i="5"/>
  <c r="AQ14" i="11"/>
  <c r="AQ5" i="11"/>
  <c r="AR11" i="11"/>
  <c r="AP14" i="11"/>
  <c r="AO4" i="11"/>
  <c r="AM4" i="11"/>
  <c r="AL4" i="11"/>
  <c r="AP4" i="11"/>
  <c r="AP5" i="11"/>
  <c r="AN4" i="11"/>
  <c r="AN72" i="5" l="1"/>
  <c r="AN71" i="5"/>
  <c r="AP8" i="42"/>
  <c r="AQ8" i="42"/>
  <c r="AN7" i="42"/>
  <c r="AP7" i="42"/>
  <c r="AL7" i="42"/>
  <c r="AM7" i="42"/>
  <c r="AO7" i="42"/>
  <c r="AP7" i="29"/>
  <c r="AP7" i="8"/>
  <c r="AP7" i="30"/>
  <c r="AP7" i="2"/>
  <c r="AO7" i="29"/>
  <c r="AO7" i="8"/>
  <c r="AO7" i="2"/>
  <c r="AO7" i="30"/>
  <c r="AN7" i="29"/>
  <c r="AN7" i="8"/>
  <c r="AN7" i="2"/>
  <c r="AN7" i="30"/>
  <c r="AP8" i="8"/>
  <c r="AP8" i="30"/>
  <c r="AP8" i="2"/>
  <c r="AP8" i="29"/>
  <c r="AL7" i="29"/>
  <c r="AL7" i="8"/>
  <c r="AL7" i="2"/>
  <c r="AL7" i="30"/>
  <c r="AQ8" i="8"/>
  <c r="AQ8" i="2"/>
  <c r="AQ8" i="30"/>
  <c r="AQ8" i="29"/>
  <c r="AM7" i="29"/>
  <c r="AM7" i="8"/>
  <c r="AM7" i="30"/>
  <c r="AM7" i="2"/>
  <c r="AL7" i="7"/>
  <c r="AM7" i="7"/>
  <c r="AO7" i="7"/>
  <c r="AN7" i="7"/>
  <c r="AP8" i="7"/>
  <c r="AQ8" i="7"/>
  <c r="AP7" i="7"/>
  <c r="AN7" i="18"/>
  <c r="AN7" i="17"/>
  <c r="AN7" i="15"/>
  <c r="AN7" i="14"/>
  <c r="AN7" i="3"/>
  <c r="AN7" i="6"/>
  <c r="AN7" i="5"/>
  <c r="AN66" i="5"/>
  <c r="AN65" i="5"/>
  <c r="AP8" i="18"/>
  <c r="AP8" i="15"/>
  <c r="AP8" i="14"/>
  <c r="AP8" i="17"/>
  <c r="AP8" i="3"/>
  <c r="AP8" i="6"/>
  <c r="AP8" i="5"/>
  <c r="AP70" i="5" s="1"/>
  <c r="AP69" i="5" s="1"/>
  <c r="AQ8" i="18"/>
  <c r="AQ8" i="15"/>
  <c r="AQ8" i="17"/>
  <c r="AQ8" i="14"/>
  <c r="AQ8" i="3"/>
  <c r="AQ8" i="6"/>
  <c r="AQ8" i="5"/>
  <c r="AQ70" i="5" s="1"/>
  <c r="AQ69" i="5" s="1"/>
  <c r="AP7" i="18"/>
  <c r="AP7" i="17"/>
  <c r="AP7" i="15"/>
  <c r="AP7" i="14"/>
  <c r="AP7" i="3"/>
  <c r="AP7" i="6"/>
  <c r="AP7" i="5"/>
  <c r="AL7" i="18"/>
  <c r="AL7" i="15"/>
  <c r="AL7" i="17"/>
  <c r="AL7" i="14"/>
  <c r="AL7" i="3"/>
  <c r="AL7" i="6"/>
  <c r="AL7" i="5"/>
  <c r="AM7" i="18"/>
  <c r="AM7" i="17"/>
  <c r="AM7" i="15"/>
  <c r="AM7" i="14"/>
  <c r="AM7" i="3"/>
  <c r="AM7" i="6"/>
  <c r="AM7" i="5"/>
  <c r="AO82" i="5"/>
  <c r="AO81" i="5" s="1"/>
  <c r="AO64" i="5"/>
  <c r="AO63" i="5" s="1"/>
  <c r="AO7" i="18"/>
  <c r="AO7" i="17"/>
  <c r="AO7" i="15"/>
  <c r="AO7" i="14"/>
  <c r="AO7" i="3"/>
  <c r="AO7" i="6"/>
  <c r="AO7" i="5"/>
  <c r="AO15" i="11"/>
  <c r="AN15" i="11"/>
  <c r="AM15" i="11"/>
  <c r="AL15" i="11"/>
  <c r="AP15" i="11"/>
  <c r="AR14" i="11"/>
  <c r="AS11" i="11"/>
  <c r="AR5" i="11"/>
  <c r="AO71" i="5" l="1"/>
  <c r="AO72" i="5"/>
  <c r="AR8" i="42"/>
  <c r="AR8" i="8"/>
  <c r="AR8" i="2"/>
  <c r="AR8" i="30"/>
  <c r="AR8" i="29"/>
  <c r="AR8" i="7"/>
  <c r="AQ82" i="5"/>
  <c r="AQ81" i="5" s="1"/>
  <c r="AQ64" i="5"/>
  <c r="AQ63" i="5" s="1"/>
  <c r="AR8" i="18"/>
  <c r="AR8" i="17"/>
  <c r="AR8" i="15"/>
  <c r="AR8" i="14"/>
  <c r="AR8" i="3"/>
  <c r="AR8" i="6"/>
  <c r="AR8" i="5"/>
  <c r="AR70" i="5" s="1"/>
  <c r="AR69" i="5" s="1"/>
  <c r="AO65" i="5"/>
  <c r="AO66" i="5"/>
  <c r="AP82" i="5"/>
  <c r="AP81" i="5" s="1"/>
  <c r="AP64" i="5"/>
  <c r="AP63" i="5" s="1"/>
  <c r="AS14" i="11"/>
  <c r="AT11" i="11"/>
  <c r="AS5" i="11"/>
  <c r="AP72" i="5" l="1"/>
  <c r="AP71" i="5"/>
  <c r="AQ72" i="5"/>
  <c r="AQ71" i="5"/>
  <c r="AS8" i="42"/>
  <c r="AS8" i="8"/>
  <c r="AS8" i="2"/>
  <c r="AS8" i="30"/>
  <c r="AS8" i="29"/>
  <c r="AS8" i="7"/>
  <c r="AR64" i="5"/>
  <c r="AR63" i="5" s="1"/>
  <c r="AR82" i="5"/>
  <c r="AR81" i="5" s="1"/>
  <c r="AP66" i="5"/>
  <c r="AP65" i="5"/>
  <c r="AS8" i="18"/>
  <c r="AS8" i="17"/>
  <c r="AS8" i="15"/>
  <c r="AS8" i="14"/>
  <c r="AS8" i="3"/>
  <c r="AS8" i="6"/>
  <c r="AS8" i="5"/>
  <c r="AS70" i="5" s="1"/>
  <c r="AS69" i="5" s="1"/>
  <c r="AQ66" i="5"/>
  <c r="AQ65" i="5"/>
  <c r="AT14" i="11"/>
  <c r="AU11" i="11"/>
  <c r="AQ3" i="11" s="1"/>
  <c r="AT5" i="11"/>
  <c r="AV11" i="11"/>
  <c r="AR71" i="5" l="1"/>
  <c r="AR72" i="5"/>
  <c r="AT8" i="42"/>
  <c r="AQ6" i="42"/>
  <c r="AT8" i="8"/>
  <c r="AT8" i="2"/>
  <c r="AT8" i="30"/>
  <c r="AT8" i="29"/>
  <c r="AQ6" i="29"/>
  <c r="AQ6" i="8"/>
  <c r="AQ6" i="2"/>
  <c r="AQ6" i="30"/>
  <c r="AT8" i="7"/>
  <c r="AQ6" i="7"/>
  <c r="AQ6" i="18"/>
  <c r="AQ6" i="15"/>
  <c r="AQ6" i="17"/>
  <c r="AQ6" i="14"/>
  <c r="AQ6" i="3"/>
  <c r="AQ6" i="6"/>
  <c r="AQ6" i="5"/>
  <c r="AS82" i="5"/>
  <c r="AS81" i="5" s="1"/>
  <c r="AS64" i="5"/>
  <c r="AS63" i="5" s="1"/>
  <c r="AR66" i="5"/>
  <c r="AR65" i="5"/>
  <c r="AT8" i="18"/>
  <c r="AT8" i="17"/>
  <c r="AT8" i="15"/>
  <c r="AT8" i="14"/>
  <c r="AT8" i="3"/>
  <c r="AT8" i="6"/>
  <c r="AT8" i="5"/>
  <c r="AT70" i="5" s="1"/>
  <c r="AT69" i="5" s="1"/>
  <c r="AU14" i="11"/>
  <c r="AU5" i="11"/>
  <c r="AU4" i="11"/>
  <c r="AS4" i="11"/>
  <c r="AR4" i="11"/>
  <c r="AT4" i="11"/>
  <c r="AQ4" i="11"/>
  <c r="AV14" i="11"/>
  <c r="AW11" i="11"/>
  <c r="AV5" i="11"/>
  <c r="AS71" i="5" l="1"/>
  <c r="AS72" i="5"/>
  <c r="AU8" i="42"/>
  <c r="AV8" i="42"/>
  <c r="AQ7" i="42"/>
  <c r="AT7" i="42"/>
  <c r="AR7" i="42"/>
  <c r="AS7" i="42"/>
  <c r="AU7" i="42"/>
  <c r="AV8" i="8"/>
  <c r="AV8" i="30"/>
  <c r="AV8" i="2"/>
  <c r="AV8" i="29"/>
  <c r="AU7" i="29"/>
  <c r="AU7" i="8"/>
  <c r="AU7" i="2"/>
  <c r="AU7" i="30"/>
  <c r="AS7" i="29"/>
  <c r="AS7" i="8"/>
  <c r="AS7" i="2"/>
  <c r="AS7" i="30"/>
  <c r="AU8" i="8"/>
  <c r="AU8" i="2"/>
  <c r="AU8" i="30"/>
  <c r="AU8" i="29"/>
  <c r="AQ7" i="29"/>
  <c r="AQ7" i="8"/>
  <c r="AQ7" i="2"/>
  <c r="AQ7" i="30"/>
  <c r="AT7" i="29"/>
  <c r="AT7" i="8"/>
  <c r="AT7" i="2"/>
  <c r="AT7" i="30"/>
  <c r="AR7" i="29"/>
  <c r="AR7" i="8"/>
  <c r="AR7" i="2"/>
  <c r="AR7" i="30"/>
  <c r="AR7" i="7"/>
  <c r="AU8" i="7"/>
  <c r="AQ7" i="7"/>
  <c r="AT7" i="7"/>
  <c r="AS7" i="7"/>
  <c r="AV8" i="7"/>
  <c r="AU7" i="7"/>
  <c r="AV8" i="18"/>
  <c r="AV8" i="15"/>
  <c r="AV8" i="17"/>
  <c r="AV8" i="14"/>
  <c r="AV8" i="3"/>
  <c r="AV8" i="6"/>
  <c r="AV8" i="5"/>
  <c r="AV70" i="5" s="1"/>
  <c r="AV69" i="5" s="1"/>
  <c r="AS7" i="18"/>
  <c r="AS7" i="17"/>
  <c r="AS7" i="14"/>
  <c r="AS7" i="15"/>
  <c r="AS7" i="3"/>
  <c r="AS7" i="6"/>
  <c r="AS7" i="5"/>
  <c r="AS66" i="5"/>
  <c r="AS65" i="5"/>
  <c r="AR7" i="18"/>
  <c r="AR7" i="15"/>
  <c r="AR7" i="14"/>
  <c r="AR7" i="17"/>
  <c r="AR7" i="3"/>
  <c r="AR7" i="6"/>
  <c r="AR7" i="5"/>
  <c r="AU7" i="18"/>
  <c r="AU7" i="17"/>
  <c r="AU7" i="15"/>
  <c r="AU7" i="14"/>
  <c r="AU7" i="3"/>
  <c r="AU7" i="6"/>
  <c r="AU7" i="5"/>
  <c r="AU8" i="18"/>
  <c r="AU8" i="17"/>
  <c r="AU8" i="14"/>
  <c r="AU8" i="15"/>
  <c r="AU8" i="3"/>
  <c r="AU8" i="6"/>
  <c r="AU8" i="5"/>
  <c r="AU70" i="5" s="1"/>
  <c r="AU69" i="5" s="1"/>
  <c r="AQ7" i="18"/>
  <c r="AQ7" i="15"/>
  <c r="AQ7" i="14"/>
  <c r="AQ7" i="17"/>
  <c r="AQ7" i="3"/>
  <c r="AQ7" i="6"/>
  <c r="AQ7" i="5"/>
  <c r="AT82" i="5"/>
  <c r="AT81" i="5" s="1"/>
  <c r="AT64" i="5"/>
  <c r="AT63" i="5" s="1"/>
  <c r="AT7" i="18"/>
  <c r="AT7" i="17"/>
  <c r="AT7" i="14"/>
  <c r="AT7" i="15"/>
  <c r="AT7" i="3"/>
  <c r="AT7" i="6"/>
  <c r="AT7" i="5"/>
  <c r="AU15" i="11"/>
  <c r="AT15" i="11"/>
  <c r="AS15" i="11"/>
  <c r="AR15" i="11"/>
  <c r="AQ15" i="11"/>
  <c r="AW14" i="11"/>
  <c r="AW5" i="11"/>
  <c r="AX11" i="11"/>
  <c r="AT72" i="5" l="1"/>
  <c r="AT71" i="5"/>
  <c r="AW8" i="42"/>
  <c r="AW8" i="8"/>
  <c r="AW8" i="2"/>
  <c r="AW8" i="30"/>
  <c r="AW8" i="29"/>
  <c r="AW8" i="7"/>
  <c r="AV64" i="5"/>
  <c r="AV63" i="5" s="1"/>
  <c r="AV82" i="5"/>
  <c r="AV81" i="5" s="1"/>
  <c r="AU82" i="5"/>
  <c r="AU81" i="5" s="1"/>
  <c r="AU64" i="5"/>
  <c r="AU63" i="5" s="1"/>
  <c r="AW8" i="18"/>
  <c r="AW8" i="17"/>
  <c r="AW8" i="15"/>
  <c r="AW8" i="14"/>
  <c r="AW8" i="3"/>
  <c r="AW8" i="6"/>
  <c r="AW8" i="5"/>
  <c r="AW70" i="5" s="1"/>
  <c r="AW69" i="5" s="1"/>
  <c r="AT66" i="5"/>
  <c r="AT65" i="5"/>
  <c r="AX14" i="11"/>
  <c r="AY11" i="11"/>
  <c r="AX5" i="11"/>
  <c r="AU71" i="5" l="1"/>
  <c r="AU72" i="5"/>
  <c r="AV72" i="5"/>
  <c r="AV71" i="5"/>
  <c r="AX8" i="42"/>
  <c r="AX8" i="8"/>
  <c r="AX8" i="2"/>
  <c r="AX8" i="30"/>
  <c r="AX8" i="29"/>
  <c r="AX8" i="7"/>
  <c r="AU66" i="5"/>
  <c r="AU65" i="5"/>
  <c r="AX8" i="18"/>
  <c r="AX8" i="17"/>
  <c r="AX8" i="14"/>
  <c r="AX8" i="15"/>
  <c r="AX8" i="3"/>
  <c r="AX8" i="6"/>
  <c r="AX8" i="5"/>
  <c r="AX70" i="5" s="1"/>
  <c r="AX69" i="5" s="1"/>
  <c r="AW82" i="5"/>
  <c r="AW81" i="5" s="1"/>
  <c r="AW64" i="5"/>
  <c r="AW63" i="5" s="1"/>
  <c r="AV65" i="5"/>
  <c r="AV66" i="5"/>
  <c r="AY14" i="11"/>
  <c r="AZ11" i="11"/>
  <c r="AV3" i="11" s="1"/>
  <c r="BA11" i="11"/>
  <c r="AY5" i="11"/>
  <c r="AW72" i="5" l="1"/>
  <c r="AW71" i="5"/>
  <c r="AY8" i="42"/>
  <c r="AV6" i="42"/>
  <c r="AY8" i="8"/>
  <c r="AY8" i="2"/>
  <c r="AY8" i="30"/>
  <c r="AY8" i="29"/>
  <c r="AV6" i="29"/>
  <c r="AV6" i="8"/>
  <c r="AV6" i="30"/>
  <c r="AV6" i="2"/>
  <c r="AV6" i="7"/>
  <c r="AY8" i="7"/>
  <c r="AY8" i="18"/>
  <c r="AY8" i="17"/>
  <c r="AY8" i="15"/>
  <c r="AY8" i="14"/>
  <c r="AY8" i="3"/>
  <c r="AY8" i="6"/>
  <c r="AY8" i="5"/>
  <c r="AY70" i="5" s="1"/>
  <c r="AY69" i="5" s="1"/>
  <c r="AX82" i="5"/>
  <c r="AX81" i="5" s="1"/>
  <c r="AX64" i="5"/>
  <c r="AX63" i="5" s="1"/>
  <c r="AV6" i="18"/>
  <c r="AV6" i="15"/>
  <c r="AV6" i="17"/>
  <c r="AV6" i="14"/>
  <c r="AV6" i="3"/>
  <c r="AV6" i="6"/>
  <c r="AV6" i="5"/>
  <c r="AW65" i="5"/>
  <c r="AW66" i="5"/>
  <c r="BA14" i="11"/>
  <c r="BA5" i="11"/>
  <c r="BB11" i="11"/>
  <c r="AZ14" i="11"/>
  <c r="AZ5" i="11"/>
  <c r="AY4" i="11"/>
  <c r="AX4" i="11"/>
  <c r="AV4" i="11"/>
  <c r="AZ4" i="11"/>
  <c r="AW4" i="11"/>
  <c r="AX71" i="5" l="1"/>
  <c r="AX72" i="5"/>
  <c r="BA8" i="42"/>
  <c r="AZ8" i="42"/>
  <c r="AW7" i="42"/>
  <c r="AZ7" i="42"/>
  <c r="AV7" i="42"/>
  <c r="AX7" i="42"/>
  <c r="AY7" i="42"/>
  <c r="AZ7" i="29"/>
  <c r="AZ7" i="8"/>
  <c r="AZ7" i="2"/>
  <c r="AZ7" i="30"/>
  <c r="AX7" i="29"/>
  <c r="AX7" i="8"/>
  <c r="AX7" i="30"/>
  <c r="AX7" i="2"/>
  <c r="AW7" i="29"/>
  <c r="AW7" i="8"/>
  <c r="AW7" i="30"/>
  <c r="AW7" i="2"/>
  <c r="AV7" i="29"/>
  <c r="AV7" i="8"/>
  <c r="AV7" i="30"/>
  <c r="AV7" i="2"/>
  <c r="BA8" i="8"/>
  <c r="BA8" i="2"/>
  <c r="BA8" i="30"/>
  <c r="BA8" i="29"/>
  <c r="AY7" i="29"/>
  <c r="AY7" i="8"/>
  <c r="AY7" i="30"/>
  <c r="AY7" i="2"/>
  <c r="AZ8" i="8"/>
  <c r="AZ8" i="2"/>
  <c r="AZ8" i="30"/>
  <c r="AZ8" i="29"/>
  <c r="AZ8" i="7"/>
  <c r="AX7" i="7"/>
  <c r="AZ7" i="7"/>
  <c r="AY7" i="7"/>
  <c r="AW7" i="7"/>
  <c r="AV7" i="7"/>
  <c r="BA8" i="7"/>
  <c r="AZ7" i="18"/>
  <c r="AZ7" i="17"/>
  <c r="AZ7" i="14"/>
  <c r="AZ7" i="15"/>
  <c r="AZ7" i="3"/>
  <c r="AZ7" i="6"/>
  <c r="AZ7" i="5"/>
  <c r="BA8" i="18"/>
  <c r="BA8" i="15"/>
  <c r="BA8" i="17"/>
  <c r="BA8" i="14"/>
  <c r="BA8" i="3"/>
  <c r="BA8" i="6"/>
  <c r="BA8" i="5"/>
  <c r="BA70" i="5" s="1"/>
  <c r="BA69" i="5" s="1"/>
  <c r="AX65" i="5"/>
  <c r="AX66" i="5"/>
  <c r="AY7" i="18"/>
  <c r="AY7" i="17"/>
  <c r="AY7" i="15"/>
  <c r="AY7" i="14"/>
  <c r="AY7" i="3"/>
  <c r="AY7" i="6"/>
  <c r="AY7" i="5"/>
  <c r="AX7" i="18"/>
  <c r="AX7" i="15"/>
  <c r="AX7" i="17"/>
  <c r="AX7" i="14"/>
  <c r="AX7" i="3"/>
  <c r="AX7" i="6"/>
  <c r="AX7" i="5"/>
  <c r="AZ8" i="18"/>
  <c r="AZ8" i="17"/>
  <c r="AZ8" i="15"/>
  <c r="AZ8" i="14"/>
  <c r="AZ8" i="3"/>
  <c r="AZ8" i="6"/>
  <c r="AZ8" i="5"/>
  <c r="AZ70" i="5" s="1"/>
  <c r="AZ69" i="5" s="1"/>
  <c r="AY82" i="5"/>
  <c r="AY81" i="5" s="1"/>
  <c r="AY64" i="5"/>
  <c r="AY63" i="5" s="1"/>
  <c r="AV7" i="18"/>
  <c r="AV7" i="17"/>
  <c r="AV7" i="15"/>
  <c r="AV7" i="14"/>
  <c r="AV7" i="3"/>
  <c r="AV7" i="6"/>
  <c r="AV7" i="5"/>
  <c r="AW7" i="18"/>
  <c r="AW7" i="15"/>
  <c r="AW7" i="17"/>
  <c r="AW7" i="14"/>
  <c r="AW7" i="3"/>
  <c r="AW7" i="6"/>
  <c r="AW7" i="5"/>
  <c r="AZ15" i="11"/>
  <c r="AY15" i="11"/>
  <c r="AX15" i="11"/>
  <c r="AW15" i="11"/>
  <c r="AV15" i="11"/>
  <c r="BB14" i="11"/>
  <c r="BC11" i="11"/>
  <c r="BB5" i="11"/>
  <c r="AY71" i="5" l="1"/>
  <c r="AY72" i="5"/>
  <c r="BB8" i="42"/>
  <c r="BB8" i="8"/>
  <c r="BB8" i="30"/>
  <c r="BB8" i="2"/>
  <c r="BB8" i="29"/>
  <c r="BB8" i="7"/>
  <c r="BA82" i="5"/>
  <c r="BA81" i="5" s="1"/>
  <c r="BA64" i="5"/>
  <c r="BA63" i="5" s="1"/>
  <c r="AY66" i="5"/>
  <c r="AY65" i="5"/>
  <c r="BB8" i="18"/>
  <c r="BB8" i="15"/>
  <c r="BB8" i="14"/>
  <c r="BB8" i="17"/>
  <c r="BB8" i="3"/>
  <c r="BB8" i="6"/>
  <c r="BB8" i="5"/>
  <c r="BB70" i="5" s="1"/>
  <c r="BB69" i="5" s="1"/>
  <c r="AZ82" i="5"/>
  <c r="AZ81" i="5" s="1"/>
  <c r="AZ64" i="5"/>
  <c r="AZ63" i="5" s="1"/>
  <c r="BC14" i="11"/>
  <c r="BC5" i="11"/>
  <c r="BD11" i="11"/>
  <c r="BA71" i="5" l="1"/>
  <c r="BA72" i="5"/>
  <c r="AZ71" i="5"/>
  <c r="AZ72" i="5"/>
  <c r="BC8" i="42"/>
  <c r="BC8" i="8"/>
  <c r="BC8" i="2"/>
  <c r="BC8" i="30"/>
  <c r="BC8" i="29"/>
  <c r="BC8" i="7"/>
  <c r="AZ66" i="5"/>
  <c r="AZ65" i="5"/>
  <c r="BB82" i="5"/>
  <c r="BB81" i="5" s="1"/>
  <c r="BB64" i="5"/>
  <c r="BB63" i="5" s="1"/>
  <c r="BA65" i="5"/>
  <c r="BA66" i="5"/>
  <c r="BC8" i="18"/>
  <c r="BC8" i="15"/>
  <c r="BC8" i="14"/>
  <c r="BC8" i="17"/>
  <c r="BC8" i="3"/>
  <c r="BC8" i="6"/>
  <c r="BC8" i="5"/>
  <c r="BC70" i="5" s="1"/>
  <c r="BC69" i="5" s="1"/>
  <c r="BD14" i="11"/>
  <c r="BE11" i="11"/>
  <c r="BA3" i="11" s="1"/>
  <c r="BF11" i="11"/>
  <c r="BD5" i="11"/>
  <c r="BB72" i="5" l="1"/>
  <c r="BB71" i="5"/>
  <c r="BD8" i="42"/>
  <c r="BA6" i="42"/>
  <c r="BD8" i="8"/>
  <c r="BD8" i="2"/>
  <c r="BD8" i="30"/>
  <c r="BD8" i="29"/>
  <c r="BA6" i="29"/>
  <c r="BA6" i="8"/>
  <c r="BA6" i="2"/>
  <c r="BA6" i="30"/>
  <c r="BD8" i="7"/>
  <c r="BA6" i="7"/>
  <c r="BB65" i="5"/>
  <c r="BB66" i="5"/>
  <c r="BC82" i="5"/>
  <c r="BC81" i="5" s="1"/>
  <c r="BC64" i="5"/>
  <c r="BC63" i="5" s="1"/>
  <c r="BA6" i="18"/>
  <c r="BA6" i="17"/>
  <c r="BA6" i="15"/>
  <c r="BA6" i="14"/>
  <c r="BA6" i="3"/>
  <c r="BA6" i="6"/>
  <c r="BA6" i="5"/>
  <c r="BD8" i="18"/>
  <c r="BD8" i="17"/>
  <c r="BD8" i="14"/>
  <c r="BD8" i="15"/>
  <c r="BD8" i="3"/>
  <c r="BD8" i="6"/>
  <c r="BD8" i="5"/>
  <c r="BD70" i="5" s="1"/>
  <c r="BD69" i="5" s="1"/>
  <c r="BF14" i="11"/>
  <c r="BF5" i="11"/>
  <c r="BG11" i="11"/>
  <c r="BE14" i="11"/>
  <c r="BA4" i="11"/>
  <c r="BE4" i="11"/>
  <c r="BE5" i="11"/>
  <c r="BD4" i="11"/>
  <c r="BB4" i="11"/>
  <c r="BC4" i="11"/>
  <c r="BC72" i="5" l="1"/>
  <c r="BC71" i="5"/>
  <c r="BF8" i="42"/>
  <c r="BE8" i="42"/>
  <c r="BC7" i="42"/>
  <c r="BB7" i="42"/>
  <c r="BD7" i="42"/>
  <c r="BE7" i="42"/>
  <c r="BA7" i="42"/>
  <c r="BD7" i="29"/>
  <c r="BD7" i="8"/>
  <c r="BD7" i="2"/>
  <c r="BD7" i="30"/>
  <c r="BF8" i="8"/>
  <c r="BF8" i="2"/>
  <c r="BF8" i="30"/>
  <c r="BF8" i="29"/>
  <c r="BE8" i="8"/>
  <c r="BE8" i="30"/>
  <c r="BE8" i="2"/>
  <c r="BE8" i="29"/>
  <c r="BE7" i="29"/>
  <c r="BE7" i="8"/>
  <c r="BE7" i="2"/>
  <c r="BE7" i="30"/>
  <c r="BA7" i="29"/>
  <c r="BA7" i="8"/>
  <c r="BA7" i="2"/>
  <c r="BA7" i="30"/>
  <c r="BC7" i="29"/>
  <c r="BC7" i="8"/>
  <c r="BC7" i="2"/>
  <c r="BC7" i="30"/>
  <c r="BB7" i="29"/>
  <c r="BB7" i="8"/>
  <c r="BB7" i="30"/>
  <c r="BB7" i="2"/>
  <c r="BA7" i="7"/>
  <c r="BC7" i="7"/>
  <c r="BB7" i="7"/>
  <c r="BD7" i="7"/>
  <c r="BF8" i="7"/>
  <c r="BE8" i="7"/>
  <c r="BE7" i="7"/>
  <c r="BD7" i="18"/>
  <c r="BD7" i="15"/>
  <c r="BD7" i="14"/>
  <c r="BD7" i="17"/>
  <c r="BD7" i="3"/>
  <c r="BD7" i="6"/>
  <c r="BD7" i="5"/>
  <c r="BF8" i="18"/>
  <c r="BF8" i="17"/>
  <c r="BF8" i="15"/>
  <c r="BF8" i="14"/>
  <c r="BF8" i="3"/>
  <c r="BF8" i="6"/>
  <c r="BF8" i="5"/>
  <c r="BF70" i="5" s="1"/>
  <c r="BF69" i="5" s="1"/>
  <c r="BC65" i="5"/>
  <c r="BC66" i="5"/>
  <c r="BE7" i="18"/>
  <c r="BE7" i="17"/>
  <c r="BE7" i="14"/>
  <c r="BE7" i="15"/>
  <c r="BE7" i="3"/>
  <c r="BE7" i="6"/>
  <c r="BE7" i="5"/>
  <c r="BA7" i="18"/>
  <c r="BA7" i="17"/>
  <c r="BA7" i="15"/>
  <c r="BA7" i="14"/>
  <c r="BA7" i="3"/>
  <c r="BA7" i="6"/>
  <c r="BA7" i="5"/>
  <c r="BD64" i="5"/>
  <c r="BD63" i="5" s="1"/>
  <c r="BD82" i="5"/>
  <c r="BD81" i="5" s="1"/>
  <c r="BB7" i="18"/>
  <c r="BB7" i="17"/>
  <c r="BB7" i="15"/>
  <c r="BB7" i="14"/>
  <c r="BB7" i="3"/>
  <c r="BB7" i="6"/>
  <c r="BB7" i="5"/>
  <c r="BE8" i="18"/>
  <c r="BE8" i="17"/>
  <c r="BE8" i="15"/>
  <c r="BE8" i="14"/>
  <c r="BE8" i="3"/>
  <c r="BE8" i="6"/>
  <c r="BE8" i="5"/>
  <c r="BE70" i="5" s="1"/>
  <c r="BE69" i="5" s="1"/>
  <c r="BC7" i="18"/>
  <c r="BC7" i="15"/>
  <c r="BC7" i="14"/>
  <c r="BC7" i="17"/>
  <c r="BC7" i="3"/>
  <c r="BC7" i="6"/>
  <c r="BC7" i="5"/>
  <c r="BG14" i="11"/>
  <c r="BG5" i="11"/>
  <c r="BH11" i="11"/>
  <c r="BA15" i="11"/>
  <c r="BE15" i="11"/>
  <c r="BD15" i="11"/>
  <c r="BC15" i="11"/>
  <c r="BB15" i="11"/>
  <c r="BD72" i="5" l="1"/>
  <c r="BD71" i="5"/>
  <c r="BG8" i="42"/>
  <c r="BG8" i="8"/>
  <c r="BG8" i="2"/>
  <c r="BG8" i="30"/>
  <c r="BG8" i="29"/>
  <c r="BG8" i="7"/>
  <c r="BD65" i="5"/>
  <c r="BD66" i="5"/>
  <c r="BE82" i="5"/>
  <c r="BE81" i="5" s="1"/>
  <c r="BE64" i="5"/>
  <c r="BE63" i="5" s="1"/>
  <c r="BF64" i="5"/>
  <c r="BF63" i="5" s="1"/>
  <c r="BF82" i="5"/>
  <c r="BF81" i="5" s="1"/>
  <c r="BG8" i="18"/>
  <c r="BG8" i="17"/>
  <c r="BG8" i="15"/>
  <c r="BG8" i="14"/>
  <c r="BG8" i="3"/>
  <c r="BG8" i="6"/>
  <c r="BG8" i="5"/>
  <c r="BG70" i="5" s="1"/>
  <c r="BG69" i="5" s="1"/>
  <c r="BH14" i="11"/>
  <c r="BI11" i="11"/>
  <c r="BH5" i="11"/>
  <c r="BF71" i="5" l="1"/>
  <c r="BF72" i="5"/>
  <c r="BE72" i="5"/>
  <c r="BE71" i="5"/>
  <c r="BH8" i="42"/>
  <c r="BH8" i="8"/>
  <c r="BH8" i="30"/>
  <c r="BH8" i="2"/>
  <c r="BH8" i="29"/>
  <c r="BH8" i="7"/>
  <c r="BE65" i="5"/>
  <c r="BE66" i="5"/>
  <c r="BH8" i="18"/>
  <c r="BH8" i="15"/>
  <c r="BH8" i="17"/>
  <c r="BH8" i="14"/>
  <c r="BH8" i="3"/>
  <c r="BH8" i="6"/>
  <c r="BH8" i="5"/>
  <c r="BH70" i="5" s="1"/>
  <c r="BH69" i="5" s="1"/>
  <c r="BG82" i="5"/>
  <c r="BG81" i="5" s="1"/>
  <c r="BG64" i="5"/>
  <c r="BG63" i="5" s="1"/>
  <c r="BF65" i="5"/>
  <c r="BF66" i="5"/>
  <c r="BI14" i="11"/>
  <c r="BK11" i="11"/>
  <c r="BI5" i="11"/>
  <c r="BJ11" i="11"/>
  <c r="BF3" i="11" s="1"/>
  <c r="BG71" i="5" l="1"/>
  <c r="BG72" i="5"/>
  <c r="BI8" i="42"/>
  <c r="BF6" i="42"/>
  <c r="BF6" i="29"/>
  <c r="BF6" i="8"/>
  <c r="BF6" i="2"/>
  <c r="BF6" i="30"/>
  <c r="BI8" i="8"/>
  <c r="BI8" i="2"/>
  <c r="BI8" i="30"/>
  <c r="BI8" i="29"/>
  <c r="BF6" i="7"/>
  <c r="BI8" i="7"/>
  <c r="BG66" i="5"/>
  <c r="BG65" i="5"/>
  <c r="BF6" i="18"/>
  <c r="BF6" i="17"/>
  <c r="BF6" i="15"/>
  <c r="BF6" i="14"/>
  <c r="BF6" i="3"/>
  <c r="BF6" i="6"/>
  <c r="BF6" i="5"/>
  <c r="BH64" i="5"/>
  <c r="BH63" i="5" s="1"/>
  <c r="BH82" i="5"/>
  <c r="BH81" i="5" s="1"/>
  <c r="BI8" i="18"/>
  <c r="BI8" i="17"/>
  <c r="BI8" i="15"/>
  <c r="BI8" i="14"/>
  <c r="BI8" i="3"/>
  <c r="BI8" i="6"/>
  <c r="BI8" i="5"/>
  <c r="BI70" i="5" s="1"/>
  <c r="BI69" i="5" s="1"/>
  <c r="BK14" i="11"/>
  <c r="BL11" i="11"/>
  <c r="BK5" i="11"/>
  <c r="BJ14" i="11"/>
  <c r="BJ5" i="11"/>
  <c r="BG4" i="11"/>
  <c r="BJ4" i="11"/>
  <c r="BH4" i="11"/>
  <c r="BF4" i="11"/>
  <c r="BI4" i="11"/>
  <c r="BH72" i="5" l="1"/>
  <c r="BH71" i="5"/>
  <c r="BK8" i="42"/>
  <c r="BJ8" i="42"/>
  <c r="BI7" i="42"/>
  <c r="BF7" i="42"/>
  <c r="BH7" i="42"/>
  <c r="BJ7" i="42"/>
  <c r="BG7" i="42"/>
  <c r="BI7" i="29"/>
  <c r="BI7" i="8"/>
  <c r="BI7" i="2"/>
  <c r="BI7" i="30"/>
  <c r="BF7" i="29"/>
  <c r="BF7" i="8"/>
  <c r="BF7" i="2"/>
  <c r="BF7" i="30"/>
  <c r="BH7" i="29"/>
  <c r="BH7" i="8"/>
  <c r="BH7" i="30"/>
  <c r="BH7" i="2"/>
  <c r="BJ7" i="29"/>
  <c r="BJ7" i="8"/>
  <c r="BJ7" i="2"/>
  <c r="BJ7" i="30"/>
  <c r="BK8" i="8"/>
  <c r="BK8" i="2"/>
  <c r="BK8" i="30"/>
  <c r="BK8" i="29"/>
  <c r="BG7" i="29"/>
  <c r="BG7" i="8"/>
  <c r="BG7" i="2"/>
  <c r="BG7" i="30"/>
  <c r="BJ8" i="8"/>
  <c r="BJ8" i="30"/>
  <c r="BJ8" i="2"/>
  <c r="BJ8" i="29"/>
  <c r="BJ7" i="7"/>
  <c r="BG7" i="7"/>
  <c r="BJ8" i="7"/>
  <c r="BF7" i="7"/>
  <c r="BK8" i="7"/>
  <c r="BI7" i="7"/>
  <c r="BH7" i="7"/>
  <c r="BF7" i="18"/>
  <c r="BF7" i="17"/>
  <c r="BF7" i="15"/>
  <c r="BF7" i="14"/>
  <c r="BF7" i="3"/>
  <c r="BF7" i="6"/>
  <c r="BF7" i="5"/>
  <c r="BK8" i="18"/>
  <c r="BK8" i="17"/>
  <c r="BK8" i="15"/>
  <c r="BK8" i="14"/>
  <c r="BK8" i="3"/>
  <c r="BK8" i="6"/>
  <c r="BK8" i="5"/>
  <c r="BK70" i="5" s="1"/>
  <c r="BK69" i="5" s="1"/>
  <c r="BH65" i="5"/>
  <c r="BH66" i="5"/>
  <c r="BJ7" i="18"/>
  <c r="BJ7" i="15"/>
  <c r="BJ7" i="17"/>
  <c r="BJ7" i="14"/>
  <c r="BJ7" i="3"/>
  <c r="BJ7" i="6"/>
  <c r="BJ7" i="5"/>
  <c r="BG7" i="18"/>
  <c r="BG7" i="17"/>
  <c r="BG7" i="15"/>
  <c r="BG7" i="14"/>
  <c r="BG7" i="3"/>
  <c r="BG7" i="6"/>
  <c r="BG7" i="5"/>
  <c r="BJ8" i="18"/>
  <c r="BJ8" i="17"/>
  <c r="BJ8" i="15"/>
  <c r="BJ8" i="14"/>
  <c r="BJ8" i="3"/>
  <c r="BJ8" i="6"/>
  <c r="BJ8" i="5"/>
  <c r="BJ70" i="5" s="1"/>
  <c r="BJ69" i="5" s="1"/>
  <c r="BI64" i="5"/>
  <c r="BI63" i="5" s="1"/>
  <c r="BI82" i="5"/>
  <c r="BI81" i="5" s="1"/>
  <c r="BH7" i="18"/>
  <c r="BH7" i="17"/>
  <c r="BH7" i="15"/>
  <c r="BH7" i="14"/>
  <c r="BH7" i="3"/>
  <c r="BH7" i="6"/>
  <c r="BH7" i="5"/>
  <c r="BI7" i="18"/>
  <c r="BI7" i="15"/>
  <c r="BI7" i="17"/>
  <c r="BI7" i="14"/>
  <c r="BI7" i="3"/>
  <c r="BI7" i="6"/>
  <c r="BI7" i="5"/>
  <c r="BG15" i="11"/>
  <c r="BF15" i="11"/>
  <c r="BJ15" i="11"/>
  <c r="BI15" i="11"/>
  <c r="BH15" i="11"/>
  <c r="BL14" i="11"/>
  <c r="BM11" i="11"/>
  <c r="BL5" i="11"/>
  <c r="BI72" i="5" l="1"/>
  <c r="BI71" i="5"/>
  <c r="BL8" i="42"/>
  <c r="BL8" i="8"/>
  <c r="BL8" i="2"/>
  <c r="BL8" i="30"/>
  <c r="BL8" i="29"/>
  <c r="BL8" i="7"/>
  <c r="BJ64" i="5"/>
  <c r="BJ63" i="5" s="1"/>
  <c r="BJ82" i="5"/>
  <c r="BJ81" i="5" s="1"/>
  <c r="BK82" i="5"/>
  <c r="BK81" i="5" s="1"/>
  <c r="BK64" i="5"/>
  <c r="BK63" i="5" s="1"/>
  <c r="BL8" i="18"/>
  <c r="BL8" i="17"/>
  <c r="BL8" i="15"/>
  <c r="BL8" i="14"/>
  <c r="BL8" i="3"/>
  <c r="BL8" i="6"/>
  <c r="BL8" i="5"/>
  <c r="BL70" i="5" s="1"/>
  <c r="BL69" i="5" s="1"/>
  <c r="BI65" i="5"/>
  <c r="BI66" i="5"/>
  <c r="BM14" i="11"/>
  <c r="BM5" i="11"/>
  <c r="BN11" i="11"/>
  <c r="BK72" i="5" l="1"/>
  <c r="BK71" i="5"/>
  <c r="BJ72" i="5"/>
  <c r="BJ71" i="5"/>
  <c r="BM8" i="42"/>
  <c r="BM8" i="8"/>
  <c r="BM8" i="2"/>
  <c r="BM8" i="30"/>
  <c r="BM8" i="29"/>
  <c r="BM8" i="7"/>
  <c r="BK66" i="5"/>
  <c r="BK65" i="5"/>
  <c r="BM8" i="18"/>
  <c r="BM8" i="15"/>
  <c r="BM8" i="14"/>
  <c r="BM8" i="17"/>
  <c r="BM8" i="3"/>
  <c r="BM8" i="6"/>
  <c r="BM8" i="5"/>
  <c r="BM70" i="5" s="1"/>
  <c r="BM69" i="5" s="1"/>
  <c r="BJ65" i="5"/>
  <c r="BJ66" i="5"/>
  <c r="BL64" i="5"/>
  <c r="BL63" i="5" s="1"/>
  <c r="BL82" i="5"/>
  <c r="BL81" i="5" s="1"/>
  <c r="BN14" i="11"/>
  <c r="BP11" i="11"/>
  <c r="BO11" i="11"/>
  <c r="BK3" i="11" s="1"/>
  <c r="BN5" i="11"/>
  <c r="BL72" i="5" l="1"/>
  <c r="BL71" i="5"/>
  <c r="BN8" i="42"/>
  <c r="BK6" i="42"/>
  <c r="BN8" i="8"/>
  <c r="BN8" i="30"/>
  <c r="BN8" i="2"/>
  <c r="BN8" i="29"/>
  <c r="BK6" i="29"/>
  <c r="BK6" i="8"/>
  <c r="BK6" i="30"/>
  <c r="BK6" i="2"/>
  <c r="BK6" i="7"/>
  <c r="BN8" i="7"/>
  <c r="BN8" i="18"/>
  <c r="BN8" i="15"/>
  <c r="BN8" i="14"/>
  <c r="BN8" i="17"/>
  <c r="BN8" i="3"/>
  <c r="BN8" i="6"/>
  <c r="BN8" i="5"/>
  <c r="BN70" i="5" s="1"/>
  <c r="BN69" i="5" s="1"/>
  <c r="BL66" i="5"/>
  <c r="BL65" i="5"/>
  <c r="BK6" i="18"/>
  <c r="BK6" i="17"/>
  <c r="BK6" i="15"/>
  <c r="BK6" i="14"/>
  <c r="BK6" i="3"/>
  <c r="BK6" i="6"/>
  <c r="BK6" i="5"/>
  <c r="BM64" i="5"/>
  <c r="BM63" i="5" s="1"/>
  <c r="BM82" i="5"/>
  <c r="BM81" i="5" s="1"/>
  <c r="BP14" i="11"/>
  <c r="BQ11" i="11"/>
  <c r="BP5" i="11"/>
  <c r="BO14" i="11"/>
  <c r="BO5" i="11"/>
  <c r="BM4" i="11"/>
  <c r="BK4" i="11"/>
  <c r="BN4" i="11"/>
  <c r="BL4" i="11"/>
  <c r="BO4" i="11"/>
  <c r="BM71" i="5" l="1"/>
  <c r="BM72" i="5"/>
  <c r="BP8" i="42"/>
  <c r="BO8" i="42"/>
  <c r="BO7" i="42"/>
  <c r="BL7" i="42"/>
  <c r="BN7" i="42"/>
  <c r="BK7" i="42"/>
  <c r="BM7" i="42"/>
  <c r="BP8" i="8"/>
  <c r="BP8" i="2"/>
  <c r="BP8" i="30"/>
  <c r="BP8" i="29"/>
  <c r="BK7" i="29"/>
  <c r="BK7" i="8"/>
  <c r="BK7" i="2"/>
  <c r="BK7" i="30"/>
  <c r="BM7" i="29"/>
  <c r="BM7" i="8"/>
  <c r="BM7" i="2"/>
  <c r="BM7" i="30"/>
  <c r="BO8" i="8"/>
  <c r="BO8" i="2"/>
  <c r="BO8" i="30"/>
  <c r="BO8" i="29"/>
  <c r="BO7" i="29"/>
  <c r="BO7" i="8"/>
  <c r="BO7" i="30"/>
  <c r="BO7" i="2"/>
  <c r="BN7" i="29"/>
  <c r="BN7" i="8"/>
  <c r="BN7" i="30"/>
  <c r="BN7" i="2"/>
  <c r="BL7" i="29"/>
  <c r="BL7" i="8"/>
  <c r="BL7" i="2"/>
  <c r="BL7" i="30"/>
  <c r="BO8" i="7"/>
  <c r="BM7" i="7"/>
  <c r="BP8" i="7"/>
  <c r="BO7" i="7"/>
  <c r="BL7" i="7"/>
  <c r="BN7" i="7"/>
  <c r="BK7" i="7"/>
  <c r="BL7" i="18"/>
  <c r="BL7" i="17"/>
  <c r="BL7" i="14"/>
  <c r="BL7" i="15"/>
  <c r="BL7" i="3"/>
  <c r="BL7" i="6"/>
  <c r="BL7" i="5"/>
  <c r="BN7" i="18"/>
  <c r="BN7" i="17"/>
  <c r="BN7" i="15"/>
  <c r="BN7" i="14"/>
  <c r="BN7" i="3"/>
  <c r="BN7" i="6"/>
  <c r="BN7" i="5"/>
  <c r="BK7" i="18"/>
  <c r="BK7" i="17"/>
  <c r="BK7" i="15"/>
  <c r="BK7" i="14"/>
  <c r="BK7" i="3"/>
  <c r="BK7" i="6"/>
  <c r="BK7" i="5"/>
  <c r="BM7" i="18"/>
  <c r="BM7" i="17"/>
  <c r="BM7" i="15"/>
  <c r="BM7" i="14"/>
  <c r="BM7" i="3"/>
  <c r="BM7" i="6"/>
  <c r="BM7" i="5"/>
  <c r="BO8" i="18"/>
  <c r="BO8" i="17"/>
  <c r="BO8" i="14"/>
  <c r="BO8" i="15"/>
  <c r="BO8" i="3"/>
  <c r="BO8" i="6"/>
  <c r="BO8" i="5"/>
  <c r="BO70" i="5" s="1"/>
  <c r="BO69" i="5" s="1"/>
  <c r="BM66" i="5"/>
  <c r="BM65" i="5"/>
  <c r="BN82" i="5"/>
  <c r="BN81" i="5" s="1"/>
  <c r="BN64" i="5"/>
  <c r="BN63" i="5" s="1"/>
  <c r="BP8" i="18"/>
  <c r="BP8" i="17"/>
  <c r="BP8" i="15"/>
  <c r="BP8" i="14"/>
  <c r="BP8" i="3"/>
  <c r="BP8" i="6"/>
  <c r="BP8" i="5"/>
  <c r="BP70" i="5" s="1"/>
  <c r="BP69" i="5" s="1"/>
  <c r="BO7" i="18"/>
  <c r="BO7" i="15"/>
  <c r="BO7" i="14"/>
  <c r="BO7" i="17"/>
  <c r="BO7" i="3"/>
  <c r="BO7" i="6"/>
  <c r="BO7" i="5"/>
  <c r="BM15" i="11"/>
  <c r="BL15" i="11"/>
  <c r="BK15" i="11"/>
  <c r="BO15" i="11"/>
  <c r="BN15" i="11"/>
  <c r="BQ14" i="11"/>
  <c r="BR11" i="11"/>
  <c r="BQ5" i="11"/>
  <c r="BN72" i="5" l="1"/>
  <c r="BN71" i="5"/>
  <c r="BQ8" i="42"/>
  <c r="BQ8" i="8"/>
  <c r="BQ8" i="2"/>
  <c r="BQ8" i="30"/>
  <c r="BQ8" i="29"/>
  <c r="BQ8" i="7"/>
  <c r="BQ8" i="18"/>
  <c r="BQ8" i="17"/>
  <c r="BQ8" i="15"/>
  <c r="BQ8" i="14"/>
  <c r="BQ8" i="3"/>
  <c r="BQ8" i="6"/>
  <c r="BQ8" i="5"/>
  <c r="BQ70" i="5" s="1"/>
  <c r="BQ69" i="5" s="1"/>
  <c r="BP82" i="5"/>
  <c r="BP81" i="5" s="1"/>
  <c r="BP64" i="5"/>
  <c r="BP63" i="5" s="1"/>
  <c r="BO82" i="5"/>
  <c r="BO81" i="5" s="1"/>
  <c r="BO64" i="5"/>
  <c r="BO63" i="5" s="1"/>
  <c r="BN65" i="5"/>
  <c r="BN66" i="5"/>
  <c r="BR14" i="11"/>
  <c r="BS11" i="11"/>
  <c r="BR5" i="11"/>
  <c r="BP72" i="5" l="1"/>
  <c r="BP71" i="5"/>
  <c r="BO71" i="5"/>
  <c r="BO72" i="5"/>
  <c r="BR8" i="42"/>
  <c r="BR8" i="8"/>
  <c r="BR8" i="2"/>
  <c r="BR8" i="30"/>
  <c r="BR8" i="29"/>
  <c r="BR8" i="7"/>
  <c r="BP66" i="5"/>
  <c r="BP65" i="5"/>
  <c r="BQ64" i="5"/>
  <c r="BQ63" i="5" s="1"/>
  <c r="BQ82" i="5"/>
  <c r="BQ81" i="5" s="1"/>
  <c r="BR8" i="18"/>
  <c r="BR8" i="17"/>
  <c r="BR8" i="15"/>
  <c r="BR8" i="14"/>
  <c r="BR8" i="3"/>
  <c r="BR8" i="6"/>
  <c r="BR8" i="5"/>
  <c r="BR70" i="5" s="1"/>
  <c r="BR69" i="5" s="1"/>
  <c r="BO66" i="5"/>
  <c r="BO65" i="5"/>
  <c r="BS14" i="11"/>
  <c r="BU11" i="11"/>
  <c r="BS5" i="11"/>
  <c r="BT11" i="11"/>
  <c r="BP3" i="11" s="1"/>
  <c r="BQ72" i="5" l="1"/>
  <c r="BQ71" i="5"/>
  <c r="BS8" i="42"/>
  <c r="BP6" i="42"/>
  <c r="BP6" i="29"/>
  <c r="BP6" i="8"/>
  <c r="BP6" i="2"/>
  <c r="BP6" i="30"/>
  <c r="BS8" i="8"/>
  <c r="BS8" i="2"/>
  <c r="BS8" i="30"/>
  <c r="BS8" i="29"/>
  <c r="BP6" i="7"/>
  <c r="BS8" i="7"/>
  <c r="BP6" i="18"/>
  <c r="BP6" i="17"/>
  <c r="BP6" i="15"/>
  <c r="BP6" i="14"/>
  <c r="BP6" i="3"/>
  <c r="BP6" i="6"/>
  <c r="BP6" i="5"/>
  <c r="BR82" i="5"/>
  <c r="BR81" i="5" s="1"/>
  <c r="BR64" i="5"/>
  <c r="BR63" i="5" s="1"/>
  <c r="BS8" i="18"/>
  <c r="BS8" i="15"/>
  <c r="BS8" i="17"/>
  <c r="BS8" i="14"/>
  <c r="BS8" i="3"/>
  <c r="BS8" i="6"/>
  <c r="BS8" i="5"/>
  <c r="BS70" i="5" s="1"/>
  <c r="BS69" i="5" s="1"/>
  <c r="BQ65" i="5"/>
  <c r="BQ66" i="5"/>
  <c r="BT14" i="11"/>
  <c r="BS4" i="11"/>
  <c r="BQ4" i="11"/>
  <c r="BP4" i="11"/>
  <c r="BT5" i="11"/>
  <c r="BT4" i="11"/>
  <c r="BR4" i="11"/>
  <c r="BU14" i="11"/>
  <c r="BU5" i="11"/>
  <c r="BV11" i="11"/>
  <c r="BR72" i="5" l="1"/>
  <c r="BR71" i="5"/>
  <c r="BU8" i="42"/>
  <c r="BT8" i="42"/>
  <c r="BR7" i="42"/>
  <c r="BT7" i="42"/>
  <c r="BP7" i="42"/>
  <c r="BQ7" i="42"/>
  <c r="BS7" i="42"/>
  <c r="BP7" i="29"/>
  <c r="BP7" i="8"/>
  <c r="BP7" i="2"/>
  <c r="BP7" i="30"/>
  <c r="BU8" i="8"/>
  <c r="BU8" i="2"/>
  <c r="BU8" i="30"/>
  <c r="BU8" i="29"/>
  <c r="BQ7" i="29"/>
  <c r="BQ7" i="8"/>
  <c r="BQ7" i="30"/>
  <c r="BQ7" i="2"/>
  <c r="BR7" i="29"/>
  <c r="BR7" i="8"/>
  <c r="BR7" i="2"/>
  <c r="BR7" i="30"/>
  <c r="BT7" i="29"/>
  <c r="BT7" i="8"/>
  <c r="BT7" i="30"/>
  <c r="BT7" i="2"/>
  <c r="BS7" i="29"/>
  <c r="BS7" i="8"/>
  <c r="BS7" i="2"/>
  <c r="BS7" i="30"/>
  <c r="BT8" i="8"/>
  <c r="BT8" i="30"/>
  <c r="BT8" i="2"/>
  <c r="BT8" i="29"/>
  <c r="BS7" i="7"/>
  <c r="BR7" i="7"/>
  <c r="BT7" i="7"/>
  <c r="BT8" i="7"/>
  <c r="BP7" i="7"/>
  <c r="BU8" i="7"/>
  <c r="BQ7" i="7"/>
  <c r="BR66" i="5"/>
  <c r="BR65" i="5"/>
  <c r="BU8" i="18"/>
  <c r="BU8" i="17"/>
  <c r="BU8" i="15"/>
  <c r="BU8" i="14"/>
  <c r="BU8" i="3"/>
  <c r="BU8" i="6"/>
  <c r="BU8" i="5"/>
  <c r="BU70" i="5" s="1"/>
  <c r="BU69" i="5" s="1"/>
  <c r="BQ7" i="18"/>
  <c r="BQ7" i="17"/>
  <c r="BQ7" i="15"/>
  <c r="BQ7" i="14"/>
  <c r="BQ7" i="3"/>
  <c r="BQ7" i="6"/>
  <c r="BQ7" i="5"/>
  <c r="BS64" i="5"/>
  <c r="BS63" i="5" s="1"/>
  <c r="BS82" i="5"/>
  <c r="BS81" i="5" s="1"/>
  <c r="BR7" i="18"/>
  <c r="BR7" i="17"/>
  <c r="BR7" i="15"/>
  <c r="BR7" i="14"/>
  <c r="BR7" i="3"/>
  <c r="BR7" i="6"/>
  <c r="BR7" i="5"/>
  <c r="BS7" i="18"/>
  <c r="BS7" i="17"/>
  <c r="BS7" i="14"/>
  <c r="BS7" i="15"/>
  <c r="BS7" i="3"/>
  <c r="BS7" i="6"/>
  <c r="BS7" i="5"/>
  <c r="BT8" i="18"/>
  <c r="BT8" i="15"/>
  <c r="BT8" i="17"/>
  <c r="BT8" i="14"/>
  <c r="BT8" i="3"/>
  <c r="BT8" i="6"/>
  <c r="BT8" i="5"/>
  <c r="BT70" i="5" s="1"/>
  <c r="BT69" i="5" s="1"/>
  <c r="BT7" i="18"/>
  <c r="BT7" i="17"/>
  <c r="BT7" i="15"/>
  <c r="BT7" i="14"/>
  <c r="BT7" i="3"/>
  <c r="BT7" i="6"/>
  <c r="BT7" i="5"/>
  <c r="BP7" i="18"/>
  <c r="BP7" i="15"/>
  <c r="BP7" i="14"/>
  <c r="BP7" i="17"/>
  <c r="BP7" i="3"/>
  <c r="BP7" i="6"/>
  <c r="BP7" i="5"/>
  <c r="BV14" i="11"/>
  <c r="BW11" i="11"/>
  <c r="BV5" i="11"/>
  <c r="BS15" i="11"/>
  <c r="BR15" i="11"/>
  <c r="BQ15" i="11"/>
  <c r="BP15" i="11"/>
  <c r="BT15" i="11"/>
  <c r="BS71" i="5" l="1"/>
  <c r="BS72" i="5"/>
  <c r="BV8" i="42"/>
  <c r="BV8" i="8"/>
  <c r="BV8" i="2"/>
  <c r="BV8" i="30"/>
  <c r="BV8" i="29"/>
  <c r="BV8" i="7"/>
  <c r="BV8" i="18"/>
  <c r="BV8" i="17"/>
  <c r="BV8" i="15"/>
  <c r="BV8" i="14"/>
  <c r="BV8" i="3"/>
  <c r="BV8" i="6"/>
  <c r="BV8" i="5"/>
  <c r="BV70" i="5" s="1"/>
  <c r="BV69" i="5" s="1"/>
  <c r="BU82" i="5"/>
  <c r="BU81" i="5" s="1"/>
  <c r="BU64" i="5"/>
  <c r="BU63" i="5" s="1"/>
  <c r="BS66" i="5"/>
  <c r="BS65" i="5"/>
  <c r="BT64" i="5"/>
  <c r="BT63" i="5" s="1"/>
  <c r="BT82" i="5"/>
  <c r="BT81" i="5" s="1"/>
  <c r="BW14" i="11"/>
  <c r="BX11" i="11"/>
  <c r="BW5" i="11"/>
  <c r="BU71" i="5" l="1"/>
  <c r="BU72" i="5"/>
  <c r="BT72" i="5"/>
  <c r="BT71" i="5"/>
  <c r="BW8" i="42"/>
  <c r="BW8" i="8"/>
  <c r="BW8" i="2"/>
  <c r="BW8" i="30"/>
  <c r="BW8" i="29"/>
  <c r="BW8" i="7"/>
  <c r="BW8" i="18"/>
  <c r="BW8" i="17"/>
  <c r="BW8" i="15"/>
  <c r="BW8" i="14"/>
  <c r="BW8" i="3"/>
  <c r="BW8" i="6"/>
  <c r="BW8" i="5"/>
  <c r="BW70" i="5" s="1"/>
  <c r="BW69" i="5" s="1"/>
  <c r="BT66" i="5"/>
  <c r="BT65" i="5"/>
  <c r="BU65" i="5"/>
  <c r="BU66" i="5"/>
  <c r="BV64" i="5"/>
  <c r="BV63" i="5" s="1"/>
  <c r="BV82" i="5"/>
  <c r="BV81" i="5" s="1"/>
  <c r="BX14" i="11"/>
  <c r="BX5" i="11"/>
  <c r="BZ11" i="11"/>
  <c r="BY11" i="11"/>
  <c r="BU3" i="11" s="1"/>
  <c r="BV71" i="5" l="1"/>
  <c r="BV72" i="5"/>
  <c r="BX8" i="42"/>
  <c r="BU6" i="42"/>
  <c r="BX8" i="8"/>
  <c r="BX8" i="2"/>
  <c r="BX8" i="30"/>
  <c r="BX8" i="29"/>
  <c r="BU6" i="29"/>
  <c r="BU6" i="8"/>
  <c r="BU6" i="2"/>
  <c r="BU6" i="30"/>
  <c r="BU6" i="7"/>
  <c r="BX8" i="7"/>
  <c r="BV65" i="5"/>
  <c r="BV66" i="5"/>
  <c r="BU6" i="18"/>
  <c r="BU6" i="15"/>
  <c r="BU6" i="17"/>
  <c r="BU6" i="14"/>
  <c r="BU6" i="3"/>
  <c r="BU6" i="6"/>
  <c r="BU6" i="5"/>
  <c r="BX8" i="18"/>
  <c r="BX8" i="17"/>
  <c r="BX8" i="15"/>
  <c r="BX8" i="14"/>
  <c r="BX8" i="3"/>
  <c r="BX8" i="6"/>
  <c r="BX8" i="5"/>
  <c r="BX70" i="5" s="1"/>
  <c r="BX69" i="5" s="1"/>
  <c r="BW64" i="5"/>
  <c r="BW63" i="5" s="1"/>
  <c r="BW82" i="5"/>
  <c r="BW81" i="5" s="1"/>
  <c r="BY14" i="11"/>
  <c r="BY5" i="11"/>
  <c r="BY4" i="11"/>
  <c r="BW4" i="11"/>
  <c r="BV4" i="11"/>
  <c r="BX4" i="11"/>
  <c r="BU4" i="11"/>
  <c r="BZ14" i="11"/>
  <c r="CA11" i="11"/>
  <c r="BZ5" i="11"/>
  <c r="BW72" i="5" l="1"/>
  <c r="BW71" i="5"/>
  <c r="BZ8" i="42"/>
  <c r="BY8" i="42"/>
  <c r="BU7" i="42"/>
  <c r="BX7" i="42"/>
  <c r="BV7" i="42"/>
  <c r="BW7" i="42"/>
  <c r="BY7" i="42"/>
  <c r="BY8" i="8"/>
  <c r="BY8" i="2"/>
  <c r="BY8" i="30"/>
  <c r="BY8" i="29"/>
  <c r="BZ8" i="8"/>
  <c r="BZ8" i="30"/>
  <c r="BZ8" i="2"/>
  <c r="BZ8" i="29"/>
  <c r="BW7" i="29"/>
  <c r="BW7" i="8"/>
  <c r="BW7" i="2"/>
  <c r="BW7" i="30"/>
  <c r="BY7" i="29"/>
  <c r="BY7" i="8"/>
  <c r="BY7" i="2"/>
  <c r="BY7" i="30"/>
  <c r="BX7" i="29"/>
  <c r="BX7" i="8"/>
  <c r="BX7" i="2"/>
  <c r="BX7" i="30"/>
  <c r="BU7" i="29"/>
  <c r="BU7" i="8"/>
  <c r="BU7" i="2"/>
  <c r="BU7" i="30"/>
  <c r="BV7" i="29"/>
  <c r="BV7" i="8"/>
  <c r="BV7" i="2"/>
  <c r="BV7" i="30"/>
  <c r="BZ8" i="7"/>
  <c r="BU7" i="7"/>
  <c r="BX7" i="7"/>
  <c r="BV7" i="7"/>
  <c r="BW7" i="7"/>
  <c r="BY7" i="7"/>
  <c r="BY8" i="7"/>
  <c r="BY7" i="18"/>
  <c r="BY7" i="17"/>
  <c r="BY7" i="15"/>
  <c r="BY7" i="14"/>
  <c r="BY7" i="6"/>
  <c r="BY7" i="3"/>
  <c r="BY7" i="5"/>
  <c r="BX64" i="5"/>
  <c r="BX63" i="5" s="1"/>
  <c r="BX82" i="5"/>
  <c r="BX81" i="5" s="1"/>
  <c r="BY8" i="18"/>
  <c r="BY8" i="15"/>
  <c r="BY8" i="14"/>
  <c r="BY8" i="17"/>
  <c r="BY8" i="6"/>
  <c r="BY8" i="3"/>
  <c r="BY8" i="5"/>
  <c r="BY70" i="5" s="1"/>
  <c r="BY69" i="5" s="1"/>
  <c r="BU7" i="18"/>
  <c r="BU7" i="15"/>
  <c r="BU7" i="17"/>
  <c r="BU7" i="14"/>
  <c r="BU7" i="3"/>
  <c r="BU7" i="6"/>
  <c r="BU7" i="5"/>
  <c r="BX7" i="18"/>
  <c r="BX7" i="17"/>
  <c r="BX7" i="15"/>
  <c r="BX7" i="14"/>
  <c r="BX7" i="3"/>
  <c r="BX7" i="6"/>
  <c r="BX7" i="5"/>
  <c r="BV7" i="18"/>
  <c r="BV7" i="15"/>
  <c r="BV7" i="17"/>
  <c r="BV7" i="14"/>
  <c r="BV7" i="3"/>
  <c r="BV7" i="6"/>
  <c r="BV7" i="5"/>
  <c r="BW66" i="5"/>
  <c r="BW65" i="5"/>
  <c r="BZ8" i="18"/>
  <c r="BZ8" i="15"/>
  <c r="BZ8" i="14"/>
  <c r="BZ8" i="17"/>
  <c r="BZ8" i="3"/>
  <c r="BZ8" i="6"/>
  <c r="BZ8" i="5"/>
  <c r="BZ70" i="5" s="1"/>
  <c r="BZ69" i="5" s="1"/>
  <c r="BW7" i="18"/>
  <c r="BW7" i="17"/>
  <c r="BW7" i="15"/>
  <c r="BW7" i="14"/>
  <c r="BW7" i="3"/>
  <c r="BW7" i="6"/>
  <c r="BW7" i="5"/>
  <c r="CA14" i="11"/>
  <c r="CA5" i="11"/>
  <c r="CB11" i="11"/>
  <c r="BY15" i="11"/>
  <c r="BX15" i="11"/>
  <c r="BW15" i="11"/>
  <c r="BV15" i="11"/>
  <c r="BU15" i="11"/>
  <c r="BX72" i="5" l="1"/>
  <c r="BX71" i="5"/>
  <c r="CA8" i="42"/>
  <c r="CA8" i="8"/>
  <c r="CA8" i="2"/>
  <c r="CA8" i="30"/>
  <c r="CA8" i="29"/>
  <c r="CA8" i="7"/>
  <c r="BY64" i="5"/>
  <c r="BY63" i="5" s="1"/>
  <c r="BY82" i="5"/>
  <c r="BY81" i="5" s="1"/>
  <c r="BZ82" i="5"/>
  <c r="BZ81" i="5" s="1"/>
  <c r="BZ64" i="5"/>
  <c r="BZ63" i="5" s="1"/>
  <c r="BX65" i="5"/>
  <c r="BX66" i="5"/>
  <c r="CA8" i="18"/>
  <c r="CA8" i="15"/>
  <c r="CA8" i="14"/>
  <c r="CA8" i="17"/>
  <c r="CA8" i="3"/>
  <c r="CA8" i="6"/>
  <c r="CA8" i="5"/>
  <c r="CA70" i="5" s="1"/>
  <c r="CA69" i="5" s="1"/>
  <c r="CB14" i="11"/>
  <c r="CC11" i="11"/>
  <c r="CB5" i="11"/>
  <c r="BZ72" i="5" l="1"/>
  <c r="BZ71" i="5"/>
  <c r="BY71" i="5"/>
  <c r="BY72" i="5"/>
  <c r="CB8" i="42"/>
  <c r="CB8" i="8"/>
  <c r="CB8" i="2"/>
  <c r="CB8" i="30"/>
  <c r="CB8" i="29"/>
  <c r="CB8" i="7"/>
  <c r="BZ65" i="5"/>
  <c r="BZ66" i="5"/>
  <c r="BY65" i="5"/>
  <c r="BY66" i="5"/>
  <c r="CB8" i="18"/>
  <c r="CB8" i="17"/>
  <c r="CB8" i="15"/>
  <c r="CB8" i="14"/>
  <c r="CB8" i="3"/>
  <c r="CB8" i="6"/>
  <c r="CB8" i="5"/>
  <c r="CB70" i="5" s="1"/>
  <c r="CB69" i="5" s="1"/>
  <c r="CA82" i="5"/>
  <c r="CA81" i="5" s="1"/>
  <c r="CA64" i="5"/>
  <c r="CA63" i="5" s="1"/>
  <c r="CC14" i="11"/>
  <c r="CD11" i="11"/>
  <c r="BZ3" i="11" s="1"/>
  <c r="CE11" i="11"/>
  <c r="CC5" i="11"/>
  <c r="CA72" i="5" l="1"/>
  <c r="CA71" i="5"/>
  <c r="CC8" i="42"/>
  <c r="BZ6" i="42"/>
  <c r="CC8" i="8"/>
  <c r="CC8" i="30"/>
  <c r="CC8" i="2"/>
  <c r="CC8" i="29"/>
  <c r="BZ6" i="29"/>
  <c r="BZ6" i="8"/>
  <c r="BZ6" i="30"/>
  <c r="BZ6" i="2"/>
  <c r="CC8" i="7"/>
  <c r="BZ6" i="7"/>
  <c r="CB82" i="5"/>
  <c r="CB81" i="5" s="1"/>
  <c r="CB64" i="5"/>
  <c r="CB63" i="5" s="1"/>
  <c r="BZ6" i="18"/>
  <c r="BZ6" i="15"/>
  <c r="BZ6" i="14"/>
  <c r="BZ6" i="17"/>
  <c r="BZ6" i="3"/>
  <c r="BZ6" i="6"/>
  <c r="BZ6" i="5"/>
  <c r="CC8" i="18"/>
  <c r="CC8" i="17"/>
  <c r="CC8" i="15"/>
  <c r="CC8" i="14"/>
  <c r="CC8" i="3"/>
  <c r="CC8" i="6"/>
  <c r="CC8" i="5"/>
  <c r="CC70" i="5" s="1"/>
  <c r="CC69" i="5" s="1"/>
  <c r="CA65" i="5"/>
  <c r="CA66" i="5"/>
  <c r="CE14" i="11"/>
  <c r="CE5" i="11"/>
  <c r="CF11" i="11"/>
  <c r="CD14" i="11"/>
  <c r="CC4" i="11"/>
  <c r="CB4" i="11"/>
  <c r="CD5" i="11"/>
  <c r="BZ4" i="11"/>
  <c r="CD4" i="11"/>
  <c r="CA4" i="11"/>
  <c r="CB71" i="5" l="1"/>
  <c r="CB72" i="5"/>
  <c r="CD8" i="42"/>
  <c r="CE8" i="42"/>
  <c r="CA7" i="42"/>
  <c r="CD7" i="42"/>
  <c r="BZ7" i="42"/>
  <c r="CB7" i="42"/>
  <c r="CC7" i="42"/>
  <c r="CD7" i="29"/>
  <c r="CD7" i="8"/>
  <c r="CD7" i="2"/>
  <c r="CD7" i="30"/>
  <c r="BZ7" i="29"/>
  <c r="BZ7" i="8"/>
  <c r="BZ7" i="30"/>
  <c r="BZ7" i="2"/>
  <c r="CD8" i="8"/>
  <c r="CD8" i="2"/>
  <c r="CD8" i="30"/>
  <c r="CD8" i="29"/>
  <c r="CB7" i="29"/>
  <c r="CB7" i="8"/>
  <c r="CB7" i="2"/>
  <c r="CB7" i="30"/>
  <c r="CC7" i="29"/>
  <c r="CC7" i="8"/>
  <c r="CC7" i="2"/>
  <c r="CC7" i="30"/>
  <c r="CE8" i="8"/>
  <c r="CE8" i="2"/>
  <c r="CE8" i="30"/>
  <c r="CE8" i="29"/>
  <c r="CA7" i="29"/>
  <c r="CA7" i="8"/>
  <c r="CA7" i="2"/>
  <c r="CA7" i="30"/>
  <c r="CC7" i="7"/>
  <c r="CA7" i="7"/>
  <c r="BZ7" i="7"/>
  <c r="CE8" i="7"/>
  <c r="CD8" i="7"/>
  <c r="CD7" i="7"/>
  <c r="CB7" i="7"/>
  <c r="CD7" i="18"/>
  <c r="CD7" i="17"/>
  <c r="CD7" i="15"/>
  <c r="CD7" i="14"/>
  <c r="CD7" i="6"/>
  <c r="CD7" i="3"/>
  <c r="CD7" i="5"/>
  <c r="CC82" i="5"/>
  <c r="CC81" i="5" s="1"/>
  <c r="CC64" i="5"/>
  <c r="CC63" i="5" s="1"/>
  <c r="BZ7" i="18"/>
  <c r="BZ7" i="17"/>
  <c r="BZ7" i="15"/>
  <c r="BZ7" i="14"/>
  <c r="BZ7" i="3"/>
  <c r="BZ7" i="6"/>
  <c r="BZ7" i="5"/>
  <c r="CE8" i="18"/>
  <c r="CE8" i="15"/>
  <c r="CE8" i="17"/>
  <c r="CE8" i="14"/>
  <c r="CE8" i="3"/>
  <c r="CE8" i="6"/>
  <c r="CE8" i="5"/>
  <c r="CE70" i="5" s="1"/>
  <c r="CE69" i="5" s="1"/>
  <c r="CB66" i="5"/>
  <c r="CB65" i="5"/>
  <c r="CD8" i="18"/>
  <c r="CD8" i="17"/>
  <c r="CD8" i="15"/>
  <c r="CD8" i="14"/>
  <c r="CD8" i="6"/>
  <c r="CD8" i="3"/>
  <c r="CD8" i="5"/>
  <c r="CD70" i="5" s="1"/>
  <c r="CD69" i="5" s="1"/>
  <c r="CC7" i="18"/>
  <c r="CC7" i="17"/>
  <c r="CC7" i="14"/>
  <c r="CC7" i="15"/>
  <c r="CC7" i="3"/>
  <c r="CC7" i="6"/>
  <c r="CC7" i="5"/>
  <c r="CB7" i="18"/>
  <c r="CB7" i="15"/>
  <c r="CB7" i="14"/>
  <c r="CB7" i="17"/>
  <c r="CB7" i="3"/>
  <c r="CB7" i="6"/>
  <c r="CB7" i="5"/>
  <c r="CA7" i="18"/>
  <c r="CA7" i="15"/>
  <c r="CA7" i="17"/>
  <c r="CA7" i="14"/>
  <c r="CA7" i="3"/>
  <c r="CA7" i="6"/>
  <c r="CA7" i="5"/>
  <c r="CF14" i="11"/>
  <c r="CG11" i="11"/>
  <c r="CF5" i="11"/>
  <c r="CD15" i="11"/>
  <c r="CC15" i="11"/>
  <c r="CB15" i="11"/>
  <c r="CA15" i="11"/>
  <c r="BZ15" i="11"/>
  <c r="CC71" i="5" l="1"/>
  <c r="CC72" i="5"/>
  <c r="CF8" i="42"/>
  <c r="CF8" i="8"/>
  <c r="CF8" i="30"/>
  <c r="CF8" i="2"/>
  <c r="CF8" i="29"/>
  <c r="CF8" i="7"/>
  <c r="CD82" i="5"/>
  <c r="CD81" i="5" s="1"/>
  <c r="CD64" i="5"/>
  <c r="CD63" i="5" s="1"/>
  <c r="CE64" i="5"/>
  <c r="CE63" i="5" s="1"/>
  <c r="CE82" i="5"/>
  <c r="CE81" i="5" s="1"/>
  <c r="CC66" i="5"/>
  <c r="CC65" i="5"/>
  <c r="CF8" i="18"/>
  <c r="CF8" i="15"/>
  <c r="CF8" i="17"/>
  <c r="CF8" i="14"/>
  <c r="CF8" i="3"/>
  <c r="CF8" i="6"/>
  <c r="CF8" i="5"/>
  <c r="CF70" i="5" s="1"/>
  <c r="CF69" i="5" s="1"/>
  <c r="CG14" i="11"/>
  <c r="CG5" i="11"/>
  <c r="CH11" i="11"/>
  <c r="CE71" i="5" l="1"/>
  <c r="CE72" i="5"/>
  <c r="CD72" i="5"/>
  <c r="CD71" i="5"/>
  <c r="CG8" i="15"/>
  <c r="CG8" i="42"/>
  <c r="CG8" i="8"/>
  <c r="CG8" i="2"/>
  <c r="CG8" i="30"/>
  <c r="CG8" i="29"/>
  <c r="CG8" i="7"/>
  <c r="CE83" i="5"/>
  <c r="CE84" i="5"/>
  <c r="CD65" i="5"/>
  <c r="CD66" i="5"/>
  <c r="CF64" i="5"/>
  <c r="CF63" i="5" s="1"/>
  <c r="CF82" i="5"/>
  <c r="CF81" i="5" s="1"/>
  <c r="CG8" i="18"/>
  <c r="CG8" i="17"/>
  <c r="CG8" i="14"/>
  <c r="CG8" i="3"/>
  <c r="CG8" i="6"/>
  <c r="CG8" i="5"/>
  <c r="CG70" i="5" s="1"/>
  <c r="CG69" i="5" s="1"/>
  <c r="CE65" i="5"/>
  <c r="CE66" i="5"/>
  <c r="CH14" i="11"/>
  <c r="CI11" i="11"/>
  <c r="CE3" i="11" s="1"/>
  <c r="CJ11" i="11"/>
  <c r="CH5" i="11"/>
  <c r="CF72" i="5" l="1"/>
  <c r="CF71" i="5"/>
  <c r="CH8" i="42"/>
  <c r="CE6" i="42"/>
  <c r="CH8" i="8"/>
  <c r="CH8" i="2"/>
  <c r="CH8" i="30"/>
  <c r="CH8" i="29"/>
  <c r="CE6" i="29"/>
  <c r="CE6" i="8"/>
  <c r="CE6" i="30"/>
  <c r="CE6" i="2"/>
  <c r="CE6" i="7"/>
  <c r="CH8" i="7"/>
  <c r="CF83" i="5"/>
  <c r="CF84" i="5"/>
  <c r="CH8" i="18"/>
  <c r="CH8" i="17"/>
  <c r="CH8" i="15"/>
  <c r="CH8" i="14"/>
  <c r="CH8" i="3"/>
  <c r="CH8" i="6"/>
  <c r="CH8" i="5"/>
  <c r="CH70" i="5" s="1"/>
  <c r="CH69" i="5" s="1"/>
  <c r="CF66" i="5"/>
  <c r="CF65" i="5"/>
  <c r="CG64" i="5"/>
  <c r="CG63" i="5" s="1"/>
  <c r="CG82" i="5"/>
  <c r="CG81" i="5" s="1"/>
  <c r="CE6" i="18"/>
  <c r="CE6" i="17"/>
  <c r="CE6" i="14"/>
  <c r="CE6" i="15"/>
  <c r="CE6" i="3"/>
  <c r="CE6" i="6"/>
  <c r="CE6" i="5"/>
  <c r="CJ14" i="11"/>
  <c r="CK11" i="11"/>
  <c r="CJ5" i="11"/>
  <c r="CI14" i="11"/>
  <c r="CE4" i="11"/>
  <c r="CI4" i="11"/>
  <c r="CH4" i="11"/>
  <c r="CF4" i="11"/>
  <c r="CI5" i="11"/>
  <c r="CG4" i="11"/>
  <c r="CG72" i="5" l="1"/>
  <c r="CG71" i="5"/>
  <c r="CG7" i="15"/>
  <c r="CI8" i="42"/>
  <c r="CJ8" i="42"/>
  <c r="CG7" i="42"/>
  <c r="CF7" i="42"/>
  <c r="CH7" i="42"/>
  <c r="CI7" i="42"/>
  <c r="CE7" i="42"/>
  <c r="CH7" i="29"/>
  <c r="CH7" i="8"/>
  <c r="CH7" i="2"/>
  <c r="CH7" i="30"/>
  <c r="CF7" i="29"/>
  <c r="CF7" i="8"/>
  <c r="CF7" i="30"/>
  <c r="CF7" i="2"/>
  <c r="CE7" i="29"/>
  <c r="CE7" i="8"/>
  <c r="CE7" i="2"/>
  <c r="CE7" i="30"/>
  <c r="CG7" i="29"/>
  <c r="CG7" i="8"/>
  <c r="CG7" i="2"/>
  <c r="CG7" i="30"/>
  <c r="CI7" i="29"/>
  <c r="CI7" i="8"/>
  <c r="CI7" i="30"/>
  <c r="CI7" i="2"/>
  <c r="CI8" i="8"/>
  <c r="CI8" i="2"/>
  <c r="CI8" i="30"/>
  <c r="CI8" i="29"/>
  <c r="CJ8" i="8"/>
  <c r="CJ8" i="2"/>
  <c r="CJ8" i="30"/>
  <c r="CJ8" i="29"/>
  <c r="CG7" i="7"/>
  <c r="CE7" i="7"/>
  <c r="CI8" i="7"/>
  <c r="CJ8" i="7"/>
  <c r="CF7" i="7"/>
  <c r="CH7" i="7"/>
  <c r="CI7" i="7"/>
  <c r="CG83" i="5"/>
  <c r="CG84" i="5"/>
  <c r="CI8" i="18"/>
  <c r="CI8" i="17"/>
  <c r="CI8" i="15"/>
  <c r="CI8" i="14"/>
  <c r="CI8" i="6"/>
  <c r="CI8" i="3"/>
  <c r="CI8" i="5"/>
  <c r="CI70" i="5" s="1"/>
  <c r="CI69" i="5" s="1"/>
  <c r="CG65" i="5"/>
  <c r="CG66" i="5"/>
  <c r="CJ8" i="18"/>
  <c r="CJ8" i="17"/>
  <c r="CJ8" i="15"/>
  <c r="CJ8" i="14"/>
  <c r="CJ8" i="3"/>
  <c r="CJ8" i="6"/>
  <c r="CJ8" i="5"/>
  <c r="CJ70" i="5" s="1"/>
  <c r="CJ69" i="5" s="1"/>
  <c r="CF7" i="18"/>
  <c r="CF7" i="17"/>
  <c r="CF7" i="15"/>
  <c r="CF7" i="14"/>
  <c r="CF7" i="3"/>
  <c r="CF7" i="6"/>
  <c r="CF7" i="5"/>
  <c r="CI7" i="18"/>
  <c r="CI7" i="17"/>
  <c r="CI7" i="15"/>
  <c r="CI7" i="14"/>
  <c r="CI7" i="6"/>
  <c r="CI7" i="3"/>
  <c r="CI7" i="5"/>
  <c r="CE7" i="18"/>
  <c r="CE7" i="17"/>
  <c r="CE7" i="15"/>
  <c r="CE7" i="14"/>
  <c r="CE7" i="3"/>
  <c r="CE7" i="6"/>
  <c r="CE7" i="5"/>
  <c r="CH64" i="5"/>
  <c r="CH63" i="5" s="1"/>
  <c r="CH82" i="5"/>
  <c r="CH81" i="5" s="1"/>
  <c r="CH7" i="18"/>
  <c r="CH7" i="15"/>
  <c r="CH7" i="17"/>
  <c r="CH7" i="14"/>
  <c r="CH7" i="3"/>
  <c r="CH7" i="6"/>
  <c r="CH7" i="5"/>
  <c r="CG7" i="18"/>
  <c r="CG7" i="17"/>
  <c r="CG7" i="14"/>
  <c r="CG7" i="3"/>
  <c r="CG7" i="6"/>
  <c r="CG7" i="5"/>
  <c r="CK14" i="11"/>
  <c r="CK5" i="11"/>
  <c r="CL11" i="11"/>
  <c r="CE15" i="11"/>
  <c r="CI15" i="11"/>
  <c r="CH15" i="11"/>
  <c r="CG15" i="11"/>
  <c r="CF15" i="11"/>
  <c r="CH72" i="5" l="1"/>
  <c r="CH71" i="5"/>
  <c r="CK8" i="42"/>
  <c r="CK8" i="8"/>
  <c r="CK8" i="2"/>
  <c r="CK8" i="30"/>
  <c r="CK8" i="29"/>
  <c r="CK8" i="7"/>
  <c r="CH83" i="5"/>
  <c r="CH84" i="5"/>
  <c r="CH66" i="5"/>
  <c r="CH65" i="5"/>
  <c r="CK8" i="18"/>
  <c r="CK8" i="15"/>
  <c r="CK8" i="17"/>
  <c r="CK8" i="14"/>
  <c r="CK8" i="3"/>
  <c r="CK8" i="6"/>
  <c r="CK8" i="5"/>
  <c r="CK70" i="5" s="1"/>
  <c r="CK69" i="5" s="1"/>
  <c r="CJ82" i="5"/>
  <c r="CJ81" i="5" s="1"/>
  <c r="CJ64" i="5"/>
  <c r="CJ63" i="5" s="1"/>
  <c r="CI82" i="5"/>
  <c r="CI81" i="5" s="1"/>
  <c r="CI64" i="5"/>
  <c r="CI63" i="5" s="1"/>
  <c r="CL14" i="11"/>
  <c r="CL5" i="11"/>
  <c r="CM11" i="11"/>
  <c r="CI71" i="5" l="1"/>
  <c r="CI72" i="5"/>
  <c r="CJ71" i="5"/>
  <c r="CJ72" i="5"/>
  <c r="CL8" i="42"/>
  <c r="CL8" i="8"/>
  <c r="CL8" i="30"/>
  <c r="CL8" i="2"/>
  <c r="CL8" i="29"/>
  <c r="CL8" i="7"/>
  <c r="CI84" i="5"/>
  <c r="CI83" i="5"/>
  <c r="CJ84" i="5"/>
  <c r="CJ83" i="5"/>
  <c r="CK82" i="5"/>
  <c r="CK81" i="5" s="1"/>
  <c r="CK64" i="5"/>
  <c r="CK63" i="5" s="1"/>
  <c r="CJ66" i="5"/>
  <c r="CJ65" i="5"/>
  <c r="CI65" i="5"/>
  <c r="CI66" i="5"/>
  <c r="CL8" i="18"/>
  <c r="CL8" i="15"/>
  <c r="CL8" i="14"/>
  <c r="CL8" i="17"/>
  <c r="CL8" i="3"/>
  <c r="CL8" i="6"/>
  <c r="CL8" i="5"/>
  <c r="CL70" i="5" s="1"/>
  <c r="CL69" i="5" s="1"/>
  <c r="CM14" i="11"/>
  <c r="CO11" i="11"/>
  <c r="CM5" i="11"/>
  <c r="CN11" i="11"/>
  <c r="CJ3" i="11" s="1"/>
  <c r="CK71" i="5" l="1"/>
  <c r="CK72" i="5"/>
  <c r="CM8" i="42"/>
  <c r="CJ6" i="42"/>
  <c r="CM8" i="8"/>
  <c r="CM8" i="2"/>
  <c r="CM8" i="30"/>
  <c r="CM8" i="29"/>
  <c r="CJ6" i="29"/>
  <c r="CJ6" i="8"/>
  <c r="CJ6" i="2"/>
  <c r="CJ6" i="30"/>
  <c r="CM8" i="7"/>
  <c r="CJ6" i="7"/>
  <c r="CK84" i="5"/>
  <c r="CK83" i="5"/>
  <c r="CM8" i="18"/>
  <c r="CM8" i="17"/>
  <c r="CM8" i="14"/>
  <c r="CM8" i="15"/>
  <c r="CM8" i="3"/>
  <c r="CM8" i="6"/>
  <c r="CM8" i="5"/>
  <c r="CM70" i="5" s="1"/>
  <c r="CM69" i="5" s="1"/>
  <c r="CK65" i="5"/>
  <c r="CK66" i="5"/>
  <c r="CJ6" i="18"/>
  <c r="CJ6" i="17"/>
  <c r="CJ6" i="15"/>
  <c r="CJ6" i="14"/>
  <c r="CJ6" i="3"/>
  <c r="CJ6" i="6"/>
  <c r="CJ6" i="5"/>
  <c r="CL82" i="5"/>
  <c r="CL81" i="5" s="1"/>
  <c r="CL64" i="5"/>
  <c r="CL63" i="5" s="1"/>
  <c r="CN14" i="11"/>
  <c r="CK4" i="11"/>
  <c r="CN4" i="11"/>
  <c r="CN5" i="11"/>
  <c r="CL4" i="11"/>
  <c r="CJ4" i="11"/>
  <c r="CM4" i="11"/>
  <c r="CO14" i="11"/>
  <c r="CP11" i="11"/>
  <c r="CO5" i="11"/>
  <c r="CL72" i="5" l="1"/>
  <c r="CL71" i="5"/>
  <c r="CN8" i="42"/>
  <c r="CO8" i="42"/>
  <c r="CM7" i="42"/>
  <c r="CJ7" i="42"/>
  <c r="CL7" i="42"/>
  <c r="CN7" i="42"/>
  <c r="CK7" i="42"/>
  <c r="CM7" i="29"/>
  <c r="CM7" i="8"/>
  <c r="CM7" i="2"/>
  <c r="CM7" i="30"/>
  <c r="CJ7" i="29"/>
  <c r="CJ7" i="8"/>
  <c r="CJ7" i="2"/>
  <c r="CJ7" i="30"/>
  <c r="CL7" i="29"/>
  <c r="CL7" i="8"/>
  <c r="CL7" i="30"/>
  <c r="CL7" i="2"/>
  <c r="CO8" i="8"/>
  <c r="CO8" i="2"/>
  <c r="CO8" i="30"/>
  <c r="CO8" i="29"/>
  <c r="CN8" i="8"/>
  <c r="CN8" i="2"/>
  <c r="CN8" i="30"/>
  <c r="CN8" i="29"/>
  <c r="CN7" i="29"/>
  <c r="CN7" i="8"/>
  <c r="CN7" i="2"/>
  <c r="CN7" i="30"/>
  <c r="CK7" i="29"/>
  <c r="CK7" i="8"/>
  <c r="CK7" i="2"/>
  <c r="CK7" i="30"/>
  <c r="CN7" i="7"/>
  <c r="CK7" i="7"/>
  <c r="CM7" i="7"/>
  <c r="CJ7" i="7"/>
  <c r="CL7" i="7"/>
  <c r="CO8" i="7"/>
  <c r="CN8" i="7"/>
  <c r="CL84" i="5"/>
  <c r="CL83" i="5"/>
  <c r="CN7" i="18"/>
  <c r="CN7" i="15"/>
  <c r="CN7" i="14"/>
  <c r="CN7" i="17"/>
  <c r="CN7" i="6"/>
  <c r="CN7" i="3"/>
  <c r="CN7" i="5"/>
  <c r="CM7" i="18"/>
  <c r="CM7" i="15"/>
  <c r="CM7" i="14"/>
  <c r="CM7" i="17"/>
  <c r="CM7" i="3"/>
  <c r="CM7" i="6"/>
  <c r="CM7" i="5"/>
  <c r="CJ7" i="18"/>
  <c r="CJ7" i="17"/>
  <c r="CJ7" i="15"/>
  <c r="CJ7" i="14"/>
  <c r="CJ7" i="3"/>
  <c r="CJ7" i="6"/>
  <c r="CJ7" i="5"/>
  <c r="CL65" i="5"/>
  <c r="CL66" i="5"/>
  <c r="CK7" i="18"/>
  <c r="CK7" i="17"/>
  <c r="CK7" i="15"/>
  <c r="CK7" i="14"/>
  <c r="CK7" i="3"/>
  <c r="CK7" i="6"/>
  <c r="CK7" i="5"/>
  <c r="CM64" i="5"/>
  <c r="CM63" i="5" s="1"/>
  <c r="CM82" i="5"/>
  <c r="CM81" i="5" s="1"/>
  <c r="CL7" i="18"/>
  <c r="CL7" i="17"/>
  <c r="CL7" i="15"/>
  <c r="CL7" i="14"/>
  <c r="CL7" i="3"/>
  <c r="CL7" i="6"/>
  <c r="CL7" i="5"/>
  <c r="CO8" i="18"/>
  <c r="CO8" i="17"/>
  <c r="CO8" i="15"/>
  <c r="CO8" i="14"/>
  <c r="CO8" i="3"/>
  <c r="CO8" i="6"/>
  <c r="CO8" i="5"/>
  <c r="CO70" i="5" s="1"/>
  <c r="CO69" i="5" s="1"/>
  <c r="CN8" i="18"/>
  <c r="CN8" i="17"/>
  <c r="CN8" i="14"/>
  <c r="CN8" i="15"/>
  <c r="CN8" i="6"/>
  <c r="CN8" i="3"/>
  <c r="CN8" i="5"/>
  <c r="CN70" i="5" s="1"/>
  <c r="CN69" i="5" s="1"/>
  <c r="CP14" i="11"/>
  <c r="CP5" i="11"/>
  <c r="CQ11" i="11"/>
  <c r="CK15" i="11"/>
  <c r="CJ15" i="11"/>
  <c r="CN15" i="11"/>
  <c r="CM15" i="11"/>
  <c r="CL15" i="11"/>
  <c r="CM72" i="5" l="1"/>
  <c r="CM71" i="5"/>
  <c r="CP8" i="42"/>
  <c r="CP8" i="8"/>
  <c r="CP8" i="2"/>
  <c r="CP8" i="30"/>
  <c r="CP8" i="29"/>
  <c r="CP8" i="7"/>
  <c r="CM83" i="5"/>
  <c r="CM84" i="5"/>
  <c r="CM66" i="5"/>
  <c r="CM65" i="5"/>
  <c r="CO64" i="5"/>
  <c r="CO63" i="5" s="1"/>
  <c r="CO82" i="5"/>
  <c r="CO81" i="5" s="1"/>
  <c r="CP8" i="18"/>
  <c r="CP8" i="17"/>
  <c r="CP8" i="15"/>
  <c r="CP8" i="14"/>
  <c r="CP8" i="3"/>
  <c r="CP8" i="6"/>
  <c r="CP8" i="5"/>
  <c r="CP70" i="5" s="1"/>
  <c r="CP69" i="5" s="1"/>
  <c r="CN64" i="5"/>
  <c r="CN63" i="5" s="1"/>
  <c r="CN82" i="5"/>
  <c r="CN81" i="5" s="1"/>
  <c r="CQ14" i="11"/>
  <c r="CQ5" i="11"/>
  <c r="CR11" i="11"/>
  <c r="CN72" i="5" l="1"/>
  <c r="CN71" i="5"/>
  <c r="CO72" i="5"/>
  <c r="CO71" i="5"/>
  <c r="CQ8" i="42"/>
  <c r="CQ8" i="8"/>
  <c r="CQ8" i="2"/>
  <c r="CQ8" i="30"/>
  <c r="CQ8" i="29"/>
  <c r="CQ8" i="7"/>
  <c r="CN83" i="5"/>
  <c r="CN84" i="5"/>
  <c r="CO83" i="5"/>
  <c r="CO84" i="5"/>
  <c r="CQ8" i="18"/>
  <c r="CQ8" i="15"/>
  <c r="CQ8" i="17"/>
  <c r="CQ8" i="14"/>
  <c r="CQ8" i="3"/>
  <c r="CQ8" i="6"/>
  <c r="CQ8" i="5"/>
  <c r="CQ70" i="5" s="1"/>
  <c r="CQ69" i="5" s="1"/>
  <c r="CN65" i="5"/>
  <c r="CN66" i="5"/>
  <c r="CP64" i="5"/>
  <c r="CP63" i="5" s="1"/>
  <c r="CP82" i="5"/>
  <c r="CP81" i="5" s="1"/>
  <c r="CO66" i="5"/>
  <c r="CO65" i="5"/>
  <c r="CR14" i="11"/>
  <c r="CT11" i="11"/>
  <c r="CR5" i="11"/>
  <c r="CS11" i="11"/>
  <c r="CO3" i="11" s="1"/>
  <c r="CP71" i="5" l="1"/>
  <c r="CP72" i="5"/>
  <c r="CR8" i="42"/>
  <c r="CO6" i="42"/>
  <c r="CR8" i="8"/>
  <c r="CR8" i="30"/>
  <c r="CR8" i="2"/>
  <c r="CR8" i="29"/>
  <c r="CO6" i="29"/>
  <c r="CO6" i="8"/>
  <c r="CO6" i="2"/>
  <c r="CO6" i="30"/>
  <c r="CO6" i="7"/>
  <c r="CR8" i="7"/>
  <c r="CP84" i="5"/>
  <c r="CP83" i="5"/>
  <c r="CO6" i="18"/>
  <c r="CO6" i="17"/>
  <c r="CO6" i="14"/>
  <c r="CO6" i="15"/>
  <c r="CO6" i="3"/>
  <c r="CO6" i="6"/>
  <c r="CO6" i="5"/>
  <c r="CR8" i="18"/>
  <c r="CR8" i="15"/>
  <c r="CR8" i="17"/>
  <c r="CR8" i="14"/>
  <c r="CR8" i="3"/>
  <c r="CR8" i="6"/>
  <c r="CR8" i="5"/>
  <c r="CR70" i="5" s="1"/>
  <c r="CR69" i="5" s="1"/>
  <c r="CQ82" i="5"/>
  <c r="CQ81" i="5" s="1"/>
  <c r="CQ64" i="5"/>
  <c r="CQ63" i="5" s="1"/>
  <c r="CP65" i="5"/>
  <c r="CP66" i="5"/>
  <c r="CS14" i="11"/>
  <c r="CS5" i="11"/>
  <c r="CQ4" i="11"/>
  <c r="CO4" i="11"/>
  <c r="CR4" i="11"/>
  <c r="CP4" i="11"/>
  <c r="CS4" i="11"/>
  <c r="CT14" i="11"/>
  <c r="CU11" i="11"/>
  <c r="CT5" i="11"/>
  <c r="CQ71" i="5" l="1"/>
  <c r="CQ72" i="5"/>
  <c r="CS8" i="42"/>
  <c r="CT8" i="42"/>
  <c r="CS7" i="42"/>
  <c r="CP7" i="42"/>
  <c r="CR7" i="42"/>
  <c r="CO7" i="42"/>
  <c r="CQ7" i="42"/>
  <c r="CQ7" i="29"/>
  <c r="CQ7" i="8"/>
  <c r="CQ7" i="2"/>
  <c r="CQ7" i="30"/>
  <c r="CS8" i="8"/>
  <c r="CS8" i="2"/>
  <c r="CS8" i="30"/>
  <c r="CS8" i="29"/>
  <c r="CS7" i="29"/>
  <c r="CS7" i="8"/>
  <c r="CS7" i="30"/>
  <c r="CS7" i="2"/>
  <c r="CR7" i="29"/>
  <c r="CR7" i="8"/>
  <c r="CR7" i="30"/>
  <c r="CR7" i="2"/>
  <c r="CP7" i="29"/>
  <c r="CP7" i="8"/>
  <c r="CP7" i="2"/>
  <c r="CP7" i="30"/>
  <c r="CO7" i="29"/>
  <c r="CO7" i="8"/>
  <c r="CO7" i="2"/>
  <c r="CO7" i="30"/>
  <c r="CT8" i="8"/>
  <c r="CT8" i="30"/>
  <c r="CT8" i="2"/>
  <c r="CT8" i="29"/>
  <c r="CR7" i="7"/>
  <c r="CS8" i="7"/>
  <c r="CT8" i="7"/>
  <c r="CS7" i="7"/>
  <c r="CO7" i="7"/>
  <c r="CQ7" i="7"/>
  <c r="CP7" i="7"/>
  <c r="CQ83" i="5"/>
  <c r="CQ84" i="5"/>
  <c r="CQ7" i="18"/>
  <c r="CQ7" i="17"/>
  <c r="CQ7" i="15"/>
  <c r="CQ7" i="14"/>
  <c r="CQ7" i="3"/>
  <c r="CQ7" i="6"/>
  <c r="CQ7" i="5"/>
  <c r="CS8" i="18"/>
  <c r="CS8" i="17"/>
  <c r="CS8" i="15"/>
  <c r="CS8" i="14"/>
  <c r="CS8" i="6"/>
  <c r="CS8" i="3"/>
  <c r="CS8" i="5"/>
  <c r="CS70" i="5" s="1"/>
  <c r="CS69" i="5" s="1"/>
  <c r="CS7" i="18"/>
  <c r="CS7" i="15"/>
  <c r="CS7" i="17"/>
  <c r="CS7" i="14"/>
  <c r="CS7" i="6"/>
  <c r="CS7" i="3"/>
  <c r="CS7" i="5"/>
  <c r="CR82" i="5"/>
  <c r="CR81" i="5" s="1"/>
  <c r="CR64" i="5"/>
  <c r="CR63" i="5" s="1"/>
  <c r="CP7" i="18"/>
  <c r="CP7" i="17"/>
  <c r="CP7" i="14"/>
  <c r="CP7" i="15"/>
  <c r="CP7" i="3"/>
  <c r="CP7" i="6"/>
  <c r="CP7" i="5"/>
  <c r="CR7" i="18"/>
  <c r="CR7" i="17"/>
  <c r="CR7" i="15"/>
  <c r="CR7" i="14"/>
  <c r="CR7" i="3"/>
  <c r="CR7" i="6"/>
  <c r="CR7" i="5"/>
  <c r="CT8" i="18"/>
  <c r="CT8" i="17"/>
  <c r="CT8" i="15"/>
  <c r="CT8" i="14"/>
  <c r="CT8" i="3"/>
  <c r="CT8" i="6"/>
  <c r="CT8" i="5"/>
  <c r="CT70" i="5" s="1"/>
  <c r="CT69" i="5" s="1"/>
  <c r="CO7" i="18"/>
  <c r="CO7" i="17"/>
  <c r="CO7" i="14"/>
  <c r="CO7" i="15"/>
  <c r="CO7" i="3"/>
  <c r="CO7" i="6"/>
  <c r="CO7" i="5"/>
  <c r="CQ65" i="5"/>
  <c r="CQ66" i="5"/>
  <c r="CU14" i="11"/>
  <c r="CV11" i="11"/>
  <c r="CU5" i="11"/>
  <c r="CQ15" i="11"/>
  <c r="CP15" i="11"/>
  <c r="CO15" i="11"/>
  <c r="CS15" i="11"/>
  <c r="CR15" i="11"/>
  <c r="CR72" i="5" l="1"/>
  <c r="CR71" i="5"/>
  <c r="CU8" i="42"/>
  <c r="CU8" i="8"/>
  <c r="CU8" i="30"/>
  <c r="CU8" i="2"/>
  <c r="CU8" i="29"/>
  <c r="CU8" i="7"/>
  <c r="CR83" i="5"/>
  <c r="CR84" i="5"/>
  <c r="CR66" i="5"/>
  <c r="CR65" i="5"/>
  <c r="CS82" i="5"/>
  <c r="CS81" i="5" s="1"/>
  <c r="CS64" i="5"/>
  <c r="CS63" i="5" s="1"/>
  <c r="CT64" i="5"/>
  <c r="CT63" i="5" s="1"/>
  <c r="CT82" i="5"/>
  <c r="CT81" i="5" s="1"/>
  <c r="CU8" i="18"/>
  <c r="CU8" i="17"/>
  <c r="CU8" i="15"/>
  <c r="CU8" i="14"/>
  <c r="CU8" i="3"/>
  <c r="CU8" i="6"/>
  <c r="CU8" i="5"/>
  <c r="CU70" i="5" s="1"/>
  <c r="CU69" i="5" s="1"/>
  <c r="CV14" i="11"/>
  <c r="CV5" i="11"/>
  <c r="CW11" i="11"/>
  <c r="CT72" i="5" l="1"/>
  <c r="CT71" i="5"/>
  <c r="CS72" i="5"/>
  <c r="CS71" i="5"/>
  <c r="CV8" i="42"/>
  <c r="CV8" i="8"/>
  <c r="CV8" i="2"/>
  <c r="CV8" i="30"/>
  <c r="CV8" i="29"/>
  <c r="CV8" i="7"/>
  <c r="CT84" i="5"/>
  <c r="CT83" i="5"/>
  <c r="CS84" i="5"/>
  <c r="CS83" i="5"/>
  <c r="CS66" i="5"/>
  <c r="CS65" i="5"/>
  <c r="CU82" i="5"/>
  <c r="CU81" i="5" s="1"/>
  <c r="CU64" i="5"/>
  <c r="CU63" i="5" s="1"/>
  <c r="CT65" i="5"/>
  <c r="CT66" i="5"/>
  <c r="CV8" i="18"/>
  <c r="CV8" i="17"/>
  <c r="CV8" i="15"/>
  <c r="CV8" i="14"/>
  <c r="CV8" i="3"/>
  <c r="CV8" i="6"/>
  <c r="CV8" i="5"/>
  <c r="CV70" i="5" s="1"/>
  <c r="CV69" i="5" s="1"/>
  <c r="CW14" i="11"/>
  <c r="CY11" i="11"/>
  <c r="CW5" i="11"/>
  <c r="CX11" i="11"/>
  <c r="CT3" i="11" s="1"/>
  <c r="CU72" i="5" l="1"/>
  <c r="CU71" i="5"/>
  <c r="CW8" i="42"/>
  <c r="CT6" i="42"/>
  <c r="CW8" i="8"/>
  <c r="CW8" i="2"/>
  <c r="CW8" i="30"/>
  <c r="CW8" i="29"/>
  <c r="CT6" i="29"/>
  <c r="CT6" i="8"/>
  <c r="CT6" i="2"/>
  <c r="CT6" i="30"/>
  <c r="CW8" i="7"/>
  <c r="CT6" i="7"/>
  <c r="CU84" i="5"/>
  <c r="CU83" i="5"/>
  <c r="CU65" i="5"/>
  <c r="CU66" i="5"/>
  <c r="CW8" i="18"/>
  <c r="CW8" i="15"/>
  <c r="CW8" i="14"/>
  <c r="CW8" i="17"/>
  <c r="CW8" i="3"/>
  <c r="CW8" i="6"/>
  <c r="CW8" i="5"/>
  <c r="CW70" i="5" s="1"/>
  <c r="CW69" i="5" s="1"/>
  <c r="CT6" i="18"/>
  <c r="CT6" i="17"/>
  <c r="CT6" i="15"/>
  <c r="CT6" i="14"/>
  <c r="CT6" i="3"/>
  <c r="CT6" i="6"/>
  <c r="CT6" i="5"/>
  <c r="CV82" i="5"/>
  <c r="CV81" i="5" s="1"/>
  <c r="CV64" i="5"/>
  <c r="CV63" i="5" s="1"/>
  <c r="CX14" i="11"/>
  <c r="CX5" i="11"/>
  <c r="CW4" i="11"/>
  <c r="CU4" i="11"/>
  <c r="CT4" i="11"/>
  <c r="CX4" i="11"/>
  <c r="CV4" i="11"/>
  <c r="CY14" i="11"/>
  <c r="CY5" i="11"/>
  <c r="CZ11" i="11"/>
  <c r="CV72" i="5" l="1"/>
  <c r="CV71" i="5"/>
  <c r="CY8" i="42"/>
  <c r="CX8" i="42"/>
  <c r="CV7" i="42"/>
  <c r="CX7" i="42"/>
  <c r="CT7" i="42"/>
  <c r="CU7" i="42"/>
  <c r="CW7" i="42"/>
  <c r="CX7" i="29"/>
  <c r="CX7" i="8"/>
  <c r="CX7" i="30"/>
  <c r="CX7" i="2"/>
  <c r="CT7" i="29"/>
  <c r="CT7" i="8"/>
  <c r="CT7" i="30"/>
  <c r="CT7" i="2"/>
  <c r="CV7" i="29"/>
  <c r="CV7" i="8"/>
  <c r="CV7" i="2"/>
  <c r="CV7" i="30"/>
  <c r="CW7" i="29"/>
  <c r="CW7" i="8"/>
  <c r="CW7" i="2"/>
  <c r="CW7" i="30"/>
  <c r="CU7" i="29"/>
  <c r="CU7" i="8"/>
  <c r="CU7" i="30"/>
  <c r="CU7" i="2"/>
  <c r="CY8" i="8"/>
  <c r="CY8" i="2"/>
  <c r="CY8" i="30"/>
  <c r="CY8" i="29"/>
  <c r="CX8" i="8"/>
  <c r="CX8" i="30"/>
  <c r="CX8" i="2"/>
  <c r="CX8" i="29"/>
  <c r="CT7" i="7"/>
  <c r="CW7" i="7"/>
  <c r="CX8" i="7"/>
  <c r="CV7" i="7"/>
  <c r="CU7" i="7"/>
  <c r="CY8" i="7"/>
  <c r="CX7" i="7"/>
  <c r="CV84" i="5"/>
  <c r="CV83" i="5"/>
  <c r="CW7" i="18"/>
  <c r="CW7" i="17"/>
  <c r="CW7" i="15"/>
  <c r="CW7" i="14"/>
  <c r="CW7" i="3"/>
  <c r="CW7" i="6"/>
  <c r="CW7" i="5"/>
  <c r="CY8" i="18"/>
  <c r="CY8" i="14"/>
  <c r="CY8" i="17"/>
  <c r="CY8" i="15"/>
  <c r="CY8" i="3"/>
  <c r="CY8" i="6"/>
  <c r="CY8" i="5"/>
  <c r="CY70" i="5" s="1"/>
  <c r="CY69" i="5" s="1"/>
  <c r="CX8" i="18"/>
  <c r="CX8" i="15"/>
  <c r="CX8" i="14"/>
  <c r="CX8" i="17"/>
  <c r="CX8" i="6"/>
  <c r="CX8" i="3"/>
  <c r="CX8" i="5"/>
  <c r="CX70" i="5" s="1"/>
  <c r="CX69" i="5" s="1"/>
  <c r="CV7" i="18"/>
  <c r="CV7" i="17"/>
  <c r="CV7" i="15"/>
  <c r="CV7" i="14"/>
  <c r="CV7" i="3"/>
  <c r="CV7" i="6"/>
  <c r="CV7" i="5"/>
  <c r="CW82" i="5"/>
  <c r="CW81" i="5" s="1"/>
  <c r="CW64" i="5"/>
  <c r="CW63" i="5" s="1"/>
  <c r="CX7" i="18"/>
  <c r="CX7" i="17"/>
  <c r="CX7" i="15"/>
  <c r="CX7" i="14"/>
  <c r="CX7" i="6"/>
  <c r="CX7" i="3"/>
  <c r="CX7" i="5"/>
  <c r="CV66" i="5"/>
  <c r="CV65" i="5"/>
  <c r="CT7" i="18"/>
  <c r="CT7" i="15"/>
  <c r="CT7" i="17"/>
  <c r="CT7" i="14"/>
  <c r="CT7" i="3"/>
  <c r="CT7" i="6"/>
  <c r="CT7" i="5"/>
  <c r="CU7" i="18"/>
  <c r="CU7" i="17"/>
  <c r="CU7" i="15"/>
  <c r="CU7" i="14"/>
  <c r="CU7" i="3"/>
  <c r="CU7" i="6"/>
  <c r="CU7" i="5"/>
  <c r="CZ14" i="11"/>
  <c r="DA11" i="11"/>
  <c r="CZ5" i="11"/>
  <c r="CW15" i="11"/>
  <c r="CV15" i="11"/>
  <c r="CU15" i="11"/>
  <c r="CT15" i="11"/>
  <c r="CX15" i="11"/>
  <c r="CW71" i="5" l="1"/>
  <c r="CW72" i="5"/>
  <c r="CZ8" i="42"/>
  <c r="CZ8" i="8"/>
  <c r="CZ8" i="2"/>
  <c r="CZ8" i="30"/>
  <c r="CZ8" i="29"/>
  <c r="CZ8" i="7"/>
  <c r="CW83" i="5"/>
  <c r="CW84" i="5"/>
  <c r="CW66" i="5"/>
  <c r="CW65" i="5"/>
  <c r="CX82" i="5"/>
  <c r="CX81" i="5" s="1"/>
  <c r="CX64" i="5"/>
  <c r="CX63" i="5" s="1"/>
  <c r="CZ8" i="18"/>
  <c r="CZ8" i="17"/>
  <c r="CZ8" i="15"/>
  <c r="CZ8" i="14"/>
  <c r="CZ8" i="3"/>
  <c r="CZ8" i="6"/>
  <c r="CZ8" i="5"/>
  <c r="CZ70" i="5" s="1"/>
  <c r="CZ69" i="5" s="1"/>
  <c r="CY82" i="5"/>
  <c r="CY81" i="5" s="1"/>
  <c r="CY64" i="5"/>
  <c r="CY63" i="5" s="1"/>
  <c r="DA14" i="11"/>
  <c r="DB11" i="11"/>
  <c r="DA5" i="11"/>
  <c r="CY71" i="5" l="1"/>
  <c r="CY72" i="5"/>
  <c r="CX72" i="5"/>
  <c r="CX71" i="5"/>
  <c r="DA8" i="42"/>
  <c r="DA8" i="8"/>
  <c r="DA8" i="2"/>
  <c r="DA8" i="30"/>
  <c r="DA8" i="29"/>
  <c r="DA8" i="7"/>
  <c r="CY83" i="5"/>
  <c r="CY84" i="5"/>
  <c r="CX84" i="5"/>
  <c r="CX83" i="5"/>
  <c r="CX65" i="5"/>
  <c r="CX66" i="5"/>
  <c r="DA8" i="18"/>
  <c r="DA8" i="17"/>
  <c r="DA8" i="15"/>
  <c r="DA8" i="14"/>
  <c r="DA8" i="3"/>
  <c r="DA8" i="6"/>
  <c r="DA8" i="5"/>
  <c r="DA70" i="5" s="1"/>
  <c r="DA69" i="5" s="1"/>
  <c r="CY66" i="5"/>
  <c r="CY65" i="5"/>
  <c r="CZ82" i="5"/>
  <c r="CZ81" i="5" s="1"/>
  <c r="CZ64" i="5"/>
  <c r="CZ63" i="5" s="1"/>
  <c r="DB14" i="11"/>
  <c r="DC11" i="11"/>
  <c r="CY3" i="11" s="1"/>
  <c r="DB5" i="11"/>
  <c r="DD11" i="11"/>
  <c r="CZ72" i="5" l="1"/>
  <c r="CZ71" i="5"/>
  <c r="DB8" i="42"/>
  <c r="CY6" i="42"/>
  <c r="DB8" i="8"/>
  <c r="DB8" i="2"/>
  <c r="DB8" i="30"/>
  <c r="DB8" i="29"/>
  <c r="CY6" i="29"/>
  <c r="CY6" i="8"/>
  <c r="CY6" i="2"/>
  <c r="CY6" i="30"/>
  <c r="CY6" i="7"/>
  <c r="DB8" i="7"/>
  <c r="CZ83" i="5"/>
  <c r="CZ84" i="5"/>
  <c r="CZ65" i="5"/>
  <c r="CZ66" i="5"/>
  <c r="DA64" i="5"/>
  <c r="DA63" i="5" s="1"/>
  <c r="DA82" i="5"/>
  <c r="DA81" i="5" s="1"/>
  <c r="DB8" i="18"/>
  <c r="DB8" i="17"/>
  <c r="DB8" i="15"/>
  <c r="DB8" i="14"/>
  <c r="DB8" i="3"/>
  <c r="DB8" i="6"/>
  <c r="DB8" i="5"/>
  <c r="DB70" i="5" s="1"/>
  <c r="DB69" i="5" s="1"/>
  <c r="CY6" i="18"/>
  <c r="CY6" i="17"/>
  <c r="CY6" i="14"/>
  <c r="CY6" i="3"/>
  <c r="CY6" i="6"/>
  <c r="CY6" i="5"/>
  <c r="DD14" i="11"/>
  <c r="DD5" i="11"/>
  <c r="DE11" i="11"/>
  <c r="DC14" i="11"/>
  <c r="DC5" i="11"/>
  <c r="DC4" i="11"/>
  <c r="DA4" i="11"/>
  <c r="CZ4" i="11"/>
  <c r="DB4" i="11"/>
  <c r="CY4" i="11"/>
  <c r="DA72" i="5" l="1"/>
  <c r="DA71" i="5"/>
  <c r="DD8" i="42"/>
  <c r="DC8" i="42"/>
  <c r="CY7" i="42"/>
  <c r="DB7" i="42"/>
  <c r="CZ7" i="42"/>
  <c r="DA7" i="42"/>
  <c r="DC7" i="42"/>
  <c r="DC7" i="29"/>
  <c r="DC7" i="8"/>
  <c r="DC7" i="2"/>
  <c r="DC7" i="30"/>
  <c r="DC8" i="8"/>
  <c r="DC8" i="2"/>
  <c r="DC8" i="30"/>
  <c r="DC8" i="29"/>
  <c r="CY7" i="29"/>
  <c r="CY7" i="8"/>
  <c r="CY7" i="2"/>
  <c r="CY7" i="30"/>
  <c r="DB7" i="29"/>
  <c r="DB7" i="8"/>
  <c r="DB7" i="2"/>
  <c r="DB7" i="30"/>
  <c r="CZ7" i="29"/>
  <c r="CZ7" i="8"/>
  <c r="CZ7" i="2"/>
  <c r="CZ7" i="30"/>
  <c r="DD8" i="8"/>
  <c r="DD8" i="30"/>
  <c r="DD8" i="2"/>
  <c r="DD8" i="29"/>
  <c r="DA7" i="29"/>
  <c r="DA7" i="8"/>
  <c r="DA7" i="2"/>
  <c r="DA7" i="30"/>
  <c r="CY7" i="7"/>
  <c r="DB7" i="7"/>
  <c r="CZ7" i="7"/>
  <c r="DA7" i="7"/>
  <c r="DD8" i="7"/>
  <c r="DC7" i="7"/>
  <c r="DC8" i="7"/>
  <c r="DA83" i="5"/>
  <c r="DA84" i="5"/>
  <c r="CZ7" i="18"/>
  <c r="CZ7" i="15"/>
  <c r="CZ7" i="14"/>
  <c r="CZ7" i="17"/>
  <c r="CZ7" i="3"/>
  <c r="CZ7" i="6"/>
  <c r="CZ7" i="5"/>
  <c r="DB7" i="18"/>
  <c r="DB7" i="17"/>
  <c r="DB7" i="15"/>
  <c r="DB7" i="14"/>
  <c r="DB7" i="3"/>
  <c r="DB7" i="6"/>
  <c r="DB7" i="5"/>
  <c r="DB64" i="5"/>
  <c r="DB63" i="5" s="1"/>
  <c r="DB82" i="5"/>
  <c r="DB81" i="5" s="1"/>
  <c r="DA7" i="18"/>
  <c r="DA7" i="17"/>
  <c r="DA7" i="14"/>
  <c r="DA7" i="15"/>
  <c r="DA7" i="3"/>
  <c r="DA7" i="6"/>
  <c r="DA7" i="5"/>
  <c r="DA65" i="5"/>
  <c r="DA66" i="5"/>
  <c r="DD8" i="18"/>
  <c r="DD8" i="15"/>
  <c r="DD8" i="17"/>
  <c r="DD8" i="14"/>
  <c r="DD8" i="3"/>
  <c r="DD8" i="6"/>
  <c r="DD8" i="5"/>
  <c r="DD70" i="5" s="1"/>
  <c r="DD69" i="5" s="1"/>
  <c r="DC7" i="18"/>
  <c r="DC7" i="17"/>
  <c r="DC7" i="15"/>
  <c r="DC7" i="14"/>
  <c r="DC7" i="6"/>
  <c r="DC7" i="3"/>
  <c r="DC7" i="5"/>
  <c r="DC8" i="18"/>
  <c r="DC8" i="15"/>
  <c r="DC8" i="17"/>
  <c r="DC8" i="14"/>
  <c r="DC8" i="6"/>
  <c r="DC8" i="3"/>
  <c r="DC8" i="5"/>
  <c r="DC70" i="5" s="1"/>
  <c r="DC69" i="5" s="1"/>
  <c r="CY7" i="18"/>
  <c r="CY7" i="15"/>
  <c r="CY7" i="14"/>
  <c r="CY7" i="17"/>
  <c r="CY7" i="3"/>
  <c r="CY7" i="6"/>
  <c r="CY7" i="5"/>
  <c r="DE14" i="11"/>
  <c r="DE5" i="11"/>
  <c r="DF11" i="11"/>
  <c r="DC15" i="11"/>
  <c r="DB15" i="11"/>
  <c r="DA15" i="11"/>
  <c r="CZ15" i="11"/>
  <c r="CY15" i="11"/>
  <c r="DB71" i="5" l="1"/>
  <c r="DB72" i="5"/>
  <c r="DE8" i="42"/>
  <c r="DE8" i="8"/>
  <c r="DE8" i="2"/>
  <c r="DE8" i="30"/>
  <c r="DE8" i="29"/>
  <c r="DE8" i="7"/>
  <c r="DB84" i="5"/>
  <c r="DB83" i="5"/>
  <c r="DE8" i="18"/>
  <c r="DE8" i="17"/>
  <c r="DE8" i="15"/>
  <c r="DE8" i="14"/>
  <c r="DE8" i="3"/>
  <c r="DE8" i="6"/>
  <c r="DE8" i="5"/>
  <c r="DE70" i="5" s="1"/>
  <c r="DE69" i="5" s="1"/>
  <c r="DC64" i="5"/>
  <c r="DC63" i="5" s="1"/>
  <c r="DC82" i="5"/>
  <c r="DC81" i="5" s="1"/>
  <c r="DD82" i="5"/>
  <c r="DD81" i="5" s="1"/>
  <c r="DD64" i="5"/>
  <c r="DD63" i="5" s="1"/>
  <c r="DB66" i="5"/>
  <c r="DB65" i="5"/>
  <c r="DF14" i="11"/>
  <c r="DG11" i="11"/>
  <c r="DF5" i="11"/>
  <c r="DD72" i="5" l="1"/>
  <c r="DD71" i="5"/>
  <c r="DC71" i="5"/>
  <c r="DC72" i="5"/>
  <c r="DF8" i="42"/>
  <c r="DF8" i="8"/>
  <c r="DF8" i="2"/>
  <c r="DF8" i="30"/>
  <c r="DF8" i="29"/>
  <c r="DF8" i="7"/>
  <c r="DC84" i="5"/>
  <c r="DC83" i="5"/>
  <c r="DD84" i="5"/>
  <c r="DD83" i="5"/>
  <c r="DC66" i="5"/>
  <c r="DC65" i="5"/>
  <c r="DF8" i="18"/>
  <c r="DF8" i="17"/>
  <c r="DF8" i="15"/>
  <c r="DF8" i="14"/>
  <c r="DF8" i="3"/>
  <c r="DF8" i="6"/>
  <c r="DF8" i="5"/>
  <c r="DF70" i="5" s="1"/>
  <c r="DF69" i="5" s="1"/>
  <c r="DD66" i="5"/>
  <c r="DD65" i="5"/>
  <c r="DE64" i="5"/>
  <c r="DE63" i="5" s="1"/>
  <c r="DE82" i="5"/>
  <c r="DE81" i="5" s="1"/>
  <c r="DG14" i="11"/>
  <c r="DH11" i="11"/>
  <c r="DD3" i="11" s="1"/>
  <c r="DG5" i="11"/>
  <c r="DI11" i="11"/>
  <c r="DE71" i="5" l="1"/>
  <c r="DE72" i="5"/>
  <c r="DG8" i="42"/>
  <c r="DD6" i="42"/>
  <c r="DG8" i="8"/>
  <c r="DG8" i="2"/>
  <c r="DG8" i="30"/>
  <c r="DG8" i="29"/>
  <c r="DD6" i="29"/>
  <c r="DD6" i="8"/>
  <c r="DD6" i="30"/>
  <c r="DD6" i="2"/>
  <c r="DD6" i="7"/>
  <c r="DG8" i="7"/>
  <c r="DE83" i="5"/>
  <c r="DE84" i="5"/>
  <c r="DE65" i="5"/>
  <c r="DE66" i="5"/>
  <c r="DG8" i="18"/>
  <c r="DG8" i="17"/>
  <c r="DG8" i="15"/>
  <c r="DG8" i="14"/>
  <c r="DG8" i="3"/>
  <c r="DG8" i="6"/>
  <c r="DG8" i="5"/>
  <c r="DG70" i="5" s="1"/>
  <c r="DG69" i="5" s="1"/>
  <c r="DF82" i="5"/>
  <c r="DF81" i="5" s="1"/>
  <c r="DF64" i="5"/>
  <c r="DF63" i="5" s="1"/>
  <c r="DD6" i="18"/>
  <c r="DD6" i="17"/>
  <c r="DD6" i="14"/>
  <c r="DD6" i="3"/>
  <c r="DD6" i="6"/>
  <c r="DD6" i="5"/>
  <c r="DI14" i="11"/>
  <c r="DI5" i="11"/>
  <c r="DJ11" i="11"/>
  <c r="DH14" i="11"/>
  <c r="DH5" i="11"/>
  <c r="DG4" i="11"/>
  <c r="DF4" i="11"/>
  <c r="DD4" i="11"/>
  <c r="DH4" i="11"/>
  <c r="DE4" i="11"/>
  <c r="DF71" i="5" l="1"/>
  <c r="DF72" i="5"/>
  <c r="DI8" i="42"/>
  <c r="DH8" i="42"/>
  <c r="DE7" i="42"/>
  <c r="DH7" i="42"/>
  <c r="DD7" i="42"/>
  <c r="DF7" i="42"/>
  <c r="DG7" i="42"/>
  <c r="DH7" i="29"/>
  <c r="DH7" i="8"/>
  <c r="DH7" i="2"/>
  <c r="DH7" i="30"/>
  <c r="DD7" i="29"/>
  <c r="DD7" i="8"/>
  <c r="DD7" i="30"/>
  <c r="DD7" i="2"/>
  <c r="DI8" i="8"/>
  <c r="DI8" i="2"/>
  <c r="DI8" i="30"/>
  <c r="DI8" i="29"/>
  <c r="DG7" i="29"/>
  <c r="DG7" i="8"/>
  <c r="DG7" i="2"/>
  <c r="DG7" i="30"/>
  <c r="DF7" i="29"/>
  <c r="DF7" i="8"/>
  <c r="DF7" i="2"/>
  <c r="DF7" i="30"/>
  <c r="DH8" i="8"/>
  <c r="DH8" i="2"/>
  <c r="DH8" i="30"/>
  <c r="DH8" i="29"/>
  <c r="DE7" i="29"/>
  <c r="DE7" i="8"/>
  <c r="DE7" i="2"/>
  <c r="DE7" i="30"/>
  <c r="DG7" i="7"/>
  <c r="DH8" i="7"/>
  <c r="DH7" i="7"/>
  <c r="DD7" i="7"/>
  <c r="DI8" i="7"/>
  <c r="DE7" i="7"/>
  <c r="DF7" i="7"/>
  <c r="DF83" i="5"/>
  <c r="DF84" i="5"/>
  <c r="DH7" i="18"/>
  <c r="DH7" i="17"/>
  <c r="DH7" i="14"/>
  <c r="DH7" i="15"/>
  <c r="DH7" i="6"/>
  <c r="DH7" i="3"/>
  <c r="DH7" i="5"/>
  <c r="DG64" i="5"/>
  <c r="DG63" i="5" s="1"/>
  <c r="DG82" i="5"/>
  <c r="DG81" i="5" s="1"/>
  <c r="DD7" i="18"/>
  <c r="DD7" i="17"/>
  <c r="DD7" i="15"/>
  <c r="DD7" i="14"/>
  <c r="DD7" i="3"/>
  <c r="DD7" i="6"/>
  <c r="DD7" i="5"/>
  <c r="DI8" i="18"/>
  <c r="DI8" i="15"/>
  <c r="DI8" i="14"/>
  <c r="DI8" i="17"/>
  <c r="DI8" i="3"/>
  <c r="DI8" i="6"/>
  <c r="DI8" i="5"/>
  <c r="DI70" i="5" s="1"/>
  <c r="DI69" i="5" s="1"/>
  <c r="DG7" i="18"/>
  <c r="DG7" i="17"/>
  <c r="DG7" i="15"/>
  <c r="DG7" i="14"/>
  <c r="DG7" i="3"/>
  <c r="DG7" i="6"/>
  <c r="DG7" i="5"/>
  <c r="DH8" i="18"/>
  <c r="DH8" i="17"/>
  <c r="DH8" i="15"/>
  <c r="DH8" i="14"/>
  <c r="DH8" i="6"/>
  <c r="DH8" i="3"/>
  <c r="DH8" i="5"/>
  <c r="DH70" i="5" s="1"/>
  <c r="DH69" i="5" s="1"/>
  <c r="DF7" i="18"/>
  <c r="DF7" i="15"/>
  <c r="DF7" i="17"/>
  <c r="DF7" i="14"/>
  <c r="DF7" i="3"/>
  <c r="DF7" i="6"/>
  <c r="DF7" i="5"/>
  <c r="DE7" i="18"/>
  <c r="DE7" i="15"/>
  <c r="DE7" i="17"/>
  <c r="DE7" i="14"/>
  <c r="DE7" i="3"/>
  <c r="DE7" i="6"/>
  <c r="DE7" i="5"/>
  <c r="DF65" i="5"/>
  <c r="DF66" i="5"/>
  <c r="DH15" i="11"/>
  <c r="DG15" i="11"/>
  <c r="DF15" i="11"/>
  <c r="DE15" i="11"/>
  <c r="DD15" i="11"/>
  <c r="DJ14" i="11"/>
  <c r="DJ5" i="11"/>
  <c r="DK11" i="11"/>
  <c r="DG72" i="5" l="1"/>
  <c r="DG71" i="5"/>
  <c r="DJ8" i="42"/>
  <c r="DJ8" i="8"/>
  <c r="DJ8" i="30"/>
  <c r="DJ8" i="2"/>
  <c r="DJ8" i="29"/>
  <c r="DJ8" i="7"/>
  <c r="DG84" i="5"/>
  <c r="DG83" i="5"/>
  <c r="DH64" i="5"/>
  <c r="DH63" i="5" s="1"/>
  <c r="DH82" i="5"/>
  <c r="DH81" i="5" s="1"/>
  <c r="DI82" i="5"/>
  <c r="DI81" i="5" s="1"/>
  <c r="DI64" i="5"/>
  <c r="DI63" i="5" s="1"/>
  <c r="DG66" i="5"/>
  <c r="DG65" i="5"/>
  <c r="DJ8" i="18"/>
  <c r="DJ8" i="15"/>
  <c r="DJ8" i="14"/>
  <c r="DJ8" i="17"/>
  <c r="DJ8" i="3"/>
  <c r="DJ8" i="6"/>
  <c r="DJ8" i="5"/>
  <c r="DJ70" i="5" s="1"/>
  <c r="DJ69" i="5" s="1"/>
  <c r="DK14" i="11"/>
  <c r="DK5" i="11"/>
  <c r="DL11" i="11"/>
  <c r="DI71" i="5" l="1"/>
  <c r="DI72" i="5"/>
  <c r="DH72" i="5"/>
  <c r="DH71" i="5"/>
  <c r="DK8" i="42"/>
  <c r="DK8" i="8"/>
  <c r="DK8" i="2"/>
  <c r="DK8" i="30"/>
  <c r="DK8" i="29"/>
  <c r="DK8" i="7"/>
  <c r="DH84" i="5"/>
  <c r="DH83" i="5"/>
  <c r="DI83" i="5"/>
  <c r="DI84" i="5"/>
  <c r="DI66" i="5"/>
  <c r="DI65" i="5"/>
  <c r="DH65" i="5"/>
  <c r="DH66" i="5"/>
  <c r="DJ82" i="5"/>
  <c r="DJ81" i="5" s="1"/>
  <c r="DJ64" i="5"/>
  <c r="DJ63" i="5" s="1"/>
  <c r="DK8" i="18"/>
  <c r="DK8" i="17"/>
  <c r="DK8" i="14"/>
  <c r="DK8" i="15"/>
  <c r="DK8" i="3"/>
  <c r="DK8" i="6"/>
  <c r="DK8" i="5"/>
  <c r="DK70" i="5" s="1"/>
  <c r="DK69" i="5" s="1"/>
  <c r="DL14" i="11"/>
  <c r="DM11" i="11"/>
  <c r="DI3" i="11" s="1"/>
  <c r="DN11" i="11"/>
  <c r="DL5" i="11"/>
  <c r="DJ72" i="5" l="1"/>
  <c r="DJ71" i="5"/>
  <c r="DL8" i="42"/>
  <c r="DI6" i="42"/>
  <c r="DI6" i="29"/>
  <c r="DI6" i="8"/>
  <c r="DI6" i="2"/>
  <c r="DI6" i="30"/>
  <c r="DL8" i="8"/>
  <c r="DL8" i="2"/>
  <c r="DL8" i="30"/>
  <c r="DL8" i="29"/>
  <c r="DL8" i="7"/>
  <c r="DI6" i="7"/>
  <c r="DJ83" i="5"/>
  <c r="DJ84" i="5"/>
  <c r="DL8" i="18"/>
  <c r="DL8" i="17"/>
  <c r="DL8" i="14"/>
  <c r="DL8" i="15"/>
  <c r="DL8" i="3"/>
  <c r="DL8" i="6"/>
  <c r="DL8" i="5"/>
  <c r="DL70" i="5" s="1"/>
  <c r="DL69" i="5" s="1"/>
  <c r="DK64" i="5"/>
  <c r="DK63" i="5" s="1"/>
  <c r="DK82" i="5"/>
  <c r="DK81" i="5" s="1"/>
  <c r="DJ66" i="5"/>
  <c r="DJ65" i="5"/>
  <c r="DI6" i="18"/>
  <c r="DI6" i="17"/>
  <c r="DI6" i="14"/>
  <c r="DI6" i="3"/>
  <c r="DI6" i="6"/>
  <c r="DI6" i="5"/>
  <c r="DN14" i="11"/>
  <c r="DO11" i="11"/>
  <c r="DN5" i="11"/>
  <c r="DM14" i="11"/>
  <c r="DI4" i="11"/>
  <c r="DM4" i="11"/>
  <c r="DL4" i="11"/>
  <c r="DM5" i="11"/>
  <c r="DJ4" i="11"/>
  <c r="DK4" i="11"/>
  <c r="DK71" i="5" l="1"/>
  <c r="DK72" i="5"/>
  <c r="DN8" i="42"/>
  <c r="DM8" i="42"/>
  <c r="DK7" i="42"/>
  <c r="DJ7" i="42"/>
  <c r="DL7" i="42"/>
  <c r="DM7" i="42"/>
  <c r="DI7" i="42"/>
  <c r="DL7" i="29"/>
  <c r="DL7" i="8"/>
  <c r="DL7" i="2"/>
  <c r="DL7" i="30"/>
  <c r="DM7" i="29"/>
  <c r="DM7" i="8"/>
  <c r="DM7" i="30"/>
  <c r="DM7" i="2"/>
  <c r="DI7" i="29"/>
  <c r="DI7" i="8"/>
  <c r="DI7" i="2"/>
  <c r="DI7" i="30"/>
  <c r="DK7" i="29"/>
  <c r="DK7" i="8"/>
  <c r="DK7" i="30"/>
  <c r="DK7" i="2"/>
  <c r="DJ7" i="29"/>
  <c r="DJ7" i="8"/>
  <c r="DJ7" i="30"/>
  <c r="DJ7" i="2"/>
  <c r="DN8" i="8"/>
  <c r="DN8" i="2"/>
  <c r="DN8" i="30"/>
  <c r="DN8" i="29"/>
  <c r="DM8" i="8"/>
  <c r="DM8" i="30"/>
  <c r="DM8" i="2"/>
  <c r="DM8" i="29"/>
  <c r="DJ7" i="7"/>
  <c r="DN8" i="7"/>
  <c r="DL7" i="7"/>
  <c r="DM8" i="7"/>
  <c r="DM7" i="7"/>
  <c r="DI7" i="7"/>
  <c r="DK7" i="7"/>
  <c r="DK84" i="5"/>
  <c r="DK83" i="5"/>
  <c r="DM8" i="18"/>
  <c r="DM8" i="17"/>
  <c r="DM8" i="14"/>
  <c r="DM8" i="15"/>
  <c r="DM8" i="6"/>
  <c r="DM8" i="3"/>
  <c r="DM8" i="5"/>
  <c r="DM70" i="5" s="1"/>
  <c r="DM69" i="5" s="1"/>
  <c r="DK66" i="5"/>
  <c r="DK65" i="5"/>
  <c r="DM7" i="18"/>
  <c r="DM7" i="17"/>
  <c r="DM7" i="15"/>
  <c r="DM7" i="14"/>
  <c r="DM7" i="6"/>
  <c r="DM7" i="3"/>
  <c r="DM7" i="5"/>
  <c r="DI7" i="18"/>
  <c r="DI7" i="17"/>
  <c r="DI7" i="15"/>
  <c r="DI7" i="14"/>
  <c r="DI7" i="3"/>
  <c r="DI7" i="6"/>
  <c r="DI7" i="5"/>
  <c r="DL64" i="5"/>
  <c r="DL63" i="5" s="1"/>
  <c r="DL82" i="5"/>
  <c r="DL81" i="5" s="1"/>
  <c r="DJ7" i="18"/>
  <c r="DJ7" i="17"/>
  <c r="DJ7" i="15"/>
  <c r="DJ7" i="14"/>
  <c r="DJ7" i="3"/>
  <c r="DJ7" i="6"/>
  <c r="DJ7" i="5"/>
  <c r="DN8" i="18"/>
  <c r="DN8" i="17"/>
  <c r="DN8" i="15"/>
  <c r="DN8" i="14"/>
  <c r="DN8" i="3"/>
  <c r="DN8" i="6"/>
  <c r="DN8" i="5"/>
  <c r="DN70" i="5" s="1"/>
  <c r="DN69" i="5" s="1"/>
  <c r="DL7" i="18"/>
  <c r="DL7" i="15"/>
  <c r="DL7" i="14"/>
  <c r="DL7" i="17"/>
  <c r="DL7" i="3"/>
  <c r="DL7" i="6"/>
  <c r="DL7" i="5"/>
  <c r="DK7" i="18"/>
  <c r="DK7" i="15"/>
  <c r="DK7" i="14"/>
  <c r="DK7" i="17"/>
  <c r="DK7" i="3"/>
  <c r="DK7" i="6"/>
  <c r="DK7" i="5"/>
  <c r="DI15" i="11"/>
  <c r="DM15" i="11"/>
  <c r="DL15" i="11"/>
  <c r="DK15" i="11"/>
  <c r="DJ15" i="11"/>
  <c r="DO14" i="11"/>
  <c r="DO5" i="11"/>
  <c r="DP11" i="11"/>
  <c r="DL71" i="5" l="1"/>
  <c r="DL72" i="5"/>
  <c r="DO8" i="42"/>
  <c r="DO8" i="8"/>
  <c r="DO8" i="2"/>
  <c r="DO8" i="30"/>
  <c r="DO8" i="29"/>
  <c r="DO8" i="7"/>
  <c r="DL84" i="5"/>
  <c r="DL83" i="5"/>
  <c r="DN64" i="5"/>
  <c r="DN63" i="5" s="1"/>
  <c r="DN82" i="5"/>
  <c r="DN81" i="5" s="1"/>
  <c r="DO8" i="18"/>
  <c r="DO8" i="15"/>
  <c r="DO8" i="17"/>
  <c r="DO8" i="14"/>
  <c r="DO8" i="3"/>
  <c r="DO8" i="6"/>
  <c r="DO8" i="5"/>
  <c r="DO70" i="5" s="1"/>
  <c r="DO69" i="5" s="1"/>
  <c r="DL66" i="5"/>
  <c r="DL65" i="5"/>
  <c r="DM82" i="5"/>
  <c r="DM81" i="5" s="1"/>
  <c r="DM64" i="5"/>
  <c r="DM63" i="5" s="1"/>
  <c r="DP14" i="11"/>
  <c r="DP5" i="11"/>
  <c r="DQ11" i="11"/>
  <c r="DN72" i="5" l="1"/>
  <c r="DN71" i="5"/>
  <c r="DM71" i="5"/>
  <c r="DM72" i="5"/>
  <c r="DP8" i="42"/>
  <c r="DP8" i="8"/>
  <c r="DP8" i="30"/>
  <c r="DP8" i="2"/>
  <c r="DP8" i="29"/>
  <c r="DP8" i="7"/>
  <c r="DM84" i="5"/>
  <c r="DM83" i="5"/>
  <c r="DN84" i="5"/>
  <c r="DN83" i="5"/>
  <c r="DP8" i="18"/>
  <c r="DP8" i="15"/>
  <c r="DP8" i="17"/>
  <c r="DP8" i="14"/>
  <c r="DP8" i="3"/>
  <c r="DP8" i="6"/>
  <c r="DP8" i="5"/>
  <c r="DP70" i="5" s="1"/>
  <c r="DP69" i="5" s="1"/>
  <c r="DO64" i="5"/>
  <c r="DO63" i="5" s="1"/>
  <c r="DO82" i="5"/>
  <c r="DO81" i="5" s="1"/>
  <c r="DN65" i="5"/>
  <c r="DN66" i="5"/>
  <c r="DM65" i="5"/>
  <c r="DM66" i="5"/>
  <c r="DQ14" i="11"/>
  <c r="DS11" i="11"/>
  <c r="DQ5" i="11"/>
  <c r="DR11" i="11"/>
  <c r="DN3" i="11" s="1"/>
  <c r="DO71" i="5" l="1"/>
  <c r="DO72" i="5"/>
  <c r="DQ8" i="42"/>
  <c r="DN6" i="42"/>
  <c r="DN6" i="29"/>
  <c r="DN6" i="8"/>
  <c r="DN6" i="30"/>
  <c r="DN6" i="2"/>
  <c r="DQ8" i="8"/>
  <c r="DQ8" i="2"/>
  <c r="DQ8" i="30"/>
  <c r="DQ8" i="29"/>
  <c r="DN6" i="7"/>
  <c r="DQ8" i="7"/>
  <c r="DO83" i="5"/>
  <c r="DO84" i="5"/>
  <c r="DP64" i="5"/>
  <c r="DP63" i="5" s="1"/>
  <c r="DP82" i="5"/>
  <c r="DP81" i="5" s="1"/>
  <c r="DN6" i="18"/>
  <c r="DN6" i="17"/>
  <c r="DN6" i="15"/>
  <c r="DN6" i="14"/>
  <c r="DN6" i="3"/>
  <c r="DN6" i="6"/>
  <c r="DN6" i="5"/>
  <c r="DQ8" i="18"/>
  <c r="DQ8" i="17"/>
  <c r="DQ8" i="15"/>
  <c r="DQ8" i="14"/>
  <c r="DQ8" i="3"/>
  <c r="DQ8" i="6"/>
  <c r="DQ8" i="5"/>
  <c r="DQ70" i="5" s="1"/>
  <c r="DQ69" i="5" s="1"/>
  <c r="DO66" i="5"/>
  <c r="DO65" i="5"/>
  <c r="DR14" i="11"/>
  <c r="DO4" i="11"/>
  <c r="DR5" i="11"/>
  <c r="DR4" i="11"/>
  <c r="DP4" i="11"/>
  <c r="DN4" i="11"/>
  <c r="DQ4" i="11"/>
  <c r="DS14" i="11"/>
  <c r="DT11" i="11"/>
  <c r="DS5" i="11"/>
  <c r="DP72" i="5" l="1"/>
  <c r="DP71" i="5"/>
  <c r="DR8" i="42"/>
  <c r="DS8" i="42"/>
  <c r="DQ7" i="42"/>
  <c r="DN7" i="42"/>
  <c r="DP7" i="42"/>
  <c r="DR7" i="42"/>
  <c r="DO7" i="42"/>
  <c r="DR7" i="29"/>
  <c r="DR7" i="8"/>
  <c r="DR7" i="2"/>
  <c r="DR7" i="30"/>
  <c r="DR8" i="8"/>
  <c r="DR8" i="2"/>
  <c r="DR8" i="30"/>
  <c r="DR8" i="29"/>
  <c r="DQ7" i="29"/>
  <c r="DQ7" i="8"/>
  <c r="DQ7" i="2"/>
  <c r="DQ7" i="30"/>
  <c r="DN7" i="29"/>
  <c r="DN7" i="8"/>
  <c r="DN7" i="2"/>
  <c r="DN7" i="30"/>
  <c r="DS8" i="8"/>
  <c r="DS8" i="2"/>
  <c r="DS8" i="30"/>
  <c r="DS8" i="29"/>
  <c r="DO7" i="29"/>
  <c r="DO7" i="8"/>
  <c r="DO7" i="2"/>
  <c r="DO7" i="30"/>
  <c r="DP7" i="29"/>
  <c r="DP7" i="8"/>
  <c r="DP7" i="30"/>
  <c r="DP7" i="2"/>
  <c r="DQ7" i="7"/>
  <c r="DN7" i="7"/>
  <c r="DS8" i="7"/>
  <c r="DR7" i="7"/>
  <c r="DR8" i="7"/>
  <c r="DP7" i="7"/>
  <c r="DO7" i="7"/>
  <c r="DP83" i="5"/>
  <c r="DP84" i="5"/>
  <c r="DS8" i="18"/>
  <c r="DS8" i="17"/>
  <c r="DS8" i="15"/>
  <c r="DS8" i="14"/>
  <c r="DS8" i="3"/>
  <c r="DS8" i="6"/>
  <c r="DS8" i="5"/>
  <c r="DS70" i="5" s="1"/>
  <c r="DS69" i="5" s="1"/>
  <c r="DQ7" i="18"/>
  <c r="DQ7" i="15"/>
  <c r="DQ7" i="17"/>
  <c r="DQ7" i="14"/>
  <c r="DQ7" i="3"/>
  <c r="DQ7" i="6"/>
  <c r="DQ7" i="5"/>
  <c r="DN7" i="18"/>
  <c r="DN7" i="17"/>
  <c r="DN7" i="15"/>
  <c r="DN7" i="14"/>
  <c r="DN7" i="3"/>
  <c r="DN7" i="6"/>
  <c r="DN7" i="5"/>
  <c r="DP7" i="18"/>
  <c r="DP7" i="17"/>
  <c r="DP7" i="15"/>
  <c r="DP7" i="14"/>
  <c r="DP7" i="3"/>
  <c r="DP7" i="6"/>
  <c r="DP7" i="5"/>
  <c r="DR7" i="18"/>
  <c r="DR7" i="15"/>
  <c r="DR7" i="17"/>
  <c r="DR7" i="14"/>
  <c r="DR7" i="6"/>
  <c r="DR7" i="3"/>
  <c r="DR7" i="5"/>
  <c r="DR8" i="18"/>
  <c r="DR8" i="17"/>
  <c r="DR8" i="14"/>
  <c r="DR8" i="15"/>
  <c r="DR8" i="6"/>
  <c r="DR8" i="3"/>
  <c r="DR8" i="5"/>
  <c r="DR70" i="5" s="1"/>
  <c r="DR69" i="5" s="1"/>
  <c r="DO7" i="18"/>
  <c r="DO7" i="17"/>
  <c r="DO7" i="15"/>
  <c r="DO7" i="14"/>
  <c r="DO7" i="3"/>
  <c r="DO7" i="6"/>
  <c r="DO7" i="5"/>
  <c r="DQ82" i="5"/>
  <c r="DQ81" i="5" s="1"/>
  <c r="DQ64" i="5"/>
  <c r="DQ63" i="5" s="1"/>
  <c r="DP66" i="5"/>
  <c r="DP65" i="5"/>
  <c r="DT14" i="11"/>
  <c r="DU11" i="11"/>
  <c r="DT5" i="11"/>
  <c r="DO15" i="11"/>
  <c r="DN15" i="11"/>
  <c r="DR15" i="11"/>
  <c r="DQ15" i="11"/>
  <c r="DP15" i="11"/>
  <c r="DQ72" i="5" l="1"/>
  <c r="DQ71" i="5"/>
  <c r="DT8" i="42"/>
  <c r="DT8" i="8"/>
  <c r="DT8" i="2"/>
  <c r="DT8" i="30"/>
  <c r="DT8" i="29"/>
  <c r="DT8" i="7"/>
  <c r="DQ84" i="5"/>
  <c r="DQ83" i="5"/>
  <c r="DT8" i="18"/>
  <c r="DT8" i="17"/>
  <c r="DT8" i="15"/>
  <c r="DT8" i="14"/>
  <c r="DT8" i="3"/>
  <c r="DT8" i="6"/>
  <c r="DT8" i="5"/>
  <c r="DT70" i="5" s="1"/>
  <c r="DT69" i="5" s="1"/>
  <c r="DQ65" i="5"/>
  <c r="DQ66" i="5"/>
  <c r="DR82" i="5"/>
  <c r="DR81" i="5" s="1"/>
  <c r="DR64" i="5"/>
  <c r="DR63" i="5" s="1"/>
  <c r="DS64" i="5"/>
  <c r="DS63" i="5" s="1"/>
  <c r="DS82" i="5"/>
  <c r="DS81" i="5" s="1"/>
  <c r="DU14" i="11"/>
  <c r="DU5" i="11"/>
  <c r="DV11" i="11"/>
  <c r="DS71" i="5" l="1"/>
  <c r="DS72" i="5"/>
  <c r="DR72" i="5"/>
  <c r="DR71" i="5"/>
  <c r="DU8" i="42"/>
  <c r="DU8" i="8"/>
  <c r="DU8" i="2"/>
  <c r="DU8" i="30"/>
  <c r="DU8" i="29"/>
  <c r="DU8" i="7"/>
  <c r="DR83" i="5"/>
  <c r="DR84" i="5"/>
  <c r="DS83" i="5"/>
  <c r="DS84" i="5"/>
  <c r="DU8" i="18"/>
  <c r="DU8" i="15"/>
  <c r="DU8" i="14"/>
  <c r="DU8" i="17"/>
  <c r="DU8" i="3"/>
  <c r="DU8" i="6"/>
  <c r="DU8" i="5"/>
  <c r="DU70" i="5" s="1"/>
  <c r="DU69" i="5" s="1"/>
  <c r="DS66" i="5"/>
  <c r="DS65" i="5"/>
  <c r="DR66" i="5"/>
  <c r="DR65" i="5"/>
  <c r="DT64" i="5"/>
  <c r="DT63" i="5" s="1"/>
  <c r="DT82" i="5"/>
  <c r="DT81" i="5" s="1"/>
  <c r="DV14" i="11"/>
  <c r="DX11" i="11"/>
  <c r="DV5" i="11"/>
  <c r="DW11" i="11"/>
  <c r="DS3" i="11" s="1"/>
  <c r="DT71" i="5" l="1"/>
  <c r="DT72" i="5"/>
  <c r="DV8" i="42"/>
  <c r="DS6" i="42"/>
  <c r="DS6" i="29"/>
  <c r="DS6" i="8"/>
  <c r="DS6" i="2"/>
  <c r="DS6" i="30"/>
  <c r="DV8" i="8"/>
  <c r="DV8" i="30"/>
  <c r="DV8" i="2"/>
  <c r="DV8" i="29"/>
  <c r="DS6" i="7"/>
  <c r="DV8" i="7"/>
  <c r="DT84" i="5"/>
  <c r="DT83" i="5"/>
  <c r="DS6" i="18"/>
  <c r="DS6" i="17"/>
  <c r="DS6" i="15"/>
  <c r="DS6" i="14"/>
  <c r="DS6" i="3"/>
  <c r="DS6" i="6"/>
  <c r="DS6" i="5"/>
  <c r="DV8" i="18"/>
  <c r="DV8" i="15"/>
  <c r="DV8" i="14"/>
  <c r="DV8" i="17"/>
  <c r="DV8" i="3"/>
  <c r="DV8" i="6"/>
  <c r="DV8" i="5"/>
  <c r="DV70" i="5" s="1"/>
  <c r="DV69" i="5" s="1"/>
  <c r="DT66" i="5"/>
  <c r="DT65" i="5"/>
  <c r="DU64" i="5"/>
  <c r="DU63" i="5" s="1"/>
  <c r="DU82" i="5"/>
  <c r="DU81" i="5" s="1"/>
  <c r="DW14" i="11"/>
  <c r="DW5" i="11"/>
  <c r="DU4" i="11"/>
  <c r="DS4" i="11"/>
  <c r="DV4" i="11"/>
  <c r="DT4" i="11"/>
  <c r="DW4" i="11"/>
  <c r="DX14" i="11"/>
  <c r="DY11" i="11"/>
  <c r="DX5" i="11"/>
  <c r="DU71" i="5" l="1"/>
  <c r="DU72" i="5"/>
  <c r="DW8" i="42"/>
  <c r="DX8" i="42"/>
  <c r="DW7" i="42"/>
  <c r="DT7" i="42"/>
  <c r="DV7" i="42"/>
  <c r="DS7" i="42"/>
  <c r="DU7" i="42"/>
  <c r="DS7" i="29"/>
  <c r="DS7" i="8"/>
  <c r="DS7" i="2"/>
  <c r="DS7" i="30"/>
  <c r="DU7" i="29"/>
  <c r="DU7" i="8"/>
  <c r="DU7" i="2"/>
  <c r="DU7" i="30"/>
  <c r="DW8" i="8"/>
  <c r="DW8" i="2"/>
  <c r="DW8" i="30"/>
  <c r="DW8" i="29"/>
  <c r="DW7" i="29"/>
  <c r="DW7" i="8"/>
  <c r="DW7" i="2"/>
  <c r="DW7" i="30"/>
  <c r="DT7" i="29"/>
  <c r="DT7" i="8"/>
  <c r="DT7" i="2"/>
  <c r="DT7" i="30"/>
  <c r="DX8" i="8"/>
  <c r="DX8" i="30"/>
  <c r="DX8" i="2"/>
  <c r="DX8" i="29"/>
  <c r="DV7" i="29"/>
  <c r="DV7" i="8"/>
  <c r="DV7" i="30"/>
  <c r="DV7" i="2"/>
  <c r="DT7" i="7"/>
  <c r="DW7" i="7"/>
  <c r="DX8" i="7"/>
  <c r="DS7" i="7"/>
  <c r="DV7" i="7"/>
  <c r="DU7" i="7"/>
  <c r="DW8" i="7"/>
  <c r="DU84" i="5"/>
  <c r="DU83" i="5"/>
  <c r="DX8" i="18"/>
  <c r="DX8" i="17"/>
  <c r="DX8" i="14"/>
  <c r="DX8" i="15"/>
  <c r="DX8" i="3"/>
  <c r="DX8" i="6"/>
  <c r="DX8" i="5"/>
  <c r="DX70" i="5" s="1"/>
  <c r="DX69" i="5" s="1"/>
  <c r="DW7" i="18"/>
  <c r="DW7" i="15"/>
  <c r="DW7" i="14"/>
  <c r="DW7" i="17"/>
  <c r="DW7" i="6"/>
  <c r="DW7" i="3"/>
  <c r="DW7" i="5"/>
  <c r="DT7" i="18"/>
  <c r="DT7" i="17"/>
  <c r="DT7" i="14"/>
  <c r="DT7" i="15"/>
  <c r="DT7" i="3"/>
  <c r="DT7" i="6"/>
  <c r="DT7" i="5"/>
  <c r="DV7" i="18"/>
  <c r="DV7" i="17"/>
  <c r="DV7" i="15"/>
  <c r="DV7" i="14"/>
  <c r="DV7" i="3"/>
  <c r="DV7" i="6"/>
  <c r="DV7" i="5"/>
  <c r="DS7" i="18"/>
  <c r="DS7" i="17"/>
  <c r="DS7" i="15"/>
  <c r="DS7" i="14"/>
  <c r="DS7" i="3"/>
  <c r="DS7" i="6"/>
  <c r="DS7" i="5"/>
  <c r="DU7" i="18"/>
  <c r="DU7" i="17"/>
  <c r="DU7" i="15"/>
  <c r="DU7" i="14"/>
  <c r="DU7" i="3"/>
  <c r="DU7" i="6"/>
  <c r="DU7" i="5"/>
  <c r="DW8" i="18"/>
  <c r="DW8" i="17"/>
  <c r="DW8" i="15"/>
  <c r="DW8" i="14"/>
  <c r="DW8" i="6"/>
  <c r="DW8" i="3"/>
  <c r="DW8" i="5"/>
  <c r="DW70" i="5" s="1"/>
  <c r="DW69" i="5" s="1"/>
  <c r="DU65" i="5"/>
  <c r="DU66" i="5"/>
  <c r="DV82" i="5"/>
  <c r="DV81" i="5" s="1"/>
  <c r="DV64" i="5"/>
  <c r="DV63" i="5" s="1"/>
  <c r="DY14" i="11"/>
  <c r="DZ11" i="11"/>
  <c r="DY5" i="11"/>
  <c r="DU15" i="11"/>
  <c r="DT15" i="11"/>
  <c r="DS15" i="11"/>
  <c r="DW15" i="11"/>
  <c r="DV15" i="11"/>
  <c r="DV72" i="5" l="1"/>
  <c r="DV71" i="5"/>
  <c r="DY8" i="42"/>
  <c r="DY8" i="8"/>
  <c r="DY8" i="2"/>
  <c r="DY8" i="30"/>
  <c r="DY8" i="29"/>
  <c r="DY8" i="7"/>
  <c r="DV84" i="5"/>
  <c r="DV83" i="5"/>
  <c r="DY8" i="18"/>
  <c r="DY8" i="17"/>
  <c r="DY8" i="15"/>
  <c r="DY8" i="14"/>
  <c r="DY8" i="3"/>
  <c r="DY8" i="6"/>
  <c r="DY8" i="5"/>
  <c r="DY70" i="5" s="1"/>
  <c r="DY69" i="5" s="1"/>
  <c r="DV65" i="5"/>
  <c r="DV66" i="5"/>
  <c r="DW82" i="5"/>
  <c r="DW81" i="5" s="1"/>
  <c r="DW64" i="5"/>
  <c r="DW63" i="5" s="1"/>
  <c r="DX64" i="5"/>
  <c r="DX63" i="5" s="1"/>
  <c r="DX82" i="5"/>
  <c r="DX81" i="5" s="1"/>
  <c r="DZ14" i="11"/>
  <c r="DZ5" i="11"/>
  <c r="EA11" i="11"/>
  <c r="DW72" i="5" l="1"/>
  <c r="DW71" i="5"/>
  <c r="DX71" i="5"/>
  <c r="DX72" i="5"/>
  <c r="DZ8" i="42"/>
  <c r="DZ8" i="8"/>
  <c r="DZ8" i="2"/>
  <c r="DZ8" i="30"/>
  <c r="DZ8" i="29"/>
  <c r="DZ8" i="7"/>
  <c r="DX83" i="5"/>
  <c r="DX84" i="5"/>
  <c r="DW83" i="5"/>
  <c r="DW84" i="5"/>
  <c r="DZ8" i="18"/>
  <c r="DZ8" i="17"/>
  <c r="DZ8" i="15"/>
  <c r="DZ8" i="14"/>
  <c r="DZ8" i="3"/>
  <c r="DZ8" i="6"/>
  <c r="DZ8" i="5"/>
  <c r="DZ70" i="5" s="1"/>
  <c r="DZ69" i="5" s="1"/>
  <c r="DX66" i="5"/>
  <c r="DX65" i="5"/>
  <c r="DW66" i="5"/>
  <c r="DW65" i="5"/>
  <c r="DY64" i="5"/>
  <c r="DY63" i="5" s="1"/>
  <c r="DY82" i="5"/>
  <c r="DY81" i="5" s="1"/>
  <c r="EA14" i="11"/>
  <c r="EC11" i="11"/>
  <c r="EA5" i="11"/>
  <c r="EB11" i="11"/>
  <c r="DX3" i="11" s="1"/>
  <c r="DY72" i="5" l="1"/>
  <c r="DY71" i="5"/>
  <c r="EA8" i="42"/>
  <c r="DX6" i="42"/>
  <c r="DX6" i="29"/>
  <c r="DX6" i="8"/>
  <c r="DX6" i="2"/>
  <c r="DX6" i="30"/>
  <c r="EA8" i="8"/>
  <c r="EA8" i="2"/>
  <c r="EA8" i="30"/>
  <c r="EA8" i="29"/>
  <c r="DX6" i="7"/>
  <c r="EA8" i="7"/>
  <c r="DY84" i="5"/>
  <c r="DY83" i="5"/>
  <c r="DX6" i="18"/>
  <c r="DX6" i="17"/>
  <c r="DX6" i="15"/>
  <c r="DX6" i="14"/>
  <c r="DX6" i="3"/>
  <c r="DX6" i="6"/>
  <c r="DX6" i="5"/>
  <c r="EA8" i="18"/>
  <c r="EA8" i="15"/>
  <c r="EA8" i="17"/>
  <c r="EA8" i="14"/>
  <c r="EA8" i="3"/>
  <c r="EA8" i="6"/>
  <c r="EA8" i="5"/>
  <c r="EA70" i="5" s="1"/>
  <c r="EA69" i="5" s="1"/>
  <c r="DY65" i="5"/>
  <c r="DY66" i="5"/>
  <c r="DZ64" i="5"/>
  <c r="DZ63" i="5" s="1"/>
  <c r="DZ82" i="5"/>
  <c r="DZ81" i="5" s="1"/>
  <c r="EB14" i="11"/>
  <c r="EB5" i="11"/>
  <c r="EA4" i="11"/>
  <c r="DY4" i="11"/>
  <c r="DX4" i="11"/>
  <c r="EB4" i="11"/>
  <c r="DZ4" i="11"/>
  <c r="EC14" i="11"/>
  <c r="EC5" i="11"/>
  <c r="ED11" i="11"/>
  <c r="DZ71" i="5" l="1"/>
  <c r="DZ72" i="5"/>
  <c r="EC8" i="42"/>
  <c r="EB8" i="42"/>
  <c r="DZ7" i="42"/>
  <c r="EB7" i="42"/>
  <c r="DX7" i="42"/>
  <c r="DY7" i="42"/>
  <c r="EA7" i="42"/>
  <c r="EC8" i="8"/>
  <c r="EC8" i="2"/>
  <c r="EC8" i="30"/>
  <c r="EC8" i="29"/>
  <c r="EB8" i="8"/>
  <c r="EB8" i="30"/>
  <c r="EB8" i="2"/>
  <c r="EB8" i="29"/>
  <c r="DY7" i="29"/>
  <c r="DY7" i="8"/>
  <c r="DY7" i="30"/>
  <c r="DY7" i="2"/>
  <c r="EA7" i="29"/>
  <c r="EA7" i="8"/>
  <c r="EA7" i="2"/>
  <c r="EA7" i="30"/>
  <c r="EB7" i="29"/>
  <c r="EB7" i="8"/>
  <c r="EB7" i="30"/>
  <c r="EB7" i="2"/>
  <c r="DZ7" i="29"/>
  <c r="DZ7" i="8"/>
  <c r="DZ7" i="2"/>
  <c r="DZ7" i="30"/>
  <c r="DX7" i="29"/>
  <c r="DX7" i="8"/>
  <c r="DX7" i="30"/>
  <c r="DX7" i="2"/>
  <c r="EB7" i="7"/>
  <c r="DX7" i="7"/>
  <c r="DY7" i="7"/>
  <c r="EC8" i="7"/>
  <c r="EA7" i="7"/>
  <c r="EB8" i="7"/>
  <c r="DZ7" i="7"/>
  <c r="DZ84" i="5"/>
  <c r="DZ83" i="5"/>
  <c r="EC8" i="18"/>
  <c r="EC8" i="17"/>
  <c r="EC8" i="15"/>
  <c r="EC8" i="14"/>
  <c r="EC8" i="3"/>
  <c r="EC8" i="6"/>
  <c r="EC8" i="5"/>
  <c r="EC70" i="5" s="1"/>
  <c r="EC69" i="5" s="1"/>
  <c r="DZ7" i="18"/>
  <c r="DZ7" i="17"/>
  <c r="DZ7" i="15"/>
  <c r="DZ7" i="14"/>
  <c r="DZ7" i="3"/>
  <c r="DZ7" i="6"/>
  <c r="DZ7" i="5"/>
  <c r="EB7" i="18"/>
  <c r="EB7" i="17"/>
  <c r="EB7" i="15"/>
  <c r="EB7" i="14"/>
  <c r="EB7" i="6"/>
  <c r="EB7" i="3"/>
  <c r="EB7" i="5"/>
  <c r="DX7" i="18"/>
  <c r="DX7" i="15"/>
  <c r="DX7" i="14"/>
  <c r="DX7" i="17"/>
  <c r="DX7" i="3"/>
  <c r="DX7" i="6"/>
  <c r="DX7" i="5"/>
  <c r="DY7" i="18"/>
  <c r="DY7" i="17"/>
  <c r="DY7" i="15"/>
  <c r="DY7" i="14"/>
  <c r="DY7" i="3"/>
  <c r="DY7" i="6"/>
  <c r="DY7" i="5"/>
  <c r="EA7" i="18"/>
  <c r="EA7" i="17"/>
  <c r="EA7" i="14"/>
  <c r="EA7" i="15"/>
  <c r="EA7" i="3"/>
  <c r="EA7" i="6"/>
  <c r="EA7" i="5"/>
  <c r="EB8" i="18"/>
  <c r="EB8" i="15"/>
  <c r="EB8" i="17"/>
  <c r="EB8" i="14"/>
  <c r="EB8" i="6"/>
  <c r="EB8" i="3"/>
  <c r="EB8" i="5"/>
  <c r="EB70" i="5" s="1"/>
  <c r="EB69" i="5" s="1"/>
  <c r="DZ65" i="5"/>
  <c r="DZ66" i="5"/>
  <c r="EA64" i="5"/>
  <c r="EA63" i="5" s="1"/>
  <c r="EA82" i="5"/>
  <c r="EA81" i="5" s="1"/>
  <c r="ED14" i="11"/>
  <c r="EE11" i="11"/>
  <c r="ED5" i="11"/>
  <c r="EA15" i="11"/>
  <c r="DZ15" i="11"/>
  <c r="DY15" i="11"/>
  <c r="DX15" i="11"/>
  <c r="EB15" i="11"/>
  <c r="EA71" i="5" l="1"/>
  <c r="EA72" i="5"/>
  <c r="ED8" i="42"/>
  <c r="ED8" i="8"/>
  <c r="ED8" i="2"/>
  <c r="ED8" i="30"/>
  <c r="ED8" i="29"/>
  <c r="ED8" i="7"/>
  <c r="EA83" i="5"/>
  <c r="EA84" i="5"/>
  <c r="ED8" i="18"/>
  <c r="ED8" i="17"/>
  <c r="ED8" i="14"/>
  <c r="ED8" i="15"/>
  <c r="ED8" i="3"/>
  <c r="ED8" i="6"/>
  <c r="ED8" i="5"/>
  <c r="ED70" i="5" s="1"/>
  <c r="ED69" i="5" s="1"/>
  <c r="EA66" i="5"/>
  <c r="EA65" i="5"/>
  <c r="EB82" i="5"/>
  <c r="EB81" i="5" s="1"/>
  <c r="EB64" i="5"/>
  <c r="EB63" i="5" s="1"/>
  <c r="EC64" i="5"/>
  <c r="EC63" i="5" s="1"/>
  <c r="EC82" i="5"/>
  <c r="EC81" i="5" s="1"/>
  <c r="EE14" i="11"/>
  <c r="EF11" i="11"/>
  <c r="EE5" i="11"/>
  <c r="EC72" i="5" l="1"/>
  <c r="EC71" i="5"/>
  <c r="EB72" i="5"/>
  <c r="EB71" i="5"/>
  <c r="EE8" i="42"/>
  <c r="EE8" i="8"/>
  <c r="EE8" i="30"/>
  <c r="EE8" i="2"/>
  <c r="EE8" i="29"/>
  <c r="EE8" i="7"/>
  <c r="EB83" i="5"/>
  <c r="EB84" i="5"/>
  <c r="EC84" i="5"/>
  <c r="EC83" i="5"/>
  <c r="EE8" i="18"/>
  <c r="EE8" i="17"/>
  <c r="EE8" i="15"/>
  <c r="EE8" i="14"/>
  <c r="EE8" i="3"/>
  <c r="EE8" i="6"/>
  <c r="EE8" i="5"/>
  <c r="EE70" i="5" s="1"/>
  <c r="EE69" i="5" s="1"/>
  <c r="EC66" i="5"/>
  <c r="EC65" i="5"/>
  <c r="EB66" i="5"/>
  <c r="EB65" i="5"/>
  <c r="ED82" i="5"/>
  <c r="ED81" i="5" s="1"/>
  <c r="ED64" i="5"/>
  <c r="ED63" i="5" s="1"/>
  <c r="EF14" i="11"/>
  <c r="EF5" i="11"/>
  <c r="EG11" i="11"/>
  <c r="EC3" i="11" s="1"/>
  <c r="EH11" i="11"/>
  <c r="ED72" i="5" l="1"/>
  <c r="ED71" i="5"/>
  <c r="EF8" i="42"/>
  <c r="EC6" i="42"/>
  <c r="EC6" i="29"/>
  <c r="EC6" i="8"/>
  <c r="EC6" i="2"/>
  <c r="EC6" i="30"/>
  <c r="EF8" i="8"/>
  <c r="EF8" i="2"/>
  <c r="EF8" i="30"/>
  <c r="EF8" i="29"/>
  <c r="EC6" i="7"/>
  <c r="EF8" i="7"/>
  <c r="ED84" i="5"/>
  <c r="ED83" i="5"/>
  <c r="EC6" i="18"/>
  <c r="EC6" i="15"/>
  <c r="EC6" i="14"/>
  <c r="EC6" i="17"/>
  <c r="EC6" i="3"/>
  <c r="EC6" i="6"/>
  <c r="EC6" i="5"/>
  <c r="EF8" i="18"/>
  <c r="EF8" i="17"/>
  <c r="EF8" i="15"/>
  <c r="EF8" i="14"/>
  <c r="EF8" i="3"/>
  <c r="EF8" i="6"/>
  <c r="EF8" i="5"/>
  <c r="EF70" i="5" s="1"/>
  <c r="EF69" i="5" s="1"/>
  <c r="ED65" i="5"/>
  <c r="ED66" i="5"/>
  <c r="EE82" i="5"/>
  <c r="EE81" i="5" s="1"/>
  <c r="EE64" i="5"/>
  <c r="EE63" i="5" s="1"/>
  <c r="EH14" i="11"/>
  <c r="EH5" i="11"/>
  <c r="EI11" i="11"/>
  <c r="EG14" i="11"/>
  <c r="EG5" i="11"/>
  <c r="EG4" i="11"/>
  <c r="EE4" i="11"/>
  <c r="ED4" i="11"/>
  <c r="EC4" i="11"/>
  <c r="EF4" i="11"/>
  <c r="EE72" i="5" l="1"/>
  <c r="EE71" i="5"/>
  <c r="EG8" i="42"/>
  <c r="EH8" i="42"/>
  <c r="EF7" i="42"/>
  <c r="EC7" i="42"/>
  <c r="ED7" i="42"/>
  <c r="EE7" i="42"/>
  <c r="EG7" i="42"/>
  <c r="EF7" i="29"/>
  <c r="EF7" i="8"/>
  <c r="EF7" i="2"/>
  <c r="EF7" i="30"/>
  <c r="EG7" i="29"/>
  <c r="EG7" i="8"/>
  <c r="EG7" i="2"/>
  <c r="EG7" i="30"/>
  <c r="EG8" i="8"/>
  <c r="EG8" i="2"/>
  <c r="EG8" i="30"/>
  <c r="EG8" i="29"/>
  <c r="ED7" i="29"/>
  <c r="ED7" i="8"/>
  <c r="ED7" i="2"/>
  <c r="ED7" i="30"/>
  <c r="EH8" i="8"/>
  <c r="EH8" i="30"/>
  <c r="EH8" i="2"/>
  <c r="EH8" i="29"/>
  <c r="EC7" i="29"/>
  <c r="EC7" i="8"/>
  <c r="EC7" i="2"/>
  <c r="EC7" i="30"/>
  <c r="EE7" i="29"/>
  <c r="EE7" i="8"/>
  <c r="EE7" i="2"/>
  <c r="EE7" i="30"/>
  <c r="EE7" i="7"/>
  <c r="EG8" i="7"/>
  <c r="EF7" i="7"/>
  <c r="EH8" i="7"/>
  <c r="EC7" i="7"/>
  <c r="ED7" i="7"/>
  <c r="EG7" i="7"/>
  <c r="EE84" i="5"/>
  <c r="EE83" i="5"/>
  <c r="EF7" i="18"/>
  <c r="EF7" i="17"/>
  <c r="EF7" i="14"/>
  <c r="EF7" i="15"/>
  <c r="EF7" i="3"/>
  <c r="EF7" i="6"/>
  <c r="EF7" i="5"/>
  <c r="EC7" i="18"/>
  <c r="EC7" i="15"/>
  <c r="EC7" i="17"/>
  <c r="EC7" i="14"/>
  <c r="EC7" i="3"/>
  <c r="EC7" i="6"/>
  <c r="EC7" i="5"/>
  <c r="ED7" i="18"/>
  <c r="ED7" i="15"/>
  <c r="ED7" i="17"/>
  <c r="ED7" i="14"/>
  <c r="ED7" i="3"/>
  <c r="ED7" i="6"/>
  <c r="ED7" i="5"/>
  <c r="EE7" i="18"/>
  <c r="EE7" i="17"/>
  <c r="EE7" i="15"/>
  <c r="EE7" i="14"/>
  <c r="EE7" i="3"/>
  <c r="EE7" i="6"/>
  <c r="EE7" i="5"/>
  <c r="EG7" i="18"/>
  <c r="EG7" i="17"/>
  <c r="EG7" i="15"/>
  <c r="EG7" i="14"/>
  <c r="EG7" i="6"/>
  <c r="EG7" i="3"/>
  <c r="EG7" i="5"/>
  <c r="EG8" i="18"/>
  <c r="EG8" i="15"/>
  <c r="EG8" i="14"/>
  <c r="EG8" i="17"/>
  <c r="EG8" i="6"/>
  <c r="EG8" i="3"/>
  <c r="EG8" i="5"/>
  <c r="EG70" i="5" s="1"/>
  <c r="EG69" i="5" s="1"/>
  <c r="EH8" i="18"/>
  <c r="EH8" i="15"/>
  <c r="EH8" i="14"/>
  <c r="EH8" i="17"/>
  <c r="EH8" i="3"/>
  <c r="EH8" i="6"/>
  <c r="EH8" i="5"/>
  <c r="EH70" i="5" s="1"/>
  <c r="EH69" i="5" s="1"/>
  <c r="EE66" i="5"/>
  <c r="EE65" i="5"/>
  <c r="EF82" i="5"/>
  <c r="EF81" i="5" s="1"/>
  <c r="EF64" i="5"/>
  <c r="EF63" i="5" s="1"/>
  <c r="EG15" i="11"/>
  <c r="EF15" i="11"/>
  <c r="EE15" i="11"/>
  <c r="ED15" i="11"/>
  <c r="EC15" i="11"/>
  <c r="EI14" i="11"/>
  <c r="EI5" i="11"/>
  <c r="EJ11" i="11"/>
  <c r="EF71" i="5" l="1"/>
  <c r="EF72" i="5"/>
  <c r="EI8" i="42"/>
  <c r="EI8" i="8"/>
  <c r="EI8" i="2"/>
  <c r="EI8" i="30"/>
  <c r="EI8" i="29"/>
  <c r="EI8" i="7"/>
  <c r="EF84" i="5"/>
  <c r="EF83" i="5"/>
  <c r="EI8" i="18"/>
  <c r="EI8" i="17"/>
  <c r="EI8" i="14"/>
  <c r="EI8" i="15"/>
  <c r="EI8" i="3"/>
  <c r="EI8" i="6"/>
  <c r="EI8" i="5"/>
  <c r="EI70" i="5" s="1"/>
  <c r="EI69" i="5" s="1"/>
  <c r="EF66" i="5"/>
  <c r="EF65" i="5"/>
  <c r="EH64" i="5"/>
  <c r="EH63" i="5" s="1"/>
  <c r="EH82" i="5"/>
  <c r="EH81" i="5" s="1"/>
  <c r="EG64" i="5"/>
  <c r="EG63" i="5" s="1"/>
  <c r="EG82" i="5"/>
  <c r="EG81" i="5" s="1"/>
  <c r="EJ14" i="11"/>
  <c r="EK11" i="11"/>
  <c r="EJ5" i="11"/>
  <c r="EH72" i="5" l="1"/>
  <c r="EH71" i="5"/>
  <c r="EG71" i="5"/>
  <c r="EG72" i="5"/>
  <c r="EJ8" i="42"/>
  <c r="EJ8" i="8"/>
  <c r="EJ8" i="2"/>
  <c r="EJ8" i="30"/>
  <c r="EJ8" i="29"/>
  <c r="EJ8" i="7"/>
  <c r="EH84" i="5"/>
  <c r="EH83" i="5"/>
  <c r="EG84" i="5"/>
  <c r="EG83" i="5"/>
  <c r="EJ8" i="18"/>
  <c r="EJ8" i="17"/>
  <c r="EJ8" i="14"/>
  <c r="EJ8" i="15"/>
  <c r="EJ8" i="3"/>
  <c r="EJ8" i="6"/>
  <c r="EJ8" i="5"/>
  <c r="EJ70" i="5" s="1"/>
  <c r="EJ69" i="5" s="1"/>
  <c r="EG65" i="5"/>
  <c r="EG66" i="5"/>
  <c r="EH66" i="5"/>
  <c r="EH65" i="5"/>
  <c r="EI82" i="5"/>
  <c r="EI81" i="5" s="1"/>
  <c r="EI64" i="5"/>
  <c r="EI63" i="5" s="1"/>
  <c r="EK14" i="11"/>
  <c r="EL11" i="11"/>
  <c r="EH3" i="11" s="1"/>
  <c r="EM11" i="11"/>
  <c r="EK5" i="11"/>
  <c r="EI71" i="5" l="1"/>
  <c r="EI72" i="5"/>
  <c r="EK8" i="42"/>
  <c r="EH6" i="42"/>
  <c r="EH6" i="29"/>
  <c r="EH6" i="8"/>
  <c r="EH6" i="30"/>
  <c r="EH6" i="2"/>
  <c r="EK8" i="8"/>
  <c r="EK8" i="2"/>
  <c r="EK8" i="30"/>
  <c r="EK8" i="29"/>
  <c r="EH6" i="7"/>
  <c r="EK8" i="7"/>
  <c r="EI83" i="5"/>
  <c r="EI84" i="5"/>
  <c r="EK8" i="18"/>
  <c r="EK8" i="17"/>
  <c r="EK8" i="15"/>
  <c r="EK8" i="14"/>
  <c r="EK8" i="3"/>
  <c r="EK8" i="6"/>
  <c r="EK8" i="5"/>
  <c r="EK70" i="5" s="1"/>
  <c r="EK69" i="5" s="1"/>
  <c r="EH6" i="18"/>
  <c r="EH6" i="15"/>
  <c r="EH6" i="14"/>
  <c r="EH6" i="17"/>
  <c r="EH6" i="3"/>
  <c r="EH6" i="6"/>
  <c r="EH6" i="5"/>
  <c r="EI66" i="5"/>
  <c r="EI65" i="5"/>
  <c r="EJ82" i="5"/>
  <c r="EJ81" i="5" s="1"/>
  <c r="EJ64" i="5"/>
  <c r="EJ63" i="5" s="1"/>
  <c r="EM14" i="11"/>
  <c r="EM5" i="11"/>
  <c r="EN11" i="11"/>
  <c r="EL14" i="11"/>
  <c r="EK4" i="11"/>
  <c r="EL5" i="11"/>
  <c r="EJ4" i="11"/>
  <c r="EI4" i="11"/>
  <c r="EH4" i="11"/>
  <c r="EL4" i="11"/>
  <c r="EJ72" i="5" l="1"/>
  <c r="EJ71" i="5"/>
  <c r="EL8" i="42"/>
  <c r="EM8" i="42"/>
  <c r="EL7" i="42"/>
  <c r="EH7" i="42"/>
  <c r="EI7" i="42"/>
  <c r="EJ7" i="42"/>
  <c r="EK7" i="42"/>
  <c r="EK7" i="29"/>
  <c r="EK7" i="8"/>
  <c r="EK7" i="30"/>
  <c r="EK7" i="2"/>
  <c r="EH7" i="29"/>
  <c r="EH7" i="8"/>
  <c r="EH7" i="30"/>
  <c r="EH7" i="2"/>
  <c r="EL7" i="29"/>
  <c r="EL7" i="8"/>
  <c r="EL7" i="2"/>
  <c r="EL7" i="30"/>
  <c r="EJ7" i="29"/>
  <c r="EJ7" i="8"/>
  <c r="EJ7" i="2"/>
  <c r="EJ7" i="30"/>
  <c r="EI7" i="29"/>
  <c r="EI7" i="8"/>
  <c r="EI7" i="2"/>
  <c r="EI7" i="30"/>
  <c r="EM8" i="8"/>
  <c r="EM8" i="2"/>
  <c r="EM8" i="30"/>
  <c r="EM8" i="29"/>
  <c r="EL8" i="8"/>
  <c r="EL8" i="2"/>
  <c r="EL8" i="30"/>
  <c r="EL8" i="29"/>
  <c r="EJ7" i="7"/>
  <c r="EH7" i="7"/>
  <c r="EI7" i="7"/>
  <c r="EL8" i="7"/>
  <c r="EK7" i="7"/>
  <c r="EM8" i="7"/>
  <c r="EL7" i="7"/>
  <c r="EJ83" i="5"/>
  <c r="EJ84" i="5"/>
  <c r="EL7" i="18"/>
  <c r="EL7" i="17"/>
  <c r="EL7" i="14"/>
  <c r="EL7" i="15"/>
  <c r="EL7" i="6"/>
  <c r="EL7" i="3"/>
  <c r="EL7" i="5"/>
  <c r="EH7" i="18"/>
  <c r="EH7" i="17"/>
  <c r="EH7" i="15"/>
  <c r="EH7" i="14"/>
  <c r="EH7" i="3"/>
  <c r="EH7" i="6"/>
  <c r="EH7" i="5"/>
  <c r="EI7" i="18"/>
  <c r="EI7" i="15"/>
  <c r="EI7" i="14"/>
  <c r="EI7" i="17"/>
  <c r="EI7" i="3"/>
  <c r="EI7" i="6"/>
  <c r="EI7" i="5"/>
  <c r="EJ7" i="18"/>
  <c r="EJ7" i="15"/>
  <c r="EJ7" i="14"/>
  <c r="EJ7" i="17"/>
  <c r="EJ7" i="3"/>
  <c r="EJ7" i="6"/>
  <c r="EJ7" i="5"/>
  <c r="EL8" i="18"/>
  <c r="EL8" i="17"/>
  <c r="EL8" i="15"/>
  <c r="EL8" i="14"/>
  <c r="EL8" i="6"/>
  <c r="EL8" i="3"/>
  <c r="EL8" i="5"/>
  <c r="EL70" i="5" s="1"/>
  <c r="EL69" i="5" s="1"/>
  <c r="EK7" i="18"/>
  <c r="EK7" i="17"/>
  <c r="EK7" i="15"/>
  <c r="EK7" i="14"/>
  <c r="EK7" i="3"/>
  <c r="EK7" i="6"/>
  <c r="EK7" i="5"/>
  <c r="EM8" i="18"/>
  <c r="EM8" i="15"/>
  <c r="EM8" i="17"/>
  <c r="EM8" i="14"/>
  <c r="EM8" i="3"/>
  <c r="EM8" i="6"/>
  <c r="EM8" i="5"/>
  <c r="EM70" i="5" s="1"/>
  <c r="EM69" i="5" s="1"/>
  <c r="EJ65" i="5"/>
  <c r="EJ66" i="5"/>
  <c r="EK64" i="5"/>
  <c r="EK63" i="5" s="1"/>
  <c r="EK82" i="5"/>
  <c r="EK81" i="5" s="1"/>
  <c r="EL15" i="11"/>
  <c r="EK15" i="11"/>
  <c r="EJ15" i="11"/>
  <c r="EI15" i="11"/>
  <c r="EH15" i="11"/>
  <c r="EN14" i="11"/>
  <c r="EN5" i="11"/>
  <c r="EO11" i="11"/>
  <c r="EK72" i="5" l="1"/>
  <c r="EK71" i="5"/>
  <c r="EN8" i="42"/>
  <c r="EN8" i="8"/>
  <c r="EN8" i="30"/>
  <c r="EN8" i="2"/>
  <c r="EN8" i="29"/>
  <c r="EN8" i="7"/>
  <c r="EK83" i="5"/>
  <c r="EK84" i="5"/>
  <c r="EN8" i="18"/>
  <c r="EN8" i="15"/>
  <c r="EN8" i="17"/>
  <c r="EN8" i="14"/>
  <c r="EN8" i="3"/>
  <c r="EN8" i="6"/>
  <c r="EN8" i="5"/>
  <c r="EN70" i="5" s="1"/>
  <c r="EN69" i="5" s="1"/>
  <c r="EK66" i="5"/>
  <c r="EK65" i="5"/>
  <c r="EM82" i="5"/>
  <c r="EM81" i="5" s="1"/>
  <c r="EM64" i="5"/>
  <c r="EM63" i="5" s="1"/>
  <c r="EL82" i="5"/>
  <c r="EL81" i="5" s="1"/>
  <c r="EL64" i="5"/>
  <c r="EL63" i="5" s="1"/>
  <c r="EO14" i="11"/>
  <c r="EO5" i="11"/>
  <c r="EP11" i="11"/>
  <c r="EL72" i="5" l="1"/>
  <c r="EL71" i="5"/>
  <c r="EM71" i="5"/>
  <c r="EM72" i="5"/>
  <c r="EO8" i="42"/>
  <c r="EO8" i="8"/>
  <c r="EO8" i="2"/>
  <c r="EO8" i="30"/>
  <c r="EO8" i="29"/>
  <c r="EO8" i="7"/>
  <c r="EL84" i="5"/>
  <c r="EL83" i="5"/>
  <c r="EM84" i="5"/>
  <c r="EM83" i="5"/>
  <c r="EO8" i="18"/>
  <c r="EO8" i="17"/>
  <c r="EO8" i="15"/>
  <c r="EO8" i="14"/>
  <c r="EO8" i="3"/>
  <c r="EO8" i="6"/>
  <c r="EO8" i="5"/>
  <c r="EO70" i="5" s="1"/>
  <c r="EO69" i="5" s="1"/>
  <c r="EL65" i="5"/>
  <c r="EL66" i="5"/>
  <c r="EM66" i="5"/>
  <c r="EM65" i="5"/>
  <c r="EN82" i="5"/>
  <c r="EN81" i="5" s="1"/>
  <c r="EN64" i="5"/>
  <c r="EN63" i="5" s="1"/>
  <c r="EP14" i="11"/>
  <c r="EQ11" i="11"/>
  <c r="EM3" i="11" s="1"/>
  <c r="ER11" i="11"/>
  <c r="EP5" i="11"/>
  <c r="EP8" i="42" l="1"/>
  <c r="EM6" i="42"/>
  <c r="EP8" i="8"/>
  <c r="EP8" i="2"/>
  <c r="EP8" i="30"/>
  <c r="EP8" i="29"/>
  <c r="EM6" i="29"/>
  <c r="EM6" i="8"/>
  <c r="EM6" i="2"/>
  <c r="EM6" i="30"/>
  <c r="EM6" i="7"/>
  <c r="EP8" i="7"/>
  <c r="EN84" i="5"/>
  <c r="EN83" i="5"/>
  <c r="EP8" i="18"/>
  <c r="EP8" i="17"/>
  <c r="EP8" i="14"/>
  <c r="EP8" i="15"/>
  <c r="EP8" i="3"/>
  <c r="EP8" i="6"/>
  <c r="EP8" i="5"/>
  <c r="EP70" i="5" s="1"/>
  <c r="EP69" i="5" s="1"/>
  <c r="EM6" i="18"/>
  <c r="EM6" i="17"/>
  <c r="EM6" i="15"/>
  <c r="EM6" i="14"/>
  <c r="EM6" i="3"/>
  <c r="EM6" i="6"/>
  <c r="EM6" i="5"/>
  <c r="EO82" i="5"/>
  <c r="EO81" i="5" s="1"/>
  <c r="EO64" i="5"/>
  <c r="EO63" i="5" s="1"/>
  <c r="ER14" i="11"/>
  <c r="ER5" i="11"/>
  <c r="ER8" i="42" s="1"/>
  <c r="ES11" i="11"/>
  <c r="EQ14" i="11"/>
  <c r="EM4" i="11"/>
  <c r="EQ5" i="11"/>
  <c r="EQ4" i="11"/>
  <c r="EP4" i="11"/>
  <c r="EO4" i="11"/>
  <c r="EN4" i="11"/>
  <c r="EN65" i="5" l="1"/>
  <c r="EQ8" i="42"/>
  <c r="EN7" i="42"/>
  <c r="EO7" i="42"/>
  <c r="EP7" i="42"/>
  <c r="EQ7" i="42"/>
  <c r="EM7" i="42"/>
  <c r="EQ7" i="29"/>
  <c r="EQ7" i="8"/>
  <c r="EQ7" i="2"/>
  <c r="EQ7" i="30"/>
  <c r="EQ8" i="8"/>
  <c r="EQ8" i="2"/>
  <c r="EQ8" i="30"/>
  <c r="EQ8" i="29"/>
  <c r="EM7" i="29"/>
  <c r="EM7" i="8"/>
  <c r="EM7" i="2"/>
  <c r="EM7" i="30"/>
  <c r="EN7" i="29"/>
  <c r="EN7" i="8"/>
  <c r="EN7" i="30"/>
  <c r="EN7" i="2"/>
  <c r="EO7" i="29"/>
  <c r="EO7" i="8"/>
  <c r="EO7" i="2"/>
  <c r="EO7" i="30"/>
  <c r="EP7" i="29"/>
  <c r="EP7" i="8"/>
  <c r="EP7" i="2"/>
  <c r="EP7" i="30"/>
  <c r="ER8" i="8"/>
  <c r="ER8" i="2"/>
  <c r="ER8" i="30"/>
  <c r="ER8" i="29"/>
  <c r="EN66" i="5"/>
  <c r="EP7" i="7"/>
  <c r="ER8" i="7"/>
  <c r="EQ8" i="7"/>
  <c r="EM7" i="7"/>
  <c r="EO7" i="7"/>
  <c r="EQ7" i="7"/>
  <c r="EN7" i="7"/>
  <c r="EO83" i="5"/>
  <c r="EO84" i="5"/>
  <c r="EN7" i="18"/>
  <c r="EN7" i="17"/>
  <c r="EN7" i="15"/>
  <c r="EN7" i="14"/>
  <c r="EN7" i="3"/>
  <c r="EN7" i="6"/>
  <c r="EN7" i="5"/>
  <c r="EO7" i="18"/>
  <c r="EO7" i="15"/>
  <c r="EO7" i="17"/>
  <c r="EO7" i="14"/>
  <c r="EO7" i="3"/>
  <c r="EO7" i="6"/>
  <c r="EO7" i="5"/>
  <c r="EP7" i="18"/>
  <c r="EP7" i="15"/>
  <c r="EP7" i="17"/>
  <c r="EP7" i="14"/>
  <c r="EP7" i="3"/>
  <c r="EP7" i="6"/>
  <c r="EP7" i="5"/>
  <c r="EQ7" i="18"/>
  <c r="EQ7" i="17"/>
  <c r="EQ7" i="15"/>
  <c r="EQ7" i="14"/>
  <c r="EQ7" i="3"/>
  <c r="EQ7" i="6"/>
  <c r="EQ7" i="5"/>
  <c r="EQ8" i="18"/>
  <c r="EQ8" i="17"/>
  <c r="EQ8" i="15"/>
  <c r="EQ8" i="14"/>
  <c r="EQ8" i="3"/>
  <c r="EQ8" i="6"/>
  <c r="EQ8" i="5"/>
  <c r="EQ70" i="5" s="1"/>
  <c r="EQ69" i="5" s="1"/>
  <c r="EM7" i="18"/>
  <c r="EM7" i="17"/>
  <c r="EM7" i="15"/>
  <c r="EM7" i="14"/>
  <c r="EM7" i="3"/>
  <c r="EM7" i="6"/>
  <c r="EM7" i="5"/>
  <c r="ER8" i="18"/>
  <c r="ER8" i="17"/>
  <c r="ER8" i="15"/>
  <c r="ER8" i="14"/>
  <c r="ER8" i="3"/>
  <c r="ER8" i="6"/>
  <c r="ER8" i="5"/>
  <c r="ER70" i="5" s="1"/>
  <c r="ER69" i="5" s="1"/>
  <c r="EP64" i="5"/>
  <c r="EP63" i="5" s="1"/>
  <c r="EP82" i="5"/>
  <c r="EP81" i="5" s="1"/>
  <c r="EM15" i="11"/>
  <c r="EQ15" i="11"/>
  <c r="EP15" i="11"/>
  <c r="EO15" i="11"/>
  <c r="EN15" i="11"/>
  <c r="ES14" i="11"/>
  <c r="ES5" i="11"/>
  <c r="ES8" i="42" s="1"/>
  <c r="ET11" i="11"/>
  <c r="EO71" i="5" l="1"/>
  <c r="EO72" i="5"/>
  <c r="EN72" i="5"/>
  <c r="EN71" i="5"/>
  <c r="EO66" i="5"/>
  <c r="ES8" i="8"/>
  <c r="ES8" i="2"/>
  <c r="ES8" i="30"/>
  <c r="ES8" i="29"/>
  <c r="EO65" i="5"/>
  <c r="ES8" i="7"/>
  <c r="EP83" i="5"/>
  <c r="EP84" i="5"/>
  <c r="ES8" i="18"/>
  <c r="ES8" i="15"/>
  <c r="ES8" i="17"/>
  <c r="ES8" i="14"/>
  <c r="ES8" i="3"/>
  <c r="ES8" i="6"/>
  <c r="ES8" i="5"/>
  <c r="ES70" i="5" s="1"/>
  <c r="ES69" i="5" s="1"/>
  <c r="ER82" i="5"/>
  <c r="ER81" i="5" s="1"/>
  <c r="ER64" i="5"/>
  <c r="ER63" i="5" s="1"/>
  <c r="EQ64" i="5"/>
  <c r="EQ63" i="5" s="1"/>
  <c r="EQ82" i="5"/>
  <c r="EQ81" i="5" s="1"/>
  <c r="ET14" i="11"/>
  <c r="ET5" i="11"/>
  <c r="ET8" i="42" s="1"/>
  <c r="EU11" i="11"/>
  <c r="EP71" i="5" l="1"/>
  <c r="EP72" i="5"/>
  <c r="EQ72" i="5"/>
  <c r="EQ71" i="5"/>
  <c r="EP65" i="5"/>
  <c r="ET8" i="8"/>
  <c r="ET8" i="30"/>
  <c r="ET8" i="2"/>
  <c r="ET8" i="29"/>
  <c r="ES82" i="5"/>
  <c r="ES81" i="5" s="1"/>
  <c r="ES64" i="5"/>
  <c r="ES63" i="5" s="1"/>
  <c r="EP66" i="5"/>
  <c r="ET8" i="7"/>
  <c r="ER84" i="5"/>
  <c r="ER83" i="5"/>
  <c r="EQ83" i="5"/>
  <c r="EQ84" i="5"/>
  <c r="ET8" i="18"/>
  <c r="ET8" i="15"/>
  <c r="ET8" i="14"/>
  <c r="ET8" i="17"/>
  <c r="ET8" i="3"/>
  <c r="ET8" i="6"/>
  <c r="ET8" i="5"/>
  <c r="ET70" i="5" s="1"/>
  <c r="ET69" i="5" s="1"/>
  <c r="EQ65" i="5"/>
  <c r="EQ66" i="5"/>
  <c r="EU14" i="11"/>
  <c r="EW11" i="11"/>
  <c r="EU5" i="11"/>
  <c r="EU8" i="42" s="1"/>
  <c r="EV11" i="11"/>
  <c r="ER3" i="11" s="1"/>
  <c r="ER72" i="5" l="1"/>
  <c r="ER71" i="5"/>
  <c r="ES71" i="5"/>
  <c r="ES72" i="5"/>
  <c r="ER6" i="42"/>
  <c r="ET64" i="5"/>
  <c r="ET82" i="5"/>
  <c r="ET81" i="5" s="1"/>
  <c r="ER6" i="29"/>
  <c r="ER6" i="8"/>
  <c r="ER6" i="2"/>
  <c r="ER6" i="30"/>
  <c r="EU8" i="8"/>
  <c r="EU8" i="2"/>
  <c r="EU8" i="30"/>
  <c r="EU8" i="29"/>
  <c r="ES65" i="5"/>
  <c r="ES66" i="5"/>
  <c r="ES83" i="5"/>
  <c r="ES84" i="5"/>
  <c r="ER65" i="5"/>
  <c r="ER66" i="5"/>
  <c r="EU8" i="7"/>
  <c r="ER6" i="7"/>
  <c r="ER6" i="18"/>
  <c r="ER6" i="17"/>
  <c r="ER6" i="15"/>
  <c r="ER6" i="14"/>
  <c r="ER6" i="3"/>
  <c r="ER6" i="6"/>
  <c r="ER6" i="5"/>
  <c r="EU8" i="18"/>
  <c r="EU8" i="14"/>
  <c r="EU8" i="15"/>
  <c r="EU8" i="17"/>
  <c r="EU8" i="3"/>
  <c r="EU8" i="6"/>
  <c r="EU8" i="5"/>
  <c r="EU70" i="5" s="1"/>
  <c r="EV14" i="11"/>
  <c r="ES4" i="11"/>
  <c r="EV4" i="11"/>
  <c r="EU4" i="11"/>
  <c r="EV5" i="11"/>
  <c r="EV8" i="42" s="1"/>
  <c r="ET4" i="11"/>
  <c r="ER4" i="11"/>
  <c r="EW14" i="11"/>
  <c r="EX11" i="11"/>
  <c r="EW5" i="11"/>
  <c r="EU69" i="5" l="1"/>
  <c r="ER7" i="42"/>
  <c r="ET7" i="42"/>
  <c r="EU7" i="42"/>
  <c r="EV7" i="42"/>
  <c r="ES7" i="42"/>
  <c r="EU82" i="5"/>
  <c r="EU64" i="5"/>
  <c r="EU63" i="5" s="1"/>
  <c r="ET84" i="5"/>
  <c r="ET83" i="5"/>
  <c r="EW8" i="42"/>
  <c r="EV7" i="29"/>
  <c r="EV7" i="8"/>
  <c r="EV7" i="2"/>
  <c r="EV7" i="30"/>
  <c r="ES7" i="29"/>
  <c r="ES7" i="8"/>
  <c r="ES7" i="2"/>
  <c r="ES7" i="30"/>
  <c r="ER7" i="29"/>
  <c r="ER7" i="8"/>
  <c r="ER7" i="2"/>
  <c r="ER7" i="30"/>
  <c r="EV8" i="8"/>
  <c r="EV8" i="2"/>
  <c r="EV8" i="30"/>
  <c r="EV8" i="29"/>
  <c r="ET7" i="29"/>
  <c r="ET7" i="8"/>
  <c r="ET7" i="30"/>
  <c r="ET7" i="2"/>
  <c r="EW8" i="8"/>
  <c r="EW8" i="30"/>
  <c r="EW8" i="2"/>
  <c r="EW8" i="29"/>
  <c r="EU7" i="29"/>
  <c r="EU7" i="8"/>
  <c r="EU7" i="30"/>
  <c r="EU7" i="2"/>
  <c r="ET7" i="7"/>
  <c r="EV8" i="7"/>
  <c r="EU7" i="7"/>
  <c r="EV7" i="7"/>
  <c r="ES7" i="7"/>
  <c r="EW8" i="7"/>
  <c r="ER7" i="7"/>
  <c r="EW8" i="18"/>
  <c r="EW8" i="17"/>
  <c r="EW8" i="15"/>
  <c r="EW8" i="14"/>
  <c r="EW8" i="3"/>
  <c r="EW8" i="6"/>
  <c r="EW8" i="5"/>
  <c r="EW70" i="5" s="1"/>
  <c r="EW69" i="5" s="1"/>
  <c r="FB69" i="5" s="1"/>
  <c r="FG69" i="5" s="1"/>
  <c r="ER7" i="18"/>
  <c r="ER7" i="17"/>
  <c r="ER7" i="15"/>
  <c r="ER7" i="14"/>
  <c r="ER7" i="3"/>
  <c r="ER7" i="6"/>
  <c r="ER7" i="5"/>
  <c r="ET7" i="18"/>
  <c r="ET7" i="17"/>
  <c r="ET7" i="15"/>
  <c r="ET7" i="14"/>
  <c r="ET7" i="3"/>
  <c r="ET7" i="6"/>
  <c r="ET7" i="5"/>
  <c r="EV8" i="18"/>
  <c r="EV8" i="17"/>
  <c r="EV8" i="14"/>
  <c r="EV8" i="15"/>
  <c r="EV8" i="3"/>
  <c r="EV8" i="6"/>
  <c r="EV8" i="5"/>
  <c r="EV70" i="5" s="1"/>
  <c r="EU7" i="18"/>
  <c r="EU7" i="15"/>
  <c r="EU7" i="14"/>
  <c r="EU7" i="17"/>
  <c r="EU7" i="3"/>
  <c r="EU7" i="6"/>
  <c r="EU7" i="5"/>
  <c r="EV7" i="18"/>
  <c r="EV7" i="15"/>
  <c r="EV7" i="14"/>
  <c r="EV7" i="17"/>
  <c r="EV7" i="3"/>
  <c r="EV7" i="6"/>
  <c r="EV7" i="5"/>
  <c r="ES7" i="18"/>
  <c r="ES7" i="17"/>
  <c r="ES7" i="15"/>
  <c r="ES7" i="14"/>
  <c r="ES7" i="3"/>
  <c r="ES7" i="6"/>
  <c r="ES7" i="5"/>
  <c r="EX14" i="11"/>
  <c r="EY11" i="11"/>
  <c r="EX5" i="11"/>
  <c r="ES15" i="11"/>
  <c r="ER15" i="11"/>
  <c r="EV15" i="11"/>
  <c r="EU15" i="11"/>
  <c r="ET15" i="11"/>
  <c r="FG72" i="5" l="1"/>
  <c r="FL69" i="5"/>
  <c r="FG71" i="5"/>
  <c r="EU81" i="5"/>
  <c r="EU72" i="5"/>
  <c r="EU71" i="5"/>
  <c r="EW64" i="5"/>
  <c r="EW63" i="5" s="1"/>
  <c r="FB63" i="5" s="1"/>
  <c r="FG63" i="5" s="1"/>
  <c r="EW82" i="5"/>
  <c r="EU66" i="5"/>
  <c r="EU65" i="5"/>
  <c r="EX8" i="42"/>
  <c r="EX8" i="8"/>
  <c r="EX8" i="2"/>
  <c r="EX8" i="30"/>
  <c r="EX8" i="29"/>
  <c r="EX8" i="7"/>
  <c r="EV82" i="5"/>
  <c r="EV64" i="5"/>
  <c r="EX8" i="18"/>
  <c r="EX8" i="17"/>
  <c r="EX8" i="15"/>
  <c r="EX8" i="14"/>
  <c r="EX8" i="3"/>
  <c r="EX8" i="6"/>
  <c r="EX8" i="5"/>
  <c r="EX70" i="5" s="1"/>
  <c r="EX69" i="5" s="1"/>
  <c r="FC69" i="5" s="1"/>
  <c r="FH69" i="5" s="1"/>
  <c r="EY14" i="11"/>
  <c r="EY5" i="11"/>
  <c r="EZ11" i="11"/>
  <c r="FH71" i="5" l="1"/>
  <c r="FH72" i="5"/>
  <c r="FM69" i="5"/>
  <c r="FQ69" i="5"/>
  <c r="FL71" i="5"/>
  <c r="FL72" i="5"/>
  <c r="EU83" i="5"/>
  <c r="EU84" i="5"/>
  <c r="EW81" i="5"/>
  <c r="EX82" i="5"/>
  <c r="EX64" i="5"/>
  <c r="EX63" i="5" s="1"/>
  <c r="FC63" i="5" s="1"/>
  <c r="FH63" i="5" s="1"/>
  <c r="EW65" i="5"/>
  <c r="EW66" i="5"/>
  <c r="EY8" i="42"/>
  <c r="EY8" i="8"/>
  <c r="EY8" i="2"/>
  <c r="EY8" i="30"/>
  <c r="EY8" i="29"/>
  <c r="EY8" i="7"/>
  <c r="EY8" i="18"/>
  <c r="EY8" i="15"/>
  <c r="EY8" i="17"/>
  <c r="EY8" i="14"/>
  <c r="EY8" i="3"/>
  <c r="EY8" i="6"/>
  <c r="EY8" i="5"/>
  <c r="EZ14" i="11"/>
  <c r="FB11" i="11"/>
  <c r="EZ5" i="11"/>
  <c r="EZ8" i="7" s="1"/>
  <c r="FA11" i="11"/>
  <c r="EW3" i="11" s="1"/>
  <c r="EW84" i="5" l="1"/>
  <c r="FB81" i="5"/>
  <c r="FG81" i="5" s="1"/>
  <c r="FL81" i="5" s="1"/>
  <c r="FQ81" i="5" s="1"/>
  <c r="FV81" i="5" s="1"/>
  <c r="GA81" i="5" s="1"/>
  <c r="GF81" i="5" s="1"/>
  <c r="FQ72" i="5"/>
  <c r="FV69" i="5"/>
  <c r="FQ71" i="5"/>
  <c r="FM71" i="5"/>
  <c r="FR69" i="5"/>
  <c r="FM72" i="5"/>
  <c r="EW83" i="5"/>
  <c r="EX81" i="5"/>
  <c r="FC81" i="5" s="1"/>
  <c r="FH81" i="5" s="1"/>
  <c r="FM81" i="5" s="1"/>
  <c r="FR81" i="5" s="1"/>
  <c r="FW81" i="5" s="1"/>
  <c r="GB81" i="5" s="1"/>
  <c r="GG81" i="5" s="1"/>
  <c r="EY70" i="5"/>
  <c r="EY69" i="5" s="1"/>
  <c r="FD69" i="5" s="1"/>
  <c r="FI69" i="5" s="1"/>
  <c r="EY82" i="5"/>
  <c r="EY81" i="5" s="1"/>
  <c r="FD81" i="5" s="1"/>
  <c r="FI81" i="5" s="1"/>
  <c r="FN81" i="5" s="1"/>
  <c r="FS81" i="5" s="1"/>
  <c r="FX81" i="5" s="1"/>
  <c r="GC81" i="5" s="1"/>
  <c r="GH81" i="5" s="1"/>
  <c r="EY64" i="5"/>
  <c r="EY63" i="5" s="1"/>
  <c r="FD63" i="5" s="1"/>
  <c r="FI63" i="5" s="1"/>
  <c r="EX66" i="5"/>
  <c r="EX65" i="5"/>
  <c r="FB66" i="5"/>
  <c r="FB65" i="5"/>
  <c r="EZ8" i="42"/>
  <c r="EW6" i="42"/>
  <c r="EZ8" i="8"/>
  <c r="EZ8" i="30"/>
  <c r="EZ8" i="2"/>
  <c r="EZ8" i="29"/>
  <c r="EW6" i="29"/>
  <c r="EW6" i="8"/>
  <c r="EW6" i="2"/>
  <c r="EW6" i="30"/>
  <c r="EW6" i="7"/>
  <c r="EW6" i="18"/>
  <c r="EW6" i="17"/>
  <c r="EW6" i="14"/>
  <c r="EW6" i="15"/>
  <c r="EW6" i="3"/>
  <c r="EW6" i="6"/>
  <c r="EW6" i="5"/>
  <c r="EZ8" i="18"/>
  <c r="EZ8" i="15"/>
  <c r="EZ8" i="17"/>
  <c r="EZ8" i="14"/>
  <c r="EZ8" i="3"/>
  <c r="EZ8" i="6"/>
  <c r="EZ8" i="5"/>
  <c r="FA14" i="11"/>
  <c r="FA5" i="11"/>
  <c r="FA8" i="7" s="1"/>
  <c r="EY4" i="11"/>
  <c r="EW4" i="11"/>
  <c r="FA4" i="11"/>
  <c r="FA7" i="7" s="1"/>
  <c r="EZ4" i="11"/>
  <c r="EZ7" i="7" s="1"/>
  <c r="EX4" i="11"/>
  <c r="FB14" i="11"/>
  <c r="FC11" i="11"/>
  <c r="FB5" i="11"/>
  <c r="EZ82" i="5" l="1"/>
  <c r="EZ81" i="5" s="1"/>
  <c r="FE81" i="5" s="1"/>
  <c r="FJ81" i="5" s="1"/>
  <c r="FO81" i="5" s="1"/>
  <c r="FT81" i="5" s="1"/>
  <c r="FY81" i="5" s="1"/>
  <c r="GD81" i="5" s="1"/>
  <c r="GI81" i="5" s="1"/>
  <c r="EZ64" i="5"/>
  <c r="EZ63" i="5" s="1"/>
  <c r="EZ70" i="5"/>
  <c r="EZ69" i="5" s="1"/>
  <c r="FR71" i="5"/>
  <c r="FR72" i="5"/>
  <c r="FW69" i="5"/>
  <c r="GA69" i="5"/>
  <c r="FV71" i="5"/>
  <c r="FV72" i="5"/>
  <c r="FN69" i="5"/>
  <c r="FI72" i="5"/>
  <c r="FI71" i="5"/>
  <c r="FB84" i="5"/>
  <c r="EX83" i="5"/>
  <c r="FB83" i="5"/>
  <c r="FH84" i="5"/>
  <c r="FH83" i="5"/>
  <c r="FG84" i="5"/>
  <c r="FG83" i="5"/>
  <c r="EX84" i="5"/>
  <c r="FM63" i="5"/>
  <c r="FR63" i="5" s="1"/>
  <c r="FW63" i="5" s="1"/>
  <c r="GB63" i="5" s="1"/>
  <c r="GG63" i="5" s="1"/>
  <c r="FL63" i="5"/>
  <c r="FQ63" i="5" s="1"/>
  <c r="EX72" i="5"/>
  <c r="EX71" i="5"/>
  <c r="EY84" i="5"/>
  <c r="EY83" i="5"/>
  <c r="FC66" i="5"/>
  <c r="FC65" i="5"/>
  <c r="FC84" i="5"/>
  <c r="FC83" i="5"/>
  <c r="FG65" i="5"/>
  <c r="FG66" i="5"/>
  <c r="FB8" i="42"/>
  <c r="FA8" i="42"/>
  <c r="EX7" i="42"/>
  <c r="EZ7" i="42"/>
  <c r="FA7" i="42"/>
  <c r="EW7" i="42"/>
  <c r="EY7" i="42"/>
  <c r="EZ7" i="29"/>
  <c r="EZ7" i="8"/>
  <c r="EZ7" i="30"/>
  <c r="EZ7" i="2"/>
  <c r="FA7" i="29"/>
  <c r="FA7" i="8"/>
  <c r="FA7" i="2"/>
  <c r="FA7" i="30"/>
  <c r="FA8" i="8"/>
  <c r="FA8" i="2"/>
  <c r="FA8" i="30"/>
  <c r="FA8" i="29"/>
  <c r="EX7" i="29"/>
  <c r="EX7" i="8"/>
  <c r="EX7" i="2"/>
  <c r="EX7" i="30"/>
  <c r="FB8" i="8"/>
  <c r="FB8" i="2"/>
  <c r="FB8" i="30"/>
  <c r="FB8" i="29"/>
  <c r="EW7" i="8"/>
  <c r="EW7" i="2"/>
  <c r="EW7" i="30"/>
  <c r="EY7" i="29"/>
  <c r="EY7" i="8"/>
  <c r="EY7" i="2"/>
  <c r="EY7" i="30"/>
  <c r="EW7" i="29"/>
  <c r="EW7" i="7"/>
  <c r="EY7" i="7"/>
  <c r="FB8" i="5"/>
  <c r="FB8" i="7"/>
  <c r="EX7" i="7"/>
  <c r="FB8" i="18"/>
  <c r="FB8" i="17"/>
  <c r="FB8" i="14"/>
  <c r="FB8" i="15"/>
  <c r="FB8" i="3"/>
  <c r="FB8" i="6"/>
  <c r="EX7" i="18"/>
  <c r="EX7" i="17"/>
  <c r="EX7" i="15"/>
  <c r="EX7" i="14"/>
  <c r="EX7" i="3"/>
  <c r="EX7" i="6"/>
  <c r="EX7" i="5"/>
  <c r="EZ7" i="18"/>
  <c r="EZ7" i="17"/>
  <c r="EZ7" i="15"/>
  <c r="EZ7" i="14"/>
  <c r="EZ7" i="3"/>
  <c r="EZ7" i="6"/>
  <c r="EZ7" i="5"/>
  <c r="FA7" i="18"/>
  <c r="FA7" i="15"/>
  <c r="FA7" i="17"/>
  <c r="FA7" i="14"/>
  <c r="FA7" i="3"/>
  <c r="FA7" i="6"/>
  <c r="FA7" i="5"/>
  <c r="EW7" i="18"/>
  <c r="EW7" i="17"/>
  <c r="EW7" i="14"/>
  <c r="EW7" i="15"/>
  <c r="EW7" i="3"/>
  <c r="EW7" i="6"/>
  <c r="EW7" i="5"/>
  <c r="EY7" i="18"/>
  <c r="EY7" i="17"/>
  <c r="EY7" i="15"/>
  <c r="EY7" i="14"/>
  <c r="EY7" i="3"/>
  <c r="EY7" i="6"/>
  <c r="EY7" i="5"/>
  <c r="FA8" i="18"/>
  <c r="FA8" i="17"/>
  <c r="FA8" i="15"/>
  <c r="FA8" i="14"/>
  <c r="FA8" i="3"/>
  <c r="FA8" i="6"/>
  <c r="FA8" i="5"/>
  <c r="FC14" i="11"/>
  <c r="FD11" i="11"/>
  <c r="FC5" i="11"/>
  <c r="EY15" i="11"/>
  <c r="EX15" i="11"/>
  <c r="EW15" i="11"/>
  <c r="FA15" i="11"/>
  <c r="EZ15" i="11"/>
  <c r="FN72" i="5" l="1"/>
  <c r="FN71" i="5"/>
  <c r="FS69" i="5"/>
  <c r="FA82" i="5"/>
  <c r="FA81" i="5" s="1"/>
  <c r="FA70" i="5"/>
  <c r="FA69" i="5" s="1"/>
  <c r="FA64" i="5"/>
  <c r="FA63" i="5" s="1"/>
  <c r="EZ71" i="5"/>
  <c r="EZ72" i="5"/>
  <c r="FE69" i="5"/>
  <c r="FE63" i="5"/>
  <c r="FJ63" i="5" s="1"/>
  <c r="EZ65" i="5"/>
  <c r="EZ66" i="5"/>
  <c r="GB69" i="5"/>
  <c r="FW72" i="5"/>
  <c r="FW71" i="5"/>
  <c r="GF69" i="5"/>
  <c r="GA71" i="5"/>
  <c r="GA72" i="5"/>
  <c r="EZ83" i="5"/>
  <c r="EZ84" i="5"/>
  <c r="GG65" i="5"/>
  <c r="GG66" i="5"/>
  <c r="FM83" i="5"/>
  <c r="FM84" i="5"/>
  <c r="FL84" i="5"/>
  <c r="FL83" i="5"/>
  <c r="FI83" i="5"/>
  <c r="FI84" i="5"/>
  <c r="FN63" i="5"/>
  <c r="FS63" i="5" s="1"/>
  <c r="FX63" i="5" s="1"/>
  <c r="GC63" i="5" s="1"/>
  <c r="GH63" i="5" s="1"/>
  <c r="FV63" i="5"/>
  <c r="GA63" i="5" s="1"/>
  <c r="GF63" i="5" s="1"/>
  <c r="FB82" i="5"/>
  <c r="FB70" i="5"/>
  <c r="FD83" i="5"/>
  <c r="FD84" i="5"/>
  <c r="FC71" i="5"/>
  <c r="FC72" i="5"/>
  <c r="FH66" i="5"/>
  <c r="FH65" i="5"/>
  <c r="FL65" i="5"/>
  <c r="FL66" i="5"/>
  <c r="FC8" i="42"/>
  <c r="FC8" i="8"/>
  <c r="FC8" i="2"/>
  <c r="FC8" i="30"/>
  <c r="FC8" i="29"/>
  <c r="FB64" i="5"/>
  <c r="FC8" i="5"/>
  <c r="FC70" i="5" s="1"/>
  <c r="FC8" i="7"/>
  <c r="FC8" i="18"/>
  <c r="FC8" i="17"/>
  <c r="FC8" i="15"/>
  <c r="FC8" i="14"/>
  <c r="FC8" i="3"/>
  <c r="FC8" i="6"/>
  <c r="FD14" i="11"/>
  <c r="FE11" i="11"/>
  <c r="FD5" i="11"/>
  <c r="FJ69" i="5" l="1"/>
  <c r="FE71" i="5"/>
  <c r="FE72" i="5"/>
  <c r="FS72" i="5"/>
  <c r="FX69" i="5"/>
  <c r="FS71" i="5"/>
  <c r="GF71" i="5"/>
  <c r="GF72" i="5"/>
  <c r="FE84" i="5"/>
  <c r="FE83" i="5"/>
  <c r="GG69" i="5"/>
  <c r="GB72" i="5"/>
  <c r="GB71" i="5"/>
  <c r="GH66" i="5"/>
  <c r="GH65" i="5"/>
  <c r="GF66" i="5"/>
  <c r="GF65" i="5"/>
  <c r="FQ84" i="5"/>
  <c r="FQ83" i="5"/>
  <c r="FN83" i="5"/>
  <c r="FN84" i="5"/>
  <c r="FR83" i="5"/>
  <c r="FR84" i="5"/>
  <c r="FD71" i="5"/>
  <c r="FD72" i="5"/>
  <c r="FM65" i="5"/>
  <c r="FM66" i="5"/>
  <c r="FQ66" i="5"/>
  <c r="FQ65" i="5"/>
  <c r="FD8" i="42"/>
  <c r="FD8" i="8"/>
  <c r="FD8" i="2"/>
  <c r="FD8" i="30"/>
  <c r="FD8" i="29"/>
  <c r="FC64" i="5"/>
  <c r="FC82" i="5"/>
  <c r="FD8" i="5"/>
  <c r="FD70" i="5" s="1"/>
  <c r="FD8" i="7"/>
  <c r="FD8" i="18"/>
  <c r="FD8" i="17"/>
  <c r="FD8" i="15"/>
  <c r="FD8" i="14"/>
  <c r="FD8" i="3"/>
  <c r="FD8" i="6"/>
  <c r="FE14" i="11"/>
  <c r="FG11" i="11"/>
  <c r="FE5" i="11"/>
  <c r="FF11" i="11"/>
  <c r="FB3" i="11" s="1"/>
  <c r="FX71" i="5" l="1"/>
  <c r="GC69" i="5"/>
  <c r="FX72" i="5"/>
  <c r="GG72" i="5"/>
  <c r="GG71" i="5"/>
  <c r="FJ84" i="5"/>
  <c r="FJ83" i="5"/>
  <c r="FJ71" i="5"/>
  <c r="FJ72" i="5"/>
  <c r="FO69" i="5"/>
  <c r="FS84" i="5"/>
  <c r="FS83" i="5"/>
  <c r="FW84" i="5"/>
  <c r="FW83" i="5"/>
  <c r="FV83" i="5"/>
  <c r="FV84" i="5"/>
  <c r="FR65" i="5"/>
  <c r="FR66" i="5"/>
  <c r="FV66" i="5"/>
  <c r="FV65" i="5"/>
  <c r="FE8" i="42"/>
  <c r="FB6" i="42"/>
  <c r="FB6" i="29"/>
  <c r="FB6" i="8"/>
  <c r="FB6" i="2"/>
  <c r="FB6" i="30"/>
  <c r="FE8" i="8"/>
  <c r="FE8" i="2"/>
  <c r="FE8" i="30"/>
  <c r="FE8" i="29"/>
  <c r="FE8" i="5"/>
  <c r="FE70" i="5" s="1"/>
  <c r="FE8" i="7"/>
  <c r="FB6" i="7"/>
  <c r="FD82" i="5"/>
  <c r="FD64" i="5"/>
  <c r="FB6" i="18"/>
  <c r="FB6" i="17"/>
  <c r="FB6" i="15"/>
  <c r="FB6" i="14"/>
  <c r="FB6" i="3"/>
  <c r="FB6" i="6"/>
  <c r="FB6" i="5"/>
  <c r="FE8" i="18"/>
  <c r="FE8" i="15"/>
  <c r="FE8" i="14"/>
  <c r="FE8" i="17"/>
  <c r="FE8" i="3"/>
  <c r="FE8" i="6"/>
  <c r="FF14" i="11"/>
  <c r="FF5" i="11"/>
  <c r="FE4" i="11"/>
  <c r="FC4" i="11"/>
  <c r="FB4" i="11"/>
  <c r="FF4" i="11"/>
  <c r="FD4" i="11"/>
  <c r="FG14" i="11"/>
  <c r="FG5" i="11"/>
  <c r="FH11" i="11"/>
  <c r="FO71" i="5" l="1"/>
  <c r="FT69" i="5"/>
  <c r="FO72" i="5"/>
  <c r="GH69" i="5"/>
  <c r="GC72" i="5"/>
  <c r="GC71" i="5"/>
  <c r="FO84" i="5"/>
  <c r="FO83" i="5"/>
  <c r="GG83" i="5"/>
  <c r="GG84" i="5"/>
  <c r="GF83" i="5"/>
  <c r="GF84" i="5"/>
  <c r="GB84" i="5"/>
  <c r="GB83" i="5"/>
  <c r="GA83" i="5"/>
  <c r="GA84" i="5"/>
  <c r="FX83" i="5"/>
  <c r="FX84" i="5"/>
  <c r="FW66" i="5"/>
  <c r="FW65" i="5"/>
  <c r="GA66" i="5"/>
  <c r="GA65" i="5"/>
  <c r="FF8" i="42"/>
  <c r="FG8" i="42"/>
  <c r="FD7" i="42"/>
  <c r="FF7" i="42"/>
  <c r="FB7" i="42"/>
  <c r="FC7" i="42"/>
  <c r="FE7" i="42"/>
  <c r="FF8" i="8"/>
  <c r="FF8" i="30"/>
  <c r="FF8" i="2"/>
  <c r="FF8" i="29"/>
  <c r="FC7" i="29"/>
  <c r="FC7" i="8"/>
  <c r="FC7" i="30"/>
  <c r="FC7" i="2"/>
  <c r="FG8" i="8"/>
  <c r="FG8" i="2"/>
  <c r="FG8" i="30"/>
  <c r="FG8" i="29"/>
  <c r="FE7" i="29"/>
  <c r="FE7" i="8"/>
  <c r="FE7" i="2"/>
  <c r="FE7" i="30"/>
  <c r="FD7" i="29"/>
  <c r="FD7" i="8"/>
  <c r="FD7" i="2"/>
  <c r="FD7" i="30"/>
  <c r="FF7" i="29"/>
  <c r="FF7" i="8"/>
  <c r="FF7" i="30"/>
  <c r="FF7" i="2"/>
  <c r="FB7" i="29"/>
  <c r="FB7" i="8"/>
  <c r="FB7" i="30"/>
  <c r="FB7" i="2"/>
  <c r="FF7" i="5"/>
  <c r="FF7" i="7"/>
  <c r="FB7" i="5"/>
  <c r="FB7" i="7"/>
  <c r="FG8" i="7"/>
  <c r="FE7" i="5"/>
  <c r="FE7" i="7"/>
  <c r="FF8" i="5"/>
  <c r="FF70" i="5" s="1"/>
  <c r="FF8" i="7"/>
  <c r="FE64" i="5"/>
  <c r="FE82" i="5"/>
  <c r="FC7" i="5"/>
  <c r="FC7" i="7"/>
  <c r="FD7" i="5"/>
  <c r="FD7" i="7"/>
  <c r="FG8" i="18"/>
  <c r="FG8" i="14"/>
  <c r="FG8" i="17"/>
  <c r="FG8" i="15"/>
  <c r="FG8" i="3"/>
  <c r="FG8" i="6"/>
  <c r="FG8" i="5"/>
  <c r="FD7" i="18"/>
  <c r="FD7" i="17"/>
  <c r="FD7" i="14"/>
  <c r="FD7" i="15"/>
  <c r="FD7" i="3"/>
  <c r="FD7" i="6"/>
  <c r="FF7" i="18"/>
  <c r="FF7" i="17"/>
  <c r="FF7" i="15"/>
  <c r="FF7" i="14"/>
  <c r="FF7" i="3"/>
  <c r="FF7" i="6"/>
  <c r="FB7" i="18"/>
  <c r="FB7" i="15"/>
  <c r="FB7" i="17"/>
  <c r="FB7" i="14"/>
  <c r="FB7" i="3"/>
  <c r="FB7" i="6"/>
  <c r="FC7" i="18"/>
  <c r="FC7" i="17"/>
  <c r="FC7" i="15"/>
  <c r="FC7" i="14"/>
  <c r="FC7" i="3"/>
  <c r="FC7" i="6"/>
  <c r="FE7" i="18"/>
  <c r="FE7" i="17"/>
  <c r="FE7" i="15"/>
  <c r="FE7" i="14"/>
  <c r="FE7" i="3"/>
  <c r="FE7" i="6"/>
  <c r="FF8" i="18"/>
  <c r="FF8" i="15"/>
  <c r="FF8" i="14"/>
  <c r="FF8" i="17"/>
  <c r="FF8" i="3"/>
  <c r="FF8" i="6"/>
  <c r="FH14" i="11"/>
  <c r="FI11" i="11"/>
  <c r="FH5" i="11"/>
  <c r="FE15" i="11"/>
  <c r="FD15" i="11"/>
  <c r="FC15" i="11"/>
  <c r="FB15" i="11"/>
  <c r="FF15" i="11"/>
  <c r="GH72" i="5" l="1"/>
  <c r="GH71" i="5"/>
  <c r="FG82" i="5"/>
  <c r="FG70" i="5"/>
  <c r="FT83" i="5"/>
  <c r="FT84" i="5"/>
  <c r="FT71" i="5"/>
  <c r="FY69" i="5"/>
  <c r="FT72" i="5"/>
  <c r="GH84" i="5"/>
  <c r="GH83" i="5"/>
  <c r="GC84" i="5"/>
  <c r="GC83" i="5"/>
  <c r="GB66" i="5"/>
  <c r="GB65" i="5"/>
  <c r="FH8" i="42"/>
  <c r="FH8" i="8"/>
  <c r="FH8" i="30"/>
  <c r="FH8" i="2"/>
  <c r="FH8" i="29"/>
  <c r="FF82" i="5"/>
  <c r="FF64" i="5"/>
  <c r="FH8" i="7"/>
  <c r="FG64" i="5"/>
  <c r="FH8" i="18"/>
  <c r="FH8" i="17"/>
  <c r="FH8" i="14"/>
  <c r="FH8" i="15"/>
  <c r="FH8" i="3"/>
  <c r="FH8" i="6"/>
  <c r="FH8" i="5"/>
  <c r="FI14" i="11"/>
  <c r="FJ11" i="11"/>
  <c r="FI5" i="11"/>
  <c r="FY84" i="5" l="1"/>
  <c r="FY83" i="5"/>
  <c r="FH82" i="5"/>
  <c r="FH70" i="5"/>
  <c r="FY72" i="5"/>
  <c r="FY71" i="5"/>
  <c r="GD69" i="5"/>
  <c r="FI8" i="42"/>
  <c r="FI8" i="8"/>
  <c r="FI8" i="2"/>
  <c r="FI8" i="30"/>
  <c r="FI8" i="29"/>
  <c r="FI8" i="7"/>
  <c r="FH64" i="5"/>
  <c r="FI8" i="18"/>
  <c r="FI8" i="17"/>
  <c r="FI8" i="15"/>
  <c r="FI8" i="14"/>
  <c r="FI8" i="3"/>
  <c r="FI8" i="6"/>
  <c r="FI8" i="5"/>
  <c r="FJ14" i="11"/>
  <c r="FK11" i="11"/>
  <c r="FG3" i="11" s="1"/>
  <c r="FJ5" i="11"/>
  <c r="FL11" i="11"/>
  <c r="FI70" i="5" l="1"/>
  <c r="FI82" i="5"/>
  <c r="GI69" i="5"/>
  <c r="GD71" i="5"/>
  <c r="GD72" i="5"/>
  <c r="GD83" i="5"/>
  <c r="GD84" i="5"/>
  <c r="FJ8" i="42"/>
  <c r="FG6" i="42"/>
  <c r="FJ8" i="8"/>
  <c r="FJ8" i="2"/>
  <c r="FJ8" i="30"/>
  <c r="FJ8" i="29"/>
  <c r="FG6" i="29"/>
  <c r="FG6" i="8"/>
  <c r="FG6" i="2"/>
  <c r="FG6" i="30"/>
  <c r="FG6" i="7"/>
  <c r="FJ8" i="7"/>
  <c r="FI64" i="5"/>
  <c r="FJ8" i="18"/>
  <c r="FJ8" i="17"/>
  <c r="FJ8" i="15"/>
  <c r="FJ8" i="14"/>
  <c r="FJ8" i="3"/>
  <c r="FJ8" i="6"/>
  <c r="FJ8" i="5"/>
  <c r="FG6" i="18"/>
  <c r="FG6" i="15"/>
  <c r="FG6" i="17"/>
  <c r="FG6" i="14"/>
  <c r="FG6" i="3"/>
  <c r="FG6" i="6"/>
  <c r="FG6" i="5"/>
  <c r="FL14" i="11"/>
  <c r="FL5" i="11"/>
  <c r="FM11" i="11"/>
  <c r="FK14" i="11"/>
  <c r="FK5" i="11"/>
  <c r="FK4" i="11"/>
  <c r="FI4" i="11"/>
  <c r="FH4" i="11"/>
  <c r="FG4" i="11"/>
  <c r="FJ4" i="11"/>
  <c r="FJ82" i="5" l="1"/>
  <c r="FJ70" i="5"/>
  <c r="GI84" i="5"/>
  <c r="GI83" i="5"/>
  <c r="GI72" i="5"/>
  <c r="GI71" i="5"/>
  <c r="FL8" i="42"/>
  <c r="FK8" i="42"/>
  <c r="FJ7" i="42"/>
  <c r="FG7" i="42"/>
  <c r="FH7" i="42"/>
  <c r="FI7" i="42"/>
  <c r="FK7" i="42"/>
  <c r="FI7" i="29"/>
  <c r="FI7" i="8"/>
  <c r="FI7" i="2"/>
  <c r="FI7" i="30"/>
  <c r="FK7" i="29"/>
  <c r="FK7" i="8"/>
  <c r="FK7" i="2"/>
  <c r="FK7" i="30"/>
  <c r="FK8" i="8"/>
  <c r="FK8" i="2"/>
  <c r="FK8" i="30"/>
  <c r="FK8" i="29"/>
  <c r="FJ7" i="29"/>
  <c r="FJ7" i="8"/>
  <c r="FJ7" i="2"/>
  <c r="FJ7" i="30"/>
  <c r="FG7" i="29"/>
  <c r="FG7" i="8"/>
  <c r="FG7" i="30"/>
  <c r="FG7" i="2"/>
  <c r="FH7" i="29"/>
  <c r="FH7" i="8"/>
  <c r="FH7" i="2"/>
  <c r="FH7" i="30"/>
  <c r="FL8" i="8"/>
  <c r="FL8" i="30"/>
  <c r="FL8" i="2"/>
  <c r="FL8" i="29"/>
  <c r="FL8" i="18"/>
  <c r="FL8" i="17"/>
  <c r="FJ7" i="7"/>
  <c r="FL8" i="6"/>
  <c r="FL8" i="7"/>
  <c r="FL8" i="14"/>
  <c r="FL8" i="15"/>
  <c r="FK7" i="7"/>
  <c r="FG7" i="7"/>
  <c r="FK8" i="7"/>
  <c r="FH7" i="7"/>
  <c r="FI7" i="7"/>
  <c r="FJ64" i="5"/>
  <c r="FJ7" i="18"/>
  <c r="FJ7" i="17"/>
  <c r="FJ7" i="15"/>
  <c r="FJ7" i="14"/>
  <c r="FJ7" i="3"/>
  <c r="FJ7" i="6"/>
  <c r="FJ7" i="5"/>
  <c r="FG7" i="18"/>
  <c r="FG7" i="15"/>
  <c r="FG7" i="14"/>
  <c r="FG7" i="17"/>
  <c r="FG7" i="3"/>
  <c r="FG7" i="6"/>
  <c r="FG7" i="5"/>
  <c r="FH7" i="18"/>
  <c r="FH7" i="15"/>
  <c r="FH7" i="14"/>
  <c r="FH7" i="17"/>
  <c r="FH7" i="3"/>
  <c r="FH7" i="6"/>
  <c r="FH7" i="5"/>
  <c r="FI7" i="18"/>
  <c r="FI7" i="17"/>
  <c r="FI7" i="14"/>
  <c r="FI7" i="15"/>
  <c r="FI7" i="3"/>
  <c r="FI7" i="6"/>
  <c r="FI7" i="5"/>
  <c r="FK7" i="18"/>
  <c r="FK7" i="17"/>
  <c r="FK7" i="14"/>
  <c r="FK7" i="15"/>
  <c r="FK7" i="3"/>
  <c r="FK7" i="6"/>
  <c r="FK7" i="5"/>
  <c r="FK8" i="18"/>
  <c r="FK8" i="15"/>
  <c r="FK8" i="17"/>
  <c r="FK8" i="14"/>
  <c r="FK8" i="3"/>
  <c r="FK8" i="6"/>
  <c r="FK8" i="5"/>
  <c r="FK70" i="5" s="1"/>
  <c r="FL8" i="3"/>
  <c r="FL8" i="5"/>
  <c r="FK15" i="11"/>
  <c r="FJ15" i="11"/>
  <c r="FI15" i="11"/>
  <c r="FH15" i="11"/>
  <c r="FG15" i="11"/>
  <c r="FM14" i="11"/>
  <c r="FM5" i="11"/>
  <c r="FN11" i="11"/>
  <c r="FL70" i="5" l="1"/>
  <c r="FL82" i="5"/>
  <c r="FM8" i="42"/>
  <c r="FL64" i="5"/>
  <c r="FM8" i="8"/>
  <c r="FM8" i="2"/>
  <c r="FM8" i="30"/>
  <c r="FM8" i="29"/>
  <c r="FM8" i="18"/>
  <c r="FM8" i="17"/>
  <c r="FM8" i="6"/>
  <c r="FM8" i="7"/>
  <c r="FM8" i="15"/>
  <c r="FM8" i="14"/>
  <c r="FK64" i="5"/>
  <c r="FK82" i="5"/>
  <c r="FM8" i="3"/>
  <c r="FM8" i="5"/>
  <c r="FN14" i="11"/>
  <c r="FO11" i="11"/>
  <c r="FN5" i="11"/>
  <c r="FM82" i="5" l="1"/>
  <c r="FM70" i="5"/>
  <c r="FN8" i="42"/>
  <c r="FM64" i="5"/>
  <c r="FN8" i="8"/>
  <c r="FN8" i="2"/>
  <c r="FN8" i="30"/>
  <c r="FN8" i="29"/>
  <c r="FN8" i="18"/>
  <c r="FN8" i="17"/>
  <c r="FN8" i="6"/>
  <c r="FN8" i="7"/>
  <c r="FN8" i="15"/>
  <c r="FN8" i="14"/>
  <c r="FN8" i="3"/>
  <c r="FN8" i="5"/>
  <c r="FO14" i="11"/>
  <c r="FQ11" i="11"/>
  <c r="FP11" i="11"/>
  <c r="FL3" i="11" s="1"/>
  <c r="FO5" i="11"/>
  <c r="FN82" i="5" l="1"/>
  <c r="FN70" i="5"/>
  <c r="FO8" i="42"/>
  <c r="FL6" i="42"/>
  <c r="FN64" i="5"/>
  <c r="FO8" i="8"/>
  <c r="FO8" i="30"/>
  <c r="FO8" i="2"/>
  <c r="FO8" i="29"/>
  <c r="FO8" i="18"/>
  <c r="FO8" i="17"/>
  <c r="FL6" i="29"/>
  <c r="FL6" i="8"/>
  <c r="FL6" i="30"/>
  <c r="FL6" i="2"/>
  <c r="FL6" i="18"/>
  <c r="FL6" i="17"/>
  <c r="FO8" i="6"/>
  <c r="FO8" i="7"/>
  <c r="FO8" i="15"/>
  <c r="FO8" i="14"/>
  <c r="FL6" i="6"/>
  <c r="FL6" i="7"/>
  <c r="FL6" i="14"/>
  <c r="FL6" i="15"/>
  <c r="FO8" i="3"/>
  <c r="FO8" i="5"/>
  <c r="FL6" i="3"/>
  <c r="FL6" i="5"/>
  <c r="FP14" i="11"/>
  <c r="FP5" i="11"/>
  <c r="FO4" i="11"/>
  <c r="FN4" i="11"/>
  <c r="FM4" i="11"/>
  <c r="FL4" i="11"/>
  <c r="FP4" i="11"/>
  <c r="FQ14" i="11"/>
  <c r="FQ5" i="11"/>
  <c r="FR11" i="11"/>
  <c r="FO70" i="5" l="1"/>
  <c r="FO82" i="5"/>
  <c r="FP8" i="42"/>
  <c r="FQ8" i="42"/>
  <c r="FP7" i="42"/>
  <c r="FL7" i="42"/>
  <c r="FM7" i="42"/>
  <c r="FN7" i="42"/>
  <c r="FO7" i="42"/>
  <c r="FO64" i="5"/>
  <c r="FM7" i="29"/>
  <c r="FM7" i="8"/>
  <c r="FM7" i="2"/>
  <c r="FM7" i="30"/>
  <c r="FO7" i="29"/>
  <c r="FO7" i="8"/>
  <c r="FO7" i="2"/>
  <c r="FO7" i="30"/>
  <c r="FN7" i="29"/>
  <c r="FN7" i="8"/>
  <c r="FN7" i="2"/>
  <c r="FN7" i="30"/>
  <c r="FQ8" i="8"/>
  <c r="FQ8" i="2"/>
  <c r="FQ8" i="30"/>
  <c r="FQ8" i="29"/>
  <c r="FQ8" i="18"/>
  <c r="FQ8" i="17"/>
  <c r="FP7" i="29"/>
  <c r="FP7" i="8"/>
  <c r="FP7" i="2"/>
  <c r="FP7" i="30"/>
  <c r="FP8" i="8"/>
  <c r="FP8" i="2"/>
  <c r="FP8" i="30"/>
  <c r="FP8" i="29"/>
  <c r="FP8" i="18"/>
  <c r="FP8" i="17"/>
  <c r="FL7" i="8"/>
  <c r="FL7" i="30"/>
  <c r="FL7" i="2"/>
  <c r="FL7" i="29"/>
  <c r="FP7" i="18"/>
  <c r="FP7" i="17"/>
  <c r="FL7" i="18"/>
  <c r="FL7" i="17"/>
  <c r="FM7" i="18"/>
  <c r="FM7" i="17"/>
  <c r="FN7" i="18"/>
  <c r="FN7" i="17"/>
  <c r="FO7" i="18"/>
  <c r="FO7" i="17"/>
  <c r="FP7" i="6"/>
  <c r="FP7" i="7"/>
  <c r="FP7" i="14"/>
  <c r="FP7" i="15"/>
  <c r="FL7" i="6"/>
  <c r="FL7" i="7"/>
  <c r="FL7" i="15"/>
  <c r="FL7" i="14"/>
  <c r="FM7" i="6"/>
  <c r="FM7" i="7"/>
  <c r="FM7" i="15"/>
  <c r="FM7" i="14"/>
  <c r="FN7" i="6"/>
  <c r="FN7" i="7"/>
  <c r="FN7" i="15"/>
  <c r="FN7" i="14"/>
  <c r="FP8" i="6"/>
  <c r="FP8" i="7"/>
  <c r="FP8" i="14"/>
  <c r="FP8" i="15"/>
  <c r="FQ8" i="3"/>
  <c r="FQ8" i="5"/>
  <c r="FQ8" i="6"/>
  <c r="FQ8" i="7"/>
  <c r="FQ8" i="14"/>
  <c r="FQ8" i="15"/>
  <c r="FO7" i="6"/>
  <c r="FO7" i="7"/>
  <c r="FO7" i="14"/>
  <c r="FO7" i="15"/>
  <c r="FP7" i="3"/>
  <c r="FP7" i="5"/>
  <c r="FL7" i="3"/>
  <c r="FL7" i="5"/>
  <c r="FM7" i="3"/>
  <c r="FM7" i="5"/>
  <c r="FN7" i="3"/>
  <c r="FN7" i="5"/>
  <c r="FO7" i="3"/>
  <c r="FO7" i="5"/>
  <c r="FP8" i="3"/>
  <c r="FP8" i="5"/>
  <c r="FP70" i="5" s="1"/>
  <c r="FR14" i="11"/>
  <c r="FR5" i="11"/>
  <c r="FS11" i="11"/>
  <c r="FP15" i="11"/>
  <c r="FO15" i="11"/>
  <c r="FN15" i="11"/>
  <c r="FM15" i="11"/>
  <c r="FL15" i="11"/>
  <c r="FQ70" i="5" l="1"/>
  <c r="FQ82" i="5"/>
  <c r="FR8" i="42"/>
  <c r="FQ64" i="5"/>
  <c r="FR8" i="8"/>
  <c r="FR8" i="30"/>
  <c r="FR8" i="2"/>
  <c r="FR8" i="29"/>
  <c r="FR8" i="18"/>
  <c r="FR8" i="17"/>
  <c r="FR8" i="3"/>
  <c r="FR8" i="5"/>
  <c r="FR8" i="6"/>
  <c r="FR8" i="7"/>
  <c r="FR8" i="14"/>
  <c r="FR8" i="15"/>
  <c r="FP64" i="5"/>
  <c r="FP82" i="5"/>
  <c r="FS14" i="11"/>
  <c r="FS5" i="11"/>
  <c r="FT11" i="11"/>
  <c r="FR70" i="5" l="1"/>
  <c r="FR82" i="5"/>
  <c r="FS8" i="42"/>
  <c r="FR64" i="5"/>
  <c r="FS8" i="8"/>
  <c r="FS8" i="2"/>
  <c r="FS8" i="30"/>
  <c r="FS8" i="29"/>
  <c r="FS8" i="18"/>
  <c r="FS8" i="17"/>
  <c r="FS8" i="3"/>
  <c r="FS8" i="5"/>
  <c r="FS8" i="6"/>
  <c r="FS8" i="7"/>
  <c r="FS8" i="15"/>
  <c r="FS8" i="14"/>
  <c r="FT14" i="11"/>
  <c r="FU11" i="11"/>
  <c r="FQ3" i="11" s="1"/>
  <c r="FV11" i="11"/>
  <c r="FT5" i="11"/>
  <c r="FS82" i="5" l="1"/>
  <c r="FS70" i="5"/>
  <c r="FT8" i="42"/>
  <c r="FQ6" i="42"/>
  <c r="FS64" i="5"/>
  <c r="FT8" i="8"/>
  <c r="FT8" i="2"/>
  <c r="FT8" i="30"/>
  <c r="FT8" i="29"/>
  <c r="FT8" i="18"/>
  <c r="FT8" i="17"/>
  <c r="FQ6" i="29"/>
  <c r="FQ6" i="8"/>
  <c r="FQ6" i="30"/>
  <c r="FQ6" i="2"/>
  <c r="FQ6" i="18"/>
  <c r="FQ6" i="17"/>
  <c r="FQ6" i="3"/>
  <c r="FQ6" i="5"/>
  <c r="FQ6" i="6"/>
  <c r="FQ6" i="7"/>
  <c r="FQ6" i="14"/>
  <c r="FQ6" i="15"/>
  <c r="FT8" i="3"/>
  <c r="FT8" i="5"/>
  <c r="FT8" i="6"/>
  <c r="FT8" i="7"/>
  <c r="FT8" i="15"/>
  <c r="FT8" i="14"/>
  <c r="FW11" i="11"/>
  <c r="FV14" i="11"/>
  <c r="FV5" i="11"/>
  <c r="FU14" i="11"/>
  <c r="FQ4" i="11"/>
  <c r="FU4" i="11"/>
  <c r="FT4" i="11"/>
  <c r="FU5" i="11"/>
  <c r="FS4" i="11"/>
  <c r="FR4" i="11"/>
  <c r="FT82" i="5" l="1"/>
  <c r="FT70" i="5"/>
  <c r="FV8" i="42"/>
  <c r="FU8" i="42"/>
  <c r="FR7" i="42"/>
  <c r="FS7" i="42"/>
  <c r="FT7" i="42"/>
  <c r="FU7" i="42"/>
  <c r="FQ7" i="42"/>
  <c r="FT64" i="5"/>
  <c r="FQ7" i="29"/>
  <c r="FQ7" i="8"/>
  <c r="FQ7" i="2"/>
  <c r="FQ7" i="30"/>
  <c r="FS7" i="29"/>
  <c r="FS7" i="8"/>
  <c r="FS7" i="2"/>
  <c r="FS7" i="30"/>
  <c r="FV8" i="8"/>
  <c r="FV8" i="2"/>
  <c r="FV8" i="30"/>
  <c r="FV8" i="29"/>
  <c r="FV8" i="18"/>
  <c r="FV8" i="17"/>
  <c r="FR7" i="29"/>
  <c r="FR7" i="8"/>
  <c r="FR7" i="30"/>
  <c r="FR7" i="2"/>
  <c r="FU8" i="8"/>
  <c r="FU8" i="2"/>
  <c r="FU8" i="30"/>
  <c r="FU8" i="29"/>
  <c r="FU8" i="18"/>
  <c r="FU8" i="17"/>
  <c r="FT7" i="29"/>
  <c r="FT7" i="8"/>
  <c r="FT7" i="2"/>
  <c r="FT7" i="30"/>
  <c r="FU7" i="29"/>
  <c r="FU7" i="8"/>
  <c r="FU7" i="2"/>
  <c r="FU7" i="30"/>
  <c r="FR7" i="18"/>
  <c r="FR7" i="17"/>
  <c r="FS7" i="18"/>
  <c r="FS7" i="17"/>
  <c r="FT7" i="18"/>
  <c r="FT7" i="17"/>
  <c r="FU7" i="18"/>
  <c r="FU7" i="17"/>
  <c r="FQ7" i="18"/>
  <c r="FQ7" i="17"/>
  <c r="FS7" i="3"/>
  <c r="FS7" i="5"/>
  <c r="FS7" i="6"/>
  <c r="FS7" i="7"/>
  <c r="FS7" i="15"/>
  <c r="FS7" i="14"/>
  <c r="FV8" i="3"/>
  <c r="FV8" i="5"/>
  <c r="FV8" i="6"/>
  <c r="FV8" i="7"/>
  <c r="FV8" i="14"/>
  <c r="FV8" i="15"/>
  <c r="FU8" i="3"/>
  <c r="FU8" i="5"/>
  <c r="FU70" i="5" s="1"/>
  <c r="FU8" i="6"/>
  <c r="FU8" i="7"/>
  <c r="FU8" i="15"/>
  <c r="FU8" i="14"/>
  <c r="FT7" i="3"/>
  <c r="FT7" i="5"/>
  <c r="FT7" i="6"/>
  <c r="FT7" i="7"/>
  <c r="FT7" i="15"/>
  <c r="FT7" i="14"/>
  <c r="FQ7" i="3"/>
  <c r="FQ7" i="5"/>
  <c r="FQ7" i="6"/>
  <c r="FQ7" i="7"/>
  <c r="FQ7" i="14"/>
  <c r="FQ7" i="15"/>
  <c r="FU7" i="3"/>
  <c r="FU7" i="5"/>
  <c r="FU7" i="6"/>
  <c r="FU7" i="7"/>
  <c r="FU7" i="15"/>
  <c r="FU7" i="14"/>
  <c r="FR7" i="3"/>
  <c r="FR7" i="5"/>
  <c r="FR7" i="6"/>
  <c r="FR7" i="7"/>
  <c r="FR7" i="15"/>
  <c r="FR7" i="14"/>
  <c r="FQ15" i="11"/>
  <c r="FU15" i="11"/>
  <c r="FT15" i="11"/>
  <c r="FS15" i="11"/>
  <c r="FR15" i="11"/>
  <c r="FW14" i="11"/>
  <c r="FX11" i="11"/>
  <c r="FW5" i="11"/>
  <c r="FV70" i="5" l="1"/>
  <c r="FV82" i="5"/>
  <c r="FW8" i="42"/>
  <c r="FV64" i="5"/>
  <c r="FW8" i="8"/>
  <c r="FW8" i="2"/>
  <c r="FW8" i="30"/>
  <c r="FW8" i="29"/>
  <c r="FW8" i="18"/>
  <c r="FW8" i="17"/>
  <c r="FW8" i="3"/>
  <c r="FW8" i="5"/>
  <c r="FW8" i="6"/>
  <c r="FW8" i="7"/>
  <c r="FW8" i="14"/>
  <c r="FW8" i="15"/>
  <c r="FU64" i="5"/>
  <c r="FU82" i="5"/>
  <c r="FX14" i="11"/>
  <c r="FX5" i="11"/>
  <c r="FY11" i="11"/>
  <c r="FW70" i="5" l="1"/>
  <c r="FW82" i="5"/>
  <c r="FX8" i="42"/>
  <c r="FW64" i="5"/>
  <c r="FX8" i="8"/>
  <c r="FX8" i="30"/>
  <c r="FX8" i="2"/>
  <c r="FX8" i="29"/>
  <c r="FX8" i="18"/>
  <c r="FX8" i="17"/>
  <c r="FX8" i="3"/>
  <c r="FX8" i="5"/>
  <c r="FX8" i="6"/>
  <c r="FX8" i="7"/>
  <c r="FX8" i="14"/>
  <c r="FX8" i="15"/>
  <c r="GA11" i="11"/>
  <c r="FY14" i="11"/>
  <c r="FY5" i="11"/>
  <c r="FZ11" i="11"/>
  <c r="FV3" i="11" s="1"/>
  <c r="FX70" i="5" l="1"/>
  <c r="FX82" i="5"/>
  <c r="FY8" i="42"/>
  <c r="FV6" i="42"/>
  <c r="FX64" i="5"/>
  <c r="FV6" i="29"/>
  <c r="FV6" i="8"/>
  <c r="FV6" i="2"/>
  <c r="FV6" i="30"/>
  <c r="FY8" i="8"/>
  <c r="FY8" i="2"/>
  <c r="FY8" i="30"/>
  <c r="FY8" i="29"/>
  <c r="FY8" i="18"/>
  <c r="FY8" i="17"/>
  <c r="FV6" i="18"/>
  <c r="FV6" i="17"/>
  <c r="FY8" i="3"/>
  <c r="FY8" i="5"/>
  <c r="FY8" i="6"/>
  <c r="FY8" i="7"/>
  <c r="FY8" i="15"/>
  <c r="FY8" i="14"/>
  <c r="FV6" i="3"/>
  <c r="FV6" i="5"/>
  <c r="FV6" i="6"/>
  <c r="FV6" i="7"/>
  <c r="FV6" i="14"/>
  <c r="FV6" i="15"/>
  <c r="FZ14" i="11"/>
  <c r="FW4" i="11"/>
  <c r="FZ5" i="11"/>
  <c r="FZ4" i="11"/>
  <c r="FY4" i="11"/>
  <c r="FX4" i="11"/>
  <c r="FV4" i="11"/>
  <c r="GA14" i="11"/>
  <c r="GB11" i="11"/>
  <c r="GA5" i="11"/>
  <c r="FY70" i="5" l="1"/>
  <c r="FY82" i="5"/>
  <c r="GA8" i="17"/>
  <c r="GA8" i="18"/>
  <c r="GA8" i="14"/>
  <c r="GA8" i="15"/>
  <c r="GA8" i="30"/>
  <c r="GA8" i="6"/>
  <c r="GA8" i="42"/>
  <c r="GA8" i="29"/>
  <c r="GA8" i="8"/>
  <c r="GA8" i="2"/>
  <c r="GA8" i="5"/>
  <c r="GA8" i="3"/>
  <c r="GA8" i="7"/>
  <c r="FZ8" i="42"/>
  <c r="FV7" i="42"/>
  <c r="FX7" i="42"/>
  <c r="FY7" i="42"/>
  <c r="FZ7" i="42"/>
  <c r="FW7" i="42"/>
  <c r="FY64" i="5"/>
  <c r="FZ8" i="8"/>
  <c r="FZ8" i="2"/>
  <c r="FZ8" i="30"/>
  <c r="FZ8" i="29"/>
  <c r="FZ8" i="18"/>
  <c r="FZ8" i="17"/>
  <c r="FW7" i="29"/>
  <c r="FW7" i="8"/>
  <c r="FW7" i="2"/>
  <c r="FW7" i="30"/>
  <c r="FX7" i="29"/>
  <c r="FX7" i="8"/>
  <c r="FX7" i="30"/>
  <c r="FX7" i="2"/>
  <c r="FY7" i="29"/>
  <c r="FY7" i="8"/>
  <c r="FY7" i="2"/>
  <c r="FY7" i="30"/>
  <c r="FV7" i="8"/>
  <c r="FV7" i="2"/>
  <c r="FV7" i="30"/>
  <c r="FZ7" i="29"/>
  <c r="FZ7" i="8"/>
  <c r="FZ7" i="2"/>
  <c r="FZ7" i="30"/>
  <c r="FV7" i="29"/>
  <c r="FV7" i="18"/>
  <c r="FV7" i="17"/>
  <c r="FX7" i="18"/>
  <c r="FX7" i="17"/>
  <c r="FY7" i="18"/>
  <c r="FY7" i="17"/>
  <c r="FZ7" i="18"/>
  <c r="FZ7" i="17"/>
  <c r="FW7" i="18"/>
  <c r="FW7" i="17"/>
  <c r="FZ7" i="3"/>
  <c r="FZ7" i="5"/>
  <c r="FZ7" i="6"/>
  <c r="FZ7" i="7"/>
  <c r="FZ7" i="15"/>
  <c r="FZ7" i="14"/>
  <c r="FZ8" i="3"/>
  <c r="FZ8" i="5"/>
  <c r="FZ70" i="5" s="1"/>
  <c r="FZ8" i="6"/>
  <c r="FZ8" i="7"/>
  <c r="FZ8" i="14"/>
  <c r="FZ8" i="15"/>
  <c r="FW7" i="3"/>
  <c r="FW7" i="5"/>
  <c r="FW7" i="6"/>
  <c r="FW7" i="7"/>
  <c r="FW7" i="14"/>
  <c r="FW7" i="15"/>
  <c r="FX7" i="3"/>
  <c r="FX7" i="5"/>
  <c r="FX7" i="6"/>
  <c r="FX7" i="7"/>
  <c r="FX7" i="15"/>
  <c r="FX7" i="14"/>
  <c r="FY7" i="3"/>
  <c r="FY7" i="5"/>
  <c r="FY7" i="6"/>
  <c r="FY7" i="7"/>
  <c r="FY7" i="15"/>
  <c r="FY7" i="14"/>
  <c r="FV7" i="3"/>
  <c r="FV7" i="5"/>
  <c r="FV7" i="6"/>
  <c r="FV7" i="7"/>
  <c r="FV7" i="14"/>
  <c r="FV7" i="15"/>
  <c r="GC11" i="11"/>
  <c r="GB14" i="11"/>
  <c r="GB5" i="11"/>
  <c r="FW15" i="11"/>
  <c r="FV15" i="11"/>
  <c r="FZ15" i="11"/>
  <c r="FY15" i="11"/>
  <c r="FX15" i="11"/>
  <c r="GA82" i="5" l="1"/>
  <c r="GA70" i="5"/>
  <c r="GA64" i="5"/>
  <c r="GB8" i="17"/>
  <c r="GB8" i="15"/>
  <c r="GB8" i="30"/>
  <c r="GB8" i="6"/>
  <c r="GB8" i="42"/>
  <c r="GB8" i="29"/>
  <c r="GB8" i="8"/>
  <c r="GB8" i="2"/>
  <c r="GB8" i="5"/>
  <c r="GB8" i="3"/>
  <c r="GB8" i="7"/>
  <c r="GB8" i="18"/>
  <c r="GB8" i="14"/>
  <c r="FZ82" i="5"/>
  <c r="FZ64" i="5"/>
  <c r="GC14" i="11"/>
  <c r="GD11" i="11"/>
  <c r="GF11" i="11" s="1"/>
  <c r="GC5" i="11"/>
  <c r="GB70" i="5" l="1"/>
  <c r="GB82" i="5"/>
  <c r="GG11" i="11"/>
  <c r="GF14" i="11"/>
  <c r="GF5" i="11"/>
  <c r="GB64" i="5"/>
  <c r="GC8" i="17"/>
  <c r="GC8" i="30"/>
  <c r="GC8" i="6"/>
  <c r="GC8" i="42"/>
  <c r="GC8" i="29"/>
  <c r="GC8" i="8"/>
  <c r="GC8" i="2"/>
  <c r="GC8" i="5"/>
  <c r="GC8" i="3"/>
  <c r="GC8" i="7"/>
  <c r="GC8" i="18"/>
  <c r="GC8" i="14"/>
  <c r="GC8" i="15"/>
  <c r="GD14" i="11"/>
  <c r="GE11" i="11"/>
  <c r="GA3" i="11" s="1"/>
  <c r="GD5" i="11"/>
  <c r="GF8" i="8" l="1"/>
  <c r="GF8" i="17"/>
  <c r="GF8" i="42"/>
  <c r="GF8" i="30"/>
  <c r="GF8" i="18"/>
  <c r="GF8" i="14"/>
  <c r="GF8" i="15"/>
  <c r="GF8" i="5"/>
  <c r="GF8" i="3"/>
  <c r="GF8" i="2"/>
  <c r="GF8" i="6"/>
  <c r="GC82" i="5"/>
  <c r="GC70" i="5"/>
  <c r="GC64" i="5"/>
  <c r="GA6" i="17"/>
  <c r="GA6" i="18"/>
  <c r="GA6" i="14"/>
  <c r="GA6" i="15"/>
  <c r="GA6" i="30"/>
  <c r="GA6" i="6"/>
  <c r="GA6" i="42"/>
  <c r="GA6" i="29"/>
  <c r="GA6" i="8"/>
  <c r="GA6" i="2"/>
  <c r="GA6" i="5"/>
  <c r="GA6" i="3"/>
  <c r="GA6" i="7"/>
  <c r="GG5" i="11"/>
  <c r="GG14" i="11"/>
  <c r="GH11" i="11"/>
  <c r="GD8" i="17"/>
  <c r="GD8" i="29"/>
  <c r="GD8" i="8"/>
  <c r="GD8" i="2"/>
  <c r="GD8" i="5"/>
  <c r="GD8" i="3"/>
  <c r="GD8" i="7"/>
  <c r="GD8" i="18"/>
  <c r="GD8" i="14"/>
  <c r="GD8" i="15"/>
  <c r="GD8" i="30"/>
  <c r="GD8" i="6"/>
  <c r="GD8" i="42"/>
  <c r="GE14" i="11"/>
  <c r="GE5" i="11"/>
  <c r="GC4" i="11"/>
  <c r="GA4" i="11"/>
  <c r="GE4" i="11"/>
  <c r="GD4" i="11"/>
  <c r="GB4" i="11"/>
  <c r="GG8" i="8" l="1"/>
  <c r="GG8" i="17"/>
  <c r="GG8" i="15"/>
  <c r="GG8" i="30"/>
  <c r="GG8" i="18"/>
  <c r="GG8" i="14"/>
  <c r="GG8" i="2"/>
  <c r="GG8" i="5"/>
  <c r="GG8" i="3"/>
  <c r="GG8" i="42"/>
  <c r="GG8" i="6"/>
  <c r="GF64" i="5"/>
  <c r="GF70" i="5"/>
  <c r="GF82" i="5"/>
  <c r="GD82" i="5"/>
  <c r="GD70" i="5"/>
  <c r="GA7" i="17"/>
  <c r="GA7" i="15"/>
  <c r="GA7" i="30"/>
  <c r="GA7" i="6"/>
  <c r="GA7" i="42"/>
  <c r="GA7" i="29"/>
  <c r="GA7" i="8"/>
  <c r="GA7" i="2"/>
  <c r="GA7" i="5"/>
  <c r="GA7" i="3"/>
  <c r="GA7" i="7"/>
  <c r="GA7" i="18"/>
  <c r="GA7" i="14"/>
  <c r="GC7" i="17"/>
  <c r="GC7" i="29"/>
  <c r="GC7" i="8"/>
  <c r="GC7" i="2"/>
  <c r="GC7" i="5"/>
  <c r="GC7" i="3"/>
  <c r="GC7" i="7"/>
  <c r="GC7" i="18"/>
  <c r="GC7" i="14"/>
  <c r="GC7" i="15"/>
  <c r="GC7" i="30"/>
  <c r="GC7" i="6"/>
  <c r="GC7" i="42"/>
  <c r="GE8" i="5"/>
  <c r="GE8" i="3"/>
  <c r="GE8" i="17"/>
  <c r="GE8" i="7"/>
  <c r="GE8" i="18"/>
  <c r="GE8" i="14"/>
  <c r="GE8" i="15"/>
  <c r="GE8" i="30"/>
  <c r="GE8" i="6"/>
  <c r="GE8" i="42"/>
  <c r="GE8" i="29"/>
  <c r="GE8" i="8"/>
  <c r="GE8" i="2"/>
  <c r="GB7" i="17"/>
  <c r="GB7" i="30"/>
  <c r="GB7" i="6"/>
  <c r="GB7" i="42"/>
  <c r="GB7" i="29"/>
  <c r="GB7" i="8"/>
  <c r="GB7" i="2"/>
  <c r="GB7" i="5"/>
  <c r="GB7" i="3"/>
  <c r="GB7" i="7"/>
  <c r="GB7" i="18"/>
  <c r="GB7" i="14"/>
  <c r="GB7" i="15"/>
  <c r="GD7" i="17"/>
  <c r="GD7" i="5"/>
  <c r="GD7" i="3"/>
  <c r="GD7" i="7"/>
  <c r="GD7" i="18"/>
  <c r="GD7" i="14"/>
  <c r="GD7" i="15"/>
  <c r="GD7" i="30"/>
  <c r="GD7" i="6"/>
  <c r="GD7" i="42"/>
  <c r="GD7" i="29"/>
  <c r="GD7" i="8"/>
  <c r="GD7" i="2"/>
  <c r="GE7" i="7"/>
  <c r="GE7" i="18"/>
  <c r="GE7" i="14"/>
  <c r="GE7" i="17"/>
  <c r="GE7" i="15"/>
  <c r="GE7" i="30"/>
  <c r="GE7" i="6"/>
  <c r="GE7" i="42"/>
  <c r="GE7" i="29"/>
  <c r="GE7" i="8"/>
  <c r="GE7" i="2"/>
  <c r="GE7" i="5"/>
  <c r="GE7" i="3"/>
  <c r="GI11" i="11"/>
  <c r="GH5" i="11"/>
  <c r="GH14" i="11"/>
  <c r="GD64" i="5"/>
  <c r="GC15" i="11"/>
  <c r="GB15" i="11"/>
  <c r="GA15" i="11"/>
  <c r="GE15" i="11"/>
  <c r="GD15" i="11"/>
  <c r="GG70" i="5" l="1"/>
  <c r="GG82" i="5"/>
  <c r="GG64" i="5"/>
  <c r="GH8" i="8"/>
  <c r="GH8" i="30"/>
  <c r="GH8" i="18"/>
  <c r="GH8" i="14"/>
  <c r="GH8" i="42"/>
  <c r="GH8" i="6"/>
  <c r="GH8" i="2"/>
  <c r="GH8" i="5"/>
  <c r="GH8" i="15"/>
  <c r="GH8" i="3"/>
  <c r="GH8" i="17"/>
  <c r="GE70" i="5"/>
  <c r="GE82" i="5"/>
  <c r="GE64" i="5"/>
  <c r="GK11" i="11"/>
  <c r="GI14" i="11"/>
  <c r="GJ11" i="11"/>
  <c r="GI5" i="11"/>
  <c r="D4" i="1"/>
  <c r="DN177" i="15"/>
  <c r="GI8" i="8" l="1"/>
  <c r="GI8" i="2"/>
  <c r="GI8" i="17"/>
  <c r="GI8" i="30"/>
  <c r="GI8" i="14"/>
  <c r="GI8" i="6"/>
  <c r="GI8" i="3"/>
  <c r="GI8" i="15"/>
  <c r="GI8" i="18"/>
  <c r="GI8" i="5"/>
  <c r="GI8" i="42"/>
  <c r="GH70" i="5"/>
  <c r="GH64" i="5"/>
  <c r="GH82" i="5"/>
  <c r="GJ4" i="11"/>
  <c r="GJ5" i="11"/>
  <c r="GI4" i="11"/>
  <c r="GG4" i="11"/>
  <c r="GH4" i="11"/>
  <c r="GJ14" i="11"/>
  <c r="GF4" i="11"/>
  <c r="GF3" i="11"/>
  <c r="GL11" i="11"/>
  <c r="GK14" i="11"/>
  <c r="GK5" i="11"/>
  <c r="DN182" i="15"/>
  <c r="DN183" i="15"/>
  <c r="DN184" i="15"/>
  <c r="DO182" i="15"/>
  <c r="DS181" i="15"/>
  <c r="DN30" i="30"/>
  <c r="DI37" i="30" s="1"/>
  <c r="DN209" i="15"/>
  <c r="DN54" i="42" s="1"/>
  <c r="DN57" i="42" s="1"/>
  <c r="DN180" i="15"/>
  <c r="DO180" i="15"/>
  <c r="DI177" i="15"/>
  <c r="DR177" i="15"/>
  <c r="GJ7" i="8" l="1"/>
  <c r="GJ7" i="6"/>
  <c r="GJ7" i="3"/>
  <c r="GJ7" i="2"/>
  <c r="GJ7" i="15"/>
  <c r="GJ7" i="42"/>
  <c r="GJ7" i="17"/>
  <c r="GJ7" i="30"/>
  <c r="GJ7" i="18"/>
  <c r="GJ7" i="14"/>
  <c r="GJ7" i="5"/>
  <c r="GF6" i="8"/>
  <c r="GF6" i="30"/>
  <c r="GF6" i="18"/>
  <c r="GF6" i="14"/>
  <c r="GF6" i="17"/>
  <c r="GF6" i="2"/>
  <c r="GF6" i="6"/>
  <c r="GF6" i="42"/>
  <c r="GF6" i="15"/>
  <c r="GF6" i="5"/>
  <c r="GF6" i="3"/>
  <c r="GF7" i="8"/>
  <c r="GF7" i="2"/>
  <c r="GF7" i="6"/>
  <c r="GF7" i="3"/>
  <c r="GF7" i="30"/>
  <c r="GF7" i="15"/>
  <c r="GF7" i="17"/>
  <c r="GF7" i="5"/>
  <c r="GF7" i="42"/>
  <c r="GF7" i="18"/>
  <c r="GF7" i="14"/>
  <c r="GG7" i="8"/>
  <c r="GG7" i="18"/>
  <c r="GG7" i="15"/>
  <c r="GG7" i="5"/>
  <c r="GG7" i="42"/>
  <c r="GG7" i="30"/>
  <c r="GG7" i="6"/>
  <c r="GG7" i="3"/>
  <c r="GG7" i="17"/>
  <c r="GG7" i="14"/>
  <c r="GG7" i="2"/>
  <c r="GI70" i="5"/>
  <c r="GI64" i="5"/>
  <c r="GI82" i="5"/>
  <c r="GJ8" i="8"/>
  <c r="GJ8" i="14"/>
  <c r="GJ8" i="2"/>
  <c r="GJ8" i="15"/>
  <c r="GJ8" i="17"/>
  <c r="GJ8" i="30"/>
  <c r="GJ8" i="5"/>
  <c r="GJ8" i="42"/>
  <c r="GJ8" i="6"/>
  <c r="GJ8" i="3"/>
  <c r="GJ8" i="18"/>
  <c r="GH7" i="8"/>
  <c r="GH7" i="15"/>
  <c r="GH7" i="18"/>
  <c r="GH7" i="5"/>
  <c r="GH7" i="42"/>
  <c r="GH7" i="17"/>
  <c r="GH7" i="6"/>
  <c r="GH7" i="3"/>
  <c r="GH7" i="14"/>
  <c r="GH7" i="2"/>
  <c r="GH7" i="30"/>
  <c r="GI7" i="8"/>
  <c r="GI7" i="5"/>
  <c r="GI7" i="42"/>
  <c r="GI7" i="30"/>
  <c r="GI7" i="6"/>
  <c r="GI7" i="3"/>
  <c r="GI7" i="18"/>
  <c r="GI7" i="15"/>
  <c r="GI7" i="14"/>
  <c r="GI7" i="17"/>
  <c r="GI7" i="2"/>
  <c r="GH15" i="11"/>
  <c r="GF15" i="11"/>
  <c r="GG15" i="11"/>
  <c r="GJ15" i="11"/>
  <c r="GI15" i="11"/>
  <c r="GM11" i="11"/>
  <c r="GL5" i="11"/>
  <c r="GL14" i="11"/>
  <c r="DR183" i="15"/>
  <c r="DR184" i="15"/>
  <c r="DW181" i="15"/>
  <c r="DI182" i="15"/>
  <c r="DI183" i="15"/>
  <c r="DI184" i="15"/>
  <c r="DJ182" i="15"/>
  <c r="DN181" i="15"/>
  <c r="DO34" i="30"/>
  <c r="DN39" i="30"/>
  <c r="DN32" i="30"/>
  <c r="DN36" i="30"/>
  <c r="DN34" i="30"/>
  <c r="DS31" i="30"/>
  <c r="DS33" i="30"/>
  <c r="DO32" i="30"/>
  <c r="DI30" i="30"/>
  <c r="DN33" i="30" s="1"/>
  <c r="DN56" i="42"/>
  <c r="DO56" i="42"/>
  <c r="DS55" i="42"/>
  <c r="DR30" i="30"/>
  <c r="DM37" i="30" s="1"/>
  <c r="DN214" i="15"/>
  <c r="DN212" i="15"/>
  <c r="DO214" i="15"/>
  <c r="DO212" i="15"/>
  <c r="DS213" i="15"/>
  <c r="DI209" i="15"/>
  <c r="DI54" i="42" s="1"/>
  <c r="DI57" i="42" s="1"/>
  <c r="DR209" i="15"/>
  <c r="DR54" i="42" s="1"/>
  <c r="DR57" i="42" s="1"/>
  <c r="DW178" i="15"/>
  <c r="DI180" i="15"/>
  <c r="DJ180" i="15"/>
  <c r="DM177" i="15"/>
  <c r="DR181" i="15" s="1"/>
  <c r="DD177" i="15"/>
  <c r="GJ64" i="5" l="1"/>
  <c r="GJ70" i="5"/>
  <c r="GJ82" i="5"/>
  <c r="DI181" i="15"/>
  <c r="DD30" i="30"/>
  <c r="DD36" i="30" s="1"/>
  <c r="GM14" i="11"/>
  <c r="GN11" i="11"/>
  <c r="GM5" i="11"/>
  <c r="DD182" i="15"/>
  <c r="DD183" i="15"/>
  <c r="DD184" i="15"/>
  <c r="DE182" i="15"/>
  <c r="DM183" i="15"/>
  <c r="DM184" i="15"/>
  <c r="DD37" i="30"/>
  <c r="DJ34" i="30"/>
  <c r="DN31" i="30"/>
  <c r="DI36" i="30"/>
  <c r="DJ32" i="30"/>
  <c r="DI34" i="30"/>
  <c r="DI32" i="30"/>
  <c r="DW55" i="42"/>
  <c r="DI56" i="42"/>
  <c r="DJ56" i="42"/>
  <c r="DN55" i="42"/>
  <c r="CY177" i="15"/>
  <c r="DM30" i="30"/>
  <c r="DR31" i="30" s="1"/>
  <c r="DW33" i="30"/>
  <c r="DW31" i="30"/>
  <c r="DR36" i="30"/>
  <c r="DR39" i="30"/>
  <c r="DI214" i="15"/>
  <c r="DI212" i="15"/>
  <c r="DJ214" i="15"/>
  <c r="DJ212" i="15"/>
  <c r="DW213" i="15"/>
  <c r="DN213" i="15"/>
  <c r="DD209" i="15"/>
  <c r="DD54" i="42" s="1"/>
  <c r="DW210" i="15"/>
  <c r="DM209" i="15"/>
  <c r="DM54" i="42" s="1"/>
  <c r="DM57" i="42" s="1"/>
  <c r="DD180" i="15"/>
  <c r="DE180" i="15"/>
  <c r="DR178" i="15"/>
  <c r="DH177" i="15"/>
  <c r="DM181" i="15" l="1"/>
  <c r="DH30" i="30"/>
  <c r="DD32" i="30"/>
  <c r="DD34" i="30"/>
  <c r="DE32" i="30"/>
  <c r="DE34" i="30"/>
  <c r="DH37" i="30"/>
  <c r="GP11" i="11"/>
  <c r="GN5" i="11"/>
  <c r="GN14" i="11"/>
  <c r="GO11" i="11"/>
  <c r="DI55" i="42"/>
  <c r="DD57" i="42"/>
  <c r="CY184" i="15"/>
  <c r="CY183" i="15"/>
  <c r="CY182" i="15"/>
  <c r="CZ182" i="15"/>
  <c r="DH183" i="15"/>
  <c r="DH184" i="15"/>
  <c r="CY37" i="30"/>
  <c r="DI31" i="30"/>
  <c r="DI33" i="30"/>
  <c r="CZ180" i="15"/>
  <c r="CY180" i="15"/>
  <c r="EB217" i="15"/>
  <c r="DD56" i="42"/>
  <c r="DD55" i="42"/>
  <c r="DE56" i="42"/>
  <c r="DR55" i="42"/>
  <c r="DM36" i="30"/>
  <c r="DR33" i="30"/>
  <c r="CT177" i="15"/>
  <c r="CY30" i="30"/>
  <c r="DD31" i="30" s="1"/>
  <c r="DR210" i="15"/>
  <c r="DD212" i="15"/>
  <c r="DD214" i="15"/>
  <c r="DE212" i="15"/>
  <c r="DE214" i="15"/>
  <c r="DR213" i="15"/>
  <c r="DI213" i="15"/>
  <c r="DM178" i="15"/>
  <c r="EH347" i="14"/>
  <c r="EH39" i="42" s="1"/>
  <c r="DD33" i="30" l="1"/>
  <c r="GN4" i="11"/>
  <c r="GO14" i="11"/>
  <c r="GK4" i="11"/>
  <c r="GO5" i="11"/>
  <c r="GO4" i="11"/>
  <c r="GL4" i="11"/>
  <c r="GK3" i="11"/>
  <c r="GM4" i="11"/>
  <c r="GQ11" i="11"/>
  <c r="GP14" i="11"/>
  <c r="GP5" i="11"/>
  <c r="CT183" i="15"/>
  <c r="CT182" i="15"/>
  <c r="CU182" i="15"/>
  <c r="CU180" i="15"/>
  <c r="CT180" i="15"/>
  <c r="DW217" i="15"/>
  <c r="EH42" i="42"/>
  <c r="EM40" i="42"/>
  <c r="CY36" i="30"/>
  <c r="CT37" i="30"/>
  <c r="CO177" i="15"/>
  <c r="CT30" i="30"/>
  <c r="DH36" i="30"/>
  <c r="DC37" i="30"/>
  <c r="DM31" i="30"/>
  <c r="DM33" i="30"/>
  <c r="EM351" i="14"/>
  <c r="EC347" i="14"/>
  <c r="GR11" i="11" l="1"/>
  <c r="GQ5" i="11"/>
  <c r="GQ14" i="11"/>
  <c r="GO15" i="11"/>
  <c r="GN15" i="11"/>
  <c r="GM15" i="11"/>
  <c r="GK15" i="11"/>
  <c r="GL15" i="11"/>
  <c r="CO182" i="15"/>
  <c r="CP182" i="15"/>
  <c r="CP180" i="15"/>
  <c r="CO180" i="15"/>
  <c r="EC39" i="42"/>
  <c r="CO37" i="30"/>
  <c r="CT36" i="30"/>
  <c r="CO30" i="30"/>
  <c r="DX347" i="14"/>
  <c r="DX39" i="42" s="1"/>
  <c r="EH351" i="14"/>
  <c r="GS11" i="11" l="1"/>
  <c r="GR5" i="11"/>
  <c r="GR14" i="11"/>
  <c r="DX42" i="42"/>
  <c r="EC40" i="42"/>
  <c r="EC42" i="42"/>
  <c r="EH40" i="42"/>
  <c r="CO36" i="30"/>
  <c r="CJ37" i="30"/>
  <c r="CJ30" i="30"/>
  <c r="EC351" i="14"/>
  <c r="DS347" i="14"/>
  <c r="DS39" i="42" s="1"/>
  <c r="GS14" i="11" l="1"/>
  <c r="GS5" i="11"/>
  <c r="GT11" i="11"/>
  <c r="DS42" i="42"/>
  <c r="DX40" i="42"/>
  <c r="CJ36" i="30"/>
  <c r="DX351" i="14"/>
  <c r="DN347" i="14"/>
  <c r="DN39" i="42" s="1"/>
  <c r="GT14" i="11" l="1"/>
  <c r="GP4" i="11"/>
  <c r="GS4" i="11"/>
  <c r="GR4" i="11"/>
  <c r="GQ4" i="11"/>
  <c r="GT4" i="11"/>
  <c r="GT5" i="11"/>
  <c r="GP3" i="11"/>
  <c r="DN42" i="42"/>
  <c r="DS40" i="42"/>
  <c r="DI347" i="14"/>
  <c r="DI39" i="42" s="1"/>
  <c r="DN40" i="42" s="1"/>
  <c r="DS351" i="14"/>
  <c r="GP15" i="11" l="1"/>
  <c r="GT15" i="11"/>
  <c r="GS15" i="11"/>
  <c r="GR15" i="11"/>
  <c r="GQ15" i="11"/>
  <c r="DN351" i="14"/>
  <c r="DD347" i="14"/>
  <c r="DD39" i="42" s="1"/>
  <c r="DI40" i="42" l="1"/>
  <c r="CY347" i="14"/>
  <c r="DI351" i="14"/>
  <c r="DD351" i="14" l="1"/>
  <c r="CY39" i="42"/>
  <c r="CT347" i="14"/>
  <c r="CT39" i="42" s="1"/>
  <c r="CT40" i="42" l="1"/>
  <c r="CT41" i="42"/>
  <c r="CY40" i="42"/>
  <c r="DD40" i="42"/>
  <c r="CY351" i="14"/>
  <c r="EL58" i="14" l="1"/>
  <c r="EC58" i="14"/>
  <c r="EM58" i="14"/>
  <c r="DO61" i="15"/>
  <c r="DR58" i="15"/>
  <c r="DN61" i="15"/>
  <c r="DR56" i="3" l="1"/>
  <c r="DR57" i="3" s="1"/>
  <c r="EM63" i="14"/>
  <c r="EM51" i="3"/>
  <c r="EC63" i="14"/>
  <c r="EC51" i="3"/>
  <c r="EL63" i="14"/>
  <c r="EL51" i="3"/>
  <c r="DR63" i="15"/>
  <c r="DR62" i="15"/>
  <c r="DW62" i="15"/>
  <c r="DR59" i="15"/>
  <c r="DW59" i="15"/>
  <c r="EC61" i="14"/>
  <c r="EG58" i="14"/>
  <c r="EG51" i="3" s="1"/>
  <c r="DX58" i="14"/>
  <c r="EH62" i="14"/>
  <c r="ED61" i="14"/>
  <c r="EQ58" i="14"/>
  <c r="EQ51" i="3" s="1"/>
  <c r="EM61" i="14"/>
  <c r="EN61" i="14"/>
  <c r="DW57" i="3" l="1"/>
  <c r="DR64" i="15"/>
  <c r="DW64" i="15"/>
  <c r="EM54" i="3"/>
  <c r="EM64" i="14"/>
  <c r="EC54" i="3"/>
  <c r="EH64" i="14"/>
  <c r="EL54" i="3"/>
  <c r="DR59" i="3"/>
  <c r="EL52" i="3"/>
  <c r="EQ52" i="3"/>
  <c r="EC53" i="3"/>
  <c r="EH52" i="3"/>
  <c r="ED53" i="3"/>
  <c r="DX63" i="14"/>
  <c r="EC64" i="14" s="1"/>
  <c r="DX51" i="3"/>
  <c r="EC52" i="3" s="1"/>
  <c r="EM53" i="3"/>
  <c r="EM52" i="3"/>
  <c r="EN53" i="3"/>
  <c r="EQ59" i="14"/>
  <c r="EQ63" i="14"/>
  <c r="EG63" i="14"/>
  <c r="EL64" i="14" s="1"/>
  <c r="EB58" i="14"/>
  <c r="EB51" i="3" s="1"/>
  <c r="EG52" i="3" s="1"/>
  <c r="DX61" i="14"/>
  <c r="DS58" i="14"/>
  <c r="DY61" i="14"/>
  <c r="EC62" i="14"/>
  <c r="EQ54" i="3" l="1"/>
  <c r="EQ64" i="14"/>
  <c r="DX54" i="3"/>
  <c r="EG54" i="3"/>
  <c r="DS63" i="14"/>
  <c r="DX64" i="14" s="1"/>
  <c r="DS51" i="3"/>
  <c r="DX52" i="3" s="1"/>
  <c r="DX53" i="3"/>
  <c r="DY53" i="3"/>
  <c r="EG59" i="14"/>
  <c r="EB63" i="14"/>
  <c r="EG62" i="14"/>
  <c r="DW58" i="14"/>
  <c r="DW51" i="3" s="1"/>
  <c r="EB52" i="3" s="1"/>
  <c r="DN58" i="14"/>
  <c r="DN51" i="3" s="1"/>
  <c r="DS61" i="14"/>
  <c r="DT61" i="14"/>
  <c r="DX62" i="14"/>
  <c r="DS54" i="3" l="1"/>
  <c r="EB54" i="3"/>
  <c r="EG64" i="14"/>
  <c r="DN53" i="3"/>
  <c r="DO53" i="3"/>
  <c r="DS53" i="3"/>
  <c r="DS52" i="3"/>
  <c r="DT53" i="3"/>
  <c r="EB62" i="14"/>
  <c r="DW63" i="14"/>
  <c r="EB64" i="14" s="1"/>
  <c r="DS62" i="14"/>
  <c r="DN63" i="14"/>
  <c r="DS64" i="14" s="1"/>
  <c r="EB59" i="14"/>
  <c r="DN61" i="14"/>
  <c r="DI58" i="14"/>
  <c r="DI51" i="3" s="1"/>
  <c r="DN52" i="3" s="1"/>
  <c r="DR58" i="14"/>
  <c r="DR51" i="3" s="1"/>
  <c r="DO61" i="14"/>
  <c r="DN54" i="3" l="1"/>
  <c r="DW54" i="3"/>
  <c r="DI53" i="3"/>
  <c r="DJ53" i="3"/>
  <c r="DW52" i="3"/>
  <c r="DW59" i="14"/>
  <c r="DR63" i="14"/>
  <c r="DW64" i="14" s="1"/>
  <c r="DN62" i="14"/>
  <c r="DI63" i="14"/>
  <c r="DM58" i="14"/>
  <c r="DI61" i="14"/>
  <c r="DD58" i="14"/>
  <c r="DD51" i="3" s="1"/>
  <c r="DJ61" i="14"/>
  <c r="DW62" i="14"/>
  <c r="DI54" i="3" l="1"/>
  <c r="DN64" i="14"/>
  <c r="DR54" i="3"/>
  <c r="DE53" i="3"/>
  <c r="DD53" i="3"/>
  <c r="DM63" i="14"/>
  <c r="DR64" i="14" s="1"/>
  <c r="DM51" i="3"/>
  <c r="DI52" i="3"/>
  <c r="DI62" i="14"/>
  <c r="DD63" i="14"/>
  <c r="DD54" i="3" s="1"/>
  <c r="DH58" i="14"/>
  <c r="DH51" i="3" s="1"/>
  <c r="CY58" i="14"/>
  <c r="DD61" i="14"/>
  <c r="DE61" i="14"/>
  <c r="DR59" i="14"/>
  <c r="DR62" i="14"/>
  <c r="DI64" i="14" l="1"/>
  <c r="DM54" i="3"/>
  <c r="DM52" i="3"/>
  <c r="DR52" i="3"/>
  <c r="CY63" i="14"/>
  <c r="CY54" i="3" s="1"/>
  <c r="CY51" i="3"/>
  <c r="CY61" i="14"/>
  <c r="DM62" i="14"/>
  <c r="DH63" i="14"/>
  <c r="DM59" i="14"/>
  <c r="DC58" i="14"/>
  <c r="CZ61" i="14"/>
  <c r="DD62" i="14"/>
  <c r="DH54" i="3" l="1"/>
  <c r="DM64" i="14"/>
  <c r="DD52" i="3"/>
  <c r="CY53" i="3"/>
  <c r="CY52" i="3"/>
  <c r="CZ53" i="3"/>
  <c r="DH62" i="14"/>
  <c r="DC51" i="3"/>
  <c r="DC59" i="14"/>
  <c r="DC63" i="14"/>
  <c r="DC54" i="3" s="1"/>
  <c r="DH59" i="14"/>
  <c r="ER58" i="14"/>
  <c r="EJ347" i="14"/>
  <c r="EJ39" i="42" s="1"/>
  <c r="EJ42" i="42" l="1"/>
  <c r="EO40" i="42"/>
  <c r="DH64" i="14"/>
  <c r="DC52" i="3"/>
  <c r="DH52" i="3"/>
  <c r="ES61" i="14"/>
  <c r="ER61" i="14"/>
  <c r="ER63" i="14"/>
  <c r="EO351" i="14"/>
  <c r="EE347" i="14"/>
  <c r="EE39" i="42" s="1"/>
  <c r="EJ40" i="42" s="1"/>
  <c r="EE42" i="42" l="1"/>
  <c r="ER64" i="14"/>
  <c r="ER52" i="3"/>
  <c r="ER53" i="3"/>
  <c r="ES53" i="3"/>
  <c r="DZ347" i="14"/>
  <c r="DZ39" i="42" s="1"/>
  <c r="EJ351" i="14"/>
  <c r="DZ42" i="42" l="1"/>
  <c r="EE40" i="42"/>
  <c r="EE351" i="14"/>
  <c r="DU347" i="14"/>
  <c r="DU39" i="42" s="1"/>
  <c r="DU42" i="42" l="1"/>
  <c r="DZ40" i="42"/>
  <c r="DZ351" i="14"/>
  <c r="DP347" i="14"/>
  <c r="DP39" i="42" s="1"/>
  <c r="DP42" i="42" l="1"/>
  <c r="DU40" i="42"/>
  <c r="DU351" i="14"/>
  <c r="DK347" i="14"/>
  <c r="DK39" i="42" s="1"/>
  <c r="DP40" i="42" s="1"/>
  <c r="DK42" i="42" l="1"/>
  <c r="DF347" i="14"/>
  <c r="DF39" i="42" s="1"/>
  <c r="DK40" i="42" s="1"/>
  <c r="DP351" i="14"/>
  <c r="DA347" i="14" l="1"/>
  <c r="DK351" i="14"/>
  <c r="DF351" i="14" l="1"/>
  <c r="DA39" i="42"/>
  <c r="CV347" i="14"/>
  <c r="CV39" i="42" s="1"/>
  <c r="CV40" i="42" l="1"/>
  <c r="DA40" i="42"/>
  <c r="DF40" i="42"/>
  <c r="DA351" i="14"/>
  <c r="ES352" i="14" l="1"/>
  <c r="EO350" i="14"/>
  <c r="ES350" i="14"/>
  <c r="EO352" i="14"/>
  <c r="EI347" i="14"/>
  <c r="EI39" i="42" s="1"/>
  <c r="EN350" i="14"/>
  <c r="EN352" i="14"/>
  <c r="EP39" i="42" l="1"/>
  <c r="EU351" i="14"/>
  <c r="EN40" i="42"/>
  <c r="EI42" i="42"/>
  <c r="EI41" i="42"/>
  <c r="EJ41" i="42"/>
  <c r="EN351" i="14"/>
  <c r="ES351" i="14"/>
  <c r="ER350" i="14"/>
  <c r="EP350" i="14"/>
  <c r="EP352" i="14"/>
  <c r="ER352" i="14"/>
  <c r="EK39" i="42"/>
  <c r="EP40" i="42" s="1"/>
  <c r="EJ352" i="14"/>
  <c r="EI350" i="14"/>
  <c r="EI352" i="14"/>
  <c r="ED347" i="14"/>
  <c r="ED39" i="42" s="1"/>
  <c r="EJ350" i="14"/>
  <c r="EP42" i="42" l="1"/>
  <c r="ER41" i="42"/>
  <c r="EU40" i="42"/>
  <c r="EP41" i="42"/>
  <c r="EK41" i="42"/>
  <c r="EK42" i="42"/>
  <c r="EM41" i="42"/>
  <c r="ED41" i="42"/>
  <c r="ED42" i="42"/>
  <c r="EE41" i="42"/>
  <c r="EI40" i="42"/>
  <c r="EI351" i="14"/>
  <c r="EP351" i="14"/>
  <c r="ED352" i="14"/>
  <c r="EF39" i="42"/>
  <c r="ED350" i="14"/>
  <c r="EE352" i="14"/>
  <c r="DY347" i="14"/>
  <c r="DY39" i="42" s="1"/>
  <c r="EE350" i="14"/>
  <c r="EK350" i="14"/>
  <c r="EM352" i="14"/>
  <c r="EM350" i="14"/>
  <c r="EK352" i="14"/>
  <c r="DY42" i="42" l="1"/>
  <c r="DY41" i="42"/>
  <c r="DZ41" i="42"/>
  <c r="EF41" i="42"/>
  <c r="EF42" i="42"/>
  <c r="EH41" i="42"/>
  <c r="ED40" i="42"/>
  <c r="EK40" i="42"/>
  <c r="ED351" i="14"/>
  <c r="EK351" i="14"/>
  <c r="DY352" i="14"/>
  <c r="DZ350" i="14"/>
  <c r="DT347" i="14"/>
  <c r="DT39" i="42" s="1"/>
  <c r="DZ352" i="14"/>
  <c r="DY350" i="14"/>
  <c r="EH350" i="14"/>
  <c r="EH352" i="14"/>
  <c r="EA347" i="14"/>
  <c r="EA39" i="42" s="1"/>
  <c r="EF350" i="14"/>
  <c r="EF352" i="14"/>
  <c r="DT41" i="42" l="1"/>
  <c r="DT42" i="42"/>
  <c r="DU41" i="42"/>
  <c r="EA42" i="42"/>
  <c r="EA41" i="42"/>
  <c r="EC41" i="42"/>
  <c r="EF40" i="42"/>
  <c r="DY40" i="42"/>
  <c r="EF351" i="14"/>
  <c r="DY351" i="14"/>
  <c r="EB347" i="14"/>
  <c r="EC350" i="14"/>
  <c r="EC352" i="14"/>
  <c r="EA350" i="14"/>
  <c r="EA352" i="14"/>
  <c r="DV347" i="14"/>
  <c r="DV39" i="42" s="1"/>
  <c r="DO347" i="14"/>
  <c r="DO39" i="42" s="1"/>
  <c r="DU350" i="14"/>
  <c r="DT350" i="14"/>
  <c r="DT352" i="14"/>
  <c r="DU352" i="14"/>
  <c r="DO41" i="42" l="1"/>
  <c r="DO42" i="42"/>
  <c r="DP41" i="42"/>
  <c r="DV41" i="42"/>
  <c r="DV42" i="42"/>
  <c r="DX41" i="42"/>
  <c r="EG351" i="14"/>
  <c r="EB39" i="42"/>
  <c r="EA40" i="42"/>
  <c r="DT40" i="42"/>
  <c r="DT351" i="14"/>
  <c r="EA351" i="14"/>
  <c r="EG348" i="14"/>
  <c r="DW347" i="14"/>
  <c r="DP352" i="14"/>
  <c r="DO350" i="14"/>
  <c r="DP350" i="14"/>
  <c r="DO352" i="14"/>
  <c r="DJ347" i="14"/>
  <c r="DJ39" i="42" s="1"/>
  <c r="DO40" i="42" s="1"/>
  <c r="DX350" i="14"/>
  <c r="DX352" i="14"/>
  <c r="DV352" i="14"/>
  <c r="DQ347" i="14"/>
  <c r="DQ39" i="42" s="1"/>
  <c r="DV350" i="14"/>
  <c r="DQ41" i="42" l="1"/>
  <c r="DQ42" i="42"/>
  <c r="DS41" i="42"/>
  <c r="DV40" i="42"/>
  <c r="DJ41" i="42"/>
  <c r="DJ42" i="42"/>
  <c r="DK41" i="42"/>
  <c r="DW39" i="42"/>
  <c r="EB40" i="42" s="1"/>
  <c r="EB42" i="42"/>
  <c r="EG40" i="42"/>
  <c r="DR347" i="14"/>
  <c r="DO351" i="14"/>
  <c r="DV351" i="14"/>
  <c r="EB351" i="14"/>
  <c r="EB348" i="14"/>
  <c r="DS352" i="14"/>
  <c r="DL347" i="14"/>
  <c r="DL39" i="42" s="1"/>
  <c r="DQ350" i="14"/>
  <c r="DS350" i="14"/>
  <c r="DQ352" i="14"/>
  <c r="DK350" i="14"/>
  <c r="DK352" i="14"/>
  <c r="DJ352" i="14"/>
  <c r="DJ350" i="14"/>
  <c r="DE347" i="14"/>
  <c r="DJ351" i="14" l="1"/>
  <c r="DE39" i="42"/>
  <c r="DW42" i="42"/>
  <c r="DL42" i="42"/>
  <c r="DL41" i="42"/>
  <c r="DN41" i="42"/>
  <c r="DW348" i="14"/>
  <c r="DR39" i="42"/>
  <c r="DW40" i="42" s="1"/>
  <c r="DQ40" i="42"/>
  <c r="DW351" i="14"/>
  <c r="DQ351" i="14"/>
  <c r="DM347" i="14"/>
  <c r="DF350" i="14"/>
  <c r="CZ347" i="14"/>
  <c r="DF352" i="14"/>
  <c r="DE350" i="14"/>
  <c r="DE352" i="14"/>
  <c r="DG347" i="14"/>
  <c r="DG39" i="42" s="1"/>
  <c r="DN350" i="14"/>
  <c r="DL352" i="14"/>
  <c r="DL350" i="14"/>
  <c r="DN352" i="14"/>
  <c r="DG41" i="42" l="1"/>
  <c r="DI41" i="42"/>
  <c r="DM39" i="42"/>
  <c r="DE41" i="42"/>
  <c r="DF41" i="42"/>
  <c r="DJ40" i="42"/>
  <c r="DL40" i="42"/>
  <c r="DE351" i="14"/>
  <c r="CZ39" i="42"/>
  <c r="DR42" i="42"/>
  <c r="DL351" i="14"/>
  <c r="DR348" i="14"/>
  <c r="DR351" i="14"/>
  <c r="DH347" i="14"/>
  <c r="DI352" i="14"/>
  <c r="DI350" i="14"/>
  <c r="DB347" i="14"/>
  <c r="DG350" i="14"/>
  <c r="DG352" i="14"/>
  <c r="CZ352" i="14"/>
  <c r="DA352" i="14"/>
  <c r="CZ350" i="14"/>
  <c r="CU347" i="14"/>
  <c r="DA350" i="14"/>
  <c r="DM42" i="42" l="1"/>
  <c r="DM351" i="14"/>
  <c r="DH39" i="42"/>
  <c r="CZ351" i="14"/>
  <c r="CU39" i="42"/>
  <c r="CZ41" i="42"/>
  <c r="DA41" i="42"/>
  <c r="DE40" i="42"/>
  <c r="DC347" i="14"/>
  <c r="DC39" i="42" s="1"/>
  <c r="DB39" i="42"/>
  <c r="DR40" i="42"/>
  <c r="DM348" i="14"/>
  <c r="DG351" i="14"/>
  <c r="CV350" i="14"/>
  <c r="CU350" i="14"/>
  <c r="CV352" i="14"/>
  <c r="CU352" i="14"/>
  <c r="DD352" i="14"/>
  <c r="DD350" i="14"/>
  <c r="DB350" i="14"/>
  <c r="DB352" i="14"/>
  <c r="CW347" i="14"/>
  <c r="CU40" i="42" l="1"/>
  <c r="CU41" i="42"/>
  <c r="CV41" i="42"/>
  <c r="DH40" i="42"/>
  <c r="DH351" i="14"/>
  <c r="DB41" i="42"/>
  <c r="DD41" i="42"/>
  <c r="DG40" i="42"/>
  <c r="CX347" i="14"/>
  <c r="DC351" i="14" s="1"/>
  <c r="CW39" i="42"/>
  <c r="DB40" i="42" s="1"/>
  <c r="DH348" i="14"/>
  <c r="CZ40" i="42"/>
  <c r="DM40" i="42"/>
  <c r="CY350" i="14"/>
  <c r="CY352" i="14"/>
  <c r="CW350" i="14"/>
  <c r="CW352" i="14"/>
  <c r="DB351" i="14"/>
  <c r="DC348" i="14" l="1"/>
  <c r="CX39" i="42"/>
  <c r="CW40" i="42"/>
  <c r="CW41" i="42"/>
  <c r="CY41" i="42"/>
  <c r="CX40" i="42" l="1"/>
  <c r="DC40" i="42"/>
  <c r="FA34" i="2" l="1"/>
  <c r="EV27" i="6"/>
  <c r="EV34" i="2" l="1"/>
  <c r="EV39" i="7"/>
  <c r="FM109" i="5" l="1"/>
  <c r="FN109" i="5" s="1"/>
  <c r="FR109" i="5"/>
  <c r="FS109" i="5" l="1"/>
  <c r="FT109" i="5" s="1"/>
  <c r="FO109" i="5"/>
  <c r="EQ112" i="17" l="1"/>
  <c r="EL112" i="17"/>
  <c r="EQ110" i="17" l="1"/>
  <c r="EL110" i="17"/>
  <c r="EI164" i="14"/>
  <c r="EH164" i="14" l="1"/>
  <c r="EJ164" i="14"/>
  <c r="DF99" i="15"/>
  <c r="DF183" i="15" s="1"/>
  <c r="DF104" i="15" l="1"/>
  <c r="DK103" i="15"/>
  <c r="DG104" i="15"/>
  <c r="DF105" i="15"/>
  <c r="DG102" i="15"/>
  <c r="DA99" i="15"/>
  <c r="DF209" i="15"/>
  <c r="DF54" i="42" s="1"/>
  <c r="DF57" i="42" s="1"/>
  <c r="DF102" i="15"/>
  <c r="DA105" i="15" l="1"/>
  <c r="DA104" i="15"/>
  <c r="DB104" i="15"/>
  <c r="DF103" i="15"/>
  <c r="DF55" i="42"/>
  <c r="DF56" i="42"/>
  <c r="DK55" i="42"/>
  <c r="DG56" i="42"/>
  <c r="DK213" i="15"/>
  <c r="DH209" i="15"/>
  <c r="DH54" i="42" s="1"/>
  <c r="DH57" i="42" s="1"/>
  <c r="DF212" i="15"/>
  <c r="DF214" i="15"/>
  <c r="DG212" i="15"/>
  <c r="DG214" i="15"/>
  <c r="CV99" i="15"/>
  <c r="DA103" i="15" s="1"/>
  <c r="DB102" i="15"/>
  <c r="DC99" i="15"/>
  <c r="DA102" i="15"/>
  <c r="DM100" i="15"/>
  <c r="DH103" i="15" l="1"/>
  <c r="CV104" i="15"/>
  <c r="CW104" i="15"/>
  <c r="DH100" i="15"/>
  <c r="DC105" i="15"/>
  <c r="DH55" i="42"/>
  <c r="DM55" i="42"/>
  <c r="DM213" i="15"/>
  <c r="DM210" i="15"/>
  <c r="DR217" i="15" s="1"/>
  <c r="DH213" i="15"/>
  <c r="CW102" i="15"/>
  <c r="CV102" i="15"/>
  <c r="CX99" i="15"/>
  <c r="DC103" i="15" s="1"/>
  <c r="DG224" i="15"/>
  <c r="DG59" i="42" s="1"/>
  <c r="DG61" i="42" l="1"/>
  <c r="DI61" i="42"/>
  <c r="DG62" i="42"/>
  <c r="DL60" i="42"/>
  <c r="DC100" i="15"/>
  <c r="DI227" i="15"/>
  <c r="DG229" i="15"/>
  <c r="DL228" i="15"/>
  <c r="DB224" i="15"/>
  <c r="DM228" i="15"/>
  <c r="DG227" i="15"/>
  <c r="DI229" i="15"/>
  <c r="DM225" i="15"/>
  <c r="DC224" i="15" l="1"/>
  <c r="DH228" i="15" s="1"/>
  <c r="DB59" i="42"/>
  <c r="DD227" i="15"/>
  <c r="DB229" i="15"/>
  <c r="DD229" i="15"/>
  <c r="DB227" i="15"/>
  <c r="DG228" i="15"/>
  <c r="CW224" i="15"/>
  <c r="DB228" i="15" l="1"/>
  <c r="CW59" i="42"/>
  <c r="DB60" i="42" s="1"/>
  <c r="DB61" i="42"/>
  <c r="DD61" i="42"/>
  <c r="DG60" i="42"/>
  <c r="DH225" i="15"/>
  <c r="DC59" i="42"/>
  <c r="CX224" i="15"/>
  <c r="CW229" i="15"/>
  <c r="CY227" i="15"/>
  <c r="CW227" i="15"/>
  <c r="CY229" i="15"/>
  <c r="DH60" i="42" l="1"/>
  <c r="DC225" i="15"/>
  <c r="CX59" i="42"/>
  <c r="CX60" i="42" s="1"/>
  <c r="CW60" i="42"/>
  <c r="CW61" i="42"/>
  <c r="CY61" i="42"/>
  <c r="DC228" i="15"/>
  <c r="EH355" i="14"/>
  <c r="EM361" i="14" s="1"/>
  <c r="EM365" i="14"/>
  <c r="EM120" i="18"/>
  <c r="DC60" i="42" l="1"/>
  <c r="EM370" i="14"/>
  <c r="ER359" i="14"/>
  <c r="ER361" i="14"/>
  <c r="ER362" i="14" s="1"/>
  <c r="ER365" i="14"/>
  <c r="ER120" i="18"/>
  <c r="EM126" i="18"/>
  <c r="EH365" i="14"/>
  <c r="EM368" i="14" s="1"/>
  <c r="EC355" i="14"/>
  <c r="EH361" i="14" s="1"/>
  <c r="EH120" i="18"/>
  <c r="EH359" i="14"/>
  <c r="EM362" i="14" l="1"/>
  <c r="ET359" i="14"/>
  <c r="ES359" i="14" s="1"/>
  <c r="ES355" i="14" s="1"/>
  <c r="EX355" i="14" s="1"/>
  <c r="EW368" i="14"/>
  <c r="EW366" i="14"/>
  <c r="EM124" i="18"/>
  <c r="EW120" i="18"/>
  <c r="FB355" i="14"/>
  <c r="EW361" i="14"/>
  <c r="EW362" i="14" s="1"/>
  <c r="DX355" i="14"/>
  <c r="EC120" i="18"/>
  <c r="EC359" i="14"/>
  <c r="EC365" i="14"/>
  <c r="EH366" i="14" s="1"/>
  <c r="ER124" i="18"/>
  <c r="ER121" i="18"/>
  <c r="ER126" i="18"/>
  <c r="EH126" i="18"/>
  <c r="EH370" i="14"/>
  <c r="EM121" i="18"/>
  <c r="ER368" i="14"/>
  <c r="ER370" i="14"/>
  <c r="ER366" i="14"/>
  <c r="EM366" i="14"/>
  <c r="EX120" i="18" l="1"/>
  <c r="EX365" i="14"/>
  <c r="EN355" i="14"/>
  <c r="ES365" i="14"/>
  <c r="ES361" i="14"/>
  <c r="ES120" i="18"/>
  <c r="ES358" i="14"/>
  <c r="ES363" i="14"/>
  <c r="ET355" i="14"/>
  <c r="EU359" i="14"/>
  <c r="EU355" i="14" s="1"/>
  <c r="EZ355" i="14" s="1"/>
  <c r="EW350" i="14"/>
  <c r="EW121" i="18"/>
  <c r="EW124" i="18"/>
  <c r="EC126" i="18"/>
  <c r="DX365" i="14"/>
  <c r="EC366" i="14" s="1"/>
  <c r="DX120" i="18"/>
  <c r="EC124" i="18" s="1"/>
  <c r="DX359" i="14"/>
  <c r="DS355" i="14"/>
  <c r="EC361" i="14"/>
  <c r="FB120" i="18"/>
  <c r="FB361" i="14"/>
  <c r="FB362" i="14" s="1"/>
  <c r="FG355" i="14"/>
  <c r="EH121" i="18"/>
  <c r="EC370" i="14"/>
  <c r="EH368" i="14"/>
  <c r="EH124" i="18"/>
  <c r="EH362" i="14" l="1"/>
  <c r="EZ120" i="18"/>
  <c r="EZ365" i="14"/>
  <c r="EZ361" i="14"/>
  <c r="EO355" i="14"/>
  <c r="EO359" i="14" s="1"/>
  <c r="EY355" i="14"/>
  <c r="FA355" i="14" s="1"/>
  <c r="EX370" i="14"/>
  <c r="EX368" i="14"/>
  <c r="EX369" i="14"/>
  <c r="EX367" i="14"/>
  <c r="EX366" i="14"/>
  <c r="EX123" i="18"/>
  <c r="EX121" i="18"/>
  <c r="EX126" i="18"/>
  <c r="EX125" i="18"/>
  <c r="EX124" i="18"/>
  <c r="ES125" i="18"/>
  <c r="ES123" i="18"/>
  <c r="EP355" i="14"/>
  <c r="EU361" i="14" s="1"/>
  <c r="EU365" i="14"/>
  <c r="EU120" i="18"/>
  <c r="EW363" i="14"/>
  <c r="EW358" i="14"/>
  <c r="ES370" i="14"/>
  <c r="ES369" i="14"/>
  <c r="ES367" i="14"/>
  <c r="EN359" i="14"/>
  <c r="EN365" i="14"/>
  <c r="ES368" i="14" s="1"/>
  <c r="EN120" i="18"/>
  <c r="EI355" i="14"/>
  <c r="EN361" i="14" s="1"/>
  <c r="EN358" i="14"/>
  <c r="EN363" i="14"/>
  <c r="FG366" i="14"/>
  <c r="FC366" i="14"/>
  <c r="FD366" i="14" s="1"/>
  <c r="FE366" i="14" s="1"/>
  <c r="FB365" i="14"/>
  <c r="FB368" i="14" s="1"/>
  <c r="EW351" i="14"/>
  <c r="EW352" i="14"/>
  <c r="EW39" i="42"/>
  <c r="EW40" i="42" s="1"/>
  <c r="EC368" i="14"/>
  <c r="DS365" i="14"/>
  <c r="DX366" i="14" s="1"/>
  <c r="DS359" i="14"/>
  <c r="DS120" i="18"/>
  <c r="DX121" i="18" s="1"/>
  <c r="DN355" i="14"/>
  <c r="DX126" i="18"/>
  <c r="FB121" i="18"/>
  <c r="FB124" i="18"/>
  <c r="DX361" i="14"/>
  <c r="EC362" i="14" s="1"/>
  <c r="DX370" i="14"/>
  <c r="FL355" i="14"/>
  <c r="FG361" i="14"/>
  <c r="FG362" i="14" s="1"/>
  <c r="FG120" i="18"/>
  <c r="EC121" i="18"/>
  <c r="EZ362" i="14" l="1"/>
  <c r="ES362" i="14"/>
  <c r="EZ358" i="14"/>
  <c r="EZ363" i="14"/>
  <c r="FA120" i="18"/>
  <c r="FA359" i="14"/>
  <c r="EZ126" i="18"/>
  <c r="EZ121" i="18"/>
  <c r="EZ124" i="18"/>
  <c r="EZ370" i="14"/>
  <c r="EZ366" i="14"/>
  <c r="EZ368" i="14"/>
  <c r="EY365" i="14"/>
  <c r="FA365" i="14" s="1"/>
  <c r="EY359" i="14"/>
  <c r="EY358" i="14"/>
  <c r="EY363" i="14"/>
  <c r="EY361" i="14"/>
  <c r="ES366" i="14"/>
  <c r="EN126" i="18"/>
  <c r="EN123" i="18"/>
  <c r="EN125" i="18"/>
  <c r="ES124" i="18"/>
  <c r="EN370" i="14"/>
  <c r="EN369" i="14"/>
  <c r="EN367" i="14"/>
  <c r="EW369" i="14"/>
  <c r="EU370" i="14"/>
  <c r="EW367" i="14"/>
  <c r="EK355" i="14"/>
  <c r="EP361" i="14" s="1"/>
  <c r="EP365" i="14"/>
  <c r="EU368" i="14" s="1"/>
  <c r="EP120" i="18"/>
  <c r="EU124" i="18" s="1"/>
  <c r="EP359" i="14"/>
  <c r="ER363" i="14"/>
  <c r="ER358" i="14"/>
  <c r="EI365" i="14"/>
  <c r="EN368" i="14" s="1"/>
  <c r="ED355" i="14"/>
  <c r="EI361" i="14" s="1"/>
  <c r="EI120" i="18"/>
  <c r="EN121" i="18" s="1"/>
  <c r="EI359" i="14"/>
  <c r="EI363" i="14"/>
  <c r="EI358" i="14"/>
  <c r="EU126" i="18"/>
  <c r="EW123" i="18"/>
  <c r="EW125" i="18"/>
  <c r="ES121" i="18"/>
  <c r="FG365" i="14"/>
  <c r="FG368" i="14" s="1"/>
  <c r="FB347" i="14"/>
  <c r="FB39" i="42" s="1"/>
  <c r="FB40" i="42" s="1"/>
  <c r="FL366" i="14"/>
  <c r="FH366" i="14"/>
  <c r="FI366" i="14" s="1"/>
  <c r="FJ366" i="14" s="1"/>
  <c r="FC365" i="14"/>
  <c r="EW41" i="42"/>
  <c r="DX124" i="18"/>
  <c r="DX368" i="14"/>
  <c r="DS370" i="14"/>
  <c r="DS126" i="18"/>
  <c r="FG121" i="18"/>
  <c r="FG124" i="18"/>
  <c r="FQ120" i="18"/>
  <c r="FL120" i="18"/>
  <c r="FQ355" i="14"/>
  <c r="FL361" i="14"/>
  <c r="FL362" i="14" s="1"/>
  <c r="DI355" i="14"/>
  <c r="DN361" i="14" s="1"/>
  <c r="DN359" i="14"/>
  <c r="DN365" i="14"/>
  <c r="DS368" i="14" s="1"/>
  <c r="DN120" i="18"/>
  <c r="DS124" i="18" s="1"/>
  <c r="DS361" i="14"/>
  <c r="DS362" i="14" l="1"/>
  <c r="DX362" i="14"/>
  <c r="EN362" i="14"/>
  <c r="EU362" i="14"/>
  <c r="EZ367" i="14"/>
  <c r="FA370" i="14"/>
  <c r="FA126" i="18"/>
  <c r="EZ369" i="14"/>
  <c r="EY370" i="14"/>
  <c r="EY369" i="14"/>
  <c r="EY367" i="14"/>
  <c r="EX39" i="42"/>
  <c r="EY41" i="42" s="1"/>
  <c r="EU121" i="18"/>
  <c r="ED365" i="14"/>
  <c r="EI366" i="14" s="1"/>
  <c r="ED359" i="14"/>
  <c r="DY355" i="14"/>
  <c r="ED120" i="18"/>
  <c r="EI121" i="18" s="1"/>
  <c r="ED358" i="14"/>
  <c r="ED363" i="14"/>
  <c r="EI370" i="14"/>
  <c r="EI369" i="14"/>
  <c r="EI367" i="14"/>
  <c r="EP370" i="14"/>
  <c r="ER369" i="14"/>
  <c r="ER367" i="14"/>
  <c r="EN366" i="14"/>
  <c r="EI126" i="18"/>
  <c r="EI123" i="18"/>
  <c r="EI125" i="18"/>
  <c r="EP126" i="18"/>
  <c r="ER125" i="18"/>
  <c r="ER123" i="18"/>
  <c r="EN124" i="18"/>
  <c r="EF355" i="14"/>
  <c r="EK361" i="14" s="1"/>
  <c r="EK359" i="14"/>
  <c r="EK120" i="18"/>
  <c r="EP124" i="18" s="1"/>
  <c r="EK365" i="14"/>
  <c r="EP366" i="14" s="1"/>
  <c r="EM358" i="14"/>
  <c r="EM363" i="14"/>
  <c r="EU366" i="14"/>
  <c r="FH365" i="14"/>
  <c r="FC368" i="14"/>
  <c r="FC367" i="14"/>
  <c r="FC369" i="14"/>
  <c r="FM366" i="14"/>
  <c r="FN366" i="14" s="1"/>
  <c r="FO366" i="14" s="1"/>
  <c r="FQ366" i="14"/>
  <c r="FL365" i="14"/>
  <c r="FL368" i="14" s="1"/>
  <c r="FG347" i="14"/>
  <c r="FG39" i="42" s="1"/>
  <c r="FG40" i="42" s="1"/>
  <c r="DS121" i="18"/>
  <c r="DN370" i="14"/>
  <c r="FQ121" i="18"/>
  <c r="FQ124" i="18"/>
  <c r="DS366" i="14"/>
  <c r="DI359" i="14"/>
  <c r="DI120" i="18"/>
  <c r="DN121" i="18" s="1"/>
  <c r="DI365" i="14"/>
  <c r="DN368" i="14" s="1"/>
  <c r="FV120" i="18"/>
  <c r="FV355" i="14"/>
  <c r="FQ361" i="14"/>
  <c r="FQ362" i="14" s="1"/>
  <c r="FL121" i="18"/>
  <c r="FL124" i="18"/>
  <c r="DN126" i="18"/>
  <c r="EP362" i="14" l="1"/>
  <c r="EX40" i="42"/>
  <c r="EX41" i="42"/>
  <c r="EP368" i="14"/>
  <c r="EI124" i="18"/>
  <c r="DY365" i="14"/>
  <c r="ED366" i="14" s="1"/>
  <c r="DY359" i="14"/>
  <c r="DT355" i="14"/>
  <c r="DY361" i="14" s="1"/>
  <c r="DY120" i="18"/>
  <c r="ED124" i="18" s="1"/>
  <c r="DY358" i="14"/>
  <c r="DY363" i="14"/>
  <c r="EK126" i="18"/>
  <c r="EM125" i="18"/>
  <c r="EM123" i="18"/>
  <c r="EP121" i="18"/>
  <c r="ED361" i="14"/>
  <c r="EK370" i="14"/>
  <c r="EM369" i="14"/>
  <c r="EM367" i="14"/>
  <c r="ED370" i="14"/>
  <c r="ED369" i="14"/>
  <c r="ED367" i="14"/>
  <c r="EF359" i="14"/>
  <c r="EF120" i="18"/>
  <c r="EK121" i="18" s="1"/>
  <c r="EA355" i="14"/>
  <c r="EF361" i="14" s="1"/>
  <c r="EF365" i="14"/>
  <c r="EK366" i="14" s="1"/>
  <c r="EH363" i="14"/>
  <c r="EH358" i="14"/>
  <c r="EI368" i="14"/>
  <c r="ED126" i="18"/>
  <c r="ED125" i="18"/>
  <c r="ED123" i="18"/>
  <c r="FR366" i="14"/>
  <c r="FS366" i="14" s="1"/>
  <c r="FT366" i="14" s="1"/>
  <c r="FV366" i="14"/>
  <c r="FM365" i="14"/>
  <c r="FH368" i="14"/>
  <c r="FH367" i="14"/>
  <c r="FH369" i="14"/>
  <c r="FQ365" i="14"/>
  <c r="FQ368" i="14" s="1"/>
  <c r="FL347" i="14"/>
  <c r="FL39" i="42" s="1"/>
  <c r="GA355" i="14"/>
  <c r="GA120" i="18"/>
  <c r="DN366" i="14"/>
  <c r="DN124" i="18"/>
  <c r="FV361" i="14"/>
  <c r="FV362" i="14" s="1"/>
  <c r="FV121" i="18"/>
  <c r="FV124" i="18"/>
  <c r="DI370" i="14"/>
  <c r="DI368" i="14"/>
  <c r="DI126" i="18"/>
  <c r="DI124" i="18"/>
  <c r="ED362" i="14" l="1"/>
  <c r="EI362" i="14"/>
  <c r="EK362" i="14"/>
  <c r="GF120" i="18"/>
  <c r="GF355" i="14"/>
  <c r="ED121" i="18"/>
  <c r="EF370" i="14"/>
  <c r="EH369" i="14"/>
  <c r="EH367" i="14"/>
  <c r="EA365" i="14"/>
  <c r="EF366" i="14" s="1"/>
  <c r="EA359" i="14"/>
  <c r="EA120" i="18"/>
  <c r="EF121" i="18" s="1"/>
  <c r="DV355" i="14"/>
  <c r="EA361" i="14" s="1"/>
  <c r="EC363" i="14"/>
  <c r="EC358" i="14"/>
  <c r="DT365" i="14"/>
  <c r="DY368" i="14" s="1"/>
  <c r="DT120" i="18"/>
  <c r="DY121" i="18" s="1"/>
  <c r="DT359" i="14"/>
  <c r="DO355" i="14"/>
  <c r="DT361" i="14" s="1"/>
  <c r="DT358" i="14"/>
  <c r="DT363" i="14"/>
  <c r="EF126" i="18"/>
  <c r="EH125" i="18"/>
  <c r="EH123" i="18"/>
  <c r="EK124" i="18"/>
  <c r="DY126" i="18"/>
  <c r="DY123" i="18"/>
  <c r="DY125" i="18"/>
  <c r="EK368" i="14"/>
  <c r="ED368" i="14"/>
  <c r="DY370" i="14"/>
  <c r="DY367" i="14"/>
  <c r="DY369" i="14"/>
  <c r="FR365" i="14"/>
  <c r="FM368" i="14"/>
  <c r="FM369" i="14"/>
  <c r="FM367" i="14"/>
  <c r="FV365" i="14"/>
  <c r="FQ347" i="14"/>
  <c r="FQ39" i="42" s="1"/>
  <c r="FQ40" i="42" s="1"/>
  <c r="FL40" i="42"/>
  <c r="FW366" i="14"/>
  <c r="FX366" i="14" s="1"/>
  <c r="FY366" i="14" s="1"/>
  <c r="GA366" i="14"/>
  <c r="GA124" i="18"/>
  <c r="GA121" i="18"/>
  <c r="GA361" i="14"/>
  <c r="GA362" i="14" s="1"/>
  <c r="EF362" i="14" l="1"/>
  <c r="DY362" i="14"/>
  <c r="GF361" i="14"/>
  <c r="GF362" i="14" s="1"/>
  <c r="GB366" i="14"/>
  <c r="GC366" i="14" s="1"/>
  <c r="GD366" i="14" s="1"/>
  <c r="GF366" i="14"/>
  <c r="GG366" i="14" s="1"/>
  <c r="GH366" i="14" s="1"/>
  <c r="GI366" i="14" s="1"/>
  <c r="GF124" i="18"/>
  <c r="GF121" i="18"/>
  <c r="DY366" i="14"/>
  <c r="EF368" i="14"/>
  <c r="EF124" i="18"/>
  <c r="DV365" i="14"/>
  <c r="EA368" i="14" s="1"/>
  <c r="DV359" i="14"/>
  <c r="DQ355" i="14"/>
  <c r="DV361" i="14" s="1"/>
  <c r="EA362" i="14" s="1"/>
  <c r="DV120" i="18"/>
  <c r="EA124" i="18" s="1"/>
  <c r="DX358" i="14"/>
  <c r="DX363" i="14"/>
  <c r="DY124" i="18"/>
  <c r="DT126" i="18"/>
  <c r="DT125" i="18"/>
  <c r="DT123" i="18"/>
  <c r="DO365" i="14"/>
  <c r="DT366" i="14" s="1"/>
  <c r="DJ355" i="14"/>
  <c r="DO361" i="14" s="1"/>
  <c r="DT362" i="14" s="1"/>
  <c r="DO359" i="14"/>
  <c r="DO120" i="18"/>
  <c r="DT124" i="18" s="1"/>
  <c r="DO363" i="14"/>
  <c r="DO358" i="14"/>
  <c r="DT370" i="14"/>
  <c r="DT369" i="14"/>
  <c r="DT367" i="14"/>
  <c r="EA370" i="14"/>
  <c r="EC369" i="14"/>
  <c r="EC367" i="14"/>
  <c r="EA126" i="18"/>
  <c r="EC125" i="18"/>
  <c r="EC123" i="18"/>
  <c r="GA365" i="14"/>
  <c r="FV347" i="14"/>
  <c r="FV39" i="42" s="1"/>
  <c r="FV40" i="42" s="1"/>
  <c r="FV368" i="14"/>
  <c r="FW365" i="14"/>
  <c r="FR368" i="14"/>
  <c r="FR367" i="14"/>
  <c r="FR369" i="14"/>
  <c r="GF365" i="14" l="1"/>
  <c r="EA366" i="14"/>
  <c r="EA121" i="18"/>
  <c r="DQ365" i="14"/>
  <c r="DV368" i="14" s="1"/>
  <c r="DQ359" i="14"/>
  <c r="DQ120" i="18"/>
  <c r="DV121" i="18" s="1"/>
  <c r="DL355" i="14"/>
  <c r="DQ361" i="14" s="1"/>
  <c r="DV362" i="14" s="1"/>
  <c r="DS358" i="14"/>
  <c r="DS363" i="14"/>
  <c r="DV126" i="18"/>
  <c r="DX125" i="18"/>
  <c r="DX123" i="18"/>
  <c r="DJ365" i="14"/>
  <c r="DO368" i="14" s="1"/>
  <c r="DJ120" i="18"/>
  <c r="DO121" i="18" s="1"/>
  <c r="DJ359" i="14"/>
  <c r="DJ358" i="14"/>
  <c r="DJ363" i="14"/>
  <c r="DO370" i="14"/>
  <c r="DO367" i="14"/>
  <c r="DO369" i="14"/>
  <c r="DT368" i="14"/>
  <c r="DO126" i="18"/>
  <c r="DO125" i="18"/>
  <c r="DO123" i="18"/>
  <c r="DT121" i="18"/>
  <c r="DV370" i="14"/>
  <c r="DX367" i="14"/>
  <c r="DX369" i="14"/>
  <c r="GB365" i="14"/>
  <c r="GG365" i="14" s="1"/>
  <c r="FW368" i="14"/>
  <c r="FW369" i="14"/>
  <c r="FW367" i="14"/>
  <c r="GA368" i="14"/>
  <c r="GA347" i="14"/>
  <c r="DI87" i="18"/>
  <c r="DI93" i="18" s="1"/>
  <c r="DK87" i="18"/>
  <c r="DK149" i="14"/>
  <c r="DK150" i="14"/>
  <c r="DK147" i="14"/>
  <c r="DJ147" i="14"/>
  <c r="DJ150" i="14"/>
  <c r="DJ149" i="14"/>
  <c r="DJ87" i="18"/>
  <c r="DE87" i="18"/>
  <c r="DI150" i="14"/>
  <c r="GG369" i="14" l="1"/>
  <c r="GG367" i="14"/>
  <c r="GG368" i="14"/>
  <c r="GF368" i="14"/>
  <c r="GF347" i="14"/>
  <c r="GF370" i="14" s="1"/>
  <c r="DO366" i="14"/>
  <c r="DV366" i="14"/>
  <c r="DV124" i="18"/>
  <c r="DQ370" i="14"/>
  <c r="DS369" i="14"/>
  <c r="DS367" i="14"/>
  <c r="DO124" i="18"/>
  <c r="DJ124" i="18"/>
  <c r="DJ126" i="18"/>
  <c r="DJ125" i="18"/>
  <c r="DJ123" i="18"/>
  <c r="DQ126" i="18"/>
  <c r="DS125" i="18"/>
  <c r="DS123" i="18"/>
  <c r="DJ370" i="14"/>
  <c r="DJ368" i="14"/>
  <c r="DJ369" i="14"/>
  <c r="DJ367" i="14"/>
  <c r="DL365" i="14"/>
  <c r="DQ366" i="14" s="1"/>
  <c r="DL359" i="14"/>
  <c r="DL120" i="18"/>
  <c r="DQ121" i="18" s="1"/>
  <c r="DG355" i="14"/>
  <c r="DL361" i="14" s="1"/>
  <c r="DN363" i="14"/>
  <c r="DN358" i="14"/>
  <c r="GA359" i="14"/>
  <c r="GA370" i="14"/>
  <c r="GA39" i="42"/>
  <c r="GA348" i="14"/>
  <c r="GA351" i="14"/>
  <c r="GB368" i="14"/>
  <c r="GB367" i="14"/>
  <c r="GB369" i="14"/>
  <c r="DD87" i="18"/>
  <c r="DE92" i="18" s="1"/>
  <c r="DJ92" i="18"/>
  <c r="DJ90" i="18"/>
  <c r="DJ93" i="18"/>
  <c r="DA87" i="18"/>
  <c r="DA148" i="14"/>
  <c r="DA147" i="14"/>
  <c r="DA149" i="14"/>
  <c r="DJ91" i="18"/>
  <c r="CZ147" i="14"/>
  <c r="DE149" i="14"/>
  <c r="DJ88" i="18"/>
  <c r="DK90" i="18"/>
  <c r="DK93" i="18"/>
  <c r="DK92" i="18"/>
  <c r="CZ87" i="18"/>
  <c r="DE91" i="18" s="1"/>
  <c r="DF147" i="14"/>
  <c r="DF149" i="14"/>
  <c r="DF87" i="18"/>
  <c r="DK91" i="18" s="1"/>
  <c r="DE147" i="14"/>
  <c r="GF359" i="14" l="1"/>
  <c r="GF351" i="14"/>
  <c r="GF39" i="42"/>
  <c r="GF348" i="14"/>
  <c r="DQ368" i="14"/>
  <c r="DQ124" i="18"/>
  <c r="DL126" i="18"/>
  <c r="DN125" i="18"/>
  <c r="DN123" i="18"/>
  <c r="DL370" i="14"/>
  <c r="DN367" i="14"/>
  <c r="DN369" i="14"/>
  <c r="DG365" i="14"/>
  <c r="DL368" i="14" s="1"/>
  <c r="DG120" i="18"/>
  <c r="DL121" i="18" s="1"/>
  <c r="DG359" i="14"/>
  <c r="DI363" i="14"/>
  <c r="DI358" i="14"/>
  <c r="GA40" i="42"/>
  <c r="DI88" i="18"/>
  <c r="DI91" i="18"/>
  <c r="DE90" i="18"/>
  <c r="CU87" i="18"/>
  <c r="CZ91" i="18" s="1"/>
  <c r="CV87" i="18"/>
  <c r="DA91" i="18" s="1"/>
  <c r="CV149" i="14"/>
  <c r="CV147" i="14"/>
  <c r="DF91" i="18"/>
  <c r="DF88" i="18"/>
  <c r="DK88" i="18"/>
  <c r="DF90" i="18"/>
  <c r="DF92" i="18"/>
  <c r="CZ148" i="14"/>
  <c r="DE88" i="18"/>
  <c r="CY87" i="18"/>
  <c r="CZ90" i="18" s="1"/>
  <c r="CZ149" i="14"/>
  <c r="DA92" i="18"/>
  <c r="DA90" i="18"/>
  <c r="GF40" i="42" l="1"/>
  <c r="DL366" i="14"/>
  <c r="DG370" i="14"/>
  <c r="DI369" i="14"/>
  <c r="DI367" i="14"/>
  <c r="DL124" i="18"/>
  <c r="DG126" i="18"/>
  <c r="DG124" i="18"/>
  <c r="DI125" i="18"/>
  <c r="DI123" i="18"/>
  <c r="CZ88" i="18"/>
  <c r="DA88" i="18"/>
  <c r="CT87" i="18"/>
  <c r="CY88" i="18" s="1"/>
  <c r="CU147" i="14"/>
  <c r="CY148" i="14"/>
  <c r="CU149" i="14"/>
  <c r="DD91" i="18"/>
  <c r="DD88" i="18"/>
  <c r="CV92" i="18"/>
  <c r="CV90" i="18"/>
  <c r="CZ92" i="18"/>
  <c r="CU90" i="18" l="1"/>
  <c r="CU92" i="18"/>
  <c r="CY91" i="18"/>
  <c r="DD79" i="18" l="1"/>
  <c r="DD184" i="14"/>
  <c r="DD182" i="14"/>
  <c r="DD80" i="18" l="1"/>
  <c r="DD85" i="18"/>
  <c r="DF79" i="18" l="1"/>
  <c r="DF182" i="14"/>
  <c r="DF184" i="14"/>
  <c r="DF85" i="18" l="1"/>
  <c r="DF80" i="18"/>
  <c r="DB79" i="18"/>
  <c r="DD183" i="14"/>
  <c r="DD181" i="14"/>
  <c r="DN87" i="18"/>
  <c r="DN150" i="14"/>
  <c r="DS150" i="14" l="1"/>
  <c r="DS87" i="18"/>
  <c r="DS148" i="14"/>
  <c r="DB80" i="18"/>
  <c r="DD84" i="18"/>
  <c r="DD82" i="18"/>
  <c r="DN88" i="18"/>
  <c r="DN91" i="18"/>
  <c r="DN93" i="18"/>
  <c r="DB71" i="18"/>
  <c r="DB96" i="14"/>
  <c r="DS91" i="18" l="1"/>
  <c r="DS88" i="18"/>
  <c r="DS93" i="18"/>
  <c r="DX148" i="14"/>
  <c r="DX87" i="18"/>
  <c r="DX150" i="14"/>
  <c r="DE181" i="14"/>
  <c r="DE183" i="14"/>
  <c r="DE79" i="18"/>
  <c r="DE182" i="14"/>
  <c r="DE184" i="14"/>
  <c r="DF183" i="14"/>
  <c r="DF181" i="14"/>
  <c r="DP87" i="18"/>
  <c r="DP150" i="14"/>
  <c r="DB72" i="18"/>
  <c r="DH96" i="14"/>
  <c r="DH101" i="14" s="1"/>
  <c r="DH71" i="18"/>
  <c r="EC150" i="14" l="1"/>
  <c r="EC87" i="18"/>
  <c r="EC148" i="14"/>
  <c r="DH72" i="18"/>
  <c r="DH75" i="18"/>
  <c r="DU87" i="18"/>
  <c r="DU148" i="14"/>
  <c r="DU150" i="14"/>
  <c r="DP93" i="18"/>
  <c r="DP91" i="18"/>
  <c r="DP88" i="18"/>
  <c r="DE80" i="18"/>
  <c r="DE84" i="18"/>
  <c r="DE82" i="18"/>
  <c r="DE85" i="18"/>
  <c r="DF82" i="18"/>
  <c r="DF84" i="18"/>
  <c r="DX88" i="18"/>
  <c r="DX93" i="18"/>
  <c r="DX91" i="18"/>
  <c r="DZ150" i="14" l="1"/>
  <c r="DZ148" i="14"/>
  <c r="DZ87" i="18"/>
  <c r="EH150" i="14"/>
  <c r="EH87" i="18"/>
  <c r="EH148" i="14"/>
  <c r="DU88" i="18"/>
  <c r="DU93" i="18"/>
  <c r="DU91" i="18"/>
  <c r="EC93" i="18"/>
  <c r="EC88" i="18"/>
  <c r="EC91" i="18"/>
  <c r="DO87" i="18" l="1"/>
  <c r="DO150" i="14"/>
  <c r="DO149" i="14"/>
  <c r="DO147" i="14"/>
  <c r="DP147" i="14"/>
  <c r="DP149" i="14"/>
  <c r="EE87" i="18"/>
  <c r="EE148" i="14"/>
  <c r="EE150" i="14"/>
  <c r="EH91" i="18"/>
  <c r="EH88" i="18"/>
  <c r="EH93" i="18"/>
  <c r="EM150" i="14"/>
  <c r="EM87" i="18"/>
  <c r="DZ91" i="18"/>
  <c r="DZ93" i="18"/>
  <c r="DZ88" i="18"/>
  <c r="DT150" i="14" l="1"/>
  <c r="DT147" i="14"/>
  <c r="DT148" i="14"/>
  <c r="DT87" i="18"/>
  <c r="DT149" i="14"/>
  <c r="DU149" i="14"/>
  <c r="DU147" i="14"/>
  <c r="DO91" i="18"/>
  <c r="DO92" i="18"/>
  <c r="DO93" i="18"/>
  <c r="DO88" i="18"/>
  <c r="DO90" i="18"/>
  <c r="DP90" i="18"/>
  <c r="DP92" i="18"/>
  <c r="EJ87" i="18"/>
  <c r="EJ150" i="14"/>
  <c r="EM91" i="18"/>
  <c r="EM93" i="18"/>
  <c r="EM88" i="18"/>
  <c r="EE93" i="18"/>
  <c r="EE91" i="18"/>
  <c r="EE88" i="18"/>
  <c r="ER87" i="18"/>
  <c r="ER150" i="14"/>
  <c r="EJ91" i="18" l="1"/>
  <c r="EJ93" i="18"/>
  <c r="EJ88" i="18"/>
  <c r="DT90" i="18"/>
  <c r="DT91" i="18"/>
  <c r="DT93" i="18"/>
  <c r="DT88" i="18"/>
  <c r="DT92" i="18"/>
  <c r="DU92" i="18"/>
  <c r="DU90" i="18"/>
  <c r="ER88" i="18"/>
  <c r="ER91" i="18"/>
  <c r="ER93" i="18"/>
  <c r="DY150" i="14"/>
  <c r="DY147" i="14"/>
  <c r="DY87" i="18"/>
  <c r="DY148" i="14"/>
  <c r="DY149" i="14"/>
  <c r="DZ149" i="14"/>
  <c r="DZ147" i="14"/>
  <c r="EO87" i="18"/>
  <c r="EO148" i="14"/>
  <c r="EP148" i="14" s="1"/>
  <c r="EK144" i="14" s="1"/>
  <c r="EO150" i="14"/>
  <c r="ET91" i="18" l="1"/>
  <c r="ET88" i="18"/>
  <c r="EF144" i="14"/>
  <c r="EF151" i="14" s="1"/>
  <c r="EK151" i="14"/>
  <c r="EL144" i="14"/>
  <c r="EL151" i="14" s="1"/>
  <c r="EP144" i="14"/>
  <c r="DY92" i="18"/>
  <c r="DY90" i="18"/>
  <c r="DY88" i="18"/>
  <c r="DY91" i="18"/>
  <c r="DY93" i="18"/>
  <c r="DZ90" i="18"/>
  <c r="DZ92" i="18"/>
  <c r="ED147" i="14"/>
  <c r="ED149" i="14"/>
  <c r="ED148" i="14"/>
  <c r="ED87" i="18"/>
  <c r="ED150" i="14"/>
  <c r="EE149" i="14"/>
  <c r="EE147" i="14"/>
  <c r="EO93" i="18"/>
  <c r="EO88" i="18"/>
  <c r="EO91" i="18"/>
  <c r="EA144" i="14" l="1"/>
  <c r="EA147" i="14" s="1"/>
  <c r="EP151" i="14"/>
  <c r="EU144" i="14"/>
  <c r="EG144" i="14"/>
  <c r="EG151" i="14" s="1"/>
  <c r="EC149" i="14"/>
  <c r="DV144" i="14"/>
  <c r="EQ144" i="14"/>
  <c r="EQ151" i="14" s="1"/>
  <c r="EM258" i="14"/>
  <c r="ER260" i="14"/>
  <c r="EM260" i="14"/>
  <c r="EI150" i="14"/>
  <c r="EI147" i="14"/>
  <c r="EI87" i="18"/>
  <c r="EI148" i="14"/>
  <c r="EI149" i="14"/>
  <c r="EJ149" i="14"/>
  <c r="EJ147" i="14"/>
  <c r="EF87" i="18"/>
  <c r="EF149" i="14"/>
  <c r="EF147" i="14"/>
  <c r="EF150" i="14"/>
  <c r="EH147" i="14"/>
  <c r="EH149" i="14"/>
  <c r="ED91" i="18"/>
  <c r="ED92" i="18"/>
  <c r="ED88" i="18"/>
  <c r="ED93" i="18"/>
  <c r="ED90" i="18"/>
  <c r="EE90" i="18"/>
  <c r="EE92" i="18"/>
  <c r="EF148" i="14" l="1"/>
  <c r="EA149" i="14"/>
  <c r="EB144" i="14"/>
  <c r="EG148" i="14" s="1"/>
  <c r="EC147" i="14"/>
  <c r="EA150" i="14"/>
  <c r="EA151" i="14"/>
  <c r="EA87" i="18"/>
  <c r="EA92" i="18" s="1"/>
  <c r="EU87" i="18"/>
  <c r="EU148" i="14"/>
  <c r="EU147" i="14"/>
  <c r="EU150" i="14"/>
  <c r="EU149" i="14"/>
  <c r="EU151" i="14"/>
  <c r="EV144" i="14"/>
  <c r="EG150" i="14"/>
  <c r="EG87" i="18"/>
  <c r="EG93" i="18" s="1"/>
  <c r="DQ144" i="14"/>
  <c r="DV148" i="14" s="1"/>
  <c r="DW144" i="14"/>
  <c r="DW151" i="14" s="1"/>
  <c r="DV147" i="14"/>
  <c r="DV87" i="18"/>
  <c r="DV149" i="14"/>
  <c r="DX149" i="14"/>
  <c r="DX147" i="14"/>
  <c r="DV150" i="14"/>
  <c r="EA148" i="14"/>
  <c r="EQ255" i="14"/>
  <c r="EP258" i="14"/>
  <c r="EP260" i="14"/>
  <c r="ER258" i="14"/>
  <c r="EM305" i="14"/>
  <c r="EN147" i="14"/>
  <c r="EN149" i="14"/>
  <c r="EN87" i="18"/>
  <c r="EN150" i="14"/>
  <c r="EO149" i="14"/>
  <c r="EO147" i="14"/>
  <c r="EI90" i="18"/>
  <c r="EI92" i="18"/>
  <c r="EI91" i="18"/>
  <c r="EI93" i="18"/>
  <c r="EI88" i="18"/>
  <c r="EJ92" i="18"/>
  <c r="EJ90" i="18"/>
  <c r="EF92" i="18"/>
  <c r="EF90" i="18"/>
  <c r="EF93" i="18"/>
  <c r="EH90" i="18"/>
  <c r="EH92" i="18"/>
  <c r="EK149" i="14"/>
  <c r="EK87" i="18"/>
  <c r="EK148" i="14"/>
  <c r="EK147" i="14"/>
  <c r="EK150" i="14"/>
  <c r="EM149" i="14"/>
  <c r="EM147" i="14"/>
  <c r="EB87" i="18" l="1"/>
  <c r="EB93" i="18" s="1"/>
  <c r="EG145" i="14"/>
  <c r="EB150" i="14"/>
  <c r="EB151" i="14"/>
  <c r="EA93" i="18"/>
  <c r="EA90" i="18"/>
  <c r="EC90" i="18"/>
  <c r="EC92" i="18"/>
  <c r="EF88" i="18"/>
  <c r="EF91" i="18"/>
  <c r="EG88" i="18"/>
  <c r="EG91" i="18"/>
  <c r="EV148" i="14"/>
  <c r="EV87" i="18"/>
  <c r="EU92" i="18"/>
  <c r="EU93" i="18"/>
  <c r="EU90" i="18"/>
  <c r="DW87" i="18"/>
  <c r="DW150" i="14"/>
  <c r="EB148" i="14"/>
  <c r="EB145" i="14"/>
  <c r="DL144" i="14"/>
  <c r="DR144" i="14"/>
  <c r="DW145" i="14" s="1"/>
  <c r="DQ150" i="14"/>
  <c r="DQ149" i="14"/>
  <c r="DQ87" i="18"/>
  <c r="DV91" i="18" s="1"/>
  <c r="DS147" i="14"/>
  <c r="DS149" i="14"/>
  <c r="DQ147" i="14"/>
  <c r="DV93" i="18"/>
  <c r="DX92" i="18"/>
  <c r="DV90" i="18"/>
  <c r="DV92" i="18"/>
  <c r="DX90" i="18"/>
  <c r="EA88" i="18"/>
  <c r="EA91" i="18"/>
  <c r="EL150" i="14"/>
  <c r="EL87" i="18"/>
  <c r="EL88" i="18" s="1"/>
  <c r="EK90" i="18"/>
  <c r="EK91" i="18"/>
  <c r="EK92" i="18"/>
  <c r="EK93" i="18"/>
  <c r="EK88" i="18"/>
  <c r="EM90" i="18"/>
  <c r="EM92" i="18"/>
  <c r="EP147" i="14"/>
  <c r="EP149" i="14"/>
  <c r="EP150" i="14"/>
  <c r="EP87" i="18"/>
  <c r="EU88" i="18" s="1"/>
  <c r="ER149" i="14"/>
  <c r="ER147" i="14"/>
  <c r="EN92" i="18"/>
  <c r="EN91" i="18"/>
  <c r="EN90" i="18"/>
  <c r="EN93" i="18"/>
  <c r="EN88" i="18"/>
  <c r="EO92" i="18"/>
  <c r="EO90" i="18"/>
  <c r="ES147" i="14"/>
  <c r="ES149" i="14"/>
  <c r="ES87" i="18"/>
  <c r="EU91" i="18" l="1"/>
  <c r="ET90" i="18"/>
  <c r="ET92" i="18"/>
  <c r="EL91" i="18"/>
  <c r="DL153" i="14"/>
  <c r="EL93" i="18"/>
  <c r="DV88" i="18"/>
  <c r="DR150" i="14"/>
  <c r="DR87" i="18"/>
  <c r="DW91" i="18" s="1"/>
  <c r="DW148" i="14"/>
  <c r="DG144" i="14"/>
  <c r="DM144" i="14"/>
  <c r="DL149" i="14"/>
  <c r="DL87" i="18"/>
  <c r="DL147" i="14"/>
  <c r="DL150" i="14"/>
  <c r="DN147" i="14"/>
  <c r="DN149" i="14"/>
  <c r="DW93" i="18"/>
  <c r="EB91" i="18"/>
  <c r="EB88" i="18"/>
  <c r="DQ90" i="18"/>
  <c r="DS92" i="18"/>
  <c r="DQ92" i="18"/>
  <c r="DS90" i="18"/>
  <c r="DQ93" i="18"/>
  <c r="ES90" i="18"/>
  <c r="ES93" i="18"/>
  <c r="ES91" i="18"/>
  <c r="ES92" i="18"/>
  <c r="ES88" i="18"/>
  <c r="EQ87" i="18"/>
  <c r="EV88" i="18" s="1"/>
  <c r="EQ150" i="14"/>
  <c r="ES150" i="14"/>
  <c r="EP92" i="18"/>
  <c r="EP93" i="18"/>
  <c r="EP88" i="18"/>
  <c r="EP90" i="18"/>
  <c r="EP91" i="18"/>
  <c r="ER90" i="18"/>
  <c r="ER92" i="18"/>
  <c r="EV91" i="18" l="1"/>
  <c r="DG153" i="14"/>
  <c r="DL161" i="14"/>
  <c r="DQ153" i="14"/>
  <c r="DL178" i="14"/>
  <c r="DW88" i="18"/>
  <c r="DL93" i="18"/>
  <c r="DL92" i="18"/>
  <c r="DL90" i="18"/>
  <c r="DN90" i="18"/>
  <c r="DN92" i="18"/>
  <c r="DQ91" i="18"/>
  <c r="DQ88" i="18"/>
  <c r="DM150" i="14"/>
  <c r="DM87" i="18"/>
  <c r="DR88" i="18" s="1"/>
  <c r="DB144" i="14"/>
  <c r="DH144" i="14"/>
  <c r="DG149" i="14"/>
  <c r="DG147" i="14"/>
  <c r="DG87" i="18"/>
  <c r="DL91" i="18" s="1"/>
  <c r="DI147" i="14"/>
  <c r="DI149" i="14"/>
  <c r="DL160" i="14"/>
  <c r="DL96" i="14"/>
  <c r="DL71" i="18"/>
  <c r="DR93" i="18"/>
  <c r="EQ91" i="18"/>
  <c r="EQ93" i="18"/>
  <c r="EQ88" i="18"/>
  <c r="ES13" i="18"/>
  <c r="ES103" i="18"/>
  <c r="ES16" i="18"/>
  <c r="ES14" i="18"/>
  <c r="ES15" i="18"/>
  <c r="ES114" i="18"/>
  <c r="ES126" i="18"/>
  <c r="DG161" i="14" l="1"/>
  <c r="DG159" i="14"/>
  <c r="DG71" i="18"/>
  <c r="DG72" i="18" s="1"/>
  <c r="DQ159" i="14"/>
  <c r="DQ71" i="18"/>
  <c r="DQ77" i="18" s="1"/>
  <c r="DG178" i="14"/>
  <c r="DQ96" i="14"/>
  <c r="DQ97" i="14" s="1"/>
  <c r="DG96" i="14"/>
  <c r="DG99" i="14" s="1"/>
  <c r="DV153" i="14"/>
  <c r="DQ161" i="14"/>
  <c r="DQ178" i="14"/>
  <c r="DL157" i="14"/>
  <c r="DQ160" i="14"/>
  <c r="DL88" i="18"/>
  <c r="DR91" i="18"/>
  <c r="DL79" i="18"/>
  <c r="DL184" i="14"/>
  <c r="DH87" i="18"/>
  <c r="DM88" i="18" s="1"/>
  <c r="DH150" i="14"/>
  <c r="CW144" i="14"/>
  <c r="DB148" i="14" s="1"/>
  <c r="DC144" i="14"/>
  <c r="DD147" i="14"/>
  <c r="DB147" i="14"/>
  <c r="DD149" i="14"/>
  <c r="DB149" i="14"/>
  <c r="DB87" i="18"/>
  <c r="DG88" i="18" s="1"/>
  <c r="DL103" i="14"/>
  <c r="DL77" i="18"/>
  <c r="DM93" i="18"/>
  <c r="DL101" i="14"/>
  <c r="DI92" i="18"/>
  <c r="DG90" i="18"/>
  <c r="DG92" i="18"/>
  <c r="DG93" i="18"/>
  <c r="DI90" i="18"/>
  <c r="DM145" i="14"/>
  <c r="DQ184" i="14" l="1"/>
  <c r="DG184" i="14"/>
  <c r="DL75" i="18"/>
  <c r="DG75" i="18"/>
  <c r="DG77" i="18"/>
  <c r="DL72" i="18"/>
  <c r="DQ72" i="18"/>
  <c r="DQ75" i="18"/>
  <c r="DL182" i="14"/>
  <c r="DH178" i="14"/>
  <c r="DG97" i="14"/>
  <c r="DG79" i="18"/>
  <c r="DG80" i="18" s="1"/>
  <c r="DG182" i="14"/>
  <c r="DL99" i="14"/>
  <c r="DQ182" i="14"/>
  <c r="DL97" i="14"/>
  <c r="DG183" i="14"/>
  <c r="DV157" i="14"/>
  <c r="EA153" i="14"/>
  <c r="DV71" i="18"/>
  <c r="DV77" i="18" s="1"/>
  <c r="DQ101" i="14"/>
  <c r="DQ99" i="14"/>
  <c r="DQ79" i="18"/>
  <c r="DQ85" i="18" s="1"/>
  <c r="DQ157" i="14"/>
  <c r="DG181" i="14"/>
  <c r="DV96" i="14"/>
  <c r="DV101" i="14" s="1"/>
  <c r="DQ103" i="14"/>
  <c r="DQ108" i="14" s="1"/>
  <c r="DV159" i="14"/>
  <c r="DV161" i="14"/>
  <c r="DV178" i="14"/>
  <c r="DV160" i="14"/>
  <c r="DM91" i="18"/>
  <c r="DH77" i="18"/>
  <c r="DC150" i="14"/>
  <c r="DC87" i="18"/>
  <c r="DH91" i="18" s="1"/>
  <c r="DG91" i="18"/>
  <c r="DD92" i="18"/>
  <c r="DD90" i="18"/>
  <c r="DB90" i="18"/>
  <c r="DB92" i="18"/>
  <c r="DB85" i="18"/>
  <c r="DB77" i="18"/>
  <c r="CR144" i="14"/>
  <c r="CX144" i="14"/>
  <c r="DC145" i="14" s="1"/>
  <c r="CY149" i="14"/>
  <c r="CY147" i="14"/>
  <c r="CW149" i="14"/>
  <c r="CW147" i="14"/>
  <c r="CW87" i="18"/>
  <c r="DB91" i="18" s="1"/>
  <c r="DL108" i="14"/>
  <c r="DL85" i="18"/>
  <c r="DL83" i="18" l="1"/>
  <c r="EA178" i="14"/>
  <c r="EA79" i="18" s="1"/>
  <c r="EA85" i="18" s="1"/>
  <c r="DG83" i="18"/>
  <c r="DG84" i="18"/>
  <c r="DL80" i="18"/>
  <c r="DG82" i="18"/>
  <c r="DV182" i="14"/>
  <c r="DH184" i="14"/>
  <c r="DH182" i="14"/>
  <c r="DH79" i="18"/>
  <c r="DH85" i="18" s="1"/>
  <c r="DG85" i="18"/>
  <c r="EA161" i="14"/>
  <c r="DV79" i="18"/>
  <c r="DV85" i="18" s="1"/>
  <c r="EF153" i="14"/>
  <c r="DV103" i="14"/>
  <c r="DV104" i="14" s="1"/>
  <c r="EA96" i="14"/>
  <c r="EA97" i="14" s="1"/>
  <c r="DQ106" i="14"/>
  <c r="DV75" i="18"/>
  <c r="DV97" i="14"/>
  <c r="DQ104" i="14"/>
  <c r="DQ83" i="18"/>
  <c r="EA159" i="14"/>
  <c r="DY159" i="14" s="1"/>
  <c r="EA157" i="14"/>
  <c r="EA160" i="14"/>
  <c r="EA71" i="18"/>
  <c r="DQ80" i="18"/>
  <c r="DV99" i="14"/>
  <c r="DV184" i="14"/>
  <c r="DV72" i="18"/>
  <c r="EA184" i="14"/>
  <c r="DC148" i="14"/>
  <c r="CX87" i="18"/>
  <c r="DC91" i="18" s="1"/>
  <c r="DH88" i="18"/>
  <c r="DB88" i="18"/>
  <c r="CW90" i="18"/>
  <c r="CY90" i="18"/>
  <c r="CY92" i="18"/>
  <c r="CW92" i="18"/>
  <c r="CS144" i="14"/>
  <c r="ES95" i="5"/>
  <c r="ES76" i="5"/>
  <c r="ES79" i="5"/>
  <c r="ES67" i="5"/>
  <c r="ES88" i="5"/>
  <c r="ES98" i="5"/>
  <c r="EA182" i="14" l="1"/>
  <c r="EA103" i="14"/>
  <c r="EA108" i="14" s="1"/>
  <c r="EF163" i="14"/>
  <c r="DH83" i="18"/>
  <c r="EF161" i="14"/>
  <c r="EF214" i="14"/>
  <c r="EA101" i="14"/>
  <c r="DH80" i="18"/>
  <c r="DV106" i="14"/>
  <c r="DV83" i="18"/>
  <c r="EA99" i="14"/>
  <c r="DV80" i="18"/>
  <c r="EF159" i="14"/>
  <c r="EF178" i="14"/>
  <c r="DV108" i="14"/>
  <c r="EK153" i="14"/>
  <c r="EF71" i="18"/>
  <c r="EF77" i="18" s="1"/>
  <c r="EF96" i="14"/>
  <c r="EF99" i="14" s="1"/>
  <c r="EF157" i="14"/>
  <c r="EF160" i="14"/>
  <c r="DX159" i="14"/>
  <c r="DZ159" i="14"/>
  <c r="EA77" i="18"/>
  <c r="EA72" i="18"/>
  <c r="EA75" i="18"/>
  <c r="EA83" i="18"/>
  <c r="EA80" i="18"/>
  <c r="DC88" i="18"/>
  <c r="ES85" i="5"/>
  <c r="EA104" i="14" l="1"/>
  <c r="EA106" i="14"/>
  <c r="EK157" i="14"/>
  <c r="EF79" i="18"/>
  <c r="EF80" i="18" s="1"/>
  <c r="EF184" i="14"/>
  <c r="EK96" i="14"/>
  <c r="EK101" i="14" s="1"/>
  <c r="EK214" i="14"/>
  <c r="EF97" i="14"/>
  <c r="EF103" i="14"/>
  <c r="EF104" i="14" s="1"/>
  <c r="EF75" i="18"/>
  <c r="EF72" i="18"/>
  <c r="EF182" i="14"/>
  <c r="EK71" i="18"/>
  <c r="EK75" i="18" s="1"/>
  <c r="EP153" i="14"/>
  <c r="EK160" i="14"/>
  <c r="EK178" i="14"/>
  <c r="EK163" i="14"/>
  <c r="EK161" i="14"/>
  <c r="EK159" i="14"/>
  <c r="EF101" i="14"/>
  <c r="EN153" i="14"/>
  <c r="EM153" i="14"/>
  <c r="ES147" i="3"/>
  <c r="ES143" i="3"/>
  <c r="EX144" i="3" s="1"/>
  <c r="ES203" i="3" l="1"/>
  <c r="EX148" i="3"/>
  <c r="EN161" i="14"/>
  <c r="EM161" i="14"/>
  <c r="EU153" i="14"/>
  <c r="EF83" i="18"/>
  <c r="EK99" i="14"/>
  <c r="EF85" i="18"/>
  <c r="EK103" i="14"/>
  <c r="EK108" i="14" s="1"/>
  <c r="EK97" i="14"/>
  <c r="EP157" i="14"/>
  <c r="EP71" i="18"/>
  <c r="EP77" i="18" s="1"/>
  <c r="EK79" i="18"/>
  <c r="EK83" i="18" s="1"/>
  <c r="EK72" i="18"/>
  <c r="EF108" i="14"/>
  <c r="EF106" i="14"/>
  <c r="EP178" i="14"/>
  <c r="EK184" i="14"/>
  <c r="EP159" i="14"/>
  <c r="EO159" i="14" s="1"/>
  <c r="EO153" i="14" s="1"/>
  <c r="EK77" i="18"/>
  <c r="EP161" i="14"/>
  <c r="EP160" i="14"/>
  <c r="EK182" i="14"/>
  <c r="ES46" i="8"/>
  <c r="EH153" i="14"/>
  <c r="EI153" i="14"/>
  <c r="FJ57" i="3"/>
  <c r="ES144" i="3"/>
  <c r="ES145" i="3"/>
  <c r="ES148" i="3"/>
  <c r="ES149" i="3"/>
  <c r="ES31" i="6"/>
  <c r="ES32" i="6" s="1"/>
  <c r="ES204" i="3" l="1"/>
  <c r="EX204" i="3"/>
  <c r="EU160" i="14"/>
  <c r="EU161" i="14"/>
  <c r="ET153" i="14"/>
  <c r="ET71" i="18" s="1"/>
  <c r="EI214" i="14"/>
  <c r="EH214" i="14"/>
  <c r="EU157" i="14"/>
  <c r="EU71" i="18"/>
  <c r="EU77" i="18" s="1"/>
  <c r="EP72" i="18"/>
  <c r="EK106" i="14"/>
  <c r="EP79" i="18"/>
  <c r="EP85" i="18" s="1"/>
  <c r="EK104" i="14"/>
  <c r="EP75" i="18"/>
  <c r="EK85" i="18"/>
  <c r="EP182" i="14"/>
  <c r="EK80" i="18"/>
  <c r="EJ153" i="14"/>
  <c r="EO161" i="14"/>
  <c r="EP184" i="14"/>
  <c r="EI161" i="14"/>
  <c r="EH161" i="14"/>
  <c r="ES91" i="6"/>
  <c r="FO57" i="3"/>
  <c r="ES100" i="5"/>
  <c r="ES66" i="6"/>
  <c r="ES101" i="5" l="1"/>
  <c r="ES105" i="5"/>
  <c r="EU158" i="14"/>
  <c r="EU173" i="14" s="1"/>
  <c r="EU156" i="14"/>
  <c r="EU75" i="18"/>
  <c r="ET178" i="14"/>
  <c r="ET157" i="14"/>
  <c r="EU72" i="18"/>
  <c r="ET161" i="14"/>
  <c r="ET159" i="14"/>
  <c r="EP80" i="18"/>
  <c r="EP83" i="18"/>
  <c r="EJ161" i="14"/>
  <c r="EJ214" i="14"/>
  <c r="EU76" i="18"/>
  <c r="EU74" i="18"/>
  <c r="ET77" i="18"/>
  <c r="ES92" i="6"/>
  <c r="ES96" i="6"/>
  <c r="ES97" i="6" s="1"/>
  <c r="FT57" i="3"/>
  <c r="ES67" i="6"/>
  <c r="ET79" i="18" l="1"/>
  <c r="ET85" i="18" s="1"/>
  <c r="ET184" i="14"/>
  <c r="ES98" i="6"/>
  <c r="ES129" i="5"/>
  <c r="ES130" i="5" s="1"/>
  <c r="EU51" i="14"/>
  <c r="FY57" i="3"/>
  <c r="EU23" i="29" l="1"/>
  <c r="EU24" i="29" s="1"/>
  <c r="EU52" i="3"/>
  <c r="EU98" i="3"/>
  <c r="EV43" i="5" l="1"/>
  <c r="EV35" i="5"/>
  <c r="EV112" i="3"/>
  <c r="FA113" i="3" l="1"/>
  <c r="FA115" i="3"/>
  <c r="EV86" i="29"/>
  <c r="EV115" i="3"/>
  <c r="EV113" i="3"/>
  <c r="EV24" i="5"/>
  <c r="EV15" i="5"/>
  <c r="EV13" i="5"/>
  <c r="EV12" i="5"/>
  <c r="EV32" i="5"/>
  <c r="EV39" i="5"/>
  <c r="EV92" i="5" l="1"/>
  <c r="EU36" i="5"/>
  <c r="EV28" i="5"/>
  <c r="EV90" i="5"/>
  <c r="EW71" i="5" l="1"/>
  <c r="EW72" i="5"/>
  <c r="EU51" i="5"/>
  <c r="EV136" i="3"/>
  <c r="EV36" i="5"/>
  <c r="EU44" i="5"/>
  <c r="FB72" i="5" l="1"/>
  <c r="FB71" i="5"/>
  <c r="EV44" i="5"/>
  <c r="ES68" i="6" l="1"/>
  <c r="EX69" i="6" s="1"/>
  <c r="ES108" i="5"/>
  <c r="ES56" i="6"/>
  <c r="ET112" i="5" l="1"/>
  <c r="ES84" i="6"/>
  <c r="ET70" i="6"/>
  <c r="ES71" i="6"/>
  <c r="ES112" i="5"/>
  <c r="ES111" i="5"/>
  <c r="ES59" i="6"/>
  <c r="ES10" i="30"/>
  <c r="ES110" i="5"/>
  <c r="ES69" i="6"/>
  <c r="ES70" i="6"/>
  <c r="ES109" i="5"/>
  <c r="ES138" i="5"/>
  <c r="ET141" i="5" s="1"/>
  <c r="ES85" i="6" l="1"/>
  <c r="EX87" i="6"/>
  <c r="EX85" i="6"/>
  <c r="ES72" i="6"/>
  <c r="ES87" i="6"/>
  <c r="ES88" i="6"/>
  <c r="ES74" i="6"/>
  <c r="ES75" i="6" s="1"/>
  <c r="ES11" i="30"/>
  <c r="ES86" i="6"/>
  <c r="ET86" i="6"/>
  <c r="ET88" i="6"/>
  <c r="ES114" i="5"/>
  <c r="ES95" i="6"/>
  <c r="ES94" i="6"/>
  <c r="ES61" i="6"/>
  <c r="ES14" i="30"/>
  <c r="ES12" i="30"/>
  <c r="ES13" i="30"/>
  <c r="ES125" i="5"/>
  <c r="ES73" i="6"/>
  <c r="ES122" i="5" l="1"/>
  <c r="ES123" i="5" s="1"/>
  <c r="ES17" i="30"/>
  <c r="ES116" i="5"/>
  <c r="ES117" i="5"/>
  <c r="ES118" i="5"/>
  <c r="ES63" i="6"/>
  <c r="ET60" i="6"/>
  <c r="ES119" i="5"/>
  <c r="ES115" i="5"/>
  <c r="ES126" i="5"/>
  <c r="ES120" i="5" l="1"/>
  <c r="ES18" i="30"/>
  <c r="ES24" i="30"/>
  <c r="ES28" i="30" s="1"/>
  <c r="ES20" i="30"/>
  <c r="ES21" i="30"/>
  <c r="ES19" i="30"/>
  <c r="ES15" i="30" l="1"/>
  <c r="ES22" i="30"/>
  <c r="ES27" i="30"/>
  <c r="ES26" i="30"/>
  <c r="ES25" i="30"/>
  <c r="ES139" i="17" l="1"/>
  <c r="ES138" i="17"/>
  <c r="ES141" i="17"/>
  <c r="ES174" i="17"/>
  <c r="ES140" i="17"/>
  <c r="ES165" i="17"/>
  <c r="ES176" i="17"/>
  <c r="ET155" i="17" l="1"/>
  <c r="ES153" i="17"/>
  <c r="ES154" i="17"/>
  <c r="ES152" i="17"/>
  <c r="ET153" i="17"/>
  <c r="ES155" i="17"/>
  <c r="ES179" i="17"/>
  <c r="EV176" i="17"/>
  <c r="ES177" i="17"/>
  <c r="ES178" i="17"/>
  <c r="ES181" i="17"/>
  <c r="ES180" i="17"/>
  <c r="ES149" i="17" l="1"/>
  <c r="ES156" i="17"/>
  <c r="ES130" i="17"/>
  <c r="ES131" i="17"/>
  <c r="ES129" i="17"/>
  <c r="ET131" i="17"/>
  <c r="ET129" i="17"/>
  <c r="FC151" i="17"/>
  <c r="EX79" i="42"/>
  <c r="EY81" i="42" s="1"/>
  <c r="FA151" i="17"/>
  <c r="EV152" i="17"/>
  <c r="EV154" i="17"/>
  <c r="EV177" i="17"/>
  <c r="EV179" i="17"/>
  <c r="EV181" i="17"/>
  <c r="EX81" i="42" l="1"/>
  <c r="EX80" i="42"/>
  <c r="EV149" i="17"/>
  <c r="ES11" i="17"/>
  <c r="ES13" i="17"/>
  <c r="ET13" i="17"/>
  <c r="EX64" i="42"/>
  <c r="EY66" i="42" s="1"/>
  <c r="EV156" i="17"/>
  <c r="ES95" i="17"/>
  <c r="ES132" i="17"/>
  <c r="ES226" i="17"/>
  <c r="ES16" i="17"/>
  <c r="ES15" i="17"/>
  <c r="ES14" i="17"/>
  <c r="ET15" i="17"/>
  <c r="EV10" i="17"/>
  <c r="EV127" i="17"/>
  <c r="EV130" i="17"/>
  <c r="FH151" i="17"/>
  <c r="FC126" i="17"/>
  <c r="FC79" i="42" s="1"/>
  <c r="FC155" i="17"/>
  <c r="FD153" i="17"/>
  <c r="FF151" i="17"/>
  <c r="FD155" i="17"/>
  <c r="FC154" i="17"/>
  <c r="FC153" i="17"/>
  <c r="FA152" i="17"/>
  <c r="FA79" i="42"/>
  <c r="EX129" i="17"/>
  <c r="FA154" i="17"/>
  <c r="EX68" i="2"/>
  <c r="EV23" i="17" l="1"/>
  <c r="EV61" i="3" s="1"/>
  <c r="EV62" i="3" s="1"/>
  <c r="EV14" i="2"/>
  <c r="FA80" i="42"/>
  <c r="EX65" i="42"/>
  <c r="EX87" i="42"/>
  <c r="EX72" i="42"/>
  <c r="EX77" i="42"/>
  <c r="EX82" i="42"/>
  <c r="EV42" i="17"/>
  <c r="EV64" i="42"/>
  <c r="EV11" i="17"/>
  <c r="FC156" i="17"/>
  <c r="EX11" i="17"/>
  <c r="EX51" i="29" s="1"/>
  <c r="EX52" i="29" s="1"/>
  <c r="FC10" i="17"/>
  <c r="FC14" i="17" s="1"/>
  <c r="FC149" i="17"/>
  <c r="EX14" i="17"/>
  <c r="FA156" i="17"/>
  <c r="FA149" i="17"/>
  <c r="EV95" i="17"/>
  <c r="EV132" i="17"/>
  <c r="EV226" i="17"/>
  <c r="EV14" i="17"/>
  <c r="FF152" i="17"/>
  <c r="FF126" i="17"/>
  <c r="FF79" i="42" s="1"/>
  <c r="FF154" i="17"/>
  <c r="FA127" i="17"/>
  <c r="FA130" i="17"/>
  <c r="FC129" i="17"/>
  <c r="FC130" i="17"/>
  <c r="FC131" i="17"/>
  <c r="FC127" i="17"/>
  <c r="FD131" i="17"/>
  <c r="FD129" i="17"/>
  <c r="FM151" i="17"/>
  <c r="FH126" i="17"/>
  <c r="FI153" i="17"/>
  <c r="FH155" i="17"/>
  <c r="FI155" i="17"/>
  <c r="FK151" i="17"/>
  <c r="FH153" i="17"/>
  <c r="FH154" i="17"/>
  <c r="FC81" i="42"/>
  <c r="FC80" i="42"/>
  <c r="EV68" i="2" l="1"/>
  <c r="EQ23" i="2"/>
  <c r="EQ67" i="2" s="1"/>
  <c r="EV65" i="42"/>
  <c r="EV72" i="42"/>
  <c r="EV82" i="42"/>
  <c r="EV87" i="42"/>
  <c r="EV77" i="42"/>
  <c r="FH156" i="17"/>
  <c r="FH79" i="42"/>
  <c r="FC64" i="42"/>
  <c r="FC14" i="2"/>
  <c r="FC226" i="17"/>
  <c r="FC11" i="17"/>
  <c r="FD13" i="17"/>
  <c r="FC95" i="17"/>
  <c r="FC132" i="17"/>
  <c r="FH10" i="17"/>
  <c r="FH149" i="17"/>
  <c r="FD15" i="17"/>
  <c r="FF156" i="17"/>
  <c r="FF149" i="17"/>
  <c r="FR151" i="17"/>
  <c r="FM126" i="17"/>
  <c r="FM79" i="42" s="1"/>
  <c r="FM154" i="17"/>
  <c r="FM155" i="17"/>
  <c r="FP151" i="17"/>
  <c r="FN155" i="17"/>
  <c r="FN153" i="17"/>
  <c r="FM153" i="17"/>
  <c r="FF127" i="17"/>
  <c r="FF130" i="17"/>
  <c r="FH127" i="17"/>
  <c r="FH129" i="17"/>
  <c r="FH130" i="17"/>
  <c r="FH131" i="17"/>
  <c r="FI129" i="17"/>
  <c r="FI131" i="17"/>
  <c r="FK152" i="17"/>
  <c r="FK126" i="17"/>
  <c r="FK79" i="42" s="1"/>
  <c r="FK154" i="17"/>
  <c r="FH64" i="42" l="1"/>
  <c r="FH72" i="42" s="1"/>
  <c r="FH14" i="2"/>
  <c r="FH132" i="17"/>
  <c r="FI15" i="17"/>
  <c r="FH11" i="17"/>
  <c r="FI13" i="17"/>
  <c r="FM10" i="17"/>
  <c r="FM149" i="17"/>
  <c r="FH14" i="17"/>
  <c r="FH226" i="17"/>
  <c r="FM156" i="17"/>
  <c r="FH95" i="17"/>
  <c r="FK156" i="17"/>
  <c r="FK149" i="17"/>
  <c r="FP152" i="17"/>
  <c r="FP126" i="17"/>
  <c r="FP79" i="42" s="1"/>
  <c r="FP154" i="17"/>
  <c r="FK130" i="17"/>
  <c r="FK127" i="17"/>
  <c r="FM127" i="17"/>
  <c r="FM129" i="17"/>
  <c r="FM130" i="17"/>
  <c r="FM131" i="17"/>
  <c r="FN131" i="17"/>
  <c r="FN129" i="17"/>
  <c r="FW151" i="17"/>
  <c r="FR126" i="17"/>
  <c r="FR79" i="42" s="1"/>
  <c r="FR80" i="42" s="1"/>
  <c r="FR153" i="17"/>
  <c r="FS153" i="17"/>
  <c r="FR155" i="17"/>
  <c r="FU151" i="17"/>
  <c r="FR154" i="17"/>
  <c r="FS155" i="17"/>
  <c r="FH81" i="42"/>
  <c r="FH80" i="42"/>
  <c r="FM81" i="42"/>
  <c r="FM80" i="42"/>
  <c r="FC82" i="42"/>
  <c r="FC87" i="42"/>
  <c r="FC77" i="42"/>
  <c r="FC72" i="42"/>
  <c r="FC65" i="42"/>
  <c r="FR81" i="42" l="1"/>
  <c r="FM226" i="17"/>
  <c r="FM14" i="2"/>
  <c r="FM95" i="17"/>
  <c r="FM64" i="42"/>
  <c r="FM132" i="17"/>
  <c r="FN15" i="17"/>
  <c r="FR10" i="17"/>
  <c r="FR149" i="17"/>
  <c r="GB151" i="17"/>
  <c r="FM11" i="17"/>
  <c r="FN13" i="17"/>
  <c r="FM14" i="17"/>
  <c r="FR156" i="17"/>
  <c r="FP156" i="17"/>
  <c r="FP149" i="17"/>
  <c r="FR131" i="17"/>
  <c r="FR127" i="17"/>
  <c r="FR129" i="17"/>
  <c r="FR130" i="17"/>
  <c r="FS129" i="17"/>
  <c r="FS131" i="17"/>
  <c r="FW126" i="17"/>
  <c r="FW79" i="42" s="1"/>
  <c r="FZ151" i="17"/>
  <c r="FW154" i="17"/>
  <c r="FX153" i="17"/>
  <c r="FW155" i="17"/>
  <c r="FX155" i="17"/>
  <c r="FW153" i="17"/>
  <c r="FU152" i="17"/>
  <c r="FU126" i="17"/>
  <c r="FU79" i="42" s="1"/>
  <c r="FU154" i="17"/>
  <c r="FP130" i="17"/>
  <c r="FP127" i="17"/>
  <c r="FH82" i="42"/>
  <c r="FH65" i="42"/>
  <c r="FH87" i="42"/>
  <c r="FH77" i="42"/>
  <c r="GB155" i="17" l="1"/>
  <c r="GG151" i="17"/>
  <c r="GB126" i="17"/>
  <c r="GC131" i="17" s="1"/>
  <c r="GB153" i="17"/>
  <c r="GB154" i="17"/>
  <c r="FR64" i="42"/>
  <c r="FR72" i="42" s="1"/>
  <c r="FR14" i="2"/>
  <c r="FR132" i="17"/>
  <c r="FR226" i="17"/>
  <c r="FR95" i="17"/>
  <c r="FS15" i="17"/>
  <c r="FR14" i="17"/>
  <c r="FW10" i="17"/>
  <c r="FW149" i="17"/>
  <c r="FW156" i="17"/>
  <c r="GC155" i="17"/>
  <c r="GC153" i="17"/>
  <c r="FR11" i="17"/>
  <c r="FS13" i="17"/>
  <c r="FU156" i="17"/>
  <c r="FU149" i="17"/>
  <c r="FU130" i="17"/>
  <c r="FU127" i="17"/>
  <c r="FZ152" i="17"/>
  <c r="FZ154" i="17"/>
  <c r="FW130" i="17"/>
  <c r="FW127" i="17"/>
  <c r="FX131" i="17"/>
  <c r="FX129" i="17"/>
  <c r="GE151" i="17"/>
  <c r="FW80" i="42"/>
  <c r="FM82" i="42"/>
  <c r="FM87" i="42"/>
  <c r="FM77" i="42"/>
  <c r="FM72" i="42"/>
  <c r="FM65" i="42"/>
  <c r="GG155" i="17" l="1"/>
  <c r="GG153" i="17"/>
  <c r="GG154" i="17"/>
  <c r="GG126" i="17"/>
  <c r="GH155" i="17"/>
  <c r="GH153" i="17"/>
  <c r="GJ151" i="17"/>
  <c r="GJ152" i="17" s="1"/>
  <c r="GB79" i="42"/>
  <c r="GB80" i="42" s="1"/>
  <c r="GB156" i="17"/>
  <c r="GC129" i="17"/>
  <c r="GB10" i="17"/>
  <c r="GB64" i="42" s="1"/>
  <c r="GB127" i="17"/>
  <c r="GB130" i="17"/>
  <c r="GB149" i="17"/>
  <c r="FR65" i="42"/>
  <c r="FR82" i="42"/>
  <c r="FW64" i="42"/>
  <c r="FW65" i="42" s="1"/>
  <c r="FW14" i="2"/>
  <c r="FR87" i="42"/>
  <c r="FR77" i="42"/>
  <c r="FW132" i="17"/>
  <c r="FX15" i="17"/>
  <c r="FW14" i="17"/>
  <c r="FW95" i="17"/>
  <c r="FW226" i="17"/>
  <c r="FW11" i="17"/>
  <c r="FX13" i="17"/>
  <c r="GE152" i="17"/>
  <c r="GE154" i="17"/>
  <c r="GB95" i="17" l="1"/>
  <c r="GB226" i="17"/>
  <c r="GG127" i="17"/>
  <c r="GG79" i="42"/>
  <c r="GG130" i="17"/>
  <c r="GG10" i="17"/>
  <c r="GG149" i="17"/>
  <c r="GH131" i="17"/>
  <c r="GH129" i="17"/>
  <c r="GG156" i="17"/>
  <c r="GJ154" i="17"/>
  <c r="GB14" i="17"/>
  <c r="GB132" i="17"/>
  <c r="GC15" i="17"/>
  <c r="GB11" i="17"/>
  <c r="GB14" i="2"/>
  <c r="GC13" i="17"/>
  <c r="FW77" i="42"/>
  <c r="GB65" i="42"/>
  <c r="FW72" i="42"/>
  <c r="FW82" i="42"/>
  <c r="FW87" i="42"/>
  <c r="GB82" i="42"/>
  <c r="GB87" i="42"/>
  <c r="GB72" i="42"/>
  <c r="GB77" i="42"/>
  <c r="GH81" i="42" l="1"/>
  <c r="GG11" i="17"/>
  <c r="GG14" i="2"/>
  <c r="GG64" i="42"/>
  <c r="GG14" i="17"/>
  <c r="GG226" i="17"/>
  <c r="GG95" i="17"/>
  <c r="GH15" i="17"/>
  <c r="GH13" i="17"/>
  <c r="GG132" i="17"/>
  <c r="GG80" i="42"/>
  <c r="EG28" i="8"/>
  <c r="EC31" i="8"/>
  <c r="EC37" i="8" s="1"/>
  <c r="GG87" i="42" l="1"/>
  <c r="GG72" i="42"/>
  <c r="GG77" i="42"/>
  <c r="GH66" i="42"/>
  <c r="GG65" i="42"/>
  <c r="GG82" i="42"/>
  <c r="EG31" i="8"/>
  <c r="EG37" i="8" s="1"/>
  <c r="EC29" i="8"/>
  <c r="ED32" i="8"/>
  <c r="EC27" i="8" l="1"/>
  <c r="EG29" i="8"/>
  <c r="EG27" i="8" l="1"/>
  <c r="EG40" i="8" s="1"/>
  <c r="EC12" i="8"/>
  <c r="EC11" i="8" s="1"/>
  <c r="CY110" i="14"/>
  <c r="CY115" i="14" s="1"/>
  <c r="CZ270" i="14"/>
  <c r="DB110" i="14"/>
  <c r="DB115" i="14" s="1"/>
  <c r="DG110" i="14"/>
  <c r="DG115" i="14" s="1"/>
  <c r="DF110" i="14"/>
  <c r="DF115" i="14" s="1"/>
  <c r="DE110" i="14"/>
  <c r="DE115" i="14" s="1"/>
  <c r="DD110" i="14"/>
  <c r="DD115" i="14" s="1"/>
  <c r="EG41" i="8" l="1"/>
  <c r="EL41" i="8"/>
  <c r="EG12" i="8"/>
  <c r="EG11" i="8" s="1"/>
  <c r="DH103" i="14"/>
  <c r="DH108" i="14" s="1"/>
  <c r="DI111" i="14"/>
  <c r="DD111" i="14"/>
  <c r="DD112" i="14"/>
  <c r="DI113" i="14"/>
  <c r="DD113" i="14"/>
  <c r="DD114" i="14"/>
  <c r="DF103" i="14"/>
  <c r="DF108" i="14" s="1"/>
  <c r="DG160" i="14"/>
  <c r="DG113" i="14"/>
  <c r="DI112" i="14"/>
  <c r="DG114" i="14"/>
  <c r="DG111" i="14"/>
  <c r="DI114" i="14"/>
  <c r="DG112" i="14"/>
  <c r="DL113" i="14"/>
  <c r="DL111" i="14"/>
  <c r="DF112" i="14"/>
  <c r="DK113" i="14"/>
  <c r="DF114" i="14"/>
  <c r="DK111" i="14"/>
  <c r="DE112" i="14"/>
  <c r="DJ113" i="14"/>
  <c r="DJ111" i="14"/>
  <c r="DE114" i="14"/>
  <c r="CT110" i="14"/>
  <c r="DD103" i="14"/>
  <c r="DD108" i="14" s="1"/>
  <c r="DE103" i="14"/>
  <c r="DG103" i="14"/>
  <c r="DB270" i="14"/>
  <c r="CY270" i="14"/>
  <c r="DB101" i="14"/>
  <c r="DA110" i="14"/>
  <c r="DG101" i="14"/>
  <c r="CZ110" i="14"/>
  <c r="CZ115" i="14" s="1"/>
  <c r="DA270" i="14"/>
  <c r="DA115" i="14" l="1"/>
  <c r="CY111" i="14"/>
  <c r="DG105" i="14"/>
  <c r="DB114" i="14"/>
  <c r="CY113" i="14"/>
  <c r="DB112" i="14"/>
  <c r="CZ112" i="14"/>
  <c r="CZ114" i="14"/>
  <c r="DE113" i="14"/>
  <c r="DF111" i="14"/>
  <c r="DA112" i="14"/>
  <c r="DA114" i="14"/>
  <c r="DE111" i="14"/>
  <c r="DF113" i="14"/>
  <c r="DF107" i="14"/>
  <c r="DE108" i="14"/>
  <c r="DE105" i="14"/>
  <c r="DF105" i="14"/>
  <c r="DE107" i="14"/>
  <c r="DL106" i="14"/>
  <c r="DG108" i="14"/>
  <c r="DL104" i="14"/>
  <c r="DG107" i="14"/>
  <c r="DB103" i="14"/>
  <c r="DD107" i="14" s="1"/>
  <c r="DC270" i="14"/>
  <c r="CW110" i="14"/>
  <c r="CU110" i="14"/>
  <c r="CV110" i="14"/>
  <c r="DA111" i="14" l="1"/>
  <c r="CZ113" i="14"/>
  <c r="CZ111" i="14"/>
  <c r="DG104" i="14"/>
  <c r="CV114" i="14"/>
  <c r="CV112" i="14"/>
  <c r="CV113" i="14"/>
  <c r="CU113" i="14"/>
  <c r="CU114" i="14"/>
  <c r="CU112" i="14"/>
  <c r="CW114" i="14"/>
  <c r="CW112" i="14"/>
  <c r="CW113" i="14"/>
  <c r="CY114" i="14"/>
  <c r="DB113" i="14"/>
  <c r="CY112" i="14"/>
  <c r="DB111" i="14"/>
  <c r="DA113" i="14"/>
  <c r="DD105" i="14"/>
  <c r="DB108" i="14"/>
  <c r="DG106" i="14"/>
  <c r="CV101" i="14"/>
  <c r="CV103" i="14"/>
  <c r="CV108" i="14" s="1"/>
  <c r="CX110" i="14"/>
  <c r="EM158" i="14"/>
  <c r="EM173" i="14" s="1"/>
  <c r="EM156" i="14"/>
  <c r="EM160" i="14"/>
  <c r="EM96" i="14"/>
  <c r="EM98" i="14" s="1"/>
  <c r="EM71" i="18"/>
  <c r="EM74" i="18" s="1"/>
  <c r="EM178" i="14"/>
  <c r="ER153" i="14"/>
  <c r="ER161" i="14" l="1"/>
  <c r="ER160" i="14"/>
  <c r="DC113" i="14"/>
  <c r="CX113" i="14"/>
  <c r="DC111" i="14"/>
  <c r="EM100" i="14"/>
  <c r="EM101" i="14"/>
  <c r="ER157" i="14"/>
  <c r="ER71" i="18"/>
  <c r="ER156" i="14"/>
  <c r="ER159" i="14"/>
  <c r="ER158" i="14"/>
  <c r="ER173" i="14" s="1"/>
  <c r="ER178" i="14"/>
  <c r="EM103" i="14"/>
  <c r="EM79" i="18"/>
  <c r="EM183" i="14"/>
  <c r="EM181" i="14"/>
  <c r="EM184" i="14"/>
  <c r="EM76" i="18"/>
  <c r="EM77" i="18"/>
  <c r="ER174" i="14" l="1"/>
  <c r="EM107" i="14"/>
  <c r="EM105" i="14"/>
  <c r="EM108" i="14"/>
  <c r="EM82" i="18"/>
  <c r="EM85" i="18"/>
  <c r="EM84" i="18"/>
  <c r="ER181" i="14"/>
  <c r="ER79" i="18"/>
  <c r="ER183" i="14"/>
  <c r="ER184" i="14"/>
  <c r="ER182" i="14"/>
  <c r="ER75" i="18"/>
  <c r="ER77" i="18"/>
  <c r="ER72" i="18"/>
  <c r="ER74" i="18"/>
  <c r="ER76" i="18"/>
  <c r="ER84" i="18" l="1"/>
  <c r="ER83" i="18"/>
  <c r="ER80" i="18"/>
  <c r="ER82" i="18"/>
  <c r="ER85" i="18"/>
  <c r="EI96" i="14" l="1"/>
  <c r="EH71" i="18"/>
  <c r="EH96" i="14"/>
  <c r="EH100" i="14" s="1"/>
  <c r="EJ71" i="18"/>
  <c r="EK74" i="18" s="1"/>
  <c r="EO71" i="18"/>
  <c r="EP158" i="14"/>
  <c r="EP173" i="14" s="1"/>
  <c r="EU174" i="14" s="1"/>
  <c r="EP156" i="14"/>
  <c r="EO157" i="14"/>
  <c r="EO158" i="14"/>
  <c r="EO173" i="14" s="1"/>
  <c r="EO156" i="14"/>
  <c r="EO160" i="14"/>
  <c r="EJ96" i="14"/>
  <c r="EI178" i="14"/>
  <c r="EN158" i="14"/>
  <c r="EN173" i="14" s="1"/>
  <c r="EN160" i="14"/>
  <c r="EN156" i="14"/>
  <c r="EN157" i="14"/>
  <c r="EH178" i="14"/>
  <c r="EQ153" i="14"/>
  <c r="EJ178" i="14"/>
  <c r="EM157" i="14"/>
  <c r="EH160" i="14"/>
  <c r="EH156" i="14"/>
  <c r="EH158" i="14"/>
  <c r="EH163" i="14"/>
  <c r="EI158" i="14"/>
  <c r="EI156" i="14"/>
  <c r="EI160" i="14"/>
  <c r="EI163" i="14"/>
  <c r="EJ163" i="14"/>
  <c r="EK158" i="14"/>
  <c r="EJ158" i="14"/>
  <c r="EJ156" i="14"/>
  <c r="EJ160" i="14"/>
  <c r="EK156" i="14"/>
  <c r="EN71" i="18"/>
  <c r="EN178" i="14"/>
  <c r="EE153" i="14"/>
  <c r="EI71" i="18"/>
  <c r="EL153" i="14"/>
  <c r="ED153" i="14"/>
  <c r="EH159" i="14"/>
  <c r="EC153" i="14"/>
  <c r="EO178" i="14"/>
  <c r="EI159" i="14"/>
  <c r="ES153" i="14"/>
  <c r="EJ159" i="14"/>
  <c r="EE161" i="14" l="1"/>
  <c r="EC161" i="14"/>
  <c r="EQ161" i="14"/>
  <c r="ED161" i="14"/>
  <c r="EL161" i="14"/>
  <c r="ET182" i="14"/>
  <c r="EI79" i="18"/>
  <c r="EI85" i="18" s="1"/>
  <c r="EJ103" i="14"/>
  <c r="EK107" i="14" s="1"/>
  <c r="ES161" i="14"/>
  <c r="EV153" i="14"/>
  <c r="ET156" i="14"/>
  <c r="ET158" i="14"/>
  <c r="ET173" i="14" s="1"/>
  <c r="ET75" i="18"/>
  <c r="ET72" i="18"/>
  <c r="ED159" i="14"/>
  <c r="EL96" i="14"/>
  <c r="EL101" i="14" s="1"/>
  <c r="EQ71" i="18"/>
  <c r="EQ77" i="18" s="1"/>
  <c r="EE71" i="18"/>
  <c r="EJ75" i="18" s="1"/>
  <c r="EC96" i="14"/>
  <c r="EC100" i="14" s="1"/>
  <c r="ES156" i="14"/>
  <c r="ES160" i="14"/>
  <c r="DZ153" i="14"/>
  <c r="ES178" i="14"/>
  <c r="EH98" i="14"/>
  <c r="DX153" i="14"/>
  <c r="EM99" i="14"/>
  <c r="EM97" i="14"/>
  <c r="EF158" i="14"/>
  <c r="EO75" i="18"/>
  <c r="ED96" i="14"/>
  <c r="EI97" i="14" s="1"/>
  <c r="EL178" i="14"/>
  <c r="EK76" i="18"/>
  <c r="EL160" i="14"/>
  <c r="EK98" i="14"/>
  <c r="EO72" i="18"/>
  <c r="EJ77" i="18"/>
  <c r="EH183" i="14"/>
  <c r="EH79" i="18"/>
  <c r="EH84" i="18" s="1"/>
  <c r="EC178" i="14"/>
  <c r="EJ74" i="18"/>
  <c r="EJ157" i="14"/>
  <c r="EF156" i="14"/>
  <c r="EK100" i="14"/>
  <c r="EP74" i="18"/>
  <c r="ED178" i="14"/>
  <c r="EJ181" i="14"/>
  <c r="EI184" i="14"/>
  <c r="EN72" i="18"/>
  <c r="EC71" i="18"/>
  <c r="EH75" i="18" s="1"/>
  <c r="EC158" i="14"/>
  <c r="ED156" i="14"/>
  <c r="EN184" i="14"/>
  <c r="EN182" i="14"/>
  <c r="EN183" i="14"/>
  <c r="EN181" i="14"/>
  <c r="EH74" i="18"/>
  <c r="EM75" i="18"/>
  <c r="EH77" i="18"/>
  <c r="EH76" i="18"/>
  <c r="EP183" i="14"/>
  <c r="EP181" i="14"/>
  <c r="EO184" i="14"/>
  <c r="EI76" i="18"/>
  <c r="EG153" i="14"/>
  <c r="EN75" i="18"/>
  <c r="EI157" i="14"/>
  <c r="EE160" i="14"/>
  <c r="EE159" i="14"/>
  <c r="EC160" i="14"/>
  <c r="EK181" i="14"/>
  <c r="EL71" i="18"/>
  <c r="EH181" i="14"/>
  <c r="EH184" i="14"/>
  <c r="EH103" i="14"/>
  <c r="EI181" i="14"/>
  <c r="EO74" i="18"/>
  <c r="EI74" i="18"/>
  <c r="EN74" i="18"/>
  <c r="EE156" i="14"/>
  <c r="EE158" i="14"/>
  <c r="ED160" i="14"/>
  <c r="EC159" i="14"/>
  <c r="EQ154" i="14"/>
  <c r="EQ159" i="14"/>
  <c r="EQ157" i="14"/>
  <c r="ED71" i="18"/>
  <c r="EJ76" i="18"/>
  <c r="EM72" i="18"/>
  <c r="EN76" i="18"/>
  <c r="EH157" i="14"/>
  <c r="EC156" i="14"/>
  <c r="EK183" i="14"/>
  <c r="EQ160" i="14"/>
  <c r="EO182" i="14"/>
  <c r="EO76" i="18"/>
  <c r="EI98" i="14"/>
  <c r="EI101" i="14"/>
  <c r="EI100" i="14"/>
  <c r="ED158" i="14"/>
  <c r="EJ184" i="14"/>
  <c r="EO183" i="14"/>
  <c r="EO79" i="18"/>
  <c r="DY153" i="14"/>
  <c r="EI77" i="18"/>
  <c r="EN77" i="18"/>
  <c r="ES157" i="14"/>
  <c r="ES159" i="14"/>
  <c r="ES158" i="14"/>
  <c r="ES173" i="14" s="1"/>
  <c r="ES71" i="18"/>
  <c r="EL159" i="14"/>
  <c r="EE178" i="14"/>
  <c r="EE96" i="14"/>
  <c r="EN79" i="18"/>
  <c r="EQ178" i="14"/>
  <c r="EJ183" i="14"/>
  <c r="EJ79" i="18"/>
  <c r="EJ98" i="14"/>
  <c r="EJ100" i="14"/>
  <c r="EJ101" i="14"/>
  <c r="EO181" i="14"/>
  <c r="EM182" i="14"/>
  <c r="EI103" i="14"/>
  <c r="EP76" i="18"/>
  <c r="EI183" i="14"/>
  <c r="EO77" i="18"/>
  <c r="EH101" i="14"/>
  <c r="ES174" i="14" l="1"/>
  <c r="ET174" i="14"/>
  <c r="EJ108" i="14"/>
  <c r="EA156" i="14"/>
  <c r="DX161" i="14"/>
  <c r="DY161" i="14"/>
  <c r="EJ107" i="14"/>
  <c r="EK105" i="14"/>
  <c r="EH182" i="14"/>
  <c r="EL103" i="14"/>
  <c r="EL108" i="14" s="1"/>
  <c r="ED184" i="14"/>
  <c r="EC79" i="18"/>
  <c r="EC85" i="18" s="1"/>
  <c r="EE76" i="18"/>
  <c r="EJ72" i="18"/>
  <c r="EF76" i="18"/>
  <c r="EE77" i="18"/>
  <c r="EV71" i="18"/>
  <c r="EV157" i="14"/>
  <c r="EV160" i="14"/>
  <c r="DZ71" i="18"/>
  <c r="DZ77" i="18" s="1"/>
  <c r="DZ161" i="14"/>
  <c r="EG161" i="14"/>
  <c r="ED101" i="14"/>
  <c r="EF74" i="18"/>
  <c r="ET80" i="18"/>
  <c r="ET83" i="18"/>
  <c r="ET74" i="18"/>
  <c r="ET76" i="18"/>
  <c r="ET181" i="14"/>
  <c r="ET183" i="14"/>
  <c r="EH99" i="14"/>
  <c r="EC98" i="14"/>
  <c r="EC101" i="14"/>
  <c r="EH97" i="14"/>
  <c r="ED100" i="14"/>
  <c r="EQ72" i="18"/>
  <c r="DZ160" i="14"/>
  <c r="DZ158" i="14"/>
  <c r="DX156" i="14"/>
  <c r="EA158" i="14"/>
  <c r="DZ178" i="14"/>
  <c r="EE157" i="14"/>
  <c r="EL184" i="14"/>
  <c r="EC181" i="14"/>
  <c r="DZ96" i="14"/>
  <c r="EE99" i="14" s="1"/>
  <c r="EC103" i="14"/>
  <c r="EC105" i="14" s="1"/>
  <c r="EI99" i="14"/>
  <c r="EI182" i="14"/>
  <c r="EL79" i="18"/>
  <c r="EL85" i="18" s="1"/>
  <c r="ED98" i="14"/>
  <c r="EC74" i="18"/>
  <c r="EC76" i="18"/>
  <c r="EC184" i="14"/>
  <c r="ED79" i="18"/>
  <c r="EI80" i="18" s="1"/>
  <c r="ES182" i="14"/>
  <c r="DU153" i="14"/>
  <c r="DS153" i="14"/>
  <c r="EM80" i="18"/>
  <c r="DX158" i="14"/>
  <c r="EM83" i="18"/>
  <c r="DX96" i="14"/>
  <c r="EC97" i="14" s="1"/>
  <c r="EC157" i="14"/>
  <c r="DX160" i="14"/>
  <c r="DX71" i="18"/>
  <c r="EC75" i="18" s="1"/>
  <c r="EC77" i="18"/>
  <c r="ED183" i="14"/>
  <c r="EI84" i="18"/>
  <c r="EH85" i="18"/>
  <c r="EI72" i="18"/>
  <c r="DX178" i="14"/>
  <c r="ES183" i="14"/>
  <c r="ES79" i="18"/>
  <c r="ES181" i="14"/>
  <c r="ES184" i="14"/>
  <c r="EC183" i="14"/>
  <c r="ED181" i="14"/>
  <c r="ED103" i="14"/>
  <c r="EI82" i="18"/>
  <c r="EH82" i="18"/>
  <c r="EJ105" i="14"/>
  <c r="EH72" i="18"/>
  <c r="EE101" i="14"/>
  <c r="EE98" i="14"/>
  <c r="EF98" i="14"/>
  <c r="EE100" i="14"/>
  <c r="EF100" i="14"/>
  <c r="EJ99" i="14"/>
  <c r="EE79" i="18"/>
  <c r="EJ83" i="18" s="1"/>
  <c r="EF181" i="14"/>
  <c r="EF183" i="14"/>
  <c r="EE103" i="14"/>
  <c r="EE184" i="14"/>
  <c r="EG178" i="14"/>
  <c r="EE183" i="14"/>
  <c r="EE181" i="14"/>
  <c r="EO80" i="18"/>
  <c r="EO82" i="18"/>
  <c r="EO83" i="18"/>
  <c r="EP84" i="18"/>
  <c r="EP82" i="18"/>
  <c r="EO84" i="18"/>
  <c r="EO85" i="18"/>
  <c r="EJ182" i="14"/>
  <c r="ED77" i="18"/>
  <c r="ED74" i="18"/>
  <c r="ED76" i="18"/>
  <c r="EH105" i="14"/>
  <c r="EM104" i="14"/>
  <c r="EH108" i="14"/>
  <c r="EH107" i="14"/>
  <c r="EM106" i="14"/>
  <c r="EJ97" i="14"/>
  <c r="EI105" i="14"/>
  <c r="EI108" i="14"/>
  <c r="EI107" i="14"/>
  <c r="EJ82" i="18"/>
  <c r="EK84" i="18"/>
  <c r="EJ85" i="18"/>
  <c r="EK82" i="18"/>
  <c r="EJ84" i="18"/>
  <c r="EQ182" i="14"/>
  <c r="EQ79" i="18"/>
  <c r="EQ179" i="14"/>
  <c r="EQ184" i="14"/>
  <c r="EI75" i="18"/>
  <c r="EL77" i="18"/>
  <c r="EG160" i="14"/>
  <c r="EG159" i="14"/>
  <c r="EL157" i="14"/>
  <c r="EG96" i="14"/>
  <c r="EG71" i="18"/>
  <c r="EL72" i="18" s="1"/>
  <c r="EQ75" i="18"/>
  <c r="EE74" i="18"/>
  <c r="ES76" i="18"/>
  <c r="ES75" i="18"/>
  <c r="ES74" i="18"/>
  <c r="ES72" i="18"/>
  <c r="ES77" i="18"/>
  <c r="DY160" i="14"/>
  <c r="DY158" i="14"/>
  <c r="DY71" i="18"/>
  <c r="ED72" i="18" s="1"/>
  <c r="DY156" i="14"/>
  <c r="DY96" i="14"/>
  <c r="EB153" i="14"/>
  <c r="DY178" i="14"/>
  <c r="DT153" i="14"/>
  <c r="DZ156" i="14"/>
  <c r="EN82" i="18"/>
  <c r="EN83" i="18"/>
  <c r="EN80" i="18"/>
  <c r="EN85" i="18"/>
  <c r="EN84" i="18"/>
  <c r="ED157" i="14"/>
  <c r="DU161" i="14" l="1"/>
  <c r="EC84" i="18"/>
  <c r="EC82" i="18"/>
  <c r="EH80" i="18"/>
  <c r="EH83" i="18"/>
  <c r="DZ79" i="18"/>
  <c r="EA82" i="18" s="1"/>
  <c r="EE75" i="18"/>
  <c r="EA74" i="18"/>
  <c r="EE72" i="18"/>
  <c r="EV77" i="18"/>
  <c r="EV75" i="18"/>
  <c r="EV72" i="18"/>
  <c r="EA76" i="18"/>
  <c r="DX157" i="14"/>
  <c r="DS161" i="14"/>
  <c r="DT161" i="14"/>
  <c r="EB161" i="14"/>
  <c r="ES85" i="18"/>
  <c r="ET82" i="18"/>
  <c r="ET84" i="18"/>
  <c r="ED105" i="14"/>
  <c r="DZ184" i="14"/>
  <c r="DX76" i="18"/>
  <c r="DS158" i="14"/>
  <c r="EC107" i="14"/>
  <c r="DP153" i="14"/>
  <c r="EA183" i="14"/>
  <c r="EE182" i="14"/>
  <c r="EA181" i="14"/>
  <c r="EJ80" i="18"/>
  <c r="DZ103" i="14"/>
  <c r="EE106" i="14" s="1"/>
  <c r="EH104" i="14"/>
  <c r="DS156" i="14"/>
  <c r="ED82" i="18"/>
  <c r="ED85" i="18"/>
  <c r="ED84" i="18"/>
  <c r="DZ98" i="14"/>
  <c r="EI83" i="18"/>
  <c r="EA98" i="14"/>
  <c r="EE97" i="14"/>
  <c r="EA100" i="14"/>
  <c r="DZ101" i="14"/>
  <c r="ES82" i="18"/>
  <c r="EH106" i="14"/>
  <c r="ES80" i="18"/>
  <c r="EC108" i="14"/>
  <c r="DX98" i="14"/>
  <c r="DX101" i="14"/>
  <c r="DS178" i="14"/>
  <c r="DS160" i="14"/>
  <c r="DS71" i="18"/>
  <c r="DS74" i="18" s="1"/>
  <c r="DS96" i="14"/>
  <c r="DX97" i="14" s="1"/>
  <c r="DW153" i="14"/>
  <c r="DN153" i="14"/>
  <c r="DS159" i="14"/>
  <c r="DX100" i="14"/>
  <c r="EI104" i="14"/>
  <c r="ES83" i="18"/>
  <c r="ES84" i="18"/>
  <c r="EC99" i="14"/>
  <c r="DU160" i="14"/>
  <c r="DV156" i="14"/>
  <c r="DU96" i="14"/>
  <c r="DU159" i="14"/>
  <c r="DV158" i="14"/>
  <c r="DU178" i="14"/>
  <c r="DU71" i="18"/>
  <c r="DZ157" i="14"/>
  <c r="DX74" i="18"/>
  <c r="EC182" i="14"/>
  <c r="DX77" i="18"/>
  <c r="EC72" i="18"/>
  <c r="DX184" i="14"/>
  <c r="DX103" i="14"/>
  <c r="DX183" i="14"/>
  <c r="DX181" i="14"/>
  <c r="DX79" i="18"/>
  <c r="ED108" i="14"/>
  <c r="ED107" i="14"/>
  <c r="EI106" i="14"/>
  <c r="DY157" i="14"/>
  <c r="DY79" i="18"/>
  <c r="DY181" i="14"/>
  <c r="DY183" i="14"/>
  <c r="DY184" i="14"/>
  <c r="DY103" i="14"/>
  <c r="EB178" i="14"/>
  <c r="ED182" i="14"/>
  <c r="EF84" i="18"/>
  <c r="EE82" i="18"/>
  <c r="EE85" i="18"/>
  <c r="EF82" i="18"/>
  <c r="EE84" i="18"/>
  <c r="EB160" i="14"/>
  <c r="EB71" i="18"/>
  <c r="EG72" i="18" s="1"/>
  <c r="EB159" i="14"/>
  <c r="EB96" i="14"/>
  <c r="EG99" i="14" s="1"/>
  <c r="EQ83" i="18"/>
  <c r="EQ85" i="18"/>
  <c r="EQ80" i="18"/>
  <c r="DZ181" i="14"/>
  <c r="DY98" i="14"/>
  <c r="DY100" i="14"/>
  <c r="DY101" i="14"/>
  <c r="ED99" i="14"/>
  <c r="ED97" i="14"/>
  <c r="EG77" i="18"/>
  <c r="EG154" i="14"/>
  <c r="EF105" i="14"/>
  <c r="EE108" i="14"/>
  <c r="EF107" i="14"/>
  <c r="EE107" i="14"/>
  <c r="EE105" i="14"/>
  <c r="EJ104" i="14"/>
  <c r="EJ106" i="14"/>
  <c r="DY76" i="18"/>
  <c r="DY77" i="18"/>
  <c r="DY74" i="18"/>
  <c r="DZ74" i="18"/>
  <c r="DZ76" i="18"/>
  <c r="EG101" i="14"/>
  <c r="EL97" i="14"/>
  <c r="EL99" i="14"/>
  <c r="ED75" i="18"/>
  <c r="DT71" i="18"/>
  <c r="DY75" i="18" s="1"/>
  <c r="DT178" i="14"/>
  <c r="DT160" i="14"/>
  <c r="DU156" i="14"/>
  <c r="DT159" i="14"/>
  <c r="DT158" i="14"/>
  <c r="DT96" i="14"/>
  <c r="DY97" i="14" s="1"/>
  <c r="DT156" i="14"/>
  <c r="DO153" i="14"/>
  <c r="DU158" i="14"/>
  <c r="EG157" i="14"/>
  <c r="EL75" i="18"/>
  <c r="DZ183" i="14"/>
  <c r="DZ100" i="14"/>
  <c r="EG79" i="18"/>
  <c r="EG103" i="14"/>
  <c r="EG184" i="14"/>
  <c r="EL182" i="14"/>
  <c r="DW161" i="14" l="1"/>
  <c r="DO161" i="14"/>
  <c r="DN161" i="14"/>
  <c r="EA84" i="18"/>
  <c r="EE80" i="18"/>
  <c r="DY182" i="14"/>
  <c r="DZ85" i="18"/>
  <c r="EE83" i="18"/>
  <c r="DZ84" i="18"/>
  <c r="DS183" i="14"/>
  <c r="EG182" i="14"/>
  <c r="DX99" i="14"/>
  <c r="DP161" i="14"/>
  <c r="DZ105" i="14"/>
  <c r="EA105" i="14"/>
  <c r="EE104" i="14"/>
  <c r="EA107" i="14"/>
  <c r="DP96" i="14"/>
  <c r="DQ100" i="14" s="1"/>
  <c r="DK153" i="14"/>
  <c r="DP157" i="14"/>
  <c r="DP159" i="14"/>
  <c r="DP160" i="14"/>
  <c r="DP71" i="18"/>
  <c r="DQ76" i="18" s="1"/>
  <c r="DU157" i="14"/>
  <c r="DQ158" i="14"/>
  <c r="DQ156" i="14"/>
  <c r="DP178" i="14"/>
  <c r="DZ108" i="14"/>
  <c r="DT157" i="14"/>
  <c r="DS157" i="14"/>
  <c r="DW71" i="18"/>
  <c r="EB75" i="18" s="1"/>
  <c r="DN156" i="14"/>
  <c r="DW96" i="14"/>
  <c r="DW101" i="14" s="1"/>
  <c r="DX72" i="18"/>
  <c r="DS184" i="14"/>
  <c r="DS181" i="14"/>
  <c r="DS100" i="14"/>
  <c r="DS76" i="18"/>
  <c r="DN71" i="18"/>
  <c r="DS72" i="18" s="1"/>
  <c r="DS77" i="18"/>
  <c r="EB154" i="14"/>
  <c r="DN178" i="14"/>
  <c r="DN159" i="14"/>
  <c r="DN157" i="14"/>
  <c r="DN158" i="14"/>
  <c r="DS103" i="14"/>
  <c r="DS107" i="14" s="1"/>
  <c r="DW159" i="14"/>
  <c r="DX182" i="14"/>
  <c r="DS101" i="14"/>
  <c r="DW160" i="14"/>
  <c r="EB157" i="14"/>
  <c r="DI153" i="14"/>
  <c r="DN96" i="14"/>
  <c r="DS99" i="14" s="1"/>
  <c r="DS79" i="18"/>
  <c r="DS82" i="18" s="1"/>
  <c r="EG179" i="14"/>
  <c r="DS98" i="14"/>
  <c r="DX75" i="18"/>
  <c r="DN160" i="14"/>
  <c r="EV50" i="14"/>
  <c r="DV98" i="14"/>
  <c r="DV100" i="14"/>
  <c r="DU101" i="14"/>
  <c r="DZ97" i="14"/>
  <c r="DZ99" i="14"/>
  <c r="DZ72" i="18"/>
  <c r="DU77" i="18"/>
  <c r="DZ75" i="18"/>
  <c r="DV74" i="18"/>
  <c r="DV76" i="18"/>
  <c r="DU103" i="14"/>
  <c r="DV183" i="14"/>
  <c r="DU184" i="14"/>
  <c r="DU79" i="18"/>
  <c r="DZ182" i="14"/>
  <c r="DV181" i="14"/>
  <c r="EC80" i="18"/>
  <c r="DX85" i="18"/>
  <c r="DX82" i="18"/>
  <c r="EC83" i="18"/>
  <c r="DX84" i="18"/>
  <c r="EC104" i="14"/>
  <c r="DX107" i="14"/>
  <c r="EC106" i="14"/>
  <c r="DX105" i="14"/>
  <c r="DX108" i="14"/>
  <c r="DZ82" i="18"/>
  <c r="EG97" i="14"/>
  <c r="DZ107" i="14"/>
  <c r="EG75" i="18"/>
  <c r="EG108" i="14"/>
  <c r="EL106" i="14"/>
  <c r="EL104" i="14"/>
  <c r="EB77" i="18"/>
  <c r="DR153" i="14"/>
  <c r="EG85" i="18"/>
  <c r="EL83" i="18"/>
  <c r="EL80" i="18"/>
  <c r="DW178" i="14"/>
  <c r="DO157" i="14"/>
  <c r="EB103" i="14"/>
  <c r="EG104" i="14" s="1"/>
  <c r="EB184" i="14"/>
  <c r="EB79" i="18"/>
  <c r="EG83" i="18" s="1"/>
  <c r="DY108" i="14"/>
  <c r="DY105" i="14"/>
  <c r="DY107" i="14"/>
  <c r="ED104" i="14"/>
  <c r="ED106" i="14"/>
  <c r="DY82" i="18"/>
  <c r="DY85" i="18"/>
  <c r="DY84" i="18"/>
  <c r="ED83" i="18"/>
  <c r="ED80" i="18"/>
  <c r="DT98" i="14"/>
  <c r="DT100" i="14"/>
  <c r="DT101" i="14"/>
  <c r="DU98" i="14"/>
  <c r="DU100" i="14"/>
  <c r="DT183" i="14"/>
  <c r="DT181" i="14"/>
  <c r="DT103" i="14"/>
  <c r="DY106" i="14" s="1"/>
  <c r="DT184" i="14"/>
  <c r="DT79" i="18"/>
  <c r="DY80" i="18" s="1"/>
  <c r="DU181" i="14"/>
  <c r="DU183" i="14"/>
  <c r="DO71" i="18"/>
  <c r="DT75" i="18" s="1"/>
  <c r="DO178" i="14"/>
  <c r="DO158" i="14"/>
  <c r="DO159" i="14"/>
  <c r="DJ153" i="14"/>
  <c r="DO96" i="14"/>
  <c r="DT99" i="14" s="1"/>
  <c r="DO156" i="14"/>
  <c r="DO160" i="14"/>
  <c r="DP156" i="14"/>
  <c r="DP158" i="14"/>
  <c r="DT74" i="18"/>
  <c r="DT76" i="18"/>
  <c r="DT77" i="18"/>
  <c r="DU74" i="18"/>
  <c r="DU76" i="18"/>
  <c r="DY72" i="18"/>
  <c r="DY99" i="14"/>
  <c r="EB101" i="14"/>
  <c r="DK160" i="14" l="1"/>
  <c r="DI161" i="14"/>
  <c r="DK96" i="14"/>
  <c r="DL98" i="14" s="1"/>
  <c r="DP184" i="14"/>
  <c r="EB182" i="14"/>
  <c r="DL158" i="14"/>
  <c r="DW77" i="18"/>
  <c r="EB99" i="14"/>
  <c r="EV115" i="14"/>
  <c r="EV161" i="14"/>
  <c r="EV54" i="14"/>
  <c r="EV77" i="14"/>
  <c r="EV78" i="14" s="1"/>
  <c r="EB72" i="18"/>
  <c r="DR161" i="14"/>
  <c r="DJ161" i="14"/>
  <c r="DK161" i="14"/>
  <c r="ET95" i="3"/>
  <c r="ET25" i="3"/>
  <c r="ET15" i="3"/>
  <c r="ET63" i="29"/>
  <c r="ET66" i="3"/>
  <c r="ET29" i="3"/>
  <c r="ET56" i="15"/>
  <c r="ET56" i="5"/>
  <c r="ET63" i="5" s="1"/>
  <c r="ET81" i="3"/>
  <c r="ET28" i="3"/>
  <c r="ET16" i="18"/>
  <c r="ET56" i="14"/>
  <c r="ET88" i="3"/>
  <c r="ET27" i="3"/>
  <c r="DP101" i="14"/>
  <c r="EB97" i="14"/>
  <c r="DN101" i="14"/>
  <c r="DS97" i="14"/>
  <c r="DQ98" i="14"/>
  <c r="DU97" i="14"/>
  <c r="DU99" i="14"/>
  <c r="DK71" i="18"/>
  <c r="DP75" i="18" s="1"/>
  <c r="DK159" i="14"/>
  <c r="DK157" i="14"/>
  <c r="DL156" i="14"/>
  <c r="DK178" i="14"/>
  <c r="DQ74" i="18"/>
  <c r="DP103" i="14"/>
  <c r="DQ107" i="14" s="1"/>
  <c r="DN181" i="14"/>
  <c r="DP79" i="18"/>
  <c r="DQ82" i="18" s="1"/>
  <c r="DQ183" i="14"/>
  <c r="DU182" i="14"/>
  <c r="DQ181" i="14"/>
  <c r="DP77" i="18"/>
  <c r="DU75" i="18"/>
  <c r="DU72" i="18"/>
  <c r="DS85" i="18"/>
  <c r="DS84" i="18"/>
  <c r="DS182" i="14"/>
  <c r="DS108" i="14"/>
  <c r="DI159" i="14"/>
  <c r="DS105" i="14"/>
  <c r="DI160" i="14"/>
  <c r="DI158" i="14"/>
  <c r="DX106" i="14"/>
  <c r="DI71" i="18"/>
  <c r="DI74" i="18" s="1"/>
  <c r="DX104" i="14"/>
  <c r="DI96" i="14"/>
  <c r="DN97" i="14" s="1"/>
  <c r="DI156" i="14"/>
  <c r="DI178" i="14"/>
  <c r="DI157" i="14"/>
  <c r="DN79" i="18"/>
  <c r="DS80" i="18" s="1"/>
  <c r="DN74" i="18"/>
  <c r="DN183" i="14"/>
  <c r="DN77" i="18"/>
  <c r="DX83" i="18"/>
  <c r="DN76" i="18"/>
  <c r="DX80" i="18"/>
  <c r="DN98" i="14"/>
  <c r="DN103" i="14"/>
  <c r="DS104" i="14" s="1"/>
  <c r="DN100" i="14"/>
  <c r="DN184" i="14"/>
  <c r="DS75" i="18"/>
  <c r="EV51" i="14"/>
  <c r="ET10" i="7"/>
  <c r="EV24" i="3"/>
  <c r="ET56" i="17"/>
  <c r="DZ104" i="14"/>
  <c r="DV105" i="14"/>
  <c r="DZ106" i="14"/>
  <c r="DU108" i="14"/>
  <c r="DV107" i="14"/>
  <c r="DU85" i="18"/>
  <c r="DV84" i="18"/>
  <c r="DZ83" i="18"/>
  <c r="DZ80" i="18"/>
  <c r="DV82" i="18"/>
  <c r="EP21" i="2"/>
  <c r="EP53" i="2" s="1"/>
  <c r="EO21" i="2"/>
  <c r="EO53" i="2" s="1"/>
  <c r="DJ157" i="14"/>
  <c r="DJ178" i="14"/>
  <c r="DF96" i="14"/>
  <c r="DF71" i="18"/>
  <c r="EB179" i="14"/>
  <c r="DT72" i="18"/>
  <c r="DM153" i="14"/>
  <c r="DT97" i="14"/>
  <c r="EG80" i="18"/>
  <c r="DO101" i="14"/>
  <c r="DO98" i="14"/>
  <c r="DO100" i="14"/>
  <c r="DP100" i="14"/>
  <c r="DP98" i="14"/>
  <c r="DO79" i="18"/>
  <c r="DT83" i="18" s="1"/>
  <c r="DO183" i="14"/>
  <c r="DO184" i="14"/>
  <c r="DO103" i="14"/>
  <c r="DT104" i="14" s="1"/>
  <c r="DO181" i="14"/>
  <c r="DP181" i="14"/>
  <c r="DP183" i="14"/>
  <c r="DD96" i="14"/>
  <c r="DD71" i="18"/>
  <c r="EP24" i="2"/>
  <c r="EO24" i="2"/>
  <c r="DJ71" i="18"/>
  <c r="DO75" i="18" s="1"/>
  <c r="DJ96" i="14"/>
  <c r="DO99" i="14" s="1"/>
  <c r="DJ160" i="14"/>
  <c r="DJ158" i="14"/>
  <c r="DJ156" i="14"/>
  <c r="DJ159" i="14"/>
  <c r="DK158" i="14"/>
  <c r="DK156" i="14"/>
  <c r="DO77" i="18"/>
  <c r="DO74" i="18"/>
  <c r="DO76" i="18"/>
  <c r="DP74" i="18"/>
  <c r="DP76" i="18"/>
  <c r="DT107" i="14"/>
  <c r="DT108" i="14"/>
  <c r="DT105" i="14"/>
  <c r="DU105" i="14"/>
  <c r="DU107" i="14"/>
  <c r="DY104" i="14"/>
  <c r="EO19" i="2"/>
  <c r="EO103" i="2" s="1"/>
  <c r="EG106" i="14"/>
  <c r="DT182" i="14"/>
  <c r="DR178" i="14"/>
  <c r="EB85" i="18"/>
  <c r="DR96" i="14"/>
  <c r="DR159" i="14"/>
  <c r="DR71" i="18"/>
  <c r="DR160" i="14"/>
  <c r="DR157" i="14"/>
  <c r="DW157" i="14"/>
  <c r="DW154" i="14"/>
  <c r="DT85" i="18"/>
  <c r="DT82" i="18"/>
  <c r="DT84" i="18"/>
  <c r="DU82" i="18"/>
  <c r="DU84" i="18"/>
  <c r="DY83" i="18"/>
  <c r="EB108" i="14"/>
  <c r="DW79" i="18"/>
  <c r="EB83" i="18" s="1"/>
  <c r="DW103" i="14"/>
  <c r="DW184" i="14"/>
  <c r="EV164" i="3" l="1"/>
  <c r="FA165" i="3" s="1"/>
  <c r="FA28" i="3"/>
  <c r="FA25" i="3"/>
  <c r="ET165" i="3"/>
  <c r="EY165" i="3"/>
  <c r="EU12" i="7"/>
  <c r="EY11" i="7"/>
  <c r="EY67" i="3"/>
  <c r="EY69" i="3"/>
  <c r="FI88" i="3"/>
  <c r="FN88" i="3" s="1"/>
  <c r="FS88" i="3" s="1"/>
  <c r="FX88" i="3" s="1"/>
  <c r="GC88" i="3" s="1"/>
  <c r="GH88" i="3" s="1"/>
  <c r="EV110" i="3"/>
  <c r="EV100" i="3"/>
  <c r="EV105" i="3"/>
  <c r="EV16" i="17"/>
  <c r="DL100" i="14"/>
  <c r="DK101" i="14"/>
  <c r="DP97" i="14"/>
  <c r="DP99" i="14"/>
  <c r="DK99" i="14"/>
  <c r="DM161" i="14"/>
  <c r="DW182" i="14"/>
  <c r="DK103" i="14"/>
  <c r="DK108" i="14" s="1"/>
  <c r="DN182" i="14"/>
  <c r="DQ105" i="14"/>
  <c r="DP108" i="14"/>
  <c r="DU106" i="14"/>
  <c r="DU104" i="14"/>
  <c r="DU83" i="18"/>
  <c r="EU68" i="3"/>
  <c r="EU70" i="3"/>
  <c r="EV66" i="3"/>
  <c r="FI95" i="3"/>
  <c r="FN95" i="3" s="1"/>
  <c r="FS95" i="3" s="1"/>
  <c r="FX95" i="3" s="1"/>
  <c r="GC95" i="3" s="1"/>
  <c r="GH95" i="3" s="1"/>
  <c r="EV56" i="17"/>
  <c r="EV28" i="3"/>
  <c r="EV56" i="14"/>
  <c r="EV25" i="3"/>
  <c r="EV10" i="7"/>
  <c r="FA11" i="7" s="1"/>
  <c r="EV81" i="3"/>
  <c r="EV88" i="3"/>
  <c r="EV95" i="3"/>
  <c r="EV22" i="3"/>
  <c r="EV15" i="3"/>
  <c r="ET69" i="29"/>
  <c r="ET70" i="29" s="1"/>
  <c r="DL74" i="18"/>
  <c r="DL76" i="18"/>
  <c r="DK77" i="18"/>
  <c r="DP72" i="18"/>
  <c r="ET44" i="7"/>
  <c r="ET54" i="7"/>
  <c r="ET21" i="7"/>
  <c r="ET29" i="7"/>
  <c r="ET49" i="7"/>
  <c r="ET40" i="7"/>
  <c r="ET28" i="7"/>
  <c r="ET36" i="7"/>
  <c r="ET65" i="29"/>
  <c r="ET64" i="29"/>
  <c r="ET97" i="5"/>
  <c r="ET151" i="5"/>
  <c r="ET78" i="5"/>
  <c r="ET91" i="5"/>
  <c r="ET143" i="5"/>
  <c r="ET109" i="5"/>
  <c r="ET87" i="5"/>
  <c r="ET94" i="5"/>
  <c r="ET75" i="5"/>
  <c r="ET89" i="5"/>
  <c r="ET71" i="3"/>
  <c r="ET70" i="3"/>
  <c r="ET67" i="3"/>
  <c r="ET68" i="3"/>
  <c r="ET118" i="3"/>
  <c r="ET177" i="3" s="1"/>
  <c r="ET69" i="3"/>
  <c r="DN75" i="18"/>
  <c r="DL183" i="14"/>
  <c r="DK182" i="14"/>
  <c r="DP182" i="14"/>
  <c r="DK184" i="14"/>
  <c r="DK79" i="18"/>
  <c r="DP80" i="18" s="1"/>
  <c r="DL181" i="14"/>
  <c r="DN72" i="18"/>
  <c r="DP85" i="18"/>
  <c r="DQ84" i="18"/>
  <c r="DU80" i="18"/>
  <c r="DN107" i="14"/>
  <c r="DI77" i="18"/>
  <c r="DN105" i="14"/>
  <c r="DI76" i="18"/>
  <c r="DM160" i="14"/>
  <c r="DI75" i="18"/>
  <c r="DI103" i="14"/>
  <c r="DI104" i="14" s="1"/>
  <c r="DI79" i="18"/>
  <c r="DN83" i="18" s="1"/>
  <c r="DI183" i="14"/>
  <c r="DI181" i="14"/>
  <c r="DI182" i="14"/>
  <c r="DM178" i="14"/>
  <c r="DI184" i="14"/>
  <c r="DI98" i="14"/>
  <c r="DI100" i="14"/>
  <c r="DI101" i="14"/>
  <c r="DI97" i="14"/>
  <c r="DN99" i="14"/>
  <c r="DN84" i="18"/>
  <c r="DN85" i="18"/>
  <c r="DS83" i="18"/>
  <c r="DN82" i="18"/>
  <c r="EU99" i="3"/>
  <c r="DS106" i="14"/>
  <c r="DN108" i="14"/>
  <c r="DI72" i="18"/>
  <c r="EQ21" i="2"/>
  <c r="EQ53" i="2" s="1"/>
  <c r="EV56" i="15"/>
  <c r="EV56" i="5"/>
  <c r="EV63" i="5" s="1"/>
  <c r="ET12" i="7"/>
  <c r="ET11" i="7"/>
  <c r="DO182" i="14"/>
  <c r="DT106" i="14"/>
  <c r="DJ79" i="18"/>
  <c r="DO83" i="18" s="1"/>
  <c r="DJ184" i="14"/>
  <c r="DJ103" i="14"/>
  <c r="DO106" i="14" s="1"/>
  <c r="DJ181" i="14"/>
  <c r="DJ183" i="14"/>
  <c r="DJ182" i="14"/>
  <c r="DK181" i="14"/>
  <c r="DK183" i="14"/>
  <c r="DI99" i="14"/>
  <c r="DR154" i="14"/>
  <c r="DT80" i="18"/>
  <c r="DK75" i="18"/>
  <c r="DF72" i="18"/>
  <c r="DF77" i="18"/>
  <c r="DG76" i="18"/>
  <c r="DK72" i="18"/>
  <c r="DG74" i="18"/>
  <c r="DK97" i="14"/>
  <c r="DG100" i="14"/>
  <c r="DG98" i="14"/>
  <c r="DF101" i="14"/>
  <c r="DM157" i="14"/>
  <c r="DM71" i="18"/>
  <c r="DM77" i="18" s="1"/>
  <c r="DM159" i="14"/>
  <c r="DM96" i="14"/>
  <c r="DM99" i="14" s="1"/>
  <c r="DW179" i="14"/>
  <c r="DJ76" i="18"/>
  <c r="DJ74" i="18"/>
  <c r="DJ77" i="18"/>
  <c r="DK74" i="18"/>
  <c r="DK76" i="18"/>
  <c r="DD76" i="18"/>
  <c r="DD74" i="18"/>
  <c r="DD77" i="18"/>
  <c r="DD72" i="18"/>
  <c r="DD100" i="14"/>
  <c r="DD101" i="14"/>
  <c r="DD98" i="14"/>
  <c r="EB80" i="18"/>
  <c r="DR77" i="18"/>
  <c r="DW72" i="18"/>
  <c r="DW75" i="18"/>
  <c r="DR79" i="18"/>
  <c r="DW80" i="18" s="1"/>
  <c r="DR184" i="14"/>
  <c r="DR103" i="14"/>
  <c r="DW106" i="14" s="1"/>
  <c r="DE96" i="14"/>
  <c r="DJ97" i="14" s="1"/>
  <c r="DE71" i="18"/>
  <c r="DJ75" i="18" s="1"/>
  <c r="DW108" i="14"/>
  <c r="DO72" i="18"/>
  <c r="EO88" i="2"/>
  <c r="EO73" i="2"/>
  <c r="DO84" i="18"/>
  <c r="DO82" i="18"/>
  <c r="DO85" i="18"/>
  <c r="DP82" i="18"/>
  <c r="DP84" i="18"/>
  <c r="EB106" i="14"/>
  <c r="DW85" i="18"/>
  <c r="EB104" i="14"/>
  <c r="DR101" i="14"/>
  <c r="DW97" i="14"/>
  <c r="DW99" i="14"/>
  <c r="DJ100" i="14"/>
  <c r="DJ101" i="14"/>
  <c r="DJ98" i="14"/>
  <c r="DK100" i="14"/>
  <c r="DK98" i="14"/>
  <c r="EP73" i="2"/>
  <c r="EP88" i="2"/>
  <c r="DO108" i="14"/>
  <c r="DO105" i="14"/>
  <c r="DO107" i="14"/>
  <c r="DP105" i="14"/>
  <c r="DP107" i="14"/>
  <c r="DO97" i="14"/>
  <c r="EV165" i="3" l="1"/>
  <c r="FA66" i="5"/>
  <c r="FA65" i="5"/>
  <c r="FA69" i="3"/>
  <c r="FA67" i="3"/>
  <c r="EU42" i="7"/>
  <c r="EY41" i="7"/>
  <c r="EY121" i="3"/>
  <c r="EY119" i="3"/>
  <c r="EU51" i="7"/>
  <c r="EY50" i="7"/>
  <c r="EU46" i="7"/>
  <c r="EY45" i="7"/>
  <c r="EY66" i="5"/>
  <c r="EY65" i="5"/>
  <c r="EU56" i="7"/>
  <c r="EY55" i="7"/>
  <c r="DL107" i="14"/>
  <c r="DP106" i="14"/>
  <c r="DL105" i="14"/>
  <c r="DK106" i="14"/>
  <c r="DP104" i="14"/>
  <c r="DK104" i="14"/>
  <c r="DM103" i="14"/>
  <c r="DM104" i="14" s="1"/>
  <c r="DI83" i="18"/>
  <c r="EV71" i="3"/>
  <c r="EV69" i="3"/>
  <c r="EV67" i="3"/>
  <c r="EV11" i="7"/>
  <c r="EV21" i="7"/>
  <c r="EV29" i="7"/>
  <c r="EV28" i="7"/>
  <c r="EV36" i="7"/>
  <c r="EV44" i="7"/>
  <c r="EV49" i="7"/>
  <c r="EV54" i="7"/>
  <c r="EV40" i="7"/>
  <c r="FA41" i="7" s="1"/>
  <c r="EU122" i="3"/>
  <c r="EU120" i="3"/>
  <c r="EV118" i="3"/>
  <c r="ET230" i="3"/>
  <c r="ET232" i="3" s="1"/>
  <c r="ET233" i="3" s="1"/>
  <c r="ET42" i="7"/>
  <c r="ET41" i="7"/>
  <c r="ET51" i="7"/>
  <c r="ET50" i="7"/>
  <c r="ET134" i="3"/>
  <c r="EV134" i="3" s="1"/>
  <c r="EV137" i="3" s="1"/>
  <c r="EV102" i="29" s="1"/>
  <c r="ET122" i="3"/>
  <c r="ET121" i="3"/>
  <c r="ET120" i="3"/>
  <c r="ET119" i="3"/>
  <c r="ET123" i="3"/>
  <c r="ET65" i="5"/>
  <c r="ET66" i="5"/>
  <c r="ET56" i="7"/>
  <c r="ET55" i="7"/>
  <c r="ET46" i="7"/>
  <c r="ET45" i="7"/>
  <c r="DL82" i="18"/>
  <c r="DP83" i="18"/>
  <c r="DK85" i="18"/>
  <c r="DL84" i="18"/>
  <c r="DK83" i="18"/>
  <c r="DK80" i="18"/>
  <c r="DI82" i="18"/>
  <c r="DI107" i="14"/>
  <c r="DI84" i="18"/>
  <c r="DN80" i="18"/>
  <c r="DI85" i="18"/>
  <c r="DI80" i="18"/>
  <c r="DR182" i="14"/>
  <c r="DI105" i="14"/>
  <c r="DN106" i="14"/>
  <c r="DN104" i="14"/>
  <c r="DI106" i="14"/>
  <c r="DI108" i="14"/>
  <c r="DM79" i="18"/>
  <c r="DM80" i="18" s="1"/>
  <c r="DM182" i="14"/>
  <c r="DM184" i="14"/>
  <c r="DM179" i="14"/>
  <c r="DR179" i="14"/>
  <c r="DO104" i="14"/>
  <c r="ET10" i="30"/>
  <c r="EV91" i="5"/>
  <c r="EV94" i="5"/>
  <c r="EV97" i="5"/>
  <c r="EV78" i="5"/>
  <c r="EV89" i="5"/>
  <c r="EV87" i="5"/>
  <c r="EV75" i="5"/>
  <c r="DO80" i="18"/>
  <c r="DM75" i="18"/>
  <c r="DR75" i="18"/>
  <c r="DR72" i="18"/>
  <c r="DM72" i="18"/>
  <c r="DJ83" i="18"/>
  <c r="DJ80" i="18"/>
  <c r="DJ84" i="18"/>
  <c r="DJ85" i="18"/>
  <c r="DJ82" i="18"/>
  <c r="DK82" i="18"/>
  <c r="DK84" i="18"/>
  <c r="DJ105" i="14"/>
  <c r="DJ107" i="14"/>
  <c r="DJ108" i="14"/>
  <c r="DJ106" i="14"/>
  <c r="DJ104" i="14"/>
  <c r="DK107" i="14"/>
  <c r="DK105" i="14"/>
  <c r="DM97" i="14"/>
  <c r="DW83" i="18"/>
  <c r="DR97" i="14"/>
  <c r="DR99" i="14"/>
  <c r="DM101" i="14"/>
  <c r="DW104" i="14"/>
  <c r="DJ99" i="14"/>
  <c r="EV65" i="5"/>
  <c r="EV66" i="5"/>
  <c r="DE76" i="18"/>
  <c r="DE74" i="18"/>
  <c r="DE77" i="18"/>
  <c r="DE72" i="18"/>
  <c r="DF76" i="18"/>
  <c r="DF74" i="18"/>
  <c r="DE101" i="14"/>
  <c r="DE98" i="14"/>
  <c r="DE100" i="14"/>
  <c r="DF100" i="14"/>
  <c r="DF98" i="14"/>
  <c r="DR85" i="18"/>
  <c r="DR108" i="14"/>
  <c r="DJ72" i="18"/>
  <c r="EV55" i="7" l="1"/>
  <c r="FA55" i="7"/>
  <c r="EV45" i="7"/>
  <c r="FA45" i="7"/>
  <c r="EV50" i="7"/>
  <c r="FA50" i="7"/>
  <c r="EV177" i="3"/>
  <c r="FA178" i="3" s="1"/>
  <c r="FA119" i="3"/>
  <c r="FA121" i="3"/>
  <c r="EY124" i="3"/>
  <c r="ET178" i="3"/>
  <c r="EY178" i="3"/>
  <c r="ET72" i="5"/>
  <c r="ET71" i="5"/>
  <c r="EY71" i="5"/>
  <c r="EY72" i="5"/>
  <c r="DM108" i="14"/>
  <c r="DM106" i="14"/>
  <c r="DR106" i="14"/>
  <c r="DR104" i="14"/>
  <c r="EV230" i="3"/>
  <c r="EV121" i="3"/>
  <c r="EV123" i="3"/>
  <c r="EV119" i="3"/>
  <c r="EV41" i="7"/>
  <c r="ET124" i="3"/>
  <c r="ET139" i="3"/>
  <c r="ET137" i="3"/>
  <c r="ET11" i="30"/>
  <c r="DR80" i="18"/>
  <c r="DR83" i="18"/>
  <c r="DM83" i="18"/>
  <c r="DM85" i="18"/>
  <c r="ET13" i="30"/>
  <c r="ET14" i="30"/>
  <c r="ET12" i="30"/>
  <c r="ET37" i="30"/>
  <c r="ET36" i="30"/>
  <c r="ET56" i="6"/>
  <c r="EV28" i="6"/>
  <c r="EV88" i="5" s="1"/>
  <c r="EV29" i="6"/>
  <c r="EV95" i="5" s="1"/>
  <c r="EV24" i="6"/>
  <c r="EV76" i="5" s="1"/>
  <c r="EV25" i="6"/>
  <c r="EV79" i="5" s="1"/>
  <c r="EV22" i="6"/>
  <c r="EV67" i="5" s="1"/>
  <c r="EV23" i="6"/>
  <c r="EV73" i="5" s="1"/>
  <c r="EV30" i="6"/>
  <c r="EV98" i="5" s="1"/>
  <c r="EV178" i="3" l="1"/>
  <c r="EV139" i="3"/>
  <c r="EV190" i="3" s="1"/>
  <c r="EV191" i="3" s="1"/>
  <c r="ET190" i="3"/>
  <c r="FA124" i="3"/>
  <c r="EV124" i="3"/>
  <c r="EV10" i="6"/>
  <c r="EV140" i="3"/>
  <c r="EV143" i="3"/>
  <c r="EV144" i="3" s="1"/>
  <c r="ET10" i="6"/>
  <c r="FD66" i="5"/>
  <c r="FD65" i="5"/>
  <c r="ET102" i="29"/>
  <c r="ET103" i="29" s="1"/>
  <c r="ET140" i="3"/>
  <c r="ET212" i="3"/>
  <c r="EY213" i="3" s="1"/>
  <c r="ET147" i="3"/>
  <c r="ET203" i="3" s="1"/>
  <c r="ET143" i="3"/>
  <c r="EY144" i="3" s="1"/>
  <c r="ES40" i="8"/>
  <c r="ES41" i="8" s="1"/>
  <c r="ET46" i="6"/>
  <c r="EV147" i="5"/>
  <c r="EV47" i="5"/>
  <c r="EY148" i="3" l="1"/>
  <c r="ET191" i="3"/>
  <c r="EY191" i="3"/>
  <c r="EU149" i="3"/>
  <c r="EV54" i="30"/>
  <c r="EU145" i="3"/>
  <c r="ET213" i="3"/>
  <c r="EV212" i="3"/>
  <c r="EV213" i="3" s="1"/>
  <c r="ET144" i="3"/>
  <c r="ET145" i="3"/>
  <c r="FI66" i="5"/>
  <c r="FI65" i="5"/>
  <c r="ET149" i="3"/>
  <c r="ET46" i="8"/>
  <c r="ET148" i="3"/>
  <c r="EV18" i="5"/>
  <c r="ET204" i="3" l="1"/>
  <c r="EY204" i="3"/>
  <c r="EV55" i="30"/>
  <c r="FN65" i="5"/>
  <c r="FN66" i="5"/>
  <c r="FS65" i="5" l="1"/>
  <c r="FS66" i="5"/>
  <c r="GC65" i="5" l="1"/>
  <c r="GC66" i="5"/>
  <c r="EV152" i="3"/>
  <c r="FX66" i="5"/>
  <c r="FX65" i="5"/>
  <c r="EV147" i="3" l="1"/>
  <c r="EV203" i="3" s="1"/>
  <c r="EV17" i="8"/>
  <c r="FA18" i="8" s="1"/>
  <c r="EV46" i="8" l="1"/>
  <c r="CI149" i="3"/>
  <c r="EV204" i="3"/>
  <c r="EV148" i="3"/>
  <c r="EV18" i="8"/>
  <c r="EV16" i="8"/>
  <c r="FV359" i="14" l="1"/>
  <c r="FV370" i="14"/>
  <c r="FV351" i="14"/>
  <c r="FV348" i="14"/>
  <c r="FQ359" i="14"/>
  <c r="FQ370" i="14"/>
  <c r="FQ351" i="14"/>
  <c r="FQ348" i="14"/>
  <c r="FL359" i="14"/>
  <c r="FL351" i="14"/>
  <c r="FL370" i="14"/>
  <c r="FL348" i="14"/>
  <c r="FG359" i="14"/>
  <c r="FG351" i="14"/>
  <c r="FG370" i="14"/>
  <c r="FG348" i="14"/>
  <c r="FB359" i="14"/>
  <c r="FB370" i="14"/>
  <c r="FB351" i="14"/>
  <c r="FB348" i="14"/>
  <c r="DT180" i="17" l="1"/>
  <c r="DU178" i="17"/>
  <c r="DU180" i="17"/>
  <c r="DT178" i="17"/>
  <c r="DT168" i="17"/>
  <c r="DY168" i="17" s="1"/>
  <c r="DT173" i="17" l="1"/>
  <c r="DU171" i="17"/>
  <c r="DO168" i="17"/>
  <c r="DO173" i="17" s="1"/>
  <c r="DZ171" i="17"/>
  <c r="ED172" i="17"/>
  <c r="DY174" i="17"/>
  <c r="DY176" i="17"/>
  <c r="EB168" i="17"/>
  <c r="DZ173" i="17"/>
  <c r="DY171" i="17"/>
  <c r="DY173" i="17"/>
  <c r="DY172" i="17"/>
  <c r="DU173" i="17"/>
  <c r="DW168" i="17"/>
  <c r="DT171" i="17"/>
  <c r="DT174" i="17"/>
  <c r="DO174" i="17" l="1"/>
  <c r="DO171" i="17"/>
  <c r="DJ168" i="17"/>
  <c r="DO172" i="17" s="1"/>
  <c r="DP173" i="17"/>
  <c r="DO176" i="17"/>
  <c r="DR168" i="17"/>
  <c r="DW172" i="17" s="1"/>
  <c r="DT172" i="17"/>
  <c r="DP171" i="17"/>
  <c r="DW176" i="17"/>
  <c r="DW174" i="17"/>
  <c r="EB172" i="17"/>
  <c r="EB176" i="17"/>
  <c r="EG172" i="17"/>
  <c r="EB169" i="17"/>
  <c r="EB174" i="17"/>
  <c r="EG169" i="17"/>
  <c r="DY178" i="17"/>
  <c r="ED177" i="17"/>
  <c r="DY177" i="17"/>
  <c r="DZ178" i="17"/>
  <c r="DY179" i="17"/>
  <c r="DY180" i="17"/>
  <c r="ED179" i="17"/>
  <c r="DZ180" i="17"/>
  <c r="DY181" i="17"/>
  <c r="DY79" i="42" l="1"/>
  <c r="EB79" i="42"/>
  <c r="DK173" i="17"/>
  <c r="DP180" i="17"/>
  <c r="DE168" i="17"/>
  <c r="DJ172" i="17" s="1"/>
  <c r="DJ171" i="17"/>
  <c r="DJ173" i="17"/>
  <c r="DM168" i="17"/>
  <c r="DR169" i="17" s="1"/>
  <c r="DK171" i="17"/>
  <c r="DO180" i="17"/>
  <c r="DR174" i="17"/>
  <c r="DO178" i="17"/>
  <c r="DT177" i="17"/>
  <c r="DO181" i="17"/>
  <c r="DT179" i="17"/>
  <c r="DP178" i="17"/>
  <c r="DR176" i="17"/>
  <c r="DW169" i="17"/>
  <c r="DW181" i="17"/>
  <c r="EG177" i="17"/>
  <c r="EB177" i="17"/>
  <c r="EG179" i="17"/>
  <c r="EB179" i="17"/>
  <c r="EB181" i="17"/>
  <c r="EG80" i="42" l="1"/>
  <c r="EB82" i="42"/>
  <c r="DW79" i="42"/>
  <c r="DY81" i="42"/>
  <c r="DY80" i="42"/>
  <c r="DY82" i="42"/>
  <c r="DZ81" i="42"/>
  <c r="ED80" i="42"/>
  <c r="DO79" i="42"/>
  <c r="DR181" i="17"/>
  <c r="DE171" i="17"/>
  <c r="DF173" i="17"/>
  <c r="DF171" i="17"/>
  <c r="DH168" i="17"/>
  <c r="DM169" i="17" s="1"/>
  <c r="DM176" i="17"/>
  <c r="DM174" i="17"/>
  <c r="DR172" i="17"/>
  <c r="DE173" i="17"/>
  <c r="DW177" i="17"/>
  <c r="DW179" i="17"/>
  <c r="DW82" i="42" l="1"/>
  <c r="DO80" i="42"/>
  <c r="DO81" i="42"/>
  <c r="DO82" i="42"/>
  <c r="DT80" i="42"/>
  <c r="DP81" i="42"/>
  <c r="EB80" i="42"/>
  <c r="DM181" i="17"/>
  <c r="DM172" i="17"/>
  <c r="DR177" i="17"/>
  <c r="DR179" i="17"/>
  <c r="DR79" i="42" l="1"/>
  <c r="DR82" i="42" l="1"/>
  <c r="DW80" i="42"/>
  <c r="DM79" i="42"/>
  <c r="DM80" i="42" l="1"/>
  <c r="DM82" i="42"/>
  <c r="DR80" i="42"/>
  <c r="EV57" i="5"/>
  <c r="EV69" i="5" s="1"/>
  <c r="ET36" i="5"/>
  <c r="ET51" i="5" s="1"/>
  <c r="FA72" i="5" l="1"/>
  <c r="FA71" i="5"/>
  <c r="EV81" i="5"/>
  <c r="EV26" i="6"/>
  <c r="ET44" i="5"/>
  <c r="EV83" i="5" l="1"/>
  <c r="FA84" i="5"/>
  <c r="FA83" i="5"/>
  <c r="EV71" i="5"/>
  <c r="EV72" i="5"/>
  <c r="EV84" i="5"/>
  <c r="EV85" i="5"/>
  <c r="EV48" i="5" l="1"/>
  <c r="EV50" i="5" l="1"/>
  <c r="EV51" i="5" l="1"/>
  <c r="FO81" i="3" l="1"/>
  <c r="FT81" i="3" s="1"/>
  <c r="FY81" i="3" s="1"/>
  <c r="GD81" i="3" s="1"/>
  <c r="GI81" i="3" s="1"/>
  <c r="FN81" i="3"/>
  <c r="FS81" i="3" l="1"/>
  <c r="FX81" i="3" s="1"/>
  <c r="GC81" i="3" s="1"/>
  <c r="GH81" i="3" s="1"/>
  <c r="DN118" i="5" l="1"/>
  <c r="DI118" i="5"/>
  <c r="DN20" i="30"/>
  <c r="DI115" i="5"/>
  <c r="DI119" i="5"/>
  <c r="DN116" i="5"/>
  <c r="DJ119" i="5"/>
  <c r="DR118" i="5"/>
  <c r="DR85" i="6"/>
  <c r="DN85" i="6"/>
  <c r="DR116" i="5" l="1"/>
  <c r="DJ21" i="30"/>
  <c r="DI20" i="30"/>
  <c r="DM115" i="5"/>
  <c r="DR20" i="30"/>
  <c r="DP131" i="5"/>
  <c r="DO131" i="5"/>
  <c r="DQ131" i="5"/>
  <c r="DN131" i="5"/>
  <c r="DI24" i="30"/>
  <c r="DI21" i="30"/>
  <c r="DM118" i="5"/>
  <c r="DI15" i="30" l="1"/>
  <c r="DI22" i="30"/>
  <c r="DI26" i="30"/>
  <c r="DI27" i="30"/>
  <c r="DI28" i="30"/>
  <c r="DI25" i="30"/>
  <c r="DJ28" i="30"/>
  <c r="DJ26" i="30"/>
  <c r="DM20" i="30"/>
  <c r="DM24" i="30"/>
  <c r="DI39" i="30"/>
  <c r="DN40" i="30"/>
  <c r="DN27" i="30"/>
  <c r="DN25" i="30"/>
  <c r="DK131" i="5"/>
  <c r="DL131" i="5"/>
  <c r="DJ131" i="5"/>
  <c r="DI131" i="5"/>
  <c r="DM15" i="30" l="1"/>
  <c r="DM22" i="30"/>
  <c r="DM27" i="30"/>
  <c r="DM25" i="30"/>
  <c r="DR27" i="30"/>
  <c r="DR40" i="30"/>
  <c r="DM39" i="30"/>
  <c r="DR25" i="30"/>
  <c r="ES285" i="14" l="1"/>
  <c r="ES282" i="14" s="1"/>
  <c r="ER285" i="14"/>
  <c r="ER282" i="14" s="1"/>
  <c r="ER289" i="14" l="1"/>
  <c r="ES289" i="14" l="1"/>
  <c r="ET289" i="14" l="1"/>
  <c r="EU289" i="14" l="1"/>
  <c r="ER268" i="14"/>
  <c r="ER96" i="14"/>
  <c r="ER270" i="14"/>
  <c r="ER301" i="14"/>
  <c r="ET270" i="14" l="1"/>
  <c r="EW302" i="14"/>
  <c r="EW304" i="14"/>
  <c r="ER101" i="14"/>
  <c r="ER99" i="14"/>
  <c r="ER97" i="14"/>
  <c r="EW268" i="14"/>
  <c r="ER304" i="14"/>
  <c r="ER302" i="14"/>
  <c r="ER103" i="14"/>
  <c r="ER306" i="14"/>
  <c r="EU270" i="14" l="1"/>
  <c r="EU264" i="14" s="1"/>
  <c r="EZ264" i="14" s="1"/>
  <c r="ET264" i="14"/>
  <c r="ET278" i="14" s="1"/>
  <c r="ES270" i="14"/>
  <c r="ES264" i="14" s="1"/>
  <c r="ER106" i="14"/>
  <c r="ER104" i="14"/>
  <c r="ER108" i="14"/>
  <c r="FB268" i="14"/>
  <c r="EZ278" i="14" l="1"/>
  <c r="EZ268" i="14"/>
  <c r="EZ301" i="14"/>
  <c r="EZ269" i="14"/>
  <c r="ES267" i="14"/>
  <c r="ES278" i="14"/>
  <c r="EW269" i="14"/>
  <c r="EU278" i="14"/>
  <c r="EY264" i="14"/>
  <c r="EZ267" i="14" s="1"/>
  <c r="ET267" i="14"/>
  <c r="EU96" i="14"/>
  <c r="EU101" i="14" s="1"/>
  <c r="EU267" i="14"/>
  <c r="EW267" i="14"/>
  <c r="EV264" i="14"/>
  <c r="EV278" i="14" s="1"/>
  <c r="EX264" i="14"/>
  <c r="EU269" i="14"/>
  <c r="EO264" i="14"/>
  <c r="EO278" i="14" s="1"/>
  <c r="EO279" i="14" s="1"/>
  <c r="ET269" i="14"/>
  <c r="ET96" i="14"/>
  <c r="EN264" i="14"/>
  <c r="ES269" i="14"/>
  <c r="ES96" i="14"/>
  <c r="ES301" i="14"/>
  <c r="EP264" i="14"/>
  <c r="FC302" i="14"/>
  <c r="FD302" i="14" s="1"/>
  <c r="FE302" i="14" s="1"/>
  <c r="FG302" i="14" s="1"/>
  <c r="EW259" i="14"/>
  <c r="EX278" i="14" l="1"/>
  <c r="FC278" i="14" s="1"/>
  <c r="FC264" i="14" s="1"/>
  <c r="FC265" i="14" s="1"/>
  <c r="FA264" i="14"/>
  <c r="EZ306" i="14"/>
  <c r="EZ279" i="14"/>
  <c r="FB269" i="14"/>
  <c r="FE278" i="14"/>
  <c r="FH278" i="14"/>
  <c r="ER267" i="14"/>
  <c r="EP278" i="14"/>
  <c r="EP279" i="14" s="1"/>
  <c r="ES268" i="14"/>
  <c r="EN278" i="14"/>
  <c r="EN279" i="14" s="1"/>
  <c r="EY301" i="14"/>
  <c r="EY306" i="14" s="1"/>
  <c r="EY278" i="14"/>
  <c r="ET279" i="14"/>
  <c r="EU98" i="14"/>
  <c r="FB267" i="14"/>
  <c r="EV96" i="14"/>
  <c r="EV101" i="14" s="1"/>
  <c r="EX301" i="14"/>
  <c r="EX74" i="2"/>
  <c r="EX120" i="2"/>
  <c r="EX35" i="2"/>
  <c r="EX54" i="2"/>
  <c r="ES101" i="14"/>
  <c r="ES100" i="14"/>
  <c r="ES98" i="14"/>
  <c r="ET101" i="14"/>
  <c r="ET98" i="14"/>
  <c r="ET100" i="14"/>
  <c r="EN268" i="14"/>
  <c r="EN267" i="14"/>
  <c r="EQ264" i="14"/>
  <c r="EN269" i="14"/>
  <c r="EN270" i="14"/>
  <c r="EN301" i="14"/>
  <c r="EN96" i="14"/>
  <c r="EO268" i="14"/>
  <c r="EO269" i="14"/>
  <c r="EO267" i="14"/>
  <c r="EO270" i="14"/>
  <c r="EO301" i="14"/>
  <c r="EO96" i="14"/>
  <c r="ET97" i="14" s="1"/>
  <c r="EP268" i="14"/>
  <c r="EP267" i="14"/>
  <c r="EP269" i="14"/>
  <c r="EP301" i="14"/>
  <c r="EP270" i="14"/>
  <c r="EP96" i="14"/>
  <c r="ER269" i="14"/>
  <c r="EU268" i="14"/>
  <c r="ES306" i="14"/>
  <c r="ES305" i="14"/>
  <c r="ES302" i="14"/>
  <c r="ES303" i="14"/>
  <c r="ES103" i="14"/>
  <c r="ET268" i="14"/>
  <c r="EU100" i="14"/>
  <c r="FL302" i="14"/>
  <c r="FH302" i="14"/>
  <c r="FI302" i="14" s="1"/>
  <c r="FJ302" i="14" s="1"/>
  <c r="EX279" i="14" l="1"/>
  <c r="FA301" i="14"/>
  <c r="FA306" i="14" s="1"/>
  <c r="FA270" i="14"/>
  <c r="FA278" i="14"/>
  <c r="FA279" i="14" s="1"/>
  <c r="FA265" i="14"/>
  <c r="FA268" i="14"/>
  <c r="EZ303" i="14"/>
  <c r="EZ305" i="14"/>
  <c r="FM278" i="14"/>
  <c r="FH264" i="14"/>
  <c r="EY279" i="14"/>
  <c r="FD278" i="14"/>
  <c r="FJ278" i="14"/>
  <c r="FE264" i="14"/>
  <c r="EY305" i="14"/>
  <c r="EU279" i="14"/>
  <c r="ES279" i="14"/>
  <c r="EY303" i="14"/>
  <c r="EX306" i="14"/>
  <c r="EX305" i="14"/>
  <c r="EX302" i="14"/>
  <c r="EX303" i="14"/>
  <c r="EX304" i="14"/>
  <c r="EQ278" i="14"/>
  <c r="EQ268" i="14"/>
  <c r="EQ270" i="14"/>
  <c r="EQ96" i="14"/>
  <c r="EV265" i="14"/>
  <c r="EV268" i="14"/>
  <c r="EN97" i="14"/>
  <c r="EN99" i="14"/>
  <c r="EN100" i="14"/>
  <c r="EN98" i="14"/>
  <c r="EN101" i="14"/>
  <c r="ES99" i="14"/>
  <c r="ES97" i="14"/>
  <c r="EO97" i="14"/>
  <c r="EO100" i="14"/>
  <c r="EO98" i="14"/>
  <c r="EO101" i="14"/>
  <c r="EO99" i="14"/>
  <c r="EN303" i="14"/>
  <c r="EN305" i="14"/>
  <c r="EN306" i="14"/>
  <c r="EN304" i="14"/>
  <c r="EQ301" i="14"/>
  <c r="EN103" i="14"/>
  <c r="ES104" i="14" s="1"/>
  <c r="ES304" i="14"/>
  <c r="EP306" i="14"/>
  <c r="EP303" i="14"/>
  <c r="EP304" i="14"/>
  <c r="EP305" i="14"/>
  <c r="EP103" i="14"/>
  <c r="ER305" i="14"/>
  <c r="ER303" i="14"/>
  <c r="EO303" i="14"/>
  <c r="EO304" i="14"/>
  <c r="EO306" i="14"/>
  <c r="EO305" i="14"/>
  <c r="EO103" i="14"/>
  <c r="EP97" i="14"/>
  <c r="EP101" i="14"/>
  <c r="EP99" i="14"/>
  <c r="EP98" i="14"/>
  <c r="EP100" i="14"/>
  <c r="ER100" i="14"/>
  <c r="ER98" i="14"/>
  <c r="EU97" i="14"/>
  <c r="EU99" i="14"/>
  <c r="ES108" i="14"/>
  <c r="ES105" i="14"/>
  <c r="ES107" i="14"/>
  <c r="ET99" i="14"/>
  <c r="EX259" i="14"/>
  <c r="FM302" i="14"/>
  <c r="FN302" i="14" s="1"/>
  <c r="FO302" i="14" s="1"/>
  <c r="FE265" i="14" l="1"/>
  <c r="FE268" i="14"/>
  <c r="FO278" i="14"/>
  <c r="FJ264" i="14"/>
  <c r="FI278" i="14"/>
  <c r="FD264" i="14"/>
  <c r="FD265" i="14" s="1"/>
  <c r="FR278" i="14"/>
  <c r="FM264" i="14"/>
  <c r="EQ279" i="14"/>
  <c r="EV279" i="14"/>
  <c r="ES106" i="14"/>
  <c r="EP104" i="14"/>
  <c r="EP108" i="14"/>
  <c r="EP106" i="14"/>
  <c r="EP105" i="14"/>
  <c r="EP107" i="14"/>
  <c r="ER105" i="14"/>
  <c r="ER107" i="14"/>
  <c r="EN104" i="14"/>
  <c r="EN105" i="14"/>
  <c r="EN107" i="14"/>
  <c r="EN108" i="14"/>
  <c r="EN106" i="14"/>
  <c r="EQ304" i="14"/>
  <c r="EQ306" i="14"/>
  <c r="EQ103" i="14"/>
  <c r="EQ99" i="14"/>
  <c r="EQ101" i="14"/>
  <c r="EQ97" i="14"/>
  <c r="EV99" i="14"/>
  <c r="EV97" i="14"/>
  <c r="EO108" i="14"/>
  <c r="EO104" i="14"/>
  <c r="EO105" i="14"/>
  <c r="EO107" i="14"/>
  <c r="EO106" i="14"/>
  <c r="FR302" i="14"/>
  <c r="FS302" i="14" s="1"/>
  <c r="FT302" i="14" s="1"/>
  <c r="FN278" i="14" l="1"/>
  <c r="FI264" i="14"/>
  <c r="FT278" i="14"/>
  <c r="FO264" i="14"/>
  <c r="FW278" i="14"/>
  <c r="FR264" i="14"/>
  <c r="EQ108" i="14"/>
  <c r="EQ106" i="14"/>
  <c r="EQ104" i="14"/>
  <c r="FW302" i="14"/>
  <c r="FX302" i="14" s="1"/>
  <c r="FY302" i="14" s="1"/>
  <c r="GA302" i="14"/>
  <c r="GB302" i="14" l="1"/>
  <c r="GC302" i="14" s="1"/>
  <c r="GD302" i="14" s="1"/>
  <c r="GF302" i="14"/>
  <c r="GG302" i="14" s="1"/>
  <c r="GH302" i="14" s="1"/>
  <c r="GI302" i="14" s="1"/>
  <c r="GB278" i="14"/>
  <c r="FW264" i="14"/>
  <c r="FY278" i="14"/>
  <c r="FT264" i="14"/>
  <c r="FS278" i="14"/>
  <c r="FN264" i="14"/>
  <c r="GB264" i="14" l="1"/>
  <c r="GG278" i="14"/>
  <c r="GG264" i="14" s="1"/>
  <c r="GG268" i="14" s="1"/>
  <c r="FX278" i="14"/>
  <c r="FS264" i="14"/>
  <c r="GD278" i="14"/>
  <c r="FY264" i="14"/>
  <c r="EV146" i="5"/>
  <c r="EV22" i="5"/>
  <c r="ET31" i="6"/>
  <c r="GG265" i="14" l="1"/>
  <c r="GG269" i="14"/>
  <c r="GG267" i="14"/>
  <c r="GD264" i="14"/>
  <c r="GI278" i="14"/>
  <c r="GI264" i="14" s="1"/>
  <c r="GC278" i="14"/>
  <c r="FX264" i="14"/>
  <c r="ET100" i="5"/>
  <c r="ET66" i="6"/>
  <c r="ET59" i="6"/>
  <c r="ET61" i="6" s="1"/>
  <c r="ET91" i="6"/>
  <c r="ET32" i="6"/>
  <c r="ET101" i="5" l="1"/>
  <c r="ET105" i="5"/>
  <c r="GC264" i="14"/>
  <c r="GH278" i="14"/>
  <c r="GH264" i="14" s="1"/>
  <c r="GI269" i="14" s="1"/>
  <c r="GI265" i="14"/>
  <c r="GI268" i="14"/>
  <c r="GF267" i="14"/>
  <c r="GF269" i="14"/>
  <c r="ET63" i="6"/>
  <c r="EU60" i="6"/>
  <c r="ET96" i="6"/>
  <c r="ET97" i="6" s="1"/>
  <c r="ET92" i="6"/>
  <c r="ET71" i="6"/>
  <c r="ET67" i="6"/>
  <c r="GJ264" i="14" l="1"/>
  <c r="GH265" i="14"/>
  <c r="GI267" i="14"/>
  <c r="GH268" i="14"/>
  <c r="GH269" i="14"/>
  <c r="GH267" i="14"/>
  <c r="GJ278" i="14"/>
  <c r="ET74" i="6"/>
  <c r="ET75" i="6" s="1"/>
  <c r="ET72" i="6"/>
  <c r="ET73" i="6"/>
  <c r="ET125" i="5"/>
  <c r="ET126" i="5" s="1"/>
  <c r="ET129" i="5"/>
  <c r="ET130" i="5" s="1"/>
  <c r="ET98" i="6"/>
  <c r="ET16" i="5" l="1"/>
  <c r="ET25" i="5" l="1"/>
  <c r="ET53" i="5" s="1"/>
  <c r="EV10" i="5"/>
  <c r="EV218" i="3" s="1"/>
  <c r="EV219" i="3" s="1"/>
  <c r="EU16" i="5"/>
  <c r="FB146" i="5" l="1"/>
  <c r="EV16" i="5"/>
  <c r="EU25" i="5"/>
  <c r="EU53" i="5" s="1"/>
  <c r="EV58" i="5"/>
  <c r="EV60" i="5" s="1"/>
  <c r="FB22" i="5"/>
  <c r="FC146" i="5" l="1"/>
  <c r="FC22" i="5"/>
  <c r="EV25" i="5"/>
  <c r="FD146" i="5" l="1"/>
  <c r="FD22" i="5"/>
  <c r="EV53" i="5"/>
  <c r="FE146" i="5" l="1"/>
  <c r="FE22" i="5"/>
  <c r="FF146" i="5" l="1"/>
  <c r="FF22" i="5"/>
  <c r="FG146" i="5" l="1"/>
  <c r="FG22" i="5"/>
  <c r="FH146" i="5" l="1"/>
  <c r="FH22" i="5"/>
  <c r="FI146" i="5" l="1"/>
  <c r="FI22" i="5"/>
  <c r="FJ146" i="5" l="1"/>
  <c r="FJ22" i="5"/>
  <c r="FK146" i="5" l="1"/>
  <c r="FK22" i="5"/>
  <c r="FL146" i="5" l="1"/>
  <c r="FL22" i="5"/>
  <c r="FM146" i="5" l="1"/>
  <c r="FM22" i="5"/>
  <c r="FN146" i="5" l="1"/>
  <c r="FN22" i="5"/>
  <c r="FO146" i="5" l="1"/>
  <c r="FO22" i="5"/>
  <c r="FP146" i="5" l="1"/>
  <c r="FP22" i="5"/>
  <c r="FQ146" i="5" l="1"/>
  <c r="FQ22" i="5"/>
  <c r="FR146" i="5" l="1"/>
  <c r="FR22" i="5"/>
  <c r="FS146" i="5" l="1"/>
  <c r="FS22" i="5"/>
  <c r="FT146" i="5" l="1"/>
  <c r="FT22" i="5"/>
  <c r="FU146" i="5" l="1"/>
  <c r="FV146" i="5" s="1"/>
  <c r="FW146" i="5" s="1"/>
  <c r="FX146" i="5" s="1"/>
  <c r="FY146" i="5" s="1"/>
  <c r="FU22" i="5"/>
  <c r="FV22" i="5" l="1"/>
  <c r="FW22" i="5" l="1"/>
  <c r="FZ146" i="5" l="1"/>
  <c r="GA146" i="5" s="1"/>
  <c r="GB146" i="5" s="1"/>
  <c r="GC146" i="5" s="1"/>
  <c r="GD146" i="5" s="1"/>
  <c r="GE146" i="5" s="1"/>
  <c r="GF146" i="5" s="1"/>
  <c r="GG146" i="5" s="1"/>
  <c r="GH146" i="5" s="1"/>
  <c r="GI146" i="5" s="1"/>
  <c r="GJ146" i="5" s="1"/>
  <c r="FX22" i="5"/>
  <c r="FY22" i="5" l="1"/>
  <c r="FZ22" i="5" l="1"/>
  <c r="GA22" i="5" s="1"/>
  <c r="GB22" i="5" s="1"/>
  <c r="GC22" i="5" s="1"/>
  <c r="GD22" i="5" s="1"/>
  <c r="GE22" i="5" s="1"/>
  <c r="GF22" i="5" s="1"/>
  <c r="GG22" i="5" s="1"/>
  <c r="GH22" i="5" s="1"/>
  <c r="GI22" i="5" s="1"/>
  <c r="GJ22" i="5" s="1"/>
  <c r="FC301" i="14" l="1"/>
  <c r="FB301" i="14"/>
  <c r="FB304" i="14" l="1"/>
  <c r="FH301" i="14"/>
  <c r="FB255" i="14"/>
  <c r="FG301" i="14"/>
  <c r="FC303" i="14"/>
  <c r="FC304" i="14"/>
  <c r="FC305" i="14"/>
  <c r="FH304" i="14" l="1"/>
  <c r="FH303" i="14"/>
  <c r="FM301" i="14"/>
  <c r="FB306" i="14"/>
  <c r="FH305" i="14"/>
  <c r="FL301" i="14"/>
  <c r="FG304" i="14"/>
  <c r="FB270" i="14"/>
  <c r="FB256" i="14"/>
  <c r="FB259" i="14"/>
  <c r="FR301" i="14" l="1"/>
  <c r="FM304" i="14"/>
  <c r="FM303" i="14"/>
  <c r="FQ301" i="14"/>
  <c r="FL304" i="14"/>
  <c r="FM305" i="14"/>
  <c r="FW301" i="14" l="1"/>
  <c r="FR304" i="14"/>
  <c r="FR305" i="14"/>
  <c r="FQ304" i="14"/>
  <c r="FV301" i="14"/>
  <c r="FR303" i="14"/>
  <c r="FW304" i="14" l="1"/>
  <c r="GB301" i="14"/>
  <c r="GG301" i="14" s="1"/>
  <c r="FW303" i="14"/>
  <c r="GA301" i="14"/>
  <c r="GF301" i="14" s="1"/>
  <c r="FW305" i="14"/>
  <c r="FV304" i="14"/>
  <c r="GF304" i="14" l="1"/>
  <c r="GF255" i="14"/>
  <c r="GF306" i="14" s="1"/>
  <c r="GG303" i="14"/>
  <c r="GG305" i="14"/>
  <c r="GG304" i="14"/>
  <c r="GG255" i="14"/>
  <c r="GG306" i="14" s="1"/>
  <c r="GB304" i="14"/>
  <c r="GA304" i="14"/>
  <c r="GB305" i="14"/>
  <c r="GB303" i="14"/>
  <c r="GG260" i="14" l="1"/>
  <c r="GG258" i="14"/>
  <c r="GG270" i="14"/>
  <c r="GF270" i="14"/>
  <c r="DA177" i="15"/>
  <c r="DA183" i="15" l="1"/>
  <c r="DA184" i="15"/>
  <c r="DA182" i="15"/>
  <c r="DB182" i="15"/>
  <c r="DB180" i="15"/>
  <c r="CV177" i="15"/>
  <c r="DA180" i="15"/>
  <c r="DC177" i="15"/>
  <c r="DA30" i="30"/>
  <c r="DF33" i="30" l="1"/>
  <c r="DF31" i="30"/>
  <c r="CV182" i="15"/>
  <c r="CV183" i="15"/>
  <c r="CW182" i="15"/>
  <c r="DC183" i="15"/>
  <c r="DC184" i="15"/>
  <c r="DH181" i="15"/>
  <c r="DH178" i="15"/>
  <c r="CV30" i="30"/>
  <c r="CQ37" i="30" s="1"/>
  <c r="CQ177" i="15"/>
  <c r="CW180" i="15"/>
  <c r="CX177" i="15"/>
  <c r="DC181" i="15" s="1"/>
  <c r="CV180" i="15"/>
  <c r="DC30" i="30"/>
  <c r="DA36" i="30"/>
  <c r="CV37" i="30"/>
  <c r="DH31" i="30" l="1"/>
  <c r="DH33" i="30"/>
  <c r="CQ182" i="15"/>
  <c r="CR182" i="15"/>
  <c r="CX183" i="15"/>
  <c r="CR180" i="15"/>
  <c r="CQ180" i="15"/>
  <c r="CV36" i="30"/>
  <c r="CS177" i="15"/>
  <c r="CX181" i="15" s="1"/>
  <c r="CL177" i="15"/>
  <c r="CN177" i="15" s="1"/>
  <c r="CQ30" i="30"/>
  <c r="CL37" i="30" s="1"/>
  <c r="CX30" i="30"/>
  <c r="DC178" i="15"/>
  <c r="CX37" i="30"/>
  <c r="DC36" i="30"/>
  <c r="CS181" i="15" l="1"/>
  <c r="CS30" i="30"/>
  <c r="CS36" i="30" s="1"/>
  <c r="CX178" i="15"/>
  <c r="CQ36" i="30"/>
  <c r="CL30" i="30"/>
  <c r="CL36" i="30" s="1"/>
  <c r="CS178" i="15"/>
  <c r="CX36" i="30"/>
  <c r="CS37" i="30"/>
  <c r="CN30" i="30"/>
  <c r="CN37" i="30" l="1"/>
  <c r="CN36" i="30"/>
  <c r="ET114" i="5" l="1"/>
  <c r="ET122" i="5" l="1"/>
  <c r="ET123" i="5" s="1"/>
  <c r="ET116" i="5"/>
  <c r="ET119" i="5"/>
  <c r="ET17" i="30"/>
  <c r="ET118" i="5"/>
  <c r="ET117" i="5"/>
  <c r="ET115" i="5"/>
  <c r="ET120" i="5" l="1"/>
  <c r="ET20" i="30"/>
  <c r="ET21" i="30"/>
  <c r="ET19" i="30"/>
  <c r="ET24" i="30"/>
  <c r="ET15" i="30" s="1"/>
  <c r="ET18" i="30"/>
  <c r="ET22" i="30" l="1"/>
  <c r="EY40" i="30"/>
  <c r="ET27" i="30"/>
  <c r="ET25" i="30"/>
  <c r="ET28" i="30"/>
  <c r="ET39" i="30"/>
  <c r="ET26" i="30"/>
  <c r="ET58" i="14" l="1"/>
  <c r="EU61" i="14" l="1"/>
  <c r="EV58" i="14"/>
  <c r="EV63" i="14" s="1"/>
  <c r="EV64" i="14" s="1"/>
  <c r="ET63" i="14"/>
  <c r="ET61" i="14"/>
  <c r="EU53" i="3" l="1"/>
  <c r="EY52" i="3"/>
  <c r="EV59" i="14"/>
  <c r="ET64" i="14"/>
  <c r="ET52" i="3"/>
  <c r="ET53" i="3"/>
  <c r="EV52" i="3" l="1"/>
  <c r="EV154" i="14" l="1"/>
  <c r="ET150" i="14" l="1"/>
  <c r="ET160" i="14"/>
  <c r="ET301" i="14"/>
  <c r="ET258" i="14"/>
  <c r="EY304" i="14" l="1"/>
  <c r="EY302" i="14"/>
  <c r="ET103" i="14"/>
  <c r="ET106" i="14" s="1"/>
  <c r="ET305" i="14"/>
  <c r="ET302" i="14"/>
  <c r="ET260" i="14"/>
  <c r="ET303" i="14"/>
  <c r="ET304" i="14"/>
  <c r="ET306" i="14"/>
  <c r="ET104" i="14" l="1"/>
  <c r="ET105" i="14"/>
  <c r="ET107" i="14"/>
  <c r="ET108" i="14"/>
  <c r="FD301" i="14"/>
  <c r="FD305" i="14" l="1"/>
  <c r="FI301" i="14"/>
  <c r="FD303" i="14"/>
  <c r="FD304" i="14"/>
  <c r="EY259" i="14"/>
  <c r="FI303" i="14" l="1"/>
  <c r="FI305" i="14"/>
  <c r="FI304" i="14"/>
  <c r="FN301" i="14"/>
  <c r="FS301" i="14" l="1"/>
  <c r="FS305" i="14" s="1"/>
  <c r="FN305" i="14"/>
  <c r="FN304" i="14"/>
  <c r="FN303" i="14"/>
  <c r="FS303" i="14" l="1"/>
  <c r="FS304" i="14"/>
  <c r="FX301" i="14"/>
  <c r="GC301" i="14" s="1"/>
  <c r="GH301" i="14" s="1"/>
  <c r="GH304" i="14" l="1"/>
  <c r="GH303" i="14"/>
  <c r="GH305" i="14"/>
  <c r="GH255" i="14"/>
  <c r="GH306" i="14"/>
  <c r="FX304" i="14"/>
  <c r="FX303" i="14"/>
  <c r="FX305" i="14"/>
  <c r="GC305" i="14"/>
  <c r="GC304" i="14"/>
  <c r="GC303" i="14"/>
  <c r="GH260" i="14" l="1"/>
  <c r="GH258" i="14"/>
  <c r="GH270" i="14"/>
  <c r="EU102" i="17"/>
  <c r="ET102" i="17"/>
  <c r="EY103" i="17" s="1"/>
  <c r="EV98" i="17" l="1"/>
  <c r="ET103" i="17"/>
  <c r="ET104" i="17"/>
  <c r="EV102" i="17"/>
  <c r="EV103" i="17" s="1"/>
  <c r="EW98" i="17"/>
  <c r="EU104" i="17"/>
  <c r="EU103" i="17"/>
  <c r="ET350" i="14" l="1"/>
  <c r="ET352" i="14"/>
  <c r="EV348" i="14" l="1"/>
  <c r="EV351" i="14"/>
  <c r="ET102" i="15" l="1"/>
  <c r="ET213" i="15"/>
  <c r="ET230" i="15" l="1"/>
  <c r="ET115" i="15"/>
  <c r="ET96" i="15"/>
  <c r="EU13" i="15"/>
  <c r="EU15" i="15"/>
  <c r="ET15" i="15"/>
  <c r="ET14" i="15"/>
  <c r="ET16" i="15"/>
  <c r="ET11" i="15"/>
  <c r="ET13" i="15"/>
  <c r="ET234" i="15"/>
  <c r="EU234" i="15"/>
  <c r="EV100" i="15"/>
  <c r="EY209" i="15"/>
  <c r="EZ212" i="15" l="1"/>
  <c r="EZ214" i="15"/>
  <c r="EY54" i="42"/>
  <c r="EY213" i="15"/>
  <c r="EY215" i="15"/>
  <c r="FD209" i="15"/>
  <c r="EY55" i="42" l="1"/>
  <c r="EZ56" i="42"/>
  <c r="EY13" i="2"/>
  <c r="EY44" i="42"/>
  <c r="EZ46" i="42" s="1"/>
  <c r="FD90" i="15"/>
  <c r="FE95" i="15" s="1"/>
  <c r="FE214" i="15"/>
  <c r="FD54" i="42"/>
  <c r="FI209" i="15"/>
  <c r="FE212" i="15"/>
  <c r="FD213" i="15"/>
  <c r="EY10" i="42" l="1"/>
  <c r="EY47" i="42" s="1"/>
  <c r="EY45" i="42"/>
  <c r="EY62" i="42"/>
  <c r="EY52" i="42"/>
  <c r="EY57" i="42"/>
  <c r="EY61" i="2"/>
  <c r="EY15" i="2"/>
  <c r="FD91" i="15"/>
  <c r="FD10" i="15"/>
  <c r="FD13" i="2" s="1"/>
  <c r="FD94" i="15"/>
  <c r="FD114" i="15"/>
  <c r="FE93" i="15"/>
  <c r="FE92" i="15"/>
  <c r="FD215" i="15"/>
  <c r="FI90" i="15"/>
  <c r="FJ93" i="15" s="1"/>
  <c r="FI213" i="15"/>
  <c r="FJ214" i="15"/>
  <c r="FI54" i="42"/>
  <c r="FJ212" i="15"/>
  <c r="FN209" i="15"/>
  <c r="FE56" i="42"/>
  <c r="FD55" i="42"/>
  <c r="EY120" i="2" l="1"/>
  <c r="EY74" i="2"/>
  <c r="EY54" i="2"/>
  <c r="EY18" i="2"/>
  <c r="EY35" i="2"/>
  <c r="EY17" i="42"/>
  <c r="EY67" i="42"/>
  <c r="EY22" i="42"/>
  <c r="EY11" i="42"/>
  <c r="FD14" i="15"/>
  <c r="FD44" i="42"/>
  <c r="FD96" i="15"/>
  <c r="FE13" i="15"/>
  <c r="FE15" i="15"/>
  <c r="FD230" i="15"/>
  <c r="FD23" i="15"/>
  <c r="FD56" i="3" s="1"/>
  <c r="FD115" i="15"/>
  <c r="FD11" i="15"/>
  <c r="FI114" i="15"/>
  <c r="FI215" i="15"/>
  <c r="FI10" i="15"/>
  <c r="FI13" i="2" s="1"/>
  <c r="FI94" i="15"/>
  <c r="FI91" i="15"/>
  <c r="FJ92" i="15"/>
  <c r="FN90" i="15"/>
  <c r="FN94" i="15" s="1"/>
  <c r="FJ95" i="15"/>
  <c r="FN54" i="42"/>
  <c r="FN213" i="15"/>
  <c r="FS209" i="15"/>
  <c r="FO212" i="15"/>
  <c r="FO214" i="15"/>
  <c r="FJ56" i="42"/>
  <c r="FI55" i="42"/>
  <c r="FI115" i="15" l="1"/>
  <c r="FI44" i="42"/>
  <c r="FD24" i="15"/>
  <c r="FD27" i="15"/>
  <c r="FE26" i="15"/>
  <c r="FI23" i="15"/>
  <c r="FI24" i="15" s="1"/>
  <c r="FJ15" i="15"/>
  <c r="FI14" i="15"/>
  <c r="FI11" i="15"/>
  <c r="FI230" i="15"/>
  <c r="FO93" i="15"/>
  <c r="FN10" i="15"/>
  <c r="FN13" i="2" s="1"/>
  <c r="FI96" i="15"/>
  <c r="FN215" i="15"/>
  <c r="FN91" i="15"/>
  <c r="FN114" i="15"/>
  <c r="FJ13" i="15"/>
  <c r="FS90" i="15"/>
  <c r="FO92" i="15"/>
  <c r="FO95" i="15"/>
  <c r="FD62" i="42"/>
  <c r="FD52" i="42"/>
  <c r="FE46" i="42"/>
  <c r="FD45" i="42"/>
  <c r="FD57" i="42"/>
  <c r="FS54" i="42"/>
  <c r="FX209" i="15"/>
  <c r="FT212" i="15"/>
  <c r="FT214" i="15"/>
  <c r="FS213" i="15"/>
  <c r="FN55" i="42"/>
  <c r="FO56" i="42"/>
  <c r="FN44" i="42" l="1"/>
  <c r="FI56" i="3"/>
  <c r="FJ26" i="15"/>
  <c r="FN23" i="15"/>
  <c r="FN56" i="3" s="1"/>
  <c r="FI27" i="15"/>
  <c r="FS91" i="15"/>
  <c r="FS10" i="15"/>
  <c r="FS215" i="15"/>
  <c r="FN96" i="15"/>
  <c r="FO15" i="15"/>
  <c r="FS114" i="15"/>
  <c r="FT93" i="15"/>
  <c r="FT92" i="15"/>
  <c r="FS94" i="15"/>
  <c r="FT95" i="15"/>
  <c r="FN230" i="15"/>
  <c r="FO13" i="15"/>
  <c r="FN11" i="15"/>
  <c r="FN115" i="15"/>
  <c r="FN14" i="15"/>
  <c r="GC209" i="15"/>
  <c r="GH209" i="15" s="1"/>
  <c r="FX90" i="15"/>
  <c r="FX215" i="15" s="1"/>
  <c r="FX54" i="42"/>
  <c r="FY212" i="15"/>
  <c r="FY214" i="15"/>
  <c r="FX213" i="15"/>
  <c r="FJ46" i="42"/>
  <c r="FI45" i="42"/>
  <c r="FI62" i="42"/>
  <c r="FI52" i="42"/>
  <c r="FI57" i="42"/>
  <c r="FS55" i="42"/>
  <c r="FT56" i="42"/>
  <c r="FE58" i="3"/>
  <c r="FD57" i="3"/>
  <c r="GH213" i="15" l="1"/>
  <c r="GH54" i="42"/>
  <c r="GH90" i="15"/>
  <c r="GI214" i="15"/>
  <c r="GI212" i="15"/>
  <c r="FO26" i="15"/>
  <c r="FS13" i="2"/>
  <c r="FS23" i="15"/>
  <c r="FS27" i="15" s="1"/>
  <c r="FS44" i="42"/>
  <c r="FS230" i="15"/>
  <c r="FS11" i="15"/>
  <c r="FT13" i="15"/>
  <c r="FN27" i="15"/>
  <c r="FN24" i="15"/>
  <c r="FS115" i="15"/>
  <c r="FS14" i="15"/>
  <c r="FS96" i="15"/>
  <c r="FT15" i="15"/>
  <c r="GC90" i="15"/>
  <c r="GD212" i="15"/>
  <c r="GD214" i="15"/>
  <c r="GC54" i="42"/>
  <c r="GC213" i="15"/>
  <c r="FY92" i="15"/>
  <c r="FY95" i="15"/>
  <c r="FY93" i="15"/>
  <c r="FX91" i="15"/>
  <c r="FX94" i="15"/>
  <c r="FX10" i="15"/>
  <c r="FX114" i="15"/>
  <c r="FO46" i="42"/>
  <c r="FN62" i="42"/>
  <c r="FN52" i="42"/>
  <c r="FN45" i="42"/>
  <c r="FN57" i="42"/>
  <c r="FI57" i="3"/>
  <c r="FJ58" i="3"/>
  <c r="FX55" i="42"/>
  <c r="FY56" i="42"/>
  <c r="GH55" i="42" l="1"/>
  <c r="GI56" i="42"/>
  <c r="GH10" i="15"/>
  <c r="GH94" i="15"/>
  <c r="GH91" i="15"/>
  <c r="GH114" i="15"/>
  <c r="GI93" i="15"/>
  <c r="GI95" i="15"/>
  <c r="GI92" i="15"/>
  <c r="GH215" i="15"/>
  <c r="FT26" i="15"/>
  <c r="FS56" i="3"/>
  <c r="FS24" i="15"/>
  <c r="FX44" i="42"/>
  <c r="FX13" i="2"/>
  <c r="GD93" i="15"/>
  <c r="GD95" i="15"/>
  <c r="GC114" i="15"/>
  <c r="GC215" i="15"/>
  <c r="GC91" i="15"/>
  <c r="GD92" i="15"/>
  <c r="GC94" i="15"/>
  <c r="GC10" i="15"/>
  <c r="FX96" i="15"/>
  <c r="FX230" i="15"/>
  <c r="GD56" i="42"/>
  <c r="GC55" i="42"/>
  <c r="FY15" i="15"/>
  <c r="FY13" i="15"/>
  <c r="FX11" i="15"/>
  <c r="FX14" i="15"/>
  <c r="FX115" i="15"/>
  <c r="FX23" i="15"/>
  <c r="FX56" i="3" s="1"/>
  <c r="FS45" i="42"/>
  <c r="FT46" i="42"/>
  <c r="FS52" i="42"/>
  <c r="FS62" i="42"/>
  <c r="FS57" i="42"/>
  <c r="FO58" i="3"/>
  <c r="FN57" i="3"/>
  <c r="GH96" i="15" l="1"/>
  <c r="GH14" i="15"/>
  <c r="GH23" i="15"/>
  <c r="GH11" i="15"/>
  <c r="GH13" i="2"/>
  <c r="GH44" i="42"/>
  <c r="GH230" i="15"/>
  <c r="GH115" i="15"/>
  <c r="GI15" i="15"/>
  <c r="GI13" i="15"/>
  <c r="GC44" i="42"/>
  <c r="GC13" i="2"/>
  <c r="GC11" i="15"/>
  <c r="GC115" i="15"/>
  <c r="GC23" i="15"/>
  <c r="GC56" i="3" s="1"/>
  <c r="GC14" i="15"/>
  <c r="GD13" i="15"/>
  <c r="GC230" i="15"/>
  <c r="GD15" i="15"/>
  <c r="GC96" i="15"/>
  <c r="FY26" i="15"/>
  <c r="FX27" i="15"/>
  <c r="FX24" i="15"/>
  <c r="FX62" i="42"/>
  <c r="FX45" i="42"/>
  <c r="FY46" i="42"/>
  <c r="FX52" i="42"/>
  <c r="FX57" i="42"/>
  <c r="FS57" i="3"/>
  <c r="FT58" i="3"/>
  <c r="GH56" i="3" l="1"/>
  <c r="GH24" i="15"/>
  <c r="GH27" i="15"/>
  <c r="GI26" i="15"/>
  <c r="GH62" i="42"/>
  <c r="GH52" i="42"/>
  <c r="GI46" i="42"/>
  <c r="GH57" i="42"/>
  <c r="GC52" i="42"/>
  <c r="GH45" i="42"/>
  <c r="GC62" i="42"/>
  <c r="GC45" i="42"/>
  <c r="GC57" i="42"/>
  <c r="GD46" i="42"/>
  <c r="GD26" i="15"/>
  <c r="GC27" i="15"/>
  <c r="GC24" i="15"/>
  <c r="GD58" i="3"/>
  <c r="GC57" i="3"/>
  <c r="FY58" i="3"/>
  <c r="FX57" i="3"/>
  <c r="GI58" i="3" l="1"/>
  <c r="GH57" i="3"/>
  <c r="ET177" i="17"/>
  <c r="ET174" i="17"/>
  <c r="ET140" i="17"/>
  <c r="ET141" i="17"/>
  <c r="ET180" i="17"/>
  <c r="ET181" i="17"/>
  <c r="ET179" i="17"/>
  <c r="ET165" i="17"/>
  <c r="ET178" i="17"/>
  <c r="ET138" i="17" l="1"/>
  <c r="EV139" i="17" l="1"/>
  <c r="EV136" i="17"/>
  <c r="FE81" i="42" l="1"/>
  <c r="FD81" i="42"/>
  <c r="FD80" i="42"/>
  <c r="FD65" i="42" l="1"/>
  <c r="FD66" i="42"/>
  <c r="FD72" i="42"/>
  <c r="FD87" i="42"/>
  <c r="FE66" i="42"/>
  <c r="FD77" i="42"/>
  <c r="FD82" i="42"/>
  <c r="FI80" i="42"/>
  <c r="FI81" i="42"/>
  <c r="FJ81" i="42"/>
  <c r="FF80" i="42"/>
  <c r="FN82" i="42" l="1"/>
  <c r="FK80" i="42"/>
  <c r="FI72" i="42"/>
  <c r="FI77" i="42"/>
  <c r="FI87" i="42"/>
  <c r="FI66" i="42"/>
  <c r="FI65" i="42"/>
  <c r="FJ66" i="42"/>
  <c r="FI82" i="42"/>
  <c r="FO81" i="42"/>
  <c r="FN81" i="42"/>
  <c r="FN80" i="42"/>
  <c r="FS82" i="42" l="1"/>
  <c r="FS81" i="42"/>
  <c r="FS80" i="42"/>
  <c r="FT81" i="42"/>
  <c r="FO66" i="42"/>
  <c r="FN77" i="42"/>
  <c r="FN72" i="42"/>
  <c r="FN66" i="42"/>
  <c r="FN87" i="42"/>
  <c r="FN65" i="42"/>
  <c r="FP80" i="42"/>
  <c r="GC81" i="42" l="1"/>
  <c r="GD81" i="42"/>
  <c r="GC80" i="42"/>
  <c r="FU80" i="42"/>
  <c r="FS72" i="42"/>
  <c r="FS66" i="42"/>
  <c r="FS87" i="42"/>
  <c r="FS77" i="42"/>
  <c r="FS65" i="42"/>
  <c r="FT66" i="42"/>
  <c r="FX81" i="42"/>
  <c r="FY81" i="42"/>
  <c r="FX80" i="42"/>
  <c r="GC65" i="42" l="1"/>
  <c r="GC82" i="42"/>
  <c r="GC87" i="42"/>
  <c r="GC77" i="42"/>
  <c r="GC72" i="42"/>
  <c r="GC66" i="42"/>
  <c r="GD66" i="42"/>
  <c r="FX72" i="42"/>
  <c r="FX87" i="42"/>
  <c r="FY66" i="42"/>
  <c r="FX66" i="42"/>
  <c r="FX65" i="42"/>
  <c r="FX77" i="42"/>
  <c r="FX82" i="42"/>
  <c r="EO358" i="14" l="1"/>
  <c r="EP358" i="14"/>
  <c r="EO365" i="14"/>
  <c r="EO120" i="18"/>
  <c r="EQ355" i="14"/>
  <c r="EJ355" i="14"/>
  <c r="EP363" i="14"/>
  <c r="EO363" i="14"/>
  <c r="EU358" i="14" l="1"/>
  <c r="EU363" i="14"/>
  <c r="EV355" i="14"/>
  <c r="EP125" i="18"/>
  <c r="EO123" i="18"/>
  <c r="EO125" i="18"/>
  <c r="EO126" i="18"/>
  <c r="EP123" i="18"/>
  <c r="EO370" i="14"/>
  <c r="EP369" i="14"/>
  <c r="EO367" i="14"/>
  <c r="EO369" i="14"/>
  <c r="EQ365" i="14"/>
  <c r="EP367" i="14"/>
  <c r="ET365" i="14"/>
  <c r="ET361" i="14"/>
  <c r="ET120" i="18"/>
  <c r="ET358" i="14"/>
  <c r="EY120" i="18"/>
  <c r="ET363" i="14"/>
  <c r="EK363" i="14"/>
  <c r="EJ365" i="14"/>
  <c r="EO366" i="14" s="1"/>
  <c r="EJ363" i="14"/>
  <c r="EJ120" i="18"/>
  <c r="EO121" i="18" s="1"/>
  <c r="EL355" i="14"/>
  <c r="EQ361" i="14" s="1"/>
  <c r="EE355" i="14"/>
  <c r="EJ358" i="14"/>
  <c r="EJ359" i="14"/>
  <c r="EK358" i="14"/>
  <c r="EQ120" i="18"/>
  <c r="EQ359" i="14"/>
  <c r="EO361" i="14"/>
  <c r="ET362" i="14" l="1"/>
  <c r="EY362" i="14"/>
  <c r="FA356" i="14"/>
  <c r="FA361" i="14"/>
  <c r="FA362" i="14" s="1"/>
  <c r="EZ123" i="18"/>
  <c r="EZ125" i="18"/>
  <c r="EY368" i="14"/>
  <c r="EY366" i="14"/>
  <c r="EY126" i="18"/>
  <c r="EY121" i="18"/>
  <c r="EY125" i="18"/>
  <c r="EY123" i="18"/>
  <c r="EY124" i="18"/>
  <c r="EU123" i="18"/>
  <c r="EU125" i="18"/>
  <c r="EV120" i="18"/>
  <c r="EV359" i="14"/>
  <c r="EV361" i="14"/>
  <c r="EV362" i="14" s="1"/>
  <c r="EU369" i="14"/>
  <c r="EU367" i="14"/>
  <c r="EV365" i="14"/>
  <c r="EO368" i="14"/>
  <c r="FD355" i="14"/>
  <c r="EQ356" i="14"/>
  <c r="EE363" i="14"/>
  <c r="EE120" i="18"/>
  <c r="EJ121" i="18" s="1"/>
  <c r="EF363" i="14"/>
  <c r="EE359" i="14"/>
  <c r="EE358" i="14"/>
  <c r="EG355" i="14"/>
  <c r="EL361" i="14" s="1"/>
  <c r="EQ362" i="14" s="1"/>
  <c r="EF358" i="14"/>
  <c r="DZ355" i="14"/>
  <c r="EE361" i="14" s="1"/>
  <c r="EE365" i="14"/>
  <c r="EJ366" i="14" s="1"/>
  <c r="EJ361" i="14"/>
  <c r="EQ370" i="14"/>
  <c r="ET366" i="14"/>
  <c r="ET369" i="14"/>
  <c r="ET367" i="14"/>
  <c r="ET370" i="14"/>
  <c r="ET368" i="14"/>
  <c r="EV356" i="14"/>
  <c r="EJ370" i="14"/>
  <c r="EK369" i="14"/>
  <c r="EJ367" i="14"/>
  <c r="EJ369" i="14"/>
  <c r="EL365" i="14"/>
  <c r="EK367" i="14"/>
  <c r="EL120" i="18"/>
  <c r="EQ124" i="18" s="1"/>
  <c r="EL359" i="14"/>
  <c r="ET126" i="18"/>
  <c r="ET123" i="18"/>
  <c r="ET124" i="18"/>
  <c r="ET125" i="18"/>
  <c r="ET121" i="18"/>
  <c r="EQ126" i="18"/>
  <c r="EK123" i="18"/>
  <c r="EK125" i="18"/>
  <c r="EJ125" i="18"/>
  <c r="EJ123" i="18"/>
  <c r="EJ126" i="18"/>
  <c r="EO124" i="18"/>
  <c r="EJ362" i="14" l="1"/>
  <c r="EO362" i="14"/>
  <c r="FA124" i="18"/>
  <c r="FA121" i="18"/>
  <c r="FA366" i="14"/>
  <c r="FA368" i="14"/>
  <c r="FB367" i="14"/>
  <c r="FB369" i="14"/>
  <c r="FE365" i="14"/>
  <c r="EJ124" i="18"/>
  <c r="EQ121" i="18"/>
  <c r="EV124" i="18"/>
  <c r="EV121" i="18"/>
  <c r="EV370" i="14"/>
  <c r="EV366" i="14"/>
  <c r="EV368" i="14"/>
  <c r="EL370" i="14"/>
  <c r="FD365" i="14"/>
  <c r="FD347" i="14" s="1"/>
  <c r="EQ368" i="14"/>
  <c r="EF125" i="18"/>
  <c r="EE126" i="18"/>
  <c r="EF123" i="18"/>
  <c r="EE123" i="18"/>
  <c r="EE125" i="18"/>
  <c r="EE367" i="14"/>
  <c r="EF369" i="14"/>
  <c r="EE370" i="14"/>
  <c r="EE369" i="14"/>
  <c r="EF367" i="14"/>
  <c r="EG365" i="14"/>
  <c r="DZ359" i="14"/>
  <c r="DZ365" i="14"/>
  <c r="EE366" i="14" s="1"/>
  <c r="EB355" i="14"/>
  <c r="EG356" i="14" s="1"/>
  <c r="DZ120" i="18"/>
  <c r="EE124" i="18" s="1"/>
  <c r="EA363" i="14"/>
  <c r="EA358" i="14"/>
  <c r="DZ358" i="14"/>
  <c r="DU355" i="14"/>
  <c r="DZ363" i="14"/>
  <c r="EL126" i="18"/>
  <c r="EJ368" i="14"/>
  <c r="EQ366" i="14"/>
  <c r="EG120" i="18"/>
  <c r="EL124" i="18" s="1"/>
  <c r="FI355" i="14"/>
  <c r="FD361" i="14"/>
  <c r="FD362" i="14" s="1"/>
  <c r="FD120" i="18"/>
  <c r="EZ39" i="42" l="1"/>
  <c r="FB350" i="14"/>
  <c r="FB352" i="14"/>
  <c r="FE368" i="14"/>
  <c r="FG369" i="14"/>
  <c r="FG367" i="14"/>
  <c r="FJ365" i="14"/>
  <c r="EE121" i="18"/>
  <c r="FD348" i="14"/>
  <c r="FD39" i="42"/>
  <c r="FD351" i="14"/>
  <c r="EG370" i="14"/>
  <c r="EL366" i="14"/>
  <c r="EB359" i="14"/>
  <c r="EB120" i="18"/>
  <c r="EG124" i="18" s="1"/>
  <c r="FD359" i="14"/>
  <c r="DU359" i="14"/>
  <c r="DU363" i="14"/>
  <c r="DW355" i="14"/>
  <c r="EB361" i="14" s="1"/>
  <c r="DU120" i="18"/>
  <c r="DU365" i="14"/>
  <c r="DZ368" i="14" s="1"/>
  <c r="DV358" i="14"/>
  <c r="DP355" i="14"/>
  <c r="DU361" i="14" s="1"/>
  <c r="DU358" i="14"/>
  <c r="DV363" i="14"/>
  <c r="DZ367" i="14"/>
  <c r="DZ369" i="14"/>
  <c r="EA369" i="14"/>
  <c r="EB365" i="14"/>
  <c r="EG366" i="14" s="1"/>
  <c r="DZ370" i="14"/>
  <c r="EA367" i="14"/>
  <c r="EL368" i="14"/>
  <c r="DZ125" i="18"/>
  <c r="DZ123" i="18"/>
  <c r="EA125" i="18"/>
  <c r="EA123" i="18"/>
  <c r="DZ126" i="18"/>
  <c r="FI120" i="18"/>
  <c r="FN355" i="14"/>
  <c r="FI361" i="14"/>
  <c r="FI362" i="14" s="1"/>
  <c r="EG126" i="18"/>
  <c r="FD124" i="18"/>
  <c r="FD121" i="18"/>
  <c r="FE367" i="14"/>
  <c r="FD369" i="14"/>
  <c r="FE369" i="14"/>
  <c r="FF365" i="14"/>
  <c r="FD368" i="14"/>
  <c r="FD370" i="14"/>
  <c r="FI365" i="14"/>
  <c r="FI347" i="14" s="1"/>
  <c r="FD367" i="14"/>
  <c r="EL121" i="18"/>
  <c r="EG361" i="14"/>
  <c r="DZ361" i="14"/>
  <c r="EE368" i="14"/>
  <c r="DZ362" i="14" l="1"/>
  <c r="EE362" i="14"/>
  <c r="EG362" i="14"/>
  <c r="EL362" i="14"/>
  <c r="FA39" i="42"/>
  <c r="EZ40" i="42"/>
  <c r="EZ41" i="42"/>
  <c r="FL367" i="14"/>
  <c r="FO365" i="14"/>
  <c r="FL369" i="14"/>
  <c r="FJ368" i="14"/>
  <c r="FB41" i="42"/>
  <c r="DZ366" i="14"/>
  <c r="EG121" i="18"/>
  <c r="EB356" i="14"/>
  <c r="DU126" i="18"/>
  <c r="DU123" i="18"/>
  <c r="DV125" i="18"/>
  <c r="DV123" i="18"/>
  <c r="DU125" i="18"/>
  <c r="DQ363" i="14"/>
  <c r="DK355" i="14"/>
  <c r="DP361" i="14" s="1"/>
  <c r="DU362" i="14" s="1"/>
  <c r="DR355" i="14"/>
  <c r="DW356" i="14" s="1"/>
  <c r="DP365" i="14"/>
  <c r="DP358" i="14"/>
  <c r="DP359" i="14"/>
  <c r="DP120" i="18"/>
  <c r="DU121" i="18" s="1"/>
  <c r="DP363" i="14"/>
  <c r="DQ358" i="14"/>
  <c r="FN120" i="18"/>
  <c r="FS355" i="14"/>
  <c r="FN361" i="14"/>
  <c r="FN362" i="14" s="1"/>
  <c r="FS120" i="18"/>
  <c r="FI351" i="14"/>
  <c r="FI348" i="14"/>
  <c r="FI39" i="42"/>
  <c r="DZ121" i="18"/>
  <c r="FD40" i="42"/>
  <c r="FI124" i="18"/>
  <c r="FI121" i="18"/>
  <c r="EB370" i="14"/>
  <c r="DW359" i="14"/>
  <c r="DW120" i="18"/>
  <c r="EB121" i="18" s="1"/>
  <c r="FF366" i="14"/>
  <c r="FF368" i="14"/>
  <c r="FI369" i="14"/>
  <c r="FI368" i="14"/>
  <c r="FI370" i="14"/>
  <c r="FJ369" i="14"/>
  <c r="FK365" i="14"/>
  <c r="FI367" i="14"/>
  <c r="FJ367" i="14"/>
  <c r="FN365" i="14"/>
  <c r="FI359" i="14"/>
  <c r="DZ124" i="18"/>
  <c r="DW365" i="14"/>
  <c r="EB368" i="14" s="1"/>
  <c r="DV367" i="14"/>
  <c r="DU367" i="14"/>
  <c r="DU369" i="14"/>
  <c r="DV369" i="14"/>
  <c r="DU370" i="14"/>
  <c r="EB126" i="18"/>
  <c r="EG368" i="14"/>
  <c r="FA40" i="42" l="1"/>
  <c r="FQ369" i="14"/>
  <c r="FT365" i="14"/>
  <c r="FO368" i="14"/>
  <c r="FQ367" i="14"/>
  <c r="EB124" i="18"/>
  <c r="DW361" i="14"/>
  <c r="FO369" i="14"/>
  <c r="FP365" i="14"/>
  <c r="FS365" i="14"/>
  <c r="FS347" i="14" s="1"/>
  <c r="FN367" i="14"/>
  <c r="FN368" i="14"/>
  <c r="FO367" i="14"/>
  <c r="FN369" i="14"/>
  <c r="DP369" i="14"/>
  <c r="DR365" i="14"/>
  <c r="DW366" i="14" s="1"/>
  <c r="DP370" i="14"/>
  <c r="DQ369" i="14"/>
  <c r="DP367" i="14"/>
  <c r="DQ367" i="14"/>
  <c r="DU366" i="14"/>
  <c r="FX120" i="18"/>
  <c r="FX355" i="14"/>
  <c r="FS361" i="14"/>
  <c r="FS362" i="14" s="1"/>
  <c r="DK359" i="14"/>
  <c r="DF355" i="14"/>
  <c r="DK361" i="14" s="1"/>
  <c r="DL363" i="14"/>
  <c r="DK358" i="14"/>
  <c r="DL358" i="14"/>
  <c r="DK365" i="14"/>
  <c r="DP366" i="14" s="1"/>
  <c r="DK363" i="14"/>
  <c r="DK120" i="18"/>
  <c r="DP124" i="18" s="1"/>
  <c r="DM355" i="14"/>
  <c r="DR361" i="14" s="1"/>
  <c r="DU368" i="14"/>
  <c r="DW370" i="14"/>
  <c r="FK368" i="14"/>
  <c r="FK366" i="14"/>
  <c r="EB366" i="14"/>
  <c r="FI40" i="42"/>
  <c r="FS124" i="18"/>
  <c r="FS121" i="18"/>
  <c r="DP126" i="18"/>
  <c r="DP123" i="18"/>
  <c r="DQ123" i="18"/>
  <c r="DQ125" i="18"/>
  <c r="DP125" i="18"/>
  <c r="DR120" i="18"/>
  <c r="DW124" i="18" s="1"/>
  <c r="DR359" i="14"/>
  <c r="DW126" i="18"/>
  <c r="FN347" i="14"/>
  <c r="FN121" i="18"/>
  <c r="FN124" i="18"/>
  <c r="DU124" i="18"/>
  <c r="DW362" i="14" l="1"/>
  <c r="EB362" i="14"/>
  <c r="FV369" i="14"/>
  <c r="FT368" i="14"/>
  <c r="FY365" i="14"/>
  <c r="FV367" i="14"/>
  <c r="FN370" i="14"/>
  <c r="FS359" i="14"/>
  <c r="GC120" i="18"/>
  <c r="GC355" i="14"/>
  <c r="DP121" i="18"/>
  <c r="DW368" i="14"/>
  <c r="DP368" i="14"/>
  <c r="DR126" i="18"/>
  <c r="DW121" i="18"/>
  <c r="FS369" i="14"/>
  <c r="FT369" i="14"/>
  <c r="FS367" i="14"/>
  <c r="FU365" i="14"/>
  <c r="FX365" i="14"/>
  <c r="FT367" i="14"/>
  <c r="FS370" i="14"/>
  <c r="FS368" i="14"/>
  <c r="FX124" i="18"/>
  <c r="FX121" i="18"/>
  <c r="FN348" i="14"/>
  <c r="FN39" i="42"/>
  <c r="FN351" i="14"/>
  <c r="FN359" i="14"/>
  <c r="FX361" i="14"/>
  <c r="FX362" i="14" s="1"/>
  <c r="FP366" i="14"/>
  <c r="FP368" i="14"/>
  <c r="DM365" i="14"/>
  <c r="DR368" i="14" s="1"/>
  <c r="DK369" i="14"/>
  <c r="DK370" i="14"/>
  <c r="DK367" i="14"/>
  <c r="DL369" i="14"/>
  <c r="DL367" i="14"/>
  <c r="DM359" i="14"/>
  <c r="DM361" i="14"/>
  <c r="DM120" i="18"/>
  <c r="DR121" i="18" s="1"/>
  <c r="DR356" i="14"/>
  <c r="DK123" i="18"/>
  <c r="DK126" i="18"/>
  <c r="DK125" i="18"/>
  <c r="DL125" i="18"/>
  <c r="DL123" i="18"/>
  <c r="DF120" i="18"/>
  <c r="DK121" i="18" s="1"/>
  <c r="DG363" i="14"/>
  <c r="DG358" i="14"/>
  <c r="DF365" i="14"/>
  <c r="DK368" i="14" s="1"/>
  <c r="DF359" i="14"/>
  <c r="FS351" i="14"/>
  <c r="FS348" i="14"/>
  <c r="FS39" i="42"/>
  <c r="DR370" i="14"/>
  <c r="GH120" i="18" l="1"/>
  <c r="GH355" i="14"/>
  <c r="GA369" i="14"/>
  <c r="FY368" i="14"/>
  <c r="GA367" i="14"/>
  <c r="GD365" i="14"/>
  <c r="FX347" i="14"/>
  <c r="GC365" i="14"/>
  <c r="GC361" i="14"/>
  <c r="GC362" i="14" s="1"/>
  <c r="GC124" i="18"/>
  <c r="GC121" i="18"/>
  <c r="DK366" i="14"/>
  <c r="DK124" i="18"/>
  <c r="DM368" i="14"/>
  <c r="DM370" i="14"/>
  <c r="FN40" i="42"/>
  <c r="FX367" i="14"/>
  <c r="FY369" i="14"/>
  <c r="FX368" i="14"/>
  <c r="FZ365" i="14"/>
  <c r="FY367" i="14"/>
  <c r="FX369" i="14"/>
  <c r="DR366" i="14"/>
  <c r="FU366" i="14"/>
  <c r="FU368" i="14"/>
  <c r="FS40" i="42"/>
  <c r="DF124" i="18"/>
  <c r="DG123" i="18"/>
  <c r="DF125" i="18"/>
  <c r="DG125" i="18"/>
  <c r="DG367" i="14"/>
  <c r="DG369" i="14"/>
  <c r="DF370" i="14"/>
  <c r="DM121" i="18"/>
  <c r="DM126" i="18"/>
  <c r="DM124" i="18"/>
  <c r="DR124" i="18"/>
  <c r="GC347" i="14" l="1"/>
  <c r="GC359" i="14" s="1"/>
  <c r="GH365" i="14"/>
  <c r="GH361" i="14"/>
  <c r="GH362" i="14" s="1"/>
  <c r="GH124" i="18"/>
  <c r="GH121" i="18"/>
  <c r="GF367" i="14"/>
  <c r="GF369" i="14"/>
  <c r="GI365" i="14"/>
  <c r="GD368" i="14"/>
  <c r="FX39" i="42"/>
  <c r="FX351" i="14"/>
  <c r="FX370" i="14"/>
  <c r="FX359" i="14"/>
  <c r="FX348" i="14"/>
  <c r="GC348" i="14"/>
  <c r="GC351" i="14"/>
  <c r="GC39" i="42"/>
  <c r="GC367" i="14"/>
  <c r="GC369" i="14"/>
  <c r="GC368" i="14"/>
  <c r="GD369" i="14"/>
  <c r="GD367" i="14"/>
  <c r="GE365" i="14"/>
  <c r="FZ366" i="14"/>
  <c r="FZ368" i="14"/>
  <c r="GC370" i="14" l="1"/>
  <c r="GH347" i="14"/>
  <c r="GH370" i="14" s="1"/>
  <c r="GH369" i="14"/>
  <c r="GH367" i="14"/>
  <c r="GH368" i="14"/>
  <c r="GJ365" i="14"/>
  <c r="GI367" i="14"/>
  <c r="GI369" i="14"/>
  <c r="GI368" i="14"/>
  <c r="FX40" i="42"/>
  <c r="GC40" i="42"/>
  <c r="GE368" i="14"/>
  <c r="GE366" i="14"/>
  <c r="GH351" i="14" l="1"/>
  <c r="GH39" i="42"/>
  <c r="GH348" i="14"/>
  <c r="GH359" i="14"/>
  <c r="GJ366" i="14"/>
  <c r="GJ368" i="14"/>
  <c r="EV139" i="5"/>
  <c r="GH40" i="42" l="1"/>
  <c r="EV14" i="6"/>
  <c r="EV150" i="5" s="1"/>
  <c r="EV152" i="5" s="1"/>
  <c r="EU231" i="3"/>
  <c r="EU232" i="3" s="1"/>
  <c r="EU150" i="5"/>
  <c r="EV13" i="6"/>
  <c r="EV231" i="3" s="1"/>
  <c r="EV232" i="3" s="1"/>
  <c r="EU134" i="5"/>
  <c r="EU137" i="5" s="1"/>
  <c r="EU73" i="3" l="1"/>
  <c r="EU74" i="3" s="1"/>
  <c r="EU142" i="5"/>
  <c r="EV20" i="8"/>
  <c r="EV233" i="3"/>
  <c r="EU143" i="5"/>
  <c r="EV134" i="5"/>
  <c r="EV137" i="5"/>
  <c r="EV73" i="3" s="1"/>
  <c r="EV74" i="3" s="1"/>
  <c r="EU141" i="5"/>
  <c r="EU100" i="5"/>
  <c r="EU105" i="5" s="1"/>
  <c r="EV31" i="6"/>
  <c r="EV91" i="6" s="1"/>
  <c r="EV92" i="6" s="1"/>
  <c r="EU135" i="5"/>
  <c r="EU233" i="3"/>
  <c r="EU151" i="5"/>
  <c r="EU152" i="5"/>
  <c r="EV151" i="5"/>
  <c r="EV66" i="6" l="1"/>
  <c r="EU101" i="5"/>
  <c r="EV135" i="5"/>
  <c r="ET40" i="8"/>
  <c r="ET41" i="8" s="1"/>
  <c r="EV32" i="6"/>
  <c r="EV100" i="5"/>
  <c r="EV105" i="5" s="1"/>
  <c r="EV141" i="5"/>
  <c r="EV143" i="5"/>
  <c r="EV142" i="5"/>
  <c r="ES103" i="5" l="1"/>
  <c r="EV101" i="5"/>
  <c r="EV102" i="5" s="1"/>
  <c r="ER103" i="5"/>
  <c r="ET103" i="5"/>
  <c r="EU103" i="5"/>
  <c r="EV67" i="6"/>
  <c r="EV49" i="6" l="1"/>
  <c r="EU108" i="5"/>
  <c r="EV56" i="6"/>
  <c r="EU10" i="30" l="1"/>
  <c r="EV108" i="5"/>
  <c r="EU125" i="5"/>
  <c r="EU109" i="5"/>
  <c r="EU112" i="5"/>
  <c r="EU110" i="5"/>
  <c r="EU138" i="5"/>
  <c r="EU111" i="5"/>
  <c r="EV68" i="6"/>
  <c r="EV109" i="5" l="1"/>
  <c r="EV138" i="5"/>
  <c r="EU36" i="30"/>
  <c r="EU13" i="30"/>
  <c r="EU11" i="30"/>
  <c r="EU37" i="30"/>
  <c r="EU12" i="30"/>
  <c r="EU14" i="30"/>
  <c r="EV10" i="30"/>
  <c r="EV111" i="5"/>
  <c r="EV110" i="5"/>
  <c r="EV71" i="6"/>
  <c r="EV69" i="6"/>
  <c r="EU126" i="5"/>
  <c r="EV11" i="30" l="1"/>
  <c r="EV13" i="30"/>
  <c r="EV74" i="6"/>
  <c r="EV75" i="6" s="1"/>
  <c r="EV72" i="6"/>
  <c r="EV73" i="6"/>
  <c r="EV125" i="5"/>
  <c r="ES127" i="5" l="1"/>
  <c r="ER127" i="5"/>
  <c r="EV126" i="5"/>
  <c r="ET127" i="5"/>
  <c r="EU127" i="5"/>
  <c r="EU129" i="5" l="1"/>
  <c r="EU130" i="5" l="1"/>
  <c r="EU114" i="5"/>
  <c r="EU122" i="5" l="1"/>
  <c r="EU123" i="5" s="1"/>
  <c r="EU120" i="5"/>
  <c r="EV114" i="5"/>
  <c r="EU17" i="30"/>
  <c r="EU115" i="5"/>
  <c r="EU118" i="5"/>
  <c r="EU116" i="5"/>
  <c r="EU117" i="5"/>
  <c r="EU119" i="5"/>
  <c r="EV118" i="5" l="1"/>
  <c r="EV116" i="5"/>
  <c r="EV115" i="5"/>
  <c r="EV122" i="5"/>
  <c r="EV123" i="5" s="1"/>
  <c r="EV17" i="30"/>
  <c r="EU20" i="30"/>
  <c r="EU19" i="30"/>
  <c r="EU24" i="30"/>
  <c r="EU15" i="30" s="1"/>
  <c r="EU21" i="30"/>
  <c r="EU18" i="30"/>
  <c r="EV120" i="5" l="1"/>
  <c r="EU22" i="30"/>
  <c r="EZ40" i="30"/>
  <c r="EV24" i="30"/>
  <c r="EV15" i="30" s="1"/>
  <c r="EV18" i="30"/>
  <c r="EV20" i="30"/>
  <c r="EU25" i="30"/>
  <c r="EU39" i="30"/>
  <c r="EU27" i="30"/>
  <c r="EU28" i="30"/>
  <c r="EU26" i="30"/>
  <c r="EV22" i="30" l="1"/>
  <c r="EV25" i="30"/>
  <c r="EV27" i="30"/>
  <c r="EV81" i="6" l="1"/>
  <c r="EV79" i="6"/>
  <c r="EV84" i="6"/>
  <c r="EV93" i="6"/>
  <c r="EV94" i="6" l="1"/>
  <c r="FA94" i="6"/>
  <c r="EV96" i="6"/>
  <c r="EV98" i="6" s="1"/>
  <c r="EV87" i="6"/>
  <c r="EV85" i="6"/>
  <c r="EV42" i="6"/>
  <c r="EV22" i="8" s="1"/>
  <c r="EU46" i="6"/>
  <c r="EU22" i="8"/>
  <c r="EU23" i="8" s="1"/>
  <c r="EV129" i="5" l="1"/>
  <c r="EV97" i="6"/>
  <c r="EV23" i="8"/>
  <c r="EU59" i="6"/>
  <c r="EV46" i="6"/>
  <c r="ES131" i="5" l="1"/>
  <c r="EV130" i="5"/>
  <c r="EU131" i="5"/>
  <c r="ER131" i="5"/>
  <c r="ET131" i="5"/>
  <c r="EV59" i="6"/>
  <c r="EU61" i="6"/>
  <c r="EW60" i="6" s="1"/>
  <c r="FA60" i="6" s="1"/>
  <c r="EU63" i="6" l="1"/>
  <c r="EV61" i="6"/>
  <c r="EV63" i="6" s="1"/>
  <c r="EU32" i="8" l="1"/>
  <c r="EU29" i="8"/>
  <c r="EU27" i="8" s="1"/>
  <c r="EV28" i="8"/>
  <c r="EV31" i="8" s="1"/>
  <c r="EV37" i="8" s="1"/>
  <c r="EW12" i="8" l="1"/>
  <c r="EW11" i="8" s="1"/>
  <c r="EV29" i="8"/>
  <c r="EU12" i="8"/>
  <c r="EU11" i="8" s="1"/>
  <c r="EV27" i="8"/>
  <c r="EU37" i="8"/>
  <c r="EY12" i="8" l="1"/>
  <c r="EY11" i="8" s="1"/>
  <c r="EZ27" i="8"/>
  <c r="FB31" i="8"/>
  <c r="EV12" i="8"/>
  <c r="EV11" i="8" s="1"/>
  <c r="EV40" i="8"/>
  <c r="EV41" i="8" s="1"/>
  <c r="EZ12" i="8" l="1"/>
  <c r="EZ11" i="8" s="1"/>
  <c r="FA27" i="8"/>
  <c r="EX12" i="8"/>
  <c r="EX11" i="8" s="1"/>
  <c r="FB28" i="8"/>
  <c r="FB37" i="8"/>
  <c r="FC31" i="8"/>
  <c r="FB29" i="8"/>
  <c r="FA12" i="8" l="1"/>
  <c r="FA11" i="8" s="1"/>
  <c r="FA40" i="8"/>
  <c r="FA41" i="8" s="1"/>
  <c r="FB27" i="8"/>
  <c r="FC37" i="8"/>
  <c r="FD31" i="8"/>
  <c r="FC29" i="8"/>
  <c r="FC28" i="8"/>
  <c r="FC27" i="8" l="1"/>
  <c r="FD37" i="8"/>
  <c r="FE31" i="8"/>
  <c r="FD29" i="8"/>
  <c r="FD28" i="8"/>
  <c r="FB12" i="8"/>
  <c r="FC12" i="8" l="1"/>
  <c r="FE37" i="8"/>
  <c r="FG31" i="8"/>
  <c r="FE28" i="8"/>
  <c r="FF28" i="8" s="1"/>
  <c r="FE29" i="8"/>
  <c r="FF29" i="8" s="1"/>
  <c r="FD27" i="8"/>
  <c r="FG28" i="8" l="1"/>
  <c r="FH31" i="8"/>
  <c r="FG37" i="8"/>
  <c r="FG29" i="8"/>
  <c r="FE27" i="8"/>
  <c r="FF27" i="8" s="1"/>
  <c r="FD12" i="8"/>
  <c r="FI31" i="8" l="1"/>
  <c r="FH29" i="8"/>
  <c r="FH28" i="8"/>
  <c r="FH37" i="8"/>
  <c r="FE12" i="8"/>
  <c r="FF12" i="8" s="1"/>
  <c r="FF31" i="8" s="1"/>
  <c r="FF37" i="8" s="1"/>
  <c r="FF40" i="8" s="1"/>
  <c r="FF41" i="8" s="1"/>
  <c r="FG27" i="8"/>
  <c r="FH27" i="8" l="1"/>
  <c r="FH12" i="8" s="1"/>
  <c r="FJ31" i="8"/>
  <c r="FI29" i="8"/>
  <c r="FI37" i="8"/>
  <c r="FI28" i="8"/>
  <c r="FG12" i="8"/>
  <c r="FJ28" i="8" l="1"/>
  <c r="FL31" i="8"/>
  <c r="FJ37" i="8"/>
  <c r="FJ29" i="8"/>
  <c r="FK29" i="8" s="1"/>
  <c r="FI27" i="8"/>
  <c r="FI12" i="8" l="1"/>
  <c r="FL37" i="8"/>
  <c r="FL29" i="8"/>
  <c r="FM31" i="8"/>
  <c r="FL28" i="8"/>
  <c r="FJ27" i="8"/>
  <c r="FK27" i="8" s="1"/>
  <c r="FK28" i="8"/>
  <c r="FN31" i="8" l="1"/>
  <c r="FM29" i="8"/>
  <c r="FM37" i="8"/>
  <c r="FM28" i="8"/>
  <c r="FL27" i="8"/>
  <c r="FJ12" i="8"/>
  <c r="FK12" i="8" s="1"/>
  <c r="FK31" i="8" s="1"/>
  <c r="FK37" i="8" s="1"/>
  <c r="FK40" i="8" s="1"/>
  <c r="FK41" i="8" s="1"/>
  <c r="FN29" i="8" l="1"/>
  <c r="FN28" i="8"/>
  <c r="FO31" i="8"/>
  <c r="FN37" i="8"/>
  <c r="FM27" i="8"/>
  <c r="FL12" i="8"/>
  <c r="FM12" i="8" l="1"/>
  <c r="FN27" i="8"/>
  <c r="FO28" i="8"/>
  <c r="FO37" i="8"/>
  <c r="FO29" i="8"/>
  <c r="FP29" i="8" s="1"/>
  <c r="FQ31" i="8"/>
  <c r="FN12" i="8" l="1"/>
  <c r="FO27" i="8"/>
  <c r="FQ37" i="8"/>
  <c r="FQ29" i="8"/>
  <c r="FR31" i="8"/>
  <c r="FQ28" i="8"/>
  <c r="FP28" i="8"/>
  <c r="FO12" i="8" l="1"/>
  <c r="FP12" i="8" s="1"/>
  <c r="FP31" i="8" s="1"/>
  <c r="FP37" i="8" s="1"/>
  <c r="FP27" i="8"/>
  <c r="FS31" i="8"/>
  <c r="FR28" i="8"/>
  <c r="FR37" i="8"/>
  <c r="FR29" i="8"/>
  <c r="FQ27" i="8"/>
  <c r="FP40" i="8" l="1"/>
  <c r="FP41" i="8" s="1"/>
  <c r="FQ12" i="8"/>
  <c r="FR27" i="8"/>
  <c r="FR12" i="8" s="1"/>
  <c r="FS37" i="8"/>
  <c r="FS28" i="8"/>
  <c r="FS29" i="8"/>
  <c r="FT31" i="8"/>
  <c r="FS27" i="8" l="1"/>
  <c r="FS12" i="8" s="1"/>
  <c r="FT37" i="8"/>
  <c r="FT28" i="8"/>
  <c r="FU28" i="8" s="1"/>
  <c r="FV31" i="8"/>
  <c r="FT29" i="8"/>
  <c r="FU29" i="8" s="1"/>
  <c r="FT27" i="8" l="1"/>
  <c r="FT12" i="8" s="1"/>
  <c r="FU12" i="8" s="1"/>
  <c r="FU31" i="8" s="1"/>
  <c r="FU37" i="8" s="1"/>
  <c r="FV28" i="8"/>
  <c r="FW31" i="8"/>
  <c r="FV37" i="8"/>
  <c r="FV29" i="8"/>
  <c r="FU27" i="8" l="1"/>
  <c r="FU40" i="8" s="1"/>
  <c r="FU41" i="8" s="1"/>
  <c r="FW29" i="8"/>
  <c r="FW28" i="8"/>
  <c r="FX31" i="8"/>
  <c r="FW37" i="8"/>
  <c r="FV27" i="8"/>
  <c r="FW27" i="8" l="1"/>
  <c r="FW12" i="8" s="1"/>
  <c r="FX37" i="8"/>
  <c r="FY31" i="8"/>
  <c r="GA31" i="8" s="1"/>
  <c r="FX28" i="8"/>
  <c r="FX29" i="8"/>
  <c r="FV12" i="8"/>
  <c r="GA29" i="8" l="1"/>
  <c r="GB31" i="8"/>
  <c r="GA28" i="8"/>
  <c r="GA37" i="8"/>
  <c r="FY29" i="8"/>
  <c r="FZ29" i="8" s="1"/>
  <c r="FY37" i="8"/>
  <c r="FY28" i="8"/>
  <c r="FX27" i="8"/>
  <c r="GA27" i="8" l="1"/>
  <c r="FY27" i="8"/>
  <c r="FY12" i="8" s="1"/>
  <c r="GC31" i="8"/>
  <c r="GB29" i="8"/>
  <c r="GB28" i="8"/>
  <c r="GB27" i="8" s="1"/>
  <c r="GB12" i="8" s="1"/>
  <c r="GB37" i="8"/>
  <c r="FX12" i="8"/>
  <c r="FZ28" i="8"/>
  <c r="FZ27" i="8" l="1"/>
  <c r="FZ12" i="8"/>
  <c r="FZ31" i="8" s="1"/>
  <c r="FZ37" i="8" s="1"/>
  <c r="GD31" i="8"/>
  <c r="GF31" i="8" s="1"/>
  <c r="GC29" i="8"/>
  <c r="GC28" i="8"/>
  <c r="GC37" i="8"/>
  <c r="GA12" i="8"/>
  <c r="EV159" i="14"/>
  <c r="EU159" i="14"/>
  <c r="EU178" i="14"/>
  <c r="GG31" i="8" l="1"/>
  <c r="GF29" i="8"/>
  <c r="GF28" i="8"/>
  <c r="GF37" i="8"/>
  <c r="FZ40" i="8"/>
  <c r="FZ41" i="8" s="1"/>
  <c r="GC27" i="8"/>
  <c r="GC12" i="8" s="1"/>
  <c r="EU79" i="18"/>
  <c r="GD29" i="8"/>
  <c r="GE29" i="8" s="1"/>
  <c r="GD28" i="8"/>
  <c r="GD37" i="8"/>
  <c r="EV150" i="14"/>
  <c r="EV151" i="14"/>
  <c r="EV145" i="14"/>
  <c r="EU184" i="14"/>
  <c r="EU183" i="14"/>
  <c r="EU182" i="14"/>
  <c r="EU181" i="14"/>
  <c r="EV178" i="14"/>
  <c r="GF27" i="8" l="1"/>
  <c r="GH31" i="8"/>
  <c r="GG29" i="8"/>
  <c r="GG28" i="8"/>
  <c r="GG37" i="8"/>
  <c r="EV79" i="18"/>
  <c r="EV182" i="14"/>
  <c r="EV184" i="14"/>
  <c r="EU83" i="18"/>
  <c r="EU82" i="18"/>
  <c r="EU80" i="18"/>
  <c r="EU85" i="18"/>
  <c r="EU84" i="18"/>
  <c r="GD27" i="8"/>
  <c r="GE28" i="8"/>
  <c r="EU17" i="2"/>
  <c r="EV10" i="18"/>
  <c r="EV179" i="14"/>
  <c r="FA11" i="18" l="1"/>
  <c r="FA14" i="18"/>
  <c r="GG27" i="8"/>
  <c r="GG12" i="8" s="1"/>
  <c r="GI31" i="8"/>
  <c r="GH29" i="8"/>
  <c r="GH28" i="8"/>
  <c r="GH37" i="8"/>
  <c r="GF12" i="8"/>
  <c r="EV14" i="42"/>
  <c r="EV14" i="18"/>
  <c r="EV103" i="18"/>
  <c r="EV114" i="18"/>
  <c r="EV126" i="18"/>
  <c r="EV93" i="18"/>
  <c r="EV16" i="18"/>
  <c r="EV83" i="18"/>
  <c r="EV80" i="18"/>
  <c r="EV85" i="18"/>
  <c r="GD12" i="8"/>
  <c r="GE12" i="8" s="1"/>
  <c r="GE31" i="8" s="1"/>
  <c r="GE37" i="8" s="1"/>
  <c r="GE27" i="8"/>
  <c r="EU18" i="2"/>
  <c r="EP19" i="2"/>
  <c r="EP103" i="2" s="1"/>
  <c r="EV17" i="2"/>
  <c r="EV11" i="18"/>
  <c r="EV113" i="18"/>
  <c r="GH27" i="8" l="1"/>
  <c r="GI29" i="8"/>
  <c r="GJ29" i="8" s="1"/>
  <c r="GI28" i="8"/>
  <c r="GI37" i="8"/>
  <c r="EV15" i="42"/>
  <c r="EV18" i="42"/>
  <c r="GE40" i="8"/>
  <c r="EQ19" i="2"/>
  <c r="EQ103" i="2" s="1"/>
  <c r="GI27" i="8" l="1"/>
  <c r="GI12" i="8" s="1"/>
  <c r="GJ28" i="8"/>
  <c r="GH12" i="8"/>
  <c r="GE41" i="8"/>
  <c r="EU58" i="15"/>
  <c r="GJ27" i="8" l="1"/>
  <c r="GJ12" i="8"/>
  <c r="GJ31" i="8" s="1"/>
  <c r="GJ37" i="8" s="1"/>
  <c r="EV58" i="15"/>
  <c r="EU63" i="15"/>
  <c r="EU64" i="15" s="1"/>
  <c r="EU61" i="15"/>
  <c r="GJ40" i="8" l="1"/>
  <c r="GJ41" i="8" s="1"/>
  <c r="EV63" i="15"/>
  <c r="EV64" i="15" s="1"/>
  <c r="EV59" i="15"/>
  <c r="FV143" i="17" l="1"/>
  <c r="FV74" i="42" s="1"/>
  <c r="FV76" i="42" l="1"/>
  <c r="FV75" i="42"/>
  <c r="FW76" i="42"/>
  <c r="GA143" i="17"/>
  <c r="FV147" i="17"/>
  <c r="FV126" i="17"/>
  <c r="FV79" i="42" s="1"/>
  <c r="FW146" i="17"/>
  <c r="FV146" i="17"/>
  <c r="FV148" i="17"/>
  <c r="FZ143" i="17"/>
  <c r="FZ74" i="42" s="1"/>
  <c r="FZ75" i="42" s="1"/>
  <c r="FW148" i="17"/>
  <c r="GA146" i="17" l="1"/>
  <c r="GF143" i="17"/>
  <c r="GE143" i="17"/>
  <c r="GA148" i="17"/>
  <c r="FV81" i="42"/>
  <c r="FV80" i="42"/>
  <c r="FW81" i="42"/>
  <c r="GA147" i="17"/>
  <c r="GA74" i="42"/>
  <c r="GB146" i="17"/>
  <c r="GB148" i="17"/>
  <c r="GA126" i="17"/>
  <c r="GA129" i="17" s="1"/>
  <c r="FV156" i="17"/>
  <c r="FZ144" i="17"/>
  <c r="FV149" i="17"/>
  <c r="FV130" i="17"/>
  <c r="FV131" i="17"/>
  <c r="FV127" i="17"/>
  <c r="FV129" i="17"/>
  <c r="FW131" i="17"/>
  <c r="FW129" i="17"/>
  <c r="FZ147" i="17"/>
  <c r="FZ126" i="17"/>
  <c r="GF74" i="42" l="1"/>
  <c r="GF147" i="17"/>
  <c r="GF126" i="17"/>
  <c r="GF149" i="17"/>
  <c r="GG146" i="17"/>
  <c r="GG148" i="17"/>
  <c r="GF148" i="17"/>
  <c r="GF146" i="17"/>
  <c r="GJ143" i="17"/>
  <c r="GF75" i="42"/>
  <c r="GE74" i="42"/>
  <c r="GE75" i="42" s="1"/>
  <c r="GJ147" i="17"/>
  <c r="GE126" i="17"/>
  <c r="GE127" i="17" s="1"/>
  <c r="GE147" i="17"/>
  <c r="GE144" i="17"/>
  <c r="GB129" i="17"/>
  <c r="GB131" i="17"/>
  <c r="GA149" i="17"/>
  <c r="GA131" i="17"/>
  <c r="FZ156" i="17"/>
  <c r="FZ79" i="42"/>
  <c r="FZ80" i="42" s="1"/>
  <c r="GA156" i="17"/>
  <c r="GA79" i="42"/>
  <c r="GA76" i="42"/>
  <c r="GA75" i="42"/>
  <c r="GB76" i="42"/>
  <c r="GA127" i="17"/>
  <c r="GA130" i="17"/>
  <c r="FZ149" i="17"/>
  <c r="FZ127" i="17"/>
  <c r="FZ130" i="17"/>
  <c r="GJ74" i="42" l="1"/>
  <c r="GJ126" i="17"/>
  <c r="GJ130" i="17" s="1"/>
  <c r="GJ149" i="17"/>
  <c r="GF79" i="42"/>
  <c r="GF127" i="17"/>
  <c r="GF130" i="17"/>
  <c r="GF156" i="17"/>
  <c r="GF129" i="17"/>
  <c r="GF131" i="17"/>
  <c r="GG129" i="17"/>
  <c r="GG131" i="17"/>
  <c r="GJ144" i="17"/>
  <c r="GG76" i="42"/>
  <c r="GF76" i="42"/>
  <c r="GE156" i="17"/>
  <c r="GE149" i="17"/>
  <c r="GJ127" i="17"/>
  <c r="GE130" i="17"/>
  <c r="GE79" i="42"/>
  <c r="GA80" i="42"/>
  <c r="GA81" i="42"/>
  <c r="GB81" i="42"/>
  <c r="GJ79" i="42" l="1"/>
  <c r="GJ80" i="42" s="1"/>
  <c r="GJ156" i="17"/>
  <c r="GF81" i="42"/>
  <c r="GG81" i="42"/>
  <c r="GF80" i="42"/>
  <c r="GJ75" i="42"/>
  <c r="GE80" i="42"/>
  <c r="EV255" i="14"/>
  <c r="EU258" i="14"/>
  <c r="EU260" i="14"/>
  <c r="EW260" i="14"/>
  <c r="EW258" i="14"/>
  <c r="EU259" i="14"/>
  <c r="EU301" i="14"/>
  <c r="FA259" i="14" l="1"/>
  <c r="FA256" i="14"/>
  <c r="EZ304" i="14"/>
  <c r="EZ302" i="14"/>
  <c r="EV270" i="14"/>
  <c r="EV256" i="14"/>
  <c r="EW305" i="14"/>
  <c r="EW303" i="14"/>
  <c r="EU305" i="14"/>
  <c r="EU304" i="14"/>
  <c r="EV301" i="14"/>
  <c r="EU306" i="14"/>
  <c r="EU103" i="14"/>
  <c r="EU302" i="14"/>
  <c r="EU303" i="14"/>
  <c r="EV259" i="14"/>
  <c r="EV304" i="14" l="1"/>
  <c r="FA304" i="14"/>
  <c r="FA302" i="14"/>
  <c r="FE301" i="14"/>
  <c r="FE304" i="14" s="1"/>
  <c r="FB305" i="14"/>
  <c r="FB303" i="14"/>
  <c r="EV306" i="14"/>
  <c r="EV302" i="14"/>
  <c r="EV103" i="14"/>
  <c r="EV106" i="14" s="1"/>
  <c r="EU106" i="14"/>
  <c r="EU107" i="14"/>
  <c r="EU105" i="14"/>
  <c r="EU108" i="14"/>
  <c r="EU104" i="14"/>
  <c r="FE303" i="14" l="1"/>
  <c r="FF301" i="14"/>
  <c r="FF302" i="14" s="1"/>
  <c r="FJ301" i="14"/>
  <c r="FL305" i="14" s="1"/>
  <c r="FG303" i="14"/>
  <c r="FE255" i="14"/>
  <c r="FE259" i="14" s="1"/>
  <c r="FE305" i="14"/>
  <c r="FG305" i="14"/>
  <c r="EZ270" i="14"/>
  <c r="FB260" i="14"/>
  <c r="FB258" i="14"/>
  <c r="EV108" i="14"/>
  <c r="EV104" i="14"/>
  <c r="FK301" i="14" l="1"/>
  <c r="FJ305" i="14"/>
  <c r="FF304" i="14"/>
  <c r="FJ304" i="14"/>
  <c r="FJ303" i="14"/>
  <c r="FE306" i="14"/>
  <c r="FO301" i="14"/>
  <c r="FP301" i="14" s="1"/>
  <c r="FL303" i="14"/>
  <c r="FE256" i="14"/>
  <c r="FE270" i="14"/>
  <c r="FK304" i="14"/>
  <c r="FK302" i="14"/>
  <c r="FQ305" i="14" l="1"/>
  <c r="FQ303" i="14"/>
  <c r="FO304" i="14"/>
  <c r="FO305" i="14"/>
  <c r="FO303" i="14"/>
  <c r="FT301" i="14"/>
  <c r="FV305" i="14" s="1"/>
  <c r="FP304" i="14"/>
  <c r="FP302" i="14"/>
  <c r="FT304" i="14" l="1"/>
  <c r="FT303" i="14"/>
  <c r="FU301" i="14"/>
  <c r="FU304" i="14" s="1"/>
  <c r="FT305" i="14"/>
  <c r="FV303" i="14"/>
  <c r="FY301" i="14"/>
  <c r="GA305" i="14" s="1"/>
  <c r="GA303" i="14" l="1"/>
  <c r="FY305" i="14"/>
  <c r="FU302" i="14"/>
  <c r="FY303" i="14"/>
  <c r="FY304" i="14"/>
  <c r="GD301" i="14"/>
  <c r="GD305" i="14" s="1"/>
  <c r="FZ301" i="14"/>
  <c r="FZ304" i="14" s="1"/>
  <c r="GE301" i="14" l="1"/>
  <c r="GE302" i="14" s="1"/>
  <c r="GF303" i="14"/>
  <c r="GF305" i="14"/>
  <c r="GD304" i="14"/>
  <c r="GD303" i="14"/>
  <c r="GI301" i="14"/>
  <c r="GI304" i="14" s="1"/>
  <c r="FZ302" i="14"/>
  <c r="GE304" i="14" l="1"/>
  <c r="GJ301" i="14"/>
  <c r="GJ302" i="14" s="1"/>
  <c r="GI255" i="14"/>
  <c r="GI306" i="14" s="1"/>
  <c r="GI303" i="14"/>
  <c r="GI305" i="14"/>
  <c r="GI270" i="14"/>
  <c r="EW106" i="17"/>
  <c r="GJ304" i="14" l="1"/>
  <c r="GI260" i="14"/>
  <c r="GJ255" i="14"/>
  <c r="GJ270" i="14" s="1"/>
  <c r="GI258" i="14"/>
  <c r="EX111" i="17"/>
  <c r="EX109" i="17"/>
  <c r="FA106" i="17"/>
  <c r="FA110" i="17" s="1"/>
  <c r="EW114" i="17"/>
  <c r="EW110" i="17"/>
  <c r="EW109" i="17"/>
  <c r="FB106" i="17"/>
  <c r="FB110" i="17" s="1"/>
  <c r="EW111" i="17"/>
  <c r="GJ306" i="14" l="1"/>
  <c r="FA107" i="17"/>
  <c r="FB114" i="17"/>
  <c r="FB117" i="17" s="1"/>
  <c r="EX119" i="17"/>
  <c r="EX117" i="17"/>
  <c r="EW94" i="17"/>
  <c r="FG106" i="17"/>
  <c r="FF106" i="17"/>
  <c r="FC111" i="17"/>
  <c r="FB109" i="17"/>
  <c r="FB111" i="17"/>
  <c r="FC109" i="17"/>
  <c r="EW102" i="17"/>
  <c r="EX104" i="17" s="1"/>
  <c r="EW92" i="17"/>
  <c r="FA69" i="42"/>
  <c r="EW112" i="17"/>
  <c r="EW120" i="17" s="1"/>
  <c r="EW117" i="17"/>
  <c r="EW119" i="17"/>
  <c r="FA114" i="17"/>
  <c r="EW118" i="17"/>
  <c r="FB118" i="17"/>
  <c r="FF114" i="17" l="1"/>
  <c r="FC117" i="17"/>
  <c r="FB89" i="17"/>
  <c r="FB112" i="17" s="1"/>
  <c r="FB120" i="17" s="1"/>
  <c r="FA70" i="42"/>
  <c r="FC119" i="17"/>
  <c r="FG114" i="17"/>
  <c r="FH117" i="17" s="1"/>
  <c r="FB119" i="17"/>
  <c r="EW95" i="17"/>
  <c r="EW14" i="2"/>
  <c r="EW68" i="2" s="1"/>
  <c r="FF115" i="17"/>
  <c r="EW69" i="42"/>
  <c r="EX71" i="42" s="1"/>
  <c r="FA90" i="17"/>
  <c r="FA93" i="17"/>
  <c r="FA112" i="17"/>
  <c r="EW64" i="42"/>
  <c r="EX66" i="42" s="1"/>
  <c r="EW132" i="17"/>
  <c r="EW14" i="17"/>
  <c r="EW11" i="17"/>
  <c r="EX15" i="17"/>
  <c r="EX13" i="17"/>
  <c r="EW15" i="17"/>
  <c r="EW13" i="17"/>
  <c r="FA10" i="17"/>
  <c r="FF107" i="17"/>
  <c r="FF110" i="17"/>
  <c r="EW103" i="17"/>
  <c r="FA102" i="17"/>
  <c r="FA103" i="17" s="1"/>
  <c r="EW104" i="17"/>
  <c r="FL106" i="17"/>
  <c r="FG109" i="17"/>
  <c r="FH111" i="17"/>
  <c r="FH109" i="17"/>
  <c r="FG111" i="17"/>
  <c r="FG110" i="17"/>
  <c r="FK106" i="17"/>
  <c r="FB90" i="17"/>
  <c r="FF89" i="17"/>
  <c r="FF120" i="17" s="1"/>
  <c r="FB69" i="42"/>
  <c r="FC94" i="17"/>
  <c r="FB94" i="17"/>
  <c r="FB93" i="17"/>
  <c r="FA115" i="17"/>
  <c r="FA118" i="17"/>
  <c r="FA120" i="17"/>
  <c r="FF118" i="17"/>
  <c r="FB92" i="17" l="1"/>
  <c r="FC92" i="17"/>
  <c r="FA23" i="17"/>
  <c r="FA14" i="2"/>
  <c r="FA68" i="2" s="1"/>
  <c r="FA42" i="17"/>
  <c r="FA43" i="17" s="1"/>
  <c r="FG117" i="17"/>
  <c r="FA61" i="3"/>
  <c r="FA62" i="3" s="1"/>
  <c r="FA24" i="17"/>
  <c r="FK114" i="17"/>
  <c r="FK115" i="17" s="1"/>
  <c r="FH119" i="17"/>
  <c r="EW51" i="29"/>
  <c r="EW52" i="29" s="1"/>
  <c r="FA64" i="42"/>
  <c r="FG118" i="17"/>
  <c r="FL114" i="17"/>
  <c r="FL117" i="17" s="1"/>
  <c r="FG89" i="17"/>
  <c r="FG90" i="17" s="1"/>
  <c r="FG119" i="17"/>
  <c r="EW70" i="42"/>
  <c r="EW71" i="42"/>
  <c r="FA95" i="17"/>
  <c r="EW72" i="42"/>
  <c r="FF112" i="17"/>
  <c r="FQ106" i="17"/>
  <c r="FL111" i="17"/>
  <c r="FP106" i="17"/>
  <c r="FM111" i="17"/>
  <c r="FL109" i="17"/>
  <c r="FM109" i="17"/>
  <c r="FL110" i="17"/>
  <c r="ET23" i="2"/>
  <c r="ET67" i="2" s="1"/>
  <c r="EU23" i="2"/>
  <c r="EU67" i="2" s="1"/>
  <c r="ES23" i="2"/>
  <c r="ES67" i="2" s="1"/>
  <c r="ER23" i="2"/>
  <c r="ER67" i="2" s="1"/>
  <c r="FK118" i="17"/>
  <c r="FA14" i="17"/>
  <c r="FA11" i="17"/>
  <c r="FA132" i="17"/>
  <c r="EW82" i="42"/>
  <c r="EW66" i="42"/>
  <c r="EW65" i="42"/>
  <c r="EW77" i="42"/>
  <c r="FC71" i="42"/>
  <c r="FB71" i="42"/>
  <c r="FB70" i="42"/>
  <c r="FF90" i="17"/>
  <c r="FF93" i="17"/>
  <c r="FF69" i="42"/>
  <c r="FK110" i="17"/>
  <c r="FK107" i="17"/>
  <c r="FP114" i="17" l="1"/>
  <c r="FM119" i="17"/>
  <c r="FG93" i="17"/>
  <c r="FG112" i="17"/>
  <c r="FG120" i="17" s="1"/>
  <c r="FL119" i="17"/>
  <c r="FG69" i="42"/>
  <c r="FG70" i="42" s="1"/>
  <c r="FQ114" i="17"/>
  <c r="FQ118" i="17" s="1"/>
  <c r="FG94" i="17"/>
  <c r="FM117" i="17"/>
  <c r="FG92" i="17"/>
  <c r="FK89" i="17"/>
  <c r="FK112" i="17" s="1"/>
  <c r="FH92" i="17"/>
  <c r="FL118" i="17"/>
  <c r="FH94" i="17"/>
  <c r="FL89" i="17"/>
  <c r="FL69" i="42" s="1"/>
  <c r="FA65" i="42"/>
  <c r="FA77" i="42"/>
  <c r="FA82" i="42"/>
  <c r="FA72" i="42"/>
  <c r="EX23" i="2"/>
  <c r="FP115" i="17"/>
  <c r="FP118" i="17"/>
  <c r="EV23" i="2"/>
  <c r="EV67" i="2" s="1"/>
  <c r="FL90" i="17"/>
  <c r="FV106" i="17"/>
  <c r="FQ109" i="17"/>
  <c r="FQ111" i="17"/>
  <c r="FR111" i="17"/>
  <c r="FQ110" i="17"/>
  <c r="FU106" i="17"/>
  <c r="FR109" i="17"/>
  <c r="FP107" i="17"/>
  <c r="FP110" i="17"/>
  <c r="FK90" i="17"/>
  <c r="FK93" i="17"/>
  <c r="FK69" i="42"/>
  <c r="FF70" i="42"/>
  <c r="FQ117" i="17" l="1"/>
  <c r="FP89" i="17"/>
  <c r="FQ89" i="17"/>
  <c r="FR92" i="17" s="1"/>
  <c r="FQ119" i="17"/>
  <c r="FR119" i="17"/>
  <c r="FH71" i="42"/>
  <c r="FV114" i="17"/>
  <c r="FW119" i="17" s="1"/>
  <c r="FG71" i="42"/>
  <c r="FU114" i="17"/>
  <c r="FK120" i="17"/>
  <c r="FM94" i="17"/>
  <c r="FL93" i="17"/>
  <c r="FR117" i="17"/>
  <c r="FL92" i="17"/>
  <c r="FM92" i="17"/>
  <c r="FL112" i="17"/>
  <c r="FL120" i="17" s="1"/>
  <c r="FL94" i="17"/>
  <c r="FP90" i="17"/>
  <c r="FP69" i="42"/>
  <c r="FP93" i="17"/>
  <c r="FU115" i="17"/>
  <c r="FU118" i="17"/>
  <c r="FV117" i="17"/>
  <c r="FP112" i="17"/>
  <c r="GA106" i="17"/>
  <c r="GF106" i="17" s="1"/>
  <c r="FZ106" i="17"/>
  <c r="FW109" i="17"/>
  <c r="FV109" i="17"/>
  <c r="FV111" i="17"/>
  <c r="FV110" i="17"/>
  <c r="FW111" i="17"/>
  <c r="FP120" i="17"/>
  <c r="FK70" i="42"/>
  <c r="FU110" i="17"/>
  <c r="FU107" i="17"/>
  <c r="FQ112" i="17"/>
  <c r="FQ120" i="17" s="1"/>
  <c r="FQ90" i="17"/>
  <c r="FU89" i="17"/>
  <c r="FU120" i="17" s="1"/>
  <c r="FQ92" i="17"/>
  <c r="FR94" i="17"/>
  <c r="FQ69" i="42"/>
  <c r="FQ93" i="17"/>
  <c r="FQ94" i="17"/>
  <c r="FL70" i="42"/>
  <c r="FM71" i="42"/>
  <c r="FL71" i="42"/>
  <c r="FV119" i="17" l="1"/>
  <c r="FZ114" i="17"/>
  <c r="FZ115" i="17" s="1"/>
  <c r="FV89" i="17"/>
  <c r="FV92" i="17" s="1"/>
  <c r="FV118" i="17"/>
  <c r="FW117" i="17"/>
  <c r="GA114" i="17"/>
  <c r="GF114" i="17" s="1"/>
  <c r="GF117" i="17" s="1"/>
  <c r="GF110" i="17"/>
  <c r="GF109" i="17"/>
  <c r="GF111" i="17"/>
  <c r="GG111" i="17"/>
  <c r="GJ106" i="17"/>
  <c r="GG109" i="17"/>
  <c r="FU112" i="17"/>
  <c r="FZ107" i="17"/>
  <c r="FZ110" i="17"/>
  <c r="FV112" i="17"/>
  <c r="FV120" i="17" s="1"/>
  <c r="FW92" i="17"/>
  <c r="FV94" i="17"/>
  <c r="FW94" i="17"/>
  <c r="FV93" i="17"/>
  <c r="FV69" i="42"/>
  <c r="FZ118" i="17"/>
  <c r="GA109" i="17"/>
  <c r="GB111" i="17"/>
  <c r="GA111" i="17"/>
  <c r="GB109" i="17"/>
  <c r="GA110" i="17"/>
  <c r="GE106" i="17"/>
  <c r="FQ70" i="42"/>
  <c r="FQ71" i="42"/>
  <c r="FR71" i="42"/>
  <c r="FU90" i="17"/>
  <c r="FU69" i="42"/>
  <c r="FU93" i="17"/>
  <c r="FP70" i="42"/>
  <c r="FZ89" i="17" l="1"/>
  <c r="FZ112" i="17" s="1"/>
  <c r="FV90" i="17"/>
  <c r="GJ114" i="17"/>
  <c r="GA118" i="17"/>
  <c r="GG117" i="17"/>
  <c r="GG119" i="17"/>
  <c r="GB119" i="17"/>
  <c r="GA119" i="17"/>
  <c r="GA117" i="17"/>
  <c r="GF89" i="17"/>
  <c r="GF112" i="17" s="1"/>
  <c r="GF120" i="17" s="1"/>
  <c r="GF118" i="17"/>
  <c r="GE114" i="17"/>
  <c r="GJ115" i="17" s="1"/>
  <c r="GF119" i="17"/>
  <c r="GB117" i="17"/>
  <c r="GA89" i="17"/>
  <c r="GA112" i="17" s="1"/>
  <c r="GA120" i="17" s="1"/>
  <c r="GF69" i="42"/>
  <c r="GG92" i="17"/>
  <c r="GG94" i="17"/>
  <c r="GF92" i="17"/>
  <c r="GJ89" i="17"/>
  <c r="GJ112" i="17" s="1"/>
  <c r="GJ118" i="17"/>
  <c r="GJ107" i="17"/>
  <c r="GJ110" i="17"/>
  <c r="FZ120" i="17"/>
  <c r="FU70" i="42"/>
  <c r="GE110" i="17"/>
  <c r="GE107" i="17"/>
  <c r="FV70" i="42"/>
  <c r="FW71" i="42"/>
  <c r="FV71" i="42"/>
  <c r="GA90" i="17"/>
  <c r="FZ90" i="17"/>
  <c r="FZ69" i="42"/>
  <c r="FZ93" i="17"/>
  <c r="GE115" i="17"/>
  <c r="GA94" i="17" l="1"/>
  <c r="GA92" i="17"/>
  <c r="GB92" i="17"/>
  <c r="GF90" i="17"/>
  <c r="GE118" i="17"/>
  <c r="GF94" i="17"/>
  <c r="GA93" i="17"/>
  <c r="GB94" i="17"/>
  <c r="GA69" i="42"/>
  <c r="GF70" i="42" s="1"/>
  <c r="GE89" i="17"/>
  <c r="GE69" i="42" s="1"/>
  <c r="GF93" i="17"/>
  <c r="GG71" i="42"/>
  <c r="GF71" i="42"/>
  <c r="GJ69" i="42"/>
  <c r="GJ120" i="17"/>
  <c r="GE112" i="17"/>
  <c r="FZ70" i="42"/>
  <c r="GA70" i="42"/>
  <c r="GJ70" i="42" l="1"/>
  <c r="GE120" i="17"/>
  <c r="GE93" i="17"/>
  <c r="GJ93" i="17"/>
  <c r="GJ90" i="17"/>
  <c r="GA71" i="42"/>
  <c r="GE90" i="17"/>
  <c r="GB71" i="42"/>
  <c r="GE70" i="42"/>
  <c r="ER124" i="14" l="1"/>
  <c r="ER127" i="14" l="1"/>
  <c r="ER128" i="14"/>
  <c r="EW245" i="14" l="1"/>
  <c r="EW124" i="14"/>
  <c r="ES190" i="14" l="1"/>
  <c r="EW125" i="14"/>
  <c r="EW127" i="14"/>
  <c r="ET190" i="14" l="1"/>
  <c r="ET191" i="14"/>
  <c r="ET189" i="14"/>
  <c r="ES353" i="14"/>
  <c r="ES16" i="14"/>
  <c r="ES14" i="14"/>
  <c r="ES262" i="14"/>
  <c r="ES318" i="14"/>
  <c r="ES11" i="14"/>
  <c r="ES193" i="14"/>
  <c r="EU191" i="14" l="1"/>
  <c r="EU190" i="14"/>
  <c r="EU189" i="14"/>
  <c r="ET14" i="14" l="1"/>
  <c r="ET353" i="14"/>
  <c r="ET318" i="14"/>
  <c r="ET16" i="14"/>
  <c r="ET13" i="14"/>
  <c r="ET15" i="14"/>
  <c r="ET11" i="14"/>
  <c r="ET262" i="14"/>
  <c r="ET193" i="14"/>
  <c r="EU14" i="14" l="1"/>
  <c r="EU353" i="14"/>
  <c r="EU11" i="14"/>
  <c r="EU262" i="14"/>
  <c r="EU13" i="14"/>
  <c r="EU16" i="14"/>
  <c r="EU318" i="14"/>
  <c r="EU15" i="14"/>
  <c r="EU193" i="14"/>
  <c r="EW19" i="42" l="1"/>
  <c r="EW262" i="14"/>
  <c r="EW249" i="14"/>
  <c r="EW318" i="14"/>
  <c r="EW13" i="14"/>
  <c r="EW12" i="2"/>
  <c r="EW51" i="3"/>
  <c r="EW15" i="14"/>
  <c r="EW353" i="14"/>
  <c r="EW53" i="3" l="1"/>
  <c r="EW52" i="3"/>
  <c r="EW16" i="14"/>
  <c r="EW15" i="2"/>
  <c r="ER21" i="2"/>
  <c r="ER53" i="2" s="1"/>
  <c r="EW26" i="14"/>
  <c r="EW16" i="15"/>
  <c r="EW16" i="17"/>
  <c r="EW10" i="42"/>
  <c r="EW22" i="42" s="1"/>
  <c r="EW42" i="42"/>
  <c r="EW21" i="42"/>
  <c r="EW20" i="42"/>
  <c r="EW37" i="42"/>
  <c r="EW74" i="2" l="1"/>
  <c r="EW54" i="2"/>
  <c r="EW120" i="2"/>
  <c r="EW35" i="2"/>
  <c r="ER24" i="2"/>
  <c r="EW47" i="42"/>
  <c r="EW12" i="42"/>
  <c r="EW67" i="42"/>
  <c r="EW11" i="42"/>
  <c r="ER73" i="2" l="1"/>
  <c r="ER88" i="2"/>
  <c r="EW36" i="5" l="1"/>
  <c r="EW44" i="5" l="1"/>
  <c r="FL81" i="3" l="1"/>
  <c r="FQ81" i="3" s="1"/>
  <c r="FV81" i="3" l="1"/>
  <c r="GA81" i="3" l="1"/>
  <c r="GF81" i="3" s="1"/>
  <c r="EW50" i="5" l="1"/>
  <c r="EW51" i="5" s="1"/>
  <c r="EW16" i="5" l="1"/>
  <c r="EW25" i="5" l="1"/>
  <c r="EW53" i="5" s="1"/>
  <c r="FM81" i="3" l="1"/>
  <c r="FR81" i="3" l="1"/>
  <c r="FW81" i="3" l="1"/>
  <c r="GB81" i="3" l="1"/>
  <c r="GG81" i="3" s="1"/>
  <c r="EW108" i="5" l="1"/>
  <c r="EW56" i="6"/>
  <c r="EW109" i="5" l="1"/>
  <c r="EW112" i="5"/>
  <c r="EW138" i="5"/>
  <c r="EW111" i="5"/>
  <c r="EW10" i="30"/>
  <c r="EW110" i="5"/>
  <c r="EW12" i="30" l="1"/>
  <c r="EW13" i="30"/>
  <c r="EW11" i="30"/>
  <c r="EW14" i="30"/>
  <c r="EW46" i="6" l="1"/>
  <c r="EW231" i="3"/>
  <c r="EW232" i="3"/>
  <c r="EW31" i="6"/>
  <c r="EW134" i="5"/>
  <c r="EW137" i="5" s="1"/>
  <c r="EW73" i="3" s="1"/>
  <c r="EW74" i="3" s="1"/>
  <c r="EW150" i="5"/>
  <c r="EW151" i="5" s="1"/>
  <c r="EW142" i="5" l="1"/>
  <c r="EW32" i="6"/>
  <c r="EW66" i="6"/>
  <c r="EW91" i="6"/>
  <c r="EW59" i="6"/>
  <c r="EW61" i="6" s="1"/>
  <c r="FC142" i="5"/>
  <c r="FD142" i="5" s="1"/>
  <c r="FE142" i="5" s="1"/>
  <c r="EW152" i="5"/>
  <c r="EW233" i="3"/>
  <c r="EW143" i="5"/>
  <c r="EW141" i="5"/>
  <c r="EW135" i="5"/>
  <c r="EW100" i="5"/>
  <c r="EW105" i="5" s="1"/>
  <c r="EW63" i="6" l="1"/>
  <c r="EX60" i="6"/>
  <c r="EW92" i="6"/>
  <c r="EW96" i="6"/>
  <c r="EW67" i="6"/>
  <c r="EW71" i="6"/>
  <c r="EW101" i="5"/>
  <c r="FH142" i="5"/>
  <c r="FI142" i="5" s="1"/>
  <c r="FJ142" i="5" s="1"/>
  <c r="EU40" i="8"/>
  <c r="EU41" i="8" s="1"/>
  <c r="FD151" i="5" l="1"/>
  <c r="EW74" i="6"/>
  <c r="EW75" i="6" s="1"/>
  <c r="EW72" i="6"/>
  <c r="EW73" i="6"/>
  <c r="EW125" i="5"/>
  <c r="EW126" i="5" s="1"/>
  <c r="EW97" i="6"/>
  <c r="EW98" i="6"/>
  <c r="FM142" i="5"/>
  <c r="FN142" i="5" s="1"/>
  <c r="FO142" i="5" s="1"/>
  <c r="FE151" i="5" l="1"/>
  <c r="FG151" i="5" s="1"/>
  <c r="FR142" i="5"/>
  <c r="FS142" i="5" s="1"/>
  <c r="FT142" i="5" s="1"/>
  <c r="FL151" i="5" l="1"/>
  <c r="FH151" i="5"/>
  <c r="FI151" i="5" s="1"/>
  <c r="FJ151" i="5"/>
  <c r="FW142" i="5"/>
  <c r="FX142" i="5" s="1"/>
  <c r="FY142" i="5" s="1"/>
  <c r="GB142" i="5"/>
  <c r="GC142" i="5" s="1"/>
  <c r="GD142" i="5" s="1"/>
  <c r="FQ151" i="5" l="1"/>
  <c r="FM151" i="5"/>
  <c r="FN151" i="5" s="1"/>
  <c r="FO151" i="5"/>
  <c r="FR151" i="5" l="1"/>
  <c r="FS151" i="5" s="1"/>
  <c r="FT151" i="5" s="1"/>
  <c r="FV151" i="5"/>
  <c r="FW151" i="5" l="1"/>
  <c r="FX151" i="5" s="1"/>
  <c r="FY151" i="5" s="1"/>
  <c r="GA151" i="5"/>
  <c r="GB151" i="5" l="1"/>
  <c r="GC151" i="5" s="1"/>
  <c r="GD151" i="5" s="1"/>
  <c r="GF151" i="5"/>
  <c r="GG151" i="5" s="1"/>
  <c r="GH151" i="5" s="1"/>
  <c r="GI151" i="5" s="1"/>
  <c r="EW129" i="5"/>
  <c r="EW130" i="5" l="1"/>
  <c r="EW114" i="5"/>
  <c r="EW122" i="5" l="1"/>
  <c r="EW123" i="5" s="1"/>
  <c r="EW17" i="30"/>
  <c r="EW119" i="5"/>
  <c r="EW118" i="5"/>
  <c r="EW116" i="5"/>
  <c r="EW115" i="5"/>
  <c r="EW117" i="5"/>
  <c r="EW120" i="5" l="1"/>
  <c r="EW21" i="30"/>
  <c r="EW24" i="30"/>
  <c r="EW27" i="30" s="1"/>
  <c r="EW20" i="30"/>
  <c r="EW18" i="30"/>
  <c r="EW19" i="30"/>
  <c r="EW25" i="30" l="1"/>
  <c r="EW15" i="30"/>
  <c r="EW22" i="30"/>
  <c r="EW28" i="30"/>
  <c r="EW26" i="30"/>
  <c r="EW141" i="15" l="1"/>
  <c r="ER94" i="15" l="1"/>
  <c r="ER95" i="15"/>
  <c r="ER215" i="15"/>
  <c r="ER93" i="15"/>
  <c r="ES92" i="15"/>
  <c r="ER92" i="15"/>
  <c r="ES93" i="15"/>
  <c r="ER91" i="15"/>
  <c r="ES95" i="15"/>
  <c r="EV90" i="15"/>
  <c r="EN93" i="15"/>
  <c r="EN95" i="15"/>
  <c r="EN92" i="15"/>
  <c r="EM96" i="15"/>
  <c r="EM215" i="15"/>
  <c r="EQ90" i="15"/>
  <c r="FA94" i="15" l="1"/>
  <c r="FA91" i="15"/>
  <c r="EW91" i="15"/>
  <c r="EW92" i="15"/>
  <c r="EW94" i="15"/>
  <c r="EW93" i="15"/>
  <c r="EW96" i="15"/>
  <c r="EW215" i="15"/>
  <c r="EW95" i="15"/>
  <c r="EQ215" i="15"/>
  <c r="ER230" i="15"/>
  <c r="ER16" i="15"/>
  <c r="ES15" i="15"/>
  <c r="EW14" i="15"/>
  <c r="ES13" i="15"/>
  <c r="ER14" i="15"/>
  <c r="ER11" i="15"/>
  <c r="ER13" i="15"/>
  <c r="ER15" i="15"/>
  <c r="EW11" i="15"/>
  <c r="EW199" i="14"/>
  <c r="EW24" i="42"/>
  <c r="EW203" i="14"/>
  <c r="EW62" i="18"/>
  <c r="EW117" i="14"/>
  <c r="EV94" i="15"/>
  <c r="EV91" i="15"/>
  <c r="ER96" i="15"/>
  <c r="EM11" i="15"/>
  <c r="EM15" i="15"/>
  <c r="EN15" i="15"/>
  <c r="EM230" i="15"/>
  <c r="EM13" i="15"/>
  <c r="EN13" i="15"/>
  <c r="EM14" i="15"/>
  <c r="EM16" i="15"/>
  <c r="EM195" i="14"/>
  <c r="EM210" i="14" s="1"/>
  <c r="ER211" i="14" s="1"/>
  <c r="ER62" i="18"/>
  <c r="ER117" i="14"/>
  <c r="EW37" i="29" l="1"/>
  <c r="EW38" i="29" s="1"/>
  <c r="EM241" i="14"/>
  <c r="ER245" i="14" s="1"/>
  <c r="ER199" i="14"/>
  <c r="EW234" i="15"/>
  <c r="EW63" i="18"/>
  <c r="EW66" i="18"/>
  <c r="EQ11" i="15"/>
  <c r="EQ14" i="15"/>
  <c r="EQ230" i="15"/>
  <c r="EQ16" i="15"/>
  <c r="ER68" i="18"/>
  <c r="ER63" i="18"/>
  <c r="ER66" i="18"/>
  <c r="ER67" i="18"/>
  <c r="EQ96" i="15"/>
  <c r="EW118" i="14"/>
  <c r="EW120" i="14"/>
  <c r="EW131" i="14"/>
  <c r="EW136" i="14" s="1"/>
  <c r="EW68" i="18"/>
  <c r="EW191" i="14"/>
  <c r="EW190" i="14"/>
  <c r="EW189" i="14"/>
  <c r="EW247" i="14"/>
  <c r="EW187" i="14"/>
  <c r="EW193" i="14"/>
  <c r="ER190" i="14"/>
  <c r="EV186" i="14"/>
  <c r="ER191" i="14"/>
  <c r="ES191" i="14"/>
  <c r="ES189" i="14"/>
  <c r="EW27" i="42"/>
  <c r="EW25" i="42"/>
  <c r="ER121" i="14"/>
  <c r="ER120" i="14"/>
  <c r="ER131" i="14"/>
  <c r="FB24" i="42"/>
  <c r="FB62" i="18"/>
  <c r="FB199" i="14"/>
  <c r="FB117" i="14"/>
  <c r="EV187" i="14" l="1"/>
  <c r="FA187" i="14"/>
  <c r="FA190" i="14"/>
  <c r="ER242" i="14"/>
  <c r="ER202" i="14"/>
  <c r="ER136" i="14"/>
  <c r="EW122" i="14"/>
  <c r="EW202" i="14"/>
  <c r="ER192" i="14"/>
  <c r="ER29" i="42"/>
  <c r="EW192" i="14"/>
  <c r="ER122" i="14"/>
  <c r="ER134" i="14"/>
  <c r="ER248" i="14"/>
  <c r="ER261" i="14"/>
  <c r="ER271" i="14"/>
  <c r="ER129" i="14"/>
  <c r="ER135" i="14"/>
  <c r="FG199" i="14"/>
  <c r="FG24" i="42"/>
  <c r="FG62" i="18"/>
  <c r="FB25" i="42"/>
  <c r="EV190" i="14"/>
  <c r="EW23" i="18"/>
  <c r="FA23" i="18" s="1"/>
  <c r="FA24" i="18" s="1"/>
  <c r="EW15" i="18"/>
  <c r="EW18" i="18"/>
  <c r="EX20" i="18" s="1"/>
  <c r="EW126" i="18"/>
  <c r="EW103" i="18"/>
  <c r="EW14" i="42"/>
  <c r="EW16" i="18"/>
  <c r="EW114" i="18"/>
  <c r="EW13" i="18"/>
  <c r="EW14" i="18"/>
  <c r="EW17" i="2"/>
  <c r="EW261" i="14"/>
  <c r="EW129" i="14"/>
  <c r="EW248" i="14"/>
  <c r="EW271" i="14"/>
  <c r="EW132" i="14"/>
  <c r="EW29" i="42"/>
  <c r="EW134" i="14"/>
  <c r="FB120" i="14"/>
  <c r="FB118" i="14"/>
  <c r="FB63" i="18"/>
  <c r="FB66" i="18"/>
  <c r="ER32" i="42" l="1"/>
  <c r="ER30" i="42"/>
  <c r="ER31" i="42"/>
  <c r="ET201" i="14"/>
  <c r="ES201" i="14" s="1"/>
  <c r="ES195" i="14" s="1"/>
  <c r="FG63" i="18"/>
  <c r="FG66" i="18"/>
  <c r="FL24" i="42"/>
  <c r="FL199" i="14"/>
  <c r="FL62" i="18"/>
  <c r="EW20" i="18"/>
  <c r="EW19" i="18"/>
  <c r="EW30" i="42"/>
  <c r="EW32" i="42"/>
  <c r="EW18" i="2"/>
  <c r="ER19" i="2"/>
  <c r="ER103" i="2" s="1"/>
  <c r="EW16" i="42"/>
  <c r="EW15" i="42"/>
  <c r="EW17" i="42"/>
  <c r="FG25" i="42"/>
  <c r="ER14" i="14"/>
  <c r="ER13" i="14"/>
  <c r="ES15" i="14"/>
  <c r="EW14" i="14"/>
  <c r="ER15" i="14"/>
  <c r="ER11" i="14"/>
  <c r="ER16" i="14"/>
  <c r="ER318" i="14"/>
  <c r="ER249" i="14"/>
  <c r="ER353" i="14"/>
  <c r="ER262" i="14"/>
  <c r="EW11" i="14"/>
  <c r="ES13" i="14"/>
  <c r="ER203" i="14"/>
  <c r="ER193" i="14"/>
  <c r="EX195" i="14" l="1"/>
  <c r="EX210" i="14" s="1"/>
  <c r="ES210" i="14"/>
  <c r="EW23" i="29"/>
  <c r="EW24" i="29" s="1"/>
  <c r="EX241" i="14"/>
  <c r="EX62" i="18"/>
  <c r="ES200" i="14"/>
  <c r="ES24" i="42"/>
  <c r="ES241" i="14"/>
  <c r="ES117" i="14"/>
  <c r="ES62" i="18"/>
  <c r="EN195" i="14"/>
  <c r="ES203" i="14"/>
  <c r="ES198" i="14"/>
  <c r="EU201" i="14"/>
  <c r="EU195" i="14" s="1"/>
  <c r="ET195" i="14"/>
  <c r="FL25" i="42"/>
  <c r="EV11" i="14"/>
  <c r="EV262" i="14"/>
  <c r="EV353" i="14"/>
  <c r="EV14" i="14"/>
  <c r="EV16" i="14"/>
  <c r="EV318" i="14"/>
  <c r="EV193" i="14"/>
  <c r="FL66" i="18"/>
  <c r="FL63" i="18"/>
  <c r="FQ199" i="14"/>
  <c r="FQ24" i="42"/>
  <c r="FQ62" i="18"/>
  <c r="EX211" i="14" l="1"/>
  <c r="FC210" i="14"/>
  <c r="FH210" i="14" s="1"/>
  <c r="FM210" i="14" s="1"/>
  <c r="FR210" i="14" s="1"/>
  <c r="FW210" i="14" s="1"/>
  <c r="GB210" i="14" s="1"/>
  <c r="GG210" i="14" s="1"/>
  <c r="EU210" i="14"/>
  <c r="EZ195" i="14"/>
  <c r="EZ210" i="14" s="1"/>
  <c r="EY195" i="14"/>
  <c r="EY210" i="14" s="1"/>
  <c r="ET210" i="14"/>
  <c r="EN241" i="14"/>
  <c r="ES242" i="14" s="1"/>
  <c r="EN210" i="14"/>
  <c r="ES211" i="14" s="1"/>
  <c r="EX68" i="18"/>
  <c r="EX66" i="18"/>
  <c r="EX67" i="18"/>
  <c r="EX63" i="18"/>
  <c r="EX65" i="18"/>
  <c r="EX245" i="14"/>
  <c r="EX246" i="14"/>
  <c r="EX247" i="14"/>
  <c r="EX249" i="14"/>
  <c r="EX124" i="14"/>
  <c r="EX244" i="14"/>
  <c r="ET200" i="14"/>
  <c r="ES199" i="14"/>
  <c r="EU200" i="14"/>
  <c r="EU24" i="42"/>
  <c r="EV195" i="14"/>
  <c r="EV62" i="18" s="1"/>
  <c r="ET24" i="42"/>
  <c r="ES27" i="42"/>
  <c r="ES25" i="42"/>
  <c r="ES26" i="42"/>
  <c r="ES120" i="14"/>
  <c r="ES119" i="14"/>
  <c r="ES121" i="14"/>
  <c r="EN198" i="14"/>
  <c r="ET241" i="14"/>
  <c r="ET198" i="14"/>
  <c r="ET62" i="18"/>
  <c r="ET117" i="14"/>
  <c r="EO195" i="14"/>
  <c r="ET203" i="14"/>
  <c r="EU241" i="14"/>
  <c r="EU117" i="14"/>
  <c r="EP195" i="14"/>
  <c r="EP210" i="14" s="1"/>
  <c r="EU211" i="14" s="1"/>
  <c r="EU198" i="14"/>
  <c r="EU62" i="18"/>
  <c r="EU203" i="14"/>
  <c r="EW198" i="14"/>
  <c r="EW200" i="14"/>
  <c r="ES63" i="18"/>
  <c r="ES66" i="18"/>
  <c r="ES68" i="18"/>
  <c r="ES67" i="18"/>
  <c r="ES65" i="18"/>
  <c r="ES244" i="14"/>
  <c r="ES246" i="14"/>
  <c r="ES124" i="14"/>
  <c r="ES249" i="14"/>
  <c r="FQ66" i="18"/>
  <c r="FQ63" i="18"/>
  <c r="FQ25" i="42"/>
  <c r="FV24" i="42"/>
  <c r="FV199" i="14"/>
  <c r="FV62" i="18"/>
  <c r="FC195" i="14" l="1"/>
  <c r="FC196" i="14" s="1"/>
  <c r="EZ211" i="14"/>
  <c r="FE210" i="14"/>
  <c r="FJ210" i="14" s="1"/>
  <c r="FO210" i="14" s="1"/>
  <c r="FT210" i="14" s="1"/>
  <c r="FY210" i="14" s="1"/>
  <c r="GD210" i="14" s="1"/>
  <c r="GI210" i="14" s="1"/>
  <c r="FD210" i="14"/>
  <c r="FI210" i="14" s="1"/>
  <c r="FN210" i="14" s="1"/>
  <c r="FS210" i="14" s="1"/>
  <c r="FX210" i="14" s="1"/>
  <c r="GC210" i="14" s="1"/>
  <c r="GH210" i="14" s="1"/>
  <c r="EY211" i="14"/>
  <c r="ES245" i="14"/>
  <c r="EZ241" i="14"/>
  <c r="EZ62" i="18"/>
  <c r="FA195" i="14"/>
  <c r="FA210" i="14" s="1"/>
  <c r="EY203" i="14"/>
  <c r="EY241" i="14"/>
  <c r="EY249" i="14" s="1"/>
  <c r="EO241" i="14"/>
  <c r="ET242" i="14" s="1"/>
  <c r="EO210" i="14"/>
  <c r="ET211" i="14" s="1"/>
  <c r="FH195" i="14"/>
  <c r="EX128" i="14"/>
  <c r="EX125" i="14"/>
  <c r="EX127" i="14"/>
  <c r="EX126" i="14"/>
  <c r="EV117" i="14"/>
  <c r="EV120" i="14" s="1"/>
  <c r="EP241" i="14"/>
  <c r="ER246" i="14" s="1"/>
  <c r="ER200" i="14"/>
  <c r="ET199" i="14"/>
  <c r="EU199" i="14"/>
  <c r="EV203" i="14"/>
  <c r="EV24" i="42"/>
  <c r="EV27" i="42" s="1"/>
  <c r="EV210" i="14"/>
  <c r="ET27" i="42"/>
  <c r="ET25" i="42"/>
  <c r="ET26" i="42"/>
  <c r="EX187" i="14"/>
  <c r="EU27" i="42"/>
  <c r="EU26" i="42"/>
  <c r="EU25" i="42"/>
  <c r="EV241" i="14"/>
  <c r="ET65" i="18"/>
  <c r="ET63" i="18"/>
  <c r="ET68" i="18"/>
  <c r="ET66" i="18"/>
  <c r="ET67" i="18"/>
  <c r="EO198" i="14"/>
  <c r="EW26" i="42"/>
  <c r="EU244" i="14"/>
  <c r="EU124" i="14"/>
  <c r="EU246" i="14"/>
  <c r="EW244" i="14"/>
  <c r="EW246" i="14"/>
  <c r="EU249" i="14"/>
  <c r="EP198" i="14"/>
  <c r="ER198" i="14"/>
  <c r="EQ195" i="14"/>
  <c r="EV199" i="14" s="1"/>
  <c r="EV68" i="18"/>
  <c r="EV66" i="18"/>
  <c r="EV63" i="18"/>
  <c r="ES131" i="14"/>
  <c r="ES127" i="14"/>
  <c r="ES128" i="14"/>
  <c r="ES126" i="14"/>
  <c r="EU68" i="18"/>
  <c r="EU65" i="18"/>
  <c r="EU67" i="18"/>
  <c r="EU66" i="18"/>
  <c r="EW67" i="18"/>
  <c r="EU120" i="14"/>
  <c r="EU121" i="14"/>
  <c r="EU119" i="14"/>
  <c r="EW121" i="14"/>
  <c r="EW119" i="14"/>
  <c r="ET120" i="14"/>
  <c r="ET121" i="14"/>
  <c r="ET119" i="14"/>
  <c r="ET244" i="14"/>
  <c r="ET245" i="14"/>
  <c r="ET246" i="14"/>
  <c r="ET124" i="14"/>
  <c r="ET249" i="14"/>
  <c r="FV66" i="18"/>
  <c r="FV63" i="18"/>
  <c r="FV25" i="42"/>
  <c r="GA199" i="14"/>
  <c r="GA62" i="18"/>
  <c r="GA24" i="42"/>
  <c r="GF25" i="42" s="1"/>
  <c r="FC197" i="14" l="1"/>
  <c r="FA211" i="14"/>
  <c r="EY124" i="14"/>
  <c r="EY125" i="14" s="1"/>
  <c r="FA199" i="14"/>
  <c r="FA196" i="14"/>
  <c r="FA117" i="14"/>
  <c r="FA120" i="14" s="1"/>
  <c r="EY245" i="14"/>
  <c r="EY244" i="14"/>
  <c r="EY246" i="14"/>
  <c r="EY247" i="14"/>
  <c r="EZ68" i="18"/>
  <c r="EZ66" i="18"/>
  <c r="FA241" i="14"/>
  <c r="EZ246" i="14"/>
  <c r="EZ245" i="14"/>
  <c r="EZ249" i="14"/>
  <c r="EZ247" i="14"/>
  <c r="EZ244" i="14"/>
  <c r="EZ124" i="14"/>
  <c r="GF63" i="18"/>
  <c r="GF66" i="18"/>
  <c r="EQ241" i="14"/>
  <c r="EV242" i="14" s="1"/>
  <c r="FD195" i="14"/>
  <c r="FD196" i="14" s="1"/>
  <c r="FD197" i="14" s="1"/>
  <c r="FE195" i="14"/>
  <c r="FE24" i="42" s="1"/>
  <c r="FH196" i="14"/>
  <c r="FM195" i="14"/>
  <c r="EY128" i="14"/>
  <c r="EY127" i="14"/>
  <c r="EY126" i="14"/>
  <c r="ES202" i="14"/>
  <c r="ES136" i="14"/>
  <c r="EU242" i="14"/>
  <c r="EU245" i="14"/>
  <c r="EV25" i="42"/>
  <c r="ES129" i="14"/>
  <c r="ES29" i="42"/>
  <c r="EV249" i="14"/>
  <c r="EV124" i="14"/>
  <c r="ET128" i="14"/>
  <c r="ET126" i="14"/>
  <c r="ET127" i="14"/>
  <c r="EW126" i="14"/>
  <c r="EU127" i="14"/>
  <c r="EW128" i="14"/>
  <c r="EU126" i="14"/>
  <c r="EU128" i="14"/>
  <c r="EU131" i="14"/>
  <c r="EU136" i="14" s="1"/>
  <c r="ES122" i="14"/>
  <c r="ES192" i="14"/>
  <c r="ES261" i="14"/>
  <c r="ES134" i="14"/>
  <c r="ES271" i="14"/>
  <c r="ES135" i="14"/>
  <c r="ES133" i="14"/>
  <c r="ES248" i="14"/>
  <c r="EQ210" i="14"/>
  <c r="EV211" i="14" s="1"/>
  <c r="ET131" i="14"/>
  <c r="GA25" i="42"/>
  <c r="GA66" i="18"/>
  <c r="GA63" i="18"/>
  <c r="EV245" i="14" l="1"/>
  <c r="EZ127" i="14"/>
  <c r="EZ126" i="14"/>
  <c r="EZ128" i="14"/>
  <c r="FA242" i="14"/>
  <c r="FA245" i="14"/>
  <c r="FA124" i="14"/>
  <c r="FA127" i="14" s="1"/>
  <c r="FG200" i="14"/>
  <c r="FE117" i="14"/>
  <c r="FE62" i="18"/>
  <c r="FG65" i="18" s="1"/>
  <c r="FG198" i="14"/>
  <c r="FM196" i="14"/>
  <c r="FR195" i="14"/>
  <c r="FJ195" i="14"/>
  <c r="FJ196" i="14" s="1"/>
  <c r="FI195" i="14"/>
  <c r="ET202" i="14"/>
  <c r="ET136" i="14"/>
  <c r="EV127" i="14"/>
  <c r="EY18" i="18"/>
  <c r="EY20" i="18" s="1"/>
  <c r="EX19" i="42"/>
  <c r="EY21" i="42" s="1"/>
  <c r="EU29" i="42"/>
  <c r="EU30" i="42" s="1"/>
  <c r="EU202" i="14"/>
  <c r="EY14" i="18"/>
  <c r="FG26" i="42"/>
  <c r="ES32" i="42"/>
  <c r="ES31" i="42"/>
  <c r="ES30" i="42"/>
  <c r="ET129" i="14"/>
  <c r="ET29" i="42"/>
  <c r="EU134" i="14"/>
  <c r="EU271" i="14"/>
  <c r="EU135" i="14"/>
  <c r="EU192" i="14"/>
  <c r="EU133" i="14"/>
  <c r="EU261" i="14"/>
  <c r="EW135" i="14"/>
  <c r="EW133" i="14"/>
  <c r="EU122" i="14"/>
  <c r="EU248" i="14"/>
  <c r="EV131" i="14"/>
  <c r="EV136" i="14" s="1"/>
  <c r="ET192" i="14"/>
  <c r="ET261" i="14"/>
  <c r="ET134" i="14"/>
  <c r="ET135" i="14"/>
  <c r="ET133" i="14"/>
  <c r="ET271" i="14"/>
  <c r="ET122" i="14"/>
  <c r="ET248" i="14"/>
  <c r="EU129" i="14"/>
  <c r="FG67" i="18" l="1"/>
  <c r="EZ19" i="42"/>
  <c r="FL200" i="14"/>
  <c r="FL198" i="14"/>
  <c r="FJ62" i="18"/>
  <c r="FL65" i="18" s="1"/>
  <c r="FJ199" i="14"/>
  <c r="FI196" i="14"/>
  <c r="FK195" i="14"/>
  <c r="FK210" i="14" s="1"/>
  <c r="FJ24" i="42"/>
  <c r="FJ25" i="42" s="1"/>
  <c r="FN195" i="14"/>
  <c r="FO195" i="14"/>
  <c r="FO196" i="14" s="1"/>
  <c r="FR196" i="14"/>
  <c r="FW195" i="14"/>
  <c r="EY19" i="18"/>
  <c r="EX20" i="42"/>
  <c r="EX21" i="42"/>
  <c r="EX37" i="42"/>
  <c r="EX42" i="42"/>
  <c r="EU31" i="42"/>
  <c r="EU32" i="42"/>
  <c r="EV29" i="42"/>
  <c r="EV202" i="14"/>
  <c r="ES21" i="2"/>
  <c r="ES53" i="2" s="1"/>
  <c r="ET31" i="42"/>
  <c r="ET32" i="42"/>
  <c r="ET30" i="42"/>
  <c r="EV192" i="14"/>
  <c r="EV261" i="14"/>
  <c r="EV271" i="14"/>
  <c r="EV134" i="14"/>
  <c r="EV201" i="14"/>
  <c r="EV122" i="14"/>
  <c r="EV248" i="14"/>
  <c r="EV129" i="14"/>
  <c r="EW31" i="42"/>
  <c r="FL26" i="42" l="1"/>
  <c r="FJ63" i="18"/>
  <c r="GB195" i="14"/>
  <c r="GB196" i="14" s="1"/>
  <c r="GG195" i="14"/>
  <c r="FL67" i="18"/>
  <c r="FJ66" i="18"/>
  <c r="FO24" i="42"/>
  <c r="FO25" i="42" s="1"/>
  <c r="FO199" i="14"/>
  <c r="EZ20" i="42"/>
  <c r="EZ21" i="42"/>
  <c r="EZ10" i="42"/>
  <c r="EZ22" i="42" s="1"/>
  <c r="EZ37" i="42"/>
  <c r="EZ42" i="42"/>
  <c r="FQ200" i="14"/>
  <c r="FQ198" i="14"/>
  <c r="FN196" i="14"/>
  <c r="FP195" i="14"/>
  <c r="FO62" i="18"/>
  <c r="FW196" i="14"/>
  <c r="FT195" i="14"/>
  <c r="FT196" i="14" s="1"/>
  <c r="FS195" i="14"/>
  <c r="EV32" i="42"/>
  <c r="EU21" i="2"/>
  <c r="EU53" i="2" s="1"/>
  <c r="EV30" i="42"/>
  <c r="ET21" i="2"/>
  <c r="ET53" i="2" s="1"/>
  <c r="EZ25" i="3"/>
  <c r="EY16" i="18"/>
  <c r="EZ26" i="14"/>
  <c r="EW84" i="42"/>
  <c r="FB221" i="17"/>
  <c r="FB10" i="17" s="1"/>
  <c r="EW226" i="17"/>
  <c r="EW223" i="17"/>
  <c r="EW225" i="17"/>
  <c r="EW224" i="17"/>
  <c r="FQ26" i="42" l="1"/>
  <c r="GG196" i="14"/>
  <c r="GG199" i="14"/>
  <c r="FP196" i="14"/>
  <c r="FP210" i="14"/>
  <c r="FP211" i="14" s="1"/>
  <c r="FT199" i="14"/>
  <c r="GG200" i="14"/>
  <c r="GG117" i="14"/>
  <c r="GG24" i="42"/>
  <c r="GG62" i="18"/>
  <c r="GG198" i="14"/>
  <c r="FV198" i="14"/>
  <c r="FT24" i="42"/>
  <c r="FT25" i="42" s="1"/>
  <c r="FT62" i="18"/>
  <c r="FV65" i="18" s="1"/>
  <c r="EZ69" i="29"/>
  <c r="EZ70" i="29" s="1"/>
  <c r="FA226" i="17"/>
  <c r="FA84" i="42"/>
  <c r="FV200" i="14"/>
  <c r="FO66" i="18"/>
  <c r="FQ67" i="18"/>
  <c r="FQ65" i="18"/>
  <c r="FO63" i="18"/>
  <c r="EZ47" i="42"/>
  <c r="EZ11" i="42"/>
  <c r="EZ12" i="42"/>
  <c r="EZ67" i="42"/>
  <c r="FS196" i="14"/>
  <c r="FU195" i="14"/>
  <c r="FX195" i="14"/>
  <c r="FY195" i="14"/>
  <c r="FY196" i="14" s="1"/>
  <c r="FB224" i="17"/>
  <c r="EW87" i="42"/>
  <c r="EX86" i="42"/>
  <c r="FG221" i="17"/>
  <c r="FG84" i="42" s="1"/>
  <c r="FF221" i="17"/>
  <c r="FF84" i="42" s="1"/>
  <c r="FC225" i="17"/>
  <c r="FB223" i="17"/>
  <c r="FC223" i="17"/>
  <c r="FB225" i="17"/>
  <c r="EW86" i="42"/>
  <c r="FA222" i="17"/>
  <c r="FA231" i="17" s="1"/>
  <c r="FA224" i="17"/>
  <c r="FC15" i="17"/>
  <c r="FB11" i="17"/>
  <c r="FB14" i="17"/>
  <c r="FB226" i="17"/>
  <c r="FF10" i="17"/>
  <c r="FC13" i="17"/>
  <c r="FB95" i="17"/>
  <c r="FB64" i="42"/>
  <c r="FB13" i="17"/>
  <c r="FB15" i="17"/>
  <c r="FB14" i="2"/>
  <c r="EZ23" i="2" s="1"/>
  <c r="EZ67" i="2" s="1"/>
  <c r="FB132" i="17"/>
  <c r="EW85" i="42"/>
  <c r="FB84" i="42"/>
  <c r="FK221" i="17" l="1"/>
  <c r="FL221" i="17"/>
  <c r="FT66" i="18"/>
  <c r="FT63" i="18"/>
  <c r="FV67" i="18"/>
  <c r="FU196" i="14"/>
  <c r="FU210" i="14"/>
  <c r="FU211" i="14" s="1"/>
  <c r="FG10" i="17"/>
  <c r="FG226" i="17" s="1"/>
  <c r="FG225" i="17"/>
  <c r="FF224" i="17"/>
  <c r="FG223" i="17"/>
  <c r="FG224" i="17"/>
  <c r="GG65" i="18"/>
  <c r="GG67" i="18"/>
  <c r="GC195" i="14"/>
  <c r="GC196" i="14" s="1"/>
  <c r="GH195" i="14"/>
  <c r="GG26" i="42"/>
  <c r="GG121" i="14"/>
  <c r="GG119" i="14"/>
  <c r="FV26" i="42"/>
  <c r="GD195" i="14"/>
  <c r="GD62" i="18" s="1"/>
  <c r="GI195" i="14"/>
  <c r="FH225" i="17"/>
  <c r="FH223" i="17"/>
  <c r="FA87" i="42"/>
  <c r="FA85" i="42"/>
  <c r="FY24" i="42"/>
  <c r="GA26" i="42" s="1"/>
  <c r="FY199" i="14"/>
  <c r="FX196" i="14"/>
  <c r="FZ195" i="14"/>
  <c r="FY62" i="18"/>
  <c r="GA65" i="18" s="1"/>
  <c r="GA198" i="14"/>
  <c r="GA200" i="14"/>
  <c r="FF222" i="17"/>
  <c r="EX67" i="2"/>
  <c r="EY23" i="2"/>
  <c r="EY67" i="2" s="1"/>
  <c r="FF85" i="42"/>
  <c r="FF95" i="17"/>
  <c r="FF14" i="2"/>
  <c r="FA23" i="2" s="1"/>
  <c r="FA67" i="2" s="1"/>
  <c r="FF14" i="17"/>
  <c r="FF11" i="17"/>
  <c r="FF64" i="42"/>
  <c r="FF132" i="17"/>
  <c r="FG85" i="42"/>
  <c r="FG86" i="42"/>
  <c r="FH86" i="42"/>
  <c r="FK222" i="17"/>
  <c r="FK84" i="42"/>
  <c r="FK224" i="17"/>
  <c r="FB87" i="42"/>
  <c r="FB85" i="42"/>
  <c r="FB86" i="42"/>
  <c r="FC86" i="42"/>
  <c r="FB77" i="42"/>
  <c r="FB72" i="42"/>
  <c r="FC66" i="42"/>
  <c r="FB65" i="42"/>
  <c r="FB66" i="42"/>
  <c r="FB82" i="42"/>
  <c r="FF226" i="17"/>
  <c r="FL84" i="42"/>
  <c r="FP221" i="17"/>
  <c r="FL223" i="17"/>
  <c r="FL225" i="17"/>
  <c r="FM223" i="17"/>
  <c r="FL224" i="17"/>
  <c r="FL10" i="17"/>
  <c r="FL226" i="17" s="1"/>
  <c r="FQ221" i="17"/>
  <c r="FM225" i="17"/>
  <c r="EW23" i="2"/>
  <c r="EW67" i="2" s="1"/>
  <c r="FG64" i="42" l="1"/>
  <c r="FG87" i="42" s="1"/>
  <c r="GD199" i="14"/>
  <c r="GD24" i="42"/>
  <c r="GD25" i="42" s="1"/>
  <c r="GD196" i="14"/>
  <c r="GH199" i="14"/>
  <c r="FG14" i="2"/>
  <c r="FE23" i="2" s="1"/>
  <c r="FK10" i="17"/>
  <c r="FK226" i="17" s="1"/>
  <c r="FG14" i="17"/>
  <c r="FG132" i="17"/>
  <c r="FG13" i="17"/>
  <c r="FG11" i="17"/>
  <c r="FH13" i="17"/>
  <c r="FG95" i="17"/>
  <c r="FH15" i="17"/>
  <c r="FG15" i="17"/>
  <c r="FY25" i="42"/>
  <c r="FY63" i="18"/>
  <c r="FZ196" i="14"/>
  <c r="FZ210" i="14"/>
  <c r="FZ211" i="14" s="1"/>
  <c r="GH200" i="14"/>
  <c r="GH198" i="14"/>
  <c r="GH117" i="14"/>
  <c r="GH62" i="18"/>
  <c r="GH24" i="42"/>
  <c r="GH196" i="14"/>
  <c r="GF67" i="18"/>
  <c r="GF65" i="18"/>
  <c r="GI62" i="18"/>
  <c r="GI199" i="14"/>
  <c r="GI24" i="42"/>
  <c r="GI200" i="14"/>
  <c r="GI196" i="14"/>
  <c r="GI198" i="14"/>
  <c r="GJ195" i="14"/>
  <c r="GJ210" i="14" s="1"/>
  <c r="GI117" i="14"/>
  <c r="GF200" i="14"/>
  <c r="GF198" i="14"/>
  <c r="GA67" i="18"/>
  <c r="FY66" i="18"/>
  <c r="GF26" i="42"/>
  <c r="GD66" i="18"/>
  <c r="GD63" i="18"/>
  <c r="FP84" i="42"/>
  <c r="FP222" i="17"/>
  <c r="FP224" i="17"/>
  <c r="FK85" i="42"/>
  <c r="FQ223" i="17"/>
  <c r="FQ84" i="42"/>
  <c r="FR223" i="17"/>
  <c r="FU221" i="17"/>
  <c r="FV221" i="17"/>
  <c r="FQ225" i="17"/>
  <c r="FQ224" i="17"/>
  <c r="FQ10" i="17"/>
  <c r="FQ226" i="17" s="1"/>
  <c r="FR225" i="17"/>
  <c r="FM13" i="17"/>
  <c r="FL64" i="42"/>
  <c r="FL87" i="42" s="1"/>
  <c r="FP10" i="17"/>
  <c r="FM15" i="17"/>
  <c r="FL14" i="17"/>
  <c r="FL14" i="2"/>
  <c r="FL13" i="17"/>
  <c r="FL15" i="17"/>
  <c r="FL11" i="17"/>
  <c r="FL132" i="17"/>
  <c r="FL95" i="17"/>
  <c r="FL85" i="42"/>
  <c r="FM86" i="42"/>
  <c r="FL86" i="42"/>
  <c r="FC23" i="2"/>
  <c r="FB23" i="2"/>
  <c r="FF72" i="42"/>
  <c r="FF65" i="42"/>
  <c r="FF82" i="42"/>
  <c r="FF77" i="42"/>
  <c r="FF87" i="42"/>
  <c r="FK132" i="17"/>
  <c r="FK64" i="42"/>
  <c r="FK87" i="42" s="1"/>
  <c r="FG66" i="42"/>
  <c r="FG72" i="42"/>
  <c r="FG65" i="42"/>
  <c r="FG82" i="42"/>
  <c r="FG77" i="42"/>
  <c r="FH66" i="42"/>
  <c r="FK14" i="2" l="1"/>
  <c r="FD23" i="2"/>
  <c r="FK14" i="17"/>
  <c r="FK11" i="17"/>
  <c r="FK95" i="17"/>
  <c r="GH67" i="18"/>
  <c r="GH65" i="18"/>
  <c r="GH10" i="18"/>
  <c r="GH68" i="18" s="1"/>
  <c r="GH26" i="42"/>
  <c r="GH119" i="14"/>
  <c r="GH121" i="14"/>
  <c r="GI26" i="42"/>
  <c r="GI65" i="18"/>
  <c r="GI67" i="18"/>
  <c r="GI63" i="18"/>
  <c r="GI66" i="18"/>
  <c r="GI121" i="14"/>
  <c r="GI119" i="14"/>
  <c r="GJ62" i="18"/>
  <c r="GJ24" i="42"/>
  <c r="GJ117" i="14"/>
  <c r="GI25" i="42"/>
  <c r="FU224" i="17"/>
  <c r="FU84" i="42"/>
  <c r="FU222" i="17"/>
  <c r="FP85" i="42"/>
  <c r="FV224" i="17"/>
  <c r="GA221" i="17"/>
  <c r="GF221" i="17" s="1"/>
  <c r="FW223" i="17"/>
  <c r="FV10" i="17"/>
  <c r="FV226" i="17" s="1"/>
  <c r="FV225" i="17"/>
  <c r="FV84" i="42"/>
  <c r="FW225" i="17"/>
  <c r="FZ221" i="17"/>
  <c r="FV223" i="17"/>
  <c r="FF23" i="2"/>
  <c r="FP11" i="17"/>
  <c r="FP132" i="17"/>
  <c r="FP64" i="42"/>
  <c r="FP95" i="17"/>
  <c r="FP14" i="17"/>
  <c r="FP14" i="2"/>
  <c r="FQ64" i="42"/>
  <c r="FU10" i="17"/>
  <c r="FU226" i="17" s="1"/>
  <c r="FQ15" i="17"/>
  <c r="FQ14" i="17"/>
  <c r="FR15" i="17"/>
  <c r="FQ95" i="17"/>
  <c r="FQ11" i="17"/>
  <c r="FQ14" i="2"/>
  <c r="FR13" i="17"/>
  <c r="FQ13" i="17"/>
  <c r="FQ132" i="17"/>
  <c r="FR86" i="42"/>
  <c r="FQ85" i="42"/>
  <c r="FQ86" i="42"/>
  <c r="FL65" i="42"/>
  <c r="FL82" i="42"/>
  <c r="FM66" i="42"/>
  <c r="FL72" i="42"/>
  <c r="FL77" i="42"/>
  <c r="FL66" i="42"/>
  <c r="FK65" i="42"/>
  <c r="FK82" i="42"/>
  <c r="FK77" i="42"/>
  <c r="FK72" i="42"/>
  <c r="FH23" i="2"/>
  <c r="FG23" i="2"/>
  <c r="FI23" i="2"/>
  <c r="FJ23" i="2"/>
  <c r="FP226" i="17"/>
  <c r="GF224" i="17" l="1"/>
  <c r="GF225" i="17"/>
  <c r="GF223" i="17"/>
  <c r="GF84" i="42"/>
  <c r="GJ221" i="17"/>
  <c r="GF226" i="17"/>
  <c r="GG225" i="17"/>
  <c r="GG223" i="17"/>
  <c r="GF10" i="17"/>
  <c r="GH56" i="18"/>
  <c r="GH14" i="42"/>
  <c r="GH17" i="2"/>
  <c r="GH103" i="18"/>
  <c r="GH114" i="18"/>
  <c r="GH126" i="18"/>
  <c r="FM23" i="2"/>
  <c r="FO23" i="2"/>
  <c r="FN23" i="2"/>
  <c r="FL23" i="2"/>
  <c r="FV86" i="42"/>
  <c r="FW86" i="42"/>
  <c r="FV85" i="42"/>
  <c r="FU14" i="2"/>
  <c r="FU64" i="42"/>
  <c r="FU87" i="42" s="1"/>
  <c r="FU95" i="17"/>
  <c r="FU132" i="17"/>
  <c r="FU14" i="17"/>
  <c r="FU11" i="17"/>
  <c r="FP65" i="42"/>
  <c r="FP82" i="42"/>
  <c r="FP77" i="42"/>
  <c r="FP72" i="42"/>
  <c r="FP87" i="42"/>
  <c r="FV13" i="17"/>
  <c r="FW15" i="17"/>
  <c r="FV15" i="17"/>
  <c r="FV14" i="2"/>
  <c r="FZ10" i="17"/>
  <c r="FZ226" i="17" s="1"/>
  <c r="FW13" i="17"/>
  <c r="FV64" i="42"/>
  <c r="FV95" i="17"/>
  <c r="FV11" i="17"/>
  <c r="FV132" i="17"/>
  <c r="FV14" i="17"/>
  <c r="FZ84" i="42"/>
  <c r="FZ222" i="17"/>
  <c r="FZ224" i="17"/>
  <c r="FQ77" i="42"/>
  <c r="FQ66" i="42"/>
  <c r="FQ72" i="42"/>
  <c r="FQ65" i="42"/>
  <c r="FR66" i="42"/>
  <c r="FQ82" i="42"/>
  <c r="FQ87" i="42"/>
  <c r="FK23" i="2"/>
  <c r="GE221" i="17"/>
  <c r="GA224" i="17"/>
  <c r="GA84" i="42"/>
  <c r="GF85" i="42" s="1"/>
  <c r="GB223" i="17"/>
  <c r="GB225" i="17"/>
  <c r="GA223" i="17"/>
  <c r="GA10" i="17"/>
  <c r="GA226" i="17" s="1"/>
  <c r="GA225" i="17"/>
  <c r="FU85" i="42"/>
  <c r="GF95" i="17" l="1"/>
  <c r="GF64" i="42"/>
  <c r="GF11" i="17"/>
  <c r="GF14" i="17"/>
  <c r="GF14" i="2"/>
  <c r="GJ10" i="17"/>
  <c r="GJ226" i="17" s="1"/>
  <c r="GF13" i="17"/>
  <c r="GF15" i="17"/>
  <c r="GG13" i="17"/>
  <c r="GG15" i="17"/>
  <c r="GF132" i="17"/>
  <c r="GJ222" i="17"/>
  <c r="GJ224" i="17"/>
  <c r="GJ84" i="42"/>
  <c r="GF87" i="42"/>
  <c r="GG86" i="42"/>
  <c r="GF86" i="42"/>
  <c r="FW66" i="42"/>
  <c r="FV77" i="42"/>
  <c r="FV65" i="42"/>
  <c r="FV72" i="42"/>
  <c r="FV82" i="42"/>
  <c r="FV66" i="42"/>
  <c r="FU77" i="42"/>
  <c r="FU72" i="42"/>
  <c r="FU82" i="42"/>
  <c r="FU65" i="42"/>
  <c r="FZ95" i="17"/>
  <c r="FZ132" i="17"/>
  <c r="FZ14" i="2"/>
  <c r="FZ14" i="17"/>
  <c r="FZ64" i="42"/>
  <c r="FZ87" i="42" s="1"/>
  <c r="FZ11" i="17"/>
  <c r="FP23" i="2"/>
  <c r="FV87" i="42"/>
  <c r="GA86" i="42"/>
  <c r="GA85" i="42"/>
  <c r="GB86" i="42"/>
  <c r="GA14" i="2"/>
  <c r="GA13" i="17"/>
  <c r="GA64" i="42"/>
  <c r="GF65" i="42" s="1"/>
  <c r="GA95" i="17"/>
  <c r="GB13" i="17"/>
  <c r="GB15" i="17"/>
  <c r="GA15" i="17"/>
  <c r="GA11" i="17"/>
  <c r="GA132" i="17"/>
  <c r="GE10" i="17"/>
  <c r="GA14" i="17"/>
  <c r="FZ85" i="42"/>
  <c r="FR23" i="2"/>
  <c r="FS23" i="2"/>
  <c r="FT23" i="2"/>
  <c r="FQ23" i="2"/>
  <c r="GE224" i="17"/>
  <c r="GE222" i="17"/>
  <c r="GE84" i="42"/>
  <c r="GJ85" i="42" l="1"/>
  <c r="GF66" i="42"/>
  <c r="GG66" i="42"/>
  <c r="GF77" i="42"/>
  <c r="GF82" i="42"/>
  <c r="GF72" i="42"/>
  <c r="GJ132" i="17"/>
  <c r="GJ14" i="2"/>
  <c r="GJ64" i="42"/>
  <c r="GJ95" i="17"/>
  <c r="GE226" i="17"/>
  <c r="GJ11" i="17"/>
  <c r="GJ14" i="17"/>
  <c r="FY23" i="2"/>
  <c r="FX23" i="2"/>
  <c r="FW23" i="2"/>
  <c r="FV23" i="2"/>
  <c r="GA65" i="42"/>
  <c r="GA72" i="42"/>
  <c r="GB66" i="42"/>
  <c r="GA82" i="42"/>
  <c r="GA66" i="42"/>
  <c r="GA77" i="42"/>
  <c r="GA87" i="42"/>
  <c r="FU23" i="2"/>
  <c r="GE14" i="2"/>
  <c r="FZ23" i="2" s="1"/>
  <c r="GE64" i="42"/>
  <c r="GE95" i="17"/>
  <c r="GE11" i="17"/>
  <c r="GE14" i="17"/>
  <c r="GE132" i="17"/>
  <c r="FZ82" i="42"/>
  <c r="FZ65" i="42"/>
  <c r="FZ77" i="42"/>
  <c r="FZ72" i="42"/>
  <c r="GE85" i="42"/>
  <c r="GJ82" i="42" l="1"/>
  <c r="GJ77" i="42"/>
  <c r="GJ72" i="42"/>
  <c r="GJ87" i="42"/>
  <c r="GE87" i="42"/>
  <c r="GJ65" i="42"/>
  <c r="GE65" i="42"/>
  <c r="GE77" i="42"/>
  <c r="GE72" i="42"/>
  <c r="GE82" i="42"/>
  <c r="EW61" i="3" l="1"/>
  <c r="EW28" i="17"/>
  <c r="EW62" i="3" l="1"/>
  <c r="EW29" i="17"/>
  <c r="EW64" i="3"/>
  <c r="FG28" i="17" l="1"/>
  <c r="FC28" i="17"/>
  <c r="FB64" i="3"/>
  <c r="FB23" i="17"/>
  <c r="FB29" i="17"/>
  <c r="FC64" i="3" l="1"/>
  <c r="FD28" i="17"/>
  <c r="FC23" i="17"/>
  <c r="FL28" i="17"/>
  <c r="FG29" i="17"/>
  <c r="FG64" i="3"/>
  <c r="FH28" i="17"/>
  <c r="FG23" i="17"/>
  <c r="FB61" i="3"/>
  <c r="FB24" i="17"/>
  <c r="FB27" i="17"/>
  <c r="FC61" i="3" l="1"/>
  <c r="FC26" i="17"/>
  <c r="FQ28" i="17"/>
  <c r="FL29" i="17"/>
  <c r="FM28" i="17"/>
  <c r="FL64" i="3"/>
  <c r="FL23" i="17"/>
  <c r="FB62" i="3"/>
  <c r="FG24" i="17"/>
  <c r="FG27" i="17"/>
  <c r="FG61" i="3"/>
  <c r="FI28" i="17"/>
  <c r="FH29" i="17"/>
  <c r="FH64" i="3"/>
  <c r="FH23" i="17"/>
  <c r="FD64" i="3"/>
  <c r="FE28" i="17"/>
  <c r="FD29" i="17"/>
  <c r="FD23" i="17"/>
  <c r="FB241" i="14"/>
  <c r="FG241" i="14" s="1"/>
  <c r="FE241" i="14"/>
  <c r="FJ241" i="14" s="1"/>
  <c r="FC241" i="14"/>
  <c r="FC124" i="14" s="1"/>
  <c r="FC125" i="14" s="1"/>
  <c r="FD241" i="14"/>
  <c r="FI241" i="14" s="1"/>
  <c r="FB124" i="14" l="1"/>
  <c r="FB131" i="14" s="1"/>
  <c r="FB202" i="14" s="1"/>
  <c r="FC244" i="14"/>
  <c r="FI64" i="3"/>
  <c r="FJ28" i="17"/>
  <c r="FI29" i="17"/>
  <c r="FI23" i="17"/>
  <c r="FV28" i="17"/>
  <c r="FQ64" i="3"/>
  <c r="FR28" i="17"/>
  <c r="FQ29" i="17"/>
  <c r="FQ23" i="17"/>
  <c r="FH27" i="17"/>
  <c r="FH61" i="3"/>
  <c r="FH24" i="17"/>
  <c r="FH26" i="17"/>
  <c r="FC63" i="3"/>
  <c r="FE64" i="3"/>
  <c r="FE23" i="17"/>
  <c r="FG62" i="3"/>
  <c r="FM64" i="3"/>
  <c r="FN28" i="17"/>
  <c r="FM29" i="17"/>
  <c r="FM23" i="17"/>
  <c r="FD24" i="17"/>
  <c r="FD27" i="17"/>
  <c r="FD61" i="3"/>
  <c r="FD26" i="17"/>
  <c r="FL27" i="17"/>
  <c r="FL24" i="17"/>
  <c r="FL61" i="3"/>
  <c r="FN241" i="14"/>
  <c r="FI124" i="14"/>
  <c r="FH241" i="14"/>
  <c r="FI246" i="14" s="1"/>
  <c r="FE124" i="14"/>
  <c r="FE127" i="14" s="1"/>
  <c r="FL241" i="14"/>
  <c r="FG124" i="14"/>
  <c r="FG127" i="14" s="1"/>
  <c r="FG186" i="14"/>
  <c r="FJ186" i="14"/>
  <c r="FJ244" i="14"/>
  <c r="FJ124" i="14"/>
  <c r="FJ246" i="14"/>
  <c r="FO241" i="14"/>
  <c r="FI245" i="14"/>
  <c r="FD124" i="14"/>
  <c r="FD244" i="14"/>
  <c r="FD246" i="14"/>
  <c r="FD245" i="14"/>
  <c r="FG246" i="14"/>
  <c r="FE245" i="14"/>
  <c r="FE246" i="14"/>
  <c r="FE244" i="14"/>
  <c r="FJ245" i="14"/>
  <c r="FE186" i="14"/>
  <c r="FE201" i="14" s="1"/>
  <c r="FG244" i="14"/>
  <c r="FC126" i="14"/>
  <c r="FB134" i="14"/>
  <c r="FB132" i="14"/>
  <c r="FB122" i="14"/>
  <c r="FC245" i="14"/>
  <c r="FC127" i="14"/>
  <c r="FB244" i="14"/>
  <c r="FG245" i="14"/>
  <c r="FB186" i="14"/>
  <c r="FF241" i="14"/>
  <c r="FB245" i="14"/>
  <c r="FB246" i="14"/>
  <c r="FC246" i="14"/>
  <c r="FC128" i="14"/>
  <c r="FB127" i="14"/>
  <c r="FB126" i="14"/>
  <c r="FB125" i="14"/>
  <c r="FB128" i="14"/>
  <c r="FB261" i="14" l="1"/>
  <c r="FB248" i="14"/>
  <c r="FB29" i="42"/>
  <c r="FB30" i="42" s="1"/>
  <c r="FB129" i="14"/>
  <c r="FB271" i="14"/>
  <c r="FB10" i="14"/>
  <c r="FE131" i="14"/>
  <c r="FE129" i="14" s="1"/>
  <c r="FE125" i="14"/>
  <c r="FJ125" i="14"/>
  <c r="FG125" i="14"/>
  <c r="FJ127" i="14"/>
  <c r="FG247" i="14"/>
  <c r="FG201" i="14"/>
  <c r="FB247" i="14"/>
  <c r="FB201" i="14"/>
  <c r="FJ247" i="14"/>
  <c r="FJ201" i="14"/>
  <c r="FD63" i="3"/>
  <c r="FD62" i="3"/>
  <c r="FE61" i="3"/>
  <c r="FE26" i="17"/>
  <c r="FG26" i="17"/>
  <c r="FI27" i="17"/>
  <c r="FI61" i="3"/>
  <c r="FI24" i="17"/>
  <c r="FI26" i="17"/>
  <c r="FQ61" i="3"/>
  <c r="FQ24" i="17"/>
  <c r="FQ27" i="17"/>
  <c r="FH62" i="3"/>
  <c r="FH63" i="3"/>
  <c r="FF23" i="17"/>
  <c r="FJ64" i="3"/>
  <c r="FJ29" i="17"/>
  <c r="FJ23" i="17"/>
  <c r="GA28" i="17"/>
  <c r="GF28" i="17" s="1"/>
  <c r="FV29" i="17"/>
  <c r="FV64" i="3"/>
  <c r="FW28" i="17"/>
  <c r="FV23" i="17"/>
  <c r="FL62" i="3"/>
  <c r="FM27" i="17"/>
  <c r="FM61" i="3"/>
  <c r="FM24" i="17"/>
  <c r="FM26" i="17"/>
  <c r="FN29" i="17"/>
  <c r="FO28" i="17"/>
  <c r="FN64" i="3"/>
  <c r="FN23" i="17"/>
  <c r="FR64" i="3"/>
  <c r="FS28" i="17"/>
  <c r="FR29" i="17"/>
  <c r="FR23" i="17"/>
  <c r="FG128" i="14"/>
  <c r="FG126" i="14"/>
  <c r="FH245" i="14"/>
  <c r="FQ241" i="14"/>
  <c r="FQ244" i="14" s="1"/>
  <c r="FL124" i="14"/>
  <c r="FL126" i="14" s="1"/>
  <c r="FL245" i="14"/>
  <c r="FL186" i="14"/>
  <c r="FL244" i="14"/>
  <c r="FM241" i="14"/>
  <c r="FP241" i="14" s="1"/>
  <c r="FH246" i="14"/>
  <c r="FH244" i="14"/>
  <c r="FH124" i="14"/>
  <c r="FI126" i="14" s="1"/>
  <c r="FI244" i="14"/>
  <c r="FK241" i="14"/>
  <c r="FK242" i="14" s="1"/>
  <c r="FL246" i="14"/>
  <c r="FS241" i="14"/>
  <c r="FN245" i="14"/>
  <c r="FN124" i="14"/>
  <c r="FO186" i="14"/>
  <c r="FO201" i="14" s="1"/>
  <c r="FO245" i="14"/>
  <c r="FO244" i="14"/>
  <c r="FO124" i="14"/>
  <c r="FO246" i="14"/>
  <c r="FJ126" i="14"/>
  <c r="FJ128" i="14"/>
  <c r="FT241" i="14"/>
  <c r="FJ187" i="14"/>
  <c r="FG191" i="14"/>
  <c r="FJ190" i="14"/>
  <c r="FG189" i="14"/>
  <c r="FE190" i="14"/>
  <c r="FE187" i="14"/>
  <c r="FD128" i="14"/>
  <c r="FD126" i="14"/>
  <c r="FI127" i="14"/>
  <c r="FD125" i="14"/>
  <c r="FI125" i="14"/>
  <c r="FD127" i="14"/>
  <c r="FE247" i="14"/>
  <c r="FE126" i="14"/>
  <c r="FE128" i="14"/>
  <c r="FF124" i="14"/>
  <c r="FF242" i="14"/>
  <c r="FF245" i="14"/>
  <c r="FB192" i="14"/>
  <c r="FB187" i="14"/>
  <c r="FG190" i="14"/>
  <c r="FB189" i="14"/>
  <c r="FG187" i="14"/>
  <c r="FB191" i="14"/>
  <c r="FB190" i="14"/>
  <c r="GG28" i="17" l="1"/>
  <c r="GF29" i="17"/>
  <c r="GF64" i="3"/>
  <c r="GF23" i="17"/>
  <c r="FB203" i="14"/>
  <c r="FB193" i="14"/>
  <c r="FB136" i="14"/>
  <c r="FB23" i="14"/>
  <c r="FB51" i="3" s="1"/>
  <c r="FE192" i="14"/>
  <c r="FE248" i="14"/>
  <c r="FE271" i="14"/>
  <c r="FE261" i="14"/>
  <c r="FE29" i="42"/>
  <c r="FB13" i="14"/>
  <c r="FB262" i="14"/>
  <c r="FB249" i="14"/>
  <c r="FB353" i="14"/>
  <c r="FB11" i="14"/>
  <c r="FB19" i="42"/>
  <c r="FB15" i="14"/>
  <c r="FB12" i="2"/>
  <c r="FB14" i="14"/>
  <c r="FB318" i="14"/>
  <c r="FE202" i="14"/>
  <c r="FE122" i="14"/>
  <c r="FL247" i="14"/>
  <c r="FL201" i="14"/>
  <c r="FR61" i="3"/>
  <c r="FR24" i="17"/>
  <c r="FR27" i="17"/>
  <c r="FR26" i="17"/>
  <c r="FN27" i="17"/>
  <c r="FN24" i="17"/>
  <c r="FN61" i="3"/>
  <c r="FN26" i="17"/>
  <c r="FM62" i="3"/>
  <c r="FM63" i="3"/>
  <c r="FV27" i="17"/>
  <c r="FV61" i="3"/>
  <c r="FV24" i="17"/>
  <c r="FJ61" i="3"/>
  <c r="FJ27" i="17"/>
  <c r="FJ24" i="17"/>
  <c r="FJ26" i="17"/>
  <c r="FL26" i="17"/>
  <c r="FK23" i="17"/>
  <c r="FF61" i="3"/>
  <c r="FF28" i="17"/>
  <c r="FX28" i="17"/>
  <c r="FW64" i="3"/>
  <c r="FW29" i="17"/>
  <c r="FW23" i="17"/>
  <c r="FQ62" i="3"/>
  <c r="FS64" i="3"/>
  <c r="FS29" i="17"/>
  <c r="FT28" i="17"/>
  <c r="FS23" i="17"/>
  <c r="FO64" i="3"/>
  <c r="FO29" i="17"/>
  <c r="FO23" i="17"/>
  <c r="FP23" i="17" s="1"/>
  <c r="GB28" i="17"/>
  <c r="GA29" i="17"/>
  <c r="GA64" i="3"/>
  <c r="GA23" i="17"/>
  <c r="FI62" i="3"/>
  <c r="FI63" i="3"/>
  <c r="FE63" i="3"/>
  <c r="FG63" i="3"/>
  <c r="FI128" i="14"/>
  <c r="FN244" i="14"/>
  <c r="FQ246" i="14"/>
  <c r="FK245" i="14"/>
  <c r="FL128" i="14"/>
  <c r="FL189" i="14"/>
  <c r="FK124" i="14"/>
  <c r="FK127" i="14" s="1"/>
  <c r="FL191" i="14"/>
  <c r="FN125" i="14"/>
  <c r="FN127" i="14"/>
  <c r="FL190" i="14"/>
  <c r="FL187" i="14"/>
  <c r="FR241" i="14"/>
  <c r="FS244" i="14" s="1"/>
  <c r="FM245" i="14"/>
  <c r="FM124" i="14"/>
  <c r="FM244" i="14"/>
  <c r="FM246" i="14"/>
  <c r="FX241" i="14"/>
  <c r="FS124" i="14"/>
  <c r="FS245" i="14"/>
  <c r="FL125" i="14"/>
  <c r="FL127" i="14"/>
  <c r="FN246" i="14"/>
  <c r="FH126" i="14"/>
  <c r="FH128" i="14"/>
  <c r="FH125" i="14"/>
  <c r="FH127" i="14"/>
  <c r="FV241" i="14"/>
  <c r="FV246" i="14" s="1"/>
  <c r="FQ245" i="14"/>
  <c r="FQ124" i="14"/>
  <c r="FQ126" i="14" s="1"/>
  <c r="FQ186" i="14"/>
  <c r="FP242" i="14"/>
  <c r="FP245" i="14"/>
  <c r="FP124" i="14"/>
  <c r="FY241" i="14"/>
  <c r="GD241" i="14" s="1"/>
  <c r="FT245" i="14"/>
  <c r="FT124" i="14"/>
  <c r="FT246" i="14"/>
  <c r="FT186" i="14"/>
  <c r="FT244" i="14"/>
  <c r="FO125" i="14"/>
  <c r="FO126" i="14"/>
  <c r="FO127" i="14"/>
  <c r="FO128" i="14"/>
  <c r="FO247" i="14"/>
  <c r="FO187" i="14"/>
  <c r="FO190" i="14"/>
  <c r="FF127" i="14"/>
  <c r="FF125" i="14"/>
  <c r="FB27" i="14" l="1"/>
  <c r="FB12" i="14"/>
  <c r="GF61" i="3"/>
  <c r="GF24" i="17"/>
  <c r="GF27" i="17"/>
  <c r="GH28" i="17"/>
  <c r="GG64" i="3"/>
  <c r="GG29" i="17"/>
  <c r="GG23" i="17"/>
  <c r="GI241" i="14"/>
  <c r="EW21" i="2"/>
  <c r="EW53" i="2" s="1"/>
  <c r="FB24" i="14"/>
  <c r="FB26" i="14"/>
  <c r="FB32" i="42"/>
  <c r="FB27" i="42"/>
  <c r="FB21" i="42"/>
  <c r="FB20" i="42"/>
  <c r="FB42" i="42"/>
  <c r="FB37" i="42"/>
  <c r="FB52" i="3"/>
  <c r="FB53" i="3"/>
  <c r="FU241" i="14"/>
  <c r="FU242" i="14" s="1"/>
  <c r="FT247" i="14"/>
  <c r="FT201" i="14"/>
  <c r="FQ191" i="14"/>
  <c r="FQ201" i="14"/>
  <c r="FF64" i="3"/>
  <c r="FJ62" i="3"/>
  <c r="FJ63" i="3"/>
  <c r="FL63" i="3"/>
  <c r="FX64" i="3"/>
  <c r="FY28" i="17"/>
  <c r="FX29" i="17"/>
  <c r="FX23" i="17"/>
  <c r="FV62" i="3"/>
  <c r="FP61" i="3"/>
  <c r="FP27" i="17"/>
  <c r="FP28" i="17"/>
  <c r="FP24" i="17"/>
  <c r="FW27" i="17"/>
  <c r="FW24" i="17"/>
  <c r="FW61" i="3"/>
  <c r="FW26" i="17"/>
  <c r="GA61" i="3"/>
  <c r="GF62" i="3" s="1"/>
  <c r="GA24" i="17"/>
  <c r="GA27" i="17"/>
  <c r="FK61" i="3"/>
  <c r="FK62" i="3" s="1"/>
  <c r="FK24" i="17"/>
  <c r="FK28" i="17"/>
  <c r="FK27" i="17"/>
  <c r="GB29" i="17"/>
  <c r="GB64" i="3"/>
  <c r="GC28" i="17"/>
  <c r="GB23" i="17"/>
  <c r="FS27" i="17"/>
  <c r="FS61" i="3"/>
  <c r="FS24" i="17"/>
  <c r="FS26" i="17"/>
  <c r="EY36" i="5"/>
  <c r="FT64" i="3"/>
  <c r="FT29" i="17"/>
  <c r="FT23" i="17"/>
  <c r="FO61" i="3"/>
  <c r="FO27" i="17"/>
  <c r="FO26" i="17"/>
  <c r="FO24" i="17"/>
  <c r="FQ26" i="17"/>
  <c r="FN62" i="3"/>
  <c r="FN63" i="3"/>
  <c r="FR62" i="3"/>
  <c r="FR63" i="3"/>
  <c r="FQ128" i="14"/>
  <c r="FK125" i="14"/>
  <c r="FQ189" i="14"/>
  <c r="FQ247" i="14"/>
  <c r="FS246" i="14"/>
  <c r="GA241" i="14"/>
  <c r="FV124" i="14"/>
  <c r="FV126" i="14" s="1"/>
  <c r="FV245" i="14"/>
  <c r="FV186" i="14"/>
  <c r="FS125" i="14"/>
  <c r="FS127" i="14"/>
  <c r="FM126" i="14"/>
  <c r="FM128" i="14"/>
  <c r="FM125" i="14"/>
  <c r="FM127" i="14"/>
  <c r="FN126" i="14"/>
  <c r="FV244" i="14"/>
  <c r="FQ187" i="14"/>
  <c r="FQ190" i="14"/>
  <c r="FW241" i="14"/>
  <c r="FX246" i="14" s="1"/>
  <c r="FR124" i="14"/>
  <c r="FR244" i="14"/>
  <c r="FR246" i="14"/>
  <c r="FR245" i="14"/>
  <c r="FQ127" i="14"/>
  <c r="FQ125" i="14"/>
  <c r="GC241" i="14"/>
  <c r="FX124" i="14"/>
  <c r="FX245" i="14"/>
  <c r="FN128" i="14"/>
  <c r="GD186" i="14"/>
  <c r="GD124" i="14"/>
  <c r="FT190" i="14"/>
  <c r="FT187" i="14"/>
  <c r="FT128" i="14"/>
  <c r="FT127" i="14"/>
  <c r="FT125" i="14"/>
  <c r="FT126" i="14"/>
  <c r="FY246" i="14"/>
  <c r="FY245" i="14"/>
  <c r="FY124" i="14"/>
  <c r="FY244" i="14"/>
  <c r="FY186" i="14"/>
  <c r="GD245" i="14"/>
  <c r="FP125" i="14"/>
  <c r="FP127" i="14"/>
  <c r="GG27" i="17" l="1"/>
  <c r="GG61" i="3"/>
  <c r="GG63" i="3" s="1"/>
  <c r="GG26" i="17"/>
  <c r="GG24" i="17"/>
  <c r="GI28" i="17"/>
  <c r="GH64" i="3"/>
  <c r="GH29" i="17"/>
  <c r="GH23" i="17"/>
  <c r="GA244" i="14"/>
  <c r="GF241" i="14"/>
  <c r="GD244" i="14"/>
  <c r="GH241" i="14"/>
  <c r="GI246" i="14" s="1"/>
  <c r="GI245" i="14"/>
  <c r="GI124" i="14"/>
  <c r="GI186" i="14"/>
  <c r="GI247" i="14" s="1"/>
  <c r="GD201" i="14"/>
  <c r="FU245" i="14"/>
  <c r="FU124" i="14"/>
  <c r="FU125" i="14" s="1"/>
  <c r="FV247" i="14"/>
  <c r="FV201" i="14"/>
  <c r="FY247" i="14"/>
  <c r="FY201" i="14"/>
  <c r="EY44" i="5"/>
  <c r="FS62" i="3"/>
  <c r="FS63" i="3"/>
  <c r="GC29" i="17"/>
  <c r="GD28" i="17"/>
  <c r="GC64" i="3"/>
  <c r="GC23" i="17"/>
  <c r="FW62" i="3"/>
  <c r="FW63" i="3"/>
  <c r="FT61" i="3"/>
  <c r="FT27" i="17"/>
  <c r="FT24" i="17"/>
  <c r="FT26" i="17"/>
  <c r="FV26" i="17"/>
  <c r="FU23" i="17"/>
  <c r="FP29" i="17"/>
  <c r="FP64" i="3"/>
  <c r="GB27" i="17"/>
  <c r="GB61" i="3"/>
  <c r="GB24" i="17"/>
  <c r="GB26" i="17"/>
  <c r="FY64" i="3"/>
  <c r="FY29" i="17"/>
  <c r="FY23" i="17"/>
  <c r="FZ23" i="17" s="1"/>
  <c r="FK29" i="17"/>
  <c r="FK64" i="3"/>
  <c r="GA62" i="3"/>
  <c r="FO62" i="3"/>
  <c r="FO63" i="3"/>
  <c r="FQ63" i="3"/>
  <c r="FP62" i="3"/>
  <c r="FX27" i="17"/>
  <c r="FX61" i="3"/>
  <c r="FX24" i="17"/>
  <c r="FX26" i="17"/>
  <c r="GA246" i="14"/>
  <c r="FV191" i="14"/>
  <c r="FZ241" i="14"/>
  <c r="FZ124" i="14" s="1"/>
  <c r="FV189" i="14"/>
  <c r="FV128" i="14"/>
  <c r="FR126" i="14"/>
  <c r="FR128" i="14"/>
  <c r="FR125" i="14"/>
  <c r="FR127" i="14"/>
  <c r="FS126" i="14"/>
  <c r="FV190" i="14"/>
  <c r="FV187" i="14"/>
  <c r="FX125" i="14"/>
  <c r="FX127" i="14"/>
  <c r="GB241" i="14"/>
  <c r="FW244" i="14"/>
  <c r="FW245" i="14"/>
  <c r="FW124" i="14"/>
  <c r="FW246" i="14"/>
  <c r="FS128" i="14"/>
  <c r="GC245" i="14"/>
  <c r="GC124" i="14"/>
  <c r="GD126" i="14" s="1"/>
  <c r="FV127" i="14"/>
  <c r="FV125" i="14"/>
  <c r="GD246" i="14"/>
  <c r="FX244" i="14"/>
  <c r="GA245" i="14"/>
  <c r="GA124" i="14"/>
  <c r="GA126" i="14" s="1"/>
  <c r="GA186" i="14"/>
  <c r="GD247" i="14"/>
  <c r="FY190" i="14"/>
  <c r="FY187" i="14"/>
  <c r="GD187" i="14"/>
  <c r="GD190" i="14"/>
  <c r="FY126" i="14"/>
  <c r="FY128" i="14"/>
  <c r="FY127" i="14"/>
  <c r="FY125" i="14"/>
  <c r="GD125" i="14"/>
  <c r="GD127" i="14"/>
  <c r="GG62" i="3" l="1"/>
  <c r="GI29" i="17"/>
  <c r="GI64" i="3"/>
  <c r="GI23" i="17"/>
  <c r="GJ23" i="17" s="1"/>
  <c r="GH61" i="3"/>
  <c r="GH63" i="3" s="1"/>
  <c r="GH26" i="17"/>
  <c r="GH24" i="17"/>
  <c r="GH27" i="17"/>
  <c r="GH245" i="14"/>
  <c r="GH124" i="14"/>
  <c r="GI128" i="14" s="1"/>
  <c r="GH186" i="14"/>
  <c r="GI191" i="14" s="1"/>
  <c r="GC244" i="14"/>
  <c r="GG241" i="14"/>
  <c r="GH246" i="14" s="1"/>
  <c r="GI244" i="14"/>
  <c r="GF245" i="14"/>
  <c r="GF124" i="14"/>
  <c r="GF186" i="14"/>
  <c r="GF190" i="14" s="1"/>
  <c r="GF244" i="14"/>
  <c r="GF246" i="14"/>
  <c r="GI125" i="14"/>
  <c r="GI127" i="14"/>
  <c r="GI131" i="14"/>
  <c r="GI187" i="14"/>
  <c r="GI190" i="14"/>
  <c r="GI201" i="14"/>
  <c r="EZ36" i="5"/>
  <c r="FU127" i="14"/>
  <c r="EY10" i="6"/>
  <c r="FZ245" i="14"/>
  <c r="GA247" i="14"/>
  <c r="GA201" i="14"/>
  <c r="FT62" i="3"/>
  <c r="FT63" i="3"/>
  <c r="FV63" i="3"/>
  <c r="GB62" i="3"/>
  <c r="GB63" i="3"/>
  <c r="FU27" i="17"/>
  <c r="FU61" i="3"/>
  <c r="FU62" i="3" s="1"/>
  <c r="FU28" i="17"/>
  <c r="FU24" i="17"/>
  <c r="GC27" i="17"/>
  <c r="GC24" i="17"/>
  <c r="GC61" i="3"/>
  <c r="GC26" i="17"/>
  <c r="FY27" i="17"/>
  <c r="FY26" i="17"/>
  <c r="FY61" i="3"/>
  <c r="FY24" i="17"/>
  <c r="GA26" i="17"/>
  <c r="GD64" i="3"/>
  <c r="GD29" i="17"/>
  <c r="GD23" i="17"/>
  <c r="FX63" i="3"/>
  <c r="FX62" i="3"/>
  <c r="FZ61" i="3"/>
  <c r="FZ24" i="17"/>
  <c r="FZ28" i="17"/>
  <c r="FZ27" i="17"/>
  <c r="FZ242" i="14"/>
  <c r="GC246" i="14"/>
  <c r="GA128" i="14"/>
  <c r="FW126" i="14"/>
  <c r="FW125" i="14"/>
  <c r="FW128" i="14"/>
  <c r="FW127" i="14"/>
  <c r="GA190" i="14"/>
  <c r="GA187" i="14"/>
  <c r="FX128" i="14"/>
  <c r="GA125" i="14"/>
  <c r="GA127" i="14"/>
  <c r="GC125" i="14"/>
  <c r="GC127" i="14"/>
  <c r="GB124" i="14"/>
  <c r="GC128" i="14" s="1"/>
  <c r="GB246" i="14"/>
  <c r="GB245" i="14"/>
  <c r="GB244" i="14"/>
  <c r="GE241" i="14"/>
  <c r="GA189" i="14"/>
  <c r="FX126" i="14"/>
  <c r="GA191" i="14"/>
  <c r="GD128" i="14"/>
  <c r="FZ127" i="14"/>
  <c r="FZ125" i="14"/>
  <c r="GI126" i="14" l="1"/>
  <c r="GJ28" i="17"/>
  <c r="GJ64" i="3" s="1"/>
  <c r="GJ61" i="3"/>
  <c r="GH62" i="3"/>
  <c r="GI61" i="3"/>
  <c r="GI63" i="3" s="1"/>
  <c r="GI26" i="17"/>
  <c r="GH247" i="14"/>
  <c r="GI189" i="14"/>
  <c r="GH125" i="14"/>
  <c r="GH127" i="14"/>
  <c r="GH131" i="14"/>
  <c r="GI133" i="14" s="1"/>
  <c r="GF201" i="14"/>
  <c r="GF189" i="14"/>
  <c r="GF191" i="14"/>
  <c r="GG245" i="14"/>
  <c r="GG124" i="14"/>
  <c r="GH126" i="14" s="1"/>
  <c r="GG246" i="14"/>
  <c r="GG244" i="14"/>
  <c r="GG186" i="14"/>
  <c r="GG247" i="14" s="1"/>
  <c r="GJ241" i="14"/>
  <c r="GF187" i="14"/>
  <c r="GF247" i="14"/>
  <c r="GH201" i="14"/>
  <c r="GF127" i="14"/>
  <c r="GF125" i="14"/>
  <c r="GF131" i="14"/>
  <c r="GF129" i="14" s="1"/>
  <c r="GF126" i="14"/>
  <c r="GF128" i="14"/>
  <c r="GH244" i="14"/>
  <c r="GE23" i="17"/>
  <c r="GE28" i="17" s="1"/>
  <c r="GF26" i="17"/>
  <c r="GI27" i="17"/>
  <c r="GI24" i="17"/>
  <c r="GI261" i="14"/>
  <c r="GI271" i="14"/>
  <c r="GI29" i="42"/>
  <c r="GI202" i="14"/>
  <c r="GI122" i="14"/>
  <c r="GI248" i="14"/>
  <c r="GI192" i="14"/>
  <c r="GI129" i="14"/>
  <c r="FA36" i="5"/>
  <c r="FA44" i="5" s="1"/>
  <c r="EZ51" i="5"/>
  <c r="FA51" i="5" s="1"/>
  <c r="EZ44" i="5"/>
  <c r="FZ62" i="3"/>
  <c r="GC63" i="3"/>
  <c r="GC62" i="3"/>
  <c r="FZ29" i="17"/>
  <c r="FZ64" i="3"/>
  <c r="FY62" i="3"/>
  <c r="FY63" i="3"/>
  <c r="GA63" i="3"/>
  <c r="FU64" i="3"/>
  <c r="FU29" i="17"/>
  <c r="GD24" i="17"/>
  <c r="GD27" i="17"/>
  <c r="GD26" i="17"/>
  <c r="GD61" i="3"/>
  <c r="GE242" i="14"/>
  <c r="GE124" i="14"/>
  <c r="GE245" i="14"/>
  <c r="GB126" i="14"/>
  <c r="GB127" i="14"/>
  <c r="GB128" i="14"/>
  <c r="GB125" i="14"/>
  <c r="GC126" i="14"/>
  <c r="GE27" i="17" l="1"/>
  <c r="GE61" i="3"/>
  <c r="GE62" i="3" s="1"/>
  <c r="GE24" i="17"/>
  <c r="GH192" i="14"/>
  <c r="GJ29" i="17"/>
  <c r="GH129" i="14"/>
  <c r="GI135" i="14"/>
  <c r="GH191" i="14"/>
  <c r="GF10" i="14"/>
  <c r="GF136" i="14" s="1"/>
  <c r="GF29" i="42"/>
  <c r="GF271" i="14"/>
  <c r="GF202" i="14"/>
  <c r="GF122" i="14"/>
  <c r="GF261" i="14"/>
  <c r="GF248" i="14"/>
  <c r="GG189" i="14"/>
  <c r="GG191" i="14"/>
  <c r="GG201" i="14"/>
  <c r="GG127" i="14"/>
  <c r="GG125" i="14"/>
  <c r="GG128" i="14"/>
  <c r="GG126" i="14"/>
  <c r="GG131" i="14"/>
  <c r="GH135" i="14" s="1"/>
  <c r="GF192" i="14"/>
  <c r="GH128" i="14"/>
  <c r="GJ186" i="14"/>
  <c r="GJ247" i="14" s="1"/>
  <c r="GJ124" i="14"/>
  <c r="GJ127" i="14" s="1"/>
  <c r="GJ245" i="14"/>
  <c r="GH189" i="14"/>
  <c r="GH122" i="14"/>
  <c r="GH29" i="42"/>
  <c r="GH10" i="14"/>
  <c r="GH136" i="14" s="1"/>
  <c r="GH271" i="14"/>
  <c r="GH261" i="14"/>
  <c r="GH202" i="14"/>
  <c r="GH248" i="14"/>
  <c r="GJ242" i="14"/>
  <c r="GJ24" i="17"/>
  <c r="GJ27" i="17"/>
  <c r="GJ62" i="3"/>
  <c r="GI62" i="3"/>
  <c r="GF63" i="3"/>
  <c r="GE64" i="3"/>
  <c r="GE29" i="17"/>
  <c r="GD62" i="3"/>
  <c r="GD63" i="3"/>
  <c r="GE127" i="14"/>
  <c r="GE125" i="14"/>
  <c r="GG192" i="14" l="1"/>
  <c r="GJ125" i="14"/>
  <c r="GH133" i="14"/>
  <c r="GG129" i="14"/>
  <c r="GJ201" i="14"/>
  <c r="GI31" i="42"/>
  <c r="GH23" i="14"/>
  <c r="GH19" i="42"/>
  <c r="GH32" i="42" s="1"/>
  <c r="GH24" i="3"/>
  <c r="GH12" i="2"/>
  <c r="GH15" i="2" s="1"/>
  <c r="GH318" i="14"/>
  <c r="GH262" i="14"/>
  <c r="GH353" i="14"/>
  <c r="GH203" i="14"/>
  <c r="GH249" i="14"/>
  <c r="GH193" i="14"/>
  <c r="GG122" i="14"/>
  <c r="GG29" i="42"/>
  <c r="GH31" i="42" s="1"/>
  <c r="GG133" i="14"/>
  <c r="GG135" i="14"/>
  <c r="GG271" i="14"/>
  <c r="GG261" i="14"/>
  <c r="GG202" i="14"/>
  <c r="GG248" i="14"/>
  <c r="GJ131" i="14"/>
  <c r="GJ192" i="14" s="1"/>
  <c r="GF203" i="14"/>
  <c r="GF12" i="2"/>
  <c r="GF19" i="42"/>
  <c r="GF23" i="14"/>
  <c r="GF51" i="3" s="1"/>
  <c r="GF318" i="14"/>
  <c r="GF353" i="14"/>
  <c r="GF262" i="14"/>
  <c r="GF249" i="14"/>
  <c r="GF193" i="14"/>
  <c r="GH83" i="3" l="1"/>
  <c r="GH16" i="17"/>
  <c r="GH97" i="3"/>
  <c r="GH56" i="5"/>
  <c r="GH90" i="3"/>
  <c r="GH16" i="15"/>
  <c r="GH76" i="3"/>
  <c r="GH16" i="18"/>
  <c r="GF27" i="42"/>
  <c r="GF37" i="42"/>
  <c r="GF42" i="42"/>
  <c r="GG31" i="42"/>
  <c r="GH10" i="42"/>
  <c r="GH37" i="42"/>
  <c r="GH42" i="42"/>
  <c r="GH27" i="42"/>
  <c r="GF32" i="42"/>
  <c r="GH51" i="3"/>
  <c r="GH16" i="14"/>
  <c r="GJ271" i="14"/>
  <c r="GJ202" i="14"/>
  <c r="GJ122" i="14"/>
  <c r="GJ248" i="14"/>
  <c r="GJ261" i="14"/>
  <c r="GJ29" i="42"/>
  <c r="GH35" i="2"/>
  <c r="GH18" i="2"/>
  <c r="GJ129" i="14"/>
  <c r="GH66" i="3" l="1"/>
  <c r="GH108" i="5"/>
  <c r="GH32" i="5"/>
  <c r="GH150" i="5"/>
  <c r="GH14" i="6" s="1"/>
  <c r="GH20" i="8" s="1"/>
  <c r="GH12" i="5"/>
  <c r="GH39" i="5"/>
  <c r="GH43" i="5"/>
  <c r="GH24" i="5"/>
  <c r="GH35" i="5"/>
  <c r="GH15" i="5"/>
  <c r="GH112" i="3"/>
  <c r="GH22" i="42"/>
  <c r="GH47" i="42"/>
  <c r="GH67" i="42"/>
  <c r="GH17" i="42"/>
  <c r="GH89" i="5" l="1"/>
  <c r="GH71" i="3"/>
  <c r="GH118" i="3"/>
  <c r="GH45" i="3"/>
  <c r="GH49" i="6"/>
  <c r="GH138" i="5"/>
  <c r="GH10" i="30"/>
  <c r="GH91" i="5"/>
  <c r="GH57" i="5" l="1"/>
  <c r="GH230" i="3"/>
  <c r="GH123" i="3"/>
  <c r="GH36" i="30"/>
  <c r="GH68" i="6"/>
  <c r="GH56" i="6"/>
  <c r="GH13" i="5" l="1"/>
  <c r="GH28" i="5"/>
  <c r="EX44" i="42"/>
  <c r="EY46" i="42" s="1"/>
  <c r="FA10" i="15"/>
  <c r="EX11" i="15"/>
  <c r="EX15" i="15"/>
  <c r="EX13" i="15"/>
  <c r="EX14" i="15"/>
  <c r="FA13" i="2" l="1"/>
  <c r="FA23" i="15"/>
  <c r="FA42" i="15"/>
  <c r="GH36" i="5"/>
  <c r="GH44" i="5" s="1"/>
  <c r="FA44" i="42"/>
  <c r="FA62" i="42" s="1"/>
  <c r="FA232" i="15"/>
  <c r="FA230" i="15"/>
  <c r="FA96" i="15"/>
  <c r="EX37" i="29"/>
  <c r="EX38" i="29" s="1"/>
  <c r="EX45" i="42"/>
  <c r="EX46" i="42"/>
  <c r="EX62" i="42"/>
  <c r="EX10" i="42"/>
  <c r="EX16" i="15"/>
  <c r="EU22" i="2"/>
  <c r="ET22" i="2"/>
  <c r="ES22" i="2"/>
  <c r="EX16" i="17"/>
  <c r="FA56" i="3" l="1"/>
  <c r="FA15" i="2"/>
  <c r="FA61" i="2"/>
  <c r="FA233" i="15"/>
  <c r="FF233" i="15"/>
  <c r="EX47" i="42"/>
  <c r="EY12" i="42"/>
  <c r="EX22" i="42"/>
  <c r="EX67" i="42"/>
  <c r="EX11" i="42"/>
  <c r="EX12" i="42"/>
  <c r="EU58" i="2"/>
  <c r="EU60" i="2"/>
  <c r="EU61" i="2"/>
  <c r="EU59" i="2"/>
  <c r="EU57" i="2"/>
  <c r="FA16" i="17"/>
  <c r="EV22" i="2"/>
  <c r="ET60" i="2"/>
  <c r="ET59" i="2"/>
  <c r="ET57" i="2"/>
  <c r="ET58" i="2"/>
  <c r="ET61" i="2"/>
  <c r="ES57" i="2"/>
  <c r="ES58" i="2"/>
  <c r="ES59" i="2"/>
  <c r="ES61" i="2"/>
  <c r="ES60" i="2"/>
  <c r="FA16" i="15"/>
  <c r="EU24" i="2"/>
  <c r="ET24" i="2"/>
  <c r="ES24" i="2"/>
  <c r="FA113" i="2" l="1"/>
  <c r="FA120" i="2"/>
  <c r="FA74" i="2"/>
  <c r="FA54" i="2"/>
  <c r="FA35" i="2"/>
  <c r="ET88" i="2"/>
  <c r="ET73" i="2"/>
  <c r="ES88" i="2"/>
  <c r="ES73" i="2"/>
  <c r="EU73" i="2"/>
  <c r="EU88" i="2"/>
  <c r="EV57" i="2"/>
  <c r="EV59" i="2"/>
  <c r="EV60" i="2"/>
  <c r="FA76" i="5" l="1"/>
  <c r="FA98" i="5"/>
  <c r="FA95" i="5"/>
  <c r="FA73" i="5"/>
  <c r="FA88" i="5"/>
  <c r="FA79" i="5"/>
  <c r="EX36" i="5" l="1"/>
  <c r="EX51" i="5" s="1"/>
  <c r="FA85" i="5" l="1"/>
  <c r="EX44" i="5"/>
  <c r="FB109" i="15" l="1"/>
  <c r="FB110" i="15" s="1"/>
  <c r="FB52" i="18" l="1"/>
  <c r="FB119" i="15"/>
  <c r="FC119" i="15"/>
  <c r="FC120" i="15" l="1"/>
  <c r="FB120" i="15"/>
  <c r="FF138" i="15" l="1"/>
  <c r="EX23" i="14" l="1"/>
  <c r="EX51" i="3" s="1"/>
  <c r="EY53" i="3" s="1"/>
  <c r="EX53" i="3" l="1"/>
  <c r="EX52" i="3"/>
  <c r="EX28" i="14"/>
  <c r="EX54" i="3" s="1"/>
  <c r="EX26" i="14"/>
  <c r="EY26" i="14"/>
  <c r="EX29" i="14" l="1"/>
  <c r="FC29" i="14"/>
  <c r="FA24" i="14"/>
  <c r="EX199" i="14" l="1"/>
  <c r="EX198" i="14"/>
  <c r="EX200" i="14"/>
  <c r="EX203" i="14"/>
  <c r="EX24" i="42"/>
  <c r="EX201" i="14"/>
  <c r="EX27" i="42" l="1"/>
  <c r="EX25" i="42"/>
  <c r="FC200" i="14"/>
  <c r="FC24" i="42"/>
  <c r="FC199" i="14"/>
  <c r="FC198" i="14"/>
  <c r="FC186" i="14"/>
  <c r="FC201" i="14" s="1"/>
  <c r="FC62" i="18"/>
  <c r="EX26" i="42"/>
  <c r="FC190" i="14" l="1"/>
  <c r="FC191" i="14"/>
  <c r="FC187" i="14"/>
  <c r="FC189" i="14"/>
  <c r="FC247" i="14"/>
  <c r="FC26" i="42"/>
  <c r="FC25" i="42"/>
  <c r="FH24" i="42"/>
  <c r="FH199" i="14"/>
  <c r="FH198" i="14"/>
  <c r="FH200" i="14"/>
  <c r="FH186" i="14"/>
  <c r="FH201" i="14" s="1"/>
  <c r="FH62" i="18"/>
  <c r="FC67" i="18"/>
  <c r="FC66" i="18"/>
  <c r="FC63" i="18"/>
  <c r="FC65" i="18"/>
  <c r="FH190" i="14" l="1"/>
  <c r="FH247" i="14"/>
  <c r="FH191" i="14"/>
  <c r="FH189" i="14"/>
  <c r="FH187" i="14"/>
  <c r="FM200" i="14"/>
  <c r="FM198" i="14"/>
  <c r="FM199" i="14"/>
  <c r="FM24" i="42"/>
  <c r="FM186" i="14"/>
  <c r="FM201" i="14" s="1"/>
  <c r="FM62" i="18"/>
  <c r="FH26" i="42"/>
  <c r="FH25" i="42"/>
  <c r="FH67" i="18"/>
  <c r="FH65" i="18"/>
  <c r="FH63" i="18"/>
  <c r="FH66" i="18"/>
  <c r="FM189" i="14" l="1"/>
  <c r="FM187" i="14"/>
  <c r="FM191" i="14"/>
  <c r="FM247" i="14"/>
  <c r="FM190" i="14"/>
  <c r="FM26" i="42"/>
  <c r="FM25" i="42"/>
  <c r="FR198" i="14"/>
  <c r="FR200" i="14"/>
  <c r="FR199" i="14"/>
  <c r="FR186" i="14"/>
  <c r="FR24" i="42"/>
  <c r="FR62" i="18"/>
  <c r="FM67" i="18"/>
  <c r="FM63" i="18"/>
  <c r="FM65" i="18"/>
  <c r="FM66" i="18"/>
  <c r="FR63" i="18" l="1"/>
  <c r="FR67" i="18"/>
  <c r="FR66" i="18"/>
  <c r="FR65" i="18"/>
  <c r="FW199" i="14"/>
  <c r="FW24" i="42"/>
  <c r="FW198" i="14"/>
  <c r="FW200" i="14"/>
  <c r="FW186" i="14"/>
  <c r="FW201" i="14" s="1"/>
  <c r="FW62" i="18"/>
  <c r="FR189" i="14"/>
  <c r="FR190" i="14"/>
  <c r="FR247" i="14"/>
  <c r="FR187" i="14"/>
  <c r="FR191" i="14"/>
  <c r="FR25" i="42"/>
  <c r="FR26" i="42"/>
  <c r="FR201" i="14"/>
  <c r="GB200" i="14" l="1"/>
  <c r="GB198" i="14"/>
  <c r="GB24" i="42"/>
  <c r="GG25" i="42" s="1"/>
  <c r="GB199" i="14"/>
  <c r="GB186" i="14"/>
  <c r="GB62" i="18"/>
  <c r="FW26" i="42"/>
  <c r="FW25" i="42"/>
  <c r="FW191" i="14"/>
  <c r="FW190" i="14"/>
  <c r="FW189" i="14"/>
  <c r="FW247" i="14"/>
  <c r="FW187" i="14"/>
  <c r="FW67" i="18"/>
  <c r="FW66" i="18"/>
  <c r="FW63" i="18"/>
  <c r="FW65" i="18"/>
  <c r="GG190" i="14" l="1"/>
  <c r="GG187" i="14"/>
  <c r="GG66" i="18"/>
  <c r="GG63" i="18"/>
  <c r="GB191" i="14"/>
  <c r="GB190" i="14"/>
  <c r="GB187" i="14"/>
  <c r="GB189" i="14"/>
  <c r="GB247" i="14"/>
  <c r="GB25" i="42"/>
  <c r="GB26" i="42"/>
  <c r="GB201" i="14"/>
  <c r="GB65" i="18"/>
  <c r="GB66" i="18"/>
  <c r="GB63" i="18"/>
  <c r="GB67" i="18"/>
  <c r="FC117" i="14" l="1"/>
  <c r="EX117" i="14"/>
  <c r="EX119" i="14" s="1"/>
  <c r="EX267" i="14"/>
  <c r="EX268" i="14"/>
  <c r="EX270" i="14"/>
  <c r="EX269" i="14"/>
  <c r="FC268" i="14" l="1"/>
  <c r="FC267" i="14"/>
  <c r="EX121" i="14"/>
  <c r="EX118" i="14"/>
  <c r="EX131" i="14"/>
  <c r="EX132" i="14" s="1"/>
  <c r="EX120" i="14"/>
  <c r="FC121" i="14"/>
  <c r="FC119" i="14"/>
  <c r="FC120" i="14"/>
  <c r="FC118" i="14"/>
  <c r="FC269" i="14"/>
  <c r="FC131" i="14"/>
  <c r="FC122" i="14" s="1"/>
  <c r="FC255" i="14"/>
  <c r="FC271" i="14" l="1"/>
  <c r="EX29" i="42"/>
  <c r="EX32" i="42" s="1"/>
  <c r="EX122" i="14"/>
  <c r="EX135" i="14"/>
  <c r="EX261" i="14"/>
  <c r="EX133" i="14"/>
  <c r="EX136" i="14"/>
  <c r="EX202" i="14"/>
  <c r="EX192" i="14"/>
  <c r="EX271" i="14"/>
  <c r="EX129" i="14"/>
  <c r="EX134" i="14"/>
  <c r="EX248" i="14"/>
  <c r="EX30" i="42"/>
  <c r="FC261" i="14"/>
  <c r="FC258" i="14"/>
  <c r="FC256" i="14"/>
  <c r="FC259" i="14"/>
  <c r="FC306" i="14"/>
  <c r="FC260" i="14"/>
  <c r="FC135" i="14"/>
  <c r="FC192" i="14"/>
  <c r="FC129" i="14"/>
  <c r="FC202" i="14"/>
  <c r="FC133" i="14"/>
  <c r="FC29" i="42"/>
  <c r="FC132" i="14"/>
  <c r="FC134" i="14"/>
  <c r="FC248" i="14"/>
  <c r="FC270" i="14"/>
  <c r="EX31" i="42" l="1"/>
  <c r="FC31" i="42"/>
  <c r="FC30" i="42"/>
  <c r="EX359" i="14" l="1"/>
  <c r="EX358" i="14"/>
  <c r="EX363" i="14"/>
  <c r="FC355" i="14"/>
  <c r="FC358" i="14" s="1"/>
  <c r="EX361" i="14"/>
  <c r="EX362" i="14" s="1"/>
  <c r="FC361" i="14" l="1"/>
  <c r="FC362" i="14" s="1"/>
  <c r="FD363" i="14"/>
  <c r="FD358" i="14"/>
  <c r="FC363" i="14"/>
  <c r="FC120" i="18"/>
  <c r="FC347" i="14"/>
  <c r="FC359" i="14" s="1"/>
  <c r="FH355" i="14"/>
  <c r="EY15" i="18" l="1"/>
  <c r="EX114" i="18"/>
  <c r="EX14" i="42"/>
  <c r="EY16" i="42" s="1"/>
  <c r="EY13" i="18"/>
  <c r="FC10" i="14"/>
  <c r="FC350" i="14"/>
  <c r="FC351" i="14"/>
  <c r="FD352" i="14"/>
  <c r="FC370" i="14"/>
  <c r="FD350" i="14"/>
  <c r="FC39" i="42"/>
  <c r="FC352" i="14"/>
  <c r="FC348" i="14"/>
  <c r="FI358" i="14"/>
  <c r="FH361" i="14"/>
  <c r="FH362" i="14" s="1"/>
  <c r="FI363" i="14"/>
  <c r="FM355" i="14"/>
  <c r="FH363" i="14"/>
  <c r="FH358" i="14"/>
  <c r="FH347" i="14"/>
  <c r="FH120" i="18"/>
  <c r="FD123" i="18"/>
  <c r="FC124" i="18"/>
  <c r="FC125" i="18"/>
  <c r="FC123" i="18"/>
  <c r="FC121" i="18"/>
  <c r="FD125" i="18"/>
  <c r="FC353" i="14" l="1"/>
  <c r="ET19" i="2"/>
  <c r="ET103" i="2" s="1"/>
  <c r="ES19" i="2"/>
  <c r="ES103" i="2" s="1"/>
  <c r="FC41" i="42"/>
  <c r="FC40" i="42"/>
  <c r="FD41" i="42"/>
  <c r="FI123" i="18"/>
  <c r="FI125" i="18"/>
  <c r="FH125" i="18"/>
  <c r="FH124" i="18"/>
  <c r="FH123" i="18"/>
  <c r="FH121" i="18"/>
  <c r="FN358" i="14"/>
  <c r="FR120" i="18"/>
  <c r="FN363" i="14"/>
  <c r="FM120" i="18"/>
  <c r="FM363" i="14"/>
  <c r="FR355" i="14"/>
  <c r="FM358" i="14"/>
  <c r="FM361" i="14"/>
  <c r="FM362" i="14" s="1"/>
  <c r="FM347" i="14"/>
  <c r="FM359" i="14" s="1"/>
  <c r="FC136" i="14"/>
  <c r="FC262" i="14"/>
  <c r="FC203" i="14"/>
  <c r="FC14" i="14"/>
  <c r="FC19" i="42"/>
  <c r="FC15" i="14"/>
  <c r="FC13" i="14"/>
  <c r="FC318" i="14"/>
  <c r="FC11" i="14"/>
  <c r="FC193" i="14"/>
  <c r="FC23" i="14"/>
  <c r="FC249" i="14"/>
  <c r="FC12" i="2"/>
  <c r="EX17" i="42"/>
  <c r="EX16" i="42"/>
  <c r="EX15" i="42"/>
  <c r="FI352" i="14"/>
  <c r="FH348" i="14"/>
  <c r="FH39" i="42"/>
  <c r="FH352" i="14"/>
  <c r="FH350" i="14"/>
  <c r="FH370" i="14"/>
  <c r="FH351" i="14"/>
  <c r="FI350" i="14"/>
  <c r="FH359" i="14"/>
  <c r="FC12" i="14" l="1"/>
  <c r="FI41" i="42"/>
  <c r="FH41" i="42"/>
  <c r="FH40" i="42"/>
  <c r="FR123" i="18"/>
  <c r="FR125" i="18"/>
  <c r="FR124" i="18"/>
  <c r="FR121" i="18"/>
  <c r="FS123" i="18"/>
  <c r="FS125" i="18"/>
  <c r="FC27" i="14"/>
  <c r="FC51" i="3"/>
  <c r="FC26" i="14"/>
  <c r="FC24" i="14"/>
  <c r="FS363" i="14"/>
  <c r="FW355" i="14"/>
  <c r="FR363" i="14"/>
  <c r="FR358" i="14"/>
  <c r="FS358" i="14"/>
  <c r="FR361" i="14"/>
  <c r="FR362" i="14" s="1"/>
  <c r="FW120" i="18"/>
  <c r="FR347" i="14"/>
  <c r="FR359" i="14" s="1"/>
  <c r="FM370" i="14"/>
  <c r="FM350" i="14"/>
  <c r="FM352" i="14"/>
  <c r="FN352" i="14"/>
  <c r="FM351" i="14"/>
  <c r="FM39" i="42"/>
  <c r="FM348" i="14"/>
  <c r="FN350" i="14"/>
  <c r="FC37" i="42"/>
  <c r="FC27" i="42"/>
  <c r="FC32" i="42"/>
  <c r="FC21" i="42"/>
  <c r="FC20" i="42"/>
  <c r="FM123" i="18"/>
  <c r="FM124" i="18"/>
  <c r="FM125" i="18"/>
  <c r="FN125" i="18"/>
  <c r="FN123" i="18"/>
  <c r="FM121" i="18"/>
  <c r="FC42" i="42"/>
  <c r="FC52" i="3" l="1"/>
  <c r="FC53" i="3"/>
  <c r="FR348" i="14"/>
  <c r="FS352" i="14"/>
  <c r="FR39" i="42"/>
  <c r="FR370" i="14"/>
  <c r="FS350" i="14"/>
  <c r="FR352" i="14"/>
  <c r="FR351" i="14"/>
  <c r="FR350" i="14"/>
  <c r="FW121" i="18"/>
  <c r="FW125" i="18"/>
  <c r="FW123" i="18"/>
  <c r="FX125" i="18"/>
  <c r="FW124" i="18"/>
  <c r="FX123" i="18"/>
  <c r="FX363" i="14"/>
  <c r="GB355" i="14"/>
  <c r="FW363" i="14"/>
  <c r="GB120" i="18"/>
  <c r="FW347" i="14"/>
  <c r="FW359" i="14" s="1"/>
  <c r="FW361" i="14"/>
  <c r="FW362" i="14" s="1"/>
  <c r="FX358" i="14"/>
  <c r="FW358" i="14"/>
  <c r="FN41" i="42"/>
  <c r="FM41" i="42"/>
  <c r="FM40" i="42"/>
  <c r="GG120" i="18" l="1"/>
  <c r="GG355" i="14"/>
  <c r="GB361" i="14"/>
  <c r="GB362" i="14" s="1"/>
  <c r="GC363" i="14"/>
  <c r="GB358" i="14"/>
  <c r="GC358" i="14"/>
  <c r="GB347" i="14"/>
  <c r="GB359" i="14" s="1"/>
  <c r="GB363" i="14"/>
  <c r="FW350" i="14"/>
  <c r="FW351" i="14"/>
  <c r="FW352" i="14"/>
  <c r="FX350" i="14"/>
  <c r="FW370" i="14"/>
  <c r="FX352" i="14"/>
  <c r="FW348" i="14"/>
  <c r="FW39" i="42"/>
  <c r="FS41" i="42"/>
  <c r="FR40" i="42"/>
  <c r="FR41" i="42"/>
  <c r="GB123" i="18"/>
  <c r="GC123" i="18"/>
  <c r="GB125" i="18"/>
  <c r="GC125" i="18"/>
  <c r="GB124" i="18"/>
  <c r="GB121" i="18"/>
  <c r="GG361" i="14" l="1"/>
  <c r="GG362" i="14" s="1"/>
  <c r="GG363" i="14"/>
  <c r="GG358" i="14"/>
  <c r="GG347" i="14"/>
  <c r="GG359" i="14" s="1"/>
  <c r="GH363" i="14"/>
  <c r="GH358" i="14"/>
  <c r="GG124" i="18"/>
  <c r="GG125" i="18"/>
  <c r="GG123" i="18"/>
  <c r="GG121" i="18"/>
  <c r="GH123" i="18"/>
  <c r="GH125" i="18"/>
  <c r="FW41" i="42"/>
  <c r="FW40" i="42"/>
  <c r="FX41" i="42"/>
  <c r="GB352" i="14"/>
  <c r="GB348" i="14"/>
  <c r="GC350" i="14"/>
  <c r="GB39" i="42"/>
  <c r="GC352" i="14"/>
  <c r="GB351" i="14"/>
  <c r="GB370" i="14"/>
  <c r="GB350" i="14"/>
  <c r="GG348" i="14" l="1"/>
  <c r="GG352" i="14"/>
  <c r="GG39" i="42"/>
  <c r="GG40" i="42" s="1"/>
  <c r="GG350" i="14"/>
  <c r="GG351" i="14"/>
  <c r="GG370" i="14"/>
  <c r="GH352" i="14"/>
  <c r="GH350" i="14"/>
  <c r="GG10" i="14"/>
  <c r="GG353" i="14" s="1"/>
  <c r="GB41" i="42"/>
  <c r="GB40" i="42"/>
  <c r="GC41" i="42"/>
  <c r="GG12" i="2" l="1"/>
  <c r="GG13" i="14"/>
  <c r="GG19" i="42"/>
  <c r="GG42" i="42" s="1"/>
  <c r="GG23" i="14"/>
  <c r="GG15" i="14"/>
  <c r="GG318" i="14"/>
  <c r="GG262" i="14"/>
  <c r="GG203" i="14"/>
  <c r="GG249" i="14"/>
  <c r="GG193" i="14"/>
  <c r="GH13" i="14"/>
  <c r="GH15" i="14"/>
  <c r="GG136" i="14"/>
  <c r="GG41" i="42"/>
  <c r="GH41" i="42"/>
  <c r="EX26" i="15"/>
  <c r="EX28" i="15"/>
  <c r="EX59" i="3" s="1"/>
  <c r="GG21" i="42" l="1"/>
  <c r="GG37" i="42"/>
  <c r="GG27" i="42"/>
  <c r="GH21" i="42"/>
  <c r="GG32" i="42"/>
  <c r="GG26" i="14"/>
  <c r="GG51" i="3"/>
  <c r="GH26" i="14"/>
  <c r="EX29" i="15"/>
  <c r="FC29" i="15"/>
  <c r="GG53" i="3" l="1"/>
  <c r="GH53" i="3"/>
  <c r="EX10" i="6" l="1"/>
  <c r="EX16" i="5" l="1"/>
  <c r="EX25" i="5" l="1"/>
  <c r="EX53" i="5" s="1"/>
  <c r="EV233" i="15" l="1"/>
  <c r="EV10" i="15"/>
  <c r="EV13" i="2" l="1"/>
  <c r="EV23" i="15"/>
  <c r="FA14" i="15"/>
  <c r="EV42" i="15"/>
  <c r="EV11" i="15"/>
  <c r="EV44" i="42"/>
  <c r="EV230" i="15"/>
  <c r="EV14" i="15"/>
  <c r="EV96" i="15"/>
  <c r="FA11" i="15"/>
  <c r="EV16" i="15"/>
  <c r="EV43" i="15" l="1"/>
  <c r="FA43" i="15"/>
  <c r="EV56" i="3"/>
  <c r="EV28" i="15"/>
  <c r="EV59" i="3" s="1"/>
  <c r="FA24" i="15"/>
  <c r="EQ22" i="2"/>
  <c r="EQ60" i="2" s="1"/>
  <c r="EV15" i="2"/>
  <c r="EV61" i="2"/>
  <c r="EV10" i="42"/>
  <c r="EV22" i="42" s="1"/>
  <c r="FA45" i="42"/>
  <c r="EV45" i="42"/>
  <c r="EV62" i="42"/>
  <c r="EX23" i="17"/>
  <c r="EX26" i="17" l="1"/>
  <c r="EY26" i="17"/>
  <c r="EX58" i="3"/>
  <c r="EV57" i="3"/>
  <c r="FA57" i="3"/>
  <c r="EV74" i="2"/>
  <c r="EV113" i="2"/>
  <c r="EV35" i="2"/>
  <c r="EV120" i="2"/>
  <c r="EQ24" i="2"/>
  <c r="EV54" i="2"/>
  <c r="EV18" i="2"/>
  <c r="EV11" i="42"/>
  <c r="EV47" i="42"/>
  <c r="EV67" i="42"/>
  <c r="EV17" i="42"/>
  <c r="EX61" i="3"/>
  <c r="EY63" i="3" s="1"/>
  <c r="EX28" i="17"/>
  <c r="EX64" i="3" s="1"/>
  <c r="FC27" i="17"/>
  <c r="FC24" i="17"/>
  <c r="EQ88" i="2" l="1"/>
  <c r="EQ73" i="2"/>
  <c r="EX62" i="3"/>
  <c r="EX63" i="3"/>
  <c r="FF62" i="3"/>
  <c r="FC62" i="3"/>
  <c r="EX29" i="17"/>
  <c r="FC29" i="17"/>
  <c r="EX31" i="6" l="1"/>
  <c r="EX134" i="5"/>
  <c r="EX231" i="3"/>
  <c r="EX232" i="3" s="1"/>
  <c r="EX150" i="5"/>
  <c r="EX151" i="5" s="1"/>
  <c r="EX32" i="6" l="1"/>
  <c r="EX91" i="6"/>
  <c r="EX66" i="6"/>
  <c r="EX100" i="5"/>
  <c r="EW40" i="8"/>
  <c r="EW41" i="8" s="1"/>
  <c r="EX152" i="5"/>
  <c r="EX137" i="5"/>
  <c r="EX73" i="3" s="1"/>
  <c r="EX74" i="3" s="1"/>
  <c r="EX135" i="5"/>
  <c r="EX233" i="3"/>
  <c r="EX101" i="5" l="1"/>
  <c r="EX105" i="5"/>
  <c r="EX92" i="6"/>
  <c r="EX96" i="6"/>
  <c r="EX67" i="6"/>
  <c r="EX71" i="6"/>
  <c r="EX143" i="5"/>
  <c r="EX141" i="5"/>
  <c r="EX142" i="5"/>
  <c r="EX46" i="6"/>
  <c r="EX74" i="6" l="1"/>
  <c r="EX75" i="6" s="1"/>
  <c r="EX72" i="6"/>
  <c r="EX73" i="6"/>
  <c r="EX97" i="6"/>
  <c r="EX98" i="6"/>
  <c r="EY50" i="5" l="1"/>
  <c r="EY51" i="5" l="1"/>
  <c r="EX108" i="5" l="1"/>
  <c r="EX56" i="6"/>
  <c r="EX59" i="6" s="1"/>
  <c r="EX61" i="6" s="1"/>
  <c r="EX63" i="6" s="1"/>
  <c r="EX10" i="30" l="1"/>
  <c r="EX109" i="5"/>
  <c r="EX111" i="5"/>
  <c r="EX110" i="5"/>
  <c r="EX138" i="5"/>
  <c r="EX125" i="5"/>
  <c r="EX112" i="5"/>
  <c r="EX14" i="30" l="1"/>
  <c r="EX11" i="30"/>
  <c r="EX12" i="30"/>
  <c r="EX13" i="30"/>
  <c r="EY60" i="6"/>
  <c r="EX126" i="5"/>
  <c r="EY16" i="5" l="1"/>
  <c r="EY25" i="5" l="1"/>
  <c r="EY53" i="5" s="1"/>
  <c r="EX129" i="5" l="1"/>
  <c r="EX130" i="5" s="1"/>
  <c r="EX114" i="5"/>
  <c r="EX17" i="30" l="1"/>
  <c r="EX122" i="5"/>
  <c r="EX123" i="5" s="1"/>
  <c r="EX116" i="5"/>
  <c r="EX118" i="5"/>
  <c r="EX119" i="5"/>
  <c r="EX117" i="5"/>
  <c r="EX115" i="5"/>
  <c r="EX120" i="5" l="1"/>
  <c r="EX21" i="30"/>
  <c r="EX18" i="30"/>
  <c r="EX19" i="30"/>
  <c r="EX20" i="30"/>
  <c r="EX24" i="30"/>
  <c r="EX15" i="30" l="1"/>
  <c r="EX22" i="30"/>
  <c r="EX26" i="30"/>
  <c r="EX25" i="30"/>
  <c r="EX28" i="30"/>
  <c r="EX27" i="30"/>
  <c r="FE115" i="5" l="1"/>
  <c r="FB108" i="15" l="1"/>
  <c r="FG108" i="15" s="1"/>
  <c r="EW114" i="15"/>
  <c r="EW50" i="18"/>
  <c r="EW56" i="18" s="1"/>
  <c r="EW113" i="15"/>
  <c r="EW111" i="15"/>
  <c r="EW49" i="42"/>
  <c r="EW51" i="42" s="1"/>
  <c r="EW115" i="15"/>
  <c r="EW30" i="30"/>
  <c r="EW39" i="30" s="1"/>
  <c r="ER111" i="15"/>
  <c r="ER50" i="18"/>
  <c r="ER37" i="30" l="1"/>
  <c r="FB90" i="15"/>
  <c r="FB94" i="15" s="1"/>
  <c r="FB124" i="15"/>
  <c r="FB111" i="15"/>
  <c r="FB112" i="15"/>
  <c r="EW55" i="18"/>
  <c r="EW34" i="30"/>
  <c r="EW36" i="30"/>
  <c r="EW40" i="30"/>
  <c r="FB30" i="30"/>
  <c r="EW37" i="30" s="1"/>
  <c r="EW32" i="30"/>
  <c r="ER49" i="42"/>
  <c r="EW50" i="42" s="1"/>
  <c r="ER53" i="18"/>
  <c r="EW54" i="18"/>
  <c r="EW52" i="42"/>
  <c r="ER55" i="18"/>
  <c r="ER114" i="15"/>
  <c r="ER113" i="15"/>
  <c r="ER56" i="18"/>
  <c r="EW51" i="18"/>
  <c r="FB50" i="18"/>
  <c r="EM108" i="15"/>
  <c r="EM143" i="15" s="1"/>
  <c r="EM149" i="15" s="1"/>
  <c r="EW112" i="15"/>
  <c r="ER30" i="30"/>
  <c r="EW33" i="30" s="1"/>
  <c r="ER115" i="15"/>
  <c r="FB113" i="15"/>
  <c r="EW53" i="18"/>
  <c r="FB49" i="42"/>
  <c r="FG124" i="15" l="1"/>
  <c r="ER124" i="15"/>
  <c r="EM117" i="15"/>
  <c r="FB92" i="15"/>
  <c r="FB93" i="15"/>
  <c r="FB114" i="15"/>
  <c r="FB91" i="15"/>
  <c r="FB95" i="15"/>
  <c r="FB10" i="15"/>
  <c r="FB215" i="15"/>
  <c r="FB40" i="30"/>
  <c r="FB31" i="30"/>
  <c r="FB32" i="30"/>
  <c r="FB34" i="30"/>
  <c r="FB33" i="30"/>
  <c r="EM114" i="15"/>
  <c r="EM30" i="30"/>
  <c r="ER33" i="30" s="1"/>
  <c r="EM50" i="18"/>
  <c r="EM49" i="42"/>
  <c r="ER50" i="42" s="1"/>
  <c r="EM115" i="15"/>
  <c r="EM113" i="15"/>
  <c r="FB50" i="42"/>
  <c r="FB51" i="42"/>
  <c r="ER34" i="30"/>
  <c r="EM37" i="30"/>
  <c r="ER39" i="30"/>
  <c r="ER36" i="30"/>
  <c r="ER40" i="30"/>
  <c r="ER32" i="30"/>
  <c r="FL108" i="15"/>
  <c r="FG50" i="18"/>
  <c r="FG30" i="30"/>
  <c r="FG49" i="42"/>
  <c r="FG112" i="15"/>
  <c r="FG113" i="15"/>
  <c r="FG90" i="15"/>
  <c r="FG111" i="15"/>
  <c r="ER112" i="15"/>
  <c r="FB53" i="18"/>
  <c r="FB51" i="18"/>
  <c r="FB55" i="18"/>
  <c r="FB10" i="18"/>
  <c r="FB18" i="18" s="1"/>
  <c r="FB54" i="18"/>
  <c r="EW131" i="15"/>
  <c r="ER52" i="42"/>
  <c r="ER51" i="42"/>
  <c r="FB19" i="18" l="1"/>
  <c r="FB13" i="2"/>
  <c r="EW22" i="2" s="1"/>
  <c r="EW59" i="2" s="1"/>
  <c r="FB56" i="18"/>
  <c r="FB44" i="42"/>
  <c r="FB46" i="42" s="1"/>
  <c r="FB115" i="15"/>
  <c r="FB15" i="15"/>
  <c r="FB11" i="15"/>
  <c r="FB13" i="15"/>
  <c r="FB14" i="15"/>
  <c r="FB230" i="15"/>
  <c r="FB24" i="3"/>
  <c r="FB96" i="15"/>
  <c r="FB23" i="15"/>
  <c r="FG215" i="15"/>
  <c r="FG93" i="15"/>
  <c r="FG94" i="15"/>
  <c r="FG92" i="15"/>
  <c r="FG91" i="15"/>
  <c r="FG10" i="15"/>
  <c r="FG96" i="15" s="1"/>
  <c r="FG95" i="15"/>
  <c r="FG54" i="18"/>
  <c r="FG55" i="18"/>
  <c r="FG53" i="18"/>
  <c r="FG51" i="18"/>
  <c r="FG10" i="18"/>
  <c r="FG56" i="18" s="1"/>
  <c r="FL49" i="42"/>
  <c r="FL90" i="15"/>
  <c r="FL111" i="15"/>
  <c r="FL50" i="18"/>
  <c r="FL112" i="15"/>
  <c r="FL30" i="30"/>
  <c r="FQ108" i="15"/>
  <c r="FL113" i="15"/>
  <c r="ER126" i="15"/>
  <c r="ER131" i="15"/>
  <c r="EM56" i="18"/>
  <c r="EM51" i="18"/>
  <c r="EM55" i="18"/>
  <c r="EM54" i="18"/>
  <c r="ER51" i="18"/>
  <c r="ER54" i="18"/>
  <c r="FG114" i="15"/>
  <c r="EM32" i="30"/>
  <c r="EM33" i="30"/>
  <c r="EM36" i="30"/>
  <c r="EM39" i="30"/>
  <c r="EM34" i="30"/>
  <c r="EM40" i="30"/>
  <c r="EM31" i="30"/>
  <c r="EH37" i="30"/>
  <c r="FB114" i="18"/>
  <c r="FB14" i="18"/>
  <c r="FB14" i="42"/>
  <c r="FB103" i="18"/>
  <c r="FB11" i="18"/>
  <c r="FB126" i="18"/>
  <c r="FB17" i="2"/>
  <c r="FB68" i="18"/>
  <c r="FG50" i="42"/>
  <c r="FG51" i="42"/>
  <c r="FG31" i="30"/>
  <c r="FG33" i="30"/>
  <c r="FG32" i="30"/>
  <c r="FG34" i="30"/>
  <c r="FB12" i="15" l="1"/>
  <c r="ER136" i="15"/>
  <c r="ER133" i="15"/>
  <c r="FB62" i="42"/>
  <c r="FB10" i="42"/>
  <c r="FB47" i="42" s="1"/>
  <c r="FB52" i="42"/>
  <c r="FB45" i="42"/>
  <c r="FB15" i="2"/>
  <c r="EY22" i="2"/>
  <c r="EY60" i="2" s="1"/>
  <c r="FB83" i="3"/>
  <c r="FB57" i="42"/>
  <c r="ER129" i="15"/>
  <c r="ER143" i="15"/>
  <c r="FB16" i="18"/>
  <c r="EW60" i="2"/>
  <c r="EW57" i="2"/>
  <c r="EW61" i="2"/>
  <c r="EW58" i="2"/>
  <c r="FB76" i="3"/>
  <c r="FB78" i="3" s="1"/>
  <c r="FB10" i="7"/>
  <c r="FB12" i="7" s="1"/>
  <c r="FB97" i="3"/>
  <c r="FB98" i="3" s="1"/>
  <c r="FB131" i="15"/>
  <c r="FB16" i="15"/>
  <c r="FB56" i="5"/>
  <c r="FB25" i="3"/>
  <c r="FB26" i="3" s="1"/>
  <c r="FB90" i="3"/>
  <c r="FB91" i="3" s="1"/>
  <c r="FB27" i="3"/>
  <c r="FB16" i="14"/>
  <c r="FB28" i="3"/>
  <c r="FB24" i="15"/>
  <c r="FB29" i="3"/>
  <c r="FB16" i="17"/>
  <c r="FB27" i="15"/>
  <c r="FB56" i="3"/>
  <c r="FL92" i="15"/>
  <c r="FL95" i="15"/>
  <c r="FL215" i="15"/>
  <c r="FL91" i="15"/>
  <c r="FL93" i="15"/>
  <c r="FL10" i="15"/>
  <c r="FL94" i="15"/>
  <c r="FL50" i="42"/>
  <c r="FL51" i="42"/>
  <c r="FB15" i="42"/>
  <c r="ER130" i="15"/>
  <c r="ER128" i="15"/>
  <c r="ER138" i="15"/>
  <c r="EW126" i="15"/>
  <c r="FL53" i="18"/>
  <c r="FL10" i="18"/>
  <c r="FL51" i="18"/>
  <c r="FL54" i="18"/>
  <c r="FL55" i="18"/>
  <c r="FQ50" i="18"/>
  <c r="FQ90" i="15"/>
  <c r="FQ114" i="15" s="1"/>
  <c r="FQ49" i="42"/>
  <c r="FQ111" i="15"/>
  <c r="FQ112" i="15"/>
  <c r="FQ30" i="30"/>
  <c r="FQ113" i="15"/>
  <c r="FV108" i="15"/>
  <c r="FL32" i="30"/>
  <c r="FL31" i="30"/>
  <c r="FL33" i="30"/>
  <c r="FL34" i="30"/>
  <c r="FG17" i="2"/>
  <c r="FG14" i="18"/>
  <c r="FG14" i="42"/>
  <c r="FG68" i="18"/>
  <c r="FG11" i="18"/>
  <c r="FG114" i="18"/>
  <c r="FG126" i="18"/>
  <c r="FG103" i="18"/>
  <c r="FL114" i="15"/>
  <c r="FG44" i="42"/>
  <c r="FG13" i="15"/>
  <c r="FG15" i="15"/>
  <c r="FG11" i="15"/>
  <c r="FG14" i="15"/>
  <c r="FG230" i="15"/>
  <c r="FG23" i="15"/>
  <c r="FG13" i="2"/>
  <c r="FG115" i="15"/>
  <c r="ER148" i="15" l="1"/>
  <c r="ER144" i="15"/>
  <c r="ER149" i="15"/>
  <c r="ER145" i="15"/>
  <c r="ER146" i="15"/>
  <c r="ER147" i="15"/>
  <c r="FB17" i="42"/>
  <c r="FB12" i="42"/>
  <c r="FB22" i="42"/>
  <c r="EW136" i="15"/>
  <c r="EW133" i="15"/>
  <c r="FB11" i="42"/>
  <c r="FB67" i="42"/>
  <c r="FB86" i="3"/>
  <c r="FB18" i="2"/>
  <c r="FB39" i="5"/>
  <c r="FB91" i="5" s="1"/>
  <c r="FB12" i="5"/>
  <c r="FB85" i="3"/>
  <c r="FB87" i="3"/>
  <c r="FB35" i="2"/>
  <c r="EW24" i="2"/>
  <c r="FB84" i="3"/>
  <c r="FB77" i="3"/>
  <c r="EW129" i="15"/>
  <c r="EW143" i="15"/>
  <c r="EW148" i="15" s="1"/>
  <c r="FB79" i="3"/>
  <c r="FB29" i="7"/>
  <c r="FB80" i="3"/>
  <c r="FB36" i="7"/>
  <c r="FB44" i="7"/>
  <c r="FB46" i="7" s="1"/>
  <c r="FB21" i="7"/>
  <c r="FB99" i="3"/>
  <c r="FB49" i="7"/>
  <c r="FB112" i="3"/>
  <c r="FB54" i="7"/>
  <c r="FB11" i="7"/>
  <c r="FB114" i="5"/>
  <c r="FB150" i="5"/>
  <c r="FB35" i="5"/>
  <c r="FB29" i="6" s="1"/>
  <c r="FB32" i="5"/>
  <c r="FB24" i="5"/>
  <c r="FB15" i="5"/>
  <c r="FB43" i="5"/>
  <c r="FB92" i="3"/>
  <c r="FB93" i="3"/>
  <c r="FB94" i="3"/>
  <c r="FB108" i="5"/>
  <c r="FB66" i="3"/>
  <c r="FB57" i="3"/>
  <c r="FG56" i="3"/>
  <c r="FG27" i="15"/>
  <c r="FG24" i="15"/>
  <c r="FG26" i="15"/>
  <c r="FQ10" i="15"/>
  <c r="FQ96" i="15" s="1"/>
  <c r="FQ93" i="15"/>
  <c r="FQ95" i="15"/>
  <c r="FQ215" i="15"/>
  <c r="FQ92" i="15"/>
  <c r="FQ94" i="15"/>
  <c r="FQ91" i="15"/>
  <c r="FL126" i="18"/>
  <c r="FL103" i="18"/>
  <c r="FL14" i="18"/>
  <c r="FL11" i="18"/>
  <c r="FL14" i="42"/>
  <c r="FL114" i="18"/>
  <c r="FL17" i="2"/>
  <c r="FL68" i="18"/>
  <c r="FQ50" i="42"/>
  <c r="FQ51" i="42"/>
  <c r="FQ33" i="30"/>
  <c r="FQ34" i="30"/>
  <c r="FQ31" i="30"/>
  <c r="FQ32" i="30"/>
  <c r="FQ54" i="18"/>
  <c r="FQ10" i="18"/>
  <c r="FQ56" i="18" s="1"/>
  <c r="FQ53" i="18"/>
  <c r="FQ55" i="18"/>
  <c r="FQ51" i="18"/>
  <c r="FL56" i="18"/>
  <c r="FG15" i="42"/>
  <c r="FL44" i="42"/>
  <c r="FL13" i="15"/>
  <c r="FL13" i="2"/>
  <c r="FL230" i="15"/>
  <c r="FL15" i="15"/>
  <c r="FL23" i="15"/>
  <c r="FL11" i="15"/>
  <c r="FL14" i="15"/>
  <c r="FL115" i="15"/>
  <c r="FV30" i="30"/>
  <c r="GA108" i="15"/>
  <c r="GF108" i="15" s="1"/>
  <c r="FV112" i="15"/>
  <c r="FV50" i="18"/>
  <c r="FV49" i="42"/>
  <c r="FV111" i="15"/>
  <c r="FV113" i="15"/>
  <c r="FV90" i="15"/>
  <c r="EW138" i="15"/>
  <c r="EW128" i="15"/>
  <c r="EW127" i="15"/>
  <c r="EW130" i="15"/>
  <c r="FB126" i="15"/>
  <c r="FG126" i="15" s="1"/>
  <c r="FG57" i="42"/>
  <c r="FG46" i="42"/>
  <c r="FG62" i="42"/>
  <c r="FG45" i="42"/>
  <c r="FG52" i="42"/>
  <c r="FL96" i="15"/>
  <c r="FG133" i="15" l="1"/>
  <c r="FG138" i="15"/>
  <c r="FG129" i="15"/>
  <c r="FG127" i="15"/>
  <c r="FG136" i="15"/>
  <c r="FG128" i="15"/>
  <c r="FG143" i="15"/>
  <c r="GF112" i="15"/>
  <c r="GF49" i="42"/>
  <c r="GF51" i="42" s="1"/>
  <c r="GF90" i="15"/>
  <c r="GF114" i="15" s="1"/>
  <c r="GF50" i="18"/>
  <c r="GF30" i="30"/>
  <c r="GF111" i="15"/>
  <c r="GF113" i="15"/>
  <c r="FB95" i="5"/>
  <c r="FB113" i="3"/>
  <c r="FB10" i="30"/>
  <c r="EW135" i="15"/>
  <c r="EW134" i="15"/>
  <c r="FB133" i="15"/>
  <c r="FB136" i="15"/>
  <c r="EW73" i="2"/>
  <c r="EW88" i="2"/>
  <c r="EW144" i="15"/>
  <c r="EW147" i="15"/>
  <c r="EW146" i="15"/>
  <c r="FB129" i="15"/>
  <c r="FB143" i="15"/>
  <c r="FB148" i="15" s="1"/>
  <c r="FB115" i="3"/>
  <c r="EW149" i="15"/>
  <c r="EW145" i="15"/>
  <c r="FB118" i="3"/>
  <c r="FB50" i="7"/>
  <c r="FB45" i="7"/>
  <c r="FB51" i="7"/>
  <c r="FB116" i="3"/>
  <c r="FB114" i="3"/>
  <c r="FB138" i="5"/>
  <c r="FB56" i="7"/>
  <c r="FB55" i="7"/>
  <c r="FB89" i="5"/>
  <c r="FB28" i="6"/>
  <c r="FB30" i="6"/>
  <c r="FB152" i="5"/>
  <c r="FB14" i="6"/>
  <c r="FB110" i="5"/>
  <c r="FB122" i="5"/>
  <c r="FB123" i="5" s="1"/>
  <c r="FB111" i="5"/>
  <c r="FB49" i="6"/>
  <c r="FB24" i="6"/>
  <c r="FB84" i="6"/>
  <c r="FB116" i="5"/>
  <c r="FB118" i="5"/>
  <c r="FB17" i="30"/>
  <c r="FB25" i="6"/>
  <c r="FB69" i="3"/>
  <c r="FB68" i="3"/>
  <c r="FB67" i="3"/>
  <c r="FB70" i="3"/>
  <c r="FB45" i="3"/>
  <c r="FB71" i="3"/>
  <c r="FV10" i="15"/>
  <c r="FV96" i="15" s="1"/>
  <c r="FV93" i="15"/>
  <c r="FV92" i="15"/>
  <c r="FV215" i="15"/>
  <c r="FV91" i="15"/>
  <c r="FV95" i="15"/>
  <c r="FV94" i="15"/>
  <c r="FL15" i="42"/>
  <c r="FV114" i="15"/>
  <c r="FL46" i="42"/>
  <c r="FL57" i="42"/>
  <c r="FL62" i="42"/>
  <c r="FL45" i="42"/>
  <c r="FL52" i="42"/>
  <c r="FV51" i="42"/>
  <c r="FV50" i="42"/>
  <c r="FV31" i="30"/>
  <c r="FV33" i="30"/>
  <c r="FV32" i="30"/>
  <c r="FV34" i="30"/>
  <c r="FB138" i="15"/>
  <c r="FB127" i="15"/>
  <c r="FB130" i="15"/>
  <c r="FB128" i="15"/>
  <c r="FV53" i="18"/>
  <c r="FV54" i="18"/>
  <c r="FV51" i="18"/>
  <c r="FV55" i="18"/>
  <c r="FV10" i="18"/>
  <c r="FV56" i="18" s="1"/>
  <c r="FQ126" i="18"/>
  <c r="FQ17" i="2"/>
  <c r="FQ14" i="42"/>
  <c r="FQ68" i="18"/>
  <c r="FQ11" i="18"/>
  <c r="FQ103" i="18"/>
  <c r="FQ114" i="18"/>
  <c r="FQ14" i="18"/>
  <c r="FG57" i="3"/>
  <c r="FG58" i="3"/>
  <c r="GA30" i="30"/>
  <c r="GA113" i="15"/>
  <c r="GA50" i="18"/>
  <c r="GA90" i="15"/>
  <c r="GA111" i="15"/>
  <c r="GA112" i="15"/>
  <c r="GA49" i="42"/>
  <c r="FL26" i="15"/>
  <c r="FL24" i="15"/>
  <c r="FL56" i="3"/>
  <c r="FL27" i="15"/>
  <c r="FQ14" i="15"/>
  <c r="FQ11" i="15"/>
  <c r="FQ15" i="15"/>
  <c r="FQ230" i="15"/>
  <c r="FQ13" i="15"/>
  <c r="FQ44" i="42"/>
  <c r="FQ13" i="2"/>
  <c r="FQ23" i="15"/>
  <c r="FQ115" i="15"/>
  <c r="FG146" i="15" l="1"/>
  <c r="FG148" i="15"/>
  <c r="FG144" i="15"/>
  <c r="FG147" i="15"/>
  <c r="FG145" i="15"/>
  <c r="FG134" i="15"/>
  <c r="FG135" i="15"/>
  <c r="FB120" i="5"/>
  <c r="GF50" i="42"/>
  <c r="GF34" i="30"/>
  <c r="GF32" i="30"/>
  <c r="GF51" i="18"/>
  <c r="GF54" i="18"/>
  <c r="GF53" i="18"/>
  <c r="GF55" i="18"/>
  <c r="GF10" i="18"/>
  <c r="GF56" i="18" s="1"/>
  <c r="GF10" i="15"/>
  <c r="GF96" i="15" s="1"/>
  <c r="GF94" i="15"/>
  <c r="GF91" i="15"/>
  <c r="GF215" i="15"/>
  <c r="GF93" i="15"/>
  <c r="GF92" i="15"/>
  <c r="GF95" i="15"/>
  <c r="FB37" i="30"/>
  <c r="GF31" i="30"/>
  <c r="GF33" i="30"/>
  <c r="FB98" i="5"/>
  <c r="FB79" i="5"/>
  <c r="FB76" i="5"/>
  <c r="FB36" i="30"/>
  <c r="FB13" i="30"/>
  <c r="FB11" i="30"/>
  <c r="FB134" i="15"/>
  <c r="FB135" i="15"/>
  <c r="FB88" i="5"/>
  <c r="FB144" i="15"/>
  <c r="FB147" i="15"/>
  <c r="FB146" i="15"/>
  <c r="FB119" i="3"/>
  <c r="FB230" i="3"/>
  <c r="FB122" i="3"/>
  <c r="FB123" i="3"/>
  <c r="FB120" i="3"/>
  <c r="FB121" i="3"/>
  <c r="FB149" i="15"/>
  <c r="FB145" i="15"/>
  <c r="FB87" i="6"/>
  <c r="FB85" i="6"/>
  <c r="FB24" i="30"/>
  <c r="FB22" i="30" s="1"/>
  <c r="FB20" i="30"/>
  <c r="FB18" i="30"/>
  <c r="FB20" i="8"/>
  <c r="FB56" i="6"/>
  <c r="FB68" i="6"/>
  <c r="FB46" i="3"/>
  <c r="FB48" i="3"/>
  <c r="FB57" i="5"/>
  <c r="FB13" i="5" s="1"/>
  <c r="FB47" i="3"/>
  <c r="FB49" i="3"/>
  <c r="GA50" i="42"/>
  <c r="GA51" i="42"/>
  <c r="GA94" i="15"/>
  <c r="GA91" i="15"/>
  <c r="GA95" i="15"/>
  <c r="GA92" i="15"/>
  <c r="GA93" i="15"/>
  <c r="GA215" i="15"/>
  <c r="GA10" i="15"/>
  <c r="GA32" i="30"/>
  <c r="GA31" i="30"/>
  <c r="GA33" i="30"/>
  <c r="GA34" i="30"/>
  <c r="FV17" i="2"/>
  <c r="FV114" i="18"/>
  <c r="FV103" i="18"/>
  <c r="FV14" i="18"/>
  <c r="FV68" i="18"/>
  <c r="FV14" i="42"/>
  <c r="FV11" i="18"/>
  <c r="FV126" i="18"/>
  <c r="GA55" i="18"/>
  <c r="GA53" i="18"/>
  <c r="GA10" i="18"/>
  <c r="GA54" i="18"/>
  <c r="GA51" i="18"/>
  <c r="FQ15" i="42"/>
  <c r="FQ46" i="42"/>
  <c r="FQ45" i="42"/>
  <c r="FQ62" i="42"/>
  <c r="FQ57" i="42"/>
  <c r="FQ52" i="42"/>
  <c r="FL58" i="3"/>
  <c r="FL57" i="3"/>
  <c r="FQ26" i="15"/>
  <c r="FQ27" i="15"/>
  <c r="FQ24" i="15"/>
  <c r="FQ56" i="3"/>
  <c r="GA114" i="15"/>
  <c r="FV15" i="15"/>
  <c r="FV44" i="42"/>
  <c r="FV13" i="15"/>
  <c r="FV14" i="15"/>
  <c r="FV13" i="2"/>
  <c r="FV23" i="15"/>
  <c r="FV11" i="15"/>
  <c r="FV230" i="15"/>
  <c r="FV115" i="15"/>
  <c r="GF13" i="2" l="1"/>
  <c r="GF15" i="2" s="1"/>
  <c r="GF35" i="2" s="1"/>
  <c r="GF23" i="15"/>
  <c r="GF14" i="15"/>
  <c r="GF11" i="15"/>
  <c r="GF44" i="42"/>
  <c r="GF230" i="15"/>
  <c r="GF15" i="15"/>
  <c r="GF13" i="15"/>
  <c r="GF24" i="3"/>
  <c r="GF16" i="15" s="1"/>
  <c r="GF115" i="15"/>
  <c r="GF126" i="18"/>
  <c r="GF17" i="2"/>
  <c r="GF68" i="18"/>
  <c r="GF14" i="42"/>
  <c r="GF103" i="18"/>
  <c r="GF114" i="18"/>
  <c r="GF14" i="18"/>
  <c r="GF11" i="18"/>
  <c r="FB15" i="30"/>
  <c r="FB28" i="5"/>
  <c r="FB124" i="3"/>
  <c r="FB39" i="30"/>
  <c r="FB27" i="30"/>
  <c r="FG40" i="30"/>
  <c r="FB25" i="30"/>
  <c r="FB78" i="6"/>
  <c r="FB69" i="6"/>
  <c r="GA11" i="15"/>
  <c r="GA14" i="15"/>
  <c r="GA23" i="15"/>
  <c r="GA13" i="15"/>
  <c r="GA13" i="2"/>
  <c r="GA15" i="15"/>
  <c r="GA44" i="42"/>
  <c r="GA230" i="15"/>
  <c r="GA115" i="15"/>
  <c r="FV24" i="15"/>
  <c r="FV26" i="15"/>
  <c r="FV27" i="15"/>
  <c r="FV56" i="3"/>
  <c r="FV45" i="42"/>
  <c r="FV46" i="42"/>
  <c r="FV62" i="42"/>
  <c r="FV57" i="42"/>
  <c r="FV52" i="42"/>
  <c r="GA14" i="42"/>
  <c r="GA126" i="18"/>
  <c r="GA17" i="2"/>
  <c r="GA114" i="18"/>
  <c r="GA68" i="18"/>
  <c r="GA103" i="18"/>
  <c r="GA11" i="18"/>
  <c r="GA14" i="18"/>
  <c r="GA56" i="18"/>
  <c r="FV15" i="42"/>
  <c r="FQ58" i="3"/>
  <c r="FQ57" i="3"/>
  <c r="GA96" i="15"/>
  <c r="GF18" i="2" l="1"/>
  <c r="GF15" i="42"/>
  <c r="GF45" i="42"/>
  <c r="GF52" i="42"/>
  <c r="GF62" i="42"/>
  <c r="GF57" i="42"/>
  <c r="GF46" i="42"/>
  <c r="GF10" i="42"/>
  <c r="GF47" i="42" s="1"/>
  <c r="GF16" i="14"/>
  <c r="GF97" i="3"/>
  <c r="GF83" i="3"/>
  <c r="GF76" i="3"/>
  <c r="GF56" i="5"/>
  <c r="GF16" i="17"/>
  <c r="GF90" i="3"/>
  <c r="GF27" i="15"/>
  <c r="GF56" i="3"/>
  <c r="GF24" i="15"/>
  <c r="GF26" i="15"/>
  <c r="GF16" i="18"/>
  <c r="FB117" i="15"/>
  <c r="FB26" i="6"/>
  <c r="FB36" i="5"/>
  <c r="FB23" i="6"/>
  <c r="FB79" i="6"/>
  <c r="FB81" i="6"/>
  <c r="FB93" i="6"/>
  <c r="GA46" i="42"/>
  <c r="GA62" i="42"/>
  <c r="GA57" i="42"/>
  <c r="GA45" i="42"/>
  <c r="GA52" i="42"/>
  <c r="GA26" i="15"/>
  <c r="GA56" i="3"/>
  <c r="GA27" i="15"/>
  <c r="GA24" i="15"/>
  <c r="GA15" i="42"/>
  <c r="FV58" i="3"/>
  <c r="FV57" i="3"/>
  <c r="GF57" i="3" l="1"/>
  <c r="GF112" i="3"/>
  <c r="GF58" i="3"/>
  <c r="GF66" i="3"/>
  <c r="GF67" i="42"/>
  <c r="GF22" i="42"/>
  <c r="GF24" i="5"/>
  <c r="GF35" i="5"/>
  <c r="GF12" i="5"/>
  <c r="GF32" i="5"/>
  <c r="GF89" i="5" s="1"/>
  <c r="GF150" i="5"/>
  <c r="GF14" i="6" s="1"/>
  <c r="GF20" i="8" s="1"/>
  <c r="GF39" i="5"/>
  <c r="GF91" i="5" s="1"/>
  <c r="GF15" i="5"/>
  <c r="GF108" i="5"/>
  <c r="GF43" i="5"/>
  <c r="GF17" i="42"/>
  <c r="FB85" i="5"/>
  <c r="FB73" i="5"/>
  <c r="FB44" i="5"/>
  <c r="FB94" i="6"/>
  <c r="GA58" i="3"/>
  <c r="GA57" i="3"/>
  <c r="GF71" i="3" l="1"/>
  <c r="GF45" i="3"/>
  <c r="GF10" i="30"/>
  <c r="GF36" i="30" s="1"/>
  <c r="GF49" i="6"/>
  <c r="GF138" i="5"/>
  <c r="GF118" i="3"/>
  <c r="GF57" i="5" l="1"/>
  <c r="GF13" i="5" s="1"/>
  <c r="GF123" i="3"/>
  <c r="GF230" i="3"/>
  <c r="GF56" i="6"/>
  <c r="GF68" i="6"/>
  <c r="EV209" i="15"/>
  <c r="EV210" i="15" s="1"/>
  <c r="EV217" i="15" s="1"/>
  <c r="ES54" i="42"/>
  <c r="ES57" i="42" s="1"/>
  <c r="ES212" i="15"/>
  <c r="ES214" i="15"/>
  <c r="ET212" i="15"/>
  <c r="ES213" i="15"/>
  <c r="ET214" i="15"/>
  <c r="ES215" i="15"/>
  <c r="EX209" i="15"/>
  <c r="FA209" i="15" s="1"/>
  <c r="GF28" i="5" l="1"/>
  <c r="GF36" i="5" s="1"/>
  <c r="GF44" i="5" s="1"/>
  <c r="FA215" i="15"/>
  <c r="FA210" i="15"/>
  <c r="FA217" i="15" s="1"/>
  <c r="FA213" i="15"/>
  <c r="EX214" i="15"/>
  <c r="EY214" i="15"/>
  <c r="EY212" i="15"/>
  <c r="EV215" i="15"/>
  <c r="EX212" i="15"/>
  <c r="ES55" i="42"/>
  <c r="ES56" i="42"/>
  <c r="FC209" i="15"/>
  <c r="FF209" i="15" s="1"/>
  <c r="ET56" i="42"/>
  <c r="EX213" i="15"/>
  <c r="EX215" i="15"/>
  <c r="EX54" i="42"/>
  <c r="EY56" i="42" s="1"/>
  <c r="EV213" i="15"/>
  <c r="EV54" i="42"/>
  <c r="FA54" i="42" l="1"/>
  <c r="FF213" i="15"/>
  <c r="FC214" i="15"/>
  <c r="FH209" i="15"/>
  <c r="FI212" i="15" s="1"/>
  <c r="FF54" i="42"/>
  <c r="FD214" i="15"/>
  <c r="FC54" i="42"/>
  <c r="FC56" i="42" s="1"/>
  <c r="FC212" i="15"/>
  <c r="FC213" i="15"/>
  <c r="FF210" i="15"/>
  <c r="FF217" i="15" s="1"/>
  <c r="FD212" i="15"/>
  <c r="EX57" i="42"/>
  <c r="EX56" i="42"/>
  <c r="EX55" i="42"/>
  <c r="EV55" i="42"/>
  <c r="EV57" i="42"/>
  <c r="FA57" i="42" l="1"/>
  <c r="FA55" i="42"/>
  <c r="FF55" i="42"/>
  <c r="FH214" i="15"/>
  <c r="FH54" i="42"/>
  <c r="FI56" i="42" s="1"/>
  <c r="FM209" i="15"/>
  <c r="FM213" i="15" s="1"/>
  <c r="FH212" i="15"/>
  <c r="FK209" i="15"/>
  <c r="FK210" i="15" s="1"/>
  <c r="FK217" i="15" s="1"/>
  <c r="FI214" i="15"/>
  <c r="FH213" i="15"/>
  <c r="FC55" i="42"/>
  <c r="FD56" i="42"/>
  <c r="FH56" i="42" l="1"/>
  <c r="FH55" i="42"/>
  <c r="FM54" i="42"/>
  <c r="FN56" i="42" s="1"/>
  <c r="FM212" i="15"/>
  <c r="FN212" i="15"/>
  <c r="FN214" i="15"/>
  <c r="FR209" i="15"/>
  <c r="FR212" i="15" s="1"/>
  <c r="FM214" i="15"/>
  <c r="FP209" i="15"/>
  <c r="FP54" i="42" s="1"/>
  <c r="FK213" i="15"/>
  <c r="FK54" i="42"/>
  <c r="FK55" i="42" s="1"/>
  <c r="FM55" i="42"/>
  <c r="FM56" i="42" l="1"/>
  <c r="FR213" i="15"/>
  <c r="FU209" i="15"/>
  <c r="FU54" i="42" s="1"/>
  <c r="FW209" i="15"/>
  <c r="FW213" i="15" s="1"/>
  <c r="FS214" i="15"/>
  <c r="FS212" i="15"/>
  <c r="FP213" i="15"/>
  <c r="FR214" i="15"/>
  <c r="FR54" i="42"/>
  <c r="FS56" i="42" s="1"/>
  <c r="FP210" i="15"/>
  <c r="FP217" i="15" s="1"/>
  <c r="FX214" i="15"/>
  <c r="FP55" i="42"/>
  <c r="FW212" i="15" l="1"/>
  <c r="GB209" i="15"/>
  <c r="GG209" i="15" s="1"/>
  <c r="FZ209" i="15"/>
  <c r="FZ213" i="15" s="1"/>
  <c r="FW214" i="15"/>
  <c r="FW54" i="42"/>
  <c r="FW55" i="42" s="1"/>
  <c r="FX212" i="15"/>
  <c r="FU213" i="15"/>
  <c r="FU210" i="15"/>
  <c r="FU217" i="15" s="1"/>
  <c r="FR55" i="42"/>
  <c r="FR56" i="42"/>
  <c r="FU55" i="42"/>
  <c r="FZ54" i="42"/>
  <c r="GE209" i="15"/>
  <c r="GB213" i="15"/>
  <c r="GB212" i="15"/>
  <c r="GC214" i="15"/>
  <c r="GB214" i="15"/>
  <c r="GB54" i="42"/>
  <c r="GC212" i="15" l="1"/>
  <c r="GG213" i="15"/>
  <c r="GG212" i="15"/>
  <c r="GG54" i="42"/>
  <c r="GG214" i="15"/>
  <c r="GJ209" i="15"/>
  <c r="GJ213" i="15" s="1"/>
  <c r="GH214" i="15"/>
  <c r="GH212" i="15"/>
  <c r="FX56" i="42"/>
  <c r="FW56" i="42"/>
  <c r="FZ210" i="15"/>
  <c r="FZ217" i="15" s="1"/>
  <c r="GC56" i="42"/>
  <c r="GB55" i="42"/>
  <c r="GB56" i="42"/>
  <c r="GE213" i="15"/>
  <c r="GE210" i="15"/>
  <c r="GE54" i="42"/>
  <c r="FZ55" i="42"/>
  <c r="GG56" i="42" l="1"/>
  <c r="GH56" i="42"/>
  <c r="GJ54" i="42"/>
  <c r="GJ55" i="42" s="1"/>
  <c r="GJ210" i="15"/>
  <c r="GJ217" i="15" s="1"/>
  <c r="GG55" i="42"/>
  <c r="GE217" i="15"/>
  <c r="GE55" i="42"/>
  <c r="ES49" i="42" l="1"/>
  <c r="ES52" i="42" s="1"/>
  <c r="ES30" i="30"/>
  <c r="ES39" i="30" s="1"/>
  <c r="EV108" i="15"/>
  <c r="EV117" i="15" s="1"/>
  <c r="ES50" i="18"/>
  <c r="ES56" i="18" s="1"/>
  <c r="EN108" i="15"/>
  <c r="ES115" i="15"/>
  <c r="ES114" i="15"/>
  <c r="ES113" i="15"/>
  <c r="ET113" i="15"/>
  <c r="ET111" i="15"/>
  <c r="ES111" i="15"/>
  <c r="EX108" i="15"/>
  <c r="ES124" i="15" l="1"/>
  <c r="EN143" i="15"/>
  <c r="EX117" i="15"/>
  <c r="EX124" i="15"/>
  <c r="FA124" i="15" s="1"/>
  <c r="FA131" i="15" s="1"/>
  <c r="EN114" i="15"/>
  <c r="EN117" i="15"/>
  <c r="EY111" i="15"/>
  <c r="EY113" i="15"/>
  <c r="EN49" i="42"/>
  <c r="ES50" i="42" s="1"/>
  <c r="EV49" i="42"/>
  <c r="EV52" i="42" s="1"/>
  <c r="ES53" i="18"/>
  <c r="ES55" i="18"/>
  <c r="ES34" i="30"/>
  <c r="ES40" i="30"/>
  <c r="ES32" i="30"/>
  <c r="EN113" i="15"/>
  <c r="ES51" i="42"/>
  <c r="EN115" i="15"/>
  <c r="EX113" i="15"/>
  <c r="EN30" i="30"/>
  <c r="EN40" i="30" s="1"/>
  <c r="ES131" i="15"/>
  <c r="EX115" i="15"/>
  <c r="FA108" i="15"/>
  <c r="EQ108" i="15"/>
  <c r="FC108" i="15"/>
  <c r="FH108" i="15" s="1"/>
  <c r="FK108" i="15" s="1"/>
  <c r="EX112" i="15"/>
  <c r="EO111" i="15"/>
  <c r="ET55" i="18"/>
  <c r="EV115" i="15"/>
  <c r="ET34" i="30"/>
  <c r="EX30" i="30"/>
  <c r="EV50" i="18"/>
  <c r="EV30" i="30"/>
  <c r="ET51" i="42"/>
  <c r="EO113" i="15"/>
  <c r="ET53" i="18"/>
  <c r="ET32" i="30"/>
  <c r="EN37" i="30"/>
  <c r="EX50" i="18"/>
  <c r="EX49" i="42"/>
  <c r="EY51" i="42" s="1"/>
  <c r="EN50" i="18"/>
  <c r="ES54" i="18" s="1"/>
  <c r="EX111" i="15"/>
  <c r="EX114" i="15"/>
  <c r="ES36" i="30"/>
  <c r="ES112" i="15"/>
  <c r="EN111" i="15"/>
  <c r="EV114" i="15"/>
  <c r="FA49" i="42" l="1"/>
  <c r="FA112" i="15"/>
  <c r="FA114" i="15"/>
  <c r="FA30" i="30"/>
  <c r="FA40" i="30" s="1"/>
  <c r="FA117" i="15"/>
  <c r="FA115" i="15"/>
  <c r="FA52" i="42"/>
  <c r="FA50" i="42"/>
  <c r="EQ117" i="15"/>
  <c r="EQ143" i="15"/>
  <c r="EN145" i="15"/>
  <c r="EN147" i="15"/>
  <c r="EN149" i="15"/>
  <c r="EO145" i="15"/>
  <c r="EO147" i="15"/>
  <c r="EY34" i="30"/>
  <c r="EY32" i="30"/>
  <c r="EY53" i="18"/>
  <c r="EY55" i="18"/>
  <c r="EV112" i="15"/>
  <c r="ES126" i="15"/>
  <c r="FC124" i="15"/>
  <c r="EV124" i="15"/>
  <c r="EV131" i="15" s="1"/>
  <c r="EN33" i="30"/>
  <c r="EN31" i="30"/>
  <c r="EN32" i="30"/>
  <c r="EI37" i="30"/>
  <c r="ES33" i="30"/>
  <c r="EN39" i="30"/>
  <c r="EO34" i="30"/>
  <c r="EN36" i="30"/>
  <c r="EN34" i="30"/>
  <c r="EO32" i="30"/>
  <c r="EX52" i="42"/>
  <c r="EX51" i="42"/>
  <c r="EX50" i="42"/>
  <c r="EQ50" i="18"/>
  <c r="EV51" i="18" s="1"/>
  <c r="EQ123" i="15"/>
  <c r="EQ49" i="42"/>
  <c r="EV50" i="42" s="1"/>
  <c r="EQ112" i="15"/>
  <c r="EQ115" i="15"/>
  <c r="EQ129" i="15"/>
  <c r="EQ114" i="15"/>
  <c r="EQ30" i="30"/>
  <c r="EV33" i="30" s="1"/>
  <c r="EX51" i="18"/>
  <c r="EX54" i="18"/>
  <c r="EX56" i="18"/>
  <c r="EX55" i="18"/>
  <c r="EX53" i="18"/>
  <c r="FA50" i="18"/>
  <c r="FA109" i="15"/>
  <c r="EV56" i="18"/>
  <c r="EX32" i="30"/>
  <c r="EX34" i="30"/>
  <c r="EX39" i="30"/>
  <c r="EX33" i="30"/>
  <c r="ES37" i="30"/>
  <c r="EX36" i="30"/>
  <c r="EX40" i="30"/>
  <c r="EV36" i="30"/>
  <c r="EV40" i="30"/>
  <c r="EQ37" i="30"/>
  <c r="EV39" i="30"/>
  <c r="EN51" i="18"/>
  <c r="EO53" i="18"/>
  <c r="EN54" i="18"/>
  <c r="EN55" i="18"/>
  <c r="EN56" i="18"/>
  <c r="EO55" i="18"/>
  <c r="EN53" i="18"/>
  <c r="EX131" i="15"/>
  <c r="FC50" i="18"/>
  <c r="FD111" i="15"/>
  <c r="FC112" i="15"/>
  <c r="FC90" i="15"/>
  <c r="FD113" i="15"/>
  <c r="FC49" i="42"/>
  <c r="FC113" i="15"/>
  <c r="FC30" i="30"/>
  <c r="FF108" i="15"/>
  <c r="FK109" i="15" s="1"/>
  <c r="FC111" i="15"/>
  <c r="ES51" i="18"/>
  <c r="FH124" i="15" l="1"/>
  <c r="FA31" i="30"/>
  <c r="FA141" i="15"/>
  <c r="FA119" i="15"/>
  <c r="FA33" i="30"/>
  <c r="EQ148" i="15"/>
  <c r="EQ149" i="15"/>
  <c r="ES136" i="15"/>
  <c r="ES133" i="15"/>
  <c r="ET136" i="15"/>
  <c r="ES128" i="15"/>
  <c r="ES129" i="15"/>
  <c r="ES143" i="15"/>
  <c r="EX126" i="15"/>
  <c r="ES130" i="15"/>
  <c r="EV54" i="18"/>
  <c r="EV126" i="15"/>
  <c r="ES138" i="15"/>
  <c r="ES154" i="15" s="1"/>
  <c r="ET128" i="15"/>
  <c r="EX118" i="15"/>
  <c r="FF50" i="18"/>
  <c r="FF30" i="30"/>
  <c r="FF90" i="15"/>
  <c r="FF114" i="15" s="1"/>
  <c r="FF109" i="15"/>
  <c r="FF49" i="42"/>
  <c r="FF112" i="15"/>
  <c r="FA54" i="18"/>
  <c r="FA51" i="18"/>
  <c r="FC94" i="15"/>
  <c r="FD95" i="15"/>
  <c r="FC91" i="15"/>
  <c r="FC215" i="15"/>
  <c r="FC93" i="15"/>
  <c r="FC10" i="15"/>
  <c r="FC95" i="15"/>
  <c r="FD92" i="15"/>
  <c r="FD93" i="15"/>
  <c r="FC92" i="15"/>
  <c r="FC34" i="30"/>
  <c r="FD32" i="30"/>
  <c r="EX37" i="30"/>
  <c r="FC32" i="30"/>
  <c r="FC40" i="30"/>
  <c r="FC33" i="30"/>
  <c r="FC31" i="30"/>
  <c r="FD34" i="30"/>
  <c r="FF124" i="15"/>
  <c r="EQ31" i="30"/>
  <c r="EQ40" i="30"/>
  <c r="EQ33" i="30"/>
  <c r="EQ36" i="30"/>
  <c r="EL37" i="30"/>
  <c r="EQ39" i="30"/>
  <c r="FC114" i="15"/>
  <c r="FD51" i="42"/>
  <c r="FC50" i="42"/>
  <c r="FC51" i="42"/>
  <c r="FC53" i="18"/>
  <c r="FD53" i="18"/>
  <c r="FD55" i="18"/>
  <c r="FC10" i="18"/>
  <c r="FC54" i="18"/>
  <c r="FC55" i="18"/>
  <c r="FC51" i="18"/>
  <c r="FH49" i="42"/>
  <c r="FH90" i="15"/>
  <c r="FH114" i="15" s="1"/>
  <c r="FH111" i="15"/>
  <c r="FH113" i="15"/>
  <c r="FH50" i="18"/>
  <c r="FM108" i="15"/>
  <c r="FI113" i="15"/>
  <c r="FH30" i="30"/>
  <c r="FI111" i="15"/>
  <c r="FH112" i="15"/>
  <c r="EV37" i="30"/>
  <c r="EQ51" i="18"/>
  <c r="EQ56" i="18"/>
  <c r="EQ54" i="18"/>
  <c r="FK124" i="15" l="1"/>
  <c r="FA126" i="15"/>
  <c r="FC96" i="15"/>
  <c r="EV133" i="15"/>
  <c r="EV134" i="15" s="1"/>
  <c r="FC56" i="18"/>
  <c r="ES149" i="15"/>
  <c r="ES145" i="15"/>
  <c r="ES146" i="15"/>
  <c r="ES147" i="15"/>
  <c r="ES148" i="15"/>
  <c r="ES144" i="15"/>
  <c r="ET147" i="15"/>
  <c r="ET145" i="15"/>
  <c r="ES135" i="15"/>
  <c r="ET135" i="15"/>
  <c r="EX136" i="15"/>
  <c r="EX133" i="15"/>
  <c r="EY136" i="15"/>
  <c r="EV127" i="15"/>
  <c r="EV130" i="15"/>
  <c r="EY128" i="15"/>
  <c r="EX127" i="15"/>
  <c r="EX128" i="15"/>
  <c r="EX138" i="15"/>
  <c r="EX154" i="15" s="1"/>
  <c r="EX155" i="15" s="1"/>
  <c r="FC126" i="15"/>
  <c r="FH126" i="15" s="1"/>
  <c r="EX129" i="15"/>
  <c r="EX143" i="15"/>
  <c r="EV129" i="15"/>
  <c r="EV143" i="15"/>
  <c r="EX130" i="15"/>
  <c r="FN111" i="15"/>
  <c r="FM90" i="15"/>
  <c r="FM114" i="15" s="1"/>
  <c r="FM111" i="15"/>
  <c r="FR108" i="15"/>
  <c r="FP108" i="15"/>
  <c r="FM50" i="18"/>
  <c r="FN113" i="15"/>
  <c r="FM113" i="15"/>
  <c r="FM112" i="15"/>
  <c r="FM30" i="30"/>
  <c r="FM49" i="42"/>
  <c r="FC103" i="18"/>
  <c r="FC126" i="18"/>
  <c r="FC68" i="18"/>
  <c r="FC17" i="2"/>
  <c r="FC114" i="18"/>
  <c r="FC11" i="18"/>
  <c r="FC13" i="18"/>
  <c r="FC14" i="18"/>
  <c r="FC14" i="42"/>
  <c r="FC15" i="18"/>
  <c r="FF119" i="15"/>
  <c r="FI55" i="18"/>
  <c r="FH54" i="18"/>
  <c r="FI53" i="18"/>
  <c r="FH51" i="18"/>
  <c r="FH55" i="18"/>
  <c r="FH10" i="18"/>
  <c r="FH56" i="18" s="1"/>
  <c r="FH53" i="18"/>
  <c r="FK112" i="15"/>
  <c r="FK141" i="15"/>
  <c r="FK49" i="42"/>
  <c r="FK50" i="18"/>
  <c r="FK30" i="30"/>
  <c r="FK90" i="15"/>
  <c r="FF94" i="15"/>
  <c r="FF91" i="15"/>
  <c r="FF215" i="15"/>
  <c r="FH34" i="30"/>
  <c r="FH33" i="30"/>
  <c r="FH32" i="30"/>
  <c r="FI32" i="30"/>
  <c r="FH31" i="30"/>
  <c r="FI34" i="30"/>
  <c r="FH91" i="15"/>
  <c r="FH92" i="15"/>
  <c r="FI93" i="15"/>
  <c r="FI95" i="15"/>
  <c r="FH93" i="15"/>
  <c r="FH215" i="15"/>
  <c r="FH10" i="15"/>
  <c r="FH96" i="15" s="1"/>
  <c r="FH95" i="15"/>
  <c r="FI92" i="15"/>
  <c r="FH94" i="15"/>
  <c r="FC13" i="2"/>
  <c r="FD15" i="15"/>
  <c r="FC15" i="15"/>
  <c r="FC44" i="42"/>
  <c r="FD13" i="15"/>
  <c r="FC11" i="15"/>
  <c r="FC24" i="3"/>
  <c r="FF10" i="15"/>
  <c r="FC13" i="15"/>
  <c r="FC230" i="15"/>
  <c r="FC23" i="15"/>
  <c r="FC14" i="15"/>
  <c r="FC115" i="15"/>
  <c r="FF33" i="30"/>
  <c r="FF31" i="30"/>
  <c r="FH51" i="42"/>
  <c r="FI51" i="42"/>
  <c r="FH50" i="42"/>
  <c r="FF50" i="42"/>
  <c r="FF51" i="18"/>
  <c r="FF54" i="18"/>
  <c r="FF96" i="15" l="1"/>
  <c r="FH128" i="15"/>
  <c r="FH129" i="15"/>
  <c r="FH138" i="15"/>
  <c r="FH127" i="15"/>
  <c r="FH136" i="15"/>
  <c r="FI128" i="15"/>
  <c r="FI136" i="15"/>
  <c r="FH133" i="15"/>
  <c r="FK126" i="15"/>
  <c r="FH143" i="15"/>
  <c r="FA127" i="15"/>
  <c r="FA133" i="15"/>
  <c r="FA134" i="15" s="1"/>
  <c r="FA130" i="15"/>
  <c r="FA129" i="15"/>
  <c r="FA143" i="15"/>
  <c r="EX22" i="2"/>
  <c r="EZ22" i="2"/>
  <c r="EZ60" i="2" s="1"/>
  <c r="EV148" i="15"/>
  <c r="EV144" i="15"/>
  <c r="EV149" i="15"/>
  <c r="EV146" i="15"/>
  <c r="EX134" i="15"/>
  <c r="EX135" i="15"/>
  <c r="EY135" i="15"/>
  <c r="FC143" i="15"/>
  <c r="FC147" i="15" s="1"/>
  <c r="FC133" i="15"/>
  <c r="FC136" i="15"/>
  <c r="FD136" i="15"/>
  <c r="EY147" i="15"/>
  <c r="EY145" i="15"/>
  <c r="EX148" i="15"/>
  <c r="FC129" i="15"/>
  <c r="FF126" i="15"/>
  <c r="FC138" i="15"/>
  <c r="FC128" i="15"/>
  <c r="FC127" i="15"/>
  <c r="EX147" i="15"/>
  <c r="EX146" i="15"/>
  <c r="FD128" i="15"/>
  <c r="EX145" i="15"/>
  <c r="EX144" i="15"/>
  <c r="EX149" i="15"/>
  <c r="FC15" i="2"/>
  <c r="FB22" i="2"/>
  <c r="FC10" i="42"/>
  <c r="FC17" i="42" s="1"/>
  <c r="FC45" i="42"/>
  <c r="FD46" i="42"/>
  <c r="FC62" i="42"/>
  <c r="FC46" i="42"/>
  <c r="FC57" i="42"/>
  <c r="FC52" i="42"/>
  <c r="FK31" i="30"/>
  <c r="FK33" i="30"/>
  <c r="FF13" i="2"/>
  <c r="FA22" i="2" s="1"/>
  <c r="FA60" i="2" s="1"/>
  <c r="FF11" i="15"/>
  <c r="FF14" i="15"/>
  <c r="FF44" i="42"/>
  <c r="FF230" i="15"/>
  <c r="FF115" i="15"/>
  <c r="FK51" i="18"/>
  <c r="FK54" i="18"/>
  <c r="FH14" i="42"/>
  <c r="FH17" i="2"/>
  <c r="FH114" i="18"/>
  <c r="FH13" i="18"/>
  <c r="FH11" i="18"/>
  <c r="FH126" i="18"/>
  <c r="FH14" i="18"/>
  <c r="FH15" i="18"/>
  <c r="FH68" i="18"/>
  <c r="FH103" i="18"/>
  <c r="FM10" i="15"/>
  <c r="FM96" i="15" s="1"/>
  <c r="FM92" i="15"/>
  <c r="FM94" i="15"/>
  <c r="FM93" i="15"/>
  <c r="FM215" i="15"/>
  <c r="FN93" i="15"/>
  <c r="FN95" i="15"/>
  <c r="FM95" i="15"/>
  <c r="FN92" i="15"/>
  <c r="FM91" i="15"/>
  <c r="FC90" i="3"/>
  <c r="FC10" i="7"/>
  <c r="FC97" i="3"/>
  <c r="FC83" i="3"/>
  <c r="FC29" i="3"/>
  <c r="FC28" i="3"/>
  <c r="FC56" i="5"/>
  <c r="FC12" i="5" s="1"/>
  <c r="FC16" i="14"/>
  <c r="FC76" i="3"/>
  <c r="FC131" i="15"/>
  <c r="FC16" i="17"/>
  <c r="FC25" i="3"/>
  <c r="FC27" i="3"/>
  <c r="FK10" i="15"/>
  <c r="FK96" i="15" s="1"/>
  <c r="FH13" i="2"/>
  <c r="FH44" i="42"/>
  <c r="FH23" i="15"/>
  <c r="FI15" i="15"/>
  <c r="FH14" i="15"/>
  <c r="FH11" i="15"/>
  <c r="FH15" i="15"/>
  <c r="FH230" i="15"/>
  <c r="FH13" i="15"/>
  <c r="FI13" i="15"/>
  <c r="FH115" i="15"/>
  <c r="FC130" i="15"/>
  <c r="FK50" i="42"/>
  <c r="FC16" i="18"/>
  <c r="FN51" i="42"/>
  <c r="FM50" i="42"/>
  <c r="FM51" i="42"/>
  <c r="FM10" i="18"/>
  <c r="FM56" i="18" s="1"/>
  <c r="FM55" i="18"/>
  <c r="FM53" i="18"/>
  <c r="FM51" i="18"/>
  <c r="FN53" i="18"/>
  <c r="FN55" i="18"/>
  <c r="FM54" i="18"/>
  <c r="FC16" i="42"/>
  <c r="FC15" i="42"/>
  <c r="FM31" i="30"/>
  <c r="FN32" i="30"/>
  <c r="FM32" i="30"/>
  <c r="FN34" i="30"/>
  <c r="FM34" i="30"/>
  <c r="FM33" i="30"/>
  <c r="FF141" i="15"/>
  <c r="FK119" i="15"/>
  <c r="FF23" i="15"/>
  <c r="FC56" i="3"/>
  <c r="FC24" i="15"/>
  <c r="FC26" i="15"/>
  <c r="FD26" i="15"/>
  <c r="FC27" i="15"/>
  <c r="FP90" i="15"/>
  <c r="FP50" i="18"/>
  <c r="FP49" i="42"/>
  <c r="FP30" i="30"/>
  <c r="FP109" i="15"/>
  <c r="FP112" i="15"/>
  <c r="FC16" i="15"/>
  <c r="FK91" i="15"/>
  <c r="FK215" i="15"/>
  <c r="FK94" i="15"/>
  <c r="FK114" i="15"/>
  <c r="FW108" i="15"/>
  <c r="FR90" i="15"/>
  <c r="FR114" i="15" s="1"/>
  <c r="FR30" i="30"/>
  <c r="FU108" i="15"/>
  <c r="FR111" i="15"/>
  <c r="FR113" i="15"/>
  <c r="FS111" i="15"/>
  <c r="FR49" i="42"/>
  <c r="FR50" i="18"/>
  <c r="FR112" i="15"/>
  <c r="FS113" i="15"/>
  <c r="FH144" i="15" l="1"/>
  <c r="FH145" i="15"/>
  <c r="FH146" i="15"/>
  <c r="FI145" i="15"/>
  <c r="FH148" i="15"/>
  <c r="FI147" i="15"/>
  <c r="FH147" i="15"/>
  <c r="FK129" i="15"/>
  <c r="FK143" i="15"/>
  <c r="FH134" i="15"/>
  <c r="FH135" i="15"/>
  <c r="FI135" i="15"/>
  <c r="FK133" i="15"/>
  <c r="FK127" i="15"/>
  <c r="FA144" i="15"/>
  <c r="FA149" i="15"/>
  <c r="FA146" i="15"/>
  <c r="FA148" i="15"/>
  <c r="FC134" i="15"/>
  <c r="FC135" i="15"/>
  <c r="FD135" i="15"/>
  <c r="FD145" i="15"/>
  <c r="FC145" i="15"/>
  <c r="FC148" i="15"/>
  <c r="FC149" i="15"/>
  <c r="FC146" i="15"/>
  <c r="FD147" i="15"/>
  <c r="FF129" i="15"/>
  <c r="FF133" i="15"/>
  <c r="FF134" i="15" s="1"/>
  <c r="FC144" i="15"/>
  <c r="EX24" i="2"/>
  <c r="FF143" i="15"/>
  <c r="FF127" i="15"/>
  <c r="FC18" i="2"/>
  <c r="FP33" i="30"/>
  <c r="FP31" i="30"/>
  <c r="FP50" i="42"/>
  <c r="FF28" i="15"/>
  <c r="FF56" i="3"/>
  <c r="FR10" i="18"/>
  <c r="FR56" i="18" s="1"/>
  <c r="FR53" i="18"/>
  <c r="FS53" i="18"/>
  <c r="FR51" i="18"/>
  <c r="FS55" i="18"/>
  <c r="FR55" i="18"/>
  <c r="FR54" i="18"/>
  <c r="FP94" i="15"/>
  <c r="FP215" i="15"/>
  <c r="FP91" i="15"/>
  <c r="FH26" i="15"/>
  <c r="FH56" i="3"/>
  <c r="FK23" i="15"/>
  <c r="FI26" i="15"/>
  <c r="FH27" i="15"/>
  <c r="FH24" i="15"/>
  <c r="FC39" i="5"/>
  <c r="FC35" i="5"/>
  <c r="FC108" i="5"/>
  <c r="FC24" i="5"/>
  <c r="FC32" i="5"/>
  <c r="FC15" i="5"/>
  <c r="FC150" i="5"/>
  <c r="FC114" i="5"/>
  <c r="FC43" i="5"/>
  <c r="FC49" i="7"/>
  <c r="FC44" i="7"/>
  <c r="FC54" i="7"/>
  <c r="FC21" i="7"/>
  <c r="FC29" i="7"/>
  <c r="FC36" i="7"/>
  <c r="FC12" i="7"/>
  <c r="FC11" i="7"/>
  <c r="FC35" i="2"/>
  <c r="FP119" i="15"/>
  <c r="FH46" i="42"/>
  <c r="FH45" i="42"/>
  <c r="FH57" i="42"/>
  <c r="FH62" i="42"/>
  <c r="FI46" i="42"/>
  <c r="FH52" i="42"/>
  <c r="FC93" i="3"/>
  <c r="FC94" i="3"/>
  <c r="FC91" i="3"/>
  <c r="FC92" i="3"/>
  <c r="FC22" i="42"/>
  <c r="FC11" i="42"/>
  <c r="FC67" i="42"/>
  <c r="FC12" i="42"/>
  <c r="EX57" i="2"/>
  <c r="EX60" i="2"/>
  <c r="EX59" i="2"/>
  <c r="EX58" i="2"/>
  <c r="EX61" i="2"/>
  <c r="FR51" i="42"/>
  <c r="FR50" i="42"/>
  <c r="FS51" i="42"/>
  <c r="FU30" i="30"/>
  <c r="FU49" i="42"/>
  <c r="FU109" i="15"/>
  <c r="FU119" i="15" s="1"/>
  <c r="FU90" i="15"/>
  <c r="FU114" i="15" s="1"/>
  <c r="FU112" i="15"/>
  <c r="FU50" i="18"/>
  <c r="FS32" i="30"/>
  <c r="FS34" i="30"/>
  <c r="FR32" i="30"/>
  <c r="FR33" i="30"/>
  <c r="FR31" i="30"/>
  <c r="FR34" i="30"/>
  <c r="FC66" i="3"/>
  <c r="FC58" i="3"/>
  <c r="FC57" i="3"/>
  <c r="FD58" i="3"/>
  <c r="FM11" i="18"/>
  <c r="FM14" i="42"/>
  <c r="FM17" i="2"/>
  <c r="FM68" i="18"/>
  <c r="FM15" i="18"/>
  <c r="FM126" i="18"/>
  <c r="FM114" i="18"/>
  <c r="FM103" i="18"/>
  <c r="FM13" i="18"/>
  <c r="FM14" i="18"/>
  <c r="FG22" i="2"/>
  <c r="FC22" i="2"/>
  <c r="FD22" i="2"/>
  <c r="FE22" i="2"/>
  <c r="FC77" i="3"/>
  <c r="FC112" i="3"/>
  <c r="FC79" i="3"/>
  <c r="FC78" i="3"/>
  <c r="FC80" i="3"/>
  <c r="FM230" i="15"/>
  <c r="FM44" i="42"/>
  <c r="FN15" i="15"/>
  <c r="FM11" i="15"/>
  <c r="FM13" i="15"/>
  <c r="FM13" i="2"/>
  <c r="FP10" i="15"/>
  <c r="FP96" i="15" s="1"/>
  <c r="FN13" i="15"/>
  <c r="FM23" i="15"/>
  <c r="FM15" i="15"/>
  <c r="FM14" i="15"/>
  <c r="FM115" i="15"/>
  <c r="FF45" i="42"/>
  <c r="FF62" i="42"/>
  <c r="FF57" i="42"/>
  <c r="FF52" i="42"/>
  <c r="FP54" i="18"/>
  <c r="FP51" i="18"/>
  <c r="FK44" i="42"/>
  <c r="FK14" i="15"/>
  <c r="FK11" i="15"/>
  <c r="FK13" i="2"/>
  <c r="FK230" i="15"/>
  <c r="FK115" i="15"/>
  <c r="FC85" i="3"/>
  <c r="FC84" i="3"/>
  <c r="FC86" i="3"/>
  <c r="FC87" i="3"/>
  <c r="FS95" i="15"/>
  <c r="FS92" i="15"/>
  <c r="FR91" i="15"/>
  <c r="FR215" i="15"/>
  <c r="FR92" i="15"/>
  <c r="FR10" i="15"/>
  <c r="FR94" i="15"/>
  <c r="FR93" i="15"/>
  <c r="FR95" i="15"/>
  <c r="FS93" i="15"/>
  <c r="FW50" i="18"/>
  <c r="FX111" i="15"/>
  <c r="FZ108" i="15"/>
  <c r="GB108" i="15"/>
  <c r="GG108" i="15" s="1"/>
  <c r="FW112" i="15"/>
  <c r="FW30" i="30"/>
  <c r="FW90" i="15"/>
  <c r="FW114" i="15" s="1"/>
  <c r="FX113" i="15"/>
  <c r="FW49" i="42"/>
  <c r="FW111" i="15"/>
  <c r="FW113" i="15"/>
  <c r="FH15" i="42"/>
  <c r="FH16" i="42"/>
  <c r="FP114" i="15"/>
  <c r="FC99" i="3"/>
  <c r="FC98" i="3"/>
  <c r="FC47" i="42"/>
  <c r="FK148" i="15" l="1"/>
  <c r="FF148" i="15"/>
  <c r="FK144" i="15"/>
  <c r="FK146" i="15"/>
  <c r="FK134" i="15"/>
  <c r="GG113" i="15"/>
  <c r="GG50" i="18"/>
  <c r="GG30" i="30"/>
  <c r="GG49" i="42"/>
  <c r="GG90" i="15"/>
  <c r="GG111" i="15"/>
  <c r="GG112" i="15"/>
  <c r="GH111" i="15"/>
  <c r="GH113" i="15"/>
  <c r="GJ108" i="15"/>
  <c r="FF144" i="15"/>
  <c r="FF146" i="15"/>
  <c r="FC122" i="5"/>
  <c r="FC120" i="5" s="1"/>
  <c r="FM56" i="3"/>
  <c r="FM26" i="15"/>
  <c r="FM24" i="15"/>
  <c r="FM27" i="15"/>
  <c r="FN26" i="15"/>
  <c r="FP23" i="15"/>
  <c r="FU50" i="42"/>
  <c r="FC30" i="6"/>
  <c r="FC25" i="6"/>
  <c r="FR14" i="42"/>
  <c r="FR13" i="18"/>
  <c r="FR15" i="18"/>
  <c r="FR68" i="18"/>
  <c r="FR114" i="18"/>
  <c r="FR14" i="18"/>
  <c r="FR126" i="18"/>
  <c r="FR17" i="2"/>
  <c r="FR103" i="18"/>
  <c r="FR11" i="18"/>
  <c r="FU31" i="30"/>
  <c r="FU33" i="30"/>
  <c r="FC56" i="7"/>
  <c r="FC55" i="7"/>
  <c r="FC17" i="30"/>
  <c r="FC84" i="6"/>
  <c r="FC116" i="5"/>
  <c r="FC119" i="5"/>
  <c r="FC118" i="5"/>
  <c r="FC117" i="5"/>
  <c r="FC138" i="5"/>
  <c r="FC10" i="30"/>
  <c r="FC112" i="5"/>
  <c r="FC49" i="6"/>
  <c r="FC110" i="5"/>
  <c r="FC111" i="5"/>
  <c r="FF57" i="3"/>
  <c r="FW33" i="30"/>
  <c r="FW31" i="30"/>
  <c r="FX34" i="30"/>
  <c r="FW34" i="30"/>
  <c r="FW32" i="30"/>
  <c r="FX32" i="30"/>
  <c r="FC45" i="7"/>
  <c r="FC46" i="7"/>
  <c r="FC14" i="6"/>
  <c r="FC152" i="5"/>
  <c r="FC29" i="6"/>
  <c r="FK28" i="15"/>
  <c r="FK56" i="3"/>
  <c r="FK24" i="15"/>
  <c r="FK27" i="15"/>
  <c r="FK57" i="42"/>
  <c r="FK45" i="42"/>
  <c r="FK62" i="42"/>
  <c r="FK52" i="42"/>
  <c r="FW50" i="42"/>
  <c r="FW51" i="42"/>
  <c r="FX51" i="42"/>
  <c r="GB90" i="15"/>
  <c r="GB114" i="15" s="1"/>
  <c r="GE108" i="15"/>
  <c r="GB113" i="15"/>
  <c r="GB30" i="30"/>
  <c r="GB111" i="15"/>
  <c r="GB50" i="18"/>
  <c r="GB49" i="42"/>
  <c r="GC111" i="15"/>
  <c r="GB112" i="15"/>
  <c r="GC113" i="15"/>
  <c r="FF22" i="2"/>
  <c r="FP13" i="2"/>
  <c r="FP230" i="15"/>
  <c r="FP11" i="15"/>
  <c r="FP14" i="15"/>
  <c r="FP44" i="42"/>
  <c r="FP115" i="15"/>
  <c r="FM46" i="42"/>
  <c r="FM57" i="42"/>
  <c r="FM62" i="42"/>
  <c r="FM45" i="42"/>
  <c r="FN46" i="42"/>
  <c r="FM52" i="42"/>
  <c r="FU54" i="18"/>
  <c r="FU51" i="18"/>
  <c r="FZ49" i="42"/>
  <c r="FZ30" i="30"/>
  <c r="FZ50" i="18"/>
  <c r="FZ109" i="15"/>
  <c r="FZ119" i="15" s="1"/>
  <c r="FZ90" i="15"/>
  <c r="FZ114" i="15" s="1"/>
  <c r="FZ112" i="15"/>
  <c r="FJ22" i="2"/>
  <c r="FI22" i="2"/>
  <c r="FL22" i="2"/>
  <c r="FH22" i="2"/>
  <c r="FM15" i="42"/>
  <c r="FM16" i="42"/>
  <c r="FC24" i="6"/>
  <c r="FI58" i="3"/>
  <c r="FH58" i="3"/>
  <c r="FH57" i="3"/>
  <c r="FF59" i="3"/>
  <c r="FW10" i="18"/>
  <c r="FW55" i="18"/>
  <c r="FW54" i="18"/>
  <c r="FX55" i="18"/>
  <c r="FW51" i="18"/>
  <c r="FX53" i="18"/>
  <c r="FW53" i="18"/>
  <c r="FX92" i="15"/>
  <c r="FW215" i="15"/>
  <c r="FW94" i="15"/>
  <c r="FX93" i="15"/>
  <c r="FW91" i="15"/>
  <c r="FW92" i="15"/>
  <c r="FX95" i="15"/>
  <c r="FW93" i="15"/>
  <c r="FW10" i="15"/>
  <c r="FW95" i="15"/>
  <c r="FR15" i="15"/>
  <c r="FR44" i="42"/>
  <c r="FR14" i="15"/>
  <c r="FR230" i="15"/>
  <c r="FS13" i="15"/>
  <c r="FS15" i="15"/>
  <c r="FR13" i="2"/>
  <c r="FU10" i="15"/>
  <c r="FU96" i="15" s="1"/>
  <c r="FR23" i="15"/>
  <c r="FR13" i="15"/>
  <c r="FR11" i="15"/>
  <c r="FR115" i="15"/>
  <c r="FR96" i="15"/>
  <c r="FC113" i="3"/>
  <c r="FC114" i="3"/>
  <c r="FC116" i="3"/>
  <c r="FC115" i="3"/>
  <c r="FU215" i="15"/>
  <c r="FU91" i="15"/>
  <c r="FU94" i="15"/>
  <c r="FC50" i="7"/>
  <c r="FC51" i="7"/>
  <c r="FC28" i="6"/>
  <c r="FC89" i="5"/>
  <c r="FC91" i="5"/>
  <c r="FC68" i="3"/>
  <c r="FC118" i="3"/>
  <c r="FC67" i="3"/>
  <c r="FC71" i="3"/>
  <c r="FC70" i="3"/>
  <c r="FC69" i="3"/>
  <c r="FC45" i="3"/>
  <c r="FC123" i="5" l="1"/>
  <c r="GG50" i="42"/>
  <c r="GJ49" i="42"/>
  <c r="GJ90" i="15"/>
  <c r="GJ114" i="15" s="1"/>
  <c r="GJ30" i="30"/>
  <c r="GJ50" i="18"/>
  <c r="GG215" i="15"/>
  <c r="GG94" i="15"/>
  <c r="GG10" i="15"/>
  <c r="GG93" i="15"/>
  <c r="GG95" i="15"/>
  <c r="GG91" i="15"/>
  <c r="GG92" i="15"/>
  <c r="GH95" i="15"/>
  <c r="GH92" i="15"/>
  <c r="GH93" i="15"/>
  <c r="GG51" i="42"/>
  <c r="GH51" i="42"/>
  <c r="GG34" i="30"/>
  <c r="GG32" i="30"/>
  <c r="GH34" i="30"/>
  <c r="GH32" i="30"/>
  <c r="GG114" i="15"/>
  <c r="GG55" i="18"/>
  <c r="GG53" i="18"/>
  <c r="GG54" i="18"/>
  <c r="GG51" i="18"/>
  <c r="GH55" i="18"/>
  <c r="GH53" i="18"/>
  <c r="GG10" i="18"/>
  <c r="GG56" i="18" s="1"/>
  <c r="GJ112" i="15"/>
  <c r="GJ109" i="15"/>
  <c r="GG31" i="30"/>
  <c r="GG33" i="30"/>
  <c r="FC230" i="3"/>
  <c r="FC120" i="3"/>
  <c r="FC123" i="3"/>
  <c r="FC119" i="3"/>
  <c r="FC122" i="3"/>
  <c r="FC121" i="3"/>
  <c r="GB10" i="15"/>
  <c r="GB96" i="15" s="1"/>
  <c r="GB94" i="15"/>
  <c r="GB92" i="15"/>
  <c r="GB91" i="15"/>
  <c r="GC93" i="15"/>
  <c r="GB95" i="15"/>
  <c r="GB215" i="15"/>
  <c r="GC95" i="15"/>
  <c r="GB93" i="15"/>
  <c r="GC92" i="15"/>
  <c r="FC20" i="8"/>
  <c r="FR15" i="42"/>
  <c r="FR16" i="42"/>
  <c r="FC98" i="5"/>
  <c r="FW13" i="2"/>
  <c r="FW23" i="15"/>
  <c r="FZ10" i="15"/>
  <c r="FZ96" i="15" s="1"/>
  <c r="FX13" i="15"/>
  <c r="FX15" i="15"/>
  <c r="FW14" i="15"/>
  <c r="FW15" i="15"/>
  <c r="FW44" i="42"/>
  <c r="FW230" i="15"/>
  <c r="FW13" i="15"/>
  <c r="FW11" i="15"/>
  <c r="FW115" i="15"/>
  <c r="FR56" i="3"/>
  <c r="FU23" i="15"/>
  <c r="FS26" i="15"/>
  <c r="FR26" i="15"/>
  <c r="FR27" i="15"/>
  <c r="FR24" i="15"/>
  <c r="FW17" i="2"/>
  <c r="FW14" i="42"/>
  <c r="FW103" i="18"/>
  <c r="FW68" i="18"/>
  <c r="FW13" i="18"/>
  <c r="FW11" i="18"/>
  <c r="FW15" i="18"/>
  <c r="FW114" i="18"/>
  <c r="FW126" i="18"/>
  <c r="FW14" i="18"/>
  <c r="GB10" i="18"/>
  <c r="GC53" i="18"/>
  <c r="GB51" i="18"/>
  <c r="GB53" i="18"/>
  <c r="GC55" i="18"/>
  <c r="GB54" i="18"/>
  <c r="GB55" i="18"/>
  <c r="FK57" i="3"/>
  <c r="FC85" i="6"/>
  <c r="FC86" i="6"/>
  <c r="FC87" i="6"/>
  <c r="FC88" i="6"/>
  <c r="FC76" i="5"/>
  <c r="FZ50" i="42"/>
  <c r="FU44" i="42"/>
  <c r="FU13" i="2"/>
  <c r="FU11" i="15"/>
  <c r="FU14" i="15"/>
  <c r="FU230" i="15"/>
  <c r="FU115" i="15"/>
  <c r="FW96" i="15"/>
  <c r="FW56" i="18"/>
  <c r="FZ91" i="15"/>
  <c r="FZ215" i="15"/>
  <c r="FZ94" i="15"/>
  <c r="FK29" i="15"/>
  <c r="FK59" i="3"/>
  <c r="FC56" i="6"/>
  <c r="FC68" i="6"/>
  <c r="FC24" i="30"/>
  <c r="FC15" i="30" s="1"/>
  <c r="FC20" i="30"/>
  <c r="FC21" i="30"/>
  <c r="FC19" i="30"/>
  <c r="FC18" i="30"/>
  <c r="FM58" i="3"/>
  <c r="FM57" i="3"/>
  <c r="FN58" i="3"/>
  <c r="FC88" i="5"/>
  <c r="FO22" i="2"/>
  <c r="FQ22" i="2"/>
  <c r="FM22" i="2"/>
  <c r="FN22" i="2"/>
  <c r="FR57" i="42"/>
  <c r="FR45" i="42"/>
  <c r="FS46" i="42"/>
  <c r="FR46" i="42"/>
  <c r="FR62" i="42"/>
  <c r="FR52" i="42"/>
  <c r="GB31" i="30"/>
  <c r="GB33" i="30"/>
  <c r="GC34" i="30"/>
  <c r="GB32" i="30"/>
  <c r="GC32" i="30"/>
  <c r="GB34" i="30"/>
  <c r="FC95" i="5"/>
  <c r="FC79" i="5"/>
  <c r="FP56" i="3"/>
  <c r="FP28" i="15"/>
  <c r="FP27" i="15"/>
  <c r="FP24" i="15"/>
  <c r="FZ51" i="18"/>
  <c r="FZ54" i="18"/>
  <c r="FP62" i="42"/>
  <c r="FP45" i="42"/>
  <c r="FP57" i="42"/>
  <c r="FP52" i="42"/>
  <c r="FK22" i="2"/>
  <c r="FC13" i="30"/>
  <c r="FC12" i="30"/>
  <c r="FC36" i="30"/>
  <c r="FC14" i="30"/>
  <c r="FC11" i="30"/>
  <c r="FC37" i="30"/>
  <c r="FC57" i="5"/>
  <c r="FC13" i="5" s="1"/>
  <c r="FC46" i="3"/>
  <c r="FC47" i="3"/>
  <c r="FC49" i="3"/>
  <c r="FC48" i="3"/>
  <c r="FZ31" i="30"/>
  <c r="FZ33" i="30"/>
  <c r="GB51" i="42"/>
  <c r="GB50" i="42"/>
  <c r="GC51" i="42"/>
  <c r="GE50" i="18"/>
  <c r="GE49" i="42"/>
  <c r="GE30" i="30"/>
  <c r="GE90" i="15"/>
  <c r="GE112" i="15"/>
  <c r="GE109" i="15"/>
  <c r="GJ50" i="42" l="1"/>
  <c r="GG14" i="15"/>
  <c r="GG23" i="15"/>
  <c r="GG13" i="2"/>
  <c r="GG15" i="2" s="1"/>
  <c r="GG35" i="2" s="1"/>
  <c r="GG44" i="42"/>
  <c r="GG15" i="15"/>
  <c r="GG13" i="15"/>
  <c r="GG11" i="15"/>
  <c r="GG230" i="15"/>
  <c r="GH13" i="15"/>
  <c r="GH15" i="15"/>
  <c r="GG24" i="3"/>
  <c r="GG16" i="15" s="1"/>
  <c r="GJ10" i="15"/>
  <c r="GJ96" i="15" s="1"/>
  <c r="GG115" i="15"/>
  <c r="GG126" i="18"/>
  <c r="GG17" i="2"/>
  <c r="GH13" i="18"/>
  <c r="GG13" i="18"/>
  <c r="GH15" i="18"/>
  <c r="GG15" i="18"/>
  <c r="GG68" i="18"/>
  <c r="GG103" i="18"/>
  <c r="GG14" i="42"/>
  <c r="GG114" i="18"/>
  <c r="GJ215" i="15"/>
  <c r="GG96" i="15"/>
  <c r="GJ54" i="18"/>
  <c r="GJ51" i="18"/>
  <c r="GB56" i="18"/>
  <c r="GG14" i="18"/>
  <c r="GG11" i="18"/>
  <c r="FC22" i="30"/>
  <c r="GJ33" i="30"/>
  <c r="GJ31" i="30"/>
  <c r="GE119" i="15"/>
  <c r="GJ119" i="15"/>
  <c r="GE114" i="15"/>
  <c r="GJ94" i="15"/>
  <c r="GJ91" i="15"/>
  <c r="FC78" i="6"/>
  <c r="FC81" i="6" s="1"/>
  <c r="FC124" i="3"/>
  <c r="FC28" i="5"/>
  <c r="FC26" i="6" s="1"/>
  <c r="FC27" i="30"/>
  <c r="FC26" i="30"/>
  <c r="FC25" i="30"/>
  <c r="FH40" i="30"/>
  <c r="FC28" i="30"/>
  <c r="FC39" i="30"/>
  <c r="FU56" i="3"/>
  <c r="FU28" i="15"/>
  <c r="FU24" i="15"/>
  <c r="FU27" i="15"/>
  <c r="FW46" i="42"/>
  <c r="FW62" i="42"/>
  <c r="FX46" i="42"/>
  <c r="FW45" i="42"/>
  <c r="FW57" i="42"/>
  <c r="FW52" i="42"/>
  <c r="FZ23" i="15"/>
  <c r="FW27" i="15"/>
  <c r="FX26" i="15"/>
  <c r="FW24" i="15"/>
  <c r="FW26" i="15"/>
  <c r="FW56" i="3"/>
  <c r="FR57" i="3"/>
  <c r="FS58" i="3"/>
  <c r="FR58" i="3"/>
  <c r="GB13" i="2"/>
  <c r="GB11" i="15"/>
  <c r="GB13" i="15"/>
  <c r="GC15" i="15"/>
  <c r="GB14" i="15"/>
  <c r="GB230" i="15"/>
  <c r="GB44" i="42"/>
  <c r="GC13" i="15"/>
  <c r="GE10" i="15"/>
  <c r="GB23" i="15"/>
  <c r="GB15" i="15"/>
  <c r="GB115" i="15"/>
  <c r="GE31" i="30"/>
  <c r="GE33" i="30"/>
  <c r="FP57" i="3"/>
  <c r="FR22" i="2"/>
  <c r="FT22" i="2"/>
  <c r="FS22" i="2"/>
  <c r="FV22" i="2"/>
  <c r="GE50" i="42"/>
  <c r="FP59" i="3"/>
  <c r="FP29" i="15"/>
  <c r="GE51" i="18"/>
  <c r="GE54" i="18"/>
  <c r="FC70" i="6"/>
  <c r="FC69" i="6"/>
  <c r="FP22" i="2"/>
  <c r="GB17" i="2"/>
  <c r="GB14" i="42"/>
  <c r="GG15" i="42" s="1"/>
  <c r="GB13" i="18"/>
  <c r="GB68" i="18"/>
  <c r="GB103" i="18"/>
  <c r="GB11" i="18"/>
  <c r="GB126" i="18"/>
  <c r="GB114" i="18"/>
  <c r="GB14" i="18"/>
  <c r="GB15" i="18"/>
  <c r="FW15" i="42"/>
  <c r="FW16" i="42"/>
  <c r="GE91" i="15"/>
  <c r="GE215" i="15"/>
  <c r="GE94" i="15"/>
  <c r="FU45" i="42"/>
  <c r="FU62" i="42"/>
  <c r="FU57" i="42"/>
  <c r="FU52" i="42"/>
  <c r="FZ13" i="2"/>
  <c r="FZ44" i="42"/>
  <c r="FZ230" i="15"/>
  <c r="FZ14" i="15"/>
  <c r="FZ11" i="15"/>
  <c r="FZ115" i="15"/>
  <c r="GG18" i="2" l="1"/>
  <c r="GG45" i="42"/>
  <c r="FC80" i="6"/>
  <c r="FC82" i="6"/>
  <c r="GH16" i="42"/>
  <c r="GG16" i="42"/>
  <c r="GG16" i="14"/>
  <c r="GG56" i="5"/>
  <c r="GH29" i="3"/>
  <c r="GG29" i="3"/>
  <c r="GH27" i="3"/>
  <c r="GG97" i="3"/>
  <c r="GG27" i="3"/>
  <c r="GG90" i="3"/>
  <c r="GG76" i="3"/>
  <c r="GG16" i="17"/>
  <c r="GG83" i="3"/>
  <c r="GG46" i="42"/>
  <c r="GG62" i="42"/>
  <c r="GH46" i="42"/>
  <c r="GG10" i="42"/>
  <c r="GG47" i="42" s="1"/>
  <c r="GG57" i="42"/>
  <c r="GG52" i="42"/>
  <c r="GG26" i="15"/>
  <c r="GG27" i="15"/>
  <c r="GG56" i="3"/>
  <c r="GG24" i="15"/>
  <c r="GH26" i="15"/>
  <c r="GJ23" i="15"/>
  <c r="GG16" i="18"/>
  <c r="GJ230" i="15"/>
  <c r="GJ44" i="42"/>
  <c r="GJ13" i="2"/>
  <c r="GJ115" i="15"/>
  <c r="FC79" i="6"/>
  <c r="GE96" i="15"/>
  <c r="GJ14" i="15"/>
  <c r="GJ11" i="15"/>
  <c r="FC93" i="6"/>
  <c r="FC94" i="6" s="1"/>
  <c r="FC117" i="15"/>
  <c r="FC36" i="5"/>
  <c r="FC23" i="6"/>
  <c r="FU22" i="2"/>
  <c r="GE23" i="15"/>
  <c r="GB56" i="3"/>
  <c r="GC26" i="15"/>
  <c r="GB26" i="15"/>
  <c r="GB27" i="15"/>
  <c r="GB24" i="15"/>
  <c r="FW58" i="3"/>
  <c r="FX58" i="3"/>
  <c r="FW57" i="3"/>
  <c r="GE13" i="2"/>
  <c r="GE44" i="42"/>
  <c r="GE230" i="15"/>
  <c r="GE11" i="15"/>
  <c r="GE14" i="15"/>
  <c r="GE115" i="15"/>
  <c r="GB15" i="42"/>
  <c r="GB16" i="42"/>
  <c r="GB57" i="42"/>
  <c r="GC46" i="42"/>
  <c r="GB62" i="42"/>
  <c r="GB45" i="42"/>
  <c r="GB46" i="42"/>
  <c r="GB52" i="42"/>
  <c r="FU29" i="15"/>
  <c r="FU59" i="3"/>
  <c r="FC85" i="5"/>
  <c r="FZ57" i="42"/>
  <c r="FZ45" i="42"/>
  <c r="FZ62" i="42"/>
  <c r="FZ52" i="42"/>
  <c r="FY22" i="2"/>
  <c r="FW22" i="2"/>
  <c r="FX22" i="2"/>
  <c r="FZ56" i="3"/>
  <c r="FZ27" i="15"/>
  <c r="FZ28" i="15"/>
  <c r="FZ24" i="15"/>
  <c r="FU57" i="3"/>
  <c r="GG57" i="3" l="1"/>
  <c r="GG17" i="42"/>
  <c r="GJ45" i="42"/>
  <c r="GG80" i="3"/>
  <c r="GG112" i="3"/>
  <c r="GG78" i="3"/>
  <c r="GH80" i="3"/>
  <c r="GH78" i="3"/>
  <c r="GJ28" i="15"/>
  <c r="GJ59" i="3" s="1"/>
  <c r="GJ56" i="3"/>
  <c r="GG94" i="3"/>
  <c r="GH92" i="3"/>
  <c r="GH94" i="3"/>
  <c r="GG92" i="3"/>
  <c r="GG43" i="5"/>
  <c r="GG35" i="5"/>
  <c r="GG108" i="5"/>
  <c r="GG24" i="5"/>
  <c r="GG39" i="5"/>
  <c r="GG91" i="5" s="1"/>
  <c r="GG32" i="5"/>
  <c r="GG150" i="5"/>
  <c r="GG14" i="6" s="1"/>
  <c r="GG20" i="8" s="1"/>
  <c r="GG15" i="5"/>
  <c r="GG12" i="5"/>
  <c r="GG99" i="3"/>
  <c r="GH99" i="3"/>
  <c r="GJ62" i="42"/>
  <c r="GJ57" i="42"/>
  <c r="GJ52" i="42"/>
  <c r="GG58" i="3"/>
  <c r="GH58" i="3"/>
  <c r="GG66" i="3"/>
  <c r="GG22" i="42"/>
  <c r="GH12" i="42"/>
  <c r="GG12" i="42"/>
  <c r="GG67" i="42"/>
  <c r="GG85" i="3"/>
  <c r="GH85" i="3"/>
  <c r="GG87" i="3"/>
  <c r="GH87" i="3"/>
  <c r="FC95" i="6"/>
  <c r="GJ24" i="15"/>
  <c r="GJ27" i="15"/>
  <c r="FC73" i="5"/>
  <c r="FC44" i="5"/>
  <c r="GE56" i="3"/>
  <c r="GE28" i="15"/>
  <c r="GE24" i="15"/>
  <c r="GE27" i="15"/>
  <c r="FZ59" i="3"/>
  <c r="FZ29" i="15"/>
  <c r="GE45" i="42"/>
  <c r="GE62" i="42"/>
  <c r="GE57" i="42"/>
  <c r="GE52" i="42"/>
  <c r="FZ57" i="3"/>
  <c r="FZ22" i="2"/>
  <c r="GB58" i="3"/>
  <c r="GC58" i="3"/>
  <c r="GB57" i="3"/>
  <c r="GJ57" i="3" l="1"/>
  <c r="GG30" i="6"/>
  <c r="GG98" i="5" s="1"/>
  <c r="GH30" i="6"/>
  <c r="GH98" i="5" s="1"/>
  <c r="GG89" i="5"/>
  <c r="GH28" i="6"/>
  <c r="GH88" i="5" s="1"/>
  <c r="GG28" i="6"/>
  <c r="GG88" i="5" s="1"/>
  <c r="GH25" i="6"/>
  <c r="GH79" i="5" s="1"/>
  <c r="GG25" i="6"/>
  <c r="GG79" i="5" s="1"/>
  <c r="GJ29" i="15"/>
  <c r="GH22" i="6"/>
  <c r="GH67" i="5" s="1"/>
  <c r="GG22" i="6"/>
  <c r="GG67" i="5" s="1"/>
  <c r="GG49" i="6"/>
  <c r="GG10" i="30"/>
  <c r="GG112" i="5"/>
  <c r="GG138" i="5"/>
  <c r="GH112" i="5"/>
  <c r="GG114" i="3"/>
  <c r="GG116" i="3"/>
  <c r="GH116" i="3"/>
  <c r="GH114" i="3"/>
  <c r="GG118" i="3"/>
  <c r="GG71" i="3"/>
  <c r="GG68" i="3"/>
  <c r="GG70" i="3"/>
  <c r="GH68" i="3"/>
  <c r="GH70" i="3"/>
  <c r="GG45" i="3"/>
  <c r="GH24" i="6"/>
  <c r="GH76" i="5" s="1"/>
  <c r="GG24" i="6"/>
  <c r="GG76" i="5" s="1"/>
  <c r="GG29" i="6"/>
  <c r="GG95" i="5" s="1"/>
  <c r="GH29" i="6"/>
  <c r="GH95" i="5" s="1"/>
  <c r="GE59" i="3"/>
  <c r="GE29" i="15"/>
  <c r="GE57" i="3"/>
  <c r="GG12" i="30" l="1"/>
  <c r="GG14" i="30"/>
  <c r="GG36" i="30"/>
  <c r="GH14" i="30"/>
  <c r="GH12" i="30"/>
  <c r="GG120" i="3"/>
  <c r="GH120" i="3"/>
  <c r="GG230" i="3"/>
  <c r="GG123" i="3"/>
  <c r="GG122" i="3"/>
  <c r="GH122" i="3"/>
  <c r="GG68" i="6"/>
  <c r="GG56" i="6"/>
  <c r="GG57" i="5"/>
  <c r="GG47" i="3"/>
  <c r="GG49" i="3"/>
  <c r="GH49" i="3"/>
  <c r="GH47" i="3"/>
  <c r="GG28" i="5" l="1"/>
  <c r="GG13" i="5"/>
  <c r="GH70" i="6"/>
  <c r="GG70" i="6"/>
  <c r="GH23" i="6" l="1"/>
  <c r="GH73" i="5" s="1"/>
  <c r="GG23" i="6"/>
  <c r="GG73" i="5" s="1"/>
  <c r="GG26" i="6"/>
  <c r="GG85" i="5" s="1"/>
  <c r="GG36" i="5"/>
  <c r="GG44" i="5" s="1"/>
  <c r="GH26" i="6"/>
  <c r="GH85" i="5" s="1"/>
  <c r="FB137" i="5" l="1"/>
  <c r="FB139" i="5" l="1"/>
  <c r="FB18" i="5" s="1"/>
  <c r="FB73" i="3"/>
  <c r="FB74" i="3" s="1"/>
  <c r="FB143" i="5"/>
  <c r="FB13" i="6"/>
  <c r="FC137" i="5" l="1"/>
  <c r="FC139" i="5" s="1"/>
  <c r="FC18" i="5" s="1"/>
  <c r="FC73" i="3"/>
  <c r="FC74" i="3" s="1"/>
  <c r="FC141" i="5"/>
  <c r="FC143" i="5"/>
  <c r="FC13" i="6"/>
  <c r="FB134" i="5"/>
  <c r="FB231" i="3"/>
  <c r="FB232" i="3" s="1"/>
  <c r="FD137" i="5" l="1"/>
  <c r="FD141" i="5" s="1"/>
  <c r="FB233" i="3"/>
  <c r="FC134" i="5"/>
  <c r="FC231" i="3"/>
  <c r="FC232" i="3" s="1"/>
  <c r="FB135" i="5"/>
  <c r="FD13" i="6" l="1"/>
  <c r="FD231" i="3" s="1"/>
  <c r="FC135" i="5"/>
  <c r="FC233" i="3"/>
  <c r="FD134" i="5" l="1"/>
  <c r="FB147" i="5"/>
  <c r="FC147" i="5" l="1"/>
  <c r="FD147" i="5" l="1"/>
  <c r="EY231" i="3" l="1"/>
  <c r="EY232" i="3" s="1"/>
  <c r="EY134" i="5"/>
  <c r="EY137" i="5" s="1"/>
  <c r="EY73" i="3" s="1"/>
  <c r="EY74" i="3" s="1"/>
  <c r="EY31" i="6"/>
  <c r="EY91" i="6" s="1"/>
  <c r="EY150" i="5"/>
  <c r="EY66" i="6" l="1"/>
  <c r="EY92" i="6"/>
  <c r="EY96" i="6"/>
  <c r="EY151" i="5"/>
  <c r="EY152" i="5"/>
  <c r="EY32" i="6"/>
  <c r="EY100" i="5"/>
  <c r="EY105" i="5" s="1"/>
  <c r="EY143" i="5"/>
  <c r="EY141" i="5"/>
  <c r="EY142" i="5"/>
  <c r="EY135" i="5"/>
  <c r="FD135" i="5"/>
  <c r="EY233" i="3"/>
  <c r="EY67" i="6" l="1"/>
  <c r="EY98" i="6"/>
  <c r="EY97" i="6"/>
  <c r="EX40" i="8"/>
  <c r="EX41" i="8" s="1"/>
  <c r="EY101" i="5"/>
  <c r="EY46" i="6" l="1"/>
  <c r="FB47" i="5" l="1"/>
  <c r="FC47" i="5" l="1"/>
  <c r="EZ46" i="6"/>
  <c r="FA46" i="6" l="1"/>
  <c r="EY68" i="6" l="1"/>
  <c r="EY56" i="6"/>
  <c r="EY108" i="5"/>
  <c r="EY84" i="6" l="1"/>
  <c r="EZ70" i="6"/>
  <c r="FA68" i="6"/>
  <c r="EY10" i="30"/>
  <c r="EY13" i="30" s="1"/>
  <c r="EY59" i="6"/>
  <c r="EY88" i="6"/>
  <c r="EY87" i="6"/>
  <c r="EY85" i="6"/>
  <c r="EY86" i="6"/>
  <c r="EY37" i="30"/>
  <c r="EY138" i="5"/>
  <c r="EY110" i="5"/>
  <c r="EY112" i="5"/>
  <c r="EY111" i="5"/>
  <c r="EY69" i="6"/>
  <c r="EY70" i="6"/>
  <c r="EY71" i="6"/>
  <c r="EY109" i="5"/>
  <c r="EY11" i="30" l="1"/>
  <c r="EY12" i="30"/>
  <c r="EY14" i="30"/>
  <c r="FA69" i="6"/>
  <c r="FA84" i="6"/>
  <c r="EY36" i="30"/>
  <c r="EZ88" i="6"/>
  <c r="EZ86" i="6"/>
  <c r="EY61" i="6"/>
  <c r="EZ60" i="6" s="1"/>
  <c r="EY74" i="6"/>
  <c r="EY75" i="6" s="1"/>
  <c r="EY72" i="6"/>
  <c r="EY125" i="5"/>
  <c r="EY73" i="6"/>
  <c r="EY63" i="6"/>
  <c r="FA87" i="6" l="1"/>
  <c r="FA85" i="6"/>
  <c r="EY126" i="5"/>
  <c r="EY129" i="5" l="1"/>
  <c r="EY130" i="5" l="1"/>
  <c r="EY114" i="5"/>
  <c r="EY118" i="5" l="1"/>
  <c r="EY17" i="30"/>
  <c r="EY119" i="5"/>
  <c r="EY115" i="5"/>
  <c r="EY117" i="5"/>
  <c r="EY122" i="5"/>
  <c r="EY120" i="5" s="1"/>
  <c r="EY116" i="5"/>
  <c r="EY19" i="30" l="1"/>
  <c r="EY20" i="30"/>
  <c r="EY21" i="30"/>
  <c r="EY18" i="30"/>
  <c r="EY24" i="30"/>
  <c r="EY15" i="30" s="1"/>
  <c r="EY123" i="5"/>
  <c r="EY22" i="30" l="1"/>
  <c r="EY25" i="30"/>
  <c r="EY26" i="30"/>
  <c r="EY28" i="30"/>
  <c r="EY27" i="30"/>
  <c r="EY39" i="30"/>
  <c r="FD40" i="30"/>
  <c r="EY62" i="18" l="1"/>
  <c r="EY24" i="42"/>
  <c r="EY117" i="14"/>
  <c r="FD200" i="14"/>
  <c r="EY198" i="14"/>
  <c r="EY199" i="14"/>
  <c r="EY201" i="14"/>
  <c r="EY200" i="14"/>
  <c r="EY68" i="18" l="1"/>
  <c r="EZ67" i="18"/>
  <c r="EZ65" i="18"/>
  <c r="EY26" i="42"/>
  <c r="EY27" i="42"/>
  <c r="FD198" i="14"/>
  <c r="FD199" i="14"/>
  <c r="FE198" i="14"/>
  <c r="FI186" i="14"/>
  <c r="FJ189" i="14" s="1"/>
  <c r="FE200" i="14"/>
  <c r="FD62" i="18"/>
  <c r="FE67" i="18" s="1"/>
  <c r="EY25" i="42"/>
  <c r="EY66" i="18"/>
  <c r="FD24" i="42"/>
  <c r="FD26" i="42" s="1"/>
  <c r="FF195" i="14"/>
  <c r="FF210" i="14" s="1"/>
  <c r="EY63" i="18"/>
  <c r="FD186" i="14"/>
  <c r="EY131" i="14"/>
  <c r="EY120" i="14"/>
  <c r="EY67" i="18"/>
  <c r="FI199" i="14"/>
  <c r="EY121" i="14"/>
  <c r="EY119" i="14"/>
  <c r="EY65" i="18"/>
  <c r="EY118" i="14"/>
  <c r="FF211" i="14" l="1"/>
  <c r="FK211" i="14"/>
  <c r="FE65" i="18"/>
  <c r="FD10" i="18"/>
  <c r="FD68" i="18" s="1"/>
  <c r="FK196" i="14"/>
  <c r="FD63" i="18"/>
  <c r="FD67" i="18"/>
  <c r="FN186" i="14"/>
  <c r="FN201" i="14" s="1"/>
  <c r="FI247" i="14"/>
  <c r="FD25" i="42"/>
  <c r="FI198" i="14"/>
  <c r="FI189" i="14"/>
  <c r="FI200" i="14"/>
  <c r="FJ198" i="14"/>
  <c r="FI24" i="42"/>
  <c r="FI25" i="42" s="1"/>
  <c r="FI201" i="14"/>
  <c r="FE26" i="42"/>
  <c r="FK186" i="14"/>
  <c r="FK247" i="14" s="1"/>
  <c r="FJ191" i="14"/>
  <c r="FD66" i="18"/>
  <c r="FI62" i="18"/>
  <c r="FI65" i="18" s="1"/>
  <c r="FJ200" i="14"/>
  <c r="FI191" i="14"/>
  <c r="FD65" i="18"/>
  <c r="EY202" i="14"/>
  <c r="EY261" i="14"/>
  <c r="EY248" i="14"/>
  <c r="FF62" i="18"/>
  <c r="FF24" i="42"/>
  <c r="FD190" i="14"/>
  <c r="FD187" i="14"/>
  <c r="FF186" i="14"/>
  <c r="FD191" i="14"/>
  <c r="FE191" i="14"/>
  <c r="FD201" i="14"/>
  <c r="FD189" i="14"/>
  <c r="FE189" i="14"/>
  <c r="FD247" i="14"/>
  <c r="FI187" i="14"/>
  <c r="EY136" i="14"/>
  <c r="EY135" i="14"/>
  <c r="EY29" i="42"/>
  <c r="EY134" i="14"/>
  <c r="EY129" i="14"/>
  <c r="EY192" i="14"/>
  <c r="EY133" i="14"/>
  <c r="EY132" i="14"/>
  <c r="EY122" i="14"/>
  <c r="FI190" i="14"/>
  <c r="FD11" i="18" l="1"/>
  <c r="FD103" i="18"/>
  <c r="FD56" i="18"/>
  <c r="FD114" i="18"/>
  <c r="FD13" i="18"/>
  <c r="FD126" i="18"/>
  <c r="FD14" i="42"/>
  <c r="FD15" i="42" s="1"/>
  <c r="FD15" i="18"/>
  <c r="FD14" i="18"/>
  <c r="FD17" i="2"/>
  <c r="FN199" i="14"/>
  <c r="FN200" i="14"/>
  <c r="FN62" i="18"/>
  <c r="FO67" i="18" s="1"/>
  <c r="FO198" i="14"/>
  <c r="FK62" i="18"/>
  <c r="FN198" i="14"/>
  <c r="FO200" i="14"/>
  <c r="FN24" i="42"/>
  <c r="FO26" i="42" s="1"/>
  <c r="FP24" i="42"/>
  <c r="FJ65" i="18"/>
  <c r="FI66" i="18"/>
  <c r="FJ67" i="18"/>
  <c r="FI67" i="18"/>
  <c r="FI10" i="18"/>
  <c r="FI126" i="18" s="1"/>
  <c r="FK201" i="14"/>
  <c r="FI63" i="18"/>
  <c r="FK187" i="14"/>
  <c r="FI26" i="42"/>
  <c r="FK24" i="42"/>
  <c r="FK25" i="42" s="1"/>
  <c r="FJ26" i="42"/>
  <c r="FK199" i="14"/>
  <c r="FK190" i="14"/>
  <c r="FF187" i="14"/>
  <c r="FF190" i="14"/>
  <c r="FF247" i="14"/>
  <c r="EY30" i="42"/>
  <c r="EY32" i="42"/>
  <c r="EY31" i="42"/>
  <c r="FF201" i="14"/>
  <c r="FP186" i="14"/>
  <c r="FO191" i="14"/>
  <c r="FN187" i="14"/>
  <c r="FN191" i="14"/>
  <c r="FN189" i="14"/>
  <c r="FN247" i="14"/>
  <c r="FN190" i="14"/>
  <c r="FO189" i="14"/>
  <c r="FD16" i="42" l="1"/>
  <c r="FN67" i="18"/>
  <c r="FN63" i="18"/>
  <c r="FN66" i="18"/>
  <c r="FN65" i="18"/>
  <c r="FT200" i="14"/>
  <c r="FN10" i="18"/>
  <c r="FN68" i="18" s="1"/>
  <c r="FO65" i="18"/>
  <c r="FK66" i="18"/>
  <c r="FK63" i="18"/>
  <c r="FS24" i="42"/>
  <c r="FS25" i="42" s="1"/>
  <c r="FS62" i="18"/>
  <c r="FS65" i="18" s="1"/>
  <c r="FS200" i="14"/>
  <c r="FT198" i="14"/>
  <c r="FS186" i="14"/>
  <c r="FT191" i="14" s="1"/>
  <c r="FS199" i="14"/>
  <c r="FS198" i="14"/>
  <c r="FN25" i="42"/>
  <c r="FN26" i="42"/>
  <c r="FP201" i="14"/>
  <c r="FP199" i="14"/>
  <c r="FP62" i="18"/>
  <c r="FP66" i="18" s="1"/>
  <c r="FI15" i="18"/>
  <c r="FI56" i="18"/>
  <c r="FI103" i="18"/>
  <c r="FI11" i="18"/>
  <c r="FI68" i="18"/>
  <c r="FI114" i="18"/>
  <c r="FI13" i="18"/>
  <c r="FI17" i="2"/>
  <c r="FI14" i="18"/>
  <c r="FI14" i="42"/>
  <c r="FI16" i="42" s="1"/>
  <c r="FP247" i="14"/>
  <c r="FP190" i="14"/>
  <c r="FP187" i="14"/>
  <c r="FP25" i="42"/>
  <c r="FX186" i="14"/>
  <c r="FX201" i="14" s="1"/>
  <c r="FX198" i="14"/>
  <c r="FX199" i="14"/>
  <c r="FX62" i="18"/>
  <c r="FY198" i="14"/>
  <c r="FX24" i="42"/>
  <c r="FX200" i="14"/>
  <c r="FY200" i="14"/>
  <c r="FU24" i="42"/>
  <c r="FU62" i="18"/>
  <c r="FU199" i="14"/>
  <c r="FN15" i="18" l="1"/>
  <c r="FN56" i="18"/>
  <c r="FN11" i="18"/>
  <c r="FN14" i="18"/>
  <c r="FN14" i="42"/>
  <c r="FN16" i="42" s="1"/>
  <c r="FN114" i="18"/>
  <c r="FN17" i="2"/>
  <c r="FN13" i="18"/>
  <c r="FN103" i="18"/>
  <c r="FN126" i="18"/>
  <c r="FT65" i="18"/>
  <c r="FS201" i="14"/>
  <c r="FS247" i="14"/>
  <c r="FS10" i="18"/>
  <c r="FS68" i="18" s="1"/>
  <c r="FS190" i="14"/>
  <c r="FT67" i="18"/>
  <c r="FS191" i="14"/>
  <c r="FT189" i="14"/>
  <c r="FS187" i="14"/>
  <c r="FS189" i="14"/>
  <c r="FU186" i="14"/>
  <c r="FU201" i="14" s="1"/>
  <c r="FS67" i="18"/>
  <c r="FS66" i="18"/>
  <c r="FS63" i="18"/>
  <c r="FT26" i="42"/>
  <c r="FS26" i="42"/>
  <c r="FP63" i="18"/>
  <c r="FI15" i="42"/>
  <c r="GC186" i="14"/>
  <c r="GC62" i="18"/>
  <c r="GD198" i="14"/>
  <c r="GC199" i="14"/>
  <c r="GD200" i="14"/>
  <c r="GE195" i="14"/>
  <c r="GE210" i="14" s="1"/>
  <c r="GC200" i="14"/>
  <c r="GC198" i="14"/>
  <c r="GC24" i="42"/>
  <c r="GH25" i="42" s="1"/>
  <c r="EX21" i="2"/>
  <c r="EX53" i="2" s="1"/>
  <c r="EV21" i="2"/>
  <c r="EV53" i="2" s="1"/>
  <c r="FZ62" i="18"/>
  <c r="FZ24" i="42"/>
  <c r="FZ199" i="14"/>
  <c r="FX187" i="14"/>
  <c r="FX190" i="14"/>
  <c r="FX189" i="14"/>
  <c r="FZ186" i="14"/>
  <c r="FZ201" i="14" s="1"/>
  <c r="FX191" i="14"/>
  <c r="FY189" i="14"/>
  <c r="FX247" i="14"/>
  <c r="FY191" i="14"/>
  <c r="FX10" i="18"/>
  <c r="FY67" i="18"/>
  <c r="FY65" i="18"/>
  <c r="FX63" i="18"/>
  <c r="FX65" i="18"/>
  <c r="FX66" i="18"/>
  <c r="FX67" i="18"/>
  <c r="FU63" i="18"/>
  <c r="FU66" i="18"/>
  <c r="FY26" i="42"/>
  <c r="FX26" i="42"/>
  <c r="FX25" i="42"/>
  <c r="FU25" i="42"/>
  <c r="FS11" i="18" l="1"/>
  <c r="FS15" i="18"/>
  <c r="GE211" i="14"/>
  <c r="GJ211" i="14"/>
  <c r="FS17" i="2"/>
  <c r="GH66" i="18"/>
  <c r="GH63" i="18"/>
  <c r="GC201" i="14"/>
  <c r="GH190" i="14"/>
  <c r="GH187" i="14"/>
  <c r="FS56" i="18"/>
  <c r="FS114" i="18"/>
  <c r="FS126" i="18"/>
  <c r="GJ196" i="14"/>
  <c r="GJ199" i="14"/>
  <c r="FS13" i="18"/>
  <c r="FS14" i="42"/>
  <c r="FS15" i="42" s="1"/>
  <c r="FN15" i="42"/>
  <c r="FU247" i="14"/>
  <c r="FU190" i="14"/>
  <c r="FS14" i="18"/>
  <c r="FS103" i="18"/>
  <c r="FU187" i="14"/>
  <c r="FZ25" i="42"/>
  <c r="GD26" i="42"/>
  <c r="GC26" i="42"/>
  <c r="GC25" i="42"/>
  <c r="FX17" i="2"/>
  <c r="FX14" i="42"/>
  <c r="FX11" i="18"/>
  <c r="FX56" i="18"/>
  <c r="FX15" i="18"/>
  <c r="FX14" i="18"/>
  <c r="FX13" i="18"/>
  <c r="FX126" i="18"/>
  <c r="FX103" i="18"/>
  <c r="FX114" i="18"/>
  <c r="FZ66" i="18"/>
  <c r="FZ63" i="18"/>
  <c r="EV24" i="2"/>
  <c r="FZ187" i="14"/>
  <c r="FZ247" i="14"/>
  <c r="FZ190" i="14"/>
  <c r="FX68" i="18"/>
  <c r="GC10" i="18"/>
  <c r="GC63" i="18"/>
  <c r="GC65" i="18"/>
  <c r="GC66" i="18"/>
  <c r="GD67" i="18"/>
  <c r="GC67" i="18"/>
  <c r="GD65" i="18"/>
  <c r="GE62" i="18"/>
  <c r="GE196" i="14"/>
  <c r="GE199" i="14"/>
  <c r="GE24" i="42"/>
  <c r="GJ25" i="42" s="1"/>
  <c r="GC191" i="14"/>
  <c r="GD189" i="14"/>
  <c r="GC189" i="14"/>
  <c r="GC247" i="14"/>
  <c r="GE186" i="14"/>
  <c r="GD191" i="14"/>
  <c r="GC187" i="14"/>
  <c r="GC190" i="14"/>
  <c r="GC68" i="18" l="1"/>
  <c r="GH11" i="18"/>
  <c r="GH14" i="18"/>
  <c r="FS16" i="42"/>
  <c r="GE201" i="14"/>
  <c r="GJ187" i="14"/>
  <c r="GJ190" i="14"/>
  <c r="GJ66" i="18"/>
  <c r="GJ63" i="18"/>
  <c r="EV73" i="2"/>
  <c r="EV88" i="2"/>
  <c r="GE25" i="42"/>
  <c r="GC17" i="2"/>
  <c r="GC14" i="42"/>
  <c r="GH15" i="42" s="1"/>
  <c r="GC126" i="18"/>
  <c r="GC103" i="18"/>
  <c r="GC56" i="18"/>
  <c r="GC14" i="18"/>
  <c r="GC13" i="18"/>
  <c r="GC11" i="18"/>
  <c r="GC114" i="18"/>
  <c r="GC15" i="18"/>
  <c r="EX88" i="2"/>
  <c r="EX73" i="2"/>
  <c r="GE190" i="14"/>
  <c r="GE247" i="14"/>
  <c r="GE187" i="14"/>
  <c r="FX16" i="42"/>
  <c r="FX15" i="42"/>
  <c r="GE63" i="18"/>
  <c r="GE66" i="18"/>
  <c r="GC15" i="42" l="1"/>
  <c r="GC16" i="42"/>
  <c r="EY270" i="14" l="1"/>
  <c r="FD268" i="14"/>
  <c r="EY268" i="14"/>
  <c r="EY269" i="14"/>
  <c r="FD117" i="14" l="1"/>
  <c r="FE267" i="14"/>
  <c r="FD255" i="14"/>
  <c r="FF255" i="14" s="1"/>
  <c r="FE269" i="14"/>
  <c r="FD267" i="14"/>
  <c r="FD269" i="14"/>
  <c r="FF264" i="14"/>
  <c r="FF278" i="14" s="1"/>
  <c r="EY271" i="14"/>
  <c r="EY267" i="14"/>
  <c r="FF279" i="14" l="1"/>
  <c r="FD260" i="14"/>
  <c r="FD270" i="14"/>
  <c r="FD119" i="14"/>
  <c r="FD120" i="14"/>
  <c r="FE121" i="14"/>
  <c r="FD118" i="14"/>
  <c r="FD131" i="14"/>
  <c r="FD261" i="14" s="1"/>
  <c r="FE119" i="14"/>
  <c r="FD121" i="14"/>
  <c r="FF117" i="14"/>
  <c r="FD256" i="14"/>
  <c r="FD259" i="14"/>
  <c r="FE258" i="14"/>
  <c r="FD306" i="14"/>
  <c r="FE260" i="14"/>
  <c r="FD258" i="14"/>
  <c r="FF259" i="14"/>
  <c r="FF256" i="14"/>
  <c r="FF306" i="14"/>
  <c r="FF265" i="14"/>
  <c r="FF268" i="14"/>
  <c r="FF270" i="14"/>
  <c r="FD192" i="14" l="1"/>
  <c r="FE133" i="14"/>
  <c r="FD10" i="14"/>
  <c r="FD134" i="14"/>
  <c r="FD129" i="14"/>
  <c r="FF131" i="14"/>
  <c r="FF122" i="14" s="1"/>
  <c r="FE135" i="14"/>
  <c r="FD202" i="14"/>
  <c r="FD133" i="14"/>
  <c r="FD132" i="14"/>
  <c r="FD29" i="42"/>
  <c r="FD248" i="14"/>
  <c r="FD135" i="14"/>
  <c r="FD271" i="14"/>
  <c r="FD122" i="14"/>
  <c r="FF202" i="14" l="1"/>
  <c r="FF248" i="14"/>
  <c r="FF29" i="42"/>
  <c r="FF129" i="14"/>
  <c r="FF192" i="14"/>
  <c r="FF261" i="14"/>
  <c r="FF271" i="14"/>
  <c r="FD30" i="42"/>
  <c r="FD31" i="42"/>
  <c r="FE31" i="42"/>
  <c r="FD136" i="14"/>
  <c r="FD11" i="14"/>
  <c r="FD12" i="14" s="1"/>
  <c r="FD203" i="14"/>
  <c r="FD318" i="14"/>
  <c r="FD249" i="14"/>
  <c r="FD193" i="14"/>
  <c r="FD13" i="14"/>
  <c r="FD19" i="42"/>
  <c r="FD32" i="42" s="1"/>
  <c r="FD353" i="14"/>
  <c r="FD12" i="2"/>
  <c r="FD23" i="14"/>
  <c r="FD15" i="14"/>
  <c r="FD14" i="14"/>
  <c r="FD24" i="3"/>
  <c r="FD262" i="14"/>
  <c r="FD16" i="14" l="1"/>
  <c r="FD26" i="14"/>
  <c r="FD27" i="14"/>
  <c r="FD24" i="14"/>
  <c r="FD51" i="3"/>
  <c r="FD42" i="42"/>
  <c r="FD21" i="42"/>
  <c r="FD10" i="42"/>
  <c r="FD37" i="42"/>
  <c r="FD20" i="42"/>
  <c r="FD27" i="42"/>
  <c r="FD15" i="2"/>
  <c r="EY21" i="2"/>
  <c r="EY53" i="2" s="1"/>
  <c r="FD131" i="15"/>
  <c r="FD76" i="3"/>
  <c r="FD16" i="17"/>
  <c r="FD16" i="18"/>
  <c r="FD10" i="7"/>
  <c r="FD97" i="3"/>
  <c r="FD130" i="15"/>
  <c r="FD27" i="3"/>
  <c r="FD25" i="3"/>
  <c r="FD83" i="3"/>
  <c r="FD29" i="3"/>
  <c r="FD90" i="3"/>
  <c r="FD16" i="15"/>
  <c r="FD56" i="5"/>
  <c r="FD12" i="5" s="1"/>
  <c r="FD28" i="3"/>
  <c r="FD149" i="15"/>
  <c r="EY24" i="2" l="1"/>
  <c r="FD114" i="5"/>
  <c r="FD32" i="5"/>
  <c r="FD108" i="5"/>
  <c r="FD35" i="5"/>
  <c r="FD39" i="5"/>
  <c r="FD24" i="5"/>
  <c r="FD150" i="5"/>
  <c r="FD143" i="5"/>
  <c r="FD15" i="5"/>
  <c r="FD43" i="5"/>
  <c r="FD99" i="3"/>
  <c r="FD98" i="3"/>
  <c r="FD18" i="2"/>
  <c r="FD35" i="2"/>
  <c r="FD93" i="3"/>
  <c r="FD91" i="3"/>
  <c r="FD92" i="3"/>
  <c r="FD94" i="3"/>
  <c r="FD54" i="7"/>
  <c r="FD11" i="7"/>
  <c r="FD12" i="7"/>
  <c r="FD36" i="7"/>
  <c r="FD44" i="7"/>
  <c r="FD29" i="7"/>
  <c r="FD49" i="7"/>
  <c r="FD21" i="7"/>
  <c r="FD80" i="3"/>
  <c r="FD77" i="3"/>
  <c r="FD112" i="3"/>
  <c r="FD79" i="3"/>
  <c r="FD78" i="3"/>
  <c r="FD52" i="3"/>
  <c r="FD66" i="3"/>
  <c r="FD53" i="3"/>
  <c r="FD22" i="42"/>
  <c r="FD67" i="42"/>
  <c r="FD11" i="42"/>
  <c r="FD12" i="42"/>
  <c r="FD47" i="42"/>
  <c r="FD17" i="42"/>
  <c r="FD85" i="3"/>
  <c r="FD87" i="3"/>
  <c r="FD84" i="3"/>
  <c r="FD86" i="3"/>
  <c r="FD116" i="3" l="1"/>
  <c r="FD113" i="3"/>
  <c r="FD115" i="3"/>
  <c r="FD114" i="3"/>
  <c r="FD89" i="5"/>
  <c r="FD28" i="6"/>
  <c r="FD67" i="3"/>
  <c r="FD69" i="3"/>
  <c r="FD71" i="3"/>
  <c r="FD118" i="3"/>
  <c r="FD68" i="3"/>
  <c r="FD70" i="3"/>
  <c r="FD45" i="3"/>
  <c r="EY88" i="2"/>
  <c r="EY73" i="2"/>
  <c r="FD152" i="5"/>
  <c r="FD14" i="6"/>
  <c r="FD110" i="5"/>
  <c r="FD111" i="5"/>
  <c r="FD122" i="5"/>
  <c r="FD120" i="5" s="1"/>
  <c r="FD112" i="5"/>
  <c r="FD49" i="6"/>
  <c r="FD10" i="30"/>
  <c r="FD138" i="5"/>
  <c r="FD139" i="5" s="1"/>
  <c r="FD51" i="7"/>
  <c r="FD50" i="7"/>
  <c r="FD56" i="7"/>
  <c r="FD55" i="7"/>
  <c r="FD25" i="6"/>
  <c r="FD118" i="5"/>
  <c r="FD119" i="5"/>
  <c r="FD17" i="30"/>
  <c r="FD84" i="6"/>
  <c r="FD116" i="5"/>
  <c r="FD117" i="5"/>
  <c r="FD24" i="6"/>
  <c r="FD30" i="6"/>
  <c r="FD91" i="5"/>
  <c r="FD46" i="7"/>
  <c r="FD45" i="7"/>
  <c r="FD29" i="6"/>
  <c r="FD73" i="3" l="1"/>
  <c r="FD74" i="3" s="1"/>
  <c r="FD123" i="5"/>
  <c r="FD98" i="5"/>
  <c r="FD79" i="5"/>
  <c r="FD121" i="3"/>
  <c r="FD119" i="3"/>
  <c r="FD120" i="3"/>
  <c r="FD123" i="3"/>
  <c r="FD124" i="3" s="1"/>
  <c r="FD122" i="3"/>
  <c r="FD230" i="3"/>
  <c r="FD232" i="3" s="1"/>
  <c r="FD18" i="5"/>
  <c r="FE137" i="5"/>
  <c r="FD47" i="5"/>
  <c r="FD20" i="8"/>
  <c r="FD95" i="5"/>
  <c r="FD36" i="30"/>
  <c r="FD14" i="30"/>
  <c r="FD12" i="30"/>
  <c r="FD13" i="30"/>
  <c r="FD37" i="30"/>
  <c r="FD11" i="30"/>
  <c r="FD87" i="6"/>
  <c r="FD85" i="6"/>
  <c r="FD86" i="6"/>
  <c r="FD88" i="6"/>
  <c r="FD68" i="6"/>
  <c r="FD78" i="6" s="1"/>
  <c r="FD117" i="15" s="1"/>
  <c r="FD56" i="6"/>
  <c r="FD21" i="30"/>
  <c r="FD24" i="30"/>
  <c r="FD22" i="30" s="1"/>
  <c r="FD19" i="30"/>
  <c r="FD18" i="30"/>
  <c r="FD20" i="30"/>
  <c r="FD76" i="5"/>
  <c r="FD46" i="3"/>
  <c r="FD49" i="3"/>
  <c r="FD57" i="5"/>
  <c r="FD13" i="5" s="1"/>
  <c r="FD47" i="3"/>
  <c r="FD48" i="3"/>
  <c r="FD88" i="5"/>
  <c r="FD15" i="30" l="1"/>
  <c r="FD28" i="5"/>
  <c r="FD81" i="6"/>
  <c r="FD82" i="6"/>
  <c r="FD93" i="6"/>
  <c r="FD79" i="6"/>
  <c r="FD80" i="6"/>
  <c r="FD233" i="3"/>
  <c r="FD70" i="6"/>
  <c r="FD69" i="6"/>
  <c r="FE141" i="5"/>
  <c r="FE147" i="5"/>
  <c r="FE13" i="6"/>
  <c r="FF13" i="6" s="1"/>
  <c r="FF137" i="5"/>
  <c r="FD27" i="30"/>
  <c r="FD28" i="30"/>
  <c r="FD26" i="30"/>
  <c r="FI40" i="30"/>
  <c r="FD25" i="30"/>
  <c r="FD39" i="30"/>
  <c r="FD36" i="5" l="1"/>
  <c r="FD44" i="5" s="1"/>
  <c r="FD26" i="6"/>
  <c r="FD23" i="6"/>
  <c r="FE134" i="5"/>
  <c r="FE231" i="3"/>
  <c r="FD94" i="6"/>
  <c r="FD95" i="6"/>
  <c r="FF147" i="5"/>
  <c r="FD85" i="5" l="1"/>
  <c r="FD73" i="5"/>
  <c r="FF231" i="3"/>
  <c r="FF134" i="5"/>
  <c r="FE65" i="5" l="1"/>
  <c r="FO63" i="5" l="1"/>
  <c r="FJ65" i="5"/>
  <c r="FJ66" i="5"/>
  <c r="FE66" i="5"/>
  <c r="FC22" i="6" l="1"/>
  <c r="FB22" i="6"/>
  <c r="FA67" i="5"/>
  <c r="FT63" i="5"/>
  <c r="FO65" i="5"/>
  <c r="FO66" i="5"/>
  <c r="FB67" i="5" l="1"/>
  <c r="FC67" i="5"/>
  <c r="FD22" i="6"/>
  <c r="FT65" i="5"/>
  <c r="FT66" i="5"/>
  <c r="FY63" i="5"/>
  <c r="FD67" i="5" l="1"/>
  <c r="GD63" i="5"/>
  <c r="GI63" i="5" s="1"/>
  <c r="FY65" i="5"/>
  <c r="FY66" i="5"/>
  <c r="GI65" i="5" l="1"/>
  <c r="GI66" i="5"/>
  <c r="GD66" i="5"/>
  <c r="GD65" i="5"/>
  <c r="FA218" i="3" l="1"/>
  <c r="FA219" i="3" s="1"/>
  <c r="EZ16" i="5"/>
  <c r="FA16" i="5" s="1"/>
  <c r="FB218" i="3"/>
  <c r="FB216" i="3" s="1"/>
  <c r="FB126" i="3" l="1"/>
  <c r="FB217" i="3"/>
  <c r="EZ25" i="5"/>
  <c r="FA25" i="5" l="1"/>
  <c r="FA53" i="5" s="1"/>
  <c r="EZ53" i="5"/>
  <c r="GE264" i="14" l="1"/>
  <c r="GC255" i="14"/>
  <c r="GC117" i="14"/>
  <c r="FX255" i="14"/>
  <c r="FU264" i="14"/>
  <c r="FU278" i="14" s="1"/>
  <c r="GC267" i="14"/>
  <c r="GC268" i="14"/>
  <c r="GC269" i="14"/>
  <c r="GC265" i="14"/>
  <c r="FX117" i="14"/>
  <c r="FS255" i="14"/>
  <c r="FZ264" i="14"/>
  <c r="FZ278" i="14" s="1"/>
  <c r="FS117" i="14"/>
  <c r="FS131" i="14" s="1"/>
  <c r="FS10" i="14" s="1"/>
  <c r="FX267" i="14"/>
  <c r="FX268" i="14"/>
  <c r="FX269" i="14"/>
  <c r="FX265" i="14"/>
  <c r="FP264" i="14"/>
  <c r="FP117" i="14" s="1"/>
  <c r="FN255" i="14"/>
  <c r="FN270" i="14" s="1"/>
  <c r="FS267" i="14"/>
  <c r="FS269" i="14"/>
  <c r="FS265" i="14"/>
  <c r="FS268" i="14"/>
  <c r="FK264" i="14"/>
  <c r="FN117" i="14"/>
  <c r="FI117" i="14"/>
  <c r="FN269" i="14"/>
  <c r="FN267" i="14"/>
  <c r="FN268" i="14"/>
  <c r="FN265" i="14"/>
  <c r="FI255" i="14"/>
  <c r="FI256" i="14" s="1"/>
  <c r="FI268" i="14"/>
  <c r="FI267" i="14"/>
  <c r="FI269" i="14"/>
  <c r="FI265" i="14"/>
  <c r="GB255" i="14"/>
  <c r="GB117" i="14"/>
  <c r="FW255" i="14"/>
  <c r="FW306" i="14" s="1"/>
  <c r="GB269" i="14"/>
  <c r="GB268" i="14"/>
  <c r="GB267" i="14"/>
  <c r="GB265" i="14"/>
  <c r="FW117" i="14"/>
  <c r="FW131" i="14" s="1"/>
  <c r="FR255" i="14"/>
  <c r="FR270" i="14" s="1"/>
  <c r="FR117" i="14"/>
  <c r="FW267" i="14"/>
  <c r="FW269" i="14"/>
  <c r="FW268" i="14"/>
  <c r="FW265" i="14"/>
  <c r="FR268" i="14"/>
  <c r="FR269" i="14"/>
  <c r="FR267" i="14"/>
  <c r="FR265" i="14"/>
  <c r="FM255" i="14"/>
  <c r="FM117" i="14"/>
  <c r="FM267" i="14"/>
  <c r="FM268" i="14"/>
  <c r="FM269" i="14"/>
  <c r="FM265" i="14"/>
  <c r="FH255" i="14"/>
  <c r="FH117" i="14"/>
  <c r="FH269" i="14"/>
  <c r="FH267" i="14"/>
  <c r="FH265" i="14"/>
  <c r="FH268" i="14"/>
  <c r="GD117" i="14"/>
  <c r="FY117" i="14"/>
  <c r="FT117" i="14"/>
  <c r="FO117" i="14"/>
  <c r="FJ117" i="14"/>
  <c r="GA117" i="14"/>
  <c r="GA268" i="14"/>
  <c r="GA269" i="14"/>
  <c r="GA267" i="14"/>
  <c r="GA265" i="14"/>
  <c r="FV117" i="14"/>
  <c r="FV268" i="14"/>
  <c r="FV269" i="14"/>
  <c r="FV267" i="14"/>
  <c r="FV265" i="14"/>
  <c r="FQ117" i="14"/>
  <c r="FQ267" i="14"/>
  <c r="FQ268" i="14"/>
  <c r="FQ269" i="14"/>
  <c r="FQ265" i="14"/>
  <c r="FL117" i="14"/>
  <c r="FL267" i="14"/>
  <c r="FL268" i="14"/>
  <c r="FL269" i="14"/>
  <c r="FL265" i="14"/>
  <c r="FG117" i="14"/>
  <c r="FG268" i="14"/>
  <c r="FG269" i="14"/>
  <c r="FG267" i="14"/>
  <c r="GD255" i="14"/>
  <c r="FY255" i="14"/>
  <c r="GD268" i="14"/>
  <c r="GD267" i="14"/>
  <c r="GD269" i="14"/>
  <c r="GD265" i="14"/>
  <c r="GA255" i="14"/>
  <c r="FV255" i="14"/>
  <c r="FV270" i="14" s="1"/>
  <c r="FY268" i="14"/>
  <c r="FY269" i="14"/>
  <c r="FY267" i="14"/>
  <c r="FY265" i="14"/>
  <c r="FT255" i="14"/>
  <c r="FT306" i="14" s="1"/>
  <c r="FQ255" i="14"/>
  <c r="FQ306" i="14" s="1"/>
  <c r="FO255" i="14"/>
  <c r="FO270" i="14" s="1"/>
  <c r="FT268" i="14"/>
  <c r="FT269" i="14"/>
  <c r="FT267" i="14"/>
  <c r="FT265" i="14"/>
  <c r="FO268" i="14"/>
  <c r="FO267" i="14"/>
  <c r="FO269" i="14"/>
  <c r="FO265" i="14"/>
  <c r="FJ255" i="14"/>
  <c r="FJ258" i="14" s="1"/>
  <c r="FL255" i="14"/>
  <c r="FL306" i="14" s="1"/>
  <c r="FG265" i="14"/>
  <c r="FG255" i="14"/>
  <c r="FG270" i="14" s="1"/>
  <c r="FJ268" i="14"/>
  <c r="FJ269" i="14"/>
  <c r="FJ267" i="14"/>
  <c r="FJ265" i="14"/>
  <c r="FI270" i="14" l="1"/>
  <c r="FM259" i="14"/>
  <c r="FS120" i="14"/>
  <c r="GF118" i="14"/>
  <c r="GF120" i="14"/>
  <c r="GH118" i="14"/>
  <c r="GH120" i="14"/>
  <c r="GF256" i="14"/>
  <c r="GF259" i="14"/>
  <c r="GG120" i="14"/>
  <c r="GG118" i="14"/>
  <c r="GC306" i="14"/>
  <c r="GH259" i="14"/>
  <c r="GH256" i="14"/>
  <c r="GF260" i="14"/>
  <c r="GF258" i="14"/>
  <c r="GI259" i="14"/>
  <c r="GI256" i="14"/>
  <c r="GF119" i="14"/>
  <c r="GF121" i="14"/>
  <c r="GI118" i="14"/>
  <c r="GI120" i="14"/>
  <c r="GG256" i="14"/>
  <c r="GG259" i="14"/>
  <c r="GJ265" i="14"/>
  <c r="GJ268" i="14"/>
  <c r="FY258" i="14"/>
  <c r="FG256" i="14"/>
  <c r="FI306" i="14"/>
  <c r="FO306" i="14"/>
  <c r="FN306" i="14"/>
  <c r="FI119" i="14"/>
  <c r="FS256" i="14"/>
  <c r="FT270" i="14"/>
  <c r="FY270" i="14"/>
  <c r="FT256" i="14"/>
  <c r="GD258" i="14"/>
  <c r="GE265" i="14"/>
  <c r="GA258" i="14"/>
  <c r="FY306" i="14"/>
  <c r="FI121" i="14"/>
  <c r="FR256" i="14"/>
  <c r="FI120" i="14"/>
  <c r="FN259" i="14"/>
  <c r="GA259" i="14"/>
  <c r="FG258" i="14"/>
  <c r="FH258" i="14"/>
  <c r="FQ258" i="14"/>
  <c r="FJ270" i="14"/>
  <c r="FJ256" i="14"/>
  <c r="FZ279" i="14"/>
  <c r="GD256" i="14"/>
  <c r="GD306" i="14"/>
  <c r="FP255" i="14"/>
  <c r="FP306" i="14" s="1"/>
  <c r="FW29" i="42"/>
  <c r="FW122" i="14"/>
  <c r="FW261" i="14"/>
  <c r="FW192" i="14"/>
  <c r="FS23" i="14"/>
  <c r="FS51" i="3" s="1"/>
  <c r="FS203" i="14"/>
  <c r="FS318" i="14"/>
  <c r="FS249" i="14"/>
  <c r="FQ259" i="14"/>
  <c r="FM118" i="14"/>
  <c r="FK255" i="14"/>
  <c r="FK259" i="14" s="1"/>
  <c r="FU255" i="14"/>
  <c r="FU270" i="14" s="1"/>
  <c r="FL258" i="14"/>
  <c r="FJ306" i="14"/>
  <c r="FY259" i="14"/>
  <c r="FI258" i="14"/>
  <c r="FI118" i="14"/>
  <c r="FN120" i="14"/>
  <c r="FI131" i="14"/>
  <c r="FI29" i="42" s="1"/>
  <c r="FI30" i="42" s="1"/>
  <c r="FS118" i="14"/>
  <c r="FX118" i="14"/>
  <c r="FU268" i="14"/>
  <c r="FS192" i="14"/>
  <c r="GC270" i="14"/>
  <c r="FH120" i="14"/>
  <c r="FN256" i="14"/>
  <c r="FJ259" i="14"/>
  <c r="FJ260" i="14"/>
  <c r="FT260" i="14"/>
  <c r="FV256" i="14"/>
  <c r="FY256" i="14"/>
  <c r="FW260" i="14"/>
  <c r="FP278" i="14"/>
  <c r="FU279" i="14" s="1"/>
  <c r="FZ255" i="14"/>
  <c r="FZ306" i="14" s="1"/>
  <c r="FS262" i="14"/>
  <c r="FO256" i="14"/>
  <c r="FV260" i="14"/>
  <c r="FS122" i="14"/>
  <c r="FY131" i="14"/>
  <c r="FY122" i="14" s="1"/>
  <c r="FY120" i="14"/>
  <c r="FY118" i="14"/>
  <c r="FY119" i="14"/>
  <c r="FY121" i="14"/>
  <c r="FJ131" i="14"/>
  <c r="FJ122" i="14" s="1"/>
  <c r="FJ120" i="14"/>
  <c r="FJ118" i="14"/>
  <c r="FJ121" i="14"/>
  <c r="FJ119" i="14"/>
  <c r="FH121" i="14"/>
  <c r="FG118" i="14"/>
  <c r="FG131" i="14"/>
  <c r="FG122" i="14" s="1"/>
  <c r="FG120" i="14"/>
  <c r="FG121" i="14"/>
  <c r="FG119" i="14"/>
  <c r="FM119" i="14"/>
  <c r="FL118" i="14"/>
  <c r="FL121" i="14"/>
  <c r="FL131" i="14"/>
  <c r="FL120" i="14"/>
  <c r="FL119" i="14"/>
  <c r="FQ120" i="14"/>
  <c r="FQ119" i="14"/>
  <c r="FQ118" i="14"/>
  <c r="FQ131" i="14"/>
  <c r="FQ261" i="14" s="1"/>
  <c r="FQ121" i="14"/>
  <c r="GD131" i="14"/>
  <c r="GD119" i="14"/>
  <c r="GD120" i="14"/>
  <c r="GD118" i="14"/>
  <c r="GD121" i="14"/>
  <c r="GB119" i="14"/>
  <c r="FO131" i="14"/>
  <c r="FO120" i="14"/>
  <c r="FO118" i="14"/>
  <c r="FO119" i="14"/>
  <c r="FO121" i="14"/>
  <c r="FT131" i="14"/>
  <c r="FT122" i="14" s="1"/>
  <c r="FT118" i="14"/>
  <c r="FT119" i="14"/>
  <c r="FT120" i="14"/>
  <c r="FT121" i="14"/>
  <c r="FV131" i="14"/>
  <c r="FV122" i="14" s="1"/>
  <c r="FV118" i="14"/>
  <c r="FW119" i="14"/>
  <c r="FV121" i="14"/>
  <c r="FV120" i="14"/>
  <c r="FV119" i="14"/>
  <c r="GA120" i="14"/>
  <c r="GA119" i="14"/>
  <c r="GA118" i="14"/>
  <c r="GA131" i="14"/>
  <c r="GA121" i="14"/>
  <c r="GB306" i="14"/>
  <c r="GB270" i="14"/>
  <c r="GB256" i="14"/>
  <c r="GB259" i="14"/>
  <c r="GB258" i="14"/>
  <c r="GB260" i="14"/>
  <c r="GC260" i="14"/>
  <c r="FK265" i="14"/>
  <c r="FK278" i="14"/>
  <c r="FP265" i="14"/>
  <c r="FK268" i="14"/>
  <c r="FR121" i="14"/>
  <c r="FS121" i="14"/>
  <c r="FR131" i="14"/>
  <c r="FR120" i="14"/>
  <c r="FL260" i="14"/>
  <c r="FQ260" i="14"/>
  <c r="GA260" i="14"/>
  <c r="FY260" i="14"/>
  <c r="FQ270" i="14"/>
  <c r="FH306" i="14"/>
  <c r="FH270" i="14"/>
  <c r="FH259" i="14"/>
  <c r="FH256" i="14"/>
  <c r="FR118" i="14"/>
  <c r="FG260" i="14"/>
  <c r="FG306" i="14"/>
  <c r="FV306" i="14"/>
  <c r="GD270" i="14"/>
  <c r="FL270" i="14"/>
  <c r="GA270" i="14"/>
  <c r="FH260" i="14"/>
  <c r="FR119" i="14"/>
  <c r="FW120" i="14"/>
  <c r="FW256" i="14"/>
  <c r="FW270" i="14"/>
  <c r="FW258" i="14"/>
  <c r="FW259" i="14"/>
  <c r="FW202" i="14"/>
  <c r="FK117" i="14"/>
  <c r="FP118" i="14" s="1"/>
  <c r="FS119" i="14"/>
  <c r="FS29" i="42"/>
  <c r="FS202" i="14"/>
  <c r="FS136" i="14"/>
  <c r="FS248" i="14"/>
  <c r="FS129" i="14"/>
  <c r="FS271" i="14"/>
  <c r="FS193" i="14"/>
  <c r="GC256" i="14"/>
  <c r="GE117" i="14"/>
  <c r="GE268" i="14"/>
  <c r="GE278" i="14"/>
  <c r="FL259" i="14"/>
  <c r="GA306" i="14"/>
  <c r="FN258" i="14"/>
  <c r="FM306" i="14"/>
  <c r="FM270" i="14"/>
  <c r="FM260" i="14"/>
  <c r="FM258" i="14"/>
  <c r="FS306" i="14"/>
  <c r="FS261" i="14"/>
  <c r="FS258" i="14"/>
  <c r="FS259" i="14"/>
  <c r="FS270" i="14"/>
  <c r="FX120" i="14"/>
  <c r="FX306" i="14"/>
  <c r="FT258" i="14"/>
  <c r="FM256" i="14"/>
  <c r="FW118" i="14"/>
  <c r="GB120" i="14"/>
  <c r="GB131" i="14"/>
  <c r="GB118" i="14"/>
  <c r="FI260" i="14"/>
  <c r="FP268" i="14"/>
  <c r="FS260" i="14"/>
  <c r="FX258" i="14"/>
  <c r="GC119" i="14"/>
  <c r="FG259" i="14"/>
  <c r="FO259" i="14"/>
  <c r="FO260" i="14"/>
  <c r="FT259" i="14"/>
  <c r="FV258" i="14"/>
  <c r="FV259" i="14"/>
  <c r="GD259" i="14"/>
  <c r="GD260" i="14"/>
  <c r="FH118" i="14"/>
  <c r="FH131" i="14"/>
  <c r="FH119" i="14"/>
  <c r="FN121" i="14"/>
  <c r="FN119" i="14"/>
  <c r="FM121" i="14"/>
  <c r="FM120" i="14"/>
  <c r="FM131" i="14"/>
  <c r="FM261" i="14" s="1"/>
  <c r="FW10" i="14"/>
  <c r="FW136" i="14" s="1"/>
  <c r="FW129" i="14"/>
  <c r="FW248" i="14"/>
  <c r="FW271" i="14"/>
  <c r="GB121" i="14"/>
  <c r="GC121" i="14"/>
  <c r="FX121" i="14"/>
  <c r="GC118" i="14"/>
  <c r="FX131" i="14"/>
  <c r="FX119" i="14"/>
  <c r="GC120" i="14"/>
  <c r="FX259" i="14"/>
  <c r="FX270" i="14"/>
  <c r="GC259" i="14"/>
  <c r="FX260" i="14"/>
  <c r="FX256" i="14"/>
  <c r="FQ256" i="14"/>
  <c r="GE255" i="14"/>
  <c r="FR258" i="14"/>
  <c r="FR259" i="14"/>
  <c r="FL256" i="14"/>
  <c r="FO258" i="14"/>
  <c r="GA256" i="14"/>
  <c r="FN260" i="14"/>
  <c r="FS12" i="2"/>
  <c r="FS19" i="42"/>
  <c r="FS24" i="3"/>
  <c r="FS353" i="14"/>
  <c r="FR260" i="14"/>
  <c r="FI259" i="14"/>
  <c r="FN118" i="14"/>
  <c r="FN131" i="14"/>
  <c r="FU265" i="14"/>
  <c r="FU117" i="14"/>
  <c r="GC131" i="14"/>
  <c r="GC258" i="14"/>
  <c r="FR306" i="14"/>
  <c r="FW121" i="14"/>
  <c r="FZ117" i="14"/>
  <c r="FZ268" i="14"/>
  <c r="FZ265" i="14"/>
  <c r="FU306" i="14" l="1"/>
  <c r="GG132" i="14"/>
  <c r="GG134" i="14"/>
  <c r="GE270" i="14"/>
  <c r="GJ259" i="14"/>
  <c r="GJ256" i="14"/>
  <c r="GA261" i="14"/>
  <c r="GF132" i="14"/>
  <c r="GF134" i="14"/>
  <c r="GC122" i="14"/>
  <c r="GH134" i="14"/>
  <c r="GH132" i="14"/>
  <c r="GF133" i="14"/>
  <c r="GF135" i="14"/>
  <c r="GI134" i="14"/>
  <c r="GI132" i="14"/>
  <c r="FI10" i="14"/>
  <c r="FI23" i="14" s="1"/>
  <c r="GE279" i="14"/>
  <c r="GJ279" i="14"/>
  <c r="GJ118" i="14"/>
  <c r="GJ120" i="14"/>
  <c r="FI261" i="14"/>
  <c r="FI134" i="14"/>
  <c r="FI122" i="14"/>
  <c r="FI133" i="14"/>
  <c r="FI202" i="14"/>
  <c r="FP270" i="14"/>
  <c r="FI271" i="14"/>
  <c r="FI248" i="14"/>
  <c r="FI192" i="14"/>
  <c r="FI129" i="14"/>
  <c r="FI132" i="14"/>
  <c r="FI135" i="14"/>
  <c r="FK256" i="14"/>
  <c r="FZ270" i="14"/>
  <c r="GA122" i="14"/>
  <c r="FU259" i="14"/>
  <c r="FU256" i="14"/>
  <c r="FP259" i="14"/>
  <c r="FP256" i="14"/>
  <c r="FK306" i="14"/>
  <c r="FK270" i="14"/>
  <c r="FZ256" i="14"/>
  <c r="FQ122" i="14"/>
  <c r="FZ259" i="14"/>
  <c r="FM122" i="14"/>
  <c r="FS97" i="3"/>
  <c r="FS56" i="5"/>
  <c r="FS90" i="3"/>
  <c r="FS16" i="17"/>
  <c r="FS76" i="3"/>
  <c r="FS16" i="18"/>
  <c r="FS16" i="15"/>
  <c r="FS10" i="7"/>
  <c r="FS83" i="3"/>
  <c r="FN10" i="14"/>
  <c r="FN136" i="14" s="1"/>
  <c r="FN132" i="14"/>
  <c r="FN133" i="14"/>
  <c r="FN29" i="42"/>
  <c r="FS30" i="42" s="1"/>
  <c r="FN129" i="14"/>
  <c r="FN271" i="14"/>
  <c r="FN248" i="14"/>
  <c r="FN261" i="14"/>
  <c r="FS134" i="14"/>
  <c r="FN135" i="14"/>
  <c r="FN122" i="14"/>
  <c r="FN134" i="14"/>
  <c r="FN192" i="14"/>
  <c r="FN202" i="14"/>
  <c r="FS16" i="14"/>
  <c r="FH261" i="14"/>
  <c r="FQ29" i="42"/>
  <c r="FQ248" i="14"/>
  <c r="FU131" i="14"/>
  <c r="FU122" i="14" s="1"/>
  <c r="FQ132" i="14"/>
  <c r="FQ202" i="14"/>
  <c r="FQ192" i="14"/>
  <c r="FQ134" i="14"/>
  <c r="FQ133" i="14"/>
  <c r="FQ129" i="14"/>
  <c r="FQ10" i="14"/>
  <c r="FQ136" i="14" s="1"/>
  <c r="FQ271" i="14"/>
  <c r="FQ135" i="14"/>
  <c r="GB29" i="42"/>
  <c r="GG30" i="42" s="1"/>
  <c r="GB135" i="14"/>
  <c r="GB248" i="14"/>
  <c r="GB202" i="14"/>
  <c r="GB271" i="14"/>
  <c r="GB134" i="14"/>
  <c r="GB129" i="14"/>
  <c r="GB133" i="14"/>
  <c r="GB10" i="14"/>
  <c r="GB132" i="14"/>
  <c r="GB192" i="14"/>
  <c r="FR202" i="14"/>
  <c r="FR248" i="14"/>
  <c r="FR192" i="14"/>
  <c r="FR10" i="14"/>
  <c r="FR136" i="14" s="1"/>
  <c r="FR29" i="42"/>
  <c r="FS31" i="42" s="1"/>
  <c r="FR135" i="14"/>
  <c r="FR133" i="14"/>
  <c r="FR132" i="14"/>
  <c r="FR271" i="14"/>
  <c r="FR134" i="14"/>
  <c r="FS133" i="14"/>
  <c r="FR129" i="14"/>
  <c r="FL134" i="14"/>
  <c r="FL248" i="14"/>
  <c r="FL132" i="14"/>
  <c r="FP131" i="14"/>
  <c r="FL192" i="14"/>
  <c r="FL29" i="42"/>
  <c r="FL10" i="14"/>
  <c r="FL136" i="14" s="1"/>
  <c r="FL129" i="14"/>
  <c r="FL133" i="14"/>
  <c r="FL202" i="14"/>
  <c r="FL271" i="14"/>
  <c r="FL135" i="14"/>
  <c r="FX129" i="14"/>
  <c r="FX248" i="14"/>
  <c r="FX271" i="14"/>
  <c r="FX29" i="42"/>
  <c r="FX202" i="14"/>
  <c r="FX132" i="14"/>
  <c r="FX134" i="14"/>
  <c r="FX192" i="14"/>
  <c r="FX10" i="14"/>
  <c r="FX136" i="14" s="1"/>
  <c r="FX133" i="14"/>
  <c r="FX135" i="14"/>
  <c r="FS132" i="14"/>
  <c r="FL122" i="14"/>
  <c r="GB261" i="14"/>
  <c r="FV10" i="14"/>
  <c r="FW13" i="14" s="1"/>
  <c r="FV248" i="14"/>
  <c r="FZ131" i="14"/>
  <c r="FV29" i="42"/>
  <c r="FV129" i="14"/>
  <c r="FV133" i="14"/>
  <c r="FV135" i="14"/>
  <c r="FV202" i="14"/>
  <c r="FV132" i="14"/>
  <c r="FV134" i="14"/>
  <c r="FV261" i="14"/>
  <c r="FW133" i="14"/>
  <c r="FV192" i="14"/>
  <c r="FV271" i="14"/>
  <c r="FT135" i="14"/>
  <c r="FT129" i="14"/>
  <c r="FT133" i="14"/>
  <c r="FT202" i="14"/>
  <c r="FT29" i="42"/>
  <c r="FT192" i="14"/>
  <c r="FT132" i="14"/>
  <c r="FT248" i="14"/>
  <c r="FT134" i="14"/>
  <c r="FT261" i="14"/>
  <c r="FT271" i="14"/>
  <c r="FO135" i="14"/>
  <c r="FO132" i="14"/>
  <c r="FO129" i="14"/>
  <c r="FO202" i="14"/>
  <c r="FO29" i="42"/>
  <c r="FO192" i="14"/>
  <c r="FO248" i="14"/>
  <c r="FO261" i="14"/>
  <c r="FO134" i="14"/>
  <c r="FO133" i="14"/>
  <c r="FO271" i="14"/>
  <c r="FZ120" i="14"/>
  <c r="FZ118" i="14"/>
  <c r="GB122" i="14"/>
  <c r="FH192" i="14"/>
  <c r="FH133" i="14"/>
  <c r="FH135" i="14"/>
  <c r="FH271" i="14"/>
  <c r="FH10" i="14"/>
  <c r="FH132" i="14"/>
  <c r="FH129" i="14"/>
  <c r="FH248" i="14"/>
  <c r="FH202" i="14"/>
  <c r="FH29" i="42"/>
  <c r="FH134" i="14"/>
  <c r="FS42" i="42"/>
  <c r="FS10" i="42"/>
  <c r="FS22" i="42" s="1"/>
  <c r="FS27" i="42"/>
  <c r="FS37" i="42"/>
  <c r="FW135" i="14"/>
  <c r="FW132" i="14"/>
  <c r="FW12" i="2"/>
  <c r="FW249" i="14"/>
  <c r="FW203" i="14"/>
  <c r="FW24" i="3"/>
  <c r="FW16" i="14" s="1"/>
  <c r="FW193" i="14"/>
  <c r="FW23" i="14"/>
  <c r="FW318" i="14"/>
  <c r="FW353" i="14"/>
  <c r="FW262" i="14"/>
  <c r="FW19" i="42"/>
  <c r="FH122" i="14"/>
  <c r="FS135" i="14"/>
  <c r="FL261" i="14"/>
  <c r="FP279" i="14"/>
  <c r="FK279" i="14"/>
  <c r="FS66" i="3"/>
  <c r="GA248" i="14"/>
  <c r="GA192" i="14"/>
  <c r="GA133" i="14"/>
  <c r="GA129" i="14"/>
  <c r="GE131" i="14"/>
  <c r="GA135" i="14"/>
  <c r="GA134" i="14"/>
  <c r="GA132" i="14"/>
  <c r="GA10" i="14"/>
  <c r="GA29" i="42"/>
  <c r="GF30" i="42" s="1"/>
  <c r="GA202" i="14"/>
  <c r="GA271" i="14"/>
  <c r="FO122" i="14"/>
  <c r="GD133" i="14"/>
  <c r="GD129" i="14"/>
  <c r="GD135" i="14"/>
  <c r="GD29" i="42"/>
  <c r="GD192" i="14"/>
  <c r="GD134" i="14"/>
  <c r="GD248" i="14"/>
  <c r="GD271" i="14"/>
  <c r="GD261" i="14"/>
  <c r="GD202" i="14"/>
  <c r="GD132" i="14"/>
  <c r="FK131" i="14"/>
  <c r="FK122" i="14" s="1"/>
  <c r="FG29" i="42"/>
  <c r="FG202" i="14"/>
  <c r="FG135" i="14"/>
  <c r="FG129" i="14"/>
  <c r="FG248" i="14"/>
  <c r="FG134" i="14"/>
  <c r="FG133" i="14"/>
  <c r="FG192" i="14"/>
  <c r="FG261" i="14"/>
  <c r="FG132" i="14"/>
  <c r="FG10" i="14"/>
  <c r="FG136" i="14" s="1"/>
  <c r="FG271" i="14"/>
  <c r="GE259" i="14"/>
  <c r="GE306" i="14"/>
  <c r="GE256" i="14"/>
  <c r="GC132" i="14"/>
  <c r="GC192" i="14"/>
  <c r="GC129" i="14"/>
  <c r="GC29" i="42"/>
  <c r="GH30" i="42" s="1"/>
  <c r="GC135" i="14"/>
  <c r="GC248" i="14"/>
  <c r="GC134" i="14"/>
  <c r="GC202" i="14"/>
  <c r="GC133" i="14"/>
  <c r="GC271" i="14"/>
  <c r="GC10" i="14"/>
  <c r="GC261" i="14"/>
  <c r="FS32" i="42"/>
  <c r="FU120" i="14"/>
  <c r="FU118" i="14"/>
  <c r="FR261" i="14"/>
  <c r="FS15" i="2"/>
  <c r="FR122" i="14"/>
  <c r="FX261" i="14"/>
  <c r="FX122" i="14"/>
  <c r="FW134" i="14"/>
  <c r="FM29" i="42"/>
  <c r="FM133" i="14"/>
  <c r="FM134" i="14"/>
  <c r="FM271" i="14"/>
  <c r="FM202" i="14"/>
  <c r="FM192" i="14"/>
  <c r="FM248" i="14"/>
  <c r="FM10" i="14"/>
  <c r="FM136" i="14" s="1"/>
  <c r="FM135" i="14"/>
  <c r="FM129" i="14"/>
  <c r="FM132" i="14"/>
  <c r="GE118" i="14"/>
  <c r="GE120" i="14"/>
  <c r="FK120" i="14"/>
  <c r="FK118" i="14"/>
  <c r="FP120" i="14"/>
  <c r="GD122" i="14"/>
  <c r="FJ135" i="14"/>
  <c r="FJ134" i="14"/>
  <c r="FJ248" i="14"/>
  <c r="FJ271" i="14"/>
  <c r="FJ192" i="14"/>
  <c r="FJ133" i="14"/>
  <c r="FJ29" i="42"/>
  <c r="FJ132" i="14"/>
  <c r="FJ202" i="14"/>
  <c r="FJ261" i="14"/>
  <c r="FJ129" i="14"/>
  <c r="FY132" i="14"/>
  <c r="FY129" i="14"/>
  <c r="FY29" i="42"/>
  <c r="FY133" i="14"/>
  <c r="FY202" i="14"/>
  <c r="FY134" i="14"/>
  <c r="FY248" i="14"/>
  <c r="FY135" i="14"/>
  <c r="FY271" i="14"/>
  <c r="FY261" i="14"/>
  <c r="FY192" i="14"/>
  <c r="FI19" i="42" l="1"/>
  <c r="FI318" i="14"/>
  <c r="FV136" i="14"/>
  <c r="FI15" i="14"/>
  <c r="FI14" i="14"/>
  <c r="FI24" i="3"/>
  <c r="FI203" i="14"/>
  <c r="FI11" i="14"/>
  <c r="FI353" i="14"/>
  <c r="FI136" i="14"/>
  <c r="FI249" i="14"/>
  <c r="FI193" i="14"/>
  <c r="FI262" i="14"/>
  <c r="FI12" i="2"/>
  <c r="FI15" i="2" s="1"/>
  <c r="GC136" i="14"/>
  <c r="GH14" i="14"/>
  <c r="GH11" i="14"/>
  <c r="GB136" i="14"/>
  <c r="GG11" i="14"/>
  <c r="GG14" i="14"/>
  <c r="GF14" i="14"/>
  <c r="GF11" i="14"/>
  <c r="GJ134" i="14"/>
  <c r="GJ132" i="14"/>
  <c r="GI30" i="42"/>
  <c r="GF31" i="42"/>
  <c r="FW14" i="14"/>
  <c r="FW15" i="14"/>
  <c r="GC12" i="2"/>
  <c r="GC15" i="2" s="1"/>
  <c r="GC203" i="14"/>
  <c r="GC19" i="42"/>
  <c r="GC13" i="14"/>
  <c r="GC24" i="3"/>
  <c r="GC193" i="14"/>
  <c r="GC15" i="14"/>
  <c r="GC353" i="14"/>
  <c r="GC11" i="14"/>
  <c r="GC23" i="14"/>
  <c r="GC249" i="14"/>
  <c r="GC318" i="14"/>
  <c r="GC262" i="14"/>
  <c r="GC14" i="14"/>
  <c r="FS71" i="3"/>
  <c r="FW11" i="14"/>
  <c r="FI13" i="14"/>
  <c r="FT30" i="42"/>
  <c r="FT31" i="42"/>
  <c r="FZ29" i="42"/>
  <c r="FZ134" i="14"/>
  <c r="FZ132" i="14"/>
  <c r="FZ129" i="14"/>
  <c r="FZ248" i="14"/>
  <c r="FZ192" i="14"/>
  <c r="FZ202" i="14"/>
  <c r="FZ271" i="14"/>
  <c r="FZ261" i="14"/>
  <c r="FL30" i="42"/>
  <c r="FL31" i="42"/>
  <c r="FS112" i="3"/>
  <c r="GA31" i="42"/>
  <c r="GA30" i="42"/>
  <c r="GE29" i="42"/>
  <c r="GJ30" i="42" s="1"/>
  <c r="GE132" i="14"/>
  <c r="GE134" i="14"/>
  <c r="GE129" i="14"/>
  <c r="GE192" i="14"/>
  <c r="GE202" i="14"/>
  <c r="GE248" i="14"/>
  <c r="GE271" i="14"/>
  <c r="FH136" i="14"/>
  <c r="FI20" i="42"/>
  <c r="FI10" i="42"/>
  <c r="FI22" i="42" s="1"/>
  <c r="FI42" i="42"/>
  <c r="FI37" i="42"/>
  <c r="FI27" i="42"/>
  <c r="FI32" i="42"/>
  <c r="GB30" i="42"/>
  <c r="GB31" i="42"/>
  <c r="FN318" i="14"/>
  <c r="FN13" i="14"/>
  <c r="FN19" i="42"/>
  <c r="FN32" i="42" s="1"/>
  <c r="FN15" i="14"/>
  <c r="FN23" i="14"/>
  <c r="FN353" i="14"/>
  <c r="FN14" i="14"/>
  <c r="FN249" i="14"/>
  <c r="FN12" i="2"/>
  <c r="FS11" i="14"/>
  <c r="FN203" i="14"/>
  <c r="FN11" i="14"/>
  <c r="FN24" i="3"/>
  <c r="FN16" i="14" s="1"/>
  <c r="FN193" i="14"/>
  <c r="FS14" i="14"/>
  <c r="FN262" i="14"/>
  <c r="FJ31" i="42"/>
  <c r="FJ30" i="42"/>
  <c r="GA193" i="14"/>
  <c r="GA353" i="14"/>
  <c r="GA24" i="3"/>
  <c r="GA16" i="14" s="1"/>
  <c r="GA19" i="42"/>
  <c r="GA249" i="14"/>
  <c r="GA318" i="14"/>
  <c r="GA14" i="14"/>
  <c r="GA11" i="14"/>
  <c r="GA12" i="2"/>
  <c r="GA23" i="14"/>
  <c r="GA203" i="14"/>
  <c r="GA262" i="14"/>
  <c r="FV19" i="42"/>
  <c r="FW21" i="42" s="1"/>
  <c r="FV249" i="14"/>
  <c r="FV318" i="14"/>
  <c r="FV11" i="14"/>
  <c r="FV23" i="14"/>
  <c r="FV203" i="14"/>
  <c r="FV14" i="14"/>
  <c r="FV262" i="14"/>
  <c r="FV12" i="2"/>
  <c r="FV24" i="3"/>
  <c r="FW27" i="3" s="1"/>
  <c r="FV353" i="14"/>
  <c r="FV193" i="14"/>
  <c r="FX24" i="3"/>
  <c r="FX318" i="14"/>
  <c r="FX193" i="14"/>
  <c r="FX14" i="14"/>
  <c r="FX11" i="14"/>
  <c r="FX13" i="14"/>
  <c r="FX23" i="14"/>
  <c r="FX15" i="14"/>
  <c r="FX353" i="14"/>
  <c r="FX249" i="14"/>
  <c r="FX12" i="2"/>
  <c r="FX203" i="14"/>
  <c r="FX19" i="42"/>
  <c r="FX262" i="14"/>
  <c r="FX30" i="42"/>
  <c r="FX31" i="42"/>
  <c r="FP134" i="14"/>
  <c r="FP202" i="14"/>
  <c r="FP29" i="42"/>
  <c r="FP248" i="14"/>
  <c r="FP132" i="14"/>
  <c r="FP122" i="14"/>
  <c r="FP192" i="14"/>
  <c r="FP129" i="14"/>
  <c r="FP261" i="14"/>
  <c r="FP271" i="14"/>
  <c r="FR30" i="42"/>
  <c r="FR31" i="42"/>
  <c r="FW30" i="42"/>
  <c r="FQ31" i="42"/>
  <c r="FQ30" i="42"/>
  <c r="FS12" i="5"/>
  <c r="FS35" i="5"/>
  <c r="FS108" i="5"/>
  <c r="FS150" i="5"/>
  <c r="FS43" i="5"/>
  <c r="FS32" i="5"/>
  <c r="FS39" i="5"/>
  <c r="FS15" i="5"/>
  <c r="FS24" i="5"/>
  <c r="FK29" i="42"/>
  <c r="FK134" i="14"/>
  <c r="FK248" i="14"/>
  <c r="FK192" i="14"/>
  <c r="FK202" i="14"/>
  <c r="FK129" i="14"/>
  <c r="FK132" i="14"/>
  <c r="FK261" i="14"/>
  <c r="FK271" i="14"/>
  <c r="FW51" i="3"/>
  <c r="FH249" i="14"/>
  <c r="FH193" i="14"/>
  <c r="FH203" i="14"/>
  <c r="FH15" i="14"/>
  <c r="FH13" i="14"/>
  <c r="FH24" i="3"/>
  <c r="FH11" i="14"/>
  <c r="FH12" i="2"/>
  <c r="FH23" i="14"/>
  <c r="FI26" i="14" s="1"/>
  <c r="FH353" i="14"/>
  <c r="FH318" i="14"/>
  <c r="FH14" i="14"/>
  <c r="FH19" i="42"/>
  <c r="FH32" i="42" s="1"/>
  <c r="FH262" i="14"/>
  <c r="FW42" i="42"/>
  <c r="FW37" i="42"/>
  <c r="FW27" i="42"/>
  <c r="FW10" i="42"/>
  <c r="FW22" i="42" s="1"/>
  <c r="FW32" i="42"/>
  <c r="FH30" i="42"/>
  <c r="FH31" i="42"/>
  <c r="FI31" i="42"/>
  <c r="FR318" i="14"/>
  <c r="FR193" i="14"/>
  <c r="FR23" i="14"/>
  <c r="FR15" i="14"/>
  <c r="FR249" i="14"/>
  <c r="FR12" i="2"/>
  <c r="FR13" i="14"/>
  <c r="FR14" i="14"/>
  <c r="FR203" i="14"/>
  <c r="FR353" i="14"/>
  <c r="FR24" i="3"/>
  <c r="FR11" i="14"/>
  <c r="FR19" i="42"/>
  <c r="FW20" i="42" s="1"/>
  <c r="FS13" i="14"/>
  <c r="FS15" i="14"/>
  <c r="FR262" i="14"/>
  <c r="GE122" i="14"/>
  <c r="FM203" i="14"/>
  <c r="FM24" i="3"/>
  <c r="FM16" i="14" s="1"/>
  <c r="FM11" i="14"/>
  <c r="FM15" i="14"/>
  <c r="FM193" i="14"/>
  <c r="FM353" i="14"/>
  <c r="FM19" i="42"/>
  <c r="FM32" i="42" s="1"/>
  <c r="FM23" i="14"/>
  <c r="FM12" i="2"/>
  <c r="FM318" i="14"/>
  <c r="FM249" i="14"/>
  <c r="FM13" i="14"/>
  <c r="FM14" i="14"/>
  <c r="FM262" i="14"/>
  <c r="FS35" i="2"/>
  <c r="FS18" i="2"/>
  <c r="GC30" i="42"/>
  <c r="GC31" i="42"/>
  <c r="FW15" i="2"/>
  <c r="FS67" i="42"/>
  <c r="FS17" i="42"/>
  <c r="FS47" i="42"/>
  <c r="FI51" i="3"/>
  <c r="FI27" i="14"/>
  <c r="FI24" i="14"/>
  <c r="GB15" i="14"/>
  <c r="GB24" i="3"/>
  <c r="GB13" i="14"/>
  <c r="GB318" i="14"/>
  <c r="GB23" i="14"/>
  <c r="GB193" i="14"/>
  <c r="GB203" i="14"/>
  <c r="GB12" i="2"/>
  <c r="GB15" i="2" s="1"/>
  <c r="GB14" i="14"/>
  <c r="GB19" i="42"/>
  <c r="GG20" i="42" s="1"/>
  <c r="GB249" i="14"/>
  <c r="GB353" i="14"/>
  <c r="GB11" i="14"/>
  <c r="GB262" i="14"/>
  <c r="FQ23" i="14"/>
  <c r="FQ12" i="2"/>
  <c r="FQ19" i="42"/>
  <c r="FQ32" i="42" s="1"/>
  <c r="FQ11" i="14"/>
  <c r="FQ203" i="14"/>
  <c r="FQ249" i="14"/>
  <c r="FQ14" i="14"/>
  <c r="FQ193" i="14"/>
  <c r="FQ318" i="14"/>
  <c r="FQ24" i="3"/>
  <c r="FQ353" i="14"/>
  <c r="FQ262" i="14"/>
  <c r="FN31" i="42"/>
  <c r="FN30" i="42"/>
  <c r="FS45" i="3"/>
  <c r="FG30" i="42"/>
  <c r="FG31" i="42"/>
  <c r="FG249" i="14"/>
  <c r="FG19" i="42"/>
  <c r="FG32" i="42" s="1"/>
  <c r="FG11" i="14"/>
  <c r="FG203" i="14"/>
  <c r="FG14" i="14"/>
  <c r="FG24" i="3"/>
  <c r="FG12" i="2"/>
  <c r="FG23" i="14"/>
  <c r="FG353" i="14"/>
  <c r="FG193" i="14"/>
  <c r="FG262" i="14"/>
  <c r="FG318" i="14"/>
  <c r="GE261" i="14"/>
  <c r="FY31" i="42"/>
  <c r="FY30" i="42"/>
  <c r="FM31" i="42"/>
  <c r="FM30" i="42"/>
  <c r="GD31" i="42"/>
  <c r="GD30" i="42"/>
  <c r="GA136" i="14"/>
  <c r="FW10" i="7"/>
  <c r="FW16" i="18"/>
  <c r="FW97" i="3"/>
  <c r="FW16" i="17"/>
  <c r="FW76" i="3"/>
  <c r="FW83" i="3"/>
  <c r="FW90" i="3"/>
  <c r="FW16" i="15"/>
  <c r="FW56" i="5"/>
  <c r="FZ122" i="14"/>
  <c r="FO30" i="42"/>
  <c r="FO31" i="42"/>
  <c r="FV30" i="42"/>
  <c r="FV31" i="42"/>
  <c r="FW31" i="42"/>
  <c r="FL12" i="2"/>
  <c r="FL249" i="14"/>
  <c r="FL353" i="14"/>
  <c r="FL14" i="14"/>
  <c r="FL318" i="14"/>
  <c r="FL24" i="3"/>
  <c r="FL23" i="14"/>
  <c r="FL203" i="14"/>
  <c r="FL11" i="14"/>
  <c r="FL19" i="42"/>
  <c r="FL193" i="14"/>
  <c r="FL262" i="14"/>
  <c r="FU29" i="42"/>
  <c r="FU202" i="14"/>
  <c r="FU129" i="14"/>
  <c r="FU134" i="14"/>
  <c r="FU192" i="14"/>
  <c r="FU132" i="14"/>
  <c r="FU271" i="14"/>
  <c r="FU248" i="14"/>
  <c r="FU261" i="14"/>
  <c r="FS36" i="7"/>
  <c r="FS44" i="7"/>
  <c r="FS49" i="7"/>
  <c r="FS54" i="7"/>
  <c r="FS29" i="7"/>
  <c r="FS21" i="7"/>
  <c r="FV32" i="42" l="1"/>
  <c r="FI16" i="14"/>
  <c r="FI131" i="15"/>
  <c r="FI149" i="15"/>
  <c r="FI130" i="15"/>
  <c r="FH16" i="14"/>
  <c r="FH131" i="15"/>
  <c r="FH130" i="15"/>
  <c r="FH149" i="15"/>
  <c r="FG131" i="15"/>
  <c r="FG130" i="15"/>
  <c r="FG149" i="15"/>
  <c r="FI25" i="3"/>
  <c r="FI16" i="15"/>
  <c r="FI90" i="3"/>
  <c r="FI91" i="3" s="1"/>
  <c r="FI56" i="5"/>
  <c r="FI12" i="5" s="1"/>
  <c r="FI97" i="3"/>
  <c r="FI83" i="3"/>
  <c r="FI84" i="3" s="1"/>
  <c r="FI10" i="7"/>
  <c r="FI54" i="7" s="1"/>
  <c r="FI28" i="3"/>
  <c r="FI16" i="17"/>
  <c r="FI16" i="18"/>
  <c r="FI76" i="3"/>
  <c r="FI79" i="3" s="1"/>
  <c r="FW29" i="3"/>
  <c r="GG27" i="14"/>
  <c r="GG24" i="14"/>
  <c r="FW28" i="3"/>
  <c r="GH27" i="14"/>
  <c r="GH24" i="14"/>
  <c r="GF27" i="14"/>
  <c r="GF24" i="14"/>
  <c r="FI29" i="3"/>
  <c r="FG16" i="14"/>
  <c r="FW25" i="3"/>
  <c r="GB16" i="14"/>
  <c r="GG28" i="3"/>
  <c r="GG25" i="3"/>
  <c r="GA32" i="42"/>
  <c r="GF20" i="42"/>
  <c r="GH25" i="3"/>
  <c r="GH28" i="3"/>
  <c r="GF28" i="3"/>
  <c r="GF25" i="3"/>
  <c r="GC32" i="42"/>
  <c r="GH20" i="42"/>
  <c r="FI27" i="3"/>
  <c r="FR32" i="42"/>
  <c r="FL42" i="42"/>
  <c r="FL10" i="42"/>
  <c r="FL22" i="42" s="1"/>
  <c r="FL20" i="42"/>
  <c r="FL37" i="42"/>
  <c r="FL27" i="42"/>
  <c r="FW36" i="7"/>
  <c r="FW54" i="7"/>
  <c r="FW49" i="7"/>
  <c r="FW21" i="7"/>
  <c r="FW29" i="7"/>
  <c r="FW44" i="7"/>
  <c r="FQ27" i="14"/>
  <c r="FQ51" i="3"/>
  <c r="FQ24" i="14"/>
  <c r="FM26" i="14"/>
  <c r="FM27" i="14"/>
  <c r="FM51" i="3"/>
  <c r="FM24" i="14"/>
  <c r="FM27" i="3"/>
  <c r="FM56" i="5"/>
  <c r="FM90" i="3"/>
  <c r="FM76" i="3"/>
  <c r="FM28" i="3"/>
  <c r="FM29" i="3"/>
  <c r="FM16" i="18"/>
  <c r="FM16" i="17"/>
  <c r="FM16" i="15"/>
  <c r="FM97" i="3"/>
  <c r="FM10" i="7"/>
  <c r="FM83" i="3"/>
  <c r="FM25" i="3"/>
  <c r="FR97" i="3"/>
  <c r="FW98" i="3" s="1"/>
  <c r="FR83" i="3"/>
  <c r="FR16" i="18"/>
  <c r="FR10" i="7"/>
  <c r="FR27" i="3"/>
  <c r="FR16" i="17"/>
  <c r="FR16" i="15"/>
  <c r="FR25" i="3"/>
  <c r="FR56" i="5"/>
  <c r="FR90" i="3"/>
  <c r="FW93" i="3" s="1"/>
  <c r="FR76" i="3"/>
  <c r="FR29" i="3"/>
  <c r="FR28" i="3"/>
  <c r="FS27" i="3"/>
  <c r="FS29" i="3"/>
  <c r="FR15" i="2"/>
  <c r="FH21" i="42"/>
  <c r="FH20" i="42"/>
  <c r="FH27" i="42"/>
  <c r="FH10" i="42"/>
  <c r="FI12" i="42" s="1"/>
  <c r="FH42" i="42"/>
  <c r="FH37" i="42"/>
  <c r="FS10" i="30"/>
  <c r="FS49" i="6"/>
  <c r="FS138" i="5"/>
  <c r="FP30" i="42"/>
  <c r="FV90" i="3"/>
  <c r="FW92" i="3" s="1"/>
  <c r="FV25" i="3"/>
  <c r="FV97" i="3"/>
  <c r="FW99" i="3" s="1"/>
  <c r="FV56" i="5"/>
  <c r="FV16" i="18"/>
  <c r="FV76" i="3"/>
  <c r="FW80" i="3" s="1"/>
  <c r="FV83" i="3"/>
  <c r="FW87" i="3" s="1"/>
  <c r="FV10" i="7"/>
  <c r="FV28" i="3"/>
  <c r="FV16" i="17"/>
  <c r="FV16" i="15"/>
  <c r="GA83" i="3"/>
  <c r="GA28" i="3"/>
  <c r="GA56" i="5"/>
  <c r="GA16" i="15"/>
  <c r="GA16" i="17"/>
  <c r="GA97" i="3"/>
  <c r="GF98" i="3" s="1"/>
  <c r="GA90" i="3"/>
  <c r="GA76" i="3"/>
  <c r="GA16" i="18"/>
  <c r="GA10" i="7"/>
  <c r="GA25" i="3"/>
  <c r="FI47" i="42"/>
  <c r="FI67" i="42"/>
  <c r="FI11" i="42"/>
  <c r="FI17" i="42"/>
  <c r="FZ30" i="42"/>
  <c r="GB18" i="2"/>
  <c r="GB35" i="2"/>
  <c r="GB10" i="7"/>
  <c r="GB16" i="15"/>
  <c r="GB16" i="17"/>
  <c r="GB56" i="5"/>
  <c r="GB29" i="3"/>
  <c r="GB25" i="3"/>
  <c r="GB97" i="3"/>
  <c r="GG98" i="3" s="1"/>
  <c r="GB16" i="18"/>
  <c r="GB76" i="3"/>
  <c r="GB83" i="3"/>
  <c r="GB27" i="3"/>
  <c r="GB90" i="3"/>
  <c r="GB28" i="3"/>
  <c r="FM42" i="42"/>
  <c r="FM27" i="42"/>
  <c r="FM20" i="42"/>
  <c r="FM10" i="42"/>
  <c r="FM37" i="42"/>
  <c r="FM21" i="42"/>
  <c r="FX27" i="42"/>
  <c r="FX37" i="42"/>
  <c r="FX20" i="42"/>
  <c r="FX10" i="42"/>
  <c r="FX42" i="42"/>
  <c r="FX21" i="42"/>
  <c r="FX27" i="14"/>
  <c r="FX26" i="14"/>
  <c r="FX51" i="3"/>
  <c r="FX24" i="14"/>
  <c r="FV27" i="14"/>
  <c r="FV24" i="14"/>
  <c r="FV51" i="3"/>
  <c r="FW53" i="3" s="1"/>
  <c r="FN15" i="2"/>
  <c r="FL32" i="42"/>
  <c r="GC51" i="3"/>
  <c r="GH52" i="3" s="1"/>
  <c r="GC27" i="14"/>
  <c r="GC26" i="14"/>
  <c r="GC24" i="14"/>
  <c r="GC10" i="7"/>
  <c r="GC90" i="3"/>
  <c r="GC83" i="3"/>
  <c r="GC16" i="18"/>
  <c r="GC56" i="5"/>
  <c r="GC76" i="3"/>
  <c r="GC27" i="3"/>
  <c r="GC29" i="3"/>
  <c r="GC97" i="3"/>
  <c r="GH98" i="3" s="1"/>
  <c r="GC25" i="3"/>
  <c r="GC16" i="17"/>
  <c r="GC28" i="3"/>
  <c r="GC16" i="15"/>
  <c r="FU30" i="42"/>
  <c r="FI98" i="3"/>
  <c r="FG24" i="14"/>
  <c r="FG51" i="3"/>
  <c r="FG27" i="14"/>
  <c r="FQ16" i="15"/>
  <c r="FQ97" i="3"/>
  <c r="FQ10" i="7"/>
  <c r="FQ25" i="3"/>
  <c r="FQ16" i="18"/>
  <c r="FQ90" i="3"/>
  <c r="FQ56" i="5"/>
  <c r="FQ76" i="3"/>
  <c r="FQ28" i="3"/>
  <c r="FQ83" i="3"/>
  <c r="FQ16" i="17"/>
  <c r="FQ16" i="14"/>
  <c r="FH97" i="3"/>
  <c r="FH16" i="18"/>
  <c r="FH56" i="5"/>
  <c r="FH76" i="3"/>
  <c r="FH16" i="15"/>
  <c r="FH25" i="3"/>
  <c r="FH16" i="17"/>
  <c r="FH28" i="3"/>
  <c r="FH29" i="3"/>
  <c r="FH83" i="3"/>
  <c r="FH27" i="3"/>
  <c r="FH10" i="7"/>
  <c r="FH90" i="3"/>
  <c r="FW66" i="3"/>
  <c r="FS91" i="5"/>
  <c r="FX76" i="3"/>
  <c r="FX97" i="3"/>
  <c r="FX56" i="5"/>
  <c r="FX25" i="3"/>
  <c r="FX16" i="15"/>
  <c r="FX29" i="3"/>
  <c r="FX10" i="7"/>
  <c r="FX16" i="17"/>
  <c r="FX90" i="3"/>
  <c r="FX83" i="3"/>
  <c r="FX27" i="3"/>
  <c r="FX28" i="3"/>
  <c r="FX16" i="18"/>
  <c r="FV15" i="2"/>
  <c r="GA27" i="14"/>
  <c r="GA24" i="14"/>
  <c r="GA51" i="3"/>
  <c r="GF52" i="3" s="1"/>
  <c r="FN21" i="42"/>
  <c r="FN37" i="42"/>
  <c r="FN10" i="42"/>
  <c r="FN22" i="42" s="1"/>
  <c r="FN42" i="42"/>
  <c r="FN20" i="42"/>
  <c r="FN27" i="42"/>
  <c r="FS20" i="42"/>
  <c r="GE30" i="42"/>
  <c r="FL15" i="2"/>
  <c r="FG15" i="2"/>
  <c r="FR27" i="14"/>
  <c r="FR26" i="14"/>
  <c r="FR51" i="3"/>
  <c r="FR24" i="14"/>
  <c r="FS26" i="14"/>
  <c r="FI18" i="2"/>
  <c r="FI35" i="2"/>
  <c r="FW24" i="14"/>
  <c r="FS89" i="5"/>
  <c r="FX15" i="2"/>
  <c r="GA15" i="2"/>
  <c r="FN56" i="5"/>
  <c r="FN16" i="18"/>
  <c r="FN83" i="3"/>
  <c r="FN29" i="3"/>
  <c r="FN27" i="3"/>
  <c r="FN28" i="3"/>
  <c r="FN76" i="3"/>
  <c r="FN25" i="3"/>
  <c r="FN97" i="3"/>
  <c r="FN10" i="7"/>
  <c r="FN16" i="17"/>
  <c r="FN16" i="15"/>
  <c r="FN90" i="3"/>
  <c r="FS25" i="3"/>
  <c r="FS28" i="3"/>
  <c r="FI21" i="42"/>
  <c r="GC16" i="14"/>
  <c r="GC42" i="42"/>
  <c r="GC20" i="42"/>
  <c r="GC21" i="42"/>
  <c r="GC27" i="42"/>
  <c r="GC37" i="42"/>
  <c r="GC10" i="42"/>
  <c r="FL51" i="3"/>
  <c r="FL24" i="14"/>
  <c r="FL27" i="14"/>
  <c r="FG56" i="5"/>
  <c r="FG76" i="3"/>
  <c r="FG83" i="3"/>
  <c r="FG10" i="7"/>
  <c r="FG97" i="3"/>
  <c r="FG90" i="3"/>
  <c r="FG25" i="3"/>
  <c r="FG16" i="15"/>
  <c r="FG16" i="17"/>
  <c r="FG16" i="18"/>
  <c r="FG28" i="3"/>
  <c r="FG10" i="42"/>
  <c r="FG22" i="42" s="1"/>
  <c r="FG20" i="42"/>
  <c r="FG42" i="42"/>
  <c r="FG37" i="42"/>
  <c r="FG27" i="42"/>
  <c r="FS57" i="5"/>
  <c r="FQ10" i="42"/>
  <c r="FQ22" i="42" s="1"/>
  <c r="FQ20" i="42"/>
  <c r="FQ27" i="42"/>
  <c r="FQ37" i="42"/>
  <c r="FQ42" i="42"/>
  <c r="GB51" i="3"/>
  <c r="GG52" i="3" s="1"/>
  <c r="GB26" i="14"/>
  <c r="GB24" i="14"/>
  <c r="GB27" i="14"/>
  <c r="FI66" i="3"/>
  <c r="FI52" i="3"/>
  <c r="FR21" i="42"/>
  <c r="FR10" i="42"/>
  <c r="FR22" i="42" s="1"/>
  <c r="FR37" i="42"/>
  <c r="FR42" i="42"/>
  <c r="FR20" i="42"/>
  <c r="FR27" i="42"/>
  <c r="FS21" i="42"/>
  <c r="FR16" i="14"/>
  <c r="FH27" i="14"/>
  <c r="FH24" i="14"/>
  <c r="FH51" i="3"/>
  <c r="FI53" i="3" s="1"/>
  <c r="FH26" i="14"/>
  <c r="FW27" i="14"/>
  <c r="FK30" i="42"/>
  <c r="FV16" i="14"/>
  <c r="FL56" i="5"/>
  <c r="FL76" i="3"/>
  <c r="FL83" i="3"/>
  <c r="FL16" i="18"/>
  <c r="FL16" i="15"/>
  <c r="FL10" i="7"/>
  <c r="FL90" i="3"/>
  <c r="FL16" i="17"/>
  <c r="FL97" i="3"/>
  <c r="FL25" i="3"/>
  <c r="FL28" i="3"/>
  <c r="FL16" i="14"/>
  <c r="FW12" i="5"/>
  <c r="FW24" i="5"/>
  <c r="FW15" i="5"/>
  <c r="FW150" i="5"/>
  <c r="FW108" i="5"/>
  <c r="FW43" i="5"/>
  <c r="FW32" i="5"/>
  <c r="FW39" i="5"/>
  <c r="FW35" i="5"/>
  <c r="FW112" i="3"/>
  <c r="FQ15" i="2"/>
  <c r="GB42" i="42"/>
  <c r="GB21" i="42"/>
  <c r="GB27" i="42"/>
  <c r="GB37" i="42"/>
  <c r="GB20" i="42"/>
  <c r="GB10" i="42"/>
  <c r="FW18" i="2"/>
  <c r="FW35" i="2"/>
  <c r="FM15" i="2"/>
  <c r="FW47" i="42"/>
  <c r="FW67" i="42"/>
  <c r="FW17" i="42"/>
  <c r="FH15" i="2"/>
  <c r="FW26" i="14"/>
  <c r="FS14" i="6"/>
  <c r="FX32" i="42"/>
  <c r="FX16" i="14"/>
  <c r="FV20" i="42"/>
  <c r="FV27" i="42"/>
  <c r="FV10" i="42"/>
  <c r="FW12" i="42" s="1"/>
  <c r="FV37" i="42"/>
  <c r="FV42" i="42"/>
  <c r="GA20" i="42"/>
  <c r="GA37" i="42"/>
  <c r="GA10" i="42"/>
  <c r="GF11" i="42" s="1"/>
  <c r="GA42" i="42"/>
  <c r="GA27" i="42"/>
  <c r="FN51" i="3"/>
  <c r="FN24" i="14"/>
  <c r="FN26" i="14"/>
  <c r="FN27" i="14"/>
  <c r="FS27" i="14"/>
  <c r="FS24" i="14"/>
  <c r="GB32" i="42"/>
  <c r="FS118" i="3"/>
  <c r="GC18" i="2"/>
  <c r="GC35" i="2"/>
  <c r="FI15" i="5" l="1"/>
  <c r="FI77" i="3"/>
  <c r="FI12" i="7"/>
  <c r="FW94" i="3"/>
  <c r="FI36" i="7"/>
  <c r="FI21" i="7"/>
  <c r="FI86" i="3"/>
  <c r="FI49" i="7"/>
  <c r="FI50" i="7" s="1"/>
  <c r="FI44" i="7"/>
  <c r="FI45" i="7" s="1"/>
  <c r="FI11" i="7"/>
  <c r="FI29" i="7"/>
  <c r="FI93" i="3"/>
  <c r="FI24" i="5"/>
  <c r="FI35" i="5"/>
  <c r="FI32" i="5"/>
  <c r="FI89" i="5" s="1"/>
  <c r="FI108" i="5"/>
  <c r="FI49" i="6" s="1"/>
  <c r="FI112" i="3"/>
  <c r="FI115" i="3" s="1"/>
  <c r="FI92" i="3"/>
  <c r="FI43" i="5"/>
  <c r="FI150" i="5"/>
  <c r="FI152" i="5" s="1"/>
  <c r="FI39" i="5"/>
  <c r="FI78" i="3"/>
  <c r="FW77" i="3"/>
  <c r="FW86" i="3"/>
  <c r="FS20" i="8"/>
  <c r="FW84" i="3"/>
  <c r="GF77" i="3"/>
  <c r="GF79" i="3"/>
  <c r="GB22" i="42"/>
  <c r="GG11" i="42"/>
  <c r="GG79" i="3"/>
  <c r="GG77" i="3"/>
  <c r="GG91" i="3"/>
  <c r="GG93" i="3"/>
  <c r="GF93" i="3"/>
  <c r="GF91" i="3"/>
  <c r="GH86" i="3"/>
  <c r="GH84" i="3"/>
  <c r="GF86" i="3"/>
  <c r="GF84" i="3"/>
  <c r="FI80" i="3"/>
  <c r="GH93" i="3"/>
  <c r="GH91" i="3"/>
  <c r="GC22" i="42"/>
  <c r="GH11" i="42"/>
  <c r="GH77" i="3"/>
  <c r="GH79" i="3"/>
  <c r="GG84" i="3"/>
  <c r="GG86" i="3"/>
  <c r="FW11" i="42"/>
  <c r="FW78" i="3"/>
  <c r="FW85" i="3"/>
  <c r="FW79" i="3"/>
  <c r="FW91" i="3"/>
  <c r="FH22" i="42"/>
  <c r="FW14" i="6"/>
  <c r="FW20" i="8" s="1"/>
  <c r="FL54" i="7"/>
  <c r="FL11" i="7"/>
  <c r="FL21" i="7"/>
  <c r="FL44" i="7"/>
  <c r="FL29" i="7"/>
  <c r="FL49" i="7"/>
  <c r="FL36" i="7"/>
  <c r="FG86" i="3"/>
  <c r="FG84" i="3"/>
  <c r="FN78" i="3"/>
  <c r="FN80" i="3"/>
  <c r="FN77" i="3"/>
  <c r="FN112" i="3"/>
  <c r="FN79" i="3"/>
  <c r="FS77" i="3"/>
  <c r="FS79" i="3"/>
  <c r="FN17" i="42"/>
  <c r="FN47" i="42"/>
  <c r="FN67" i="42"/>
  <c r="FN11" i="42"/>
  <c r="FN12" i="42"/>
  <c r="FS11" i="42"/>
  <c r="FW71" i="3"/>
  <c r="FW118" i="3"/>
  <c r="FW45" i="3"/>
  <c r="FH84" i="3"/>
  <c r="FH87" i="3"/>
  <c r="FH85" i="3"/>
  <c r="FH86" i="3"/>
  <c r="FH98" i="3"/>
  <c r="FH99" i="3"/>
  <c r="FQ79" i="3"/>
  <c r="FQ77" i="3"/>
  <c r="FQ112" i="3"/>
  <c r="GC12" i="5"/>
  <c r="GC43" i="5"/>
  <c r="GC15" i="5"/>
  <c r="GC39" i="5"/>
  <c r="GC150" i="5"/>
  <c r="GH152" i="5" s="1"/>
  <c r="GC108" i="5"/>
  <c r="GC32" i="5"/>
  <c r="GC35" i="5"/>
  <c r="GC24" i="5"/>
  <c r="FX53" i="3"/>
  <c r="FX52" i="3"/>
  <c r="FX66" i="3"/>
  <c r="FX47" i="42"/>
  <c r="FX67" i="42"/>
  <c r="FX12" i="42"/>
  <c r="FX17" i="42"/>
  <c r="FX11" i="42"/>
  <c r="FM47" i="42"/>
  <c r="FM11" i="42"/>
  <c r="FM17" i="42"/>
  <c r="FM12" i="42"/>
  <c r="FM67" i="42"/>
  <c r="GB92" i="3"/>
  <c r="GB94" i="3"/>
  <c r="GB93" i="3"/>
  <c r="GB91" i="3"/>
  <c r="GA11" i="7"/>
  <c r="GA54" i="7"/>
  <c r="GA44" i="7"/>
  <c r="GA36" i="7"/>
  <c r="GA29" i="7"/>
  <c r="GA49" i="7"/>
  <c r="GA21" i="7"/>
  <c r="GA98" i="3"/>
  <c r="GA84" i="3"/>
  <c r="GA86" i="3"/>
  <c r="FR12" i="5"/>
  <c r="FR15" i="5"/>
  <c r="FR108" i="5"/>
  <c r="FW111" i="5" s="1"/>
  <c r="FR43" i="5"/>
  <c r="FR24" i="5"/>
  <c r="FR150" i="5"/>
  <c r="FR39" i="5"/>
  <c r="FR32" i="5"/>
  <c r="FR35" i="5"/>
  <c r="FR21" i="7"/>
  <c r="FR49" i="7"/>
  <c r="FR44" i="7"/>
  <c r="FW45" i="7" s="1"/>
  <c r="FR11" i="7"/>
  <c r="FR54" i="7"/>
  <c r="FW55" i="7" s="1"/>
  <c r="FR29" i="7"/>
  <c r="FR36" i="7"/>
  <c r="FR12" i="7"/>
  <c r="FS12" i="7"/>
  <c r="FM93" i="3"/>
  <c r="FM92" i="3"/>
  <c r="FM91" i="3"/>
  <c r="FM94" i="3"/>
  <c r="FS123" i="3"/>
  <c r="FS230" i="3"/>
  <c r="FV22" i="42"/>
  <c r="FL112" i="3"/>
  <c r="FL77" i="3"/>
  <c r="FL79" i="3"/>
  <c r="FR67" i="42"/>
  <c r="FR47" i="42"/>
  <c r="FR12" i="42"/>
  <c r="FR11" i="42"/>
  <c r="FR17" i="42"/>
  <c r="FS12" i="42"/>
  <c r="FS28" i="5"/>
  <c r="FS13" i="5"/>
  <c r="FG91" i="3"/>
  <c r="FG93" i="3"/>
  <c r="FN12" i="5"/>
  <c r="FN15" i="5"/>
  <c r="FN43" i="5"/>
  <c r="FN150" i="5"/>
  <c r="FN39" i="5"/>
  <c r="FN32" i="5"/>
  <c r="FN35" i="5"/>
  <c r="FN108" i="5"/>
  <c r="FN24" i="5"/>
  <c r="FX35" i="2"/>
  <c r="FX18" i="2"/>
  <c r="FR53" i="3"/>
  <c r="FR66" i="3"/>
  <c r="FR52" i="3"/>
  <c r="FS53" i="3"/>
  <c r="FX112" i="3"/>
  <c r="FX78" i="3"/>
  <c r="FX77" i="3"/>
  <c r="FX80" i="3"/>
  <c r="FX79" i="3"/>
  <c r="FH80" i="3"/>
  <c r="FH78" i="3"/>
  <c r="FH112" i="3"/>
  <c r="FH79" i="3"/>
  <c r="FH77" i="3"/>
  <c r="FQ12" i="5"/>
  <c r="FQ35" i="5"/>
  <c r="FQ43" i="5"/>
  <c r="FQ24" i="5"/>
  <c r="FQ150" i="5"/>
  <c r="FQ15" i="5"/>
  <c r="FQ108" i="5"/>
  <c r="FQ39" i="5"/>
  <c r="FQ32" i="5"/>
  <c r="FQ11" i="7"/>
  <c r="FQ44" i="7"/>
  <c r="FQ49" i="7"/>
  <c r="FQ21" i="7"/>
  <c r="FQ54" i="7"/>
  <c r="FQ29" i="7"/>
  <c r="FQ36" i="7"/>
  <c r="FI99" i="3"/>
  <c r="GC98" i="3"/>
  <c r="GC99" i="3"/>
  <c r="GB99" i="3"/>
  <c r="GB98" i="3"/>
  <c r="GB44" i="7"/>
  <c r="GB29" i="7"/>
  <c r="GB49" i="7"/>
  <c r="GB36" i="7"/>
  <c r="GB11" i="7"/>
  <c r="GB21" i="7"/>
  <c r="GB54" i="7"/>
  <c r="GB12" i="7"/>
  <c r="FV12" i="5"/>
  <c r="FW22" i="6" s="1"/>
  <c r="FW67" i="5" s="1"/>
  <c r="FV43" i="5"/>
  <c r="FW30" i="6" s="1"/>
  <c r="FW98" i="5" s="1"/>
  <c r="FV35" i="5"/>
  <c r="FV15" i="5"/>
  <c r="FW24" i="6" s="1"/>
  <c r="FW76" i="5" s="1"/>
  <c r="FV150" i="5"/>
  <c r="FV108" i="5"/>
  <c r="FW112" i="5" s="1"/>
  <c r="FV24" i="5"/>
  <c r="FW25" i="6" s="1"/>
  <c r="FW79" i="5" s="1"/>
  <c r="FV39" i="5"/>
  <c r="FV32" i="5"/>
  <c r="FV91" i="3"/>
  <c r="FV93" i="3"/>
  <c r="FM49" i="7"/>
  <c r="FM11" i="7"/>
  <c r="FM44" i="7"/>
  <c r="FM21" i="7"/>
  <c r="FM36" i="7"/>
  <c r="FM12" i="7"/>
  <c r="FM54" i="7"/>
  <c r="FM29" i="7"/>
  <c r="FM12" i="5"/>
  <c r="FM43" i="5"/>
  <c r="FM24" i="5"/>
  <c r="FM39" i="5"/>
  <c r="FM32" i="5"/>
  <c r="FM108" i="5"/>
  <c r="FM35" i="5"/>
  <c r="FM150" i="5"/>
  <c r="FM15" i="5"/>
  <c r="FW11" i="7"/>
  <c r="GA11" i="42"/>
  <c r="GA67" i="42"/>
  <c r="GA17" i="42"/>
  <c r="GA47" i="42"/>
  <c r="FH35" i="2"/>
  <c r="FH18" i="2"/>
  <c r="FW91" i="5"/>
  <c r="FL98" i="3"/>
  <c r="FL12" i="5"/>
  <c r="FL35" i="5"/>
  <c r="FL150" i="5"/>
  <c r="FL32" i="5"/>
  <c r="FL108" i="5"/>
  <c r="FL39" i="5"/>
  <c r="FL43" i="5"/>
  <c r="FL15" i="5"/>
  <c r="FL24" i="5"/>
  <c r="GB53" i="3"/>
  <c r="GB66" i="3"/>
  <c r="GB52" i="3"/>
  <c r="FG98" i="3"/>
  <c r="FG79" i="3"/>
  <c r="FG112" i="3"/>
  <c r="FG77" i="3"/>
  <c r="FL52" i="3"/>
  <c r="FL66" i="3"/>
  <c r="FX87" i="3"/>
  <c r="FX86" i="3"/>
  <c r="FX85" i="3"/>
  <c r="FX84" i="3"/>
  <c r="FH94" i="3"/>
  <c r="FH93" i="3"/>
  <c r="FH92" i="3"/>
  <c r="FH91" i="3"/>
  <c r="FH12" i="5"/>
  <c r="FH35" i="5"/>
  <c r="FH39" i="5"/>
  <c r="FH108" i="5"/>
  <c r="FH43" i="5"/>
  <c r="FH32" i="5"/>
  <c r="FH24" i="5"/>
  <c r="FH15" i="5"/>
  <c r="FH150" i="5"/>
  <c r="FG66" i="3"/>
  <c r="FG52" i="3"/>
  <c r="FV52" i="3"/>
  <c r="FV66" i="3"/>
  <c r="FV98" i="3"/>
  <c r="FM99" i="3"/>
  <c r="FM98" i="3"/>
  <c r="FL17" i="42"/>
  <c r="FL11" i="42"/>
  <c r="FL47" i="42"/>
  <c r="FL67" i="42"/>
  <c r="FQ18" i="2"/>
  <c r="FQ35" i="2"/>
  <c r="FW89" i="5"/>
  <c r="FQ47" i="42"/>
  <c r="FQ11" i="42"/>
  <c r="FQ17" i="42"/>
  <c r="FQ67" i="42"/>
  <c r="FG11" i="42"/>
  <c r="FG47" i="42"/>
  <c r="FG67" i="42"/>
  <c r="FG17" i="42"/>
  <c r="FG12" i="5"/>
  <c r="FG15" i="5"/>
  <c r="FG39" i="5"/>
  <c r="FG150" i="5"/>
  <c r="FG108" i="5"/>
  <c r="FG32" i="5"/>
  <c r="FG24" i="5"/>
  <c r="FG35" i="5"/>
  <c r="FG43" i="5"/>
  <c r="FN12" i="7"/>
  <c r="FN21" i="7"/>
  <c r="FN11" i="7"/>
  <c r="FN54" i="7"/>
  <c r="FN44" i="7"/>
  <c r="FN49" i="7"/>
  <c r="FN29" i="7"/>
  <c r="FN36" i="7"/>
  <c r="FS11" i="7"/>
  <c r="FL35" i="2"/>
  <c r="FL18" i="2"/>
  <c r="GA66" i="3"/>
  <c r="GA52" i="3"/>
  <c r="FV35" i="2"/>
  <c r="FV18" i="2"/>
  <c r="FX91" i="3"/>
  <c r="FX94" i="3"/>
  <c r="FX93" i="3"/>
  <c r="FX92" i="3"/>
  <c r="FX12" i="5"/>
  <c r="FX39" i="5"/>
  <c r="FX32" i="5"/>
  <c r="FX150" i="5"/>
  <c r="FX43" i="5"/>
  <c r="FX30" i="6" s="1"/>
  <c r="FX98" i="5" s="1"/>
  <c r="FX15" i="5"/>
  <c r="FX24" i="5"/>
  <c r="FX25" i="6" s="1"/>
  <c r="FX79" i="5" s="1"/>
  <c r="FX108" i="5"/>
  <c r="FX35" i="5"/>
  <c r="FX29" i="6" s="1"/>
  <c r="FX95" i="5" s="1"/>
  <c r="FH11" i="7"/>
  <c r="FH44" i="7"/>
  <c r="FH12" i="7"/>
  <c r="FH29" i="7"/>
  <c r="FH49" i="7"/>
  <c r="FH36" i="7"/>
  <c r="FH54" i="7"/>
  <c r="FI56" i="7" s="1"/>
  <c r="FH21" i="7"/>
  <c r="FQ84" i="3"/>
  <c r="FQ86" i="3"/>
  <c r="FQ98" i="3"/>
  <c r="GC86" i="3"/>
  <c r="GC84" i="3"/>
  <c r="GC87" i="3"/>
  <c r="GC85" i="3"/>
  <c r="GB85" i="3"/>
  <c r="GB87" i="3"/>
  <c r="GB86" i="3"/>
  <c r="GB84" i="3"/>
  <c r="FV36" i="7"/>
  <c r="FV44" i="7"/>
  <c r="FW46" i="7" s="1"/>
  <c r="FV29" i="7"/>
  <c r="FV49" i="7"/>
  <c r="FV21" i="7"/>
  <c r="FV54" i="7"/>
  <c r="FW56" i="7" s="1"/>
  <c r="FV11" i="7"/>
  <c r="FS68" i="6"/>
  <c r="FS56" i="6"/>
  <c r="FR35" i="2"/>
  <c r="FR18" i="2"/>
  <c r="FR84" i="3"/>
  <c r="FR87" i="3"/>
  <c r="FR85" i="3"/>
  <c r="FR86" i="3"/>
  <c r="FS87" i="3"/>
  <c r="FS85" i="3"/>
  <c r="FW12" i="7"/>
  <c r="FM18" i="2"/>
  <c r="FM35" i="2"/>
  <c r="GB47" i="42"/>
  <c r="GB67" i="42"/>
  <c r="GB12" i="42"/>
  <c r="GB17" i="42"/>
  <c r="GB11" i="42"/>
  <c r="FI71" i="3"/>
  <c r="FI69" i="3"/>
  <c r="FI67" i="3"/>
  <c r="FI45" i="3"/>
  <c r="GC47" i="42"/>
  <c r="GC17" i="42"/>
  <c r="GC12" i="42"/>
  <c r="GC11" i="42"/>
  <c r="GC67" i="42"/>
  <c r="FN92" i="3"/>
  <c r="FN91" i="3"/>
  <c r="FN94" i="3"/>
  <c r="FN93" i="3"/>
  <c r="FS93" i="3"/>
  <c r="FS91" i="3"/>
  <c r="FN98" i="3"/>
  <c r="FN99" i="3"/>
  <c r="FS98" i="3"/>
  <c r="FG35" i="2"/>
  <c r="FG18" i="2"/>
  <c r="FQ91" i="3"/>
  <c r="FQ93" i="3"/>
  <c r="GC93" i="3"/>
  <c r="GC91" i="3"/>
  <c r="GC92" i="3"/>
  <c r="GC94" i="3"/>
  <c r="GC52" i="3"/>
  <c r="GC66" i="3"/>
  <c r="GC53" i="3"/>
  <c r="FM22" i="42"/>
  <c r="GB80" i="3"/>
  <c r="GB112" i="3"/>
  <c r="GB79" i="3"/>
  <c r="GB77" i="3"/>
  <c r="GB78" i="3"/>
  <c r="GB12" i="5"/>
  <c r="GB15" i="5"/>
  <c r="GB43" i="5"/>
  <c r="GB150" i="5"/>
  <c r="GG152" i="5" s="1"/>
  <c r="GB32" i="5"/>
  <c r="GB108" i="5"/>
  <c r="GB39" i="5"/>
  <c r="GB35" i="5"/>
  <c r="GB24" i="5"/>
  <c r="GA77" i="3"/>
  <c r="GA79" i="3"/>
  <c r="GA112" i="3"/>
  <c r="GA12" i="5"/>
  <c r="GA35" i="5"/>
  <c r="GA43" i="5"/>
  <c r="GA108" i="5"/>
  <c r="GA39" i="5"/>
  <c r="GA150" i="5"/>
  <c r="GF152" i="5" s="1"/>
  <c r="GA32" i="5"/>
  <c r="GA24" i="5"/>
  <c r="GA15" i="5"/>
  <c r="FV84" i="3"/>
  <c r="FV86" i="3"/>
  <c r="FS36" i="30"/>
  <c r="FS37" i="30"/>
  <c r="FH12" i="42"/>
  <c r="FH67" i="42"/>
  <c r="FH47" i="42"/>
  <c r="FH11" i="42"/>
  <c r="FH17" i="42"/>
  <c r="FR79" i="3"/>
  <c r="FR78" i="3"/>
  <c r="FR77" i="3"/>
  <c r="FR112" i="3"/>
  <c r="FR80" i="3"/>
  <c r="FS80" i="3"/>
  <c r="FS78" i="3"/>
  <c r="FR99" i="3"/>
  <c r="FR98" i="3"/>
  <c r="FS99" i="3"/>
  <c r="FM87" i="3"/>
  <c r="FM85" i="3"/>
  <c r="FM84" i="3"/>
  <c r="FM86" i="3"/>
  <c r="FM66" i="3"/>
  <c r="FM52" i="3"/>
  <c r="FM53" i="3"/>
  <c r="FQ66" i="3"/>
  <c r="FQ52" i="3"/>
  <c r="FI87" i="3"/>
  <c r="FV47" i="42"/>
  <c r="FV17" i="42"/>
  <c r="FV67" i="42"/>
  <c r="FV11" i="42"/>
  <c r="FN66" i="3"/>
  <c r="FN53" i="3"/>
  <c r="FN52" i="3"/>
  <c r="FS52" i="3"/>
  <c r="GA22" i="42"/>
  <c r="FW49" i="6"/>
  <c r="FW138" i="5"/>
  <c r="FW10" i="30"/>
  <c r="FI55" i="7"/>
  <c r="FL91" i="3"/>
  <c r="FL93" i="3"/>
  <c r="FL86" i="3"/>
  <c r="FL84" i="3"/>
  <c r="FH52" i="3"/>
  <c r="FH66" i="3"/>
  <c r="FH53" i="3"/>
  <c r="FG54" i="7"/>
  <c r="FG49" i="7"/>
  <c r="FG11" i="7"/>
  <c r="FG21" i="7"/>
  <c r="FG36" i="7"/>
  <c r="FG44" i="7"/>
  <c r="FG29" i="7"/>
  <c r="FN86" i="3"/>
  <c r="FN85" i="3"/>
  <c r="FN84" i="3"/>
  <c r="FN87" i="3"/>
  <c r="FS84" i="3"/>
  <c r="FS86" i="3"/>
  <c r="GA35" i="2"/>
  <c r="GA18" i="2"/>
  <c r="FX44" i="7"/>
  <c r="FX12" i="7"/>
  <c r="FX54" i="7"/>
  <c r="FX29" i="7"/>
  <c r="FX36" i="7"/>
  <c r="FX21" i="7"/>
  <c r="FX49" i="7"/>
  <c r="FX11" i="7"/>
  <c r="FX98" i="3"/>
  <c r="FX99" i="3"/>
  <c r="FW52" i="3"/>
  <c r="FI91" i="5"/>
  <c r="GC80" i="3"/>
  <c r="GC112" i="3"/>
  <c r="GC79" i="3"/>
  <c r="GC78" i="3"/>
  <c r="GC77" i="3"/>
  <c r="GC44" i="7"/>
  <c r="GC49" i="7"/>
  <c r="GC36" i="7"/>
  <c r="GC54" i="7"/>
  <c r="GC12" i="7"/>
  <c r="GC11" i="7"/>
  <c r="GC29" i="7"/>
  <c r="GC21" i="7"/>
  <c r="FN18" i="2"/>
  <c r="FN35" i="2"/>
  <c r="FX22" i="42"/>
  <c r="GA91" i="3"/>
  <c r="GA93" i="3"/>
  <c r="FV79" i="3"/>
  <c r="FV77" i="3"/>
  <c r="FV112" i="3"/>
  <c r="FW116" i="3" s="1"/>
  <c r="FR93" i="3"/>
  <c r="FR91" i="3"/>
  <c r="FR92" i="3"/>
  <c r="FR94" i="3"/>
  <c r="FS94" i="3"/>
  <c r="FS92" i="3"/>
  <c r="FM78" i="3"/>
  <c r="FM79" i="3"/>
  <c r="FM112" i="3"/>
  <c r="FM80" i="3"/>
  <c r="FM77" i="3"/>
  <c r="FI85" i="3"/>
  <c r="FI94" i="3"/>
  <c r="FI112" i="5" l="1"/>
  <c r="FI10" i="30"/>
  <c r="FI37" i="30" s="1"/>
  <c r="FI30" i="6"/>
  <c r="FI98" i="5" s="1"/>
  <c r="FI118" i="3"/>
  <c r="FI121" i="3" s="1"/>
  <c r="FI14" i="6"/>
  <c r="FI29" i="6"/>
  <c r="FI95" i="5" s="1"/>
  <c r="FI113" i="3"/>
  <c r="FI138" i="5"/>
  <c r="FI116" i="3"/>
  <c r="FI110" i="5"/>
  <c r="FI111" i="5"/>
  <c r="GC25" i="6"/>
  <c r="GC79" i="5" s="1"/>
  <c r="FW50" i="7"/>
  <c r="FS25" i="6"/>
  <c r="FS79" i="5" s="1"/>
  <c r="FS24" i="6"/>
  <c r="FS76" i="5" s="1"/>
  <c r="FS22" i="6"/>
  <c r="FW110" i="5"/>
  <c r="FR24" i="6"/>
  <c r="FR76" i="5" s="1"/>
  <c r="FI114" i="3"/>
  <c r="GG113" i="3"/>
  <c r="GG115" i="3"/>
  <c r="GG67" i="3"/>
  <c r="GG69" i="3"/>
  <c r="GH113" i="3"/>
  <c r="GH115" i="3"/>
  <c r="GF115" i="3"/>
  <c r="GF113" i="3"/>
  <c r="FW28" i="6"/>
  <c r="FW88" i="5" s="1"/>
  <c r="GF111" i="5"/>
  <c r="GF110" i="5"/>
  <c r="GC22" i="6"/>
  <c r="GC67" i="5" s="1"/>
  <c r="GH111" i="5"/>
  <c r="GH110" i="5"/>
  <c r="GG110" i="5"/>
  <c r="GG111" i="5"/>
  <c r="GH69" i="3"/>
  <c r="GH67" i="3"/>
  <c r="GF69" i="3"/>
  <c r="GF67" i="3"/>
  <c r="FI28" i="6"/>
  <c r="FI88" i="5" s="1"/>
  <c r="FR25" i="6"/>
  <c r="FR79" i="5" s="1"/>
  <c r="FM30" i="6"/>
  <c r="FM98" i="5" s="1"/>
  <c r="GC24" i="6"/>
  <c r="GC76" i="5" s="1"/>
  <c r="GB25" i="6"/>
  <c r="GB79" i="5" s="1"/>
  <c r="FR22" i="6"/>
  <c r="GB24" i="6"/>
  <c r="GB76" i="5" s="1"/>
  <c r="FX50" i="7"/>
  <c r="FX51" i="7"/>
  <c r="GC55" i="7"/>
  <c r="GC56" i="7"/>
  <c r="FG45" i="7"/>
  <c r="FH68" i="3"/>
  <c r="FH67" i="3"/>
  <c r="FH69" i="3"/>
  <c r="FH71" i="3"/>
  <c r="FH70" i="3"/>
  <c r="FH118" i="3"/>
  <c r="FH45" i="3"/>
  <c r="FR113" i="3"/>
  <c r="FR114" i="3"/>
  <c r="FR116" i="3"/>
  <c r="FR115" i="3"/>
  <c r="FS116" i="3"/>
  <c r="FS114" i="3"/>
  <c r="GB91" i="5"/>
  <c r="FI68" i="3"/>
  <c r="FX22" i="6"/>
  <c r="FX67" i="5" s="1"/>
  <c r="FN56" i="7"/>
  <c r="FN55" i="7"/>
  <c r="FS55" i="7"/>
  <c r="FW115" i="3"/>
  <c r="FH30" i="6"/>
  <c r="FH98" i="5" s="1"/>
  <c r="FL138" i="5"/>
  <c r="FL49" i="6"/>
  <c r="FL110" i="5"/>
  <c r="FL10" i="30"/>
  <c r="FL111" i="5"/>
  <c r="FM152" i="5"/>
  <c r="FM14" i="6"/>
  <c r="FV14" i="6"/>
  <c r="FV152" i="5"/>
  <c r="FQ50" i="7"/>
  <c r="FR71" i="3"/>
  <c r="FR67" i="3"/>
  <c r="FR68" i="3"/>
  <c r="FR118" i="3"/>
  <c r="FR70" i="3"/>
  <c r="FR69" i="3"/>
  <c r="FS68" i="3"/>
  <c r="FS70" i="3"/>
  <c r="FR45" i="3"/>
  <c r="FN49" i="6"/>
  <c r="FN138" i="5"/>
  <c r="FN112" i="5"/>
  <c r="FN10" i="30"/>
  <c r="FN110" i="5"/>
  <c r="FN111" i="5"/>
  <c r="FS110" i="5"/>
  <c r="FS111" i="5"/>
  <c r="FR30" i="6"/>
  <c r="FR98" i="5" s="1"/>
  <c r="FS30" i="6"/>
  <c r="FS98" i="5" s="1"/>
  <c r="GA45" i="7"/>
  <c r="GC111" i="5"/>
  <c r="GC138" i="5"/>
  <c r="GC112" i="5"/>
  <c r="GC10" i="30"/>
  <c r="GC110" i="5"/>
  <c r="GC49" i="6"/>
  <c r="FQ115" i="3"/>
  <c r="FQ113" i="3"/>
  <c r="FW57" i="5"/>
  <c r="FW69" i="3"/>
  <c r="GC116" i="3"/>
  <c r="GC113" i="3"/>
  <c r="GC114" i="3"/>
  <c r="GC115" i="3"/>
  <c r="FW36" i="30"/>
  <c r="FW68" i="6"/>
  <c r="FW56" i="6"/>
  <c r="GB10" i="30"/>
  <c r="GB110" i="5"/>
  <c r="GB49" i="6"/>
  <c r="GB138" i="5"/>
  <c r="GB111" i="5"/>
  <c r="GB112" i="5"/>
  <c r="FV55" i="7"/>
  <c r="FH25" i="6"/>
  <c r="FH79" i="5" s="1"/>
  <c r="FG91" i="5"/>
  <c r="FH138" i="5"/>
  <c r="FH110" i="5"/>
  <c r="FH49" i="6"/>
  <c r="FH111" i="5"/>
  <c r="FH112" i="5"/>
  <c r="FH10" i="30"/>
  <c r="FL89" i="5"/>
  <c r="FM29" i="6"/>
  <c r="FM95" i="5" s="1"/>
  <c r="FI11" i="30"/>
  <c r="FI13" i="30"/>
  <c r="FI56" i="6"/>
  <c r="FI68" i="6"/>
  <c r="FQ45" i="7"/>
  <c r="FQ14" i="6"/>
  <c r="FQ152" i="5"/>
  <c r="FN29" i="6"/>
  <c r="FN95" i="5" s="1"/>
  <c r="FS36" i="5"/>
  <c r="FR29" i="6"/>
  <c r="FR95" i="5" s="1"/>
  <c r="FS29" i="6"/>
  <c r="FS95" i="5" s="1"/>
  <c r="FR110" i="5"/>
  <c r="FR112" i="5"/>
  <c r="FR111" i="5"/>
  <c r="FR49" i="6"/>
  <c r="FR10" i="30"/>
  <c r="FR138" i="5"/>
  <c r="FS112" i="5"/>
  <c r="GA55" i="7"/>
  <c r="GC152" i="5"/>
  <c r="GC14" i="6"/>
  <c r="GC20" i="8" s="1"/>
  <c r="FW230" i="3"/>
  <c r="FW123" i="3"/>
  <c r="FM116" i="3"/>
  <c r="FM113" i="3"/>
  <c r="FM115" i="3"/>
  <c r="FM114" i="3"/>
  <c r="FQ67" i="3"/>
  <c r="FQ118" i="3"/>
  <c r="FQ71" i="3"/>
  <c r="FQ69" i="3"/>
  <c r="FQ45" i="3"/>
  <c r="GA89" i="5"/>
  <c r="GB28" i="6"/>
  <c r="GB88" i="5" s="1"/>
  <c r="GB89" i="5"/>
  <c r="GC71" i="3"/>
  <c r="GC68" i="3"/>
  <c r="GC118" i="3"/>
  <c r="GC70" i="3"/>
  <c r="GC69" i="3"/>
  <c r="GC67" i="3"/>
  <c r="GC45" i="3"/>
  <c r="FI46" i="3"/>
  <c r="FI48" i="3"/>
  <c r="FI57" i="5"/>
  <c r="FH46" i="7"/>
  <c r="FH45" i="7"/>
  <c r="FG89" i="5"/>
  <c r="FH24" i="6"/>
  <c r="FH76" i="5" s="1"/>
  <c r="FH152" i="5"/>
  <c r="FH14" i="6"/>
  <c r="FH91" i="5"/>
  <c r="FL118" i="3"/>
  <c r="FL69" i="3"/>
  <c r="FL67" i="3"/>
  <c r="FL71" i="3"/>
  <c r="FL45" i="3"/>
  <c r="FM25" i="6"/>
  <c r="FM79" i="5" s="1"/>
  <c r="FL14" i="6"/>
  <c r="FL152" i="5"/>
  <c r="FM49" i="6"/>
  <c r="FM111" i="5"/>
  <c r="FM10" i="30"/>
  <c r="FM138" i="5"/>
  <c r="FM112" i="5"/>
  <c r="FM110" i="5"/>
  <c r="FN22" i="6"/>
  <c r="FV89" i="5"/>
  <c r="GB51" i="7"/>
  <c r="GB50" i="7"/>
  <c r="FN28" i="6"/>
  <c r="FN88" i="5" s="1"/>
  <c r="FN89" i="5"/>
  <c r="FL115" i="3"/>
  <c r="FL113" i="3"/>
  <c r="FR56" i="7"/>
  <c r="FR55" i="7"/>
  <c r="FS56" i="7"/>
  <c r="FR28" i="6"/>
  <c r="FR88" i="5" s="1"/>
  <c r="FR89" i="5"/>
  <c r="FS28" i="6"/>
  <c r="FS88" i="5" s="1"/>
  <c r="FX118" i="3"/>
  <c r="FX69" i="3"/>
  <c r="FX71" i="3"/>
  <c r="FX70" i="3"/>
  <c r="FX68" i="3"/>
  <c r="FX67" i="3"/>
  <c r="FX45" i="3"/>
  <c r="GC91" i="5"/>
  <c r="GA14" i="6"/>
  <c r="GA152" i="5"/>
  <c r="GB22" i="6"/>
  <c r="GB67" i="5" s="1"/>
  <c r="GB152" i="5"/>
  <c r="GB14" i="6"/>
  <c r="GB20" i="8" s="1"/>
  <c r="FI70" i="3"/>
  <c r="FV50" i="7"/>
  <c r="FH56" i="7"/>
  <c r="FH55" i="7"/>
  <c r="FX14" i="6"/>
  <c r="FX20" i="8" s="1"/>
  <c r="FX152" i="5"/>
  <c r="FG138" i="5"/>
  <c r="FG49" i="6"/>
  <c r="FG110" i="5"/>
  <c r="FG10" i="30"/>
  <c r="FG111" i="5"/>
  <c r="FH22" i="6"/>
  <c r="FV118" i="3"/>
  <c r="FV71" i="3"/>
  <c r="FV67" i="3"/>
  <c r="FV69" i="3"/>
  <c r="FV45" i="3"/>
  <c r="FI24" i="6"/>
  <c r="FI76" i="5" s="1"/>
  <c r="FH29" i="6"/>
  <c r="FH95" i="5" s="1"/>
  <c r="FM24" i="6"/>
  <c r="FM76" i="5" s="1"/>
  <c r="FM28" i="6"/>
  <c r="FM88" i="5" s="1"/>
  <c r="FM89" i="5"/>
  <c r="FM45" i="7"/>
  <c r="FM46" i="7"/>
  <c r="FV91" i="5"/>
  <c r="FQ55" i="7"/>
  <c r="FQ89" i="5"/>
  <c r="FN91" i="5"/>
  <c r="FR91" i="5"/>
  <c r="GA50" i="7"/>
  <c r="FW70" i="3"/>
  <c r="FL50" i="7"/>
  <c r="FL55" i="7"/>
  <c r="GC51" i="7"/>
  <c r="GC50" i="7"/>
  <c r="FN118" i="3"/>
  <c r="FN71" i="3"/>
  <c r="FN68" i="3"/>
  <c r="FN67" i="3"/>
  <c r="FN70" i="3"/>
  <c r="FN69" i="3"/>
  <c r="FS67" i="3"/>
  <c r="FS69" i="3"/>
  <c r="FN45" i="3"/>
  <c r="FV115" i="3"/>
  <c r="FV113" i="3"/>
  <c r="GC46" i="7"/>
  <c r="GC45" i="7"/>
  <c r="FX55" i="7"/>
  <c r="FX56" i="7"/>
  <c r="FG50" i="7"/>
  <c r="GA91" i="5"/>
  <c r="GB30" i="6"/>
  <c r="GB98" i="5" s="1"/>
  <c r="FX28" i="6"/>
  <c r="FX88" i="5" s="1"/>
  <c r="FX89" i="5"/>
  <c r="FN51" i="7"/>
  <c r="FN50" i="7"/>
  <c r="FS50" i="7"/>
  <c r="FW113" i="3"/>
  <c r="FW51" i="7"/>
  <c r="FI25" i="6"/>
  <c r="FI79" i="5" s="1"/>
  <c r="FI22" i="6"/>
  <c r="FG115" i="3"/>
  <c r="FG113" i="3"/>
  <c r="GB69" i="3"/>
  <c r="GB68" i="3"/>
  <c r="GB70" i="3"/>
  <c r="GB67" i="3"/>
  <c r="GB118" i="3"/>
  <c r="GB71" i="3"/>
  <c r="GB45" i="3"/>
  <c r="FM91" i="5"/>
  <c r="GB55" i="7"/>
  <c r="GB56" i="7"/>
  <c r="GB46" i="7"/>
  <c r="GB45" i="7"/>
  <c r="FQ91" i="5"/>
  <c r="FH115" i="3"/>
  <c r="FH113" i="3"/>
  <c r="FH116" i="3"/>
  <c r="FH114" i="3"/>
  <c r="FN152" i="5"/>
  <c r="FN14" i="6"/>
  <c r="FS152" i="5"/>
  <c r="FX24" i="6"/>
  <c r="FX76" i="5" s="1"/>
  <c r="FR46" i="7"/>
  <c r="FR45" i="7"/>
  <c r="FS46" i="7"/>
  <c r="FR152" i="5"/>
  <c r="FR14" i="6"/>
  <c r="GC29" i="6"/>
  <c r="GC95" i="5" s="1"/>
  <c r="GC30" i="6"/>
  <c r="GC98" i="5" s="1"/>
  <c r="FW68" i="3"/>
  <c r="FN113" i="3"/>
  <c r="FN114" i="3"/>
  <c r="FN115" i="3"/>
  <c r="FN116" i="3"/>
  <c r="FS115" i="3"/>
  <c r="FS113" i="3"/>
  <c r="FW152" i="5"/>
  <c r="FX46" i="7"/>
  <c r="FX45" i="7"/>
  <c r="FG55" i="7"/>
  <c r="FM118" i="3"/>
  <c r="FM69" i="3"/>
  <c r="FM68" i="3"/>
  <c r="FM71" i="3"/>
  <c r="FM67" i="3"/>
  <c r="FM70" i="3"/>
  <c r="FM45" i="3"/>
  <c r="GA110" i="5"/>
  <c r="GA10" i="30"/>
  <c r="GA138" i="5"/>
  <c r="GA49" i="6"/>
  <c r="GA111" i="5"/>
  <c r="GA113" i="3"/>
  <c r="GA115" i="3"/>
  <c r="GB29" i="6"/>
  <c r="GB95" i="5" s="1"/>
  <c r="GB113" i="3"/>
  <c r="GB116" i="3"/>
  <c r="GB115" i="3"/>
  <c r="GB114" i="3"/>
  <c r="FV45" i="7"/>
  <c r="FH50" i="7"/>
  <c r="FH51" i="7"/>
  <c r="FX49" i="6"/>
  <c r="FX110" i="5"/>
  <c r="FX10" i="30"/>
  <c r="FX138" i="5"/>
  <c r="FX111" i="5"/>
  <c r="FX112" i="5"/>
  <c r="FX91" i="5"/>
  <c r="GA118" i="3"/>
  <c r="GA67" i="3"/>
  <c r="GA71" i="3"/>
  <c r="GA69" i="3"/>
  <c r="GA45" i="3"/>
  <c r="FN46" i="7"/>
  <c r="FN45" i="7"/>
  <c r="FS45" i="7"/>
  <c r="FG14" i="6"/>
  <c r="FG152" i="5"/>
  <c r="FI46" i="7"/>
  <c r="FW114" i="3"/>
  <c r="FG69" i="3"/>
  <c r="FG67" i="3"/>
  <c r="FG118" i="3"/>
  <c r="FG71" i="3"/>
  <c r="FG45" i="3"/>
  <c r="FH28" i="6"/>
  <c r="FH88" i="5" s="1"/>
  <c r="FH89" i="5"/>
  <c r="FL91" i="5"/>
  <c r="FM22" i="6"/>
  <c r="FI51" i="7"/>
  <c r="FN24" i="6"/>
  <c r="FN76" i="5" s="1"/>
  <c r="FN25" i="6"/>
  <c r="FN79" i="5" s="1"/>
  <c r="FM56" i="7"/>
  <c r="FM55" i="7"/>
  <c r="FM50" i="7"/>
  <c r="FM51" i="7"/>
  <c r="FV111" i="5"/>
  <c r="FV49" i="6"/>
  <c r="FV110" i="5"/>
  <c r="FV138" i="5"/>
  <c r="FV10" i="30"/>
  <c r="FQ111" i="5"/>
  <c r="FQ138" i="5"/>
  <c r="FQ110" i="5"/>
  <c r="FQ49" i="6"/>
  <c r="FQ10" i="30"/>
  <c r="FX115" i="3"/>
  <c r="FX114" i="3"/>
  <c r="FX116" i="3"/>
  <c r="FX113" i="3"/>
  <c r="FN30" i="6"/>
  <c r="FN98" i="5" s="1"/>
  <c r="FW29" i="6"/>
  <c r="FW95" i="5" s="1"/>
  <c r="FR51" i="7"/>
  <c r="FR50" i="7"/>
  <c r="FS51" i="7"/>
  <c r="GC89" i="5"/>
  <c r="GC28" i="6"/>
  <c r="GC88" i="5" s="1"/>
  <c r="FW67" i="3"/>
  <c r="FL45" i="7"/>
  <c r="FI36" i="30" l="1"/>
  <c r="FI20" i="8"/>
  <c r="FI230" i="3"/>
  <c r="FI120" i="3"/>
  <c r="FI119" i="3"/>
  <c r="FI123" i="3"/>
  <c r="FI124" i="3" s="1"/>
  <c r="FR20" i="8"/>
  <c r="FS67" i="5"/>
  <c r="FW119" i="3"/>
  <c r="FR67" i="5"/>
  <c r="FW48" i="3"/>
  <c r="FW13" i="30"/>
  <c r="FI14" i="30"/>
  <c r="GF11" i="30"/>
  <c r="GF13" i="30"/>
  <c r="GG11" i="30"/>
  <c r="GG13" i="30"/>
  <c r="GH11" i="30"/>
  <c r="GH13" i="30"/>
  <c r="FI47" i="3"/>
  <c r="FI49" i="3"/>
  <c r="FW121" i="3"/>
  <c r="FI122" i="3"/>
  <c r="GF119" i="3"/>
  <c r="GF121" i="3"/>
  <c r="GH119" i="3"/>
  <c r="GH121" i="3"/>
  <c r="GG46" i="3"/>
  <c r="GG48" i="3"/>
  <c r="GF46" i="3"/>
  <c r="GF48" i="3"/>
  <c r="GH48" i="3"/>
  <c r="GH46" i="3"/>
  <c r="GG121" i="3"/>
  <c r="GG119" i="3"/>
  <c r="FI12" i="30"/>
  <c r="FQ56" i="6"/>
  <c r="FQ68" i="6"/>
  <c r="GA56" i="6"/>
  <c r="GA68" i="6"/>
  <c r="GF69" i="6" s="1"/>
  <c r="FN20" i="8"/>
  <c r="FV57" i="5"/>
  <c r="FV48" i="3"/>
  <c r="FV46" i="3"/>
  <c r="FV230" i="3"/>
  <c r="FV121" i="3"/>
  <c r="FV119" i="3"/>
  <c r="FV123" i="3"/>
  <c r="FL46" i="3"/>
  <c r="FL48" i="3"/>
  <c r="FL57" i="5"/>
  <c r="FL230" i="3"/>
  <c r="FL123" i="3"/>
  <c r="FL121" i="3"/>
  <c r="FL119" i="3"/>
  <c r="FI28" i="5"/>
  <c r="FI13" i="5"/>
  <c r="FW120" i="3"/>
  <c r="GB36" i="30"/>
  <c r="GB12" i="30"/>
  <c r="GB11" i="30"/>
  <c r="GB14" i="30"/>
  <c r="GB13" i="30"/>
  <c r="FL56" i="6"/>
  <c r="FL68" i="6"/>
  <c r="FV36" i="30"/>
  <c r="FV11" i="30"/>
  <c r="FV13" i="30"/>
  <c r="FV56" i="6"/>
  <c r="FV68" i="6"/>
  <c r="FW70" i="6" s="1"/>
  <c r="FG48" i="3"/>
  <c r="FG46" i="3"/>
  <c r="FG57" i="5"/>
  <c r="GA57" i="5"/>
  <c r="GA48" i="3"/>
  <c r="GA46" i="3"/>
  <c r="GA230" i="3"/>
  <c r="GA119" i="3"/>
  <c r="GA123" i="3"/>
  <c r="GA121" i="3"/>
  <c r="FI67" i="5"/>
  <c r="FN230" i="3"/>
  <c r="FN123" i="3"/>
  <c r="FN120" i="3"/>
  <c r="FN122" i="3"/>
  <c r="FN119" i="3"/>
  <c r="FN121" i="3"/>
  <c r="FS119" i="3"/>
  <c r="FS121" i="3"/>
  <c r="FN67" i="5"/>
  <c r="FQ230" i="3"/>
  <c r="FQ123" i="3"/>
  <c r="FQ121" i="3"/>
  <c r="FQ119" i="3"/>
  <c r="FW49" i="3"/>
  <c r="GC68" i="6"/>
  <c r="GH69" i="6" s="1"/>
  <c r="GC56" i="6"/>
  <c r="FN68" i="6"/>
  <c r="FN56" i="6"/>
  <c r="FR230" i="3"/>
  <c r="FR119" i="3"/>
  <c r="FR123" i="3"/>
  <c r="FW124" i="3" s="1"/>
  <c r="FR122" i="3"/>
  <c r="FR120" i="3"/>
  <c r="FR121" i="3"/>
  <c r="FS120" i="3"/>
  <c r="FS122" i="3"/>
  <c r="GB57" i="5"/>
  <c r="GB46" i="3"/>
  <c r="GB49" i="3"/>
  <c r="GB48" i="3"/>
  <c r="GB47" i="3"/>
  <c r="FH67" i="5"/>
  <c r="FG36" i="30"/>
  <c r="FG11" i="30"/>
  <c r="FG37" i="30"/>
  <c r="FG13" i="30"/>
  <c r="FM11" i="30"/>
  <c r="FM37" i="30"/>
  <c r="FM36" i="30"/>
  <c r="FM14" i="30"/>
  <c r="FM13" i="30"/>
  <c r="FM12" i="30"/>
  <c r="FL20" i="8"/>
  <c r="FH36" i="30"/>
  <c r="FH14" i="30"/>
  <c r="FH13" i="30"/>
  <c r="FH12" i="30"/>
  <c r="FH37" i="30"/>
  <c r="FH11" i="30"/>
  <c r="FW14" i="30"/>
  <c r="FW47" i="3"/>
  <c r="FR49" i="3"/>
  <c r="FR48" i="3"/>
  <c r="FR47" i="3"/>
  <c r="FR46" i="3"/>
  <c r="FR57" i="5"/>
  <c r="FS49" i="3"/>
  <c r="FS47" i="3"/>
  <c r="FV20" i="8"/>
  <c r="FQ13" i="30"/>
  <c r="FQ37" i="30"/>
  <c r="FQ11" i="30"/>
  <c r="FQ36" i="30"/>
  <c r="FG119" i="3"/>
  <c r="FG121" i="3"/>
  <c r="FG123" i="3"/>
  <c r="FG124" i="3" s="1"/>
  <c r="FG230" i="3"/>
  <c r="FG20" i="8"/>
  <c r="FX14" i="30"/>
  <c r="FX12" i="30"/>
  <c r="FX11" i="30"/>
  <c r="FX36" i="30"/>
  <c r="FX13" i="30"/>
  <c r="GA36" i="30"/>
  <c r="GA13" i="30"/>
  <c r="GA11" i="30"/>
  <c r="GC230" i="3"/>
  <c r="GC123" i="3"/>
  <c r="GH124" i="3" s="1"/>
  <c r="GC120" i="3"/>
  <c r="GC122" i="3"/>
  <c r="GC121" i="3"/>
  <c r="GC119" i="3"/>
  <c r="FW122" i="3"/>
  <c r="FI69" i="6"/>
  <c r="FW12" i="30"/>
  <c r="FW13" i="5"/>
  <c r="FW28" i="5"/>
  <c r="GC36" i="30"/>
  <c r="GC11" i="30"/>
  <c r="GC12" i="30"/>
  <c r="GC13" i="30"/>
  <c r="GC14" i="30"/>
  <c r="FN12" i="30"/>
  <c r="FN36" i="30"/>
  <c r="FN37" i="30"/>
  <c r="FN11" i="30"/>
  <c r="FN14" i="30"/>
  <c r="FN13" i="30"/>
  <c r="FS11" i="30"/>
  <c r="FS13" i="30"/>
  <c r="FL11" i="30"/>
  <c r="FL37" i="30"/>
  <c r="FL36" i="30"/>
  <c r="FL13" i="30"/>
  <c r="FH46" i="3"/>
  <c r="FH48" i="3"/>
  <c r="FH57" i="5"/>
  <c r="FH49" i="3"/>
  <c r="FH47" i="3"/>
  <c r="GB230" i="3"/>
  <c r="GB123" i="3"/>
  <c r="GB122" i="3"/>
  <c r="GB121" i="3"/>
  <c r="GB119" i="3"/>
  <c r="GB120" i="3"/>
  <c r="GA20" i="8"/>
  <c r="FX57" i="5"/>
  <c r="FX49" i="3"/>
  <c r="FX46" i="3"/>
  <c r="FX48" i="3"/>
  <c r="FX47" i="3"/>
  <c r="FX121" i="3"/>
  <c r="FX230" i="3"/>
  <c r="FX119" i="3"/>
  <c r="FX120" i="3"/>
  <c r="FX123" i="3"/>
  <c r="FX124" i="3" s="1"/>
  <c r="FX122" i="3"/>
  <c r="FM56" i="6"/>
  <c r="FM68" i="6"/>
  <c r="FH20" i="8"/>
  <c r="FQ46" i="3"/>
  <c r="FQ57" i="5"/>
  <c r="FQ48" i="3"/>
  <c r="FR12" i="30"/>
  <c r="FR11" i="30"/>
  <c r="FR37" i="30"/>
  <c r="FR36" i="30"/>
  <c r="FR14" i="30"/>
  <c r="FR13" i="30"/>
  <c r="FS14" i="30"/>
  <c r="FS12" i="30"/>
  <c r="FS44" i="5"/>
  <c r="GB68" i="6"/>
  <c r="GG69" i="6" s="1"/>
  <c r="GB56" i="6"/>
  <c r="FW11" i="30"/>
  <c r="FW46" i="3"/>
  <c r="FH230" i="3"/>
  <c r="FH120" i="3"/>
  <c r="FH122" i="3"/>
  <c r="FH123" i="3"/>
  <c r="FH124" i="3" s="1"/>
  <c r="FH119" i="3"/>
  <c r="FH121" i="3"/>
  <c r="FM67" i="5"/>
  <c r="FX68" i="6"/>
  <c r="FX56" i="6"/>
  <c r="FM47" i="3"/>
  <c r="FM49" i="3"/>
  <c r="FM57" i="5"/>
  <c r="FM46" i="3"/>
  <c r="FM48" i="3"/>
  <c r="FM230" i="3"/>
  <c r="FM119" i="3"/>
  <c r="FM122" i="3"/>
  <c r="FM123" i="3"/>
  <c r="FM120" i="3"/>
  <c r="FM121" i="3"/>
  <c r="FN57" i="5"/>
  <c r="FN47" i="3"/>
  <c r="FN46" i="3"/>
  <c r="FN48" i="3"/>
  <c r="FN49" i="3"/>
  <c r="FS48" i="3"/>
  <c r="FS46" i="3"/>
  <c r="FG56" i="6"/>
  <c r="FG68" i="6"/>
  <c r="GC46" i="3"/>
  <c r="GC57" i="5"/>
  <c r="GC48" i="3"/>
  <c r="GC47" i="3"/>
  <c r="GC49" i="3"/>
  <c r="FR56" i="6"/>
  <c r="FR68" i="6"/>
  <c r="FW69" i="6" s="1"/>
  <c r="FQ20" i="8"/>
  <c r="FH56" i="6"/>
  <c r="FH68" i="6"/>
  <c r="FM20" i="8"/>
  <c r="GA124" i="3" l="1"/>
  <c r="GF124" i="3"/>
  <c r="GB124" i="3"/>
  <c r="GG124" i="3"/>
  <c r="FM124" i="3"/>
  <c r="FQ124" i="3"/>
  <c r="FH69" i="6"/>
  <c r="FH70" i="6"/>
  <c r="FX70" i="6"/>
  <c r="FX69" i="6"/>
  <c r="FI70" i="6"/>
  <c r="GC124" i="3"/>
  <c r="FR13" i="5"/>
  <c r="FR28" i="5"/>
  <c r="GB13" i="5"/>
  <c r="GB28" i="5"/>
  <c r="FI36" i="5"/>
  <c r="FV28" i="5"/>
  <c r="FW26" i="6" s="1"/>
  <c r="FW85" i="5" s="1"/>
  <c r="FV13" i="5"/>
  <c r="FW23" i="6" s="1"/>
  <c r="FW73" i="5" s="1"/>
  <c r="FV124" i="3"/>
  <c r="GC28" i="5"/>
  <c r="GC13" i="5"/>
  <c r="FN13" i="5"/>
  <c r="FN28" i="5"/>
  <c r="GB70" i="6"/>
  <c r="GB69" i="6"/>
  <c r="FM70" i="6"/>
  <c r="FM69" i="6"/>
  <c r="FW36" i="5"/>
  <c r="FN69" i="6"/>
  <c r="FN70" i="6"/>
  <c r="FS69" i="6"/>
  <c r="FL69" i="6"/>
  <c r="FL28" i="5"/>
  <c r="FL13" i="5"/>
  <c r="FM13" i="5"/>
  <c r="FM28" i="5"/>
  <c r="FG69" i="6"/>
  <c r="FR124" i="3"/>
  <c r="GA69" i="6"/>
  <c r="FQ69" i="6"/>
  <c r="FH13" i="5"/>
  <c r="FH28" i="5"/>
  <c r="GC70" i="6"/>
  <c r="GC69" i="6"/>
  <c r="FG28" i="5"/>
  <c r="FG13" i="5"/>
  <c r="FV69" i="6"/>
  <c r="FR69" i="6"/>
  <c r="FR70" i="6"/>
  <c r="FS70" i="6"/>
  <c r="FQ28" i="5"/>
  <c r="FQ13" i="5"/>
  <c r="FX13" i="5"/>
  <c r="FX28" i="5"/>
  <c r="FN124" i="3"/>
  <c r="FS124" i="3"/>
  <c r="GA28" i="5"/>
  <c r="GA13" i="5"/>
  <c r="FL124" i="3"/>
  <c r="FS23" i="6" l="1"/>
  <c r="FR23" i="6"/>
  <c r="GB23" i="6"/>
  <c r="GB73" i="5" s="1"/>
  <c r="FG36" i="5"/>
  <c r="FM36" i="5"/>
  <c r="FM26" i="6"/>
  <c r="FM85" i="5" s="1"/>
  <c r="FX23" i="6"/>
  <c r="FX73" i="5" s="1"/>
  <c r="FN23" i="6"/>
  <c r="FW44" i="5"/>
  <c r="FN26" i="6"/>
  <c r="FN85" i="5" s="1"/>
  <c r="FN36" i="5"/>
  <c r="FI44" i="5"/>
  <c r="GB36" i="5"/>
  <c r="GB26" i="6"/>
  <c r="GB85" i="5" s="1"/>
  <c r="GA36" i="5"/>
  <c r="FQ36" i="5"/>
  <c r="FH36" i="5"/>
  <c r="FH26" i="6"/>
  <c r="FH85" i="5" s="1"/>
  <c r="FV36" i="5"/>
  <c r="FI26" i="6"/>
  <c r="FI85" i="5" s="1"/>
  <c r="GC23" i="6"/>
  <c r="GC73" i="5" s="1"/>
  <c r="FI23" i="6"/>
  <c r="FM23" i="6"/>
  <c r="FX36" i="5"/>
  <c r="FX26" i="6"/>
  <c r="FX85" i="5" s="1"/>
  <c r="FL36" i="5"/>
  <c r="GC36" i="5"/>
  <c r="GC26" i="6"/>
  <c r="GC85" i="5" s="1"/>
  <c r="FR36" i="5"/>
  <c r="FR26" i="6"/>
  <c r="FR85" i="5" s="1"/>
  <c r="FS26" i="6"/>
  <c r="FS85" i="5" s="1"/>
  <c r="FH23" i="6"/>
  <c r="FS73" i="5" l="1"/>
  <c r="FR73" i="5"/>
  <c r="FG44" i="5"/>
  <c r="FX44" i="5"/>
  <c r="GB44" i="5"/>
  <c r="GC44" i="5"/>
  <c r="FL44" i="5"/>
  <c r="FN44" i="5"/>
  <c r="FH44" i="5"/>
  <c r="GA44" i="5"/>
  <c r="FH73" i="5"/>
  <c r="FR44" i="5"/>
  <c r="FM73" i="5"/>
  <c r="FI73" i="5"/>
  <c r="FV44" i="5"/>
  <c r="FQ44" i="5"/>
  <c r="FN73" i="5"/>
  <c r="FM44" i="5"/>
  <c r="EZ131" i="3" l="1"/>
  <c r="EZ126" i="3"/>
  <c r="EZ127" i="3"/>
  <c r="EZ221" i="3" s="1"/>
  <c r="EZ132" i="3" l="1"/>
  <c r="EZ222" i="3"/>
  <c r="EZ224" i="3"/>
  <c r="FB224" i="3" s="1"/>
  <c r="EZ216" i="3"/>
  <c r="FA134" i="5"/>
  <c r="FA231" i="3"/>
  <c r="FA232" i="3" s="1"/>
  <c r="EZ231" i="3"/>
  <c r="EZ232" i="3" s="1"/>
  <c r="EZ150" i="5"/>
  <c r="EZ134" i="5"/>
  <c r="EZ135" i="5" s="1"/>
  <c r="EZ93" i="29" l="1"/>
  <c r="FA132" i="3"/>
  <c r="EZ134" i="3"/>
  <c r="FC224" i="3"/>
  <c r="FB221" i="3"/>
  <c r="EZ226" i="3"/>
  <c r="EZ227" i="3" s="1"/>
  <c r="EZ217" i="3"/>
  <c r="EZ219" i="3"/>
  <c r="FB10" i="8"/>
  <c r="FB13" i="8" s="1"/>
  <c r="EZ151" i="5"/>
  <c r="FE135" i="5"/>
  <c r="FA150" i="5"/>
  <c r="EZ152" i="5"/>
  <c r="EZ137" i="5"/>
  <c r="EZ73" i="3" s="1"/>
  <c r="EZ74" i="3" s="1"/>
  <c r="EZ233" i="3"/>
  <c r="FA233" i="3"/>
  <c r="FA135" i="5"/>
  <c r="FF135" i="5"/>
  <c r="EZ139" i="3" l="1"/>
  <c r="EZ137" i="3"/>
  <c r="FA134" i="3"/>
  <c r="EZ95" i="29"/>
  <c r="EZ94" i="29"/>
  <c r="FB127" i="3"/>
  <c r="FB132" i="3" s="1"/>
  <c r="FB222" i="3"/>
  <c r="FB226" i="3"/>
  <c r="FB227" i="3" s="1"/>
  <c r="FD224" i="3"/>
  <c r="FC221" i="3"/>
  <c r="EY40" i="8"/>
  <c r="EY41" i="8" s="1"/>
  <c r="FB34" i="8"/>
  <c r="EZ40" i="8" s="1"/>
  <c r="EZ41" i="8" s="1"/>
  <c r="FB14" i="8"/>
  <c r="FB17" i="8"/>
  <c r="FC10" i="8"/>
  <c r="FC13" i="8" s="1"/>
  <c r="FB151" i="3"/>
  <c r="FA137" i="5"/>
  <c r="FA73" i="3" s="1"/>
  <c r="FA74" i="3" s="1"/>
  <c r="EZ142" i="5"/>
  <c r="EZ141" i="5"/>
  <c r="EZ143" i="5"/>
  <c r="FA152" i="5"/>
  <c r="FA151" i="5"/>
  <c r="FB134" i="3" l="1"/>
  <c r="FA137" i="3"/>
  <c r="EZ102" i="29"/>
  <c r="EZ103" i="29" s="1"/>
  <c r="EZ140" i="3"/>
  <c r="EZ147" i="3"/>
  <c r="EZ212" i="3"/>
  <c r="FA139" i="3"/>
  <c r="EZ143" i="3"/>
  <c r="EZ190" i="3"/>
  <c r="EZ191" i="3" s="1"/>
  <c r="EZ10" i="6"/>
  <c r="FC127" i="3"/>
  <c r="FC222" i="3"/>
  <c r="FE224" i="3"/>
  <c r="FD221" i="3"/>
  <c r="FB43" i="8"/>
  <c r="FB44" i="8" s="1"/>
  <c r="FB43" i="6"/>
  <c r="FB152" i="3"/>
  <c r="FB18" i="8"/>
  <c r="FC17" i="8"/>
  <c r="FC151" i="3"/>
  <c r="FC34" i="8"/>
  <c r="FD10" i="8"/>
  <c r="FD13" i="8" s="1"/>
  <c r="FC14" i="8"/>
  <c r="FA143" i="5"/>
  <c r="FA141" i="5"/>
  <c r="FA142" i="5"/>
  <c r="FB136" i="3" l="1"/>
  <c r="FB139" i="3" s="1"/>
  <c r="FB147" i="3" s="1"/>
  <c r="EZ213" i="3"/>
  <c r="FA212" i="3"/>
  <c r="FA213" i="3" s="1"/>
  <c r="EZ46" i="8"/>
  <c r="EZ203" i="3"/>
  <c r="EZ204" i="3" s="1"/>
  <c r="EZ148" i="3"/>
  <c r="EZ149" i="3"/>
  <c r="FA10" i="6"/>
  <c r="FA140" i="3"/>
  <c r="FA143" i="3"/>
  <c r="FA190" i="3"/>
  <c r="FA191" i="3" s="1"/>
  <c r="FA147" i="3"/>
  <c r="EZ31" i="6"/>
  <c r="EZ144" i="3"/>
  <c r="EZ145" i="3"/>
  <c r="FD127" i="3"/>
  <c r="FD222" i="3"/>
  <c r="FG224" i="3"/>
  <c r="FE221" i="3"/>
  <c r="FC18" i="8"/>
  <c r="FC152" i="3"/>
  <c r="FB46" i="6"/>
  <c r="FD17" i="8"/>
  <c r="FD34" i="8"/>
  <c r="FE10" i="8"/>
  <c r="FD151" i="3"/>
  <c r="FD14" i="8"/>
  <c r="FC43" i="8"/>
  <c r="FC44" i="8" s="1"/>
  <c r="FC43" i="6"/>
  <c r="FB40" i="8"/>
  <c r="FB41" i="8" s="1"/>
  <c r="EZ108" i="5"/>
  <c r="EZ112" i="5" s="1"/>
  <c r="EZ56" i="6"/>
  <c r="EZ109" i="5" l="1"/>
  <c r="FB140" i="3"/>
  <c r="FB212" i="3"/>
  <c r="FB10" i="6"/>
  <c r="FB143" i="3"/>
  <c r="FB48" i="5"/>
  <c r="EZ32" i="6"/>
  <c r="FA31" i="6"/>
  <c r="EZ91" i="6"/>
  <c r="EZ66" i="6"/>
  <c r="EZ100" i="5"/>
  <c r="FA144" i="3"/>
  <c r="FA203" i="3"/>
  <c r="FA204" i="3" s="1"/>
  <c r="FA148" i="3"/>
  <c r="FA46" i="8"/>
  <c r="FE127" i="3"/>
  <c r="FF127" i="3" s="1"/>
  <c r="FE222" i="3"/>
  <c r="FH224" i="3"/>
  <c r="FL224" i="3"/>
  <c r="FG221" i="3"/>
  <c r="FA56" i="6"/>
  <c r="EZ59" i="6"/>
  <c r="FB112" i="5"/>
  <c r="EZ10" i="30"/>
  <c r="FB12" i="30" s="1"/>
  <c r="FA108" i="5"/>
  <c r="FA10" i="30" s="1"/>
  <c r="FD43" i="6"/>
  <c r="FD43" i="8"/>
  <c r="FD44" i="8" s="1"/>
  <c r="FC40" i="8"/>
  <c r="FC41" i="8" s="1"/>
  <c r="FD152" i="3"/>
  <c r="FD18" i="8"/>
  <c r="FC46" i="6"/>
  <c r="FB148" i="3"/>
  <c r="FB149" i="3"/>
  <c r="FB46" i="8"/>
  <c r="FF10" i="8"/>
  <c r="FE13" i="8"/>
  <c r="EZ111" i="5"/>
  <c r="EZ138" i="5"/>
  <c r="FB141" i="5" s="1"/>
  <c r="EZ110" i="5"/>
  <c r="FB70" i="6"/>
  <c r="FA59" i="6" l="1"/>
  <c r="FA61" i="6" s="1"/>
  <c r="FA63" i="6" s="1"/>
  <c r="EZ101" i="5"/>
  <c r="EZ105" i="5"/>
  <c r="FB50" i="5"/>
  <c r="FB144" i="3"/>
  <c r="FB145" i="3"/>
  <c r="FB31" i="6"/>
  <c r="EZ67" i="6"/>
  <c r="FA66" i="6"/>
  <c r="EZ71" i="6"/>
  <c r="EZ92" i="6"/>
  <c r="EZ96" i="6"/>
  <c r="FA91" i="6"/>
  <c r="FA32" i="6"/>
  <c r="FA100" i="5"/>
  <c r="FA105" i="5" s="1"/>
  <c r="FG127" i="3"/>
  <c r="FG222" i="3"/>
  <c r="FF221" i="3"/>
  <c r="FM224" i="3"/>
  <c r="FQ224" i="3"/>
  <c r="FL221" i="3"/>
  <c r="FI224" i="3"/>
  <c r="FH221" i="3"/>
  <c r="EZ36" i="30"/>
  <c r="EZ37" i="30"/>
  <c r="EZ13" i="30"/>
  <c r="EZ11" i="30"/>
  <c r="EZ14" i="30"/>
  <c r="EZ12" i="30"/>
  <c r="FA36" i="30"/>
  <c r="FA13" i="30"/>
  <c r="FA11" i="30"/>
  <c r="FA37" i="30"/>
  <c r="FA111" i="5"/>
  <c r="FA110" i="5"/>
  <c r="FA109" i="5"/>
  <c r="FA138" i="5"/>
  <c r="FF141" i="5" s="1"/>
  <c r="EZ61" i="6"/>
  <c r="EZ63" i="6" s="1"/>
  <c r="FB14" i="30"/>
  <c r="FE34" i="8"/>
  <c r="FE17" i="8"/>
  <c r="FG10" i="8"/>
  <c r="FG13" i="8" s="1"/>
  <c r="FE151" i="3"/>
  <c r="FF13" i="8"/>
  <c r="FE14" i="8"/>
  <c r="FD46" i="6"/>
  <c r="FB32" i="6" l="1"/>
  <c r="FB91" i="6"/>
  <c r="FB100" i="5"/>
  <c r="FB66" i="6"/>
  <c r="FB59" i="6"/>
  <c r="FB51" i="5"/>
  <c r="EZ103" i="5"/>
  <c r="EY103" i="5"/>
  <c r="EW103" i="5"/>
  <c r="EX103" i="5"/>
  <c r="FA101" i="5"/>
  <c r="FA102" i="5" s="1"/>
  <c r="FA96" i="6"/>
  <c r="FA92" i="6"/>
  <c r="EZ74" i="6"/>
  <c r="EZ75" i="6" s="1"/>
  <c r="EZ72" i="6"/>
  <c r="EZ73" i="6"/>
  <c r="EZ125" i="5"/>
  <c r="EZ126" i="5" s="1"/>
  <c r="EZ98" i="6"/>
  <c r="EZ97" i="6"/>
  <c r="FA67" i="6"/>
  <c r="FA71" i="6"/>
  <c r="FN224" i="3"/>
  <c r="FM221" i="3"/>
  <c r="FJ224" i="3"/>
  <c r="FJ221" i="3" s="1"/>
  <c r="FI221" i="3"/>
  <c r="FF224" i="3"/>
  <c r="FF222" i="3"/>
  <c r="FL127" i="3"/>
  <c r="FL222" i="3"/>
  <c r="FH127" i="3"/>
  <c r="FH222" i="3"/>
  <c r="FV224" i="3"/>
  <c r="FR224" i="3"/>
  <c r="FQ221" i="3"/>
  <c r="FB60" i="6"/>
  <c r="FF11" i="8"/>
  <c r="FF14" i="8"/>
  <c r="FF151" i="3"/>
  <c r="FG151" i="3"/>
  <c r="FG34" i="8"/>
  <c r="FG14" i="8"/>
  <c r="FH10" i="8"/>
  <c r="FH13" i="8" s="1"/>
  <c r="FG17" i="8"/>
  <c r="FE18" i="8"/>
  <c r="FE152" i="3"/>
  <c r="FF17" i="8"/>
  <c r="FE43" i="8"/>
  <c r="FE44" i="8" s="1"/>
  <c r="FD40" i="8"/>
  <c r="FD41" i="8" s="1"/>
  <c r="FE43" i="6"/>
  <c r="FF34" i="8"/>
  <c r="FF43" i="8" s="1"/>
  <c r="FF44" i="8" s="1"/>
  <c r="FB61" i="6" l="1"/>
  <c r="FC60" i="6" s="1"/>
  <c r="FF60" i="6"/>
  <c r="FB101" i="5"/>
  <c r="FB105" i="5"/>
  <c r="FB92" i="6"/>
  <c r="FB96" i="6"/>
  <c r="FB67" i="6"/>
  <c r="FB71" i="6"/>
  <c r="FA74" i="6"/>
  <c r="FA75" i="6" s="1"/>
  <c r="FA73" i="6"/>
  <c r="FA72" i="6"/>
  <c r="FA125" i="5"/>
  <c r="FA97" i="6"/>
  <c r="FA98" i="6"/>
  <c r="FI127" i="3"/>
  <c r="FI222" i="3"/>
  <c r="FJ127" i="3"/>
  <c r="FJ222" i="3"/>
  <c r="FS224" i="3"/>
  <c r="FR221" i="3"/>
  <c r="FM127" i="3"/>
  <c r="FM222" i="3"/>
  <c r="FQ127" i="3"/>
  <c r="FQ222" i="3"/>
  <c r="FW224" i="3"/>
  <c r="FV221" i="3"/>
  <c r="FO224" i="3"/>
  <c r="FO221" i="3" s="1"/>
  <c r="FN221" i="3"/>
  <c r="FE46" i="6"/>
  <c r="FF43" i="6"/>
  <c r="FF18" i="8"/>
  <c r="FF16" i="8"/>
  <c r="FG152" i="3"/>
  <c r="FG18" i="8"/>
  <c r="FG43" i="8"/>
  <c r="FG44" i="8" s="1"/>
  <c r="FE40" i="8"/>
  <c r="FE41" i="8" s="1"/>
  <c r="FG43" i="6"/>
  <c r="FF152" i="3"/>
  <c r="FH17" i="8"/>
  <c r="FH151" i="3"/>
  <c r="FI10" i="8"/>
  <c r="FI13" i="8" s="1"/>
  <c r="FH34" i="8"/>
  <c r="FH14" i="8"/>
  <c r="FB10" i="5"/>
  <c r="FB73" i="6" l="1"/>
  <c r="FB125" i="5"/>
  <c r="FB126" i="5" s="1"/>
  <c r="FB72" i="6"/>
  <c r="FB74" i="6"/>
  <c r="FB75" i="6" s="1"/>
  <c r="FB97" i="6"/>
  <c r="FB129" i="5"/>
  <c r="FB130" i="5" s="1"/>
  <c r="FB98" i="6"/>
  <c r="EZ127" i="5"/>
  <c r="EW127" i="5"/>
  <c r="FA126" i="5"/>
  <c r="EY127" i="5"/>
  <c r="EX127" i="5"/>
  <c r="FV127" i="3"/>
  <c r="FV222" i="3"/>
  <c r="FX224" i="3"/>
  <c r="FW221" i="3"/>
  <c r="FK127" i="3"/>
  <c r="FT224" i="3"/>
  <c r="FT221" i="3" s="1"/>
  <c r="FS221" i="3"/>
  <c r="FR127" i="3"/>
  <c r="FR222" i="3"/>
  <c r="FN127" i="3"/>
  <c r="FN222" i="3"/>
  <c r="FO127" i="3"/>
  <c r="FO222" i="3"/>
  <c r="FH43" i="8"/>
  <c r="FH44" i="8" s="1"/>
  <c r="FH43" i="6"/>
  <c r="FG40" i="8"/>
  <c r="FG41" i="8" s="1"/>
  <c r="FH18" i="8"/>
  <c r="FH152" i="3"/>
  <c r="FJ10" i="8"/>
  <c r="FI151" i="3"/>
  <c r="FI34" i="8"/>
  <c r="FI14" i="8"/>
  <c r="FI17" i="8"/>
  <c r="FG46" i="6"/>
  <c r="FF46" i="6"/>
  <c r="FB16" i="5"/>
  <c r="FC218" i="3"/>
  <c r="FC216" i="3" s="1"/>
  <c r="FB58" i="5"/>
  <c r="FB60" i="5" s="1"/>
  <c r="FB63" i="6"/>
  <c r="FT127" i="3" l="1"/>
  <c r="FT222" i="3"/>
  <c r="FW127" i="3"/>
  <c r="FW222" i="3"/>
  <c r="FY224" i="3"/>
  <c r="FX221" i="3"/>
  <c r="FS127" i="3"/>
  <c r="FS222" i="3"/>
  <c r="FP127" i="3"/>
  <c r="FK221" i="3"/>
  <c r="FI152" i="3"/>
  <c r="FI18" i="8"/>
  <c r="FH40" i="8"/>
  <c r="FH41" i="8" s="1"/>
  <c r="FI43" i="6"/>
  <c r="FI43" i="8"/>
  <c r="FI44" i="8" s="1"/>
  <c r="FK10" i="8"/>
  <c r="FJ13" i="8"/>
  <c r="FH46" i="6"/>
  <c r="FC217" i="3"/>
  <c r="FC126" i="3"/>
  <c r="FC132" i="3" s="1"/>
  <c r="FC134" i="3" s="1"/>
  <c r="FC226" i="3"/>
  <c r="FC227" i="3" s="1"/>
  <c r="FB25" i="5"/>
  <c r="FC136" i="3" l="1"/>
  <c r="FX127" i="3"/>
  <c r="FX222" i="3"/>
  <c r="GA224" i="3"/>
  <c r="FY221" i="3"/>
  <c r="FP221" i="3"/>
  <c r="FU127" i="3"/>
  <c r="FK222" i="3"/>
  <c r="FK224" i="3"/>
  <c r="FI46" i="6"/>
  <c r="FJ14" i="8"/>
  <c r="FJ34" i="8"/>
  <c r="FL10" i="8"/>
  <c r="FL13" i="8" s="1"/>
  <c r="FJ151" i="3"/>
  <c r="FK13" i="8"/>
  <c r="FJ17" i="8"/>
  <c r="FB53" i="5"/>
  <c r="FC139" i="3" l="1"/>
  <c r="FU221" i="3"/>
  <c r="FU224" i="3" s="1"/>
  <c r="FP222" i="3"/>
  <c r="FP224" i="3"/>
  <c r="GB224" i="3"/>
  <c r="GA221" i="3"/>
  <c r="FY127" i="3"/>
  <c r="FZ127" i="3" s="1"/>
  <c r="FY222" i="3"/>
  <c r="FJ43" i="8"/>
  <c r="FJ44" i="8" s="1"/>
  <c r="FJ43" i="6"/>
  <c r="FI40" i="8"/>
  <c r="FI41" i="8" s="1"/>
  <c r="FK34" i="8"/>
  <c r="FK43" i="8" s="1"/>
  <c r="FK44" i="8" s="1"/>
  <c r="FJ152" i="3"/>
  <c r="FJ18" i="8"/>
  <c r="FK17" i="8"/>
  <c r="FK14" i="8"/>
  <c r="FK11" i="8"/>
  <c r="FK151" i="3"/>
  <c r="FL14" i="8"/>
  <c r="FL151" i="3"/>
  <c r="FL17" i="8"/>
  <c r="FL34" i="8"/>
  <c r="FM10" i="8"/>
  <c r="FM13" i="8" s="1"/>
  <c r="FU222" i="3" l="1"/>
  <c r="FC140" i="3"/>
  <c r="FC212" i="3"/>
  <c r="FC10" i="6"/>
  <c r="FC143" i="3"/>
  <c r="FC48" i="5"/>
  <c r="FC147" i="3"/>
  <c r="GA127" i="3"/>
  <c r="GA222" i="3"/>
  <c r="FZ221" i="3"/>
  <c r="GC224" i="3"/>
  <c r="GB221" i="3"/>
  <c r="FK16" i="8"/>
  <c r="FK18" i="8"/>
  <c r="FM14" i="8"/>
  <c r="FM17" i="8"/>
  <c r="FN10" i="8"/>
  <c r="FN13" i="8" s="1"/>
  <c r="FM34" i="8"/>
  <c r="FM151" i="3"/>
  <c r="FL43" i="8"/>
  <c r="FL43" i="6"/>
  <c r="FJ40" i="8"/>
  <c r="FJ41" i="8" s="1"/>
  <c r="FK152" i="3"/>
  <c r="FL18" i="8"/>
  <c r="FL152" i="3"/>
  <c r="FJ46" i="6"/>
  <c r="FK43" i="6"/>
  <c r="FC50" i="5" l="1"/>
  <c r="FC31" i="6"/>
  <c r="FC149" i="3"/>
  <c r="FC46" i="8"/>
  <c r="FC148" i="3"/>
  <c r="FC145" i="3"/>
  <c r="FC144" i="3"/>
  <c r="GD224" i="3"/>
  <c r="GC221" i="3"/>
  <c r="FZ224" i="3"/>
  <c r="FZ222" i="3"/>
  <c r="GB127" i="3"/>
  <c r="GB222" i="3"/>
  <c r="FN14" i="8"/>
  <c r="FN151" i="3"/>
  <c r="FN34" i="8"/>
  <c r="FN17" i="8"/>
  <c r="FO10" i="8"/>
  <c r="FM18" i="8"/>
  <c r="FM152" i="3"/>
  <c r="FL46" i="6"/>
  <c r="FK46" i="6"/>
  <c r="FM43" i="6"/>
  <c r="FL40" i="8"/>
  <c r="FL41" i="8" s="1"/>
  <c r="FM43" i="8"/>
  <c r="FC91" i="6" l="1"/>
  <c r="FC100" i="5"/>
  <c r="FC66" i="6"/>
  <c r="FC32" i="6"/>
  <c r="FC59" i="6"/>
  <c r="FC51" i="5"/>
  <c r="GC127" i="3"/>
  <c r="GC222" i="3"/>
  <c r="GF224" i="3"/>
  <c r="GD221" i="3"/>
  <c r="FM46" i="6"/>
  <c r="FO13" i="8"/>
  <c r="FP10" i="8"/>
  <c r="FN18" i="8"/>
  <c r="FN152" i="3"/>
  <c r="FM40" i="8"/>
  <c r="FM41" i="8" s="1"/>
  <c r="FN43" i="6"/>
  <c r="FN43" i="8"/>
  <c r="FC101" i="5" l="1"/>
  <c r="FC105" i="5"/>
  <c r="FC61" i="6"/>
  <c r="FC71" i="6"/>
  <c r="FC67" i="6"/>
  <c r="FC92" i="6"/>
  <c r="FC96" i="6"/>
  <c r="GD127" i="3"/>
  <c r="GD222" i="3"/>
  <c r="GG224" i="3"/>
  <c r="GF221" i="3"/>
  <c r="GE127" i="3"/>
  <c r="FO34" i="8"/>
  <c r="FO14" i="8"/>
  <c r="FO17" i="8"/>
  <c r="FQ10" i="8"/>
  <c r="FQ13" i="8" s="1"/>
  <c r="FO151" i="3"/>
  <c r="FP13" i="8"/>
  <c r="FN46" i="6"/>
  <c r="FC97" i="6" l="1"/>
  <c r="FC98" i="6"/>
  <c r="FC129" i="5"/>
  <c r="FC130" i="5" s="1"/>
  <c r="FC73" i="6"/>
  <c r="FC72" i="6"/>
  <c r="FC125" i="5"/>
  <c r="FC126" i="5" s="1"/>
  <c r="FC74" i="6"/>
  <c r="FC75" i="6" s="1"/>
  <c r="FC10" i="5"/>
  <c r="FC63" i="6" s="1"/>
  <c r="FD60" i="6"/>
  <c r="GF127" i="3"/>
  <c r="GF222" i="3"/>
  <c r="GH224" i="3"/>
  <c r="GG221" i="3"/>
  <c r="GE221" i="3"/>
  <c r="FR10" i="8"/>
  <c r="FR13" i="8" s="1"/>
  <c r="FQ17" i="8"/>
  <c r="FQ34" i="8"/>
  <c r="FQ151" i="3"/>
  <c r="FQ14" i="8"/>
  <c r="FP151" i="3"/>
  <c r="FO18" i="8"/>
  <c r="FP17" i="8"/>
  <c r="FO152" i="3"/>
  <c r="FO43" i="6"/>
  <c r="FO43" i="8"/>
  <c r="FN40" i="8"/>
  <c r="FN41" i="8" s="1"/>
  <c r="FP34" i="8"/>
  <c r="FP43" i="8" s="1"/>
  <c r="FP44" i="8" s="1"/>
  <c r="FP11" i="8"/>
  <c r="FP14" i="8"/>
  <c r="FC58" i="5" l="1"/>
  <c r="FC60" i="5" s="1"/>
  <c r="FD218" i="3"/>
  <c r="FD216" i="3" s="1"/>
  <c r="FC16" i="5"/>
  <c r="GG222" i="3"/>
  <c r="GG127" i="3"/>
  <c r="GI224" i="3"/>
  <c r="GI221" i="3" s="1"/>
  <c r="GH221" i="3"/>
  <c r="GE222" i="3"/>
  <c r="GE224" i="3"/>
  <c r="FP16" i="8"/>
  <c r="FP18" i="8"/>
  <c r="FQ152" i="3"/>
  <c r="FQ18" i="8"/>
  <c r="FR17" i="8"/>
  <c r="FR14" i="8"/>
  <c r="FR34" i="8"/>
  <c r="FR151" i="3"/>
  <c r="FS10" i="8"/>
  <c r="FS13" i="8" s="1"/>
  <c r="FO46" i="6"/>
  <c r="FP43" i="6"/>
  <c r="FP152" i="3"/>
  <c r="FO40" i="8"/>
  <c r="FO41" i="8" s="1"/>
  <c r="FQ43" i="6"/>
  <c r="FQ43" i="8"/>
  <c r="FD126" i="3" l="1"/>
  <c r="FD226" i="3"/>
  <c r="FD227" i="3" s="1"/>
  <c r="FD217" i="3"/>
  <c r="FC25" i="5"/>
  <c r="GH222" i="3"/>
  <c r="GH127" i="3"/>
  <c r="GI127" i="3"/>
  <c r="GI222" i="3"/>
  <c r="FQ46" i="6"/>
  <c r="FS17" i="8"/>
  <c r="FT10" i="8"/>
  <c r="FS14" i="8"/>
  <c r="FS34" i="8"/>
  <c r="FS151" i="3"/>
  <c r="FR43" i="8"/>
  <c r="FR43" i="6"/>
  <c r="FQ40" i="8"/>
  <c r="FQ41" i="8" s="1"/>
  <c r="FP46" i="6"/>
  <c r="FR152" i="3"/>
  <c r="FR18" i="8"/>
  <c r="FC53" i="5" l="1"/>
  <c r="FD132" i="3"/>
  <c r="GJ127" i="3"/>
  <c r="GJ221" i="3" s="1"/>
  <c r="GJ222" i="3" s="1"/>
  <c r="FR46" i="6"/>
  <c r="FU10" i="8"/>
  <c r="FT13" i="8"/>
  <c r="FS18" i="8"/>
  <c r="FS152" i="3"/>
  <c r="FR40" i="8"/>
  <c r="FR41" i="8" s="1"/>
  <c r="FS43" i="6"/>
  <c r="FS43" i="8"/>
  <c r="GJ224" i="3" l="1"/>
  <c r="FD134" i="3"/>
  <c r="FS46" i="6"/>
  <c r="FU13" i="8"/>
  <c r="FV10" i="8"/>
  <c r="FV13" i="8" s="1"/>
  <c r="FT34" i="8"/>
  <c r="FT17" i="8"/>
  <c r="FT14" i="8"/>
  <c r="FT151" i="3"/>
  <c r="FD136" i="3" l="1"/>
  <c r="FU17" i="8"/>
  <c r="FT18" i="8"/>
  <c r="FT152" i="3"/>
  <c r="FT43" i="6"/>
  <c r="FS40" i="8"/>
  <c r="FS41" i="8" s="1"/>
  <c r="FT43" i="8"/>
  <c r="FU34" i="8"/>
  <c r="FU43" i="8" s="1"/>
  <c r="FU44" i="8" s="1"/>
  <c r="FU11" i="8"/>
  <c r="FU14" i="8"/>
  <c r="FV14" i="8"/>
  <c r="FW10" i="8"/>
  <c r="FW13" i="8" s="1"/>
  <c r="FV17" i="8"/>
  <c r="FV151" i="3"/>
  <c r="FV34" i="8"/>
  <c r="FU151" i="3"/>
  <c r="FD139" i="3" l="1"/>
  <c r="FD140" i="3" s="1"/>
  <c r="FV18" i="8"/>
  <c r="FV152" i="3"/>
  <c r="FW14" i="8"/>
  <c r="FX10" i="8"/>
  <c r="FX13" i="8" s="1"/>
  <c r="FW151" i="3"/>
  <c r="FW17" i="8"/>
  <c r="FW34" i="8"/>
  <c r="FU152" i="3"/>
  <c r="FT46" i="6"/>
  <c r="FU43" i="6"/>
  <c r="FU16" i="8"/>
  <c r="FU18" i="8"/>
  <c r="FV43" i="6"/>
  <c r="FV43" i="8"/>
  <c r="FT40" i="8"/>
  <c r="FT41" i="8" s="1"/>
  <c r="FD212" i="3" l="1"/>
  <c r="FD10" i="6"/>
  <c r="FD31" i="6" s="1"/>
  <c r="FD48" i="5"/>
  <c r="FD50" i="5" s="1"/>
  <c r="FD147" i="3"/>
  <c r="FD143" i="3"/>
  <c r="FW18" i="8"/>
  <c r="FW152" i="3"/>
  <c r="FV46" i="6"/>
  <c r="FX14" i="8"/>
  <c r="FY10" i="8"/>
  <c r="FX34" i="8"/>
  <c r="FX151" i="3"/>
  <c r="FX17" i="8"/>
  <c r="FU46" i="6"/>
  <c r="FW43" i="6"/>
  <c r="FW46" i="6" s="1"/>
  <c r="FW43" i="8"/>
  <c r="FV40" i="8"/>
  <c r="FV41" i="8" s="1"/>
  <c r="FD148" i="3" l="1"/>
  <c r="FD46" i="8"/>
  <c r="FD144" i="3"/>
  <c r="FD149" i="3"/>
  <c r="FD145" i="3"/>
  <c r="FD51" i="5"/>
  <c r="FD32" i="6"/>
  <c r="FD100" i="5"/>
  <c r="FD91" i="6"/>
  <c r="FD66" i="6"/>
  <c r="FD59" i="6"/>
  <c r="FZ10" i="8"/>
  <c r="FY13" i="8"/>
  <c r="FW40" i="8"/>
  <c r="FW41" i="8" s="1"/>
  <c r="FX43" i="6"/>
  <c r="FX46" i="6" s="1"/>
  <c r="FX43" i="8"/>
  <c r="FX18" i="8"/>
  <c r="FX152" i="3"/>
  <c r="FD101" i="5" l="1"/>
  <c r="FD105" i="5"/>
  <c r="FD92" i="6"/>
  <c r="FD96" i="6"/>
  <c r="FD61" i="6"/>
  <c r="FD71" i="6"/>
  <c r="FD67" i="6"/>
  <c r="FZ13" i="8"/>
  <c r="FY14" i="8"/>
  <c r="GA10" i="8"/>
  <c r="GA13" i="8" s="1"/>
  <c r="FY17" i="8"/>
  <c r="FY151" i="3"/>
  <c r="FY34" i="8"/>
  <c r="FD74" i="6" l="1"/>
  <c r="FD75" i="6" s="1"/>
  <c r="FD73" i="6"/>
  <c r="FD125" i="5"/>
  <c r="FD126" i="5" s="1"/>
  <c r="FD72" i="6"/>
  <c r="FE60" i="6"/>
  <c r="FD10" i="5"/>
  <c r="FD129" i="5"/>
  <c r="FD130" i="5" s="1"/>
  <c r="FD97" i="6"/>
  <c r="FD98" i="6"/>
  <c r="GA14" i="8"/>
  <c r="GB10" i="8"/>
  <c r="GB13" i="8" s="1"/>
  <c r="GA151" i="3"/>
  <c r="GA17" i="8"/>
  <c r="GA34" i="8"/>
  <c r="FZ11" i="8"/>
  <c r="FZ14" i="8"/>
  <c r="FY43" i="6"/>
  <c r="FY43" i="8"/>
  <c r="FX40" i="8"/>
  <c r="FX41" i="8" s="1"/>
  <c r="FZ34" i="8"/>
  <c r="FZ43" i="8" s="1"/>
  <c r="FZ44" i="8" s="1"/>
  <c r="FZ151" i="3"/>
  <c r="FY152" i="3"/>
  <c r="FY18" i="8"/>
  <c r="FZ17" i="8"/>
  <c r="FD16" i="5" l="1"/>
  <c r="FE218" i="3"/>
  <c r="FE216" i="3" s="1"/>
  <c r="FD58" i="5"/>
  <c r="FD60" i="5" s="1"/>
  <c r="FD63" i="6"/>
  <c r="GA43" i="6"/>
  <c r="FY40" i="8"/>
  <c r="GA43" i="8"/>
  <c r="FZ152" i="3"/>
  <c r="GA18" i="8"/>
  <c r="GA152" i="3"/>
  <c r="FY46" i="6"/>
  <c r="FZ43" i="6"/>
  <c r="GB34" i="8"/>
  <c r="GB14" i="8"/>
  <c r="GB151" i="3"/>
  <c r="GB17" i="8"/>
  <c r="GC10" i="8"/>
  <c r="GC13" i="8" s="1"/>
  <c r="FZ18" i="8"/>
  <c r="FZ16" i="8"/>
  <c r="FE226" i="3" l="1"/>
  <c r="FE227" i="3" s="1"/>
  <c r="FE126" i="3"/>
  <c r="FE132" i="3" s="1"/>
  <c r="FE217" i="3"/>
  <c r="FD25" i="5"/>
  <c r="GC17" i="8"/>
  <c r="GC14" i="8"/>
  <c r="GC151" i="3"/>
  <c r="GC34" i="8"/>
  <c r="GD10" i="8"/>
  <c r="GB18" i="8"/>
  <c r="GB152" i="3"/>
  <c r="FY41" i="8"/>
  <c r="GA40" i="8"/>
  <c r="GA41" i="8" s="1"/>
  <c r="GB43" i="6"/>
  <c r="GB46" i="6" s="1"/>
  <c r="GB43" i="8"/>
  <c r="FZ46" i="6"/>
  <c r="GA46" i="6"/>
  <c r="FF132" i="3" l="1"/>
  <c r="FF126" i="3"/>
  <c r="FD53" i="5"/>
  <c r="GC18" i="8"/>
  <c r="GC152" i="3"/>
  <c r="GD13" i="8"/>
  <c r="GF10" i="8" s="1"/>
  <c r="GF13" i="8" s="1"/>
  <c r="GE10" i="8"/>
  <c r="GC43" i="6"/>
  <c r="GC43" i="8"/>
  <c r="GB40" i="8"/>
  <c r="GB41" i="8" s="1"/>
  <c r="GF17" i="8" l="1"/>
  <c r="GF14" i="8"/>
  <c r="GG10" i="8"/>
  <c r="GG13" i="8" s="1"/>
  <c r="GF151" i="3"/>
  <c r="GF34" i="8"/>
  <c r="FF216" i="3"/>
  <c r="GC46" i="6"/>
  <c r="GD151" i="3"/>
  <c r="GE13" i="8"/>
  <c r="GD34" i="8"/>
  <c r="GD17" i="8"/>
  <c r="GD14" i="8"/>
  <c r="GG17" i="8" l="1"/>
  <c r="GG14" i="8"/>
  <c r="GH10" i="8"/>
  <c r="GH13" i="8" s="1"/>
  <c r="GG151" i="3"/>
  <c r="GG34" i="8"/>
  <c r="GF43" i="8"/>
  <c r="GF43" i="6"/>
  <c r="GD40" i="8"/>
  <c r="GF18" i="8"/>
  <c r="GF152" i="3"/>
  <c r="FF226" i="3"/>
  <c r="FF227" i="3" s="1"/>
  <c r="FF217" i="3"/>
  <c r="GE151" i="3"/>
  <c r="GC40" i="8"/>
  <c r="GC41" i="8" s="1"/>
  <c r="GD43" i="6"/>
  <c r="GD43" i="8"/>
  <c r="GE34" i="8"/>
  <c r="GE43" i="8" s="1"/>
  <c r="GE44" i="8" s="1"/>
  <c r="GE11" i="8"/>
  <c r="GE14" i="8"/>
  <c r="GD18" i="8"/>
  <c r="GE17" i="8"/>
  <c r="GD152" i="3"/>
  <c r="GF40" i="8" l="1"/>
  <c r="GF41" i="8" s="1"/>
  <c r="GG43" i="8"/>
  <c r="GG43" i="6"/>
  <c r="GG46" i="6" s="1"/>
  <c r="GI41" i="8"/>
  <c r="GD41" i="8"/>
  <c r="GI10" i="8"/>
  <c r="GH17" i="8"/>
  <c r="GH14" i="8"/>
  <c r="GH151" i="3"/>
  <c r="GH34" i="8"/>
  <c r="GF46" i="6"/>
  <c r="GG18" i="8"/>
  <c r="GG152" i="3"/>
  <c r="GE152" i="3"/>
  <c r="GD46" i="6"/>
  <c r="GE43" i="6"/>
  <c r="GE16" i="8"/>
  <c r="GE18" i="8"/>
  <c r="GH43" i="8" l="1"/>
  <c r="GG40" i="8"/>
  <c r="GG41" i="8" s="1"/>
  <c r="GH43" i="6"/>
  <c r="GH18" i="8"/>
  <c r="GH152" i="3"/>
  <c r="GJ10" i="8"/>
  <c r="GI13" i="8"/>
  <c r="GE46" i="6"/>
  <c r="GH46" i="6" l="1"/>
  <c r="GI17" i="8"/>
  <c r="GI14" i="8"/>
  <c r="GJ13" i="8"/>
  <c r="GI151" i="3"/>
  <c r="GJ151" i="3" s="1"/>
  <c r="GI34" i="8"/>
  <c r="FB80" i="6"/>
  <c r="FB82" i="6"/>
  <c r="GJ11" i="8" l="1"/>
  <c r="GJ14" i="8"/>
  <c r="GJ17" i="8"/>
  <c r="GI18" i="8"/>
  <c r="GI152" i="3"/>
  <c r="GJ152" i="3" s="1"/>
  <c r="GI43" i="8"/>
  <c r="GH40" i="8"/>
  <c r="GH41" i="8" s="1"/>
  <c r="GI43" i="6"/>
  <c r="GJ34" i="8"/>
  <c r="GJ43" i="8" s="1"/>
  <c r="GJ44" i="8" s="1"/>
  <c r="EZ129" i="5"/>
  <c r="FB95" i="6"/>
  <c r="GJ18" i="8" l="1"/>
  <c r="GJ16" i="8"/>
  <c r="GI46" i="6"/>
  <c r="GJ46" i="6" s="1"/>
  <c r="GJ43" i="6"/>
  <c r="EZ130" i="5"/>
  <c r="FA129" i="5" l="1"/>
  <c r="EX131" i="5" s="1"/>
  <c r="FB86" i="6"/>
  <c r="FB88" i="6"/>
  <c r="EZ114" i="5"/>
  <c r="EZ118" i="5" l="1"/>
  <c r="EZ117" i="5"/>
  <c r="EZ119" i="5"/>
  <c r="FB117" i="5"/>
  <c r="EZ115" i="5"/>
  <c r="EZ17" i="30"/>
  <c r="FB21" i="30" s="1"/>
  <c r="EZ116" i="5"/>
  <c r="EZ122" i="5"/>
  <c r="EZ123" i="5" s="1"/>
  <c r="FB119" i="5"/>
  <c r="EW131" i="5"/>
  <c r="EY131" i="5"/>
  <c r="FA130" i="5"/>
  <c r="EZ131" i="5"/>
  <c r="FA114" i="5"/>
  <c r="FB19" i="30" l="1"/>
  <c r="FA17" i="30"/>
  <c r="EZ120" i="5"/>
  <c r="FA24" i="30"/>
  <c r="FA18" i="30"/>
  <c r="FA20" i="30"/>
  <c r="EZ24" i="30"/>
  <c r="EZ18" i="30"/>
  <c r="EZ20" i="30"/>
  <c r="EZ19" i="30"/>
  <c r="EZ21" i="30"/>
  <c r="FA115" i="5"/>
  <c r="FA122" i="5"/>
  <c r="FA120" i="5" s="1"/>
  <c r="FA116" i="5"/>
  <c r="FA118" i="5"/>
  <c r="EZ22" i="30" l="1"/>
  <c r="EZ39" i="30"/>
  <c r="EZ27" i="30"/>
  <c r="EZ25" i="30"/>
  <c r="EZ26" i="30"/>
  <c r="EZ28" i="30"/>
  <c r="EZ15" i="30"/>
  <c r="FB28" i="30"/>
  <c r="FE40" i="30"/>
  <c r="FB26" i="30"/>
  <c r="FA22" i="30"/>
  <c r="FA39" i="30"/>
  <c r="FA27" i="30"/>
  <c r="FA25" i="30"/>
  <c r="FA15" i="30"/>
  <c r="FA123" i="5"/>
  <c r="FF40" i="30" l="1"/>
  <c r="FE66" i="18" l="1"/>
  <c r="FB65" i="18"/>
  <c r="EZ24" i="42"/>
  <c r="EZ27" i="42" s="1"/>
  <c r="FE63" i="18"/>
  <c r="FA62" i="18"/>
  <c r="FF66" i="18" s="1"/>
  <c r="EZ117" i="14"/>
  <c r="EZ119" i="14" s="1"/>
  <c r="FB200" i="14"/>
  <c r="FE196" i="14"/>
  <c r="FE197" i="14" s="1"/>
  <c r="EZ199" i="14"/>
  <c r="EZ198" i="14"/>
  <c r="FE199" i="14"/>
  <c r="EZ200" i="14"/>
  <c r="FB198" i="14"/>
  <c r="EZ203" i="14"/>
  <c r="EZ201" i="14"/>
  <c r="EZ25" i="42" l="1"/>
  <c r="FB26" i="42"/>
  <c r="EZ26" i="42"/>
  <c r="FE25" i="42"/>
  <c r="EZ131" i="14"/>
  <c r="FA131" i="14" s="1"/>
  <c r="FF196" i="14"/>
  <c r="FA66" i="18"/>
  <c r="FB121" i="14"/>
  <c r="FA63" i="18"/>
  <c r="FA24" i="42"/>
  <c r="EZ121" i="14"/>
  <c r="FF199" i="14"/>
  <c r="FF63" i="18"/>
  <c r="EZ120" i="14"/>
  <c r="FB119" i="14"/>
  <c r="FE118" i="14"/>
  <c r="FE120" i="14"/>
  <c r="FB67" i="18"/>
  <c r="EZ135" i="14" l="1"/>
  <c r="EZ202" i="14"/>
  <c r="EZ136" i="14"/>
  <c r="FB133" i="14"/>
  <c r="EZ129" i="14"/>
  <c r="EZ271" i="14"/>
  <c r="EZ29" i="42"/>
  <c r="EZ31" i="42" s="1"/>
  <c r="EZ192" i="14"/>
  <c r="FA261" i="14"/>
  <c r="FA192" i="14"/>
  <c r="FA134" i="14"/>
  <c r="FA271" i="14"/>
  <c r="FA248" i="14"/>
  <c r="FA201" i="14"/>
  <c r="FA202" i="14"/>
  <c r="FA122" i="14"/>
  <c r="FA129" i="14"/>
  <c r="FE134" i="14"/>
  <c r="FE132" i="14"/>
  <c r="EZ122" i="14"/>
  <c r="EZ133" i="14"/>
  <c r="FB135" i="14"/>
  <c r="EZ134" i="14"/>
  <c r="EZ248" i="14"/>
  <c r="EZ261" i="14"/>
  <c r="FF120" i="14"/>
  <c r="FF118" i="14"/>
  <c r="FA25" i="42"/>
  <c r="FF25" i="42"/>
  <c r="EZ32" i="42" l="1"/>
  <c r="EZ30" i="42"/>
  <c r="FE30" i="42"/>
  <c r="FB31" i="42"/>
  <c r="FF132" i="14"/>
  <c r="FF134" i="14"/>
  <c r="FA29" i="42"/>
  <c r="FA136" i="14" l="1"/>
  <c r="FA262" i="14"/>
  <c r="FA193" i="14"/>
  <c r="FA318" i="14"/>
  <c r="FA353" i="14"/>
  <c r="FA249" i="14"/>
  <c r="FA203" i="14"/>
  <c r="FA28" i="14"/>
  <c r="FA54" i="3" s="1"/>
  <c r="FA19" i="42"/>
  <c r="FA16" i="14"/>
  <c r="FA42" i="14"/>
  <c r="FA43" i="14" s="1"/>
  <c r="FA11" i="14"/>
  <c r="FA14" i="14"/>
  <c r="FA30" i="42"/>
  <c r="FF30" i="42"/>
  <c r="FA29" i="14" l="1"/>
  <c r="FA37" i="42"/>
  <c r="FA10" i="42"/>
  <c r="FA22" i="42" s="1"/>
  <c r="FA20" i="42"/>
  <c r="FA27" i="42"/>
  <c r="FA42" i="42"/>
  <c r="FA32" i="42"/>
  <c r="FA67" i="42" l="1"/>
  <c r="FA47" i="42"/>
  <c r="FA11" i="42"/>
  <c r="FB123" i="18"/>
  <c r="FE355" i="14"/>
  <c r="FG358" i="14" s="1"/>
  <c r="FB358" i="14"/>
  <c r="FB363" i="14"/>
  <c r="EZ359" i="14"/>
  <c r="FE120" i="18" l="1"/>
  <c r="FE121" i="18" s="1"/>
  <c r="FE363" i="14"/>
  <c r="FE347" i="14"/>
  <c r="FE348" i="14" s="1"/>
  <c r="FE358" i="14"/>
  <c r="FE359" i="14"/>
  <c r="FG363" i="14"/>
  <c r="FJ355" i="14"/>
  <c r="FK355" i="14" s="1"/>
  <c r="FK120" i="18" s="1"/>
  <c r="FK10" i="18" s="1"/>
  <c r="FK126" i="18" s="1"/>
  <c r="FE10" i="18"/>
  <c r="FF355" i="14"/>
  <c r="FE361" i="14"/>
  <c r="FE362" i="14" s="1"/>
  <c r="FB13" i="18"/>
  <c r="EZ17" i="2"/>
  <c r="EX42" i="18"/>
  <c r="EZ114" i="18"/>
  <c r="EU42" i="18"/>
  <c r="FB15" i="18"/>
  <c r="EZ18" i="18"/>
  <c r="EY42" i="18"/>
  <c r="EW42" i="18"/>
  <c r="EZ14" i="42"/>
  <c r="FG123" i="18"/>
  <c r="FJ347" i="14"/>
  <c r="FJ359" i="14" s="1"/>
  <c r="FB125" i="18"/>
  <c r="FJ363" i="14" l="1"/>
  <c r="FL363" i="14"/>
  <c r="FG125" i="18"/>
  <c r="FJ361" i="14"/>
  <c r="FJ362" i="14" s="1"/>
  <c r="FE351" i="14"/>
  <c r="FL358" i="14"/>
  <c r="FJ120" i="18"/>
  <c r="FL123" i="18" s="1"/>
  <c r="FE370" i="14"/>
  <c r="FJ358" i="14"/>
  <c r="FA18" i="18"/>
  <c r="FA19" i="18" s="1"/>
  <c r="FB20" i="18"/>
  <c r="FF347" i="14"/>
  <c r="FF10" i="14" s="1"/>
  <c r="FO355" i="14"/>
  <c r="FO363" i="14" s="1"/>
  <c r="FE10" i="14"/>
  <c r="FE352" i="14"/>
  <c r="FE39" i="42"/>
  <c r="FE350" i="14"/>
  <c r="FG352" i="14"/>
  <c r="FG350" i="14"/>
  <c r="FE125" i="18"/>
  <c r="FE124" i="18"/>
  <c r="FE123" i="18"/>
  <c r="FE126" i="18"/>
  <c r="EZ42" i="18"/>
  <c r="FF361" i="14"/>
  <c r="FF362" i="14" s="1"/>
  <c r="FF120" i="18"/>
  <c r="FF356" i="14"/>
  <c r="FK361" i="14"/>
  <c r="EZ19" i="18"/>
  <c r="EZ20" i="18"/>
  <c r="EU19" i="2"/>
  <c r="EU103" i="2" s="1"/>
  <c r="EZ18" i="2"/>
  <c r="EW19" i="2"/>
  <c r="EW103" i="2" s="1"/>
  <c r="FE14" i="42"/>
  <c r="FE13" i="18"/>
  <c r="FE68" i="18"/>
  <c r="FE14" i="18"/>
  <c r="FE114" i="18"/>
  <c r="FE11" i="18"/>
  <c r="FE103" i="18"/>
  <c r="FE15" i="18"/>
  <c r="FE17" i="2"/>
  <c r="FG13" i="18"/>
  <c r="FE56" i="18"/>
  <c r="FG15" i="18"/>
  <c r="EZ15" i="42"/>
  <c r="EZ17" i="42"/>
  <c r="FB16" i="42"/>
  <c r="EZ16" i="42"/>
  <c r="FK347" i="14"/>
  <c r="FJ350" i="14"/>
  <c r="FJ351" i="14"/>
  <c r="FL350" i="14"/>
  <c r="FJ348" i="14"/>
  <c r="FJ370" i="14"/>
  <c r="FJ352" i="14"/>
  <c r="FJ39" i="42"/>
  <c r="FL352" i="14"/>
  <c r="FJ10" i="14"/>
  <c r="FK103" i="18"/>
  <c r="FK17" i="2"/>
  <c r="FK114" i="18"/>
  <c r="FK113" i="18"/>
  <c r="FK56" i="18"/>
  <c r="FK14" i="42"/>
  <c r="FK68" i="18"/>
  <c r="FK356" i="14"/>
  <c r="FJ125" i="18" l="1"/>
  <c r="FQ123" i="18"/>
  <c r="FO358" i="14"/>
  <c r="FJ10" i="18"/>
  <c r="FJ126" i="18" s="1"/>
  <c r="FL125" i="18"/>
  <c r="FJ121" i="18"/>
  <c r="FT355" i="14"/>
  <c r="FU355" i="14" s="1"/>
  <c r="FJ124" i="18"/>
  <c r="FT120" i="18"/>
  <c r="GA125" i="18" s="1"/>
  <c r="FJ123" i="18"/>
  <c r="FO347" i="14"/>
  <c r="FO359" i="14" s="1"/>
  <c r="FQ125" i="18"/>
  <c r="FK362" i="14"/>
  <c r="FF348" i="14"/>
  <c r="FF359" i="14"/>
  <c r="FF351" i="14"/>
  <c r="FF370" i="14"/>
  <c r="FQ358" i="14"/>
  <c r="FO120" i="18"/>
  <c r="FO124" i="18" s="1"/>
  <c r="FO361" i="14"/>
  <c r="FO362" i="14" s="1"/>
  <c r="FQ363" i="14"/>
  <c r="FF39" i="42"/>
  <c r="FF40" i="42" s="1"/>
  <c r="FP355" i="14"/>
  <c r="FP120" i="18" s="1"/>
  <c r="FE41" i="42"/>
  <c r="FE40" i="42"/>
  <c r="FG41" i="42"/>
  <c r="FG15" i="14"/>
  <c r="FE11" i="14"/>
  <c r="FE12" i="14" s="1"/>
  <c r="FE249" i="14"/>
  <c r="FE23" i="14"/>
  <c r="FE203" i="14"/>
  <c r="FE14" i="14"/>
  <c r="FE262" i="14"/>
  <c r="FE12" i="2"/>
  <c r="FE318" i="14"/>
  <c r="FG13" i="14"/>
  <c r="FE13" i="14"/>
  <c r="FE19" i="42"/>
  <c r="FE15" i="14"/>
  <c r="FE24" i="3"/>
  <c r="FE193" i="14"/>
  <c r="FE353" i="14"/>
  <c r="FE136" i="14"/>
  <c r="FF11" i="14"/>
  <c r="FF193" i="14"/>
  <c r="FF12" i="2"/>
  <c r="FF14" i="14"/>
  <c r="FF249" i="14"/>
  <c r="FF19" i="42"/>
  <c r="FF262" i="14"/>
  <c r="FF136" i="14"/>
  <c r="FF318" i="14"/>
  <c r="FF203" i="14"/>
  <c r="FJ11" i="14"/>
  <c r="FL13" i="14"/>
  <c r="FJ136" i="14"/>
  <c r="FJ23" i="14"/>
  <c r="FJ13" i="14"/>
  <c r="FJ15" i="14"/>
  <c r="FJ12" i="2"/>
  <c r="FJ19" i="42"/>
  <c r="FJ42" i="42" s="1"/>
  <c r="FL15" i="14"/>
  <c r="FJ318" i="14"/>
  <c r="FJ249" i="14"/>
  <c r="FJ24" i="3"/>
  <c r="FJ262" i="14"/>
  <c r="FJ14" i="14"/>
  <c r="FJ193" i="14"/>
  <c r="FJ203" i="14"/>
  <c r="FO348" i="14"/>
  <c r="FO39" i="42"/>
  <c r="FQ352" i="14"/>
  <c r="FO351" i="14"/>
  <c r="FF19" i="2"/>
  <c r="FG16" i="42"/>
  <c r="FE16" i="42"/>
  <c r="FE15" i="42"/>
  <c r="FT124" i="18"/>
  <c r="FF10" i="18"/>
  <c r="FF124" i="18"/>
  <c r="FF121" i="18"/>
  <c r="FK121" i="18"/>
  <c r="FK124" i="18"/>
  <c r="FJ41" i="42"/>
  <c r="FL41" i="42"/>
  <c r="FJ40" i="42"/>
  <c r="FA17" i="2"/>
  <c r="FA68" i="18"/>
  <c r="FA114" i="18"/>
  <c r="FA56" i="18"/>
  <c r="FA103" i="18"/>
  <c r="FA14" i="42"/>
  <c r="FA113" i="18"/>
  <c r="FJ353" i="14"/>
  <c r="FF353" i="14"/>
  <c r="FT361" i="14"/>
  <c r="FK10" i="14"/>
  <c r="FK353" i="14" s="1"/>
  <c r="FK348" i="14"/>
  <c r="FK370" i="14"/>
  <c r="FK39" i="42"/>
  <c r="FK351" i="14"/>
  <c r="FK359" i="14"/>
  <c r="FC19" i="2"/>
  <c r="EZ19" i="2"/>
  <c r="EZ103" i="2" s="1"/>
  <c r="FD19" i="2"/>
  <c r="FB19" i="2"/>
  <c r="FL13" i="18"/>
  <c r="FJ56" i="18"/>
  <c r="FJ114" i="18"/>
  <c r="FJ14" i="42"/>
  <c r="FJ68" i="18"/>
  <c r="FL15" i="18"/>
  <c r="FJ15" i="18"/>
  <c r="FJ103" i="18"/>
  <c r="FJ13" i="18"/>
  <c r="FJ17" i="2"/>
  <c r="FY355" i="14" l="1"/>
  <c r="FV358" i="14"/>
  <c r="FF42" i="42"/>
  <c r="FJ14" i="18"/>
  <c r="FJ11" i="18"/>
  <c r="FT363" i="14"/>
  <c r="FV363" i="14"/>
  <c r="FY120" i="18"/>
  <c r="FY10" i="18" s="1"/>
  <c r="FY126" i="18" s="1"/>
  <c r="FP347" i="14"/>
  <c r="FP348" i="14" s="1"/>
  <c r="FT358" i="14"/>
  <c r="FO352" i="14"/>
  <c r="FT347" i="14"/>
  <c r="FT359" i="14" s="1"/>
  <c r="FO350" i="14"/>
  <c r="FT121" i="18"/>
  <c r="GA123" i="18"/>
  <c r="FT10" i="18"/>
  <c r="FT126" i="18" s="1"/>
  <c r="FT123" i="18"/>
  <c r="FV123" i="18"/>
  <c r="FT125" i="18"/>
  <c r="FO10" i="18"/>
  <c r="FO126" i="18" s="1"/>
  <c r="FT362" i="14"/>
  <c r="FQ350" i="14"/>
  <c r="FO10" i="14"/>
  <c r="FO353" i="14" s="1"/>
  <c r="FO125" i="18"/>
  <c r="FO370" i="14"/>
  <c r="FJ16" i="14"/>
  <c r="FJ131" i="15"/>
  <c r="FJ130" i="15"/>
  <c r="FJ149" i="15"/>
  <c r="FO123" i="18"/>
  <c r="FO121" i="18"/>
  <c r="FV125" i="18"/>
  <c r="FP356" i="14"/>
  <c r="FU120" i="18"/>
  <c r="FU121" i="18" s="1"/>
  <c r="FP361" i="14"/>
  <c r="FP362" i="14" s="1"/>
  <c r="FE37" i="42"/>
  <c r="FE10" i="42"/>
  <c r="FE27" i="42"/>
  <c r="FE21" i="42"/>
  <c r="FG21" i="42"/>
  <c r="FE20" i="42"/>
  <c r="FE42" i="42"/>
  <c r="FE32" i="42"/>
  <c r="FF24" i="3"/>
  <c r="FE16" i="15"/>
  <c r="FE83" i="3"/>
  <c r="FE27" i="3"/>
  <c r="FE25" i="3"/>
  <c r="FE130" i="15"/>
  <c r="FE149" i="15"/>
  <c r="FE97" i="3"/>
  <c r="FE90" i="3"/>
  <c r="FE131" i="15"/>
  <c r="FE28" i="3"/>
  <c r="FE10" i="7"/>
  <c r="FE16" i="14"/>
  <c r="FE16" i="18"/>
  <c r="FG27" i="3"/>
  <c r="FG29" i="3"/>
  <c r="FE56" i="5"/>
  <c r="FE16" i="17"/>
  <c r="FE76" i="3"/>
  <c r="FE29" i="3"/>
  <c r="FB21" i="2"/>
  <c r="FD21" i="2"/>
  <c r="FE15" i="2"/>
  <c r="FC21" i="2"/>
  <c r="EZ21" i="2"/>
  <c r="EZ53" i="2" s="1"/>
  <c r="FF23" i="14"/>
  <c r="FE24" i="14"/>
  <c r="FE26" i="14"/>
  <c r="FE51" i="3"/>
  <c r="FG26" i="14"/>
  <c r="FE27" i="14"/>
  <c r="FJ16" i="18"/>
  <c r="FP10" i="18"/>
  <c r="FP121" i="18"/>
  <c r="FP124" i="18"/>
  <c r="FF15" i="2"/>
  <c r="FA21" i="2"/>
  <c r="FA53" i="2" s="1"/>
  <c r="FJ20" i="42"/>
  <c r="FJ27" i="42"/>
  <c r="FJ10" i="42"/>
  <c r="FJ32" i="42"/>
  <c r="FJ37" i="42"/>
  <c r="FL21" i="42"/>
  <c r="FJ21" i="42"/>
  <c r="FP370" i="14"/>
  <c r="FP39" i="42"/>
  <c r="FP351" i="14"/>
  <c r="FL16" i="42"/>
  <c r="FJ16" i="42"/>
  <c r="FJ15" i="42"/>
  <c r="FK262" i="14"/>
  <c r="FK318" i="14"/>
  <c r="FK136" i="14"/>
  <c r="FK19" i="42"/>
  <c r="FK42" i="42" s="1"/>
  <c r="FK203" i="14"/>
  <c r="FK12" i="2"/>
  <c r="FK11" i="14"/>
  <c r="FK249" i="14"/>
  <c r="FK14" i="14"/>
  <c r="FK193" i="14"/>
  <c r="FA17" i="42"/>
  <c r="FA15" i="42"/>
  <c r="FQ41" i="42"/>
  <c r="FO41" i="42"/>
  <c r="FO40" i="42"/>
  <c r="FG21" i="2"/>
  <c r="FH21" i="2"/>
  <c r="FI21" i="2"/>
  <c r="FE21" i="2"/>
  <c r="FJ15" i="2"/>
  <c r="FJ18" i="2" s="1"/>
  <c r="FK40" i="42"/>
  <c r="FT39" i="42"/>
  <c r="FV352" i="14"/>
  <c r="FU347" i="14"/>
  <c r="FV350" i="14"/>
  <c r="FT370" i="14"/>
  <c r="FT352" i="14"/>
  <c r="FT348" i="14"/>
  <c r="FT351" i="14"/>
  <c r="FT10" i="14"/>
  <c r="FT353" i="14" s="1"/>
  <c r="FT350" i="14"/>
  <c r="FF11" i="18"/>
  <c r="FF14" i="42"/>
  <c r="FF113" i="18"/>
  <c r="FF14" i="18"/>
  <c r="FF56" i="18"/>
  <c r="FF103" i="18"/>
  <c r="FF68" i="18"/>
  <c r="FF17" i="2"/>
  <c r="FF114" i="18"/>
  <c r="FK11" i="18"/>
  <c r="FK14" i="18"/>
  <c r="FO11" i="14"/>
  <c r="FJ51" i="3"/>
  <c r="FJ26" i="14"/>
  <c r="FK23" i="14"/>
  <c r="FJ24" i="14"/>
  <c r="FJ27" i="14"/>
  <c r="FL26" i="14"/>
  <c r="FH19" i="2"/>
  <c r="FI19" i="2"/>
  <c r="FG19" i="2"/>
  <c r="FE19" i="2"/>
  <c r="FZ120" i="18"/>
  <c r="FU356" i="14"/>
  <c r="FU361" i="14"/>
  <c r="FU362" i="14" s="1"/>
  <c r="FF126" i="18"/>
  <c r="FY358" i="14"/>
  <c r="FY363" i="14"/>
  <c r="GA358" i="14"/>
  <c r="GD355" i="14"/>
  <c r="GD120" i="18"/>
  <c r="FY347" i="14"/>
  <c r="FY359" i="14" s="1"/>
  <c r="FY361" i="14"/>
  <c r="FY362" i="14" s="1"/>
  <c r="FZ355" i="14"/>
  <c r="GA363" i="14"/>
  <c r="FA18" i="2"/>
  <c r="EV19" i="2"/>
  <c r="EV103" i="2" s="1"/>
  <c r="EY19" i="2"/>
  <c r="EY103" i="2" s="1"/>
  <c r="EX19" i="2"/>
  <c r="EX103" i="2" s="1"/>
  <c r="FJ97" i="3"/>
  <c r="FK24" i="3"/>
  <c r="FJ83" i="3"/>
  <c r="FJ16" i="17"/>
  <c r="FJ90" i="3"/>
  <c r="FJ16" i="15"/>
  <c r="FJ10" i="7"/>
  <c r="FJ29" i="3"/>
  <c r="FJ28" i="3"/>
  <c r="FL27" i="3"/>
  <c r="FJ56" i="5"/>
  <c r="FL29" i="3"/>
  <c r="FJ76" i="3"/>
  <c r="FJ27" i="3"/>
  <c r="FJ25" i="3"/>
  <c r="FF27" i="42"/>
  <c r="FF37" i="42"/>
  <c r="FF10" i="42"/>
  <c r="FF22" i="42" s="1"/>
  <c r="FF32" i="42"/>
  <c r="FF20" i="42"/>
  <c r="FY121" i="18" l="1"/>
  <c r="GF123" i="18"/>
  <c r="FY123" i="18"/>
  <c r="GF125" i="18"/>
  <c r="FY124" i="18"/>
  <c r="FY125" i="18"/>
  <c r="FQ15" i="14"/>
  <c r="FT14" i="42"/>
  <c r="FT16" i="42" s="1"/>
  <c r="FT68" i="18"/>
  <c r="FO136" i="14"/>
  <c r="FO23" i="14"/>
  <c r="FO262" i="14"/>
  <c r="FT114" i="18"/>
  <c r="FP10" i="14"/>
  <c r="FP353" i="14" s="1"/>
  <c r="FO193" i="14"/>
  <c r="FT103" i="18"/>
  <c r="FP359" i="14"/>
  <c r="FO203" i="14"/>
  <c r="FV15" i="18"/>
  <c r="FO12" i="2"/>
  <c r="FL21" i="2" s="1"/>
  <c r="FO19" i="42"/>
  <c r="FO21" i="42" s="1"/>
  <c r="FO24" i="3"/>
  <c r="FO16" i="14" s="1"/>
  <c r="FT56" i="18"/>
  <c r="FV13" i="18"/>
  <c r="FT15" i="18"/>
  <c r="FT13" i="18"/>
  <c r="FT17" i="2"/>
  <c r="FQ19" i="2" s="1"/>
  <c r="FO103" i="18"/>
  <c r="FO14" i="42"/>
  <c r="FT11" i="18"/>
  <c r="FO114" i="18"/>
  <c r="FO56" i="18"/>
  <c r="FT14" i="18"/>
  <c r="FO11" i="18"/>
  <c r="FO68" i="18"/>
  <c r="FO17" i="2"/>
  <c r="FM19" i="2" s="1"/>
  <c r="FQ13" i="18"/>
  <c r="FO14" i="18"/>
  <c r="FQ15" i="18"/>
  <c r="FO13" i="18"/>
  <c r="FO15" i="18"/>
  <c r="FQ13" i="14"/>
  <c r="FO318" i="14"/>
  <c r="FO249" i="14"/>
  <c r="FU124" i="18"/>
  <c r="FO13" i="14"/>
  <c r="FO14" i="14"/>
  <c r="FO15" i="14"/>
  <c r="FK16" i="14"/>
  <c r="FK131" i="15"/>
  <c r="FK130" i="15"/>
  <c r="FK149" i="15"/>
  <c r="FU10" i="18"/>
  <c r="FU126" i="18" s="1"/>
  <c r="FF28" i="14"/>
  <c r="FF51" i="3"/>
  <c r="FF27" i="14"/>
  <c r="FF24" i="14"/>
  <c r="FG92" i="3"/>
  <c r="FF90" i="3"/>
  <c r="FE92" i="3"/>
  <c r="FE91" i="3"/>
  <c r="FE94" i="3"/>
  <c r="FG94" i="3"/>
  <c r="FE93" i="3"/>
  <c r="GI120" i="18"/>
  <c r="GF358" i="14"/>
  <c r="GF363" i="14"/>
  <c r="GI355" i="14"/>
  <c r="FG53" i="3"/>
  <c r="FE66" i="3"/>
  <c r="FE52" i="3"/>
  <c r="FE53" i="3"/>
  <c r="EZ24" i="2"/>
  <c r="FE18" i="2"/>
  <c r="FC24" i="2"/>
  <c r="FD24" i="2"/>
  <c r="FB24" i="2"/>
  <c r="FE35" i="2"/>
  <c r="FE150" i="5"/>
  <c r="FE39" i="5"/>
  <c r="FE15" i="5"/>
  <c r="FE35" i="5"/>
  <c r="FE143" i="5"/>
  <c r="FE12" i="5"/>
  <c r="FE43" i="5"/>
  <c r="FE114" i="5"/>
  <c r="FE24" i="5"/>
  <c r="FE32" i="5"/>
  <c r="FE108" i="5"/>
  <c r="FG12" i="7"/>
  <c r="FE54" i="7"/>
  <c r="FE36" i="7"/>
  <c r="FE29" i="7"/>
  <c r="FE11" i="7"/>
  <c r="FE44" i="7"/>
  <c r="FE49" i="7"/>
  <c r="FE12" i="7"/>
  <c r="FE21" i="7"/>
  <c r="FG99" i="3"/>
  <c r="FE98" i="3"/>
  <c r="FF97" i="3"/>
  <c r="FE99" i="3"/>
  <c r="FE84" i="3"/>
  <c r="FE85" i="3"/>
  <c r="FE86" i="3"/>
  <c r="FG87" i="3"/>
  <c r="FG85" i="3"/>
  <c r="FE87" i="3"/>
  <c r="FF83" i="3"/>
  <c r="FG80" i="3"/>
  <c r="FE77" i="3"/>
  <c r="FG78" i="3"/>
  <c r="FE112" i="3"/>
  <c r="FE80" i="3"/>
  <c r="FE79" i="3"/>
  <c r="FE78" i="3"/>
  <c r="FF76" i="3"/>
  <c r="FF110" i="3"/>
  <c r="FF131" i="15"/>
  <c r="FF56" i="5"/>
  <c r="FF143" i="5" s="1"/>
  <c r="FF10" i="7"/>
  <c r="FF16" i="17"/>
  <c r="FF25" i="3"/>
  <c r="FF149" i="15"/>
  <c r="FF16" i="15"/>
  <c r="FF105" i="3"/>
  <c r="FF130" i="15"/>
  <c r="FF16" i="14"/>
  <c r="FF28" i="3"/>
  <c r="FE22" i="42"/>
  <c r="FE12" i="42"/>
  <c r="FE11" i="42"/>
  <c r="FG12" i="42"/>
  <c r="FE67" i="42"/>
  <c r="FE47" i="42"/>
  <c r="FE17" i="42"/>
  <c r="FF16" i="18"/>
  <c r="GD363" i="14"/>
  <c r="GD347" i="14"/>
  <c r="GD359" i="14" s="1"/>
  <c r="GD358" i="14"/>
  <c r="GD361" i="14"/>
  <c r="GD362" i="14" s="1"/>
  <c r="GE355" i="14"/>
  <c r="GJ120" i="18" s="1"/>
  <c r="FJ29" i="7"/>
  <c r="FJ36" i="7"/>
  <c r="FJ49" i="7"/>
  <c r="FJ11" i="7"/>
  <c r="FJ54" i="7"/>
  <c r="FJ12" i="7"/>
  <c r="FJ21" i="7"/>
  <c r="FL12" i="7"/>
  <c r="FJ44" i="7"/>
  <c r="FV15" i="14"/>
  <c r="FT13" i="14"/>
  <c r="FT12" i="2"/>
  <c r="FT24" i="3"/>
  <c r="FT203" i="14"/>
  <c r="FV13" i="14"/>
  <c r="FT23" i="14"/>
  <c r="FT15" i="14"/>
  <c r="FT14" i="14"/>
  <c r="FT19" i="42"/>
  <c r="FT42" i="42" s="1"/>
  <c r="FT249" i="14"/>
  <c r="FT11" i="14"/>
  <c r="FT136" i="14"/>
  <c r="FT262" i="14"/>
  <c r="FT318" i="14"/>
  <c r="FT193" i="14"/>
  <c r="FK37" i="42"/>
  <c r="FK20" i="42"/>
  <c r="FK10" i="42"/>
  <c r="FK22" i="42" s="1"/>
  <c r="FK27" i="42"/>
  <c r="FK32" i="42"/>
  <c r="FP40" i="42"/>
  <c r="FF11" i="42"/>
  <c r="FF47" i="42"/>
  <c r="FF67" i="42"/>
  <c r="FJ53" i="3"/>
  <c r="FL53" i="3"/>
  <c r="FJ52" i="3"/>
  <c r="FJ66" i="3"/>
  <c r="FU39" i="42"/>
  <c r="FU10" i="14"/>
  <c r="FU353" i="14" s="1"/>
  <c r="FU351" i="14"/>
  <c r="FU370" i="14"/>
  <c r="FU348" i="14"/>
  <c r="FQ16" i="42"/>
  <c r="GD10" i="18"/>
  <c r="GD125" i="18"/>
  <c r="GD123" i="18"/>
  <c r="GD121" i="18"/>
  <c r="GD124" i="18"/>
  <c r="FF18" i="2"/>
  <c r="FA19" i="2"/>
  <c r="FA103" i="2" s="1"/>
  <c r="FG24" i="2"/>
  <c r="FH24" i="2"/>
  <c r="FJ35" i="2"/>
  <c r="FE24" i="2"/>
  <c r="FI24" i="2"/>
  <c r="FJ12" i="42"/>
  <c r="FJ11" i="42"/>
  <c r="FJ67" i="42"/>
  <c r="FL12" i="42"/>
  <c r="FJ47" i="42"/>
  <c r="FP14" i="18"/>
  <c r="FP17" i="2"/>
  <c r="FP113" i="18"/>
  <c r="FP114" i="18"/>
  <c r="FP14" i="42"/>
  <c r="FP11" i="18"/>
  <c r="FP68" i="18"/>
  <c r="FP56" i="18"/>
  <c r="FP103" i="18"/>
  <c r="FL78" i="3"/>
  <c r="FK76" i="3"/>
  <c r="FJ80" i="3"/>
  <c r="FJ78" i="3"/>
  <c r="FJ112" i="3"/>
  <c r="FJ79" i="3"/>
  <c r="FJ77" i="3"/>
  <c r="FL80" i="3"/>
  <c r="FK51" i="3"/>
  <c r="FK24" i="14"/>
  <c r="FK27" i="14"/>
  <c r="FK28" i="14"/>
  <c r="FK56" i="5"/>
  <c r="FK105" i="3"/>
  <c r="FK10" i="7"/>
  <c r="FK28" i="3"/>
  <c r="FK16" i="17"/>
  <c r="FK110" i="3"/>
  <c r="FK25" i="3"/>
  <c r="FK16" i="15"/>
  <c r="FK16" i="18"/>
  <c r="FZ10" i="18"/>
  <c r="FZ121" i="18"/>
  <c r="FZ124" i="18"/>
  <c r="FQ26" i="14"/>
  <c r="FO51" i="3"/>
  <c r="FO27" i="14"/>
  <c r="FP23" i="14"/>
  <c r="FO24" i="14"/>
  <c r="FO26" i="14"/>
  <c r="FJ12" i="5"/>
  <c r="FJ39" i="5"/>
  <c r="FJ35" i="5"/>
  <c r="FJ43" i="5"/>
  <c r="FJ15" i="5"/>
  <c r="FJ150" i="5"/>
  <c r="FJ24" i="5"/>
  <c r="FJ32" i="5"/>
  <c r="FJ108" i="5"/>
  <c r="FK97" i="3"/>
  <c r="FJ98" i="3"/>
  <c r="FJ99" i="3"/>
  <c r="FL99" i="3"/>
  <c r="FU359" i="14"/>
  <c r="FF17" i="42"/>
  <c r="FF15" i="42"/>
  <c r="FK15" i="42"/>
  <c r="FJ17" i="42"/>
  <c r="FJ22" i="42"/>
  <c r="FF35" i="2"/>
  <c r="FA24" i="2"/>
  <c r="FP126" i="18"/>
  <c r="FL85" i="3"/>
  <c r="FK83" i="3"/>
  <c r="FJ84" i="3"/>
  <c r="FJ86" i="3"/>
  <c r="FL87" i="3"/>
  <c r="FJ85" i="3"/>
  <c r="FJ87" i="3"/>
  <c r="FZ361" i="14"/>
  <c r="FZ362" i="14" s="1"/>
  <c r="FZ356" i="14"/>
  <c r="GE120" i="18"/>
  <c r="FK90" i="3"/>
  <c r="FJ91" i="3"/>
  <c r="FL92" i="3"/>
  <c r="FJ92" i="3"/>
  <c r="FJ94" i="3"/>
  <c r="FJ93" i="3"/>
  <c r="FL94" i="3"/>
  <c r="FZ347" i="14"/>
  <c r="FY10" i="14"/>
  <c r="FY353" i="14" s="1"/>
  <c r="GA352" i="14"/>
  <c r="FY351" i="14"/>
  <c r="FY370" i="14"/>
  <c r="FY350" i="14"/>
  <c r="GA350" i="14"/>
  <c r="FY348" i="14"/>
  <c r="FY352" i="14"/>
  <c r="FY39" i="42"/>
  <c r="FM21" i="2"/>
  <c r="FJ21" i="2"/>
  <c r="FN21" i="2"/>
  <c r="FO10" i="7"/>
  <c r="FO16" i="15"/>
  <c r="FO90" i="3"/>
  <c r="FO28" i="3"/>
  <c r="FO83" i="3"/>
  <c r="FO27" i="3"/>
  <c r="FT40" i="42"/>
  <c r="FV41" i="42"/>
  <c r="FT41" i="42"/>
  <c r="GA15" i="18"/>
  <c r="FY14" i="42"/>
  <c r="FY14" i="18"/>
  <c r="FY15" i="18"/>
  <c r="FY114" i="18"/>
  <c r="GA13" i="18"/>
  <c r="FY17" i="2"/>
  <c r="FY56" i="18"/>
  <c r="FY68" i="18"/>
  <c r="FY103" i="18"/>
  <c r="FY13" i="18"/>
  <c r="FY11" i="18"/>
  <c r="FK15" i="2"/>
  <c r="FF21" i="2"/>
  <c r="FP136" i="14"/>
  <c r="FP19" i="42"/>
  <c r="FP193" i="14" l="1"/>
  <c r="FO76" i="3"/>
  <c r="FP262" i="14"/>
  <c r="FO97" i="3"/>
  <c r="FP24" i="3"/>
  <c r="FP56" i="5" s="1"/>
  <c r="FV16" i="42"/>
  <c r="FT15" i="42"/>
  <c r="FO16" i="18"/>
  <c r="FQ29" i="3"/>
  <c r="FP11" i="14"/>
  <c r="FO56" i="5"/>
  <c r="FQ27" i="3"/>
  <c r="FQ21" i="42"/>
  <c r="FO29" i="3"/>
  <c r="FO25" i="3"/>
  <c r="FO16" i="17"/>
  <c r="FJ19" i="2"/>
  <c r="FN19" i="2"/>
  <c r="FL19" i="2"/>
  <c r="FO15" i="42"/>
  <c r="FO16" i="42"/>
  <c r="FP249" i="14"/>
  <c r="FP12" i="2"/>
  <c r="FO19" i="2"/>
  <c r="FO10" i="42"/>
  <c r="FO47" i="42" s="1"/>
  <c r="FS19" i="2"/>
  <c r="FO20" i="42"/>
  <c r="FO15" i="2"/>
  <c r="FN24" i="2" s="1"/>
  <c r="FP14" i="14"/>
  <c r="FR19" i="2"/>
  <c r="FO27" i="42"/>
  <c r="FO32" i="42"/>
  <c r="FP318" i="14"/>
  <c r="FP203" i="14"/>
  <c r="FO42" i="42"/>
  <c r="FO37" i="42"/>
  <c r="FU11" i="18"/>
  <c r="FU14" i="18"/>
  <c r="FU17" i="2"/>
  <c r="FP19" i="2" s="1"/>
  <c r="FU68" i="18"/>
  <c r="FU103" i="18"/>
  <c r="FU56" i="18"/>
  <c r="FU113" i="18"/>
  <c r="FU114" i="18"/>
  <c r="FU14" i="42"/>
  <c r="FU15" i="42" s="1"/>
  <c r="FF35" i="5"/>
  <c r="FF94" i="5" s="1"/>
  <c r="FE29" i="6"/>
  <c r="FG29" i="6"/>
  <c r="FG95" i="5" s="1"/>
  <c r="FF95" i="3"/>
  <c r="FF93" i="3"/>
  <c r="FF91" i="3"/>
  <c r="FF88" i="3"/>
  <c r="FF84" i="3"/>
  <c r="FF86" i="3"/>
  <c r="FG25" i="6"/>
  <c r="FG79" i="5" s="1"/>
  <c r="FF24" i="5"/>
  <c r="FE25" i="6"/>
  <c r="FE24" i="6"/>
  <c r="FF15" i="5"/>
  <c r="FG24" i="6"/>
  <c r="FG76" i="5" s="1"/>
  <c r="FE115" i="3"/>
  <c r="FG116" i="3"/>
  <c r="FE114" i="3"/>
  <c r="FE116" i="3"/>
  <c r="FE113" i="3"/>
  <c r="FF112" i="3"/>
  <c r="FG114" i="3"/>
  <c r="FE17" i="30"/>
  <c r="FF114" i="5"/>
  <c r="FE119" i="5"/>
  <c r="FE118" i="5"/>
  <c r="FE116" i="5"/>
  <c r="FE117" i="5"/>
  <c r="FE84" i="6"/>
  <c r="FE91" i="5"/>
  <c r="FF39" i="5"/>
  <c r="GJ355" i="14"/>
  <c r="GI363" i="14"/>
  <c r="GI358" i="14"/>
  <c r="GI361" i="14"/>
  <c r="GI362" i="14" s="1"/>
  <c r="GI347" i="14"/>
  <c r="GI359" i="14" s="1"/>
  <c r="GF350" i="14"/>
  <c r="GF352" i="14"/>
  <c r="FF21" i="7"/>
  <c r="FF54" i="7"/>
  <c r="FF55" i="7" s="1"/>
  <c r="FF49" i="7"/>
  <c r="FF36" i="7"/>
  <c r="FF44" i="7"/>
  <c r="FF45" i="7" s="1"/>
  <c r="FF29" i="7"/>
  <c r="FF28" i="7"/>
  <c r="FF11" i="7"/>
  <c r="FG56" i="7"/>
  <c r="FE56" i="7"/>
  <c r="FE55" i="7"/>
  <c r="FG30" i="6"/>
  <c r="FG98" i="5" s="1"/>
  <c r="FF43" i="5"/>
  <c r="FF97" i="5" s="1"/>
  <c r="FE30" i="6"/>
  <c r="FE14" i="6"/>
  <c r="FF150" i="5"/>
  <c r="FE152" i="5"/>
  <c r="EZ73" i="2"/>
  <c r="EZ88" i="2"/>
  <c r="FE28" i="6"/>
  <c r="FE89" i="5"/>
  <c r="FG28" i="6"/>
  <c r="FG88" i="5" s="1"/>
  <c r="FF32" i="5"/>
  <c r="FE69" i="3"/>
  <c r="FE45" i="3"/>
  <c r="FE73" i="3" s="1"/>
  <c r="FE74" i="3" s="1"/>
  <c r="FG68" i="3"/>
  <c r="FE118" i="3"/>
  <c r="FE70" i="3"/>
  <c r="FE68" i="3"/>
  <c r="FG70" i="3"/>
  <c r="FE71" i="3"/>
  <c r="FE67" i="3"/>
  <c r="FF79" i="3"/>
  <c r="FF77" i="3"/>
  <c r="FF81" i="3"/>
  <c r="FE50" i="7"/>
  <c r="FE51" i="7"/>
  <c r="FG51" i="7"/>
  <c r="FE22" i="6"/>
  <c r="FF12" i="5"/>
  <c r="FG22" i="6"/>
  <c r="FG67" i="5" s="1"/>
  <c r="FF52" i="3"/>
  <c r="FF66" i="3"/>
  <c r="GJ124" i="18"/>
  <c r="GJ121" i="18"/>
  <c r="GJ10" i="18"/>
  <c r="GJ126" i="18" s="1"/>
  <c r="FF98" i="3"/>
  <c r="FF100" i="3"/>
  <c r="FE46" i="7"/>
  <c r="FE45" i="7"/>
  <c r="FG46" i="7"/>
  <c r="FE122" i="5"/>
  <c r="FE120" i="5" s="1"/>
  <c r="FG112" i="5"/>
  <c r="FE110" i="5"/>
  <c r="FE138" i="5"/>
  <c r="FE139" i="5" s="1"/>
  <c r="FE10" i="30"/>
  <c r="FF108" i="5"/>
  <c r="FE111" i="5"/>
  <c r="FE49" i="6"/>
  <c r="FE112" i="5"/>
  <c r="GI123" i="18"/>
  <c r="GI125" i="18"/>
  <c r="GI124" i="18"/>
  <c r="GI121" i="18"/>
  <c r="GI10" i="18"/>
  <c r="GI126" i="18" s="1"/>
  <c r="FF29" i="14"/>
  <c r="FF54" i="3"/>
  <c r="GD126" i="18"/>
  <c r="GF13" i="18"/>
  <c r="GF15" i="18"/>
  <c r="FO35" i="5"/>
  <c r="FO39" i="5"/>
  <c r="FO43" i="5"/>
  <c r="FO108" i="5"/>
  <c r="FO12" i="5"/>
  <c r="FO150" i="5"/>
  <c r="FO24" i="5"/>
  <c r="FO15" i="5"/>
  <c r="FO32" i="5"/>
  <c r="FK91" i="3"/>
  <c r="FK93" i="3"/>
  <c r="FK95" i="3"/>
  <c r="FK84" i="3"/>
  <c r="FK86" i="3"/>
  <c r="FK88" i="3"/>
  <c r="FK35" i="2"/>
  <c r="FF24" i="2"/>
  <c r="FK18" i="2"/>
  <c r="FX19" i="2"/>
  <c r="FT19" i="2"/>
  <c r="FW19" i="2"/>
  <c r="FV19" i="2"/>
  <c r="FY16" i="42"/>
  <c r="GA16" i="42"/>
  <c r="FY15" i="42"/>
  <c r="FP51" i="3"/>
  <c r="FP28" i="14"/>
  <c r="FP24" i="14"/>
  <c r="FP27" i="14"/>
  <c r="FZ114" i="18"/>
  <c r="FZ17" i="2"/>
  <c r="FZ14" i="18"/>
  <c r="FZ11" i="18"/>
  <c r="FZ68" i="18"/>
  <c r="FZ56" i="18"/>
  <c r="FZ14" i="42"/>
  <c r="FZ113" i="18"/>
  <c r="FZ103" i="18"/>
  <c r="FQ78" i="3"/>
  <c r="FO78" i="3"/>
  <c r="FP76" i="3"/>
  <c r="FO77" i="3"/>
  <c r="FO112" i="3"/>
  <c r="FO79" i="3"/>
  <c r="FO80" i="3"/>
  <c r="FQ80" i="3"/>
  <c r="FP90" i="3"/>
  <c r="FO93" i="3"/>
  <c r="FO94" i="3"/>
  <c r="FQ92" i="3"/>
  <c r="FO91" i="3"/>
  <c r="FO92" i="3"/>
  <c r="FQ94" i="3"/>
  <c r="FP28" i="3"/>
  <c r="FP16" i="17"/>
  <c r="FP10" i="7"/>
  <c r="FP16" i="15"/>
  <c r="FA73" i="2"/>
  <c r="FA88" i="2"/>
  <c r="FJ29" i="6"/>
  <c r="FK35" i="5"/>
  <c r="FK94" i="5" s="1"/>
  <c r="FL29" i="6"/>
  <c r="FK19" i="2"/>
  <c r="FK32" i="5"/>
  <c r="FJ28" i="6"/>
  <c r="FL28" i="6"/>
  <c r="FJ89" i="5"/>
  <c r="FK39" i="5"/>
  <c r="FJ91" i="5"/>
  <c r="FO53" i="3"/>
  <c r="FO66" i="3"/>
  <c r="FQ53" i="3"/>
  <c r="FO52" i="3"/>
  <c r="FK79" i="3"/>
  <c r="FK77" i="3"/>
  <c r="FK81" i="3"/>
  <c r="FK11" i="42"/>
  <c r="FK67" i="42"/>
  <c r="FK47" i="42"/>
  <c r="FK17" i="42"/>
  <c r="FT20" i="42"/>
  <c r="FT21" i="42"/>
  <c r="FT37" i="42"/>
  <c r="FV21" i="42"/>
  <c r="FT10" i="42"/>
  <c r="FT22" i="42" s="1"/>
  <c r="FT32" i="42"/>
  <c r="FT27" i="42"/>
  <c r="FT97" i="3"/>
  <c r="FU24" i="3"/>
  <c r="FU16" i="14" s="1"/>
  <c r="FV29" i="3"/>
  <c r="FT27" i="3"/>
  <c r="FT10" i="7"/>
  <c r="FT25" i="3"/>
  <c r="FT28" i="3"/>
  <c r="FV27" i="3"/>
  <c r="FT56" i="5"/>
  <c r="FT29" i="3"/>
  <c r="FT16" i="17"/>
  <c r="FT83" i="3"/>
  <c r="FT16" i="15"/>
  <c r="FT76" i="3"/>
  <c r="FT90" i="3"/>
  <c r="FT16" i="18"/>
  <c r="GE356" i="14"/>
  <c r="GE361" i="14"/>
  <c r="GE362" i="14" s="1"/>
  <c r="FP15" i="2"/>
  <c r="FK21" i="2"/>
  <c r="FU40" i="42"/>
  <c r="GE121" i="18"/>
  <c r="GE10" i="18"/>
  <c r="GE124" i="18"/>
  <c r="FK49" i="7"/>
  <c r="FK21" i="7"/>
  <c r="FK54" i="7"/>
  <c r="FK11" i="7"/>
  <c r="FK44" i="7"/>
  <c r="FK36" i="7"/>
  <c r="FK28" i="7"/>
  <c r="FK29" i="7"/>
  <c r="FO99" i="3"/>
  <c r="FO98" i="3"/>
  <c r="FQ99" i="3"/>
  <c r="FP97" i="3"/>
  <c r="FO49" i="7"/>
  <c r="FO29" i="7"/>
  <c r="FO12" i="7"/>
  <c r="FO11" i="7"/>
  <c r="FO44" i="7"/>
  <c r="FO21" i="7"/>
  <c r="FO36" i="7"/>
  <c r="FO54" i="7"/>
  <c r="FQ12" i="7"/>
  <c r="FY19" i="42"/>
  <c r="FY13" i="14"/>
  <c r="GA15" i="14"/>
  <c r="FY249" i="14"/>
  <c r="FY262" i="14"/>
  <c r="FY15" i="14"/>
  <c r="FY203" i="14"/>
  <c r="GA13" i="14"/>
  <c r="FY11" i="14"/>
  <c r="FY12" i="2"/>
  <c r="FY23" i="14"/>
  <c r="FY193" i="14"/>
  <c r="FY136" i="14"/>
  <c r="FY24" i="3"/>
  <c r="FY16" i="14" s="1"/>
  <c r="FY14" i="14"/>
  <c r="FY318" i="14"/>
  <c r="FK24" i="5"/>
  <c r="FL25" i="6"/>
  <c r="FJ25" i="6"/>
  <c r="FL22" i="6"/>
  <c r="FJ22" i="6"/>
  <c r="FK12" i="5"/>
  <c r="FK66" i="3"/>
  <c r="FK52" i="3"/>
  <c r="FP15" i="42"/>
  <c r="FQ21" i="2"/>
  <c r="FT15" i="2"/>
  <c r="FS21" i="2"/>
  <c r="FO21" i="2"/>
  <c r="FR21" i="2"/>
  <c r="FL56" i="7"/>
  <c r="FJ56" i="7"/>
  <c r="FJ55" i="7"/>
  <c r="FK100" i="3"/>
  <c r="FK98" i="3"/>
  <c r="FL24" i="6"/>
  <c r="FK15" i="5"/>
  <c r="FJ24" i="6"/>
  <c r="FY40" i="42"/>
  <c r="FY41" i="42"/>
  <c r="GA41" i="42"/>
  <c r="FL30" i="6"/>
  <c r="FJ30" i="6"/>
  <c r="FK43" i="5"/>
  <c r="FK97" i="5" s="1"/>
  <c r="FK54" i="3"/>
  <c r="FK29" i="14"/>
  <c r="FU262" i="14"/>
  <c r="FU203" i="14"/>
  <c r="FU318" i="14"/>
  <c r="FU249" i="14"/>
  <c r="FU19" i="42"/>
  <c r="FU42" i="42" s="1"/>
  <c r="FU136" i="14"/>
  <c r="FU12" i="2"/>
  <c r="FU14" i="14"/>
  <c r="FU11" i="14"/>
  <c r="FU193" i="14"/>
  <c r="FJ10" i="30"/>
  <c r="FJ49" i="6"/>
  <c r="FJ112" i="5"/>
  <c r="FJ110" i="5"/>
  <c r="FL112" i="5"/>
  <c r="FJ138" i="5"/>
  <c r="FK108" i="5"/>
  <c r="FJ111" i="5"/>
  <c r="FZ126" i="18"/>
  <c r="FP10" i="42"/>
  <c r="FP17" i="42" s="1"/>
  <c r="FP37" i="42"/>
  <c r="FP20" i="42"/>
  <c r="FP27" i="42"/>
  <c r="FP32" i="42"/>
  <c r="FP83" i="3"/>
  <c r="FQ87" i="3"/>
  <c r="FO84" i="3"/>
  <c r="FQ85" i="3"/>
  <c r="FO87" i="3"/>
  <c r="FO85" i="3"/>
  <c r="FO86" i="3"/>
  <c r="FZ370" i="14"/>
  <c r="FZ351" i="14"/>
  <c r="FZ348" i="14"/>
  <c r="FZ39" i="42"/>
  <c r="FZ10" i="14"/>
  <c r="FZ359" i="14"/>
  <c r="FK150" i="5"/>
  <c r="FJ14" i="6"/>
  <c r="FJ152" i="5"/>
  <c r="GD15" i="18"/>
  <c r="GD17" i="2"/>
  <c r="GD114" i="18"/>
  <c r="GD56" i="18"/>
  <c r="GD14" i="18"/>
  <c r="GD103" i="18"/>
  <c r="GD11" i="18"/>
  <c r="GD13" i="18"/>
  <c r="GD68" i="18"/>
  <c r="GD14" i="42"/>
  <c r="GD352" i="14"/>
  <c r="GD348" i="14"/>
  <c r="GE347" i="14"/>
  <c r="GE359" i="14" s="1"/>
  <c r="GD39" i="42"/>
  <c r="GD350" i="14"/>
  <c r="GD370" i="14"/>
  <c r="GD351" i="14"/>
  <c r="GD10" i="14"/>
  <c r="FL114" i="3"/>
  <c r="FJ114" i="3"/>
  <c r="FL116" i="3"/>
  <c r="FJ113" i="3"/>
  <c r="FK112" i="3"/>
  <c r="FJ115" i="3"/>
  <c r="FJ116" i="3"/>
  <c r="FJ118" i="3"/>
  <c r="FL68" i="3"/>
  <c r="FJ70" i="3"/>
  <c r="FL70" i="3"/>
  <c r="FJ67" i="3"/>
  <c r="FJ71" i="3"/>
  <c r="FJ69" i="3"/>
  <c r="FJ68" i="3"/>
  <c r="FJ45" i="3"/>
  <c r="FP42" i="42"/>
  <c r="FT16" i="14"/>
  <c r="FT24" i="14"/>
  <c r="FT51" i="3"/>
  <c r="FT26" i="14"/>
  <c r="FU23" i="14"/>
  <c r="FV26" i="14"/>
  <c r="FT27" i="14"/>
  <c r="FJ45" i="7"/>
  <c r="FJ46" i="7"/>
  <c r="FL46" i="7"/>
  <c r="FJ51" i="7"/>
  <c r="FL51" i="7"/>
  <c r="FJ50" i="7"/>
  <c r="FP25" i="3" l="1"/>
  <c r="FP110" i="3"/>
  <c r="FP105" i="3"/>
  <c r="FP16" i="14"/>
  <c r="FP16" i="18"/>
  <c r="FO17" i="42"/>
  <c r="FO11" i="42"/>
  <c r="FO22" i="42"/>
  <c r="FO12" i="42"/>
  <c r="FQ12" i="42"/>
  <c r="FO67" i="42"/>
  <c r="FM24" i="2"/>
  <c r="FJ24" i="2"/>
  <c r="FL24" i="2"/>
  <c r="FO35" i="2"/>
  <c r="FO18" i="2"/>
  <c r="FK45" i="7"/>
  <c r="FE123" i="5"/>
  <c r="GI14" i="18"/>
  <c r="GI11" i="18"/>
  <c r="FF78" i="5"/>
  <c r="FF139" i="5"/>
  <c r="FF142" i="5" s="1"/>
  <c r="FG137" i="5"/>
  <c r="FG73" i="3" s="1"/>
  <c r="FG74" i="3" s="1"/>
  <c r="FE18" i="5"/>
  <c r="FF69" i="3"/>
  <c r="FF67" i="3"/>
  <c r="FF71" i="3"/>
  <c r="FF90" i="5"/>
  <c r="FF87" i="5"/>
  <c r="FF89" i="5"/>
  <c r="FE85" i="6"/>
  <c r="FE88" i="6"/>
  <c r="FE87" i="6"/>
  <c r="FE86" i="6"/>
  <c r="FF84" i="6"/>
  <c r="FF116" i="5"/>
  <c r="FF17" i="30"/>
  <c r="FF118" i="5"/>
  <c r="FF115" i="5"/>
  <c r="FF75" i="5"/>
  <c r="FE95" i="5"/>
  <c r="FF29" i="6"/>
  <c r="FF95" i="5" s="1"/>
  <c r="FE76" i="5"/>
  <c r="FF24" i="6"/>
  <c r="FF76" i="5" s="1"/>
  <c r="FF122" i="5"/>
  <c r="FF120" i="5" s="1"/>
  <c r="FF109" i="5"/>
  <c r="FF138" i="5"/>
  <c r="FF111" i="5"/>
  <c r="FF10" i="30"/>
  <c r="FF110" i="5"/>
  <c r="FF22" i="6"/>
  <c r="FF67" i="5" s="1"/>
  <c r="FE67" i="5"/>
  <c r="FF30" i="6"/>
  <c r="FF98" i="5" s="1"/>
  <c r="FE98" i="5"/>
  <c r="FK55" i="7"/>
  <c r="GI68" i="18"/>
  <c r="GI13" i="18"/>
  <c r="GI14" i="42"/>
  <c r="GI15" i="42" s="1"/>
  <c r="GI103" i="18"/>
  <c r="GI15" i="18"/>
  <c r="GI114" i="18"/>
  <c r="GI17" i="2"/>
  <c r="GI56" i="18"/>
  <c r="FF49" i="6"/>
  <c r="FE68" i="6"/>
  <c r="FE56" i="6"/>
  <c r="FE230" i="3"/>
  <c r="FE232" i="3" s="1"/>
  <c r="FG120" i="3"/>
  <c r="FE122" i="3"/>
  <c r="FE121" i="3"/>
  <c r="FE120" i="3"/>
  <c r="FE119" i="3"/>
  <c r="FG122" i="3"/>
  <c r="FE123" i="3"/>
  <c r="FE124" i="3" s="1"/>
  <c r="FE134" i="3"/>
  <c r="FF118" i="3"/>
  <c r="GJ356" i="14"/>
  <c r="GJ361" i="14"/>
  <c r="GJ362" i="14" s="1"/>
  <c r="FE19" i="30"/>
  <c r="FE24" i="30"/>
  <c r="FE15" i="30" s="1"/>
  <c r="FE20" i="30"/>
  <c r="FE18" i="30"/>
  <c r="FE21" i="30"/>
  <c r="FF25" i="6"/>
  <c r="FF79" i="5" s="1"/>
  <c r="FE79" i="5"/>
  <c r="FE57" i="5"/>
  <c r="FE46" i="3"/>
  <c r="FE49" i="3"/>
  <c r="FE48" i="3"/>
  <c r="FE47" i="3"/>
  <c r="FG47" i="3"/>
  <c r="FF45" i="3"/>
  <c r="FF73" i="3" s="1"/>
  <c r="FF74" i="3" s="1"/>
  <c r="FG49" i="3"/>
  <c r="FE88" i="5"/>
  <c r="FF28" i="6"/>
  <c r="FF88" i="5" s="1"/>
  <c r="FE47" i="5"/>
  <c r="FF47" i="5" s="1"/>
  <c r="FG47" i="5" s="1"/>
  <c r="FE20" i="8"/>
  <c r="FF14" i="6"/>
  <c r="FF50" i="7"/>
  <c r="FF91" i="5"/>
  <c r="FF92" i="5"/>
  <c r="FF113" i="3"/>
  <c r="FF115" i="3"/>
  <c r="FG14" i="30"/>
  <c r="FE14" i="30"/>
  <c r="FE37" i="30"/>
  <c r="FE36" i="30"/>
  <c r="FE12" i="30"/>
  <c r="FG12" i="30"/>
  <c r="FE13" i="30"/>
  <c r="FE11" i="30"/>
  <c r="GJ68" i="18"/>
  <c r="GJ114" i="18"/>
  <c r="GJ17" i="2"/>
  <c r="GJ56" i="18"/>
  <c r="GJ113" i="18"/>
  <c r="GJ103" i="18"/>
  <c r="GJ14" i="42"/>
  <c r="FF63" i="5"/>
  <c r="FF151" i="5"/>
  <c r="FF152" i="5"/>
  <c r="GI351" i="14"/>
  <c r="GI352" i="14"/>
  <c r="GI350" i="14"/>
  <c r="GI348" i="14"/>
  <c r="GI39" i="42"/>
  <c r="GI40" i="42" s="1"/>
  <c r="GJ347" i="14"/>
  <c r="GI370" i="14"/>
  <c r="GI10" i="14"/>
  <c r="GI353" i="14" s="1"/>
  <c r="GF13" i="14"/>
  <c r="GF15" i="14"/>
  <c r="GJ11" i="18"/>
  <c r="GJ14" i="18"/>
  <c r="FL76" i="5"/>
  <c r="FO46" i="7"/>
  <c r="FO45" i="7"/>
  <c r="FQ46" i="7"/>
  <c r="GE17" i="2"/>
  <c r="GE11" i="18"/>
  <c r="GE103" i="18"/>
  <c r="GE68" i="18"/>
  <c r="GE56" i="18"/>
  <c r="GE14" i="42"/>
  <c r="GE14" i="18"/>
  <c r="GE114" i="18"/>
  <c r="GE113" i="18"/>
  <c r="FT44" i="7"/>
  <c r="FT29" i="7"/>
  <c r="FT49" i="7"/>
  <c r="FT54" i="7"/>
  <c r="FT11" i="7"/>
  <c r="FV12" i="7"/>
  <c r="FT21" i="7"/>
  <c r="FT36" i="7"/>
  <c r="FT12" i="7"/>
  <c r="FU97" i="3"/>
  <c r="FT99" i="3"/>
  <c r="FV99" i="3"/>
  <c r="FT98" i="3"/>
  <c r="FP91" i="3"/>
  <c r="FP93" i="3"/>
  <c r="FP95" i="3"/>
  <c r="FP79" i="3"/>
  <c r="FP81" i="3"/>
  <c r="FP77" i="3"/>
  <c r="FK115" i="3"/>
  <c r="FK113" i="3"/>
  <c r="FY20" i="42"/>
  <c r="FY10" i="42"/>
  <c r="FY22" i="42" s="1"/>
  <c r="GA21" i="42"/>
  <c r="FY27" i="42"/>
  <c r="FY32" i="42"/>
  <c r="FY21" i="42"/>
  <c r="FY37" i="42"/>
  <c r="FK24" i="2"/>
  <c r="FP35" i="2"/>
  <c r="FT93" i="3"/>
  <c r="FV94" i="3"/>
  <c r="FU90" i="3"/>
  <c r="FT91" i="3"/>
  <c r="FV92" i="3"/>
  <c r="FT92" i="3"/>
  <c r="FT94" i="3"/>
  <c r="FO118" i="3"/>
  <c r="FO69" i="3"/>
  <c r="FO68" i="3"/>
  <c r="FQ68" i="3"/>
  <c r="FQ70" i="3"/>
  <c r="FO67" i="3"/>
  <c r="FO70" i="3"/>
  <c r="FO71" i="3"/>
  <c r="FO45" i="3"/>
  <c r="FP18" i="2"/>
  <c r="FP29" i="14"/>
  <c r="FP54" i="3"/>
  <c r="FO10" i="30"/>
  <c r="FO49" i="6"/>
  <c r="FP108" i="5"/>
  <c r="FQ112" i="5"/>
  <c r="FO110" i="5"/>
  <c r="FO111" i="5"/>
  <c r="FO138" i="5"/>
  <c r="FO112" i="5"/>
  <c r="FU15" i="2"/>
  <c r="FP21" i="2"/>
  <c r="FK63" i="5"/>
  <c r="FK78" i="5"/>
  <c r="GA26" i="14"/>
  <c r="FY51" i="3"/>
  <c r="FY27" i="14"/>
  <c r="FZ23" i="14"/>
  <c r="FY26" i="14"/>
  <c r="FY24" i="14"/>
  <c r="GE126" i="18"/>
  <c r="FT108" i="5"/>
  <c r="FT24" i="5"/>
  <c r="FT35" i="5"/>
  <c r="FT43" i="5"/>
  <c r="FT15" i="5"/>
  <c r="FT12" i="5"/>
  <c r="FT150" i="5"/>
  <c r="FT39" i="5"/>
  <c r="FT32" i="5"/>
  <c r="FL88" i="5"/>
  <c r="FL95" i="5"/>
  <c r="FP32" i="5"/>
  <c r="FQ28" i="6"/>
  <c r="FO28" i="6"/>
  <c r="FO88" i="5" s="1"/>
  <c r="FO89" i="5"/>
  <c r="FO30" i="6"/>
  <c r="FO98" i="5" s="1"/>
  <c r="FP43" i="5"/>
  <c r="FP97" i="5" s="1"/>
  <c r="FQ30" i="6"/>
  <c r="FK69" i="3"/>
  <c r="FK71" i="3"/>
  <c r="FK67" i="3"/>
  <c r="FP15" i="5"/>
  <c r="FQ24" i="6"/>
  <c r="FO24" i="6"/>
  <c r="FO76" i="5" s="1"/>
  <c r="FP39" i="5"/>
  <c r="FO91" i="5"/>
  <c r="FU28" i="14"/>
  <c r="FU51" i="3"/>
  <c r="FU24" i="14"/>
  <c r="FU27" i="14"/>
  <c r="FP47" i="42"/>
  <c r="FP11" i="42"/>
  <c r="FP67" i="42"/>
  <c r="FJ68" i="6"/>
  <c r="FK49" i="6"/>
  <c r="FJ56" i="6"/>
  <c r="FU32" i="42"/>
  <c r="FU27" i="42"/>
  <c r="FU20" i="42"/>
  <c r="FU10" i="42"/>
  <c r="FU22" i="42" s="1"/>
  <c r="FU37" i="42"/>
  <c r="FY42" i="42"/>
  <c r="FJ76" i="5"/>
  <c r="FK24" i="6"/>
  <c r="FK76" i="5" s="1"/>
  <c r="FL67" i="5"/>
  <c r="FO51" i="7"/>
  <c r="FQ51" i="7"/>
  <c r="FO50" i="7"/>
  <c r="FK50" i="7"/>
  <c r="FT12" i="42"/>
  <c r="FT47" i="42"/>
  <c r="FT11" i="42"/>
  <c r="FV12" i="42"/>
  <c r="FT67" i="42"/>
  <c r="FT17" i="42"/>
  <c r="FK92" i="5"/>
  <c r="FK91" i="5"/>
  <c r="FJ88" i="5"/>
  <c r="FK28" i="6"/>
  <c r="FK88" i="5" s="1"/>
  <c r="FJ95" i="5"/>
  <c r="FK29" i="6"/>
  <c r="FK95" i="5" s="1"/>
  <c r="FP112" i="3"/>
  <c r="FO116" i="3"/>
  <c r="FQ114" i="3"/>
  <c r="FO114" i="3"/>
  <c r="FO113" i="3"/>
  <c r="FO115" i="3"/>
  <c r="FQ116" i="3"/>
  <c r="FP24" i="5"/>
  <c r="FO25" i="6"/>
  <c r="FO79" i="5" s="1"/>
  <c r="FQ25" i="6"/>
  <c r="FQ29" i="6"/>
  <c r="FP35" i="5"/>
  <c r="FP94" i="5" s="1"/>
  <c r="FO29" i="6"/>
  <c r="FO95" i="5" s="1"/>
  <c r="FV53" i="3"/>
  <c r="FT53" i="3"/>
  <c r="FT52" i="3"/>
  <c r="FT66" i="3"/>
  <c r="GD23" i="14"/>
  <c r="GD193" i="14"/>
  <c r="GD136" i="14"/>
  <c r="GD12" i="2"/>
  <c r="GD19" i="42"/>
  <c r="GD42" i="42" s="1"/>
  <c r="GD203" i="14"/>
  <c r="GD11" i="14"/>
  <c r="GD15" i="14"/>
  <c r="GD24" i="3"/>
  <c r="GD318" i="14"/>
  <c r="GD14" i="14"/>
  <c r="GD249" i="14"/>
  <c r="GD262" i="14"/>
  <c r="GD13" i="14"/>
  <c r="GE10" i="14"/>
  <c r="GE39" i="42"/>
  <c r="GE370" i="14"/>
  <c r="GE351" i="14"/>
  <c r="GE348" i="14"/>
  <c r="FJ79" i="5"/>
  <c r="FK25" i="6"/>
  <c r="FK79" i="5" s="1"/>
  <c r="FP12" i="5"/>
  <c r="FO22" i="6"/>
  <c r="FQ22" i="6"/>
  <c r="FJ230" i="3"/>
  <c r="FJ122" i="3"/>
  <c r="FL120" i="3"/>
  <c r="FJ119" i="3"/>
  <c r="FL122" i="3"/>
  <c r="FJ121" i="3"/>
  <c r="FJ123" i="3"/>
  <c r="FJ120" i="3"/>
  <c r="FK118" i="3"/>
  <c r="FJ98" i="5"/>
  <c r="FK30" i="6"/>
  <c r="FK98" i="5" s="1"/>
  <c r="FR24" i="2"/>
  <c r="FO24" i="2"/>
  <c r="FT35" i="2"/>
  <c r="FQ24" i="2"/>
  <c r="FS24" i="2"/>
  <c r="FT18" i="2"/>
  <c r="FL79" i="5"/>
  <c r="GD16" i="42"/>
  <c r="GF16" i="42"/>
  <c r="GD15" i="42"/>
  <c r="FK14" i="6"/>
  <c r="FJ20" i="8"/>
  <c r="FZ193" i="14"/>
  <c r="FZ14" i="14"/>
  <c r="FZ262" i="14"/>
  <c r="FZ11" i="14"/>
  <c r="FZ19" i="42"/>
  <c r="FZ318" i="14"/>
  <c r="FZ249" i="14"/>
  <c r="FZ136" i="14"/>
  <c r="FZ12" i="2"/>
  <c r="FZ203" i="14"/>
  <c r="FL98" i="5"/>
  <c r="FU19" i="2"/>
  <c r="FP66" i="3"/>
  <c r="FP52" i="3"/>
  <c r="FK151" i="5"/>
  <c r="FK152" i="5"/>
  <c r="FZ40" i="42"/>
  <c r="FJ67" i="5"/>
  <c r="FK22" i="6"/>
  <c r="FX21" i="2"/>
  <c r="FW21" i="2"/>
  <c r="FY15" i="2"/>
  <c r="FT21" i="2"/>
  <c r="FV21" i="2"/>
  <c r="FQ56" i="7"/>
  <c r="FO55" i="7"/>
  <c r="FO56" i="7"/>
  <c r="FT112" i="3"/>
  <c r="FV78" i="3"/>
  <c r="FT77" i="3"/>
  <c r="FT79" i="3"/>
  <c r="FU76" i="3"/>
  <c r="FT78" i="3"/>
  <c r="FT80" i="3"/>
  <c r="FV80" i="3"/>
  <c r="FP54" i="7"/>
  <c r="FP55" i="7" s="1"/>
  <c r="FP44" i="7"/>
  <c r="FP45" i="7" s="1"/>
  <c r="FP49" i="7"/>
  <c r="FP11" i="7"/>
  <c r="FP29" i="7"/>
  <c r="FP36" i="7"/>
  <c r="FP21" i="7"/>
  <c r="FP28" i="7"/>
  <c r="FZ15" i="42"/>
  <c r="GD353" i="14"/>
  <c r="FY19" i="2"/>
  <c r="FZ353" i="14"/>
  <c r="FP88" i="3"/>
  <c r="FP86" i="3"/>
  <c r="FP84" i="3"/>
  <c r="FK10" i="30"/>
  <c r="FK109" i="5"/>
  <c r="FK111" i="5"/>
  <c r="FK110" i="5"/>
  <c r="FK138" i="5"/>
  <c r="FL49" i="3"/>
  <c r="FJ57" i="5"/>
  <c r="FK45" i="3"/>
  <c r="FJ48" i="3"/>
  <c r="FJ49" i="3"/>
  <c r="FJ46" i="3"/>
  <c r="FJ47" i="3"/>
  <c r="FL47" i="3"/>
  <c r="GF41" i="42"/>
  <c r="GD41" i="42"/>
  <c r="GD40" i="42"/>
  <c r="FP22" i="42"/>
  <c r="FL14" i="30"/>
  <c r="FJ13" i="30"/>
  <c r="FJ36" i="30"/>
  <c r="FJ37" i="30"/>
  <c r="FJ14" i="30"/>
  <c r="FL12" i="30"/>
  <c r="FJ12" i="30"/>
  <c r="FJ11" i="30"/>
  <c r="FK75" i="5"/>
  <c r="FY25" i="3"/>
  <c r="FY27" i="3"/>
  <c r="FY90" i="3"/>
  <c r="GA27" i="3"/>
  <c r="FY83" i="3"/>
  <c r="FY76" i="3"/>
  <c r="FY28" i="3"/>
  <c r="FY16" i="17"/>
  <c r="FY56" i="5"/>
  <c r="FZ24" i="3"/>
  <c r="FY10" i="7"/>
  <c r="FY16" i="15"/>
  <c r="GA29" i="3"/>
  <c r="FY29" i="3"/>
  <c r="FY97" i="3"/>
  <c r="FY16" i="18"/>
  <c r="FP98" i="3"/>
  <c r="FP100" i="3"/>
  <c r="FT87" i="3"/>
  <c r="FT86" i="3"/>
  <c r="FT84" i="3"/>
  <c r="FV87" i="3"/>
  <c r="FT85" i="3"/>
  <c r="FV85" i="3"/>
  <c r="FU83" i="3"/>
  <c r="FU25" i="3"/>
  <c r="FU56" i="5"/>
  <c r="FU110" i="3"/>
  <c r="FU28" i="3"/>
  <c r="FU16" i="17"/>
  <c r="FU105" i="3"/>
  <c r="FU16" i="15"/>
  <c r="FU10" i="7"/>
  <c r="FU16" i="18"/>
  <c r="FK87" i="5"/>
  <c r="FK90" i="5"/>
  <c r="FK89" i="5"/>
  <c r="FO152" i="5"/>
  <c r="FO14" i="6"/>
  <c r="FP150" i="5"/>
  <c r="GI11" i="14" l="1"/>
  <c r="FF123" i="5"/>
  <c r="GI14" i="14"/>
  <c r="FJ124" i="3"/>
  <c r="FF65" i="5"/>
  <c r="FF66" i="5"/>
  <c r="FF20" i="8"/>
  <c r="FE13" i="5"/>
  <c r="FE28" i="5"/>
  <c r="FF119" i="3"/>
  <c r="FF123" i="3"/>
  <c r="FF121" i="3"/>
  <c r="FF230" i="3"/>
  <c r="FF232" i="3" s="1"/>
  <c r="FF56" i="6"/>
  <c r="FG139" i="5"/>
  <c r="FG141" i="5"/>
  <c r="FG143" i="5"/>
  <c r="FG147" i="5"/>
  <c r="FG13" i="6"/>
  <c r="GI12" i="2"/>
  <c r="GI15" i="2" s="1"/>
  <c r="GI35" i="2" s="1"/>
  <c r="GI193" i="14"/>
  <c r="GI262" i="14"/>
  <c r="GI19" i="42"/>
  <c r="GI20" i="42" s="1"/>
  <c r="GI136" i="14"/>
  <c r="GI318" i="14"/>
  <c r="GI15" i="14"/>
  <c r="GI203" i="14"/>
  <c r="GI13" i="14"/>
  <c r="GI249" i="14"/>
  <c r="GI24" i="3"/>
  <c r="GI25" i="3" s="1"/>
  <c r="GI23" i="14"/>
  <c r="GI24" i="14" s="1"/>
  <c r="FE22" i="30"/>
  <c r="FJ40" i="30"/>
  <c r="FE25" i="30"/>
  <c r="FE28" i="30"/>
  <c r="FE39" i="30"/>
  <c r="FE26" i="30"/>
  <c r="FE27" i="30"/>
  <c r="FE136" i="3"/>
  <c r="FF134" i="3"/>
  <c r="FE78" i="6"/>
  <c r="FE69" i="6"/>
  <c r="FG70" i="6"/>
  <c r="FF68" i="6"/>
  <c r="FE70" i="6"/>
  <c r="FF13" i="30"/>
  <c r="FF36" i="30"/>
  <c r="FF11" i="30"/>
  <c r="FF37" i="30"/>
  <c r="FF87" i="6"/>
  <c r="FF85" i="6"/>
  <c r="FG114" i="5"/>
  <c r="FH115" i="5"/>
  <c r="GI41" i="42"/>
  <c r="FE233" i="3"/>
  <c r="FF18" i="30"/>
  <c r="FF20" i="30"/>
  <c r="FF24" i="30"/>
  <c r="FF18" i="5"/>
  <c r="GJ348" i="14"/>
  <c r="GJ39" i="42"/>
  <c r="GJ40" i="42" s="1"/>
  <c r="GJ351" i="14"/>
  <c r="GJ370" i="14"/>
  <c r="GJ10" i="14"/>
  <c r="GJ353" i="14" s="1"/>
  <c r="FF57" i="5"/>
  <c r="FF48" i="3"/>
  <c r="FF46" i="3"/>
  <c r="GJ359" i="14"/>
  <c r="GI16" i="42"/>
  <c r="FP30" i="6"/>
  <c r="FP98" i="5" s="1"/>
  <c r="GF26" i="14"/>
  <c r="GE353" i="14"/>
  <c r="FP25" i="6"/>
  <c r="FP79" i="5" s="1"/>
  <c r="FP29" i="6"/>
  <c r="FP95" i="5" s="1"/>
  <c r="FP24" i="6"/>
  <c r="FP76" i="5" s="1"/>
  <c r="GD25" i="3"/>
  <c r="GF27" i="3"/>
  <c r="GD97" i="3"/>
  <c r="GD16" i="17"/>
  <c r="GD16" i="15"/>
  <c r="GD56" i="5"/>
  <c r="GD29" i="3"/>
  <c r="GF29" i="3"/>
  <c r="GD90" i="3"/>
  <c r="GE24" i="3"/>
  <c r="GE16" i="14" s="1"/>
  <c r="GD28" i="3"/>
  <c r="GD83" i="3"/>
  <c r="GD10" i="7"/>
  <c r="GD27" i="3"/>
  <c r="GD76" i="3"/>
  <c r="GD16" i="18"/>
  <c r="FK67" i="5"/>
  <c r="FZ10" i="42"/>
  <c r="FZ22" i="42" s="1"/>
  <c r="FZ27" i="42"/>
  <c r="FZ32" i="42"/>
  <c r="FZ37" i="42"/>
  <c r="FZ20" i="42"/>
  <c r="FK230" i="3"/>
  <c r="FK123" i="3"/>
  <c r="FK119" i="3"/>
  <c r="FK121" i="3"/>
  <c r="FQ67" i="5"/>
  <c r="FQ76" i="5"/>
  <c r="FU12" i="5"/>
  <c r="FU63" i="5" s="1"/>
  <c r="FV22" i="6"/>
  <c r="FT22" i="6"/>
  <c r="FK65" i="5"/>
  <c r="FK66" i="5"/>
  <c r="FP115" i="3"/>
  <c r="FP113" i="3"/>
  <c r="FP63" i="5"/>
  <c r="FQ95" i="5"/>
  <c r="FP91" i="5"/>
  <c r="FP92" i="5"/>
  <c r="FP87" i="5"/>
  <c r="FP90" i="5"/>
  <c r="FP89" i="5"/>
  <c r="FV30" i="6"/>
  <c r="FT30" i="6"/>
  <c r="FT98" i="5" s="1"/>
  <c r="FU43" i="5"/>
  <c r="FU97" i="5" s="1"/>
  <c r="FZ28" i="14"/>
  <c r="FZ51" i="3"/>
  <c r="FZ27" i="14"/>
  <c r="FZ24" i="14"/>
  <c r="FO56" i="6"/>
  <c r="FO68" i="6"/>
  <c r="FP49" i="6"/>
  <c r="FQ47" i="3"/>
  <c r="FO49" i="3"/>
  <c r="FO57" i="5"/>
  <c r="FO47" i="3"/>
  <c r="FP45" i="3"/>
  <c r="FQ49" i="3"/>
  <c r="FO48" i="3"/>
  <c r="FO46" i="3"/>
  <c r="FT50" i="7"/>
  <c r="FV51" i="7"/>
  <c r="FT51" i="7"/>
  <c r="FY15" i="5"/>
  <c r="FY32" i="5"/>
  <c r="FY39" i="5"/>
  <c r="FY150" i="5"/>
  <c r="FY108" i="5"/>
  <c r="FY12" i="5"/>
  <c r="FY43" i="5"/>
  <c r="FY35" i="5"/>
  <c r="FY24" i="5"/>
  <c r="FY92" i="3"/>
  <c r="GA94" i="3"/>
  <c r="GA92" i="3"/>
  <c r="FZ90" i="3"/>
  <c r="FY93" i="3"/>
  <c r="FY94" i="3"/>
  <c r="FY91" i="3"/>
  <c r="FJ13" i="5"/>
  <c r="FJ28" i="5"/>
  <c r="FP50" i="7"/>
  <c r="FU77" i="3"/>
  <c r="FU79" i="3"/>
  <c r="FU81" i="3"/>
  <c r="FP78" i="5"/>
  <c r="FU29" i="14"/>
  <c r="FU54" i="3"/>
  <c r="FT49" i="6"/>
  <c r="FT110" i="5"/>
  <c r="FT138" i="5"/>
  <c r="FU108" i="5"/>
  <c r="FT10" i="30"/>
  <c r="FT112" i="5"/>
  <c r="FT111" i="5"/>
  <c r="FV112" i="5"/>
  <c r="FP24" i="2"/>
  <c r="FU35" i="2"/>
  <c r="FU18" i="2"/>
  <c r="FY11" i="42"/>
  <c r="FY67" i="42"/>
  <c r="FY12" i="42"/>
  <c r="GA12" i="42"/>
  <c r="FY47" i="42"/>
  <c r="FY17" i="42"/>
  <c r="FU84" i="3"/>
  <c r="FU86" i="3"/>
  <c r="FU88" i="3"/>
  <c r="FK13" i="30"/>
  <c r="FK36" i="30"/>
  <c r="FK37" i="30"/>
  <c r="FK11" i="30"/>
  <c r="FO67" i="5"/>
  <c r="GD16" i="14"/>
  <c r="FK56" i="6"/>
  <c r="FP75" i="5"/>
  <c r="FU100" i="3"/>
  <c r="FU98" i="3"/>
  <c r="FV56" i="7"/>
  <c r="FT55" i="7"/>
  <c r="FT56" i="7"/>
  <c r="GE15" i="42"/>
  <c r="GJ15" i="42"/>
  <c r="FZ19" i="2"/>
  <c r="FU44" i="7"/>
  <c r="FU45" i="7" s="1"/>
  <c r="FU49" i="7"/>
  <c r="FU50" i="7" s="1"/>
  <c r="FU54" i="7"/>
  <c r="FU55" i="7" s="1"/>
  <c r="FU11" i="7"/>
  <c r="FU21" i="7"/>
  <c r="FU28" i="7"/>
  <c r="FU36" i="7"/>
  <c r="FU29" i="7"/>
  <c r="FY112" i="3"/>
  <c r="FY78" i="3"/>
  <c r="FY80" i="3"/>
  <c r="GA80" i="3"/>
  <c r="FZ76" i="3"/>
  <c r="FY77" i="3"/>
  <c r="GA78" i="3"/>
  <c r="FY79" i="3"/>
  <c r="FP69" i="3"/>
  <c r="FP67" i="3"/>
  <c r="FP71" i="3"/>
  <c r="FY54" i="7"/>
  <c r="FY11" i="7"/>
  <c r="FY29" i="7"/>
  <c r="FY36" i="7"/>
  <c r="FY44" i="7"/>
  <c r="GA12" i="7"/>
  <c r="FY12" i="7"/>
  <c r="FY49" i="7"/>
  <c r="FY21" i="7"/>
  <c r="FY87" i="3"/>
  <c r="FY84" i="3"/>
  <c r="FY86" i="3"/>
  <c r="FZ83" i="3"/>
  <c r="GA87" i="3"/>
  <c r="FY85" i="3"/>
  <c r="GA85" i="3"/>
  <c r="FV116" i="3"/>
  <c r="FT115" i="3"/>
  <c r="FT116" i="3"/>
  <c r="FT113" i="3"/>
  <c r="FV114" i="3"/>
  <c r="FU112" i="3"/>
  <c r="FT114" i="3"/>
  <c r="FV24" i="2"/>
  <c r="FY35" i="2"/>
  <c r="FT24" i="2"/>
  <c r="FX24" i="2"/>
  <c r="FW24" i="2"/>
  <c r="FY18" i="2"/>
  <c r="GE40" i="42"/>
  <c r="GF21" i="42"/>
  <c r="GD37" i="42"/>
  <c r="GD32" i="42"/>
  <c r="GD27" i="42"/>
  <c r="GD10" i="42"/>
  <c r="GD22" i="42" s="1"/>
  <c r="GD21" i="42"/>
  <c r="GD20" i="42"/>
  <c r="FQ79" i="5"/>
  <c r="FP22" i="6"/>
  <c r="FU67" i="42"/>
  <c r="FU47" i="42"/>
  <c r="FU11" i="42"/>
  <c r="FU17" i="42"/>
  <c r="FV28" i="6"/>
  <c r="FU32" i="5"/>
  <c r="FT89" i="5"/>
  <c r="FT28" i="6"/>
  <c r="FT88" i="5" s="1"/>
  <c r="FT29" i="6"/>
  <c r="FT95" i="5" s="1"/>
  <c r="FV29" i="6"/>
  <c r="FU35" i="5"/>
  <c r="FU94" i="5" s="1"/>
  <c r="FO13" i="30"/>
  <c r="FQ14" i="30"/>
  <c r="FO36" i="30"/>
  <c r="FO14" i="30"/>
  <c r="FO37" i="30"/>
  <c r="FQ12" i="30"/>
  <c r="FO11" i="30"/>
  <c r="FO12" i="30"/>
  <c r="FU93" i="3"/>
  <c r="FU91" i="3"/>
  <c r="FU95" i="3"/>
  <c r="FP14" i="6"/>
  <c r="FO20" i="8"/>
  <c r="FT14" i="6"/>
  <c r="FU150" i="5"/>
  <c r="FT152" i="5"/>
  <c r="FU21" i="2"/>
  <c r="FZ15" i="2"/>
  <c r="FK20" i="8"/>
  <c r="GD51" i="3"/>
  <c r="GD26" i="14"/>
  <c r="GE23" i="14"/>
  <c r="GD27" i="14"/>
  <c r="GD24" i="14"/>
  <c r="FQ98" i="5"/>
  <c r="FQ88" i="5"/>
  <c r="FP28" i="6"/>
  <c r="FP88" i="5" s="1"/>
  <c r="FV24" i="6"/>
  <c r="FU15" i="5"/>
  <c r="FU75" i="5" s="1"/>
  <c r="FT24" i="6"/>
  <c r="FT76" i="5" s="1"/>
  <c r="FP110" i="5"/>
  <c r="FP10" i="30"/>
  <c r="FP111" i="5"/>
  <c r="FP138" i="5"/>
  <c r="FP109" i="5"/>
  <c r="FT118" i="3"/>
  <c r="FT68" i="3"/>
  <c r="FT70" i="3"/>
  <c r="FV68" i="3"/>
  <c r="FT71" i="3"/>
  <c r="FV70" i="3"/>
  <c r="FT67" i="3"/>
  <c r="FT69" i="3"/>
  <c r="FT45" i="3"/>
  <c r="FP152" i="5"/>
  <c r="FP151" i="5"/>
  <c r="FZ97" i="3"/>
  <c r="FY98" i="3"/>
  <c r="FY99" i="3"/>
  <c r="GA99" i="3"/>
  <c r="FZ10" i="7"/>
  <c r="FZ16" i="15"/>
  <c r="FZ16" i="17"/>
  <c r="FZ105" i="3"/>
  <c r="FZ110" i="3"/>
  <c r="FZ56" i="5"/>
  <c r="FZ25" i="3"/>
  <c r="FZ28" i="3"/>
  <c r="FZ16" i="18"/>
  <c r="FH47" i="5"/>
  <c r="FK46" i="3"/>
  <c r="FK48" i="3"/>
  <c r="FK57" i="5"/>
  <c r="FZ42" i="42"/>
  <c r="FZ16" i="14"/>
  <c r="GE193" i="14"/>
  <c r="GE262" i="14"/>
  <c r="GE14" i="14"/>
  <c r="GE318" i="14"/>
  <c r="GE12" i="2"/>
  <c r="GE203" i="14"/>
  <c r="GE249" i="14"/>
  <c r="GE11" i="14"/>
  <c r="GE136" i="14"/>
  <c r="GE19" i="42"/>
  <c r="GE42" i="42" s="1"/>
  <c r="FY21" i="2"/>
  <c r="GD15" i="2"/>
  <c r="FK68" i="6"/>
  <c r="FJ69" i="6"/>
  <c r="FJ70" i="6"/>
  <c r="FL70" i="6"/>
  <c r="FU66" i="3"/>
  <c r="FU52" i="3"/>
  <c r="FT91" i="5"/>
  <c r="FU39" i="5"/>
  <c r="FV25" i="6"/>
  <c r="FU24" i="5"/>
  <c r="FU78" i="5" s="1"/>
  <c r="FT25" i="6"/>
  <c r="FT79" i="5" s="1"/>
  <c r="FY52" i="3"/>
  <c r="FY53" i="3"/>
  <c r="GA53" i="3"/>
  <c r="FY66" i="3"/>
  <c r="FO230" i="3"/>
  <c r="FO119" i="3"/>
  <c r="FO123" i="3"/>
  <c r="FO124" i="3" s="1"/>
  <c r="FP118" i="3"/>
  <c r="FQ120" i="3"/>
  <c r="FQ122" i="3"/>
  <c r="FO121" i="3"/>
  <c r="FO120" i="3"/>
  <c r="FO122" i="3"/>
  <c r="FT45" i="7"/>
  <c r="FV46" i="7"/>
  <c r="FT46" i="7"/>
  <c r="GI42" i="42" l="1"/>
  <c r="GJ11" i="14"/>
  <c r="GJ14" i="14"/>
  <c r="GI27" i="14"/>
  <c r="GI28" i="3"/>
  <c r="FH114" i="5"/>
  <c r="FI115" i="5"/>
  <c r="GJ23" i="14"/>
  <c r="GI26" i="14"/>
  <c r="GI51" i="3"/>
  <c r="GI18" i="2"/>
  <c r="FG116" i="5"/>
  <c r="FG84" i="6"/>
  <c r="FG118" i="5"/>
  <c r="FG117" i="5"/>
  <c r="FG17" i="30"/>
  <c r="FG119" i="5"/>
  <c r="FG122" i="5"/>
  <c r="FG123" i="5" s="1"/>
  <c r="FE139" i="3"/>
  <c r="FF136" i="3"/>
  <c r="GI16" i="14"/>
  <c r="GI29" i="3"/>
  <c r="GI16" i="17"/>
  <c r="GI83" i="3"/>
  <c r="GI84" i="3" s="1"/>
  <c r="GJ24" i="3"/>
  <c r="GI76" i="3"/>
  <c r="GI79" i="3" s="1"/>
  <c r="GI16" i="15"/>
  <c r="GI56" i="5"/>
  <c r="GI97" i="3"/>
  <c r="GI98" i="3" s="1"/>
  <c r="GI27" i="3"/>
  <c r="GI90" i="3"/>
  <c r="GI91" i="3" s="1"/>
  <c r="GI16" i="18"/>
  <c r="FE36" i="5"/>
  <c r="FF28" i="5"/>
  <c r="FE26" i="6"/>
  <c r="FG26" i="6"/>
  <c r="FG85" i="5" s="1"/>
  <c r="FG231" i="3"/>
  <c r="FG232" i="3" s="1"/>
  <c r="FG134" i="5"/>
  <c r="FF233" i="3"/>
  <c r="GJ318" i="14"/>
  <c r="GJ193" i="14"/>
  <c r="GJ136" i="14"/>
  <c r="GJ12" i="2"/>
  <c r="GJ15" i="2" s="1"/>
  <c r="GJ203" i="14"/>
  <c r="GJ249" i="14"/>
  <c r="GJ262" i="14"/>
  <c r="GJ19" i="42"/>
  <c r="GJ42" i="42" s="1"/>
  <c r="FF15" i="30"/>
  <c r="FK40" i="30"/>
  <c r="FF27" i="30"/>
  <c r="FF39" i="30"/>
  <c r="FF25" i="30"/>
  <c r="FF78" i="6"/>
  <c r="FF69" i="6"/>
  <c r="GI10" i="42"/>
  <c r="GI22" i="42" s="1"/>
  <c r="GI32" i="42"/>
  <c r="GI21" i="42"/>
  <c r="GI27" i="42"/>
  <c r="GI37" i="42"/>
  <c r="FG23" i="6"/>
  <c r="FF13" i="5"/>
  <c r="FE23" i="6"/>
  <c r="FE93" i="6"/>
  <c r="FE117" i="15"/>
  <c r="FE79" i="6"/>
  <c r="FE81" i="6"/>
  <c r="FE82" i="6"/>
  <c r="FE80" i="6"/>
  <c r="FH137" i="5"/>
  <c r="FG18" i="5"/>
  <c r="FF124" i="3"/>
  <c r="FF22" i="30"/>
  <c r="FT67" i="5"/>
  <c r="FU28" i="6"/>
  <c r="FU88" i="5" s="1"/>
  <c r="FU30" i="6"/>
  <c r="FU98" i="5" s="1"/>
  <c r="FU29" i="6"/>
  <c r="FU95" i="5" s="1"/>
  <c r="FK69" i="6"/>
  <c r="GD35" i="2"/>
  <c r="FY24" i="2"/>
  <c r="GD18" i="2"/>
  <c r="FZ100" i="3"/>
  <c r="FZ98" i="3"/>
  <c r="FV88" i="5"/>
  <c r="GE15" i="2"/>
  <c r="FZ21" i="2"/>
  <c r="FT48" i="3"/>
  <c r="FV49" i="3"/>
  <c r="FU45" i="3"/>
  <c r="FV47" i="3"/>
  <c r="FT49" i="3"/>
  <c r="FT46" i="3"/>
  <c r="FT47" i="3"/>
  <c r="FT57" i="5"/>
  <c r="FT68" i="6"/>
  <c r="FT56" i="6"/>
  <c r="FU49" i="6"/>
  <c r="GA25" i="6"/>
  <c r="FZ24" i="5"/>
  <c r="FZ78" i="5" s="1"/>
  <c r="FY25" i="6"/>
  <c r="FY79" i="5" s="1"/>
  <c r="FY14" i="6"/>
  <c r="FZ150" i="5"/>
  <c r="FY152" i="5"/>
  <c r="FP57" i="5"/>
  <c r="FP48" i="3"/>
  <c r="FP46" i="3"/>
  <c r="FZ54" i="3"/>
  <c r="FZ29" i="14"/>
  <c r="FZ35" i="5"/>
  <c r="FZ94" i="5" s="1"/>
  <c r="FY29" i="6"/>
  <c r="FY95" i="5" s="1"/>
  <c r="GA29" i="6"/>
  <c r="GD80" i="3"/>
  <c r="GF80" i="3"/>
  <c r="GD112" i="3"/>
  <c r="GE76" i="3"/>
  <c r="GD77" i="3"/>
  <c r="GD78" i="3"/>
  <c r="GF78" i="3"/>
  <c r="GD79" i="3"/>
  <c r="GE28" i="3"/>
  <c r="GE105" i="3"/>
  <c r="GE25" i="3"/>
  <c r="GE56" i="5"/>
  <c r="GE10" i="7"/>
  <c r="GE16" i="15"/>
  <c r="GE110" i="3"/>
  <c r="GE16" i="17"/>
  <c r="GE16" i="18"/>
  <c r="GD43" i="5"/>
  <c r="GD32" i="5"/>
  <c r="GD150" i="5"/>
  <c r="GD108" i="5"/>
  <c r="GD15" i="5"/>
  <c r="GD39" i="5"/>
  <c r="GD24" i="5"/>
  <c r="GD12" i="5"/>
  <c r="GD35" i="5"/>
  <c r="FV79" i="5"/>
  <c r="FT230" i="3"/>
  <c r="FT122" i="3"/>
  <c r="FT123" i="3"/>
  <c r="FT124" i="3" s="1"/>
  <c r="FV120" i="3"/>
  <c r="FT120" i="3"/>
  <c r="FT121" i="3"/>
  <c r="FU118" i="3"/>
  <c r="FT119" i="3"/>
  <c r="FV122" i="3"/>
  <c r="FP13" i="30"/>
  <c r="FP37" i="30"/>
  <c r="FP11" i="30"/>
  <c r="FP36" i="30"/>
  <c r="GE51" i="3"/>
  <c r="GE27" i="14"/>
  <c r="GE28" i="14"/>
  <c r="GE24" i="14"/>
  <c r="FU24" i="2"/>
  <c r="FZ35" i="2"/>
  <c r="FZ18" i="2"/>
  <c r="FU152" i="5"/>
  <c r="FU151" i="5"/>
  <c r="FP20" i="8"/>
  <c r="FY50" i="7"/>
  <c r="FY51" i="7"/>
  <c r="GA51" i="7"/>
  <c r="FU111" i="5"/>
  <c r="FU109" i="5"/>
  <c r="FU10" i="30"/>
  <c r="FU110" i="5"/>
  <c r="FU138" i="5"/>
  <c r="FK13" i="5"/>
  <c r="FL23" i="6"/>
  <c r="FJ23" i="6"/>
  <c r="FZ91" i="3"/>
  <c r="FZ95" i="3"/>
  <c r="FZ93" i="3"/>
  <c r="GA30" i="6"/>
  <c r="FY30" i="6"/>
  <c r="FY98" i="5" s="1"/>
  <c r="FZ43" i="5"/>
  <c r="FZ97" i="5" s="1"/>
  <c r="GA28" i="6"/>
  <c r="FY28" i="6"/>
  <c r="FY88" i="5" s="1"/>
  <c r="FZ32" i="5"/>
  <c r="FY89" i="5"/>
  <c r="FO69" i="6"/>
  <c r="FQ70" i="6"/>
  <c r="FP68" i="6"/>
  <c r="FO70" i="6"/>
  <c r="FV67" i="5"/>
  <c r="FU24" i="6"/>
  <c r="FU76" i="5" s="1"/>
  <c r="GD92" i="3"/>
  <c r="GF92" i="3"/>
  <c r="GD94" i="3"/>
  <c r="GE90" i="3"/>
  <c r="GD93" i="3"/>
  <c r="GF94" i="3"/>
  <c r="GD91" i="3"/>
  <c r="FP67" i="5"/>
  <c r="GD12" i="42"/>
  <c r="GF12" i="42"/>
  <c r="GD67" i="42"/>
  <c r="GD11" i="42"/>
  <c r="GD47" i="42"/>
  <c r="GD17" i="42"/>
  <c r="FY46" i="7"/>
  <c r="FY45" i="7"/>
  <c r="GA46" i="7"/>
  <c r="FZ79" i="3"/>
  <c r="FZ81" i="3"/>
  <c r="FZ77" i="3"/>
  <c r="FZ66" i="3"/>
  <c r="FZ52" i="3"/>
  <c r="GF87" i="3"/>
  <c r="GD87" i="3"/>
  <c r="GE83" i="3"/>
  <c r="GD85" i="3"/>
  <c r="GD86" i="3"/>
  <c r="GF85" i="3"/>
  <c r="GD84" i="3"/>
  <c r="FI47" i="5"/>
  <c r="FK124" i="3"/>
  <c r="FY69" i="3"/>
  <c r="FY118" i="3"/>
  <c r="FY71" i="3"/>
  <c r="FY67" i="3"/>
  <c r="FY68" i="3"/>
  <c r="FY70" i="3"/>
  <c r="GA68" i="3"/>
  <c r="GA70" i="3"/>
  <c r="FY45" i="3"/>
  <c r="FZ49" i="7"/>
  <c r="FZ50" i="7" s="1"/>
  <c r="FZ44" i="7"/>
  <c r="FZ45" i="7" s="1"/>
  <c r="FZ36" i="7"/>
  <c r="FZ54" i="7"/>
  <c r="FZ55" i="7" s="1"/>
  <c r="FZ11" i="7"/>
  <c r="FZ21" i="7"/>
  <c r="FZ28" i="7"/>
  <c r="FZ29" i="7"/>
  <c r="FV12" i="30"/>
  <c r="FT13" i="30"/>
  <c r="FT12" i="30"/>
  <c r="FT14" i="30"/>
  <c r="FT11" i="30"/>
  <c r="FV14" i="30"/>
  <c r="FT37" i="30"/>
  <c r="FT36" i="30"/>
  <c r="FK28" i="5"/>
  <c r="FL26" i="6"/>
  <c r="FJ36" i="5"/>
  <c r="FJ26" i="6"/>
  <c r="FZ39" i="5"/>
  <c r="FY91" i="5"/>
  <c r="FP66" i="5"/>
  <c r="FP65" i="5"/>
  <c r="FP230" i="3"/>
  <c r="FP121" i="3"/>
  <c r="FP123" i="3"/>
  <c r="FP119" i="3"/>
  <c r="FU91" i="5"/>
  <c r="FU92" i="5"/>
  <c r="FU14" i="6"/>
  <c r="FU20" i="8" s="1"/>
  <c r="FT20" i="8"/>
  <c r="FZ86" i="3"/>
  <c r="FZ88" i="3"/>
  <c r="FZ84" i="3"/>
  <c r="FY55" i="7"/>
  <c r="GA56" i="7"/>
  <c r="FY56" i="7"/>
  <c r="FY114" i="3"/>
  <c r="FZ112" i="3"/>
  <c r="FY113" i="3"/>
  <c r="FY116" i="3"/>
  <c r="FY115" i="3"/>
  <c r="GA116" i="3"/>
  <c r="GA114" i="3"/>
  <c r="FZ12" i="5"/>
  <c r="FZ63" i="5" s="1"/>
  <c r="GA22" i="6"/>
  <c r="FY22" i="6"/>
  <c r="FY67" i="5" s="1"/>
  <c r="FZ15" i="5"/>
  <c r="FZ75" i="5" s="1"/>
  <c r="FY24" i="6"/>
  <c r="FY76" i="5" s="1"/>
  <c r="GA24" i="6"/>
  <c r="FO28" i="5"/>
  <c r="FO13" i="5"/>
  <c r="FP56" i="6"/>
  <c r="FV98" i="5"/>
  <c r="FU65" i="5"/>
  <c r="FU66" i="5"/>
  <c r="FU22" i="6"/>
  <c r="FU67" i="5" s="1"/>
  <c r="FZ47" i="42"/>
  <c r="FZ11" i="42"/>
  <c r="FZ67" i="42"/>
  <c r="FZ17" i="42"/>
  <c r="GD98" i="3"/>
  <c r="GE97" i="3"/>
  <c r="GF99" i="3"/>
  <c r="GD99" i="3"/>
  <c r="FV76" i="5"/>
  <c r="FV95" i="5"/>
  <c r="FU25" i="6"/>
  <c r="FU79" i="5" s="1"/>
  <c r="FU113" i="3"/>
  <c r="FU115" i="3"/>
  <c r="FU71" i="3"/>
  <c r="FU67" i="3"/>
  <c r="FU69" i="3"/>
  <c r="GE10" i="42"/>
  <c r="GE32" i="42"/>
  <c r="GE37" i="42"/>
  <c r="GE27" i="42"/>
  <c r="GE20" i="42"/>
  <c r="GD66" i="3"/>
  <c r="GD52" i="3"/>
  <c r="GF53" i="3"/>
  <c r="GD53" i="3"/>
  <c r="FU87" i="5"/>
  <c r="FU89" i="5"/>
  <c r="FU90" i="5"/>
  <c r="FZ108" i="5"/>
  <c r="FY110" i="5"/>
  <c r="FY112" i="5"/>
  <c r="FY10" i="30"/>
  <c r="FY49" i="6"/>
  <c r="FY111" i="5"/>
  <c r="GA112" i="5"/>
  <c r="FY138" i="5"/>
  <c r="GD54" i="7"/>
  <c r="GD29" i="7"/>
  <c r="GD49" i="7"/>
  <c r="GD21" i="7"/>
  <c r="GD36" i="7"/>
  <c r="GD11" i="7"/>
  <c r="GD12" i="7"/>
  <c r="GD44" i="7"/>
  <c r="GJ20" i="42" l="1"/>
  <c r="FH147" i="5"/>
  <c r="FH73" i="3"/>
  <c r="FH74" i="3" s="1"/>
  <c r="FG120" i="5"/>
  <c r="GI93" i="3"/>
  <c r="GI77" i="3"/>
  <c r="GI11" i="42"/>
  <c r="FZ30" i="6"/>
  <c r="FZ98" i="5" s="1"/>
  <c r="FF81" i="6"/>
  <c r="FF93" i="6"/>
  <c r="FF94" i="6" s="1"/>
  <c r="FF117" i="15"/>
  <c r="FF79" i="6"/>
  <c r="FF36" i="5"/>
  <c r="FE44" i="5"/>
  <c r="GJ16" i="14"/>
  <c r="GJ56" i="5"/>
  <c r="GJ110" i="3"/>
  <c r="GJ105" i="3"/>
  <c r="GJ16" i="15"/>
  <c r="GJ16" i="17"/>
  <c r="GJ16" i="18"/>
  <c r="GI66" i="3"/>
  <c r="GI69" i="3" s="1"/>
  <c r="GI53" i="3"/>
  <c r="GJ97" i="3"/>
  <c r="GJ100" i="3" s="1"/>
  <c r="GI99" i="3"/>
  <c r="GI52" i="3"/>
  <c r="GI108" i="5"/>
  <c r="GI111" i="5" s="1"/>
  <c r="GI35" i="5"/>
  <c r="GI150" i="5"/>
  <c r="GI24" i="5"/>
  <c r="GI43" i="5"/>
  <c r="GI39" i="5"/>
  <c r="GI32" i="5"/>
  <c r="GI15" i="5"/>
  <c r="GI12" i="5"/>
  <c r="FG78" i="6"/>
  <c r="FG87" i="6"/>
  <c r="FG86" i="6"/>
  <c r="FG85" i="6"/>
  <c r="FG88" i="6"/>
  <c r="GJ25" i="3"/>
  <c r="FF69" i="5"/>
  <c r="FE85" i="5"/>
  <c r="FF26" i="6"/>
  <c r="FF85" i="5" s="1"/>
  <c r="FJ115" i="5"/>
  <c r="FJ114" i="5" s="1"/>
  <c r="FI114" i="5"/>
  <c r="FG233" i="3"/>
  <c r="GI85" i="3"/>
  <c r="GI87" i="3"/>
  <c r="GJ83" i="3"/>
  <c r="GJ88" i="3" s="1"/>
  <c r="FE143" i="3"/>
  <c r="FE212" i="3"/>
  <c r="FF212" i="3" s="1"/>
  <c r="FE48" i="5"/>
  <c r="FE147" i="3"/>
  <c r="FE140" i="3"/>
  <c r="FF139" i="3"/>
  <c r="FE10" i="6"/>
  <c r="GJ35" i="2"/>
  <c r="GJ18" i="2"/>
  <c r="GJ28" i="14"/>
  <c r="GJ54" i="3" s="1"/>
  <c r="GJ51" i="3"/>
  <c r="GJ66" i="3" s="1"/>
  <c r="GJ71" i="3" s="1"/>
  <c r="GJ24" i="14"/>
  <c r="FG73" i="5"/>
  <c r="GJ27" i="42"/>
  <c r="GJ10" i="42"/>
  <c r="GJ22" i="42" s="1"/>
  <c r="GJ32" i="42"/>
  <c r="GJ37" i="42"/>
  <c r="FG19" i="30"/>
  <c r="FG20" i="30"/>
  <c r="FG21" i="30"/>
  <c r="FG18" i="30"/>
  <c r="FG24" i="30"/>
  <c r="FH119" i="5"/>
  <c r="FH116" i="5"/>
  <c r="FH118" i="5"/>
  <c r="FH84" i="6"/>
  <c r="FH122" i="5"/>
  <c r="FH123" i="5" s="1"/>
  <c r="FH17" i="30"/>
  <c r="FH117" i="5"/>
  <c r="FF23" i="6"/>
  <c r="FE73" i="5"/>
  <c r="GI86" i="3"/>
  <c r="GJ28" i="3"/>
  <c r="GJ27" i="14"/>
  <c r="FH139" i="5"/>
  <c r="FH13" i="6"/>
  <c r="FH143" i="5"/>
  <c r="FH141" i="5"/>
  <c r="FE95" i="6"/>
  <c r="FE94" i="6"/>
  <c r="GI12" i="42"/>
  <c r="GI67" i="42"/>
  <c r="GI47" i="42"/>
  <c r="GI17" i="42"/>
  <c r="FG135" i="5"/>
  <c r="FF81" i="5"/>
  <c r="GJ90" i="3"/>
  <c r="GJ95" i="3" s="1"/>
  <c r="GI92" i="3"/>
  <c r="GI94" i="3"/>
  <c r="GJ76" i="3"/>
  <c r="GJ81" i="3" s="1"/>
  <c r="GI112" i="3"/>
  <c r="GI80" i="3"/>
  <c r="GI78" i="3"/>
  <c r="FF137" i="3"/>
  <c r="FZ29" i="6"/>
  <c r="FZ95" i="5" s="1"/>
  <c r="FU56" i="6"/>
  <c r="FZ24" i="6"/>
  <c r="FZ76" i="5" s="1"/>
  <c r="FZ25" i="6"/>
  <c r="FZ79" i="5" s="1"/>
  <c r="GE93" i="3"/>
  <c r="GE91" i="3"/>
  <c r="GE95" i="3"/>
  <c r="FK69" i="5"/>
  <c r="GE52" i="3"/>
  <c r="GE66" i="3"/>
  <c r="GD10" i="30"/>
  <c r="GD110" i="5"/>
  <c r="GD49" i="6"/>
  <c r="GD138" i="5"/>
  <c r="GE108" i="5"/>
  <c r="GD111" i="5"/>
  <c r="GD112" i="5"/>
  <c r="GF112" i="5"/>
  <c r="FZ24" i="2"/>
  <c r="GE35" i="2"/>
  <c r="GE18" i="2"/>
  <c r="GD50" i="7"/>
  <c r="GD51" i="7"/>
  <c r="GD118" i="3"/>
  <c r="GF70" i="3"/>
  <c r="GD69" i="3"/>
  <c r="GD70" i="3"/>
  <c r="GF68" i="3"/>
  <c r="GD68" i="3"/>
  <c r="GD67" i="3"/>
  <c r="GD71" i="3"/>
  <c r="GD45" i="3"/>
  <c r="GA88" i="5"/>
  <c r="GE32" i="5"/>
  <c r="GD89" i="5"/>
  <c r="GF28" i="6"/>
  <c r="GD28" i="6"/>
  <c r="GD88" i="5" s="1"/>
  <c r="FT69" i="6"/>
  <c r="FT70" i="6"/>
  <c r="FU68" i="6"/>
  <c r="FU69" i="6" s="1"/>
  <c r="FV70" i="6"/>
  <c r="FY12" i="30"/>
  <c r="GA14" i="30"/>
  <c r="FY13" i="30"/>
  <c r="FY14" i="30"/>
  <c r="FY11" i="30"/>
  <c r="FY36" i="30"/>
  <c r="GA12" i="30"/>
  <c r="FK36" i="5"/>
  <c r="FJ44" i="5"/>
  <c r="GD25" i="6"/>
  <c r="GD79" i="5" s="1"/>
  <c r="GF25" i="6"/>
  <c r="GE24" i="5"/>
  <c r="GE78" i="5" s="1"/>
  <c r="GD30" i="6"/>
  <c r="GD98" i="5" s="1"/>
  <c r="GF30" i="6"/>
  <c r="GE43" i="5"/>
  <c r="GE97" i="5" s="1"/>
  <c r="GE77" i="3"/>
  <c r="GE79" i="3"/>
  <c r="GE81" i="3"/>
  <c r="FT28" i="5"/>
  <c r="FT13" i="5"/>
  <c r="GA67" i="5"/>
  <c r="FZ113" i="3"/>
  <c r="FZ115" i="3"/>
  <c r="FP124" i="3"/>
  <c r="FK81" i="5"/>
  <c r="FZ45" i="3"/>
  <c r="FY49" i="3"/>
  <c r="GA49" i="3"/>
  <c r="FY47" i="3"/>
  <c r="FY48" i="3"/>
  <c r="FY57" i="5"/>
  <c r="GA47" i="3"/>
  <c r="FY46" i="3"/>
  <c r="FZ138" i="5"/>
  <c r="FZ111" i="5"/>
  <c r="FZ10" i="30"/>
  <c r="FZ109" i="5"/>
  <c r="FZ110" i="5"/>
  <c r="GE11" i="42"/>
  <c r="GE47" i="42"/>
  <c r="GE67" i="42"/>
  <c r="GE17" i="42"/>
  <c r="FZ66" i="5"/>
  <c r="FZ65" i="5"/>
  <c r="FZ91" i="5"/>
  <c r="FZ92" i="5"/>
  <c r="FY230" i="3"/>
  <c r="FY121" i="3"/>
  <c r="GA122" i="3"/>
  <c r="FY123" i="3"/>
  <c r="FY124" i="3" s="1"/>
  <c r="FY120" i="3"/>
  <c r="FY122" i="3"/>
  <c r="FY119" i="3"/>
  <c r="FZ118" i="3"/>
  <c r="GA120" i="3"/>
  <c r="FJ47" i="5"/>
  <c r="GD29" i="6"/>
  <c r="GD95" i="5" s="1"/>
  <c r="GF29" i="6"/>
  <c r="GE35" i="5"/>
  <c r="GE94" i="5" s="1"/>
  <c r="GA76" i="5"/>
  <c r="FJ85" i="5"/>
  <c r="FK26" i="6"/>
  <c r="FK85" i="5" s="1"/>
  <c r="GE22" i="42"/>
  <c r="FP13" i="5"/>
  <c r="FQ23" i="6"/>
  <c r="FO23" i="6"/>
  <c r="FP23" i="6" s="1"/>
  <c r="FZ71" i="3"/>
  <c r="FZ69" i="3"/>
  <c r="FZ67" i="3"/>
  <c r="FZ22" i="6"/>
  <c r="FZ67" i="5" s="1"/>
  <c r="FJ73" i="5"/>
  <c r="FK23" i="6"/>
  <c r="FU36" i="30"/>
  <c r="FU37" i="30"/>
  <c r="FU13" i="30"/>
  <c r="FU11" i="30"/>
  <c r="GE54" i="3"/>
  <c r="GE29" i="14"/>
  <c r="FU230" i="3"/>
  <c r="FU119" i="3"/>
  <c r="FU121" i="3"/>
  <c r="FU123" i="3"/>
  <c r="FU124" i="3" s="1"/>
  <c r="GE39" i="5"/>
  <c r="GD91" i="5"/>
  <c r="GD113" i="3"/>
  <c r="GF114" i="3"/>
  <c r="GD114" i="3"/>
  <c r="GF116" i="3"/>
  <c r="GD116" i="3"/>
  <c r="GD115" i="3"/>
  <c r="GE112" i="3"/>
  <c r="GA95" i="5"/>
  <c r="FZ90" i="5"/>
  <c r="FZ87" i="5"/>
  <c r="FZ89" i="5"/>
  <c r="GE150" i="5"/>
  <c r="GD152" i="5"/>
  <c r="GD14" i="6"/>
  <c r="FZ152" i="5"/>
  <c r="FZ151" i="5"/>
  <c r="GD45" i="7"/>
  <c r="GD46" i="7"/>
  <c r="FY56" i="6"/>
  <c r="FZ56" i="6" s="1"/>
  <c r="FY68" i="6"/>
  <c r="FZ49" i="6"/>
  <c r="GE84" i="3"/>
  <c r="GE88" i="3"/>
  <c r="GE86" i="3"/>
  <c r="FP69" i="6"/>
  <c r="GF22" i="6"/>
  <c r="GE12" i="5"/>
  <c r="GE63" i="5" s="1"/>
  <c r="GD22" i="6"/>
  <c r="GD67" i="5" s="1"/>
  <c r="FY20" i="8"/>
  <c r="FZ14" i="6"/>
  <c r="FZ20" i="8" s="1"/>
  <c r="FU57" i="5"/>
  <c r="FU46" i="3"/>
  <c r="FU48" i="3"/>
  <c r="GD55" i="7"/>
  <c r="GD56" i="7"/>
  <c r="GE98" i="3"/>
  <c r="GE100" i="3"/>
  <c r="FO26" i="6"/>
  <c r="FO85" i="5" s="1"/>
  <c r="FP28" i="5"/>
  <c r="FQ26" i="6"/>
  <c r="FO36" i="5"/>
  <c r="FL85" i="5"/>
  <c r="GA98" i="5"/>
  <c r="FL73" i="5"/>
  <c r="GF24" i="6"/>
  <c r="GD24" i="6"/>
  <c r="GD76" i="5" s="1"/>
  <c r="GE15" i="5"/>
  <c r="GE75" i="5" s="1"/>
  <c r="GE44" i="7"/>
  <c r="GE45" i="7" s="1"/>
  <c r="GE54" i="7"/>
  <c r="GE55" i="7" s="1"/>
  <c r="GE29" i="7"/>
  <c r="GE11" i="7"/>
  <c r="GE49" i="7"/>
  <c r="GE50" i="7" s="1"/>
  <c r="GE28" i="7"/>
  <c r="GE36" i="7"/>
  <c r="GE21" i="7"/>
  <c r="GA79" i="5"/>
  <c r="FZ28" i="6"/>
  <c r="FZ88" i="5" s="1"/>
  <c r="FH120" i="5" l="1"/>
  <c r="GJ79" i="3"/>
  <c r="GJ52" i="3"/>
  <c r="GJ86" i="3"/>
  <c r="GI110" i="5"/>
  <c r="GJ84" i="3"/>
  <c r="GI67" i="3"/>
  <c r="GJ77" i="3"/>
  <c r="GJ91" i="3"/>
  <c r="FI17" i="30"/>
  <c r="FI122" i="5"/>
  <c r="FI123" i="5" s="1"/>
  <c r="FI117" i="5"/>
  <c r="FI118" i="5"/>
  <c r="FI84" i="6"/>
  <c r="FI119" i="5"/>
  <c r="FI116" i="5"/>
  <c r="FK114" i="5"/>
  <c r="GI22" i="6"/>
  <c r="GI67" i="5" s="1"/>
  <c r="GJ12" i="5"/>
  <c r="GJ63" i="5" s="1"/>
  <c r="GJ66" i="5" s="1"/>
  <c r="GI14" i="6"/>
  <c r="GJ150" i="5"/>
  <c r="GJ151" i="5" s="1"/>
  <c r="GJ29" i="14"/>
  <c r="FF44" i="5"/>
  <c r="GI114" i="3"/>
  <c r="GI116" i="3"/>
  <c r="GJ112" i="3"/>
  <c r="GJ115" i="3" s="1"/>
  <c r="FH231" i="3"/>
  <c r="FH232" i="3" s="1"/>
  <c r="FH134" i="5"/>
  <c r="FI137" i="5"/>
  <c r="FI73" i="3" s="1"/>
  <c r="FI74" i="3" s="1"/>
  <c r="FH18" i="5"/>
  <c r="FE145" i="3"/>
  <c r="FE144" i="3"/>
  <c r="FJ119" i="5"/>
  <c r="FJ122" i="5"/>
  <c r="FJ123" i="5" s="1"/>
  <c r="FJ116" i="5"/>
  <c r="FJ84" i="6"/>
  <c r="FJ17" i="30"/>
  <c r="FJ118" i="5"/>
  <c r="FJ117" i="5"/>
  <c r="GJ15" i="5"/>
  <c r="GJ75" i="5" s="1"/>
  <c r="GI24" i="6"/>
  <c r="GI76" i="5" s="1"/>
  <c r="GI29" i="6"/>
  <c r="GI95" i="5" s="1"/>
  <c r="GJ35" i="5"/>
  <c r="GJ94" i="5" s="1"/>
  <c r="FE31" i="6"/>
  <c r="GI30" i="6"/>
  <c r="GI98" i="5" s="1"/>
  <c r="GJ43" i="5"/>
  <c r="GJ97" i="5" s="1"/>
  <c r="FH20" i="30"/>
  <c r="FH19" i="30"/>
  <c r="FH24" i="30"/>
  <c r="FH22" i="30" s="1"/>
  <c r="FH18" i="30"/>
  <c r="FH21" i="30"/>
  <c r="GJ47" i="42"/>
  <c r="GJ67" i="42"/>
  <c r="GJ17" i="42"/>
  <c r="FF140" i="3"/>
  <c r="FF147" i="3"/>
  <c r="FF143" i="3"/>
  <c r="FF10" i="6"/>
  <c r="FF71" i="5"/>
  <c r="FF72" i="5"/>
  <c r="FG80" i="6"/>
  <c r="FG81" i="6"/>
  <c r="FG79" i="6"/>
  <c r="FG93" i="6"/>
  <c r="FG117" i="15"/>
  <c r="FG82" i="6"/>
  <c r="GI25" i="6"/>
  <c r="GI79" i="5" s="1"/>
  <c r="GJ24" i="5"/>
  <c r="GJ78" i="5" s="1"/>
  <c r="GJ98" i="3"/>
  <c r="FF84" i="5"/>
  <c r="FF83" i="5"/>
  <c r="GI113" i="3"/>
  <c r="GI115" i="3"/>
  <c r="FH85" i="6"/>
  <c r="FH88" i="6"/>
  <c r="FH86" i="6"/>
  <c r="FH78" i="6"/>
  <c r="FH87" i="6"/>
  <c r="FE46" i="8"/>
  <c r="FE149" i="3"/>
  <c r="FE148" i="3"/>
  <c r="GI28" i="6"/>
  <c r="GI88" i="5" s="1"/>
  <c r="GJ32" i="5"/>
  <c r="GI89" i="5"/>
  <c r="GI49" i="6"/>
  <c r="GI10" i="30"/>
  <c r="GI13" i="30" s="1"/>
  <c r="GJ108" i="5"/>
  <c r="GJ110" i="5" s="1"/>
  <c r="GI112" i="5"/>
  <c r="GI138" i="5"/>
  <c r="GI68" i="3"/>
  <c r="GI70" i="3"/>
  <c r="GI71" i="3"/>
  <c r="GI118" i="3"/>
  <c r="GI121" i="3" s="1"/>
  <c r="GI45" i="3"/>
  <c r="FG15" i="30"/>
  <c r="FG27" i="30"/>
  <c r="FG28" i="30"/>
  <c r="FG39" i="30"/>
  <c r="FG22" i="30"/>
  <c r="FG25" i="30"/>
  <c r="FL40" i="30"/>
  <c r="FG26" i="30"/>
  <c r="GI152" i="5"/>
  <c r="GJ11" i="42"/>
  <c r="GJ93" i="3"/>
  <c r="FF73" i="5"/>
  <c r="FE50" i="5"/>
  <c r="FF48" i="5"/>
  <c r="GI91" i="5"/>
  <c r="GJ39" i="5"/>
  <c r="GF14" i="30"/>
  <c r="GF12" i="30"/>
  <c r="GE28" i="6"/>
  <c r="GE88" i="5" s="1"/>
  <c r="GE30" i="6"/>
  <c r="GE98" i="5" s="1"/>
  <c r="FQ73" i="5"/>
  <c r="FK72" i="5"/>
  <c r="FK71" i="5"/>
  <c r="GE24" i="6"/>
  <c r="GE76" i="5" s="1"/>
  <c r="FK47" i="5"/>
  <c r="FZ13" i="30"/>
  <c r="FZ11" i="30"/>
  <c r="FZ36" i="30"/>
  <c r="FK84" i="5"/>
  <c r="FK83" i="5"/>
  <c r="FU28" i="5"/>
  <c r="FU81" i="5" s="1"/>
  <c r="FT26" i="6"/>
  <c r="FT85" i="5" s="1"/>
  <c r="FV26" i="6"/>
  <c r="FT36" i="5"/>
  <c r="GD57" i="5"/>
  <c r="GD48" i="3"/>
  <c r="GF47" i="3"/>
  <c r="GD47" i="3"/>
  <c r="GF49" i="3"/>
  <c r="GE45" i="3"/>
  <c r="GD49" i="3"/>
  <c r="GD46" i="3"/>
  <c r="GF76" i="5"/>
  <c r="FP26" i="6"/>
  <c r="FP85" i="5" s="1"/>
  <c r="FQ85" i="5"/>
  <c r="GF98" i="5"/>
  <c r="GE89" i="5"/>
  <c r="GE87" i="5"/>
  <c r="GE90" i="5"/>
  <c r="GJ67" i="3"/>
  <c r="GJ69" i="3"/>
  <c r="GE69" i="3"/>
  <c r="GE71" i="3"/>
  <c r="GE67" i="3"/>
  <c r="GF67" i="5"/>
  <c r="GE151" i="5"/>
  <c r="GE152" i="5"/>
  <c r="GE113" i="3"/>
  <c r="GE115" i="3"/>
  <c r="GE22" i="6"/>
  <c r="GE67" i="5" s="1"/>
  <c r="GD11" i="30"/>
  <c r="GD14" i="30"/>
  <c r="GD12" i="30"/>
  <c r="GD13" i="30"/>
  <c r="GD36" i="30"/>
  <c r="FZ230" i="3"/>
  <c r="FZ121" i="3"/>
  <c r="FZ123" i="3"/>
  <c r="FZ124" i="3" s="1"/>
  <c r="FZ119" i="3"/>
  <c r="GF79" i="5"/>
  <c r="GE65" i="5"/>
  <c r="GE66" i="5"/>
  <c r="GD20" i="8"/>
  <c r="GE14" i="6"/>
  <c r="GE20" i="8" s="1"/>
  <c r="GE29" i="6"/>
  <c r="GE95" i="5" s="1"/>
  <c r="FP69" i="5"/>
  <c r="FZ57" i="5"/>
  <c r="FZ46" i="3"/>
  <c r="FZ48" i="3"/>
  <c r="FV23" i="6"/>
  <c r="FT23" i="6"/>
  <c r="FU13" i="5"/>
  <c r="FU69" i="5" s="1"/>
  <c r="GD68" i="6"/>
  <c r="GE49" i="6"/>
  <c r="GD56" i="6"/>
  <c r="GE56" i="6" s="1"/>
  <c r="FP36" i="5"/>
  <c r="FO44" i="5"/>
  <c r="GA70" i="6"/>
  <c r="FZ68" i="6"/>
  <c r="FZ69" i="6" s="1"/>
  <c r="FY69" i="6"/>
  <c r="FY70" i="6"/>
  <c r="GE92" i="5"/>
  <c r="GE91" i="5"/>
  <c r="FY13" i="5"/>
  <c r="FY28" i="5"/>
  <c r="GE25" i="6"/>
  <c r="GE79" i="5" s="1"/>
  <c r="FP81" i="5"/>
  <c r="FP73" i="5"/>
  <c r="FK73" i="5"/>
  <c r="FO73" i="5"/>
  <c r="GF95" i="5"/>
  <c r="FK44" i="5"/>
  <c r="GF88" i="5"/>
  <c r="GD230" i="3"/>
  <c r="GD121" i="3"/>
  <c r="GE118" i="3"/>
  <c r="GF120" i="3"/>
  <c r="GD120" i="3"/>
  <c r="GF122" i="3"/>
  <c r="GD119" i="3"/>
  <c r="GD122" i="3"/>
  <c r="GD123" i="3"/>
  <c r="GE110" i="5"/>
  <c r="GE109" i="5"/>
  <c r="GE111" i="5"/>
  <c r="GE138" i="5"/>
  <c r="GE10" i="30"/>
  <c r="GJ65" i="5" l="1"/>
  <c r="GJ14" i="6"/>
  <c r="GJ20" i="8" s="1"/>
  <c r="GI20" i="8"/>
  <c r="GI46" i="3"/>
  <c r="FI120" i="5"/>
  <c r="FJ120" i="5"/>
  <c r="GJ25" i="6"/>
  <c r="GJ79" i="5" s="1"/>
  <c r="GJ22" i="6"/>
  <c r="GJ67" i="5" s="1"/>
  <c r="GI11" i="30"/>
  <c r="GJ111" i="5"/>
  <c r="GJ113" i="3"/>
  <c r="GI48" i="3"/>
  <c r="GI119" i="3"/>
  <c r="GJ152" i="5"/>
  <c r="FU26" i="6"/>
  <c r="FU85" i="5" s="1"/>
  <c r="GJ28" i="6"/>
  <c r="GJ88" i="5" s="1"/>
  <c r="GJ89" i="5"/>
  <c r="GJ90" i="5"/>
  <c r="GJ87" i="5"/>
  <c r="FH15" i="30"/>
  <c r="FH39" i="30"/>
  <c r="FM40" i="30"/>
  <c r="FH28" i="30"/>
  <c r="FH27" i="30"/>
  <c r="FH25" i="30"/>
  <c r="FH26" i="30"/>
  <c r="FE59" i="6"/>
  <c r="FE32" i="6"/>
  <c r="FE100" i="5"/>
  <c r="FE66" i="6"/>
  <c r="FE91" i="6"/>
  <c r="FF31" i="6"/>
  <c r="FJ85" i="6"/>
  <c r="FJ78" i="6"/>
  <c r="FJ88" i="6"/>
  <c r="FJ87" i="6"/>
  <c r="FJ86" i="6"/>
  <c r="FH233" i="3"/>
  <c r="FK118" i="5"/>
  <c r="FK116" i="5"/>
  <c r="FK84" i="6"/>
  <c r="FK115" i="5"/>
  <c r="FK122" i="5"/>
  <c r="FK123" i="5" s="1"/>
  <c r="FK17" i="30"/>
  <c r="GJ91" i="5"/>
  <c r="GJ92" i="5"/>
  <c r="FH93" i="6"/>
  <c r="FH117" i="15"/>
  <c r="FH79" i="6"/>
  <c r="FH80" i="6"/>
  <c r="FH81" i="6"/>
  <c r="FH82" i="6"/>
  <c r="GJ29" i="6"/>
  <c r="GJ95" i="5" s="1"/>
  <c r="GJ24" i="6"/>
  <c r="GJ76" i="5" s="1"/>
  <c r="GI57" i="5"/>
  <c r="GI47" i="3"/>
  <c r="GJ45" i="3"/>
  <c r="GI49" i="3"/>
  <c r="FG94" i="6"/>
  <c r="FG95" i="6"/>
  <c r="FF46" i="8"/>
  <c r="FF148" i="3"/>
  <c r="FI139" i="5"/>
  <c r="FI141" i="5"/>
  <c r="FI13" i="6"/>
  <c r="FI143" i="5"/>
  <c r="FI147" i="5"/>
  <c r="FF144" i="3"/>
  <c r="FH135" i="5"/>
  <c r="GJ30" i="6"/>
  <c r="GJ98" i="5" s="1"/>
  <c r="FE51" i="5"/>
  <c r="FF50" i="5"/>
  <c r="GJ118" i="3"/>
  <c r="GJ119" i="3" s="1"/>
  <c r="GI120" i="3"/>
  <c r="GI123" i="3"/>
  <c r="GI124" i="3" s="1"/>
  <c r="GI230" i="3"/>
  <c r="GI122" i="3"/>
  <c r="GJ109" i="5"/>
  <c r="GJ10" i="30"/>
  <c r="GJ36" i="30" s="1"/>
  <c r="GJ138" i="5"/>
  <c r="GJ49" i="6"/>
  <c r="GI56" i="6"/>
  <c r="GJ56" i="6" s="1"/>
  <c r="GI68" i="6"/>
  <c r="GI14" i="30"/>
  <c r="GI12" i="30"/>
  <c r="GI36" i="30"/>
  <c r="FJ19" i="30"/>
  <c r="FJ20" i="30"/>
  <c r="FJ21" i="30"/>
  <c r="FJ18" i="30"/>
  <c r="FJ24" i="30"/>
  <c r="FI88" i="6"/>
  <c r="FI85" i="6"/>
  <c r="FI86" i="6"/>
  <c r="FI78" i="6"/>
  <c r="FI87" i="6"/>
  <c r="FI20" i="30"/>
  <c r="FI18" i="30"/>
  <c r="FI24" i="30"/>
  <c r="FI21" i="30"/>
  <c r="FI19" i="30"/>
  <c r="FT73" i="5"/>
  <c r="GE68" i="6"/>
  <c r="GF70" i="6"/>
  <c r="GD69" i="6"/>
  <c r="GD70" i="6"/>
  <c r="FP72" i="5"/>
  <c r="FP71" i="5"/>
  <c r="FV85" i="5"/>
  <c r="FU83" i="5"/>
  <c r="FU84" i="5"/>
  <c r="FU36" i="5"/>
  <c r="FU44" i="5" s="1"/>
  <c r="FT44" i="5"/>
  <c r="GE230" i="3"/>
  <c r="GE119" i="3"/>
  <c r="GE121" i="3"/>
  <c r="GE123" i="3"/>
  <c r="FP84" i="5"/>
  <c r="FP83" i="5"/>
  <c r="FY26" i="6"/>
  <c r="FY85" i="5" s="1"/>
  <c r="FZ28" i="5"/>
  <c r="FZ81" i="5" s="1"/>
  <c r="GA26" i="6"/>
  <c r="FY36" i="5"/>
  <c r="FV73" i="5"/>
  <c r="GA23" i="6"/>
  <c r="FY23" i="6"/>
  <c r="FY73" i="5" s="1"/>
  <c r="FZ13" i="5"/>
  <c r="FZ69" i="5" s="1"/>
  <c r="GE36" i="30"/>
  <c r="GE11" i="30"/>
  <c r="GE13" i="30"/>
  <c r="GE48" i="3"/>
  <c r="GE46" i="3"/>
  <c r="GE57" i="5"/>
  <c r="FU23" i="6"/>
  <c r="FU73" i="5" s="1"/>
  <c r="GD124" i="3"/>
  <c r="FU72" i="5"/>
  <c r="FU71" i="5"/>
  <c r="FL47" i="5"/>
  <c r="FP44" i="5"/>
  <c r="GD28" i="5"/>
  <c r="GD13" i="5"/>
  <c r="FE101" i="5" l="1"/>
  <c r="FE105" i="5"/>
  <c r="GJ57" i="5"/>
  <c r="GJ11" i="30"/>
  <c r="FK120" i="5"/>
  <c r="GJ46" i="3"/>
  <c r="GJ48" i="3"/>
  <c r="GJ13" i="30"/>
  <c r="GJ121" i="3"/>
  <c r="FJ15" i="30"/>
  <c r="FJ22" i="30"/>
  <c r="FJ39" i="30"/>
  <c r="FJ25" i="30"/>
  <c r="FJ27" i="30"/>
  <c r="FJ28" i="30"/>
  <c r="FO40" i="30"/>
  <c r="FJ26" i="30"/>
  <c r="FF51" i="5"/>
  <c r="FI231" i="3"/>
  <c r="FI232" i="3" s="1"/>
  <c r="FI134" i="5"/>
  <c r="FL114" i="5"/>
  <c r="FM115" i="5"/>
  <c r="FQ115" i="5"/>
  <c r="FE61" i="6"/>
  <c r="FH94" i="6"/>
  <c r="FH95" i="6"/>
  <c r="FK87" i="6"/>
  <c r="FK85" i="6"/>
  <c r="FK78" i="6"/>
  <c r="FF59" i="6"/>
  <c r="FF100" i="5"/>
  <c r="FF105" i="5" s="1"/>
  <c r="FF91" i="6"/>
  <c r="FF32" i="6"/>
  <c r="GI70" i="6"/>
  <c r="GJ68" i="6"/>
  <c r="GJ69" i="6" s="1"/>
  <c r="FI18" i="5"/>
  <c r="FJ137" i="5"/>
  <c r="FJ73" i="3" s="1"/>
  <c r="FJ74" i="3" s="1"/>
  <c r="FE96" i="6"/>
  <c r="FE92" i="6"/>
  <c r="FI82" i="6"/>
  <c r="FI117" i="15"/>
  <c r="FI79" i="6"/>
  <c r="FI81" i="6"/>
  <c r="FI93" i="6"/>
  <c r="FI80" i="6"/>
  <c r="GJ230" i="3"/>
  <c r="GJ123" i="3"/>
  <c r="GJ124" i="3" s="1"/>
  <c r="GI28" i="5"/>
  <c r="GI13" i="5"/>
  <c r="FF66" i="6"/>
  <c r="FE71" i="6"/>
  <c r="FE67" i="6"/>
  <c r="FI15" i="30"/>
  <c r="FN40" i="30"/>
  <c r="FI28" i="30"/>
  <c r="FI26" i="30"/>
  <c r="FI25" i="30"/>
  <c r="FI22" i="30"/>
  <c r="FI39" i="30"/>
  <c r="FI27" i="30"/>
  <c r="GI69" i="6"/>
  <c r="FK20" i="30"/>
  <c r="FK24" i="30"/>
  <c r="FK18" i="30"/>
  <c r="FJ82" i="6"/>
  <c r="FJ79" i="6"/>
  <c r="FJ93" i="6"/>
  <c r="FJ81" i="6"/>
  <c r="FJ80" i="6"/>
  <c r="FJ117" i="15"/>
  <c r="GD36" i="5"/>
  <c r="GD26" i="6"/>
  <c r="GD85" i="5" s="1"/>
  <c r="GF26" i="6"/>
  <c r="GE28" i="5"/>
  <c r="GE81" i="5" s="1"/>
  <c r="FZ26" i="6"/>
  <c r="FZ85" i="5" s="1"/>
  <c r="FM47" i="5"/>
  <c r="FZ36" i="5"/>
  <c r="FZ44" i="5" s="1"/>
  <c r="FY44" i="5"/>
  <c r="FZ23" i="6"/>
  <c r="FZ73" i="5" s="1"/>
  <c r="GE124" i="3"/>
  <c r="GE69" i="6"/>
  <c r="GE13" i="5"/>
  <c r="GE69" i="5" s="1"/>
  <c r="GF23" i="6"/>
  <c r="GD23" i="6"/>
  <c r="GD73" i="5" s="1"/>
  <c r="GA85" i="5"/>
  <c r="GA73" i="5"/>
  <c r="FZ71" i="5"/>
  <c r="FZ72" i="5"/>
  <c r="FZ84" i="5"/>
  <c r="FZ83" i="5"/>
  <c r="GE26" i="6" l="1"/>
  <c r="GE85" i="5" s="1"/>
  <c r="FL122" i="5"/>
  <c r="FL123" i="5" s="1"/>
  <c r="FL117" i="5"/>
  <c r="FL118" i="5"/>
  <c r="FL84" i="6"/>
  <c r="FL17" i="30"/>
  <c r="FL119" i="5"/>
  <c r="FL116" i="5"/>
  <c r="GI23" i="6"/>
  <c r="GI73" i="5" s="1"/>
  <c r="GJ13" i="5"/>
  <c r="GJ69" i="5" s="1"/>
  <c r="GJ72" i="5" s="1"/>
  <c r="FF96" i="6"/>
  <c r="FF92" i="6"/>
  <c r="FI135" i="5"/>
  <c r="FF71" i="6"/>
  <c r="FF67" i="6"/>
  <c r="FK137" i="5"/>
  <c r="FK73" i="3" s="1"/>
  <c r="FK74" i="3" s="1"/>
  <c r="FJ141" i="5"/>
  <c r="FJ143" i="5"/>
  <c r="FJ13" i="6"/>
  <c r="GJ28" i="5"/>
  <c r="GJ81" i="5" s="1"/>
  <c r="GJ83" i="5" s="1"/>
  <c r="GI36" i="5"/>
  <c r="GI26" i="6"/>
  <c r="GI85" i="5" s="1"/>
  <c r="FI95" i="6"/>
  <c r="FI94" i="6"/>
  <c r="FE129" i="5"/>
  <c r="FE98" i="6"/>
  <c r="FE97" i="6"/>
  <c r="FE10" i="5"/>
  <c r="FG60" i="6"/>
  <c r="FJ147" i="5"/>
  <c r="FE103" i="5"/>
  <c r="FF101" i="5"/>
  <c r="FF102" i="5" s="1"/>
  <c r="FB103" i="5"/>
  <c r="FD103" i="5"/>
  <c r="FC103" i="5"/>
  <c r="FK15" i="30"/>
  <c r="FK39" i="30"/>
  <c r="FK22" i="30"/>
  <c r="FK25" i="30"/>
  <c r="FP40" i="30"/>
  <c r="FK27" i="30"/>
  <c r="FJ94" i="6"/>
  <c r="FJ95" i="6"/>
  <c r="FE125" i="5"/>
  <c r="FE73" i="6"/>
  <c r="FE74" i="6"/>
  <c r="FE75" i="6" s="1"/>
  <c r="FE72" i="6"/>
  <c r="FF61" i="6"/>
  <c r="FQ114" i="5"/>
  <c r="FV115" i="5"/>
  <c r="FR115" i="5"/>
  <c r="FI233" i="3"/>
  <c r="FJ139" i="5"/>
  <c r="FK93" i="6"/>
  <c r="FK94" i="6" s="1"/>
  <c r="FK117" i="15"/>
  <c r="FK79" i="6"/>
  <c r="FK81" i="6"/>
  <c r="FM114" i="5"/>
  <c r="FN115" i="5"/>
  <c r="GE23" i="6"/>
  <c r="GE73" i="5" s="1"/>
  <c r="GE83" i="5"/>
  <c r="GE84" i="5"/>
  <c r="GE36" i="5"/>
  <c r="GE44" i="5" s="1"/>
  <c r="GD44" i="5"/>
  <c r="GF73" i="5"/>
  <c r="GF85" i="5"/>
  <c r="GE71" i="5"/>
  <c r="GE72" i="5"/>
  <c r="FN47" i="5"/>
  <c r="FL120" i="5" l="1"/>
  <c r="GJ84" i="5"/>
  <c r="GJ71" i="5"/>
  <c r="GJ23" i="6"/>
  <c r="GJ73" i="5" s="1"/>
  <c r="FK139" i="5"/>
  <c r="FK142" i="5" s="1"/>
  <c r="FL137" i="5"/>
  <c r="FL73" i="3" s="1"/>
  <c r="FL74" i="3" s="1"/>
  <c r="FJ18" i="5"/>
  <c r="FE130" i="5"/>
  <c r="FK13" i="6"/>
  <c r="FJ134" i="5"/>
  <c r="FJ231" i="3"/>
  <c r="FJ232" i="3" s="1"/>
  <c r="GJ36" i="5"/>
  <c r="GJ44" i="5" s="1"/>
  <c r="GI44" i="5"/>
  <c r="FQ17" i="30"/>
  <c r="FQ84" i="6"/>
  <c r="FQ122" i="5"/>
  <c r="FQ123" i="5" s="1"/>
  <c r="FQ116" i="5"/>
  <c r="FQ118" i="5"/>
  <c r="FQ87" i="6" s="1"/>
  <c r="FE63" i="6"/>
  <c r="FE16" i="5"/>
  <c r="FE58" i="5"/>
  <c r="FE60" i="5" s="1"/>
  <c r="FF10" i="5"/>
  <c r="FG218" i="3"/>
  <c r="FG216" i="3" s="1"/>
  <c r="FK143" i="5"/>
  <c r="FK141" i="5"/>
  <c r="GJ26" i="6"/>
  <c r="GJ85" i="5" s="1"/>
  <c r="FO115" i="5"/>
  <c r="FO114" i="5" s="1"/>
  <c r="FN114" i="5"/>
  <c r="FS115" i="5"/>
  <c r="FR114" i="5"/>
  <c r="FE126" i="5"/>
  <c r="FL87" i="6"/>
  <c r="FL86" i="6"/>
  <c r="FL85" i="6"/>
  <c r="FL78" i="6"/>
  <c r="FL88" i="6"/>
  <c r="FK147" i="5"/>
  <c r="FF97" i="6"/>
  <c r="FF98" i="6"/>
  <c r="FF129" i="5"/>
  <c r="FL19" i="30"/>
  <c r="FL20" i="30"/>
  <c r="FL21" i="30"/>
  <c r="FL24" i="30"/>
  <c r="FL18" i="30"/>
  <c r="FM17" i="30"/>
  <c r="FM119" i="5"/>
  <c r="FM122" i="5"/>
  <c r="FM123" i="5" s="1"/>
  <c r="FM118" i="5"/>
  <c r="FM116" i="5"/>
  <c r="FM117" i="5"/>
  <c r="FM84" i="6"/>
  <c r="FV114" i="5"/>
  <c r="FW115" i="5"/>
  <c r="GA115" i="5"/>
  <c r="FK60" i="6"/>
  <c r="FF74" i="6"/>
  <c r="FF75" i="6" s="1"/>
  <c r="FF73" i="6"/>
  <c r="FF125" i="5"/>
  <c r="FE127" i="5" s="1"/>
  <c r="FF72" i="6"/>
  <c r="FO47" i="5"/>
  <c r="FM120" i="5" l="1"/>
  <c r="FQ120" i="5"/>
  <c r="FV118" i="5"/>
  <c r="FV87" i="6" s="1"/>
  <c r="FV17" i="30"/>
  <c r="FV116" i="5"/>
  <c r="FV122" i="5"/>
  <c r="FV123" i="5" s="1"/>
  <c r="FV84" i="6"/>
  <c r="FF16" i="5"/>
  <c r="FE25" i="5"/>
  <c r="FJ233" i="3"/>
  <c r="FL15" i="30"/>
  <c r="FL27" i="30"/>
  <c r="FL28" i="30"/>
  <c r="FL26" i="30"/>
  <c r="FQ40" i="30"/>
  <c r="FL39" i="30"/>
  <c r="FL25" i="30"/>
  <c r="FL22" i="30"/>
  <c r="FM78" i="6"/>
  <c r="FM87" i="6"/>
  <c r="FM85" i="6"/>
  <c r="FM86" i="6"/>
  <c r="FM88" i="6"/>
  <c r="FL147" i="5"/>
  <c r="FQ85" i="6"/>
  <c r="FQ78" i="6"/>
  <c r="FJ135" i="5"/>
  <c r="FL139" i="5"/>
  <c r="FL141" i="5"/>
  <c r="FL13" i="6"/>
  <c r="FL143" i="5"/>
  <c r="FN116" i="5"/>
  <c r="FN119" i="5"/>
  <c r="FN118" i="5"/>
  <c r="FN122" i="5"/>
  <c r="FN123" i="5" s="1"/>
  <c r="FN84" i="6"/>
  <c r="FN117" i="5"/>
  <c r="FP114" i="5"/>
  <c r="FN17" i="30"/>
  <c r="FG226" i="3"/>
  <c r="FG227" i="3" s="1"/>
  <c r="FG217" i="3"/>
  <c r="FG126" i="3"/>
  <c r="FG132" i="3" s="1"/>
  <c r="FQ24" i="30"/>
  <c r="FQ18" i="30"/>
  <c r="FQ20" i="30"/>
  <c r="FK134" i="5"/>
  <c r="FK231" i="3"/>
  <c r="FK232" i="3" s="1"/>
  <c r="FW114" i="5"/>
  <c r="FX115" i="5"/>
  <c r="FF126" i="5"/>
  <c r="FB127" i="5"/>
  <c r="FC127" i="5"/>
  <c r="FD127" i="5"/>
  <c r="FM18" i="30"/>
  <c r="FM21" i="30"/>
  <c r="FM19" i="30"/>
  <c r="FM20" i="30"/>
  <c r="FM24" i="30"/>
  <c r="FC131" i="5"/>
  <c r="FF130" i="5"/>
  <c r="FD131" i="5"/>
  <c r="FB131" i="5"/>
  <c r="FL79" i="6"/>
  <c r="FL81" i="6"/>
  <c r="FL117" i="15"/>
  <c r="FL82" i="6"/>
  <c r="FL80" i="6"/>
  <c r="FL93" i="6"/>
  <c r="FR84" i="6"/>
  <c r="FR122" i="5"/>
  <c r="FR123" i="5" s="1"/>
  <c r="FR118" i="5"/>
  <c r="FR87" i="6" s="1"/>
  <c r="FR116" i="5"/>
  <c r="FR119" i="5"/>
  <c r="FR88" i="6" s="1"/>
  <c r="FR117" i="5"/>
  <c r="FR86" i="6" s="1"/>
  <c r="FR17" i="30"/>
  <c r="FQ119" i="5"/>
  <c r="FQ88" i="6" s="1"/>
  <c r="FO118" i="5"/>
  <c r="FO119" i="5"/>
  <c r="FO117" i="5"/>
  <c r="FO116" i="5"/>
  <c r="FO122" i="5"/>
  <c r="FO123" i="5" s="1"/>
  <c r="FO17" i="30"/>
  <c r="FO84" i="6"/>
  <c r="FF63" i="6"/>
  <c r="FF58" i="5"/>
  <c r="FF60" i="5" s="1"/>
  <c r="FF218" i="3"/>
  <c r="FF219" i="3" s="1"/>
  <c r="FE131" i="5"/>
  <c r="GB115" i="5"/>
  <c r="GA114" i="5"/>
  <c r="GF115" i="5"/>
  <c r="FS114" i="5"/>
  <c r="FT115" i="5"/>
  <c r="FT114" i="5" s="1"/>
  <c r="FK18" i="5"/>
  <c r="FQ117" i="5"/>
  <c r="FQ86" i="6" s="1"/>
  <c r="FP47" i="5"/>
  <c r="FG134" i="3" l="1"/>
  <c r="FO120" i="5"/>
  <c r="FR120" i="5"/>
  <c r="FN120" i="5"/>
  <c r="FV120" i="5"/>
  <c r="FQ21" i="30"/>
  <c r="FO20" i="30"/>
  <c r="FO24" i="30"/>
  <c r="FQ26" i="30" s="1"/>
  <c r="FO18" i="30"/>
  <c r="FO21" i="30"/>
  <c r="FQ19" i="30"/>
  <c r="FO19" i="30"/>
  <c r="FS84" i="6"/>
  <c r="FS122" i="5"/>
  <c r="FS123" i="5" s="1"/>
  <c r="FS118" i="5"/>
  <c r="FS87" i="6" s="1"/>
  <c r="FS119" i="5"/>
  <c r="FS88" i="6" s="1"/>
  <c r="FS17" i="30"/>
  <c r="FS116" i="5"/>
  <c r="FS117" i="5"/>
  <c r="FS86" i="6" s="1"/>
  <c r="FU114" i="5"/>
  <c r="FR19" i="30"/>
  <c r="FR24" i="30"/>
  <c r="FR22" i="30" s="1"/>
  <c r="FR21" i="30"/>
  <c r="FR20" i="30"/>
  <c r="FR18" i="30"/>
  <c r="FK233" i="3"/>
  <c r="FQ81" i="6"/>
  <c r="FQ93" i="6"/>
  <c r="FQ94" i="6" s="1"/>
  <c r="FQ117" i="15"/>
  <c r="FQ79" i="6"/>
  <c r="FF25" i="5"/>
  <c r="FE53" i="5"/>
  <c r="GF114" i="5"/>
  <c r="GG115" i="5"/>
  <c r="FM15" i="30"/>
  <c r="FM27" i="30"/>
  <c r="FM26" i="30"/>
  <c r="FM22" i="30"/>
  <c r="FM39" i="30"/>
  <c r="FM25" i="30"/>
  <c r="FM28" i="30"/>
  <c r="FR40" i="30"/>
  <c r="FY115" i="5"/>
  <c r="FY114" i="5" s="1"/>
  <c r="FX114" i="5"/>
  <c r="FK135" i="5"/>
  <c r="FN85" i="6"/>
  <c r="FN78" i="6"/>
  <c r="FN87" i="6"/>
  <c r="FN86" i="6"/>
  <c r="FN88" i="6"/>
  <c r="FV18" i="30"/>
  <c r="FV20" i="30"/>
  <c r="FV24" i="30"/>
  <c r="FV117" i="5"/>
  <c r="FV86" i="6" s="1"/>
  <c r="FT119" i="5"/>
  <c r="FT88" i="6" s="1"/>
  <c r="FT84" i="6"/>
  <c r="FT116" i="5"/>
  <c r="FT117" i="5"/>
  <c r="FT86" i="6" s="1"/>
  <c r="FT17" i="30"/>
  <c r="FT122" i="5"/>
  <c r="FT123" i="5" s="1"/>
  <c r="FT118" i="5"/>
  <c r="FT87" i="6" s="1"/>
  <c r="FV119" i="5"/>
  <c r="FV88" i="6" s="1"/>
  <c r="GA84" i="6"/>
  <c r="GA17" i="30"/>
  <c r="GA116" i="5"/>
  <c r="GA118" i="5"/>
  <c r="GA87" i="6" s="1"/>
  <c r="GA122" i="5"/>
  <c r="GA123" i="5" s="1"/>
  <c r="FO86" i="6"/>
  <c r="FO85" i="6"/>
  <c r="FO88" i="6"/>
  <c r="FO78" i="6"/>
  <c r="FQ80" i="6" s="1"/>
  <c r="FO87" i="6"/>
  <c r="FR78" i="6"/>
  <c r="FR85" i="6"/>
  <c r="FW84" i="6"/>
  <c r="FW122" i="5"/>
  <c r="FW123" i="5" s="1"/>
  <c r="FW17" i="30"/>
  <c r="FW117" i="5"/>
  <c r="FW86" i="6" s="1"/>
  <c r="FW116" i="5"/>
  <c r="FW118" i="5"/>
  <c r="FW87" i="6" s="1"/>
  <c r="FW119" i="5"/>
  <c r="FW88" i="6" s="1"/>
  <c r="FL18" i="5"/>
  <c r="FM137" i="5"/>
  <c r="FM73" i="3" s="1"/>
  <c r="FM74" i="3" s="1"/>
  <c r="FM93" i="6"/>
  <c r="FM79" i="6"/>
  <c r="FM117" i="15"/>
  <c r="FM80" i="6"/>
  <c r="FM81" i="6"/>
  <c r="FM82" i="6"/>
  <c r="FQ15" i="30"/>
  <c r="FQ27" i="30"/>
  <c r="FQ25" i="30"/>
  <c r="FQ22" i="30"/>
  <c r="FQ39" i="30"/>
  <c r="FV40" i="30"/>
  <c r="FN24" i="30"/>
  <c r="FN20" i="30"/>
  <c r="FN19" i="30"/>
  <c r="FN21" i="30"/>
  <c r="FN18" i="30"/>
  <c r="FP115" i="5"/>
  <c r="FP118" i="5"/>
  <c r="FP84" i="6"/>
  <c r="FP122" i="5"/>
  <c r="FP123" i="5" s="1"/>
  <c r="FP116" i="5"/>
  <c r="FP17" i="30"/>
  <c r="FL134" i="5"/>
  <c r="FL231" i="3"/>
  <c r="FL232" i="3" s="1"/>
  <c r="GB114" i="5"/>
  <c r="GC115" i="5"/>
  <c r="FL94" i="6"/>
  <c r="FL95" i="6"/>
  <c r="FV78" i="6"/>
  <c r="FV85" i="6"/>
  <c r="FQ47" i="5"/>
  <c r="FG136" i="3" l="1"/>
  <c r="FP120" i="5"/>
  <c r="FW120" i="5"/>
  <c r="GA120" i="5"/>
  <c r="FS120" i="5"/>
  <c r="FT120" i="5"/>
  <c r="FV93" i="6"/>
  <c r="FV117" i="15"/>
  <c r="FV81" i="6"/>
  <c r="FV79" i="6"/>
  <c r="GA18" i="30"/>
  <c r="GA20" i="30"/>
  <c r="GA24" i="30"/>
  <c r="GA22" i="30" s="1"/>
  <c r="FL135" i="5"/>
  <c r="FM139" i="5"/>
  <c r="FM143" i="5"/>
  <c r="FM13" i="6"/>
  <c r="FM141" i="5"/>
  <c r="FW20" i="30"/>
  <c r="FW24" i="30"/>
  <c r="FW21" i="30"/>
  <c r="FW19" i="30"/>
  <c r="FW18" i="30"/>
  <c r="GA117" i="5"/>
  <c r="GA86" i="6" s="1"/>
  <c r="FY116" i="5"/>
  <c r="FY118" i="5"/>
  <c r="FY87" i="6" s="1"/>
  <c r="FY84" i="6"/>
  <c r="FY17" i="30"/>
  <c r="GA21" i="30" s="1"/>
  <c r="FY119" i="5"/>
  <c r="FY88" i="6" s="1"/>
  <c r="FY117" i="5"/>
  <c r="FY86" i="6" s="1"/>
  <c r="FY122" i="5"/>
  <c r="FY123" i="5" s="1"/>
  <c r="FO22" i="30"/>
  <c r="FO15" i="30"/>
  <c r="FO26" i="30"/>
  <c r="FO28" i="30"/>
  <c r="FQ28" i="30"/>
  <c r="FO25" i="30"/>
  <c r="FT40" i="30"/>
  <c r="FO39" i="30"/>
  <c r="FO27" i="30"/>
  <c r="FW78" i="6"/>
  <c r="FW85" i="6"/>
  <c r="FT18" i="30"/>
  <c r="FV21" i="30"/>
  <c r="FT20" i="30"/>
  <c r="FT19" i="30"/>
  <c r="FV19" i="30"/>
  <c r="FT24" i="30"/>
  <c r="FT21" i="30"/>
  <c r="GH115" i="5"/>
  <c r="GG114" i="5"/>
  <c r="FF53" i="5"/>
  <c r="GA119" i="5"/>
  <c r="GA88" i="6" s="1"/>
  <c r="FW22" i="30"/>
  <c r="FN15" i="30"/>
  <c r="FN25" i="30"/>
  <c r="FS40" i="30"/>
  <c r="FN28" i="30"/>
  <c r="FN26" i="30"/>
  <c r="FN39" i="30"/>
  <c r="FN27" i="30"/>
  <c r="FQ82" i="6"/>
  <c r="FO80" i="6"/>
  <c r="FO117" i="15"/>
  <c r="FO81" i="6"/>
  <c r="FO93" i="6"/>
  <c r="FQ95" i="6" s="1"/>
  <c r="FO82" i="6"/>
  <c r="FO79" i="6"/>
  <c r="FT78" i="6"/>
  <c r="FT85" i="6"/>
  <c r="FS21" i="30"/>
  <c r="FS24" i="30"/>
  <c r="FS19" i="30"/>
  <c r="FS18" i="30"/>
  <c r="FS20" i="30"/>
  <c r="FP24" i="30"/>
  <c r="FP18" i="30"/>
  <c r="FP20" i="30"/>
  <c r="GC114" i="5"/>
  <c r="GD115" i="5"/>
  <c r="GD114" i="5" s="1"/>
  <c r="GA85" i="6"/>
  <c r="GA78" i="6"/>
  <c r="GF17" i="30"/>
  <c r="GF118" i="5"/>
  <c r="GF87" i="6" s="1"/>
  <c r="GF84" i="6"/>
  <c r="GF116" i="5"/>
  <c r="GF122" i="5"/>
  <c r="GF123" i="5" s="1"/>
  <c r="FU115" i="5"/>
  <c r="FU118" i="5"/>
  <c r="FU87" i="6" s="1"/>
  <c r="FU116" i="5"/>
  <c r="FU84" i="6"/>
  <c r="FU17" i="30"/>
  <c r="FU122" i="5"/>
  <c r="FU123" i="5" s="1"/>
  <c r="FR15" i="30"/>
  <c r="FR25" i="30"/>
  <c r="FR27" i="30"/>
  <c r="FR39" i="30"/>
  <c r="FR28" i="30"/>
  <c r="FW40" i="30"/>
  <c r="FR26" i="30"/>
  <c r="FS78" i="6"/>
  <c r="FS85" i="6"/>
  <c r="FM147" i="5"/>
  <c r="GB116" i="5"/>
  <c r="GB17" i="30"/>
  <c r="GB119" i="5"/>
  <c r="GB88" i="6" s="1"/>
  <c r="GB118" i="5"/>
  <c r="GB87" i="6" s="1"/>
  <c r="GB84" i="6"/>
  <c r="GB117" i="5"/>
  <c r="GB86" i="6" s="1"/>
  <c r="GB122" i="5"/>
  <c r="GB123" i="5" s="1"/>
  <c r="FL233" i="3"/>
  <c r="FP85" i="6"/>
  <c r="FP78" i="6"/>
  <c r="FP87" i="6"/>
  <c r="FM95" i="6"/>
  <c r="FM94" i="6"/>
  <c r="FR82" i="6"/>
  <c r="FR81" i="6"/>
  <c r="FR93" i="6"/>
  <c r="FR117" i="15"/>
  <c r="FR79" i="6"/>
  <c r="FR80" i="6"/>
  <c r="FV15" i="30"/>
  <c r="FV25" i="30"/>
  <c r="FV27" i="30"/>
  <c r="FV22" i="30"/>
  <c r="FV39" i="30"/>
  <c r="GA40" i="30"/>
  <c r="FN93" i="6"/>
  <c r="FN79" i="6"/>
  <c r="FN82" i="6"/>
  <c r="FN80" i="6"/>
  <c r="FN117" i="15"/>
  <c r="FN81" i="6"/>
  <c r="FX117" i="5"/>
  <c r="FX86" i="6" s="1"/>
  <c r="FX116" i="5"/>
  <c r="FZ114" i="5"/>
  <c r="FX17" i="30"/>
  <c r="FX84" i="6"/>
  <c r="FX118" i="5"/>
  <c r="FX87" i="6" s="1"/>
  <c r="FX119" i="5"/>
  <c r="FX88" i="6" s="1"/>
  <c r="FX122" i="5"/>
  <c r="FX123" i="5" s="1"/>
  <c r="FN22" i="30"/>
  <c r="FR47" i="5"/>
  <c r="FG139" i="3" l="1"/>
  <c r="GB120" i="5"/>
  <c r="FY120" i="5"/>
  <c r="FU120" i="5"/>
  <c r="GF120" i="5"/>
  <c r="FX120" i="5"/>
  <c r="FZ116" i="5"/>
  <c r="FZ118" i="5"/>
  <c r="FZ87" i="6" s="1"/>
  <c r="FZ122" i="5"/>
  <c r="FZ123" i="5" s="1"/>
  <c r="FZ115" i="5"/>
  <c r="FZ84" i="6"/>
  <c r="FZ17" i="30"/>
  <c r="GB21" i="30"/>
  <c r="GB24" i="30"/>
  <c r="GB22" i="30" s="1"/>
  <c r="GB20" i="30"/>
  <c r="GB18" i="30"/>
  <c r="GB19" i="30"/>
  <c r="FU85" i="6"/>
  <c r="FU78" i="6"/>
  <c r="GF119" i="5"/>
  <c r="GF88" i="6" s="1"/>
  <c r="GD119" i="5"/>
  <c r="GD88" i="6" s="1"/>
  <c r="GF117" i="5"/>
  <c r="GF86" i="6" s="1"/>
  <c r="GD118" i="5"/>
  <c r="GD87" i="6" s="1"/>
  <c r="GD116" i="5"/>
  <c r="GD117" i="5"/>
  <c r="GD86" i="6" s="1"/>
  <c r="GD17" i="30"/>
  <c r="GD122" i="5"/>
  <c r="GD123" i="5" s="1"/>
  <c r="GD84" i="6"/>
  <c r="FS15" i="30"/>
  <c r="FS27" i="30"/>
  <c r="FX40" i="30"/>
  <c r="FS28" i="30"/>
  <c r="FS25" i="30"/>
  <c r="FS26" i="30"/>
  <c r="FS39" i="30"/>
  <c r="FT15" i="30"/>
  <c r="FT25" i="30"/>
  <c r="FT39" i="30"/>
  <c r="FV26" i="30"/>
  <c r="FY40" i="30"/>
  <c r="FT26" i="30"/>
  <c r="FT27" i="30"/>
  <c r="FV28" i="30"/>
  <c r="FT22" i="30"/>
  <c r="FT28" i="30"/>
  <c r="FR95" i="6"/>
  <c r="FR94" i="6"/>
  <c r="FP79" i="6"/>
  <c r="FP81" i="6"/>
  <c r="FP117" i="15"/>
  <c r="FP93" i="6"/>
  <c r="FP94" i="6" s="1"/>
  <c r="GC122" i="5"/>
  <c r="GC123" i="5" s="1"/>
  <c r="GC17" i="30"/>
  <c r="GC119" i="5"/>
  <c r="GC88" i="6" s="1"/>
  <c r="GC116" i="5"/>
  <c r="GC117" i="5"/>
  <c r="GC86" i="6" s="1"/>
  <c r="GC84" i="6"/>
  <c r="GE114" i="5"/>
  <c r="GC118" i="5"/>
  <c r="GC87" i="6" s="1"/>
  <c r="FM134" i="5"/>
  <c r="FM231" i="3"/>
  <c r="FM232" i="3" s="1"/>
  <c r="FS22" i="30"/>
  <c r="FW15" i="30"/>
  <c r="FW39" i="30"/>
  <c r="FW26" i="30"/>
  <c r="FW28" i="30"/>
  <c r="FW27" i="30"/>
  <c r="GB40" i="30"/>
  <c r="FW25" i="30"/>
  <c r="GA15" i="30"/>
  <c r="GA25" i="30"/>
  <c r="GA39" i="30"/>
  <c r="GF40" i="30"/>
  <c r="GA27" i="30"/>
  <c r="FN137" i="5"/>
  <c r="FN73" i="3" s="1"/>
  <c r="FN74" i="3" s="1"/>
  <c r="FM18" i="5"/>
  <c r="GF78" i="6"/>
  <c r="GF85" i="6"/>
  <c r="FO95" i="6"/>
  <c r="FO94" i="6"/>
  <c r="FN94" i="6"/>
  <c r="FN95" i="6"/>
  <c r="FS117" i="15"/>
  <c r="FS80" i="6"/>
  <c r="FS81" i="6"/>
  <c r="FS82" i="6"/>
  <c r="FS93" i="6"/>
  <c r="FS79" i="6"/>
  <c r="GF20" i="30"/>
  <c r="GF18" i="30"/>
  <c r="GF24" i="30"/>
  <c r="GF22" i="30" s="1"/>
  <c r="FV82" i="6"/>
  <c r="FT81" i="6"/>
  <c r="FT79" i="6"/>
  <c r="FT93" i="6"/>
  <c r="FV95" i="6" s="1"/>
  <c r="FT80" i="6"/>
  <c r="FT117" i="15"/>
  <c r="FT82" i="6"/>
  <c r="GG17" i="30"/>
  <c r="GG118" i="5"/>
  <c r="GG87" i="6" s="1"/>
  <c r="GG84" i="6"/>
  <c r="GG122" i="5"/>
  <c r="GG123" i="5" s="1"/>
  <c r="GG119" i="5"/>
  <c r="GG88" i="6" s="1"/>
  <c r="GG116" i="5"/>
  <c r="GG117" i="5"/>
  <c r="GG86" i="6" s="1"/>
  <c r="FX78" i="6"/>
  <c r="FX85" i="6"/>
  <c r="FV80" i="6"/>
  <c r="GA79" i="6"/>
  <c r="GA93" i="6"/>
  <c r="GA94" i="6" s="1"/>
  <c r="GA81" i="6"/>
  <c r="GA117" i="15"/>
  <c r="GI115" i="5"/>
  <c r="GI114" i="5" s="1"/>
  <c r="GH114" i="5"/>
  <c r="FY19" i="30"/>
  <c r="GA19" i="30"/>
  <c r="FY18" i="30"/>
  <c r="FY21" i="30"/>
  <c r="FY24" i="30"/>
  <c r="GA28" i="30" s="1"/>
  <c r="FY20" i="30"/>
  <c r="FV94" i="6"/>
  <c r="GB78" i="6"/>
  <c r="GB85" i="6"/>
  <c r="FW82" i="6"/>
  <c r="FW93" i="6"/>
  <c r="FW117" i="15"/>
  <c r="FW80" i="6"/>
  <c r="FW81" i="6"/>
  <c r="FW79" i="6"/>
  <c r="FX24" i="30"/>
  <c r="FX19" i="30"/>
  <c r="FX18" i="30"/>
  <c r="FX20" i="30"/>
  <c r="FX21" i="30"/>
  <c r="FU24" i="30"/>
  <c r="FU18" i="30"/>
  <c r="FU20" i="30"/>
  <c r="FP15" i="30"/>
  <c r="FU40" i="30"/>
  <c r="FP25" i="30"/>
  <c r="FP27" i="30"/>
  <c r="FP39" i="30"/>
  <c r="FP22" i="30"/>
  <c r="FY78" i="6"/>
  <c r="FY85" i="6"/>
  <c r="FS47" i="5"/>
  <c r="FG140" i="3" l="1"/>
  <c r="FG212" i="3"/>
  <c r="FG10" i="6"/>
  <c r="FG143" i="3"/>
  <c r="FG147" i="3"/>
  <c r="FG48" i="5"/>
  <c r="GC120" i="5"/>
  <c r="GD120" i="5"/>
  <c r="GG120" i="5"/>
  <c r="FZ120" i="5"/>
  <c r="GG24" i="30"/>
  <c r="GG20" i="30"/>
  <c r="GG18" i="30"/>
  <c r="GG19" i="30"/>
  <c r="GG21" i="30"/>
  <c r="GE116" i="5"/>
  <c r="GE122" i="5"/>
  <c r="GE123" i="5" s="1"/>
  <c r="GE84" i="6"/>
  <c r="GE17" i="30"/>
  <c r="GE115" i="5"/>
  <c r="GE118" i="5"/>
  <c r="GE87" i="6" s="1"/>
  <c r="FU117" i="15"/>
  <c r="FU79" i="6"/>
  <c r="FU81" i="6"/>
  <c r="FU93" i="6"/>
  <c r="FU94" i="6" s="1"/>
  <c r="FM233" i="3"/>
  <c r="GB15" i="30"/>
  <c r="GB26" i="30"/>
  <c r="GB39" i="30"/>
  <c r="GB28" i="30"/>
  <c r="GB25" i="30"/>
  <c r="GG40" i="30"/>
  <c r="GB27" i="30"/>
  <c r="FY22" i="30"/>
  <c r="FY28" i="30"/>
  <c r="FY15" i="30"/>
  <c r="FY25" i="30"/>
  <c r="GA26" i="30"/>
  <c r="GD40" i="30"/>
  <c r="FY26" i="30"/>
  <c r="FY39" i="30"/>
  <c r="FY27" i="30"/>
  <c r="FS94" i="6"/>
  <c r="FS95" i="6"/>
  <c r="GF117" i="15"/>
  <c r="GF81" i="6"/>
  <c r="GF79" i="6"/>
  <c r="GF93" i="6"/>
  <c r="GF94" i="6" s="1"/>
  <c r="FU15" i="30"/>
  <c r="FZ40" i="30"/>
  <c r="FU27" i="30"/>
  <c r="FU22" i="30"/>
  <c r="FU25" i="30"/>
  <c r="FU39" i="30"/>
  <c r="FX15" i="30"/>
  <c r="FX25" i="30"/>
  <c r="FX22" i="30"/>
  <c r="FX26" i="30"/>
  <c r="GC40" i="30"/>
  <c r="FX28" i="30"/>
  <c r="FX39" i="30"/>
  <c r="FX27" i="30"/>
  <c r="FW94" i="6"/>
  <c r="FW95" i="6"/>
  <c r="GH17" i="30"/>
  <c r="GH119" i="5"/>
  <c r="GH88" i="6" s="1"/>
  <c r="GH116" i="5"/>
  <c r="GH117" i="5"/>
  <c r="GH86" i="6" s="1"/>
  <c r="GH84" i="6"/>
  <c r="GH122" i="5"/>
  <c r="GH123" i="5" s="1"/>
  <c r="GH118" i="5"/>
  <c r="GH87" i="6" s="1"/>
  <c r="GJ114" i="5"/>
  <c r="GC78" i="6"/>
  <c r="GC85" i="6"/>
  <c r="GD78" i="6"/>
  <c r="GF80" i="6" s="1"/>
  <c r="GD85" i="6"/>
  <c r="GB79" i="6"/>
  <c r="GB93" i="6"/>
  <c r="GB80" i="6"/>
  <c r="GB117" i="15"/>
  <c r="GB81" i="6"/>
  <c r="GB82" i="6"/>
  <c r="FN141" i="5"/>
  <c r="FN143" i="5"/>
  <c r="FN13" i="6"/>
  <c r="GA82" i="6"/>
  <c r="FY79" i="6"/>
  <c r="GA80" i="6"/>
  <c r="FY117" i="15"/>
  <c r="FY80" i="6"/>
  <c r="FY82" i="6"/>
  <c r="FY93" i="6"/>
  <c r="FY81" i="6"/>
  <c r="GF15" i="30"/>
  <c r="GF25" i="30"/>
  <c r="GF39" i="30"/>
  <c r="GF27" i="30"/>
  <c r="GC24" i="30"/>
  <c r="GC20" i="30"/>
  <c r="GC18" i="30"/>
  <c r="GC21" i="30"/>
  <c r="GC19" i="30"/>
  <c r="GI17" i="30"/>
  <c r="GI116" i="5"/>
  <c r="GI122" i="5"/>
  <c r="GI123" i="5" s="1"/>
  <c r="GI118" i="5"/>
  <c r="GI87" i="6" s="1"/>
  <c r="GI119" i="5"/>
  <c r="GI88" i="6" s="1"/>
  <c r="GI84" i="6"/>
  <c r="GI117" i="5"/>
  <c r="GI86" i="6" s="1"/>
  <c r="FX79" i="6"/>
  <c r="FX80" i="6"/>
  <c r="FX82" i="6"/>
  <c r="FX117" i="15"/>
  <c r="FX93" i="6"/>
  <c r="FX81" i="6"/>
  <c r="GG78" i="6"/>
  <c r="GG85" i="6"/>
  <c r="FN139" i="5"/>
  <c r="FZ18" i="30"/>
  <c r="FZ20" i="30"/>
  <c r="FZ24" i="30"/>
  <c r="FT94" i="6"/>
  <c r="FT95" i="6"/>
  <c r="FM135" i="5"/>
  <c r="FN147" i="5"/>
  <c r="GD20" i="30"/>
  <c r="GD19" i="30"/>
  <c r="GD21" i="30"/>
  <c r="GF19" i="30"/>
  <c r="GF21" i="30"/>
  <c r="GD24" i="30"/>
  <c r="GF28" i="30" s="1"/>
  <c r="GD18" i="30"/>
  <c r="FZ78" i="6"/>
  <c r="FZ85" i="6"/>
  <c r="FT47" i="5"/>
  <c r="FG31" i="6" l="1"/>
  <c r="FG50" i="5"/>
  <c r="FG148" i="3"/>
  <c r="FG46" i="8"/>
  <c r="FG149" i="3"/>
  <c r="FG144" i="3"/>
  <c r="FG145" i="3"/>
  <c r="GH120" i="5"/>
  <c r="GE120" i="5"/>
  <c r="GI120" i="5"/>
  <c r="FO137" i="5"/>
  <c r="FN18" i="5"/>
  <c r="FN231" i="3"/>
  <c r="FN232" i="3" s="1"/>
  <c r="FN134" i="5"/>
  <c r="FX95" i="6"/>
  <c r="FX94" i="6"/>
  <c r="GI78" i="6"/>
  <c r="GI85" i="6"/>
  <c r="GH78" i="6"/>
  <c r="GH85" i="6"/>
  <c r="FY94" i="6"/>
  <c r="GA95" i="6"/>
  <c r="FY95" i="6"/>
  <c r="GB95" i="6"/>
  <c r="GB94" i="6"/>
  <c r="FZ15" i="30"/>
  <c r="FZ39" i="30"/>
  <c r="GE40" i="30"/>
  <c r="FZ27" i="30"/>
  <c r="FZ25" i="30"/>
  <c r="GG117" i="15"/>
  <c r="GG81" i="6"/>
  <c r="GG93" i="6"/>
  <c r="GG80" i="6"/>
  <c r="GG82" i="6"/>
  <c r="GG79" i="6"/>
  <c r="GG22" i="30"/>
  <c r="GG25" i="30"/>
  <c r="GG26" i="30"/>
  <c r="GG39" i="30"/>
  <c r="GG28" i="30"/>
  <c r="GG15" i="30"/>
  <c r="GG27" i="30"/>
  <c r="GD15" i="30"/>
  <c r="GD39" i="30"/>
  <c r="GD26" i="30"/>
  <c r="GD27" i="30"/>
  <c r="GI40" i="30"/>
  <c r="GD28" i="30"/>
  <c r="GD25" i="30"/>
  <c r="GF26" i="30"/>
  <c r="GD22" i="30"/>
  <c r="GC15" i="30"/>
  <c r="GC39" i="30"/>
  <c r="GH40" i="30"/>
  <c r="GC28" i="30"/>
  <c r="GC22" i="30"/>
  <c r="GC26" i="30"/>
  <c r="GC27" i="30"/>
  <c r="GC25" i="30"/>
  <c r="GH24" i="30"/>
  <c r="GH22" i="30" s="1"/>
  <c r="GH21" i="30"/>
  <c r="GH19" i="30"/>
  <c r="GH18" i="30"/>
  <c r="GH20" i="30"/>
  <c r="GE85" i="6"/>
  <c r="GE78" i="6"/>
  <c r="GI18" i="30"/>
  <c r="GI21" i="30"/>
  <c r="GI20" i="30"/>
  <c r="GI24" i="30"/>
  <c r="GI19" i="30"/>
  <c r="GD81" i="6"/>
  <c r="GD80" i="6"/>
  <c r="GD93" i="6"/>
  <c r="GD82" i="6"/>
  <c r="GD117" i="15"/>
  <c r="GD79" i="6"/>
  <c r="GF82" i="6"/>
  <c r="FZ79" i="6"/>
  <c r="FZ93" i="6"/>
  <c r="FZ94" i="6" s="1"/>
  <c r="FZ117" i="15"/>
  <c r="FZ81" i="6"/>
  <c r="FZ22" i="30"/>
  <c r="GC93" i="6"/>
  <c r="GC81" i="6"/>
  <c r="GC82" i="6"/>
  <c r="GC79" i="6"/>
  <c r="GC80" i="6"/>
  <c r="GC117" i="15"/>
  <c r="GJ17" i="30"/>
  <c r="GJ115" i="5"/>
  <c r="GJ118" i="5"/>
  <c r="GJ87" i="6" s="1"/>
  <c r="GJ116" i="5"/>
  <c r="GJ84" i="6"/>
  <c r="GJ122" i="5"/>
  <c r="GJ123" i="5" s="1"/>
  <c r="GE18" i="30"/>
  <c r="GE20" i="30"/>
  <c r="GE24" i="30"/>
  <c r="FU47" i="5"/>
  <c r="FV47" i="5" s="1"/>
  <c r="FG51" i="5" l="1"/>
  <c r="FG32" i="6"/>
  <c r="FG91" i="6"/>
  <c r="FG66" i="6"/>
  <c r="FG59" i="6"/>
  <c r="FG100" i="5"/>
  <c r="FO139" i="5"/>
  <c r="FO18" i="5" s="1"/>
  <c r="FO73" i="3"/>
  <c r="FO74" i="3" s="1"/>
  <c r="GJ120" i="5"/>
  <c r="GC95" i="6"/>
  <c r="GC94" i="6"/>
  <c r="GG95" i="6"/>
  <c r="GG94" i="6"/>
  <c r="GH117" i="15"/>
  <c r="GH82" i="6"/>
  <c r="GH93" i="6"/>
  <c r="GH79" i="6"/>
  <c r="GH81" i="6"/>
  <c r="GH80" i="6"/>
  <c r="GI117" i="15"/>
  <c r="GI80" i="6"/>
  <c r="GI82" i="6"/>
  <c r="GI93" i="6"/>
  <c r="GI81" i="6"/>
  <c r="GI79" i="6"/>
  <c r="FO141" i="5"/>
  <c r="FO143" i="5"/>
  <c r="FO13" i="6"/>
  <c r="FP137" i="5"/>
  <c r="FP73" i="3" s="1"/>
  <c r="FP74" i="3" s="1"/>
  <c r="GJ18" i="30"/>
  <c r="GJ24" i="30"/>
  <c r="GJ22" i="30" s="1"/>
  <c r="GJ20" i="30"/>
  <c r="GE81" i="6"/>
  <c r="GE79" i="6"/>
  <c r="GE93" i="6"/>
  <c r="GE94" i="6" s="1"/>
  <c r="GE117" i="15"/>
  <c r="GI22" i="30"/>
  <c r="GI15" i="30"/>
  <c r="GI25" i="30"/>
  <c r="GI26" i="30"/>
  <c r="GI39" i="30"/>
  <c r="GI27" i="30"/>
  <c r="GI28" i="30"/>
  <c r="FN135" i="5"/>
  <c r="FN233" i="3"/>
  <c r="GE15" i="30"/>
  <c r="GE25" i="30"/>
  <c r="GE22" i="30"/>
  <c r="GE27" i="30"/>
  <c r="GE39" i="30"/>
  <c r="GJ40" i="30"/>
  <c r="GJ85" i="6"/>
  <c r="GJ78" i="6"/>
  <c r="GF95" i="6"/>
  <c r="GD95" i="6"/>
  <c r="GD94" i="6"/>
  <c r="GH26" i="30"/>
  <c r="GH39" i="30"/>
  <c r="GH28" i="30"/>
  <c r="GH25" i="30"/>
  <c r="GH15" i="30"/>
  <c r="GH27" i="30"/>
  <c r="FO147" i="5"/>
  <c r="FW47" i="5"/>
  <c r="FP139" i="5" l="1"/>
  <c r="FG101" i="5"/>
  <c r="FG105" i="5"/>
  <c r="FQ137" i="5"/>
  <c r="FQ73" i="3" s="1"/>
  <c r="FQ74" i="3" s="1"/>
  <c r="FG67" i="6"/>
  <c r="FG71" i="6"/>
  <c r="FG61" i="6"/>
  <c r="FG96" i="6"/>
  <c r="FG92" i="6"/>
  <c r="FP147" i="5"/>
  <c r="GJ117" i="15"/>
  <c r="GJ93" i="6"/>
  <c r="GJ94" i="6" s="1"/>
  <c r="GJ81" i="6"/>
  <c r="GJ79" i="6"/>
  <c r="FP142" i="5"/>
  <c r="FP143" i="5"/>
  <c r="FP141" i="5"/>
  <c r="GJ25" i="30"/>
  <c r="GJ15" i="30"/>
  <c r="GJ27" i="30"/>
  <c r="GJ39" i="30"/>
  <c r="FO134" i="5"/>
  <c r="FO231" i="3"/>
  <c r="FO232" i="3" s="1"/>
  <c r="FP13" i="6"/>
  <c r="GH94" i="6"/>
  <c r="GH95" i="6"/>
  <c r="FP18" i="5"/>
  <c r="GI95" i="6"/>
  <c r="GI94" i="6"/>
  <c r="FQ143" i="5"/>
  <c r="FQ141" i="5"/>
  <c r="FX47" i="5"/>
  <c r="FQ139" i="5" l="1"/>
  <c r="FQ13" i="6"/>
  <c r="FQ231" i="3" s="1"/>
  <c r="FQ232" i="3" s="1"/>
  <c r="FH60" i="6"/>
  <c r="FG10" i="5"/>
  <c r="FG63" i="6" s="1"/>
  <c r="FG72" i="6"/>
  <c r="FG125" i="5"/>
  <c r="FG126" i="5" s="1"/>
  <c r="FG73" i="6"/>
  <c r="FG74" i="6"/>
  <c r="FG75" i="6" s="1"/>
  <c r="FG98" i="6"/>
  <c r="FG97" i="6"/>
  <c r="FG129" i="5"/>
  <c r="FG130" i="5" s="1"/>
  <c r="FQ134" i="5"/>
  <c r="FO135" i="5"/>
  <c r="FP231" i="3"/>
  <c r="FP232" i="3" s="1"/>
  <c r="FP134" i="5"/>
  <c r="FO233" i="3"/>
  <c r="FQ18" i="5"/>
  <c r="FR137" i="5"/>
  <c r="FQ147" i="5"/>
  <c r="FY47" i="5"/>
  <c r="FG16" i="5" l="1"/>
  <c r="FG58" i="5"/>
  <c r="FG60" i="5" s="1"/>
  <c r="FH218" i="3"/>
  <c r="FH216" i="3" s="1"/>
  <c r="FR139" i="5"/>
  <c r="FR18" i="5" s="1"/>
  <c r="FR73" i="3"/>
  <c r="FR74" i="3" s="1"/>
  <c r="FQ233" i="3"/>
  <c r="FR143" i="5"/>
  <c r="FR13" i="6"/>
  <c r="FR141" i="5"/>
  <c r="FQ135" i="5"/>
  <c r="FP135" i="5"/>
  <c r="FR147" i="5"/>
  <c r="FP233" i="3"/>
  <c r="FZ47" i="5"/>
  <c r="GA47" i="5" s="1"/>
  <c r="FS137" i="5" l="1"/>
  <c r="FS13" i="6" s="1"/>
  <c r="FH126" i="3"/>
  <c r="FH217" i="3"/>
  <c r="FH226" i="3"/>
  <c r="FH227" i="3" s="1"/>
  <c r="FG25" i="5"/>
  <c r="FR231" i="3"/>
  <c r="FR232" i="3" s="1"/>
  <c r="FR134" i="5"/>
  <c r="GB47" i="5"/>
  <c r="FS73" i="3" l="1"/>
  <c r="FS74" i="3" s="1"/>
  <c r="FS139" i="5"/>
  <c r="FT137" i="5" s="1"/>
  <c r="FT141" i="5" s="1"/>
  <c r="FS147" i="5"/>
  <c r="FT147" i="5" s="1"/>
  <c r="FS141" i="5"/>
  <c r="FS143" i="5"/>
  <c r="FG53" i="5"/>
  <c r="FH132" i="3"/>
  <c r="FS231" i="3"/>
  <c r="FS232" i="3" s="1"/>
  <c r="FS134" i="5"/>
  <c r="FR135" i="5"/>
  <c r="FR233" i="3"/>
  <c r="GC47" i="5"/>
  <c r="FT143" i="5" l="1"/>
  <c r="FT73" i="3"/>
  <c r="FT74" i="3" s="1"/>
  <c r="FU137" i="5"/>
  <c r="FU73" i="3" s="1"/>
  <c r="FU74" i="3" s="1"/>
  <c r="FT13" i="6"/>
  <c r="FU13" i="6" s="1"/>
  <c r="FS18" i="5"/>
  <c r="FT139" i="5"/>
  <c r="FT18" i="5" s="1"/>
  <c r="FU18" i="5" s="1"/>
  <c r="FH134" i="3"/>
  <c r="FU147" i="5"/>
  <c r="FS135" i="5"/>
  <c r="FS233" i="3"/>
  <c r="FT134" i="5"/>
  <c r="GD47" i="5"/>
  <c r="FT231" i="3" l="1"/>
  <c r="FT232" i="3" s="1"/>
  <c r="FU141" i="5"/>
  <c r="FU143" i="5"/>
  <c r="FV137" i="5"/>
  <c r="FV141" i="5" s="1"/>
  <c r="FU139" i="5"/>
  <c r="FU142" i="5" s="1"/>
  <c r="FH136" i="3"/>
  <c r="FT135" i="5"/>
  <c r="FT233" i="3"/>
  <c r="FU134" i="5"/>
  <c r="FU135" i="5" s="1"/>
  <c r="FU231" i="3"/>
  <c r="FU232" i="3" s="1"/>
  <c r="FU233" i="3" s="1"/>
  <c r="GE47" i="5"/>
  <c r="GF47" i="5" s="1"/>
  <c r="FV147" i="5" l="1"/>
  <c r="FV139" i="5"/>
  <c r="FV18" i="5" s="1"/>
  <c r="FV143" i="5"/>
  <c r="FV73" i="3"/>
  <c r="FV74" i="3" s="1"/>
  <c r="FV13" i="6"/>
  <c r="FH139" i="3"/>
  <c r="FH143" i="3" s="1"/>
  <c r="GG47" i="5"/>
  <c r="FW137" i="5" l="1"/>
  <c r="FW73" i="3" s="1"/>
  <c r="FW74" i="3" s="1"/>
  <c r="FW143" i="5"/>
  <c r="FW139" i="5"/>
  <c r="FX137" i="5" s="1"/>
  <c r="FX13" i="6" s="1"/>
  <c r="FW13" i="6"/>
  <c r="FW134" i="5" s="1"/>
  <c r="FW135" i="5" s="1"/>
  <c r="FW141" i="5"/>
  <c r="FV231" i="3"/>
  <c r="FV232" i="3" s="1"/>
  <c r="FV233" i="3" s="1"/>
  <c r="FV134" i="5"/>
  <c r="FV135" i="5" s="1"/>
  <c r="FW147" i="5"/>
  <c r="FH147" i="3"/>
  <c r="FH148" i="3" s="1"/>
  <c r="FH140" i="3"/>
  <c r="FH10" i="6"/>
  <c r="FH48" i="5"/>
  <c r="FH212" i="3"/>
  <c r="FH144" i="3"/>
  <c r="FH145" i="3"/>
  <c r="FX73" i="3"/>
  <c r="FX74" i="3" s="1"/>
  <c r="GH47" i="5"/>
  <c r="FX143" i="5" l="1"/>
  <c r="FX141" i="5"/>
  <c r="FX139" i="5"/>
  <c r="FX147" i="5"/>
  <c r="FW231" i="3"/>
  <c r="FW232" i="3" s="1"/>
  <c r="FW233" i="3" s="1"/>
  <c r="FW18" i="5"/>
  <c r="FH46" i="8"/>
  <c r="FH149" i="3"/>
  <c r="FH31" i="6"/>
  <c r="FH91" i="6" s="1"/>
  <c r="FH50" i="5"/>
  <c r="FH51" i="5" s="1"/>
  <c r="FY137" i="5"/>
  <c r="FY73" i="3" s="1"/>
  <c r="FY74" i="3" s="1"/>
  <c r="FX18" i="5"/>
  <c r="FX231" i="3"/>
  <c r="FX232" i="3" s="1"/>
  <c r="FX233" i="3" s="1"/>
  <c r="FX134" i="5"/>
  <c r="FX135" i="5" s="1"/>
  <c r="GI47" i="5"/>
  <c r="FH66" i="6" l="1"/>
  <c r="FH71" i="6" s="1"/>
  <c r="FH32" i="6"/>
  <c r="FH59" i="6"/>
  <c r="FH100" i="5"/>
  <c r="FH105" i="5" s="1"/>
  <c r="FH96" i="6"/>
  <c r="FH92" i="6"/>
  <c r="FH67" i="6"/>
  <c r="FY147" i="5"/>
  <c r="FZ147" i="5" s="1"/>
  <c r="FY143" i="5"/>
  <c r="FY141" i="5"/>
  <c r="FY13" i="6"/>
  <c r="FZ137" i="5"/>
  <c r="FZ73" i="3" s="1"/>
  <c r="FZ74" i="3" s="1"/>
  <c r="FY139" i="5"/>
  <c r="GJ47" i="5"/>
  <c r="FH101" i="5" l="1"/>
  <c r="FH61" i="6"/>
  <c r="FH10" i="5" s="1"/>
  <c r="FH63" i="6" s="1"/>
  <c r="FH73" i="6"/>
  <c r="FH74" i="6"/>
  <c r="FH75" i="6" s="1"/>
  <c r="FH125" i="5"/>
  <c r="FH126" i="5" s="1"/>
  <c r="FH72" i="6"/>
  <c r="FH129" i="5"/>
  <c r="FH130" i="5" s="1"/>
  <c r="FH98" i="6"/>
  <c r="FH97" i="6"/>
  <c r="FZ141" i="5"/>
  <c r="FZ143" i="5"/>
  <c r="FY231" i="3"/>
  <c r="FY232" i="3" s="1"/>
  <c r="FY233" i="3" s="1"/>
  <c r="FY134" i="5"/>
  <c r="FY135" i="5" s="1"/>
  <c r="FZ13" i="6"/>
  <c r="FY18" i="5"/>
  <c r="GA137" i="5"/>
  <c r="GA73" i="3" s="1"/>
  <c r="GA74" i="3" s="1"/>
  <c r="FZ139" i="5"/>
  <c r="FZ142" i="5" s="1"/>
  <c r="FI60" i="6" l="1"/>
  <c r="FH16" i="5"/>
  <c r="FI218" i="3"/>
  <c r="FI216" i="3" s="1"/>
  <c r="FH58" i="5"/>
  <c r="FH60" i="5" s="1"/>
  <c r="GA147" i="5"/>
  <c r="GA143" i="5"/>
  <c r="GA141" i="5"/>
  <c r="GA13" i="6"/>
  <c r="FZ18" i="5"/>
  <c r="FZ231" i="3"/>
  <c r="FZ232" i="3" s="1"/>
  <c r="FZ233" i="3" s="1"/>
  <c r="FZ134" i="5"/>
  <c r="FZ135" i="5" s="1"/>
  <c r="GA139" i="5"/>
  <c r="FI217" i="3" l="1"/>
  <c r="FI126" i="3"/>
  <c r="FI226" i="3"/>
  <c r="FI227" i="3" s="1"/>
  <c r="FH25" i="5"/>
  <c r="GA18" i="5"/>
  <c r="GB137" i="5"/>
  <c r="GB73" i="3" s="1"/>
  <c r="GB74" i="3" s="1"/>
  <c r="GA134" i="5"/>
  <c r="GA135" i="5" s="1"/>
  <c r="GA231" i="3"/>
  <c r="GA232" i="3" s="1"/>
  <c r="GA233" i="3" s="1"/>
  <c r="FI132" i="3" l="1"/>
  <c r="FH53" i="5"/>
  <c r="GB139" i="5"/>
  <c r="GB141" i="5"/>
  <c r="GB13" i="6"/>
  <c r="GB143" i="5"/>
  <c r="GB147" i="5"/>
  <c r="FI134" i="3" l="1"/>
  <c r="GC137" i="5"/>
  <c r="GB18" i="5"/>
  <c r="GB134" i="5"/>
  <c r="GB135" i="5" s="1"/>
  <c r="GB231" i="3"/>
  <c r="GB232" i="3" s="1"/>
  <c r="GB233" i="3" s="1"/>
  <c r="FI136" i="3" l="1"/>
  <c r="FI139" i="3" s="1"/>
  <c r="GC139" i="5"/>
  <c r="GC18" i="5" s="1"/>
  <c r="GC73" i="3"/>
  <c r="GC74" i="3" s="1"/>
  <c r="GC147" i="5"/>
  <c r="GC141" i="5"/>
  <c r="GC13" i="6"/>
  <c r="GC143" i="5"/>
  <c r="FI10" i="6" l="1"/>
  <c r="FI212" i="3"/>
  <c r="FI147" i="3"/>
  <c r="FI143" i="3"/>
  <c r="FI140" i="3"/>
  <c r="FI48" i="5"/>
  <c r="GD137" i="5"/>
  <c r="GD73" i="3" s="1"/>
  <c r="GD74" i="3" s="1"/>
  <c r="GC134" i="5"/>
  <c r="GC135" i="5" s="1"/>
  <c r="GC231" i="3"/>
  <c r="GC232" i="3" s="1"/>
  <c r="GC233" i="3" s="1"/>
  <c r="GD13" i="6" l="1"/>
  <c r="GE13" i="6" s="1"/>
  <c r="GE231" i="3" s="1"/>
  <c r="GE232" i="3" s="1"/>
  <c r="GE233" i="3" s="1"/>
  <c r="GD143" i="5"/>
  <c r="GD139" i="5"/>
  <c r="GE139" i="5" s="1"/>
  <c r="GD141" i="5"/>
  <c r="FI145" i="3"/>
  <c r="FI144" i="3"/>
  <c r="FI50" i="5"/>
  <c r="FI31" i="6"/>
  <c r="FI46" i="8"/>
  <c r="FI148" i="3"/>
  <c r="FI149" i="3"/>
  <c r="GE137" i="5"/>
  <c r="GE143" i="5" s="1"/>
  <c r="GD147" i="5"/>
  <c r="GE147" i="5" s="1"/>
  <c r="GE134" i="5" l="1"/>
  <c r="GE135" i="5" s="1"/>
  <c r="GD134" i="5"/>
  <c r="GD135" i="5" s="1"/>
  <c r="GD231" i="3"/>
  <c r="GD232" i="3" s="1"/>
  <c r="GD233" i="3" s="1"/>
  <c r="GE142" i="5"/>
  <c r="GD18" i="5"/>
  <c r="GE18" i="5" s="1"/>
  <c r="GF137" i="5"/>
  <c r="GF73" i="3" s="1"/>
  <c r="GF74" i="3" s="1"/>
  <c r="FI66" i="6"/>
  <c r="FI91" i="6"/>
  <c r="FI32" i="6"/>
  <c r="FI100" i="5"/>
  <c r="FI105" i="5" s="1"/>
  <c r="FI59" i="6"/>
  <c r="FI51" i="5"/>
  <c r="GE73" i="3"/>
  <c r="GE74" i="3" s="1"/>
  <c r="GE141" i="5"/>
  <c r="GF141" i="5" l="1"/>
  <c r="GF147" i="5"/>
  <c r="GF13" i="6"/>
  <c r="GF134" i="5" s="1"/>
  <c r="GF135" i="5" s="1"/>
  <c r="GF143" i="5"/>
  <c r="GF139" i="5"/>
  <c r="GG137" i="5" s="1"/>
  <c r="FI92" i="6"/>
  <c r="FI96" i="6"/>
  <c r="FI101" i="5"/>
  <c r="FI61" i="6"/>
  <c r="FI71" i="6"/>
  <c r="FI67" i="6"/>
  <c r="GF18" i="5" l="1"/>
  <c r="GF231" i="3"/>
  <c r="GF232" i="3" s="1"/>
  <c r="GF233" i="3" s="1"/>
  <c r="FI74" i="6"/>
  <c r="FI75" i="6" s="1"/>
  <c r="FI73" i="6"/>
  <c r="FI72" i="6"/>
  <c r="FI125" i="5"/>
  <c r="FJ60" i="6"/>
  <c r="FI10" i="5"/>
  <c r="FI129" i="5"/>
  <c r="FI98" i="6"/>
  <c r="FI97" i="6"/>
  <c r="GG147" i="5"/>
  <c r="GG73" i="3"/>
  <c r="GG74" i="3" s="1"/>
  <c r="GG139" i="5"/>
  <c r="GG143" i="5"/>
  <c r="GG13" i="6"/>
  <c r="GG141" i="5"/>
  <c r="FI130" i="5" l="1"/>
  <c r="FI58" i="5"/>
  <c r="FI60" i="5" s="1"/>
  <c r="FJ218" i="3"/>
  <c r="FJ216" i="3" s="1"/>
  <c r="FI16" i="5"/>
  <c r="FI126" i="5"/>
  <c r="FI63" i="6"/>
  <c r="GG231" i="3"/>
  <c r="GG232" i="3" s="1"/>
  <c r="GG233" i="3" s="1"/>
  <c r="GG134" i="5"/>
  <c r="GG135" i="5" s="1"/>
  <c r="GH137" i="5"/>
  <c r="GH73" i="3" s="1"/>
  <c r="GH74" i="3" s="1"/>
  <c r="GG18" i="5"/>
  <c r="FI25" i="5" l="1"/>
  <c r="FJ217" i="3"/>
  <c r="FJ126" i="3"/>
  <c r="FJ226" i="3"/>
  <c r="FJ227" i="3" s="1"/>
  <c r="GH139" i="5"/>
  <c r="GH141" i="5"/>
  <c r="GH13" i="6"/>
  <c r="GH143" i="5"/>
  <c r="GH147" i="5"/>
  <c r="FI53" i="5" l="1"/>
  <c r="FJ132" i="3"/>
  <c r="FK126" i="3"/>
  <c r="GH18" i="5"/>
  <c r="GI137" i="5"/>
  <c r="GH134" i="5"/>
  <c r="GH135" i="5" s="1"/>
  <c r="GH231" i="3"/>
  <c r="GH232" i="3" s="1"/>
  <c r="GH233" i="3" s="1"/>
  <c r="FA28" i="15"/>
  <c r="FA59" i="3" s="1"/>
  <c r="FK216" i="3" l="1"/>
  <c r="FJ134" i="3"/>
  <c r="FK132" i="3"/>
  <c r="GI139" i="5"/>
  <c r="GI18" i="5" s="1"/>
  <c r="GJ18" i="5" s="1"/>
  <c r="GI73" i="3"/>
  <c r="GI74" i="3" s="1"/>
  <c r="GJ137" i="5"/>
  <c r="GJ73" i="3" s="1"/>
  <c r="GJ74" i="3" s="1"/>
  <c r="GI141" i="5"/>
  <c r="GI13" i="6"/>
  <c r="GI143" i="5"/>
  <c r="GI147" i="5"/>
  <c r="GJ147" i="5" s="1"/>
  <c r="FF29" i="15"/>
  <c r="FA29" i="15"/>
  <c r="FF27" i="15"/>
  <c r="FF24" i="15"/>
  <c r="FA27" i="15"/>
  <c r="EZ27" i="15" s="1"/>
  <c r="EU23" i="15" s="1"/>
  <c r="GJ139" i="5" l="1"/>
  <c r="FJ136" i="3"/>
  <c r="FJ139" i="3" s="1"/>
  <c r="FK134" i="3"/>
  <c r="FK226" i="3"/>
  <c r="FK227" i="3" s="1"/>
  <c r="FK217" i="3"/>
  <c r="EU56" i="3"/>
  <c r="EU28" i="15"/>
  <c r="EU59" i="3" s="1"/>
  <c r="EZ23" i="15"/>
  <c r="EW26" i="15"/>
  <c r="GJ142" i="5"/>
  <c r="GI134" i="5"/>
  <c r="GI135" i="5" s="1"/>
  <c r="GI231" i="3"/>
  <c r="GI232" i="3" s="1"/>
  <c r="GI233" i="3" s="1"/>
  <c r="GJ13" i="6"/>
  <c r="GJ143" i="5"/>
  <c r="GJ141" i="5"/>
  <c r="FJ140" i="3" l="1"/>
  <c r="FJ10" i="6"/>
  <c r="FJ143" i="3"/>
  <c r="FJ147" i="3"/>
  <c r="FJ212" i="3"/>
  <c r="FK212" i="3" s="1"/>
  <c r="FK139" i="3"/>
  <c r="FJ48" i="5"/>
  <c r="FK136" i="3"/>
  <c r="EZ56" i="3"/>
  <c r="FB26" i="15"/>
  <c r="EZ26" i="15"/>
  <c r="FE27" i="15"/>
  <c r="EZ28" i="15"/>
  <c r="FE24" i="15"/>
  <c r="EU58" i="3"/>
  <c r="EW58" i="3"/>
  <c r="EU57" i="3"/>
  <c r="GJ134" i="5"/>
  <c r="GJ135" i="5" s="1"/>
  <c r="GJ231" i="3"/>
  <c r="GJ232" i="3" s="1"/>
  <c r="GJ233" i="3" s="1"/>
  <c r="FJ144" i="3" l="1"/>
  <c r="FJ145" i="3"/>
  <c r="FJ50" i="5"/>
  <c r="FK48" i="5"/>
  <c r="FK137" i="3"/>
  <c r="FJ31" i="6"/>
  <c r="FK147" i="3"/>
  <c r="FK140" i="3"/>
  <c r="FK10" i="6"/>
  <c r="FK143" i="3"/>
  <c r="FJ148" i="3"/>
  <c r="FJ46" i="8"/>
  <c r="FJ149" i="3"/>
  <c r="EZ29" i="15"/>
  <c r="EZ59" i="3"/>
  <c r="FE29" i="15"/>
  <c r="EZ58" i="3"/>
  <c r="EZ57" i="3"/>
  <c r="FE57" i="3"/>
  <c r="FB58" i="3"/>
  <c r="FF24" i="17"/>
  <c r="FA27" i="17"/>
  <c r="EZ27" i="17" s="1"/>
  <c r="EU23" i="17" s="1"/>
  <c r="FA28" i="17"/>
  <c r="FA64" i="3" s="1"/>
  <c r="FF27" i="17"/>
  <c r="EU61" i="3" l="1"/>
  <c r="EU26" i="17"/>
  <c r="EW26" i="17"/>
  <c r="FK50" i="5"/>
  <c r="FJ51" i="5"/>
  <c r="FJ100" i="5"/>
  <c r="FJ105" i="5" s="1"/>
  <c r="FJ32" i="6"/>
  <c r="FJ91" i="6"/>
  <c r="FJ66" i="6"/>
  <c r="FJ59" i="6"/>
  <c r="FK31" i="6"/>
  <c r="FK144" i="3"/>
  <c r="FK148" i="3"/>
  <c r="FK46" i="8"/>
  <c r="EU62" i="3"/>
  <c r="EU63" i="3"/>
  <c r="EW63" i="3"/>
  <c r="EZ23" i="17"/>
  <c r="EU28" i="17"/>
  <c r="EU64" i="3" s="1"/>
  <c r="FF29" i="17"/>
  <c r="EZ61" i="3" l="1"/>
  <c r="EZ26" i="17"/>
  <c r="FJ96" i="6"/>
  <c r="FJ92" i="6"/>
  <c r="FK59" i="6"/>
  <c r="FK100" i="5"/>
  <c r="FK91" i="6"/>
  <c r="FK32" i="6"/>
  <c r="FJ101" i="5"/>
  <c r="FJ61" i="6"/>
  <c r="FK51" i="5"/>
  <c r="FJ67" i="6"/>
  <c r="FJ71" i="6"/>
  <c r="FK66" i="6"/>
  <c r="EZ63" i="3"/>
  <c r="EZ62" i="3"/>
  <c r="FB63" i="3"/>
  <c r="FE62" i="3"/>
  <c r="EZ28" i="17"/>
  <c r="EZ64" i="3" s="1"/>
  <c r="FE24" i="17"/>
  <c r="FB26" i="17"/>
  <c r="FE27" i="17"/>
  <c r="FJ103" i="5" l="1"/>
  <c r="FK105" i="5"/>
  <c r="FK61" i="6"/>
  <c r="FK101" i="5"/>
  <c r="FK102" i="5" s="1"/>
  <c r="FG103" i="5"/>
  <c r="FH103" i="5"/>
  <c r="FI103" i="5"/>
  <c r="FJ73" i="6"/>
  <c r="FJ72" i="6"/>
  <c r="FJ74" i="6"/>
  <c r="FJ75" i="6" s="1"/>
  <c r="FJ125" i="5"/>
  <c r="FK71" i="6"/>
  <c r="FK67" i="6"/>
  <c r="FL60" i="6"/>
  <c r="FP60" i="6" s="1"/>
  <c r="FJ10" i="5"/>
  <c r="FJ63" i="6"/>
  <c r="FK96" i="6"/>
  <c r="FK92" i="6"/>
  <c r="FJ129" i="5"/>
  <c r="FJ97" i="6"/>
  <c r="FJ98" i="6"/>
  <c r="FE29" i="17"/>
  <c r="EZ29" i="17"/>
  <c r="FJ126" i="5" l="1"/>
  <c r="FK73" i="6"/>
  <c r="FK125" i="5"/>
  <c r="FJ127" i="5" s="1"/>
  <c r="FK74" i="6"/>
  <c r="FK75" i="6" s="1"/>
  <c r="FK72" i="6"/>
  <c r="FK98" i="6"/>
  <c r="FK129" i="5"/>
  <c r="FJ131" i="5" s="1"/>
  <c r="FK97" i="6"/>
  <c r="FJ58" i="5"/>
  <c r="FJ60" i="5" s="1"/>
  <c r="FJ16" i="5"/>
  <c r="FK10" i="5"/>
  <c r="FK63" i="6" s="1"/>
  <c r="FL218" i="3"/>
  <c r="FL216" i="3" s="1"/>
  <c r="FJ130" i="5"/>
  <c r="FK16" i="5" l="1"/>
  <c r="FJ25" i="5"/>
  <c r="FH127" i="5"/>
  <c r="FK126" i="5"/>
  <c r="FG127" i="5"/>
  <c r="FI127" i="5"/>
  <c r="FH131" i="5"/>
  <c r="FG131" i="5"/>
  <c r="FK130" i="5"/>
  <c r="FI131" i="5"/>
  <c r="FL126" i="3"/>
  <c r="FL226" i="3"/>
  <c r="FL227" i="3" s="1"/>
  <c r="FL217" i="3"/>
  <c r="FK58" i="5"/>
  <c r="FK60" i="5" s="1"/>
  <c r="FK218" i="3"/>
  <c r="FK219" i="3" s="1"/>
  <c r="FL132" i="3" l="1"/>
  <c r="FK25" i="5"/>
  <c r="FJ53" i="5"/>
  <c r="FK53" i="5" l="1"/>
  <c r="FL134" i="3"/>
  <c r="FL136" i="3" l="1"/>
  <c r="FL139" i="3" l="1"/>
  <c r="FL147" i="3" l="1"/>
  <c r="FL140" i="3"/>
  <c r="FL212" i="3"/>
  <c r="FL143" i="3"/>
  <c r="FL10" i="6"/>
  <c r="FL48" i="5"/>
  <c r="FL149" i="3" l="1"/>
  <c r="FL46" i="8"/>
  <c r="FL148" i="3"/>
  <c r="FL50" i="5"/>
  <c r="FL31" i="6"/>
  <c r="FL144" i="3"/>
  <c r="FL145" i="3"/>
  <c r="FL66" i="6" l="1"/>
  <c r="FL32" i="6"/>
  <c r="FL59" i="6"/>
  <c r="FL91" i="6"/>
  <c r="FL100" i="5"/>
  <c r="FL51" i="5"/>
  <c r="FL101" i="5" l="1"/>
  <c r="FL105" i="5"/>
  <c r="FL92" i="6"/>
  <c r="FL96" i="6"/>
  <c r="FL61" i="6"/>
  <c r="FL71" i="6"/>
  <c r="FL67" i="6"/>
  <c r="FM60" i="6" l="1"/>
  <c r="FL10" i="5"/>
  <c r="FL63" i="6" s="1"/>
  <c r="FL72" i="6"/>
  <c r="FL73" i="6"/>
  <c r="FL125" i="5"/>
  <c r="FL126" i="5" s="1"/>
  <c r="FL74" i="6"/>
  <c r="FL75" i="6" s="1"/>
  <c r="FL98" i="6"/>
  <c r="FL97" i="6"/>
  <c r="FL129" i="5"/>
  <c r="FL130" i="5" s="1"/>
  <c r="FM218" i="3" l="1"/>
  <c r="FM216" i="3" s="1"/>
  <c r="FL16" i="5"/>
  <c r="FL58" i="5"/>
  <c r="FL60" i="5" s="1"/>
  <c r="FL25" i="5" l="1"/>
  <c r="FM217" i="3"/>
  <c r="FM226" i="3"/>
  <c r="FM227" i="3" s="1"/>
  <c r="FM126" i="3"/>
  <c r="FM132" i="3" l="1"/>
  <c r="FL53" i="5"/>
  <c r="FM134" i="3" l="1"/>
  <c r="FM136" i="3" l="1"/>
  <c r="FM139" i="3" s="1"/>
  <c r="FM143" i="3" l="1"/>
  <c r="FM140" i="3"/>
  <c r="FM212" i="3"/>
  <c r="FM147" i="3"/>
  <c r="FM10" i="6"/>
  <c r="FM48" i="5"/>
  <c r="FM149" i="3" l="1"/>
  <c r="FM148" i="3"/>
  <c r="FM46" i="8"/>
  <c r="FM50" i="5"/>
  <c r="FM145" i="3"/>
  <c r="FM144" i="3"/>
  <c r="FM31" i="6"/>
  <c r="FM100" i="5" l="1"/>
  <c r="FM105" i="5" s="1"/>
  <c r="FM32" i="6"/>
  <c r="FM91" i="6"/>
  <c r="FM59" i="6"/>
  <c r="FM66" i="6"/>
  <c r="FM51" i="5"/>
  <c r="FM61" i="6" l="1"/>
  <c r="FM92" i="6"/>
  <c r="FM96" i="6"/>
  <c r="FM71" i="6"/>
  <c r="FM67" i="6"/>
  <c r="FM101" i="5"/>
  <c r="FM10" i="5" l="1"/>
  <c r="FM63" i="6" s="1"/>
  <c r="FN60" i="6"/>
  <c r="FM129" i="5"/>
  <c r="FM98" i="6"/>
  <c r="FM97" i="6"/>
  <c r="FM72" i="6"/>
  <c r="FM73" i="6"/>
  <c r="FM125" i="5"/>
  <c r="FM74" i="6"/>
  <c r="FM75" i="6" s="1"/>
  <c r="FM126" i="5" l="1"/>
  <c r="FM130" i="5"/>
  <c r="FN218" i="3"/>
  <c r="FN216" i="3" s="1"/>
  <c r="FM16" i="5"/>
  <c r="FM58" i="5"/>
  <c r="FM60" i="5" s="1"/>
  <c r="FM25" i="5" l="1"/>
  <c r="FN226" i="3"/>
  <c r="FN227" i="3" s="1"/>
  <c r="FN217" i="3"/>
  <c r="FN126" i="3"/>
  <c r="FM53" i="5" l="1"/>
  <c r="FN132" i="3"/>
  <c r="FN134" i="3" l="1"/>
  <c r="FN136" i="3" l="1"/>
  <c r="FN139" i="3" l="1"/>
  <c r="FN212" i="3" l="1"/>
  <c r="FN140" i="3"/>
  <c r="FN147" i="3"/>
  <c r="FN143" i="3"/>
  <c r="FN10" i="6"/>
  <c r="FN48" i="5"/>
  <c r="FN50" i="5" l="1"/>
  <c r="FN46" i="8"/>
  <c r="FN148" i="3"/>
  <c r="FN149" i="3"/>
  <c r="FN31" i="6"/>
  <c r="FN144" i="3"/>
  <c r="FN145" i="3"/>
  <c r="FN66" i="6" l="1"/>
  <c r="FN59" i="6"/>
  <c r="FN32" i="6"/>
  <c r="FN100" i="5"/>
  <c r="FN105" i="5" s="1"/>
  <c r="FN91" i="6"/>
  <c r="FN51" i="5"/>
  <c r="FN92" i="6" l="1"/>
  <c r="FN96" i="6"/>
  <c r="FN101" i="5"/>
  <c r="FN61" i="6"/>
  <c r="FN71" i="6"/>
  <c r="FN67" i="6"/>
  <c r="FN125" i="5" l="1"/>
  <c r="FN74" i="6"/>
  <c r="FN75" i="6" s="1"/>
  <c r="FN72" i="6"/>
  <c r="FN73" i="6"/>
  <c r="FN10" i="5"/>
  <c r="FO60" i="6"/>
  <c r="FN97" i="6"/>
  <c r="FN129" i="5"/>
  <c r="FN98" i="6"/>
  <c r="FN58" i="5" l="1"/>
  <c r="FN60" i="5" s="1"/>
  <c r="FN16" i="5"/>
  <c r="FO218" i="3"/>
  <c r="FO216" i="3" s="1"/>
  <c r="FN130" i="5"/>
  <c r="FN63" i="6"/>
  <c r="FN126" i="5"/>
  <c r="FO126" i="3" l="1"/>
  <c r="FO226" i="3"/>
  <c r="FO227" i="3" s="1"/>
  <c r="FO217" i="3"/>
  <c r="FN25" i="5"/>
  <c r="FN53" i="5" l="1"/>
  <c r="FO132" i="3"/>
  <c r="FP126" i="3"/>
  <c r="FO134" i="3" l="1"/>
  <c r="FP132" i="3"/>
  <c r="FP216" i="3"/>
  <c r="FP217" i="3" l="1"/>
  <c r="FP226" i="3"/>
  <c r="FP227" i="3" s="1"/>
  <c r="FO136" i="3"/>
  <c r="FP134" i="3"/>
  <c r="FO139" i="3" l="1"/>
  <c r="FP136" i="3"/>
  <c r="FP137" i="3" l="1"/>
  <c r="FO147" i="3"/>
  <c r="FO143" i="3"/>
  <c r="FO10" i="6"/>
  <c r="FO212" i="3"/>
  <c r="FP212" i="3" s="1"/>
  <c r="FO140" i="3"/>
  <c r="FP139" i="3"/>
  <c r="FO48" i="5"/>
  <c r="FP143" i="3" l="1"/>
  <c r="FP147" i="3"/>
  <c r="FP140" i="3"/>
  <c r="FP10" i="6"/>
  <c r="FO46" i="8"/>
  <c r="FO148" i="3"/>
  <c r="FO149" i="3"/>
  <c r="FO144" i="3"/>
  <c r="FO145" i="3"/>
  <c r="FO50" i="5"/>
  <c r="FP48" i="5"/>
  <c r="FO31" i="6"/>
  <c r="FP50" i="5" l="1"/>
  <c r="FO51" i="5"/>
  <c r="FP148" i="3"/>
  <c r="FP46" i="8"/>
  <c r="FO91" i="6"/>
  <c r="FO59" i="6"/>
  <c r="FO100" i="5"/>
  <c r="FO105" i="5" s="1"/>
  <c r="FO66" i="6"/>
  <c r="FO32" i="6"/>
  <c r="FP31" i="6"/>
  <c r="FP144" i="3"/>
  <c r="FP51" i="5" l="1"/>
  <c r="FP100" i="5"/>
  <c r="FP91" i="6"/>
  <c r="FP59" i="6"/>
  <c r="FP32" i="6"/>
  <c r="FO67" i="6"/>
  <c r="FO71" i="6"/>
  <c r="FP66" i="6"/>
  <c r="FO101" i="5"/>
  <c r="FO92" i="6"/>
  <c r="FO96" i="6"/>
  <c r="FO61" i="6"/>
  <c r="FO103" i="5" l="1"/>
  <c r="FP105" i="5"/>
  <c r="FO10" i="5"/>
  <c r="FO63" i="6" s="1"/>
  <c r="FQ60" i="6"/>
  <c r="FU60" i="6" s="1"/>
  <c r="FP67" i="6"/>
  <c r="FP71" i="6"/>
  <c r="FP61" i="6"/>
  <c r="FP92" i="6"/>
  <c r="FP96" i="6"/>
  <c r="FO97" i="6"/>
  <c r="FO98" i="6"/>
  <c r="FO129" i="5"/>
  <c r="FO73" i="6"/>
  <c r="FO74" i="6"/>
  <c r="FO75" i="6" s="1"/>
  <c r="FO72" i="6"/>
  <c r="FO125" i="5"/>
  <c r="FL103" i="5"/>
  <c r="FP101" i="5"/>
  <c r="FP102" i="5" s="1"/>
  <c r="FM103" i="5"/>
  <c r="FN103" i="5"/>
  <c r="FP73" i="6" l="1"/>
  <c r="FP72" i="6"/>
  <c r="FP74" i="6"/>
  <c r="FP75" i="6" s="1"/>
  <c r="FP125" i="5"/>
  <c r="FO127" i="5" s="1"/>
  <c r="FO126" i="5"/>
  <c r="FP97" i="6"/>
  <c r="FP98" i="6"/>
  <c r="FP129" i="5"/>
  <c r="FO131" i="5" s="1"/>
  <c r="FO130" i="5"/>
  <c r="FO58" i="5"/>
  <c r="FO60" i="5" s="1"/>
  <c r="FO16" i="5"/>
  <c r="FQ218" i="3"/>
  <c r="FQ216" i="3" s="1"/>
  <c r="FP10" i="5"/>
  <c r="FP63" i="6" s="1"/>
  <c r="FQ217" i="3" l="1"/>
  <c r="FQ226" i="3"/>
  <c r="FQ227" i="3" s="1"/>
  <c r="FQ126" i="3"/>
  <c r="FO25" i="5"/>
  <c r="FP16" i="5"/>
  <c r="FP126" i="5"/>
  <c r="FL127" i="5"/>
  <c r="FM127" i="5"/>
  <c r="FN127" i="5"/>
  <c r="FL131" i="5"/>
  <c r="FP130" i="5"/>
  <c r="FM131" i="5"/>
  <c r="FN131" i="5"/>
  <c r="FP218" i="3"/>
  <c r="FP219" i="3" s="1"/>
  <c r="FP58" i="5"/>
  <c r="FP60" i="5" s="1"/>
  <c r="FQ132" i="3" l="1"/>
  <c r="FP25" i="5"/>
  <c r="FO53" i="5"/>
  <c r="FP53" i="5" l="1"/>
  <c r="FQ134" i="3"/>
  <c r="FQ136" i="3" l="1"/>
  <c r="FQ139" i="3" l="1"/>
  <c r="FQ143" i="3" l="1"/>
  <c r="FQ212" i="3"/>
  <c r="FQ140" i="3"/>
  <c r="FQ10" i="6"/>
  <c r="FQ147" i="3"/>
  <c r="FQ48" i="5"/>
  <c r="FQ148" i="3" l="1"/>
  <c r="FQ46" i="8"/>
  <c r="FQ149" i="3"/>
  <c r="FQ145" i="3"/>
  <c r="FQ144" i="3"/>
  <c r="FQ50" i="5"/>
  <c r="FQ31" i="6"/>
  <c r="FQ100" i="5" l="1"/>
  <c r="FQ105" i="5" s="1"/>
  <c r="FQ59" i="6"/>
  <c r="FQ32" i="6"/>
  <c r="FQ66" i="6"/>
  <c r="FQ91" i="6"/>
  <c r="FQ51" i="5"/>
  <c r="FQ71" i="6" l="1"/>
  <c r="FQ67" i="6"/>
  <c r="FQ61" i="6"/>
  <c r="FQ96" i="6"/>
  <c r="FQ92" i="6"/>
  <c r="FQ101" i="5"/>
  <c r="FQ72" i="6" l="1"/>
  <c r="FQ74" i="6"/>
  <c r="FQ75" i="6" s="1"/>
  <c r="FQ125" i="5"/>
  <c r="FQ73" i="6"/>
  <c r="FQ98" i="6"/>
  <c r="FQ129" i="5"/>
  <c r="FQ97" i="6"/>
  <c r="FQ10" i="5"/>
  <c r="FQ63" i="6" s="1"/>
  <c r="FR60" i="6"/>
  <c r="FQ126" i="5" l="1"/>
  <c r="FQ130" i="5"/>
  <c r="FR218" i="3"/>
  <c r="FR216" i="3" s="1"/>
  <c r="FQ58" i="5"/>
  <c r="FQ60" i="5" s="1"/>
  <c r="FQ16" i="5"/>
  <c r="FR226" i="3" l="1"/>
  <c r="FR227" i="3" s="1"/>
  <c r="FR217" i="3"/>
  <c r="FR126" i="3"/>
  <c r="FQ25" i="5"/>
  <c r="FQ53" i="5" l="1"/>
  <c r="FR132" i="3"/>
  <c r="FR134" i="3" l="1"/>
  <c r="FR136" i="3" l="1"/>
  <c r="FR139" i="3" l="1"/>
  <c r="FR10" i="6" l="1"/>
  <c r="FR140" i="3"/>
  <c r="FR143" i="3"/>
  <c r="FR147" i="3"/>
  <c r="FR212" i="3"/>
  <c r="FR48" i="5"/>
  <c r="FR149" i="3" l="1"/>
  <c r="FR148" i="3"/>
  <c r="FR46" i="8"/>
  <c r="FR50" i="5"/>
  <c r="FR145" i="3"/>
  <c r="FR144" i="3"/>
  <c r="FR31" i="6"/>
  <c r="FR100" i="5" l="1"/>
  <c r="FR105" i="5" s="1"/>
  <c r="FR32" i="6"/>
  <c r="FR91" i="6"/>
  <c r="FR66" i="6"/>
  <c r="FR59" i="6"/>
  <c r="FR51" i="5"/>
  <c r="FR71" i="6" l="1"/>
  <c r="FR67" i="6"/>
  <c r="FR61" i="6"/>
  <c r="FR96" i="6"/>
  <c r="FR92" i="6"/>
  <c r="FR101" i="5"/>
  <c r="FR10" i="5" l="1"/>
  <c r="FR63" i="6" s="1"/>
  <c r="FS60" i="6"/>
  <c r="FR97" i="6"/>
  <c r="FR98" i="6"/>
  <c r="FR129" i="5"/>
  <c r="FR72" i="6"/>
  <c r="FR73" i="6"/>
  <c r="FR125" i="5"/>
  <c r="FR74" i="6"/>
  <c r="FR75" i="6" s="1"/>
  <c r="FR130" i="5" l="1"/>
  <c r="FR126" i="5"/>
  <c r="FR16" i="5"/>
  <c r="FS218" i="3"/>
  <c r="FS216" i="3" s="1"/>
  <c r="FR58" i="5"/>
  <c r="FR60" i="5" s="1"/>
  <c r="FS126" i="3" l="1"/>
  <c r="FS217" i="3"/>
  <c r="FS226" i="3"/>
  <c r="FS227" i="3" s="1"/>
  <c r="FR25" i="5"/>
  <c r="FS132" i="3" l="1"/>
  <c r="FR53" i="5"/>
  <c r="FS134" i="3" l="1"/>
  <c r="FS136" i="3" l="1"/>
  <c r="FS139" i="3" s="1"/>
  <c r="FS10" i="6" l="1"/>
  <c r="FS143" i="3"/>
  <c r="FS212" i="3"/>
  <c r="FS147" i="3"/>
  <c r="FS140" i="3"/>
  <c r="FS48" i="5"/>
  <c r="FS46" i="8" l="1"/>
  <c r="FS148" i="3"/>
  <c r="FS149" i="3"/>
  <c r="FS144" i="3"/>
  <c r="FS145" i="3"/>
  <c r="FS50" i="5"/>
  <c r="FS31" i="6"/>
  <c r="FS100" i="5" l="1"/>
  <c r="FS105" i="5" s="1"/>
  <c r="FS66" i="6"/>
  <c r="FS91" i="6"/>
  <c r="FS59" i="6"/>
  <c r="FS32" i="6"/>
  <c r="FS51" i="5"/>
  <c r="FS61" i="6" l="1"/>
  <c r="FS96" i="6"/>
  <c r="FS92" i="6"/>
  <c r="FS67" i="6"/>
  <c r="FS71" i="6"/>
  <c r="FS101" i="5"/>
  <c r="FS97" i="6" l="1"/>
  <c r="FS129" i="5"/>
  <c r="FS98" i="6"/>
  <c r="FT60" i="6"/>
  <c r="FS10" i="5"/>
  <c r="FS63" i="6" s="1"/>
  <c r="FS125" i="5"/>
  <c r="FS74" i="6"/>
  <c r="FS75" i="6" s="1"/>
  <c r="FS72" i="6"/>
  <c r="FS73" i="6"/>
  <c r="FS16" i="5" l="1"/>
  <c r="FT218" i="3"/>
  <c r="FT216" i="3" s="1"/>
  <c r="FS58" i="5"/>
  <c r="FS60" i="5" s="1"/>
  <c r="FS130" i="5"/>
  <c r="FS126" i="5"/>
  <c r="FT217" i="3" l="1"/>
  <c r="FT226" i="3"/>
  <c r="FT227" i="3" s="1"/>
  <c r="FT126" i="3"/>
  <c r="FS25" i="5"/>
  <c r="FT132" i="3" l="1"/>
  <c r="FU126" i="3"/>
  <c r="FU216" i="3" s="1"/>
  <c r="FS53" i="5"/>
  <c r="FU217" i="3" l="1"/>
  <c r="FU226" i="3"/>
  <c r="FU227" i="3" s="1"/>
  <c r="FT134" i="3"/>
  <c r="FU132" i="3"/>
  <c r="FT136" i="3" l="1"/>
  <c r="FT139" i="3" s="1"/>
  <c r="FU134" i="3"/>
  <c r="FT143" i="3" l="1"/>
  <c r="FT212" i="3"/>
  <c r="FU212" i="3" s="1"/>
  <c r="FT10" i="6"/>
  <c r="FT140" i="3"/>
  <c r="FT147" i="3"/>
  <c r="FU139" i="3"/>
  <c r="FT48" i="5"/>
  <c r="FU136" i="3"/>
  <c r="FU137" i="3" l="1"/>
  <c r="FT148" i="3"/>
  <c r="FT46" i="8"/>
  <c r="FT149" i="3"/>
  <c r="FU48" i="5"/>
  <c r="FT50" i="5"/>
  <c r="FT31" i="6"/>
  <c r="FU143" i="3"/>
  <c r="FU144" i="3" s="1"/>
  <c r="FU10" i="6"/>
  <c r="FU140" i="3"/>
  <c r="FU147" i="3"/>
  <c r="FT144" i="3"/>
  <c r="FT145" i="3"/>
  <c r="FU148" i="3" l="1"/>
  <c r="FU46" i="8"/>
  <c r="FU50" i="5"/>
  <c r="FT51" i="5"/>
  <c r="FT100" i="5"/>
  <c r="FT105" i="5" s="1"/>
  <c r="FT32" i="6"/>
  <c r="FT91" i="6"/>
  <c r="FT66" i="6"/>
  <c r="FT59" i="6"/>
  <c r="FU31" i="6"/>
  <c r="FU51" i="5" l="1"/>
  <c r="FT67" i="6"/>
  <c r="FT71" i="6"/>
  <c r="FU66" i="6"/>
  <c r="FU91" i="6"/>
  <c r="FU100" i="5"/>
  <c r="FU105" i="5" s="1"/>
  <c r="FU59" i="6"/>
  <c r="FU61" i="6" s="1"/>
  <c r="FU32" i="6"/>
  <c r="FT61" i="6"/>
  <c r="FT96" i="6"/>
  <c r="FT92" i="6"/>
  <c r="FT101" i="5"/>
  <c r="FT103" i="5" l="1"/>
  <c r="FT74" i="6"/>
  <c r="FT75" i="6" s="1"/>
  <c r="FT72" i="6"/>
  <c r="FT125" i="5"/>
  <c r="FT73" i="6"/>
  <c r="FU71" i="6"/>
  <c r="FU67" i="6"/>
  <c r="FT10" i="5"/>
  <c r="FT63" i="6" s="1"/>
  <c r="FV60" i="6"/>
  <c r="FZ60" i="6" s="1"/>
  <c r="FU101" i="5"/>
  <c r="FU102" i="5" s="1"/>
  <c r="FQ103" i="5"/>
  <c r="FR103" i="5"/>
  <c r="FS103" i="5"/>
  <c r="FT97" i="6"/>
  <c r="FT98" i="6"/>
  <c r="FT129" i="5"/>
  <c r="FU92" i="6"/>
  <c r="FU96" i="6"/>
  <c r="FT130" i="5" l="1"/>
  <c r="FU73" i="6"/>
  <c r="FU125" i="5"/>
  <c r="FT127" i="5" s="1"/>
  <c r="FU72" i="6"/>
  <c r="FU74" i="6"/>
  <c r="FU75" i="6" s="1"/>
  <c r="FT126" i="5"/>
  <c r="FU98" i="6"/>
  <c r="FU129" i="5"/>
  <c r="FU97" i="6"/>
  <c r="FU10" i="5"/>
  <c r="FT16" i="5"/>
  <c r="FV218" i="3"/>
  <c r="FV216" i="3" s="1"/>
  <c r="FT58" i="5"/>
  <c r="FT60" i="5" s="1"/>
  <c r="FU130" i="5" l="1"/>
  <c r="FQ131" i="5"/>
  <c r="FR131" i="5"/>
  <c r="FS131" i="5"/>
  <c r="FT131" i="5"/>
  <c r="FV217" i="3"/>
  <c r="FV126" i="3"/>
  <c r="FV132" i="3" s="1"/>
  <c r="FV226" i="3"/>
  <c r="FV227" i="3" s="1"/>
  <c r="FU126" i="5"/>
  <c r="FQ127" i="5"/>
  <c r="FR127" i="5"/>
  <c r="FS127" i="5"/>
  <c r="FU16" i="5"/>
  <c r="FT25" i="5"/>
  <c r="FU58" i="5"/>
  <c r="FU60" i="5" s="1"/>
  <c r="FU218" i="3"/>
  <c r="FU219" i="3" s="1"/>
  <c r="FU63" i="6"/>
  <c r="FT53" i="5" l="1"/>
  <c r="FU25" i="5"/>
  <c r="FU53" i="5" s="1"/>
  <c r="FV134" i="3"/>
  <c r="FV136" i="3" l="1"/>
  <c r="FV139" i="3" s="1"/>
  <c r="FV143" i="3" l="1"/>
  <c r="FV147" i="3"/>
  <c r="FV212" i="3"/>
  <c r="FV140" i="3"/>
  <c r="FV10" i="6"/>
  <c r="FV31" i="6" s="1"/>
  <c r="FV48" i="5"/>
  <c r="FV148" i="3" l="1"/>
  <c r="FV149" i="3"/>
  <c r="FV46" i="8"/>
  <c r="FV59" i="6"/>
  <c r="FV61" i="6" s="1"/>
  <c r="FV32" i="6"/>
  <c r="FV91" i="6"/>
  <c r="FV100" i="5"/>
  <c r="FV105" i="5" s="1"/>
  <c r="FV66" i="6"/>
  <c r="FV50" i="5"/>
  <c r="FV51" i="5" s="1"/>
  <c r="FV144" i="3"/>
  <c r="FV145" i="3"/>
  <c r="FV10" i="5" l="1"/>
  <c r="FV63" i="6" s="1"/>
  <c r="FW60" i="6"/>
  <c r="FV96" i="6"/>
  <c r="FV92" i="6"/>
  <c r="FV71" i="6"/>
  <c r="FV67" i="6"/>
  <c r="FV101" i="5"/>
  <c r="FV125" i="5" l="1"/>
  <c r="FV73" i="6"/>
  <c r="FV72" i="6"/>
  <c r="FV74" i="6"/>
  <c r="FV75" i="6" s="1"/>
  <c r="FV98" i="6"/>
  <c r="FV97" i="6"/>
  <c r="FV129" i="5"/>
  <c r="FV16" i="5"/>
  <c r="FV25" i="5" s="1"/>
  <c r="FV53" i="5" s="1"/>
  <c r="FV58" i="5"/>
  <c r="FV60" i="5" s="1"/>
  <c r="FW218" i="3"/>
  <c r="FW216" i="3" s="1"/>
  <c r="FW126" i="3" l="1"/>
  <c r="FW132" i="3" s="1"/>
  <c r="FW217" i="3"/>
  <c r="FW226" i="3"/>
  <c r="FW227" i="3" s="1"/>
  <c r="FV130" i="5"/>
  <c r="FV126" i="5"/>
  <c r="FW134" i="3" l="1"/>
  <c r="FW136" i="3" l="1"/>
  <c r="FW139" i="3" s="1"/>
  <c r="FW143" i="3" l="1"/>
  <c r="FW147" i="3"/>
  <c r="FW10" i="6"/>
  <c r="FW31" i="6" s="1"/>
  <c r="FW140" i="3"/>
  <c r="FW212" i="3"/>
  <c r="FW48" i="5"/>
  <c r="FW59" i="6" l="1"/>
  <c r="FW61" i="6" s="1"/>
  <c r="FW100" i="5"/>
  <c r="FW105" i="5" s="1"/>
  <c r="FW32" i="6"/>
  <c r="FW66" i="6"/>
  <c r="FW91" i="6"/>
  <c r="FW148" i="3"/>
  <c r="FW46" i="8"/>
  <c r="FW149" i="3"/>
  <c r="FW50" i="5"/>
  <c r="FW51" i="5" s="1"/>
  <c r="FW144" i="3"/>
  <c r="FW145" i="3"/>
  <c r="FW71" i="6" l="1"/>
  <c r="FW67" i="6"/>
  <c r="FW92" i="6"/>
  <c r="FW96" i="6"/>
  <c r="FW101" i="5"/>
  <c r="FX60" i="6"/>
  <c r="FW10" i="5"/>
  <c r="FW63" i="6" s="1"/>
  <c r="FW98" i="6" l="1"/>
  <c r="FW129" i="5"/>
  <c r="FW97" i="6"/>
  <c r="FX218" i="3"/>
  <c r="FX216" i="3" s="1"/>
  <c r="FW16" i="5"/>
  <c r="FW25" i="5" s="1"/>
  <c r="FW53" i="5" s="1"/>
  <c r="FW58" i="5"/>
  <c r="FW60" i="5" s="1"/>
  <c r="FW72" i="6"/>
  <c r="FW73" i="6"/>
  <c r="FW125" i="5"/>
  <c r="FW74" i="6"/>
  <c r="FW75" i="6" s="1"/>
  <c r="FX217" i="3" l="1"/>
  <c r="FX126" i="3"/>
  <c r="FX132" i="3" s="1"/>
  <c r="FX226" i="3"/>
  <c r="FX227" i="3" s="1"/>
  <c r="FW130" i="5"/>
  <c r="FW126" i="5"/>
  <c r="FX134" i="3" l="1"/>
  <c r="FX136" i="3" l="1"/>
  <c r="FX139" i="3" s="1"/>
  <c r="FX143" i="3" l="1"/>
  <c r="FX147" i="3"/>
  <c r="FX140" i="3"/>
  <c r="FX212" i="3"/>
  <c r="FX10" i="6"/>
  <c r="FX31" i="6" s="1"/>
  <c r="FX48" i="5"/>
  <c r="FX66" i="6" l="1"/>
  <c r="FX91" i="6"/>
  <c r="FX100" i="5"/>
  <c r="FX105" i="5" s="1"/>
  <c r="FX59" i="6"/>
  <c r="FX61" i="6" s="1"/>
  <c r="FX32" i="6"/>
  <c r="FX46" i="8"/>
  <c r="FX148" i="3"/>
  <c r="FX149" i="3"/>
  <c r="FX50" i="5"/>
  <c r="FX51" i="5" s="1"/>
  <c r="FX144" i="3"/>
  <c r="FX145" i="3"/>
  <c r="FX10" i="5" l="1"/>
  <c r="FX63" i="6" s="1"/>
  <c r="FY60" i="6"/>
  <c r="FX92" i="6"/>
  <c r="FX96" i="6"/>
  <c r="FX101" i="5"/>
  <c r="FX71" i="6"/>
  <c r="FX67" i="6"/>
  <c r="FX97" i="6" l="1"/>
  <c r="FX129" i="5"/>
  <c r="FX98" i="6"/>
  <c r="FX125" i="5"/>
  <c r="FX126" i="5" s="1"/>
  <c r="FX74" i="6"/>
  <c r="FX75" i="6" s="1"/>
  <c r="FX73" i="6"/>
  <c r="FX72" i="6"/>
  <c r="FX58" i="5"/>
  <c r="FX60" i="5" s="1"/>
  <c r="FX16" i="5"/>
  <c r="FX25" i="5" s="1"/>
  <c r="FX53" i="5" s="1"/>
  <c r="FY218" i="3"/>
  <c r="FY216" i="3" s="1"/>
  <c r="FX130" i="5" l="1"/>
  <c r="FY226" i="3"/>
  <c r="FY227" i="3" s="1"/>
  <c r="FY217" i="3"/>
  <c r="FY126" i="3"/>
  <c r="FZ126" i="3" l="1"/>
  <c r="FZ216" i="3" s="1"/>
  <c r="FY132" i="3"/>
  <c r="FY134" i="3" l="1"/>
  <c r="FZ132" i="3"/>
  <c r="FZ226" i="3"/>
  <c r="FZ227" i="3" s="1"/>
  <c r="FZ217" i="3"/>
  <c r="FY136" i="3" l="1"/>
  <c r="FZ136" i="3" s="1"/>
  <c r="FZ134" i="3"/>
  <c r="FY139" i="3" l="1"/>
  <c r="FZ137" i="3"/>
  <c r="FY10" i="6" l="1"/>
  <c r="FY31" i="6" s="1"/>
  <c r="FY143" i="3"/>
  <c r="FY140" i="3"/>
  <c r="FY212" i="3"/>
  <c r="FZ212" i="3" s="1"/>
  <c r="FY147" i="3"/>
  <c r="FZ139" i="3"/>
  <c r="FY48" i="5"/>
  <c r="FZ48" i="5" l="1"/>
  <c r="FY50" i="5"/>
  <c r="FZ10" i="6"/>
  <c r="FZ147" i="3"/>
  <c r="FZ143" i="3"/>
  <c r="FZ144" i="3" s="1"/>
  <c r="FZ140" i="3"/>
  <c r="FY144" i="3"/>
  <c r="FY145" i="3"/>
  <c r="FY91" i="6"/>
  <c r="FY59" i="6"/>
  <c r="FY61" i="6" s="1"/>
  <c r="FY66" i="6"/>
  <c r="FY100" i="5"/>
  <c r="FY105" i="5" s="1"/>
  <c r="FY32" i="6"/>
  <c r="FZ31" i="6"/>
  <c r="FY46" i="8"/>
  <c r="FY148" i="3"/>
  <c r="FY149" i="3"/>
  <c r="GA60" i="6" l="1"/>
  <c r="GE60" i="6" s="1"/>
  <c r="FY10" i="5"/>
  <c r="FZ46" i="8"/>
  <c r="FZ148" i="3"/>
  <c r="FY101" i="5"/>
  <c r="FY67" i="6"/>
  <c r="FY71" i="6"/>
  <c r="FZ66" i="6"/>
  <c r="FY96" i="6"/>
  <c r="FY92" i="6"/>
  <c r="FZ32" i="6"/>
  <c r="FZ100" i="5"/>
  <c r="FZ105" i="5" s="1"/>
  <c r="FZ91" i="6"/>
  <c r="FZ59" i="6"/>
  <c r="FZ61" i="6" s="1"/>
  <c r="FZ50" i="5"/>
  <c r="FY51" i="5"/>
  <c r="FZ51" i="5" s="1"/>
  <c r="FZ67" i="6" l="1"/>
  <c r="FZ71" i="6"/>
  <c r="FY72" i="6"/>
  <c r="FY74" i="6"/>
  <c r="FY75" i="6" s="1"/>
  <c r="FY73" i="6"/>
  <c r="FY125" i="5"/>
  <c r="FY129" i="5"/>
  <c r="FY98" i="6"/>
  <c r="FY97" i="6"/>
  <c r="FZ96" i="6"/>
  <c r="FZ92" i="6"/>
  <c r="FZ101" i="5"/>
  <c r="FZ102" i="5" s="1"/>
  <c r="FV103" i="5"/>
  <c r="FW103" i="5"/>
  <c r="FX103" i="5"/>
  <c r="FZ10" i="5"/>
  <c r="FY16" i="5"/>
  <c r="GA218" i="3"/>
  <c r="GA216" i="3" s="1"/>
  <c r="FY58" i="5"/>
  <c r="FY60" i="5" s="1"/>
  <c r="FY103" i="5"/>
  <c r="FY63" i="6"/>
  <c r="FZ58" i="5" l="1"/>
  <c r="FZ60" i="5" s="1"/>
  <c r="FZ218" i="3"/>
  <c r="FZ219" i="3" s="1"/>
  <c r="FZ129" i="5"/>
  <c r="FY131" i="5" s="1"/>
  <c r="FZ97" i="6"/>
  <c r="FZ98" i="6"/>
  <c r="FY130" i="5"/>
  <c r="FZ72" i="6"/>
  <c r="FZ73" i="6"/>
  <c r="FZ125" i="5"/>
  <c r="FZ74" i="6"/>
  <c r="FZ75" i="6" s="1"/>
  <c r="GA217" i="3"/>
  <c r="GA126" i="3"/>
  <c r="GA132" i="3" s="1"/>
  <c r="GA226" i="3"/>
  <c r="GA227" i="3" s="1"/>
  <c r="FZ16" i="5"/>
  <c r="FY25" i="5"/>
  <c r="FY126" i="5"/>
  <c r="FZ63" i="6"/>
  <c r="FX127" i="5" l="1"/>
  <c r="FZ126" i="5"/>
  <c r="FV127" i="5"/>
  <c r="FW127" i="5"/>
  <c r="FZ130" i="5"/>
  <c r="FV131" i="5"/>
  <c r="FW131" i="5"/>
  <c r="FX131" i="5"/>
  <c r="FZ25" i="5"/>
  <c r="FZ53" i="5" s="1"/>
  <c r="FY53" i="5"/>
  <c r="GA134" i="3"/>
  <c r="FY127" i="5"/>
  <c r="GA136" i="3" l="1"/>
  <c r="GA139" i="3" s="1"/>
  <c r="GA212" i="3" l="1"/>
  <c r="GA140" i="3"/>
  <c r="GA10" i="6"/>
  <c r="GA31" i="6" s="1"/>
  <c r="GA143" i="3"/>
  <c r="GA147" i="3"/>
  <c r="GA48" i="5"/>
  <c r="GA50" i="5" l="1"/>
  <c r="GA51" i="5" s="1"/>
  <c r="GA46" i="8"/>
  <c r="GA148" i="3"/>
  <c r="GA149" i="3"/>
  <c r="GA59" i="6"/>
  <c r="GA61" i="6" s="1"/>
  <c r="GA91" i="6"/>
  <c r="GA100" i="5"/>
  <c r="GA105" i="5" s="1"/>
  <c r="GA32" i="6"/>
  <c r="GA66" i="6"/>
  <c r="GA145" i="3"/>
  <c r="GA144" i="3"/>
  <c r="GB60" i="6" l="1"/>
  <c r="GA10" i="5"/>
  <c r="GA63" i="6" s="1"/>
  <c r="GA101" i="5"/>
  <c r="GA92" i="6"/>
  <c r="GA96" i="6"/>
  <c r="GA67" i="6"/>
  <c r="GA71" i="6"/>
  <c r="GA73" i="6" l="1"/>
  <c r="GA74" i="6"/>
  <c r="GA75" i="6" s="1"/>
  <c r="GA125" i="5"/>
  <c r="GA72" i="6"/>
  <c r="GA58" i="5"/>
  <c r="GA60" i="5" s="1"/>
  <c r="GB218" i="3"/>
  <c r="GB216" i="3" s="1"/>
  <c r="GA16" i="5"/>
  <c r="GA25" i="5" s="1"/>
  <c r="GA53" i="5" s="1"/>
  <c r="GA129" i="5"/>
  <c r="GA97" i="6"/>
  <c r="GA98" i="6"/>
  <c r="GA126" i="5" l="1"/>
  <c r="GA130" i="5"/>
  <c r="GB226" i="3"/>
  <c r="GB227" i="3" s="1"/>
  <c r="GB126" i="3"/>
  <c r="GB132" i="3" s="1"/>
  <c r="GB217" i="3"/>
  <c r="GB134" i="3" l="1"/>
  <c r="GB136" i="3" l="1"/>
  <c r="GB139" i="3" s="1"/>
  <c r="GB10" i="6" l="1"/>
  <c r="GB31" i="6" s="1"/>
  <c r="GB140" i="3"/>
  <c r="GB143" i="3"/>
  <c r="GB147" i="3"/>
  <c r="GB212" i="3"/>
  <c r="GB48" i="5"/>
  <c r="GB149" i="3" l="1"/>
  <c r="GB46" i="8"/>
  <c r="GB148" i="3"/>
  <c r="GB144" i="3"/>
  <c r="GB145" i="3"/>
  <c r="GB50" i="5"/>
  <c r="GB51" i="5" s="1"/>
  <c r="GB91" i="6"/>
  <c r="GB100" i="5"/>
  <c r="GB105" i="5" s="1"/>
  <c r="GB59" i="6"/>
  <c r="GB61" i="6" s="1"/>
  <c r="GB32" i="6"/>
  <c r="GB66" i="6"/>
  <c r="GB10" i="5" l="1"/>
  <c r="GB63" i="6" s="1"/>
  <c r="GC60" i="6"/>
  <c r="GB101" i="5"/>
  <c r="GB92" i="6"/>
  <c r="GB96" i="6"/>
  <c r="GB71" i="6"/>
  <c r="GB67" i="6"/>
  <c r="GB73" i="6" l="1"/>
  <c r="GB72" i="6"/>
  <c r="GB125" i="5"/>
  <c r="GB74" i="6"/>
  <c r="GB75" i="6" s="1"/>
  <c r="GB129" i="5"/>
  <c r="GB97" i="6"/>
  <c r="GB98" i="6"/>
  <c r="GB16" i="5"/>
  <c r="GB25" i="5" s="1"/>
  <c r="GB53" i="5" s="1"/>
  <c r="GC218" i="3"/>
  <c r="GC216" i="3" s="1"/>
  <c r="GB58" i="5"/>
  <c r="GB60" i="5" s="1"/>
  <c r="GC126" i="3" l="1"/>
  <c r="GC132" i="3" s="1"/>
  <c r="GC226" i="3"/>
  <c r="GC227" i="3" s="1"/>
  <c r="GC217" i="3"/>
  <c r="GB126" i="5"/>
  <c r="GB130" i="5"/>
  <c r="GC134" i="3" l="1"/>
  <c r="GC136" i="3" l="1"/>
  <c r="GC139" i="3" s="1"/>
  <c r="GC147" i="3" l="1"/>
  <c r="GC212" i="3"/>
  <c r="GC10" i="6"/>
  <c r="GC31" i="6" s="1"/>
  <c r="GC143" i="3"/>
  <c r="GC140" i="3"/>
  <c r="GC48" i="5"/>
  <c r="GC91" i="6" l="1"/>
  <c r="GC66" i="6"/>
  <c r="GC59" i="6"/>
  <c r="GC61" i="6" s="1"/>
  <c r="GC32" i="6"/>
  <c r="GC100" i="5"/>
  <c r="GC105" i="5" s="1"/>
  <c r="GC145" i="3"/>
  <c r="GC144" i="3"/>
  <c r="GC50" i="5"/>
  <c r="GC51" i="5" s="1"/>
  <c r="GC149" i="3"/>
  <c r="GC148" i="3"/>
  <c r="GC46" i="8"/>
  <c r="GC101" i="5" l="1"/>
  <c r="GC67" i="6"/>
  <c r="GC71" i="6"/>
  <c r="GC10" i="5"/>
  <c r="GD60" i="6"/>
  <c r="GC96" i="6"/>
  <c r="GC92" i="6"/>
  <c r="GC97" i="6" l="1"/>
  <c r="GC98" i="6"/>
  <c r="GC129" i="5"/>
  <c r="GC125" i="5"/>
  <c r="GC73" i="6"/>
  <c r="GC72" i="6"/>
  <c r="GC74" i="6"/>
  <c r="GC75" i="6" s="1"/>
  <c r="GC58" i="5"/>
  <c r="GC60" i="5" s="1"/>
  <c r="GC16" i="5"/>
  <c r="GC25" i="5" s="1"/>
  <c r="GC53" i="5" s="1"/>
  <c r="GD218" i="3"/>
  <c r="GD216" i="3" s="1"/>
  <c r="GC63" i="6"/>
  <c r="GC126" i="5" l="1"/>
  <c r="GC130" i="5"/>
  <c r="GD126" i="3"/>
  <c r="GD217" i="3"/>
  <c r="GD226" i="3"/>
  <c r="GD227" i="3" s="1"/>
  <c r="GE126" i="3" l="1"/>
  <c r="GE216" i="3" s="1"/>
  <c r="GD132" i="3"/>
  <c r="GD134" i="3" l="1"/>
  <c r="GE132" i="3"/>
  <c r="GE217" i="3"/>
  <c r="GE226" i="3"/>
  <c r="GE227" i="3" s="1"/>
  <c r="GD136" i="3" l="1"/>
  <c r="GE136" i="3" s="1"/>
  <c r="GE134" i="3"/>
  <c r="GD139" i="3" l="1"/>
  <c r="GD140" i="3" s="1"/>
  <c r="GE137" i="3"/>
  <c r="GD48" i="5" l="1"/>
  <c r="GD50" i="5" s="1"/>
  <c r="GE139" i="3"/>
  <c r="GE10" i="6" s="1"/>
  <c r="GD147" i="3"/>
  <c r="GD149" i="3" s="1"/>
  <c r="GD10" i="6"/>
  <c r="GD31" i="6" s="1"/>
  <c r="GD100" i="5" s="1"/>
  <c r="GD105" i="5" s="1"/>
  <c r="GD212" i="3"/>
  <c r="GE212" i="3" s="1"/>
  <c r="GD143" i="3"/>
  <c r="GD145" i="3" s="1"/>
  <c r="GD148" i="3" l="1"/>
  <c r="GE143" i="3"/>
  <c r="GE144" i="3" s="1"/>
  <c r="GD46" i="8"/>
  <c r="GE48" i="5"/>
  <c r="GE147" i="3"/>
  <c r="GE148" i="3" s="1"/>
  <c r="GD66" i="6"/>
  <c r="GD67" i="6" s="1"/>
  <c r="GD91" i="6"/>
  <c r="GD92" i="6" s="1"/>
  <c r="GD32" i="6"/>
  <c r="GE140" i="3"/>
  <c r="GE31" i="6"/>
  <c r="GE32" i="6" s="1"/>
  <c r="GD59" i="6"/>
  <c r="GD61" i="6" s="1"/>
  <c r="GF60" i="6" s="1"/>
  <c r="GJ60" i="6" s="1"/>
  <c r="GD144" i="3"/>
  <c r="GD51" i="5"/>
  <c r="GE51" i="5" s="1"/>
  <c r="GE50" i="5"/>
  <c r="GD101" i="5"/>
  <c r="GE46" i="8" l="1"/>
  <c r="GD96" i="6"/>
  <c r="GD98" i="6" s="1"/>
  <c r="GD71" i="6"/>
  <c r="GD74" i="6" s="1"/>
  <c r="GD75" i="6" s="1"/>
  <c r="GE66" i="6"/>
  <c r="GE71" i="6" s="1"/>
  <c r="GE100" i="5"/>
  <c r="GE105" i="5" s="1"/>
  <c r="GD10" i="5"/>
  <c r="GD63" i="6" s="1"/>
  <c r="GE91" i="6"/>
  <c r="GE96" i="6" s="1"/>
  <c r="GE59" i="6"/>
  <c r="GE61" i="6" s="1"/>
  <c r="GD97" i="6" l="1"/>
  <c r="GD129" i="5"/>
  <c r="GD73" i="6"/>
  <c r="GD72" i="6"/>
  <c r="GD125" i="5"/>
  <c r="GD126" i="5" s="1"/>
  <c r="GE67" i="6"/>
  <c r="GD16" i="5"/>
  <c r="GD25" i="5" s="1"/>
  <c r="GE92" i="6"/>
  <c r="GA103" i="5"/>
  <c r="GF218" i="3"/>
  <c r="GF216" i="3" s="1"/>
  <c r="GF226" i="3" s="1"/>
  <c r="GF227" i="3" s="1"/>
  <c r="GD103" i="5"/>
  <c r="GB103" i="5"/>
  <c r="GE10" i="5"/>
  <c r="GE63" i="6" s="1"/>
  <c r="GE101" i="5"/>
  <c r="GE102" i="5" s="1"/>
  <c r="GD58" i="5"/>
  <c r="GD60" i="5" s="1"/>
  <c r="GC103" i="5"/>
  <c r="GE72" i="6"/>
  <c r="GE73" i="6"/>
  <c r="GE125" i="5"/>
  <c r="GE74" i="6"/>
  <c r="GE75" i="6" s="1"/>
  <c r="GD130" i="5"/>
  <c r="GE97" i="6"/>
  <c r="GE129" i="5"/>
  <c r="GD131" i="5" s="1"/>
  <c r="GE98" i="6"/>
  <c r="GE16" i="5" l="1"/>
  <c r="GE58" i="5"/>
  <c r="GE60" i="5" s="1"/>
  <c r="GF217" i="3"/>
  <c r="GF126" i="3"/>
  <c r="GF132" i="3" s="1"/>
  <c r="GE218" i="3"/>
  <c r="GE219" i="3" s="1"/>
  <c r="GE126" i="5"/>
  <c r="GA127" i="5"/>
  <c r="GB127" i="5"/>
  <c r="GC127" i="5"/>
  <c r="GE25" i="5"/>
  <c r="GE53" i="5" s="1"/>
  <c r="GD53" i="5"/>
  <c r="GE130" i="5"/>
  <c r="GA131" i="5"/>
  <c r="GB131" i="5"/>
  <c r="GC131" i="5"/>
  <c r="GD127" i="5"/>
  <c r="GF134" i="3" l="1"/>
  <c r="GF136" i="3" l="1"/>
  <c r="GF139" i="3" s="1"/>
  <c r="GF212" i="3" l="1"/>
  <c r="GF143" i="3"/>
  <c r="GF10" i="6"/>
  <c r="GF31" i="6" s="1"/>
  <c r="GF140" i="3"/>
  <c r="GF147" i="3"/>
  <c r="GF46" i="8" s="1"/>
  <c r="GF48" i="5"/>
  <c r="GF144" i="3" l="1"/>
  <c r="GF145" i="3"/>
  <c r="GF148" i="3"/>
  <c r="GF149" i="3"/>
  <c r="GF100" i="5"/>
  <c r="GF105" i="5" s="1"/>
  <c r="GF59" i="6"/>
  <c r="GF61" i="6" s="1"/>
  <c r="GF91" i="6"/>
  <c r="GF66" i="6"/>
  <c r="GF32" i="6"/>
  <c r="GF50" i="5"/>
  <c r="GF51" i="5" s="1"/>
  <c r="GF67" i="6" l="1"/>
  <c r="GF71" i="6"/>
  <c r="GF96" i="6"/>
  <c r="GF92" i="6"/>
  <c r="GF101" i="5"/>
  <c r="GF10" i="5"/>
  <c r="GF63" i="6" s="1"/>
  <c r="GG60" i="6"/>
  <c r="GF98" i="6" l="1"/>
  <c r="GF97" i="6"/>
  <c r="GF129" i="5"/>
  <c r="GF16" i="5"/>
  <c r="GF25" i="5" s="1"/>
  <c r="GF53" i="5" s="1"/>
  <c r="GG218" i="3"/>
  <c r="GG216" i="3" s="1"/>
  <c r="GF58" i="5"/>
  <c r="GF60" i="5" s="1"/>
  <c r="GF73" i="6"/>
  <c r="GF125" i="5"/>
  <c r="GF74" i="6"/>
  <c r="GF75" i="6" s="1"/>
  <c r="GF72" i="6"/>
  <c r="GG217" i="3" l="1"/>
  <c r="GG226" i="3"/>
  <c r="GG227" i="3" s="1"/>
  <c r="GG126" i="3"/>
  <c r="GF126" i="5"/>
  <c r="GF130" i="5"/>
  <c r="GG132" i="3" l="1"/>
  <c r="GG134" i="3" l="1"/>
  <c r="GG136" i="3" l="1"/>
  <c r="GG139" i="3" s="1"/>
  <c r="GG140" i="3" l="1"/>
  <c r="GG10" i="6"/>
  <c r="GG31" i="6" s="1"/>
  <c r="GG147" i="3"/>
  <c r="GG46" i="8" s="1"/>
  <c r="GG143" i="3"/>
  <c r="GG212" i="3"/>
  <c r="GG48" i="5"/>
  <c r="GG100" i="5" l="1"/>
  <c r="GG105" i="5" s="1"/>
  <c r="GG66" i="6"/>
  <c r="GG32" i="6"/>
  <c r="GG59" i="6"/>
  <c r="GG61" i="6" s="1"/>
  <c r="GG91" i="6"/>
  <c r="GG144" i="3"/>
  <c r="GG145" i="3"/>
  <c r="GG149" i="3"/>
  <c r="GG148" i="3"/>
  <c r="GG50" i="5"/>
  <c r="GG51" i="5" s="1"/>
  <c r="GG92" i="6" l="1"/>
  <c r="GG96" i="6"/>
  <c r="GH60" i="6"/>
  <c r="GG10" i="5"/>
  <c r="GG63" i="6" s="1"/>
  <c r="GG71" i="6"/>
  <c r="GG67" i="6"/>
  <c r="GG101" i="5"/>
  <c r="GG129" i="5" l="1"/>
  <c r="GG98" i="6"/>
  <c r="GG97" i="6"/>
  <c r="GG16" i="5"/>
  <c r="GG25" i="5" s="1"/>
  <c r="GG53" i="5" s="1"/>
  <c r="GH218" i="3"/>
  <c r="GH216" i="3" s="1"/>
  <c r="GG58" i="5"/>
  <c r="GG60" i="5" s="1"/>
  <c r="GG74" i="6"/>
  <c r="GG75" i="6" s="1"/>
  <c r="GG72" i="6"/>
  <c r="GG125" i="5"/>
  <c r="GG73" i="6"/>
  <c r="GH126" i="3" l="1"/>
  <c r="GH217" i="3"/>
  <c r="GH226" i="3"/>
  <c r="GH227" i="3" s="1"/>
  <c r="GG126" i="5"/>
  <c r="GG130" i="5"/>
  <c r="GH132" i="3" l="1"/>
  <c r="GH134" i="3" l="1"/>
  <c r="GH136" i="3" l="1"/>
  <c r="GH139" i="3" s="1"/>
  <c r="GH140" i="3" l="1"/>
  <c r="GH10" i="6"/>
  <c r="GH31" i="6" s="1"/>
  <c r="GH212" i="3"/>
  <c r="GH143" i="3"/>
  <c r="GH147" i="3"/>
  <c r="GH46" i="8" s="1"/>
  <c r="GH48" i="5"/>
  <c r="GH32" i="6" l="1"/>
  <c r="GH66" i="6"/>
  <c r="GH100" i="5"/>
  <c r="GH105" i="5" s="1"/>
  <c r="GH59" i="6"/>
  <c r="GH61" i="6" s="1"/>
  <c r="GH91" i="6"/>
  <c r="GH148" i="3"/>
  <c r="GH149" i="3"/>
  <c r="GH144" i="3"/>
  <c r="GH145" i="3"/>
  <c r="GH50" i="5"/>
  <c r="GH51" i="5" s="1"/>
  <c r="GH96" i="6" l="1"/>
  <c r="GH92" i="6"/>
  <c r="GH10" i="5"/>
  <c r="GI60" i="6"/>
  <c r="GH67" i="6"/>
  <c r="GH71" i="6"/>
  <c r="GH101" i="5"/>
  <c r="GH72" i="6" l="1"/>
  <c r="GH74" i="6"/>
  <c r="GH75" i="6" s="1"/>
  <c r="GH125" i="5"/>
  <c r="GH73" i="6"/>
  <c r="GH63" i="6"/>
  <c r="GH16" i="5"/>
  <c r="GH25" i="5" s="1"/>
  <c r="GH53" i="5" s="1"/>
  <c r="GH58" i="5"/>
  <c r="GH60" i="5" s="1"/>
  <c r="GI218" i="3"/>
  <c r="GI216" i="3" s="1"/>
  <c r="GH98" i="6"/>
  <c r="GH97" i="6"/>
  <c r="GH129" i="5"/>
  <c r="GH130" i="5" l="1"/>
  <c r="GI217" i="3"/>
  <c r="GI126" i="3"/>
  <c r="GI226" i="3"/>
  <c r="GI227" i="3" s="1"/>
  <c r="GH126" i="5"/>
  <c r="GI132" i="3" l="1"/>
  <c r="GJ126" i="3"/>
  <c r="GJ216" i="3" s="1"/>
  <c r="GJ217" i="3" l="1"/>
  <c r="GJ226" i="3"/>
  <c r="GJ227" i="3" s="1"/>
  <c r="GI134" i="3"/>
  <c r="GJ132" i="3"/>
  <c r="GI136" i="3" l="1"/>
  <c r="GJ136" i="3" s="1"/>
  <c r="GJ134" i="3"/>
  <c r="GJ137" i="3" l="1"/>
  <c r="GI139" i="3"/>
  <c r="GI143" i="3" s="1"/>
  <c r="GI147" i="3" l="1"/>
  <c r="GI46" i="8" s="1"/>
  <c r="GI212" i="3"/>
  <c r="GJ212" i="3" s="1"/>
  <c r="GI140" i="3"/>
  <c r="GI10" i="6"/>
  <c r="GI31" i="6" s="1"/>
  <c r="GI66" i="6" s="1"/>
  <c r="GJ66" i="6" s="1"/>
  <c r="GI48" i="5"/>
  <c r="GI50" i="5" s="1"/>
  <c r="GJ139" i="3"/>
  <c r="GJ147" i="3" s="1"/>
  <c r="GI144" i="3"/>
  <c r="GI145" i="3"/>
  <c r="GI149" i="3" l="1"/>
  <c r="GI148" i="3"/>
  <c r="GI59" i="6"/>
  <c r="GI61" i="6" s="1"/>
  <c r="GI10" i="5" s="1"/>
  <c r="GI63" i="6" s="1"/>
  <c r="GJ48" i="5"/>
  <c r="GJ31" i="6"/>
  <c r="GJ100" i="5" s="1"/>
  <c r="GI32" i="6"/>
  <c r="GI100" i="5"/>
  <c r="GI91" i="6"/>
  <c r="GI96" i="6" s="1"/>
  <c r="GJ10" i="6"/>
  <c r="GJ140" i="3"/>
  <c r="GJ143" i="3"/>
  <c r="GJ144" i="3" s="1"/>
  <c r="GJ148" i="3"/>
  <c r="GJ46" i="8"/>
  <c r="GJ67" i="6"/>
  <c r="GJ71" i="6"/>
  <c r="GI71" i="6"/>
  <c r="GI67" i="6"/>
  <c r="GJ50" i="5"/>
  <c r="GI51" i="5"/>
  <c r="GJ51" i="5" s="1"/>
  <c r="GJ59" i="6" l="1"/>
  <c r="GJ61" i="6" s="1"/>
  <c r="GJ32" i="6"/>
  <c r="GI101" i="5"/>
  <c r="GI105" i="5"/>
  <c r="GH103" i="5"/>
  <c r="GJ105" i="5"/>
  <c r="GI92" i="6"/>
  <c r="GJ91" i="6"/>
  <c r="GJ96" i="6" s="1"/>
  <c r="GI103" i="5"/>
  <c r="GJ72" i="6"/>
  <c r="GJ125" i="5"/>
  <c r="GJ73" i="6"/>
  <c r="GJ74" i="6"/>
  <c r="GJ75" i="6" s="1"/>
  <c r="GI74" i="6"/>
  <c r="GI75" i="6" s="1"/>
  <c r="GI73" i="6"/>
  <c r="GI72" i="6"/>
  <c r="GI125" i="5"/>
  <c r="GI58" i="5"/>
  <c r="GI60" i="5" s="1"/>
  <c r="GI16" i="5"/>
  <c r="GJ10" i="5"/>
  <c r="GI98" i="6"/>
  <c r="GI97" i="6"/>
  <c r="GI129" i="5"/>
  <c r="GJ101" i="5"/>
  <c r="GJ102" i="5" s="1"/>
  <c r="GF103" i="5"/>
  <c r="GG103" i="5"/>
  <c r="GJ92" i="6" l="1"/>
  <c r="GJ63" i="6"/>
  <c r="GH127" i="5"/>
  <c r="GJ126" i="5"/>
  <c r="GF127" i="5"/>
  <c r="GG127" i="5"/>
  <c r="GJ98" i="6"/>
  <c r="GJ129" i="5"/>
  <c r="GH131" i="5" s="1"/>
  <c r="GJ97" i="6"/>
  <c r="GI130" i="5"/>
  <c r="GJ58" i="5"/>
  <c r="GJ60" i="5" s="1"/>
  <c r="GJ218" i="3"/>
  <c r="GJ219" i="3" s="1"/>
  <c r="GI25" i="5"/>
  <c r="GJ16" i="5"/>
  <c r="GI126" i="5"/>
  <c r="GI127" i="5"/>
  <c r="GI131" i="5" l="1"/>
  <c r="GJ25" i="5"/>
  <c r="GJ53" i="5" s="1"/>
  <c r="GI53" i="5"/>
  <c r="GJ130" i="5"/>
  <c r="GF131" i="5"/>
  <c r="GG131" i="5"/>
</calcChain>
</file>

<file path=xl/comments1.xml><?xml version="1.0" encoding="utf-8"?>
<comments xmlns="http://schemas.openxmlformats.org/spreadsheetml/2006/main" xmlns:mc="http://schemas.openxmlformats.org/markup-compatibility/2006" xmlns:xr="http://schemas.microsoft.com/office/spreadsheetml/2014/revision" mc:Ignorable="xr">
  <authors>
    <author>Person0288, Person1240 M </author>
  </authors>
  <commentList>
    <comment ref="A1" authorId="0" shapeId="0" xr:uid="{27C1EDBE-7751-429D-A121-80264E542E1E}">
      <text>
        <r>
          <rPr>
            <b/>
            <sz val="9"/>
            <color indexed="81"/>
            <rFont val="Tahoma"/>
            <family val="2"/>
          </rPr>
          <t>Author:xsd="http://www.w3.org/2001/XMLSchema" xmlns:xsi="http://www.w3.org/2001/XMLSchema-instance" Version="2" Timestamp="1753944647"&gt;&lt;FQL&gt;&lt;Q&gt;Ticker0024^FE_ESTIMATE(SPEC_NO_CHANGE_2,MEAN,ANNUAL_ROLL,2030,45595,,,'')&lt;/Q&gt;&lt;R&gt;0&lt;/R&gt;&lt;C&gt;0&lt;/C&gt;&lt;/FQL&gt;&lt;FQL&gt;&lt;Q&gt;Ticker0024^FE_ESTIMATE(SPEC_NO_CHANGE_2,MEAN,QUARTERLY_ROLL,2030/4F,45595,,,'')&lt;/Q&gt;&lt;R&gt;0&lt;/R&gt;&lt;C&gt;0&lt;/C&gt;&lt;/FQL&gt;&lt;FQL&gt;&lt;Q&gt;Ticker0024^FE_ESTIMATE(SPEC_NO_CHANGE_2,MEAN,QUARTERLY_ROLL,2030/3F,45595,,,'')&lt;/Q&gt;&lt;R&gt;0&lt;/R&gt;&lt;C&gt;0&lt;/C&gt;&lt;/FQL&gt;&lt;FQL&gt;&lt;Q&gt;Ticker0024^FE_ESTIMATE(SPEC_NO_CHANGE_2,MEAN,QUARTERLY_ROLL,2030/2F,45595,,,'')&lt;/Q&gt;&lt;R&gt;0&lt;/R&gt;&lt;C&gt;0&lt;/C&gt;&lt;/FQL&gt;&lt;FQL&gt;&lt;Q&gt;Ticker0024^FE_ESTIMATE(SPEC_NO_CHANGE_2,MEAN,QUARTERLY_ROLL,2030/1F,45595,,,'')&lt;/Q&gt;&lt;R&gt;0&lt;/R&gt;&lt;C&gt;0&lt;/C&gt;&lt;/FQL&gt;&lt;FQL&gt;&lt;Q&gt;Ticker0024^FE_ESTIMATE(SPEC_NO_CHANGE_2,MEAN,ANNUAL_ROLL,2029,45595,,,'')&lt;/Q&gt;&lt;R&gt;0&lt;/R&gt;&lt;C&gt;0&lt;/C&gt;&lt;/FQL&gt;&lt;FQL&gt;&lt;Q&gt;Ticker0024^FE_ESTIMATE(SPEC_NO_CHANGE_2,MEAN,QUARTERLY_ROLL,2029/4F,45595,,,'')&lt;/Q&gt;&lt;R&gt;0&lt;/R&gt;&lt;C&gt;0&lt;/C&gt;&lt;/FQL&gt;&lt;FQL&gt;&lt;Q&gt;Ticker0024^FE_ESTIMATE(SPEC_NO_CHANGE_2,MEAN,QUARTERLY_ROLL,2029/3F,45595,,,'')&lt;/Q&gt;&lt;R&gt;0&lt;/R&gt;&lt;C&gt;0&lt;/C&gt;&lt;/FQL&gt;&lt;FQL&gt;&lt;Q&gt;Ticker0024^FE_ESTIMATE(SPEC_NO_CHANGE_2,MEAN,QUARTERLY_ROLL,2029/2F,45595,,,'')&lt;/Q&gt;&lt;R&gt;0&lt;/R&gt;&lt;C&gt;0&lt;/C&gt;&lt;/FQL&gt;&lt;FQL&gt;&lt;Q&gt;Ticker0024^FE_ESTIMATE(SPEC_NO_CHANGE_2,MEAN,QUARTERLY_ROLL,2029/1F,45595,,,'')&lt;/Q&gt;&lt;R&gt;0&lt;/R&gt;&lt;C&gt;0&lt;/C&gt;&lt;/FQL&gt;&lt;FQL&gt;&lt;Q&gt;Ticker0024^FE_ESTIMATE(SPEC_NO_CHANGE_2,MEAN,ANNUAL_ROLL,2028,45595,,,'')&lt;/Q&gt;&lt;R&gt;1&lt;/R&gt;&lt;C&gt;1&lt;/C&gt;&lt;D xsi:type="xsd:double"&gt;24&lt;/D&gt;&lt;/FQL&gt;&lt;FQL&gt;&lt;Q&gt;Ticker0024^FE_ESTIMATE(SPEC_NO_CHANGE_2,MEAN,QUARTERLY_ROLL,2028/4F,45595,,,'')&lt;/Q&gt;&lt;R&gt;0&lt;/R&gt;&lt;C&gt;0&lt;/C&gt;&lt;/FQL&gt;&lt;FQL&gt;&lt;Q&gt;Ticker0024^FE_ESTIMATE(SPEC_NO_CHANGE_2,MEAN,QUARTERLY_ROLL,2028/3F,45595,,,'')&lt;/Q&gt;&lt;R&gt;0&lt;/R&gt;&lt;C&gt;0&lt;/C&gt;&lt;/FQL&gt;&lt;FQL&gt;&lt;Q&gt;Ticker0024^FE_ESTIMATE(SPEC_NO_CHANGE_2,MEAN,QUARTERLY_ROLL,2028/2F,45595,,,'')&lt;/Q&gt;&lt;R&gt;0&lt;/R&gt;&lt;C&gt;0&lt;/C&gt;&lt;/FQL&gt;&lt;FQL&gt;&lt;Q&gt;Ticker0024^FE_ESTIMATE(SPEC_NO_CHANGE_2,MEAN,QUARTERLY_ROLL,2028/1F,45595,,,'')&lt;/Q&gt;&lt;R&gt;0&lt;/R&gt;&lt;C&gt;0&lt;/C&gt;&lt;/FQL&gt;&lt;FQL&gt;&lt;Q&gt;Ticker0024^FE_ESTIMATE(SPEC_NO_CHANGE_2,MEAN,ANNUAL_ROLL,2027,45595,,,'')&lt;/Q&gt;&lt;R&gt;1&lt;/R&gt;&lt;C&gt;1&lt;/C&gt;&lt;D xsi:type="xsd:double"&gt;28&lt;/D&gt;&lt;/FQL&gt;&lt;FQL&gt;&lt;Q&gt;Ticker0024^FE_ESTIMATE(SPEC_NO_CHANGE_2,MEAN,QUARTERLY_ROLL,2027/4F,45595,,,'')&lt;/Q&gt;&lt;R&gt;0&lt;/R&gt;&lt;C&gt;0&lt;/C&gt;&lt;/FQL&gt;&lt;FQL&gt;&lt;Q&gt;Ticker0024^FE_ESTIMATE(SPEC_NO_CHANGE_2,MEAN,QUARTERLY_ROLL,2027/3F,45595,,,'')&lt;/Q&gt;&lt;R&gt;0&lt;/R&gt;&lt;C&gt;0&lt;/C&gt;&lt;/FQL&gt;&lt;FQL&gt;&lt;Q&gt;Ticker0024^FE_ESTIMATE(SPEC_NO_CHANGE_2,MEAN,QUARTERLY_ROLL,2027/2F,45595,,,'')&lt;/Q&gt;&lt;R&gt;0&lt;/R&gt;&lt;C&gt;0&lt;/C&gt;&lt;/FQL&gt;&lt;FQL&gt;&lt;Q&gt;Ticker0024^FE_ESTIMATE(SPEC_NO_CHANGE_2,MEAN,QUARTERLY_ROLL,2027/1F,45595,,,'')&lt;/Q&gt;&lt;R&gt;0&lt;/R&gt;&lt;C&gt;0&lt;/C&gt;&lt;/FQL&gt;&lt;FQL&gt;&lt;Q&gt;Ticker0024^FE_ESTIMATE(SPEC_NO_CHANGE_2,MEAN,ANNUAL_ROLL,2026,45595,,,'')&lt;/Q&gt;&lt;R&gt;1&lt;/R&gt;&lt;C&gt;1&lt;/C&gt;&lt;D xsi:type="xsd:double"&gt;28.6&lt;/D&gt;&lt;/FQL&gt;&lt;FQL&gt;&lt;Q&gt;Ticker0024^FE_ESTIMATE(SPEC_NO_CHANGE_2,MEAN,QUARTERLY_ROLL,2026/4F,45595,,,'')&lt;/Q&gt;&lt;R&gt;0&lt;/R&gt;&lt;C&gt;0&lt;/C&gt;&lt;/FQL&gt;&lt;FQL&gt;&lt;Q&gt;Ticker0024^FE_ESTIMATE(SPEC_NO_CHANGE_2,MEAN,QUARTERLY_ROLL,2026/3F,45595,,,'')&lt;/Q&gt;&lt;R&gt;0&lt;/R&gt;&lt;C&gt;0&lt;/C&gt;&lt;/FQL&gt;&lt;FQL&gt;&lt;Q&gt;Ticker0024^FE_ESTIMATE(SPEC_NO_CHANGE_2,MEAN,QUARTERLY_ROLL,2026/2F,45595,,,'')&lt;/Q&gt;&lt;R&gt;0&lt;/R&gt;&lt;C&gt;0&lt;/C&gt;&lt;/FQL&gt;&lt;FQL&gt;&lt;Q&gt;Ticker0024^FE_ESTIMATE(SPEC_NO_CHANGE_2,MEAN,QUARTERLY_ROLL,2026/1F,45595,,,'')&lt;/Q&gt;&lt;R&gt;0&lt;/R&gt;&lt;C&gt;0&lt;/C&gt;&lt;/FQL&gt;&lt;FQL&gt;&lt;Q&gt;Ticker0024^FE_ESTIMATE(SPEC_NO_CHANGE_2,MEAN,ANNUAL_ROLL,2025,45595,,,'')&lt;/Q&gt;&lt;R&gt;1&lt;/R&gt;&lt;C&gt;1&lt;/C&gt;&lt;D xsi:type="xsd:double"&gt;29.983334&lt;/D&gt;&lt;/FQL&gt;&lt;FQL&gt;&lt;Q&gt;Ticker0024^FE_ESTIMATE(SPEC_NO_CHANGE_2,MEAN,QUARTERLY_ROLL,2025/4F,45595,,,'')&lt;/Q&gt;&lt;R&gt;1&lt;/R&gt;&lt;C&gt;1&lt;/C&gt;&lt;D xsi:type="xsd:double"&gt;30.716667&lt;/D&gt;&lt;/FQL&gt;&lt;FQL&gt;&lt;Q&gt;Ticker0024^FE_ESTIMATE(SPEC_NO_CHANGE_2,MEAN,QUARTERLY_ROLL,2025/3F,45595,,,'')&lt;/Q&gt;&lt;R&gt;1&lt;/R&gt;&lt;C&gt;1&lt;/C&gt;&lt;D xsi:type="xsd:double"&gt;30.083334&lt;/D&gt;&lt;/FQL&gt;&lt;FQL&gt;&lt;Q&gt;Ticker0024^FE_ESTIMATE(SPEC_NO_CHANGE_2,MEAN,QUARTERLY_ROLL,2025/2F,45595,,,'')&lt;/Q&gt;&lt;R&gt;1&lt;/R&gt;&lt;C&gt;1&lt;/C&gt;&lt;D xsi:type="xsd:double"&gt;29.25&lt;/D&gt;&lt;/FQL&gt;&lt;FQL&gt;&lt;Q&gt;Ticker0024^FE_ESTIMATE(SPEC_NO_CHANGE_2,MEAN,QUARTERLY_ROLL,2025/1F,45595,,,'')&lt;/Q&gt;&lt;R&gt;1&lt;/R&gt;&lt;C&gt;1&lt;/C&gt;&lt;D xsi:type="xsd:double"&gt;30.666666&lt;/D&gt;&lt;/FQL&gt;&lt;FQL&gt;&lt;Q&gt;Ticker0024^FE_ESTIMATE(SPEC_NO_CHANGE_2,MEAN,ANNUAL_ROLL,2024,45595,,,'')&lt;/Q&gt;&lt;R&gt;1&lt;/R&gt;&lt;C&gt;1&lt;/C&gt;&lt;D xsi:type="xsd:double"&gt;29.14&lt;/D&gt;&lt;/FQL&gt;&lt;FQL&gt;&lt;Q&gt;Ticker0024^FE_ESTIMATE(SPEC_NO_CHANGE_2,MEAN,QUARTERLY_ROLL,2024/4F,45595,,,'')&lt;/Q&gt;&lt;R&gt;1&lt;/R&gt;&lt;C&gt;1&lt;/C&gt;&lt;D xsi:type="xsd:double"&gt;30&lt;/D&gt;&lt;/FQL&gt;&lt;FQL&gt;&lt;Q&gt;Ticker0024^FE_ESTIMATE(SPEC_NO_CHANGE_2,MEAN,QUARTERLY_ROLL,2024/3F,45595,,,'')&lt;/Q&gt;&lt;R&gt;1&lt;/R&gt;&lt;C&gt;1&lt;/C&gt;&lt;D xsi:type="xsd:double"&gt;31&lt;/D&gt;&lt;/FQL&gt;&lt;FQL&gt;&lt;Q&gt;Ticker0024^FE_ESTIMATE(SPEC_NO_CHANGE_2,MEAN,QUARTERLY_ROLL,2024/2F,45595,,,'')&lt;/Q&gt;&lt;R&gt;1&lt;/R&gt;&lt;C&gt;1&lt;/C&gt;&lt;D xsi:type="xsd:double"&gt;28&lt;/D&gt;&lt;/FQL&gt;&lt;FQL&gt;&lt;Q&gt;Ticker0024^FE_ESTIMATE(SPEC_NO_CHANGE_2,MEAN,QUARTERLY_ROLL,2024/1F,45595,,,'')&lt;/Q&gt;&lt;R&gt;1&lt;/R&gt;&lt;C&gt;1&lt;/C&gt;&lt;D xsi:type="xsd:double"&gt;28.1&lt;/D&gt;&lt;/FQL&gt;&lt;FQL&gt;&lt;Q&gt;Ticker0024^FE_ESTIMATE(SPEC_NO_CHANGE_2,MEAN,ANNUAL_ROLL,2023,45595,,,'')&lt;/Q&gt;&lt;R&gt;1&lt;/R&gt;&lt;C&gt;1&lt;/C&gt;&lt;D xsi:type="xsd:double"&gt;34&lt;/D&gt;&lt;/FQL&gt;&lt;FQL&gt;&lt;Q&gt;Ticker0024^FE_ESTIMATE(SPEC_NO_CHANGE_2,MEAN,QUARTERLY_ROLL,2023/4F,45595,,,'')&lt;/Q&gt;&lt;R&gt;1&lt;/R&gt;&lt;C&gt;1&lt;/C&gt;&lt;D xsi:type="xsd:double"&gt;27&lt;/D&gt;&lt;/FQL&gt;&lt;FQL&gt;&lt;Q&gt;Ticker0024^FE_ESTIMATE(SPEC_NO_CHANGE_2,MEAN,QUARTERLY_ROLL,2023/3F,45595,,,'')&lt;/Q&gt;&lt;R&gt;1&lt;/R&gt;&lt;C&gt;1&lt;/C&gt;&lt;D xsi:type="xsd:double"&gt;31&lt;/D&gt;&lt;/FQL&gt;&lt;FQL&gt;&lt;Q&gt;Ticker0024^FE_ESTIMATE(SPEC_NO_CHANGE_2,MEAN,QUARTERLY_ROLL,2023/2F,45595,,,'')&lt;/Q&gt;&lt;R&gt;1&lt;/R&gt;&lt;C&gt;1&lt;/C&gt;&lt;D xsi:type="xsd:double"&gt;38&lt;/D&gt;&lt;/FQL&gt;&lt;FQL&gt;&lt;Q&gt;Ticker0024^FE_ESTIMATE(SPEC_NO_CHANGE_2,MEAN,QUARTERLY_ROLL,2023/1F,45595,,,'')&lt;/Q&gt;&lt;R&gt;1&lt;/R&gt;&lt;C&gt;1&lt;/C&gt;&lt;D xsi:type="xsd:double"&gt;42&lt;/D&gt;&lt;/FQL&gt;&lt;FQL&gt;&lt;Q&gt;Ticker0024^FE_ESTIMATE(SPEC_NO_CHANGE_2,MEAN,ANNUAL_ROLL,2022,45595,,,'')&lt;/Q&gt;&lt;R&gt;1&lt;/R&gt;&lt;C&gt;1&lt;/C&gt;&lt;D xsi:type="xsd:double"&gt;47.05&lt;/D&gt;&lt;/FQL&gt;&lt;FQL&gt;&lt;Q&gt;Ticker0024^FE_ESTIMATE(SPEC_NO_CHANGE_2,MEAN,QUARTERLY_ROLL,2022/4F,45595,,,'')&lt;/Q&gt;&lt;R&gt;1&lt;/R&gt;&lt;C&gt;1&lt;/C&gt;&lt;D xsi:type="xsd:double"&gt;46&lt;/D&gt;&lt;/FQL&gt;&lt;FQL&gt;&lt;Q&gt;Ticker0024^FE_ESTIMATE(SPEC_NO_CHANGE_2,MEAN,QUARTERLY_ROLL,2022/3F,45595,,,'')&lt;/Q&gt;&lt;R&gt;0&lt;/R&gt;&lt;C&gt;0&lt;/C&gt;&lt;/FQL&gt;&lt;FQL&gt;&lt;Q&gt;Ticker0024^FE_ESTIMATE(SPEC_NO_CHANGE_2,MEAN,QUARTERLY_ROLL,2022/2F,45595,,,'')&lt;/Q&gt;&lt;R&gt;0&lt;/R&gt;&lt;C&gt;0&lt;/C&gt;&lt;/FQL&gt;&lt;FQL&gt;&lt;Q&gt;Ticker0024^FE_ESTIMATE(SPEC_NO_CHANGE_2,MEAN,QUARTERLY_ROLL,2022/1F,45595,,,'')&lt;/Q&gt;&lt;R&gt;0&lt;/R&gt;&lt;C&gt;0&lt;/C&gt;&lt;/FQL&gt;&lt;FQL&gt;&lt;Q&gt;Ticker0024^FE_ESTIMATE(SPEC_NO_CHANGE_2,MEAN,ANNUAL_ROLL,2021,45595,,,'')&lt;/Q&gt;&lt;R&gt;0&lt;/R&gt;&lt;C&gt;0&lt;/C&gt;&lt;/FQL&gt;&lt;FQL&gt;&lt;Q&gt;Ticker0024^FE_ESTIMATE(SPEC_NO_CHANGE_2,MEAN,QUARTERLY_ROLL,2021/4F,45595,,,'')&lt;/Q&gt;&lt;R&gt;0&lt;/R&gt;&lt;C&gt;0&lt;/C&gt;&lt;/FQL&gt;&lt;FQL&gt;&lt;Q&gt;Ticker0024^FE_ESTIMATE(SPEC_NO_CHANGE_2,MEAN,QUARTERLY_ROLL,2021/3F,45595,,,'')&lt;/Q&gt;&lt;R&gt;1&lt;/R&gt;&lt;C&gt;1&lt;/C&gt;&lt;D xsi:type="xsd:double"&gt;46&lt;/D&gt;&lt;/FQL&gt;&lt;FQL&gt;&lt;Q&gt;Ticker0024^FE_ESTIMATE(SPEC_NO_CHANGE_2,MEAN,QUARTERLY_ROLL,2021/2F,45595,,,'')&lt;/Q&gt;&lt;R&gt;0&lt;/R&gt;&lt;C&gt;0&lt;/C&gt;&lt;/FQL&gt;&lt;FQL&gt;&lt;Q&gt;Ticker0024^FE_ESTIMATE(SPEC_NO_CHANGE_2,MEAN,QUARTERLY_ROLL,2021/1F,45595,,,'')&lt;/Q&gt;&lt;R&gt;0&lt;/R&gt;&lt;C&gt;0&lt;/C&gt;&lt;/FQL&gt;&lt;FQL&gt;&lt;Q&gt;Ticker0024^FE_ESTIMATE(SPEC_NO_CHANGE_2,MEAN,ANNUAL_ROLL,2020,45595,,,'')&lt;/Q&gt;&lt;R&gt;0&lt;/R&gt;&lt;C&gt;0&lt;/C&gt;&lt;/FQL&gt;&lt;FQL&gt;&lt;Q&gt;Ticker0024^FE_ESTIMATE(SPEC_NO_CHANGE_2,MEAN,QUARTERLY_ROLL,2020/4F,45595,,,'')&lt;/Q&gt;&lt;R&gt;0&lt;/R&gt;&lt;C&gt;0&lt;/C&gt;&lt;/FQL&gt;&lt;FQL&gt;&lt;Q&gt;Ticker0024^FE_ESTIMATE(SPEC_NO_CHANGE_2,MEAN,QUARTERLY_ROLL,2020/3F,45595,,,'')&lt;/Q&gt;&lt;R&gt;0&lt;/R&gt;&lt;C&gt;0&lt;/C&gt;&lt;/FQL&gt;&lt;FQL&gt;&lt;Q&gt;Ticker0024^FE_ESTIMATE(SPEC_NO_CHANGE_2,MEAN,QUARTERLY_ROLL,2020/2F,45595,,,'')&lt;/Q&gt;&lt;R&gt;0&lt;/R&gt;&lt;C&gt;0&lt;/C&gt;&lt;/FQL&gt;&lt;FQL&gt;&lt;Q&gt;Ticker0024^FE_ESTIMATE(SPEC_NO_CHANGE_2,MEAN,QUARTERLY_ROLL,2020/1F,45595,,,'')&lt;/Q&gt;&lt;R&gt;0&lt;/R&gt;&lt;C&gt;0&lt;/C&gt;&lt;/FQL&gt;&lt;FQL&gt;&lt;Q&gt;Ticker0024^FE_ESTIMATE(SPEC_NO_CHANGE_2,MEAN,ANNUAL_ROLL,2019,45595,,,'')&lt;/Q&gt;&lt;R&gt;0&lt;/R&gt;&lt;C&gt;0&lt;/C&gt;&lt;/FQL&gt;&lt;FQL&gt;&lt;Q&gt;Ticker0024^FE_ESTIMATE(SPEC_NO_CHANGE_2,MEAN,QUARTERLY_ROLL,2019/4F,45595,,,'')&lt;/Q&gt;&lt;R&gt;0&lt;/R&gt;&lt;C&gt;0&lt;/C&gt;&lt;/FQL&gt;&lt;FQL&gt;&lt;Q&gt;Ticker0024^FE_ESTIMATE(SPEC_NO_CHANGE_2,MEAN,QUARTERLY_ROLL,2019/3F,45595,,,'')&lt;/Q&gt;&lt;R&gt;0&lt;/R&gt;&lt;C&gt;0&lt;/C&gt;&lt;/FQL&gt;&lt;FQL&gt;&lt;Q&gt;Ticker0024^FE_ESTIMATE(SPEC_NO_CHANGE_2,MEAN,QUARTERLY_ROLL,2019/2F,45595,,,'')&lt;/Q&gt;&lt;R&gt;0&lt;/R&gt;&lt;C&gt;0&lt;/C&gt;&lt;/FQL&gt;&lt;FQL&gt;&lt;Q&gt;Ticker0024^FE_ESTIMATE(SPEC_NO_CHANGE_2,MEAN,QUARTERLY_ROLL,2019/1F,45595,,,'')&lt;/Q&gt;&lt;R&gt;0&lt;/R&gt;&lt;C&gt;0&lt;/C&gt;&lt;/FQL&gt;&lt;FQL&gt;&lt;Q&gt;Ticker0024^FE_ESTIMATE(SPEC_NO_CHANGE_2,MEAN,ANNUAL_ROLL,2018,45595,,,'')&lt;/Q&gt;&lt;R&gt;0&lt;/R&gt;&lt;C&gt;0&lt;/C&gt;&lt;/FQL&gt;&lt;FQL&gt;&lt;Q&gt;Ticker0024^FE_ESTIMATE(SPEC_NO_CHANGE_2,MEAN,QUARTERLY_ROLL,2018/4F,45595,,,'')&lt;/Q&gt;&lt;R&gt;0&lt;/R&gt;&lt;C&gt;0&lt;/C&gt;&lt;/FQL&gt;&lt;FQL&gt;&lt;Q&gt;Ticker0024^FE_ESTIMATE(SPEC_NO_CHANGE_2,MEAN,QUARTERLY_ROLL,2018/3F,45595,,,'')&lt;/Q&gt;&lt;R&gt;0&lt;/R&gt;&lt;C&gt;0&lt;/C&gt;&lt;/FQL&gt;&lt;FQL&gt;&lt;Q&gt;Ticker0024^FE_ESTIMATE(SPEC_NO_CHANGE_2,MEAN,QUARTERLY_ROLL,2018/2F,45595,,,'')&lt;/Q&gt;&lt;R&gt;0&lt;/R&gt;&lt;C&gt;0&lt;/C&gt;&lt;/FQL&gt;&lt;FQL&gt;&lt;Q&gt;Ticker0024^FE_ESTIMATE(SPEC_NO_CHANGE_2,MEAN,QUARTERLY_ROLL,2018/1F,45595,,,'')&lt;/Q&gt;&lt;R&gt;0&lt;/R&gt;&lt;C&gt;0&lt;/C&gt;&lt;/FQL&gt;&lt;FQL&gt;&lt;Q&gt;Ticker0024^FE_ESTIMATE(SPEC_NO_CHANGE_2,MEAN,ANNUAL_ROLL,2017,45595,,,'')&lt;/Q&gt;&lt;R&gt;0&lt;/R&gt;&lt;C&gt;0&lt;/C&gt;&lt;/FQL&gt;&lt;FQL&gt;&lt;Q&gt;Ticker0024^FE_ESTIMATE(SPEC_NO_CHANGE_2,MEAN,QUARTERLY_ROLL,2017/4F,45595,,,'')&lt;/Q&gt;&lt;R&gt;0&lt;/R&gt;&lt;C&gt;0&lt;/C&gt;&lt;/FQL&gt;&lt;FQL&gt;&lt;Q&gt;Ticker0024^FE_ESTIMATE(SPEC_NO_CHANGE_2,MEAN,QUARTERLY_ROLL,2017/3F,45595,,,'')&lt;/Q&gt;&lt;R&gt;0&lt;/R&gt;&lt;C&gt;0&lt;/C&gt;&lt;/FQL&gt;&lt;FQL&gt;&lt;Q&gt;Ticker0024^FE_ESTIMATE(SPEC_NO_CHANGE_2,MEAN,QUARTERLY_ROLL,2017/2F,45595,,,'')&lt;/Q&gt;&lt;R&gt;0&lt;/R&gt;&lt;C&gt;0&lt;/C&gt;&lt;/FQL&gt;&lt;FQL&gt;&lt;Q&gt;Ticker0024^FE_ESTIMATE(SPEC_NO_CHANGE_2,MEAN,QUARTERLY_ROLL,2017/1F,45595,,,'')&lt;/Q&gt;&lt;R&gt;0&lt;/R&gt;&lt;C&gt;0&lt;/C&gt;&lt;/FQL&gt;&lt;FQL&gt;&lt;Q&gt;Ticker0024^FE_ESTIMATE(SPEC_NO_CHANGE_2,MEAN,ANNUAL_ROLL,2016,45595,,,'')&lt;/Q&gt;&lt;R&gt;0&lt;/R&gt;&lt;C&gt;0&lt;/C&gt;&lt;/FQL&gt;&lt;FQL&gt;&lt;Q&gt;Ticker0024^FE_ESTIMATE(SPEC_NO_CHANGE_2,MEAN,QUARTERLY_ROLL,2016/4F,45595,,,'')&lt;/Q&gt;&lt;R&gt;0&lt;/R&gt;&lt;C&gt;0&lt;/C&gt;&lt;/FQL&gt;&lt;FQL&gt;&lt;Q&gt;Ticker0024^FE_ESTIMATE(SPEC_NO_CHANGE_2,MEAN,QUARTERLY_ROLL,2016/3F,45595,,,'')&lt;/Q&gt;&lt;R&gt;0&lt;/R&gt;&lt;C&gt;0&lt;/C&gt;&lt;/FQL&gt;&lt;FQL&gt;&lt;Q&gt;Ticker0024^FE_ESTIMATE(SPEC_NO_CHANGE_2,MEAN,QUARTERLY_ROLL,2016/2F,45595,,,'')&lt;/Q&gt;&lt;R&gt;0&lt;/R&gt;&lt;C&gt;0&lt;/C&gt;&lt;/FQL&gt;&lt;FQL&gt;&lt;Q&gt;Ticker0024^FE_ESTIMATE(SPEC_NO_CHANGE_2,MEAN,QUARTERLY_ROLL,2016/1F,45595,,,'')&lt;/Q&gt;&lt;R&gt;0&lt;/R&gt;&lt;C&gt;0&lt;/C&gt;&lt;/FQL&gt;&lt;FQL&gt;&lt;Q&gt;Ticker0024^FE_ESTIMATE(SPEC_NO_CHANGE_2,MEAN,ANNUAL_ROLL,2015,45595,,,'')&lt;/Q&gt;&lt;R&gt;0&lt;/R&gt;&lt;C&gt;0&lt;/C&gt;&lt;/FQL&gt;&lt;FQL&gt;&lt;Q&gt;Ticker0024^FE_ESTIMATE(SPEC_NO_CHANGE_2,MEAN,QUARTERLY_ROLL,2015/4F,45595,,,'')&lt;/Q&gt;&lt;R&gt;0&lt;/R&gt;&lt;C&gt;0&lt;/C&gt;&lt;/FQL&gt;&lt;FQL&gt;&lt;Q&gt;Ticker0024^FE_ESTIMATE(SPEC_NO_CHANGE_2,MEAN,QUARTERLY_ROLL,2015/3F,45595,,,'')&lt;/Q&gt;&lt;R&gt;0&lt;/R&gt;&lt;C&gt;0&lt;/C&gt;&lt;/FQL&gt;&lt;FQL&gt;&lt;Q&gt;Ticker0024^FE_ESTIMATE(SPEC_NO_CHANGE_2,MEAN,QUARTERLY_ROLL,2015/2F,45595,,,'')&lt;/Q&gt;&lt;R&gt;0&lt;/R&gt;&lt;C&gt;0&lt;/C&gt;&lt;/FQL&gt;&lt;FQL&gt;&lt;Q&gt;Ticker0024^FE_ESTIMATE(SPEC_NO_CHANGE_2,MEAN,QUARTERLY_ROLL,2015/1F,45595,,,'')&lt;/Q&gt;&lt;R&gt;0&lt;/R&gt;&lt;C&gt;0&lt;/C&gt;&lt;/FQL&gt;&lt;FQL&gt;&lt;Q&gt;Ticker0024^FE_ESTIMATE(SPEC_NO_CHANGE_1,MEAN,ANNUAL_ROLL,2030,45595,,,'')&lt;/Q&gt;&lt;R&gt;0&lt;/R&gt;&lt;C&gt;0&lt;/C&gt;&lt;/FQL&gt;&lt;FQL&gt;&lt;Q&gt;Ticker0024^FE_ESTIMATE(SPEC_NO_CHANGE_1,MEAN,QUARTERLY_ROLL,2030/4F,45595,,,'')&lt;/Q&gt;&lt;R&gt;0&lt;/R&gt;&lt;C&gt;0&lt;/C&gt;&lt;/FQL&gt;&lt;FQL&gt;&lt;Q&gt;Ticker0024^FE_ESTIMATE(SPEC_NO_CHANGE_1,MEAN,QUARTERLY_ROLL,2030/3F,45595,,,'')&lt;/Q&gt;&lt;R&gt;0&lt;/R&gt;&lt;C&gt;0&lt;/C&gt;&lt;/FQL&gt;&lt;FQL&gt;&lt;Q&gt;Ticker0024^FE_ESTIMATE(SPEC_NO_CHANGE_1,MEAN,QUARTERLY_ROLL,2030/2F,45595,,,'')&lt;/Q&gt;&lt;R&gt;0&lt;/R&gt;&lt;C&gt;0&lt;/C&gt;&lt;/FQL&gt;&lt;FQL&gt;&lt;Q&gt;Ticker0024^FE_ESTIMATE(SPEC_NO_CHANGE_1,MEAN,QUARTERLY_ROLL,2030/1F,45595,,,'')&lt;/Q&gt;&lt;R&gt;0&lt;/R&gt;&lt;C&gt;0&lt;/C&gt;&lt;/FQL&gt;&lt;FQL&gt;&lt;Q&gt;Ticker0024^FE_ESTIMATE(SPEC_NO_CHANGE_1,MEAN,ANNUAL_ROLL,2029,45595,,,'')&lt;/Q&gt;&lt;R&gt;0&lt;/R&gt;&lt;C&gt;0&lt;/C&gt;&lt;/FQL&gt;&lt;FQL&gt;&lt;Q&gt;Ticker0024^FE_ESTIMATE(SPEC_NO_CHANGE_1,MEAN,QUARTERLY_ROLL,2029/4F,45595,,,'')&lt;/Q&gt;&lt;R&gt;0&lt;/R&gt;&lt;C&gt;0&lt;/C&gt;&lt;/FQL&gt;&lt;FQL&gt;&lt;Q&gt;Ticker0024^FE_ESTIMATE(SPEC_NO_CHANGE_1,MEAN,QUARTERLY_ROLL,2029/3F,45595,,,'')&lt;/Q&gt;&lt;R&gt;0&lt;/R&gt;&lt;C&gt;0&lt;/C&gt;&lt;/FQL&gt;&lt;FQL&gt;&lt;Q&gt;Ticker0024^FE_ESTIMATE(SPEC_NO_CHANGE_1,MEAN,QUARTERLY_ROLL,2029/2F,45595,,,'')&lt;/Q&gt;&lt;R&gt;0&lt;/R&gt;&lt;C&gt;0&lt;/C&gt;&lt;/FQL&gt;&lt;FQL&gt;&lt;Q&gt;Ticker0024^FE_ESTIMATE(SPEC_NO_CHANGE_1,MEAN,QUARTERLY_ROLL,2029/1F,45595,,,'')&lt;/Q&gt;&lt;R&gt;0&lt;/R&gt;&lt;C&gt;0&lt;/C&gt;&lt;/FQL&gt;&lt;FQL&gt;&lt;Q&gt;Ticker0024^FE_ESTIMATE(SPEC_NO_CHANGE_1,MEAN,ANNUAL_ROLL,2028,45595,,,'')&lt;/Q&gt;&lt;R&gt;1&lt;/R&gt;&lt;C&gt;1&lt;/C&gt;&lt;D xsi:type="xsd:double"&gt;24&lt;/D&gt;&lt;/FQL&gt;&lt;FQL&gt;&lt;Q&gt;Ticker0024^FE_ESTIMATE(SPEC_NO_CHANGE_1,MEAN,QUARTERLY_ROLL,2028/4F,45595,,,'')&lt;/Q&gt;&lt;R&gt;0&lt;/R&gt;&lt;C&gt;0&lt;/C&gt;&lt;/FQL&gt;&lt;FQL&gt;&lt;Q&gt;Ticker0024^FE_ESTIMATE(SPEC_NO_CHANGE_1,MEAN,QUARTERLY_ROLL,2028/3F,45595,,,'')&lt;/Q&gt;&lt;R&gt;0&lt;/R&gt;&lt;C&gt;0&lt;/C&gt;&lt;/FQL&gt;&lt;FQL&gt;&lt;Q&gt;Ticker0024^FE_ESTIMATE(SPEC_NO_CHANGE_1,MEAN,QUARTERLY_ROLL,2028/2F,45595,,,'')&lt;/Q&gt;&lt;R&gt;0&lt;/R&gt;&lt;C&gt;0&lt;/C&gt;&lt;/FQL&gt;&lt;FQL&gt;&lt;Q&gt;Ticker0024^FE_ESTIMATE(SPEC_NO_CHANGE_1,MEAN,QUARTERLY_ROLL,2028/1F,45595,,,'')&lt;/Q&gt;&lt;R&gt;0&lt;/R&gt;&lt;C&gt;0&lt;/C&gt;&lt;/FQL&gt;&lt;FQL&gt;&lt;Q&gt;Ticker0024^FE_ESTIMATE(SPEC_NO_CHANGE_1,MEAN,ANNUAL_ROLL,2027,45595,,,'')&lt;/Q&gt;&lt;R&gt;1&lt;/R&gt;&lt;C&gt;1&lt;/C&gt;&lt;D xsi:type="xsd:double"&gt;26&lt;/D&gt;&lt;/FQL&gt;&lt;FQL&gt;&lt;Q&gt;Ticker0024^FE_ESTIMATE(SPEC_NO_CHANGE_1,MEAN,QUARTERLY_ROLL,2027/4F,45595,,,'')&lt;/Q&gt;&lt;R&gt;0&lt;/R&gt;&lt;C&gt;0&lt;/C&gt;&lt;/FQL&gt;&lt;FQL&gt;&lt;Q&gt;Ticker0024^FE_ESTIMATE(SPEC_NO_CHANGE_1,MEAN,QUARTERLY_ROLL,2027/3F,45595,,,'')&lt;/Q&gt;&lt;R&gt;0&lt;/R&gt;&lt;C&gt;0&lt;/C&gt;&lt;/FQL&gt;&lt;FQL&gt;&lt;Q&gt;Ticker0024^FE_ESTIMATE(SPEC_NO_CHANGE_1,MEAN,QUARTERLY_ROLL,2027/2F,45595,,,'')&lt;/Q&gt;&lt;R&gt;0&lt;/R&gt;&lt;C&gt;0&lt;/C&gt;&lt;/FQL&gt;&lt;FQL&gt;&lt;Q&gt;Ticker0024^FE_ESTIMATE(SPEC_NO_CHANGE_1,MEAN,QUARTERLY_ROLL,2027/1F,45595,,,'')&lt;/Q&gt;&lt;R&gt;0&lt;/R&gt;&lt;C&gt;0&lt;/C&gt;&lt;/FQL&gt;&lt;FQL&gt;&lt;Q&gt;Ticker0024^FE_ESTIMATE(SPEC_NO_CHANGE_1,MEAN,ANNUAL_ROLL,2026,45595,,,'')&lt;/Q&gt;&lt;R&gt;1&lt;/R&gt;&lt;C&gt;1&lt;/C&gt;&lt;D xsi:type="xsd:double"&gt;28.25&lt;/D&gt;&lt;/FQL&gt;&lt;FQL&gt;&lt;Q&gt;Ticker0024^FE_ESTIMATE(SPEC_NO_CHANGE_1,MEAN,QUARTERLY_ROLL,2026/4F,45595,,,'')&lt;/Q&gt;&lt;R&gt;0&lt;/R&gt;&lt;C&gt;0&lt;/C&gt;&lt;/FQL&gt;&lt;FQL&gt;&lt;Q&gt;Ticker0024^FE_ESTIMATE(SPEC_NO_CHANGE_1,MEAN,QUARTERLY_ROLL,2026/3F,45595,,,'')&lt;/Q&gt;&lt;R&gt;0&lt;/R&gt;&lt;C&gt;0&lt;/C&gt;&lt;/FQL&gt;&lt;FQL&gt;&lt;Q&gt;Ticker0024^FE_ESTIMATE(SPEC_NO_CHANGE_1,MEAN,QUARTERLY_ROLL,2026/2F,45595,,,'')&lt;/Q&gt;&lt;R&gt;0&lt;/R&gt;&lt;C&gt;0&lt;/C&gt;&lt;/FQL&gt;&lt;FQL&gt;&lt;Q&gt;Ticker0024^FE_ESTIMATE(SPEC_NO_CHANGE_1,MEAN,QUARTERLY_ROLL,2026/1F,45595,,,'')&lt;/Q&gt;&lt;R&gt;0&lt;/R&gt;&lt;C&gt;0&lt;/C&gt;&lt;/FQL&gt;&lt;FQL&gt;&lt;Q&gt;Ticker0024^FE_ESTIMATE(SPEC_NO_CHANGE_1,MEAN,ANNUAL_ROLL,2025,45595,,,'')&lt;/Q&gt;&lt;R&gt;1&lt;/R&gt;&lt;C&gt;1&lt;/C&gt;&lt;D xsi:type="xsd:double"&gt;28.1&lt;/D&gt;&lt;/FQL&gt;&lt;FQL&gt;&lt;Q&gt;Ticker0024^FE_ESTIMATE(SPEC_NO_CHANGE_1,MEAN,QUARTERLY_ROLL,2025/4F,45595,,,'')&lt;/Q&gt;&lt;R&gt;1&lt;/R&gt;&lt;C&gt;1&lt;/C&gt;&lt;D xsi:type="xsd:double"&gt;28.35&lt;/D&gt;&lt;/FQL&gt;&lt;FQL&gt;&lt;Q&gt;Ticker0024^FE_ESTIMATE(SPEC_NO_CHANGE_1,MEAN,QUARTERLY_ROLL,2025/3F,45595,,,'')&lt;/Q&gt;&lt;R&gt;1&lt;/R&gt;&lt;C&gt;1&lt;/C&gt;&lt;D xsi:type="xsd:double"&gt;27.375&lt;/D&gt;&lt;/FQL&gt;&lt;FQL&gt;&lt;Q&gt;Ticker0024^FE_ESTIMATE(SPEC_NO_CHANGE_1,MEAN,QUARTERLY_ROLL,2025/2F,45595,,,'')&lt;/Q&gt;&lt;R&gt;1&lt;/R&gt;&lt;C&gt;1&lt;/C&gt;&lt;D xsi:type="xsd:double"&gt;27.18&lt;/D&gt;&lt;/FQL&gt;&lt;FQL&gt;&lt;Q&gt;Ticker0024^FE_ESTIMATE(SPEC_NO_CHANGE_1,MEAN,QUARTERLY_ROLL,2025/1F,45595,,,'')&lt;/Q&gt;&lt;R&gt;1&lt;/R&gt;&lt;C&gt;1&lt;/C&gt;&lt;D xsi:type="xsd:double"&gt;28.64&lt;/D&gt;&lt;/FQL&gt;&lt;FQL&gt;&lt;Q&gt;Ticker0024^FE_ESTIMATE(SPEC_NO_CHANGE_1,MEAN,ANNUAL_ROLL,2024,45595,,,'')&lt;/Q&gt;&lt;R&gt;1&lt;/R&gt;&lt;C&gt;1&lt;/C&gt;&lt;D xsi:type="xsd:double"&gt;29.966667&lt;/D&gt;&lt;/FQL&gt;&lt;FQL&gt;&lt;Q&gt;Ticker0024^FE_ESTIMATE(SPEC_NO_CHANGE_1,MEAN,QUARTERLY_ROLL,2024/4F,45595,,,'')&lt;/Q&gt;&lt;R&gt;1&lt;/R&gt;&lt;C&gt;1&lt;/C&gt;&lt;D xsi:type="xsd:double"&gt;28.933332&lt;/D&gt;&lt;/FQL&gt;&lt;FQL&gt;&lt;Q&gt;Ticker0024^FE_ESTIMATE(SPEC_NO_CHANGE_1,MEAN,QUARTERLY_ROLL,2024/3F,45595,,,'')&lt;/Q&gt;&lt;R&gt;1&lt;/R&gt;&lt;C&gt;1&lt;/C&gt;&lt;D xsi:type="xsd:double"&gt;31.02&lt;/D&gt;&lt;/FQL&gt;&lt;FQL&gt;&lt;Q&gt;Ticker0024^FE_ESTIMATE(SPEC_NO_CHANGE_1,MEAN,QUARTERLY_ROLL,2024/2F,45595,,,'')&lt;/Q&gt;&lt;R&gt;1&lt;/R&gt;&lt;C&gt;1&lt;/C&gt;&lt;D xsi:type="xsd:double"&gt;30.06&lt;/D&gt;&lt;/FQL&gt;&lt;FQL&gt;&lt;Q&gt;Ticker0024^FE_ESTIMATE(SPEC_NO_CHANGE_1,MEAN,QUARTERLY_ROLL,2024/1F,45595,,,'')&lt;/Q&gt;&lt;R&gt;1&lt;/R&gt;&lt;C&gt;1&lt;/C&gt;&lt;D xsi:type="xsd:double"&gt;29.066668&lt;/D&gt;&lt;/FQL&gt;&lt;FQL&gt;&lt;Q&gt;Ticker0024^FE_ESTIMATE(SPEC_NO_CHANGE_1,MEAN,ANNUAL_ROLL,2023,45595,,,'')&lt;/Q&gt;&lt;R&gt;1&lt;/R&gt;&lt;C&gt;1&lt;/C&gt;&lt;D xsi:type="xsd:double"&gt;29.166666&lt;/D&gt;&lt;/FQL&gt;&lt;FQL&gt;&lt;Q&gt;Ticker0024^FE_ESTIMATE(SPEC_NO_CHANGE_1,MEAN,QUARTERLY_ROLL,2023/4F,45595,,,'')&lt;/Q&gt;&lt;R&gt;1&lt;/R&gt;&lt;C&gt;1&lt;/C&gt;&lt;D xsi:type="xsd:double"&gt;25.916666&lt;/D&gt;&lt;/FQL&gt;&lt;FQL&gt;&lt;Q&gt;Ticker0024^FE_ESTIMATE(SPEC_NO_CHANGE_1,MEAN,QUARTERLY_ROLL,2023/3F,45595,,,'')&lt;/Q&gt;&lt;R&gt;1&lt;/R&gt;&lt;C&gt;1&lt;/C&gt;&lt;D xsi:type="xsd:double"&gt;27.766666&lt;/D&gt;&lt;/FQL&gt;&lt;FQL&gt;&lt;Q&gt;Ticker0024^FE_ESTIMATE(SPEC_NO_CHANGE_1,MEAN,QUARTERLY_ROLL,2023/2F,45595,,,'')&lt;/Q&gt;&lt;R&gt;1&lt;/R&gt;&lt;C&gt;1&lt;/C&gt;&lt;D xsi:type="xsd:double"&gt;31&lt;/D&gt;&lt;/FQL&gt;&lt;FQL&gt;&lt;Q&gt;Ticker0024^FE_ESTIMATE(SPEC_NO_CHANGE_1,MEAN,QUARTERLY_ROLL,2023/1F,45595,,,'')&lt;/Q&gt;&lt;R&gt;1&lt;/R&gt;&lt;C&gt;1&lt;/C&gt;&lt;D xsi:type="xsd:double"&gt;35&lt;/D&gt;&lt;/FQL&gt;&lt;FQL&gt;&lt;Q&gt;Ticker0024^FE_ESTIMATE(SPEC_NO_CHANGE_1,MEAN,ANNUAL_ROLL,2022,45595,,,'')&lt;/Q&gt;&lt;R&gt;1&lt;/R&gt;&lt;C&gt;1&lt;/C&gt;&lt;D xsi:type="xsd:double"&gt;45.05&lt;/D&gt;&lt;/FQL&gt;&lt;FQL&gt;&lt;Q&gt;Ticker0024^FE_ESTIMATE(SPEC_NO_CHANGE_1,MEAN,QUARTERLY_ROLL,2022/4F,45595,,,'')&lt;/Q&gt;&lt;R&gt;1&lt;/R&gt;&lt;C&gt;1&lt;/C&gt;&lt;D xsi:type="xsd:double"&gt;40&lt;/D&gt;&lt;/FQL&gt;&lt;FQL&gt;&lt;Q&gt;Ticker0024^FE_ESTIMATE(SPEC_NO_CHANGE_1,MEAN,QUARTERLY_ROLL,2022/3F,45595,,,'')&lt;/Q&gt;&lt;R&gt;1&lt;/R&gt;&lt;C&gt;1&lt;/C&gt;&lt;D xsi:type="xsd:double"&gt;46&lt;/D&gt;&lt;/FQL&gt;&lt;FQL&gt;&lt;Q&gt;Ticker0024^FE_ESTIMATE(SPEC_NO_CHANGE_1,MEAN,QUARTERLY_ROLL,2022/2F,45595,,,'')&lt;/Q&gt;&lt;R&gt;1&lt;/R&gt;&lt;C&gt;1&lt;/C&gt;&lt;D xsi:type="xsd:double"&gt;46&lt;/D&gt;&lt;/FQL&gt;&lt;FQL&gt;&lt;Q&gt;Ticker0024^FE_ESTIMATE(SPEC_NO_CHANGE_1,MEAN,QUARTERLY_ROLL,2022/1F,45595,,,'')&lt;/Q&gt;&lt;R&gt;1&lt;/R&gt;&lt;C&gt;1&lt;/C&gt;&lt;D xsi:type="xsd:double"&gt;50&lt;/D&gt;&lt;/FQL&gt;&lt;FQL&gt;&lt;Q&gt;Ticker0024^FE_ESTIMATE(SPEC_NO_CHANGE_1,MEAN,ANNUAL_ROLL,2021,45595,,,'')&lt;/Q&gt;&lt;R&gt;1&lt;/R&gt;&lt;C&gt;1&lt;/C&gt;&lt;D xsi:type="xsd:double"&gt;49.8&lt;/D&gt;&lt;/FQL&gt;&lt;FQL&gt;&lt;Q&gt;Ticker0024^FE_ESTIMATE(SPEC_NO_CHANGE_1,MEAN,QUARTERLY_ROLL,2021/4F,45595,,,'')&lt;/Q&gt;&lt;R&gt;1&lt;/R&gt;&lt;C&gt;1&lt;/C&gt;&lt;D xsi:type="xsd:double"&gt;51&lt;/D&gt;&lt;/FQL&gt;&lt;FQL&gt;&lt;Q&gt;Ticker0024^FE_ESTIMATE(SPEC_NO_CHANGE_1,MEAN,QUARTERLY_ROLL,2021/3F,45595,,,'')&lt;/Q&gt;&lt;R&gt;1&lt;/R&gt;&lt;C&gt;1&lt;/C&gt;&lt;D xsi:type="xsd:double"&gt;50&lt;/D&gt;&lt;/FQL&gt;&lt;FQL&gt;&lt;Q&gt;Ticker0024^FE_ESTIMATE(SPEC_NO_CHANGE_1,MEAN,QUARTERLY_ROLL,2021/2F,45595,,,'')&lt;/Q&gt;&lt;R&gt;1&lt;/R&gt;&lt;C&gt;1&lt;/C&gt;&lt;D xsi:type="xsd:double"&gt;50&lt;/D&gt;&lt;/FQL&gt;&lt;FQL&gt;&lt;Q&gt;Ticker0024^FE_ESTIMATE(SPEC_NO_CHANGE_1,MEAN,QUARTERLY_ROLL,2021/1F,45595,,,'')&lt;/Q&gt;&lt;R&gt;1&lt;/R&gt;&lt;C&gt;1&lt;/C&gt;&lt;D xsi:type="xsd:double"&gt;48&lt;/D&gt;&lt;/FQL&gt;&lt;FQL&gt;&lt;Q&gt;Ticker0024^FE_ESTIMATE(SPEC_NO_CHANGE_1,MEAN,ANNUAL_ROLL,2020,45595,,,'')&lt;/Q&gt;&lt;R&gt;0&lt;/R&gt;&lt;C&gt;0&lt;/C&gt;&lt;/FQL&gt;&lt;FQL&gt;&lt;Q&gt;Ticker0024^FE_ESTIMATE(SPEC_NO_CHANGE_1,MEAN,QUARTERLY_ROLL,2020/4F,45595,,,'')&lt;/Q&gt;&lt;R&gt;0&lt;/R&gt;&lt;C&gt;0&lt;/C&gt;&lt;/FQL&gt;&lt;FQL&gt;&lt;Q&gt;Ticker0024^FE_ESTIMATE(SPEC_NO_CHANGE_1,MEAN,QUARTERLY_ROLL,2020/3F,45595,,,'')&lt;/Q&gt;&lt;R&gt;0&lt;/R&gt;&lt;C&gt;0&lt;/C&gt;&lt;/FQL&gt;&lt;FQL&gt;&lt;Q&gt;Ticker0024^FE_ESTIMATE(SPEC_NO_CHANGE_1,MEAN,QUARTERLY_ROLL,2020/2F,45595,,,'')&lt;/Q&gt;&lt;R&gt;0&lt;/R&gt;&lt;C&gt;0&lt;/C&gt;&lt;/FQL&gt;&lt;FQL&gt;&lt;Q&gt;Ticker0024^FE_ESTIMATE(SPEC_NO_CHANGE_1,MEAN,QUARTERLY_ROLL,2020/1F,45595,,,'')&lt;/Q&gt;&lt;R&gt;0&lt;/R&gt;&lt;C&gt;0&lt;/C&gt;&lt;/FQL&gt;&lt;FQL&gt;&lt;Q&gt;Ticker0024^FE_ESTIMATE(SPEC_NO_CHANGE_1,MEAN,ANNUAL_ROLL,2019,45595,,,'')&lt;/Q&gt;&lt;R&gt;0&lt;/R&gt;&lt;C&gt;0&lt;/C&gt;&lt;/FQL&gt;&lt;FQL&gt;&lt;Q&gt;Ticker0024^FE_ESTIMATE(SPEC_NO_CHANGE_1,MEAN,QUARTERLY_ROLL,2019/4F,45595,,,'')&lt;/Q&gt;&lt;R&gt;0&lt;/R&gt;&lt;C&gt;0&lt;/C&gt;&lt;/FQL&gt;&lt;FQL&gt;&lt;Q&gt;Ticker0024^FE_ESTIMATE(SPEC_NO_CHANGE_1,MEAN,QUARTERLY_ROLL,2019/3F,45595,,,'')&lt;/Q&gt;&lt;R&gt;0&lt;/R&gt;&lt;C&gt;0&lt;/C&gt;&lt;/FQL&gt;&lt;FQL&gt;&lt;Q&gt;Ticker0024^FE_ESTIMATE(SPEC_NO_CHANGE_1,MEAN,QUARTERLY_ROLL,2019/2F,45595,,,'')&lt;/Q&gt;&lt;R&gt;0&lt;/R&gt;&lt;C&gt;0&lt;/C&gt;&lt;/FQL&gt;&lt;FQL&gt;&lt;Q&gt;Ticker0024^FE_ESTIMATE(SPEC_NO_CHANGE_1,MEAN,QUARTERLY_ROLL,2019/1F,45595,,,'')&lt;/Q&gt;&lt;R&gt;0&lt;/R&gt;&lt;C&gt;0&lt;/C&gt;&lt;/FQL&gt;&lt;FQL&gt;&lt;Q&gt;Ticker0024^FE_ESTIMATE(SPEC_NO_CHANGE_1,MEAN,ANNUAL_ROLL,2018,45595,,,'')&lt;/Q&gt;&lt;R&gt;0&lt;/R&gt;&lt;C&gt;0&lt;/C&gt;&lt;/FQL&gt;&lt;FQL&gt;&lt;Q&gt;Ticker0024^FE_ESTIMATE(SPEC_NO_CHANGE_1,MEAN,QUARTERLY_ROLL,2018/4F,45595,,,'')&lt;/Q&gt;&lt;R&gt;0&lt;/R&gt;&lt;C&gt;0&lt;/C&gt;&lt;/FQL&gt;&lt;FQL&gt;&lt;Q&gt;Ticker0024^FE_ESTIMATE(SPEC_NO_CHANGE_1,MEAN,QUARTERLY_ROLL,2018/3F,45595,,,'')&lt;/Q&gt;&lt;R&gt;0&lt;/R&gt;&lt;C&gt;0&lt;/C&gt;&lt;/FQL&gt;&lt;FQL&gt;&lt;Q&gt;Ticker0024^FE_ESTIMATE(SPEC_NO_CHANGE_1,MEAN,QUARTERLY_ROLL,2018/2F,45595,,,'')&lt;/Q&gt;&lt;R&gt;0&lt;/R&gt;&lt;C&gt;0&lt;/C&gt;&lt;/FQL&gt;&lt;FQL&gt;&lt;Q&gt;Ticker0024^FE_ESTIMATE(SPEC_NO_CHANGE_1,MEAN,QUARTERLY_ROLL,2018/1F,45595,,,'')&lt;/Q&gt;&lt;R&gt;0&lt;/R&gt;&lt;C&gt;0&lt;/C&gt;&lt;/FQL&gt;&lt;FQL&gt;&lt;Q&gt;Ticker0024^FE_ESTIMATE(SPEC_NO_CHANGE_1,MEAN,ANNUAL_ROLL,2017,45595,,,'')&lt;/Q&gt;&lt;R&gt;0&lt;/R&gt;&lt;C&gt;0&lt;/C&gt;&lt;/FQL&gt;&lt;FQL&gt;&lt;Q&gt;Ticker0024^FE_ESTIMATE(SPEC_NO_CHANGE_1,MEAN,QUARTERLY_ROLL,2017/4F,45595,,,'')&lt;/Q&gt;&lt;R&gt;0&lt;/R&gt;&lt;C&gt;0&lt;/C&gt;&lt;/FQL&gt;&lt;FQL&gt;&lt;Q&gt;Ticker0024^FE_ESTIMATE(SPEC_NO_CHANGE_1,MEAN,QUARTERLY_ROLL,2017/3F,45595,,,'')&lt;/Q&gt;&lt;R&gt;0&lt;/R&gt;&lt;C&gt;0&lt;/C&gt;&lt;/FQL&gt;&lt;FQL&gt;&lt;Q&gt;Ticker0024^FE_ESTIMATE(SPEC_NO_CHANGE_1,MEAN,QUARTERLY_ROLL,2017/2F,45595,,,'')&lt;/Q&gt;&lt;R&gt;0&lt;/R&gt;&lt;C&gt;0&lt;/C&gt;&lt;/FQL&gt;&lt;FQL&gt;&lt;Q&gt;Ticker0024^FE_ESTIMATE(SPEC_NO_CHANGE_1,MEAN,QUARTERLY_ROLL,2017/1F,45595,,,'')&lt;/Q&gt;&lt;R&gt;0&lt;/R&gt;&lt;C&gt;0&lt;/C&gt;&lt;/FQL&gt;&lt;FQL&gt;&lt;Q&gt;Ticker0024^FE_ESTIMATE(SPEC_NO_CHANGE_1,MEAN,ANNUAL_ROLL,2016,45595,,,'')&lt;/Q&gt;&lt;R&gt;0&lt;/R&gt;&lt;C&gt;0&lt;/C&gt;&lt;/FQL&gt;&lt;FQL&gt;&lt;Q&gt;Ticker0024^FE_ESTIMATE(SPEC_NO_CHANGE_1,MEAN,QUARTERLY_ROLL,2016/4F,45595,,,'')&lt;/Q&gt;&lt;R&gt;0&lt;/R&gt;&lt;C&gt;0&lt;/C&gt;&lt;/FQL&gt;&lt;FQL&gt;&lt;Q&gt;Ticker0024^FE_ESTIMATE(SPEC_NO_CHANGE_1,MEAN,QUARTERLY_ROLL,2016/3F,45595,,,'')&lt;/Q&gt;&lt;R&gt;0&lt;/R&gt;&lt;C&gt;0&lt;/C&gt;&lt;/FQL&gt;&lt;FQL&gt;&lt;Q&gt;Ticker0024^FE_ESTIMATE(SPEC_NO_CHANGE_1,MEAN,QUARTERLY_ROLL,2016/2F,45595,,,'')&lt;/Q&gt;&lt;R&gt;0&lt;/R&gt;&lt;C&gt;0&lt;/C&gt;&lt;/FQL&gt;&lt;FQL&gt;&lt;Q&gt;Ticker0024^FE_ESTIMATE(SPEC_NO_CHANGE_1,MEAN,QUARTERLY_ROLL,2016/1F,45595,,,'')&lt;/Q&gt;&lt;R&gt;0&lt;/R&gt;&lt;C&gt;0&lt;/C&gt;&lt;/FQL&gt;&lt;FQL&gt;&lt;Q&gt;Ticker0024^FE_ESTIMATE(SPEC_NO_CHANGE_1,MEAN,ANNUAL_ROLL,2015,45595,,,'')&lt;/Q&gt;&lt;R&gt;0&lt;/R&gt;&lt;C&gt;0&lt;/C&gt;&lt;/FQL&gt;&lt;FQL&gt;&lt;Q&gt;Ticker0024^FE_ESTIMATE(SPEC_NO_CHANGE_1,MEAN,QUARTERLY_ROLL,2015/4F,45595,,,'')&lt;/Q&gt;&lt;R&gt;0&lt;/R&gt;&lt;C&gt;0&lt;/C&gt;&lt;/FQL&gt;&lt;FQL&gt;&lt;Q&gt;Ticker0024^FE_ESTIMATE(SPEC_NO_CHANGE_1,MEAN,QUARTERLY_ROLL,2015/3F,45595,,,'')&lt;/Q&gt;&lt;R&gt;0&lt;/R&gt;&lt;C&gt;0&lt;/C&gt;&lt;/FQL&gt;&lt;FQL&gt;&lt;Q&gt;Ticker0024^FE_ESTIMATE(SPEC_NO_CHANGE_1,MEAN,QUARTERLY_ROLL,2015/2F,45595,,,'')&lt;/Q&gt;&lt;R&gt;0&lt;/R&gt;&lt;C&gt;0&lt;/C&gt;&lt;/FQL&gt;&lt;FQL&gt;&lt;Q&gt;Ticker0024^FE_ESTIMATE(SPEC_NO_CHANGE_1,MEAN,QUARTERLY_ROLL,2015/1F,45595,,,'')&lt;/Q&gt;&lt;R&gt;0&lt;/R&gt;&lt;C&gt;0&lt;/C&gt;&lt;/FQL&gt;&lt;FQL&gt;&lt;Q&gt;Ticker0024^FE_ESTIMATE(NEW_ORDERS_VALUE,MEAN,ANNUAL_ROLL,2030,45595,,,'')&lt;/Q&gt;&lt;R&gt;0&lt;/R&gt;&lt;C&gt;0&lt;/C&gt;&lt;/FQL&gt;&lt;FQL&gt;&lt;Q&gt;Ticker0024^FE_ESTIMATE(NEW_ORDERS_VALUE,MEAN,QUARTERLY_ROLL,2030/4F,45595,,,'')&lt;/Q&gt;&lt;R&gt;0&lt;/R&gt;&lt;C&gt;0&lt;/C&gt;&lt;/FQL&gt;&lt;FQL&gt;&lt;Q&gt;Ticker0024^FE_ESTIMATE(NEW_ORDERS_VALUE,MEAN,QUARTERLY_ROLL,2030/3F,45595,,,'')&lt;/Q&gt;&lt;R&gt;0&lt;/R&gt;&lt;C&gt;0&lt;/C&gt;&lt;/FQL&gt;&lt;FQL&gt;&lt;Q&gt;Ticker0024^FE_ESTIMATE(NEW_ORDERS_VALUE,MEAN,QUARTERLY_ROLL,2030/2F,45595,,,'')&lt;/Q&gt;&lt;R&gt;0&lt;/R&gt;&lt;C&gt;0&lt;/C&gt;&lt;/FQL&gt;&lt;FQL&gt;&lt;Q&gt;Ticker0024^FE_ESTIMATE(NEW_ORDERS_VALUE,MEAN,QUARTERLY_ROLL,2030/1F,45595,,,'')&lt;/Q&gt;&lt;R&gt;0&lt;/R&gt;&lt;C&gt;0&lt;/C&gt;&lt;/FQL&gt;&lt;FQL&gt;&lt;Q&gt;Ticker0024^FE_ESTIMATE(NEW_ORDERS_VALUE,MEAN,ANNUAL_ROLL,2029,45595,,,'')&lt;/Q&gt;&lt;R&gt;0&lt;/R&gt;&lt;C&gt;0&lt;/C&gt;&lt;/FQL&gt;&lt;FQL&gt;&lt;Q&gt;Ticker0024^FE_ESTIMATE(NEW_ORDERS_VALUE,MEAN,QUARTERLY_ROLL,2029/4F,45595,,,'')&lt;/Q&gt;&lt;R&gt;0&lt;/R&gt;&lt;C&gt;0&lt;/C&gt;&lt;/FQL&gt;&lt;FQL&gt;&lt;Q&gt;Ticker0024^FE_ESTIMATE(NEW_ORDERS_VALUE,MEAN,QUARTERLY_ROLL,2029/3F,45595,,,'')&lt;/Q&gt;&lt;R&gt;0&lt;/R&gt;&lt;C&gt;0&lt;/C&gt;&lt;/FQL&gt;&lt;FQL&gt;&lt;Q&gt;Ticker0024^FE_ESTIMATE(NEW_ORDERS_VALUE,MEAN,QUARTERLY_ROLL,2029/2F,45595,,,'')&lt;/Q&gt;&lt;R&gt;0&lt;/R&gt;&lt;C&gt;0&lt;/C&gt;&lt;/FQL&gt;&lt;FQL&gt;&lt;Q&gt;Ticker0024^FE_ESTIMATE(NEW_ORDERS_VALUE,MEAN,QUARTERLY_ROLL,2029/1F,45595,,,'')&lt;/Q&gt;&lt;R&gt;0&lt;/R&gt;&lt;C&gt;0&lt;/C&gt;&lt;/FQL&gt;&lt;FQL&gt;&lt;Q&gt;Ticker0024^FE_ESTIMATE(NEW_ORDERS_VALUE,MEAN,ANNUAL_ROLL,2028,45595,,,'')&lt;/Q&gt;&lt;R&gt;0&lt;/R&gt;&lt;C&gt;0&lt;/C&gt;&lt;/FQL&gt;&lt;FQL&gt;&lt;Q&gt;Ticker0024^FE_ESTIMATE(NEW_ORDERS_VALUE,MEAN,QUARTERLY_ROLL,2028/4F,45595,,,'')&lt;/Q&gt;&lt;R&gt;0&lt;/R&gt;&lt;C&gt;0&lt;/C&gt;&lt;/FQL&gt;&lt;FQL&gt;&lt;Q&gt;Ticker0024^FE_ESTIMATE(NEW_ORDERS_VALUE,MEAN,QUARTERLY_ROLL,2028/3F,45595,,,'')&lt;/Q&gt;&lt;R&gt;0&lt;/R&gt;&lt;C&gt;0&lt;/C&gt;&lt;/FQL&gt;&lt;FQL&gt;&lt;Q&gt;Ticker0024^FE_ESTIMATE(NEW_ORDERS_VALUE,MEAN,QUARTERLY_ROLL,2028/2F,45595,,,'')&lt;/Q&gt;&lt;R&gt;0&lt;/R&gt;&lt;C&gt;0&lt;/C&gt;&lt;/FQL&gt;&lt;FQL&gt;&lt;Q&gt;Ticker0024^FE_ESTIMATE(NEW_ORDERS_VALUE,MEAN,QUARTERLY_ROLL,2028/1F,45595,,,'')&lt;/Q&gt;&lt;R&gt;0&lt;/R&gt;&lt;C&gt;0&lt;/C&gt;&lt;/FQL&gt;&lt;FQL&gt;&lt;Q&gt;Ticker0024^FE_ESTIMATE(NEW_ORDERS_VALUE,MEAN,ANNUAL_ROLL,2027,45595,,,'')&lt;/Q&gt;&lt;R&gt;0&lt;/R&gt;&lt;C&gt;0&lt;/C&gt;&lt;/FQL&gt;&lt;FQL&gt;&lt;Q&gt;Ticker0024^FE_ESTIMATE(NEW_ORDERS_VALUE,MEAN,QUARTERLY_ROLL,2027/4F,45595,,,'')&lt;/Q&gt;&lt;R&gt;0&lt;/R&gt;&lt;C&gt;0&lt;/C&gt;&lt;/FQL&gt;&lt;FQL&gt;&lt;Q&gt;Ticker0024^FE_ESTIMATE(NEW_ORDERS_VALUE,MEAN,QUARTERLY_ROLL,2027/3F,45595,,,'')&lt;/Q&gt;&lt;R&gt;0&lt;/R&gt;&lt;C&gt;0&lt;/C&gt;&lt;/FQL&gt;&lt;FQL&gt;&lt;Q&gt;Ticker0024^FE_ESTIMATE(NEW_ORDERS_VALUE,MEAN,QUARTERLY_ROLL,2027/2F,45595,,,'')&lt;/Q&gt;&lt;R&gt;0&lt;/R&gt;&lt;C&gt;0&lt;/C&gt;&lt;/FQL&gt;&lt;FQL&gt;&lt;Q&gt;Ticker0024^FE_ESTIMATE(NEW_ORDERS_VALUE,MEAN,QUARTERLY_ROLL,2027/1F,45595,,,'')&lt;/Q&gt;&lt;R&gt;0&lt;/R&gt;&lt;C&gt;0&lt;/C&gt;&lt;/FQL&gt;&lt;FQL&gt;&lt;Q&gt;Ticker0024^FE_ESTIMATE(NEW_ORDERS_VALUE,MEAN,ANNUAL_ROLL,2026,45595,,,'')&lt;/Q&gt;&lt;R&gt;0&lt;/R&gt;&lt;C&gt;0&lt;/C&gt;&lt;/FQL&gt;&lt;FQL&gt;&lt;Q&gt;Ticker0024^FE_ESTIMATE(NEW_ORDERS_VALUE,MEAN,QUARTERLY_ROLL,2026/4F,45595,,,'')&lt;/Q&gt;&lt;R&gt;0&lt;/R&gt;&lt;C&gt;0&lt;/C&gt;&lt;/FQL&gt;&lt;FQL&gt;&lt;Q&gt;Ticker0024^FE_ESTIMATE(NEW_ORDERS_VALUE,MEAN,QUARTERLY_ROLL,2026/3F,45595,,,'')&lt;/Q&gt;&lt;R&gt;0&lt;/R&gt;&lt;C&gt;0&lt;/C&gt;&lt;/FQL&gt;&lt;FQL&gt;&lt;Q&gt;Ticker0024^FE_ESTIMATE(NEW_ORDERS_VALUE,MEAN,QUARTERLY_ROLL,2026/2F,45595,,,'')&lt;/Q&gt;&lt;R&gt;0&lt;/R&gt;&lt;C&gt;0&lt;/C&gt;&lt;/FQL&gt;&lt;FQL&gt;&lt;Q&gt;Ticker0024^FE_ESTIMATE(NEW_ORDERS_VALUE,MEAN,QUARTERLY_ROLL,2026/1F,45595,,,'')&lt;/Q&gt;&lt;R&gt;0&lt;/R&gt;&lt;C&gt;0&lt;/C&gt;&lt;/FQL&gt;&lt;FQL&gt;&lt;Q&gt;Ticker0024^FE_ESTIMATE(NEW_ORDERS_VALUE,MEAN,ANNUAL_ROLL,2025,45595,,,'')&lt;/Q&gt;&lt;R&gt;0&lt;/R&gt;&lt;C&gt;0&lt;/C&gt;&lt;/FQL&gt;&lt;FQL&gt;&lt;Q&gt;Ticker0024^FE_ESTIMATE(NEW_ORDERS_VALUE,MEAN,QUARTERLY_ROLL,2025/4F,45595,,,'')&lt;/Q&gt;&lt;R&gt;0&lt;/R&gt;&lt;C&gt;0&lt;/C&gt;&lt;/FQL&gt;&lt;FQL&gt;&lt;Q&gt;Ticker0024^FE_ESTIMATE(NEW_ORDERS_VALUE,MEAN,QUARTERLY_ROLL,2025/3F,45595,,,'')&lt;/Q&gt;&lt;R&gt;0&lt;/R&gt;&lt;C&gt;0&lt;/C&gt;&lt;/FQL&gt;&lt;FQL&gt;&lt;Q&gt;Ticker0024^FE_ESTIMATE(NEW_ORDERS_VALUE,MEAN,QUARTERLY_ROLL,2025/2F,45595,,,'')&lt;/Q&gt;&lt;R&gt;0&lt;/R&gt;&lt;C&gt;0&lt;/C&gt;&lt;/FQL&gt;&lt;FQL&gt;&lt;Q&gt;Ticker0024^FE_ESTIMATE(NEW_ORDERS_VALUE,MEAN,QUARTERLY_ROLL,2025/1F,45595,,,'')&lt;/Q&gt;&lt;R&gt;1&lt;/R&gt;&lt;C&gt;1&lt;/C&gt;&lt;D xsi:type="xsd:double"&gt;66009&lt;/D&gt;&lt;/FQL&gt;&lt;FQL&gt;&lt;Q&gt;Ticker0024^FE_ESTIMATE(NEW_ORDERS_VALUE,MEAN,ANNUAL_ROLL,2024,45595,,,'')&lt;/Q&gt;&lt;R&gt;0&lt;/R&gt;&lt;C&gt;0&lt;/C&gt;&lt;/FQL&gt;&lt;FQL&gt;&lt;Q&gt;Ticker0024^FE_ESTIMATE(NEW_ORDERS_VALUE,MEAN,QUARTERLY_ROLL,2024/4F,45595,,,'')&lt;/Q&gt;&lt;R&gt;0&lt;/R&gt;&lt;C&gt;0&lt;/C&gt;&lt;/FQL&gt;&lt;FQL&gt;&lt;Q&gt;Ticker0024^FE_ESTIMATE(NEW_ORDERS_VALUE,MEAN,QUARTERLY_ROLL,2024/3F,45595,,,'')&lt;/Q&gt;&lt;R&gt;0&lt;/R&gt;&lt;C&gt;0&lt;/C&gt;&lt;/FQL&gt;&lt;FQL&gt;&lt;Q&gt;Ticker0024^FE_ESTIMATE(NEW_ORDERS_VALUE,MEAN,QUARTERLY_ROLL,2024/2F,45595,,,'')&lt;/Q&gt;&lt;R&gt;0&lt;/R&gt;&lt;C&gt;0&lt;/C&gt;&lt;/FQL&gt;&lt;FQL&gt;&lt;Q&gt;Ticker0024^FE_ESTIMATE(NEW_ORDERS_VALUE,MEAN,QUARTERLY_ROLL,2024/1F,45595,,,'')&lt;/Q&gt;&lt;R&gt;0&lt;/R&gt;&lt;C&gt;0&lt;/C&gt;&lt;/FQL&gt;&lt;FQL&gt;&lt;Q&gt;Ticker0024^FE_ESTIMATE(NEW_ORDERS_VALUE,MEAN,ANNUAL_ROLL,2023,45595,,,'')&lt;/Q&gt;&lt;R&gt;1&lt;/R&gt;&lt;C&gt;1&lt;/C&gt;&lt;D xsi:type="xsd:double"&gt;217320&lt;/D&gt;&lt;/FQL&gt;&lt;FQL&gt;&lt;Q&gt;Ticker0024^FE_ESTIMATE(NEW_ORDERS_VALUE,MEAN,QUARTERLY_ROLL,2023/4F,45595,,,'')&lt;/Q&gt;&lt;R&gt;1&lt;/R&gt;&lt;C&gt;1&lt;/C&gt;&lt;D xsi:type="xsd:double"&gt;70401&lt;/D&gt;&lt;/FQL&gt;&lt;FQL&gt;&lt;Q&gt;Ticker0024^FE_ESTIMATE(NEW_ORDERS_VALUE,MEAN,QUARTERLY_ROLL,2023/3F,45595,,,'')&lt;/Q&gt;&lt;R&gt;1&lt;/R&gt;&lt;C&gt;1&lt;/C&gt;&lt;D xsi:type="xsd:double"&gt;52832&lt;/D&gt;&lt;/FQL&gt;&lt;FQL&gt;&lt;Q&gt;Ticker0024^FE_ESTIMATE(NEW_ORDERS_VALUE,MEAN,QUARTERLY_ROLL,2023/2F,45595,,,'')&lt;/Q&gt;&lt;R&gt;1&lt;/R&gt;&lt;C&gt;1&lt;/C&gt;&lt;D xsi:type="xsd:double"&gt;48484&lt;/D&gt;&lt;/FQL&gt;&lt;FQL&gt;&lt;Q&gt;Ticker0024^FE_ESTIMATE(NEW_ORDERS_VALUE,MEAN,QUARTERLY_ROLL,2023/1F,45595,,,'')&lt;/Q&gt;&lt;R&gt;1&lt;/R&gt;&lt;C&gt;1&lt;/C&gt;&lt;D xsi:type="xsd:double"&gt;45603&lt;/D&gt;&lt;/FQL&gt;&lt;FQL&gt;&lt;Q&gt;Ticker0024^FE_ESTIMATE(NEW_ORDERS_VALUE,MEAN,ANNUAL_ROLL,2022,45595,,,'')&lt;/Q&gt;&lt;R&gt;1&lt;/R&gt;&lt;C&gt;1&lt;/C&gt;&lt;D xsi:type="xsd:double"&gt;202537&lt;/D&gt;&lt;/FQL&gt;&lt;FQL&gt;&lt;Q&gt;Ticker0024^FE_ESTIMATE(NEW_ORDERS_VALUE,MEAN,QUARTERLY_ROLL,2022/4F,45595,,,'')&lt;/Q&gt;&lt;R&gt;1&lt;/R&gt;&lt;C&gt;1&lt;/C&gt;&lt;D xsi:type="xsd:double"&gt;63477&lt;/D&gt;&lt;/FQL&gt;&lt;FQL&gt;&lt;Q&gt;Ticker0024^FE_ESTIMATE(NEW_ORDERS_VALUE,MEAN,QUARTERLY_ROLL,2022/3F,45595,,,'')&lt;/Q&gt;&lt;R&gt;1&lt;/R&gt;&lt;C&gt;1&lt;/C&gt;&lt;D xsi:type="xsd:double"&gt;49387&lt;/D&gt;&lt;/FQL&gt;&lt;FQL&gt;&lt;Q&gt;Ticker0024^FE_ESTIMATE(NEW_ORDERS_VALUE,MEAN,QUARTERLY_ROLL,2022/2F,45595,,,'')&lt;/Q&gt;&lt;R&gt;1&lt;/R&gt;&lt;C&gt;1&lt;/C&gt;&lt;D xsi:type="xsd:double"&gt;47482&lt;/D&gt;&lt;/FQL&gt;&lt;FQL&gt;&lt;Q&gt;Ticker0024^FE_ESTIMATE(NEW_ORDERS_VALUE,MEAN,QUARTERLY_ROLL,2022/1F,45595,,,'')&lt;/Q&gt;&lt;R&gt;1&lt;/R&gt;&lt;C&gt;1&lt;/C&gt;&lt;D xsi:type="xsd:double"&gt;42191&lt;/D&gt;&lt;/FQL&gt;&lt;FQL&gt;&lt;Q&gt;Ticker0024^FE_ESTIMATE(NEW_ORDERS_VALUE,MEAN,ANNUAL_ROLL,2021,45595,,,'')&lt;/Q&gt;&lt;R&gt;1&lt;/R&gt;&lt;C&gt;1&lt;/C&gt;&lt;D xsi:type="xsd:double"&gt;173049&lt;/D&gt;&lt;/FQL&gt;&lt;FQL&gt;&lt;Q&gt;Ticker0024^FE_ESTIMATE(NEW_ORDERS_VALUE,MEAN,QUARTERLY_ROLL,2021/4F,45595,,,'')&lt;/Q&gt;&lt;R&gt;1&lt;/R&gt;&lt;C&gt;1&lt;/C&gt;&lt;D xsi:type="xsd:double"&gt;57579&lt;/D&gt;&lt;/FQL&gt;&lt;FQL&gt;&lt;Q&gt;Ticker0024^FE_ESTIMATE(NEW_ORDERS_VALUE,MEAN,QUARTERLY_ROLL,2021/3F,45595,,,'')&lt;/Q&gt;&lt;R&gt;1&lt;/R&gt;&lt;C&gt;1&lt;/C&gt;&lt;D xsi:type="xsd:double"&gt;40710.5&lt;/D&gt;&lt;/FQL&gt;&lt;FQL&gt;&lt;Q&gt;Ticker0024^FE_ESTIMATE(NEW_ORDERS_VALUE,MEAN,QUARTERLY_ROLL,2021/2F,45595,,,'')&lt;/Q&gt;&lt;R&gt;1&lt;/R&gt;&lt;C&gt;1&lt;/C&gt;&lt;D xsi:type="xsd:double"&gt;40158&lt;/D&gt;&lt;/FQL&gt;&lt;FQL&gt;&lt;Q&gt;Ticker0024^FE_ESTIMATE(NEW_ORDERS_VALUE,MEAN,QUARTERLY_ROLL,2021/1F,45595,,,'')&lt;/Q&gt;&lt;R&gt;1&lt;/R&gt;&lt;C&gt;1&lt;/C&gt;&lt;D xsi:type="xsd:double"&gt;34160.5&lt;/D&gt;&lt;/FQL&gt;&lt;FQL&gt;&lt;Q&gt;Ticker0024^FE_ESTIMATE(NEW_ORDERS_VALUE,MEAN,ANNUAL_ROLL,2020,45595,,,'')&lt;/Q&gt;&lt;R&gt;0&lt;/R&gt;&lt;C&gt;0&lt;/C&gt;&lt;/FQL&gt;&lt;FQL&gt;&lt;Q&gt;Ticker0024^FE_ESTIMATE(NEW_ORDERS_VALUE,MEAN,QUARTERLY_ROLL,2020/4F,45595,,,'')&lt;/Q&gt;&lt;R&gt;0&lt;/R&gt;&lt;C&gt;0&lt;/C&gt;&lt;/FQL&gt;&lt;FQL&gt;&lt;Q&gt;Ticker0024^FE_ESTIMATE(NEW_ORDERS_VALUE,MEAN,QUARTERLY_ROLL,2020/3F,45595,,,'')&lt;/Q&gt;&lt;R&gt;0&lt;/R&gt;&lt;C&gt;0&lt;/C&gt;&lt;/FQL&gt;&lt;FQL&gt;&lt;Q&gt;Ticker0024^FE_ESTIMATE(NEW_ORDERS_VALUE,MEAN,QUARTERLY_ROLL,2020/2F,45595,,,'')&lt;/Q&gt;&lt;R&gt;1&lt;/R&gt;&lt;C&gt;1&lt;/C&gt;&lt;D xsi:type="xsd:double"&gt;34101&lt;/D&gt;&lt;/FQL&gt;&lt;FQL&gt;&lt;Q&gt;Ticker0024^FE_ESTIMATE(NEW_ORDERS_VALUE,MEAN,QUARTERLY_ROLL,2020/1F,45595,,,'')&lt;/Q&gt;&lt;R&gt;1&lt;/R&gt;&lt;C&gt;1&lt;/C&gt;&lt;D xsi:type="xsd:double"&gt;29875&lt;/D&gt;&lt;/FQL&gt;&lt;FQL&gt;&lt;Q&gt;Ticker0024^FE_ESTIMATE(NEW_ORDERS_VALUE,MEAN,ANNUAL_ROLL,2019,45595,,,'')&lt;/Q&gt;&lt;R&gt;1&lt;/R&gt;&lt;C&gt;1&lt;/C&gt;&lt;D xsi:type="xsd:double"&gt;130329&lt;/D&gt;&lt;/FQL&gt;&lt;FQL&gt;&lt;Q&gt;Ticker0024^FE_ESTIMATE(NEW_ORDERS_VALUE,MEAN,QUARTERLY_ROLL,2019/4F,45595,,,'')&lt;/Q&gt;&lt;R&gt;1&lt;/R&gt;&lt;C&gt;1&lt;/C&gt;&lt;D xsi:type="xsd:double"&gt;42788&lt;/D&gt;&lt;/FQL&gt;&lt;FQL&gt;&lt;Q&gt;Ticker0024^FE_ESTIMATE(NEW_ORDERS_VALUE,MEAN,QUARTERLY_ROLL,2019/3F,45595,,,'')&lt;/Q&gt;&lt;R&gt;1&lt;/R&gt;&lt;C&gt;1&lt;/C&gt;&lt;D xsi:type="xsd:double"&gt;30622&lt;/D&gt;&lt;/FQL&gt;&lt;FQL&gt;&lt;Q&gt;Ticker0024^FE_ESTIMATE(NEW_ORDERS_VALUE,MEAN,QUARTERLY_ROLL,2019/2F,45595,,,'')&lt;/Q&gt;&lt;R&gt;1&lt;/R&gt;&lt;C&gt;1&lt;/C&gt;&lt;D xsi:type="xsd:double"&gt;30313&lt;/D&gt;&lt;/FQL&gt;&lt;FQL&gt;&lt;Q&gt;Ticker0024^FE_ESTIMATE(NEW_ORDERS_VALUE,MEAN,QUARTERLY_ROLL,2019/1F,45595,,,'')&lt;/Q&gt;&lt;R&gt;1&lt;/R&gt;&lt;C&gt;1&lt;/C&gt;&lt;D xsi:type="xsd:double"&gt;26606&lt;/D&gt;&lt;/FQL&gt;&lt;FQL&gt;&lt;Q&gt;Ticker0024^FE_ESTIMATE(NEW_ORDERS_VALUE,MEAN,ANNUAL_ROLL,2018,45595,,,'')&lt;/Q&gt;&lt;R&gt;1&lt;/R&gt;&lt;C&gt;1&lt;/C&gt;&lt;D xsi:type="xsd:double"&gt;116424&lt;/D&gt;&lt;/FQL&gt;&lt;FQL&gt;&lt;Q&gt;Ticker0024^FE_ESTIMATE(NEW_ORDERS_VALUE,MEAN,QUARTERLY_ROLL,2018/4F,45595,,,'')&lt;/Q&gt;&lt;R&gt;1&lt;/R&gt;&lt;C&gt;1&lt;/C&gt;&lt;D xsi:type="xsd:double"&gt;38850&lt;/D&gt;&lt;/FQL&gt;&lt;FQL&gt;&lt;Q&gt;Ticker0024^FE_ESTIMATE(NEW_ORDERS_VALUE,MEAN,QUARTERLY_ROLL,2018/3F,45595,,,'')&lt;/Q&gt;&lt;R&gt;1&lt;/R&gt;&lt;C&gt;1&lt;/C&gt;&lt;D xsi:type="xsd:double"&gt;26965&lt;/D&gt;&lt;/FQL&gt;&lt;FQL&gt;&lt;Q&gt;Ticker0024^FE_ESTIMATE(NEW_ORDERS_VALUE,MEAN,QUARTERLY_ROLL,2018/2F,45595,,,'')&lt;/Q&gt;&lt;R&gt;1&lt;/R&gt;&lt;C&gt;1&lt;/C&gt;&lt;D xsi:type="xsd:double"&gt;27823&lt;/D&gt;&lt;/FQL&gt;&lt;FQL&gt;&lt;Q&gt;Ticker0024^FE_ESTIMATE(NEW_ORDERS_VALUE,MEAN,QUARTERLY_ROLL,2018/1F,45595,,,'')&lt;/Q&gt;&lt;R&gt;1&lt;/R&gt;&lt;C&gt;1&lt;/C&gt;&lt;D xsi:type="xsd:double"&gt;22786&lt;/D&gt;&lt;/FQL&gt;&lt;FQL&gt;&lt;Q&gt;Ticker0024^FE_ESTIMATE(NEW_ORDERS_VALUE,MEAN,ANNUAL_ROLL,2017,45595,,,'')&lt;/Q&gt;&lt;R&gt;1&lt;/R&gt;&lt;C&gt;1&lt;/C&gt;&lt;D xsi:type="xsd:double"&gt;99926&lt;/D&gt;&lt;/FQL&gt;&lt;FQL&gt;&lt;Q&gt;Ticker0024^FE_ESTIMATE(NEW_ORDERS_VALUE,MEAN,QUARTERLY_ROLL,2017/4F,45595,,,'')&lt;/Q&gt;&lt;R&gt;1&lt;/R&gt;&lt;C&gt;1&lt;/C&gt;&lt;D xsi:type="xsd:double"&gt;32063.5&lt;/D&gt;&lt;/FQL&gt;&lt;FQL&gt;&lt;Q&gt;Ticker0024^FE_ESTIMATE(NEW_ORDERS_VALUE,MEAN,QUARTERLY_ROLL,2017/3F,45595,,,'')&lt;/Q&gt;&lt;R&gt;1&lt;/R&gt;&lt;C&gt;1&lt;/C&gt;&lt;D xsi:type="xsd:double"&gt;23144&lt;/D&gt;&lt;/FQL&gt;&lt;FQL&gt;&lt;Q&gt;Ticker0024^FE_ESTIMATE(NEW_ORDERS_VALUE,MEAN,QUARTERLY_ROLL,2017/2F,45595,,,'')&lt;/Q&gt;&lt;R&gt;1&lt;/R&gt;&lt;C&gt;1&lt;/C&gt;&lt;D xsi:type="xsd:double"&gt;26300.666&lt;/D&gt;&lt;/FQL&gt;&lt;FQL&gt;&lt;Q&gt;Ticker0024^FE_ESTIMATE(NEW_ORDERS_VALUE,MEAN,QUARTERLY_ROLL,2017/1F,45595,,,'')&lt;/Q&gt;&lt;R&gt;1&lt;/R&gt;&lt;C&gt;1&lt;/C&gt;&lt;D xsi:type="xsd:double"&gt;21072.5&lt;/D&gt;&lt;/FQL&gt;&lt;FQL&gt;&lt;Q&gt;Ticker0024^FE_ESTIMATE(NEW_ORDERS_VALUE,MEAN,ANNUAL_ROLL,2016,45595,,,'')&lt;/Q&gt;&lt;R&gt;1&lt;/R&gt;&lt;C&gt;1&lt;/C&gt;&lt;D xsi:type="xsd:double"&gt;94769&lt;/D&gt;&lt;/FQL&gt;&lt;FQL&gt;&lt;Q&gt;Ticker0024^FE_ESTIMATE(NEW_ORDERS_VALUE,MEAN,QUARTERLY_ROLL,2016/4F,45595,,,'')&lt;/Q&gt;&lt;R&gt;1&lt;/R&gt;&lt;C&gt;1&lt;/C&gt;&lt;D xsi:type="xsd:double"&gt;29640.5&lt;/D&gt;&lt;/FQL&gt;&lt;FQL&gt;&lt;Q&gt;Ticker0024^FE_ESTIMATE(NEW_ORDERS_VALUE,MEAN,QUARTERLY_ROLL,2016/3F,45595,,,'')&lt;/Q&gt;&lt;R&gt;1&lt;/R&gt;&lt;C&gt;1&lt;/C&gt;&lt;D xsi:type="xsd:double"&gt;22938&lt;/D&gt;&lt;/FQL&gt;&lt;FQL&gt;&lt;Q&gt;Ticker0024^FE_ESTIMATE(NEW_ORDERS_VALUE,MEAN,QUARTERLY_ROLL,2016/2F,45595,,,'')&lt;/Q&gt;&lt;R&gt;0&lt;/R&gt;&lt;C&gt;0&lt;/C&gt;&lt;/FQL&gt;&lt;FQL&gt;&lt;Q&gt;Ticker0024^FE_ESTIMATE(NEW_ORDERS_VALUE,MEAN,QUARTERLY_ROLL,2016/1F,45595,,,'')&lt;/Q&gt;&lt;R&gt;0&lt;/R&gt;&lt;C&gt;0&lt;/C&gt;&lt;/FQL&gt;&lt;FQL&gt;&lt;Q&gt;Ticker0024^FE_ESTIMATE(NEW_ORDERS_VALUE,MEAN,ANNUAL_ROLL,2015,45595,,,'')&lt;/Q&gt;&lt;R&gt;0&lt;/R&gt;&lt;C&gt;0&lt;/C&gt;&lt;/FQL&gt;&lt;FQL&gt;&lt;Q&gt;Ticker0024^FE_ESTIMATE(NEW_ORDERS_VALUE,MEAN,QUARTERLY_ROLL,2015/4F,45595,,,'')&lt;/Q&gt;&lt;R&gt;0&lt;/R&gt;&lt;C&gt;0&lt;/C&gt;&lt;/FQL&gt;&lt;FQL&gt;&lt;Q&gt;Ticker0024^FE_ESTIMATE(NEW_ORDERS_VALUE,MEAN,QUARTERLY_ROLL,2015/3F,45595,,,'')&lt;/Q&gt;&lt;R&gt;0&lt;/R&gt;&lt;C&gt;0&lt;/C&gt;&lt;/FQL&gt;&lt;FQL&gt;&lt;Q&gt;Ticker0024^FE_ESTIMATE(NEW_ORDERS_VALUE,MEAN,QUARTERLY_ROLL,2015/2F,45595,,,'')&lt;/Q&gt;&lt;R&gt;0&lt;/R&gt;&lt;C&gt;0&lt;/C&gt;&lt;/FQL&gt;&lt;FQL&gt;&lt;Q&gt;Ticker0024^FE_ESTIMATE(NEW_ORDERS_VALUE,MEAN,QUARTERLY_ROLL,2015/1F,45595,,,'')&lt;/Q&gt;&lt;R&gt;0&lt;/R&gt;&lt;C&gt;0&lt;/C&gt;&lt;/FQL&gt;&lt;FQL&gt;&lt;Q&gt;Ticker0024^FE_ESTIMATE(DEFREVENUE,MEAN,ANNUAL_ROLL,2030,45595,,,'')&lt;/Q&gt;&lt;R&gt;0&lt;/R&gt;&lt;C&gt;0&lt;/C&gt;&lt;/FQL&gt;&lt;FQL&gt;&lt;Q&gt;Ticker0024^FE_ESTIMATE(DEFREVENUE,MEAN,QUARTERLY_ROLL,2030/4F,45595,,,'')&lt;/Q&gt;&lt;R&gt;0&lt;/R&gt;&lt;C&gt;0&lt;/C&gt;&lt;/FQL&gt;&lt;FQL&gt;&lt;Q&gt;Ticker0024^FE_ESTIMATE(DEFREVENUE,MEAN,QUARTERLY_ROLL,2030/3F,45595,,,'')&lt;/Q&gt;&lt;R&gt;0&lt;/R&gt;&lt;C&gt;0&lt;/C&gt;&lt;/FQL&gt;&lt;FQL&gt;&lt;Q&gt;Ticker0024^FE_ESTIMATE(DEFREVENUE,MEAN,QUARTERLY_ROLL,2030/2F,45595,,,'')&lt;/Q&gt;&lt;R&gt;0&lt;/R&gt;&lt;C&gt;0&lt;/C&gt;&lt;/FQL&gt;&lt;FQL&gt;&lt;Q&gt;Ticker0024^FE_ESTIMATE(DEFREVENUE,MEAN,QUARTERLY_ROLL,2030/1F,45595,,,'')&lt;/Q&gt;&lt;R&gt;0&lt;/R&gt;&lt;C&gt;0&lt;/C&gt;&lt;/FQL&gt;&lt;FQL&gt;&lt;Q&gt;Ticker0024^FE_ESTIMATE(DEFREVENUE,MEAN,ANNUAL_ROLL,2029,45595,,,'')&lt;/Q&gt;&lt;R&gt;0&lt;/R&gt;&lt;C&gt;0&lt;/C&gt;&lt;/FQL&gt;&lt;FQL&gt;&lt;Q&gt;Ticker0024^FE_ESTIMATE(DEFREVENUE,MEAN,QUARTERLY_ROLL,2029/4F,45595,,,'')&lt;/Q&gt;&lt;R&gt;0&lt;/R&gt;&lt;C&gt;0&lt;/C&gt;&lt;/FQL&gt;&lt;FQL&gt;&lt;Q&gt;Ticker0024^FE_ESTIMATE(DEFREVENUE,MEAN,QUARTERLY_ROLL,2029/3F,45595,,,'')&lt;/Q&gt;&lt;R&gt;0&lt;/R&gt;&lt;C&gt;0&lt;/C&gt;&lt;/FQL&gt;&lt;FQL&gt;&lt;Q&gt;Ticker0024^FE_ESTIMATE(DEFREVENUE,MEAN,QUARTERLY_ROLL,2029/2F,45595,,,'')&lt;/Q&gt;&lt;R&gt;0&lt;/R&gt;&lt;C&gt;0&lt;/C&gt;&lt;/FQL&gt;&lt;FQL&gt;&lt;Q&gt;Ticker0024^FE_ESTIMATE(DEFREVENUE,MEAN,QUARTERLY_ROLL,2029/1F,45595,,,'')&lt;/Q&gt;&lt;R&gt;0&lt;/R&gt;&lt;C&gt;0&lt;/C&gt;&lt;/FQL&gt;&lt;FQL&gt;&lt;Q&gt;Ticker0024^FE_ESTIMATE(DEFREVENUE,MEAN,ANNUAL_ROLL,2028,45595,,,'')&lt;/Q&gt;&lt;R&gt;0&lt;/R&gt;&lt;C&gt;0&lt;/C&gt;&lt;/FQL&gt;&lt;FQL&gt;&lt;Q&gt;Ticker0024^FE_ESTIMATE(DEFREVENUE,MEAN,QUARTERLY_ROLL,2028/4F,45595,,,'')&lt;/Q&gt;&lt;R&gt;0&lt;/R&gt;&lt;C&gt;0&lt;/C&gt;&lt;/FQL&gt;&lt;FQL&gt;&lt;Q&gt;Ticker0024^FE_ESTIMATE(DEFREVENUE,MEAN,QUARTERLY_ROLL,2028/3F,45595,,,'')&lt;/Q&gt;&lt;R&gt;0&lt;/R&gt;&lt;C&gt;0&lt;/C&gt;&lt;/FQL&gt;&lt;FQL&gt;&lt;Q&gt;Ticker0024^FE_ESTIMATE(DEFREVENUE,MEAN,QUARTERLY_ROLL,2028/2F,45595,,,'')&lt;/Q&gt;&lt;R&gt;0&lt;/R&gt;&lt;C&gt;0&lt;/C&gt;&lt;/FQL&gt;&lt;FQL&gt;&lt;Q&gt;Ticker0024^FE_ESTIMATE(DEFREVENUE,MEAN,QUARTERLY_ROLL,2028/1F,45595,,,'')&lt;/Q&gt;&lt;R&gt;0&lt;/R&gt;&lt;C&gt;0&lt;/C&gt;&lt;/FQL&gt;&lt;FQL&gt;&lt;Q&gt;Ticker0024^FE_ESTIMATE(DEFREVENUE,MEAN,ANNUAL_ROLL,2027,45595,,,'')&lt;/Q&gt;&lt;R&gt;1&lt;/R&gt;&lt;C&gt;1&lt;/C&gt;&lt;D xsi:type="xsd:double"&gt;39529&lt;/D&gt;&lt;/FQL&gt;&lt;FQL&gt;&lt;Q&gt;Ticker0024^FE_ESTIMATE(DEFREVENUE,MEAN,QUARTERLY_ROLL,2027/4F,45595,,,'')&lt;/Q&gt;&lt;R&gt;0&lt;/R&gt;&lt;C&gt;0&lt;/C&gt;&lt;/FQL&gt;&lt;FQL&gt;&lt;Q&gt;Ticker0024^FE_ESTIMATE(DEFREVENUE,MEAN,QUARTERLY_ROLL,2027/3F,45595,,,'')&lt;/Q&gt;&lt;R&gt;0&lt;/R&gt;&lt;C&gt;0&lt;/C&gt;&lt;/FQL&gt;&lt;FQL&gt;&lt;Q&gt;Ticker0024^FE_ESTIMATE(DEFREVENUE,MEAN,QUARTERLY_ROLL,2027/2F,45595,,,'')&lt;/Q&gt;&lt;R&gt;0&lt;/R&gt;&lt;C&gt;0&lt;/C&gt;&lt;/FQL&gt;&lt;FQL&gt;&lt;Q&gt;Ticker0024^FE_ESTIMATE(DEFREVENUE,MEAN,QUARTERLY_ROLL,2027/1F,45595,,,'')&lt;/Q&gt;&lt;R&gt;0&lt;/R&gt;&lt;C&gt;0&lt;/C&gt;&lt;/FQL&gt;&lt;FQL&gt;&lt;Q&gt;Ticker0024^FE_ESTIMATE(DEFREVENUE,MEAN,ANNUAL_ROLL,2026,45595,,,'')&lt;/Q&gt;&lt;R&gt;1&lt;/R&gt;&lt;C&gt;1&lt;/C&gt;&lt;D xsi:type="xsd:double"&gt;72622.4&lt;/D&gt;&lt;/FQL&gt;&lt;FQL&gt;&lt;Q&gt;Ticker0024^FE_ESTIMATE(DEFREVENUE,MEAN,QUARTERLY_ROLL,2026/4F,45595,,,'')&lt;/Q&gt;&lt;R&gt;1&lt;/R&gt;&lt;C&gt;1&lt;/C&gt;&lt;D xsi:type="xsd:double"&gt;78137.5&lt;/D&gt;&lt;/FQL&gt;&lt;FQL&gt;&lt;Q&gt;Ticker0024^FE_ESTIMATE(DEFREVENUE,MEAN,QUARTERLY_ROLL,2026/3F,45595,,,'')&lt;/Q&gt;&lt;R&gt;1&lt;/R&gt;&lt;C&gt;1&lt;/C&gt;&lt;D xsi:type="xsd:double"&gt;58737&lt;/D&gt;&lt;/FQL&gt;&lt;FQL&gt;&lt;Q&gt;Ticker0024^FE_ESTIMATE(DEFREVENUE,MEAN,QUARTERLY_ROLL,2026/2F,45595,,,'')&lt;/Q&gt;&lt;R&gt;1&lt;/R&gt;&lt;C&gt;1&lt;/C&gt;&lt;D xsi:type="xsd:double"&gt;59333.75&lt;/D&gt;&lt;/FQL&gt;&lt;FQL&gt;&lt;Q&gt;Ticker0024^FE_ESTIMATE(DEFREVENUE,MEAN,QUARTERLY_ROLL,2026/1F,45595,,,'')&lt;/Q&gt;&lt;R&gt;1&lt;/R&gt;&lt;C&gt;1&lt;/C&gt;&lt;D xsi:type="xsd:double"&gt;63750.25&lt;/D&gt;&lt;/FQL&gt;&lt;FQL&gt;&lt;Q&gt;Ticker0024^FE_ESTIMATE(DEFREVENUE,MEAN,ANNUAL_ROLL,2025,45595,,,'')&lt;/Q&gt;&lt;R&gt;1&lt;/R&gt;&lt;C&gt;1&lt;/C&gt;&lt;D xsi:type="xsd:double"&gt;66577.29&lt;/D&gt;&lt;/FQL&gt;&lt;FQL&gt;&lt;Q&gt;Ticker0024^FE_ESTIMATE(DEFREVENUE,MEAN,QUARTERLY_ROLL,2025/4F,45595,,,'')&lt;/Q&gt;&lt;R&gt;1&lt;/R&gt;&lt;C&gt;1&lt;/C&gt;&lt;D xsi:type="xsd:double"&gt;66518.086&lt;/D&gt;&lt;/FQL&gt;&lt;FQL&gt;&lt;Q&gt;Ticker0024^FE_ESTIMATE(DEFREVENUE,MEAN,QUARTERLY_ROLL,2025/3F,45595,,,'')&lt;/Q&gt;&lt;R&gt;1&lt;/R&gt;&lt;C&gt;1&lt;/C&gt;&lt;D xsi:type="xsd:double"&gt;51006.17&lt;/D&gt;&lt;/FQL&gt;&lt;FQL&gt;&lt;Q&gt;Ticker0024^FE_ESTIMATE(DEFREVENUE,MEAN,QUARTERLY_ROLL,2025/2F,45595,,,'')&lt;/Q&gt;&lt;R&gt;1&lt;/R&gt;&lt;C&gt;1&lt;/C&gt;&lt;D xsi:type="xsd:double"&gt;52568.313&lt;/D&gt;&lt;/FQL&gt;&lt;FQL&gt;&lt;Q&gt;Ticker0024^FE_ESTIMATE(DEFREVENUE,MEAN,QUARTERLY_ROLL,2025/1F,45595,,,'')&lt;/Q&gt;&lt;R&gt;1&lt;/R&gt;&lt;C&gt;1&lt;/C&gt;&lt;D xsi:type="xsd:double"&gt;56271.914&lt;/D&gt;&lt;/FQL&gt;&lt;FQL&gt;&lt;Q&gt;Ticker0024^FE_ESTIMATE(DEFREVENUE,MEAN,ANNUAL_ROLL,2024,45595,,,'')&lt;/Q&gt;&lt;R&gt;1&lt;/R&gt;&lt;C&gt;1&lt;/C&gt;&lt;D xsi:type="xsd:double"&gt;60183.555&lt;/D&gt;&lt;/FQL&gt;&lt;FQL&gt;&lt;Q&gt;Ticker0024^FE_ESTIMATE(DEFREVENUE,MEAN,QUARTERLY_ROLL,2024/4F,45595,,,'')&lt;/Q&gt;&lt;R&gt;1&lt;/R&gt;&lt;C&gt;1&lt;/C&gt;&lt;D xsi:type="xsd:double"&gt;60183.5&lt;/D&gt;&lt;/FQL&gt;&lt;FQL&gt;&lt;Q&gt;Ticker0024^FE_ESTIMATE(DEFREVENUE,MEAN,QUARTERLY_ROLL,2024/3F,45595,,,'')&lt;/Q&gt;&lt;R&gt;1&lt;/R&gt;&lt;C&gt;1&lt;/C&gt;&lt;D xsi:type="xsd:double"&gt;44834&lt;/D&gt;&lt;/FQL&gt;&lt;FQL&gt;&lt;Q&gt;Ticker0024^FE_ESTIMATE(DEFREVENUE,MEAN,QUARTERLY_ROLL,2024/2F,45595,,,'')&lt;/Q&gt;&lt;R&gt;1&lt;/R&gt;&lt;C&gt;1&lt;/C&gt;&lt;D xsi:type="xsd:double"&gt;46034.855&lt;/D&gt;&lt;/FQL&gt;&lt;FQL&gt;&lt;Q&gt;Ticker0024^FE_ESTIMATE(DEFREVENUE,MEAN,QUARTERLY_ROLL,2024/1F,45595,,,'')&lt;/Q&gt;&lt;R&gt;1&lt;/R&gt;&lt;C&gt;1&lt;/C&gt;&lt;D xsi:type="xsd:double"&gt;49188.332&lt;/D&gt;&lt;/FQL&gt;&lt;FQL&gt;&lt;Q&gt;Ticker0024^FE_ESTIMATE(DEFREVENUE,MEAN,ANNUAL_ROLL,2023,45595,,,'')&lt;/Q&gt;&lt;R&gt;1&lt;/R&gt;&lt;C&gt;1&lt;/C&gt;&lt;D xsi:type="xsd:double"&gt;53548&lt;/D&gt;&lt;/FQL&gt;&lt;FQL&gt;&lt;Q&gt;Ticker0024^FE_ESTIMATE(DEFREVENUE,MEAN,QUARTERLY_ROLL,2023/4F,45595,,,'')&lt;/Q&gt;&lt;R&gt;1&lt;/R&gt;&lt;C&gt;1&lt;/C&gt;&lt;D xsi:type="xsd:</t>
        </r>
      </text>
    </comment>
    <comment ref="A2" authorId="0" shapeId="0" xr:uid="{7BF0493B-A53A-4D93-B84D-F82B3E886C9A}">
      <text>
        <r>
          <rPr>
            <b/>
            <sz val="9"/>
            <color indexed="81"/>
            <rFont val="Tahoma"/>
            <family val="2"/>
          </rPr>
          <t>double"&gt;53812.625&lt;/D&gt;&lt;/FQL&gt;&lt;FQL&gt;&lt;Q&gt;Ticker0024^FE_ESTIMATE(DEFREVENUE,MEAN,QUARTERLY_ROLL,2023/3F,45595,,,'')&lt;/Q&gt;&lt;R&gt;1&lt;/R&gt;&lt;C&gt;1&lt;/C&gt;&lt;D xsi:type="xsd:double"&gt;39600.832&lt;/D&gt;&lt;/FQL&gt;&lt;FQL&gt;&lt;Q&gt;Ticker0024^FE_ESTIMATE(DEFREVENUE,MEAN,QUARTERLY_ROLL,2023/2F,45595,,,'')&lt;/Q&gt;&lt;R&gt;1&lt;/R&gt;&lt;C&gt;1&lt;/C&gt;&lt;D xsi:type="xsd:double"&gt;39625&lt;/D&gt;&lt;/FQL&gt;&lt;FQL&gt;&lt;Q&gt;Ticker0024^FE_ESTIMATE(DEFREVENUE,MEAN,QUARTERLY_ROLL,2023/1F,45595,,,'')&lt;/Q&gt;&lt;R&gt;1&lt;/R&gt;&lt;C&gt;1&lt;/C&gt;&lt;D xsi:type="xsd:double"&gt;43889.145&lt;/D&gt;&lt;/FQL&gt;&lt;FQL&gt;&lt;Q&gt;Ticker0024^FE_ESTIMATE(DEFREVENUE,MEAN,ANNUAL_ROLL,2022,45595,,,'')&lt;/Q&gt;&lt;R&gt;1&lt;/R&gt;&lt;C&gt;1&lt;/C&gt;&lt;D xsi:type="xsd:double"&gt;48121&lt;/D&gt;&lt;/FQL&gt;&lt;FQL&gt;&lt;Q&gt;Ticker0024^FE_ESTIMATE(DEFREVENUE,MEAN,QUARTERLY_ROLL,2022/4F,45595,,,'')&lt;/Q&gt;&lt;R&gt;1&lt;/R&gt;&lt;C&gt;1&lt;/C&gt;&lt;D xsi:type="xsd:double"&gt;48408&lt;/D&gt;&lt;/FQL&gt;&lt;FQL&gt;&lt;Q&gt;Ticker0024^FE_ESTIMATE(DEFREVENUE,MEAN,QUARTERLY_ROLL,2022/3F,45595,,,'')&lt;/Q&gt;&lt;R&gt;1&lt;/R&gt;&lt;C&gt;1&lt;/C&gt;&lt;D xsi:type="xsd:double"&gt;36796&lt;/D&gt;&lt;/FQL&gt;&lt;FQL&gt;&lt;Q&gt;Ticker0024^FE_ESTIMATE(DEFREVENUE,MEAN,QUARTERLY_ROLL,2022/2F,45595,,,'')&lt;/Q&gt;&lt;R&gt;1&lt;/R&gt;&lt;C&gt;1&lt;/C&gt;&lt;D xsi:type="xsd:double"&gt;36769&lt;/D&gt;&lt;/FQL&gt;&lt;FQL&gt;&lt;Q&gt;Ticker0024^FE_ESTIMATE(DEFREVENUE,MEAN,QUARTERLY_ROLL,2022/1F,45595,,,'')&lt;/Q&gt;&lt;R&gt;1&lt;/R&gt;&lt;C&gt;1&lt;/C&gt;&lt;D xsi:type="xsd:double"&gt;41015&lt;/D&gt;&lt;/FQL&gt;&lt;FQL&gt;&lt;Q&gt;Ticker0024^FE_ESTIMATE(DEFREVENUE,MEAN,ANNUAL_ROLL,2021,45595,,,'')&lt;/Q&gt;&lt;R&gt;1&lt;/R&gt;&lt;C&gt;1&lt;/C&gt;&lt;D xsi:type="xsd:double"&gt;44141&lt;/D&gt;&lt;/FQL&gt;&lt;FQL&gt;&lt;Q&gt;Ticker0024^FE_ESTIMATE(DEFREVENUE,MEAN,QUARTERLY_ROLL,2021/4F,45595,,,'')&lt;/Q&gt;&lt;R&gt;1&lt;/R&gt;&lt;C&gt;1&lt;/C&gt;&lt;D xsi:type="xsd:double"&gt;44141&lt;/D&gt;&lt;/FQL&gt;&lt;FQL&gt;&lt;Q&gt;Ticker0024^FE_ESTIMATE(DEFREVENUE,MEAN,QUARTERLY_ROLL,2021/3F,45595,,,'')&lt;/Q&gt;&lt;R&gt;1&lt;/R&gt;&lt;C&gt;1&lt;/C&gt;&lt;D xsi:type="xsd:double"&gt;32714&lt;/D&gt;&lt;/FQL&gt;&lt;FQL&gt;&lt;Q&gt;Ticker0024^FE_ESTIMATE(DEFREVENUE,MEAN,QUARTERLY_ROLL,2021/2F,45595,,,'')&lt;/Q&gt;&lt;R&gt;1&lt;/R&gt;&lt;C&gt;1&lt;/C&gt;&lt;D xsi:type="xsd:double"&gt;33387&lt;/D&gt;&lt;/FQL&gt;&lt;FQL&gt;&lt;Q&gt;Ticker0024^FE_ESTIMATE(DEFREVENUE,MEAN,QUARTERLY_ROLL,2021/1F,45595,,,'')&lt;/Q&gt;&lt;R&gt;1&lt;/R&gt;&lt;C&gt;1&lt;/C&gt;&lt;D xsi:type="xsd:double"&gt;36305&lt;/D&gt;&lt;/FQL&gt;&lt;FQL&gt;&lt;Q&gt;Ticker0024^FE_ESTIMATE(DEFREVENUE,MEAN,ANNUAL_ROLL,2020,45595,,,'')&lt;/Q&gt;&lt;R&gt;1&lt;/R&gt;&lt;C&gt;1&lt;/C&gt;&lt;D xsi:type="xsd:double"&gt;39180&lt;/D&gt;&lt;/FQL&gt;&lt;FQL&gt;&lt;Q&gt;Ticker0024^FE_ESTIMATE(DEFREVENUE,MEAN,QUARTERLY_ROLL,2020/4F,45595,,,'')&lt;/Q&gt;&lt;R&gt;1&lt;/R&gt;&lt;C&gt;1&lt;/C&gt;&lt;D xsi:type="xsd:double"&gt;39180&lt;/D&gt;&lt;/FQL&gt;&lt;FQL&gt;&lt;Q&gt;Ticker0024^FE_ESTIMATE(DEFREVENUE,MEAN,QUARTERLY_ROLL,2020/3F,45595,,,'')&lt;/Q&gt;&lt;R&gt;1&lt;/R&gt;&lt;C&gt;1&lt;/C&gt;&lt;D xsi:type="xsd:double"&gt;30397&lt;/D&gt;&lt;/FQL&gt;&lt;FQL&gt;&lt;Q&gt;Ticker0024^FE_ESTIMATE(DEFREVENUE,MEAN,QUARTERLY_ROLL,2020/2F,45595,,,'')&lt;/Q&gt;&lt;R&gt;1&lt;/R&gt;&lt;C&gt;1&lt;/C&gt;&lt;D xsi:type="xsd:double"&gt;31221&lt;/D&gt;&lt;/FQL&gt;&lt;FQL&gt;&lt;Q&gt;Ticker0024^FE_ESTIMATE(DEFREVENUE,MEAN,QUARTERLY_ROLL,2020/1F,45595,,,'')&lt;/Q&gt;&lt;R&gt;1&lt;/R&gt;&lt;C&gt;1&lt;/C&gt;&lt;D xsi:type="xsd:double"&gt;34026&lt;/D&gt;&lt;/FQL&gt;&lt;FQL&gt;&lt;Q&gt;Ticker0024^FE_ESTIMATE(DEFREVENUE,MEAN,ANNUAL_ROLL,2019,45595,,,'')&lt;/Q&gt;&lt;R&gt;1&lt;/R&gt;&lt;C&gt;1&lt;/C&gt;&lt;D xsi:type="xsd:double"&gt;37206&lt;/D&gt;&lt;/FQL&gt;&lt;FQL&gt;&lt;Q&gt;Ticker0024^FE_ESTIMATE(DEFREVENUE,MEAN,QUARTERLY_ROLL,2019/4F,45595,,,'')&lt;/Q&gt;&lt;R&gt;1&lt;/R&gt;&lt;C&gt;1&lt;/C&gt;&lt;D xsi:type="xsd:double"&gt;37206&lt;/D&gt;&lt;/FQL&gt;&lt;FQL&gt;&lt;Q&gt;Ticker0024^FE_ESTIMATE(DEFREVENUE,MEAN,QUARTERLY_ROLL,2019/3F,45595,,,'')&lt;/Q&gt;&lt;R&gt;1&lt;/R&gt;&lt;C&gt;1&lt;/C&gt;&lt;D xsi:type="xsd:double"&gt;28135&lt;/D&gt;&lt;/FQL&gt;&lt;FQL&gt;&lt;Q&gt;Ticker0024^FE_ESTIMATE(DEFREVENUE,MEAN,QUARTERLY_ROLL,2019/2F,45595,,,'')&lt;/Q&gt;&lt;R&gt;1&lt;/R&gt;&lt;C&gt;1&lt;/C&gt;&lt;D xsi:type="xsd:double"&gt;28084&lt;/D&gt;&lt;/FQL&gt;&lt;FQL&gt;&lt;Q&gt;Ticker0024^FE_ESTIMATE(DEFREVENUE,MEAN,QUARTERLY_ROLL,2019/1F,45595,,,'')&lt;/Q&gt;&lt;R&gt;1&lt;/R&gt;&lt;C&gt;1&lt;/C&gt;&lt;D xsi:type="xsd:double"&gt;30242&lt;/D&gt;&lt;/FQL&gt;&lt;FQL&gt;&lt;Q&gt;Ticker0024^FE_ESTIMATE(DEFREVENUE,MEAN,ANNUAL_ROLL,2018,45595,,,'')&lt;/Q&gt;&lt;R&gt;1&lt;/R&gt;&lt;C&gt;1&lt;/C&gt;&lt;D xsi:type="xsd:double"&gt;32540.1&lt;/D&gt;&lt;/FQL&gt;&lt;FQL&gt;&lt;Q&gt;Ticker0024^FE_ESTIMATE(DEFREVENUE,MEAN,QUARTERLY_ROLL,2018/4F,45595,,,'')&lt;/Q&gt;&lt;R&gt;1&lt;/R&gt;&lt;C&gt;1&lt;/C&gt;&lt;D xsi:type="xsd:double"&gt;32540.1&lt;/D&gt;&lt;/FQL&gt;&lt;FQL&gt;&lt;Q&gt;Ticker0024^FE_ESTIMATE(DEFREVENUE,MEAN,QUARTERLY_ROLL,2018/3F,45595,,,'')&lt;/Q&gt;&lt;R&gt;1&lt;/R&gt;&lt;C&gt;1&lt;/C&gt;&lt;D xsi:type="xsd:double"&gt;23955&lt;/D&gt;&lt;/FQL&gt;&lt;FQL&gt;&lt;Q&gt;Ticker0024^FE_ESTIMATE(DEFREVENUE,MEAN,QUARTERLY_ROLL,2018/2F,45595,,,'')&lt;/Q&gt;&lt;R&gt;1&lt;/R&gt;&lt;C&gt;1&lt;/C&gt;&lt;D xsi:type="xsd:double"&gt;23809&lt;/D&gt;&lt;/FQL&gt;&lt;FQL&gt;&lt;Q&gt;Ticker0024^FE_ESTIMATE(DEFREVENUE,MEAN,QUARTERLY_ROLL,2018/1F,45595,,,'')&lt;/Q&gt;&lt;R&gt;1&lt;/R&gt;&lt;C&gt;1&lt;/C&gt;&lt;D xsi:type="xsd:double"&gt;24904&lt;/D&gt;&lt;/FQL&gt;&lt;FQL&gt;&lt;Q&gt;Ticker0024^FE_ESTIMATE(DEFREVENUE,MEAN,ANNUAL_ROLL,2017,45595,,,'')&lt;/Q&gt;&lt;R&gt;1&lt;/R&gt;&lt;C&gt;1&lt;/C&gt;&lt;D xsi:type="xsd:double"&gt;44479&lt;/D&gt;&lt;/FQL&gt;&lt;FQL&gt;&lt;Q&gt;Ticker0024^FE_ESTIMATE(DEFREVENUE,MEAN,QUARTERLY_ROLL,2017/4F,45595,,,'')&lt;/Q&gt;&lt;R&gt;1&lt;/R&gt;&lt;C&gt;1&lt;/C&gt;&lt;D xsi:type="xsd:double"&gt;44479&lt;/D&gt;&lt;/FQL&gt;&lt;FQL&gt;&lt;Q&gt;Ticker0024^FE_ESTIMATE(DEFREVENUE,MEAN,QUARTERLY_ROLL,2017/3F,45595,,,'')&lt;/Q&gt;&lt;R&gt;1&lt;/R&gt;&lt;C&gt;1&lt;/C&gt;&lt;D xsi:type="xsd:double"&gt;35733&lt;/D&gt;&lt;/FQL&gt;&lt;FQL&gt;&lt;Q&gt;Ticker0024^FE_ESTIMATE(DEFREVENUE,MEAN,QUARTERLY_ROLL,2017/2F,45595,,,'')&lt;/Q&gt;&lt;R&gt;1&lt;/R&gt;&lt;C&gt;1&lt;/C&gt;&lt;D xsi:type="xsd:double"&gt;34587.273&lt;/D&gt;&lt;/FQL&gt;&lt;FQL&gt;&lt;Q&gt;Ticker0024^FE_ESTIMATE(DEFREVENUE,MEAN,QUARTERLY_ROLL,2017/1F,45595,,,'')&lt;/Q&gt;&lt;R&gt;1&lt;/R&gt;&lt;C&gt;1&lt;/C&gt;&lt;D xsi:type="xsd:double"&gt;33588&lt;/D&gt;&lt;/FQL&gt;&lt;FQL&gt;&lt;Q&gt;Ticker0024^FE_ESTIMATE(DEFREVENUE,MEAN,ANNUAL_ROLL,2016,45595,,,'')&lt;/Q&gt;&lt;R&gt;1&lt;/R&gt;&lt;C&gt;1&lt;/C&gt;&lt;D xsi:type="xsd:double"&gt;33909&lt;/D&gt;&lt;/FQL&gt;&lt;FQL&gt;&lt;Q&gt;Ticker0024^FE_ESTIMATE(DEFREVENUE,MEAN,QUARTERLY_ROLL,2016/4F,45595,,,'')&lt;/Q&gt;&lt;R&gt;1&lt;/R&gt;&lt;C&gt;1&lt;/C&gt;&lt;D xsi:type="xsd:double"&gt;33909&lt;/D&gt;&lt;/FQL&gt;&lt;FQL&gt;&lt;Q&gt;Ticker0024^FE_ESTIMATE(DEFREVENUE,MEAN,QUARTERLY_ROLL,2016/3F,45595,,,'')&lt;/Q&gt;&lt;R&gt;1&lt;/R&gt;&lt;C&gt;1&lt;/C&gt;&lt;D xsi:type="xsd:double"&gt;25893&lt;/D&gt;&lt;/FQL&gt;&lt;FQL&gt;&lt;Q&gt;Ticker0024^FE_ESTIMATE(DEFREVENUE,MEAN,QUARTERLY_ROLL,2016/2F,45595,,,'')&lt;/Q&gt;&lt;R&gt;1&lt;/R&gt;&lt;C&gt;1&lt;/C&gt;&lt;D xsi:type="xsd:double"&gt;25031&lt;/D&gt;&lt;/FQL&gt;&lt;FQL&gt;&lt;Q&gt;Ticker0024^FE_ESTIMATE(DEFREVENUE,MEAN,QUARTERLY_ROLL,2016/1F,45595,,,'')&lt;/Q&gt;&lt;R&gt;0&lt;/R&gt;&lt;C&gt;0&lt;/C&gt;&lt;/FQL&gt;&lt;FQL&gt;&lt;Q&gt;Ticker0024^FE_ESTIMATE(DEFREVENUE,MEAN,ANNUAL_ROLL,2015,45595,,,'')&lt;/Q&gt;&lt;R&gt;0&lt;/R&gt;&lt;C&gt;0&lt;/C&gt;&lt;/FQL&gt;&lt;FQL&gt;&lt;Q&gt;Ticker0024^FE_ESTIMATE(DEFREVENUE,MEAN,QUARTERLY_ROLL,2015/4F,45595,,,'')&lt;/Q&gt;&lt;R&gt;0&lt;/R&gt;&lt;C&gt;0&lt;/C&gt;&lt;/FQL&gt;&lt;FQL&gt;&lt;Q&gt;Ticker0024^FE_ESTIMATE(DEFREVENUE,MEAN,QUARTERLY_ROLL,2015/3F,45595,,,'')&lt;/Q&gt;&lt;R&gt;0&lt;/R&gt;&lt;C&gt;0&lt;/C&gt;&lt;/FQL&gt;&lt;FQL&gt;&lt;Q&gt;Ticker0024^FE_ESTIMATE(DEFREVENUE,MEAN,QUARTERLY_ROLL,2015/2F,45595,,,'')&lt;/Q&gt;&lt;R&gt;0&lt;/R&gt;&lt;C&gt;0&lt;/C&gt;&lt;/FQL&gt;&lt;FQL&gt;&lt;Q&gt;Ticker0024^FE_ESTIMATE(DEFREVENUE,MEAN,QUARTERLY_ROLL,2015/1F,45595,,,'')&lt;/Q&gt;&lt;R&gt;0&lt;/R&gt;&lt;C&gt;0&lt;/C&gt;&lt;/FQL&gt;&lt;FQL&gt;&lt;Q&gt;Ticker0024^FE_ESTIMATE(DEFREVENUE_LT,MEAN,ANNUAL_ROLL,2030,45595,,,'')&lt;/Q&gt;&lt;R&gt;0&lt;/R&gt;&lt;C&gt;0&lt;/C&gt;&lt;/FQL&gt;&lt;FQL&gt;&lt;Q&gt;Ticker0024^FE_ESTIMATE(DEFREVENUE_LT,MEAN,QUARTERLY_ROLL,2030/4F,45595,,,'')&lt;/Q&gt;&lt;R&gt;0&lt;/R&gt;&lt;C&gt;0&lt;/C&gt;&lt;/FQL&gt;&lt;FQL&gt;&lt;Q&gt;Ticker0024^FE_ESTIMATE(DEFREVENUE_LT,MEAN,QUARTERLY_ROLL,2030/3F,45595,,,'')&lt;/Q&gt;&lt;R&gt;0&lt;/R&gt;&lt;C&gt;0&lt;/C&gt;&lt;/FQL&gt;&lt;FQL&gt;&lt;Q&gt;Ticker0024^FE_ESTIMATE(DEFREVENUE_LT,MEAN,QUARTERLY_ROLL,2030/2F,45595,,,'')&lt;/Q&gt;&lt;R&gt;0&lt;/R&gt;&lt;C&gt;0&lt;/C&gt;&lt;/FQL&gt;&lt;FQL&gt;&lt;Q&gt;Ticker0024^FE_ESTIMATE(DEFREVENUE_LT,MEAN,QUARTERLY_ROLL,2030/1F,45595,,,'')&lt;/Q&gt;&lt;R&gt;0&lt;/R&gt;&lt;C&gt;0&lt;/C&gt;&lt;/FQL&gt;&lt;FQL&gt;&lt;Q&gt;Ticker0024^FE_ESTIMATE(DEFREVENUE_LT,MEAN,ANNUAL_ROLL,2029,45595,,,'')&lt;/Q&gt;&lt;R&gt;0&lt;/R&gt;&lt;C&gt;0&lt;/C&gt;&lt;/FQL&gt;&lt;FQL&gt;&lt;Q&gt;Ticker0024^FE_ESTIMATE(DEFREVENUE_LT,MEAN,QUARTERLY_ROLL,2029/4F,45595,,,'')&lt;/Q&gt;&lt;R&gt;0&lt;/R&gt;&lt;C&gt;0&lt;/C&gt;&lt;/FQL&gt;&lt;FQL&gt;&lt;Q&gt;Ticker0024^FE_ESTIMATE(DEFREVENUE_LT,MEAN,QUARTERLY_ROLL,2029/3F,45595,,,'')&lt;/Q&gt;&lt;R&gt;0&lt;/R&gt;&lt;C&gt;0&lt;/C&gt;&lt;/FQL&gt;&lt;FQL&gt;&lt;Q&gt;Ticker0024^FE_ESTIMATE(DEFREVENUE_LT,MEAN,QUARTERLY_ROLL,2029/2F,45595,,,'')&lt;/Q&gt;&lt;R&gt;0&lt;/R&gt;&lt;C&gt;0&lt;/C&gt;&lt;/FQL&gt;&lt;FQL&gt;&lt;Q&gt;Ticker0024^FE_ESTIMATE(DEFREVENUE_LT,MEAN,QUARTERLY_ROLL,2029/1F,45595,,,'')&lt;/Q&gt;&lt;R&gt;0&lt;/R&gt;&lt;C&gt;0&lt;/C&gt;&lt;/FQL&gt;&lt;FQL&gt;&lt;Q&gt;Ticker0024^FE_ESTIMATE(DEFREVENUE_LT,MEAN,ANNUAL_ROLL,2028,45595,,,'')&lt;/Q&gt;&lt;R&gt;0&lt;/R&gt;&lt;C&gt;0&lt;/C&gt;&lt;/FQL&gt;&lt;FQL&gt;&lt;Q&gt;Ticker0024^FE_ESTIMATE(DEFREVENUE_LT,MEAN,QUARTERLY_ROLL,2028/4F,45595,,,'')&lt;/Q&gt;&lt;R&gt;0&lt;/R&gt;&lt;C&gt;0&lt;/C&gt;&lt;/FQL&gt;&lt;FQL&gt;&lt;Q&gt;Ticker0024^FE_ESTIMATE(DEFREVENUE_LT,MEAN,QUARTERLY_ROLL,2028/3F,45595,,,'')&lt;/Q&gt;&lt;R&gt;0&lt;/R&gt;&lt;C&gt;0&lt;/C&gt;&lt;/FQL&gt;&lt;FQL&gt;&lt;Q&gt;Ticker0024^FE_ESTIMATE(DEFREVENUE_LT,MEAN,QUARTERLY_ROLL,2028/2F,45595,,,'')&lt;/Q&gt;&lt;R&gt;0&lt;/R&gt;&lt;C&gt;0&lt;/C&gt;&lt;/FQL&gt;&lt;FQL&gt;&lt;Q&gt;Ticker0024^FE_ESTIMATE(DEFREVENUE_LT,MEAN,QUARTERLY_ROLL,2028/1F,45595,,,'')&lt;/Q&gt;&lt;R&gt;0&lt;/R&gt;&lt;C&gt;0&lt;/C&gt;&lt;/FQL&gt;&lt;FQL&gt;&lt;Q&gt;Ticker0024^FE_ESTIMATE(DEFREVENUE_LT,MEAN,ANNUAL_ROLL,2027,45595,,,'')&lt;/Q&gt;&lt;R&gt;1&lt;/R&gt;&lt;C&gt;1&lt;/C&gt;&lt;D xsi:type="xsd:double"&gt;1709&lt;/D&gt;&lt;/FQL&gt;&lt;FQL&gt;&lt;Q&gt;Ticker0024^FE_ESTIMATE(DEFREVENUE_LT,MEAN,QUARTERLY_ROLL,2027/4F,45595,,,'')&lt;/Q&gt;&lt;R&gt;0&lt;/R&gt;&lt;C&gt;0&lt;/C&gt;&lt;/FQL&gt;&lt;FQL&gt;&lt;Q&gt;Ticker0024^FE_ESTIMATE(DEFREVENUE_LT,MEAN,QUARTERLY_ROLL,2027/3F,45595,,,'')&lt;/Q&gt;&lt;R&gt;0&lt;/R&gt;&lt;C&gt;0&lt;/C&gt;&lt;/FQL&gt;&lt;FQL&gt;&lt;Q&gt;Ticker0024^FE_ESTIMATE(DEFREVENUE_LT,MEAN,QUARTERLY_ROLL,2027/2F,45595,,,'')&lt;/Q&gt;&lt;R&gt;0&lt;/R&gt;&lt;C&gt;0&lt;/C&gt;&lt;/FQL&gt;&lt;FQL&gt;&lt;Q&gt;Ticker0024^FE_ESTIMATE(DEFREVENUE_LT,MEAN,QUARTERLY_ROLL,2027/1F,45595,,,'')&lt;/Q&gt;&lt;R&gt;0&lt;/R&gt;&lt;C&gt;0&lt;/C&gt;&lt;/FQL&gt;&lt;FQL&gt;&lt;Q&gt;Ticker0024^FE_ESTIMATE(DEFREVENUE_LT,MEAN,ANNUAL_ROLL,2026,45595,,,'')&lt;/Q&gt;&lt;R&gt;1&lt;/R&gt;&lt;C&gt;1&lt;/C&gt;&lt;D xsi:type="xsd:double"&gt;2902.4167&lt;/D&gt;&lt;/FQL&gt;&lt;FQL&gt;&lt;Q&gt;Ticker0024^FE_ESTIMATE(DEFREVENUE_LT,MEAN,QUARTERLY_ROLL,2026/4F,45595,,,'')&lt;/Q&gt;&lt;R&gt;1&lt;/R&gt;&lt;C&gt;1&lt;/C&gt;&lt;D xsi:type="xsd:double"&gt;2403.25&lt;/D&gt;&lt;/FQL&gt;&lt;FQL&gt;&lt;Q&gt;Ticker0024^FE_ESTIMATE(DEFREVENUE_LT,MEAN,QUARTERLY_ROLL,2026/3F,45595,,,'')&lt;/Q&gt;&lt;R&gt;1&lt;/R&gt;&lt;C&gt;1&lt;/C&gt;&lt;D xsi:type="xsd:double"&gt;2677.5&lt;/D&gt;&lt;/FQL&gt;&lt;FQL&gt;&lt;Q&gt;Ticker0024^FE_ESTIMATE(DEFREVENUE_LT,MEAN,QUARTERLY_ROLL,2026/2F,45595,,,'')&lt;/Q&gt;&lt;R&gt;1&lt;/R&gt;&lt;C&gt;1&lt;/C&gt;&lt;D xsi:type="xsd:double"&gt;2617.75&lt;/D&gt;&lt;/FQL&gt;&lt;FQL&gt;&lt;Q&gt;Ticker0024^FE_ESTIMATE(DEFREVENUE_LT,MEAN,QUARTERLY_ROLL,2026/1F,45595,,,'')&lt;/Q&gt;&lt;R&gt;1&lt;/R&gt;&lt;C&gt;1&lt;/C&gt;&lt;D xsi:type="xsd:double"&gt;2412.5&lt;/D&gt;&lt;/FQL&gt;&lt;FQL&gt;&lt;Q&gt;Ticker0024^FE_ESTIMATE(DEFREVENUE_LT,MEAN,ANNUAL_ROLL,2025,45595,,,'')&lt;/Q&gt;&lt;R&gt;1&lt;/R&gt;&lt;C&gt;1&lt;/C&gt;&lt;D xsi:type="xsd:double"&gt;2841.55&lt;/D&gt;&lt;/FQL&gt;&lt;FQL&gt;&lt;Q&gt;Ticker0024^FE_ESTIMATE(DEFREVENUE_LT,MEAN,QUARTERLY_ROLL,2025/4F,45595,,,'')&lt;/Q&gt;&lt;R&gt;1&lt;/R&gt;&lt;C&gt;1&lt;/C&gt;&lt;D xsi:type="xsd:double"&gt;3630.9&lt;/D&gt;&lt;/FQL&gt;&lt;FQL&gt;&lt;Q&gt;Ticker0024^FE_ESTIMATE(DEFREVENUE_LT,MEAN,QUARTERLY_ROLL,2025/3F,45595,,,'')&lt;/Q&gt;&lt;R&gt;1&lt;/R&gt;&lt;C&gt;1&lt;/C&gt;&lt;D xsi:type="xsd:double"&gt;2832.3142&lt;/D&gt;&lt;/FQL&gt;&lt;FQL&gt;&lt;Q&gt;Ticker0024^FE_ESTIMATE(DEFREVENUE_LT,MEAN,QUARTERLY_ROLL,2025/2F,45595,,,'')&lt;/Q&gt;&lt;R&gt;1&lt;/R&gt;&lt;C&gt;1&lt;/C&gt;&lt;D xsi:type="xsd:double"&gt;2873.8428&lt;/D&gt;&lt;/FQL&gt;&lt;FQL&gt;&lt;Q&gt;Ticker0024^FE_ESTIMATE(DEFREVENUE_LT,MEAN,QUARTERLY_ROLL,2025/1F,45595,,,'')&lt;/Q&gt;&lt;R&gt;1&lt;/R&gt;&lt;C&gt;1&lt;/C&gt;&lt;D xsi:type="xsd:double"&gt;2725.457&lt;/D&gt;&lt;/FQL&gt;&lt;FQL&gt;&lt;Q&gt;Ticker0024^FE_ESTIMATE(DEFREVENUE_LT,MEAN,ANNUAL_ROLL,2024,45595,,,'')&lt;/Q&gt;&lt;R&gt;1&lt;/R&gt;&lt;C&gt;1&lt;/C&gt;&lt;D xsi:type="xsd:double"&gt;2601.7144&lt;/D&gt;&lt;/FQL&gt;&lt;FQL&gt;&lt;Q&gt;Ticker0024^FE_ESTIMATE(DEFREVENUE_LT,MEAN,QUARTERLY_ROLL,2024/4F,45595,,,'')&lt;/Q&gt;&lt;R&gt;1&lt;/R&gt;&lt;C&gt;1&lt;/C&gt;&lt;D xsi:type="xsd:double"&gt;2601.7144&lt;/D&gt;&lt;/FQL&gt;&lt;FQL&gt;&lt;Q&gt;Ticker0024^FE_ESTIMATE(DEFREVENUE_LT,MEAN,QUARTERLY_ROLL,2024/3F,45595,,,'')&lt;/Q&gt;&lt;R&gt;1&lt;/R&gt;&lt;C&gt;1&lt;/C&gt;&lt;D xsi:type="xsd:double"&gt;2945.7144&lt;/D&gt;&lt;/FQL&gt;&lt;FQL&gt;&lt;Q&gt;Ticker0024^FE_ESTIMATE(DEFREVENUE_LT,MEAN,QUARTERLY_ROLL,2024/2F,45595,,,'')&lt;/Q&gt;&lt;R&gt;1&lt;/R&gt;&lt;C&gt;1&lt;/C&gt;&lt;D xsi:type="xsd:double"&gt;2966.5715&lt;/D&gt;&lt;/FQL&gt;&lt;FQL&gt;&lt;Q&gt;Ticker0024^FE_ESTIMATE(DEFREVENUE_LT,MEAN,QUARTERLY_ROLL,2024/1F,45595,,,'')&lt;/Q&gt;&lt;R&gt;1&lt;/R&gt;&lt;C&gt;1&lt;/C&gt;&lt;D xsi:type="xsd:double"&gt;2759.1428&lt;/D&gt;&lt;/FQL&gt;&lt;FQL&gt;&lt;Q&gt;Ticker0024^FE_ESTIMATE(DEFREVENUE_LT,MEAN,ANNUAL_ROLL,2023,45595,,,'')&lt;/Q&gt;&lt;R&gt;1&lt;/R&gt;&lt;C&gt;1&lt;/C&gt;&lt;D xsi:type="xsd:double"&gt;2911.75&lt;/D&gt;&lt;/FQL&gt;&lt;FQL&gt;&lt;Q&gt;Ticker0024^FE_ESTIMATE(DEFREVENUE_LT,MEAN,QUARTERLY_ROLL,2023/4F,45595,,,'')&lt;/Q&gt;&lt;R&gt;1&lt;/R&gt;&lt;C&gt;1&lt;/C&gt;&lt;D xsi:type="xsd:double"&gt;2911.7144&lt;/D&gt;&lt;/FQL&gt;&lt;FQL&gt;&lt;Q&gt;Ticker0024^FE_ESTIMATE(DEFREVENUE_LT,MEAN,QUARTERLY_ROLL,2023/3F,45595,,,'')&lt;/Q&gt;&lt;R&gt;1&lt;/R&gt;&lt;C&gt;1&lt;/C&gt;&lt;D xsi:type="xsd:double"&gt;2698.3333&lt;/D&gt;&lt;/FQL&gt;&lt;FQL&gt;&lt;Q&gt;Ticker0024^FE_ESTIMATE(DEFREVENUE_LT,MEAN,QUARTERLY_ROLL,2023/2F,45595,,,'')&lt;/Q&gt;&lt;R&gt;1&lt;/R&gt;&lt;C&gt;1&lt;/C&gt;&lt;D xsi:type="xsd:double"&gt;2643.3333&lt;/D&gt;&lt;/FQL&gt;&lt;FQL&gt;&lt;Q&gt;Ticker0024^FE_ESTIMATE(DEFREVENUE_LT,MEAN,QUARTERLY_ROLL,2023/1F,45595,,,'')&lt;/Q&gt;&lt;R&gt;1&lt;/R&gt;&lt;C&gt;1&lt;/C&gt;&lt;D xsi:type="xsd:double"&gt;2549.1428&lt;/D&gt;&lt;/FQL&gt;&lt;FQL&gt;&lt;Q&gt;Ticker0024^FE_ESTIMATE(DEFREVENUE_LT,MEAN,ANNUAL_ROLL,2022,45595,,,'')&lt;/Q&gt;&lt;R&gt;1&lt;/R&gt;&lt;C&gt;1&lt;/C&gt;&lt;D xsi:type="xsd:double"&gt;2870&lt;/D&gt;&lt;/FQL&gt;&lt;FQL&gt;&lt;Q&gt;Ticker0024^FE_ESTIMATE(DEFREVENUE_LT,MEAN,QUARTERLY_ROLL,2022/4F,45595,,,'')&lt;/Q&gt;&lt;R&gt;1&lt;/R&gt;&lt;C&gt;1&lt;/C&gt;&lt;D xsi:type="xsd:double"&gt;2870&lt;/D&gt;&lt;/FQL&gt;&lt;FQL&gt;&lt;Q&gt;Ticker0024^FE_ESTIMATE(DEFREVENUE_LT,MEAN,QUARTERLY_ROLL,2022/3F,45595,,,'')&lt;/Q&gt;&lt;R&gt;1&lt;/R&gt;&lt;C&gt;1&lt;/C&gt;&lt;D xsi:type="xsd:double"&gt;2769&lt;/D&gt;&lt;/FQL&gt;&lt;FQL&gt;&lt;Q&gt;Ticker0024^FE_ESTIMATE(DEFREVENUE_LT,MEAN,QUARTERLY_ROLL,2022/2F,45595,,,'')&lt;/Q&gt;&lt;R&gt;1&lt;/R&gt;&lt;C&gt;1&lt;/C&gt;&lt;D xsi:type="xsd:double"&gt;2768&lt;/D&gt;&lt;/FQL&gt;&lt;FQL&gt;&lt;Q&gt;Ticker0024^FE_ESTIMATE(DEFREVENUE_LT,MEAN,QUARTERLY_ROLL,2022/1F,45595,,,'')&lt;/Q&gt;&lt;R&gt;1&lt;/R&gt;&lt;C&gt;1&lt;/C&gt;&lt;D xsi:type="xsd:double"&gt;2550&lt;/D&gt;&lt;/FQL&gt;&lt;FQL&gt;&lt;Q&gt;Ticker0024^FE_ESTIMATE(DEFREVENUE_LT,MEAN,ANNUAL_ROLL,2021,45595,,,'')&lt;/Q&gt;&lt;R&gt;1&lt;/R&gt;&lt;C&gt;1&lt;/C&gt;&lt;D xsi:type="xsd:double"&gt;2616&lt;/D&gt;&lt;/FQL&gt;&lt;FQL&gt;&lt;Q&gt;Ticker0024^FE_ESTIMATE(DEFREVENUE_LT,MEAN,QUARTERLY_ROLL,2021/4F,45595,,,'')&lt;/Q&gt;&lt;R&gt;1&lt;/R&gt;&lt;C&gt;1&lt;/C&gt;&lt;D xsi:type="xsd:double"&gt;2616&lt;/D&gt;&lt;/FQL&gt;&lt;FQL&gt;&lt;Q&gt;Ticker0024^FE_ESTIMATE(DEFREVENUE_LT,MEAN,QUARTERLY_ROLL,2021/3F,45595,,,'')&lt;/Q&gt;&lt;R&gt;1&lt;/R&gt;&lt;C&gt;1&lt;/C&gt;&lt;D xsi:type="xsd:double"&gt;2631&lt;/D&gt;&lt;/FQL&gt;&lt;FQL&gt;&lt;Q&gt;Ticker0024^FE_ESTIMATE(DEFREVENUE_LT,MEAN,QUARTERLY_ROLL,2021/2F,45595,,,'')&lt;/Q&gt;&lt;R&gt;1&lt;/R&gt;&lt;C&gt;1&lt;/C&gt;&lt;D xsi:type="xsd:double"&gt;2985&lt;/D&gt;&lt;/FQL&gt;&lt;FQL&gt;&lt;Q&gt;Ticker0024^FE_ESTIMATE(DEFREVENUE_LT,MEAN,QUARTERLY_ROLL,2021/1F,45595,,,'')&lt;/Q&gt;&lt;R&gt;1&lt;/R&gt;&lt;C&gt;1&lt;/C&gt;&lt;D xsi:type="xsd:double"&gt;2829&lt;/D&gt;&lt;/FQL&gt;&lt;FQL&gt;&lt;Q&gt;Ticker0024^FE_ESTIMATE(DEFREVENUE_LT,MEAN,ANNUAL_ROLL,2020,45595,,,'')&lt;/Q&gt;&lt;R&gt;1&lt;/R&gt;&lt;C&gt;1&lt;/C&gt;&lt;D xsi:type="xsd:double"&gt;3180&lt;/D&gt;&lt;/FQL&gt;&lt;FQL&gt;&lt;Q&gt;Ticker0024^FE_ESTIMATE(DEFREVENUE_LT,MEAN,QUARTERLY_ROLL,2020/4F,45595,,,'')&lt;/Q&gt;&lt;R&gt;1&lt;/R&gt;&lt;C&gt;1&lt;/C&gt;&lt;D xsi:type="xsd:double"&gt;3180&lt;/D&gt;&lt;/FQL&gt;&lt;FQL&gt;&lt;Q&gt;Ticker0024^FE_ESTIMATE(DEFREVENUE_LT,MEAN,QUARTERLY_ROLL,2020/3F,45595,,,'')&lt;/Q&gt;&lt;R&gt;1&lt;/R&gt;&lt;C&gt;1&lt;/C&gt;&lt;D xsi:type="xsd:double"&gt;3385&lt;/D&gt;&lt;/FQL&gt;&lt;FQL&gt;&lt;Q&gt;Ticker0024^FE_ESTIMATE(DEFREVENUE_LT,MEAN,QUARTERLY_ROLL,2020/2F,45595,,,'')&lt;/Q&gt;&lt;R&gt;1&lt;/R&gt;&lt;C&gt;1&lt;/C&gt;&lt;D xsi:type="xsd:double"&gt;3878&lt;/D&gt;&lt;/FQL&gt;&lt;FQL&gt;&lt;Q&gt;Ticker0024^FE_ESTIMATE(DEFREVENUE_LT,MEAN,QUARTERLY_ROLL,2020/1F,45595,,,'')&lt;/Q&gt;&lt;R&gt;1&lt;/R&gt;&lt;C&gt;1&lt;/C&gt;&lt;D xsi:type="xsd:double"&gt;4122&lt;/D&gt;&lt;/FQL&gt;&lt;FQL&gt;&lt;Q&gt;Ticker0024^FE_ESTIMATE(DEFREVENUE_LT,MEAN,ANNUAL_ROLL,2019,45595,,,'')&lt;/Q&gt;&lt;R&gt;1&lt;/R&gt;&lt;C&gt;1&lt;/C&gt;&lt;D xsi:type="xsd:double"&gt;4530&lt;/D&gt;&lt;/FQL&gt;&lt;FQL&gt;&lt;Q&gt;Ticker0024^FE_ESTIMATE(DEFREVENUE_LT,MEAN,QUARTERLY_ROLL,2019/4F,45595,,,'')&lt;/Q&gt;&lt;R&gt;1&lt;/R&gt;&lt;C&gt;1&lt;/C&gt;&lt;D xsi:type="xsd:double"&gt;4530&lt;/D&gt;&lt;/FQL&gt;&lt;FQL&gt;&lt;Q&gt;Ticker0024^FE_ESTIMATE(DEFREVENUE_LT,MEAN,QUARTERLY_ROLL,2019/3F,45595,,,'')&lt;/Q&gt;&lt;R&gt;1&lt;/R&gt;&lt;C&gt;1&lt;/C&gt;&lt;D xsi:type="xsd:double"&gt;3884&lt;/D&gt;&lt;/FQL&gt;&lt;FQL&gt;&lt;Q&gt;Ticker0024^FE_ESTIMATE(DEFREVENUE_LT,MEAN,QUARTERLY_ROLL,2019/2F,45595,,,'')&lt;/Q&gt;&lt;R&gt;1&lt;/R&gt;&lt;C&gt;1&lt;/C&gt;&lt;D xsi:type="xsd:double"&gt;3799&lt;/D&gt;&lt;/FQL&gt;&lt;FQL&gt;&lt;Q&gt;Ticker0024^FE_ESTIMATE(DEFREVENUE_LT,MEAN,QUARTERLY_ROLL,2019/1F,45595,,,'')&lt;/Q&gt;&lt;R&gt;1&lt;/R&gt;&lt;C&gt;1&lt;/C&gt;&lt;D xsi:type="xsd:double"&gt;3538&lt;/D&gt;&lt;/FQL&gt;&lt;FQL&gt;&lt;Q&gt;Ticker0024^FE_ESTIMATE(DEFREVENUE_LT,MEAN,ANNUAL_ROLL,2018,45595,,,'')&lt;/Q&gt;&lt;R&gt;1&lt;/R&gt;&lt;C&gt;1&lt;/C&gt;&lt;D xsi:type="xsd:double"&gt;3815&lt;/D&gt;&lt;/FQL&gt;&lt;FQL&gt;&lt;Q&gt;Ticker0024^FE_ESTIMATE(DEFREVENUE_LT,MEAN,QUARTERLY_ROLL,2018/4F,45595,,,'')&lt;/Q&gt;&lt;R&gt;1&lt;/R&gt;&lt;C&gt;1&lt;/C&gt;&lt;D xsi:type="xsd:double"&gt;3815&lt;/D&gt;&lt;/FQL&gt;&lt;FQL&gt;&lt;Q&gt;Ticker0024^FE_ESTIMATE(DEFREVENUE_LT,MEAN,QUARTERLY_ROLL,2018/3F,45595,,,'')&lt;/Q&gt;&lt;R&gt;1&lt;/R&gt;&lt;C&gt;1&lt;/C&gt;&lt;D xsi:type="xsd:double"&gt;2585&lt;/D&gt;&lt;/FQL&gt;&lt;FQL&gt;&lt;Q&gt;Ticker0024^FE_ESTIMATE(DEFREVENUE_LT,MEAN,QUARTERLY_ROLL,2018/2F,45595,,,'')&lt;/Q&gt;&lt;R&gt;1&lt;/R&gt;&lt;C&gt;1&lt;/C&gt;&lt;D xsi:type="xsd:double"&gt;2500&lt;/D&gt;&lt;/FQL&gt;&lt;FQL&gt;&lt;Q&gt;Ticker0024^FE_ESTIMATE(DEFREVENUE_LT,MEAN,QUARTERLY_ROLL,2018/1F,45595,,,'')&lt;/Q&gt;&lt;R&gt;1&lt;/R&gt;&lt;C&gt;1&lt;/C&gt;&lt;D xsi:type="xsd:double"&gt;2126&lt;/D&gt;&lt;/FQL&gt;&lt;FQL&gt;&lt;Q&gt;Ticker0024^FE_ESTIMATE(DEFREVENUE_LT,MEAN,ANNUAL_ROLL,2017,45595,,,'')&lt;/Q&gt;&lt;R&gt;1&lt;/R&gt;&lt;C&gt;1&lt;/C&gt;&lt;D xsi:type="xsd:double"&gt;10377&lt;/D&gt;&lt;/FQL&gt;&lt;FQL&gt;&lt;Q&gt;Ticker0024^FE_ESTIMATE(DEFREVENUE_LT,MEAN,QUARTERLY_ROLL,2017/4F,45595,,,'')&lt;/Q&gt;&lt;R&gt;1&lt;/R&gt;&lt;C&gt;1&lt;/C&gt;&lt;D xsi:type="xsd:double"&gt;10377&lt;/D&gt;&lt;/FQL&gt;&lt;FQL&gt;&lt;Q&gt;Ticker0024^FE_ESTIMATE(DEFREVENUE_LT,MEAN,QUARTERLY_ROLL,2017/3F,45595,,,'')&lt;/Q&gt;&lt;R&gt;1&lt;/R&gt;&lt;C&gt;1&lt;/C&gt;&lt;D xsi:type="xsd:double"&gt;9215&lt;/D&gt;&lt;/FQL&gt;&lt;FQL&gt;&lt;Q&gt;Ticker0024^FE_ESTIMATE(DEFREVENUE_LT,MEAN,QUARTERLY_ROLL,2017/2F,45595,,,'')&lt;/Q&gt;&lt;R&gt;1&lt;/R&gt;&lt;C&gt;1&lt;/C&gt;&lt;D xsi:type="xsd:double"&gt;8595&lt;/D&gt;&lt;/FQL&gt;&lt;FQL&gt;&lt;Q&gt;Ticker0024^FE_ESTIMATE(DEFREVENUE_LT,MEAN,QUARTERLY_ROLL,2017/1F,45595,,,'')&lt;/Q&gt;&lt;R&gt;1&lt;/R&gt;&lt;C&gt;1&lt;/C&gt;&lt;D xsi:type="xsd:double"&gt;7284&lt;/D&gt;&lt;/FQL&gt;&lt;FQL&gt;&lt;Q&gt;Ticker0024^FE_ESTIMATE(DEFREVENUE_LT,MEAN,ANNUAL_ROLL,2016,45595,,,'')&lt;/Q&gt;&lt;R&gt;1&lt;/R&gt;&lt;C&gt;1&lt;/C&gt;&lt;D xsi:type="xsd:double"&gt;6441&lt;/D&gt;&lt;/FQL&gt;&lt;FQL&gt;&lt;Q&gt;Ticker0024^FE_ESTIMATE(DEFREVENUE_LT,MEAN,QUARTERLY_ROLL,2016/4F,45595,,,'')&lt;/Q&gt;&lt;R&gt;1&lt;/R&gt;&lt;C&gt;1&lt;/C&gt;&lt;D xsi:type="xsd:double"&gt;6441&lt;/D&gt;&lt;/FQL&gt;&lt;FQL&gt;&lt;Q&gt;Ticker0024^FE_ESTIMATE(DEFREVENUE_LT,MEAN,QUARTERLY_ROLL,2016/3F,45595,,,'')&lt;/Q&gt;&lt;R&gt;1&lt;/R&gt;&lt;C&gt;1&lt;/C&gt;&lt;D xsi:type="xsd:double"&gt;5017&lt;/D&gt;&lt;/FQL&gt;&lt;FQL&gt;&lt;Q&gt;Ticker0024^FE_ESTIMATE(DEFREVENUE_LT,MEAN,QUARTERLY_ROLL,2016/2F,45595,,,'')&lt;/Q&gt;&lt;R&gt;1&lt;/R&gt;&lt;C&gt;1&lt;/C&gt;&lt;D xsi:type="xsd:double"&gt;4102&lt;/D&gt;&lt;/FQL&gt;&lt;FQL&gt;&lt;Q&gt;Ticker0024^FE_ESTIMATE(DEFREVENUE_LT,MEAN,QUARTERLY_ROLL,2016/1F,45595,,,'')&lt;/Q&gt;&lt;R&gt;1&lt;/R&gt;&lt;C&gt;1&lt;/C&gt;&lt;D xsi:type="xsd:double"&gt;2784&lt;/D&gt;&lt;/FQL&gt;&lt;FQL&gt;&lt;Q&gt;Ticker0024^FE_ESTIMATE(DEFREVENUE_LT,MEAN,ANNUAL_ROLL,2015,45595,,,'')&lt;/Q&gt;&lt;R&gt;1&lt;/R&gt;&lt;C&gt;1&lt;/C&gt;&lt;D xsi:type="xsd:double"&gt;2095&lt;/D&gt;&lt;/FQL&gt;&lt;FQL&gt;&lt;Q&gt;Ticker0024^FE_ESTIMATE(DEFREVENUE_LT,MEAN,QUARTERLY_ROLL,2015/4F,45595,,,'')&lt;/Q&gt;&lt;R&gt;1&lt;/R&gt;&lt;C&gt;1&lt;/C&gt;&lt;D xsi:type="xsd:double"&gt;2095&lt;/D&gt;&lt;/FQL&gt;&lt;FQL&gt;&lt;Q&gt;Ticker0024^FE_ESTIMATE(DEFREVENUE_LT,MEAN,QUARTERLY_ROLL,2015/3F,45595,,,'')&lt;/Q&gt;&lt;R&gt;1&lt;/R&gt;&lt;C&gt;1&lt;/C&gt;&lt;D xsi:type="xsd:double"&gt;1966&lt;/D&gt;&lt;/FQL&gt;&lt;FQL&gt;&lt;Q&gt;Ticker0024^FE_ESTIMATE(DEFREVENUE_LT,MEAN,QUARTERLY_ROLL,2015/2F,45595,,,'')&lt;/Q&gt;&lt;R&gt;1&lt;/R&gt;&lt;C&gt;1&lt;/C&gt;&lt;D xsi:type="xsd:double"&gt;2035.2727&lt;/D&gt;&lt;/FQL&gt;&lt;FQL&gt;&lt;Q&gt;Ticker0024^FE_ESTIMATE(DEFREVENUE_LT,MEAN,QUARTERLY_ROLL,2015/1F,45595,,,'')&lt;/Q&gt;&lt;R&gt;1&lt;/R&gt;&lt;C&gt;1&lt;/C&gt;&lt;D xsi:type="xsd:double"&gt;1825&lt;/D&gt;&lt;/FQL&gt;&lt;FQL&gt;&lt;Q&gt;Ticker0024^FE_ESTIMATE(DEFREVENUE_ST,MEAN,ANNUAL_ROLL,2030,45595,,,'')&lt;/Q&gt;&lt;R&gt;0&lt;/R&gt;&lt;C&gt;0&lt;/C&gt;&lt;/FQL&gt;&lt;FQL&gt;&lt;Q&gt;Ticker0024^FE_ESTIMATE(DEFREVENUE_ST,MEAN,QUARTERLY_ROLL,2030/4F,45595,,,'')&lt;/Q&gt;&lt;R&gt;0&lt;/R&gt;&lt;C&gt;0&lt;/C&gt;&lt;/FQL&gt;&lt;FQL&gt;&lt;Q&gt;Ticker0024^FE_ESTIMATE(DEFREVENUE_ST,MEAN,QUARTERLY_ROLL,2030/3F,45595,,,'')&lt;/Q&gt;&lt;R&gt;0&lt;/R&gt;&lt;C&gt;0&lt;/C&gt;&lt;/FQL&gt;&lt;FQL&gt;&lt;Q&gt;Ticker0024^FE_ESTIMATE(DEFREVENUE_ST,MEAN,QUARTERLY_ROLL,2030/2F,45595,,,'')&lt;/Q&gt;&lt;R&gt;0&lt;/R&gt;&lt;C&gt;0&lt;/C&gt;&lt;/FQL&gt;&lt;FQL&gt;&lt;Q&gt;Ticker0024^FE_ESTIMATE(DEFREVENUE_ST,MEAN,QUARTERLY_ROLL,2030/1F,45595,,,'')&lt;/Q&gt;&lt;R&gt;0&lt;/R&gt;&lt;C&gt;0&lt;/C&gt;&lt;/FQL&gt;&lt;FQL&gt;&lt;Q&gt;Ticker0024^FE_ESTIMATE(DEFREVENUE_ST,MEAN,ANNUAL_ROLL,2029,45595,,,'')&lt;/Q&gt;&lt;R&gt;0&lt;/R&gt;&lt;C&gt;0&lt;/C&gt;&lt;/FQL&gt;&lt;FQL&gt;&lt;Q&gt;Ticker0024^FE_ESTIMATE(DEFREVENUE_ST,MEAN,QUARTERLY_ROLL,2029/4F,45595,,,'')&lt;/Q&gt;&lt;R&gt;0&lt;/R&gt;&lt;C&gt;0&lt;/C&gt;&lt;/FQL&gt;&lt;FQL&gt;&lt;Q&gt;Ticker0024^FE_ESTIMATE(DEFREVENUE_ST,MEAN,QUARTERLY_ROLL,2029/3F,45595,,,'')&lt;/Q&gt;&lt;R&gt;0&lt;/R&gt;&lt;C&gt;0&lt;/C&gt;&lt;/FQL&gt;&lt;FQL&gt;&lt;Q&gt;Ticker0024^FE_ESTIMATE(DEFREVENUE_ST,MEAN,QUARTERLY_ROLL,2029/2F,45595,,,'')&lt;/Q&gt;&lt;R&gt;0&lt;/R&gt;&lt;C&gt;0&lt;/C&gt;&lt;/FQL&gt;&lt;FQL&gt;&lt;Q&gt;Ticker0024^FE_ESTIMATE(DEFREVENUE_ST,MEAN,QUARTERLY_ROLL,2029/1F,45595,,,'')&lt;/Q&gt;&lt;R&gt;0&lt;/R&gt;&lt;C&gt;0&lt;/C&gt;&lt;/FQL&gt;&lt;FQL&gt;&lt;Q&gt;Ticker0024^FE_ESTIMATE(DEFREVENUE_ST,MEAN,ANNUAL_ROLL,2028,45595,,,'')&lt;/Q&gt;&lt;R&gt;0&lt;/R&gt;&lt;C&gt;0&lt;/C&gt;&lt;/FQL&gt;&lt;FQL&gt;&lt;Q&gt;Ticker0024^FE_ESTIMATE(DEFREVENUE_ST,MEAN,QUARTERLY_ROLL,2028/4F,45595,,,'')&lt;/Q&gt;&lt;R&gt;0&lt;/R&gt;&lt;C&gt;0&lt;/C&gt;&lt;/FQL&gt;&lt;FQL&gt;&lt;Q&gt;Ticker0024^FE_ESTIMATE(DEFREVENUE_ST,MEAN,QUARTERLY_ROLL,2028/3F,45595,,,'')&lt;/Q&gt;&lt;R&gt;0&lt;/R&gt;&lt;C&gt;0&lt;/C&gt;&lt;/FQL&gt;&lt;FQL&gt;&lt;Q&gt;Ticker0024^FE_ESTIMATE(DEFREVENUE_ST,MEAN,QUARTERLY_ROLL,2028/2F,45595,,,'')&lt;/Q&gt;&lt;R&gt;0&lt;/R&gt;&lt;C&gt;0&lt;/C&gt;&lt;/FQL&gt;&lt;FQL&gt;&lt;Q&gt;Ticker0024^FE_ESTIMATE(DEFREVENUE_ST,MEAN,QUARTERLY_ROLL,2028/1F,45595,,,'')&lt;/Q&gt;&lt;R&gt;0&lt;/R&gt;&lt;C&gt;0&lt;/C&gt;&lt;/FQL&gt;&lt;FQL&gt;&lt;Q&gt;Ticker0024^FE_ESTIMATE(DEFREVENUE_ST,MEAN,ANNUAL_ROLL,2027,45595,,,'')&lt;/Q&gt;&lt;R&gt;1&lt;/R&gt;&lt;C&gt;1&lt;/C&gt;&lt;D xsi:type="xsd:double"&gt;63846&lt;/D&gt;&lt;/FQL&gt;&lt;FQL&gt;&lt;Q&gt;Ticker0024^FE_ESTIMATE(DEFREVENUE_ST,MEAN,QUARTERLY_ROLL,2027/4F,45595,,,'')&lt;/Q&gt;&lt;R&gt;0&lt;/R&gt;&lt;C&gt;0&lt;/C&gt;&lt;/FQL&gt;&lt;FQL&gt;&lt;Q&gt;Ticker0024^FE_ESTIMATE(DEFREVENUE_ST,MEAN,QUARTERLY_ROLL,2027/3F,45595,,,'')&lt;/Q&gt;&lt;R&gt;0&lt;/R&gt;&lt;C&gt;0&lt;/C&gt;&lt;/FQL&gt;&lt;FQL&gt;&lt;Q&gt;Ticker0024^FE_ESTIMATE(DEFREVENUE_ST,MEAN,QUARTERLY_ROLL,2027/2F,45595,,,'')&lt;/Q&gt;&lt;R&gt;0&lt;/R&gt;&lt;C&gt;0&lt;/C&gt;&lt;/FQL&gt;&lt;FQL&gt;&lt;Q&gt;Ticker0024^FE_ESTIMATE(DEFREVENUE_ST,MEAN,QUARTERLY_ROLL,2027/1F,45595,,,'')&lt;/Q&gt;&lt;R&gt;0&lt;/R&gt;&lt;C&gt;0&lt;/C&gt;&lt;/FQL&gt;&lt;FQL&gt;&lt;Q&gt;Ticker0024^FE_ESTIMATE(DEFREVENUE_ST,MEAN,ANNUAL_ROLL,2026,45595,,,'')&lt;/Q&gt;&lt;R&gt;1&lt;/R&gt;&lt;C&gt;1&lt;/C&gt;&lt;D xsi:type="xsd:double"&gt;70713.46&lt;/D&gt;&lt;/FQL&gt;&lt;FQL&gt;&lt;Q&gt;Ticker0024^FE_ESTIMATE(DEFREVENUE_ST,MEAN,QUARTERLY_ROLL,2026/4F,45595,,,'')&lt;/Q&gt;&lt;R&gt;1&lt;/R&gt;&lt;C&gt;1&lt;/C&gt;&lt;D xsi:type="xsd:double"&gt;75734.25&lt;/D&gt;&lt;/FQL&gt;&lt;FQL&gt;&lt;Q&gt;Ticker0024^FE_ESTIMATE(DEFREVENUE_ST,MEAN,QUARTERLY_ROLL,2026/3F,45595,,,'')&lt;/Q&gt;&lt;R&gt;1&lt;/R&gt;&lt;C&gt;1&lt;/C&gt;&lt;D xsi:type="xsd:double"&gt;56059.5&lt;/D&gt;&lt;/FQL&gt;&lt;FQL&gt;&lt;Q&gt;Ticker0024^FE_ESTIMATE(DEFREVENUE_ST,MEAN,QUARTERLY_ROLL,2026/2F,45595,,,'')&lt;/Q&gt;&lt;R&gt;1&lt;/R&gt;&lt;C&gt;1&lt;/C&gt;&lt;D xsi:type="xsd:double"&gt;56716&lt;/D&gt;&lt;/FQL&gt;&lt;FQL&gt;&lt;Q&gt;Ticker0024^FE_ESTIMATE(DEFREVENUE_ST,MEAN,QUARTERLY_ROLL,2026/1F,45595,,,'')&lt;/Q&gt;&lt;R&gt;1&lt;/R&gt;&lt;C&gt;1&lt;/C&gt;&lt;D xsi:type="xsd:double"&gt;61337.75&lt;/D&gt;&lt;/FQL&gt;&lt;FQL&gt;&lt;Q&gt;Ticker0024^FE_ESTIMATE(DEFREVENUE_ST,MEAN,ANNUAL_ROLL,2025,45595,,,'')&lt;/Q&gt;&lt;R&gt;1&lt;/R&gt;&lt;C&gt;1&lt;/C&gt;&lt;D xsi:type="xsd:double"&gt;63497.164&lt;/D&gt;&lt;/FQL&gt;&lt;FQL&gt;&lt;Q&gt;Ticker0024^FE_ESTIMATE(DEFREVENUE_ST,MEAN,QUARTERLY_ROLL,2025/4F,45595,,,'')&lt;/Q&gt;&lt;R&gt;1&lt;/R&gt;&lt;C&gt;1&lt;/C&gt;&lt;D xsi:type="xsd:double"&gt;62887.188&lt;/D&gt;&lt;/FQL&gt;&lt;FQL&gt;&lt;Q&gt;Ticker0024^FE_ESTIMATE(DEFREVENUE_ST,MEAN,QUARTERLY_ROLL,2025/3F,45595,,,'')&lt;/Q&gt;&lt;R&gt;1&lt;/R&gt;&lt;C&gt;1&lt;/C&gt;&lt;D xsi:type="xsd:double"&gt;48173.855&lt;/D&gt;&lt;/FQL&gt;&lt;FQL&gt;&lt;Q&gt;Ticker0024^FE_ESTIMATE(DEFREVENUE_ST,MEAN,QUARTERLY_ROLL,2025/2F,45595,,,'')&lt;/Q&gt;&lt;R&gt;1&lt;/R&gt;&lt;C&gt;1&lt;/C&gt;&lt;D xsi:type="xsd:double"&gt;49694.473&lt;/D&gt;&lt;/FQL&gt;&lt;FQL&gt;&lt;Q&gt;Ticker0024^FE_ESTIMATE(DEFREVENUE_ST,MEAN,QUARTERLY_ROLL,2025/1F,45595,,,'')&lt;/Q&gt;&lt;R&gt;1&lt;/R&gt;&lt;C&gt;1&lt;/C&gt;&lt;D xsi:type="xsd:double"&gt;53589.44&lt;/D&gt;&lt;/FQL&gt;&lt;FQL&gt;&lt;Q&gt;Ticker0024^FE_ESTIMATE(DEFREVENUE_ST,MEAN,ANNUAL_ROLL,2024,45595,,,'')&lt;/Q&gt;&lt;R&gt;1&lt;/R&gt;&lt;C&gt;1&lt;/C&gt;&lt;D xsi:type="xsd:double"&gt;57742.875&lt;/D&gt;&lt;/FQL&gt;&lt;FQL&gt;&lt;Q&gt;Ticker0024^FE_ESTIMATE(DEFREVENUE_ST,MEAN,QUARTERLY_ROLL,2024/4F,45595,,,'')&lt;/Q&gt;&lt;R&gt;1&lt;/R&gt;&lt;C&gt;1&lt;/C&gt;&lt;D xsi:type="xsd:double"&gt;57581.715&lt;/D&gt;&lt;/FQL&gt;&lt;FQL&gt;&lt;Q&gt;Ticker0024^FE_ESTIMATE(DEFREVENUE_ST,MEAN,QUARTERLY_ROLL,2024/3F,45595,,,'')&lt;/Q&gt;&lt;R&gt;1&lt;/R&gt;&lt;C&gt;1&lt;/C&gt;&lt;D xsi:type="xsd:double"&gt;41888.285&lt;/D&gt;&lt;/FQL&gt;&lt;FQL&gt;&lt;Q&gt;Ticker0024^FE_ESTIMATE(DEFREVENUE_ST,MEAN,QUARTERLY_ROLL,2024/2F,45595,,,'')&lt;/Q&gt;&lt;R&gt;1&lt;/R&gt;&lt;C&gt;1&lt;/C&gt;&lt;D xsi:type="xsd:double"&gt;43068.285&lt;/D&gt;&lt;/FQL&gt;&lt;FQL&gt;&lt;Q&gt;Ticker0024^FE_ESTIMATE(DEFREVENUE_ST,MEAN,QUARTERLY_ROLL,2024/1F,45595,,,'')&lt;/Q&gt;&lt;R&gt;1&lt;/R&gt;&lt;C&gt;1&lt;/C&gt;&lt;D xsi:type="xsd:double"&gt;46429.168&lt;/D&gt;&lt;/FQL&gt;&lt;FQL&gt;&lt;Q&gt;Ticker0024^FE_ESTIMATE(DEFREVENUE_ST,MEAN,ANNUAL_ROLL,2023,45595,,,'')&lt;/Q&gt;&lt;R&gt;1&lt;/R&gt;&lt;C&gt;1&lt;/C&gt;&lt;D xsi:type="xsd:double"&gt;50900.875&lt;/D&gt;&lt;/FQL&gt;&lt;FQL&gt;&lt;Q&gt;Ticker0024^FE_ESTIMATE(DEFREVENUE_ST,MEAN,QUARTERLY_ROLL,2023/4F,45595,,,'')&lt;/Q&gt;&lt;R&gt;1&lt;/R&gt;&lt;C&gt;1&lt;/C&gt;&lt;D xsi:type="xsd:double"&gt;50900.855&lt;/D&gt;&lt;/FQL&gt;&lt;FQL&gt;&lt;Q&gt;Ticker0024^FE_ESTIMATE(DEFREVENUE_ST,MEAN,QUARTERLY_ROLL,2023/3F,45595,,,'')&lt;/Q&gt;&lt;R&gt;1&lt;/R&gt;&lt;C&gt;1&lt;/C&gt;&lt;D xsi:type="xsd:double"&gt;36902.5&lt;/D&gt;&lt;/FQL&gt;&lt;FQL&gt;&lt;Q&gt;Ticker0024^FE_ESTIMATE(DEFREVENUE_ST,MEAN,QUARTERLY_ROLL,2023/2F,45595,,,'')&lt;/Q&gt;&lt;R&gt;1&lt;/R&gt;&lt;C&gt;1&lt;/C&gt;&lt;D xsi:type="xsd:double"&gt;36981.668&lt;/D&gt;&lt;/FQL&gt;&lt;FQL&gt;&lt;Q&gt;Ticker0024^FE_ESTIMATE(DEFREVENUE_ST,MEAN,QUARTERLY_ROLL,2023/1F,45595,,,'')&lt;/Q&gt;&lt;R&gt;1&lt;/R&gt;&lt;C&gt;1&lt;/C&gt;&lt;D xsi:type="xsd:double"&gt;41340&lt;/D&gt;&lt;/FQL&gt;&lt;FQL&gt;&lt;Q&gt;Ticker0024^FE_ESTIMATE(DEFREVENUE_ST,MEAN,ANNUAL_ROLL,2022,45595,,,'')&lt;/Q&gt;&lt;R&gt;1&lt;/R&gt;&lt;C&gt;1&lt;/C&gt;&lt;D xsi:type="xsd:double"&gt;45538&lt;/D&gt;&lt;/FQL&gt;&lt;FQL&gt;&lt;Q&gt;Ticker0024^FE_ESTIMATE(DEFREVENUE_ST,MEAN,QUARTERLY_ROLL,2022/4F,45595,,,'')&lt;/Q&gt;&lt;R&gt;1&lt;/R&gt;&lt;C&gt;1&lt;/C&gt;&lt;D xsi:type="xsd:double"&gt;45538&lt;/D&gt;&lt;/FQL&gt;&lt;FQL&gt;&lt;Q&gt;Ticker0024^FE_ESTIMATE(DEFREVENUE_ST,MEAN,QUARTERLY_ROLL,2022/3F,45595,,,'')&lt;/Q&gt;&lt;R&gt;1&lt;/R&gt;&lt;C&gt;1&lt;/C&gt;&lt;D xsi:type="xsd:double"&gt;34027&lt;/D&gt;&lt;/FQL&gt;&lt;FQL&gt;&lt;Q&gt;Ticker0024^FE_ESTIMATE(DEFREVENUE_ST,MEAN,QUARTERLY_ROLL,2022/2F,45595,,,'')&lt;/Q&gt;&lt;R&gt;1&lt;/R&gt;&lt;C&gt;1&lt;/C&gt;&lt;D xsi:type="xsd:double"&gt;34001&lt;/D&gt;&lt;/FQL&gt;&lt;FQL&gt;&lt;Q&gt;Ticker0024^FE_ESTIMATE(DEFREVENUE_ST,MEAN,QUARTERLY_ROLL,2022/1F,45595,,,'')&lt;/Q&gt;&lt;R&gt;1&lt;/R&gt;&lt;C&gt;1&lt;/C&gt;&lt;D xsi:type="xsd:double"&gt;38465&lt;/D&gt;&lt;/FQL&gt;&lt;FQL&gt;&lt;Q&gt;Ticker0024^FE_ESTIMATE(DEFREVENUE_ST,MEAN,ANNUAL_ROLL,2021,45595,,,'')&lt;/Q&gt;&lt;R&gt;1&lt;/R&gt;&lt;C&gt;1&lt;/C&gt;&lt;D xsi:type="xsd:double"&gt;41525&lt;/D&gt;&lt;/FQL&gt;&lt;FQL&gt;&lt;Q&gt;Ticker0024^FE_ESTIMATE(DEFREVENUE_ST,MEAN,QUARTERLY_ROLL,2021/4F,45595,,,'')&lt;/Q&gt;&lt;R&gt;1&lt;/R&gt;&lt;C&gt;1&lt;/C&gt;&lt;D xsi:type="xsd:double"&gt;41525&lt;/D&gt;&lt;/FQL&gt;&lt;FQL&gt;&lt;Q&gt;Ticker0024^FE_ESTIMATE(DEFREVENUE_ST,MEAN,QUARTERLY_ROLL,2021/3F,45595,,,'')&lt;/Q&gt;&lt;R&gt;1&lt;/R&gt;&lt;C&gt;1&lt;/C&gt;&lt;D xsi:type="xsd:double"&gt;30083&lt;/D&gt;&lt;/FQL&gt;&lt;FQL&gt;&lt;Q&gt;Ticker0024^FE_ESTIMATE(DEFREVENUE_ST,MEAN,QUARTERLY_ROLL,2021/2F,45595,,,'')&lt;/Q&gt;&lt;R&gt;1&lt;/R&gt;&lt;C&gt;1&lt;/C&gt;&lt;D xsi:type="xsd:double"&gt;30402&lt;/D&gt;&lt;/FQL&gt;&lt;FQL&gt;&lt;Q&gt;Ticker0024^FE_ESTIMATE(DEFREVENUE_ST,MEAN,QUARTERLY_ROLL,2021/1F,45595,,,'')&lt;/Q&gt;&lt;R&gt;1&lt;/R&gt;&lt;C&gt;1&lt;/C&gt;&lt;D xsi:type="xsd:double"&gt;33476&lt;/D&gt;&lt;/FQL&gt;&lt;FQL&gt;&lt;Q&gt;Ticker0024^FE_ESTIMATE(DEFREVENUE_ST,MEAN,ANNUAL_ROLL,2020,45595,,,'')&lt;/Q&gt;&lt;R&gt;1&lt;/R&gt;&lt;C&gt;1&lt;/C&gt;&lt;D xsi:type="xsd:double"&gt;36000&lt;/D&gt;&lt;/FQL&gt;&lt;FQL&gt;&lt;Q&gt;Ticker0024^FE_ESTIMATE(DEFREVENUE_ST,MEAN,QUARTERLY_ROLL,2020/4F,45595,,,'')&lt;/Q&gt;&lt;R&gt;1&lt;/R&gt;&lt;C&gt;1&lt;/C&gt;&lt;D xsi:type="xsd:double"&gt;36000&lt;/D&gt;&lt;/FQL&gt;&lt;FQL&gt;&lt;Q&gt;Ticker0024^FE_ESTIMATE(DEFREVENUE_ST,MEAN,QUARTERLY_ROLL,2020/3F,45595,,,'')&lt;/Q&gt;&lt;R&gt;1&lt;/R&gt;&lt;C&gt;1&lt;/C&gt;&lt;D xsi:type="xsd:double"&gt;27012&lt;/D&gt;&lt;/FQL&gt;&lt;FQL&gt;&lt;Q&gt;Ticker0024^FE_ESTIMATE(DEFREVENUE_ST,MEAN,QUARTERLY_ROLL,2020/2F,45595,,,'')&lt;/Q&gt;&lt;R&gt;1&lt;/R&gt;&lt;C&gt;1&lt;/C&gt;&lt;D xsi:type="xsd:double"&gt;27343&lt;/D&gt;&lt;/FQL&gt;&lt;FQL&gt;&lt;Q&gt;Ticker0024^FE_ESTIMATE(DEFREVENUE_ST,MEAN,QUARTERLY_ROLL,2020/1F,45595,,,'')&lt;/Q&gt;&lt;R&gt;1&lt;/R&gt;&lt;C&gt;1&lt;/C&gt;&lt;D xsi:type="xsd:double"&gt;29904&lt;/D&gt;&lt;/FQL&gt;&lt;FQL&gt;&lt;Q&gt;Ticker0024^FE_ESTIMATE(DEFREVENUE_ST,MEAN,ANNUAL_ROLL,2019,45595,,,'')&lt;/Q&gt;&lt;R&gt;1&lt;/R&gt;&lt;C&gt;1&lt;/C&gt;&lt;D xsi:type="xsd:double"&gt;32676&lt;/D&gt;&lt;/FQL&gt;&lt;FQL&gt;&lt;Q&gt;Ticker0024^FE_ESTIMATE(DEFREVENUE_ST,MEAN,QUARTERLY_ROLL,2019/4F,45595,,,'')&lt;/Q&gt;&lt;R&gt;1&lt;/R&gt;&lt;C&gt;1&lt;/C&gt;&lt;D xsi:type="xsd:double"&gt;32676&lt;/D&gt;&lt;/FQL&gt;&lt;FQL&gt;&lt;Q&gt;Ticker0024^FE_ESTIMATE(DEFREVENUE_ST,MEAN,QUARTERLY_ROLL,2019/3F,45595,,,'')&lt;/Q&gt;&lt;R&gt;1&lt;/R&gt;&lt;C&gt;1&lt;/C&gt;&lt;D xsi:type="xsd:double"&gt;24251&lt;/D&gt;&lt;/FQL&gt;&lt;FQL&gt;&lt;Q&gt;Ticker0024^FE_ESTIMATE(DEFREVENUE_ST,MEAN,QUARTERLY_ROLL,2019/2F,45595,,,'')&lt;/Q&gt;&lt;R&gt;1&lt;/R&gt;&lt;C&gt;1&lt;/C&gt;&lt;D xsi:type="xsd:double"&gt;24285&lt;/D&gt;&lt;/FQL&gt;&lt;FQL&gt;&lt;Q&gt;Ticker0024^FE_ESTIMATE(DEFREVENUE_ST,MEAN,QUARTERLY_ROLL,2019/1F,45595,,,'')&lt;/Q&gt;&lt;R&gt;1&lt;/R&gt;&lt;C&gt;1&lt;/C&gt;&lt;D xsi:type="xsd:double"&gt;26704&lt;/D&gt;&lt;/FQL&gt;&lt;FQL&gt;&lt;Q&gt;Ticker0024^FE_ESTIMATE(DEFREVENUE_ST,MEAN,ANNUAL_ROLL,2018,45595,,,'')&lt;/Q&gt;&lt;R&gt;1&lt;/R&gt;&lt;C&gt;1&lt;/C&gt;&lt;D xsi:type="xsd:double"&gt;28905&lt;/D&gt;&lt;/FQL&gt;&lt;FQL&gt;&lt;Q&gt;Ticker0024^FE_ESTIMATE(DEFREVENUE_ST,MEAN,QUARTERLY_ROLL,2018/4F,45595,,,'')&lt;/Q&gt;&lt;R&gt;1&lt;/R&gt;&lt;C&gt;1&lt;/C&gt;&lt;D xsi:type="xsd:double"&gt;28905&lt;/D&gt;&lt;/FQL&gt;&lt;FQL&gt;&lt;Q&gt;Ticker0024^FE_ESTIMATE(DEFREVENUE_ST,MEAN,QUARTERLY_ROLL,2018/3F,45595,,,'')&lt;/Q&gt;&lt;R&gt;1&lt;/R&gt;&lt;C&gt;1&lt;/C&gt;&lt;D xsi:type="xsd:double"&gt;21370&lt;/D&gt;&lt;/FQL&gt;&lt;FQL&gt;&lt;Q&gt;Ticker0024^FE_ESTIMATE(DEFREVENUE_ST,MEAN,QUARTERLY_ROLL,2018/2F,45595,,,'')&lt;/Q&gt;&lt;R&gt;1&lt;/R&gt;&lt;C&gt;1&lt;/C&gt;&lt;D xsi:type="xsd:double"&gt;21559&lt;/D&gt;&lt;/FQL&gt;&lt;FQL&gt;&lt;Q&gt;Ticker0024^FE_ESTIMATE(DEFREVENUE_ST,MEAN,QUARTERLY_ROLL,2018/1F,45595,,,'')&lt;/Q&gt;&lt;R&gt;1&lt;/R&gt;&lt;C&gt;1&lt;/C&gt;&lt;D xsi:type="xsd:double"&gt;22990.6&lt;/D&gt;&lt;/FQL&gt;&lt;FQL&gt;&lt;Q&gt;Ticker0024^FE_ESTIMATE(DEFREVENUE_ST,MEAN,ANNUAL_ROLL,2017,45595,,,'')&lt;/Q&gt;&lt;R&gt;1&lt;/R&gt;&lt;C&gt;1&lt;/C&gt;&lt;D xsi:type="xsd:double"&gt;34102&lt;/D&gt;&lt;/FQL&gt;&lt;FQL&gt;&lt;Q&gt;Ticker0024^FE_ESTIMATE(DEFREVENUE_ST,MEAN,QUARTERLY_ROLL,2017/4F,45595,,,'')&lt;/Q&gt;&lt;R&gt;1&lt;/R&gt;&lt;C&gt;1&lt;/C&gt;&lt;D xsi:type="xsd:double"&gt;34102&lt;/D&gt;&lt;/FQL&gt;&lt;FQL&gt;&lt;Q&gt;Ticker0024^FE_ESTIMATE(DEFREVENUE_ST,MEAN,QUARTERLY_ROLL,2017/3F,45595,,,'')&lt;/Q&gt;&lt;R&gt;1&lt;/R&gt;&lt;C&gt;1&lt;/C&gt;&lt;D xsi:type="xsd:double"&gt;26518&lt;/D&gt;&lt;/FQL&gt;&lt;FQL&gt;&lt;Q&gt;Ticker0024^FE_ESTIMATE(DEFREVENUE_ST,MEAN,QUARTERLY_ROLL,2017/2F,45595,,,'')&lt;/Q&gt;&lt;R&gt;1&lt;/R&gt;&lt;C&gt;1&lt;/C&gt;&lt;D xsi:type="xsd:double"&gt;25983&lt;/D&gt;&lt;/FQL&gt;&lt;FQL&gt;&lt;Q&gt;Ticker0024^FE_ESTIMATE(DEFREVENUE_ST,MEAN,QUARTERLY_ROLL,2017/1F,45595,,,'')&lt;/Q&gt;&lt;R&gt;1&lt;/R&gt;&lt;C&gt;1&lt;/C&gt;&lt;D xsi:type="xsd:double"&gt;26304&lt;/D&gt;&lt;/FQL&gt;&lt;FQL&gt;&lt;Q&gt;Ticker0024^FE_ESTIMATE(DEFREVENUE_ST,MEAN,ANNUAL_ROLL,2016,45595,,,'')&lt;/Q&gt;&lt;R&gt;1&lt;/R&gt;&lt;C&gt;1&lt;/C&gt;&lt;D xsi:type="xsd:double"&gt;27468&lt;/D&gt;&lt;/FQL&gt;&lt;FQL&gt;&lt;Q&gt;Ticker0024^FE_ESTIMATE(DEFREVENUE_ST,MEAN,QUARTERLY_ROLL,2016/4F,45595,,,'')&lt;/Q&gt;&lt;R&gt;1&lt;/R&gt;&lt;C&gt;1&lt;/C&gt;&lt;D xsi:type="xsd:double"&gt;27468&lt;/D&gt;&lt;/FQL&gt;&lt;FQL&gt;&lt;Q&gt;Ticker0024^FE_ESTIMATE(DEFREVENUE_ST,MEAN,QUARTERLY_ROLL,2016/3F,45595,,,'')&lt;/Q&gt;&lt;R&gt;1&lt;/R&gt;&lt;C&gt;1&lt;/C&gt;&lt;D xsi:type="xsd:double"&gt;20876&lt;/D&gt;&lt;/FQL&gt;&lt;FQL&gt;&lt;Q&gt;Ticker0024^FE_ESTIMATE(DEFREVENUE_ST,MEAN,QUARTERLY_ROLL,2016/2F,45595,,,'')&lt;/Q&gt;&lt;R&gt;1&lt;/R&gt;&lt;C&gt;1&lt;/C&gt;&lt;D xsi:type="xsd:double"&gt;20929&lt;/D&gt;&lt;/FQL&gt;&lt;FQL&gt;&lt;Q&gt;Ticker0024^FE_ESTIMATE(DEFREVENUE_ST,MEAN,QUARTERLY_ROLL,2016/1F,45595,,,'')&lt;/Q&gt;&lt;R&gt;1&lt;/R&gt;&lt;C&gt;1&lt;/C&gt;&lt;D xsi:type="xsd:double"&gt;21603&lt;/D&gt;&lt;/FQL&gt;&lt;FQL&gt;&lt;Q&gt;Ticker0024^FE_ESTIMATE(DEFREVENUE_ST,MEAN,ANNUAL_ROLL,2015,45595,,,'')&lt;/Q&gt;&lt;R&gt;1&lt;/R&gt;&lt;C&gt;1&lt;/C&gt;&lt;D xsi:type="xsd:double"&gt;23223&lt;/D&gt;&lt;/FQL&gt;&lt;FQL&gt;&lt;Q&gt;Ticker0024^FE_ESTIMATE(DEFREVENUE_ST,MEAN,QUARTERLY_ROLL,2015/4F,45595,,,'')&lt;/Q&gt;&lt;R&gt;1&lt;/R&gt;&lt;C&gt;1&lt;/C&gt;&lt;D xsi:type="xsd:double"&gt;23223&lt;/D&gt;&lt;/FQL&gt;&lt;FQL&gt;&lt;Q&gt;Ticker0024^FE_ESTIMATE(DEFREVENUE_ST,MEAN,QUARTERLY_ROLL,2015/3F,45595,,,'')&lt;/Q&gt;&lt;R&gt;1&lt;/R&gt;&lt;C&gt;1&lt;/C&gt;&lt;D xsi:type="xsd:double"&gt;18232&lt;/D&gt;&lt;/FQL&gt;&lt;FQL&gt;&lt;Q&gt;Ticker0024^FE_ESTIMATE(DEFREVENUE_ST,MEAN,QUARTERLY_ROLL,2015/2F,45595,,,'')&lt;/Q&gt;&lt;R&gt;1&lt;/R&gt;&lt;C&gt;1&lt;/C&gt;&lt;D xsi:type="xsd:double"&gt;19192&lt;/D&gt;&lt;/FQL&gt;&lt;FQL&gt;&lt;Q&gt;Ticker0024^FE_ESTIMATE(DEFREVENUE_ST,MEAN,QUARTERLY_ROLL,2015/1F,45595,,,'')&lt;/Q&gt;&lt;R&gt;1&lt;/R&gt;&lt;C&gt;1&lt;/C&gt;&lt;D xsi:type="xsd:double"&gt;20713&lt;/D&gt;&lt;/FQL&gt;&lt;FQL&gt;&lt;Q&gt;Ticker0024^FE_ESTIMATE(FCF,MEAN,ANNUAL_ROLL,2030,45595,,,'')&lt;/Q&gt;&lt;R&gt;0&lt;/R&gt;&lt;C&gt;0&lt;/C&gt;&lt;/FQL&gt;&lt;FQL&gt;&lt;Q&gt;Ticker0024^FE_ESTIMATE(FCF,MEAN,QUARTERLY_ROLL,2030/4F,45595,,,'')&lt;/Q&gt;&lt;R&gt;0&lt;/R&gt;&lt;C&gt;0&lt;/C&gt;&lt;/FQL&gt;&lt;FQL&gt;&lt;Q&gt;Ticker0024^FE_ESTIMATE(FCF,MEAN,QUARTERLY_ROLL,2030/3F,45595,,,'')&lt;/Q&gt;&lt;R&gt;0&lt;/R&gt;&lt;C&gt;0&lt;/C&gt;&lt;/FQL&gt;&lt;FQL&gt;&lt;Q&gt;Ticker0024^FE_ESTIMATE(FCF,MEAN,QUARTERLY_ROLL,2030/2F,45595,,,'')&lt;/Q&gt;&lt;R&gt;0&lt;/R&gt;&lt;C&gt;0&lt;/C&gt;&lt;/FQL&gt;&lt;FQL&gt;&lt;Q&gt;Ticker0024^FE_ESTIMATE(FCF,MEAN,QUARTERLY_ROLL,2030/1F,45595,,,'')&lt;/Q&gt;&lt;R&gt;0&lt;/R&gt;&lt;C&gt;0&lt;/C&gt;&lt;/FQL&gt;&lt;FQL&gt;&lt;Q&gt;Ticker0024^FE_ESTIMATE(FCF,MEAN,ANNUAL_ROLL,2029,45595,,,'')&lt;/Q&gt;&lt;R&gt;0&lt;/R&gt;&lt;C&gt;0&lt;/C&gt;&lt;/FQL&gt;&lt;FQL&gt;&lt;Q&gt;Ticker0024^FE_ESTIMATE(FCF,MEAN,QUARTERLY_ROLL,2029/4F,45595,,,'')&lt;/Q&gt;&lt;R&gt;0&lt;/R&gt;&lt;C&gt;0&lt;/C&gt;&lt;/FQL&gt;&lt;FQL&gt;&lt;Q&gt;Ticker0024^FE_ESTIMATE(FCF,MEAN,QUARTERLY_ROLL,2029/3F,45595,,,'')&lt;/Q&gt;&lt;R&gt;0&lt;/R&gt;&lt;C&gt;0&lt;/C&gt;&lt;/FQL&gt;&lt;FQL&gt;&lt;Q&gt;Ticker0024^FE_ESTIMATE(FCF,MEAN,QUARTERLY_ROLL,2029/2F,45595,,,'')&lt;/Q&gt;&lt;R&gt;0&lt;/R&gt;&lt;C&gt;0&lt;/C&gt;&lt;/FQL&gt;&lt;FQL&gt;&lt;Q&gt;Ticker0024^FE_ESTIMATE(FCF,MEAN,QUARTERLY_ROLL,2029/1F,45595,,,'')&lt;/Q&gt;&lt;R&gt;0&lt;/R&gt;&lt;C&gt;0&lt;/C&gt;&lt;/FQL&gt;&lt;FQL&gt;&lt;Q&gt;Ticker0024^FE_ESTIMATE(FCF,MEAN,ANNUAL_ROLL,2028,45595,,,'')&lt;/Q&gt;&lt;R&gt;1&lt;/R&gt;&lt;C&gt;1&lt;/C&gt;&lt;D xsi:type="xsd:double"&gt;140846.5&lt;/D&gt;&lt;/FQL&gt;&lt;FQL&gt;&lt;Q&gt;Ticker0024^FE_ESTIMATE(FCF,MEAN,QUARTERLY_ROLL,2028/4F,45595,,,'')&lt;/Q&gt;&lt;R&gt;0&lt;/R&gt;&lt;C&gt;0&lt;/C&gt;&lt;/FQL&gt;&lt;FQL&gt;&lt;Q&gt;Ticker0024^FE_ESTIMATE(FCF,MEAN,QUARTERLY_ROLL,2028/3F,45595,,,'')&lt;/Q&gt;&lt;R&gt;0&lt;/R&gt;&lt;C&gt;0&lt;/C&gt;&lt;/FQL&gt;&lt;FQL&gt;&lt;Q&gt;Ticker0024^FE_ESTIMATE(FCF,MEAN,QUARTERLY_ROLL,2028/2F,45595,,,'')&lt;/Q&gt;&lt;R&gt;0&lt;/R&gt;&lt;C&gt;0&lt;/C&gt;&lt;/FQL&gt;&lt;FQL&gt;&lt;Q&gt;Ticker0024^FE_ESTIMATE(FCF,MEAN,QUARTERLY_ROLL,2028/1F,45595,,,'')&lt;/Q&gt;&lt;R&gt;0&lt;/R&gt;&lt;C&gt;0&lt;/C&gt;&lt;/FQL&gt;&lt;FQL&gt;&lt;Q&gt;Ticker0024^FE_ESTIMATE(FCF,MEAN,ANNUAL_ROLL,2027,45595,,,'')&lt;/Q&gt;&lt;R&gt;1&lt;/R&gt;&lt;C&gt;1&lt;/C&gt;&lt;D xsi:type="xsd:double"&gt;110191.35&lt;/D&gt;&lt;/FQL&gt;&lt;FQL&gt;&lt;Q&gt;Ticker0024^FE_ESTIMATE(FCF,MEAN,QUARTERLY_ROLL,2027/4F,45595,,,'')&lt;/Q&gt;&lt;R&gt;0&lt;/R&gt;&lt;C&gt;0&lt;/C&gt;&lt;/FQL&gt;&lt;FQL&gt;&lt;Q&gt;Ticker0024^FE_ESTIMATE(FCF,MEAN,QUARTERLY_ROLL,2027/3F,45595,,,'')&lt;/Q&gt;&lt;R&gt;0&lt;/R&gt;&lt;C&gt;0&lt;/C&gt;&lt;/FQL&gt;&lt;FQL&gt;&lt;Q&gt;Ticker0024^FE_ESTIMATE(FCF,MEAN,QUARTERLY_ROLL,2027/2F,45595,,,'')&lt;/Q&gt;&lt;R&gt;0&lt;/R&gt;&lt;C&gt;0&lt;/C&gt;&lt;/FQL&gt;&lt;FQL&gt;&lt;Q&gt;Ticker0024^FE_ESTIMATE(FCF,MEAN,QUARTERLY_ROLL,2027/1F,45595,,,'')&lt;/Q&gt;&lt;R&gt;0&lt;/R&gt;&lt;C&gt;0&lt;/C&gt;&lt;/FQL&gt;&lt;FQL&gt;&lt;Q&gt;Ticker0024^FE_ESTIMATE(FCF,MEAN,ANNUAL_ROLL,2026,45595,,,'')&lt;/Q&gt;&lt;R&gt;1&lt;/R&gt;&lt;C&gt;1&lt;/C&gt;&lt;D xsi:type="xsd:double"&gt;89204.42&lt;/D&gt;&lt;/FQL&gt;&lt;FQL&gt;&lt;Q&gt;Ticker0024^FE_ESTIMATE(FCF,MEAN,QUARTERLY_ROLL,2026/4F,45595,,,'')&lt;/Q&gt;&lt;R&gt;1&lt;/R&gt;&lt;C&gt;1&lt;/C&gt;&lt;D xsi:type="xsd:double"&gt;32689&lt;/D&gt;&lt;/FQL&gt;&lt;FQL&gt;&lt;Q&gt;Ticker0024^FE_ESTIMATE(FCF,MEAN,QUARTERLY_ROLL,2026/3F,45595,,,'')&lt;/Q&gt;&lt;R&gt;1&lt;/R&gt;&lt;C&gt;1&lt;/C&gt;&lt;D xsi:type="xsd:double"&gt;25651&lt;/D&gt;&lt;/FQL&gt;&lt;FQL&gt;&lt;Q&gt;Ticker0024^FE_ESTIMATE(FCF,MEAN,QUARTERLY_ROLL,2026/2F,45595,,,'')&lt;/Q&gt;&lt;R&gt;1&lt;/R&gt;&lt;C&gt;1&lt;/C&gt;&lt;D xsi:type="xsd:double"&gt;13617.75&lt;/D&gt;&lt;/FQL&gt;&lt;FQL&gt;&lt;Q&gt;Ticker0024^FE_ESTIMATE(FCF,MEAN,QUARTERLY_ROLL,2026/1F,45595,,,'')&lt;/Q&gt;&lt;R&gt;1&lt;/R&gt;&lt;C&gt;1&lt;/C&gt;&lt;D xsi:type="xsd:double"&gt;24063.5&lt;/D&gt;&lt;/FQL&gt;&lt;FQL&gt;&lt;Q&gt;Ticker0024^FE_ESTIMATE(FCF,MEAN,ANNUAL_ROLL,2025,45595,,,'')&lt;/Q&gt;&lt;R&gt;1&lt;/R&gt;&lt;C&gt;1&lt;/C&gt;&lt;D xsi:type="xsd:double"&gt;73275.266&lt;/D&gt;&lt;/FQL&gt;&lt;FQL&gt;&lt;Q&gt;Ticker0024^FE_ESTIMATE(FCF,MEAN,QUARTERLY_ROLL,2025/4F,45595,,,'')&lt;/Q&gt;&lt;R&gt;1&lt;/R&gt;&lt;C&gt;1&lt;/C&gt;&lt;D xsi:type="xsd:double"&gt;26799.42&lt;/D&gt;&lt;/FQL&gt;&lt;FQL&gt;&lt;Q&gt;Ticker0024^FE_ESTIMATE(FCF,MEAN,QUARTERLY_ROLL,2025/3F,45595,,,'')&lt;/Q&gt;&lt;R&gt;1&lt;/R&gt;&lt;C&gt;1&lt;/C&gt;&lt;D xsi:type="xsd:double"&gt;20606.64&lt;/D&gt;&lt;/FQL&gt;&lt;FQL&gt;&lt;Q&gt;Ticker0024^FE_ESTIMATE(FCF,MEAN,QUARTERLY_ROLL,2025/2F,45595,,,'')&lt;/Q&gt;&lt;R&gt;1&lt;/R&gt;&lt;C&gt;1&lt;/C&gt;&lt;D xsi:type="xsd:double"&gt;10512.445&lt;/D&gt;&lt;/FQL&gt;&lt;FQL&gt;&lt;Q&gt;Ticker0024^FE_ESTIMATE(FCF,MEAN,QUARTERLY_ROLL,2025/1F,45595,,,'')&lt;/Q&gt;&lt;R&gt;1&lt;/R&gt;&lt;C&gt;1&lt;/C&gt;&lt;D xsi:type="xsd:double"&gt;18578.22&lt;/D&gt;&lt;/FQL&gt;&lt;FQL&gt;&lt;Q&gt;Ticker0024^FE_ESTIMATE(FCF,MEAN,ANNUAL_ROLL,2024,45595,,,'')&lt;/Q&gt;&lt;R&gt;1&lt;/R&gt;&lt;C&gt;1&lt;/C&gt;&lt;D xsi:type="xsd:double"&gt;72678.9&lt;/D&gt;&lt;/FQL&gt;&lt;FQL&gt;&lt;Q&gt;Ticker0024^FE_ESTIMATE(FCF,MEAN,QUARTERLY_ROLL,2024/4F,45595,,,'')&lt;/Q&gt;&lt;R&gt;1&lt;/R&gt;&lt;C&gt;1&lt;/C&gt;&lt;D xsi:type="xsd:double"&gt;22275.834&lt;/D&gt;&lt;/FQL&gt;&lt;FQL&gt;&lt;Q&gt;Ticker0024^FE_ESTIMATE(FCF,MEAN,QUARTERLY_ROLL,2024/3F,45595,,,'')&lt;/Q&gt;&lt;R&gt;1&lt;/R&gt;&lt;C&gt;1&lt;/C&gt;&lt;D xsi:type="xsd:double"&gt;20634.766&lt;/D&gt;&lt;/FQL&gt;&lt;FQL&gt;&lt;Q&gt;Ticker0024^FE_ESTIMATE(FCF,MEAN,QUARTERLY_ROLL,2024/2F,45595,,,'')&lt;/Q&gt;&lt;R&gt;1&lt;/R&gt;&lt;C&gt;1&lt;/C&gt;&lt;D xsi:type="xsd:double"&gt;6218.222&lt;/D&gt;&lt;/FQL&gt;&lt;FQL&gt;&lt;Q&gt;Ticker0024^FE_ESTIMATE(FCF,MEAN,QUARTERLY_ROLL,2024/1F,45595,,,'')&lt;/Q&gt;&lt;R&gt;1&lt;/R&gt;&lt;C&gt;1&lt;/C&gt;&lt;D xsi:type="xsd:double"&gt;21096.059&lt;/D&gt;&lt;/FQL&gt;&lt;FQL&gt;&lt;Q&gt;Ticker0024^FE_ESTIMATE(FCF,MEAN,ANNUAL_ROLL,2023,45595,,,'')&lt;/Q&gt;&lt;R&gt;1&lt;/R&gt;&lt;C&gt;1&lt;/C&gt;&lt;D xsi:type="xsd:double"&gt;60085.832&lt;/D&gt;&lt;/FQL&gt;&lt;FQL&gt;&lt;Q&gt;Ticker0024^FE_ESTIMATE(FCF,MEAN,QUARTERLY_ROLL,2023/4F,45595,,,'')&lt;/Q&gt;&lt;R&gt;1&lt;/R&gt;&lt;C&gt;1&lt;/C&gt;&lt;D xsi:type="xsd:double"&gt;19492.357&lt;/D&gt;&lt;/FQL&gt;&lt;FQL&gt;&lt;Q&gt;Ticker0024^FE_ESTIMATE(FCF,MEAN,QUARTERLY_ROLL,2023/3F,45595,,,'')&lt;/Q&gt;&lt;R&gt;1&lt;/R&gt;&lt;C&gt;1&lt;/C&gt;&lt;D xsi:type="xsd:double"&gt;17765.25&lt;/D&gt;&lt;/FQL&gt;&lt;FQL&gt;&lt;Q&gt;Ticker0024^FE_ESTIMATE(FCF,MEAN,QUARTERLY_ROLL,2023/2F,45595,,,'')&lt;/Q&gt;&lt;R&gt;1&lt;/R&gt;&lt;C&gt;1&lt;/C&gt;&lt;D xsi:type="xsd:double"&gt;5507.533&lt;/D&gt;&lt;/FQL&gt;&lt;FQL&gt;&lt;Q&gt;Ticker0024^FE_ESTIMATE(FCF,MEAN,QUARTERLY_ROLL,2023/1F,45595,,,'')&lt;/Q&gt;&lt;R&gt;1&lt;/R&gt;&lt;C&gt;1&lt;/C&gt;&lt;D xsi:type="xsd:double"&gt;17698&lt;/D&gt;&lt;/FQL&gt;&lt;FQL&gt;&lt;Q&gt;Ticker0024^FE_ESTIMATE(FCF,MEAN,ANNUAL_ROLL,2022,45595,,,'')&lt;/Q&gt;&lt;R&gt;1&lt;/R&gt;&lt;C&gt;1&lt;/C&gt;&lt;D xsi:type="xsd:double"&gt;65067.133&lt;/D&gt;&lt;/FQL&gt;&lt;FQL&gt;&lt;Q&gt;Ticker0024^FE_ESTIMATE(FCF,MEAN,QUARTERLY_ROLL,2022/4F,45595,,,'')&lt;/Q&gt;&lt;R&gt;1&lt;/R&gt;&lt;C&gt;1&lt;/C&gt;&lt;D xsi:type="xsd:double"&gt;17158&lt;/D&gt;&lt;/FQL&gt;&lt;FQL&gt;&lt;Q&gt;Ticker0024^FE_ESTIMATE(FCF,MEAN,QUARTERLY_ROLL,2022/3F,45595,,,'')&lt;/Q&gt;&lt;R&gt;1&lt;/R&gt;&lt;C&gt;1&lt;/C&gt;&lt;D xsi:type="xsd:double"&gt;19608.334&lt;/D&gt;&lt;/FQL&gt;&lt;FQL&gt;&lt;Q&gt;Ticker0024^FE_ESTIMATE(FCF,MEAN,QUARTERLY_ROLL,2022/2F,45595,,,'')&lt;/Q&gt;&lt;R&gt;1&lt;/R&gt;&lt;C&gt;1&lt;/C&gt;&lt;D xsi:type="xsd:double"&gt;9409.818&lt;/D&gt;&lt;/FQL&gt;&lt;FQL&gt;&lt;Q&gt;Ticker0024^FE_ESTIMATE(FCF,MEAN,QUARTERLY_ROLL,2022/1F,45595,,,'')&lt;/Q&gt;&lt;R&gt;1&lt;/R&gt;&lt;C&gt;1&lt;/C&gt;&lt;D xsi:type="xsd:double"&gt;18285.334&lt;/D&gt;&lt;/FQL&gt;&lt;FQL&gt;&lt;Q&gt;Ticker0024^FE_ESTIMATE(FCF,MEAN,ANNUAL_ROLL,2021,45595,,,'')&lt;/Q&gt;&lt;R&gt;1&lt;/R&gt;&lt;C&gt;1&lt;/C&gt;&lt;D xsi:type="xsd:double"&gt;55483.777&lt;/D&gt;&lt;/FQL&gt;&lt;FQL&gt;&lt;Q&gt;Ticker0024^FE_ESTIMATE(FCF,MEAN,QUARTERLY_ROLL,2021/4F,45595,,,'')&lt;/Q&gt;&lt;R&gt;1&lt;/R&gt;&lt;C&gt;1&lt;/C&gt;&lt;D xsi:type="xsd:double"&gt;15893.833&lt;/D&gt;&lt;/FQL&gt;&lt;FQL&gt;&lt;Q&gt;Ticker0024^FE_ESTIMATE(FCF,MEAN,QUARTERLY_ROLL,2021/3F,45595,,,'')&lt;/Q&gt;&lt;R&gt;1&lt;/R&gt;&lt;C&gt;1&lt;/C&gt;&lt;D xsi:type="xsd:double"&gt;16693.5&lt;/D&gt;&lt;/FQL&gt;&lt;FQL&gt;&lt;Q&gt;Ticker0024^FE_ESTIMATE(FCF,MEAN,QUARTERLY_ROLL,2021/2F,45595,,,'')&lt;/Q&gt;&lt;R&gt;1&lt;/R&gt;&lt;C&gt;1&lt;/C&gt;&lt;D xsi:type="xsd:double"&gt;9098&lt;/D&gt;&lt;/FQL&gt;&lt;FQL&gt;&lt;Q&gt;Ticker0024^FE_ESTIMATE(FCF,MEAN,QUARTERLY_ROLL,2021/1F,45595,,,'')&lt;/Q&gt;&lt;R&gt;1&lt;/R&gt;&lt;C&gt;1&lt;/C&gt;&lt;D xsi:type="xsd:double"&gt;13974.333&lt;/D&gt;&lt;/FQL&gt;&lt;FQL&gt;&lt;Q&gt;Ticker0024^FE_ESTIMATE(FCF,MEAN,ANNUAL_ROLL,2020,45595,,,'')&lt;/Q&gt;&lt;R&gt;1&lt;/R&gt;&lt;C&gt;1&lt;/C&gt;&lt;D xsi:type="xsd:double"&gt;45095.453&lt;/D&gt;&lt;/FQL&gt;&lt;FQL&gt;&lt;Q&gt;Ticker0024^FE_ESTIMATE(FCF,MEAN,QUARTERLY_ROLL,2020/4F,45595,,,'')&lt;/Q&gt;&lt;R&gt;1&lt;/R&gt;&lt;C&gt;1&lt;/C&gt;&lt;D xsi:type="xsd:double"&gt;13391.667&lt;/D&gt;&lt;/FQL&gt;&lt;FQL&gt;&lt;Q&gt;Ticker0024^FE_ESTIMATE(FCF,MEAN,QUARTERLY_ROLL,2020/3F,45595,,,'')&lt;/Q&gt;&lt;R&gt;1&lt;/R&gt;&lt;C&gt;1&lt;/C&gt;&lt;D xsi:type="xsd:double"&gt;13437&lt;/D&gt;&lt;/FQL&gt;&lt;FQL&gt;&lt;Q&gt;Ticker0024^FE_ESTIMATE(FCF,MEAN,QUARTERLY_ROLL,2020/2F,45595,,,'')&lt;/Q&gt;&lt;R&gt;1&lt;/R&gt;&lt;C&gt;1&lt;/C&gt;&lt;D xsi:type="xsd:double"&gt;7641.3335&lt;/D&gt;&lt;/FQL&gt;&lt;FQL&gt;&lt;Q&gt;Ticker0024^FE_ESTIMATE(FCF,MEAN,QUARTERLY_ROLL,2020/1F,45595,,,'')&lt;/Q&gt;&lt;R&gt;1&lt;/R&gt;&lt;C&gt;1&lt;/C&gt;&lt;D xsi:type="xsd:double"&gt;10215.875&lt;/D&gt;&lt;/FQL&gt;&lt;FQL&gt;&lt;Q&gt;Company1745</t>
        </r>
      </text>
    </comment>
    <comment ref="A3" authorId="0" shapeId="0" xr:uid="{DF4CC3AC-B71D-4425-98EA-065394F7E5BD}">
      <text>
        <r>
          <rPr>
            <b/>
            <sz val="9"/>
            <color indexed="81"/>
            <rFont val="Tahoma"/>
            <family val="2"/>
          </rPr>
          <t>T^FE_ESTIMATE(FCF,MEAN,ANNUAL_ROLL,2019,45595,,,'')&lt;/Q&gt;&lt;R&gt;1&lt;/R&gt;&lt;C&gt;1&lt;/C&gt;&lt;D xsi:type="xsd:double"&gt;38085.168&lt;/D&gt;&lt;/FQL&gt;&lt;FQL&gt;&lt;Q&gt;Ticker0024^FE_ESTIMATE(FCF,MEAN,QUARTERLY_ROLL,2019/4F,45595,,,'')&lt;/Q&gt;&lt;R&gt;1&lt;/R&gt;&lt;C&gt;1&lt;/C&gt;&lt;D xsi:type="xsd:double"&gt;11695.728&lt;/D&gt;&lt;/FQL&gt;&lt;FQL&gt;&lt;Q&gt;Ticker0024^FE_ESTIMATE(FCF,MEAN,QUARTERLY_ROLL,2019/3F,45595,,,'')&lt;/Q&gt;&lt;R&gt;1&lt;/R&gt;&lt;C&gt;1&lt;/C&gt;&lt;D xsi:type="xsd:double"&gt;10834.333&lt;/D&gt;&lt;/FQL&gt;&lt;FQL&gt;&lt;Q&gt;Ticker0024^FE_ESTIMATE(FCF,MEAN,QUARTERLY_ROLL,2019/2F,45595,,,'')&lt;/Q&gt;&lt;R&gt;1&lt;/R&gt;&lt;C&gt;1&lt;/C&gt;&lt;D xsi:type="xsd:double"&gt;5420.25&lt;/D&gt;&lt;/FQL&gt;&lt;FQL&gt;&lt;Q&gt;Ticker0024^FE_ESTIMATE(FCF,MEAN,QUARTERLY_ROLL,2019/1F,45595,,,'')&lt;/Q&gt;&lt;R&gt;1&lt;/R&gt;&lt;C&gt;1&lt;/C&gt;&lt;D xsi:type="xsd:double"&gt;9414.454&lt;/D&gt;&lt;/FQL&gt;&lt;FQL&gt;&lt;Q&gt;Ticker0024^FE_ESTIMATE(FCF,MEAN,ANNUAL_ROLL,2018,45595,,,'')&lt;/Q&gt;&lt;R&gt;1&lt;/R&gt;&lt;C&gt;1&lt;/C&gt;&lt;D xsi:type="xsd:double"&gt;32102.77&lt;/D&gt;&lt;/FQL&gt;&lt;FQL&gt;&lt;Q&gt;Ticker0024^FE_ESTIMATE(FCF,MEAN,QUARTERLY_ROLL,2018/4F,45595,,,'')&lt;/Q&gt;&lt;R&gt;1&lt;/R&gt;&lt;C&gt;1&lt;/C&gt;&lt;D xsi:type="xsd:double"&gt;7717.909&lt;/D&gt;&lt;/FQL&gt;&lt;FQL&gt;&lt;Q&gt;Ticker0024^FE_ESTIMATE(FCF,MEAN,QUARTERLY_ROLL,2018/3F,45595,,,'')&lt;/Q&gt;&lt;R&gt;1&lt;/R&gt;&lt;C&gt;1&lt;/C&gt;&lt;D xsi:type="xsd:double"&gt;8967.363&lt;/D&gt;&lt;/FQL&gt;&lt;FQL&gt;&lt;Q&gt;Ticker0024^FE_ESTIMATE(FCF,MEAN,QUARTERLY_ROLL,2018/2F,45595,,,'')&lt;/Q&gt;&lt;R&gt;1&lt;/R&gt;&lt;C&gt;1&lt;/C&gt;&lt;D xsi:type="xsd:double"&gt;5426.1665&lt;/D&gt;&lt;/FQL&gt;&lt;FQL&gt;&lt;Q&gt;Ticker0024^FE_ESTIMATE(FCF,MEAN,QUARTERLY_ROLL,2018/1F,45595,,,'')&lt;/Q&gt;&lt;R&gt;1&lt;/R&gt;&lt;C&gt;1&lt;/C&gt;&lt;D xsi:type="xsd:double"&gt;9866.75&lt;/D&gt;&lt;/FQL&gt;&lt;FQL&gt;&lt;Q&gt;Ticker0024^FE_ESTIMATE(FCF,MEAN,ANNUAL_ROLL,2017,45595,,,'')&lt;/Q&gt;&lt;R&gt;1&lt;/R&gt;&lt;C&gt;1&lt;/C&gt;&lt;D xsi:type="xsd:double"&gt;30380.875&lt;/D&gt;&lt;/FQL&gt;&lt;FQL&gt;&lt;Q&gt;Ticker0024^FE_ESTIMATE(FCF,MEAN,QUARTERLY_ROLL,2017/4F,45595,,,'')&lt;/Q&gt;&lt;R&gt;1&lt;/R&gt;&lt;C&gt;1&lt;/C&gt;&lt;D xsi:type="xsd:double"&gt;8029.2&lt;/D&gt;&lt;/FQL&gt;&lt;FQL&gt;&lt;Q&gt;Ticker0024^FE_ESTIMATE(FCF,MEAN,QUARTERLY_ROLL,2017/3F,45595,,,'')&lt;/Q&gt;&lt;R&gt;1&lt;/R&gt;&lt;C&gt;1&lt;/C&gt;&lt;D xsi:type="xsd:double"&gt;8506&lt;/D&gt;&lt;/FQL&gt;&lt;FQL&gt;&lt;Q&gt;Ticker0024^FE_ESTIMATE(FCF,MEAN,QUARTERLY_ROLL,2017/2F,45595,,,'')&lt;/Q&gt;&lt;R&gt;1&lt;/R&gt;&lt;C&gt;1&lt;/C&gt;&lt;D xsi:type="xsd:double"&gt;4305&lt;/D&gt;&lt;/FQL&gt;&lt;FQL&gt;&lt;Q&gt;Ticker0024^FE_ESTIMATE(FCF,MEAN,QUARTERLY_ROLL,2017/1F,45595,,,'')&lt;/Q&gt;&lt;R&gt;1&lt;/R&gt;&lt;C&gt;1&lt;/C&gt;&lt;D xsi:type="xsd:double"&gt;9382&lt;/D&gt;&lt;/FQL&gt;&lt;FQL&gt;&lt;Q&gt;Ticker0024^FE_ESTIMATE(FCF,MEAN,ANNUAL_ROLL,2016,45595,,,'')&lt;/Q&gt;&lt;R&gt;1&lt;/R&gt;&lt;C&gt;1&lt;/C&gt;&lt;D xsi:type="xsd:double"&gt;24212.758&lt;/D&gt;&lt;/FQL&gt;&lt;FQL&gt;&lt;Q&gt;Ticker0024^FE_ESTIMATE(FCF,MEAN,QUARTERLY_ROLL,2016/4F,45595,,,'')&lt;/Q&gt;&lt;R&gt;1&lt;/R&gt;&lt;C&gt;1&lt;/C&gt;&lt;D xsi:type="xsd:double"&gt;5742&lt;/D&gt;&lt;/FQL&gt;&lt;FQL&gt;&lt;Q&gt;Ticker0024^FE_ESTIMATE(FCF,MEAN,QUARTERLY_ROLL,2016/3F,45595,,,'')&lt;/Q&gt;&lt;R&gt;1&lt;/R&gt;&lt;C&gt;1&lt;/C&gt;&lt;D xsi:type="xsd:double"&gt;6915.5625&lt;/D&gt;&lt;/FQL&gt;&lt;FQL&gt;&lt;Q&gt;Ticker0024^FE_ESTIMATE(FCF,MEAN,QUARTERLY_ROLL,2016/2F,45595,,,'')&lt;/Q&gt;&lt;R&gt;1&lt;/R&gt;&lt;C&gt;1&lt;/C&gt;&lt;D xsi:type="xsd:double"&gt;3510.5&lt;/D&gt;&lt;/FQL&gt;&lt;FQL&gt;&lt;Q&gt;Ticker0024^FE_ESTIMATE(FCF,MEAN,QUARTERLY_ROLL,2016/1F,45595,,,'')&lt;/Q&gt;&lt;R&gt;1&lt;/R&gt;&lt;C&gt;1&lt;/C&gt;&lt;D xsi:type="xsd:double"&gt;7124&lt;/D&gt;&lt;/FQL&gt;&lt;FQL&gt;&lt;Q&gt;Ticker0024^FE_ESTIMATE(FCF,MEAN,ANNUAL_ROLL,2015,45595,,,'')&lt;/Q&gt;&lt;R&gt;1&lt;/R&gt;&lt;C&gt;1&lt;/C&gt;&lt;D xsi:type="xsd:double"&gt;22531.357&lt;/D&gt;&lt;/FQL&gt;&lt;FQL&gt;&lt;Q&gt;Ticker0024^FE_ESTIMATE(FCF,MEAN,QUARTERLY_ROLL,2015/4F,45595,,,'')&lt;/Q&gt;&lt;R&gt;1&lt;/R&gt;&lt;C&gt;1&lt;/C&gt;&lt;D xsi:type="xsd:double"&gt;4565.622&lt;/D&gt;&lt;/FQL&gt;&lt;FQL&gt;&lt;Q&gt;Ticker0024^FE_ESTIMATE(FCF,MEAN,QUARTERLY_ROLL,2015/3F,45595,,,'')&lt;/Q&gt;&lt;R&gt;1&lt;/R&gt;&lt;C&gt;1&lt;/C&gt;&lt;D xsi:type="xsd:double"&gt;8155.857&lt;/D&gt;&lt;/FQL&gt;&lt;FQL&gt;&lt;Q&gt;Ticker0024^FE_ESTIMATE(FCF,MEAN,QUARTERLY_ROLL,2015/2F,45595,,,'')&lt;/Q&gt;&lt;R&gt;1&lt;/R&gt;&lt;C&gt;1&lt;/C&gt;&lt;D xsi:type="xsd:double"&gt;2850&lt;/D&gt;&lt;/FQL&gt;&lt;FQL&gt;&lt;Q&gt;Ticker0024^FE_ESTIMATE(FCF,MEAN,QUARTERLY_ROLL,2015/1F,45595,,,'')&lt;/Q&gt;&lt;R&gt;1&lt;/R&gt;&lt;C&gt;1&lt;/C&gt;&lt;D xsi:type="xsd:double"&gt;6849.033&lt;/D&gt;&lt;/FQL&gt;&lt;FQL&gt;&lt;Q&gt;Ticker0024^FE_ESTIMATE(CAPEX,MEAN,ANNUAL_ROLL,2030,45595,,,'')&lt;/Q&gt;&lt;R&gt;0&lt;/R&gt;&lt;C&gt;0&lt;/C&gt;&lt;/FQL&gt;&lt;FQL&gt;&lt;Q&gt;Ticker0024^FE_ESTIMATE(CAPEX,MEAN,QUARTERLY_ROLL,2030/4F,45595,,,'')&lt;/Q&gt;&lt;R&gt;0&lt;/R&gt;&lt;C&gt;0&lt;/C&gt;&lt;/FQL&gt;&lt;FQL&gt;&lt;Q&gt;Ticker0024^FE_ESTIMATE(CAPEX,MEAN,QUARTERLY_ROLL,2030/3F,45595,,,'')&lt;/Q&gt;&lt;R&gt;0&lt;/R&gt;&lt;C&gt;0&lt;/C&gt;&lt;/FQL&gt;&lt;FQL&gt;&lt;Q&gt;Ticker0024^FE_ESTIMATE(CAPEX,MEAN,QUARTERLY_ROLL,2030/2F,45595,,,'')&lt;/Q&gt;&lt;R&gt;0&lt;/R&gt;&lt;C&gt;0&lt;/C&gt;&lt;/FQL&gt;&lt;FQL&gt;&lt;Q&gt;Ticker0024^FE_ESTIMATE(CAPEX,MEAN,QUARTERLY_ROLL,2030/1F,45595,,,'')&lt;/Q&gt;&lt;R&gt;0&lt;/R&gt;&lt;C&gt;0&lt;/C&gt;&lt;/FQL&gt;&lt;FQL&gt;&lt;Q&gt;Ticker0024^FE_ESTIMATE(CAPEX,MEAN,ANNUAL_ROLL,2029,45595,,,'')&lt;/Q&gt;&lt;R&gt;0&lt;/R&gt;&lt;C&gt;0&lt;/C&gt;&lt;/FQL&gt;&lt;FQL&gt;&lt;Q&gt;Ticker0024^FE_ESTIMATE(CAPEX,MEAN,QUARTERLY_ROLL,2029/4F,45595,,,'')&lt;/Q&gt;&lt;R&gt;0&lt;/R&gt;&lt;C&gt;0&lt;/C&gt;&lt;/FQL&gt;&lt;FQL&gt;&lt;Q&gt;Ticker0024^FE_ESTIMATE(CAPEX,MEAN,QUARTERLY_ROLL,2029/3F,45595,,,'')&lt;/Q&gt;&lt;R&gt;0&lt;/R&gt;&lt;C&gt;0&lt;/C&gt;&lt;/FQL&gt;&lt;FQL&gt;&lt;Q&gt;Ticker0024^FE_ESTIMATE(CAPEX,MEAN,QUARTERLY_ROLL,2029/2F,45595,,,'')&lt;/Q&gt;&lt;R&gt;0&lt;/R&gt;&lt;C&gt;0&lt;/C&gt;&lt;/FQL&gt;&lt;FQL&gt;&lt;Q&gt;Ticker0024^FE_ESTIMATE(CAPEX,MEAN,QUARTERLY_ROLL,2029/1F,45595,,,'')&lt;/Q&gt;&lt;R&gt;0&lt;/R&gt;&lt;C&gt;0&lt;/C&gt;&lt;/FQL&gt;&lt;FQL&gt;&lt;Q&gt;Ticker0024^FE_ESTIMATE(CAPEX,MEAN,ANNUAL_ROLL,2028,45595,,,'')&lt;/Q&gt;&lt;R&gt;1&lt;/R&gt;&lt;C&gt;1&lt;/C&gt;&lt;D xsi:type="xsd:double"&gt;68033.91&lt;/D&gt;&lt;/FQL&gt;&lt;FQL&gt;&lt;Q&gt;Ticker0024^FE_ESTIMATE(CAPEX,MEAN,QUARTERLY_ROLL,2028/4F,45595,,,'')&lt;/Q&gt;&lt;R&gt;0&lt;/R&gt;&lt;C&gt;0&lt;/C&gt;&lt;/FQL&gt;&lt;FQL&gt;&lt;Q&gt;Ticker0024^FE_ESTIMATE(CAPEX,MEAN,QUARTERLY_ROLL,2028/3F,45595,,,'')&lt;/Q&gt;&lt;R&gt;0&lt;/R&gt;&lt;C&gt;0&lt;/C&gt;&lt;/FQL&gt;&lt;FQL&gt;&lt;Q&gt;Ticker0024^FE_ESTIMATE(CAPEX,MEAN,QUARTERLY_ROLL,2028/2F,45595,,,'')&lt;/Q&gt;&lt;R&gt;0&lt;/R&gt;&lt;C&gt;0&lt;/C&gt;&lt;/FQL&gt;&lt;FQL&gt;&lt;Q&gt;Ticker0024^FE_ESTIMATE(CAPEX,MEAN,QUARTERLY_ROLL,2028/1F,45595,,,'')&lt;/Q&gt;&lt;R&gt;0&lt;/R&gt;&lt;C&gt;0&lt;/C&gt;&lt;/FQL&gt;&lt;FQL&gt;&lt;Q&gt;Ticker0024^FE_ESTIMATE(CAPEX,MEAN,ANNUAL_ROLL,2027,45595,,,'')&lt;/Q&gt;&lt;R&gt;1&lt;/R&gt;&lt;C&gt;1&lt;/C&gt;&lt;D xsi:type="xsd:double"&gt;68864.97&lt;/D&gt;&lt;/FQL&gt;&lt;FQL&gt;&lt;Q&gt;Ticker0024^FE_ESTIMATE(CAPEX,MEAN,QUARTERLY_ROLL,2027/4F,45595,,,'')&lt;/Q&gt;&lt;R&gt;1&lt;/R&gt;&lt;C&gt;1&lt;/C&gt;&lt;D xsi:type="xsd:double"&gt;20021.596&lt;/D&gt;&lt;/FQL&gt;&lt;FQL&gt;&lt;Q&gt;Ticker0024^FE_ESTIMATE(CAPEX,MEAN,QUARTERLY_ROLL,2027/3F,45595,,,'')&lt;/Q&gt;&lt;R&gt;1&lt;/R&gt;&lt;C&gt;1&lt;/C&gt;&lt;D xsi:type="xsd:double"&gt;19717.396&lt;/D&gt;&lt;/FQL&gt;&lt;FQL&gt;&lt;Q&gt;Ticker0024^FE_ESTIMATE(CAPEX,MEAN,QUARTERLY_ROLL,2027/2F,45595,,,'')&lt;/Q&gt;&lt;R&gt;1&lt;/R&gt;&lt;C&gt;1&lt;/C&gt;&lt;D xsi:type="xsd:double"&gt;18928.7&lt;/D&gt;&lt;/FQL&gt;&lt;FQL&gt;&lt;Q&gt;Ticker0024^FE_ESTIMATE(CAPEX,MEAN,QUARTERLY_ROLL,2027/1F,45595,,,'')&lt;/Q&gt;&lt;R&gt;1&lt;/R&gt;&lt;C&gt;1&lt;/C&gt;&lt;D xsi:type="xsd:double"&gt;18506.406&lt;/D&gt;&lt;/FQL&gt;&lt;FQL&gt;&lt;Q&gt;Ticker0024^FE_ESTIMATE(CAPEX,MEAN,ANNUAL_ROLL,2026,45595,,,'')&lt;/Q&gt;&lt;R&gt;1&lt;/R&gt;&lt;C&gt;1&lt;/C&gt;&lt;D xsi:type="xsd:double"&gt;63901.586&lt;/D&gt;&lt;/FQL&gt;&lt;FQL&gt;&lt;Q&gt;Ticker0024^FE_ESTIMATE(CAPEX,MEAN,QUARTERLY_ROLL,2026/4F,45595,,,'')&lt;/Q&gt;&lt;R&gt;1&lt;/R&gt;&lt;C&gt;1&lt;/C&gt;&lt;D xsi:type="xsd:double"&gt;16474.533&lt;/D&gt;&lt;/FQL&gt;&lt;FQL&gt;&lt;Q&gt;Ticker0024^FE_ESTIMATE(CAPEX,MEAN,QUARTERLY_ROLL,2026/3F,45595,,,'')&lt;/Q&gt;&lt;R&gt;1&lt;/R&gt;&lt;C&gt;1&lt;/C&gt;&lt;D xsi:type="xsd:double"&gt;15423.175&lt;/D&gt;&lt;/FQL&gt;&lt;FQL&gt;&lt;Q&gt;Ticker0024^FE_ESTIMATE(CAPEX,MEAN,QUARTERLY_ROLL,2026/2F,45595,,,'')&lt;/Q&gt;&lt;R&gt;1&lt;/R&gt;&lt;C&gt;1&lt;/C&gt;&lt;D xsi:type="xsd:double"&gt;15309.132&lt;/D&gt;&lt;/FQL&gt;&lt;FQL&gt;&lt;Q&gt;Ticker0024^FE_ESTIMATE(CAPEX,MEAN,QUARTERLY_ROLL,2026/1F,45595,,,'')&lt;/Q&gt;&lt;R&gt;1&lt;/R&gt;&lt;C&gt;1&lt;/C&gt;&lt;D xsi:type="xsd:double"&gt;14823.57&lt;/D&gt;&lt;/FQL&gt;&lt;FQL&gt;&lt;Q&gt;Ticker0024^FE_ESTIMATE(CAPEX,MEAN,ANNUAL_ROLL,2025,45595,,,'')&lt;/Q&gt;&lt;R&gt;1&lt;/R&gt;&lt;C&gt;1&lt;/C&gt;&lt;D xsi:type="xsd:double"&gt;60332.477&lt;/D&gt;&lt;/FQL&gt;&lt;FQL&gt;&lt;Q&gt;Ticker0024^FE_ESTIMATE(CAPEX,MEAN,QUARTERLY_ROLL,2025/4F,45595,,,'')&lt;/Q&gt;&lt;R&gt;1&lt;/R&gt;&lt;C&gt;1&lt;/C&gt;&lt;D xsi:type="xsd:double"&gt;15259.597&lt;/D&gt;&lt;/FQL&gt;&lt;FQL&gt;&lt;Q&gt;Ticker0024^FE_ESTIMATE(CAPEX,MEAN,QUARTERLY_ROLL,2025/3F,45595,,,'')&lt;/Q&gt;&lt;R&gt;1&lt;/R&gt;&lt;C&gt;1&lt;/C&gt;&lt;D xsi:type="xsd:double"&gt;14611.701&lt;/D&gt;&lt;/FQL&gt;&lt;FQL&gt;&lt;Q&gt;Ticker0024^FE_ESTIMATE(CAPEX,MEAN,QUARTERLY_ROLL,2025/2F,45595,,,'')&lt;/Q&gt;&lt;R&gt;1&lt;/R&gt;&lt;C&gt;1&lt;/C&gt;&lt;D xsi:type="xsd:double"&gt;14962.17&lt;/D&gt;&lt;/FQL&gt;&lt;FQL&gt;&lt;Q&gt;Ticker0024^FE_ESTIMATE(CAPEX,MEAN,QUARTERLY_ROLL,2025/1F,45595,,,'')&lt;/Q&gt;&lt;R&gt;1&lt;/R&gt;&lt;C&gt;1&lt;/C&gt;&lt;D xsi:type="xsd:double"&gt;14736.46&lt;/D&gt;&lt;/FQL&gt;&lt;FQL&gt;&lt;Q&gt;Ticker0024^FE_ESTIMATE(CAPEX,MEAN,ANNUAL_ROLL,2024,45595,,,'')&lt;/Q&gt;&lt;R&gt;1&lt;/R&gt;&lt;C&gt;1&lt;/C&gt;&lt;D xsi:type="xsd:double"&gt;44477.12&lt;/D&gt;&lt;/FQL&gt;&lt;FQL&gt;&lt;Q&gt;Ticker0024^FE_ESTIMATE(CAPEX,MEAN,QUARTERLY_ROLL,2024/4F,45595,,,'')&lt;/Q&gt;&lt;R&gt;1&lt;/R&gt;&lt;C&gt;1&lt;/C&gt;&lt;D xsi:type="xsd:double"&gt;13874.714&lt;/D&gt;&lt;/FQL&gt;&lt;FQL&gt;&lt;Q&gt;Ticker0024^FE_ESTIMATE(CAPEX,MEAN,QUARTERLY_ROLL,2024/3F,45595,,,'')&lt;/Q&gt;&lt;R&gt;1&lt;/R&gt;&lt;C&gt;1&lt;/C&gt;&lt;D xsi:type="xsd:double"&gt;11290.556&lt;/D&gt;&lt;/FQL&gt;&lt;FQL&gt;&lt;Q&gt;Ticker0024^FE_ESTIMATE(CAPEX,MEAN,QUARTERLY_ROLL,2024/2F,45595,,,'')&lt;/Q&gt;&lt;R&gt;1&lt;/R&gt;&lt;C&gt;1&lt;/C&gt;&lt;D xsi:type="xsd:double"&gt;10088.25&lt;/D&gt;&lt;/FQL&gt;&lt;FQL&gt;&lt;Q&gt;Ticker0024^FE_ESTIMATE(CAPEX,MEAN,QUARTERLY_ROLL,2024/1F,45595,,,'')&lt;/Q&gt;&lt;R&gt;1&lt;/R&gt;&lt;C&gt;1&lt;/C&gt;&lt;D xsi:type="xsd:double"&gt;10077.5625&lt;/D&gt;&lt;/FQL&gt;&lt;FQL&gt;&lt;Q&gt;Ticker0024^FE_ESTIMATE(CAPEX,MEAN,ANNUAL_ROLL,2023,45595,,,'')&lt;/Q&gt;&lt;R&gt;1&lt;/R&gt;&lt;C&gt;1&lt;/C&gt;&lt;D xsi:type="xsd:double"&gt;28107.125&lt;/D&gt;&lt;/FQL&gt;&lt;FQL&gt;&lt;Q&gt;Ticker0024^FE_ESTIMATE(CAPEX,MEAN,QUARTERLY_ROLL,2023/4F,45595,,,'')&lt;/Q&gt;&lt;R&gt;1&lt;/R&gt;&lt;C&gt;1&lt;/C&gt;&lt;D xsi:type="xsd:double"&gt;9068.286&lt;/D&gt;&lt;/FQL&gt;&lt;FQL&gt;&lt;Q&gt;Ticker0024^FE_ESTIMATE(CAPEX,MEAN,QUARTERLY_ROLL,2023/3F,45595,,,'')&lt;/Q&gt;&lt;R&gt;1&lt;/R&gt;&lt;C&gt;1&lt;/C&gt;&lt;D xsi:type="xsd:double"&gt;6699&lt;/D&gt;&lt;/FQL&gt;&lt;FQL&gt;&lt;Q&gt;Ticker0024^FE_ESTIMATE(CAPEX,MEAN,QUARTERLY_ROLL,2023/2F,45595,,,'')&lt;/Q&gt;&lt;R&gt;1&lt;/R&gt;&lt;C&gt;1&lt;/C&gt;&lt;D xsi:type="xsd:double"&gt;6317.5&lt;/D&gt;&lt;/FQL&gt;&lt;FQL&gt;&lt;Q&gt;Ticker0024^FE_ESTIMATE(CAPEX,MEAN,QUARTERLY_ROLL,2023/1F,45595,,,'')&lt;/Q&gt;&lt;R&gt;1&lt;/R&gt;&lt;C&gt;1&lt;/C&gt;&lt;D xsi:type="xsd:double"&gt;6283&lt;/D&gt;&lt;/FQL&gt;&lt;FQL&gt;&lt;Q&gt;Ticker0024^FE_ESTIMATE(CAPEX,MEAN,ANNUAL_ROLL,2022,45595,,,'')&lt;/Q&gt;&lt;R&gt;1&lt;/R&gt;&lt;C&gt;1&lt;/C&gt;&lt;D xsi:type="xsd:double"&gt;24090.385&lt;/D&gt;&lt;/FQL&gt;&lt;FQL&gt;&lt;Q&gt;Ticker0024^FE_ESTIMATE(CAPEX,MEAN,QUARTERLY_ROLL,2022/4F,45595,,,'')&lt;/Q&gt;&lt;R&gt;1&lt;/R&gt;&lt;C&gt;1&lt;/C&gt;&lt;D xsi:type="xsd:double"&gt;7023.4165&lt;/D&gt;&lt;/FQL&gt;&lt;FQL&gt;&lt;Q&gt;Ticker0024^FE_ESTIMATE(CAPEX,MEAN,QUARTERLY_ROLL,2022/3F,45595,,,'')&lt;/Q&gt;&lt;R&gt;1&lt;/R&gt;&lt;C&gt;1&lt;/C&gt;&lt;D xsi:type="xsd:double"&gt;5436&lt;/D&gt;&lt;/FQL&gt;&lt;FQL&gt;&lt;Q&gt;Ticker0024^FE_ESTIMATE(CAPEX,MEAN,QUARTERLY_ROLL,2022/2F,45595,,,'')&lt;/Q&gt;&lt;R&gt;1&lt;/R&gt;&lt;C&gt;1&lt;/C&gt;&lt;D xsi:type="xsd:double"&gt;5958.5&lt;/D&gt;&lt;/FQL&gt;&lt;FQL&gt;&lt;Q&gt;Ticker0024^FE_ESTIMATE(CAPEX,MEAN,QUARTERLY_ROLL,2022/1F,45595,,,'')&lt;/Q&gt;&lt;R&gt;1&lt;/R&gt;&lt;C&gt;1&lt;/C&gt;&lt;D xsi:type="xsd:double"&gt;5954.5454&lt;/D&gt;&lt;/FQL&gt;&lt;FQL&gt;&lt;Q&gt;Ticker0024^FE_ESTIMATE(CAPEX,MEAN,ANNUAL_ROLL,2021,45595,,,'')&lt;/Q&gt;&lt;R&gt;1&lt;/R&gt;&lt;C&gt;1&lt;/C&gt;&lt;D xsi:type="xsd:double"&gt;20901.076&lt;/D&gt;&lt;/FQL&gt;&lt;FQL&gt;&lt;Q&gt;Ticker0024^FE_ESTIMATE(CAPEX,MEAN,QUARTERLY_ROLL,2021/4F,45595,,,'')&lt;/Q&gt;&lt;R&gt;1&lt;/R&gt;&lt;C&gt;1&lt;/C&gt;&lt;D xsi:type="xsd:double"&gt;6558&lt;/D&gt;&lt;/FQL&gt;&lt;FQL&gt;&lt;Q&gt;Ticker0024^FE_ESTIMATE(CAPEX,MEAN,QUARTERLY_ROLL,2021/3F,45595,,,'')&lt;/Q&gt;&lt;R&gt;1&lt;/R&gt;&lt;C&gt;1&lt;/C&gt;&lt;D xsi:type="xsd:double"&gt;5190.222&lt;/D&gt;&lt;/FQL&gt;&lt;FQL&gt;&lt;Q&gt;Ticker0024^FE_ESTIMATE(CAPEX,MEAN,QUARTERLY_ROLL,2021/2F,45595,,,'')&lt;/Q&gt;&lt;R&gt;1&lt;/R&gt;&lt;C&gt;1&lt;/C&gt;&lt;D xsi:type="xsd:double"&gt;4310.222&lt;/D&gt;&lt;/FQL&gt;&lt;FQL&gt;&lt;Q&gt;Ticker0024^FE_ESTIMATE(CAPEX,MEAN,QUARTERLY_ROLL,2021/1F,45595,,,'')&lt;/Q&gt;&lt;R&gt;1&lt;/R&gt;&lt;C&gt;1&lt;/C&gt;&lt;D xsi:type="xsd:double"&gt;4951.2&lt;/D&gt;&lt;/FQL&gt;&lt;FQL&gt;&lt;Q&gt;Ticker0024^FE_ESTIMATE(CAPEX,MEAN,ANNUAL_ROLL,2020,45595,,,'')&lt;/Q&gt;&lt;R&gt;1&lt;/R&gt;&lt;C&gt;1&lt;/C&gt;&lt;D xsi:type="xsd:double"&gt;15737.583&lt;/D&gt;&lt;/FQL&gt;&lt;FQL&gt;&lt;Q&gt;Ticker0024^FE_ESTIMATE(CAPEX,MEAN,QUARTERLY_ROLL,2020/4F,45595,,,'')&lt;/Q&gt;&lt;R&gt;1&lt;/R&gt;&lt;C&gt;1&lt;/C&gt;&lt;D xsi:type="xsd:double"&gt;4876&lt;/D&gt;&lt;/FQL&gt;&lt;FQL&gt;&lt;Q&gt;Ticker0024^FE_ESTIMATE(CAPEX,MEAN,QUARTERLY_ROLL,2020/3F,45595,,,'')&lt;/Q&gt;&lt;R&gt;1&lt;/R&gt;&lt;C&gt;1&lt;/C&gt;&lt;D xsi:type="xsd:double"&gt;3781.7778&lt;/D&gt;&lt;/FQL&gt;&lt;FQL&gt;&lt;Q&gt;Ticker0024^FE_ESTIMATE(CAPEX,MEAN,QUARTERLY_ROLL,2020/2F,45595,,,'')&lt;/Q&gt;&lt;R&gt;1&lt;/R&gt;&lt;C&gt;1&lt;/C&gt;&lt;D xsi:type="xsd:double"&gt;3640.5&lt;/D&gt;&lt;/FQL&gt;&lt;FQL&gt;&lt;Q&gt;Ticker0024^FE_ESTIMATE(CAPEX,MEAN,QUARTERLY_ROLL,2020/1F,45595,,,'')&lt;/Q&gt;&lt;R&gt;1&lt;/R&gt;&lt;C&gt;1&lt;/C&gt;&lt;D xsi:type="xsd:double"&gt;3526.5&lt;/D&gt;&lt;/FQL&gt;&lt;FQL&gt;&lt;Q&gt;Ticker0024^FE_ESTIMATE(CAPEX,MEAN,ANNUAL_ROLL,2019,45595,,,'')&lt;/Q&gt;&lt;R&gt;1&lt;/R&gt;&lt;C&gt;1&lt;/C&gt;&lt;D xsi:type="xsd:double"&gt;14123.333&lt;/D&gt;&lt;/FQL&gt;&lt;FQL&gt;&lt;Q&gt;Ticker0024^FE_ESTIMATE(CAPEX,MEAN,QUARTERLY_ROLL,2019/4F,45595,,,'')&lt;/Q&gt;&lt;R&gt;1&lt;/R&gt;&lt;C&gt;1&lt;/C&gt;&lt;D xsi:type="xsd:double"&gt;4300.8&lt;/D&gt;&lt;/FQL&gt;&lt;FQL&gt;&lt;Q&gt;Ticker0024^FE_ESTIMATE(CAPEX,MEAN,QUARTERLY_ROLL,2019/3F,45595,,,'')&lt;/Q&gt;&lt;R&gt;1&lt;/R&gt;&lt;C&gt;1&lt;/C&gt;&lt;D xsi:type="xsd:double"&gt;2648.5&lt;/D&gt;&lt;/FQL&gt;&lt;FQL&gt;&lt;Q&gt;Ticker0024^FE_ESTIMATE(CAPEX,MEAN,QUARTERLY_ROLL,2019/2F,45595,,,'')&lt;/Q&gt;&lt;R&gt;1&lt;/R&gt;&lt;C&gt;1&lt;/C&gt;&lt;D xsi:type="xsd:double"&gt;3736.6924&lt;/D&gt;&lt;/FQL&gt;&lt;FQL&gt;&lt;Q&gt;Ticker0024^FE_ESTIMATE(CAPEX,MEAN,QUARTERLY_ROLL,2019/1F,45595,,,'')&lt;/Q&gt;&lt;R&gt;1&lt;/R&gt;&lt;C&gt;1&lt;/C&gt;&lt;D xsi:type="xsd:double"&gt;3728.9092&lt;/D&gt;&lt;/FQL&gt;&lt;FQL&gt;&lt;Q&gt;Ticker0024^FE_ESTIMATE(CAPEX,MEAN,ANNUAL_ROLL,2018,45595,,,'')&lt;/Q&gt;&lt;R&gt;1&lt;/R&gt;&lt;C&gt;1&lt;/C&gt;&lt;D xsi:type="xsd:double"&gt;11958.8&lt;/D&gt;&lt;/FQL&gt;&lt;FQL&gt;&lt;Q&gt;Ticker0024^FE_ESTIMATE(CAPEX,MEAN,QUARTERLY_ROLL,2018/4F,45595,,,'')&lt;/Q&gt;&lt;R&gt;1&lt;/R&gt;&lt;C&gt;1&lt;/C&gt;&lt;D xsi:type="xsd:double"&gt;3993.3333&lt;/D&gt;&lt;/FQL&gt;&lt;FQL&gt;&lt;Q&gt;Ticker0024^FE_ESTIMATE(CAPEX,MEAN,QUARTERLY_ROLL,2018/3F,45595,,,'')&lt;/Q&gt;&lt;R&gt;1&lt;/R&gt;&lt;C&gt;1&lt;/C&gt;&lt;D xsi:type="xsd:double"&gt;2934&lt;/D&gt;&lt;/FQL&gt;&lt;FQL&gt;&lt;Q&gt;Ticker0024^FE_ESTIMATE(CAPEX,MEAN,QUARTERLY_ROLL,2018/2F,45595,,,'')&lt;/Q&gt;&lt;R&gt;1&lt;/R&gt;&lt;C&gt;1&lt;/C&gt;&lt;D xsi:type="xsd:double"&gt;2650.9092&lt;/D&gt;&lt;/FQL&gt;&lt;FQL&gt;&lt;Q&gt;Ticker0024^FE_ESTIMATE(CAPEX,MEAN,QUARTERLY_ROLL,2018/1F,45595,,,'')&lt;/Q&gt;&lt;R&gt;1&lt;/R&gt;&lt;C&gt;1&lt;/C&gt;&lt;D xsi:type="xsd:double"&gt;2132&lt;/D&gt;&lt;/FQL&gt;&lt;FQL&gt;&lt;Q&gt;Ticker0024^FE_ESTIMATE(CAPEX,MEAN,ANNUAL_ROLL,2017,45595,,,'')&lt;/Q&gt;&lt;R&gt;1&lt;/R&gt;&lt;C&gt;1&lt;/C&gt;&lt;D xsi:type="xsd:double"&gt;8129&lt;/D&gt;&lt;/FQL&gt;&lt;FQL&gt;&lt;Q&gt;Ticker0024^FE_ESTIMATE(CAPEX,MEAN,QUARTERLY_ROLL,2017/4F,45595,,,'')&lt;/Q&gt;&lt;R&gt;1&lt;/R&gt;&lt;C&gt;1&lt;/C&gt;&lt;D xsi:type="xsd:double"&gt;2283&lt;/D&gt;&lt;/FQL&gt;&lt;FQL&gt;&lt;Q&gt;Ticker0024^FE_ESTIMATE(CAPEX,MEAN,QUARTERLY_ROLL,2017/3F,45595,,,'')&lt;/Q&gt;&lt;R&gt;1&lt;/R&gt;&lt;C&gt;1&lt;/C&gt;&lt;D xsi:type="xsd:double"&gt;1767.909&lt;/D&gt;&lt;/FQL&gt;&lt;FQL&gt;&lt;Q&gt;Ticker0024^FE_ESTIMATE(CAPEX,MEAN,QUARTERLY_ROLL,2017/2F,45595,,,'')&lt;/Q&gt;&lt;R&gt;1&lt;/R&gt;&lt;C&gt;1&lt;/C&gt;&lt;D xsi:type="xsd:double"&gt;1988&lt;/D&gt;&lt;/FQL&gt;&lt;FQL&gt;&lt;Q&gt;Ticker0024^FE_ESTIMATE(CAPEX,MEAN,QUARTERLY_ROLL,2017/1F,45595,,,'')&lt;/Q&gt;&lt;R&gt;1&lt;/R&gt;&lt;C&gt;1&lt;/C&gt;&lt;D xsi:type="xsd:double"&gt;2163&lt;/D&gt;&lt;/FQL&gt;&lt;FQL&gt;&lt;Q&gt;Ticker0024^FE_ESTIMATE(CAPEX,MEAN,ANNUAL_ROLL,2016,45595,,,'')&lt;/Q&gt;&lt;R&gt;1&lt;/R&gt;&lt;C&gt;1&lt;/C&gt;&lt;D xsi:type="xsd:double"&gt;8343&lt;/D&gt;&lt;/FQL&gt;&lt;FQL&gt;&lt;Q&gt;Ticker0024^FE_ESTIMATE(CAPEX,MEAN,QUARTERLY_ROLL,2016/4F,45595,,,'')&lt;/Q&gt;&lt;R&gt;1&lt;/R&gt;&lt;C&gt;1&lt;/C&gt;&lt;D xsi:type="xsd:double"&gt;2655&lt;/D&gt;&lt;/FQL&gt;&lt;FQL&gt;&lt;Q&gt;Ticker0024^FE_ESTIMATE(CAPEX,MEAN,QUARTERLY_ROLL,2016/3F,45595,,,'')&lt;/Q&gt;&lt;R&gt;1&lt;/R&gt;&lt;C&gt;1&lt;/C&gt;&lt;D xsi:type="xsd:double"&gt;2308&lt;/D&gt;&lt;/FQL&gt;&lt;FQL&gt;&lt;Q&gt;Ticker0024^FE_ESTIMATE(CAPEX,MEAN,QUARTERLY_ROLL,2016/2F,45595,,,'')&lt;/Q&gt;&lt;R&gt;1&lt;/R&gt;&lt;C&gt;1&lt;/C&gt;&lt;D xsi:type="xsd:double"&gt;2024&lt;/D&gt;&lt;/FQL&gt;&lt;FQL&gt;&lt;Q&gt;Ticker0024^FE_ESTIMATE(CAPEX,MEAN,QUARTERLY_ROLL,2016/1F,45595,,,'')&lt;/Q&gt;&lt;R&gt;1&lt;/R&gt;&lt;C&gt;1&lt;/C&gt;&lt;D xsi:type="xsd:double"&gt;1356&lt;/D&gt;&lt;/FQL&gt;&lt;FQL&gt;&lt;Q&gt;Ticker0024^FE_ESTIMATE(CAPEX,MEAN,ANNUAL_ROLL,2015,45595,,,'')&lt;/Q&gt;&lt;R&gt;1&lt;/R&gt;&lt;C&gt;1&lt;/C&gt;&lt;D xsi:type="xsd:double"&gt;5944&lt;/D&gt;&lt;/FQL&gt;&lt;FQL&gt;&lt;Q&gt;Ticker0024^FE_ESTIMATE(CAPEX,MEAN,QUARTERLY_ROLL,2015/4F,45595,,,'')&lt;/Q&gt;&lt;R&gt;1&lt;/R&gt;&lt;C&gt;1&lt;/C&gt;&lt;D xsi:type="xsd:double"&gt;1781&lt;/D&gt;&lt;/FQL&gt;&lt;FQL&gt;&lt;Q&gt;Ticker0024^FE_ESTIMATE(CAPEX,MEAN,QUARTERLY_ROLL,2015/3F,45595,,,'')&lt;/Q&gt;&lt;R&gt;1&lt;/R&gt;&lt;C&gt;1&lt;/C&gt;&lt;D xsi:type="xsd:double"&gt;1391&lt;/D&gt;&lt;/FQL&gt;&lt;FQL&gt;&lt;Q&gt;Ticker0024^FE_ESTIMATE(CAPEX,MEAN,QUARTERLY_ROLL,2015/2F,45595,,,'')&lt;/Q&gt;&lt;R&gt;1&lt;/R&gt;&lt;C&gt;1&lt;/C&gt;&lt;D xsi:type="xsd:double"&gt;1490&lt;/D&gt;&lt;/FQL&gt;&lt;FQL&gt;&lt;Q&gt;Ticker0024^FE_ESTIMATE(CAPEX,MEAN,QUARTERLY_ROLL,2015/1F,45595,,,'')&lt;/Q&gt;&lt;R&gt;1&lt;/R&gt;&lt;C&gt;1&lt;/C&gt;&lt;D xsi:type="xsd:double"&gt;1282&lt;/D&gt;&lt;/FQL&gt;&lt;FQL&gt;&lt;Q&gt;Ticker0024^FE_ESTIMATE(CFO,MEAN,ANNUAL_ROLL,2030,45595,,,'')&lt;/Q&gt;&lt;R&gt;0&lt;/R&gt;&lt;C&gt;0&lt;/C&gt;&lt;/FQL&gt;&lt;FQL&gt;&lt;Q&gt;Ticker0024^FE_ESTIMATE(CFO,MEAN,QUARTERLY_ROLL,2030/4F,45595,,,'')&lt;/Q&gt;&lt;R&gt;0&lt;/R&gt;&lt;C&gt;0&lt;/C&gt;&lt;/FQL&gt;&lt;FQL&gt;&lt;Q&gt;Ticker0024^FE_ESTIMATE(CFO,MEAN,QUARTERLY_ROLL,2030/3F,45595,,,'')&lt;/Q&gt;&lt;R&gt;0&lt;/R&gt;&lt;C&gt;0&lt;/C&gt;&lt;/FQL&gt;&lt;FQL&gt;&lt;Q&gt;Ticker0024^FE_ESTIMATE(CFO,MEAN,QUARTERLY_ROLL,2030/2F,45595,,,'')&lt;/Q&gt;&lt;R&gt;0&lt;/R&gt;&lt;C&gt;0&lt;/C&gt;&lt;/FQL&gt;&lt;FQL&gt;&lt;Q&gt;Ticker0024^FE_ESTIMATE(CFO,MEAN,QUARTERLY_ROLL,2030/1F,45595,,,'')&lt;/Q&gt;&lt;R&gt;0&lt;/R&gt;&lt;C&gt;0&lt;/C&gt;&lt;/FQL&gt;&lt;FQL&gt;&lt;Q&gt;Ticker0024^FE_ESTIMATE(CFO,MEAN,ANNUAL_ROLL,2029,45595,,,'')&lt;/Q&gt;&lt;R&gt;0&lt;/R&gt;&lt;C&gt;0&lt;/C&gt;&lt;/FQL&gt;&lt;FQL&gt;&lt;Q&gt;Ticker0024^FE_ESTIMATE(CFO,MEAN,QUARTERLY_ROLL,2029/4F,45595,,,'')&lt;/Q&gt;&lt;R&gt;0&lt;/R&gt;&lt;C&gt;0&lt;/C&gt;&lt;/FQL&gt;&lt;FQL&gt;&lt;Q&gt;Ticker0024^FE_ESTIMATE(CFO,MEAN,QUARTERLY_ROLL,2029/3F,45595,,,'')&lt;/Q&gt;&lt;R&gt;0&lt;/R&gt;&lt;C&gt;0&lt;/C&gt;&lt;/FQL&gt;&lt;FQL&gt;&lt;Q&gt;Ticker0024^FE_ESTIMATE(CFO,MEAN,QUARTERLY_ROLL,2029/2F,45595,,,'')&lt;/Q&gt;&lt;R&gt;0&lt;/R&gt;&lt;C&gt;0&lt;/C&gt;&lt;/FQL&gt;&lt;FQL&gt;&lt;Q&gt;Ticker0024^FE_ESTIMATE(CFO,MEAN,QUARTERLY_ROLL,2029/1F,45595,,,'')&lt;/Q&gt;&lt;R&gt;0&lt;/R&gt;&lt;C&gt;0&lt;/C&gt;&lt;/FQL&gt;&lt;FQL&gt;&lt;Q&gt;Ticker0024^FE_ESTIMATE(CFO,MEAN,ANNUAL_ROLL,2028,45595,,,'')&lt;/Q&gt;&lt;R&gt;1&lt;/R&gt;&lt;C&gt;1&lt;/C&gt;&lt;D xsi:type="xsd:double"&gt;243797&lt;/D&gt;&lt;/FQL&gt;&lt;FQL&gt;&lt;Q&gt;Ticker0024^FE_ESTIMATE(CFO,MEAN,QUARTERLY_ROLL,2028/4F,45595,,,'')&lt;/Q&gt;&lt;R&gt;0&lt;/R&gt;&lt;C&gt;0&lt;/C&gt;&lt;/FQL&gt;&lt;FQL&gt;&lt;Q&gt;Ticker0024^FE_ESTIMATE(CFO,MEAN,QUARTERLY_ROLL,2028/3F,45595,,,'')&lt;/Q&gt;&lt;R&gt;0&lt;/R&gt;&lt;C&gt;0&lt;/C&gt;&lt;/FQL&gt;&lt;FQL&gt;&lt;Q&gt;Ticker0024^FE_ESTIMATE(CFO,MEAN,QUARTERLY_ROLL,2028/2F,45595,,,'')&lt;/Q&gt;&lt;R&gt;0&lt;/R&gt;&lt;C&gt;0&lt;/C&gt;&lt;/FQL&gt;&lt;FQL&gt;&lt;Q&gt;Ticker0024^FE_ESTIMATE(CFO,MEAN,QUARTERLY_ROLL,2028/1F,45595,,,'')&lt;/Q&gt;&lt;R&gt;0&lt;/R&gt;&lt;C&gt;0&lt;/C&gt;&lt;/FQL&gt;&lt;FQL&gt;&lt;Q&gt;Ticker0024^FE_ESTIMATE(CFO,MEAN,ANNUAL_ROLL,2027,45595,,,'')&lt;/Q&gt;&lt;R&gt;1&lt;/R&gt;&lt;C&gt;1&lt;/C&gt;&lt;D xsi:type="xsd:double"&gt;166346.92&lt;/D&gt;&lt;/FQL&gt;&lt;FQL&gt;&lt;Q&gt;Ticker0024^FE_ESTIMATE(CFO,MEAN,QUARTERLY_ROLL,2027/4F,45595,,,'')&lt;/Q&gt;&lt;R&gt;0&lt;/R&gt;&lt;C&gt;0&lt;/C&gt;&lt;/FQL&gt;&lt;FQL&gt;&lt;Q&gt;Ticker0024^FE_ESTIMATE(CFO,MEAN,QUARTERLY_ROLL,2027/3F,45595,,,'')&lt;/Q&gt;&lt;R&gt;0&lt;/R&gt;&lt;C&gt;0&lt;/C&gt;&lt;/FQL&gt;&lt;FQL&gt;&lt;Q&gt;Ticker0024^FE_ESTIMATE(CFO,MEAN,QUARTERLY_ROLL,2027/2F,45595,,,'')&lt;/Q&gt;&lt;R&gt;0&lt;/R&gt;&lt;C&gt;0&lt;/C&gt;&lt;/FQL&gt;&lt;FQL&gt;&lt;Q&gt;Ticker0024^FE_ESTIMATE(CFO,MEAN,QUARTERLY_ROLL,2027/1F,45595,,,'')&lt;/Q&gt;&lt;R&gt;0&lt;/R&gt;&lt;C&gt;0&lt;/C&gt;&lt;/FQL&gt;&lt;FQL&gt;&lt;Q&gt;Ticker0024^FE_ESTIMATE(CFO,MEAN,ANNUAL_ROLL,2026,45595,,,'')&lt;/Q&gt;&lt;R&gt;1&lt;/R&gt;&lt;C&gt;1&lt;/C&gt;&lt;D xsi:type="xsd:double"&gt;147639.97&lt;/D&gt;&lt;/FQL&gt;&lt;FQL&gt;&lt;Q&gt;Ticker0024^FE_ESTIMATE(CFO,MEAN,QUARTERLY_ROLL,2026/4F,45595,,,'')&lt;/Q&gt;&lt;R&gt;1&lt;/R&gt;&lt;C&gt;1&lt;/C&gt;&lt;D xsi:type="xsd:double"&gt;47092.5&lt;/D&gt;&lt;/FQL&gt;&lt;FQL&gt;&lt;Q&gt;Ticker0024^FE_ESTIMATE(CFO,MEAN,QUARTERLY_ROLL,2026/3F,45595,,,'')&lt;/Q&gt;&lt;R&gt;1&lt;/R&gt;&lt;C&gt;1&lt;/C&gt;&lt;D xsi:type="xsd:double"&gt;39968.5&lt;/D&gt;&lt;/FQL&gt;&lt;FQL&gt;&lt;Q&gt;Ticker0024^FE_ESTIMATE(CFO,MEAN,QUARTERLY_ROLL,2026/2F,45595,,,'')&lt;/Q&gt;&lt;R&gt;1&lt;/R&gt;&lt;C&gt;1&lt;/C&gt;&lt;D xsi:type="xsd:double"&gt;28567.5&lt;/D&gt;&lt;/FQL&gt;&lt;FQL&gt;&lt;Q&gt;Ticker0024^FE_ESTIMATE(CFO,MEAN,QUARTERLY_ROLL,2026/1F,45595,,,'')&lt;/Q&gt;&lt;R&gt;1&lt;/R&gt;&lt;C&gt;1&lt;/C&gt;&lt;D xsi:type="xsd:double"&gt;38424&lt;/D&gt;&lt;/FQL&gt;&lt;FQL&gt;&lt;Q&gt;Ticker0024^FE_ESTIMATE(CFO,MEAN,ANNUAL_ROLL,2025,45595,,,'')&lt;/Q&gt;&lt;R&gt;1&lt;/R&gt;&lt;C&gt;1&lt;/C&gt;&lt;D xsi:type="xsd:double"&gt;130339.16&lt;/D&gt;&lt;/FQL&gt;&lt;FQL&gt;&lt;Q&gt;Ticker0024^FE_ESTIMATE(CFO,MEAN,QUARTERLY_ROLL,2025/4F,45595,,,'')&lt;/Q&gt;&lt;R&gt;1&lt;/R&gt;&lt;C&gt;1&lt;/C&gt;&lt;D xsi:type="xsd:double"&gt;39992.563&lt;/D&gt;&lt;/FQL&gt;&lt;FQL&gt;&lt;Q&gt;Ticker0024^FE_ESTIMATE(CFO,MEAN,QUARTERLY_ROLL,2025/3F,45595,,,'')&lt;/Q&gt;&lt;R&gt;1&lt;/R&gt;&lt;C&gt;1&lt;/C&gt;&lt;D xsi:type="xsd:double"&gt;33993.76&lt;/D&gt;&lt;/FQL&gt;&lt;FQL&gt;&lt;Q&gt;Ticker0024^FE_ESTIMATE(CFO,MEAN,QUARTERLY_ROLL,2025/2F,45595,,,'')&lt;/Q&gt;&lt;R&gt;1&lt;/R&gt;&lt;C&gt;1&lt;/C&gt;&lt;D xsi:type="xsd:double"&gt;24811.908&lt;/D&gt;&lt;/FQL&gt;&lt;FQL&gt;&lt;Q&gt;Ticker0024^FE_ESTIMATE(CFO,MEAN,QUARTERLY_ROLL,2025/1F,45595,,,'')&lt;/Q&gt;&lt;R&gt;1&lt;/R&gt;&lt;C&gt;1&lt;/C&gt;&lt;D xsi:type="xsd:double"&gt;32646.14&lt;/D&gt;&lt;/FQL&gt;&lt;FQL&gt;&lt;Q&gt;Ticker0024^FE_ESTIMATE(CFO,MEAN,ANNUAL_ROLL,2024,45595,,,'')&lt;/Q&gt;&lt;R&gt;1&lt;/R&gt;&lt;C&gt;1&lt;/C&gt;&lt;D xsi:type="xsd:double"&gt;119091&lt;/D&gt;&lt;/FQL&gt;&lt;FQL&gt;&lt;Q&gt;Ticker0024^FE_ESTIMATE(CFO,MEAN,QUARTERLY_ROLL,2024/4F,45595,,,'')&lt;/Q&gt;&lt;R&gt;1&lt;/R&gt;&lt;C&gt;1&lt;/C&gt;&lt;D xsi:type="xsd:double"&gt;37195.355&lt;/D&gt;&lt;/FQL&gt;&lt;FQL&gt;&lt;Q&gt;Ticker0024^FE_ESTIMATE(CFO,MEAN,QUARTERLY_ROLL,2024/3F,45595,,,'')&lt;/Q&gt;&lt;R&gt;1&lt;/R&gt;&lt;C&gt;1&lt;/C&gt;&lt;D xsi:type="xsd:double"&gt;31917.176&lt;/D&gt;&lt;/FQL&gt;&lt;FQL&gt;&lt;Q&gt;Ticker0024^FE_ESTIMATE(CFO,MEAN,QUARTERLY_ROLL,2024/2F,45595,,,'')&lt;/Q&gt;&lt;R&gt;1&lt;/R&gt;&lt;C&gt;1&lt;/C&gt;&lt;D xsi:type="xsd:double"&gt;18855.445&lt;/D&gt;&lt;/FQL&gt;&lt;FQL&gt;&lt;Q&gt;Ticker0024^FE_ESTIMATE(CFO,MEAN,QUARTERLY_ROLL,2024/1F,45595,,,'')&lt;/Q&gt;&lt;R&gt;1&lt;/R&gt;&lt;C&gt;1&lt;/C&gt;&lt;D xsi:type="xsd:double"&gt;30578.588&lt;/D&gt;&lt;/FQL&gt;&lt;FQL&gt;&lt;Q&gt;Ticker0024^FE_ESTIMATE(CFO,MEAN,ANNUAL_ROLL,2023,45595,,,'')&lt;/Q&gt;&lt;R&gt;1&lt;/R&gt;&lt;C&gt;1&lt;/C&gt;&lt;D xsi:type="xsd:double"&gt;87714&lt;/D&gt;&lt;/FQL&gt;&lt;FQL&gt;&lt;Q&gt;Ticker0024^FE_ESTIMATE(CFO,MEAN,QUARTERLY_ROLL,2023/4F,45595,,,'')&lt;/Q&gt;&lt;R&gt;1&lt;/R&gt;&lt;C&gt;1&lt;/C&gt;&lt;D xsi:type="xsd:double"&gt;28504.813&lt;/D&gt;&lt;/FQL&gt;&lt;FQL&gt;&lt;Q&gt;Ticker0024^FE_ESTIMATE(CFO,MEAN,QUARTERLY_ROLL,2023/3F,45595,,,'')&lt;/Q&gt;&lt;R&gt;1&lt;/R&gt;&lt;C&gt;1&lt;/C&gt;&lt;D xsi:type="xsd:double"&gt;24325.75&lt;/D&gt;&lt;/FQL&gt;&lt;FQL&gt;&lt;Q&gt;Ticker0024^FE_ESTIMATE(CFO,MEAN,QUARTERLY_ROLL,2023/2F,45595,,,'')&lt;/Q&gt;&lt;R&gt;1&lt;/R&gt;&lt;C&gt;1&lt;/C&gt;&lt;D xsi:type="xsd:double"&gt;11172.8&lt;/D&gt;&lt;/FQL&gt;&lt;FQL&gt;&lt;Q&gt;Ticker0024^FE_ESTIMATE(CFO,MEAN,QUARTERLY_ROLL,2023/1F,45595,,,'')&lt;/Q&gt;&lt;R&gt;1&lt;/R&gt;&lt;C&gt;1&lt;/C&gt;&lt;D xsi:type="xsd:double"&gt;23330.53&lt;/D&gt;&lt;/FQL&gt;&lt;FQL&gt;&lt;Q&gt;Ticker0024^FE_ESTIMATE(CFO,MEAN,ANNUAL_ROLL,2022,45595,,,'')&lt;/Q&gt;&lt;R&gt;1&lt;/R&gt;&lt;C&gt;1&lt;/C&gt;&lt;D xsi:type="xsd:double"&gt;89044.74&lt;/D&gt;&lt;/FQL&gt;&lt;FQL&gt;&lt;Q&gt;Ticker0024^FE_ESTIMATE(CFO,MEAN,QUARTERLY_ROLL,2022/4F,45595,,,'')&lt;/Q&gt;&lt;R&gt;1&lt;/R&gt;&lt;C&gt;1&lt;/C&gt;&lt;D xsi:type="xsd:double"&gt;24629&lt;/D&gt;&lt;/FQL&gt;&lt;FQL&gt;&lt;Q&gt;Ticker0024^FE_ESTIMATE(CFO,MEAN,QUARTERLY_ROLL,2022/3F,45595,,,'')&lt;/Q&gt;&lt;R&gt;1&lt;/R&gt;&lt;C&gt;1&lt;/C&gt;&lt;D xsi:type="xsd:double"&gt;25386&lt;/D&gt;&lt;/FQL&gt;&lt;FQL&gt;&lt;Q&gt;Ticker0024^FE_ESTIMATE(CFO,MEAN,QUARTERLY_ROLL,2022/2F,45595,,,'')&lt;/Q&gt;&lt;R&gt;1&lt;/R&gt;&lt;C&gt;1&lt;/C&gt;&lt;D xsi:type="xsd:double"&gt;14480&lt;/D&gt;&lt;/FQL&gt;&lt;FQL&gt;&lt;Q&gt;Ticker0024^FE_ESTIMATE(CFO,MEAN,QUARTERLY_ROLL,2022/1F,45595,,,'')&lt;/Q&gt;&lt;R&gt;1&lt;/R&gt;&lt;C&gt;1&lt;/C&gt;&lt;D xsi:type="xsd:double"&gt;24540&lt;/D&gt;&lt;/FQL&gt;&lt;FQL&gt;&lt;Q&gt;Ticker0024^FE_ESTIMATE(CFO,MEAN,ANNUAL_ROLL,2021,45595,,,'')&lt;/Q&gt;&lt;R&gt;1&lt;/R&gt;&lt;C&gt;1&lt;/C&gt;&lt;D xsi:type="xsd:double"&gt;77615.55&lt;/D&gt;&lt;/FQL&gt;&lt;FQL&gt;&lt;Q&gt;Ticker0024^FE_ESTIMATE(CFO,MEAN,QUARTERLY_ROLL,2021/4F,45595,,,'')&lt;/Q&gt;&lt;R&gt;1&lt;/R&gt;&lt;C&gt;1&lt;/C&gt;&lt;D xsi:type="xsd:double"&gt;22710&lt;/D&gt;&lt;/FQL&gt;&lt;FQL&gt;&lt;Q&gt;Ticker0024^FE_ESTIMATE(CFO,MEAN,QUARTERLY_ROLL,2021/3F,45595,,,'')&lt;/Q&gt;&lt;R&gt;1&lt;/R&gt;&lt;C&gt;1&lt;/C&gt;&lt;D xsi:type="xsd:double"&gt;21909&lt;/D&gt;&lt;/FQL&gt;&lt;FQL&gt;&lt;Q&gt;Ticker0024^FE_ESTIMATE(CFO,MEAN,QUARTERLY_ROLL,2021/2F,45595,,,'')&lt;/Q&gt;&lt;R&gt;1&lt;/R&gt;&lt;C&gt;1&lt;/C&gt;&lt;D xsi:type="xsd:double"&gt;12516&lt;/D&gt;&lt;/FQL&gt;&lt;FQL&gt;&lt;Q&gt;Ticker0024^FE_ESTIMATE(CFO,MEAN,QUARTERLY_ROLL,2021/1F,45595,,,'')&lt;/Q&gt;&lt;R&gt;1&lt;/R&gt;&lt;C&gt;1&lt;/C&gt;&lt;D xsi:type="xsd:double"&gt;19151.9&lt;/D&gt;&lt;/FQL&gt;&lt;FQL&gt;&lt;Q&gt;Ticker0024^FE_ESTIMATE(CFO,MEAN,ANNUAL_ROLL,2020,45595,,,'')&lt;/Q&gt;&lt;R&gt;1&lt;/R&gt;&lt;C&gt;1&lt;/C&gt;&lt;D xsi:type="xsd:double"&gt;60473.91&lt;/D&gt;&lt;/FQL&gt;&lt;FQL&gt;&lt;Q&gt;Ticker0024^FE_ESTIMATE(CFO,MEAN,QUARTERLY_ROLL,2020/4F,45595,,,'')&lt;/Q&gt;&lt;R&gt;1&lt;/R&gt;&lt;C&gt;1&lt;/C&gt;&lt;D xsi:type="xsd:double"&gt;18673&lt;/D&gt;&lt;/FQL&gt;&lt;FQL&gt;&lt;Q&gt;Ticker0024^FE_ESTIMATE(CFO,MEAN,QUARTERLY_ROLL,2020/3F,45595,,,'')&lt;/Q&gt;&lt;R&gt;1&lt;/R&gt;&lt;C&gt;1&lt;/C&gt;&lt;D xsi:type="xsd:double"&gt;17507.223&lt;/D&gt;&lt;/FQL&gt;&lt;FQL&gt;&lt;Q&gt;Ticker0024^FE_ESTIMATE(CFO,MEAN,QUARTERLY_ROLL,2020/2F,45595,,,'')&lt;/Q&gt;&lt;R&gt;1&lt;/R&gt;&lt;C&gt;1&lt;/C&gt;&lt;D xsi:type="xsd:double"&gt;10680&lt;/D&gt;&lt;/FQL&gt;&lt;FQL&gt;&lt;Q&gt;Ticker0024^FE_ESTIMATE(CFO,MEAN,QUARTERLY_ROLL,2020/1F,45595,,,'')&lt;/Q&gt;&lt;R&gt;1&lt;/R&gt;&lt;C&gt;1&lt;/C&gt;&lt;D xsi:type="xsd:double"&gt;13818&lt;/D&gt;&lt;/FQL&gt;&lt;FQL&gt;&lt;Q&gt;Ticker0024^FE_ESTIMATE(CFO,MEAN,ANNUAL_ROLL,2019,45595,,,'')&lt;/Q&gt;&lt;R&gt;1&lt;/R&gt;&lt;C&gt;1&lt;/C&gt;&lt;D xsi:type="xsd:double"&gt;51866.285&lt;/D&gt;&lt;/FQL&gt;&lt;FQL&gt;&lt;Q&gt;Ticker0024^FE_ESTIMATE(CFO,MEAN,QUARTERLY_ROLL,2019/4F,45595,,,'')&lt;/Q&gt;&lt;R&gt;1&lt;/R&gt;&lt;C&gt;1&lt;/C&gt;&lt;D xsi:type="xsd:double"&gt;16108&lt;/D&gt;&lt;/FQL&gt;&lt;FQL&gt;&lt;Q&gt;Ticker0024^FE_ESTIMATE(CFO,MEAN,QUARTERLY_ROLL,2019/3F,45595,,,'')&lt;/Q&gt;&lt;R&gt;1&lt;/R&gt;&lt;C&gt;1&lt;/C&gt;&lt;D xsi:type="xsd:double"&gt;13520&lt;/D&gt;&lt;/FQL&gt;&lt;FQL&gt;&lt;Q&gt;Ticker0024^FE_ESTIMATE(CFO,MEAN,QUARTERLY_ROLL,2019/2F,45595,,,'')&lt;/Q&gt;&lt;R&gt;1&lt;/R&gt;&lt;C&gt;1&lt;/C&gt;&lt;D xsi:type="xsd:double"&gt;8854.25&lt;/D&gt;&lt;/FQL&gt;&lt;FQL&gt;&lt;Q&gt;Ticker0024^FE_ESTIMATE(CFO,MEAN,QUARTERLY_ROLL,2019/1F,45595,,,'')&lt;/Q&gt;&lt;R&gt;1&lt;/R&gt;&lt;C&gt;1&lt;/C&gt;&lt;D xsi:type="xsd:double"&gt;13284.637&lt;/D&gt;&lt;/FQL&gt;&lt;FQL&gt;&lt;Q&gt;Ticker0024^FE_ESTIMATE(CFO,MEAN,ANNUAL_ROLL,2018,45595,,,'')&lt;/Q&gt;&lt;R&gt;1&lt;/R&gt;&lt;C&gt;1&lt;/C&gt;&lt;D xsi:type="xsd:double"&gt;43558.848&lt;/D&gt;&lt;/FQL&gt;&lt;FQL&gt;&lt;Q&gt;Ticker0024^FE_ESTIMATE(CFO,MEAN,QUARTERLY_ROLL,2018/4F,45595,,,'')&lt;/Q&gt;&lt;R&gt;1&lt;/R&gt;&lt;C&gt;1&lt;/C&gt;&lt;D xsi:type="xsd:double"&gt;11606.333&lt;/D&gt;&lt;/FQL&gt;&lt;FQL&gt;&lt;Q&gt;Ticker0024^FE_ESTIMATE(CFO,MEAN,QUARTERLY_ROLL,2018/3F,45595,,,'')&lt;/Q&gt;&lt;R&gt;1&lt;/R&gt;&lt;C&gt;1&lt;/C&gt;&lt;D xsi:type="xsd:double"&gt;12151&lt;/D&gt;&lt;/FQL&gt;&lt;FQL&gt;&lt;Q&gt;Ticker0024^FE_ESTIMATE(CFO,MEAN,QUARTERLY_ROLL,2018/2F,45595,,,'')&lt;/Q&gt;&lt;R&gt;1&lt;/R&gt;&lt;C&gt;1&lt;/C&gt;&lt;D xsi:type="xsd:double"&gt;7875&lt;/D&gt;&lt;/FQL&gt;&lt;FQL&gt;&lt;Q&gt;Ticker0024^FE_ESTIMATE(CFO,MEAN,QUARTERLY_ROLL,2018/1F,45595,,,'')&lt;/Q&gt;&lt;R&gt;1&lt;/R&gt;&lt;C&gt;1&lt;/C&gt;&lt;D xsi:type="xsd:double"&gt;12440&lt;/D&gt;&lt;/FQL&gt;&lt;FQL&gt;&lt;Q&gt;Ticker0024^FE_ESTIMATE(CFO,MEAN,ANNUAL_ROLL,2017,45595,,,'')&lt;/Q&gt;&lt;R&gt;1&lt;/R&gt;&lt;C&gt;1&lt;/C&gt;&lt;D xsi:type="xsd:double"&gt;39507&lt;/D&gt;&lt;/FQL&gt;&lt;FQL&gt;&lt;Q&gt;Ticker0024^FE_ESTIMATE(CFO,MEAN,QUARTERLY_ROLL,2017/4F,45595,,,'')&lt;/Q&gt;&lt;R&gt;1&lt;/R&gt;&lt;C&gt;1&lt;/C&gt;&lt;D xsi:type="xsd:double"&gt;11005&lt;/D&gt;&lt;/FQL&gt;&lt;FQL&gt;&lt;Q&gt;Ticker0024^FE_ESTIMATE(CFO,MEAN,QUARTERLY_ROLL,2017/3F,45595,,,'')&lt;/Q&gt;&lt;R&gt;1&lt;/R&gt;&lt;C&gt;1&lt;/C&gt;&lt;D xsi:type="xsd:double"&gt;10660&lt;/D&gt;&lt;/FQL&gt;&lt;FQL&gt;&lt;Q&gt;Ticker0024^FE_ESTIMATE(CFO,MEAN,QUARTERLY_ROLL,2017/2F,45595,,,'')&lt;/Q&gt;&lt;R&gt;1&lt;/R&gt;&lt;C&gt;1&lt;/C&gt;&lt;D xsi:type="xsd:double"&gt;6293&lt;/D&gt;&lt;/FQL&gt;&lt;FQL&gt;&lt;Q&gt;Ticker0024^FE_ESTIMATE(CFO,MEAN,QUARTERLY_ROLL,2017/1F,45595,,,'')&lt;/Q&gt;&lt;R&gt;1&lt;/R&gt;&lt;C&gt;1&lt;/C&gt;&lt;D xsi:type="xsd:double"&gt;11549&lt;/D&gt;&lt;/FQL&gt;&lt;FQL&gt;&lt;Q&gt;Ticker0024^FE_ESTIMATE(CFO,MEAN,ANNUAL_ROLL,2016,45595,,,'')&lt;/Q&gt;&lt;R&gt;1&lt;/R&gt;&lt;C&gt;1&lt;/C&gt;&lt;D xsi:type="xsd:double"&gt;32872.5&lt;/D&gt;&lt;/FQL&gt;&lt;FQL&gt;&lt;Q&gt;Ticker0024^FE_ESTIMATE(CFO,MEAN,QUARTERLY_ROLL,2016/4F,45595,,,'')&lt;/Q&gt;&lt;R&gt;1&lt;/R&gt;&lt;C&gt;1&lt;/C&gt;&lt;D xsi:type="xsd:double"&gt;8464&lt;/D&gt;&lt;/FQL&gt;&lt;FQL&gt;&lt;Q&gt;Ticker0024^FE_ESTIMATE(CFO,MEAN,QUARTERLY_ROLL,2016/3F,45595,,,'')&lt;/Q&gt;&lt;R&gt;1&lt;/R&gt;&lt;C&gt;1&lt;/C&gt;&lt;D xsi:type="xsd:double"&gt;10367&lt;/D&gt;&lt;/FQL&gt;&lt;FQL&gt;&lt;Q&gt;Ticker0024^FE_ESTIMATE(CFO,MEAN,QUARTERLY_ROLL,2016/2F,45595,,,'')&lt;/Q&gt;&lt;R&gt;1&lt;/R&gt;&lt;C&gt;1&lt;/C&gt;&lt;D xsi:type="xsd:double"&gt;5598&lt;/D&gt;&lt;/FQL&gt;&lt;FQL&gt;&lt;Q&gt;Ticker0024^FE_ESTIMATE(CFO,MEAN,QUARTERLY_ROLL,2016/1F,45595,,,'')&lt;/Q&gt;&lt;R&gt;1&lt;/R&gt;&lt;C&gt;1&lt;/C&gt;&lt;D xsi:type="xsd:double"&gt;8550.5&lt;/D&gt;&lt;/FQL&gt;&lt;FQL&gt;&lt;Q&gt;Ticker0024^FE_ESTIMATE(CFO,MEAN,ANNUAL_ROLL,2015,45595,,,'')&lt;/Q&gt;&lt;R&gt;1&lt;/R&gt;&lt;C&gt;1&lt;/C&gt;&lt;D xsi:type="xsd:double"&gt;29510.059&lt;/D&gt;&lt;/FQL&gt;&lt;FQL&gt;&lt;Q&gt;Ticker0024^FE_ESTIMATE(CFO,MEAN,QUARTERLY_ROLL,2015/4F,45595,,,'')&lt;/Q&gt;&lt;R&gt;1&lt;/R&gt;&lt;C&gt;1&lt;/C&gt;&lt;D xsi:type="xsd:double"&gt;7446.231&lt;/D&gt;&lt;/FQL&gt;&lt;FQL&gt;&lt;Q&gt;Ticker0024^FE_ESTIMATE(CFO,MEAN,QUARTERLY_ROLL,2015/3F,45595,,,'')&lt;/Q&gt;&lt;R&gt;1&lt;/R&gt;&lt;C&gt;1&lt;/C&gt;&lt;D xsi:type="xsd:double"&gt;9570&lt;/D&gt;&lt;/FQL&gt;&lt;FQL&gt;&lt;Q&gt;Ticker0024^FE_ESTIMATE(CFO,MEAN,QUARTERLY_ROLL,2015/2F,45595,,,'')&lt;/Q&gt;&lt;R&gt;1&lt;/R&gt;&lt;C&gt;1&lt;/C&gt;&lt;D xsi:type="xsd:double"&gt;4340&lt;/D&gt;&lt;/FQL&gt;&lt;FQL&gt;&lt;Q&gt;Ticker0024^FE_ESTIMATE(CFO,MEAN,QUARTERLY_ROLL,2015/1F,45595,,,'')&lt;/Q&gt;&lt;R&gt;1&lt;/R&gt;&lt;C&gt;1&lt;/C&gt;&lt;D xsi:type="xsd:double"&gt;8354&lt;/D&gt;&lt;/FQL&gt;&lt;FQL&gt;&lt;Q&gt;Ticker0024^FE_ESTIMATE(EPS,MEAN,ANNUAL_ROLL,2030,45595,,,'')&lt;/Q&gt;&lt;R&gt;0&lt;/R&gt;&lt;C&gt;0&lt;/C&gt;&lt;/FQL&gt;&lt;FQL&gt;&lt;Q&gt;Ticker0024^FE_ESTIMATE(EPS,MEAN,QUARTERLY_ROLL,2030/4F,45595,,,'')&lt;/Q&gt;&lt;R&gt;0&lt;/R&gt;&lt;C&gt;0&lt;/C&gt;&lt;/FQL&gt;&lt;FQL&gt;&lt;Q&gt;Ticker0024^FE_ESTIMATE(EPS,MEAN,QUARTERLY_ROLL,2030/3F,45595,,,'')&lt;/Q&gt;&lt;R&gt;0&lt;/R&gt;&lt;C&gt;0&lt;/C&gt;&lt;/FQL&gt;&lt;FQL&gt;&lt;Q&gt;Ticker0024^FE_ESTIMATE(EPS,MEAN,QUARTERLY_ROLL,2030/2F,45595,,,'')&lt;/Q&gt;&lt;R&gt;0&lt;/R&gt;&lt;C&gt;0&lt;/C&gt;&lt;/FQL&gt;&lt;FQL&gt;&lt;Q&gt;Ticker0024^FE_ESTIMATE(EPS,MEAN,QUARTERLY_ROLL,2030/1F,45595,,,'')&lt;/Q&gt;&lt;R&gt;0&lt;/R&gt;&lt;C&gt;0&lt;/C&gt;&lt;/FQL&gt;&lt;FQL&gt;&lt;Q&gt;Ticker0024^FE_ESTIMATE(EPS,MEAN,ANNUAL_ROLL,2029,45595,,,'')&lt;/Q&gt;&lt;R&gt;1&lt;/R&gt;&lt;C&gt;1&lt;/C&gt;&lt;D xsi:type="xsd:double"&gt;22.93&lt;/D&gt;&lt;/FQL&gt;&lt;FQL&gt;&lt;Q&gt;Ticker0024^FE_ESTIMATE(EPS,MEAN,QUARTERLY_ROLL,2029/4F,45595,,,'')&lt;/Q&gt;&lt;R&gt;0&lt;/R&gt;&lt;C&gt;0&lt;/C&gt;&lt;/FQL&gt;&lt;FQL&gt;&lt;Q&gt;Ticker0024^FE_ESTIMATE(EPS,MEAN,QUARTERLY_ROLL,2029/3F,45595,,,'')&lt;/Q&gt;&lt;R&gt;0&lt;/R&gt;&lt;C&gt;0&lt;/C&gt;&lt;/FQL&gt;&lt;FQL&gt;&lt;Q&gt;Ticker0024^FE_ESTIMATE(EPS,MEAN,QUARTERLY_ROLL,2029/2F,45595,,,'')&lt;/Q&gt;&lt;R&gt;0&lt;/R&gt;&lt;C&gt;0&lt;/C&gt;&lt;/FQL&gt;&lt;FQL&gt;&lt;Q&gt;Ticker0024^FE_ESTIMATE(EPS,MEAN,QUARTERLY_ROLL,2029/1F,45595,,,'')&lt;/Q&gt;&lt;R&gt;0&lt;/R&gt;&lt;C&gt;0&lt;/C&gt;&lt;/FQL&gt;&lt;FQL&gt;&lt;Q&gt;Ticker0024^FE_ESTIMATE(EPS,MEAN,ANNUAL_ROLL,2028,45595,,,'')&lt;/Q&gt;&lt;R&gt;1&lt;/R&gt;&lt;C&gt;1&lt;/C&gt;&lt;D xsi:type="xsd:double"&gt;20.669172&lt;/D&gt;&lt;/FQL&gt;&lt;FQL&gt;&lt;Q&gt;Ticker0024^FE_ESTIMATE(EPS,MEAN,QUARTERLY_ROLL,2028/4F,45595,,,'')&lt;/Q&gt;&lt;R&gt;0&lt;/R&gt;&lt;C&gt;0&lt;/C&gt;&lt;/FQL&gt;&lt;FQL&gt;&lt;Q&gt;Ticker0024^FE_ESTIMATE(EPS,MEAN,QUARTERLY_ROLL,2028/3F,45595,,,'')&lt;/Q&gt;&lt;R&gt;0&lt;/R&gt;&lt;C&gt;0&lt;/C&gt;&lt;/FQL&gt;&lt;FQL&gt;&lt;Q&gt;Ticker0024^FE_ESTIMATE(EPS,MEAN,QUARTERLY_ROLL,2028/2F,45595,,,'')&lt;/Q&gt;&lt;R&gt;0&lt;/R&gt;&lt;C&gt;0&lt;/C&gt;&lt;/FQL&gt;&lt;FQL&gt;&lt;Q&gt;Ticker0024^FE_ESTIMATE(EPS,MEAN,QUARTERLY_ROLL,2028/1F,45595,,,'')&lt;/Q&gt;&lt;R&gt;0&lt;/R&gt;&lt;C&gt;0&lt;/C&gt;&lt;/FQL&gt;&lt;FQL&gt;&lt;Q&gt;Ticker0024^FE_ESTIMATE(EPS,MEAN,ANNUAL_ROLL,2027,45595,,,'')&lt;/Q&gt;&lt;R&gt;1&lt;/R&gt;&lt;C&gt;1&lt;/C&gt;&lt;D xsi:type="xsd:double"&gt;17.886255&lt;/D&gt;&lt;/FQL&gt;&lt;FQL&gt;&lt;Q&gt;Ticker0024^FE_ESTIMATE(EPS,MEAN,QUARTERLY_ROLL,2027/4F,45595,,,'')&lt;/Q&gt;&lt;R&gt;1&lt;/R&gt;&lt;C&gt;1&lt;/C&gt;&lt;D xsi:type="xsd:double"&gt;4.698167&lt;/D&gt;&lt;/FQL&gt;&lt;FQL&gt;&lt;Q&gt;Ticker0024^FE_ESTIMATE(EPS,MEAN,QUARTERLY_ROLL,2027/3F,45595,,,'')&lt;/Q&gt;&lt;R&gt;1&lt;/R&gt;&lt;C&gt;1&lt;/C&gt;&lt;D xsi:type="xsd:double"&gt;4.40119&lt;/D&gt;&lt;/FQL&gt;&lt;FQL&gt;&lt;Q&gt;Ticker0024^FE_ESTIMATE(EPS,MEAN,QUARTERLY_ROLL,2027/2F,45595,,,'')&lt;/Q&gt;&lt;R&gt;1&lt;/R&gt;&lt;C&gt;1&lt;/C&gt;&lt;D xsi:type="xsd:double"&gt;4.335905&lt;/D&gt;&lt;/FQL&gt;&lt;FQL&gt;&lt;Q&gt;Ticker0024^FE_ESTIMATE(EPS,MEAN,QUARTERLY_ROLL,2027/1F,45595,,,'')&lt;/Q&gt;&lt;R&gt;1&lt;/R&gt;&lt;C&gt;1&lt;/C&gt;&lt;D xsi:type="xsd:double"&gt;4.151057&lt;/D&gt;&lt;/FQL&gt;&lt;FQL&gt;&lt;Q&gt;Ticker0024^FE_ESTIMATE(EPS,MEAN,ANNUAL_ROLL,2026,45595,,,'')&lt;/Q&gt;&lt;R&gt;1&lt;/R&gt;&lt;C&gt;1&lt;/C&gt;&lt;D xsi:type="xsd:double"&gt;15.333828&lt;/D&gt;&lt;/FQL&gt;&lt;FQL&gt;&lt;Q&gt;Ticker0024^FE_ESTIMATE(EPS,MEAN,QUARTERLY_ROLL,2026/4F,45595,,,'')&lt;/Q&gt;&lt;R&gt;1&lt;/R&gt;&lt;C&gt;1&lt;/C&gt;&lt;D xsi:type="xsd:double"&gt;3.9850464&lt;/D&gt;&lt;/FQL&gt;&lt;FQL&gt;&lt;Q&gt;Ticker0024^FE_ESTIMATE(EPS,MEAN,QUARTERLY_ROLL,2026/3F,45595,,,'')&lt;/Q&gt;&lt;R&gt;1&lt;/R&gt;&lt;C&gt;1&lt;/C&gt;&lt;D xsi:type="xsd:double"&gt;3.7715588&lt;/D&gt;&lt;/FQL&gt;&lt;FQL&gt;&lt;Q&gt;Ticker0024^FE_ESTIMATE(EPS,MEAN,QUARTERLY_ROLL,2026/2F,45595,,,'')&lt;/Q&gt;&lt;R&gt;1&lt;/R&gt;&lt;C&gt;1&lt;/C&gt;&lt;D xsi:type="xsd:double"&gt;3.7219896&lt;/D&gt;&lt;/FQL&gt;&lt;FQL&gt;&lt;Q&gt;Ticker0024^FE_ESTIMATE(EPS,MEAN,QUARTERLY_ROLL,2026/1F,45595,,,'')&lt;/Q&gt;&lt;R&gt;1&lt;/R&gt;&lt;C&gt;1&lt;/C&gt;&lt;D xsi:type="xsd:double"&gt;3.5550265&lt;/D&gt;&lt;/FQL&gt;&lt;FQL&gt;&lt;Q&gt;Ticker0024^FE_ESTIMATE(EPS,MEAN,ANNUAL_ROLL,2025,45595,,,'')&lt;/Q&gt;&lt;R&gt;1&lt;/R&gt;&lt;C&gt;1&lt;/C&gt;&lt;D xsi:type="xsd:double"&gt;13.182903&lt;/D&gt;&lt;/FQL&gt;&lt;FQL&gt;&lt;Q&gt;Ticker0024^FE_ESTIMATE(EPS,MEAN,QUARTERLY_ROLL,2025/4F,45595,,,'')&lt;/Q&gt;&lt;R&gt;1&lt;/R&gt;&lt;C&gt;1&lt;/C&gt;&lt;D xsi:type="xsd:double"&gt;3.425238&lt;/D&gt;&lt;/FQL&gt;&lt;FQL&gt;&lt;Q&gt;Ticker0024^FE_ESTIMATE(EPS,MEAN,QUARTERLY_ROLL,2025/3F,45595,,,'')&lt;/Q&gt;&lt;R&gt;1&lt;/R&gt;&lt;C&gt;1&lt;/C&gt;&lt;D xsi:type="xsd:double"&gt;3.2787247&lt;/D&gt;&lt;/FQL&gt;&lt;FQL&gt;&lt;Q&gt;Ticker0024^FE_ESTIMATE(EPS,MEAN,QUARTERLY_ROLL,2025/2F,45595,,,'')&lt;/Q&gt;&lt;R&gt;1&lt;/R&gt;&lt;C&gt;1&lt;/C&gt;&lt;D xsi:type="xsd:double"&gt;3.2297587&lt;/D&gt;&lt;/FQL&gt;&lt;FQL&gt;&lt;Q&gt;Ticker0024^FE_ESTIMATE(EPS,MEAN,QUARTERLY_ROLL,2025/1F,45595,,,'')&lt;/Q&gt;&lt;R&gt;1&lt;/R&gt;&lt;C&gt;1&lt;/C&gt;&lt;D xsi:type="xsd:double"&gt;3.1010244&lt;/D&gt;&lt;/FQL&gt;&lt;FQL&gt;&lt;Q&gt;Ticker0024^FE_ESTIMATE(EPS,MEAN,ANNUAL_ROLL,2024,45595,,,'')&lt;/Q&gt;&lt;R&gt;1&lt;/R&gt;&lt;C&gt;1&lt;/C&gt;&lt;D xsi:type="xsd:double"&gt;11.8&lt;/D&gt;&lt;/FQL&gt;&lt;FQL&gt;&lt;Q&gt;Ticker0024^FE_ESTIMATE(EPS,MEAN,QUARTERLY_ROLL,2024/4F,45595,,,'')&lt;/Q&gt;&lt;R&gt;1&lt;/R&gt;&lt;C&gt;1&lt;/C&gt;&lt;D xsi:type="xsd:double"&gt;2.95&lt;/D&gt;&lt;/FQL&gt;&lt;FQL&gt;&lt;Q&gt;Ticker0024^FE_ESTIMATE(EPS,MEAN,QUARTERLY_ROLL,2024/3F,45595,,,'')&lt;/Q&gt;&lt;R&gt;1&lt;/R&gt;&lt;C&gt;1&lt;/C&gt;&lt;D xsi:type="xsd:double"&gt;2.94&lt;/D&gt;&lt;/FQL&gt;&lt;FQL&gt;&lt;Q&gt;Ticker0024^FE_ESTIMATE(EPS,MEAN,QUARTERLY_ROLL,2024/2F,45595,,,'')&lt;/Q&gt;&lt;R&gt;1&lt;/R&gt;&lt;C&gt;1&lt;/C&gt;&lt;D xsi:type="xsd:double"&gt;2.93&lt;/D&gt;&lt;/FQL&gt;&lt;FQL&gt;&lt;Q&gt;Ticker0024^FE_ESTIMATE(EPS,MEAN,QUARTERLY_ROLL,2024/1F,45595,,,'')&lt;/Q&gt;&lt;R&gt;1&lt;/R&gt;&lt;C&gt;1&lt;/C&gt;&lt;D xsi:type="xsd:double"&gt;2.99&lt;/D&gt;&lt;/FQL&gt;&lt;FQL&gt;&lt;Q&gt;Ticker0024^FE_ESTIMATE(EPS,MEAN,ANNUAL_ROLL,2023,45595,,,'')&lt;/Q&gt;&lt;R&gt;1&lt;/R&gt;&lt;C&gt;1&lt;/C&gt;&lt;D xsi:type="xsd:double"&gt;9.81&lt;/D&gt;&lt;/FQL&gt;&lt;FQL&gt;&lt;Q&gt;Ticker0024^FE_ESTIMATE(EPS,MEAN,QUARTERLY_ROLL,2023/4F,45595,,,'')&lt;/Q&gt;&lt;R&gt;1&lt;/R&gt;&lt;C&gt;1&lt;/C&gt;&lt;D xsi:type="xsd:double"&gt;2.69&lt;/D&gt;&lt;/FQL&gt;&lt;FQL&gt;&lt;Q&gt;Ticker0024^FE_ESTIMATE(EPS,MEAN,QUARTERLY_ROLL,2023/3F,45595,,,'')&lt;/Q&gt;&lt;R&gt;1&lt;/R&gt;&lt;C&gt;1&lt;/C&gt;&lt;D xsi:type="xsd:double"&gt;2.45&lt;/D&gt;&lt;/FQL&gt;&lt;FQL&gt;&lt;Q&gt;Ticker0024^FE_ESTIMATE(EPS,MEAN,QUARTERLY_ROLL,2023/2F,45595,,,'')&lt;/Q&gt;&lt;R&gt;1&lt;/R&gt;&lt;C&gt;1&lt;/C&gt;&lt;D xsi:type="xsd:double"&gt;2.32&lt;/D&gt;&lt;/FQL&gt;&lt;FQL&gt;&lt;Q&gt;Ticker0024^FE_ESTIMATE(EPS,MEAN,QUARTERLY_ROLL,2023/1F,45595,,,'')&lt;/Q&gt;&lt;R&gt;1&lt;/R&gt;&lt;C&gt;1&lt;/C&gt;&lt;D xsi:type="xsd:double"&gt;2.35&lt;/D&gt;&lt;/FQL&gt;&lt;FQL&gt;&lt;Q&gt;Ticker0024^FE_ESTIMATE(EPS,MEAN,ANNUAL_ROLL,2022,45595,,,'')&lt;/Q&gt;&lt;R&gt;1&lt;/R&gt;&lt;C&gt;1&lt;/C&gt;&lt;D xsi:type="xsd:double"&gt;9.21&lt;/D&gt;&lt;/FQL&gt;&lt;FQL&gt;&lt;Q&gt;Ticker0024^FE_ESTIMATE(EPS,MEAN,QUARTERLY_ROLL,2022/4F,45595,,,'')&lt;/Q&gt;&lt;R&gt;1&lt;/R&gt;&lt;C&gt;1&lt;/C&gt;&lt;D xsi:type="xsd:double"&gt;2.23&lt;/D&gt;&lt;/FQL&gt;&lt;FQL&gt;&lt;Q&gt;Ticker0024^FE_ESTIMATE(EPS,MEAN,QUARTERLY_ROLL,2022/3F,45595,,,'')&lt;/Q&gt;&lt;R&gt;1&lt;/R&gt;&lt;C&gt;1&lt;/C&gt;&lt;D xsi:type="xsd:double"&gt;2.22&lt;/D&gt;&lt;/FQL&gt;&lt;FQL&gt;&lt;Q&gt;Ticker0024^FE_ESTIMATE(EPS,MEAN,QUARTERLY_ROLL,2022/2F,45595,,,'')&lt;/Q&gt;&lt;R&gt;1&lt;/R&gt;&lt;C&gt;1&lt;/C&gt;&lt;D xsi:type="xsd:double"&gt;2.48&lt;/D&gt;&lt;/FQL&gt;&lt;FQL&gt;&lt;Q&gt;Ticker0024^FE_ESTIMATE(EPS,MEAN,QUARTERLY_ROLL,2022/1F,45595,,,'')&lt;/Q&gt;&lt;R&gt;1&lt;/R&gt;&lt;C&gt;1&lt;/C&gt;&lt;D xsi:type="xsd:double"&gt;2.27&lt;/D&gt;&lt;/FQL&gt;&lt;FQL&gt;&lt;Q&gt;Ticker0024^FE_ESTIMATE(EPS,MEAN,ANNUAL_ROLL,2021,45595,,,'')&lt;/Q&gt;&lt;R&gt;1&lt;/R&gt;&lt;C&gt;1&lt;/C&gt;&lt;D xsi:type="xsd:double"&gt;7.97&lt;/D&gt;&lt;/FQL&gt;&lt;FQL&gt;&lt;Q&gt;Ticker0024^FE_ESTIMATE(EPS,MEAN,QUARTERLY_ROLL,2021/4F,45595,,,'')&lt;/Q&gt;&lt;R&gt;1&lt;/R&gt;&lt;C&gt;1&lt;/C&gt;&lt;D xsi:type="xsd:double"&gt;2.17&lt;/D&gt;&lt;/FQL&gt;&lt;FQL&gt;&lt;Q&gt;Ticker0024^FE_ESTIMATE(EPS,MEAN,QUARTERLY_ROLL,2021/3F,45595,,,'')&lt;/Q&gt;&lt;R&gt;1&lt;/R&gt;&lt;C&gt;1&lt;/C&gt;&lt;D xsi:type="xsd:double"&gt;1.95&lt;/D&gt;&lt;/FQL&gt;&lt;FQL&gt;&lt;Q&gt;Ticker0024^FE_ESTIMATE(EPS,MEAN,QUARTERLY_ROLL,2021/2F,45595,,,'')&lt;/Q&gt;&lt;R&gt;1&lt;/R&gt;&lt;C&gt;1&lt;/C&gt;&lt;D xsi:type="xsd:double"&gt;2.03&lt;/D&gt;&lt;/FQL&gt;&lt;FQL&gt;&lt;Q&gt;Ticker0024^FE_ESTIMATE(EPS,MEAN,QUARTERLY_ROLL,2021/1F,45595,,,'')&lt;/Q&gt;&lt;R&gt;1&lt;/R&gt;&lt;C&gt;1&lt;/C&gt;&lt;D xsi:type="xsd:double"&gt;1.82&lt;/D&gt;&lt;/FQL&gt;&lt;FQL&gt;&lt;Q&gt;Ticker0024^FE_ESTIMATE(EPS,MEAN,ANNUAL_ROLL,2020,45595,,,'')&lt;/Q&gt;&lt;R&gt;1&lt;/R&gt;&lt;C&gt;1&lt;/C&gt;&lt;D xsi:type="xsd:double"&gt;5.76&lt;/D&gt;&lt;/FQL&gt;&lt;FQL&gt;&lt;Q&gt;Ticker0024^FE_ESTIMATE(EPS,MEAN,QUARTERLY_ROLL,2020/4F,45595,,,'')&lt;/Q&gt;&lt;R&gt;1&lt;/R&gt;&lt;C&gt;1&lt;/C&gt;&lt;D xsi:type="xsd:double"&gt;1.46&lt;/D&gt;&lt;/FQL&gt;&lt;FQL&gt;&lt;Q&gt;Ticker0024^FE_ESTIMATE(EPS,MEAN,QUARTERLY_ROLL,2020/3F,45595,,,'')&lt;/Q&gt;&lt;R&gt;1&lt;/R&gt;&lt;C&gt;1&lt;/C&gt;&lt;D xsi:type="xsd:double"&gt;1.4&lt;/D&gt;&lt;/FQL&gt;&lt;FQL&gt;&lt;Q&gt;Ticker0024^FE_ESTIMATE(EPS,MEAN,QUARTERLY_ROLL,2020/2F,45595,,,'')&lt;/Q&gt;&lt;R&gt;1&lt;/R&gt;&lt;C&gt;1&lt;/C&gt;&lt;D xsi:type="xsd:double"&gt;1.51&lt;/D&gt;&lt;/FQL&gt;&lt;FQL&gt;&lt;Q&gt;Ticker0024^FE_ESTIMATE(EPS,MEAN,QUARTERLY_ROLL,2020/1F,45595,,,'')&lt;/Q&gt;&lt;R&gt;1&lt;/R&gt;&lt;C&gt;1&lt;/C&gt;&lt;D xsi:type="xsd:double"&gt;1.38&lt;/D&gt;&lt;/FQL&gt;&lt;FQL&gt;&lt;Q&gt;Ticker0024^FE_ESTIMATE(EPS,MEAN,ANNUAL_ROLL,2019,45595,,,'')&lt;/Q&gt;&lt;R&gt;1&lt;/R&gt;&lt;C&gt;1&lt;/C&gt;&lt;D xsi:type="xsd:double"&gt;4.75&lt;/D&gt;&lt;/FQL&gt;&lt;FQL&gt;&lt;Q&gt;Ticker0024^FE_ESTIMATE(EPS,MEAN,QUARTERLY_ROLL,2019/4F,45595,,,'')&lt;/Q&gt;&lt;R&gt;1&lt;/R&gt;&lt;C&gt;1&lt;/C&gt;&lt;D xsi:type="xsd:double"&gt;1.37&lt;/D&gt;&lt;/FQL&gt;&lt;FQL&gt;&lt;Q&gt;Ticker0024^FE_ESTIMATE(EPS,MEAN,QUARTERLY_ROLL,2019/3F,45595,,,'')&lt;/Q&gt;&lt;R&gt;1&lt;/R&gt;&lt;C&gt;1&lt;/C&gt;&lt;D xsi:type="xsd:double"&gt;1.14&lt;/D&gt;&lt;/FQL&gt;&lt;FQL&gt;&lt;Q&gt;Ticker0024^FE_ESTIMATE(EPS,MEAN,QUARTERLY_ROLL,2019/2F,45595,,,'')&lt;/Q&gt;&lt;R&gt;1&lt;/R&gt;&lt;C&gt;1&lt;/C&gt;&lt;D xsi:type="xsd:double"&gt;1.1&lt;/D&gt;&lt;/FQL&gt;&lt;FQL&gt;&lt;Q&gt;Ticker0024^FE_ESTIMATE(EPS,MEAN,QUARTERLY_ROLL,2019/1F,45595,,,'')&lt;/Q&gt;&lt;R&gt;1&lt;/R&gt;&lt;C&gt;1&lt;/C&gt;&lt;D xsi:type="xsd:double"&gt;1.14&lt;/D&gt;&lt;/FQL&gt;&lt;FQL&gt;&lt;Q&gt;Ticker0024^FE_ESTIMATE(EPS,MEAN,ANNUAL_ROLL,2018,45595,,,'')&lt;/Q&gt;&lt;R&gt;1&lt;/R&gt;&lt;C&gt;1&lt;/C&gt;&lt;D xsi:type="xsd:double"&gt;3.88&lt;/D&gt;&lt;/FQL&gt;&lt;FQL&gt;&lt;Q&gt;Ticker0024^FE_ESTIMATE(EPS,MEAN,QUARTERLY_ROLL,2018/4F,45595,,,'')&lt;/Q&gt;&lt;R&gt;1&lt;/R&gt;&lt;C&gt;1&lt;/C&gt;&lt;D xsi:type="xsd:double"&gt;1.13&lt;/D&gt;&lt;/FQL&gt;&lt;FQL&gt;&lt;Q&gt;Ticker0024^FE_ESTIMATE(EPS,MEAN,QUARTERLY_ROLL,2018/3F,45595,,,'')&lt;/Q&gt;&lt;R&gt;1&lt;/R&gt;&lt;C&gt;1&lt;/C&gt;&lt;D xsi:type="xsd:double"&gt;0.95&lt;/D&gt;&lt;/FQL&gt;&lt;FQL&gt;&lt;Q&gt;Ticker0024^FE_ESTIMATE(EPS,MEAN,QUARTERLY_ROLL,2018/2F,45595,,,'')&lt;/Q&gt;&lt;R&gt;1&lt;/R&gt;&lt;C&gt;1&lt;/C&gt;&lt;D xsi:type="xsd:double"&gt;0.96&lt;/D&gt;&lt;/FQL&gt;&lt;FQL&gt;&lt;Q&gt;Ticker0024^FE_ESTIMATE(EPS,MEAN,QUARTERLY_ROLL,2018/1F,45595,,,'')&lt;/Q&gt;&lt;R&gt;1&lt;/R&gt;&lt;C&gt;1&lt;/C&gt;&lt;D xsi:type="xsd:double"&gt;0.84&lt;/D&gt;&lt;/FQL&gt;&lt;FQL&gt;&lt;Q&gt;Ticker0024^FE_ESTIMATE(EPS,MEAN,ANNUAL_ROLL,2017,45595,,,'')&lt;/Q&gt;&lt;R&gt;1&lt;/R&gt;&lt;C&gt;1&lt;/C&gt;&lt;D xsi:type="xsd:double"&gt;3.31&lt;/D&gt;&lt;/FQL&gt;&lt;FQL&gt;&lt;Q&gt;Ticker0024^FE_ESTIMATE(EPS,MEAN,QUARTERLY_ROLL,2017/4F,45595,,,'')&lt;/Q&gt;&lt;R&gt;1&lt;/R&gt;&lt;C&gt;1&lt;/C&gt;&lt;D xsi:type="xsd:double"&gt;0.98&lt;/D&gt;&lt;/FQL&gt;&lt;FQL&gt;&lt;Q&gt;Ticker0024^FE_ESTIMATE(EPS,MEAN,QUARTERLY_ROLL,2017/3F,45595,,,'')&lt;/Q&gt;&lt;R&gt;1&lt;/R&gt;&lt;C&gt;1&lt;/C&gt;&lt;D xsi:type="xsd:double"&gt;0.73&lt;/D&gt;&lt;/FQL&gt;&lt;FQL&gt;&lt;Q&gt;Ticker0024^FE_ESTIMATE(EPS,MEAN,QUARTERLY_ROLL,2017/2F,45595,,,'')&lt;/Q&gt;&lt;R&gt;1&lt;/R&gt;&lt;C&gt;1&lt;/C&gt;&lt;D xsi:type="xsd:double"&gt;0.83&lt;/D&gt;&lt;/FQL&gt;&lt;FQL&gt;&lt;Q&gt;Ticker0024^FE_ESTIMATE(EPS,MEAN,QUARTERLY_ROLL,2017/1F,45595,,,'')&lt;/Q&gt;&lt;R&gt;1&lt;/R&gt;&lt;C&gt;1&lt;/C&gt;&lt;D xsi:type="xsd:double"&gt;0.76&lt;/D&gt;&lt;/FQL&gt;&lt;FQL&gt;&lt;Q&gt;Ticker0024^FE_ESTIMATE(EPS,MEAN,ANNUAL_ROLL,2016,45595,,,'')&lt;/Q&gt;&lt;R&gt;1&lt;/R&gt;&lt;C&gt;1&lt;/C&gt;&lt;D xsi:type="xsd:double"&gt;2.79&lt;/D&gt;&lt;/FQL&gt;&lt;FQL&gt;&lt;Q&gt;Ticker0024^FE_ESTIMATE(EPS,MEAN,QUARTERLY_ROLL,2016/4F,45595,,,'')&lt;/Q&gt;&lt;R&gt;1&lt;/R&gt;&lt;C&gt;1&lt;/C&gt;&lt;D xsi:type="xsd:double"&gt;0.69&lt;/D&gt;&lt;/FQL&gt;&lt;FQL&gt;&lt;Q&gt;Ticker0024^FE_ESTIMATE(EPS,MEAN,QUARTERLY_ROLL,2016/3F,45595,,,'')&lt;/Q&gt;&lt;R&gt;1&lt;/R&gt;&lt;C&gt;1&lt;/C&gt;&lt;D xsi:type="xsd:double"&gt;0.62&lt;/D&gt;&lt;/FQL&gt;&lt;FQL&gt;&lt;Q&gt;Ticker0024^FE_ESTIMATE(EPS,MEAN,QUARTERLY_ROLL,2016/2F,45595,,,'')&lt;/Q&gt;&lt;R&gt;1&lt;/R&gt;&lt;C&gt;1&lt;/C&gt;&lt;D xsi:type="xsd:double"&gt;0.78&lt;/D&gt;&lt;/FQL&gt;&lt;FQL&gt;&lt;Q&gt;Ticker0024^FE_ESTIMATE(EPS,MEAN,QUARTERLY_ROLL,2016/1F,45595,,,'')&lt;/Q&gt;&lt;R&gt;1&lt;/R&gt;&lt;C&gt;1&lt;/C&gt;&lt;D xsi:type="xsd:double"&gt;0.67&lt;/D&gt;&lt;/FQL&gt;&lt;FQL&gt;&lt;Q&gt;Ticker0024^FE_ESTIMATE(EPS,MEAN,ANNUAL_ROLL,2015,45595,,,'')&lt;/Q&gt;&lt;R&gt;1&lt;/R&gt;&lt;C&gt;1&lt;/C&gt;&lt;D xsi:type="xsd:double"&gt;2.63&lt;/D&gt;&lt;/FQL&gt;&lt;FQL&gt;&lt;Q&gt;Ticker0024^FE_ESTIMATE(EPS,MEAN,QUARTERLY_ROLL,2015/4F,45595,,,'')&lt;/Q&gt;&lt;R&gt;1&lt;/R&gt;&lt;C&gt;1&lt;/C&gt;&lt;D xsi:type="xsd:double"&gt;0.62&lt;/D&gt;&lt;/FQL&gt;&lt;FQL&gt;&lt;Q&gt;Ticker0024^FE_ESTIMATE(EPS,MEAN,QUARTERLY_ROLL,2015/3F,45595,,,'')&lt;/Q&gt;&lt;R&gt;1&lt;/R&gt;&lt;C&gt;1&lt;/C&gt;&lt;D xsi:type="xsd:double"&gt;0.61&lt;/D&gt;&lt;/FQL&gt;&lt;FQL&gt;&lt;Q&gt;Ticker0024^FE_ESTIMATE(EPS,MEAN,QUARTERLY_ROLL,2015/2F,45595,,,'')&lt;/Q&gt;&lt;R&gt;1&lt;/R&gt;&lt;C&gt;1&lt;/C&gt;&lt;D xsi:type="xsd:double"&gt;0.71&lt;/D&gt;&lt;/FQL&gt;&lt;FQL&gt;&lt;Q&gt;Ticker0024^FE_ESTIMATE(EPS,MEAN,QUARTERLY_ROLL,2015/1F,45595,,,'')&lt;/Q&gt;&lt;R&gt;1&lt;/R&gt;&lt;C&gt;1&lt;/C&gt;&lt;D xsi:type="xsd:double"&gt;0.54&lt;/D&gt;&lt;/FQL&gt;&lt;FQL&gt;&lt;Q&gt;Ticker0024^FE_ESTIMATE(EAG,MEAN,ANNUAL_ROLL,2030,45595,,,'')&lt;/Q&gt;&lt;R&gt;0&lt;/R&gt;&lt;C&gt;0&lt;/C&gt;&lt;/FQL&gt;&lt;FQL&gt;&lt;Q&gt;Ticker0024^FE_ESTIMATE(EAG,MEAN,QUARTERLY_ROLL,2030/4F,45595,,,'')&lt;/Q&gt;&lt;R&gt;0&lt;/R&gt;&lt;C&gt;0&lt;/C&gt;&lt;/FQL&gt;&lt;FQL&gt;&lt;Q&gt;Ticker0024^FE_ESTIMATE(EAG,MEAN,QUARTERLY_ROLL,2030/3F,45595,,,'')&lt;/Q&gt;&lt;R&gt;0&lt;/R&gt;&lt;C</t>
        </r>
      </text>
    </comment>
    <comment ref="A4" authorId="0" shapeId="0" xr:uid="{A2883E09-89CD-4AA1-AB4B-BC740B69C0AB}">
      <text>
        <r>
          <rPr>
            <b/>
            <sz val="9"/>
            <color indexed="81"/>
            <rFont val="Tahoma"/>
            <family val="2"/>
          </rPr>
          <t>&gt;0&lt;/C&gt;&lt;/FQL&gt;&lt;FQL&gt;&lt;Q&gt;Ticker0024^FE_ESTIMATE(EAG,MEAN,QUARTERLY_ROLL,2030/2F,45595,,,'')&lt;/Q&gt;&lt;R&gt;0&lt;/R&gt;&lt;C&gt;0&lt;/C&gt;&lt;/FQL&gt;&lt;FQL&gt;&lt;Q&gt;Ticker0024^FE_ESTIMATE(EAG,MEAN,QUARTERLY_ROLL,2030/1F,45595,,,'')&lt;/Q&gt;&lt;R&gt;0&lt;/R&gt;&lt;C&gt;0&lt;/C&gt;&lt;/FQL&gt;&lt;FQL&gt;&lt;Q&gt;Ticker0024^FE_ESTIMATE(EAG,MEAN,ANNUAL_ROLL,2029,45595,,,'')&lt;/Q&gt;&lt;R&gt;0&lt;/R&gt;&lt;C&gt;0&lt;/C&gt;&lt;/FQL&gt;&lt;FQL&gt;&lt;Q&gt;Ticker0024^FE_ESTIMATE(EAG,MEAN,QUARTERLY_ROLL,2029/4F,45595,,,'')&lt;/Q&gt;&lt;R&gt;0&lt;/R&gt;&lt;C&gt;0&lt;/C&gt;&lt;/FQL&gt;&lt;FQL&gt;&lt;Q&gt;Ticker0024^FE_ESTIMATE(EAG,MEAN,QUARTERLY_ROLL,2029/3F,45595,,,'')&lt;/Q&gt;&lt;R&gt;0&lt;/R&gt;&lt;C&gt;0&lt;/C&gt;&lt;/FQL&gt;&lt;FQL&gt;&lt;Q&gt;Ticker0024^FE_ESTIMATE(EAG,MEAN,QUARTERLY_ROLL,2029/2F,45595,,,'')&lt;/Q&gt;&lt;R&gt;0&lt;/R&gt;&lt;C&gt;0&lt;/C&gt;&lt;/FQL&gt;&lt;FQL&gt;&lt;Q&gt;Ticker0024^FE_ESTIMATE(EAG,MEAN,QUARTERLY_ROLL,2029/1F,45595,,,'')&lt;/Q&gt;&lt;R&gt;0&lt;/R&gt;&lt;C&gt;0&lt;/C&gt;&lt;/FQL&gt;&lt;FQL&gt;&lt;Q&gt;Ticker0024^FE_ESTIMATE(EAG,MEAN,ANNUAL_ROLL,2028,45595,,,'')&lt;/Q&gt;&lt;R&gt;1&lt;/R&gt;&lt;C&gt;1&lt;/C&gt;&lt;D xsi:type="xsd:double"&gt;21.037376&lt;/D&gt;&lt;/FQL&gt;&lt;FQL&gt;&lt;Q&gt;Ticker0024^FE_ESTIMATE(EAG,MEAN,QUARTERLY_ROLL,2028/4F,45595,,,'')&lt;/Q&gt;&lt;R&gt;0&lt;/R&gt;&lt;C&gt;0&lt;/C&gt;&lt;/FQL&gt;&lt;FQL&gt;&lt;Q&gt;Ticker0024^FE_ESTIMATE(EAG,MEAN,QUARTERLY_ROLL,2028/3F,45595,,,'')&lt;/Q&gt;&lt;R&gt;0&lt;/R&gt;&lt;C&gt;0&lt;/C&gt;&lt;/FQL&gt;&lt;FQL&gt;&lt;Q&gt;Ticker0024^FE_ESTIMATE(EAG,MEAN,QUARTERLY_ROLL,2028/2F,45595,,,'')&lt;/Q&gt;&lt;R&gt;0&lt;/R&gt;&lt;C&gt;0&lt;/C&gt;&lt;/FQL&gt;&lt;FQL&gt;&lt;Q&gt;Ticker0024^FE_ESTIMATE(EAG,MEAN,QUARTERLY_ROLL,2028/1F,45595,,,'')&lt;/Q&gt;&lt;R&gt;0&lt;/R&gt;&lt;C&gt;0&lt;/C&gt;&lt;/FQL&gt;&lt;FQL&gt;&lt;Q&gt;Ticker0024^FE_ESTIMATE(EAG,MEAN,ANNUAL_ROLL,2027,45595,,,'')&lt;/Q&gt;&lt;R&gt;1&lt;/R&gt;&lt;C&gt;1&lt;/C&gt;&lt;D xsi:type="xsd:double"&gt;18.140785&lt;/D&gt;&lt;/FQL&gt;&lt;FQL&gt;&lt;Q&gt;Ticker0024^FE_ESTIMATE(EAG,MEAN,QUARTERLY_ROLL,2027/4F,45595,,,'')&lt;/Q&gt;&lt;R&gt;1&lt;/R&gt;&lt;C&gt;1&lt;/C&gt;&lt;D xsi:type="xsd:double"&gt;4.663025&lt;/D&gt;&lt;/FQL&gt;&lt;FQL&gt;&lt;Q&gt;Ticker0024^FE_ESTIMATE(EAG,MEAN,QUARTERLY_ROLL,2027/3F,45595,,,'')&lt;/Q&gt;&lt;R&gt;1&lt;/R&gt;&lt;C&gt;1&lt;/C&gt;&lt;D xsi:type="xsd:double"&gt;4.351165&lt;/D&gt;&lt;/FQL&gt;&lt;FQL&gt;&lt;Q&gt;Ticker0024^FE_ESTIMATE(EAG,MEAN,QUARTERLY_ROLL,2027/2F,45595,,,'')&lt;/Q&gt;&lt;R&gt;1&lt;/R&gt;&lt;C&gt;1&lt;/C&gt;&lt;D xsi:type="xsd:double"&gt;4.4001846&lt;/D&gt;&lt;/FQL&gt;&lt;FQL&gt;&lt;Q&gt;Ticker0024^FE_ESTIMATE(EAG,MEAN,QUARTERLY_ROLL,2027/1F,45595,,,'')&lt;/Q&gt;&lt;R&gt;1&lt;/R&gt;&lt;C&gt;1&lt;/C&gt;&lt;D xsi:type="xsd:double"&gt;4.184635&lt;/D&gt;&lt;/FQL&gt;&lt;FQL&gt;&lt;Q&gt;Ticker0024^FE_ESTIMATE(EAG,MEAN,ANNUAL_ROLL,2026,45595,,,'')&lt;/Q&gt;&lt;R&gt;1&lt;/R&gt;&lt;C&gt;1&lt;/C&gt;&lt;D xsi:type="xsd:double"&gt;15.318306&lt;/D&gt;&lt;/FQL&gt;&lt;FQL&gt;&lt;Q&gt;Ticker0024^FE_ESTIMATE(EAG,MEAN,QUARTERLY_ROLL,2026/4F,45595,,,'')&lt;/Q&gt;&lt;R&gt;1&lt;/R&gt;&lt;C&gt;1&lt;/C&gt;&lt;D xsi:type="xsd:double"&gt;3.9605289&lt;/D&gt;&lt;/FQL&gt;&lt;FQL&gt;&lt;Q&gt;Ticker0024^FE_ESTIMATE(EAG,MEAN,QUARTERLY_ROLL,2026/3F,45595,,,'')&lt;/Q&gt;&lt;R&gt;1&lt;/R&gt;&lt;C&gt;1&lt;/C&gt;&lt;D xsi:type="xsd:double"&gt;3.7398965&lt;/D&gt;&lt;/FQL&gt;&lt;FQL&gt;&lt;Q&gt;Ticker0024^FE_ESTIMATE(EAG,MEAN,QUARTERLY_ROLL,2026/2F,45595,,,'')&lt;/Q&gt;&lt;R&gt;1&lt;/R&gt;&lt;C&gt;1&lt;/C&gt;&lt;D xsi:type="xsd:double"&gt;3.70495&lt;/D&gt;&lt;/FQL&gt;&lt;FQL&gt;&lt;Q&gt;Ticker0024^FE_ESTIMATE(EAG,MEAN,QUARTERLY_ROLL,2026/1F,45595,,,'')&lt;/Q&gt;&lt;R&gt;1&lt;/R&gt;&lt;C&gt;1&lt;/C&gt;&lt;D xsi:type="xsd:double"&gt;3.531588&lt;/D&gt;&lt;/FQL&gt;&lt;FQL&gt;&lt;Q&gt;Ticker0024^FE_ESTIMATE(EAG,MEAN,ANNUAL_ROLL,2025,45595,,,'')&lt;/Q&gt;&lt;R&gt;1&lt;/R&gt;&lt;C&gt;1&lt;/C&gt;&lt;D xsi:type="xsd:double"&gt;13.172687&lt;/D&gt;&lt;/FQL&gt;&lt;FQL&gt;&lt;Q&gt;Ticker0024^FE_ESTIMATE(EAG,MEAN,QUARTERLY_ROLL,2025/4F,45595,,,'')&lt;/Q&gt;&lt;R&gt;1&lt;/R&gt;&lt;C&gt;1&lt;/C&gt;&lt;D xsi:type="xsd:double"&gt;3.435247&lt;/D&gt;&lt;/FQL&gt;&lt;FQL&gt;&lt;Q&gt;Ticker0024^FE_ESTIMATE(EAG,MEAN,QUARTERLY_ROLL,2025/3F,45595,,,'')&lt;/Q&gt;&lt;R&gt;1&lt;/R&gt;&lt;C&gt;1&lt;/C&gt;&lt;D xsi:type="xsd:double"&gt;3.2913413&lt;/D&gt;&lt;/FQL&gt;&lt;FQL&gt;&lt;Q&gt;Ticker0024^FE_ESTIMATE(EAG,MEAN,QUARTERLY_ROLL,2025/2F,45595,,,'')&lt;/Q&gt;&lt;R&gt;1&lt;/R&gt;&lt;C&gt;1&lt;/C&gt;&lt;D xsi:type="xsd:double"&gt;3.2483659&lt;/D&gt;&lt;/FQL&gt;&lt;FQL&gt;&lt;Q&gt;Ticker0024^FE_ESTIMATE(EAG,MEAN,QUARTERLY_ROLL,2025/1F,45595,,,'')&lt;/Q&gt;&lt;R&gt;1&lt;/R&gt;&lt;C&gt;1&lt;/C&gt;&lt;D xsi:type="xsd:double"&gt;3.1062515&lt;/D&gt;&lt;/FQL&gt;&lt;FQL&gt;&lt;Q&gt;Ticker0024^FE_ESTIMATE(EAG,MEAN,ANNUAL_ROLL,2024,45595,,,'')&lt;/Q&gt;&lt;R&gt;1&lt;/R&gt;&lt;C&gt;1&lt;/C&gt;&lt;D xsi:type="xsd:double"&gt;11.8&lt;/D&gt;&lt;/FQL&gt;&lt;FQL&gt;&lt;Q&gt;Ticker0024^FE_ESTIMATE(EAG,MEAN,QUARTERLY_ROLL,2024/4F,45595,,,'')&lt;/Q&gt;&lt;R&gt;1&lt;/R&gt;&lt;C&gt;1&lt;/C&gt;&lt;D xsi:type="xsd:double"&gt;2.95&lt;/D&gt;&lt;/FQL&gt;&lt;FQL&gt;&lt;Q&gt;Ticker0024^FE_ESTIMATE(EAG,MEAN,QUARTERLY_ROLL,2024/3F,45595,,,'')&lt;/Q&gt;&lt;R&gt;1&lt;/R&gt;&lt;C&gt;1&lt;/C&gt;&lt;D xsi:type="xsd:double"&gt;2.94&lt;/D&gt;&lt;/FQL&gt;&lt;FQL&gt;&lt;Q&gt;Ticker0024^FE_ESTIMATE(EAG,MEAN,QUARTERLY_ROLL,2024/2F,45595,,,'')&lt;/Q&gt;&lt;R&gt;1&lt;/R&gt;&lt;C&gt;1&lt;/C&gt;&lt;D xsi:type="xsd:double"&gt;2.93&lt;/D&gt;&lt;/FQL&gt;&lt;FQL&gt;&lt;Q&gt;Ticker0024^FE_ESTIMATE(EAG,MEAN,QUARTERLY_ROLL,2024/1F,45595,,,'')&lt;/Q&gt;&lt;R&gt;1&lt;/R&gt;&lt;C&gt;1&lt;/C&gt;&lt;D xsi:type="xsd:double"&gt;2.99&lt;/D&gt;&lt;/FQL&gt;&lt;FQL&gt;&lt;Q&gt;Ticker0024^FE_ESTIMATE(EAG,MEAN,ANNUAL_ROLL,2023,45595,,,'')&lt;/Q&gt;&lt;R&gt;1&lt;/R&gt;&lt;C&gt;1&lt;/C&gt;&lt;D xsi:type="xsd:double"&gt;9.68&lt;/D&gt;&lt;/FQL&gt;&lt;FQL&gt;&lt;Q&gt;Ticker0024^FE_ESTIMATE(EAG,MEAN,QUARTERLY_ROLL,2023/4F,45595,,,'')&lt;/Q&gt;&lt;R&gt;1&lt;/R&gt;&lt;C&gt;1&lt;/C&gt;&lt;D xsi:type="xsd:double"&gt;2.69&lt;/D&gt;&lt;/FQL&gt;&lt;FQL&gt;&lt;Q&gt;Ticker0024^FE_ESTIMATE(EAG,MEAN,QUARTERLY_ROLL,2023/3F,45595,,,'')&lt;/Q&gt;&lt;R&gt;1&lt;/R&gt;&lt;C&gt;1&lt;/C&gt;&lt;D xsi:type="xsd:double"&gt;2.4501362&lt;/D&gt;&lt;/FQL&gt;&lt;FQL&gt;&lt;Q&gt;Ticker0024^FE_ESTIMATE(EAG,MEAN,QUARTERLY_ROLL,2023/2F,45595,,,'')&lt;/Q&gt;&lt;R&gt;1&lt;/R&gt;&lt;C&gt;1&lt;/C&gt;&lt;D xsi:type="xsd:double"&gt;2.2&lt;/D&gt;&lt;/FQL&gt;&lt;FQL&gt;&lt;Q&gt;Ticker0024^FE_ESTIMATE(EAG,MEAN,QUARTERLY_ROLL,2023/1F,45595,,,'')&lt;/Q&gt;&lt;R&gt;1&lt;/R&gt;&lt;C&gt;1&lt;/C&gt;&lt;D xsi:type="xsd:double"&gt;2.35&lt;/D&gt;&lt;/FQL&gt;&lt;FQL&gt;&lt;Q&gt;Ticker0024^FE_ESTIMATE(EAG,MEAN,ANNUAL_ROLL,2022,45595,,,'')&lt;/Q&gt;&lt;R&gt;1&lt;/R&gt;&lt;C&gt;1&lt;/C&gt;&lt;D xsi:type="xsd:double"&gt;9.65&lt;/D&gt;&lt;/FQL&gt;&lt;FQL&gt;&lt;Q&gt;Ticker0024^FE_ESTIMATE(EAG,MEAN,QUARTERLY_ROLL,2022/4F,45595,,,'')&lt;/Q&gt;&lt;R&gt;1&lt;/R&gt;&lt;C&gt;1&lt;/C&gt;&lt;D xsi:type="xsd:double"&gt;2.23&lt;/D&gt;&lt;/FQL&gt;&lt;FQL&gt;&lt;Q&gt;Ticker0024^FE_ESTIMATE(EAG,MEAN,QUARTERLY_ROLL,2022/3F,45595,,,'')&lt;/Q&gt;&lt;R&gt;1&lt;/R&gt;&lt;C&gt;1&lt;/C&gt;&lt;D xsi:type="xsd:double"&gt;2.22&lt;/D&gt;&lt;/FQL&gt;&lt;FQL&gt;&lt;Q&gt;Ticker0024^FE_ESTIMATE(EAG,MEAN,QUARTERLY_ROLL,2022/2F,45595,,,'')&lt;/Q&gt;&lt;R&gt;1&lt;/R&gt;&lt;C&gt;1&lt;/C&gt;&lt;D xsi:type="xsd:double"&gt;2.48&lt;/D&gt;&lt;/FQL&gt;&lt;FQL&gt;&lt;Q&gt;Ticker0024^FE_ESTIMATE(EAG,MEAN,QUARTERLY_ROLL,2022/1F,45595,,,'')&lt;/Q&gt;&lt;R&gt;1&lt;/R&gt;&lt;C&gt;1&lt;/C&gt;&lt;D xsi:type="xsd:double"&gt;2.71&lt;/D&gt;&lt;/FQL&gt;&lt;FQL&gt;&lt;Q&gt;Ticker0024^FE_ESTIMATE(EAG,MEAN,ANNUAL_ROLL,2021,45595,,,'')&lt;/Q&gt;&lt;R&gt;1&lt;/R&gt;&lt;C&gt;1&lt;/C&gt;&lt;D xsi:type="xsd:double"&gt;8.05&lt;/D&gt;&lt;/FQL&gt;&lt;FQL&gt;&lt;Q&gt;Ticker0024^FE_ESTIMATE(EAG,MEAN,QUARTERLY_ROLL,2021/4F,45595,,,'')&lt;/Q&gt;&lt;R&gt;1&lt;/R&gt;&lt;C&gt;1&lt;/C&gt;&lt;D xsi:type="xsd:double"&gt;2.17&lt;/D&gt;&lt;/FQL&gt;&lt;FQL&gt;&lt;Q&gt;Ticker0024^FE_ESTIMATE(EAG,MEAN,QUARTERLY_ROLL,2021/3F,45595,,,'')&lt;/Q&gt;&lt;R&gt;1&lt;/R&gt;&lt;C&gt;1&lt;/C&gt;&lt;D xsi:type="xsd:double"&gt;2.03&lt;/D&gt;&lt;/FQL&gt;&lt;FQL&gt;&lt;Q&gt;Ticker0024^FE_ESTIMATE(EAG,MEAN,QUARTERLY_ROLL,2021/2F,45595,,,'')&lt;/Q&gt;&lt;R&gt;1&lt;/R&gt;&lt;C&gt;1&lt;/C&gt;&lt;D xsi:type="xsd:double"&gt;2.03&lt;/D&gt;&lt;/FQL&gt;&lt;FQL&gt;&lt;Q&gt;Ticker0024^FE_ESTIMATE(EAG,MEAN,QUARTERLY_ROLL,2021/1F,45595,,,'')&lt;/Q&gt;&lt;R&gt;1&lt;/R&gt;&lt;C&gt;1&lt;/C&gt;&lt;D xsi:type="xsd:double"&gt;1.82&lt;/D&gt;&lt;/FQL&gt;&lt;FQL&gt;&lt;Q&gt;Ticker0024^FE_ESTIMATE(EAG,MEAN,ANNUAL_ROLL,2020,45595,,,'')&lt;/Q&gt;&lt;R&gt;1&lt;/R&gt;&lt;C&gt;1&lt;/C&gt;&lt;D xsi:type="xsd:double"&gt;5.76&lt;/D&gt;&lt;/FQL&gt;&lt;FQL&gt;&lt;Q&gt;Ticker0024^FE_ESTIMATE(EAG,MEAN,QUARTERLY_ROLL,2020/4F,45595,,,'')&lt;/Q&gt;&lt;R&gt;1&lt;/R&gt;&lt;C&gt;1&lt;/C&gt;&lt;D xsi:type="xsd:double"&gt;1.46&lt;/D&gt;&lt;/FQL&gt;&lt;FQL&gt;&lt;Q&gt;Ticker0024^FE_ESTIMATE(EAG,MEAN,QUARTERLY_ROLL,2020/3F,45595,,,'')&lt;/Q&gt;&lt;R&gt;1&lt;/R&gt;&lt;C&gt;1&lt;/C&gt;&lt;D xsi:type="xsd:double"&gt;1.4&lt;/D&gt;&lt;/FQL&gt;&lt;FQL&gt;&lt;Q&gt;Ticker0024^FE_ESTIMATE(EAG,MEAN,QUARTERLY_ROLL,2020/2F,45595,,,'')&lt;/Q&gt;&lt;R&gt;1&lt;/R&gt;&lt;C&gt;1&lt;/C&gt;&lt;D xsi:type="xsd:double"&gt;1.51&lt;/D&gt;&lt;/FQL&gt;&lt;FQL&gt;&lt;Q&gt;Ticker0024^FE_ESTIMATE(EAG,MEAN,QUARTERLY_ROLL,2020/1F,45595,,,'')&lt;/Q&gt;&lt;R&gt;1&lt;/R&gt;&lt;C&gt;1&lt;/C&gt;&lt;D xsi:type="xsd:double"&gt;1.38&lt;/D&gt;&lt;/FQL&gt;&lt;FQL&gt;&lt;Q&gt;Ticker0024^FE_ESTIMATE(EAG,MEAN,ANNUAL_ROLL,2019,45595,,,'')&lt;/Q&gt;&lt;R&gt;1&lt;/R&gt;&lt;C&gt;1&lt;/C&gt;&lt;D xsi:type="xsd:double"&gt;5.06&lt;/D&gt;&lt;/FQL&gt;&lt;FQL&gt;&lt;Q&gt;Ticker0024^FE_ESTIMATE(EAG,MEAN,QUARTERLY_ROLL,2019/4F,45595,,,'')&lt;/Q&gt;&lt;R&gt;1&lt;/R&gt;&lt;C&gt;1&lt;/C&gt;&lt;D xsi:type="xsd:double"&gt;1.71&lt;/D&gt;&lt;/FQL&gt;&lt;FQL&gt;&lt;Q&gt;Ticker0024^FE_ESTIMATE(EAG,MEAN,QUARTERLY_ROLL,2019/3F,45595,,,'')&lt;/Q&gt;&lt;R&gt;1&lt;/R&gt;&lt;C&gt;1&lt;/C&gt;&lt;D xsi:type="xsd:double"&gt;1.14&lt;/D&gt;&lt;/FQL&gt;&lt;FQL&gt;&lt;Q&gt;Ticker0024^FE_ESTIMATE(EAG,MEAN,QUARTERLY_ROLL,2019/2F,45595,,,'')&lt;/Q&gt;&lt;R&gt;1&lt;/R&gt;&lt;C&gt;1&lt;/C&gt;&lt;D xsi:type="xsd:double"&gt;1.08&lt;/D&gt;&lt;/FQL&gt;&lt;FQL&gt;&lt;Q&gt;Ticker0024^FE_ESTIMATE(EAG,MEAN,QUARTERLY_ROLL,2019/1F,45595,,,'')&lt;/Q&gt;&lt;R&gt;1&lt;/R&gt;&lt;C&gt;1&lt;/C&gt;&lt;D xsi:type="xsd:double"&gt;1.14&lt;/D&gt;&lt;/FQL&gt;&lt;FQL&gt;&lt;Q&gt;Ticker0024^FE_ESTIMATE(EAG,MEAN,ANNUAL_ROLL,2018,45595,,,'')&lt;/Q&gt;&lt;R&gt;1&lt;/R&gt;&lt;C&gt;1&lt;/C&gt;&lt;D xsi:type="xsd:double"&gt;2.13&lt;/D&gt;&lt;/FQL&gt;&lt;FQL&gt;&lt;Q&gt;Ticker0024^FE_ESTIMATE(EAG,MEAN,QUARTERLY_ROLL,2018/4F,45595,,,'')&lt;/Q&gt;&lt;R&gt;1&lt;/R&gt;&lt;C&gt;1&lt;/C&gt;&lt;D xsi:type="xsd:double"&gt;1.14&lt;/D&gt;&lt;/FQL&gt;&lt;FQL&gt;&lt;Q&gt;Ticker0024^FE_ESTIMATE(EAG,MEAN,QUARTERLY_ROLL,2018/3F,45595,,,'')&lt;/Q&gt;&lt;R&gt;1&lt;/R&gt;&lt;C&gt;1&lt;/C&gt;&lt;D xsi:type="xsd:double"&gt;0.9504607&lt;/D&gt;&lt;/FQL&gt;&lt;FQL&gt;&lt;Q&gt;Ticker0024^FE_ESTIMATE(EAG,MEAN,QUARTERLY_ROLL,2018/2F,45595,,,'')&lt;/Q&gt;&lt;R&gt;1&lt;/R&gt;&lt;C&gt;1&lt;/C&gt;&lt;D xsi:type="xsd:double"&gt;-0.82&lt;/D&gt;&lt;/FQL&gt;&lt;FQL&gt;&lt;Q&gt;Ticker0024^FE_ESTIMATE(EAG,MEAN,QUARTERLY_ROLL,2018/1F,45595,,,'')&lt;/Q&gt;&lt;R&gt;1&lt;/R&gt;&lt;C&gt;1&lt;/C&gt;&lt;D xsi:type="xsd:double"&gt;0.84&lt;/D&gt;&lt;/FQL&gt;&lt;FQL&gt;&lt;Q&gt;Ticker0024^FE_ESTIMATE(EAG,MEAN,ANNUAL_ROLL,2017,45595,,,'')&lt;/Q&gt;&lt;R&gt;1&lt;/R&gt;&lt;C&gt;1&lt;/C&gt;&lt;D xsi:type="xsd:double"&gt;2.71&lt;/D&gt;&lt;/FQL&gt;&lt;FQL&gt;&lt;Q&gt;Ticker0024^FE_ESTIMATE(EAG,MEAN,QUARTERLY_ROLL,2017/4F,45595,,,'')&lt;/Q&gt;&lt;R&gt;1&lt;/R&gt;&lt;C&gt;1&lt;/C&gt;&lt;D xsi:type="xsd:double"&gt;0.83&lt;/D&gt;&lt;/FQL&gt;&lt;FQL&gt;&lt;Q&gt;Ticker0024^FE_ESTIMATE(EAG,MEAN,QUARTERLY_ROLL,2017/3F,45595,,,'')&lt;/Q&gt;&lt;R&gt;1&lt;/R&gt;&lt;C&gt;1&lt;/C&gt;&lt;D xsi:type="xsd:double"&gt;0.61&lt;/D&gt;&lt;/FQL&gt;&lt;FQL&gt;&lt;Q&gt;Ticker0024^FE_ESTIMATE(EAG,MEAN,QUARTERLY_ROLL,2017/2F,45595,,,'')&lt;/Q&gt;&lt;R&gt;1&lt;/R&gt;&lt;C&gt;1&lt;/C&gt;&lt;D xsi:type="xsd:double"&gt;0.66&lt;/D&gt;&lt;/FQL&gt;&lt;FQL&gt;&lt;Q&gt;Ticker0024^FE_ESTIMATE(EAG,MEAN,QUARTERLY_ROLL,2017/1F,45595,,,'')&lt;/Q&gt;&lt;R&gt;1&lt;/R&gt;&lt;C&gt;1&lt;/C&gt;&lt;D xsi:type="xsd:double"&gt;0.6&lt;/D&gt;&lt;/FQL&gt;&lt;FQL&gt;&lt;Q&gt;Ticker0024^FE_ESTIMATE(EAG,MEAN,ANNUAL_ROLL,2016,45595,,,'')&lt;/Q&gt;&lt;R&gt;1&lt;/R&gt;&lt;C&gt;1&lt;/C&gt;&lt;D xsi:type="xsd:double"&gt;2.1&lt;/D&gt;&lt;/FQL&gt;&lt;FQL&gt;&lt;Q&gt;Ticker0024^FE_ESTIMATE(EAG,MEAN,QUARTERLY_ROLL,2016/4F,45595,,,'')&lt;/Q&gt;&lt;R&gt;1&lt;/R&gt;&lt;C&gt;1&lt;/C&gt;&lt;D xsi:type="xsd:double"&gt;0.39&lt;/D&gt;&lt;/FQL&gt;&lt;FQL&gt;&lt;Q&gt;Ticker0024^FE_ESTIMATE(EAG,MEAN,QUARTERLY_ROLL,2016/3F,45595,,,'')&lt;/Q&gt;&lt;R&gt;1&lt;/R&gt;&lt;C&gt;1&lt;/C&gt;&lt;D xsi:type="xsd:double"&gt;0.47&lt;/D&gt;&lt;/FQL&gt;&lt;FQL&gt;&lt;Q&gt;Ticker0024^FE_ESTIMATE(EAG,MEAN,QUARTERLY_ROLL,2016/2F,45595,,,'')&lt;/Q&gt;&lt;R&gt;1&lt;/R&gt;&lt;C&gt;1&lt;/C&gt;&lt;D xsi:type="xsd:double"&gt;0.62&lt;/D&gt;&lt;/FQL&gt;&lt;FQL&gt;&lt;Q&gt;Ticker0024^FE_ESTIMATE(EAG,MEAN,QUARTERLY_ROLL,2016/1F,45595,,,'')&lt;/Q&gt;&lt;R&gt;1&lt;/R&gt;&lt;C&gt;1&lt;/C&gt;&lt;D xsi:type="xsd:double"&gt;0.57&lt;/D&gt;&lt;/FQL&gt;&lt;FQL&gt;&lt;Q&gt;Ticker0024^FE_ESTIMATE(EAG,MEAN,ANNUAL_ROLL,2015,45595,,,'')&lt;/Q&gt;&lt;R&gt;1&lt;/R&gt;&lt;C&gt;1&lt;/C&gt;&lt;D xsi:type="xsd:double"&gt;1.48&lt;/D&gt;&lt;/FQL&gt;&lt;FQL&gt;&lt;Q&gt;Ticker0024^FE_ESTIMATE(EAG,MEAN,QUARTERLY_ROLL,2015/4F,45595,,,'')&lt;/Q&gt;&lt;R&gt;1&lt;/R&gt;&lt;C&gt;1&lt;/C&gt;&lt;D xsi:type="xsd:double"&gt;-0.4&lt;/D&gt;&lt;/FQL&gt;&lt;FQL&gt;&lt;Q&gt;Ticker0024^FE_ESTIMATE(EAG,MEAN,QUARTERLY_ROLL,2015/3F,45595,,,'')&lt;/Q&gt;&lt;R&gt;1&lt;/R&gt;&lt;C&gt;1&lt;/C&gt;&lt;D xsi:type="xsd:double"&gt;0.61&lt;/D&gt;&lt;/FQL&gt;&lt;FQL&gt;&lt;Q&gt;Ticker0024^FE_ESTIMATE(EAG,MEAN,QUARTERLY_ROLL,2015/2F,45595,,,'')&lt;/Q&gt;&lt;R&gt;1&lt;/R&gt;&lt;C&gt;1&lt;/C&gt;&lt;D xsi:type="xsd:double"&gt;0.71&lt;/D&gt;&lt;/FQL&gt;&lt;FQL&gt;&lt;Q&gt;Ticker0024^FE_ESTIMATE(EAG,MEAN,QUARTERLY_ROLL,2015/1F,45595,,,'')&lt;/Q&gt;&lt;R&gt;1&lt;/R&gt;&lt;C&gt;1&lt;/C&gt;&lt;D xsi:type="xsd:double"&gt;0.54&lt;/D&gt;&lt;/FQL&gt;&lt;FQL&gt;&lt;Q&gt;Ticker0024^FE_ESTIMATE(EBIT,MEAN,ANNUAL_ROLL,2030,45595,,,'')&lt;/Q&gt;&lt;R&gt;0&lt;/R&gt;&lt;C&gt;0&lt;/C&gt;&lt;/FQL&gt;&lt;FQL&gt;&lt;Q&gt;Ticker0024^FE_ESTIMATE(EBIT,MEAN,QUARTERLY_ROLL,2030/4F,45595,,,'')&lt;/Q&gt;&lt;R&gt;0&lt;/R&gt;&lt;C&gt;0&lt;/C&gt;&lt;/FQL&gt;&lt;FQL&gt;&lt;Q&gt;Ticker0024^FE_ESTIMATE(EBIT,MEAN,QUARTERLY_ROLL,2030/3F,45595,,,'')&lt;/Q&gt;&lt;R&gt;0&lt;/R&gt;&lt;C&gt;0&lt;/C&gt;&lt;/FQL&gt;&lt;FQL&gt;&lt;Q&gt;Ticker0024^FE_ESTIMATE(EBIT,MEAN,QUARTERLY_ROLL,2030/2F,45595,,,'')&lt;/Q&gt;&lt;R&gt;0&lt;/R&gt;&lt;C&gt;0&lt;/C&gt;&lt;/FQL&gt;&lt;FQL&gt;&lt;Q&gt;Ticker0024^FE_ESTIMATE(EBIT,MEAN,QUARTERLY_ROLL,2030/1F,45595,,,'')&lt;/Q&gt;&lt;R&gt;0&lt;/R&gt;&lt;C&gt;0&lt;/C&gt;&lt;/FQL&gt;&lt;FQL&gt;&lt;Q&gt;Ticker0024^FE_ESTIMATE(EBIT,MEAN,ANNUAL_ROLL,2029,45595,,,'')&lt;/Q&gt;&lt;R&gt;1&lt;/R&gt;&lt;C&gt;1&lt;/C&gt;&lt;D xsi:type="xsd:double"&gt;212495.4&lt;/D&gt;&lt;/FQL&gt;&lt;FQL&gt;&lt;Q&gt;Ticker0024^FE_ESTIMATE(EBIT,MEAN,QUARTERLY_ROLL,2029/4F,45595,,,'')&lt;/Q&gt;&lt;R&gt;0&lt;/R&gt;&lt;C&gt;0&lt;/C&gt;&lt;/FQL&gt;&lt;FQL&gt;&lt;Q&gt;Ticker0024^FE_ESTIMATE(EBIT,MEAN,QUARTERLY_ROLL,2029/3F,45595,,,'')&lt;/Q&gt;&lt;R&gt;0&lt;/R&gt;&lt;C&gt;0&lt;/C&gt;&lt;/FQL&gt;&lt;FQL&gt;&lt;Q&gt;Ticker0024^FE_ESTIMATE(EBIT,MEAN,QUARTERLY_ROLL,2029/2F,45595,,,'')&lt;/Q&gt;&lt;R&gt;0&lt;/R&gt;&lt;C&gt;0&lt;/C&gt;&lt;/FQL&gt;&lt;FQL&gt;&lt;Q&gt;Ticker0024^FE_ESTIMATE(EBIT,MEAN,QUARTERLY_ROLL,2029/1F,45595,,,'')&lt;/Q&gt;&lt;R&gt;0&lt;/R&gt;&lt;C&gt;0&lt;/C&gt;&lt;/FQL&gt;&lt;FQL&gt;&lt;Q&gt;Ticker0024^FE_ESTIMATE(EBIT,MEAN,ANNUAL_ROLL,2028,45595,,,'')&lt;/Q&gt;&lt;R&gt;1&lt;/R&gt;&lt;C&gt;1&lt;/C&gt;&lt;D xsi:type="xsd:double"&gt;187157.52&lt;/D&gt;&lt;/FQL&gt;&lt;FQL&gt;&lt;Q&gt;Ticker0024^FE_ESTIMATE(EBIT,MEAN,QUARTERLY_ROLL,2028/4F,45595,,,'')&lt;/Q&gt;&lt;R&gt;0&lt;/R&gt;&lt;C&gt;0&lt;/C&gt;&lt;/FQL&gt;&lt;FQL&gt;&lt;Q&gt;Ticker0024^FE_ESTIMATE(EBIT,MEAN,QUARTERLY_ROLL,2028/3F,45595,,,'')&lt;/Q&gt;&lt;R&gt;0&lt;/R&gt;&lt;C&gt;0&lt;/C&gt;&lt;/FQL&gt;&lt;FQL&gt;&lt;Q&gt;Ticker0024^FE_ESTIMATE(EBIT,MEAN,QUARTERLY_ROLL,2028/2F,45595,,,'')&lt;/Q&gt;&lt;R&gt;0&lt;/R&gt;&lt;C&gt;0&lt;/C&gt;&lt;/FQL&gt;&lt;FQL&gt;&lt;Q&gt;Ticker0024^FE_ESTIMATE(EBIT,MEAN,QUARTERLY_ROLL,2028/1F,45595,,,'')&lt;/Q&gt;&lt;R&gt;0&lt;/R&gt;&lt;C&gt;0&lt;/C&gt;&lt;/FQL&gt;&lt;FQL&gt;&lt;Q&gt;Ticker0024^FE_ESTIMATE(EBIT,MEAN,ANNUAL_ROLL,2027,45595,,,'')&lt;/Q&gt;&lt;R&gt;1&lt;/R&gt;&lt;C&gt;1&lt;/C&gt;&lt;D xsi:type="xsd:double"&gt;164421.2&lt;/D&gt;&lt;/FQL&gt;&lt;FQL&gt;&lt;Q&gt;Ticker0024^FE_ESTIMATE(EBIT,MEAN,QUARTERLY_ROLL,2027/4F,45595,,,'')&lt;/Q&gt;&lt;R&gt;1&lt;/R&gt;&lt;C&gt;1&lt;/C&gt;&lt;D xsi:type="xsd:double"&gt;43958.324&lt;/D&gt;&lt;/FQL&gt;&lt;FQL&gt;&lt;Q&gt;Ticker0024^FE_ESTIMATE(EBIT,MEAN,QUARTERLY_ROLL,2027/3F,45595,,,'')&lt;/Q&gt;&lt;R&gt;1&lt;/R&gt;&lt;C&gt;1&lt;/C&gt;&lt;D xsi:type="xsd:double"&gt;41376.234&lt;/D&gt;&lt;/FQL&gt;&lt;FQL&gt;&lt;Q&gt;Ticker0024^FE_ESTIMATE(EBIT,MEAN,QUARTERLY_ROLL,2027/2F,45595,,,'')&lt;/Q&gt;&lt;R&gt;1&lt;/R&gt;&lt;C&gt;1&lt;/C&gt;&lt;D xsi:type="xsd:double"&gt;40567.48&lt;/D&gt;&lt;/FQL&gt;&lt;FQL&gt;&lt;Q&gt;Ticker0024^FE_ESTIMATE(EBIT,MEAN,QUARTERLY_ROLL,2027/1F,45595,,,'')&lt;/Q&gt;&lt;R&gt;1&lt;/R&gt;&lt;C&gt;1&lt;/C&gt;&lt;D xsi:type="xsd:double"&gt;38939.754&lt;/D&gt;&lt;/FQL&gt;&lt;FQL&gt;&lt;Q&gt;Ticker0024^FE_ESTIMATE(EBIT,MEAN,ANNUAL_ROLL,2026,45595,,,'')&lt;/Q&gt;&lt;R&gt;1&lt;/R&gt;&lt;C&gt;1&lt;/C&gt;&lt;D xsi:type="xsd:double"&gt;140789.19&lt;/D&gt;&lt;/FQL&gt;&lt;FQL&gt;&lt;Q&gt;Ticker0024^FE_ESTIMATE(EBIT,MEAN,QUARTERLY_ROLL,2026/4F,45595,,,'')&lt;/Q&gt;&lt;R&gt;1&lt;/R&gt;&lt;C&gt;1&lt;/C&gt;&lt;D xsi:type="xsd:double"&gt;36820.33&lt;/D&gt;&lt;/FQL&gt;&lt;FQL&gt;&lt;Q&gt;Ticker0024^FE_ESTIMATE(EBIT,MEAN,QUARTERLY_ROLL,2026/3F,45595,,,'')&lt;/Q&gt;&lt;R&gt;1&lt;/R&gt;&lt;C&gt;1&lt;/C&gt;&lt;D xsi:type="xsd:double"&gt;34761.457&lt;/D&gt;&lt;/FQL&gt;&lt;FQL&gt;&lt;Q&gt;Ticker0024^FE_ESTIMATE(EBIT,MEAN,QUARTERLY_ROLL,2026/2F,45595,,,'')&lt;/Q&gt;&lt;R&gt;1&lt;/R&gt;&lt;C&gt;1&lt;/C&gt;&lt;D xsi:type="xsd:double"&gt;34331.32&lt;/D&gt;&lt;/FQL&gt;&lt;FQL&gt;&lt;Q&gt;Ticker0024^FE_ESTIMATE(EBIT,MEAN,QUARTERLY_ROLL,2026/1F,45595,,,'')&lt;/Q&gt;&lt;R&gt;1&lt;/R&gt;&lt;C&gt;1&lt;/C&gt;&lt;D xsi:type="xsd:double"&gt;32933.863&lt;/D&gt;&lt;/FQL&gt;&lt;FQL&gt;&lt;Q&gt;Ticker0024^FE_ESTIMATE(EBIT,MEAN,ANNUAL_ROLL,2025,45595,,,'')&lt;/Q&gt;&lt;R&gt;1&lt;/R&gt;&lt;C&gt;1&lt;/C&gt;&lt;D xsi:type="xsd:double"&gt;122387.89&lt;/D&gt;&lt;/FQL&gt;&lt;FQL&gt;&lt;Q&gt;Ticker0024^FE_ESTIMATE(EBIT,MEAN,QUARTERLY_ROLL,2025/4F,45595,,,'')&lt;/Q&gt;&lt;R&gt;1&lt;/R&gt;&lt;C&gt;1&lt;/C&gt;&lt;D xsi:type="xsd:double"&gt;31932.48&lt;/D&gt;&lt;/FQL&gt;&lt;FQL&gt;&lt;Q&gt;Ticker0024^FE_ESTIMATE(EBIT,MEAN,QUARTERLY_ROLL,2025/3F,45595,,,'')&lt;/Q&gt;&lt;R&gt;1&lt;/R&gt;&lt;C&gt;1&lt;/C&gt;&lt;D xsi:type="xsd:double"&gt;30686.813&lt;/D&gt;&lt;/FQL&gt;&lt;FQL&gt;&lt;Q&gt;Ticker0024^FE_ESTIMATE(EBIT,MEAN,QUARTERLY_ROLL,2025/2F,45595,,,'')&lt;/Q&gt;&lt;R&gt;1&lt;/R&gt;&lt;C&gt;1&lt;/C&gt;&lt;D xsi:type="xsd:double"&gt;30363.877&lt;/D&gt;&lt;/FQL&gt;&lt;FQL&gt;&lt;Q&gt;Ticker0024^FE_ESTIMATE(EBIT,MEAN,QUARTERLY_ROLL,2025/1F,45595,,,'')&lt;/Q&gt;&lt;R&gt;1&lt;/R&gt;&lt;C&gt;1&lt;/C&gt;&lt;D xsi:type="xsd:double"&gt;29277.424&lt;/D&gt;&lt;/FQL&gt;&lt;FQL&gt;&lt;Q&gt;Ticker0024^FE_ESTIMATE(EBIT,MEAN,ANNUAL_ROLL,2024,45595,,,'')&lt;/Q&gt;&lt;R&gt;1&lt;/R&gt;&lt;C&gt;1&lt;/C&gt;&lt;D xsi:type="xsd:double"&gt;109729.96&lt;/D&gt;&lt;/FQL&gt;&lt;FQL&gt;&lt;Q&gt;Ticker0024^FE_ESTIMATE(EBIT,MEAN,QUARTERLY_ROLL,2024/4F,45595,,,'')&lt;/Q&gt;&lt;R&gt;1&lt;/R&gt;&lt;C&gt;1&lt;/C&gt;&lt;D xsi:type="xsd:double"&gt;27926.969&lt;/D&gt;&lt;/FQL&gt;&lt;FQL&gt;&lt;Q&gt;Ticker0024^FE_ESTIMATE(EBIT,MEAN,QUARTERLY_ROLL,2024/3F,45595,,,'')&lt;/Q&gt;&lt;R&gt;1&lt;/R&gt;&lt;C&gt;1&lt;/C&gt;&lt;D xsi:type="xsd:double"&gt;27582.365&lt;/D&gt;&lt;/FQL&gt;&lt;FQL&gt;&lt;Q&gt;Ticker0024^FE_ESTIMATE(EBIT,MEAN,QUARTERLY_ROLL,2024/2F,45595,,,'')&lt;/Q&gt;&lt;R&gt;1&lt;/R&gt;&lt;C&gt;1&lt;/C&gt;&lt;D xsi:type="xsd:double"&gt;27031.082&lt;/D&gt;&lt;/FQL&gt;&lt;FQL&gt;&lt;Q&gt;Ticker0024^FE_ESTIMATE(EBIT,MEAN,QUARTERLY_ROLL,2024/1F,45595,,,'')&lt;/Q&gt;&lt;R&gt;1&lt;/R&gt;&lt;C&gt;1&lt;/C&gt;&lt;D xsi:type="xsd:double"&gt;26895.146&lt;/D&gt;&lt;/FQL&gt;&lt;FQL&gt;&lt;Q&gt;Ticker0024^FE_ESTIMATE(EBIT,MEAN,ANNUAL_ROLL,2023,45595,,,'')&lt;/Q&gt;&lt;R&gt;1&lt;/R&gt;&lt;C&gt;1&lt;/C&gt;&lt;D xsi:type="xsd:double"&gt;88600.766&lt;/D&gt;&lt;/FQL&gt;&lt;FQL&gt;&lt;Q&gt;Ticker0024^FE_ESTIMATE(EBIT,MEAN,QUARTERLY_ROLL,2023/4F,45595,,,'')&lt;/Q&gt;&lt;R&gt;1&lt;/R&gt;&lt;C&gt;1&lt;/C&gt;&lt;D xsi:type="xsd:double"&gt;24173.82&lt;/D&gt;&lt;/FQL&gt;&lt;FQL&gt;&lt;Q&gt;Ticker0024^FE_ESTIMATE(EBIT,MEAN,QUARTERLY_ROLL,2023/3F,45595,,,'')&lt;/Q&gt;&lt;R&gt;1&lt;/R&gt;&lt;C&gt;1&lt;/C&gt;&lt;D xsi:type="xsd:double"&gt;22351.936&lt;/D&gt;&lt;/FQL&gt;&lt;FQL&gt;&lt;Q&gt;Ticker0024^FE_ESTIMATE(EBIT,MEAN,QUARTERLY_ROLL,2023/2F,45595,,,'')&lt;/Q&gt;&lt;R&gt;1&lt;/R&gt;&lt;C&gt;1&lt;/C&gt;&lt;D xsi:type="xsd:double"&gt;20399.059&lt;/D&gt;&lt;/FQL&gt;&lt;FQL&gt;&lt;Q&gt;Ticker0024^FE_ESTIMATE(EBIT,MEAN,QUARTERLY_ROLL,2023/1F,45595,,,'')&lt;/Q&gt;&lt;R&gt;1&lt;/R&gt;&lt;C&gt;1&lt;/C&gt;&lt;D xsi:type="xsd:double"&gt;21518.063&lt;/D&gt;&lt;/FQL&gt;&lt;FQL&gt;&lt;Q&gt;Ticker0024^FE_ESTIMATE(EBIT,MEAN,ANNUAL_ROLL,2022,45595,,,'')&lt;/Q&gt;&lt;R&gt;1&lt;/R&gt;&lt;C&gt;1&lt;/C&gt;&lt;D xsi:type="xsd:double"&gt;83380.48&lt;/D&gt;&lt;/FQL&gt;&lt;FQL&gt;&lt;Q&gt;Ticker0024^FE_ESTIMATE(EBIT,MEAN,QUARTERLY_ROLL,2022/4F,45595,,,'')&lt;/Q&gt;&lt;R&gt;1&lt;/R&gt;&lt;C&gt;1&lt;/C&gt;&lt;D xsi:type="xsd:double"&gt;20531.785&lt;/D&gt;&lt;/FQL&gt;&lt;FQL&gt;&lt;Q&gt;Ticker0024^FE_ESTIMATE(EBIT,MEAN,QUARTERLY_ROLL,2022/3F,45595,,,'')&lt;/Q&gt;&lt;R&gt;1&lt;/R&gt;&lt;C&gt;1&lt;/C&gt;&lt;D xsi:type="xsd:double"&gt;20362.076&lt;/D&gt;&lt;/FQL&gt;&lt;FQL&gt;&lt;Q&gt;Ticker0024^FE_ESTIMATE(EBIT,MEAN,QUARTERLY_ROLL,2022/2F,45595,,,'')&lt;/Q&gt;&lt;R&gt;1&lt;/R&gt;&lt;C&gt;1&lt;/C&gt;&lt;D xsi:type="xsd:double"&gt;22246.809&lt;/D&gt;&lt;/FQL&gt;&lt;FQL&gt;&lt;Q&gt;Ticker0024^FE_ESTIMATE(EBIT,MEAN,QUARTERLY_ROLL,2022/1F,45595,,,'')&lt;/Q&gt;&lt;R&gt;1&lt;/R&gt;&lt;C&gt;1&lt;/C&gt;&lt;D xsi:type="xsd:double"&gt;20237.896&lt;/D&gt;&lt;/FQL&gt;&lt;FQL&gt;&lt;Q&gt;Ticker0024^FE_ESTIMATE(EBIT,MEAN,ANNUAL_ROLL,2021,45595,,,'')&lt;/Q&gt;&lt;R&gt;1&lt;/R&gt;&lt;C&gt;1&lt;/C&gt;&lt;D xsi:type="xsd:double"&gt;69916.414&lt;/D&gt;&lt;/FQL&gt;&lt;FQL&gt;&lt;Q&gt;Ticker0024^FE_ESTIMATE(EBIT,MEAN,QUARTERLY_ROLL,2021/4F,45595,,,'')&lt;/Q&gt;&lt;R&gt;1&lt;/R&gt;&lt;C&gt;1&lt;/C&gt;&lt;D xsi:type="xsd:double"&gt;19095&lt;/D&gt;&lt;/FQL&gt;&lt;FQL&gt;&lt;Q&gt;Ticker0024^FE_ESTIMATE(EBIT,MEAN,QUARTERLY_ROLL,2021/3F,45595,,,'')&lt;/Q&gt;&lt;R&gt;1&lt;/R&gt;&lt;C&gt;1&lt;/C&gt;&lt;D xsi:type="xsd:double"&gt;17048&lt;/D&gt;&lt;/FQL&gt;&lt;FQL&gt;&lt;Q&gt;Ticker0024^FE_ESTIMATE(EBIT,MEAN,QUARTERLY_ROLL,2021/2F,45595,,,'')&lt;/Q&gt;&lt;R&gt;1&lt;/R&gt;&lt;C&gt;1&lt;/C&gt;&lt;D xsi:type="xsd:double"&gt;17896.826&lt;/D&gt;&lt;/FQL&gt;&lt;FQL&gt;&lt;Q&gt;Ticker0024^FE_ESTIMATE(EBIT,MEAN,QUARTERLY_ROLL,2021/1F,45595,,,'')&lt;/Q&gt;&lt;R&gt;1&lt;/R&gt;&lt;C&gt;1&lt;/C&gt;&lt;D xsi:type="xsd:double"&gt;15875.739&lt;/D&gt;&lt;/FQL&gt;&lt;FQL&gt;&lt;Q&gt;Ticker0024^FE_ESTIMATE(EBIT,MEAN,ANNUAL_ROLL,2020,45595,,,'')&lt;/Q&gt;&lt;R&gt;1&lt;/R&gt;&lt;C&gt;1&lt;/C&gt;&lt;D xsi:type="xsd:double"&gt;52978.875&lt;/D&gt;&lt;/FQL&gt;&lt;FQL&gt;&lt;Q&gt;Ticker0024^FE_ESTIMATE(EBIT,MEAN,QUARTERLY_ROLL,2020/4F,45595,,,'')&lt;/Q&gt;&lt;R&gt;1&lt;/R&gt;&lt;C&gt;1&lt;/C&gt;&lt;D xsi:type="xsd:double"&gt;13432.45&lt;/D&gt;&lt;/FQL&gt;&lt;FQL&gt;&lt;Q&gt;Ticker0024^FE_ESTIMATE(EBIT,MEAN,QUARTERLY_ROLL,2020/3F,45595,,,'')&lt;/Q&gt;&lt;R&gt;1&lt;/R&gt;&lt;C&gt;1&lt;/C&gt;&lt;D xsi:type="xsd:double"&gt;12975&lt;/D&gt;&lt;/FQL&gt;&lt;FQL&gt;&lt;Q&gt;Ticker0024^FE_ESTIMATE(EBIT,MEAN,QUARTERLY_ROLL,2020/2F,45595,,,'')&lt;/Q&gt;&lt;R&gt;1&lt;/R&gt;&lt;C&gt;1&lt;/C&gt;&lt;D xsi:type="xsd:double"&gt;13891&lt;/D&gt;&lt;/FQL&gt;&lt;FQL&gt;&lt;Q&gt;Ticker0024^FE_ESTIMATE(EBIT,MEAN,QUARTERLY_ROLL,2020/1F,45595,,,'')&lt;/Q&gt;&lt;R&gt;1&lt;/R&gt;&lt;C&gt;1&lt;/C&gt;&lt;D xsi:type="xsd:double"&gt;12686&lt;/D&gt;&lt;/FQL&gt;&lt;FQL&gt;&lt;Q&gt;Ticker0024^FE_ESTIMATE(EBIT,MEAN,ANNUAL_ROLL,2019,45595,,,'')&lt;/Q&gt;&lt;R&gt;1&lt;/R&gt;&lt;C&gt;1&lt;/C&gt;&lt;D xsi:type="xsd:double"&gt;42964.805&lt;/D&gt;&lt;/FQL&gt;&lt;FQL&gt;&lt;Q&gt;Ticker0024^FE_ESTIMATE(EBIT,MEAN,QUARTERLY_ROLL,2019/4F,45595,,,'')&lt;/Q&gt;&lt;R&gt;1&lt;/R&gt;&lt;C&gt;1&lt;/C&gt;&lt;D xsi:type="xsd:double"&gt;12405&lt;/D&gt;&lt;/FQL&gt;&lt;FQL&gt;&lt;Q&gt;Ticker0024^FE_ESTIMATE(EBIT,MEAN,QUARTERLY_ROLL,2019/3F,45595,,,'')&lt;/Q&gt;&lt;R&gt;1&lt;/R&gt;&lt;C&gt;1&lt;/C&gt;&lt;D xsi:type="xsd:double"&gt;10341&lt;/D&gt;&lt;/FQL&gt;&lt;FQL&gt;&lt;Q&gt;Ticker0024^FE_ESTIMATE(EBIT,MEAN,QUARTERLY_ROLL,2019/2F,45595,,,'')&lt;/Q&gt;&lt;R&gt;1&lt;/R&gt;&lt;C&gt;1&lt;/C&gt;&lt;D xsi:type="xsd:double"&gt;10263.846&lt;/D&gt;&lt;/FQL&gt;&lt;FQL&gt;&lt;Q&gt;Ticker0024^FE_ESTIMATE(EBIT,MEAN,QUARTERLY_ROLL,2019/1F,45595,,,'')&lt;/Q&gt;&lt;R&gt;1&lt;/R&gt;&lt;C&gt;1&lt;/C&gt;&lt;D xsi:type="xsd:double"&gt;9955&lt;/D&gt;&lt;/FQL&gt;&lt;FQL&gt;&lt;Q&gt;Ticker0024^FE_ESTIMATE(EBIT,MEAN,ANNUAL_ROLL,2018,45595,,,'')&lt;/Q&gt;&lt;R&gt;1&lt;/R&gt;&lt;C&gt;1&lt;/C&gt;&lt;D xsi:type="xsd:double"&gt;35034.188&lt;/D&gt;&lt;/FQL&gt;&lt;FQL&gt;&lt;Q&gt;Ticker0024^FE_ESTIMATE(EBIT,MEAN,QUARTERLY_ROLL,2018/4F,45595,,,'')&lt;/Q&gt;&lt;R&gt;1&lt;/R&gt;&lt;C&gt;1&lt;/C&gt;&lt;D xsi:type="xsd:double"&gt;10349.692&lt;/D&gt;&lt;/FQL&gt;&lt;FQL&gt;&lt;Q&gt;Ticker0024^FE_ESTIMATE(EBIT,MEAN,QUARTERLY_ROLL,2018/3F,45595,,,'')&lt;/Q&gt;&lt;R&gt;1&lt;/R&gt;&lt;C&gt;1&lt;/C&gt;&lt;D xsi:type="xsd:double"&gt;8292&lt;/D&gt;&lt;/FQL&gt;&lt;FQL&gt;&lt;Q&gt;Ticker0024^FE_ESTIMATE(EBIT,MEAN,QUARTERLY_ROLL,2018/2F,45595,,,'')&lt;/Q&gt;&lt;R&gt;1&lt;/R&gt;&lt;C&gt;1&lt;/C&gt;&lt;D xsi:type="xsd:double"&gt;8679&lt;/D&gt;&lt;/FQL&gt;&lt;FQL&gt;&lt;Q&gt;Ticker0024^FE_ESTIMATE(EBIT,MEAN,QUARTERLY_ROLL,2018/1F,45595,,,'')&lt;/Q&gt;&lt;R&gt;1&lt;/R&gt;&lt;C&gt;1&lt;/C&gt;&lt;D xsi:type="xsd:double"&gt;7708&lt;/D&gt;&lt;/FQL&gt;&lt;FQL&gt;&lt;Q&gt;Ticker0024^FE_ESTIMATE(EBIT,MEAN,ANNUAL_ROLL,2017,45595,,,'')&lt;/Q&gt;&lt;R&gt;1&lt;/R&gt;&lt;C&gt;1&lt;/C&gt;&lt;D xsi:type="xsd:double"&gt;29326.25&lt;/D&gt;&lt;/FQL&gt;&lt;FQL&gt;&lt;Q&gt;Ticker0024^FE_ESTIMATE(EBIT,MEAN,QUARTERLY_ROLL,2017/4F,45595,,,'')&lt;/Q&gt;&lt;R&gt;1&lt;/R&gt;&lt;C&gt;1&lt;/C&gt;&lt;D xsi:type="xsd:double"&gt;7019&lt;/D&gt;&lt;/FQL&gt;&lt;FQL&gt;&lt;Q&gt;Ticker0024^FE_ESTIMATE(EBIT,MEAN,QUARTERLY_ROLL,2017/3F,45595,,,'')&lt;/Q&gt;&lt;R&gt;1&lt;/R&gt;&lt;C&gt;1&lt;/C&gt;&lt;D xsi:type="xsd:double"&gt;7061&lt;/D&gt;&lt;/FQL&gt;&lt;FQL&gt;&lt;Q&gt;Ticker0024^FE_ESTIMATE(EBIT,MEAN,QUARTERLY_ROLL,2017/2F,45595,,,'')&lt;/Q&gt;&lt;R&gt;1&lt;/R&gt;&lt;C&gt;1&lt;/C&gt;&lt;D xsi:type="xsd:double"&gt;8153&lt;/D&gt;&lt;/FQL&gt;&lt;FQL&gt;&lt;Q&gt;Ticker0024^FE_ESTIMATE(EBIT,MEAN,QUARTERLY_ROLL,2017/1F,45595,,,'')&lt;/Q&gt;&lt;R&gt;1&lt;/R&gt;&lt;C&gt;1&lt;/C&gt;&lt;D xsi:type="xsd:double"&gt;7106&lt;/D&gt;&lt;/FQL&gt;&lt;FQL&gt;&lt;Q&gt;Ticker0024^FE_ESTIMATE(EBIT,MEAN,ANNUAL_ROLL,2016,45595,,,'')&lt;/Q&gt;&lt;R&gt;1&lt;/R&gt;&lt;C&gt;1&lt;/C&gt;&lt;D xsi:type="xsd:double"&gt;28028.564&lt;/D&gt;&lt;/FQL&gt;&lt;FQL&gt;&lt;Q&gt;Ticker0024^FE_ESTIMATE(EBIT,MEAN,QUARTERLY_ROLL,2016/4F,45595,,,'')&lt;/Q&gt;&lt;R&gt;1&lt;/R&gt;&lt;C&gt;1&lt;/C&gt;&lt;D xsi:type="xsd:double"&gt;6218&lt;/D&gt;&lt;/FQL&gt;&lt;FQL&gt;&lt;Q&gt;Ticker0024^FE_ESTIMATE(EBIT,MEAN,QUARTERLY_ROLL,2016/3F,45595,,,'')&lt;/Q&gt;&lt;R&gt;1&lt;/R&gt;&lt;C&gt;1&lt;/C&gt;&lt;D xsi:type="xsd:double"&gt;6828&lt;/D&gt;&lt;/FQL&gt;&lt;FQL&gt;&lt;Q&gt;Ticker0024^FE_ESTIMATE(EBIT,MEAN,QUARTERLY_ROLL,2016/2F,45595,,,'')&lt;/Q&gt;&lt;R&gt;1&lt;/R&gt;&lt;C&gt;1&lt;/C&gt;&lt;D xsi:type="xsd:double"&gt;7923&lt;/D&gt;&lt;/FQL&gt;&lt;FQL&gt;&lt;Q&gt;Ticker0024^FE_ESTIMATE(EBIT,MEAN,QUARTERLY_ROLL,2016/1F,45595,,,'')&lt;/Q&gt;&lt;R&gt;1&lt;/R&gt;&lt;C&gt;1&lt;/C&gt;&lt;D xsi:type="xsd:double"&gt;7073.7896&lt;/D&gt;&lt;/FQL&gt;&lt;FQL&gt;&lt;Q&gt;Ticker0024^FE_ESTIMATE(EBIT,MEAN,ANNUAL_ROLL,2015,45595,,,'')&lt;/Q&gt;&lt;R&gt;1&lt;/R&gt;&lt;C&gt;1&lt;/C&gt;&lt;D xsi:type="xsd:double"&gt;27916.867&lt;/D&gt;&lt;/FQL&gt;&lt;FQL&gt;&lt;Q&gt;Ticker0024^FE_ESTIMATE(EBIT,MEAN,QUARTERLY_ROLL,2015/4F,45595,,,'')&lt;/Q&gt;&lt;R&gt;1&lt;/R&gt;&lt;C&gt;1&lt;/C&gt;&lt;D xsi:type="xsd:double"&gt;4513.1914&lt;/D&gt;&lt;/FQL&gt;&lt;FQL&gt;&lt;Q&gt;Ticker0024^FE_ESTIMATE(EBIT,MEAN,QUARTERLY_ROLL,2015/3F,45595,,,'')&lt;/Q&gt;&lt;R&gt;1&lt;/R&gt;&lt;C&gt;1&lt;/C&gt;&lt;D xsi:type="xsd:double"&gt;6598.875&lt;/D&gt;&lt;/FQL&gt;&lt;FQL&gt;&lt;Q&gt;Ticker0024^FE_ESTIMATE(EBIT,MEAN,QUARTERLY_ROLL,2015/2F,45595,,,'')&lt;/Q&gt;&lt;R&gt;1&lt;/R&gt;&lt;C&gt;1&lt;/C&gt;&lt;D xsi:type="xsd:double"&gt;7776&lt;/D&gt;&lt;/FQL&gt;&lt;FQL&gt;&lt;Q&gt;Ticker0024^FE_ESTIMATE(EBIT,MEAN,QUARTERLY_ROLL,2015/1F,45595,,,'')&lt;/Q&gt;&lt;R&gt;1&lt;/R&gt;&lt;C&gt;1&lt;/C&gt;&lt;D xsi:type="xsd:double"&gt;5844&lt;/D&gt;&lt;/FQL&gt;&lt;FQL&gt;&lt;Q&gt;Ticker0024^FE_ESTIMATE(PRODLINE_EBIT_17,MEAN,ANNUAL_ROLL,2030,45595,,,'')&lt;/Q&gt;&lt;R&gt;0&lt;/R&gt;&lt;C&gt;0&lt;/C&gt;&lt;/FQL&gt;&lt;FQL&gt;&lt;Q&gt;Ticker0024^FE_ESTIMATE(PRODLINE_EBIT_17,MEAN,QUARTERLY_ROLL,2030/4F,45595,,,'')&lt;/Q&gt;&lt;R&gt;0&lt;/R&gt;&lt;C&gt;0&lt;/C&gt;&lt;/FQL&gt;&lt;FQL&gt;&lt;Q&gt;Ticker0024^FE_ESTIMATE(PRODLINE_EBIT_17,MEAN,QUARTERLY_ROLL,2030/3F,45595,,,'')&lt;/Q&gt;&lt;R&gt;0&lt;/R&gt;&lt;C&gt;0&lt;/C&gt;&lt;/FQL&gt;&lt;FQL&gt;&lt;Q&gt;Ticker0024^FE_ESTIMATE(PRODLINE_EBIT_17,MEAN,QUARTERLY_ROLL,2030/2F,45595,,,'')&lt;/Q&gt;&lt;R&gt;0&lt;/R&gt;&lt;C&gt;0&lt;/C&gt;&lt;/FQL&gt;&lt;FQL&gt;&lt;Q&gt;Ticker0024^FE_ESTIMATE(PRODLINE_EBIT_17,MEAN,QUARTERLY_ROLL,2030/1F,45595,,,'')&lt;/Q&gt;&lt;R&gt;0&lt;/R&gt;&lt;C&gt;0&lt;/C&gt;&lt;/FQL&gt;&lt;FQL&gt;&lt;Q&gt;Ticker0024^FE_ESTIMATE(PRODLINE_EBIT_17,MEAN,ANNUAL_ROLL,2029,45595,,,'')&lt;/Q&gt;&lt;R&gt;0&lt;/R&gt;&lt;C&gt;0&lt;/C&gt;&lt;/FQL&gt;&lt;FQL&gt;&lt;Q&gt;Ticker0024^FE_ESTIMATE(PRODLINE_EBIT_17,MEAN,QUARTERLY_ROLL,2029/4F,45595,,,'')&lt;/Q&gt;&lt;R&gt;0&lt;/R&gt;&lt;C&gt;0&lt;/C&gt;&lt;/FQL&gt;&lt;FQL&gt;&lt;Q&gt;Ticker0024^FE_ESTIMATE(PRODLINE_EBIT_17,MEAN,QUARTERLY_ROLL,2029/3F,45595,,,'')&lt;/Q&gt;&lt;R&gt;0&lt;/R&gt;&lt;C&gt;0&lt;/C&gt;&lt;/FQL&gt;&lt;FQL&gt;&lt;Q&gt;Ticker0024^FE_ESTIMATE(PRODLINE_EBIT_17,MEAN,QUARTERLY_ROLL,2029/2F,45595,,,'')&lt;/Q&gt;&lt;R&gt;0&lt;/R&gt;&lt;C&gt;0&lt;/C&gt;&lt;/FQL&gt;&lt;FQL&gt;&lt;Q&gt;Ticker0024^FE_ESTIMATE(PRODLINE_EBIT_17,MEAN,QUARTERLY_ROLL,2029/1F,45595,,,'')&lt;/Q&gt;&lt;R&gt;0&lt;/R&gt;&lt;C&gt;0&lt;/C&gt;&lt;/FQL&gt;&lt;FQL&gt;&lt;Q&gt;Ticker0024^FE_ESTIMATE(PRODLINE_EBIT_17,MEAN,ANNUAL_ROLL,2028,45595,,,'')&lt;/Q&gt;&lt;R&gt;1&lt;/R&gt;&lt;C&gt;1&lt;/C&gt;&lt;D xsi:type="xsd:double"&gt;12554&lt;/D&gt;&lt;/FQL&gt;&lt;FQL&gt;&lt;Q&gt;Ticker0024^FE_ESTIMATE(PRODLINE_EBIT_17,MEAN,QUARTERLY_ROLL,2028/4F,45595,,,'')&lt;/Q&gt;&lt;R&gt;0&lt;/R&gt;&lt;C&gt;0&lt;/C&gt;&lt;/FQL&gt;&lt;FQL&gt;&lt;Q&gt;Ticker0024^FE_ESTIMATE(PRODLINE_EBIT_17,MEAN,QUARTERLY_ROLL,2028/3F,45595,,,'')&lt;/Q&gt;&lt;R&gt;0&lt;/R&gt;&lt;C&gt;0&lt;/C&gt;&lt;/FQL&gt;&lt;FQL&gt;&lt;Q&gt;Ticker0024^FE_ESTIMATE(PRODLINE_EBIT_17,MEAN,QUARTERLY_ROLL,2028/2F,45595,,,'')&lt;/Q&gt;&lt;R&gt;0&lt;/R&gt;&lt;C&gt;0&lt;/C&gt;&lt;/FQL&gt;&lt;FQL&gt;&lt;Q&gt;Ticker0024^FE_ESTIMATE(PRODLINE_EBIT_17,MEAN,QUARTERLY_ROLL,2028/1F,45595,,,'')&lt;/Q&gt;&lt;R&gt;0&lt;/R&gt;&lt;C&gt;0&lt;/C&gt;&lt;/FQL&gt;&lt;FQL&gt;&lt;Q&gt;Ticker0024^FE_ESTIMATE(PRODLINE_EBIT_17,MEAN,ANNUAL_ROLL,2027,45595,,,'')&lt;/Q&gt;&lt;R&gt;1&lt;/R&gt;&lt;C&gt;1&lt;/C&gt;&lt;D xsi:type="xsd:double"&gt;19048.5&lt;/D&gt;&lt;/FQL&gt;&lt;FQL&gt;&lt;Q&gt;Ticker0024^FE_ESTIMATE(PRODLINE_EBIT_17,MEAN,QUARTERLY_ROLL,2027/4F,45595,,,'')&lt;/Q&gt;&lt;R&gt;0&lt;/R&gt;&lt;C&gt;0&lt;/C&gt;&lt;/FQL&gt;&lt;FQL&gt;&lt;Q&gt;Ticker0024^FE_ESTIMATE(PRODLINE_EBIT_17,MEAN,QUARTERLY_ROLL,2027/3F,45595,,,'')&lt;/Q&gt;&lt;R&gt;0&lt;/R&gt;&lt;C&gt;0&lt;/C&gt;&lt;/FQL&gt;&lt;FQL&gt;&lt;Q&gt;Ticker0024^FE_ESTIMATE(PRODLINE_EBIT_17,MEAN,QUARTERLY_ROLL,2027/2F,45595,,,'')&lt;/Q&gt;&lt;R&gt;0&lt;/R&gt;&lt;C&gt;0&lt;/C&gt;&lt;/FQL&gt;&lt;FQL&gt;&lt;Q&gt;Ticker0024^FE_ESTIMATE(PRODLINE_EBIT_17,MEAN,QUARTERLY_ROLL,2027/1F,45595,,,'')&lt;/Q&gt;&lt;R&gt;0&lt;/R&gt;&lt;C&gt;0&lt;/C&gt;&lt;/FQL&gt;&lt;FQL&gt;&lt;Q&gt;Ticker0024^FE_ESTIMATE(PRODLINE_EBIT_17,MEAN,ANNUAL_ROLL,2026,45595,,,'')&lt;/Q&gt;&lt;R&gt;1&lt;/R&gt;&lt;C&gt;1&lt;/C&gt;&lt;D xsi:type="xsd:double"&gt;19155.4&lt;/D&gt;&lt;/FQL&gt;&lt;FQL&gt;&lt;Q&gt;Ticker0024^FE_ESTIMATE(PRODLINE_EBIT_17,MEAN,QUARTERLY_ROLL,2026/4F,45595,,,'')&lt;/Q&gt;&lt;R&gt;1&lt;/R&gt;&lt;C&gt;1&lt;/C&gt;&lt;D xsi:type="xsd:double"&gt;5823.5&lt;/D&gt;&lt;/FQL&gt;&lt;FQL&gt;&lt;Q&gt;Ticker0024^FE_ESTIMATE(PRODLINE_EBIT_17,MEAN,QUARTERLY_ROLL,2026/3F,45595,,,'')&lt;/Q&gt;&lt;R&gt;1&lt;/R&gt;&lt;C&gt;1&lt;/C&gt;&lt;D xsi:type="xsd:double"&gt;5880.5&lt;/D&gt;&lt;/FQL&gt;&lt;FQL&gt;&lt;Q&gt;Ticker0024^FE_ESTIMATE(PRODLINE_EBIT_17,MEAN,QUARTERLY_ROLL,2026/2F,45595,,,'')&lt;/Q&gt;&lt;R&gt;1&lt;/R&gt;&lt;C&gt;1&lt;/C&gt;&lt;D xsi:type="xsd:double"&gt;6284&lt;/D&gt;&lt;/FQL&gt;&lt;FQL&gt;&lt;Q&gt;Ticker0024^FE_ESTIMATE(PRODLINE_EBIT_17,MEAN,QUARTERLY_ROLL,2026/1F,45595,,,'')&lt;/Q&gt;&lt;R&gt;1&lt;/R&gt;&lt;C&gt;1&lt;/C&gt;&lt;D xsi:type="xsd:double"&gt;5177.5&lt;/D&gt;&lt;/FQL&gt;&lt;FQL&gt;&lt;Q&gt;Ticker0024^FE_ESTIMATE(PRODLINE_EBIT_17,MEAN,ANNUAL_ROLL,2025,45595,,,'')&lt;/Q&gt;&lt;R&gt;1&lt;/R&gt;&lt;C&gt;1&lt;/C&gt;&lt;D xsi:type="xsd:double"&gt;17974.6&lt;/D&gt;&lt;/FQL&gt;&lt;FQL&gt;&lt;Q&gt;Ticker0024^FE_ESTIMATE(PRODLINE_EBIT_17,MEAN,QUARTERLY_ROLL,2025/4F,45595,,,'')&lt;/Q&gt;&lt;R&gt;1&lt;/R&gt;&lt;C&gt;1&lt;/C&gt;&lt;D xsi:type="xsd:double"&gt;4529.2&lt;/D&gt;&lt;/FQL&gt;&lt;FQL&gt;&lt;Q&gt;Ticker0024^FE_ESTIMATE(PRODLINE_EBIT_17,MEAN,QUARTERLY_ROLL,2025/3F,45595,,,'')&lt;/Q&gt;&lt;R&gt;1&lt;/R&gt;&lt;C&gt;1&lt;/C&gt;&lt;D xsi:type="xsd:double"&gt;4539.6&lt;/D&gt;&lt;/FQL&gt;&lt;FQL&gt;&lt;Q&gt;Ticker0024^FE_ESTIMATE(PRODLINE_EBIT_17,MEAN,QUARTERLY_ROLL,2025/2F,45595,,,'')&lt;/Q&gt;&lt;R&gt;1&lt;/R&gt;&lt;C&gt;1&lt;/C&gt;&lt;D xsi:type="xsd:double"&gt;4536.4&lt;/D&gt;&lt;/FQL&gt;&lt;FQL&gt;&lt;Q&gt;Ticker0024^FE_ESTIMATE(PRODLINE_EBIT_17,MEAN,QUARTERLY_ROLL,2025/1F,45595,,,'')&lt;/Q&gt;&lt;R&gt;1&lt;/R&gt;&lt;C&gt;1&lt;/C&gt;&lt;D xsi:type="xsd:double"&gt;4369.2&lt;/D&gt;&lt;/FQL&gt;&lt;FQL&gt;&lt;Q&gt;Ticker0024^FE_ESTIMATE(PRODLINE_EBIT_17,MEAN,ANNUAL_ROLL,2024,45595,,,'')&lt;/Q&gt;&lt;R&gt;1&lt;/R&gt;&lt;C&gt;1&lt;/C&gt;&lt;D xsi:type="xsd:double"&gt;19332.8&lt;/D&gt;&lt;/FQL&gt;&lt;FQL&gt;&lt;Q&gt;Ticker0024^FE_ESTIMATE(PRODLINE_EBIT_17,MEAN,QUARTERLY_ROLL,2024/4F,45595,,,'')&lt;/Q&gt;&lt;R&gt;1&lt;/R&gt;&lt;C&gt;1&lt;/C&gt;&lt;D xsi:type="xsd:double"&gt;4922.4&lt;/D&gt;&lt;/FQL&gt;&lt;FQL&gt;&lt;Q&gt;Ticker0024^FE_ESTIMATE(PRODLINE_EBIT_17,MEAN,QUARTERLY_ROLL,2024/3F,45595,,,'')&lt;/Q&gt;&lt;R&gt;1&lt;/R&gt;&lt;C&gt;1&lt;/C&gt;&lt;D xsi:type="xsd:double"&gt;4925.7144&lt;/D&gt;&lt;/FQL&gt;&lt;FQL&gt;&lt;Q&gt;Ticker0024^FE_ESTIMATE(PRODLINE_EBIT_17,MEAN,QUARTERLY_ROLL,2024/2F,45595,,,'')&lt;/Q&gt;&lt;R&gt;1&lt;/R&gt;&lt;C&gt;1&lt;/C&gt;&lt;D xsi:type="xsd:double"&gt;4308.3335&lt;/D&gt;&lt;/FQL&gt;&lt;FQL&gt;&lt;Q&gt;Ticker0024^FE_ESTIMATE(PRODLINE_EBIT_17,MEAN,QUARTERLY_ROLL,2024/1F,45595,,,'')&lt;/Q&gt;&lt;R&gt;1&lt;/R&gt;&lt;C&gt;1&lt;/C&gt;&lt;D xsi:type="xsd:double"&gt;5197&lt;/D&gt;&lt;/FQL&gt;&lt;FQL&gt;&lt;Q&gt;Ticker0024^FE_ESTIMATE(PRODLINE_EBIT_17,MEAN,ANNUAL_ROLL,2023,45595,,,'')&lt;/Q&gt;&lt;R&gt;1&lt;/R&gt;&lt;C&gt;1&lt;/C&gt;&lt;D xsi:type="xsd:double"&gt;16450&lt;/D&gt;&lt;/FQL&gt;&lt;FQL&gt;&lt;Q&gt;Ticker0024^FE_ESTIMATE(PRODLINE_EBIT_17,MEAN,QUARTERLY_ROLL,2023/4F,45595,,,'')&lt;/Q&gt;&lt;R&gt;1&lt;/R&gt;&lt;C&gt;1&lt;/C&gt;&lt;D xsi:type="xsd:double"&gt;4676.8&lt;/D&gt;&lt;/FQL&gt;&lt;FQL&gt;&lt;Q&gt;Ticker0024^FE_ESTIMATE(PRODLINE_EBIT_17,MEAN,QUARTERLY_ROLL,2023/3F,45595,,,'')&lt;/Q&gt;&lt;R&gt;1&lt;/R&gt;&lt;C&gt;1&lt;/C&gt;&lt;D xsi:type="xsd:double"&gt;4237.6&lt;/D&gt;&lt;/FQL&gt;&lt;FQL&gt;&lt;Q&gt;Ticker0024^FE_ESTIMATE(PRODLINE_EBIT_17,MEAN,QUARTERLY_ROLL,2023/2F,45595,,,'')&lt;/Q&gt;&lt;R&gt;1&lt;/R&gt;&lt;C&gt;1&lt;/C&gt;&lt;D xsi:type="xsd:double"&gt;3345&lt;/D&gt;&lt;/FQL&gt;&lt;FQL&gt;&lt;Q&gt;Ticker0024^FE_ESTIMATE(PRODLINE_EBIT_17,MEAN,QUARTERLY_ROLL,2023/1F,45595,,,'')&lt;/Q&gt;&lt;R&gt;1&lt;/R&gt;&lt;C&gt;1&lt;/C&gt;&lt;D xsi:type="xsd:double"&gt;4241.4&lt;/D&gt;&lt;/FQL&gt;&lt;FQL&gt;&lt;Q&gt;Ticker0024^FE_ESTIMATE(PRODLINE_EBIT_17,MEAN,ANNUAL_ROLL,2022,45595,,,'')&lt;/Q&gt;&lt;R&gt;1&lt;/R&gt;&lt;C&gt;1&lt;/C&gt;&lt;D xsi:type="xsd:double"&gt;20975.2&lt;/D&gt;&lt;/FQL&gt;&lt;FQL&gt;&lt;Q&gt;Ticker0024^FE_ESTIMATE(PRODLINE_EBIT_17,MEAN,QUARTERLY_ROLL,2022/4F,45595,,,'')&lt;/Q&gt;&lt;R&gt;1&lt;/R&gt;&lt;C&gt;1&lt;/C&gt;&lt;D xsi:type="xsd:double"&gt;4619.2&lt;/D&gt;&lt;/FQL&gt;&lt;FQL&gt;&lt;Q&gt;Ticker0024^FE_ESTIMATE(PRODLINE_EBIT_17,MEAN,QUARTERLY_ROLL,2022/3F,45595,,,'')&lt;/Q&gt;&lt;R&gt;1&lt;/R&gt;&lt;C&gt;1&lt;/C&gt;&lt;D xsi:type="xsd:double"&gt;4899&lt;/D&gt;&lt;/FQL&gt;&lt;FQL&gt;&lt;Q&gt;Ticker0024^FE_ESTIMATE(PRODLINE_EBIT_17,MEAN,QUARTERLY_ROLL,2022/2F,45595,,,'')&lt;/Q&gt;&lt;R&gt;1&lt;/R&gt;&lt;C&gt;1&lt;/C&gt;&lt;D xsi:type="xsd:double"&gt;6360&lt;/D&gt;&lt;/FQL&gt;&lt;FQL&gt;&lt;Q&gt;Ticker0024^FE_ESTIMATE(PRODLINE_EBIT_17,MEAN,QUARTERLY_ROLL,2022/1F,45595,,,'')&lt;/Q&gt;&lt;R&gt;1&lt;/R&gt;&lt;C&gt;1&lt;/C&gt;&lt;D xsi:type="xsd:double"&gt;5095&lt;/D&gt;&lt;/FQL&gt;&lt;FQL&gt;&lt;Q&gt;Ticker0024^FE_ESTIMATE(PRODLINE_EBIT_17,MEAN,ANNUAL_ROLL,2021,45595,,,'')&lt;/Q&gt;&lt;R&gt;1&lt;/R&gt;&lt;C&gt;1&lt;/C&gt;&lt;D xsi:type="xsd:double"&gt;19439.25&lt;/D&gt;&lt;/FQL&gt;&lt;FQL&gt;&lt;Q&gt;Ticker0024^FE_ESTIMATE(PRODLINE_EBIT_17,MEAN,QUARTERLY_ROLL,2021/4F,45595,,,'')&lt;/Q&gt;&lt;R&gt;1&lt;/R&gt;&lt;C&gt;1&lt;/C&gt;&lt;D xsi:type="xsd:double"&gt;4873&lt;/D&gt;&lt;/FQL&gt;&lt;FQL&gt;&lt;Q&gt;Ticker0024^FE_ESTIMATE(PRODLINE_EBIT_17,MEAN,QUARTERLY_ROLL,2021/3F,45595,,,'')&lt;/Q&gt;&lt;R&gt;1&lt;/R&gt;&lt;C&gt;1&lt;/C&gt;&lt;D xsi:type="xsd:double"&gt;4594&lt;/D&gt;&lt;/FQL&gt;&lt;FQL&gt;&lt;Q&gt;Ticker0024^FE_ESTIMATE(PRODLINE_EBIT_17,MEAN,QUARTERLY_ROLL,2021/2F,45595,,,'')&lt;/Q&gt;&lt;R&gt;1&lt;/R&gt;&lt;C&gt;1&lt;/C&gt;&lt;D xsi:type="xsd:double"&gt;5224&lt;/D&gt;&lt;/FQL&gt;&lt;FQL&gt;&lt;Q&gt;Ticker0024^FE_ESTIMATE(PRODLINE_EBIT_17,MEAN,QUARTERLY_ROLL,2021/1F,45595,,,'')&lt;/Q&gt;&lt;R&gt;1&lt;/R&gt;&lt;C&gt;1&lt;/C&gt;&lt;D xsi:type="xsd:double"&gt;4748&lt;/D&gt;&lt;/FQL&gt;&lt;FQL&gt;&lt;Q&gt;Ticker0024^FE_ESTIMATE(PRODLINE_EBIT_17,MEAN,ANNUAL_ROLL,2020,45595,,,'')&lt;/Q&gt;&lt;R&gt;1&lt;/R&gt;&lt;C&gt;1&lt;/C&gt;&lt;D xsi:type="xsd:double"&gt;15895.667&lt;/D&gt;&lt;/FQL&gt;&lt;FQL&gt;&lt;Q&gt;Ticker0024^FE_ESTIMATE(PRODLINE_EBIT_17,MEAN,QUARTERLY_ROLL,2020/4F,45595,,,'')&lt;/Q&gt;&lt;R&gt;1&lt;/R&gt;&lt;C&gt;1&lt;/C&gt;&lt;D xsi:type="xsd:double"&gt;4075.3333&lt;/D&gt;&lt;/FQL&gt;&lt;FQL&gt;&lt;Q&gt;Ticker0024^FE_ESTIMATE(PRODLINE_EBIT_17,MEAN,QUARTERLY_ROLL,2020/3F,45595,,,'')&lt;/Q&gt;&lt;R&gt;1&lt;/R&gt;&lt;C&gt;1&lt;/C&gt;&lt;D xsi:type="xsd:double"&gt;3627&lt;/D&gt;&lt;/FQL&gt;&lt;FQL&gt;&lt;Q&gt;Ticker0024^FE_ESTIMATE(PRODLINE_EBIT_17,MEAN,QUARTERLY_ROLL,2020/2F,45595,,,'')&lt;/Q&gt;&lt;R&gt;1&lt;/R&gt;&lt;C&gt;1&lt;/C&gt;&lt;D xsi:type="xsd:double"&gt;4178&lt;/D&gt;&lt;/FQL&gt;&lt;FQL&gt;&lt;Q&gt;Ticker0024^FE_ESTIMATE(PRODLINE_EBIT_17,MEAN,QUARTERLY_ROLL,2020/1F,45595,,,'')&lt;/Q&gt;&lt;R&gt;1&lt;/R&gt;&lt;C&gt;1&lt;/C&gt;&lt;D xsi:type="xsd:double"&gt;4015&lt;/D&gt;&lt;/FQL&gt;&lt;FQL&gt;&lt;Q&gt;Ticker0024^FE_ESTIMATE(PRODLINE_EBIT_17,MEAN,ANNUAL_ROLL,2019,45595,,,'')&lt;/Q&gt;&lt;R&gt;1&lt;/R&gt;&lt;C&gt;1&lt;/C&gt;&lt;D xsi:type="xsd:double"&gt;12820&lt;/D&gt;&lt;/FQL&gt;&lt;FQL&gt;&lt;Q&gt;Ticker0024^FE_ESTIMATE(PRODLINE_EBIT_17,MEAN,QUARTERLY_ROLL,2019/4F,45595,,,'')&lt;/Q&gt;&lt;R&gt;1&lt;/R&gt;&lt;C&gt;1&lt;/C&gt;&lt;D xsi:type="xsd:double"&gt;3559&lt;/D&gt;&lt;/FQL&gt;&lt;FQL&gt;&lt;Q&gt;Ticker0024^FE_ESTIMATE(PRODLINE_EBIT_17,MEAN,QUARTERLY_ROLL,2019/3F,45595,,,'')&lt;/Q&gt;&lt;R&gt;1&lt;/R&gt;&lt;C&gt;1&lt;/C&gt;&lt;D xsi:type="xsd:double"&gt;3154&lt;/D&gt;&lt;/FQL&gt;&lt;FQL&gt;&lt;Q&gt;Ticker0024^FE_ESTIMATE(PRODLINE_EBIT_17,MEAN,QUARTERLY_ROLL,2019/2F,45595,,,'')&lt;/Q&gt;&lt;R&gt;1&lt;/R&gt;&lt;C&gt;1&lt;/C&gt;&lt;D xsi:type="xsd:double"&gt;2964&lt;/D&gt;&lt;/FQL&gt;&lt;FQL&gt;&lt;Q&gt;Ticker0024^FE_ESTIMATE(PRODLINE_EBIT_17,MEAN,QUARTERLY_ROLL,2019/1F,45595,,,'')&lt;/Q&gt;&lt;R&gt;1&lt;/R&gt;&lt;C&gt;1&lt;/C&gt;&lt;D xsi:type="xsd:double"&gt;3143&lt;/D&gt;&lt;/FQL&gt;&lt;FQL&gt;&lt;Q&gt;Ticker0024^FE_ESTIMATE(PRODLINE_EBIT_17,MEAN,ANNUAL_ROLL,2018,45595,,,'')&lt;/Q&gt;&lt;R&gt;1&lt;/R&gt;&lt;C&gt;1&lt;/C&gt;&lt;D xsi:type="xsd:double"&gt;10610.25&lt;/D&gt;&lt;/FQL&gt;&lt;FQL&gt;&lt;Q&gt;Ticker0024^FE_ESTIMATE(PRODLINE_EBIT_17,MEAN,QUARTERLY_ROLL,2018/4F,45595,,,'')&lt;/Q&gt;&lt;R&gt;1&lt;/R&gt;&lt;C&gt;1&lt;/C&gt;&lt;D xsi:type="xsd:double"&gt;3012&lt;/D&gt;&lt;/FQL&gt;&lt;FQL&gt;&lt;Q&gt;Ticker0024^FE_ESTIMATE(PRODLINE_EBIT_17,MEAN,QUARTERLY_ROLL,2018/3F,45595,,,'')&lt;/Q&gt;&lt;R&gt;1&lt;/R&gt;&lt;C&gt;1&lt;/C&gt;&lt;D xsi:type="xsd:double"&gt;2523&lt;/D&gt;&lt;/FQL&gt;&lt;FQL&gt;&lt;Q&gt;Ticker0024^FE_ESTIMATE(PRODLINE_EBIT_17,MEAN,QUARTERLY_ROLL,2018/2F,45595,,,'')&lt;/Q&gt;&lt;R&gt;1&lt;/R&gt;&lt;C&gt;1&lt;/C&gt;&lt;D xsi:type="xsd:double"&gt;2510&lt;/D&gt;&lt;/FQL&gt;&lt;FQL&gt;&lt;Q&gt;Ticker0024^FE_ESTIMATE(PRODLINE_EBIT_17,MEAN,QUARTERLY_ROLL,2018/1F,45595,,,'')&lt;/Q&gt;&lt;R&gt;1&lt;/R&gt;&lt;C&gt;1&lt;/C&gt;&lt;D xsi:type="xsd:double"&gt;2565&lt;/D&gt;&lt;/FQL&gt;&lt;FQL&gt;&lt;Q&gt;Ticker0024^FE_ESTIMATE(PRODLINE_EBIT_17,MEAN,ANNUAL_ROLL,2017,45595,,,'')&lt;/Q&gt;&lt;R&gt;1&lt;/R&gt;&lt;C&gt;1&lt;/C&gt;&lt;D xsi:type="xsd:double"&gt;8288&lt;/D&gt;&lt;/FQL&gt;&lt;FQL&gt;&lt;Q&gt;Ticker0024^FE_ESTIMATE(PRODLINE_EBIT_17,MEAN,QUARTERLY_ROLL,2017/4F,45595,,,'')&lt;/Q&gt;&lt;R&gt;1&lt;/R&gt;&lt;C&gt;1&lt;/C&gt;&lt;D xsi:type="xsd:double"&gt;1764&lt;/D&gt;&lt;/FQL&gt;&lt;FQL&gt;&lt;Q&gt;Ticker0024^FE_ESTIMATE(PRODLINE_EBIT_17,MEAN,QUARTERLY_ROLL,2017/3F,45595,,,'')&lt;/Q&gt;&lt;R&gt;1&lt;/R&gt;&lt;C&gt;1&lt;/C&gt;&lt;D xsi:type="xsd:double"&gt;2097&lt;/D&gt;&lt;/FQL&gt;&lt;FQL&gt;&lt;Q&gt;Ticker0024^FE_ESTIMATE(PRODLINE_EBIT_17,MEAN,QUARTERLY_ROLL,2017/2F,45595,,,'')&lt;/Q&gt;&lt;R&gt;1&lt;/R&gt;&lt;C&gt;1&lt;/C&gt;&lt;D xsi:type="xsd:double"&gt;2499&lt;/D&gt;&lt;/FQL&gt;&lt;FQL&gt;&lt;Q&gt;Ticker0024^FE_ESTIMATE(PRODLINE_EBIT_17,MEAN,QUARTERLY_ROLL,2017/1F,45595,,,'')&lt;/Q&gt;&lt;R&gt;1&lt;/R&gt;&lt;C&gt;1&lt;/C&gt;&lt;D xsi:type="xsd:double"&gt;1928&lt;/D&gt;&lt;/FQL&gt;&lt;FQL&gt;&lt;Q&gt;Ticker0024^FE_ESTIMATE(PRODLINE_EBIT_17,MEAN,ANNUAL_ROLL,2016,45595,,,'')&lt;/Q&gt;&lt;R&gt;1&lt;/R&gt;&lt;C&gt;1&lt;/C&gt;&lt;D xsi:type="xsd:double"&gt;6167.3335&lt;/D&gt;&lt;/FQL&gt;&lt;FQL&gt;&lt;Q&gt;Ticker0024^FE_ESTIMATE(PRODLINE_EBIT_17,MEAN,QUARTERLY_ROLL,2016/4F,45595,,,'')&lt;/Q&gt;&lt;R&gt;1&lt;/R&gt;&lt;C&gt;1&lt;/C&gt;&lt;D xsi:type="xsd:double"&gt;964&lt;/D&gt;&lt;/FQL&gt;&lt;FQL&gt;&lt;Q&gt;Ticker0024^FE_ESTIMATE(PRODLINE_EBIT_17,MEAN,QUARTERLY_ROLL,2016/3F,45595,,,'')&lt;/Q&gt;&lt;R&gt;1&lt;/R&gt;&lt;C&gt;1&lt;/C&gt;&lt;D xsi:type="xsd:double"&gt;1645&lt;/D&gt;&lt;/FQL&gt;&lt;FQL&gt;&lt;Q&gt;Ticker0024^FE_ESTIMATE(PRODLINE_EBIT_17,MEAN,QUARTERLY_ROLL,2016/2F,45595,,,'')&lt;/Q&gt;&lt;R&gt;0&lt;/R&gt;&lt;C&gt;0&lt;/C&gt;&lt;/FQL&gt;&lt;FQL&gt;&lt;Q&gt;Ticker0024^FE_ESTIMATE(PRODLINE_EBIT_17,MEAN,QUARTERLY_ROLL,2016/1F,45595,,,'')&lt;/Q&gt;&lt;R&gt;0&lt;/R&gt;&lt;C&gt;0&lt;/C&gt;&lt;/FQL&gt;&lt;FQL&gt;&lt;Q&gt;Ticker0024^FE_ESTIMATE(PRODLINE_EBIT_17,MEAN,ANNUAL_ROLL,2015,45595,,,'')&lt;/Q&gt;&lt;R&gt;0&lt;/R&gt;&lt;C&gt;0&lt;/C&gt;&lt;/FQL&gt;&lt;FQL&gt;&lt;Q&gt;Ticker0024^FE_ESTIMATE(PRODLINE_EBIT_17,MEAN,QUARTERLY_ROLL,2015/4F,45595,,,'')&lt;/Q&gt;&lt;R&gt;0&lt;/R&gt;&lt;C&gt;0&lt;/C&gt;&lt;/FQL&gt;&lt;FQL&gt;&lt;Q&gt;Ticker0024^FE_ESTIMATE(PRODLINE_EBIT_17,MEAN,QUARTERLY_ROLL,2015/3F,45595,,,'')&lt;/Q&gt;&lt;R&gt;0&lt;/R&gt;&lt;C&gt;0&lt;/C&gt;&lt;/FQL&gt;&lt;FQL&gt;&lt;Q&gt;Ticker0024^FE_ESTIMATE(PRODLINE_EBIT_17,MEAN,QUARTERLY_ROLL,2015/2F,45595,,,'')&lt;/Q&gt;&lt;R&gt;0&lt;/R&gt;&lt;C&gt;0&lt;/C&gt;&lt;/FQL&gt;&lt;FQL&gt;&lt;Q&gt;Ticker0024^FE_ESTIMATE(PRODLINE_EBIT_17,MEAN,QUARTERLY_ROLL,2015/1F,45595,,,'')&lt;/Q&gt;&lt;R&gt;0&lt;/R&gt;&lt;C&gt;0&lt;/C&gt;&lt;/FQL&gt;&lt;FQL&gt;&lt;Q&gt;Ticker0024^FE_ESTIMATE(PRODLINE_EBIT_16,MEAN,ANNUAL_ROLL,2030,45595,,,'')&lt;/Q&gt;&lt;R&gt;0&lt;/R&gt;&lt;C&gt;0&lt;/C&gt;&lt;/FQL&gt;&lt;FQL&gt;&lt;Q&gt;Ticker0024^FE_ESTIMATE(PRODLINE_EBIT_16,MEAN,QUARTERLY_ROLL,2030/4F,45595,,,'')&lt;/Q&gt;&lt;R&gt;0&lt;/R&gt;&lt;C&gt;0&lt;/C&gt;&lt;/FQL&gt;&lt;FQL&gt;&lt;Q&gt;Ticker0024^FE_ESTIMATE(PRODLINE_EBIT_16,MEAN,QUARTERLY_ROLL,2030/3F,45595,,,'')&lt;/Q&gt;&lt;R&gt;0&lt;/R&gt;&lt;C&gt;0&lt;/C&gt;&lt;/FQL&gt;&lt;FQL&gt;&lt;Q&gt;Ticker0024^FE_ESTIMATE(PRODLINE_EBIT_16,MEAN,QUARTERLY_ROLL,2030/2F,45595,,,'')&lt;/Q&gt;&lt;R&gt;0&lt;/R&gt;&lt;C&gt;0&lt;/C&gt;&lt;/FQL&gt;&lt;FQL&gt;&lt;Q&gt;Ticker0024^FE_ESTIMATE(PRODLINE_EBIT_16,MEAN,QUARTERLY_ROLL,2030/1F,45595,,,'')&lt;/Q&gt;&lt;R&gt;0&lt;/R&gt;&lt;C&gt;0&lt;/C&gt;&lt;/FQL&gt;&lt;FQL&gt;&lt;Q&gt;Ticker0024^FE_ESTIMATE(PRODLINE_EBIT_16,MEAN,ANNUAL_ROLL,2029,45595,,,'')&lt;/Q&gt;&lt;R&gt;0&lt;/R&gt;&lt;C&gt;0&lt;/C&gt;&lt;/FQL&gt;&lt;FQL&gt;&lt;Q&gt;Ticker0024^FE_ESTIMATE(PRODLINE_EBIT_16,MEAN,QUARTERLY_ROLL,2029/4F,45595,,,'')&lt;/Q&gt;&lt;R&gt;0&lt;/R&gt;&lt;C&gt;0&lt;/C&gt;&lt;/FQL&gt;&lt;FQL&gt;&lt;Q&gt;Ticker0024^FE_ESTIMATE(PRODLINE_EBIT_16,MEAN,QUARTERLY_ROLL,2029/3F,45595,,,'')&lt;/Q&gt;&lt;R&gt;0&lt;/R&gt;&lt;C&gt;0&lt;/C&gt;&lt;/FQL&gt;&lt;FQL&gt;&lt;Q&gt;Ticker0024^FE_ESTIMATE(PRODLINE_EBIT_16,MEAN,QUARTERLY_ROLL,2029/2F,45595,,,'')&lt;/Q&gt;&lt;R&gt;0&lt;/R&gt;&lt;C&gt;0&lt;/C&gt;&lt;/FQL&gt;&lt;FQL&gt;&lt;Q&gt;Ticker0024^FE_ESTIMATE(PRODLINE_EBIT_16,MEAN,QUARTERLY_ROLL,2029/1F,45595,,,'')&lt;/Q&gt;&lt;R&gt;0&lt;/R&gt;&lt;C&gt;0&lt;/C&gt;&lt;/FQL&gt;&lt;FQL&gt;&lt;Q&gt;Ticker0024^FE_ESTIMATE(PRODLINE_EBIT_16,MEAN,ANNUAL_ROLL,2028,45595,,,'')&lt;/Q&gt;&lt;R&gt;1&lt;/R&gt;&lt;C&gt;1&lt;/C&gt;&lt;D xsi:type="xsd:double"&gt;90775&lt;/D&gt;&lt;/FQL&gt;&lt;FQL&gt;&lt;Q&gt;Ticker0024^FE_ESTIMATE(PRODLINE_EBIT_16,MEAN,QUARTERLY_ROLL,2028/4F,45595,,,'')&lt;/Q&gt;&lt;R&gt;0&lt;/R&gt;&lt;C&gt;0&lt;/C&gt;&lt;/FQL&gt;&lt;FQL&gt;&lt;Q&gt;Ticker0024^FE_ESTIMATE(PRODLINE_EBIT_16,MEAN,QUARTERLY_ROLL,2028/3F,45595,,,'')&lt;/Q&gt;&lt;R&gt;0&lt;/R&gt;&lt;C&gt;0&lt;/C&gt;&lt;/FQL&gt;&lt;FQL&gt;&lt;Q&gt;Ticker0024^FE_ESTIMATE(PRODLINE_EBIT_16,MEAN,QUARTERLY_ROLL,2028/2F,45595,,,'')&lt;/Q&gt;&lt;R&gt;0&lt;/R&gt;&lt;C&gt;0&lt;/C&gt;&lt;/FQL&gt;&lt;FQL&gt;&lt;Q&gt;Ticker0024^FE_ESTIMATE(PRODLINE_EBIT_16,MEAN,QUARTERLY_ROLL,2028/1F,45595,,,'')&lt;/Q&gt;&lt;R&gt;0&lt;/R&gt;&lt;C&gt;0&lt;/C&gt;&lt;/FQL&gt;&lt;FQL&gt;&lt;Q&gt;Ticker0024^FE_ESTIMATE(PRODLINE_EBIT_16,MEAN,ANNUAL_ROLL,2027,45595,,,'')&lt;/Q&gt;&lt;R&gt;1&lt;/R&gt;&lt;C&gt;1&lt;/C&gt;&lt;D xsi:type="xsd:double"&gt;79853&lt;/D&gt;&lt;/FQL&gt;&lt;FQL&gt;&lt;Q&gt;Ticker0024^FE_ESTIMATE(PRODLINE_EBIT_16,MEAN,QUARTERLY_ROLL,2027/4F,45595,,,'')&lt;/Q&gt;&lt;R&gt;0&lt;/R&gt;&lt;C&gt;0&lt;/C&gt;&lt;/FQL&gt;&lt;FQL&gt;&lt;Q&gt;Ticker0024^FE_ESTIMATE(PRODLINE_EBIT_16,MEAN,QUARTERLY_ROLL,2027/3F,45595,,,'')&lt;/Q&gt;&lt;R&gt;0&lt;/R&gt;&lt;C&gt;0&lt;/C&gt;&lt;/FQL&gt;&lt;FQL&gt;&lt;Q&gt;Ticker0024^FE_ESTIMATE(PRODLINE_EBIT_16,MEAN,QUARTERLY_ROLL,2027/2F,45595,,,'')&lt;/Q&gt;&lt;R&gt;0&lt;/R&gt;&lt;C&gt;0&lt;/C&gt;&lt;/FQL&gt;&lt;FQL&gt;&lt;Q&gt;Ticker0024^FE_ESTIMATE(PRODLINE_EBIT_16,MEAN,QUARTERLY_ROLL,2027/1F,45595,,,'')&lt;/Q&gt;&lt;R&gt;0&lt;/R&gt;&lt;C&gt;0&lt;/C&gt;&lt;/FQL&gt;&lt;FQL&gt;&lt;Q&gt;Ticker0024^FE_ESTIMATE(PRODLINE_EBIT_16,MEAN,ANNUAL_ROLL,2026,45595,,,'')&lt;/Q&gt;&lt;R&gt;1&lt;/R&gt;&lt;C&gt;1&lt;/C&gt;&lt;D xsi:type="xsd:double"&gt;68177.2&lt;/D&gt;&lt;/FQL&gt;&lt;FQL&gt;&lt;Q&gt;Ticker0024^FE_ESTIMATE(PRODLINE_EBIT_16,MEAN,QUARTERLY_ROLL,2026/4F,45595,,,'')&lt;/Q&gt;&lt;R&gt;1&lt;/R&gt;&lt;C&gt;1&lt;/C&gt;&lt;D xsi:type="xsd:double"&gt;18142.5&lt;/D&gt;&lt;/FQL&gt;&lt;FQL&gt;&lt;Q&gt;Ticker0024^FE_ESTIMATE(PRODLINE_EBIT_16,MEAN,QUARTERLY_ROLL,2026/3F,45595,,,'')&lt;/Q&gt;&lt;R&gt;1&lt;/R&gt;&lt;C&gt;1&lt;/C&gt;&lt;D xsi:type="xsd:double"&gt;16626&lt;/D&gt;&lt;/FQL&gt;&lt;FQL&gt;&lt;Q&gt;Ticker0024^FE_ESTIMATE(PRODLINE_EBIT_16,MEAN,QUARTERLY_ROLL,2026/2F,45595,,,'')&lt;/Q&gt;&lt;R&gt;1&lt;/R&gt;&lt;C&gt;1&lt;/C&gt;&lt;D xsi:type="xsd:double"&gt;16127.5&lt;/D&gt;&lt;/FQL&gt;&lt;FQL&gt;&lt;Q&gt;Ticker0024^FE_ESTIMATE(PRODLINE_EBIT_16,MEAN,QUARTERLY_ROLL,2026/1F,45595,,,'')&lt;/Q&gt;&lt;R&gt;1&lt;/R&gt;&lt;C&gt;1&lt;/C&gt;&lt;D xsi:type="xsd:double"&gt;15393&lt;/D&gt;&lt;/FQL&gt;&lt;FQL&gt;&lt;Q&gt;Ticker0024^FE_ESTIMATE(PRODLINE_EBIT_16,MEAN,ANNUAL_ROLL,2025,45595,,,'')&lt;/Q&gt;&lt;R&gt;1&lt;/R&gt;&lt;C&gt;1&lt;/C&gt;&lt;D xsi:type="xsd:double"&gt;53757.4&lt;/D&gt;&lt;/FQL&gt;&lt;FQL&gt;&lt;Q&gt;Ticker0024^FE_ESTIMAT</t>
        </r>
      </text>
    </comment>
    <comment ref="A5" authorId="0" shapeId="0" xr:uid="{3D7E2272-1DBC-45C9-921B-8DFE2B85FB2C}">
      <text>
        <r>
          <rPr>
            <b/>
            <sz val="9"/>
            <color indexed="81"/>
            <rFont val="Tahoma"/>
            <family val="2"/>
          </rPr>
          <t>E(PRODLINE_EBIT_16,MEAN,QUARTERLY_ROLL,2025/4F,45595,,,'')&lt;/Q&gt;&lt;R&gt;1&lt;/R&gt;&lt;C&gt;1&lt;/C&gt;&lt;D xsi:type="xsd:double"&gt;14604.4&lt;/D&gt;&lt;/FQL&gt;&lt;FQL&gt;&lt;Q&gt;Ticker0024^FE_ESTIMATE(PRODLINE_EBIT_16,MEAN,QUARTERLY_ROLL,2025/3F,45595,,,'')&lt;/Q&gt;&lt;R&gt;1&lt;/R&gt;&lt;C&gt;1&lt;/C&gt;&lt;D xsi:type="xsd:double"&gt;13576.2&lt;/D&gt;&lt;/FQL&gt;&lt;FQL&gt;&lt;Q&gt;Ticker0024^FE_ESTIMATE(PRODLINE_EBIT_16,MEAN,QUARTERLY_ROLL,2025/2F,45595,,,'')&lt;/Q&gt;&lt;R&gt;1&lt;/R&gt;&lt;C&gt;1&lt;/C&gt;&lt;D xsi:type="xsd:double"&gt;13168.8&lt;/D&gt;&lt;/FQL&gt;&lt;FQL&gt;&lt;Q&gt;Ticker0024^FE_ESTIMATE(PRODLINE_EBIT_16,MEAN,QUARTERLY_ROLL,2025/1F,45595,,,'')&lt;/Q&gt;&lt;R&gt;1&lt;/R&gt;&lt;C&gt;1&lt;/C&gt;&lt;D xsi:type="xsd:double"&gt;12408&lt;/D&gt;&lt;/FQL&gt;&lt;FQL&gt;&lt;Q&gt;Ticker0024^FE_ESTIMATE(PRODLINE_EBIT_16,MEAN,ANNUAL_ROLL,2024,45595,,,'')&lt;/Q&gt;&lt;R&gt;1&lt;/R&gt;&lt;C&gt;1&lt;/C&gt;&lt;D xsi:type="xsd:double"&gt;49583.2&lt;/D&gt;&lt;/FQL&gt;&lt;FQL&gt;&lt;Q&gt;Ticker0024^FE_ESTIMATE(PRODLINE_EBIT_16,MEAN,QUARTERLY_ROLL,2024/4F,45595,,,'')&lt;/Q&gt;&lt;R&gt;1&lt;/R&gt;&lt;C&gt;1&lt;/C&gt;&lt;D xsi:type="xsd:double"&gt;12859.2&lt;/D&gt;&lt;/FQL&gt;&lt;FQL&gt;&lt;Q&gt;Ticker0024^FE_ESTIMATE(PRODLINE_EBIT_16,MEAN,QUARTERLY_ROLL,2024/3F,45595,,,'')&lt;/Q&gt;&lt;R&gt;1&lt;/R&gt;&lt;C&gt;1&lt;/C&gt;&lt;D xsi:type="xsd:double"&gt;12512.571&lt;/D&gt;&lt;/FQL&gt;&lt;FQL&gt;&lt;Q&gt;Ticker0024^FE_ESTIMATE(PRODLINE_EBIT_16,MEAN,QUARTERLY_ROLL,2024/2F,45595,,,'')&lt;/Q&gt;&lt;R&gt;1&lt;/R&gt;&lt;C&gt;1&lt;/C&gt;&lt;D xsi:type="xsd:double"&gt;12460.833&lt;/D&gt;&lt;/FQL&gt;&lt;FQL&gt;&lt;Q&gt;Ticker0024^FE_ESTIMATE(PRODLINE_EBIT_16,MEAN,QUARTERLY_ROLL,2024/1F,45595,,,'')&lt;/Q&gt;&lt;R&gt;1&lt;/R&gt;&lt;C&gt;1&lt;/C&gt;&lt;D xsi:type="xsd:double"&gt;11750.8&lt;/D&gt;&lt;/FQL&gt;&lt;FQL&gt;&lt;Q&gt;Ticker0024^FE_ESTIMATE(PRODLINE_EBIT_16,MEAN,ANNUAL_ROLL,2023,45595,,,'')&lt;/Q&gt;&lt;R&gt;1&lt;/R&gt;&lt;C&gt;1&lt;/C&gt;&lt;D xsi:type="xsd:double"&gt;37883.2&lt;/D&gt;&lt;/FQL&gt;&lt;FQL&gt;&lt;Q&gt;Ticker0024^FE_ESTIMATE(PRODLINE_EBIT_16,MEAN,QUARTERLY_ROLL,2023/4F,45595,,,'')&lt;/Q&gt;&lt;R&gt;1&lt;/R&gt;&lt;C&gt;1&lt;/C&gt;&lt;D xsi:type="xsd:double"&gt;10526.8&lt;/D&gt;&lt;/FQL&gt;&lt;FQL&gt;&lt;Q&gt;Ticker0024^FE_ESTIMATE(PRODLINE_EBIT_16,MEAN,QUARTERLY_ROLL,2023/3F,45595,,,'')&lt;/Q&gt;&lt;R&gt;1&lt;/R&gt;&lt;C&gt;1&lt;/C&gt;&lt;D xsi:type="xsd:double"&gt;9476.8&lt;/D&gt;&lt;/FQL&gt;&lt;FQL&gt;&lt;Q&gt;Ticker0024^FE_ESTIMATE(PRODLINE_EBIT_16,MEAN,QUARTERLY_ROLL,2023/2F,45595,,,'')&lt;/Q&gt;&lt;R&gt;1&lt;/R&gt;&lt;C&gt;1&lt;/C&gt;&lt;D xsi:type="xsd:double"&gt;8903.2&lt;/D&gt;&lt;/FQL&gt;&lt;FQL&gt;&lt;Q&gt;Ticker0024^FE_ESTIMATE(PRODLINE_EBIT_16,MEAN,QUARTERLY_ROLL,2023/1F,45595,,,'')&lt;/Q&gt;&lt;R&gt;1&lt;/R&gt;&lt;C&gt;1&lt;/C&gt;&lt;D xsi:type="xsd:double"&gt;8954.6&lt;/D&gt;&lt;/FQL&gt;&lt;FQL&gt;&lt;Q&gt;Ticker0024^FE_ESTIMATE(PRODLINE_EBIT_16,MEAN,ANNUAL_ROLL,2022,45595,,,'')&lt;/Q&gt;&lt;R&gt;1&lt;/R&gt;&lt;C&gt;1&lt;/C&gt;&lt;D xsi:type="xsd:double"&gt;32708.6&lt;/D&gt;&lt;/FQL&gt;&lt;FQL&gt;&lt;Q&gt;Ticker0024^FE_ESTIMATE(PRODLINE_EBIT_16,MEAN,QUARTERLY_ROLL,2022/4F,45595,,,'')&lt;/Q&gt;&lt;R&gt;1&lt;/R&gt;&lt;C&gt;1&lt;/C&gt;&lt;D xsi:type="xsd:double"&gt;8668.8&lt;/D&gt;&lt;/FQL&gt;&lt;FQL&gt;&lt;Q&gt;Ticker0024^FE_ESTIMATE(PRODLINE_EBIT_16,MEAN,QUARTERLY_ROLL,2022/3F,45595,,,'')&lt;/Q&gt;&lt;R&gt;1&lt;/R&gt;&lt;C&gt;1&lt;/C&gt;&lt;D xsi:type="xsd:double"&gt;8281&lt;/D&gt;&lt;/FQL&gt;&lt;FQL&gt;&lt;Q&gt;Ticker0024^FE_ESTIMATE(PRODLINE_EBIT_16,MEAN,QUARTERLY_ROLL,2022/2F,45595,,,'')&lt;/Q&gt;&lt;R&gt;1&lt;/R&gt;&lt;C&gt;1&lt;/C&gt;&lt;D xsi:type="xsd:double"&gt;8197&lt;/D&gt;&lt;/FQL&gt;&lt;FQL&gt;&lt;Q&gt;Ticker0024^FE_ESTIMATE(PRODLINE_EBIT_16,MEAN,QUARTERLY_ROLL,2022/1F,45595,,,'')&lt;/Q&gt;&lt;R&gt;1&lt;/R&gt;&lt;C&gt;1&lt;/C&gt;&lt;D xsi:type="xsd:double"&gt;7562&lt;/D&gt;&lt;/FQL&gt;&lt;FQL&gt;&lt;Q&gt;Ticker0024^FE_ESTIMATE(PRODLINE_EBIT_16,MEAN,ANNUAL_ROLL,2021,45595,,,'')&lt;/Q&gt;&lt;R&gt;1&lt;/R&gt;&lt;C&gt;1&lt;/C&gt;&lt;D xsi:type="xsd:double"&gt;26126&lt;/D&gt;&lt;/FQL&gt;&lt;FQL&gt;&lt;Q&gt;Ticker0024^FE_ESTIMATE(PRODLINE_EBIT_16,MEAN,QUARTERLY_ROLL,2021/4F,45595,,,'')&lt;/Q&gt;&lt;R&gt;1&lt;/R&gt;&lt;C&gt;1&lt;/C&gt;&lt;D xsi:type="xsd:double"&gt;7787&lt;/D&gt;&lt;/FQL&gt;&lt;FQL&gt;&lt;Q&gt;Ticker0024^FE_ESTIMATE(PRODLINE_EBIT_16,MEAN,QUARTERLY_ROLL,2021/3F,45595,,,'')&lt;/Q&gt;&lt;R&gt;1&lt;/R&gt;&lt;C&gt;1&lt;/C&gt;&lt;D xsi:type="xsd:double"&gt;6425&lt;/D&gt;&lt;/FQL&gt;&lt;FQL&gt;&lt;Q&gt;Ticker0024^FE_ESTIMATE(PRODLINE_EBIT_16,MEAN,QUARTERLY_ROLL,2021/2F,45595,,,'')&lt;/Q&gt;&lt;R&gt;1&lt;/R&gt;&lt;C&gt;1&lt;/C&gt;&lt;D xsi:type="xsd:double"&gt;6492&lt;/D&gt;&lt;/FQL&gt;&lt;FQL&gt;&lt;Q&gt;Ticker0024^FE_ESTIMATE(PRODLINE_EBIT_16,MEAN,QUARTERLY_ROLL,2021/1F,45595,,,'')&lt;/Q&gt;&lt;R&gt;1&lt;/R&gt;&lt;C&gt;1&lt;/C&gt;&lt;D xsi:type="xsd:double"&gt;5422&lt;/D&gt;&lt;/FQL&gt;&lt;FQL&gt;&lt;Q&gt;Ticker0024^FE_ESTIMATE(PRODLINE_EBIT_16,MEAN,ANNUAL_ROLL,2020,45595,,,'')&lt;/Q&gt;&lt;R&gt;1&lt;/R&gt;&lt;C&gt;1&lt;/C&gt;&lt;D xsi:type="xsd:double"&gt;18188.334&lt;/D&gt;&lt;/FQL&gt;&lt;FQL&gt;&lt;Q&gt;Ticker0024^FE_ESTIMATE(PRODLINE_EBIT_16,MEAN,QUARTERLY_ROLL,2020/4F,45595,,,'')&lt;/Q&gt;&lt;R&gt;1&lt;/R&gt;&lt;C&gt;1&lt;/C&gt;&lt;D xsi:type="xsd:double"&gt;5208.3335&lt;/D&gt;&lt;/FQL&gt;&lt;FQL&gt;&lt;Q&gt;Ticker0024^FE_ESTIMATE(PRODLINE_EBIT_16,MEAN,QUARTERLY_ROLL,2020/3F,45595,,,'')&lt;/Q&gt;&lt;R&gt;1&lt;/R&gt;&lt;C&gt;1&lt;/C&gt;&lt;D xsi:type="xsd:double"&gt;4560&lt;/D&gt;&lt;/FQL&gt;&lt;FQL&gt;&lt;Q&gt;Ticker0024^FE_ESTIMATE(PRODLINE_EBIT_16,MEAN,QUARTERLY_ROLL,2020/2F,45595,,,'')&lt;/Q&gt;&lt;R&gt;1&lt;/R&gt;&lt;C&gt;1&lt;/C&gt;&lt;D xsi:type="xsd:double"&gt;4531&lt;/D&gt;&lt;/FQL&gt;&lt;FQL&gt;&lt;Q&gt;Ticker0024^FE_ESTIMATE(PRODLINE_EBIT_16,MEAN,QUARTERLY_ROLL,2020/1F,45595,,,'')&lt;/Q&gt;&lt;R&gt;1&lt;/R&gt;&lt;C&gt;1&lt;/C&gt;&lt;D xsi:type="xsd:double"&gt;3889&lt;/D&gt;&lt;/FQL&gt;&lt;FQL&gt;&lt;Q&gt;Ticker0024^FE_ESTIMATE(PRODLINE_EBIT_16,MEAN,ANNUAL_ROLL,2019,45595,,,'')&lt;/Q&gt;&lt;R&gt;1&lt;/R&gt;&lt;C&gt;1&lt;/C&gt;&lt;D xsi:type="xsd:double"&gt;13920&lt;/D&gt;&lt;/FQL&gt;&lt;FQL&gt;&lt;Q&gt;Ticker0024^FE_ESTIMATE(PRODLINE_EBIT_16,MEAN,QUARTERLY_ROLL,2019/4F,45595,,,'')&lt;/Q&gt;&lt;R&gt;1&lt;/R&gt;&lt;C&gt;1&lt;/C&gt;&lt;D xsi:type="xsd:double"&gt;4502&lt;/D&gt;&lt;/FQL&gt;&lt;FQL&gt;&lt;Q&gt;Ticker0024^FE_ESTIMATE(PRODLINE_EBIT_16,MEAN,QUARTERLY_ROLL,2019/3F,45595,,,'')&lt;/Q&gt;&lt;R&gt;1&lt;/R&gt;&lt;C&gt;1&lt;/C&gt;&lt;D xsi:type="xsd:double"&gt;3208&lt;/D&gt;&lt;/FQL&gt;&lt;FQL&gt;&lt;Q&gt;Ticker0024^FE_ESTIMATE(PRODLINE_EBIT_16,MEAN,QUARTERLY_ROLL,2019/2F,45595,,,'')&lt;/Q&gt;&lt;R&gt;1&lt;/R&gt;&lt;C&gt;1&lt;/C&gt;&lt;D xsi:type="xsd:double"&gt;3278.75&lt;/D&gt;&lt;/FQL&gt;&lt;FQL&gt;&lt;Q&gt;Ticker0024^FE_ESTIMATE(PRODLINE_EBIT_16,MEAN,QUARTERLY_ROLL,2019/1F,45595,,,'')&lt;/Q&gt;&lt;R&gt;1&lt;/R&gt;&lt;C&gt;1&lt;/C&gt;&lt;D xsi:type="xsd:double"&gt;2931&lt;/D&gt;&lt;/FQL&gt;&lt;FQL&gt;&lt;Q&gt;Ticker0024^FE_ESTIMATE(PRODLINE_EBIT_16,MEAN,ANNUAL_ROLL,2018,45595,,,'')&lt;/Q&gt;&lt;R&gt;1&lt;/R&gt;&lt;C&gt;1&lt;/C&gt;&lt;D xsi:type="xsd:double"&gt;11524&lt;/D&gt;&lt;/FQL&gt;&lt;FQL&gt;&lt;Q&gt;Ticker0024^FE_ESTIMATE(PRODLINE_EBIT_16,MEAN,QUARTERLY_ROLL,2018/4F,45595,,,'')&lt;/Q&gt;&lt;R&gt;1&lt;/R&gt;&lt;C&gt;1&lt;/C&gt;&lt;D xsi:type="xsd:double"&gt;3901&lt;/D&gt;&lt;/FQL&gt;&lt;FQL&gt;&lt;Q&gt;Ticker0024^FE_ESTIMATE(PRODLINE_EBIT_16,MEAN,QUARTERLY_ROLL,2018/3F,45595,,,'')&lt;/Q&gt;&lt;R&gt;1&lt;/R&gt;&lt;C&gt;1&lt;/C&gt;&lt;D xsi:type="xsd:double"&gt;2654&lt;/D&gt;&lt;/FQL&gt;&lt;FQL&gt;&lt;Q&gt;Ticker0024^FE_ESTIMATE(PRODLINE_EBIT_16,MEAN,QUARTERLY_ROLL,2018/2F,45595,,,'')&lt;/Q&gt;&lt;R&gt;1&lt;/R&gt;&lt;C&gt;1&lt;/C&gt;&lt;D xsi:type="xsd:double"&gt;2832&lt;/D&gt;&lt;/FQL&gt;&lt;FQL&gt;&lt;Q&gt;Ticker0024^FE_ESTIMATE(PRODLINE_EBIT_16,MEAN,QUARTERLY_ROLL,2018/1F,45595,,,'')&lt;/Q&gt;&lt;R&gt;1&lt;/R&gt;&lt;C&gt;1&lt;/C&gt;&lt;D xsi:type="xsd:double"&gt;2137&lt;/D&gt;&lt;/FQL&gt;&lt;FQL&gt;&lt;Q&gt;Ticker0024^FE_ESTIMATE(PRODLINE_EBIT_16,MEAN,ANNUAL_ROLL,2017,45595,,,'')&lt;/Q&gt;&lt;R&gt;1&lt;/R&gt;&lt;C&gt;1&lt;/C&gt;&lt;D xsi:type="xsd:double"&gt;9138&lt;/D&gt;&lt;/FQL&gt;&lt;FQL&gt;&lt;Q&gt;Ticker0024^FE_ESTIMATE(PRODLINE_EBIT_16,MEAN,QUARTERLY_ROLL,2017/4F,45595,,,'')&lt;/Q&gt;&lt;R&gt;1&lt;/R&gt;&lt;C&gt;1&lt;/C&gt;&lt;D xsi:type="xsd:double"&gt;2501&lt;/D&gt;&lt;/FQL&gt;&lt;FQL&gt;&lt;Q&gt;Ticker0024^FE_ESTIMATE(PRODLINE_EBIT_16,MEAN,QUARTERLY_ROLL,2017/3F,45595,,,'')&lt;/Q&gt;&lt;R&gt;1&lt;/R&gt;&lt;C&gt;1&lt;/C&gt;&lt;D xsi:type="xsd:double"&gt;2181&lt;/D&gt;&lt;/FQL&gt;&lt;FQL&gt;&lt;Q&gt;Ticker0024^FE_ESTIMATE(PRODLINE_EBIT_16,MEAN,QUARTERLY_ROLL,2017/2F,45595,,,'')&lt;/Q&gt;&lt;R&gt;1&lt;/R&gt;&lt;C&gt;1&lt;/C&gt;&lt;D xsi:type="xsd:double"&gt;2398&lt;/D&gt;&lt;/FQL&gt;&lt;FQL&gt;&lt;Q&gt;Ticker0024^FE_ESTIMATE(PRODLINE_EBIT_16,MEAN,QUARTERLY_ROLL,2017/1F,45595,,,'')&lt;/Q&gt;&lt;R&gt;1&lt;/R&gt;&lt;C&gt;1&lt;/C&gt;&lt;D xsi:type="xsd:double"&gt;2058&lt;/D&gt;&lt;/FQL&gt;&lt;FQL&gt;&lt;Q&gt;Ticker0024^FE_ESTIMATE(PRODLINE_EBIT_16,MEAN,ANNUAL_ROLL,2016,45595,,,'')&lt;/Q&gt;&lt;R&gt;1&lt;/R&gt;&lt;C&gt;1&lt;/C&gt;&lt;D xsi:type="xsd:double"&gt;9357&lt;/D&gt;&lt;/FQL&gt;&lt;FQL&gt;&lt;Q&gt;Ticker0024^FE_ESTIMATE(PRODLINE_EBIT_16,MEAN,QUARTERLY_ROLL,2016/4F,45595,,,'')&lt;/Q&gt;&lt;R&gt;1&lt;/R&gt;&lt;C&gt;1&lt;/C&gt;&lt;D xsi:type="xsd:double"&gt;2190&lt;/D&gt;&lt;/FQL&gt;&lt;FQL&gt;&lt;Q&gt;Ticker0024^FE_ESTIMATE(PRODLINE_EBIT_16,MEAN,QUARTERLY_ROLL,2016/3F,45595,,,'')&lt;/Q&gt;&lt;R&gt;1&lt;/R&gt;&lt;C&gt;1&lt;/C&gt;&lt;D xsi:type="xsd:double"&gt;2188&lt;/D&gt;&lt;/FQL&gt;&lt;FQL&gt;&lt;Q&gt;Ticker0024^FE_ESTIMATE(PRODLINE_EBIT_16,MEAN,QUARTERLY_ROLL,2016/2F,45595,,,'')&lt;/Q&gt;&lt;R&gt;0&lt;/R&gt;&lt;C&gt;0&lt;/C&gt;&lt;/FQL&gt;&lt;FQL&gt;&lt;Q&gt;Ticker0024^FE_ESTIMATE(PRODLINE_EBIT_16,MEAN,QUARTERLY_ROLL,2016/1F,45595,,,'')&lt;/Q&gt;&lt;R&gt;0&lt;/R&gt;&lt;C&gt;0&lt;/C&gt;&lt;/FQL&gt;&lt;FQL&gt;&lt;Q&gt;Ticker0024^FE_ESTIMATE(PRODLINE_EBIT_16,MEAN,ANNUAL_ROLL,2015,45595,,,'')&lt;/Q&gt;&lt;R&gt;0&lt;/R&gt;&lt;C&gt;0&lt;/C&gt;&lt;/FQL&gt;&lt;FQL&gt;&lt;Q&gt;Ticker0024^FE_ESTIMATE(PRODLINE_EBIT_16,MEAN,QUARTERLY_ROLL,2015/4F,45595,,,'')&lt;/Q&gt;&lt;R&gt;0&lt;/R&gt;&lt;C&gt;0&lt;/C&gt;&lt;/FQL&gt;&lt;FQL&gt;&lt;Q&gt;Ticker0024^FE_ESTIMATE(PRODLINE_EBIT_16,MEAN,QUARTERLY_ROLL,2015/3F,45595,,,'')&lt;/Q&gt;&lt;R&gt;0&lt;/R&gt;&lt;C&gt;0&lt;/C&gt;&lt;/FQL&gt;&lt;FQL&gt;&lt;Q&gt;Ticker0024^FE_ESTIMATE(PRODLINE_EBIT_16,MEAN,QUARTERLY_ROLL,2015/2F,45595,,,'')&lt;/Q&gt;&lt;R&gt;0&lt;/R&gt;&lt;C&gt;0&lt;/C&gt;&lt;/FQL&gt;&lt;FQL&gt;&lt;Q&gt;Ticker0024^FE_ESTIMATE(PRODLINE_EBIT_16,MEAN,QUARTERLY_ROLL,2015/1F,45595,,,'')&lt;/Q&gt;&lt;R&gt;0&lt;/R&gt;&lt;C&gt;0&lt;/C&gt;&lt;/FQL&gt;&lt;FQL&gt;&lt;Q&gt;Ticker0024^FE_ESTIMATE(PRODLINE_EBIT_15,MEAN,ANNUAL_ROLL,2030,45595,,,'')&lt;/Q&gt;&lt;R&gt;0&lt;/R&gt;&lt;C&gt;0&lt;/C&gt;&lt;/FQL&gt;&lt;FQL&gt;&lt;Q&gt;Ticker0024^FE_ESTIMATE(PRODLINE_EBIT_15,MEAN,QUARTERLY_ROLL,2030/4F,45595,,,'')&lt;/Q&gt;&lt;R&gt;0&lt;/R&gt;&lt;C&gt;0&lt;/C&gt;&lt;/FQL&gt;&lt;FQL&gt;&lt;Q&gt;Ticker0024^FE_ESTIMATE(PRODLINE_EBIT_15,MEAN,QUARTERLY_ROLL,2030/3F,45595,,,'')&lt;/Q&gt;&lt;R&gt;0&lt;/R&gt;&lt;C&gt;0&lt;/C&gt;&lt;/FQL&gt;&lt;FQL&gt;&lt;Q&gt;Ticker0024^FE_ESTIMATE(PRODLINE_EBIT_15,MEAN,QUARTERLY_ROLL,2030/2F,45595,,,'')&lt;/Q&gt;&lt;R&gt;0&lt;/R&gt;&lt;C&gt;0&lt;/C&gt;&lt;/FQL&gt;&lt;FQL&gt;&lt;Q&gt;Ticker0024^FE_ESTIMATE(PRODLINE_EBIT_15,MEAN,QUARTERLY_ROLL,2030/1F,45595,,,'')&lt;/Q&gt;&lt;R&gt;0&lt;/R&gt;&lt;C&gt;0&lt;/C&gt;&lt;/FQL&gt;&lt;FQL&gt;&lt;Q&gt;Ticker0024^FE_ESTIMATE(PRODLINE_EBIT_15,MEAN,ANNUAL_ROLL,2029,45595,,,'')&lt;/Q&gt;&lt;R&gt;0&lt;/R&gt;&lt;C&gt;0&lt;/C&gt;&lt;/FQL&gt;&lt;FQL&gt;&lt;Q&gt;Ticker0024^FE_ESTIMATE(PRODLINE_EBIT_15,MEAN,QUARTERLY_ROLL,2029/4F,45595,,,'')&lt;/Q&gt;&lt;R&gt;0&lt;/R&gt;&lt;C&gt;0&lt;/C&gt;&lt;/FQL&gt;&lt;FQL&gt;&lt;Q&gt;Ticker0024^FE_ESTIMATE(PRODLINE_EBIT_15,MEAN,QUARTERLY_ROLL,2029/3F,45595,,,'')&lt;/Q&gt;&lt;R&gt;0&lt;/R&gt;&lt;C&gt;0&lt;/C&gt;&lt;/FQL&gt;&lt;FQL&gt;&lt;Q&gt;Ticker0024^FE_ESTIMATE(PRODLINE_EBIT_15,MEAN,QUARTERLY_ROLL,2029/2F,45595,,,'')&lt;/Q&gt;&lt;R&gt;0&lt;/R&gt;&lt;C&gt;0&lt;/C&gt;&lt;/FQL&gt;&lt;FQL&gt;&lt;Q&gt;Ticker0024^FE_ESTIMATE(PRODLINE_EBIT_15,MEAN,QUARTERLY_ROLL,2029/1F,45595,,,'')&lt;/Q&gt;&lt;R&gt;0&lt;/R&gt;&lt;C&gt;0&lt;/C&gt;&lt;/FQL&gt;&lt;FQL&gt;&lt;Q&gt;Ticker0024^FE_ESTIMATE(PRODLINE_EBIT_15,MEAN,ANNUAL_ROLL,2028,45595,,,'')&lt;/Q&gt;&lt;R&gt;1&lt;/R&gt;&lt;C&gt;1&lt;/C&gt;&lt;D xsi:type="xsd:double"&gt;72280&lt;/D&gt;&lt;/FQL&gt;&lt;FQL&gt;&lt;Q&gt;Ticker0024^FE_ESTIMATE(PRODLINE_EBIT_15,MEAN,QUARTERLY_ROLL,2028/4F,45595,,,'')&lt;/Q&gt;&lt;R&gt;0&lt;/R&gt;&lt;C&gt;0&lt;/C&gt;&lt;/FQL&gt;&lt;FQL&gt;&lt;Q&gt;Ticker0024^FE_ESTIMATE(PRODLINE_EBIT_15,MEAN,QUARTERLY_ROLL,2028/3F,45595,,,'')&lt;/Q&gt;&lt;R&gt;0&lt;/R&gt;&lt;C&gt;0&lt;/C&gt;&lt;/FQL&gt;&lt;FQL&gt;&lt;Q&gt;Ticker0024^FE_ESTIMATE(PRODLINE_EBIT_15,MEAN,QUARTERLY_ROLL,2028/2F,45595,,,'')&lt;/Q&gt;&lt;R&gt;0&lt;/R&gt;&lt;C&gt;0&lt;/C&gt;&lt;/FQL&gt;&lt;FQL&gt;&lt;Q&gt;Ticker0024^FE_ESTIMATE(PRODLINE_EBIT_15,MEAN,QUARTERLY_ROLL,2028/1F,45595,,,'')&lt;/Q&gt;&lt;R&gt;0&lt;/R&gt;&lt;C&gt;0&lt;/C&gt;&lt;/FQL&gt;&lt;FQL&gt;&lt;Q&gt;Ticker0024^FE_ESTIMATE(PRODLINE_EBIT_15,MEAN,ANNUAL_ROLL,2027,45595,,,'')&lt;/Q&gt;&lt;R&gt;1&lt;/R&gt;&lt;C&gt;1&lt;/C&gt;&lt;D xsi:type="xsd:double"&gt;60094&lt;/D&gt;&lt;/FQL&gt;&lt;FQL&gt;&lt;Q&gt;Ticker0024^FE_ESTIMATE(PRODLINE_EBIT_15,MEAN,QUARTERLY_ROLL,2027/4F,45595,,,'')&lt;/Q&gt;&lt;R&gt;0&lt;/R&gt;&lt;C&gt;0&lt;/C&gt;&lt;/FQL&gt;&lt;FQL&gt;&lt;Q&gt;Ticker0024^FE_ESTIMATE(PRODLINE_EBIT_15,MEAN,QUARTERLY_ROLL,2027/3F,45595,,,'')&lt;/Q&gt;&lt;R&gt;0&lt;/R&gt;&lt;C&gt;0&lt;/C&gt;&lt;/FQL&gt;&lt;FQL&gt;&lt;Q&gt;Ticker0024^FE_ESTIMATE(PRODLINE_EBIT_15,MEAN,QUARTERLY_ROLL,2027/2F,45595,,,'')&lt;/Q&gt;&lt;R&gt;0&lt;/R&gt;&lt;C&gt;0&lt;/C&gt;&lt;/FQL&gt;&lt;FQL&gt;&lt;Q&gt;Ticker0024^FE_ESTIMATE(PRODLINE_EBIT_15,MEAN,QUARTERLY_ROLL,2027/1F,45595,,,'')&lt;/Q&gt;&lt;R&gt;0&lt;/R&gt;&lt;C&gt;0&lt;/C&gt;&lt;/FQL&gt;&lt;FQL&gt;&lt;Q&gt;Ticker0024^FE_ESTIMATE(PRODLINE_EBIT_15,MEAN,ANNUAL_ROLL,2026,45595,,,'')&lt;/Q&gt;&lt;R&gt;1&lt;/R&gt;&lt;C&gt;1&lt;/C&gt;&lt;D xsi:type="xsd:double"&gt;52029.6&lt;/D&gt;&lt;/FQL&gt;&lt;FQL&gt;&lt;Q&gt;Ticker0024^FE_ESTIMATE(PRODLINE_EBIT_15,MEAN,QUARTERLY_ROLL,2026/4F,45595,,,'')&lt;/Q&gt;&lt;R&gt;1&lt;/R&gt;&lt;C&gt;1&lt;/C&gt;&lt;D xsi:type="xsd:double"&gt;12616.5&lt;/D&gt;&lt;/FQL&gt;&lt;FQL&gt;&lt;Q&gt;Ticker0024^FE_ESTIMATE(PRODLINE_EBIT_15,MEAN,QUARTERLY_ROLL,2026/3F,45595,,,'')&lt;/Q&gt;&lt;R&gt;1&lt;/R&gt;&lt;C&gt;1&lt;/C&gt;&lt;D xsi:type="xsd:double"&gt;12427.5&lt;/D&gt;&lt;/FQL&gt;&lt;FQL&gt;&lt;Q&gt;Ticker0024^FE_ESTIMATE(PRODLINE_EBIT_15,MEAN,QUARTERLY_ROLL,2026/2F,45595,,,'')&lt;/Q&gt;&lt;R&gt;1&lt;/R&gt;&lt;C&gt;1&lt;/C&gt;&lt;D xsi:type="xsd:double"&gt;12611.5&lt;/D&gt;&lt;/FQL&gt;&lt;FQL&gt;&lt;Q&gt;Ticker0024^FE_ESTIMATE(PRODLINE_EBIT_15,MEAN,QUARTERLY_ROLL,2026/1F,45595,,,'')&lt;/Q&gt;&lt;R&gt;1&lt;/R&gt;&lt;C&gt;1&lt;/C&gt;&lt;D xsi:type="xsd:double"&gt;12107&lt;/D&gt;&lt;/FQL&gt;&lt;FQL&gt;&lt;Q&gt;Ticker0024^FE_ESTIMATE(PRODLINE_EBIT_15,MEAN,ANNUAL_ROLL,2025,45595,,,'')&lt;/Q&gt;&lt;R&gt;1&lt;/R&gt;&lt;C&gt;1&lt;/C&gt;&lt;D xsi:type="xsd:double"&gt;49819.2&lt;/D&gt;&lt;/FQL&gt;&lt;FQL&gt;&lt;Q&gt;Ticker0024^FE_ESTIMATE(PRODLINE_EBIT_15,MEAN,QUARTERLY_ROLL,2025/4F,45595,,,'')&lt;/Q&gt;&lt;R&gt;1&lt;/R&gt;&lt;C&gt;1&lt;/C&gt;&lt;D xsi:type="xsd:double"&gt;12773.6&lt;/D&gt;&lt;/FQL&gt;&lt;FQL&gt;&lt;Q&gt;Ticker0024^FE_ESTIMATE(PRODLINE_EBIT_15,MEAN,QUARTERLY_ROLL,2025/3F,45595,,,'')&lt;/Q&gt;&lt;R&gt;1&lt;/R&gt;&lt;C&gt;1&lt;/C&gt;&lt;D xsi:type="xsd:double"&gt;12449.6&lt;/D&gt;&lt;/FQL&gt;&lt;FQL&gt;&lt;Q&gt;Ticker0024^FE_ESTIMATE(PRODLINE_EBIT_15,MEAN,QUARTERLY_ROLL,2025/2F,45595,,,'')&lt;/Q&gt;&lt;R&gt;1&lt;/R&gt;&lt;C&gt;1&lt;/C&gt;&lt;D xsi:type="xsd:double"&gt;12450.8&lt;/D&gt;&lt;/FQL&gt;&lt;FQL&gt;&lt;Q&gt;Ticker0024^FE_ESTIMATE(PRODLINE_EBIT_15,MEAN,QUARTERLY_ROLL,2025/1F,45595,,,'')&lt;/Q&gt;&lt;R&gt;1&lt;/R&gt;&lt;C&gt;1&lt;/C&gt;&lt;D xsi:type="xsd:double"&gt;12144.8&lt;/D&gt;&lt;/FQL&gt;&lt;FQL&gt;&lt;Q&gt;Ticker0024^FE_ESTIMATE(PRODLINE_EBIT_15,MEAN,ANNUAL_ROLL,2024,45595,,,'')&lt;/Q&gt;&lt;R&gt;1&lt;/R&gt;&lt;C&gt;1&lt;/C&gt;&lt;D xsi:type="xsd:double"&gt;40540&lt;/D&gt;&lt;/FQL&gt;&lt;FQL&gt;&lt;Q&gt;Ticker0024^FE_ESTIMATE(PRODLINE_EBIT_15,MEAN,QUARTERLY_ROLL,2024/4F,45595,,,'')&lt;/Q&gt;&lt;R&gt;1&lt;/R&gt;&lt;C&gt;1&lt;/C&gt;&lt;D xsi:type="xsd:double"&gt;10142.4&lt;/D&gt;&lt;/FQL&gt;&lt;FQL&gt;&lt;Q&gt;Ticker0024^FE_ESTIMATE(PRODLINE_EBIT_15,MEAN,QUARTERLY_ROLL,2024/3F,45595,,,'')&lt;/Q&gt;&lt;R&gt;1&lt;/R&gt;&lt;C&gt;1&lt;/C&gt;&lt;D xsi:type="xsd:double"&gt;10142.571&lt;/D&gt;&lt;/FQL&gt;&lt;FQL&gt;&lt;Q&gt;Ticker0024^FE_ESTIMATE(PRODLINE_EBIT_15,MEAN,QUARTERLY_ROLL,2024/2F,45595,,,'')&lt;/Q&gt;&lt;R&gt;1&lt;/R&gt;&lt;C&gt;1&lt;/C&gt;&lt;D xsi:type="xsd:double"&gt;10283.333&lt;/D&gt;&lt;/FQL&gt;&lt;FQL&gt;&lt;Q&gt;Ticker0024^FE_ESTIMATE(PRODLINE_EBIT_15,MEAN,QUARTERLY_ROLL,2024/1F,45595,,,'')&lt;/Q&gt;&lt;R&gt;1&lt;/R&gt;&lt;C&gt;1&lt;/C&gt;&lt;D xsi:type="xsd:double"&gt;9970&lt;/D&gt;&lt;/FQL&gt;&lt;FQL&gt;&lt;Q&gt;Ticker0024^FE_ESTIMATE(PRODLINE_EBIT_15,MEAN,ANNUAL_ROLL,2023,45595,,,'')&lt;/Q&gt;&lt;R&gt;1&lt;/R&gt;&lt;C&gt;1&lt;/C&gt;&lt;D xsi:type="xsd:double"&gt;34189.4&lt;/D&gt;&lt;/FQL&gt;&lt;FQL&gt;&lt;Q&gt;Ticker0024^FE_ESTIMATE(PRODLINE_EBIT_15,MEAN,QUARTERLY_ROLL,2023/4F,45595,,,'')&lt;/Q&gt;&lt;R&gt;1&lt;/R&gt;&lt;C&gt;1&lt;/C&gt;&lt;D xsi:type="xsd:double"&gt;9051.6&lt;/D&gt;&lt;/FQL&gt;&lt;FQL&gt;&lt;Q&gt;Ticker0024^FE_ESTIMATE(PRODLINE_EBIT_15,MEAN,QUARTERLY_ROLL,2023/3F,45595,,,'')&lt;/Q&gt;&lt;R&gt;1&lt;/R&gt;&lt;C&gt;1&lt;/C&gt;&lt;D xsi:type="xsd:double"&gt;8639.2&lt;/D&gt;&lt;/FQL&gt;&lt;FQL&gt;&lt;Q&gt;Ticker0024^FE_ESTIMATE(PRODLINE_EBIT_15,MEAN,QUARTERLY_ROLL,2023/2F,45595,,,'')&lt;/Q&gt;&lt;R&gt;1&lt;/R&gt;&lt;C&gt;1&lt;/C&gt;&lt;D xsi:type="xsd:double"&gt;8176&lt;/D&gt;&lt;/FQL&gt;&lt;FQL&gt;&lt;Q&gt;Ticker0024^FE_ESTIMATE(PRODLINE_EBIT_15,MEAN,QUARTERLY_ROLL,2023/1F,45595,,,'')&lt;/Q&gt;&lt;R&gt;1&lt;/R&gt;&lt;C&gt;1&lt;/C&gt;&lt;D xsi:type="xsd:double"&gt;8322.4&lt;/D&gt;&lt;/FQL&gt;&lt;FQL&gt;&lt;Q&gt;Ticker0024^FE_ESTIMATE(PRODLINE_EBIT_15,MEAN,ANNUAL_ROLL,2022,45595,,,'')&lt;/Q&gt;&lt;R&gt;1&lt;/R&gt;&lt;C&gt;1&lt;/C&gt;&lt;D xsi:type="xsd:double"&gt;29685&lt;/D&gt;&lt;/FQL&gt;&lt;FQL&gt;&lt;Q&gt;Ticker0024^FE_ESTIMATE(PRODLINE_EBIT_15,MEAN,QUARTERLY_ROLL,2022/4F,45595,,,'')&lt;/Q&gt;&lt;R&gt;1&lt;/R&gt;&lt;C&gt;1&lt;/C&gt;&lt;D xsi:type="xsd:double"&gt;7232&lt;/D&gt;&lt;/FQL&gt;&lt;FQL&gt;&lt;Q&gt;Ticker0024^FE_ESTIMATE(PRODLINE_EBIT_15,MEAN,QUARTERLY_ROLL,2022/3F,45595,,,'')&lt;/Q&gt;&lt;R&gt;1&lt;/R&gt;&lt;C&gt;1&lt;/C&gt;&lt;D xsi:type="xsd:double"&gt;7184&lt;/D&gt;&lt;/FQL&gt;&lt;FQL&gt;&lt;Q&gt;Ticker0024^FE_ESTIMATE(PRODLINE_EBIT_15,MEAN,QUARTERLY_ROLL,2022/2F,45595,,,'')&lt;/Q&gt;&lt;R&gt;1&lt;/R&gt;&lt;C&gt;1&lt;/C&gt;&lt;D xsi:type="xsd:double"&gt;7688&lt;/D&gt;&lt;/FQL&gt;&lt;FQL&gt;&lt;Q&gt;Ticker0024^FE_ESTIMATE(PRODLINE_EBIT_15,MEAN,QUARTERLY_ROLL,2022/1F,45595,,,'')&lt;/Q&gt;&lt;R&gt;1&lt;/R&gt;&lt;C&gt;1&lt;/C&gt;&lt;D xsi:type="xsd:double"&gt;7581&lt;/D&gt;&lt;/FQL&gt;&lt;FQL&gt;&lt;Q&gt;Ticker0024^FE_ESTIMATE(PRODLINE_EBIT_15,MEAN,ANNUAL_ROLL,2021,45595,,,'')&lt;/Q&gt;&lt;R&gt;1&lt;/R&gt;&lt;C&gt;1&lt;/C&gt;&lt;D xsi:type="xsd:double"&gt;24351&lt;/D&gt;&lt;/FQL&gt;&lt;FQL&gt;&lt;Q&gt;Ticker0024^FE_ESTIMATE(PRODLINE_EBIT_15,MEAN,QUARTERLY_ROLL,2021/4F,45595,,,'')&lt;/Q&gt;&lt;R&gt;1&lt;/R&gt;&lt;C&gt;1&lt;/C&gt;&lt;D xsi:type="xsd:double"&gt;6435&lt;/D&gt;&lt;/FQL&gt;&lt;FQL&gt;&lt;Q&gt;Ticker0024^FE_ESTIMATE(PRODLINE_EBIT_15,MEAN,QUARTERLY_ROLL,2021/3F,45595,,,'')&lt;/Q&gt;&lt;R&gt;1&lt;/R&gt;&lt;C&gt;1&lt;/C&gt;&lt;D xsi:type="xsd:double"&gt;6029&lt;/D&gt;&lt;/FQL&gt;&lt;FQL&gt;&lt;Q&gt;Ticker0024^FE_ESTIMATE(PRODLINE_EBIT_15,MEAN,QUARTERLY_ROLL,2021/2F,45595,,,'')&lt;/Q&gt;&lt;R&gt;1&lt;/R&gt;&lt;C&gt;1&lt;/C&gt;&lt;D xsi:type="xsd:double"&gt;6179.6665&lt;/D&gt;&lt;/FQL&gt;&lt;FQL&gt;&lt;Q&gt;Ticker0024^FE_ESTIMATE(PRODLINE_EBIT_15,MEAN,QUARTERLY_ROLL,2021/1F,45595,,,'')&lt;/Q&gt;&lt;R&gt;1&lt;/R&gt;&lt;C&gt;1&lt;/C&gt;&lt;D xsi:type="xsd:double"&gt;5706&lt;/D&gt;&lt;/FQL&gt;&lt;FQL&gt;&lt;Q&gt;Ticker0024^FE_ESTIMATE(PRODLINE_EBIT_15,MEAN,ANNUAL_ROLL,2020,45595,,,'')&lt;/Q&gt;&lt;R&gt;1&lt;/R&gt;&lt;C&gt;1&lt;/C&gt;&lt;D xsi:type="xsd:double"&gt;18781&lt;/D&gt;&lt;/FQL&gt;&lt;FQL&gt;&lt;Q&gt;Ticker0024^FE_ESTIMATE(PRODLINE_EBIT_15,MEAN,QUARTERLY_ROLL,2020/4F,45595,,,'')&lt;/Q&gt;&lt;R&gt;1&lt;/R&gt;&lt;C&gt;1&lt;/C&gt;&lt;D xsi:type="xsd:double"&gt;4029&lt;/D&gt;&lt;/FQL&gt;&lt;FQL&gt;&lt;Q&gt;Ticker0024^FE_ESTIMATE(PRODLINE_EBIT_15,MEAN,QUARTERLY_ROLL,2020/3F,45595,,,'')&lt;/Q&gt;&lt;R&gt;1&lt;/R&gt;&lt;C&gt;1&lt;/C&gt;&lt;D xsi:type="xsd:double"&gt;4788&lt;/D&gt;&lt;/FQL&gt;&lt;FQL&gt;&lt;Q&gt;Ticker0024^FE_ESTIMATE(PRODLINE_EBIT_15,MEAN,QUARTERLY_ROLL,2020/2F,45595,,,'')&lt;/Q&gt;&lt;R&gt;1&lt;/R&gt;&lt;C&gt;1&lt;/C&gt;&lt;D xsi:type="xsd:double"&gt;5182&lt;/D&gt;&lt;/FQL&gt;&lt;FQL&gt;&lt;Q&gt;Ticker0024^FE_ESTIMATE(PRODLINE_EBIT_15,MEAN,QUARTERLY_ROLL,2020/1F,45595,,,'')&lt;/Q&gt;&lt;R&gt;1&lt;/R&gt;&lt;C&gt;1&lt;/C&gt;&lt;D xsi:type="xsd:double"&gt;4782&lt;/D&gt;&lt;/FQL&gt;&lt;FQL&gt;&lt;Q&gt;Ticker0024^FE_ESTIMATE(PRODLINE_EBIT_15,MEAN,ANNUAL_ROLL,2019,45595,,,'')&lt;/Q&gt;&lt;R&gt;1&lt;/R&gt;&lt;C&gt;1&lt;/C&gt;&lt;D xsi:type="xsd:double"&gt;16219&lt;/D&gt;&lt;/FQL&gt;&lt;FQL&gt;&lt;Q&gt;Ticker0024^FE_ESTIMATE(PRODLINE_EBIT_15,MEAN,QUARTERLY_ROLL,2019/4F,45595,,,'')&lt;/Q&gt;&lt;R&gt;1&lt;/R&gt;&lt;C&gt;1&lt;/C&gt;&lt;D xsi:type="xsd:double"&gt;4344&lt;/D&gt;&lt;/FQL&gt;&lt;FQL&gt;&lt;Q&gt;Ticker0024^FE_ESTIMATE(PRODLINE_EBIT_15,MEAN,QUARTERLY_ROLL,2019/3F,45595,,,'')&lt;/Q&gt;&lt;R&gt;1&lt;/R&gt;&lt;C&gt;1&lt;/C&gt;&lt;D xsi:type="xsd:double"&gt;3979&lt;/D&gt;&lt;/FQL&gt;&lt;FQL&gt;&lt;Q&gt;Ticker0024^FE_ESTIMATE(PRODLINE_EBIT_15,MEAN,QUARTERLY_ROLL,2019/2F,45595,,,'')&lt;/Q&gt;&lt;R&gt;1&lt;/R&gt;&lt;C&gt;1&lt;/C&gt;&lt;D xsi:type="xsd:double"&gt;4013.75&lt;/D&gt;&lt;/FQL&gt;&lt;FQL&gt;&lt;Q&gt;Ticker0024^FE_ESTIMATE(PRODLINE_EBIT_15,MEAN,QUARTERLY_ROLL,2019/1F,45595,,,'')&lt;/Q&gt;&lt;R&gt;1&lt;/R&gt;&lt;C&gt;1&lt;/C&gt;&lt;D xsi:type="xsd:double"&gt;3881&lt;/D&gt;&lt;/FQL&gt;&lt;FQL&gt;&lt;Q&gt;Ticker0024^FE_ESTIMATE(PRODLINE_EBIT_15,MEAN,ANNUAL_ROLL,2018,45595,,,'')&lt;/Q&gt;&lt;R&gt;1&lt;/R&gt;&lt;C&gt;1&lt;/C&gt;&lt;D xsi:type="xsd:double"&gt;12924&lt;/D&gt;&lt;/FQL&gt;&lt;FQL&gt;&lt;Q&gt;Ticker0024^FE_ESTIMATE(PRODLINE_EBIT_15,MEAN,QUARTERLY_ROLL,2018/4F,45595,,,'')&lt;/Q&gt;&lt;R&gt;1&lt;/R&gt;&lt;C&gt;1&lt;/C&gt;&lt;D xsi:type="xsd:double"&gt;3466&lt;/D&gt;&lt;/FQL&gt;&lt;FQL&gt;&lt;Q&gt;Ticker0024^FE_ESTIMATE(PRODLINE_EBIT_15,MEAN,QUARTERLY_ROLL,2018/3F,45595,,,'')&lt;/Q&gt;&lt;R&gt;1&lt;/R&gt;&lt;C&gt;1&lt;/C&gt;&lt;D xsi:type="xsd:double"&gt;3115&lt;/D&gt;&lt;/FQL&gt;&lt;FQL&gt;&lt;Q&gt;Ticker0024^FE_ESTIMATE(PRODLINE_EBIT_15,MEAN,QUARTERLY_ROLL,2018/2F,45595,,,'')&lt;/Q&gt;&lt;R&gt;1&lt;/R&gt;&lt;C&gt;1&lt;/C&gt;&lt;D xsi:type="xsd:double"&gt;3337&lt;/D&gt;&lt;/FQL&gt;&lt;FQL&gt;&lt;Q&gt;Ticker0024^FE_ESTIMATE(PRODLINE_EBIT_15,MEAN,QUARTERLY_ROLL,2018/1F,45595,,,'')&lt;/Q&gt;&lt;R&gt;1&lt;/R&gt;&lt;C&gt;1&lt;/C&gt;&lt;D xsi:type="xsd:double"&gt;3006&lt;/D&gt;&lt;/FQL&gt;&lt;FQL&gt;&lt;Q&gt;Ticker0024^FE_ESTIMATE(PRODLINE_EBIT_15,MEAN,ANNUAL_ROLL,2017,45595,,,'')&lt;/Q&gt;&lt;R&gt;1&lt;/R&gt;&lt;C&gt;1&lt;/C&gt;&lt;D xsi:type="xsd:double"&gt;11913&lt;/D&gt;&lt;/FQL&gt;&lt;FQL&gt;&lt;Q&gt;Ticker0024^FE_ESTIMATE(PRODLINE_EBIT_15,MEAN,QUARTERLY_ROLL,2017/4F,45595,,,'')&lt;/Q&gt;&lt;R&gt;1&lt;/R&gt;&lt;C&gt;1&lt;/C&gt;&lt;D xsi:type="xsd:double"&gt;2754&lt;/D&gt;&lt;/FQL&gt;&lt;FQL&gt;&lt;Q&gt;Ticker0024^FE_ESTIMATE(PRODLINE_EBIT_15,MEAN,QUARTERLY_ROLL,2017/3F,45595,,,'')&lt;/Q&gt;&lt;R&gt;1&lt;/R&gt;&lt;C&gt;1&lt;/C&gt;&lt;D xsi:type="xsd:double"&gt;2783&lt;/D&gt;&lt;/FQL&gt;&lt;FQL&gt;&lt;Q&gt;Ticker0024^FE_ESTIMATE(PRODLINE_EBIT_15,MEAN,QUARTERLY_ROLL,2017/2F,45595,,,'')&lt;/Q&gt;&lt;R&gt;1&lt;/R&gt;&lt;C&gt;1&lt;/C&gt;&lt;D xsi:type="xsd:double"&gt;3256&lt;/D&gt;&lt;/FQL&gt;&lt;FQL&gt;&lt;Q&gt;Ticker0024^FE_ESTIMATE(PRODLINE_EBIT_15,MEAN,QUARTERLY_ROLL,2017/1F,45595,,,'')&lt;/Q&gt;&lt;R&gt;1&lt;/R&gt;&lt;C&gt;1&lt;/C&gt;&lt;D xsi:type="xsd:double"&gt;3120&lt;/D&gt;&lt;/FQL&gt;&lt;FQL&gt;&lt;Q&gt;Ticker0024^FE_ESTIMATE(PRODLINE_EBIT_15,MEAN,ANNUAL_ROLL,2016,45595,,,'')&lt;/Q&gt;&lt;R&gt;1&lt;/R&gt;&lt;C&gt;1&lt;/C&gt;&lt;D xsi:type="xsd:double"&gt;12429&lt;/D&gt;&lt;/FQL&gt;&lt;FQL&gt;&lt;Q&gt;Ticker0024^FE_ESTIMATE(PRODLINE_EBIT_15,MEAN,QUARTERLY_ROLL,2016/4F,45595,,,'')&lt;/Q&gt;&lt;R&gt;1&lt;/R&gt;&lt;C&gt;1&lt;/C&gt;&lt;D xsi:type="xsd:double"&gt;3000&lt;/D&gt;&lt;/FQL&gt;&lt;FQL&gt;&lt;Q&gt;Ticker0024^FE_ESTIMATE(PRODLINE_EBIT_15,MEAN,QUARTERLY_ROLL,2016/3F,45595,,,'')&lt;/Q&gt;&lt;R&gt;1&lt;/R&gt;&lt;C&gt;1&lt;/C&gt;&lt;D xsi:type="xsd:double"&gt;2994&lt;/D&gt;&lt;/FQL&gt;&lt;FQL&gt;&lt;Q&gt;Ticker0024^FE_ESTIMATE(PRODLINE_EBIT_15,MEAN,QUARTERLY_ROLL,2016/2F,45595,,,'')&lt;/Q&gt;&lt;R&gt;0&lt;/R&gt;&lt;C&gt;0&lt;/C&gt;&lt;/FQL&gt;&lt;FQL&gt;&lt;Q&gt;Ticker0024^FE_ESTIMATE(PRODLINE_EBIT_15,MEAN,QUARTERLY_ROLL,2016/1F,45595,,,'')&lt;/Q&gt;&lt;R&gt;0&lt;/R&gt;&lt;C&gt;0&lt;/C&gt;&lt;/FQL&gt;&lt;FQL&gt;&lt;Q&gt;Ticker0024^FE_ESTIMATE(PRODLINE_EBIT_15,MEAN,ANNUAL_ROLL,2015,45595,,,'')&lt;/Q&gt;&lt;R&gt;0&lt;/R&gt;&lt;C&gt;0&lt;/C&gt;&lt;/FQL&gt;&lt;FQL&gt;&lt;Q&gt;Ticker0024^FE_ESTIMATE(PRODLINE_EBIT_15,MEAN,QUARTERLY_ROLL,2015/4F,45595,,,'')&lt;/Q&gt;&lt;R&gt;0&lt;/R&gt;&lt;C&gt;0&lt;/C&gt;&lt;/FQL&gt;&lt;FQL&gt;&lt;Q&gt;Ticker0024^FE_ESTIMATE(PRODLINE_EBIT_15,MEAN,QUARTERLY_ROLL,2015/3F,45595,,,'')&lt;/Q&gt;&lt;R&gt;0&lt;/R&gt;&lt;C&gt;0&lt;/C&gt;&lt;/FQL&gt;&lt;FQL&gt;&lt;Q&gt;Ticker0024^FE_ESTIMATE(PRODLINE_EBIT_15,MEAN,QUARTERLY_ROLL,2015/2F,45595,,,'')&lt;/Q&gt;&lt;R&gt;0&lt;/R&gt;&lt;C&gt;0&lt;/C&gt;&lt;/FQL&gt;&lt;FQL&gt;&lt;Q&gt;Ticker0024^FE_ESTIMATE(PRODLINE_EBIT_15,MEAN,QUARTERLY_ROLL,2015/1F,45595,,,'')&lt;/Q&gt;&lt;R&gt;0&lt;/R&gt;&lt;C&gt;0&lt;/C&gt;&lt;/FQL&gt;&lt;FQL&gt;&lt;Q&gt;Ticker0024^FE_ESTIMATE(GROSSINCOME,MEAN,ANNUAL_ROLL,2030,45595,,,'')&lt;/Q&gt;&lt;R&gt;0&lt;/R&gt;&lt;C&gt;0&lt;/C&gt;&lt;/FQL&gt;&lt;FQL&gt;&lt;Q&gt;Ticker0024^FE_ESTIMATE(GROSSINCOME,MEAN,QUARTERLY_ROLL,2030/4F,45595,,,'')&lt;/Q&gt;&lt;R&gt;0&lt;/R&gt;&lt;C&gt;0&lt;/C&gt;&lt;/FQL&gt;&lt;FQL&gt;&lt;Q&gt;Ticker0024^FE_ESTIMATE(GROSSINCOME,MEAN,QUARTERLY_ROLL,2030/3F,45595,,,'')&lt;/Q&gt;&lt;R&gt;0&lt;/R&gt;&lt;C&gt;0&lt;/C&gt;&lt;/FQL&gt;&lt;FQL&gt;&lt;Q&gt;Ticker0024^FE_ESTIMATE(GROSSINCOME,MEAN,QUARTERLY_ROLL,2030/2F,45595,,,'')&lt;/Q&gt;&lt;R&gt;0&lt;/R&gt;&lt;C&gt;0&lt;/C&gt;&lt;/FQL&gt;&lt;FQL&gt;&lt;Q&gt;Ticker0024^FE_ESTIMATE(GROSSINCOME,MEAN,QUARTERLY_ROLL,2030/1F,45595,,,'')&lt;/Q&gt;&lt;R&gt;0&lt;/R&gt;&lt;C&gt;0&lt;/C&gt;&lt;/FQL&gt;&lt;FQL&gt;&lt;Q&gt;Ticker0024^FE_ESTIMATE(GROSSINCOME,MEAN,ANNUAL_ROLL,2029,45595,,,'')&lt;/Q&gt;&lt;R&gt;1&lt;/R&gt;&lt;C&gt;1&lt;/C&gt;&lt;D xsi:type="xsd:double"&gt;318997.3&lt;/D&gt;&lt;/FQL&gt;&lt;FQL&gt;&lt;Q&gt;Ticker0024^FE_ESTIMATE(GROSSINCOME,MEAN,QUARTERLY_ROLL,2029/4F,45595,,,'')&lt;/Q&gt;&lt;R&gt;0&lt;/R&gt;&lt;C&gt;0&lt;/C&gt;&lt;/FQL&gt;&lt;FQL&gt;&lt;Q&gt;Ticker0024^FE_ESTIMATE(GROSSINCOME,MEAN,QUARTERLY_ROLL,2029/3F,45595,,,'')&lt;/Q&gt;&lt;R&gt;0&lt;/R&gt;&lt;C&gt;0&lt;/C&gt;&lt;/FQL&gt;&lt;FQL&gt;&lt;Q&gt;Ticker0024^FE_ESTIMATE(GROSSINCOME,MEAN,QUARTERLY_ROLL,2029/2F,45595,,,'')&lt;/Q&gt;&lt;R&gt;0&lt;/R&gt;&lt;C&gt;0&lt;/C&gt;&lt;/FQL&gt;&lt;FQL&gt;&lt;Q&gt;Ticker0024^FE_ESTIMATE(GROSSINCOME,MEAN,QUARTERLY_ROLL,2029/1F,45595,,,'')&lt;/Q&gt;&lt;R&gt;0&lt;/R&gt;&lt;C&gt;0&lt;/C&gt;&lt;/FQL&gt;&lt;FQL&gt;&lt;Q&gt;Ticker0024^FE_ESTIMATE(GROSSINCOME,MEAN,ANNUAL_ROLL,2028,45595,,,'')&lt;/Q&gt;&lt;R&gt;1&lt;/R&gt;&lt;C&gt;1&lt;/C&gt;&lt;D xsi:type="xsd:double"&gt;278233.7&lt;/D&gt;&lt;/FQL&gt;&lt;FQL&gt;&lt;Q&gt;Ticker0024^FE_ESTIMATE(GROSSINCOME,MEAN,QUARTERLY_ROLL,2028/4F,45595,,,'')&lt;/Q&gt;&lt;R&gt;0&lt;/R&gt;&lt;C&gt;0&lt;/C&gt;&lt;/FQL&gt;&lt;FQL&gt;&lt;Q&gt;Ticker0024^FE_ESTIMATE(GROSSINCOME,MEAN,QUARTERLY_ROLL,2028/3F,45595,,,'')&lt;/Q&gt;&lt;R&gt;0&lt;/R&gt;&lt;C&gt;0&lt;/C&gt;&lt;/FQL&gt;&lt;FQL&gt;&lt;Q&gt;Ticker0024^FE_ESTIMATE(GROSSINCOME,MEAN,QUARTERLY_ROLL,2028/2F,45595,,,'')&lt;/Q&gt;&lt;R&gt;0&lt;/R&gt;&lt;C&gt;0&lt;/C&gt;&lt;/FQL&gt;&lt;FQL&gt;&lt;Q&gt;Ticker0024^FE_ESTIMATE(GROSSINCOME,MEAN,QUARTERLY_ROLL,2028/1F,45595,,,'')&lt;/Q&gt;&lt;R&gt;0&lt;/R&gt;&lt;C&gt;0&lt;/C&gt;&lt;/FQL&gt;&lt;FQL&gt;&lt;Q&gt;Ticker0024^FE_ESTIMATE(GROSSINCOME,MEAN,ANNUAL_ROLL,2027,45595,,,'')&lt;/Q&gt;&lt;R&gt;1&lt;/R&gt;&lt;C&gt;1&lt;/C&gt;&lt;D xsi:type="xsd:double"&gt;249465.02&lt;/D&gt;&lt;/FQL&gt;&lt;FQL&gt;&lt;Q&gt;Ticker0024^FE_ESTIMATE(GROSSINCOME,MEAN,QUARTERLY_ROLL,2027/4F,45595,,,'')&lt;/Q&gt;&lt;R&gt;1&lt;/R&gt;&lt;C&gt;1&lt;/C&gt;&lt;D xsi:type="xsd:double"&gt;66554&lt;/D&gt;&lt;/FQL&gt;&lt;FQL&gt;&lt;Q&gt;Ticker0024^FE_ESTIMATE(GROSSINCOME,MEAN,QUARTERLY_ROLL,2027/3F,45595,,,'')&lt;/Q&gt;&lt;R&gt;1&lt;/R&gt;&lt;C&gt;1&lt;/C&gt;&lt;D xsi:type="xsd:double"&gt;60086&lt;/D&gt;&lt;/FQL&gt;&lt;FQL&gt;&lt;Q&gt;Ticker0024^FE_ESTIMATE(GROSSINCOME,MEAN,QUARTERLY_ROLL,2027/2F,45595,,,'')&lt;/Q&gt;&lt;R&gt;1&lt;/R&gt;&lt;C&gt;1&lt;/C&gt;&lt;D xsi:type="xsd:double"&gt;60273&lt;/D&gt;&lt;/FQL&gt;&lt;FQL&gt;&lt;Q&gt;Ticker0024^FE_ESTIMATE(GROSSINCOME,MEAN,QUARTERLY_ROLL,2027/1F,45595,,,'')&lt;/Q&gt;&lt;R&gt;1&lt;/R&gt;&lt;C&gt;1&lt;/C&gt;&lt;D xsi:type="xsd:double"&gt;56861&lt;/D&gt;&lt;/FQL&gt;&lt;FQL&gt;&lt;Q&gt;Ticker0024^FE_ESTIMATE(GROSSINCOME,MEAN,ANNUAL_ROLL,2026,45595,,,'')&lt;/Q&gt;&lt;R&gt;1&lt;/R&gt;&lt;C&gt;1&lt;/C&gt;&lt;D xsi:type="xsd:double"&gt;215748.95&lt;/D&gt;&lt;/FQL&gt;&lt;FQL&gt;&lt;Q&gt;Ticker0024^FE_ESTIMATE(GROSSINCOME,MEAN,QUARTERLY_ROLL,2026/4F,45595,,,'')&lt;/Q&gt;&lt;R&gt;1&lt;/R&gt;&lt;C&gt;1&lt;/C&gt;&lt;D xsi:type="xsd:double"&gt;57108.832&lt;/D&gt;&lt;/FQL&gt;&lt;FQL&gt;&lt;Q&gt;Ticker0024^FE_ESTIMATE(GROSSINCOME,MEAN,QUARTERLY_ROLL,2026/3F,45595,,,'')&lt;/Q&gt;&lt;R&gt;1&lt;/R&gt;&lt;C&gt;1&lt;/C&gt;&lt;D xsi:type="xsd:double"&gt;53768.906&lt;/D&gt;&lt;/FQL&gt;&lt;FQL&gt;&lt;Q&gt;Ticker0024^FE_ESTIMATE(GROSSINCOME,MEAN,QUARTERLY_ROLL,2026/2F,45595,,,'')&lt;/Q&gt;&lt;R&gt;1&lt;/R&gt;&lt;C&gt;1&lt;/C&gt;&lt;D xsi:type="xsd:double"&gt;53009.168&lt;/D&gt;&lt;/FQL&gt;&lt;FQL&gt;&lt;Q&gt;Ticker0024^FE_ESTIMATE(GROSSINCOME,MEAN,QUARTERLY_ROLL,2026/1F,45595,,,'')&lt;/Q&gt;&lt;R&gt;1&lt;/R&gt;&lt;C&gt;1&lt;/C&gt;&lt;D xsi:type="xsd:double"&gt;50149.508&lt;/D&gt;&lt;/FQL&gt;&lt;FQL&gt;&lt;Q&gt;Ticker0024^FE_ESTIMATE(GROSSINCOME,MEAN,ANNUAL_ROLL,2025,45595,,,'')&lt;/Q&gt;&lt;R&gt;1&lt;/R&gt;&lt;C&gt;1&lt;/C&gt;&lt;D xsi:type="xsd:double"&gt;190114.34&lt;/D&gt;&lt;/FQL&gt;&lt;FQL&gt;&lt;Q&gt;Ticker0024^FE_ESTIMATE(GROSSINCOME,MEAN,QUARTERLY_ROLL,2025/4F,45595,,,'')&lt;/Q&gt;&lt;R&gt;1&lt;/R&gt;&lt;C&gt;1&lt;/C&gt;&lt;D xsi:type="xsd:double"&gt;50275.633&lt;/D&gt;&lt;/FQL&gt;&lt;FQL&gt;&lt;Q&gt;Ticker0024^FE_ESTIMATE(GROSSINCOME,MEAN,QUARTERLY_ROLL,2025/3F,45595,,,'')&lt;/Q&gt;&lt;R&gt;1&lt;/R&gt;&lt;C&gt;1&lt;/C&gt;&lt;D xsi:type="xsd:double"&gt;47830.05&lt;/D&gt;&lt;/FQL&gt;&lt;FQL&gt;&lt;Q&gt;Ticker0024^FE_ESTIMATE(GROSSINCOME,MEAN,QUARTERLY_ROLL,2025/2F,45595,,,'')&lt;/Q&gt;&lt;R&gt;1&lt;/R&gt;&lt;C&gt;1&lt;/C&gt;&lt;D xsi:type="xsd:double"&gt;47181.445&lt;/D&gt;&lt;/FQL&gt;&lt;FQL&gt;&lt;Q&gt;Ticker0024^FE_ESTIMATE(GROSSINCOME,MEAN,QUARTERLY_ROLL,2025/1F,45595,,,'')&lt;/Q&gt;&lt;R&gt;1&lt;/R&gt;&lt;C&gt;1&lt;/C&gt;&lt;D xsi:type="xsd:double"&gt;44499.28&lt;/D&gt;&lt;/FQL&gt;&lt;FQL&gt;&lt;Q&gt;Ticker0024^FE_ESTIMATE(GROSSINCOME,MEAN,ANNUAL_ROLL,2024,45595,,,'')&lt;/Q&gt;&lt;R&gt;1&lt;/R&gt;&lt;C&gt;1&lt;/C&gt;&lt;D xsi:type="xsd:double"&gt;171008.06&lt;/D&gt;&lt;/FQL&gt;&lt;FQL&gt;&lt;Q&gt;Ticker0024^FE_ESTIMATE(GROSSINCOME,MEAN,QUARTERLY_ROLL,2024/4F,45595,,,'')&lt;/Q&gt;&lt;R&gt;1&lt;/R&gt;&lt;C&gt;1&lt;/C&gt;&lt;D xsi:type="xsd:double"&gt;45041.355&lt;/D&gt;&lt;/FQL&gt;&lt;FQL&gt;&lt;Q&gt;Ticker0024^FE_ESTIMATE(GROSSINCOME,MEAN,QUARTERLY_ROLL,2024/3F,45595,,,'')&lt;/Q&gt;&lt;R&gt;1&lt;/R&gt;&lt;C&gt;1&lt;/C&gt;&lt;D xsi:type="xsd:double"&gt;43354.293&lt;/D&gt;&lt;/FQL&gt;&lt;FQL&gt;&lt;Q&gt;Ticker0024^FE_ESTIMATE(GROSSINCOME,MEAN,QUARTERLY_ROLL,2024/2F,45595,,,'')&lt;/Q&gt;&lt;R&gt;1&lt;/R&gt;&lt;C&gt;1&lt;/C&gt;&lt;D xsi:type="xsd:double"&gt;42397.1&lt;/D&gt;&lt;/FQL&gt;&lt;FQL&gt;&lt;Q&gt;Ticker0024^FE_ESTIMATE(GROSSINCOME,MEAN,QUARTERLY_ROLL,2024/1F,45595,,,'')&lt;/Q&gt;&lt;R&gt;1&lt;/R&gt;&lt;C&gt;1&lt;/C&gt;&lt;D xsi:type="xsd:double"&gt;40215.17&lt;/D&gt;&lt;/FQL&gt;&lt;FQL&gt;&lt;Q&gt;Ticker0024^FE_ESTIMATE(GROSSINCOME,MEAN,ANNUAL_ROLL,2023,45595,,,'')&lt;/Q&gt;&lt;R&gt;1&lt;/R&gt;&lt;C&gt;1&lt;/C&gt;&lt;D xsi:type="xsd:double"&gt;146082.89&lt;/D&gt;&lt;/FQL&gt;&lt;FQL&gt;&lt;Q&gt;Ticker0024^FE_ESTIMATE(GROSSINCOME,MEAN,QUARTERLY_ROLL,2023/4F,45595,,,'')&lt;/Q&gt;&lt;R&gt;1&lt;/R&gt;&lt;C&gt;1&lt;/C&gt;&lt;D xsi:type="xsd:double"&gt;39388&lt;/D&gt;&lt;/FQL&gt;&lt;FQL&gt;&lt;Q&gt;Ticker0024^FE_ESTIMATE(GROSSINCOME,MEAN,QUARTERLY_ROLL,2023/3F,45595,,,'')&lt;/Q&gt;&lt;R&gt;1&lt;/R&gt;&lt;C&gt;1&lt;/C&gt;&lt;D xsi:type="xsd:double"&gt;36729.035&lt;/D&gt;&lt;/FQL&gt;&lt;FQL&gt;&lt;Q&gt;Ticker0024^FE_ESTIMATE(GROSSINCOME,MEAN,QUARTERLY_ROLL,2023/2F,45595,,,'')&lt;/Q&gt;&lt;R&gt;1&lt;/R&gt;&lt;C&gt;1&lt;/C&gt;&lt;D xsi:type="xsd:double"&gt;35294.117&lt;/D&gt;&lt;/FQL&gt;&lt;FQL&gt;&lt;Q&gt;Ticker0024^FE_ESTIMATE(GROSSINCOME,MEAN,QUARTERLY_ROLL,2023/1F,45595,,,'')&lt;/Q&gt;&lt;R&gt;1&lt;/R&gt;&lt;C&gt;1&lt;/C&gt;&lt;D xsi:type="xsd:double"&gt;34670&lt;/D&gt;&lt;/FQL&gt;&lt;FQL&gt;&lt;Q&gt;Ticker0024^FE_ESTIMATE(GROSSINCOME,MEAN,ANNUAL_ROLL,2022,45595,,,'')&lt;/Q&gt;&lt;R&gt;1&lt;/R&gt;&lt;C&gt;1&lt;/C&gt;&lt;D xsi:type="xsd:double"&gt;135605.53&lt;/D&gt;&lt;/FQL&gt;&lt;FQL&gt;&lt;Q&gt;Ticker0024^FE_ESTIMATE(GROSSINCOME,MEAN,QUARTERLY_ROLL,2022/4F,45595,,,'')&lt;/Q&gt;&lt;R&gt;1&lt;/R&gt;&lt;C&gt;1&lt;/C&gt;&lt;D xsi:type="xsd:double"&gt;35436&lt;/D&gt;&lt;/FQL&gt;&lt;FQL&gt;&lt;Q&gt;Ticker0024^FE_ESTIMATE(GROSSINCOME,MEAN,QUARTERLY_ROLL,2022/3F,45595,,,'')&lt;/Q&gt;&lt;R&gt;1&lt;/R&gt;&lt;C&gt;1&lt;/C&gt;&lt;D xsi:type="xsd:double"&gt;33744.957&lt;/D&gt;&lt;/FQL&gt;&lt;FQL&gt;&lt;Q&gt;Ticker0024^FE_ESTIMATE(GROSSINCOME,MEAN,QUARTERLY_ROLL,2022/2F,45595,,,'')&lt;/Q&gt;&lt;R&gt;1&lt;/R&gt;&lt;C&gt;1&lt;/C&gt;&lt;D xsi:type="xsd:double"&gt;34768&lt;/D&gt;&lt;/FQL&gt;&lt;FQL&gt;&lt;Q&gt;Ticker0024^FE_ESTIMATE(GROSSINCOME,MEAN,QUARTERLY_ROLL,2022/1F,45595,,,'')&lt;/Q&gt;&lt;R&gt;1&lt;/R&gt;&lt;C&gt;1&lt;/C&gt;&lt;D xsi:type="xsd:double"&gt;31671&lt;/D&gt;&lt;/FQL&gt;&lt;FQL&gt;&lt;Q&gt;Ticker0024^FE_ESTIMATE(GROSSINCOME,MEAN,ANNUAL_ROLL,2021,45595,,,'')&lt;/Q&gt;&lt;R&gt;1&lt;/R&gt;&lt;C&gt;1&lt;/C&gt;&lt;D xsi:type="xsd:double"&gt;115856.59&lt;/D&gt;&lt;/FQL&gt;&lt;FQL&gt;&lt;Q&gt;Ticker0024^FE_ESTIMATE(GROSSINCOME,MEAN,QUARTERLY_ROLL,2021/4F,45595,,,'')&lt;/Q&gt;&lt;R&gt;1&lt;/R&gt;&lt;C&gt;1&lt;/C&gt;&lt;D xsi:type="xsd:double"&gt;32161&lt;/D&gt;&lt;/FQL&gt;&lt;FQL&gt;&lt;Q&gt;Ticker0024^FE_ESTIMATE(GROSSINCOME,MEAN,QUARTERLY_ROLL,2021/3F,45595,,,'')&lt;/Q&gt;&lt;R&gt;1&lt;/R&gt;&lt;C&gt;1&lt;/C&gt;&lt;D xsi:type="xsd:double"&gt;28661&lt;/D&gt;&lt;/FQL&gt;&lt;FQL&gt;&lt;Q&gt;Ticker0024^FE_ESTIMATE(GROSSINCOME,MEAN,QUARTERLY_ROLL,2021/2F,45595,,,'')&lt;/Q&gt;&lt;R&gt;1&lt;/R&gt;&lt;C&gt;1&lt;/C&gt;&lt;D xsi:type="xsd:double"&gt;28882&lt;/D&gt;&lt;/FQL&gt;&lt;FQL&gt;&lt;Q&gt;Ticker0024^FE_ESTIMATE(GROSSINCOME,MEAN,QUARTERLY_ROLL,2021/1F,45595,,,'')&lt;/Q&gt;&lt;R&gt;1&lt;/R&gt;&lt;C&gt;1&lt;/C&gt;&lt;D xsi:type="xsd:double"&gt;26152&lt;/D&gt;&lt;/FQL&gt;&lt;FQL&gt;&lt;Q&gt;Ticker0024^FE_ESTIMATE(GROSSINCOME,MEAN,ANNUAL_ROLL,2020,45595,,,'')&lt;/Q&gt;&lt;R&gt;1&lt;/R&gt;&lt;C&gt;1&lt;/C&gt;&lt;D xsi:type="xsd:double"&gt;96940.4&lt;/D&gt;&lt;/FQL&gt;&lt;FQL&gt;&lt;Q&gt;Ticker0024^FE_ESTIMATE(GROSSINCOME,MEAN,QUARTERLY_ROLL,2020/4F,45595,,,'')&lt;/Q&gt;&lt;R&gt;1&lt;/R&gt;&lt;C&gt;1&lt;/C&gt;&lt;D xsi:type="xsd:double"&gt;25698.295&lt;/D&gt;&lt;/FQL&gt;&lt;FQL&gt;&lt;Q&gt;Ticker0024^FE_ESTIMATE(GROSSINCOME,MEAN,QUARTERLY_ROLL,2020/3F,45595,,,'')&lt;/Q&gt;&lt;R&gt;1&lt;/R&gt;&lt;C&gt;1&lt;/C&gt;&lt;D xsi:type="xsd:double"&gt;24046&lt;/D&gt;&lt;/FQL&gt;&lt;FQL&gt;&lt;Q&gt;Ticker0024^FE_ESTIMATE(GROSSINCOME,MEAN,QUARTERLY_ROLL,2020/2F,45595,,,'')&lt;/Q&gt;&lt;R&gt;1&lt;/R&gt;&lt;C&gt;1&lt;/C&gt;&lt;D xsi:type="xsd:double"&gt;24548&lt;/D&gt;&lt;/FQL&gt;&lt;FQL&gt;&lt;Q&gt;Ticker0024^FE_ESTIMATE(GROSSINCOME,MEAN,QUARTERLY_ROLL,2020/1F,45595,,,'')&lt;/Q&gt;&lt;R&gt;1&lt;/R&gt;&lt;C&gt;1&lt;/C&gt;&lt;D xsi:type="xsd:double"&gt;22649&lt;/D&gt;&lt;/FQL&gt;&lt;FQL&gt;&lt;Q&gt;Ticker0024^FE_ESTIMATE(GROSSINCOME,MEAN,ANNUAL_ROLL,2019,45595,,,'')&lt;/Q&gt;&lt;R&gt;1&lt;/R&gt;&lt;C&gt;1&lt;/C&gt;&lt;D xsi:type="xsd:double"&gt;82959.15&lt;/D&gt;&lt;/FQL&gt;&lt;FQL&gt;&lt;Q&gt;Ticker0024^FE_ESTIMATE(GROSSINCOME,MEAN,QUARTERLY_ROLL,2019/4F,45595,,,'')&lt;/Q&gt;&lt;R&gt;1&lt;/R&gt;&lt;C&gt;1&lt;/C&gt;&lt;D xsi:type="xsd:double"&gt;23317.578&lt;/D&gt;&lt;/FQL&gt;&lt;FQL&gt;&lt;Q&gt;Ticker0024^FE_ESTIMATE(GROSSINCOME,MEAN,QUARTERLY_ROLL,2019/3F,45595,,,'')&lt;/Q&gt;&lt;R&gt;1&lt;/R&gt;&lt;C&gt;1&lt;/C&gt;&lt;D xsi:type="xsd:double"&gt;20416&lt;/D&gt;&lt;/FQL&gt;&lt;FQL&gt;&lt;Q&gt;Ticker0024^FE_ESTIMATE(GROSSINCOME,MEAN,QUARTERLY_ROLL,2019/2F,45595,,,'')&lt;/Q&gt;&lt;R&gt;1&lt;/R&gt;&lt;C&gt;1&lt;/C&gt;&lt;D xsi:type="xsd:double"&gt;20048&lt;/D&gt;&lt;/FQL&gt;&lt;FQL&gt;&lt;Q&gt;Ticker0024^FE_ESTIMATE(GROSSINCOME,MEAN,QUARTERLY_ROLL,2019/1F,45595,,,'')&lt;/Q&gt;&lt;R&gt;1&lt;/R&gt;&lt;C&gt;1&lt;/C&gt;&lt;D xsi:type="xsd:double"&gt;19179&lt;/D&gt;&lt;/FQL&gt;&lt;FQL&gt;&lt;Q&gt;Ticker0024^FE_ESTIMATE(GROSSINCOME,MEAN,ANNUAL_ROLL,2018,45595,,,'')&lt;/Q&gt;&lt;R&gt;1&lt;/R&gt;&lt;C&gt;1&lt;/C&gt;&lt;D xsi:type="xsd:double"&gt;71970.336&lt;/D&gt;&lt;/FQL&gt;&lt;FQL&gt;&lt;Q&gt;Ticker0024^FE_ESTIMATE(GROSSINCOME,MEAN,QUARTERLY_ROLL,2018/4F,45595,,,'')&lt;/Q&gt;&lt;R&gt;1&lt;/R&gt;&lt;C&gt;1&lt;/C&gt;&lt;D xsi:type="xsd:double"&gt;20296.684&lt;/D&gt;&lt;/FQL&gt;&lt;FQL&gt;&lt;Q&gt;Ticker0024^FE_ESTIMATE(GROSSINCOME,MEAN,QUARTERLY_ROLL,2018/3F,45595,,,'')&lt;/Q&gt;&lt;R&gt;1&lt;/R&gt;&lt;C&gt;1&lt;/C&gt;&lt;D xsi:type="xsd:double"&gt;17550&lt;/D&gt;&lt;/FQL&gt;&lt;FQL&gt;&lt;Q&gt;Ticker0024^FE_ESTIMATE(GROSSINCOME,MEAN,QUARTERLY_ROLL,2018/2F,45595,,,'')&lt;/Q&gt;&lt;R&gt;1&lt;/R&gt;&lt;C&gt;1&lt;/C&gt;&lt;D xsi:type="xsd:double"&gt;17854&lt;/D&gt;&lt;/FQL&gt;&lt;FQL&gt;&lt;Q&gt;Ticker0024^FE_ESTIMATE(GROSSINCOME,MEAN,QUARTERLY_ROLL,2018/1F,45595,,,'')&lt;/Q&gt;&lt;R&gt;1&lt;/R&gt;&lt;C&gt;1&lt;/C&gt;&lt;D xsi:type="xsd:double"&gt;16264.4&lt;/D&gt;&lt;/FQL&gt;&lt;FQL&gt;&lt;Q&gt;Ticker0024^FE_ESTIMATE(GROSSINCOME,MEAN,ANNUAL_ROLL,2017,45595,,,'')&lt;/Q&gt;&lt;R&gt;1&lt;/R&gt;&lt;C&gt;1&lt;/C&gt;&lt;D xsi:type="xsd:double"&gt;62400.3&lt;/D&gt;&lt;/FQL&gt;&lt;FQL&gt;&lt;Q&gt;Ticker0024^FE_ESTIMATE(GROSSINCOME,MEAN,QUARTERLY_ROLL,2017/4F,45595,,,'')&lt;/Q&gt;&lt;R&gt;1&lt;/R&gt;&lt;C&gt;1&lt;/C&gt;&lt;D xsi:type="xsd:double"&gt;16244&lt;/D&gt;&lt;/FQL&gt;&lt;FQL&gt;&lt;Q&gt;Ticker0024^FE_ESTIMATE(GROSSINCOME,MEAN,QUARTERLY_ROLL,2017/3F,45595,,,'')&lt;/Q&gt;&lt;R&gt;1&lt;/R&gt;&lt;C&gt;1&lt;/C&gt;&lt;D xsi:type="xsd:double"&gt;15497&lt;/D&gt;&lt;/FQL&gt;&lt;FQL&gt;&lt;Q&gt;Ticker0024^FE_ESTIMATE(GROSSINCOME,MEAN,QUARTERLY_ROLL,2017/2F,45595,,,'')&lt;/Q&gt;&lt;R&gt;1&lt;/R&gt;&lt;C&gt;1&lt;/C&gt;&lt;D xsi:type="xsd:double"&gt;15990.608&lt;/D&gt;&lt;/FQL&gt;&lt;FQL&gt;&lt;Q&gt;Ticker0024^FE_ESTIMATE(GROSSINCOME,MEAN,QUARTERLY_ROLL,2017/1F,45595,,,'')&lt;/Q&gt;&lt;R&gt;1&lt;/R&gt;&lt;C&gt;1&lt;/C&gt;&lt;D xsi:type="xsd:double"&gt;14317.286&lt;/D&gt;&lt;/FQL&gt;&lt;FQL&gt;&lt;Q&gt;Ticker0024^FE_ESTIMATE(GROSSINCOME,MEAN,ANNUAL_ROLL,2016,45595,,,'')&lt;/Q&gt;&lt;R&gt;1&lt;/R&gt;&lt;C&gt;1&lt;/C&gt;&lt;D xsi:type="xsd:double"&gt;59288.41&lt;/D&gt;&lt;/FQL&gt;&lt;FQL&gt;&lt;Q&gt;Ticker0024^FE_ESTIMATE(GROSSINCOME,MEAN,QUARTERLY_ROLL,2016/4F,45595,,,'')&lt;/Q&gt;&lt;R&gt;1&lt;/R&gt;&lt;C&gt;1&lt;/C&gt;&lt;D xsi:type="xsd:double"&gt;14663&lt;/D&gt;&lt;/FQL&gt;&lt;FQL&gt;&lt;Q&gt;Ticker0024^FE_ESTIMATE(GROSSINCOME,MEAN,QUARTERLY_ROLL,2016/3F,45595,,,'')&lt;/Q&gt;&lt;R&gt;1&lt;/R&gt;&lt;C&gt;1&lt;/C&gt;&lt;D xsi:type="xsd:double"&gt;14354&lt;/D&gt;&lt;/FQL&gt;&lt;FQL&gt;&lt;Q&gt;Ticker0024^FE_ESTIMATE(GROSSINCOME,MEAN,QUARTERLY_ROLL,2016/2F,45595,,,'')&lt;/Q&gt;&lt;R&gt;1&lt;/R&gt;&lt;C&gt;1&lt;/C&gt;&lt;D xsi:type="xsd:double"&gt;15821&lt;/D&gt;&lt;/FQL&gt;&lt;FQL&gt;&lt;Q&gt;Ticker0024^FE_ESTIMATE(GROSSINCOME,MEAN,QUARTERLY_ROLL,2016/1F,45595,,,'')&lt;/Q&gt;&lt;R&gt;1&lt;/R&gt;&lt;C&gt;1&lt;/C&gt;&lt;D xsi:type="xsd:double"&gt;14452.667&lt;/D&gt;&lt;/FQL&gt;&lt;FQL&gt;&lt;Q&gt;Ticker0024^FE_ESTIMATE(GROSSINCOME,MEAN,ANNUAL_ROLL,2015,45595,,,'')&lt;/Q&gt;&lt;R&gt;1&lt;/R&gt;&lt;C&gt;1&lt;/C&gt;&lt;D xsi:type="xsd:double"&gt;60542.086&lt;/D&gt;&lt;/FQL&gt;&lt;FQL&gt;&lt;Q&gt;Ticker0024^FE_ESTIMATE(GROSSINCOME,MEAN,QUARTERLY_ROLL,2015/4F,45595,,,'')&lt;/Q&gt;&lt;R&gt;1&lt;/R&gt;&lt;C&gt;1&lt;/C&gt;&lt;D xsi:type="xsd:double"&gt;14712&lt;/D&gt;&lt;/FQL&gt;&lt;FQL&gt;&lt;Q&gt;Ticker0024^FE_ESTIMATE(GROSSINCOME,MEAN,QUARTERLY_ROLL,2015/3F,45595,,,'')&lt;/Q&gt;&lt;R&gt;1&lt;/R&gt;&lt;C&gt;1&lt;/C&gt;&lt;D xsi:type="xsd:double"&gt;14571.714&lt;/D&gt;&lt;/FQL&gt;&lt;FQL&gt;&lt;Q&gt;Ticker0024^FE_ESTIMATE(GROSSINCOME,MEAN,QUARTERLY_ROLL,2015/2F,45595,,,'')&lt;/Q&gt;&lt;R&gt;1&lt;/R&gt;&lt;C&gt;1&lt;/C&gt;&lt;D xsi:type="xsd:double"&gt;16334&lt;/D&gt;&lt;/FQL&gt;&lt;FQL&gt;&lt;Q&gt;Ticker0024^FE_ESTIMATE(GROSSINCOME,MEAN,QUARTERLY_ROLL,2015/1F,45595,,,'')&lt;/Q&gt;&lt;R&gt;1&lt;/R&gt;&lt;C&gt;1&lt;/C&gt;&lt;D xsi:type="xsd:double"&gt;14928&lt;/D&gt;&lt;/FQL&gt;&lt;FQL&gt;&lt;Q&gt;Ticker0024^FE_ESTIMATE(SALES,MEAN,ANNUAL_ROLL,2030,45595,,,'')&lt;/Q&gt;&lt;R&gt;0&lt;/R&gt;&lt;C&gt;0&lt;/C&gt;&lt;/FQL&gt;&lt;FQL&gt;&lt;Q&gt;Ticker0024^FE_ESTIMATE(SALES,MEAN,QUARTERLY_ROLL,2030/4F,45595,,,'')&lt;/Q&gt;&lt;R&gt;0&lt;/R&gt;&lt;C&gt;0&lt;/C&gt;&lt;/FQL&gt;&lt;FQL&gt;&lt;Q&gt;Ticker0024^FE_ESTIMATE(SALES,MEAN,QUARTERLY_ROLL,2030/3F,45595,,,'')&lt;/Q&gt;&lt;R&gt;0&lt;/R&gt;&lt;C&gt;0&lt;/C&gt;&lt;/FQL&gt;&lt;FQL&gt;&lt;Q&gt;Ticker0024^FE_ESTIMATE(SALES,MEAN,QUARTERLY_ROLL,2030/2F,45595,,,'')&lt;/Q&gt;&lt;R&gt;0&lt;/R&gt;&lt;C&gt;0&lt;/C&gt;&lt;/FQL&gt;&lt;FQL&gt;&lt;Q&gt;Ticker0024^FE_ESTIMATE(SALES,MEAN,QUARTERLY_ROLL,2030/1F,45595,,,'')&lt;/Q&gt;&lt;R&gt;0&lt;/R&gt;&lt;C&gt;0&lt;/C&gt;&lt;/FQL&gt;&lt;FQL&gt;&lt;Q&gt;Ticker0024^FE_ESTIMATE(SALES,MEAN,ANNUAL_ROLL,2029,45595,,,'')&lt;/Q&gt;&lt;R&gt;1&lt;/R&gt;&lt;C&gt;1&lt;/C&gt;&lt;D xsi:type="xsd:double"&gt;469176.2&lt;/D&gt;&lt;/FQL&gt;&lt;FQL&gt;&lt;Q&gt;Ticker0024^FE_ESTIMATE(SALES,MEAN,QUARTERLY_ROLL,2029/4F,45595,,,'')&lt;/Q&gt;&lt;R&gt;0&lt;/R&gt;&lt;C&gt;0&lt;/C&gt;&lt;/FQL&gt;&lt;FQL&gt;&lt;Q&gt;Ticker0024^FE_ESTIMATE(SALES,MEAN,QUARTERLY_ROLL,2029/3F,45595,,,'')&lt;/Q&gt;&lt;R&gt;0&lt;/R&gt;&lt;C&gt;0&lt;/C&gt;&lt;/FQL&gt;&lt;FQL&gt;&lt;Q&gt;Ticker0024^FE_ESTIMATE(SALES,MEAN,QUARTERLY_ROLL,2029/2F,45595,,,'')&lt;/Q&gt;&lt;R&gt;0&lt;/R&gt;&lt;C&gt;0&lt;/C&gt;&lt;/FQL&gt;&lt;FQL&gt;&lt;Q&gt;Ticker0024^FE_ESTIMATE(SALES,MEAN,QUARTERLY_ROLL,2029/1F,45595,,,'')&lt;/Q&gt;&lt;R&gt;0&lt;/R&gt;&lt;C&gt;0&lt;/C&gt;&lt;/FQL&gt;&lt;FQL&gt;&lt;Q&gt;Ticker0024^FE_ESTIMATE(SALES,MEAN,ANNUAL_ROLL,2028,45595,,,'')&lt;/Q&gt;&lt;R&gt;1&lt;/R&gt;&lt;C&gt;1&lt;/C&gt;&lt;D xsi:type="xsd:double"&gt;422422.2&lt;/D&gt;&lt;/FQL&gt;&lt;FQL&gt;&lt;Q&gt;Ticker0024^FE_ESTIMATE(SALES,MEAN,QUARTERLY_ROLL,2028/4F,45595,,,'')&lt;/Q&gt;&lt;R&gt;0&lt;/R&gt;&lt;C&gt;0&lt;/C&gt;&lt;/FQL&gt;&lt;FQL&gt;&lt;Q&gt;Ticker0024^FE_ESTIMATE(SALES,MEAN,QUARTERLY_ROLL,2028/3F,45595,,,'')&lt;/Q&gt;&lt;R&gt;0&lt;/R&gt;&lt;C&gt;0&lt;/C&gt;&lt;/FQL&gt;&lt;FQL&gt;&lt;Q&gt;Ticker0024^FE_ESTIMATE(SALES,MEAN,QUARTERLY_ROLL,2028/2F,45595,,,'')&lt;/Q&gt;&lt;R&gt;0&lt;/R&gt;&lt;C&gt;0&lt;/C&gt;&lt;/FQL&gt;&lt;FQL&gt;&lt;Q&gt;Ticker0024^FE_ESTIMATE(SALES,MEAN,QUARTERLY_ROLL,2028/1F,45595,,,'')&lt;/Q&gt;&lt;R&gt;0&lt;/R&gt;&lt;C&gt;0&lt;/C&gt;&lt;/FQL&gt;&lt;FQL&gt;&lt;Q&gt;Ticker0024^FE_ESTIMATE(SALES,MEAN,ANNUAL_ROLL,2027,45595,,,'')&lt;/Q&gt;&lt;R&gt;1&lt;/R&gt;&lt;C&gt;1&lt;/C&gt;&lt;D xsi:type="xsd:double"&gt;365169.75&lt;/D&gt;&lt;/FQL&gt;&lt;FQL&gt;&lt;Q&gt;Ticker0024^FE_ESTIMATE(SALES,MEAN,QUARTERLY_ROLL,2027/4F,45595,,,'')&lt;/Q&gt;&lt;R&gt;1&lt;/R&gt;&lt;C&gt;1&lt;/C&gt;&lt;D xsi:type="xsd:double"&gt;95483.31&lt;/D&gt;&lt;/FQL&gt;&lt;FQL&gt;&lt;Q&gt;Ticker0024^FE_ESTIMATE(SALES,MEAN,QUARTERLY_ROLL,2027/3F,45595,,,'')&lt;/Q&gt;&lt;R&gt;1&lt;/R&gt;&lt;C&gt;1&lt;/C&gt;&lt;D xsi:type="xsd:double"&gt;90371.78&lt;/D&gt;&lt;/FQL&gt;&lt;FQL&gt;&lt;Q&gt;Ticker0024^FE_ESTIMATE(SALES,MEAN,QUARTERLY_ROLL,2027/2F,45595,,,'')&lt;/Q&gt;&lt;R&gt;1&lt;/R&gt;&lt;C&gt;1&lt;/C&gt;&lt;D xsi:type="xsd:double"&gt;90153.65&lt;/D&gt;&lt;/FQL&gt;&lt;FQL&gt;&lt;Q&gt;Ticker0024^FE_ESTIMATE(SALES,MEAN,QUARTERLY_ROLL,2027/1F,45595,,,'')&lt;/Q&gt;&lt;R&gt;1&lt;/R&gt;&lt;C&gt;1&lt;/C&gt;&lt;D xsi:type="xsd:double"&gt;84439.64&lt;/D&gt;&lt;/FQL&gt;&lt;FQL&gt;&lt;Q&gt;Ticker0024^FE_ESTIMATE(SALES,MEAN,ANNUAL_ROLL,2026,45595,,,'')&lt;/Q&gt;&lt;R&gt;1&lt;/R&gt;&lt;C&gt;1&lt;/C&gt;&lt;D xsi:type="xsd:double"&gt;318858.66&lt;/D&gt;&lt;/FQL&gt;&lt;FQL&gt;&lt;Q&gt;Ticker0024^FE_ESTIMATE(SALES,MEAN,QUARTERLY_ROLL,2026/4F,45595,,,'')&lt;/Q&gt;&lt;R&gt;1&lt;/R&gt;&lt;C&gt;1&lt;/C&gt;&lt;D xsi:type="xsd:double"&gt;84009.055&lt;/D&gt;&lt;/FQL&gt;&lt;FQL&gt;&lt;Q&gt;Ticker0024^FE_ESTIMATE(SALES,MEAN,QUARTERLY_ROLL,2026/3F,45595,,,'')&lt;/Q&gt;&lt;R&gt;1&lt;/R&gt;&lt;C&gt;1&lt;/C&gt;&lt;D xsi:type="xsd:double"&gt;79675.7&lt;/D&gt;&lt;/FQL&gt;&lt;FQL&gt;&lt;Q&gt;Ticker0024^FE_ESTIMATE(SALES,MEAN,QUARTERLY_ROLL,2026/2F,45595,,,'')&lt;/Q&gt;&lt;R&gt;1&lt;/R&gt;&lt;C&gt;1&lt;/C&gt;&lt;D xsi:type="xsd:double"&gt;79230.266&lt;/D&gt;&lt;/FQL&gt;&lt;FQL&gt;&lt;Q&gt;Ticker0024^FE_ESTIMATE(SALES,MEAN,QUARTERLY_ROLL,2026/1F,45595,,,'')&lt;/Q&gt;&lt;R&gt;1&lt;/R&gt;&lt;C&gt;1&lt;/C&gt;&lt;D xsi:type="xsd:double"&gt;73647.875&lt;/D&gt;&lt;/FQL&gt;&lt;FQL&gt;&lt;Q&gt;Ticker0024^FE_ESTIMATE(SALES,MEAN,ANNUAL_ROLL,2025,45595,,,'')&lt;/Q&gt;&lt;R&gt;1&lt;/R&gt;&lt;C&gt;1&lt;/C&gt;&lt;D xsi:type="xsd:double"&gt;279127.78&lt;/D&gt;&lt;/FQL&gt;&lt;FQL&gt;&lt;Q&gt;Ticker0024^FE_ESTIMATE(SALES,MEAN,QUARTERLY_ROLL,2025/4F,45595,,,'')&lt;/Q&gt;&lt;R&gt;1&lt;/R&gt;&lt;C&gt;1&lt;/C&gt;&lt;D xsi:type="xsd:double"&gt;73782.43&lt;/D&gt;&lt;/FQL&gt;&lt;FQL&gt;&lt;Q&gt;Ticker0024^FE_ESTIMATE(SALES,MEAN,QUARTERLY_ROLL,2025/3F,45595,,,'')&lt;/Q&gt;&lt;R&gt;1&lt;/R&gt;&lt;C&gt;1&lt;/C&gt;&lt;D xsi:type="xsd:double"&gt;70125.99&lt;/D&gt;&lt;/FQL&gt;&lt;FQL&gt;&lt;Q&gt;Ticker0024^FE_ESTIMATE(SALES,MEAN,QUARTERLY_ROLL,2025/2F,45595,,,'')&lt;/Q&gt;&lt;R&gt;1&lt;/R&gt;&lt;C&gt;1&lt;/C&gt;&lt;D xsi:type="xsd:double"&gt;69888.99&lt;/D&gt;&lt;/FQL&gt;&lt;FQL&gt;&lt;Q&gt;Ticker0024^FE_ESTIMATE(SALES,MEAN,QUARTERLY_ROLL,2025/1F,45595,,,'')&lt;/Q&gt;&lt;R&gt;1&lt;/R&gt;&lt;C&gt;1&lt;/C&gt;&lt;D xsi:type="xsd:double"&gt;64568.71&lt;/D&gt;&lt;/FQL&gt;&lt;FQL&gt;&lt;Q&gt;Ticker0024^FE_ESTIMATE(SALES,MEAN,ANNUAL_ROLL,2024,45595,,,'')&lt;/Q&gt;&lt;R&gt;1&lt;/R&gt;&lt;C&gt;1&lt;/C&gt;&lt;D xsi:type="xsd:double"&gt;245122&lt;/D&gt;&lt;/FQL&gt;&lt;FQL&gt;&lt;Q&gt;Ticker0024^FE_ESTIMATE(SALES,MEAN,QUARTERLY_ROLL,2024/4F,45595,,,'')&lt;/Q&gt;&lt;R&gt;1&lt;/R&gt;&lt;C&gt;1&lt;/C&gt;&lt;D xsi:type="xsd:double"&gt;64727&lt;/D&gt;&lt;/FQL&gt;&lt;FQL&gt;&lt;Q&gt;Ticker0024^FE_ESTIMATE(SALES,MEAN,QUARTERLY_ROLL,2024/3F,45595,,,'')&lt;/Q&gt;&lt;R&gt;1&lt;/R&gt;&lt;C&gt;1&lt;/C&gt;&lt;D xsi:type="xsd:double"&gt;61858&lt;/D&gt;&lt;/FQL&gt;&lt;FQL&gt;&lt;Q&gt;Ticker0024^FE_ESTIMATE(SALES,MEAN,QUARTERLY_ROLL,2024/2F,45595,,,'')&lt;/Q&gt;&lt;R&gt;1&lt;/R&gt;&lt;C&gt;1&lt;/C&gt;&lt;D xsi:type="xsd:double"&gt;62020&lt;/D&gt;&lt;/FQL&gt;&lt;FQL&gt;&lt;Q&gt;Ticker0024^FE_ESTIMATE(SALES,MEAN,QUARTERLY_ROLL,2024/1F,45595,,,'')&lt;/Q&gt;&lt;R&gt;1&lt;/R&gt;&lt;C&gt;1&lt;/C&gt;&lt;D xsi:type="xsd:double"&gt;56517&lt;/D&gt;&lt;/FQL&gt;&lt;FQL&gt;&lt;Q&gt;Ticker0024^FE_ESTIMATE(SALES,MEAN,ANNUAL_ROLL,2023,45595,,,'')&lt;/Q&gt;&lt;R&gt;1&lt;/R&gt;&lt;C&gt;1&lt;/C&gt;&lt;D xsi:type="xsd:double"&gt;211915&lt;/D&gt;&lt;/FQL&gt;&lt;FQL&gt;&lt;Q&gt;Ticker0024^FE_ESTIMATE(SALES,MEAN,QUARTERLY_ROLL,2023/4F,45595,,,'')&lt;/Q&gt;&lt;R&gt;1&lt;/R&gt;&lt;C&gt;1&lt;/C&gt;&lt;D xsi:type="xsd:double"&gt;56189&lt;/D&gt;&lt;/FQL&gt;&lt;FQL&gt;&lt;Q&gt;Ticker0024^FE_ESTIMATE(SALES,MEAN,QUARTERLY_ROLL,2023/3F,45595,,,'')&lt;/Q&gt;&lt;R&gt;1&lt;/R&gt;&lt;C&gt;1&lt;/C&gt;&lt;D xsi:type="xsd:double"&gt;52857&lt;/D&gt;&lt;/FQL&gt;&lt;FQL&gt;&lt;Q&gt;Ticker0024^FE_ESTIMATE(SALES,MEAN,QUARTERLY_ROLL,2023/2F,45595,,,'')&lt;/Q&gt;&lt;R&gt;1&lt;/R&gt;&lt;C&gt;1&lt;/C&gt;&lt;D xsi:type="xsd:double"&gt;52747&lt;/D&gt;</t>
        </r>
      </text>
    </comment>
    <comment ref="A6" authorId="0" shapeId="0" xr:uid="{E69CF225-EB95-485D-A7A7-F3AFFE2ED545}">
      <text>
        <r>
          <rPr>
            <b/>
            <sz val="9"/>
            <color indexed="81"/>
            <rFont val="Tahoma"/>
            <family val="2"/>
          </rPr>
          <t>&lt;/FQL&gt;&lt;FQL&gt;&lt;Q&gt;Ticker0024^FE_ESTIMATE(SALES,MEAN,QUARTERLY_ROLL,2023/1F,45595,,,'')&lt;/Q&gt;&lt;R&gt;1&lt;/R&gt;&lt;C&gt;1&lt;/C&gt;&lt;D xsi:type="xsd:double"&gt;50122&lt;/D&gt;&lt;/FQL&gt;&lt;FQL&gt;&lt;Q&gt;Ticker0024^FE_ESTIMATE(SALES,MEAN,ANNUAL_ROLL,2022,45595,,,'')&lt;/Q&gt;&lt;R&gt;1&lt;/R&gt;&lt;C&gt;1&lt;/C&gt;&lt;D xsi:type="xsd:double"&gt;198270&lt;/D&gt;&lt;/FQL&gt;&lt;FQL&gt;&lt;Q&gt;Ticker0024^FE_ESTIMATE(SALES,MEAN,QUARTERLY_ROLL,2022/4F,45595,,,'')&lt;/Q&gt;&lt;R&gt;1&lt;/R&gt;&lt;C&gt;1&lt;/C&gt;&lt;D xsi:type="xsd:double"&gt;51865&lt;/D&gt;&lt;/FQL&gt;&lt;FQL&gt;&lt;Q&gt;Ticker0024^FE_ESTIMATE(SALES,MEAN,QUARTERLY_ROLL,2022/3F,45595,,,'')&lt;/Q&gt;&lt;R&gt;1&lt;/R&gt;&lt;C&gt;1&lt;/C&gt;&lt;D xsi:type="xsd:double"&gt;49360&lt;/D&gt;&lt;/FQL&gt;&lt;FQL&gt;&lt;Q&gt;Ticker0024^FE_ESTIMATE(SALES,MEAN,QUARTERLY_ROLL,2022/2F,45595,,,'')&lt;/Q&gt;&lt;R&gt;1&lt;/R&gt;&lt;C&gt;1&lt;/C&gt;&lt;D xsi:type="xsd:double"&gt;51728&lt;/D&gt;&lt;/FQL&gt;&lt;FQL&gt;&lt;Q&gt;Ticker0024^FE_ESTIMATE(SALES,MEAN,QUARTERLY_ROLL,2022/1F,45595,,,'')&lt;/Q&gt;&lt;R&gt;1&lt;/R&gt;&lt;C&gt;1&lt;/C&gt;&lt;D xsi:type="xsd:double"&gt;45317&lt;/D&gt;&lt;/FQL&gt;&lt;FQL&gt;&lt;Q&gt;Ticker0024^FE_ESTIMATE(SALES,MEAN,ANNUAL_ROLL,2021,45595,,,'')&lt;/Q&gt;&lt;R&gt;1&lt;/R&gt;&lt;C&gt;1&lt;/C&gt;&lt;D xsi:type="xsd:double"&gt;168088&lt;/D&gt;&lt;/FQL&gt;&lt;FQL&gt;&lt;Q&gt;Ticker0024^FE_ESTIMATE(SALES,MEAN,QUARTERLY_ROLL,2021/4F,45595,,,'')&lt;/Q&gt;&lt;R&gt;1&lt;/R&gt;&lt;C&gt;1&lt;/C&gt;&lt;D xsi:type="xsd:double"&gt;46152&lt;/D&gt;&lt;/FQL&gt;&lt;FQL&gt;&lt;Q&gt;Ticker0024^FE_ESTIMATE(SALES,MEAN,QUARTERLY_ROLL,2021/3F,45595,,,'')&lt;/Q&gt;&lt;R&gt;1&lt;/R&gt;&lt;C&gt;1&lt;/C&gt;&lt;D xsi:type="xsd:double"&gt;41706&lt;/D&gt;&lt;/FQL&gt;&lt;FQL&gt;&lt;Q&gt;Ticker0024^FE_ESTIMATE(SALES,MEAN,QUARTERLY_ROLL,2021/2F,45595,,,'')&lt;/Q&gt;&lt;R&gt;1&lt;/R&gt;&lt;C&gt;1&lt;/C&gt;&lt;D xsi:type="xsd:double"&gt;43076&lt;/D&gt;&lt;/FQL&gt;&lt;FQL&gt;&lt;Q&gt;Ticker0024^FE_ESTIMATE(SALES,MEAN,QUARTERLY_ROLL,2021/1F,45595,,,'')&lt;/Q&gt;&lt;R&gt;1&lt;/R&gt;&lt;C&gt;1&lt;/C&gt;&lt;D xsi:type="xsd:double"&gt;37154&lt;/D&gt;&lt;/FQL&gt;&lt;FQL&gt;&lt;Q&gt;Ticker0024^FE_ESTIMATE(SALES,MEAN,ANNUAL_ROLL,2020,45595,,,'')&lt;/Q&gt;&lt;R&gt;1&lt;/R&gt;&lt;C&gt;1&lt;/C&gt;&lt;D xsi:type="xsd:double"&gt;143015&lt;/D&gt;&lt;/FQL&gt;&lt;FQL&gt;&lt;Q&gt;Ticker0024^FE_ESTIMATE(SALES,MEAN,QUARTERLY_ROLL,2020/4F,45595,,,'')&lt;/Q&gt;&lt;R&gt;1&lt;/R&gt;&lt;C&gt;1&lt;/C&gt;&lt;D xsi:type="xsd:double"&gt;38033&lt;/D&gt;&lt;/FQL&gt;&lt;FQL&gt;&lt;Q&gt;Ticker0024^FE_ESTIMATE(SALES,MEAN,QUARTERLY_ROLL,2020/3F,45595,,,'')&lt;/Q&gt;&lt;R&gt;1&lt;/R&gt;&lt;C&gt;1&lt;/C&gt;&lt;D xsi:type="xsd:double"&gt;35021&lt;/D&gt;&lt;/FQL&gt;&lt;FQL&gt;&lt;Q&gt;Ticker0024^FE_ESTIMATE(SALES,MEAN,QUARTERLY_ROLL,2020/2F,45595,,,'')&lt;/Q&gt;&lt;R&gt;1&lt;/R&gt;&lt;C&gt;1&lt;/C&gt;&lt;D xsi:type="xsd:double"&gt;36906&lt;/D&gt;&lt;/FQL&gt;&lt;FQL&gt;&lt;Q&gt;Ticker0024^FE_ESTIMATE(SALES,MEAN,QUARTERLY_ROLL,2020/1F,45595,,,'')&lt;/Q&gt;&lt;R&gt;1&lt;/R&gt;&lt;C&gt;1&lt;/C&gt;&lt;D xsi:type="xsd:double"&gt;33055&lt;/D&gt;&lt;/FQL&gt;&lt;FQL&gt;&lt;Q&gt;Ticker0024^FE_ESTIMATE(SALES,MEAN,ANNUAL_ROLL,2019,45595,,,'')&lt;/Q&gt;&lt;R&gt;1&lt;/R&gt;&lt;C&gt;1&lt;/C&gt;&lt;D xsi:type="xsd:double"&gt;125843&lt;/D&gt;&lt;/FQL&gt;&lt;FQL&gt;&lt;Q&gt;Ticker0024^FE_ESTIMATE(SALES,MEAN,QUARTERLY_ROLL,2019/4F,45595,,,'')&lt;/Q&gt;&lt;R&gt;1&lt;/R&gt;&lt;C&gt;1&lt;/C&gt;&lt;D xsi:type="xsd:double"&gt;33717&lt;/D&gt;&lt;/FQL&gt;&lt;FQL&gt;&lt;Q&gt;Ticker0024^FE_ESTIMATE(SALES,MEAN,QUARTERLY_ROLL,2019/3F,45595,,,'')&lt;/Q&gt;&lt;R&gt;1&lt;/R&gt;&lt;C&gt;1&lt;/C&gt;&lt;D xsi:type="xsd:double"&gt;30571&lt;/D&gt;&lt;/FQL&gt;&lt;FQL&gt;&lt;Q&gt;Ticker0024^FE_ESTIMATE(SALES,MEAN,QUARTERLY_ROLL,2019/2F,45595,,,'')&lt;/Q&gt;&lt;R&gt;1&lt;/R&gt;&lt;C&gt;1&lt;/C&gt;&lt;D xsi:type="xsd:double"&gt;32471&lt;/D&gt;&lt;/FQL&gt;&lt;FQL&gt;&lt;Q&gt;Ticker0024^FE_ESTIMATE(SALES,MEAN,QUARTERLY_ROLL,2019/1F,45595,,,'')&lt;/Q&gt;&lt;R&gt;1&lt;/R&gt;&lt;C&gt;1&lt;/C&gt;&lt;D xsi:type="xsd:double"&gt;29084&lt;/D&gt;&lt;/FQL&gt;&lt;FQL&gt;&lt;Q&gt;Ticker0024^FE_ESTIMATE(SALES,MEAN,ANNUAL_ROLL,2018,45595,,,'')&lt;/Q&gt;&lt;R&gt;1&lt;/R&gt;&lt;C&gt;1&lt;/C&gt;&lt;D xsi:type="xsd:double"&gt;110360&lt;/D&gt;&lt;/FQL&gt;&lt;FQL&gt;&lt;Q&gt;Ticker0024^FE_ESTIMATE(SALES,MEAN,QUARTERLY_ROLL,2018/4F,45595,,,'')&lt;/Q&gt;&lt;R&gt;1&lt;/R&gt;&lt;C&gt;1&lt;/C&gt;&lt;D xsi:type="xsd:double"&gt;30085&lt;/D&gt;&lt;/FQL&gt;&lt;FQL&gt;&lt;Q&gt;Ticker0024^FE_ESTIMATE(SALES,MEAN,QUARTERLY_ROLL,2018/3F,45595,,,'')&lt;/Q&gt;&lt;R&gt;1&lt;/R&gt;&lt;C&gt;1&lt;/C&gt;&lt;D xsi:type="xsd:double"&gt;26819&lt;/D&gt;&lt;/FQL&gt;&lt;FQL&gt;&lt;Q&gt;Ticker0024^FE_ESTIMATE(SALES,MEAN,QUARTERLY_ROLL,2018/2F,45595,,,'')&lt;/Q&gt;&lt;R&gt;1&lt;/R&gt;&lt;C&gt;1&lt;/C&gt;&lt;D xsi:type="xsd:double"&gt;28918&lt;/D&gt;&lt;/FQL&gt;&lt;FQL&gt;&lt;Q&gt;Ticker0024^FE_ESTIMATE(SALES,MEAN,QUARTERLY_ROLL,2018/1F,45595,,,'')&lt;/Q&gt;&lt;R&gt;1&lt;/R&gt;&lt;C&gt;1&lt;/C&gt;&lt;D xsi:type="xsd:double"&gt;24538&lt;/D&gt;&lt;/FQL&gt;&lt;FQL&gt;&lt;Q&gt;Ticker0024^FE_ESTIMATE(SALES,MEAN,ANNUAL_ROLL,2017,45595,,,'')&lt;/Q&gt;&lt;R&gt;1&lt;/R&gt;&lt;C&gt;1&lt;/C&gt;&lt;D xsi:type="xsd:double"&gt;96700&lt;/D&gt;&lt;/FQL&gt;&lt;FQL&gt;&lt;Q&gt;Ticker0024^FE_ESTIMATE(SALES,MEAN,QUARTERLY_ROLL,2017/4F,45595,,,'')&lt;/Q&gt;&lt;R&gt;1&lt;/R&gt;&lt;C&gt;1&lt;/C&gt;&lt;D xsi:type="xsd:double"&gt;24700&lt;/D&gt;&lt;/FQL&gt;&lt;FQL&gt;&lt;Q&gt;Ticker0024^FE_ESTIMATE(SALES,MEAN,QUARTERLY_ROLL,2017/3F,45595,,,'')&lt;/Q&gt;&lt;R&gt;1&lt;/R&gt;&lt;C&gt;1&lt;/C&gt;&lt;D xsi:type="xsd:double"&gt;23557&lt;/D&gt;&lt;/FQL&gt;&lt;FQL&gt;&lt;Q&gt;Ticker0024^FE_ESTIMATE(SALES,MEAN,QUARTERLY_ROLL,2017/2F,45595,,,'')&lt;/Q&gt;&lt;R&gt;1&lt;/R&gt;&lt;C&gt;1&lt;/C&gt;&lt;D xsi:type="xsd:double"&gt;26066&lt;/D&gt;&lt;/FQL&gt;&lt;FQL&gt;&lt;Q&gt;Ticker0024^FE_ESTIMATE(SALES,MEAN,QUARTERLY_ROLL,2017/1F,45595,,,'')&lt;/Q&gt;&lt;R&gt;1&lt;/R&gt;&lt;C&gt;1&lt;/C&gt;&lt;D xsi:type="xsd:double"&gt;22334&lt;/D&gt;&lt;/FQL&gt;&lt;FQL&gt;&lt;Q&gt;Ticker0024^FE_ESTIMATE(SALES,MEAN,ANNUAL_ROLL,2016,45595,,,'')&lt;/Q&gt;&lt;R&gt;1&lt;/R&gt;&lt;C&gt;1&lt;/C&gt;&lt;D xsi:type="xsd:double"&gt;92051.92&lt;/D&gt;&lt;/FQL&gt;&lt;FQL&gt;&lt;Q&gt;Ticker0024^FE_ESTIMATE(SALES,MEAN,QUARTERLY_ROLL,2016/4F,45595,,,'')&lt;/Q&gt;&lt;R&gt;1&lt;/R&gt;&lt;C&gt;1&lt;/C&gt;&lt;D xsi:type="xsd:double"&gt;22640.229&lt;/D&gt;&lt;/FQL&gt;&lt;FQL&gt;&lt;Q&gt;Ticker0024^FE_ESTIMATE(SALES,MEAN,QUARTERLY_ROLL,2016/3F,45595,,,'')&lt;/Q&gt;&lt;R&gt;1&lt;/R&gt;&lt;C&gt;1&lt;/C&gt;&lt;D xsi:type="xsd:double"&gt;22076&lt;/D&gt;&lt;/FQL&gt;&lt;FQL&gt;&lt;Q&gt;Ticker0024^FE_ESTIMATE(SALES,MEAN,QUARTERLY_ROLL,2016/2F,45595,,,'')&lt;/Q&gt;&lt;R&gt;1&lt;/R&gt;&lt;C&gt;1&lt;/C&gt;&lt;D xsi:type="xsd:double"&gt;25693&lt;/D&gt;&lt;/FQL&gt;&lt;FQL&gt;&lt;Q&gt;Ticker0024^FE_ESTIMATE(SALES,MEAN,QUARTERLY_ROLL,2016/1F,45595,,,'')&lt;/Q&gt;&lt;R&gt;1&lt;/R&gt;&lt;C&gt;1&lt;/C&gt;&lt;D xsi:type="xsd:double"&gt;21660&lt;/D&gt;&lt;/FQL&gt;&lt;FQL&gt;&lt;Q&gt;Ticker0024^FE_ESTIMATE(SALES,MEAN,ANNUAL_ROLL,2015,45595,,,'')&lt;/Q&gt;&lt;R&gt;1&lt;/R&gt;&lt;C&gt;1&lt;/C&gt;&lt;D xsi:type="xsd:double"&gt;93580&lt;/D&gt;&lt;/FQL&gt;&lt;FQL&gt;&lt;Q&gt;Ticker0024^FE_ESTIMATE(SALES,MEAN,QUARTERLY_ROLL,2015/4F,45595,,,'')&lt;/Q&gt;&lt;R&gt;1&lt;/R&gt;&lt;C&gt;1&lt;/C&gt;&lt;D xsi:type="xsd:double"&gt;22180&lt;/D&gt;&lt;/FQL&gt;&lt;FQL&gt;&lt;Q&gt;Ticker0024^FE_ESTIMATE(SALES,MEAN,QUARTERLY_ROLL,2015/3F,45595,,,'')&lt;/Q&gt;&lt;R&gt;1&lt;/R&gt;&lt;C&gt;1&lt;/C&gt;&lt;D xsi:type="xsd:double"&gt;21729&lt;/D&gt;&lt;/FQL&gt;&lt;FQL&gt;&lt;Q&gt;Ticker0024^FE_ESTIMATE(SALES,MEAN,QUARTERLY_ROLL,2015/2F,45595,,,'')&lt;/Q&gt;&lt;R&gt;1&lt;/R&gt;&lt;C&gt;1&lt;/C&gt;&lt;D xsi:type="xsd:double"&gt;26470&lt;/D&gt;&lt;/FQL&gt;&lt;FQL&gt;&lt;Q&gt;Ticker0024^FE_ESTIMATE(SALES,MEAN,QUARTERLY_ROLL,2015/1F,45595,,,'')&lt;/Q&gt;&lt;R&gt;1&lt;/R&gt;&lt;C&gt;1&lt;/C&gt;&lt;D xsi:type="xsd:double"&gt;23201&lt;/D&gt;&lt;/FQL&gt;&lt;FQL&gt;&lt;Q&gt;Ticker0024^FE_ESTIMATE(PRODLINE_SALES_17,MEAN,ANNUAL_ROLL,2030,45595,,,'')&lt;/Q&gt;&lt;R&gt;0&lt;/R&gt;&lt;C&gt;0&lt;/C&gt;&lt;/FQL&gt;&lt;FQL&gt;&lt;Q&gt;Ticker0024^FE_ESTIMATE(PRODLINE_SALES_17,MEAN,QUARTERLY_ROLL,2030/4F,45595,,,'')&lt;/Q&gt;&lt;R&gt;0&lt;/R&gt;&lt;C&gt;0&lt;/C&gt;&lt;/FQL&gt;&lt;FQL&gt;&lt;Q&gt;Ticker0024^FE_ESTIMATE(PRODLINE_SALES_17,MEAN,QUARTERLY_ROLL,2030/3F,45595,,,'')&lt;/Q&gt;&lt;R&gt;0&lt;/R&gt;&lt;C&gt;0&lt;/C&gt;&lt;/FQL&gt;&lt;FQL&gt;&lt;Q&gt;Ticker0024^FE_ESTIMATE(PRODLINE_SALES_17,MEAN,QUARTERLY_ROLL,2030/2F,45595,,,'')&lt;/Q&gt;&lt;R&gt;0&lt;/R&gt;&lt;C&gt;0&lt;/C&gt;&lt;/FQL&gt;&lt;FQL&gt;&lt;Q&gt;Ticker0024^FE_ESTIMATE(PRODLINE_SALES_17,MEAN,QUARTERLY_ROLL,2030/1F,45595,,,'')&lt;/Q&gt;&lt;R&gt;0&lt;/R&gt;&lt;C&gt;0&lt;/C&gt;&lt;/FQL&gt;&lt;FQL&gt;&lt;Q&gt;Ticker0024^FE_ESTIMATE(PRODLINE_SALES_17,MEAN,ANNUAL_ROLL,2029,45595,,,'')&lt;/Q&gt;&lt;R&gt;0&lt;/R&gt;&lt;C&gt;0&lt;/C&gt;&lt;/FQL&gt;&lt;FQL&gt;&lt;Q&gt;Ticker0024^FE_ESTIMATE(PRODLINE_SALES_17,MEAN,QUARTERLY_ROLL,2029/4F,45595,,,'')&lt;/Q&gt;&lt;R&gt;0&lt;/R&gt;&lt;C&gt;0&lt;/C&gt;&lt;/FQL&gt;&lt;FQL&gt;&lt;Q&gt;Ticker0024^FE_ESTIMATE(PRODLINE_SALES_17,MEAN,QUARTERLY_ROLL,2029/3F,45595,,,'')&lt;/Q&gt;&lt;R&gt;0&lt;/R&gt;&lt;C&gt;0&lt;/C&gt;&lt;/FQL&gt;&lt;FQL&gt;&lt;Q&gt;Ticker0024^FE_ESTIMATE(PRODLINE_SALES_17,MEAN,QUARTERLY_ROLL,2029/2F,45595,,,'')&lt;/Q&gt;&lt;R&gt;0&lt;/R&gt;&lt;C&gt;0&lt;/C&gt;&lt;/FQL&gt;&lt;FQL&gt;&lt;Q&gt;Ticker0024^FE_ESTIMATE(PRODLINE_SALES_17,MEAN,QUARTERLY_ROLL,2029/1F,45595,,,'')&lt;/Q&gt;&lt;R&gt;0&lt;/R&gt;&lt;C&gt;0&lt;/C&gt;&lt;/FQL&gt;&lt;FQL&gt;&lt;Q&gt;Ticker0024^FE_ESTIMATE(PRODLINE_SALES_17,MEAN,ANNUAL_ROLL,2028,45595,,,'')&lt;/Q&gt;&lt;R&gt;1&lt;/R&gt;&lt;C&gt;1&lt;/C&gt;&lt;D xsi:type="xsd:double"&gt;65420&lt;/D&gt;&lt;/FQL&gt;&lt;FQL&gt;&lt;Q&gt;Ticker0024^FE_ESTIMATE(PRODLINE_SALES_17,MEAN,QUARTERLY_ROLL,2028/4F,45595,,,'')&lt;/Q&gt;&lt;R&gt;0&lt;/R&gt;&lt;C&gt;0&lt;/C&gt;&lt;/FQL&gt;&lt;FQL&gt;&lt;Q&gt;Ticker0024^FE_ESTIMATE(PRODLINE_SALES_17,MEAN,QUARTERLY_ROLL,2028/3F,45595,,,'')&lt;/Q&gt;&lt;R&gt;0&lt;/R&gt;&lt;C&gt;0&lt;/C&gt;&lt;/FQL&gt;&lt;FQL&gt;&lt;Q&gt;Ticker0024^FE_ESTIMATE(PRODLINE_SALES_17,MEAN,QUARTERLY_ROLL,2028/2F,45595,,,'')&lt;/Q&gt;&lt;R&gt;0&lt;/R&gt;&lt;C&gt;0&lt;/C&gt;&lt;/FQL&gt;&lt;FQL&gt;&lt;Q&gt;Ticker0024^FE_ESTIMATE(PRODLINE_SALES_17,MEAN,QUARTERLY_ROLL,2028/1F,45595,,,'')&lt;/Q&gt;&lt;R&gt;0&lt;/R&gt;&lt;C&gt;0&lt;/C&gt;&lt;/FQL&gt;&lt;FQL&gt;&lt;Q&gt;Ticker0024^FE_ESTIMATE(PRODLINE_SALES_17,MEAN,ANNUAL_ROLL,2027,45595,,,'')&lt;/Q&gt;&lt;R&gt;1&lt;/R&gt;&lt;C&gt;1&lt;/C&gt;&lt;D xsi:type="xsd:double"&gt;66174&lt;/D&gt;&lt;/FQL&gt;&lt;FQL&gt;&lt;Q&gt;Ticker0024^FE_ESTIMATE(PRODLINE_SALES_17,MEAN,QUARTERLY_ROLL,2027/4F,45595,,,'')&lt;/Q&gt;&lt;R&gt;1&lt;/R&gt;&lt;C&gt;1&lt;/C&gt;&lt;D xsi:type="xsd:double"&gt;15791&lt;/D&gt;&lt;/FQL&gt;&lt;FQL&gt;&lt;Q&gt;Ticker0024^FE_ESTIMATE(PRODLINE_SALES_17,MEAN,QUARTERLY_ROLL,2027/3F,45595,,,'')&lt;/Q&gt;&lt;R&gt;1&lt;/R&gt;&lt;C&gt;1&lt;/C&gt;&lt;D xsi:type="xsd:double"&gt;15844&lt;/D&gt;&lt;/FQL&gt;&lt;FQL&gt;&lt;Q&gt;Ticker0024^FE_ESTIMATE(PRODLINE_SALES_17,MEAN,QUARTERLY_ROLL,2027/2F,45595,,,'')&lt;/Q&gt;&lt;R&gt;1&lt;/R&gt;&lt;C&gt;1&lt;/C&gt;&lt;D xsi:type="xsd:double"&gt;17325.5&lt;/D&gt;&lt;/FQL&gt;&lt;FQL&gt;&lt;Q&gt;Ticker0024^FE_ESTIMATE(PRODLINE_SALES_17,MEAN,QUARTERLY_ROLL,2027/1F,45595,,,'')&lt;/Q&gt;&lt;R&gt;1&lt;/R&gt;&lt;C&gt;1&lt;/C&gt;&lt;D xsi:type="xsd:double"&gt;14719.5&lt;/D&gt;&lt;/FQL&gt;&lt;FQL&gt;&lt;Q&gt;Ticker0024^FE_ESTIMATE(PRODLINE_SALES_17,MEAN,ANNUAL_ROLL,2026,45595,,,'')&lt;/Q&gt;&lt;R&gt;1&lt;/R&gt;&lt;C&gt;1&lt;/C&gt;&lt;D xsi:type="xsd:double"&gt;66459.81&lt;/D&gt;&lt;/FQL&gt;&lt;FQL&gt;&lt;Q&gt;Ticker0024^FE_ESTIMATE(PRODLINE_SALES_17,MEAN,QUARTERLY_ROLL,2026/4F,45595,,,'')&lt;/Q&gt;&lt;R&gt;1&lt;/R&gt;&lt;C&gt;1&lt;/C&gt;&lt;D xsi:type="xsd:double"&gt;16247.1&lt;/D&gt;&lt;/FQL&gt;&lt;FQL&gt;&lt;Q&gt;Ticker0024^FE_ESTIMATE(PRODLINE_SALES_17,MEAN,QUARTERLY_ROLL,2026/3F,45595,,,'')&lt;/Q&gt;&lt;R&gt;1&lt;/R&gt;&lt;C&gt;1&lt;/C&gt;&lt;D xsi:type="xsd:double"&gt;15866.4&lt;/D&gt;&lt;/FQL&gt;&lt;FQL&gt;&lt;Q&gt;Ticker0024^FE_ESTIMATE(PRODLINE_SALES_17,MEAN,QUARTERLY_ROLL,2026/2F,45595,,,'')&lt;/Q&gt;&lt;R&gt;1&lt;/R&gt;&lt;C&gt;1&lt;/C&gt;&lt;D xsi:type="xsd:double"&gt;17663.4&lt;/D&gt;&lt;/FQL&gt;&lt;FQL&gt;&lt;Q&gt;Ticker0024^FE_ESTIMATE(PRODLINE_SALES_17,MEAN,QUARTERLY_ROLL,2026/1F,45595,,,'')&lt;/Q&gt;&lt;R&gt;1&lt;/R&gt;&lt;C&gt;1&lt;/C&gt;&lt;D xsi:type="xsd:double"&gt;14817.6&lt;/D&gt;&lt;/FQL&gt;&lt;FQL&gt;&lt;Q&gt;Ticker0024^FE_ESTIMATE(PRODLINE_SALES_17,MEAN,ANNUAL_ROLL,2025,45595,,,'')&lt;/Q&gt;&lt;R&gt;1&lt;/R&gt;&lt;C&gt;1&lt;/C&gt;&lt;D xsi:type="xsd:double"&gt;61075.848&lt;/D&gt;&lt;/FQL&gt;&lt;FQL&gt;&lt;Q&gt;Ticker0024^FE_ESTIMATE(PRODLINE_SALES_17,MEAN,QUARTERLY_ROLL,2025/4F,45595,,,'')&lt;/Q&gt;&lt;R&gt;1&lt;/R&gt;&lt;C&gt;1&lt;/C&gt;&lt;D xsi:type="xsd:double"&gt;15423.962&lt;/D&gt;&lt;/FQL&gt;&lt;FQL&gt;&lt;Q&gt;Ticker0024^FE_ESTIMATE(PRODLINE_SALES_17,MEAN,QUARTERLY_ROLL,2025/3F,45595,,,'')&lt;/Q&gt;&lt;R&gt;1&lt;/R&gt;&lt;C&gt;1&lt;/C&gt;&lt;D xsi:type="xsd:double"&gt;15320.995&lt;/D&gt;&lt;/FQL&gt;&lt;FQL&gt;&lt;Q&gt;Ticker0024^FE_ESTIMATE(PRODLINE_SALES_17,MEAN,QUARTERLY_ROLL,2025/2F,45595,,,'')&lt;/Q&gt;&lt;R&gt;1&lt;/R&gt;&lt;C&gt;1&lt;/C&gt;&lt;D xsi:type="xsd:double"&gt;15130.818&lt;/D&gt;&lt;/FQL&gt;&lt;FQL&gt;&lt;Q&gt;Ticker0024^FE_ESTIMATE(PRODLINE_SALES_17,MEAN,QUARTERLY_ROLL,2025/1F,45595,,,'')&lt;/Q&gt;&lt;R&gt;1&lt;/R&gt;&lt;C&gt;1&lt;/C&gt;&lt;D xsi:type="xsd:double"&gt;12554.909&lt;/D&gt;&lt;/FQL&gt;&lt;FQL&gt;&lt;Q&gt;Ticker0024^FE_ESTIMATE(PRODLINE_SALES_17,MEAN,ANNUAL_ROLL,2024,45595,,,'')&lt;/Q&gt;&lt;R&gt;1&lt;/R&gt;&lt;C&gt;1&lt;/C&gt;&lt;D xsi:type="xsd:double"&gt;62032&lt;/D&gt;&lt;/FQL&gt;&lt;FQL&gt;&lt;Q&gt;Ticker0024^FE_ESTIMATE(PRODLINE_SALES_17,MEAN,QUARTERLY_ROLL,2024/4F,45595,,,'')&lt;/Q&gt;&lt;R&gt;1&lt;/R&gt;&lt;C&gt;1&lt;/C&gt;&lt;D xsi:type="xsd:double"&gt;15900&lt;/D&gt;&lt;/FQL&gt;&lt;FQL&gt;&lt;Q&gt;Ticker0024^FE_ESTIMATE(PRODLINE_SALES_17,MEAN,QUARTERLY_ROLL,2024/3F,45595,,,'')&lt;/Q&gt;&lt;R&gt;1&lt;/R&gt;&lt;C&gt;1&lt;/C&gt;&lt;D xsi:type="xsd:double"&gt;15580&lt;/D&gt;&lt;/FQL&gt;&lt;FQL&gt;&lt;Q&gt;Ticker0024^FE_ESTIMATE(PRODLINE_SALES_17,MEAN,QUARTERLY_ROLL,2024/2F,45595,,,'')&lt;/Q&gt;&lt;R&gt;1&lt;/R&gt;&lt;C&gt;1&lt;/C&gt;&lt;D xsi:type="xsd:double"&gt;16891&lt;/D&gt;&lt;/FQL&gt;&lt;FQL&gt;&lt;Q&gt;Ticker0024^FE_ESTIMATE(PRODLINE_SALES_17,MEAN,QUARTERLY_ROLL,2024/1F,45595,,,'')&lt;/Q&gt;&lt;R&gt;1&lt;/R&gt;&lt;C&gt;1&lt;/C&gt;&lt;D xsi:type="xsd:double"&gt;13666&lt;/D&gt;&lt;/FQL&gt;&lt;FQL&gt;&lt;Q&gt;Ticker0024^FE_ESTIMATE(PRODLINE_SALES_17,MEAN,ANNUAL_ROLL,2023,45595,,,'')&lt;/Q&gt;&lt;R&gt;1&lt;/R&gt;&lt;C&gt;1&lt;/C&gt;&lt;D xsi:type="xsd:double"&gt;54732.273&lt;/D&gt;&lt;/FQL&gt;&lt;FQL&gt;&lt;Q&gt;Ticker0024^FE_ESTIMATE(PRODLINE_SALES_17,MEAN,QUARTERLY_ROLL,2023/4F,45595,,,'')&lt;/Q&gt;&lt;R&gt;1&lt;/R&gt;&lt;C&gt;1&lt;/C&gt;&lt;D xsi:type="xsd:double"&gt;13905&lt;/D&gt;&lt;/FQL&gt;&lt;FQL&gt;&lt;Q&gt;Ticker0024^FE_ESTIMATE(PRODLINE_SALES_17,MEAN,QUARTERLY_ROLL,2023/3F,45595,,,'')&lt;/Q&gt;&lt;R&gt;1&lt;/R&gt;&lt;C&gt;1&lt;/C&gt;&lt;D xsi:type="xsd:double"&gt;13260&lt;/D&gt;&lt;/FQL&gt;&lt;FQL&gt;&lt;Q&gt;Ticker0024^FE_ESTIMATE(PRODLINE_SALES_17,MEAN,QUARTERLY_ROLL,2023/2F,45595,,,'')&lt;/Q&gt;&lt;R&gt;1&lt;/R&gt;&lt;C&gt;1&lt;/C&gt;&lt;D xsi:type="xsd:double"&gt;14237&lt;/D&gt;&lt;/FQL&gt;&lt;FQL&gt;&lt;Q&gt;Ticker0024^FE_ESTIMATE(PRODLINE_SALES_17,MEAN,QUARTERLY_ROLL,2023/1F,45595,,,'')&lt;/Q&gt;&lt;R&gt;1&lt;/R&gt;&lt;C&gt;1&lt;/C&gt;&lt;D xsi:type="xsd:double"&gt;13332&lt;/D&gt;&lt;/FQL&gt;&lt;FQL&gt;&lt;Q&gt;Ticker0024^FE_ESTIMATE(PRODLINE_SALES_17,MEAN,ANNUAL_ROLL,2022,45595,,,'')&lt;/Q&gt;&lt;R&gt;1&lt;/R&gt;&lt;C&gt;1&lt;/C&gt;&lt;D xsi:type="xsd:double"&gt;59655&lt;/D&gt;&lt;/FQL&gt;&lt;FQL&gt;&lt;Q&gt;Ticker0024^FE_ESTIMATE(PRODLINE_SALES_17,MEAN,QUARTERLY_ROLL,2022/4F,45595,,,'')&lt;/Q&gt;&lt;R&gt;1&lt;/R&gt;&lt;C&gt;1&lt;/C&gt;&lt;D xsi:type="xsd:double"&gt;14356&lt;/D&gt;&lt;/FQL&gt;&lt;FQL&gt;&lt;Q&gt;Ticker0024^FE_ESTIMATE(PRODLINE_SALES_17,MEAN,QUARTERLY_ROLL,2022/3F,45595,,,'')&lt;/Q&gt;&lt;R&gt;1&lt;/R&gt;&lt;C&gt;1&lt;/C&gt;&lt;D xsi:type="xsd:double"&gt;14520&lt;/D&gt;&lt;/FQL&gt;&lt;FQL&gt;&lt;Q&gt;Ticker0024^FE_ESTIMATE(PRODLINE_SALES_17,MEAN,QUARTERLY_ROLL,2022/2F,45595,,,'')&lt;/Q&gt;&lt;R&gt;1&lt;/R&gt;&lt;C&gt;1&lt;/C&gt;&lt;D xsi:type="xsd:double"&gt;17465&lt;/D&gt;&lt;/FQL&gt;&lt;FQL&gt;&lt;Q&gt;Ticker0024^FE_ESTIMATE(PRODLINE_SALES_17,MEAN,QUARTERLY_ROLL,2022/1F,45595,,,'')&lt;/Q&gt;&lt;R&gt;1&lt;/R&gt;&lt;C&gt;1&lt;/C&gt;&lt;D xsi:type="xsd:double"&gt;13314&lt;/D&gt;&lt;/FQL&gt;&lt;FQL&gt;&lt;Q&gt;Ticker0024^FE_ESTIMATE(PRODLINE_SALES_17,MEAN,ANNUAL_ROLL,2021,45595,,,'')&lt;/Q&gt;&lt;R&gt;1&lt;/R&gt;&lt;C&gt;1&lt;/C&gt;&lt;D xsi:type="xsd:double"&gt;54093&lt;/D&gt;&lt;/FQL&gt;&lt;FQL&gt;&lt;Q&gt;Ticker0024^FE_ESTIMATE(PRODLINE_SALES_17,MEAN,QUARTERLY_ROLL,2021/4F,45595,,,'')&lt;/Q&gt;&lt;R&gt;1&lt;/R&gt;&lt;C&gt;1&lt;/C&gt;&lt;D xsi:type="xsd:double"&gt;14086&lt;/D&gt;&lt;/FQL&gt;&lt;FQL&gt;&lt;Q&gt;Ticker0024^FE_ESTIMATE(PRODLINE_SALES_17,MEAN,QUARTERLY_ROLL,2021/3F,45595,,,'')&lt;/Q&gt;&lt;R&gt;1&lt;/R&gt;&lt;C&gt;1&lt;/C&gt;&lt;D xsi:type="xsd:double"&gt;13036&lt;/D&gt;&lt;/FQL&gt;&lt;FQL&gt;&lt;Q&gt;Ticker0024^FE_ESTIMATE(PRODLINE_SALES_17,MEAN,QUARTERLY_ROLL,2021/2F,45595,,,'')&lt;/Q&gt;&lt;R&gt;1&lt;/R&gt;&lt;C&gt;1&lt;/C&gt;&lt;D xsi:type="xsd:double"&gt;15122&lt;/D&gt;&lt;/FQL&gt;&lt;FQL&gt;&lt;Q&gt;Ticker0024^FE_ESTIMATE(PRODLINE_SALES_17,MEAN,QUARTERLY_ROLL,2021/1F,45595,,,'')&lt;/Q&gt;&lt;R&gt;1&lt;/R&gt;&lt;C&gt;1&lt;/C&gt;&lt;D xsi:type="xsd:double"&gt;11849&lt;/D&gt;&lt;/FQL&gt;&lt;FQL&gt;&lt;Q&gt;Ticker0024^FE_ESTIMATE(PRODLINE_SALES_17,MEAN,ANNUAL_ROLL,2020,45595,,,'')&lt;/Q&gt;&lt;R&gt;1&lt;/R&gt;&lt;C&gt;1&lt;/C&gt;&lt;D xsi:type="xsd:double"&gt;48251&lt;/D&gt;&lt;/FQL&gt;&lt;FQL&gt;&lt;Q&gt;Ticker0024^FE_ESTIMATE(PRODLINE_SALES_17,MEAN,QUARTERLY_ROLL,2020/4F,45595,,,'')&lt;/Q&gt;&lt;R&gt;1&lt;/R&gt;&lt;C&gt;1&lt;/C&gt;&lt;D xsi:type="xsd:double"&gt;12910&lt;/D&gt;&lt;/FQL&gt;&lt;FQL&gt;&lt;Q&gt;Ticker0024^FE_ESTIMATE(PRODLINE_SALES_17,MEAN,QUARTERLY_ROLL,2020/3F,45595,,,'')&lt;/Q&gt;&lt;R&gt;1&lt;/R&gt;&lt;C&gt;1&lt;/C&gt;&lt;D xsi:type="xsd:double"&gt;10997&lt;/D&gt;&lt;/FQL&gt;&lt;FQL&gt;&lt;Q&gt;Ticker0024^FE_ESTIMATE(PRODLINE_SALES_17,MEAN,QUARTERLY_ROLL,2020/2F,45595,,,'')&lt;/Q&gt;&lt;R&gt;1&lt;/R&gt;&lt;C&gt;1&lt;/C&gt;&lt;D xsi:type="xsd:double"&gt;13211&lt;/D&gt;&lt;/FQL&gt;&lt;FQL&gt;&lt;Q&gt;Ticker0024^FE_ESTIMATE(PRODLINE_SALES_17,MEAN,QUARTERLY_ROLL,2020/1F,45595,,,'')&lt;/Q&gt;&lt;R&gt;1&lt;/R&gt;&lt;C&gt;1&lt;/C&gt;&lt;D xsi:type="xsd:double"&gt;11133&lt;/D&gt;&lt;/FQL&gt;&lt;FQL&gt;&lt;Q&gt;Ticker0024^FE_ESTIMATE(PRODLINE_SALES_17,MEAN,ANNUAL_ROLL,2019,45595,,,'')&lt;/Q&gt;&lt;R&gt;1&lt;/R&gt;&lt;C&gt;1&lt;/C&gt;&lt;D xsi:type="xsd:double"&gt;45698&lt;/D&gt;&lt;/FQL&gt;&lt;FQL&gt;&lt;Q&gt;Ticker0024^FE_ESTIMATE(PRODLINE_SALES_17,MEAN,QUARTERLY_ROLL,2019/4F,45595,,,'')&lt;/Q&gt;&lt;R&gt;1&lt;/R&gt;&lt;C&gt;1&lt;/C&gt;&lt;D xsi:type="xsd:double"&gt;11279&lt;/D&gt;&lt;/FQL&gt;&lt;FQL&gt;&lt;Q&gt;Ticker0024^FE_ESTIMATE(PRODLINE_SALES_17,MEAN,QUARTERLY_ROLL,2019/3F,45595,,,'')&lt;/Q&gt;&lt;R&gt;1&lt;/R&gt;&lt;C&gt;1&lt;/C&gt;&lt;D xsi:type="xsd:double"&gt;10680&lt;/D&gt;&lt;/FQL&gt;&lt;FQL&gt;&lt;Q&gt;Ticker0024^FE_ESTIMATE(PRODLINE_SALES_17,MEAN,QUARTERLY_ROLL,2019/2F,45595,,,'')&lt;/Q&gt;&lt;R&gt;1&lt;/R&gt;&lt;C&gt;1&lt;/C&gt;&lt;D xsi:type="xsd:double"&gt;12993&lt;/D&gt;&lt;/FQL&gt;&lt;FQL&gt;&lt;Q&gt;Ticker0024^FE_ESTIMATE(PRODLINE_SALES_17,MEAN,QUARTERLY_ROLL,2019/1F,45595,,,'')&lt;/Q&gt;&lt;R&gt;1&lt;/R&gt;&lt;C&gt;1&lt;/C&gt;&lt;D xsi:type="xsd:double"&gt;10746&lt;/D&gt;&lt;/FQL&gt;&lt;FQL&gt;&lt;Q&gt;Ticker0024^FE_ESTIMATE(PRODLINE_SALES_17,MEAN,ANNUAL_ROLL,2018,45595,,,'')&lt;/Q&gt;&lt;R&gt;1&lt;/R&gt;&lt;C&gt;1&lt;/C&gt;&lt;D xsi:type="xsd:double"&gt;42276&lt;/D&gt;&lt;/FQL&gt;&lt;FQL&gt;&lt;Q&gt;Ticker0024^FE_ESTIMATE(PRODLINE_SALES_17,MEAN,QUARTERLY_ROLL,2018/4F,45595,,,'')&lt;/Q&gt;&lt;R&gt;1&lt;/R&gt;&lt;C&gt;1&lt;/C&gt;&lt;D xsi:type="xsd:double"&gt;10811&lt;/D&gt;&lt;/FQL&gt;&lt;FQL&gt;&lt;Q&gt;Ticker0024^FE_ESTIMATE(PRODLINE_SALES_17,MEAN,QUARTERLY_ROLL,2018/3F,45595,,,'')&lt;/Q&gt;&lt;R&gt;1&lt;/R&gt;&lt;C&gt;1&lt;/C&gt;&lt;D xsi:type="xsd:double"&gt;9917&lt;/D&gt;&lt;/FQL&gt;&lt;FQL&gt;&lt;Q&gt;Ticker0024^FE_ESTIMATE(PRODLINE_SALES_17,MEAN,QUARTERLY_ROLL,2018/2F,45595,,,'')&lt;/Q&gt;&lt;R&gt;1&lt;/R&gt;&lt;C&gt;1&lt;/C&gt;&lt;D xsi:type="xsd:double"&gt;12170&lt;/D&gt;&lt;/FQL&gt;&lt;FQL&gt;&lt;Q&gt;Ticker0024^FE_ESTIMATE(PRODLINE_SALES_17,MEAN,QUARTERLY_ROLL,2018/1F,45595,,,'')&lt;/Q&gt;&lt;R&gt;1&lt;/R&gt;&lt;C&gt;1&lt;/C&gt;&lt;D xsi:type="xsd:double"&gt;9378&lt;/D&gt;&lt;/FQL&gt;&lt;FQL&gt;&lt;Q&gt;Ticker0024^FE_ESTIMATE(PRODLINE_SALES_17,MEAN,ANNUAL_ROLL,2017,45595,,,'')&lt;/Q&gt;&lt;R&gt;1&lt;/R&gt;&lt;C&gt;1&lt;/C&gt;&lt;D xsi:type="xsd:double"&gt;38773&lt;/D&gt;&lt;/FQL&gt;&lt;FQL&gt;&lt;Q&gt;Ticker0024^FE_ESTIMATE(PRODLINE_SALES_17,MEAN,QUARTERLY_ROLL,2017/4F,45595,,,'')&lt;/Q&gt;&lt;R&gt;1&lt;/R&gt;&lt;C&gt;1&lt;/C&gt;&lt;D xsi:type="xsd:double"&gt;8820&lt;/D&gt;&lt;/FQL&gt;&lt;FQL&gt;&lt;Q&gt;Ticker0024^FE_ESTIMATE(PRODLINE_SALES_17,MEAN,QUARTERLY_ROLL,2017/3F,45595,,,'')&lt;/Q&gt;&lt;R&gt;1&lt;/R&gt;&lt;C&gt;1&lt;/C&gt;&lt;D xsi:type="xsd:double"&gt;8836&lt;/D&gt;&lt;/FQL&gt;&lt;FQL&gt;&lt;Q&gt;Ticker0024^FE_ESTIMATE(PRODLINE_SALES_17,MEAN,QUARTERLY_ROLL,2017/2F,45595,,,'')&lt;/Q&gt;&lt;R&gt;1&lt;/R&gt;&lt;C&gt;1&lt;/C&gt;&lt;D xsi:type="xsd:double"&gt;11823&lt;/D&gt;&lt;/FQL&gt;&lt;FQL&gt;&lt;Q&gt;Ticker0024^FE_ESTIMATE(PRODLINE_SALES_17,MEAN,QUARTERLY_ROLL,2017/1F,45595,,,'')&lt;/Q&gt;&lt;R&gt;1&lt;/R&gt;&lt;C&gt;1&lt;/C&gt;&lt;D xsi:type="xsd:double"&gt;9294&lt;/D&gt;&lt;/FQL&gt;&lt;FQL&gt;&lt;Q&gt;Ticker0024^FE_ESTIMATE(PRODLINE_SALES_17,MEAN,ANNUAL_ROLL,2016,45595,,,'')&lt;/Q&gt;&lt;R&gt;1&lt;/R&gt;&lt;C&gt;1&lt;/C&gt;&lt;D xsi:type="xsd:double"&gt;40460&lt;/D&gt;&lt;/FQL&gt;&lt;FQL&gt;&lt;Q&gt;Ticker0024^FE_ESTIMATE(PRODLINE_SALES_17,MEAN,QUARTERLY_ROLL,2016/4F,45595,,,'')&lt;/Q&gt;&lt;R&gt;1&lt;/R&gt;&lt;C&gt;1&lt;/C&gt;&lt;D xsi:type="xsd:double"&gt;8897&lt;/D&gt;&lt;/FQL&gt;&lt;FQL&gt;&lt;Q&gt;Ticker0024^FE_ESTIMATE(PRODLINE_SALES_17,MEAN,QUARTERLY_ROLL,2016/3F,45595,,,'')&lt;/Q&gt;&lt;R&gt;1&lt;/R&gt;&lt;C&gt;1&lt;/C&gt;&lt;D xsi:type="xsd:double"&gt;9458&lt;/D&gt;&lt;/FQL&gt;&lt;FQL&gt;&lt;Q&gt;Ticker0024^FE_ESTIMATE(PRODLINE_SALES_17,MEAN,QUARTERLY_ROLL,2016/2F,45595,,,'')&lt;/Q&gt;&lt;R&gt;1&lt;/R&gt;&lt;C&gt;1&lt;/C&gt;&lt;D xsi:type="xsd:double"&gt;12660&lt;/D&gt;&lt;/FQL&gt;&lt;FQL&gt;&lt;Q&gt;Ticker0024^FE_ESTIMATE(PRODLINE_SALES_17,MEAN,QUARTERLY_ROLL,2016/1F,45595,,,'')&lt;/Q&gt;&lt;R&gt;1&lt;/R&gt;&lt;C&gt;1&lt;/C&gt;&lt;D xsi:type="xsd:double"&gt;9381&lt;/D&gt;&lt;/FQL&gt;&lt;FQL&gt;&lt;Q&gt;Ticker0024^FE_ESTIMATE(PRODLINE_SALES_17,MEAN,ANNUAL_ROLL,2015,45595,,,'')&lt;/Q&gt;&lt;R&gt;0&lt;/R&gt;&lt;C&gt;0&lt;/C&gt;&lt;/FQL&gt;&lt;FQL&gt;&lt;Q&gt;Ticker0024^FE_ESTIMATE(PRODLINE_SALES_17,MEAN,QUARTERLY_ROLL,2015/4F,45595,,,'')&lt;/Q&gt;&lt;R&gt;0&lt;/R&gt;&lt;C&gt;0&lt;/C&gt;&lt;/FQL&gt;&lt;FQL&gt;&lt;Q&gt;Ticker0024^FE_ESTIMATE(PRODLINE_SALES_17,MEAN,QUARTERLY_ROLL,2015/3F,45595,,,'')&lt;/Q&gt;&lt;R&gt;0&lt;/R&gt;&lt;C&gt;0&lt;/C&gt;&lt;/FQL&gt;&lt;FQL&gt;&lt;Q&gt;Ticker0024^FE_ESTIMATE(PRODLINE_SALES_17,MEAN,QUARTERLY_ROLL,2015/2F,45595,,,'')&lt;/Q&gt;&lt;R&gt;0&lt;/R&gt;&lt;C&gt;0&lt;/C&gt;&lt;/FQL&gt;&lt;FQL&gt;&lt;Q&gt;Ticker0024^FE_ESTIMATE(PRODLINE_SALES_17,MEAN,QUARTERLY_ROLL,2015/1F,45595,,,'')&lt;/Q&gt;&lt;R&gt;0&lt;/R&gt;&lt;C&gt;0&lt;/C&gt;&lt;/FQL&gt;&lt;FQL&gt;&lt;Q&gt;Ticker0024^FE_ESTIMATE(PRODLINE_SALES_16,MEAN,ANNUAL_ROLL,2030,45595,,,'')&lt;/Q&gt;&lt;R&gt;0&lt;/R&gt;&lt;C&gt;0&lt;/C&gt;&lt;/FQL&gt;&lt;FQL&gt;&lt;Q&gt;Ticker0024^FE_ESTIMATE(PRODLINE_SALES_16,MEAN,QUARTERLY_ROLL,2030/4F,45595,,,'')&lt;/Q&gt;&lt;R&gt;0&lt;/R&gt;&lt;C&gt;0&lt;/C&gt;&lt;/FQL&gt;&lt;FQL&gt;&lt;Q&gt;Ticker0024^FE_ESTIMATE(PRODLINE_SALES_16,MEAN,QUARTERLY_ROLL,2030/3F,45595,,,'')&lt;/Q&gt;&lt;R&gt;0&lt;/R&gt;&lt;C&gt;0&lt;/C&gt;&lt;/FQL&gt;&lt;FQL&gt;&lt;Q&gt;Ticker0024^FE_ESTIMATE(PRODLINE_SALES_16,MEAN,QUARTERLY_ROLL,2030/2F,45595,,,'')&lt;/Q&gt;&lt;R&gt;0&lt;/R&gt;&lt;C&gt;0&lt;/C&gt;&lt;/FQL&gt;&lt;FQL&gt;&lt;Q&gt;Ticker0024^FE_ESTIMATE(PRODLINE_SALES_16,MEAN,QUARTERLY_ROLL,2030/1F,45595,,,'')&lt;/Q&gt;&lt;R&gt;0&lt;/R&gt;&lt;C&gt;0&lt;/C&gt;&lt;/FQL&gt;&lt;FQL&gt;&lt;Q&gt;Ticker0024^FE_ESTIMATE(PRODLINE_SALES_16,MEAN,ANNUAL_ROLL,2029,45595,,,'')&lt;/Q&gt;&lt;R&gt;0&lt;/R&gt;&lt;C&gt;0&lt;/C&gt;&lt;/FQL&gt;&lt;FQL&gt;&lt;Q&gt;Ticker0024^FE_ESTIMATE(PRODLINE_SALES_16,MEAN,QUARTERLY_ROLL,2029/4F,45595,,,'')&lt;/Q&gt;&lt;R&gt;0&lt;/R&gt;&lt;C&gt;0&lt;/C&gt;&lt;/FQL&gt;&lt;FQL&gt;&lt;Q&gt;Ticker0024^FE_ESTIMATE(PRODLINE_SALES_16,MEAN,QUARTERLY_ROLL,2029/3F,45595,,,'')&lt;/Q&gt;&lt;R&gt;0&lt;/R&gt;&lt;C&gt;0&lt;/C&gt;&lt;/FQL&gt;&lt;FQL&gt;&lt;Q&gt;Ticker0024^FE_ESTIMATE(PRODLINE_SALES_16,MEAN,QUARTERLY_ROLL,2029/2F,45595,,,'')&lt;/Q&gt;&lt;R&gt;0&lt;/R&gt;&lt;C&gt;0&lt;/C&gt;&lt;/FQL&gt;&lt;FQL&gt;&lt;Q&gt;Ticker0024^FE_ESTIMATE(PRODLINE_SALES_16,MEAN,QUARTERLY_ROLL,2029/1F,45595,,,'')&lt;/Q&gt;&lt;R&gt;0&lt;/R&gt;&lt;C&gt;0&lt;/C&gt;&lt;/FQL&gt;&lt;FQL&gt;&lt;Q&gt;Ticker0024^FE_ESTIMATE(PRODLINE_SALES_16,MEAN,ANNUAL_ROLL,2028,45595,,,'')&lt;/Q&gt;&lt;R&gt;1&lt;/R&gt;&lt;C&gt;1&lt;/C&gt;&lt;D xsi:type="xsd:double"&gt;221970&lt;/D&gt;&lt;/FQL&gt;&lt;FQL&gt;&lt;Q&gt;Ticker0024^FE_ESTIMATE(PRODLINE_SALES_16,MEAN,QUARTERLY_ROLL,2028/4F,45595,,,'')&lt;/Q&gt;&lt;R&gt;0&lt;/R&gt;&lt;C&gt;0&lt;/C&gt;&lt;/FQL&gt;&lt;FQL&gt;&lt;Q&gt;Ticker0024^FE_ESTIMATE(PRODLINE_SALES_16,MEAN,QUARTERLY_ROLL,2028/3F,45595,,,'')&lt;/Q&gt;&lt;R&gt;0&lt;/R&gt;&lt;C&gt;0&lt;/C&gt;&lt;/FQL&gt;&lt;FQL&gt;&lt;Q&gt;Ticker0024^FE_ESTIMATE(PRODLINE_SALES_16,MEAN,QUARTERLY_ROLL,2028/2F,45595,,,'')&lt;/Q&gt;&lt;R&gt;0&lt;/R&gt;&lt;C&gt;0&lt;/C&gt;&lt;/FQL&gt;&lt;FQL&gt;&lt;Q&gt;Ticker0024^FE_ESTIMATE(PRODLINE_SALES_16,MEAN,QUARTERLY_ROLL,2028/1F,45595,,,'')&lt;/Q&gt;&lt;R&gt;0&lt;/R&gt;&lt;C&gt;0&lt;/C&gt;&lt;/FQL&gt;&lt;FQL&gt;&lt;Q&gt;Ticker0024^FE_ESTIMATE(PRODLINE_SALES_16,MEAN,ANNUAL_ROLL,2027,45595,,,'')&lt;/Q&gt;&lt;R&gt;1&lt;/R&gt;&lt;C&gt;1&lt;/C&gt;&lt;D xsi:type="xsd:double"&gt;177234.2&lt;/D&gt;&lt;/FQL&gt;&lt;FQL&gt;&lt;Q&gt;Ticker0024^FE_ESTIMATE(PRODLINE_SALES_16,MEAN,QUARTERLY_ROLL,2027/4F,45595,,,'')&lt;/Q&gt;&lt;R&gt;1&lt;/R&gt;&lt;C&gt;1&lt;/C&gt;&lt;D xsi:type="xsd:double"&gt;45214&lt;/D&gt;&lt;/FQL&gt;&lt;FQL&gt;&lt;Q&gt;Ticker0024^FE_ESTIMATE(PRODLINE_SALES_16,MEAN,QUARTERLY_ROLL,2027/3F,45595,,,'')&lt;/Q&gt;&lt;R&gt;1&lt;/R&gt;&lt;C&gt;1&lt;/C&gt;&lt;D xsi:type="xsd:double"&gt;37527&lt;/D&gt;&lt;/FQL&gt;&lt;FQL&gt;&lt;Q&gt;Ticker0024^FE_ESTIMATE(PRODLINE_SALES_16,MEAN,QUARTERLY_ROLL,2027/2F,45595,,,'')&lt;/Q&gt;&lt;R&gt;1&lt;/R&gt;&lt;C&gt;1&lt;/C&gt;&lt;D xsi:type="xsd:double"&gt;38118&lt;/D&gt;&lt;/FQL&gt;&lt;FQL&gt;&lt;Q&gt;Ticker0024^FE_ESTIMATE(PRODLINE_SALES_16,MEAN,QUARTERLY_ROLL,2027/1F,45595,,,'')&lt;/Q&gt;&lt;R&gt;1&lt;/R&gt;&lt;C&gt;1&lt;/C&gt;&lt;D xsi:type="xsd:double"&gt;35768&lt;/D&gt;&lt;/FQL&gt;&lt;FQL&gt;&lt;Q&gt;Ticker0024^FE_ESTIMATE(PRODLINE_SALES_16,MEAN,ANNUAL_ROLL,2026,45595,,,'')&lt;/Q&gt;&lt;R&gt;1&lt;/R&gt;&lt;C&gt;1&lt;/C&gt;&lt;D xsi:type="xsd:double"&gt;144977.42&lt;/D&gt;&lt;/FQL&gt;&lt;FQL&gt;&lt;Q&gt;Ticker0024^FE_ESTIMATE(PRODLINE_SALES_16,MEAN,QUARTERLY_ROLL,2026/4F,45595,,,'')&lt;/Q&gt;&lt;R&gt;1&lt;/R&gt;&lt;C&gt;1&lt;/C&gt;&lt;D xsi:type="xsd:double"&gt;38366.4&lt;/D&gt;&lt;/FQL&gt;&lt;FQL&gt;&lt;Q&gt;Ticker0024^FE_ESTIMATE(PRODLINE_SALES_16,MEAN,QUARTERLY_ROLL,2026/3F,45595,,,'')&lt;/Q&gt;&lt;R&gt;1&lt;/R&gt;&lt;C&gt;1&lt;/C&gt;&lt;D xsi:type="xsd:double"&gt;35244.7&lt;/D&gt;&lt;/FQL&gt;&lt;FQL&gt;&lt;Q&gt;Ticker0024^FE_ESTIMATE(PRODLINE_SALES_16,MEAN,QUARTERLY_ROLL,2026/2F,45595,,,'')&lt;/Q&gt;&lt;R&gt;1&lt;/R&gt;&lt;C&gt;1&lt;/C&gt;&lt;D xsi:type="xsd:double"&gt;33919.3&lt;/D&gt;&lt;/FQL&gt;&lt;FQL&gt;&lt;Q&gt;Ticker0024^FE_ESTIMATE(PRODLINE_SALES_16,MEAN,QUARTERLY_ROLL,2026/1F,45595,,,'')&lt;/Q&gt;&lt;R&gt;1&lt;/R&gt;&lt;C&gt;1&lt;/C&gt;&lt;D xsi:type="xsd:double"&gt;31819.9&lt;/D&gt;&lt;/FQL&gt;&lt;FQL&gt;&lt;Q&gt;Ticker0024^FE_ESTIMATE(PRODLINE_SALES_16,MEAN,ANNUAL_ROLL,2025,45595,,,'')&lt;/Q&gt;&lt;R&gt;1&lt;/R&gt;&lt;C&gt;1&lt;/C&gt;&lt;D xsi:type="xsd:double"&gt;118407.99&lt;/D&gt;&lt;/FQL&gt;&lt;FQL&gt;&lt;Q&gt;Ticker0024^FE_ESTIMATE(PRODLINE_SALES_16,MEAN,QUARTERLY_ROLL,2025/4F,45595,,,'')&lt;/Q&gt;&lt;R&gt;1&lt;/R&gt;&lt;C&gt;1&lt;/C&gt;&lt;D xsi:type="xsd:double"&gt;32540.404&lt;/D&gt;&lt;/FQL&gt;&lt;FQL&gt;&lt;Q&gt;Ticker0024^FE_ESTIMATE(PRODLINE_SALES_16,MEAN,QUARTERLY_ROLL,2025/3F,45595,,,'')&lt;/Q&gt;&lt;R&gt;1&lt;/R&gt;&lt;C&gt;1&lt;/C&gt;&lt;D xsi:type="xsd:double"&gt;30170.05&lt;/D&gt;&lt;/FQL&gt;&lt;FQL&gt;&lt;Q&gt;Ticker0024^FE_ESTIMATE(PRODLINE_SALES_16,MEAN,QUARTERLY_ROLL,2025/2F,45595,,,'')&lt;/Q&gt;&lt;R&gt;1&lt;/R&gt;&lt;C&gt;1&lt;/C&gt;&lt;D xsi:type="xsd:double"&gt;25812.9&lt;/D&gt;&lt;/FQL&gt;&lt;FQL&gt;&lt;Q&gt;Ticker0024^FE_ESTIMATE(PRODLINE_SALES_16,MEAN,QUARTERLY_ROLL,2025/1F,45595,,,'')&lt;/Q&gt;&lt;R&gt;1&lt;/R&gt;&lt;C&gt;1&lt;/C&gt;&lt;D xsi:type="xsd:double"&gt;24035.273&lt;/D&gt;&lt;/FQL&gt;&lt;FQL&gt;&lt;Q&gt;Ticker0024^FE_ESTIMATE(PRODLINE_SALES_16,MEAN,ANNUAL_ROLL,2024,45595,,,'')&lt;/Q&gt;&lt;R&gt;1&lt;/R&gt;&lt;C&gt;1&lt;/C&gt;&lt;D xsi:type="xsd:double"&gt;105362&lt;/D&gt;&lt;/FQL&gt;&lt;FQL&gt;&lt;Q&gt;Ticker0024^FE_ESTIMATE(PRODLINE_SALES_16,MEAN,QUARTERLY_ROLL,2024/4F,45595,,,'')&lt;/Q&gt;&lt;R&gt;1&lt;/R&gt;&lt;C&gt;1&lt;/C&gt;&lt;D xsi:type="xsd:double"&gt;28500&lt;/D&gt;&lt;/FQL&gt;&lt;FQL&gt;&lt;Q&gt;Ticker0024^FE_ESTIMATE(PRODLINE_SALES_16,MEAN,QUARTERLY_ROLL,2024/3F,45595,,,'')&lt;/Q&gt;&lt;R&gt;1&lt;/R&gt;&lt;C&gt;1&lt;/C&gt;&lt;D xsi:type="xsd:double"&gt;26708&lt;/D&gt;&lt;/FQL&gt;&lt;FQL&gt;&lt;Q&gt;Ticker0024^FE_ESTIMATE(PRODLINE_SALES_16,MEAN,QUARTERLY_ROLL,2024/2F,45595,,,'')&lt;/Q&gt;&lt;R&gt;1&lt;/R&gt;&lt;C&gt;1&lt;/C&gt;&lt;D xsi:type="xsd:double"&gt;25880&lt;/D&gt;&lt;/FQL&gt;&lt;FQL&gt;&lt;Q&gt;Ticker0024^FE_ESTIMATE(PRODLINE_SALES_16,MEAN,QUARTERLY_ROLL,2024/1F,45595,,,'')&lt;/Q&gt;&lt;R&gt;1&lt;/R&gt;&lt;C&gt;1&lt;/C&gt;&lt;D xsi:type="xsd:double"&gt;24259&lt;/D&gt;&lt;/FQL&gt;&lt;FQL&gt;&lt;Q&gt;Ticker0024^FE_ESTIMATE(PRODLINE_SALES_16,MEAN,ANNUAL_ROLL,2023,45595,,,'')&lt;/Q&gt;&lt;R&gt;1&lt;/R&gt;&lt;C&gt;1&lt;/C&gt;&lt;D xsi:type="xsd:double"&gt;87906.82&lt;/D&gt;&lt;/FQL&gt;&lt;FQL&gt;&lt;Q&gt;Ticker0024^FE_ESTIMATE(PRODLINE_SALES_16,MEAN,QUARTERLY_ROLL,2023/4F,45595,,,'')&lt;/Q&gt;&lt;R&gt;1&lt;/R&gt;&lt;C&gt;1&lt;/C&gt;&lt;D xsi:type="xsd:double"&gt;23993&lt;/D&gt;&lt;/FQL&gt;&lt;FQL&gt;&lt;Q&gt;Ticker0024^FE_ESTIMATE(PRODLINE_SALES_16,MEAN,QUARTERLY_ROLL,2023/3F,45595,,,'')&lt;/Q&gt;&lt;R&gt;1&lt;/R&gt;&lt;C&gt;1&lt;/C&gt;&lt;D xsi:type="xsd:double"&gt;22081&lt;/D&gt;&lt;/FQL&gt;&lt;FQL&gt;&lt;Q&gt;Ticker0024^FE_ESTIMATE(PRODLINE_SALES_16,MEAN,QUARTERLY_ROLL,2023/2F,45595,,,'')&lt;/Q&gt;&lt;R&gt;1&lt;/R&gt;&lt;C&gt;1&lt;/C&gt;&lt;D xsi:type="xsd:double"&gt;21508&lt;/D&gt;&lt;/FQL&gt;&lt;FQL&gt;&lt;Q&gt;Ticker0024^FE_ESTIMATE(PRODLINE_SALES_16,MEAN,QUARTERLY_ROLL,2023/1F,45595,,,'')&lt;/Q&gt;&lt;R&gt;1&lt;/R&gt;&lt;C&gt;1&lt;/C&gt;&lt;D xsi:type="xsd:double"&gt;20325&lt;/D&gt;&lt;/FQL&gt;&lt;FQL&gt;&lt;Q&gt;Ticker0024^FE_ESTIMATE(PRODLINE_SALES_16,MEAN,ANNUAL_ROLL,2022,45595,,,'')&lt;/Q&gt;&lt;R&gt;1&lt;/R&gt;&lt;C&gt;1&lt;/C&gt;&lt;D xsi:type="xsd:double"&gt;75251&lt;/D&gt;&lt;/FQL&gt;&lt;FQL&gt;&lt;Q&gt;Ticker0024^FE_ESTIMATE(PRODLINE_SALES_16,MEAN,QUARTERLY_ROLL,2022/4F,45595,,,'')&lt;/Q&gt;&lt;R&gt;1&lt;/R&gt;&lt;C&gt;1&lt;/C&gt;&lt;D xsi:type="xsd:double"&gt;20909&lt;/D&gt;&lt;/FQL&gt;&lt;FQL&gt;&lt;Q&gt;Ticker0024^FE_ESTIMATE(PRODLINE_SALES_16,MEAN,QUARTERLY_ROLL,2022/3F,45595,,,'')&lt;/Q&gt;&lt;R&gt;1&lt;/R&gt;&lt;C&gt;1&lt;/C&gt;&lt;D xsi:type="xsd:double"&gt;19051&lt;/D&gt;&lt;/FQL&gt;&lt;FQL&gt;&lt;Q&gt;Ticker0024^FE_ESTIMATE(PRODLINE_SALES_16,MEAN,QUARTERLY_ROLL,2022/2F,45595,,,'')&lt;/Q&gt;&lt;R&gt;1&lt;/R&gt;&lt;C&gt;1&lt;/C&gt;&lt;D xsi:type="xsd:double"&gt;18327&lt;/D&gt;&lt;/FQL&gt;&lt;FQL&gt;&lt;Q&gt;Ticker0024^FE_ESTIMATE(PRODLINE_SALES_16,MEAN,QUARTERLY_ROLL,2022/1F,45595,,,'')&lt;/Q&gt;&lt;R&gt;1&lt;/R&gt;&lt;C&gt;1&lt;/C&gt;&lt;D xsi:type="xsd:double"&gt;16964&lt;/D&gt;&lt;/FQL&gt;&lt;FQL&gt;&lt;Q&gt;Ticker0024^FE_ESTIMATE(PRODLINE_SALES_16,MEAN,ANNUAL_ROLL,2021,45595,,,'')&lt;/Q&gt;&lt;R&gt;1&lt;/R&gt;&lt;C&gt;1&lt;/C&gt;&lt;D xsi:type="xsd:double"&gt;60080&lt;/D&gt;&lt;/FQL&gt;&lt;FQL&gt;&lt;Q&gt;Ticker0024^FE_ESTIMATE(PRODLINE_SALES_16,MEAN,QUARTERLY_ROLL,2021/4F,45595,,,'')&lt;/Q&gt;&lt;R&gt;1&lt;/R&gt;&lt;C&gt;1&lt;/C&gt;&lt;D xsi:type="xsd:double"&gt;17375&lt;/D&gt;&lt;/FQL&gt;&lt;FQL&gt;&lt;Q&gt;Ticker0024^FE_ESTIMATE(PRODLINE_SALES_16,MEAN,QUARTERLY_ROLL,2021/3F,45595,,,'')&lt;/Q&gt;&lt;R&gt;1&lt;/R&gt;&lt;C&gt;1&lt;/C&gt;&lt;D xsi:type="xsd:double"&gt;15118&lt;/D&gt;&lt;/FQL&gt;&lt;FQL&gt;&lt;Q&gt;Ticker0024^FE_ESTIMATE(PRODLINE_SALES_16,MEAN,QUARTERLY_ROLL,2021/2F,45595,,,'')&lt;/Q&gt;&lt;R&gt;1&lt;/R&gt;&lt;C&gt;1&lt;/C&gt;&lt;D xsi:type="xsd:double"&gt;14601&lt;/D&gt;&lt;/FQL&gt;&lt;FQL&gt;&lt;Q&gt;Ticker0024^FE_ESTIMATE(PRODLINE_SALES_16,MEAN,QUARTERLY_ROLL,2021/1F,45595,,,'')&lt;/Q&gt;&lt;R&gt;1&lt;/R&gt;&lt;C&gt;1&lt;/C&gt;&lt;D xsi:type="xsd:double"&gt;12986&lt;/D&gt;&lt;/FQL&gt;&lt;FQL&gt;&lt;Q&gt;Ticker0024^FE_ESTIMATE(PRODLINE_SALES_16,MEAN,ANNUAL_ROLL,2020,45595,,,'')&lt;/Q&gt;&lt;R&gt;1&lt;/R&gt;&lt;C&gt;1&lt;/C&gt;&lt;D xsi:type="xsd:double"&gt;48366&lt;/D&gt;&lt;/FQL&gt;&lt;FQL&gt;&lt;Q&gt;Ticker0024^FE_ESTIMATE(PRODLINE_SALES_16,MEAN,QUARTERLY_ROLL,2020/4F,45595,,,'')&lt;/Q&gt;&lt;R&gt;1&lt;/R&gt;&lt;C&gt;1&lt;/C&gt;&lt;D xsi:type="xsd:double"&gt;13371&lt;/D&gt;&lt;/FQL&gt;&lt;FQL&gt;&lt;Q&gt;Ticker0024^FE_ESTIMATE(PRODLINE_SALES_16,MEAN,QUARTERLY_ROLL,2020/3F,45595,,,'')&lt;/Q&gt;&lt;R&gt;1&lt;/R&gt;&lt;C&gt;1&lt;/C&gt;&lt;D xsi:type="xsd:double"&gt;12281&lt;/D&gt;&lt;/FQL&gt;&lt;FQL&gt;&lt;Q&gt;Ticker0024^FE_ESTIMATE(PRODLINE_SALES_16,MEAN,QUARTERLY_ROLL,2020/2F,45595,,,'')&lt;/Q&gt;&lt;R&gt;1&lt;/R&gt;&lt;C&gt;1&lt;/C&gt;&lt;D xsi:type="xsd:double"&gt;11869&lt;/D&gt;&lt;/FQL&gt;&lt;FQL&gt;&lt;Q&gt;Ticker0024^FE_ESTIMATE(PRODLINE_SALES_16,MEAN,QUARTERLY_ROLL,2020/1F,45595,,,'')&lt;/Q&gt;&lt;R&gt;1&lt;/R&gt;&lt;C&gt;1&lt;/C&gt;&lt;D xsi:type="xsd:double"&gt;10845&lt;/D&gt;&lt;/FQL&gt;&lt;FQL&gt;&lt;Q&gt;Ticker0024^FE_ESTIMATE(PRODLINE_SALES_16,MEAN,ANNUAL_ROLL,2019,45595,,,'')&lt;/Q&gt;&lt;R&gt;1&lt;/R&gt;&lt;C&gt;1&lt;/C&gt;&lt;D xsi:type="xsd:double"&gt;38985&lt;/D&gt;&lt;/FQL&gt;&lt;FQL&gt;&lt;Q&gt;Ticker0024^FE_ESTIMATE(PRODLINE_SALES_16,MEAN,QUARTERLY_ROLL,2019/4F,45595,,,'')&lt;/Q&gt;&lt;R&gt;1&lt;/R&gt;&lt;C&gt;1&lt;/C&gt;&lt;D xsi:type="xsd:double"&gt;11391&lt;/D&gt;&lt;/FQL&gt;&lt;FQL&gt;&lt;Q&gt;Ticker0024^FE_ESTIMATE(PRODLINE_SALES_16,MEAN,QUARTERLY_ROLL,2019/3F,45595,,,'')&lt;/Q&gt;&lt;R&gt;1&lt;/R&gt;&lt;C&gt;1&lt;/C&gt;&lt;D xsi:type="xsd:double"&gt;9649&lt;/D&gt;&lt;/FQL&gt;&lt;FQL&gt;&lt;Q&gt;Ticker0024^FE_ESTIMATE(PRODLINE_SALES_16,MEAN,QUARTERLY_ROLL,2019/2F,45595,,,'')&lt;/Q&gt;&lt;R&gt;1&lt;/R&gt;&lt;C&gt;1&lt;/C&gt;&lt;D xsi:type="xsd:double"&gt;9378&lt;/D&gt;&lt;/FQL&gt;&lt;FQL&gt;&lt;Q&gt;Ticker0024^FE_ESTIMATE(PRODLINE_SALES_16,MEAN,QUARTERLY_ROLL,2019/1F,45595,,,'')&lt;/Q&gt;&lt;R&gt;1&lt;/R&gt;&lt;C&gt;1&lt;/C&gt;&lt;D xsi:type="xsd:double"&gt;8567&lt;/D&gt;&lt;/FQL&gt;&lt;FQL&gt;&lt;Q&gt;Ticker0024^FE_ESTIMATE(PRODLINE_SALES_16,MEAN,ANNUAL_ROLL,2018,45595,,,'')&lt;/Q&gt;&lt;R&gt;1&lt;/R&gt;&lt;C&gt;1&lt;/C&gt;&lt;D xsi:type="xsd:double"&gt;32219&lt;/D&gt;&lt;/FQL&gt;&lt;FQL&gt;&lt;Q&gt;Ticker0024^FE_ESTIMATE(PRODLINE_SALES_16,MEAN,QUARTERLY_ROLL,2018/4F,45595,,,'')&lt;/Q&gt;&lt;R&gt;1&lt;/R&gt;&lt;C&gt;1&lt;/C&gt;&lt;D xsi:type="xsd:double"&gt;9606&lt;/D&gt;&lt;/FQL&gt;&lt;FQL&gt;&lt;Q&gt;Ticker0024^FE_ESTIMATE(PRODLINE_SALES_16,MEAN,QUARTERLY_ROLL,2018/3F,45595,,,'')&lt;/Q&gt;&lt;R&gt;1&lt;/R&gt;&lt;C&gt;1&lt;/C&gt;&lt;D xsi:type="xsd:double"&gt;7896&lt;/D&gt;&lt;/FQL&gt;&lt;FQL&gt;&lt;Q&gt;Ticker0024^FE_ESTIMATE(PRODLINE_SALES_16,MEAN,QUARTERLY_ROLL,2018/2F,45595,,,'')&lt;/Q&gt;&lt;R&gt;1&lt;/R&gt;&lt;C&gt;1&lt;/C&gt;&lt;D xsi:type="xsd:double"&gt;7795&lt;/D&gt;&lt;/FQL&gt;&lt;FQL&gt;&lt;Q&gt;Ticker0024^FE_ESTIMATE(PRODLINE_SALES_16,MEAN,QUARTERLY_ROLL,2018/1F,45595,,,'')&lt;/Q&gt;&lt;R&gt;1&lt;/R&gt;&lt;C&gt;1&lt;/C&gt;&lt;D xsi:type="xsd:double"&gt;6922&lt;/D&gt;&lt;/FQL&gt;&lt;FQL&gt;&lt;Q&gt;Ticker0024^FE_ESTIMATE(PRODLINE_SALES_16,MEAN,ANNUAL_ROLL,2017,45595,,,'')&lt;/Q&gt;&lt;R&gt;1&lt;/R&gt;&lt;C&gt;1&lt;/C&gt;&lt;D xsi:type="xsd:double"&gt;27440&lt;/D&gt;&lt;/FQL&gt;&lt;FQL&gt;&lt;Q&gt;Ticker0024^FE_ESTIMATE(PRODLINE_SALES_16,MEAN,QUARTERLY_ROLL,2017/4F,45595,,,'')&lt;/Q&gt;&lt;R&gt;1&lt;/R&gt;&lt;C&gt;1&lt;/C&gt;&lt;D xsi:type="xsd:double"&gt;7434&lt;/D&gt;&lt;/FQL&gt;&lt;FQL&gt;&lt;Q&gt;Ticker0024^FE_ESTIMATE(PRODLINE_SALES_16,MEAN,QUARTERLY_ROLL,2017/3F,45595,,,'')&lt;/Q&gt;&lt;R&gt;1&lt;/R&gt;&lt;C&gt;1&lt;/C&gt;&lt;D xsi:type="xsd:double"&gt;6763&lt;/D&gt;&lt;/FQL&gt;&lt;FQL&gt;&lt;Q&gt;Ticker0024^FE_ESTIMATE(PRODLINE_SALES_16,MEAN,QUARTERLY_ROLL,2017/2F,45595,,,'')&lt;/Q&gt;&lt;R&gt;1&lt;/R&gt;&lt;C&gt;1&lt;/C&gt;&lt;D xsi:type="xsd:double"&gt;6861&lt;/D&gt;&lt;/FQL&gt;&lt;FQL&gt;&lt;Q&gt;Ticker0024^FE_ESTIMATE(PRODLINE_SALES_16,MEAN,QUARTERLY_ROLL,2017/1F,45595,,,'')&lt;/Q&gt;&lt;R&gt;1&lt;/R&gt;&lt;C&gt;1&lt;/C&gt;&lt;D xsi:type="xsd:double"&gt;6382&lt;/D&gt;&lt;/FQL&gt;&lt;FQL&gt;&lt;Q&gt;Ticker0024^FE_ESTIMATE(PRODLINE_SALES_16,MEAN,ANNUAL_ROLL,2016,45595,,,'')&lt;/Q&gt;&lt;R&gt;1&lt;/R&gt;&lt;C&gt;1&lt;/C&gt;&lt;D xsi:type="xsd:double"&gt;25042&lt;/D&gt;&lt;/FQL&gt;&lt;FQL&gt;&lt;Q&gt;Ticker0024^FE_ESTIMATE(PRODLINE_SALES_16,MEAN,QUARTERLY_ROLL,2016/4F,45595,,,'')&lt;/Q&gt;&lt;R&gt;1&lt;/R&gt;&lt;C&gt;1&lt;/C&gt;&lt;D xsi:type="xsd:double"&gt;6711&lt;/D&gt;&lt;/FQL&gt;&lt;FQL&gt;&lt;Q&gt;Ticker0024^FE_ESTIMATE(PRODLINE_SALES_16,MEAN,QUARTERLY_ROLL,2016/3F,45595,,,'')&lt;/Q&gt;&lt;R&gt;1&lt;/R&gt;&lt;C&gt;1&lt;/C&gt;&lt;D xsi:type="xsd:double"&gt;6096&lt;/D&gt;&lt;/FQL&gt;&lt;FQL&gt;&lt;Q&gt;Ticker0024^FE_ESTIMATE(PRODLINE_SALES_16,MEAN,QUARTERLY_ROLL,2016/2F,45595,,,'')&lt;/Q&gt;&lt;R&gt;1&lt;/R&gt;&lt;C&gt;1&lt;/C&gt;&lt;D xsi:type="xsd:double"&gt;6343&lt;/D&gt;&lt;/FQL&gt;&lt;FQL&gt;&lt;Q&gt;Ticker0024^FE_ESTIMATE(PRODLINE_SALES_16,MEAN,QUARTERLY_ROLL,2016/1F,45595,,,'')&lt;/Q&gt;&lt;R&gt;1&lt;/R&gt;&lt;C&gt;1&lt;/C&gt;&lt;D xsi:type="xsd:double"&gt;5892&lt;/D&gt;&lt;/FQL&gt;&lt;FQL&gt;&lt;Q&gt;Ticker0024^FE_ESTIMATE(PRODLINE_SALES_16,MEAN,ANNUAL_ROLL,2015,45595,,,'')&lt;/Q&gt;&lt;R&gt;0&lt;/R&gt;&lt;C&gt;0&lt;/C&gt;&lt;/FQL&gt;&lt;FQL&gt;&lt;Q&gt;Ticker0024^FE_ESTIMATE(PRODLINE_SALES_16,MEAN,QUARTERLY_ROLL,2015/4F,45595,,,'')&lt;/Q&gt;&lt;R&gt;0&lt;/R&gt;&lt;C&gt;0&lt;/C&gt;&lt;/FQL&gt;&lt;FQL&gt;&lt;Q&gt;Ticker0024^FE_ESTIMATE(PRODLINE_SALES_16,MEAN,QUARTERLY_ROLL,2015/3F,45595,,,'')&lt;/Q&gt;&lt;R&gt;0&lt;/R&gt;&lt;C&gt;0&lt;/C&gt;&lt;/FQL&gt;&lt;FQL&gt;&lt;Q&gt;Ticker0024^FE_ESTIMATE(PRODLINE_SALES_16,MEAN,QUARTERLY_ROLL,2015/2F,45595,,,'')&lt;/Q&gt;&lt;R&gt;0&lt;/R&gt;&lt;C&gt;0&lt;/C&gt;&lt;/FQL&gt;&lt;FQL&gt;&lt;Q&gt;Ticker0024^FE_ESTIMATE(PRODLINE_SALES_16,MEAN,QUARTERLY_ROLL,2015/1F,45595,,,'')&lt;/Q&gt;&lt;R&gt;0&lt;/R&gt;&lt;C&gt;0&lt;/C&gt;&lt;/FQL&gt;&lt;FQL&gt;&lt;Q&gt;Ticker0024^FE_ESTIMATE(PRODLINE_SALES_15,MEAN,ANNUAL_ROLL,2030,45595,,,'')&lt;/Q&gt;&lt;R&gt;0&lt;/R&gt;&lt;C&gt;0&lt;/C&gt;&lt;/FQL&gt;&lt;FQL&gt;&lt;Q&gt;Ticker0024^FE_ESTIMATE(PRODLINE_SALES_15,MEAN,QUARTERLY_ROLL,2030/4F,45595,,,'')&lt;/Q&gt;&lt;R&gt;0&lt;/R&gt;&lt;C&gt;0&lt;/C&gt;&lt;/FQL&gt;&lt;FQL&gt;&lt;Q&gt;Ticker0024^FE_ESTIMATE(PRODLINE_SALES_15,MEAN,QUARTERLY_ROLL,2030/3F,45595,,,'')&lt;/Q&gt;&lt;R&gt;0&lt;/R&gt;&lt;C&gt;0&lt;/C&gt;&lt;/FQL&gt;&lt;FQL&gt;&lt;Q&gt;Ticker0024^FE_ESTIMATE(PRODLINE_SALES_15,MEAN,QUARTERLY_ROLL,2030/2F,45595,,,'')&lt;/Q&gt;&lt;R&gt;0&lt;/R&gt;&lt;C&gt;0&lt;/C&gt;&lt;/FQL&gt;&lt;FQL&gt;&lt;Q&gt;Ticker0024^FE_ESTIMATE(PRODLINE_SALES_15,MEAN,QUARTERLY_ROLL,2030/1F,45595,,,'')&lt;/Q&gt;&lt;R&gt;0&lt;/R&gt;&lt;C&gt;0&lt;/C&gt;&lt;/FQL&gt;&lt;FQL&gt;&lt;Q&gt;Ticker0024^FE_ESTIMATE(PRODLINE_SALES_15,MEAN,ANNUAL_ROLL,2029,45595,,,'')&lt;/Q&gt;&lt;R&gt;0&lt;/R&gt;&lt;C&gt;0&lt;/C&gt;&lt;/FQL&gt;&lt;FQL&gt;&lt;Q&gt;Ticker0024^FE_ESTIMATE(PRODLINE_SALES_15,MEAN,QUARTERLY_ROLL,2029/4F,45595,,,'')&lt;/Q&gt;&lt;R&gt;0&lt;/R&gt;&lt;C&gt;0&lt;/C&gt;&lt;/FQL&gt;&lt;FQL&gt;&lt;Q&gt;Ticker0024^FE_ESTIMATE(PRODLINE_SALES_15,MEAN,QUARTERLY_ROLL,2029/3F,45595,,,'')&lt;/Q&gt;&lt;R&gt;0&lt;/R&gt;&lt;C&gt;0&lt;/C&gt;&lt;/FQL&gt;&lt;FQL&gt;&lt;Q&gt;Ticker0024^FE_ESTIMATE(PRODLINE_SALES_15,MEAN,QUARTERLY_ROLL,2029/2F,45595,,,'')&lt;/Q&gt;&lt;R&gt;0&lt;/R&gt;&lt;C&gt;0&lt;/C&gt;&lt;/FQL&gt;&lt;FQL&gt;&lt;Q&gt;Ticker0024^FE_ESTIMATE(PRODLINE_SALES_15,MEAN,QUARTERLY_ROLL,2029/1F,45595,,,'')&lt;/Q&gt;&lt;R&gt;0&lt;/R&gt;&lt;C&gt;0&lt;/C&gt;&lt;/FQL&gt;&lt;FQL&gt;&lt;Q&gt;Ticker0024^FE_ESTIMATE(PRODLINE_SALES_15,MEAN,ANNUAL_ROLL,2028,45595,,,'')&lt;/Q&gt;&lt;R&gt;1&lt;/R&gt;&lt;C&gt;1&lt;/C&gt;&lt;D xsi:type="xsd:double"&gt;116809&lt;/D&gt;&lt;/FQL&gt;&lt;FQL&gt;&lt;Q&gt;Ticker0024^FE_ESTIMATE(PRODLINE_SALES_15,MEAN,QUARTERLY_ROLL,2028/4F,45595,,,'')&lt;/Q&gt;&lt;R&gt;0&lt;/R&gt;&lt;C&gt;0&lt;/C&gt;&lt;/FQL&gt;&lt;FQL&gt;&lt;Q&gt;Ticker0024^FE_ESTIMATE(PRODLINE_SALES_15,MEAN,QUARTERLY_ROLL,2028/3F,45595,,,'')&lt;/Q&gt;&lt;R&gt;0&lt;/R&gt;&lt;C&gt;0&lt;/C&gt;&lt;/FQL&gt;&lt;FQL&gt;&lt;Q&gt;Ticker0024^FE_ESTIMATE(PRODLINE_SALES_15,MEAN,QUARTERLY_ROLL,2028/2F,45595,,,'')&lt;/Q&gt;&lt;R&gt;0&lt;/R&gt;&lt;C&gt;0&lt;/C&gt;&lt;/FQL&gt;&lt;FQL&gt;&lt;Q&gt;Ticker0024^FE_ESTIMATE(PRODLINE_SALES_15,MEAN,QUARTERLY_ROLL,2028/1F,45595,,,'')&lt;/Q&gt;&lt;R&gt;0&lt;/R&gt;&lt;C&gt;0&lt;/C&gt;&lt;/FQL&gt;&lt;FQL&gt;&lt;Q&gt;Ticker0024^FE_ESTIMATE(PRODLINE_SALES_15,MEAN,ANNUAL_ROLL,2027,45595,,,'')&lt;/Q&gt;&lt;R&gt;1&lt;/R&gt;&lt;C&gt;1&lt;/C&gt;&lt;D xsi:type="xsd:double"&gt;120190.8&lt;/D&gt;&lt;/FQL&gt;&lt;FQL&gt;&lt;Q&gt;Ticker0024^FE_ESTIMATE(PRODLINE_SALES_15,MEAN,QUARTERLY_ROLL,2027/4F,45595,,,'')&lt;/Q&gt;&lt;R&gt;1&lt;/R&gt;&lt;C&gt;1&lt;/C&gt;&lt;D xsi:type="xsd:double"&gt;36654&lt;/D&gt;&lt;/FQL&gt;&lt;FQL&gt;&lt;Q&gt;Ticker0024^FE_ESTIMATE(PRODLINE_SALES_15,MEAN,QUARTERLY_ROLL,2027/3F,45595,,,'')&lt;/Q&gt;&lt;R&gt;1&lt;/R&gt;&lt;C&gt;1&lt;/C&gt;&lt;D xsi:type="xsd:double"&gt;35136&lt;/D&gt;&lt;/FQL&gt;&lt;FQL&gt;&lt;Q&gt;Ticker0024^FE_ESTIMATE(PRODLINE_SALES_15,MEAN,QUARTERLY_ROLL,2027/2F,45595,,,'')&lt;/Q&gt;&lt;R&gt;1&lt;/R&gt;&lt;C&gt;1&lt;/C&gt;&lt;D xsi:type="xsd:double"&gt;34525&lt;/D&gt;&lt;/FQL&gt;&lt;FQL&gt;&lt;Q&gt;Ticker0024^FE_ESTIMATE(PRODLINE_SALES_15,MEAN,QUARTERLY_ROLL,2027/1F,45595,,,'')&lt;/Q&gt;&lt;R&gt;1&lt;/R&gt;&lt;C&gt;1&lt;/C&gt;&lt;D xsi:type="xsd:double"&gt;33889&lt;/D&gt;&lt;/FQL&gt;&lt;FQL&gt;&lt;Q&gt;Ticker0024^FE_ESTIMATE(PRODLINE_SALES_15,MEAN,ANNUAL_ROLL,2026,45595,,,'')&lt;/Q&gt;&lt;R&gt;1&lt;/R&gt;&lt;C&gt;1&lt;/C&gt;&lt;D xsi:type="xsd:double"&gt;105733.05&lt;/D&gt;&lt;/FQL&gt;&lt;FQL&gt;&lt;Q&gt;Ticker0024^FE_ESTIMATE(PRODLINE_SALES_15,MEAN,QUARTERLY_ROLL,2026/4F,45595,,,'')&lt;/Q&gt;&lt;R&gt;1&lt;/R&gt;&lt;C&gt;1&lt;/C&gt;&lt;D xsi:type="xsd:double"&gt;29583.9&lt;/D&gt;&lt;/FQL&gt;&lt;FQL&gt;&lt;Q&gt;Ticker0024^FE_ESTIMATE(PRODLINE_SALES_15,MEAN,QUARTERLY_ROLL,2026/3F,45595,,,'')&lt;/Q&gt;&lt;R&gt;1&lt;/R&gt;&lt;C&gt;1&lt;/C&gt;&lt;D xsi:type="xsd:double"&gt;28328&lt;/D&gt;&lt;/FQL&gt;&lt;FQL&gt;&lt;Q&gt;Ticker0024^FE_ESTIMATE(PRODLINE_SALES_15,MEAN,QUARTERLY_ROLL,2026/2F,45595,,,'')&lt;/Q&gt;&lt;R&gt;1&lt;/R&gt;&lt;C&gt;1&lt;/C&gt;&lt;D xsi:type="xsd:double"&gt;27633.8&lt;/D&gt;&lt;/FQL&gt;&lt;FQL&gt;&lt;Q&gt;Ticker0024^FE_ESTIMATE(PRODLINE_SALES_15,MEAN,QUARTERLY_ROLL,2026/1F,45595,,,'')&lt;/Q&gt;&lt;R&gt;1&lt;/R&gt;&lt;C&gt;1&lt;/C&gt;&lt;D xsi:type="xsd:double"&gt;26785.4&lt;/D&gt;&lt;/FQL&gt;&lt;FQL&gt;&lt;Q&gt;Ticker0024^FE_ESTIMATE(PRODLINE_SALES_15,MEAN,ANNUAL_ROLL,2025,45595,,,'')&lt;/Q&gt;&lt;R&gt;1&lt;/R&gt;&lt;C&gt;1&lt;/C&gt;&lt;D xsi:type="xsd:double"&gt;98510.24&lt;/D&gt;&lt;/FQL&gt;&lt;FQL&gt;&lt;Q&gt;Ticker0024^FE_ESTIMATE(PRODLINE_SALES_15,MEAN,QUARTERLY_ROLL,2025/4F,45595,,,'')&lt;/Q&gt;&lt;R&gt;1&lt;/R&gt;&lt;C&gt;1&lt;/C&gt;&lt;D xsi:type="xsd:double"&gt;25799.953&lt;/D&gt;&lt;/FQL&gt;&lt;FQL&gt;&lt;Q&gt;Ticker0024^FE_ESTIMATE(PRODLINE_SALES_15,MEAN,QUARTERLY_ROLL,2025/3F,45595,,,'')&lt;/Q&gt;&lt;R&gt;1&lt;/R&gt;&lt;C&gt;1&lt;/C&gt;&lt;D xsi:type="xsd:double"&gt;24598.264&lt;/D&gt;&lt;/FQL&gt;&lt;FQL&gt;&lt;Q&gt;Ticker0024^FE_ESTIMATE(PRODLINE_SALES_15,MEAN,QUARTERLY_ROLL,2025/2F,45595,,,'')&lt;/Q&gt;&lt;R&gt;1&lt;/R&gt;&lt;C&gt;1&lt;/C&gt;&lt;D xsi:type="xsd:double"&gt;28788&lt;/D&gt;&lt;/FQL&gt;&lt;FQL&gt;&lt;Q&gt;Ticker0024^FE_ESTIMATE(PRODLINE_SALES_15,MEAN,QUARTERLY_ROLL,2025/1F,45595,,,'')&lt;/Q&gt;&lt;R&gt;1&lt;/R&gt;&lt;C&gt;1&lt;/C&gt;&lt;D xsi:type="xsd:double"&gt;27903&lt;/D&gt;&lt;/FQL&gt;&lt;FQL&gt;&lt;Q&gt;Ticker0024^FE_ESTIMATE(PRODLINE_SALES_15,MEAN,ANNUAL_ROLL,2024,45595,,,'')&lt;/Q&gt;&lt;R&gt;1&lt;/R&gt;&lt;C&gt;1&lt;/C&gt;&lt;D xsi:type="xsd:double"&gt;77728&lt;/D&gt;&lt;/FQL&gt;&lt;FQL&gt;&lt;Q&gt;Ticker0024^FE_ESTIMATE(PRODLINE_SALES_15,MEAN,QUARTERLY_ROLL,2024/4F,45595,,,'')&lt;/Q&gt;&lt;R&gt;1&lt;/R&gt;&lt;C&gt;1&lt;/C&gt;&lt;D xsi:type="xsd:double"&gt;20300&lt;/D&gt;&lt;/FQL&gt;&lt;FQL&gt;&lt;Q&gt;Ticker0024^FE_ESTIMATE(PRODLINE_SALES_15,MEAN,QUARTERLY_ROLL,2024/3F,45595,,,'')&lt;/Q&gt;&lt;R&gt;1&lt;/R&gt;&lt;C&gt;1&lt;/C&gt;&lt;D xsi:type="xsd:double"&gt;19570&lt;/D&gt;&lt;/FQL&gt;&lt;FQL&gt;&lt;Q&gt;Ticker0024^FE_ESTIMATE(PRODLINE_SALES_15,MEAN,QUARTERLY_ROLL,2024/2F,45595,,,'')&lt;/Q&gt;&lt;R&gt;1&lt;/R&gt;&lt;C&gt;1&lt;/C&gt;&lt;D xsi:type="xsd:double"&gt;19249&lt;/D&gt;&lt;/FQL&gt;&lt;FQL&gt;&lt;Q&gt;Ticker0024^FE_ESTIMATE(PRODLINE_SALES_15,MEAN,QUARTERLY_ROLL,2024/1F,45595,,,'')&lt;/Q&gt;&lt;R&gt;1&lt;/R&gt;&lt;C&gt;1&lt;/C&gt;&lt;D xsi:type="xsd:double"&gt;18592&lt;/D&gt;&lt;/FQL&gt;&lt;FQL&gt;&lt;Q&gt;Ticker0024^FE_ESTIMATE(PRODLINE_SALES_15,MEAN,ANNUAL_ROLL,2023,45595,,,'')&lt;/Q&gt;&lt;R&gt;1&lt;/R&gt;&lt;C&gt;1&lt;/C&gt;&lt;D xsi:type="xsd:double"&gt;69275&lt;/D&gt;&lt;/FQL&gt;&lt;FQL&gt;&lt;Q&gt;Ticker0024^FE_ESTIMATE(PRODLINE_SALES_15,MEAN,QUARTERLY_ROLL,2023/4F,45595,,,'')&lt;/Q&gt;&lt;R&gt;1&lt;/R&gt;&lt;C&gt;1&lt;/C&gt;&lt;D xsi:type="xsd:double"&gt;18291&lt;/D&gt;&lt;/FQL&gt;&lt;FQL&gt;&lt;Q&gt;Ticker0024^FE_ESTIMATE(PRODLINE_SALES_15,MEAN,QUARTERLY_ROLL,2023/3F,45595,,,'')&lt;/Q&gt;&lt;R&gt;1&lt;/R&gt;&lt;C&gt;1&lt;/C&gt;&lt;D xsi:type="xsd:double"&gt;17516&lt;/D&gt;&lt;/FQL&gt;&lt;FQL&gt;&lt;Q&gt;Ticker0024^FE_ESTIMATE(PRODLINE_SALES_15,MEAN,QUARTERLY_ROLL,2023/2F,45595,,,'')&lt;/Q&gt;&lt;R&gt;1&lt;/R&gt;&lt;C&gt;1&lt;/C&gt;&lt;D xsi:type="xsd:double"&gt;17002&lt;/D&gt;&lt;/FQL&gt;&lt;FQL&gt;&lt;Q&gt;Ticker0024^FE_ESTIMATE(PRODLINE_SALES_15,MEAN,QUARTERLY_ROLL,2023/1F,45595,,,'')&lt;/Q&gt;&lt;R&gt;1&lt;/R&gt;&lt;C&gt;1&lt;/C&gt;&lt;D xsi:type="xsd:double"&gt;16465&lt;/D&gt;&lt;/FQL&gt;&lt;FQL&gt;&lt;Q&gt;Ticker0024^FE_ESTIMATE(PRODLINE_SALES_15,MEAN,ANNUAL_ROLL,2022,45595,,,'')&lt;/Q&gt;&lt;R&gt;1&lt;/R&gt;&lt;C&gt;1&lt;/C&gt;&lt;D xsi:type="xsd:double"&gt;63364&lt;/D&gt;&lt;/FQL&gt;&lt;FQL&gt;&lt;Q&gt;Ticker0024^FE_ESTIMATE(PRODLINE_SALES_15,MEAN,QUARTERLY_ROLL,2022/4F,45595,,,'')&lt;/Q&gt;&lt;R&gt;1&lt;/R&gt;&lt;C&gt;1&lt;/C&gt;&lt;D xsi:type="xsd:double"&gt;16600&lt;/D&gt;&lt;/FQL&gt;&lt;FQL&gt;&lt;Q&gt;Ticker0024^FE_ESTIMATE(PRODLINE_SALES_15,MEAN,QUARTERLY_ROLL,2022/3F,45595,,,'')&lt;/Q&gt;&lt;R&gt;1&lt;/R&gt;&lt;C&gt;1&lt;/C&gt;&lt;D xsi:type="xsd:double"&gt;15789&lt;/D&gt;&lt;/FQL&gt;&lt;FQL&gt;&lt;Q&gt;Ticker0024^FE_ESTIMATE(PRODLINE_SALES_15,MEAN,QUARTERLY_ROLL,2022/2F,45595,,,'')&lt;/Q&gt;&lt;R&gt;1&lt;/R&gt;&lt;C&gt;1&lt;/C&gt;&lt;D xsi:type="xsd:double"&gt;15936&lt;/D&gt;&lt;/FQL&gt;&lt;FQL&gt;&lt;Q&gt;Ticker0024^FE_ESTIMATE(PRODLINE_SALES_15,MEAN,QUARTERLY_ROLL,2022/1F,45595,,,'')&lt;/Q&gt;&lt;R&gt;1&lt;/R&gt;&lt;C&gt;1&lt;/C&gt;&lt;D xsi:type="xsd:double"&gt;15039&lt;/D&gt;&lt;/FQL&gt;&lt;FQL&gt;&lt;Q&gt;Ticker0024^FE_ESTIMATE(PRODLINE_SALES_15,MEAN,ANNUAL_ROLL,2021,45595,,,'')&lt;/Q&gt;&lt;R&gt;1&lt;/R&gt;&lt;C&gt;1&lt;/C&gt;&lt;D xsi:type="xsd:double"&gt;53915&lt;/D&gt;&lt;/FQL&gt;&lt;FQL&gt;&lt;Q&gt;Ticker0024^FE_ESTIMATE(PRODLINE_SALES_15,MEAN,QUARTERLY_ROLL,2021/4F,45595,,,'')&lt;/Q&gt;&lt;R&gt;1&lt;/R&gt;&lt;C&gt;1&lt;/C&gt;&lt;D xsi:type="xsd:double"&gt;14691&lt;/D&gt;&lt;/FQL&gt;&lt;FQL&gt;&lt;Q&gt;Ticker0024^F</t>
        </r>
      </text>
    </comment>
    <comment ref="A7" authorId="0" shapeId="0" xr:uid="{BB2716ED-9CBF-4396-A42B-4D6305EA5F79}">
      <text>
        <r>
          <rPr>
            <b/>
            <sz val="9"/>
            <color indexed="81"/>
            <rFont val="Tahoma"/>
            <family val="2"/>
          </rPr>
          <t>E_ESTIMATE(PRODLINE_SALES_15,MEAN,QUARTERLY_ROLL,2021/3F,45595,,,'')&lt;/Q&gt;&lt;R&gt;1&lt;/R&gt;&lt;C&gt;1&lt;/C&gt;&lt;D xsi:type="xsd:double"&gt;13552&lt;/D&gt;&lt;/FQL&gt;&lt;FQL&gt;&lt;Q&gt;Ticker0024^FE_ESTIMATE(PRODLINE_SALES_15,MEAN,QUARTERLY_ROLL,2021/2F,45595,,,'')&lt;/Q&gt;&lt;R&gt;1&lt;/R&gt;&lt;C&gt;1&lt;/C&gt;&lt;D xsi:type="xsd:double"&gt;13353&lt;/D&gt;&lt;/FQL&gt;&lt;FQL&gt;&lt;Q&gt;Ticker0024^FE_ESTIMATE(PRODLINE_SALES_15,MEAN,QUARTERLY_ROLL,2021/1F,45595,,,'')&lt;/Q&gt;&lt;R&gt;1&lt;/R&gt;&lt;C&gt;1&lt;/C&gt;&lt;D xsi:type="xsd:double"&gt;12319&lt;/D&gt;&lt;/FQL&gt;&lt;FQL&gt;&lt;Q&gt;Ticker0024^FE_ESTIMATE(PRODLINE_SALES_15,MEAN,ANNUAL_ROLL,2020,45595,,,'')&lt;/Q&gt;&lt;R&gt;1&lt;/R&gt;&lt;C&gt;1&lt;/C&gt;&lt;D xsi:type="xsd:double"&gt;46398&lt;/D&gt;&lt;/FQL&gt;&lt;FQL&gt;&lt;Q&gt;Ticker0024^FE_ESTIMATE(PRODLINE_SALES_15,MEAN,QUARTERLY_ROLL,2020/4F,45595,,,'')&lt;/Q&gt;&lt;R&gt;1&lt;/R&gt;&lt;C&gt;1&lt;/C&gt;&lt;D xsi:type="xsd:double"&gt;11752&lt;/D&gt;&lt;/FQL&gt;&lt;FQL&gt;&lt;Q&gt;Ticker0024^FE_ESTIMATE(PRODLINE_SALES_15,MEAN,QUARTERLY_ROLL,2020/3F,45595,,,'')&lt;/Q&gt;&lt;R&gt;1&lt;/R&gt;&lt;C&gt;1&lt;/C&gt;&lt;D xsi:type="xsd:double"&gt;11743&lt;/D&gt;&lt;/FQL&gt;&lt;FQL&gt;&lt;Q&gt;Ticker0024^FE_ESTIMATE(PRODLINE_SALES_15,MEAN,QUARTERLY_ROLL,2020/2F,45595,,,'')&lt;/Q&gt;&lt;R&gt;1&lt;/R&gt;&lt;C&gt;1&lt;/C&gt;&lt;D xsi:type="xsd:double"&gt;11826&lt;/D&gt;&lt;/FQL&gt;&lt;FQL&gt;&lt;Q&gt;Ticker0024^FE_ESTIMATE(PRODLINE_SALES_15,MEAN,QUARTERLY_ROLL,2020/1F,45595,,,'')&lt;/Q&gt;&lt;R&gt;1&lt;/R&gt;&lt;C&gt;1&lt;/C&gt;&lt;D xsi:type="xsd:double"&gt;11077&lt;/D&gt;&lt;/FQL&gt;&lt;FQL&gt;&lt;Q&gt;Ticker0024^FE_ESTIMATE(PRODLINE_SALES_15,MEAN,ANNUAL_ROLL,2019,45595,,,'')&lt;/Q&gt;&lt;R&gt;1&lt;/R&gt;&lt;C&gt;1&lt;/C&gt;&lt;D xsi:type="xsd:double"&gt;41160&lt;/D&gt;&lt;/FQL&gt;&lt;FQL&gt;&lt;Q&gt;Ticker0024^FE_ESTIMATE(PRODLINE_SALES_15,MEAN,QUARTERLY_ROLL,2019/4F,45595,,,'')&lt;/Q&gt;&lt;R&gt;1&lt;/R&gt;&lt;C&gt;1&lt;/C&gt;&lt;D xsi:type="xsd:double"&gt;11047&lt;/D&gt;&lt;/FQL&gt;&lt;FQL&gt;&lt;Q&gt;Ticker0024^FE_ESTIMATE(PRODLINE_SALES_15,MEAN,QUARTERLY_ROLL,2019/3F,45595,,,'')&lt;/Q&gt;&lt;R&gt;1&lt;/R&gt;&lt;C&gt;1&lt;/C&gt;&lt;D xsi:type="xsd:double"&gt;10242&lt;/D&gt;&lt;/FQL&gt;&lt;FQL&gt;&lt;Q&gt;Ticker0024^FE_ESTIMATE(PRODLINE_SALES_15,MEAN,QUARTERLY_ROLL,2019/2F,45595,,,'')&lt;/Q&gt;&lt;R&gt;1&lt;/R&gt;&lt;C&gt;1&lt;/C&gt;&lt;D xsi:type="xsd:double"&gt;10100&lt;/D&gt;&lt;/FQL&gt;&lt;FQL&gt;&lt;Q&gt;Ticker0024^FE_ESTIMATE(PRODLINE_SALES_15,MEAN,QUARTERLY_ROLL,2019/1F,45595,,,'')&lt;/Q&gt;&lt;R&gt;1&lt;/R&gt;&lt;C&gt;1&lt;/C&gt;&lt;D xsi:type="xsd:double"&gt;9771&lt;/D&gt;&lt;/FQL&gt;&lt;FQL&gt;&lt;Q&gt;Ticker0024^FE_ESTIMATE(PRODLINE_SALES_15,MEAN,ANNUAL_ROLL,2018,45595,,,'')&lt;/Q&gt;&lt;R&gt;1&lt;/R&gt;&lt;C&gt;1&lt;/C&gt;&lt;D xsi:type="xsd:double"&gt;35865&lt;/D&gt;&lt;/FQL&gt;&lt;FQL&gt;&lt;Q&gt;Ticker0024^FE_ESTIMATE(PRODLINE_SALES_15,MEAN,QUARTERLY_ROLL,2018/4F,45595,,,'')&lt;/Q&gt;&lt;R&gt;1&lt;/R&gt;&lt;C&gt;1&lt;/C&gt;&lt;D xsi:type="xsd:double"&gt;9668&lt;/D&gt;&lt;/FQL&gt;&lt;FQL&gt;&lt;Q&gt;Ticker0024^FE_ESTIMATE(PRODLINE_SALES_15,MEAN,QUARTERLY_ROLL,2018/3F,45595,,,'')&lt;/Q&gt;&lt;R&gt;1&lt;/R&gt;&lt;C&gt;1&lt;/C&gt;&lt;D xsi:type="xsd:double"&gt;9006&lt;/D&gt;&lt;/FQL&gt;&lt;FQL&gt;&lt;Q&gt;Ticker0024^FE_ESTIMATE(PRODLINE_SALES_15,MEAN,QUARTERLY_ROLL,2018/2F,45595,,,'')&lt;/Q&gt;&lt;R&gt;1&lt;/R&gt;&lt;C&gt;1&lt;/C&gt;&lt;D xsi:type="xsd:double"&gt;8953&lt;/D&gt;&lt;/FQL&gt;&lt;FQL&gt;&lt;Q&gt;Ticker0024^FE_ESTIMATE(PRODLINE_SALES_15,MEAN,QUARTERLY_ROLL,2018/1F,45595,,,'')&lt;/Q&gt;&lt;R&gt;1&lt;/R&gt;&lt;C&gt;1&lt;/C&gt;&lt;D xsi:type="xsd:double"&gt;8238&lt;/D&gt;&lt;/FQL&gt;&lt;FQL&gt;&lt;Q&gt;Ticker0024^FE_ESTIMATE(PRODLINE_SALES_15,MEAN,ANNUAL_ROLL,2017,45595,,,'')&lt;/Q&gt;&lt;R&gt;1&lt;/R&gt;&lt;C&gt;1&lt;/C&gt;&lt;D xsi:type="xsd:double"&gt;30444&lt;/D&gt;&lt;/FQL&gt;&lt;FQL&gt;&lt;Q&gt;Ticker0024^FE_ESTIMATE(PRODLINE_SALES_15,MEAN,QUARTERLY_ROLL,2017/4F,45595,,,'')&lt;/Q&gt;&lt;R&gt;1&lt;/R&gt;&lt;C&gt;1&lt;/C&gt;&lt;D xsi:type="xsd:double"&gt;8446&lt;/D&gt;&lt;/FQL&gt;&lt;FQL&gt;&lt;Q&gt;Ticker0024^FE_ESTIMATE(PRODLINE_SALES_15,MEAN,QUARTERLY_ROLL,2017/3F,45595,,,'')&lt;/Q&gt;&lt;R&gt;1&lt;/R&gt;&lt;C&gt;1&lt;/C&gt;&lt;D xsi:type="xsd:double"&gt;7958&lt;/D&gt;&lt;/FQL&gt;&lt;FQL&gt;&lt;Q&gt;Ticker0024^FE_ESTIMATE(PRODLINE_SALES_15,MEAN,QUARTERLY_ROLL,2017/2F,45595,,,'')&lt;/Q&gt;&lt;R&gt;1&lt;/R&gt;&lt;C&gt;1&lt;/C&gt;&lt;D xsi:type="xsd:double"&gt;7382&lt;/D&gt;&lt;/FQL&gt;&lt;FQL&gt;&lt;Q&gt;Ticker0024^FE_ESTIMATE(PRODLINE_SALES_15,MEAN,QUARTERLY_ROLL,2017/1F,45595,,,'')&lt;/Q&gt;&lt;R&gt;1&lt;/R&gt;&lt;C&gt;1&lt;/C&gt;&lt;D xsi:type="xsd:double"&gt;6658&lt;/D&gt;&lt;/FQL&gt;&lt;FQL&gt;&lt;Q&gt;Ticker0024^FE_ESTIMATE(PRODLINE_SALES_15,MEAN,ANNUAL_ROLL,2016,45595,,,'')&lt;/Q&gt;&lt;R&gt;1&lt;/R&gt;&lt;C&gt;1&lt;/C&gt;&lt;D xsi:type="xsd:double"&gt;26487&lt;/D&gt;&lt;/FQL&gt;&lt;FQL&gt;&lt;Q&gt;Ticker0024^FE_ESTIMATE(PRODLINE_SALES_15,MEAN,QUARTERLY_ROLL,2016/4F,45595,,,'')&lt;/Q&gt;&lt;R&gt;1&lt;/R&gt;&lt;C&gt;1&lt;/C&gt;&lt;D xsi:type="xsd:double"&gt;6969&lt;/D&gt;&lt;/FQL&gt;&lt;FQL&gt;&lt;Q&gt;Ticker0024^FE_ESTIMATE(PRODLINE_SALES_15,MEAN,QUARTERLY_ROLL,2016/3F,45595,,,'')&lt;/Q&gt;&lt;R&gt;1&lt;/R&gt;&lt;C&gt;1&lt;/C&gt;&lt;D xsi:type="xsd:double"&gt;6522&lt;/D&gt;&lt;/FQL&gt;&lt;FQL&gt;&lt;Q&gt;Ticker0024^FE_ESTIMATE(PRODLINE_SALES_15,MEAN,QUARTERLY_ROLL,2016/2F,45595,,,'')&lt;/Q&gt;&lt;R&gt;1&lt;/R&gt;&lt;C&gt;1&lt;/C&gt;&lt;D xsi:type="xsd:double"&gt;6690&lt;/D&gt;&lt;/FQL&gt;&lt;FQL&gt;&lt;Q&gt;Ticker0024^FE_ESTIMATE(PRODLINE_SALES_15,MEAN,QUARTERLY_ROLL,2016/1F,45595,,,'')&lt;/Q&gt;&lt;R&gt;1&lt;/R&gt;&lt;C&gt;1&lt;/C&gt;&lt;D xsi:type="xsd:double"&gt;6306&lt;/D&gt;&lt;/FQL&gt;&lt;FQL&gt;&lt;Q&gt;Ticker0024^FE_ESTIMATE(PRODLINE_SALES_15,MEAN,ANNUAL_ROLL,2015,45595,,,'')&lt;/Q&gt;&lt;R&gt;0&lt;/R&gt;&lt;C&gt;0&lt;/C&gt;&lt;/FQL&gt;&lt;FQL&gt;&lt;Q&gt;Ticker0024^FE_ESTIMATE(PRODLINE_SALES_15,MEAN,QUARTERLY_ROLL,2015/4F,45595,,,'')&lt;/Q&gt;&lt;R&gt;0&lt;/R&gt;&lt;C&gt;0&lt;/C&gt;&lt;/FQL&gt;&lt;FQL&gt;&lt;Q&gt;Ticker0024^FE_ESTIMATE(PRODLINE_SALES_15,MEAN,QUARTERLY_ROLL,2015/3F,45595,,,'')&lt;/Q&gt;&lt;R&gt;0&lt;/R&gt;&lt;C&gt;0&lt;/C&gt;&lt;/FQL&gt;&lt;FQL&gt;&lt;Q&gt;Ticker0024^FE_ESTIMATE(PRODLINE_SALES_15,MEAN,QUARTERLY_ROLL,2015/2F,45595,,,'')&lt;/Q&gt;&lt;R&gt;0&lt;/R&gt;&lt;C&gt;0&lt;/C&gt;&lt;/FQL&gt;&lt;FQL&gt;&lt;Q&gt;Ticker0024^FE_ESTIMATE(PRODLINE_SALES_15,MEAN,QUARTERLY_ROLL,2015/1F,45595,,,'')&lt;/Q&gt;&lt;R&gt;0&lt;/R&gt;&lt;C&gt;0&lt;/C&gt;&lt;/FQL&gt;&lt;FQL&gt;&lt;Q&gt;Ticker0024^AVG(P_EXCH_RATE(AUD,USD,47938,48029,CQ))&lt;/Q&gt;&lt;R&gt;1&lt;/R&gt;&lt;C&gt;1&lt;/C&gt;&lt;D xsi:type="xsd:double"&gt;0.6272&lt;/D&gt;&lt;/FQL&gt;&lt;FQL&gt;&lt;Q&gt;Ticker0024^AVG(P_EXCH_RATE(AUD,USD,47848,47938,CQ))&lt;/Q&gt;&lt;R&gt;1&lt;/R&gt;&lt;C&gt;1&lt;/C&gt;&lt;D xsi:type="xsd:double"&gt;0.6272&lt;/D&gt;&lt;/FQL&gt;&lt;FQL&gt;&lt;Q&gt;Ticker0024^AVG(P_EXCH_RATE(AUD,USD,47756,47848,CQ))&lt;/Q&gt;&lt;R&gt;1&lt;/R&gt;&lt;C&gt;1&lt;/C&gt;&lt;D xsi:type="xsd:double"&gt;0.6272&lt;/D&gt;&lt;/FQL&gt;&lt;FQL&gt;&lt;Q&gt;Ticker0024^AVG(P_EXCH_RATE(AUD,USD,47664,47756,CQ))&lt;/Q&gt;&lt;R&gt;1&lt;/R&gt;&lt;C&gt;1&lt;/C&gt;&lt;D xsi:type="xsd:double"&gt;0.6272&lt;/D&gt;&lt;/FQL&gt;&lt;FQL&gt;&lt;Q&gt;Ticker0024^AVG(P_EXCH_RATE(CAD,USD,47938,48029,CQ))&lt;/Q&gt;&lt;R&gt;1&lt;/R&gt;&lt;C&gt;1&lt;/C&gt;&lt;D xsi:type="xsd:double"&gt;0.69553125&lt;/D&gt;&lt;/FQL&gt;&lt;FQL&gt;&lt;Q&gt;Ticker0024^AVG(P_EXCH_RATE(CAD,USD,47848,47938,CQ))&lt;/Q&gt;&lt;R&gt;1&lt;/R&gt;&lt;C&gt;1&lt;/C&gt;&lt;D xsi:type="xsd:double"&gt;0.69553125&lt;/D&gt;&lt;/FQL&gt;&lt;FQL&gt;&lt;Q&gt;Ticker0024^AVG(P_EXCH_RATE(CAD,USD,47756,47848,CQ))&lt;/Q&gt;&lt;R&gt;1&lt;/R&gt;&lt;C&gt;1&lt;/C&gt;&lt;D xsi:type="xsd:double"&gt;0.69553125&lt;/D&gt;&lt;/FQL&gt;&lt;FQL&gt;&lt;Q&gt;Ticker0024^AVG(P_EXCH_RATE(CAD,USD,47664,47756,CQ))&lt;/Q&gt;&lt;R&gt;1&lt;/R&gt;&lt;C&gt;1&lt;/C&gt;&lt;D xsi:type="xsd:double"&gt;0.69553125&lt;/D&gt;&lt;/FQL&gt;&lt;FQL&gt;&lt;Q&gt;Ticker0024^AVG(P_EXCH_RATE(GBP,USD,47938,48029,CQ))&lt;/Q&gt;&lt;R&gt;1&lt;/R&gt;&lt;C&gt;1&lt;/C&gt;&lt;D xsi:type="xsd:double"&gt;1.23175&lt;/D&gt;&lt;/FQL&gt;&lt;FQL&gt;&lt;Q&gt;Ticker0024^AVG(P_EXCH_RATE(GBP,USD,47848,47938,CQ))&lt;/Q&gt;&lt;R&gt;1&lt;/R&gt;&lt;C&gt;1&lt;/C&gt;&lt;D xsi:type="xsd:double"&gt;1.23175&lt;/D&gt;&lt;/FQL&gt;&lt;FQL&gt;&lt;Q&gt;Ticker0024^AVG(P_EXCH_RATE(GBP,USD,47756,47848,CQ))&lt;/Q&gt;&lt;R&gt;1&lt;/R&gt;&lt;C&gt;1&lt;/C&gt;&lt;D xsi:type="xsd:double"&gt;1.23175&lt;/D&gt;&lt;/FQL&gt;&lt;FQL&gt;&lt;Q&gt;Ticker0024^AVG(P_EXCH_RATE(GBP,USD,47664,47756,CQ))&lt;/Q&gt;&lt;R&gt;1&lt;/R&gt;&lt;C&gt;1&lt;/C&gt;&lt;D xsi:type="xsd:double"&gt;1.23175&lt;/D&gt;&lt;/FQL&gt;&lt;FQL&gt;&lt;Q&gt;Ticker0024^AVG(P_EXCH_RATE(JPY,USD,47938,48029,CQ))&lt;/Q&gt;&lt;R&gt;1&lt;/R&gt;&lt;C&gt;1&lt;/C&gt;&lt;D xsi:type="xsd:double"&gt;0.006393249&lt;/D&gt;&lt;/FQL&gt;&lt;FQL&gt;&lt;Q&gt;Ticker0024^AVG(P_EXCH_RATE(JPY,USD,47848,47938,CQ))&lt;/Q&gt;&lt;R&gt;1&lt;/R&gt;&lt;C&gt;1&lt;/C&gt;&lt;D xsi:type="xsd:double"&gt;0.006393249&lt;/D&gt;&lt;/FQL&gt;&lt;FQL&gt;&lt;Q&gt;Ticker0024^AVG(P_EXCH_RATE(JPY,USD,47756,47848,CQ))&lt;/Q&gt;&lt;R&gt;1&lt;/R&gt;&lt;C&gt;1&lt;/C&gt;&lt;D xsi:type="xsd:double"&gt;0.006393249&lt;/D&gt;&lt;/FQL&gt;&lt;FQL&gt;&lt;Q&gt;Ticker0024^AVG(P_EXCH_RATE(JPY,USD,47664,47756,CQ))&lt;/Q&gt;&lt;R&gt;1&lt;/R&gt;&lt;C&gt;1&lt;/C&gt;&lt;D xsi:type="xsd:double"&gt;0.006393249&lt;/D&gt;&lt;/FQL&gt;&lt;FQL&gt;&lt;Q&gt;Ticker0024^AVG(P_EXCH_RATE(EUR,USD,47938,48029,CQ))&lt;/Q&gt;&lt;R&gt;1&lt;/R&gt;&lt;C&gt;1&lt;/C&gt;&lt;D xsi:type="xsd:double"&gt;1.04195&lt;/D&gt;&lt;/FQL&gt;&lt;FQL&gt;&lt;Q&gt;Ticker0024^AVG(P_EXCH_RATE(EUR,USD,47848,47938,CQ))&lt;/Q&gt;&lt;R&gt;1&lt;/R&gt;&lt;C&gt;1&lt;/C&gt;&lt;D xsi:type="xsd:double"&gt;1.04195&lt;/D&gt;&lt;/FQL&gt;&lt;FQL&gt;&lt;Q&gt;Ticker0024^AVG(P_EXCH_RATE(EUR,USD,47756,47848,CQ))&lt;/Q&gt;&lt;R&gt;1&lt;/R&gt;&lt;C&gt;1&lt;/C&gt;&lt;D xsi:type="xsd:double"&gt;1.04195&lt;/D&gt;&lt;/FQL&gt;&lt;FQL&gt;&lt;Q&gt;Ticker0024^AVG(P_EXCH_RATE(EUR,USD,47664,47756,CQ))&lt;/Q&gt;&lt;R&gt;1&lt;/R&gt;&lt;C&gt;1&lt;/C&gt;&lt;D xsi:type="xsd:double"&gt;1.04195&lt;/D&gt;&lt;/FQL&gt;&lt;FQL&gt;&lt;Q&gt;Ticker0024^AVG(P_EXCH_RATE(AUD,USD,47573,47664,CQ))&lt;/Q&gt;&lt;R&gt;1&lt;/R&gt;&lt;C&gt;1&lt;/C&gt;&lt;D xsi:type="xsd:double"&gt;0.6272&lt;/D&gt;&lt;/FQL&gt;&lt;FQL&gt;&lt;Q&gt;Ticker0024^AVG(P_EXCH_RATE(AUD,USD,47483,47573,CQ))&lt;/Q&gt;&lt;R&gt;1&lt;/R&gt;&lt;C&gt;1&lt;/C&gt;&lt;D xsi:type="xsd:double"&gt;0.6272&lt;/D&gt;&lt;/FQL&gt;&lt;FQL&gt;&lt;Q&gt;Ticker0024^AVG(P_EXCH_RATE(AUD,USD,47391,47483,CQ))&lt;/Q&gt;&lt;R&gt;1&lt;/R&gt;&lt;C&gt;1&lt;/C&gt;&lt;D xsi:type="xsd:double"&gt;0.6272&lt;/D&gt;&lt;/FQL&gt;&lt;FQL&gt;&lt;Q&gt;Ticker0024^AVG(P_EXCH_RATE(AUD,USD,47299,47391,CQ))&lt;/Q&gt;&lt;R&gt;1&lt;/R&gt;&lt;C&gt;1&lt;/C&gt;&lt;D xsi:type="xsd:double"&gt;0.6272&lt;/D&gt;&lt;/FQL&gt;&lt;FQL&gt;&lt;Q&gt;Ticker0024^AVG(P_EXCH_RATE(CAD,USD,47573,47664,CQ))&lt;/Q&gt;&lt;R&gt;1&lt;/R&gt;&lt;C&gt;1&lt;/C&gt;&lt;D xsi:type="xsd:double"&gt;0.69553125&lt;/D&gt;&lt;/FQL&gt;&lt;FQL&gt;&lt;Q&gt;Ticker0024^AVG(P_EXCH_RATE(CAD,USD,47483,47573,CQ))&lt;/Q&gt;&lt;R&gt;1&lt;/R&gt;&lt;C&gt;1&lt;/C&gt;&lt;D xsi:type="xsd:double"&gt;0.69553125&lt;/D&gt;&lt;/FQL&gt;&lt;FQL&gt;&lt;Q&gt;Ticker0024^AVG(P_EXCH_RATE(CAD,USD,47391,47483,CQ))&lt;/Q&gt;&lt;R&gt;1&lt;/R&gt;&lt;C&gt;1&lt;/C&gt;&lt;D xsi:type="xsd:double"&gt;0.69553125&lt;/D&gt;&lt;/FQL&gt;&lt;FQL&gt;&lt;Q&gt;Ticker0024^AVG(P_EXCH_RATE(CAD,USD,47299,47391,CQ))&lt;/Q&gt;&lt;R&gt;1&lt;/R&gt;&lt;C&gt;1&lt;/C&gt;&lt;D xsi:type="xsd:double"&gt;0.69553125&lt;/D&gt;&lt;/FQL&gt;&lt;FQL&gt;&lt;Q&gt;Ticker0024^AVG(P_EXCH_RATE(GBP,USD,47573,47664,CQ))&lt;/Q&gt;&lt;R&gt;1&lt;/R&gt;&lt;C&gt;1&lt;/C&gt;&lt;D xsi:type="xsd:double"&gt;1.23175&lt;/D&gt;&lt;/FQL&gt;&lt;FQL&gt;&lt;Q&gt;Ticker0024^AVG(P_EXCH_RATE(GBP,USD,47483,47573,CQ))&lt;/Q&gt;&lt;R&gt;1&lt;/R&gt;&lt;C&gt;1&lt;/C&gt;&lt;D xsi:type="xsd:double"&gt;1.23175&lt;/D&gt;&lt;/FQL&gt;&lt;FQL&gt;&lt;Q&gt;Ticker0024^AVG(P_EXCH_RATE(GBP,USD,47391,47483,CQ))&lt;/Q&gt;&lt;R&gt;1&lt;/R&gt;&lt;C&gt;1&lt;/C&gt;&lt;D xsi:type="xsd:double"&gt;1.23175&lt;/D&gt;&lt;/FQL&gt;&lt;FQL&gt;&lt;Q&gt;Ticker0024^AVG(P_EXCH_RATE(GBP,USD,47299,47391,CQ))&lt;/Q&gt;&lt;R&gt;1&lt;/R&gt;&lt;C&gt;1&lt;/C&gt;&lt;D xsi:type="xsd:double"&gt;1.23175&lt;/D&gt;&lt;/FQL&gt;&lt;FQL&gt;&lt;Q&gt;Ticker0024^AVG(P_EXCH_RATE(JPY,USD,47573,47664,CQ))&lt;/Q&gt;&lt;R&gt;1&lt;/R&gt;&lt;C&gt;1&lt;/C&gt;&lt;D xsi:type="xsd:double"&gt;0.006393249&lt;/D&gt;&lt;/FQL&gt;&lt;FQL&gt;&lt;Q&gt;Ticker0024^AVG(P_EXCH_RATE(JPY,USD,47483,47573,CQ))&lt;/Q&gt;&lt;R&gt;1&lt;/R&gt;&lt;C&gt;1&lt;/C&gt;&lt;D xsi:type="xsd:double"&gt;0.006393249&lt;/D&gt;&lt;/FQL&gt;&lt;FQL&gt;&lt;Q&gt;Ticker0024^AVG(P_EXCH_RATE(JPY,USD,47391,47483,CQ))&lt;/Q&gt;&lt;R&gt;1&lt;/R&gt;&lt;C&gt;1&lt;/C&gt;&lt;D xsi:type="xsd:double"&gt;0.006393249&lt;/D&gt;&lt;/FQL&gt;&lt;FQL&gt;&lt;Q&gt;Ticker0024^AVG(P_EXCH_RATE(JPY,USD,47299,47391,CQ))&lt;/Q&gt;&lt;R&gt;1&lt;/R&gt;&lt;C&gt;1&lt;/C&gt;&lt;D xsi:type="xsd:double"&gt;0.006393249&lt;/D&gt;&lt;/FQL&gt;&lt;FQL&gt;&lt;Q&gt;Ticker0024^AVG(P_EXCH_RATE(EUR,USD,47573,47664,CQ))&lt;/Q&gt;&lt;R&gt;1&lt;/R&gt;&lt;C&gt;1&lt;/C&gt;&lt;D xsi:type="xsd:double"&gt;1.04195&lt;/D&gt;&lt;/FQL&gt;&lt;FQL&gt;&lt;Q&gt;Ticker0024^AVG(P_EXCH_RATE(EUR,USD,47483,47573,CQ))&lt;/Q&gt;&lt;R&gt;1&lt;/R&gt;&lt;C&gt;1&lt;/C&gt;&lt;D xsi:type="xsd:double"&gt;1.04195&lt;/D&gt;&lt;/FQL&gt;&lt;FQL&gt;&lt;Q&gt;Ticker0024^AVG(P_EXCH_RATE(EUR,USD,47391,47483,CQ))&lt;/Q&gt;&lt;R&gt;1&lt;/R&gt;&lt;C&gt;1&lt;/C&gt;&lt;D xsi:type="xsd:double"&gt;1.04195&lt;/D&gt;&lt;/FQL&gt;&lt;FQL&gt;&lt;Q&gt;Ticker0024^AVG(P_EXCH_RATE(EUR,USD,47299,47391,CQ))&lt;/Q&gt;&lt;R&gt;1&lt;/R&gt;&lt;C&gt;1&lt;/C&gt;&lt;D xsi:type="xsd:double"&gt;1.04195&lt;/D&gt;&lt;/FQL&gt;&lt;FQL&gt;&lt;Q&gt;Ticker0024^AVG(P_EXCH_RATE(AUD,USD,47208,47299,CQ))&lt;/Q&gt;&lt;R&gt;1&lt;/R&gt;&lt;C&gt;1&lt;/C&gt;&lt;D xsi:type="xsd:double"&gt;0.6272&lt;/D&gt;&lt;/FQL&gt;&lt;FQL&gt;&lt;Q&gt;Ticker0024^AVG(P_EXCH_RATE(AUD,USD,47118,47208,CQ))&lt;/Q&gt;&lt;R&gt;1&lt;/R&gt;&lt;C&gt;1&lt;/C&gt;&lt;D xsi:type="xsd:double"&gt;0.6272&lt;/D&gt;&lt;/FQL&gt;&lt;FQL&gt;&lt;Q&gt;Ticker0024^AVG(P_EXCH_RATE(AUD,USD,47026,47118,CQ))&lt;/Q&gt;&lt;R&gt;1&lt;/R&gt;&lt;C&gt;1&lt;/C&gt;&lt;D xsi:type="xsd:double"&gt;0.6272&lt;/D&gt;&lt;/FQL&gt;&lt;FQL&gt;&lt;Q&gt;Ticker0024^AVG(P_EXCH_RATE(AUD,USD,46934,47026,CQ))&lt;/Q&gt;&lt;R&gt;1&lt;/R&gt;&lt;C&gt;1&lt;/C&gt;&lt;D xsi:type="xsd:double"&gt;0.6272&lt;/D&gt;&lt;/FQL&gt;&lt;FQL&gt;&lt;Q&gt;Ticker0024^AVG(P_EXCH_RATE(CAD,USD,47208,47299,CQ))&lt;/Q&gt;&lt;R&gt;1&lt;/R&gt;&lt;C&gt;1&lt;/C&gt;&lt;D xsi:type="xsd:double"&gt;0.69553125&lt;/D&gt;&lt;/FQL&gt;&lt;FQL&gt;&lt;Q&gt;Ticker0024^AVG(P_EXCH_RATE(CAD,USD,47118,47208,CQ))&lt;/Q&gt;&lt;R&gt;1&lt;/R&gt;&lt;C&gt;1&lt;/C&gt;&lt;D xsi:type="xsd:double"&gt;0.69553125&lt;/D&gt;&lt;/FQL&gt;&lt;FQL&gt;&lt;Q&gt;Ticker0024^AVG(P_EXCH_RATE(CAD,USD,47026,47118,CQ))&lt;/Q&gt;&lt;R&gt;1&lt;/R&gt;&lt;C&gt;1&lt;/C&gt;&lt;D xsi:type="xsd:double"&gt;0.69553125&lt;/D&gt;&lt;/FQL&gt;&lt;FQL&gt;&lt;Q&gt;Ticker0024^AVG(P_EXCH_RATE(CAD,USD,46934,47026,CQ))&lt;/Q&gt;&lt;R&gt;1&lt;/R&gt;&lt;C&gt;1&lt;/C&gt;&lt;D xsi:type="xsd:double"&gt;0.69553125&lt;/D&gt;&lt;/FQL&gt;&lt;FQL&gt;&lt;Q&gt;Ticker0024^AVG(P_EXCH_RATE(GBP,USD,47208,47299,CQ))&lt;/Q&gt;&lt;R&gt;1&lt;/R&gt;&lt;C&gt;1&lt;/C&gt;&lt;D xsi:type="xsd:double"&gt;1.23175&lt;/D&gt;&lt;/FQL&gt;&lt;FQL&gt;&lt;Q&gt;Ticker0024^AVG(P_EXCH_RATE(GBP,USD,47118,47208,CQ))&lt;/Q&gt;&lt;R&gt;1&lt;/R&gt;&lt;C&gt;1&lt;/C&gt;&lt;D xsi:type="xsd:double"&gt;1.23175&lt;/D&gt;&lt;/FQL&gt;&lt;FQL&gt;&lt;Q&gt;Ticker0024^AVG(P_EXCH_RATE(GBP,USD,47026,47118,CQ))&lt;/Q&gt;&lt;R&gt;1&lt;/R&gt;&lt;C&gt;1&lt;/C&gt;&lt;D xsi:type="xsd:double"&gt;1.23175&lt;/D&gt;&lt;/FQL&gt;&lt;FQL&gt;&lt;Q&gt;Ticker0024^AVG(P_EXCH_RATE(GBP,USD,46934,47026,CQ))&lt;/Q&gt;&lt;R&gt;1&lt;/R&gt;&lt;C&gt;1&lt;/C&gt;&lt;D xsi:type="xsd:double"&gt;1.23175&lt;/D&gt;&lt;/FQL&gt;&lt;FQL&gt;&lt;Q&gt;Ticker0024^AVG(P_EXCH_RATE(JPY,USD,47208,47299,CQ))&lt;/Q&gt;&lt;R&gt;1&lt;/R&gt;&lt;C&gt;1&lt;/C&gt;&lt;D xsi:type="xsd:double"&gt;0.006393249&lt;/D&gt;&lt;/FQL&gt;&lt;FQL&gt;&lt;Q&gt;Ticker0024^AVG(P_EXCH_RATE(JPY,USD,47118,47208,CQ))&lt;/Q&gt;&lt;R&gt;1&lt;/R&gt;&lt;C&gt;1&lt;/C&gt;&lt;D xsi:type="xsd:double"&gt;0.006393249&lt;/D&gt;&lt;/FQL&gt;&lt;FQL&gt;&lt;Q&gt;Ticker0024^AVG(P_EXCH_RATE(JPY,USD,47026,47118,CQ))&lt;/Q&gt;&lt;R&gt;1&lt;/R&gt;&lt;C&gt;1&lt;/C&gt;&lt;D xsi:type="xsd:double"&gt;0.006393249&lt;/D&gt;&lt;/FQL&gt;&lt;FQL&gt;&lt;Q&gt;Ticker0024^AVG(P_EXCH_RATE(JPY,USD,46934,47026,CQ))&lt;/Q&gt;&lt;R&gt;1&lt;/R&gt;&lt;C&gt;1&lt;/C&gt;&lt;D xsi:type="xsd:double"&gt;0.006393249&lt;/D&gt;&lt;/FQL&gt;&lt;FQL&gt;&lt;Q&gt;Ticker0024^AVG(P_EXCH_RATE(EUR,USD,47208,47299,CQ))&lt;/Q&gt;&lt;R&gt;1&lt;/R&gt;&lt;C&gt;1&lt;/C&gt;&lt;D xsi:type="xsd:double"&gt;1.04195&lt;/D&gt;&lt;/FQL&gt;&lt;FQL&gt;&lt;Q&gt;Ticker0024^AVG(P_EXCH_RATE(EUR,USD,47118,47208,CQ))&lt;/Q&gt;&lt;R&gt;1&lt;/R&gt;&lt;C&gt;1&lt;/C&gt;&lt;D xsi:type="xsd:double"&gt;1.04195&lt;/D&gt;&lt;/FQL&gt;&lt;FQL&gt;&lt;Q&gt;Ticker0024^AVG(P_EXCH_RATE(EUR,USD,47026,47118,CQ))&lt;/Q&gt;&lt;R&gt;1&lt;/R&gt;&lt;C&gt;1&lt;/C&gt;&lt;D xsi:type="xsd:double"&gt;1.04195&lt;/D&gt;&lt;/FQL&gt;&lt;FQL&gt;&lt;Q&gt;Ticker0024^AVG(P_EXCH_RATE(EUR,USD,46934,47026,CQ))&lt;/Q&gt;&lt;R&gt;1&lt;/R&gt;&lt;C&gt;1&lt;/C&gt;&lt;D xsi:type="xsd:double"&gt;1.04195&lt;/D&gt;&lt;/FQL&gt;&lt;FQL&gt;&lt;Q&gt;Ticker0024^AVG(P_EXCH_RATE(AUD,USD,46843,46934,CQ))&lt;/Q&gt;&lt;R&gt;1&lt;/R&gt;&lt;C&gt;1&lt;/C&gt;&lt;D xsi:type="xsd:double"&gt;0.6272&lt;/D&gt;&lt;/FQL&gt;&lt;FQL&gt;&lt;Q&gt;Ticker0024^AVG(P_EXCH_RATE(AUD,USD,46752,46843,CQ))&lt;/Q&gt;&lt;R&gt;1&lt;/R&gt;&lt;C&gt;1&lt;/C&gt;&lt;D xsi:type="xsd:double"&gt;0.6272&lt;/D&gt;&lt;/FQL&gt;&lt;FQL&gt;&lt;Q&gt;Ticker0024^AVG(P_EXCH_RATE(AUD,USD,46660,46752,CQ))&lt;/Q&gt;&lt;R&gt;1&lt;/R&gt;&lt;C&gt;1&lt;/C&gt;&lt;D xsi:type="xsd:double"&gt;0.6272&lt;/D&gt;&lt;/FQL&gt;&lt;FQL&gt;&lt;Q&gt;Ticker0024^AVG(P_EXCH_RATE(AUD,USD,46568,46660,CQ))&lt;/Q&gt;&lt;R&gt;1&lt;/R&gt;&lt;C&gt;1&lt;/C&gt;&lt;D xsi:type="xsd:double"&gt;0.6272&lt;/D&gt;&lt;/FQL&gt;&lt;FQL&gt;&lt;Q&gt;Ticker0024^AVG(P_EXCH_RATE(CAD,USD,46843,46934,CQ))&lt;/Q&gt;&lt;R&gt;1&lt;/R&gt;&lt;C&gt;1&lt;/C&gt;&lt;D xsi:type="xsd:double"&gt;0.69553125&lt;/D&gt;&lt;/FQL&gt;&lt;FQL&gt;&lt;Q&gt;Ticker0024^AVG(P_EXCH_RATE(CAD,USD,46752,46843,CQ))&lt;/Q&gt;&lt;R&gt;1&lt;/R&gt;&lt;C&gt;1&lt;/C&gt;&lt;D xsi:type="xsd:double"&gt;0.69553125&lt;/D&gt;&lt;/FQL&gt;&lt;FQL&gt;&lt;Q&gt;Ticker0024^AVG(P_EXCH_RATE(CAD,USD,46660,46752,CQ))&lt;/Q&gt;&lt;R&gt;1&lt;/R&gt;&lt;C&gt;1&lt;/C&gt;&lt;D xsi:type="xsd:double"&gt;0.69553125&lt;/D&gt;&lt;/FQL&gt;&lt;FQL&gt;&lt;Q&gt;Ticker0024^AVG(P_EXCH_RATE(CAD,USD,46568,46660,CQ))&lt;/Q&gt;&lt;R&gt;1&lt;/R&gt;&lt;C&gt;1&lt;/C&gt;&lt;D xsi:type="xsd:double"&gt;0.69553125&lt;/D&gt;&lt;/FQL&gt;&lt;FQL&gt;&lt;Q&gt;Ticker0024^AVG(P_EXCH_RATE(GBP,USD,46843,46934,CQ))&lt;/Q&gt;&lt;R&gt;1&lt;/R&gt;&lt;C&gt;1&lt;/C&gt;&lt;D xsi:type="xsd:double"&gt;1.23175&lt;/D&gt;&lt;/FQL&gt;&lt;FQL&gt;&lt;Q&gt;Ticker0024^AVG(P_EXCH_RATE(GBP,USD,46752,46843,CQ))&lt;/Q&gt;&lt;R&gt;1&lt;/R&gt;&lt;C&gt;1&lt;/C&gt;&lt;D xsi:type="xsd:double"&gt;1.23175&lt;/D&gt;&lt;/FQL&gt;&lt;FQL&gt;&lt;Q&gt;Ticker0024^AVG(P_EXCH_RATE(GBP,USD,46660,46752,CQ))&lt;/Q&gt;&lt;R&gt;1&lt;/R&gt;&lt;C&gt;1&lt;/C&gt;&lt;D xsi:type="xsd:double"&gt;1.23175&lt;/D&gt;&lt;/FQL&gt;&lt;FQL&gt;&lt;Q&gt;Ticker0024^AVG(P_EXCH_RATE(GBP,USD,46568,46660,CQ))&lt;/Q&gt;&lt;R&gt;1&lt;/R&gt;&lt;C&gt;1&lt;/C&gt;&lt;D xsi:type="xsd:double"&gt;1.23175&lt;/D&gt;&lt;/FQL&gt;&lt;FQL&gt;&lt;Q&gt;Ticker0024^AVG(P_EXCH_RATE(JPY,USD,46843,46934,CQ))&lt;/Q&gt;&lt;R&gt;1&lt;/R&gt;&lt;C&gt;1&lt;/C&gt;&lt;D xsi:type="xsd:double"&gt;0.006393249&lt;/D&gt;&lt;/FQL&gt;&lt;FQL&gt;&lt;Q&gt;Ticker0024^AVG(P_EXCH_RATE(JPY,USD,46752,46843,CQ))&lt;/Q&gt;&lt;R&gt;1&lt;/R&gt;&lt;C&gt;1&lt;/C&gt;&lt;D xsi:type="xsd:double"&gt;0.006393249&lt;/D&gt;&lt;/FQL&gt;&lt;FQL&gt;&lt;Q&gt;Ticker0024^AVG(P_EXCH_RATE(JPY,USD,46660,46752,CQ))&lt;/Q&gt;&lt;R&gt;1&lt;/R&gt;&lt;C&gt;1&lt;/C&gt;&lt;D xsi:type="xsd:double"&gt;0.006393249&lt;/D&gt;&lt;/FQL&gt;&lt;FQL&gt;&lt;Q&gt;Ticker0024^AVG(P_EXCH_RATE(JPY,USD,46568,46660,CQ))&lt;/Q&gt;&lt;R&gt;1&lt;/R&gt;&lt;C&gt;1&lt;/C&gt;&lt;D xsi:type="xsd:double"&gt;0.006393249&lt;/D&gt;&lt;/FQL&gt;&lt;FQL&gt;&lt;Q&gt;Ticker0024^AVG(P_EXCH_RATE(EUR,USD,46843,46934,CQ))&lt;/Q&gt;&lt;R&gt;1&lt;/R&gt;&lt;C&gt;1&lt;/C&gt;&lt;D xsi:type="xsd:double"&gt;1.04195&lt;/D&gt;&lt;/FQL&gt;&lt;FQL&gt;&lt;Q&gt;Ticker0024^AVG(P_EXCH_RATE(EUR,USD,46752,46843,CQ))&lt;/Q&gt;&lt;R&gt;1&lt;/R&gt;&lt;C&gt;1&lt;/C&gt;&lt;D xsi:type="xsd:double"&gt;1.04195&lt;/D&gt;&lt;/FQL&gt;&lt;FQL&gt;&lt;Q&gt;Ticker0024^AVG(P_EXCH_RATE(EUR,USD,46660,46752,CQ))&lt;/Q&gt;&lt;R&gt;1&lt;/R&gt;&lt;C&gt;1&lt;/C&gt;&lt;D xsi:type="xsd:double"&gt;1.04195&lt;/D&gt;&lt;/FQL&gt;&lt;FQL&gt;&lt;Q&gt;Ticker0024^AVG(P_EXCH_RATE(EUR,USD,46568,46660,CQ))&lt;/Q&gt;&lt;R&gt;1&lt;/R&gt;&lt;C&gt;1&lt;/C&gt;&lt;D xsi:type="xsd:double"&gt;1.04195&lt;/D&gt;&lt;/FQL&gt;&lt;FQL&gt;&lt;Q&gt;Ticker0024^AVG(P_EXCH_RATE(AUD,USD,46477,46568,CQ))&lt;/Q&gt;&lt;R&gt;1&lt;/R&gt;&lt;C&gt;1&lt;/C&gt;&lt;D xsi:type="xsd:double"&gt;0.6272&lt;/D&gt;&lt;/FQL&gt;&lt;FQL&gt;&lt;Q&gt;Ticker0024^AVG(P_EXCH_RATE(AUD,USD,46387,46477,CQ))&lt;/Q&gt;&lt;R&gt;1&lt;/R&gt;&lt;C&gt;1&lt;/C&gt;&lt;D xsi:type="xsd:double"&gt;0.6272&lt;/D&gt;&lt;/FQL&gt;&lt;FQL&gt;&lt;Q&gt;Ticker0024^AVG(P_EXCH_RATE(AUD,USD,46295,46387,CQ))&lt;/Q&gt;&lt;R&gt;1&lt;/R&gt;&lt;C&gt;1&lt;/C&gt;&lt;D xsi:type="xsd:double"&gt;0.6272&lt;/D&gt;&lt;/FQL&gt;&lt;FQL&gt;&lt;Q&gt;Ticker0024^AVG(P_EXCH_RATE(AUD,USD,46203,46295,CQ))&lt;/Q&gt;&lt;R&gt;1&lt;/R&gt;&lt;C&gt;1&lt;/C&gt;&lt;D xsi:type="xsd:double"&gt;0.6272&lt;/D&gt;&lt;/FQL&gt;&lt;FQL&gt;&lt;Q&gt;Ticker0024^AVG(P_EXCH_RATE(CAD,USD,46477,46568,CQ))&lt;/Q&gt;&lt;R&gt;1&lt;/R&gt;&lt;C&gt;1&lt;/C&gt;&lt;D xsi:type="xsd:double"&gt;0.69553125&lt;/D&gt;&lt;/FQL&gt;&lt;FQL&gt;&lt;Q&gt;Ticker0024^AVG(P_EXCH_RATE(CAD,USD,46387,46477,CQ))&lt;/Q&gt;&lt;R&gt;1&lt;/R&gt;&lt;C&gt;1&lt;/C&gt;&lt;D xsi:type="xsd:double"&gt;0.69553125&lt;/D&gt;&lt;/FQL&gt;&lt;FQL&gt;&lt;Q&gt;Ticker0024^AVG(P_EXCH_RATE(CAD,USD,46295,46387,CQ))&lt;/Q&gt;&lt;R&gt;1&lt;/R&gt;&lt;C&gt;1&lt;/C&gt;&lt;D xsi:type="xsd:double"&gt;0.69553125&lt;/D&gt;&lt;/FQL&gt;&lt;FQL&gt;&lt;Q&gt;Ticker0024^AVG(P_EXCH_RATE(CAD,USD,46203,46295,CQ))&lt;/Q&gt;&lt;R&gt;1&lt;/R&gt;&lt;C&gt;1&lt;/C&gt;&lt;D xsi:type="xsd:double"&gt;0.69553125&lt;/D&gt;&lt;/FQL&gt;&lt;FQL&gt;&lt;Q&gt;Ticker0024^AVG(P_EXCH_RATE(GBP,USD,46477,46568,CQ))&lt;/Q&gt;&lt;R&gt;1&lt;/R&gt;&lt;C&gt;1&lt;/C&gt;&lt;D xsi:type="xsd:double"&gt;1.23175&lt;/D&gt;&lt;/FQL&gt;&lt;FQL&gt;&lt;Q&gt;Ticker0024^AVG(P_EXCH_RATE(GBP,USD,46387,46477,CQ))&lt;/Q&gt;&lt;R&gt;1&lt;/R&gt;&lt;C&gt;1&lt;/C&gt;&lt;D xsi:type="xsd:double"&gt;1.23175&lt;/D&gt;&lt;/FQL&gt;&lt;FQL&gt;&lt;Q&gt;Ticker0024^AVG(P_EXCH_RATE(GBP,USD,46295,46387,CQ))&lt;/Q&gt;&lt;R&gt;1&lt;/R&gt;&lt;C&gt;1&lt;/C&gt;&lt;D xsi:type="xsd:double"&gt;1.23175&lt;/D&gt;&lt;/FQL&gt;&lt;FQL&gt;&lt;Q&gt;Ticker0024^AVG(P_EXCH_RATE(GBP,USD,46203,46295,CQ))&lt;/Q&gt;&lt;R&gt;1&lt;/R&gt;&lt;C&gt;1&lt;/C&gt;&lt;D xsi:type="xsd:double"&gt;1.23175&lt;/D&gt;&lt;/FQL&gt;&lt;FQL&gt;&lt;Q&gt;Ticker0024^AVG(P_EXCH_RATE(JPY,USD,46477,46568,CQ))&lt;/Q&gt;&lt;R&gt;1&lt;/R&gt;&lt;C&gt;1&lt;/C&gt;&lt;D xsi:type="xsd:double"&gt;0.006393249&lt;/D&gt;&lt;/FQL&gt;&lt;FQL&gt;&lt;Q&gt;Ticker0024^AVG(P_EXCH_RATE(JPY,USD,46387,46477,CQ))&lt;/Q&gt;&lt;R&gt;1&lt;/R&gt;&lt;C&gt;1&lt;/C&gt;&lt;D xsi:type="xsd:double"&gt;0.006393249&lt;/D&gt;&lt;/FQL&gt;&lt;FQL&gt;&lt;Q&gt;Ticker0024^AVG(P_EXCH_RATE(JPY,USD,46295,46387,CQ))&lt;/Q&gt;&lt;R&gt;1&lt;/R&gt;&lt;C&gt;1&lt;/C&gt;&lt;D xsi:type="xsd:double"&gt;0.006393249&lt;/D&gt;&lt;/FQL&gt;&lt;FQL&gt;&lt;Q&gt;Ticker0024^AVG(P_EXCH_RATE(JPY,USD,46203,46295,CQ))&lt;/Q&gt;&lt;R&gt;1&lt;/R&gt;&lt;C&gt;1&lt;/C&gt;&lt;D xsi:type="xsd:double"&gt;0.006393249&lt;/D&gt;&lt;/FQL&gt;&lt;FQL&gt;&lt;Q&gt;Ticker0024^AVG(P_EXCH_RATE(EUR,USD,46477,46568,CQ))&lt;/Q&gt;&lt;R&gt;1&lt;/R&gt;&lt;C&gt;1&lt;/C&gt;&lt;D xsi:type="xsd:double"&gt;1.04195&lt;/D&gt;&lt;/FQL&gt;&lt;FQL&gt;&lt;Q&gt;Ticker0024^AVG(P_EXCH_RATE(EUR,USD,46387,46477,CQ))&lt;/Q&gt;&lt;R&gt;1&lt;/R&gt;&lt;C&gt;1&lt;/C&gt;&lt;D xsi:type="xsd:double"&gt;1.04195&lt;/D&gt;&lt;/FQL&gt;&lt;FQL&gt;&lt;Q&gt;Ticker0024^AVG(P_EXCH_RATE(EUR,USD,46295,46387,CQ))&lt;/Q&gt;&lt;R&gt;1&lt;/R&gt;&lt;C&gt;1&lt;/C&gt;&lt;D xsi:type="xsd:double"&gt;1.04195&lt;/D&gt;&lt;/FQL&gt;&lt;FQL&gt;&lt;Q&gt;Ticker0024^AVG(P_EXCH_RATE(EUR,USD,46203,46295,CQ))&lt;/Q&gt;&lt;R&gt;1&lt;/R&gt;&lt;C&gt;1&lt;/C&gt;&lt;D xsi:type="xsd:double"&gt;1.04195&lt;/D&gt;&lt;/FQL&gt;&lt;FQL&gt;&lt;Q&gt;Ticker0024^AVG(P_EXCH_RATE(AUD,USD,46112,46203,CQ))&lt;/Q&gt;&lt;R&gt;1&lt;/R&gt;&lt;C&gt;1&lt;/C&gt;&lt;D xsi:type="xsd:double"&gt;0.6272&lt;/D&gt;&lt;/FQL&gt;&lt;FQL&gt;&lt;Q&gt;Ticker0024^AVG(P_EXCH_RATE(AUD,USD,46022,46112,CQ))&lt;/Q&gt;&lt;R&gt;1&lt;/R&gt;&lt;C&gt;1&lt;/C&gt;&lt;D xsi:type="xsd:double"&gt;0.6272&lt;/D&gt;&lt;/FQL&gt;&lt;FQL&gt;&lt;Q&gt;Ticker0024^AVG(P_EXCH_RATE(AUD,USD,45930,46022,CQ))&lt;/Q&gt;&lt;R&gt;1&lt;/R&gt;&lt;C&gt;1&lt;/C&gt;&lt;D xsi:type="xsd:double"&gt;0.6272&lt;/D&gt;&lt;/FQL&gt;&lt;FQL&gt;&lt;Q&gt;Ticker0024^AVG(P_EXCH_RATE(AUD,USD,45838,45930,CQ))&lt;/Q&gt;&lt;R&gt;1&lt;/R&gt;&lt;C&gt;1&lt;/C&gt;&lt;D xsi:type="xsd:double"&gt;0.6272&lt;/D&gt;&lt;/FQL&gt;&lt;FQL&gt;&lt;Q&gt;Ticker0024^AVG(P_EXCH_RATE(CAD,USD,46112,46203,CQ))&lt;/Q&gt;&lt;R&gt;1&lt;/R&gt;&lt;C&gt;1&lt;/C&gt;&lt;D xsi:type="xsd:double"&gt;0.69553125&lt;/D&gt;&lt;/FQL&gt;&lt;FQL&gt;&lt;Q&gt;Ticker0024^AVG(P_EXCH_RATE(CAD,USD,46022,46112,CQ))&lt;/Q&gt;&lt;R&gt;1&lt;/R&gt;&lt;C&gt;1&lt;/C&gt;&lt;D xsi:type="xsd:double"&gt;0.69553125&lt;/D&gt;&lt;/FQL&gt;&lt;FQL&gt;&lt;Q&gt;Ticker0024^AVG(P_EXCH_RATE(CAD,USD,45930,46022,CQ))&lt;/Q&gt;&lt;R&gt;1&lt;/R&gt;&lt;C&gt;1&lt;/C&gt;&lt;D xsi:type="xsd:double"&gt;0.69553125&lt;/D&gt;&lt;/FQL&gt;&lt;FQL&gt;&lt;Q&gt;Ticker0024^AVG(P_EXCH_RATE(CAD,USD,45838,45930,CQ))&lt;/Q&gt;&lt;R&gt;1&lt;/R&gt;&lt;C&gt;1&lt;/C&gt;&lt;D xsi:type="xsd:double"&gt;0.69553125&lt;/D&gt;&lt;/FQL&gt;&lt;FQL&gt;&lt;Q&gt;Ticker0024^AVG(P_EXCH_RATE(GBP,USD,46112,46203,CQ))&lt;/Q&gt;&lt;R&gt;1&lt;/R&gt;&lt;C&gt;1&lt;/C&gt;&lt;D xsi:type="xsd:double"&gt;1.23175&lt;/D&gt;&lt;/FQL&gt;&lt;FQL&gt;&lt;Q&gt;Ticker0024^AVG(P_EXCH_RATE(GBP,USD,46022,46112,CQ))&lt;/Q&gt;&lt;R&gt;1&lt;/R&gt;&lt;C&gt;1&lt;/C&gt;&lt;D xsi:type="xsd:double"&gt;1.23175&lt;/D&gt;&lt;/FQL&gt;&lt;FQL&gt;&lt;Q&gt;Ticker0024^AVG(P_EXCH_RATE(GBP,USD,45930,46022,CQ))&lt;/Q&gt;&lt;R&gt;1&lt;/R&gt;&lt;C&gt;1&lt;/C&gt;&lt;D xsi:type="xsd:double"&gt;1.23175&lt;/D&gt;&lt;/FQL&gt;&lt;FQL&gt;&lt;Q&gt;Ticker0024^AVG(P_EXCH_RATE(GBP,USD,45838,45930,CQ))&lt;/Q&gt;&lt;R&gt;1&lt;/R&gt;&lt;C&gt;1&lt;/C&gt;&lt;D xsi:type="xsd:double"&gt;1.23175&lt;/D&gt;&lt;/FQL&gt;&lt;FQL&gt;&lt;Q&gt;Ticker0024^AVG(P_EXCH_RATE(JPY,USD,46112,46203,CQ))&lt;/Q&gt;&lt;R&gt;1&lt;/R&gt;&lt;C&gt;1&lt;/C&gt;&lt;D xsi:type="xsd:double"&gt;0.006393249&lt;/D&gt;&lt;/FQL&gt;&lt;FQL&gt;&lt;Q&gt;Ticker0024^AVG(P_EXCH_RATE(JPY,USD,46022,46112,CQ))&lt;/Q&gt;&lt;R&gt;1&lt;/R&gt;&lt;C&gt;1&lt;/C&gt;&lt;D xsi:type="xsd:double"&gt;0.006393249&lt;/D&gt;&lt;/FQL&gt;&lt;FQL&gt;&lt;Q&gt;Ticker0024^AVG(P_EXCH_RATE(JPY,USD,45930,46022,CQ))&lt;/Q&gt;&lt;R&gt;1&lt;/R&gt;&lt;C&gt;1&lt;/C&gt;&lt;D xsi:type="xsd:double"&gt;0.006393249&lt;/D&gt;&lt;/FQL&gt;&lt;FQL&gt;&lt;Q&gt;Ticker0024^AVG(P_EXCH_RATE(JPY,USD,45838,45930,CQ))&lt;/Q&gt;&lt;R&gt;1&lt;/R&gt;&lt;C&gt;1&lt;/C&gt;&lt;D xsi:type="xsd:double"&gt;0.006393249&lt;/D&gt;&lt;/FQL&gt;&lt;FQL&gt;&lt;Q&gt;Ticker0024^AVG(P_EXCH_RATE(EUR,USD,46112,46203,CQ))&lt;/Q&gt;&lt;R&gt;1&lt;/R&gt;&lt;C&gt;1&lt;/C&gt;&lt;D xsi:type="xsd:double"&gt;1.04195&lt;/D&gt;&lt;/FQL&gt;&lt;FQL&gt;&lt;Q&gt;Ticker0024^AVG(P_EXCH_RATE(EUR,USD,46022,46112,CQ))&lt;/Q&gt;&lt;R&gt;1&lt;/R&gt;&lt;C&gt;1&lt;/C&gt;&lt;D xsi:type="xsd:double"&gt;1.04195&lt;/D&gt;&lt;/FQL&gt;&lt;FQL&gt;&lt;Q&gt;Ticker0024^AVG(P_EXCH_RATE(EUR,USD,45930,46022,CQ))&lt;/Q&gt;&lt;R&gt;1&lt;/R&gt;&lt;C&gt;1&lt;/C&gt;&lt;D xsi:type="xsd:double"&gt;1.04195&lt;/D&gt;&lt;/FQL&gt;&lt;FQL&gt;&lt;Q&gt;Ticker0024^AVG(P_EXCH_RATE(EUR,USD,45838,45930,CQ))&lt;/Q&gt;&lt;R&gt;1&lt;/R&gt;&lt;C&gt;1&lt;/C&gt;&lt;D xsi:type="xsd:double"&gt;1.04195&lt;/D&gt;&lt;/FQL&gt;&lt;FQL&gt;&lt;Q&gt;Ticker0024^AVG(P_EXCH_RATE(AUD,USD,45747,45838,CQ))&lt;/Q&gt;&lt;R&gt;1&lt;/R&gt;&lt;C&gt;1&lt;/C&gt;&lt;D xsi:type="xsd:double"&gt;0.6272&lt;/D&gt;&lt;/FQL&gt;&lt;FQL&gt;&lt;Q&gt;Ticker0024^AVG(P_EXCH_RATE(AUD,USD,45657,45747,CQ))&lt;/Q&gt;&lt;R&gt;1&lt;/R&gt;&lt;C&gt;1&lt;/C&gt;&lt;D xsi:type="xsd:double"&gt;0.623175&lt;/D&gt;&lt;/FQL&gt;&lt;FQL&gt;&lt;Q&gt;Ticker0024^AVG(P_EXCH_RATE(AUD,USD,45565,45657,CQ))&lt;/Q&gt;&lt;R&gt;1&lt;/R&gt;&lt;C&gt;1&lt;/C&gt;&lt;D xsi:type="xsd:double"&gt;0.65645&lt;/D&gt;&lt;/FQL&gt;&lt;FQL&gt;&lt;Q&gt;Ticker0024^AVG(P_EXCH_RATE(AUD,USD,45473,45565,CQ))&lt;/Q&gt;&lt;R&gt;1&lt;/R&gt;&lt;C&gt;1&lt;/C&gt;&lt;D xsi:type="xsd:double"&gt;0.6808&lt;/D&gt;&lt;/FQL&gt;&lt;FQL&gt;&lt;Q&gt;Ticker0024^AVG(P_EXCH_RATE(CAD,USD,45747,45838,CQ))&lt;/Q&gt;&lt;R&gt;1&lt;/R&gt;&lt;C&gt;1&lt;/C&gt;&lt;D xsi:type="xsd:double"&gt;0.69553125&lt;/D&gt;&lt;/FQL&gt;&lt;FQL&gt;&lt;Q&gt;Ticker0024^AVG(P_EXCH_RATE(CAD,USD,45657,45747,CQ))&lt;/Q&gt;&lt;R&gt;1&lt;/R&gt;&lt;C&gt;1&lt;/C&gt;&lt;D xsi:type="xsd:double"&gt;0.695422425&lt;/D&gt;&lt;/FQL&gt;&lt;FQL&gt;&lt;Q&gt;Ticker0024^AVG(P_EXCH_RATE(CAD,USD,45565,45657,CQ))&lt;/Q&gt;&lt;R&gt;1&lt;/R&gt;&lt;C&gt;1&lt;/C&gt;&lt;D xsi:type="xsd:double"&gt;0.717766715&lt;/D&gt;&lt;/FQL&gt;&lt;FQL&gt;&lt;Q&gt;Ticker0024^AVG(P_EXCH_RATE(CAD,USD,45473,45565,CQ))&lt;/Q&gt;&lt;R&gt;1&lt;/R&gt;&lt;C&gt;1&lt;/C&gt;&lt;D xsi:type="xsd:double"&gt;0.735513515&lt;/D&gt;&lt;/FQL&gt;&lt;FQL&gt;&lt;Q&gt;Ticker0024^AVG(P_EXCH_RATE(GBP,USD,45747,45838,CQ))&lt;/Q&gt;&lt;R&gt;1&lt;/R&gt;&lt;C&gt;1&lt;/C&gt;&lt;D xsi:type="xsd:double"&gt;1.23175&lt;/D&gt;&lt;/FQL&gt;&lt;FQL&gt;&lt;Q&gt;Ticker0024^AVG(P_EXCH_RATE(GBP,USD,45657,45747,CQ))&lt;/Q&gt;&lt;R&gt;1&lt;/R&gt;&lt;C&gt;1&lt;/C&gt;&lt;D xsi:type="xsd:double"&gt;1.242075&lt;/D&gt;&lt;/FQL&gt;&lt;FQL&gt;&lt;Q&gt;Ticker0024^AVG(P_EXCH_RATE(GBP,USD,45565,45657,CQ))&lt;/Q&gt;&lt;R&gt;1&lt;/R&gt;&lt;C&gt;1&lt;/C&gt;&lt;D xsi:type="xsd:double"&gt;1.29687505&lt;/D&gt;&lt;/FQL&gt;&lt;FQL&gt;&lt;Q&gt;Ticker0024^AVG(P_EXCH_RATE(GBP,USD,45473,45565,CQ))&lt;/Q&gt;&lt;R&gt;1&lt;/R&gt;&lt;C&gt;1&lt;/C&gt;&lt;D xsi:type="xsd:double"&gt;1.30272505&lt;/D&gt;&lt;/FQL&gt;&lt;FQL&gt;&lt;Q&gt;Ticker0024^AVG(P_EXCH_RATE(JPY,USD,45747,45838,CQ))&lt;/Q&gt;&lt;R&gt;1&lt;/R&gt;&lt;C&gt;1&lt;/C&gt;&lt;D xsi:type="xsd:double"&gt;0.006393249&lt;/D&gt;&lt;/FQL&gt;&lt;FQL&gt;&lt;Q&gt;Ticker0024^AVG(P_EXCH_RATE(JPY,USD,45657,45747,CQ))&lt;/Q&gt;&lt;R&gt;1&lt;/R&gt;&lt;C&gt;1&lt;/C&gt;&lt;D xsi:type="xsd:double"&gt;0.0063780955&lt;/D&gt;&lt;/FQL&gt;&lt;FQL&gt;&lt;Q&gt;Ticker0024^AVG(P_EXCH_RATE(JPY,USD,45565,45657,CQ))&lt;/Q&gt;&lt;R&gt;1&lt;/R&gt;&lt;C&gt;1&lt;/C&gt;&lt;D xsi:type="xsd:double"&gt;0.0066769968&lt;/D&gt;&lt;/FQL&gt;&lt;FQL&gt;&lt;Q&gt;Ticker0024^AVG(P_EXCH_RATE(JPY,USD,45473,45565,CQ))&lt;/Q&gt;&lt;R&gt;1&lt;/R&gt;&lt;C&gt;1&lt;/C&gt;&lt;D xsi:type="xsd:double"&gt;0.0066038186&lt;/D&gt;&lt;/FQL&gt;&lt;FQL&gt;&lt;Q&gt;Ticker0024^AVG(P_EXCH_RATE(EUR,USD,45747,45838,CQ))&lt;/Q&gt;&lt;R&gt;1&lt;/R&gt;&lt;C&gt;1&lt;/C&gt;&lt;D xsi:type="xsd:double"&gt;1.04195&lt;/D&gt;&lt;/FQL&gt;&lt;FQL&gt;&lt;Q&gt;Ticker0024^AVG(P_EXCH_RATE(EUR,USD,45657,45747,CQ))&lt;/Q&gt;&lt;R&gt;1&lt;/R&gt;&lt;C&gt;1&lt;/C&gt;&lt;D xsi:type="xsd:double"&gt;1.038725&lt;/D&gt;&lt;/FQL&gt;&lt;FQL&gt;&lt;Q&gt;Ticker0024^AVG(P_EXCH_RATE(EUR,USD,45565,45657,CQ))&lt;/Q&gt;&lt;R&gt;1&lt;/R&gt;&lt;C&gt;1&lt;/C&gt;&lt;D xsi:type="xsd:double"&gt;1.075775&lt;/D&gt;&lt;/FQL&gt;&lt;FQL&gt;&lt;Q&gt;Ticker0024^AVG(P_EXCH_RATE(EUR,USD,45473,45565,CQ))&lt;/Q&gt;&lt;R&gt;1&lt;/R&gt;&lt;C&gt;1&lt;/C&gt;&lt;D xsi:type="xsd:double"&gt;1.09389995&lt;/D&gt;&lt;/FQL&gt;&lt;FQL&gt;&lt;Q&gt;Ticker0024^AVG(P_EXCH_RATE(AUD,USD,45382,45473,CQ))&lt;/Q&gt;&lt;R&gt;1&lt;/R&gt;&lt;C&gt;1&lt;/C&gt;&lt;D xsi:type="xsd:double"&gt;0.660127035&lt;/D&gt;&lt;/FQL&gt;&lt;FQL&gt;&lt;Q&gt;Ticker0024^AVG(P_EXCH_RATE(AUD,USD,45291,45382,CQ))&lt;/Q&gt;&lt;R&gt;1&lt;/R&gt;&lt;C&gt;1&lt;/C&gt;&lt;D xsi:type="xsd:double"&gt;0.667377035&lt;/D&gt;&lt;/FQL&gt;&lt;FQL&gt;&lt;Q&gt;Ticker0024^AVG(P_EXCH_RATE(AUD,USD,45199,45291,CQ))&lt;/Q&gt;&lt;R&gt;1&lt;/R&gt;&lt;C&gt;1&lt;/C&gt;&lt;D xsi:type="xsd:double"&gt;0.663875&lt;/D&gt;&lt;/FQL&gt;&lt;FQL&gt;&lt;Q&gt;Ticker0024^AVG(P_EXCH_RATE(AUD,USD,45107,45199,CQ))&lt;/Q&gt;&lt;R&gt;1&lt;/R&gt;&lt;C&gt;1&lt;/C&gt;&lt;D xsi:type="xsd:double"&gt;0.655525&lt;/D&gt;&lt;/FQL&gt;&lt;FQL&gt;&lt;Q&gt;Ticker0024^AVG(P_EXCH_RATE(CAD,USD,45382,45473,CQ))&lt;/Q&gt;&lt;R&gt;1&lt;/R&gt;&lt;C&gt;1&lt;/C&gt;&lt;D xsi:type="xsd:double"&gt;0.734883&lt;/D&gt;&lt;/FQL&gt;&lt;FQL&gt;&lt;Q&gt;Ticker0024^AVG(P_EXCH_RATE(CAD,USD,45291,45382,CQ))&lt;/Q&gt;&lt;R&gt;1&lt;/R&gt;&lt;C&gt;1&lt;/C&gt;&lt;D xsi:type="xsd:double"&gt;0.74866943&lt;/D&gt;&lt;/FQL&gt;&lt;FQL&gt;&lt;Q&gt;Ticker0024^AVG(P_EXCH_RATE(CAD,USD,45199,45291,CQ))&lt;/Q&gt;&lt;R&gt;1&lt;/R&gt;&lt;C&gt;1&lt;/C&gt;&lt;D xsi:type="xsd:double"&gt;0.7490125&lt;/D&gt;&lt;/FQL&gt;&lt;FQL&gt;&lt;Q&gt;Ticker0024^AVG(P_EXCH_RATE(CAD,USD,45107,45199,CQ))&lt;/Q&gt;&lt;R&gt;1&lt;/R&gt;&lt;C&gt;1&lt;/C&gt;&lt;D xsi:type="xsd:double"&gt;0.74768002&lt;/D&gt;&lt;/FQL&gt;&lt;FQL&gt;&lt;Q&gt;Ticker0024^AVG(P_EXCH_RATE(GBP,USD,45382,45473,CQ))&lt;/Q&gt;&lt;R&gt;1&lt;/R&gt;&lt;C&gt;1&lt;/C&gt;&lt;D xsi:type="xsd:double"&gt;1.263675&lt;/D&gt;&lt;/FQL&gt;&lt;FQL&gt;&lt;Q&gt;Ticker0024^AVG(P_EXCH_RATE(GBP,USD,45291,45382,CQ))&lt;/Q&gt;&lt;R&gt;1&lt;/R&gt;&lt;C&gt;1&lt;/C&gt;&lt;D xsi:type="xsd:double"&gt;1.26902505&lt;/D&gt;&lt;/FQL&gt;&lt;FQL&gt;&lt;Q&gt;Ticker0024^AVG(P_EXCH_RATE(GBP,USD,45199,45291,CQ))&lt;/Q&gt;&lt;R&gt;1&lt;/R&gt;&lt;C&gt;1&lt;/C&gt;&lt;D xsi:type="xsd:double"&gt;1.24767505&lt;/D&gt;&lt;/FQL&gt;&lt;FQL&gt;&lt;Q&gt;Ticker0024^AVG(P_EXCH_RATE(GBP,USD,45107,45199,CQ))&lt;/Q&gt;&lt;R&gt;1&lt;/R&gt;&lt;C&gt;1&lt;/C&gt;&lt;D xsi:type="xsd:double"&gt;1.24595&lt;/D&gt;&lt;/FQL&gt;&lt;FQL&gt;&lt;Q&gt;Ticker0024^AVG(P_EXCH_RATE(JPY,USD,45382,45473,CQ))&lt;/Q&gt;&lt;R&gt;1&lt;/R&gt;&lt;C&gt;1&lt;/C&gt;&lt;D xsi:type="xsd:double"&gt;0.00641200245&lt;/D&gt;&lt;/FQL&gt;&lt;FQL&gt;&lt;Q&gt;Ticker0024^AVG(P_EXCH_RATE(JPY,USD,45291,45382,CQ))&lt;/Q&gt;&lt;R&gt;1&lt;/R&gt;&lt;C&gt;1&lt;/C&gt;&lt;D xsi:type="xsd:double"&gt;0.00685031215&lt;/D&gt;&lt;/FQL&gt;&lt;FQL&gt;&lt;Q&gt;Ticker0024^AVG(P_EXCH_RATE(JPY,USD,45199,45291,CQ))&lt;/Q&gt;&lt;R&gt;1&lt;/R&gt;&lt;C&gt;1&lt;/C&gt;&lt;D xsi:type="xsd:double"&gt;0.00689724735&lt;/D&gt;&lt;/FQL&gt;&lt;FQL&gt;&lt;Q&gt;Ticker0024^AVG(P_EXCH_RATE(JPY,USD,45107,45199,CQ))&lt;/Q&gt;&lt;R&gt;1&lt;/R&gt;&lt;C&gt;1&lt;/C&gt;&lt;D xsi:type="xsd:double"&gt;0.00681001435&lt;/D&gt;&lt;/FQL&gt;&lt;FQL&gt;&lt;Q&gt;Ticker0024^AVG(P_EXCH_RATE(EUR,USD,45382,45473,CQ))&lt;/Q&gt;&lt;R&gt;1&lt;/R&gt;&lt;C&gt;1&lt;/C&gt;&lt;D xsi:type="xsd:double"&gt;1.07588695&lt;/D&gt;&lt;/FQL&gt;&lt;FQL&gt;&lt;Q&gt;Ticker0024^AVG(P_EXCH_RATE(EUR,USD,45291,45382,CQ))&lt;/Q&gt;&lt;R&gt;1&lt;/R&gt;&lt;C&gt;1&lt;/C&gt;&lt;D xsi:type="xsd:double"&gt;1.092337&lt;/D&gt;&lt;/FQL&gt;&lt;FQL&gt;&lt;Q&gt;Ticker0024^AVG(P_EXCH_RATE(EUR,USD,45199,45291,CQ))&lt;/Q&gt;&lt;R&gt;1&lt;/R&gt;&lt;C&gt;1&lt;/C&gt;&lt;D xsi:type="xsd:double"&gt;1.0817&lt;/D&gt;&lt;/FQL&gt;&lt;FQL&gt;&lt;Q&gt;Ticker0024^AVG(P_EXCH_RATE(EUR,USD,45107,45199,CQ))&lt;/Q&gt;&lt;R&gt;1&lt;/R&gt;&lt;C&gt;1&lt;/C&gt;&lt;D xsi:type="xsd:double"&gt;1.074875&lt;/D&gt;&lt;/FQL&gt;&lt;FQL&gt;&lt;Q&gt;Ticker0024^AVG(P_EXCH_RATE(AUD,USD,45016,45107,CQ))&lt;/Q&gt;&lt;R&gt;1&lt;/R&gt;&lt;C&gt;1&lt;/C&gt;&lt;D xsi:type="xsd:double"&gt;0.6677&lt;/D&gt;&lt;/FQL&gt;&lt;FQL&gt;&lt;Q&gt;Ticker0024^AVG(P_EXCH_RATE(AUD,USD,44926,45016,CQ))&lt;/Q&gt;&lt;R&gt;1&lt;/R&gt;&lt;C&gt;1&lt;/C&gt;&lt;D xsi:type="xsd:double"&gt;0.67395&lt;/D&gt;&lt;/FQL&gt;&lt;FQL&gt;&lt;Q&gt;Ticker0024^AVG(P_EXCH_RATE(AUD,USD,44834,44926,CQ))&lt;/Q&gt;&lt;R&gt;1&lt;/R&gt;&lt;C&gt;1&lt;/C&gt;&lt;D xsi:type="xsd:double"&gt;0.66055&lt;/D&gt;&lt;/FQL&gt;&lt;FQL&gt;&lt;Q&gt;Ticker0024^AVG(P_EXCH_RATE(AUD,USD,44742,44834,CQ))&lt;/Q&gt;&lt;R&gt;1&lt;/R&gt;&lt;C&gt;1&lt;/C&gt;&lt;D xsi:type="xsd:double"&gt;0.6653&lt;/D&gt;&lt;/FQL&gt;&lt;FQL&gt;&lt;Q&gt;Ticker0024^AVG(P_EXCH_RATE(CAD,USD,45016,45107,CQ))&lt;/Q&gt;&lt;R&gt;1&lt;/R&gt;&lt;C&gt;1&lt;/C&gt;&lt;D xsi:type="xsd:double"&gt;0.74731113&lt;/D&gt;&lt;/FQL&gt;&lt;FQL&gt;&lt;Q&gt;Ticker0024^AVG(P_EXCH_RATE(CAD,USD,44926,45016,CQ))&lt;/Q&gt;&lt;R&gt;1&lt;/R&gt;&lt;C&gt;1&lt;/C&gt;&lt;D xsi:type="xsd:double"&gt;0.738470915&lt;/D&gt;&lt;/FQL&gt;&lt;FQL&gt;&lt;Q&gt;Ticker0024^AVG(P_EXCH_RATE(CAD,USD,44834,44926,CQ))&lt;/Q&gt;&lt;R&gt;1&lt;/R&gt;&lt;C&gt;1&lt;/C&gt;&lt;D xsi:type="xsd:double"&gt;0.732905085&lt;/D&gt;&lt;/FQL&gt;&lt;FQL&gt;&lt;Q&gt;Ticker0024^AVG(P_EXCH_RATE(CAD,USD,44742,44834,CQ))&lt;/Q&gt;&lt;R&gt;1&lt;/R&gt;&lt;C&gt;1&lt;/C&gt;&lt;D xsi:type="xsd:double"&gt;0.751499675&lt;/D&gt;&lt;/FQL&gt;&lt;FQL&gt;&lt;Q&gt;Ticker0024^AVG(P_EXCH_RATE(GBP,USD,45016,45107,CQ))&lt;/Q&gt;&lt;R&gt;1&lt;/R&gt;&lt;C&gt;1&lt;/C&gt;&lt;D xsi:type="xsd:double"&gt;1.25390005&lt;/D&gt;&lt;/FQL&gt;&lt;FQL&gt;&lt;Q&gt;Ticker0024^AVG(P_EXCH_RATE(GBP,USD,44926,45016,CQ))&lt;/Q&gt;&lt;R&gt;1&lt;/R&gt;&lt;C&gt;1&lt;/C&gt;&lt;D xsi:type="xsd:double"&gt;1.21967505&lt;/D&gt;&lt;/FQL&gt;&lt;FQL&gt;&lt;Q&gt;Ticker0024^AVG(P_EXCH_RATE(GBP,USD,44834,44926,CQ))&lt;/Q&gt;&lt;R&gt;1&lt;/R&gt;&lt;C&gt;1&lt;/C&gt;&lt;D xsi:type="xsd:double"&gt;1.1596&lt;/D&gt;&lt;/FQL&gt;&lt;FQL&gt;&lt;Q&gt;Ticker0024^AVG(P_EXCH_RATE(GBP,USD,44742,44834,CQ))&lt;/Q&gt;&lt;R&gt;1&lt;/R&gt;&lt;C&gt;1&lt;/C&gt;&lt;D xsi:type="xsd:double"&gt;1.165375&lt;/D&gt;&lt;/FQL&gt;&lt;FQL&gt;&lt;Q&gt;Ticker0024^AVG(P_EXCH_RATE(JPY,USD,45016,45107,CQ))&lt;/Q&gt;&lt;R&gt;1&lt;/R&gt;&lt;C&gt;1&lt;/C&gt;&lt;D xsi:type="xsd:double"&gt;0.0072162258&lt;/D&gt;&lt;/FQL&gt;&lt;FQL&gt;&lt;Q&gt;Ticker0024^AVG(P_EXCH_RATE(JPY,USD,44926,45016,CQ))&lt;/Q&gt;&lt;R&gt;1&lt;/R&gt;&lt;C&gt;1&lt;/C&gt;&lt;D xsi:type="xsd:double"&gt;0.0075463138&lt;/D&gt;&lt;/FQL&gt;&lt;FQL&gt;&lt;Q&gt;Ticker0024^AVG(P_EXCH_RATE(JPY,USD,44834,44926,CQ))&lt;/Q&gt;&lt;R&gt;1&lt;/R&gt;&lt;C&gt;1&lt;/C&gt;&lt;D xsi:type="xsd:double"&gt;0.00724380835&lt;/D&gt;&lt;/FQL&gt;&lt;FQL&gt;&lt;Q&gt;Ticker0024^AVG(P_EXCH_RATE(JPY,USD,44742,44834,CQ))&lt;/Q&gt;&lt;R&gt;1&lt;/R&gt;&lt;C&gt;1&lt;/C&gt;&lt;D xsi:type="xsd:double"&gt;0.0071347456&lt;/D&gt;&lt;/FQL&gt;&lt;FQL&gt;&lt;Q&gt;Ticker0024^AVG(P_EXCH_RATE(EUR,USD,45016,45107,CQ))&lt;/Q&gt;&lt;R&gt;1&lt;/R&gt;&lt;C&gt;1&lt;/C&gt;&lt;D xsi:type="xsd:double"&gt;1.088725&lt;/D&gt;&lt;/FQL&gt;&lt;FQL&gt;&lt;Q&gt;Ticker0024^AVG(P_EXCH_RATE(EUR,USD,44926,45016,CQ))&lt;/Q&gt;&lt;R&gt;1&lt;/R&gt;&lt;C&gt;1&lt;/C&gt;&lt;D xsi:type="xsd:double"&gt;1.07685&lt;/D&gt;&lt;/FQL&gt;&lt;FQL&gt;&lt;Q&gt;Ticker0024^AVG(P_EXCH_RATE(EUR,USD,44834,44926,CQ))&lt;/Q&gt;&lt;R&gt;1&lt;/R&gt;&lt;C&gt;1&lt;/C&gt;&lt;D xsi:type="xsd:double"&gt;1.02345&lt;/D&gt;&lt;/FQL&gt;&lt;FQL&gt;&lt;Q&gt;Ticker0024^AVG(P_EXCH_RATE(EUR,USD,44742,44834,CQ))&lt;/Q&gt;&lt;R&gt;1&lt;/R&gt;&lt;C&gt;1&lt;/C&gt;&lt;D xsi:type="xsd:double"&gt;1.01255&lt;/D&gt;&lt;/FQL&gt;&lt;FQL&gt;&lt;Q&gt;Ticker0024^AVG(P_EXCH_RATE(AUD,USD,44651,44742,CQ))&lt;/Q&gt;&lt;R&gt;1&lt;/R&gt;&lt;C&gt;1&lt;/C&gt;&lt;D xsi:type="xsd:double"&gt;0.71930002&lt;/D&gt;&lt;/FQL&gt;&lt;FQL&gt;&lt;Q&gt;Ticker0024^AVG(P_EXCH_RATE(AUD,USD,44561,44651,CQ))&lt;/Q&gt;&lt;R&gt;1&lt;/R&gt;&lt;C&gt;1&lt;/C&gt;&lt;D xsi:type="xsd:double"&gt;0.73900002&lt;/D&gt;&lt;/FQL&gt;&lt;FQL&gt;&lt;Q&gt;Ticker0024^AVG(P_EXCH_RATE(AUD,USD,44469,44561,CQ))&lt;/Q&gt;&lt;R&gt;1&lt;/R&gt;&lt;C&gt;1&lt;/C&gt;&lt;D xsi:type="xsd:double"&gt;0.7247&lt;/D&gt;&lt;/FQL&gt;&lt;FQL&gt;&lt;Q&gt;Ticker0024^AVG(P_EXCH_RATE(AUD,USD,44377,44469,CQ))&lt;/Q&gt;&lt;R&gt;1&lt;/R&gt;&lt;C&gt;1&lt;/C&gt;&lt;D xsi:type="xsd:double"&gt;0.73655&lt;/D&gt;&lt;/FQL&gt;&lt;FQL&gt;&lt;Q&gt;Ticker0024^AVG(P_EXCH_RATE(CAD,USD,44651,44742,CQ))&lt;/Q&gt;&lt;R&gt;1&lt;/R&gt;&lt;C&gt;1&lt;/C&gt;&lt;D xsi:type="xsd:double"&gt;0.787916155&lt;/D&gt;&lt;/FQL&gt;&lt;FQL&gt;&lt;Q&gt;Ticker0024^AVG(P_EXCH_RATE(CAD,USD,44561,44651,CQ))&lt;/Q&gt;&lt;R&gt;1&lt;/R&gt;&lt;C&gt;1&lt;/C&gt;&lt;D xsi:type="xsd:double"&gt;0.796140045&lt;/D&gt;&lt;/FQL&gt;&lt;FQL&gt;&lt;Q&gt;Ticker0024^AVG(P_EXCH_RATE(CAD,USD,44469,44561,CQ))&lt;/Q&gt;&lt;R&gt;1&lt;/R&gt;&lt;C&gt;1&lt;/C&gt;&lt;D xsi:type="xsd:double"&gt;0.79051554&lt;/D&gt;&lt;/FQL&gt;&lt;FQL&gt;&lt;Q&gt;Ticker0024^AVG(P_EXCH_RATE(CAD,USD,44377,44469,CQ))&lt;/Q&gt;&lt;R&gt;1&lt;/R&gt;&lt;C&gt;1&lt;/C&gt;&lt;D xsi:type="xsd:double"&gt;0.798459125&lt;/D&gt;&lt;/FQL&gt;&lt;FQL&gt;&lt;Q&gt;Ticker0024^AVG(P_EXCH_RATE(GBP,USD,44651,44742,CQ))&lt;/Q&gt;&lt;R&gt;1&lt;/R&gt;&lt;C&gt;1&lt;/C&gt;&lt;D xsi:type="xsd:double"&gt;1.26554995&lt;/D&gt;&lt;/FQL&gt;&lt;FQL&gt;&lt;Q&gt;Ticker0024^AVG(P_EXCH_RATE(GBP,USD,44561,44651,CQ))&lt;/Q&gt;&lt;R&gt;1&lt;/R&gt;&lt;C&gt;1&lt;/C&gt;&lt;D xsi:type="xsd:double"&gt;1.33554995&lt;/D&gt;&lt;/FQL&gt;&lt;FQL&gt;&lt;Q&gt;Ticker0024^AVG(P_EXCH_RATE(GBP,USD,44469,44561,CQ))&lt;/Q&gt;&lt;R&gt;1&lt;/R&gt;&lt;C&gt;1&lt;/C&gt;&lt;D xsi:type="xsd:double"&gt;1.3514&lt;/D&gt;&lt;/FQL&gt;&lt;FQL&gt;&lt;Q&gt;Ticker0024^AVG(P_EXCH_RATE(GBP,USD,44377,44469,CQ))&lt;/Q&gt;&lt;R&gt;1&lt;/R&gt;&lt;C&gt;1&lt;/C&gt;&lt;D xsi:type="xsd:double"&gt;1.3649&lt;/D&gt;&lt;/FQL&gt;&lt;FQL&gt;&lt;Q&gt;Ticker0024^AVG(P_EXCH_RATE(JPY,USD,44651,44742,CQ))&lt;/Q&gt;&lt;R&gt;1&lt;/R&gt;&lt;C&gt;1&lt;/C&gt;&lt;D xsi:type="xsd:double"&gt;0.00779985925&lt;/D&gt;&lt;/FQL&gt;&lt;FQL&gt;&lt;Q&gt;Ticker0024^AVG(P_EXCH_RATE(JPY,USD,44561,44651,CQ))&lt;/Q&gt;&lt;R&gt;1&lt;/R&gt;&lt;C&gt;1&lt;/C&gt;&lt;D xsi:type="xsd:double"&gt;0.0084614385&lt;/D&gt;&lt;/FQL&gt;&lt;FQL&gt;&lt;Q&gt;Ticker0024^AVG(P_EXCH_RATE(JPY,USD,44469,44561,CQ))&lt;/Q&gt;&lt;R&gt;1&lt;/R&gt;&lt;C&gt;1&lt;/C&gt;&lt;D xsi:type="xsd:double"&gt;0.008823265&lt;/D&gt;&lt;/FQL&gt;&lt;FQL&gt;&lt;Q&gt;Ticker0024^AVG(P_EXCH_RATE(JPY,USD,44377,44469,CQ))&lt;/Q&gt;&lt;R&gt;1&lt;/R&gt;&lt;C&gt;1&lt;/C&gt;&lt;D xsi:type="xsd:double"&gt;0.0089862015&lt;/D&gt;&lt;/FQL&gt;&lt;FQL&gt;&lt;Q&gt;Ticker0024^AVG(P_EXCH_RATE(EUR,USD,44651,44742,CQ))&lt;/Q&gt;&lt;R&gt;1&lt;/R&gt;&lt;C&gt;1&lt;/C&gt;&lt;D xsi:type="xsd:double"&gt;1.07904995&lt;/D&gt;&lt;/FQL&gt;&lt;FQL&gt;&lt;Q&gt;Ticker0024^AVG(P_EXCH_RATE(EUR,USD,44561,44651,CQ))&lt;/Q&gt;&lt;R&gt;1&lt;/R&gt;&lt;C&gt;1&lt;/C&gt;&lt;D xsi:type="xsd:double"&gt;1.12492495&lt;/D&gt;&lt;/FQL&gt;&lt;FQL&gt;&lt;Q&gt;Ticker0024^AVG(P_EXCH_RATE(EUR,USD,44469,44561,CQ))&lt;/Q&gt;&lt;R&gt;1&lt;/R&gt;&lt;C&gt;1&lt;/C&gt;&lt;D xsi:type="xsd:double"&gt;1.148075&lt;/D&gt;&lt;/FQL&gt;&lt;FQL&gt;&lt;Q&gt;Ticker0024^AVG(P_EXCH_RATE(EUR,USD,44377,44469,CQ))&lt;/Q&gt;&lt;R&gt;1&lt;/R&gt;&lt;C&gt;1&lt;/C&gt;&lt;D xsi:type="xsd:double"&gt;1.17242505&lt;/D&gt;&lt;/FQL&gt;&lt;FQL&gt;&lt;Q&gt;Ticker0024^AVG(P_EXCH_RATE(AUD,USD,44286,44377,CQ))&lt;/Q&gt;&lt;R&gt;1&lt;/R&gt;&lt;C&gt;1&lt;/C&gt;&lt;D xsi:type="xsd:double"&gt;0.756199985&lt;/D&gt;&lt;/FQL&gt;&lt;FQL&gt;&lt;Q&gt;Ticker0024^AVG(P_EXCH_RATE(AUD,USD,44196,44286,CQ))&lt;/Q&gt;&lt;R&gt;1&lt;/R&gt;&lt;C&gt;1&lt;/C&gt;&lt;D xsi:type="xsd:double"&gt;0.766649985&lt;/D&gt;&lt;/FQL&gt;&lt;FQL&gt;&lt;Q&gt;Ticker0024^AVG(P_EXCH_RATE(AUD,USD,44104,44196,CQ))&lt;/Q&gt;&lt;R&gt;1&lt;/R&gt;&lt;C&gt;1&lt;/C&gt;&lt;D xsi:type="xsd:double"&gt;0.744199985&lt;/D&gt;&lt;/FQL&gt;&lt;FQL&gt;&lt;Q&gt;Ticker0024^AVG(P_EXCH_RATE(AUD,USD,44012,44104,CQ))&lt;/Q&gt;&lt;R&gt;1&lt;/R&gt;&lt;C&gt;1&lt;/C&gt;&lt;D xsi:type="xsd:double"&gt;0.702624985&lt;/D&gt;&lt;/FQL&gt;&lt;FQL&gt;&lt;Q&gt;Ticker0024^AVG(P_EXCH_RATE(CAD,USD,44286,44377,CQ))&lt;/Q&gt;&lt;R&gt;1&lt;/R&gt;&lt;C&gt;1&lt;/C&gt;&lt;D xsi:type="xsd:double"&gt;0.80159935&lt;/D&gt;&lt;/FQL&gt;&lt;FQL&gt;&lt;Q&gt;Ticker0024^AVG(P_EXCH_RATE(CAD,USD,44196,44286,CQ))&lt;/Q&gt;&lt;R&gt;1&lt;/R&gt;&lt;C&gt;1&lt;/C&gt;&lt;D xsi:type="xsd:double"&gt;0.79028462&lt;/D&gt;&lt;/FQL&gt;&lt;FQL&gt;&lt;Q&gt;Ticker0024^AVG(P_EXCH_RATE(CAD,USD,44104,44196,CQ))&lt;/Q&gt;&lt;R&gt;1&lt;/R&gt;&lt;C&gt;1&lt;/C&gt;&lt;D xsi:type="xsd:double"&gt;0.76678622&lt;/D&gt;&lt;/FQL&gt;&lt;FQL&gt;&lt;Q&gt;Ticker0024^AVG(P_EXCH_RATE(CAD,USD,44012,44104,CQ))&lt;/Q&gt;&lt;R&gt;1&lt;/R&gt;&lt;C&gt;1&lt;/C&gt;&lt;D xsi:type="xsd:double"&gt;0.74142875&lt;/D&gt;&lt;/FQL&gt;&lt;FQL&gt;&lt;Q&gt;Ticker0024^AVG(P_EXCH_RATE(GBP,USD,44286,44377,CQ))&lt;/Q&gt;&lt;R&gt;1&lt;/R&gt;&lt;C&gt;1&lt;/C&gt;&lt;D xsi:type="xsd:double"&gt;1.38057505&lt;/D&gt;&lt;/FQL&gt;&lt;FQL&gt;&lt;Q&gt;Ticker0024^AVG(P_EXCH_RATE(GBP,USD,44196,44286,CQ))&lt;/Q&gt;&lt;R&gt;1&lt;/R&gt;&lt;C&gt;1&lt;/C&gt;&lt;D xsi:type="xsd:double"&gt;1.37332505&lt;/D&gt;&lt;/FQL&gt;&lt;FQL&gt;&lt;Q&gt;Ticker0024^AVG(P_EXCH_RATE(GBP,USD,44104,44196,CQ))&lt;/Q&gt;&lt;R&gt;1&lt;/R&gt;&lt;C&gt;1&lt;/C&gt;&lt;D xsi:type="xsd:double"&gt;1.329875&lt;/D&gt;&lt;/FQL&gt;&lt;FQL&gt;&lt;Q&gt;Ticker0024^AVG(P_EXCH_RATE(GBP,USD,44012,44104,CQ))&lt;/Q&gt;&lt;R&gt;1&lt;/R&gt;&lt;C&gt;1&lt;/C&gt;&lt;D xsi:type="xsd:double"&gt;1.2642&lt;/D&gt;&lt;/FQL&gt;&lt;FQL&gt;&lt;Q&gt;Ticker0024^AVG(P_EXCH_RATE(JPY,USD,44286,44377,CQ))&lt;/Q&gt;&lt;R&gt;1&lt;/R&gt;&lt;C&gt;1&lt;/C&gt;&lt;D xsi:type="xsd:double"&gt;0.0090297975&lt;/D&gt;&lt;/FQL&gt;&lt;FQL&gt;&lt;Q&gt;Ticker0024^AVG(P_EXCH_RATE(JPY,USD,44196,44286,CQ))&lt;/Q&gt;&lt;R&gt;1&lt;/R&gt;&lt;C&gt;1&lt;/C&gt;&lt;D xsi:type="xsd:double"&gt;0.0093677365&lt;/D&gt;&lt;/FQL&gt;&lt;FQL&gt;&lt;Q&gt;Ticker0024^AVG(P_EXCH_RATE(JPY,USD,44104,44196,CQ))&lt;/Q&gt;&lt;R&gt;1&lt;/R&gt;&lt;C&gt;1&lt;/C&gt;&lt;D xsi:type="xsd:double"&gt;0.0095808385&lt;/D&gt;&lt;/FQL&gt;&lt;FQL&gt;&lt;Q&gt;Ticker0024^AVG(P_EXCH_RATE(JPY,USD,44012,44104,CQ))&lt;/Q&gt;&lt;R&gt;1&lt;/R&gt;&lt;C&gt;1&lt;/C&gt;&lt;D xsi:type="xsd:double"&gt;0.0093725535&lt;/D&gt;&lt;/FQL&gt;&lt;FQL&gt;&lt;Q&gt;Ticker0024^AVG(P_EXCH_RATE(EUR,USD,44286,44377,CQ))&lt;/Q&gt;&lt;R&gt;1&lt;/R&gt;&lt;C&gt;1&lt;/C&gt;&lt;D xsi:type="xsd:double"&gt;1.18060005&lt;/D&gt;&lt;/FQL&gt;&lt;FQL&gt;&lt;Q&gt;Ticker0024^AVG(P_EXCH_RATE(EUR,USD,44196,44286,CQ))&lt;/Q&gt;&lt;R&gt;1&lt;/R&gt;&lt;C&gt;1&lt;/C&gt;&lt;D xsi:type="xsd:double"&gt;1.199425&lt;/D&gt;&lt;/FQL&gt;&lt;FQL&gt;&lt;Q&gt;Ticker0024^AVG(P_EXCH_RATE(EUR,USD,44104,44196,CQ))&lt;/Q&gt;&lt;R&gt;1&lt;/R&gt;&lt;C&gt;1&lt;/C&gt;&lt;D xsi:type="xsd:double"&gt;1.1981&lt;/D&gt;&lt;/FQL&gt;&lt;FQL&gt;&lt;Q&gt;Ticker0024^AVG(P_EXCH_RATE(EUR,USD,44012,44104,CQ))&lt;/Q&gt;&lt;R&gt;1&lt;/R&gt;&lt;C&gt;1&lt;/C&gt;&lt;D xsi:type="xsd:double"&gt;1.1479&lt;/D&gt;&lt;/FQL&gt;&lt;FQL&gt;&lt;Q&gt;Ticker0024^AVG(P_EXCH_RATE(AUD,USD,43921,44012,CQ))&lt;/Q&gt;&lt;R&gt;1&lt;/R&gt;&lt;C&gt;1&lt;/C&gt;&lt;D xsi:type="xsd:double"&gt;0.650275&lt;/D&gt;&lt;/FQL&gt;&lt;FQL&gt;&lt;Q&gt;Ticker0024^AVG(P_EXCH_RATE(AUD,USD,43830,43921,CQ))&lt;/Q&gt;&lt;R&gt;1&lt;/R&gt;&lt;C&gt;1&lt;/C&gt;&lt;D xsi:type="xsd:double"&gt;0.6575&lt;/D&gt;&lt;/FQL&gt;&lt;FQL&gt;&lt;Q&gt;Ticker0024^AVG(P_EXCH_RATE(AUD,USD,43738,43830,CQ))&lt;/Q&gt;&lt;R&gt;1&lt;/R&gt;&lt;C&gt;1&lt;/C&gt;&lt;D xsi:type="xsd:double"&gt;0.6887&lt;/D&gt;&lt;/FQL&gt;&lt;FQL&gt;&lt;Q&gt;Ticker0024^AVG(P_EXCH_RATE(AUD,USD,43646,43738,CQ))&lt;/Q&gt;&lt;R&gt;1&lt;/R&gt;&lt;C&gt;1&lt;/C&gt;&lt;D xsi:type="xsd:double"&gt;0.6881&lt;/D&gt;&lt;/FQL&gt;&lt;FQL&gt;&lt;Q&gt;Ticker0024^AVG(P_EXCH_RATE(CAD,USD,43921,44012,CQ))&lt;/Q&gt;&lt;R&gt;1&lt;/R&gt;&lt;C&gt;1&lt;/C&gt;&lt;D xsi:type="xsd:double"&gt;0.71839115&lt;/D&gt;&lt;/FQL&gt;&lt;FQL&gt;&lt;Q&gt;Ticker0024^AVG(P_EXCH_RATE(CAD,USD,43830,43921,CQ))&lt;/Q&gt;&lt;R&gt;1&lt;/R&gt;&lt;C&gt;1&lt;/C&gt;&lt;D xsi:type="xsd:double"&gt;0.7368633&lt;/D&gt;&lt;/FQL&gt;&lt;FQL&gt;&lt;Q&gt;Ticker0024^AVG(P_EXCH_RATE(CAD,USD,43738,43830,CQ))&lt;/Q&gt;&lt;R&gt;1&lt;/R&gt;&lt;C&gt;1&lt;/C&gt;&lt;D xsi:type="xsd:double"&gt;0.76322285&lt;/D&gt;&lt;/FQL&gt;&lt;FQL&gt;&lt;Q&gt;Ticker0024^AVG(P_EXCH_RATE(CAD,USD,43646,43738,CQ))&lt;/Q&gt;&lt;R&gt;1&lt;/R&gt;&lt;C&gt;1&lt;/C&gt;&lt;D xsi:type="xsd:double"&gt;0.76027215&lt;/D&gt;&lt;/FQL&gt;&lt;FQL&gt;&lt;Q&gt;Ticker0024^AVG(P_EXCH_RATE(GBP,USD,43921,44012,CQ))&lt;/Q&gt;&lt;R&gt;1&lt;/R&gt;&lt;C&gt;1&lt;/C&gt;&lt;D xsi:type="xsd:double"&gt;1.23777505&lt;/D&gt;&lt;/FQL&gt;&lt;FQL&gt;&lt;Q&gt;Ticker0024^AVG(P_EXCH_RATE(GBP,USD,43830,43921,CQ))&lt;/Q&gt;&lt;R&gt;1&lt;/R&gt;&lt;C&gt;1&lt;/C&gt;&lt;D xsi:type="xsd:double"&gt;1.2823501&lt;/D&gt;&lt;/FQL&gt;&lt;FQL&gt;&lt;Q&gt;Ticker0024^AVG(P_EXCH_RATE(GBP,USD,43738,43830,CQ))&lt;/Q&gt;&lt;R&gt;1&lt;/R&gt;&lt;C&gt;1&lt;/C&gt;&lt;D xsi:type="xsd:double"&gt;1.27852505&lt;/D&gt;&lt;/FQL&gt;&lt;FQL&gt;&lt;Q&gt;Ticker0024^AVG(P_EXCH_RATE(GBP,USD,43646,43738,CQ))&lt;/Q&gt;&lt;R&gt;1&lt;/R&gt;&lt;C&gt;1&lt;/C&gt;&lt;D xsi:type="xsd:double"&gt;1.2525&lt;/D&gt;&lt;/FQL&gt;&lt;FQL&gt;&lt;Q&gt;Ticker0024^AVG(P_EXCH_RATE(JPY,USD,43921,44012,CQ))&lt;/Q&gt;&lt;R&gt;1&lt;/R&gt;&lt;C&gt;1&lt;/C&gt;&lt;D xsi:type="xsd:double"&gt;0.009266124&lt;/D&gt;&lt;/FQL&gt;&lt;FQL&gt;&lt;Q&gt;Ticker0024^AVG(P_EXCH_RATE(JPY,USD,43830,43921,CQ))&lt;/Q&gt;&lt;R&gt;1&lt;/R&gt;&lt;C&gt;1&lt;/C&gt;&lt;D xsi:type="xsd:double"&gt;0.0092324335&lt;/D&gt;&lt;/FQL&gt;&lt;FQL&gt;&lt;Q&gt;Ticker0024^AVG(P_EXCH_RATE(JPY,USD,43738,43830,CQ))&lt;/Q&gt;&lt;R&gt;1&lt;/R&gt;&lt;C&gt;1&lt;/C&gt;&lt;D xsi:type="xsd:double"&gt;0.009227291&lt;/D&gt;&lt;/FQL&gt;&lt;FQL&gt;&lt;Q&gt;Ticker0024^AVG(P_EXCH_RATE(JPY,USD,43646,43738,CQ))&lt;/Q&gt;&lt;R&gt;1&lt;/R&gt;&lt;C&gt;1&lt;/C&gt;&lt;D xsi:type="xsd:double"&gt;0.009267219&lt;/D&gt;&lt;/FQL&gt;&lt;FQL&gt;&lt;Q&gt;Ticker0024^AVG(P_EXCH_RATE(EUR,USD,43921,44012,CQ))&lt;/Q&gt;&lt;R&gt;1&lt;/R&gt;&lt;C&gt;1&lt;/C&gt;&lt;D xsi:type="xsd:double"&gt;1.1102&lt;/D&gt;&lt;/FQL&gt;&lt;FQL&gt;&lt;Q&gt;Ticker0024^AVG(P_EXCH_RATE(EUR,USD,43830,43921,CQ))&lt;/Q&gt;&lt;R&gt;1&lt;/R&gt;&lt;C&gt;1&lt;/C&gt;&lt;D xsi:type="xsd:double"&gt;1.109875&lt;/D&gt;&lt;/FQL&gt;&lt;FQL&gt;&lt;Q&gt;Ticker0024^AVG(P_EXCH_RATE(EUR,USD,43738,43830,CQ))&lt;/Q&gt;&lt;R&gt;1&lt;/R&gt;&lt;C&gt;1&lt;/C&gt;&lt;D xsi:type="xsd:double"&gt;1.10635&lt;/D&gt;&lt;/FQL&gt;&lt;FQL&gt;&lt;Q&gt;Ticker0024^AVG(P_EXCH_RATE(EUR,USD,43646,43738,CQ))&lt;/Q&gt;&lt;R&gt;1&lt;/R&gt;&lt;C&gt;1&lt;/C&gt;&lt;D xsi:type="xsd:double"&gt;1.1145&lt;/D&gt;&lt;/FQL&gt;&lt;FQL&gt;&lt;Q&gt;Ticker0024^FE_ESTIMATE(SPEC_NO_CHANGE_2,MEAN,ANNUAL_ROLL,2030,45681,,,'')&lt;/Q&gt;&lt;R&gt;0&lt;/R&gt;&lt;C&gt;0&lt;/C&gt;&lt;/FQL&gt;&lt;FQL&gt;&lt;Q&gt;Ticker0024^FE_ESTIMATE(SPEC_NO_CHANGE_2,MEAN,QUARTERLY_ROLL,2030/4F,45681,,,'')&lt;/Q&gt;&lt;R&gt;0&lt;/R&gt;&lt;C&gt;0&lt;/C&gt;&lt;/FQL&gt;&lt;FQL&gt;&lt;Q&gt;Ticker0024^FE_ESTIMATE(SPEC_NO_CHANGE_2,MEAN,QUARTERLY_ROLL,2030/3F,45681,,,'</t>
        </r>
      </text>
    </comment>
    <comment ref="A8" authorId="0" shapeId="0" xr:uid="{EC796E34-D87D-469C-A16D-509EAA21BB62}">
      <text>
        <r>
          <rPr>
            <b/>
            <sz val="9"/>
            <color indexed="81"/>
            <rFont val="Tahoma"/>
            <family val="2"/>
          </rPr>
          <t>')&lt;/Q&gt;&lt;R&gt;0&lt;/R&gt;&lt;C&gt;0&lt;/C&gt;&lt;/FQL&gt;&lt;FQL&gt;&lt;Q&gt;Ticker0024^FE_ESTIMATE(SPEC_NO_CHANGE_2,MEAN,QUARTERLY_ROLL,2030/2F,45681,,,'')&lt;/Q&gt;&lt;R&gt;0&lt;/R&gt;&lt;C&gt;0&lt;/C&gt;&lt;/FQL&gt;&lt;FQL&gt;&lt;Q&gt;Ticker0024^FE_ESTIMATE(SPEC_NO_CHANGE_2,MEAN,QUARTERLY_ROLL,2030/1F,45681,,,'')&lt;/Q&gt;&lt;R&gt;0&lt;/R&gt;&lt;C&gt;0&lt;/C&gt;&lt;/FQL&gt;&lt;FQL&gt;&lt;Q&gt;Ticker0024^FE_ESTIMATE(SPEC_NO_CHANGE_2,MEAN,ANNUAL_ROLL,2029,45681,,,'')&lt;/Q&gt;&lt;R&gt;0&lt;/R&gt;&lt;C&gt;0&lt;/C&gt;&lt;/FQL&gt;&lt;FQL&gt;&lt;Q&gt;Ticker0024^FE_ESTIMATE(SPEC_NO_CHANGE_2,MEAN,QUARTERLY_ROLL,2029/4F,45681,,,'')&lt;/Q&gt;&lt;R&gt;0&lt;/R&gt;&lt;C&gt;0&lt;/C&gt;&lt;/FQL&gt;&lt;FQL&gt;&lt;Q&gt;Ticker0024^FE_ESTIMATE(SPEC_NO_CHANGE_2,MEAN,QUARTERLY_ROLL,2029/3F,45681,,,'')&lt;/Q&gt;&lt;R&gt;0&lt;/R&gt;&lt;C&gt;0&lt;/C&gt;&lt;/FQL&gt;&lt;FQL&gt;&lt;Q&gt;Ticker0024^FE_ESTIMATE(SPEC_NO_CHANGE_2,MEAN,QUARTERLY_ROLL,2029/2F,45681,,,'')&lt;/Q&gt;&lt;R&gt;0&lt;/R&gt;&lt;C&gt;0&lt;/C&gt;&lt;/FQL&gt;&lt;FQL&gt;&lt;Q&gt;Ticker0024^FE_ESTIMATE(SPEC_NO_CHANGE_2,MEAN,QUARTERLY_ROLL,2029/1F,45681,,,'')&lt;/Q&gt;&lt;R&gt;0&lt;/R&gt;&lt;C&gt;0&lt;/C&gt;&lt;/FQL&gt;&lt;FQL&gt;&lt;Q&gt;Ticker0024^FE_ESTIMATE(SPEC_NO_CHANGE_2,MEAN,ANNUAL_ROLL,2028,45681,,,'')&lt;/Q&gt;&lt;R&gt;1&lt;/R&gt;&lt;C&gt;1&lt;/C&gt;&lt;D xsi:type="xsd:double"&gt;24&lt;/D&gt;&lt;/FQL&gt;&lt;FQL&gt;&lt;Q&gt;Ticker0024^FE_ESTIMATE(SPEC_NO_CHANGE_2,MEAN,QUARTERLY_ROLL,2028/4F,45681,,,'')&lt;/Q&gt;&lt;R&gt;0&lt;/R&gt;&lt;C&gt;0&lt;/C&gt;&lt;/FQL&gt;&lt;FQL&gt;&lt;Q&gt;Ticker0024^FE_ESTIMATE(SPEC_NO_CHANGE_2,MEAN,QUARTERLY_ROLL,2028/3F,45681,,,'')&lt;/Q&gt;&lt;R&gt;0&lt;/R&gt;&lt;C&gt;0&lt;/C&gt;&lt;/FQL&gt;&lt;FQL&gt;&lt;Q&gt;Ticker0024^FE_ESTIMATE(SPEC_NO_CHANGE_2,MEAN,QUARTERLY_ROLL,2028/2F,45681,,,'')&lt;/Q&gt;&lt;R&gt;0&lt;/R&gt;&lt;C&gt;0&lt;/C&gt;&lt;/FQL&gt;&lt;FQL&gt;&lt;Q&gt;Ticker0024^FE_ESTIMATE(SPEC_NO_CHANGE_2,MEAN,QUARTERLY_ROLL,2028/1F,45681,,,'')&lt;/Q&gt;&lt;R&gt;0&lt;/R&gt;&lt;C&gt;0&lt;/C&gt;&lt;/FQL&gt;&lt;FQL&gt;&lt;Q&gt;Ticker0024^FE_ESTIMATE(SPEC_NO_CHANGE_2,MEAN,ANNUAL_ROLL,2027,45681,,,'')&lt;/Q&gt;&lt;R&gt;1&lt;/R&gt;&lt;C&gt;1&lt;/C&gt;&lt;D xsi:type="xsd:double"&gt;29&lt;/D&gt;&lt;/FQL&gt;&lt;FQL&gt;&lt;Q&gt;Ticker0024^FE_ESTIMATE(SPEC_NO_CHANGE_2,MEAN,QUARTERLY_ROLL,2027/4F,45681,,,'')&lt;/Q&gt;&lt;R&gt;0&lt;/R&gt;&lt;C&gt;0&lt;/C&gt;&lt;/FQL&gt;&lt;FQL&gt;&lt;Q&gt;Ticker0024^FE_ESTIMATE(SPEC_NO_CHANGE_2,MEAN,QUARTERLY_ROLL,2027/3F,45681,,,'')&lt;/Q&gt;&lt;R&gt;0&lt;/R&gt;&lt;C&gt;0&lt;/C&gt;&lt;/FQL&gt;&lt;FQL&gt;&lt;Q&gt;Ticker0024^FE_ESTIMATE(SPEC_NO_CHANGE_2,MEAN,QUARTERLY_ROLL,2027/2F,45681,,,'')&lt;/Q&gt;&lt;R&gt;0&lt;/R&gt;&lt;C&gt;0&lt;/C&gt;&lt;/FQL&gt;&lt;FQL&gt;&lt;Q&gt;Ticker0024^FE_ESTIMATE(SPEC_NO_CHANGE_2,MEAN,QUARTERLY_ROLL,2027/1F,45681,,,'')&lt;/Q&gt;&lt;R&gt;0&lt;/R&gt;&lt;C&gt;0&lt;/C&gt;&lt;/FQL&gt;&lt;FQL&gt;&lt;Q&gt;Ticker0024^FE_ESTIMATE(SPEC_NO_CHANGE_2,MEAN,ANNUAL_ROLL,2026,45681,,,'')&lt;/Q&gt;&lt;R&gt;1&lt;/R&gt;&lt;C&gt;1&lt;/C&gt;&lt;D xsi:type="xsd:double"&gt;33&lt;/D&gt;&lt;/FQL&gt;&lt;FQL&gt;&lt;Q&gt;Ticker0024^FE_ESTIMATE(SPEC_NO_CHANGE_2,MEAN,QUARTERLY_ROLL,2026/4F,45681,,,'')&lt;/Q&gt;&lt;R&gt;1&lt;/R&gt;&lt;C&gt;1&lt;/C&gt;&lt;D xsi:type="xsd:double"&gt;31&lt;/D&gt;&lt;/FQL&gt;&lt;FQL&gt;&lt;Q&gt;Ticker0024^FE_ESTIMATE(SPEC_NO_CHANGE_2,MEAN,QUARTERLY_ROLL,2026/3F,45681,,,'')&lt;/Q&gt;&lt;R&gt;1&lt;/R&gt;&lt;C&gt;1&lt;/C&gt;&lt;D xsi:type="xsd:double"&gt;30&lt;/D&gt;&lt;/FQL&gt;&lt;FQL&gt;&lt;Q&gt;Ticker0024^FE_ESTIMATE(SPEC_NO_CHANGE_2,MEAN,QUARTERLY_ROLL,2026/2F,45681,,,'')&lt;/Q&gt;&lt;R&gt;1&lt;/R&gt;&lt;C&gt;1&lt;/C&gt;&lt;D xsi:type="xsd:double"&gt;30&lt;/D&gt;&lt;/FQL&gt;&lt;FQL&gt;&lt;Q&gt;Ticker0024^FE_ESTIMATE(SPEC_NO_CHANGE_2,MEAN,QUARTERLY_ROLL,2026/1F,45681,,,'')&lt;/Q&gt;&lt;R&gt;1&lt;/R&gt;&lt;C&gt;1&lt;/C&gt;&lt;D xsi:type="xsd:double"&gt;33.5&lt;/D&gt;&lt;/FQL&gt;&lt;FQL&gt;&lt;Q&gt;Ticker0024^FE_ESTIMATE(SPEC_NO_CHANGE_2,MEAN,ANNUAL_ROLL,2025,45681,,,'')&lt;/Q&gt;&lt;R&gt;1&lt;/R&gt;&lt;C&gt;1&lt;/C&gt;&lt;D xsi:type="xsd:double"&gt;33.24&lt;/D&gt;&lt;/FQL&gt;&lt;FQL&gt;&lt;Q&gt;Ticker0024^FE_ESTIMATE(SPEC_NO_CHANGE_2,MEAN,QUARTERLY_ROLL,2025/4F,45681,,,'')&lt;/Q&gt;&lt;R&gt;1&lt;/R&gt;&lt;C&gt;1&lt;/C&gt;&lt;D xsi:type="xsd:double"&gt;34.22&lt;/D&gt;&lt;/FQL&gt;&lt;FQL&gt;&lt;Q&gt;Ticker0024^FE_ESTIMATE(SPEC_NO_CHANGE_2,MEAN,QUARTERLY_ROLL,2025/3F,45681,,,'')&lt;/Q&gt;&lt;R&gt;1&lt;/R&gt;&lt;C&gt;1&lt;/C&gt;&lt;D xsi:type="xsd:double"&gt;33.44&lt;/D&gt;&lt;/FQL&gt;&lt;FQL&gt;&lt;Q&gt;Ticker0024^FE_ESTIMATE(SPEC_NO_CHANGE_2,MEAN,QUARTERLY_ROLL,2025/2F,45681,,,'')&lt;/Q&gt;&lt;R&gt;1&lt;/R&gt;&lt;C&gt;1&lt;/C&gt;&lt;D xsi:type="xsd:double"&gt;32&lt;/D&gt;&lt;/FQL&gt;&lt;FQL&gt;&lt;Q&gt;Ticker0024^FE_ESTIMATE(SPEC_NO_CHANGE_2,MEAN,QUARTERLY_ROLL,2025/1F,45681,,,'')&lt;/Q&gt;&lt;R&gt;1&lt;/R&gt;&lt;C&gt;1&lt;/C&gt;&lt;D xsi:type="xsd:double"&gt;34&lt;/D&gt;&lt;/FQL&gt;&lt;FQL&gt;&lt;Q&gt;Ticker0024^FE_ESTIMATE(SPEC_NO_CHANGE_2,MEAN,ANNUAL_ROLL,2024,45681,,,'')&lt;/Q&gt;&lt;R&gt;1&lt;/R&gt;&lt;C&gt;1&lt;/C&gt;&lt;D xsi:type="xsd:double"&gt;29.14&lt;/D&gt;&lt;/FQL&gt;&lt;FQL&gt;&lt;Q&gt;Ticker0024^FE_ESTIMATE(SPEC_NO_CHANGE_2,MEAN,QUARTERLY_ROLL,2024/4F,45681,,,'')&lt;/Q&gt;&lt;R&gt;1&lt;/R&gt;&lt;C&gt;1&lt;/C&gt;&lt;D xsi:type="xsd:double"&gt;30&lt;/D&gt;&lt;/FQL&gt;&lt;FQL&gt;&lt;Q&gt;Ticker0024^FE_ESTIMATE(SPEC_NO_CHANGE_2,MEAN,QUARTERLY_ROLL,2024/3F,45681,,,'')&lt;/Q&gt;&lt;R&gt;1&lt;/R&gt;&lt;C&gt;1&lt;/C&gt;&lt;D xsi:type="xsd:double"&gt;31&lt;/D&gt;&lt;/FQL&gt;&lt;FQL&gt;&lt;Q&gt;Ticker0024^FE_ESTIMATE(SPEC_NO_CHANGE_2,MEAN,QUARTERLY_ROLL,2024/2F,45681,,,'')&lt;/Q&gt;&lt;R&gt;1&lt;/R&gt;&lt;C&gt;1&lt;/C&gt;&lt;D xsi:type="xsd:double"&gt;28&lt;/D&gt;&lt;/FQL&gt;&lt;FQL&gt;&lt;Q&gt;Ticker0024^FE_ESTIMATE(SPEC_NO_CHANGE_2,MEAN,QUARTERLY_ROLL,2024/1F,45681,,,'')&lt;/Q&gt;&lt;R&gt;1&lt;/R&gt;&lt;C&gt;1&lt;/C&gt;&lt;D xsi:type="xsd:double"&gt;28.1&lt;/D&gt;&lt;/FQL&gt;&lt;FQL&gt;&lt;Q&gt;Ticker0024^FE_ESTIMATE(SPEC_NO_CHANGE_2,MEAN,ANNUAL_ROLL,2023,45681,,,'')&lt;/Q&gt;&lt;R&gt;1&lt;/R&gt;&lt;C&gt;1&lt;/C&gt;&lt;D xsi:type="xsd:double"&gt;34&lt;/D&gt;&lt;/FQL&gt;&lt;FQL&gt;&lt;Q&gt;Ticker0024^FE_ESTIMATE(SPEC_NO_CHANGE_2,MEAN,QUARTERLY_ROLL,2023/4F,45681,,,'')&lt;/Q&gt;&lt;R&gt;1&lt;/R&gt;&lt;C&gt;1&lt;/C&gt;&lt;D xsi:type="xsd:double"&gt;27&lt;/D&gt;&lt;/FQL&gt;&lt;FQL&gt;&lt;Q&gt;Ticker0024^FE_ESTIMATE(SPEC_NO_CHANGE_2,MEAN,QUARTERLY_ROLL,2023/3F,45681,,,'')&lt;/Q&gt;&lt;R&gt;1&lt;/R&gt;&lt;C&gt;1&lt;/C&gt;&lt;D xsi:type="xsd:double"&gt;31&lt;/D&gt;&lt;/FQL&gt;&lt;FQL&gt;&lt;Q&gt;Ticker0024^FE_ESTIMATE(SPEC_NO_CHANGE_2,MEAN,QUARTERLY_ROLL,2023/2F,45681,,,'')&lt;/Q&gt;&lt;R&gt;1&lt;/R&gt;&lt;C&gt;1&lt;/C&gt;&lt;D xsi:type="xsd:double"&gt;38&lt;/D&gt;&lt;/FQL&gt;&lt;FQL&gt;&lt;Q&gt;Ticker0024^FE_ESTIMATE(SPEC_NO_CHANGE_2,MEAN,QUARTERLY_ROLL,2023/1F,45681,,,'')&lt;/Q&gt;&lt;R&gt;1&lt;/R&gt;&lt;C&gt;1&lt;/C&gt;&lt;D xsi:type="xsd:double"&gt;42&lt;/D&gt;&lt;/FQL&gt;&lt;FQL&gt;&lt;Q&gt;Ticker0024^FE_ESTIMATE(SPEC_NO_CHANGE_2,MEAN,ANNUAL_ROLL,2022,45681,,,'')&lt;/Q&gt;&lt;R&gt;1&lt;/R&gt;&lt;C&gt;1&lt;/C&gt;&lt;D xsi:type="xsd:double"&gt;47.05&lt;/D&gt;&lt;/FQL&gt;&lt;FQL&gt;&lt;Q&gt;Ticker0024^FE_ESTIMATE(SPEC_NO_CHANGE_2,MEAN,QUARTERLY_ROLL,2022/4F,45681,,,'')&lt;/Q&gt;&lt;R&gt;1&lt;/R&gt;&lt;C&gt;1&lt;/C&gt;&lt;D xsi:type="xsd:double"&gt;46&lt;/D&gt;&lt;/FQL&gt;&lt;FQL&gt;&lt;Q&gt;Ticker0024^FE_ESTIMATE(SPEC_NO_CHANGE_2,MEAN,QUARTERLY_ROLL,2022/3F,45681,,,'')&lt;/Q&gt;&lt;R&gt;0&lt;/R&gt;&lt;C&gt;0&lt;/C&gt;&lt;/FQL&gt;&lt;FQL&gt;&lt;Q&gt;Ticker0024^FE_ESTIMATE(SPEC_NO_CHANGE_2,MEAN,QUARTERLY_ROLL,2022/2F,45681,,,'')&lt;/Q&gt;&lt;R&gt;0&lt;/R&gt;&lt;C&gt;0&lt;/C&gt;&lt;/FQL&gt;&lt;FQL&gt;&lt;Q&gt;Ticker0024^FE_ESTIMATE(SPEC_NO_CHANGE_2,MEAN,QUARTERLY_ROLL,2022/1F,45681,,,'')&lt;/Q&gt;&lt;R&gt;0&lt;/R&gt;&lt;C&gt;0&lt;/C&gt;&lt;/FQL&gt;&lt;FQL&gt;&lt;Q&gt;Ticker0024^FE_ESTIMATE(SPEC_NO_CHANGE_2,MEAN,ANNUAL_ROLL,2021,45681,,,'')&lt;/Q&gt;&lt;R&gt;0&lt;/R&gt;&lt;C&gt;0&lt;/C&gt;&lt;/FQL&gt;&lt;FQL&gt;&lt;Q&gt;Ticker0024^FE_ESTIMATE(SPEC_NO_CHANGE_2,MEAN,QUARTERLY_ROLL,2021/4F,45681,,,'')&lt;/Q&gt;&lt;R&gt;0&lt;/R&gt;&lt;C&gt;0&lt;/C&gt;&lt;/FQL&gt;&lt;FQL&gt;&lt;Q&gt;Ticker0024^FE_ESTIMATE(SPEC_NO_CHANGE_2,MEAN,QUARTERLY_ROLL,2021/3F,45681,,,'')&lt;/Q&gt;&lt;R&gt;1&lt;/R&gt;&lt;C&gt;1&lt;/C&gt;&lt;D xsi:type="xsd:double"&gt;46&lt;/D&gt;&lt;/FQL&gt;&lt;FQL&gt;&lt;Q&gt;Ticker0024^FE_ESTIMATE(SPEC_NO_CHANGE_2,MEAN,QUARTERLY_ROLL,2021/2F,45681,,,'')&lt;/Q&gt;&lt;R&gt;0&lt;/R&gt;&lt;C&gt;0&lt;/C&gt;&lt;/FQL&gt;&lt;FQL&gt;&lt;Q&gt;Ticker0024^FE_ESTIMATE(SPEC_NO_CHANGE_2,MEAN,QUARTERLY_ROLL,2021/1F,45681,,,'')&lt;/Q&gt;&lt;R&gt;0&lt;/R&gt;&lt;C&gt;0&lt;/C&gt;&lt;/FQL&gt;&lt;FQL&gt;&lt;Q&gt;Ticker0024^FE_ESTIMATE(SPEC_NO_CHANGE_2,MEAN,ANNUAL_ROLL,2020,45681,,,'')&lt;/Q&gt;&lt;R&gt;0&lt;/R&gt;&lt;C&gt;0&lt;/C&gt;&lt;/FQL&gt;&lt;FQL&gt;&lt;Q&gt;Ticker0024^FE_ESTIMATE(SPEC_NO_CHANGE_2,MEAN,QUARTERLY_ROLL,2020/4F,45681,,,'')&lt;/Q&gt;&lt;R&gt;0&lt;/R&gt;&lt;C&gt;0&lt;/C&gt;&lt;/FQL&gt;&lt;FQL&gt;&lt;Q&gt;Ticker0024^FE_ESTIMATE(SPEC_NO_CHANGE_2,MEAN,QUARTERLY_ROLL,2020/3F,45681,,,'')&lt;/Q&gt;&lt;R&gt;0&lt;/R&gt;&lt;C&gt;0&lt;/C&gt;&lt;/FQL&gt;&lt;FQL&gt;&lt;Q&gt;Ticker0024^FE_ESTIMATE(SPEC_NO_CHANGE_2,MEAN,QUARTERLY_ROLL,2020/2F,45681,,,'')&lt;/Q&gt;&lt;R&gt;0&lt;/R&gt;&lt;C&gt;0&lt;/C&gt;&lt;/FQL&gt;&lt;FQL&gt;&lt;Q&gt;Ticker0024^FE_ESTIMATE(SPEC_NO_CHANGE_2,MEAN,QUARTERLY_ROLL,2020/1F,45681,,,'')&lt;/Q&gt;&lt;R&gt;0&lt;/R&gt;&lt;C&gt;0&lt;/C&gt;&lt;/FQL&gt;&lt;FQL&gt;&lt;Q&gt;Ticker0024^FE_ESTIMATE(SPEC_NO_CHANGE_2,MEAN,ANNUAL_ROLL,2019,45681,,,'')&lt;/Q&gt;&lt;R&gt;0&lt;/R&gt;&lt;C&gt;0&lt;/C&gt;&lt;/FQL&gt;&lt;FQL&gt;&lt;Q&gt;Ticker0024^FE_ESTIMATE(SPEC_NO_CHANGE_2,MEAN,QUARTERLY_ROLL,2019/4F,45681,,,'')&lt;/Q&gt;&lt;R&gt;0&lt;/R&gt;&lt;C&gt;0&lt;/C&gt;&lt;/FQL&gt;&lt;FQL&gt;&lt;Q&gt;Ticker0024^FE_ESTIMATE(SPEC_NO_CHANGE_2,MEAN,QUARTERLY_ROLL,2019/3F,45681,,,'')&lt;/Q&gt;&lt;R&gt;0&lt;/R&gt;&lt;C&gt;0&lt;/C&gt;&lt;/FQL&gt;&lt;FQL&gt;&lt;Q&gt;Ticker0024^FE_ESTIMATE(SPEC_NO_CHANGE_2,MEAN,QUARTERLY_ROLL,2019/2F,45681,,,'')&lt;/Q&gt;&lt;R&gt;0&lt;/R&gt;&lt;C&gt;0&lt;/C&gt;&lt;/FQL&gt;&lt;FQL&gt;&lt;Q&gt;Ticker0024^FE_ESTIMATE(SPEC_NO_CHANGE_2,MEAN,QUARTERLY_ROLL,2019/1F,45681,,,'')&lt;/Q&gt;&lt;R&gt;0&lt;/R&gt;&lt;C&gt;0&lt;/C&gt;&lt;/FQL&gt;&lt;FQL&gt;&lt;Q&gt;Ticker0024^FE_ESTIMATE(SPEC_NO_CHANGE_2,MEAN,ANNUAL_ROLL,2018,45681,,,'')&lt;/Q&gt;&lt;R&gt;0&lt;/R&gt;&lt;C&gt;0&lt;/C&gt;&lt;/FQL&gt;&lt;FQL&gt;&lt;Q&gt;Ticker0024^FE_ESTIMATE(SPEC_NO_CHANGE_2,MEAN,QUARTERLY_ROLL,2018/4F,45681,,,'')&lt;/Q&gt;&lt;R&gt;0&lt;/R&gt;&lt;C&gt;0&lt;/C&gt;&lt;/FQL&gt;&lt;FQL&gt;&lt;Q&gt;Ticker0024^FE_ESTIMATE(SPEC_NO_CHANGE_2,MEAN,QUARTERLY_ROLL,2018/3F,45681,,,'')&lt;/Q&gt;&lt;R&gt;0&lt;/R&gt;&lt;C&gt;0&lt;/C&gt;&lt;/FQL&gt;&lt;FQL&gt;&lt;Q&gt;Ticker0024^FE_ESTIMATE(SPEC_NO_CHANGE_2,MEAN,QUARTERLY_ROLL,2018/2F,45681,,,'')&lt;/Q&gt;&lt;R&gt;0&lt;/R&gt;&lt;C&gt;0&lt;/C&gt;&lt;/FQL&gt;&lt;FQL&gt;&lt;Q&gt;Ticker0024^FE_ESTIMATE(SPEC_NO_CHANGE_2,MEAN,QUARTERLY_ROLL,2018/1F,45681,,,'')&lt;/Q&gt;&lt;R&gt;0&lt;/R&gt;&lt;C&gt;0&lt;/C&gt;&lt;/FQL&gt;&lt;FQL&gt;&lt;Q&gt;Ticker0024^FE_ESTIMATE(SPEC_NO_CHANGE_2,MEAN,ANNUAL_ROLL,2017,45681,,,'')&lt;/Q&gt;&lt;R&gt;0&lt;/R&gt;&lt;C&gt;0&lt;/C&gt;&lt;/FQL&gt;&lt;FQL&gt;&lt;Q&gt;Ticker0024^FE_ESTIMATE(SPEC_NO_CHANGE_2,MEAN,QUARTERLY_ROLL,2017/4F,45681,,,'')&lt;/Q&gt;&lt;R&gt;0&lt;/R&gt;&lt;C&gt;0&lt;/C&gt;&lt;/FQL&gt;&lt;FQL&gt;&lt;Q&gt;Ticker0024^FE_ESTIMATE(SPEC_NO_CHANGE_2,MEAN,QUARTERLY_ROLL,2017/3F,45681,,,'')&lt;/Q&gt;&lt;R&gt;0&lt;/R&gt;&lt;C&gt;0&lt;/C&gt;&lt;/FQL&gt;&lt;FQL&gt;&lt;Q&gt;Ticker0024^FE_ESTIMATE(SPEC_NO_CHANGE_2,MEAN,QUARTERLY_ROLL,2017/2F,45681,,,'')&lt;/Q&gt;&lt;R&gt;0&lt;/R&gt;&lt;C&gt;0&lt;/C&gt;&lt;/FQL&gt;&lt;FQL&gt;&lt;Q&gt;Ticker0024^FE_ESTIMATE(SPEC_NO_CHANGE_2,MEAN,QUARTERLY_ROLL,2017/1F,45681,,,'')&lt;/Q&gt;&lt;R&gt;0&lt;/R&gt;&lt;C&gt;0&lt;/C&gt;&lt;/FQL&gt;&lt;FQL&gt;&lt;Q&gt;Ticker0024^FE_ESTIMATE(SPEC_NO_CHANGE_2,MEAN,ANNUAL_ROLL,2016,45681,,,'')&lt;/Q&gt;&lt;R&gt;0&lt;/R&gt;&lt;C&gt;0&lt;/C&gt;&lt;/FQL&gt;&lt;FQL&gt;&lt;Q&gt;Ticker0024^FE_ESTIMATE(SPEC_NO_CHANGE_2,MEAN,QUARTERLY_ROLL,2016/4F,45681,,,'')&lt;/Q&gt;&lt;R&gt;0&lt;/R&gt;&lt;C&gt;0&lt;/C&gt;&lt;/FQL&gt;&lt;FQL&gt;&lt;Q&gt;Ticker0024^FE_ESTIMATE(SPEC_NO_CHANGE_2,MEAN,QUARTERLY_ROLL,2016/3F,45681,,,'')&lt;/Q&gt;&lt;R&gt;0&lt;/R&gt;&lt;C&gt;0&lt;/C&gt;&lt;/FQL&gt;&lt;FQL&gt;&lt;Q&gt;Ticker0024^FE_ESTIMATE(SPEC_NO_CHANGE_2,MEAN,QUARTERLY_ROLL,2016/2F,45681,,,'')&lt;/Q&gt;&lt;R&gt;0&lt;/R&gt;&lt;C&gt;0&lt;/C&gt;&lt;/FQL&gt;&lt;FQL&gt;&lt;Q&gt;Ticker0024^FE_ESTIMATE(SPEC_NO_CHANGE_2,MEAN,QUARTERLY_ROLL,2016/1F,45681,,,'')&lt;/Q&gt;&lt;R&gt;0&lt;/R&gt;&lt;C&gt;0&lt;/C&gt;&lt;/FQL&gt;&lt;FQL&gt;&lt;Q&gt;Ticker0024^FE_ESTIMATE(SPEC_NO_CHANGE_2,MEAN,ANNUAL_ROLL,2015,45681,,,'')&lt;/Q&gt;&lt;R&gt;0&lt;/R&gt;&lt;C&gt;0&lt;/C&gt;&lt;/FQL&gt;&lt;FQL&gt;&lt;Q&gt;Ticker0024^FE_ESTIMATE(SPEC_NO_CHANGE_2,MEAN,QUARTERLY_ROLL,2015/4F,45681,,,'')&lt;/Q&gt;&lt;R&gt;0&lt;/R&gt;&lt;C&gt;0&lt;/C&gt;&lt;/FQL&gt;&lt;FQL&gt;&lt;Q&gt;Ticker0024^FE_ESTIMATE(SPEC_NO_CHANGE_2,MEAN,QUARTERLY_ROLL,2015/3F,45681,,,'')&lt;/Q&gt;&lt;R&gt;0&lt;/R&gt;&lt;C&gt;0&lt;/C&gt;&lt;/FQL&gt;&lt;FQL&gt;&lt;Q&gt;Ticker0024^FE_ESTIMATE(SPEC_NO_CHANGE_2,MEAN,QUARTERLY_ROLL,2015/2F,45681,,,'')&lt;/Q&gt;&lt;R&gt;0&lt;/R&gt;&lt;C&gt;0&lt;/C&gt;&lt;/FQL&gt;&lt;FQL&gt;&lt;Q&gt;Ticker0024^FE_ESTIMATE(SPEC_NO_CHANGE_2,MEAN,QUARTERLY_ROLL,2015/1F,45681,,,'')&lt;/Q&gt;&lt;R&gt;0&lt;/R&gt;&lt;C&gt;0&lt;/C&gt;&lt;/FQL&gt;&lt;FQL&gt;&lt;Q&gt;Ticker0024^FE_ESTIMATE(SPEC_NO_CHANGE_1,MEAN,ANNUAL_ROLL,2030,45681,,,'')&lt;/Q&gt;&lt;R&gt;0&lt;/R&gt;&lt;C&gt;0&lt;/C&gt;&lt;/FQL&gt;&lt;FQL&gt;&lt;Q&gt;Ticker0024^FE_ESTIMATE(SPEC_NO_CHANGE_1,MEAN,QUARTERLY_ROLL,2030/4F,45681,,,'')&lt;/Q&gt;&lt;R&gt;0&lt;/R&gt;&lt;C&gt;0&lt;/C&gt;&lt;/FQL&gt;&lt;FQL&gt;&lt;Q&gt;Ticker0024^FE_ESTIMATE(SPEC_NO_CHANGE_1,MEAN,QUARTERLY_ROLL,2030/3F,45681,,,'')&lt;/Q&gt;&lt;R&gt;0&lt;/R&gt;&lt;C&gt;0&lt;/C&gt;&lt;/FQL&gt;&lt;FQL&gt;&lt;Q&gt;Ticker0024^FE_ESTIMATE(SPEC_NO_CHANGE_1,MEAN,QUARTERLY_ROLL,2030/2F,45681,,,'')&lt;/Q&gt;&lt;R&gt;0&lt;/R&gt;&lt;C&gt;0&lt;/C&gt;&lt;/FQL&gt;&lt;FQL&gt;&lt;Q&gt;Ticker0024^FE_ESTIMATE(SPEC_NO_CHANGE_1,MEAN,QUARTERLY_ROLL,2030/1F,45681,,,'')&lt;/Q&gt;&lt;R&gt;0&lt;/R&gt;&lt;C&gt;0&lt;/C&gt;&lt;/FQL&gt;&lt;FQL&gt;&lt;Q&gt;Ticker0024^FE_ESTIMATE(SPEC_NO_CHANGE_1,MEAN,ANNUAL_ROLL,2029,45681,,,'')&lt;/Q&gt;&lt;R&gt;0&lt;/R&gt;&lt;C&gt;0&lt;/C&gt;&lt;/FQL&gt;&lt;FQL&gt;&lt;Q&gt;Ticker0024^FE_ESTIMATE(SPEC_NO_CHANGE_1,MEAN,QUARTERLY_ROLL,2029/4F,45681,,,'')&lt;/Q&gt;&lt;R&gt;0&lt;/R&gt;&lt;C&gt;0&lt;/C&gt;&lt;/FQL&gt;&lt;FQL&gt;&lt;Q&gt;Ticker0024^FE_ESTIMATE(SPEC_NO_CHANGE_1,MEAN,QUARTERLY_ROLL,2029/3F,45681,,,'')&lt;/Q&gt;&lt;R&gt;0&lt;/R&gt;&lt;C&gt;0&lt;/C&gt;&lt;/FQL&gt;&lt;FQL&gt;&lt;Q&gt;Ticker0024^FE_ESTIMATE(SPEC_NO_CHANGE_1,MEAN,QUARTERLY_ROLL,2029/2F,45681,,,'')&lt;/Q&gt;&lt;R&gt;0&lt;/R&gt;&lt;C&gt;0&lt;/C&gt;&lt;/FQL&gt;&lt;FQL&gt;&lt;Q&gt;Ticker0024^FE_ESTIMATE(SPEC_NO_CHANGE_1,MEAN,QUARTERLY_ROLL,2029/1F,45681,,,'')&lt;/Q&gt;&lt;R&gt;0&lt;/R&gt;&lt;C&gt;0&lt;/C&gt;&lt;/FQL&gt;&lt;FQL&gt;&lt;Q&gt;Ticker0024^FE_ESTIMATE(SPEC_NO_CHANGE_1,MEAN,ANNUAL_ROLL,2028,45681,,,'')&lt;/Q&gt;&lt;R&gt;0&lt;/R&gt;&lt;C&gt;0&lt;/C&gt;&lt;/FQL&gt;&lt;FQL&gt;&lt;Q&gt;Ticker0024^FE_ESTIMATE(SPEC_NO_CHANGE_1,MEAN,QUARTERLY_ROLL,2028/4F,45681,,,'')&lt;/Q&gt;&lt;R&gt;0&lt;/R&gt;&lt;C&gt;0&lt;/C&gt;&lt;/FQL&gt;&lt;FQL&gt;&lt;Q&gt;Ticker0024^FE_ESTIMATE(SPEC_NO_CHANGE_1,MEAN,QUARTERLY_ROLL,2028/3F,45681,,,'')&lt;/Q&gt;&lt;R&gt;0&lt;/R&gt;&lt;C&gt;0&lt;/C&gt;&lt;/FQL&gt;&lt;FQL&gt;&lt;Q&gt;Ticker0024^FE_ESTIMATE(SPEC_NO_CHANGE_1,MEAN,QUARTERLY_ROLL,2028/2F,45681,,,'')&lt;/Q&gt;&lt;R&gt;0&lt;/R&gt;&lt;C&gt;0&lt;/C&gt;&lt;/FQL&gt;&lt;FQL&gt;&lt;Q&gt;Ticker0024^FE_ESTIMATE(SPEC_NO_CHANGE_1,MEAN,QUARTERLY_ROLL,2028/1F,45681,,,'')&lt;/Q&gt;&lt;R&gt;0&lt;/R&gt;&lt;C&gt;0&lt;/C&gt;&lt;/FQL&gt;&lt;FQL&gt;&lt;Q&gt;Ticker0024^FE_ESTIMATE(SPEC_NO_CHANGE_1,MEAN,ANNUAL_ROLL,2027,45681,,,'')&lt;/Q&gt;&lt;R&gt;1&lt;/R&gt;&lt;C&gt;1&lt;/C&gt;&lt;D xsi:type="xsd:double"&gt;27.9&lt;/D&gt;&lt;/FQL&gt;&lt;FQL&gt;&lt;Q&gt;Ticker0024^FE_ESTIMATE(SPEC_NO_CHANGE_1,MEAN,QUARTERLY_ROLL,2027/4F,45681,,,'')&lt;/Q&gt;&lt;R&gt;0&lt;/R&gt;&lt;C&gt;0&lt;/C&gt;&lt;/FQL&gt;&lt;FQL&gt;&lt;Q&gt;Ticker0024^FE_ESTIMATE(SPEC_NO_CHANGE_1,MEAN,QUARTERLY_ROLL,2027/3F,45681,,,'')&lt;/Q&gt;&lt;R&gt;0&lt;/R&gt;&lt;C&gt;0&lt;/C&gt;&lt;/FQL&gt;&lt;FQL&gt;&lt;Q&gt;Ticker0024^FE_ESTIMATE(SPEC_NO_CHANGE_1,MEAN,QUARTERLY_ROLL,2027/2F,45681,,,'')&lt;/Q&gt;&lt;R&gt;0&lt;/R&gt;&lt;C&gt;0&lt;/C&gt;&lt;/FQL&gt;&lt;FQL&gt;&lt;Q&gt;Ticker0024^FE_ESTIMATE(SPEC_NO_CHANGE_1,MEAN,QUARTERLY_ROLL,2027/1F,45681,,,'')&lt;/Q&gt;&lt;R&gt;0&lt;/R&gt;&lt;C&gt;0&lt;/C&gt;&lt;/FQL&gt;&lt;FQL&gt;&lt;Q&gt;Ticker0024^FE_ESTIMATE(SPEC_NO_CHANGE_1,MEAN,ANNUAL_ROLL,2026,45681,,,'')&lt;/Q&gt;&lt;R&gt;1&lt;/R&gt;&lt;C&gt;1&lt;/C&gt;&lt;D xsi:type="xsd:double"&gt;30.233334&lt;/D&gt;&lt;/FQL&gt;&lt;FQL&gt;&lt;Q&gt;Ticker0024^FE_ESTIMATE(SPEC_NO_CHANGE_1,MEAN,QUARTERLY_ROLL,2026/4F,45681,,,'')&lt;/Q&gt;&lt;R&gt;1&lt;/R&gt;&lt;C&gt;1&lt;/C&gt;&lt;D xsi:type="xsd:double"&gt;31&lt;/D&gt;&lt;/FQL&gt;&lt;FQL&gt;&lt;Q&gt;Ticker0024^FE_ESTIMATE(SPEC_NO_CHANGE_1,MEAN,QUARTERLY_ROLL,2026/3F,45681,,,'')&lt;/Q&gt;&lt;R&gt;1&lt;/R&gt;&lt;C&gt;1&lt;/C&gt;&lt;D xsi:type="xsd:double"&gt;30&lt;/D&gt;&lt;/FQL&gt;&lt;FQL&gt;&lt;Q&gt;Ticker0024^FE_ESTIMATE(SPEC_NO_CHANGE_1,MEAN,QUARTERLY_ROLL,2026/2F,45681,,,'')&lt;/Q&gt;&lt;R&gt;1&lt;/R&gt;&lt;C&gt;1&lt;/C&gt;&lt;D xsi:type="xsd:double"&gt;30&lt;/D&gt;&lt;/FQL&gt;&lt;FQL&gt;&lt;Q&gt;Ticker0024^FE_ESTIMATE(SPEC_NO_CHANGE_1,MEAN,QUARTERLY_ROLL,2026/1F,45681,,,'')&lt;/Q&gt;&lt;R&gt;1&lt;/R&gt;&lt;C&gt;1&lt;/C&gt;&lt;D xsi:type="xsd:double"&gt;31&lt;/D&gt;&lt;/FQL&gt;&lt;FQL&gt;&lt;Q&gt;Ticker0024^FE_ESTIMATE(SPEC_NO_CHANGE_1,MEAN,ANNUAL_ROLL,2025,45681,,,'')&lt;/Q&gt;&lt;R&gt;1&lt;/R&gt;&lt;C&gt;1&lt;/C&gt;&lt;D xsi:type="xsd:double"&gt;31.075&lt;/D&gt;&lt;/FQL&gt;&lt;FQL&gt;&lt;Q&gt;Ticker0024^FE_ESTIMATE(SPEC_NO_CHANGE_1,MEAN,QUARTERLY_ROLL,2025/4F,45681,,,'')&lt;/Q&gt;&lt;R&gt;1&lt;/R&gt;&lt;C&gt;1&lt;/C&gt;&lt;D xsi:type="xsd:double"&gt;32.333332&lt;/D&gt;&lt;/FQL&gt;&lt;FQL&gt;&lt;Q&gt;Ticker0024^FE_ESTIMATE(SPEC_NO_CHANGE_1,MEAN,QUARTERLY_ROLL,2025/3F,45681,,,'')&lt;/Q&gt;&lt;R&gt;1&lt;/R&gt;&lt;C&gt;1&lt;/C&gt;&lt;D xsi:type="xsd:double"&gt;31.7&lt;/D&gt;&lt;/FQL&gt;&lt;FQL&gt;&lt;Q&gt;Ticker0024^FE_ESTIMATE(SPEC_NO_CHANGE_1,MEAN,QUARTERLY_ROLL,2025/2F,45681,,,'')&lt;/Q&gt;&lt;R&gt;1&lt;/R&gt;&lt;C&gt;1&lt;/C&gt;&lt;D xsi:type="xsd:double"&gt;30.225&lt;/D&gt;&lt;/FQL&gt;&lt;FQL&gt;&lt;Q&gt;Ticker0024^FE_ESTIMATE(SPEC_NO_CHANGE_1,MEAN,QUARTERLY_ROLL,2025/1F,45681,,,'')&lt;/Q&gt;&lt;R&gt;1&lt;/R&gt;&lt;C&gt;1&lt;/C&gt;&lt;D xsi:type="xsd:double"&gt;31.05&lt;/D&gt;&lt;/FQL&gt;&lt;FQL&gt;&lt;Q&gt;Ticker0024^FE_ESTIMATE(SPEC_NO_CHANGE_1,MEAN,ANNUAL_ROLL,2024,45681,,,'')&lt;/Q&gt;&lt;R&gt;1&lt;/R&gt;&lt;C&gt;1&lt;/C&gt;&lt;D xsi:type="xsd:double"&gt;29.966667&lt;/D&gt;&lt;/FQL&gt;&lt;FQL&gt;&lt;Q&gt;Ticker0024^FE_ESTIMATE(SPEC_NO_CHANGE_1,MEAN,QUARTERLY_ROLL,2024/4F,45681,,,'')&lt;/Q&gt;&lt;R&gt;1&lt;/R&gt;&lt;C&gt;1&lt;/C&gt;&lt;D xsi:type="xsd:double"&gt;28.933332&lt;/D&gt;&lt;/FQL&gt;&lt;FQL&gt;&lt;Q&gt;Ticker0024^FE_ESTIMATE(SPEC_NO_CHANGE_1,MEAN,QUARTERLY_ROLL,2024/3F,45681,,,'')&lt;/Q&gt;&lt;R&gt;1&lt;/R&gt;&lt;C&gt;1&lt;/C&gt;&lt;D xsi:type="xsd:double"&gt;31.02&lt;/D&gt;&lt;/FQL&gt;&lt;FQL&gt;&lt;Q&gt;Ticker0024^FE_ESTIMATE(SPEC_NO_CHANGE_1,MEAN,QUARTERLY_ROLL,2024/2F,45681,,,'')&lt;/Q&gt;&lt;R&gt;1&lt;/R&gt;&lt;C&gt;1&lt;/C&gt;&lt;D xsi:type="xsd:double"&gt;30.06&lt;/D&gt;&lt;/FQL&gt;&lt;FQL&gt;&lt;Q&gt;Ticker0024^FE_ESTIMATE(SPEC_NO_CHANGE_1,MEAN,QUARTERLY_ROLL,2024/1F,45681,,,'')&lt;/Q&gt;&lt;R&gt;1&lt;/R&gt;&lt;C&gt;1&lt;/C&gt;&lt;D xsi:type="xsd:double"&gt;29.066668&lt;/D&gt;&lt;/FQL&gt;&lt;FQL&gt;&lt;Q&gt;Ticker0024^FE_ESTIMATE(SPEC_NO_CHANGE_1,MEAN,ANNUAL_ROLL,2023,45681,,,'')&lt;/Q&gt;&lt;R&gt;1&lt;/R&gt;&lt;C&gt;1&lt;/C&gt;&lt;D xsi:type="xsd:double"&gt;29.166666&lt;/D&gt;&lt;/FQL&gt;&lt;FQL&gt;&lt;Q&gt;Ticker0024^FE_ESTIMATE(SPEC_NO_CHANGE_1,MEAN,QUARTERLY_ROLL,2023/4F,45681,,,'')&lt;/Q&gt;&lt;R&gt;1&lt;/R&gt;&lt;C&gt;1&lt;/C&gt;&lt;D xsi:type="xsd:double"&gt;25.916666&lt;/D&gt;&lt;/FQL&gt;&lt;FQL&gt;&lt;Q&gt;Ticker0024^FE_ESTIMATE(SPEC_NO_CHANGE_1,MEAN,QUARTERLY_ROLL,2023/3F,45681,,,'')&lt;/Q&gt;&lt;R&gt;1&lt;/R&gt;&lt;C&gt;1&lt;/C&gt;&lt;D xsi:type="xsd:double"&gt;27.766666&lt;/D&gt;&lt;/FQL&gt;&lt;FQL&gt;&lt;Q&gt;Ticker0024^FE_ESTIMATE(SPEC_NO_CHANGE_1,MEAN,QUARTERLY_ROLL,2023/2F,45681,,,'')&lt;/Q&gt;&lt;R&gt;1&lt;/R&gt;&lt;C&gt;1&lt;/C&gt;&lt;D xsi:type="xsd:double"&gt;31&lt;/D&gt;&lt;/FQL&gt;&lt;FQL&gt;&lt;Q&gt;Ticker0024^FE_ESTIMATE(SPEC_NO_CHANGE_1,MEAN,QUARTERLY_ROLL,2023/1F,45681,,,'')&lt;/Q&gt;&lt;R&gt;1&lt;/R&gt;&lt;C&gt;1&lt;/C&gt;&lt;D xsi:type="xsd:double"&gt;35&lt;/D&gt;&lt;/FQL&gt;&lt;FQL&gt;&lt;Q&gt;Ticker0024^FE_ESTIMATE(SPEC_NO_CHANGE_1,MEAN,ANNUAL_ROLL,2022,45681,,,'')&lt;/Q&gt;&lt;R&gt;1&lt;/R&gt;&lt;C&gt;1&lt;/C&gt;&lt;D xsi:type="xsd:double"&gt;45.05&lt;/D&gt;&lt;/FQL&gt;&lt;FQL&gt;&lt;Q&gt;Ticker0024^FE_ESTIMATE(SPEC_NO_CHANGE_1,MEAN,QUARTERLY_ROLL,2022/4F,45681,,,'')&lt;/Q&gt;&lt;R&gt;1&lt;/R&gt;&lt;C&gt;1&lt;/C&gt;&lt;D xsi:type="xsd:double"&gt;40&lt;/D&gt;&lt;/FQL&gt;&lt;FQL&gt;&lt;Q&gt;Ticker0024^FE_ESTIMATE(SPEC_NO_CHANGE_1,MEAN,QUARTERLY_ROLL,2022/3F,45681,,,'')&lt;/Q&gt;&lt;R&gt;1&lt;/R&gt;&lt;C&gt;1&lt;/C&gt;&lt;D xsi:type="xsd:double"&gt;46&lt;/D&gt;&lt;/FQL&gt;&lt;FQL&gt;&lt;Q&gt;Ticker0024^FE_ESTIMATE(SPEC_NO_CHANGE_1,MEAN,QUARTERLY_ROLL,2022/2F,45681,,,'')&lt;/Q&gt;&lt;R&gt;1&lt;/R&gt;&lt;C&gt;1&lt;/C&gt;&lt;D xsi:type="xsd:double"&gt;46&lt;/D&gt;&lt;/FQL&gt;&lt;FQL&gt;&lt;Q&gt;Ticker0024^FE_ESTIMATE(SPEC_NO_CHANGE_1,MEAN,QUARTERLY_ROLL,2022/1F,45681,,,'')&lt;/Q&gt;&lt;R&gt;1&lt;/R&gt;&lt;C&gt;1&lt;/C&gt;&lt;D xsi:type="xsd:double"&gt;50&lt;/D&gt;&lt;/FQL&gt;&lt;FQL&gt;&lt;Q&gt;Ticker0024^FE_ESTIMATE(SPEC_NO_CHANGE_1,MEAN,ANNUAL_ROLL,2021,45681,,,'')&lt;/Q&gt;&lt;R&gt;1&lt;/R&gt;&lt;C&gt;1&lt;/C&gt;&lt;D xsi:type="xsd:double"&gt;49.8&lt;/D&gt;&lt;/FQL&gt;&lt;FQL&gt;&lt;Q&gt;Ticker0024^FE_ESTIMATE(SPEC_NO_CHANGE_1,MEAN,QUARTERLY_ROLL,2021/4F,45681,,,'')&lt;/Q&gt;&lt;R&gt;1&lt;/R&gt;&lt;C&gt;1&lt;/C&gt;&lt;D xsi:type="xsd:double"&gt;51&lt;/D&gt;&lt;/FQL&gt;&lt;FQL&gt;&lt;Q&gt;Ticker0024^FE_ESTIMATE(SPEC_NO_CHANGE_1,MEAN,QUARTERLY_ROLL,2021/3F,45681,,,'')&lt;/Q&gt;&lt;R&gt;1&lt;/R&gt;&lt;C&gt;1&lt;/C&gt;&lt;D xsi:type="xsd:double"&gt;50&lt;/D&gt;&lt;/FQL&gt;&lt;FQL&gt;&lt;Q&gt;Ticker0024^FE_ESTIMATE(SPEC_NO_CHANGE_1,MEAN,QUARTERLY_ROLL,2021/2F,45681,,,'')&lt;/Q&gt;&lt;R&gt;1&lt;/R&gt;&lt;C&gt;1&lt;/C&gt;&lt;D xsi:type="xsd:double"&gt;50&lt;/D&gt;&lt;/FQL&gt;&lt;FQL&gt;&lt;Q&gt;Ticker0024^FE_ESTIMATE(SPEC_NO_CHANGE_1,MEAN,QUARTERLY_ROLL,2021/1F,45681,,,'')&lt;/Q&gt;&lt;R&gt;1&lt;/R&gt;&lt;C&gt;1&lt;/C&gt;&lt;D xsi:type="xsd:double"&gt;48&lt;/D&gt;&lt;/FQL&gt;&lt;FQL&gt;&lt;Q&gt;Ticker0024^FE_ESTIMATE(SPEC_NO_CHANGE_1,MEAN,ANNUAL_ROLL,2020,45681,,,'')&lt;/Q&gt;&lt;R&gt;0&lt;/R&gt;&lt;C&gt;0&lt;/C&gt;&lt;/FQL&gt;&lt;FQL&gt;&lt;Q&gt;Ticker0024^FE_ESTIMATE(SPEC_NO_CHANGE_1,MEAN,QUARTERLY_ROLL,2020/4F,45681,,,'')&lt;/Q&gt;&lt;R&gt;0&lt;/R&gt;&lt;C&gt;0&lt;/C&gt;&lt;/FQL&gt;&lt;FQL&gt;&lt;Q&gt;Ticker0024^FE_ESTIMATE(SPEC_NO_CHANGE_1,MEAN,QUARTERLY_ROLL,2020/3F,45681,,,'')&lt;/Q&gt;&lt;R&gt;0&lt;/R&gt;&lt;C&gt;0&lt;/C&gt;&lt;/FQL&gt;&lt;FQL&gt;&lt;Q&gt;Ticker0024^FE_ESTIMATE(SPEC_NO_CHANGE_1,MEAN,QUARTERLY_ROLL,2020/2F,45681,,,'')&lt;/Q&gt;&lt;R&gt;0&lt;/R&gt;&lt;C&gt;0&lt;/C&gt;&lt;/FQL&gt;&lt;FQL&gt;&lt;Q&gt;Ticker0024^FE_ESTIMATE(SPEC_NO_CHANGE_1,MEAN,QUARTERLY_ROLL,2020/1F,45681,,,'')&lt;/Q&gt;&lt;R&gt;0&lt;/R&gt;&lt;C&gt;0&lt;/C&gt;&lt;/FQL&gt;&lt;FQL&gt;&lt;Q&gt;Ticker0024^FE_ESTIMATE(SPEC_NO_CHANGE_1,MEAN,ANNUAL_ROLL,2019,45681,,,'')&lt;/Q&gt;&lt;R&gt;0&lt;/R&gt;&lt;C&gt;0&lt;/C&gt;&lt;/FQL&gt;&lt;FQL&gt;&lt;Q&gt;Ticker0024^FE_ESTIMATE(SPEC_NO_CHANGE_1,MEAN,QUARTERLY_ROLL,2019/4F,45681,,,'')&lt;/Q&gt;&lt;R&gt;0&lt;/R&gt;&lt;C&gt;0&lt;/C&gt;&lt;/FQL&gt;&lt;FQL&gt;&lt;Q&gt;Ticker0024^FE_ESTIMATE(SPEC_NO_CHANGE_1,MEAN,QUARTERLY_ROLL,2019/3F,45681,,,'')&lt;/Q&gt;&lt;R&gt;0&lt;/R&gt;&lt;C&gt;0&lt;/C&gt;&lt;/FQL&gt;&lt;FQL&gt;&lt;Q&gt;Ticker0024^FE_ESTIMATE(SPEC_NO_CHANGE_1,MEAN,QUARTERLY_ROLL,2019/2F,45681,,,'')&lt;/Q&gt;&lt;R&gt;0&lt;/R&gt;&lt;C&gt;0&lt;/C&gt;&lt;/FQL&gt;&lt;FQL&gt;&lt;Q&gt;Ticker0024^FE_ESTIMATE(SPEC_NO_CHANGE_1,MEAN,QUARTERLY_ROLL,2019/1F,45681,,,'')&lt;/Q&gt;&lt;R&gt;0&lt;/R&gt;&lt;C&gt;0&lt;/C&gt;&lt;/FQL&gt;&lt;FQL&gt;&lt;Q&gt;Ticker0024^FE_ESTIMATE(SPEC_NO_CHANGE_1,MEAN,ANNUAL_ROLL,2018,45681,,,'')&lt;/Q&gt;&lt;R&gt;0&lt;/R&gt;&lt;C&gt;0&lt;/C&gt;&lt;/FQL&gt;&lt;FQL&gt;&lt;Q&gt;Ticker0024^FE_ESTIMATE(SPEC_NO_CHANGE_1,MEAN,QUARTERLY_ROLL,2018/4F,45681,,,'')&lt;/Q&gt;&lt;R&gt;0&lt;/R&gt;&lt;C&gt;0&lt;/C&gt;&lt;/FQL&gt;&lt;FQL&gt;&lt;Q&gt;Ticker0024^FE_ESTIMATE(SPEC_NO_CHANGE_1,MEAN,QUARTERLY_ROLL,2018/3F,45681,,,'')&lt;/Q&gt;&lt;R&gt;0&lt;/R&gt;&lt;C&gt;0&lt;/C&gt;&lt;/FQL&gt;&lt;FQL&gt;&lt;Q&gt;Ticker0024^FE_ESTIMATE(SPEC_NO_CHANGE_1,MEAN,QUARTERLY_ROLL,2018/2F,45681,,,'')&lt;/Q&gt;&lt;R&gt;0&lt;/R&gt;&lt;C&gt;0&lt;/C&gt;&lt;/FQL&gt;&lt;FQL&gt;&lt;Q&gt;Ticker0024^FE_ESTIMATE(SPEC_NO_CHANGE_1,MEAN,QUARTERLY_ROLL,2018/1F,45681,,,'')&lt;/Q&gt;&lt;R&gt;0&lt;/R&gt;&lt;C&gt;0&lt;/C&gt;&lt;/FQL&gt;&lt;FQL&gt;&lt;Q&gt;Ticker0024^FE_ESTIMATE(SPEC_NO_CHANGE_1,MEAN,ANNUAL_ROLL,2017,45681,,,'')&lt;/Q&gt;&lt;R&gt;0&lt;/R&gt;&lt;C&gt;0&lt;/C&gt;&lt;/FQL&gt;&lt;FQL&gt;&lt;Q&gt;Ticker0024^FE_ESTIMATE(SPEC_NO_CHANGE_1,MEAN,QUARTERLY_ROLL,2017/4F,45681,,,'')&lt;/Q&gt;&lt;R&gt;0&lt;/R&gt;&lt;C&gt;0&lt;/C&gt;&lt;/FQL&gt;&lt;FQL&gt;&lt;Q&gt;Ticker0024^FE_ESTIMATE(SPEC_NO_CHANGE_1,MEAN,QUARTERLY_ROLL,2017/3F,45681,,,'')&lt;/Q&gt;&lt;R&gt;0&lt;/R&gt;&lt;C&gt;0&lt;/C&gt;&lt;/FQL&gt;&lt;FQL&gt;&lt;Q&gt;Ticker0024^FE_ESTIMATE(SPEC_NO_CHANGE_1,MEAN,QUARTERLY_ROLL,2017/2F,45681,,,'')&lt;/Q&gt;&lt;R&gt;0&lt;/R&gt;&lt;C&gt;0&lt;/C&gt;&lt;/FQL&gt;&lt;FQL&gt;&lt;Q&gt;Ticker0024^FE_ESTIMATE(SPEC_NO_CHANGE_1,MEAN,QUARTERLY_ROLL,2017/1F,45681,,,'')&lt;/Q&gt;&lt;R&gt;0&lt;/R&gt;&lt;C&gt;0&lt;/C&gt;&lt;/FQL&gt;&lt;FQL&gt;&lt;Q&gt;Ticker0024^FE_ESTIMATE(SPEC_NO_CHANGE_1,MEAN,ANNUAL_ROLL,2016,45681,,,'')&lt;/Q&gt;&lt;R&gt;0&lt;/R&gt;&lt;C&gt;0&lt;/C&gt;&lt;/FQL&gt;&lt;FQL&gt;&lt;Q&gt;Ticker0024^FE_ESTIMATE(SPEC_NO_CHANGE_1,MEAN,QUARTERLY_ROLL,2016/4F,45681,,,'')&lt;/Q&gt;&lt;R&gt;0&lt;/R&gt;&lt;C&gt;0&lt;/C&gt;&lt;/FQL&gt;&lt;FQL&gt;&lt;Q&gt;Ticker0024^FE_ESTIMATE(SPEC_NO_CHANGE_1,MEAN,QUARTERLY_ROLL,2016/3F,45681,,,'')&lt;/Q&gt;&lt;R&gt;0&lt;/R&gt;&lt;C&gt;0&lt;/C&gt;&lt;/FQL&gt;&lt;FQL&gt;&lt;Q&gt;Ticker0024^FE_ESTIMATE(SPEC_NO_CHANGE_1,MEAN,QUARTERLY_ROLL,2016/2F,45681,,,'')&lt;/Q&gt;&lt;R&gt;0&lt;/R&gt;&lt;C&gt;0&lt;/C&gt;&lt;/FQL&gt;&lt;FQL&gt;&lt;Q&gt;Ticker0024^FE_ESTIMATE(SPEC_NO_CHANGE_1,MEAN,QUARTERLY_ROLL,2016/1F,45681,,,'')&lt;/Q&gt;&lt;R&gt;0&lt;/R&gt;&lt;C&gt;0&lt;/C&gt;&lt;/FQL&gt;&lt;FQL&gt;&lt;Q&gt;Ticker0024^FE_ESTIMATE(SPEC_NO_CHANGE_1,MEAN,ANNUAL_ROLL,2015,45681,,,'')&lt;/Q&gt;&lt;R&gt;0&lt;/R&gt;&lt;C&gt;0&lt;/C&gt;&lt;/FQL&gt;&lt;FQL&gt;&lt;Q&gt;Ticker0024^FE_ESTIMATE(SPEC_NO_CHANGE_1,MEAN,QUARTERLY_ROLL,2015/4F,45681,,,'')&lt;/Q&gt;&lt;R&gt;0&lt;/R&gt;&lt;C&gt;0&lt;/C&gt;&lt;/FQL&gt;&lt;FQL&gt;&lt;Q&gt;Ticker0024^FE_ESTIMATE(SPEC_NO_CHANGE_1,MEAN,QUARTERLY_ROLL,2015/3F,45681,,,'')&lt;/Q&gt;&lt;R&gt;0&lt;/R&gt;&lt;C&gt;0&lt;/C&gt;&lt;/FQL&gt;&lt;FQL&gt;&lt;Q&gt;Ticker0024^FE_ESTIMATE(SPEC_NO_CHANGE_1,MEAN,QUARTERLY_ROLL,2015/2F,45681,,,'')&lt;/Q&gt;&lt;R&gt;0&lt;/R&gt;&lt;C&gt;0&lt;/C&gt;&lt;/FQL&gt;&lt;FQL&gt;&lt;Q&gt;Ticker0024^FE_ESTIMATE(SPEC_NO_CHANGE_1,MEAN,QUARTERLY_ROLL,2015/1F,45681,,,'')&lt;/Q&gt;&lt;R&gt;0&lt;/R&gt;&lt;C&gt;0&lt;/C&gt;&lt;/FQL&gt;&lt;FQL&gt;&lt;Q&gt;Ticker0024^FE_ESTIMATE(NEW_ORDERS_VALUE,MEAN,ANNUAL_ROLL,2030,45681,,,'')&lt;/Q&gt;&lt;R&gt;0&lt;/R&gt;&lt;C&gt;0&lt;/C&gt;&lt;/FQL&gt;&lt;FQL&gt;&lt;Q&gt;Ticker0024^FE_ESTIMATE(NEW_ORDERS_VALUE,MEAN,QUARTERLY_ROLL,2030/4F,45681,,,'')&lt;/Q&gt;&lt;R&gt;0&lt;/R&gt;&lt;C&gt;0&lt;/C&gt;&lt;/FQL&gt;&lt;FQL&gt;&lt;Q&gt;Ticker0024^FE_ESTIMATE(NEW_ORDERS_VALUE,MEAN,QUARTERLY_ROLL,2030/3F,45681,,,'')&lt;/Q&gt;&lt;R&gt;0&lt;/R&gt;&lt;C&gt;0&lt;/C&gt;&lt;/FQL&gt;&lt;FQL&gt;&lt;Q&gt;Ticker0024^FE_ESTIMATE(NEW_ORDERS_VALUE,MEAN,QUARTERLY_ROLL,2030/2F,45681,,,'')&lt;/Q&gt;&lt;R&gt;0&lt;/R&gt;&lt;C&gt;0&lt;/C&gt;&lt;/FQL&gt;&lt;FQL&gt;&lt;Q&gt;Ticker0024^FE_ESTIMATE(NEW_ORDERS_VALUE,MEAN,QUARTERLY_ROLL,2030/1F,45681,,,'')&lt;/Q&gt;&lt;R&gt;0&lt;/R&gt;&lt;C&gt;0&lt;/C&gt;&lt;/FQL&gt;&lt;FQL&gt;&lt;Q&gt;Ticker0024^FE_ESTIMATE(NEW_ORDERS_VALUE,MEAN,ANNUAL_ROLL,2029,45681,,,'')&lt;/Q&gt;&lt;R&gt;0&lt;/R&gt;&lt;C&gt;0&lt;/C&gt;&lt;/FQL&gt;&lt;FQL&gt;&lt;Q&gt;Ticker0024^FE_ESTIMATE(NEW_ORDERS_VALUE,MEAN,QUARTERLY_ROLL,2029/4F,45681,,,'')&lt;/Q&gt;&lt;R&gt;0&lt;/R&gt;&lt;C&gt;0&lt;/C&gt;&lt;/FQL&gt;&lt;FQL&gt;&lt;Q&gt;Ticker0024^FE_ESTIMATE(NEW_ORDERS_VALUE,MEAN,QUARTERLY_ROLL,2029/3F,45681,,,'')&lt;/Q&gt;&lt;R&gt;0&lt;/R&gt;&lt;C&gt;0&lt;/C&gt;&lt;/FQL&gt;&lt;FQL&gt;&lt;Q&gt;Ticker0024^FE_ESTIMATE(NEW_ORDERS_VALUE,MEAN,QUARTERLY_ROLL,2029/2F,45681,,,'')&lt;/Q&gt;&lt;R&gt;0&lt;/R&gt;&lt;C&gt;0&lt;/C&gt;&lt;/FQL&gt;&lt;FQL&gt;&lt;Q&gt;Ticker0024^FE_ESTIMATE(NEW_ORDERS_VALUE,MEAN,QUARTERLY_ROLL,2029/1F,45681,,,'')&lt;/Q&gt;&lt;R&gt;0&lt;/R&gt;&lt;C&gt;0&lt;/C&gt;&lt;/FQL&gt;&lt;FQL&gt;&lt;Q&gt;Ticker0024^FE_ESTIMATE(NEW_ORDERS_VALUE,MEAN,ANNUAL_ROLL,2028,45681,,,'')&lt;/Q&gt;&lt;R&gt;0&lt;/R&gt;&lt;C&gt;0&lt;/C&gt;&lt;/FQL&gt;&lt;FQL&gt;&lt;Q&gt;Ticker0024^FE_ESTIMATE(NEW_ORDERS_VALUE,MEAN,QUARTERLY_ROLL,2028/4F,45681,,,'')&lt;/Q&gt;&lt;R&gt;0&lt;/R&gt;&lt;C&gt;0&lt;/C&gt;&lt;/FQL&gt;&lt;FQL&gt;&lt;Q&gt;Ticker0024^FE_ESTIMATE(NEW_ORDERS_VALUE,MEAN,QUARTERLY_ROLL,2028/3F,45681,,,'')&lt;/Q&gt;&lt;R&gt;0&lt;/R&gt;&lt;C&gt;0&lt;/C&gt;&lt;/FQL&gt;&lt;FQL&gt;&lt;Q&gt;Ticker0024^FE_ESTIMATE(NEW_ORDERS_VALUE,MEAN,QUARTERLY_ROLL,2028/2F,45681,,,'')&lt;/Q&gt;&lt;R&gt;0&lt;/R&gt;&lt;C&gt;0&lt;/C&gt;&lt;/FQL&gt;&lt;FQL&gt;&lt;Q&gt;Ticker0024^FE_ESTIMATE(NEW_ORDERS_VALUE,MEAN,QUARTERLY_ROLL,2028/1F,45681,,,'')&lt;/Q&gt;&lt;R&gt;0&lt;/R&gt;&lt;C&gt;0&lt;/C&gt;&lt;/FQL&gt;&lt;FQL&gt;&lt;Q&gt;Ticker0024^FE_ESTIMATE(NEW_ORDERS_VALUE,MEAN,ANNUAL_ROLL,2027,45681,,,'')&lt;/Q&gt;&lt;R&gt;0&lt;/R&gt;&lt;C&gt;0&lt;/C&gt;&lt;/FQL&gt;&lt;FQL&gt;&lt;Q&gt;Ticker0024^FE_ESTIMATE(NEW_ORDERS_VALUE,MEAN,QUARTERLY_ROLL,2027/4F,45681,,,'')&lt;/Q&gt;&lt;R&gt;0&lt;/R&gt;&lt;C&gt;0&lt;/C&gt;&lt;/FQL&gt;&lt;FQL&gt;&lt;Q&gt;Ticker0024^FE_ESTIMATE(NEW_ORDERS_VALUE,MEAN,QUARTERLY_ROLL,2027/3F,45681,,,'')&lt;/Q&gt;&lt;R&gt;0&lt;/R&gt;&lt;C&gt;0&lt;/C&gt;&lt;/FQL&gt;&lt;FQL&gt;&lt;Q&gt;Ticker0024^FE_ESTIMATE(NEW_ORDERS_VALUE,MEAN,QUARTERLY_ROLL,2027/2F,45681,,,'')&lt;/Q&gt;&lt;R&gt;0&lt;/R&gt;&lt;C&gt;0&lt;/C&gt;&lt;/FQL&gt;&lt;FQL&gt;&lt;Q&gt;Ticker0024^FE_ESTIMATE(NEW_ORDERS_VALUE,MEAN,QUARTERLY_ROLL,2027/1F,45681,,,'')&lt;/Q&gt;&lt;R&gt;0&lt;/R&gt;&lt;C&gt;0&lt;/C&gt;&lt;/FQL&gt;&lt;FQL&gt;&lt;Q&gt;Ticker0024^FE_ESTIMATE(NEW_ORDERS_VALUE,MEAN,ANNUAL_ROLL,2026,45681,,,'')&lt;/Q&gt;&lt;R&gt;0&lt;/R&gt;&lt;C&gt;0&lt;/C&gt;&lt;/FQL&gt;&lt;FQL&gt;&lt;Q&gt;Ticker0024^FE_ESTIMATE(NEW_ORDERS_VALUE,MEAN,QUARTERLY_ROLL,2026/4F,45681,,,'')&lt;/Q&gt;&lt;R&gt;0&lt;/R&gt;&lt;C&gt;0&lt;/C&gt;&lt;/FQL&gt;&lt;FQL&gt;&lt;Q&gt;Ticker0024^FE_ESTIMATE(NEW_ORDERS_VALUE,MEAN,QUARTERLY_ROLL,2026/3F,45681,,,'')&lt;/Q&gt;&lt;R&gt;0&lt;/R&gt;&lt;C&gt;0&lt;/C&gt;&lt;/FQL&gt;&lt;FQL&gt;&lt;Q&gt;Ticker0024^FE_ESTIMATE(NEW_ORDERS_VALUE,MEAN,QUARTERLY_ROLL,2026/2F,45681,,,'')&lt;/Q&gt;&lt;R&gt;0&lt;/R&gt;&lt;C&gt;0&lt;/C&gt;&lt;/FQL&gt;&lt;FQL&gt;&lt;Q&gt;Ticker0024^FE_ESTIMATE(NEW_ORDERS_VALUE,MEAN,QUARTERLY_ROLL,2026/1F,45681,,,'')&lt;/Q&gt;&lt;R&gt;0&lt;/R&gt;&lt;C&gt;0&lt;/C&gt;&lt;/FQL&gt;&lt;FQL&gt;&lt;Q&gt;Ticker0024^FE_ESTIMATE(NEW_ORDERS_VALUE,MEAN,ANNUAL_ROLL,2025,45681,,,'')&lt;/Q&gt;&lt;R&gt;0&lt;/R&gt;&lt;C&gt;0&lt;/C&gt;&lt;/FQL&gt;&lt;FQL&gt;&lt;Q&gt;Ticker0024^FE_ESTIMATE(NEW_ORDERS_VALUE,MEAN,QUARTERLY_ROLL,2025/4F,45681,,,'')&lt;/Q&gt;&lt;R&gt;0&lt;/R&gt;&lt;C&gt;0&lt;/C&gt;&lt;/FQL&gt;&lt;FQL&gt;&lt;Q&gt;Ticker0024^FE_ESTIMATE(NEW_ORDERS_VALUE,MEAN,QUARTERLY_ROLL,2025/3F,45681,,,'')&lt;/Q&gt;&lt;R&gt;0&lt;/R&gt;&lt;C&gt;0&lt;/C&gt;&lt;/FQL&gt;&lt;FQL&gt;&lt;Q&gt;Ticker0024^FE_ESTIMATE(NEW_ORDERS_VALUE,MEAN,QUARTERLY_ROLL,2025/2F,45681,,,'')&lt;/Q&gt;&lt;R&gt;0&lt;/R&gt;&lt;C&gt;0&lt;/C&gt;&lt;/FQL&gt;&lt;FQL&gt;&lt;Q&gt;Ticker0024^FE_ESTIMATE(NEW_ORDERS_VALUE,MEAN,QUARTERLY_ROLL,2025/1F,45681,,,'')&lt;/Q&gt;&lt;R&gt;0&lt;/R&gt;&lt;C&gt;0&lt;/C&gt;&lt;/FQL&gt;&lt;FQL&gt;&lt;Q&gt;Ticker0024^FE_ESTIMATE(NEW_ORDERS_VALUE,MEAN,ANNUAL_ROLL,2024,45681,,,'')&lt;/Q&gt;&lt;R&gt;0&lt;/R&gt;&lt;C&gt;0&lt;/C&gt;&lt;/FQL&gt;&lt;FQL&gt;&lt;Q&gt;Ticker0024^FE_ESTIMATE(NEW_ORDERS_VALUE,MEAN,QUARTERLY_ROLL,2024/4F,45681,,,'')&lt;/Q&gt;&lt;R&gt;0&lt;/R&gt;&lt;C&gt;0&lt;/C&gt;&lt;/FQL&gt;&lt;FQL&gt;&lt;Q&gt;Ticker0024^FE_ESTIMATE(NEW_ORDERS_VALUE,MEAN,QUARTERLY_ROLL,2024/3F,45681,,,'')&lt;/Q&gt;&lt;R&gt;0&lt;/R&gt;&lt;C&gt;0&lt;/C&gt;&lt;/FQL&gt;&lt;FQL&gt;&lt;Q&gt;Ticker0024^FE_ESTIMATE(NEW_ORDERS_VALUE,MEAN,QUARTERLY_ROLL,2024/2F,45681,,,'')&lt;/Q&gt;&lt;R&gt;0&lt;/R&gt;&lt;C&gt;0&lt;/C&gt;&lt;/FQL&gt;&lt;FQL&gt;&lt;Q&gt;Ticker0024^FE_ESTIMATE(NEW_ORDERS_VALUE,MEAN,QUARTERLY_ROLL,2024/1F,45681,,,'')&lt;/Q&gt;&lt;R&gt;0&lt;/R&gt;&lt;C&gt;0&lt;/C&gt;&lt;/FQL&gt;&lt;FQL&gt;&lt;Q&gt;Ticker0024^FE_ESTIMATE(NEW_ORDERS_VALUE,MEAN,ANNUAL_ROLL,2023,45681,,,'')&lt;/Q&gt;&lt;R&gt;1&lt;/R&gt;&lt;C&gt;1&lt;/C&gt;&lt;D xsi:type="xsd:double"&gt;217320&lt;/D&gt;&lt;/FQL&gt;&lt;FQL&gt;&lt;Q&gt;Ticker0024^FE_ESTIMATE(NEW_ORDERS_VALUE,MEAN,QUARTERLY_ROLL,2023/4F,45681,,,'')&lt;/Q&gt;&lt;R&gt;1&lt;/R&gt;&lt;C&gt;1&lt;/C&gt;&lt;D xsi:type="xsd:double"&gt;70401&lt;/D&gt;&lt;/FQL&gt;&lt;FQL&gt;&lt;Q&gt;Ticker0024^FE_ESTIMATE(NEW_ORDERS_VALUE,MEAN,QUARTERLY_ROLL,2023/3F,45681,,,'')&lt;/Q&gt;&lt;R&gt;1&lt;/R&gt;&lt;C&gt;1&lt;/C&gt;&lt;D xsi:type="xsd:double"&gt;52832&lt;/D&gt;&lt;/FQL&gt;&lt;FQL&gt;&lt;Q&gt;Ticker0024^FE_ESTIMATE(NEW_ORDERS_VALUE,MEAN,QUARTERLY_ROLL,2023/2F,45681,,,'')&lt;/Q&gt;&lt;R&gt;1&lt;/R&gt;&lt;C&gt;1&lt;/C&gt;&lt;D xsi:type="xsd:double"&gt;48484&lt;/D&gt;&lt;/FQL&gt;&lt;FQL&gt;&lt;Q&gt;Ticker0024^FE_ESTIMATE(NEW_ORDERS_VALUE,MEAN,QUARTERLY_ROLL,2023/1F,45681,,,'')&lt;/Q&gt;&lt;R&gt;1&lt;/R&gt;&lt;C&gt;1&lt;/C&gt;&lt;D xsi:type="xsd:double"&gt;45603&lt;/D&gt;&lt;/FQL&gt;&lt;FQL&gt;&lt;Q&gt;Ticker0024^FE_ESTIMATE(NEW_ORDERS_VALUE,MEAN,ANNUAL_ROLL,2022,45681,,,'')&lt;/Q&gt;&lt;R&gt;1&lt;/R&gt;&lt;C&gt;1&lt;/C&gt;&lt;D xsi:type="xsd:double"&gt;202537&lt;/D&gt;&lt;/FQL&gt;&lt;FQL&gt;&lt;Q&gt;Ticker0024^FE_ESTIMATE(NEW_ORDERS_VALUE,MEAN,QUARTERLY_ROLL,2022/4F,45681,,,'')&lt;/Q&gt;&lt;R&gt;1&lt;/R&gt;&lt;C&gt;1&lt;/C&gt;&lt;D xsi:type="xsd:double"&gt;63477&lt;/D&gt;&lt;/FQL&gt;&lt;FQL&gt;&lt;Q&gt;Ticker0024^FE_ESTIMATE(NEW_ORDERS_VALUE,MEAN,QUARTERLY_ROLL,2022/3F,45681,,,'')&lt;/Q&gt;&lt;R&gt;1&lt;/R&gt;&lt;C&gt;1&lt;/C&gt;&lt;D xsi:type="xsd:double"&gt;49387&lt;/D&gt;&lt;/FQL&gt;&lt;FQL&gt;&lt;Q&gt;Ticker0024^FE_ESTIMATE(NEW_ORDERS_VALUE,MEAN,QUARTERLY_ROLL,2022/2F,45681,,,'')&lt;/Q&gt;&lt;R&gt;1&lt;/R&gt;&lt;C&gt;1&lt;/C&gt;&lt;D xsi:type="xsd:double"&gt;47482&lt;/D&gt;&lt;/FQL&gt;&lt;FQL&gt;&lt;Q&gt;Ticker0024^FE_ESTIMATE(NEW_ORDERS_VALUE,MEAN,QUARTERLY_ROLL,2022/1F,45681,,,'')&lt;/Q&gt;&lt;R&gt;1&lt;/R&gt;&lt;C&gt;1&lt;/C&gt;&lt;D xsi:type="xsd:double"&gt;42191&lt;/D&gt;&lt;/FQL&gt;&lt;FQL&gt;&lt;Q&gt;Ticker0024^FE_ESTIMATE(NEW_ORDERS_VALUE,MEAN,ANNUAL_ROLL,2021,45681,,,'')&lt;/Q&gt;&lt;R&gt;1&lt;/R&gt;&lt;C&gt;1&lt;/C&gt;&lt;D xsi:type="xsd:double"&gt;173049&lt;/D&gt;&lt;/FQL&gt;&lt;FQL&gt;&lt;Q&gt;Ticker0024^FE_ESTIMATE(NEW_ORDERS_VALUE,MEAN,QUARTERLY_ROLL,2021/4F,45681,,,'')&lt;/Q&gt;&lt;R&gt;1&lt;/R&gt;&lt;C&gt;1&lt;/C&gt;&lt;D xsi:type="xsd:double"&gt;57579&lt;/D&gt;&lt;/FQL&gt;&lt;FQL&gt;&lt;Q&gt;Ticker0024^FE_ESTIMATE(NEW_ORDERS_VALUE,MEAN,QUARTERLY_ROLL,2021/3F,45681,,,'')&lt;/Q&gt;&lt;R&gt;1&lt;/R&gt;&lt;C&gt;1&lt;/C&gt;&lt;D xsi:type="xsd:double"&gt;40710.5&lt;/D&gt;&lt;/FQL&gt;&lt;FQL&gt;&lt;Q&gt;Ticker0024^FE_ESTIMATE(NEW_ORDERS_VALUE,MEAN,QUARTERLY_ROLL,2021/2F,45681,,,'')&lt;/Q&gt;&lt;R&gt;1&lt;/R&gt;&lt;C&gt;1&lt;/C&gt;&lt;D xsi:type="xsd:double"&gt;40158&lt;/D&gt;&lt;/FQL&gt;&lt;FQL&gt;&lt;Q&gt;Ticker0024^FE_ESTIMATE(NEW_ORDERS_VALUE,MEAN,QUARTERLY_ROLL,2021/1F,45681,,,'')&lt;/Q&gt;&lt;R&gt;1&lt;/R&gt;&lt;C&gt;1&lt;/C&gt;&lt;D xsi:type="xsd:double"&gt;34160.5&lt;/D&gt;&lt;/FQL&gt;&lt;FQL&gt;&lt;Q&gt;Ticker0024^FE_ESTIMATE(NEW_ORDERS_VALUE,MEAN,ANNUAL_ROLL,2020,45681,,,'')&lt;/Q&gt;&lt;R&gt;0&lt;/R&gt;&lt;C&gt;0&lt;/C&gt;&lt;/FQL&gt;&lt;FQL&gt;&lt;Q&gt;Ticker0024^FE_ESTIMATE(NEW_ORDERS_VALUE,MEAN,QUARTERLY_ROLL,2020/4F,45681,,,'')&lt;/Q&gt;&lt;R&gt;0&lt;/R&gt;&lt;C&gt;0&lt;/C&gt;&lt;/FQL&gt;&lt;FQL&gt;&lt;Q&gt;Ticker0024^FE_ESTIMATE(NEW_ORDERS_VALUE,MEAN,QUARTERLY_ROLL,2020/3F,45681,,,'')&lt;/Q&gt;&lt;R&gt;0&lt;/R&gt;&lt;C&gt;0&lt;/C&gt;&lt;/FQL&gt;&lt;FQL&gt;&lt;Q&gt;Ticker0024^FE_ESTIMATE(NEW_ORDERS_VALUE,MEAN,QUARTERLY_ROLL,2020/2F,45681,,,'')&lt;/Q&gt;&lt;R&gt;1&lt;/R&gt;&lt;C&gt;1&lt;/C&gt;&lt;D xsi:type="xsd:double"&gt;34101&lt;/D&gt;&lt;/FQL&gt;&lt;FQL&gt;&lt;Q&gt;Ticker0024^FE_ESTIMATE(NEW_ORDERS_VALUE,MEAN,QUARTERLY_ROLL,2020/1F,45681,,,'')&lt;/Q&gt;&lt;R&gt;1&lt;/R&gt;&lt;C&gt;1&lt;/C&gt;&lt;D xsi:type="xsd:double"&gt;29875&lt;/D&gt;&lt;/FQL&gt;&lt;FQL&gt;&lt;Q&gt;Ticker0024^FE_ESTIMATE(NEW_ORDERS_VALUE,MEAN,ANNUAL_ROLL,2019,45681,,,'')&lt;/Q&gt;&lt;R&gt;1&lt;/R&gt;&lt;C&gt;1&lt;/C&gt;&lt;D xsi:type="xsd:double"&gt;130329&lt;/D&gt;&lt;/FQL&gt;&lt;FQL&gt;&lt;Q&gt;Ticker0024^FE_ESTIMATE(NEW_ORDERS_VALUE,MEAN,QUARTERLY_ROLL,2019/4F,45681,,,'')&lt;/Q&gt;&lt;R&gt;1&lt;/R&gt;&lt;C&gt;1&lt;/C&gt;&lt;D xsi:type="xsd:double"&gt;42788&lt;/D&gt;&lt;/FQL&gt;&lt;FQL&gt;&lt;Q&gt;Ticker0024^FE_ESTIMATE(NEW_ORDERS_VALUE,MEAN,QUARTERLY_ROLL,2019/3F,45681,,,'')&lt;/Q&gt;&lt;R&gt;1&lt;/R&gt;&lt;C&gt;1&lt;/C&gt;&lt;D xsi:type="xsd:double"&gt;30622&lt;/D&gt;&lt;/FQL&gt;&lt;FQL&gt;&lt;Q&gt;Ticker0024^FE_ESTIMATE(NEW_ORDERS_VALUE,MEAN,QUARTERLY_ROLL,2019/2F,45681,,,'')&lt;/Q&gt;&lt;R&gt;1&lt;/R&gt;&lt;C&gt;1&lt;/C&gt;&lt;D xsi:type="xsd:double"&gt;30313&lt;/D&gt;&lt;/FQL&gt;&lt;FQL&gt;&lt;Q&gt;Ticker0024^FE_ESTIMATE(NEW_ORDERS_VALUE,MEAN,QUARTERLY_ROLL,2019/1F,45681,,,'')&lt;/Q&gt;&lt;R&gt;1&lt;/R&gt;&lt;C&gt;1&lt;/C&gt;&lt;D xsi:type="xsd:double"&gt;26606&lt;/D&gt;&lt;/FQL&gt;&lt;FQL&gt;&lt;Q&gt;Ticker0024^FE_ESTIMATE(NEW_ORDERS_VALUE,MEAN,ANNUAL_ROLL,2018,45681,,,'')&lt;/Q&gt;&lt;R&gt;1&lt;/R&gt;&lt;C&gt;1&lt;/C&gt;&lt;D xsi:type="xsd:double"&gt;116424&lt;/D&gt;&lt;/FQL&gt;&lt;FQL&gt;&lt;Q&gt;Ticker0024^FE_ESTIMATE(NEW_ORDERS_VALUE,MEAN,QUARTERLY_ROLL,2018/4F,45681,,,'')&lt;/Q&gt;&lt;R&gt;1&lt;/R&gt;&lt;C&gt;1&lt;/C&gt;&lt;D xsi:type="xsd:double"&gt;38850&lt;/D&gt;&lt;/FQL&gt;&lt;FQL&gt;&lt;Q&gt;Ticker0024^FE_ESTIMATE(NEW_ORDERS_VALUE,MEAN,QUARTERLY_ROLL,2018/3F,45681,,,'')&lt;/Q&gt;&lt;R&gt;1&lt;/R&gt;&lt;C&gt;1&lt;/C&gt;&lt;D xsi:type="xsd:double"&gt;26965&lt;/D&gt;&lt;/FQL&gt;&lt;FQL&gt;&lt;Q&gt;Ticker0024^FE_ESTIMATE(NEW_ORDERS_VALUE,MEAN,QUARTERLY_ROLL,2018/2F,45681,,,'')&lt;/Q&gt;&lt;R&gt;1&lt;/R&gt;&lt;C&gt;1&lt;/C&gt;&lt;D xsi:type="xsd:double"&gt;27823&lt;/D&gt;&lt;/FQL&gt;&lt;FQL&gt;&lt;Q&gt;Ticker0024^FE_ESTIMATE(NEW_ORDERS_VALUE,MEAN,QUARTERLY_ROLL,2018/1F,45681,,,'')&lt;/Q&gt;&lt;R&gt;1&lt;/R&gt;&lt;C&gt;1&lt;/C&gt;&lt;D xsi:type="xsd:double"&gt;22786&lt;/D&gt;&lt;/FQL&gt;&lt;FQL&gt;&lt;Q&gt;Ticker0024^FE_ESTIMATE(NEW_ORDERS_VALUE,MEAN,ANNUAL_ROLL,2017,45681,,,'')&lt;/Q&gt;&lt;R&gt;1&lt;/R&gt;&lt;C&gt;1&lt;/C&gt;&lt;D xsi:type="xsd:double"&gt;99926&lt;/D&gt;&lt;/FQL&gt;&lt;FQL&gt;&lt;Q&gt;Ticker0024^FE_ESTIMATE(NEW_ORDERS_VALUE,MEAN,QUARTERLY_ROLL,2017/4F,45681,,,'')&lt;/Q&gt;&lt;R&gt;1&lt;/R&gt;&lt;C&gt;1&lt;/C&gt;&lt;D xsi:type="xsd:double"&gt;32063.5&lt;/D&gt;&lt;/FQL&gt;&lt;FQL&gt;&lt;Q&gt;Ticker0024^FE_ESTIMATE(NEW_ORDERS_VALUE,MEAN,QUARTERLY_ROLL,2017/3F,45681,,,'')&lt;/Q&gt;&lt;R&gt;1&lt;/R&gt;&lt;C&gt;1&lt;/C&gt;&lt;D xsi:type="xsd:double"&gt;23144&lt;/D&gt;&lt;/FQL&gt;&lt;FQL&gt;&lt;Q&gt;Ticker0024^FE_ESTIMATE(NEW_ORDERS_VALUE,MEAN,QUARTERLY_ROLL,2017/2F,45681,,,'')&lt;/Q&gt;&lt;R&gt;1&lt;/R&gt;&lt;C&gt;1&lt;/C&gt;&lt;D xsi:type="xsd:double"&gt;26300.666&lt;/D&gt;&lt;/FQL&gt;&lt;FQL&gt;&lt;Q&gt;Ticker0024^FE_ESTIMATE(NEW_ORDERS_VALUE,MEAN,QUARTERLY_ROLL,2017/1F,45681,,,'')&lt;/Q&gt;&lt;R&gt;1&lt;/R&gt;&lt;C&gt;1&lt;/C&gt;&lt;D xsi:type="xsd:double"&gt;21072.5&lt;/D&gt;&lt;/FQL&gt;&lt;FQL&gt;&lt;Q&gt;Ticker0024^FE_ESTIMATE(NEW_ORDERS_VALUE,MEAN,ANNUAL_ROLL,2016,45681,,,'')&lt;/Q&gt;&lt;R&gt;1&lt;/R&gt;&lt;C&gt;1&lt;/C&gt;&lt;D xsi:type="xsd:double"&gt;94769&lt;/D&gt;&lt;/FQL&gt;&lt;FQL&gt;&lt;Q&gt;Ticker0024^FE_ESTIMATE(NEW_ORDERS_VALUE,MEAN,QUARTERLY_ROLL,2016/4F,45681,,,'')&lt;/Q&gt;&lt;R&gt;1&lt;/R&gt;&lt;C&gt;1&lt;/C&gt;&lt;D xsi:type="xsd:double"&gt;29640.5&lt;/D&gt;&lt;/FQL&gt;&lt;FQL&gt;&lt;Q&gt;Ticker0024^FE_ESTIMATE(NEW_ORDERS_VALUE,MEAN,QUARTERLY_ROLL,2016/3F,45681,,,'')&lt;/Q&gt;&lt;R&gt;1&lt;/R&gt;&lt;C&gt;1&lt;/C&gt;&lt;D xsi:type="xsd:double"&gt;22938&lt;/D&gt;&lt;/FQL&gt;&lt;FQL&gt;&lt;Q&gt;Ticker0024^FE_ESTIMATE(NEW_ORDERS_VALUE,MEAN,QUARTERLY_ROLL,2016/2F,45681,,,'')&lt;/Q&gt;&lt;R&gt;0&lt;/R&gt;&lt;C&gt;0&lt;/C&gt;&lt;/FQL&gt;&lt;FQL&gt;&lt;Q&gt;Ticker0024^FE_ESTIMATE(NEW_ORDERS_VALUE,MEAN,QUARTERLY_ROLL,2016/1F,45681,,,'')&lt;/Q&gt;&lt;R&gt;0&lt;/R&gt;&lt;C&gt;0&lt;/C&gt;&lt;/FQL&gt;&lt;FQL&gt;&lt;Q&gt;Ticker0024^FE_ESTIMATE(NEW_ORDERS_VALUE,MEAN,ANNUAL_ROLL,2015,45681,,,'')&lt;/Q&gt;&lt;R&gt;0&lt;/R&gt;&lt;C&gt;0&lt;/C&gt;&lt;/FQL&gt;&lt;FQL&gt;&lt;Q&gt;Ticker0024^FE_ESTIMATE(NEW_ORDERS_VALUE,MEAN,QUARTERLY_ROLL,2015/4F,45681,,,'')&lt;/Q&gt;&lt;R&gt;0&lt;/R&gt;&lt;C&gt;0&lt;/C&gt;&lt;/FQL&gt;&lt;FQL&gt;&lt;Q&gt;Ticker0024^FE_ESTIMATE(NEW_ORDERS_VALUE,MEAN,QUARTERLY_ROLL,2015/3F,45681,,,'')&lt;/Q&gt;&lt;R&gt;0&lt;/R&gt;&lt;C&gt;0&lt;/C&gt;&lt;/FQL&gt;&lt;FQL&gt;&lt;Q&gt;Ticker0024^FE_ESTIMATE(NEW_ORDERS_VALUE,MEAN,QUARTERLY_ROLL,2015/2F,45681,,,'')&lt;/Q&gt;&lt;R&gt;0&lt;/R&gt;&lt;C&gt;0&lt;/C&gt;&lt;/FQL&gt;&lt;FQL&gt;&lt;Q&gt;Ticker0024^FE_ESTIMATE(NEW_ORDERS_VALUE,MEAN,QUARTERLY_ROLL,2015/1F,45681,,,'')&lt;/Q&gt;&lt;R&gt;0&lt;/R&gt;&lt;C&gt;0&lt;/C&gt;&lt;/FQL&gt;&lt;FQL&gt;&lt;Q&gt;Ticker0024^FE_ESTIMATE(DEFREVENUE,MEAN,ANNUAL_ROLL,2030,45681,,,'')&lt;/Q&gt;&lt;R&gt;0&lt;/R&gt;&lt;C&gt;0&lt;/C&gt;&lt;/FQL&gt;&lt;FQL&gt;&lt;Q&gt;Ticker0024^FE_ESTIMATE(DEFREVENUE,MEAN,QUARTERLY_ROLL,2030/4F,45681,,,'')&lt;/Q&gt;&lt;R&gt;0&lt;/R&gt;&lt;C&gt;0&lt;/C&gt;&lt;/FQL&gt;&lt;FQL&gt;&lt;Q&gt;Ticker0024^FE_ESTIMATE(DEFREVENUE,MEAN,QUARTERLY_ROLL,2030/3F,45681,,,'')&lt;/Q&gt;&lt;R&gt;0&lt;/R&gt;&lt;C&gt;0&lt;/C&gt;&lt;/FQL&gt;&lt;FQL&gt;&lt;Q&gt;Ticker0024^FE_ESTIMATE(DEFREVENUE,MEAN,QUARTERLY_ROLL,2030/2F,45681,,,'')&lt;/Q&gt;&lt;R&gt;0&lt;/R&gt;&lt;C&gt;0&lt;/C&gt;&lt;/FQL&gt;&lt;FQL&gt;&lt;Q&gt;Ticker0024^FE_ESTIMATE(DEFREVENUE,MEAN,QUARTERLY_ROLL,2030/1F,45681,,,'')&lt;/Q&gt;&lt;R&gt;0&lt;/R&gt;&lt;C&gt;0&lt;/C&gt;&lt;/FQL&gt;&lt;FQL&gt;&lt;Q&gt;Ticker0024^FE_ESTIMATE(DEFREVENUE,MEAN,ANNUAL_ROLL,2029,45681,,,'')&lt;/Q&gt;&lt;R&gt;0&lt;/R&gt;&lt;C&gt;0&lt;/C&gt;&lt;/FQL&gt;&lt;FQL&gt;&lt;Q&gt;Ticker0024^FE_ESTIMATE(DEFREVENUE,MEAN,QUARTERLY_ROLL,2029/4F,45681,,,'')&lt;/Q&gt;&lt;R&gt;0&lt;/R&gt;&lt;C&gt;0&lt;/C&gt;&lt;/FQL&gt;&lt;FQL&gt;&lt;Q&gt;Ticker0024^FE_ESTIMATE(DEFREVENUE,MEAN,QUARTERLY_ROLL,2029/3F,45681,,,'')&lt;/Q&gt;&lt;R&gt;0&lt;/R&gt;&lt;C&gt;0&lt;/C&gt;&lt;/FQL&gt;&lt;FQL&gt;&lt;Q&gt;Ticker0024^FE_ESTIMATE(DEFREVENUE,MEAN,QUARTERLY_ROLL,2029/2F,45681,,,'')&lt;/Q&gt;&lt;R&gt;0&lt;/R&gt;&lt;C&gt;0&lt;/C&gt;&lt;/FQL&gt;&lt;FQL&gt;&lt;Q&gt;Ticker0024^FE_ESTIMATE(DEFREVENUE,MEAN,QUARTERLY_ROLL,2029/1F,45681,,,'')&lt;/Q&gt;&lt;R&gt;0&lt;/R&gt;&lt;C&gt;0&lt;/C&gt;&lt;/FQL&gt;&lt;FQL&gt;&lt;Q&gt;Ticker0024^FE_ESTIMATE(DEFREVENUE,MEAN,ANNUAL_ROLL,2028,45681,,,'')&lt;/Q&gt;&lt;R&gt;0&lt;/R&gt;&lt;C&gt;0&lt;/C&gt;&lt;/FQL&gt;&lt;FQL&gt;&lt;Q&gt;Ticker0024^FE_ESTIMATE(DEFREVENUE,MEAN,QUARTERLY_ROLL,2028/4F,45681,,,'')&lt;/Q&gt;&lt;R&gt;0&lt;/R&gt;&lt;C&gt;0&lt;/C&gt;&lt;/FQL&gt;&lt;FQL&gt;&lt;Q&gt;Ticker0024^FE_ESTIMATE(DEFREVENUE,MEAN,QUARTERLY_ROLL,2028/3F,45681,,,'')&lt;/Q&gt;&lt;R&gt;0&lt;/R&gt;&lt;C&gt;0&lt;/C&gt;&lt;/FQL&gt;&lt;FQL&gt;&lt;Q&gt;Ticker0024^FE_ESTIMATE(DEFREVENUE,MEAN,QUARTERLY_ROLL,2028/2F,45681,,,'')&lt;/Q&gt;&lt;R&gt;0&lt;/R&gt;&lt;C&gt;0&lt;/C&gt;&lt;/FQL&gt;&lt;FQL&gt;&lt;Q&gt;Ticker0024^FE_ESTIMATE(DEFREVENUE,MEAN,QUARTERLY_ROLL,2028/1F,45681,,,'')&lt;/Q&gt;&lt;R&gt;0&lt;/R&gt;&lt;C&gt;0&lt;/C&gt;&lt;/FQL&gt;&lt;FQL&gt;&lt;Q&gt;Ticker0024^FE_ESTIMATE(DEFREVENUE,MEAN,ANNUAL_ROLL,2027,45681,,,'')&lt;/Q&gt;&lt;R&gt;1&lt;/R&gt;&lt;C&gt;1&lt;/C&gt;&lt;D xsi:type="xsd:double"&gt;72441.2&lt;/D&gt;&lt;/FQL&gt;&lt;FQL&gt;&lt;Q&gt;Ticker0024^FE_ESTIMATE(DEFREVENUE,MEAN,QUARTERLY_ROLL,2027/4F,45681,,,'')&lt;/Q&gt;&lt;R&gt;0&lt;/R&gt;&lt;C&gt;0&lt;/C&gt;&lt;/FQL&gt;&lt;FQL&gt;&lt;Q&gt;Ticker0024^FE_ESTIMATE(DEFREVENUE,MEAN,QUARTERLY_ROLL,2027/3F,45681,,,'')&lt;/Q&gt;&lt;R&gt;0&lt;/R&gt;&lt;C&gt;0&lt;/C&gt;&lt;/FQL&gt;&lt;FQL&gt;&lt;Q&gt;Ticker0024^FE_ESTIMATE(DEFREVENUE,MEAN,QUARTERLY_ROLL,2027/2F,45681,,,'')&lt;/Q&gt;&lt;R&gt;0&lt;/R&gt;&lt;C&gt;0&lt;/C&gt;&lt;/FQL&gt;&lt;FQL&gt;&lt;Q&gt;Ticker0024^FE_ESTIMATE(DEFREVENUE,MEAN,QUARTERLY_ROLL,2027/1F,45681,,,'')&lt;/Q&gt;&lt;R&gt;0&lt;/R&gt;&lt;C&gt;0&lt;/C&gt;&lt;/FQL&gt;&lt;FQL&gt;&lt;Q&gt;Ticker0024^FE_ESTIMATE(DEFREVENUE,MEAN,ANNUAL_ROLL,2026,45681,,,'')&lt;/Q&gt;&lt;R&gt;1&lt;/R&gt;&lt;C&gt;1&lt;/C&gt;&lt;D xsi:type="xsd:double"&gt;74441.85&lt;/D&gt;&lt;/FQL&gt;&lt;FQL&gt;&lt;Q&gt;Ticker0024^FE_ESTIMATE(DEFREVENUE,MEAN,QUARTERLY_ROLL,2026/4F,45681,,,'')&lt;/Q&gt;&lt;R&gt;1&lt;/R&gt;&lt;C&gt;1&lt;/C&gt;&lt;D xsi:type="xsd:double"&gt;73862.5&lt;/D&gt;&lt;/FQL&gt;&lt;FQL&gt;&lt;Q&gt;Ticker0024^FE_ESTIMATE(DEFREVENUE,MEAN,QUARTERLY_ROLL,2026/3F,45681,,,'')&lt;/Q&gt;&lt;R&gt;1&lt;/R&gt;&lt;C&gt;1&lt;/C&gt;&lt;D xsi:type="xsd:double"&gt;57216.28&lt;/D&gt;&lt;/FQL&gt;&lt;FQL&gt;&lt;Q&gt;Ticker0024^FE_ESTIMATE(DEFREVENUE,MEAN,QUARTERLY_ROLL,2026/2F,45681,,,'')&lt;/Q&gt;&lt;R&gt;1&lt;/R&gt;&lt;C&gt;1&lt;/C&gt;&lt;D xsi:type="xsd:double"&gt;58754.68&lt;/D&gt;&lt;/FQL&gt;&lt;FQL&gt;&lt;Q&gt;Ticker0024^FE_ESTIMATE(DEFREVENUE,MEAN,QUARTERLY_ROLL,2026/1F,45681,,,'')&lt;/Q&gt;&lt;R&gt;1&lt;/R&gt;&lt;C&gt;1&lt;/C&gt;&lt;D xsi:type="xsd:double"&gt;63063.86&lt;/D&gt;&lt;/FQL&gt;&lt;FQL&gt;&lt;Q&gt;Ticker0024^FE_ESTIMATE(DEFREVENUE,MEAN,ANNUAL_ROLL,2025,45681,,,'')&lt;/Q&gt;&lt;R&gt;1&lt;/R&gt;&lt;C&gt;1&lt;/C&gt;&lt;D xsi:type="xsd:double"&gt;67525.62&lt;/D&gt;&lt;/FQL&gt;&lt;FQL&gt;&lt;Q&gt;Ticker0024^FE_ESTIMATE(DEFREVENUE,MEAN,QUARTERLY_ROLL,2025/4F,45681,,,'')&lt;/Q&gt;&lt;R&gt;1&lt;/R&gt;&lt;C&gt;1&lt;/C&gt;&lt;D xsi:type="xsd:double"&gt;67200.6&lt;/D&gt;&lt;/FQL&gt;&lt;FQL&gt;&lt;Q&gt;Ticker0024^FE_ESTIMATE(DEFREVENUE,MEAN,QUARTERLY_ROLL,2025/3F,45681,,,'')&lt;/Q&gt;&lt;R&gt;1&lt;/R&gt;&lt;C&gt;1&lt;/C&gt;&lt;D xsi:type="xsd:double"&gt;51003.71&lt;/D&gt;&lt;/FQL&gt;&lt;FQL&gt;&lt;Q&gt;Ticker0024^FE_ESTIMATE(DEFREVENUE,MEAN,QUARTERLY_ROLL,2025/2F,45681,,,'')&lt;/Q&gt;&lt;R&gt;1&lt;/R&gt;&lt;C&gt;1&lt;/C&gt;&lt;D xsi:type="xsd:double"&gt;52131.38&lt;/D&gt;&lt;/FQL&gt;&lt;FQL&gt;&lt;Q&gt;Ticker0024^FE_ESTIMATE(DEFREVENUE,MEAN,QUARTERLY_ROLL,2025/1F,45681,,,'')&lt;/Q&gt;&lt;R&gt;1&lt;/R&gt;&lt;C&gt;1&lt;/C&gt;&lt;D xsi:type="xsd:double"&gt;55689.125&lt;/D&gt;&lt;/FQL&gt;&lt;FQL&gt;&lt;Q&gt;Ticker0024^FE_ESTIMATE(DEFREVENUE,MEAN,ANNUAL_ROLL,2024,45681,,,'')&lt;/Q&gt;&lt;R&gt;1&lt;/R&gt;&lt;C&gt;1&lt;/C&gt;&lt;D xsi:type="xsd:double"&gt;60183.6&lt;/D&gt;&lt;/FQL&gt;&lt;FQL&gt;&lt;Q&gt;Ticker0024^FE_ESTIMATE(DEFREVENUE,MEAN,QUARTERLY_ROLL,2024/4F,45681,,,'')&lt;/Q&gt;&lt;R&gt;1&lt;/R&gt;&lt;C&gt;1&lt;/C&gt;&lt;D xsi:type="xsd:double"&gt;60183.555&lt;/D&gt;&lt;/FQL&gt;&lt;FQL&gt;&lt;Q&gt;Ticker0024^FE_ESTIMATE(DEFREVENUE,MEAN,QUARTERLY_ROLL,2024/3F,45681,,,'')&lt;/Q&gt;&lt;R&gt;1&lt;/R&gt;&lt;C&gt;1&lt;/C&gt;&lt;D xsi:type="xsd:double"&gt;44834&lt;/D&gt;&lt;/FQL&gt;&lt;FQL&gt;&lt;Q&gt;Ticker0024^FE_ESTIMATE(DEFREVENUE,MEAN,QUARTERLY_ROLL,2024/2F,45681,,,'')&lt;/Q&gt;&lt;R&gt;1&lt;/R&gt;&lt;C&gt;1&lt;/C&gt;&lt;D xsi:type="xsd:double"&gt;46034.855&lt;/D&gt;&lt;/FQL&gt;&lt;FQL&gt;&lt;Q&gt;Ticker0024^FE_ESTIMATE(DEFREVENUE,MEAN,QUARTERLY_ROLL,2024/1F,45681,,,'')&lt;/Q&gt;&lt;R&gt;1&lt;/R&gt;&lt;C&gt;1&lt;/C&gt;&lt;D xsi:type="xsd:double"&gt;49188.332&lt;/D&gt;&lt;/FQL&gt;&lt;FQL&gt;&lt;Q&gt;Ticker0024^FE_ESTIMATE(DEFREVENUE,MEAN,ANNUAL_ROLL,2023,45681,,,'')&lt;/Q&gt;&lt;R&gt;1&lt;/R&gt;&lt;C&gt;1&lt;/C&gt;&lt;D xsi:type="xsd:double"&gt;53548&lt;/D&gt;&lt;/FQL&gt;&lt;FQL&gt;&lt;Q&gt;Ticker0024^FE_ESTIMATE(DEFREVENUE,MEAN,QUARTERLY_ROLL,2023/4F,45681,,,'')&lt;/Q&gt;&lt;R&gt;1&lt;/R&gt;&lt;C&gt;1&lt;/C&gt;&lt;D xsi:type="xsd:double"&gt;53812.625&lt;/D&gt;&lt;/FQL&gt;&lt;FQL&gt;&lt;Q&gt;Ticker0024^FE_ESTIMATE(DEFREVENUE,MEAN,QUARTERLY_ROLL,2023/3F,45681,,,'')&lt;/Q&gt;&lt;R&gt;1&lt;/R&gt;&lt;C&gt;1&lt;/C&gt;&lt;D xsi:type="xsd:double"&gt;39600.832&lt;/D&gt;&lt;/FQL&gt;&lt;FQL&gt;&lt;Q&gt;Ticker0024^FE_ESTIMATE(DEFREVENUE,MEAN,QUARTERLY_ROLL,2023/2F,45681,,,'')&lt;/Q&gt;&lt;R&gt;1&lt;/R&gt;&lt;C&gt;1&lt;/C&gt;&lt;D xsi:type="xsd:double"&gt;39625&lt;</t>
        </r>
      </text>
    </comment>
    <comment ref="A9" authorId="0" shapeId="0" xr:uid="{F4229239-16BC-480E-8EC4-2EEEECD13579}">
      <text>
        <r>
          <rPr>
            <b/>
            <sz val="9"/>
            <color indexed="81"/>
            <rFont val="Tahoma"/>
            <family val="2"/>
          </rPr>
          <t>/D&gt;&lt;/FQL&gt;&lt;FQL&gt;&lt;Q&gt;Ticker0024^FE_ESTIMATE(DEFREVENUE,MEAN,QUARTERLY_ROLL,2023/1F,45681,,,'')&lt;/Q&gt;&lt;R&gt;1&lt;/R&gt;&lt;C&gt;1&lt;/C&gt;&lt;D xsi:type="xsd:double"&gt;43889.145&lt;/D&gt;&lt;/FQL&gt;&lt;FQL&gt;&lt;Q&gt;Ticker0024^FE_ESTIMATE(DEFREVENUE,MEAN,ANNUAL_ROLL,2022,45681,,,'')&lt;/Q&gt;&lt;R&gt;1&lt;/R&gt;&lt;C&gt;1&lt;/C&gt;&lt;D xsi:type="xsd:double"&gt;48121&lt;/D&gt;&lt;/FQL&gt;&lt;FQL&gt;&lt;Q&gt;Ticker0024^FE_ESTIMATE(DEFREVENUE,MEAN,QUARTERLY_ROLL,2022/4F,45681,,,'')&lt;/Q&gt;&lt;R&gt;1&lt;/R&gt;&lt;C&gt;1&lt;/C&gt;&lt;D xsi:type="xsd:double"&gt;48408&lt;/D&gt;&lt;/FQL&gt;&lt;FQL&gt;&lt;Q&gt;Ticker0024^FE_ESTIMATE(DEFREVENUE,MEAN,QUARTERLY_ROLL,2022/3F,45681,,,'')&lt;/Q&gt;&lt;R&gt;1&lt;/R&gt;&lt;C&gt;1&lt;/C&gt;&lt;D xsi:type="xsd:double"&gt;36796&lt;/D&gt;&lt;/FQL&gt;&lt;FQL&gt;&lt;Q&gt;Ticker0024^FE_ESTIMATE(DEFREVENUE,MEAN,QUARTERLY_ROLL,2022/2F,45681,,,'')&lt;/Q&gt;&lt;R&gt;1&lt;/R&gt;&lt;C&gt;1&lt;/C&gt;&lt;D xsi:type="xsd:double"&gt;36769&lt;/D&gt;&lt;/FQL&gt;&lt;FQL&gt;&lt;Q&gt;Ticker0024^FE_ESTIMATE(DEFREVENUE,MEAN,QUARTERLY_ROLL,2022/1F,45681,,,'')&lt;/Q&gt;&lt;R&gt;1&lt;/R&gt;&lt;C&gt;1&lt;/C&gt;&lt;D xsi:type="xsd:double"&gt;41015&lt;/D&gt;&lt;/FQL&gt;&lt;FQL&gt;&lt;Q&gt;Ticker0024^FE_ESTIMATE(DEFREVENUE,MEAN,ANNUAL_ROLL,2021,45681,,,'')&lt;/Q&gt;&lt;R&gt;1&lt;/R&gt;&lt;C&gt;1&lt;/C&gt;&lt;D xsi:type="xsd:double"&gt;44141&lt;/D&gt;&lt;/FQL&gt;&lt;FQL&gt;&lt;Q&gt;Ticker0024^FE_ESTIMATE(DEFREVENUE,MEAN,QUARTERLY_ROLL,2021/4F,45681,,,'')&lt;/Q&gt;&lt;R&gt;1&lt;/R&gt;&lt;C&gt;1&lt;/C&gt;&lt;D xsi:type="xsd:double"&gt;44141&lt;/D&gt;&lt;/FQL&gt;&lt;FQL&gt;&lt;Q&gt;Ticker0024^FE_ESTIMATE(DEFREVENUE,MEAN,QUARTERLY_ROLL,2021/3F,45681,,,'')&lt;/Q&gt;&lt;R&gt;1&lt;/R&gt;&lt;C&gt;1&lt;/C&gt;&lt;D xsi:type="xsd:double"&gt;32714&lt;/D&gt;&lt;/FQL&gt;&lt;FQL&gt;&lt;Q&gt;Ticker0024^FE_ESTIMATE(DEFREVENUE,MEAN,QUARTERLY_ROLL,2021/2F,45681,,,'')&lt;/Q&gt;&lt;R&gt;1&lt;/R&gt;&lt;C&gt;1&lt;/C&gt;&lt;D xsi:type="xsd:double"&gt;33387&lt;/D&gt;&lt;/FQL&gt;&lt;FQL&gt;&lt;Q&gt;Ticker0024^FE_ESTIMATE(DEFREVENUE,MEAN,QUARTERLY_ROLL,2021/1F,45681,,,'')&lt;/Q&gt;&lt;R&gt;1&lt;/R&gt;&lt;C&gt;1&lt;/C&gt;&lt;D xsi:type="xsd:double"&gt;36305&lt;/D&gt;&lt;/FQL&gt;&lt;FQL&gt;&lt;Q&gt;Ticker0024^FE_ESTIMATE(DEFREVENUE,MEAN,ANNUAL_ROLL,2020,45681,,,'')&lt;/Q&gt;&lt;R&gt;1&lt;/R&gt;&lt;C&gt;1&lt;/C&gt;&lt;D xsi:type="xsd:double"&gt;39180&lt;/D&gt;&lt;/FQL&gt;&lt;FQL&gt;&lt;Q&gt;Ticker0024^FE_ESTIMATE(DEFREVENUE,MEAN,QUARTERLY_ROLL,2020/4F,45681,,,'')&lt;/Q&gt;&lt;R&gt;1&lt;/R&gt;&lt;C&gt;1&lt;/C&gt;&lt;D xsi:type="xsd:double"&gt;39180&lt;/D&gt;&lt;/FQL&gt;&lt;FQL&gt;&lt;Q&gt;Ticker0024^FE_ESTIMATE(DEFREVENUE,MEAN,QUARTERLY_ROLL,2020/3F,45681,,,'')&lt;/Q&gt;&lt;R&gt;1&lt;/R&gt;&lt;C&gt;1&lt;/C&gt;&lt;D xsi:type="xsd:double"&gt;30397&lt;/D&gt;&lt;/FQL&gt;&lt;FQL&gt;&lt;Q&gt;Ticker0024^FE_ESTIMATE(DEFREVENUE,MEAN,QUARTERLY_ROLL,2020/2F,45681,,,'')&lt;/Q&gt;&lt;R&gt;1&lt;/R&gt;&lt;C&gt;1&lt;/C&gt;&lt;D xsi:type="xsd:double"&gt;31221&lt;/D&gt;&lt;/FQL&gt;&lt;FQL&gt;&lt;Q&gt;Ticker0024^FE_ESTIMATE(DEFREVENUE,MEAN,QUARTERLY_ROLL,2020/1F,45681,,,'')&lt;/Q&gt;&lt;R&gt;1&lt;/R&gt;&lt;C&gt;1&lt;/C&gt;&lt;D xsi:type="xsd:double"&gt;34026&lt;/D&gt;&lt;/FQL&gt;&lt;FQL&gt;&lt;Q&gt;Ticker0024^FE_ESTIMATE(DEFREVENUE,MEAN,ANNUAL_ROLL,2019,45681,,,'')&lt;/Q&gt;&lt;R&gt;1&lt;/R&gt;&lt;C&gt;1&lt;/C&gt;&lt;D xsi:type="xsd:double"&gt;37206&lt;/D&gt;&lt;/FQL&gt;&lt;FQL&gt;&lt;Q&gt;Ticker0024^FE_ESTIMATE(DEFREVENUE,MEAN,QUARTERLY_ROLL,2019/4F,45681,,,'')&lt;/Q&gt;&lt;R&gt;1&lt;/R&gt;&lt;C&gt;1&lt;/C&gt;&lt;D xsi:type="xsd:double"&gt;37206&lt;/D&gt;&lt;/FQL&gt;&lt;FQL&gt;&lt;Q&gt;Ticker0024^FE_ESTIMATE(DEFREVENUE,MEAN,QUARTERLY_ROLL,2019/3F,45681,,,'')&lt;/Q&gt;&lt;R&gt;1&lt;/R&gt;&lt;C&gt;1&lt;/C&gt;&lt;D xsi:type="xsd:double"&gt;28135&lt;/D&gt;&lt;/FQL&gt;&lt;FQL&gt;&lt;Q&gt;Ticker0024^FE_ESTIMATE(DEFREVENUE,MEAN,QUARTERLY_ROLL,2019/2F,45681,,,'')&lt;/Q&gt;&lt;R&gt;1&lt;/R&gt;&lt;C&gt;1&lt;/C&gt;&lt;D xsi:type="xsd:double"&gt;28084&lt;/D&gt;&lt;/FQL&gt;&lt;FQL&gt;&lt;Q&gt;Ticker0024^FE_ESTIMATE(DEFREVENUE,MEAN,QUARTERLY_ROLL,2019/1F,45681,,,'')&lt;/Q&gt;&lt;R&gt;1&lt;/R&gt;&lt;C&gt;1&lt;/C&gt;&lt;D xsi:type="xsd:double"&gt;30242&lt;/D&gt;&lt;/FQL&gt;&lt;FQL&gt;&lt;Q&gt;Ticker0024^FE_ESTIMATE(DEFREVENUE,MEAN,ANNUAL_ROLL,2018,45681,,,'')&lt;/Q&gt;&lt;R&gt;1&lt;/R&gt;&lt;C&gt;1&lt;/C&gt;&lt;D xsi:type="xsd:double"&gt;32540.1&lt;/D&gt;&lt;/FQL&gt;&lt;FQL&gt;&lt;Q&gt;Ticker0024^FE_ESTIMATE(DEFREVENUE,MEAN,QUARTERLY_ROLL,2018/4F,45681,,,'')&lt;/Q&gt;&lt;R&gt;1&lt;/R&gt;&lt;C&gt;1&lt;/C&gt;&lt;D xsi:type="xsd:double"&gt;32540.1&lt;/D&gt;&lt;/FQL&gt;&lt;FQL&gt;&lt;Q&gt;Ticker0024^FE_ESTIMATE(DEFREVENUE,MEAN,QUARTERLY_ROLL,2018/3F,45681,,,'')&lt;/Q&gt;&lt;R&gt;1&lt;/R&gt;&lt;C&gt;1&lt;/C&gt;&lt;D xsi:type="xsd:double"&gt;23955&lt;/D&gt;&lt;/FQL&gt;&lt;FQL&gt;&lt;Q&gt;Ticker0024^FE_ESTIMATE(DEFREVENUE,MEAN,QUARTERLY_ROLL,2018/2F,45681,,,'')&lt;/Q&gt;&lt;R&gt;1&lt;/R&gt;&lt;C&gt;1&lt;/C&gt;&lt;D xsi:type="xsd:double"&gt;23809&lt;/D&gt;&lt;/FQL&gt;&lt;FQL&gt;&lt;Q&gt;Ticker0024^FE_ESTIMATE(DEFREVENUE,MEAN,QUARTERLY_ROLL,2018/1F,45681,,,'')&lt;/Q&gt;&lt;R&gt;1&lt;/R&gt;&lt;C&gt;1&lt;/C&gt;&lt;D xsi:type="xsd:double"&gt;24904&lt;/D&gt;&lt;/FQL&gt;&lt;FQL&gt;&lt;Q&gt;Ticker0024^FE_ESTIMATE(DEFREVENUE,MEAN,ANNUAL_ROLL,2017,45681,,,'')&lt;/Q&gt;&lt;R&gt;1&lt;/R&gt;&lt;C&gt;1&lt;/C&gt;&lt;D xsi:type="xsd:double"&gt;44479&lt;/D&gt;&lt;/FQL&gt;&lt;FQL&gt;&lt;Q&gt;Ticker0024^FE_ESTIMATE(DEFREVENUE,MEAN,QUARTERLY_ROLL,2017/4F,45681,,,'')&lt;/Q&gt;&lt;R&gt;1&lt;/R&gt;&lt;C&gt;1&lt;/C&gt;&lt;D xsi:type="xsd:double"&gt;44479&lt;/D&gt;&lt;/FQL&gt;&lt;FQL&gt;&lt;Q&gt;Ticker0024^FE_ESTIMATE(DEFREVENUE,MEAN,QUARTERLY_ROLL,2017/3F,45681,,,'')&lt;/Q&gt;&lt;R&gt;1&lt;/R&gt;&lt;C&gt;1&lt;/C&gt;&lt;D xsi:type="xsd:double"&gt;35733&lt;/D&gt;&lt;/FQL&gt;&lt;FQL&gt;&lt;Q&gt;Ticker0024^FE_ESTIMATE(DEFREVENUE,MEAN,QUARTERLY_ROLL,2017/2F,45681,,,'')&lt;/Q&gt;&lt;R&gt;1&lt;/R&gt;&lt;C&gt;1&lt;/C&gt;&lt;D xsi:type="xsd:double"&gt;34587.273&lt;/D&gt;&lt;/FQL&gt;&lt;FQL&gt;&lt;Q&gt;Ticker0024^FE_ESTIMATE(DEFREVENUE,MEAN,QUARTERLY_ROLL,2017/1F,45681,,,'')&lt;/Q&gt;&lt;R&gt;1&lt;/R&gt;&lt;C&gt;1&lt;/C&gt;&lt;D xsi:type="xsd:double"&gt;33588&lt;/D&gt;&lt;/FQL&gt;&lt;FQL&gt;&lt;Q&gt;Ticker0024^FE_ESTIMATE(DEFREVENUE,MEAN,ANNUAL_ROLL,2016,45681,,,'')&lt;/Q&gt;&lt;R&gt;1&lt;/R&gt;&lt;C&gt;1&lt;/C&gt;&lt;D xsi:type="xsd:double"&gt;33909&lt;/D&gt;&lt;/FQL&gt;&lt;FQL&gt;&lt;Q&gt;Ticker0024^FE_ESTIMATE(DEFREVENUE,MEAN,QUARTERLY_ROLL,2016/4F,45681,,,'')&lt;/Q&gt;&lt;R&gt;1&lt;/R&gt;&lt;C&gt;1&lt;/C&gt;&lt;D xsi:type="xsd:double"&gt;33909&lt;/D&gt;&lt;/FQL&gt;&lt;FQL&gt;&lt;Q&gt;Ticker0024^FE_ESTIMATE(DEFREVENUE,MEAN,QUARTERLY_ROLL,2016/3F,45681,,,'')&lt;/Q&gt;&lt;R&gt;1&lt;/R&gt;&lt;C&gt;1&lt;/C&gt;&lt;D xsi:type="xsd:double"&gt;25893&lt;/D&gt;&lt;/FQL&gt;&lt;FQL&gt;&lt;Q&gt;Ticker0024^FE_ESTIMATE(DEFREVENUE,MEAN,QUARTERLY_ROLL,2016/2F,45681,,,'')&lt;/Q&gt;&lt;R&gt;1&lt;/R&gt;&lt;C&gt;1&lt;/C&gt;&lt;D xsi:type="xsd:double"&gt;25031&lt;/D&gt;&lt;/FQL&gt;&lt;FQL&gt;&lt;Q&gt;Ticker0024^FE_ESTIMATE(DEFREVENUE,MEAN,QUARTERLY_ROLL,2016/1F,45681,,,'')&lt;/Q&gt;&lt;R&gt;0&lt;/R&gt;&lt;C&gt;0&lt;/C&gt;&lt;/FQL&gt;&lt;FQL&gt;&lt;Q&gt;Ticker0024^FE_ESTIMATE(DEFREVENUE,MEAN,ANNUAL_ROLL,2015,45681,,,'')&lt;/Q&gt;&lt;R&gt;0&lt;/R&gt;&lt;C&gt;0&lt;/C&gt;&lt;/FQL&gt;&lt;FQL&gt;&lt;Q&gt;Ticker0024^FE_ESTIMATE(DEFREVENUE,MEAN,QUARTERLY_ROLL,2015/4F,45681,,,'')&lt;/Q&gt;&lt;R&gt;0&lt;/R&gt;&lt;C&gt;0&lt;/C&gt;&lt;/FQL&gt;&lt;FQL&gt;&lt;Q&gt;Ticker0024^FE_ESTIMATE(DEFREVENUE,MEAN,QUARTERLY_ROLL,2015/3F,45681,,,'')&lt;/Q&gt;&lt;R&gt;0&lt;/R&gt;&lt;C&gt;0&lt;/C&gt;&lt;/FQL&gt;&lt;FQL&gt;&lt;Q&gt;Ticker0024^FE_ESTIMATE(DEFREVENUE,MEAN,QUARTERLY_ROLL,2015/2F,45681,,,'')&lt;/Q&gt;&lt;R&gt;0&lt;/R&gt;&lt;C&gt;0&lt;/C&gt;&lt;/FQL&gt;&lt;FQL&gt;&lt;Q&gt;Ticker0024^FE_ESTIMATE(DEFREVENUE,MEAN,QUARTERLY_ROLL,2015/1F,45681,,,'')&lt;/Q&gt;&lt;R&gt;0&lt;/R&gt;&lt;C&gt;0&lt;/C&gt;&lt;/FQL&gt;&lt;FQL&gt;&lt;Q&gt;Ticker0024^FE_ESTIMATE(DEFREVENUE_LT,MEAN,ANNUAL_ROLL,2030,45681,,,'')&lt;/Q&gt;&lt;R&gt;0&lt;/R&gt;&lt;C&gt;0&lt;/C&gt;&lt;/FQL&gt;&lt;FQL&gt;&lt;Q&gt;Ticker0024^FE_ESTIMATE(DEFREVENUE_LT,MEAN,QUARTERLY_ROLL,2030/4F,45681,,,'')&lt;/Q&gt;&lt;R&gt;0&lt;/R&gt;&lt;C&gt;0&lt;/C&gt;&lt;/FQL&gt;&lt;FQL&gt;&lt;Q&gt;Ticker0024^FE_ESTIMATE(DEFREVENUE_LT,MEAN,QUARTERLY_ROLL,2030/3F,45681,,,'')&lt;/Q&gt;&lt;R&gt;0&lt;/R&gt;&lt;C&gt;0&lt;/C&gt;&lt;/FQL&gt;&lt;FQL&gt;&lt;Q&gt;Ticker0024^FE_ESTIMATE(DEFREVENUE_LT,MEAN,QUARTERLY_ROLL,2030/2F,45681,,,'')&lt;/Q&gt;&lt;R&gt;0&lt;/R&gt;&lt;C&gt;0&lt;/C&gt;&lt;/FQL&gt;&lt;FQL&gt;&lt;Q&gt;Ticker0024^FE_ESTIMATE(DEFREVENUE_LT,MEAN,QUARTERLY_ROLL,2030/1F,45681,,,'')&lt;/Q&gt;&lt;R&gt;0&lt;/R&gt;&lt;C&gt;0&lt;/C&gt;&lt;/FQL&gt;&lt;FQL&gt;&lt;Q&gt;Ticker0024^FE_ESTIMATE(DEFREVENUE_LT,MEAN,ANNUAL_ROLL,2029,45681,,,'')&lt;/Q&gt;&lt;R&gt;0&lt;/R&gt;&lt;C&gt;0&lt;/C&gt;&lt;/FQL&gt;&lt;FQL&gt;&lt;Q&gt;Ticker0024^FE_ESTIMATE(DEFREVENUE_LT,MEAN,QUARTERLY_ROLL,2029/4F,45681,,,'')&lt;/Q&gt;&lt;R&gt;0&lt;/R&gt;&lt;C&gt;0&lt;/C&gt;&lt;/FQL&gt;&lt;FQL&gt;&lt;Q&gt;Ticker0024^FE_ESTIMATE(DEFREVENUE_LT,MEAN,QUARTERLY_ROLL,2029/3F,45681,,,'')&lt;/Q&gt;&lt;R&gt;0&lt;/R&gt;&lt;C&gt;0&lt;/C&gt;&lt;/FQL&gt;&lt;FQL&gt;&lt;Q&gt;Ticker0024^FE_ESTIMATE(DEFREVENUE_LT,MEAN,QUARTERLY_ROLL,2029/2F,45681,,,'')&lt;/Q&gt;&lt;R&gt;0&lt;/R&gt;&lt;C&gt;0&lt;/C&gt;&lt;/FQL&gt;&lt;FQL&gt;&lt;Q&gt;Ticker0024^FE_ESTIMATE(DEFREVENUE_LT,MEAN,QUARTERLY_ROLL,2029/1F,45681,,,'')&lt;/Q&gt;&lt;R&gt;0&lt;/R&gt;&lt;C&gt;0&lt;/C&gt;&lt;/FQL&gt;&lt;FQL&gt;&lt;Q&gt;Ticker0024^FE_ESTIMATE(DEFREVENUE_LT,MEAN,ANNUAL_ROLL,2028,45681,,,'')&lt;/Q&gt;&lt;R&gt;0&lt;/R&gt;&lt;C&gt;0&lt;/C&gt;&lt;/FQL&gt;&lt;FQL&gt;&lt;Q&gt;Ticker0024^FE_ESTIMATE(DEFREVENUE_LT,MEAN,QUARTERLY_ROLL,2028/4F,45681,,,'')&lt;/Q&gt;&lt;R&gt;0&lt;/R&gt;&lt;C&gt;0&lt;/C&gt;&lt;/FQL&gt;&lt;FQL&gt;&lt;Q&gt;Ticker0024^FE_ESTIMATE(DEFREVENUE_LT,MEAN,QUARTERLY_ROLL,2028/3F,45681,,,'')&lt;/Q&gt;&lt;R&gt;0&lt;/R&gt;&lt;C&gt;0&lt;/C&gt;&lt;/FQL&gt;&lt;FQL&gt;&lt;Q&gt;Ticker0024^FE_ESTIMATE(DEFREVENUE_LT,MEAN,QUARTERLY_ROLL,2028/2F,45681,,,'')&lt;/Q&gt;&lt;R&gt;0&lt;/R&gt;&lt;C&gt;0&lt;/C&gt;&lt;/FQL&gt;&lt;FQL&gt;&lt;Q&gt;Ticker0024^FE_ESTIMATE(DEFREVENUE_LT,MEAN,QUARTERLY_ROLL,2028/1F,45681,,,'')&lt;/Q&gt;&lt;R&gt;0&lt;/R&gt;&lt;C&gt;0&lt;/C&gt;&lt;/FQL&gt;&lt;FQL&gt;&lt;Q&gt;Ticker0024^FE_ESTIMATE(DEFREVENUE_LT,MEAN,ANNUAL_ROLL,2027,45681,,,'')&lt;/Q&gt;&lt;R&gt;1&lt;/R&gt;&lt;C&gt;1&lt;/C&gt;&lt;D xsi:type="xsd:double"&gt;3710.5&lt;/D&gt;&lt;/FQL&gt;&lt;FQL&gt;&lt;Q&gt;Ticker0024^FE_ESTIMATE(DEFREVENUE_LT,MEAN,QUARTERLY_ROLL,2027/4F,45681,,,'')&lt;/Q&gt;&lt;R&gt;0&lt;/R&gt;&lt;C&gt;0&lt;/C&gt;&lt;/FQL&gt;&lt;FQL&gt;&lt;Q&gt;Ticker0024^FE_ESTIMATE(DEFREVENUE_LT,MEAN,QUARTERLY_ROLL,2027/3F,45681,,,'')&lt;/Q&gt;&lt;R&gt;0&lt;/R&gt;&lt;C&gt;0&lt;/C&gt;&lt;/FQL&gt;&lt;FQL&gt;&lt;Q&gt;Ticker0024^FE_ESTIMATE(DEFREVENUE_LT,MEAN,QUARTERLY_ROLL,2027/2F,45681,,,'')&lt;/Q&gt;&lt;R&gt;0&lt;/R&gt;&lt;C&gt;0&lt;/C&gt;&lt;/FQL&gt;&lt;FQL&gt;&lt;Q&gt;Ticker0024^FE_ESTIMATE(DEFREVENUE_LT,MEAN,QUARTERLY_ROLL,2027/1F,45681,,,'')&lt;/Q&gt;&lt;R&gt;0&lt;/R&gt;&lt;C&gt;0&lt;/C&gt;&lt;/FQL&gt;&lt;FQL&gt;&lt;Q&gt;Ticker0024^FE_ESTIMATE(DEFREVENUE_LT,MEAN,ANNUAL_ROLL,2026,45681,,,'')&lt;/Q&gt;&lt;R&gt;1&lt;/R&gt;&lt;C&gt;1&lt;/C&gt;&lt;D xsi:type="xsd:double"&gt;3175.05&lt;/D&gt;&lt;/FQL&gt;&lt;FQL&gt;&lt;Q&gt;Ticker0024^FE_ESTIMATE(DEFREVENUE_LT,MEAN,QUARTERLY_ROLL,2026/4F,45681,,,'')&lt;/Q&gt;&lt;R&gt;1&lt;/R&gt;&lt;C&gt;1&lt;/C&gt;&lt;D xsi:type="xsd:double"&gt;3070.86&lt;/D&gt;&lt;/FQL&gt;&lt;FQL&gt;&lt;Q&gt;Ticker0024^FE_ESTIMATE(DEFREVENUE_LT,MEAN,QUARTERLY_ROLL,2026/3F,45681,,,'')&lt;/Q&gt;&lt;R&gt;1&lt;/R&gt;&lt;C&gt;1&lt;/C&gt;&lt;D xsi:type="xsd:double"&gt;3191.34&lt;/D&gt;&lt;/FQL&gt;&lt;FQL&gt;&lt;Q&gt;Ticker0024^FE_ESTIMATE(DEFREVENUE_LT,MEAN,QUARTERLY_ROLL,2026/2F,45681,,,'')&lt;/Q&gt;&lt;R&gt;1&lt;/R&gt;&lt;C&gt;1&lt;/C&gt;&lt;D xsi:type="xsd:double"&gt;3201.4&lt;/D&gt;&lt;/FQL&gt;&lt;FQL&gt;&lt;Q&gt;Ticker0024^FE_ESTIMATE(DEFREVENUE_LT,MEAN,QUARTERLY_ROLL,2026/1F,45681,,,'')&lt;/Q&gt;&lt;R&gt;1&lt;/R&gt;&lt;C&gt;1&lt;/C&gt;&lt;D xsi:type="xsd:double"&gt;2959.38&lt;/D&gt;&lt;/FQL&gt;&lt;FQL&gt;&lt;Q&gt;Ticker0024^FE_ESTIMATE(DEFREVENUE_LT,MEAN,ANNUAL_ROLL,2025,45681,,,'')&lt;/Q&gt;&lt;R&gt;1&lt;/R&gt;&lt;C&gt;1&lt;/C&gt;&lt;D xsi:type="xsd:double"&gt;2916.5&lt;/D&gt;&lt;/FQL&gt;&lt;FQL&gt;&lt;Q&gt;Ticker0024^FE_ESTIMATE(DEFREVENUE_LT,MEAN,QUARTERLY_ROLL,2025/4F,45681,,,'')&lt;/Q&gt;&lt;R&gt;1&lt;/R&gt;&lt;C&gt;1&lt;/C&gt;&lt;D xsi:type="xsd:double"&gt;2975.1428&lt;/D&gt;&lt;/FQL&gt;&lt;FQL&gt;&lt;Q&gt;Ticker0024^FE_ESTIMATE(DEFREVENUE_LT,MEAN,QUARTERLY_ROLL,2025/3F,45681,,,'')&lt;/Q&gt;&lt;R&gt;1&lt;/R&gt;&lt;C&gt;1&lt;/C&gt;&lt;D xsi:type="xsd:double"&gt;2983&lt;/D&gt;&lt;/FQL&gt;&lt;FQL&gt;&lt;Q&gt;Ticker0024^FE_ESTIMATE(DEFREVENUE_LT,MEAN,QUARTERLY_ROLL,2025/2F,45681,,,'')&lt;/Q&gt;&lt;R&gt;1&lt;/R&gt;&lt;C&gt;1&lt;/C&gt;&lt;D xsi:type="xsd:double"&gt;3023.825&lt;/D&gt;&lt;/FQL&gt;&lt;FQL&gt;&lt;Q&gt;Ticker0024^FE_ESTIMATE(DEFREVENUE_LT,MEAN,QUARTERLY_ROLL,2025/1F,45681,,,'')&lt;/Q&gt;&lt;R&gt;1&lt;/R&gt;&lt;C&gt;1&lt;/C&gt;&lt;D xsi:type="xsd:double"&gt;2662.6667&lt;/D&gt;&lt;/FQL&gt;&lt;FQL&gt;&lt;Q&gt;Ticker0024^FE_ESTIMATE(DEFREVENUE_LT,MEAN,ANNUAL_ROLL,2024,45681,,,'')&lt;/Q&gt;&lt;R&gt;1&lt;/R&gt;&lt;C&gt;1&lt;/C&gt;&lt;D xsi:type="xsd:double"&gt;2601.75&lt;/D&gt;&lt;/FQL&gt;&lt;FQL&gt;&lt;Q&gt;Ticker0024^FE_ESTIMATE(DEFREVENUE_LT,MEAN,QUARTERLY_ROLL,2024/4F,45681,,,'')&lt;/Q&gt;&lt;R&gt;1&lt;/R&gt;&lt;C&gt;1&lt;/C&gt;&lt;D xsi:type="xsd:double"&gt;2601.75&lt;/D&gt;&lt;/FQL&gt;&lt;FQL&gt;&lt;Q&gt;Ticker0024^FE_ESTIMATE(DEFREVENUE_LT,MEAN,QUARTERLY_ROLL,2024/3F,45681,,,'')&lt;/Q&gt;&lt;R&gt;1&lt;/R&gt;&lt;C&gt;1&lt;/C&gt;&lt;D xsi:type="xsd:double"&gt;2945.7144&lt;/D&gt;&lt;/FQL&gt;&lt;FQL&gt;&lt;Q&gt;Ticker0024^FE_ESTIMATE(DEFREVENUE_LT,MEAN,QUARTERLY_ROLL,2024/2F,45681,,,'')&lt;/Q&gt;&lt;R&gt;1&lt;/R&gt;&lt;C&gt;1&lt;/C&gt;&lt;D xsi:type="xsd:double"&gt;2966.5715&lt;/D&gt;&lt;/FQL&gt;&lt;FQL&gt;&lt;Q&gt;Ticker0024^FE_ESTIMATE(DEFREVENUE_LT,MEAN,QUARTERLY_ROLL,2024/1F,45681,,,'')&lt;/Q&gt;&lt;R&gt;1&lt;/R&gt;&lt;C&gt;1&lt;/C&gt;&lt;D xsi:type="xsd:double"&gt;2759.1428&lt;/D&gt;&lt;/FQL&gt;&lt;FQL&gt;&lt;Q&gt;Ticker0024^FE_ESTIMATE(DEFREVENUE_LT,MEAN,ANNUAL_ROLL,2023,45681,,,'')&lt;/Q&gt;&lt;R&gt;1&lt;/R&gt;&lt;C&gt;1&lt;/C&gt;&lt;D xsi:type="xsd:double"&gt;2911.75&lt;/D&gt;&lt;/FQL&gt;&lt;FQL&gt;&lt;Q&gt;Ticker0024^FE_ESTIMATE(DEFREVENUE_LT,MEAN,QUARTERLY_ROLL,2023/4F,45681,,,'')&lt;/Q&gt;&lt;R&gt;1&lt;/R&gt;&lt;C&gt;1&lt;/C&gt;&lt;D xsi:type="xsd:double"&gt;2911.7144&lt;/D&gt;&lt;/FQL&gt;&lt;FQL&gt;&lt;Q&gt;Ticker0024^FE_ESTIMATE(DEFREVENUE_LT,MEAN,QUARTERLY_ROLL,2023/3F,45681,,,'')&lt;/Q&gt;&lt;R&gt;1&lt;/R&gt;&lt;C&gt;1&lt;/C&gt;&lt;D xsi:type="xsd:double"&gt;2698.3333&lt;/D&gt;&lt;/FQL&gt;&lt;FQL&gt;&lt;Q&gt;Ticker0024^FE_ESTIMATE(DEFREVENUE_LT,MEAN,QUARTERLY_ROLL,2023/2F,45681,,,'')&lt;/Q&gt;&lt;R&gt;1&lt;/R&gt;&lt;C&gt;1&lt;/C&gt;&lt;D xsi:type="xsd:double"&gt;2643.3333&lt;/D&gt;&lt;/FQL&gt;&lt;FQL&gt;&lt;Q&gt;Ticker0024^FE_ESTIMATE(DEFREVENUE_LT,MEAN,QUARTERLY_ROLL,2023/1F,45681,,,'')&lt;/Q&gt;&lt;R&gt;1&lt;/R&gt;&lt;C&gt;1&lt;/C&gt;&lt;D xsi:type="xsd:double"&gt;2549.1428&lt;/D&gt;&lt;/FQL&gt;&lt;FQL&gt;&lt;Q&gt;Ticker0024^FE_ESTIMATE(DEFREVENUE_LT,MEAN,ANNUAL_ROLL,2022,45681,,,'')&lt;/Q&gt;&lt;R&gt;1&lt;/R&gt;&lt;C&gt;1&lt;/C&gt;&lt;D xsi:type="xsd:double"&gt;2870&lt;/D&gt;&lt;/FQL&gt;&lt;FQL&gt;&lt;Q&gt;Ticker0024^FE_ESTIMATE(DEFREVENUE_LT,MEAN,QUARTERLY_ROLL,2022/4F,45681,,,'')&lt;/Q&gt;&lt;R&gt;1&lt;/R&gt;&lt;C&gt;1&lt;/C&gt;&lt;D xsi:type="xsd:double"&gt;2870&lt;/D&gt;&lt;/FQL&gt;&lt;FQL&gt;&lt;Q&gt;Ticker0024^FE_ESTIMATE(DEFREVENUE_LT,MEAN,QUARTERLY_ROLL,2022/3F,45681,,,'')&lt;/Q&gt;&lt;R&gt;1&lt;/R&gt;&lt;C&gt;1&lt;/C&gt;&lt;D xsi:type="xsd:double"&gt;2769&lt;/D&gt;&lt;/FQL&gt;&lt;FQL&gt;&lt;Q&gt;Ticker0024^FE_ESTIMATE(DEFREVENUE_LT,MEAN,QUARTERLY_ROLL,2022/2F,45681,,,'')&lt;/Q&gt;&lt;R&gt;1&lt;/R&gt;&lt;C&gt;1&lt;/C&gt;&lt;D xsi:type="xsd:double"&gt;2768&lt;/D&gt;&lt;/FQL&gt;&lt;FQL&gt;&lt;Q&gt;Ticker0024^FE_ESTIMATE(DEFREVENUE_LT,MEAN,QUARTERLY_ROLL,2022/1F,45681,,,'')&lt;/Q&gt;&lt;R&gt;1&lt;/R&gt;&lt;C&gt;1&lt;/C&gt;&lt;D xsi:type="xsd:double"&gt;2550&lt;/D&gt;&lt;/FQL&gt;&lt;FQL&gt;&lt;Q&gt;Ticker0024^FE_ESTIMATE(DEFREVENUE_LT,MEAN,ANNUAL_ROLL,2021,45681,,,'')&lt;/Q&gt;&lt;R&gt;1&lt;/R&gt;&lt;C&gt;1&lt;/C&gt;&lt;D xsi:type="xsd:double"&gt;2616&lt;/D&gt;&lt;/FQL&gt;&lt;FQL&gt;&lt;Q&gt;Ticker0024^FE_ESTIMATE(DEFREVENUE_LT,MEAN,QUARTERLY_ROLL,2021/4F,45681,,,'')&lt;/Q&gt;&lt;R&gt;1&lt;/R&gt;&lt;C&gt;1&lt;/C&gt;&lt;D xsi:type="xsd:double"&gt;2616&lt;/D&gt;&lt;/FQL&gt;&lt;FQL&gt;&lt;Q&gt;Ticker0024^FE_ESTIMATE(DEFREVENUE_LT,MEAN,QUARTERLY_ROLL,2021/3F,45681,,,'')&lt;/Q&gt;&lt;R&gt;1&lt;/R&gt;&lt;C&gt;1&lt;/C&gt;&lt;D xsi:type="xsd:double"&gt;2631&lt;/D&gt;&lt;/FQL&gt;&lt;FQL&gt;&lt;Q&gt;Ticker0024^FE_ESTIMATE(DEFREVENUE_LT,MEAN,QUARTERLY_ROLL,2021/2F,45681,,,'')&lt;/Q&gt;&lt;R&gt;1&lt;/R&gt;&lt;C&gt;1&lt;/C&gt;&lt;D xsi:type="xsd:double"&gt;2985&lt;/D&gt;&lt;/FQL&gt;&lt;FQL&gt;&lt;Q&gt;Ticker0024^FE_ESTIMATE(DEFREVENUE_LT,MEAN,QUARTERLY_ROLL,2021/1F,45681,,,'')&lt;/Q&gt;&lt;R&gt;1&lt;/R&gt;&lt;C&gt;1&lt;/C&gt;&lt;D xsi:type="xsd:double"&gt;2829&lt;/D&gt;&lt;/FQL&gt;&lt;FQL&gt;&lt;Q&gt;Ticker0024^FE_ESTIMATE(DEFREVENUE_LT,MEAN,ANNUAL_ROLL,2020,45681,,,'')&lt;/Q&gt;&lt;R&gt;1&lt;/R&gt;&lt;C&gt;1&lt;/C&gt;&lt;D xsi:type="xsd:double"&gt;3180&lt;/D&gt;&lt;/FQL&gt;&lt;FQL&gt;&lt;Q&gt;Ticker0024^FE_ESTIMATE(DEFREVENUE_LT,MEAN,QUARTERLY_ROLL,2020/4F,45681,,,'')&lt;/Q&gt;&lt;R&gt;1&lt;/R&gt;&lt;C&gt;1&lt;/C&gt;&lt;D xsi:type="xsd:double"&gt;3180&lt;/D&gt;&lt;/FQL&gt;&lt;FQL&gt;&lt;Q&gt;Ticker0024^FE_ESTIMATE(DEFREVENUE_LT,MEAN,QUARTERLY_ROLL,2020/3F,45681,,,'')&lt;/Q&gt;&lt;R&gt;1&lt;/R&gt;&lt;C&gt;1&lt;/C&gt;&lt;D xsi:type="xsd:double"&gt;3385&lt;/D&gt;&lt;/FQL&gt;&lt;FQL&gt;&lt;Q&gt;Ticker0024^FE_ESTIMATE(DEFREVENUE_LT,MEAN,QUARTERLY_ROLL,2020/2F,45681,,,'')&lt;/Q&gt;&lt;R&gt;1&lt;/R&gt;&lt;C&gt;1&lt;/C&gt;&lt;D xsi:type="xsd:double"&gt;3878&lt;/D&gt;&lt;/FQL&gt;&lt;FQL&gt;&lt;Q&gt;Ticker0024^FE_ESTIMATE(DEFREVENUE_LT,MEAN,QUARTERLY_ROLL,2020/1F,45681,,,'')&lt;/Q&gt;&lt;R&gt;1&lt;/R&gt;&lt;C&gt;1&lt;/C&gt;&lt;D xsi:type="xsd:double"&gt;4122&lt;/D&gt;&lt;/FQL&gt;&lt;FQL&gt;&lt;Q&gt;Ticker0024^FE_ESTIMATE(DEFREVENUE_LT,MEAN,ANNUAL_ROLL,2019,45681,,,'')&lt;/Q&gt;&lt;R&gt;1&lt;/R&gt;&lt;C&gt;1&lt;/C&gt;&lt;D xsi:type="xsd:double"&gt;4530&lt;/D&gt;&lt;/FQL&gt;&lt;FQL&gt;&lt;Q&gt;Ticker0024^FE_ESTIMATE(DEFREVENUE_LT,MEAN,QUARTERLY_ROLL,2019/4F,45681,,,'')&lt;/Q&gt;&lt;R&gt;1&lt;/R&gt;&lt;C&gt;1&lt;/C&gt;&lt;D xsi:type="xsd:double"&gt;4530&lt;/D&gt;&lt;/FQL&gt;&lt;FQL&gt;&lt;Q&gt;Ticker0024^FE_ESTIMATE(DEFREVENUE_LT,MEAN,QUARTERLY_ROLL,2019/3F,45681,,,'')&lt;/Q&gt;&lt;R&gt;1&lt;/R&gt;&lt;C&gt;1&lt;/C&gt;&lt;D xsi:type="xsd:double"&gt;3884&lt;/D&gt;&lt;/FQL&gt;&lt;FQL&gt;&lt;Q&gt;Ticker0024^FE_ESTIMATE(DEFREVENUE_LT,MEAN,QUARTERLY_ROLL,2019/2F,45681,,,'')&lt;/Q&gt;&lt;R&gt;1&lt;/R&gt;&lt;C&gt;1&lt;/C&gt;&lt;D xsi:type="xsd:double"&gt;3799&lt;/D&gt;&lt;/FQL&gt;&lt;FQL&gt;&lt;Q&gt;Ticker0024^FE_ESTIMATE(DEFREVENUE_LT,MEAN,QUARTERLY_ROLL,2019/1F,45681,,,'')&lt;/Q&gt;&lt;R&gt;1&lt;/R&gt;&lt;C&gt;1&lt;/C&gt;&lt;D xsi:type="xsd:double"&gt;3538&lt;/D&gt;&lt;/FQL&gt;&lt;FQL&gt;&lt;Q&gt;Ticker0024^FE_ESTIMATE(DEFREVENUE_LT,MEAN,ANNUAL_ROLL,2018,45681,,,'')&lt;/Q&gt;&lt;R&gt;1&lt;/R&gt;&lt;C&gt;1&lt;/C&gt;&lt;D xsi:type="xsd:double"&gt;3815&lt;/D&gt;&lt;/FQL&gt;&lt;FQL&gt;&lt;Q&gt;Ticker0024^FE_ESTIMATE(DEFREVENUE_LT,MEAN,QUARTERLY_ROLL,2018/4F,45681,,,'')&lt;/Q&gt;&lt;R&gt;1&lt;/R&gt;&lt;C&gt;1&lt;/C&gt;&lt;D xsi:type="xsd:double"&gt;3815&lt;/D&gt;&lt;/FQL&gt;&lt;FQL&gt;&lt;Q&gt;Ticker0024^FE_ESTIMATE(DEFREVENUE_LT,MEAN,QUARTERLY_ROLL,2018/3F,45681,,,'')&lt;/Q&gt;&lt;R&gt;1&lt;/R&gt;&lt;C&gt;1&lt;/C&gt;&lt;D xsi:type="xsd:double"&gt;2585&lt;/D&gt;&lt;/FQL&gt;&lt;FQL&gt;&lt;Q&gt;Ticker0024^FE_ESTIMATE(DEFREVENUE_LT,MEAN,QUARTERLY_ROLL,2018/2F,45681,,,'')&lt;/Q&gt;&lt;R&gt;1&lt;/R&gt;&lt;C&gt;1&lt;/C&gt;&lt;D xsi:type="xsd:double"&gt;2500&lt;/D&gt;&lt;/FQL&gt;&lt;FQL&gt;&lt;Q&gt;Ticker0024^FE_ESTIMATE(DEFREVENUE_LT,MEAN,QUARTERLY_ROLL,2018/1F,45681,,,'')&lt;/Q&gt;&lt;R&gt;1&lt;/R&gt;&lt;C&gt;1&lt;/C&gt;&lt;D xsi:type="xsd:double"&gt;2126&lt;/D&gt;&lt;/FQL&gt;&lt;FQL&gt;&lt;Q&gt;Ticker0024^FE_ESTIMATE(DEFREVENUE_LT,MEAN,ANNUAL_ROLL,2017,45681,,,'')&lt;/Q&gt;&lt;R&gt;1&lt;/R&gt;&lt;C&gt;1&lt;/C&gt;&lt;D xsi:type="xsd:double"&gt;10377&lt;/D&gt;&lt;/FQL&gt;&lt;FQL&gt;&lt;Q&gt;Ticker0024^FE_ESTIMATE(DEFREVENUE_LT,MEAN,QUARTERLY_ROLL,2017/4F,45681,,,'')&lt;/Q&gt;&lt;R&gt;1&lt;/R&gt;&lt;C&gt;1&lt;/C&gt;&lt;D xsi:type="xsd:double"&gt;10377&lt;/D&gt;&lt;/FQL&gt;&lt;FQL&gt;&lt;Q&gt;Ticker0024^FE_ESTIMATE(DEFREVENUE_LT,MEAN,QUARTERLY_ROLL,2017/3F,45681,,,'')&lt;/Q&gt;&lt;R&gt;1&lt;/R&gt;&lt;C&gt;1&lt;/C&gt;&lt;D xsi:type="xsd:double"&gt;9215&lt;/D&gt;&lt;/FQL&gt;&lt;FQL&gt;&lt;Q&gt;Ticker0024^FE_ESTIMATE(DEFREVENUE_LT,MEAN,QUARTERLY_ROLL,2017/2F,45681,,,'')&lt;/Q&gt;&lt;R&gt;1&lt;/R&gt;&lt;C&gt;1&lt;/C&gt;&lt;D xsi:type="xsd:double"&gt;8595&lt;/D&gt;&lt;/FQL&gt;&lt;FQL&gt;&lt;Q&gt;Ticker0024^FE_ESTIMATE(DEFREVENUE_LT,MEAN,QUARTERLY_ROLL,2017/1F,45681,,,'')&lt;/Q&gt;&lt;R&gt;1&lt;/R&gt;&lt;C&gt;1&lt;/C&gt;&lt;D xsi:type="xsd:double"&gt;7284&lt;/D&gt;&lt;/FQL&gt;&lt;FQL&gt;&lt;Q&gt;Ticker0024^FE_ESTIMATE(DEFREVENUE_LT,MEAN,ANNUAL_ROLL,2016,45681,,,'')&lt;/Q&gt;&lt;R&gt;1&lt;/R&gt;&lt;C&gt;1&lt;/C&gt;&lt;D xsi:type="xsd:double"&gt;6441&lt;/D&gt;&lt;/FQL&gt;&lt;FQL&gt;&lt;Q&gt;Ticker0024^FE_ESTIMATE(DEFREVENUE_LT,MEAN,QUARTERLY_ROLL,2016/4F,45681,,,'')&lt;/Q&gt;&lt;R&gt;1&lt;/R&gt;&lt;C&gt;1&lt;/C&gt;&lt;D xsi:type="xsd:double"&gt;6441&lt;/D&gt;&lt;/FQL&gt;&lt;FQL&gt;&lt;Q&gt;Ticker0024^FE_ESTIMATE(DEFREVENUE_LT,MEAN,QUARTERLY_ROLL,2016/3F,45681,,,'')&lt;/Q&gt;&lt;R&gt;1&lt;/R&gt;&lt;C&gt;1&lt;/C&gt;&lt;D xsi:type="xsd:double"&gt;5017&lt;/D&gt;&lt;/FQL&gt;&lt;FQL&gt;&lt;Q&gt;Ticker0024^FE_ESTIMATE(DEFREVENUE_LT,MEAN,QUARTERLY_ROLL,2016/2F,45681,,,'')&lt;/Q&gt;&lt;R&gt;1&lt;/R&gt;&lt;C&gt;1&lt;/C&gt;&lt;D xsi:type="xsd:double"&gt;4102&lt;/D&gt;&lt;/FQL&gt;&lt;FQL&gt;&lt;Q&gt;Ticker0024^FE_ESTIMATE(DEFREVENUE_LT,MEAN,QUARTERLY_ROLL,2016/1F,45681,,,'')&lt;/Q&gt;&lt;R&gt;1&lt;/R&gt;&lt;C&gt;1&lt;/C&gt;&lt;D xsi:type="xsd:double"&gt;2784&lt;/D&gt;&lt;/FQL&gt;&lt;FQL&gt;&lt;Q&gt;Ticker0024^FE_ESTIMATE(DEFREVENUE_LT,MEAN,ANNUAL_ROLL,2015,45681,,,'')&lt;/Q&gt;&lt;R&gt;1&lt;/R&gt;&lt;C&gt;1&lt;/C&gt;&lt;D xsi:type="xsd:double"&gt;2095&lt;/D&gt;&lt;/FQL&gt;&lt;FQL&gt;&lt;Q&gt;Ticker0024^FE_ESTIMATE(DEFREVENUE_LT,MEAN,QUARTERLY_ROLL,2015/4F,45681,,,'')&lt;/Q&gt;&lt;R&gt;1&lt;/R&gt;&lt;C&gt;1&lt;/C&gt;&lt;D xsi:type="xsd:double"&gt;2095&lt;/D&gt;&lt;/FQL&gt;&lt;FQL&gt;&lt;Q&gt;Ticker0024^FE_ESTIMATE(DEFREVENUE_LT,MEAN,QUARTERLY_ROLL,2015/3F,45681,,,'')&lt;/Q&gt;&lt;R&gt;1&lt;/R&gt;&lt;C&gt;1&lt;/C&gt;&lt;D xsi:type="xsd:double"&gt;1966&lt;/D&gt;&lt;/FQL&gt;&lt;FQL&gt;&lt;Q&gt;Ticker0024^FE_ESTIMATE(DEFREVENUE_LT,MEAN,QUARTERLY_ROLL,2015/2F,45681,,,'')&lt;/Q&gt;&lt;R&gt;1&lt;/R&gt;&lt;C&gt;1&lt;/C&gt;&lt;D xsi:type="xsd:double"&gt;2035.2727&lt;/D&gt;&lt;/FQL&gt;&lt;FQL&gt;&lt;Q&gt;Ticker0024^FE_ESTIMATE(DEFREVENUE_LT,MEAN,QUARTERLY_ROLL,2015/1F,45681,,,'')&lt;/Q&gt;&lt;R&gt;1&lt;/R&gt;&lt;C&gt;1&lt;/C&gt;&lt;D xsi:type="xsd:double"&gt;1825&lt;/D&gt;&lt;/FQL&gt;&lt;FQL&gt;&lt;Q&gt;Ticker0024^FE_ESTIMATE(DEFREVENUE_ST,MEAN,ANNUAL_ROLL,2030,45681,,,'')&lt;/Q&gt;&lt;R&gt;0&lt;/R&gt;&lt;C&gt;0&lt;/C&gt;&lt;/FQL&gt;&lt;FQL&gt;&lt;Q&gt;Ticker0024^FE_ESTIMATE(DEFREVENUE_ST,MEAN,QUARTERLY_ROLL,2030/4F,45681,,,'')&lt;/Q&gt;&lt;R&gt;0&lt;/R&gt;&lt;C&gt;0&lt;/C&gt;&lt;/FQL&gt;&lt;FQL&gt;&lt;Q&gt;Ticker0024^FE_ESTIMATE(DEFREVENUE_ST,MEAN,QUARTERLY_ROLL,2030/3F,45681,,,'')&lt;/Q&gt;&lt;R&gt;0&lt;/R&gt;&lt;C&gt;0&lt;/C&gt;&lt;/FQL&gt;&lt;FQL&gt;&lt;Q&gt;Ticker0024^FE_ESTIMATE(DEFREVENUE_ST,MEAN,QUARTERLY_ROLL,2030/2F,45681,,,'')&lt;/Q&gt;&lt;R&gt;0&lt;/R&gt;&lt;C&gt;0&lt;/C&gt;&lt;/FQL&gt;&lt;FQL&gt;&lt;Q&gt;Ticker0024^FE_ESTIMATE(DEFREVENUE_ST,MEAN,QUARTERLY_ROLL,2030/1F,45681,,,'')&lt;/Q&gt;&lt;R&gt;0&lt;/R&gt;&lt;C&gt;0&lt;/C&gt;&lt;/FQL&gt;&lt;FQL&gt;&lt;Q&gt;Ticker0024^FE_ESTIMATE(DEFREVENUE_ST,MEAN,ANNUAL_ROLL,2029,45681,,,'')&lt;/Q&gt;&lt;R&gt;0&lt;/R&gt;&lt;C&gt;0&lt;/C&gt;&lt;/FQL&gt;&lt;FQL&gt;&lt;Q&gt;Ticker0024^FE_ESTIMATE(DEFREVENUE_ST,MEAN,QUARTERLY_ROLL,2029/4F,45681,,,'')&lt;/Q&gt;&lt;R&gt;0&lt;/R&gt;&lt;C&gt;0&lt;/C&gt;&lt;/FQL&gt;&lt;FQL&gt;&lt;Q&gt;Ticker0024^FE_ESTIMATE(DEFREVENUE_ST,MEAN,QUARTERLY_ROLL,2029/3F,45681,,,'')&lt;/Q&gt;&lt;R&gt;0&lt;/R&gt;&lt;C&gt;0&lt;/C&gt;&lt;/FQL&gt;&lt;FQL&gt;&lt;Q&gt;Ticker0024^FE_ESTIMATE(DEFREVENUE_ST,MEAN,QUARTERLY_ROLL,2029/2F,45681,,,'')&lt;/Q&gt;&lt;R&gt;0&lt;/R&gt;&lt;C&gt;0&lt;/C&gt;&lt;/FQL&gt;&lt;FQL&gt;&lt;Q&gt;Ticker0024^FE_ESTIMATE(DEFREVENUE_ST,MEAN,QUARTERLY_ROLL,2029/1F,45681,,,'')&lt;/Q&gt;&lt;R&gt;0&lt;/R&gt;&lt;C&gt;0&lt;/C&gt;&lt;/FQL&gt;&lt;FQL&gt;&lt;Q&gt;Ticker0024^FE_ESTIMATE(DEFREVENUE_ST,MEAN,ANNUAL_ROLL,2028,45681,,,'')&lt;/Q&gt;&lt;R&gt;0&lt;/R&gt;&lt;C&gt;0&lt;/C&gt;&lt;/FQL&gt;&lt;FQL&gt;&lt;Q&gt;Ticker0024^FE_ESTIMATE(DEFREVENUE_ST,MEAN,QUARTERLY_ROLL,2028/4F,45681,,,'')&lt;/Q&gt;&lt;R&gt;0&lt;/R&gt;&lt;C&gt;0&lt;/C&gt;&lt;/FQL&gt;&lt;FQL&gt;&lt;Q&gt;Ticker0024^FE_ESTIMATE(DEFREVENUE_ST,MEAN,QUARTERLY_ROLL,2028/3F,45681,,,'')&lt;/Q&gt;&lt;R&gt;0&lt;/R&gt;&lt;C&gt;0&lt;/C&gt;&lt;/FQL&gt;&lt;FQL&gt;&lt;Q&gt;Ticker0024^FE_ESTIMATE(DEFREVENUE_ST,MEAN,QUARTERLY_ROLL,2028/2F,45681,,,'')&lt;/Q&gt;&lt;R&gt;0&lt;/R&gt;&lt;C&gt;0&lt;/C&gt;&lt;/FQL&gt;&lt;FQL&gt;&lt;Q&gt;Ticker0024^FE_ESTIMATE(DEFREVENUE_ST,MEAN,QUARTERLY_ROLL,2028/1F,45681,,,'')&lt;/Q&gt;&lt;R&gt;0&lt;/R&gt;&lt;C&gt;0&lt;/C&gt;&lt;/FQL&gt;&lt;FQL&gt;&lt;Q&gt;Ticker0024^FE_ESTIMATE(DEFREVENUE_ST,MEAN,ANNUAL_ROLL,2027,45681,,,'')&lt;/Q&gt;&lt;R&gt;1&lt;/R&gt;&lt;C&gt;1&lt;/C&gt;&lt;D xsi:type="xsd:double"&gt;71720.06&lt;/D&gt;&lt;/FQL&gt;&lt;FQL&gt;&lt;Q&gt;Ticker0024^FE_ESTIMATE(DEFREVENUE_ST,MEAN,QUARTERLY_ROLL,2027/4F,45681,,,'')&lt;/Q&gt;&lt;R&gt;0&lt;/R&gt;&lt;C&gt;0&lt;/C&gt;&lt;/FQL&gt;&lt;FQL&gt;&lt;Q&gt;Ticker0024^FE_ESTIMATE(DEFREVENUE_ST,MEAN,QUARTERLY_ROLL,2027/3F,45681,,,'')&lt;/Q&gt;&lt;R&gt;0&lt;/R&gt;&lt;C&gt;0&lt;/C&gt;&lt;/FQL&gt;&lt;FQL&gt;&lt;Q&gt;Ticker0024^FE_ESTIMATE(DEFREVENUE_ST,MEAN,QUARTERLY_ROLL,2027/2F,45681,,,'')&lt;/Q&gt;&lt;R&gt;0&lt;/R&gt;&lt;C&gt;0&lt;/C&gt;&lt;/FQL&gt;&lt;FQL&gt;&lt;Q&gt;Ticker0024^FE_ESTIMATE(DEFREVENUE_ST,MEAN,QUARTERLY_ROLL,2027/1F,45681,,,'')&lt;/Q&gt;&lt;R&gt;0&lt;/R&gt;&lt;C&gt;0&lt;/C&gt;&lt;/FQL&gt;&lt;FQL&gt;&lt;Q&gt;Ticker0024^FE_ESTIMATE(DEFREVENUE_ST,MEAN,ANNUAL_ROLL,2026,45681,,,'')&lt;/Q&gt;&lt;R&gt;1&lt;/R&gt;&lt;C&gt;1&lt;/C&gt;&lt;D xsi:type="xsd:double"&gt;70958.65&lt;/D&gt;&lt;/FQL&gt;&lt;FQL&gt;&lt;Q&gt;Ticker0024^FE_ESTIMATE(DEFREVENUE_ST,MEAN,QUARTERLY_ROLL,2026/4F,45681,,,'')&lt;/Q&gt;&lt;R&gt;1&lt;/R&gt;&lt;C&gt;1&lt;/C&gt;&lt;D xsi:type="xsd:double"&gt;70887.44&lt;/D&gt;&lt;/FQL&gt;&lt;FQL&gt;&lt;Q&gt;Ticker0024^FE_ESTIMATE(DEFREVENUE_ST,MEAN,QUARTERLY_ROLL,2026/3F,45681,,,'')&lt;/Q&gt;&lt;R&gt;1&lt;/R&gt;&lt;C&gt;1&lt;/C&gt;&lt;D xsi:type="xsd:double"&gt;54120.14&lt;/D&gt;&lt;/FQL&gt;&lt;FQL&gt;&lt;Q&gt;Ticker0024^FE_ESTIMATE(DEFREVENUE_ST,MEAN,QUARTERLY_ROLL,2026/2F,45681,,,'')&lt;/Q&gt;&lt;R&gt;1&lt;/R&gt;&lt;C&gt;1&lt;/C&gt;&lt;D xsi:type="xsd:double"&gt;55638.68&lt;/D&gt;&lt;/FQL&gt;&lt;FQL&gt;&lt;Q&gt;Ticker0024^FE_ESTIMATE(DEFREVENUE_ST,MEAN,QUARTERLY_ROLL,2026/1F,45681,,,'')&lt;/Q&gt;&lt;R&gt;1&lt;/R&gt;&lt;C&gt;1&lt;/C&gt;&lt;D xsi:type="xsd:double"&gt;60178.88&lt;/D&gt;&lt;/FQL&gt;&lt;FQL&gt;&lt;Q&gt;Ticker0024^FE_ESTIMATE(DEFREVENUE_ST,MEAN,ANNUAL_ROLL,2025,45681,,,'')&lt;/Q&gt;&lt;R&gt;1&lt;/R&gt;&lt;C&gt;1&lt;/C&gt;&lt;D xsi:type="xsd:double"&gt;64150.64&lt;/D&gt;&lt;/FQL&gt;&lt;FQL&gt;&lt;Q&gt;Ticker0024^FE_ESTIMATE(DEFREVENUE_ST,MEAN,QUARTERLY_ROLL,2025/4F,45681,,,'')&lt;/Q&gt;&lt;R&gt;1&lt;/R&gt;&lt;C&gt;1&lt;/C&gt;&lt;D xsi:type="xsd:double"&gt;63695.05&lt;/D&gt;&lt;/FQL&gt;&lt;FQL&gt;&lt;Q&gt;Ticker0024^FE_ESTIMATE(DEFREVENUE_ST,MEAN,QUARTERLY_ROLL,2025/3F,45681,,,'')&lt;/Q&gt;&lt;R&gt;1&lt;/R&gt;&lt;C&gt;1&lt;/C&gt;&lt;D xsi:type="xsd:double"&gt;48165.3&lt;/D&gt;&lt;/FQL&gt;&lt;FQL&gt;&lt;Q&gt;Ticker0024^FE_ESTIMATE(DEFREVENUE_ST,MEAN,QUARTERLY_ROLL,2025/2F,45681,,,'')&lt;/Q&gt;&lt;R&gt;1&lt;/R&gt;&lt;C&gt;1&lt;/C&gt;&lt;D xsi:type="xsd:double"&gt;49392.6&lt;/D&gt;&lt;/FQL&gt;&lt;FQL&gt;&lt;Q&gt;Ticker0024^FE_ESTIMATE(DEFREVENUE_ST,MEAN,QUARTERLY_ROLL,2025/1F,45681,,,'')&lt;/Q&gt;&lt;R&gt;1&lt;/R&gt;&lt;C&gt;1&lt;/C&gt;&lt;D xsi:type="xsd:double"&gt;53026.5&lt;/D&gt;&lt;/FQL&gt;&lt;FQL&gt;&lt;Q&gt;Ticker0024^FE_ESTIMATE(DEFREVENUE_ST,MEAN,ANNUAL_ROLL,2024,45681,,,'')&lt;/Q&gt;&lt;R&gt;1&lt;/R&gt;&lt;C&gt;1&lt;/C&gt;&lt;D xsi:type="xsd:double"&gt;57725&lt;/D&gt;&lt;/FQL&gt;&lt;FQL&gt;&lt;Q&gt;Ticker0024^FE_ESTIMATE(DEFREVENUE_ST,MEAN,QUARTERLY_ROLL,2024/4F,45681,,,'')&lt;/Q&gt;&lt;R&gt;1&lt;/R&gt;&lt;C&gt;1&lt;/C&gt;&lt;D xsi:type="xsd:double"&gt;57581.75&lt;/D&gt;&lt;/FQL&gt;&lt;FQL&gt;&lt;Q&gt;Ticker0024^FE_ESTIMATE(DEFREVENUE_ST,MEAN,QUARTERLY_ROLL,2024/3F,45681,,,'')&lt;/Q&gt;&lt;R&gt;1&lt;/R&gt;&lt;C&gt;1&lt;/C&gt;&lt;D xsi:type="xsd:double"&gt;41888.285&lt;/D&gt;&lt;/FQL&gt;&lt;FQL&gt;&lt;Q&gt;Ticker0024^FE_ESTIMATE(DEFREVENUE_ST,MEAN,QUARTERLY_ROLL,2024/2F,45681,,,'')&lt;/Q&gt;&lt;R&gt;1&lt;/R&gt;&lt;C&gt;1&lt;/C&gt;&lt;D xsi:type="xsd:double"&gt;43068.285&lt;/D&gt;&lt;/FQL&gt;&lt;FQL&gt;&lt;Q&gt;Ticker0024^FE_ESTIMATE(DEFREVENUE_ST,MEAN,QUARTERLY_ROLL,2024/1F,45681,,,'')&lt;/Q&gt;&lt;R&gt;1&lt;/R&gt;&lt;C&gt;1&lt;/C&gt;&lt;D xsi:type="xsd:double"&gt;46429.168&lt;/D&gt;&lt;/FQL&gt;&lt;FQL&gt;&lt;Q&gt;Ticker0024^FE_ESTIMATE(DEFREVENUE_ST,MEAN,ANNUAL_ROLL,2023,45681,,,'')&lt;/Q&gt;&lt;R&gt;1&lt;/R&gt;&lt;C&gt;1&lt;/C&gt;&lt;D xsi:type="xsd:double"&gt;50900.875&lt;/D&gt;&lt;/FQL&gt;&lt;FQL&gt;&lt;Q&gt;Ticker0024^FE_ESTIMATE(DEFREVENUE_ST,MEAN,QUARTERLY_ROLL,2023/4F,45681,,,'')&lt;/Q&gt;&lt;R&gt;1&lt;/R&gt;&lt;C&gt;1&lt;/C&gt;&lt;D xsi:type="xsd:double"&gt;50900.855&lt;/D&gt;&lt;/FQL&gt;&lt;FQL&gt;&lt;Q&gt;Ticker0024^FE_ESTIMATE(DEFREVENUE_ST,MEAN,QUARTERLY_ROLL,2023/3F,45681,,,'')&lt;/Q&gt;&lt;R&gt;1&lt;/R&gt;&lt;C&gt;1&lt;/C&gt;&lt;D xsi:type="xsd:double"&gt;36902.5&lt;/D&gt;&lt;/FQL&gt;&lt;FQL&gt;&lt;Q&gt;Ticker0024^FE_ESTIMATE(DEFREVENUE_ST,MEAN,QUARTERLY_ROLL,2023/2F,45681,,,'')&lt;/Q&gt;&lt;R&gt;1&lt;/R&gt;&lt;C&gt;1&lt;/C&gt;&lt;D xsi:type="xsd:double"&gt;36981.668&lt;/D&gt;&lt;/FQL&gt;&lt;FQL&gt;&lt;Q&gt;Ticker0024^FE_ESTIMATE(DEFREVENUE_ST,MEAN,QUARTERLY_ROLL,2023/1F,45681,,,'')&lt;/Q&gt;&lt;R&gt;1&lt;/R&gt;&lt;C&gt;1&lt;/C&gt;&lt;D xsi:type="xsd:double"&gt;41340&lt;/D&gt;&lt;/FQL&gt;&lt;FQL&gt;&lt;Q&gt;Ticker0024^FE_ESTIMATE(DEFREVENUE_ST,MEAN,ANNUAL_ROLL,2022,45681,,,'')&lt;/Q&gt;&lt;R&gt;1&lt;/R&gt;&lt;C&gt;1&lt;/C&gt;&lt;D xsi:type="xsd:double"&gt;45538&lt;/D&gt;&lt;/FQL&gt;&lt;FQL&gt;&lt;Q&gt;Ticker0024^FE_ESTIMATE(DEFREVENUE_ST,MEAN,QUARTERLY_ROLL,2022/4F,45681,,,'')&lt;/Q&gt;&lt;R&gt;1&lt;/R&gt;&lt;C&gt;1&lt;/C&gt;&lt;D xsi:type="xsd:double"&gt;45538&lt;/D&gt;&lt;/FQL&gt;&lt;FQL&gt;&lt;Q&gt;Ticker0024^FE_ESTIMATE(DEFREVENUE_ST,MEAN,QUARTERLY_ROLL,2022/3F,45681,,,'')&lt;/Q&gt;&lt;R&gt;1&lt;/R&gt;&lt;C&gt;1&lt;/C&gt;&lt;D xsi:type="xsd:double"&gt;34027&lt;/D&gt;&lt;/FQL&gt;&lt;FQL&gt;&lt;Q&gt;Ticker0024^FE_ESTIMATE(DEFREVENUE_ST,MEAN,QUARTERLY_ROLL,2022/2F,45681,,,'')&lt;/Q&gt;&lt;R&gt;1&lt;/R&gt;&lt;C&gt;1&lt;/C&gt;&lt;D xsi:type="xsd:double"&gt;34001&lt;/D&gt;&lt;/FQL&gt;&lt;FQL&gt;&lt;Q&gt;Ticker0024^FE_ESTIMATE(DEFREVENUE_ST,MEAN,QUARTERLY_ROLL,2022/1F,45681,,,'')&lt;/Q&gt;&lt;R&gt;1&lt;/R&gt;&lt;C&gt;1&lt;/C&gt;&lt;D xsi:type="xsd:double"&gt;38465&lt;/D&gt;&lt;/FQL&gt;&lt;FQL&gt;&lt;Q&gt;Ticker0024^FE_ESTIMATE(DEFREVENUE_ST,MEAN,ANNUAL_ROLL,2021,45681,,,'')&lt;/Q&gt;&lt;R&gt;1&lt;/R&gt;&lt;C&gt;1&lt;/C&gt;&lt;D xsi:type="xsd:double"&gt;41525&lt;/D&gt;&lt;/FQL&gt;&lt;FQL&gt;&lt;Q&gt;Ticker0024^FE_ESTIMATE(DEFREVENUE_ST,MEAN,QUARTERLY_ROLL,2021/4F,45681,,,'')&lt;/Q&gt;&lt;R&gt;1&lt;/R&gt;&lt;C&gt;1&lt;/C&gt;&lt;D xsi:type="xsd:double"&gt;41525&lt;/D&gt;&lt;/FQL&gt;&lt;FQL&gt;&lt;Q&gt;Ticker0024^FE_ESTIMATE(DEFREVENUE_ST,MEAN,QUARTERLY_ROLL,2021/3F,45681,,,'')&lt;/Q&gt;&lt;R&gt;1&lt;/R&gt;&lt;C&gt;1&lt;/C&gt;&lt;D xsi:type="xsd:double"&gt;30083&lt;/D&gt;&lt;/FQL&gt;&lt;FQL&gt;&lt;Q&gt;Ticker0024^FE_ESTIMATE(DEFREVENUE_ST,MEAN,QUARTERLY_ROLL,2021/2F,45681,,,'')&lt;/Q&gt;&lt;R&gt;1&lt;/R&gt;&lt;C&gt;1&lt;/C&gt;&lt;D xsi:type="xsd:double"&gt;30402&lt;/D&gt;&lt;/FQL&gt;&lt;FQL&gt;&lt;Q&gt;Ticker0024^FE_ESTIMATE(DEFREVENUE_ST,MEAN,QUARTERLY_ROLL,2021/1F,45681,,,'')&lt;/Q&gt;&lt;R&gt;1&lt;/R&gt;&lt;C&gt;1&lt;/C&gt;&lt;D xsi:type="xsd:double"&gt;33476&lt;/D&gt;&lt;/FQL&gt;&lt;FQL&gt;&lt;Q&gt;Ticker0024^FE_ESTIMATE(DEFREVENUE_ST,MEAN,ANNUAL_ROLL,2020,45681,,,'')&lt;/Q&gt;&lt;R&gt;1&lt;/R&gt;&lt;C&gt;1&lt;/C&gt;&lt;D xsi:type="xsd:double"&gt;36000&lt;/D&gt;&lt;/FQL&gt;&lt;FQL&gt;&lt;Q&gt;Ticker0024^FE_ESTIMATE(DEFREVENUE_ST,MEAN,QUARTERLY_ROLL,2020/4F,45681,,,'')&lt;/Q&gt;&lt;R&gt;1&lt;/R&gt;&lt;C&gt;1&lt;/C&gt;&lt;D xsi:type="xsd:double"&gt;36000&lt;/D&gt;&lt;/FQL&gt;&lt;FQL&gt;&lt;Q&gt;Ticker0024^FE_ESTIMATE(DEFREVENUE_ST,MEAN,QUARTERLY_ROLL,2020/3F,45681,,,'')&lt;/Q&gt;&lt;R&gt;1&lt;/R&gt;&lt;C&gt;1&lt;/C&gt;&lt;D xsi:type="xsd:double"&gt;27012&lt;/D&gt;&lt;/FQL&gt;&lt;FQL&gt;&lt;Q&gt;Ticker0024^FE_ESTIMATE(DEFREVENUE_ST,MEAN,QUARTERLY_ROLL,2020/2F,45681,,,'')&lt;/Q&gt;&lt;R&gt;1&lt;/R&gt;&lt;C&gt;1&lt;/C&gt;&lt;D xsi:type="xsd:double"&gt;27343&lt;/D&gt;&lt;/FQL&gt;&lt;FQL&gt;&lt;Q&gt;Ticker0024^FE_ESTIMATE(DEFREVENUE_ST,MEAN,QUARTERLY_ROLL,2020/1F,45681,,,'')&lt;/Q&gt;&lt;R&gt;1&lt;/R&gt;&lt;C&gt;1&lt;/C&gt;&lt;D xsi:type="xsd:double"&gt;29904&lt;/D&gt;&lt;/FQL&gt;&lt;FQL&gt;&lt;Q&gt;Ticker0024^FE_ESTIMATE(DEFREVENUE_ST,MEAN,ANNUAL_ROLL,2019,45681,,,'')&lt;/Q&gt;&lt;R&gt;1&lt;/R&gt;&lt;C&gt;1&lt;/C&gt;&lt;D xsi:type="xsd:double"&gt;32676&lt;/D&gt;&lt;/FQL&gt;&lt;FQL&gt;&lt;Q&gt;Ticker0024^FE_ESTIMATE(DEFREVENUE_ST,MEAN,QUARTERLY_ROLL,2019/4F,45681,,,'')&lt;/Q&gt;&lt;R&gt;1&lt;/R&gt;&lt;C&gt;1&lt;/C&gt;&lt;D xsi:type="xsd:double"&gt;32676&lt;/D&gt;&lt;/FQL&gt;&lt;FQL&gt;&lt;Q&gt;Ticker0024^FE_ESTIMATE(DEFREVENUE_ST,MEAN,QUARTERLY_ROLL,2019/3F,45681,,,'')&lt;/Q&gt;&lt;R&gt;1&lt;/R&gt;&lt;C&gt;1&lt;/C&gt;&lt;D xsi:type="xsd:double"&gt;24251&lt;/D&gt;&lt;/FQL&gt;&lt;FQL&gt;&lt;Q&gt;Ticker0024^FE_ESTIMATE(DEFREVENUE_ST,MEAN,QUARTERLY_ROLL,2019/2F,45681,,,'')&lt;/Q&gt;&lt;R&gt;1&lt;/R&gt;&lt;C&gt;1&lt;/C&gt;&lt;D xsi:type="xsd:double"&gt;24285&lt;/D&gt;&lt;/FQL&gt;&lt;FQL&gt;&lt;Q&gt;Ticker0024^FE_ESTIMATE(DEFREVENUE_ST,MEAN,QUARTERLY_ROLL,2019/1F,45681,,,'')&lt;/Q&gt;&lt;R&gt;1&lt;/R&gt;&lt;C&gt;1&lt;/C&gt;&lt;D xsi:type="xsd:double"&gt;26704&lt;/D&gt;&lt;/FQL&gt;&lt;FQL&gt;&lt;Q&gt;Ticker0024^FE_ESTIMATE(DEFREVENUE_ST,MEAN,ANNUAL_ROLL,2018,45681,,,'')&lt;/Q&gt;&lt;R&gt;1&lt;/R&gt;&lt;C&gt;1&lt;/C&gt;&lt;D xsi:type="xsd:double"&gt;28905&lt;/D&gt;&lt;/FQL&gt;&lt;FQL&gt;&lt;Q&gt;Ticker0024^FE_ESTIMATE(DEFREVENUE_ST,MEAN,QUARTERLY_ROLL,2018/4F,45681,,,'')&lt;/Q&gt;&lt;R&gt;1&lt;/R&gt;&lt;C&gt;1&lt;/C&gt;&lt;D xsi:type="xsd:double"&gt;28905&lt;/D&gt;&lt;/FQL&gt;&lt;FQL&gt;&lt;Q&gt;Ticker0024^FE_ESTIMATE(DEFREVENUE_ST,MEAN,QUARTERLY_ROLL,2018/3F,45681,,,'')&lt;/Q&gt;&lt;R&gt;1&lt;/R&gt;&lt;C&gt;1&lt;/C&gt;&lt;D xsi:type="xsd:double"&gt;21370&lt;/D&gt;&lt;/FQL&gt;&lt;FQL&gt;&lt;Q&gt;Ticker0024^FE_ESTIMATE(DEFREVENUE_ST,MEAN,QUARTERLY_ROLL,2018/2F,45681,,,'')&lt;/Q&gt;&lt;R&gt;1&lt;/R&gt;&lt;C&gt;1&lt;/C&gt;&lt;D xsi:type="xsd:double"&gt;21559&lt;/D&gt;&lt;/FQL&gt;&lt;FQL&gt;&lt;Q&gt;Ticker0024^FE_ESTIMATE(DEFREVENUE_ST,MEAN,QUARTERLY_ROLL,2018/1F,45681,,,'')&lt;/Q&gt;&lt;R&gt;1&lt;/R&gt;&lt;C&gt;1&lt;/C&gt;&lt;D xsi:type="xsd:double"&gt;22990.6&lt;/D&gt;&lt;/FQL&gt;&lt;FQL&gt;&lt;Q&gt;Ticker0024^FE_ESTIMATE(DEFREVENUE_ST,MEAN,ANNUAL_ROLL,2017,45681,,,'')&lt;/Q&gt;&lt;R&gt;1&lt;/R&gt;&lt;C&gt;1&lt;/C&gt;&lt;D xsi:type="xsd:double"&gt;34102&lt;/D&gt;&lt;/FQL&gt;&lt;FQL&gt;&lt;Q&gt;Ticker0024^FE_ESTIMATE(DEFREVENUE_ST,MEAN,QUARTERLY_ROLL,2017/4F,45681,,,'')&lt;/Q&gt;&lt;R&gt;1&lt;/R&gt;&lt;C&gt;1&lt;/C&gt;&lt;D xsi:type="xsd:double"&gt;34102&lt;/D&gt;&lt;/FQL&gt;&lt;FQL&gt;&lt;Q&gt;Ticker0024^FE_ESTIMATE(DEFREVENUE_ST,MEAN,QUARTERLY_ROLL,2017/3F,45681,,,'')&lt;/Q&gt;&lt;R&gt;1&lt;/R&gt;&lt;C&gt;1&lt;/C&gt;&lt;D xsi:type="xsd:double"&gt;26518&lt;/D&gt;&lt;/FQL&gt;&lt;FQL&gt;&lt;Q&gt;Ticker0024^FE_ESTIMATE(DEFREVENUE_ST,MEAN,QUARTERLY_ROLL,2017/2F,45681,,,'')&lt;/Q&gt;&lt;R&gt;1&lt;/R&gt;&lt;C&gt;1&lt;/C&gt;&lt;D xsi:type="xsd:double"&gt;25983&lt;/D&gt;&lt;/FQL&gt;&lt;FQL&gt;&lt;Q&gt;Ticker0024^FE_ESTIMATE(DEFREVENUE_ST,MEAN,QUARTERLY_ROLL,2017/1F,45681,,,'')&lt;/Q&gt;&lt;R&gt;1&lt;/R&gt;&lt;C&gt;1&lt;/C&gt;&lt;D xsi:type="xsd:double"&gt;26304&lt;/D&gt;&lt;/FQL&gt;&lt;FQL&gt;&lt;Q&gt;Ticker0024^FE_ESTIMATE(DEFREVENUE_ST,MEAN,ANNUAL_ROLL,2016,45681,,,'')&lt;/Q&gt;&lt;R&gt;1&lt;/R&gt;&lt;C&gt;1&lt;/C&gt;&lt;D xsi:type="xsd:double"&gt;27468&lt;/D&gt;&lt;/FQL&gt;&lt;FQL&gt;&lt;Q&gt;Ticker0024^FE_ESTIMATE(DEFREVENUE_ST,MEAN,QUARTERLY_ROLL,2016/4F,45681,,,'')&lt;/Q&gt;&lt;R&gt;1&lt;/R&gt;&lt;C&gt;1&lt;/C&gt;&lt;D xsi:type="xsd:double"&gt;27468&lt;/D&gt;&lt;/FQL&gt;&lt;FQL&gt;&lt;Q&gt;Ticker0024^FE_ESTIMATE(DEFREVENUE_ST,MEAN,QUARTERLY_ROLL,2016/3F,45681,,,'')&lt;/Q&gt;&lt;R&gt;1&lt;/R&gt;&lt;C&gt;1&lt;/C&gt;&lt;D xsi:type="xsd:double"&gt;20876&lt;/D&gt;&lt;/FQL&gt;&lt;FQL&gt;&lt;Q&gt;Ticker0024^FE_ESTIMATE(DEFREVENUE_ST,MEAN,QUARTERLY_ROLL,2016/2F,45681,,,'')&lt;/Q&gt;&lt;R&gt;1&lt;/R&gt;&lt;C&gt;1&lt;/C&gt;&lt;D xsi:type="xsd:double"&gt;20929&lt;/D&gt;&lt;/FQL&gt;&lt;FQL&gt;&lt;Q&gt;Ticker0024^FE_ESTIMATE(DEFREVENUE_ST,MEAN,QUARTERLY_ROLL,2016/1F,45681,,,'')&lt;/Q&gt;&lt;R&gt;1&lt;/R&gt;&lt;C&gt;1&lt;/C&gt;&lt;D xsi:type="xsd:double"&gt;21603&lt;/D&gt;&lt;/FQL&gt;&lt;FQL&gt;&lt;Q&gt;Ticker0024^FE_ESTIMATE(DEFREVENUE_ST,MEAN,ANNUAL_ROLL,2015,45681,,,'')&lt;/Q&gt;&lt;R&gt;1&lt;/R&gt;&lt;C&gt;1&lt;/C&gt;&lt;D xsi:type="xsd:double"&gt;23223&lt;/D&gt;&lt;/FQL&gt;&lt;FQL&gt;&lt;Q&gt;Ticker0024^FE_ESTIMATE(DEFREVENUE_ST,MEAN,QUARTERLY_ROLL,2015/4F,45681,,,'')&lt;/Q&gt;&lt;R&gt;1&lt;/R&gt;&lt;C&gt;1&lt;/C&gt;&lt;D xsi:type="xsd:double"&gt;23223&lt;/D&gt;&lt;/FQL&gt;&lt;FQL&gt;&lt;Q&gt;Ticker0024^FE_ESTIMATE(DEFREVENUE_ST,MEAN,QUARTERLY_ROLL,2015/3F,45681,,,'')&lt;/Q&gt;&lt;R&gt;1&lt;/R&gt;&lt;C&gt;1&lt;/C&gt;&lt;D xsi:type="xsd:double"&gt;18232&lt;/D&gt;&lt;/FQL&gt;&lt;FQL&gt;&lt;Q&gt;Ticker0024^FE_ESTIMATE(DEFREVENUE_ST,MEAN,QUARTERLY_ROLL,2015/2F,45681,,,'')&lt;/Q&gt;&lt;R&gt;1&lt;/R&gt;&lt;C&gt;1&lt;/C&gt;&lt;D xsi:type="xsd:double"&gt;19192&lt;/D&gt;&lt;/FQL&gt;&lt;FQL&gt;&lt;Q&gt;Ticker0024^FE_ESTIMATE(DEFREVENUE_ST,MEAN,QUARTERLY_ROLL,2015/1F,45681,,,'')&lt;/Q&gt;&lt;R&gt;1&lt;/R&gt;&lt;C&gt;1&lt;/C&gt;&lt;D xsi:type="xsd:double"&gt;20713&lt;/D&gt;&lt;/FQL&gt;&lt;FQL&gt;&lt;Q&gt;Ticker0024^FE_ESTIMATE(FCF,MEAN,ANNUAL_ROLL,2030,45681,,,'')&lt;/Q&gt;&lt;R&gt;0&lt;/R&gt;&lt;C&gt;0&lt;/C&gt;&lt;/FQL&gt;&lt;FQL&gt;&lt;Q&gt;Ticker0024^FE_ESTIMATE(FCF,MEAN,QUARTERLY_ROLL,2030/4F,45681,,,'')&lt;/Q&gt;&lt;R&gt;0&lt;/R&gt;&lt;C&gt;0&lt;/C&gt;&lt;/FQL&gt;&lt;FQL&gt;&lt;Q&gt;Ticker0024^FE_ESTIMATE(FCF,MEAN,QUARTERLY_ROLL,2030/3F,45681,,,'')&lt;/Q&gt;&lt;R&gt;0&lt;/R&gt;&lt;C&gt;0&lt;/C&gt;&lt;/FQL&gt;&lt;FQL&gt;&lt;Q&gt;Ticker0024^FE_ESTIMATE(FCF,MEAN,QUARTERLY_ROLL,2030/2F,45681,,,'')&lt;/Q&gt;&lt;R&gt;0&lt;/R&gt;&lt;C&gt;0&lt;/C&gt;&lt;/FQL&gt;&lt;FQL&gt;&lt;Q&gt;Ticker0024^FE_ESTIMATE(FCF,MEAN,QUARTERLY_ROLL,2030/1F,45681,,,'')&lt;/Q&gt;&lt;R&gt;0&lt;/R&gt;&lt;C&gt;0&lt;/C&gt;&lt;/FQL&gt;&lt;FQL&gt;&lt;Q&gt;Ticker0024^FE_ESTIMATE(FCF,MEAN,ANNUAL_ROLL,2029,45681,,,'')&lt;/Q&gt;&lt;R&gt;0&lt;/R&gt;&lt;C&gt;0&lt;/C&gt;&lt;/FQL&gt;&lt;FQL&gt;&lt;Q&gt;Ticker0024^FE_ESTIMATE(FCF,MEAN,QUARTERLY_ROLL,2029/4F,45681,,,'')&lt;/Q&gt;&lt;R&gt;0&lt;/R&gt;&lt;C&gt;0&lt;/C&gt;&lt;/FQL&gt;&lt;FQL&gt;&lt;Q&gt;Ticker0024^FE_ESTIMATE(FCF,MEAN,QUARTERLY_ROLL,2029/3F,45681,,,'')&lt;/Q&gt;&lt;R&gt;0&lt;/R&gt;&lt;C&gt;0&lt;/C&gt;&lt;/FQL&gt;&lt;FQL&gt;&lt;Q&gt;Ticker0024^FE_ESTIMATE(FCF,MEAN,QUARTERLY_ROLL,2029/2F,45681,,,'')&lt;/Q&gt;&lt;R&gt;0&lt;/R&gt;&lt;C&gt;0&lt;/C&gt;&lt;/FQL&gt;&lt;FQL&gt;&lt;Q&gt;Ticker0024^FE_ESTIMATE(FCF,MEAN,QUARTERLY_ROLL,2029/1F,45681,,,'')&lt;/Q&gt;&lt;R&gt;0&lt;/R&gt;&lt;C&gt;0&lt;/C&gt;&lt;/FQL&gt;&lt;FQL&gt;&lt;Q&gt;Ticker0024^FE_ESTIMATE(FCF,MEAN,ANNUAL_ROLL,2028,45681,,,'')&lt;/Q&gt;&lt;R&gt;1&lt;/R&gt;&lt;C&gt;1&lt;/C&gt;&lt;D xsi:type="xsd:double"&gt;130244.48&lt;/D&gt;&lt;/FQL&gt;&lt;FQL&gt;&lt;Q&gt;Ticker0024^FE_ESTIMATE(FCF,MEAN,QUARTERLY_ROLL,2028/4F,45681,,,'')&lt;/Q&gt;&lt;R&gt;0&lt;/R&gt;&lt;C&gt;0&lt;/C&gt;&lt;/FQL&gt;&lt;FQL&gt;&lt;Q&gt;Ticker0024^FE_ESTIMATE(FCF,MEAN,QUARTERLY_ROLL,2028/3F,45681,,,'')&lt;/Q&gt;&lt;R&gt;0&lt;/R&gt;&lt;C&gt;0&lt;/C&gt;&lt;/FQL&gt;&lt;FQL&gt;&lt;Q&gt;Ticker0024^FE_ESTIMATE(FCF,MEAN,QUARTERLY_ROLL,2028/2F,45681,,,'')&lt;/Q&gt;&lt;R&gt;0&lt;/R&gt;&lt;C&gt;0&lt;/C&gt;&lt;/FQL&gt;&lt;FQL&gt;&lt;Q&gt;Ticker0024^FE_ESTIMATE(FCF,MEAN,QUARTERLY_ROLL,2028/1F,45681,,,'')&lt;/Q&gt;&lt;R&gt;0&lt;/R&gt;&lt;C&gt;0&lt;/C&gt;&lt;/FQL&gt;&lt;FQL&gt;&lt;Q&gt;Ticker0024^FE_ESTIMATE(FCF,MEAN,ANNUAL_ROLL,2027,45681,,,'')&lt;/Q&gt;&lt;R&gt;1&lt;/R&gt;&lt;C&gt;1&lt;/C&gt;&lt;D xsi:type="xsd:double"&gt;107550.7&lt;/D&gt;&lt;/FQL&gt;&lt;FQL&gt;&lt;Q&gt;Ticker0024^FE_ESTIMATE(FCF,MEAN,QUARTERLY_ROLL,2027/4F,45681,,,'')&lt;/Q&gt;&lt;R&gt;0&lt;/R&gt;&lt;C&gt;0&lt;/C&gt;&lt;/FQL&gt;&lt;FQL&gt;&lt;Q&gt;Ticker0024^FE_ESTIMATE(FCF,MEAN,QUARTERLY_ROLL,2027/3F,45681,,,'')&lt;/Q&gt;&lt;R&gt;0&lt;/R&gt;&lt;C&gt;0&lt;/C&gt;&lt;/FQL&gt;&lt;FQL&gt;&lt;Q&gt;Ticker0024^FE_ESTIMATE(FCF,MEAN,QUARTERLY_ROLL,2027/2F,45681,,,'')&lt;/Q&gt;&lt;R&gt;0&lt;/R&gt;&lt;C&gt;0&lt;/C&gt;&lt;/FQL&gt;&lt;FQL&gt;&lt;Q&gt;Ticker0024^FE_ESTIMATE(FCF,MEAN,QUARTERLY_ROLL,2027/1F,45681,,,'')&lt;/Q&gt;&lt;R&gt;0&lt;/R&gt;&lt;C&gt;0&lt;/C&gt;&lt;/FQL&gt;&lt;FQL&gt;&lt;Q&gt;Ticker0024^FE_ESTIMATE(FCF,MEAN,ANNUAL_ROLL,2026,45681,,,'')&lt;/Q&gt;&lt;R&gt;1&lt;/R&gt;&lt;C&gt;1&lt;/C&gt;&lt;D xsi:type="xsd:double"&gt;82853.24&lt;/D&gt;&lt;/FQL&gt;&lt;FQL&gt;&lt;Q&gt;Ticker0024^FE_ESTIMATE(FCF,MEAN,QUARTERLY_ROLL,2026/4F,45681,,,'')&lt;/Q&gt;&lt;R&gt;1&lt;/R&gt;&lt;C&gt;1&lt;/C&gt;&lt;D xsi:type="xsd:double"&gt;25687.125&lt;/D&gt;&lt;/FQL&gt;&lt;FQL&gt;&lt;Q&gt;Ticker0024^FE_ESTIMATE(FCF,MEAN,QUARTERLY_ROLL,2026/3F,45681,,,'')&lt;/Q&gt;&lt;R&gt;1&lt;/R&gt;&lt;C&gt;1&lt;/C&gt;&lt;D xsi:type="xsd:double"&gt;20902.75&lt;/D&gt;&lt;/FQL&gt;&lt;FQL&gt;&lt;Q&gt;Ticker0024^FE_ESTIMATE(FCF,MEAN,QUARTERLY_ROLL,2026/2F,45681,,,'')&lt;/Q&gt;&lt;R&gt;1&lt;/R&gt;&lt;C&gt;1&lt;/C&gt;&lt;D xsi:type="xsd:double"&gt;10794.525&lt;/D&gt;&lt;/FQL&gt;&lt;FQL&gt;&lt;Q&gt;Ticker0024^FE_ESTIMATE(FCF,MEAN,QUARTERLY_ROLL,2026/1F,45681,,,'')&lt;/Q&gt;&lt;R&gt;1&lt;/R&gt;&lt;C&gt;1&lt;/C&gt;&lt;D xsi:type="xsd:double"&gt;24897.86&lt;/D&gt;&lt;/FQL&gt;&lt;FQL&gt;&lt;Q&gt;Ticker0024^FE_ESTIMATE(FCF,MEAN,ANNUAL_ROLL,2025,45681,,,'')&lt;/Q&gt;&lt;R&gt;1&lt;/R&gt;&lt;C&gt;1&lt;/C&gt;&lt;D xsi:type="xsd:double"&gt;66538.33&lt;/D&gt;&lt;/FQL&gt;&lt;FQL&gt;&lt;Q&gt;Ticker0024^FE_ESTIMATE(FCF,MEAN,QUARTERLY_ROLL,2025/4F,45681,,,'')&lt;/Q&gt;&lt;R&gt;1&lt;/R&gt;&lt;C&gt;1&lt;/C&gt;&lt;D xsi:type="xsd:double"&gt;21991.822&lt;/D&gt;&lt;/FQL&gt;&lt;FQL&gt;&lt;Q&gt;Ticker0024^FE_ESTIMATE(FCF,MEAN,QUARTERLY_ROLL,2025/3F,45681,,,'')&lt;/Q&gt;&lt;R&gt;1&lt;/R&gt;&lt;C&gt;1&lt;/C&gt;&lt;D xsi:type="xsd:double"&gt;17335.645&lt;/D&gt;&lt;/FQL&gt;&lt;FQL&gt;&lt;Q&gt;Ticker0024^FE_ESTIMATE(FCF,MEAN,QUARTERLY_ROLL,2025/2F,45681,,,'')&lt;/Q&gt;&lt;R&gt;1&lt;/R&gt;&lt;C&gt;1&lt;/C&gt;&lt;D xsi:type="xsd:double"&gt;6490.0464&lt;/D&gt;&lt;/FQL&gt;&lt;FQL&gt;&lt;Q&gt;Ticker0024^FE_ESTIMATE(FCF,MEAN,QUARTERLY_ROLL,2025/1F,45681,,,'')&lt;/Q&gt;&lt;R&gt;1&lt;/R&gt;&lt;C&gt;1&lt;/C&gt;&lt;D xsi:type="xsd:double"&gt;18738.584&lt;/D&gt;&lt;/FQL&gt;&lt;FQL&gt;&lt;Q&gt;Ticker0024^FE_ESTIMATE(FCF,MEAN,ANNUAL_ROLL,2024,45681,,,'')&lt;/Q&gt;&lt;R&gt;1&lt;/R&gt;&lt;C&gt;1&lt;/C&gt;&lt;D xsi:type="xsd:double"&gt;72678.9&lt;/D&gt;&lt;/FQL&gt;&lt;FQL&gt;&lt;Q&gt;Ticker0024^FE_ESTIMATE(FCF,MEAN,QUARTERLY_ROLL,2024/4F,45681,,,'')&lt;/Q&gt;&lt;R&gt;1&lt;/R&gt;&lt;C&gt;1&lt;/C&gt;&lt;D xsi:type="xsd:double"&gt;22275.834&lt;/D&gt;&lt;/FQL&gt;&lt;FQL&gt;&lt;Q&gt;Ticker0024^FE_ESTIMATE(FCF,MEAN,QUARTERLY_ROLL,2024/3F,45681,,,'')&lt;/Q&gt;&lt;R&gt;1&lt;/R&gt;&lt;C&gt;1&lt;/C&gt;&lt;D xsi:type="xsd:double"&gt;20634.766&lt;/D&gt;&lt;/FQL&gt;&lt;FQL&gt;&lt;Q&gt;Ticker0024^FE_ESTIMATE(FCF,MEAN,QUARTERLY_ROLL,2024/2F,45681,,,'')&lt;/Q&gt;&lt;R&gt;1&lt;/R&gt;&lt;C&gt;1&lt;/C&gt;&lt;D xsi:type="xsd:double"&gt;6218.222&lt;/D&gt;&lt;/FQL&gt;&lt;FQL&gt;&lt;Q&gt;Ticker0024^FE_ESTIMATE(FCF,MEAN,QUARTERLY_ROLL,2024/1F,45681,,,'')&lt;/Q&gt;&lt;R&gt;1&lt;/R&gt;&lt;C&gt;1&lt;/C&gt;&lt;D xsi:type="xsd:double"&gt;21096.059&lt;/D&gt;&lt;/FQL&gt;&lt;FQL&gt;&lt;Q&gt;Ticker0024^FE_ESTIMATE(FCF,MEAN,ANNUAL_ROLL,2023,45681,,,'')&lt;/Q&gt;&lt;R&gt;1&lt;/R&gt;&lt;C&gt;1&lt;/C&gt;&lt;D xsi:type="xsd:double"&gt;60085.832&lt;/D&gt;&lt;/FQL&gt;&lt;FQL&gt;&lt;Q&gt;Ticker0024^FE_ESTIMATE(FCF,MEAN,QUARTERLY_ROLL,2023/4F,45681,,,'')&lt;/Q&gt;&lt;R&gt;1&lt;/R&gt;&lt;C&gt;1&lt;/C&gt;&lt;D xsi:type="xsd:double"&gt;19492.357&lt;/D&gt;&lt;/FQL&gt;&lt;FQL&gt;&lt;Q&gt;Ticker0024^FE_ESTIMATE(FCF,MEAN,QUARTERLY_ROLL,2023/3F,45681,,,'')&lt;/Q&gt;&lt;R&gt;1&lt;/R&gt;&lt;C&gt;1&lt;/C&gt;&lt;D xsi:type="xsd:double"&gt;17765.25&lt;/D&gt;&lt;/FQL&gt;&lt;FQL&gt;&lt;Q&gt;Ticker0024^FE_ESTIMATE(FCF,MEAN,QUARTERLY_ROLL,2023/2F,45681,,,'')&lt;/Q&gt;&lt;R&gt;1&lt;/R&gt;&lt;C&gt;1&lt;/C&gt;&lt;D xsi:type="xsd:double"&gt;5507.533&lt;/D&gt;&lt;/FQL&gt;&lt;FQL&gt;&lt;Q&gt;Ticker0024^FE_ESTIMATE(FCF,MEAN,QUARTERLY_ROLL,2023/1F,45681,,,'')&lt;/Q&gt;&lt;R&gt;1&lt;/R&gt;&lt;C&gt;1&lt;/C&gt;&lt;D xsi:type="xsd:double"&gt;17698&lt;/D&gt;&lt;/FQL&gt;&lt;FQL&gt;&lt;Q&gt;Ticker0024^FE_ESTIMATE(FCF,MEAN,ANNUAL_ROLL,2022,45681,,,'')&lt;/Q&gt;&lt;R&gt;1&lt;/R&gt;&lt;C&gt;1&lt;/C&gt;&lt;D xsi:type="xsd:double"&gt;65067.133&lt;/D&gt;&lt;/FQL&gt;&lt;FQL&gt;&lt;Q&gt;Ticker0024^FE_ESTIMATE(FCF,MEAN,QUARTERLY_ROLL,2022/4F,45681,,,'')&lt;/Q&gt;&lt;R&gt;1&lt;/R&gt;&lt;C&gt;1&lt;/C&gt;&lt;D xsi:type="xsd:double"&gt;17158&lt;/D&gt;&lt;/FQL&gt;&lt;FQL&gt;&lt;Q&gt;Ticker0024^FE_ESTIMATE(FCF,MEAN,QUARTERLY_ROLL,2022/3F,45681,,,'')&lt;/Q&gt;&lt;R&gt;1&lt;/R&gt;&lt;C&gt;1&lt;/C&gt;&lt;D xsi:type="xsd:double"&gt;19608.334&lt;/D&gt;&lt;/FQL&gt;&lt;FQL&gt;&lt;Q&gt;Ticker0024^FE_ESTIMATE(FCF,MEAN,QUARTERLY_ROLL,2022/2F,45681,,,'')&lt;/Q&gt;&lt;R&gt;1&lt;/R&gt;&lt;C&gt;1&lt;/C&gt;&lt;D xsi:type="xsd:double"&gt;9409.818&lt;/D&gt;&lt;/FQL&gt;&lt;FQL&gt;&lt;Q&gt;Ticker0024^FE_ESTIMATE(FCF,MEAN,QUARTERLY_ROLL,2022/1F,45681,,,'')&lt;/Q&gt;&lt;R&gt;1&lt;/R&gt;&lt;C&gt;1&lt;/C&gt;&lt;D xsi:type="xsd:double"&gt;18285.334&lt;/D&gt;&lt;/FQL&gt;&lt;FQL&gt;&lt;Q&gt;Ticker0024^FE_ESTIMATE(FCF,MEAN,ANNUAL_ROLL,2021,45681,,,'')&lt;/Q&gt;&lt;R&gt;1&lt;/R&gt;&lt;C&gt;1&lt;/C&gt;&lt;D xsi:type="xsd:double"&gt;55483.777&lt;/D&gt;&lt;/FQL&gt;&lt;FQL&gt;&lt;Q&gt;Ticker0024^FE_ESTIMATE(FCF,MEAN,QUARTERLY_ROLL,2021/4F,45681,,,'')&lt;/Q&gt;&lt;R&gt;1&lt;/R&gt;&lt;C&gt;1&lt;/C&gt;&lt;D xsi:type="xsd:double"&gt;15893.833&lt;/D&gt;&lt;/FQL&gt;&lt;FQL&gt;&lt;Q&gt;Ticker0024^FE_ESTIMATE(FCF,MEAN,QUARTERLY_ROLL,2021/3F,45681,,,'')&lt;/Q&gt;&lt;R&gt;1&lt;/R&gt;&lt;C&gt;1&lt;/C&gt;&lt;D xsi:type="xsd:double"&gt;16693.5&lt;/D&gt;&lt;/FQL&gt;&lt;FQL&gt;&lt;Q&gt;Ticker0024^FE_ESTIMATE(FCF,MEAN,QUARTERLY_ROLL,2021/2F,45681,,,'')&lt;/Q&gt;&lt;R&gt;1&lt;/R&gt;&lt;C&gt;1&lt;/C&gt;&lt;D xsi:type="xsd:double"&gt;9098&lt;/D&gt;&lt;/FQL&gt;&lt;FQL&gt;&lt;Q&gt;Ticker0024^FE_ESTIMATE(FCF,MEAN,QUARTERLY_ROLL,2021/1F,45681,,,'')&lt;/Q&gt;&lt;R&gt;1&lt;/R&gt;&lt;C&gt;1&lt;/C&gt;&lt;D xsi:type="xsd:double"&gt;13974.333&lt;/D&gt;&lt;/FQL&gt;&lt;FQL&gt;&lt;Q&gt;Ticker0024^FE_ESTIMATE(FCF,MEAN,ANNUAL_ROLL,2020,45681,,,'')&lt;/Q&gt;&lt;R&gt;1&lt;/R&gt;&lt;C&gt;1&lt;/C&gt;&lt;D xsi:type="xsd:double"&gt;45095.453&lt;/D&gt;&lt;/FQL&gt;&lt;FQL&gt;&lt;Q&gt;Ticker0024^FE_ESTIMATE(FCF,MEAN,QUARTERLY_ROLL,2020/4F,45681,,,'')&lt;/Q&gt;&lt;R&gt;1&lt;/R&gt;&lt;C&gt;1&lt;/C&gt;&lt;D xsi:type="xsd:double"&gt;13391.667&lt;/D&gt;&lt;/FQL&gt;&lt;FQL&gt;&lt;Q&gt;Ticker0024^FE_ESTIMATE(FCF,MEAN,QUARTERLY_ROLL,2020/3F,45681,,,'')&lt;/Q&gt;&lt;R&gt;1&lt;/R&gt;&lt;C&gt;1&lt;/C&gt;&lt;D xsi:type="xsd:double"&gt;13437&lt;/D&gt;&lt;/FQL&gt;&lt;FQL&gt;&lt;Q&gt;Ticker0024^FE_ESTIMATE(FCF,MEAN,QUARTERLY_ROLL,2020/2F,45681,,,'')&lt;/Q&gt;&lt;R&gt;1&lt;/R&gt;&lt;C&gt;1&lt;/C&gt;&lt;D xsi:type="xsd:double"&gt;7641.3335&lt;/D&gt;&lt;/FQL&gt;&lt;FQL&gt;&lt;Q&gt;Ticker0024^FE_ESTIMATE(FCF,MEAN,QUARTERLY_ROLL,2020/1F,45681,,,'')&lt;/Q&gt;&lt;R&gt;1&lt;/R&gt;&lt;C&gt;1&lt;/C&gt;&lt;D xsi:type="xsd:double"&gt;10215.875&lt;/D&gt;&lt;/FQL&gt;&lt;FQL&gt;&lt;Q&gt;Ticker0024^FE_ESTIMATE(FCF,MEAN,ANNUAL_ROLL,2019,45681,,,'')&lt;/Q&gt;&lt;R&gt;1&lt;/R&gt;&lt;C&gt;1&lt;/C&gt;&lt;D xsi:type="xsd:double"&gt;38085.168&lt;/D&gt;&lt;/FQL&gt;&lt;FQL&gt;&lt;Q&gt;Ticker0024^FE_ESTIMATE(FCF,MEAN,QUARTERLY_ROLL,2019/4F,45681,,,'')&lt;/Q&gt;&lt;R&gt;1&lt;/R&gt;&lt;C&gt;1&lt;/C&gt;&lt;D xsi:type="xsd:double"&gt;11695.728&lt;/D&gt;&lt;/FQL&gt;&lt;FQL&gt;&lt;Q&gt;Ticker0024^FE_ESTIMATE(FCF,MEAN,QUARTERLY_R</t>
        </r>
      </text>
    </comment>
    <comment ref="A10" authorId="0" shapeId="0" xr:uid="{8B34EF40-AB69-4724-9814-8B238800474C}">
      <text>
        <r>
          <rPr>
            <b/>
            <sz val="9"/>
            <color indexed="81"/>
            <rFont val="Tahoma"/>
            <family val="2"/>
          </rPr>
          <t>OLL,2019/3F,45681,,,'')&lt;/Q&gt;&lt;R&gt;1&lt;/R&gt;&lt;C&gt;1&lt;/C&gt;&lt;D xsi:type="xsd:double"&gt;10834.333&lt;/D&gt;&lt;/FQL&gt;&lt;FQL&gt;&lt;Q&gt;Ticker0024^FE_ESTIMATE(FCF,MEAN,QUARTERLY_ROLL,2019/2F,45681,,,'')&lt;/Q&gt;&lt;R&gt;1&lt;/R&gt;&lt;C&gt;1&lt;/C&gt;&lt;D xsi:type="xsd:double"&gt;5420.25&lt;/D&gt;&lt;/FQL&gt;&lt;FQL&gt;&lt;Q&gt;Ticker0024^FE_ESTIMATE(FCF,MEAN,QUARTERLY_ROLL,2019/1F,45681,,,'')&lt;/Q&gt;&lt;R&gt;1&lt;/R&gt;&lt;C&gt;1&lt;/C&gt;&lt;D xsi:type="xsd:double"&gt;9414.454&lt;/D&gt;&lt;/FQL&gt;&lt;FQL&gt;&lt;Q&gt;Ticker0024^FE_ESTIMATE(FCF,MEAN,ANNUAL_ROLL,2018,45681,,,'')&lt;/Q&gt;&lt;R&gt;1&lt;/R&gt;&lt;C&gt;1&lt;/C&gt;&lt;D xsi:type="xsd:double"&gt;32102.77&lt;/D&gt;&lt;/FQL&gt;&lt;FQL&gt;&lt;Q&gt;Ticker0024^FE_ESTIMATE(FCF,MEAN,QUARTERLY_ROLL,2018/4F,45681,,,'')&lt;/Q&gt;&lt;R&gt;1&lt;/R&gt;&lt;C&gt;1&lt;/C&gt;&lt;D xsi:type="xsd:double"&gt;7717.909&lt;/D&gt;&lt;/FQL&gt;&lt;FQL&gt;&lt;Q&gt;Ticker0024^FE_ESTIMATE(FCF,MEAN,QUARTERLY_ROLL,2018/3F,45681,,,'')&lt;/Q&gt;&lt;R&gt;1&lt;/R&gt;&lt;C&gt;1&lt;/C&gt;&lt;D xsi:type="xsd:double"&gt;8967.363&lt;/D&gt;&lt;/FQL&gt;&lt;FQL&gt;&lt;Q&gt;Ticker0024^FE_ESTIMATE(FCF,MEAN,QUARTERLY_ROLL,2018/2F,45681,,,'')&lt;/Q&gt;&lt;R&gt;1&lt;/R&gt;&lt;C&gt;1&lt;/C&gt;&lt;D xsi:type="xsd:double"&gt;5426.1665&lt;/D&gt;&lt;/FQL&gt;&lt;FQL&gt;&lt;Q&gt;Ticker0024^FE_ESTIMATE(FCF,MEAN,QUARTERLY_ROLL,2018/1F,45681,,,'')&lt;/Q&gt;&lt;R&gt;1&lt;/R&gt;&lt;C&gt;1&lt;/C&gt;&lt;D xsi:type="xsd:double"&gt;9866.75&lt;/D&gt;&lt;/FQL&gt;&lt;FQL&gt;&lt;Q&gt;Ticker0024^FE_ESTIMATE(FCF,MEAN,ANNUAL_ROLL,2017,45681,,,'')&lt;/Q&gt;&lt;R&gt;1&lt;/R&gt;&lt;C&gt;1&lt;/C&gt;&lt;D xsi:type="xsd:double"&gt;30380.875&lt;/D&gt;&lt;/FQL&gt;&lt;FQL&gt;&lt;Q&gt;Ticker0024^FE_ESTIMATE(FCF,MEAN,QUARTERLY_ROLL,2017/4F,45681,,,'')&lt;/Q&gt;&lt;R&gt;1&lt;/R&gt;&lt;C&gt;1&lt;/C&gt;&lt;D xsi:type="xsd:double"&gt;8029.2&lt;/D&gt;&lt;/FQL&gt;&lt;FQL&gt;&lt;Q&gt;Ticker0024^FE_ESTIMATE(FCF,MEAN,QUARTERLY_ROLL,2017/3F,45681,,,'')&lt;/Q&gt;&lt;R&gt;1&lt;/R&gt;&lt;C&gt;1&lt;/C&gt;&lt;D xsi:type="xsd:double"&gt;8506&lt;/D&gt;&lt;/FQL&gt;&lt;FQL&gt;&lt;Q&gt;Ticker0024^FE_ESTIMATE(FCF,MEAN,QUARTERLY_ROLL,2017/2F,45681,,,'')&lt;/Q&gt;&lt;R&gt;1&lt;/R&gt;&lt;C&gt;1&lt;/C&gt;&lt;D xsi:type="xsd:double"&gt;4305&lt;/D&gt;&lt;/FQL&gt;&lt;FQL&gt;&lt;Q&gt;Ticker0024^FE_ESTIMATE(FCF,MEAN,QUARTERLY_ROLL,2017/1F,45681,,,'')&lt;/Q&gt;&lt;R&gt;1&lt;/R&gt;&lt;C&gt;1&lt;/C&gt;&lt;D xsi:type="xsd:double"&gt;9382&lt;/D&gt;&lt;/FQL&gt;&lt;FQL&gt;&lt;Q&gt;Ticker0024^FE_ESTIMATE(FCF,MEAN,ANNUAL_ROLL,2016,45681,,,'')&lt;/Q&gt;&lt;R&gt;1&lt;/R&gt;&lt;C&gt;1&lt;/C&gt;&lt;D xsi:type="xsd:double"&gt;24212.758&lt;/D&gt;&lt;/FQL&gt;&lt;FQL&gt;&lt;Q&gt;Ticker0024^FE_ESTIMATE(FCF,MEAN,QUARTERLY_ROLL,2016/4F,45681,,,'')&lt;/Q&gt;&lt;R&gt;1&lt;/R&gt;&lt;C&gt;1&lt;/C&gt;&lt;D xsi:type="xsd:double"&gt;5742&lt;/D&gt;&lt;/FQL&gt;&lt;FQL&gt;&lt;Q&gt;Ticker0024^FE_ESTIMATE(FCF,MEAN,QUARTERLY_ROLL,2016/3F,45681,,,'')&lt;/Q&gt;&lt;R&gt;1&lt;/R&gt;&lt;C&gt;1&lt;/C&gt;&lt;D xsi:type="xsd:double"&gt;6915.5625&lt;/D&gt;&lt;/FQL&gt;&lt;FQL&gt;&lt;Q&gt;Ticker0024^FE_ESTIMATE(FCF,MEAN,QUARTERLY_ROLL,2016/2F,45681,,,'')&lt;/Q&gt;&lt;R&gt;1&lt;/R&gt;&lt;C&gt;1&lt;/C&gt;&lt;D xsi:type="xsd:double"&gt;3510.5&lt;/D&gt;&lt;/FQL&gt;&lt;FQL&gt;&lt;Q&gt;Ticker0024^FE_ESTIMATE(FCF,MEAN,QUARTERLY_ROLL,2016/1F,45681,,,'')&lt;/Q&gt;&lt;R&gt;1&lt;/R&gt;&lt;C&gt;1&lt;/C&gt;&lt;D xsi:type="xsd:double"&gt;7124&lt;/D&gt;&lt;/FQL&gt;&lt;FQL&gt;&lt;Q&gt;Ticker0024^FE_ESTIMATE(FCF,MEAN,ANNUAL_ROLL,2015,45681,,,'')&lt;/Q&gt;&lt;R&gt;1&lt;/R&gt;&lt;C&gt;1&lt;/C&gt;&lt;D xsi:type="xsd:double"&gt;22531.357&lt;/D&gt;&lt;/FQL&gt;&lt;FQL&gt;&lt;Q&gt;Ticker0024^FE_ESTIMATE(FCF,MEAN,QUARTERLY_ROLL,2015/4F,45681,,,'')&lt;/Q&gt;&lt;R&gt;1&lt;/R&gt;&lt;C&gt;1&lt;/C&gt;&lt;D xsi:type="xsd:double"&gt;4565.622&lt;/D&gt;&lt;/FQL&gt;&lt;FQL&gt;&lt;Q&gt;Ticker0024^FE_ESTIMATE(FCF,MEAN,QUARTERLY_ROLL,2015/3F,45681,,,'')&lt;/Q&gt;&lt;R&gt;1&lt;/R&gt;&lt;C&gt;1&lt;/C&gt;&lt;D xsi:type="xsd:double"&gt;8155.857&lt;/D&gt;&lt;/FQL&gt;&lt;FQL&gt;&lt;Q&gt;Ticker0024^FE_ESTIMATE(FCF,MEAN,QUARTERLY_ROLL,2015/2F,45681,,,'')&lt;/Q&gt;&lt;R&gt;1&lt;/R&gt;&lt;C&gt;1&lt;/C&gt;&lt;D xsi:type="xsd:double"&gt;2850&lt;/D&gt;&lt;/FQL&gt;&lt;FQL&gt;&lt;Q&gt;Ticker0024^FE_ESTIMATE(FCF,MEAN,QUARTERLY_ROLL,2015/1F,45681,,,'')&lt;/Q&gt;&lt;R&gt;1&lt;/R&gt;&lt;C&gt;1&lt;/C&gt;&lt;D xsi:type="xsd:double"&gt;6849.033&lt;/D&gt;&lt;/FQL&gt;&lt;FQL&gt;&lt;Q&gt;Ticker0024^FE_ESTIMATE(CAPEX,MEAN,ANNUAL_ROLL,2030,45681,,,'')&lt;/Q&gt;&lt;R&gt;0&lt;/R&gt;&lt;C&gt;0&lt;/C&gt;&lt;/FQL&gt;&lt;FQL&gt;&lt;Q&gt;Ticker0024^FE_ESTIMATE(CAPEX,MEAN,QUARTERLY_ROLL,2030/4F,45681,,,'')&lt;/Q&gt;&lt;R&gt;0&lt;/R&gt;&lt;C&gt;0&lt;/C&gt;&lt;/FQL&gt;&lt;FQL&gt;&lt;Q&gt;Ticker0024^FE_ESTIMATE(CAPEX,MEAN,QUARTERLY_ROLL,2030/3F,45681,,,'')&lt;/Q&gt;&lt;R&gt;0&lt;/R&gt;&lt;C&gt;0&lt;/C&gt;&lt;/FQL&gt;&lt;FQL&gt;&lt;Q&gt;Ticker0024^FE_ESTIMATE(CAPEX,MEAN,QUARTERLY_ROLL,2030/2F,45681,,,'')&lt;/Q&gt;&lt;R&gt;0&lt;/R&gt;&lt;C&gt;0&lt;/C&gt;&lt;/FQL&gt;&lt;FQL&gt;&lt;Q&gt;Ticker0024^FE_ESTIMATE(CAPEX,MEAN,QUARTERLY_ROLL,2030/1F,45681,,,'')&lt;/Q&gt;&lt;R&gt;0&lt;/R&gt;&lt;C&gt;0&lt;/C&gt;&lt;/FQL&gt;&lt;FQL&gt;&lt;Q&gt;Ticker0024^FE_ESTIMATE(CAPEX,MEAN,ANNUAL_ROLL,2029,45681,,,'')&lt;/Q&gt;&lt;R&gt;0&lt;/R&gt;&lt;C&gt;0&lt;/C&gt;&lt;/FQL&gt;&lt;FQL&gt;&lt;Q&gt;Ticker0024^FE_ESTIMATE(CAPEX,MEAN,QUARTERLY_ROLL,2029/4F,45681,,,'')&lt;/Q&gt;&lt;R&gt;0&lt;/R&gt;&lt;C&gt;0&lt;/C&gt;&lt;/FQL&gt;&lt;FQL&gt;&lt;Q&gt;Ticker0024^FE_ESTIMATE(CAPEX,MEAN,QUARTERLY_ROLL,2029/3F,45681,,,'')&lt;/Q&gt;&lt;R&gt;0&lt;/R&gt;&lt;C&gt;0&lt;/C&gt;&lt;/FQL&gt;&lt;FQL&gt;&lt;Q&gt;Ticker0024^FE_ESTIMATE(CAPEX,MEAN,QUARTERLY_ROLL,2029/2F,45681,,,'')&lt;/Q&gt;&lt;R&gt;0&lt;/R&gt;&lt;C&gt;0&lt;/C&gt;&lt;/FQL&gt;&lt;FQL&gt;&lt;Q&gt;Ticker0024^FE_ESTIMATE(CAPEX,MEAN,QUARTERLY_ROLL,2029/1F,45681,,,'')&lt;/Q&gt;&lt;R&gt;0&lt;/R&gt;&lt;C&gt;0&lt;/C&gt;&lt;/FQL&gt;&lt;FQL&gt;&lt;Q&gt;Ticker0024^FE_ESTIMATE(CAPEX,MEAN,ANNUAL_ROLL,2028,45681,,,'')&lt;/Q&gt;&lt;R&gt;1&lt;/R&gt;&lt;C&gt;1&lt;/C&gt;&lt;D xsi:type="xsd:double"&gt;66360.01&lt;/D&gt;&lt;/FQL&gt;&lt;FQL&gt;&lt;Q&gt;Ticker0024^FE_ESTIMATE(CAPEX,MEAN,QUARTERLY_ROLL,2028/4F,45681,,,'')&lt;/Q&gt;&lt;R&gt;0&lt;/R&gt;&lt;C&gt;0&lt;/C&gt;&lt;/FQL&gt;&lt;FQL&gt;&lt;Q&gt;Ticker0024^FE_ESTIMATE(CAPEX,MEAN,QUARTERLY_ROLL,2028/3F,45681,,,'')&lt;/Q&gt;&lt;R&gt;0&lt;/R&gt;&lt;C&gt;0&lt;/C&gt;&lt;/FQL&gt;&lt;FQL&gt;&lt;Q&gt;Ticker0024^FE_ESTIMATE(CAPEX,MEAN,QUARTERLY_ROLL,2028/2F,45681,,,'')&lt;/Q&gt;&lt;R&gt;0&lt;/R&gt;&lt;C&gt;0&lt;/C&gt;&lt;/FQL&gt;&lt;FQL&gt;&lt;Q&gt;Ticker0024^FE_ESTIMATE(CAPEX,MEAN,QUARTERLY_ROLL,2028/1F,45681,,,'')&lt;/Q&gt;&lt;R&gt;0&lt;/R&gt;&lt;C&gt;0&lt;/C&gt;&lt;/FQL&gt;&lt;FQL&gt;&lt;Q&gt;Ticker0024^FE_ESTIMATE(CAPEX,MEAN,ANNUAL_ROLL,2027,45681,,,'')&lt;/Q&gt;&lt;R&gt;1&lt;/R&gt;&lt;C&gt;1&lt;/C&gt;&lt;D xsi:type="xsd:double"&gt;73093.91&lt;/D&gt;&lt;/FQL&gt;&lt;FQL&gt;&lt;Q&gt;Ticker0024^FE_ESTIMATE(CAPEX,MEAN,QUARTERLY_ROLL,2027/4F,45681,,,'')&lt;/Q&gt;&lt;R&gt;1&lt;/R&gt;&lt;C&gt;1&lt;/C&gt;&lt;D xsi:type="xsd:double"&gt;20657.201&lt;/D&gt;&lt;/FQL&gt;&lt;FQL&gt;&lt;Q&gt;Ticker0024^FE_ESTIMATE(CAPEX,MEAN,QUARTERLY_ROLL,2027/3F,45681,,,'')&lt;/Q&gt;&lt;R&gt;1&lt;/R&gt;&lt;C&gt;1&lt;/C&gt;&lt;D xsi:type="xsd:double"&gt;20025.482&lt;/D&gt;&lt;/FQL&gt;&lt;FQL&gt;&lt;Q&gt;Ticker0024^FE_ESTIMATE(CAPEX,MEAN,QUARTERLY_ROLL,2027/2F,45681,,,'')&lt;/Q&gt;&lt;R&gt;1&lt;/R&gt;&lt;C&gt;1&lt;/C&gt;&lt;D xsi:type="xsd:double"&gt;19767.313&lt;/D&gt;&lt;/FQL&gt;&lt;FQL&gt;&lt;Q&gt;Ticker0024^FE_ESTIMATE(CAPEX,MEAN,QUARTERLY_ROLL,2027/1F,45681,,,'')&lt;/Q&gt;&lt;R&gt;1&lt;/R&gt;&lt;C&gt;1&lt;/C&gt;&lt;D xsi:type="xsd:double"&gt;18791.121&lt;/D&gt;&lt;/FQL&gt;&lt;FQL&gt;&lt;Q&gt;Ticker0024^FE_ESTIMATE(CAPEX,MEAN,ANNUAL_ROLL,2026,45681,,,'')&lt;/Q&gt;&lt;R&gt;1&lt;/R&gt;&lt;C&gt;1&lt;/C&gt;&lt;D xsi:type="xsd:double"&gt;69208.086&lt;/D&gt;&lt;/FQL&gt;&lt;FQL&gt;&lt;Q&gt;Ticker0024^FE_ESTIMATE(CAPEX,MEAN,QUARTERLY_ROLL,2026/4F,45681,,,'')&lt;/Q&gt;&lt;R&gt;1&lt;/R&gt;&lt;C&gt;1&lt;/C&gt;&lt;D xsi:type="xsd:double"&gt;17312.361&lt;/D&gt;&lt;/FQL&gt;&lt;FQL&gt;&lt;Q&gt;Ticker0024^FE_ESTIMATE(CAPEX,MEAN,QUARTERLY_ROLL,2026/3F,45681,,,'')&lt;/Q&gt;&lt;R&gt;1&lt;/R&gt;&lt;C&gt;1&lt;/C&gt;&lt;D xsi:type="xsd:double"&gt;16767.123&lt;/D&gt;&lt;/FQL&gt;&lt;FQL&gt;&lt;Q&gt;Ticker0024^FE_ESTIMATE(CAPEX,MEAN,QUARTERLY_ROLL,2026/2F,45681,,,'')&lt;/Q&gt;&lt;R&gt;1&lt;/R&gt;&lt;C&gt;1&lt;/C&gt;&lt;D xsi:type="xsd:double"&gt;16750.334&lt;/D&gt;&lt;/FQL&gt;&lt;FQL&gt;&lt;Q&gt;Ticker0024^FE_ESTIMATE(CAPEX,MEAN,QUARTERLY_ROLL,2026/1F,45681,,,'')&lt;/Q&gt;&lt;R&gt;1&lt;/R&gt;&lt;C&gt;1&lt;/C&gt;&lt;D xsi:type="xsd:double"&gt;16392.19&lt;/D&gt;&lt;/FQL&gt;&lt;FQL&gt;&lt;Q&gt;Ticker0024^FE_ESTIMATE(CAPEX,MEAN,ANNUAL_ROLL,2025,45681,,,'')&lt;/Q&gt;&lt;R&gt;1&lt;/R&gt;&lt;C&gt;1&lt;/C&gt;&lt;D xsi:type="xsd:double"&gt;62770.44&lt;/D&gt;&lt;/FQL&gt;&lt;FQL&gt;&lt;Q&gt;Ticker0024^FE_ESTIMATE(CAPEX,MEAN,QUARTERLY_ROLL,2025/4F,45681,,,'')&lt;/Q&gt;&lt;R&gt;1&lt;/R&gt;&lt;C&gt;1&lt;/C&gt;&lt;D xsi:type="xsd:double"&gt;16215.017&lt;/D&gt;&lt;/FQL&gt;&lt;FQL&gt;&lt;Q&gt;Ticker0024^FE_ESTIMATE(CAPEX,MEAN,QUARTERLY_ROLL,2025/3F,45681,,,'')&lt;/Q&gt;&lt;R&gt;1&lt;/R&gt;&lt;C&gt;1&lt;/C&gt;&lt;D xsi:type="xsd:double"&gt;15542.37&lt;/D&gt;&lt;/FQL&gt;&lt;FQL&gt;&lt;Q&gt;Ticker0024^FE_ESTIMATE(CAPEX,MEAN,QUARTERLY_ROLL,2025/2F,45681,,,'')&lt;/Q&gt;&lt;R&gt;1&lt;/R&gt;&lt;C&gt;1&lt;/C&gt;&lt;D xsi:type="xsd:double"&gt;15572.421&lt;/D&gt;&lt;/FQL&gt;&lt;FQL&gt;&lt;Q&gt;Ticker0024^FE_ESTIMATE(CAPEX,MEAN,QUARTERLY_ROLL,2025/1F,45681,,,'')&lt;/Q&gt;&lt;R&gt;1&lt;/R&gt;&lt;C&gt;1&lt;/C&gt;&lt;D xsi:type="xsd:double"&gt;14922.786&lt;/D&gt;&lt;/FQL&gt;&lt;FQL&gt;&lt;Q&gt;Ticker0024^FE_ESTIMATE(CAPEX,MEAN,ANNUAL_ROLL,2024,45681,,,'')&lt;/Q&gt;&lt;R&gt;1&lt;/R&gt;&lt;C&gt;1&lt;/C&gt;&lt;D xsi:type="xsd:double"&gt;44477.12&lt;/D&gt;&lt;/FQL&gt;&lt;FQL&gt;&lt;Q&gt;Ticker0024^FE_ESTIMATE(CAPEX,MEAN,QUARTERLY_ROLL,2024/4F,45681,,,'')&lt;/Q&gt;&lt;R&gt;1&lt;/R&gt;&lt;C&gt;1&lt;/C&gt;&lt;D xsi:type="xsd:double"&gt;13874.714&lt;/D&gt;&lt;/FQL&gt;&lt;FQL&gt;&lt;Q&gt;Ticker0024^FE_ESTIMATE(CAPEX,MEAN,QUARTERLY_ROLL,2024/3F,45681,,,'')&lt;/Q&gt;&lt;R&gt;1&lt;/R&gt;&lt;C&gt;1&lt;/C&gt;&lt;D xsi:type="xsd:double"&gt;10951.875&lt;/D&gt;&lt;/FQL&gt;&lt;FQL&gt;&lt;Q&gt;Ticker0024^FE_ESTIMATE(CAPEX,MEAN,QUARTERLY_ROLL,2024/2F,45681,,,'')&lt;/Q&gt;&lt;R&gt;1&lt;/R&gt;&lt;C&gt;1&lt;/C&gt;&lt;D xsi:type="xsd:double"&gt;10013.947&lt;/D&gt;&lt;/FQL&gt;&lt;FQL&gt;&lt;Q&gt;Ticker0024^FE_ESTIMATE(CAPEX,MEAN,QUARTERLY_ROLL,2024/1F,45681,,,'')&lt;/Q&gt;&lt;R&gt;1&lt;/R&gt;&lt;C&gt;1&lt;/C&gt;&lt;D xsi:type="xsd:double"&gt;10002.733&lt;/D&gt;&lt;/FQL&gt;&lt;FQL&gt;&lt;Q&gt;Ticker0024^FE_ESTIMATE(CAPEX,MEAN,ANNUAL_ROLL,2023,45681,,,'')&lt;/Q&gt;&lt;R&gt;1&lt;/R&gt;&lt;C&gt;1&lt;/C&gt;&lt;D xsi:type="xsd:double"&gt;28107.125&lt;/D&gt;&lt;/FQL&gt;&lt;FQL&gt;&lt;Q&gt;Ticker0024^FE_ESTIMATE(CAPEX,MEAN,QUARTERLY_ROLL,2023/4F,45681,,,'')&lt;/Q&gt;&lt;R&gt;1&lt;/R&gt;&lt;C&gt;1&lt;/C&gt;&lt;D xsi:type="xsd:double"&gt;8942.77&lt;/D&gt;&lt;/FQL&gt;&lt;FQL&gt;&lt;Q&gt;Ticker0024^FE_ESTIMATE(CAPEX,MEAN,QUARTERLY_ROLL,2023/3F,45681,,,'')&lt;/Q&gt;&lt;R&gt;1&lt;/R&gt;&lt;C&gt;1&lt;/C&gt;&lt;D xsi:type="xsd:double"&gt;6607.25&lt;/D&gt;&lt;/FQL&gt;&lt;FQL&gt;&lt;Q&gt;Ticker0024^FE_ESTIMATE(CAPEX,MEAN,QUARTERLY_ROLL,2023/2F,45681,,,'')&lt;/Q&gt;&lt;R&gt;1&lt;/R&gt;&lt;C&gt;1&lt;/C&gt;&lt;D xsi:type="xsd:double"&gt;6273.636&lt;/D&gt;&lt;/FQL&gt;&lt;FQL&gt;&lt;Q&gt;Ticker0024^FE_ESTIMATE(CAPEX,MEAN,QUARTERLY_ROLL,2023/1F,45681,,,'')&lt;/Q&gt;&lt;R&gt;1&lt;/R&gt;&lt;C&gt;1&lt;/C&gt;&lt;D xsi:type="xsd:double"&gt;6283&lt;/D&gt;&lt;/FQL&gt;&lt;FQL&gt;&lt;Q&gt;Ticker0024^FE_ESTIMATE(CAPEX,MEAN,ANNUAL_ROLL,2022,45681,,,'')&lt;/Q&gt;&lt;R&gt;1&lt;/R&gt;&lt;C&gt;1&lt;/C&gt;&lt;D xsi:type="xsd:double"&gt;24090.385&lt;/D&gt;&lt;/FQL&gt;&lt;FQL&gt;&lt;Q&gt;Ticker0024^FE_ESTIMATE(CAPEX,MEAN,QUARTERLY_ROLL,2022/4F,45681,,,'')&lt;/Q&gt;&lt;R&gt;1&lt;/R&gt;&lt;C&gt;1&lt;/C&gt;&lt;D xsi:type="xsd:double"&gt;7023.4165&lt;/D&gt;&lt;/FQL&gt;&lt;FQL&gt;&lt;Q&gt;Ticker0024^FE_ESTIMATE(CAPEX,MEAN,QUARTERLY_ROLL,2022/3F,45681,,,'')&lt;/Q&gt;&lt;R&gt;1&lt;/R&gt;&lt;C&gt;1&lt;/C&gt;&lt;D xsi:type="xsd:double"&gt;5436&lt;/D&gt;&lt;/FQL&gt;&lt;FQL&gt;&lt;Q&gt;Ticker0024^FE_ESTIMATE(CAPEX,MEAN,QUARTERLY_ROLL,2022/2F,45681,,,'')&lt;/Q&gt;&lt;R&gt;1&lt;/R&gt;&lt;C&gt;1&lt;/C&gt;&lt;D xsi:type="xsd:double"&gt;5958.5&lt;/D&gt;&lt;/FQL&gt;&lt;FQL&gt;&lt;Q&gt;Ticker0024^FE_ESTIMATE(CAPEX,MEAN,QUARTERLY_ROLL,2022/1F,45681,,,'')&lt;/Q&gt;&lt;R&gt;1&lt;/R&gt;&lt;C&gt;1&lt;/C&gt;&lt;D xsi:type="xsd:double"&gt;5954.5454&lt;/D&gt;&lt;/FQL&gt;&lt;FQL&gt;&lt;Q&gt;Ticker0024^FE_ESTIMATE(CAPEX,MEAN,ANNUAL_ROLL,2021,45681,,,'')&lt;/Q&gt;&lt;R&gt;1&lt;/R&gt;&lt;C&gt;1&lt;/C&gt;&lt;D xsi:type="xsd:double"&gt;20901.076&lt;/D&gt;&lt;/FQL&gt;&lt;FQL&gt;&lt;Q&gt;Ticker0024^FE_ESTIMATE(CAPEX,MEAN,QUARTERLY_ROLL,2021/4F,45681,,,'')&lt;/Q&gt;&lt;R&gt;1&lt;/R&gt;&lt;C&gt;1&lt;/C&gt;&lt;D xsi:type="xsd:double"&gt;6558&lt;/D&gt;&lt;/FQL&gt;&lt;FQL&gt;&lt;Q&gt;Ticker0024^FE_ESTIMATE(CAPEX,MEAN,QUARTERLY_ROLL,2021/3F,45681,,,'')&lt;/Q&gt;&lt;R&gt;1&lt;/R&gt;&lt;C&gt;1&lt;/C&gt;&lt;D xsi:type="xsd:double"&gt;5190.222&lt;/D&gt;&lt;/FQL&gt;&lt;FQL&gt;&lt;Q&gt;Ticker0024^FE_ESTIMATE(CAPEX,MEAN,QUARTERLY_ROLL,2021/2F,45681,,,'')&lt;/Q&gt;&lt;R&gt;1&lt;/R&gt;&lt;C&gt;1&lt;/C&gt;&lt;D xsi:type="xsd:double"&gt;4310.222&lt;/D&gt;&lt;/FQL&gt;&lt;FQL&gt;&lt;Q&gt;Ticker0024^FE_ESTIMATE(CAPEX,MEAN,QUARTERLY_ROLL,2021/1F,45681,,,'')&lt;/Q&gt;&lt;R&gt;1&lt;/R&gt;&lt;C&gt;1&lt;/C&gt;&lt;D xsi:type="xsd:double"&gt;4951.2&lt;/D&gt;&lt;/FQL&gt;&lt;FQL&gt;&lt;Q&gt;Ticker0024^FE_ESTIMATE(CAPEX,MEAN,ANNUAL_ROLL,2020,45681,,,'')&lt;/Q&gt;&lt;R&gt;1&lt;/R&gt;&lt;C&gt;1&lt;/C&gt;&lt;D xsi:type="xsd:double"&gt;15737.583&lt;/D&gt;&lt;/FQL&gt;&lt;FQL&gt;&lt;Q&gt;Ticker0024^FE_ESTIMATE(CAPEX,MEAN,QUARTERLY_ROLL,2020/4F,45681,,,'')&lt;/Q&gt;&lt;R&gt;1&lt;/R&gt;&lt;C&gt;1&lt;/C&gt;&lt;D xsi:type="xsd:double"&gt;4876&lt;/D&gt;&lt;/FQL&gt;&lt;FQL&gt;&lt;Q&gt;Ticker0024^FE_ESTIMATE(CAPEX,MEAN,QUARTERLY_ROLL,2020/3F,45681,,,'')&lt;/Q&gt;&lt;R&gt;1&lt;/R&gt;&lt;C&gt;1&lt;/C&gt;&lt;D xsi:type="xsd:double"&gt;3781.7778&lt;/D&gt;&lt;/FQL&gt;&lt;FQL&gt;&lt;Q&gt;Ticker0024^FE_ESTIMATE(CAPEX,MEAN,QUARTERLY_ROLL,2020/2F,45681,,,'')&lt;/Q&gt;&lt;R&gt;1&lt;/R&gt;&lt;C&gt;1&lt;/C&gt;&lt;D xsi:type="xsd:double"&gt;3640.5&lt;/D&gt;&lt;/FQL&gt;&lt;FQL&gt;&lt;Q&gt;Ticker0024^FE_ESTIMATE(CAPEX,MEAN,QUARTERLY_ROLL,2020/1F,45681,,,'')&lt;/Q&gt;&lt;R&gt;1&lt;/R&gt;&lt;C&gt;1&lt;/C&gt;&lt;D xsi:type="xsd:double"&gt;3526.5&lt;/D&gt;&lt;/FQL&gt;&lt;FQL&gt;&lt;Q&gt;Ticker0024^FE_ESTIMATE(CAPEX,MEAN,ANNUAL_ROLL,2019,45681,,,'')&lt;/Q&gt;&lt;R&gt;1&lt;/R&gt;&lt;C&gt;1&lt;/C&gt;&lt;D xsi:type="xsd:double"&gt;14123.333&lt;/D&gt;&lt;/FQL&gt;&lt;FQL&gt;&lt;Q&gt;Ticker0024^FE_ESTIMATE(CAPEX,MEAN,QUARTERLY_ROLL,2019/4F,45681,,,'')&lt;/Q&gt;&lt;R&gt;1&lt;/R&gt;&lt;C&gt;1&lt;/C&gt;&lt;D xsi:type="xsd:double"&gt;4300.8&lt;/D&gt;&lt;/FQL&gt;&lt;FQL&gt;&lt;Q&gt;Ticker0024^FE_ESTIMATE(CAPEX,MEAN,QUARTERLY_ROLL,2019/3F,45681,,,'')&lt;/Q&gt;&lt;R&gt;1&lt;/R&gt;&lt;C&gt;1&lt;/C&gt;&lt;D xsi:type="xsd:double"&gt;2648.5&lt;/D&gt;&lt;/FQL&gt;&lt;FQL&gt;&lt;Q&gt;Ticker0024^FE_ESTIMATE(CAPEX,MEAN,QUARTERLY_ROLL,2019/2F,45681,,,'')&lt;/Q&gt;&lt;R&gt;1&lt;/R&gt;&lt;C&gt;1&lt;/C&gt;&lt;D xsi:type="xsd:double"&gt;3736.6924&lt;/D&gt;&lt;/FQL&gt;&lt;FQL&gt;&lt;Q&gt;Ticker0024^FE_ESTIMATE(CAPEX,MEAN,QUARTERLY_ROLL,2019/1F,45681,,,'')&lt;/Q&gt;&lt;R&gt;1&lt;/R&gt;&lt;C&gt;1&lt;/C&gt;&lt;D xsi:type="xsd:double"&gt;3728.9092&lt;/D&gt;&lt;/FQL&gt;&lt;FQL&gt;&lt;Q&gt;Ticker0024^FE_ESTIMATE(CAPEX,MEAN,ANNUAL_ROLL,2018,45681,,,'')&lt;/Q&gt;&lt;R&gt;1&lt;/R&gt;&lt;C&gt;1&lt;/C&gt;&lt;D xsi:type="xsd:double"&gt;11958.8&lt;/D&gt;&lt;/FQL&gt;&lt;FQL&gt;&lt;Q&gt;Ticker0024^FE_ESTIMATE(CAPEX,MEAN,QUARTERLY_ROLL,2018/4F,45681,,,'')&lt;/Q&gt;&lt;R&gt;1&lt;/R&gt;&lt;C&gt;1&lt;/C&gt;&lt;D xsi:type="xsd:double"&gt;3993.3333&lt;/D&gt;&lt;/FQL&gt;&lt;FQL&gt;&lt;Q&gt;Ticker0024^FE_ESTIMATE(CAPEX,MEAN,QUARTERLY_ROLL,2018/3F,45681,,,'')&lt;/Q&gt;&lt;R&gt;1&lt;/R&gt;&lt;C&gt;1&lt;/C&gt;&lt;D xsi:type="xsd:double"&gt;2934&lt;/D&gt;&lt;/FQL&gt;&lt;FQL&gt;&lt;Q&gt;Ticker0024^FE_ESTIMATE(CAPEX,MEAN,QUARTERLY_ROLL,2018/2F,45681,,,'')&lt;/Q&gt;&lt;R&gt;1&lt;/R&gt;&lt;C&gt;1&lt;/C&gt;&lt;D xsi:type="xsd:double"&gt;2650.9092&lt;/D&gt;&lt;/FQL&gt;&lt;FQL&gt;&lt;Q&gt;Ticker0024^FE_ESTIMATE(CAPEX,MEAN,QUARTERLY_ROLL,2018/1F,45681,,,'')&lt;/Q&gt;&lt;R&gt;1&lt;/R&gt;&lt;C&gt;1&lt;/C&gt;&lt;D xsi:type="xsd:double"&gt;2132&lt;/D&gt;&lt;/FQL&gt;&lt;FQL&gt;&lt;Q&gt;Ticker0024^FE_ESTIMATE(CAPEX,MEAN,ANNUAL_ROLL,2017,45681,,,'')&lt;/Q&gt;&lt;R&gt;1&lt;/R&gt;&lt;C&gt;1&lt;/C&gt;&lt;D xsi:type="xsd:double"&gt;8129&lt;/D&gt;&lt;/FQL&gt;&lt;FQL&gt;&lt;Q&gt;Ticker0024^FE_ESTIMATE(CAPEX,MEAN,QUARTERLY_ROLL,2017/4F,45681,,,'')&lt;/Q&gt;&lt;R&gt;1&lt;/R&gt;&lt;C&gt;1&lt;/C&gt;&lt;D xsi:type="xsd:double"&gt;2283&lt;/D&gt;&lt;/FQL&gt;&lt;FQL&gt;&lt;Q&gt;Ticker0024^FE_ESTIMATE(CAPEX,MEAN,QUARTERLY_ROLL,2017/3F,45681,,,'')&lt;/Q&gt;&lt;R&gt;1&lt;/R&gt;&lt;C&gt;1&lt;/C&gt;&lt;D xsi:type="xsd:double"&gt;1767.909&lt;/D&gt;&lt;/FQL&gt;&lt;FQL&gt;&lt;Q&gt;Ticker0024^FE_ESTIMATE(CAPEX,MEAN,QUARTERLY_ROLL,2017/2F,45681,,,'')&lt;/Q&gt;&lt;R&gt;1&lt;/R&gt;&lt;C&gt;1&lt;/C&gt;&lt;D xsi:type="xsd:double"&gt;1988&lt;/D&gt;&lt;/FQL&gt;&lt;FQL&gt;&lt;Q&gt;Ticker0024^FE_ESTIMATE(CAPEX,MEAN,QUARTERLY_ROLL,2017/1F,45681,,,'')&lt;/Q&gt;&lt;R&gt;1&lt;/R&gt;&lt;C&gt;1&lt;/C&gt;&lt;D xsi:type="xsd:double"&gt;2163&lt;/D&gt;&lt;/FQL&gt;&lt;FQL&gt;&lt;Q&gt;Ticker0024^FE_ESTIMATE(CAPEX,MEAN,ANNUAL_ROLL,2016,45681,,,'')&lt;/Q&gt;&lt;R&gt;1&lt;/R&gt;&lt;C&gt;1&lt;/C&gt;&lt;D xsi:type="xsd:double"&gt;8343&lt;/D&gt;&lt;/FQL&gt;&lt;FQL&gt;&lt;Q&gt;Ticker0024^FE_ESTIMATE(CAPEX,MEAN,QUARTERLY_ROLL,2016/4F,45681,,,'')&lt;/Q&gt;&lt;R&gt;1&lt;/R&gt;&lt;C&gt;1&lt;/C&gt;&lt;D xsi:type="xsd:double"&gt;2655&lt;/D&gt;&lt;/FQL&gt;&lt;FQL&gt;&lt;Q&gt;Ticker0024^FE_ESTIMATE(CAPEX,MEAN,QUARTERLY_ROLL,2016/3F,45681,,,'')&lt;/Q&gt;&lt;R&gt;1&lt;/R&gt;&lt;C&gt;1&lt;/C&gt;&lt;D xsi:type="xsd:double"&gt;2308&lt;/D&gt;&lt;/FQL&gt;&lt;FQL&gt;&lt;Q&gt;Ticker0024^FE_ESTIMATE(CAPEX,MEAN,QUARTERLY_ROLL,2016/2F,45681,,,'')&lt;/Q&gt;&lt;R&gt;1&lt;/R&gt;&lt;C&gt;1&lt;/C&gt;&lt;D xsi:type="xsd:double"&gt;2024&lt;/D&gt;&lt;/FQL&gt;&lt;FQL&gt;&lt;Q&gt;Ticker0024^FE_ESTIMATE(CAPEX,MEAN,QUARTERLY_ROLL,2016/1F,45681,,,'')&lt;/Q&gt;&lt;R&gt;1&lt;/R&gt;&lt;C&gt;1&lt;/C&gt;&lt;D xsi:type="xsd:double"&gt;1356&lt;/D&gt;&lt;/FQL&gt;&lt;FQL&gt;&lt;Q&gt;Ticker0024^FE_ESTIMATE(CAPEX,MEAN,ANNUAL_ROLL,2015,45681,,,'')&lt;/Q&gt;&lt;R&gt;1&lt;/R&gt;&lt;C&gt;1&lt;/C&gt;&lt;D xsi:type="xsd:double"&gt;5944&lt;/D&gt;&lt;/FQL&gt;&lt;FQL&gt;&lt;Q&gt;Ticker0024^FE_ESTIMATE(CAPEX,MEAN,QUARTERLY_ROLL,2015/4F,45681,,,'')&lt;/Q&gt;&lt;R&gt;1&lt;/R&gt;&lt;C&gt;1&lt;/C&gt;&lt;D xsi:type="xsd:double"&gt;1781&lt;/D&gt;&lt;/FQL&gt;&lt;FQL&gt;&lt;Q&gt;Ticker0024^FE_ESTIMATE(CAPEX,MEAN,QUARTERLY_ROLL,2015/3F,45681,,,'')&lt;/Q&gt;&lt;R&gt;1&lt;/R&gt;&lt;C&gt;1&lt;/C&gt;&lt;D xsi:type="xsd:double"&gt;1391&lt;/D&gt;&lt;/FQL&gt;&lt;FQL&gt;&lt;Q&gt;Ticker0024^FE_ESTIMATE(CAPEX,MEAN,QUARTERLY_ROLL,2015/2F,45681,,,'')&lt;/Q&gt;&lt;R&gt;1&lt;/R&gt;&lt;C&gt;1&lt;/C&gt;&lt;D xsi:type="xsd:double"&gt;1490&lt;/D&gt;&lt;/FQL&gt;&lt;FQL&gt;&lt;Q&gt;Ticker0024^FE_ESTIMATE(CAPEX,MEAN,QUARTERLY_ROLL,2015/1F,45681,,,'')&lt;/Q&gt;&lt;R&gt;1&lt;/R&gt;&lt;C&gt;1&lt;/C&gt;&lt;D xsi:type="xsd:double"&gt;1282&lt;/D&gt;&lt;/FQL&gt;&lt;FQL&gt;&lt;Q&gt;Ticker0024^FE_ESTIMATE(CFO,MEAN,ANNUAL_ROLL,2030,45681,,,'')&lt;/Q&gt;&lt;R&gt;0&lt;/R&gt;&lt;C&gt;0&lt;/C&gt;&lt;/FQL&gt;&lt;FQL&gt;&lt;Q&gt;Ticker0024^FE_ESTIMATE(CFO,MEAN,QUARTERLY_ROLL,2030/4F,45681,,,'')&lt;/Q&gt;&lt;R&gt;0&lt;/R&gt;&lt;C&gt;0&lt;/C&gt;&lt;/FQL&gt;&lt;FQL&gt;&lt;Q&gt;Ticker0024^FE_ESTIMATE(CFO,MEAN,QUARTERLY_ROLL,2030/3F,45681,,,'')&lt;/Q&gt;&lt;R&gt;0&lt;/R&gt;&lt;C&gt;0&lt;/C&gt;&lt;/FQL&gt;&lt;FQL&gt;&lt;Q&gt;Ticker0024^FE_ESTIMATE(CFO,MEAN,QUARTERLY_ROLL,2030/2F,45681,,,'')&lt;/Q&gt;&lt;R&gt;0&lt;/R&gt;&lt;C&gt;0&lt;/C&gt;&lt;/FQL&gt;&lt;FQL&gt;&lt;Q&gt;Ticker0024^FE_ESTIMATE(CFO,MEAN,QUARTERLY_ROLL,2030/1F,45681,,,'')&lt;/Q&gt;&lt;R&gt;0&lt;/R&gt;&lt;C&gt;0&lt;/C&gt;&lt;/FQL&gt;&lt;FQL&gt;&lt;Q&gt;Ticker0024^FE_ESTIMATE(CFO,MEAN,ANNUAL_ROLL,2029,45681,,,'')&lt;/Q&gt;&lt;R&gt;0&lt;/R&gt;&lt;C&gt;0&lt;/C&gt;&lt;/FQL&gt;&lt;FQL&gt;&lt;Q&gt;Ticker0024^FE_ESTIMATE(CFO,MEAN,QUARTERLY_ROLL,2029/4F,45681,,,'')&lt;/Q&gt;&lt;R&gt;0&lt;/R&gt;&lt;C&gt;0&lt;/C&gt;&lt;/FQL&gt;&lt;FQL&gt;&lt;Q&gt;Ticker0024^FE_ESTIMATE(CFO,MEAN,QUARTERLY_ROLL,2029/3F,45681,,,'')&lt;/Q&gt;&lt;R&gt;0&lt;/R&gt;&lt;C&gt;0&lt;/C&gt;&lt;/FQL&gt;&lt;FQL&gt;&lt;Q&gt;Ticker0024^FE_ESTIMATE(CFO,MEAN,QUARTERLY_ROLL,2029/2F,45681,,,'')&lt;/Q&gt;&lt;R&gt;0&lt;/R&gt;&lt;C&gt;0&lt;/C&gt;&lt;/FQL&gt;&lt;FQL&gt;&lt;Q&gt;Ticker0024^FE_ESTIMATE(CFO,MEAN,QUARTERLY_ROLL,2029/1F,45681,,,'')&lt;/Q&gt;&lt;R&gt;0&lt;/R&gt;&lt;C&gt;0&lt;/C&gt;&lt;/FQL&gt;&lt;FQL&gt;&lt;Q&gt;Ticker0024^FE_ESTIMATE(CFO,MEAN,ANNUAL_ROLL,2028,45681,,,'')&lt;/Q&gt;&lt;R&gt;1&lt;/R&gt;&lt;C&gt;1&lt;/C&gt;&lt;D xsi:type="xsd:double"&gt;228549&lt;/D&gt;&lt;/FQL&gt;&lt;FQL&gt;&lt;Q&gt;Ticker0024^FE_ESTIMATE(CFO,MEAN,QUARTERLY_ROLL,2028/4F,45681,,,'')&lt;/Q&gt;&lt;R&gt;0&lt;/R&gt;&lt;C&gt;0&lt;/C&gt;&lt;/FQL&gt;&lt;FQL&gt;&lt;Q&gt;Ticker0024^FE_ESTIMATE(CFO,MEAN,QUARTERLY_ROLL,2028/3F,45681,,,'')&lt;/Q&gt;&lt;R&gt;0&lt;/R&gt;&lt;C&gt;0&lt;/C&gt;&lt;/FQL&gt;&lt;FQL&gt;&lt;Q&gt;Ticker0024^FE_ESTIMATE(CFO,MEAN,QUARTERLY_ROLL,2028/2F,45681,,,'')&lt;/Q&gt;&lt;R&gt;0&lt;/R&gt;&lt;C&gt;0&lt;/C&gt;&lt;/FQL&gt;&lt;FQL&gt;&lt;Q&gt;Ticker0024^FE_ESTIMATE(CFO,MEAN,QUARTERLY_ROLL,2028/1F,45681,,,'')&lt;/Q&gt;&lt;R&gt;0&lt;/R&gt;&lt;C&gt;0&lt;/C&gt;&lt;/FQL&gt;&lt;FQL&gt;&lt;Q&gt;Ticker0024^FE_ESTIMATE(CFO,MEAN,ANNUAL_ROLL,2027,45681,,,'')&lt;/Q&gt;&lt;R&gt;1&lt;/R&gt;&lt;C&gt;1&lt;/C&gt;&lt;D xsi:type="xsd:double"&gt;171862.83&lt;/D&gt;&lt;/FQL&gt;&lt;FQL&gt;&lt;Q&gt;Ticker0024^FE_ESTIMATE(CFO,MEAN,QUARTERLY_ROLL,2027/4F,45681,,,'')&lt;/Q&gt;&lt;R&gt;0&lt;/R&gt;&lt;C&gt;0&lt;/C&gt;&lt;/FQL&gt;&lt;FQL&gt;&lt;Q&gt;Ticker0024^FE_ESTIMATE(CFO,MEAN,QUARTERLY_ROLL,2027/3F,45681,,,'')&lt;/Q&gt;&lt;R&gt;0&lt;/R&gt;&lt;C&gt;0&lt;/C&gt;&lt;/FQL&gt;&lt;FQL&gt;&lt;Q&gt;Ticker0024^FE_ESTIMATE(CFO,MEAN,QUARTERLY_ROLL,2027/2F,45681,,,'')&lt;/Q&gt;&lt;R&gt;0&lt;/R&gt;&lt;C&gt;0&lt;/C&gt;&lt;/FQL&gt;&lt;FQL&gt;&lt;Q&gt;Ticker0024^FE_ESTIMATE(CFO,MEAN,QUARTERLY_ROLL,2027/1F,45681,,,'')&lt;/Q&gt;&lt;R&gt;0&lt;/R&gt;&lt;C&gt;0&lt;/C&gt;&lt;/FQL&gt;&lt;FQL&gt;&lt;Q&gt;Ticker0024^FE_ESTIMATE(CFO,MEAN,ANNUAL_ROLL,2026,45681,,,'')&lt;/Q&gt;&lt;R&gt;1&lt;/R&gt;&lt;C&gt;1&lt;/C&gt;&lt;D xsi:type="xsd:double"&gt;151930.02&lt;/D&gt;&lt;/FQL&gt;&lt;FQL&gt;&lt;Q&gt;Ticker0024^FE_ESTIMATE(CFO,MEAN,QUARTERLY_ROLL,2026/4F,45681,,,'')&lt;/Q&gt;&lt;R&gt;1&lt;/R&gt;&lt;C&gt;1&lt;/C&gt;&lt;D xsi:type="xsd:double"&gt;43843.6&lt;/D&gt;&lt;/FQL&gt;&lt;FQL&gt;&lt;Q&gt;Ticker0024^FE_ESTIMATE(CFO,MEAN,QUARTERLY_ROLL,2026/3F,45681,,,'')&lt;/Q&gt;&lt;R&gt;1&lt;/R&gt;&lt;C&gt;1&lt;/C&gt;&lt;D xsi:type="xsd:double"&gt;37528.4&lt;/D&gt;&lt;/FQL&gt;&lt;FQL&gt;&lt;Q&gt;Ticker0024^FE_ESTIMATE(CFO,MEAN,QUARTERLY_ROLL,2026/2F,45681,,,'')&lt;/Q&gt;&lt;R&gt;1&lt;/R&gt;&lt;C&gt;1&lt;/C&gt;&lt;D xsi:type="xsd:double"&gt;27662.686&lt;/D&gt;&lt;/FQL&gt;&lt;FQL&gt;&lt;Q&gt;Ticker0024^FE_ESTIMATE(CFO,MEAN,QUARTERLY_ROLL,2026/1F,45681,,,'')&lt;/Q&gt;&lt;R&gt;1&lt;/R&gt;&lt;C&gt;1&lt;/C&gt;&lt;D xsi:type="xsd:double"&gt;40317.26&lt;/D&gt;&lt;/FQL&gt;&lt;FQL&gt;&lt;Q&gt;Ticker0024^FE_ESTIMATE(CFO,MEAN,ANNUAL_ROLL,2025,45681,,,'')&lt;/Q&gt;&lt;R&gt;1&lt;/R&gt;&lt;C&gt;1&lt;/C&gt;&lt;D xsi:type="xsd:double"&gt;131390.16&lt;/D&gt;&lt;/FQL&gt;&lt;FQL&gt;&lt;Q&gt;Ticker0024^FE_ESTIMATE(CFO,MEAN,QUARTERLY_ROLL,2025/4F,45681,,,'')&lt;/Q&gt;&lt;R&gt;1&lt;/R&gt;&lt;C&gt;1&lt;/C&gt;&lt;D xsi:type="xsd:double"&gt;39515.383&lt;/D&gt;&lt;/FQL&gt;&lt;FQL&gt;&lt;Q&gt;Ticker0024^FE_ESTIMATE(CFO,MEAN,QUARTERLY_ROLL,2025/3F,45681,,,'')&lt;/Q&gt;&lt;R&gt;1&lt;/R&gt;&lt;C&gt;1&lt;/C&gt;&lt;D xsi:type="xsd:double"&gt;33516.65&lt;/D&gt;&lt;/FQL&gt;&lt;FQL&gt;&lt;Q&gt;Ticker0024^FE_ESTIMATE(CFO,MEAN,QUARTERLY_ROLL,2025/2F,45681,,,'')&lt;/Q&gt;&lt;R&gt;1&lt;/R&gt;&lt;C&gt;1&lt;/C&gt;&lt;D xsi:type="xsd:double"&gt;23213.906&lt;/D&gt;&lt;/FQL&gt;&lt;FQL&gt;&lt;Q&gt;Ticker0024^FE_ESTIMATE(CFO,MEAN,QUARTERLY_ROLL,2025/1F,45681,,,'')&lt;/Q&gt;&lt;R&gt;1&lt;/R&gt;&lt;C&gt;1&lt;/C&gt;&lt;D xsi:type="xsd:double"&gt;34180&lt;/D&gt;&lt;/FQL&gt;&lt;FQL&gt;&lt;Q&gt;Ticker0024^FE_ESTIMATE(CFO,MEAN,ANNUAL_ROLL,2024,45681,,,'')&lt;/Q&gt;&lt;R&gt;1&lt;/R&gt;&lt;C&gt;1&lt;/C&gt;&lt;D xsi:type="xsd:double"&gt;119091&lt;/D&gt;&lt;/FQL&gt;&lt;FQL&gt;&lt;Q&gt;Ticker0024^FE_ESTIMATE(CFO,MEAN,QUARTERLY_ROLL,2024/4F,45681,,,'')&lt;/Q&gt;&lt;R&gt;1&lt;/R&gt;&lt;C&gt;1&lt;/C&gt;&lt;D xsi:type="xsd:double"&gt;37195.355&lt;/D&gt;&lt;/FQL&gt;&lt;FQL&gt;&lt;Q&gt;Ticker0024^FE_ESTIMATE(CFO,MEAN,QUARTERLY_ROLL,2024/3F,45681,,,'')&lt;/Q&gt;&lt;R&gt;1&lt;/R&gt;&lt;C&gt;1&lt;/C&gt;&lt;D xsi:type="xsd:double"&gt;31917.176&lt;/D&gt;&lt;/FQL&gt;&lt;FQL&gt;&lt;Q&gt;Ticker0024^FE_ESTIMATE(CFO,MEAN,QUARTERLY_ROLL,2024/2F,45681,,,'')&lt;/Q&gt;&lt;R&gt;1&lt;/R&gt;&lt;C&gt;1&lt;/C&gt;&lt;D xsi:type="xsd:double"&gt;18855.445&lt;/D&gt;&lt;/FQL&gt;&lt;FQL&gt;&lt;Q&gt;Ticker0024^FE_ESTIMATE(CFO,MEAN,QUARTERLY_ROLL,2024/1F,45681,,,'')&lt;/Q&gt;&lt;R&gt;1&lt;/R&gt;&lt;C&gt;1&lt;/C&gt;&lt;D xsi:type="xsd:double"&gt;30578.588&lt;/D&gt;&lt;/FQL&gt;&lt;FQL&gt;&lt;Q&gt;Ticker0024^FE_ESTIMATE(CFO,MEAN,ANNUAL_ROLL,2023,45681,,,'')&lt;/Q&gt;&lt;R&gt;1&lt;/R&gt;&lt;C&gt;1&lt;/C&gt;&lt;D xsi:type="xsd:double"&gt;87714&lt;/D&gt;&lt;/FQL&gt;&lt;FQL&gt;&lt;Q&gt;Ticker0024^FE_ESTIMATE(CFO,MEAN,QUARTERLY_ROLL,2023/4F,45681,,,'')&lt;/Q&gt;&lt;R&gt;1&lt;/R&gt;&lt;C&gt;1&lt;/C&gt;&lt;D xsi:type="xsd:double"&gt;28504.813&lt;/D&gt;&lt;/FQL&gt;&lt;FQL&gt;&lt;Q&gt;Ticker0024^FE_ESTIMATE(CFO,MEAN,QUARTERLY_ROLL,2023/3F,45681,,,'')&lt;/Q&gt;&lt;R&gt;1&lt;/R&gt;&lt;C&gt;1&lt;/C&gt;&lt;D xsi:type="xsd:double"&gt;24325.75&lt;/D&gt;&lt;/FQL&gt;&lt;FQL&gt;&lt;Q&gt;Ticker0024^FE_ESTIMATE(CFO,MEAN,QUARTERLY_ROLL,2023/2F,45681,,,'')&lt;/Q&gt;&lt;R&gt;1&lt;/R&gt;&lt;C&gt;1&lt;/C&gt;&lt;D xsi:type="xsd:double"&gt;11172.8&lt;/D&gt;&lt;/FQL&gt;&lt;FQL&gt;&lt;Q&gt;Ticker0024^FE_ESTIMATE(CFO,MEAN,QUARTERLY_ROLL,2023/1F,45681,,,'')&lt;/Q&gt;&lt;R&gt;1&lt;/R&gt;&lt;C&gt;1&lt;/C&gt;&lt;D xsi:type="xsd:double"&gt;23330.53&lt;/D&gt;&lt;/FQL&gt;&lt;FQL&gt;&lt;Q&gt;Ticker0024^FE_ESTIMATE(CFO,MEAN,ANNUAL_ROLL,2022,45681,,,'')&lt;/Q&gt;&lt;R&gt;1&lt;/R&gt;&lt;C&gt;1&lt;/C&gt;&lt;D xsi:type="xsd:double"&gt;89044.74&lt;/D&gt;&lt;/FQL&gt;&lt;FQL&gt;&lt;Q&gt;Ticker0024^FE_ESTIMATE(CFO,MEAN,QUARTERLY_ROLL,2022/4F,45681,,,'')&lt;/Q&gt;&lt;R&gt;1&lt;/R&gt;&lt;C&gt;1&lt;/C&gt;&lt;D xsi:type="xsd:double"&gt;24629&lt;/D&gt;&lt;/FQL&gt;&lt;FQL&gt;&lt;Q&gt;Ticker0024^FE_ESTIMATE(CFO,MEAN,QUARTERLY_ROLL,2022/3F,45681,,,'')&lt;/Q&gt;&lt;R&gt;1&lt;/R&gt;&lt;C&gt;1&lt;/C&gt;&lt;D xsi:type="xsd:double"&gt;25386&lt;/D&gt;&lt;/FQL&gt;&lt;FQL&gt;&lt;Q&gt;Ticker0024^FE_ESTIMATE(CFO,MEAN,QUARTERLY_ROLL,2022/2F,45681,,,'')&lt;/Q&gt;&lt;R&gt;1&lt;/R&gt;&lt;C&gt;1&lt;/C&gt;&lt;D xsi:type="xsd:double"&gt;14480&lt;/D&gt;&lt;/FQL&gt;&lt;FQL&gt;&lt;Q&gt;Ticker0024^FE_ESTIMATE(CFO,MEAN,QUARTERLY_ROLL,2022/1F,45681,,,'')&lt;/Q&gt;&lt;R&gt;1&lt;/R&gt;&lt;C&gt;1&lt;/C&gt;&lt;D xsi:type="xsd:double"&gt;24540&lt;/D&gt;&lt;/FQL&gt;&lt;FQL&gt;&lt;Q&gt;Ticker0024^FE_ESTIMATE(CFO,MEAN,ANNUAL_ROLL,2021,45681,,,'')&lt;/Q&gt;&lt;R&gt;1&lt;/R&gt;&lt;C&gt;1&lt;/C&gt;&lt;D xsi:type="xsd:double"&gt;77615.55&lt;/D&gt;&lt;/FQL&gt;&lt;FQL&gt;&lt;Q&gt;Ticker0024^FE_ESTIMATE(CFO,MEAN,QUARTERLY_ROLL,2021/4F,45681,,,'')&lt;/Q&gt;&lt;R&gt;1&lt;/R&gt;&lt;C&gt;1&lt;/C&gt;&lt;D xsi:type="xsd:double"&gt;22710&lt;/D&gt;&lt;/FQL&gt;&lt;FQL&gt;&lt;Q&gt;Ticker0024^FE_ESTIMATE(CFO,MEAN,QUARTERLY_ROLL,2021/3F,45681,,,'')&lt;/Q&gt;&lt;R&gt;1&lt;/R&gt;&lt;C&gt;1&lt;/C&gt;&lt;D xsi:type="xsd:double"&gt;21909&lt;/D&gt;&lt;/FQL&gt;&lt;FQL&gt;&lt;Q&gt;Ticker0024^FE_ESTIMATE(CFO,MEAN,QUARTERLY_ROLL,2021/2F,45681,,,'')&lt;/Q&gt;&lt;R&gt;1&lt;/R&gt;&lt;C&gt;1&lt;/C&gt;&lt;D xsi:type="xsd:double"&gt;12516&lt;/D&gt;&lt;/FQL&gt;&lt;FQL&gt;&lt;Q&gt;Ticker0024^FE_ESTIMATE(CFO,MEAN,QUARTERLY_ROLL,2021/1F,45681,,,'')&lt;/Q&gt;&lt;R&gt;1&lt;/R&gt;&lt;C&gt;1&lt;/C&gt;&lt;D xsi:type="xsd:double"&gt;19151.9&lt;/D&gt;&lt;/FQL&gt;&lt;FQL&gt;&lt;Q&gt;Ticker0024^FE_ESTIMATE(CFO,MEAN,ANNUAL_ROLL,2020,45681,,,'')&lt;/Q&gt;&lt;R&gt;1&lt;/R&gt;&lt;C&gt;1&lt;/C&gt;&lt;D xsi:type="xsd:double"&gt;60473.91&lt;/D&gt;&lt;/FQL&gt;&lt;FQL&gt;&lt;Q&gt;Ticker0024^FE_ESTIMATE(CFO,MEAN,QUARTERLY_ROLL,2020/4F,45681,,,'')&lt;/Q&gt;&lt;R&gt;1&lt;/R&gt;&lt;C&gt;1&lt;/C&gt;&lt;D xsi:type="xsd:double"&gt;18673&lt;/D&gt;&lt;/FQL&gt;&lt;FQL&gt;&lt;Q&gt;Ticker0024^FE_ESTIMATE(CFO,MEAN,QUARTERLY_ROLL,2020/3F,45681,,,'')&lt;/Q&gt;&lt;R&gt;1&lt;/R&gt;&lt;C&gt;1&lt;/C&gt;&lt;D xsi:type="xsd:double"&gt;17507.223&lt;/D&gt;&lt;/FQL&gt;&lt;FQL&gt;&lt;Q&gt;Ticker0024^FE_ESTIMATE(CFO,MEAN,QUARTERLY_ROLL,2020/2F,45681,,,'')&lt;/Q&gt;&lt;R&gt;1&lt;/R&gt;&lt;C&gt;1&lt;/C&gt;&lt;D xsi:type="xsd:double"&gt;10680&lt;/D&gt;&lt;/FQL&gt;&lt;FQL&gt;&lt;Q&gt;Ticker0024^FE_ESTIMATE(CFO,MEAN,QUARTERLY_ROLL,2020/1F,45681,,,'')&lt;/Q&gt;&lt;R&gt;1&lt;/R&gt;&lt;C&gt;1&lt;/C&gt;&lt;D xsi:type="xsd:double"&gt;13818&lt;/D&gt;&lt;/FQL&gt;&lt;FQL&gt;&lt;Q&gt;Ticker0024^FE_ESTIMATE(CFO,MEAN,ANNUAL_ROLL,2019,45681,,,'')&lt;/Q&gt;&lt;R&gt;1&lt;/R&gt;&lt;C&gt;1&lt;/C&gt;&lt;D xsi:type="xsd:double"&gt;51866.285&lt;/D&gt;&lt;/FQL&gt;&lt;FQL&gt;&lt;Q&gt;Ticker0024^FE_ESTIMATE(CFO,MEAN,QUARTERLY_ROLL,2019/4F,45681,,,'')&lt;/Q&gt;&lt;R&gt;1&lt;/R&gt;&lt;C&gt;1&lt;/C&gt;&lt;D xsi:type="xsd:double"&gt;16108&lt;/D&gt;&lt;/FQL&gt;&lt;FQL&gt;&lt;Q&gt;Ticker0024^FE_ESTIMATE(CFO,MEAN,QUARTERLY_ROLL,2019/3F,45681,,,'')&lt;/Q&gt;&lt;R&gt;1&lt;/R&gt;&lt;C&gt;1&lt;/C&gt;&lt;D xsi:type="xsd:double"&gt;13520&lt;/D&gt;&lt;/FQL&gt;&lt;FQL&gt;&lt;Q&gt;Ticker0024^FE_ESTIMATE(CFO,MEAN,QUARTERLY_ROLL,2019/2F,45681,,,'')&lt;/Q&gt;&lt;R&gt;1&lt;/R&gt;&lt;C&gt;1&lt;/C&gt;&lt;D xsi:type="xsd:double"&gt;8854.25&lt;/D&gt;&lt;/FQL&gt;&lt;FQL&gt;&lt;Q&gt;Ticker0024^FE_ESTIMATE(CFO,MEAN,QUARTERLY_ROLL,2019/1F,45681,,,'')&lt;/Q&gt;&lt;R&gt;1&lt;/R&gt;&lt;C&gt;1&lt;/C&gt;&lt;D xsi:type="xsd:double"&gt;13284.637&lt;/D&gt;&lt;/FQL&gt;&lt;FQL&gt;&lt;Q&gt;Ticker0024^FE_ESTIMATE(CFO,MEAN,ANNUAL_ROLL,2018,45681,,,'')&lt;/Q&gt;&lt;R&gt;1&lt;/R&gt;&lt;C&gt;1&lt;/C&gt;&lt;D xsi:type="xsd:double"&gt;43558.848&lt;/D&gt;&lt;/FQL&gt;&lt;FQL&gt;&lt;Q&gt;Ticker0024^FE_ESTIMATE(CFO,MEAN,QUARTERLY_ROLL,2018/4F,45681,,,'')&lt;/Q&gt;&lt;R&gt;1&lt;/R&gt;&lt;C&gt;1&lt;/C&gt;&lt;D xsi:type="xsd:double"&gt;11606.333&lt;/D&gt;&lt;/FQL&gt;&lt;FQL&gt;&lt;Q&gt;Ticker0024^FE_ESTIMATE(CFO,MEAN,QUARTERLY_ROLL,2018/3F,45681,,,'')&lt;/Q&gt;&lt;R&gt;1&lt;/R&gt;&lt;C&gt;1&lt;/C&gt;&lt;D xsi:type="xsd:double"&gt;12151&lt;/D&gt;&lt;/FQL&gt;&lt;FQL&gt;&lt;Q&gt;Ticker0024^FE_ESTIMATE(CFO,MEAN,QUARTERLY_ROLL,2018/2F,45681,,,'')&lt;/Q&gt;&lt;R&gt;1&lt;/R&gt;&lt;C&gt;1&lt;/C&gt;&lt;D xsi:type="xsd:double"&gt;7875&lt;/D&gt;&lt;/FQL&gt;&lt;FQL&gt;&lt;Q&gt;Ticker0024^FE_ESTIMATE(CFO,MEAN,QUARTERLY_ROLL,2018/1F,45681,,,'')&lt;/Q&gt;&lt;R&gt;1&lt;/R&gt;&lt;C&gt;1&lt;/C&gt;&lt;D xsi:type="xsd:double"&gt;12440&lt;/D&gt;&lt;/FQL&gt;&lt;FQL&gt;&lt;Q&gt;Ticker0024^FE_ESTIMATE(CFO,MEAN,ANNUAL_ROLL,2017,45681,,,'')&lt;/Q&gt;&lt;R&gt;1&lt;/R&gt;&lt;C&gt;1&lt;/C&gt;&lt;D xsi:type="xsd:double"&gt;39507&lt;/D&gt;&lt;/FQL&gt;&lt;FQL&gt;&lt;Q&gt;Ticker0024^FE_ESTIMATE(CFO,MEAN,QUARTERLY_ROLL,2017/4F,45681,,,'')&lt;/Q&gt;&lt;R&gt;1&lt;/R&gt;&lt;C&gt;1&lt;/C&gt;&lt;D xsi:type="xsd:double"&gt;11005&lt;/D&gt;&lt;/FQL&gt;&lt;FQL&gt;&lt;Q&gt;Ticker0024^FE_ESTIMATE(CFO,MEAN,QUARTERLY_ROLL,2017/3F,45681,,,'')&lt;/Q&gt;&lt;R&gt;1&lt;/R&gt;&lt;C&gt;1&lt;/C&gt;&lt;D xsi:type="xsd:double"&gt;10660&lt;/D&gt;&lt;/FQL&gt;&lt;FQL&gt;&lt;Q&gt;Ticker0024^FE_ESTIMATE(CFO,MEAN,QUARTERLY_ROLL,2017/2F,45681,,,'')&lt;/Q&gt;&lt;R&gt;1&lt;/R&gt;&lt;C&gt;1&lt;/C&gt;&lt;D xsi:type="xsd:double"&gt;6293&lt;/D&gt;&lt;/FQL&gt;&lt;FQL&gt;&lt;Q&gt;Ticker0024^FE_ESTIMATE(CFO,MEAN,QUARTERLY_ROLL,2017/1F,45681,,,'')&lt;/Q&gt;&lt;R&gt;1&lt;/R&gt;&lt;C&gt;1&lt;/C&gt;&lt;D xsi:type="xsd:double"&gt;11549&lt;/D&gt;&lt;/FQL&gt;&lt;FQL&gt;&lt;Q&gt;Ticker0024^FE_ESTIMATE(CFO,MEAN,ANNUAL_ROLL,2016,45681,,,'')&lt;/Q&gt;&lt;R&gt;1&lt;/R&gt;&lt;C&gt;1&lt;/C&gt;&lt;D xsi:type="xsd:double"&gt;32872.5&lt;/D&gt;&lt;/FQL&gt;&lt;FQL&gt;&lt;Q&gt;Ticker0024^FE_ESTIMATE(CFO,MEAN,QUARTERLY_ROLL,2016/4F,45681,,,'')&lt;/Q&gt;&lt;R&gt;1&lt;/R&gt;&lt;C&gt;1&lt;/C&gt;&lt;D xsi:type="xsd:double"&gt;8464&lt;/D&gt;&lt;/FQL&gt;&lt;FQL&gt;&lt;Q&gt;Ticker0024^FE_ESTIMATE(CFO,MEAN,QUARTERLY_ROLL,2016/3F,45681,,,'')&lt;/Q&gt;&lt;R&gt;1&lt;/R&gt;&lt;C&gt;1&lt;/C&gt;&lt;D xsi:type="xsd:double"&gt;10367&lt;/D&gt;&lt;/FQL&gt;&lt;FQL&gt;&lt;Q&gt;Ticker0024^FE_ESTIMATE(CFO,MEAN,QUARTERLY_ROLL,2016/2F,45681,,,'')&lt;/Q&gt;&lt;R&gt;1&lt;/R&gt;&lt;C&gt;1&lt;/C&gt;&lt;D xsi:type="xsd:double"&gt;5598&lt;/D&gt;&lt;/FQL&gt;&lt;FQL&gt;&lt;Q&gt;Ticker0024^FE_ESTIMATE(CFO,MEAN,QUARTERLY_ROLL,2016/1F,45681,,,'')&lt;/Q&gt;&lt;R&gt;1&lt;/R&gt;&lt;C&gt;1&lt;/C&gt;&lt;D xsi:type="xsd:double"&gt;8550.5&lt;/D&gt;&lt;/FQL&gt;&lt;FQL&gt;&lt;Q&gt;Ticker0024^FE_ESTIMATE(CFO,MEAN,ANNUAL_ROLL,2015,45681,,,'')&lt;/Q&gt;&lt;R&gt;1&lt;/R&gt;&lt;C&gt;1&lt;/C&gt;&lt;D xsi:type="xsd:double"&gt;29510.059&lt;/D&gt;&lt;/FQL&gt;&lt;FQL&gt;&lt;Q&gt;Ticker0024^FE_ESTIMATE(CFO,MEAN,QUARTERLY_ROLL,2015/4F,45681,,,'')&lt;/Q&gt;&lt;R&gt;1&lt;/R&gt;&lt;C&gt;1&lt;/C&gt;&lt;D xsi:type="xsd:double"&gt;7446.231&lt;/D&gt;&lt;/FQL&gt;&lt;FQL&gt;&lt;Q&gt;Ticker0024^FE_ESTIMATE(CFO,MEAN,QUARTERLY_ROLL,2015/3F,45681,,,'')&lt;/Q&gt;&lt;R&gt;1&lt;/R&gt;&lt;C&gt;1&lt;/C&gt;&lt;D xsi:type="xsd:double"&gt;9570&lt;/D&gt;&lt;/FQL&gt;&lt;FQL&gt;&lt;Q&gt;Ticker0024^FE_ESTIMATE(CFO,MEAN,QUARTERLY_ROLL,2015/2F,45681,,,'')&lt;/Q&gt;&lt;R&gt;1&lt;/R&gt;&lt;C&gt;1&lt;/C&gt;&lt;D xsi:type="xsd:double"&gt;4340&lt;/D&gt;&lt;/FQL&gt;&lt;FQL&gt;&lt;Q&gt;Ticker0024^FE_ESTIMATE(CFO,MEAN,QUARTERLY_ROLL,2015/1F,45681,,,'')&lt;/Q&gt;&lt;R&gt;1&lt;/R&gt;&lt;C&gt;1&lt;/C&gt;&lt;D xsi:type="xsd:double"&gt;8354&lt;/D&gt;&lt;/FQL&gt;&lt;FQL&gt;&lt;Q&gt;Ticker0024^FE_ESTIMATE(EPS,MEAN,ANNUAL_ROLL,2030,45681,,,'')&lt;/Q&gt;&lt;R&gt;0&lt;/R&gt;&lt;C&gt;0&lt;/C&gt;&lt;/FQL&gt;&lt;FQL&gt;&lt;Q&gt;Ticker0024^FE_ESTIMATE(EPS,MEAN,QUARTERLY_ROLL,2030/4F,45681,,,'')&lt;/Q&gt;&lt;R&gt;0&lt;/R&gt;&lt;C&gt;0&lt;/C&gt;&lt;/FQL&gt;&lt;FQL&gt;&lt;Q&gt;Ticker0024^FE_ESTIMATE(EPS,MEAN,QUARTERLY_ROLL,2030/3F,45681,,,'')&lt;/Q&gt;&lt;R&gt;0&lt;/R&gt;&lt;C&gt;0&lt;/C&gt;&lt;/FQL&gt;&lt;FQL&gt;&lt;Q&gt;Ticker0024^FE_ESTIMATE(EPS,MEAN,QUARTERLY_ROLL,2030/2F,45681,,,'')&lt;/Q&gt;&lt;R&gt;0&lt;/R&gt;&lt;C&gt;0&lt;/C&gt;&lt;/FQL&gt;&lt;FQL&gt;&lt;Q&gt;Ticker0024^FE_ESTIMATE(EPS,MEAN,QUARTERLY_ROLL,2030/1F,45681,,,'')&lt;/Q&gt;&lt;R&gt;0&lt;/R&gt;&lt;C&gt;0&lt;/C&gt;&lt;/FQL&gt;&lt;FQL&gt;&lt;Q&gt;Ticker0024^FE_ESTIMATE(EPS,MEAN,ANNUAL_ROLL,2029,45681,,,'')&lt;/Q&gt;&lt;R&gt;1&lt;/R&gt;&lt;C&gt;1&lt;/C&gt;&lt;D xsi:type="xsd:double"&gt;23.14&lt;/D&gt;&lt;/FQL&gt;&lt;FQL&gt;&lt;Q&gt;Ticker0024^FE_ESTIMATE(EPS,MEAN,QUARTERLY_ROLL,2029/4F,45681,,,'')&lt;/Q&gt;&lt;R&gt;0&lt;/R&gt;&lt;C&gt;0&lt;/C&gt;&lt;/FQL&gt;&lt;FQL&gt;&lt;Q&gt;Ticker0024^FE_ESTIMATE(EPS,MEAN,QUARTERLY_ROLL,2029/3F,45681,,,'')&lt;/Q&gt;&lt;R&gt;0&lt;/R&gt;&lt;C&gt;0&lt;/C&gt;&lt;/FQL&gt;&lt;FQL&gt;&lt;Q&gt;Ticker0024^FE_ESTIMATE(EPS,MEAN,QUARTERLY_ROLL,2029/2F,45681,,,'')&lt;/Q&gt;&lt;R&gt;0&lt;/R&gt;&lt;C&gt;0&lt;/C&gt;&lt;/FQL&gt;&lt;FQL&gt;&lt;Q&gt;Ticker0024^FE_ESTIMATE(EPS,MEAN,QUARTERLY_ROLL,2029/1F,45681,,,'')&lt;/Q&gt;&lt;R&gt;0&lt;/R&gt;&lt;C&gt;0&lt;/C&gt;&lt;/FQL&gt;&lt;FQL&gt;&lt;Q&gt;Ticker0024^FE_ESTIMATE(EPS,MEAN,ANNUAL_ROLL,2028,45681,,,'')&lt;/Q&gt;&lt;R&gt;1&lt;/R&gt;&lt;C&gt;1&lt;/C&gt;&lt;D xsi:type="xsd:double"&gt;20.27583&lt;/D&gt;&lt;/FQL&gt;&lt;FQL&gt;&lt;Q&gt;Ticker0024^FE_ESTIMATE(EPS,MEAN,QUARTERLY_ROLL,2028/4F,45681,,,'')&lt;/Q&gt;&lt;R&gt;0&lt;/R&gt;&lt;C&gt;0&lt;/C&gt;&lt;/FQL&gt;&lt;FQL&gt;&lt;Q&gt;Ticker0024^FE_ESTIMATE(EPS,MEAN,QUARTERLY_ROLL,2028/3F,45681,,,'')&lt;/Q&gt;&lt;R&gt;0&lt;/R&gt;&lt;C&gt;0&lt;/C&gt;&lt;/FQL&gt;&lt;FQL&gt;&lt;Q&gt;Ticker0024^FE_ESTIMATE(EPS,MEAN,QUARTERLY_ROLL,2028/2F,45681,,,'')&lt;/Q&gt;&lt;R&gt;0&lt;/R&gt;&lt;C&gt;0&lt;/C&gt;&lt;/FQL&gt;&lt;FQL&gt;&lt;Q&gt;Ticker0024^FE_ESTIMATE(EPS,MEAN,QUARTERLY_ROLL,2028/1F,45681,,,'')&lt;/Q&gt;&lt;R&gt;0&lt;/R&gt;&lt;C&gt;0&lt;/C&gt;&lt;/FQL&gt;&lt;FQL&gt;&lt;Q&gt;Ticker0024^FE_ESTIMATE(EPS,MEAN,ANNUAL_ROLL,2027,45681,,,'')&lt;/Q&gt;&lt;R&gt;1&lt;/R&gt;&lt;C&gt;1&lt;/C&gt;&lt;D xsi:type="xsd:double"&gt;17.850695&lt;/D&gt;&lt;/FQL&gt;&lt;FQL&gt;&lt;Q&gt;Ticker0024^FE_ESTIMATE(EPS,MEAN,QUARTERLY_ROLL,2027/4F,45681,,,'')&lt;/Q&gt;&lt;R&gt;1&lt;/R&gt;&lt;C&gt;1&lt;/C&gt;&lt;D xsi:type="xsd:double"&gt;4.6510324&lt;/D&gt;&lt;/FQL&gt;&lt;FQL&gt;&lt;Q&gt;Ticker0024^FE_ESTIMATE(EPS,MEAN,QUARTERLY_ROLL,2027/3F,45681,,,'')&lt;/Q&gt;&lt;R&gt;1&lt;/R&gt;&lt;C&gt;1&lt;/C&gt;&lt;D xsi:type="xsd:double"&gt;4.406673&lt;/D&gt;&lt;/FQL&gt;&lt;FQL&gt;&lt;Q&gt;Ticker0024^FE_ESTIMATE(EPS,MEAN,QUARTERLY_ROLL,2027/2F,45681,,,'')&lt;/Q&gt;&lt;R&gt;1&lt;/R&gt;&lt;C&gt;1&lt;/C&gt;&lt;D xsi:type="xsd:double"&gt;4.3995256&lt;/D&gt;&lt;/FQL&gt;&lt;FQL&gt;&lt;Q&gt;Ticker0024^FE_ESTIMATE(EPS,MEAN,QUARTERLY_ROLL,2027/1F,45681,,,'')&lt;/Q&gt;&lt;R&gt;1&lt;/R&gt;&lt;C&gt;1&lt;/C&gt;&lt;D xsi:type="xsd:double"&gt;4.253675&lt;/D&gt;&lt;/FQL&gt;&lt;FQL&gt;&lt;Q&gt;Ticker0024^FE_ESTIMATE(EPS,MEAN,ANNUAL_ROLL,2026,45681,,,'')&lt;/Q&gt;&lt;R&gt;1&lt;/R&gt;&lt;C&gt;1&lt;/C&gt;&lt;D xsi:type="xsd:double"&gt;15.097889&lt;/D&gt;&lt;/FQL&gt;&lt;FQL&gt;&lt;Q&gt;Ticker0024^FE_ESTIMATE(EPS,MEAN,QUARTERLY_ROLL,2026/4F,45681,,,'')&lt;/Q&gt;&lt;R&gt;1&lt;/R&gt;&lt;C&gt;1&lt;/C&gt;&lt;D xsi:type="xsd:double"&gt;3.8804908&lt;/D&gt;&lt;/FQL&gt;&lt;FQL&gt;&lt;Q&gt;Ticker0024^FE_ESTIMATE(EPS,MEAN,QUARTERLY_ROLL,2026/3F,45681,,,'')&lt;/Q&gt;&lt;R&gt;1&lt;/R&gt;&lt;C&gt;1&lt;/C&gt;&lt;D xsi:type="xsd:double"&gt;3.6879945&lt;/D&gt;&lt;/FQL&gt;&lt;FQL&gt;&lt;Q&gt;Ticker0024^FE_ESTIMATE(EPS,MEAN,QUARTERLY_ROLL,2026/2F,45681,,,'')&lt;/Q&gt;&lt;R&gt;1&lt;/R&gt;&lt;C&gt;1&lt;/C&gt;&lt;D xsi:type="xsd:double"&gt;3.618247&lt;/D&gt;&lt;/FQL&gt;&lt;FQL&gt;&lt;Q&gt;Ticker0024^FE_ESTIMATE(EPS,MEAN,QUARTERLY_ROLL,2026/1F,45681,,,'')&lt;/Q&gt;&lt;R&gt;1&lt;/R&gt;&lt;C&gt;1&lt;/C&gt;&lt;D xsi:type="xsd:double"&gt;3.5366042&lt;/D&gt;&lt;/FQL&gt;&lt;FQL&gt;&lt;Q&gt;Ticker0024^FE_ESTIMATE(EPS,MEAN,ANNUAL_ROLL,2025,45681,,,'')&lt;/Q&gt;&lt;R&gt;1&lt;/R&gt;&lt;C&gt;1&lt;/C&gt;&lt;D xsi:type="xsd:double"&gt;13.068039&lt;/D&gt;&lt;/FQL&gt;&lt;FQL&gt;&lt;Q&gt;Ticker0024^FE_ESTIMATE(EPS,MEAN,QUARTERLY_ROLL,2025/4F,45681,,,'')&lt;/Q&gt;&lt;R&gt;1&lt;/R&gt;&lt;C&gt;1&lt;/C&gt;&lt;D xsi:type="xsd:double"&gt;3.2860441&lt;/D&gt;&lt;/FQL&gt;&lt;FQL&gt;&lt;Q&gt;Ticker0024^FE_ESTIMATE(EPS,MEAN,QUARTERLY_ROLL,2025/3F,45681,,,'')&lt;/Q&gt;&lt;R&gt;1&lt;/R&gt;&lt;C&gt;1&lt;/C&gt;&lt;D xsi:type="xsd:double"&gt;3.1642237&lt;/D&gt;&lt;/FQL&gt;&lt;FQL&gt;&lt;Q&gt;Ticker0024^FE_ESTIMATE(EPS,MEAN,QUARTERLY_ROLL,2025/2F,45681,,,'')&lt;/Q&gt;&lt;R&gt;1&lt;/R&gt;&lt;C&gt;1&lt;/C&gt;&lt;D xsi:type="xsd:double"&gt;3.1130755&lt;/D&gt;&lt;/FQL&gt;&lt;FQL&gt;&lt;Q&gt;Ticker0024^FE_ESTIMATE(EPS,MEAN,QUARTERLY_ROLL,2025/1F,45681,,,'')&lt;/Q&gt;&lt;R&gt;1&lt;/R&gt;&lt;C&gt;1&lt;/C&gt;&lt;D xsi:type="xsd:double"&gt;3.3&lt;/D&gt;&lt;/FQL&gt;&lt;FQL&gt;&lt;Q&gt;Ticker0024^FE_ESTIMATE(EPS,MEAN,ANNUAL_ROLL,2024,45681,,,'')&lt;/Q&gt;&lt;R&gt;1&lt;/R&gt;&lt;C&gt;1&lt;/C&gt;&lt;D xsi:type="xsd:double"&gt;11.8&lt;/D&gt;&lt;/FQL&gt;&lt;FQL&gt;&lt;Q&gt;Ticker0024^FE_ESTIMATE(EPS,MEAN,QUARTERLY_ROLL,2024/4F,45681,,,'')&lt;/Q&gt;&lt;R&gt;1&lt;/R&gt;&lt;C&gt;1&lt;/C&gt;&lt;D xsi:type="xsd:double"&gt;2.95&lt;/D&gt;&lt;/FQL&gt;&lt;FQL&gt;&lt;Q&gt;Ticker0024^FE_ESTIMATE(EPS,MEAN,QUARTERLY_ROLL,2024/3F,45681,,,'')&lt;/Q&gt;&lt;R&gt;1&lt;/R&gt;&lt;C&gt;1&lt;/C&gt;&lt;D xsi:type="xsd:double"&gt;2.94&lt;/D&gt;&lt;/FQL&gt;&lt;FQL&gt;&lt;Q&gt;Ticker0024^FE_ESTIMATE(EPS,MEAN,QUARTERLY_ROLL,2024/2F,45681,,,'')&lt;/Q&gt;&lt;R&gt;1&lt;/R&gt;&lt;C&gt;1&lt;/C&gt;&lt;D xsi:type="xsd:double"&gt;2.93&lt;/D&gt;&lt;/FQL&gt;&lt;FQL&gt;&lt;Q&gt;Ticker0024^FE_ESTIMATE(EPS,MEAN,QUARTERLY_ROLL,2024/1F,45681,,,'')&lt;/Q&gt;&lt;R&gt;1&lt;/R&gt;&lt;C&gt;1&lt;/C&gt;&lt;D xsi:type="xsd:double"&gt;2.99&lt;/D&gt;&lt;/FQL&gt;&lt;FQL&gt;&lt;Q&gt;Ticker0024^FE_ESTIMATE(EPS,MEAN,ANNUAL_ROLL,2023,45681,,,'')&lt;/Q&gt;&lt;R&gt;1&lt;/R&gt;&lt;C&gt;1&lt;/C&gt;&lt;D xsi:type="xsd:double"&gt;9.81&lt;/D&gt;&lt;/FQL&gt;&lt;FQL&gt;&lt;Q&gt;Ticker0024^FE_ESTIMATE(EPS,MEAN,QUARTERLY_ROLL,2023/4F,45681,,,'')&lt;/Q&gt;&lt;R&gt;1&lt;/R&gt;&lt;C&gt;1&lt;/C&gt;&lt;D xsi:type="xsd:double"&gt;2.69&lt;/D&gt;&lt;/FQL&gt;&lt;FQL&gt;&lt;Q&gt;Ticker0024^FE_ESTIMATE(EPS,MEAN,QUARTERLY_ROLL,2023/3F,45681,,,'')&lt;/Q&gt;&lt;R&gt;1&lt;/R&gt;&lt;C&gt;1&lt;/C&gt;&lt;D xsi:type="xsd:double"&gt;2.45&lt;/D&gt;&lt;/FQL&gt;&lt;FQL&gt;&lt;Q&gt;Ticker0024^FE_ESTIMATE(EPS,MEAN,QUARTERLY_ROLL,2023/2F,45681,,,'')&lt;/Q&gt;&lt;R&gt;1&lt;/R&gt;&lt;C&gt;1&lt;/C&gt;&lt;D xsi:type="xsd:double"&gt;2.32&lt;/D&gt;&lt;/FQL&gt;&lt;FQL&gt;&lt;Q&gt;Ticker0024^FE_ESTIMATE(EPS,MEAN,QUARTERLY_ROLL,2023/1F,45681,,,'')&lt;/Q&gt;&lt;R&gt;1&lt;/R&gt;&lt;C&gt;1&lt;/C&gt;&lt;D xsi:type="xsd:double"&gt;2.35&lt;/D&gt;&lt;/FQL&gt;&lt;FQL&gt;&lt;Q&gt;Ticker0024^FE_ESTIMATE(EPS,MEAN,ANNUAL_ROLL,2022,45681,,,'')&lt;/Q&gt;&lt;R&gt;1&lt;/R&gt;&lt;C&gt;1&lt;/C&gt;&lt;D xsi:type="xsd:double"&gt;9.21&lt;/D&gt;&lt;/FQL&gt;&lt;FQL&gt;&lt;Q&gt;Ticker0024^FE_ESTIMATE(EPS,MEAN,QUARTERLY_ROLL,2022/4F,45681,,,'')&lt;/Q&gt;&lt;R&gt;1&lt;/R&gt;&lt;C&gt;1&lt;/C&gt;&lt;D xsi:type="xsd:double"&gt;2.23&lt;/D&gt;&lt;/FQL&gt;&lt;FQL&gt;&lt;Q&gt;Ticker0024^FE_ESTIMATE(EPS,MEAN,QUARTERLY_ROLL,2022/3F,45681,,,'')&lt;/Q&gt;&lt;R&gt;1&lt;/R&gt;&lt;C&gt;1&lt;/C&gt;&lt;D xsi:type="xsd:double"&gt;2.22&lt;/D&gt;&lt;/FQL&gt;&lt;FQL&gt;&lt;Q&gt;Ticker0024^FE_ESTIMATE(EPS,MEAN,QUARTERLY_ROLL,2022/2F,45681,,,'')&lt;/Q&gt;&lt;R&gt;1&lt;/R&gt;&lt;C&gt;1&lt;/C&gt;&lt;D xsi:type="xsd:double"&gt;2.48&lt;/D&gt;&lt;/FQL&gt;&lt;FQL&gt;&lt;Q&gt;Ticker0024^FE_ESTIMATE(EPS,MEAN,QUARTERLY_ROLL,2022/1F,45681,,,'')&lt;/Q&gt;&lt;R&gt;1&lt;/R&gt;&lt;C&gt;1&lt;/C&gt;&lt;D xsi:type="xsd:double"&gt;2.27&lt;/D&gt;&lt;/FQL&gt;&lt;FQL&gt;&lt;Q&gt;Ticker0024^FE_ESTIMATE(EPS,MEAN,ANNUAL_ROLL,2021,45681,,,'')&lt;/Q&gt;&lt;R&gt;1&lt;/R&gt;&lt;C&gt;1&lt;/C&gt;&lt;D xsi:type="xsd:double"&gt;7.97&lt;/D&gt;&lt;/FQL&gt;&lt;FQL&gt;&lt;Q&gt;Ticker0024^FE_ESTIMATE(EPS,MEAN,QUARTERLY_ROLL,2021/4F,45681,,,'')&lt;/Q&gt;&lt;R&gt;1&lt;/R&gt;&lt;C&gt;1&lt;/C&gt;&lt;D xsi:type="xsd:double"&gt;2.17&lt;/D&gt;&lt;/FQL&gt;&lt;FQL&gt;&lt;Q&gt;Ticker0024^FE_ESTIMATE(EPS,MEAN,QUARTERLY_ROLL,2021/3F,45681,,,'')&lt;/Q&gt;&lt;R&gt;1&lt;/R&gt;&lt;C&gt;1&lt;/C&gt;&lt;D xsi:type="xsd:double"&gt;1.95&lt;/D&gt;&lt;/FQL&gt;&lt;FQL&gt;&lt;Q&gt;Ticker0024^FE_ESTIMATE(EPS,MEAN,QUARTERLY_ROLL,2021/2F,45681,,,'')&lt;/Q&gt;&lt;R&gt;1&lt;/R&gt;&lt;C&gt;1&lt;/C&gt;&lt;D xsi:type="xsd:double"&gt;2.03&lt;/D&gt;&lt;/FQL&gt;&lt;FQL&gt;&lt;Q&gt;Ticker0024^FE_ESTIMATE(EPS,MEAN,QUARTERLY_ROLL,2021/1F,45681,,,'')&lt;/Q&gt;&lt;R&gt;1&lt;/R&gt;&lt;C&gt;1&lt;/C&gt;&lt;D xsi:type="xsd:double"&gt;1.82&lt;/D&gt;&lt;/FQL&gt;&lt;FQL&gt;&lt;Q&gt;Ticker0024^FE_ESTIMATE(EPS,MEAN,ANNUAL_ROLL,2020,45681,,,'')&lt;/Q&gt;&lt;R&gt;1&lt;/R&gt;&lt;C&gt;1&lt;/C&gt;&lt;D xsi:type="xsd:double"&gt;5.76&lt;/D&gt;&lt;/FQL&gt;&lt;FQL&gt;&lt;Q&gt;Ticker0024^FE_ESTIMATE(EPS,MEAN,QUARTERLY_ROLL,2020/4F,45681,,,'')&lt;/Q&gt;&lt;R&gt;1&lt;/R&gt;&lt;C&gt;1&lt;/C&gt;&lt;D xsi:type="xsd:double"&gt;1.46&lt;/D&gt;&lt;/FQL&gt;&lt;FQL&gt;&lt;Q&gt;Ticker0024^FE_ESTIMATE(EPS,MEAN,QUARTERLY_ROLL,2020/3F,45681,,,'')&lt;/Q&gt;&lt;R&gt;1&lt;/R&gt;&lt;C&gt;1&lt;/C&gt;&lt;D xsi:type="xsd:double"&gt;1.4&lt;/D&gt;&lt;/FQL&gt;&lt;FQL&gt;&lt;Q&gt;Ticker0024^FE_ESTIMATE(EPS,MEAN,QUARTERLY_ROLL,2020/2F,45681,,,'')&lt;/Q&gt;&lt;R&gt;1&lt;/R&gt;&lt;C&gt;1&lt;/C&gt;&lt;D xsi:type="xsd:double"&gt;1.51&lt;/D&gt;&lt;/FQL&gt;&lt;FQL&gt;&lt;Q&gt;Ticker0024^FE_ESTIMATE(EPS,MEAN,QUARTERLY_ROLL,2020/1F,45681,,,'')&lt;/Q&gt;&lt;R&gt;1&lt;/R&gt;&lt;C&gt;1&lt;/C&gt;&lt;D xsi:type="xsd:double"&gt;1.38&lt;/D&gt;&lt;/FQL&gt;&lt;FQL&gt;&lt;Q&gt;Ticker0024^FE_ESTIMATE(EPS,MEAN,ANNUAL_ROLL,2019,45681,,,'')&lt;/Q&gt;&lt;R&gt;1&lt;/R&gt;&lt;C&gt;1&lt;/C&gt;&lt;D xsi:type="xsd:double"&gt;4.75&lt;/D&gt;&lt;/FQL&gt;&lt;FQL&gt;&lt;Q&gt;Ticker0024^FE_ESTIMATE(EPS,MEAN,QUARTERLY_ROLL,2019/4F,45681,,,'')&lt;/Q&gt;&lt;R&gt;1&lt;/R&gt;&lt;C&gt;1&lt;/C&gt;&lt;D xsi:type="xsd:double"&gt;1.37&lt;/D&gt;&lt;/FQL&gt;&lt;FQL&gt;&lt;Q&gt;Ticker0024^FE_ESTIMATE(EPS,MEAN,QUARTERLY_ROLL,2019/3F,45681,,,'')&lt;/Q&gt;&lt;R&gt;1&lt;/R&gt;&lt;C&gt;1&lt;/C&gt;&lt;D xsi:type="xsd:double"&gt;1.14&lt;/D&gt;&lt;/FQL&gt;&lt;FQL&gt;&lt;Q&gt;Ticker0024^FE_ESTIMATE(EPS,MEAN,QUARTERLY_ROLL,2019/2F,45681,,,'')&lt;/Q&gt;&lt;R&gt;1&lt;/R&gt;&lt;C&gt;1&lt;/C&gt;&lt;D xsi:type="xsd:double"&gt;1.1&lt;/D&gt;&lt;/FQL&gt;&lt;FQL&gt;&lt;Q&gt;Ticker0024^FE_ESTIMATE(EPS,MEAN,QUARTERLY_ROLL,2019/1F,45681,,,'')&lt;/Q&gt;&lt;R&gt;1&lt;/R&gt;&lt;C&gt;1&lt;/C&gt;&lt;D xsi:type="xsd:double"&gt;1.14&lt;/D&gt;&lt;/FQL&gt;&lt;FQL&gt;&lt;Q&gt;Ticker0024^FE_ESTIMATE(EPS,MEAN,ANNUAL_ROLL,2018,45681,,,'')&lt;/Q&gt;&lt;R&gt;1&lt;/R&gt;&lt;C&gt;1&lt;/C&gt;&lt;D xsi:type="xsd:double"&gt;3.88&lt;/D&gt;&lt;/FQL&gt;&lt;FQL&gt;&lt;Q&gt;Ticker0024^FE_ESTIMATE(EPS,MEAN,QUARTERLY_ROLL,2018/4F,45681,,,'')&lt;/Q&gt;&lt;R&gt;1&lt;/R&gt;&lt;C&gt;1&lt;/C&gt;&lt;D xsi:type="xsd:double"&gt;1.13&lt;/D&gt;&lt;/FQL&gt;&lt;FQL&gt;&lt;Q&gt;Ticker0024^FE_ESTIMATE(EPS,MEAN,QUARTERLY_ROLL,2018/3F,45681,,,'')&lt;/Q&gt;&lt;R&gt;1&lt;/R&gt;&lt;C&gt;1&lt;/C&gt;&lt;D xsi:type="xsd:double"&gt;0.95&lt;/D&gt;&lt;/FQL&gt;&lt;FQL&gt;&lt;Q&gt;Ticker0024^FE_ESTIMATE(EPS,MEAN,QUARTERLY_ROLL,2018/2F,45681,,,'')&lt;/Q&gt;&lt;R&gt;1&lt;/R&gt;&lt;C&gt;1&lt;/C&gt;&lt;D xsi:type="xsd:double"&gt;0.96&lt;/D&gt;&lt;/FQL&gt;&lt;FQL&gt;&lt;Q&gt;Ticker0024^FE_ESTIMATE(EPS,MEAN,QUARTERLY_ROLL,2018/1F,45681,,,'')&lt;/Q&gt;&lt;R&gt;1&lt;/R&gt;&lt;C&gt;1&lt;/C&gt;&lt;D xsi:type="xsd:double"&gt;0.84&lt;/D&gt;&lt;/FQL&gt;&lt;FQL&gt;&lt;Q&gt;Ticker0024^FE_ESTIMATE(EPS,MEAN,ANNUAL_ROLL,2017,45681,,,'')&lt;/Q&gt;&lt;R&gt;1&lt;/R&gt;&lt;C&gt;1&lt;/C&gt;&lt;D xsi:type="xsd:double"&gt;3.31&lt;/D&gt;&lt;/FQL&gt;&lt;FQL&gt;&lt;Q&gt;Ticker0024^FE_ESTIMATE(EPS,MEAN,QUARTERLY_ROLL,2017/4F,45681,,,'')&lt;/Q&gt;&lt;R&gt;1&lt;/R&gt;&lt;C&gt;1&lt;/C&gt;&lt;D xsi:type="xsd:double"&gt;0.98&lt;/D&gt;&lt;/FQL&gt;&lt;FQL&gt;&lt;Q&gt;Ticker0024^FE_ESTIMATE(EPS,MEAN,QUARTERLY_ROLL,2017/3F,45681,,,'')&lt;/Q&gt;&lt;R&gt;1&lt;/R&gt;&lt;C&gt;1&lt;/C&gt;&lt;D xsi:type="xsd:double"&gt;0.73&lt;/D&gt;&lt;/FQL&gt;&lt;FQL&gt;&lt;Q&gt;Ticker0024^FE_ESTIMATE(EPS,MEAN,QUARTERLY_ROLL,2017/2F,45681,,,'')&lt;/Q&gt;&lt;R&gt;1&lt;/R&gt;&lt;C&gt;1&lt;/C&gt;&lt;D xsi:type="xsd:double"&gt;0.83&lt;/D&gt;&lt;/FQL&gt;&lt;FQL&gt;&lt;Q&gt;Ticker0024^FE_ESTIMATE(EPS,MEAN,QUARTERLY_ROLL,2017/1F,45681,,,'')&lt;/Q&gt;&lt;R&gt;1&lt;/R&gt;&lt;C&gt;1&lt;/C&gt;&lt;D xsi:type="xsd:double"&gt;0.76&lt;/D&gt;&lt;/FQL&gt;&lt;FQL&gt;&lt;Q&gt;Ticker0024^FE_ESTIMATE(EPS,MEAN,ANNUAL_ROLL,2016,45681,,,'')&lt;/Q&gt;&lt;R&gt;1&lt;/R&gt;&lt;C&gt;1&lt;/C&gt;&lt;D xsi:type="xsd:double"&gt;2.79&lt;/D&gt;&lt;/FQL&gt;&lt;FQL&gt;&lt;Q&gt;Ticker0024^FE_ESTIMATE(EPS,MEAN,QUARTERLY_ROLL,2016/4F,45681,,,'')&lt;/Q&gt;&lt;R&gt;1&lt;/R&gt;&lt;C&gt;1&lt;/C&gt;&lt;D xsi:type="xsd:double"&gt;0.69&lt;/D&gt;&lt;/FQL&gt;&lt;FQL&gt;&lt;Q&gt;Ticker0024^FE_ESTIMATE(EPS,MEAN,QUARTERLY_ROLL,2016/3F,45681,,,'')&lt;/Q&gt;&lt;R&gt;1&lt;/R&gt;&lt;C&gt;1&lt;/C&gt;&lt;D xsi:type="xsd:double"&gt;0.62&lt;/D&gt;&lt;/FQL&gt;&lt;FQL&gt;&lt;Q&gt;Ticker0024^FE_ESTIMATE(EPS,MEAN,QUARTERLY_ROLL,2016/2F,45681,,,'')&lt;/Q&gt;&lt;R&gt;1&lt;/R&gt;&lt;C&gt;1&lt;/C&gt;&lt;D xsi:type="xsd:double"&gt;0.78&lt;/D&gt;&lt;/FQL&gt;&lt;FQL&gt;&lt;Q&gt;Ticker0024^FE_ESTIMATE(EPS,MEAN,QUARTERLY_ROLL,2016/1F,45681,,,'')&lt;/Q&gt;&lt;R&gt;1&lt;/R&gt;&lt;C&gt;1&lt;/C&gt;&lt;D xsi:type="xsd:double"&gt;0.67&lt;/D&gt;&lt;/FQL&gt;&lt;FQL&gt;&lt;Q&gt;Ticker0024^FE_ESTIMATE(EPS,MEAN,ANNUAL_ROLL,2015,45681,,,'')&lt;/Q&gt;&lt;R&gt;1&lt;/R&gt;&lt;C&gt;1&lt;/C&gt;&lt;D xsi:type="xsd:double"&gt;2.63&lt;/D&gt;&lt;/FQL&gt;&lt;FQL&gt;&lt;Q&gt;Ticker0024^FE_ESTIMATE(EPS,MEAN,QUARTERLY_ROLL,2015/4F,45681,,,'')&lt;/Q&gt;&lt;R&gt;1&lt;/R&gt;&lt;C&gt;1&lt;/C&gt;&lt;D xsi:type="xsd:double"&gt;0.62&lt;/D&gt;&lt;/FQL&gt;&lt;FQL&gt;&lt;Q&gt;Ticker0024^FE_ESTIMATE(EPS,MEAN,QUARTERLY_ROLL,2015/3F,45681,,,'')&lt;/Q&gt;&lt;R&gt;1&lt;/R&gt;&lt;C&gt;1&lt;/C&gt;&lt;D xsi:type="xsd:double"&gt;0.61&lt;/D&gt;&lt;/FQL&gt;&lt;FQL&gt;&lt;Q&gt;Ticker0024^FE_ESTIMATE(EPS,MEAN,QUARTERLY_ROLL,2015/2F,45681,,,'')&lt;/Q&gt;&lt;R&gt;1&lt;/R&gt;&lt;C&gt;1&lt;/C&gt;&lt;D xsi:type="xsd:double"&gt;0.71&lt;/D&gt;&lt;/FQL&gt;&lt;FQL&gt;&lt;Q&gt;Ticker0024^FE_ESTIMATE(EPS,MEAN,QUARTERLY_ROLL,2015/1F,45681,,,'')&lt;/Q&gt;&lt;R&gt;1&lt;/R&gt;&lt;C&gt;1&lt;/C&gt;&lt;D xsi:type="xsd:double"&gt;0.54&lt;/D&gt;&lt;/FQL&gt;&lt;FQL&gt;&lt;Q&gt;Ticker0024^FE_ESTIMATE(EAG,MEAN,ANNUAL_ROLL,2030,45681,,,'')&lt;/Q&gt;&lt;R&gt;0&lt;/R&gt;&lt;C&gt;0&lt;/C&gt;&lt;/FQL&gt;&lt;FQL&gt;&lt;Q&gt;Ticker0024^FE_ESTIMATE(EAG,MEAN,QUARTERLY_ROLL,2030/4F,45681,,,'')&lt;/Q&gt;&lt;R&gt;0&lt;/R&gt;&lt;C&gt;0&lt;/C&gt;&lt;/FQL&gt;&lt;FQL&gt;&lt;Q&gt;Ticker0024^FE_ESTIMATE(EAG,MEAN,QUARTERLY_ROLL,2030/3F,45681,,,'')&lt;/Q&gt;&lt;R&gt;0&lt;/R&gt;&lt;C&gt;0&lt;/C&gt;&lt;/FQL&gt;&lt;FQL&gt;&lt;Q&gt;Ticker0024^FE_ESTIMATE(EAG,MEAN,QUARTERLY_ROLL,2030/2F,45681,,,'')&lt;/Q&gt;&lt;R&gt;0&lt;/R&gt;&lt;C&gt;0&lt;/C&gt;&lt;/FQL&gt;&lt;FQL&gt;&lt;Q&gt;Ticker0024^FE_ESTIMATE(EAG,MEAN,QUARTERLY_ROLL,2030/1F,45681,,,'')&lt;/Q&gt;&lt;R&gt;0&lt;/R&gt;&lt;C&gt;0&lt;/C&gt;&lt;/FQL&gt;&lt;FQL&gt;&lt;Q&gt;Ticker0024^FE_ESTIMATE(EAG,MEAN,ANNUAL_ROLL,2029,45681,,,'')&lt;/Q&gt;&lt;R&gt;0&lt;/R&gt;&lt;C&gt;0&lt;/C&gt;&lt;/FQL&gt;</t>
        </r>
      </text>
    </comment>
    <comment ref="A11" authorId="0" shapeId="0" xr:uid="{38C16AC9-DE69-476E-93BB-B1165D356E1E}">
      <text>
        <r>
          <rPr>
            <b/>
            <sz val="9"/>
            <color indexed="81"/>
            <rFont val="Tahoma"/>
            <family val="2"/>
          </rPr>
          <t>&lt;FQL&gt;&lt;Q&gt;Ticker0024^FE_ESTIMATE(EAG,MEAN,QUARTERLY_ROLL,2029/4F,45681,,,'')&lt;/Q&gt;&lt;R&gt;0&lt;/R&gt;&lt;C&gt;0&lt;/C&gt;&lt;/FQL&gt;&lt;FQL&gt;&lt;Q&gt;Ticker0024^FE_ESTIMATE(EAG,MEAN,QUARTERLY_ROLL,2029/3F,45681,,,'')&lt;/Q&gt;&lt;R&gt;0&lt;/R&gt;&lt;C&gt;0&lt;/C&gt;&lt;/FQL&gt;&lt;FQL&gt;&lt;Q&gt;Ticker0024^FE_ESTIMATE(EAG,MEAN,QUARTERLY_ROLL,2029/2F,45681,,,'')&lt;/Q&gt;&lt;R&gt;0&lt;/R&gt;&lt;C&gt;0&lt;/C&gt;&lt;/FQL&gt;&lt;FQL&gt;&lt;Q&gt;Ticker0024^FE_ESTIMATE(EAG,MEAN,QUARTERLY_ROLL,2029/1F,45681,,,'')&lt;/Q&gt;&lt;R&gt;0&lt;/R&gt;&lt;C&gt;0&lt;/C&gt;&lt;/FQL&gt;&lt;FQL&gt;&lt;Q&gt;Ticker0024^FE_ESTIMATE(EAG,MEAN,ANNUAL_ROLL,2028,45681,,,'')&lt;/Q&gt;&lt;R&gt;1&lt;/R&gt;&lt;C&gt;1&lt;/C&gt;&lt;D xsi:type="xsd:double"&gt;20.495905&lt;/D&gt;&lt;/FQL&gt;&lt;FQL&gt;&lt;Q&gt;Ticker0024^FE_ESTIMATE(EAG,MEAN,QUARTERLY_ROLL,2028/4F,45681,,,'')&lt;/Q&gt;&lt;R&gt;0&lt;/R&gt;&lt;C&gt;0&lt;/C&gt;&lt;/FQL&gt;&lt;FQL&gt;&lt;Q&gt;Ticker0024^FE_ESTIMATE(EAG,MEAN,QUARTERLY_ROLL,2028/3F,45681,,,'')&lt;/Q&gt;&lt;R&gt;0&lt;/R&gt;&lt;C&gt;0&lt;/C&gt;&lt;/FQL&gt;&lt;FQL&gt;&lt;Q&gt;Ticker0024^FE_ESTIMATE(EAG,MEAN,QUARTERLY_ROLL,2028/2F,45681,,,'')&lt;/Q&gt;&lt;R&gt;0&lt;/R&gt;&lt;C&gt;0&lt;/C&gt;&lt;/FQL&gt;&lt;FQL&gt;&lt;Q&gt;Ticker0024^FE_ESTIMATE(EAG,MEAN,QUARTERLY_ROLL,2028/1F,45681,,,'')&lt;/Q&gt;&lt;R&gt;0&lt;/R&gt;&lt;C&gt;0&lt;/C&gt;&lt;/FQL&gt;&lt;FQL&gt;&lt;Q&gt;Ticker0024^FE_ESTIMATE(EAG,MEAN,ANNUAL_ROLL,2027,45681,,,'')&lt;/Q&gt;&lt;R&gt;1&lt;/R&gt;&lt;C&gt;1&lt;/C&gt;&lt;D xsi:type="xsd:double"&gt;17.817749&lt;/D&gt;&lt;/FQL&gt;&lt;FQL&gt;&lt;Q&gt;Ticker0024^FE_ESTIMATE(EAG,MEAN,QUARTERLY_ROLL,2027/4F,45681,,,'')&lt;/Q&gt;&lt;R&gt;1&lt;/R&gt;&lt;C&gt;1&lt;/C&gt;&lt;D xsi:type="xsd:double"&gt;4.70288&lt;/D&gt;&lt;/FQL&gt;&lt;FQL&gt;&lt;Q&gt;Ticker0024^FE_ESTIMATE(EAG,MEAN,QUARTERLY_ROLL,2027/3F,45681,,,'')&lt;/Q&gt;&lt;R&gt;1&lt;/R&gt;&lt;C&gt;1&lt;/C&gt;&lt;D xsi:type="xsd:double"&gt;4.470422&lt;/D&gt;&lt;/FQL&gt;&lt;FQL&gt;&lt;Q&gt;Ticker0024^FE_ESTIMATE(EAG,MEAN,QUARTERLY_ROLL,2027/2F,45681,,,'')&lt;/Q&gt;&lt;R&gt;1&lt;/R&gt;&lt;C&gt;1&lt;/C&gt;&lt;D xsi:type="xsd:double"&gt;4.50399&lt;/D&gt;&lt;/FQL&gt;&lt;FQL&gt;&lt;Q&gt;Ticker0024^FE_ESTIMATE(EAG,MEAN,QUARTERLY_ROLL,2027/1F,45681,,,'')&lt;/Q&gt;&lt;R&gt;1&lt;/R&gt;&lt;C&gt;1&lt;/C&gt;&lt;D xsi:type="xsd:double"&gt;4.237864&lt;/D&gt;&lt;/FQL&gt;&lt;FQL&gt;&lt;Q&gt;Ticker0024^FE_ESTIMATE(EAG,MEAN,ANNUAL_ROLL,2026,45681,,,'')&lt;/Q&gt;&lt;R&gt;1&lt;/R&gt;&lt;C&gt;1&lt;/C&gt;&lt;D xsi:type="xsd:double"&gt;15.077645&lt;/D&gt;&lt;/FQL&gt;&lt;FQL&gt;&lt;Q&gt;Ticker0024^FE_ESTIMATE(EAG,MEAN,QUARTERLY_ROLL,2026/4F,45681,,,'')&lt;/Q&gt;&lt;R&gt;1&lt;/R&gt;&lt;C&gt;1&lt;/C&gt;&lt;D xsi:type="xsd:double"&gt;3.8692904&lt;/D&gt;&lt;/FQL&gt;&lt;FQL&gt;&lt;Q&gt;Ticker0024^FE_ESTIMATE(EAG,MEAN,QUARTERLY_ROLL,2026/3F,45681,,,'')&lt;/Q&gt;&lt;R&gt;1&lt;/R&gt;&lt;C&gt;1&lt;/C&gt;&lt;D xsi:type="xsd:double"&gt;3.7099838&lt;/D&gt;&lt;/FQL&gt;&lt;FQL&gt;&lt;Q&gt;Ticker0024^FE_ESTIMATE(EAG,MEAN,QUARTERLY_ROLL,2026/2F,45681,,,'')&lt;/Q&gt;&lt;R&gt;1&lt;/R&gt;&lt;C&gt;1&lt;/C&gt;&lt;D xsi:type="xsd:double"&gt;3.5976653&lt;/D&gt;&lt;/FQL&gt;&lt;FQL&gt;&lt;Q&gt;Ticker0024^FE_ESTIMATE(EAG,MEAN,QUARTERLY_ROLL,2026/1F,45681,,,'')&lt;/Q&gt;&lt;R&gt;1&lt;/R&gt;&lt;C&gt;1&lt;/C&gt;&lt;D xsi:type="xsd:double"&gt;3.5240135&lt;/D&gt;&lt;/FQL&gt;&lt;FQL&gt;&lt;Q&gt;Ticker0024^FE_ESTIMATE(EAG,MEAN,ANNUAL_ROLL,2025,45681,,,'')&lt;/Q&gt;&lt;R&gt;1&lt;/R&gt;&lt;C&gt;1&lt;/C&gt;&lt;D xsi:type="xsd:double"&gt;13.013065&lt;/D&gt;&lt;/FQL&gt;&lt;FQL&gt;&lt;Q&gt;Ticker0024^FE_ESTIMATE(EAG,MEAN,QUARTERLY_ROLL,2025/4F,45681,,,'')&lt;/Q&gt;&lt;R&gt;1&lt;/R&gt;&lt;C&gt;1&lt;/C&gt;&lt;D xsi:type="xsd:double"&gt;3.2868154&lt;/D&gt;&lt;/FQL&gt;&lt;FQL&gt;&lt;Q&gt;Ticker0024^FE_ESTIMATE(EAG,MEAN,QUARTERLY_ROLL,2025/3F,45681,,,'')&lt;/Q&gt;&lt;R&gt;1&lt;/R&gt;&lt;C&gt;1&lt;/C&gt;&lt;D xsi:type="xsd:double"&gt;3.170396&lt;/D&gt;&lt;/FQL&gt;&lt;FQL&gt;&lt;Q&gt;Ticker0024^FE_ESTIMATE(EAG,MEAN,QUARTERLY_ROLL,2025/2F,45681,,,'')&lt;/Q&gt;&lt;R&gt;1&lt;/R&gt;&lt;C&gt;1&lt;/C&gt;&lt;D xsi:type="xsd:double"&gt;3.1337194&lt;/D&gt;&lt;/FQL&gt;&lt;FQL&gt;&lt;Q&gt;Ticker0024^FE_ESTIMATE(EAG,MEAN,QUARTERLY_ROLL,2025/1F,45681,,,'')&lt;/Q&gt;&lt;R&gt;1&lt;/R&gt;&lt;C&gt;1&lt;/C&gt;&lt;D xsi:type="xsd:double"&gt;3.3&lt;/D&gt;&lt;/FQL&gt;&lt;FQL&gt;&lt;Q&gt;Ticker0024^FE_ESTIMATE(EAG,MEAN,ANNUAL_ROLL,2024,45681,,,'')&lt;/Q&gt;&lt;R&gt;1&lt;/R&gt;&lt;C&gt;1&lt;/C&gt;&lt;D xsi:type="xsd:double"&gt;11.8&lt;/D&gt;&lt;/FQL&gt;&lt;FQL&gt;&lt;Q&gt;Ticker0024^FE_ESTIMATE(EAG,MEAN,QUARTERLY_ROLL,2024/4F,45681,,,'')&lt;/Q&gt;&lt;R&gt;1&lt;/R&gt;&lt;C&gt;1&lt;/C&gt;&lt;D xsi:type="xsd:double"&gt;2.95&lt;/D&gt;&lt;/FQL&gt;&lt;FQL&gt;&lt;Q&gt;Ticker0024^FE_ESTIMATE(EAG,MEAN,QUARTERLY_ROLL,2024/3F,45681,,,'')&lt;/Q&gt;&lt;R&gt;1&lt;/R&gt;&lt;C&gt;1&lt;/C&gt;&lt;D xsi:type="xsd:double"&gt;2.94&lt;/D&gt;&lt;/FQL&gt;&lt;FQL&gt;&lt;Q&gt;Ticker0024^FE_ESTIMATE(EAG,MEAN,QUARTERLY_ROLL,2024/2F,45681,,,'')&lt;/Q&gt;&lt;R&gt;1&lt;/R&gt;&lt;C&gt;1&lt;/C&gt;&lt;D xsi:type="xsd:double"&gt;2.93&lt;/D&gt;&lt;/FQL&gt;&lt;FQL&gt;&lt;Q&gt;Ticker0024^FE_ESTIMATE(EAG,MEAN,QUARTERLY_ROLL,2024/1F,45681,,,'')&lt;/Q&gt;&lt;R&gt;1&lt;/R&gt;&lt;C&gt;1&lt;/C&gt;&lt;D xsi:type="xsd:double"&gt;2.99&lt;/D&gt;&lt;/FQL&gt;&lt;FQL&gt;&lt;Q&gt;Ticker0024^FE_ESTIMATE(EAG,MEAN,ANNUAL_ROLL,2023,45681,,,'')&lt;/Q&gt;&lt;R&gt;1&lt;/R&gt;&lt;C&gt;1&lt;/C&gt;&lt;D xsi:type="xsd:double"&gt;9.68&lt;/D&gt;&lt;/FQL&gt;&lt;FQL&gt;&lt;Q&gt;Ticker0024^FE_ESTIMATE(EAG,MEAN,QUARTERLY_ROLL,2023/4F,45681,,,'')&lt;/Q&gt;&lt;R&gt;1&lt;/R&gt;&lt;C&gt;1&lt;/C&gt;&lt;D xsi:type="xsd:double"&gt;2.69&lt;/D&gt;&lt;/FQL&gt;&lt;FQL&gt;&lt;Q&gt;Ticker0024^FE_ESTIMATE(EAG,MEAN,QUARTERLY_ROLL,2023/3F,45681,,,'')&lt;/Q&gt;&lt;R&gt;1&lt;/R&gt;&lt;C&gt;1&lt;/C&gt;&lt;D xsi:type="xsd:double"&gt;2.4501362&lt;/D&gt;&lt;/FQL&gt;&lt;FQL&gt;&lt;Q&gt;Ticker0024^FE_ESTIMATE(EAG,MEAN,QUARTERLY_ROLL,2023/2F,45681,,,'')&lt;/Q&gt;&lt;R&gt;1&lt;/R&gt;&lt;C&gt;1&lt;/C&gt;&lt;D xsi:type="xsd:double"&gt;2.2&lt;/D&gt;&lt;/FQL&gt;&lt;FQL&gt;&lt;Q&gt;Ticker0024^FE_ESTIMATE(EAG,MEAN,QUARTERLY_ROLL,2023/1F,45681,,,'')&lt;/Q&gt;&lt;R&gt;1&lt;/R&gt;&lt;C&gt;1&lt;/C&gt;&lt;D xsi:type="xsd:double"&gt;2.35&lt;/D&gt;&lt;/FQL&gt;&lt;FQL&gt;&lt;Q&gt;Ticker0024^FE_ESTIMATE(EAG,MEAN,ANNUAL_ROLL,2022,45681,,,'')&lt;/Q&gt;&lt;R&gt;1&lt;/R&gt;&lt;C&gt;1&lt;/C&gt;&lt;D xsi:type="xsd:double"&gt;9.65&lt;/D&gt;&lt;/FQL&gt;&lt;FQL&gt;&lt;Q&gt;Ticker0024^FE_ESTIMATE(EAG,MEAN,QUARTERLY_ROLL,2022/4F,45681,,,'')&lt;/Q&gt;&lt;R&gt;1&lt;/R&gt;&lt;C&gt;1&lt;/C&gt;&lt;D xsi:type="xsd:double"&gt;2.23&lt;/D&gt;&lt;/FQL&gt;&lt;FQL&gt;&lt;Q&gt;Ticker0024^FE_ESTIMATE(EAG,MEAN,QUARTERLY_ROLL,2022/3F,45681,,,'')&lt;/Q&gt;&lt;R&gt;1&lt;/R&gt;&lt;C&gt;1&lt;/C&gt;&lt;D xsi:type="xsd:double"&gt;2.22&lt;/D&gt;&lt;/FQL&gt;&lt;FQL&gt;&lt;Q&gt;Ticker0024^FE_ESTIMATE(EAG,MEAN,QUARTERLY_ROLL,2022/2F,45681,,,'')&lt;/Q&gt;&lt;R&gt;1&lt;/R&gt;&lt;C&gt;1&lt;/C&gt;&lt;D xsi:type="xsd:double"&gt;2.48&lt;/D&gt;&lt;/FQL&gt;&lt;FQL&gt;&lt;Q&gt;Ticker0024^FE_ESTIMATE(EAG,MEAN,QUARTERLY_ROLL,2022/1F,45681,,,'')&lt;/Q&gt;&lt;R&gt;1&lt;/R&gt;&lt;C&gt;1&lt;/C&gt;&lt;D xsi:type="xsd:double"&gt;2.71&lt;/D&gt;&lt;/FQL&gt;&lt;FQL&gt;&lt;Q&gt;Ticker0024^FE_ESTIMATE(EAG,MEAN,ANNUAL_ROLL,2021,45681,,,'')&lt;/Q&gt;&lt;R&gt;1&lt;/R&gt;&lt;C&gt;1&lt;/C&gt;&lt;D xsi:type="xsd:double"&gt;8.05&lt;/D&gt;&lt;/FQL&gt;&lt;FQL&gt;&lt;Q&gt;Ticker0024^FE_ESTIMATE(EAG,MEAN,QUARTERLY_ROLL,2021/4F,45681,,,'')&lt;/Q&gt;&lt;R&gt;1&lt;/R&gt;&lt;C&gt;1&lt;/C&gt;&lt;D xsi:type="xsd:double"&gt;2.17&lt;/D&gt;&lt;/FQL&gt;&lt;FQL&gt;&lt;Q&gt;Ticker0024^FE_ESTIMATE(EAG,MEAN,QUARTERLY_ROLL,2021/3F,45681,,,'')&lt;/Q&gt;&lt;R&gt;1&lt;/R&gt;&lt;C&gt;1&lt;/C&gt;&lt;D xsi:type="xsd:double"&gt;2.03&lt;/D&gt;&lt;/FQL&gt;&lt;FQL&gt;&lt;Q&gt;Ticker0024^FE_ESTIMATE(EAG,MEAN,QUARTERLY_ROLL,2021/2F,45681,,,'')&lt;/Q&gt;&lt;R&gt;1&lt;/R&gt;&lt;C&gt;1&lt;/C&gt;&lt;D xsi:type="xsd:double"&gt;2.03&lt;/D&gt;&lt;/FQL&gt;&lt;FQL&gt;&lt;Q&gt;Ticker0024^FE_ESTIMATE(EAG,MEAN,QUARTERLY_ROLL,2021/1F,45681,,,'')&lt;/Q&gt;&lt;R&gt;1&lt;/R&gt;&lt;C&gt;1&lt;/C&gt;&lt;D xsi:type="xsd:double"&gt;1.82&lt;/D&gt;&lt;/FQL&gt;&lt;FQL&gt;&lt;Q&gt;Ticker0024^FE_ESTIMATE(EAG,MEAN,ANNUAL_ROLL,2020,45681,,,'')&lt;/Q&gt;&lt;R&gt;1&lt;/R&gt;&lt;C&gt;1&lt;/C&gt;&lt;D xsi:type="xsd:double"&gt;5.76&lt;/D&gt;&lt;/FQL&gt;&lt;FQL&gt;&lt;Q&gt;Ticker0024^FE_ESTIMATE(EAG,MEAN,QUARTERLY_ROLL,2020/4F,45681,,,'')&lt;/Q&gt;&lt;R&gt;1&lt;/R&gt;&lt;C&gt;1&lt;/C&gt;&lt;D xsi:type="xsd:double"&gt;1.46&lt;/D&gt;&lt;/FQL&gt;&lt;FQL&gt;&lt;Q&gt;Ticker0024^FE_ESTIMATE(EAG,MEAN,QUARTERLY_ROLL,2020/3F,45681,,,'')&lt;/Q&gt;&lt;R&gt;1&lt;/R&gt;&lt;C&gt;1&lt;/C&gt;&lt;D xsi:type="xsd:double"&gt;1.4&lt;/D&gt;&lt;/FQL&gt;&lt;FQL&gt;&lt;Q&gt;Ticker0024^FE_ESTIMATE(EAG,MEAN,QUARTERLY_ROLL,2020/2F,45681,,,'')&lt;/Q&gt;&lt;R&gt;1&lt;/R&gt;&lt;C&gt;1&lt;/C&gt;&lt;D xsi:type="xsd:double"&gt;1.51&lt;/D&gt;&lt;/FQL&gt;&lt;FQL&gt;&lt;Q&gt;Ticker0024^FE_ESTIMATE(EAG,MEAN,QUARTERLY_ROLL,2020/1F,45681,,,'')&lt;/Q&gt;&lt;R&gt;1&lt;/R&gt;&lt;C&gt;1&lt;/C&gt;&lt;D xsi:type="xsd:double"&gt;1.38&lt;/D&gt;&lt;/FQL&gt;&lt;FQL&gt;&lt;Q&gt;Ticker0024^FE_ESTIMATE(EAG,MEAN,ANNUAL_ROLL,2019,45681,,,'')&lt;/Q&gt;&lt;R&gt;1&lt;/R&gt;&lt;C&gt;1&lt;/C&gt;&lt;D xsi:type="xsd:double"&gt;5.06&lt;/D&gt;&lt;/FQL&gt;&lt;FQL&gt;&lt;Q&gt;Ticker0024^FE_ESTIMATE(EAG,MEAN,QUARTERLY_ROLL,2019/4F,45681,,,'')&lt;/Q&gt;&lt;R&gt;1&lt;/R&gt;&lt;C&gt;1&lt;/C&gt;&lt;D xsi:type="xsd:double"&gt;1.71&lt;/D&gt;&lt;/FQL&gt;&lt;FQL&gt;&lt;Q&gt;Ticker0024^FE_ESTIMATE(EAG,MEAN,QUARTERLY_ROLL,2019/3F,45681,,,'')&lt;/Q&gt;&lt;R&gt;1&lt;/R&gt;&lt;C&gt;1&lt;/C&gt;&lt;D xsi:type="xsd:double"&gt;1.14&lt;/D&gt;&lt;/FQL&gt;&lt;FQL&gt;&lt;Q&gt;Ticker0024^FE_ESTIMATE(EAG,MEAN,QUARTERLY_ROLL,2019/2F,45681,,,'')&lt;/Q&gt;&lt;R&gt;1&lt;/R&gt;&lt;C&gt;1&lt;/C&gt;&lt;D xsi:type="xsd:double"&gt;1.08&lt;/D&gt;&lt;/FQL&gt;&lt;FQL&gt;&lt;Q&gt;Ticker0024^FE_ESTIMATE(EAG,MEAN,QUARTERLY_ROLL,2019/1F,45681,,,'')&lt;/Q&gt;&lt;R&gt;1&lt;/R&gt;&lt;C&gt;1&lt;/C&gt;&lt;D xsi:type="xsd:double"&gt;1.14&lt;/D&gt;&lt;/FQL&gt;&lt;FQL&gt;&lt;Q&gt;Ticker0024^FE_ESTIMATE(EAG,MEAN,ANNUAL_ROLL,2018,45681,,,'')&lt;/Q&gt;&lt;R&gt;1&lt;/R&gt;&lt;C&gt;1&lt;/C&gt;&lt;D xsi:type="xsd:double"&gt;2.13&lt;/D&gt;&lt;/FQL&gt;&lt;FQL&gt;&lt;Q&gt;Ticker0024^FE_ESTIMATE(EAG,MEAN,QUARTERLY_ROLL,2018/4F,45681,,,'')&lt;/Q&gt;&lt;R&gt;1&lt;/R&gt;&lt;C&gt;1&lt;/C&gt;&lt;D xsi:type="xsd:double"&gt;1.14&lt;/D&gt;&lt;/FQL&gt;&lt;FQL&gt;&lt;Q&gt;Ticker0024^FE_ESTIMATE(EAG,MEAN,QUARTERLY_ROLL,2018/3F,45681,,,'')&lt;/Q&gt;&lt;R&gt;1&lt;/R&gt;&lt;C&gt;1&lt;/C&gt;&lt;D xsi:type="xsd:double"&gt;0.9504607&lt;/D&gt;&lt;/FQL&gt;&lt;FQL&gt;&lt;Q&gt;Ticker0024^FE_ESTIMATE(EAG,MEAN,QUARTERLY_ROLL,2018/2F,45681,,,'')&lt;/Q&gt;&lt;R&gt;1&lt;/R&gt;&lt;C&gt;1&lt;/C&gt;&lt;D xsi:type="xsd:double"&gt;-0.82&lt;/D&gt;&lt;/FQL&gt;&lt;FQL&gt;&lt;Q&gt;Ticker0024^FE_ESTIMATE(EAG,MEAN,QUARTERLY_ROLL,2018/1F,45681,,,'')&lt;/Q&gt;&lt;R&gt;1&lt;/R&gt;&lt;C&gt;1&lt;/C&gt;&lt;D xsi:type="xsd:double"&gt;0.84&lt;/D&gt;&lt;/FQL&gt;&lt;FQL&gt;&lt;Q&gt;Ticker0024^FE_ESTIMATE(EAG,MEAN,ANNUAL_ROLL,2017,45681,,,'')&lt;/Q&gt;&lt;R&gt;1&lt;/R&gt;&lt;C&gt;1&lt;/C&gt;&lt;D xsi:type="xsd:double"&gt;2.71&lt;/D&gt;&lt;/FQL&gt;&lt;FQL&gt;&lt;Q&gt;Ticker0024^FE_ESTIMATE(EAG,MEAN,QUARTERLY_ROLL,2017/4F,45681,,,'')&lt;/Q&gt;&lt;R&gt;1&lt;/R&gt;&lt;C&gt;1&lt;/C&gt;&lt;D xsi:type="xsd:double"&gt;0.83&lt;/D&gt;&lt;/FQL&gt;&lt;FQL&gt;&lt;Q&gt;Ticker0024^FE_ESTIMATE(EAG,MEAN,QUARTERLY_ROLL,2017/3F,45681,,,'')&lt;/Q&gt;&lt;R&gt;1&lt;/R&gt;&lt;C&gt;1&lt;/C&gt;&lt;D xsi:type="xsd:double"&gt;0.61&lt;/D&gt;&lt;/FQL&gt;&lt;FQL&gt;&lt;Q&gt;Ticker0024^FE_ESTIMATE(EAG,MEAN,QUARTERLY_ROLL,2017/2F,45681,,,'')&lt;/Q&gt;&lt;R&gt;1&lt;/R&gt;&lt;C&gt;1&lt;/C&gt;&lt;D xsi:type="xsd:double"&gt;0.66&lt;/D&gt;&lt;/FQL&gt;&lt;FQL&gt;&lt;Q&gt;Ticker0024^FE_ESTIMATE(EAG,MEAN,QUARTERLY_ROLL,2017/1F,45681,,,'')&lt;/Q&gt;&lt;R&gt;1&lt;/R&gt;&lt;C&gt;1&lt;/C&gt;&lt;D xsi:type="xsd:double"&gt;0.6&lt;/D&gt;&lt;/FQL&gt;&lt;FQL&gt;&lt;Q&gt;Ticker0024^FE_ESTIMATE(EAG,MEAN,ANNUAL_ROLL,2016,45681,,,'')&lt;/Q&gt;&lt;R&gt;1&lt;/R&gt;&lt;C&gt;1&lt;/C&gt;&lt;D xsi:type="xsd:double"&gt;2.1&lt;/D&gt;&lt;/FQL&gt;&lt;FQL&gt;&lt;Q&gt;Ticker0024^FE_ESTIMATE(EAG,MEAN,QUARTERLY_ROLL,2016/4F,45681,,,'')&lt;/Q&gt;&lt;R&gt;1&lt;/R&gt;&lt;C&gt;1&lt;/C&gt;&lt;D xsi:type="xsd:double"&gt;0.39&lt;/D&gt;&lt;/FQL&gt;&lt;FQL&gt;&lt;Q&gt;Ticker0024^FE_ESTIMATE(EAG,MEAN,QUARTERLY_ROLL,2016/3F,45681,,,'')&lt;/Q&gt;&lt;R&gt;1&lt;/R&gt;&lt;C&gt;1&lt;/C&gt;&lt;D xsi:type="xsd:double"&gt;0.47&lt;/D&gt;&lt;/FQL&gt;&lt;FQL&gt;&lt;Q&gt;Ticker0024^FE_ESTIMATE(EAG,MEAN,QUARTERLY_ROLL,2016/2F,45681,,,'')&lt;/Q&gt;&lt;R&gt;1&lt;/R&gt;&lt;C&gt;1&lt;/C&gt;&lt;D xsi:type="xsd:double"&gt;0.62&lt;/D&gt;&lt;/FQL&gt;&lt;FQL&gt;&lt;Q&gt;Ticker0024^FE_ESTIMATE(EAG,MEAN,QUARTERLY_ROLL,2016/1F,45681,,,'')&lt;/Q&gt;&lt;R&gt;1&lt;/R&gt;&lt;C&gt;1&lt;/C&gt;&lt;D xsi:type="xsd:double"&gt;0.57&lt;/D&gt;&lt;/FQL&gt;&lt;FQL&gt;&lt;Q&gt;Ticker0024^FE_ESTIMATE(EAG,MEAN,ANNUAL_ROLL,2015,45681,,,'')&lt;/Q&gt;&lt;R&gt;1&lt;/R&gt;&lt;C&gt;1&lt;/C&gt;&lt;D xsi:type="xsd:double"&gt;1.48&lt;/D&gt;&lt;/FQL&gt;&lt;FQL&gt;&lt;Q&gt;Ticker0024^FE_ESTIMATE(EAG,MEAN,QUARTERLY_ROLL,2015/4F,45681,,,'')&lt;/Q&gt;&lt;R&gt;1&lt;/R&gt;&lt;C&gt;1&lt;/C&gt;&lt;D xsi:type="xsd:double"&gt;-0.4&lt;/D&gt;&lt;/FQL&gt;&lt;FQL&gt;&lt;Q&gt;Ticker0024^FE_ESTIMATE(EAG,MEAN,QUARTERLY_ROLL,2015/3F,45681,,,'')&lt;/Q&gt;&lt;R&gt;1&lt;/R&gt;&lt;C&gt;1&lt;/C&gt;&lt;D xsi:type="xsd:double"&gt;0.61&lt;/D&gt;&lt;/FQL&gt;&lt;FQL&gt;&lt;Q&gt;Ticker0024^FE_ESTIMATE(EAG,MEAN,QUARTERLY_ROLL,2015/2F,45681,,,'')&lt;/Q&gt;&lt;R&gt;1&lt;/R&gt;&lt;C&gt;1&lt;/C&gt;&lt;D xsi:type="xsd:double"&gt;0.71&lt;/D&gt;&lt;/FQL&gt;&lt;FQL&gt;&lt;Q&gt;Ticker0024^FE_ESTIMATE(EAG,MEAN,QUARTERLY_ROLL,2015/1F,45681,,,'')&lt;/Q&gt;&lt;R&gt;1&lt;/R&gt;&lt;C&gt;1&lt;/C&gt;&lt;D xsi:type="xsd:double"&gt;0.54&lt;/D&gt;&lt;/FQL&gt;&lt;FQL&gt;&lt;Q&gt;Ticker0024^FE_ESTIMATE(EBIT,MEAN,ANNUAL_ROLL,2030,45681,,,'')&lt;/Q&gt;&lt;R&gt;0&lt;/R&gt;&lt;C&gt;0&lt;/C&gt;&lt;/FQL&gt;&lt;FQL&gt;&lt;Q&gt;Ticker0024^FE_ESTIMATE(EBIT,MEAN,QUARTERLY_ROLL,2030/4F,45681,,,'')&lt;/Q&gt;&lt;R&gt;0&lt;/R&gt;&lt;C&gt;0&lt;/C&gt;&lt;/FQL&gt;&lt;FQL&gt;&lt;Q&gt;Ticker0024^FE_ESTIMATE(EBIT,MEAN,QUARTERLY_ROLL,2030/3F,45681,,,'')&lt;/Q&gt;&lt;R&gt;0&lt;/R&gt;&lt;C&gt;0&lt;/C&gt;&lt;/FQL&gt;&lt;FQL&gt;&lt;Q&gt;Ticker0024^FE_ESTIMATE(EBIT,MEAN,QUARTERLY_ROLL,2030/2F,45681,,,'')&lt;/Q&gt;&lt;R&gt;0&lt;/R&gt;&lt;C&gt;0&lt;/C&gt;&lt;/FQL&gt;&lt;FQL&gt;&lt;Q&gt;Ticker0024^FE_ESTIMATE(EBIT,MEAN,QUARTERLY_ROLL,2030/1F,45681,,,'')&lt;/Q&gt;&lt;R&gt;0&lt;/R&gt;&lt;C&gt;0&lt;/C&gt;&lt;/FQL&gt;&lt;FQL&gt;&lt;Q&gt;Ticker0024^FE_ESTIMATE(EBIT,MEAN,ANNUAL_ROLL,2029,45681,,,'')&lt;/Q&gt;&lt;R&gt;1&lt;/R&gt;&lt;C&gt;1&lt;/C&gt;&lt;D xsi:type="xsd:double"&gt;214978.3&lt;/D&gt;&lt;/FQL&gt;&lt;FQL&gt;&lt;Q&gt;Ticker0024^FE_ESTIMATE(EBIT,MEAN,QUARTERLY_ROLL,2029/4F,45681,,,'')&lt;/Q&gt;&lt;R&gt;0&lt;/R&gt;&lt;C&gt;0&lt;/C&gt;&lt;/FQL&gt;&lt;FQL&gt;&lt;Q&gt;Ticker0024^FE_ESTIMATE(EBIT,MEAN,QUARTERLY_ROLL,2029/3F,45681,,,'')&lt;/Q&gt;&lt;R&gt;0&lt;/R&gt;&lt;C&gt;0&lt;/C&gt;&lt;/FQL&gt;&lt;FQL&gt;&lt;Q&gt;Ticker0024^FE_ESTIMATE(EBIT,MEAN,QUARTERLY_ROLL,2029/2F,45681,,,'')&lt;/Q&gt;&lt;R&gt;0&lt;/R&gt;&lt;C&gt;0&lt;/C&gt;&lt;/FQL&gt;&lt;FQL&gt;&lt;Q&gt;Ticker0024^FE_ESTIMATE(EBIT,MEAN,QUARTERLY_ROLL,2029/1F,45681,,,'')&lt;/Q&gt;&lt;R&gt;0&lt;/R&gt;&lt;C&gt;0&lt;/C&gt;&lt;/FQL&gt;&lt;FQL&gt;&lt;Q&gt;Ticker0024^FE_ESTIMATE(EBIT,MEAN,ANNUAL_ROLL,2028,45681,,,'')&lt;/Q&gt;&lt;R&gt;1&lt;/R&gt;&lt;C&gt;1&lt;/C&gt;&lt;D xsi:type="xsd:double"&gt;185051.52&lt;/D&gt;&lt;/FQL&gt;&lt;FQL&gt;&lt;Q&gt;Ticker0024^FE_ESTIMATE(EBIT,MEAN,QUARTERLY_ROLL,2028/4F,45681,,,'')&lt;/Q&gt;&lt;R&gt;0&lt;/R&gt;&lt;C&gt;0&lt;/C&gt;&lt;/FQL&gt;&lt;FQL&gt;&lt;Q&gt;Ticker0024^FE_ESTIMATE(EBIT,MEAN,QUARTERLY_ROLL,2028/3F,45681,,,'')&lt;/Q&gt;&lt;R&gt;0&lt;/R&gt;&lt;C&gt;0&lt;/C&gt;&lt;/FQL&gt;&lt;FQL&gt;&lt;Q&gt;Ticker0024^FE_ESTIMATE(EBIT,MEAN,QUARTERLY_ROLL,2028/2F,45681,,,'')&lt;/Q&gt;&lt;R&gt;0&lt;/R&gt;&lt;C&gt;0&lt;/C&gt;&lt;/FQL&gt;&lt;FQL&gt;&lt;Q&gt;Ticker0024^FE_ESTIMATE(EBIT,MEAN,QUARTERLY_ROLL,2028/1F,45681,,,'')&lt;/Q&gt;&lt;R&gt;0&lt;/R&gt;&lt;C&gt;0&lt;/C&gt;&lt;/FQL&gt;&lt;FQL&gt;&lt;Q&gt;Ticker0024^FE_ESTIMATE(EBIT,MEAN,ANNUAL_ROLL,2027,45681,,,'')&lt;/Q&gt;&lt;R&gt;1&lt;/R&gt;&lt;C&gt;1&lt;/C&gt;&lt;D xsi:type="xsd:double"&gt;164345.73&lt;/D&gt;&lt;/FQL&gt;&lt;FQL&gt;&lt;Q&gt;Ticker0024^FE_ESTIMATE(EBIT,MEAN,QUARTERLY_ROLL,2027/4F,45681,,,'')&lt;/Q&gt;&lt;R&gt;1&lt;/R&gt;&lt;C&gt;1&lt;/C&gt;&lt;D xsi:type="xsd:double"&gt;43688.016&lt;/D&gt;&lt;/FQL&gt;&lt;FQL&gt;&lt;Q&gt;Ticker0024^FE_ESTIMATE(EBIT,MEAN,QUARTERLY_ROLL,2027/3F,45681,,,'')&lt;/Q&gt;&lt;R&gt;1&lt;/R&gt;&lt;C&gt;1&lt;/C&gt;&lt;D xsi:type="xsd:double"&gt;41598.742&lt;/D&gt;&lt;/FQL&gt;&lt;FQL&gt;&lt;Q&gt;Ticker0024^FE_ESTIMATE(EBIT,MEAN,QUARTERLY_ROLL,2027/2F,45681,,,'')&lt;/Q&gt;&lt;R&gt;1&lt;/R&gt;&lt;C&gt;1&lt;/C&gt;&lt;D xsi:type="xsd:double"&gt;41562.32&lt;/D&gt;&lt;/FQL&gt;&lt;FQL&gt;&lt;Q&gt;Ticker0024^FE_ESTIMATE(EBIT,MEAN,QUARTERLY_ROLL,2027/1F,45681,,,'')&lt;/Q&gt;&lt;R&gt;1&lt;/R&gt;&lt;C&gt;1&lt;/C&gt;&lt;D xsi:type="xsd:double"&gt;40303.215&lt;/D&gt;&lt;/FQL&gt;&lt;FQL&gt;&lt;Q&gt;Ticker0024^FE_ESTIMATE(EBIT,MEAN,ANNUAL_ROLL,2026,45681,,,'')&lt;/Q&gt;&lt;R&gt;1&lt;/R&gt;&lt;C&gt;1&lt;/C&gt;&lt;D xsi:type="xsd:double"&gt;141350.25&lt;/D&gt;&lt;/FQL&gt;&lt;FQL&gt;&lt;Q&gt;Ticker0024^FE_ESTIMATE(EBIT,MEAN,QUARTERLY_ROLL,2026/4F,45681,,,'')&lt;/Q&gt;&lt;R&gt;1&lt;/R&gt;&lt;C&gt;1&lt;/C&gt;&lt;D xsi:type="xsd:double"&gt;36803.125&lt;/D&gt;&lt;/FQL&gt;&lt;FQL&gt;&lt;Q&gt;Ticker0024^FE_ESTIMATE(EBIT,MEAN,QUARTERLY_ROLL,2026/3F,45681,,,'')&lt;/Q&gt;&lt;R&gt;1&lt;/R&gt;&lt;C&gt;1&lt;/C&gt;&lt;D xsi:type="xsd:double"&gt;35305.26&lt;/D&gt;&lt;/FQL&gt;&lt;FQL&gt;&lt;Q&gt;Ticker0024^FE_ESTIMATE(EBIT,MEAN,QUARTERLY_ROLL,2026/2F,45681,,,'')&lt;/Q&gt;&lt;R&gt;1&lt;/R&gt;&lt;C&gt;1&lt;/C&gt;&lt;D xsi:type="xsd:double"&gt;34460.293&lt;/D&gt;&lt;/FQL&gt;&lt;FQL&gt;&lt;Q&gt;Ticker0024^FE_ESTIMATE(EBIT,MEAN,QUARTERLY_ROLL,2026/1F,45681,,,'')&lt;/Q&gt;&lt;R&gt;1&lt;/R&gt;&lt;C&gt;1&lt;/C&gt;&lt;D xsi:type="xsd:double"&gt;33779.215&lt;/D&gt;&lt;/FQL&gt;&lt;FQL&gt;&lt;Q&gt;Ticker0024^FE_ESTIMATE(EBIT,MEAN,ANNUAL_ROLL,2025,45681,,,'')&lt;/Q&gt;&lt;R&gt;1&lt;/R&gt;&lt;C&gt;1&lt;/C&gt;&lt;D xsi:type="xsd:double"&gt;123591.03&lt;/D&gt;&lt;/FQL&gt;&lt;FQL&gt;&lt;Q&gt;Ticker0024^FE_ESTIMATE(EBIT,MEAN,QUARTERLY_ROLL,2025/4F,45681,,,'')&lt;/Q&gt;&lt;R&gt;1&lt;/R&gt;&lt;C&gt;1&lt;/C&gt;&lt;D xsi:type="xsd:double"&gt;31707.303&lt;/D&gt;&lt;/FQL&gt;&lt;FQL&gt;&lt;Q&gt;Ticker0024^FE_ESTIMATE(EBIT,MEAN,QUARTERLY_ROLL,2025/3F,45681,,,'')&lt;/Q&gt;&lt;R&gt;1&lt;/R&gt;&lt;C&gt;1&lt;/C&gt;&lt;D xsi:type="xsd:double"&gt;30651.393&lt;/D&gt;&lt;/FQL&gt;&lt;FQL&gt;&lt;Q&gt;Ticker0024^FE_ESTIMATE(EBIT,MEAN,QUARTERLY_ROLL,2025/2F,45681,,,'')&lt;/Q&gt;&lt;R&gt;1&lt;/R&gt;&lt;C&gt;1&lt;/C&gt;&lt;D xsi:type="xsd:double"&gt;30473.92&lt;/D&gt;&lt;/FQL&gt;&lt;FQL&gt;&lt;Q&gt;Ticker0024^FE_ESTIMATE(EBIT,MEAN,QUARTERLY_ROLL,2025/1F,45681,,,'')&lt;/Q&gt;&lt;R&gt;1&lt;/R&gt;&lt;C&gt;1&lt;/C&gt;&lt;D xsi:type="xsd:double"&gt;30553.637&lt;/D&gt;&lt;/FQL&gt;&lt;FQL&gt;&lt;Q&gt;Ticker0024^FE_ESTIMATE(EBIT,MEAN,ANNUAL_ROLL,2024,45681,,,'')&lt;/Q&gt;&lt;R&gt;1&lt;/R&gt;&lt;C&gt;1&lt;/C&gt;&lt;D xsi:type="xsd:double"&gt;109729.96&lt;/D&gt;&lt;/FQL&gt;&lt;FQL&gt;&lt;Q&gt;Ticker0024^FE_ESTIMATE(EBIT,MEAN,QUARTERLY_ROLL,2024/4F,45681,,,'')&lt;/Q&gt;&lt;R&gt;1&lt;/R&gt;&lt;C&gt;1&lt;/C&gt;&lt;D xsi:type="xsd:double"&gt;27926.969&lt;/D&gt;&lt;/FQL&gt;&lt;FQL&gt;&lt;Q&gt;Ticker0024^FE_ESTIMATE(EBIT,MEAN,QUARTERLY_ROLL,2024/3F,45681,,,'')&lt;/Q&gt;&lt;R&gt;1&lt;/R&gt;&lt;C&gt;1&lt;/C&gt;&lt;D xsi:type="xsd:double"&gt;27582.4&lt;/D&gt;&lt;/FQL&gt;&lt;FQL&gt;&lt;Q&gt;Ticker0024^FE_ESTIMATE(EBIT,MEAN,QUARTERLY_ROLL,2024/2F,45681,,,'')&lt;/Q&gt;&lt;R&gt;1&lt;/R&gt;&lt;C&gt;1&lt;/C&gt;&lt;D xsi:type="xsd:double"&gt;27031.055&lt;/D&gt;&lt;/FQL&gt;&lt;FQL&gt;&lt;Q&gt;Ticker0024^FE_ESTIMATE(EBIT,MEAN,QUARTERLY_ROLL,2024/1F,45681,,,'')&lt;/Q&gt;&lt;R&gt;1&lt;/R&gt;&lt;C&gt;1&lt;/C&gt;&lt;D xsi:type="xsd:double"&gt;26895.146&lt;/D&gt;&lt;/FQL&gt;&lt;FQL&gt;&lt;Q&gt;Ticker0024^FE_ESTIMATE(EBIT,MEAN,ANNUAL_ROLL,2023,45681,,,'')&lt;/Q&gt;&lt;R&gt;1&lt;/R&gt;&lt;C&gt;1&lt;/C&gt;&lt;D xsi:type="xsd:double"&gt;88600.766&lt;/D&gt;&lt;/FQL&gt;&lt;FQL&gt;&lt;Q&gt;Ticker0024^FE_ESTIMATE(EBIT,MEAN,QUARTERLY_ROLL,2023/4F,45681,,,'')&lt;/Q&gt;&lt;R&gt;1&lt;/R&gt;&lt;C&gt;1&lt;/C&gt;&lt;D xsi:type="xsd:double"&gt;24173.82&lt;/D&gt;&lt;/FQL&gt;&lt;FQL&gt;&lt;Q&gt;Ticker0024^FE_ESTIMATE(EBIT,MEAN,QUARTERLY_ROLL,2023/3F,45681,,,'')&lt;/Q&gt;&lt;R&gt;1&lt;/R&gt;&lt;C&gt;1&lt;/C&gt;&lt;D xsi:type="xsd:double"&gt;22351.936&lt;/D&gt;&lt;/FQL&gt;&lt;FQL&gt;&lt;Q&gt;Ticker0024^FE_ESTIMATE(EBIT,MEAN,QUARTERLY_ROLL,2023/2F,45681,,,'')&lt;/Q&gt;&lt;R&gt;1&lt;/R&gt;&lt;C&gt;1&lt;/C&gt;&lt;D xsi:type="xsd:double"&gt;20399.059&lt;/D&gt;&lt;/FQL&gt;&lt;FQL&gt;&lt;Q&gt;Ticker0024^FE_ESTIMATE(EBIT,MEAN,QUARTERLY_ROLL,2023/1F,45681,,,'')&lt;/Q&gt;&lt;R&gt;1&lt;/R&gt;&lt;C&gt;1&lt;/C&gt;&lt;D xsi:type="xsd:double"&gt;21518.063&lt;/D&gt;&lt;/FQL&gt;&lt;FQL&gt;&lt;Q&gt;Ticker0024^FE_ESTIMATE(EBIT,MEAN,ANNUAL_ROLL,2022,45681,,,'')&lt;/Q&gt;&lt;R&gt;1&lt;/R&gt;&lt;C&gt;1&lt;/C&gt;&lt;D xsi:type="xsd:double"&gt;83380.48&lt;/D&gt;&lt;/FQL&gt;&lt;FQL&gt;&lt;Q&gt;Ticker0024^FE_ESTIMATE(EBIT,MEAN,QUARTERLY_ROLL,2022/4F,45681,,,'')&lt;/Q&gt;&lt;R&gt;1&lt;/R&gt;&lt;C&gt;1&lt;/C&gt;&lt;D xsi:type="xsd:double"&gt;20531.785&lt;/D&gt;&lt;/FQL&gt;&lt;FQL&gt;&lt;Q&gt;Ticker0024^FE_ESTIMATE(EBIT,MEAN,QUARTERLY_ROLL,2022/3F,45681,,,'')&lt;/Q&gt;&lt;R&gt;1&lt;/R&gt;&lt;C&gt;1&lt;/C&gt;&lt;D xsi:type="xsd:double"&gt;20362.076&lt;/D&gt;&lt;/FQL&gt;&lt;FQL&gt;&lt;Q&gt;Ticker0024^FE_ESTIMATE(EBIT,MEAN,QUARTERLY_ROLL,2022/2F,45681,,,'')&lt;/Q&gt;&lt;R&gt;1&lt;/R&gt;&lt;C&gt;1&lt;/C&gt;&lt;D xsi:type="xsd:double"&gt;22246.809&lt;/D&gt;&lt;/FQL&gt;&lt;FQL&gt;&lt;Q&gt;Ticker0024^FE_ESTIMATE(EBIT,MEAN,QUARTERLY_ROLL,2022/1F,45681,,,'')&lt;/Q&gt;&lt;R&gt;1&lt;/R&gt;&lt;C&gt;1&lt;/C&gt;&lt;D xsi:type="xsd:double"&gt;20237.896&lt;/D&gt;&lt;/FQL&gt;&lt;FQL&gt;&lt;Q&gt;Ticker0024^FE_ESTIMATE(EBIT,MEAN,ANNUAL_ROLL,2021,45681,,,'')&lt;/Q&gt;&lt;R&gt;1&lt;/R&gt;&lt;C&gt;1&lt;/C&gt;&lt;D xsi:type="xsd:double"&gt;69916.43&lt;/D&gt;&lt;/FQL&gt;&lt;FQL&gt;&lt;Q&gt;Ticker0024^FE_ESTIMATE(EBIT,MEAN,QUARTERLY_ROLL,2021/4F,45681,,,'')&lt;/Q&gt;&lt;R&gt;1&lt;/R&gt;&lt;C&gt;1&lt;/C&gt;&lt;D xsi:type="xsd:double"&gt;19095&lt;/D&gt;&lt;/FQL&gt;&lt;FQL&gt;&lt;Q&gt;Ticker0024^FE_ESTIMATE(EBIT,MEAN,QUARTERLY_ROLL,2021/3F,45681,,,'')&lt;/Q&gt;&lt;R&gt;1&lt;/R&gt;&lt;C&gt;1&lt;/C&gt;&lt;D xsi:type="xsd:double"&gt;17048&lt;/D&gt;&lt;/FQL&gt;&lt;FQL&gt;&lt;Q&gt;Ticker0024^FE_ESTIMATE(EBIT,MEAN,QUARTERLY_ROLL,2021/2F,45681,,,'')&lt;/Q&gt;&lt;R&gt;1&lt;/R&gt;&lt;C&gt;1&lt;/C&gt;&lt;D xsi:type="xsd:double"&gt;17896.826&lt;/D&gt;&lt;/FQL&gt;&lt;FQL&gt;&lt;Q&gt;Ticker0024^FE_ESTIMATE(EBIT,MEAN,QUARTERLY_ROLL,2021/1F,45681,,,'')&lt;/Q&gt;&lt;R&gt;1&lt;/R&gt;&lt;C&gt;1&lt;/C&gt;&lt;D xsi:type="xsd:double"&gt;15875.739&lt;/D&gt;&lt;/FQL&gt;&lt;FQL&gt;&lt;Q&gt;Ticker0024^FE_ESTIMATE(EBIT,MEAN,ANNUAL_ROLL,2020,45681,,,'')&lt;/Q&gt;&lt;R&gt;1&lt;/R&gt;&lt;C&gt;1&lt;/C&gt;&lt;D xsi:type="xsd:double"&gt;52978.875&lt;/D&gt;&lt;/FQL&gt;&lt;FQL&gt;&lt;Q&gt;Ticker0024^FE_ESTIMATE(EBIT,MEAN,QUARTERLY_ROLL,2020/4F,45681,,,'')&lt;/Q&gt;&lt;R&gt;1&lt;/R&gt;&lt;C&gt;1&lt;/C&gt;&lt;D xsi:type="xsd:double"&gt;13432.45&lt;/D&gt;&lt;/FQL&gt;&lt;FQL&gt;&lt;Q&gt;Ticker0024^FE_ESTIMATE(EBIT,MEAN,QUARTERLY_ROLL,2020/3F,45681,,,'')&lt;/Q&gt;&lt;R&gt;1&lt;/R&gt;&lt;C&gt;1&lt;/C&gt;&lt;D xsi:type="xsd:double"&gt;12975&lt;/D&gt;&lt;/FQL&gt;&lt;FQL&gt;&lt;Q&gt;Ticker0024^FE_ESTIMATE(EBIT,MEAN,QUARTERLY_ROLL,2020/2F,45681,,,'')&lt;/Q&gt;&lt;R&gt;1&lt;/R&gt;&lt;C&gt;1&lt;/C&gt;&lt;D xsi:type="xsd:double"&gt;13891&lt;/D&gt;&lt;/FQL&gt;&lt;FQL&gt;&lt;Q&gt;Ticker0024^FE_ESTIMATE(EBIT,MEAN,QUARTERLY_ROLL,2020/1F,45681,,,'')&lt;/Q&gt;&lt;R&gt;1&lt;/R&gt;&lt;C&gt;1&lt;/C&gt;&lt;D xsi:type="xsd:double"&gt;12686&lt;/D&gt;&lt;/FQL&gt;&lt;FQL&gt;&lt;Q&gt;Ticker0024^FE_ESTIMATE(EBIT,MEAN,ANNUAL_ROLL,2019,45681,,,'')&lt;/Q&gt;&lt;R&gt;1&lt;/R&gt;&lt;C&gt;1&lt;/C&gt;&lt;D xsi:type="xsd:double"&gt;42964.805&lt;/D&gt;&lt;/FQL&gt;&lt;FQL&gt;&lt;Q&gt;Ticker0024^FE_ESTIMATE(EBIT,MEAN,QUARTERLY_ROLL,2019/4F,45681,,,'')&lt;/Q&gt;&lt;R&gt;1&lt;/R&gt;&lt;C&gt;1&lt;/C&gt;&lt;D xsi:type="xsd:double"&gt;12405&lt;/D&gt;&lt;/FQL&gt;&lt;FQL&gt;&lt;Q&gt;Ticker0024^FE_ESTIMATE(EBIT,MEAN,QUARTERLY_ROLL,2019/3F,45681,,,'')&lt;/Q&gt;&lt;R&gt;1&lt;/R&gt;&lt;C&gt;1&lt;/C&gt;&lt;D xsi:type="xsd:double"&gt;10341&lt;/D&gt;&lt;/FQL&gt;&lt;FQL&gt;&lt;Q&gt;Ticker0024^FE_ESTIMATE(EBIT,MEAN,QUARTERLY_ROLL,2019/2F,45681,,,'')&lt;/Q&gt;&lt;R&gt;1&lt;/R&gt;&lt;C&gt;1&lt;/C&gt;&lt;D xsi:type="xsd:double"&gt;10263.846&lt;/D&gt;&lt;/FQL&gt;&lt;FQL&gt;&lt;Q&gt;Ticker0024^FE_ESTIMATE(EBIT,MEAN,QUARTERLY_ROLL,2019/1F,45681,,,'')&lt;/Q&gt;&lt;R&gt;1&lt;/R&gt;&lt;C&gt;1&lt;/C&gt;&lt;D xsi:type="xsd:double"&gt;9955&lt;/D&gt;&lt;/FQL&gt;&lt;FQL&gt;&lt;Q&gt;Ticker0024^FE_ESTIMATE(EBIT,MEAN,ANNUAL_ROLL,2018,45681,,,'')&lt;/Q&gt;&lt;R&gt;1&lt;/R&gt;&lt;C&gt;1&lt;/C&gt;&lt;D xsi:type="xsd:double"&gt;35034.188&lt;/D&gt;&lt;/FQL&gt;&lt;FQL&gt;&lt;Q&gt;Ticker0024^FE_ESTIMATE(EBIT,MEAN,QUARTERLY_ROLL,2018/4F,45681,,,'')&lt;/Q&gt;&lt;R&gt;1&lt;/R&gt;&lt;C&gt;1&lt;/C&gt;&lt;D xsi:type="xsd:double"&gt;10349.692&lt;/D&gt;&lt;/FQL&gt;&lt;FQL&gt;&lt;Q&gt;Ticker0024^FE_ESTIMATE(EBIT,MEAN,QUARTERLY_ROLL,2018/3F,45681,,,'')&lt;/Q&gt;&lt;R&gt;1&lt;/R&gt;&lt;C&gt;1&lt;/C&gt;&lt;D xsi:type="xsd:double"&gt;8292&lt;/D&gt;&lt;/FQL&gt;&lt;FQL&gt;&lt;Q&gt;Ticker0024^FE_ESTIMATE(EBIT,MEAN,QUARTERLY_ROLL,2018/2F,45681,,,'')&lt;/Q&gt;&lt;R&gt;1&lt;/R&gt;&lt;C&gt;1&lt;/C&gt;&lt;D xsi:type="xsd:double"&gt;8679&lt;/D&gt;&lt;/FQL&gt;&lt;FQL&gt;&lt;Q&gt;Ticker0024^FE_ESTIMATE(EBIT,MEAN,QUARTERLY_ROLL,2018/1F,45681,,,'')&lt;/Q&gt;&lt;R&gt;1&lt;/R&gt;&lt;C&gt;1&lt;/C&gt;&lt;D xsi:type="xsd:double"&gt;7708&lt;/D&gt;&lt;/FQL&gt;&lt;FQL&gt;&lt;Q&gt;Ticker0024^FE_ESTIMATE(EBIT,MEAN,ANNUAL_ROLL,2017,45681,,,'')&lt;/Q&gt;&lt;R&gt;1&lt;/R&gt;&lt;C&gt;1&lt;/C&gt;&lt;D xsi:type="xsd:double"&gt;29326.25&lt;/D&gt;&lt;/FQL&gt;&lt;FQL&gt;&lt;Q&gt;Ticker0024^FE_ESTIMATE(EBIT,MEAN,QUARTERLY_ROLL,2017/4F,45681,,,'')&lt;/Q&gt;&lt;R&gt;1&lt;/R&gt;&lt;C&gt;1&lt;/C&gt;&lt;D xsi:type="xsd:double"&gt;7019&lt;/D&gt;&lt;/FQL&gt;&lt;FQL&gt;&lt;Q&gt;Ticker0024^FE_ESTIMATE(EBIT,MEAN,QUARTERLY_ROLL,2017/3F,45681,,,'')&lt;/Q&gt;&lt;R&gt;1&lt;/R&gt;&lt;C&gt;1&lt;/C&gt;&lt;D xsi:type="xsd:double"&gt;7061&lt;/D&gt;&lt;/FQL&gt;&lt;FQL&gt;&lt;Q&gt;Ticker0024^FE_ESTIMATE(EBIT,MEAN,QUARTERLY_ROLL,2017/2F,45681,,,'')&lt;/Q&gt;&lt;R&gt;1&lt;/R&gt;&lt;C&gt;1&lt;/C&gt;&lt;D xsi:type="xsd:double"&gt;8153&lt;/D&gt;&lt;/FQL&gt;&lt;FQL&gt;&lt;Q&gt;Ticker0024^FE_ESTIMATE(EBIT,MEAN,QUARTERLY_ROLL,2017/1F,45681,,,'')&lt;/Q&gt;&lt;R&gt;1&lt;/R&gt;&lt;C&gt;1&lt;/C&gt;&lt;D xsi:type="xsd:double"&gt;7106&lt;/D&gt;&lt;/FQL&gt;&lt;FQL&gt;&lt;Q&gt;Ticker0024^FE_ESTIMATE(EBIT,MEAN,ANNUAL_ROLL,2016,45681,,,'')&lt;/Q&gt;&lt;R&gt;1&lt;/R&gt;&lt;C&gt;1&lt;/C&gt;&lt;D xsi:type="xsd:double"&gt;28028.564&lt;/D&gt;&lt;/FQL&gt;&lt;FQL&gt;&lt;Q&gt;Ticker0024^FE_ESTIMATE(EBIT,MEAN,QUARTERLY_ROLL,2016/4F,45681,,,'')&lt;/Q&gt;&lt;R&gt;1&lt;/R&gt;&lt;C&gt;1&lt;/C&gt;&lt;D xsi:type="xsd:double"&gt;6218&lt;/D&gt;&lt;/FQL&gt;&lt;FQL&gt;&lt;Q&gt;Ticker0024^FE_ESTIMATE(EBIT,MEAN,QUARTERLY_ROLL,2016/3F,45681,,,'')&lt;/Q&gt;&lt;R&gt;1&lt;/R&gt;&lt;C&gt;1&lt;/C&gt;&lt;D xsi:type="xsd:double"&gt;6828&lt;/D&gt;&lt;/FQL&gt;&lt;FQL&gt;&lt;Q&gt;Ticker0024^FE_ESTIMATE(EBIT,MEAN,QUARTERLY_ROLL,2016/2F,45681,,,'')&lt;/Q&gt;&lt;R&gt;1&lt;/R&gt;&lt;C&gt;1&lt;/C&gt;&lt;D xsi:type="xsd:double"&gt;7923&lt;/D&gt;&lt;/FQL&gt;&lt;FQL&gt;&lt;Q&gt;Ticker0024^FE_ESTIMATE(EBIT,MEAN,QUARTERLY_ROLL,2016/1F,45681,,,'')&lt;/Q&gt;&lt;R&gt;1&lt;/R&gt;&lt;C&gt;1&lt;/C&gt;&lt;D xsi:type="xsd:double"&gt;7073.7896&lt;/D&gt;&lt;/FQL&gt;&lt;FQL&gt;&lt;Q&gt;Ticker0024^FE_ESTIMATE(EBIT,MEAN,ANNUAL_ROLL,2015,45681,,,'')&lt;/Q&gt;&lt;R&gt;1&lt;/R&gt;&lt;C&gt;1&lt;/C&gt;&lt;D xsi:type="xsd:double"&gt;27916.867&lt;/D&gt;&lt;/FQL&gt;&lt;FQL&gt;&lt;Q&gt;Ticker0024^FE_ESTIMATE(EBIT,MEAN,QUARTERLY_ROLL,2015/4F,45681,,,'')&lt;/Q&gt;&lt;R&gt;1&lt;/R&gt;&lt;C&gt;1&lt;/C&gt;&lt;D xsi:type="xsd:double"&gt;4513.1914&lt;/D&gt;&lt;/FQL&gt;&lt;FQL&gt;&lt;Q&gt;Ticker0024^FE_ESTIMATE(EBIT,MEAN,QUARTERLY_ROLL,2015/3F,45681,,,'')&lt;/Q&gt;&lt;R&gt;1&lt;/R&gt;&lt;C&gt;1&lt;/C&gt;&lt;D xsi:type="xsd:double"&gt;6598.875&lt;/D&gt;&lt;/FQL&gt;&lt;FQL&gt;&lt;Q&gt;Ticker0024^FE_ESTIMATE(EBIT,MEAN,QUARTERLY_ROLL,2015/2F,45681,,,'')&lt;/Q&gt;&lt;R&gt;1&lt;/R&gt;&lt;C&gt;1&lt;/C&gt;&lt;D xsi:type="xsd:double"&gt;7776&lt;/D&gt;&lt;/FQL&gt;&lt;FQL&gt;&lt;Q&gt;Ticker0024^FE_ESTIMATE(EBIT,MEAN,QUARTERLY_ROLL,2015/1F,45681,,,'')&lt;/Q&gt;&lt;R&gt;1&lt;/R&gt;&lt;C&gt;1&lt;/C&gt;&lt;D xsi:type="xsd:double"&gt;5844&lt;/D&gt;&lt;/FQL&gt;&lt;FQL&gt;&lt;Q&gt;Ticker0024^FE_ESTIMATE(PRODLINE_EBIT_17,MEAN,ANNUAL_ROLL,2030,45681,,,'')&lt;/Q&gt;&lt;R&gt;0&lt;/R&gt;&lt;C&gt;0&lt;/C&gt;&lt;/FQL&gt;&lt;FQL&gt;&lt;Q&gt;Ticker0024^FE_ESTIMATE(PRODLINE_EBIT_17,MEAN,QUARTERLY_ROLL,2030/4F,45681,,,'')&lt;/Q&gt;&lt;R&gt;0&lt;/R&gt;&lt;C&gt;0&lt;/C&gt;&lt;/FQL&gt;&lt;FQL&gt;&lt;Q&gt;Ticker0024^FE_ESTIMATE(PRODLINE_EBIT_17,MEAN,QUARTERLY_ROLL,2030/3F,45681,,,'')&lt;/Q&gt;&lt;R&gt;0&lt;/R&gt;&lt;C&gt;0&lt;/C&gt;&lt;/FQL&gt;&lt;FQL&gt;&lt;Q&gt;Ticker0024^FE_ESTIMATE(PRODLINE_EBIT_17,MEAN,QUARTERLY_ROLL,2030/2F,45681,,,'')&lt;/Q&gt;&lt;R&gt;0&lt;/R&gt;&lt;C&gt;0&lt;/C&gt;&lt;/FQL&gt;&lt;FQL&gt;&lt;Q&gt;Ticker0024^FE_ESTIMATE(PRODLINE_EBIT_17,MEAN,QUARTERLY_ROLL,2030/1F,45681,,,'')&lt;/Q&gt;&lt;R&gt;0&lt;/R&gt;&lt;C&gt;0&lt;/C&gt;&lt;/FQL&gt;&lt;FQL&gt;&lt;Q&gt;Ticker0024^FE_ESTIMATE(PRODLINE_EBIT_17,MEAN,ANNUAL_ROLL,2029,45681,,,'')&lt;/Q&gt;&lt;R&gt;0&lt;/R&gt;&lt;C&gt;0&lt;/C&gt;&lt;/FQL&gt;&lt;FQL&gt;&lt;Q&gt;Ticker0024^FE_ESTIMATE(PRODLINE_EBIT_17,MEAN,QUARTERLY_ROLL,2029/4F,45681,,,'')&lt;/Q&gt;&lt;R&gt;0&lt;/R&gt;&lt;C&gt;0&lt;/C&gt;&lt;/FQL&gt;&lt;FQL&gt;&lt;Q&gt;Ticker0024^FE_ESTIMATE(PRODLINE_EBIT_17,MEAN,QUARTERLY_ROLL,2029/3F,45681,,,'')&lt;/Q&gt;&lt;R&gt;0&lt;/R&gt;&lt;C&gt;0&lt;/C&gt;&lt;/FQL&gt;&lt;FQL&gt;&lt;Q&gt;Ticker0024^FE_ESTIMATE(PRODLINE_EBIT_17,MEAN,QUARTERLY_ROLL,2029/2F,45681,,,'')&lt;/Q&gt;&lt;R&gt;0&lt;/R&gt;&lt;C&gt;0&lt;/C&gt;&lt;/FQL&gt;&lt;FQL&gt;&lt;Q&gt;Ticker0024^FE_ESTIMATE(PRODLINE_EBIT_17,MEAN,QUARTERLY_ROLL,2029/1F,45681,,,'')&lt;/Q&gt;&lt;R&gt;0&lt;/R&gt;&lt;C&gt;0&lt;/C&gt;&lt;/FQL&gt;&lt;FQL&gt;&lt;Q&gt;Ticker0024^FE_ESTIMATE(PRODLINE_EBIT_17,MEAN,ANNUAL_ROLL,2028,45681,,,'')&lt;/Q&gt;&lt;R&gt;1&lt;/R&gt;&lt;C&gt;1&lt;/C&gt;&lt;D xsi:type="xsd:double"&gt;11001&lt;/D&gt;&lt;/FQL&gt;&lt;FQL&gt;&lt;Q&gt;Ticker0024^FE_ESTIMATE(PRODLINE_EBIT_17,MEAN,QUARTERLY_ROLL,2028/4F,45681,,,'')&lt;/Q&gt;&lt;R&gt;0&lt;/R&gt;&lt;C&gt;0&lt;/C&gt;&lt;/FQL&gt;&lt;FQL&gt;&lt;Q&gt;Ticker0024^FE_ESTIMATE(PRODLINE_EBIT_17,MEAN,QUARTERLY_ROLL,2028/3F,45681,,,'')&lt;/Q&gt;&lt;R&gt;0&lt;/R&gt;&lt;C&gt;0&lt;/C&gt;&lt;/FQL&gt;&lt;FQL&gt;&lt;Q&gt;Ticker0024^FE_ESTIMATE(PRODLINE_EBIT_17,MEAN,QUARTERLY_ROLL,2028/2F,45681,,,'')&lt;/Q&gt;&lt;R&gt;0&lt;/R&gt;&lt;C&gt;0&lt;/C&gt;&lt;/FQL&gt;&lt;FQL&gt;&lt;Q&gt;Ticker0024^FE_ESTIMATE(PRODLINE_EBIT_17,MEAN,QUARTERLY_ROLL,2028/1F,45681,,,'')&lt;/Q&gt;&lt;R&gt;0&lt;/R&gt;&lt;C&gt;0&lt;/C&gt;&lt;/FQL&gt;&lt;FQL&gt;&lt;Q&gt;Ticker0024^FE_ESTIMATE(PRODLINE_EBIT_17,MEAN,ANNUAL_ROLL,2027,45681,,,'')&lt;/Q&gt;&lt;R&gt;1&lt;/R&gt;&lt;C&gt;1&lt;/C&gt;&lt;D xsi:type="xsd:double"&gt;10416&lt;/D&gt;&lt;/FQL&gt;&lt;FQL&gt;&lt;Q&gt;Ticker0024^FE_ESTIMATE(PRODLINE_EBIT_17,MEAN,QUARTERLY_ROLL,2027/4F,45681,,,'')&lt;/Q&gt;&lt;R&gt;0&lt;/R&gt;&lt;C&gt;0&lt;/C&gt;&lt;/FQL&gt;&lt;FQL&gt;&lt;Q&gt;Ticker0024^FE_ESTIMATE(PRODLINE_EBIT_17,MEAN,QUARTERLY_ROLL,2027/3F,45681,,,'')&lt;/Q&gt;&lt;R&gt;0&lt;/R&gt;&lt;C&gt;0&lt;/C&gt;&lt;/FQL&gt;&lt;FQL&gt;&lt;Q&gt;Ticker0024^FE_ESTIMATE(PRODLINE_EBIT_17,MEAN,QUARTERLY_ROLL,2027/2F,45681,,,'')&lt;/Q&gt;&lt;R&gt;0&lt;/R&gt;&lt;C&gt;0&lt;/C&gt;&lt;/FQL&gt;&lt;FQL&gt;&lt;Q&gt;Ticker0024^FE_ESTIMATE(PRODLINE_EBIT_17,MEAN,QUARTERLY_ROLL,2027/1F,45681,,,'')&lt;/Q&gt;&lt;R&gt;0&lt;/R&gt;&lt;C&gt;0&lt;/C&gt;&lt;/FQL&gt;&lt;FQL&gt;&lt;Q&gt;Ticker0024^FE_ESTIMATE(PRODLINE_EBIT_17,MEAN,ANNUAL_ROLL,2026,45681,,,'')&lt;/Q&gt;&lt;R&gt;1&lt;/R&gt;&lt;C&gt;1&lt;/C&gt;&lt;D xsi:type="xsd:double"&gt;14366&lt;/D&gt;&lt;/FQL&gt;&lt;FQL&gt;&lt;Q&gt;Ticker0024^FE_ESTIMATE(PRODLINE_EBIT_17,MEAN,QUARTERLY_ROLL,2026/4F,45681,,,'')&lt;/Q&gt;&lt;R&gt;1&lt;/R&gt;&lt;C&gt;1&lt;/C&gt;&lt;D xsi:type="xsd:double"&gt;3882.5&lt;/D&gt;&lt;/FQL&gt;&lt;FQL&gt;&lt;Q&gt;Ticker0024^FE_ESTIMATE(PRODLINE_EBIT_17,MEAN,QUARTERLY_ROLL,2026/3F,45681,,,'')&lt;/Q&gt;&lt;R&gt;1&lt;/R&gt;&lt;C&gt;1&lt;/C&gt;&lt;D xsi:type="xsd:double"&gt;3929.5&lt;/D&gt;&lt;/FQL&gt;&lt;FQL&gt;&lt;Q&gt;Ticker0024^FE_ESTIMATE(PRODLINE_EBIT_17,MEAN,QUARTERLY_ROLL,2026/2F,45681,,,'')&lt;/Q&gt;&lt;R&gt;1&lt;/R&gt;&lt;C&gt;1&lt;/C&gt;&lt;D xsi:type="xsd:double"&gt;3966&lt;/D&gt;&lt;/FQL&gt;&lt;FQL&gt;&lt;Q&gt;Ticker0024^FE_ESTIMATE(PRODLINE_EBIT_17,MEAN,QUARTERLY_ROLL,2026/1F,45681,,,'')&lt;/Q&gt;&lt;R&gt;1&lt;/R&gt;&lt;C&gt;1&lt;/C&gt;&lt;D xsi:type="xsd:double"&gt;4079&lt;/D&gt;&lt;/FQL&gt;&lt;FQL&gt;&lt;Q&gt;Ticker0024^FE_ESTIMATE(PRODLINE_EBIT_17,MEAN,ANNUAL_ROLL,2025,45681,,,'')&lt;/Q&gt;&lt;R&gt;1&lt;/R&gt;&lt;C&gt;1&lt;/C&gt;&lt;D xsi:type="xsd:double"&gt;14710&lt;/D&gt;&lt;/FQL&gt;&lt;FQL&gt;&lt;Q&gt;Ticker0024^FE_ESTIMATE(PRODLINE_EBIT_17,MEAN,QUARTERLY_ROLL,2025/4F,45681,,,'')&lt;/Q&gt;&lt;R&gt;1&lt;/R&gt;&lt;C&gt;1&lt;/C&gt;&lt;D xsi:type="xsd:double"&gt;3602.8&lt;/D&gt;&lt;/FQL&gt;&lt;FQL&gt;&lt;Q&gt;Ticker0024^FE_ESTIMATE(PRODLINE_EBIT_17,MEAN,QUARTERLY_ROLL,2025/3F,45681,,,'')&lt;/Q&gt;&lt;R&gt;1&lt;/R&gt;&lt;C&gt;1&lt;/C&gt;&lt;D xsi:type="xsd:double"&gt;3642&lt;/D&gt;&lt;/FQL&gt;&lt;FQL&gt;&lt;Q&gt;Ticker0024^FE_ESTIMATE(PRODLINE_EBIT_17,MEAN,QUARTERLY_ROLL,2025/2F,45681,,,'')&lt;/Q&gt;&lt;R&gt;1&lt;/R&gt;&lt;C&gt;1&lt;/C&gt;&lt;D xsi:type="xsd:double"&gt;3640.8&lt;/D&gt;&lt;/FQL&gt;&lt;FQL&gt;&lt;Q&gt;Ticker0024^FE_ESTIMATE(PRODLINE_EBIT_17,MEAN,QUARTERLY_ROLL,2025/1F,45681,,,'')&lt;/Q&gt;&lt;R&gt;1&lt;/R&gt;&lt;C&gt;1&lt;/C&gt;&lt;D xsi:type="xsd:double"&gt;3822.2&lt;/D&gt;&lt;/FQL&gt;&lt;FQL&gt;&lt;Q&gt;Ticker0024^FE_ESTIMATE(PRODLINE_EBIT_17,MEAN,ANNUAL_ROLL,2024,45681,,,'')&lt;/Q&gt;&lt;R&gt;1&lt;/R&gt;&lt;C&gt;1&lt;/C&gt;&lt;D xsi:type="xsd:double"&gt;19332.8&lt;/D&gt;&lt;/FQL&gt;&lt;FQL&gt;&lt;Q&gt;Ticker0024^FE_ESTIMATE(PRODLINE_EBIT_17,MEAN,QUARTERLY_ROLL,2024/4F,45681,,,'')&lt;/Q&gt;&lt;R&gt;1&lt;/R&gt;&lt;C&gt;1&lt;/C&gt;&lt;D xsi:type="xsd:double"&gt;4922.4&lt;/D&gt;&lt;/FQL&gt;&lt;FQL&gt;&lt;Q&gt;Ticker0024^FE_ESTIMATE(PRODLINE_EBIT_17,MEAN,QUARTERLY_ROLL,2024/3F,45681,,,'')&lt;/Q&gt;&lt;R&gt;1&lt;/R&gt;&lt;C&gt;1&lt;/C&gt;&lt;D xsi:type="xsd:double"&gt;4925.7144&lt;/D&gt;&lt;/FQL&gt;&lt;FQL&gt;&lt;Q&gt;Ticker0024^FE_ESTIMATE(PRODLINE_EBIT_17,MEAN,QUARTERLY_ROLL,2024/2F,45681,,,'')&lt;/Q&gt;&lt;R&gt;1&lt;/R&gt;&lt;C&gt;1&lt;/C&gt;&lt;D xsi:type="xsd:double"&gt;4308.3335&lt;/D&gt;&lt;/FQL&gt;&lt;FQL&gt;&lt;Q&gt;Ticker0024^FE_ESTIMATE(PRODLINE_EBIT_17,MEAN,QUARTERLY_ROLL,2024/1F,45681,,,'')&lt;/Q&gt;&lt;R&gt;1&lt;/R&gt;&lt;C&gt;1&lt;/C&gt;&lt;D xsi:type="xsd:double"&gt;5197&lt;/D&gt;&lt;/FQL&gt;&lt;FQL&gt;&lt;Q&gt;Ticker0024^FE_ESTIMATE(PRODLINE_EBIT_17,MEAN,ANNUAL_ROLL,2023,45681,,,'')&lt;/Q&gt;&lt;R&gt;1&lt;/R&gt;&lt;C&gt;1&lt;/C&gt;&lt;D xsi:type="xsd:double"&gt;16450&lt;/D&gt;&lt;/FQL&gt;&lt;FQL&gt;&lt;Q&gt;Ticker0024^FE_ESTIMATE(PRODLINE_EBIT_17,MEAN,QUARTERLY_ROLL,2023/4F,45681,,,'')&lt;/Q&gt;&lt;R&gt;1&lt;/R&gt;&lt;C&gt;1&lt;/C&gt;&lt;D xsi:type="xsd:double"&gt;4676.8&lt;/D&gt;&lt;/FQL&gt;&lt;FQL&gt;&lt;Q&gt;Ticker0024^FE_ESTIMATE(PRODLINE_EBIT_17,MEAN,QUARTERLY_ROLL,2023/3F,45681,,,'')&lt;/Q&gt;&lt;R&gt;1&lt;/R&gt;&lt;C&gt;1&lt;/C&gt;&lt;D xsi:type="xsd:double"&gt;4237.6&lt;/D&gt;&lt;/FQL&gt;&lt;FQL&gt;&lt;Q&gt;Ticker0024^FE_ESTIMATE(PRODLINE_EBIT_17,MEAN,QUARTERLY_ROLL,2023/2F,45681,,,'')&lt;/Q&gt;&lt;R&gt;1&lt;/R&gt;&lt;C&gt;1&lt;/C&gt;&lt;D xsi:type="xsd:double"&gt;3345&lt;/D&gt;&lt;/FQL&gt;&lt;FQL&gt;&lt;Q&gt;Ticker0024^FE_ESTIMATE(PRODLINE_EBIT_17,MEAN,QUARTERLY_ROLL,2023/1F,45681,,,'')&lt;/Q&gt;&lt;R&gt;1&lt;/R&gt;&lt;C&gt;1&lt;/C&gt;&lt;D xsi:type="xsd:double"&gt;4241.4&lt;/D&gt;&lt;/FQL&gt;&lt;FQL&gt;&lt;Q&gt;Ticker0024^FE_ESTIMATE(PRODLINE_EBIT_17,MEAN,ANNUAL_ROLL,2022,45681,,,'')&lt;/Q&gt;&lt;R&gt;1&lt;/R&gt;&lt;C&gt;1&lt;/C&gt;&lt;D xsi:type="xsd:double"&gt;20975.2&lt;/D&gt;&lt;/FQL&gt;&lt;FQL&gt;&lt;Q&gt;Ticker0024^FE_ESTIMATE(PRODLINE_EBIT_17,MEAN,QUARTERLY_ROLL,2022/4F,45681,,,'')&lt;/Q&gt;&lt;R&gt;1&lt;/R&gt;&lt;C&gt;1&lt;/C&gt;&lt;D xsi:type="xsd:double"&gt;4619.2&lt;/D&gt;&lt;/FQL&gt;&lt;FQL&gt;&lt;Q&gt;Ticker0024^FE_ESTIMATE(PRODLINE_EBIT_17,MEAN,QUARTERLY_ROLL,2022/3F,45681,,,'')&lt;/Q&gt;&lt;R&gt;1&lt;/R&gt;&lt;C&gt;1&lt;/C&gt;&lt;D xsi:type="xsd:double"&gt;4899&lt;/D&gt;&lt;/FQL&gt;&lt;FQL&gt;&lt;Q&gt;Ticker0024^FE_ESTIMATE(PRODLINE_EBIT_17,MEAN,QUARTERLY_ROLL,2022/2F,45681,,,'')&lt;/Q&gt;&lt;R&gt;1&lt;/R&gt;&lt;C&gt;1&lt;/C&gt;&lt;D xsi:type="xsd:double"&gt;6360&lt;/D&gt;&lt;/FQL&gt;&lt;FQL&gt;&lt;Q&gt;Ticker0024^FE_ESTIMATE(PRODLINE_EBIT_17,MEAN,QUARTERLY_ROLL,2022/1F,45681,,,'')&lt;/Q&gt;&lt;R&gt;1&lt;/R&gt;&lt;C&gt;1&lt;/C&gt;&lt;D xsi:type="xsd:double"&gt;5095&lt;/D&gt;&lt;/FQL&gt;&lt;FQL&gt;&lt;Q&gt;Ticker0024^FE_ESTIMATE(PRODLINE_EBIT_17,MEAN,ANNUAL_ROLL,2021,45681,,,'')&lt;/Q&gt;&lt;R&gt;1&lt;/R&gt;&lt;C&gt;1&lt;/C&gt;&lt;D xsi:type="xsd:double"&gt;19439.25&lt;/D&gt;&lt;/FQL&gt;&lt;FQL&gt;&lt;Q&gt;Ticker0024^FE_ESTIMATE(PRODLINE_EBIT_17,MEAN,QUARTERLY_ROLL,2021/4F,45681,,,'')&lt;/Q&gt;&lt;R&gt;1&lt;/R&gt;&lt;C&gt;1&lt;/C&gt;&lt;D xsi:type="xsd:double"&gt;4873&lt;/D&gt;&lt;/FQL&gt;&lt;FQL&gt;&lt;Q&gt;Ticker0024^FE_ESTIMATE(PRODLINE_EBIT_17,MEAN,QUARTERLY_ROLL,2021/3F,45681,,,'')&lt;/Q&gt;&lt;R&gt;1&lt;/R&gt;&lt;C&gt;1&lt;/C&gt;&lt;D xsi:type="xsd:double"&gt;4594&lt;/D&gt;&lt;/FQL&gt;&lt;FQL&gt;&lt;Q&gt;Ticker0024^FE_ESTIMATE(PRODLINE_EBIT_17,MEAN,QUARTERLY_ROLL,2021/2F,45681,,,'')&lt;/Q&gt;&lt;R&gt;1&lt;/R&gt;&lt;C&gt;1&lt;/C&gt;&lt;D xsi:type="xsd:double"&gt;5224&lt;/D&gt;&lt;/FQL&gt;&lt;FQL&gt;&lt;Q&gt;Ticker0024^FE_ESTIMATE(PRODLINE_EBIT_17,MEAN,QUARTERLY_ROLL,2021/1F,45681,,,'')&lt;/Q&gt;&lt;R&gt;1&lt;/R&gt;&lt;C&gt;1&lt;/C&gt;&lt;D xsi:type="xsd:double"&gt;4748&lt;/D&gt;&lt;/FQL&gt;&lt;FQL&gt;&lt;Q&gt;Ticker0024^FE_ESTIMATE(PRODLINE_EBIT_17,MEAN,ANNUAL_ROLL,2020,45681,,,'')&lt;/Q&gt;&lt;R&gt;1&lt;/R&gt;&lt;C&gt;1&lt;/C&gt;&lt;D xsi:type="xsd:double"&gt;15895.667&lt;/D&gt;&lt;/FQL&gt;&lt;FQL&gt;&lt;Q&gt;Ticker0024^FE_ESTIMATE(PRODLINE_EBIT_17,MEAN,QUARTERLY_ROLL,2020/4F,45681,,,'')&lt;/Q&gt;&lt;R&gt;1&lt;/R&gt;&lt;C&gt;1&lt;/C&gt;&lt;D xsi:type="xsd:double"&gt;4075.3333&lt;/D&gt;&lt;/FQL&gt;&lt;FQL&gt;&lt;Q&gt;Ticker0024^FE_ESTIMATE(PRODLINE_EBIT_17,MEAN,QUARTERLY_ROLL,2020/3F,45681,,,'')&lt;/Q&gt;&lt;R&gt;1&lt;/R&gt;&lt;C&gt;1&lt;/C&gt;&lt;D xsi:type="xsd:double"&gt;3627&lt;/D&gt;&lt;/FQL&gt;&lt;FQL&gt;&lt;Q&gt;Ticker0024^FE_ESTIMATE(PRODLINE_EBIT_17,MEAN,QUARTERLY_ROLL,2020/2F,45681,,,'')&lt;/Q&gt;&lt;R&gt;1&lt;/R&gt;&lt;C&gt;1&lt;/C&gt;&lt;D xsi:type="xsd:double"&gt;4178&lt;/D&gt;&lt;/FQL&gt;&lt;FQL&gt;&lt;Q&gt;Ticker0024^FE_ESTIMATE(PRODLINE_EBIT_17,MEAN,QUARTERLY_ROLL,2020/1F,45681,,,'')&lt;/Q&gt;&lt;R&gt;1&lt;/R&gt;&lt;C&gt;1&lt;/C&gt;&lt;D xsi:type="xsd:double"&gt;4015&lt;/D&gt;&lt;/FQL&gt;&lt;FQL&gt;&lt;Q&gt;Ticker0024^FE_ESTIMATE(PRODLINE_EBIT_17,MEAN,ANNUAL_ROLL,2019,45681,,,'')&lt;/Q&gt;&lt;R&gt;1&lt;/R&gt;&lt;C&gt;1&lt;/C&gt;&lt;D xsi:type="xsd:double"&gt;12820&lt;/D&gt;&lt;/FQL&gt;&lt;FQL&gt;&lt;Q&gt;Ticker0024^FE_ESTIMATE(PRODLINE_EBIT_17,MEAN,QUARTERLY_ROLL,2019/4F,45681,,,'')&lt;/Q&gt;&lt;R&gt;1&lt;/R&gt;&lt;C&gt;1&lt;/C&gt;&lt;D xsi:type="xsd:double"&gt;3559&lt;/D&gt;&lt;/FQL&gt;&lt;FQL&gt;&lt;Q&gt;Ticker0024^FE_ESTIMATE(PRODLINE_EBIT_17,MEAN,QUARTERLY_ROLL,2019/3F,45681,,,'')&lt;/Q&gt;&lt;R&gt;1&lt;/R&gt;&lt;C&gt;1&lt;/C&gt;&lt;D xsi:type="xsd:double"&gt;3154&lt;/D&gt;&lt;/FQL&gt;&lt;FQL&gt;&lt;Q&gt;Ticker0024^FE_ESTIMATE(PRODLINE_EBIT_17,MEAN,QUARTERLY_ROLL,2019/2F,45681,,,'')&lt;/Q&gt;&lt;R&gt;1&lt;/R&gt;&lt;C&gt;1&lt;/C&gt;&lt;D xsi:type="xsd:double"&gt;2964&lt;/D&gt;&lt;/FQL&gt;&lt;FQL&gt;&lt;Q&gt;Ticker0024^FE_ESTIMATE(PRODLINE_EBIT_17,MEAN,QUARTERLY_ROLL,2019/1F,45681,,,'')&lt;/Q&gt;&lt;R&gt;1&lt;/R&gt;&lt;C&gt;1&lt;/C&gt;&lt;D xsi:type="xsd:double"&gt;3143&lt;/D&gt;&lt;/FQL&gt;&lt;FQL&gt;&lt;Q&gt;Ticker0024^FE_ESTIMATE(PRODLINE_EBIT_17,MEAN,ANNUAL_ROLL,2018,45681,,,'')&lt;/Q&gt;&lt;R&gt;1&lt;/R&gt;&lt;C&gt;1&lt;/C&gt;&lt;D xsi:type="xsd:double"&gt;10610.25&lt;/D&gt;&lt;/FQL&gt;&lt;FQL&gt;&lt;Q&gt;Ticker0024^FE_ESTIMATE(PRODLINE_EBIT_17,MEAN,QUARTERLY_ROLL,2018/4F,45681,,,'')&lt;/Q&gt;&lt;R&gt;1&lt;/R&gt;&lt;C&gt;1&lt;/C&gt;&lt;D xsi:type="xsd:double"&gt;3012&lt;/D&gt;&lt;/FQL&gt;&lt;FQL&gt;&lt;Q&gt;Ticker0024^FE_ESTIMATE(PRODLINE_EBIT_17,MEAN,QUARTERLY_ROLL,2018/3F,45681,,,'')&lt;/Q&gt;&lt;R&gt;1&lt;/R&gt;&lt;C&gt;1&lt;/C&gt;&lt;D xsi:type="xsd:double"&gt;2523&lt;/D&gt;&lt;/FQL&gt;&lt;FQL&gt;&lt;Q&gt;Ticker0024^FE_ESTIMATE(PRODLINE_EBIT_17,MEAN,QUARTERLY_ROLL,2018/2F,45681,,,'')&lt;/Q&gt;&lt;R&gt;1&lt;/R&gt;&lt;C&gt;1&lt;/C&gt;&lt;D xsi:type="xsd:double"&gt;2510&lt;/D&gt;&lt;/FQL&gt;&lt;FQL&gt;&lt;Q&gt;Ticker0024^FE_ESTIMATE(PRODLINE_EBIT_17,MEAN,QUARTERLY_ROLL,2018/1F,45681,,,'')&lt;/Q&gt;&lt;R&gt;1&lt;/R&gt;&lt;C&gt;1&lt;/C&gt;&lt;D xsi:type="xsd:double"&gt;2565&lt;/D&gt;&lt;/FQL&gt;&lt;FQL&gt;&lt;Q&gt;Ticker0024^FE_ESTIMATE(PRODLINE_EBIT_17,MEAN,ANNUAL_ROLL,2017,45681,,,'')&lt;/Q&gt;&lt;R&gt;1&lt;/R&gt;&lt;C&gt;1&lt;/C&gt;&lt;D xsi:type="xsd:double"&gt;8288&lt;/D&gt;&lt;/FQL&gt;&lt;FQL&gt;&lt;Q&gt;Ticker0024^FE_ESTIMATE(PRODLINE_EBIT_17,MEAN,QUARTERLY_ROLL,2017/4F,45681,,,'')&lt;/Q&gt;&lt;R&gt;1&lt;/R&gt;&lt;C&gt;1&lt;/C&gt;&lt;D xsi:type="xsd:double"&gt;1764&lt;/D&gt;&lt;/FQL&gt;&lt;FQL&gt;&lt;Q&gt;Ticker0024^FE_ESTIMATE(PRODLINE_EBIT_17,MEAN,QUARTERLY_ROLL,2017/3F,45681,,,'')&lt;/Q&gt;&lt;R&gt;1&lt;/R&gt;&lt;C&gt;1&lt;/C&gt;&lt;D xsi:type="xsd:double"&gt;2097&lt;/D&gt;&lt;/FQL&gt;&lt;FQL&gt;&lt;Q&gt;Ticker0024^FE_ESTIMATE(PRODLINE_EBIT_17,MEAN,QUARTERLY_ROLL,2017/2F,45681,,,'')&lt;/Q&gt;&lt;R&gt;1&lt;/R&gt;&lt;C&gt;1&lt;/C&gt;&lt;D xsi:type="xsd:double"&gt;2499&lt;/D&gt;&lt;/FQL&gt;&lt;FQL&gt;&lt;Q&gt;Ticker0024^FE_ESTIMATE(PRODLINE_EBIT_17,MEAN,QUARTERLY_ROLL,2017/1F,45681,,,'')&lt;/Q&gt;&lt;R&gt;1&lt;/R&gt;&lt;C&gt;1&lt;/C&gt;&lt;D xsi:type="xsd:double"&gt;1928&lt;/D&gt;&lt;/FQL&gt;&lt;FQL&gt;&lt;Q&gt;Ticker0024^FE_ESTIMATE(PRODLINE_EBIT_17,MEAN,ANNUAL_ROLL,2016,45681,,,'')&lt;/Q&gt;&lt;R&gt;1&lt;/R&gt;&lt;C&gt;1&lt;/C&gt;&lt;D xsi:type="xsd:double"&gt;6167.3335&lt;/D&gt;&lt;/FQL&gt;&lt;FQL&gt;&lt;Q&gt;Ticker0024^FE_ESTIMATE(PRODLINE_EBIT_17,MEAN,QUARTERLY_ROLL,2016/4F,45681,,,'')&lt;/Q&gt;&lt;R&gt;1&lt;/R&gt;&lt;C&gt;1&lt;/C&gt;&lt;D xsi:type="xsd:double"&gt;964&lt;/D&gt;&lt;/FQL&gt;&lt;FQL&gt;&lt;Q&gt;Ticker0024^FE_ESTIMATE(PRODLINE_EBIT_17,MEAN,QUARTERLY_ROLL,2016/3F,45681,,,'')&lt;/Q&gt;&lt;R&gt;1&lt;/R&gt;&lt;C&gt;1&lt;/C&gt;&lt;D xsi:type="xsd:double"&gt;1645&lt;/D&gt;&lt;/FQL&gt;&lt;FQL&gt;&lt;Q&gt;Ticker0024^FE_ESTIMATE(PRODLINE_EBIT_17,MEAN,QUARTERLY_ROLL,2016/2F,45681,,,'')&lt;/Q&gt;&lt;R&gt;0&lt;/R&gt;&lt;C&gt;0&lt;/C&gt;&lt;/FQL&gt;&lt;FQL&gt;&lt;Q&gt;Ticker0024^FE_ESTIMATE(PRODLINE_EBIT_17,MEAN,QUARTERLY_ROLL,2016/1F,45681,,,'')&lt;/Q&gt;&lt;R&gt;0&lt;/R&gt;&lt;C&gt;0&lt;/C&gt;&lt;/FQL&gt;&lt;FQL&gt;&lt;Q&gt;Ticker0024^FE_ESTIMATE(PRODLINE_EBIT_17,MEAN,ANNUAL_ROLL,2015,45681,,,'')&lt;/Q&gt;&lt;R&gt;0&lt;/R&gt;&lt;C&gt;0&lt;/C&gt;&lt;/FQL&gt;&lt;FQL&gt;&lt;Q&gt;Ticker0024^FE_ESTIMATE(PRODLINE_EBIT_17,MEAN,QUARTERLY_ROLL,2015/4F,45681,,,'')&lt;/Q&gt;&lt;R&gt;0&lt;/R&gt;&lt;C&gt;0&lt;/C&gt;&lt;/FQL&gt;&lt;FQL&gt;&lt;Q&gt;Ticker0024^FE_ESTIMATE(PRODLINE_EBIT_17,MEAN,QUARTERLY_ROLL,2015/3F,45681,,,'')&lt;/Q&gt;&lt;R&gt;0&lt;/R&gt;&lt;C&gt;0&lt;/C&gt;&lt;/FQL&gt;&lt;FQL&gt;&lt;Q&gt;Ticker0024^FE_ESTIMATE(PRODLINE_EBIT_17,MEAN,QUARTERLY_ROLL,2015/2F,45681,,,'')&lt;/Q&gt;&lt;R&gt;0&lt;/R&gt;&lt;C&gt;0&lt;/C&gt;&lt;/FQL&gt;&lt;FQL&gt;&lt;Q&gt;Ticker0024^FE_ESTIMATE(PRODLINE_EBIT_17,MEAN,QUARTERLY_ROLL,2015/1F,45681,,,'')&lt;/Q&gt;&lt;R&gt;0&lt;/R&gt;&lt;C&gt;0&lt;/C&gt;&lt;/FQL&gt;&lt;FQL&gt;&lt;Q&gt;Ticker0024^FE_ESTIMATE(PRODLINE_EBIT_16,MEAN,ANNUAL_ROLL,2030,45681,,,'')&lt;/Q&gt;&lt;R&gt;0&lt;/R&gt;&lt;C&gt;0&lt;/C&gt;&lt;/FQL&gt;&lt;FQL&gt;&lt;Q&gt;Ticker0024^FE_ESTIMATE(PRODLINE_EBIT_16,MEAN,QUARTERLY_ROLL,2030/4F,45681,,,'')&lt;/Q&gt;&lt;R&gt;0&lt;/R&gt;&lt;C&gt;0&lt;/C&gt;&lt;/FQL&gt;&lt;FQL&gt;&lt;Q&gt;Ticker0024^FE_ESTIMATE(PRODLINE_EBIT_16,MEAN,QUARTERLY_ROLL,2030/3F,45681,,,'')&lt;/Q&gt;&lt;R&gt;0&lt;/R&gt;&lt;C&gt;0&lt;/C&gt;&lt;/FQL&gt;&lt;FQL&gt;&lt;Q&gt;Ticker0024^FE_ESTIMATE(PRODLINE_EBIT_16,MEAN,QUARTERLY_ROLL,2030/2F,45681,,,'')&lt;/Q&gt;&lt;R&gt;0&lt;/R&gt;&lt;C&gt;0&lt;/C&gt;&lt;/FQL&gt;&lt;FQL&gt;&lt;Q&gt;Ticker0024^FE_ESTIMATE(PRODLINE_EBIT_16,MEAN,QUARTERLY_ROLL,2030/1F,45681,,,'')&lt;/Q&gt;&lt;R&gt;0&lt;/R&gt;&lt;C&gt;0&lt;/C&gt;&lt;/FQL&gt;&lt;FQL&gt;&lt;Q&gt;Ticker0024^FE_ESTIMATE(PRODLINE_EBIT_16,MEAN,ANNUAL_ROLL,2029,45681,,,'')&lt;/Q&gt;&lt;R&gt;0&lt;/R&gt;&lt;C&gt;0&lt;/C&gt;&lt;/FQL&gt;&lt;FQL&gt;&lt;Q&gt;Ticker0024^FE_ESTIMATE(PRODLINE_EBIT_16,MEAN,QUARTERLY_ROLL,2029/4F,45681,,,'')&lt;/Q&gt;&lt;R&gt;0&lt;/R&gt;&lt;C&gt;0&lt;/C&gt;&lt;/FQL&gt;&lt;FQL&gt;&lt;Q&gt;Ticker0024^FE_ESTIMATE(PRODLINE_EBIT_16,MEAN,QUARTERLY_ROLL,2029/3F,45681,,,'')&lt;/Q&gt;&lt;R&gt;0&lt;/R&gt;&lt;C&gt;0&lt;/C&gt;&lt;/FQL&gt;&lt;FQL&gt;&lt;Q&gt;Ticker0024^FE_ESTIMATE(PRODLINE_EBIT_16,MEAN,QUARTERLY_ROLL,2029/2F,45681,,,'')&lt;/Q&gt;&lt;R&gt;0&lt;/R&gt;&lt;C&gt;0&lt;/C&gt;&lt;/FQL&gt;&lt;FQL&gt;&lt;Q&gt;Ticker0024^FE_ESTIMATE(PRODLINE_EBIT_16,MEAN,QUARTERLY_ROLL,2029/1F,45681,,,'')&lt;/Q&gt;&lt;R&gt;0&lt;/R&gt;&lt;C&gt;0&lt;/C&gt;&lt;/FQL&gt;&lt;FQL&gt;&lt;Q&gt;Ticker0024^FE_ESTIMATE(PRODLINE_EBIT_16,MEAN,ANNUAL_ROLL,2028,45681,,,'')&lt;/Q&gt;&lt;R&gt;1&lt;/R&gt;&lt;C&gt;1&lt;/C&gt;&lt;D xsi:type="xsd:double"&gt;89014&lt;/D&gt;&lt;/FQL&gt;&lt;FQL&gt;&lt;Q&gt;Ticker0024^FE_ESTIMATE(PRODLINE_EBIT_16,MEAN,QUARTERLY_ROLL,2028/4F,45681,,,'')&lt;/Q&gt;&lt;R&gt;0&lt;/R&gt;&lt;C&gt;0&lt;/C&gt;&lt;/FQL&gt;&lt;FQL&gt;&lt;Q&gt;Ticker0024^FE_ESTIMATE(PRODLINE_EBIT_16,MEAN,QUARTERLY_ROLL,2028/3F,45681,,,'')&lt;/Q&gt;&lt;R&gt;0&lt;/R&gt;&lt;C&gt;0&lt;/C&gt;&lt;/FQL&gt;&lt;FQL&gt;&lt;Q&gt;Ticker0024^FE_ESTIMATE(PRODLINE_EBIT_16,MEAN,QUARTERLY_ROLL,2028/2F,45681,,,'')&lt;/Q&gt;&lt;R&gt;0&lt;/R&gt;&lt;C&gt;0&lt;/C&gt;&lt;/FQL&gt;&lt;FQL&gt;&lt;Q&gt;Ticker0024^FE_ESTIMATE(PRODLINE_EBIT_16,MEAN,QUARTERLY_ROLL,2028/1F,45681,,,'')&lt;/Q&gt;&lt;R&gt;0&lt;/R&gt;&lt;C&gt;0&lt;/C&gt;&lt;/FQL&gt;&lt;FQL&gt;&lt;Q&gt;Ticker0024^FE_ESTIMATE(PRODLINE_EBIT_16,MEAN,ANNUAL_ROLL,2027,45681,,,'')&lt;/Q&gt;&lt;R&gt;1&lt;/R&gt;&lt;C&gt;1&lt;/C&gt;&lt;D xsi:type="xsd:double"&gt;70893&lt;/D&gt;&lt;/FQL&gt;&lt;FQL&gt;&lt;Q&gt;Ticker0024^FE_ESTIMATE(PRODLINE_EBIT_16,MEAN,QUARTERLY_ROLL,2027/4F,45681,,,'')&lt;/Q&gt;&lt;R&gt;0&lt;/R&gt;&lt;C&gt;0&lt;/C&gt;&lt;/FQL&gt;&lt;FQL&gt;&lt;Q&gt;Ticker0024^FE_ESTIMATE(PRODLINE_EBIT_16,MEAN,QUARTERLY_ROLL,2027/3F,45681,,,'')&lt;/Q&gt;&lt;R&gt;0&lt;/R&gt;&lt;C&gt;0&lt;/C&gt;&lt;/FQL&gt;&lt;FQL&gt;&lt;Q&gt;Ticker0024^FE_ESTIMATE(PRODLINE_EBIT_16,MEAN,QUARTERLY_ROLL,2027/2F,45681,,,'')&lt;/Q&gt;&lt;R&gt;0&lt;/R&gt;&lt;C&gt;0&lt;/C&gt;&lt;/FQL&gt;&lt;FQL&gt;&lt;Q&gt;Ticker0024^FE_ESTIMATE(PRODLINE_EBIT_16,MEAN,QUARTERLY_ROLL,2027/1F,45681,,,'')&lt;/Q&gt;&lt;R&gt;0&lt;/R&gt;&lt;C&gt;0&lt;/C&gt;&lt;/FQL&gt;&lt;FQL&gt;&lt;Q&gt;Ticker0024^FE_ESTIMATE(PRODLINE_EBIT_16,MEAN,ANNUAL_ROLL,2026,45681,,,'')&lt;/Q&gt;&lt;R&gt;1&lt;/R&gt;&lt;C&gt;1&lt;/C&gt;&lt;D xsi:type="xsd:double"&gt;57792.5&lt;/D&gt;&lt;/FQL&gt;&lt;FQL&gt;&lt;Q&gt;Ticker0024^FE_ESTIMATE(PRODLINE_EBIT_16,MEAN,QUARTERLY_ROLL,2026/4F,45681,,,'')&lt;/Q&gt;&lt;R&gt;1&lt;/R&gt;&lt;C&gt;1&lt;/C&gt;&lt;D xsi:type="xsd:double"&gt;16044.5&lt;/D&gt;&lt;/FQL&gt;&lt;FQL&gt;&lt;Q&gt;Ticker0024^FE_ESTIMATE(PRODLINE_EBIT_16,MEAN,QUARTERLY_ROLL,2026/3F,45681,,,'')&lt;/Q&gt;&lt;R&gt;1&lt;/R&gt;&lt;C&gt;1&lt;/C&gt;&lt;D xsi:type="xsd:double"&gt;14888&lt;/D&gt;&lt;/FQL&gt;&lt;FQL&gt;&lt;Q&gt;Ticker0024^FE_ESTIMATE(PRODLINE_EBIT_16,MEAN,QUARTERLY_ROLL,2026/2F,45681,,,'')&lt;/Q&gt;&lt;R&gt;1&lt;/R&gt;&lt;C&gt;1&lt;/C&gt;&lt;D xsi:type="xsd:double"&gt;14719.5&lt;/D&gt;&lt;/FQL&gt;&lt;FQL&gt;&lt;Q&gt;Ticker0024^FE_ESTIMATE(PRODLINE_EBIT_16,MEAN,QUARTERLY_ROLL,2026/1F,45681,,,'')&lt;/Q&gt;&lt;R&gt;1&lt;/R&gt;&lt;C&gt;1&lt;/C&gt;&lt;D xsi:type="xsd:double"&gt;13880&lt;/D&gt;&lt;/FQL&gt;&lt;FQL&gt;&lt;Q&gt;Ticker0024^FE_ESTIMATE(PRODLINE_EBIT_16,MEAN,ANNUAL_ROLL,2025,45681,,,'')&lt;/Q&gt;&lt;R&gt;1&lt;/R&gt;&lt;C&gt;1&lt;/C&gt;&lt;D xsi:type="xsd:double"&gt;47656.6&lt;/D&gt;&lt;/FQL&gt;&lt;FQL&gt;&lt;Q&gt;Ticker0024^FE_ESTIMATE(PRODLINE_EBIT_16,MEAN,QUARTERLY_ROLL,2025/4F,45681,,,'')&lt;/Q&gt;&lt;R&gt;1&lt;/R&gt;&lt;C&gt;1&lt;/C&gt;&lt;D xsi:type="xsd:double"&gt;12973.4&lt;/D&gt;&lt;/FQL&gt;&lt;FQL&gt;&lt;Q&gt;Ticker0024^FE_ESTIMATE(PRODLINE_EBIT_16,MEAN,QUARTERLY_ROLL,2025/3F,45681,,,'')&lt;/Q&gt;&lt;R&gt;1&lt;/R&gt;&lt;C&gt;1&lt;/C&gt;&lt;D xsi:type="xsd:double"&gt;11848&lt;/D&gt;&lt;/FQL&gt;&lt;FQL&gt;&lt;Q&gt;Ticker0024^FE_ESTIMATE(PRODLINE_EBIT_16,ME</t>
        </r>
      </text>
    </comment>
    <comment ref="A12" authorId="0" shapeId="0" xr:uid="{DF6CBF8F-055D-474A-A9D3-D2EB99267482}">
      <text>
        <r>
          <rPr>
            <b/>
            <sz val="9"/>
            <color indexed="81"/>
            <rFont val="Tahoma"/>
            <family val="2"/>
          </rPr>
          <t>AN,QUARTERLY_ROLL,2025/2F,45681,,,'')&lt;/Q&gt;&lt;R&gt;1&lt;/R&gt;&lt;C&gt;1&lt;/C&gt;&lt;D xsi:type="xsd:double"&gt;11824.6&lt;/D&gt;&lt;/FQL&gt;&lt;FQL&gt;&lt;Q&gt;Ticker0024^FE_ESTIMATE(PRODLINE_EBIT_16,MEAN,QUARTERLY_ROLL,2025/1F,45681,,,'')&lt;/Q&gt;&lt;R&gt;1&lt;/R&gt;&lt;C&gt;1&lt;/C&gt;&lt;D xsi:type="xsd:double"&gt;11013&lt;/D&gt;&lt;/FQL&gt;&lt;FQL&gt;&lt;Q&gt;Ticker0024^FE_ESTIMATE(PRODLINE_EBIT_16,MEAN,ANNUAL_ROLL,2024,45681,,,'')&lt;/Q&gt;&lt;R&gt;1&lt;/R&gt;&lt;C&gt;1&lt;/C&gt;&lt;D xsi:type="xsd:double"&gt;49583.2&lt;/D&gt;&lt;/FQL&gt;&lt;FQL&gt;&lt;Q&gt;Ticker0024^FE_ESTIMATE(PRODLINE_EBIT_16,MEAN,QUARTERLY_ROLL,2024/4F,45681,,,'')&lt;/Q&gt;&lt;R&gt;1&lt;/R&gt;&lt;C&gt;1&lt;/C&gt;&lt;D xsi:type="xsd:double"&gt;12859.2&lt;/D&gt;&lt;/FQL&gt;&lt;FQL&gt;&lt;Q&gt;Ticker0024^FE_ESTIMATE(PRODLINE_EBIT_16,MEAN,QUARTERLY_ROLL,2024/3F,45681,,,'')&lt;/Q&gt;&lt;R&gt;1&lt;/R&gt;&lt;C&gt;1&lt;/C&gt;&lt;D xsi:type="xsd:double"&gt;12512.571&lt;/D&gt;&lt;/FQL&gt;&lt;FQL&gt;&lt;Q&gt;Ticker0024^FE_ESTIMATE(PRODLINE_EBIT_16,MEAN,QUARTERLY_ROLL,2024/2F,45681,,,'')&lt;/Q&gt;&lt;R&gt;1&lt;/R&gt;&lt;C&gt;1&lt;/C&gt;&lt;D xsi:type="xsd:double"&gt;12460.833&lt;/D&gt;&lt;/FQL&gt;&lt;FQL&gt;&lt;Q&gt;Ticker0024^FE_ESTIMATE(PRODLINE_EBIT_16,MEAN,QUARTERLY_ROLL,2024/1F,45681,,,'')&lt;/Q&gt;&lt;R&gt;1&lt;/R&gt;&lt;C&gt;1&lt;/C&gt;&lt;D xsi:type="xsd:double"&gt;11750.8&lt;/D&gt;&lt;/FQL&gt;&lt;FQL&gt;&lt;Q&gt;Ticker0024^FE_ESTIMATE(PRODLINE_EBIT_16,MEAN,ANNUAL_ROLL,2023,45681,,,'')&lt;/Q&gt;&lt;R&gt;1&lt;/R&gt;&lt;C&gt;1&lt;/C&gt;&lt;D xsi:type="xsd:double"&gt;37883.2&lt;/D&gt;&lt;/FQL&gt;&lt;FQL&gt;&lt;Q&gt;Ticker0024^FE_ESTIMATE(PRODLINE_EBIT_16,MEAN,QUARTERLY_ROLL,2023/4F,45681,,,'')&lt;/Q&gt;&lt;R&gt;1&lt;/R&gt;&lt;C&gt;1&lt;/C&gt;&lt;D xsi:type="xsd:double"&gt;10526.8&lt;/D&gt;&lt;/FQL&gt;&lt;FQL&gt;&lt;Q&gt;Ticker0024^FE_ESTIMATE(PRODLINE_EBIT_16,MEAN,QUARTERLY_ROLL,2023/3F,45681,,,'')&lt;/Q&gt;&lt;R&gt;1&lt;/R&gt;&lt;C&gt;1&lt;/C&gt;&lt;D xsi:type="xsd:double"&gt;9476.8&lt;/D&gt;&lt;/FQL&gt;&lt;FQL&gt;&lt;Q&gt;Ticker0024^FE_ESTIMATE(PRODLINE_EBIT_16,MEAN,QUARTERLY_ROLL,2023/2F,45681,,,'')&lt;/Q&gt;&lt;R&gt;1&lt;/R&gt;&lt;C&gt;1&lt;/C&gt;&lt;D xsi:type="xsd:double"&gt;8903.2&lt;/D&gt;&lt;/FQL&gt;&lt;FQL&gt;&lt;Q&gt;Ticker0024^FE_ESTIMATE(PRODLINE_EBIT_16,MEAN,QUARTERLY_ROLL,2023/1F,45681,,,'')&lt;/Q&gt;&lt;R&gt;1&lt;/R&gt;&lt;C&gt;1&lt;/C&gt;&lt;D xsi:type="xsd:double"&gt;8954.6&lt;/D&gt;&lt;/FQL&gt;&lt;FQL&gt;&lt;Q&gt;Ticker0024^FE_ESTIMATE(PRODLINE_EBIT_16,MEAN,ANNUAL_ROLL,2022,45681,,,'')&lt;/Q&gt;&lt;R&gt;1&lt;/R&gt;&lt;C&gt;1&lt;/C&gt;&lt;D xsi:type="xsd:double"&gt;32708.6&lt;/D&gt;&lt;/FQL&gt;&lt;FQL&gt;&lt;Q&gt;Ticker0024^FE_ESTIMATE(PRODLINE_EBIT_16,MEAN,QUARTERLY_ROLL,2022/4F,45681,,,'')&lt;/Q&gt;&lt;R&gt;1&lt;/R&gt;&lt;C&gt;1&lt;/C&gt;&lt;D xsi:type="xsd:double"&gt;8668.8&lt;/D&gt;&lt;/FQL&gt;&lt;FQL&gt;&lt;Q&gt;Ticker0024^FE_ESTIMATE(PRODLINE_EBIT_16,MEAN,QUARTERLY_ROLL,2022/3F,45681,,,'')&lt;/Q&gt;&lt;R&gt;1&lt;/R&gt;&lt;C&gt;1&lt;/C&gt;&lt;D xsi:type="xsd:double"&gt;8281&lt;/D&gt;&lt;/FQL&gt;&lt;FQL&gt;&lt;Q&gt;Ticker0024^FE_ESTIMATE(PRODLINE_EBIT_16,MEAN,QUARTERLY_ROLL,2022/2F,45681,,,'')&lt;/Q&gt;&lt;R&gt;1&lt;/R&gt;&lt;C&gt;1&lt;/C&gt;&lt;D xsi:type="xsd:double"&gt;8197&lt;/D&gt;&lt;/FQL&gt;&lt;FQL&gt;&lt;Q&gt;Ticker0024^FE_ESTIMATE(PRODLINE_EBIT_16,MEAN,QUARTERLY_ROLL,2022/1F,45681,,,'')&lt;/Q&gt;&lt;R&gt;1&lt;/R&gt;&lt;C&gt;1&lt;/C&gt;&lt;D xsi:type="xsd:double"&gt;7562&lt;/D&gt;&lt;/FQL&gt;&lt;FQL&gt;&lt;Q&gt;Ticker0024^FE_ESTIMATE(PRODLINE_EBIT_16,MEAN,ANNUAL_ROLL,2021,45681,,,'')&lt;/Q&gt;&lt;R&gt;1&lt;/R&gt;&lt;C&gt;1&lt;/C&gt;&lt;D xsi:type="xsd:double"&gt;26126&lt;/D&gt;&lt;/FQL&gt;&lt;FQL&gt;&lt;Q&gt;Ticker0024^FE_ESTIMATE(PRODLINE_EBIT_16,MEAN,QUARTERLY_ROLL,2021/4F,45681,,,'')&lt;/Q&gt;&lt;R&gt;1&lt;/R&gt;&lt;C&gt;1&lt;/C&gt;&lt;D xsi:type="xsd:double"&gt;7787&lt;/D&gt;&lt;/FQL&gt;&lt;FQL&gt;&lt;Q&gt;Ticker0024^FE_ESTIMATE(PRODLINE_EBIT_16,MEAN,QUARTERLY_ROLL,2021/3F,45681,,,'')&lt;/Q&gt;&lt;R&gt;1&lt;/R&gt;&lt;C&gt;1&lt;/C&gt;&lt;D xsi:type="xsd:double"&gt;6425&lt;/D&gt;&lt;/FQL&gt;&lt;FQL&gt;&lt;Q&gt;Ticker0024^FE_ESTIMATE(PRODLINE_EBIT_16,MEAN,QUARTERLY_ROLL,2021/2F,45681,,,'')&lt;/Q&gt;&lt;R&gt;1&lt;/R&gt;&lt;C&gt;1&lt;/C&gt;&lt;D xsi:type="xsd:double"&gt;6492&lt;/D&gt;&lt;/FQL&gt;&lt;FQL&gt;&lt;Q&gt;Ticker0024^FE_ESTIMATE(PRODLINE_EBIT_16,MEAN,QUARTERLY_ROLL,2021/1F,45681,,,'')&lt;/Q&gt;&lt;R&gt;1&lt;/R&gt;&lt;C&gt;1&lt;/C&gt;&lt;D xsi:type="xsd:double"&gt;5422&lt;/D&gt;&lt;/FQL&gt;&lt;FQL&gt;&lt;Q&gt;Ticker0024^FE_ESTIMATE(PRODLINE_EBIT_16,MEAN,ANNUAL_ROLL,2020,45681,,,'')&lt;/Q&gt;&lt;R&gt;1&lt;/R&gt;&lt;C&gt;1&lt;/C&gt;&lt;D xsi:type="xsd:double"&gt;18188.334&lt;/D&gt;&lt;/FQL&gt;&lt;FQL&gt;&lt;Q&gt;Ticker0024^FE_ESTIMATE(PRODLINE_EBIT_16,MEAN,QUARTERLY_ROLL,2020/4F,45681,,,'')&lt;/Q&gt;&lt;R&gt;1&lt;/R&gt;&lt;C&gt;1&lt;/C&gt;&lt;D xsi:type="xsd:double"&gt;5208.3335&lt;/D&gt;&lt;/FQL&gt;&lt;FQL&gt;&lt;Q&gt;Ticker0024^FE_ESTIMATE(PRODLINE_EBIT_16,MEAN,QUARTERLY_ROLL,2020/3F,45681,,,'')&lt;/Q&gt;&lt;R&gt;1&lt;/R&gt;&lt;C&gt;1&lt;/C&gt;&lt;D xsi:type="xsd:double"&gt;4560&lt;/D&gt;&lt;/FQL&gt;&lt;FQL&gt;&lt;Q&gt;Ticker0024^FE_ESTIMATE(PRODLINE_EBIT_16,MEAN,QUARTERLY_ROLL,2020/2F,45681,,,'')&lt;/Q&gt;&lt;R&gt;1&lt;/R&gt;&lt;C&gt;1&lt;/C&gt;&lt;D xsi:type="xsd:double"&gt;4531&lt;/D&gt;&lt;/FQL&gt;&lt;FQL&gt;&lt;Q&gt;Ticker0024^FE_ESTIMATE(PRODLINE_EBIT_16,MEAN,QUARTERLY_ROLL,2020/1F,45681,,,'')&lt;/Q&gt;&lt;R&gt;1&lt;/R&gt;&lt;C&gt;1&lt;/C&gt;&lt;D xsi:type="xsd:double"&gt;3889&lt;/D&gt;&lt;/FQL&gt;&lt;FQL&gt;&lt;Q&gt;Ticker0024^FE_ESTIMATE(PRODLINE_EBIT_16,MEAN,ANNUAL_ROLL,2019,45681,,,'')&lt;/Q&gt;&lt;R&gt;1&lt;/R&gt;&lt;C&gt;1&lt;/C&gt;&lt;D xsi:type="xsd:double"&gt;13920&lt;/D&gt;&lt;/FQL&gt;&lt;FQL&gt;&lt;Q&gt;Ticker0024^FE_ESTIMATE(PRODLINE_EBIT_16,MEAN,QUARTERLY_ROLL,2019/4F,45681,,,'')&lt;/Q&gt;&lt;R&gt;1&lt;/R&gt;&lt;C&gt;1&lt;/C&gt;&lt;D xsi:type="xsd:double"&gt;4502&lt;/D&gt;&lt;/FQL&gt;&lt;FQL&gt;&lt;Q&gt;Ticker0024^FE_ESTIMATE(PRODLINE_EBIT_16,MEAN,QUARTERLY_ROLL,2019/3F,45681,,,'')&lt;/Q&gt;&lt;R&gt;1&lt;/R&gt;&lt;C&gt;1&lt;/C&gt;&lt;D xsi:type="xsd:double"&gt;3208&lt;/D&gt;&lt;/FQL&gt;&lt;FQL&gt;&lt;Q&gt;Ticker0024^FE_ESTIMATE(PRODLINE_EBIT_16,MEAN,QUARTERLY_ROLL,2019/2F,45681,,,'')&lt;/Q&gt;&lt;R&gt;1&lt;/R&gt;&lt;C&gt;1&lt;/C&gt;&lt;D xsi:type="xsd:double"&gt;3278.75&lt;/D&gt;&lt;/FQL&gt;&lt;FQL&gt;&lt;Q&gt;Ticker0024^FE_ESTIMATE(PRODLINE_EBIT_16,MEAN,QUARTERLY_ROLL,2019/1F,45681,,,'')&lt;/Q&gt;&lt;R&gt;1&lt;/R&gt;&lt;C&gt;1&lt;/C&gt;&lt;D xsi:type="xsd:double"&gt;2931&lt;/D&gt;&lt;/FQL&gt;&lt;FQL&gt;&lt;Q&gt;Ticker0024^FE_ESTIMATE(PRODLINE_EBIT_16,MEAN,ANNUAL_ROLL,2018,45681,,,'')&lt;/Q&gt;&lt;R&gt;1&lt;/R&gt;&lt;C&gt;1&lt;/C&gt;&lt;D xsi:type="xsd:double"&gt;11524&lt;/D&gt;&lt;/FQL&gt;&lt;FQL&gt;&lt;Q&gt;Ticker0024^FE_ESTIMATE(PRODLINE_EBIT_16,MEAN,QUARTERLY_ROLL,2018/4F,45681,,,'')&lt;/Q&gt;&lt;R&gt;1&lt;/R&gt;&lt;C&gt;1&lt;/C&gt;&lt;D xsi:type="xsd:double"&gt;3901&lt;/D&gt;&lt;/FQL&gt;&lt;FQL&gt;&lt;Q&gt;Ticker0024^FE_ESTIMATE(PRODLINE_EBIT_16,MEAN,QUARTERLY_ROLL,2018/3F,45681,,,'')&lt;/Q&gt;&lt;R&gt;1&lt;/R&gt;&lt;C&gt;1&lt;/C&gt;&lt;D xsi:type="xsd:double"&gt;2654&lt;/D&gt;&lt;/FQL&gt;&lt;FQL&gt;&lt;Q&gt;Ticker0024^FE_ESTIMATE(PRODLINE_EBIT_16,MEAN,QUARTERLY_ROLL,2018/2F,45681,,,'')&lt;/Q&gt;&lt;R&gt;1&lt;/R&gt;&lt;C&gt;1&lt;/C&gt;&lt;D xsi:type="xsd:double"&gt;2832&lt;/D&gt;&lt;/FQL&gt;&lt;FQL&gt;&lt;Q&gt;Ticker0024^FE_ESTIMATE(PRODLINE_EBIT_16,MEAN,QUARTERLY_ROLL,2018/1F,45681,,,'')&lt;/Q&gt;&lt;R&gt;1&lt;/R&gt;&lt;C&gt;1&lt;/C&gt;&lt;D xsi:type="xsd:double"&gt;2137&lt;/D&gt;&lt;/FQL&gt;&lt;FQL&gt;&lt;Q&gt;Ticker0024^FE_ESTIMATE(PRODLINE_EBIT_16,MEAN,ANNUAL_ROLL,2017,45681,,,'')&lt;/Q&gt;&lt;R&gt;1&lt;/R&gt;&lt;C&gt;1&lt;/C&gt;&lt;D xsi:type="xsd:double"&gt;9138&lt;/D&gt;&lt;/FQL&gt;&lt;FQL&gt;&lt;Q&gt;Ticker0024^FE_ESTIMATE(PRODLINE_EBIT_16,MEAN,QUARTERLY_ROLL,2017/4F,45681,,,'')&lt;/Q&gt;&lt;R&gt;1&lt;/R&gt;&lt;C&gt;1&lt;/C&gt;&lt;D xsi:type="xsd:double"&gt;2501&lt;/D&gt;&lt;/FQL&gt;&lt;FQL&gt;&lt;Q&gt;Ticker0024^FE_ESTIMATE(PRODLINE_EBIT_16,MEAN,QUARTERLY_ROLL,2017/3F,45681,,,'')&lt;/Q&gt;&lt;R&gt;1&lt;/R&gt;&lt;C&gt;1&lt;/C&gt;&lt;D xsi:type="xsd:double"&gt;2181&lt;/D&gt;&lt;/FQL&gt;&lt;FQL&gt;&lt;Q&gt;Ticker0024^FE_ESTIMATE(PRODLINE_EBIT_16,MEAN,QUARTERLY_ROLL,2017/2F,45681,,,'')&lt;/Q&gt;&lt;R&gt;1&lt;/R&gt;&lt;C&gt;1&lt;/C&gt;&lt;D xsi:type="xsd:double"&gt;2398&lt;/D&gt;&lt;/FQL&gt;&lt;FQL&gt;&lt;Q&gt;Ticker0024^FE_ESTIMATE(PRODLINE_EBIT_16,MEAN,QUARTERLY_ROLL,2017/1F,45681,,,'')&lt;/Q&gt;&lt;R&gt;1&lt;/R&gt;&lt;C&gt;1&lt;/C&gt;&lt;D xsi:type="xsd:double"&gt;2058&lt;/D&gt;&lt;/FQL&gt;&lt;FQL&gt;&lt;Q&gt;Ticker0024^FE_ESTIMATE(PRODLINE_EBIT_16,MEAN,ANNUAL_ROLL,2016,45681,,,'')&lt;/Q&gt;&lt;R&gt;1&lt;/R&gt;&lt;C&gt;1&lt;/C&gt;&lt;D xsi:type="xsd:double"&gt;9357&lt;/D&gt;&lt;/FQL&gt;&lt;FQL&gt;&lt;Q&gt;Ticker0024^FE_ESTIMATE(PRODLINE_EBIT_16,MEAN,QUARTERLY_ROLL,2016/4F,45681,,,'')&lt;/Q&gt;&lt;R&gt;1&lt;/R&gt;&lt;C&gt;1&lt;/C&gt;&lt;D xsi:type="xsd:double"&gt;2190&lt;/D&gt;&lt;/FQL&gt;&lt;FQL&gt;&lt;Q&gt;Ticker0024^FE_ESTIMATE(PRODLINE_EBIT_16,MEAN,QUARTERLY_ROLL,2016/3F,45681,,,'')&lt;/Q&gt;&lt;R&gt;1&lt;/R&gt;&lt;C&gt;1&lt;/C&gt;&lt;D xsi:type="xsd:double"&gt;2188&lt;/D&gt;&lt;/FQL&gt;&lt;FQL&gt;&lt;Q&gt;Ticker0024^FE_ESTIMATE(PRODLINE_EBIT_16,MEAN,QUARTERLY_ROLL,2016/2F,45681,,,'')&lt;/Q&gt;&lt;R&gt;0&lt;/R&gt;&lt;C&gt;0&lt;/C&gt;&lt;/FQL&gt;&lt;FQL&gt;&lt;Q&gt;Ticker0024^FE_ESTIMATE(PRODLINE_EBIT_16,MEAN,QUARTERLY_ROLL,2016/1F,45681,,,'')&lt;/Q&gt;&lt;R&gt;0&lt;/R&gt;&lt;C&gt;0&lt;/C&gt;&lt;/FQL&gt;&lt;FQL&gt;&lt;Q&gt;Ticker0024^FE_ESTIMATE(PRODLINE_EBIT_16,MEAN,ANNUAL_ROLL,2015,45681,,,'')&lt;/Q&gt;&lt;R&gt;0&lt;/R&gt;&lt;C&gt;0&lt;/C&gt;&lt;/FQL&gt;&lt;FQL&gt;&lt;Q&gt;Ticker0024^FE_ESTIMATE(PRODLINE_EBIT_16,MEAN,QUARTERLY_ROLL,2015/4F,45681,,,'')&lt;/Q&gt;&lt;R&gt;0&lt;/R&gt;&lt;C&gt;0&lt;/C&gt;&lt;/FQL&gt;&lt;FQL&gt;&lt;Q&gt;Ticker0024^FE_ESTIMATE(PRODLINE_EBIT_16,MEAN,QUARTERLY_ROLL,2015/3F,45681,,,'')&lt;/Q&gt;&lt;R&gt;0&lt;/R&gt;&lt;C&gt;0&lt;/C&gt;&lt;/FQL&gt;&lt;FQL&gt;&lt;Q&gt;Ticker0024^FE_ESTIMATE(PRODLINE_EBIT_16,MEAN,QUARTERLY_ROLL,2015/2F,45681,,,'')&lt;/Q&gt;&lt;R&gt;0&lt;/R&gt;&lt;C&gt;0&lt;/C&gt;&lt;/FQL&gt;&lt;FQL&gt;&lt;Q&gt;Ticker0024^FE_ESTIMATE(PRODLINE_EBIT_16,MEAN,QUARTERLY_ROLL,2015/1F,45681,,,'')&lt;/Q&gt;&lt;R&gt;0&lt;/R&gt;&lt;C&gt;0&lt;/C&gt;&lt;/FQL&gt;&lt;FQL&gt;&lt;Q&gt;Ticker0024^FE_ESTIMATE(PRODLINE_EBIT_15,MEAN,ANNUAL_ROLL,2030,45681,,,'')&lt;/Q&gt;&lt;R&gt;0&lt;/R&gt;&lt;C&gt;0&lt;/C&gt;&lt;/FQL&gt;&lt;FQL&gt;&lt;Q&gt;Ticker0024^FE_ESTIMATE(PRODLINE_EBIT_15,MEAN,QUARTERLY_ROLL,2030/4F,45681,,,'')&lt;/Q&gt;&lt;R&gt;0&lt;/R&gt;&lt;C&gt;0&lt;/C&gt;&lt;/FQL&gt;&lt;FQL&gt;&lt;Q&gt;Ticker0024^FE_ESTIMATE(PRODLINE_EBIT_15,MEAN,QUARTERLY_ROLL,2030/3F,45681,,,'')&lt;/Q&gt;&lt;R&gt;0&lt;/R&gt;&lt;C&gt;0&lt;/C&gt;&lt;/FQL&gt;&lt;FQL&gt;&lt;Q&gt;Ticker0024^FE_ESTIMATE(PRODLINE_EBIT_15,MEAN,QUARTERLY_ROLL,2030/2F,45681,,,'')&lt;/Q&gt;&lt;R&gt;0&lt;/R&gt;&lt;C&gt;0&lt;/C&gt;&lt;/FQL&gt;&lt;FQL&gt;&lt;Q&gt;Ticker0024^FE_ESTIMATE(PRODLINE_EBIT_15,MEAN,QUARTERLY_ROLL,2030/1F,45681,,,'')&lt;/Q&gt;&lt;R&gt;0&lt;/R&gt;&lt;C&gt;0&lt;/C&gt;&lt;/FQL&gt;&lt;FQL&gt;&lt;Q&gt;Ticker0024^FE_ESTIMATE(PRODLINE_EBIT_15,MEAN,ANNUAL_ROLL,2029,45681,,,'')&lt;/Q&gt;&lt;R&gt;0&lt;/R&gt;&lt;C&gt;0&lt;/C&gt;&lt;/FQL&gt;&lt;FQL&gt;&lt;Q&gt;Ticker0024^FE_ESTIMATE(PRODLINE_EBIT_15,MEAN,QUARTERLY_ROLL,2029/4F,45681,,,'')&lt;/Q&gt;&lt;R&gt;0&lt;/R&gt;&lt;C&gt;0&lt;/C&gt;&lt;/FQL&gt;&lt;FQL&gt;&lt;Q&gt;Ticker0024^FE_ESTIMATE(PRODLINE_EBIT_15,MEAN,QUARTERLY_ROLL,2029/3F,45681,,,'')&lt;/Q&gt;&lt;R&gt;0&lt;/R&gt;&lt;C&gt;0&lt;/C&gt;&lt;/FQL&gt;&lt;FQL&gt;&lt;Q&gt;Ticker0024^FE_ESTIMATE(PRODLINE_EBIT_15,MEAN,QUARTERLY_ROLL,2029/2F,45681,,,'')&lt;/Q&gt;&lt;R&gt;0&lt;/R&gt;&lt;C&gt;0&lt;/C&gt;&lt;/FQL&gt;&lt;FQL&gt;&lt;Q&gt;Ticker0024^FE_ESTIMATE(PRODLINE_EBIT_15,MEAN,QUARTERLY_ROLL,2029/1F,45681,,,'')&lt;/Q&gt;&lt;R&gt;0&lt;/R&gt;&lt;C&gt;0&lt;/C&gt;&lt;/FQL&gt;&lt;FQL&gt;&lt;Q&gt;Ticker0024^FE_ESTIMATE(PRODLINE_EBIT_15,MEAN,ANNUAL_ROLL,2028,45681,,,'')&lt;/Q&gt;&lt;R&gt;1&lt;/R&gt;&lt;C&gt;1&lt;/C&gt;&lt;D xsi:type="xsd:double"&gt;75230&lt;/D&gt;&lt;/FQL&gt;&lt;FQL&gt;&lt;Q&gt;Ticker0024^FE_ESTIMATE(PRODLINE_EBIT_15,MEAN,QUARTERLY_ROLL,2028/4F,45681,,,'')&lt;/Q&gt;&lt;R&gt;0&lt;/R&gt;&lt;C&gt;0&lt;/C&gt;&lt;/FQL&gt;&lt;FQL&gt;&lt;Q&gt;Ticker0024^FE_ESTIMATE(PRODLINE_EBIT_15,MEAN,QUARTERLY_ROLL,2028/3F,45681,,,'')&lt;/Q&gt;&lt;R&gt;0&lt;/R&gt;&lt;C&gt;0&lt;/C&gt;&lt;/FQL&gt;&lt;FQL&gt;&lt;Q&gt;Ticker0024^FE_ESTIMATE(PRODLINE_EBIT_15,MEAN,QUARTERLY_ROLL,2028/2F,45681,,,'')&lt;/Q&gt;&lt;R&gt;0&lt;/R&gt;&lt;C&gt;0&lt;/C&gt;&lt;/FQL&gt;&lt;FQL&gt;&lt;Q&gt;Ticker0024^FE_ESTIMATE(PRODLINE_EBIT_15,MEAN,QUARTERLY_ROLL,2028/1F,45681,,,'')&lt;/Q&gt;&lt;R&gt;0&lt;/R&gt;&lt;C&gt;0&lt;/C&gt;&lt;/FQL&gt;&lt;FQL&gt;&lt;Q&gt;Ticker0024^FE_ESTIMATE(PRODLINE_EBIT_15,MEAN,ANNUAL_ROLL,2027,45681,,,'')&lt;/Q&gt;&lt;R&gt;1&lt;/R&gt;&lt;C&gt;1&lt;/C&gt;&lt;D xsi:type="xsd:double"&gt;75985.5&lt;/D&gt;&lt;/FQL&gt;&lt;FQL&gt;&lt;Q&gt;Ticker0024^FE_ESTIMATE(PRODLINE_EBIT_15,MEAN,QUARTERLY_ROLL,2027/4F,45681,,,'')&lt;/Q&gt;&lt;R&gt;0&lt;/R&gt;&lt;C&gt;0&lt;/C&gt;&lt;/FQL&gt;&lt;FQL&gt;&lt;Q&gt;Ticker0024^FE_ESTIMATE(PRODLINE_EBIT_15,MEAN,QUARTERLY_ROLL,2027/3F,45681,,,'')&lt;/Q&gt;&lt;R&gt;0&lt;/R&gt;&lt;C&gt;0&lt;/C&gt;&lt;/FQL&gt;&lt;FQL&gt;&lt;Q&gt;Ticker0024^FE_ESTIMATE(PRODLINE_EBIT_15,MEAN,QUARTERLY_ROLL,2027/2F,45681,,,'')&lt;/Q&gt;&lt;R&gt;0&lt;/R&gt;&lt;C&gt;0&lt;/C&gt;&lt;/FQL&gt;&lt;FQL&gt;&lt;Q&gt;Ticker0024^FE_ESTIMATE(PRODLINE_EBIT_15,MEAN,QUARTERLY_ROLL,2027/1F,45681,,,'')&lt;/Q&gt;&lt;R&gt;0&lt;/R&gt;&lt;C&gt;0&lt;/C&gt;&lt;/FQL&gt;&lt;FQL&gt;&lt;Q&gt;Ticker0024^FE_ESTIMATE(PRODLINE_EBIT_15,MEAN,ANNUAL_ROLL,2026,45681,,,'')&lt;/Q&gt;&lt;R&gt;1&lt;/R&gt;&lt;C&gt;1&lt;/C&gt;&lt;D xsi:type="xsd:double"&gt;65457.75&lt;/D&gt;&lt;/FQL&gt;&lt;FQL&gt;&lt;Q&gt;Ticker0024^FE_ESTIMATE(PRODLINE_EBIT_15,MEAN,QUARTERLY_ROLL,2026/4F,45681,,,'')&lt;/Q&gt;&lt;R&gt;1&lt;/R&gt;&lt;C&gt;1&lt;/C&gt;&lt;D xsi:type="xsd:double"&gt;15698.5&lt;/D&gt;&lt;/FQL&gt;&lt;FQL&gt;&lt;Q&gt;Ticker0024^FE_ESTIMATE(PRODLINE_EBIT_15,MEAN,QUARTERLY_ROLL,2026/3F,45681,,,'')&lt;/Q&gt;&lt;R&gt;1&lt;/R&gt;&lt;C&gt;1&lt;/C&gt;&lt;D xsi:type="xsd:double"&gt;15134.5&lt;/D&gt;&lt;/FQL&gt;&lt;FQL&gt;&lt;Q&gt;Ticker0024^FE_ESTIMATE(PRODLINE_EBIT_15,MEAN,QUARTERLY_ROLL,2026/2F,45681,,,'')&lt;/Q&gt;&lt;R&gt;1&lt;/R&gt;&lt;C&gt;1&lt;/C&gt;&lt;D xsi:type="xsd:double"&gt;15186.5&lt;/D&gt;&lt;/FQL&gt;&lt;FQL&gt;&lt;Q&gt;Ticker0024^FE_ESTIMATE(PRODLINE_EBIT_15,MEAN,QUARTERLY_ROLL,2026/1F,45681,,,'')&lt;/Q&gt;&lt;R&gt;1&lt;/R&gt;&lt;C&gt;1&lt;/C&gt;&lt;D xsi:type="xsd:double"&gt;14922&lt;/D&gt;&lt;/FQL&gt;&lt;FQL&gt;&lt;Q&gt;Ticker0024^FE_ESTIMATE(PRODLINE_EBIT_15,MEAN,ANNUAL_ROLL,2025,45681,,,'')&lt;/Q&gt;&lt;R&gt;1&lt;/R&gt;&lt;C&gt;1&lt;/C&gt;&lt;D xsi:type="xsd:double"&gt;60249.4&lt;/D&gt;&lt;/FQL&gt;&lt;FQL&gt;&lt;Q&gt;Ticker0024^FE_ESTIMATE(PRODLINE_EBIT_15,MEAN,QUARTERLY_ROLL,2025/4F,45681,,,'')&lt;/Q&gt;&lt;R&gt;1&lt;/R&gt;&lt;C&gt;1&lt;/C&gt;&lt;D xsi:type="xsd:double"&gt;15139.6&lt;/D&gt;&lt;/FQL&gt;&lt;FQL&gt;&lt;Q&gt;Ticker0024^FE_ESTIMATE(PRODLINE_EBIT_15,MEAN,QUARTERLY_ROLL,2025/3F,45681,,,'')&lt;/Q&gt;&lt;R&gt;1&lt;/R&gt;&lt;C&gt;1&lt;/C&gt;&lt;D xsi:type="xsd:double"&gt;14852.6&lt;/D&gt;&lt;/FQL&gt;&lt;FQL&gt;&lt;Q&gt;Ticker0024^FE_ESTIMATE(PRODLINE_EBIT_15,MEAN,QUARTERLY_ROLL,2025/2F,45681,,,'')&lt;/Q&gt;&lt;R&gt;1&lt;/R&gt;&lt;C&gt;1&lt;/C&gt;&lt;D xsi:type="xsd:double"&gt;14809.4&lt;/D&gt;&lt;/FQL&gt;&lt;FQL&gt;&lt;Q&gt;Ticker0024^FE_ESTIMATE(PRODLINE_EBIT_15,MEAN,QUARTERLY_ROLL,2025/1F,45681,,,'')&lt;/Q&gt;&lt;R&gt;1&lt;/R&gt;&lt;C&gt;1&lt;/C&gt;&lt;D xsi:type="xsd:double"&gt;15451.8&lt;/D&gt;&lt;/FQL&gt;&lt;FQL&gt;&lt;Q&gt;Ticker0024^FE_ESTIMATE(PRODLINE_EBIT_15,MEAN,ANNUAL_ROLL,2024,45681,,,'')&lt;/Q&gt;&lt;R&gt;1&lt;/R&gt;&lt;C&gt;1&lt;/C&gt;&lt;D xsi:type="xsd:double"&gt;40540&lt;/D&gt;&lt;/FQL&gt;&lt;FQL&gt;&lt;Q&gt;Ticker0024^FE_ESTIMATE(PRODLINE_EBIT_15,MEAN,QUARTERLY_ROLL,2024/4F,45681,,,'')&lt;/Q&gt;&lt;R&gt;1&lt;/R&gt;&lt;C&gt;1&lt;/C&gt;&lt;D xsi:type="xsd:double"&gt;10142.4&lt;/D&gt;&lt;/FQL&gt;&lt;FQL&gt;&lt;Q&gt;Ticker0024^FE_ESTIMATE(PRODLINE_EBIT_15,MEAN,QUARTERLY_ROLL,2024/3F,45681,,,'')&lt;/Q&gt;&lt;R&gt;1&lt;/R&gt;&lt;C&gt;1&lt;/C&gt;&lt;D xsi:type="xsd:double"&gt;10142.571&lt;/D&gt;&lt;/FQL&gt;&lt;FQL&gt;&lt;Q&gt;Ticker0024^FE_ESTIMATE(PRODLINE_EBIT_15,MEAN,QUARTERLY_ROLL,2024/2F,45681,,,'')&lt;/Q&gt;&lt;R&gt;1&lt;/R&gt;&lt;C&gt;1&lt;/C&gt;&lt;D xsi:type="xsd:double"&gt;10283.333&lt;/D&gt;&lt;/FQL&gt;&lt;FQL&gt;&lt;Q&gt;Ticker0024^FE_ESTIMATE(PRODLINE_EBIT_15,MEAN,QUARTERLY_ROLL,2024/1F,45681,,,'')&lt;/Q&gt;&lt;R&gt;1&lt;/R&gt;&lt;C&gt;1&lt;/C&gt;&lt;D xsi:type="xsd:double"&gt;9970&lt;/D&gt;&lt;/FQL&gt;&lt;FQL&gt;&lt;Q&gt;Ticker0024^FE_ESTIMATE(PRODLINE_EBIT_15,MEAN,ANNUAL_ROLL,2023,45681,,,'')&lt;/Q&gt;&lt;R&gt;1&lt;/R&gt;&lt;C&gt;1&lt;/C&gt;&lt;D xsi:type="xsd:double"&gt;34189.4&lt;/D&gt;&lt;/FQL&gt;&lt;FQL&gt;&lt;Q&gt;Ticker0024^FE_ESTIMATE(PRODLINE_EBIT_15,MEAN,QUARTERLY_ROLL,2023/4F,45681,,,'')&lt;/Q&gt;&lt;R&gt;1&lt;/R&gt;&lt;C&gt;1&lt;/C&gt;&lt;D xsi:type="xsd:double"&gt;9051.6&lt;/D&gt;&lt;/FQL&gt;&lt;FQL&gt;&lt;Q&gt;Ticker0024^FE_ESTIMATE(PRODLINE_EBIT_15,MEAN,QUARTERLY_ROLL,2023/3F,45681,,,'')&lt;/Q&gt;&lt;R&gt;1&lt;/R&gt;&lt;C&gt;1&lt;/C&gt;&lt;D xsi:type="xsd:double"&gt;8639.2&lt;/D&gt;&lt;/FQL&gt;&lt;FQL&gt;&lt;Q&gt;Ticker0024^FE_ESTIMATE(PRODLINE_EBIT_15,MEAN,QUARTERLY_ROLL,2023/2F,45681,,,'')&lt;/Q&gt;&lt;R&gt;1&lt;/R&gt;&lt;C&gt;1&lt;/C&gt;&lt;D xsi:type="xsd:double"&gt;8176&lt;/D&gt;&lt;/FQL&gt;&lt;FQL&gt;&lt;Q&gt;Ticker0024^FE_ESTIMATE(PRODLINE_EBIT_15,MEAN,QUARTERLY_ROLL,2023/1F,45681,,,'')&lt;/Q&gt;&lt;R&gt;1&lt;/R&gt;&lt;C&gt;1&lt;/C&gt;&lt;D xsi:type="xsd:double"&gt;8322.4&lt;/D&gt;&lt;/FQL&gt;&lt;FQL&gt;&lt;Q&gt;Ticker0024^FE_ESTIMATE(PRODLINE_EBIT_15,MEAN,ANNUAL_ROLL,2022,45681,,,'')&lt;/Q&gt;&lt;R&gt;1&lt;/R&gt;&lt;C&gt;1&lt;/C&gt;&lt;D xsi:type="xsd:double"&gt;29685&lt;/D&gt;&lt;/FQL&gt;&lt;FQL&gt;&lt;Q&gt;Ticker0024^FE_ESTIMATE(PRODLINE_EBIT_15,MEAN,QUARTERLY_ROLL,2022/4F,45681,,,'')&lt;/Q&gt;&lt;R&gt;1&lt;/R&gt;&lt;C&gt;1&lt;/C&gt;&lt;D xsi:type="xsd:double"&gt;7232&lt;/D&gt;&lt;/FQL&gt;&lt;FQL&gt;&lt;Q&gt;Ticker0024^FE_ESTIMATE(PRODLINE_EBIT_15,MEAN,QUARTERLY_ROLL,2022/3F,45681,,,'')&lt;/Q&gt;&lt;R&gt;1&lt;/R&gt;&lt;C&gt;1&lt;/C&gt;&lt;D xsi:type="xsd:double"&gt;7184&lt;/D&gt;&lt;/FQL&gt;&lt;FQL&gt;&lt;Q&gt;Ticker0024^FE_ESTIMATE(PRODLINE_EBIT_15,MEAN,QUARTERLY_ROLL,2022/2F,45681,,,'')&lt;/Q&gt;&lt;R&gt;1&lt;/R&gt;&lt;C&gt;1&lt;/C&gt;&lt;D xsi:type="xsd:double"&gt;7688&lt;/D&gt;&lt;/FQL&gt;&lt;FQL&gt;&lt;Q&gt;Ticker0024^FE_ESTIMATE(PRODLINE_EBIT_15,MEAN,QUARTERLY_ROLL,2022/1F,45681,,,'')&lt;/Q&gt;&lt;R&gt;1&lt;/R&gt;&lt;C&gt;1&lt;/C&gt;&lt;D xsi:type="xsd:double"&gt;7581&lt;/D&gt;&lt;/FQL&gt;&lt;FQL&gt;&lt;Q&gt;Ticker0024^FE_ESTIMATE(PRODLINE_EBIT_15,MEAN,ANNUAL_ROLL,2021,45681,,,'')&lt;/Q&gt;&lt;R&gt;1&lt;/R&gt;&lt;C&gt;1&lt;/C&gt;&lt;D xsi:type="xsd:double"&gt;24351&lt;/D&gt;&lt;/FQL&gt;&lt;FQL&gt;&lt;Q&gt;Ticker0024^FE_ESTIMATE(PRODLINE_EBIT_15,MEAN,QUARTERLY_ROLL,2021/4F,45681,,,'')&lt;/Q&gt;&lt;R&gt;1&lt;/R&gt;&lt;C&gt;1&lt;/C&gt;&lt;D xsi:type="xsd:double"&gt;6435&lt;/D&gt;&lt;/FQL&gt;&lt;FQL&gt;&lt;Q&gt;Ticker0024^FE_ESTIMATE(PRODLINE_EBIT_15,MEAN,QUARTERLY_ROLL,2021/3F,45681,,,'')&lt;/Q&gt;&lt;R&gt;1&lt;/R&gt;&lt;C&gt;1&lt;/C&gt;&lt;D xsi:type="xsd:double"&gt;6029&lt;/D&gt;&lt;/FQL&gt;&lt;FQL&gt;&lt;Q&gt;Ticker0024^FE_ESTIMATE(PRODLINE_EBIT_15,MEAN,QUARTERLY_ROLL,2021/2F,45681,,,'')&lt;/Q&gt;&lt;R&gt;1&lt;/R&gt;&lt;C&gt;1&lt;/C&gt;&lt;D xsi:type="xsd:double"&gt;6179.6665&lt;/D&gt;&lt;/FQL&gt;&lt;FQL&gt;&lt;Q&gt;Ticker0024^FE_ESTIMATE(PRODLINE_EBIT_15,MEAN,QUARTERLY_ROLL,2021/1F,45681,,,'')&lt;/Q&gt;&lt;R&gt;1&lt;/R&gt;&lt;C&gt;1&lt;/C&gt;&lt;D xsi:type="xsd:double"&gt;5706&lt;/D&gt;&lt;/FQL&gt;&lt;FQL&gt;&lt;Q&gt;Ticker0024^FE_ESTIMATE(PRODLINE_EBIT_15,MEAN,ANNUAL_ROLL,2020,45681,,,'')&lt;/Q&gt;&lt;R&gt;1&lt;/R&gt;&lt;C&gt;1&lt;/C&gt;&lt;D xsi:type="xsd:double"&gt;18781&lt;/D&gt;&lt;/FQL&gt;&lt;FQL&gt;&lt;Q&gt;Ticker0024^FE_ESTIMATE(PRODLINE_EBIT_15,MEAN,QUARTERLY_ROLL,2020/4F,45681,,,'')&lt;/Q&gt;&lt;R&gt;1&lt;/R&gt;&lt;C&gt;1&lt;/C&gt;&lt;D xsi:type="xsd:double"&gt;4029&lt;/D&gt;&lt;/FQL&gt;&lt;FQL&gt;&lt;Q&gt;Ticker0024^FE_ESTIMATE(PRODLINE_EBIT_15,MEAN,QUARTERLY_ROLL,2020/3F,45681,,,'')&lt;/Q&gt;&lt;R&gt;1&lt;/R&gt;&lt;C&gt;1&lt;/C&gt;&lt;D xsi:type="xsd:double"&gt;4788&lt;/D&gt;&lt;/FQL&gt;&lt;FQL&gt;&lt;Q&gt;Ticker0024^FE_ESTIMATE(PRODLINE_EBIT_15,MEAN,QUARTERLY_ROLL,2020/2F,45681,,,'')&lt;/Q&gt;&lt;R&gt;1&lt;/R&gt;&lt;C&gt;1&lt;/C&gt;&lt;D xsi:type="xsd:double"&gt;5182&lt;/D&gt;&lt;/FQL&gt;&lt;FQL&gt;&lt;Q&gt;Ticker0024^FE_ESTIMATE(PRODLINE_EBIT_15,MEAN,QUARTERLY_ROLL,2020/1F,45681,,,'')&lt;/Q&gt;&lt;R&gt;1&lt;/R&gt;&lt;C&gt;1&lt;/C&gt;&lt;D xsi:type="xsd:double"&gt;4782&lt;/D&gt;&lt;/FQL&gt;&lt;FQL&gt;&lt;Q&gt;Ticker0024^FE_ESTIMATE(PRODLINE_EBIT_15,MEAN,ANNUAL_ROLL,2019,45681,,,'')&lt;/Q&gt;&lt;R&gt;1&lt;/R&gt;&lt;C&gt;1&lt;/C&gt;&lt;D xsi:type="xsd:double"&gt;16219&lt;/D&gt;&lt;/FQL&gt;&lt;FQL&gt;&lt;Q&gt;Ticker0024^FE_ESTIMATE(PRODLINE_EBIT_15,MEAN,QUARTERLY_ROLL,2019/4F,45681,,,'')&lt;/Q&gt;&lt;R&gt;1&lt;/R&gt;&lt;C&gt;1&lt;/C&gt;&lt;D xsi:type="xsd:double"&gt;4344&lt;/D&gt;&lt;/FQL&gt;&lt;FQL&gt;&lt;Q&gt;Ticker0024^FE_ESTIMATE(PRODLINE_EBIT_15,MEAN,QUARTERLY_ROLL,2019/3F,45681,,,'')&lt;/Q&gt;&lt;R&gt;1&lt;/R&gt;&lt;C&gt;1&lt;/C&gt;&lt;D xsi:type="xsd:double"&gt;3979&lt;/D&gt;&lt;/FQL&gt;&lt;FQL&gt;&lt;Q&gt;Ticker0024^FE_ESTIMATE(PRODLINE_EBIT_15,MEAN,QUARTERLY_ROLL,2019/2F,45681,,,'')&lt;/Q&gt;&lt;R&gt;1&lt;/R&gt;&lt;C&gt;1&lt;/C&gt;&lt;D xsi:type="xsd:double"&gt;4013.75&lt;/D&gt;&lt;/FQL&gt;&lt;FQL&gt;&lt;Q&gt;Ticker0024^FE_ESTIMATE(PRODLINE_EBIT_15,MEAN,QUARTERLY_ROLL,2019/1F,45681,,,'')&lt;/Q&gt;&lt;R&gt;1&lt;/R&gt;&lt;C&gt;1&lt;/C&gt;&lt;D xsi:type="xsd:double"&gt;3881&lt;/D&gt;&lt;/FQL&gt;&lt;FQL&gt;&lt;Q&gt;Ticker0024^FE_ESTIMATE(PRODLINE_EBIT_15,MEAN,ANNUAL_ROLL,2018,45681,,,'')&lt;/Q&gt;&lt;R&gt;1&lt;/R&gt;&lt;C&gt;1&lt;/C&gt;&lt;D xsi:type="xsd:double"&gt;12924&lt;/D&gt;&lt;/FQL&gt;&lt;FQL&gt;&lt;Q&gt;Ticker0024^FE_ESTIMATE(PRODLINE_EBIT_15,MEAN,QUARTERLY_ROLL,2018/4F,45681,,,'')&lt;/Q&gt;&lt;R&gt;1&lt;/R&gt;&lt;C&gt;1&lt;/C&gt;&lt;D xsi:type="xsd:double"&gt;3466&lt;/D&gt;&lt;/FQL&gt;&lt;FQL&gt;&lt;Q&gt;Ticker0024^FE_ESTIMATE(PRODLINE_EBIT_15,MEAN,QUARTERLY_ROLL,2018/3F,45681,,,'')&lt;/Q&gt;&lt;R&gt;1&lt;/R&gt;&lt;C&gt;1&lt;/C&gt;&lt;D xsi:type="xsd:double"&gt;3115&lt;/D&gt;&lt;/FQL&gt;&lt;FQL&gt;&lt;Q&gt;Ticker0024^FE_ESTIMATE(PRODLINE_EBIT_15,MEAN,QUARTERLY_ROLL,2018/2F,45681,,,'')&lt;/Q&gt;&lt;R&gt;1&lt;/R&gt;&lt;C&gt;1&lt;/C&gt;&lt;D xsi:type="xsd:double"&gt;3337&lt;/D&gt;&lt;/FQL&gt;&lt;FQL&gt;&lt;Q&gt;Ticker0024^FE_ESTIMATE(PRODLINE_EBIT_15,MEAN,QUARTERLY_ROLL,2018/1F,45681,,,'')&lt;/Q&gt;&lt;R&gt;1&lt;/R&gt;&lt;C&gt;1&lt;/C&gt;&lt;D xsi:type="xsd:double"&gt;3006&lt;/D&gt;&lt;/FQL&gt;&lt;FQL&gt;&lt;Q&gt;Ticker0024^FE_ESTIMATE(PRODLINE_EBIT_15,MEAN,ANNUAL_ROLL,2017,45681,,,'')&lt;/Q&gt;&lt;R&gt;1&lt;/R&gt;&lt;C&gt;1&lt;/C&gt;&lt;D xsi:type="xsd:double"&gt;11913&lt;/D&gt;&lt;/FQL&gt;&lt;FQL&gt;&lt;Q&gt;Ticker0024^FE_ESTIMATE(PRODLINE_EBIT_15,MEAN,QUARTERLY_ROLL,2017/4F,45681,,,'')&lt;/Q&gt;&lt;R&gt;1&lt;/R&gt;&lt;C&gt;1&lt;/C&gt;&lt;D xsi:type="xsd:double"&gt;2754&lt;/D&gt;&lt;/FQL&gt;&lt;FQL&gt;&lt;Q&gt;Ticker0024^FE_ESTIMATE(PRODLINE_EBIT_15,MEAN,QUARTERLY_ROLL,2017/3F,45681,,,'')&lt;/Q&gt;&lt;R&gt;1&lt;/R&gt;&lt;C&gt;1&lt;/C&gt;&lt;D xsi:type="xsd:double"&gt;2783&lt;/D&gt;&lt;/FQL&gt;&lt;FQL&gt;&lt;Q&gt;Ticker0024^FE_ESTIMATE(PRODLINE_EBIT_15,MEAN,QUARTERLY_ROLL,2017/2F,45681,,,'')&lt;/Q&gt;&lt;R&gt;1&lt;/R&gt;&lt;C&gt;1&lt;/C&gt;&lt;D xsi:type="xsd:double"&gt;3256&lt;/D&gt;&lt;/FQL&gt;&lt;FQL&gt;&lt;Q&gt;Ticker0024^FE_ESTIMATE(PRODLINE_EBIT_15,MEAN,QUARTERLY_ROLL,2017/1F,45681,,,'')&lt;/Q&gt;&lt;R&gt;1&lt;/R&gt;&lt;C&gt;1&lt;/C&gt;&lt;D xsi:type="xsd:double"&gt;3120&lt;/D&gt;&lt;/FQL&gt;&lt;FQL&gt;&lt;Q&gt;Ticker0024^FE_ESTIMATE(PRODLINE_EBIT_15,MEAN,ANNUAL_ROLL,2016,45681,,,'')&lt;/Q&gt;&lt;R&gt;1&lt;/R&gt;&lt;C&gt;1&lt;/C&gt;&lt;D xsi:type="xsd:double"&gt;12429&lt;/D&gt;&lt;/FQL&gt;&lt;FQL&gt;&lt;Q&gt;Ticker0024^FE_ESTIMATE(PRODLINE_EBIT_15,MEAN,QUARTERLY_ROLL,2016/4F,45681,,,'')&lt;/Q&gt;&lt;R&gt;1&lt;/R&gt;&lt;C&gt;1&lt;/C&gt;&lt;D xsi:type="xsd:double"&gt;3000&lt;/D&gt;&lt;/FQL&gt;&lt;FQL&gt;&lt;Q&gt;Ticker0024^FE_ESTIMATE(PRODLINE_EBIT_15,MEAN,QUARTERLY_ROLL,2016/3F,45681,,,'')&lt;/Q&gt;&lt;R&gt;1&lt;/R&gt;&lt;C&gt;1&lt;/C&gt;&lt;D xsi:type="xsd:double"&gt;2994&lt;/D&gt;&lt;/FQL&gt;&lt;FQL&gt;&lt;Q&gt;Ticker0024^FE_ESTIMATE(PRODLINE_EBIT_15,MEAN,QUARTERLY_ROLL,2016/2F,45681,,,'')&lt;/Q&gt;&lt;R&gt;0&lt;/R&gt;&lt;C&gt;0&lt;/C&gt;&lt;/FQL&gt;&lt;FQL&gt;&lt;Q&gt;Ticker0024^FE_ESTIMATE(PRODLINE_EBIT_15,MEAN,QUARTERLY_ROLL,2016/1F,45681,,,'')&lt;/Q&gt;&lt;R&gt;0&lt;/R&gt;&lt;C&gt;0&lt;/C&gt;&lt;/FQL&gt;&lt;FQL&gt;&lt;Q&gt;Ticker0024^FE_ESTIMATE(PRODLINE_EBIT_15,MEAN,ANNUAL_ROLL,2015,45681,,,'')&lt;/Q&gt;&lt;R&gt;0&lt;/R&gt;&lt;C&gt;0&lt;/C&gt;&lt;/FQL&gt;&lt;FQL&gt;&lt;Q&gt;Ticker0024^FE_ESTIMATE(PRODLINE_EBIT_15,MEAN,QUARTERLY_ROLL,2015/4F,45681,,,'')&lt;/Q&gt;&lt;R&gt;0&lt;/R&gt;&lt;C&gt;0&lt;/C&gt;&lt;/FQL&gt;&lt;FQL&gt;&lt;Q&gt;Ticker0024^FE_ESTIMATE(PRODLINE_EBIT_15,MEAN,QUARTERLY_ROLL,2015/3F,45681,,,'')&lt;/Q&gt;&lt;R&gt;0&lt;/R&gt;&lt;C&gt;0&lt;/C&gt;&lt;/FQL&gt;&lt;FQL&gt;&lt;Q&gt;Ticker0024^FE_ESTIMATE(PRODLINE_EBIT_15,MEAN,QUARTERLY_ROLL,2015/2F,45681,,,'')&lt;/Q&gt;&lt;R&gt;0&lt;/R&gt;&lt;C&gt;0&lt;/C&gt;&lt;/FQL&gt;&lt;FQL&gt;&lt;Q&gt;Ticker0024^FE_ESTIMATE(PRODLINE_EBIT_15,MEAN,QUARTERLY_ROLL,2015/1F,45681,,,'')&lt;/Q&gt;&lt;R&gt;0&lt;/R&gt;&lt;C&gt;0&lt;/C&gt;&lt;/FQL&gt;&lt;FQL&gt;&lt;Q&gt;Ticker0024^FE_ESTIMATE(GROSSINCOME,MEAN,ANNUAL_ROLL,2030,45681,,,'')&lt;/Q&gt;&lt;R&gt;0&lt;/R&gt;&lt;C&gt;0&lt;/C&gt;&lt;/FQL&gt;&lt;FQL&gt;&lt;Q&gt;Ticker0024^FE_ESTIMATE(GROSSINCOME,MEAN,QUARTERLY_ROLL,2030/4F,45681,,,'')&lt;/Q&gt;&lt;R&gt;0&lt;/R&gt;&lt;C&gt;0&lt;/C&gt;&lt;/FQL&gt;&lt;FQL&gt;&lt;Q&gt;Ticker0024^FE_ESTIMATE(GROSSINCOME,MEAN,QUARTERLY_ROLL,2030/3F,45681,,,'')&lt;/Q&gt;&lt;R&gt;0&lt;/R&gt;&lt;C&gt;0&lt;/C&gt;&lt;/FQL&gt;&lt;FQL&gt;&lt;Q&gt;Ticker0024^FE_ESTIMATE(GROSSINCOME,MEAN,QUARTERLY_ROLL,2030/2F,45681,,,'')&lt;/Q&gt;&lt;R&gt;0&lt;/R&gt;&lt;C&gt;0&lt;/C&gt;&lt;/FQL&gt;&lt;FQL&gt;&lt;Q&gt;Ticker0024^FE_ESTIMATE(GROSSINCOME,MEAN,QUARTERLY_ROLL,2030/1F,45681,,,'')&lt;/Q&gt;&lt;R&gt;0&lt;/R&gt;&lt;C&gt;0&lt;/C&gt;&lt;/FQL&gt;&lt;FQL&gt;&lt;Q&gt;Ticker0024^FE_ESTIMATE(GROSSINCOME,MEAN,ANNUAL_ROLL,2029,45681,,,'')&lt;/Q&gt;&lt;R&gt;1&lt;/R&gt;&lt;C&gt;1&lt;/C&gt;&lt;D xsi:type="xsd:double"&gt;322996.3&lt;/D&gt;&lt;/FQL&gt;&lt;FQL&gt;&lt;Q&gt;Ticker0024^FE_ESTIMATE(GROSSINCOME,MEAN,QUARTERLY_ROLL,2029/4F,45681,,,'')&lt;/Q&gt;&lt;R&gt;0&lt;/R&gt;&lt;C&gt;0&lt;/C&gt;&lt;/FQL&gt;&lt;FQL&gt;&lt;Q&gt;Ticker0024^FE_ESTIMATE(GROSSINCOME,MEAN,QUARTERLY_ROLL,2029/3F,45681,,,'')&lt;/Q&gt;&lt;R&gt;0&lt;/R&gt;&lt;C&gt;0&lt;/C&gt;&lt;/FQL&gt;&lt;FQL&gt;&lt;Q&gt;Ticker0024^FE_ESTIMATE(GROSSINCOME,MEAN,QUARTERLY_ROLL,2029/2F,45681,,,'')&lt;/Q&gt;&lt;R&gt;0&lt;/R&gt;&lt;C&gt;0&lt;/C&gt;&lt;/FQL&gt;&lt;FQL&gt;&lt;Q&gt;Ticker0024^FE_ESTIMATE(GROSSINCOME,MEAN,QUARTERLY_ROLL,2029/1F,45681,,,'')&lt;/Q&gt;&lt;R&gt;0&lt;/R&gt;&lt;C&gt;0&lt;/C&gt;&lt;/FQL&gt;&lt;FQL&gt;&lt;Q&gt;Ticker0024^FE_ESTIMATE(GROSSINCOME,MEAN,ANNUAL_ROLL,2028,45681,,,'')&lt;/Q&gt;&lt;R&gt;1&lt;/R&gt;&lt;C&gt;1&lt;/C&gt;&lt;D xsi:type="xsd:double"&gt;275915.94&lt;/D&gt;&lt;/FQL&gt;&lt;FQL&gt;&lt;Q&gt;Ticker0024^FE_ESTIMATE(GROSSINCOME,MEAN,QUARTERLY_ROLL,2028/4F,45681,,,'')&lt;/Q&gt;&lt;R&gt;0&lt;/R&gt;&lt;C&gt;0&lt;/C&gt;&lt;/FQL&gt;&lt;FQL&gt;&lt;Q&gt;Ticker0024^FE_ESTIMATE(GROSSINCOME,MEAN,QUARTERLY_ROLL,2028/3F,45681,,,'')&lt;/Q&gt;&lt;R&gt;0&lt;/R&gt;&lt;C&gt;0&lt;/C&gt;&lt;/FQL&gt;&lt;FQL&gt;&lt;Q&gt;Ticker0024^FE_ESTIMATE(GROSSINCOME,MEAN,QUARTERLY_ROLL,2028/2F,45681,,,'')&lt;/Q&gt;&lt;R&gt;0&lt;/R&gt;&lt;C&gt;0&lt;/C&gt;&lt;/FQL&gt;&lt;FQL&gt;&lt;Q&gt;Ticker0024^FE_ESTIMATE(GROSSINCOME,MEAN,QUARTERLY_ROLL,2028/1F,45681,,,'')&lt;/Q&gt;&lt;R&gt;0&lt;/R&gt;&lt;C&gt;0&lt;/C&gt;&lt;/FQL&gt;&lt;FQL&gt;&lt;Q&gt;Ticker0024^FE_ESTIMATE(GROSSINCOME,MEAN,ANNUAL_ROLL,2027,45681,,,'')&lt;/Q&gt;&lt;R&gt;1&lt;/R&gt;&lt;C&gt;1&lt;/C&gt;&lt;D xsi:type="xsd:double"&gt;245317.17&lt;/D&gt;&lt;/FQL&gt;&lt;FQL&gt;&lt;Q&gt;Ticker0024^FE_ESTIMATE(GROSSINCOME,MEAN,QUARTERLY_ROLL,2027/4F,45681,,,'')&lt;/Q&gt;&lt;R&gt;1&lt;/R&gt;&lt;C&gt;1&lt;/C&gt;&lt;D xsi:type="xsd:double"&gt;65480&lt;/D&gt;&lt;/FQL&gt;&lt;FQL&gt;&lt;Q&gt;Ticker0024^FE_ESTIMATE(GROSSINCOME,MEAN,QUARTERLY_ROLL,2027/3F,45681,,,'')&lt;/Q&gt;&lt;R&gt;1&lt;/R&gt;&lt;C&gt;1&lt;/C&gt;&lt;D xsi:type="xsd:double"&gt;61352&lt;/D&gt;&lt;/FQL&gt;&lt;FQL&gt;&lt;Q&gt;Ticker0024^FE_ESTIMATE(GROSSINCOME,MEAN,QUARTERLY_ROLL,2027/2F,45681,,,'')&lt;/Q&gt;&lt;R&gt;1&lt;/R&gt;&lt;C&gt;1&lt;/C&gt;&lt;D xsi:type="xsd:double"&gt;62221.5&lt;/D&gt;&lt;/FQL&gt;&lt;FQL&gt;&lt;Q&gt;Ticker0024^FE_ESTIMATE(GROSSINCOME,MEAN,QUARTERLY_ROLL,2027/1F,45681,,,'')&lt;/Q&gt;&lt;R&gt;1&lt;/R&gt;&lt;C&gt;1&lt;/C&gt;&lt;D xsi:type="xsd:double"&gt;58114.5&lt;/D&gt;&lt;/FQL&gt;&lt;FQL&gt;&lt;Q&gt;Ticker0024^FE_ESTIMATE(GROSSINCOME,MEAN,ANNUAL_ROLL,2026,45681,,,'')&lt;/Q&gt;&lt;R&gt;1&lt;/R&gt;&lt;C&gt;1&lt;/C&gt;&lt;D xsi:type="xsd:double"&gt;214494.95&lt;/D&gt;&lt;/FQL&gt;&lt;FQL&gt;&lt;Q&gt;Ticker0024^FE_ESTIMATE(GROSSINCOME,MEAN,QUARTERLY_ROLL,2026/4F,45681,,,'')&lt;/Q&gt;&lt;R&gt;1&lt;/R&gt;&lt;C&gt;1&lt;/C&gt;&lt;D xsi:type="xsd:double"&gt;56597.734&lt;/D&gt;&lt;/FQL&gt;&lt;FQL&gt;&lt;Q&gt;Ticker0024^FE_ESTIMATE(GROSSINCOME,MEAN,QUARTERLY_ROLL,2026/3F,45681,,,'')&lt;/Q&gt;&lt;R&gt;1&lt;/R&gt;&lt;C&gt;1&lt;/C&gt;&lt;D xsi:type="xsd:double"&gt;53919.22&lt;/D&gt;&lt;/FQL&gt;&lt;FQL&gt;&lt;Q&gt;Ticker0024^FE_ESTIMATE(GROSSINCOME,MEAN,QUARTERLY_ROLL,2026/2F,45681,,,'')&lt;/Q&gt;&lt;R&gt;1&lt;/R&gt;&lt;C&gt;1&lt;/C&gt;&lt;D xsi:type="xsd:double"&gt;52572.02&lt;/D&gt;&lt;/FQL&gt;&lt;FQL&gt;&lt;Q&gt;Ticker0024^FE_ESTIMATE(GROSSINCOME,MEAN,QUARTERLY_ROLL,2026/1F,45681,,,'')&lt;/Q&gt;&lt;R&gt;1&lt;/R&gt;&lt;C&gt;1&lt;/C&gt;&lt;D xsi:type="xsd:double"&gt;50596.945&lt;/D&gt;&lt;/FQL&gt;&lt;FQL&gt;&lt;Q&gt;Ticker0024^FE_ESTIMATE(GROSSINCOME,MEAN,ANNUAL_ROLL,2025,45681,,,'')&lt;/Q&gt;&lt;R&gt;1&lt;/R&gt;&lt;C&gt;1&lt;/C&gt;&lt;D xsi:type="xsd:double"&gt;190060.08&lt;/D&gt;&lt;/FQL&gt;&lt;FQL&gt;&lt;Q&gt;Ticker0024^FE_ESTIMATE(GROSSINCOME,MEAN,QUARTERLY_ROLL,2025/4F,45681,,,'')&lt;/Q&gt;&lt;R&gt;1&lt;/R&gt;&lt;C&gt;1&lt;/C&gt;&lt;D xsi:type="xsd:double"&gt;49916.32&lt;/D&gt;&lt;/FQL&gt;&lt;FQL&gt;&lt;Q&gt;Ticker0024^FE_ESTIMATE(GROSSINCOME,MEAN,QUARTERLY_ROLL,2025/3F,45681,,,'')&lt;/Q&gt;&lt;R&gt;1&lt;/R&gt;&lt;C&gt;1&lt;/C&gt;&lt;D xsi:type="xsd:double"&gt;47580.023&lt;/D&gt;&lt;/FQL&gt;&lt;FQL&gt;&lt;Q&gt;Ticker0024^FE_ESTIMATE(GROSSINCOME,MEAN,QUARTERLY_ROLL,2025/2F,45681,,,'')&lt;/Q&gt;&lt;R&gt;1&lt;/R&gt;&lt;C&gt;1&lt;/C&gt;&lt;D xsi:type="xsd:double"&gt;46859.79&lt;/D&gt;&lt;/FQL&gt;&lt;FQL&gt;&lt;Q&gt;Ticker0024^FE_ESTIMATE(GROSSINCOME,MEAN,QUARTERLY_ROLL,2025/1F,45681,,,'')&lt;/Q&gt;&lt;R&gt;1&lt;/R&gt;&lt;C&gt;1&lt;/C&gt;&lt;D xsi:type="xsd:double"&gt;45486.668&lt;/D&gt;&lt;/FQL&gt;&lt;FQL&gt;&lt;Q&gt;Ticker0024^FE_ESTIMATE(GROSSINCOME,MEAN,ANNUAL_ROLL,2024,45681,,,'')&lt;/Q&gt;&lt;R&gt;1&lt;/R&gt;&lt;C&gt;1&lt;/C&gt;&lt;D xsi:type="xsd:double"&gt;171008.06&lt;/D&gt;&lt;/FQL&gt;&lt;FQL&gt;&lt;Q&gt;Ticker0024^FE_ESTIMATE(GROSSINCOME,MEAN,QUARTERLY_ROLL,2024/4F,45681,,,'')&lt;/Q&gt;&lt;R&gt;1&lt;/R&gt;&lt;C&gt;1&lt;/C&gt;&lt;D xsi:type="xsd:double"&gt;45041.355&lt;/D&gt;&lt;/FQL&gt;&lt;FQL&gt;&lt;Q&gt;Ticker0024^FE_ESTIMATE(GROSSINCOME,MEAN,QUARTERLY_ROLL,2024/3F,45681,,,'')&lt;/Q&gt;&lt;R&gt;1&lt;/R&gt;&lt;C&gt;1&lt;/C&gt;&lt;D xsi:type="xsd:double"&gt;43354.293&lt;/D&gt;&lt;/FQL&gt;&lt;FQL&gt;&lt;Q&gt;Ticker0024^FE_ESTIMATE(GROSSINCOME,MEAN,QUARTERLY_ROLL,2024/2F,45681,,,'')&lt;/Q&gt;&lt;R&gt;1&lt;/R&gt;&lt;C&gt;1&lt;/C&gt;&lt;D xsi:type="xsd:double"&gt;42397.1&lt;/D&gt;&lt;/FQL&gt;&lt;FQL&gt;&lt;Q&gt;Ticker0024^FE_ESTIMATE(GROSSINCOME,MEAN,QUARTERLY_ROLL,2024/1F,45681,,,'')&lt;/Q&gt;&lt;R&gt;1&lt;/R&gt;&lt;C&gt;1&lt;/C&gt;&lt;D xsi:type="xsd:double"&gt;40215.17&lt;/D&gt;&lt;/FQL&gt;&lt;FQL&gt;&lt;Q&gt;Ticker0024^FE_ESTIMATE(GROSSINCOME,MEAN,ANNUAL_ROLL,2023,45681,,,'')&lt;/Q&gt;&lt;R&gt;1&lt;/R&gt;&lt;C&gt;1&lt;/C&gt;&lt;D xsi:type="xsd:double"&gt;146082.89&lt;/D&gt;&lt;/FQL&gt;&lt;FQL&gt;&lt;Q&gt;Ticker0024^FE_ESTIMATE(GROSSINCOME,MEAN,QUARTERLY_ROLL,2023/4F,45681,,,'')&lt;/Q&gt;&lt;R&gt;1&lt;/R&gt;&lt;C&gt;1&lt;/C&gt;&lt;D xsi:type="xsd:double"&gt;39388&lt;/D&gt;&lt;/FQL&gt;&lt;FQL&gt;&lt;Q&gt;Ticker0024^FE_ESTIMATE(GROSSINCOME,MEAN,QUARTERLY_ROLL,2023/3F,45681,,,'')&lt;/Q&gt;&lt;R&gt;1&lt;/R&gt;&lt;C&gt;1&lt;/C&gt;&lt;D xsi:type="xsd:double"&gt;36729.035&lt;/D&gt;&lt;/FQL&gt;&lt;FQL&gt;&lt;Q&gt;Ticker0024^FE_ESTIMATE(GROSSINCOME,MEAN,QUARTERLY_ROLL,2023/2F,45681,,,'')&lt;/Q&gt;&lt;R&gt;1&lt;/R&gt;&lt;C&gt;1&lt;/C&gt;&lt;D xsi:type="xsd:double"&gt;35294.117&lt;/D&gt;&lt;/FQL&gt;&lt;FQL&gt;&lt;Q&gt;Ticker0024^FE_ESTIMATE(GROSSINCOME,MEAN,QUARTERLY_ROLL,2023/1F,45681,,,'')&lt;/Q&gt;&lt;R&gt;1&lt;/R&gt;&lt;C&gt;1&lt;/C&gt;&lt;D xsi:type="xsd:double"&gt;34670&lt;/D&gt;&lt;/FQL&gt;&lt;FQL&gt;&lt;Q&gt;Ticker0024^FE_ESTIMATE(GROSSINCOME,MEAN,ANNUAL_ROLL,2022,45681,,,'')&lt;/Q&gt;&lt;R&gt;1&lt;/R&gt;&lt;C&gt;1&lt;/C&gt;&lt;D xsi:type="xsd:double"&gt;135605.53&lt;/D&gt;&lt;/FQL&gt;&lt;FQL&gt;&lt;Q&gt;Ticker0024^FE_ESTIMATE(GROSSINCOME,MEAN,QUARTERLY_ROLL,2022/4F,45681,,,'')&lt;/Q&gt;&lt;R&gt;1&lt;/R&gt;&lt;C&gt;1&lt;/C&gt;&lt;D xsi:type="xsd:double"&gt;35436&lt;/D&gt;&lt;/FQL&gt;&lt;FQL&gt;&lt;Q&gt;Ticker0024^FE_ESTIMATE(GROSSINCOME,MEAN,QUARTERLY_ROLL,2022/3F,45681,,,'')&lt;/Q&gt;&lt;R&gt;1&lt;/R&gt;&lt;C&gt;1&lt;/C&gt;&lt;D xsi:type="xsd:double"&gt;33744.957&lt;/D&gt;&lt;/FQL&gt;&lt;FQL&gt;&lt;Q&gt;Ticker0024^FE_ESTIMATE(GROSSINCOME,MEAN,QUARTERLY_ROLL,2022/2F,45681,,,'')&lt;/Q&gt;&lt;R&gt;1&lt;/R&gt;&lt;C&gt;1&lt;/C&gt;&lt;D xsi:type="xsd:double"&gt;34768&lt;/D&gt;&lt;/FQL&gt;&lt;FQL&gt;&lt;Q&gt;Ticker0024^FE_ESTIMATE(GROSSINCOME,MEAN,QUARTERLY_ROLL,2022/1F,45681,,,'')&lt;/Q&gt;&lt;R&gt;1&lt;/R&gt;&lt;C&gt;1&lt;/C&gt;&lt;D xsi:type="xsd:double"&gt;31671&lt;/D&gt;&lt;/FQL&gt;&lt;FQL&gt;&lt;Q&gt;Ticker0024^FE_ESTIMATE(GROSSINCOME,MEAN,ANNUAL_ROLL,2021,45681,,,'')&lt;/Q&gt;&lt;R&gt;1&lt;/R&gt;&lt;C&gt;1&lt;/C&gt;&lt;D xsi:type="xsd:double"&gt;115856.59&lt;/D&gt;&lt;/FQL&gt;&lt;FQL&gt;&lt;Q&gt;Ticker0024^FE_ESTIMATE(GROSSINCOME,MEAN,QUARTERLY_ROLL,2021/4F,45681,,,'')&lt;/Q&gt;&lt;R&gt;1&lt;/R&gt;&lt;C&gt;1&lt;/C&gt;&lt;D xsi:type="xsd:double"&gt;32161&lt;/D&gt;&lt;/FQL&gt;&lt;FQL&gt;&lt;Q&gt;Ticker0024^FE_ESTIMATE(GROSSINCOME,MEAN,QUARTERLY_ROLL,2021/3F,45681,,,'')&lt;/Q&gt;&lt;R&gt;1&lt;/R&gt;&lt;C&gt;1&lt;/C&gt;&lt;D xsi:type="xsd:double"&gt;28661&lt;/D&gt;&lt;/FQL&gt;&lt;FQL&gt;&lt;Q&gt;Ticker0024^FE_ESTIMATE(GROSSINCOME,MEAN,QUARTERLY_ROLL,2021/2F,45681,,,'')&lt;/Q&gt;&lt;R&gt;1&lt;/R&gt;&lt;C&gt;1&lt;/C&gt;&lt;D xsi:type="xsd:double"&gt;28882&lt;/D&gt;&lt;/FQL&gt;&lt;FQL&gt;&lt;Q&gt;Ticker0024^FE_ESTIMATE(GROSSINCOME,MEAN,QUARTERLY_ROLL,2021/1F,45681,,,'')&lt;/Q&gt;&lt;R&gt;1&lt;/R&gt;&lt;C&gt;1&lt;/C&gt;&lt;D xsi:type="xsd:double"&gt;26152&lt;/D&gt;&lt;/FQL&gt;&lt;FQL&gt;&lt;Q&gt;Ticker0024^FE_ESTIMATE(GROSSINCOME,MEAN,ANNUAL_ROLL,2020,45681,,,'')&lt;/Q&gt;&lt;R&gt;1&lt;/R&gt;&lt;C&gt;1&lt;/C&gt;&lt;D xsi:type="xsd:double"&gt;96940.4&lt;/D&gt;&lt;/FQL&gt;&lt;FQL&gt;&lt;Q&gt;Ticker0024^FE_ESTIMATE(GROSSINCOME,MEAN,QUARTERLY_ROLL,2020/4F,45681,,,'')&lt;/Q&gt;&lt;R&gt;1&lt;/R&gt;&lt;C&gt;1&lt;/C&gt;&lt;D xsi:type="xsd:double"&gt;25698.295&lt;/D&gt;&lt;/FQL&gt;&lt;FQL&gt;&lt;Q&gt;Ticker0024^FE_ESTIMATE(GROSSINCOME,MEAN,QUARTERLY_ROLL,2020/3F,45681,,,'')&lt;/Q&gt;&lt;R&gt;1&lt;/R&gt;&lt;C&gt;1&lt;/C&gt;&lt;D xsi:type="xsd:double"&gt;24046&lt;/D&gt;&lt;/FQL&gt;&lt;FQL&gt;&lt;Q&gt;Ticker0024^FE_ESTIMATE(GROSSINCOME,MEAN,QUARTERLY_ROLL,2020/2F,45681,,,'')&lt;/Q&gt;&lt;R&gt;1&lt;/R&gt;&lt;C&gt;1&lt;/C&gt;&lt;D xsi:type="xsd:double"&gt;24548&lt;/D&gt;&lt;/FQL&gt;&lt;FQL&gt;&lt;Q&gt;Ticker0024^FE_ESTIMATE(GROSSINCOME,MEAN,QUARTERLY_ROLL,2020/1F,45681,,,'')&lt;/Q&gt;&lt;R&gt;1&lt;/R&gt;&lt;C&gt;1&lt;/C&gt;&lt;D xsi:type="xsd:double"&gt;22649&lt;/D&gt;&lt;/FQL&gt;&lt;FQL&gt;&lt;Q&gt;Ticker0024^FE_ESTIMATE(GROSSINCOME,MEAN,ANNUAL_ROLL,2019,45681,,,'')&lt;/Q&gt;&lt;R&gt;1&lt;/R&gt;&lt;C&gt;1&lt;/C&gt;&lt;D xsi:type="xsd:double"&gt;82959.15&lt;/D&gt;&lt;/FQL&gt;&lt;FQL&gt;&lt;Q&gt;Ticker0024^FE_ESTIMATE(GROSSINCOME,MEAN,QUARTERLY_ROLL,2019/4F,45681,,,'')&lt;/Q&gt;&lt;R&gt;1&lt;/R&gt;&lt;C&gt;1&lt;/C&gt;&lt;D xsi:type="xsd:double"&gt;23317.578&lt;/D&gt;&lt;/FQL&gt;&lt;FQL&gt;&lt;Q&gt;Ticker0024^FE_ESTIMATE(GROSSINCOME,MEAN,QUARTERLY_ROLL,2019/3F,45681,,,'')&lt;/Q&gt;&lt;R&gt;1&lt;/R&gt;&lt;C&gt;1&lt;/C&gt;&lt;D xsi:type="xsd:double"&gt;20416&lt;/D&gt;&lt;/FQL&gt;&lt;FQL&gt;&lt;Q&gt;Ticker0024^FE_ESTIMATE(GROSSINCOME,MEAN,QUARTERLY_ROLL,2019/2F,45681,,,'')&lt;/Q&gt;&lt;R&gt;1&lt;/R&gt;&lt;C&gt;1&lt;/C&gt;&lt;D xsi:type="xsd:double"&gt;20048&lt;/D&gt;&lt;/FQL&gt;&lt;FQL&gt;&lt;Q&gt;Ticker0024^FE_ESTIMATE(GROSSINCOME,MEAN,QUARTERLY_ROLL,2019/1F,45681,,,'')&lt;/Q&gt;&lt;R&gt;1&lt;/R&gt;&lt;C&gt;1&lt;/C&gt;&lt;D xsi:type="xsd:double"&gt;19179&lt;/D&gt;&lt;/FQL&gt;&lt;FQL&gt;&lt;Q&gt;Ticker0024^FE_ESTIMATE(GROSSINCOME,MEAN,ANNUAL_ROLL,2018,45681,,,'')&lt;/Q&gt;&lt;R&gt;1&lt;/R&gt;&lt;C&gt;1&lt;/C&gt;&lt;D xsi:type="xsd:double"&gt;71970.336&lt;/D&gt;&lt;/FQL&gt;&lt;FQL&gt;&lt;Q&gt;Ticker0024^FE_ESTIMATE(GROSSINCOME,MEAN,QUARTERLY_ROLL,2018/4F,45681,,,'')&lt;/Q&gt;&lt;R&gt;1&lt;/R&gt;&lt;C&gt;1&lt;/C&gt;&lt;D xsi:type="xsd:double"&gt;20296.684&lt;/D&gt;&lt;/FQL&gt;&lt;FQL&gt;&lt;Q&gt;Ticker0024^FE_ESTIMATE(GROSSINCOME,MEAN,QUARTERLY_ROLL,2018/3F,45681,,,'')&lt;/Q&gt;&lt;R&gt;1&lt;/R&gt;&lt;C&gt;1&lt;/C&gt;&lt;D xsi:type="xsd:double"&gt;17550&lt;/D&gt;&lt;/FQL&gt;&lt;FQL&gt;&lt;Q&gt;Ticker0024^FE_ESTIMATE(GROSSINCOME,MEAN,QUARTERLY_ROLL,2018/2F,45681,,,'')&lt;/Q&gt;&lt;R&gt;1&lt;/R&gt;&lt;C&gt;1&lt;/C&gt;&lt;D xsi:type="xsd:double"&gt;17854&lt;/D&gt;&lt;/FQL&gt;&lt;FQL&gt;&lt;Q&gt;Ticker0024^FE_ESTIMATE(GROSSINCOME,MEAN,QUARTERLY_ROLL,2018/1F,45681,,,'')&lt;/Q&gt;&lt;R&gt;1&lt;/R&gt;&lt;C&gt;1&lt;/C&gt;&lt;D xsi:type="xsd:double"&gt;16264.4&lt;/D&gt;&lt;/FQL&gt;&lt;FQL&gt;&lt;Q&gt;Ticker0024^FE_ESTIMATE(GROSSINCOME,MEAN,ANNUAL_ROLL,2017,45681,,,'')&lt;/Q&gt;&lt;R&gt;1&lt;/R&gt;&lt;C&gt;1&lt;/C&gt;&lt;D xsi:type="xsd:double"&gt;62400.3&lt;/D&gt;&lt;/FQL&gt;&lt;FQL&gt;&lt;Q&gt;Ticker0024^FE_ESTIMATE(GROSSINCOME,MEAN,QUARTERLY_ROLL,2017/4F,45681,,,'')&lt;/Q&gt;&lt;R&gt;1&lt;/R&gt;&lt;C&gt;1&lt;/C&gt;&lt;D xsi:type="xsd:double"&gt;16244&lt;/D&gt;&lt;/FQL&gt;&lt;FQL&gt;&lt;Q&gt;Ticker0024^FE_ESTIMATE(GROSSINCOME,MEAN,QUARTERLY_ROLL,2017/3F,45681,,,'')&lt;/Q&gt;&lt;R&gt;1&lt;/R&gt;&lt;C&gt;1&lt;/C&gt;&lt;D xsi:type="xsd:double"&gt;15497&lt;/D&gt;&lt;/FQL&gt;&lt;FQL&gt;&lt;Q&gt;Ticker0024^FE_ESTIMATE(GROSSINCOME,MEAN,QUARTERLY_ROLL,2017/2F,45681,,,'')&lt;/Q&gt;&lt;R&gt;1&lt;/R&gt;&lt;C&gt;1&lt;/C&gt;&lt;D xsi:type="xsd:double"&gt;15990.608&lt;/D&gt;&lt;/FQL&gt;&lt;FQL&gt;&lt;Q&gt;Ticker0024^FE_ESTIMATE(GROSSINCOME,MEAN,QUARTERLY_ROLL,2017/1F,45681,,,'')&lt;/Q&gt;&lt;R&gt;1&lt;/R&gt;&lt;C&gt;1&lt;/C&gt;&lt;D xsi:type="xsd:double"&gt;14317.286&lt;/D&gt;&lt;/FQL&gt;&lt;FQL&gt;&lt;Q&gt;Ticker0024^FE_ESTIMATE(GROSSINCOME,MEAN,ANNUAL_ROLL,2016,45681,,,'')&lt;/Q&gt;&lt;R&gt;1&lt;/R&gt;&lt;C&gt;1&lt;/C&gt;&lt;D xsi:type="xsd:double"&gt;59288.41&lt;/D&gt;&lt;/FQL&gt;&lt;FQL&gt;&lt;Q&gt;Ticker0024^FE_ESTIMATE(GROSSINCOME,MEAN,QUARTERLY_ROLL,2016/4F,45681,,,'')&lt;/Q&gt;&lt;R&gt;1&lt;/R&gt;&lt;C&gt;1&lt;/C&gt;&lt;D xsi:type="xsd:double"&gt;14663&lt;/D&gt;&lt;/FQL&gt;&lt;FQL&gt;&lt;Q&gt;Ticker0024^FE_ESTIMATE(GROSSINCOME,MEAN,QUARTERLY_ROLL,2016/3F,45681,,,'')&lt;/Q&gt;&lt;R&gt;1&lt;/R&gt;&lt;C&gt;1&lt;/C&gt;&lt;D xsi:type="xsd:double"&gt;14354&lt;/D&gt;&lt;/FQL&gt;&lt;FQL&gt;&lt;Q&gt;Ticker0024^FE_ESTIMATE(GROSSINCOME,MEAN,QUARTERLY_ROLL,2016/2F,45681,,,'')&lt;/Q&gt;&lt;R&gt;1&lt;/R&gt;&lt;C&gt;1&lt;/C&gt;&lt;D xsi:type="xsd:double"&gt;15821&lt;/D&gt;&lt;/FQL&gt;&lt;FQL&gt;&lt;Q&gt;Ticker0024^FE_ESTIMATE(GROSSINCOME,MEAN,QUARTERLY_ROLL,2016/1F,45681,,,'')&lt;/Q&gt;&lt;R&gt;1&lt;/R&gt;&lt;C&gt;1&lt;/C&gt;&lt;D xsi:type="xsd:double"&gt;14452.667&lt;/D&gt;&lt;/FQL&gt;&lt;FQL&gt;&lt;Q&gt;Ticker0024^FE_ESTIMATE(GROSSINCOME,MEAN,ANNUAL_ROLL,2015,45681,,,'')&lt;/Q&gt;&lt;R&gt;1&lt;/R&gt;&lt;C&gt;1&lt;/C&gt;&lt;D xsi:type="xsd:double"&gt;60542.086&lt;/D&gt;&lt;/FQL&gt;&lt;FQL&gt;&lt;Q&gt;Ticker0024^FE_ESTIMATE(GROSSINCOME,MEAN,QUARTERLY_ROLL,2015/4F,45681,,,'')&lt;/Q&gt;&lt;R&gt;1&lt;/R&gt;&lt;C&gt;1&lt;/C&gt;&lt;D xsi:type="xsd:double"&gt;14712&lt;/D&gt;&lt;/FQL&gt;&lt;FQL&gt;&lt;Q&gt;Ticker0024^FE_ESTIMATE(GROSSINCOME,MEAN,QUARTERLY_ROLL,2015/3F,45681,,,'')&lt;/Q&gt;&lt;R&gt;1&lt;/R&gt;&lt;C&gt;1&lt;/C&gt;&lt;D xsi:type="xsd:double"&gt;14571.714&lt;/D&gt;&lt;/FQL&gt;&lt;FQL&gt;&lt;Q&gt;Ticker0024^FE_ESTIMATE(GROSSINCOME,MEAN,QUARTERLY_ROLL,2015/2F,45681,,,'')&lt;/Q&gt;&lt;R&gt;1&lt;/R&gt;&lt;C&gt;1&lt;/C&gt;&lt;D xsi:type="xsd:double"&gt;16334&lt;/D&gt;&lt;/FQL&gt;&lt;FQL&gt;&lt;Q&gt;Ticker0024^FE_ESTIMATE(GROSSINCOME,MEAN,QUARTERLY_ROLL,2015/1F,45681,,,'')&lt;/Q&gt;&lt;R&gt;1&lt;/R&gt;&lt;C&gt;1&lt;/C&gt;&lt;D xsi:type="xsd:double"&gt;14928&lt;/D&gt;&lt;/FQL&gt;&lt;FQL&gt;&lt;Q&gt;Ticker0024^FE_ESTIMATE(SALES,MEAN,ANNUAL_ROLL,2030,45681,,,'')&lt;/Q&gt;&lt;R&gt;0&lt;/R&gt;&lt;C&gt;0&lt;/C&gt;&lt;/FQL&gt;&lt;FQL&gt;&lt;Q&gt;Ticker0024^FE_ESTIMATE(SALES,MEAN,QUARTERLY_ROLL,2030/4F,45681,,,'')&lt;/Q&gt;&lt;R&gt;0&lt;/R&gt;&lt;C&gt;0&lt;/C&gt;&lt;/FQL&gt;&lt;FQL&gt;&lt;Q&gt;Ticker0024^FE_ESTIMATE(SALES,MEAN,QUARTERLY_ROLL,2030/3F,45681,,,'')&lt;/Q&gt;&lt;R&gt;0&lt;/R&gt;&lt;C&gt;0&lt;/C&gt;&lt;/FQL&gt;&lt;FQL&gt;&lt;Q&gt;Ticker0024^FE_ESTIMATE(SALES,MEAN,QUARTERLY_ROLL,2030/2F,45681,,,'')&lt;/Q&gt;&lt;R&gt;0&lt;/R&gt;&lt;C&gt;0&lt;/C&gt;&lt;/FQL&gt;&lt;FQL&gt;&lt;Q&gt;Ticker0024^FE_ESTIMATE(SALES,MEAN,QUARTERLY_ROLL,2030/1F,45681,,,'')&lt;/Q&gt;&lt;R&gt;0&lt;/R&gt;&lt;C&gt;0&lt;/C&gt;&lt;/FQL&gt;&lt;FQL&gt;&lt;Q&gt;Ticker0024^FE_ESTIMATE(SALES,MEAN,ANNUAL_ROLL,2029,45681,,,'')&lt;/Q&gt;&lt;R&gt;1&lt;/R&gt;&lt;C&gt;1&lt;/C&gt;&lt;D xsi:type="xsd:double"&gt;475881.8&lt;/D&gt;&lt;/FQL&gt;&lt;FQL&gt;&lt;Q&gt;Ticker0024^FE_ESTIMATE(SALES,MEAN,QUARTERLY_ROLL,2029/4F,45681,,,'')&lt;/Q&gt;&lt;R&gt;0&lt;/R&gt;&lt;C&gt;0&lt;/C&gt;&lt;/FQL&gt;&lt;FQL&gt;&lt;Q&gt;Ticker0024^FE_ESTIMATE(SALES,MEAN,QUARTERLY_ROLL,2029/3F,45681,,,'')&lt;/Q&gt;&lt;R&gt;0&lt;/R&gt;&lt;C&gt;0&lt;/C&gt;&lt;/FQL&gt;&lt;FQL&gt;&lt;Q&gt;Ticker0024^FE_ESTIMATE(SALES,MEAN,QUARTERLY_ROLL,2029/2F,45681,,,'')&lt;/Q&gt;&lt;R&gt;0&lt;/R&gt;&lt;C&gt;0&lt;/C&gt;&lt;/FQL&gt;&lt;FQL&gt;&lt;Q&gt;Ticker0024^FE_ESTIMATE(SALES,MEAN,QUARTERLY_ROLL,2029/1F,45681,,,'')&lt;/Q&gt;&lt;R&gt;0&lt;/R&gt;&lt;C&gt;0&lt;/C&gt;&lt;/FQL&gt;&lt;FQL&gt;&lt;Q&gt;Ticker0024^FE_ESTIMATE(SALES,MEAN,ANNUAL_ROLL,2028,45681,,,'')&lt;/Q&gt;&lt;R&gt;1&lt;/R&gt;&lt;C&gt;1&lt;/C&gt;&lt;D xsi:type="xsd:double"&gt;419958.6&lt;/D&gt;&lt;/FQL&gt;&lt;FQL&gt;&lt;Q&gt;Ticker0024^FE_ESTIMATE(SALES,MEAN,QUARTERLY_ROLL,2028/4F,45681,,,'')&lt;/Q&gt;&lt;R&gt;0&lt;/R&gt;&lt;C&gt;0&lt;/C&gt;&lt;/FQL&gt;&lt;FQL&gt;&lt;Q&gt;Ticker0024^FE_ESTIMATE(SALES,MEAN,QUARTERLY_ROLL,2028/3F,45681,,,'')&lt;/Q&gt;&lt;R&gt;0&lt;/R&gt;&lt;C&gt;0&lt;/C&gt;&lt;/FQL&gt;&lt;FQL&gt;&lt;Q&gt;Ticker0024^FE_ESTIMATE(SALES,MEAN,QUARTERLY_ROLL,2028/2F,45681,,,'')&lt;/Q&gt;&lt;R&gt;0&lt;/R&gt;&lt;C&gt;0&lt;/C&gt;&lt;/FQL&gt;&lt;FQL&gt;&lt;Q&gt;Ticker0024^FE_ESTIMATE(SALES,MEAN,QUARTERLY_ROLL,2028/1F,45681,,,'')&lt;/Q&gt;&lt;R&gt;0&lt;/R&gt;&lt;C&gt;0&lt;/C&gt;&lt;/FQL&gt;&lt;FQL&gt;&lt;Q&gt;Ticker0024^FE_ESTIMATE(SALES,MEAN,ANNUAL_ROLL,2027,45681,,,'')&lt;/Q&gt;&lt;R&gt;1&lt;/R&gt;&lt;C&gt;1&lt;/C&gt;&lt;D xsi:type="xsd:double"&gt;367549.56&lt;/D&gt;&lt;/FQL&gt;&lt;FQL&gt;&lt;Q&gt;Ticker0024^FE_ESTIMATE(SALES,MEAN,QUARTERLY_ROLL,2027/4F,45681,,,'')&lt;/Q&gt;&lt;R&gt;1&lt;/R&gt;&lt;C&gt;1&lt;/C&gt;&lt;D xsi:type="xsd:double"&gt;95064.04&lt;/D&gt;&lt;/FQL&gt;&lt;FQL&gt;&lt;Q&gt;Ticker0024^FE_ESTIMATE(SALES,MEAN,QUARTERLY_ROLL,2027/3F,45681,,,'')&lt;/Q&gt;&lt;R&gt;1&lt;/R&gt;&lt;C&gt;1&lt;/C&gt;&lt;D xsi:type="xsd:double"&gt;90213.87&lt;/D&gt;&lt;/FQL&gt;&lt;FQL&gt;&lt;Q&gt;Ticker0024^FE_ESTIMATE(SALES,MEAN,QUARTERLY_ROLL,2027/2F,45681,,,'')&lt;/Q&gt;&lt;R&gt;1&lt;/R&gt;&lt;C&gt;1&lt;/C&gt;&lt;D xsi:type="xsd:double"&gt;90461.9&lt;/D&gt;&lt;/FQL&gt;&lt;FQL&gt;&lt;Q&gt;Ticker0024^FE_ESTIMATE(SALES,MEAN,QUARTERLY_ROLL,2027/1F,45681,,,'')&lt;/Q&gt;&lt;R&gt;1&lt;/R&gt;&lt;C&gt;1&lt;/C&gt;&lt;D xsi:type="xsd:double"&gt;85373.516&lt;/D&gt;&lt;/FQL&gt;&lt;FQL&gt;&lt;Q&gt;Ticker0024^FE_ESTIMATE(SALES,MEAN,ANNUAL_ROLL,2026,45681,,,'')&lt;/Q&gt;&lt;R&gt;1&lt;/R&gt;&lt;C&gt;1&lt;/C&gt;&lt;D xsi:type="xsd:double"&gt;318381.66&lt;/D&gt;&lt;/FQL&gt;&lt;FQL&gt;&lt;Q&gt;Ticker0024^FE_ESTIMATE(SALES,MEAN,QUARTERLY_ROLL,2026/4F,45681,,,'')&lt;/Q&gt;&lt;R&gt;1&lt;/R&gt;&lt;C&gt;1&lt;/C&gt;&lt;D xsi:type="xsd:double"&gt;83627&lt;/D&gt;&lt;/FQL&gt;&lt;FQL&gt;&lt;Q&gt;Ticker0024^FE_ESTIMATE(SALES,MEAN,QUARTERLY_ROLL,2026/3F,45681,,,'')&lt;/Q&gt;&lt;R&gt;1&lt;/R&gt;&lt;C&gt;1&lt;/C&gt;&lt;D xsi:type="xsd:double"&gt;79623.57&lt;/D&gt;&lt;/FQL&gt;&lt;FQL&gt;&lt;Q&gt;Ticker0024^FE_ESTIMATE(SALES,MEAN,QUARTERLY_ROLL,2026/2F,45681,,,'')&lt;/Q&gt;&lt;R&gt;1&lt;/R&gt;&lt;C&gt;1&lt;/C&gt;&lt;D xsi:type="xsd:double"&gt;78368.68&lt;/D&gt;&lt;/FQL&gt;&lt;FQL&gt;&lt;Q&gt;Ticker0024^FE_ESTIMATE(SALES,MEAN,QUARTERLY_ROLL,2026/1F,45681,,,'')&lt;/Q&gt;&lt;R&gt;1&lt;/R&gt;&lt;C&gt;1&lt;/C&gt;&lt;D xsi:type="xsd:double"&gt;74251.74&lt;/D&gt;&lt;/FQL&gt;&lt;FQL&gt;&lt;Q&gt;Ticker0024^FE_ESTIMATE(SALES,MEAN,ANNUAL_ROLL,2025,45681,,,'')&lt;/Q&gt;&lt;R&gt;1&lt;/R&gt;&lt;C&gt;1&lt;/C&gt;&lt;D xsi:type="xsd:double"&gt;278542.16&lt;/D&gt;&lt;/FQL&gt;&lt;FQL&gt;&lt;Q&gt;Ticker0024^FE_ESTIMATE(SALES,MEAN,QUARTERLY_ROLL,2025/4F,45681,,,'')&lt;/Q&gt;&lt;R&gt;1&lt;/R&gt;&lt;C&gt;1&lt;/C&gt;&lt;D xsi:type="xsd:double"&gt;73423.2&lt;/D&gt;&lt;/FQL&gt;&lt;FQL&gt;&lt;Q&gt;Ticker0024^FE_ESTIMATE(SALES,MEAN,QUARTERLY_ROLL,2025/3F,45681,,,'')&lt;/Q&gt;&lt;R&gt;1&lt;/R&gt;&lt;C&gt;1&lt;/C&gt;&lt;D xsi:type="xsd:double"&gt;69832.84&lt;/D&gt;&lt;/FQL&gt;&lt;FQL&gt;&lt;Q&gt;Ticker0024^FE_ESTIMATE(SALES,MEAN,QUARTERLY_ROLL,2025/2F,45681,,,'')&lt;/Q&gt;&lt;R&gt;1&lt;/R&gt;&lt;C&gt;1&lt;/C&gt;&lt;D xsi:type="xsd:double"&gt;68887.37&lt;/D&gt;&lt;/FQL&gt;&lt;FQL&gt;&lt;Q&gt;Ticker0024^FE_ESTIMATE(SALES,MEAN,QUARTERLY_ROLL,2025/1F,45681,,,'')&lt;/Q&gt;&lt;R&gt;1&lt;/R&gt;&lt;C&gt;1&lt;/C&gt;&lt;D xsi:type="xsd:double"&gt;65585&lt;/D&gt;&lt;/FQL&gt;&lt;FQL&gt;&lt;Q&gt;Ticker0024^FE_ESTIMATE(SALES,MEAN,ANNUAL_ROLL,2024,45681,,,'')&lt;/Q&gt;&lt;R&gt;1&lt;/R&gt;&lt;C&gt;1&lt;/C&gt;&lt;D xsi:type="xsd:double"&gt;245122&lt;/D&gt;&lt;/FQL&gt;&lt;FQL&gt;&lt;Q&gt;Ticker0024^FE_ESTIMATE(SALES,MEAN,QUARTERLY_ROLL,2024/4F,45681,,,'')&lt;/Q&gt;&lt;R&gt;1&lt;/R&gt;&lt;C&gt;1&lt;/C&gt;&lt;D xsi:type="xsd:double"&gt;64727&lt;/D&gt;&lt;/FQL&gt;&lt;FQL&gt;&lt;Q&gt;Ticker0024^FE_ESTIMATE(SALES,MEAN,QUARTERLY_ROLL,2024/3F,45681,,,'')&lt;/Q&gt;&lt;R&gt;1&lt;/R&gt;&lt;C&gt;1&lt;/C&gt;&lt;D xsi:type="xsd:double"&gt;61858&lt;/D&gt;&lt;/FQL&gt;&lt;FQL&gt;&lt;Q&gt;Ticker0024^FE_ESTIMATE(SALES,MEAN,QUARTERLY_ROLL,2024/2F,45681,,,'')&lt;/Q&gt;&lt;R&gt;1&lt;/R&gt;&lt;C&gt;1&lt;/C&gt;&lt;D xsi:type="xsd:double"&gt;62020&lt;/D&gt;&lt;/FQL&gt;&lt;FQL&gt;&lt;Q&gt;Ticker0024^FE_ESTIMATE(SALES,MEAN,QUARTERLY_ROLL,2024/1F,45681,,,'')&lt;/Q&gt;&lt;R&gt;1&lt;/R&gt;&lt;C&gt;1&lt;/C&gt;&lt;D xsi:type="xsd:double"&gt;56517&lt;/D&gt;&lt;/FQL&gt;&lt;FQL&gt;&lt;Q&gt;Ticker0024^FE_ESTIMATE(SALES,MEAN,ANNUAL_ROLL,2023,45681,,,'')&lt;/Q&gt;&lt;R&gt;1&lt;/R&gt;&lt;C&gt;1&lt;/C&gt;&lt;D xsi:type="xsd:double"&gt;211915&lt;/D&gt;&lt;/FQL&gt;&lt;FQL&gt;&lt;Q&gt;Ticker0024^FE_ESTIMATE(SALES,MEAN,QUARTERLY_ROLL,2023/4F,45681,,,'')&lt;/Q&gt;&lt;R&gt;1&lt;/R&gt;&lt;C&gt;1&lt;/C&gt;&lt;D xsi:type="xsd:double"&gt;56189&lt;/D&gt;&lt;/FQL&gt;&lt;FQL&gt;&lt;Q&gt;Ticker0024^FE_ESTIMATE(SALES,MEAN,QUARTERLY_ROLL,2023/3F,45681,,,'')&lt;/Q&gt;&lt;R&gt;1&lt;/R&gt;&lt;C&gt;1&lt;/C&gt;&lt;D xsi:type="xsd:double"&gt;52857&lt;/D&gt;&lt;/FQL&gt;&lt;FQL&gt;&lt;Q&gt;Ticker0024^FE_ESTIMATE(SALES,MEAN,QUARTERLY_ROLL,2023/2F,45681,,,'')&lt;/Q&gt;&lt;R&gt;1&lt;/R&gt;&lt;C&gt;1&lt;/C&gt;&lt;D xsi:type="xsd:double"&gt;52747&lt;/D&gt;&lt;/FQL&gt;&lt;FQL&gt;&lt;Q&gt;Ticker0024^FE_ESTIMATE(SALES,MEAN,QUARTERLY_ROLL,2023/1F,45681,,,'')&lt;/Q&gt;&lt;R&gt;1&lt;/R&gt;&lt;C&gt;1&lt;/C&gt;&lt;D xsi:type="xsd:double"&gt;50122&lt;/D&gt;&lt;/FQL&gt;&lt;FQL&gt;&lt;Q&gt;Ticker0024^FE_ESTIMATE(SALES,MEAN,ANNUAL_ROLL,2022,45681,,,'')&lt;/Q&gt;&lt;R&gt;1&lt;/R&gt;&lt;C&gt;1&lt;/C&gt;&lt;D xsi:type="xsd:double"&gt;198270&lt;/D&gt;&lt;/FQL&gt;&lt;FQL&gt;&lt;Q&gt;Ticker0024^FE_ESTIMATE(SALES,MEAN,QUARTERLY_ROL</t>
        </r>
      </text>
    </comment>
    <comment ref="A13" authorId="0" shapeId="0" xr:uid="{7684FAD2-D0B1-48BF-A60C-FFA7316E6F00}">
      <text>
        <r>
          <rPr>
            <b/>
            <sz val="9"/>
            <color indexed="81"/>
            <rFont val="Tahoma"/>
            <family val="2"/>
          </rPr>
          <t>L,2022/4F,45681,,,'')&lt;/Q&gt;&lt;R&gt;1&lt;/R&gt;&lt;C&gt;1&lt;/C&gt;&lt;D xsi:type="xsd:double"&gt;51865&lt;/D&gt;&lt;/FQL&gt;&lt;FQL&gt;&lt;Q&gt;Ticker0024^FE_ESTIMATE(SALES,MEAN,QUARTERLY_ROLL,2022/3F,45681,,,'')&lt;/Q&gt;&lt;R&gt;1&lt;/R&gt;&lt;C&gt;1&lt;/C&gt;&lt;D xsi:type="xsd:double"&gt;49360&lt;/D&gt;&lt;/FQL&gt;&lt;FQL&gt;&lt;Q&gt;Ticker0024^FE_ESTIMATE(SALES,MEAN,QUARTERLY_ROLL,2022/2F,45681,,,'')&lt;/Q&gt;&lt;R&gt;1&lt;/R&gt;&lt;C&gt;1&lt;/C&gt;&lt;D xsi:type="xsd:double"&gt;51728&lt;/D&gt;&lt;/FQL&gt;&lt;FQL&gt;&lt;Q&gt;Ticker0024^FE_ESTIMATE(SALES,MEAN,QUARTERLY_ROLL,2022/1F,45681,,,'')&lt;/Q&gt;&lt;R&gt;1&lt;/R&gt;&lt;C&gt;1&lt;/C&gt;&lt;D xsi:type="xsd:double"&gt;45317&lt;/D&gt;&lt;/FQL&gt;&lt;FQL&gt;&lt;Q&gt;Ticker0024^FE_ESTIMATE(SALES,MEAN,ANNUAL_ROLL,2021,45681,,,'')&lt;/Q&gt;&lt;R&gt;1&lt;/R&gt;&lt;C&gt;1&lt;/C&gt;&lt;D xsi:type="xsd:double"&gt;168088&lt;/D&gt;&lt;/FQL&gt;&lt;FQL&gt;&lt;Q&gt;Ticker0024^FE_ESTIMATE(SALES,MEAN,QUARTERLY_ROLL,2021/4F,45681,,,'')&lt;/Q&gt;&lt;R&gt;1&lt;/R&gt;&lt;C&gt;1&lt;/C&gt;&lt;D xsi:type="xsd:double"&gt;46152&lt;/D&gt;&lt;/FQL&gt;&lt;FQL&gt;&lt;Q&gt;Ticker0024^FE_ESTIMATE(SALES,MEAN,QUARTERLY_ROLL,2021/3F,45681,,,'')&lt;/Q&gt;&lt;R&gt;1&lt;/R&gt;&lt;C&gt;1&lt;/C&gt;&lt;D xsi:type="xsd:double"&gt;41706&lt;/D&gt;&lt;/FQL&gt;&lt;FQL&gt;&lt;Q&gt;Ticker0024^FE_ESTIMATE(SALES,MEAN,QUARTERLY_ROLL,2021/2F,45681,,,'')&lt;/Q&gt;&lt;R&gt;1&lt;/R&gt;&lt;C&gt;1&lt;/C&gt;&lt;D xsi:type="xsd:double"&gt;43076&lt;/D&gt;&lt;/FQL&gt;&lt;FQL&gt;&lt;Q&gt;Ticker0024^FE_ESTIMATE(SALES,MEAN,QUARTERLY_ROLL,2021/1F,45681,,,'')&lt;/Q&gt;&lt;R&gt;1&lt;/R&gt;&lt;C&gt;1&lt;/C&gt;&lt;D xsi:type="xsd:double"&gt;37154&lt;/D&gt;&lt;/FQL&gt;&lt;FQL&gt;&lt;Q&gt;Ticker0024^FE_ESTIMATE(SALES,MEAN,ANNUAL_ROLL,2020,45681,,,'')&lt;/Q&gt;&lt;R&gt;1&lt;/R&gt;&lt;C&gt;1&lt;/C&gt;&lt;D xsi:type="xsd:double"&gt;143015&lt;/D&gt;&lt;/FQL&gt;&lt;FQL&gt;&lt;Q&gt;Ticker0024^FE_ESTIMATE(SALES,MEAN,QUARTERLY_ROLL,2020/4F,45681,,,'')&lt;/Q&gt;&lt;R&gt;1&lt;/R&gt;&lt;C&gt;1&lt;/C&gt;&lt;D xsi:type="xsd:double"&gt;38033&lt;/D&gt;&lt;/FQL&gt;&lt;FQL&gt;&lt;Q&gt;Ticker0024^FE_ESTIMATE(SALES,MEAN,QUARTERLY_ROLL,2020/3F,45681,,,'')&lt;/Q&gt;&lt;R&gt;1&lt;/R&gt;&lt;C&gt;1&lt;/C&gt;&lt;D xsi:type="xsd:double"&gt;35021&lt;/D&gt;&lt;/FQL&gt;&lt;FQL&gt;&lt;Q&gt;Ticker0024^FE_ESTIMATE(SALES,MEAN,QUARTERLY_ROLL,2020/2F,45681,,,'')&lt;/Q&gt;&lt;R&gt;1&lt;/R&gt;&lt;C&gt;1&lt;/C&gt;&lt;D xsi:type="xsd:double"&gt;36906&lt;/D&gt;&lt;/FQL&gt;&lt;FQL&gt;&lt;Q&gt;Ticker0024^FE_ESTIMATE(SALES,MEAN,QUARTERLY_ROLL,2020/1F,45681,,,'')&lt;/Q&gt;&lt;R&gt;1&lt;/R&gt;&lt;C&gt;1&lt;/C&gt;&lt;D xsi:type="xsd:double"&gt;33055&lt;/D&gt;&lt;/FQL&gt;&lt;FQL&gt;&lt;Q&gt;Ticker0024^FE_ESTIMATE(SALES,MEAN,ANNUAL_ROLL,2019,45681,,,'')&lt;/Q&gt;&lt;R&gt;1&lt;/R&gt;&lt;C&gt;1&lt;/C&gt;&lt;D xsi:type="xsd:double"&gt;125843&lt;/D&gt;&lt;/FQL&gt;&lt;FQL&gt;&lt;Q&gt;Ticker0024^FE_ESTIMATE(SALES,MEAN,QUARTERLY_ROLL,2019/4F,45681,,,'')&lt;/Q&gt;&lt;R&gt;1&lt;/R&gt;&lt;C&gt;1&lt;/C&gt;&lt;D xsi:type="xsd:double"&gt;33717&lt;/D&gt;&lt;/FQL&gt;&lt;FQL&gt;&lt;Q&gt;Ticker0024^FE_ESTIMATE(SALES,MEAN,QUARTERLY_ROLL,2019/3F,45681,,,'')&lt;/Q&gt;&lt;R&gt;1&lt;/R&gt;&lt;C&gt;1&lt;/C&gt;&lt;D xsi:type="xsd:double"&gt;30571&lt;/D&gt;&lt;/FQL&gt;&lt;FQL&gt;&lt;Q&gt;Ticker0024^FE_ESTIMATE(SALES,MEAN,QUARTERLY_ROLL,2019/2F,45681,,,'')&lt;/Q&gt;&lt;R&gt;1&lt;/R&gt;&lt;C&gt;1&lt;/C&gt;&lt;D xsi:type="xsd:double"&gt;32471&lt;/D&gt;&lt;/FQL&gt;&lt;FQL&gt;&lt;Q&gt;Ticker0024^FE_ESTIMATE(SALES,MEAN,QUARTERLY_ROLL,2019/1F,45681,,,'')&lt;/Q&gt;&lt;R&gt;1&lt;/R&gt;&lt;C&gt;1&lt;/C&gt;&lt;D xsi:type="xsd:double"&gt;29084&lt;/D&gt;&lt;/FQL&gt;&lt;FQL&gt;&lt;Q&gt;Ticker0024^FE_ESTIMATE(SALES,MEAN,ANNUAL_ROLL,2018,45681,,,'')&lt;/Q&gt;&lt;R&gt;1&lt;/R&gt;&lt;C&gt;1&lt;/C&gt;&lt;D xsi:type="xsd:double"&gt;110360&lt;/D&gt;&lt;/FQL&gt;&lt;FQL&gt;&lt;Q&gt;Ticker0024^FE_ESTIMATE(SALES,MEAN,QUARTERLY_ROLL,2018/4F,45681,,,'')&lt;/Q&gt;&lt;R&gt;1&lt;/R&gt;&lt;C&gt;1&lt;/C&gt;&lt;D xsi:type="xsd:double"&gt;30085&lt;/D&gt;&lt;/FQL&gt;&lt;FQL&gt;&lt;Q&gt;Ticker0024^FE_ESTIMATE(SALES,MEAN,QUARTERLY_ROLL,2018/3F,45681,,,'')&lt;/Q&gt;&lt;R&gt;1&lt;/R&gt;&lt;C&gt;1&lt;/C&gt;&lt;D xsi:type="xsd:double"&gt;26819&lt;/D&gt;&lt;/FQL&gt;&lt;FQL&gt;&lt;Q&gt;Ticker0024^FE_ESTIMATE(SALES,MEAN,QUARTERLY_ROLL,2018/2F,45681,,,'')&lt;/Q&gt;&lt;R&gt;1&lt;/R&gt;&lt;C&gt;1&lt;/C&gt;&lt;D xsi:type="xsd:double"&gt;28918&lt;/D&gt;&lt;/FQL&gt;&lt;FQL&gt;&lt;Q&gt;Ticker0024^FE_ESTIMATE(SALES,MEAN,QUARTERLY_ROLL,2018/1F,45681,,,'')&lt;/Q&gt;&lt;R&gt;1&lt;/R&gt;&lt;C&gt;1&lt;/C&gt;&lt;D xsi:type="xsd:double"&gt;24538&lt;/D&gt;&lt;/FQL&gt;&lt;FQL&gt;&lt;Q&gt;Ticker0024^FE_ESTIMATE(SALES,MEAN,ANNUAL_ROLL,2017,45681,,,'')&lt;/Q&gt;&lt;R&gt;1&lt;/R&gt;&lt;C&gt;1&lt;/C&gt;&lt;D xsi:type="xsd:double"&gt;96700&lt;/D&gt;&lt;/FQL&gt;&lt;FQL&gt;&lt;Q&gt;Ticker0024^FE_ESTIMATE(SALES,MEAN,QUARTERLY_ROLL,2017/4F,45681,,,'')&lt;/Q&gt;&lt;R&gt;1&lt;/R&gt;&lt;C&gt;1&lt;/C&gt;&lt;D xsi:type="xsd:double"&gt;24700&lt;/D&gt;&lt;/FQL&gt;&lt;FQL&gt;&lt;Q&gt;Ticker0024^FE_ESTIMATE(SALES,MEAN,QUARTERLY_ROLL,2017/3F,45681,,,'')&lt;/Q&gt;&lt;R&gt;1&lt;/R&gt;&lt;C&gt;1&lt;/C&gt;&lt;D xsi:type="xsd:double"&gt;23557&lt;/D&gt;&lt;/FQL&gt;&lt;FQL&gt;&lt;Q&gt;Ticker0024^FE_ESTIMATE(SALES,MEAN,QUARTERLY_ROLL,2017/2F,45681,,,'')&lt;/Q&gt;&lt;R&gt;1&lt;/R&gt;&lt;C&gt;1&lt;/C&gt;&lt;D xsi:type="xsd:double"&gt;26066&lt;/D&gt;&lt;/FQL&gt;&lt;FQL&gt;&lt;Q&gt;Ticker0024^FE_ESTIMATE(SALES,MEAN,QUARTERLY_ROLL,2017/1F,45681,,,'')&lt;/Q&gt;&lt;R&gt;1&lt;/R&gt;&lt;C&gt;1&lt;/C&gt;&lt;D xsi:type="xsd:double"&gt;22334&lt;/D&gt;&lt;/FQL&gt;&lt;FQL&gt;&lt;Q&gt;Ticker0024^FE_ESTIMATE(SALES,MEAN,ANNUAL_ROLL,2016,45681,,,'')&lt;/Q&gt;&lt;R&gt;1&lt;/R&gt;&lt;C&gt;1&lt;/C&gt;&lt;D xsi:type="xsd:double"&gt;92051.92&lt;/D&gt;&lt;/FQL&gt;&lt;FQL&gt;&lt;Q&gt;Ticker0024^FE_ESTIMATE(SALES,MEAN,QUARTERLY_ROLL,2016/4F,45681,,,'')&lt;/Q&gt;&lt;R&gt;1&lt;/R&gt;&lt;C&gt;1&lt;/C&gt;&lt;D xsi:type="xsd:double"&gt;22640.229&lt;/D&gt;&lt;/FQL&gt;&lt;FQL&gt;&lt;Q&gt;Ticker0024^FE_ESTIMATE(SALES,MEAN,QUARTERLY_ROLL,2016/3F,45681,,,'')&lt;/Q&gt;&lt;R&gt;1&lt;/R&gt;&lt;C&gt;1&lt;/C&gt;&lt;D xsi:type="xsd:double"&gt;22076&lt;/D&gt;&lt;/FQL&gt;&lt;FQL&gt;&lt;Q&gt;Ticker0024^FE_ESTIMATE(SALES,MEAN,QUARTERLY_ROLL,2016/2F,45681,,,'')&lt;/Q&gt;&lt;R&gt;1&lt;/R&gt;&lt;C&gt;1&lt;/C&gt;&lt;D xsi:type="xsd:double"&gt;25693&lt;/D&gt;&lt;/FQL&gt;&lt;FQL&gt;&lt;Q&gt;Ticker0024^FE_ESTIMATE(SALES,MEAN,QUARTERLY_ROLL,2016/1F,45681,,,'')&lt;/Q&gt;&lt;R&gt;1&lt;/R&gt;&lt;C&gt;1&lt;/C&gt;&lt;D xsi:type="xsd:double"&gt;21660&lt;/D&gt;&lt;/FQL&gt;&lt;FQL&gt;&lt;Q&gt;Ticker0024^FE_ESTIMATE(SALES,MEAN,ANNUAL_ROLL,2015,45681,,,'')&lt;/Q&gt;&lt;R&gt;1&lt;/R&gt;&lt;C&gt;1&lt;/C&gt;&lt;D xsi:type="xsd:double"&gt;93580&lt;/D&gt;&lt;/FQL&gt;&lt;FQL&gt;&lt;Q&gt;Ticker0024^FE_ESTIMATE(SALES,MEAN,QUARTERLY_ROLL,2015/4F,45681,,,'')&lt;/Q&gt;&lt;R&gt;1&lt;/R&gt;&lt;C&gt;1&lt;/C&gt;&lt;D xsi:type="xsd:double"&gt;22180&lt;/D&gt;&lt;/FQL&gt;&lt;FQL&gt;&lt;Q&gt;Ticker0024^FE_ESTIMATE(SALES,MEAN,QUARTERLY_ROLL,2015/3F,45681,,,'')&lt;/Q&gt;&lt;R&gt;1&lt;/R&gt;&lt;C&gt;1&lt;/C&gt;&lt;D xsi:type="xsd:double"&gt;21729&lt;/D&gt;&lt;/FQL&gt;&lt;FQL&gt;&lt;Q&gt;Ticker0024^FE_ESTIMATE(SALES,MEAN,QUARTERLY_ROLL,2015/2F,45681,,,'')&lt;/Q&gt;&lt;R&gt;1&lt;/R&gt;&lt;C&gt;1&lt;/C&gt;&lt;D xsi:type="xsd:double"&gt;26470&lt;/D&gt;&lt;/FQL&gt;&lt;FQL&gt;&lt;Q&gt;Ticker0024^FE_ESTIMATE(SALES,MEAN,QUARTERLY_ROLL,2015/1F,45681,,,'')&lt;/Q&gt;&lt;R&gt;1&lt;/R&gt;&lt;C&gt;1&lt;/C&gt;&lt;D xsi:type="xsd:double"&gt;23201&lt;/D&gt;&lt;/FQL&gt;&lt;FQL&gt;&lt;Q&gt;Ticker0024^FE_ESTIMATE(PRODLINE_SALES_17,MEAN,ANNUAL_ROLL,2030,45681,,,'')&lt;/Q&gt;&lt;R&gt;0&lt;/R&gt;&lt;C&gt;0&lt;/C&gt;&lt;/FQL&gt;&lt;FQL&gt;&lt;Q&gt;Ticker0024^FE_ESTIMATE(PRODLINE_SALES_17,MEAN,QUARTERLY_ROLL,2030/4F,45681,,,'')&lt;/Q&gt;&lt;R&gt;0&lt;/R&gt;&lt;C&gt;0&lt;/C&gt;&lt;/FQL&gt;&lt;FQL&gt;&lt;Q&gt;Ticker0024^FE_ESTIMATE(PRODLINE_SALES_17,MEAN,QUARTERLY_ROLL,2030/3F,45681,,,'')&lt;/Q&gt;&lt;R&gt;0&lt;/R&gt;&lt;C&gt;0&lt;/C&gt;&lt;/FQL&gt;&lt;FQL&gt;&lt;Q&gt;Ticker0024^FE_ESTIMATE(PRODLINE_SALES_17,MEAN,QUARTERLY_ROLL,2030/2F,45681,,,'')&lt;/Q&gt;&lt;R&gt;0&lt;/R&gt;&lt;C&gt;0&lt;/C&gt;&lt;/FQL&gt;&lt;FQL&gt;&lt;Q&gt;Ticker0024^FE_ESTIMATE(PRODLINE_SALES_17,MEAN,QUARTERLY_ROLL,2030/1F,45681,,,'')&lt;/Q&gt;&lt;R&gt;0&lt;/R&gt;&lt;C&gt;0&lt;/C&gt;&lt;/FQL&gt;&lt;FQL&gt;&lt;Q&gt;Ticker0024^FE_ESTIMATE(PRODLINE_SALES_17,MEAN,ANNUAL_ROLL,2029,45681,,,'')&lt;/Q&gt;&lt;R&gt;0&lt;/R&gt;&lt;C&gt;0&lt;/C&gt;&lt;/FQL&gt;&lt;FQL&gt;&lt;Q&gt;Ticker0024^FE_ESTIMATE(PRODLINE_SALES_17,MEAN,QUARTERLY_ROLL,2029/4F,45681,,,'')&lt;/Q&gt;&lt;R&gt;0&lt;/R&gt;&lt;C&gt;0&lt;/C&gt;&lt;/FQL&gt;&lt;FQL&gt;&lt;Q&gt;Ticker0024^FE_ESTIMATE(PRODLINE_SALES_17,MEAN,QUARTERLY_ROLL,2029/3F,45681,,,'')&lt;/Q&gt;&lt;R&gt;0&lt;/R&gt;&lt;C&gt;0&lt;/C&gt;&lt;/FQL&gt;&lt;FQL&gt;&lt;Q&gt;Ticker0024^FE_ESTIMATE(PRODLINE_SALES_17,MEAN,QUARTERLY_ROLL,2029/2F,45681,,,'')&lt;/Q&gt;&lt;R&gt;0&lt;/R&gt;&lt;C&gt;0&lt;/C&gt;&lt;/FQL&gt;&lt;FQL&gt;&lt;Q&gt;Ticker0024^FE_ESTIMATE(PRODLINE_SALES_17,MEAN,QUARTERLY_ROLL,2029/1F,45681,,,'')&lt;/Q&gt;&lt;R&gt;0&lt;/R&gt;&lt;C&gt;0&lt;/C&gt;&lt;/FQL&gt;&lt;FQL&gt;&lt;Q&gt;Ticker0024^FE_ESTIMATE(PRODLINE_SALES_17,MEAN,ANNUAL_ROLL,2028,45681,,,'')&lt;/Q&gt;&lt;R&gt;1&lt;/R&gt;&lt;C&gt;1&lt;/C&gt;&lt;D xsi:type="xsd:double"&gt;63179&lt;/D&gt;&lt;/FQL&gt;&lt;FQL&gt;&lt;Q&gt;Ticker0024^FE_ESTIMATE(PRODLINE_SALES_17,MEAN,QUARTERLY_ROLL,2028/4F,45681,,,'')&lt;/Q&gt;&lt;R&gt;0&lt;/R&gt;&lt;C&gt;0&lt;/C&gt;&lt;/FQL&gt;&lt;FQL&gt;&lt;Q&gt;Ticker0024^FE_ESTIMATE(PRODLINE_SALES_17,MEAN,QUARTERLY_ROLL,2028/3F,45681,,,'')&lt;/Q&gt;&lt;R&gt;0&lt;/R&gt;&lt;C&gt;0&lt;/C&gt;&lt;/FQL&gt;&lt;FQL&gt;&lt;Q&gt;Ticker0024^FE_ESTIMATE(PRODLINE_SALES_17,MEAN,QUARTERLY_ROLL,2028/2F,45681,,,'')&lt;/Q&gt;&lt;R&gt;0&lt;/R&gt;&lt;C&gt;0&lt;/C&gt;&lt;/FQL&gt;&lt;FQL&gt;&lt;Q&gt;Ticker0024^FE_ESTIMATE(PRODLINE_SALES_17,MEAN,QUARTERLY_ROLL,2028/1F,45681,,,'')&lt;/Q&gt;&lt;R&gt;0&lt;/R&gt;&lt;C&gt;0&lt;/C&gt;&lt;/FQL&gt;&lt;FQL&gt;&lt;Q&gt;Ticker0024^FE_ESTIMATE(PRODLINE_SALES_17,MEAN,ANNUAL_ROLL,2027,45681,,,'')&lt;/Q&gt;&lt;R&gt;1&lt;/R&gt;&lt;C&gt;1&lt;/C&gt;&lt;D xsi:type="xsd:double"&gt;61338.313&lt;/D&gt;&lt;/FQL&gt;&lt;FQL&gt;&lt;Q&gt;Ticker0024^FE_ESTIMATE(PRODLINE_SALES_17,MEAN,QUARTERLY_ROLL,2027/4F,45681,,,'')&lt;/Q&gt;&lt;R&gt;1&lt;/R&gt;&lt;C&gt;1&lt;/C&gt;&lt;D xsi:type="xsd:double"&gt;12927&lt;/D&gt;&lt;/FQL&gt;&lt;FQL&gt;&lt;Q&gt;Ticker0024^FE_ESTIMATE(PRODLINE_SALES_17,MEAN,QUARTERLY_ROLL,2027/3F,45681,,,'')&lt;/Q&gt;&lt;R&gt;1&lt;/R&gt;&lt;C&gt;1&lt;/C&gt;&lt;D xsi:type="xsd:double"&gt;15738&lt;/D&gt;&lt;/FQL&gt;&lt;FQL&gt;&lt;Q&gt;Ticker0024^FE_ESTIMATE(PRODLINE_SALES_17,MEAN,QUARTERLY_ROLL,2027/2F,45681,,,'')&lt;/Q&gt;&lt;R&gt;1&lt;/R&gt;&lt;C&gt;1&lt;/C&gt;&lt;D xsi:type="xsd:double"&gt;18007.5&lt;/D&gt;&lt;/FQL&gt;&lt;FQL&gt;&lt;Q&gt;Ticker0024^FE_ESTIMATE(PRODLINE_SALES_17,MEAN,QUARTERLY_ROLL,2027/1F,45681,,,'')&lt;/Q&gt;&lt;R&gt;1&lt;/R&gt;&lt;C&gt;1&lt;/C&gt;&lt;D xsi:type="xsd:double"&gt;14824&lt;/D&gt;&lt;/FQL&gt;&lt;FQL&gt;&lt;Q&gt;Ticker0024^FE_ESTIMATE(PRODLINE_SALES_17,MEAN,ANNUAL_ROLL,2026,45681,,,'')&lt;/Q&gt;&lt;R&gt;1&lt;/R&gt;&lt;C&gt;1&lt;/C&gt;&lt;D xsi:type="xsd:double"&gt;57453.133&lt;/D&gt;&lt;/FQL&gt;&lt;FQL&gt;&lt;Q&gt;Ticker0024^FE_ESTIMATE(PRODLINE_SALES_17,MEAN,QUARTERLY_ROLL,2026/4F,45681,,,'')&lt;/Q&gt;&lt;R&gt;1&lt;/R&gt;&lt;C&gt;1&lt;/C&gt;&lt;D xsi:type="xsd:double"&gt;13406.4&lt;/D&gt;&lt;/FQL&gt;&lt;FQL&gt;&lt;Q&gt;Ticker0024^FE_ESTIMATE(PRODLINE_SALES_17,MEAN,QUARTERLY_ROLL,2026/3F,45681,,,'')&lt;/Q&gt;&lt;R&gt;1&lt;/R&gt;&lt;C&gt;1&lt;/C&gt;&lt;D xsi:type="xsd:double"&gt;13848.017&lt;/D&gt;&lt;/FQL&gt;&lt;FQL&gt;&lt;Q&gt;Ticker0024^FE_ESTIMATE(PRODLINE_SALES_17,MEAN,QUARTERLY_ROLL,2026/2F,45681,,,'')&lt;/Q&gt;&lt;R&gt;1&lt;/R&gt;&lt;C&gt;1&lt;/C&gt;&lt;D xsi:type="xsd:double"&gt;15144.292&lt;/D&gt;&lt;/FQL&gt;&lt;FQL&gt;&lt;Q&gt;Ticker0024^FE_ESTIMATE(PRODLINE_SALES_17,MEAN,QUARTERLY_ROLL,2026/1F,45681,,,'')&lt;/Q&gt;&lt;R&gt;1&lt;/R&gt;&lt;C&gt;1&lt;/C&gt;&lt;D xsi:type="xsd:double"&gt;13606.429&lt;/D&gt;&lt;/FQL&gt;&lt;FQL&gt;&lt;Q&gt;Ticker0024^FE_ESTIMATE(PRODLINE_SALES_17,MEAN,ANNUAL_ROLL,2025,45681,,,'')&lt;/Q&gt;&lt;R&gt;1&lt;/R&gt;&lt;C&gt;1&lt;/C&gt;&lt;D xsi:type="xsd:double"&gt;54456.547&lt;/D&gt;&lt;/FQL&gt;&lt;FQL&gt;&lt;Q&gt;Ticker0024^FE_ESTIMATE(PRODLINE_SALES_17,MEAN,QUARTERLY_ROLL,2025/4F,45681,,,'')&lt;/Q&gt;&lt;R&gt;1&lt;/R&gt;&lt;C&gt;1&lt;/C&gt;&lt;D xsi:type="xsd:double"&gt;12883.772&lt;/D&gt;&lt;/FQL&gt;&lt;FQL&gt;&lt;Q&gt;Ticker0024^FE_ESTIMATE(PRODLINE_SALES_17,MEAN,QUARTERLY_ROLL,2025/3F,45681,,,'')&lt;/Q&gt;&lt;R&gt;1&lt;/R&gt;&lt;C&gt;1&lt;/C&gt;&lt;D xsi:type="xsd:double"&gt;13023.348&lt;/D&gt;&lt;/FQL&gt;&lt;FQL&gt;&lt;Q&gt;Ticker0024^FE_ESTIMATE(PRODLINE_SALES_17,MEAN,QUARTERLY_ROLL,2025/2F,45681,,,'')&lt;/Q&gt;&lt;R&gt;1&lt;/R&gt;&lt;C&gt;1&lt;/C&gt;&lt;D xsi:type="xsd:double"&gt;14305.25&lt;/D&gt;&lt;/FQL&gt;&lt;FQL&gt;&lt;Q&gt;Ticker0024^FE_ESTIMATE(PRODLINE_SALES_17,MEAN,QUARTERLY_ROLL,2025/1F,45681,,,'')&lt;/Q&gt;&lt;R&gt;1&lt;/R&gt;&lt;C&gt;1&lt;/C&gt;&lt;D xsi:type="xsd:double"&gt;13176&lt;/D&gt;&lt;/FQL&gt;&lt;FQL&gt;&lt;Q&gt;Ticker0024^FE_ESTIMATE(PRODLINE_SALES_17,MEAN,ANNUAL_ROLL,2024,45681,,,'')&lt;/Q&gt;&lt;R&gt;1&lt;/R&gt;&lt;C&gt;1&lt;/C&gt;&lt;D xsi:type="xsd:double"&gt;62032&lt;/D&gt;&lt;/FQL&gt;&lt;FQL&gt;&lt;Q&gt;Ticker0024^FE_ESTIMATE(PRODLINE_SALES_17,MEAN,QUARTERLY_ROLL,2024/4F,45681,,,'')&lt;/Q&gt;&lt;R&gt;1&lt;/R&gt;&lt;C&gt;1&lt;/C&gt;&lt;D xsi:type="xsd:double"&gt;15895&lt;/D&gt;&lt;/FQL&gt;&lt;FQL&gt;&lt;Q&gt;Ticker0024^FE_ESTIMATE(PRODLINE_SALES_17,MEAN,QUARTERLY_ROLL,2024/3F,45681,,,'')&lt;/Q&gt;&lt;R&gt;1&lt;/R&gt;&lt;C&gt;1&lt;/C&gt;&lt;D xsi:type="xsd:double"&gt;15580&lt;/D&gt;&lt;/FQL&gt;&lt;FQL&gt;&lt;Q&gt;Ticker0024^FE_ESTIMATE(PRODLINE_SALES_17,MEAN,QUARTERLY_ROLL,2024/2F,45681,,,'')&lt;/Q&gt;&lt;R&gt;1&lt;/R&gt;&lt;C&gt;1&lt;/C&gt;&lt;D xsi:type="xsd:double"&gt;16891&lt;/D&gt;&lt;/FQL&gt;&lt;FQL&gt;&lt;Q&gt;Ticker0024^FE_ESTIMATE(PRODLINE_SALES_17,MEAN,QUARTERLY_ROLL,2024/1F,45681,,,'')&lt;/Q&gt;&lt;R&gt;1&lt;/R&gt;&lt;C&gt;1&lt;/C&gt;&lt;D xsi:type="xsd:double"&gt;13666&lt;/D&gt;&lt;/FQL&gt;&lt;FQL&gt;&lt;Q&gt;Ticker0024^FE_ESTIMATE(PRODLINE_SALES_17,MEAN,ANNUAL_ROLL,2023,45681,,,'')&lt;/Q&gt;&lt;R&gt;1&lt;/R&gt;&lt;C&gt;1&lt;/C&gt;&lt;D xsi:type="xsd:double"&gt;54732.273&lt;/D&gt;&lt;/FQL&gt;&lt;FQL&gt;&lt;Q&gt;Ticker0024^FE_ESTIMATE(PRODLINE_SALES_17,MEAN,QUARTERLY_ROLL,2023/4F,45681,,,'')&lt;/Q&gt;&lt;R&gt;1&lt;/R&gt;&lt;C&gt;1&lt;/C&gt;&lt;D xsi:type="xsd:double"&gt;13905&lt;/D&gt;&lt;/FQL&gt;&lt;FQL&gt;&lt;Q&gt;Ticker0024^FE_ESTIMATE(PRODLINE_SALES_17,MEAN,QUARTERLY_ROLL,2023/3F,45681,,,'')&lt;/Q&gt;&lt;R&gt;1&lt;/R&gt;&lt;C&gt;1&lt;/C&gt;&lt;D xsi:type="xsd:double"&gt;13260&lt;/D&gt;&lt;/FQL&gt;&lt;FQL&gt;&lt;Q&gt;Ticker0024^FE_ESTIMATE(PRODLINE_SALES_17,MEAN,QUARTERLY_ROLL,2023/2F,45681,,,'')&lt;/Q&gt;&lt;R&gt;1&lt;/R&gt;&lt;C&gt;1&lt;/C&gt;&lt;D xsi:type="xsd:double"&gt;14237&lt;/D&gt;&lt;/FQL&gt;&lt;FQL&gt;&lt;Q&gt;Ticker0024^FE_ESTIMATE(PRODLINE_SALES_17,MEAN,QUARTERLY_ROLL,2023/1F,45681,,,'')&lt;/Q&gt;&lt;R&gt;1&lt;/R&gt;&lt;C&gt;1&lt;/C&gt;&lt;D xsi:type="xsd:double"&gt;13332&lt;/D&gt;&lt;/FQL&gt;&lt;FQL&gt;&lt;Q&gt;Ticker0024^FE_ESTIMATE(PRODLINE_SALES_17,MEAN,ANNUAL_ROLL,2022,45681,,,'')&lt;/Q&gt;&lt;R&gt;1&lt;/R&gt;&lt;C&gt;1&lt;/C&gt;&lt;D xsi:type="xsd:double"&gt;59655&lt;/D&gt;&lt;/FQL&gt;&lt;FQL&gt;&lt;Q&gt;Ticker0024^FE_ESTIMATE(PRODLINE_SALES_17,MEAN,QUARTERLY_ROLL,2022/4F,45681,,,'')&lt;/Q&gt;&lt;R&gt;1&lt;/R&gt;&lt;C&gt;1&lt;/C&gt;&lt;D xsi:type="xsd:double"&gt;14356&lt;/D&gt;&lt;/FQL&gt;&lt;FQL&gt;&lt;Q&gt;Ticker0024^FE_ESTIMATE(PRODLINE_SALES_17,MEAN,QUARTERLY_ROLL,2022/3F,45681,,,'')&lt;/Q&gt;&lt;R&gt;1&lt;/R&gt;&lt;C&gt;1&lt;/C&gt;&lt;D xsi:type="xsd:double"&gt;14520&lt;/D&gt;&lt;/FQL&gt;&lt;FQL&gt;&lt;Q&gt;Ticker0024^FE_ESTIMATE(PRODLINE_SALES_17,MEAN,QUARTERLY_ROLL,2022/2F,45681,,,'')&lt;/Q&gt;&lt;R&gt;1&lt;/R&gt;&lt;C&gt;1&lt;/C&gt;&lt;D xsi:type="xsd:double"&gt;17465&lt;/D&gt;&lt;/FQL&gt;&lt;FQL&gt;&lt;Q&gt;Ticker0024^FE_ESTIMATE(PRODLINE_SALES_17,MEAN,QUARTERLY_ROLL,2022/1F,45681,,,'')&lt;/Q&gt;&lt;R&gt;1&lt;/R&gt;&lt;C&gt;1&lt;/C&gt;&lt;D xsi:type="xsd:double"&gt;13314&lt;/D&gt;&lt;/FQL&gt;&lt;FQL&gt;&lt;Q&gt;Ticker0024^FE_ESTIMATE(PRODLINE_SALES_17,MEAN,ANNUAL_ROLL,2021,45681,,,'')&lt;/Q&gt;&lt;R&gt;1&lt;/R&gt;&lt;C&gt;1&lt;/C&gt;&lt;D xsi:type="xsd:double"&gt;54093&lt;/D&gt;&lt;/FQL&gt;&lt;FQL&gt;&lt;Q&gt;Ticker0024^FE_ESTIMATE(PRODLINE_SALES_17,MEAN,QUARTERLY_ROLL,2021/4F,45681,,,'')&lt;/Q&gt;&lt;R&gt;1&lt;/R&gt;&lt;C&gt;1&lt;/C&gt;&lt;D xsi:type="xsd:double"&gt;14086&lt;/D&gt;&lt;/FQL&gt;&lt;FQL&gt;&lt;Q&gt;Ticker0024^FE_ESTIMATE(PRODLINE_SALES_17,MEAN,QUARTERLY_ROLL,2021/3F,45681,,,'')&lt;/Q&gt;&lt;R&gt;1&lt;/R&gt;&lt;C&gt;1&lt;/C&gt;&lt;D xsi:type="xsd:double"&gt;13036&lt;/D&gt;&lt;/FQL&gt;&lt;FQL&gt;&lt;Q&gt;Ticker0024^FE_ESTIMATE(PRODLINE_SALES_17,MEAN,QUARTERLY_ROLL,2021/2F,45681,,,'')&lt;/Q&gt;&lt;R&gt;1&lt;/R&gt;&lt;C&gt;1&lt;/C&gt;&lt;D xsi:type="xsd:double"&gt;15122&lt;/D&gt;&lt;/FQL&gt;&lt;FQL&gt;&lt;Q&gt;Ticker0024^FE_ESTIMATE(PRODLINE_SALES_17,MEAN,QUARTERLY_ROLL,2021/1F,45681,,,'')&lt;/Q&gt;&lt;R&gt;1&lt;/R&gt;&lt;C&gt;1&lt;/C&gt;&lt;D xsi:type="xsd:double"&gt;11849&lt;/D&gt;&lt;/FQL&gt;&lt;FQL&gt;&lt;Q&gt;Ticker0024^FE_ESTIMATE(PRODLINE_SALES_17,MEAN,ANNUAL_ROLL,2020,45681,,,'')&lt;/Q&gt;&lt;R&gt;1&lt;/R&gt;&lt;C&gt;1&lt;/C&gt;&lt;D xsi:type="xsd:double"&gt;48251&lt;/D&gt;&lt;/FQL&gt;&lt;FQL&gt;&lt;Q&gt;Ticker0024^FE_ESTIMATE(PRODLINE_SALES_17,MEAN,QUARTERLY_ROLL,2020/4F,45681,,,'')&lt;/Q&gt;&lt;R&gt;1&lt;/R&gt;&lt;C&gt;1&lt;/C&gt;&lt;D xsi:type="xsd:double"&gt;12910&lt;/D&gt;&lt;/FQL&gt;&lt;FQL&gt;&lt;Q&gt;Ticker0024^FE_ESTIMATE(PRODLINE_SALES_17,MEAN,QUARTERLY_ROLL,2020/3F,45681,,,'')&lt;/Q&gt;&lt;R&gt;1&lt;/R&gt;&lt;C&gt;1&lt;/C&gt;&lt;D xsi:type="xsd:double"&gt;10997&lt;/D&gt;&lt;/FQL&gt;&lt;FQL&gt;&lt;Q&gt;Ticker0024^FE_ESTIMATE(PRODLINE_SALES_17,MEAN,QUARTERLY_ROLL,2020/2F,45681,,,'')&lt;/Q&gt;&lt;R&gt;1&lt;/R&gt;&lt;C&gt;1&lt;/C&gt;&lt;D xsi:type="xsd:double"&gt;13211&lt;/D&gt;&lt;/FQL&gt;&lt;FQL&gt;&lt;Q&gt;Ticker0024^FE_ESTIMATE(PRODLINE_SALES_17,MEAN,QUARTERLY_ROLL,2020/1F,45681,,,'')&lt;/Q&gt;&lt;R&gt;1&lt;/R&gt;&lt;C&gt;1&lt;/C&gt;&lt;D xsi:type="xsd:double"&gt;11133&lt;/D&gt;&lt;/FQL&gt;&lt;FQL&gt;&lt;Q&gt;Ticker0024^FE_ESTIMATE(PRODLINE_SALES_17,MEAN,ANNUAL_ROLL,2019,45681,,,'')&lt;/Q&gt;&lt;R&gt;1&lt;/R&gt;&lt;C&gt;1&lt;/C&gt;&lt;D xsi:type="xsd:double"&gt;45698&lt;/D&gt;&lt;/FQL&gt;&lt;FQL&gt;&lt;Q&gt;Ticker0024^FE_ESTIMATE(PRODLINE_SALES_17,MEAN,QUARTERLY_ROLL,2019/4F,45681,,,'')&lt;/Q&gt;&lt;R&gt;1&lt;/R&gt;&lt;C&gt;1&lt;/C&gt;&lt;D xsi:type="xsd:double"&gt;11279&lt;/D&gt;&lt;/FQL&gt;&lt;FQL&gt;&lt;Q&gt;Ticker0024^FE_ESTIMATE(PRODLINE_SALES_17,MEAN,QUARTERLY_ROLL,2019/3F,45681,,,'')&lt;/Q&gt;&lt;R&gt;1&lt;/R&gt;&lt;C&gt;1&lt;/C&gt;&lt;D xsi:type="xsd:double"&gt;10680&lt;/D&gt;&lt;/FQL&gt;&lt;FQL&gt;&lt;Q&gt;Ticker0024^FE_ESTIMATE(PRODLINE_SALES_17,MEAN,QUARTERLY_ROLL,2019/2F,45681,,,'')&lt;/Q&gt;&lt;R&gt;1&lt;/R&gt;&lt;C&gt;1&lt;/C&gt;&lt;D xsi:type="xsd:double"&gt;12993&lt;/D&gt;&lt;/FQL&gt;&lt;FQL&gt;&lt;Q&gt;Ticker0024^FE_ESTIMATE(PRODLINE_SALES_17,MEAN,QUARTERLY_ROLL,2019/1F,45681,,,'')&lt;/Q&gt;&lt;R&gt;1&lt;/R&gt;&lt;C&gt;1&lt;/C&gt;&lt;D xsi:type="xsd:double"&gt;10746&lt;/D&gt;&lt;/FQL&gt;&lt;FQL&gt;&lt;Q&gt;Ticker0024^FE_ESTIMATE(PRODLINE_SALES_17,MEAN,ANNUAL_ROLL,2018,45681,,,'')&lt;/Q&gt;&lt;R&gt;1&lt;/R&gt;&lt;C&gt;1&lt;/C&gt;&lt;D xsi:type="xsd:double"&gt;42276&lt;/D&gt;&lt;/FQL&gt;&lt;FQL&gt;&lt;Q&gt;Ticker0024^FE_ESTIMATE(PRODLINE_SALES_17,MEAN,QUARTERLY_ROLL,2018/4F,45681,,,'')&lt;/Q&gt;&lt;R&gt;1&lt;/R&gt;&lt;C&gt;1&lt;/C&gt;&lt;D xsi:type="xsd:double"&gt;10811&lt;/D&gt;&lt;/FQL&gt;&lt;FQL&gt;&lt;Q&gt;Ticker0024^FE_ESTIMATE(PRODLINE_SALES_17,MEAN,QUARTERLY_ROLL,2018/3F,45681,,,'')&lt;/Q&gt;&lt;R&gt;1&lt;/R&gt;&lt;C&gt;1&lt;/C&gt;&lt;D xsi:type="xsd:double"&gt;9917&lt;/D&gt;&lt;/FQL&gt;&lt;FQL&gt;&lt;Q&gt;Ticker0024^FE_ESTIMATE(PRODLINE_SALES_17,MEAN,QUARTERLY_ROLL,2018/2F,45681,,,'')&lt;/Q&gt;&lt;R&gt;1&lt;/R&gt;&lt;C&gt;1&lt;/C&gt;&lt;D xsi:type="xsd:double"&gt;12170&lt;/D&gt;&lt;/FQL&gt;&lt;FQL&gt;&lt;Q&gt;Ticker0024^FE_ESTIMATE(PRODLINE_SALES_17,MEAN,QUARTERLY_ROLL,2018/1F,45681,,,'')&lt;/Q&gt;&lt;R&gt;1&lt;/R&gt;&lt;C&gt;1&lt;/C&gt;&lt;D xsi:type="xsd:double"&gt;9378&lt;/D&gt;&lt;/FQL&gt;&lt;FQL&gt;&lt;Q&gt;Ticker0024^FE_ESTIMATE(PRODLINE_SALES_17,MEAN,ANNUAL_ROLL,2017,45681,,,'')&lt;/Q&gt;&lt;R&gt;1&lt;/R&gt;&lt;C&gt;1&lt;/C&gt;&lt;D xsi:type="xsd:double"&gt;38773&lt;/D&gt;&lt;/FQL&gt;&lt;FQL&gt;&lt;Q&gt;Ticker0024^FE_ESTIMATE(PRODLINE_SALES_17,MEAN,QUARTERLY_ROLL,2017/4F,45681,,,'')&lt;/Q&gt;&lt;R&gt;1&lt;/R&gt;&lt;C&gt;1&lt;/C&gt;&lt;D xsi:type="xsd:double"&gt;8820&lt;/D&gt;&lt;/FQL&gt;&lt;FQL&gt;&lt;Q&gt;Ticker0024^FE_ESTIMATE(PRODLINE_SALES_17,MEAN,QUARTERLY_ROLL,2017/3F,45681,,,'')&lt;/Q&gt;&lt;R&gt;1&lt;/R&gt;&lt;C&gt;1&lt;/C&gt;&lt;D xsi:type="xsd:double"&gt;8836&lt;/D&gt;&lt;/FQL&gt;&lt;FQL&gt;&lt;Q&gt;Ticker0024^FE_ESTIMATE(PRODLINE_SALES_17,MEAN,QUARTERLY_ROLL,2017/2F,45681,,,'')&lt;/Q&gt;&lt;R&gt;1&lt;/R&gt;&lt;C&gt;1&lt;/C&gt;&lt;D xsi:type="xsd:double"&gt;11823&lt;/D&gt;&lt;/FQL&gt;&lt;FQL&gt;&lt;Q&gt;Ticker0024^FE_ESTIMATE(PRODLINE_SALES_17,MEAN,QUARTERLY_ROLL,2017/1F,45681,,,'')&lt;/Q&gt;&lt;R&gt;1&lt;/R&gt;&lt;C&gt;1&lt;/C&gt;&lt;D xsi:type="xsd:double"&gt;9294&lt;/D&gt;&lt;/FQL&gt;&lt;FQL&gt;&lt;Q&gt;Ticker0024^FE_ESTIMATE(PRODLINE_SALES_17,MEAN,ANNUAL_ROLL,2016,45681,,,'')&lt;/Q&gt;&lt;R&gt;1&lt;/R&gt;&lt;C&gt;1&lt;/C&gt;&lt;D xsi:type="xsd:double"&gt;40460&lt;/D&gt;&lt;/FQL&gt;&lt;FQL&gt;&lt;Q&gt;Ticker0024^FE_ESTIMATE(PRODLINE_SALES_17,MEAN,QUARTERLY_ROLL,2016/4F,45681,,,'')&lt;/Q&gt;&lt;R&gt;1&lt;/R&gt;&lt;C&gt;1&lt;/C&gt;&lt;D xsi:type="xsd:double"&gt;8897&lt;/D&gt;&lt;/FQL&gt;&lt;FQL&gt;&lt;Q&gt;Ticker0024^FE_ESTIMATE(PRODLINE_SALES_17,MEAN,QUARTERLY_ROLL,2016/3F,45681,,,'')&lt;/Q&gt;&lt;R&gt;1&lt;/R&gt;&lt;C&gt;1&lt;/C&gt;&lt;D xsi:type="xsd:double"&gt;9458&lt;/D&gt;&lt;/FQL&gt;&lt;FQL&gt;&lt;Q&gt;Ticker0024^FE_ESTIMATE(PRODLINE_SALES_17,MEAN,QUARTERLY_ROLL,2016/2F,45681,,,'')&lt;/Q&gt;&lt;R&gt;1&lt;/R&gt;&lt;C&gt;1&lt;/C&gt;&lt;D xsi:type="xsd:double"&gt;12660&lt;/D&gt;&lt;/FQL&gt;&lt;FQL&gt;&lt;Q&gt;Ticker0024^FE_ESTIMATE(PRODLINE_SALES_17,MEAN,QUARTERLY_ROLL,2016/1F,45681,,,'')&lt;/Q&gt;&lt;R&gt;1&lt;/R&gt;&lt;C&gt;1&lt;/C&gt;&lt;D xsi:type="xsd:double"&gt;9381&lt;/D&gt;&lt;/FQL&gt;&lt;FQL&gt;&lt;Q&gt;Ticker0024^FE_ESTIMATE(PRODLINE_SALES_17,MEAN,ANNUAL_ROLL,2015,45681,,,'')&lt;/Q&gt;&lt;R&gt;0&lt;/R&gt;&lt;C&gt;0&lt;/C&gt;&lt;/FQL&gt;&lt;FQL&gt;&lt;Q&gt;Ticker0024^FE_ESTIMATE(PRODLINE_SALES_17,MEAN,QUARTERLY_ROLL,2015/4F,45681,,,'')&lt;/Q&gt;&lt;R&gt;0&lt;/R&gt;&lt;C&gt;0&lt;/C&gt;&lt;/FQL&gt;&lt;FQL&gt;&lt;Q&gt;Ticker0024^FE_ESTIMATE(PRODLINE_SALES_17,MEAN,QUARTERLY_ROLL,2015/3F,45681,,,'')&lt;/Q&gt;&lt;R&gt;0&lt;/R&gt;&lt;C&gt;0&lt;/C&gt;&lt;/FQL&gt;&lt;FQL&gt;&lt;Q&gt;Ticker0024^FE_ESTIMATE(PRODLINE_SALES_17,MEAN,QUARTERLY_ROLL,2015/2F,45681,,,'')&lt;/Q&gt;&lt;R&gt;0&lt;/R&gt;&lt;C&gt;0&lt;/C&gt;&lt;/FQL&gt;&lt;FQL&gt;&lt;Q&gt;Ticker0024^FE_ESTIMATE(PRODLINE_SALES_17,MEAN,QUARTERLY_ROLL,2015/1F,45681,,,'')&lt;/Q&gt;&lt;R&gt;0&lt;/R&gt;&lt;C&gt;0&lt;/C&gt;&lt;/FQL&gt;&lt;FQL&gt;&lt;Q&gt;Ticker0024^FE_ESTIMATE(PRODLINE_SALES_16,MEAN,ANNUAL_ROLL,2030,45681,,,'')&lt;/Q&gt;&lt;R&gt;0&lt;/R&gt;&lt;C&gt;0&lt;/C&gt;&lt;/FQL&gt;&lt;FQL&gt;&lt;Q&gt;Ticker0024^FE_ESTIMATE(PRODLINE_SALES_16,MEAN,QUARTERLY_ROLL,2030/4F,45681,,,'')&lt;/Q&gt;&lt;R&gt;0&lt;/R&gt;&lt;C&gt;0&lt;/C&gt;&lt;/FQL&gt;&lt;FQL&gt;&lt;Q&gt;Ticker0024^FE_ESTIMATE(PRODLINE_SALES_16,MEAN,QUARTERLY_ROLL,2030/3F,45681,,,'')&lt;/Q&gt;&lt;R&gt;0&lt;/R&gt;&lt;C&gt;0&lt;/C&gt;&lt;/FQL&gt;&lt;FQL&gt;&lt;Q&gt;Ticker0024^FE_ESTIMATE(PRODLINE_SALES_16,MEAN,QUARTERLY_ROLL,2030/2F,45681,,,'')&lt;/Q&gt;&lt;R&gt;0&lt;/R&gt;&lt;C&gt;0&lt;/C&gt;&lt;/FQL&gt;&lt;FQL&gt;&lt;Q&gt;Ticker0024^FE_ESTIMATE(PRODLINE_SALES_16,MEAN,QUARTERLY_ROLL,2030/1F,45681,,,'')&lt;/Q&gt;&lt;R&gt;0&lt;/R&gt;&lt;C&gt;0&lt;/C&gt;&lt;/FQL&gt;&lt;FQL&gt;&lt;Q&gt;Ticker0024^FE_ESTIMATE(PRODLINE_SALES_16,MEAN,ANNUAL_ROLL,2029,45681,,,'')&lt;/Q&gt;&lt;R&gt;0&lt;/R&gt;&lt;C&gt;0&lt;/C&gt;&lt;/FQL&gt;&lt;FQL&gt;&lt;Q&gt;Ticker0024^FE_ESTIMATE(PRODLINE_SALES_16,MEAN,QUARTERLY_ROLL,2029/4F,45681,,,'')&lt;/Q&gt;&lt;R&gt;0&lt;/R&gt;&lt;C&gt;0&lt;/C&gt;&lt;/FQL&gt;&lt;FQL&gt;&lt;Q&gt;Ticker0024^FE_ESTIMATE(PRODLINE_SALES_16,MEAN,QUARTERLY_ROLL,2029/3F,45681,,,'')&lt;/Q&gt;&lt;R&gt;0&lt;/R&gt;&lt;C&gt;0&lt;/C&gt;&lt;/FQL&gt;&lt;FQL&gt;&lt;Q&gt;Ticker0024^FE_ESTIMATE(PRODLINE_SALES_16,MEAN,QUARTERLY_ROLL,2029/2F,45681,,,'')&lt;/Q&gt;&lt;R&gt;0&lt;/R&gt;&lt;C&gt;0&lt;/C&gt;&lt;/FQL&gt;&lt;FQL&gt;&lt;Q&gt;Ticker0024^FE_ESTIMATE(PRODLINE_SALES_16,MEAN,QUARTERLY_ROLL,2029/1F,45681,,,'')&lt;/Q&gt;&lt;R&gt;0&lt;/R&gt;&lt;C&gt;0&lt;/C&gt;&lt;/FQL&gt;&lt;FQL&gt;&lt;Q&gt;Ticker0024^FE_ESTIMATE(PRODLINE_SALES_16,MEAN,ANNUAL_ROLL,2028,45681,,,'')&lt;/Q&gt;&lt;R&gt;0&lt;/R&gt;&lt;C&gt;0&lt;/C&gt;&lt;/FQL&gt;&lt;FQL&gt;&lt;Q&gt;Ticker0024^FE_ESTIMATE(PRODLINE_SALES_16,MEAN,QUARTERLY_ROLL,2028/4F,45681,,,'')&lt;/Q&gt;&lt;R&gt;0&lt;/R&gt;&lt;C&gt;0&lt;/C&gt;&lt;/FQL&gt;&lt;FQL&gt;&lt;Q&gt;Ticker0024^FE_ESTIMATE(PRODLINE_SALES_16,MEAN,QUARTERLY_ROLL,2028/3F,45681,,,'')&lt;/Q&gt;&lt;R&gt;0&lt;/R&gt;&lt;C&gt;0&lt;/C&gt;&lt;/FQL&gt;&lt;FQL&gt;&lt;Q&gt;Ticker0024^FE_ESTIMATE(PRODLINE_SALES_16,MEAN,QUARTERLY_ROLL,2028/2F,45681,,,'')&lt;/Q&gt;&lt;R&gt;0&lt;/R&gt;&lt;C&gt;0&lt;/C&gt;&lt;/FQL&gt;&lt;FQL&gt;&lt;Q&gt;Ticker0024^FE_ESTIMATE(PRODLINE_SALES_16,MEAN,QUARTERLY_ROLL,2028/1F,45681,,,'')&lt;/Q&gt;&lt;R&gt;0&lt;/R&gt;&lt;C&gt;0&lt;/C&gt;&lt;/FQL&gt;&lt;FQL&gt;&lt;Q&gt;Ticker0024^FE_ESTIMATE(PRODLINE_SALES_16,MEAN,ANNUAL_ROLL,2027,45681,,,'')&lt;/Q&gt;&lt;R&gt;1&lt;/R&gt;&lt;C&gt;1&lt;/C&gt;&lt;D xsi:type="xsd:double"&gt;164924.08&lt;/D&gt;&lt;/FQL&gt;&lt;FQL&gt;&lt;Q&gt;Ticker0024^FE_ESTIMATE(PRODLINE_SALES_16,MEAN,QUARTERLY_ROLL,2027/4F,45681,,,'')&lt;/Q&gt;&lt;R&gt;1&lt;/R&gt;&lt;C&gt;1&lt;/C&gt;&lt;D xsi:type="xsd:double"&gt;46075&lt;/D&gt;&lt;/FQL&gt;&lt;FQL&gt;&lt;Q&gt;Ticker0024^FE_ESTIMATE(PRODLINE_SALES_16,MEAN,QUARTERLY_ROLL,2027/3F,45681,,,'')&lt;/Q&gt;&lt;R&gt;1&lt;/R&gt;&lt;C&gt;1&lt;/C&gt;&lt;D xsi:type="xsd:double"&gt;39848&lt;/D&gt;&lt;/FQL&gt;&lt;FQL&gt;&lt;Q&gt;Ticker0024^FE_ESTIMATE(PRODLINE_SALES_16,MEAN,QUARTERLY_ROLL,2027/2F,45681,,,'')&lt;/Q&gt;&lt;R&gt;1&lt;/R&gt;&lt;C&gt;1&lt;/C&gt;&lt;D xsi:type="xsd:double"&gt;39114&lt;/D&gt;&lt;/FQL&gt;&lt;FQL&gt;&lt;Q&gt;Ticker0024^FE_ESTIMATE(PRODLINE_SALES_16,MEAN,QUARTERLY_ROLL,2027/1F,45681,,,'')&lt;/Q&gt;&lt;R&gt;1&lt;/R&gt;&lt;C&gt;1&lt;/C&gt;&lt;D xsi:type="xsd:double"&gt;36524.5&lt;/D&gt;&lt;/FQL&gt;&lt;FQL&gt;&lt;Q&gt;Ticker0024^FE_ESTIMATE(PRODLINE_SALES_16,MEAN,ANNUAL_ROLL,2026,45681,,,'')&lt;/Q&gt;&lt;R&gt;1&lt;/R&gt;&lt;C&gt;1&lt;/C&gt;&lt;D xsi:type="xsd:double"&gt;131779.77&lt;/D&gt;&lt;/FQL&gt;&lt;FQL&gt;&lt;Q&gt;Ticker0024^FE_ESTIMATE(PRODLINE_SALES_16,MEAN,QUARTERLY_ROLL,2026/4F,45681,,,'')&lt;/Q&gt;&lt;R&gt;1&lt;/R&gt;&lt;C&gt;1&lt;/C&gt;&lt;D xsi:type="xsd:double"&gt;35495.41&lt;/D&gt;&lt;/FQL&gt;&lt;FQL&gt;&lt;Q&gt;Ticker0024^FE_ESTIMATE(PRODLINE_SALES_16,MEAN,QUARTERLY_ROLL,2026/3F,45681,,,'')&lt;/Q&gt;&lt;R&gt;1&lt;/R&gt;&lt;C&gt;1&lt;/C&gt;&lt;D xsi:type="xsd:double"&gt;32925.125&lt;/D&gt;&lt;/FQL&gt;&lt;FQL&gt;&lt;Q&gt;Ticker0024^FE_ESTIMATE(PRODLINE_SALES_16,MEAN,QUARTERLY_ROLL,2026/2F,45681,,,'')&lt;/Q&gt;&lt;R&gt;1&lt;/R&gt;&lt;C&gt;1&lt;/C&gt;&lt;D xsi:type="xsd:double"&gt;31418.518&lt;/D&gt;&lt;/FQL&gt;&lt;FQL&gt;&lt;Q&gt;Ticker0024^FE_ESTIMATE(PRODLINE_SALES_16,MEAN,QUARTERLY_ROLL,2026/1F,45681,,,'')&lt;/Q&gt;&lt;R&gt;1&lt;/R&gt;&lt;C&gt;1&lt;/C&gt;&lt;D xsi:type="xsd:double"&gt;29419.014&lt;/D&gt;&lt;/FQL&gt;&lt;FQL&gt;&lt;Q&gt;Ticker0024^FE_ESTIMATE(PRODLINE_SALES_16,MEAN,ANNUAL_ROLL,2025,45681,,,'')&lt;/Q&gt;&lt;R&gt;1&lt;/R&gt;&lt;C&gt;1&lt;/C&gt;&lt;D xsi:type="xsd:double"&gt;107848.29&lt;/D&gt;&lt;/FQL&gt;&lt;FQL&gt;&lt;Q&gt;Ticker0024^FE_ESTIMATE(PRODLINE_SALES_16,MEAN,QUARTERLY_ROLL,2025/4F,45681,,,'')&lt;/Q&gt;&lt;R&gt;1&lt;/R&gt;&lt;C&gt;1&lt;/C&gt;&lt;D xsi:type="xsd:double"&gt;29219.857&lt;/D&gt;&lt;/FQL&gt;&lt;FQL&gt;&lt;Q&gt;Ticker0024^FE_ESTIMATE(PRODLINE_SALES_16,MEAN,QUARTERLY_ROLL,2025/3F,45681,,,'')&lt;/Q&gt;&lt;R&gt;1&lt;/R&gt;&lt;C&gt;1&lt;/C&gt;&lt;D xsi:type="xsd:double"&gt;26927.273&lt;/D&gt;&lt;/FQL&gt;&lt;FQL&gt;&lt;Q&gt;Ticker0024^FE_ESTIMATE(PRODLINE_SALES_16,MEAN,QUARTERLY_ROLL,2025/2F,45681,,,'')&lt;/Q&gt;&lt;R&gt;1&lt;/R&gt;&lt;C&gt;1&lt;/C&gt;&lt;D xsi:type="xsd:double"&gt;25838.334&lt;/D&gt;&lt;/FQL&gt;&lt;FQL&gt;&lt;Q&gt;Ticker0024^FE_ESTIMATE(PRODLINE_SALES_16,MEAN,QUARTERLY_ROLL,2025/1F,45681,,,'')&lt;/Q&gt;&lt;R&gt;1&lt;/R&gt;&lt;C&gt;1&lt;/C&gt;&lt;D xsi:type="xsd:double"&gt;24092&lt;/D&gt;&lt;/FQL&gt;&lt;FQL&gt;&lt;Q&gt;Ticker0024^FE_ESTIMATE(PRODLINE_SALES_16,MEAN,ANNUAL_ROLL,2024,45681,,,'')&lt;/Q&gt;&lt;R&gt;1&lt;/R&gt;&lt;C&gt;1&lt;/C&gt;&lt;D xsi:type="xsd:double"&gt;105362&lt;/D&gt;&lt;/FQL&gt;&lt;FQL&gt;&lt;Q&gt;Ticker0024^FE_ESTIMATE(PRODLINE_SALES_16,MEAN,QUARTERLY_ROLL,2024/4F,45681,,,'')&lt;/Q&gt;&lt;R&gt;1&lt;/R&gt;&lt;C&gt;1&lt;/C&gt;&lt;D xsi:type="xsd:double"&gt;28515&lt;/D&gt;&lt;/FQL&gt;&lt;FQL&gt;&lt;Q&gt;Ticker0024^FE_ESTIMATE(PRODLINE_SALES_16,MEAN,QUARTERLY_ROLL,2024/3F,45681,,,'')&lt;/Q&gt;&lt;R&gt;1&lt;/R&gt;&lt;C&gt;1&lt;/C&gt;&lt;D xsi:type="xsd:double"&gt;26708&lt;/D&gt;&lt;/FQL&gt;&lt;FQL&gt;&lt;Q&gt;Ticker0024^FE_ESTIMATE(PRODLINE_SALES_16,MEAN,QUARTERLY_ROLL,2024/2F,45681,,,'')&lt;/Q&gt;&lt;R&gt;1&lt;/R&gt;&lt;C&gt;1&lt;/C&gt;&lt;D xsi:type="xsd:double"&gt;25880&lt;/D&gt;&lt;/FQL&gt;&lt;FQL&gt;&lt;Q&gt;Ticker0024^FE_ESTIMATE(PRODLINE_SALES_16,MEAN,QUARTERLY_ROLL,2024/1F,45681,,,'')&lt;/Q&gt;&lt;R&gt;1&lt;/R&gt;&lt;C&gt;1&lt;/C&gt;&lt;D xsi:type="xsd:double"&gt;24259&lt;/D&gt;&lt;/FQL&gt;&lt;FQL&gt;&lt;Q&gt;Ticker0024^FE_ESTIMATE(PRODLINE_SALES_16,MEAN,ANNUAL_ROLL,2023,45681,,,'')&lt;/Q&gt;&lt;R&gt;1&lt;/R&gt;&lt;C&gt;1&lt;/C&gt;&lt;D xsi:type="xsd:double"&gt;87906.82&lt;/D&gt;&lt;/FQL&gt;&lt;FQL&gt;&lt;Q&gt;Ticker0024^FE_ESTIMATE(PRODLINE_SALES_16,MEAN,QUARTERLY_ROLL,2023/4F,45681,,,'')&lt;/Q&gt;&lt;R&gt;1&lt;/R&gt;&lt;C&gt;1&lt;/C&gt;&lt;D xsi:type="xsd:double"&gt;23993&lt;/D&gt;&lt;/FQL&gt;&lt;FQL&gt;&lt;Q&gt;Ticker0024^FE_ESTIMATE(PRODLINE_SALES_16,MEAN,QUARTERLY_ROLL,2023/3F,45681,,,'')&lt;/Q&gt;&lt;R&gt;1&lt;/R&gt;&lt;C&gt;1&lt;/C&gt;&lt;D xsi:type="xsd:double"&gt;22081&lt;/D&gt;&lt;/FQL&gt;&lt;FQL&gt;&lt;Q&gt;Ticker0024^FE_ESTIMATE(PRODLINE_SALES_16,MEAN,QUARTERLY_ROLL,2023/2F,45681,,,'')&lt;/Q&gt;&lt;R&gt;1&lt;/R&gt;&lt;C&gt;1&lt;/C&gt;&lt;D xsi:type="xsd:double"&gt;21508&lt;/D&gt;&lt;/FQL&gt;&lt;FQL&gt;&lt;Q&gt;Ticker0024^FE_ESTIMATE(PRODLINE_SALES_16,MEAN,QUARTERLY_ROLL,2023/1F,45681,,,'')&lt;/Q&gt;&lt;R&gt;1&lt;/R&gt;&lt;C&gt;1&lt;/C&gt;&lt;D xsi:type="xsd:double"&gt;20325&lt;/D&gt;&lt;/FQL&gt;&lt;FQL&gt;&lt;Q&gt;Ticker0024^FE_ESTIMATE(PRODLINE_SALES_16,MEAN,ANNUAL_ROLL,2022,45681,,,'')&lt;/Q&gt;&lt;R&gt;1&lt;/R&gt;&lt;C&gt;1&lt;/C&gt;&lt;D xsi:type="xsd:double"&gt;75251&lt;/D&gt;&lt;/FQL&gt;&lt;FQL&gt;&lt;Q&gt;Ticker0024^FE_ESTIMATE(PRODLINE_SALES_16,MEAN,QUARTERLY_ROLL,2022/4F,45681,,,'')&lt;/Q&gt;&lt;R&gt;1&lt;/R&gt;&lt;C&gt;1&lt;/C&gt;&lt;D xsi:type="xsd:double"&gt;20909&lt;/D&gt;&lt;/FQL&gt;&lt;FQL&gt;&lt;Q&gt;Ticker0024^FE_ESTIMATE(PRODLINE_SALES_16,MEAN,QUARTERLY_ROLL,2022/3F,45681,,,'')&lt;/Q&gt;&lt;R&gt;1&lt;/R&gt;&lt;C&gt;1&lt;/C&gt;&lt;D xsi:type="xsd:double"&gt;19051&lt;/D&gt;&lt;/FQL&gt;&lt;FQL&gt;&lt;Q&gt;Ticker0024^FE_ESTIMATE(PRODLINE_SALES_16,MEAN,QUARTERLY_ROLL,2022/2F,45681,,,'')&lt;/Q&gt;&lt;R&gt;1&lt;/R&gt;&lt;C&gt;1&lt;/C&gt;&lt;D xsi:type="xsd:double"&gt;18327&lt;/D&gt;&lt;/FQL&gt;&lt;FQL&gt;&lt;Q&gt;Ticker0024^FE_ESTIMATE(PRODLINE_SALES_16,MEAN,QUARTERLY_ROLL,2022/1F,45681,,,'')&lt;/Q&gt;&lt;R&gt;1&lt;/R&gt;&lt;C&gt;1&lt;/C&gt;&lt;D xsi:type="xsd:double"&gt;16964&lt;/D&gt;&lt;/FQL&gt;&lt;FQL&gt;&lt;Q&gt;Ticker0024^FE_ESTIMATE(PRODLINE_SALES_16,MEAN,ANNUAL_ROLL,2021,45681,,,'')&lt;/Q&gt;&lt;R&gt;1&lt;/R&gt;&lt;C&gt;1&lt;/C&gt;&lt;D xsi:type="xsd:double"&gt;60080&lt;/D&gt;&lt;/FQL&gt;&lt;FQL&gt;&lt;Q&gt;Ticker0024^FE_ESTIMATE(PRODLINE_SALES_16,MEAN,QUARTERLY_ROLL,2021/4F,45681,,,'')&lt;/Q&gt;&lt;R&gt;1&lt;/R&gt;&lt;C&gt;1&lt;/C&gt;&lt;D xsi:type="xsd:double"&gt;17375&lt;/D&gt;&lt;/FQL&gt;&lt;FQL&gt;&lt;Q&gt;Ticker0024^FE_ESTIMATE(PRODLINE_SALES_16,MEAN,QUARTERLY_ROLL,2021/3F,45681,,,'')&lt;/Q&gt;&lt;R&gt;1&lt;/R&gt;&lt;C&gt;1&lt;/C&gt;&lt;D xsi:type="xsd:double"&gt;15118&lt;/D&gt;&lt;/FQL&gt;&lt;FQL&gt;&lt;Q&gt;Ticker0024^FE_ESTIMATE(PRODLINE_SALES_16,MEAN,QUARTERLY_ROLL,2021/2F,45681,,,'')&lt;/Q&gt;&lt;R&gt;1&lt;/R&gt;&lt;C&gt;1&lt;/C&gt;&lt;D xsi:type="xsd:double"&gt;14601&lt;/D&gt;&lt;/FQL&gt;&lt;FQL&gt;&lt;Q&gt;Ticker0024^FE_ESTIMATE(PRODLINE_SALES_16,MEAN,QUARTERLY_ROLL,2021/1F,45681,,,'')&lt;/Q&gt;&lt;R&gt;1&lt;/R&gt;&lt;C&gt;1&lt;/C&gt;&lt;D xsi:type="xsd:double"&gt;12986&lt;/D&gt;&lt;/FQL&gt;&lt;FQL&gt;&lt;Q&gt;Ticker0024^FE_ESTIMATE(PRODLINE_SALES_16,MEAN,ANNUAL_ROLL,2020,45681,,,'')&lt;/Q&gt;&lt;R&gt;1&lt;/R&gt;&lt;C&gt;1&lt;/C&gt;&lt;D xsi:type="xsd:double"&gt;48366&lt;/D&gt;&lt;/FQL&gt;&lt;FQL&gt;&lt;Q&gt;Ticker0024^FE_ESTIMATE(PRODLINE_SALES_16,MEAN,QUARTERLY_ROLL,2020/4F,45681,,,'')&lt;/Q&gt;&lt;R&gt;1&lt;/R&gt;&lt;C&gt;1&lt;/C&gt;&lt;D xsi:type="xsd:double"&gt;13371&lt;/D&gt;&lt;/FQL&gt;&lt;FQL&gt;&lt;Q&gt;Ticker0024^FE_ESTIMATE(PRODLINE_SALES_16,MEAN,QUARTERLY_ROLL,2020/3F,45681,,,'')&lt;/Q&gt;&lt;R&gt;1&lt;/R&gt;&lt;C&gt;1&lt;/C&gt;&lt;D xsi:type="xsd:double"&gt;12281&lt;/D&gt;&lt;/FQL&gt;&lt;FQL&gt;&lt;Q&gt;Ticker0024^FE_ESTIMATE(PRODLINE_SALES_16,MEAN,QUARTERLY_ROLL,2020/2F,45681,,,'')&lt;/Q&gt;&lt;R&gt;1&lt;/R&gt;&lt;C&gt;1&lt;/C&gt;&lt;D xsi:type="xsd:double"&gt;11869&lt;/D&gt;&lt;/FQL&gt;&lt;FQL&gt;&lt;Q&gt;Ticker0024^FE_ESTIMATE(PRODLINE_SALES_16,MEAN,QUARTERLY_ROLL,2020/1F,45681,,,'')&lt;/Q&gt;&lt;R&gt;1&lt;/R&gt;&lt;C&gt;1&lt;/C&gt;&lt;D xsi:type="xsd:double"&gt;10845&lt;/D&gt;&lt;/FQL&gt;&lt;FQL&gt;&lt;Q&gt;Ticker0024^FE_ESTIMATE(PRODLINE_SALES_16,MEAN,ANNUAL_ROLL,2019,45681,,,'')&lt;/Q&gt;&lt;R&gt;1&lt;/R&gt;&lt;C&gt;1&lt;/C&gt;&lt;D xsi:type="xsd:double"&gt;38985&lt;/D&gt;&lt;/FQL&gt;&lt;FQL&gt;&lt;Q&gt;Ticker0024^FE_ESTIMATE(PRODLINE_SALES_16,MEAN,QUARTERLY_ROLL,2019/4F,45681,,,'')&lt;/Q&gt;&lt;R&gt;1&lt;/R&gt;&lt;C&gt;1&lt;/C&gt;&lt;D xsi:type="xsd:double"&gt;11391&lt;/D&gt;&lt;/FQL&gt;&lt;FQL&gt;&lt;Q&gt;Ticker0024^FE_ESTIMATE(PRODLINE_SALES_16,MEAN,QUARTERLY_ROLL,2019/3F,45681,,,'')&lt;/Q&gt;&lt;R&gt;1&lt;/R&gt;&lt;C&gt;1&lt;/C&gt;&lt;D xsi:type="xsd:double"&gt;9649&lt;/D&gt;&lt;/FQL&gt;&lt;FQL&gt;&lt;Q&gt;Ticker0024^FE_ESTIMATE(PRODLINE_SALES_16,MEAN,QUARTERLY_ROLL,2019/2F,45681,,,'')&lt;/Q&gt;&lt;R&gt;1&lt;/R&gt;&lt;C&gt;1&lt;/C&gt;&lt;D xsi:type="xsd:double"&gt;9378&lt;/D&gt;&lt;/FQL&gt;&lt;FQL&gt;&lt;Q&gt;Ticker0024^FE_ESTIMATE(PRODLINE_SALES_16,MEAN,QUARTERLY_ROLL,2019/1F,45681,,,'')&lt;/Q&gt;&lt;R&gt;1&lt;/R&gt;&lt;C&gt;1&lt;/C&gt;&lt;D xsi:type="xsd:double"&gt;8567&lt;/D&gt;&lt;/FQL&gt;&lt;FQL&gt;&lt;Q&gt;Ticker0024^FE_ESTIMATE(PRODLINE_SALES_16,MEAN,ANNUAL_ROLL,2018,45681,,,'')&lt;/Q&gt;&lt;R&gt;1&lt;/R&gt;&lt;C&gt;1&lt;/C&gt;&lt;D xsi:type="xsd:double"&gt;32219&lt;/D&gt;&lt;/FQL&gt;&lt;FQL&gt;&lt;Q&gt;Ticker0024^FE_ESTIMATE(PRODLINE_SALES_16,MEAN,QUARTERLY_ROLL,2018/4F,45681,,,'')&lt;/Q&gt;&lt;R&gt;1&lt;/R&gt;&lt;C&gt;1&lt;/C&gt;&lt;D xsi:type="xsd:double"&gt;9606&lt;/D&gt;&lt;/FQL&gt;&lt;FQL&gt;&lt;Q&gt;Ticker0024^FE_ESTIMATE(PRODLINE_SALES_16,MEAN,QUARTERLY_ROLL,2018/3F,45681,,,'')&lt;/Q&gt;&lt;R&gt;1&lt;/R&gt;&lt;C&gt;1&lt;/C&gt;&lt;D xsi:type="xsd:double"&gt;7896&lt;/D&gt;&lt;/FQL&gt;&lt;FQL&gt;&lt;Q&gt;Ticker0024^FE_ESTIMATE(PRODLINE_SALES_16,MEAN,QUARTERLY_ROLL,2018/2F,45681,,,'')&lt;/Q&gt;&lt;R&gt;1&lt;/R&gt;&lt;C&gt;1&lt;/C&gt;&lt;D xsi:type="xsd:double"&gt;7795&lt;/D&gt;&lt;/FQL&gt;&lt;FQL&gt;&lt;Q&gt;Ticker0024^FE_ESTIMATE(PRODLINE_SALES_16,MEAN,QUARTERLY_ROLL,2018/1F,45681,,,'')&lt;/Q&gt;&lt;R&gt;1&lt;/R&gt;&lt;C&gt;1&lt;/C&gt;&lt;D xsi:type="xsd:double"&gt;6922&lt;/D&gt;&lt;/FQL&gt;&lt;FQL&gt;&lt;Q&gt;Ticker0024^FE_ESTIMATE(PRODLINE_SALES_16,MEAN,ANNUAL_ROLL,2017,45681,,,'')&lt;/Q&gt;&lt;R&gt;1&lt;/R&gt;&lt;C&gt;1&lt;/C&gt;&lt;D xsi:type="xsd:double"&gt;27440&lt;/D&gt;&lt;/FQL&gt;&lt;FQL&gt;&lt;Q&gt;Ticker0024^FE_ESTIMATE(PRODLINE_SALES_16,MEAN,QUARTERLY_ROLL,2017/4F,45681,,,'')&lt;/Q&gt;&lt;R&gt;1&lt;/R&gt;&lt;C&gt;1&lt;/C&gt;&lt;D xsi:type="xsd:double"&gt;7434&lt;/D&gt;&lt;/FQL&gt;&lt;FQL&gt;&lt;Q&gt;Ticker0024^FE_ESTIMATE(PRODLINE_SALES_16,MEAN,QUARTERLY_ROLL,2017/3F,45681,,,'')&lt;/Q&gt;&lt;R&gt;1&lt;/R&gt;&lt;C&gt;1&lt;/C&gt;&lt;D xsi:type="xsd:double"&gt;6763&lt;/D&gt;&lt;/FQL&gt;&lt;FQL&gt;&lt;Q&gt;Ticker0024^FE_ESTIMATE(PRODLINE_SALES_16,MEAN,QUARTERLY_ROLL,2017/2F,45681,,,'')&lt;/Q&gt;&lt;R&gt;1&lt;/R&gt;&lt;C&gt;1&lt;/C&gt;&lt;D xsi:type="xsd:double"&gt;6861&lt;/D&gt;&lt;/FQL&gt;&lt;FQL&gt;&lt;Q&gt;Ticker0024^FE_ESTIMATE(PRODLINE_SALES_16,MEAN,QUARTERLY_ROLL,2017/1F,45681,,,'')&lt;/Q&gt;&lt;R&gt;1&lt;/R&gt;&lt;C&gt;1&lt;/C&gt;&lt;D xsi:type="xsd:double"&gt;6382&lt;/D&gt;&lt;/FQL&gt;&lt;FQL&gt;&lt;Q&gt;Ticker0024^FE_ESTIMATE(PRODLINE_SALES_16,MEAN,ANNUAL_ROLL,2016,45681,,,'')&lt;/Q&gt;&lt;R&gt;1&lt;/R&gt;&lt;C&gt;1&lt;/C&gt;&lt;D xsi:type="xsd:double"&gt;25042&lt;/D&gt;&lt;/FQL&gt;&lt;FQL&gt;&lt;Q&gt;Ticker0024^FE_ESTIMATE(PRODLINE_SALES_16,MEAN,QUARTERLY_ROLL,2016/4F,45681,,,'')&lt;/Q&gt;&lt;R&gt;1&lt;/R&gt;&lt;C&gt;1&lt;/C&gt;&lt;D xsi:type="xsd:double"&gt;6711&lt;/D&gt;&lt;/FQL&gt;&lt;FQL&gt;&lt;Q&gt;Ticker0024^FE_ESTIMATE(PRODLINE_SALES_16,MEAN,QUARTERLY_ROLL,2016/3F,45681,,,'')&lt;/Q&gt;&lt;R&gt;1&lt;/R&gt;&lt;C&gt;1&lt;/C&gt;&lt;D xsi:type="xsd:double"&gt;6096&lt;/D&gt;&lt;/FQL&gt;&lt;FQL&gt;&lt;Q&gt;Ticker0024^FE_ESTIMATE(PRODLINE_SALES_16,MEAN,QUARTERLY_ROLL,2016/2F,45681,,,'')&lt;/Q&gt;&lt;R&gt;1&lt;/R&gt;&lt;C&gt;1&lt;/C&gt;&lt;D xsi:type="xsd:double"&gt;6343&lt;/D&gt;&lt;/FQL&gt;&lt;FQL&gt;&lt;Q&gt;Ticker0024^FE_ESTIMATE(PRODLINE_SALES_16,MEAN,QUARTERLY_ROLL,2016/1F,45681,,,'')&lt;/Q&gt;&lt;R&gt;1&lt;/R&gt;&lt;C&gt;1&lt;/C&gt;&lt;D xsi:type="xsd:double"&gt;5892&lt;/D&gt;&lt;/FQL&gt;&lt;FQL&gt;&lt;Q&gt;Ticker0024^FE_ESTIMATE(PRODLINE_SALES_16,MEAN,ANNUAL_ROLL,2015,45681,,,'')&lt;/Q&gt;&lt;R&gt;0&lt;/R&gt;&lt;C&gt;0&lt;/C&gt;&lt;/FQL&gt;&lt;FQL&gt;&lt;Q&gt;Ticker0024^FE_ESTIMATE(PRODLINE_SALES_16,MEAN,QUARTERLY_ROLL,2015/4F,45681,,,'')&lt;/Q&gt;&lt;R&gt;0&lt;/R&gt;&lt;C&gt;0&lt;/C&gt;&lt;/FQL&gt;&lt;FQL&gt;&lt;Q&gt;Ticker0024^FE_ESTIMATE(PRODLINE_SALES_16,MEAN,QUARTERLY_ROLL,2015/3F,45681,,,'')&lt;/Q&gt;&lt;R&gt;0&lt;/R&gt;&lt;C&gt;0&lt;/C&gt;&lt;/FQL&gt;&lt;FQL&gt;&lt;Q&gt;Ticker0024^FE_ESTIMATE(PRODLINE_SALES_16,MEAN,QUARTERLY_ROLL,2015/2F,45681,,,'')&lt;/Q&gt;&lt;R&gt;0&lt;/R&gt;&lt;C&gt;0&lt;/C&gt;&lt;/FQL&gt;&lt;FQL&gt;&lt;Q&gt;Ticker0024^FE_ESTIMATE(PRODLINE_SALES_16,MEAN,QUARTERLY_ROLL,2015/1F,45681,,,'')&lt;/Q&gt;&lt;R&gt;0&lt;/R&gt;&lt;C&gt;0&lt;/C&gt;&lt;/FQL&gt;&lt;FQL&gt;&lt;Q&gt;Ticker0024^FE_ESTIMATE(PRODLINE_SALES_15,MEAN,ANNUAL_ROLL,2030,45681,,,'')&lt;/Q&gt;&lt;R&gt;0&lt;/R&gt;&lt;C&gt;0&lt;/C&gt;&lt;/FQL&gt;&lt;FQL&gt;&lt;Q&gt;Ticker0024^FE_ESTIMATE(PRODLINE_SALES_15,MEAN,QUARTERLY_ROLL,2030/4F,45681,,,'')&lt;/Q&gt;&lt;R&gt;0&lt;/R&gt;&lt;C&gt;0&lt;/C&gt;&lt;/FQL&gt;&lt;FQL&gt;&lt;Q&gt;Ticker0024^FE_ESTIMATE(PRODLINE_SALES_15,MEAN,QUARTERLY_ROLL,2030/3F,45681,,,'')&lt;/Q&gt;&lt;R&gt;0&lt;/R&gt;&lt;C&gt;0&lt;/C&gt;&lt;/FQL&gt;&lt;FQL&gt;&lt;Q&gt;Ticker0024^FE_ESTIMATE(PRODLINE_SALES_15,MEAN,QUARTERLY_ROLL,2030/2F,45681,,,'')&lt;/Q&gt;&lt;R&gt;0&lt;/R&gt;&lt;C&gt;0&lt;/C&gt;&lt;/FQL&gt;&lt;FQL&gt;&lt;Q&gt;Ticker0024^FE_ESTIMATE(PRODLINE_SALES_15,MEAN,QUARTERLY_ROLL,2030/1F,45681,,,'')&lt;/Q&gt;&lt;R&gt;0&lt;/R&gt;&lt;C&gt;0&lt;/C&gt;&lt;/FQL&gt;&lt;FQL&gt;&lt;Q&gt;Ticker0024^FE_ESTIMATE(PRODLINE_SALES_15,MEAN,ANNUAL_ROLL,2029,45681,,,'')&lt;/Q&gt;&lt;R&gt;0&lt;/R&gt;&lt;C&gt;0&lt;/C&gt;&lt;/FQL&gt;&lt;FQL&gt;&lt;Q&gt;Ticker0024^FE_ESTIMATE(PRODLINE_SALES_15,MEAN,QUARTERLY_ROLL,2029/4F,45681,,,'')&lt;/Q&gt;&lt;R&gt;0&lt;/R&gt;&lt;C&gt;0&lt;/C&gt;&lt;/FQL&gt;&lt;FQL&gt;&lt;Q&gt;Ticker0024^FE_ESTIMATE(PRODLINE_SALES_15,MEAN,QUARTERLY_ROLL,2029/3F,45681,,,'')&lt;/Q&gt;&lt;R&gt;0&lt;/R&gt;&lt;C&gt;0&lt;/C&gt;&lt;/FQL&gt;&lt;FQL&gt;&lt;Q&gt;Ticker0024^FE_ESTIMATE(PRODLINE_SALES_15,MEAN,QUARTERLY_ROLL,2029/2F,45681,,,'')&lt;/Q&gt;&lt;R&gt;0&lt;/R&gt;&lt;C&gt;0&lt;/C&gt;&lt;/FQL&gt;&lt;FQL&gt;&lt;Q&gt;Ticker0024^FE_ESTIMATE(PRODLINE_SALES_15,MEAN,QUARTERLY_ROLL,2029/1F,45681,,,'')&lt;/Q&gt;&lt;R&gt;0&lt;/R&gt;&lt;C&gt;0&lt;/C&gt;&lt;/FQL&gt;&lt;FQL&gt;&lt;Q&gt;Ticker0024^FE_ESTIMATE(PRODLINE_SALES_15,MEAN,ANNUAL_ROLL,2028,45681,,,'')&lt;/Q&gt;&lt;R&gt;0&lt;/R&gt;&lt;C&gt;0&lt;/C&gt;&lt;/FQL&gt;&lt;FQL&gt;&lt;Q&gt;Ticker0024^FE_ESTIMATE(PRODLINE_SALES_15,MEAN,QUARTERLY_ROLL,2028/4F,45681,,,'')&lt;/Q&gt;&lt;R&gt;0&lt;/R&gt;&lt;C&gt;0&lt;/C&gt;&lt;/FQL&gt;&lt;FQL&gt;&lt;Q&gt;Ticker0024^FE_ESTIMATE(PRODLINE_SALES_15,MEAN,QUARTERLY_ROLL,2028/3F,45681,,,'')&lt;/Q&gt;&lt;R&gt;0&lt;/R&gt;&lt;C&gt;0&lt;/C&gt;&lt;/FQL&gt;&lt;FQL&gt;&lt;Q&gt;Ticker0024^FE_ESTIMATE(PRODLINE_SALES_15,MEAN,QUARTERLY_ROLL,2028/2F,45681,,,'')&lt;/Q&gt;&lt;R&gt;0&lt;/R&gt;&lt;C&gt;0&lt;/C&gt;&lt;/FQL&gt;&lt;FQL&gt;&lt;Q&gt;Ticker0024^FE_ESTIMATE(PRODLINE_SALES_15,MEAN,QUARTERLY_ROLL,2028/1F,45681,,,'')&lt;/Q&gt;&lt;R&gt;0&lt;/R&gt;&lt;C&gt;0&lt;/C&gt;&lt;/FQL&gt;&lt;FQL&gt;&lt;Q&gt;Ticker0024^FE_ESTIMATE(PRODLINE_SALES_15,MEAN,ANNUAL_ROLL,2027,45681,,,'')&lt;/Q&gt;&lt;R&gt;1&lt;/R&gt;&lt;C&gt;1&lt;/C&gt;&lt;D xsi:type="xsd:double"&gt;139778.14&lt;/D&gt;&lt;/FQL&gt;&lt;FQL&gt;&lt;Q&gt;Ticker0024^FE_ESTIMATE(PRODLINE_SALES_15,MEAN,QUARTERLY_ROLL,2027/4F,45681,,,'')&lt;/Q&gt;&lt;R&gt;1&lt;/R&gt;&lt;C&gt;1&lt;/C&gt;&lt;D xsi:type="xsd:double"&gt;37139&lt;/D&gt;&lt;/FQL&gt;&lt;FQL&gt;&lt;Q&gt;Ticker0024^FE_ESTIMATE(PRODLINE_SALES_15,MEAN,QUARTERLY_ROLL,2027/3F,45681,,,'')&lt;/Q&gt;&lt;R&gt;1&lt;/R&gt;&lt;C&gt;1&lt;/C&gt;&lt;D xsi:type="xsd:double"&gt;34841&lt;/D&gt;&lt;/FQL&gt;&lt;FQL&gt;&lt;Q&gt;Ticker0024^FE_ESTIMATE(PRODLINE_SALES_15,MEAN,QUARTERLY_ROLL,2027/2F,45681,,,'')&lt;/Q&gt;&lt;R&gt;1&lt;/R&gt;&lt;C&gt;1&lt;/C&gt;&lt;D xsi:type="xsd:double"&gt;35004&lt;/D&gt;&lt;/FQL&gt;&lt;FQL&gt;&lt;Q&gt;Ticker0024^FE_ESTIMATE(PRODLINE_SALES_15,MEAN,QUARTERLY_ROLL,2027/1F,45681,,,'')&lt;/Q&gt;&lt;R&gt;1&lt;/R&gt;&lt;C&gt;1&lt;/C&gt;&lt;D xsi:type="xsd:double"&gt;34324&lt;/D&gt;&lt;/FQL&gt;&lt;FQL&gt;&lt;Q&gt;Ticker0024^FE_ESTIMATE(PRODLINE_SALES_15,MEAN,ANNUAL_ROLL,2026,45681,,,'')&lt;/Q&gt;&lt;R&gt;1&lt;/R&gt;&lt;C&gt;1&lt;/C&gt;&lt;D xsi:type="xsd:double"&gt;127388.54&lt;/D&gt;&lt;/FQL&gt;&lt;FQL&gt;&lt;Q&gt;Ticker0024^FE_ESTIMATE(PRODLINE_SALES_15,MEAN,QUARTERLY_ROLL,2026/4F,45681,,,'')&lt;/Q&gt;&lt;R&gt;1&lt;/R&gt;&lt;C&gt;1&lt;/C&gt;&lt;D xsi:type="xsd:double"&gt;34271.793&lt;/D&gt;&lt;/FQL&gt;&lt;FQL&gt;&lt;Q&gt;Ticker0024^FE_ESTIMATE(PRODLINE_SALES_15,MEAN,QUARTERLY_ROLL,2026/3F,45681,,,'')&lt;/Q&gt;&lt;R&gt;1&lt;/R&gt;&lt;C&gt;1&lt;/C&gt;&lt;D xsi:type="xsd:double"&gt;32670.033&lt;/D&gt;&lt;/FQL&gt;&lt;FQL&gt;&lt;Q&gt;Ticker0024^FE_ESTIMATE(PRODLINE_SALES_15,MEAN,QUARTERLY_ROLL,2026/2F,45681,,,'')&lt;/Q&gt;&lt;R&gt;1&lt;/R&gt;&lt;C&gt;1&lt;/C&gt;&lt;D xsi:type="xsd:double"&gt;31729.934&lt;/D&gt;&lt;/FQL&gt;&lt;FQL&gt;&lt;Q&gt;Ticker0024^FE_ESTIMATE(PRODLINE_SALES_15,MEAN,QUARTERLY_ROLL,2026/1F,45681,,,'')&lt;/Q&gt;&lt;R&gt;1&lt;/R&gt;&lt;C&gt;1&lt;/C&gt;&lt;D xsi:type="xsd:double"&gt;31239.828&lt;/D&gt;&lt;/FQL&gt;&lt;FQL&gt;&lt;Q&gt;Ticker0024^FE_ESTIMATE(PRODLINE_SALES_15,MEAN,ANNUAL_ROLL,2025,45681,,,'')&lt;/Q&gt;&lt;R&gt;1&lt;/R&gt;&lt;C&gt;1&lt;/C&gt;&lt;D xsi:type="xsd:double"&gt;115707.81&lt;/D&gt;&lt;/FQL&gt;&lt;FQL&gt;&lt;Q&gt;Ticker0024^FE_ESTIMATE(PRODLINE_SALES_15,MEAN,QUARTERLY_ROLL,2025/4F,45681,,,'')&lt;/Q&gt;&lt;R&gt;1&lt;/R&gt;&lt;C&gt;1&lt;/C&gt;&lt;D xsi:type="xsd:double"&gt;31395.666&lt;/D&gt;&lt;/FQL&gt;&lt;FQL&gt;&lt;Q&gt;Ticker0024^FE_ESTIMATE(PRODLINE_SALES_15,MEAN,QUARTERLY_ROLL,2025/3F,45681,,,'')&lt;/Q&gt;&lt;R&gt;1&lt;/R&gt;&lt;C&gt;1&lt;/C&gt;&lt;D xsi:type="xsd:double"&gt;29932.455&lt;/D&gt;&lt;/FQL&gt;&lt;FQL&gt;&lt;Q&gt;Ticker0024^FE_ESTIMATE(PRODLINE_SALES_15,MEAN,QUARTERLY_ROLL,2025/2F,45681,,,'')&lt;/Q&gt;&lt;R&gt;1&lt;/R&gt;&lt;C&gt;1&lt;/C&gt;&lt;D xsi:type="xsd:double"&gt;28901.791&lt;/D&gt;&lt;/FQL&gt;&lt;FQL&gt;&lt;Q&gt;Ticker0024^FE_ESTIMATE(PRODLINE_SALES_15,MEAN,QUARTERLY_ROLL,2025/1F,45681,,,'')&lt;/Q&gt;&lt;R&gt;1&lt;/R&gt;&lt;C&gt;1&lt;/C&gt;&lt;D xsi:type="xsd:double"&gt;28317&lt;/D&gt;&lt;/FQL&gt;&lt;FQL&gt;&lt;Q&gt;Ticker0024^FE_ESTIMATE(PRODLINE_SALES_15,MEAN,ANNUAL_ROLL,2024,45681,,,'')&lt;/Q&gt;&lt;R&gt;1&lt;/R&gt;&lt;C&gt;1&lt;/C&gt;&lt;D xsi:type="xsd:double"&gt;77728&lt;/D&gt;&lt;/FQL&gt;&lt;FQL&gt;&lt;Q&gt;Ticker0024^FE_ESTIMATE(PRODLINE_SALES_15,MEAN,QUARTERLY_ROLL,2024/4F,45681,,,'')&lt;/Q&gt;&lt;R&gt;1&lt;/R&gt;&lt;C&gt;1&lt;/C&gt;&lt;D xsi:type="xsd:double"&gt;20317&lt;/D&gt;&lt;/FQL&gt;&lt;FQL&gt;&lt;Q&gt;Ticker0024^FE_ESTIMATE(PRODLINE_SALES_15,MEAN,QUARTERLY_ROLL,2024/3F,45681,,,'')&lt;/Q&gt;&lt;R&gt;1&lt;/R&gt;&lt;C&gt;1&lt;/C&gt;&lt;D xsi:type="xsd:double"&gt;19570&lt;/D&gt;&lt;/FQL&gt;&lt;FQL&gt;&lt;Q&gt;Ticker0024^FE_ESTIMATE(PRODLINE_SALES_15,MEAN,QUARTERLY_ROLL,2024/2F,45681,,,'')&lt;/Q&gt;&lt;R&gt;1&lt;/R&gt;&lt;C&gt;1&lt;/C&gt;&lt;D xsi:type="xsd:double"&gt;19249&lt;/D&gt;&lt;/FQL&gt;&lt;FQL&gt;&lt;Q&gt;Ticker0024^FE_ESTIMATE(PRODLINE_SALES_15,MEAN,QUARTERLY_ROLL,2024/1F,45681,,,'')&lt;/Q&gt;&lt;R&gt;1&lt;/R&gt;&lt;C&gt;1&lt;/C&gt;&lt;D xsi:type="xsd:double"&gt;18592&lt;/D&gt;&lt;/FQL&gt;&lt;FQL&gt;&lt;Q&gt;Ticker0024^FE_ESTIMATE(PRODLINE_SALES_15,MEAN,ANNUAL_ROLL,2023,45681,,,'')&lt;/Q&gt;&lt;R&gt;1&lt;/R&gt;&lt;C&gt;1&lt;/C&gt;&lt;D xsi:type="xsd:double"&gt;69275&lt;/D&gt;&lt;/FQL&gt;&lt;FQL&gt;&lt;Q&gt;Ticker0024^FE_ESTIMATE(PRODLINE_SALES_15,MEAN,QUARTERLY_ROLL,2023/4F,45681,,,'')&lt;/Q&gt;&lt;R&gt;1&lt;/R&gt;&lt;C&gt;1&lt;/C&gt;&lt;D xsi:type="xsd:double"&gt;18291&lt;/D&gt;&lt;/FQL&gt;&lt;FQL&gt;&lt;Q&gt;Ticker0024^FE_ESTIMATE(PRODLINE_SALES_15,MEAN,QUARTERLY_ROLL,2023/3F,45681,,,'')&lt;/Q&gt;&lt;R&gt;1&lt;/R&gt;&lt;C&gt;1&lt;/C&gt;&lt;D xsi:type="xsd:double"&gt;17516&lt;/D&gt;&lt;/FQL&gt;&lt;FQL&gt;&lt;Q&gt;Ticker0024^FE_ESTIMATE(PRODLINE_SALES_15,MEAN,QUARTERLY_ROLL,2023/2F,45681,,,'')&lt;/Q&gt;&lt;R&gt;1&lt;/R&gt;&lt;C&gt;1&lt;/C&gt;&lt;D xsi:type="xsd:double"&gt;17002&lt;/D&gt;&lt;/FQL&gt;&lt;FQL&gt;&lt;Q&gt;Ticker0024^FE_ESTIMATE(PRODLINE_SALES_15,MEAN,QUARTERLY_ROLL,2023/1F,45681,,,'')&lt;/Q&gt;&lt;R&gt;1&lt;/R&gt;&lt;C&gt;1&lt;/C&gt;&lt;D xsi:type="xsd:double"&gt;16465&lt;/D&gt;&lt;/FQL&gt;&lt;FQL&gt;&lt;Q&gt;Ticker0024^FE_ESTIMATE(PRODLINE_SALES_15,MEAN,ANNUAL_ROLL,2022,45681,,,'')&lt;/Q&gt;&lt;R&gt;1&lt;/R&gt;&lt;C&gt;1&lt;/C&gt;&lt;D xsi:type="xsd:double"&gt;63364&lt;/D&gt;&lt;/FQL&gt;&lt;FQL&gt;&lt;Q&gt;Ticker0024^FE_ESTIMATE(PRODLINE_SALES_15,MEAN,QUARTERLY_ROLL,2022/4F,45681,,,'')&lt;/Q&gt;&lt;R&gt;1&lt;/R&gt;&lt;C&gt;1&lt;/C&gt;&lt;D xsi:type="xsd:double"&gt;16600&lt;/D&gt;&lt;/FQL&gt;&lt;FQL&gt;&lt;Q&gt;Ticker0024^FE_ESTIMATE(PRODLINE_SALES_15,MEAN,QUARTERLY_ROLL,2022/3F,45681,,,'')&lt;/Q&gt;&lt;R&gt;1&lt;/R&gt;&lt;C&gt;1&lt;/C&gt;&lt;D xsi:type="xsd:double"&gt;15789&lt;/D&gt;&lt;/FQL&gt;&lt;FQL&gt;&lt;Q&gt;Ticker0024^FE_ESTIMATE(PRODLINE_SALES_15,MEAN,QUARTERLY_ROLL,2022/2F,45681,,,'')&lt;/Q&gt;&lt;R&gt;1&lt;/R&gt;&lt;C&gt;1&lt;/C&gt;&lt;D xsi:type="xsd:double"&gt;15936&lt;/D&gt;&lt;/FQL&gt;&lt;FQL&gt;&lt;Q&gt;Ticker0024^FE_ESTIMATE(PRODLINE_SALES_15,MEAN,QUARTERLY_ROLL,2022/1F,45681,,,'')&lt;/Q&gt;&lt;R&gt;1&lt;/R&gt;&lt;C&gt;1&lt;/C&gt;&lt;D xsi:type="xsd:double"&gt;15039&lt;/D&gt;&lt;/FQL&gt;&lt;FQL&gt;&lt;Q&gt;Ticker0024^FE_ESTIMATE(PRODLINE_SALES_15,MEAN,ANNUAL_ROLL,2021,45681,,,'')&lt;/Q&gt;&lt;R&gt;1&lt;/R&gt;&lt;C&gt;1&lt;/C&gt;&lt;D xsi:type="xsd:double"&gt;53915&lt;/D&gt;&lt;/FQL&gt;&lt;FQL&gt;&lt;Q&gt;Ticker0024^FE_ESTIMATE(PRODLINE_SALES_15,MEAN,QUARTERLY_ROLL,2021/4F,45681,,,'')&lt;/Q&gt;&lt;R&gt;1&lt;/R&gt;&lt;C&gt;1&lt;/C&gt;&lt;D xsi:type="xsd:double"&gt;14691&lt;/D&gt;&lt;/FQL&gt;&lt;FQL&gt;&lt;Q&gt;Ticker0024^FE_ESTIMATE(PRODLINE_SALES_15,MEAN,QUARTERLY_ROLL,2021/3F,45681,,,'')&lt;/Q&gt;&lt;R&gt;1&lt;/R&gt;&lt;C&gt;1&lt;/C&gt;&lt;D xsi:type="xsd:double"&gt;13552&lt;/D&gt;&lt;/FQL&gt;&lt;FQL&gt;&lt;Q&gt;Ticker0024^FE_ESTIMATE(PRODLINE_SALES_15,MEAN,QUARTERLY_ROLL,2021/2F,45681,,,'')&lt;/Q&gt;&lt;R&gt;1&lt;/R&gt;&lt;C&gt;1&lt;/C&gt;&lt;D xsi:type="xsd:double"&gt;13353&lt;/D&gt;&lt;/FQL&gt;&lt;FQL&gt;&lt;Q&gt;Ticker0024^FE_ESTIMATE(PRODLINE_SALES_15,MEAN,QUARTERLY_ROLL,2021/1F,45681,,,''</t>
        </r>
      </text>
    </comment>
    <comment ref="A14" authorId="0" shapeId="0" xr:uid="{47BFFA00-AB2C-4038-B8F2-A4DC1577590D}">
      <text>
        <r>
          <rPr>
            <b/>
            <sz val="9"/>
            <color indexed="81"/>
            <rFont val="Tahoma"/>
            <family val="2"/>
          </rPr>
          <t>Author:type="xsd:double"&gt;12319&lt;/D&gt;&lt;/FQL&gt;&lt;FQL&gt;&lt;Q&gt;Ticker0024^FE_ESTIMATE(PRODLINE_SALES_15,MEAN,ANNUAL_ROLL,2020,45681,,,'')&lt;/Q&gt;&lt;R&gt;1&lt;/R&gt;&lt;C&gt;1&lt;/C&gt;&lt;D xsi:type="xsd:double"&gt;46398&lt;/D&gt;&lt;/FQL&gt;&lt;FQL&gt;&lt;Q&gt;Ticker0024^FE_ESTIMATE(PRODLINE_SALES_15,MEAN,QUARTERLY_ROLL,2020/4F,45681,,,'')&lt;/Q&gt;&lt;R&gt;1&lt;/R&gt;&lt;C&gt;1&lt;/C&gt;&lt;D xsi:type="xsd:double"&gt;11752&lt;/D&gt;&lt;/FQL&gt;&lt;FQL&gt;&lt;Q&gt;Ticker0024^FE_ESTIMATE(PRODLINE_SALES_15,MEAN,QUARTERLY_ROLL,2020/3F,45681,,,'')&lt;/Q&gt;&lt;R&gt;1&lt;/R&gt;&lt;C&gt;1&lt;/C&gt;&lt;D xsi:type="xsd:double"&gt;11743&lt;/D&gt;&lt;/FQL&gt;&lt;FQL&gt;&lt;Q&gt;Ticker0024^FE_ESTIMATE(PRODLINE_SALES_15,MEAN,QUARTERLY_ROLL,2020/2F,45681,,,'')&lt;/Q&gt;&lt;R&gt;1&lt;/R&gt;&lt;C&gt;1&lt;/C&gt;&lt;D xsi:type="xsd:double"&gt;11826&lt;/D&gt;&lt;/FQL&gt;&lt;FQL&gt;&lt;Q&gt;Ticker0024^FE_ESTIMATE(PRODLINE_SALES_15,MEAN,QUARTERLY_ROLL,2020/1F,45681,,,'')&lt;/Q&gt;&lt;R&gt;1&lt;/R&gt;&lt;C&gt;1&lt;/C&gt;&lt;D xsi:type="xsd:double"&gt;11077&lt;/D&gt;&lt;/FQL&gt;&lt;FQL&gt;&lt;Q&gt;Ticker0024^FE_ESTIMATE(PRODLINE_SALES_15,MEAN,ANNUAL_ROLL,2019,45681,,,'')&lt;/Q&gt;&lt;R&gt;1&lt;/R&gt;&lt;C&gt;1&lt;/C&gt;&lt;D xsi:type="xsd:double"&gt;41160&lt;/D&gt;&lt;/FQL&gt;&lt;FQL&gt;&lt;Q&gt;Ticker0024^FE_ESTIMATE(PRODLINE_SALES_15,MEAN,QUARTERLY_ROLL,2019/4F,45681,,,'')&lt;/Q&gt;&lt;R&gt;1&lt;/R&gt;&lt;C&gt;1&lt;/C&gt;&lt;D xsi:type="xsd:double"&gt;11047&lt;/D&gt;&lt;/FQL&gt;&lt;FQL&gt;&lt;Q&gt;Ticker0024^FE_ESTIMATE(PRODLINE_SALES_15,MEAN,QUARTERLY_ROLL,2019/3F,45681,,,'')&lt;/Q&gt;&lt;R&gt;1&lt;/R&gt;&lt;C&gt;1&lt;/C&gt;&lt;D xsi:type="xsd:double"&gt;10242&lt;/D&gt;&lt;/FQL&gt;&lt;FQL&gt;&lt;Q&gt;Ticker0024^FE_ESTIMATE(PRODLINE_SALES_15,MEAN,QUARTERLY_ROLL,2019/2F,45681,,,'')&lt;/Q&gt;&lt;R&gt;1&lt;/R&gt;&lt;C&gt;1&lt;/C&gt;&lt;D xsi:type="xsd:double"&gt;10100&lt;/D&gt;&lt;/FQL&gt;&lt;FQL&gt;&lt;Q&gt;Ticker0024^FE_ESTIMATE(PRODLINE_SALES_15,MEAN,QUARTERLY_ROLL,2019/1F,45681,,,'')&lt;/Q&gt;&lt;R&gt;1&lt;/R&gt;&lt;C&gt;1&lt;/C&gt;&lt;D xsi:type="xsd:double"&gt;9771&lt;/D&gt;&lt;/FQL&gt;&lt;FQL&gt;&lt;Q&gt;Ticker0024^FE_ESTIMATE(PRODLINE_SALES_15,MEAN,ANNUAL_ROLL,2018,45681,,,'')&lt;/Q&gt;&lt;R&gt;1&lt;/R&gt;&lt;C&gt;1&lt;/C&gt;&lt;D xsi:type="xsd:double"&gt;35865&lt;/D&gt;&lt;/FQL&gt;&lt;FQL&gt;&lt;Q&gt;Ticker0024^FE_ESTIMATE(PRODLINE_SALES_15,MEAN,QUARTERLY_ROLL,2018/4F,45681,,,'')&lt;/Q&gt;&lt;R&gt;1&lt;/R&gt;&lt;C&gt;1&lt;/C&gt;&lt;D xsi:type="xsd:double"&gt;9668&lt;/D&gt;&lt;/FQL&gt;&lt;FQL&gt;&lt;Q&gt;Ticker0024^FE_ESTIMATE(PRODLINE_SALES_15,MEAN,QUARTERLY_ROLL,2018/3F,45681,,,'')&lt;/Q&gt;&lt;R&gt;1&lt;/R&gt;&lt;C&gt;1&lt;/C&gt;&lt;D xsi:type="xsd:double"&gt;9006&lt;/D&gt;&lt;/FQL&gt;&lt;FQL&gt;&lt;Q&gt;Ticker0024^FE_ESTIMATE(PRODLINE_SALES_15,MEAN,QUARTERLY_ROLL,2018/2F,45681,,,'')&lt;/Q&gt;&lt;R&gt;1&lt;/R&gt;&lt;C&gt;1&lt;/C&gt;&lt;D xsi:type="xsd:double"&gt;8953&lt;/D&gt;&lt;/FQL&gt;&lt;FQL&gt;&lt;Q&gt;Ticker0024^FE_ESTIMATE(PRODLINE_SALES_15,MEAN,QUARTERLY_ROLL,2018/1F,45681,,,'')&lt;/Q&gt;&lt;R&gt;1&lt;/R&gt;&lt;C&gt;1&lt;/C&gt;&lt;D xsi:type="xsd:double"&gt;8238&lt;/D&gt;&lt;/FQL&gt;&lt;FQL&gt;&lt;Q&gt;Ticker0024^FE_ESTIMATE(PRODLINE_SALES_15,MEAN,ANNUAL_ROLL,2017,45681,,,'')&lt;/Q&gt;&lt;R&gt;1&lt;/R&gt;&lt;C&gt;1&lt;/C&gt;&lt;D xsi:type="xsd:double"&gt;30444&lt;/D&gt;&lt;/FQL&gt;&lt;FQL&gt;&lt;Q&gt;Ticker0024^FE_ESTIMATE(PRODLINE_SALES_15,MEAN,QUARTERLY_ROLL,2017/4F,45681,,,'')&lt;/Q&gt;&lt;R&gt;1&lt;/R&gt;&lt;C&gt;1&lt;/C&gt;&lt;D xsi:type="xsd:double"&gt;8446&lt;/D&gt;&lt;/FQL&gt;&lt;FQL&gt;&lt;Q&gt;Ticker0024^FE_ESTIMATE(PRODLINE_SALES_15,MEAN,QUARTERLY_ROLL,2017/3F,45681,,,'')&lt;/Q&gt;&lt;R&gt;1&lt;/R&gt;&lt;C&gt;1&lt;/C&gt;&lt;D xsi:type="xsd:double"&gt;7958&lt;/D&gt;&lt;/FQL&gt;&lt;FQL&gt;&lt;Q&gt;Ticker0024^FE_ESTIMATE(PRODLINE_SALES_15,MEAN,QUARTERLY_ROLL,2017/2F,45681,,,'')&lt;/Q&gt;&lt;R&gt;1&lt;/R&gt;&lt;C&gt;1&lt;/C&gt;&lt;D xsi:type="xsd:double"&gt;7382&lt;/D&gt;&lt;/FQL&gt;&lt;FQL&gt;&lt;Q&gt;Ticker0024^FE_ESTIMATE(PRODLINE_SALES_15,MEAN,QUARTERLY_ROLL,2017/1F,45681,,,'')&lt;/Q&gt;&lt;R&gt;1&lt;/R&gt;&lt;C&gt;1&lt;/C&gt;&lt;D xsi:type="xsd:double"&gt;6658&lt;/D&gt;&lt;/FQL&gt;&lt;FQL&gt;&lt;Q&gt;Ticker0024^FE_ESTIMATE(PRODLINE_SALES_15,MEAN,ANNUAL_ROLL,2016,45681,,,'')&lt;/Q&gt;&lt;R&gt;1&lt;/R&gt;&lt;C&gt;1&lt;/C&gt;&lt;D xsi:type="xsd:double"&gt;26487&lt;/D&gt;&lt;/FQL&gt;&lt;FQL&gt;&lt;Q&gt;Ticker0024^FE_ESTIMATE(PRODLINE_SALES_15,MEAN,QUARTERLY_ROLL,2016/4F,45681,,,'')&lt;/Q&gt;&lt;R&gt;1&lt;/R&gt;&lt;C&gt;1&lt;/C&gt;&lt;D xsi:type="xsd:double"&gt;6969&lt;/D&gt;&lt;/FQL&gt;&lt;FQL&gt;&lt;Q&gt;Ticker0024^FE_ESTIMATE(PRODLINE_SALES_15,MEAN,QUARTERLY_ROLL,2016/3F,45681,,,'')&lt;/Q&gt;&lt;R&gt;1&lt;/R&gt;&lt;C&gt;1&lt;/C&gt;&lt;D xsi:type="xsd:double"&gt;6522&lt;/D&gt;&lt;/FQL&gt;&lt;FQL&gt;&lt;Q&gt;Ticker0024^FE_ESTIMATE(PRODLINE_SALES_15,MEAN,QUARTERLY_ROLL,2016/2F,45681,,,'')&lt;/Q&gt;&lt;R&gt;1&lt;/R&gt;&lt;C&gt;1&lt;/C&gt;&lt;D xsi:type="xsd:double"&gt;6690&lt;/D&gt;&lt;/FQL&gt;&lt;FQL&gt;&lt;Q&gt;Ticker0024^FE_ESTIMATE(PRODLINE_SALES_15,MEAN,QUARTERLY_ROLL,2016/1F,45681,,,'')&lt;/Q&gt;&lt;R&gt;1&lt;/R&gt;&lt;C&gt;1&lt;/C&gt;&lt;D xsi:type="xsd:double"&gt;6306&lt;/D&gt;&lt;/FQL&gt;&lt;FQL&gt;&lt;Q&gt;Ticker0024^FE_ESTIMATE(PRODLINE_SALES_15,MEAN,ANNUAL_ROLL,2015,45681,,,'')&lt;/Q&gt;&lt;R&gt;0&lt;/R&gt;&lt;C&gt;0&lt;/C&gt;&lt;/FQL&gt;&lt;FQL&gt;&lt;Q&gt;Ticker0024^FE_ESTIMATE(PRODLINE_SALES_15,MEAN,QUARTERLY_ROLL,2015/4F,45681,,,'')&lt;/Q&gt;&lt;R&gt;0&lt;/R&gt;&lt;C&gt;0&lt;/C&gt;&lt;/FQL&gt;&lt;FQL&gt;&lt;Q&gt;Ticker0024^FE_ESTIMATE(PRODLINE_SALES_15,MEAN,QUARTERLY_ROLL,2015/3F,45681,,,'')&lt;/Q&gt;&lt;R&gt;0&lt;/R&gt;&lt;C&gt;0&lt;/C&gt;&lt;/FQL&gt;&lt;FQL&gt;&lt;Q&gt;Ticker0024^FE_ESTIMATE(PRODLINE_SALES_15,MEAN,QUARTERLY_ROLL,2015/2F,45681,,,'')&lt;/Q&gt;&lt;R&gt;0&lt;/R&gt;&lt;C&gt;0&lt;/C&gt;&lt;/FQL&gt;&lt;FQL&gt;&lt;Q&gt;Ticker0024^FE_ESTIMATE(PRODLINE_SALES_15,MEAN,QUARTERLY_ROLL,2015/1F,45681,,,'')&lt;/Q&gt;&lt;R&gt;0&lt;/R&gt;&lt;C&gt;0&lt;/C&gt;&lt;/FQL&gt;&lt;FQL&gt;&lt;Q&gt;Ticker0024^FE_ESTIMATE(SPEC_NO_CHANGE_2,MEAN,ANNUAL_ROLL,2030,45685,,,'')&lt;/Q&gt;&lt;R&gt;0&lt;/R&gt;&lt;C&gt;0&lt;/C&gt;&lt;/FQL&gt;&lt;FQL&gt;&lt;Q&gt;Ticker0024^FE_ESTIMATE(SPEC_NO_CHANGE_2,MEAN,QUARTERLY_ROLL,2030/4F,45685,,,'')&lt;/Q&gt;&lt;R&gt;0&lt;/R&gt;&lt;C&gt;0&lt;/C&gt;&lt;/FQL&gt;&lt;FQL&gt;&lt;Q&gt;Ticker0024^FE_ESTIMATE(SPEC_NO_CHANGE_2,MEAN,QUARTERLY_ROLL,2030/3F,45685,,,'')&lt;/Q&gt;&lt;R&gt;0&lt;/R&gt;&lt;C&gt;0&lt;/C&gt;&lt;/FQL&gt;&lt;FQL&gt;&lt;Q&gt;Ticker0024^FE_ESTIMATE(SPEC_NO_CHANGE_2,MEAN,QUARTERLY_ROLL,2030/2F,45685,,,'')&lt;/Q&gt;&lt;R&gt;0&lt;/R&gt;&lt;C&gt;0&lt;/C&gt;&lt;/FQL&gt;&lt;FQL&gt;&lt;Q&gt;Ticker0024^FE_ESTIMATE(SPEC_NO_CHANGE_2,MEAN,QUARTERLY_ROLL,2030/1F,45685,,,'')&lt;/Q&gt;&lt;R&gt;0&lt;/R&gt;&lt;C&gt;0&lt;/C&gt;&lt;/FQL&gt;&lt;FQL&gt;&lt;Q&gt;Ticker0024^FE_ESTIMATE(SPEC_NO_CHANGE_2,MEAN,ANNUAL_ROLL,2029,45685,,,'')&lt;/Q&gt;&lt;R&gt;0&lt;/R&gt;&lt;C&gt;0&lt;/C&gt;&lt;/FQL&gt;&lt;FQL&gt;&lt;Q&gt;Ticker0024^FE_ESTIMATE(SPEC_NO_CHANGE_2,MEAN,QUARTERLY_ROLL,2029/4F,45685,,,'')&lt;/Q&gt;&lt;R&gt;0&lt;/R&gt;&lt;C&gt;0&lt;/C&gt;&lt;/FQL&gt;&lt;FQL&gt;&lt;Q&gt;Ticker0024^FE_ESTIMATE(SPEC_NO_CHANGE_2,MEAN,QUARTERLY_ROLL,2029/3F,45685,,,'')&lt;/Q&gt;&lt;R&gt;0&lt;/R&gt;&lt;C&gt;0&lt;/C&gt;&lt;/FQL&gt;&lt;FQL&gt;&lt;Q&gt;Ticker0024^FE_ESTIMATE(SPEC_NO_CHANGE_2,MEAN,QUARTERLY_ROLL,2029/2F,45685,,,'')&lt;/Q&gt;&lt;R&gt;0&lt;/R&gt;&lt;C&gt;0&lt;/C&gt;&lt;/FQL&gt;&lt;FQL&gt;&lt;Q&gt;Ticker0024^FE_ESTIMATE(SPEC_NO_CHANGE_2,MEAN,QUARTERLY_ROLL,2029/1F,45685,,,'')&lt;/Q&gt;&lt;R&gt;0&lt;/R&gt;&lt;C&gt;0&lt;/C&gt;&lt;/FQL&gt;&lt;FQL&gt;&lt;Q&gt;Ticker0024^FE_ESTIMATE(SPEC_NO_CHANGE_2,MEAN,ANNUAL_ROLL,2028,45685,,,'')&lt;/Q&gt;&lt;R&gt;1&lt;/R&gt;&lt;C&gt;1&lt;/C&gt;&lt;D xsi:type="xsd:double"&gt;24&lt;/D&gt;&lt;/FQL&gt;&lt;FQL&gt;&lt;Q&gt;Ticker0024^FE_ESTIMATE(SPEC_NO_CHANGE_2,MEAN,QUARTERLY_ROLL,2028/4F,45685,,,'')&lt;/Q&gt;&lt;R&gt;0&lt;/R&gt;&lt;C&gt;0&lt;/C&gt;&lt;/FQL&gt;&lt;FQL&gt;&lt;Q&gt;Ticker0024^FE_ESTIMATE(SPEC_NO_CHANGE_2,MEAN,QUARTERLY_ROLL,2028/3F,45685,,,'')&lt;/Q&gt;&lt;R&gt;0&lt;/R&gt;&lt;C&gt;0&lt;/C&gt;&lt;/FQL&gt;&lt;FQL&gt;&lt;Q&gt;Ticker0024^FE_ESTIMATE(SPEC_NO_CHANGE_2,MEAN,QUARTERLY_ROLL,2028/2F,45685,,,'')&lt;/Q&gt;&lt;R&gt;0&lt;/R&gt;&lt;C&gt;0&lt;/C&gt;&lt;/FQL&gt;&lt;FQL&gt;&lt;Q&gt;Ticker0024^FE_ESTIMATE(SPEC_NO_CHANGE_2,MEAN,QUARTERLY_ROLL,2028/1F,45685,,,'')&lt;/Q&gt;&lt;R&gt;0&lt;/R&gt;&lt;C&gt;0&lt;/C&gt;&lt;/FQL&gt;&lt;FQL&gt;&lt;Q&gt;Ticker0024^FE_ESTIMATE(SPEC_NO_CHANGE_2,MEAN,ANNUAL_ROLL,2027,45685,,,'')&lt;/Q&gt;&lt;R&gt;1&lt;/R&gt;&lt;C&gt;1&lt;/C&gt;&lt;D xsi:type="xsd:double"&gt;30.033333&lt;/D&gt;&lt;/FQL&gt;&lt;FQL&gt;&lt;Q&gt;Ticker0024^FE_ESTIMATE(SPEC_NO_CHANGE_2,MEAN,QUARTERLY_ROLL,2027/4F,45685,,,'')&lt;/Q&gt;&lt;R&gt;0&lt;/R&gt;&lt;C&gt;0&lt;/C&gt;&lt;/FQL&gt;&lt;FQL&gt;&lt;Q&gt;Ticker0024^FE_ESTIMATE(SPEC_NO_CHANGE_2,MEAN,QUARTERLY_ROLL,2027/3F,45685,,,'')&lt;/Q&gt;&lt;R&gt;0&lt;/R&gt;&lt;C&gt;0&lt;/C&gt;&lt;/FQL&gt;&lt;FQL&gt;&lt;Q&gt;Ticker0024^FE_ESTIMATE(SPEC_NO_CHANGE_2,MEAN,QUARTERLY_ROLL,2027/2F,45685,,,'')&lt;/Q&gt;&lt;R&gt;0&lt;/R&gt;&lt;C&gt;0&lt;/C&gt;&lt;/FQL&gt;&lt;FQL&gt;&lt;Q&gt;Ticker0024^FE_ESTIMATE(SPEC_NO_CHANGE_2,MEAN,QUARTERLY_ROLL,2027/1F,45685,,,'')&lt;/Q&gt;&lt;R&gt;0&lt;/R&gt;&lt;C&gt;0&lt;/C&gt;&lt;/FQL&gt;&lt;FQL&gt;&lt;Q&gt;Ticker0024^FE_ESTIMATE(SPEC_NO_CHANGE_2,MEAN,ANNUAL_ROLL,2026,45685,,,'')&lt;/Q&gt;&lt;R&gt;1&lt;/R&gt;&lt;C&gt;1&lt;/C&gt;&lt;D xsi:type="xsd:double"&gt;33.425&lt;/D&gt;&lt;/FQL&gt;&lt;FQL&gt;&lt;Q&gt;Ticker0024^FE_ESTIMATE(SPEC_NO_CHANGE_2,MEAN,QUARTERLY_ROLL,2026/4F,45685,,,'')&lt;/Q&gt;&lt;R&gt;1&lt;/R&gt;&lt;C&gt;1&lt;/C&gt;&lt;D xsi:type="xsd:double"&gt;31&lt;/D&gt;&lt;/FQL&gt;&lt;FQL&gt;&lt;Q&gt;Ticker0024^FE_ESTIMATE(SPEC_NO_CHANGE_2,MEAN,QUARTERLY_ROLL,2026/3F,45685,,,'')&lt;/Q&gt;&lt;R&gt;1&lt;/R&gt;&lt;C&gt;1&lt;/C&gt;&lt;D xsi:type="xsd:double"&gt;30&lt;/D&gt;&lt;/FQL&gt;&lt;FQL&gt;&lt;Q&gt;Ticker0024^FE_ESTIMATE(SPEC_NO_CHANGE_2,MEAN,QUARTERLY_ROLL,2026/2F,45685,,,'')&lt;/Q&gt;&lt;R&gt;1&lt;/R&gt;&lt;C&gt;1&lt;/C&gt;&lt;D xsi:type="xsd:double"&gt;30&lt;/D&gt;&lt;/FQL&gt;&lt;FQL&gt;&lt;Q&gt;Ticker0024^FE_ESTIMATE(SPEC_NO_CHANGE_2,MEAN,QUARTERLY_ROLL,2026/1F,45685,,,'')&lt;/Q&gt;&lt;R&gt;1&lt;/R&gt;&lt;C&gt;1&lt;/C&gt;&lt;D xsi:type="xsd:double"&gt;33.5&lt;/D&gt;&lt;/FQL&gt;&lt;FQL&gt;&lt;Q&gt;Ticker0024^FE_ESTIMATE(SPEC_NO_CHANGE_2,MEAN,ANNUAL_ROLL,2025,45685,,,'')&lt;/Q&gt;&lt;R&gt;1&lt;/R&gt;&lt;C&gt;1&lt;/C&gt;&lt;D xsi:type="xsd:double"&gt;33.28&lt;/D&gt;&lt;/FQL&gt;&lt;FQL&gt;&lt;Q&gt;Ticker0024^FE_ESTIMATE(SPEC_NO_CHANGE_2,MEAN,QUARTERLY_ROLL,2025/4F,45685,,,'')&lt;/Q&gt;&lt;R&gt;1&lt;/R&gt;&lt;C&gt;1&lt;/C&gt;&lt;D xsi:type="xsd:double"&gt;34.42&lt;/D&gt;&lt;/FQL&gt;&lt;FQL&gt;&lt;Q&gt;Ticker0024^FE_ESTIMATE(SPEC_NO_CHANGE_2,MEAN,QUARTERLY_ROLL,2025/3F,45685,,,'')&lt;/Q&gt;&lt;R&gt;1&lt;/R&gt;&lt;C&gt;1&lt;/C&gt;&lt;D xsi:type="xsd:double"&gt;33.38&lt;/D&gt;&lt;/FQL&gt;&lt;FQL&gt;&lt;Q&gt;Ticker0024^FE_ESTIMATE(SPEC_NO_CHANGE_2,MEAN,QUARTERLY_ROLL,2025/2F,45685,,,'')&lt;/Q&gt;&lt;R&gt;1&lt;/R&gt;&lt;C&gt;1&lt;/C&gt;&lt;D xsi:type="xsd:double"&gt;32&lt;/D&gt;&lt;/FQL&gt;&lt;FQL&gt;&lt;Q&gt;Ticker0024^FE_ESTIMATE(SPEC_NO_CHANGE_2,MEAN,QUARTERLY_ROLL,2025/1F,45685,,,'')&lt;/Q&gt;&lt;R&gt;1&lt;/R&gt;&lt;C&gt;1&lt;/C&gt;&lt;D xsi:type="xsd:double"&gt;34&lt;/D&gt;&lt;/FQL&gt;&lt;FQL&gt;&lt;Q&gt;Ticker0024^FE_ESTIMATE(SPEC_NO_CHANGE_2,MEAN,ANNUAL_ROLL,2024,45685,,,'')&lt;/Q&gt;&lt;R&gt;1&lt;/R&gt;&lt;C&gt;1&lt;/C&gt;&lt;D xsi:type="xsd:double"&gt;29.14&lt;/D&gt;&lt;/FQL&gt;&lt;FQL&gt;&lt;Q&gt;Ticker0024^FE_ESTIMATE(SPEC_NO_CHANGE_2,MEAN,QUARTERLY_ROLL,2024/4F,45685,,,'')&lt;/Q&gt;&lt;R&gt;1&lt;/R&gt;&lt;C&gt;1&lt;/C&gt;&lt;D xsi:type="xsd:double"&gt;30&lt;/D&gt;&lt;/FQL&gt;&lt;FQL&gt;&lt;Q&gt;Ticker0024^FE_ESTIMATE(SPEC_NO_CHANGE_2,MEAN,QUARTERLY_ROLL,2024/3F,45685,,,'')&lt;/Q&gt;&lt;R&gt;1&lt;/R&gt;&lt;C&gt;1&lt;/C&gt;&lt;D xsi:type="xsd:double"&gt;31&lt;/D&gt;&lt;/FQL&gt;&lt;FQL&gt;&lt;Q&gt;Ticker0024^FE_ESTIMATE(SPEC_NO_CHANGE_2,MEAN,QUARTERLY_ROLL,2024/2F,45685,,,'')&lt;/Q&gt;&lt;R&gt;1&lt;/R&gt;&lt;C&gt;1&lt;/C&gt;&lt;D xsi:type="xsd:double"&gt;28&lt;/D&gt;&lt;/FQL&gt;&lt;FQL&gt;&lt;Q&gt;Ticker0024^FE_ESTIMATE(SPEC_NO_CHANGE_2,MEAN,QUARTERLY_ROLL,2024/1F,45685,,,'')&lt;/Q&gt;&lt;R&gt;1&lt;/R&gt;&lt;C&gt;1&lt;/C&gt;&lt;D xsi:type="xsd:double"&gt;28.1&lt;/D&gt;&lt;/FQL&gt;&lt;FQL&gt;&lt;Q&gt;Ticker0024^FE_ESTIMATE(SPEC_NO_CHANGE_2,MEAN,ANNUAL_ROLL,2023,45685,,,'')&lt;/Q&gt;&lt;R&gt;1&lt;/R&gt;&lt;C&gt;1&lt;/C&gt;&lt;D xsi:type="xsd:double"&gt;34&lt;/D&gt;&lt;/FQL&gt;&lt;FQL&gt;&lt;Q&gt;Ticker0024^FE_ESTIMATE(SPEC_NO_CHANGE_2,MEAN,QUARTERLY_ROLL,2023/4F,45685,,,'')&lt;/Q&gt;&lt;R&gt;1&lt;/R&gt;&lt;C&gt;1&lt;/C&gt;&lt;D xsi:type="xsd:double"&gt;27&lt;/D&gt;&lt;/FQL&gt;&lt;FQL&gt;&lt;Q&gt;Ticker0024^FE_ESTIMATE(SPEC_NO_CHANGE_2,MEAN,QUARTERLY_ROLL,2023/3F,45685,,,'')&lt;/Q&gt;&lt;R&gt;1&lt;/R&gt;&lt;C&gt;1&lt;/C&gt;&lt;D xsi:type="xsd:double"&gt;31&lt;/D&gt;&lt;/FQL&gt;&lt;FQL&gt;&lt;Q&gt;Ticker0024^FE_ESTIMATE(SPEC_NO_CHANGE_2,MEAN,QUARTERLY_ROLL,2023/2F,45685,,,'')&lt;/Q&gt;&lt;R&gt;1&lt;/R&gt;&lt;C&gt;1&lt;/C&gt;&lt;D xsi:type="xsd:double"&gt;38&lt;/D&gt;&lt;/FQL&gt;&lt;FQL&gt;&lt;Q&gt;Ticker0024^FE_ESTIMATE(SPEC_NO_CHANGE_2,MEAN,QUARTERLY_ROLL,2023/1F,45685,,,'')&lt;/Q&gt;&lt;R&gt;1&lt;/R&gt;&lt;C&gt;1&lt;/C&gt;&lt;D xsi:type="xsd:double"&gt;42&lt;/D&gt;&lt;/FQL&gt;&lt;FQL&gt;&lt;Q&gt;Ticker0024^FE_ESTIMATE(SPEC_NO_CHANGE_2,MEAN,ANNUAL_ROLL,2022,45685,,,'')&lt;/Q&gt;&lt;R&gt;1&lt;/R&gt;&lt;C&gt;1&lt;/C&gt;&lt;D xsi:type="xsd:double"&gt;47.05&lt;/D&gt;&lt;/FQL&gt;&lt;FQL&gt;&lt;Q&gt;Ticker0024^FE_ESTIMATE(SPEC_NO_CHANGE_2,MEAN,QUARTERLY_ROLL,2022/4F,45685,,,'')&lt;/Q&gt;&lt;R&gt;1&lt;/R&gt;&lt;C&gt;1&lt;/C&gt;&lt;D xsi:type="xsd:double"&gt;46&lt;/D&gt;&lt;/FQL&gt;&lt;FQL&gt;&lt;Q&gt;Ticker0024^FE_ESTIMATE(SPEC_NO_CHANGE_2,MEAN,QUARTERLY_ROLL,2022/3F,45685,,,'')&lt;/Q&gt;&lt;R&gt;0&lt;/R&gt;&lt;C&gt;0&lt;/C&gt;&lt;/FQL&gt;&lt;FQL&gt;&lt;Q&gt;Ticker0024^FE_ESTIMATE(SPEC_NO_CHANGE_2,MEAN,QUARTERLY_ROLL,2022/2F,45685,,,'')&lt;/Q&gt;&lt;R&gt;0&lt;/R&gt;&lt;C&gt;0&lt;/C&gt;&lt;/FQL&gt;&lt;FQL&gt;&lt;Q&gt;Ticker0024^FE_ESTIMATE(SPEC_NO_CHANGE_2,MEAN,QUARTERLY_ROLL,2022/1F,45685,,,'')&lt;/Q&gt;&lt;R&gt;0&lt;/R&gt;&lt;C&gt;0&lt;/C&gt;&lt;/FQL&gt;&lt;FQL&gt;&lt;Q&gt;Ticker0024^FE_ESTIMATE(SPEC_NO_CHANGE_2,MEAN,ANNUAL_ROLL,2021,45685,,,'')&lt;/Q&gt;&lt;R&gt;0&lt;/R&gt;&lt;C&gt;0&lt;/C&gt;&lt;/FQL&gt;&lt;FQL&gt;&lt;Q&gt;Ticker0024^FE_ESTIMATE(SPEC_NO_CHANGE_2,MEAN,QUARTERLY_ROLL,2021/4F,45685,,,'')&lt;/Q&gt;&lt;R&gt;0&lt;/R&gt;&lt;C&gt;0&lt;/C&gt;&lt;/FQL&gt;&lt;FQL&gt;&lt;Q&gt;Ticker0024^FE_ESTIMATE(SPEC_NO_CHANGE_2,MEAN,QUARTERLY_ROLL,2021/3F,45685,,,'')&lt;/Q&gt;&lt;R&gt;1&lt;/R&gt;&lt;C&gt;1&lt;/C&gt;&lt;D xsi:type="xsd:double"&gt;46&lt;/D&gt;&lt;/FQL&gt;&lt;FQL&gt;&lt;Q&gt;Ticker0024^FE_ESTIMATE(SPEC_NO_CHANGE_2,MEAN,QUARTERLY_ROLL,2021/2F,45685,,,'')&lt;/Q&gt;&lt;R&gt;0&lt;/R&gt;&lt;C&gt;0&lt;/C&gt;&lt;/FQL&gt;&lt;FQL&gt;&lt;Q&gt;Ticker0024^FE_ESTIMATE(SPEC_NO_CHANGE_2,MEAN,QUARTERLY_ROLL,2021/1F,45685,,,'')&lt;/Q&gt;&lt;R&gt;0&lt;/R&gt;&lt;C&gt;0&lt;/C&gt;&lt;/FQL&gt;&lt;FQL&gt;&lt;Q&gt;Ticker0024^FE_ESTIMATE(SPEC_NO_CHANGE_2,MEAN,ANNUAL_ROLL,2020,45685,,,'')&lt;/Q&gt;&lt;R&gt;0&lt;/R&gt;&lt;C&gt;0&lt;/C&gt;&lt;/FQL&gt;&lt;FQL&gt;&lt;Q&gt;Ticker0024^FE_ESTIMATE(SPEC_NO_CHANGE_2,MEAN,QUARTERLY_ROLL,2020/4F,45685,,,'')&lt;/Q&gt;&lt;R&gt;0&lt;/R&gt;&lt;C&gt;0&lt;/C&gt;&lt;/FQL&gt;&lt;FQL&gt;&lt;Q&gt;Ticker0024^FE_ESTIMATE(SPEC_NO_CHANGE_2,MEAN,QUARTERLY_ROLL,2020/3F,45685,,,'')&lt;/Q&gt;&lt;R&gt;0&lt;/R&gt;&lt;C&gt;0&lt;/C&gt;&lt;/FQL&gt;&lt;FQL&gt;&lt;Q&gt;Ticker0024^FE_ESTIMATE(SPEC_NO_CHANGE_2,MEAN,QUARTERLY_ROLL,2020/2F,45685,,,'')&lt;/Q&gt;&lt;R&gt;0&lt;/R&gt;&lt;C&gt;0&lt;/C&gt;&lt;/FQL&gt;&lt;FQL&gt;&lt;Q&gt;Ticker0024^FE_ESTIMATE(SPEC_NO_CHANGE_2,MEAN,QUARTERLY_ROLL,2020/1F,45685,,,'')&lt;/Q&gt;&lt;R&gt;0&lt;/R&gt;&lt;C&gt;0&lt;/C&gt;&lt;/FQL&gt;&lt;FQL&gt;&lt;Q&gt;Ticker0024^FE_ESTIMATE(SPEC_NO_CHANGE_2,MEAN,ANNUAL_ROLL,2019,45685,,,'')&lt;/Q&gt;&lt;R&gt;0&lt;/R&gt;&lt;C&gt;0&lt;/C&gt;&lt;/FQL&gt;&lt;FQL&gt;&lt;Q&gt;Ticker0024^FE_ESTIMATE(SPEC_NO_CHANGE_2,MEAN,QUARTERLY_ROLL,2019/4F,45685,,,'')&lt;/Q&gt;&lt;R&gt;0&lt;/R&gt;&lt;C&gt;0&lt;/C&gt;&lt;/FQL&gt;&lt;FQL&gt;&lt;Q&gt;Ticker0024^FE_ESTIMATE(SPEC_NO_CHANGE_2,MEAN,QUARTERLY_ROLL,2019/3F,45685,,,'')&lt;/Q&gt;&lt;R&gt;0&lt;/R&gt;&lt;C&gt;0&lt;/C&gt;&lt;/FQL&gt;&lt;FQL&gt;&lt;Q&gt;Ticker0024^FE_ESTIMATE(SPEC_NO_CHANGE_2,MEAN,QUARTERLY_ROLL,2019/2F,45685,,,'')&lt;/Q&gt;&lt;R&gt;0&lt;/R&gt;&lt;C&gt;0&lt;/C&gt;&lt;/FQL&gt;&lt;FQL&gt;&lt;Q&gt;Ticker0024^FE_ESTIMATE(SPEC_NO_CHANGE_2,MEAN,QUARTERLY_ROLL,2019/1F,45685,,,'')&lt;/Q&gt;&lt;R&gt;0&lt;/R&gt;&lt;C&gt;0&lt;/C&gt;&lt;/FQL&gt;&lt;FQL&gt;&lt;Q&gt;Ticker0024^FE_ESTIMATE(SPEC_NO_CHANGE_2,MEAN,ANNUAL_ROLL,2018,45685,,,'')&lt;/Q&gt;&lt;R&gt;0&lt;/R&gt;&lt;C&gt;0&lt;/C&gt;&lt;/FQL&gt;&lt;FQL&gt;&lt;Q&gt;Ticker0024^FE_ESTIMATE(SPEC_NO_CHANGE_2,MEAN,QUARTERLY_ROLL,2018/4F,45685,,,'')&lt;/Q&gt;&lt;R&gt;0&lt;/R&gt;&lt;C&gt;0&lt;/C&gt;&lt;/FQL&gt;&lt;FQL&gt;&lt;Q&gt;Ticker0024^FE_ESTIMATE(SPEC_NO_CHANGE_2,MEAN,QUARTERLY_ROLL,2018/3F,45685,,,'')&lt;/Q&gt;&lt;R&gt;0&lt;/R&gt;&lt;C&gt;0&lt;/C&gt;&lt;/FQL&gt;&lt;FQL&gt;&lt;Q&gt;Ticker0024^FE_ESTIMATE(SPEC_NO_CHANGE_2,MEAN,QUARTERLY_ROLL,2018/2F,45685,,,'')&lt;/Q&gt;&lt;R&gt;0&lt;/R&gt;&lt;C&gt;0&lt;/C&gt;&lt;/FQL&gt;&lt;FQL&gt;&lt;Q&gt;Ticker0024^FE_ESTIMATE(SPEC_NO_CHANGE_2,MEAN,QUARTERLY_ROLL,2018/1F,45685,,,'')&lt;/Q&gt;&lt;R&gt;0&lt;/R&gt;&lt;C&gt;0&lt;/C&gt;&lt;/FQL&gt;&lt;FQL&gt;&lt;Q&gt;Ticker0024^FE_ESTIMATE(SPEC_NO_CHANGE_2,MEAN,ANNUAL_ROLL,2017,45685,,,'')&lt;/Q&gt;&lt;R&gt;0&lt;/R&gt;&lt;C&gt;0&lt;/C&gt;&lt;/FQL&gt;&lt;FQL&gt;&lt;Q&gt;Ticker0024^FE_ESTIMATE(SPEC_NO_CHANGE_2,MEAN,QUARTERLY_ROLL,2017/4F,45685,,,'')&lt;/Q&gt;&lt;R&gt;0&lt;/R&gt;&lt;C&gt;0&lt;/C&gt;&lt;/FQL&gt;&lt;FQL&gt;&lt;Q&gt;Ticker0024^FE_ESTIMATE(SPEC_NO_CHANGE_2,MEAN,QUARTERLY_ROLL,2017/3F,45685,,,'')&lt;/Q&gt;&lt;R&gt;0&lt;/R&gt;&lt;C&gt;0&lt;/C&gt;&lt;/FQL&gt;&lt;FQL&gt;&lt;Q&gt;Ticker0024^FE_ESTIMATE(SPEC_NO_CHANGE_2,MEAN,QUARTERLY_ROLL,2017/2F,45685,,,'')&lt;/Q&gt;&lt;R&gt;0&lt;/R&gt;&lt;C&gt;0&lt;/C&gt;&lt;/FQL&gt;&lt;FQL&gt;&lt;Q&gt;Ticker0024^FE_ESTIMATE(SPEC_NO_CHANGE_2,MEAN,QUARTERLY_ROLL,2017/1F,45685,,,'')&lt;/Q&gt;&lt;R&gt;0&lt;/R&gt;&lt;C&gt;0&lt;/C&gt;&lt;/FQL&gt;&lt;FQL&gt;&lt;Q&gt;Ticker0024^FE_ESTIMATE(SPEC_NO_CHANGE_2,MEAN,ANNUAL_ROLL,2016,45685,,,'')&lt;/Q&gt;&lt;R&gt;0&lt;/R&gt;&lt;C&gt;0&lt;/C&gt;&lt;/FQL&gt;&lt;FQL&gt;&lt;Q&gt;Ticker0024^FE_ESTIMATE(SPEC_NO_CHANGE_2,MEAN,QUARTERLY_ROLL,2016/4F,45685,,,'')&lt;/Q&gt;&lt;R&gt;0&lt;/R&gt;&lt;C&gt;0&lt;/C&gt;&lt;/FQL&gt;&lt;FQL&gt;&lt;Q&gt;Ticker0024^FE_ESTIMATE(SPEC_NO_CHANGE_2,MEAN,QUARTERLY_ROLL,2016/3F,45685,,,'')&lt;/Q&gt;&lt;R&gt;0&lt;/R&gt;&lt;C&gt;0&lt;/C&gt;&lt;/FQL&gt;&lt;FQL&gt;&lt;Q&gt;Ticker0024^FE_ESTIMATE(SPEC_NO_CHANGE_2,MEAN,QUARTERLY_ROLL,2016/2F,45685,,,'')&lt;/Q&gt;&lt;R&gt;0&lt;/R&gt;&lt;C&gt;0&lt;/C&gt;&lt;/FQL&gt;&lt;FQL&gt;&lt;Q&gt;Ticker0024^FE_ESTIMATE(SPEC_NO_CHANGE_2,MEAN,QUARTERLY_ROLL,2016/1F,45685,,,'')&lt;/Q&gt;&lt;R&gt;0&lt;/R&gt;&lt;C&gt;0&lt;/C&gt;&lt;/FQL&gt;&lt;FQL&gt;&lt;Q&gt;Ticker0024^FE_ESTIMATE(SPEC_NO_CHANGE_2,MEAN,ANNUAL_ROLL,2015,45685,,,'')&lt;/Q&gt;&lt;R&gt;0&lt;/R&gt;&lt;C&gt;0&lt;/C&gt;&lt;/FQL&gt;&lt;FQL&gt;&lt;Q&gt;Ticker0024^FE_ESTIMATE(SPEC_NO_CHANGE_2,MEAN,QUARTERLY_ROLL,2015/4F,45685,,,'')&lt;/Q&gt;&lt;R&gt;0&lt;/R&gt;&lt;C&gt;0&lt;/C&gt;&lt;/FQL&gt;&lt;FQL&gt;&lt;Q&gt;Ticker0024^FE_ESTIMATE(SPEC_NO_CHANGE_2,MEAN,QUARTERLY_ROLL,2015/3F,45685,,,'')&lt;/Q&gt;&lt;R&gt;0&lt;/R&gt;&lt;C&gt;0&lt;/C&gt;&lt;/FQL&gt;&lt;FQL&gt;&lt;Q&gt;Ticker0024^FE_ESTIMATE(SPEC_NO_CHANGE_2,MEAN,QUARTERLY_ROLL,2015/2F,45685,,,'')&lt;/Q&gt;&lt;R&gt;0&lt;/R&gt;&lt;C&gt;0&lt;/C&gt;&lt;/FQL&gt;&lt;FQL&gt;&lt;Q&gt;Ticker0024^FE_ESTIMATE(SPEC_NO_CHANGE_2,MEAN,QUARTERLY_ROLL,2015/1F,45685,,,'')&lt;/Q&gt;&lt;R&gt;0&lt;/R&gt;&lt;C&gt;0&lt;/C&gt;&lt;/FQL&gt;&lt;FQL&gt;&lt;Q&gt;Ticker0024^FE_ESTIMATE(SPEC_NO_CHANGE_1,MEAN,ANNUAL_ROLL,2030,45685,,,'')&lt;/Q&gt;&lt;R&gt;0&lt;/R&gt;&lt;C&gt;0&lt;/C&gt;&lt;/FQL&gt;&lt;FQL&gt;&lt;Q&gt;Ticker0024^FE_ESTIMATE(SPEC_NO_CHANGE_1,MEAN,QUARTERLY_ROLL,2030/4F,45685,,,'')&lt;/Q&gt;&lt;R&gt;0&lt;/R&gt;&lt;C&gt;0&lt;/C&gt;&lt;/FQL&gt;&lt;FQL&gt;&lt;Q&gt;Ticker0024^FE_ESTIMATE(SPEC_NO_CHANGE_1,MEAN,QUARTERLY_ROLL,2030/3F,45685,,,'')&lt;/Q&gt;&lt;R&gt;0&lt;/R&gt;&lt;C&gt;0&lt;/C&gt;&lt;/FQL&gt;&lt;FQL&gt;&lt;Q&gt;Ticker0024^FE_ESTIMATE(SPEC_NO_CHANGE_1,MEAN,QUARTERLY_ROLL,2030/2F,45685,,,'')&lt;/Q&gt;&lt;R&gt;0&lt;/R&gt;&lt;C&gt;0&lt;/C&gt;&lt;/FQL&gt;&lt;FQL&gt;&lt;Q&gt;Ticker0024^FE_ESTIMATE(SPEC_NO_CHANGE_1,MEAN,QUARTERLY_ROLL,2030/1F,45685,,,'')&lt;/Q&gt;&lt;R&gt;0&lt;/R&gt;&lt;C&gt;0&lt;/C&gt;&lt;/FQL&gt;&lt;FQL&gt;&lt;Q&gt;Ticker0024^FE_ESTIMATE(SPEC_NO_CHANGE_1,MEAN,ANNUAL_ROLL,2029,45685,,,'')&lt;/Q&gt;&lt;R&gt;0&lt;/R&gt;&lt;C&gt;0&lt;/C&gt;&lt;/FQL&gt;&lt;FQL&gt;&lt;Q&gt;Ticker0024^FE_ESTIMATE(SPEC_NO_CHANGE_1,MEAN,QUARTERLY_ROLL,2029/4F,45685,,,'')&lt;/Q&gt;&lt;R&gt;0&lt;/R&gt;&lt;C&gt;0&lt;/C&gt;&lt;/FQL&gt;&lt;FQL&gt;&lt;Q&gt;Ticker0024^FE_ESTIMATE(SPEC_NO_CHANGE_1,MEAN,QUARTERLY_ROLL,2029/3F,45685,,,'')&lt;/Q&gt;&lt;R&gt;0&lt;/R&gt;&lt;C&gt;0&lt;/C&gt;&lt;/FQL&gt;&lt;FQL&gt;&lt;Q&gt;Ticker0024^FE_ESTIMATE(SPEC_NO_CHANGE_1,MEAN,QUARTERLY_ROLL,2029/2F,45685,,,'')&lt;/Q&gt;&lt;R&gt;0&lt;/R&gt;&lt;C&gt;0&lt;/C&gt;&lt;/FQL&gt;&lt;FQL&gt;&lt;Q&gt;Ticker0024^FE_ESTIMATE(SPEC_NO_CHANGE_1,MEAN,QUARTERLY_ROLL,2029/1F,45685,,,'')&lt;/Q&gt;&lt;R&gt;0&lt;/R&gt;&lt;C&gt;0&lt;/C&gt;&lt;/FQL&gt;&lt;FQL&gt;&lt;Q&gt;Ticker0024^FE_ESTIMATE(SPEC_NO_CHANGE_1,MEAN,ANNUAL_ROLL,2028,45685,,,'')&lt;/Q&gt;&lt;R&gt;0&lt;/R&gt;&lt;C&gt;0&lt;/C&gt;&lt;/FQL&gt;&lt;FQL&gt;&lt;Q&gt;Ticker0024^FE_ESTIMATE(SPEC_NO_CHANGE_1,MEAN,QUARTERLY_ROLL,2028/4F,45685,,,'')&lt;/Q&gt;&lt;R&gt;0&lt;/R&gt;&lt;C&gt;0&lt;/C&gt;&lt;/FQL&gt;&lt;FQL&gt;&lt;Q&gt;Ticker0024^FE_ESTIMATE(SPEC_NO_CHANGE_1,MEAN,QUARTERLY_ROLL,2028/3F,45685,,,'')&lt;/Q&gt;&lt;R&gt;0&lt;/R&gt;&lt;C&gt;0&lt;/C&gt;&lt;/FQL&gt;&lt;FQL&gt;&lt;Q&gt;Ticker0024^FE_ESTIMATE(SPEC_NO_CHANGE_1,MEAN,QUARTERLY_ROLL,2028/2F,45685,,,'')&lt;/Q&gt;&lt;R&gt;0&lt;/R&gt;&lt;C&gt;0&lt;/C&gt;&lt;/FQL&gt;&lt;FQL&gt;&lt;Q&gt;Ticker0024^FE_ESTIMATE(SPEC_NO_CHANGE_1,MEAN,QUARTERLY_ROLL,2028/1F,45685,,,'')&lt;/Q&gt;&lt;R&gt;0&lt;/R&gt;&lt;C&gt;0&lt;/C&gt;&lt;/FQL&gt;&lt;FQL&gt;&lt;Q&gt;Ticker0024^FE_ESTIMATE(SPEC_NO_CHANGE_1,MEAN,ANNUAL_ROLL,2027,45685,,,'')&lt;/Q&gt;&lt;R&gt;1&lt;/R&gt;&lt;C&gt;1&lt;/C&gt;&lt;D xsi:type="xsd:double"&gt;27.9&lt;/D&gt;&lt;/FQL&gt;&lt;FQL&gt;&lt;Q&gt;Ticker0024^FE_ESTIMATE(SPEC_NO_CHANGE_1,MEAN,QUARTERLY_ROLL,2027/4F,45685,,,'')&lt;/Q&gt;&lt;R&gt;0&lt;/R&gt;&lt;C&gt;0&lt;/C&gt;&lt;/FQL&gt;&lt;FQL&gt;&lt;Q&gt;Ticker0024^FE_ESTIMATE(SPEC_NO_CHANGE_1,MEAN,QUARTERLY_ROLL,2027/3F,45685,,,'')&lt;/Q&gt;&lt;R&gt;0&lt;/R&gt;&lt;C&gt;0&lt;/C&gt;&lt;/FQL&gt;&lt;FQL&gt;&lt;Q&gt;Ticker0024^FE_ESTIMATE(SPEC_NO_CHANGE_1,MEAN,QUARTERLY_ROLL,2027/2F,45685,,,'')&lt;/Q&gt;&lt;R&gt;0&lt;/R&gt;&lt;C&gt;0&lt;/C&gt;&lt;/FQL&gt;&lt;FQL&gt;&lt;Q&gt;Ticker0024^FE_ESTIMATE(SPEC_NO_CHANGE_1,MEAN,QUARTERLY_ROLL,2027/1F,45685,,,'')&lt;/Q&gt;&lt;R&gt;0&lt;/R&gt;&lt;C&gt;0&lt;/C&gt;&lt;/FQL&gt;&lt;FQL&gt;&lt;Q&gt;Ticker0024^FE_ESTIMATE(SPEC_NO_CHANGE_1,MEAN,ANNUAL_ROLL,2026,45685,,,'')&lt;/Q&gt;&lt;R&gt;1&lt;/R&gt;&lt;C&gt;1&lt;/C&gt;&lt;D xsi:type="xsd:double"&gt;30.233334&lt;/D&gt;&lt;/FQL&gt;&lt;FQL&gt;&lt;Q&gt;Ticker0024^FE_ESTIMATE(SPEC_NO_CHANGE_1,MEAN,QUARTERLY_ROLL,2026/4F,45685,,,'')&lt;/Q&gt;&lt;R&gt;1&lt;/R&gt;&lt;C&gt;1&lt;/C&gt;&lt;D xsi:type="xsd:double"&gt;31&lt;/D&gt;&lt;/FQL&gt;&lt;FQL&gt;&lt;Q&gt;Ticker0024^FE_ESTIMATE(SPEC_NO_CHANGE_1,MEAN,QUARTERLY_ROLL,2026/3F,45685,,,'')&lt;/Q&gt;&lt;R&gt;1&lt;/R&gt;&lt;C&gt;1&lt;/C&gt;&lt;D xsi:type="xsd:double"&gt;30&lt;/D&gt;&lt;/FQL&gt;&lt;FQL&gt;&lt;Q&gt;Ticker0024^FE_ESTIMATE(SPEC_NO_CHANGE_1,MEAN,QUARTERLY_ROLL,2026/2F,45685,,,'')&lt;/Q&gt;&lt;R&gt;1&lt;/R&gt;&lt;C&gt;1&lt;/C&gt;&lt;D xsi:type="xsd:double"&gt;30&lt;/D&gt;&lt;/FQL&gt;&lt;FQL&gt;&lt;Q&gt;Ticker0024^FE_ESTIMATE(SPEC_NO_CHANGE_1,MEAN,QUARTERLY_ROLL,2026/1F,45685,,,'')&lt;/Q&gt;&lt;R&gt;1&lt;/R&gt;&lt;C&gt;1&lt;/C&gt;&lt;D xsi:type="xsd:double"&gt;31&lt;/D&gt;&lt;/FQL&gt;&lt;FQL&gt;&lt;Q&gt;Ticker0024^FE_ESTIMATE(SPEC_NO_CHANGE_1,MEAN,ANNUAL_ROLL,2025,45685,,,'')&lt;/Q&gt;&lt;R&gt;1&lt;/R&gt;&lt;C&gt;1&lt;/C&gt;&lt;D xsi:type="xsd:double"&gt;31.075&lt;/D&gt;&lt;/FQL&gt;&lt;FQL&gt;&lt;Q&gt;Ticker0024^FE_ESTIMATE(SPEC_NO_CHANGE_1,MEAN,QUARTERLY_ROLL,2025/4F,45685,,,'')&lt;/Q&gt;&lt;R&gt;1&lt;/R&gt;&lt;C&gt;1&lt;/C&gt;&lt;D xsi:type="xsd:double"&gt;32.333332&lt;/D&gt;&lt;/FQL&gt;&lt;FQL&gt;&lt;Q&gt;Ticker0024^FE_ESTIMATE(SPEC_NO_CHANGE_1,MEAN,QUARTERLY_ROLL,2025/3F,45685,,,'')&lt;/Q&gt;&lt;R&gt;1&lt;/R&gt;&lt;C&gt;1&lt;/C&gt;&lt;D xsi:type="xsd:double"&gt;31.7&lt;/D&gt;&lt;/FQL&gt;&lt;FQL&gt;&lt;Q&gt;Ticker0024^FE_ESTIMATE(SPEC_NO_CHANGE_1,MEAN,QUARTERLY_ROLL,2025/2F,45685,,,'')&lt;/Q&gt;&lt;R&gt;1&lt;/R&gt;&lt;C&gt;1&lt;/C&gt;&lt;D xsi:type="xsd:double"&gt;30.225&lt;/D&gt;&lt;/FQL&gt;&lt;FQL&gt;&lt;Q&gt;Ticker0024^FE_ESTIMATE(SPEC_NO_CHANGE_1,MEAN,QUARTERLY_ROLL,2025/1F,45685,,,'')&lt;/Q&gt;&lt;R&gt;1&lt;/R&gt;&lt;C&gt;1&lt;/C&gt;&lt;D xsi:type="xsd:double"&gt;31.05&lt;/D&gt;&lt;/FQL&gt;&lt;FQL&gt;&lt;Q&gt;Ticker0024^FE_ESTIMATE(SPEC_NO_CHANGE_1,MEAN,ANNUAL_ROLL,2024,45685,,,'')&lt;/Q&gt;&lt;R&gt;1&lt;/R&gt;&lt;C&gt;1&lt;/C&gt;&lt;D xsi:type="xsd:double"&gt;29.966667&lt;/D&gt;&lt;/FQL&gt;&lt;FQL&gt;&lt;Q&gt;Ticker0024^FE_ESTIMATE(SPEC_NO_CHANGE_1,MEAN,QUARTERLY_ROLL,2024/4F,45685,,,'')&lt;/Q&gt;&lt;R&gt;1&lt;/R&gt;&lt;C&gt;1&lt;/C&gt;&lt;D xsi:type="xsd:double"&gt;28.933332&lt;/D&gt;&lt;/FQL&gt;&lt;FQL&gt;&lt;Q&gt;Ticker0024^FE_ESTIMATE(SPEC_NO_CHANGE_1,MEAN,QUARTERLY_ROLL,2024/3F,45685,,,'')&lt;/Q&gt;&lt;R&gt;1&lt;/R&gt;&lt;C&gt;1&lt;/C&gt;&lt;D xsi:type="xsd:double"&gt;31.02&lt;/D&gt;&lt;/FQL&gt;&lt;FQL&gt;&lt;Q&gt;Ticker0024^FE_ESTIMATE(SPEC_NO_CHANGE_1,MEAN,QUARTERLY_ROLL,2024/2F,45685,,,'')&lt;/Q&gt;&lt;R&gt;1&lt;/R&gt;&lt;C&gt;1&lt;/C&gt;&lt;D xsi:type="xsd:double"&gt;30.06&lt;/D&gt;&lt;/FQL&gt;&lt;FQL&gt;&lt;Q&gt;Ticker0024^FE_ESTIMATE(SPEC_NO_CHANGE_1,MEAN,QUARTERLY_ROLL,2024/1F,45685,,,'')&lt;/Q&gt;&lt;R&gt;1&lt;/R&gt;&lt;C&gt;1&lt;/C&gt;&lt;D xsi:type="xsd:double"&gt;29.066668&lt;/D&gt;&lt;/FQL&gt;&lt;FQL&gt;&lt;Q&gt;Ticker0024^FE_ESTIMATE(SPEC_NO_CHANGE_1,MEAN,ANNUAL_ROLL,2023,45685,,,'')&lt;/Q&gt;&lt;R&gt;1&lt;/R&gt;&lt;C&gt;1&lt;/C&gt;&lt;D xsi:type="xsd:double"&gt;29.166666&lt;/D&gt;&lt;/FQL&gt;&lt;FQL&gt;&lt;Q&gt;Ticker0024^FE_ESTIMATE(SPEC_NO_CHANGE_1,MEAN,QUARTERLY_ROLL,2023/4F,45685,,,'')&lt;/Q&gt;&lt;R&gt;1&lt;/R&gt;&lt;C&gt;1&lt;/C&gt;&lt;D xsi:type="xsd:double"&gt;25.916666&lt;/D&gt;&lt;/FQL&gt;&lt;FQL&gt;&lt;Q&gt;Ticker0024^FE_ESTIMATE(SPEC_NO_CHANGE_1,MEAN,QUARTERLY_ROLL,2023/3F,45685,,,'')&lt;/Q&gt;&lt;R&gt;1&lt;/R&gt;&lt;C&gt;1&lt;/C&gt;&lt;D xsi:type="xsd:double"&gt;27.766666&lt;/D&gt;&lt;/FQL&gt;&lt;FQL&gt;&lt;Q&gt;Ticker0024^FE_ESTIMATE(SPEC_NO_CHANGE_1,MEAN,QUARTERLY_ROLL,2023/2F,45685,,,'')&lt;/Q&gt;&lt;R&gt;1&lt;/R&gt;&lt;C&gt;1&lt;/C&gt;&lt;D xsi:type="xsd:double"&gt;31&lt;/D&gt;&lt;/FQL&gt;&lt;FQL&gt;&lt;Q&gt;Ticker0024^FE_ESTIMATE(SPEC_NO_CHANGE_1,MEAN,QUARTERLY_ROLL,2023/1F,45685,,,'')&lt;/Q&gt;&lt;R&gt;1&lt;/R&gt;&lt;C&gt;1&lt;/C&gt;&lt;D xsi:type="xsd:double"&gt;35&lt;/D&gt;&lt;/FQL&gt;&lt;FQL&gt;&lt;Q&gt;Ticker0024^FE_ESTIMATE(SPEC_NO_CHANGE_1,MEAN,ANNUAL_ROLL,2022,45685,,,'')&lt;/Q&gt;&lt;R&gt;1&lt;/R&gt;&lt;C&gt;1&lt;/C&gt;&lt;D xsi:type="xsd:double"&gt;45.05&lt;/D&gt;&lt;/FQL&gt;&lt;FQL&gt;&lt;Q&gt;Ticker0024^FE_ESTIMATE(SPEC_NO_CHANGE_1,MEAN,QUARTERLY_ROLL,2022/4F,45685,,,'')&lt;/Q&gt;&lt;R&gt;1&lt;/R&gt;&lt;C&gt;1&lt;/C&gt;&lt;D xsi:type="xsd:double"&gt;40&lt;/D&gt;&lt;/FQL&gt;&lt;FQL&gt;&lt;Q&gt;Ticker0024^FE_ESTIMATE(SPEC_NO_CHANGE_1,MEAN,QUARTERLY_ROLL,2022/3F,45685,,,'')&lt;/Q&gt;&lt;R&gt;1&lt;/R&gt;&lt;C&gt;1&lt;/C&gt;&lt;D xsi:type="xsd:double"&gt;46&lt;/D&gt;&lt;/FQL&gt;&lt;FQL&gt;&lt;Q&gt;Ticker0024^FE_ESTIMATE(SPEC_NO_CHANGE_1,MEAN,QUARTERLY_ROLL,2022/2F,45685,,,'')&lt;/Q&gt;&lt;R&gt;1&lt;/R&gt;&lt;C&gt;1&lt;/C&gt;&lt;D xsi:type="xsd:double"&gt;46&lt;/D&gt;&lt;/FQL&gt;&lt;FQL&gt;&lt;Q&gt;Ticker0024^FE_ESTIMATE(SPEC_NO_CHANGE_1,MEAN,QUARTERLY_ROLL,2022/1F,45685,,,'')&lt;/Q&gt;&lt;R&gt;1&lt;/R&gt;&lt;C&gt;1&lt;/C&gt;&lt;D xsi:type="xsd:double"&gt;50&lt;/D&gt;&lt;/FQL&gt;&lt;FQL&gt;&lt;Q&gt;Ticker0024^FE_ESTIMATE(SPEC_NO_CHANGE_1,MEAN,ANNUAL_ROLL,2021,45685,,,'')&lt;/Q&gt;&lt;R&gt;1&lt;/R&gt;&lt;C&gt;1&lt;/C&gt;&lt;D xsi:type="xsd:double"&gt;49.8&lt;/D&gt;&lt;/FQL&gt;&lt;FQL&gt;&lt;Q&gt;Ticker0024^FE_ESTIMATE(SPEC_NO_CHANGE_1,MEAN,QUARTERLY_ROLL,2021/4F,45685,,,'')&lt;/Q&gt;&lt;R&gt;1&lt;/R&gt;&lt;C&gt;1&lt;/C&gt;&lt;D xsi:type="xsd:double"&gt;51&lt;/D&gt;&lt;/FQL&gt;&lt;FQL&gt;&lt;Q&gt;Ticker0024^FE_ESTIMATE(SPEC_NO_CHANGE_1,MEAN,QUARTERLY_ROLL,2021/3F,45685,,,'')&lt;/Q&gt;&lt;R&gt;1&lt;/R&gt;&lt;C&gt;1&lt;/C&gt;&lt;D xsi:type="xsd:double"&gt;50&lt;/D&gt;&lt;/FQL&gt;&lt;FQL&gt;&lt;Q&gt;Ticker0024^FE_ESTIMATE(SPEC_NO_CHANGE_1,MEAN,QUARTERLY_ROLL,2021/2F,45685,,,'')&lt;/Q&gt;&lt;R&gt;1&lt;/R&gt;&lt;C&gt;1&lt;/C&gt;&lt;D xsi:type="xsd:double"&gt;50&lt;/D&gt;&lt;/FQL&gt;&lt;FQL&gt;&lt;Q&gt;Ticker0024^FE_ESTIMATE(SPEC_NO_CHANGE_1,MEAN,QUARTERLY_ROLL,2021/1F,45685,,,'')&lt;/Q&gt;&lt;R&gt;1&lt;/R&gt;&lt;C&gt;1&lt;/C&gt;&lt;D xsi:type="xsd:double"&gt;48&lt;/D&gt;&lt;/FQL&gt;&lt;FQL&gt;&lt;Q&gt;Ticker0024^FE_ESTIMATE(SPEC_NO_CHANGE_1,MEAN,ANNUAL_ROLL,2020,45685,,,'')&lt;/Q&gt;&lt;R&gt;0&lt;/R&gt;&lt;C&gt;0&lt;/C&gt;&lt;/FQL&gt;&lt;FQL&gt;&lt;Q&gt;Ticker0024^FE_ESTIMATE(SPEC_NO_CHANGE_1,MEAN,QUARTERLY_ROLL,2020/4F,45685,,,'')&lt;/Q&gt;&lt;R&gt;0&lt;/R&gt;&lt;C&gt;0&lt;/C&gt;&lt;/FQL&gt;&lt;FQL&gt;&lt;Q&gt;Ticker0024^FE_ESTIMATE(SPEC_NO_CHANGE_1,MEAN,QUARTERLY_ROLL,2020/3F,45685,,,'')&lt;/Q&gt;&lt;R&gt;0&lt;/R&gt;&lt;C&gt;0&lt;/C&gt;&lt;/FQL&gt;&lt;FQL&gt;&lt;Q&gt;Ticker0024^FE_ESTIMATE(SPEC_NO_CHANGE_1,MEAN,QUARTERLY_ROLL,2020/2F,45685,,,'')&lt;/Q&gt;&lt;R&gt;0&lt;/R&gt;&lt;C&gt;0&lt;/C&gt;&lt;/FQL&gt;&lt;FQL&gt;&lt;Q&gt;Ticker0024^FE_ESTIMATE(SPEC_NO_CHANGE_1,MEAN,QUARTERLY_ROLL,2020/1F,45685,,,'')&lt;/Q&gt;&lt;R&gt;0&lt;/R&gt;&lt;C&gt;0&lt;/C&gt;&lt;/FQL&gt;&lt;FQL&gt;&lt;Q&gt;Ticker0024^FE_ESTIMATE(SPEC_NO_CHANGE_1,MEAN,ANNUAL_ROLL,2019,45685,,,'')&lt;/Q&gt;&lt;R&gt;0&lt;/R&gt;&lt;C&gt;0&lt;/C&gt;&lt;/FQL&gt;&lt;FQL&gt;&lt;Q&gt;Ticker0024^FE_ESTIMATE(SPEC_NO_CHANGE_1,MEAN,QUARTERLY_ROLL,2019/4F,45685,,,'')&lt;/Q&gt;&lt;R&gt;0&lt;/R&gt;&lt;C&gt;0&lt;/C&gt;&lt;/FQL&gt;&lt;FQL&gt;&lt;Q&gt;Ticker0024^FE_ESTIMATE(SPEC_NO_CHANGE_1,MEAN,QUARTERLY_ROLL,2019/3F,45685,,,'')&lt;/Q&gt;&lt;R&gt;0&lt;/R&gt;&lt;C&gt;0&lt;/C&gt;&lt;/FQL&gt;&lt;FQL&gt;&lt;Q&gt;Ticker0024^FE_ESTIMATE(SPEC_NO_CHANGE_1,MEAN,QUARTERLY_ROLL,2019/2F,45685,,,'')&lt;/Q&gt;&lt;R&gt;0&lt;/R&gt;&lt;C&gt;0&lt;/C&gt;&lt;/FQL&gt;&lt;FQL&gt;&lt;Q&gt;Ticker0024^FE_ESTIMATE(SPEC_NO_CHANGE_1,MEAN,QUARTERLY_ROLL,2019/1F,45685,,,'')&lt;/Q&gt;&lt;R&gt;0&lt;/R&gt;&lt;C&gt;0&lt;/C&gt;&lt;/FQL&gt;&lt;FQL&gt;&lt;Q&gt;Ticker0024^FE_ESTIMATE(SPEC_NO_CHANGE_1,MEAN,ANNUAL_ROLL,2018,45685,,,'')&lt;/Q&gt;&lt;R&gt;0&lt;/R&gt;&lt;C&gt;0&lt;/C&gt;&lt;/FQL&gt;&lt;FQL&gt;&lt;Q&gt;Ticker0024^FE_ESTIMATE(SPEC_NO_CHANGE_1,MEAN,QUARTERLY_ROLL,2018/4F,45685,,,'')&lt;/Q&gt;&lt;R&gt;0&lt;/R&gt;&lt;C&gt;0&lt;/C&gt;&lt;/FQL&gt;&lt;FQL&gt;&lt;Q&gt;Ticker0024^FE_ESTIMATE(SPEC_NO_CHANGE_1,MEAN,QUARTERLY_ROLL,2018/3F,45685,,,'')&lt;/Q&gt;&lt;R&gt;0&lt;/R&gt;&lt;C&gt;0&lt;/C&gt;&lt;/FQL&gt;&lt;FQL&gt;&lt;Q&gt;Ticker0024^FE_ESTIMATE(SPEC_NO_CHANGE_1,MEAN,QUARTERLY_ROLL,2018/2F,45685,,,'')&lt;/Q&gt;&lt;R&gt;0&lt;/R&gt;&lt;C&gt;0&lt;/C&gt;&lt;/FQL&gt;&lt;FQL&gt;&lt;Q&gt;Ticker0024^FE_ESTIMATE(SPEC_NO_CHANGE_1,MEAN,QUARTERLY_ROLL,2018/1F,45685,,,'')&lt;/Q&gt;&lt;R&gt;0&lt;/R&gt;&lt;C&gt;0&lt;/C&gt;&lt;/FQL&gt;&lt;FQL&gt;&lt;Q&gt;Ticker0024^FE_ESTIMATE(SPEC_NO_CHANGE_1,MEAN,ANNUAL_ROLL,2017,45685,,,'')&lt;/Q&gt;&lt;R&gt;0&lt;/R&gt;&lt;C&gt;0&lt;/C&gt;&lt;/FQL&gt;&lt;FQL&gt;&lt;Q&gt;Ticker0024^FE_ESTIMATE(SPEC_NO_CHANGE_1,MEAN,QUARTERLY_ROLL,2017/4F,45685,,,'')&lt;/Q&gt;&lt;R&gt;0&lt;/R&gt;&lt;C&gt;0&lt;/C&gt;&lt;/FQL&gt;&lt;FQL&gt;&lt;Q&gt;Ticker0024^FE_ESTIMATE(SPEC_NO_CHANGE_1,MEAN,QUARTERLY_ROLL,2017/3F,45685,,,'')&lt;/Q&gt;&lt;R&gt;0&lt;/R&gt;&lt;C&gt;0&lt;/C&gt;&lt;/FQL&gt;&lt;FQL&gt;&lt;Q&gt;Ticker0024^FE_ESTIMATE(SPEC_NO_CHANGE_1,MEAN,QUARTERLY_ROLL,2017/2F,45685,,,'')&lt;/Q&gt;&lt;R&gt;0&lt;/R&gt;&lt;C&gt;0&lt;/C&gt;&lt;/FQL&gt;&lt;FQL&gt;&lt;Q&gt;Ticker0024^FE_ESTIMATE(SPEC_NO_CHANGE_1,MEAN,QUARTERLY_ROLL,2017/1F,45685,,,'')&lt;/Q&gt;&lt;R&gt;0&lt;/R&gt;&lt;C&gt;0&lt;/C&gt;&lt;/FQL&gt;&lt;FQL&gt;&lt;Q&gt;Ticker0024^FE_ESTIMATE(SPEC_NO_CHANGE_1,MEAN,ANNUAL_ROLL,2016,45685,,,'')&lt;/Q&gt;&lt;R&gt;0&lt;/R&gt;&lt;C&gt;0&lt;/C&gt;&lt;/FQL&gt;&lt;FQL&gt;&lt;Q&gt;Ticker0024^FE_ESTIMATE(SPEC_NO_CHANGE_1,MEAN,QUARTERLY_ROLL,2016/4F,45685,,,'')&lt;/Q&gt;&lt;R&gt;0&lt;/R&gt;&lt;C&gt;0&lt;/C&gt;&lt;/FQL&gt;&lt;FQL&gt;&lt;Q&gt;Ticker0024^FE_ESTIMATE(SPEC_NO_CHANGE_1,MEAN,QUARTERLY_ROLL,2016/3F,45685,,,'')&lt;/Q&gt;&lt;R&gt;0&lt;/R&gt;&lt;C&gt;0&lt;/C&gt;&lt;/FQL&gt;&lt;FQL&gt;&lt;Q&gt;Ticker0024^FE_ESTIMATE(SPEC_NO_CHANGE_1,MEAN,QUARTERLY_ROLL,2016/2F,45685,,,'')&lt;/Q&gt;&lt;R&gt;0&lt;/R&gt;&lt;C&gt;0&lt;/C&gt;&lt;/FQL&gt;&lt;FQL&gt;&lt;Q&gt;Ticker0024^FE_ESTIMATE(SPEC_NO_CHANGE_1,MEAN,QUARTERLY_ROLL,2016/1F,45685,,,'')&lt;/Q&gt;&lt;R&gt;0&lt;/R&gt;&lt;C&gt;0&lt;/C&gt;&lt;/FQL&gt;&lt;FQL&gt;&lt;Q&gt;Ticker0024^FE_ESTIMATE(SPEC_NO_CHANGE_1,MEAN,ANNUAL_ROLL,2015,45685,,,'')&lt;/Q&gt;&lt;R&gt;0&lt;/R&gt;&lt;C&gt;0&lt;/C&gt;&lt;/FQL&gt;&lt;FQL&gt;&lt;Q&gt;Ticker0024^FE_ESTIMATE(SPEC_NO_CHANGE_1,MEAN,QUARTERLY_ROLL,2015/4F,45685,,,'')&lt;/Q&gt;&lt;R&gt;0&lt;/R&gt;&lt;C&gt;0&lt;/C&gt;&lt;/FQL&gt;&lt;FQL&gt;&lt;Q&gt;Ticker0024^FE_ESTIMATE(SPEC_NO_CHANGE_1,MEAN,QUARTERLY_ROLL,2015/3F,45685,,,'')&lt;/Q&gt;&lt;R&gt;0&lt;/R&gt;&lt;C&gt;0&lt;/C&gt;&lt;/FQL&gt;&lt;FQL&gt;&lt;Q&gt;Ticker0024^FE_ESTIMATE(SPEC_NO_CHANGE_1,MEAN,QUARTERLY_ROLL,2015/2F,45685,,,'')&lt;/Q&gt;&lt;R&gt;0&lt;/R&gt;&lt;C&gt;0&lt;/C&gt;&lt;/FQL&gt;&lt;FQL&gt;&lt;Q&gt;Ticker0024^FE_ESTIMATE(SPEC_NO_CHANGE_1,MEAN,QUARTERLY_ROLL,2015/1F,45685,,,'')&lt;/Q&gt;&lt;R&gt;0&lt;/R&gt;&lt;C&gt;0&lt;/C&gt;&lt;/FQL&gt;&lt;FQL&gt;&lt;Q&gt;Ticker0024^FE_ESTIMATE(NEW_ORDERS_VALUE,MEAN,ANNUAL_ROLL,2030,45685,,,'')&lt;/Q&gt;&lt;R&gt;0&lt;/R&gt;&lt;C&gt;0&lt;/C&gt;&lt;/FQL&gt;&lt;FQL&gt;&lt;Q&gt;Ticker0024^FE_ESTIMATE(NEW_ORDERS_VALUE,MEAN,QUARTERLY_ROLL,2030/4F,45685,,,'')&lt;/Q&gt;&lt;R&gt;0&lt;/R&gt;&lt;C&gt;0&lt;/C&gt;&lt;/FQL&gt;&lt;FQL&gt;&lt;Q&gt;Ticker0024^FE_ESTIMATE(NEW_ORDERS_VALUE,MEAN,QUARTERLY_ROLL,2030/3F,45685,,,'')&lt;/Q&gt;&lt;R&gt;0&lt;/R&gt;&lt;C&gt;0&lt;/C&gt;&lt;/FQL&gt;&lt;FQL&gt;&lt;Q&gt;Ticker0024^FE_ESTIMATE(NEW_ORDERS_VALUE,MEAN,QUARTERLY_ROLL,2030/2F,45685,,,'')&lt;/Q&gt;&lt;R&gt;0&lt;/R&gt;&lt;C&gt;0&lt;/C&gt;&lt;/FQL&gt;&lt;FQL&gt;&lt;Q&gt;Ticker0024^FE_ESTIMATE(NEW_ORDERS_VALUE,MEAN,QUARTERLY_ROLL,2030/1F,45685,,,'')&lt;/Q&gt;&lt;R&gt;0&lt;/R&gt;&lt;C&gt;0&lt;/C&gt;&lt;/FQL&gt;&lt;FQL&gt;&lt;Q&gt;Ticker0024^FE_ESTIMATE(NEW_ORDERS_VALUE,MEAN,ANNUAL_ROLL,2029,45685,,,'')&lt;/Q&gt;&lt;R&gt;0&lt;/R&gt;&lt;C&gt;0&lt;/C&gt;&lt;/FQL&gt;&lt;FQL&gt;&lt;Q&gt;Ticker0024^FE_ESTIMATE(NEW_ORDERS_VALUE,MEAN,QUARTERLY_ROLL,2029/4F,45685,,,'')&lt;/Q&gt;&lt;R&gt;0&lt;/R&gt;&lt;C&gt;0&lt;/C&gt;&lt;/FQL&gt;&lt;FQL&gt;&lt;Q&gt;Ticker0024^FE_ESTIMATE(NEW_ORDERS_VALUE,MEAN,QUARTERLY_ROLL,2029/3F,45685,,,'')&lt;/Q&gt;&lt;R&gt;0&lt;/R&gt;&lt;C&gt;0&lt;/C&gt;&lt;/FQL&gt;&lt;FQL&gt;&lt;Q&gt;Ticker0024^FE_ESTIMATE(NEW_ORDERS_VALUE,MEAN,QUARTERLY_ROLL,2029/2F,45685,,,'')&lt;/Q&gt;&lt;R&gt;0&lt;/R&gt;&lt;C&gt;0&lt;/C&gt;&lt;/FQL&gt;&lt;FQL&gt;&lt;Q&gt;Ticker0024^FE_ESTIMATE(NEW_ORDERS_VALUE,MEAN,QUARTERLY_ROLL,2029/1F,45685,,,'')&lt;/Q&gt;&lt;R&gt;0&lt;/R&gt;&lt;C&gt;0&lt;/C&gt;&lt;/FQL&gt;&lt;FQL&gt;&lt;Q&gt;Ticker0024^FE_ESTIMATE(NEW_ORDERS_VALUE,MEAN,ANNUAL_ROLL,2028,45685,,,'')&lt;/Q&gt;&lt;R&gt;0&lt;/R&gt;&lt;C&gt;0&lt;/C&gt;&lt;/FQL&gt;&lt;FQL&gt;&lt;Q&gt;Ticker0024^FE_ESTIMATE(NEW_ORDERS_VALUE,MEAN,QUARTERLY_ROLL,2028/4F,45685,,,'')&lt;/Q&gt;&lt;R&gt;0&lt;/R&gt;&lt;C&gt;0&lt;/C&gt;&lt;/FQL&gt;&lt;FQL&gt;&lt;Q&gt;Ticker0024^FE_ESTIMATE(NEW_ORDERS_VALUE,MEAN,QUARTERLY_ROLL,2028/3F,45685,,,'')&lt;/Q&gt;&lt;R&gt;0&lt;/R&gt;&lt;C&gt;0&lt;/C&gt;&lt;/FQL&gt;&lt;FQL&gt;&lt;Q&gt;Ticker0024^FE_ESTIMATE(NEW_ORDERS_VALUE,MEAN,QUARTERLY_ROLL,2028/2F,45685,,,'')&lt;/Q&gt;&lt;R&gt;0&lt;/R&gt;&lt;C&gt;0&lt;/C&gt;&lt;/FQL&gt;&lt;FQL&gt;&lt;Q&gt;Ticker0024^FE_ESTIMATE(NEW_ORDERS_VALUE,MEAN,QUARTERLY_ROLL,2028/1F,45685,,,'')&lt;/Q&gt;&lt;R&gt;0&lt;/R&gt;&lt;C&gt;0&lt;/C&gt;&lt;/FQL&gt;&lt;FQL&gt;&lt;Q&gt;Ticker0024^FE_ESTIMATE(NEW_ORDERS_VALUE,MEAN,ANNUAL_ROLL,2027,45685,,,'')&lt;/Q&gt;&lt;R&gt;0&lt;/R&gt;&lt;C&gt;0&lt;/C&gt;&lt;/FQL&gt;&lt;FQL&gt;&lt;Q&gt;Ticker0024^FE_ESTIMATE(NEW_ORDERS_VALUE,MEAN,QUARTERLY_ROLL,2027/4F,45685,,,'')&lt;/Q&gt;&lt;R&gt;0&lt;/R&gt;&lt;C&gt;0&lt;/C&gt;&lt;/FQL&gt;&lt;FQL&gt;&lt;Q&gt;Ticker0024^FE_ESTIMATE(NEW_ORDERS_VALUE,MEAN,QUARTERLY_ROLL,2027/3F,45685,,,'')&lt;/Q&gt;&lt;R&gt;0&lt;/R&gt;&lt;C&gt;0&lt;/C&gt;&lt;/FQL&gt;&lt;FQL&gt;&lt;Q&gt;Ticker0024^FE_ESTIMATE(NEW_ORDERS_VALUE,MEAN,QUARTERLY_ROLL,2027/2F,45685,,,'')&lt;/Q&gt;&lt;R&gt;0&lt;/R&gt;&lt;C&gt;0&lt;/C&gt;&lt;/FQL&gt;&lt;FQL&gt;&lt;Q&gt;Ticker0024^FE_ESTIMATE(NEW_ORDERS_VALUE,MEAN,QUARTERLY_ROLL,2027/1F,45685,,,'')&lt;/Q&gt;&lt;R&gt;0&lt;/R&gt;&lt;C&gt;0&lt;/C&gt;&lt;/FQL&gt;&lt;FQL&gt;&lt;Q&gt;Ticker0024^FE_ESTIMATE(NEW_ORDERS_VALUE,MEAN,ANNUAL_ROLL,2026,45685,,,'')&lt;/Q&gt;&lt;R&gt;0&lt;/R&gt;&lt;C&gt;0&lt;/C&gt;&lt;/FQL&gt;&lt;FQL&gt;&lt;Q&gt;Ticker0024^FE_ESTIMATE(NEW_ORDERS_VALUE,MEAN,QUARTERLY_ROLL,2026/4F,45685,,,'')&lt;/Q&gt;&lt;R&gt;0&lt;/R&gt;&lt;C&gt;0&lt;/C&gt;&lt;/FQL&gt;&lt;FQL&gt;&lt;Q&gt;Ticker0024^FE_ESTIMATE(NEW_ORDERS_VALUE,MEAN,QUARTERLY_ROLL,2026/3F,45685,,,'')&lt;/Q&gt;&lt;R&gt;0&lt;/R&gt;&lt;C&gt;0&lt;/C&gt;&lt;/FQL&gt;&lt;FQL&gt;&lt;Q&gt;Ticker0024^FE_ESTIMATE(NEW_ORDERS_VALUE,MEAN,QUARTERLY_ROLL,2026/2F,45685,,,'')&lt;/Q&gt;&lt;R&gt;0&lt;/R&gt;&lt;C&gt;0&lt;/C&gt;&lt;/FQL&gt;&lt;FQL&gt;&lt;Q&gt;Ticker0024^FE_ESTIMATE(NEW_ORDERS_VALUE,MEAN,QUARTERLY_ROLL,2026/1F,45685,,,'')&lt;/Q&gt;&lt;R&gt;0&lt;/R&gt;&lt;C&gt;0&lt;/C&gt;&lt;/FQL&gt;&lt;FQL&gt;&lt;Q&gt;Ticker0024^FE_ESTIMATE(NEW_ORDERS_VALUE,MEAN,ANNUAL_ROLL,2025,45685,,,'')&lt;/Q&gt;&lt;R&gt;0&lt;/R&gt;&lt;C&gt;0&lt;/C&gt;&lt;/FQL&gt;&lt;FQL&gt;&lt;Q&gt;Ticker0024^FE_ESTIMATE(NEW_ORDERS_VALUE,MEAN,QUARTERLY_ROLL,2025/4F,45685,,,'')&lt;/Q&gt;&lt;R&gt;0&lt;/R&gt;&lt;C&gt;0&lt;/C&gt;&lt;/FQL&gt;&lt;FQL&gt;&lt;Q&gt;Ticker0024^FE_ESTIMATE(NEW_ORDERS_VALUE,MEAN,QUARTERLY_ROLL,2025/3F,45685,,,'')&lt;/Q&gt;&lt;R&gt;0&lt;/R&gt;&lt;C&gt;0&lt;/C&gt;&lt;/FQL&gt;&lt;FQL&gt;&lt;Q&gt;Ticker0024^FE_ESTIMATE(NEW_ORDERS_VALUE,MEAN,QUARTERLY_ROLL,2025/2F,45685,,,'')&lt;/Q&gt;&lt;R&gt;1&lt;/R&gt;&lt;C&gt;1&lt;/C&gt;&lt;D xsi:type="xsd:double"&gt;66999&lt;/D&gt;&lt;/FQL&gt;&lt;FQL&gt;&lt;Q&gt;Ticker0024^FE_ESTIMATE(NEW_ORDERS_VALUE,MEAN,QUARTERLY_ROLL,2025/1F,45685,,,'')&lt;/Q&gt;&lt;R&gt;0&lt;/R&gt;&lt;C&gt;0&lt;/C&gt;&lt;/FQL&gt;&lt;FQL&gt;&lt;Q&gt;Ticker0024^FE_ESTIMATE(NEW_ORDERS_VALUE,MEAN,ANNUAL_ROLL,2024,45685,,,'')&lt;/Q&gt;&lt;R&gt;0&lt;/R&gt;&lt;C&gt;0&lt;/C&gt;&lt;/FQL&gt;&lt;FQL&gt;&lt;Q&gt;Ticker0024^FE_ESTIMATE(NEW_ORDERS_VALUE,MEAN,QUARTERLY_ROLL,2024/4F,45685,,,'')&lt;/Q&gt;&lt;R&gt;0&lt;/R&gt;&lt;C&gt;0&lt;/C&gt;&lt;/FQL&gt;&lt;FQL&gt;&lt;Q&gt;Ticker0024^FE_ESTIMATE(NEW_ORDERS_VALUE,MEAN,QUARTERLY_ROLL,2024/3F,45685,,,'')&lt;/Q&gt;&lt;R&gt;0&lt;/R&gt;&lt;C&gt;0&lt;/C&gt;&lt;/FQL&gt;&lt;FQL&gt;&lt;Q&gt;Ticker0024^FE_ESTIMATE(NEW_ORDERS_VALUE,MEAN,QUARTERLY_ROLL,2024/2F,45685,,,'')&lt;/Q&gt;&lt;R&gt;0&lt;/R&gt;&lt;C&gt;0&lt;/C&gt;&lt;/FQL&gt;&lt;FQL&gt;&lt;Q&gt;Ticker0024^FE_ESTIMATE(NEW_ORDERS_VALUE,MEAN,QUARTERLY_ROLL,2024/1F,45685,,,'')&lt;/Q&gt;&lt;R&gt;0&lt;/R&gt;&lt;C&gt;0&lt;/C&gt;&lt;/FQL&gt;&lt;FQL&gt;&lt;Q&gt;Ticker0024^FE_ESTIMATE(NEW_ORDERS_VALUE,MEAN,ANNUAL_ROLL,2023,45685,,,'')&lt;/Q&gt;&lt;R&gt;1&lt;/R&gt;&lt;C&gt;1&lt;/C&gt;&lt;D xsi:type="xsd:double"&gt;217320&lt;/D&gt;&lt;/FQL&gt;&lt;FQL&gt;&lt;Q&gt;Ticker0024^FE_ESTIMATE(NEW_ORDERS_VALUE,MEAN,QUARTERLY_ROLL,2023/4F,45685,,,'')&lt;/Q&gt;&lt;R&gt;1&lt;/R&gt;&lt;C&gt;1&lt;/C&gt;&lt;D xsi:type="xsd:double"&gt;70401&lt;/D&gt;&lt;/FQL&gt;&lt;FQL&gt;&lt;Q&gt;Ticker0024^FE_ESTIMATE(NEW_ORDERS_VALUE,MEAN,QUARTERLY_ROLL,2023/3F,45685,,,'')&lt;/Q&gt;&lt;R&gt;1&lt;/R&gt;&lt;C&gt;1&lt;/C&gt;&lt;D xsi:type="xsd:double"&gt;52832&lt;/D&gt;&lt;/FQL&gt;&lt;FQL&gt;&lt;Q&gt;Ticker0024^FE_ESTIMATE(NEW_ORDERS_VALUE,MEAN,QUARTERLY_ROLL,2023/2F,45685,,,'')&lt;/Q&gt;&lt;R&gt;1&lt;/R&gt;&lt;C&gt;1&lt;/C&gt;&lt;D xsi:type="xsd:double"&gt;48484&lt;/D&gt;&lt;/FQL&gt;&lt;FQL&gt;&lt;Q&gt;Ticker0024^FE_ESTIMATE(NEW_ORDERS_VALUE,MEAN,QUARTERLY_ROLL,2023/1F,45685,,,'')&lt;/Q&gt;&lt;R&gt;1&lt;/R&gt;&lt;C&gt;1&lt;/C&gt;&lt;D xsi:type="xsd:double"&gt;45603&lt;/D&gt;&lt;/FQL&gt;&lt;FQL&gt;&lt;Q&gt;Ticker0024^FE_ESTIMATE(NEW_ORDERS_VALUE,MEAN,ANNUAL_ROLL,2022,45685,,,'')&lt;/Q&gt;&lt;R&gt;1&lt;/R&gt;&lt;C&gt;1&lt;/C&gt;&lt;D xsi:type="xsd:double"&gt;202537&lt;/D&gt;&lt;/FQL&gt;&lt;FQL&gt;&lt;Q&gt;Ticker0024^FE_ESTIMATE(NEW_ORDERS_VALUE,MEAN,QUARTERLY_ROLL,2022/4F,45685,,,'')&lt;/Q&gt;&lt;R&gt;1&lt;/R&gt;&lt;C&gt;1&lt;/C&gt;&lt;D xsi:type="xsd:double"&gt;63477&lt;/D&gt;&lt;/FQL&gt;&lt;FQL&gt;&lt;Q&gt;Ticker0024^FE_ESTIMATE(NEW_ORDERS_VALUE,MEAN,QUARTERLY_ROLL,2022/3F,45685,,,'')&lt;/Q&gt;&lt;R&gt;1&lt;/R&gt;&lt;C&gt;1&lt;/C&gt;&lt;D xsi:type="xsd:double"&gt;49387&lt;/D&gt;&lt;/FQL&gt;&lt;FQL&gt;&lt;Q&gt;Ticker0024^FE_ESTIMATE(NEW_ORDERS_VALUE,MEAN,QUARTERLY_ROLL,2022/2F,45685,,,'')&lt;/Q&gt;&lt;R&gt;1&lt;/R&gt;&lt;C&gt;1&lt;/C&gt;&lt;D xsi:type="xsd:double"&gt;47482&lt;/D&gt;&lt;/FQL&gt;&lt;FQL&gt;&lt;Q&gt;Ticker0024^FE_ESTIMATE(NEW_ORDERS_VALUE,MEAN,QUARTERLY_ROLL,2022/1F,45685,,,'')&lt;/Q&gt;&lt;R&gt;1&lt;/R&gt;&lt;C&gt;1&lt;/C&gt;&lt;D xsi:type="xsd:double"&gt;42191&lt;/D&gt;&lt;/FQL&gt;&lt;FQL&gt;&lt;Q&gt;Ticker0024^FE_ESTIMATE(NEW_ORDERS_VALUE,MEAN,ANNUAL_ROLL,2021,45685,,,'')&lt;/Q&gt;&lt;R&gt;1&lt;/R&gt;&lt;C&gt;1&lt;/C&gt;&lt;D xsi:type="xsd:double"&gt;173049&lt;/D&gt;&lt;/FQL&gt;&lt;FQL&gt;&lt;Q&gt;Ticker0024^FE_ESTIMATE(NEW_ORDERS_VALUE,MEAN,QUARTERLY_ROLL,2021/4F,45685,,,'')&lt;/Q&gt;&lt;R&gt;1&lt;/R&gt;&lt;C&gt;1&lt;/C&gt;&lt;D xsi:type="xsd:double"&gt;57579&lt;/D&gt;&lt;/FQL&gt;&lt;FQL&gt;&lt;Q&gt;Ticker0024^FE_ESTIMATE(NEW_ORDERS_VALUE,MEAN,QUARTERLY_ROLL,2021/3F,45685,,,'')&lt;/Q&gt;&lt;R&gt;1&lt;/R&gt;&lt;C&gt;1&lt;/C&gt;&lt;D xsi:type="xsd:double"&gt;40710.5&lt;/D&gt;&lt;/FQL&gt;&lt;FQL&gt;&lt;Q&gt;Ticker0024^FE_ESTIMATE(NEW_ORDERS_VALUE,MEAN,QUARTERLY_ROLL,2021/2F,45685,,,'')&lt;/Q&gt;&lt;R&gt;1&lt;/R&gt;&lt;C&gt;1&lt;/C&gt;&lt;D xsi:type="xsd:double"&gt;40158&lt;/D&gt;&lt;/FQL&gt;&lt;FQL&gt;&lt;Q&gt;Ticker0024^FE_ESTIMATE(NEW_ORDERS_VALUE,MEAN,QUARTERLY_ROLL,2021/1F,45685,,,'')&lt;/Q&gt;&lt;R&gt;1&lt;/R&gt;&lt;C&gt;1&lt;/C&gt;&lt;D xsi:type="xsd:double"&gt;34160.5&lt;/D&gt;&lt;/FQL&gt;&lt;FQL&gt;&lt;Q&gt;Ticker0024^FE_ESTIMATE(NEW_ORDERS_VALUE,MEAN,ANNUAL_ROLL,2020,45685,,,'')&lt;/Q&gt;&lt;R&gt;0&lt;/R&gt;&lt;C&gt;0&lt;/C&gt;&lt;/FQL&gt;&lt;FQL&gt;&lt;Q&gt;Ticker0024^FE_ESTIMATE(NEW_ORDERS_VALUE,MEAN,QUARTERLY_ROLL,2020/4F,45685,,,'')&lt;/Q&gt;&lt;R&gt;0&lt;/R&gt;&lt;C&gt;0&lt;/C&gt;&lt;/FQL&gt;&lt;FQL&gt;&lt;Q&gt;Ticker0024^FE_ESTIMATE(NEW_ORDERS_VALUE,MEAN,QUARTERLY_ROLL,2020/3F,45685,,,'')&lt;/Q&gt;&lt;R&gt;0&lt;/R&gt;&lt;C&gt;0&lt;/C&gt;&lt;/FQL&gt;&lt;FQL&gt;&lt;Q&gt;Ticker0024^FE_ESTIMATE(NEW_ORDERS_VALUE,MEAN,QUARTERLY_ROLL,2020/2F,45685,,,'')&lt;/Q&gt;&lt;R&gt;1&lt;/R&gt;&lt;C&gt;1&lt;/C&gt;&lt;D xsi:type="xsd:double"&gt;34101&lt;/D&gt;&lt;/FQL&gt;&lt;FQL&gt;&lt;Q&gt;Ticker0024^FE_ESTIMATE(NEW_ORDERS_VALUE,MEAN,QUARTERLY_ROLL,2020/1F,45685,,,'')&lt;/Q&gt;&lt;R&gt;1&lt;/R&gt;&lt;C&gt;1&lt;/C&gt;&lt;D xsi:type="xsd:double"&gt;29875&lt;/D&gt;&lt;/FQL&gt;&lt;FQL&gt;&lt;Q&gt;Ticker0024^FE_ESTIMATE(NEW_ORDERS_VALUE,MEAN,ANNUAL_ROLL,2019,45685,,,'')&lt;/Q&gt;&lt;R&gt;1&lt;/R&gt;&lt;C&gt;1&lt;/C&gt;&lt;D xsi:type="xsd:double"&gt;130329&lt;/D&gt;&lt;/FQL&gt;&lt;FQL&gt;&lt;Q&gt;Ticker0024^FE_ESTIMATE(NEW_ORDERS_VALUE,MEAN,QUARTERLY_ROLL,2019/4F,45685,,,'')&lt;/Q&gt;&lt;R&gt;1&lt;/R&gt;&lt;C&gt;1&lt;/C&gt;&lt;D xsi:type="xsd:double"&gt;42788&lt;/D&gt;&lt;/FQL&gt;&lt;FQL&gt;&lt;Q&gt;Ticker0024^FE_ESTIMATE(NEW_ORDERS_VALUE,MEAN,QUARTERLY_ROLL,2019/3F,45685,,,'')&lt;/Q&gt;&lt;R&gt;1&lt;/R&gt;&lt;C&gt;1&lt;/C&gt;&lt;D xsi:type="xsd:double"&gt;30622&lt;/D&gt;&lt;/FQL&gt;&lt;FQL&gt;&lt;Q&gt;Ticker0024^FE_ESTIMATE(NEW_ORDERS_VALUE,MEAN,QUARTERLY_ROLL,2019/2F,45685,,,'')&lt;/Q&gt;&lt;R&gt;1&lt;/R&gt;&lt;C&gt;1&lt;/C&gt;&lt;D xsi:type="xsd:double"&gt;30313&lt;/D&gt;&lt;/FQL&gt;&lt;FQL&gt;&lt;Q&gt;Ticker0024^FE_ESTIMATE(NEW_ORDERS_VALUE,MEAN,QUARTERLY_ROLL,2019/1F,45685,,,'')&lt;/Q&gt;&lt;R&gt;1&lt;/R&gt;&lt;C&gt;1&lt;/C&gt;&lt;D xsi:type="xsd:double"&gt;26606&lt;/D&gt;&lt;/FQL&gt;&lt;FQL&gt;&lt;Q&gt;Ticker0024^FE_ESTIMATE(NEW_ORDERS_VALUE,MEAN,ANNUAL_ROLL,2018,45685,,,'')&lt;/Q&gt;&lt;R&gt;1&lt;/R&gt;&lt;C&gt;1&lt;/C&gt;&lt;D xsi:type="xsd:double"&gt;116424&lt;/D&gt;&lt;/FQL&gt;&lt;FQL&gt;&lt;Q&gt;Ticker0024^FE_ESTIMATE(NEW_ORDERS_VALUE,MEAN,QUARTERLY_ROLL,2018/4F,45685,,,'')&lt;/Q&gt;&lt;R&gt;1&lt;/R&gt;&lt;C&gt;1&lt;/C&gt;&lt;D xsi:type="xsd:double"&gt;38850&lt;/D&gt;&lt;/FQL&gt;&lt;FQL&gt;&lt;Q&gt;Ticker0024^FE_ESTIMATE(NEW_ORDERS_VALUE,MEAN,QUARTERLY_ROLL,2018/3F,45685,,,'')&lt;/Q&gt;&lt;R&gt;1&lt;/R&gt;&lt;C&gt;1&lt;/C&gt;&lt;D xsi:type="xsd:double"&gt;26965&lt;/D&gt;&lt;/FQL&gt;&lt;FQL&gt;&lt;Q&gt;Ticker0024^FE_ESTIMATE(NEW_ORDERS_VALUE,MEAN,QUARTERLY_ROLL,2018/2F,45685,,,'')&lt;/Q&gt;&lt;R&gt;1&lt;/R&gt;&lt;C&gt;1&lt;/C&gt;&lt;D xsi:type="xsd:double"&gt;27823&lt;/D&gt;&lt;/FQL&gt;&lt;FQL&gt;&lt;Q&gt;Ticker0024^FE_ESTIMATE(NEW_ORDERS_VALUE,MEAN,QUARTERLY_ROLL,2018/1F,45685,,,'')&lt;/Q&gt;&lt;R&gt;1&lt;/R&gt;&lt;C&gt;1&lt;/C&gt;&lt;D xsi:type="xsd:double"&gt;22786&lt;/D&gt;&lt;/FQL&gt;&lt;FQL&gt;&lt;Q&gt;Ticker0024^FE_ESTIMATE(NEW_ORDERS_VALUE,MEAN,ANNUAL_ROLL,2017,45685,,,'')&lt;/Q&gt;&lt;R&gt;1&lt;/R&gt;&lt;C&gt;1&lt;/C&gt;&lt;D xsi:type="xsd:double"&gt;99926&lt;/D&gt;&lt;/FQL&gt;&lt;FQL&gt;&lt;Q&gt;Ticker0024^FE_ESTIMATE(NEW_ORDERS_VALUE,MEAN,QUARTERLY_ROLL,2017/4F,45685,,,'')&lt;/Q&gt;&lt;R&gt;1&lt;/R&gt;&lt;C&gt;1&lt;/C&gt;&lt;D xsi:type="xsd:double"&gt;32063.5&lt;/D&gt;&lt;/FQL&gt;&lt;FQL&gt;&lt;Q&gt;Ticker0024^FE_ESTIMATE(NEW_ORDERS_VALUE,MEAN,QUARTERLY_ROLL,2017/3F,45685,,,'')&lt;/Q&gt;&lt;R&gt;1&lt;/R&gt;&lt;C&gt;1&lt;/C&gt;&lt;D xsi:type="xsd:double"&gt;23144&lt;/D&gt;&lt;/FQL&gt;&lt;FQL&gt;&lt;Q&gt;Ticker0024^FE_ESTIMATE(NEW_ORDERS_VALUE,MEAN,QUARTERLY_ROLL,2017/2F,45685,,,'')&lt;/Q&gt;&lt;R&gt;1&lt;/R&gt;&lt;C&gt;1&lt;/C&gt;&lt;D xsi:type="xsd:double"&gt;26300.666&lt;/D&gt;&lt;/FQL&gt;&lt;FQL&gt;&lt;Q&gt;Ticker0024^FE_ESTIMATE(NEW_ORDERS_VALUE,MEAN,QUARTERLY_ROLL,2017/1F,45685,,,'')&lt;/Q&gt;&lt;R&gt;1&lt;/R&gt;&lt;C&gt;1&lt;/C&gt;&lt;D xsi:type="xsd:double"&gt;21072.5&lt;/D&gt;&lt;/FQL&gt;&lt;FQL&gt;&lt;Q&gt;Ticker0024^FE_ESTIMATE(NEW_ORDERS_VALUE,MEAN,ANNUAL_ROLL,2016,45685,,,'')&lt;/Q&gt;&lt;R&gt;1&lt;/R&gt;&lt;C&gt;1&lt;/C&gt;&lt;D xsi:type="xsd:double"&gt;94769&lt;/D&gt;&lt;/FQL&gt;&lt;FQL&gt;&lt;Q&gt;Ticker0024^FE_ESTIMATE(NEW_ORDERS_VALUE,MEAN,QUARTERLY_ROLL,2016/4F,45685,,,'')&lt;/Q&gt;&lt;R&gt;1&lt;/R&gt;&lt;C&gt;1&lt;/C&gt;&lt;D xsi:type="xsd:double"&gt;29640.5&lt;/D&gt;&lt;/FQL&gt;&lt;FQL&gt;&lt;Q&gt;Ticker0024^FE_ESTIMATE(NEW_ORDERS_VALUE,MEAN,QUARTERLY_ROLL,2016/3F,45685,,,'')&lt;/Q&gt;&lt;R&gt;1&lt;/R&gt;&lt;C&gt;1&lt;/C&gt;&lt;D xsi:type="xsd:double"&gt;22938&lt;/D&gt;&lt;/FQL&gt;&lt;FQL&gt;&lt;Q&gt;Ticker0024^FE_ESTIMATE(NEW_ORDERS_VALUE,MEAN,QUARTERLY_ROLL,2016/2F,45685,,,'')&lt;/Q&gt;&lt;R&gt;0&lt;/R&gt;&lt;C&gt;0&lt;/C&gt;&lt;/FQL&gt;&lt;FQL&gt;&lt;Q&gt;Ticker0024^FE_ESTIMATE(NEW_ORDERS_VALUE,MEAN,QUARTERLY_ROLL,2016/1F,45685,,,'')&lt;/Q&gt;&lt;R&gt;0&lt;/R&gt;&lt;C&gt;0&lt;/C&gt;&lt;/FQL&gt;&lt;FQL&gt;&lt;Q&gt;Ticker0024^FE_ESTIMATE(NEW_ORDERS_VALUE,MEAN,ANNUAL_ROLL,2015,45685,,,'')&lt;/Q&gt;&lt;R&gt;0&lt;/R&gt;&lt;C&gt;0&lt;/C&gt;&lt;/FQL&gt;&lt;FQL&gt;&lt;Q&gt;Ticker0024^FE_ESTIMATE(NEW_ORDERS_VALUE,MEAN,QUARTERLY_ROLL,2015/4F,45685,,,'')&lt;/Q&gt;&lt;R&gt;0&lt;/R&gt;&lt;C&gt;0&lt;/C&gt;&lt;/FQL&gt;&lt;FQL&gt;&lt;Q&gt;Ticker0024^FE_ESTIMATE(NEW_ORDERS_VALUE,MEAN,QUARTERLY_ROLL,2015/3F,45685,,,'')&lt;/Q&gt;&lt;R&gt;0&lt;/R&gt;&lt;C&gt;0&lt;/C&gt;&lt;/FQL&gt;&lt;FQL&gt;&lt;Q&gt;Ticker0024^FE_ESTIMATE(NEW_ORDERS_VALUE,MEAN,QUARTERLY_ROLL,2015/2F,45685,,,'')&lt;/Q&gt;&lt;R&gt;0&lt;/R&gt;&lt;C&gt;0&lt;/C&gt;&lt;/FQL&gt;&lt;FQL&gt;&lt;Q&gt;Ticker0024^FE_ESTIMATE(NEW_ORDERS_VALUE,MEAN,QUARTERLY_ROLL,2015/1F,45685,,,'')&lt;/Q&gt;&lt;R&gt;0&lt;/R&gt;&lt;C&gt;0&lt;/C&gt;&lt;/FQL&gt;&lt;FQL&gt;&lt;Q&gt;Ticker0024^FE_ESTIMATE(DEFREVENUE,MEAN,ANNUAL_ROLL,2030,45685,,,'')&lt;/Q&gt;&lt;R&gt;0&lt;/R&gt;&lt;C&gt;0&lt;/C&gt;&lt;/FQL&gt;&lt;FQL&gt;&lt;Q&gt;Ticker0024^FE_ESTIMATE(DEFREVENUE,MEAN,QUARTERLY_ROLL,2030/4F,45685,,,'')&lt;/Q&gt;&lt;R&gt;0&lt;/R</t>
        </r>
      </text>
    </comment>
    <comment ref="A15" authorId="0" shapeId="0" xr:uid="{C0E7E540-02EE-474D-A495-7CF13AC3B6B0}">
      <text>
        <r>
          <rPr>
            <b/>
            <sz val="9"/>
            <color indexed="81"/>
            <rFont val="Tahoma"/>
            <family val="2"/>
          </rPr>
          <t>&gt;&lt;C&gt;0&lt;/C&gt;&lt;/FQL&gt;&lt;FQL&gt;&lt;Q&gt;Ticker0024^FE_ESTIMATE(DEFREVENUE,MEAN,QUARTERLY_ROLL,2030/3F,45685,,,'')&lt;/Q&gt;&lt;R&gt;0&lt;/R&gt;&lt;C&gt;0&lt;/C&gt;&lt;/FQL&gt;&lt;FQL&gt;&lt;Q&gt;Ticker0024^FE_ESTIMATE(DEFREVENUE,MEAN,QUARTERLY_ROLL,2030/2F,45685,,,'')&lt;/Q&gt;&lt;R&gt;0&lt;/R&gt;&lt;C&gt;0&lt;/C&gt;&lt;/FQL&gt;&lt;FQL&gt;&lt;Q&gt;Ticker0024^FE_ESTIMATE(DEFREVENUE,MEAN,QUARTERLY_ROLL,2030/1F,45685,,,'')&lt;/Q&gt;&lt;R&gt;0&lt;/R&gt;&lt;C&gt;0&lt;/C&gt;&lt;/FQL&gt;&lt;FQL&gt;&lt;Q&gt;Ticker0024^FE_ESTIMATE(DEFREVENUE,MEAN,ANNUAL_ROLL,2029,45685,,,'')&lt;/Q&gt;&lt;R&gt;0&lt;/R&gt;&lt;C&gt;0&lt;/C&gt;&lt;/FQL&gt;&lt;FQL&gt;&lt;Q&gt;Ticker0024^FE_ESTIMATE(DEFREVENUE,MEAN,QUARTERLY_ROLL,2029/4F,45685,,,'')&lt;/Q&gt;&lt;R&gt;0&lt;/R&gt;&lt;C&gt;0&lt;/C&gt;&lt;/FQL&gt;&lt;FQL&gt;&lt;Q&gt;Ticker0024^FE_ESTIMATE(DEFREVENUE,MEAN,QUARTERLY_ROLL,2029/3F,45685,,,'')&lt;/Q&gt;&lt;R&gt;0&lt;/R&gt;&lt;C&gt;0&lt;/C&gt;&lt;/FQL&gt;&lt;FQL&gt;&lt;Q&gt;Ticker0024^FE_ESTIMATE(DEFREVENUE,MEAN,QUARTERLY_ROLL,2029/2F,45685,,,'')&lt;/Q&gt;&lt;R&gt;0&lt;/R&gt;&lt;C&gt;0&lt;/C&gt;&lt;/FQL&gt;&lt;FQL&gt;&lt;Q&gt;Ticker0024^FE_ESTIMATE(DEFREVENUE,MEAN,QUARTERLY_ROLL,2029/1F,45685,,,'')&lt;/Q&gt;&lt;R&gt;0&lt;/R&gt;&lt;C&gt;0&lt;/C&gt;&lt;/FQL&gt;&lt;FQL&gt;&lt;Q&gt;Ticker0024^FE_ESTIMATE(DEFREVENUE,MEAN,ANNUAL_ROLL,2028,45685,,,'')&lt;/Q&gt;&lt;R&gt;0&lt;/R&gt;&lt;C&gt;0&lt;/C&gt;&lt;/FQL&gt;&lt;FQL&gt;&lt;Q&gt;Ticker0024^FE_ESTIMATE(DEFREVENUE,MEAN,QUARTERLY_ROLL,2028/4F,45685,,,'')&lt;/Q&gt;&lt;R&gt;0&lt;/R&gt;&lt;C&gt;0&lt;/C&gt;&lt;/FQL&gt;&lt;FQL&gt;&lt;Q&gt;Ticker0024^FE_ESTIMATE(DEFREVENUE,MEAN,QUARTERLY_ROLL,2028/3F,45685,,,'')&lt;/Q&gt;&lt;R&gt;0&lt;/R&gt;&lt;C&gt;0&lt;/C&gt;&lt;/FQL&gt;&lt;FQL&gt;&lt;Q&gt;Ticker0024^FE_ESTIMATE(DEFREVENUE,MEAN,QUARTERLY_ROLL,2028/2F,45685,,,'')&lt;/Q&gt;&lt;R&gt;0&lt;/R&gt;&lt;C&gt;0&lt;/C&gt;&lt;/FQL&gt;&lt;FQL&gt;&lt;Q&gt;Ticker0024^FE_ESTIMATE(DEFREVENUE,MEAN,QUARTERLY_ROLL,2028/1F,45685,,,'')&lt;/Q&gt;&lt;R&gt;0&lt;/R&gt;&lt;C&gt;0&lt;/C&gt;&lt;/FQL&gt;&lt;FQL&gt;&lt;Q&gt;Ticker0024^FE_ESTIMATE(DEFREVENUE,MEAN,ANNUAL_ROLL,2027,45685,,,'')&lt;/Q&gt;&lt;R&gt;1&lt;/R&gt;&lt;C&gt;1&lt;/C&gt;&lt;D xsi:type="xsd:double"&gt;72441.2&lt;/D&gt;&lt;/FQL&gt;&lt;FQL&gt;&lt;Q&gt;Ticker0024^FE_ESTIMATE(DEFREVENUE,MEAN,QUARTERLY_ROLL,2027/4F,45685,,,'')&lt;/Q&gt;&lt;R&gt;0&lt;/R&gt;&lt;C&gt;0&lt;/C&gt;&lt;/FQL&gt;&lt;FQL&gt;&lt;Q&gt;Ticker0024^FE_ESTIMATE(DEFREVENUE,MEAN,QUARTERLY_ROLL,2027/3F,45685,,,'')&lt;/Q&gt;&lt;R&gt;0&lt;/R&gt;&lt;C&gt;0&lt;/C&gt;&lt;/FQL&gt;&lt;FQL&gt;&lt;Q&gt;Ticker0024^FE_ESTIMATE(DEFREVENUE,MEAN,QUARTERLY_ROLL,2027/2F,45685,,,'')&lt;/Q&gt;&lt;R&gt;0&lt;/R&gt;&lt;C&gt;0&lt;/C&gt;&lt;/FQL&gt;&lt;FQL&gt;&lt;Q&gt;Ticker0024^FE_ESTIMATE(DEFREVENUE,MEAN,QUARTERLY_ROLL,2027/1F,45685,,,'')&lt;/Q&gt;&lt;R&gt;0&lt;/R&gt;&lt;C&gt;0&lt;/C&gt;&lt;/FQL&gt;&lt;FQL&gt;&lt;Q&gt;Ticker0024^FE_ESTIMATE(DEFREVENUE,MEAN,ANNUAL_ROLL,2026,45685,,,'')&lt;/Q&gt;&lt;R&gt;1&lt;/R&gt;&lt;C&gt;1&lt;/C&gt;&lt;D xsi:type="xsd:double"&gt;74441.85&lt;/D&gt;&lt;/FQL&gt;&lt;FQL&gt;&lt;Q&gt;Ticker0024^FE_ESTIMATE(DEFREVENUE,MEAN,QUARTERLY_ROLL,2026/4F,45685,,,'')&lt;/Q&gt;&lt;R&gt;1&lt;/R&gt;&lt;C&gt;1&lt;/C&gt;&lt;D xsi:type="xsd:double"&gt;73862.5&lt;/D&gt;&lt;/FQL&gt;&lt;FQL&gt;&lt;Q&gt;Ticker0024^FE_ESTIMATE(DEFREVENUE,MEAN,QUARTERLY_ROLL,2026/3F,45685,,,'')&lt;/Q&gt;&lt;R&gt;1&lt;/R&gt;&lt;C&gt;1&lt;/C&gt;&lt;D xsi:type="xsd:double"&gt;57216.28&lt;/D&gt;&lt;/FQL&gt;&lt;FQL&gt;&lt;Q&gt;Ticker0024^FE_ESTIMATE(DEFREVENUE,MEAN,QUARTERLY_ROLL,2026/2F,45685,,,'')&lt;/Q&gt;&lt;R&gt;1&lt;/R&gt;&lt;C&gt;1&lt;/C&gt;&lt;D xsi:type="xsd:double"&gt;58754.68&lt;/D&gt;&lt;/FQL&gt;&lt;FQL&gt;&lt;Q&gt;Ticker0024^FE_ESTIMATE(DEFREVENUE,MEAN,QUARTERLY_ROLL,2026/1F,45685,,,'')&lt;/Q&gt;&lt;R&gt;1&lt;/R&gt;&lt;C&gt;1&lt;/C&gt;&lt;D xsi:type="xsd:double"&gt;63063.86&lt;/D&gt;&lt;/FQL&gt;&lt;FQL&gt;&lt;Q&gt;Ticker0024^FE_ESTIMATE(DEFREVENUE,MEAN,ANNUAL_ROLL,2025,45685,,,'')&lt;/Q&gt;&lt;R&gt;1&lt;/R&gt;&lt;C&gt;1&lt;/C&gt;&lt;D xsi:type="xsd:double"&gt;67525.62&lt;/D&gt;&lt;/FQL&gt;&lt;FQL&gt;&lt;Q&gt;Ticker0024^FE_ESTIMATE(DEFREVENUE,MEAN,QUARTERLY_ROLL,2025/4F,45685,,,'')&lt;/Q&gt;&lt;R&gt;1&lt;/R&gt;&lt;C&gt;1&lt;/C&gt;&lt;D xsi:type="xsd:double"&gt;67200.6&lt;/D&gt;&lt;/FQL&gt;&lt;FQL&gt;&lt;Q&gt;Ticker0024^FE_ESTIMATE(DEFREVENUE,MEAN,QUARTERLY_ROLL,2025/3F,45685,,,'')&lt;/Q&gt;&lt;R&gt;1&lt;/R&gt;&lt;C&gt;1&lt;/C&gt;&lt;D xsi:type="xsd:double"&gt;51003.71&lt;/D&gt;&lt;/FQL&gt;&lt;FQL&gt;&lt;Q&gt;Ticker0024^FE_ESTIMATE(DEFREVENUE,MEAN,QUARTERLY_ROLL,2025/2F,45685,,,'')&lt;/Q&gt;&lt;R&gt;1&lt;/R&gt;&lt;C&gt;1&lt;/C&gt;&lt;D xsi:type="xsd:double"&gt;52131.38&lt;/D&gt;&lt;/FQL&gt;&lt;FQL&gt;&lt;Q&gt;Ticker0024^FE_ESTIMATE(DEFREVENUE,MEAN,QUARTERLY_ROLL,2025/1F,45685,,,'')&lt;/Q&gt;&lt;R&gt;1&lt;/R&gt;&lt;C&gt;1&lt;/C&gt;&lt;D xsi:type="xsd:double"&gt;55689.125&lt;/D&gt;&lt;/FQL&gt;&lt;FQL&gt;&lt;Q&gt;Ticker0024^FE_ESTIMATE(DEFREVENUE,MEAN,ANNUAL_ROLL,2024,45685,,,'')&lt;/Q&gt;&lt;R&gt;1&lt;/R&gt;&lt;C&gt;1&lt;/C&gt;&lt;D xsi:type="xsd:double"&gt;60183.6&lt;/D&gt;&lt;/FQL&gt;&lt;FQL&gt;&lt;Q&gt;Ticker0024^FE_ESTIMATE(DEFREVENUE,MEAN,QUARTERLY_ROLL,2024/4F,45685,,,'')&lt;/Q&gt;&lt;R&gt;1&lt;/R&gt;&lt;C&gt;1&lt;/C&gt;&lt;D xsi:type="xsd:double"&gt;60183.555&lt;/D&gt;&lt;/FQL&gt;&lt;FQL&gt;&lt;Q&gt;Ticker0024^FE_ESTIMATE(DEFREVENUE,MEAN,QUARTERLY_ROLL,2024/3F,45685,,,'')&lt;/Q&gt;&lt;R&gt;1&lt;/R&gt;&lt;C&gt;1&lt;/C&gt;&lt;D xsi:type="xsd:double"&gt;44834&lt;/D&gt;&lt;/FQL&gt;&lt;FQL&gt;&lt;Q&gt;Ticker0024^FE_ESTIMATE(DEFREVENUE,MEAN,QUARTERLY_ROLL,2024/2F,45685,,,'')&lt;/Q&gt;&lt;R&gt;1&lt;/R&gt;&lt;C&gt;1&lt;/C&gt;&lt;D xsi:type="xsd:double"&gt;46034.855&lt;/D&gt;&lt;/FQL&gt;&lt;FQL&gt;&lt;Q&gt;Ticker0024^FE_ESTIMATE(DEFREVENUE,MEAN,QUARTERLY_ROLL,2024/1F,45685,,,'')&lt;/Q&gt;&lt;R&gt;1&lt;/R&gt;&lt;C&gt;1&lt;/C&gt;&lt;D xsi:type="xsd:double"&gt;49188.332&lt;/D&gt;&lt;/FQL&gt;&lt;FQL&gt;&lt;Q&gt;Ticker0024^FE_ESTIMATE(DEFREVENUE,MEAN,ANNUAL_ROLL,2023,45685,,,'')&lt;/Q&gt;&lt;R&gt;1&lt;/R&gt;&lt;C&gt;1&lt;/C&gt;&lt;D xsi:type="xsd:double"&gt;53548&lt;/D&gt;&lt;/FQL&gt;&lt;FQL&gt;&lt;Q&gt;Ticker0024^FE_ESTIMATE(DEFREVENUE,MEAN,QUARTERLY_ROLL,2023/4F,45685,,,'')&lt;/Q&gt;&lt;R&gt;1&lt;/R&gt;&lt;C&gt;1&lt;/C&gt;&lt;D xsi:type="xsd:double"&gt;53812.625&lt;/D&gt;&lt;/FQL&gt;&lt;FQL&gt;&lt;Q&gt;Ticker0024^FE_ESTIMATE(DEFREVENUE,MEAN,QUARTERLY_ROLL,2023/3F,45685,,,'')&lt;/Q&gt;&lt;R&gt;1&lt;/R&gt;&lt;C&gt;1&lt;/C&gt;&lt;D xsi:type="xsd:double"&gt;39600.832&lt;/D&gt;&lt;/FQL&gt;&lt;FQL&gt;&lt;Q&gt;Ticker0024^FE_ESTIMATE(DEFREVENUE,MEAN,QUARTERLY_ROLL,2023/2F,45685,,,'')&lt;/Q&gt;&lt;R&gt;1&lt;/R&gt;&lt;C&gt;1&lt;/C&gt;&lt;D xsi:type="xsd:double"&gt;39625&lt;/D&gt;&lt;/FQL&gt;&lt;FQL&gt;&lt;Q&gt;Ticker0024^FE_ESTIMATE(DEFREVENUE,MEAN,QUARTERLY_ROLL,2023/1F,45685,,,'')&lt;/Q&gt;&lt;R&gt;1&lt;/R&gt;&lt;C&gt;1&lt;/C&gt;&lt;D xsi:type="xsd:double"&gt;43889.145&lt;/D&gt;&lt;/FQL&gt;&lt;FQL&gt;&lt;Q&gt;Ticker0024^FE_ESTIMATE(DEFREVENUE,MEAN,ANNUAL_ROLL,2022,45685,,,'')&lt;/Q&gt;&lt;R&gt;1&lt;/R&gt;&lt;C&gt;1&lt;/C&gt;&lt;D xsi:type="xsd:double"&gt;48121&lt;/D&gt;&lt;/FQL&gt;&lt;FQL&gt;&lt;Q&gt;Ticker0024^FE_ESTIMATE(DEFREVENUE,MEAN,QUARTERLY_ROLL,2022/4F,45685,,,'')&lt;/Q&gt;&lt;R&gt;1&lt;/R&gt;&lt;C&gt;1&lt;/C&gt;&lt;D xsi:type="xsd:double"&gt;48408&lt;/D&gt;&lt;/FQL&gt;&lt;FQL&gt;&lt;Q&gt;Ticker0024^FE_ESTIMATE(DEFREVENUE,MEAN,QUARTERLY_ROLL,2022/3F,45685,,,'')&lt;/Q&gt;&lt;R&gt;1&lt;/R&gt;&lt;C&gt;1&lt;/C&gt;&lt;D xsi:type="xsd:double"&gt;36796&lt;/D&gt;&lt;/FQL&gt;&lt;FQL&gt;&lt;Q&gt;Ticker0024^FE_ESTIMATE(DEFREVENUE,MEAN,QUARTERLY_ROLL,2022/2F,45685,,,'')&lt;/Q&gt;&lt;R&gt;1&lt;/R&gt;&lt;C&gt;1&lt;/C&gt;&lt;D xsi:type="xsd:double"&gt;36769&lt;/D&gt;&lt;/FQL&gt;&lt;FQL&gt;&lt;Q&gt;Ticker0024^FE_ESTIMATE(DEFREVENUE,MEAN,QUARTERLY_ROLL,2022/1F,45685,,,'')&lt;/Q&gt;&lt;R&gt;1&lt;/R&gt;&lt;C&gt;1&lt;/C&gt;&lt;D xsi:type="xsd:double"&gt;41015&lt;/D&gt;&lt;/FQL&gt;&lt;FQL&gt;&lt;Q&gt;Ticker0024^FE_ESTIMATE(DEFREVENUE,MEAN,ANNUAL_ROLL,2021,45685,,,'')&lt;/Q&gt;&lt;R&gt;1&lt;/R&gt;&lt;C&gt;1&lt;/C&gt;&lt;D xsi:type="xsd:double"&gt;44141&lt;/D&gt;&lt;/FQL&gt;&lt;FQL&gt;&lt;Q&gt;Ticker0024^FE_ESTIMATE(DEFREVENUE,MEAN,QUARTERLY_ROLL,2021/4F,45685,,,'')&lt;/Q&gt;&lt;R&gt;1&lt;/R&gt;&lt;C&gt;1&lt;/C&gt;&lt;D xsi:type="xsd:double"&gt;44141&lt;/D&gt;&lt;/FQL&gt;&lt;FQL&gt;&lt;Q&gt;Ticker0024^FE_ESTIMATE(DEFREVENUE,MEAN,QUARTERLY_ROLL,2021/3F,45685,,,'')&lt;/Q&gt;&lt;R&gt;1&lt;/R&gt;&lt;C&gt;1&lt;/C&gt;&lt;D xsi:type="xsd:double"&gt;32714&lt;/D&gt;&lt;/FQL&gt;&lt;FQL&gt;&lt;Q&gt;Ticker0024^FE_ESTIMATE(DEFREVENUE,MEAN,QUARTERLY_ROLL,2021/2F,45685,,,'')&lt;/Q&gt;&lt;R&gt;1&lt;/R&gt;&lt;C&gt;1&lt;/C&gt;&lt;D xsi:type="xsd:double"&gt;33387&lt;/D&gt;&lt;/FQL&gt;&lt;FQL&gt;&lt;Q&gt;Ticker0024^FE_ESTIMATE(DEFREVENUE,MEAN,QUARTERLY_ROLL,2021/1F,45685,,,'')&lt;/Q&gt;&lt;R&gt;1&lt;/R&gt;&lt;C&gt;1&lt;/C&gt;&lt;D xsi:type="xsd:double"&gt;36305&lt;/D&gt;&lt;/FQL&gt;&lt;FQL&gt;&lt;Q&gt;Ticker0024^FE_ESTIMATE(DEFREVENUE,MEAN,ANNUAL_ROLL,2020,45685,,,'')&lt;/Q&gt;&lt;R&gt;1&lt;/R&gt;&lt;C&gt;1&lt;/C&gt;&lt;D xsi:type="xsd:double"&gt;39180&lt;/D&gt;&lt;/FQL&gt;&lt;FQL&gt;&lt;Q&gt;Ticker0024^FE_ESTIMATE(DEFREVENUE,MEAN,QUARTERLY_ROLL,2020/4F,45685,,,'')&lt;/Q&gt;&lt;R&gt;1&lt;/R&gt;&lt;C&gt;1&lt;/C&gt;&lt;D xsi:type="xsd:double"&gt;39180&lt;/D&gt;&lt;/FQL&gt;&lt;FQL&gt;&lt;Q&gt;Ticker0024^FE_ESTIMATE(DEFREVENUE,MEAN,QUARTERLY_ROLL,2020/3F,45685,,,'')&lt;/Q&gt;&lt;R&gt;1&lt;/R&gt;&lt;C&gt;1&lt;/C&gt;&lt;D xsi:type="xsd:double"&gt;30397&lt;/D&gt;&lt;/FQL&gt;&lt;FQL&gt;&lt;Q&gt;Ticker0024^FE_ESTIMATE(DEFREVENUE,MEAN,QUARTERLY_ROLL,2020/2F,45685,,,'')&lt;/Q&gt;&lt;R&gt;1&lt;/R&gt;&lt;C&gt;1&lt;/C&gt;&lt;D xsi:type="xsd:double"&gt;31221&lt;/D&gt;&lt;/FQL&gt;&lt;FQL&gt;&lt;Q&gt;Ticker0024^FE_ESTIMATE(DEFREVENUE,MEAN,QUARTERLY_ROLL,2020/1F,45685,,,'')&lt;/Q&gt;&lt;R&gt;1&lt;/R&gt;&lt;C&gt;1&lt;/C&gt;&lt;D xsi:type="xsd:double"&gt;34026&lt;/D&gt;&lt;/FQL&gt;&lt;FQL&gt;&lt;Q&gt;Ticker0024^FE_ESTIMATE(DEFREVENUE,MEAN,ANNUAL_ROLL,2019,45685,,,'')&lt;/Q&gt;&lt;R&gt;1&lt;/R&gt;&lt;C&gt;1&lt;/C&gt;&lt;D xsi:type="xsd:double"&gt;37206&lt;/D&gt;&lt;/FQL&gt;&lt;FQL&gt;&lt;Q&gt;Ticker0024^FE_ESTIMATE(DEFREVENUE,MEAN,QUARTERLY_ROLL,2019/4F,45685,,,'')&lt;/Q&gt;&lt;R&gt;1&lt;/R&gt;&lt;C&gt;1&lt;/C&gt;&lt;D xsi:type="xsd:double"&gt;37206&lt;/D&gt;&lt;/FQL&gt;&lt;FQL&gt;&lt;Q&gt;Ticker0024^FE_ESTIMATE(DEFREVENUE,MEAN,QUARTERLY_ROLL,2019/3F,45685,,,'')&lt;/Q&gt;&lt;R&gt;1&lt;/R&gt;&lt;C&gt;1&lt;/C&gt;&lt;D xsi:type="xsd:double"&gt;28135&lt;/D&gt;&lt;/FQL&gt;&lt;FQL&gt;&lt;Q&gt;Ticker0024^FE_ESTIMATE(DEFREVENUE,MEAN,QUARTERLY_ROLL,2019/2F,45685,,,'')&lt;/Q&gt;&lt;R&gt;1&lt;/R&gt;&lt;C&gt;1&lt;/C&gt;&lt;D xsi:type="xsd:double"&gt;28084&lt;/D&gt;&lt;/FQL&gt;&lt;FQL&gt;&lt;Q&gt;Ticker0024^FE_ESTIMATE(DEFREVENUE,MEAN,QUARTERLY_ROLL,2019/1F,45685,,,'')&lt;/Q&gt;&lt;R&gt;1&lt;/R&gt;&lt;C&gt;1&lt;/C&gt;&lt;D xsi:type="xsd:double"&gt;30242&lt;/D&gt;&lt;/FQL&gt;&lt;FQL&gt;&lt;Q&gt;Ticker0024^FE_ESTIMATE(DEFREVENUE,MEAN,ANNUAL_ROLL,2018,45685,,,'')&lt;/Q&gt;&lt;R&gt;1&lt;/R&gt;&lt;C&gt;1&lt;/C&gt;&lt;D xsi:type="xsd:double"&gt;32540.1&lt;/D&gt;&lt;/FQL&gt;&lt;FQL&gt;&lt;Q&gt;Ticker0024^FE_ESTIMATE(DEFREVENUE,MEAN,QUARTERLY_ROLL,2018/4F,45685,,,'')&lt;/Q&gt;&lt;R&gt;1&lt;/R&gt;&lt;C&gt;1&lt;/C&gt;&lt;D xsi:type="xsd:double"&gt;32540.1&lt;/D&gt;&lt;/FQL&gt;&lt;FQL&gt;&lt;Q&gt;Ticker0024^FE_ESTIMATE(DEFREVENUE,MEAN,QUARTERLY_ROLL,2018/3F,45685,,,'')&lt;/Q&gt;&lt;R&gt;1&lt;/R&gt;&lt;C&gt;1&lt;/C&gt;&lt;D xsi:type="xsd:double"&gt;23955&lt;/D&gt;&lt;/FQL&gt;&lt;FQL&gt;&lt;Q&gt;Ticker0024^FE_ESTIMATE(DEFREVENUE,MEAN,QUARTERLY_ROLL,2018/2F,45685,,,'')&lt;/Q&gt;&lt;R&gt;1&lt;/R&gt;&lt;C&gt;1&lt;/C&gt;&lt;D xsi:type="xsd:double"&gt;23809&lt;/D&gt;&lt;/FQL&gt;&lt;FQL&gt;&lt;Q&gt;Ticker0024^FE_ESTIMATE(DEFREVENUE,MEAN,QUARTERLY_ROLL,2018/1F,45685,,,'')&lt;/Q&gt;&lt;R&gt;1&lt;/R&gt;&lt;C&gt;1&lt;/C&gt;&lt;D xsi:type="xsd:double"&gt;24904&lt;/D&gt;&lt;/FQL&gt;&lt;FQL&gt;&lt;Q&gt;Ticker0024^FE_ESTIMATE(DEFREVENUE,MEAN,ANNUAL_ROLL,2017,45685,,,'')&lt;/Q&gt;&lt;R&gt;1&lt;/R&gt;&lt;C&gt;1&lt;/C&gt;&lt;D xsi:type="xsd:double"&gt;44479&lt;/D&gt;&lt;/FQL&gt;&lt;FQL&gt;&lt;Q&gt;Ticker0024^FE_ESTIMATE(DEFREVENUE,MEAN,QUARTERLY_ROLL,2017/4F,45685,,,'')&lt;/Q&gt;&lt;R&gt;1&lt;/R&gt;&lt;C&gt;1&lt;/C&gt;&lt;D xsi:type="xsd:double"&gt;44479&lt;/D&gt;&lt;/FQL&gt;&lt;FQL&gt;&lt;Q&gt;Ticker0024^FE_ESTIMATE(DEFREVENUE,MEAN,QUARTERLY_ROLL,2017/3F,45685,,,'')&lt;/Q&gt;&lt;R&gt;1&lt;/R&gt;&lt;C&gt;1&lt;/C&gt;&lt;D xsi:type="xsd:double"&gt;35733&lt;/D&gt;&lt;/FQL&gt;&lt;FQL&gt;&lt;Q&gt;Ticker0024^FE_ESTIMATE(DEFREVENUE,MEAN,QUARTERLY_ROLL,2017/2F,45685,,,'')&lt;/Q&gt;&lt;R&gt;1&lt;/R&gt;&lt;C&gt;1&lt;/C&gt;&lt;D xsi:type="xsd:double"&gt;34587.273&lt;/D&gt;&lt;/FQL&gt;&lt;FQL&gt;&lt;Q&gt;Ticker0024^FE_ESTIMATE(DEFREVENUE,MEAN,QUARTERLY_ROLL,2017/1F,45685,,,'')&lt;/Q&gt;&lt;R&gt;1&lt;/R&gt;&lt;C&gt;1&lt;/C&gt;&lt;D xsi:type="xsd:double"&gt;33588&lt;/D&gt;&lt;/FQL&gt;&lt;FQL&gt;&lt;Q&gt;Ticker0024^FE_ESTIMATE(DEFREVENUE,MEAN,ANNUAL_ROLL,2016,45685,,,'')&lt;/Q&gt;&lt;R&gt;1&lt;/R&gt;&lt;C&gt;1&lt;/C&gt;&lt;D xsi:type="xsd:double"&gt;33909&lt;/D&gt;&lt;/FQL&gt;&lt;FQL&gt;&lt;Q&gt;Ticker0024^FE_ESTIMATE(DEFREVENUE,MEAN,QUARTERLY_ROLL,2016/4F,45685,,,'')&lt;/Q&gt;&lt;R&gt;1&lt;/R&gt;&lt;C&gt;1&lt;/C&gt;&lt;D xsi:type="xsd:double"&gt;33909&lt;/D&gt;&lt;/FQL&gt;&lt;FQL&gt;&lt;Q&gt;Ticker0024^FE_ESTIMATE(DEFREVENUE,MEAN,QUARTERLY_ROLL,2016/3F,45685,,,'')&lt;/Q&gt;&lt;R&gt;1&lt;/R&gt;&lt;C&gt;1&lt;/C&gt;&lt;D xsi:type="xsd:double"&gt;25893&lt;/D&gt;&lt;/FQL&gt;&lt;FQL&gt;&lt;Q&gt;Ticker0024^FE_ESTIMATE(DEFREVENUE,MEAN,QUARTERLY_ROLL,2016/2F,45685,,,'')&lt;/Q&gt;&lt;R&gt;1&lt;/R&gt;&lt;C&gt;1&lt;/C&gt;&lt;D xsi:type="xsd:double"&gt;25031&lt;/D&gt;&lt;/FQL&gt;&lt;FQL&gt;&lt;Q&gt;Ticker0024^FE_ESTIMATE(DEFREVENUE,MEAN,QUARTERLY_ROLL,2016/1F,45685,,,'')&lt;/Q&gt;&lt;R&gt;0&lt;/R&gt;&lt;C&gt;0&lt;/C&gt;&lt;/FQL&gt;&lt;FQL&gt;&lt;Q&gt;Ticker0024^FE_ESTIMATE(DEFREVENUE,MEAN,ANNUAL_ROLL,2015,45685,,,'')&lt;/Q&gt;&lt;R&gt;0&lt;/R&gt;&lt;C&gt;0&lt;/C&gt;&lt;/FQL&gt;&lt;FQL&gt;&lt;Q&gt;Ticker0024^FE_ESTIMATE(DEFREVENUE,MEAN,QUARTERLY_ROLL,2015/4F,45685,,,'')&lt;/Q&gt;&lt;R&gt;0&lt;/R&gt;&lt;C&gt;0&lt;/C&gt;&lt;/FQL&gt;&lt;FQL&gt;&lt;Q&gt;Ticker0024^FE_ESTIMATE(DEFREVENUE,MEAN,QUARTERLY_ROLL,2015/3F,45685,,,'')&lt;/Q&gt;&lt;R&gt;0&lt;/R&gt;&lt;C&gt;0&lt;/C&gt;&lt;/FQL&gt;&lt;FQL&gt;&lt;Q&gt;Ticker0024^FE_ESTIMATE(DEFREVENUE,MEAN,QUARTERLY_ROLL,2015/2F,45685,,,'')&lt;/Q&gt;&lt;R&gt;0&lt;/R&gt;&lt;C&gt;0&lt;/C&gt;&lt;/FQL&gt;&lt;FQL&gt;&lt;Q&gt;Ticker0024^FE_ESTIMATE(DEFREVENUE,MEAN,QUARTERLY_ROLL,2015/1F,45685,,,'')&lt;/Q&gt;&lt;R&gt;0&lt;/R&gt;&lt;C&gt;0&lt;/C&gt;&lt;/FQL&gt;&lt;FQL&gt;&lt;Q&gt;Ticker0024^FE_ESTIMATE(DEFREVENUE_LT,MEAN,ANNUAL_ROLL,2030,45685,,,'')&lt;/Q&gt;&lt;R&gt;0&lt;/R&gt;&lt;C&gt;0&lt;/C&gt;&lt;/FQL&gt;&lt;FQL&gt;&lt;Q&gt;Ticker0024^FE_ESTIMATE(DEFREVENUE_LT,MEAN,QUARTERLY_ROLL,2030/4F,45685,,,'')&lt;/Q&gt;&lt;R&gt;0&lt;/R&gt;&lt;C&gt;0&lt;/C&gt;&lt;/FQL&gt;&lt;FQL&gt;&lt;Q&gt;Ticker0024^FE_ESTIMATE(DEFREVENUE_LT,MEAN,QUARTERLY_ROLL,2030/3F,45685,,,'')&lt;/Q&gt;&lt;R&gt;0&lt;/R&gt;&lt;C&gt;0&lt;/C&gt;&lt;/FQL&gt;&lt;FQL&gt;&lt;Q&gt;Ticker0024^FE_ESTIMATE(DEFREVENUE_LT,MEAN,QUARTERLY_ROLL,2030/2F,45685,,,'')&lt;/Q&gt;&lt;R&gt;0&lt;/R&gt;&lt;C&gt;0&lt;/C&gt;&lt;/FQL&gt;&lt;FQL&gt;&lt;Q&gt;Ticker0024^FE_ESTIMATE(DEFREVENUE_LT,MEAN,QUARTERLY_ROLL,2030/1F,45685,,,'')&lt;/Q&gt;&lt;R&gt;0&lt;/R&gt;&lt;C&gt;0&lt;/C&gt;&lt;/FQL&gt;&lt;FQL&gt;&lt;Q&gt;Ticker0024^FE_ESTIMATE(DEFREVENUE_LT,MEAN,ANNUAL_ROLL,2029,45685,,,'')&lt;/Q&gt;&lt;R&gt;0&lt;/R&gt;&lt;C&gt;0&lt;/C&gt;&lt;/FQL&gt;&lt;FQL&gt;&lt;Q&gt;Ticker0024^FE_ESTIMATE(DEFREVENUE_LT,MEAN,QUARTERLY_ROLL,2029/4F,45685,,,'')&lt;/Q&gt;&lt;R&gt;0&lt;/R&gt;&lt;C&gt;0&lt;/C&gt;&lt;/FQL&gt;&lt;FQL&gt;&lt;Q&gt;Ticker0024^FE_ESTIMATE(DEFREVENUE_LT,MEAN,QUARTERLY_ROLL,2029/3F,45685,,,'')&lt;/Q&gt;&lt;R&gt;0&lt;/R&gt;&lt;C&gt;0&lt;/C&gt;&lt;/FQL&gt;&lt;FQL&gt;&lt;Q&gt;Ticker0024^FE_ESTIMATE(DEFREVENUE_LT,MEAN,QUARTERLY_ROLL,2029/2F,45685,,,'')&lt;/Q&gt;&lt;R&gt;0&lt;/R&gt;&lt;C&gt;0&lt;/C&gt;&lt;/FQL&gt;&lt;FQL&gt;&lt;Q&gt;Ticker0024^FE_ESTIMATE(DEFREVENUE_LT,MEAN,QUARTERLY_ROLL,2029/1F,45685,,,'')&lt;/Q&gt;&lt;R&gt;0&lt;/R&gt;&lt;C&gt;0&lt;/C&gt;&lt;/FQL&gt;&lt;FQL&gt;&lt;Q&gt;Ticker0024^FE_ESTIMATE(DEFREVENUE_LT,MEAN,ANNUAL_ROLL,2028,45685,,,'')&lt;/Q&gt;&lt;R&gt;0&lt;/R&gt;&lt;C&gt;0&lt;/C&gt;&lt;/FQL&gt;&lt;FQL&gt;&lt;Q&gt;Ticker0024^FE_ESTIMATE(DEFREVENUE_LT,MEAN,QUARTERLY_ROLL,2028/4F,45685,,,'')&lt;/Q&gt;&lt;R&gt;0&lt;/R&gt;&lt;C&gt;0&lt;/C&gt;&lt;/FQL&gt;&lt;FQL&gt;&lt;Q&gt;Ticker0024^FE_ESTIMATE(DEFREVENUE_LT,MEAN,QUARTERLY_ROLL,2028/3F,45685,,,'')&lt;/Q&gt;&lt;R&gt;0&lt;/R&gt;&lt;C&gt;0&lt;/C&gt;&lt;/FQL&gt;&lt;FQL&gt;&lt;Q&gt;Ticker0024^FE_ESTIMATE(DEFREVENUE_LT,MEAN,QUARTERLY_ROLL,2028/2F,45685,,,'')&lt;/Q&gt;&lt;R&gt;0&lt;/R&gt;&lt;C&gt;0&lt;/C&gt;&lt;/FQL&gt;&lt;FQL&gt;&lt;Q&gt;Ticker0024^FE_ESTIMATE(DEFREVENUE_LT,MEAN,QUARTERLY_ROLL,2028/1F,45685,,,'')&lt;/Q&gt;&lt;R&gt;0&lt;/R&gt;&lt;C&gt;0&lt;/C&gt;&lt;/FQL&gt;&lt;FQL&gt;&lt;Q&gt;Ticker0024^FE_ESTIMATE(DEFREVENUE_LT,MEAN,ANNUAL_ROLL,2027,45685,,,'')&lt;/Q&gt;&lt;R&gt;1&lt;/R&gt;&lt;C&gt;1&lt;/C&gt;&lt;D xsi:type="xsd:double"&gt;3710.5&lt;/D&gt;&lt;/FQL&gt;&lt;FQL&gt;&lt;Q&gt;Ticker0024^FE_ESTIMATE(DEFREVENUE_LT,MEAN,QUARTERLY_ROLL,2027/4F,45685,,,'')&lt;/Q&gt;&lt;R&gt;0&lt;/R&gt;&lt;C&gt;0&lt;/C&gt;&lt;/FQL&gt;&lt;FQL&gt;&lt;Q&gt;Ticker0024^FE_ESTIMATE(DEFREVENUE_LT,MEAN,QUARTERLY_ROLL,2027/3F,45685,,,'')&lt;/Q&gt;&lt;R&gt;0&lt;/R&gt;&lt;C&gt;0&lt;/C&gt;&lt;/FQL&gt;&lt;FQL&gt;&lt;Q&gt;Ticker0024^FE_ESTIMATE(DEFREVENUE_LT,MEAN,QUARTERLY_ROLL,2027/2F,45685,,,'')&lt;/Q&gt;&lt;R&gt;0&lt;/R&gt;&lt;C&gt;0&lt;/C&gt;&lt;/FQL&gt;&lt;FQL&gt;&lt;Q&gt;Ticker0024^FE_ESTIMATE(DEFREVENUE_LT,MEAN,QUARTERLY_ROLL,2027/1F,45685,,,'')&lt;/Q&gt;&lt;R&gt;0&lt;/R&gt;&lt;C&gt;0&lt;/C&gt;&lt;/FQL&gt;&lt;FQL&gt;&lt;Q&gt;Ticker0024^FE_ESTIMATE(DEFREVENUE_LT,MEAN,ANNUAL_ROLL,2026,45685,,,'')&lt;/Q&gt;&lt;R&gt;1&lt;/R&gt;&lt;C&gt;1&lt;/C&gt;&lt;D xsi:type="xsd:double"&gt;3175.05&lt;/D&gt;&lt;/FQL&gt;&lt;FQL&gt;&lt;Q&gt;Ticker0024^FE_ESTIMATE(DEFREVENUE_LT,MEAN,QUARTERLY_ROLL,2026/4F,45685,,,'')&lt;/Q&gt;&lt;R&gt;1&lt;/R&gt;&lt;C&gt;1&lt;/C&gt;&lt;D xsi:type="xsd:double"&gt;3070.86&lt;/D&gt;&lt;/FQL&gt;&lt;FQL&gt;&lt;Q&gt;Ticker0024^FE_ESTIMATE(DEFREVENUE_LT,MEAN,QUARTERLY_ROLL,2026/3F,45685,,,'')&lt;/Q&gt;&lt;R&gt;1&lt;/R&gt;&lt;C&gt;1&lt;/C&gt;&lt;D xsi:type="xsd:double"&gt;3191.34&lt;/D&gt;&lt;/FQL&gt;&lt;FQL&gt;&lt;Q&gt;Ticker0024^FE_ESTIMATE(DEFREVENUE_LT,MEAN,QUARTERLY_ROLL,2026/2F,45685,,,'')&lt;/Q&gt;&lt;R&gt;1&lt;/R&gt;&lt;C&gt;1&lt;/C&gt;&lt;D xsi:type="xsd:double"&gt;3201.4&lt;/D&gt;&lt;/FQL&gt;&lt;FQL&gt;&lt;Q&gt;Ticker0024^FE_ESTIMATE(DEFREVENUE_LT,MEAN,QUARTERLY_ROLL,2026/1F,45685,,,'')&lt;/Q&gt;&lt;R&gt;1&lt;/R&gt;&lt;C&gt;1&lt;/C&gt;&lt;D xsi:type="xsd:double"&gt;2959.38&lt;/D&gt;&lt;/FQL&gt;&lt;FQL&gt;&lt;Q&gt;Ticker0024^FE_ESTIMATE(DEFREVENUE_LT,MEAN,ANNUAL_ROLL,2025,45685,,,'')&lt;/Q&gt;&lt;R&gt;1&lt;/R&gt;&lt;C&gt;1&lt;/C&gt;&lt;D xsi:type="xsd:double"&gt;2916.5&lt;/D&gt;&lt;/FQL&gt;&lt;FQL&gt;&lt;Q&gt;Ticker0024^FE_ESTIMATE(DEFREVENUE_LT,MEAN,QUARTERLY_ROLL,2025/4F,45685,,,'')&lt;/Q&gt;&lt;R&gt;1&lt;/R&gt;&lt;C&gt;1&lt;/C&gt;&lt;D xsi:type="xsd:double"&gt;2975.1428&lt;/D&gt;&lt;/FQL&gt;&lt;FQL&gt;&lt;Q&gt;Ticker0024^FE_ESTIMATE(DEFREVENUE_LT,MEAN,QUARTERLY_ROLL,2025/3F,45685,,,'')&lt;/Q&gt;&lt;R&gt;1&lt;/R&gt;&lt;C&gt;1&lt;/C&gt;&lt;D xsi:type="xsd:double"&gt;2983&lt;/D&gt;&lt;/FQL&gt;&lt;FQL&gt;&lt;Q&gt;Ticker0024^FE_ESTIMATE(DEFREVENUE_LT,MEAN,QUARTERLY_ROLL,2025/2F,45685,,,'')&lt;/Q&gt;&lt;R&gt;1&lt;/R&gt;&lt;C&gt;1&lt;/C&gt;&lt;D xsi:type="xsd:double"&gt;3023.825&lt;/D&gt;&lt;/FQL&gt;&lt;FQL&gt;&lt;Q&gt;Ticker0024^FE_ESTIMATE(DEFREVENUE_LT,MEAN,QUARTERLY_ROLL,2025/1F,45685,,,'')&lt;/Q&gt;&lt;R&gt;1&lt;/R&gt;&lt;C&gt;1&lt;/C&gt;&lt;D xsi:type="xsd:double"&gt;2662.6667&lt;/D&gt;&lt;/FQL&gt;&lt;FQL&gt;&lt;Q&gt;Ticker0024^FE_ESTIMATE(DEFREVENUE_LT,MEAN,ANNUAL_ROLL,2024,45685,,,'')&lt;/Q&gt;&lt;R&gt;1&lt;/R&gt;&lt;C&gt;1&lt;/C&gt;&lt;D xsi:type="xsd:double"&gt;2601.75&lt;/D&gt;&lt;/FQL&gt;&lt;FQL&gt;&lt;Q&gt;Ticker0024^FE_ESTIMATE(DEFREVENUE_LT,MEAN,QUARTERLY_ROLL,2024/4F,45685,,,'')&lt;/Q&gt;&lt;R&gt;1&lt;/R&gt;&lt;C&gt;1&lt;/C&gt;&lt;D xsi:type="xsd:double"&gt;2601.75&lt;/D&gt;&lt;/FQL&gt;&lt;FQL&gt;&lt;Q&gt;Ticker0024^FE_ESTIMATE(DEFREVENUE_LT,MEAN,QUARTERLY_ROLL,2024/3F,45685,,,'')&lt;/Q&gt;&lt;R&gt;1&lt;/R&gt;&lt;C&gt;1&lt;/C&gt;&lt;D xsi:type="xsd:double"&gt;2945.7144&lt;/D&gt;&lt;/FQL&gt;&lt;FQL&gt;&lt;Q&gt;Ticker0024^FE_ESTIMATE(DEFREVENUE_LT,MEAN,QUARTERLY_ROLL,2024/2F,45685,,,'')&lt;/Q&gt;&lt;R&gt;1&lt;/R&gt;&lt;C&gt;1&lt;/C&gt;&lt;D xsi:type="xsd:double"&gt;2966.5715&lt;/D&gt;&lt;/FQL&gt;&lt;FQL&gt;&lt;Q&gt;Ticker0024^FE_ESTIMATE(DEFREVENUE_LT,MEAN,QUARTERLY_ROLL,2024/1F,45685,,,'')&lt;/Q&gt;&lt;R&gt;1&lt;/R&gt;&lt;C&gt;1&lt;/C&gt;&lt;D xsi:type="xsd:double"&gt;2759.1428&lt;/D&gt;&lt;/FQL&gt;&lt;FQL&gt;&lt;Q&gt;Ticker0024^FE_ESTIMATE(DEFREVENUE_LT,MEAN,ANNUAL_ROLL,2023,45685,,,'')&lt;/Q&gt;&lt;R&gt;1&lt;/R&gt;&lt;C&gt;1&lt;/C&gt;&lt;D xsi:type="xsd:double"&gt;2911.75&lt;/D&gt;&lt;/FQL&gt;&lt;FQL&gt;&lt;Q&gt;Ticker0024^FE_ESTIMATE(DEFREVENUE_LT,MEAN,QUARTERLY_ROLL,2023/4F,45685,,,'')&lt;/Q&gt;&lt;R&gt;1&lt;/R&gt;&lt;C&gt;1&lt;/C&gt;&lt;D xsi:type="xsd:double"&gt;2911.7144&lt;/D&gt;&lt;/FQL&gt;&lt;FQL&gt;&lt;Q&gt;Ticker0024^FE_ESTIMATE(DEFREVENUE_LT,MEAN,QUARTERLY_ROLL,2023/3F,45685,,,'')&lt;/Q&gt;&lt;R&gt;1&lt;/R&gt;&lt;C&gt;1&lt;/C&gt;&lt;D xsi:type="xsd:double"&gt;2698.3333&lt;/D&gt;&lt;/FQL&gt;&lt;FQL&gt;&lt;Q&gt;Ticker0024^FE_ESTIMATE(DEFREVENUE_LT,MEAN,QUARTERLY_ROLL,2023/2F,45685,,,'')&lt;/Q&gt;&lt;R&gt;1&lt;/R&gt;&lt;C&gt;1&lt;/C&gt;&lt;D xsi:type="xsd:double"&gt;2643.3333&lt;/D&gt;&lt;/FQL&gt;&lt;FQL&gt;&lt;Q&gt;Ticker0024^FE_ESTIMATE(DEFREVENUE_LT,MEAN,QUARTERLY_ROLL,2023/1F,45685,,,'')&lt;/Q&gt;&lt;R&gt;1&lt;/R&gt;&lt;C&gt;1&lt;/C&gt;&lt;D xsi:type="xsd:double"&gt;2549.1428&lt;/D&gt;&lt;/FQL&gt;&lt;FQL&gt;&lt;Q&gt;Ticker0024^FE_ESTIMATE(DEFREVENUE_LT,MEAN,ANNUAL_ROLL,2022,45685,,,'')&lt;/Q&gt;&lt;R&gt;1&lt;/R&gt;&lt;C&gt;1&lt;/C&gt;&lt;D xsi:type="xsd:double"&gt;2870&lt;/D&gt;&lt;/FQL&gt;&lt;FQL&gt;&lt;Q&gt;Ticker0024^FE_ESTIMATE(DEFREVENUE_LT,MEAN,QUARTERLY_ROLL,2022/4F,45685,,,'')&lt;/Q&gt;&lt;R&gt;1&lt;/R&gt;&lt;C&gt;1&lt;/C&gt;&lt;D xsi:type="xsd:double"&gt;2870&lt;/D&gt;&lt;/FQL&gt;&lt;FQL&gt;&lt;Q&gt;Ticker0024^FE_ESTIMATE(DEFREVENUE_LT,MEAN,QUARTERLY_ROLL,2022/3F,45685,,,'')&lt;/Q&gt;&lt;R&gt;1&lt;/R&gt;&lt;C&gt;1&lt;/C&gt;&lt;D xsi:type="xsd:double"&gt;2769&lt;/D&gt;&lt;/FQL&gt;&lt;FQL&gt;&lt;Q&gt;Ticker0024^FE_ESTIMATE(DEFREVENUE_LT,MEAN,QUARTERLY_ROLL,2022/2F,45685,,,'')&lt;/Q&gt;&lt;R&gt;1&lt;/R&gt;&lt;C&gt;1&lt;/C&gt;&lt;D xsi:type="xsd:double"&gt;2768&lt;/D&gt;&lt;/FQL&gt;&lt;FQL&gt;&lt;Q&gt;Ticker0024^FE_ESTIMATE(DEFREVENUE_LT,MEAN,QUARTERLY_ROLL,2022/1F,45685,,,'')&lt;/Q&gt;&lt;R&gt;1&lt;/R&gt;&lt;C&gt;1&lt;/C&gt;&lt;D xsi:type="xsd:double"&gt;2550&lt;/D&gt;&lt;/FQL&gt;&lt;FQL&gt;&lt;Q&gt;Ticker0024^FE_ESTIMATE(DEFREVENUE_LT,MEAN,ANNUAL_ROLL,2021,45685,,,'')&lt;/Q&gt;&lt;R&gt;1&lt;/R&gt;&lt;C&gt;1&lt;/C&gt;&lt;D xsi:type="xsd:double"&gt;2616&lt;/D&gt;&lt;/FQL&gt;&lt;FQL&gt;&lt;Q&gt;Ticker0024^FE_ESTIMATE(DEFREVENUE_LT,MEAN,QUARTERLY_ROLL,2021/4F,45685,,,'')&lt;/Q&gt;&lt;R&gt;1&lt;/R&gt;&lt;C&gt;1&lt;/C&gt;&lt;D xsi:type="xsd:double"&gt;2616&lt;/D&gt;&lt;/FQL&gt;&lt;FQL&gt;&lt;Q&gt;Ticker0024^FE_ESTIMATE(DEFREVENUE_LT,MEAN,QUARTERLY_ROLL,2021/3F,45685,,,'')&lt;/Q&gt;&lt;R&gt;1&lt;/R&gt;&lt;C&gt;1&lt;/C&gt;&lt;D xsi:type="xsd:double"&gt;2631&lt;/D&gt;&lt;/FQL&gt;&lt;FQL&gt;&lt;Q&gt;Ticker0024^FE_ESTIMATE(DEFREVENUE_LT,MEAN,QUARTERLY_ROLL,2021/2F,45685,,,'')&lt;/Q&gt;&lt;R&gt;1&lt;/R&gt;&lt;C&gt;1&lt;/C&gt;&lt;D xsi:type="xsd:double"&gt;2985&lt;/D&gt;&lt;/FQL&gt;&lt;FQL&gt;&lt;Q&gt;Ticker0024^FE_ESTIMATE(DEFREVENUE_LT,MEAN,QUARTERLY_ROLL,2021/1F,45685,,,'')&lt;/Q&gt;&lt;R&gt;1&lt;/R&gt;&lt;C&gt;1&lt;/C&gt;&lt;D xsi:type="xsd:double"&gt;2829&lt;/D&gt;&lt;/FQL&gt;&lt;FQL&gt;&lt;Q&gt;Ticker0024^FE_ESTIMATE(DEFREVENUE_LT,MEAN,ANNUAL_ROLL,2020,45685,,,'')&lt;/Q&gt;&lt;R&gt;1&lt;/R&gt;&lt;C&gt;1&lt;/C&gt;&lt;D xsi:type="xsd:double"&gt;3180&lt;/D&gt;&lt;/FQL&gt;&lt;FQL&gt;&lt;Q&gt;Ticker0024^FE_ESTIMATE(DEFREVENUE_LT,MEAN,QUARTERLY_ROLL,2020/4F,45685,,,'')&lt;/Q&gt;&lt;R&gt;1&lt;/R&gt;&lt;C&gt;1&lt;/C&gt;&lt;D xsi:type="xsd:double"&gt;3180&lt;/D&gt;&lt;/FQL&gt;&lt;FQL&gt;&lt;Q&gt;Ticker0024^FE_ESTIMATE(DEFREVENUE_LT,MEAN,QUARTERLY_ROLL,2020/3F,45685,,,'')&lt;/Q&gt;&lt;R&gt;1&lt;/R&gt;&lt;C&gt;1&lt;/C&gt;&lt;D xsi:type="xsd:double"&gt;3385&lt;/D&gt;&lt;/FQL&gt;&lt;FQL&gt;&lt;Q&gt;Ticker0024^FE_ESTIMATE(DEFREVENUE_LT,MEAN,QUARTERLY_ROLL,2020/2F,45685,,,'')&lt;/Q&gt;&lt;R&gt;1&lt;/R&gt;&lt;C&gt;1&lt;/C&gt;&lt;D xsi:type="xsd:double"&gt;3878&lt;/D&gt;&lt;/FQL&gt;&lt;FQL&gt;&lt;Q&gt;Ticker0024^FE_ESTIMATE(DEFREVENUE_LT,MEAN,QUARTERLY_ROLL,2020/1F,45685,,,'')&lt;/Q&gt;&lt;R&gt;1&lt;/R&gt;&lt;C&gt;1&lt;/C&gt;&lt;D xsi:type="xsd:double"&gt;4122&lt;/D&gt;&lt;/FQL&gt;&lt;FQL&gt;&lt;Q&gt;Ticker0024^FE_ESTIMATE(DEFREVENUE_LT,MEAN,ANNUAL_ROLL,2019,45685,,,'')&lt;/Q&gt;&lt;R&gt;1&lt;/R&gt;&lt;C&gt;1&lt;/C&gt;&lt;D xsi:type="xsd:double"&gt;4530&lt;/D&gt;&lt;/FQL&gt;&lt;FQL&gt;&lt;Q&gt;Ticker0024^FE_ESTIMATE(DEFREVENUE_LT,MEAN,QUARTERLY_ROLL,2019/4F,45685,,,'')&lt;/Q&gt;&lt;R&gt;1&lt;/R&gt;&lt;C&gt;1&lt;/C&gt;&lt;D xsi:type="xsd:double"&gt;4530&lt;/D&gt;&lt;/FQL&gt;&lt;FQL&gt;&lt;Q&gt;Ticker0024^FE_ESTIMATE(DEFREVENUE_LT,MEAN,QUARTERLY_ROLL,2019/3F,45685,,,'')&lt;/Q&gt;&lt;R&gt;1&lt;/R&gt;&lt;C&gt;1&lt;/C&gt;&lt;D xsi:type="xsd:double"&gt;3884&lt;/D&gt;&lt;/FQL&gt;&lt;FQL&gt;&lt;Q&gt;Ticker0024^FE_ESTIMATE(DEFREVENUE_LT,MEAN,QUARTERLY_ROLL,2019/2F,45685,,,'')&lt;/Q&gt;&lt;R&gt;1&lt;/R&gt;&lt;C&gt;1&lt;/C&gt;&lt;D xsi:type="xsd:double"&gt;3799&lt;/D&gt;&lt;/FQL&gt;&lt;FQL&gt;&lt;Q&gt;Ticker0024^FE_ESTIMATE(DEFREVENUE_LT,MEAN,QUARTERLY_ROLL,2019/1F,45685,,,'')&lt;/Q&gt;&lt;R&gt;1&lt;/R&gt;&lt;C&gt;1&lt;/C&gt;&lt;D xsi:type="xsd:double"&gt;3538&lt;/D&gt;&lt;/FQL&gt;&lt;FQL&gt;&lt;Q&gt;Ticker0024^FE_ESTIMATE(DEFREVENUE_LT,MEAN,ANNUAL_ROLL,2018,45685,,,'')&lt;/Q&gt;&lt;R&gt;1&lt;/R&gt;&lt;C&gt;1&lt;/C&gt;&lt;D xsi:type="xsd:double"&gt;3815&lt;/D&gt;&lt;/FQL&gt;&lt;FQL&gt;&lt;Q&gt;Ticker0024^FE_ESTIMATE(DEFREVENUE_LT,MEAN,QUARTERLY_ROLL,2018/4F,45685,,,'')&lt;/Q&gt;&lt;R&gt;1&lt;/R&gt;&lt;C&gt;1&lt;/C&gt;&lt;D xsi:type="xsd:double"&gt;3815&lt;/D&gt;&lt;/FQL&gt;&lt;FQL&gt;&lt;Q&gt;Ticker0024^FE_ESTIMATE(DEFREVENUE_LT,MEAN,QUARTERLY_ROLL,2018/3F,45685,,,'')&lt;/Q&gt;&lt;R&gt;1&lt;/R&gt;&lt;C&gt;1&lt;/C&gt;&lt;D xsi:type="xsd:double"&gt;2585&lt;/D&gt;&lt;/FQL&gt;&lt;FQL&gt;&lt;Q&gt;Ticker0024^FE_ESTIMATE(DEFREVENUE_LT,MEAN,QUARTERLY_ROLL,2018/2F,45685,,,'')&lt;/Q&gt;&lt;R&gt;1&lt;/R&gt;&lt;C&gt;1&lt;/C&gt;&lt;D xsi:type="xsd:double"&gt;2500&lt;/D&gt;&lt;/FQL&gt;&lt;FQL&gt;&lt;Q&gt;Ticker0024^FE_ESTIMATE(DEFREVENUE_LT,MEAN,QUARTERLY_ROLL,2018/1F,45685,,,'')&lt;/Q&gt;&lt;R&gt;1&lt;/R&gt;&lt;C&gt;1&lt;/C&gt;&lt;D xsi:type="xsd:double"&gt;2126&lt;/D&gt;&lt;/FQL&gt;&lt;FQL&gt;&lt;Q&gt;Ticker0024^FE_ESTIMATE(DEFREVENUE_LT,MEAN,ANNUAL_ROLL,2017,45685,,,'')&lt;/Q&gt;&lt;R&gt;1&lt;/R&gt;&lt;C&gt;1&lt;/C&gt;&lt;D xsi:type="xsd:double"&gt;10377&lt;/D&gt;&lt;/FQL&gt;&lt;FQL&gt;&lt;Q&gt;Ticker0024^FE_ESTIMATE(DEFREVENUE_LT,MEAN,QUARTERLY_ROLL,2017/4F,45685,,,'')&lt;/Q&gt;&lt;R&gt;1&lt;/R&gt;&lt;C&gt;1&lt;/C&gt;&lt;D xsi:type="xsd:double"&gt;10377&lt;/D&gt;&lt;/FQL&gt;&lt;FQL&gt;&lt;Q&gt;Ticker0024^FE_ESTIMATE(DEFREVENUE_LT,MEAN,QUARTERLY_ROLL,2017/3F,45685,,,'')&lt;/Q&gt;&lt;R&gt;1&lt;/R&gt;&lt;C&gt;1&lt;/C&gt;&lt;D xsi:type="xsd:double"&gt;9215&lt;/D&gt;&lt;/FQL&gt;&lt;FQL&gt;&lt;Q&gt;Ticker0024^FE_ESTIMATE(DEFREVENUE_LT,MEAN,QUARTERLY_ROLL,2017/2F,45685,,,'')&lt;/Q&gt;&lt;R&gt;1&lt;/R&gt;&lt;C&gt;1&lt;/C&gt;&lt;D xsi:type="xsd:double"&gt;8595&lt;/D&gt;&lt;/FQL&gt;&lt;FQL&gt;&lt;Q&gt;Ticker0024^FE_ESTIMATE(DEFREVENUE_LT,MEAN,QUARTERLY_ROLL,2017/1F,45685,,,'')&lt;/Q&gt;&lt;R&gt;1&lt;/R&gt;&lt;C&gt;1&lt;/C&gt;&lt;D xsi:type="xsd:double"&gt;7284&lt;/D&gt;&lt;/FQL&gt;&lt;FQL&gt;&lt;Q&gt;Ticker0024^FE_ESTIMATE(DEFREVENUE_LT,MEAN,ANNUAL_ROLL,2016,45685,,,'')&lt;/Q&gt;&lt;R&gt;1&lt;/R&gt;&lt;C&gt;1&lt;/C&gt;&lt;D xsi:type="xsd:double"&gt;6441&lt;/D&gt;&lt;/FQL&gt;&lt;FQL&gt;&lt;Q&gt;Ticker0024^FE_ESTIMATE(DEFREVENUE_LT,MEAN,QUARTERLY_ROLL,2016/4F,45685,,,'')&lt;/Q&gt;&lt;R&gt;1&lt;/R&gt;&lt;C&gt;1&lt;/C&gt;&lt;D xsi:type="xsd:double"&gt;6441&lt;/D&gt;&lt;/FQL&gt;&lt;FQL&gt;&lt;Q&gt;Ticker0024^FE_ESTIMATE(DEFREVENUE_LT,MEAN,QUARTERLY_ROLL,2016/3F,45685,,,'')&lt;/Q&gt;&lt;R&gt;1&lt;/R&gt;&lt;C&gt;1&lt;/C&gt;&lt;D xsi:type="xsd:double"&gt;5017&lt;/D&gt;&lt;/FQL&gt;&lt;FQL&gt;&lt;Q&gt;Ticker0024^FE_ESTIMATE(DEFREVENUE_LT,MEAN,QUARTERLY_ROLL,2016/2F,45685,,,'')&lt;/Q&gt;&lt;R&gt;1&lt;/R&gt;&lt;C&gt;1&lt;/C&gt;&lt;D xsi:type="xsd:double"&gt;4102&lt;/D&gt;&lt;/FQL&gt;&lt;FQL&gt;&lt;Q&gt;Ticker0024^FE_ESTIMATE(DEFREVENUE_LT,MEAN,QUARTERLY_ROLL,2016/1F,45685,,,'')&lt;/Q&gt;&lt;R&gt;1&lt;/R&gt;&lt;C&gt;1&lt;/C&gt;&lt;D xsi:type="xsd:double"&gt;2784&lt;/D&gt;&lt;/FQL&gt;&lt;FQL&gt;&lt;Q&gt;Ticker0024^FE_ESTIMATE(DEFREVENUE_LT,MEAN,ANNUAL_ROLL,2015,45685,,,'')&lt;/Q&gt;&lt;R&gt;1&lt;/R&gt;&lt;C&gt;1&lt;/C&gt;&lt;D xsi:type="xsd:double"&gt;2095&lt;/D&gt;&lt;/FQL&gt;&lt;FQL&gt;&lt;Q&gt;Ticker0024^FE_ESTIMATE(DEFREVENUE_LT,MEAN,QUARTERLY_ROLL,2015/4F,45685,,,'')&lt;/Q&gt;&lt;R&gt;1&lt;/R&gt;&lt;C&gt;1&lt;/C&gt;&lt;D xsi:type="xsd:double"&gt;2095&lt;/D&gt;&lt;/FQL&gt;&lt;FQL&gt;&lt;Q&gt;Ticker0024^FE_ESTIMATE(DEFREVENUE_LT,MEAN,QUARTERLY_ROLL,2015/3F,45685,,,'')&lt;/Q&gt;&lt;R&gt;1&lt;/R&gt;&lt;C&gt;1&lt;/C&gt;&lt;D xsi:type="xsd:double"&gt;1966&lt;/D&gt;&lt;/FQL&gt;&lt;FQL&gt;&lt;Q&gt;Ticker0024^FE_ESTIMATE(DEFREVENUE_LT,MEAN,QUARTERLY_ROLL,2015/2F,45685,,,'')&lt;/Q&gt;&lt;R&gt;1&lt;/R&gt;&lt;C&gt;1&lt;/C&gt;&lt;D xsi:type="xsd:double"&gt;2035.2727&lt;/D&gt;&lt;/FQL&gt;&lt;FQL&gt;&lt;Q&gt;Ticker0024^FE_ESTIMATE(DEFREVENUE_LT,MEAN,QUARTERLY_ROLL,2015/1F,45685,,,'')&lt;/Q&gt;&lt;R&gt;1&lt;/R&gt;&lt;C&gt;1&lt;/C&gt;&lt;D xsi:type="xsd:double"&gt;1825&lt;/D&gt;&lt;/FQL&gt;&lt;FQL&gt;&lt;Q&gt;Ticker0024^FE_ESTIMATE(DEFREVENUE_ST,MEAN,ANNUAL_ROLL,2030,45685,,,'')&lt;/Q&gt;&lt;R&gt;0&lt;/R&gt;&lt;C&gt;0&lt;/C&gt;&lt;/FQL&gt;&lt;FQL&gt;&lt;Q&gt;Ticker0024^FE_ESTIMATE(DEFREVENUE_ST,MEAN,QUARTERLY_ROLL,2030/4F,45685,,,'')&lt;/Q&gt;&lt;R&gt;0&lt;/R&gt;&lt;C&gt;0&lt;/C&gt;&lt;/FQL&gt;&lt;FQL&gt;&lt;Q&gt;Ticker0024^FE_ESTIMATE(DEFREVENUE_ST,MEAN,QUARTERLY_ROLL,2030/3F,45685,,,'')&lt;/Q&gt;&lt;R&gt;0&lt;/R&gt;&lt;C&gt;0&lt;/C&gt;&lt;/FQL&gt;&lt;FQL&gt;&lt;Q&gt;Ticker0024^FE_ESTIMATE(DEFREVENUE_ST,MEAN,QUARTERLY_ROLL,2030/2F,45685,,,'')&lt;/Q&gt;&lt;R&gt;0&lt;/R&gt;&lt;C&gt;0&lt;/C&gt;&lt;/FQL&gt;&lt;FQL&gt;&lt;Q&gt;Ticker0024^FE_ESTIMATE(DEFREVENUE_ST,MEAN,QUARTERLY_ROLL,2030/1F,45685,,,'')&lt;/Q&gt;&lt;R&gt;0&lt;/R&gt;&lt;C&gt;0&lt;/C&gt;&lt;/FQL&gt;&lt;FQL&gt;&lt;Q&gt;Ticker0024^FE_ESTIMATE(DEFREVENUE_ST,MEAN,ANNUAL_ROLL,2029,45685,,,'')&lt;/Q&gt;&lt;R&gt;0&lt;/R&gt;&lt;C&gt;0&lt;/C&gt;&lt;/FQL&gt;&lt;FQL&gt;&lt;Q&gt;Ticker0024^FE_ESTIMATE(DEFREVENUE_ST,MEAN,QUARTERLY_ROLL,2029/4F,45685,,,'')&lt;/Q&gt;&lt;R&gt;0&lt;/R&gt;&lt;C&gt;0&lt;/C&gt;&lt;/FQL&gt;&lt;FQL&gt;&lt;Q&gt;Ticker0024^FE_ESTIMATE(DEFREVENUE_ST,MEAN,QUARTERLY_ROLL,2029/3F,45685,,,'')&lt;/Q&gt;&lt;R&gt;0&lt;/R&gt;&lt;C&gt;0&lt;/C&gt;&lt;/FQL&gt;&lt;FQL&gt;&lt;Q&gt;Ticker0024^FE_ESTIMATE(DEFREVENUE_ST,MEAN,QUARTERLY_ROLL,2029/2F,45685,,,'')&lt;/Q&gt;&lt;R&gt;0&lt;/R&gt;&lt;C&gt;0&lt;/C&gt;&lt;/FQL&gt;&lt;FQL&gt;&lt;Q&gt;Ticker0024^FE_ESTIMATE(DEFREVENUE_ST,MEAN,QUARTERLY_ROLL,2029/1F,45685,,,'')&lt;/Q&gt;&lt;R&gt;0&lt;/R&gt;&lt;C&gt;0&lt;/C&gt;&lt;/FQL&gt;&lt;FQL&gt;&lt;Q&gt;Ticker0024^FE_ESTIMATE(DEFREVENUE_ST,MEAN,ANNUAL_ROLL,2028,45685,,,'')&lt;/Q&gt;&lt;R&gt;0&lt;/R&gt;&lt;C&gt;0&lt;/C&gt;&lt;/FQL&gt;&lt;FQL&gt;&lt;Q&gt;Ticker0024^FE_ESTIMATE(DEFREVENUE_ST,MEAN,QUARTERLY_ROLL,2028/4F,45685,,,'')&lt;/Q&gt;&lt;R&gt;0&lt;/R&gt;&lt;C&gt;0&lt;/C&gt;&lt;/FQL&gt;&lt;FQL&gt;&lt;Q&gt;Ticker0024^FE_ESTIMATE(DEFREVENUE_ST,MEAN,QUARTERLY_ROLL,2028/3F,45685,,,'')&lt;/Q&gt;&lt;R&gt;0&lt;/R&gt;&lt;C&gt;0&lt;/C&gt;&lt;/FQL&gt;&lt;FQL&gt;&lt;Q&gt;Ticker0024^FE_ESTIMATE(DEFREVENUE_ST,MEAN,QUARTERLY_ROLL,2028/2F,45685,,,'')&lt;/Q&gt;&lt;R&gt;0&lt;/R&gt;&lt;C&gt;0&lt;/C&gt;&lt;/FQL&gt;&lt;FQL&gt;&lt;Q&gt;Ticker0024^FE_ESTIMATE(DEFREVENUE_ST,MEAN,QUARTERLY_ROLL,2028/1F,45685,,,'')&lt;/Q&gt;&lt;R&gt;0&lt;/R&gt;&lt;C&gt;0&lt;/C&gt;&lt;/FQL&gt;&lt;FQL&gt;&lt;Q&gt;Ticker0024^FE_ESTIMATE(DEFREVENUE_ST,MEAN,ANNUAL_ROLL,2027,45685,,,'')&lt;/Q&gt;&lt;R&gt;1&lt;/R&gt;&lt;C&gt;1&lt;/C&gt;&lt;D xsi:type="xsd:double"&gt;71061.86&lt;/D&gt;&lt;/FQL&gt;&lt;FQL&gt;&lt;Q&gt;Ticker0024^FE_ESTIMATE(DEFREVENUE_ST,MEAN,QUARTERLY_ROLL,2027/4F,45685,,,'')&lt;/Q&gt;&lt;R&gt;0&lt;/R&gt;&lt;C&gt;0&lt;/C&gt;&lt;/FQL&gt;&lt;FQL&gt;&lt;Q&gt;Ticker0024^FE_ESTIMATE(DEFREVENUE_ST,MEAN,QUARTERLY_ROLL,2027/3F,45685,,,'')&lt;/Q&gt;&lt;R&gt;0&lt;/R&gt;&lt;C&gt;0&lt;/C&gt;&lt;/FQL&gt;&lt;FQL&gt;&lt;Q&gt;Ticker0024^FE_ESTIMATE(DEFREVENUE_ST,MEAN,QUARTERLY_ROLL,2027/2F,45685,,,'')&lt;/Q&gt;&lt;R&gt;0&lt;/R&gt;&lt;C&gt;0&lt;/C&gt;&lt;/FQL&gt;&lt;FQL&gt;&lt;Q&gt;Ticker0024^FE_ESTIMATE(DEFREVENUE_ST,MEAN,QUARTERLY_ROLL,2027/1F,45685,,,'')&lt;/Q&gt;&lt;R&gt;0&lt;/R&gt;&lt;C&gt;0&lt;/C&gt;&lt;/FQL&gt;&lt;FQL&gt;&lt;Q&gt;Ticker0024^FE_ESTIMATE(DEFREVENUE_ST,MEAN,ANNUAL_ROLL,2026,45685,,,'')&lt;/Q&gt;&lt;R&gt;1&lt;/R&gt;&lt;C&gt;1&lt;/C&gt;&lt;D xsi:type="xsd:double"&gt;70696.27&lt;/D&gt;&lt;/FQL&gt;&lt;FQL&gt;&lt;Q&gt;Ticker0024^FE_ESTIMATE(DEFREVENUE_ST,MEAN,QUARTERLY_ROLL,2026/4F,45685,,,'')&lt;/Q&gt;&lt;R&gt;1&lt;/R&gt;&lt;C&gt;1&lt;/C&gt;&lt;D xsi:type="xsd:double"&gt;70887.44&lt;/D&gt;&lt;/FQL&gt;&lt;FQL&gt;&lt;Q&gt;Ticker0024^FE_ESTIMATE(DEFREVENUE_ST,MEAN,QUARTERLY_ROLL,2026/3F,45685,,,'')&lt;/Q&gt;&lt;R&gt;1&lt;/R&gt;&lt;C&gt;1&lt;/C&gt;&lt;D xsi:type="xsd:double"&gt;54120.14&lt;/D&gt;&lt;/FQL&gt;&lt;FQL&gt;&lt;Q&gt;Ticker0024^FE_ESTIMATE(DEFREVENUE_ST,MEAN,QUARTERLY_ROLL,2026/2F,45685,,,'')&lt;/Q&gt;&lt;R&gt;1&lt;/R&gt;&lt;C&gt;1&lt;/C&gt;&lt;D xsi:type="xsd:double"&gt;55638.68&lt;/D&gt;&lt;/FQL&gt;&lt;FQL&gt;&lt;Q&gt;Ticker0024^FE_ESTIMATE(DEFREVENUE_ST,MEAN,QUARTERLY_ROLL,2026/1F,45685,,,'')&lt;/Q&gt;&lt;R&gt;1&lt;/R&gt;&lt;C&gt;1&lt;/C&gt;&lt;D xsi:type="xsd:double"&gt;60178.88&lt;/D&gt;&lt;/FQL&gt;&lt;FQL&gt;&lt;Q&gt;Ticker0024^FE_ESTIMATE(DEFREVENUE_ST,MEAN,ANNUAL_ROLL,2025,45685,,,'')&lt;/Q&gt;&lt;R&gt;1&lt;/R&gt;&lt;C&gt;1&lt;/C&gt;&lt;D xsi:type="xsd:double"&gt;64067.74&lt;/D&gt;&lt;/FQL&gt;&lt;FQL&gt;&lt;Q&gt;Ticker0024^FE_ESTIMATE(DEFREVENUE_ST,MEAN,QUARTERLY_ROLL,2025/4F,45685,,,'')&lt;/Q&gt;&lt;R&gt;1&lt;/R&gt;&lt;C&gt;1&lt;/C&gt;&lt;D xsi:type="xsd:double"&gt;63695.05&lt;/D&gt;&lt;/FQL&gt;&lt;FQL&gt;&lt;Q&gt;Ticker0024^FE_ESTIMATE(DEFREVENUE_ST,MEAN,QUARTERLY_ROLL,2025/3F,45685,,,'')&lt;/Q&gt;&lt;R&gt;1&lt;/R&gt;&lt;C&gt;1&lt;/C&gt;&lt;D xsi:type="xsd:double"&gt;48165.3&lt;/D&gt;&lt;/FQL&gt;&lt;FQL&gt;&lt;Q&gt;Ticker0024^FE_ESTIMATE(DEFREVENUE_ST,MEAN,QUARTERLY_ROLL,2025/2F,45685,,,'')&lt;/Q&gt;&lt;R&gt;1&lt;/R&gt;&lt;C&gt;1&lt;/C&gt;&lt;D xsi:type="xsd:double"&gt;49392.6&lt;/D&gt;&lt;/FQL&gt;&lt;FQL&gt;&lt;Q&gt;Ticker0024^FE_ESTIMATE(DEFREVENUE_ST,MEAN,QUARTERLY_ROLL,2025/1F,45685,,,'')&lt;/Q&gt;&lt;R&gt;1&lt;/R&gt;&lt;C&gt;1&lt;/C&gt;&lt;D xsi:type="xsd:double"&gt;53026.5&lt;/D&gt;&lt;/FQL&gt;&lt;FQL&gt;&lt;Q&gt;Ticker0024^FE_ESTIMATE(DEFREVENUE_ST,MEAN,ANNUAL_ROLL,2024,45685,,,'')&lt;/Q&gt;&lt;R&gt;1&lt;/R&gt;&lt;C&gt;1&lt;/C&gt;&lt;D xsi:type="xsd:double"&gt;57725&lt;/D&gt;&lt;/FQL&gt;&lt;FQL&gt;&lt;Q&gt;Ticker0024^FE_ESTIMATE(DEFREVENUE_ST,MEAN,QUARTERLY_ROLL,2024/4F,45685,,,'')&lt;/Q&gt;&lt;R&gt;1&lt;/R&gt;&lt;C&gt;1&lt;/C&gt;&lt;D xsi:type="xsd:double"&gt;57581.75&lt;/D&gt;&lt;/FQL&gt;&lt;FQL&gt;&lt;Q&gt;Ticker0024^FE_ESTIMATE(DEFREVENUE_ST,MEAN,QUARTERLY_ROLL,2024/3F,45685,,,'')&lt;/Q&gt;&lt;R&gt;1&lt;/R&gt;&lt;C&gt;1&lt;/C&gt;&lt;D xsi:type="xsd:double"&gt;41888.285&lt;/D&gt;&lt;/FQL&gt;&lt;FQL&gt;&lt;Q&gt;Ticker0024^FE_ESTIMATE(DEFREVENUE_ST,MEAN,QUARTERLY_ROLL,2024/2F,45685,,,'')&lt;/Q&gt;&lt;R&gt;1&lt;/R&gt;&lt;C&gt;1&lt;/C&gt;&lt;D xsi:type="xsd:double"&gt;43068.285&lt;/D&gt;&lt;/FQL&gt;&lt;FQL&gt;&lt;Q&gt;Ticker0024^FE_ESTIMATE(DEFREVENUE_ST,MEAN,QUARTERLY_ROLL,2024/1F,45685,,,'')&lt;/Q&gt;&lt;R&gt;1&lt;/R&gt;&lt;C&gt;1&lt;/C&gt;&lt;D xsi:type="xsd:double"&gt;46429.168&lt;/D&gt;&lt;/FQL&gt;&lt;FQL&gt;&lt;Q&gt;Ticker0024^FE_ESTIMATE(DEFREVENUE_ST,MEAN,ANNUAL_ROLL,2023,45685,,,'')&lt;/Q&gt;&lt;R&gt;1&lt;/R&gt;&lt;C&gt;1&lt;/C&gt;&lt;D xsi:type="xsd:double"&gt;50900.875&lt;/D&gt;&lt;/FQL&gt;&lt;FQL&gt;&lt;Q&gt;Ticker0024^FE_ESTIMATE(DEFREVENUE_ST,MEAN,QUARTERLY_ROLL,2023/4F,45685,,,'')&lt;/Q&gt;&lt;R&gt;1&lt;/R&gt;&lt;C&gt;1&lt;/C&gt;&lt;D xsi:type="xsd:double"&gt;50900.855&lt;/D&gt;&lt;/FQL&gt;&lt;FQL&gt;&lt;Q&gt;Ticker0024^FE_ESTIMATE(DEFREVENUE_ST,MEAN,QUARTERLY_ROLL,2023/3F,45685,,,'')&lt;/Q&gt;&lt;R&gt;1&lt;/R&gt;&lt;C&gt;1&lt;/C&gt;&lt;D xsi:type="xsd:double"&gt;36902.5&lt;/D&gt;&lt;/FQL&gt;&lt;FQL&gt;&lt;Q&gt;Ticker0024^FE_ESTIMATE(DEFREVENUE_ST,MEAN,QUARTERLY_ROLL,2023/2F,45685,,,'')&lt;/Q&gt;&lt;R&gt;1&lt;/R&gt;&lt;C&gt;1&lt;/C&gt;&lt;D xsi:type="xsd:double"&gt;36981.668&lt;/D&gt;&lt;/FQL&gt;&lt;FQL&gt;&lt;Q&gt;Ticker0024^FE_ESTIMATE(DEFREVENUE_ST,MEAN,QUARTERLY_ROLL,2023/1F,45685,,,'')&lt;/Q&gt;&lt;R&gt;1&lt;/R&gt;&lt;C&gt;1&lt;/C&gt;&lt;D xsi:type="xsd:double"&gt;41340&lt;/D&gt;&lt;/FQL&gt;&lt;FQL&gt;&lt;Q&gt;Ticker0024^FE_ESTIMATE(DEFREVENUE_ST,MEAN,ANNUAL_ROLL,2022,45685,,,'')&lt;/Q&gt;&lt;R&gt;1&lt;/R&gt;&lt;C&gt;1&lt;/C&gt;&lt;D xsi:type="xsd:double"&gt;45538&lt;/D&gt;&lt;/FQL&gt;&lt;FQL&gt;&lt;Q&gt;Ticker0024^FE_ESTIMATE(DEFREVENUE_ST,MEAN,QUARTERLY_ROLL,2022/4F,45685,,,'')&lt;/Q&gt;&lt;R&gt;1&lt;/R&gt;&lt;C&gt;1&lt;/C&gt;&lt;D xsi:type="xsd:double"&gt;45538&lt;/D&gt;&lt;/FQL&gt;&lt;FQL&gt;&lt;Q&gt;Ticker0024^FE_ESTIMATE(DEFREVENUE_ST,MEAN,QUARTERLY_ROLL,2022/3F,45685,,,'')&lt;/Q&gt;&lt;R&gt;1&lt;/R&gt;&lt;C&gt;1&lt;/C&gt;&lt;D xsi:type="xsd:double"&gt;34027&lt;/D&gt;&lt;/FQL&gt;&lt;FQL&gt;&lt;Q&gt;Ticker0024^FE_ESTIMATE(DEFREVENUE_ST,MEAN,QUARTERLY_ROLL,2022/2F,45685,,,'')&lt;/Q&gt;&lt;R&gt;1&lt;/R&gt;&lt;C&gt;1&lt;/C&gt;&lt;D xsi:type="xsd:double"&gt;34001&lt;/D&gt;&lt;/FQL&gt;&lt;FQL&gt;&lt;Q&gt;Ticker0024^FE_ESTIMATE(DEFREVENUE_ST,MEAN,QUARTERLY_ROLL,2022/1F,45685,,,'')&lt;/Q&gt;&lt;R&gt;1&lt;/R&gt;&lt;C&gt;1&lt;/C&gt;&lt;D xsi:type="xsd:double"&gt;38465&lt;/D&gt;&lt;/FQL&gt;&lt;FQL&gt;&lt;Q&gt;Ticker0024^FE_ESTIMATE(DEFREVENUE_ST,MEAN,ANNUAL_ROLL,2021,45685,,,'')&lt;/Q&gt;&lt;R&gt;1&lt;/R&gt;&lt;C&gt;1&lt;/C&gt;&lt;D xsi:type="xsd:double"&gt;41525&lt;/D&gt;&lt;/FQL&gt;&lt;FQL&gt;&lt;Q&gt;Ticker0024^FE_ESTIMATE(DEFREVENUE_ST,MEAN,QUARTERLY_ROLL,2021/4F,45685,,,'')&lt;/Q&gt;&lt;R&gt;1&lt;/R&gt;&lt;C&gt;1&lt;/C&gt;&lt;D xsi:type="xsd:double"&gt;41525&lt;/D&gt;&lt;/FQL&gt;&lt;FQL&gt;&lt;Q&gt;Ticker0024^FE_ESTIMATE(DEFREVENUE_ST,MEAN,QUARTERLY_ROLL,2021/3F,45685,,,'')&lt;/Q&gt;&lt;R&gt;1&lt;/R&gt;&lt;C&gt;1&lt;/C&gt;&lt;D xsi:type="xsd:double"&gt;30083&lt;/D&gt;&lt;/FQL&gt;&lt;FQL&gt;&lt;Q&gt;Ticker0024^FE_ESTIMATE(DEFREVENUE_ST,MEAN,QUARTERLY_ROLL,2021/2F,45685,,,'')&lt;/Q&gt;&lt;R&gt;1&lt;/R&gt;&lt;C&gt;1&lt;/C&gt;&lt;D xsi:type="xsd:double"&gt;30402&lt;/D&gt;&lt;/FQL&gt;&lt;FQL&gt;&lt;Q&gt;Ticker0024^FE_ESTIMATE(DEFREVENUE_ST,MEAN,QUARTERLY_ROLL,2021/1F,45685,,,'')&lt;/Q&gt;&lt;R&gt;1&lt;/R&gt;&lt;C&gt;1&lt;/C&gt;&lt;D xsi:type="xsd:double"&gt;33476&lt;/D&gt;&lt;/FQL&gt;&lt;FQL&gt;&lt;Q&gt;Ticker0024^FE_ESTIMATE(DEFREVENUE_ST,MEAN,ANNUAL_ROLL,2020,45685,,,'')&lt;/Q&gt;&lt;R&gt;1&lt;/R&gt;&lt;C&gt;1&lt;/C&gt;&lt;D xsi:type="xsd:double"&gt;36000&lt;/D&gt;&lt;/FQL&gt;&lt;FQL&gt;&lt;Q&gt;Ticker0024^FE_ESTIMATE(DEFREVENUE_ST,MEAN,QUARTERLY_ROLL,2020/4F,45685,,,'')&lt;/Q&gt;&lt;R&gt;1&lt;/R&gt;&lt;C&gt;1&lt;/C&gt;&lt;D xsi:type="xsd:double"&gt;36000&lt;/D&gt;&lt;/FQL&gt;&lt;FQL&gt;&lt;Q&gt;Ticker0024^FE_ESTIMATE(DEFREVENUE_ST,MEAN,QUARTERLY_ROLL,2020/3F,45685,,,'')&lt;/Q&gt;&lt;R&gt;1&lt;/R&gt;&lt;C&gt;1&lt;/C&gt;&lt;D xsi:type="xsd:double"&gt;27012&lt;/D&gt;&lt;/FQL&gt;&lt;FQL&gt;&lt;Q&gt;Ticker0024^FE_ESTIMATE(DEFREVENUE_ST,MEAN,QUARTERLY_ROLL,2020/2F,45685,,,'')&lt;/Q&gt;&lt;R&gt;1&lt;/R&gt;&lt;C&gt;1&lt;/C&gt;&lt;D xsi:type="xsd:double"&gt;27343&lt;/D&gt;&lt;/FQL&gt;&lt;FQL&gt;&lt;Q&gt;Ticker0024^FE_ESTIMATE(DEFREVENUE_ST,MEAN,QUARTERLY_ROLL,2020/1F,45685,,,'')&lt;/Q&gt;&lt;R&gt;1&lt;/R&gt;&lt;C&gt;1&lt;/C&gt;&lt;D xsi:type="xsd:double"&gt;29904&lt;/D&gt;&lt;/FQL&gt;&lt;FQL&gt;&lt;Q&gt;Ticker0024^FE_ESTIMATE(DEFREVENUE_ST,MEAN,ANNUAL_ROLL,2019,45685,,,'')&lt;/Q&gt;&lt;R&gt;1&lt;/R&gt;&lt;C&gt;1&lt;/C&gt;&lt;D xsi:type="xsd:double"&gt;32676&lt;/D&gt;&lt;/FQL&gt;&lt;FQL&gt;&lt;Q&gt;Ticker0024^FE_ESTIMATE(DEFREVENUE_ST,MEAN,QUARTERLY_ROLL,2019/4F,45685,,,'')&lt;/Q&gt;&lt;R&gt;1&lt;/R&gt;&lt;C&gt;1&lt;/C&gt;&lt;D xsi:type="xsd:double"&gt;32676&lt;/D&gt;&lt;/FQL&gt;&lt;FQL&gt;&lt;Q&gt;Ticker0024^FE_ESTIMATE(DEFREVENUE_ST,MEAN,QUARTERLY_ROLL,2019/3F,45685,,,'')&lt;/Q&gt;&lt;R&gt;1&lt;/R&gt;&lt;C&gt;1&lt;/C&gt;&lt;D xsi:type="xsd:double"&gt;24251&lt;/D&gt;&lt;/FQL&gt;&lt;FQL&gt;&lt;Q&gt;Ticker0024^FE_ESTIMATE(DEFREVENUE_ST,MEAN,QUARTERLY_ROLL,2019/2F,45685,,,'')&lt;/Q&gt;&lt;R&gt;1&lt;/R&gt;&lt;C&gt;1&lt;/C&gt;&lt;D xsi:type="xsd:double"&gt;24285&lt;/D&gt;&lt;/FQL&gt;&lt;FQL&gt;&lt;Q&gt;Ticker0024^FE_ESTIMATE(DEFREVENUE_ST,MEAN,QUARTERLY_ROLL,2019/1F,45685,,,'')&lt;/Q&gt;&lt;R&gt;1&lt;/R&gt;&lt;C&gt;1&lt;/C&gt;&lt;D xsi:type="xsd:double"&gt;26704&lt;/D&gt;&lt;/FQL&gt;&lt;FQL&gt;&lt;Q&gt;Ticker0024^FE_ESTIMATE(DEFREVENUE_ST,MEAN,ANNUAL_ROLL,2018,45685,,,'')&lt;/Q&gt;&lt;R&gt;1&lt;/R&gt;&lt;C&gt;1&lt;/C&gt;&lt;D xsi:type="xsd:double"&gt;28905&lt;/D&gt;&lt;/FQL&gt;&lt;FQL&gt;&lt;Q&gt;Ticker0024^FE_ESTIMATE(DEFREVENUE_ST,MEAN,QUARTERLY_ROLL,2018/4F,45685,,,'')&lt;/Q&gt;&lt;R&gt;1&lt;/R&gt;&lt;C&gt;1&lt;/C&gt;&lt;D xsi:type="xsd:double"&gt;28905&lt;/D&gt;&lt;/FQL&gt;&lt;FQL&gt;&lt;Q&gt;Ticker0024^FE_ESTIMATE(DEFREVENUE_ST,MEAN,QUARTERLY_ROLL,2018/3F,45685,,,'')&lt;/Q&gt;&lt;R&gt;1&lt;/R&gt;&lt;C&gt;1&lt;/C&gt;&lt;D xsi:type="xsd:double"&gt;21370&lt;/D&gt;&lt;/FQL&gt;&lt;FQL&gt;&lt;Q&gt;Ticker0024^FE_ESTIMATE(DEFREVENUE_ST,MEAN,QUARTERLY_ROLL,2018/2F,45685,,,'')&lt;/Q&gt;&lt;R&gt;1&lt;/R&gt;&lt;C&gt;1&lt;/C&gt;&lt;D xsi:type="xsd:double"&gt;21559&lt;/D&gt;&lt;/FQL&gt;&lt;FQL&gt;&lt;Q&gt;Ticker0024^FE_ESTIMATE(DEFREVENUE_ST,MEAN,QUARTERLY_ROLL,2018/1F,45685,,,'')&lt;/Q&gt;&lt;R&gt;1&lt;/R&gt;&lt;C&gt;1&lt;/C&gt;&lt;D xsi:type="xsd:double"&gt;22990.6&lt;/D&gt;&lt;/FQL&gt;&lt;FQL&gt;&lt;Q&gt;Ticker0024^FE_ESTIMATE(DEFREVENUE_ST,MEAN,ANNUAL_ROLL,2017,45685,,,'')&lt;/Q&gt;&lt;R&gt;1&lt;/R&gt;&lt;C&gt;1&lt;/C&gt;&lt;D xsi:type="xsd:double"&gt;34102&lt;/D&gt;&lt;/FQL&gt;&lt;FQL&gt;&lt;Q&gt;Ticker0024^FE_ESTIMATE(DEFREVENUE_ST,MEAN,QUARTERLY_ROLL,2017/4F,45685,,,'')&lt;/Q&gt;&lt;R&gt;1&lt;/R&gt;&lt;C&gt;1&lt;/C&gt;&lt;D xsi:type="xsd:double"&gt;34102&lt;/D&gt;&lt;/FQL&gt;&lt;FQL&gt;&lt;Q&gt;Ticker0024^FE_ESTIMATE(DEFREVENUE_ST,MEAN,QUARTERLY_ROLL,2017/3F,45685,,,'')&lt;/Q&gt;&lt;R&gt;1&lt;/R&gt;&lt;C&gt;1&lt;/C&gt;&lt;D xsi:type="xsd:double"&gt;26518&lt;/D&gt;&lt;/FQL&gt;&lt;FQL&gt;&lt;Q&gt;Ticker0024^FE_ESTIMATE(DEFREVENUE_ST,MEAN,QUARTERLY_ROLL,2017/2F,45685,,,'')&lt;/Q&gt;&lt;R&gt;1&lt;/R&gt;&lt;C&gt;1&lt;/C&gt;&lt;D xsi:type="xsd:double"&gt;25983&lt;/D&gt;&lt;/FQL&gt;&lt;FQL&gt;&lt;Q&gt;Ticker0024^FE_ESTIMATE(DEFREVENUE_ST,MEAN,QUARTERLY_ROLL,2017/1F,45685,,,'')&lt;/Q&gt;&lt;R&gt;1&lt;/R&gt;&lt;C&gt;1&lt;/C&gt;&lt;D xsi:type="xsd:double"&gt;26304&lt;/D&gt;&lt;/FQL&gt;&lt;FQL&gt;&lt;Q&gt;Ticker0024^FE_ESTIMATE(DEFREVENUE_ST,MEAN,ANNUAL_ROLL,2016,45685,,,'')&lt;/Q&gt;&lt;R&gt;1&lt;/R&gt;&lt;C&gt;1&lt;/C&gt;&lt;D xsi:type="xsd:double"&gt;27468&lt;/D&gt;&lt;/FQL&gt;&lt;FQL&gt;&lt;Q&gt;Ticker0024^FE_ESTIMATE(DEFREVENUE_ST,MEAN,QUARTERLY_ROLL,2016/4F,45685,,,'')&lt;/Q&gt;&lt;R&gt;1&lt;/R&gt;&lt;C&gt;1&lt;/C&gt;&lt;D xsi:type="xsd:double"&gt;27468&lt;/D&gt;&lt;/FQL&gt;&lt;FQL&gt;&lt;Q&gt;Ticker0024^FE_ESTIMATE(DEFREVENUE_ST,MEAN,QUARTERLY_ROLL,2016/3F,45685,,,'')&lt;/Q&gt;&lt;R&gt;1&lt;/R&gt;&lt;C&gt;1&lt;/C&gt;&lt;D xsi:type="xsd:double"&gt;20876&lt;/D&gt;&lt;/FQL&gt;&lt;FQL&gt;&lt;Q&gt;Ticker0024^FE_ESTIMATE(DEFREVENUE_ST,MEAN,QUARTERLY_ROLL,2016/2F,45685,,,'')&lt;/Q&gt;&lt;R&gt;1&lt;/R&gt;&lt;C&gt;1&lt;/C&gt;&lt;D xsi:type="xsd:double"&gt;20929&lt;/D&gt;&lt;/FQL&gt;&lt;FQL&gt;&lt;Q&gt;Ticker0024^FE_ESTIMATE(DEFREVENUE_ST,MEAN,QUARTERLY_ROLL,2016/1F,45685,,,'')&lt;/Q&gt;&lt;R&gt;1&lt;/R&gt;&lt;C&gt;1&lt;/C&gt;&lt;D xsi:type="xsd:double"&gt;21603&lt;/D&gt;&lt;/FQL&gt;&lt;FQL&gt;&lt;Q&gt;Ticker0024^FE_ESTIMATE(DEFREVENUE_ST,MEAN,ANNUAL_ROLL,2015,45685,,,'')&lt;/Q&gt;&lt;R&gt;1&lt;/R&gt;&lt;C&gt;1&lt;/C&gt;&lt;D xsi:type="xsd:double"&gt;23223&lt;/D&gt;&lt;/FQL&gt;&lt;FQL&gt;&lt;Q&gt;Ticker0024^FE_ESTIMATE(DEFREVENUE_ST,MEAN,QUARTERLY_ROLL,2015/4F,45685,,,'')&lt;/Q&gt;&lt;R&gt;1&lt;/R&gt;&lt;C&gt;1&lt;/C&gt;&lt;D xsi:type="xsd:double"&gt;23223&lt;/D&gt;&lt;/FQL&gt;&lt;FQL&gt;&lt;Q&gt;Ticker0024^FE_ESTIMATE(DEFREVENUE_ST,MEAN,QUARTERLY_ROLL,2015/3F,45685,,,'')&lt;/Q&gt;&lt;R&gt;1&lt;/R&gt;&lt;C&gt;1&lt;/C&gt;&lt;D xsi:type="xsd:double"&gt;18232&lt;/D&gt;&lt;/FQL&gt;&lt;FQL&gt;&lt;Q&gt;Ticker0024^FE_ESTIMATE(DEFREVENUE_ST,MEAN,QUARTERLY_ROLL,2015/2F,45685,,,'')&lt;/Q&gt;&lt;R&gt;1&lt;/R&gt;&lt;C&gt;1&lt;/C&gt;&lt;D xsi:type="xsd:double"&gt;19192&lt;/D&gt;&lt;/FQL&gt;&lt;FQL&gt;&lt;Q&gt;Ticker0024^FE_ESTIMATE(DEFREVENUE_ST,MEAN,QUARTERLY_ROLL,2015/1F,45685,,,'')&lt;/Q&gt;&lt;R&gt;1&lt;/R&gt;&lt;C&gt;1&lt;/C&gt;&lt;D xsi:type="xsd:double"&gt;20713&lt;/D&gt;&lt;/FQL&gt;&lt;FQL&gt;&lt;Q&gt;Ticker0024^FE_ESTIMATE(FCF,MEAN,ANNUAL_ROLL,2030,45685,,,'')&lt;/Q&gt;&lt;R&gt;0&lt;/R&gt;&lt;C&gt;0&lt;/C&gt;&lt;/FQL&gt;&lt;FQL&gt;&lt;Q&gt;Ticker0024^FE_ESTIMATE(FCF,MEAN,QUARTERLY_ROLL,2030/4F,45685,,,'')&lt;/Q&gt;&lt;R&gt;0&lt;/R&gt;&lt;C&gt;0&lt;/C&gt;&lt;/FQL&gt;&lt;FQL&gt;&lt;Q&gt;Ticker0024^FE_ESTIMATE(FCF,MEAN,QUARTERLY_ROLL,2030/3F,45685,,,'')&lt;/Q&gt;&lt;R&gt;0&lt;/R&gt;&lt;C&gt;0&lt;/C&gt;&lt;/FQL&gt;&lt;FQL&gt;&lt;Q&gt;Ticker0024^FE_ESTIMATE(FCF,MEAN,QUARTERLY_ROLL,2030/2F,45685,,,'')&lt;/Q&gt;&lt;R&gt;0&lt;/R&gt;&lt;C&gt;0&lt;/C&gt;&lt;/FQL&gt;&lt;FQL&gt;&lt;Q&gt;Ticker0024^FE_ESTIMATE(FCF,MEAN,QUARTERLY_ROLL,2030/1F,45685,,,'')&lt;/Q&gt;&lt;R&gt;0&lt;/R&gt;&lt;C&gt;0&lt;/C&gt;&lt;/FQL&gt;&lt;FQL&gt;&lt;Q&gt;Ticker0024^FE_ESTIMATE(FCF,MEAN,ANNUAL_ROLL,2029,45685,,,'')&lt;/Q&gt;&lt;R&gt;0&lt;/R&gt;&lt;C&gt;0&lt;/C&gt;&lt;/FQL&gt;&lt;FQL&gt;&lt;Q&gt;Ticker0024^FE_ESTIMATE(FCF,MEAN,QUARTERLY_ROLL,2029/4F,45685,,,'')&lt;/Q&gt;&lt;R&gt;0&lt;/R&gt;&lt;C&gt;0&lt;/C&gt;&lt;/FQL&gt;&lt;FQL&gt;&lt;Q&gt;Ticker0024^FE_ESTIMATE(FCF,MEAN,QUARTERLY_ROLL,2029/3F,45685,,,'')&lt;/Q&gt;&lt;R&gt;0&lt;/R&gt;&lt;C&gt;0&lt;/C&gt;&lt;/FQL&gt;&lt;FQL&gt;&lt;Q&gt;Ticker0024^FE_ESTIMATE(FCF,MEAN,QUARTERLY_ROLL,2029/2F,45685,,,'')&lt;/Q&gt;&lt;R&gt;0&lt;/R&gt;&lt;C&gt;0&lt;/C&gt;&lt;/FQL&gt;&lt;FQL&gt;&lt;Q&gt;Ticker0024^FE_ESTIMATE(FCF,MEAN,QUARTERLY_ROLL,2029/1F,45685,,,'')&lt;/Q&gt;&lt;R&gt;0&lt;/R&gt;&lt;C&gt;0&lt;/C&gt;&lt;/FQL&gt;&lt;FQL&gt;&lt;Q&gt;Ticker0024^FE_ESTIMATE(FCF,MEAN,ANNUAL_ROLL,2028,45685,,,'')&lt;/Q&gt;&lt;R&gt;1&lt;/R&gt;&lt;C&gt;1&lt;/C&gt;&lt;D xsi:type="xsd:double"&gt;121695.16&lt;/D&gt;&lt;/FQL&gt;&lt;FQL&gt;&lt;Q&gt;Ticker0024^FE_ESTIMATE(FCF,MEAN,QUARTERLY_ROLL,2028/4F,45685,,,'')&lt;/Q&gt;&lt;R&gt;0&lt;/R&gt;&lt;C&gt;0&lt;/C&gt;&lt;/FQL&gt;&lt;FQL&gt;&lt;Q&gt;Ticker0024^FE_ESTIMATE(FCF,MEAN,QUARTERLY_ROLL,2028/3F,45685,,,'')&lt;/Q&gt;&lt;R&gt;0&lt;/R&gt;&lt;C&gt;0&lt;/C&gt;&lt;/FQL&gt;&lt;FQL&gt;&lt;Q&gt;Ticker0024^FE_ESTIMATE(FCF,MEAN,QUARTERLY_ROLL,2028/2F,45685,,,'')&lt;/Q&gt;&lt;R&gt;0&lt;/R&gt;&lt;C&gt;0&lt;/C&gt;&lt;/FQL&gt;&lt;FQL&gt;&lt;Q&gt;Ticker0024^FE_ESTIMATE(FCF,MEAN,QUARTERLY_ROLL,2028/1F,45685,,,'')&lt;/Q&gt;&lt;R&gt;0&lt;/R&gt;&lt;C&gt;0&lt;/C&gt;&lt;/FQL&gt;&lt;FQL&gt;&lt;Q&gt;Ticker0024^FE_ESTIMATE(FCF,MEAN,ANNUAL_ROLL,2027,45685,,,'')&lt;/Q&gt;&lt;R&gt;1&lt;/R&gt;&lt;C&gt;1&lt;/C&gt;&lt;D xsi:type="xsd:double"&gt;104990.23&lt;/D&gt;&lt;/FQL&gt;&lt;FQL&gt;&lt;Q&gt;Ticker0024^FE_ESTIMATE(FCF,MEAN,QUARTERLY_ROLL,2027/4F,45685,,,'')&lt;/Q&gt;&lt;R&gt;0&lt;/R&gt;&lt;C&gt;0&lt;/C&gt;&lt;/FQL&gt;&lt;FQL&gt;&lt;Q&gt;Ticker0024^FE_ESTIMATE(FCF,MEAN,QUARTERLY_ROLL,2027/3F,45685,,,'')&lt;/Q&gt;&lt;R&gt;0&lt;/R&gt;&lt;C&gt;0&lt;/C&gt;&lt;/FQL&gt;&lt;FQL&gt;&lt;Q&gt;Ticker0024^FE_ESTIMATE(FCF,MEAN,QUARTERLY_ROLL,2027/2F,45685,,,'')&lt;/Q&gt;&lt;R&gt;0&lt;/R&gt;&lt;C&gt;0&lt;/C&gt;&lt;/FQL&gt;&lt;FQL&gt;&lt;Q&gt;Ticker0024^FE_ESTIMATE(FCF,MEAN,QUARTERLY_ROLL,2027/1F,45685,,,'')&lt;/Q&gt;&lt;R&gt;0&lt;/R&gt;&lt;C&gt;0&lt;/C&gt;&lt;/FQL&gt;&lt;FQL&gt;&lt;Q&gt;Ticker0024^FE_ESTIMATE(FCF,MEAN,ANNUAL_ROLL,2026,45685,,,'')&lt;/Q&gt;&lt;R&gt;1&lt;/R&gt;&lt;C&gt;1&lt;/C&gt;&lt;D xsi:type="xsd:double"&gt;82904.25&lt;/D&gt;&lt;/FQL&gt;&lt;FQL&gt;&lt;Q&gt;Ticker0024^FE_ESTIMATE(FCF,MEAN,QUARTERLY_ROLL,2026/4F,45685,,,'')&lt;/Q&gt;&lt;R&gt;1&lt;/R&gt;&lt;C&gt;1&lt;/C&gt;&lt;D xsi:type="xsd:double"&gt;25687.125&lt;/D&gt;&lt;/FQL&gt;&lt;FQL&gt;&lt;Q&gt;Ticker0024^FE_ESTIMATE(FCF,MEAN,QUARTERLY_ROLL,2026/3F,45685,,,'')&lt;/Q&gt;&lt;R&gt;1&lt;/R&gt;&lt;C&gt;1&lt;/C&gt;&lt;D xsi:type="xsd:double"&gt;20902.75&lt;/D&gt;&lt;/FQL&gt;&lt;FQL&gt;&lt;Q&gt;Ticker0024^FE_ESTIMATE(FCF,</t>
        </r>
      </text>
    </comment>
    <comment ref="A16" authorId="0" shapeId="0" xr:uid="{A8914B5E-6051-4A85-91A0-2D159D5D7867}">
      <text>
        <r>
          <rPr>
            <b/>
            <sz val="9"/>
            <color indexed="81"/>
            <rFont val="Tahoma"/>
            <family val="2"/>
          </rPr>
          <t>MEAN,QUARTERLY_ROLL,2026/2F,45685,,,'')&lt;/Q&gt;&lt;R&gt;1&lt;/R&gt;&lt;C&gt;1&lt;/C&gt;&lt;D xsi:type="xsd:double"&gt;10794.525&lt;/D&gt;&lt;/FQL&gt;&lt;FQL&gt;&lt;Q&gt;Ticker0024^FE_ESTIMATE(FCF,MEAN,QUARTERLY_ROLL,2026/1F,45685,,,'')&lt;/Q&gt;&lt;R&gt;1&lt;/R&gt;&lt;C&gt;1&lt;/C&gt;&lt;D xsi:type="xsd:double"&gt;24897.86&lt;/D&gt;&lt;/FQL&gt;&lt;FQL&gt;&lt;Q&gt;Ticker0024^FE_ESTIMATE(FCF,MEAN,ANNUAL_ROLL,2025,45685,,,'')&lt;/Q&gt;&lt;R&gt;1&lt;/R&gt;&lt;C&gt;1&lt;/C&gt;&lt;D xsi:type="xsd:double"&gt;67746.586&lt;/D&gt;&lt;/FQL&gt;&lt;FQL&gt;&lt;Q&gt;Ticker0024^FE_ESTIMATE(FCF,MEAN,QUARTERLY_ROLL,2025/4F,45685,,,'')&lt;/Q&gt;&lt;R&gt;1&lt;/R&gt;&lt;C&gt;1&lt;/C&gt;&lt;D xsi:type="xsd:double"&gt;22004.156&lt;/D&gt;&lt;/FQL&gt;&lt;FQL&gt;&lt;Q&gt;Ticker0024^FE_ESTIMATE(FCF,MEAN,QUARTERLY_ROLL,2025/3F,45685,,,'')&lt;/Q&gt;&lt;R&gt;1&lt;/R&gt;&lt;C&gt;1&lt;/C&gt;&lt;D xsi:type="xsd:double"&gt;17404.555&lt;/D&gt;&lt;/FQL&gt;&lt;FQL&gt;&lt;Q&gt;Ticker0024^FE_ESTIMATE(FCF,MEAN,QUARTERLY_ROLL,2025/2F,45685,,,'')&lt;/Q&gt;&lt;R&gt;1&lt;/R&gt;&lt;C&gt;1&lt;/C&gt;&lt;D xsi:type="xsd:double"&gt;6585.7847&lt;/D&gt;&lt;/FQL&gt;&lt;FQL&gt;&lt;Q&gt;Ticker0024^FE_ESTIMATE(FCF,MEAN,QUARTERLY_ROLL,2025/1F,45685,,,'')&lt;/Q&gt;&lt;R&gt;1&lt;/R&gt;&lt;C&gt;1&lt;/C&gt;&lt;D xsi:type="xsd:double"&gt;18738.584&lt;/D&gt;&lt;/FQL&gt;&lt;FQL&gt;&lt;Q&gt;Ticker0024^FE_ESTIMATE(FCF,MEAN,ANNUAL_ROLL,2024,45685,,,'')&lt;/Q&gt;&lt;R&gt;1&lt;/R&gt;&lt;C&gt;1&lt;/C&gt;&lt;D xsi:type="xsd:double"&gt;72678.9&lt;/D&gt;&lt;/FQL&gt;&lt;FQL&gt;&lt;Q&gt;Ticker0024^FE_ESTIMATE(FCF,MEAN,QUARTERLY_ROLL,2024/4F,45685,,,'')&lt;/Q&gt;&lt;R&gt;1&lt;/R&gt;&lt;C&gt;1&lt;/C&gt;&lt;D xsi:type="xsd:double"&gt;22275.834&lt;/D&gt;&lt;/FQL&gt;&lt;FQL&gt;&lt;Q&gt;Ticker0024^FE_ESTIMATE(FCF,MEAN,QUARTERLY_ROLL,2024/3F,45685,,,'')&lt;/Q&gt;&lt;R&gt;1&lt;/R&gt;&lt;C&gt;1&lt;/C&gt;&lt;D xsi:type="xsd:double"&gt;20634.766&lt;/D&gt;&lt;/FQL&gt;&lt;FQL&gt;&lt;Q&gt;Ticker0024^FE_ESTIMATE(FCF,MEAN,QUARTERLY_ROLL,2024/2F,45685,,,'')&lt;/Q&gt;&lt;R&gt;1&lt;/R&gt;&lt;C&gt;1&lt;/C&gt;&lt;D xsi:type="xsd:double"&gt;6218.222&lt;/D&gt;&lt;/FQL&gt;&lt;FQL&gt;&lt;Q&gt;Ticker0024^FE_ESTIMATE(FCF,MEAN,QUARTERLY_ROLL,2024/1F,45685,,,'')&lt;/Q&gt;&lt;R&gt;1&lt;/R&gt;&lt;C&gt;1&lt;/C&gt;&lt;D xsi:type="xsd:double"&gt;21096.059&lt;/D&gt;&lt;/FQL&gt;&lt;FQL&gt;&lt;Q&gt;Ticker0024^FE_ESTIMATE(FCF,MEAN,ANNUAL_ROLL,2023,45685,,,'')&lt;/Q&gt;&lt;R&gt;1&lt;/R&gt;&lt;C&gt;1&lt;/C&gt;&lt;D xsi:type="xsd:double"&gt;60085.832&lt;/D&gt;&lt;/FQL&gt;&lt;FQL&gt;&lt;Q&gt;Ticker0024^FE_ESTIMATE(FCF,MEAN,QUARTERLY_ROLL,2023/4F,45685,,,'')&lt;/Q&gt;&lt;R&gt;1&lt;/R&gt;&lt;C&gt;1&lt;/C&gt;&lt;D xsi:type="xsd:double"&gt;19492.357&lt;/D&gt;&lt;/FQL&gt;&lt;FQL&gt;&lt;Q&gt;Ticker0024^FE_ESTIMATE(FCF,MEAN,QUARTERLY_ROLL,2023/3F,45685,,,'')&lt;/Q&gt;&lt;R&gt;1&lt;/R&gt;&lt;C&gt;1&lt;/C&gt;&lt;D xsi:type="xsd:double"&gt;17765.25&lt;/D&gt;&lt;/FQL&gt;&lt;FQL&gt;&lt;Q&gt;Ticker0024^FE_ESTIMATE(FCF,MEAN,QUARTERLY_ROLL,2023/2F,45685,,,'')&lt;/Q&gt;&lt;R&gt;1&lt;/R&gt;&lt;C&gt;1&lt;/C&gt;&lt;D xsi:type="xsd:double"&gt;5507.533&lt;/D&gt;&lt;/FQL&gt;&lt;FQL&gt;&lt;Q&gt;Ticker0024^FE_ESTIMATE(FCF,MEAN,QUARTERLY_ROLL,2023/1F,45685,,,'')&lt;/Q&gt;&lt;R&gt;1&lt;/R&gt;&lt;C&gt;1&lt;/C&gt;&lt;D xsi:type="xsd:double"&gt;17698&lt;/D&gt;&lt;/FQL&gt;&lt;FQL&gt;&lt;Q&gt;Ticker0024^FE_ESTIMATE(FCF,MEAN,ANNUAL_ROLL,2022,45685,,,'')&lt;/Q&gt;&lt;R&gt;1&lt;/R&gt;&lt;C&gt;1&lt;/C&gt;&lt;D xsi:type="xsd:double"&gt;65067.133&lt;/D&gt;&lt;/FQL&gt;&lt;FQL&gt;&lt;Q&gt;Ticker0024^FE_ESTIMATE(FCF,MEAN,QUARTERLY_ROLL,2022/4F,45685,,,'')&lt;/Q&gt;&lt;R&gt;1&lt;/R&gt;&lt;C&gt;1&lt;/C&gt;&lt;D xsi:type="xsd:double"&gt;17158&lt;/D&gt;&lt;/FQL&gt;&lt;FQL&gt;&lt;Q&gt;Ticker0024^FE_ESTIMATE(FCF,MEAN,QUARTERLY_ROLL,2022/3F,45685,,,'')&lt;/Q&gt;&lt;R&gt;1&lt;/R&gt;&lt;C&gt;1&lt;/C&gt;&lt;D xsi:type="xsd:double"&gt;19608.334&lt;/D&gt;&lt;/FQL&gt;&lt;FQL&gt;&lt;Q&gt;Ticker0024^FE_ESTIMATE(FCF,MEAN,QUARTERLY_ROLL,2022/2F,45685,,,'')&lt;/Q&gt;&lt;R&gt;1&lt;/R&gt;&lt;C&gt;1&lt;/C&gt;&lt;D xsi:type="xsd:double"&gt;9409.818&lt;/D&gt;&lt;/FQL&gt;&lt;FQL&gt;&lt;Q&gt;Ticker0024^FE_ESTIMATE(FCF,MEAN,QUARTERLY_ROLL,2022/1F,45685,,,'')&lt;/Q&gt;&lt;R&gt;1&lt;/R&gt;&lt;C&gt;1&lt;/C&gt;&lt;D xsi:type="xsd:double"&gt;18285.334&lt;/D&gt;&lt;/FQL&gt;&lt;FQL&gt;&lt;Q&gt;Ticker0024^FE_ESTIMATE(FCF,MEAN,ANNUAL_ROLL,2021,45685,,,'')&lt;/Q&gt;&lt;R&gt;1&lt;/R&gt;&lt;C&gt;1&lt;/C&gt;&lt;D xsi:type="xsd:double"&gt;55483.777&lt;/D&gt;&lt;/FQL&gt;&lt;FQL&gt;&lt;Q&gt;Ticker0024^FE_ESTIMATE(FCF,MEAN,QUARTERLY_ROLL,2021/4F,45685,,,'')&lt;/Q&gt;&lt;R&gt;1&lt;/R&gt;&lt;C&gt;1&lt;/C&gt;&lt;D xsi:type="xsd:double"&gt;15893.833&lt;/D&gt;&lt;/FQL&gt;&lt;FQL&gt;&lt;Q&gt;Ticker0024^FE_ESTIMATE(FCF,MEAN,QUARTERLY_ROLL,2021/3F,45685,,,'')&lt;/Q&gt;&lt;R&gt;1&lt;/R&gt;&lt;C&gt;1&lt;/C&gt;&lt;D xsi:type="xsd:double"&gt;16693.5&lt;/D&gt;&lt;/FQL&gt;&lt;FQL&gt;&lt;Q&gt;Ticker0024^FE_ESTIMATE(FCF,MEAN,QUARTERLY_ROLL,2021/2F,45685,,,'')&lt;/Q&gt;&lt;R&gt;1&lt;/R&gt;&lt;C&gt;1&lt;/C&gt;&lt;D xsi:type="xsd:double"&gt;9098&lt;/D&gt;&lt;/FQL&gt;&lt;FQL&gt;&lt;Q&gt;Ticker0024^FE_ESTIMATE(FCF,MEAN,QUARTERLY_ROLL,2021/1F,45685,,,'')&lt;/Q&gt;&lt;R&gt;1&lt;/R&gt;&lt;C&gt;1&lt;/C&gt;&lt;D xsi:type="xsd:double"&gt;13974.333&lt;/D&gt;&lt;/FQL&gt;&lt;FQL&gt;&lt;Q&gt;Ticker0024^FE_ESTIMATE(FCF,MEAN,ANNUAL_ROLL,2020,45685,,,'')&lt;/Q&gt;&lt;R&gt;1&lt;/R&gt;&lt;C&gt;1&lt;/C&gt;&lt;D xsi:type="xsd:double"&gt;45095.453&lt;/D&gt;&lt;/FQL&gt;&lt;FQL&gt;&lt;Q&gt;Ticker0024^FE_ESTIMATE(FCF,MEAN,QUARTERLY_ROLL,2020/4F,45685,,,'')&lt;/Q&gt;&lt;R&gt;1&lt;/R&gt;&lt;C&gt;1&lt;/C&gt;&lt;D xsi:type="xsd:double"&gt;13391.667&lt;/D&gt;&lt;/FQL&gt;&lt;FQL&gt;&lt;Q&gt;Ticker0024^FE_ESTIMATE(FCF,MEAN,QUARTERLY_ROLL,2020/3F,45685,,,'')&lt;/Q&gt;&lt;R&gt;1&lt;/R&gt;&lt;C&gt;1&lt;/C&gt;&lt;D xsi:type="xsd:double"&gt;13437&lt;/D&gt;&lt;/FQL&gt;&lt;FQL&gt;&lt;Q&gt;Ticker0024^FE_ESTIMATE(FCF,MEAN,QUARTERLY_ROLL,2020/2F,45685,,,'')&lt;/Q&gt;&lt;R&gt;1&lt;/R&gt;&lt;C&gt;1&lt;/C&gt;&lt;D xsi:type="xsd:double"&gt;7641.3335&lt;/D&gt;&lt;/FQL&gt;&lt;FQL&gt;&lt;Q&gt;Ticker0024^FE_ESTIMATE(FCF,MEAN,QUARTERLY_ROLL,2020/1F,45685,,,'')&lt;/Q&gt;&lt;R&gt;1&lt;/R&gt;&lt;C&gt;1&lt;/C&gt;&lt;D xsi:type="xsd:double"&gt;10215.875&lt;/D&gt;&lt;/FQL&gt;&lt;FQL&gt;&lt;Q&gt;Ticker0024^FE_ESTIMATE(FCF,MEAN,ANNUAL_ROLL,2019,45685,,,'')&lt;/Q&gt;&lt;R&gt;1&lt;/R&gt;&lt;C&gt;1&lt;/C&gt;&lt;D xsi:type="xsd:double"&gt;38085.168&lt;/D&gt;&lt;/FQL&gt;&lt;FQL&gt;&lt;Q&gt;Ticker0024^FE_ESTIMATE(FCF,MEAN,QUARTERLY_ROLL,2019/4F,45685,,,'')&lt;/Q&gt;&lt;R&gt;1&lt;/R&gt;&lt;C&gt;1&lt;/C&gt;&lt;D xsi:type="xsd:double"&gt;11695.728&lt;/D&gt;&lt;/FQL&gt;&lt;FQL&gt;&lt;Q&gt;Ticker0024^FE_ESTIMATE(FCF,MEAN,QUARTERLY_ROLL,2019/3F,45685,,,'')&lt;/Q&gt;&lt;R&gt;1&lt;/R&gt;&lt;C&gt;1&lt;/C&gt;&lt;D xsi:type="xsd:double"&gt;10834.333&lt;/D&gt;&lt;/FQL&gt;&lt;FQL&gt;&lt;Q&gt;Ticker0024^FE_ESTIMATE(FCF,MEAN,QUARTERLY_ROLL,2019/2F,45685,,,'')&lt;/Q&gt;&lt;R&gt;1&lt;/R&gt;&lt;C&gt;1&lt;/C&gt;&lt;D xsi:type="xsd:double"&gt;5420.25&lt;/D&gt;&lt;/FQL&gt;&lt;FQL&gt;&lt;Q&gt;Ticker0024^FE_ESTIMATE(FCF,MEAN,QUARTERLY_ROLL,2019/1F,45685,,,'')&lt;/Q&gt;&lt;R&gt;1&lt;/R&gt;&lt;C&gt;1&lt;/C&gt;&lt;D xsi:type="xsd:double"&gt;9414.454&lt;/D&gt;&lt;/FQL&gt;&lt;FQL&gt;&lt;Q&gt;Ticker0024^FE_ESTIMATE(FCF,MEAN,ANNUAL_ROLL,2018,45685,,,'')&lt;/Q&gt;&lt;R&gt;1&lt;/R&gt;&lt;C&gt;1&lt;/C&gt;&lt;D xsi:type="xsd:double"&gt;32102.77&lt;/D&gt;&lt;/FQL&gt;&lt;FQL&gt;&lt;Q&gt;Ticker0024^FE_ESTIMATE(FCF,MEAN,QUARTERLY_ROLL,2018/4F,45685,,,'')&lt;/Q&gt;&lt;R&gt;1&lt;/R&gt;&lt;C&gt;1&lt;/C&gt;&lt;D xsi:type="xsd:double"&gt;7717.909&lt;/D&gt;&lt;/FQL&gt;&lt;FQL&gt;&lt;Q&gt;Ticker0024^FE_ESTIMATE(FCF,MEAN,QUARTERLY_ROLL,2018/3F,45685,,,'')&lt;/Q&gt;&lt;R&gt;1&lt;/R&gt;&lt;C&gt;1&lt;/C&gt;&lt;D xsi:type="xsd:double"&gt;8967.363&lt;/D&gt;&lt;/FQL&gt;&lt;FQL&gt;&lt;Q&gt;Ticker0024^FE_ESTIMATE(FCF,MEAN,QUARTERLY_ROLL,2018/2F,45685,,,'')&lt;/Q&gt;&lt;R&gt;1&lt;/R&gt;&lt;C&gt;1&lt;/C&gt;&lt;D xsi:type="xsd:double"&gt;5426.1665&lt;/D&gt;&lt;/FQL&gt;&lt;FQL&gt;&lt;Q&gt;Ticker0024^FE_ESTIMATE(FCF,MEAN,QUARTERLY_ROLL,2018/1F,45685,,,'')&lt;/Q&gt;&lt;R&gt;1&lt;/R&gt;&lt;C&gt;1&lt;/C&gt;&lt;D xsi:type="xsd:double"&gt;9866.75&lt;/D&gt;&lt;/FQL&gt;&lt;FQL&gt;&lt;Q&gt;Ticker0024^FE_ESTIMATE(FCF,MEAN,ANNUAL_ROLL,2017,45685,,,'')&lt;/Q&gt;&lt;R&gt;1&lt;/R&gt;&lt;C&gt;1&lt;/C&gt;&lt;D xsi:type="xsd:double"&gt;30380.875&lt;/D&gt;&lt;/FQL&gt;&lt;FQL&gt;&lt;Q&gt;Ticker0024^FE_ESTIMATE(FCF,MEAN,QUARTERLY_ROLL,2017/4F,45685,,,'')&lt;/Q&gt;&lt;R&gt;1&lt;/R&gt;&lt;C&gt;1&lt;/C&gt;&lt;D xsi:type="xsd:double"&gt;8029.2&lt;/D&gt;&lt;/FQL&gt;&lt;FQL&gt;&lt;Q&gt;Ticker0024^FE_ESTIMATE(FCF,MEAN,QUARTERLY_ROLL,2017/3F,45685,,,'')&lt;/Q&gt;&lt;R&gt;1&lt;/R&gt;&lt;C&gt;1&lt;/C&gt;&lt;D xsi:type="xsd:double"&gt;8506&lt;/D&gt;&lt;/FQL&gt;&lt;FQL&gt;&lt;Q&gt;Ticker0024^FE_ESTIMATE(FCF,MEAN,QUARTERLY_ROLL,2017/2F,45685,,,'')&lt;/Q&gt;&lt;R&gt;1&lt;/R&gt;&lt;C&gt;1&lt;/C&gt;&lt;D xsi:type="xsd:double"&gt;4305&lt;/D&gt;&lt;/FQL&gt;&lt;FQL&gt;&lt;Q&gt;Ticker0024^FE_ESTIMATE(FCF,MEAN,QUARTERLY_ROLL,2017/1F,45685,,,'')&lt;/Q&gt;&lt;R&gt;1&lt;/R&gt;&lt;C&gt;1&lt;/C&gt;&lt;D xsi:type="xsd:double"&gt;9382&lt;/D&gt;&lt;/FQL&gt;&lt;FQL&gt;&lt;Q&gt;Ticker0024^FE_ESTIMATE(FCF,MEAN,ANNUAL_ROLL,2016,45685,,,'')&lt;/Q&gt;&lt;R&gt;1&lt;/R&gt;&lt;C&gt;1&lt;/C&gt;&lt;D xsi:type="xsd:double"&gt;24212.758&lt;/D&gt;&lt;/FQL&gt;&lt;FQL&gt;&lt;Q&gt;Ticker0024^FE_ESTIMATE(FCF,MEAN,QUARTERLY_ROLL,2016/4F,45685,,,'')&lt;/Q&gt;&lt;R&gt;1&lt;/R&gt;&lt;C&gt;1&lt;/C&gt;&lt;D xsi:type="xsd:double"&gt;5742&lt;/D&gt;&lt;/FQL&gt;&lt;FQL&gt;&lt;Q&gt;Ticker0024^FE_ESTIMATE(FCF,MEAN,QUARTERLY_ROLL,2016/3F,45685,,,'')&lt;/Q&gt;&lt;R&gt;1&lt;/R&gt;&lt;C&gt;1&lt;/C&gt;&lt;D xsi:type="xsd:double"&gt;6915.5625&lt;/D&gt;&lt;/FQL&gt;&lt;FQL&gt;&lt;Q&gt;Ticker0024^FE_ESTIMATE(FCF,MEAN,QUARTERLY_ROLL,2016/2F,45685,,,'')&lt;/Q&gt;&lt;R&gt;1&lt;/R&gt;&lt;C&gt;1&lt;/C&gt;&lt;D xsi:type="xsd:double"&gt;3510.5&lt;/D&gt;&lt;/FQL&gt;&lt;FQL&gt;&lt;Q&gt;Ticker0024^FE_ESTIMATE(FCF,MEAN,QUARTERLY_ROLL,2016/1F,45685,,,'')&lt;/Q&gt;&lt;R&gt;1&lt;/R&gt;&lt;C&gt;1&lt;/C&gt;&lt;D xsi:type="xsd:double"&gt;7124&lt;/D&gt;&lt;/FQL&gt;&lt;FQL&gt;&lt;Q&gt;Ticker0024^FE_ESTIMATE(FCF,MEAN,ANNUAL_ROLL,2015,45685,,,'')&lt;/Q&gt;&lt;R&gt;1&lt;/R&gt;&lt;C&gt;1&lt;/C&gt;&lt;D xsi:type="xsd:double"&gt;22531.357&lt;/D&gt;&lt;/FQL&gt;&lt;FQL&gt;&lt;Q&gt;Ticker0024^FE_ESTIMATE(FCF,MEAN,QUARTERLY_ROLL,2015/4F,45685,,,'')&lt;/Q&gt;&lt;R&gt;1&lt;/R&gt;&lt;C&gt;1&lt;/C&gt;&lt;D xsi:type="xsd:double"&gt;4565.622&lt;/D&gt;&lt;/FQL&gt;&lt;FQL&gt;&lt;Q&gt;Ticker0024^FE_ESTIMATE(FCF,MEAN,QUARTERLY_ROLL,2015/3F,45685,,,'')&lt;/Q&gt;&lt;R&gt;1&lt;/R&gt;&lt;C&gt;1&lt;/C&gt;&lt;D xsi:type="xsd:double"&gt;8155.857&lt;/D&gt;&lt;/FQL&gt;&lt;FQL&gt;&lt;Q&gt;Ticker0024^FE_ESTIMATE(FCF,MEAN,QUARTERLY_ROLL,2015/2F,45685,,,'')&lt;/Q&gt;&lt;R&gt;1&lt;/R&gt;&lt;C&gt;1&lt;/C&gt;&lt;D xsi:type="xsd:double"&gt;2850&lt;/D&gt;&lt;/FQL&gt;&lt;FQL&gt;&lt;Q&gt;Ticker0024^FE_ESTIMATE(FCF,MEAN,QUARTERLY_ROLL,2015/1F,45685,,,'')&lt;/Q&gt;&lt;R&gt;1&lt;/R&gt;&lt;C&gt;1&lt;/C&gt;&lt;D xsi:type="xsd:double"&gt;6849.033&lt;/D&gt;&lt;/FQL&gt;&lt;FQL&gt;&lt;Q&gt;Ticker0024^FE_ESTIMATE(CAPEX,MEAN,ANNUAL_ROLL,2030,45685,,,'')&lt;/Q&gt;&lt;R&gt;0&lt;/R&gt;&lt;C&gt;0&lt;/C&gt;&lt;/FQL&gt;&lt;FQL&gt;&lt;Q&gt;Ticker0024^FE_ESTIMATE(CAPEX,MEAN,QUARTERLY_ROLL,2030/4F,45685,,,'')&lt;/Q&gt;&lt;R&gt;0&lt;/R&gt;&lt;C&gt;0&lt;/C&gt;&lt;/FQL&gt;&lt;FQL&gt;&lt;Q&gt;Ticker0024^FE_ESTIMATE(CAPEX,MEAN,QUARTERLY_ROLL,2030/3F,45685,,,'')&lt;/Q&gt;&lt;R&gt;0&lt;/R&gt;&lt;C&gt;0&lt;/C&gt;&lt;/FQL&gt;&lt;FQL&gt;&lt;Q&gt;Ticker0024^FE_ESTIMATE(CAPEX,MEAN,QUARTERLY_ROLL,2030/2F,45685,,,'')&lt;/Q&gt;&lt;R&gt;0&lt;/R&gt;&lt;C&gt;0&lt;/C&gt;&lt;/FQL&gt;&lt;FQL&gt;&lt;Q&gt;Ticker0024^FE_ESTIMATE(CAPEX,MEAN,QUARTERLY_ROLL,2030/1F,45685,,,'')&lt;/Q&gt;&lt;R&gt;0&lt;/R&gt;&lt;C&gt;0&lt;/C&gt;&lt;/FQL&gt;&lt;FQL&gt;&lt;Q&gt;Ticker0024^FE_ESTIMATE(CAPEX,MEAN,ANNUAL_ROLL,2029,45685,,,'')&lt;/Q&gt;&lt;R&gt;0&lt;/R&gt;&lt;C&gt;0&lt;/C&gt;&lt;/FQL&gt;&lt;FQL&gt;&lt;Q&gt;Ticker0024^FE_ESTIMATE(CAPEX,MEAN,QUARTERLY_ROLL,2029/4F,45685,,,'')&lt;/Q&gt;&lt;R&gt;0&lt;/R&gt;&lt;C&gt;0&lt;/C&gt;&lt;/FQL&gt;&lt;FQL&gt;&lt;Q&gt;Ticker0024^FE_ESTIMATE(CAPEX,MEAN,QUARTERLY_ROLL,2029/3F,45685,,,'')&lt;/Q&gt;&lt;R&gt;0&lt;/R&gt;&lt;C&gt;0&lt;/C&gt;&lt;/FQL&gt;&lt;FQL&gt;&lt;Q&gt;Ticker0024^FE_ESTIMATE(CAPEX,MEAN,QUARTERLY_ROLL,2029/2F,45685,,,'')&lt;/Q&gt;&lt;R&gt;0&lt;/R&gt;&lt;C&gt;0&lt;/C&gt;&lt;/FQL&gt;&lt;FQL&gt;&lt;Q&gt;Ticker0024^FE_ESTIMATE(CAPEX,MEAN,QUARTERLY_ROLL,2029/1F,45685,,,'')&lt;/Q&gt;&lt;R&gt;0&lt;/R&gt;&lt;C&gt;0&lt;/C&gt;&lt;/FQL&gt;&lt;FQL&gt;&lt;Q&gt;Ticker0024^FE_ESTIMATE(CAPEX,MEAN,ANNUAL_ROLL,2028,45685,,,'')&lt;/Q&gt;&lt;R&gt;1&lt;/R&gt;&lt;C&gt;1&lt;/C&gt;&lt;D xsi:type="xsd:double"&gt;67362.55&lt;/D&gt;&lt;/FQL&gt;&lt;FQL&gt;&lt;Q&gt;Ticker0024^FE_ESTIMATE(CAPEX,MEAN,QUARTERLY_ROLL,2028/4F,45685,,,'')&lt;/Q&gt;&lt;R&gt;0&lt;/R&gt;&lt;C&gt;0&lt;/C&gt;&lt;/FQL&gt;&lt;FQL&gt;&lt;Q&gt;Ticker0024^FE_ESTIMATE(CAPEX,MEAN,QUARTERLY_ROLL,2028/3F,45685,,,'')&lt;/Q&gt;&lt;R&gt;0&lt;/R&gt;&lt;C&gt;0&lt;/C&gt;&lt;/FQL&gt;&lt;FQL&gt;&lt;Q&gt;Ticker0024^FE_ESTIMATE(CAPEX,MEAN,QUARTERLY_ROLL,2028/2F,45685,,,'')&lt;/Q&gt;&lt;R&gt;0&lt;/R&gt;&lt;C&gt;0&lt;/C&gt;&lt;/FQL&gt;&lt;FQL&gt;&lt;Q&gt;Ticker0024^FE_ESTIMATE(CAPEX,MEAN,QUARTERLY_ROLL,2028/1F,45685,,,'')&lt;/Q&gt;&lt;R&gt;0&lt;/R&gt;&lt;C&gt;0&lt;/C&gt;&lt;/FQL&gt;&lt;FQL&gt;&lt;Q&gt;Ticker0024^FE_ESTIMATE(CAPEX,MEAN,ANNUAL_ROLL,2027,45685,,,'')&lt;/Q&gt;&lt;R&gt;1&lt;/R&gt;&lt;C&gt;1&lt;/C&gt;&lt;D xsi:type="xsd:double"&gt;71926.97&lt;/D&gt;&lt;/FQL&gt;&lt;FQL&gt;&lt;Q&gt;Ticker0024^FE_ESTIMATE(CAPEX,MEAN,QUARTERLY_ROLL,2027/4F,45685,,,'')&lt;/Q&gt;&lt;R&gt;1&lt;/R&gt;&lt;C&gt;1&lt;/C&gt;&lt;D xsi:type="xsd:double"&gt;20657.201&lt;/D&gt;&lt;/FQL&gt;&lt;FQL&gt;&lt;Q&gt;Ticker0024^FE_ESTIMATE(CAPEX,MEAN,QUARTERLY_ROLL,2027/3F,45685,,,'')&lt;/Q&gt;&lt;R&gt;1&lt;/R&gt;&lt;C&gt;1&lt;/C&gt;&lt;D xsi:type="xsd:double"&gt;20025.482&lt;/D&gt;&lt;/FQL&gt;&lt;FQL&gt;&lt;Q&gt;Ticker0024^FE_ESTIMATE(CAPEX,MEAN,QUARTERLY_ROLL,2027/2F,45685,,,'')&lt;/Q&gt;&lt;R&gt;1&lt;/R&gt;&lt;C&gt;1&lt;/C&gt;&lt;D xsi:type="xsd:double"&gt;19767.313&lt;/D&gt;&lt;/FQL&gt;&lt;FQL&gt;&lt;Q&gt;Ticker0024^FE_ESTIMATE(CAPEX,MEAN,QUARTERLY_ROLL,2027/1F,45685,,,'')&lt;/Q&gt;&lt;R&gt;1&lt;/R&gt;&lt;C&gt;1&lt;/C&gt;&lt;D xsi:type="xsd:double"&gt;18791.121&lt;/D&gt;&lt;/FQL&gt;&lt;FQL&gt;&lt;Q&gt;Ticker0024^FE_ESTIMATE(CAPEX,MEAN,ANNUAL_ROLL,2026,45685,,,'')&lt;/Q&gt;&lt;R&gt;1&lt;/R&gt;&lt;C&gt;1&lt;/C&gt;&lt;D xsi:type="xsd:double"&gt;68714.46&lt;/D&gt;&lt;/FQL&gt;&lt;FQL&gt;&lt;Q&gt;Ticker0024^FE_ESTIMATE(CAPEX,MEAN,QUARTERLY_ROLL,2026/4F,45685,,,'')&lt;/Q&gt;&lt;R&gt;1&lt;/R&gt;&lt;C&gt;1&lt;/C&gt;&lt;D xsi:type="xsd:double"&gt;17312.361&lt;/D&gt;&lt;/FQL&gt;&lt;FQL&gt;&lt;Q&gt;Ticker0024^FE_ESTIMATE(CAPEX,MEAN,QUARTERLY_ROLL,2026/3F,45685,,,'')&lt;/Q&gt;&lt;R&gt;1&lt;/R&gt;&lt;C&gt;1&lt;/C&gt;&lt;D xsi:type="xsd:double"&gt;16767.123&lt;/D&gt;&lt;/FQL&gt;&lt;FQL&gt;&lt;Q&gt;Ticker0024^FE_ESTIMATE(CAPEX,MEAN,QUARTERLY_ROLL,2026/2F,45685,,,'')&lt;/Q&gt;&lt;R&gt;1&lt;/R&gt;&lt;C&gt;1&lt;/C&gt;&lt;D xsi:type="xsd:double"&gt;16750.334&lt;/D&gt;&lt;/FQL&gt;&lt;FQL&gt;&lt;Q&gt;Ticker0024^FE_ESTIMATE(CAPEX,MEAN,QUARTERLY_ROLL,2026/1F,45685,,,'')&lt;/Q&gt;&lt;R&gt;1&lt;/R&gt;&lt;C&gt;1&lt;/C&gt;&lt;D xsi:type="xsd:double"&gt;16392.19&lt;/D&gt;&lt;/FQL&gt;&lt;FQL&gt;&lt;Q&gt;Ticker0024^FE_ESTIMATE(CAPEX,MEAN,ANNUAL_ROLL,2025,45685,,,'')&lt;/Q&gt;&lt;R&gt;1&lt;/R&gt;&lt;C&gt;1&lt;/C&gt;&lt;D xsi:type="xsd:double"&gt;62753.887&lt;/D&gt;&lt;/FQL&gt;&lt;FQL&gt;&lt;Q&gt;Ticker0024^FE_ESTIMATE(CAPEX,MEAN,QUARTERLY_ROLL,2025/4F,45685,,,'')&lt;/Q&gt;&lt;R&gt;1&lt;/R&gt;&lt;C&gt;1&lt;/C&gt;&lt;D xsi:type="xsd:double"&gt;16203.85&lt;/D&gt;&lt;/FQL&gt;&lt;FQL&gt;&lt;Q&gt;Ticker0024^FE_ESTIMATE(CAPEX,MEAN,QUARTERLY_ROLL,2025/3F,45685,,,'')&lt;/Q&gt;&lt;R&gt;1&lt;/R&gt;&lt;C&gt;1&lt;/C&gt;&lt;D xsi:type="xsd:double"&gt;15527.678&lt;/D&gt;&lt;/FQL&gt;&lt;FQL&gt;&lt;Q&gt;Ticker0024^FE_ESTIMATE(CAPEX,MEAN,QUARTERLY_ROLL,2025/2F,45685,,,'')&lt;/Q&gt;&lt;R&gt;1&lt;/R&gt;&lt;C&gt;1&lt;/C&gt;&lt;D xsi:type="xsd:double"&gt;15562.421&lt;/D&gt;&lt;/FQL&gt;&lt;FQL&gt;&lt;Q&gt;Ticker0024^FE_ESTIMATE(CAPEX,MEAN,QUARTERLY_ROLL,2025/1F,45685,,,'')&lt;/Q&gt;&lt;R&gt;1&lt;/R&gt;&lt;C&gt;1&lt;/C&gt;&lt;D xsi:type="xsd:double"&gt;14922.786&lt;/D&gt;&lt;/FQL&gt;&lt;FQL&gt;&lt;Q&gt;Ticker0024^FE_ESTIMATE(CAPEX,MEAN,ANNUAL_ROLL,2024,45685,,,'')&lt;/Q&gt;&lt;R&gt;1&lt;/R&gt;&lt;C&gt;1&lt;/C&gt;&lt;D xsi:type="xsd:double"&gt;44477.12&lt;/D&gt;&lt;/FQL&gt;&lt;FQL&gt;&lt;Q&gt;Ticker0024^FE_ESTIMATE(CAPEX,MEAN,QUARTERLY_ROLL,2024/4F,45685,,,'')&lt;/Q&gt;&lt;R&gt;1&lt;/R&gt;&lt;C&gt;1&lt;/C&gt;&lt;D xsi:type="xsd:double"&gt;13874.714&lt;/D&gt;&lt;/FQL&gt;&lt;FQL&gt;&lt;Q&gt;Ticker0024^FE_ESTIMATE(CAPEX,MEAN,QUARTERLY_ROLL,2024/3F,45685,,,'')&lt;/Q&gt;&lt;R&gt;1&lt;/R&gt;&lt;C&gt;1&lt;/C&gt;&lt;D xsi:type="xsd:double"&gt;10951.875&lt;/D&gt;&lt;/FQL&gt;&lt;FQL&gt;&lt;Q&gt;Ticker0024^FE_ESTIMATE(CAPEX,MEAN,QUARTERLY_ROLL,2024/2F,45685,,,'')&lt;/Q&gt;&lt;R&gt;1&lt;/R&gt;&lt;C&gt;1&lt;/C&gt;&lt;D xsi:type="xsd:double"&gt;10013.947&lt;/D&gt;&lt;/FQL&gt;&lt;FQL&gt;&lt;Q&gt;Ticker0024^FE_ESTIMATE(CAPEX,MEAN,QUARTERLY_ROLL,2024/1F,45685,,,'')&lt;/Q&gt;&lt;R&gt;1&lt;/R&gt;&lt;C&gt;1&lt;/C&gt;&lt;D xsi:type="xsd:double"&gt;10002.733&lt;/D&gt;&lt;/FQL&gt;&lt;FQL&gt;&lt;Q&gt;Ticker0024^FE_ESTIMATE(CAPEX,MEAN,ANNUAL_ROLL,2023,45685,,,'')&lt;/Q&gt;&lt;R&gt;1&lt;/R&gt;&lt;C&gt;1&lt;/C&gt;&lt;D xsi:type="xsd:double"&gt;28107.125&lt;/D&gt;&lt;/FQL&gt;&lt;FQL&gt;&lt;Q&gt;Ticker0024^FE_ESTIMATE(CAPEX,MEAN,QUARTERLY_ROLL,2023/4F,45685,,,'')&lt;/Q&gt;&lt;R&gt;1&lt;/R&gt;&lt;C&gt;1&lt;/C&gt;&lt;D xsi:type="xsd:double"&gt;8942.77&lt;/D&gt;&lt;/FQL&gt;&lt;FQL&gt;&lt;Q&gt;Ticker0024^FE_ESTIMATE(CAPEX,MEAN,QUARTERLY_ROLL,2023/3F,45685,,,'')&lt;/Q&gt;&lt;R&gt;1&lt;/R&gt;&lt;C&gt;1&lt;/C&gt;&lt;D xsi:type="xsd:double"&gt;6607.25&lt;/D&gt;&lt;/FQL&gt;&lt;FQL&gt;&lt;Q&gt;Ticker0024^FE_ESTIMATE(CAPEX,MEAN,QUARTERLY_ROLL,2023/2F,45685,,,'')&lt;/Q&gt;&lt;R&gt;1&lt;/R&gt;&lt;C&gt;1&lt;/C&gt;&lt;D xsi:type="xsd:double"&gt;6273.636&lt;/D&gt;&lt;/FQL&gt;&lt;FQL&gt;&lt;Q&gt;Ticker0024^FE_ESTIMATE(CAPEX,MEAN,QUARTERLY_ROLL,2023/1F,45685,,,'')&lt;/Q&gt;&lt;R&gt;1&lt;/R&gt;&lt;C&gt;1&lt;/C&gt;&lt;D xsi:type="xsd:double"&gt;6283&lt;/D&gt;&lt;/FQL&gt;&lt;FQL&gt;&lt;Q&gt;Ticker0024^FE_ESTIMATE(CAPEX,MEAN,ANNUAL_ROLL,2022,45685,,,'')&lt;/Q&gt;&lt;R&gt;1&lt;/R&gt;&lt;C&gt;1&lt;/C&gt;&lt;D xsi:type="xsd:double"&gt;24090.385&lt;/D&gt;&lt;/FQL&gt;&lt;FQL&gt;&lt;Q&gt;Ticker0024^FE_ESTIMATE(CAPEX,MEAN,QUARTERLY_ROLL,2022/4F,45685,,,'')&lt;/Q&gt;&lt;R&gt;1&lt;/R&gt;&lt;C&gt;1&lt;/C&gt;&lt;D xsi:type="xsd:double"&gt;7023.4165&lt;/D&gt;&lt;/FQL&gt;&lt;FQL&gt;&lt;Q&gt;Ticker0024^FE_ESTIMATE(CAPEX,MEAN,QUARTERLY_ROLL,2022/3F,45685,,,'')&lt;/Q&gt;&lt;R&gt;1&lt;/R&gt;&lt;C&gt;1&lt;/C&gt;&lt;D xsi:type="xsd:double"&gt;5436&lt;/D&gt;&lt;/FQL&gt;&lt;FQL&gt;&lt;Q&gt;Ticker0024^FE_ESTIMATE(CAPEX,MEAN,QUARTERLY_ROLL,2022/2F,45685,,,'')&lt;/Q&gt;&lt;R&gt;1&lt;/R&gt;&lt;C&gt;1&lt;/C&gt;&lt;D xsi:type="xsd:double"&gt;5958.5&lt;/D&gt;&lt;/FQL&gt;&lt;FQL&gt;&lt;Q&gt;Ticker0024^FE_ESTIMATE(CAPEX,MEAN,QUARTERLY_ROLL,2022/1F,45685,,,'')&lt;/Q&gt;&lt;R&gt;1&lt;/R&gt;&lt;C&gt;1&lt;/C&gt;&lt;D xsi:type="xsd:double"&gt;5954.5454&lt;/D&gt;&lt;/FQL&gt;&lt;FQL&gt;&lt;Q&gt;Ticker0024^FE_ESTIMATE(CAPEX,MEAN,ANNUAL_ROLL,2021,45685,,,'')&lt;/Q&gt;&lt;R&gt;1&lt;/R&gt;&lt;C&gt;1&lt;/C&gt;&lt;D xsi:type="xsd:double"&gt;20901.076&lt;/D&gt;&lt;/FQL&gt;&lt;FQL&gt;&lt;Q&gt;Ticker0024^FE_ESTIMATE(CAPEX,MEAN,QUARTERLY_ROLL,2021/4F,45685,,,'')&lt;/Q&gt;&lt;R&gt;1&lt;/R&gt;&lt;C&gt;1&lt;/C&gt;&lt;D xsi:type="xsd:double"&gt;6558&lt;/D&gt;&lt;/FQL&gt;&lt;FQL&gt;&lt;Q&gt;Ticker0024^FE_ESTIMATE(CAPEX,MEAN,QUARTERLY_ROLL,2021/3F,45685,,,'')&lt;/Q&gt;&lt;R&gt;1&lt;/R&gt;&lt;C&gt;1&lt;/C&gt;&lt;D xsi:type="xsd:double"&gt;5190.222&lt;/D&gt;&lt;/FQL&gt;&lt;FQL&gt;&lt;Q&gt;Ticker0024^FE_ESTIMATE(CAPEX,MEAN,QUARTERLY_ROLL,2021/2F,45685,,,'')&lt;/Q&gt;&lt;R&gt;1&lt;/R&gt;&lt;C&gt;1&lt;/C&gt;&lt;D xsi:type="xsd:double"&gt;4310.222&lt;/D&gt;&lt;/FQL&gt;&lt;FQL&gt;&lt;Q&gt;Ticker0024^FE_ESTIMATE(CAPEX,MEAN,QUARTERLY_ROLL,2021/1F,45685,,,'')&lt;/Q&gt;&lt;R&gt;1&lt;/R&gt;&lt;C&gt;1&lt;/C&gt;&lt;D xsi:type="xsd:double"&gt;4951.2&lt;/D&gt;&lt;/FQL&gt;&lt;FQL&gt;&lt;Q&gt;Ticker0024^FE_ESTIMATE(CAPEX,MEAN,ANNUAL_ROLL,2020,45685,,,'')&lt;/Q&gt;&lt;R&gt;1&lt;/R&gt;&lt;C&gt;1&lt;/C&gt;&lt;D xsi:type="xsd:double"&gt;15737.583&lt;/D&gt;&lt;/FQL&gt;&lt;FQL&gt;&lt;Q&gt;Ticker0024^FE_ESTIMATE(CAPEX,MEAN,QUARTERLY_ROLL,2020/4F,45685,,,'')&lt;/Q&gt;&lt;R&gt;1&lt;/R&gt;&lt;C&gt;1&lt;/C&gt;&lt;D xsi:type="xsd:double"&gt;4876&lt;/D&gt;&lt;/FQL&gt;&lt;FQL&gt;&lt;Q&gt;Ticker0024^FE_ESTIMATE(CAPEX,MEAN,QUARTERLY_ROLL,2020/3F,45685,,,'')&lt;/Q&gt;&lt;R&gt;1&lt;/R&gt;&lt;C&gt;1&lt;/C&gt;&lt;D xsi:type="xsd:double"&gt;3781.7778&lt;/D&gt;&lt;/FQL&gt;&lt;FQL&gt;&lt;Q&gt;Ticker0024^FE_ESTIMATE(CAPEX,MEAN,QUARTERLY_ROLL,2020/2F,45685,,,'')&lt;/Q&gt;&lt;R&gt;1&lt;/R&gt;&lt;C&gt;1&lt;/C&gt;&lt;D xsi:type="xsd:double"&gt;3640.5&lt;/D&gt;&lt;/FQL&gt;&lt;FQL&gt;&lt;Q&gt;Ticker0024^FE_ESTIMATE(CAPEX,MEAN,QUARTERLY_ROLL,2020/1F,45685,,,'')&lt;/Q&gt;&lt;R&gt;1&lt;/R&gt;&lt;C&gt;1&lt;/C&gt;&lt;D xsi:type="xsd:double"&gt;3526.5&lt;/D&gt;&lt;/FQL&gt;&lt;FQL&gt;&lt;Q&gt;Ticker0024^FE_ESTIMATE(CAPEX,MEAN,ANNUAL_ROLL,2019,45685,,,'')&lt;/Q&gt;&lt;R&gt;1&lt;/R&gt;&lt;C&gt;1&lt;/C&gt;&lt;D xsi:type="xsd:double"&gt;14123.333&lt;/D&gt;&lt;/FQL&gt;&lt;FQL&gt;&lt;Q&gt;Ticker0024^FE_ESTIMATE(CAPEX,MEAN,QUARTERLY_ROLL,2019/4F,45685,,,'')&lt;/Q&gt;&lt;R&gt;1&lt;/R&gt;&lt;C&gt;1&lt;/C&gt;&lt;D xsi:type="xsd:double"&gt;4300.8&lt;/D&gt;&lt;/FQL&gt;&lt;FQL&gt;&lt;Q&gt;Ticker0024^FE_ESTIMATE(CAPEX,MEAN,QUARTERLY_ROLL,2019/3F,45685,,,'')&lt;/Q&gt;&lt;R&gt;1&lt;/R&gt;&lt;C&gt;1&lt;/C&gt;&lt;D xsi:type="xsd:double"&gt;2648.5&lt;/D&gt;&lt;/FQL&gt;&lt;FQL&gt;&lt;Q&gt;Ticker0024^FE_ESTIMATE(CAPEX,MEAN,QUARTERLY_ROLL,2019/2F,45685,,,'')&lt;/Q&gt;&lt;R&gt;1&lt;/R&gt;&lt;C&gt;1&lt;/C&gt;&lt;D xsi:type="xsd:double"&gt;3736.6924&lt;/D&gt;&lt;/FQL&gt;&lt;FQL&gt;&lt;Q&gt;Ticker0024^FE_ESTIMATE(CAPEX,MEAN,QUARTERLY_ROLL,2019/1F,45685,,,'')&lt;/Q&gt;&lt;R&gt;1&lt;/R&gt;&lt;C&gt;1&lt;/C&gt;&lt;D xsi:type="xsd:double"&gt;3728.9092&lt;/D&gt;&lt;/FQL&gt;&lt;FQL&gt;&lt;Q&gt;Ticker0024^FE_ESTIMATE(CAPEX,MEAN,ANNUAL_ROLL,2018,45685,,,'')&lt;/Q&gt;&lt;R&gt;1&lt;/R&gt;&lt;C&gt;1&lt;/C&gt;&lt;D xsi:type="xsd:double"&gt;11958.8&lt;/D&gt;&lt;/FQL&gt;&lt;FQL&gt;&lt;Q&gt;Ticker0024^FE_ESTIMATE(CAPEX,MEAN,QUARTERLY_ROLL,2018/4F,45685,,,'')&lt;/Q&gt;&lt;R&gt;1&lt;/R&gt;&lt;C&gt;1&lt;/C&gt;&lt;D xsi:type="xsd:double"&gt;3993.3333&lt;/D&gt;&lt;/FQL&gt;&lt;FQL&gt;&lt;Q&gt;Ticker0024^FE_ESTIMATE(CAPEX,MEAN,QUARTERLY_ROLL,2018/3F,45685,,,'')&lt;/Q&gt;&lt;R&gt;1&lt;/R&gt;&lt;C&gt;1&lt;/C&gt;&lt;D xsi:type="xsd:double"&gt;2934&lt;/D&gt;&lt;/FQL&gt;&lt;FQL&gt;&lt;Q&gt;Ticker0024^FE_ESTIMATE(CAPEX,MEAN,QUARTERLY_ROLL,2018/2F,45685,,,'')&lt;/Q&gt;&lt;R&gt;1&lt;/R&gt;&lt;C&gt;1&lt;/C&gt;&lt;D xsi:type="xsd:double"&gt;2650.9092&lt;/D&gt;&lt;/FQL&gt;&lt;FQL&gt;&lt;Q&gt;Ticker0024^FE_ESTIMATE(CAPEX,MEAN,QUARTERLY_ROLL,2018/1F,45685,,,'')&lt;/Q&gt;&lt;R&gt;1&lt;/R&gt;&lt;C&gt;1&lt;/C&gt;&lt;D xsi:type="xsd:double"&gt;2132&lt;/D&gt;&lt;/FQL&gt;&lt;FQL&gt;&lt;Q&gt;Ticker0024^FE_ESTIMATE(CAPEX,MEAN,ANNUAL_ROLL,2017,45685,,,'')&lt;/Q&gt;&lt;R&gt;1&lt;/R&gt;&lt;C&gt;1&lt;/C&gt;&lt;D xsi:type="xsd:double"&gt;8129&lt;/D&gt;&lt;/FQL&gt;&lt;FQL&gt;&lt;Q&gt;Ticker0024^FE_ESTIMATE(CAPEX,MEAN,QUARTERLY_ROLL,2017/4F,45685,,,'')&lt;/Q&gt;&lt;R&gt;1&lt;/R&gt;&lt;C&gt;1&lt;/C&gt;&lt;D xsi:type="xsd:double"&gt;2283&lt;/D&gt;&lt;/FQL&gt;&lt;FQL&gt;&lt;Q&gt;Ticker0024^FE_ESTIMATE(CAPEX,MEAN,QUARTERLY_ROLL,2017/3F,45685,,,'')&lt;/Q&gt;&lt;R&gt;1&lt;/R&gt;&lt;C&gt;1&lt;/C&gt;&lt;D xsi:type="xsd:double"&gt;1767.909&lt;/D&gt;&lt;/FQL&gt;&lt;FQL&gt;&lt;Q&gt;Ticker0024^FE_ESTIMATE(CAPEX,MEAN,QUARTERLY_ROLL,2017/2F,45685,,,'')&lt;/Q&gt;&lt;R&gt;1&lt;/R&gt;&lt;C&gt;1&lt;/C&gt;&lt;D xsi:type="xsd:double"&gt;1988&lt;/D&gt;&lt;/FQL&gt;&lt;FQL&gt;&lt;Q&gt;Ticker0024^FE_ESTIMATE(CAPEX,MEAN,QUARTERLY_ROLL,2017/1F,45685,,,'')&lt;/Q&gt;&lt;R&gt;1&lt;/R&gt;&lt;C&gt;1&lt;/C&gt;&lt;D xsi:type="xsd:double"&gt;2163&lt;/D&gt;&lt;/FQL&gt;&lt;FQL&gt;&lt;Q&gt;Ticker0024^FE_ESTIMATE(CAPEX,MEAN,ANNUAL_ROLL,2016,45685,,,'')&lt;/Q&gt;&lt;R&gt;1&lt;/R&gt;&lt;C&gt;1&lt;/C&gt;&lt;D xsi:type="xsd:double"&gt;8343&lt;/D&gt;&lt;/FQL&gt;&lt;FQL&gt;&lt;Q&gt;Ticker0024^FE_ESTIMATE(CAPEX,MEAN,QUARTERLY_ROLL,2016/4F,45685,,,'')&lt;/Q&gt;&lt;R&gt;1&lt;/R&gt;&lt;C&gt;1&lt;/C&gt;&lt;D xsi:type="xsd:double"&gt;2655&lt;/D&gt;&lt;/FQL&gt;&lt;FQL&gt;&lt;Q&gt;Ticker0024^FE_ESTIMATE(CAPEX,MEAN,QUARTERLY_ROLL,2016/3F,45685,,,'')&lt;/Q&gt;&lt;R&gt;1&lt;/R&gt;&lt;C&gt;1&lt;/C&gt;&lt;D xsi:type="xsd:double"&gt;2308&lt;/D&gt;&lt;/FQL&gt;&lt;FQL&gt;&lt;Q&gt;Ticker0024^FE_ESTIMATE(CAPEX,MEAN,QUARTERLY_ROLL,2016/2F,45685,,,'')&lt;/Q&gt;&lt;R&gt;1&lt;/R&gt;&lt;C&gt;1&lt;/C&gt;&lt;D xsi:type="xsd:double"&gt;2024&lt;/D&gt;&lt;/FQL&gt;&lt;FQL&gt;&lt;Q&gt;Ticker0024^FE_ESTIMATE(CAPEX,MEAN,QUARTERLY_ROLL,2016/1F,45685,,,'')&lt;/Q&gt;&lt;R&gt;1&lt;/R&gt;&lt;C&gt;1&lt;/C&gt;&lt;D xsi:type="xsd:double"&gt;1356&lt;/D&gt;&lt;/FQL&gt;&lt;FQL&gt;&lt;Q&gt;Ticker0024^FE_ESTIMATE(CAPEX,MEAN,ANNUAL_ROLL,2015,45685,,,'')&lt;/Q&gt;&lt;R&gt;1&lt;/R&gt;&lt;C&gt;1&lt;/C&gt;&lt;D xsi:type="xsd:double"&gt;5944&lt;/D&gt;&lt;/FQL&gt;&lt;FQL&gt;&lt;Q&gt;Ticker0024^FE_ESTIMATE(CAPEX,MEAN,QUARTERLY_ROLL,2015/4F,45685,,,'')&lt;/Q&gt;&lt;R&gt;1&lt;/R&gt;&lt;C&gt;1&lt;/C&gt;&lt;D xsi:type="xsd:double"&gt;1781&lt;/D&gt;&lt;/FQL&gt;&lt;FQL&gt;&lt;Q&gt;Ticker0024^FE_ESTIMATE(CAPEX,MEAN,QUARTERLY_ROLL,2015/3F,45685,,,'')&lt;/Q&gt;&lt;R&gt;1&lt;/R&gt;&lt;C&gt;1&lt;/C&gt;&lt;D xsi:type="xsd:double"&gt;1391&lt;/D&gt;&lt;/FQL&gt;&lt;FQL&gt;&lt;Q&gt;Ticker0024^FE_ESTIMATE(CAPEX,MEAN,QUARTERLY_ROLL,2015/2F,45685,,,'')&lt;/Q&gt;&lt;R&gt;1&lt;/R&gt;&lt;C&gt;1&lt;/C&gt;&lt;D xsi:type="xsd:double"&gt;1490&lt;/D&gt;&lt;/FQL&gt;&lt;FQL&gt;&lt;Q&gt;Ticker0024^FE_ESTIMATE(CAPEX,MEAN,QUARTERLY_ROLL,2015/1F,45685,,,'')&lt;/Q&gt;&lt;R&gt;1&lt;/R&gt;&lt;C&gt;1&lt;/C&gt;&lt;D xsi:type="xsd:double"&gt;1282&lt;/D&gt;&lt;/FQL&gt;&lt;FQL&gt;&lt;Q&gt;Ticker0024^FE_ESTIMATE(CFO,MEAN,ANNUAL_ROLL,2030,45685,,,'')&lt;/Q&gt;&lt;R&gt;0&lt;/R&gt;&lt;C&gt;0&lt;/C&gt;&lt;/FQL&gt;&lt;FQL&gt;&lt;Q&gt;Ticker0024^FE_ESTIMATE(CFO,MEAN,QUARTERLY_ROLL,2030/4F,45685,,,'')&lt;/Q&gt;&lt;R&gt;0&lt;/R&gt;&lt;C&gt;0&lt;/C&gt;&lt;/FQL&gt;&lt;FQL&gt;&lt;Q&gt;Ticker0024^FE_ESTIMATE(CFO,MEAN,QUARTERLY_ROLL,2030/3F,45685,,,'')&lt;/Q&gt;&lt;R&gt;0&lt;/R&gt;&lt;C&gt;0&lt;/C&gt;&lt;/FQL&gt;&lt;FQL&gt;&lt;Q&gt;Ticker0024^FE_ESTIMATE(CFO,MEAN,QUARTERLY_ROLL,2030/2F,45685,,,'')&lt;/Q&gt;&lt;R&gt;0&lt;/R&gt;&lt;C&gt;0&lt;/C&gt;&lt;/FQL&gt;&lt;FQL&gt;&lt;Q&gt;Ticker0024^FE_ESTIMATE(CFO,MEAN,QUARTERLY_ROLL,2030/1F,45685,,,'')&lt;/Q&gt;&lt;R&gt;0&lt;/R&gt;&lt;C&gt;0&lt;/C&gt;&lt;/FQL&gt;&lt;FQL&gt;&lt;Q&gt;Ticker0024^FE_ESTIMATE(CFO,MEAN,ANNUAL_ROLL,2029,45685,,,'')&lt;/Q&gt;&lt;R&gt;0&lt;/R&gt;&lt;C&gt;0&lt;/C&gt;&lt;/FQL&gt;&lt;FQL&gt;&lt;Q&gt;Ticker0024^FE_ESTIMATE(CFO,MEAN,QUARTERLY_ROLL,2029/4F,45685,,,'')&lt;/Q&gt;&lt;R&gt;0&lt;/R&gt;&lt;C&gt;0&lt;/C&gt;&lt;/FQL&gt;&lt;FQL&gt;&lt;Q&gt;Ticker0024^FE_ESTIMATE(CFO,MEAN,QUARTERLY_ROLL,2029/3F,45685,,,'')&lt;/Q&gt;&lt;R&gt;0&lt;/R&gt;&lt;C&gt;0&lt;/C&gt;&lt;/FQL&gt;&lt;FQL&gt;&lt;Q&gt;Ticker0024^FE_ESTIMATE(CFO,MEAN,QUARTERLY_ROLL,2029/2F,45685,,,'')&lt;/Q&gt;&lt;R&gt;0&lt;/R&gt;&lt;C&gt;0&lt;/C&gt;&lt;/FQL&gt;&lt;FQL&gt;&lt;Q&gt;Ticker0024^FE_ESTIMATE(CFO,MEAN,QUARTERLY_ROLL,2029/1F,45685,,,'')&lt;/Q&gt;&lt;R&gt;0&lt;/R&gt;&lt;C&gt;0&lt;/C&gt;&lt;/FQL&gt;&lt;FQL&gt;&lt;Q&gt;Ticker0024^FE_ESTIMATE(CFO,MEAN,ANNUAL_ROLL,2028,45685,,,'')&lt;/Q&gt;&lt;R&gt;1&lt;/R&gt;&lt;C&gt;1&lt;/C&gt;&lt;D xsi:type="xsd:double"&gt;238034&lt;/D&gt;&lt;/FQL&gt;&lt;FQL&gt;&lt;Q&gt;Ticker0024^FE_ESTIMATE(CFO,MEAN,QUARTERLY_ROLL,2028/4F,45685,,,'')&lt;/Q&gt;&lt;R&gt;0&lt;/R&gt;&lt;C&gt;0&lt;/C&gt;&lt;/FQL&gt;&lt;FQL&gt;&lt;Q&gt;Ticker0024^FE_ESTIMATE(CFO,MEAN,QUARTERLY_ROLL,2028/3F,45685,,,'')&lt;/Q&gt;&lt;R&gt;0&lt;/R&gt;&lt;C&gt;0&lt;/C&gt;&lt;/FQL&gt;&lt;FQL&gt;&lt;Q&gt;Ticker0024^FE_ESTIMATE(CFO,MEAN,QUARTERLY_ROLL,2028/2F,45685,,,'')&lt;/Q&gt;&lt;R&gt;0&lt;/R&gt;&lt;C&gt;0&lt;/C&gt;&lt;/FQL&gt;&lt;FQL&gt;&lt;Q&gt;Ticker0024^FE_ESTIMATE(CFO,MEAN,QUARTERLY_ROLL,2028/1F,45685,,,'')&lt;/Q&gt;&lt;R&gt;0&lt;/R&gt;&lt;C&gt;0&lt;/C&gt;&lt;/FQL&gt;&lt;FQL&gt;&lt;Q&gt;Ticker0024^FE_ESTIMATE(CFO,MEAN,ANNUAL_ROLL,2027,45685,,,'')&lt;/Q&gt;&lt;R&gt;1&lt;/R&gt;&lt;C&gt;1&lt;/C&gt;&lt;D xsi:type="xsd:double"&gt;170081.94&lt;/D&gt;&lt;/FQL&gt;&lt;FQL&gt;&lt;Q&gt;Ticker0024^FE_ESTIMATE(CFO,MEAN,QUARTERLY_ROLL,2027/4F,45685,,,'')&lt;/Q&gt;&lt;R&gt;0&lt;/R&gt;&lt;C&gt;0&lt;/C&gt;&lt;/FQL&gt;&lt;FQL&gt;&lt;Q&gt;Ticker0024^FE_ESTIMATE(CFO,MEAN,QUARTERLY_ROLL,2027/3F,45685,,,'')&lt;/Q&gt;&lt;R&gt;0&lt;/R&gt;&lt;C&gt;0&lt;/C&gt;&lt;/FQL&gt;&lt;FQL&gt;&lt;Q&gt;Ticker0024^FE_ESTIMATE(CFO,MEAN,QUARTERLY_ROLL,2027/2F,45685,,,'')&lt;/Q&gt;&lt;R&gt;0&lt;/R&gt;&lt;C&gt;0&lt;/C&gt;&lt;/FQL&gt;&lt;FQL&gt;&lt;Q&gt;Ticker0024^FE_ESTIMATE(CFO,MEAN,QUARTERLY_ROLL,2027/1F,45685,,,'')&lt;/Q&gt;&lt;R&gt;0&lt;/R&gt;&lt;C&gt;0&lt;/C&gt;&lt;/FQL&gt;&lt;FQL&gt;&lt;Q&gt;Ticker0024^FE_ESTIMATE(CFO,MEAN,ANNUAL_ROLL,2026,45685,,,'')&lt;/Q&gt;&lt;R&gt;1&lt;/R&gt;&lt;C&gt;1&lt;/C&gt;&lt;D xsi:type="xsd:double"&gt;151312.4&lt;/D&gt;&lt;/FQL&gt;&lt;FQL&gt;&lt;Q&gt;Ticker0024^FE_ESTIMATE(CFO,MEAN,QUARTERLY_ROLL,2026/4F,45685,,,'')&lt;/Q&gt;&lt;R&gt;1&lt;/R&gt;&lt;C&gt;1&lt;/C&gt;&lt;D xsi:type="xsd:double"&gt;43843.6&lt;/D&gt;&lt;/FQL&gt;&lt;FQL&gt;&lt;Q&gt;Ticker0024^FE_ESTIMATE(CFO,MEAN,QUARTERLY_ROLL,2026/3F,45685,,,'')&lt;/Q&gt;&lt;R&gt;1&lt;/R&gt;&lt;C&gt;1&lt;/C&gt;&lt;D xsi:type="xsd:double"&gt;37528.4&lt;/D&gt;&lt;/FQL&gt;&lt;FQL&gt;&lt;Q&gt;Ticker0024^FE_ESTIMATE(CFO,MEAN,QUARTERLY_ROLL,2026/2F,45685,,,'')&lt;/Q&gt;&lt;R&gt;1&lt;/R&gt;&lt;C&gt;1&lt;/C&gt;&lt;D xsi:type="xsd:double"&gt;27662.686&lt;/D&gt;&lt;/FQL&gt;&lt;FQL&gt;&lt;Q&gt;Ticker0024^FE_ESTIMATE(CFO,MEAN,QUARTERLY_ROLL,2026/1F,45685,,,'')&lt;/Q&gt;&lt;R&gt;1&lt;/R&gt;&lt;C&gt;1&lt;/C&gt;&lt;D xsi:type="xsd:double"&gt;40317.26&lt;/D&gt;&lt;/FQL&gt;&lt;FQL&gt;&lt;Q&gt;Ticker0024^FE_ESTIMATE(CFO,MEAN,ANNUAL_ROLL,2025,45685,,,'')&lt;/Q&gt;&lt;R&gt;1&lt;/R&gt;&lt;C&gt;1&lt;/C&gt;&lt;D xsi:type="xsd:double"&gt;131119.73&lt;/D&gt;&lt;/FQL&gt;&lt;FQL&gt;&lt;Q&gt;Ticker0024^FE_ESTIMATE(CFO,MEAN,QUARTERLY_ROLL,2025/4F,45685,,,'')&lt;/Q&gt;&lt;R&gt;1&lt;/R&gt;&lt;C&gt;1&lt;/C&gt;&lt;D xsi:type="xsd:double"&gt;39555.133&lt;/D&gt;&lt;/FQL&gt;&lt;FQL&gt;&lt;Q&gt;Ticker0024^FE_ESTIMATE(CFO,MEAN,QUARTERLY_ROLL,2025/3F,45685,,,'')&lt;/Q&gt;&lt;R&gt;1&lt;/R&gt;&lt;C&gt;1&lt;/C&gt;&lt;D xsi:type="xsd:double"&gt;33557.15&lt;/D&gt;&lt;/FQL&gt;&lt;FQL&gt;&lt;Q&gt;Ticker0024^FE_ESTIMATE(CFO,MEAN,QUARTERLY_ROLL,2025/2F,45685,,,'')&lt;/Q&gt;&lt;R&gt;1&lt;/R&gt;&lt;C&gt;1&lt;/C&gt;&lt;D xsi:type="xsd:double"&gt;23293&lt;/D&gt;&lt;/FQL&gt;&lt;FQL&gt;&lt;Q&gt;Ticker0024^FE_ESTIMATE(CFO,MEAN,QUARTERLY_ROLL,2025/1F,45685,,,'')&lt;/Q&gt;&lt;R&gt;1&lt;/R&gt;&lt;C&gt;1&lt;/C&gt;&lt;D xsi:type="xsd:double"&gt;34180&lt;/D&gt;&lt;/FQL&gt;&lt;FQL&gt;&lt;Q&gt;Ticker0024^FE_ESTIMATE(CFO,MEAN,ANNUAL_ROLL,2024,45685,,,'')&lt;/Q&gt;&lt;R&gt;1&lt;/R&gt;&lt;C&gt;1&lt;/C&gt;&lt;D xsi:type="xsd:double"&gt;119091&lt;/D&gt;&lt;/FQL&gt;&lt;FQL&gt;&lt;Q&gt;Ticker0024^FE_ESTIMATE(CFO,MEAN,QUARTERLY_ROLL,2024/4F,45685,,,'')&lt;/Q&gt;&lt;R&gt;1&lt;/R&gt;&lt;C&gt;1&lt;/C&gt;&lt;D xsi:type="xsd:double"&gt;37195.355&lt;/D&gt;&lt;/FQL&gt;&lt;FQL&gt;&lt;Q&gt;Ticker0024^FE_ESTIMATE(CFO,MEAN,QUARTERLY_ROLL,2024/3F,45685,,,'')&lt;/Q&gt;&lt;R&gt;1&lt;/R&gt;&lt;C&gt;1&lt;/C&gt;&lt;D xsi:type="xsd:double"&gt;31917.176&lt;/D&gt;&lt;/FQL&gt;&lt;FQL&gt;&lt;Q&gt;Ticker0024^FE_ESTIMATE(CFO,MEAN,QUARTERLY_ROLL,2024/2F,45685,,,'')&lt;/Q&gt;&lt;R&gt;1&lt;/R&gt;&lt;C&gt;1&lt;/C&gt;&lt;D xsi:type="xsd:double"&gt;18855.445&lt;/D&gt;&lt;/FQL&gt;&lt;FQL&gt;&lt;Q&gt;Ticker0024^FE_ESTIMATE(CFO,MEAN,QUARTERLY_ROLL,2024/1F,45685,,,'')&lt;/Q&gt;&lt;R&gt;1&lt;/R&gt;&lt;C&gt;1&lt;/C&gt;&lt;D xsi:type="xsd:double"&gt;30578.588&lt;/D&gt;&lt;/FQL&gt;&lt;FQL&gt;&lt;Q&gt;Ticker0024^FE_ESTIMATE(CFO,MEAN,ANNUAL_ROLL,2023,45685,,,'')&lt;/Q&gt;&lt;R&gt;1&lt;/R&gt;&lt;C&gt;1&lt;/C&gt;&lt;D xsi:type="xsd:double"&gt;87714&lt;/D&gt;&lt;/FQL&gt;&lt;FQL&gt;&lt;Q&gt;Ticker0024^FE_ESTIMATE(CFO,MEAN,QUARTERLY_ROLL,2023/4F,45685,,,'')&lt;/Q&gt;&lt;R&gt;1&lt;/R&gt;&lt;C&gt;1&lt;/C&gt;&lt;D xsi:type="xsd:double"&gt;28504.813&lt;/D&gt;&lt;/FQL&gt;&lt;FQL&gt;&lt;Q&gt;Ticker0024^FE_ESTIMATE(CFO,MEAN,QUARTERLY_ROLL,2023/3F,45685,,,'')&lt;/Q&gt;&lt;R&gt;1&lt;/R&gt;&lt;C&gt;1&lt;/C&gt;&lt;D xsi:type="xsd:double"&gt;24325.75&lt;/D&gt;&lt;/FQL&gt;&lt;FQL&gt;&lt;Q&gt;Ticker0024^FE_ESTIMATE(CFO,MEAN,QUARTERLY_ROLL,2023/2F,45685,,,'')&lt;/Q&gt;&lt;R&gt;1&lt;/R&gt;&lt;C&gt;1&lt;/C&gt;&lt;D xsi:type="xsd:double"&gt;11172.8&lt;/D&gt;&lt;/FQL&gt;&lt;FQL&gt;&lt;Q&gt;Ticker0024^FE_ESTIMATE(CFO,MEAN,QUARTERLY_ROLL,2023/1F,45685,,,'')&lt;/Q&gt;&lt;R&gt;1&lt;/R&gt;&lt;C&gt;1&lt;/C&gt;&lt;D xsi:type="xsd:double"&gt;23330.53&lt;/D&gt;&lt;/FQL&gt;&lt;FQL&gt;&lt;Q&gt;Ticker0024^FE_ESTIMATE(CFO,MEAN,ANNUAL_ROLL,2022,45685,,,'')&lt;/Q&gt;&lt;R&gt;1&lt;/R&gt;&lt;C&gt;1&lt;/C&gt;&lt;D xsi:type="xsd:double"&gt;89044.74&lt;/D&gt;&lt;/FQL&gt;&lt;FQL&gt;&lt;Q&gt;Ticker0024^FE_ESTIMATE(CFO,MEAN,QUARTERLY_ROLL,2022/4F,45685,,,'')&lt;/Q&gt;&lt;R&gt;1&lt;/R&gt;&lt;C&gt;1&lt;/C&gt;&lt;D xsi:type="xsd:double"&gt;24629&lt;/D&gt;&lt;/FQL&gt;&lt;FQL&gt;&lt;Q&gt;Ticker0024^FE_ESTIMATE(CFO,MEAN,QUARTERLY_ROLL,2022/3F,45685,,,'')&lt;/Q&gt;&lt;R&gt;1&lt;/R&gt;&lt;C&gt;1&lt;/C&gt;&lt;D xsi:type="xsd:double"&gt;25386&lt;/D&gt;&lt;/FQL&gt;&lt;FQL&gt;&lt;Q&gt;Ticker0024^FE_ESTIMATE(CFO,MEAN,QUARTERLY_ROLL,2022/2F,45685,,,'')&lt;/Q&gt;&lt;R&gt;1&lt;/R&gt;&lt;C&gt;1&lt;/C&gt;&lt;D xsi:type="xsd:double"&gt;14480&lt;/D&gt;&lt;/FQL&gt;&lt;FQL&gt;&lt;Q&gt;Ticker0024^FE_ESTIMATE(CFO,MEAN,QUARTERLY_ROLL,2022/1F,45685,,,'')&lt;/Q&gt;&lt;R&gt;1&lt;/R&gt;&lt;C&gt;1&lt;/C&gt;&lt;D xsi:type="xsd:double"&gt;24540&lt;/D&gt;&lt;/FQL&gt;&lt;FQL&gt;&lt;Q&gt;Ticker0024^FE_ESTIMATE(CFO,MEAN,ANNUAL_ROLL,2021,45685,,,'')&lt;/Q&gt;&lt;R&gt;1&lt;/R&gt;&lt;C&gt;1&lt;/C&gt;&lt;D xsi:type="xsd:double"&gt;77615.55&lt;/D&gt;&lt;/FQL&gt;&lt;FQL&gt;&lt;Q&gt;Ticker0024^FE_ESTIMATE(CFO,MEAN,QUARTERLY_ROLL,2021/4F,45685,,,'')&lt;/Q&gt;&lt;R&gt;1&lt;/R&gt;&lt;C&gt;1&lt;/C&gt;&lt;D xsi:type="xsd:double"&gt;22710&lt;/D&gt;&lt;/FQL&gt;&lt;FQL&gt;&lt;Q&gt;Ticker0024^FE_ESTIMATE(CFO,MEAN,QUARTERLY_ROLL,2021/3F,45685,,,'')&lt;/Q&gt;&lt;R&gt;1&lt;/R&gt;&lt;C&gt;1&lt;/C&gt;&lt;D xsi:type="xsd:double"&gt;21909&lt;/D&gt;&lt;/FQL&gt;&lt;FQL&gt;&lt;Q&gt;Ticker0024^FE_ESTIMATE(CFO,MEAN,QUARTERLY_ROLL,2021/2F,45685,,,'')&lt;/Q&gt;&lt;R&gt;1&lt;/R&gt;&lt;C&gt;1&lt;/C&gt;&lt;D xsi:type="xsd:double"&gt;12516&lt;/D&gt;&lt;/FQL&gt;&lt;FQL&gt;&lt;Q&gt;Ticker0024^FE_ESTIMATE(CFO,MEAN,QUARTERLY_ROLL,2021/1F,45685,,,'')&lt;/Q&gt;&lt;R&gt;1&lt;/R&gt;&lt;C&gt;1&lt;/C&gt;&lt;D xsi:type="xsd:double"&gt;19151.9&lt;/D&gt;&lt;/FQL&gt;&lt;FQL&gt;&lt;Q&gt;Ticker0024^FE_ESTIMATE(CFO,MEAN,ANNUAL_ROLL,2020,45685,,,'')&lt;/Q&gt;&lt;R&gt;1&lt;/R&gt;&lt;C&gt;1&lt;/C&gt;&lt;D xsi:type="xsd:double"&gt;60473.91&lt;/D&gt;&lt;/FQL&gt;&lt;FQL&gt;&lt;Q&gt;Ticker0024^FE_ESTIMATE(CFO,MEAN,QUARTERLY_ROLL,2020/4F,45685,,,'')&lt;/Q&gt;&lt;R&gt;1&lt;/R&gt;&lt;C&gt;1&lt;/C&gt;&lt;D xsi:type="xsd:double"&gt;18673&lt;/D&gt;&lt;/FQL&gt;&lt;FQL&gt;&lt;Q&gt;Ticker0024^FE_ESTIMATE(CFO,MEAN,QUARTERLY_ROLL,2020/3F,45685,,,'')&lt;/Q&gt;&lt;R&gt;1&lt;/R&gt;&lt;C&gt;1&lt;/C&gt;&lt;D xsi:type="xsd:double"&gt;17507.223&lt;/D&gt;&lt;/FQL&gt;&lt;FQL&gt;&lt;Q&gt;Ticker0024^FE_ESTIMATE(CFO,MEAN,QUARTERLY_ROLL,2020/2F,45685,,,'')&lt;/Q&gt;&lt;R&gt;1&lt;/R&gt;&lt;C&gt;1&lt;/C&gt;&lt;D xsi:type="xsd:double"&gt;10680&lt;/D&gt;&lt;/FQL&gt;&lt;FQL&gt;&lt;Q&gt;Ticker0024^FE_ESTIMATE(CFO,MEAN,QUARTERLY_ROLL,2020/1F,45685,,,'')&lt;/Q&gt;&lt;R&gt;1&lt;/R&gt;&lt;C&gt;1&lt;/C&gt;&lt;D xsi:type="xsd:double"&gt;13818&lt;/D&gt;&lt;/FQL&gt;&lt;FQL&gt;&lt;Q&gt;Ticker0024^FE_ESTIMATE(CFO,MEAN,ANNUAL_ROLL,2019,45685,,,'')&lt;/Q&gt;&lt;R&gt;1&lt;/R&gt;&lt;C&gt;1&lt;/C&gt;&lt;D xsi:type="xsd:double"&gt;51866.285&lt;/D&gt;&lt;/FQL&gt;&lt;FQL&gt;&lt;Q&gt;Ticker0024^FE_ESTIMATE(CFO,MEAN,QUARTERLY_ROLL,2019/4F,45685,,,'')&lt;/Q&gt;&lt;R&gt;1&lt;/R&gt;&lt;C&gt;1&lt;/C&gt;&lt;D xsi:type="xsd:double"&gt;16108&lt;/D&gt;&lt;/FQL&gt;&lt;FQL&gt;&lt;Q&gt;Ticker0024^FE_ESTIMATE(CFO,MEAN,QUARTERLY_ROLL,2019/3F,45685,,,'')&lt;/Q&gt;&lt;R&gt;1&lt;/R&gt;&lt;C&gt;1&lt;/C&gt;&lt;D xsi:type="xsd:double"&gt;13520&lt;/D&gt;&lt;/FQL&gt;&lt;FQL&gt;&lt;Q&gt;Ticker0024^FE_ESTIMATE(CFO,MEAN,QUARTERLY_ROLL,2019/2F,45685,,,'')&lt;/Q&gt;&lt;R&gt;1&lt;/R&gt;&lt;C&gt;1&lt;/C&gt;&lt;D xsi:type="xsd:double"&gt;8854.25&lt;/D&gt;&lt;/FQL&gt;&lt;FQL&gt;&lt;Q&gt;Ticker0024^FE_ESTIMATE(CFO,MEAN,QUARTERLY_ROLL,2019/1F,45685,,,'')&lt;/Q&gt;&lt;R&gt;1&lt;/R&gt;&lt;C&gt;1&lt;/C&gt;&lt;D xsi:type="xsd:double"&gt;13284.637&lt;/D&gt;&lt;/FQL&gt;&lt;FQL&gt;&lt;Q&gt;Ticker0024^FE_ESTIMATE(CFO,MEAN,ANNUAL_ROLL,2018,45685,,,'')&lt;/Q&gt;&lt;R&gt;1&lt;/R&gt;&lt;C&gt;1&lt;/C&gt;&lt;D xsi:type="xsd:double"&gt;43558.848&lt;/D&gt;&lt;/FQL&gt;&lt;FQL&gt;&lt;Q&gt;Ticker0024^FE_ESTIMATE(CFO,MEAN,QUARTERLY_ROLL,2018/4F,45685,,,'')&lt;/Q&gt;&lt;R&gt;1&lt;/R&gt;&lt;C&gt;1&lt;/C&gt;&lt;D xsi:type="xsd:double"&gt;11606.333&lt;/D&gt;&lt;/FQL&gt;&lt;FQL&gt;&lt;Q&gt;Ticker0024^FE_ESTIMATE(CFO,MEAN,QUARTERLY_ROLL,2018/3F,45685,,,'')&lt;/Q&gt;&lt;R&gt;1&lt;/R&gt;&lt;C&gt;1&lt;/C&gt;&lt;D xsi:type="xsd:double"&gt;12151&lt;/D&gt;&lt;/FQL&gt;&lt;FQL&gt;&lt;Q&gt;Ticker0024^FE_ESTIMATE(CFO,MEAN,QUARTERLY_ROLL,2018/2F,45685,,,'')&lt;/Q&gt;&lt;R&gt;1&lt;/R&gt;&lt;C&gt;1&lt;/C&gt;&lt;D xsi:type="xsd:double"&gt;7875&lt;/D&gt;&lt;/FQL&gt;&lt;FQL&gt;&lt;Q&gt;Ticker0024^FE_ESTIMATE(CFO,MEAN,QUARTERLY_ROLL,2018/1F,45685,,,'')&lt;/Q&gt;&lt;R&gt;1&lt;/R&gt;&lt;C&gt;1&lt;/C&gt;&lt;D xsi:type="xsd:double"&gt;12440&lt;/D&gt;&lt;/FQL&gt;&lt;FQL&gt;&lt;Q&gt;Ticker0024^FE_ESTIMATE(CFO,MEAN,ANNUAL_ROLL,2017,45685,,,'')&lt;/Q&gt;&lt;R&gt;1&lt;/R&gt;&lt;C&gt;1&lt;/C&gt;&lt;D xsi:type="xsd:double"&gt;39507&lt;/D&gt;&lt;/FQL&gt;&lt;FQL&gt;&lt;Q&gt;Ticker0024^FE_ESTIMATE(CFO,MEAN,QUARTERLY_ROLL,2017/4F,45685,,,'')&lt;/Q&gt;&lt;R&gt;1&lt;/R&gt;&lt;C&gt;1&lt;/C&gt;&lt;D xsi:type="xsd:double"&gt;11005&lt;/D&gt;&lt;/FQL&gt;&lt;FQL&gt;&lt;Q&gt;Ticker0024^FE_ESTIMATE(CFO,MEAN,QUARTERLY_ROLL,2017/3F,45685,,,'')&lt;/Q&gt;&lt;R&gt;1&lt;/R&gt;&lt;C&gt;1&lt;/C&gt;&lt;D xsi:type="xsd:double"&gt;10660&lt;/D&gt;&lt;/FQL&gt;&lt;FQL&gt;&lt;Q&gt;Ticker0024^FE_ESTIMATE(CFO,MEAN,QUARTERLY_ROLL,2017/2F,45685,,,'')&lt;/Q&gt;&lt;R&gt;1&lt;/R&gt;&lt;C&gt;1&lt;/C&gt;&lt;D xsi:type="xsd:double"&gt;6293&lt;/D&gt;&lt;/FQL&gt;&lt;FQL&gt;&lt;Q&gt;Ticker0024^FE_ESTIMATE(CFO,MEAN,QUARTERLY_ROLL,2017/1F,45685,,,'')&lt;/Q&gt;&lt;R&gt;1&lt;/R&gt;&lt;C&gt;1&lt;/C&gt;&lt;D xsi:type="xsd:double"&gt;11549&lt;/D&gt;&lt;/FQL&gt;&lt;FQL&gt;&lt;Q&gt;Ticker0024^FE_ESTIMATE(CFO,MEAN,ANNUAL_ROLL,2016,45685,,,'')&lt;/Q&gt;&lt;R&gt;1&lt;/R&gt;&lt;C&gt;1&lt;/C&gt;&lt;D xsi:type="xsd:double"&gt;32872.5&lt;/D&gt;&lt;/FQL&gt;&lt;FQL&gt;&lt;Q&gt;Ticker0024^FE_ESTIMATE(CFO,MEAN,QUARTERLY_ROLL,2016/4F,45685,,,'')&lt;/Q&gt;&lt;R&gt;1&lt;/R&gt;&lt;C&gt;1&lt;/C&gt;&lt;D xsi:type="xsd:double"&gt;8464&lt;/D&gt;&lt;/FQL&gt;&lt;FQL&gt;&lt;Q&gt;Ticker0024^FE_ESTIMATE(CFO,MEAN,QUARTERLY_ROLL,2016/3F,45685,,,'')&lt;/Q&gt;&lt;R&gt;1&lt;/R&gt;&lt;C&gt;1&lt;/C&gt;&lt;D xsi:type="xsd:double"&gt;10367&lt;/D&gt;&lt;/FQL&gt;&lt;FQL&gt;&lt;Q&gt;Ticker0024^FE_ESTIMATE(CFO,MEAN,QUARTERLY_ROLL,2016/2F,45685,,,'')&lt;/Q&gt;&lt;R&gt;1&lt;/R&gt;&lt;C&gt;1&lt;/C&gt;&lt;D xsi:type="xsd:double"&gt;5598&lt;/D&gt;&lt;/FQL&gt;&lt;FQL&gt;&lt;Q&gt;Ticker0024^FE_ESTIMATE(CFO,MEAN,QUARTERLY_ROLL,2016/1F,45685,,,'')&lt;/Q&gt;&lt;R&gt;1&lt;/R&gt;&lt;C&gt;1&lt;/C&gt;&lt;D xsi:type="xsd:double"&gt;8550.5&lt;/D&gt;&lt;/FQL&gt;&lt;FQL&gt;&lt;Q&gt;Ticker0024^FE_ESTIMATE(CFO,MEAN,ANNUAL_ROLL,2015,45685,,,'')&lt;/Q&gt;&lt;R&gt;1&lt;/R&gt;&lt;C&gt;1&lt;/C&gt;&lt;D xsi:type="xsd:double"&gt;29510.059&lt;/D&gt;&lt;/FQL&gt;&lt;FQL&gt;&lt;Q&gt;Ticker0024^FE_ESTIMATE(CFO,MEAN,QUARTERLY_ROLL,2015/4F,45685,,,'')&lt;/Q&gt;&lt;R&gt;1&lt;/R&gt;&lt;C&gt;1&lt;/C&gt;&lt;D xsi:type="xsd:double"&gt;7446.231&lt;/D&gt;&lt;/FQL&gt;&lt;FQL&gt;&lt;Q&gt;Ticker0024^FE_ESTIMATE(CFO,MEAN,QUARTERLY_ROLL,2015/3F,45685,,,'')&lt;/Q&gt;&lt;R&gt;1&lt;/R&gt;&lt;C&gt;1&lt;/C&gt;&lt;D xsi:type="xsd:double"&gt;9570&lt;/D&gt;&lt;/FQL&gt;&lt;FQL&gt;&lt;Q&gt;Ticker0024^FE_ESTIMATE(CFO,MEAN,QUARTERLY_ROLL,2015/2F,45685,,,'')&lt;/Q&gt;&lt;R&gt;1&lt;/R&gt;&lt;C&gt;1&lt;/C&gt;&lt;D xsi:type="xsd:double"&gt;4340&lt;/D&gt;&lt;/FQL&gt;&lt;FQL&gt;&lt;Q&gt;Ticker0024^FE_ESTIMATE(CFO,MEAN,QUARTERLY_ROLL,2015/1F,45685,,,'')&lt;/Q&gt;&lt;R&gt;1&lt;/R&gt;&lt;C&gt;1&lt;/C&gt;&lt;D xsi:type="xsd:double"&gt;8354&lt;/D&gt;&lt;/FQL&gt;&lt;FQL&gt;&lt;Q&gt;Ticker0024^FE_ESTIMATE(EPS,MEAN,ANNUAL_ROLL,2030,45685,,,'')&lt;/Q&gt;&lt;R&gt;0&lt;/R&gt;&lt;C&gt;0&lt;/C&gt;&lt;/FQL&gt;&lt;FQL&gt;&lt;Q&gt;Ticker0024^FE_ESTIMATE(EPS,MEAN,QUARTERLY_ROLL,2030/4F,45685,,,'')&lt;/Q&gt;&lt;R&gt;0&lt;/R&gt;&lt;C&gt;0&lt;/C&gt;&lt;/FQL&gt;&lt;FQL&gt;&lt;Q&gt;Ticker0024^FE_ESTIMATE(EPS,MEAN,QUARTERLY_ROLL,2030/3F,45685,,,'')&lt;/Q&gt;&lt;R&gt;0&lt;/R&gt;&lt;C&gt;0&lt;/C&gt;&lt;/FQL&gt;&lt;FQL&gt;&lt;Q&gt;Ticker0024^FE_ESTIMATE(EPS,MEAN,QUARTERLY_ROLL,2030/2F,45685,,,'')&lt;/Q&gt;&lt;R&gt;0&lt;/R&gt;&lt;C&gt;0&lt;/C&gt;&lt;/FQL&gt;&lt;FQL&gt;&lt;Q&gt;Ticker0024^FE_ESTIMATE(EPS,MEAN,QUARTERLY_ROLL,2030/1F,45685,,,'')&lt;/Q&gt;&lt;R&gt;0&lt;/R&gt;&lt;C&gt;0&lt;/C&gt;&lt;/FQL&gt;&lt;FQL&gt;&lt;Q&gt;Ticker0024^FE_ESTIMATE(EPS,MEAN,ANNUAL_ROLL,2029,45685,,,'')&lt;/Q&gt;&lt;R&gt;1&lt;/R&gt;&lt;C&gt;1&lt;/C&gt;&lt;D xsi:type="xsd:double"&gt;23.14&lt;/D&gt;&lt;/FQL&gt;&lt;FQL&gt;&lt;Q&gt;Ticker0024^FE_ESTIMATE(EPS,MEAN,QUARTERLY_ROLL,2029/4F,45685,,,'')&lt;/Q&gt;&lt;R&gt;0&lt;/R&gt;&lt;C&gt;0&lt;/C&gt;&lt;/FQL&gt;&lt;FQL&gt;&lt;Q&gt;Ticker0024^FE_ESTIMATE(EPS,MEAN,QUARTERLY_ROLL,2029/3F,45685,,,'')&lt;/Q&gt;&lt;R&gt;0&lt;/R&gt;&lt;C&gt;0&lt;/C&gt;&lt;/FQL&gt;&lt;FQL&gt;&lt;Q&gt;Ticker0024^FE_ESTIMATE(EPS,MEAN,QUARTERLY_ROLL,2029/2F,45685,,,'')&lt;/Q&gt;&lt;R&gt;0&lt;/R&gt;&lt;C&gt;0&lt;/C&gt;&lt;/FQL&gt;&lt;FQL&gt;&lt;Q&gt;Ticker0024^FE_ESTIMATE(EPS,MEAN,QUARTERLY_ROLL,2029/1F,45685,,,'')&lt;/Q&gt;&lt;R&gt;0&lt;/R&gt;&lt;C&gt;0&lt;/C&gt;&lt;/FQL&gt;&lt;FQL&gt;&lt;Q&gt;Ticker0024^FE_ESTIMATE(EPS,MEAN,ANNUAL_ROLL,2028,45685,,,'')&lt;/Q&gt;&lt;R&gt;1&lt;/R&gt;&lt;C&gt;1&lt;/C&gt;&lt;D xsi:type="xsd:double"&gt;20.36583&lt;/D&gt;&lt;/FQL&gt;&lt;FQL&gt;&lt;Q&gt;Ticker0024^FE_ESTIMATE(EPS,MEAN,QUARTERLY_ROLL,2028/4F,45685,,,'')&lt;/Q&gt;&lt;R&gt;0&lt;/R&gt;&lt;C&gt;0&lt;/C&gt;&lt;/FQL&gt;&lt;FQL&gt;&lt;Q&gt;Ticker0024^FE_ESTIMATE(EPS,MEAN,QUARTERLY_ROLL,2028/3F,45685,,,'')&lt;/Q&gt;&lt;R&gt;0&lt;/R&gt;&lt;C&gt;0&lt;/C&gt;&lt;/FQL&gt;&lt;FQL&gt;&lt;Q&gt;Ticker0024^FE_ESTIMATE(EPS,MEAN,QUARTERLY_ROLL,2028/2F,45685,,,'')&lt;/Q&gt;&lt;R&gt;0&lt;/R&gt;&lt;C&gt;0&lt;/C&gt;&lt;/FQL&gt;&lt;FQL&gt;&lt;Q&gt;Ticker0024^FE_ESTIMATE(EPS,MEAN,QUARTERLY_ROLL,2028/1F,45685,,,'')&lt;/Q&gt;&lt;R&gt;0&lt;/R&gt;&lt;C&gt;0&lt;/C&gt;&lt;/FQL&gt;&lt;FQL&gt;&lt;Q&gt;Ticker0024^FE_ESTIMATE(EPS,MEAN,ANNUAL_ROLL,2027,45685,,,'')&lt;/Q&gt;&lt;R&gt;1&lt;/R&gt;&lt;C&gt;1&lt;/C&gt;&lt;D xsi:type="xsd:double"&gt;17.868431&lt;/D&gt;&lt;/FQL&gt;&lt;FQL&gt;&lt;Q&gt;Ticker0024^FE_ESTIMATE(EPS,MEAN,QUARTERLY_ROLL,2027/4F,45685,,,'')&lt;/Q&gt;&lt;R&gt;1&lt;/R&gt;&lt;C&gt;1&lt;/C&gt;&lt;D xsi:type="xsd:double"&gt;4.6510324&lt;/D&gt;&lt;/FQL&gt;&lt;FQL&gt;&lt;Q&gt;Ticker0024^FE_ESTIMATE(EPS,MEAN,QUARTERLY_ROLL,2027/3F,45685,,,'')&lt;/Q&gt;&lt;R&gt;1&lt;/R&gt;&lt;C&gt;1&lt;/C&gt;&lt;D xsi:type="xsd:double"&gt;4.406673&lt;/D&gt;&lt;/FQL&gt;&lt;FQL&gt;&lt;Q&gt;Ticker0024^FE_ESTIMATE(EPS,MEAN,QUARTERLY_ROLL,2027/2F,45685,,,'')&lt;/Q&gt;&lt;R&gt;1&lt;/R&gt;&lt;C&gt;1&lt;/C&gt;&lt;D xsi:type="xsd:double"&gt;4.3995256&lt;/D&gt;&lt;/FQL&gt;&lt;FQL&gt;&lt;Q&gt;Ticker0024^FE_ESTIMATE(EPS,MEAN,QUARTERLY_ROLL,2027/1F,45685,,,'')&lt;/Q&gt;&lt;R&gt;1&lt;/R&gt;&lt;C&gt;1&lt;/C&gt;&lt;D xsi:type="xsd:double"&gt;4.253675&lt;/D&gt;&lt;/FQL&gt;&lt;FQL&gt;&lt;Q&gt;Ticker0024^FE_ESTIMATE(EPS,MEAN,ANNUAL_ROLL,2026,45685,,,'')&lt;/Q&gt;&lt;R&gt;1&lt;/R&gt;&lt;C&gt;1&lt;/C&gt;&lt;D xsi:type="xsd:double"&gt;15.088493&lt;/D&gt;&lt;/FQL&gt;&lt;FQL&gt;&lt;Q&gt;Ticker0024^FE_ESTIMATE(EPS,MEAN,QUARTERLY_ROLL,2026/4F,45685,,,'')&lt;/Q&gt;&lt;R&gt;1&lt;/R&gt;&lt;C&gt;1&lt;/C&gt;&lt;D xsi:type="xsd:double"&gt;3.8804908&lt;/D&gt;&lt;/FQL&gt;&lt;FQL&gt;&lt;Q&gt;Ticker0024^FE_ESTIMATE(EPS,MEAN,QUARTERLY_ROLL,2026/3F,45685,,,'')&lt;/Q&gt;&lt;R&gt;1&lt;/R&gt;&lt;C&gt;1&lt;/C&gt;&lt;D xsi:type="xsd:double"&gt;3.6879945&lt;/D&gt;&lt;/FQL&gt;&lt;FQL&gt;&lt;Q&gt;Ticker0024^FE_ESTIMATE(EPS,MEAN,QUARTERLY_ROLL,2026/2F,45685,,,'')&lt;/Q&gt;&lt;R&gt;1&lt;/R&gt;&lt;C&gt;1&lt;/C&gt;&lt;D xsi:type="xsd:double"&gt;3.618247&lt;/D&gt;&lt;/FQL&gt;&lt;FQL&gt;&lt;Q&gt;Ticker0024^FE_ESTIMATE(EPS,MEAN,QUARTERLY_ROLL,2026/1F,45685,,,'')&lt;/Q&gt;&lt;R&gt;1&lt;/R&gt;&lt;C&gt;1&lt;/C&gt;&lt;D xsi:type="xsd:double"&gt;3.5366042&lt;/D&gt;&lt;/FQL&gt;&lt;FQL&gt;&lt;Q&gt;Ticker0024^FE_ESTIMATE(EPS,MEAN,ANNUAL_ROLL,2025,45685,,,'')&lt;/Q&gt;&lt;R&gt;1&lt;/R&gt;&lt;C&gt;1&lt;/C&gt;&lt;D xsi:type="xsd:double"&gt;13.054837&lt;/D&gt;&lt;/FQL&gt;&lt;FQL&gt;&lt;Q&gt;Ticker0024^FE_ESTIMATE(EPS,MEAN,QUARTERLY_ROLL,2025/4F,45685,,,'')&lt;/Q&gt;&lt;R&gt;1&lt;/R&gt;&lt;C&gt;1&lt;/C&gt;&lt;D xsi:type="xsd:double"&gt;3.283588&lt;/D&gt;&lt;/FQL&gt;&lt;FQL&gt;&lt;Q&gt;Ticker0024^FE_ESTIMATE(EPS,MEAN,QUARTERLY_ROLL,2025/3F,45685,,,'')&lt;/Q&gt;&lt;R&gt;1&lt;/R&gt;&lt;C&gt;1&lt;/C&gt;&lt;D xsi:type="xsd:double"&gt;3.1630905&lt;/D&gt;&lt;/FQL&gt;&lt;FQL&gt;&lt;Q&gt;Ticker0024^FE_ESTIMATE(EPS,MEAN,QUARTERLY_ROLL,2025/2F,45685,,,'')&lt;/Q&gt;&lt;R&gt;1&lt;/R&gt;&lt;C&gt;1&lt;/C&gt;&lt;D xsi:type="xsd:double"&gt;3.1091616&lt;/D&gt;&lt;/FQL&gt;&lt;FQL&gt;&lt;Q&gt;Ticker0024^FE_ESTIMATE(EPS,MEAN,QUARTERLY_ROLL,2025/1F,45685,,,'')&lt;/Q&gt;&lt;R&gt;1&lt;/R&gt;&lt;C&gt;1&lt;/C&gt;&lt;D xsi:type="xsd:double"&gt;3.3&lt;/D&gt;&lt;/FQL&gt;&lt;FQL&gt;&lt;Q&gt;Ticker0024^FE_ESTIMATE(EPS,MEAN,ANNUAL_ROLL,2024,45685,,,'')&lt;/Q&gt;&lt;R&gt;1&lt;/R&gt;&lt;C&gt;1&lt;/C&gt;&lt;D xsi:type="xsd:double"&gt;11.8&lt;/D&gt;&lt;/FQL&gt;&lt;FQL&gt;&lt;Q&gt;Ticker0024^FE_ESTIMATE(EPS,MEAN,QUARTERLY_ROLL,2024/4F,45685,,,'')&lt;/Q&gt;&lt;R&gt;1&lt;/R&gt;&lt;C&gt;1&lt;/C&gt;&lt;D xsi:type="xsd:double"&gt;2.95&lt;/D&gt;&lt;/FQL&gt;&lt;FQL&gt;&lt;Q&gt;Ticker0024^FE_ESTIMATE(EPS,MEAN,QUARTERLY_ROLL,2024/3F,45685,,,'')&lt;/Q&gt;&lt;R&gt;1&lt;/R&gt;&lt;C&gt;1&lt;/C&gt;&lt;D xsi:type="xsd:double"&gt;2.94&lt;/D&gt;&lt;/FQL&gt;&lt;FQL&gt;&lt;Q&gt;Ticker0024^FE_ESTIMATE(EPS,MEAN,QUARTERLY_ROLL,2024/2F,45685,,,'')&lt;/Q&gt;&lt;R&gt;1&lt;/R&gt;&lt;C&gt;1&lt;/C&gt;&lt;D xsi:type="xsd:double"&gt;2.93&lt;/D&gt;&lt;/FQL&gt;&lt;FQL&gt;&lt;Q&gt;Ticker0024^FE_ESTIMATE(EPS,MEAN,QUARTERLY_ROLL,2024/1F,45685,,,'')&lt;/Q&gt;&lt;R&gt;1&lt;/R&gt;&lt;C&gt;1&lt;/C&gt;&lt;D xsi:type="xsd:double"&gt;2.99&lt;/D&gt;&lt;/FQL&gt;&lt;FQL&gt;&lt;Q&gt;Ticker0024^FE_ESTIMATE(EPS,MEAN,ANNUAL_ROLL,2023,45685,,,'')&lt;/Q&gt;&lt;R&gt;1&lt;/R&gt;&lt;C&gt;1&lt;/C&gt;&lt;D xsi:type="xsd:double"&gt;9.81&lt;/D&gt;&lt;/FQL&gt;&lt;FQL&gt;&lt;Q&gt;Ticker0024^FE_ESTIMATE(EPS,MEAN,QUARTERLY_ROLL,2023/4F,45685,,,'')&lt;/Q&gt;&lt;R&gt;1&lt;/R&gt;&lt;C&gt;1&lt;/C&gt;&lt;D xsi:type="xsd:double"&gt;2.69&lt;/D&gt;&lt;/FQL&gt;&lt;FQL&gt;&lt;Q&gt;Ticker0024^FE_ESTIMATE(EPS,MEAN,QUARTERLY_ROLL,2023/3F,45685,,,'')&lt;/Q&gt;&lt;R&gt;1&lt;/R&gt;&lt;C&gt;1&lt;/C&gt;&lt;D xsi:type="xsd:double"&gt;2.45&lt;/D&gt;&lt;/FQL&gt;&lt;FQL&gt;&lt;Q&gt;Ticker0024^FE_ESTIMATE(EPS,MEAN,QUARTERLY_ROLL,2023/2F,45685,,,'')&lt;/Q&gt;&lt;R&gt;1&lt;/R&gt;&lt;C&gt;1&lt;/C&gt;&lt;D xsi:type="xsd:double"&gt;2.32&lt;/D&gt;&lt;/FQL&gt;&lt;FQL&gt;&lt;Q&gt;Ticker0024^FE_ESTIMATE(EPS,MEAN,QUARTERLY_ROLL,2023/1F,45685,,,'')&lt;/Q&gt;&lt;R&gt;1&lt;/R&gt;&lt;C&gt;1&lt;/C&gt;&lt;D xsi:type="xsd:double"&gt;2.35&lt;/D&gt;&lt;/FQL&gt;&lt;FQL&gt;&lt;Q&gt;Ticker0024^FE_ESTIMATE(EPS,MEAN,ANNUAL_ROLL,2022,45685,,,'')&lt;/Q&gt;&lt;R&gt;1&lt;/R&gt;&lt;C&gt;1&lt;/C&gt;&lt;D xsi:type="xsd:double"&gt;9.21&lt;/D&gt;&lt;/FQL&gt;&lt;FQL&gt;&lt;Q&gt;Ticker0024^FE_ESTIMATE(EPS,MEAN,QUARTERLY_ROLL,2022/4F,45685,,,'')&lt;/Q&gt;&lt;R&gt;1&lt;/R&gt;&lt;C&gt;1&lt;/C&gt;&lt;D xsi:type="xsd:double"&gt;2.23&lt;/D&gt;&lt;/FQL&gt;&lt;FQL&gt;&lt;Q&gt;Ticker0024^FE_ESTIMATE(EPS,MEAN,QUARTERLY_ROLL,2022/3F,45685,,,'')&lt;/Q&gt;&lt;R&gt;1&lt;/R&gt;&lt;C&gt;1&lt;/C&gt;&lt;D xsi:type="xsd:double"&gt;2.22&lt;/D&gt;&lt;/FQL&gt;&lt;FQL&gt;&lt;Q&gt;Ticker0024^FE_ESTIMATE(EPS,MEAN,QUARTERLY_ROLL,2022/2F,45685,,,'')&lt;/Q&gt;&lt;R&gt;1&lt;/R&gt;&lt;C&gt;1&lt;/C&gt;&lt;D xsi:type="xsd:double"&gt;2.48&lt;/D&gt;&lt;/FQL&gt;&lt;FQL&gt;&lt;Q&gt;Ticker0024^FE_ESTIMATE(EPS,MEAN,QUARTERLY_ROLL,2022/1F,45685,,,'')&lt;/Q&gt;&lt;R&gt;1&lt;/R&gt;&lt;C&gt;1&lt;/C&gt;&lt;D xsi:type="xsd:double"&gt;2.27&lt;/D&gt;&lt;/FQL&gt;&lt;FQL&gt;&lt;Q&gt;Ticker0024^FE_ESTIMATE(EPS,MEAN,ANNUAL_ROLL,2021,45685,,,'')&lt;/Q&gt;&lt;R&gt;1&lt;/R&gt;&lt;C&gt;1&lt;/C&gt;&lt;D xsi:type="xsd:double"&gt;7.97&lt;/D&gt;&lt;/FQL&gt;&lt;FQL&gt;&lt;Q&gt;Ticker0024^FE_ESTIMATE(EPS,MEAN,QUARTERLY_ROLL,2021/4F,45685,,,'')&lt;/Q&gt;&lt;R&gt;1&lt;/R&gt;&lt;C&gt;1&lt;/C&gt;&lt;D xsi:type="xsd:double"&gt;2.17&lt;/D&gt;&lt;/FQL&gt;&lt;FQL&gt;&lt;Q&gt;Ticker0024^FE_ESTIMATE(EPS,MEAN,QUARTERLY_ROLL,2021/3F,45685,,,'')&lt;/Q&gt;&lt;R&gt;1&lt;/R&gt;&lt;C&gt;1&lt;/C&gt;&lt;D xsi:type="xsd:double"&gt;1.95&lt;/D&gt;&lt;/FQL&gt;&lt;FQL&gt;&lt;Q&gt;Ticker0024^FE_ESTIMATE(EPS,MEAN,QUARTERLY_ROLL,2021/2F,45685,,,'')&lt;/Q&gt;&lt;R&gt;1&lt;/R&gt;&lt;C&gt;1&lt;/C&gt;&lt;D xsi:type="xsd:double"&gt;2.03&lt;/D&gt;&lt;/FQL&gt;&lt;FQL&gt;&lt;Q&gt;Ticker0024^FE_ESTIM</t>
        </r>
      </text>
    </comment>
    <comment ref="A17" authorId="0" shapeId="0" xr:uid="{F412502A-AF88-4A56-AB97-BF9238986188}">
      <text>
        <r>
          <rPr>
            <b/>
            <sz val="9"/>
            <color indexed="81"/>
            <rFont val="Tahoma"/>
            <family val="2"/>
          </rPr>
          <t>ATE(EPS,MEAN,QUARTERLY_ROLL,2021/1F,45685,,,'')&lt;/Q&gt;&lt;R&gt;1&lt;/R&gt;&lt;C&gt;1&lt;/C&gt;&lt;D xsi:type="xsd:double"&gt;1.82&lt;/D&gt;&lt;/FQL&gt;&lt;FQL&gt;&lt;Q&gt;Ticker0024^FE_ESTIMATE(EPS,MEAN,ANNUAL_ROLL,2020,45685,,,'')&lt;/Q&gt;&lt;R&gt;1&lt;/R&gt;&lt;C&gt;1&lt;/C&gt;&lt;D xsi:type="xsd:double"&gt;5.76&lt;/D&gt;&lt;/FQL&gt;&lt;FQL&gt;&lt;Q&gt;Ticker0024^FE_ESTIMATE(EPS,MEAN,QUARTERLY_ROLL,2020/4F,45685,,,'')&lt;/Q&gt;&lt;R&gt;1&lt;/R&gt;&lt;C&gt;1&lt;/C&gt;&lt;D xsi:type="xsd:double"&gt;1.46&lt;/D&gt;&lt;/FQL&gt;&lt;FQL&gt;&lt;Q&gt;Ticker0024^FE_ESTIMATE(EPS,MEAN,QUARTERLY_ROLL,2020/3F,45685,,,'')&lt;/Q&gt;&lt;R&gt;1&lt;/R&gt;&lt;C&gt;1&lt;/C&gt;&lt;D xsi:type="xsd:double"&gt;1.4&lt;/D&gt;&lt;/FQL&gt;&lt;FQL&gt;&lt;Q&gt;Ticker0024^FE_ESTIMATE(EPS,MEAN,QUARTERLY_ROLL,2020/2F,45685,,,'')&lt;/Q&gt;&lt;R&gt;1&lt;/R&gt;&lt;C&gt;1&lt;/C&gt;&lt;D xsi:type="xsd:double"&gt;1.51&lt;/D&gt;&lt;/FQL&gt;&lt;FQL&gt;&lt;Q&gt;Ticker0024^FE_ESTIMATE(EPS,MEAN,QUARTERLY_ROLL,2020/1F,45685,,,'')&lt;/Q&gt;&lt;R&gt;1&lt;/R&gt;&lt;C&gt;1&lt;/C&gt;&lt;D xsi:type="xsd:double"&gt;1.38&lt;/D&gt;&lt;/FQL&gt;&lt;FQL&gt;&lt;Q&gt;Ticker0024^FE_ESTIMATE(EPS,MEAN,ANNUAL_ROLL,2019,45685,,,'')&lt;/Q&gt;&lt;R&gt;1&lt;/R&gt;&lt;C&gt;1&lt;/C&gt;&lt;D xsi:type="xsd:double"&gt;4.75&lt;/D&gt;&lt;/FQL&gt;&lt;FQL&gt;&lt;Q&gt;Ticker0024^FE_ESTIMATE(EPS,MEAN,QUARTERLY_ROLL,2019/4F,45685,,,'')&lt;/Q&gt;&lt;R&gt;1&lt;/R&gt;&lt;C&gt;1&lt;/C&gt;&lt;D xsi:type="xsd:double"&gt;1.37&lt;/D&gt;&lt;/FQL&gt;&lt;FQL&gt;&lt;Q&gt;Ticker0024^FE_ESTIMATE(EPS,MEAN,QUARTERLY_ROLL,2019/3F,45685,,,'')&lt;/Q&gt;&lt;R&gt;1&lt;/R&gt;&lt;C&gt;1&lt;/C&gt;&lt;D xsi:type="xsd:double"&gt;1.14&lt;/D&gt;&lt;/FQL&gt;&lt;FQL&gt;&lt;Q&gt;Ticker0024^FE_ESTIMATE(EPS,MEAN,QUARTERLY_ROLL,2019/2F,45685,,,'')&lt;/Q&gt;&lt;R&gt;1&lt;/R&gt;&lt;C&gt;1&lt;/C&gt;&lt;D xsi:type="xsd:double"&gt;1.1&lt;/D&gt;&lt;/FQL&gt;&lt;FQL&gt;&lt;Q&gt;Ticker0024^FE_ESTIMATE(EPS,MEAN,QUARTERLY_ROLL,2019/1F,45685,,,'')&lt;/Q&gt;&lt;R&gt;1&lt;/R&gt;&lt;C&gt;1&lt;/C&gt;&lt;D xsi:type="xsd:double"&gt;1.14&lt;/D&gt;&lt;/FQL&gt;&lt;FQL&gt;&lt;Q&gt;Ticker0024^FE_ESTIMATE(EPS,MEAN,ANNUAL_ROLL,2018,45685,,,'')&lt;/Q&gt;&lt;R&gt;1&lt;/R&gt;&lt;C&gt;1&lt;/C&gt;&lt;D xsi:type="xsd:double"&gt;3.88&lt;/D&gt;&lt;/FQL&gt;&lt;FQL&gt;&lt;Q&gt;Ticker0024^FE_ESTIMATE(EPS,MEAN,QUARTERLY_ROLL,2018/4F,45685,,,'')&lt;/Q&gt;&lt;R&gt;1&lt;/R&gt;&lt;C&gt;1&lt;/C&gt;&lt;D xsi:type="xsd:double"&gt;1.13&lt;/D&gt;&lt;/FQL&gt;&lt;FQL&gt;&lt;Q&gt;Ticker0024^FE_ESTIMATE(EPS,MEAN,QUARTERLY_ROLL,2018/3F,45685,,,'')&lt;/Q&gt;&lt;R&gt;1&lt;/R&gt;&lt;C&gt;1&lt;/C&gt;&lt;D xsi:type="xsd:double"&gt;0.95&lt;/D&gt;&lt;/FQL&gt;&lt;FQL&gt;&lt;Q&gt;Ticker0024^FE_ESTIMATE(EPS,MEAN,QUARTERLY_ROLL,2018/2F,45685,,,'')&lt;/Q&gt;&lt;R&gt;1&lt;/R&gt;&lt;C&gt;1&lt;/C&gt;&lt;D xsi:type="xsd:double"&gt;0.96&lt;/D&gt;&lt;/FQL&gt;&lt;FQL&gt;&lt;Q&gt;Ticker0024^FE_ESTIMATE(EPS,MEAN,QUARTERLY_ROLL,2018/1F,45685,,,'')&lt;/Q&gt;&lt;R&gt;1&lt;/R&gt;&lt;C&gt;1&lt;/C&gt;&lt;D xsi:type="xsd:double"&gt;0.84&lt;/D&gt;&lt;/FQL&gt;&lt;FQL&gt;&lt;Q&gt;Ticker0024^FE_ESTIMATE(EPS,MEAN,ANNUAL_ROLL,2017,45685,,,'')&lt;/Q&gt;&lt;R&gt;1&lt;/R&gt;&lt;C&gt;1&lt;/C&gt;&lt;D xsi:type="xsd:double"&gt;3.31&lt;/D&gt;&lt;/FQL&gt;&lt;FQL&gt;&lt;Q&gt;Ticker0024^FE_ESTIMATE(EPS,MEAN,QUARTERLY_ROLL,2017/4F,45685,,,'')&lt;/Q&gt;&lt;R&gt;1&lt;/R&gt;&lt;C&gt;1&lt;/C&gt;&lt;D xsi:type="xsd:double"&gt;0.98&lt;/D&gt;&lt;/FQL&gt;&lt;FQL&gt;&lt;Q&gt;Ticker0024^FE_ESTIMATE(EPS,MEAN,QUARTERLY_ROLL,2017/3F,45685,,,'')&lt;/Q&gt;&lt;R&gt;1&lt;/R&gt;&lt;C&gt;1&lt;/C&gt;&lt;D xsi:type="xsd:double"&gt;0.73&lt;/D&gt;&lt;/FQL&gt;&lt;FQL&gt;&lt;Q&gt;Ticker0024^FE_ESTIMATE(EPS,MEAN,QUARTERLY_ROLL,2017/2F,45685,,,'')&lt;/Q&gt;&lt;R&gt;1&lt;/R&gt;&lt;C&gt;1&lt;/C&gt;&lt;D xsi:type="xsd:double"&gt;0.83&lt;/D&gt;&lt;/FQL&gt;&lt;FQL&gt;&lt;Q&gt;Ticker0024^FE_ESTIMATE(EPS,MEAN,QUARTERLY_ROLL,2017/1F,45685,,,'')&lt;/Q&gt;&lt;R&gt;1&lt;/R&gt;&lt;C&gt;1&lt;/C&gt;&lt;D xsi:type="xsd:double"&gt;0.76&lt;/D&gt;&lt;/FQL&gt;&lt;FQL&gt;&lt;Q&gt;Ticker0024^FE_ESTIMATE(EPS,MEAN,ANNUAL_ROLL,2016,45685,,,'')&lt;/Q&gt;&lt;R&gt;1&lt;/R&gt;&lt;C&gt;1&lt;/C&gt;&lt;D xsi:type="xsd:double"&gt;2.79&lt;/D&gt;&lt;/FQL&gt;&lt;FQL&gt;&lt;Q&gt;Ticker0024^FE_ESTIMATE(EPS,MEAN,QUARTERLY_ROLL,2016/4F,45685,,,'')&lt;/Q&gt;&lt;R&gt;1&lt;/R&gt;&lt;C&gt;1&lt;/C&gt;&lt;D xsi:type="xsd:double"&gt;0.69&lt;/D&gt;&lt;/FQL&gt;&lt;FQL&gt;&lt;Q&gt;Ticker0024^FE_ESTIMATE(EPS,MEAN,QUARTERLY_ROLL,2016/3F,45685,,,'')&lt;/Q&gt;&lt;R&gt;1&lt;/R&gt;&lt;C&gt;1&lt;/C&gt;&lt;D xsi:type="xsd:double"&gt;0.62&lt;/D&gt;&lt;/FQL&gt;&lt;FQL&gt;&lt;Q&gt;Ticker0024^FE_ESTIMATE(EPS,MEAN,QUARTERLY_ROLL,2016/2F,45685,,,'')&lt;/Q&gt;&lt;R&gt;1&lt;/R&gt;&lt;C&gt;1&lt;/C&gt;&lt;D xsi:type="xsd:double"&gt;0.78&lt;/D&gt;&lt;/FQL&gt;&lt;FQL&gt;&lt;Q&gt;Ticker0024^FE_ESTIMATE(EPS,MEAN,QUARTERLY_ROLL,2016/1F,45685,,,'')&lt;/Q&gt;&lt;R&gt;1&lt;/R&gt;&lt;C&gt;1&lt;/C&gt;&lt;D xsi:type="xsd:double"&gt;0.67&lt;/D&gt;&lt;/FQL&gt;&lt;FQL&gt;&lt;Q&gt;Ticker0024^FE_ESTIMATE(EPS,MEAN,ANNUAL_ROLL,2015,45685,,,'')&lt;/Q&gt;&lt;R&gt;1&lt;/R&gt;&lt;C&gt;1&lt;/C&gt;&lt;D xsi:type="xsd:double"&gt;2.63&lt;/D&gt;&lt;/FQL&gt;&lt;FQL&gt;&lt;Q&gt;Ticker0024^FE_ESTIMATE(EPS,MEAN,QUARTERLY_ROLL,2015/4F,45685,,,'')&lt;/Q&gt;&lt;R&gt;1&lt;/R&gt;&lt;C&gt;1&lt;/C&gt;&lt;D xsi:type="xsd:double"&gt;0.62&lt;/D&gt;&lt;/FQL&gt;&lt;FQL&gt;&lt;Q&gt;Ticker0024^FE_ESTIMATE(EPS,MEAN,QUARTERLY_ROLL,2015/3F,45685,,,'')&lt;/Q&gt;&lt;R&gt;1&lt;/R&gt;&lt;C&gt;1&lt;/C&gt;&lt;D xsi:type="xsd:double"&gt;0.61&lt;/D&gt;&lt;/FQL&gt;&lt;FQL&gt;&lt;Q&gt;Ticker0024^FE_ESTIMATE(EPS,MEAN,QUARTERLY_ROLL,2015/2F,45685,,,'')&lt;/Q&gt;&lt;R&gt;1&lt;/R&gt;&lt;C&gt;1&lt;/C&gt;&lt;D xsi:type="xsd:double"&gt;0.71&lt;/D&gt;&lt;/FQL&gt;&lt;FQL&gt;&lt;Q&gt;Ticker0024^FE_ESTIMATE(EPS,MEAN,QUARTERLY_ROLL,2015/1F,45685,,,'')&lt;/Q&gt;&lt;R&gt;1&lt;/R&gt;&lt;C&gt;1&lt;/C&gt;&lt;D xsi:type="xsd:double"&gt;0.54&lt;/D&gt;&lt;/FQL&gt;&lt;FQL&gt;&lt;Q&gt;Ticker0024^FE_ESTIMATE(EAG,MEAN,ANNUAL_ROLL,2030,45685,,,'')&lt;/Q&gt;&lt;R&gt;0&lt;/R&gt;&lt;C&gt;0&lt;/C&gt;&lt;/FQL&gt;&lt;FQL&gt;&lt;Q&gt;Ticker0024^FE_ESTIMATE(EAG,MEAN,QUARTERLY_ROLL,2030/4F,45685,,,'')&lt;/Q&gt;&lt;R&gt;0&lt;/R&gt;&lt;C&gt;0&lt;/C&gt;&lt;/FQL&gt;&lt;FQL&gt;&lt;Q&gt;Ticker0024^FE_ESTIMATE(EAG,MEAN,QUARTERLY_ROLL,2030/3F,45685,,,'')&lt;/Q&gt;&lt;R&gt;0&lt;/R&gt;&lt;C&gt;0&lt;/C&gt;&lt;/FQL&gt;&lt;FQL&gt;&lt;Q&gt;Ticker0024^FE_ESTIMATE(EAG,MEAN,QUARTERLY_ROLL,2030/2F,45685,,,'')&lt;/Q&gt;&lt;R&gt;0&lt;/R&gt;&lt;C&gt;0&lt;/C&gt;&lt;/FQL&gt;&lt;FQL&gt;&lt;Q&gt;Ticker0024^FE_ESTIMATE(EAG,MEAN,QUARTERLY_ROLL,2030/1F,45685,,,'')&lt;/Q&gt;&lt;R&gt;0&lt;/R&gt;&lt;C&gt;0&lt;/C&gt;&lt;/FQL&gt;&lt;FQL&gt;&lt;Q&gt;Ticker0024^FE_ESTIMATE(EAG,MEAN,ANNUAL_ROLL,2029,45685,,,'')&lt;/Q&gt;&lt;R&gt;0&lt;/R&gt;&lt;C&gt;0&lt;/C&gt;&lt;/FQL&gt;&lt;FQL&gt;&lt;Q&gt;Ticker0024^FE_ESTIMATE(EAG,MEAN,QUARTERLY_ROLL,2029/4F,45685,,,'')&lt;/Q&gt;&lt;R&gt;0&lt;/R&gt;&lt;C&gt;0&lt;/C&gt;&lt;/FQL&gt;&lt;FQL&gt;&lt;Q&gt;Ticker0024^FE_ESTIMATE(EAG,MEAN,QUARTERLY_ROLL,2029/3F,45685,,,'')&lt;/Q&gt;&lt;R&gt;0&lt;/R&gt;&lt;C&gt;0&lt;/C&gt;&lt;/FQL&gt;&lt;FQL&gt;&lt;Q&gt;Ticker0024^FE_ESTIMATE(EAG,MEAN,QUARTERLY_ROLL,2029/2F,45685,,,'')&lt;/Q&gt;&lt;R&gt;0&lt;/R&gt;&lt;C&gt;0&lt;/C&gt;&lt;/FQL&gt;&lt;FQL&gt;&lt;Q&gt;Ticker0024^FE_ESTIMATE(EAG,MEAN,QUARTERLY_ROLL,2029/1F,45685,,,'')&lt;/Q&gt;&lt;R&gt;0&lt;/R&gt;&lt;C&gt;0&lt;/C&gt;&lt;/FQL&gt;&lt;FQL&gt;&lt;Q&gt;Ticker0024^FE_ESTIMATE(EAG,MEAN,ANNUAL_ROLL,2028,45685,,,'')&lt;/Q&gt;&lt;R&gt;1&lt;/R&gt;&lt;C&gt;1&lt;/C&gt;&lt;D xsi:type="xsd:double"&gt;20.659239&lt;/D&gt;&lt;/FQL&gt;&lt;FQL&gt;&lt;Q&gt;Ticker0024^FE_ESTIMATE(EAG,MEAN,QUARTERLY_ROLL,2028/4F,45685,,,'')&lt;/Q&gt;&lt;R&gt;0&lt;/R&gt;&lt;C&gt;0&lt;/C&gt;&lt;/FQL&gt;&lt;FQL&gt;&lt;Q&gt;Ticker0024^FE_ESTIMATE(EAG,MEAN,QUARTERLY_ROLL,2028/3F,45685,,,'')&lt;/Q&gt;&lt;R&gt;0&lt;/R&gt;&lt;C&gt;0&lt;/C&gt;&lt;/FQL&gt;&lt;FQL&gt;&lt;Q&gt;Ticker0024^FE_ESTIMATE(EAG,MEAN,QUARTERLY_ROLL,2028/2F,45685,,,'')&lt;/Q&gt;&lt;R&gt;0&lt;/R&gt;&lt;C&gt;0&lt;/C&gt;&lt;/FQL&gt;&lt;FQL&gt;&lt;Q&gt;Ticker0024^FE_ESTIMATE(EAG,MEAN,QUARTERLY_ROLL,2028/1F,45685,,,'')&lt;/Q&gt;&lt;R&gt;0&lt;/R&gt;&lt;C&gt;0&lt;/C&gt;&lt;/FQL&gt;&lt;FQL&gt;&lt;Q&gt;Ticker0024^FE_ESTIMATE(EAG,MEAN,ANNUAL_ROLL,2027,45685,,,'')&lt;/Q&gt;&lt;R&gt;1&lt;/R&gt;&lt;C&gt;1&lt;/C&gt;&lt;D xsi:type="xsd:double"&gt;17.749891&lt;/D&gt;&lt;/FQL&gt;&lt;FQL&gt;&lt;Q&gt;Ticker0024^FE_ESTIMATE(EAG,MEAN,QUARTERLY_ROLL,2027/4F,45685,,,'')&lt;/Q&gt;&lt;R&gt;1&lt;/R&gt;&lt;C&gt;1&lt;/C&gt;&lt;D xsi:type="xsd:double"&gt;4.70288&lt;/D&gt;&lt;/FQL&gt;&lt;FQL&gt;&lt;Q&gt;Ticker0024^FE_ESTIMATE(EAG,MEAN,QUARTERLY_ROLL,2027/3F,45685,,,'')&lt;/Q&gt;&lt;R&gt;1&lt;/R&gt;&lt;C&gt;1&lt;/C&gt;&lt;D xsi:type="xsd:double"&gt;4.470422&lt;/D&gt;&lt;/FQL&gt;&lt;FQL&gt;&lt;Q&gt;Ticker0024^FE_ESTIMATE(EAG,MEAN,QUARTERLY_ROLL,2027/2F,45685,,,'')&lt;/Q&gt;&lt;R&gt;1&lt;/R&gt;&lt;C&gt;1&lt;/C&gt;&lt;D xsi:type="xsd:double"&gt;4.50399&lt;/D&gt;&lt;/FQL&gt;&lt;FQL&gt;&lt;Q&gt;Ticker0024^FE_ESTIMATE(EAG,MEAN,QUARTERLY_ROLL,2027/1F,45685,,,'')&lt;/Q&gt;&lt;R&gt;1&lt;/R&gt;&lt;C&gt;1&lt;/C&gt;&lt;D xsi:type="xsd:double"&gt;4.237864&lt;/D&gt;&lt;/FQL&gt;&lt;FQL&gt;&lt;Q&gt;Ticker0024^FE_ESTIMATE(EAG,MEAN,ANNUAL_ROLL,2026,45685,,,'')&lt;/Q&gt;&lt;R&gt;1&lt;/R&gt;&lt;C&gt;1&lt;/C&gt;&lt;D xsi:type="xsd:double"&gt;15.003559&lt;/D&gt;&lt;/FQL&gt;&lt;FQL&gt;&lt;Q&gt;Ticker0024^FE_ESTIMATE(EAG,MEAN,QUARTERLY_ROLL,2026/4F,45685,,,'')&lt;/Q&gt;&lt;R&gt;1&lt;/R&gt;&lt;C&gt;1&lt;/C&gt;&lt;D xsi:type="xsd:double"&gt;3.8692904&lt;/D&gt;&lt;/FQL&gt;&lt;FQL&gt;&lt;Q&gt;Ticker0024^FE_ESTIMATE(EAG,MEAN,QUARTERLY_ROLL,2026/3F,45685,,,'')&lt;/Q&gt;&lt;R&gt;1&lt;/R&gt;&lt;C&gt;1&lt;/C&gt;&lt;D xsi:type="xsd:double"&gt;3.7099838&lt;/D&gt;&lt;/FQL&gt;&lt;FQL&gt;&lt;Q&gt;Ticker0024^FE_ESTIMATE(EAG,MEAN,QUARTERLY_ROLL,2026/2F,45685,,,'')&lt;/Q&gt;&lt;R&gt;1&lt;/R&gt;&lt;C&gt;1&lt;/C&gt;&lt;D xsi:type="xsd:double"&gt;3.5976653&lt;/D&gt;&lt;/FQL&gt;&lt;FQL&gt;&lt;Q&gt;Ticker0024^FE_ESTIMATE(EAG,MEAN,QUARTERLY_ROLL,2026/1F,45685,,,'')&lt;/Q&gt;&lt;R&gt;1&lt;/R&gt;&lt;C&gt;1&lt;/C&gt;&lt;D xsi:type="xsd:double"&gt;3.5240135&lt;/D&gt;&lt;/FQL&gt;&lt;FQL&gt;&lt;Q&gt;Ticker0024^FE_ESTIMATE(EAG,MEAN,ANNUAL_ROLL,2025,45685,,,'')&lt;/Q&gt;&lt;R&gt;1&lt;/R&gt;&lt;C&gt;1&lt;/C&gt;&lt;D xsi:type="xsd:double"&gt;12.980214&lt;/D&gt;&lt;/FQL&gt;&lt;FQL&gt;&lt;Q&gt;Ticker0024^FE_ESTIMATE(EAG,MEAN,QUARTERLY_ROLL,2025/4F,45685,,,'')&lt;/Q&gt;&lt;R&gt;1&lt;/R&gt;&lt;C&gt;1&lt;/C&gt;&lt;D xsi:type="xsd:double"&gt;3.2831411&lt;/D&gt;&lt;/FQL&gt;&lt;FQL&gt;&lt;Q&gt;Ticker0024^FE_ESTIMATE(EAG,MEAN,QUARTERLY_ROLL,2025/3F,45685,,,'')&lt;/Q&gt;&lt;R&gt;1&lt;/R&gt;&lt;C&gt;1&lt;/C&gt;&lt;D xsi:type="xsd:double"&gt;3.1672702&lt;/D&gt;&lt;/FQL&gt;&lt;FQL&gt;&lt;Q&gt;Ticker0024^FE_ESTIMATE(EAG,MEAN,QUARTERLY_ROLL,2025/2F,45685,,,'')&lt;/Q&gt;&lt;R&gt;1&lt;/R&gt;&lt;C&gt;1&lt;/C&gt;&lt;D xsi:type="xsd:double"&gt;3.1173167&lt;/D&gt;&lt;/FQL&gt;&lt;FQL&gt;&lt;Q&gt;Ticker0024^FE_ESTIMATE(EAG,MEAN,QUARTERLY_ROLL,2025/1F,45685,,,'')&lt;/Q&gt;&lt;R&gt;1&lt;/R&gt;&lt;C&gt;1&lt;/C&gt;&lt;D xsi:type="xsd:double"&gt;3.3&lt;/D&gt;&lt;/FQL&gt;&lt;FQL&gt;&lt;Q&gt;Ticker0024^FE_ESTIMATE(EAG,MEAN,ANNUAL_ROLL,2024,45685,,,'')&lt;/Q&gt;&lt;R&gt;1&lt;/R&gt;&lt;C&gt;1&lt;/C&gt;&lt;D xsi:type="xsd:double"&gt;11.8&lt;/D&gt;&lt;/FQL&gt;&lt;FQL&gt;&lt;Q&gt;Ticker0024^FE_ESTIMATE(EAG,MEAN,QUARTERLY_ROLL,2024/4F,45685,,,'')&lt;/Q&gt;&lt;R&gt;1&lt;/R&gt;&lt;C&gt;1&lt;/C&gt;&lt;D xsi:type="xsd:double"&gt;2.95&lt;/D&gt;&lt;/FQL&gt;&lt;FQL&gt;&lt;Q&gt;Ticker0024^FE_ESTIMATE(EAG,MEAN,QUARTERLY_ROLL,2024/3F,45685,,,'')&lt;/Q&gt;&lt;R&gt;1&lt;/R&gt;&lt;C&gt;1&lt;/C&gt;&lt;D xsi:type="xsd:double"&gt;2.94&lt;/D&gt;&lt;/FQL&gt;&lt;FQL&gt;&lt;Q&gt;Ticker0024^FE_ESTIMATE(EAG,MEAN,QUARTERLY_ROLL,2024/2F,45685,,,'')&lt;/Q&gt;&lt;R&gt;1&lt;/R&gt;&lt;C&gt;1&lt;/C&gt;&lt;D xsi:type="xsd:double"&gt;2.93&lt;/D&gt;&lt;/FQL&gt;&lt;FQL&gt;&lt;Q&gt;Ticker0024^FE_ESTIMATE(EAG,MEAN,QUARTERLY_ROLL,2024/1F,45685,,,'')&lt;/Q&gt;&lt;R&gt;1&lt;/R&gt;&lt;C&gt;1&lt;/C&gt;&lt;D xsi:type="xsd:double"&gt;2.99&lt;/D&gt;&lt;/FQL&gt;&lt;FQL&gt;&lt;Q&gt;Ticker0024^FE_ESTIMATE(EAG,MEAN,ANNUAL_ROLL,2023,45685,,,'')&lt;/Q&gt;&lt;R&gt;1&lt;/R&gt;&lt;C&gt;1&lt;/C&gt;&lt;D xsi:type="xsd:double"&gt;9.68&lt;/D&gt;&lt;/FQL&gt;&lt;FQL&gt;&lt;Q&gt;Ticker0024^FE_ESTIMATE(EAG,MEAN,QUARTERLY_ROLL,2023/4F,45685,,,'')&lt;/Q&gt;&lt;R&gt;1&lt;/R&gt;&lt;C&gt;1&lt;/C&gt;&lt;D xsi:type="xsd:double"&gt;2.69&lt;/D&gt;&lt;/FQL&gt;&lt;FQL&gt;&lt;Q&gt;Ticker0024^FE_ESTIMATE(EAG,MEAN,QUARTERLY_ROLL,2023/3F,45685,,,'')&lt;/Q&gt;&lt;R&gt;1&lt;/R&gt;&lt;C&gt;1&lt;/C&gt;&lt;D xsi:type="xsd:double"&gt;2.4501362&lt;/D&gt;&lt;/FQL&gt;&lt;FQL&gt;&lt;Q&gt;Ticker0024^FE_ESTIMATE(EAG,MEAN,QUARTERLY_ROLL,2023/2F,45685,,,'')&lt;/Q&gt;&lt;R&gt;1&lt;/R&gt;&lt;C&gt;1&lt;/C&gt;&lt;D xsi:type="xsd:double"&gt;2.2&lt;/D&gt;&lt;/FQL&gt;&lt;FQL&gt;&lt;Q&gt;Ticker0024^FE_ESTIMATE(EAG,MEAN,QUARTERLY_ROLL,2023/1F,45685,,,'')&lt;/Q&gt;&lt;R&gt;1&lt;/R&gt;&lt;C&gt;1&lt;/C&gt;&lt;D xsi:type="xsd:double"&gt;2.35&lt;/D&gt;&lt;/FQL&gt;&lt;FQL&gt;&lt;Q&gt;Ticker0024^FE_ESTIMATE(EAG,MEAN,ANNUAL_ROLL,2022,45685,,,'')&lt;/Q&gt;&lt;R&gt;1&lt;/R&gt;&lt;C&gt;1&lt;/C&gt;&lt;D xsi:type="xsd:double"&gt;9.65&lt;/D&gt;&lt;/FQL&gt;&lt;FQL&gt;&lt;Q&gt;Ticker0024^FE_ESTIMATE(EAG,MEAN,QUARTERLY_ROLL,2022/4F,45685,,,'')&lt;/Q&gt;&lt;R&gt;1&lt;/R&gt;&lt;C&gt;1&lt;/C&gt;&lt;D xsi:type="xsd:double"&gt;2.23&lt;/D&gt;&lt;/FQL&gt;&lt;FQL&gt;&lt;Q&gt;Ticker0024^FE_ESTIMATE(EAG,MEAN,QUARTERLY_ROLL,2022/3F,45685,,,'')&lt;/Q&gt;&lt;R&gt;1&lt;/R&gt;&lt;C&gt;1&lt;/C&gt;&lt;D xsi:type="xsd:double"&gt;2.22&lt;/D&gt;&lt;/FQL&gt;&lt;FQL&gt;&lt;Q&gt;Ticker0024^FE_ESTIMATE(EAG,MEAN,QUARTERLY_ROLL,2022/2F,45685,,,'')&lt;/Q&gt;&lt;R&gt;1&lt;/R&gt;&lt;C&gt;1&lt;/C&gt;&lt;D xsi:type="xsd:double"&gt;2.48&lt;/D&gt;&lt;/FQL&gt;&lt;FQL&gt;&lt;Q&gt;Ticker0024^FE_ESTIMATE(EAG,MEAN,QUARTERLY_ROLL,2022/1F,45685,,,'')&lt;/Q&gt;&lt;R&gt;1&lt;/R&gt;&lt;C&gt;1&lt;/C&gt;&lt;D xsi:type="xsd:double"&gt;2.71&lt;/D&gt;&lt;/FQL&gt;&lt;FQL&gt;&lt;Q&gt;Ticker0024^FE_ESTIMATE(EAG,MEAN,ANNUAL_ROLL,2021,45685,,,'')&lt;/Q&gt;&lt;R&gt;1&lt;/R&gt;&lt;C&gt;1&lt;/C&gt;&lt;D xsi:type="xsd:double"&gt;8.05&lt;/D&gt;&lt;/FQL&gt;&lt;FQL&gt;&lt;Q&gt;Ticker0024^FE_ESTIMATE(EAG,MEAN,QUARTERLY_ROLL,2021/4F,45685,,,'')&lt;/Q&gt;&lt;R&gt;1&lt;/R&gt;&lt;C&gt;1&lt;/C&gt;&lt;D xsi:type="xsd:double"&gt;2.17&lt;/D&gt;&lt;/FQL&gt;&lt;FQL&gt;&lt;Q&gt;Ticker0024^FE_ESTIMATE(EAG,MEAN,QUARTERLY_ROLL,2021/3F,45685,,,'')&lt;/Q&gt;&lt;R&gt;1&lt;/R&gt;&lt;C&gt;1&lt;/C&gt;&lt;D xsi:type="xsd:double"&gt;2.03&lt;/D&gt;&lt;/FQL&gt;&lt;FQL&gt;&lt;Q&gt;Ticker0024^FE_ESTIMATE(EAG,MEAN,QUARTERLY_ROLL,2021/2F,45685,,,'')&lt;/Q&gt;&lt;R&gt;1&lt;/R&gt;&lt;C&gt;1&lt;/C&gt;&lt;D xsi:type="xsd:double"&gt;2.03&lt;/D&gt;&lt;/FQL&gt;&lt;FQL&gt;&lt;Q&gt;Ticker0024^FE_ESTIMATE(EAG,MEAN,QUARTERLY_ROLL,2021/1F,45685,,,'')&lt;/Q&gt;&lt;R&gt;1&lt;/R&gt;&lt;C&gt;1&lt;/C&gt;&lt;D xsi:type="xsd:double"&gt;1.82&lt;/D&gt;&lt;/FQL&gt;&lt;FQL&gt;&lt;Q&gt;Ticker0024^FE_ESTIMATE(EAG,MEAN,ANNUAL_ROLL,2020,45685,,,'')&lt;/Q&gt;&lt;R&gt;1&lt;/R&gt;&lt;C&gt;1&lt;/C&gt;&lt;D xsi:type="xsd:double"&gt;5.76&lt;/D&gt;&lt;/FQL&gt;&lt;FQL&gt;&lt;Q&gt;Ticker0024^FE_ESTIMATE(EAG,MEAN,QUARTERLY_ROLL,2020/4F,45685,,,'')&lt;/Q&gt;&lt;R&gt;1&lt;/R&gt;&lt;C&gt;1&lt;/C&gt;&lt;D xsi:type="xsd:double"&gt;1.46&lt;/D&gt;&lt;/FQL&gt;&lt;FQL&gt;&lt;Q&gt;Ticker0024^FE_ESTIMATE(EAG,MEAN,QUARTERLY_ROLL,2020/3F,45685,,,'')&lt;/Q&gt;&lt;R&gt;1&lt;/R&gt;&lt;C&gt;1&lt;/C&gt;&lt;D xsi:type="xsd:double"&gt;1.4&lt;/D&gt;&lt;/FQL&gt;&lt;FQL&gt;&lt;Q&gt;Ticker0024^FE_ESTIMATE(EAG,MEAN,QUARTERLY_ROLL,2020/2F,45685,,,'')&lt;/Q&gt;&lt;R&gt;1&lt;/R&gt;&lt;C&gt;1&lt;/C&gt;&lt;D xsi:type="xsd:double"&gt;1.51&lt;/D&gt;&lt;/FQL&gt;&lt;FQL&gt;&lt;Q&gt;Ticker0024^FE_ESTIMATE(EAG,MEAN,QUARTERLY_ROLL,2020/1F,45685,,,'')&lt;/Q&gt;&lt;R&gt;1&lt;/R&gt;&lt;C&gt;1&lt;/C&gt;&lt;D xsi:type="xsd:double"&gt;1.38&lt;/D&gt;&lt;/FQL&gt;&lt;FQL&gt;&lt;Q&gt;Ticker0024^FE_ESTIMATE(EAG,MEAN,ANNUAL_ROLL,2019,45685,,,'')&lt;/Q&gt;&lt;R&gt;1&lt;/R&gt;&lt;C&gt;1&lt;/C&gt;&lt;D xsi:type="xsd:double"&gt;5.06&lt;/D&gt;&lt;/FQL&gt;&lt;FQL&gt;&lt;Q&gt;Ticker0024^FE_ESTIMATE(EAG,MEAN,QUARTERLY_ROLL,2019/4F,45685,,,'')&lt;/Q&gt;&lt;R&gt;1&lt;/R&gt;&lt;C&gt;1&lt;/C&gt;&lt;D xsi:type="xsd:double"&gt;1.71&lt;/D&gt;&lt;/FQL&gt;&lt;FQL&gt;&lt;Q&gt;Ticker0024^FE_ESTIMATE(EAG,MEAN,QUARTERLY_ROLL,2019/3F,45685,,,'')&lt;/Q&gt;&lt;R&gt;1&lt;/R&gt;&lt;C&gt;1&lt;/C&gt;&lt;D xsi:type="xsd:double"&gt;1.14&lt;/D&gt;&lt;/FQL&gt;&lt;FQL&gt;&lt;Q&gt;Ticker0024^FE_ESTIMATE(EAG,MEAN,QUARTERLY_ROLL,2019/2F,45685,,,'')&lt;/Q&gt;&lt;R&gt;1&lt;/R&gt;&lt;C&gt;1&lt;/C&gt;&lt;D xsi:type="xsd:double"&gt;1.08&lt;/D&gt;&lt;/FQL&gt;&lt;FQL&gt;&lt;Q&gt;Ticker0024^FE_ESTIMATE(EAG,MEAN,QUARTERLY_ROLL,2019/1F,45685,,,'')&lt;/Q&gt;&lt;R&gt;1&lt;/R&gt;&lt;C&gt;1&lt;/C&gt;&lt;D xsi:type="xsd:double"&gt;1.14&lt;/D&gt;&lt;/FQL&gt;&lt;FQL&gt;&lt;Q&gt;Ticker0024^FE_ESTIMATE(EAG,MEAN,ANNUAL_ROLL,2018,45685,,,'')&lt;/Q&gt;&lt;R&gt;1&lt;/R&gt;&lt;C&gt;1&lt;/C&gt;&lt;D xsi:type="xsd:double"&gt;2.13&lt;/D&gt;&lt;/FQL&gt;&lt;FQL&gt;&lt;Q&gt;Ticker0024^FE_ESTIMATE(EAG,MEAN,QUARTERLY_ROLL,2018/4F,45685,,,'')&lt;/Q&gt;&lt;R&gt;1&lt;/R&gt;&lt;C&gt;1&lt;/C&gt;&lt;D xsi:type="xsd:double"&gt;1.14&lt;/D&gt;&lt;/FQL&gt;&lt;FQL&gt;&lt;Q&gt;Ticker0024^FE_ESTIMATE(EAG,MEAN,QUARTERLY_ROLL,2018/3F,45685,,,'')&lt;/Q&gt;&lt;R&gt;1&lt;/R&gt;&lt;C&gt;1&lt;/C&gt;&lt;D xsi:type="xsd:double"&gt;0.9504607&lt;/D&gt;&lt;/FQL&gt;&lt;FQL&gt;&lt;Q&gt;Ticker0024^FE_ESTIMATE(EAG,MEAN,QUARTERLY_ROLL,2018/2F,45685,,,'')&lt;/Q&gt;&lt;R&gt;1&lt;/R&gt;&lt;C&gt;1&lt;/C&gt;&lt;D xsi:type="xsd:double"&gt;-0.82&lt;/D&gt;&lt;/FQL&gt;&lt;FQL&gt;&lt;Q&gt;Ticker0024^FE_ESTIMATE(EAG,MEAN,QUARTERLY_ROLL,2018/1F,45685,,,'')&lt;/Q&gt;&lt;R&gt;1&lt;/R&gt;&lt;C&gt;1&lt;/C&gt;&lt;D xsi:type="xsd:double"&gt;0.84&lt;/D&gt;&lt;/FQL&gt;&lt;FQL&gt;&lt;Q&gt;Ticker0024^FE_ESTIMATE(EAG,MEAN,ANNUAL_ROLL,2017,45685,,,'')&lt;/Q&gt;&lt;R&gt;1&lt;/R&gt;&lt;C&gt;1&lt;/C&gt;&lt;D xsi:type="xsd:double"&gt;2.71&lt;/D&gt;&lt;/FQL&gt;&lt;FQL&gt;&lt;Q&gt;Ticker0024^FE_ESTIMATE(EAG,MEAN,QUARTERLY_ROLL,2017/4F,45685,,,'')&lt;/Q&gt;&lt;R&gt;1&lt;/R&gt;&lt;C&gt;1&lt;/C&gt;&lt;D xsi:type="xsd:double"&gt;0.83&lt;/D&gt;&lt;/FQL&gt;&lt;FQL&gt;&lt;Q&gt;Ticker0024^FE_ESTIMATE(EAG,MEAN,QUARTERLY_ROLL,2017/3F,45685,,,'')&lt;/Q&gt;&lt;R&gt;1&lt;/R&gt;&lt;C&gt;1&lt;/C&gt;&lt;D xsi:type="xsd:double"&gt;0.61&lt;/D&gt;&lt;/FQL&gt;&lt;FQL&gt;&lt;Q&gt;Ticker0024^FE_ESTIMATE(EAG,MEAN,QUARTERLY_ROLL,2017/2F,45685,,,'')&lt;/Q&gt;&lt;R&gt;1&lt;/R&gt;&lt;C&gt;1&lt;/C&gt;&lt;D xsi:type="xsd:double"&gt;0.66&lt;/D&gt;&lt;/FQL&gt;&lt;FQL&gt;&lt;Q&gt;Ticker0024^FE_ESTIMATE(EAG,MEAN,QUARTERLY_ROLL,2017/1F,45685,,,'')&lt;/Q&gt;&lt;R&gt;1&lt;/R&gt;&lt;C&gt;1&lt;/C&gt;&lt;D xsi:type="xsd:double"&gt;0.6&lt;/D&gt;&lt;/FQL&gt;&lt;FQL&gt;&lt;Q&gt;Ticker0024^FE_ESTIMATE(EAG,MEAN,ANNUAL_ROLL,2016,45685,,,'')&lt;/Q&gt;&lt;R&gt;1&lt;/R&gt;&lt;C&gt;1&lt;/C&gt;&lt;D xsi:type="xsd:double"&gt;2.1&lt;/D&gt;&lt;/FQL&gt;&lt;FQL&gt;&lt;Q&gt;Ticker0024^FE_ESTIMATE(EAG,MEAN,QUARTERLY_ROLL,2016/4F,45685,,,'')&lt;/Q&gt;&lt;R&gt;1&lt;/R&gt;&lt;C&gt;1&lt;/C&gt;&lt;D xsi:type="xsd:double"&gt;0.39&lt;/D&gt;&lt;/FQL&gt;&lt;FQL&gt;&lt;Q&gt;Ticker0024^FE_ESTIMATE(EAG,MEAN,QUARTERLY_ROLL,2016/3F,45685,,,'')&lt;/Q&gt;&lt;R&gt;1&lt;/R&gt;&lt;C&gt;1&lt;/C&gt;&lt;D xsi:type="xsd:double"&gt;0.47&lt;/D&gt;&lt;/FQL&gt;&lt;FQL&gt;&lt;Q&gt;Ticker0024^FE_ESTIMATE(EAG,MEAN,QUARTERLY_ROLL,2016/2F,45685,,,'')&lt;/Q&gt;&lt;R&gt;1&lt;/R&gt;&lt;C&gt;1&lt;/C&gt;&lt;D xsi:type="xsd:double"&gt;0.62&lt;/D&gt;&lt;/FQL&gt;&lt;FQL&gt;&lt;Q&gt;Ticker0024^FE_ESTIMATE(EAG,MEAN,QUARTERLY_ROLL,2016/1F,45685,,,'')&lt;/Q&gt;&lt;R&gt;1&lt;/R&gt;&lt;C&gt;1&lt;/C&gt;&lt;D xsi:type="xsd:double"&gt;0.57&lt;/D&gt;&lt;/FQL&gt;&lt;FQL&gt;&lt;Q&gt;Ticker0024^FE_ESTIMATE(EAG,MEAN,ANNUAL_ROLL,2015,45685,,,'')&lt;/Q&gt;&lt;R&gt;1&lt;/R&gt;&lt;C&gt;1&lt;/C&gt;&lt;D xsi:type="xsd:double"&gt;1.48&lt;/D&gt;&lt;/FQL&gt;&lt;FQL&gt;&lt;Q&gt;Ticker0024^FE_ESTIMATE(EAG,MEAN,QUARTERLY_ROLL,2015/4F,45685,,,'')&lt;/Q&gt;&lt;R&gt;1&lt;/R&gt;&lt;C&gt;1&lt;/C&gt;&lt;D xsi:type="xsd:double"&gt;-0.4&lt;/D&gt;&lt;/FQL&gt;&lt;FQL&gt;&lt;Q&gt;Ticker0024^FE_ESTIMATE(EAG,MEAN,QUARTERLY_ROLL,2015/3F,45685,,,'')&lt;/Q&gt;&lt;R&gt;1&lt;/R&gt;&lt;C&gt;1&lt;/C&gt;&lt;D xsi:type="xsd:double"&gt;0.61&lt;/D&gt;&lt;/FQL&gt;&lt;FQL&gt;&lt;Q&gt;Ticker0024^FE_ESTIMATE(EAG,MEAN,QUARTERLY_ROLL,2015/2F,45685,,,'')&lt;/Q&gt;&lt;R&gt;1&lt;/R&gt;&lt;C&gt;1&lt;/C&gt;&lt;D xsi:type="xsd:double"&gt;0.71&lt;/D&gt;&lt;/FQL&gt;&lt;FQL&gt;&lt;Q&gt;Ticker0024^FE_ESTIMATE(EAG,MEAN,QUARTERLY_ROLL,2015/1F,45685,,,'')&lt;/Q&gt;&lt;R&gt;1&lt;/R&gt;&lt;C&gt;1&lt;/C&gt;&lt;D xsi:type="xsd:double"&gt;0.54&lt;/D&gt;&lt;/FQL&gt;&lt;FQL&gt;&lt;Q&gt;Ticker0024^FE_ESTIMATE(EBIT,MEAN,ANNUAL_ROLL,2030,45685,,,'')&lt;/Q&gt;&lt;R&gt;0&lt;/R&gt;&lt;C&gt;0&lt;/C&gt;&lt;/FQL&gt;&lt;FQL&gt;&lt;Q&gt;Ticker0024^FE_ESTIMATE(EBIT,MEAN,QUARTERLY_ROLL,2030/4F,45685,,,'')&lt;/Q&gt;&lt;R&gt;0&lt;/R&gt;&lt;C&gt;0&lt;/C&gt;&lt;/FQL&gt;&lt;FQL&gt;&lt;Q&gt;Ticker0024^FE_ESTIMATE(EBIT,MEAN,QUARTERLY_ROLL,2030/3F,45685,,,'')&lt;/Q&gt;&lt;R&gt;0&lt;/R&gt;&lt;C&gt;0&lt;/C&gt;&lt;/FQL&gt;&lt;FQL&gt;&lt;Q&gt;Ticker0024^FE_ESTIMATE(EBIT,MEAN,QUARTERLY_ROLL,2030/2F,45685,,,'')&lt;/Q&gt;&lt;R&gt;0&lt;/R&gt;&lt;C&gt;0&lt;/C&gt;&lt;/FQL&gt;&lt;FQL&gt;&lt;Q&gt;Ticker0024^FE_ESTIMATE(EBIT,MEAN,QUARTERLY_ROLL,2030/1F,45685,,,'')&lt;/Q&gt;&lt;R&gt;0&lt;/R&gt;&lt;C&gt;0&lt;/C&gt;&lt;/FQL&gt;&lt;FQL&gt;&lt;Q&gt;Ticker0024^FE_ESTIMATE(EBIT,MEAN,ANNUAL_ROLL,2029,45685,,,'')&lt;/Q&gt;&lt;R&gt;1&lt;/R&gt;&lt;C&gt;1&lt;/C&gt;&lt;D xsi:type="xsd:double"&gt;214978.3&lt;/D&gt;&lt;/FQL&gt;&lt;FQL&gt;&lt;Q&gt;Ticker0024^FE_ESTIMATE(EBIT,MEAN,QUARTERLY_ROLL,2029/4F,45685,,,'')&lt;/Q&gt;&lt;R&gt;0&lt;/R&gt;&lt;C&gt;0&lt;/C&gt;&lt;/FQL&gt;&lt;FQL&gt;&lt;Q&gt;Ticker0024^FE_ESTIMATE(EBIT,MEAN,QUARTERLY_ROLL,2029/3F,45685,,,'')&lt;/Q&gt;&lt;R&gt;0&lt;/R&gt;&lt;C&gt;0&lt;/C&gt;&lt;/FQL&gt;&lt;FQL&gt;&lt;Q&gt;Ticker0024^FE_ESTIMATE(EBIT,MEAN,QUARTERLY_ROLL,2029/2F,45685,,,'')&lt;/Q&gt;&lt;R&gt;0&lt;/R&gt;&lt;C&gt;0&lt;/C&gt;&lt;/FQL&gt;&lt;FQL&gt;&lt;Q&gt;Ticker0024^FE_ESTIMATE(EBIT,MEAN,QUARTERLY_ROLL,2029/1F,45685,,,'')&lt;/Q&gt;&lt;R&gt;0&lt;/R&gt;&lt;C&gt;0&lt;/C&gt;&lt;/FQL&gt;&lt;FQL&gt;&lt;Q&gt;Ticker0024^FE_ESTIMATE(EBIT,MEAN,ANNUAL_ROLL,2028,45685,,,'')&lt;/Q&gt;&lt;R&gt;1&lt;/R&gt;&lt;C&gt;1&lt;/C&gt;&lt;D xsi:type="xsd:double"&gt;186064.3&lt;/D&gt;&lt;/FQL&gt;&lt;FQL&gt;&lt;Q&gt;Ticker0024^FE_ESTIMATE(EBIT,MEAN,QUARTERLY_ROLL,2028/4F,45685,,,'')&lt;/Q&gt;&lt;R&gt;0&lt;/R&gt;&lt;C&gt;0&lt;/C&gt;&lt;/FQL&gt;&lt;FQL&gt;&lt;Q&gt;Ticker0024^FE_ESTIMATE(EBIT,MEAN,QUARTERLY_ROLL,2028/3F,45685,,,'')&lt;/Q&gt;&lt;R&gt;0&lt;/R&gt;&lt;C&gt;0&lt;/C&gt;&lt;/FQL&gt;&lt;FQL&gt;&lt;Q&gt;Ticker0024^FE_ESTIMATE(EBIT,MEAN,QUARTERLY_ROLL,2028/2F,45685,,,'')&lt;/Q&gt;&lt;R&gt;0&lt;/R&gt;&lt;C&gt;0&lt;/C&gt;&lt;/FQL&gt;&lt;FQL&gt;&lt;Q&gt;Ticker0024^FE_ESTIMATE(EBIT,MEAN,QUARTERLY_ROLL,2028/1F,45685,,,'')&lt;/Q&gt;&lt;R&gt;0&lt;/R&gt;&lt;C&gt;0&lt;/C&gt;&lt;/FQL&gt;&lt;FQL&gt;&lt;Q&gt;Ticker0024^FE_ESTIMATE(EBIT,MEAN,ANNUAL_ROLL,2027,45685,,,'')&lt;/Q&gt;&lt;R&gt;1&lt;/R&gt;&lt;C&gt;1&lt;/C&gt;&lt;D xsi:type="xsd:double"&gt;164188.63&lt;/D&gt;&lt;/FQL&gt;&lt;FQL&gt;&lt;Q&gt;Ticker0024^FE_ESTIMATE(EBIT,MEAN,QUARTERLY_ROLL,2027/4F,45685,,,'')&lt;/Q&gt;&lt;R&gt;1&lt;/R&gt;&lt;C&gt;1&lt;/C&gt;&lt;D xsi:type="xsd:double"&gt;43688.016&lt;/D&gt;&lt;/FQL&gt;&lt;FQL&gt;&lt;Q&gt;Ticker0024^FE_ESTIMATE(EBIT,MEAN,QUARTERLY_ROLL,2027/3F,45685,,,'')&lt;/Q&gt;&lt;R&gt;1&lt;/R&gt;&lt;C&gt;1&lt;/C&gt;&lt;D xsi:type="xsd:double"&gt;41598.742&lt;/D&gt;&lt;/FQL&gt;&lt;FQL&gt;&lt;Q&gt;Ticker0024^FE_ESTIMATE(EBIT,MEAN,QUARTERLY_ROLL,2027/2F,45685,,,'')&lt;/Q&gt;&lt;R&gt;1&lt;/R&gt;&lt;C&gt;1&lt;/C&gt;&lt;D xsi:type="xsd:double"&gt;41562.32&lt;/D&gt;&lt;/FQL&gt;&lt;FQL&gt;&lt;Q&gt;Ticker0024^FE_ESTIMATE(EBIT,MEAN,QUARTERLY_ROLL,2027/1F,45685,,,'')&lt;/Q&gt;&lt;R&gt;1&lt;/R&gt;&lt;C&gt;1&lt;/C&gt;&lt;D xsi:type="xsd:double"&gt;40303.215&lt;/D&gt;&lt;/FQL&gt;&lt;FQL&gt;&lt;Q&gt;Ticker0024^FE_ESTIMATE(EBIT,MEAN,ANNUAL_ROLL,2026,45685,,,'')&lt;/Q&gt;&lt;R&gt;1&lt;/R&gt;&lt;C&gt;1&lt;/C&gt;&lt;D xsi:type="xsd:double"&gt;141029.3&lt;/D&gt;&lt;/FQL&gt;&lt;FQL&gt;&lt;Q&gt;Ticker0024^FE_ESTIMATE(EBIT,MEAN,QUARTERLY_ROLL,2026/4F,45685,,,'')&lt;/Q&gt;&lt;R&gt;1&lt;/R&gt;&lt;C&gt;1&lt;/C&gt;&lt;D xsi:type="xsd:double"&gt;36803.125&lt;/D&gt;&lt;/FQL&gt;&lt;FQL&gt;&lt;Q&gt;Ticker0024^FE_ESTIMATE(EBIT,MEAN,QUARTERLY_ROLL,2026/3F,45685,,,'')&lt;/Q&gt;&lt;R&gt;1&lt;/R&gt;&lt;C&gt;1&lt;/C&gt;&lt;D xsi:type="xsd:double"&gt;35305.26&lt;/D&gt;&lt;/FQL&gt;&lt;FQL&gt;&lt;Q&gt;Ticker0024^FE_ESTIMATE(EBIT,MEAN,QUARTERLY_ROLL,2026/2F,45685,,,'')&lt;/Q&gt;&lt;R&gt;1&lt;/R&gt;&lt;C&gt;1&lt;/C&gt;&lt;D xsi:type="xsd:double"&gt;34460.293&lt;/D&gt;&lt;/FQL&gt;&lt;FQL&gt;&lt;Q&gt;Ticker0024^FE_ESTIMATE(EBIT,MEAN,QUARTERLY_ROLL,2026/1F,45685,,,'')&lt;/Q&gt;&lt;R&gt;1&lt;/R&gt;&lt;C&gt;1&lt;/C&gt;&lt;D xsi:type="xsd:double"&gt;33779.215&lt;/D&gt;&lt;/FQL&gt;&lt;FQL&gt;&lt;Q&gt;Ticker0024^FE_ESTIMATE(EBIT,MEAN,ANNUAL_ROLL,2025,45685,,,'')&lt;/Q&gt;&lt;R&gt;1&lt;/R&gt;&lt;C&gt;1&lt;/C&gt;&lt;D xsi:type="xsd:double"&gt;123482.65&lt;/D&gt;&lt;/FQL&gt;&lt;FQL&gt;&lt;Q&gt;Ticker0024^FE_ESTIMATE(EBIT,MEAN,QUARTERLY_ROLL,2025/4F,45685,,,'')&lt;/Q&gt;&lt;R&gt;1&lt;/R&gt;&lt;C&gt;1&lt;/C&gt;&lt;D xsi:type="xsd:double"&gt;31686.332&lt;/D&gt;&lt;/FQL&gt;&lt;FQL&gt;&lt;Q&gt;Ticker0024^FE_ESTIMATE(EBIT,MEAN,QUARTERLY_ROLL,2025/3F,45685,,,'')&lt;/Q&gt;&lt;R&gt;1&lt;/R&gt;&lt;C&gt;1&lt;/C&gt;&lt;D xsi:type="xsd:double"&gt;30635.863&lt;/D&gt;&lt;/FQL&gt;&lt;FQL&gt;&lt;Q&gt;Ticker0024^FE_ESTIMATE(EBIT,MEAN,QUARTERLY_ROLL,2025/2F,45685,,,'')&lt;/Q&gt;&lt;R&gt;1&lt;/R&gt;&lt;C&gt;1&lt;/C&gt;&lt;D xsi:type="xsd:double"&gt;30441.264&lt;/D&gt;&lt;/FQL&gt;&lt;FQL&gt;&lt;Q&gt;Ticker0024^FE_ESTIMATE(EBIT,MEAN,QUARTERLY_ROLL,2025/1F,45685,,,'')&lt;/Q&gt;&lt;R&gt;1&lt;/R&gt;&lt;C&gt;1&lt;/C&gt;&lt;D xsi:type="xsd:double"&gt;30553.637&lt;/D&gt;&lt;/FQL&gt;&lt;FQL&gt;&lt;Q&gt;Ticker0024^FE_ESTIMATE(EBIT,MEAN,ANNUAL_ROLL,2024,45685,,,'')&lt;/Q&gt;&lt;R&gt;1&lt;/R&gt;&lt;C&gt;1&lt;/C&gt;&lt;D xsi:type="xsd:double"&gt;109729.96&lt;/D&gt;&lt;/FQL&gt;&lt;FQL&gt;&lt;Q&gt;Ticker0024^FE_ESTIMATE(EBIT,MEAN,QUARTERLY_ROLL,2024/4F,45685,,,'')&lt;/Q&gt;&lt;R&gt;1&lt;/R&gt;&lt;C&gt;1&lt;/C&gt;&lt;D xsi:type="xsd:double"&gt;27926.969&lt;/D&gt;&lt;/FQL&gt;&lt;FQL&gt;&lt;Q&gt;Ticker0024^FE_ESTIMATE(EBIT,MEAN,QUARTERLY_ROLL,2024/3F,45685,,,'')&lt;/Q&gt;&lt;R&gt;1&lt;/R&gt;&lt;C&gt;1&lt;/C&gt;&lt;D xsi:type="xsd:double"&gt;27582.4&lt;/D&gt;&lt;/FQL&gt;&lt;FQL&gt;&lt;Q&gt;Ticker0024^FE_ESTIMATE(EBIT,MEAN,QUARTERLY_ROLL,2024/2F,45685,,,'')&lt;/Q&gt;&lt;R&gt;1&lt;/R&gt;&lt;C&gt;1&lt;/C&gt;&lt;D xsi:type="xsd:double"&gt;27031.055&lt;/D&gt;&lt;/FQL&gt;&lt;FQL&gt;&lt;Q&gt;Ticker0024^FE_ESTIMATE(EBIT,MEAN,QUARTERLY_ROLL,2024/1F,45685,,,'')&lt;/Q&gt;&lt;R&gt;1&lt;/R&gt;&lt;C&gt;1&lt;/C&gt;&lt;D xsi:type="xsd:double"&gt;26895.146&lt;/D&gt;&lt;/FQL&gt;&lt;FQL&gt;&lt;Q&gt;Ticker0024^FE_ESTIMATE(EBIT,MEAN,ANNUAL_ROLL,2023,45685,,,'')&lt;/Q&gt;&lt;R&gt;1&lt;/R&gt;&lt;C&gt;1&lt;/C&gt;&lt;D xsi:type="xsd:double"&gt;88600.766&lt;/D&gt;&lt;/FQL&gt;&lt;FQL&gt;&lt;Q&gt;Ticker0024^FE_ESTIMATE(EBIT,MEAN,QUARTERLY_ROLL,2023/4F,45685,,,'')&lt;/Q&gt;&lt;R&gt;1&lt;/R&gt;&lt;C&gt;1&lt;/C&gt;&lt;D xsi:type="xsd:double"&gt;24173.82&lt;/D&gt;&lt;/FQL&gt;&lt;FQL&gt;&lt;Q&gt;Ticker0024^FE_ESTIMATE(EBIT,MEAN,QUARTERLY_ROLL,2023/3F,45685,,,'')&lt;/Q&gt;&lt;R&gt;1&lt;/R&gt;&lt;C&gt;1&lt;/C&gt;&lt;D xsi:type="xsd:double"&gt;22351.936&lt;/D&gt;&lt;/FQL&gt;&lt;FQL&gt;&lt;Q&gt;Ticker0024^FE_ESTIMATE(EBIT,MEAN,QUARTERLY_ROLL,2023/2F,45685,,,'')&lt;/Q&gt;&lt;R&gt;1&lt;/R&gt;&lt;C&gt;1&lt;/C&gt;&lt;D xsi:type="xsd:double"&gt;20399.059&lt;/D&gt;&lt;/FQL&gt;&lt;FQL&gt;&lt;Q&gt;Ticker0024^FE_ESTIMATE(EBIT,MEAN,QUARTERLY_ROLL,2023/1F,45685,,,'')&lt;/Q&gt;&lt;R&gt;1&lt;/R&gt;&lt;C&gt;1&lt;/C&gt;&lt;D xsi:type="xsd:double"&gt;21518.063&lt;/D&gt;&lt;/FQL&gt;&lt;FQL&gt;&lt;Q&gt;Ticker0024^FE_ESTIMATE(EBIT,MEAN,ANNUAL_ROLL,2022,45685,,,'')&lt;/Q&gt;&lt;R&gt;1&lt;/R&gt;&lt;C&gt;1&lt;/C&gt;&lt;D xsi:type="xsd:double"&gt;83380.48&lt;/D&gt;&lt;/FQL&gt;&lt;FQL&gt;&lt;Q&gt;Ticker0024^FE_ESTIMATE(EBIT,MEAN,QUARTERLY_ROLL,2022/4F,45685,,,'')&lt;/Q&gt;&lt;R&gt;1&lt;/R&gt;&lt;C&gt;1&lt;/C&gt;&lt;D xsi:type="xsd:double"&gt;20531.785&lt;/D&gt;&lt;/FQL&gt;&lt;FQL&gt;&lt;Q&gt;Ticker0024^FE_ESTIMATE(EBIT,MEAN,QUARTERLY_ROLL,2022/3F,45685,,,'')&lt;/Q&gt;&lt;R&gt;1&lt;/R&gt;&lt;C&gt;1&lt;/C&gt;&lt;D xsi:type="xsd:double"&gt;20362.076&lt;/D&gt;&lt;/FQL&gt;&lt;FQL&gt;&lt;Q&gt;Ticker0024^FE_ESTIMATE(EBIT,MEAN,QUARTERLY_ROLL,2022/2F,45685,,,'')&lt;/Q&gt;&lt;R&gt;1&lt;/R&gt;&lt;C&gt;1&lt;/C&gt;&lt;D xsi:type="xsd:double"&gt;22246.809&lt;/D&gt;&lt;/FQL&gt;&lt;FQL&gt;&lt;Q&gt;Ticker0024^FE_ESTIMATE(EBIT,MEAN,QUARTERLY_ROLL,2022/1F,45685,,,'')&lt;/Q&gt;&lt;R&gt;1&lt;/R&gt;&lt;C&gt;1&lt;/C&gt;&lt;D xsi:type="xsd:double"&gt;20237.896&lt;/D&gt;&lt;/FQL&gt;&lt;FQL&gt;&lt;Q&gt;Ticker0024^FE_ESTIMATE(EBIT,MEAN,ANNUAL_ROLL,2021,45685,,,'')&lt;/Q&gt;&lt;R&gt;1&lt;/R&gt;&lt;C&gt;1&lt;/C&gt;&lt;D xsi:type="xsd:double"&gt;69916.43&lt;/D&gt;&lt;/FQL&gt;&lt;FQL&gt;&lt;Q&gt;Ticker0024^FE_ESTIMATE(EBIT,MEAN,QUARTERLY_ROLL,2021/4F,45685,,,'')&lt;/Q&gt;&lt;R&gt;1&lt;/R&gt;&lt;C&gt;1&lt;/C&gt;&lt;D xsi:type="xsd:double"&gt;19095&lt;/D&gt;&lt;/FQL&gt;&lt;FQL&gt;&lt;Q&gt;Ticker0024^FE_ESTIMATE(EBIT,MEAN,QUARTERLY_ROLL,2021/3F,45685,,,'')&lt;/Q&gt;&lt;R&gt;1&lt;/R&gt;&lt;C&gt;1&lt;/C&gt;&lt;D xsi:type="xsd:double"&gt;17048&lt;/D&gt;&lt;/FQL&gt;&lt;FQL&gt;&lt;Q&gt;Ticker0024^FE_ESTIMATE(EBIT,MEAN,QUARTERLY_ROLL,2021/2F,45685,,,'')&lt;/Q&gt;&lt;R&gt;1&lt;/R&gt;&lt;C&gt;1&lt;/C&gt;&lt;D xsi:type="xsd:double"&gt;17896.826&lt;/D&gt;&lt;/FQL&gt;&lt;FQL&gt;&lt;Q&gt;Ticker0024^FE_ESTIMATE(EBIT,MEAN,QUARTERLY_ROLL,2021/1F,45685,,,'')&lt;/Q&gt;&lt;R&gt;1&lt;/R&gt;&lt;C&gt;1&lt;/C&gt;&lt;D xsi:type="xsd:double"&gt;15875.739&lt;/D&gt;&lt;/FQL&gt;&lt;FQL&gt;&lt;Q&gt;Ticker0024^FE_ESTIMATE(EBIT,MEAN,ANNUAL_ROLL,2020,45685,,,'')&lt;/Q&gt;&lt;R&gt;1&lt;/R&gt;&lt;C&gt;1&lt;/C&gt;&lt;D xsi:type="xsd:double"&gt;52978.875&lt;/D&gt;&lt;/FQL&gt;&lt;FQL&gt;&lt;Q&gt;Ticker0024^FE_ESTIMATE(EBIT,MEAN,QUARTERLY_ROLL,2020/4F,45685,,,'')&lt;/Q&gt;&lt;R&gt;1&lt;/R&gt;&lt;C&gt;1&lt;/C&gt;&lt;D xsi:type="xsd:double"&gt;13432.45&lt;/D&gt;&lt;/FQL&gt;&lt;FQL&gt;&lt;Q&gt;Ticker0024^FE_ESTIMATE(EBIT,MEAN,QUARTERLY_ROLL,2020/3F,45685,,,'')&lt;/Q&gt;&lt;R&gt;1&lt;/R&gt;&lt;C&gt;1&lt;/C&gt;&lt;D xsi:type="xsd:double"&gt;12975&lt;/D&gt;&lt;/FQL&gt;&lt;FQL&gt;&lt;Q&gt;Ticker0024^FE_ESTIMATE(EBIT,MEAN,QUARTERLY_ROLL,2020/2F,45685,,,'')&lt;/Q&gt;&lt;R&gt;1&lt;/R&gt;&lt;C&gt;1&lt;/C&gt;&lt;D xsi:type="xsd:double"&gt;13891&lt;/D&gt;&lt;/FQL&gt;&lt;FQL&gt;&lt;Q&gt;Ticker0024^FE_ESTIMATE(EBIT,MEAN,QUARTERLY_ROLL,2020/1F,45685,,,'')&lt;/Q&gt;&lt;R&gt;1&lt;/R&gt;&lt;C&gt;1&lt;/C&gt;&lt;D xsi:type="xsd:double"&gt;12686&lt;/D&gt;&lt;/FQL&gt;&lt;FQL&gt;&lt;Q&gt;Ticker0024^FE_ESTIMATE(EBIT,MEAN,ANNUAL_ROLL,2019,45685,,,'')&lt;/Q&gt;&lt;R&gt;1&lt;/R&gt;&lt;C&gt;1&lt;/C&gt;&lt;D xsi:type="xsd:double"&gt;42964.805&lt;/D&gt;&lt;/FQL&gt;&lt;FQL&gt;&lt;Q&gt;Ticker0024^FE_ESTIMATE(EBIT,MEAN,QUARTERLY_ROLL,2019/4F,45685,,,'')&lt;/Q&gt;&lt;R&gt;1&lt;/R&gt;&lt;C&gt;1&lt;/C&gt;&lt;D xsi:type="xsd:double"&gt;12405&lt;/D&gt;&lt;/FQL&gt;&lt;FQL&gt;&lt;Q&gt;Ticker0024^FE_ESTIMATE(EBIT,MEAN,QUARTERLY_ROLL,2019/3F,45685,,,'')&lt;/Q&gt;&lt;R&gt;1&lt;/R&gt;&lt;C&gt;1&lt;/C&gt;&lt;D xsi:type="xsd:double"&gt;10341&lt;/D&gt;&lt;/FQL&gt;&lt;FQL&gt;&lt;Q&gt;Ticker0024^FE_ESTIMATE(EBIT,MEAN,QUARTERLY_ROLL,2019/2F,45685,,,'')&lt;/Q&gt;&lt;R&gt;1&lt;/R&gt;&lt;C&gt;1&lt;/C&gt;&lt;D xsi:type="xsd:double"&gt;10263.846&lt;/D&gt;&lt;/FQL&gt;&lt;FQL&gt;&lt;Q&gt;Ticker0024^FE_ESTIMATE(EBIT,MEAN,QUARTERLY_ROLL,2019/1F,45685,,,'')&lt;/Q&gt;&lt;R&gt;1&lt;/R&gt;&lt;C&gt;1&lt;/C&gt;&lt;D xsi:type="xsd:double"&gt;9955&lt;/D&gt;&lt;/FQL&gt;&lt;FQL&gt;&lt;Q&gt;Ticker0024^FE_ESTIMATE(EBIT,MEAN,ANNUAL_ROLL,2018,45685,,,'')&lt;/Q&gt;&lt;R&gt;1&lt;/R&gt;&lt;C&gt;1&lt;/C&gt;&lt;D xsi:type="xsd:double"&gt;35034.188&lt;/D&gt;&lt;/FQL&gt;&lt;FQL&gt;&lt;Q&gt;Ticker0024^FE_ESTIMATE(EBIT,MEAN,QUARTERLY_ROLL,2018/4F,45685,,,'')&lt;/Q&gt;&lt;R&gt;1&lt;/R&gt;&lt;C&gt;1&lt;/C&gt;&lt;D xsi:type="xsd:double"&gt;10349.692&lt;/D&gt;&lt;/FQL&gt;&lt;FQL&gt;&lt;Q&gt;Ticker0024^FE_ESTIMATE(EBIT,MEAN,QUARTERLY_ROLL,2018/3F,45685,,,'')&lt;/Q&gt;&lt;R&gt;1&lt;/R&gt;&lt;C&gt;1&lt;/C&gt;&lt;D xsi:type="xsd:double"&gt;8292&lt;/D&gt;&lt;/FQL&gt;&lt;FQL&gt;&lt;Q&gt;Ticker0024^FE_ESTIMATE(EBIT,MEAN,QUARTERLY_ROLL,2018/2F,45685,,,'')&lt;/Q&gt;&lt;R&gt;1&lt;/R&gt;&lt;C&gt;1&lt;/C&gt;&lt;D xsi:type="xsd:double"&gt;8679&lt;/D&gt;&lt;/FQL&gt;&lt;FQL&gt;&lt;Q&gt;Ticker0024^FE_ESTIMATE(EBIT,MEAN,QUARTERLY_ROLL,2018/1F,45685,,,'')&lt;/Q&gt;&lt;R&gt;1&lt;/R&gt;&lt;C&gt;1&lt;/C&gt;&lt;D xsi:type="xsd:double"&gt;7708&lt;/D&gt;&lt;/FQL&gt;&lt;FQL&gt;&lt;Q&gt;Ticker0024^FE_ESTIMATE(EBIT,MEAN,ANNUAL_ROLL,2017,45685,,,'')&lt;/Q&gt;&lt;R&gt;1&lt;/R&gt;&lt;C&gt;1&lt;/C&gt;&lt;D xsi:type="xsd:double"&gt;29326.25&lt;/D&gt;&lt;/FQL&gt;&lt;FQL&gt;&lt;Q&gt;Ticker0024^FE_ESTIMATE(EBIT,MEAN,QUARTERLY_ROLL,2017/4F,45685,,,'')&lt;/Q&gt;&lt;R&gt;1&lt;/R&gt;&lt;C&gt;1&lt;/C&gt;&lt;D xsi:type="xsd:double"&gt;7019&lt;/D&gt;&lt;/FQL&gt;&lt;FQL&gt;&lt;Q&gt;Ticker0024^FE_ESTIMATE(EBIT,MEAN,QUARTERLY_ROLL,2017/3F,45685,,,'')&lt;/Q&gt;&lt;R&gt;1&lt;/R&gt;&lt;C&gt;1&lt;/C&gt;&lt;D xsi:type="xsd:double"&gt;7061&lt;/D&gt;&lt;/FQL&gt;&lt;FQL&gt;&lt;Q&gt;Ticker0024^FE_ESTIMATE(EBIT,MEAN,QUARTERLY_ROLL,2017/2F,45685,,,'')&lt;/Q&gt;&lt;R&gt;1&lt;/R&gt;&lt;C&gt;1&lt;/C&gt;&lt;D xsi:type="xsd:double"&gt;8153&lt;/D&gt;&lt;/FQL&gt;&lt;FQL&gt;&lt;Q&gt;Ticker0024^FE_ESTIMATE(EBIT,MEAN,QUARTERLY_ROLL,2017/1F,45685,,,'')&lt;/Q&gt;&lt;R&gt;1&lt;/R&gt;&lt;C&gt;1&lt;/C&gt;&lt;D xsi:type="xsd:double"&gt;7106&lt;/D&gt;&lt;/FQL&gt;&lt;FQL&gt;&lt;Q&gt;Ticker0024^FE_ESTIMATE(EBIT,MEAN,ANNUAL_ROLL,2016,45685,,,'')&lt;/Q&gt;&lt;R&gt;1&lt;/R&gt;&lt;C&gt;1&lt;/C&gt;&lt;D xsi:type="xsd:double"&gt;28028.564&lt;/D&gt;&lt;/FQL&gt;&lt;FQL&gt;&lt;Q&gt;Ticker0024^FE_ESTIMATE(EBIT,MEAN,QUARTERLY_ROLL,2016/4F,45685,,,'')&lt;/Q&gt;&lt;R&gt;1&lt;/R&gt;&lt;C&gt;1&lt;/C&gt;&lt;D xsi:type="xsd:double"&gt;6218&lt;/D&gt;&lt;/FQL&gt;&lt;FQL&gt;&lt;Q&gt;Ticker0024^FE_ESTIMATE(EBIT,MEAN,QUARTERLY_ROLL,2016/3F,45685,,,'')&lt;/Q&gt;&lt;R&gt;1&lt;/R&gt;&lt;C&gt;1&lt;/C&gt;&lt;D xsi:type="xsd:double"&gt;6828&lt;/D&gt;&lt;/FQL&gt;&lt;FQL&gt;&lt;Q&gt;Ticker0024^FE_ESTIMATE(EBIT,MEAN,QUARTERLY_ROLL,2016/2F,45685,,,'')&lt;/Q&gt;&lt;R&gt;1&lt;/R&gt;&lt;C&gt;1&lt;/C&gt;&lt;D xsi:type="xsd:double"&gt;7923&lt;/D&gt;&lt;/FQL&gt;&lt;FQL&gt;&lt;Q&gt;Ticker0024^FE_ESTIMATE(EBIT,MEAN,QUARTERLY_ROLL,2016/1F,45685,,,'')&lt;/Q&gt;&lt;R&gt;1&lt;/R&gt;&lt;C&gt;1&lt;/C&gt;&lt;D xsi:type="xsd:double"&gt;7073.7896&lt;/D&gt;&lt;/FQL&gt;&lt;FQL&gt;&lt;Q&gt;Ticker0024^FE_ESTIMATE(EBIT,MEAN,ANNUAL_ROLL,2015,45685,,,'')&lt;/Q&gt;&lt;R&gt;1&lt;/R&gt;&lt;C&gt;1&lt;/C&gt;&lt;D xsi:type="xsd:double"&gt;27916.867&lt;/D&gt;&lt;/FQL&gt;&lt;FQL&gt;&lt;Q&gt;Ticker0024^FE_ESTIMATE(EBIT,MEAN,QUARTERLY_ROLL,2015/4F,45685,,,'')&lt;/Q&gt;&lt;R&gt;1&lt;/R&gt;&lt;C&gt;1&lt;/C&gt;&lt;D xsi:type="xsd:double"&gt;4513.1914&lt;/D&gt;&lt;/FQL&gt;&lt;FQL&gt;&lt;Q&gt;Ticker0024^FE_ESTIMATE(EBIT,MEAN,QUARTERLY_ROLL,2015/3F,45685,,,'')&lt;/Q&gt;&lt;R&gt;1&lt;/R&gt;&lt;C&gt;1&lt;/C&gt;&lt;D xsi:type="xsd:double"&gt;6598.875&lt;/D&gt;&lt;/FQL&gt;&lt;FQL&gt;&lt;Q&gt;Ticker0024^FE_ESTIMATE(EBIT,MEAN,QUARTERLY_ROLL,2015/2F,45685,,,'')&lt;/Q&gt;&lt;R&gt;1&lt;/R&gt;&lt;C&gt;1&lt;/C&gt;&lt;D xsi:type="xsd:double"&gt;7776&lt;/D&gt;&lt;/FQL&gt;&lt;FQL&gt;&lt;Q&gt;Ticker0024^FE_ESTIMATE(EBIT,MEAN,QUARTERLY_ROLL,2015/1F,45685,,,'')&lt;/Q&gt;&lt;R&gt;1&lt;/R&gt;&lt;C&gt;1&lt;/C&gt;&lt;D xsi:type="xsd:double"&gt;5844&lt;/D&gt;&lt;/FQL&gt;&lt;FQL&gt;&lt;Q&gt;Ticker0024^FE_ESTIMATE(PRODLINE_EBIT_17,MEAN,ANNUAL_ROLL,2030,45685,,,'')&lt;/Q&gt;&lt;R&gt;0&lt;/R&gt;&lt;C&gt;0&lt;/C&gt;&lt;/FQL&gt;&lt;FQL&gt;&lt;Q&gt;Ticker0024^FE_ESTIMATE(PRODLINE_EBIT_17,MEAN,QUARTERLY_ROLL,2030/4F,45685,,,'')&lt;/Q&gt;&lt;R&gt;0&lt;/R&gt;&lt;C&gt;0&lt;/C&gt;&lt;/FQL&gt;&lt;FQL&gt;&lt;Q&gt;Ticker0024^FE_ESTIMATE(PRODLINE_EBIT_17,MEAN,QUARTERLY_ROLL,2030/3F,45685,,,'')&lt;/Q&gt;&lt;R&gt;0&lt;/R&gt;&lt;C&gt;0&lt;/C&gt;&lt;/FQL&gt;&lt;FQL&gt;&lt;Q&gt;Ticker0024^FE_ESTIMATE(PRODLINE_EBIT_17,MEAN,QUARTERLY_ROLL,2030/2F,45685,,,'')&lt;/Q&gt;&lt;R&gt;0&lt;/R&gt;&lt;C&gt;0&lt;/C&gt;&lt;/FQL&gt;&lt;FQL&gt;&lt;Q&gt;Ticker0024^FE_ESTIMATE(PRODLINE_EBIT_17,MEAN,QUARTERLY_ROLL,2030/1F,45685,,,'')&lt;/Q&gt;&lt;R&gt;0&lt;/R&gt;&lt;C&gt;0&lt;/C&gt;&lt;/FQL&gt;&lt;FQL&gt;&lt;Q&gt;Ticker0024^FE_ESTIMATE(PRODLINE_EBIT_17,MEAN,ANNUAL_ROLL,2029,45685,,,'')&lt;/Q&gt;&lt;R&gt;0&lt;/R&gt;&lt;C&gt;0&lt;/C&gt;&lt;/FQL&gt;&lt;FQL&gt;&lt;Q&gt;Ticker0024^FE_ESTIMATE(PRODLINE_EBIT_17,MEAN,QUARTERLY_ROLL,2029/4F,45685,,,'')&lt;/Q&gt;&lt;R&gt;0&lt;/R&gt;&lt;C&gt;0&lt;/C&gt;&lt;/FQL&gt;&lt;FQL&gt;&lt;Q&gt;Ticker0024^FE_ESTIMATE(PRODLINE_EBIT_17,MEAN,QUARTERLY_ROLL,2029/3F,45685,,,'')&lt;/Q&gt;&lt;R&gt;0&lt;/R&gt;&lt;C&gt;0&lt;/C&gt;&lt;/FQL&gt;&lt;FQL&gt;&lt;Q&gt;Ticker0024^FE_ESTIMATE(PRODLINE_EBIT_17,MEAN,QUARTERLY_ROLL,2029/2F,45685,,,'')&lt;/Q&gt;&lt;R&gt;0&lt;/R&gt;&lt;C&gt;0&lt;/C&gt;&lt;/FQL&gt;&lt;FQL&gt;&lt;Q&gt;Ticker0024^FE_ESTIMATE(PRODLINE_EBIT_17,MEAN,QUARTERLY_ROLL,2029/1F,45685,,,'')&lt;/Q&gt;&lt;R&gt;0&lt;/R&gt;&lt;C&gt;0&lt;/C&gt;&lt;/FQL&gt;&lt;FQL&gt;&lt;Q&gt;Ticker0024^FE_ESTIMATE(PRODLINE_EBIT_17,MEAN,ANNUAL_ROLL,2028,45685,,,'')&lt;/Q&gt;&lt;R&gt;1&lt;/R&gt;&lt;C&gt;1&lt;/C&gt;&lt;D xsi:type="xsd:double"&gt;11001&lt;/D&gt;&lt;/FQL&gt;&lt;FQL&gt;&lt;Q&gt;Ticker0024^FE_ESTIMATE(PRODLINE_EBIT_17,MEAN,QUARTERLY_ROLL,2028/4F,45685,,,'')&lt;/Q&gt;&lt;R&gt;0&lt;/R&gt;&lt;C&gt;0&lt;/C&gt;&lt;/FQL&gt;&lt;FQL&gt;&lt;Q&gt;Ticker0024^FE_ESTIMATE(PRODLINE_EBIT_17,MEAN,QUARTERLY_ROLL,2028/3F,45685,,,'')&lt;/Q&gt;&lt;R&gt;0&lt;/R&gt;&lt;C&gt;0&lt;/C&gt;&lt;/FQL&gt;&lt;FQL&gt;&lt;Q&gt;Ticker0024^FE_ESTIMATE(PRODLINE_EBIT_17,MEAN,QUARTERLY_ROLL,2028/2F,45685,,,'')&lt;/Q&gt;&lt;R&gt;0&lt;/R&gt;&lt;C&gt;0&lt;/C&gt;&lt;/FQL&gt;&lt;FQL&gt;&lt;Q&gt;Ticker0024^FE_ESTIMATE(PRODLINE_EBIT_17,MEAN,QUARTERLY_ROLL,2028/1F,45685,,,'')&lt;/Q&gt;&lt;R&gt;0&lt;/R&gt;&lt;C&gt;0&lt;/C&gt;&lt;/FQL&gt;&lt;FQL&gt;&lt;Q&gt;Ticker0024^FE_ESTIMATE(PRODLINE_EBIT_17,MEAN,ANNUAL_ROLL,2027,45685,,,'')&lt;/Q&gt;&lt;R&gt;1&lt;/R&gt;&lt;C&gt;1&lt;/C&gt;&lt;D xsi:type="xsd:double"&gt;10416&lt;/D&gt;&lt;/FQL&gt;&lt;FQL&gt;&lt;Q&gt;Ticker0024^FE_ESTIMATE(PRODLINE_EBIT_17,MEAN,QUARTERLY_ROLL,2027/4F,45685,,,'')&lt;/Q&gt;&lt;R&gt;0&lt;/R&gt;&lt;C&gt;0&lt;/C&gt;&lt;/FQL&gt;&lt;FQL&gt;&lt;Q&gt;Ticker0024^FE_ESTIMATE(PRODLINE_EBIT_17,MEAN,QUARTERLY_ROLL,2027/3F,45685,,,'')&lt;/Q&gt;&lt;R&gt;0&lt;/R&gt;&lt;C&gt;0&lt;/C&gt;&lt;/FQL&gt;&lt;FQL&gt;&lt;Q&gt;Ticker0024^FE_ESTIMATE(PRODLINE_EBIT_17,MEAN,QUARTERLY_ROLL,2027/2F,45685,,,'')&lt;/Q&gt;&lt;R&gt;0&lt;/R&gt;&lt;C&gt;0&lt;/C&gt;&lt;/FQL&gt;&lt;FQL&gt;&lt;Q&gt;Ticker0024^FE_ESTIMATE(PRODLINE_EBIT_17,MEAN,QUARTERLY_ROLL,2027/1F,45685,,,'')&lt;/Q&gt;&lt;R&gt;0&lt;/R&gt;&lt;C&gt;0&lt;/C&gt;&lt;/FQL&gt;&lt;FQL&gt;&lt;Q&gt;Ticker0024^FE_ESTIMATE(PRODLINE_EBIT_17,MEAN,ANNUAL_ROLL,2026,45685,,,'')&lt;/Q&gt;&lt;R&gt;1&lt;/R&gt;&lt;C&gt;1&lt;/C&gt;&lt;D xsi:type="xsd:double"&gt;14366&lt;/D&gt;&lt;/FQL&gt;&lt;FQL&gt;&lt;Q&gt;Ticker0024^FE_ESTIMATE(PRODLINE_EBIT_17,MEAN,QUARTERLY_ROLL,2026/4F,45685,,,'')&lt;/Q&gt;&lt;R&gt;1&lt;/R&gt;&lt;C&gt;1&lt;/C&gt;&lt;D xsi:type="xsd:double"&gt;3882.5&lt;/D&gt;&lt;/FQL&gt;&lt;FQL&gt;&lt;Q&gt;Ticker0024^FE_ESTIMATE(PRODLINE_EBIT_17,MEAN,QUARTERLY_ROLL,2026/3F,45685,,,'')&lt;/Q&gt;&lt;R&gt;1&lt;/R&gt;&lt;C&gt;1&lt;/C&gt;&lt;D xsi:type="xsd:double"&gt;3929.5&lt;/D&gt;&lt;/FQL&gt;&lt;FQL&gt;&lt;Q&gt;Ticker0024^FE_ESTIMATE(PRODLINE_EBIT_17,MEAN,QUARTERLY_ROLL,2026/2F,45685,,,'')&lt;/Q&gt;&lt;R&gt;1&lt;/R&gt;&lt;C&gt;1&lt;/C&gt;&lt;D xsi:type="xsd:double"&gt;3966&lt;/D&gt;&lt;/FQL&gt;&lt;FQL&gt;&lt;Q&gt;Ticker0024^FE_ESTIMATE(PRODLINE_EBIT_17,MEAN,QUARTERLY_ROLL,2026/1F,45685,,,'')&lt;/Q&gt;&lt;R&gt;1&lt;/R&gt;&lt;C&gt;1&lt;/C&gt;&lt;D xsi:type="xsd:double"&gt;4079&lt;/D&gt;&lt;/FQL&gt;&lt;FQL&gt;&lt;Q&gt;Ticker0024^FE_ESTIMATE(PRODLINE_EBIT_17,MEAN,ANNUAL_ROLL,2025,45685,,,'')&lt;/Q&gt;&lt;R&gt;1&lt;/R&gt;&lt;C&gt;1&lt;/C&gt;&lt;D xsi:type="xsd:double"&gt;14710&lt;/D&gt;&lt;/FQL&gt;&lt;FQL&gt;&lt;Q&gt;Ticker0024^FE_ESTIMATE(PRODLINE_EBIT_17,MEAN,QUARTERLY_ROLL,2025/4F,45685,,,'')&lt;/Q&gt;&lt;R&gt;1&lt;/R&gt;&lt;C&gt;1&lt;/C&gt;&lt;D xsi:type="xsd:double"&gt;3602.8&lt;/D&gt;&lt;/FQL&gt;&lt;FQL&gt;&lt;Q&gt;Ticker0024^FE_ESTIMATE(PRODLINE_EBIT_17,MEAN,QUARTERLY_ROLL,2025/3F,45685,,,'')&lt;/Q&gt;&lt;R&gt;1&lt;/R&gt;&lt;C&gt;1&lt;/C&gt;&lt;D xsi:type="xsd:double"&gt;3642&lt;/D&gt;&lt;/FQL&gt;&lt;FQL&gt;&lt;Q&gt;Ticker0024^FE_ESTIMATE(PRODLINE_EBIT_17,MEAN,QUARTERLY_ROLL,2025/2F,45685,,,'')&lt;/Q&gt;&lt;R&gt;1&lt;/R&gt;&lt;C&gt;1&lt;/C&gt;&lt;D xsi:type="xsd:double"&gt;3640.8&lt;/D&gt;&lt;/FQL&gt;&lt;FQL&gt;&lt;Q&gt;Ticker0024^FE_ESTIMATE(PRODLINE_EBIT_17,MEAN,QUARTERLY_ROLL,2025/1F,45685,,,'')&lt;/Q&gt;&lt;R&gt;1&lt;/R&gt;&lt;C&gt;1&lt;/C&gt;&lt;D xsi:type="xsd:double"&gt;3822.2&lt;/D&gt;&lt;/FQL&gt;&lt;FQL&gt;&lt;Q&gt;Ticker0024^FE_ESTIMATE(PRODLINE_EBIT_17,MEAN,ANNUAL_ROLL,2024,45685,,,'')&lt;/Q&gt;&lt;R&gt;1&lt;/R&gt;&lt;C&gt;1&lt;/C&gt;&lt;D xsi:type="xsd:double"&gt;19332.8&lt;/D&gt;&lt;/FQL&gt;&lt;FQL&gt;&lt;Q&gt;Ticker0024^FE_ESTIMATE(PRODLINE_EBIT_17,MEAN,QUARTERLY_ROLL,2024/4F,45685,,,'')&lt;/Q&gt;&lt;R&gt;1&lt;/R&gt;&lt;C&gt;1&lt;/C&gt;&lt;D xsi:type="xsd:double"&gt;4922.4&lt;/D&gt;&lt;/FQL&gt;&lt;FQL&gt;&lt;Q&gt;Ticker0024^FE_ESTIMATE(PRODLINE_EBIT_17,MEAN,QUARTERLY_ROLL,2024/3F,45685,,,'')&lt;/Q&gt;&lt;R&gt;1&lt;/R&gt;&lt;C&gt;1&lt;/C&gt;&lt;D xsi:type="xsd:double"&gt;4925.7144&lt;/D&gt;&lt;/FQL&gt;&lt;FQL&gt;&lt;Q&gt;Ticker0024^FE_ESTIMATE(PRODLINE_EBIT_17,MEAN,QUARTERLY_ROLL,2024/2F,45685,,,'')&lt;/Q&gt;&lt;R&gt;1&lt;/R&gt;&lt;C&gt;1&lt;/C&gt;&lt;D xsi:type="xsd:double"&gt;4308.3335&lt;/D&gt;&lt;/FQL&gt;&lt;FQL&gt;&lt;Q&gt;Ticker0024^FE_ESTIMATE(PRODLINE_EBIT_17,MEAN,QUARTERLY_ROLL,2024/1F,45685,,,'')&lt;/Q&gt;&lt;R&gt;1&lt;/R&gt;&lt;C&gt;1&lt;/C&gt;&lt;D xsi:type="xsd:double"&gt;5197&lt;/D&gt;&lt;/FQL&gt;&lt;FQL&gt;&lt;Q&gt;Ticker0024^FE_ESTIMATE(PRODLINE_EBIT_17,MEAN,ANNUAL_ROLL,2023,45685,,,'')&lt;/Q&gt;&lt;R&gt;1&lt;/R&gt;&lt;C&gt;1&lt;/C&gt;&lt;D xsi:type="xsd:double"&gt;16450&lt;/D&gt;&lt;/FQL&gt;&lt;FQL&gt;&lt;Q&gt;Ticker0024^FE_ESTIMATE(PRODLINE_EBIT_17,MEAN,QUARTERLY_ROLL,2023/4F,45685,,,'')&lt;/Q&gt;&lt;R&gt;1&lt;/R&gt;&lt;C&gt;1&lt;/C&gt;&lt;D xsi:type="xsd:double"&gt;4676.8&lt;/D&gt;&lt;/FQL&gt;&lt;FQL&gt;&lt;Q&gt;Ticker0024^FE_ESTIMATE(PRODLINE_EBIT_17,MEAN,QUARTERLY_ROLL,2023/3F,45685,,,'')&lt;/Q&gt;&lt;R&gt;1&lt;/R&gt;&lt;C&gt;1&lt;/C&gt;&lt;D xsi:type="xsd:double"&gt;4237.6&lt;/D&gt;&lt;/FQL&gt;&lt;FQL&gt;&lt;Q&gt;Ticker0024^FE_ESTIMATE(PRODLINE_EBIT_17,MEAN,QUARTERLY_ROLL,2023/2F,45685,,,'')&lt;/Q&gt;&lt;R&gt;1&lt;/R&gt;&lt;C&gt;1&lt;/C&gt;&lt;D xsi:type="xsd:double"&gt;3345&lt;/D&gt;&lt;/FQL&gt;&lt;FQL&gt;&lt;Q&gt;Ticker0024^FE_ESTIMATE(PRODLINE_EBIT_17,MEAN,QUARTERLY_ROLL,2023/1F,45685,,,'')&lt;/Q&gt;&lt;R&gt;1&lt;/R&gt;&lt;C&gt;1&lt;/C&gt;&lt;D xsi:type="xsd:double"&gt;4241.4&lt;/D&gt;&lt;/FQL&gt;&lt;FQL&gt;&lt;Q&gt;Ticker0024^FE_ESTIMATE(PRODLINE_EBIT_17,MEAN,ANNUAL_ROLL,2022,45685,,,'')&lt;/Q&gt;&lt;R&gt;1&lt;/R&gt;&lt;C&gt;1&lt;/C&gt;&lt;D xsi:type="xsd:double"&gt;20975.2&lt;/D&gt;&lt;/FQL&gt;&lt;FQL&gt;&lt;Q&gt;Ticker0024^FE_ESTIMATE(PRODLINE_EBIT_17,MEAN,QUARTERLY_ROLL,2022/4F,45685,,,'')&lt;/Q&gt;&lt;R&gt;1&lt;/R&gt;&lt;C&gt;1&lt;/C&gt;&lt;D xsi:type="xsd:double"&gt;4619.2&lt;/D&gt;&lt;/FQL&gt;&lt;FQL&gt;&lt;Q&gt;Ticker0024^FE_ESTIMATE(PRODLINE_EBIT_17,MEAN,QUARTERLY_ROLL,2022/3F,45685,,,'')&lt;/Q&gt;&lt;R&gt;1&lt;/R&gt;&lt;C&gt;1&lt;/C&gt;&lt;D xsi:type="xsd:double"&gt;4899&lt;/D&gt;&lt;/FQL&gt;&lt;FQL&gt;&lt;Q&gt;Ticker0024^FE_ESTIMATE(PRODLINE_EBIT_17,MEAN,QUARTERLY_ROLL,2022/2F,45685,,,'')&lt;/Q&gt;&lt;R&gt;1&lt;/R&gt;&lt;C&gt;1&lt;/C&gt;&lt;D xsi:type="xsd:double"&gt;6360&lt;/D&gt;&lt;/FQL&gt;&lt;FQL&gt;&lt;Q&gt;Ticker0024^FE_ESTIMATE(PRODLINE_EBIT_17,MEAN,QUARTERLY_ROLL,2022/1F,45685,,,'')&lt;/Q&gt;&lt;R&gt;1&lt;/R&gt;&lt;C&gt;1&lt;/C&gt;&lt;D xsi:type="xsd:double"&gt;5095&lt;/D&gt;&lt;/FQL&gt;&lt;FQL&gt;&lt;Q&gt;Ticker0024^FE_ESTIMATE(PRODLINE_EBIT_17,MEAN,ANNUAL_ROLL,2021,45685,,,'')&lt;/Q&gt;&lt;R&gt;1&lt;/R&gt;&lt;C&gt;1&lt;/C&gt;&lt;D xsi:type="xsd:double"&gt;19439.25&lt;/D&gt;&lt;/FQL&gt;&lt;FQL&gt;&lt;Q&gt;Ticker0024^FE_ESTIMATE(PRODLINE_EBIT_17,MEAN,QUARTERLY_ROLL,2021/4F,45685,,,'')&lt;/Q&gt;&lt;R&gt;1&lt;/R&gt;&lt;C&gt;1&lt;/C&gt;&lt;D xsi:type="xsd:double"&gt;4873&lt;/D&gt;&lt;/FQL&gt;&lt;FQL&gt;&lt;Q&gt;Ticker0024^FE_ESTIMATE(PRODLINE_EBIT_17,MEAN,QUARTERLY_ROLL,2021/3F,45685,,,'')&lt;/Q&gt;&lt;R&gt;1&lt;/R&gt;&lt;C&gt;1&lt;/C&gt;&lt;D xsi:type="xsd:double"&gt;4594&lt;/D&gt;&lt;/FQL&gt;&lt;FQL&gt;&lt;Q&gt;Ticker0024^FE_ESTIMATE(PRODLINE_EBIT_17,MEAN,QUARTERLY_ROLL,2021/2F,45685,,,'')&lt;/Q&gt;&lt;R&gt;1&lt;/R&gt;&lt;C&gt;1&lt;/C&gt;&lt;D xsi:type="xsd:double"&gt;5224&lt;/D&gt;&lt;/FQL&gt;&lt;FQL&gt;&lt;Q&gt;Ticker0024^FE_ESTIMATE(PRODLINE_EBIT_17,MEAN,QUARTERLY_ROLL,2021/1F,45685,,,'')&lt;/Q&gt;&lt;R&gt;1&lt;/R&gt;&lt;C&gt;1&lt;/C&gt;&lt;D xsi:type="xsd:double"&gt;4748&lt;/D&gt;&lt;/FQL&gt;&lt;FQL&gt;&lt;Q&gt;Ticker0024^FE_ESTIMATE(PRODLINE_EBIT_17,MEAN,ANNUAL_ROLL,2020,45685,,,'')&lt;/Q&gt;&lt;R&gt;1&lt;/R&gt;&lt;C&gt;1&lt;/C&gt;&lt;D xsi:type="xsd:double"&gt;15895.667&lt;/D&gt;&lt;/FQL&gt;&lt;FQL&gt;&lt;Q&gt;Ticker0024^FE_ESTIMATE(PRODLINE_EBIT_17,MEAN,QUARTERLY_ROLL,2020/4F,45685,,,'')&lt;/Q&gt;&lt;R&gt;1&lt;/R&gt;&lt;C&gt;1&lt;/C&gt;&lt;D xsi:type="xsd:double"&gt;4075.3333&lt;/D&gt;&lt;/FQL&gt;&lt;FQL&gt;&lt;Q&gt;Ticker0024^FE_ESTIMATE(PRODLINE_EBIT_17,MEAN,QUARTERLY_ROLL,2020/3F,45685,,,'')&lt;/Q&gt;&lt;R&gt;1&lt;/R&gt;&lt;C&gt;1&lt;/C&gt;&lt;D xsi:type="xsd:double"&gt;3627&lt;/D&gt;&lt;/FQL&gt;&lt;FQL&gt;&lt;Q&gt;Ticker0024^FE_ESTIMATE(PRODLINE_EBIT_17,MEAN,QUARTERLY_ROLL,2020/2F,45685,,,'')&lt;/Q&gt;&lt;R&gt;1&lt;/R&gt;&lt;C&gt;1&lt;/C&gt;&lt;D xsi:type="xsd:double"&gt;4178&lt;/D&gt;&lt;/FQL&gt;&lt;FQL&gt;&lt;Q&gt;Ticker0024^FE_ESTIMATE(PRODLINE_EBIT_17,MEAN,QUARTERLY_ROLL,2020/1F,45685,,,'')&lt;/Q&gt;&lt;R&gt;1&lt;/R&gt;&lt;C&gt;1&lt;/C&gt;&lt;D xsi:type="xsd:double"&gt;4015&lt;/D&gt;&lt;/FQL&gt;&lt;FQL&gt;&lt;Q&gt;Ticker0024^FE_ESTIMATE(PRODLINE_EBIT_17,MEAN,ANNUAL_ROLL,2019,45685,,,'')&lt;/Q&gt;&lt;R&gt;1&lt;/R&gt;&lt;C&gt;1&lt;/C&gt;&lt;D xsi:type="xsd:double"&gt;12820&lt;/D&gt;&lt;/FQL&gt;&lt;FQL&gt;&lt;Q&gt;Ticker0024^FE_ESTIMATE(PRODLINE_EBIT_17,MEAN,QUARTERLY_ROLL,2019/4F,45685,,,'')&lt;/Q&gt;&lt;R&gt;1&lt;/R&gt;&lt;C&gt;1&lt;/C&gt;&lt;D xsi:type="xsd:double"&gt;3559&lt;/D&gt;&lt;/FQL&gt;&lt;FQL&gt;&lt;Q&gt;Ticker0024^FE_ESTIMATE(PRODLINE_EBIT_17,MEAN,QUARTERLY_ROLL,2019/3F,45685,,,'')&lt;/Q&gt;&lt;R&gt;1&lt;/R&gt;&lt;C&gt;1&lt;/C&gt;&lt;D xsi:type="xsd:double"&gt;3154&lt;/D&gt;&lt;/FQL&gt;&lt;FQL&gt;&lt;Q&gt;Ticker0024^FE_ESTIMATE(PRODLINE_EBIT_17,MEAN,QUARTERLY_ROLL,2019/2F,45685,,,'')&lt;/Q&gt;&lt;R&gt;1&lt;/R&gt;&lt;C&gt;1&lt;/C&gt;&lt;D xsi:type="xsd:double"&gt;2964&lt;/D&gt;&lt;/FQL&gt;&lt;FQL&gt;&lt;Q&gt;Ticker0024^FE_ESTIMATE(PRODLINE_EBIT_17,MEAN,QUARTERLY_ROLL,2019/1F,45685,,,'')&lt;/Q&gt;&lt;R&gt;1&lt;/R&gt;&lt;C&gt;1&lt;/C&gt;&lt;D xsi:type="xsd:double"&gt;3143&lt;/D&gt;&lt;/FQL&gt;&lt;FQL&gt;&lt;Q&gt;Ticker0024^FE_ESTIMATE(PRODLINE_EBIT_17,MEAN,ANNUAL_ROLL,2018,45685,,,'')&lt;/Q&gt;&lt;R&gt;1&lt;/R&gt;&lt;C&gt;1&lt;/C&gt;&lt;D xsi:type="xsd:double"&gt;10610.25&lt;/D&gt;&lt;/FQL&gt;&lt;FQL&gt;&lt;Q&gt;Ticker0024^FE_ESTIMATE(PRODLINE_EBIT_17,MEAN,QUARTERLY_ROLL,2018/4F,45685,,,'')&lt;/Q&gt;&lt;R&gt;1&lt;/R&gt;&lt;C&gt;1&lt;/C&gt;&lt;D xsi:type="xsd:double"&gt;3012&lt;/D&gt;&lt;/FQL&gt;&lt;FQL&gt;&lt;Q&gt;Ticker0024^FE_ESTIMATE(PRODLINE_EBIT_17,MEAN,QUARTERLY_ROLL,2018/3F,45685,,,'')&lt;/Q&gt;&lt;R&gt;1&lt;/R&gt;&lt;C&gt;1&lt;/C&gt;&lt;D xsi:type="xsd:double"&gt;2523&lt;/D&gt;&lt;/FQL&gt;&lt;FQL&gt;&lt;Q&gt;Ticker0024^FE_ESTIMATE(PRODLINE_EBIT_17,MEAN,QUARTERLY_ROLL,2018/2F,45685,,,'')&lt;/Q&gt;&lt;R&gt;1&lt;/R&gt;&lt;C&gt;1&lt;/C&gt;&lt;D xsi:type="xsd:double"&gt;2510&lt;/D&gt;&lt;/FQL&gt;&lt;FQL&gt;&lt;Q&gt;Ticker0024^FE_ESTIMATE(PRODLINE_EBIT_17,MEAN,QUARTERLY_ROLL,2018/1F,45685,,,'')&lt;/Q&gt;&lt;R&gt;1&lt;/R&gt;&lt;C&gt;1&lt;/C&gt;&lt;D xsi:type="xsd:double"&gt;2565&lt;/D&gt;&lt;/FQL&gt;&lt;FQL&gt;&lt;Q&gt;Ticker0024^FE_ESTIMATE(PRODLINE_EBIT_17,MEAN,ANNUAL_ROLL,2017,45685,,,'')&lt;/Q&gt;&lt;R&gt;1&lt;/R&gt;&lt;C&gt;1&lt;/C&gt;&lt;D xsi:type="xsd:double"&gt;8288&lt;/D&gt;&lt;/FQL&gt;&lt;FQL&gt;&lt;Q&gt;Ticker0024^FE_ESTIMATE(PRODLINE_EBIT_17,MEAN,QUARTERLY_ROLL,2017/4F,45685,,,'')&lt;/Q&gt;&lt;R&gt;1&lt;/R&gt;&lt;C&gt;1&lt;/C&gt;&lt;D xsi:type="xsd:double"&gt;1764&lt;/D&gt;&lt;/FQL&gt;&lt;FQL&gt;&lt;Q&gt;Ticker0024^FE_ESTIMATE(PRODLINE_EBIT_17,MEAN,QUARTERLY_ROLL,2017/3F,45685,,,'')&lt;/Q&gt;&lt;R&gt;1&lt;/R&gt;&lt;C&gt;1&lt;/C&gt;&lt;D xsi:type="xsd:double"&gt;2097&lt;/D&gt;&lt;/FQL&gt;&lt;FQL&gt;&lt;Q&gt;Ticker0024^FE_ESTIMATE(PRODLINE_EBIT_17,MEAN,QUARTERLY_ROLL,2017/2F,45685,,,'')&lt;/Q&gt;&lt;R&gt;1&lt;/R&gt;&lt;C&gt;1&lt;/C&gt;&lt;D xsi:type="xsd:double"&gt;2499&lt;/D&gt;&lt;/FQL&gt;&lt;FQL&gt;&lt;Q&gt;Ticker0024^FE_ESTIMATE(PRODLINE_EBIT_17,MEAN,QUARTERLY_ROLL,2017/1F,45685,,,'')&lt;/Q&gt;&lt;R&gt;1&lt;/R&gt;&lt;C&gt;1&lt;/C&gt;&lt;D xsi:type="xsd:double"&gt;1928&lt;/D&gt;&lt;/FQL&gt;&lt;FQL&gt;&lt;Q&gt;Ticker0024^FE_ESTIMATE(PRODLINE_EBIT_17,MEAN,ANNUAL_ROLL,2016,45685,,,'')&lt;/Q&gt;&lt;R&gt;1&lt;/</t>
        </r>
      </text>
    </comment>
    <comment ref="A18" authorId="0" shapeId="0" xr:uid="{A2BA4C71-1013-47D3-B69F-EC7DE0AD3EDD}">
      <text>
        <r>
          <rPr>
            <b/>
            <sz val="9"/>
            <color indexed="81"/>
            <rFont val="Tahoma"/>
            <family val="2"/>
          </rPr>
          <t>Author:type="xsd:double"&gt;6167.3335&lt;/D&gt;&lt;/FQL&gt;&lt;FQL&gt;&lt;Q&gt;Ticker0024^FE_ESTIMATE(PRODLINE_EBIT_17,MEAN,QUARTERLY_ROLL,2016/4F,45685,,,'')&lt;/Q&gt;&lt;R&gt;1&lt;/R&gt;&lt;C&gt;1&lt;/C&gt;&lt;D xsi:type="xsd:double"&gt;964&lt;/D&gt;&lt;/FQL&gt;&lt;FQL&gt;&lt;Q&gt;Ticker0024^FE_ESTIMATE(PRODLINE_EBIT_17,MEAN,QUARTERLY_ROLL,2016/3F,45685,,,'')&lt;/Q&gt;&lt;R&gt;1&lt;/R&gt;&lt;C&gt;1&lt;/C&gt;&lt;D xsi:type="xsd:double"&gt;1645&lt;/D&gt;&lt;/FQL&gt;&lt;FQL&gt;&lt;Q&gt;Ticker0024^FE_ESTIMATE(PRODLINE_EBIT_17,MEAN,QUARTERLY_ROLL,2016/2F,45685,,,'')&lt;/Q&gt;&lt;R&gt;0&lt;/R&gt;&lt;C&gt;0&lt;/C&gt;&lt;/FQL&gt;&lt;FQL&gt;&lt;Q&gt;Ticker0024^FE_ESTIMATE(PRODLINE_EBIT_17,MEAN,QUARTERLY_ROLL,2016/1F,45685,,,'')&lt;/Q&gt;&lt;R&gt;0&lt;/R&gt;&lt;C&gt;0&lt;/C&gt;&lt;/FQL&gt;&lt;FQL&gt;&lt;Q&gt;Ticker0024^FE_ESTIMATE(PRODLINE_EBIT_17,MEAN,ANNUAL_ROLL,2015,45685,,,'')&lt;/Q&gt;&lt;R&gt;0&lt;/R&gt;&lt;C&gt;0&lt;/C&gt;&lt;/FQL&gt;&lt;FQL&gt;&lt;Q&gt;Ticker0024^FE_ESTIMATE(PRODLINE_EBIT_17,MEAN,QUARTERLY_ROLL,2015/4F,45685,,,'')&lt;/Q&gt;&lt;R&gt;0&lt;/R&gt;&lt;C&gt;0&lt;/C&gt;&lt;/FQL&gt;&lt;FQL&gt;&lt;Q&gt;Ticker0024^FE_ESTIMATE(PRODLINE_EBIT_17,MEAN,QUARTERLY_ROLL,2015/3F,45685,,,'')&lt;/Q&gt;&lt;R&gt;0&lt;/R&gt;&lt;C&gt;0&lt;/C&gt;&lt;/FQL&gt;&lt;FQL&gt;&lt;Q&gt;Ticker0024^FE_ESTIMATE(PRODLINE_EBIT_17,MEAN,QUARTERLY_ROLL,2015/2F,45685,,,'')&lt;/Q&gt;&lt;R&gt;0&lt;/R&gt;&lt;C&gt;0&lt;/C&gt;&lt;/FQL&gt;&lt;FQL&gt;&lt;Q&gt;Ticker0024^FE_ESTIMATE(PRODLINE_EBIT_17,MEAN,QUARTERLY_ROLL,2015/1F,45685,,,'')&lt;/Q&gt;&lt;R&gt;0&lt;/R&gt;&lt;C&gt;0&lt;/C&gt;&lt;/FQL&gt;&lt;FQL&gt;&lt;Q&gt;Ticker0024^FE_ESTIMATE(PRODLINE_EBIT_16,MEAN,ANNUAL_ROLL,2030,45685,,,'')&lt;/Q&gt;&lt;R&gt;0&lt;/R&gt;&lt;C&gt;0&lt;/C&gt;&lt;/FQL&gt;&lt;FQL&gt;&lt;Q&gt;Ticker0024^FE_ESTIMATE(PRODLINE_EBIT_16,MEAN,QUARTERLY_ROLL,2030/4F,45685,,,'')&lt;/Q&gt;&lt;R&gt;0&lt;/R&gt;&lt;C&gt;0&lt;/C&gt;&lt;/FQL&gt;&lt;FQL&gt;&lt;Q&gt;Ticker0024^FE_ESTIMATE(PRODLINE_EBIT_16,MEAN,QUARTERLY_ROLL,2030/3F,45685,,,'')&lt;/Q&gt;&lt;R&gt;0&lt;/R&gt;&lt;C&gt;0&lt;/C&gt;&lt;/FQL&gt;&lt;FQL&gt;&lt;Q&gt;Ticker0024^FE_ESTIMATE(PRODLINE_EBIT_16,MEAN,QUARTERLY_ROLL,2030/2F,45685,,,'')&lt;/Q&gt;&lt;R&gt;0&lt;/R&gt;&lt;C&gt;0&lt;/C&gt;&lt;/FQL&gt;&lt;FQL&gt;&lt;Q&gt;Ticker0024^FE_ESTIMATE(PRODLINE_EBIT_16,MEAN,QUARTERLY_ROLL,2030/1F,45685,,,'')&lt;/Q&gt;&lt;R&gt;0&lt;/R&gt;&lt;C&gt;0&lt;/C&gt;&lt;/FQL&gt;&lt;FQL&gt;&lt;Q&gt;Ticker0024^FE_ESTIMATE(PRODLINE_EBIT_16,MEAN,ANNUAL_ROLL,2029,45685,,,'')&lt;/Q&gt;&lt;R&gt;0&lt;/R&gt;&lt;C&gt;0&lt;/C&gt;&lt;/FQL&gt;&lt;FQL&gt;&lt;Q&gt;Ticker0024^FE_ESTIMATE(PRODLINE_EBIT_16,MEAN,QUARTERLY_ROLL,2029/4F,45685,,,'')&lt;/Q&gt;&lt;R&gt;0&lt;/R&gt;&lt;C&gt;0&lt;/C&gt;&lt;/FQL&gt;&lt;FQL&gt;&lt;Q&gt;Ticker0024^FE_ESTIMATE(PRODLINE_EBIT_16,MEAN,QUARTERLY_ROLL,2029/3F,45685,,,'')&lt;/Q&gt;&lt;R&gt;0&lt;/R&gt;&lt;C&gt;0&lt;/C&gt;&lt;/FQL&gt;&lt;FQL&gt;&lt;Q&gt;Ticker0024^FE_ESTIMATE(PRODLINE_EBIT_16,MEAN,QUARTERLY_ROLL,2029/2F,45685,,,'')&lt;/Q&gt;&lt;R&gt;0&lt;/R&gt;&lt;C&gt;0&lt;/C&gt;&lt;/FQL&gt;&lt;FQL&gt;&lt;Q&gt;Ticker0024^FE_ESTIMATE(PRODLINE_EBIT_16,MEAN,QUARTERLY_ROLL,2029/1F,45685,,,'')&lt;/Q&gt;&lt;R&gt;0&lt;/R&gt;&lt;C&gt;0&lt;/C&gt;&lt;/FQL&gt;&lt;FQL&gt;&lt;Q&gt;Ticker0024^FE_ESTIMATE(PRODLINE_EBIT_16,MEAN,ANNUAL_ROLL,2028,45685,,,'')&lt;/Q&gt;&lt;R&gt;1&lt;/R&gt;&lt;C&gt;1&lt;/C&gt;&lt;D xsi:type="xsd:double"&gt;89014&lt;/D&gt;&lt;/FQL&gt;&lt;FQL&gt;&lt;Q&gt;Ticker0024^FE_ESTIMATE(PRODLINE_EBIT_16,MEAN,QUARTERLY_ROLL,2028/4F,45685,,,'')&lt;/Q&gt;&lt;R&gt;0&lt;/R&gt;&lt;C&gt;0&lt;/C&gt;&lt;/FQL&gt;&lt;FQL&gt;&lt;Q&gt;Ticker0024^FE_ESTIMATE(PRODLINE_EBIT_16,MEAN,QUARTERLY_ROLL,2028/3F,45685,,,'')&lt;/Q&gt;&lt;R&gt;0&lt;/R&gt;&lt;C&gt;0&lt;/C&gt;&lt;/FQL&gt;&lt;FQL&gt;&lt;Q&gt;Ticker0024^FE_ESTIMATE(PRODLINE_EBIT_16,MEAN,QUARTERLY_ROLL,2028/2F,45685,,,'')&lt;/Q&gt;&lt;R&gt;0&lt;/R&gt;&lt;C&gt;0&lt;/C&gt;&lt;/FQL&gt;&lt;FQL&gt;&lt;Q&gt;Ticker0024^FE_ESTIMATE(PRODLINE_EBIT_16,MEAN,QUARTERLY_ROLL,2028/1F,45685,,,'')&lt;/Q&gt;&lt;R&gt;0&lt;/R&gt;&lt;C&gt;0&lt;/C&gt;&lt;/FQL&gt;&lt;FQL&gt;&lt;Q&gt;Ticker0024^FE_ESTIMATE(PRODLINE_EBIT_16,MEAN,ANNUAL_ROLL,2027,45685,,,'')&lt;/Q&gt;&lt;R&gt;1&lt;/R&gt;&lt;C&gt;1&lt;/C&gt;&lt;D xsi:type="xsd:double"&gt;70893&lt;/D&gt;&lt;/FQL&gt;&lt;FQL&gt;&lt;Q&gt;Ticker0024^FE_ESTIMATE(PRODLINE_EBIT_16,MEAN,QUARTERLY_ROLL,2027/4F,45685,,,'')&lt;/Q&gt;&lt;R&gt;0&lt;/R&gt;&lt;C&gt;0&lt;/C&gt;&lt;/FQL&gt;&lt;FQL&gt;&lt;Q&gt;Ticker0024^FE_ESTIMATE(PRODLINE_EBIT_16,MEAN,QUARTERLY_ROLL,2027/3F,45685,,,'')&lt;/Q&gt;&lt;R&gt;0&lt;/R&gt;&lt;C&gt;0&lt;/C&gt;&lt;/FQL&gt;&lt;FQL&gt;&lt;Q&gt;Ticker0024^FE_ESTIMATE(PRODLINE_EBIT_16,MEAN,QUARTERLY_ROLL,2027/2F,45685,,,'')&lt;/Q&gt;&lt;R&gt;0&lt;/R&gt;&lt;C&gt;0&lt;/C&gt;&lt;/FQL&gt;&lt;FQL&gt;&lt;Q&gt;Ticker0024^FE_ESTIMATE(PRODLINE_EBIT_16,MEAN,QUARTERLY_ROLL,2027/1F,45685,,,'')&lt;/Q&gt;&lt;R&gt;0&lt;/R&gt;&lt;C&gt;0&lt;/C&gt;&lt;/FQL&gt;&lt;FQL&gt;&lt;Q&gt;Ticker0024^FE_ESTIMATE(PRODLINE_EBIT_16,MEAN,ANNUAL_ROLL,2026,45685,,,'')&lt;/Q&gt;&lt;R&gt;1&lt;/R&gt;&lt;C&gt;1&lt;/C&gt;&lt;D xsi:type="xsd:double"&gt;57792.5&lt;/D&gt;&lt;/FQL&gt;&lt;FQL&gt;&lt;Q&gt;Ticker0024^FE_ESTIMATE(PRODLINE_EBIT_16,MEAN,QUARTERLY_ROLL,2026/4F,45685,,,'')&lt;/Q&gt;&lt;R&gt;1&lt;/R&gt;&lt;C&gt;1&lt;/C&gt;&lt;D xsi:type="xsd:double"&gt;16044.5&lt;/D&gt;&lt;/FQL&gt;&lt;FQL&gt;&lt;Q&gt;Ticker0024^FE_ESTIMATE(PRODLINE_EBIT_16,MEAN,QUARTERLY_ROLL,2026/3F,45685,,,'')&lt;/Q&gt;&lt;R&gt;1&lt;/R&gt;&lt;C&gt;1&lt;/C&gt;&lt;D xsi:type="xsd:double"&gt;14888&lt;/D&gt;&lt;/FQL&gt;&lt;FQL&gt;&lt;Q&gt;Ticker0024^FE_ESTIMATE(PRODLINE_EBIT_16,MEAN,QUARTERLY_ROLL,2026/2F,45685,,,'')&lt;/Q&gt;&lt;R&gt;1&lt;/R&gt;&lt;C&gt;1&lt;/C&gt;&lt;D xsi:type="xsd:double"&gt;14719.5&lt;/D&gt;&lt;/FQL&gt;&lt;FQL&gt;&lt;Q&gt;Ticker0024^FE_ESTIMATE(PRODLINE_EBIT_16,MEAN,QUARTERLY_ROLL,2026/1F,45685,,,'')&lt;/Q&gt;&lt;R&gt;1&lt;/R&gt;&lt;C&gt;1&lt;/C&gt;&lt;D xsi:type="xsd:double"&gt;13880&lt;/D&gt;&lt;/FQL&gt;&lt;FQL&gt;&lt;Q&gt;Ticker0024^FE_ESTIMATE(PRODLINE_EBIT_16,MEAN,ANNUAL_ROLL,2025,45685,,,'')&lt;/Q&gt;&lt;R&gt;1&lt;/R&gt;&lt;C&gt;1&lt;/C&gt;&lt;D xsi:type="xsd:double"&gt;47656.6&lt;/D&gt;&lt;/FQL&gt;&lt;FQL&gt;&lt;Q&gt;Ticker0024^FE_ESTIMATE(PRODLINE_EBIT_16,MEAN,QUARTERLY_ROLL,2025/4F,45685,,,'')&lt;/Q&gt;&lt;R&gt;1&lt;/R&gt;&lt;C&gt;1&lt;/C&gt;&lt;D xsi:type="xsd:double"&gt;12973.4&lt;/D&gt;&lt;/FQL&gt;&lt;FQL&gt;&lt;Q&gt;Ticker0024^FE_ESTIMATE(PRODLINE_EBIT_16,MEAN,QUARTERLY_ROLL,2025/3F,45685,,,'')&lt;/Q&gt;&lt;R&gt;1&lt;/R&gt;&lt;C&gt;1&lt;/C&gt;&lt;D xsi:type="xsd:double"&gt;11848&lt;/D&gt;&lt;/FQL&gt;&lt;FQL&gt;&lt;Q&gt;Ticker0024^FE_ESTIMATE(PRODLINE_EBIT_16,MEAN,QUARTERLY_ROLL,2025/2F,45685,,,'')&lt;/Q&gt;&lt;R&gt;1&lt;/R&gt;&lt;C&gt;1&lt;/C&gt;&lt;D xsi:type="xsd:double"&gt;11824.6&lt;/D&gt;&lt;/FQL&gt;&lt;FQL&gt;&lt;Q&gt;Ticker0024^FE_ESTIMATE(PRODLINE_EBIT_16,MEAN,QUARTERLY_ROLL,2025/1F,45685,,,'')&lt;/Q&gt;&lt;R&gt;1&lt;/R&gt;&lt;C&gt;1&lt;/C&gt;&lt;D xsi:type="xsd:double"&gt;11013&lt;/D&gt;&lt;/FQL&gt;&lt;FQL&gt;&lt;Q&gt;Ticker0024^FE_ESTIMATE(PRODLINE_EBIT_16,MEAN,ANNUAL_ROLL,2024,45685,,,'')&lt;/Q&gt;&lt;R&gt;1&lt;/R&gt;&lt;C&gt;1&lt;/C&gt;&lt;D xsi:type="xsd:double"&gt;49583.2&lt;/D&gt;&lt;/FQL&gt;&lt;FQL&gt;&lt;Q&gt;Ticker0024^FE_ESTIMATE(PRODLINE_EBIT_16,MEAN,QUARTERLY_ROLL,2024/4F,45685,,,'')&lt;/Q&gt;&lt;R&gt;1&lt;/R&gt;&lt;C&gt;1&lt;/C&gt;&lt;D xsi:type="xsd:double"&gt;12859.2&lt;/D&gt;&lt;/FQL&gt;&lt;FQL&gt;&lt;Q&gt;Ticker0024^FE_ESTIMATE(PRODLINE_EBIT_16,MEAN,QUARTERLY_ROLL,2024/3F,45685,,,'')&lt;/Q&gt;&lt;R&gt;1&lt;/R&gt;&lt;C&gt;1&lt;/C&gt;&lt;D xsi:type="xsd:double"&gt;12512.571&lt;/D&gt;&lt;/FQL&gt;&lt;FQL&gt;&lt;Q&gt;Ticker0024^FE_ESTIMATE(PRODLINE_EBIT_16,MEAN,QUARTERLY_ROLL,2024/2F,45685,,,'')&lt;/Q&gt;&lt;R&gt;1&lt;/R&gt;&lt;C&gt;1&lt;/C&gt;&lt;D xsi:type="xsd:double"&gt;12460.833&lt;/D&gt;&lt;/FQL&gt;&lt;FQL&gt;&lt;Q&gt;Ticker0024^FE_ESTIMATE(PRODLINE_EBIT_16,MEAN,QUARTERLY_ROLL,2024/1F,45685,,,'')&lt;/Q&gt;&lt;R&gt;1&lt;/R&gt;&lt;C&gt;1&lt;/C&gt;&lt;D xsi:type="xsd:double"&gt;11750.8&lt;/D&gt;&lt;/FQL&gt;&lt;FQL&gt;&lt;Q&gt;Ticker0024^FE_ESTIMATE(PRODLINE_EBIT_16,MEAN,ANNUAL_ROLL,2023,45685,,,'')&lt;/Q&gt;&lt;R&gt;1&lt;/R&gt;&lt;C&gt;1&lt;/C&gt;&lt;D xsi:type="xsd:double"&gt;37883.2&lt;/D&gt;&lt;/FQL&gt;&lt;FQL&gt;&lt;Q&gt;Ticker0024^FE_ESTIMATE(PRODLINE_EBIT_16,MEAN,QUARTERLY_ROLL,2023/4F,45685,,,'')&lt;/Q&gt;&lt;R&gt;1&lt;/R&gt;&lt;C&gt;1&lt;/C&gt;&lt;D xsi:type="xsd:double"&gt;10526.8&lt;/D&gt;&lt;/FQL&gt;&lt;FQL&gt;&lt;Q&gt;Ticker0024^FE_ESTIMATE(PRODLINE_EBIT_16,MEAN,QUARTERLY_ROLL,2023/3F,45685,,,'')&lt;/Q&gt;&lt;R&gt;1&lt;/R&gt;&lt;C&gt;1&lt;/C&gt;&lt;D xsi:type="xsd:double"&gt;9476.8&lt;/D&gt;&lt;/FQL&gt;&lt;FQL&gt;&lt;Q&gt;Ticker0024^FE_ESTIMATE(PRODLINE_EBIT_16,MEAN,QUARTERLY_ROLL,2023/2F,45685,,,'')&lt;/Q&gt;&lt;R&gt;1&lt;/R&gt;&lt;C&gt;1&lt;/C&gt;&lt;D xsi:type="xsd:double"&gt;8903.2&lt;/D&gt;&lt;/FQL&gt;&lt;FQL&gt;&lt;Q&gt;Ticker0024^FE_ESTIMATE(PRODLINE_EBIT_16,MEAN,QUARTERLY_ROLL,2023/1F,45685,,,'')&lt;/Q&gt;&lt;R&gt;1&lt;/R&gt;&lt;C&gt;1&lt;/C&gt;&lt;D xsi:type="xsd:double"&gt;8954.6&lt;/D&gt;&lt;/FQL&gt;&lt;FQL&gt;&lt;Q&gt;Ticker0024^FE_ESTIMATE(PRODLINE_EBIT_16,MEAN,ANNUAL_ROLL,2022,45685,,,'')&lt;/Q&gt;&lt;R&gt;1&lt;/R&gt;&lt;C&gt;1&lt;/C&gt;&lt;D xsi:type="xsd:double"&gt;32708.6&lt;/D&gt;&lt;/FQL&gt;&lt;FQL&gt;&lt;Q&gt;Ticker0024^FE_ESTIMATE(PRODLINE_EBIT_16,MEAN,QUARTERLY_ROLL,2022/4F,45685,,,'')&lt;/Q&gt;&lt;R&gt;1&lt;/R&gt;&lt;C&gt;1&lt;/C&gt;&lt;D xsi:type="xsd:double"&gt;8668.8&lt;/D&gt;&lt;/FQL&gt;&lt;FQL&gt;&lt;Q&gt;Ticker0024^FE_ESTIMATE(PRODLINE_EBIT_16,MEAN,QUARTERLY_ROLL,2022/3F,45685,,,'')&lt;/Q&gt;&lt;R&gt;1&lt;/R&gt;&lt;C&gt;1&lt;/C&gt;&lt;D xsi:type="xsd:double"&gt;8281&lt;/D&gt;&lt;/FQL&gt;&lt;FQL&gt;&lt;Q&gt;Ticker0024^FE_ESTIMATE(PRODLINE_EBIT_16,MEAN,QUARTERLY_ROLL,2022/2F,45685,,,'')&lt;/Q&gt;&lt;R&gt;1&lt;/R&gt;&lt;C&gt;1&lt;/C&gt;&lt;D xsi:type="xsd:double"&gt;8197&lt;/D&gt;&lt;/FQL&gt;&lt;FQL&gt;&lt;Q&gt;Ticker0024^FE_ESTIMATE(PRODLINE_EBIT_16,MEAN,QUARTERLY_ROLL,2022/1F,45685,,,'')&lt;/Q&gt;&lt;R&gt;1&lt;/R&gt;&lt;C&gt;1&lt;/C&gt;&lt;D xsi:type="xsd:double"&gt;7562&lt;/D&gt;&lt;/FQL&gt;&lt;FQL&gt;&lt;Q&gt;Ticker0024^FE_ESTIMATE(PRODLINE_EBIT_16,MEAN,ANNUAL_ROLL,2021,45685,,,'')&lt;/Q&gt;&lt;R&gt;1&lt;/R&gt;&lt;C&gt;1&lt;/C&gt;&lt;D xsi:type="xsd:double"&gt;26126&lt;/D&gt;&lt;/FQL&gt;&lt;FQL&gt;&lt;Q&gt;Ticker0024^FE_ESTIMATE(PRODLINE_EBIT_16,MEAN,QUARTERLY_ROLL,2021/4F,45685,,,'')&lt;/Q&gt;&lt;R&gt;1&lt;/R&gt;&lt;C&gt;1&lt;/C&gt;&lt;D xsi:type="xsd:double"&gt;7787&lt;/D&gt;&lt;/FQL&gt;&lt;FQL&gt;&lt;Q&gt;Ticker0024^FE_ESTIMATE(PRODLINE_EBIT_16,MEAN,QUARTERLY_ROLL,2021/3F,45685,,,'')&lt;/Q&gt;&lt;R&gt;1&lt;/R&gt;&lt;C&gt;1&lt;/C&gt;&lt;D xsi:type="xsd:double"&gt;6425&lt;/D&gt;&lt;/FQL&gt;&lt;FQL&gt;&lt;Q&gt;Ticker0024^FE_ESTIMATE(PRODLINE_EBIT_16,MEAN,QUARTERLY_ROLL,2021/2F,45685,,,'')&lt;/Q&gt;&lt;R&gt;1&lt;/R&gt;&lt;C&gt;1&lt;/C&gt;&lt;D xsi:type="xsd:double"&gt;6492&lt;/D&gt;&lt;/FQL&gt;&lt;FQL&gt;&lt;Q&gt;Ticker0024^FE_ESTIMATE(PRODLINE_EBIT_16,MEAN,QUARTERLY_ROLL,2021/1F,45685,,,'')&lt;/Q&gt;&lt;R&gt;1&lt;/R&gt;&lt;C&gt;1&lt;/C&gt;&lt;D xsi:type="xsd:double"&gt;5422&lt;/D&gt;&lt;/FQL&gt;&lt;FQL&gt;&lt;Q&gt;Ticker0024^FE_ESTIMATE(PRODLINE_EBIT_16,MEAN,ANNUAL_ROLL,2020,45685,,,'')&lt;/Q&gt;&lt;R&gt;1&lt;/R&gt;&lt;C&gt;1&lt;/C&gt;&lt;D xsi:type="xsd:double"&gt;18188.334&lt;/D&gt;&lt;/FQL&gt;&lt;FQL&gt;&lt;Q&gt;Ticker0024^FE_ESTIMATE(PRODLINE_EBIT_16,MEAN,QUARTERLY_ROLL,2020/4F,45685,,,'')&lt;/Q&gt;&lt;R&gt;1&lt;/R&gt;&lt;C&gt;1&lt;/C&gt;&lt;D xsi:type="xsd:double"&gt;5208.3335&lt;/D&gt;&lt;/FQL&gt;&lt;FQL&gt;&lt;Q&gt;Ticker0024^FE_ESTIMATE(PRODLINE_EBIT_16,MEAN,QUARTERLY_ROLL,2020/3F,45685,,,'')&lt;/Q&gt;&lt;R&gt;1&lt;/R&gt;&lt;C&gt;1&lt;/C&gt;&lt;D xsi:type="xsd:double"&gt;4560&lt;/D&gt;&lt;/FQL&gt;&lt;FQL&gt;&lt;Q&gt;Ticker0024^FE_ESTIMATE(PRODLINE_EBIT_16,MEAN,QUARTERLY_ROLL,2020/2F,45685,,,'')&lt;/Q&gt;&lt;R&gt;1&lt;/R&gt;&lt;C&gt;1&lt;/C&gt;&lt;D xsi:type="xsd:double"&gt;4531&lt;/D&gt;&lt;/FQL&gt;&lt;FQL&gt;&lt;Q&gt;Ticker0024^FE_ESTIMATE(PRODLINE_EBIT_16,MEAN,QUARTERLY_ROLL,2020/1F,45685,,,'')&lt;/Q&gt;&lt;R&gt;1&lt;/R&gt;&lt;C&gt;1&lt;/C&gt;&lt;D xsi:type="xsd:double"&gt;3889&lt;/D&gt;&lt;/FQL&gt;&lt;FQL&gt;&lt;Q&gt;Ticker0024^FE_ESTIMATE(PRODLINE_EBIT_16,MEAN,ANNUAL_ROLL,2019,45685,,,'')&lt;/Q&gt;&lt;R&gt;1&lt;/R&gt;&lt;C&gt;1&lt;/C&gt;&lt;D xsi:type="xsd:double"&gt;13920&lt;/D&gt;&lt;/FQL&gt;&lt;FQL&gt;&lt;Q&gt;Ticker0024^FE_ESTIMATE(PRODLINE_EBIT_16,MEAN,QUARTERLY_ROLL,2019/4F,45685,,,'')&lt;/Q&gt;&lt;R&gt;1&lt;/R&gt;&lt;C&gt;1&lt;/C&gt;&lt;D xsi:type="xsd:double"&gt;4502&lt;/D&gt;&lt;/FQL&gt;&lt;FQL&gt;&lt;Q&gt;Ticker0024^FE_ESTIMATE(PRODLINE_EBIT_16,MEAN,QUARTERLY_ROLL,2019/3F,45685,,,'')&lt;/Q&gt;&lt;R&gt;1&lt;/R&gt;&lt;C&gt;1&lt;/C&gt;&lt;D xsi:type="xsd:double"&gt;3208&lt;/D&gt;&lt;/FQL&gt;&lt;FQL&gt;&lt;Q&gt;Ticker0024^FE_ESTIMATE(PRODLINE_EBIT_16,MEAN,QUARTERLY_ROLL,2019/2F,45685,,,'')&lt;/Q&gt;&lt;R&gt;1&lt;/R&gt;&lt;C&gt;1&lt;/C&gt;&lt;D xsi:type="xsd:double"&gt;3278.75&lt;/D&gt;&lt;/FQL&gt;&lt;FQL&gt;&lt;Q&gt;Ticker0024^FE_ESTIMATE(PRODLINE_EBIT_16,MEAN,QUARTERLY_ROLL,2019/1F,45685,,,'')&lt;/Q&gt;&lt;R&gt;1&lt;/R&gt;&lt;C&gt;1&lt;/C&gt;&lt;D xsi:type="xsd:double"&gt;2931&lt;/D&gt;&lt;/FQL&gt;&lt;FQL&gt;&lt;Q&gt;Ticker0024^FE_ESTIMATE(PRODLINE_EBIT_16,MEAN,ANNUAL_ROLL,2018,45685,,,'')&lt;/Q&gt;&lt;R&gt;1&lt;/R&gt;&lt;C&gt;1&lt;/C&gt;&lt;D xsi:type="xsd:double"&gt;11524&lt;/D&gt;&lt;/FQL&gt;&lt;FQL&gt;&lt;Q&gt;Ticker0024^FE_ESTIMATE(PRODLINE_EBIT_16,MEAN,QUARTERLY_ROLL,2018/4F,45685,,,'')&lt;/Q&gt;&lt;R&gt;1&lt;/R&gt;&lt;C&gt;1&lt;/C&gt;&lt;D xsi:type="xsd:double"&gt;3901&lt;/D&gt;&lt;/FQL&gt;&lt;FQL&gt;&lt;Q&gt;Ticker0024^FE_ESTIMATE(PRODLINE_EBIT_16,MEAN,QUARTERLY_ROLL,2018/3F,45685,,,'')&lt;/Q&gt;&lt;R&gt;1&lt;/R&gt;&lt;C&gt;1&lt;/C&gt;&lt;D xsi:type="xsd:double"&gt;2654&lt;/D&gt;&lt;/FQL&gt;&lt;FQL&gt;&lt;Q&gt;Ticker0024^FE_ESTIMATE(PRODLINE_EBIT_16,MEAN,QUARTERLY_ROLL,2018/2F,45685,,,'')&lt;/Q&gt;&lt;R&gt;1&lt;/R&gt;&lt;C&gt;1&lt;/C&gt;&lt;D xsi:type="xsd:double"&gt;2832&lt;/D&gt;&lt;/FQL&gt;&lt;FQL&gt;&lt;Q&gt;Ticker0024^FE_ESTIMATE(PRODLINE_EBIT_16,MEAN,QUARTERLY_ROLL,2018/1F,45685,,,'')&lt;/Q&gt;&lt;R&gt;1&lt;/R&gt;&lt;C&gt;1&lt;/C&gt;&lt;D xsi:type="xsd:double"&gt;2137&lt;/D&gt;&lt;/FQL&gt;&lt;FQL&gt;&lt;Q&gt;Ticker0024^FE_ESTIMATE(PRODLINE_EBIT_16,MEAN,ANNUAL_ROLL,2017,45685,,,'')&lt;/Q&gt;&lt;R&gt;1&lt;/R&gt;&lt;C&gt;1&lt;/C&gt;&lt;D xsi:type="xsd:double"&gt;9138&lt;/D&gt;&lt;/FQL&gt;&lt;FQL&gt;&lt;Q&gt;Ticker0024^FE_ESTIMATE(PRODLINE_EBIT_16,MEAN,QUARTERLY_ROLL,2017/4F,45685,,,'')&lt;/Q&gt;&lt;R&gt;1&lt;/R&gt;&lt;C&gt;1&lt;/C&gt;&lt;D xsi:type="xsd:double"&gt;2501&lt;/D&gt;&lt;/FQL&gt;&lt;FQL&gt;&lt;Q&gt;Ticker0024^FE_ESTIMATE(PRODLINE_EBIT_16,MEAN,QUARTERLY_ROLL,2017/3F,45685,,,'')&lt;/Q&gt;&lt;R&gt;1&lt;/R&gt;&lt;C&gt;1&lt;/C&gt;&lt;D xsi:type="xsd:double"&gt;2181&lt;/D&gt;&lt;/FQL&gt;&lt;FQL&gt;&lt;Q&gt;Ticker0024^FE_ESTIMATE(PRODLINE_EBIT_16,MEAN,QUARTERLY_ROLL,2017/2F,45685,,,'')&lt;/Q&gt;&lt;R&gt;1&lt;/R&gt;&lt;C&gt;1&lt;/C&gt;&lt;D xsi:type="xsd:double"&gt;2398&lt;/D&gt;&lt;/FQL&gt;&lt;FQL&gt;&lt;Q&gt;Ticker0024^FE_ESTIMATE(PRODLINE_EBIT_16,MEAN,QUARTERLY_ROLL,2017/1F,45685,,,'')&lt;/Q&gt;&lt;R&gt;1&lt;/R&gt;&lt;C&gt;1&lt;/C&gt;&lt;D xsi:type="xsd:double"&gt;2058&lt;/D&gt;&lt;/FQL&gt;&lt;FQL&gt;&lt;Q&gt;Ticker0024^FE_ESTIMATE(PRODLINE_EBIT_16,MEAN,ANNUAL_ROLL,2016,45685,,,'')&lt;/Q&gt;&lt;R&gt;1&lt;/R&gt;&lt;C&gt;1&lt;/C&gt;&lt;D xsi:type="xsd:double"&gt;9357&lt;/D&gt;&lt;/FQL&gt;&lt;FQL&gt;&lt;Q&gt;Ticker0024^FE_ESTIMATE(PRODLINE_EBIT_16,MEAN,QUARTERLY_ROLL,2016/4F,45685,,,'')&lt;/Q&gt;&lt;R&gt;1&lt;/R&gt;&lt;C&gt;1&lt;/C&gt;&lt;D xsi:type="xsd:double"&gt;2190&lt;/D&gt;&lt;/FQL&gt;&lt;FQL&gt;&lt;Q&gt;Ticker0024^FE_ESTIMATE(PRODLINE_EBIT_16,MEAN,QUARTERLY_ROLL,2016/3F,45685,,,'')&lt;/Q&gt;&lt;R&gt;1&lt;/R&gt;&lt;C&gt;1&lt;/C&gt;&lt;D xsi:type="xsd:double"&gt;2188&lt;/D&gt;&lt;/FQL&gt;&lt;FQL&gt;&lt;Q&gt;Ticker0024^FE_ESTIMATE(PRODLINE_EBIT_16,MEAN,QUARTERLY_ROLL,2016/2F,45685,,,'')&lt;/Q&gt;&lt;R&gt;0&lt;/R&gt;&lt;C&gt;0&lt;/C&gt;&lt;/FQL&gt;&lt;FQL&gt;&lt;Q&gt;Ticker0024^FE_ESTIMATE(PRODLINE_EBIT_16,MEAN,QUARTERLY_ROLL,2016/1F,45685,,,'')&lt;/Q&gt;&lt;R&gt;0&lt;/R&gt;&lt;C&gt;0&lt;/C&gt;&lt;/FQL&gt;&lt;FQL&gt;&lt;Q&gt;Ticker0024^FE_ESTIMATE(PRODLINE_EBIT_16,MEAN,ANNUAL_ROLL,2015,45685,,,'')&lt;/Q&gt;&lt;R&gt;0&lt;/R&gt;&lt;C&gt;0&lt;/C&gt;&lt;/FQL&gt;&lt;FQL&gt;&lt;Q&gt;Ticker0024^FE_ESTIMATE(PRODLINE_EBIT_16,MEAN,QUARTERLY_ROLL,2015/4F,45685,,,'')&lt;/Q&gt;&lt;R&gt;0&lt;/R&gt;&lt;C&gt;0&lt;/C&gt;&lt;/FQL&gt;&lt;FQL&gt;&lt;Q&gt;Ticker0024^FE_ESTIMATE(PRODLINE_EBIT_16,MEAN,QUARTERLY_ROLL,2015/3F,45685,,,'')&lt;/Q&gt;&lt;R&gt;0&lt;/R&gt;&lt;C&gt;0&lt;/C&gt;&lt;/FQL&gt;&lt;FQL&gt;&lt;Q&gt;Ticker0024^FE_ESTIMATE(PRODLINE_EBIT_16,MEAN,QUARTERLY_ROLL,2015/2F,45685,,,'')&lt;/Q&gt;&lt;R&gt;0&lt;/R&gt;&lt;C&gt;0&lt;/C&gt;&lt;/FQL&gt;&lt;FQL&gt;&lt;Q&gt;Ticker0024^FE_ESTIMATE(PRODLINE_EBIT_16,MEAN,QUARTERLY_ROLL,2015/1F,45685,,,'')&lt;/Q&gt;&lt;R&gt;0&lt;/R&gt;&lt;C&gt;0&lt;/C&gt;&lt;/FQL&gt;&lt;FQL&gt;&lt;Q&gt;Ticker0024^FE_ESTIMATE(PRODLINE_EBIT_15,MEAN,ANNUAL_ROLL,2030,45685,,,'')&lt;/Q&gt;&lt;R&gt;0&lt;/R&gt;&lt;C&gt;0&lt;/C&gt;&lt;/FQL&gt;&lt;FQL&gt;&lt;Q&gt;Ticker0024^FE_ESTIMATE(PRODLINE_EBIT_15,MEAN,QUARTERLY_ROLL,2030/4F,45685,,,'')&lt;/Q&gt;&lt;R&gt;0&lt;/R&gt;&lt;C&gt;0&lt;/C&gt;&lt;/FQL&gt;&lt;FQL&gt;&lt;Q&gt;Ticker0024^FE_ESTIMATE(PRODLINE_EBIT_15,MEAN,QUARTERLY_ROLL,2030/3F,45685,,,'')&lt;/Q&gt;&lt;R&gt;0&lt;/R&gt;&lt;C&gt;0&lt;/C&gt;&lt;/FQL&gt;&lt;FQL&gt;&lt;Q&gt;Ticker0024^FE_ESTIMATE(PRODLINE_EBIT_15,MEAN,QUARTERLY_ROLL,2030/2F,45685,,,'')&lt;/Q&gt;&lt;R&gt;0&lt;/R&gt;&lt;C&gt;0&lt;/C&gt;&lt;/FQL&gt;&lt;FQL&gt;&lt;Q&gt;Ticker0024^FE_ESTIMATE(PRODLINE_EBIT_15,MEAN,QUARTERLY_ROLL,2030/1F,45685,,,'')&lt;/Q&gt;&lt;R&gt;0&lt;/R&gt;&lt;C&gt;0&lt;/C&gt;&lt;/FQL&gt;&lt;FQL&gt;&lt;Q&gt;Ticker0024^FE_ESTIMATE(PRODLINE_EBIT_15,MEAN,ANNUAL_ROLL,2029,45685,,,'')&lt;/Q&gt;&lt;R&gt;0&lt;/R&gt;&lt;C&gt;0&lt;/C&gt;&lt;/FQL&gt;&lt;FQL&gt;&lt;Q&gt;Ticker0024^FE_ESTIMATE(PRODLINE_EBIT_15,MEAN,QUARTERLY_ROLL,2029/4F,45685,,,'')&lt;/Q&gt;&lt;R&gt;0&lt;/R&gt;&lt;C&gt;0&lt;/C&gt;&lt;/FQL&gt;&lt;FQL&gt;&lt;Q&gt;Ticker0024^FE_ESTIMATE(PRODLINE_EBIT_15,MEAN,QUARTERLY_ROLL,2029/3F,45685,,,'')&lt;/Q&gt;&lt;R&gt;0&lt;/R&gt;&lt;C&gt;0&lt;/C&gt;&lt;/FQL&gt;&lt;FQL&gt;&lt;Q&gt;Ticker0024^FE_ESTIMATE(PRODLINE_EBIT_15,MEAN,QUARTERLY_ROLL,2029/2F,45685,,,'')&lt;/Q&gt;&lt;R&gt;0&lt;/R&gt;&lt;C&gt;0&lt;/C&gt;&lt;/FQL&gt;&lt;FQL&gt;&lt;Q&gt;Ticker0024^FE_ESTIMATE(PRODLINE_EBIT_15,MEAN,QUARTERLY_ROLL,2029/1F,45685,,,'')&lt;/Q&gt;&lt;R&gt;0&lt;/R&gt;&lt;C&gt;0&lt;/C&gt;&lt;/FQL&gt;&lt;FQL&gt;&lt;Q&gt;Ticker0024^FE_ESTIMATE(PRODLINE_EBIT_15,MEAN,ANNUAL_ROLL,2028,45685,,,'')&lt;/Q&gt;&lt;R&gt;1&lt;/R&gt;&lt;C&gt;1&lt;/C&gt;&lt;D xsi:type="xsd:double"&gt;75230&lt;/D&gt;&lt;/FQL&gt;&lt;FQL&gt;&lt;Q&gt;Ticker0024^FE_ESTIMATE(PRODLINE_EBIT_15,MEAN,QUARTERLY_ROLL,2028/4F,45685,,,'')&lt;/Q&gt;&lt;R&gt;0&lt;/R&gt;&lt;C&gt;0&lt;/C&gt;&lt;/FQL&gt;&lt;FQL&gt;&lt;Q&gt;Ticker0024^FE_ESTIMATE(PRODLINE_EBIT_15,MEAN,QUARTERLY_ROLL,2028/3F,45685,,,'')&lt;/Q&gt;&lt;R&gt;0&lt;/R&gt;&lt;C&gt;0&lt;/C&gt;&lt;/FQL&gt;&lt;FQL&gt;&lt;Q&gt;Ticker0024^FE_ESTIMATE(PRODLINE_EBIT_15,MEAN,QUARTERLY_ROLL,2028/2F,45685,,,'')&lt;/Q&gt;&lt;R&gt;0&lt;/R&gt;&lt;C&gt;0&lt;/C&gt;&lt;/FQL&gt;&lt;FQL&gt;&lt;Q&gt;Ticker0024^FE_ESTIMATE(PRODLINE_EBIT_15,MEAN,QUARTERLY_ROLL,2028/1F,45685,,,'')&lt;/Q&gt;&lt;R&gt;0&lt;/R&gt;&lt;C&gt;0&lt;/C&gt;&lt;/FQL&gt;&lt;FQL&gt;&lt;Q&gt;Ticker0024^FE_ESTIMATE(PRODLINE_EBIT_15,MEAN,ANNUAL_ROLL,2027,45685,,,'')&lt;/Q&gt;&lt;R&gt;1&lt;/R&gt;&lt;C&gt;1&lt;/C&gt;&lt;D xsi:type="xsd:double"&gt;75985.5&lt;/D&gt;&lt;/FQL&gt;&lt;FQL&gt;&lt;Q&gt;Ticker0024^FE_ESTIMATE(PRODLINE_EBIT_15,MEAN,QUARTERLY_ROLL,2027/4F,45685,,,'')&lt;/Q&gt;&lt;R&gt;0&lt;/R&gt;&lt;C&gt;0&lt;/C&gt;&lt;/FQL&gt;&lt;FQL&gt;&lt;Q&gt;Ticker0024^FE_ESTIMATE(PRODLINE_EBIT_15,MEAN,QUARTERLY_ROLL,2027/3F,45685,,,'')&lt;/Q&gt;&lt;R&gt;0&lt;/R&gt;&lt;C&gt;0&lt;/C&gt;&lt;/FQL&gt;&lt;FQL&gt;&lt;Q&gt;Ticker0024^FE_ESTIMATE(PRODLINE_EBIT_15,MEAN,QUARTERLY_ROLL,2027/2F,45685,,,'')&lt;/Q&gt;&lt;R&gt;0&lt;/R&gt;&lt;C&gt;0&lt;/C&gt;&lt;/FQL&gt;&lt;FQL&gt;&lt;Q&gt;Ticker0024^FE_ESTIMATE(PRODLINE_EBIT_15,MEAN,QUARTERLY_ROLL,2027/1F,45685,,,'')&lt;/Q&gt;&lt;R&gt;0&lt;/R&gt;&lt;C&gt;0&lt;/C&gt;&lt;/FQL&gt;&lt;FQL&gt;&lt;Q&gt;Ticker0024^FE_ESTIMATE(PRODLINE_EBIT_15,MEAN,ANNUAL_ROLL,2026,45685,,,'')&lt;/Q&gt;&lt;R&gt;1&lt;/R&gt;&lt;C&gt;1&lt;/C&gt;&lt;D xsi:type="xsd:double"&gt;65457.75&lt;/D&gt;&lt;/FQL&gt;&lt;FQL&gt;&lt;Q&gt;Ticker0024^FE_ESTIMATE(PRODLINE_EBIT_15,MEAN,QUARTERLY_ROLL,2026/4F,45685,,,'')&lt;/Q&gt;&lt;R&gt;1&lt;/R&gt;&lt;C&gt;1&lt;/C&gt;&lt;D xsi:type="xsd:double"&gt;15698.5&lt;/D&gt;&lt;/FQL&gt;&lt;FQL&gt;&lt;Q&gt;Ticker0024^FE_ESTIMATE(PRODLINE_EBIT_15,MEAN,QUARTERLY_ROLL,2026/3F,45685,,,'')&lt;/Q&gt;&lt;R&gt;1&lt;/R&gt;&lt;C&gt;1&lt;/C&gt;&lt;D xsi:type="xsd:double"&gt;15134.5&lt;/D&gt;&lt;/FQL&gt;&lt;FQL&gt;&lt;Q&gt;Ticker0024^FE_ESTIMATE(PRODLINE_EBIT_15,MEAN,QUARTERLY_ROLL,2026/2F,45685,,,'')&lt;/Q&gt;&lt;R&gt;1&lt;/R&gt;&lt;C&gt;1&lt;/C&gt;&lt;D xsi:type="xsd:double"&gt;15186.5&lt;/D&gt;&lt;/FQL&gt;&lt;FQL&gt;&lt;Q&gt;Ticker0024^FE_ESTIMATE(PRODLINE_EBIT_15,MEAN,QUARTERLY_ROLL,2026/1F,45685,,,'')&lt;/Q&gt;&lt;R&gt;1&lt;/R&gt;&lt;C&gt;1&lt;/C&gt;&lt;D xsi:type="xsd:double"&gt;14922&lt;/D&gt;&lt;/FQL&gt;&lt;FQL&gt;&lt;Q&gt;Ticker0024^FE_ESTIMATE(PRODLINE_EBIT_15,MEAN,ANNUAL_ROLL,2025,45685,,,'')&lt;/Q&gt;&lt;R&gt;1&lt;/R&gt;&lt;C&gt;1&lt;/C&gt;&lt;D xsi:type="xsd:double"&gt;60249.4&lt;/D&gt;&lt;/FQL&gt;&lt;FQL&gt;&lt;Q&gt;Ticker0024^FE_ESTIMATE(PRODLINE_EBIT_15,MEAN,QUARTERLY_ROLL,2025/4F,45685,,,'')&lt;/Q&gt;&lt;R&gt;1&lt;/R&gt;&lt;C&gt;1&lt;/C&gt;&lt;D xsi:type="xsd:double"&gt;15139.6&lt;/D&gt;&lt;/FQL&gt;&lt;FQL&gt;&lt;Q&gt;Ticker0024^FE_ESTIMATE(PRODLINE_EBIT_15,MEAN,QUARTERLY_ROLL,2025/3F,45685,,,'')&lt;/Q&gt;&lt;R&gt;1&lt;/R&gt;&lt;C&gt;1&lt;/C&gt;&lt;D xsi:type="xsd:double"&gt;14852.6&lt;/D&gt;&lt;/FQL&gt;&lt;FQL&gt;&lt;Q&gt;Ticker0024^FE_ESTIMATE(PRODLINE_EBIT_15,MEAN,QUARTERLY_ROLL,2025/2F,45685,,,'')&lt;/Q&gt;&lt;R&gt;1&lt;/R&gt;&lt;C&gt;1&lt;/C&gt;&lt;D xsi:type="xsd:double"&gt;14809.4&lt;/D&gt;&lt;/FQL&gt;&lt;FQL&gt;&lt;Q&gt;Ticker0024^FE_ESTIMATE(PRODLINE_EBIT_15,MEAN,QUARTERLY_ROLL,2025/1F,45685,,,'')&lt;/Q&gt;&lt;R&gt;1&lt;/R&gt;&lt;C&gt;1&lt;/C&gt;&lt;D xsi:type="xsd:double"&gt;15451.8&lt;/D&gt;&lt;/FQL&gt;&lt;FQL&gt;&lt;Q&gt;Ticker0024^FE_ESTIMATE(PRODLINE_EBIT_15,MEAN,ANNUAL_ROLL,2024,45685,,,'')&lt;/Q&gt;&lt;R&gt;1&lt;/R&gt;&lt;C&gt;1&lt;/C&gt;&lt;D xsi:type="xsd:double"&gt;40540&lt;/D&gt;&lt;/FQL&gt;&lt;FQL&gt;&lt;Q&gt;Ticker0024^FE_ESTIMATE(PRODLINE_EBIT_15,MEAN,QUARTERLY_ROLL,2024/4F,45685,,,'')&lt;/Q&gt;&lt;R&gt;1&lt;/R&gt;&lt;C&gt;1&lt;/C&gt;&lt;D xsi:type="xsd:double"&gt;10142.4&lt;/D&gt;&lt;/FQL&gt;&lt;FQL&gt;&lt;Q&gt;Ticker0024^FE_ESTIMATE(PRODLINE_EBIT_15,MEAN,QUARTERLY_ROLL,2024/3F,45685,,,'')&lt;/Q&gt;&lt;R&gt;1&lt;/R&gt;&lt;C&gt;1&lt;/C&gt;&lt;D xsi:type="xsd:double"&gt;10142.571&lt;/D&gt;&lt;/FQL&gt;&lt;FQL&gt;&lt;Q&gt;Ticker0024^FE_ESTIMATE(PRODLINE_EBIT_15,MEAN,QUARTERLY_ROLL,2024/2F,45685,,,'')&lt;/Q&gt;&lt;R&gt;1&lt;/R&gt;&lt;C&gt;1&lt;/C&gt;&lt;D xsi:type="xsd:double"&gt;10283.333&lt;/D&gt;&lt;/FQL&gt;&lt;FQL&gt;&lt;Q&gt;Ticker0024^FE_ESTIMATE(PRODLINE_EBIT_15,MEAN,QUARTERLY_ROLL,2024/1F,45685,,,'')&lt;/Q&gt;&lt;R&gt;1&lt;/R&gt;&lt;C&gt;1&lt;/C&gt;&lt;D xsi:type="xsd:double"&gt;9970&lt;/D&gt;&lt;/FQL&gt;&lt;FQL&gt;&lt;Q&gt;Ticker0024^FE_ESTIMATE(PRODLINE_EBIT_15,MEAN,ANNUAL_ROLL,2023,45685,,,'')&lt;/Q&gt;&lt;R&gt;1&lt;/R&gt;&lt;C&gt;1&lt;/C&gt;&lt;D xsi:type="xsd:double"&gt;34189.4&lt;/D&gt;&lt;/FQL&gt;&lt;FQL&gt;&lt;Q&gt;Ticker0024^FE_ESTIMATE(PRODLINE_EBIT_15,MEAN,QUARTERLY_ROLL,2023/4F,45685,,,'')&lt;/Q&gt;&lt;R&gt;1&lt;/R&gt;&lt;C&gt;1&lt;/C&gt;&lt;D xsi:type="xsd:double"&gt;9051.6&lt;/D&gt;&lt;/FQL&gt;&lt;FQL&gt;&lt;Q&gt;Ticker0024^FE_ESTIMATE(PRODLINE_EBIT_15,MEAN,QUARTERLY_ROLL,2023/3F,45685,,,'')&lt;/Q&gt;&lt;R&gt;1&lt;/R&gt;&lt;C&gt;1&lt;/C&gt;&lt;D xsi:type="xsd:double"&gt;8639.2&lt;/D&gt;&lt;/FQL&gt;&lt;FQL&gt;&lt;Q&gt;Ticker0024^FE_ESTIMATE(PRODLINE_EBIT_15,MEAN,QUARTERLY_ROLL,2023/2F,45685,,,'')&lt;/Q&gt;&lt;R&gt;1&lt;/R&gt;&lt;C&gt;1&lt;/C&gt;&lt;D xsi:type="xsd:double"&gt;8176&lt;/D&gt;&lt;/FQL&gt;&lt;FQL&gt;&lt;Q&gt;Ticker0024^FE_ESTIMATE(PRODLINE_EBIT_15,MEAN,QUARTERLY_ROLL,2023/1F,45685,,,'')&lt;/Q&gt;&lt;R&gt;1&lt;/R&gt;&lt;C&gt;1&lt;/C&gt;&lt;D xsi:type="xsd:double"&gt;8322.4&lt;/D&gt;&lt;/FQL&gt;&lt;FQL&gt;&lt;Q&gt;Ticker0024^FE_ESTIMATE(PRODLINE_EBIT_15,MEAN,ANNUAL_ROLL,2022,45685,,,'')&lt;/Q&gt;&lt;R&gt;1&lt;/R&gt;&lt;C&gt;1&lt;/C&gt;&lt;D xsi:type="xsd:double"&gt;29685&lt;/D&gt;&lt;/FQL&gt;&lt;FQL&gt;&lt;Q&gt;Ticker0024^FE_ESTIMATE(PRODLINE_EBIT_15,MEAN,QUARTERLY_ROLL,2022/4F,45685,,,'')&lt;/Q&gt;&lt;R&gt;1&lt;/R&gt;&lt;C&gt;1&lt;/C&gt;&lt;D xsi:type="xsd:double"&gt;7232&lt;/D&gt;&lt;/FQL&gt;&lt;FQL&gt;&lt;Q&gt;Ticker0024^FE_ESTIMATE(PRODLINE_EBIT_15,MEAN,QUARTERLY_ROLL,2022/3F,45685,,,'')&lt;/Q&gt;&lt;R&gt;1&lt;/R&gt;&lt;C&gt;1&lt;/C&gt;&lt;D xsi:type="xsd:double"&gt;7184&lt;/D&gt;&lt;/FQL&gt;&lt;FQL&gt;&lt;Q&gt;Ticker0024^FE_ESTIMATE(PRODLINE_EBIT_15,MEAN,QUARTERLY_ROLL,2022/2F,45685,,,'')&lt;/Q&gt;&lt;R&gt;1&lt;/R&gt;&lt;C&gt;1&lt;/C&gt;&lt;D xsi:type="xsd:double"&gt;7688&lt;/D&gt;&lt;/FQL&gt;&lt;FQL&gt;&lt;Q&gt;Ticker0024^FE_ESTIMATE(PRODLINE_EBIT_15,MEAN,QUARTERLY_ROLL,2022/1F,45685,,,'')&lt;/Q&gt;&lt;R&gt;1&lt;/R&gt;&lt;C&gt;1&lt;/C&gt;&lt;D xsi:type="xsd:double"&gt;7581&lt;/D&gt;&lt;/FQL&gt;&lt;FQL&gt;&lt;Q&gt;Ticker0024^FE_ESTIMATE(PRODLINE_EBIT_15,MEAN,ANNUAL_ROLL,2021,45685,,,'')&lt;/Q&gt;&lt;R&gt;1&lt;/R&gt;&lt;C&gt;1&lt;/C&gt;&lt;D xsi:type="xsd:double"&gt;24351&lt;/D&gt;&lt;/FQL&gt;&lt;FQL&gt;&lt;Q&gt;Ticker0024^FE_ESTIMATE(PRODLINE_EBIT_15,MEAN,QUARTERLY_ROLL,2021/4F,45685,,,'')&lt;/Q&gt;&lt;R&gt;1&lt;/R&gt;&lt;C&gt;1&lt;/C&gt;&lt;D xsi:type="xsd:double"&gt;6435&lt;/D&gt;&lt;/FQL&gt;&lt;FQL&gt;&lt;Q&gt;Ticker0024^FE_ESTIMATE(PRODLINE_EBIT_15,MEAN,QUARTERLY_ROLL,2021/3F,45685,,,'')&lt;/Q&gt;&lt;R&gt;1&lt;/R&gt;&lt;C&gt;1&lt;/C&gt;&lt;D xsi:type="xsd:double"&gt;6029&lt;/D&gt;&lt;/FQL&gt;&lt;FQL&gt;&lt;Q&gt;Ticker0024^FE_ESTIMATE(PRODLINE_EBIT_15,MEAN,QUARTERLY_ROLL,2021/2F,45685,,,'')&lt;/Q&gt;&lt;R&gt;1&lt;/R&gt;&lt;C&gt;1&lt;/C&gt;&lt;D xsi:type="xsd:double"&gt;6179.6665&lt;/D&gt;&lt;/FQL&gt;&lt;FQL&gt;&lt;Q&gt;Ticker0024^FE_ESTIMATE(PRODLINE_EBIT_15,MEAN,QUARTERLY_ROLL,2021/1F,45685,,,'')&lt;/Q&gt;&lt;R&gt;1&lt;/R&gt;&lt;C&gt;1&lt;/C&gt;&lt;D xsi:type="xsd:double"&gt;5706&lt;/D&gt;&lt;/FQL&gt;&lt;FQL&gt;&lt;Q&gt;Ticker0024^FE_ESTIMATE(PRODLINE_EBIT_15,MEAN,ANNUAL_ROLL,2020,45685,,,'')&lt;/Q&gt;&lt;R&gt;1&lt;/R&gt;&lt;C&gt;1&lt;/C&gt;&lt;D xsi:type="xsd:double"&gt;18781&lt;/D&gt;&lt;/FQL&gt;&lt;FQL&gt;&lt;Q&gt;Ticker0024^FE_ESTIMATE(PRODLINE_EBIT_15,MEAN,QUARTERLY_ROLL,2020/4F,45685,,,'')&lt;/Q&gt;&lt;R&gt;1&lt;/R&gt;&lt;C&gt;1&lt;/C&gt;&lt;D xsi:type="xsd:double"&gt;4029&lt;/D&gt;&lt;/FQL&gt;&lt;FQL&gt;&lt;Q&gt;Ticker0024^FE_ESTIMATE(PRODLINE_EBIT_15,MEAN,QUARTERLY_ROLL,2020/3F,45685,,,'')&lt;/Q&gt;&lt;R&gt;1&lt;/R&gt;&lt;C&gt;1&lt;/C&gt;&lt;D xsi:type="xsd:double"&gt;4788&lt;/D&gt;&lt;/FQL&gt;&lt;FQL&gt;&lt;Q&gt;Ticker0024^FE_ESTIMATE(PRODLINE_EBIT_15,MEAN,QUARTERLY_ROLL,2020/2F,45685,,,'')&lt;/Q&gt;&lt;R&gt;1&lt;/R&gt;&lt;C&gt;1&lt;/C&gt;&lt;D xsi:type="xsd:double"&gt;5182&lt;/D&gt;&lt;/FQL&gt;&lt;FQL&gt;&lt;Q&gt;Ticker0024^FE_ESTIMATE(PRODLINE_EBIT_15,MEAN,QUARTERLY_ROLL,2020/1F,45685,,,'')&lt;/Q&gt;&lt;R&gt;1&lt;/R&gt;&lt;C&gt;1&lt;/C&gt;&lt;D xsi:type="xsd:double"&gt;4782&lt;/D&gt;&lt;/FQL&gt;&lt;FQL&gt;&lt;Q&gt;Ticker0024^FE_ESTIMATE(PRODLINE_EBIT_15,MEAN,ANNUAL_ROLL,2019,45685,,,'')&lt;/Q&gt;&lt;R&gt;1&lt;/R&gt;&lt;C&gt;1&lt;/C&gt;&lt;D xsi:type="xsd:double"&gt;16219&lt;/D&gt;&lt;/FQL&gt;&lt;FQL&gt;&lt;Q&gt;Ticker0024^FE_ESTIMATE(PRODLINE_EBIT_15,MEAN,QUARTERLY_ROLL,2019/4F,45685,,,'')&lt;/Q&gt;&lt;R&gt;1&lt;/R&gt;&lt;C&gt;1&lt;/C&gt;&lt;D xsi:type="xsd:double"&gt;4344&lt;/D&gt;&lt;/FQL&gt;&lt;FQL&gt;&lt;Q&gt;Ticker0024^FE_ESTIMATE(PRODLINE_EBIT_15,MEAN,QUARTERLY_ROLL,2019/3F,45685,,,'')&lt;/Q&gt;&lt;R&gt;1&lt;/R&gt;&lt;C&gt;1&lt;/C&gt;&lt;D xsi:type="xsd:double"&gt;3979&lt;/D&gt;&lt;/FQL&gt;&lt;FQL&gt;&lt;Q&gt;Ticker0024^FE_ESTIMATE(PRODLINE_EBIT_15,MEAN,QUARTERLY_ROLL,2019/2F,45685,,,'')&lt;/Q&gt;&lt;R&gt;1&lt;/R&gt;&lt;C&gt;1&lt;/C&gt;&lt;D xsi:type="xsd:double"&gt;4013.75&lt;/D&gt;&lt;/FQL&gt;&lt;FQL&gt;&lt;Q&gt;Ticker0024^FE_ESTIMATE(PRODLINE_EBIT_15,MEAN,QUARTERLY_ROLL,2019/1F,45685,,,'')&lt;/Q&gt;&lt;R&gt;1&lt;/R&gt;&lt;C&gt;1&lt;/C&gt;&lt;D xsi:type="xsd:double"&gt;3881&lt;/D&gt;&lt;/FQL&gt;&lt;FQL&gt;&lt;Q&gt;Ticker0024^FE_ESTIMATE(PRODLINE_EBIT_15,MEAN,ANNUAL_ROLL,2018,45685,,,'')&lt;/Q&gt;&lt;R&gt;1&lt;/R&gt;&lt;C&gt;1&lt;/C&gt;&lt;D xsi:type="xsd:double"&gt;12924&lt;/D&gt;&lt;/FQL&gt;&lt;FQL&gt;&lt;Q&gt;Ticker0024^FE_ESTIMATE(PRODLINE_EBIT_15,MEAN,QUARTERLY_ROLL,2018/4F,45685,,,'')&lt;/Q&gt;&lt;R&gt;1&lt;/R&gt;&lt;C&gt;1&lt;/C&gt;&lt;D xsi:type="xsd:double"&gt;3466&lt;/D&gt;&lt;/FQL&gt;&lt;FQL&gt;&lt;Q&gt;Ticker0024^FE_ESTIMATE(PRODLINE_EBIT_15,MEAN,QUARTERLY_ROLL,2018/3F,45685,,,'')&lt;/Q&gt;&lt;R&gt;1&lt;/R&gt;&lt;C&gt;1&lt;/C&gt;&lt;D xsi:type="xsd:double"&gt;3115&lt;/D&gt;&lt;/FQL&gt;&lt;FQL&gt;&lt;Q&gt;Ticker0024^FE_ESTIMATE(PRODLINE_EBIT_15,MEAN,QUARTERLY_ROLL,2018/2F,45685,,,'')&lt;/Q&gt;&lt;R&gt;1&lt;/R&gt;&lt;C&gt;1&lt;/C&gt;&lt;D xsi:type="xsd:double"&gt;3337&lt;/D&gt;&lt;/FQL&gt;&lt;FQL&gt;&lt;Q&gt;Ticker0024^FE_ESTIMATE(PRODLINE_EBIT_15,MEAN,QUARTERLY_ROLL,2018/1F,45685,,,'')&lt;/Q&gt;&lt;R&gt;1&lt;/R&gt;&lt;C&gt;1&lt;/C&gt;&lt;D xsi:type="xsd:double"&gt;3006&lt;/D&gt;&lt;/FQL&gt;&lt;FQL&gt;&lt;Q&gt;Ticker0024^FE_ESTIMATE(PRODLINE_EBIT_15,MEAN,ANNUAL_ROLL,2017,45685,,,'')&lt;/Q&gt;&lt;R&gt;1&lt;/R&gt;&lt;C&gt;1&lt;/C&gt;&lt;D xsi:type="xsd:double"&gt;11913&lt;/D&gt;&lt;/FQL&gt;&lt;FQL&gt;&lt;Q&gt;Ticker0024^FE_ESTIMATE(PRODLINE_EBIT_15,MEAN,QUARTERLY_ROLL,2017/4F,45685,,,'')&lt;/Q&gt;&lt;R&gt;1&lt;/R&gt;&lt;C&gt;1&lt;/C&gt;&lt;D xsi:type="xsd:double"&gt;2754&lt;/D&gt;&lt;/FQL&gt;&lt;FQL&gt;&lt;Q&gt;Ticker0024^FE_ESTIMATE(PRODLINE_EBIT_15,MEAN,QUARTERLY_ROLL,2017/3F,45685,,,'')&lt;/Q&gt;&lt;R&gt;1&lt;/R&gt;&lt;C&gt;1&lt;/C&gt;&lt;D xsi:type="xsd:double"&gt;2783&lt;/D&gt;&lt;/FQL&gt;&lt;FQL&gt;&lt;Q&gt;Ticker0024^FE_ESTIMATE(PRODLINE_EBIT_15,MEAN,QUARTERLY_ROLL,2017/2F,45685,,,'')&lt;/Q&gt;&lt;R&gt;1&lt;/R&gt;&lt;C&gt;1&lt;/C&gt;&lt;D xsi:type="xsd:double"&gt;3256&lt;/D&gt;&lt;/FQL&gt;&lt;FQL&gt;&lt;Q&gt;Ticker0024^FE_ESTIMATE(PRODLINE_EBIT_15,MEAN,QUARTERLY_ROLL,2017/1F,45685,,,'')&lt;/Q&gt;&lt;R&gt;1&lt;/R&gt;&lt;C&gt;1&lt;/C&gt;&lt;D xsi:type="xsd:double"&gt;3120&lt;/D&gt;&lt;/FQL&gt;&lt;FQL&gt;&lt;Q&gt;Ticker0024^FE_ESTIMATE(PRODLINE_EBIT_15,MEAN,ANNUAL_ROLL,2016,45685,,,'')&lt;/Q&gt;&lt;R&gt;1&lt;/R&gt;&lt;C&gt;1&lt;/C&gt;&lt;D xsi:type="xsd:double"&gt;12429&lt;/D&gt;&lt;/FQL&gt;&lt;FQL&gt;&lt;Q&gt;Ticker0024^FE_ESTIMATE(PRODLINE_EBIT_15,MEAN,QUARTERLY_ROLL,2016/4F,45685,,,'')&lt;/Q&gt;&lt;R&gt;1&lt;/R&gt;&lt;C&gt;1&lt;/C&gt;&lt;D xsi:type="xsd:double"&gt;3000&lt;/D&gt;&lt;/FQL&gt;&lt;FQL&gt;&lt;Q&gt;Ticker0024^FE_ESTIMATE(PRODLINE_EBIT_15,MEAN,QUARTERLY_ROLL,2016/3F,45685,,,'')&lt;/Q&gt;&lt;R&gt;1&lt;/R&gt;&lt;C&gt;1&lt;/C&gt;&lt;D xsi:type="xsd:double"&gt;2994&lt;/D&gt;&lt;/FQL&gt;&lt;FQL&gt;&lt;Q&gt;Ticker0024^FE_ESTIMATE(PRODLINE_EBIT_15,MEAN,QUARTERLY_ROLL,2016/2F,45685,,,'')&lt;/Q&gt;&lt;R&gt;0&lt;/R&gt;&lt;C&gt;0&lt;/C&gt;&lt;/FQL&gt;&lt;FQL&gt;&lt;Q&gt;Ticker0024^FE_ESTIMATE(PRODLINE_EBIT_15,MEAN,QUARTERLY_ROLL,2016/1F,45685,,,'')&lt;/Q&gt;&lt;R&gt;0&lt;/R&gt;&lt;C&gt;0&lt;/C&gt;&lt;/FQL&gt;&lt;FQL&gt;&lt;Q&gt;Ticker0024^FE_ESTIMATE(PRODLINE_EBIT_15,MEAN,ANNUAL_ROLL,2015,45685,,,'')&lt;/Q&gt;&lt;R&gt;0&lt;/R&gt;&lt;C&gt;0&lt;/C&gt;&lt;/FQL&gt;&lt;FQL&gt;&lt;Q&gt;Ticker0024^FE_ESTIMATE(PRODLINE_EBIT_15,MEAN,QUARTERLY_ROLL,2015/4F,45685,,,'')&lt;/Q&gt;&lt;R&gt;0&lt;/R&gt;&lt;C&gt;0&lt;/C&gt;&lt;/FQL&gt;&lt;FQL&gt;&lt;Q&gt;Ticker0024^FE_ESTIMATE(PRODLINE_EBIT_15,MEAN,QUARTERLY_ROLL,2015/3F,45685,,,'')&lt;/Q&gt;&lt;R&gt;0&lt;/R&gt;&lt;C&gt;0&lt;/C&gt;&lt;/FQL&gt;&lt;FQL&gt;&lt;Q&gt;Ticker0024^FE_ESTIMATE(PRODLINE_EBIT_15,MEAN,QUARTERLY_ROLL,2015/2F,45685,,,'')&lt;/Q&gt;&lt;R&gt;0&lt;/R&gt;&lt;C&gt;0&lt;/C&gt;&lt;/FQL&gt;&lt;FQL&gt;&lt;Q&gt;Ticker0024^FE_ESTIMATE(PRODLINE_EBIT_15,MEAN,QUARTERLY_ROLL,2015/1F,45685,,,'')&lt;/Q&gt;&lt;R&gt;0&lt;/R&gt;&lt;C&gt;0&lt;/C&gt;&lt;/FQL&gt;&lt;FQL&gt;&lt;Q&gt;Ticker0024^FE_ESTIMATE(GROSSINCOME,MEAN,ANNUAL_ROLL,2030,45685,,,'')&lt;/Q&gt;&lt;R&gt;0&lt;/R&gt;&lt;C&gt;0&lt;/C&gt;&lt;/FQL&gt;&lt;FQL&gt;&lt;Q&gt;Ticker0024^FE_ESTIMATE(GROSSINCOME,MEAN,QUARTERLY_ROLL,2030/4F,45685,,,'')&lt;/Q&gt;&lt;R&gt;0&lt;/R&gt;&lt;C&gt;0&lt;/C&gt;&lt;/FQL&gt;&lt;FQL&gt;&lt;Q&gt;Ticker0024^FE_ESTIMATE(GROSSINCOME,MEAN,QUARTERLY_ROLL,2030/3F,45685,,,'')&lt;/Q&gt;&lt;R&gt;0&lt;/R&gt;&lt;C&gt;0&lt;/C&gt;&lt;/FQL&gt;&lt;FQL&gt;&lt;Q&gt;Ticker0024^FE_ESTIMATE(GROSSINCOME,MEAN,QUARTERLY_ROLL,2030/2F,45685,,,'')&lt;/Q&gt;&lt;R&gt;0&lt;/R&gt;&lt;C&gt;0&lt;/C&gt;&lt;/FQL&gt;&lt;FQL&gt;&lt;Q&gt;Ticker0024^FE_ESTIMATE(GROSSINCOME,MEAN,QUARTERLY_ROLL,2030/1F,45685,,,'')&lt;/Q&gt;&lt;R&gt;0&lt;/R&gt;&lt;C&gt;0&lt;/C&gt;&lt;/FQL&gt;&lt;FQL&gt;&lt;Q&gt;Ticker0024^FE_ESTIMATE(GROSSINCOME,MEAN,ANNUAL_ROLL,2029,45685,,,'')&lt;/Q&gt;&lt;R&gt;1&lt;/R&gt;&lt;C&gt;1&lt;/C&gt;&lt;D xsi:type="xsd:double"&gt;322996.3&lt;/D&gt;&lt;/FQL&gt;&lt;FQL&gt;&lt;Q&gt;Ticker0024^FE_ESTIMATE(GROSSINCOME,MEAN,QUARTERLY_ROLL,2029/4F,45685,,,'')&lt;/Q&gt;&lt;R&gt;0&lt;/R&gt;&lt;C&gt;0&lt;/C&gt;&lt;/FQL&gt;&lt;FQL&gt;&lt;Q&gt;Ticker0024^FE_ESTIMATE(GROSSINCOME,MEAN,QUARTERLY_ROLL,2029/3F,45685,,,'')&lt;/Q&gt;&lt;R&gt;0&lt;/R&gt;&lt;C&gt;0&lt;/C&gt;&lt;/FQL&gt;&lt;FQL&gt;&lt;Q&gt;Ticker0024^FE_ESTIMATE(GROSSINCOME,MEAN,QUARTERLY_ROLL,2029/2F,45685,,,'')&lt;/Q&gt;&lt;R&gt;0&lt;/R&gt;&lt;C&gt;0&lt;/C&gt;&lt;/FQL&gt;&lt;FQL&gt;&lt;Q&gt;Ticker0024^FE_ESTIMATE(GROSSINCOME,MEAN,QUARTERLY_ROLL,2029/1F,45685,,,'')&lt;/Q&gt;&lt;R&gt;0&lt;/R&gt;&lt;C&gt;0&lt;/C&gt;&lt;/FQL&gt;&lt;FQL&gt;&lt;Q&gt;Ticker0024^FE_ESTIMATE(GROSSINCOME,MEAN,ANNUAL_ROLL,2028,45685,,,'')&lt;/Q&gt;&lt;R&gt;1&lt;/R&gt;&lt;C&gt;1&lt;/C&gt;&lt;D xsi:type="xsd:double"&gt;275915.94&lt;/D&gt;&lt;/FQL&gt;&lt;FQL&gt;&lt;Q&gt;Ticker0024^FE_ESTIMATE(GROSSINCOME,MEAN,QUARTERLY_ROLL,2028/4F,45685,,,'')&lt;/Q&gt;&lt;R&gt;0&lt;/R&gt;&lt;C&gt;0&lt;/C&gt;&lt;/FQL&gt;&lt;FQL&gt;&lt;Q&gt;Ticker0024^FE_ESTIMATE(GROSSINCOME,MEAN,QUARTERLY_ROLL,2028/3F,45685,,,'')&lt;/Q&gt;&lt;R&gt;0&lt;/R&gt;&lt;C&gt;0&lt;/C&gt;&lt;/FQL&gt;&lt;FQL&gt;&lt;Q&gt;Ticker0024^FE_ESTIMATE(GROSSINCOME,MEAN,QUARTERLY_ROLL,2028/2F,45685,,,'')&lt;/Q&gt;&lt;R&gt;0&lt;/R&gt;&lt;C&gt;0&lt;/C&gt;&lt;/FQL&gt;&lt;FQL&gt;&lt;Q&gt;Ticker0024^FE_ESTIMATE(GROSSINCOME,MEAN,QUARTERLY_ROLL,2028/1F,45685,,,'')&lt;/Q&gt;&lt;R&gt;0&lt;/R&gt;&lt;C&gt;0&lt;/C&gt;&lt;/FQL&gt;&lt;FQL&gt;&lt;Q&gt;Ticker0024^FE_ESTIMATE(GROSSINCOME,MEAN,ANNUAL_ROLL,2027,45685,,,'')&lt;/Q&gt;&lt;R&gt;1&lt;/R&gt;&lt;C&gt;1&lt;/C&gt;&lt;D xsi:type="xsd:double"&gt;245284.16&lt;/D&gt;&lt;/FQL&gt;&lt;FQL&gt;&lt;Q&gt;Ticker0024^FE_ESTIMATE(GROSSINCOME,MEAN,QUARTERLY_ROLL,2027/4F,45685,,,'')&lt;/Q&gt;&lt;R&gt;1&lt;/R&gt;&lt;C&gt;1&lt;/C&gt;&lt;D xsi:type="xsd:double"&gt;65480&lt;/D&gt;&lt;/FQL&gt;&lt;FQL&gt;&lt;Q&gt;Ticker0024^FE_ESTIMATE(GROSSINCOME,MEAN,QUARTERLY_ROLL,2027/3F,45685,,,'')&lt;/Q&gt;&lt;R&gt;1&lt;/R&gt;&lt;C&gt;1&lt;/C&gt;&lt;D xsi:type="xsd:double"&gt;61352&lt;/D&gt;&lt;/FQL&gt;&lt;FQL&gt;&lt;Q&gt;Ticker0024^FE_ESTIMATE(GROSSINCOME,MEAN,QUARTERLY_ROLL,2027/2F,45685,,,'')&lt;/Q&gt;&lt;R&gt;1&lt;/R&gt;&lt;C&gt;1&lt;/C&gt;&lt;D xsi:type="xsd:double"&gt;62221.5&lt;/D&gt;&lt;/FQL&gt;&lt;FQL&gt;&lt;Q&gt;Ticker0024^FE_ESTIMATE(GROSSINCOME,MEAN,QUARTERLY_ROLL,2027/1F,45685,,,'')&lt;/Q&gt;&lt;R&gt;1&lt;/R&gt;&lt;C&gt;1&lt;/C&gt;&lt;D xsi:type="xsd:double"&gt;58114.5&lt;/D&gt;&lt;/FQL&gt;&lt;FQL&gt;&lt;Q&gt;Ticker0024^FE_ESTIMATE(GROSSINCOME,MEAN,ANNUAL_ROLL,2026,45685,,,'')&lt;/Q&gt;&lt;R&gt;1&lt;/R&gt;&lt;C&gt;1&lt;/C&gt;&lt;D xsi:type="xsd:double"&gt;214460.1&lt;/D&gt;&lt;/FQL&gt;&lt;FQL&gt;&lt;Q&gt;Ticker0024^FE_ESTIMATE(GROSSINCOME,MEAN,QUARTERLY_ROLL,2026/4F,45685,,,'')&lt;/Q&gt;&lt;R&gt;1&lt;/R&gt;&lt;C&gt;1&lt;/C&gt;&lt;D xsi:type="xsd:double"&gt;56597.734&lt;/D&gt;&lt;/FQL&gt;&lt;FQL&gt;&lt;Q&gt;Ticker0024^FE_ESTIMATE(GROSSINCOME,MEAN,QUARTERLY_ROLL,2026/3F,45685,,,'')&lt;/Q&gt;&lt;R&gt;1&lt;/R&gt;&lt;C&gt;1&lt;/C&gt;&lt;D xsi:type="xsd:double"&gt;53919.22&lt;/D&gt;&lt;/FQL&gt;&lt;FQL&gt;&lt;Q&gt;Ticker0024^FE_ESTIMATE(GROSSINCOME,MEAN,QUARTERLY_ROLL,2026/2F,45685,,,'')&lt;/Q&gt;&lt;R&gt;1&lt;/R&gt;&lt;C&gt;1&lt;/C&gt;&lt;D xsi:type="xsd:double"&gt;52572.02&lt;/D&gt;&lt;/FQL&gt;&lt;FQL&gt;&lt;Q&gt;Ticker0024^FE_ESTIMATE(GROSSINCOME,MEAN,QUARTERLY_ROLL,2026/1F,45685,,,'')&lt;/Q&gt;&lt;R&gt;1&lt;/R&gt;&lt;C&gt;1&lt;/C&gt;&lt;D xsi:type="xsd:double"&gt;50596.945&lt;/D&gt;&lt;/FQL&gt;&lt;FQL&gt;&lt;Q&gt;Ticker0024^FE_ESTIMATE(GROSSINCOME,MEAN,ANNUAL_ROLL,2025,45685,,,'')&lt;/Q&gt;&lt;R&gt;1&lt;/R&gt;&lt;C&gt;1&lt;/C&gt;&lt;D xsi:type="xsd:double"&gt;189988.36&lt;/D&gt;&lt;/FQL&gt;&lt;FQL&gt;&lt;Q&gt;Ticker0024^FE_ESTIMATE(GROSSINCOME,MEAN,QUARTERLY_ROLL,2025/4F,45685,,,'')&lt;/Q&gt;&lt;R&gt;1&lt;/R&gt;&lt;C&gt;1&lt;/C&gt;&lt;D xsi:type="xsd:double"&gt;49918.203&lt;/D&gt;&lt;/FQL&gt;&lt;FQL&gt;&lt;Q&gt;Ticker0024^FE_ESTIMATE(GROSSINCOME,MEAN,QUARTERLY_ROLL,2025/3F,45685,,,'')&lt;/Q&gt;&lt;R&gt;1&lt;/R&gt;&lt;C&gt;1&lt;/C&gt;&lt;D xsi:type="xsd:double"&gt;47558.438&lt;/D&gt;&lt;/FQL&gt;&lt;FQL&gt;&lt;Q&gt;Ticker0024^FE_ESTIMATE(GROSSINCOME,MEAN,QUARTERLY_ROLL,2025/2F,45685,,,'')&lt;/Q&gt;&lt;R&gt;1&lt;/R&gt;&lt;C&gt;1&lt;/C&gt;&lt;D xsi:type="xsd:double"&gt;46857.52&lt;/D&gt;&lt;/FQL&gt;&lt;FQL&gt;&lt;Q&gt;Ticker0024^FE_ESTIMATE(GROSSINCOME,MEAN,QUARTERLY_ROLL,2025/1F,45685,,,'')&lt;/Q&gt;&lt;R&gt;1&lt;/R&gt;&lt;C&gt;1&lt;/C&gt;&lt;D xsi:type="xsd:double"&gt;45486.668&lt;/D&gt;&lt;/FQL&gt;&lt;FQL&gt;&lt;Q&gt;Ticker0024^FE_ESTIMATE(GROSSINCOME,MEAN,ANNUAL_ROLL,2024,45685,,,'')&lt;/Q&gt;&lt;R&gt;1&lt;/R&gt;&lt;C&gt;1&lt;/C&gt;&lt;D xsi:type="xsd:double"&gt;171008.06&lt;/D&gt;&lt;/FQL&gt;&lt;FQL&gt;&lt;Q&gt;Ticker0024^FE_ESTIMATE(GROSSINCOME,MEAN,QUARTERLY_ROLL,2024/4F,45685,,,'')&lt;/Q&gt;&lt;R&gt;1&lt;/R&gt;&lt;C&gt;1&lt;/C&gt;&lt;D xsi:type="xsd:double"&gt;45041.355&lt;/D&gt;&lt;/FQL&gt;&lt;FQL&gt;&lt;Q&gt;Ticker0024^FE_ESTIMATE(GROSSINCOME,MEAN,QUARTERLY_ROLL,2024/3F,45685,,,'')&lt;/Q&gt;&lt;R&gt;1&lt;/R&gt;&lt;C&gt;1&lt;/C&gt;&lt;D xsi:type="xsd:double"&gt;43354.293&lt;/D&gt;&lt;/FQL&gt;&lt;FQL&gt;&lt;Q&gt;Ticker0024^FE_ESTIMATE(GROSSINCOME,MEAN,QUARTERLY_ROLL,2024/2F,45685,,,'')&lt;/Q&gt;&lt;R&gt;1&lt;/R&gt;&lt;C&gt;1&lt;/C&gt;&lt;D xsi:type="xsd:double"&gt;42397.1&lt;/D&gt;&lt;/FQL&gt;&lt;FQL&gt;&lt;Q&gt;Ticker0024^FE_ESTIMATE(GROSSINCOME,MEAN,QUARTERLY_ROLL,2024/1F,45685,,,'')&lt;/Q&gt;&lt;R&gt;1&lt;/R&gt;&lt;C&gt;1&lt;/C&gt;&lt;D xsi:type="xsd:double"&gt;40215.17&lt;/D&gt;&lt;/FQL&gt;&lt;FQL&gt;&lt;Q&gt;Ticker0024^FE_ESTIMATE(GROSSINCOME,MEAN,ANNUAL_ROLL,2023,45685,,,'')&lt;/Q&gt;&lt;R&gt;1&lt;/R&gt;&lt;C&gt;1&lt;/C&gt;&lt;D xsi:type="xsd:double"&gt;146082.89&lt;/D&gt;&lt;/FQL&gt;&lt;FQL&gt;&lt;Q&gt;Ticker0024^FE_ESTIMATE(GROSSINCOME,MEAN,QUARTERLY_ROLL,2023/4F,45685,,,'')&lt;/Q&gt;&lt;R&gt;1&lt;/R&gt;&lt;C&gt;1&lt;/C&gt;&lt;D xsi:type="xsd:double"&gt;39388&lt;/D&gt;&lt;/FQL&gt;&lt;FQL&gt;&lt;Q&gt;Ticker0024^FE_ESTIMATE(GROSSINCOME,MEAN,QUARTERLY_ROLL,2023/3F,45685,,,'')&lt;/Q&gt;&lt;R&gt;1&lt;/R&gt;&lt;C&gt;1&lt;/C&gt;&lt;D xsi:type="xsd:double"&gt;36729.035&lt;/D&gt;&lt;/FQL&gt;&lt;FQL&gt;&lt;Q&gt;Ticker0024^FE_ESTIMATE(GROSSINCOME,MEAN,QUARTERLY_ROLL,2023/2F,45685,,,'')&lt;/Q&gt;&lt;R&gt;1&lt;/R&gt;&lt;C&gt;1&lt;/C&gt;&lt;D xsi:type="xsd:double"&gt;35294.117&lt;/D&gt;&lt;/FQL&gt;&lt;FQL&gt;&lt;Q&gt;Ticker0024^FE_ESTIMATE(GROSSINCOME,MEAN,QUARTERLY_ROLL,2023/1F,45685,,,'')&lt;/Q&gt;&lt;R&gt;1&lt;/R&gt;&lt;C&gt;1&lt;/C&gt;&lt;D xsi:type="xsd:double"&gt;34670&lt;/D&gt;&lt;/FQL&gt;&lt;FQL&gt;&lt;Q&gt;Ticker0024^FE_ESTIMATE(GROSSINCOME,MEAN,ANNUAL_ROLL,2022,45685,,,'')&lt;/Q&gt;&lt;R&gt;1&lt;/R&gt;&lt;C&gt;1&lt;/C&gt;&lt;D xsi:type="xsd:double"&gt;135605.53&lt;/D&gt;&lt;/FQL&gt;&lt;FQL&gt;&lt;Q&gt;Ticker0024^FE_ESTIMATE(GROSSINCOME,MEAN,QUARTERLY_ROLL,2022/4F,45685,,,'')&lt;/Q&gt;&lt;R&gt;1&lt;/R&gt;&lt;C&gt;1&lt;/C&gt;&lt;D xsi:type="xsd:double"&gt;35436&lt;/D&gt;&lt;/FQL&gt;&lt;FQL&gt;&lt;Q&gt;Ticker0024^FE_ESTIMATE(GROSSINCOME,MEAN,QUARTERLY_ROLL,2022/3F,45685,,,'')&lt;/Q&gt;&lt;R&gt;1&lt;/R&gt;&lt;C&gt;1&lt;/C&gt;&lt;D xsi:type="xsd:double"&gt;33744.957&lt;/D&gt;&lt;/FQL&gt;&lt;FQL&gt;&lt;Q&gt;Ticker0024^FE_ESTIMATE(GROSSINCOME,MEAN,QUARTERLY_ROLL,2022/2F,45685,,,'')&lt;/Q&gt;&lt;R&gt;1&lt;/R&gt;&lt;C&gt;1&lt;/C&gt;&lt;D xsi:type="xsd:double"&gt;34768&lt;/D&gt;&lt;/FQL&gt;&lt;FQL&gt;&lt;Q&gt;Ticker0024^FE_ESTIMATE(GROSSINCOME,MEAN,QUARTERLY_ROLL,2022/1F,45685,,,'')&lt;/Q&gt;&lt;R&gt;1&lt;/R&gt;&lt;C&gt;1&lt;/C&gt;&lt;D xsi:type="xsd:double"&gt;31671&lt;/D&gt;&lt;/FQL&gt;&lt;FQL&gt;&lt;Q&gt;Ticker0024^FE_ESTIMATE(GROSSINCOME,MEAN,ANNUAL_ROLL,2021,45685,,,'')&lt;/Q&gt;&lt;R&gt;1&lt;/R&gt;&lt;C&gt;1&lt;/C&gt;&lt;D xsi:type="xsd:double"&gt;115856.59&lt;/D&gt;&lt;/FQL&gt;&lt;FQL&gt;&lt;Q&gt;Ticker0024^FE_ESTIMATE(GROSSINCOME,MEAN,QUARTERLY_ROLL,2021/4F,45685,,,'')&lt;/Q&gt;&lt;R&gt;1&lt;/R&gt;&lt;C&gt;1&lt;/C&gt;&lt;D xsi:type="xsd:double"&gt;32161&lt;/D&gt;&lt;/FQL&gt;&lt;FQL&gt;&lt;Q&gt;Ticker0024^FE_ESTIMATE(GROSSINCOME,MEAN,QUARTERLY_ROLL,2021/3F,45685,,,'')&lt;/Q&gt;&lt;R&gt;1&lt;/R&gt;&lt;C&gt;1&lt;/C&gt;&lt;D xsi:type="xsd:double"&gt;28661&lt;/D&gt;&lt;/FQL&gt;&lt;FQL&gt;&lt;Q&gt;Ticker0024^FE_ESTIMATE(GROSSINCOME,MEAN,QUARTERLY_ROLL,2021/2F,45685,,,'')&lt;/Q&gt;&lt;R&gt;1&lt;/R&gt;&lt;C&gt;1&lt;/C&gt;&lt;D xsi:type="xsd:double"&gt;28882&lt;/D&gt;&lt;/FQL&gt;&lt;FQL&gt;&lt;Q&gt;Ticker0024^FE_ESTIMATE(GROSSINCOME,MEAN,QUARTERLY_ROLL,2021/1F,45685,,,'')&lt;/Q&gt;&lt;R&gt;1&lt;/R&gt;&lt;C&gt;1&lt;/C&gt;&lt;D xsi:type="xsd:double"&gt;26152&lt;/D&gt;&lt;/FQL&gt;&lt;FQL&gt;&lt;Q&gt;Ticker0024^FE_ESTIMATE(GROSSINCOME,MEAN,ANNUAL_ROLL,2020,45685,,,'')&lt;/Q&gt;&lt;R&gt;1&lt;/R&gt;&lt;C&gt;1&lt;/C&gt;&lt;D xsi:type="xsd:double"&gt;96940.4&lt;/D&gt;&lt;/FQL&gt;&lt;FQL&gt;&lt;Q&gt;Ticker0024^FE_ESTIMATE(GROSSINCOME,MEAN,QUARTERLY_ROLL,2020/4F,45685,,,'')&lt;/Q&gt;&lt;R&gt;1&lt;/R&gt;&lt;C&gt;1&lt;/C&gt;&lt;D xsi:type="xsd:double"&gt;25698.295&lt;/D&gt;&lt;/FQL&gt;&lt;FQL&gt;&lt;Q&gt;Ticker0024^FE_ESTIMATE(GROSSINCOME,MEAN,QUARTERLY_ROLL,2020/3F,45685,,,'')&lt;/Q&gt;&lt;R&gt;1&lt;/R&gt;&lt;C&gt;1&lt;/C&gt;&lt;D xsi:type="xsd:double"&gt;24046&lt;/D&gt;&lt;/FQL&gt;&lt;FQL&gt;&lt;Q&gt;Ticker0024^FE_ESTIMATE(GROSSINCOME,MEAN,QUARTERLY_ROLL,2020/2F,45685,,,'')&lt;/Q&gt;&lt;R&gt;1&lt;/R&gt;&lt;C&gt;1&lt;/C&gt;&lt;D xsi:type="xsd:double"&gt;24548&lt;/D&gt;&lt;/FQL&gt;&lt;FQL&gt;&lt;Q&gt;Ticker0024^FE_ESTIMATE(GROSSINCOME,MEAN,QUARTERLY_ROLL,2020/1F,45685,,,'')&lt;/Q&gt;&lt;R&gt;1&lt;/R&gt;&lt;C&gt;1&lt;/C&gt;&lt;D xsi:type="xsd:double"&gt;22649&lt;/D&gt;&lt;/FQL&gt;&lt;FQL&gt;&lt;Q&gt;Ticker0024^FE_ESTIMATE(GROSSINCOME,MEAN,ANNUAL_ROLL,2019,45685,,,'')&lt;/Q&gt;&lt;R&gt;1&lt;/R&gt;&lt;C&gt;1&lt;/C&gt;&lt;D xsi:type="xsd:double"&gt;82959.15&lt;/D&gt;&lt;/FQL&gt;&lt;FQL&gt;&lt;Q&gt;Ticker0024^FE_ESTIMATE(GROSSINCOME,MEAN,QUARTERLY_ROLL,2019/4F,45685,,,'')&lt;/Q&gt;&lt;R&gt;1&lt;/R&gt;&lt;C&gt;1&lt;/C&gt;&lt;D xsi:type="xsd:double"&gt;23317.578&lt;/D&gt;&lt;/FQL&gt;&lt;FQL&gt;&lt;Q&gt;Ticker0024^FE_ESTIMATE(GROSSINCOME,MEAN,QUARTERLY_ROLL,2019/3F,45685,,,'')&lt;/Q&gt;&lt;R&gt;1&lt;/R&gt;&lt;C&gt;1&lt;/C&gt;&lt;D xsi:type="xsd:double"&gt;20416&lt;/D&gt;&lt;/FQL&gt;&lt;FQL&gt;&lt;Q&gt;Ticker0024^FE_ESTIMATE(GROSSINCOME,MEAN,QUARTERLY_ROLL,2019/2F,45685,,,'')&lt;/Q&gt;&lt;R&gt;1&lt;/R&gt;&lt;C&gt;1&lt;/C&gt;&lt;D xsi:type="xsd:double"&gt;20048&lt;/D&gt;&lt;/FQL&gt;&lt;FQL&gt;&lt;Q&gt;Ticker0024^FE_ESTIMATE(GROSSINCOME,MEAN,QUARTERLY_ROLL,2019/1F,45685,,,'')&lt;/Q&gt;&lt;R&gt;1&lt;/R&gt;&lt;C&gt;1&lt;/C&gt;&lt;D xsi:type="xsd:double"&gt;19179&lt;/D&gt;&lt;/FQL&gt;&lt;FQL&gt;&lt;Q&gt;Ticker0024^FE_ESTIMATE(GROSSINCOME,MEAN,ANNUAL_ROLL,2018,45685,,,'')&lt;/Q&gt;&lt;R&gt;1&lt;/R&gt;&lt;C&gt;1&lt;/C&gt;&lt;D xsi:type="xsd:double"&gt;71970.336&lt;/D&gt;&lt;/FQL&gt;&lt;FQL&gt;&lt;Q&gt;Ticker0024^FE_ESTIMATE(GROSSINCOME,MEAN,QUARTERLY_ROLL,2018/4F,45685,,,'')&lt;/Q&gt;&lt;R&gt;1&lt;/R&gt;&lt;C&gt;1&lt;/C&gt;&lt;D xsi:type="xsd:double"&gt;20296.684&lt;/D&gt;&lt;/FQL&gt;&lt;FQL&gt;&lt;Q&gt;Ticker0024^FE_ESTIMATE(GROSSINCOME,MEAN,QUARTERLY_ROLL,2018/3F,45685,,,'')&lt;/Q&gt;&lt;R&gt;1&lt;/R&gt;&lt;C&gt;1&lt;/C&gt;&lt;D xsi:type="xsd:double"&gt;17550&lt;/D&gt;&lt;/FQL&gt;&lt;FQL&gt;&lt;Q&gt;Ticker0024^FE_ESTIMATE(GROSSINCOME,MEAN,QUARTERLY_ROLL,2018/2F,45685,,,'')&lt;/Q&gt;&lt;R&gt;1&lt;/R&gt;&lt;C&gt;1&lt;/C&gt;&lt;D xsi:type="xsd:double"&gt;17854&lt;/D&gt;&lt;/FQL&gt;&lt;FQL&gt;&lt;Q&gt;Ticker0024^FE_ESTIMATE(GROSSINCOME,MEAN,QUARTERLY_ROLL,2018/1F,45685,,,'')&lt;/Q&gt;&lt;R&gt;1&lt;/R&gt;&lt;C&gt;1&lt;/C&gt;&lt;D xsi:type="xsd:double"&gt;16264.4&lt;/D&gt;&lt;/FQL&gt;&lt;FQL&gt;&lt;Q&gt;Ticker0024^FE_ESTIMATE(GROSSINCOME,MEAN,ANNUAL_ROLL,2017,45685,,,'')&lt;/Q&gt;&lt;R&gt;1&lt;/R&gt;&lt;C&gt;1&lt;/C&gt;&lt;D xsi:type="xsd:double"&gt;62400.3&lt;/D&gt;&lt;/FQL&gt;&lt;FQL&gt;&lt;Q&gt;Ticker0024^FE_ESTIMATE(GROSSINCOME,MEAN,QUARTERLY_ROLL,2017/4F,45685,,,'')&lt;/Q&gt;&lt;R&gt;1&lt;/R&gt;&lt;C&gt;1&lt;/C&gt;&lt;D xsi:type="xsd:double"&gt;16244&lt;/D&gt;&lt;/FQL&gt;&lt;FQL&gt;&lt;Q&gt;Ticker0024^FE_ESTIMATE(GROSSINCOME,MEAN,QUARTERLY_ROLL,2017/3F,45685,,,'')&lt;/Q&gt;&lt;R&gt;1&lt;/R&gt;&lt;C&gt;1&lt;/C&gt;&lt;D xsi:type="xsd:double"&gt;15497&lt;/D&gt;&lt;/FQL&gt;&lt;FQL&gt;&lt;Q&gt;Ticker0024^FE_ESTIMATE(GROSSINCOME,MEAN,QUARTERLY_ROLL,2017/2F,45685,,,'')&lt;/Q&gt;&lt;R&gt;1&lt;/R&gt;&lt;C&gt;1&lt;/C&gt;&lt;D xsi:type="xsd:double"&gt;15990.608&lt;/D&gt;&lt;/FQL&gt;&lt;FQL&gt;&lt;Q&gt;Ticker0024^FE_ESTIMATE(GROSSINCOME,MEAN,QUARTERLY_ROLL,2017/1F,45685,,,'')&lt;/Q&gt;&lt;R&gt;1&lt;/R&gt;&lt;C&gt;1&lt;/C&gt;&lt;D xsi:type="xsd:double"&gt;14317.286&lt;/D&gt;&lt;/FQL&gt;&lt;FQL&gt;&lt;Q&gt;Ticker0024^FE_ESTIMATE(GROSSINCOME,MEAN,ANNUAL_ROLL,2016,45685,,,'')&lt;/Q&gt;&lt;R&gt;1&lt;/R&gt;&lt;C&gt;1&lt;/C&gt;&lt;D xsi:type="xsd:double"&gt;59288.41&lt;/D&gt;&lt;/FQL&gt;&lt;FQL&gt;&lt;Q&gt;Ticker0024^FE_ESTIMATE(GROSSINCOME,MEAN,QUARTERLY_ROLL,2016/4F,45685,,,'')&lt;/Q&gt;&lt;R&gt;1&lt;/R&gt;&lt;C&gt;1&lt;/C&gt;&lt;D xsi:type="xsd:double"&gt;14663&lt;/D&gt;&lt;/FQL&gt;&lt;FQL&gt;&lt;Q&gt;Ticker0024^FE_ESTIMATE(GROSSINCOME,MEAN,QUARTERLY_ROLL,2016/3F,45685,,,'')&lt;/Q&gt;&lt;R&gt;1&lt;/R&gt;&lt;C&gt;1&lt;/C&gt;&lt;D xsi:type="xsd:double"&gt;14354&lt;/D&gt;&lt;/FQL&gt;&lt;FQL&gt;&lt;Q&gt;Ticker0024^FE_ESTIMATE(GROSSINCOME,MEAN,QUARTERLY_ROLL,2016/2F,45685,,,'')&lt;/Q&gt;&lt;R&gt;1&lt;/R&gt;&lt;C&gt;1&lt;/C&gt;&lt;D xsi:type="xsd:double"&gt;15821&lt;/D&gt;&lt;/FQL&gt;&lt;FQL&gt;&lt;Q&gt;Ticker0024^FE_ESTIMATE(GROSSINCOME,MEAN,QUARTERLY_ROLL,2016/1F,45685,,,'')&lt;/Q&gt;&lt;R&gt;1&lt;/R&gt;&lt;C&gt;1&lt;/C&gt;&lt;D xsi:type="xsd:double"&gt;14452.667&lt;/D&gt;&lt;/FQL&gt;&lt;FQL&gt;&lt;Q&gt;Ticker0024^FE_ESTIMATE(GROSSINCOME,MEAN,ANNUAL_ROLL,2015,45685,,,'')&lt;/Q&gt;&lt;R&gt;1&lt;/R&gt;&lt;C&gt;1&lt;/C&gt;&lt;D xsi:type="xsd:double"&gt;60542.086&lt;/D&gt;&lt;/FQL&gt;&lt;FQL&gt;&lt;Q&gt;Ticker0024^FE_ESTIMATE(GROSSINCOME,MEAN,QUARTERLY_ROLL,2015/4F,45685,,,'')&lt;/Q&gt;&lt;R&gt;1&lt;/R&gt;&lt;C&gt;1&lt;/C&gt;&lt;D xsi:type="xsd:double"&gt;14712&lt;/D&gt;&lt;/FQL&gt;&lt;FQL&gt;&lt;Q&gt;Ticker0024^FE_ESTIMATE(GROSSINCOME,MEAN,QUARTERLY_ROLL,2015/3F,45685,,,'')&lt;/Q&gt;&lt;R&gt;1&lt;/R&gt;&lt;C&gt;1&lt;/C&gt;&lt;D xsi:type="xsd:double"&gt;14571.714&lt;/D&gt;&lt;/FQL&gt;&lt;FQL&gt;&lt;Q&gt;Ticker0024^FE_ESTIMATE(GROSSINCOME,MEAN,QUARTERLY_ROLL,2015/2F,45685,,,'')&lt;/Q&gt;&lt;R&gt;1&lt;/R&gt;&lt;C&gt;1&lt;/C&gt;&lt;D xsi:type="xsd:double"&gt;16334&lt;/D&gt;&lt;/FQL&gt;&lt;FQL&gt;&lt;Q&gt;Ticker0024^FE_ESTIMATE(GROSSINCOME,MEAN,QUARTERLY_ROLL,2015/1F,45685,,,'')&lt;/Q&gt;&lt;R&gt;1&lt;/R&gt;&lt;C&gt;1&lt;/C&gt;&lt;D xsi:type="xsd:double"&gt;14928&lt;/D&gt;&lt;/FQL&gt;&lt;FQL&gt;&lt;Q&gt;Ticker0024^FE_ESTIMATE(SALES,MEAN,ANNUAL_ROLL,2030,45685,,,'')&lt;/Q&gt;&lt;R&gt;0&lt;/R&gt;&lt;C&gt;0&lt;/C&gt;&lt;/FQL&gt;&lt;FQL&gt;&lt;Q&gt;Ticker0024^FE_ESTIMATE(SALES,MEAN,QUARTERLY_ROLL,2030/4F,45685,,,'')&lt;/Q&gt;&lt;R&gt;0&lt;/R&gt;&lt;C&gt;0&lt;/C&gt;&lt;/FQL&gt;&lt;FQL&gt;&lt;Q&gt;Ticker0024^FE_ESTIMATE(SALES,MEAN,QUARTERLY_ROLL,2030/3F,45685,,,'')&lt;/Q&gt;&lt;R&gt;0&lt;/R&gt;&lt;C&gt;0&lt;/C&gt;&lt;/FQL&gt;&lt;FQL&gt;&lt;Q&gt;Ticker0024^FE_ESTIMATE(SALES,MEAN,QUARTERLY_ROLL,2030/2F,45685,,,'')&lt;/Q&gt;&lt;R&gt;0&lt;/R&gt;&lt;C&gt;0&lt;/C&gt;&lt;/FQL&gt;&lt;FQL&gt;&lt;Q&gt;Ticker0024^FE_ESTIMATE(SALES,MEAN,QUARTERLY_ROLL,2030/1F,45685,,,'')&lt;/Q&gt;&lt;R&gt;0&lt;/R&gt;&lt;C&gt;0&lt;/C&gt;&lt;/FQL&gt;&lt;FQL&gt;&lt;Q&gt;Ticker0024^FE_ESTIMATE(SALE</t>
        </r>
      </text>
    </comment>
    <comment ref="A19" authorId="0" shapeId="0" xr:uid="{8F5AFD1F-9669-444B-9579-5810612FE23A}">
      <text>
        <r>
          <rPr>
            <b/>
            <sz val="9"/>
            <color indexed="81"/>
            <rFont val="Tahoma"/>
            <family val="2"/>
          </rPr>
          <t>S,MEAN,ANNUAL_ROLL,2029,45685,,,'')&lt;/Q&gt;&lt;R&gt;1&lt;/R&gt;&lt;C&gt;1&lt;/C&gt;&lt;D xsi:type="xsd:double"&gt;475881.8&lt;/D&gt;&lt;/FQL&gt;&lt;FQL&gt;&lt;Q&gt;Ticker0024^FE_ESTIMATE(SALES,MEAN,QUARTERLY_ROLL,2029/4F,45685,,,'')&lt;/Q&gt;&lt;R&gt;0&lt;/R&gt;&lt;C&gt;0&lt;/C&gt;&lt;/FQL&gt;&lt;FQL&gt;&lt;Q&gt;Ticker0024^FE_ESTIMATE(SALES,MEAN,QUARTERLY_ROLL,2029/3F,45685,,,'')&lt;/Q&gt;&lt;R&gt;0&lt;/R&gt;&lt;C&gt;0&lt;/C&gt;&lt;/FQL&gt;&lt;FQL&gt;&lt;Q&gt;Ticker0024^FE_ESTIMATE(SALES,MEAN,QUARTERLY_ROLL,2029/2F,45685,,,'')&lt;/Q&gt;&lt;R&gt;0&lt;/R&gt;&lt;C&gt;0&lt;/C&gt;&lt;/FQL&gt;&lt;FQL&gt;&lt;Q&gt;Ticker0024^FE_ESTIMATE(SALES,MEAN,QUARTERLY_ROLL,2029/1F,45685,,,'')&lt;/Q&gt;&lt;R&gt;0&lt;/R&gt;&lt;C&gt;0&lt;/C&gt;&lt;/FQL&gt;&lt;FQL&gt;&lt;Q&gt;Ticker0024^FE_ESTIMATE(SALES,MEAN,ANNUAL_ROLL,2028,45685,,,'')&lt;/Q&gt;&lt;R&gt;1&lt;/R&gt;&lt;C&gt;1&lt;/C&gt;&lt;D xsi:type="xsd:double"&gt;422529.34&lt;/D&gt;&lt;/FQL&gt;&lt;FQL&gt;&lt;Q&gt;Ticker0024^FE_ESTIMATE(SALES,MEAN,QUARTERLY_ROLL,2028/4F,45685,,,'')&lt;/Q&gt;&lt;R&gt;0&lt;/R&gt;&lt;C&gt;0&lt;/C&gt;&lt;/FQL&gt;&lt;FQL&gt;&lt;Q&gt;Ticker0024^FE_ESTIMATE(SALES,MEAN,QUARTERLY_ROLL,2028/3F,45685,,,'')&lt;/Q&gt;&lt;R&gt;0&lt;/R&gt;&lt;C&gt;0&lt;/C&gt;&lt;/FQL&gt;&lt;FQL&gt;&lt;Q&gt;Ticker0024^FE_ESTIMATE(SALES,MEAN,QUARTERLY_ROLL,2028/2F,45685,,,'')&lt;/Q&gt;&lt;R&gt;0&lt;/R&gt;&lt;C&gt;0&lt;/C&gt;&lt;/FQL&gt;&lt;FQL&gt;&lt;Q&gt;Ticker0024^FE_ESTIMATE(SALES,MEAN,QUARTERLY_ROLL,2028/1F,45685,,,'')&lt;/Q&gt;&lt;R&gt;0&lt;/R&gt;&lt;C&gt;0&lt;/C&gt;&lt;/FQL&gt;&lt;FQL&gt;&lt;Q&gt;Ticker0024^FE_ESTIMATE(SALES,MEAN,ANNUAL_ROLL,2027,45685,,,'')&lt;/Q&gt;&lt;R&gt;1&lt;/R&gt;&lt;C&gt;1&lt;/C&gt;&lt;D xsi:type="xsd:double"&gt;367158.34&lt;/D&gt;&lt;/FQL&gt;&lt;FQL&gt;&lt;Q&gt;Ticker0024^FE_ESTIMATE(SALES,MEAN,QUARTERLY_ROLL,2027/4F,45685,,,'')&lt;/Q&gt;&lt;R&gt;1&lt;/R&gt;&lt;C&gt;1&lt;/C&gt;&lt;D xsi:type="xsd:double"&gt;95064.04&lt;/D&gt;&lt;/FQL&gt;&lt;FQL&gt;&lt;Q&gt;Ticker0024^FE_ESTIMATE(SALES,MEAN,QUARTERLY_ROLL,2027/3F,45685,,,'')&lt;/Q&gt;&lt;R&gt;1&lt;/R&gt;&lt;C&gt;1&lt;/C&gt;&lt;D xsi:type="xsd:double"&gt;90213.87&lt;/D&gt;&lt;/FQL&gt;&lt;FQL&gt;&lt;Q&gt;Ticker0024^FE_ESTIMATE(SALES,MEAN,QUARTERLY_ROLL,2027/2F,45685,,,'')&lt;/Q&gt;&lt;R&gt;1&lt;/R&gt;&lt;C&gt;1&lt;/C&gt;&lt;D xsi:type="xsd:double"&gt;90461.9&lt;/D&gt;&lt;/FQL&gt;&lt;FQL&gt;&lt;Q&gt;Ticker0024^FE_ESTIMATE(SALES,MEAN,QUARTERLY_ROLL,2027/1F,45685,,,'')&lt;/Q&gt;&lt;R&gt;1&lt;/R&gt;&lt;C&gt;1&lt;/C&gt;&lt;D xsi:type="xsd:double"&gt;85373.516&lt;/D&gt;&lt;/FQL&gt;&lt;FQL&gt;&lt;Q&gt;Ticker0024^FE_ESTIMATE(SALES,MEAN,ANNUAL_ROLL,2026,45685,,,'')&lt;/Q&gt;&lt;R&gt;1&lt;/R&gt;&lt;C&gt;1&lt;/C&gt;&lt;D xsi:type="xsd:double"&gt;318172.03&lt;/D&gt;&lt;/FQL&gt;&lt;FQL&gt;&lt;Q&gt;Ticker0024^FE_ESTIMATE(SALES,MEAN,QUARTERLY_ROLL,2026/4F,45685,,,'')&lt;/Q&gt;&lt;R&gt;1&lt;/R&gt;&lt;C&gt;1&lt;/C&gt;&lt;D xsi:type="xsd:double"&gt;83627&lt;/D&gt;&lt;/FQL&gt;&lt;FQL&gt;&lt;Q&gt;Ticker0024^FE_ESTIMATE(SALES,MEAN,QUARTERLY_ROLL,2026/3F,45685,,,'')&lt;/Q&gt;&lt;R&gt;1&lt;/R&gt;&lt;C&gt;1&lt;/C&gt;&lt;D xsi:type="xsd:double"&gt;79623.57&lt;/D&gt;&lt;/FQL&gt;&lt;FQL&gt;&lt;Q&gt;Ticker0024^FE_ESTIMATE(SALES,MEAN,QUARTERLY_ROLL,2026/2F,45685,,,'')&lt;/Q&gt;&lt;R&gt;1&lt;/R&gt;&lt;C&gt;1&lt;/C&gt;&lt;D xsi:type="xsd:double"&gt;78368.68&lt;/D&gt;&lt;/FQL&gt;&lt;FQL&gt;&lt;Q&gt;Ticker0024^FE_ESTIMATE(SALES,MEAN,QUARTERLY_ROLL,2026/1F,45685,,,'')&lt;/Q&gt;&lt;R&gt;1&lt;/R&gt;&lt;C&gt;1&lt;/C&gt;&lt;D xsi:type="xsd:double"&gt;74251.74&lt;/D&gt;&lt;/FQL&gt;&lt;FQL&gt;&lt;Q&gt;Ticker0024^FE_ESTIMATE(SALES,MEAN,ANNUAL_ROLL,2025,45685,,,'')&lt;/Q&gt;&lt;R&gt;1&lt;/R&gt;&lt;C&gt;1&lt;/C&gt;&lt;D xsi:type="xsd:double"&gt;278434.34&lt;/D&gt;&lt;/FQL&gt;&lt;FQL&gt;&lt;Q&gt;Ticker0024^FE_ESTIMATE(SALES,MEAN,QUARTERLY_ROLL,2025/4F,45685,,,'')&lt;/Q&gt;&lt;R&gt;1&lt;/R&gt;&lt;C&gt;1&lt;/C&gt;&lt;D xsi:type="xsd:double"&gt;73406.625&lt;/D&gt;&lt;/FQL&gt;&lt;FQL&gt;&lt;Q&gt;Ticker0024^FE_ESTIMATE(SALES,MEAN,QUARTERLY_ROLL,2025/3F,45685,,,'')&lt;/Q&gt;&lt;R&gt;1&lt;/R&gt;&lt;C&gt;1&lt;/C&gt;&lt;D xsi:type="xsd:double"&gt;69808.64&lt;/D&gt;&lt;/FQL&gt;&lt;FQL&gt;&lt;Q&gt;Ticker0024^FE_ESTIMATE(SALES,MEAN,QUARTERLY_ROLL,2025/2F,45685,,,'')&lt;/Q&gt;&lt;R&gt;1&lt;/R&gt;&lt;C&gt;1&lt;/C&gt;&lt;D xsi:type="xsd:double"&gt;68870.11&lt;/D&gt;&lt;/FQL&gt;&lt;FQL&gt;&lt;Q&gt;Ticker0024^FE_ESTIMATE(SALES,MEAN,QUARTERLY_ROLL,2025/1F,45685,,,'')&lt;/Q&gt;&lt;R&gt;1&lt;/R&gt;&lt;C&gt;1&lt;/C&gt;&lt;D xsi:type="xsd:double"&gt;65585&lt;/D&gt;&lt;/FQL&gt;&lt;FQL&gt;&lt;Q&gt;Ticker0024^FE_ESTIMATE(SALES,MEAN,ANNUAL_ROLL,2024,45685,,,'')&lt;/Q&gt;&lt;R&gt;1&lt;/R&gt;&lt;C&gt;1&lt;/C&gt;&lt;D xsi:type="xsd:double"&gt;245122&lt;/D&gt;&lt;/FQL&gt;&lt;FQL&gt;&lt;Q&gt;Ticker0024^FE_ESTIMATE(SALES,MEAN,QUARTERLY_ROLL,2024/4F,45685,,,'')&lt;/Q&gt;&lt;R&gt;1&lt;/R&gt;&lt;C&gt;1&lt;/C&gt;&lt;D xsi:type="xsd:double"&gt;64727&lt;/D&gt;&lt;/FQL&gt;&lt;FQL&gt;&lt;Q&gt;Ticker0024^FE_ESTIMATE(SALES,MEAN,QUARTERLY_ROLL,2024/3F,45685,,,'')&lt;/Q&gt;&lt;R&gt;1&lt;/R&gt;&lt;C&gt;1&lt;/C&gt;&lt;D xsi:type="xsd:double"&gt;61858&lt;/D&gt;&lt;/FQL&gt;&lt;FQL&gt;&lt;Q&gt;Ticker0024^FE_ESTIMATE(SALES,MEAN,QUARTERLY_ROLL,2024/2F,45685,,,'')&lt;/Q&gt;&lt;R&gt;1&lt;/R&gt;&lt;C&gt;1&lt;/C&gt;&lt;D xsi:type="xsd:double"&gt;62020&lt;/D&gt;&lt;/FQL&gt;&lt;FQL&gt;&lt;Q&gt;Ticker0024^FE_ESTIMATE(SALES,MEAN,QUARTERLY_ROLL,2024/1F,45685,,,'')&lt;/Q&gt;&lt;R&gt;1&lt;/R&gt;&lt;C&gt;1&lt;/C&gt;&lt;D xsi:type="xsd:double"&gt;56517&lt;/D&gt;&lt;/FQL&gt;&lt;FQL&gt;&lt;Q&gt;Ticker0024^FE_ESTIMATE(SALES,MEAN,ANNUAL_ROLL,2023,45685,,,'')&lt;/Q&gt;&lt;R&gt;1&lt;/R&gt;&lt;C&gt;1&lt;/C&gt;&lt;D xsi:type="xsd:double"&gt;211915&lt;/D&gt;&lt;/FQL&gt;&lt;FQL&gt;&lt;Q&gt;Ticker0024^FE_ESTIMATE(SALES,MEAN,QUARTERLY_ROLL,2023/4F,45685,,,'')&lt;/Q&gt;&lt;R&gt;1&lt;/R&gt;&lt;C&gt;1&lt;/C&gt;&lt;D xsi:type="xsd:double"&gt;56189&lt;/D&gt;&lt;/FQL&gt;&lt;FQL&gt;&lt;Q&gt;Ticker0024^FE_ESTIMATE(SALES,MEAN,QUARTERLY_ROLL,2023/3F,45685,,,'')&lt;/Q&gt;&lt;R&gt;1&lt;/R&gt;&lt;C&gt;1&lt;/C&gt;&lt;D xsi:type="xsd:double"&gt;52857&lt;/D&gt;&lt;/FQL&gt;&lt;FQL&gt;&lt;Q&gt;Ticker0024^FE_ESTIMATE(SALES,MEAN,QUARTERLY_ROLL,2023/2F,45685,,,'')&lt;/Q&gt;&lt;R&gt;1&lt;/R&gt;&lt;C&gt;1&lt;/C&gt;&lt;D xsi:type="xsd:double"&gt;52747&lt;/D&gt;&lt;/FQL&gt;&lt;FQL&gt;&lt;Q&gt;Ticker0024^FE_ESTIMATE(SALES,MEAN,QUARTERLY_ROLL,2023/1F,45685,,,'')&lt;/Q&gt;&lt;R&gt;1&lt;/R&gt;&lt;C&gt;1&lt;/C&gt;&lt;D xsi:type="xsd:double"&gt;50122&lt;/D&gt;&lt;/FQL&gt;&lt;FQL&gt;&lt;Q&gt;Ticker0024^FE_ESTIMATE(SALES,MEAN,ANNUAL_ROLL,2022,45685,,,'')&lt;/Q&gt;&lt;R&gt;1&lt;/R&gt;&lt;C&gt;1&lt;/C&gt;&lt;D xsi:type="xsd:double"&gt;198270&lt;/D&gt;&lt;/FQL&gt;&lt;FQL&gt;&lt;Q&gt;Ticker0024^FE_ESTIMATE(SALES,MEAN,QUARTERLY_ROLL,2022/4F,45685,,,'')&lt;/Q&gt;&lt;R&gt;1&lt;/R&gt;&lt;C&gt;1&lt;/C&gt;&lt;D xsi:type="xsd:double"&gt;51865&lt;/D&gt;&lt;/FQL&gt;&lt;FQL&gt;&lt;Q&gt;Ticker0024^FE_ESTIMATE(SALES,MEAN,QUARTERLY_ROLL,2022/3F,45685,,,'')&lt;/Q&gt;&lt;R&gt;1&lt;/R&gt;&lt;C&gt;1&lt;/C&gt;&lt;D xsi:type="xsd:double"&gt;49360&lt;/D&gt;&lt;/FQL&gt;&lt;FQL&gt;&lt;Q&gt;Ticker0024^FE_ESTIMATE(SALES,MEAN,QUARTERLY_ROLL,2022/2F,45685,,,'')&lt;/Q&gt;&lt;R&gt;1&lt;/R&gt;&lt;C&gt;1&lt;/C&gt;&lt;D xsi:type="xsd:double"&gt;51728&lt;/D&gt;&lt;/FQL&gt;&lt;FQL&gt;&lt;Q&gt;Ticker0024^FE_ESTIMATE(SALES,MEAN,QUARTERLY_ROLL,2022/1F,45685,,,'')&lt;/Q&gt;&lt;R&gt;1&lt;/R&gt;&lt;C&gt;1&lt;/C&gt;&lt;D xsi:type="xsd:double"&gt;45317&lt;/D&gt;&lt;/FQL&gt;&lt;FQL&gt;&lt;Q&gt;Ticker0024^FE_ESTIMATE(SALES,MEAN,ANNUAL_ROLL,2021,45685,,,'')&lt;/Q&gt;&lt;R&gt;1&lt;/R&gt;&lt;C&gt;1&lt;/C&gt;&lt;D xsi:type="xsd:double"&gt;168088&lt;/D&gt;&lt;/FQL&gt;&lt;FQL&gt;&lt;Q&gt;Ticker0024^FE_ESTIMATE(SALES,MEAN,QUARTERLY_ROLL,2021/4F,45685,,,'')&lt;/Q&gt;&lt;R&gt;1&lt;/R&gt;&lt;C&gt;1&lt;/C&gt;&lt;D xsi:type="xsd:double"&gt;46152&lt;/D&gt;&lt;/FQL&gt;&lt;FQL&gt;&lt;Q&gt;Ticker0024^FE_ESTIMATE(SALES,MEAN,QUARTERLY_ROLL,2021/3F,45685,,,'')&lt;/Q&gt;&lt;R&gt;1&lt;/R&gt;&lt;C&gt;1&lt;/C&gt;&lt;D xsi:type="xsd:double"&gt;41706&lt;/D&gt;&lt;/FQL&gt;&lt;FQL&gt;&lt;Q&gt;Ticker0024^FE_ESTIMATE(SALES,MEAN,QUARTERLY_ROLL,2021/2F,45685,,,'')&lt;/Q&gt;&lt;R&gt;1&lt;/R&gt;&lt;C&gt;1&lt;/C&gt;&lt;D xsi:type="xsd:double"&gt;43076&lt;/D&gt;&lt;/FQL&gt;&lt;FQL&gt;&lt;Q&gt;Ticker0024^FE_ESTIMATE(SALES,MEAN,QUARTERLY_ROLL,2021/1F,45685,,,'')&lt;/Q&gt;&lt;R&gt;1&lt;/R&gt;&lt;C&gt;1&lt;/C&gt;&lt;D xsi:type="xsd:double"&gt;37154&lt;/D&gt;&lt;/FQL&gt;&lt;FQL&gt;&lt;Q&gt;Ticker0024^FE_ESTIMATE(SALES,MEAN,ANNUAL_ROLL,2020,45685,,,'')&lt;/Q&gt;&lt;R&gt;1&lt;/R&gt;&lt;C&gt;1&lt;/C&gt;&lt;D xsi:type="xsd:double"&gt;143015&lt;/D&gt;&lt;/FQL&gt;&lt;FQL&gt;&lt;Q&gt;Ticker0024^FE_ESTIMATE(SALES,MEAN,QUARTERLY_ROLL,2020/4F,45685,,,'')&lt;/Q&gt;&lt;R&gt;1&lt;/R&gt;&lt;C&gt;1&lt;/C&gt;&lt;D xsi:type="xsd:double"&gt;38033&lt;/D&gt;&lt;/FQL&gt;&lt;FQL&gt;&lt;Q&gt;Ticker0024^FE_ESTIMATE(SALES,MEAN,QUARTERLY_ROLL,2020/3F,45685,,,'')&lt;/Q&gt;&lt;R&gt;1&lt;/R&gt;&lt;C&gt;1&lt;/C&gt;&lt;D xsi:type="xsd:double"&gt;35021&lt;/D&gt;&lt;/FQL&gt;&lt;FQL&gt;&lt;Q&gt;Ticker0024^FE_ESTIMATE(SALES,MEAN,QUARTERLY_ROLL,2020/2F,45685,,,'')&lt;/Q&gt;&lt;R&gt;1&lt;/R&gt;&lt;C&gt;1&lt;/C&gt;&lt;D xsi:type="xsd:double"&gt;36906&lt;/D&gt;&lt;/FQL&gt;&lt;FQL&gt;&lt;Q&gt;Ticker0024^FE_ESTIMATE(SALES,MEAN,QUARTERLY_ROLL,2020/1F,45685,,,'')&lt;/Q&gt;&lt;R&gt;1&lt;/R&gt;&lt;C&gt;1&lt;/C&gt;&lt;D xsi:type="xsd:double"&gt;33055&lt;/D&gt;&lt;/FQL&gt;&lt;FQL&gt;&lt;Q&gt;Ticker0024^FE_ESTIMATE(SALES,MEAN,ANNUAL_ROLL,2019,45685,,,'')&lt;/Q&gt;&lt;R&gt;1&lt;/R&gt;&lt;C&gt;1&lt;/C&gt;&lt;D xsi:type="xsd:double"&gt;125843&lt;/D&gt;&lt;/FQL&gt;&lt;FQL&gt;&lt;Q&gt;Ticker0024^FE_ESTIMATE(SALES,MEAN,QUARTERLY_ROLL,2019/4F,45685,,,'')&lt;/Q&gt;&lt;R&gt;1&lt;/R&gt;&lt;C&gt;1&lt;/C&gt;&lt;D xsi:type="xsd:double"&gt;33717&lt;/D&gt;&lt;/FQL&gt;&lt;FQL&gt;&lt;Q&gt;Ticker0024^FE_ESTIMATE(SALES,MEAN,QUARTERLY_ROLL,2019/3F,45685,,,'')&lt;/Q&gt;&lt;R&gt;1&lt;/R&gt;&lt;C&gt;1&lt;/C&gt;&lt;D xsi:type="xsd:double"&gt;30571&lt;/D&gt;&lt;/FQL&gt;&lt;FQL&gt;&lt;Q&gt;Ticker0024^FE_ESTIMATE(SALES,MEAN,QUARTERLY_ROLL,2019/2F,45685,,,'')&lt;/Q&gt;&lt;R&gt;1&lt;/R&gt;&lt;C&gt;1&lt;/C&gt;&lt;D xsi:type="xsd:double"&gt;32471&lt;/D&gt;&lt;/FQL&gt;&lt;FQL&gt;&lt;Q&gt;Ticker0024^FE_ESTIMATE(SALES,MEAN,QUARTERLY_ROLL,2019/1F,45685,,,'')&lt;/Q&gt;&lt;R&gt;1&lt;/R&gt;&lt;C&gt;1&lt;/C&gt;&lt;D xsi:type="xsd:double"&gt;29084&lt;/D&gt;&lt;/FQL&gt;&lt;FQL&gt;&lt;Q&gt;Ticker0024^FE_ESTIMATE(SALES,MEAN,ANNUAL_ROLL,2018,45685,,,'')&lt;/Q&gt;&lt;R&gt;1&lt;/R&gt;&lt;C&gt;1&lt;/C&gt;&lt;D xsi:type="xsd:double"&gt;110360&lt;/D&gt;&lt;/FQL&gt;&lt;FQL&gt;&lt;Q&gt;Ticker0024^FE_ESTIMATE(SALES,MEAN,QUARTERLY_ROLL,2018/4F,45685,,,'')&lt;/Q&gt;&lt;R&gt;1&lt;/R&gt;&lt;C&gt;1&lt;/C&gt;&lt;D xsi:type="xsd:double"&gt;30085&lt;/D&gt;&lt;/FQL&gt;&lt;FQL&gt;&lt;Q&gt;Ticker0024^FE_ESTIMATE(SALES,MEAN,QUARTERLY_ROLL,2018/3F,45685,,,'')&lt;/Q&gt;&lt;R&gt;1&lt;/R&gt;&lt;C&gt;1&lt;/C&gt;&lt;D xsi:type="xsd:double"&gt;26819&lt;/D&gt;&lt;/FQL&gt;&lt;FQL&gt;&lt;Q&gt;Ticker0024^FE_ESTIMATE(SALES,MEAN,QUARTERLY_ROLL,2018/2F,45685,,,'')&lt;/Q&gt;&lt;R&gt;1&lt;/R&gt;&lt;C&gt;1&lt;/C&gt;&lt;D xsi:type="xsd:double"&gt;28918&lt;/D&gt;&lt;/FQL&gt;&lt;FQL&gt;&lt;Q&gt;Ticker0024^FE_ESTIMATE(SALES,MEAN,QUARTERLY_ROLL,2018/1F,45685,,,'')&lt;/Q&gt;&lt;R&gt;1&lt;/R&gt;&lt;C&gt;1&lt;/C&gt;&lt;D xsi:type="xsd:double"&gt;24538&lt;/D&gt;&lt;/FQL&gt;&lt;FQL&gt;&lt;Q&gt;Ticker0024^FE_ESTIMATE(SALES,MEAN,ANNUAL_ROLL,2017,45685,,,'')&lt;/Q&gt;&lt;R&gt;1&lt;/R&gt;&lt;C&gt;1&lt;/C&gt;&lt;D xsi:type="xsd:double"&gt;96700&lt;/D&gt;&lt;/FQL&gt;&lt;FQL&gt;&lt;Q&gt;Ticker0024^FE_ESTIMATE(SALES,MEAN,QUARTERLY_ROLL,2017/4F,45685,,,'')&lt;/Q&gt;&lt;R&gt;1&lt;/R&gt;&lt;C&gt;1&lt;/C&gt;&lt;D xsi:type="xsd:double"&gt;24700&lt;/D&gt;&lt;/FQL&gt;&lt;FQL&gt;&lt;Q&gt;Ticker0024^FE_ESTIMATE(SALES,MEAN,QUARTERLY_ROLL,2017/3F,45685,,,'')&lt;/Q&gt;&lt;R&gt;1&lt;/R&gt;&lt;C&gt;1&lt;/C&gt;&lt;D xsi:type="xsd:double"&gt;23557&lt;/D&gt;&lt;/FQL&gt;&lt;FQL&gt;&lt;Q&gt;Ticker0024^FE_ESTIMATE(SALES,MEAN,QUARTERLY_ROLL,2017/2F,45685,,,'')&lt;/Q&gt;&lt;R&gt;1&lt;/R&gt;&lt;C&gt;1&lt;/C&gt;&lt;D xsi:type="xsd:double"&gt;26066&lt;/D&gt;&lt;/FQL&gt;&lt;FQL&gt;&lt;Q&gt;Ticker0024^FE_ESTIMATE(SALES,MEAN,QUARTERLY_ROLL,2017/1F,45685,,,'')&lt;/Q&gt;&lt;R&gt;1&lt;/R&gt;&lt;C&gt;1&lt;/C&gt;&lt;D xsi:type="xsd:double"&gt;22334&lt;/D&gt;&lt;/FQL&gt;&lt;FQL&gt;&lt;Q&gt;Ticker0024^FE_ESTIMATE(SALES,MEAN,ANNUAL_ROLL,2016,45685,,,'')&lt;/Q&gt;&lt;R&gt;1&lt;/R&gt;&lt;C&gt;1&lt;/C&gt;&lt;D xsi:type="xsd:double"&gt;92051.92&lt;/D&gt;&lt;/FQL&gt;&lt;FQL&gt;&lt;Q&gt;Ticker0024^FE_ESTIMATE(SALES,MEAN,QUARTERLY_ROLL,2016/4F,45685,,,'')&lt;/Q&gt;&lt;R&gt;1&lt;/R&gt;&lt;C&gt;1&lt;/C&gt;&lt;D xsi:type="xsd:double"&gt;22640.229&lt;/D&gt;&lt;/FQL&gt;&lt;FQL&gt;&lt;Q&gt;Ticker0024^FE_ESTIMATE(SALES,MEAN,QUARTERLY_ROLL,2016/3F,45685,,,'')&lt;/Q&gt;&lt;R&gt;1&lt;/R&gt;&lt;C&gt;1&lt;/C&gt;&lt;D xsi:type="xsd:double"&gt;22076&lt;/D&gt;&lt;/FQL&gt;&lt;FQL&gt;&lt;Q&gt;Ticker0024^FE_ESTIMATE(SALES,MEAN,QUARTERLY_ROLL,2016/2F,45685,,,'')&lt;/Q&gt;&lt;R&gt;1&lt;/R&gt;&lt;C&gt;1&lt;/C&gt;&lt;D xsi:type="xsd:double"&gt;25693&lt;/D&gt;&lt;/FQL&gt;&lt;FQL&gt;&lt;Q&gt;Ticker0024^FE_ESTIMATE(SALES,MEAN,QUARTERLY_ROLL,2016/1F,45685,,,'')&lt;/Q&gt;&lt;R&gt;1&lt;/R&gt;&lt;C&gt;1&lt;/C&gt;&lt;D xsi:type="xsd:double"&gt;21660&lt;/D&gt;&lt;/FQL&gt;&lt;FQL&gt;&lt;Q&gt;Ticker0024^FE_ESTIMATE(SALES,MEAN,ANNUAL_ROLL,2015,45685,,,'')&lt;/Q&gt;&lt;R&gt;1&lt;/R&gt;&lt;C&gt;1&lt;/C&gt;&lt;D xsi:type="xsd:double"&gt;93580&lt;/D&gt;&lt;/FQL&gt;&lt;FQL&gt;&lt;Q&gt;Ticker0024^FE_ESTIMATE(SALES,MEAN,QUARTERLY_ROLL,2015/4F,45685,,,'')&lt;/Q&gt;&lt;R&gt;1&lt;/R&gt;&lt;C&gt;1&lt;/C&gt;&lt;D xsi:type="xsd:double"&gt;22180&lt;/D&gt;&lt;/FQL&gt;&lt;FQL&gt;&lt;Q&gt;Ticker0024^FE_ESTIMATE(SALES,MEAN,QUARTERLY_ROLL,2015/3F,45685,,,'')&lt;/Q&gt;&lt;R&gt;1&lt;/R&gt;&lt;C&gt;1&lt;/C&gt;&lt;D xsi:type="xsd:double"&gt;21729&lt;/D&gt;&lt;/FQL&gt;&lt;FQL&gt;&lt;Q&gt;Ticker0024^FE_ESTIMATE(SALES,MEAN,QUARTERLY_ROLL,2015/2F,45685,,,'')&lt;/Q&gt;&lt;R&gt;1&lt;/R&gt;&lt;C&gt;1&lt;/C&gt;&lt;D xsi:type="xsd:double"&gt;26470&lt;/D&gt;&lt;/FQL&gt;&lt;FQL&gt;&lt;Q&gt;Ticker0024^FE_ESTIMATE(SALES,MEAN,QUARTERLY_ROLL,2015/1F,45685,,,'')&lt;/Q&gt;&lt;R&gt;1&lt;/R&gt;&lt;C&gt;1&lt;/C&gt;&lt;D xsi:type="xsd:double"&gt;23201&lt;/D&gt;&lt;/FQL&gt;&lt;FQL&gt;&lt;Q&gt;Ticker0024^FE_ESTIMATE(PRODLINE_SALES_17,MEAN,ANNUAL_ROLL,2030,45685,,,'')&lt;/Q&gt;&lt;R&gt;0&lt;/R&gt;&lt;C&gt;0&lt;/C&gt;&lt;/FQL&gt;&lt;FQL&gt;&lt;Q&gt;Ticker0024^FE_ESTIMATE(PRODLINE_SALES_17,MEAN,QUARTERLY_ROLL,2030/4F,45685,,,'')&lt;/Q&gt;&lt;R&gt;0&lt;/R&gt;&lt;C&gt;0&lt;/C&gt;&lt;/FQL&gt;&lt;FQL&gt;&lt;Q&gt;Ticker0024^FE_ESTIMATE(PRODLINE_SALES_17,MEAN,QUARTERLY_ROLL,2030/3F,45685,,,'')&lt;/Q&gt;&lt;R&gt;0&lt;/R&gt;&lt;C&gt;0&lt;/C&gt;&lt;/FQL&gt;&lt;FQL&gt;&lt;Q&gt;Ticker0024^FE_ESTIMATE(PRODLINE_SALES_17,MEAN,QUARTERLY_ROLL,2030/2F,45685,,,'')&lt;/Q&gt;&lt;R&gt;0&lt;/R&gt;&lt;C&gt;0&lt;/C&gt;&lt;/FQL&gt;&lt;FQL&gt;&lt;Q&gt;Ticker0024^FE_ESTIMATE(PRODLINE_SALES_17,MEAN,QUARTERLY_ROLL,2030/1F,45685,,,'')&lt;/Q&gt;&lt;R&gt;0&lt;/R&gt;&lt;C&gt;0&lt;/C&gt;&lt;/FQL&gt;&lt;FQL&gt;&lt;Q&gt;Ticker0024^FE_ESTIMATE(PRODLINE_SALES_17,MEAN,ANNUAL_ROLL,2029,45685,,,'')&lt;/Q&gt;&lt;R&gt;0&lt;/R&gt;&lt;C&gt;0&lt;/C&gt;&lt;/FQL&gt;&lt;FQL&gt;&lt;Q&gt;Ticker0024^FE_ESTIMATE(PRODLINE_SALES_17,MEAN,QUARTERLY_ROLL,2029/4F,45685,,,'')&lt;/Q&gt;&lt;R&gt;0&lt;/R&gt;&lt;C&gt;0&lt;/C&gt;&lt;/FQL&gt;&lt;FQL&gt;&lt;Q&gt;Ticker0024^FE_ESTIMATE(PRODLINE_SALES_17,MEAN,QUARTERLY_ROLL,2029/3F,45685,,,'')&lt;/Q&gt;&lt;R&gt;0&lt;/R&gt;&lt;C&gt;0&lt;/C&gt;&lt;/FQL&gt;&lt;FQL&gt;&lt;Q&gt;Ticker0024^FE_ESTIMATE(PRODLINE_SALES_17,MEAN,QUARTERLY_ROLL,2029/2F,45685,,,'')&lt;/Q&gt;&lt;R&gt;0&lt;/R&gt;&lt;C&gt;0&lt;/C&gt;&lt;/FQL&gt;&lt;FQL&gt;&lt;Q&gt;Ticker0024^FE_ESTIMATE(PRODLINE_SALES_17,MEAN,QUARTERLY_ROLL,2029/1F,45685,,,'')&lt;/Q&gt;&lt;R&gt;0&lt;/R&gt;&lt;C&gt;0&lt;/C&gt;&lt;/FQL&gt;&lt;FQL&gt;&lt;Q&gt;Ticker0024^FE_ESTIMATE(PRODLINE_SALES_17,MEAN,ANNUAL_ROLL,2028,45685,,,'')&lt;/Q&gt;&lt;R&gt;1&lt;/R&gt;&lt;C&gt;1&lt;/C&gt;&lt;D xsi:type="xsd:double"&gt;63179&lt;/D&gt;&lt;/FQL&gt;&lt;FQL&gt;&lt;Q&gt;Ticker0024^FE_ESTIMATE(PRODLINE_SALES_17,MEAN,QUARTERLY_ROLL,2028/4F,45685,,,'')&lt;/Q&gt;&lt;R&gt;0&lt;/R&gt;&lt;C&gt;0&lt;/C&gt;&lt;/FQL&gt;&lt;FQL&gt;&lt;Q&gt;Ticker0024^FE_ESTIMATE(PRODLINE_SALES_17,MEAN,QUARTERLY_ROLL,2028/3F,45685,,,'')&lt;/Q&gt;&lt;R&gt;0&lt;/R&gt;&lt;C&gt;0&lt;/C&gt;&lt;/FQL&gt;&lt;FQL&gt;&lt;Q&gt;Ticker0024^FE_ESTIMATE(PRODLINE_SALES_17,MEAN,QUARTERLY_ROLL,2028/2F,45685,,,'')&lt;/Q&gt;&lt;R&gt;0&lt;/R&gt;&lt;C&gt;0&lt;/C&gt;&lt;/FQL&gt;&lt;FQL&gt;&lt;Q&gt;Ticker0024^FE_ESTIMATE(PRODLINE_SALES_17,MEAN,QUARTERLY_ROLL,2028/1F,45685,,,'')&lt;/Q&gt;&lt;R&gt;0&lt;/R&gt;&lt;C&gt;0&lt;/C&gt;&lt;/FQL&gt;&lt;FQL&gt;&lt;Q&gt;Ticker0024^FE_ESTIMATE(PRODLINE_SALES_17,MEAN,ANNUAL_ROLL,2027,45685,,,'')&lt;/Q&gt;&lt;R&gt;1&lt;/R&gt;&lt;C&gt;1&lt;/C&gt;&lt;D xsi:type="xsd:double"&gt;59361.813&lt;/D&gt;&lt;/FQL&gt;&lt;FQL&gt;&lt;Q&gt;Ticker0024^FE_ESTIMATE(PRODLINE_SALES_17,MEAN,QUARTERLY_ROLL,2027/4F,45685,,,'')&lt;/Q&gt;&lt;R&gt;1&lt;/R&gt;&lt;C&gt;1&lt;/C&gt;&lt;D xsi:type="xsd:double"&gt;12927&lt;/D&gt;&lt;/FQL&gt;&lt;FQL&gt;&lt;Q&gt;Ticker0024^FE_ESTIMATE(PRODLINE_SALES_17,MEAN,QUARTERLY_ROLL,2027/3F,45685,,,'')&lt;/Q&gt;&lt;R&gt;1&lt;/R&gt;&lt;C&gt;1&lt;/C&gt;&lt;D xsi:type="xsd:double"&gt;15738&lt;/D&gt;&lt;/FQL&gt;&lt;FQL&gt;&lt;Q&gt;Ticker0024^FE_ESTIMATE(PRODLINE_SALES_17,MEAN,QUARTERLY_ROLL,2027/2F,45685,,,'')&lt;/Q&gt;&lt;R&gt;1&lt;/R&gt;&lt;C&gt;1&lt;/C&gt;&lt;D xsi:type="xsd:double"&gt;17974.5&lt;/D&gt;&lt;/FQL&gt;&lt;FQL&gt;&lt;Q&gt;Ticker0024^FE_ESTIMATE(PRODLINE_SALES_17,MEAN,QUARTERLY_ROLL,2027/1F,45685,,,'')&lt;/Q&gt;&lt;R&gt;1&lt;/R&gt;&lt;C&gt;1&lt;/C&gt;&lt;D xsi:type="xsd:double"&gt;14813.5&lt;/D&gt;&lt;/FQL&gt;&lt;FQL&gt;&lt;Q&gt;Ticker0024^FE_ESTIMATE(PRODLINE_SALES_17,MEAN,ANNUAL_ROLL,2026,45685,,,'')&lt;/Q&gt;&lt;R&gt;1&lt;/R&gt;&lt;C&gt;1&lt;/C&gt;&lt;D xsi:type="xsd:double"&gt;56642.816&lt;/D&gt;&lt;/FQL&gt;&lt;FQL&gt;&lt;Q&gt;Ticker0024^FE_ESTIMATE(PRODLINE_SALES_17,MEAN,QUARTERLY_ROLL,2026/4F,45685,,,'')&lt;/Q&gt;&lt;R&gt;1&lt;/R&gt;&lt;C&gt;1&lt;/C&gt;&lt;D xsi:type="xsd:double"&gt;13396.316&lt;/D&gt;&lt;/FQL&gt;&lt;FQL&gt;&lt;Q&gt;Ticker0024^FE_ESTIMATE(PRODLINE_SALES_17,MEAN,QUARTERLY_ROLL,2026/3F,45685,,,'')&lt;/Q&gt;&lt;R&gt;1&lt;/R&gt;&lt;C&gt;1&lt;/C&gt;&lt;D xsi:type="xsd:double"&gt;13840.267&lt;/D&gt;&lt;/FQL&gt;&lt;FQL&gt;&lt;Q&gt;Ticker0024^FE_ESTIMATE(PRODLINE_SALES_17,MEAN,QUARTERLY_ROLL,2026/2F,45685,,,'')&lt;/Q&gt;&lt;R&gt;1&lt;/R&gt;&lt;C&gt;1&lt;/C&gt;&lt;D xsi:type="xsd:double"&gt;15139.208&lt;/D&gt;&lt;/FQL&gt;&lt;FQL&gt;&lt;Q&gt;Ticker0024^FE_ESTIMATE(PRODLINE_SALES_17,MEAN,QUARTERLY_ROLL,2026/1F,45685,,,'')&lt;/Q&gt;&lt;R&gt;1&lt;/R&gt;&lt;C&gt;1&lt;/C&gt;&lt;D xsi:type="xsd:double"&gt;13604.5&lt;/D&gt;&lt;/FQL&gt;&lt;FQL&gt;&lt;Q&gt;Ticker0024^FE_ESTIMATE(PRODLINE_SALES_17,MEAN,ANNUAL_ROLL,2025,45685,,,'')&lt;/Q&gt;&lt;R&gt;1&lt;/R&gt;&lt;C&gt;1&lt;/C&gt;&lt;D xsi:type="xsd:double"&gt;53827.273&lt;/D&gt;&lt;/FQL&gt;&lt;FQL&gt;&lt;Q&gt;Ticker0024^FE_ESTIMATE(PRODLINE_SALES_17,MEAN,QUARTERLY_ROLL,2025/4F,45685,,,'')&lt;/Q&gt;&lt;R&gt;1&lt;/R&gt;&lt;C&gt;1&lt;/C&gt;&lt;D xsi:type="xsd:double"&gt;12875.182&lt;/D&gt;&lt;/FQL&gt;&lt;FQL&gt;&lt;Q&gt;Ticker0024^FE_ESTIMATE(PRODLINE_SALES_17,MEAN,QUARTERLY_ROLL,2025/3F,45685,,,'')&lt;/Q&gt;&lt;R&gt;1&lt;/R&gt;&lt;C&gt;1&lt;/C&gt;&lt;D xsi:type="xsd:double"&gt;13014.305&lt;/D&gt;&lt;/FQL&gt;&lt;FQL&gt;&lt;Q&gt;Ticker0024^FE_ESTIMATE(PRODLINE_SALES_17,MEAN,QUARTERLY_ROLL,2025/2F,45685,,,'')&lt;/Q&gt;&lt;R&gt;1&lt;/R&gt;&lt;C&gt;1&lt;/C&gt;&lt;D xsi:type="xsd:double"&gt;14298.75&lt;/D&gt;&lt;/FQL&gt;&lt;FQL&gt;&lt;Q&gt;Ticker0024^FE_ESTIMATE(PRODLINE_SALES_17,MEAN,QUARTERLY_ROLL,2025/1F,45685,,,'')&lt;/Q&gt;&lt;R&gt;1&lt;/R&gt;&lt;C&gt;1&lt;/C&gt;&lt;D xsi:type="xsd:double"&gt;13176&lt;/D&gt;&lt;/FQL&gt;&lt;FQL&gt;&lt;Q&gt;Ticker0024^FE_ESTIMATE(PRODLINE_SALES_17,MEAN,ANNUAL_ROLL,2024,45685,,,'')&lt;/Q&gt;&lt;R&gt;1&lt;/R&gt;&lt;C&gt;1&lt;/C&gt;&lt;D xsi:type="xsd:double"&gt;62032&lt;/D&gt;&lt;/FQL&gt;&lt;FQL&gt;&lt;Q&gt;Ticker0024^FE_ESTIMATE(PRODLINE_SALES_17,MEAN,QUARTERLY_ROLL,2024/4F,45685,,,'')&lt;/Q&gt;&lt;R&gt;1&lt;/R&gt;&lt;C&gt;1&lt;/C&gt;&lt;D xsi:type="xsd:double"&gt;15895&lt;/D&gt;&lt;/FQL&gt;&lt;FQL&gt;&lt;Q&gt;Ticker0024^FE_ESTIMATE(PRODLINE_SALES_17,MEAN,QUARTERLY_ROLL,2024/3F,45685,,,'')&lt;/Q&gt;&lt;R&gt;1&lt;/R&gt;&lt;C&gt;1&lt;/C&gt;&lt;D xsi:type="xsd:double"&gt;15580&lt;/D&gt;&lt;/FQL&gt;&lt;FQL&gt;&lt;Q&gt;Ticker0024^FE_ESTIMATE(PRODLINE_SALES_17,MEAN,QUARTERLY_ROLL,2024/2F,45685,,,'')&lt;/Q&gt;&lt;R&gt;1&lt;/R&gt;&lt;C&gt;1&lt;/C&gt;&lt;D xsi:type="xsd:double"&gt;16891&lt;/D&gt;&lt;/FQL&gt;&lt;FQL&gt;&lt;Q&gt;Ticker0024^FE_ESTIMATE(PRODLINE_SALES_17,MEAN,QUARTERLY_ROLL,2024/1F,45685,,,'')&lt;/Q&gt;&lt;R&gt;1&lt;/R&gt;&lt;C&gt;1&lt;/C&gt;&lt;D xsi:type="xsd:double"&gt;13666&lt;/D&gt;&lt;/FQL&gt;&lt;FQL&gt;&lt;Q&gt;Ticker0024^FE_ESTIMATE(PRODLINE_SALES_17,MEAN,ANNUAL_ROLL,2023,45685,,,'')&lt;/Q&gt;&lt;R&gt;1&lt;/R&gt;&lt;C&gt;1&lt;/C&gt;&lt;D xsi:type="xsd:double"&gt;54732.273&lt;/D&gt;&lt;/FQL&gt;&lt;FQL&gt;&lt;Q&gt;Ticker0024^FE_ESTIMATE(PRODLINE_SALES_17,MEAN,QUARTERLY_ROLL,2023/4F,45685,,,'')&lt;/Q&gt;&lt;R&gt;1&lt;/R&gt;&lt;C&gt;1&lt;/C&gt;&lt;D xsi:type="xsd:double"&gt;13905&lt;/D&gt;&lt;/FQL&gt;&lt;FQL&gt;&lt;Q&gt;Ticker0024^FE_ESTIMATE(PRODLINE_SALES_17,MEAN,QUARTERLY_ROLL,2023/3F,45685,,,'')&lt;/Q&gt;&lt;R&gt;1&lt;/R&gt;&lt;C&gt;1&lt;/C&gt;&lt;D xsi:type="xsd:double"&gt;13260&lt;/D&gt;&lt;/FQL&gt;&lt;FQL&gt;&lt;Q&gt;Ticker0024^FE_ESTIMATE(PRODLINE_SALES_17,MEAN,QUARTERLY_ROLL,2023/2F,45685,,,'')&lt;/Q&gt;&lt;R&gt;1&lt;/R&gt;&lt;C&gt;1&lt;/C&gt;&lt;D xsi:type="xsd:double"&gt;14237&lt;/D&gt;&lt;/FQL&gt;&lt;FQL&gt;&lt;Q&gt;Ticker0024^FE_ESTIMATE(PRODLINE_SALES_17,MEAN,QUARTERLY_ROLL,2023/1F,45685,,,'')&lt;/Q&gt;&lt;R&gt;1&lt;/R&gt;&lt;C&gt;1&lt;/C&gt;&lt;D xsi:type="xsd:double"&gt;13332&lt;/D&gt;&lt;/FQL&gt;&lt;FQL&gt;&lt;Q&gt;Ticker0024^FE_ESTIMATE(PRODLINE_SALES_17,MEAN,ANNUAL_ROLL,2022,45685,,,'')&lt;/Q&gt;&lt;R&gt;1&lt;/R&gt;&lt;C&gt;1&lt;/C&gt;&lt;D xsi:type="xsd:double"&gt;59655&lt;/D&gt;&lt;/FQL&gt;&lt;FQL&gt;&lt;Q&gt;Ticker0024^FE_ESTIMATE(PRODLINE_SALES_17,MEAN,QUARTERLY_ROLL,2022/4F,45685,,,'')&lt;/Q&gt;&lt;R&gt;1&lt;/R&gt;&lt;C&gt;1&lt;/C&gt;&lt;D xsi:type="xsd:double"&gt;14356&lt;/D&gt;&lt;/FQL&gt;&lt;FQL&gt;&lt;Q&gt;Ticker0024^FE_ESTIMATE(PRODLINE_SALES_17,MEAN,QUARTERLY_ROLL,2022/3F,45685,,,'')&lt;/Q&gt;&lt;R&gt;1&lt;/R&gt;&lt;C&gt;1&lt;/C&gt;&lt;D xsi:type="xsd:double"&gt;14520&lt;/D&gt;&lt;/FQL&gt;&lt;FQL&gt;&lt;Q&gt;Ticker0024^FE_ESTIMATE(PRODLINE_SALES_17,MEAN,QUARTERLY_ROLL,2022/2F,45685,,,'')&lt;/Q&gt;&lt;R&gt;1&lt;/R&gt;&lt;C&gt;1&lt;/C&gt;&lt;D xsi:type="xsd:double"&gt;17465&lt;/D&gt;&lt;/FQL&gt;&lt;FQL&gt;&lt;Q&gt;Ticker0024^FE_ESTIMATE(PRODLINE_SALES_17,MEAN,QUARTERLY_ROLL,2022/1F,45685,,,'')&lt;/Q&gt;&lt;R&gt;1&lt;/R&gt;&lt;C&gt;1&lt;/C&gt;&lt;D xsi:type="xsd:double"&gt;13314&lt;/D&gt;&lt;/FQL&gt;&lt;FQL&gt;&lt;Q&gt;Ticker0024^FE_ESTIMATE(PRODLINE_SALES_17,MEAN,ANNUAL_ROLL,2021,45685,,,'')&lt;/Q&gt;&lt;R&gt;1&lt;/R&gt;&lt;C&gt;1&lt;/C&gt;&lt;D xsi:type="xsd:double"&gt;54093&lt;/D&gt;&lt;/FQL&gt;&lt;FQL&gt;&lt;Q&gt;Ticker0024^FE_ESTIMATE(PRODLINE_SALES_17,MEAN,QUARTERLY_ROLL,2021/4F,45685,,,'')&lt;/Q&gt;&lt;R&gt;1&lt;/R&gt;&lt;C&gt;1&lt;/C&gt;&lt;D xsi:type="xsd:double"&gt;14086&lt;/D&gt;&lt;/FQL&gt;&lt;FQL&gt;&lt;Q&gt;Ticker0024^FE_ESTIMATE(PRODLINE_SALES_17,MEAN,QUARTERLY_ROLL,2021/3F,45685,,,'')&lt;/Q&gt;&lt;R&gt;1&lt;/R&gt;&lt;C&gt;1&lt;/C&gt;&lt;D xsi:type="xsd:double"&gt;13036&lt;/D&gt;&lt;/FQL&gt;&lt;FQL&gt;&lt;Q&gt;Ticker0024^FE_ESTIMATE(PRODLINE_SALES_17,MEAN,QUARTERLY_ROLL,2021/2F,45685,,,'')&lt;/Q&gt;&lt;R&gt;1&lt;/R&gt;&lt;C&gt;1&lt;/C&gt;&lt;D xsi:type="xsd:double"&gt;15122&lt;/D&gt;&lt;/FQL&gt;&lt;FQL&gt;&lt;Q&gt;Ticker0024^FE_ESTIMATE(PRODLINE_SALES_17,MEAN,QUARTERLY_ROLL,2021/1F,45685,,,'')&lt;/Q&gt;&lt;R&gt;1&lt;/R&gt;&lt;C&gt;1&lt;/C&gt;&lt;D xsi:type="xsd:double"&gt;11849&lt;/D&gt;&lt;/FQL&gt;&lt;FQL&gt;&lt;Q&gt;Ticker0024^FE_ESTIMATE(PRODLINE_SALES_17,MEAN,ANNUAL_ROLL,2020,45685,,,'')&lt;/Q&gt;&lt;R&gt;1&lt;/R&gt;&lt;C&gt;1&lt;/C&gt;&lt;D xsi:type="xsd:double"&gt;48251&lt;/D&gt;&lt;/FQL&gt;&lt;FQL&gt;&lt;Q&gt;Ticker0024^FE_ESTIMATE(PRODLINE_SALES_17,MEAN,QUARTERLY_ROLL,2020/4F,45685,,,'')&lt;/Q&gt;&lt;R&gt;1&lt;/R&gt;&lt;C&gt;1&lt;/C&gt;&lt;D xsi:type="xsd:double"&gt;12910&lt;/D&gt;&lt;/FQL&gt;&lt;FQL&gt;&lt;Q&gt;Ticker0024^FE_ESTIMATE(PRODLINE_SALES_17,MEAN,QUARTERLY_ROLL,2020/3F,45685,,,'')&lt;/Q&gt;&lt;R&gt;1&lt;/R&gt;&lt;C&gt;1&lt;/C&gt;&lt;D xsi:type="xsd:double"&gt;10997&lt;/D&gt;&lt;/FQL&gt;&lt;FQL&gt;&lt;Q&gt;Ticker0024^FE_ESTIMATE(PRODLINE_SALES_17,MEAN,QUARTERLY_ROLL,2020/2F,45685,,,'')&lt;/Q&gt;&lt;R&gt;1&lt;/R&gt;&lt;C&gt;1&lt;/C&gt;&lt;D xsi:type="xsd:double"&gt;13211&lt;/D&gt;&lt;/FQL&gt;&lt;FQL&gt;&lt;Q&gt;Ticker0024^FE_ESTIMATE(PRODLINE_SALES_17,MEAN,QUARTERLY_ROLL,2020/1F,45685,,,'')&lt;/Q&gt;&lt;R&gt;1&lt;/R&gt;&lt;C&gt;1&lt;/C&gt;&lt;D xsi:type="xsd:double"&gt;11133&lt;/D&gt;&lt;/FQL&gt;&lt;FQL&gt;&lt;Q&gt;Ticker0024^FE_ESTIMATE(PRODLINE_SALES_17,MEAN,ANNUAL_ROLL,2019,45685,,,'')&lt;/Q&gt;&lt;R&gt;1&lt;/R&gt;&lt;C&gt;1&lt;/C&gt;&lt;D xsi:type="xsd:double"&gt;45698&lt;/D&gt;&lt;/FQL&gt;&lt;FQL&gt;&lt;Q&gt;Ticker0024^FE_ESTIMATE(PRODLINE_SALES_17,MEAN,QUARTERLY_ROLL,2019/4F,45685,,,'')&lt;/Q&gt;&lt;R&gt;1&lt;/R&gt;&lt;C&gt;1&lt;/C&gt;&lt;D xsi:type="xsd:double"&gt;11279&lt;/D&gt;&lt;/FQL&gt;&lt;FQL&gt;&lt;Q&gt;Ticker0024^FE_ESTIMATE(PRODLINE_SALES_17,MEAN,QUARTERLY_ROLL,2019/3F,45685,,,'')&lt;/Q&gt;&lt;R&gt;1&lt;/R&gt;&lt;C&gt;1&lt;/C&gt;&lt;D xsi:type="xsd:double"&gt;10680&lt;/D&gt;&lt;/FQL&gt;&lt;FQL&gt;&lt;Q&gt;Ticker0024^FE_ESTIMATE(PRODLINE_SALES_17,MEAN,QUARTERLY_ROLL,2019/2F,45685,,,'')&lt;/Q&gt;&lt;R&gt;1&lt;/R&gt;&lt;C&gt;1&lt;/C&gt;&lt;D xsi:type="xsd:double"&gt;12993&lt;/D&gt;&lt;/FQL&gt;&lt;FQL&gt;&lt;Q&gt;Ticker0024^FE_ESTIMATE(PRODLINE_SALES_17,MEAN,QUARTERLY_ROLL,2019/1F,45685,,,'')&lt;/Q&gt;&lt;R&gt;1&lt;/R&gt;&lt;C&gt;1&lt;/C&gt;&lt;D xsi:type="xsd:double"&gt;10746&lt;/D&gt;&lt;/FQL&gt;&lt;FQL&gt;&lt;Q&gt;Ticker0024^FE_ESTIMATE(PRODLINE_SALES_17,MEAN,ANNUAL_ROLL,2018,45685,,,'')&lt;/Q&gt;&lt;R&gt;1&lt;/R&gt;&lt;C&gt;1&lt;/C&gt;&lt;D xsi:type="xsd:double"&gt;42276&lt;/D&gt;&lt;/FQL&gt;&lt;FQL&gt;&lt;Q&gt;Ticker0024^FE_ESTIMATE(PRODLINE_SALES_17,MEAN,QUARTERLY_ROLL,2018/4F,45685,,,'')&lt;/Q&gt;&lt;R&gt;1&lt;/R&gt;&lt;C&gt;1&lt;/C&gt;&lt;D xsi:type="xsd:double"&gt;10811&lt;/D&gt;&lt;/FQL&gt;&lt;FQL&gt;&lt;Q&gt;Ticker0024^FE_ESTIMATE(PRODLINE_SALES_17,MEAN,QUARTERLY_ROLL,2018/3F,45685,,,'')&lt;/Q&gt;&lt;R&gt;1&lt;/R&gt;&lt;C&gt;1&lt;/C&gt;&lt;D xsi:type="xsd:double"&gt;9917&lt;/D&gt;&lt;/FQL&gt;&lt;FQL&gt;&lt;Q&gt;Ticker0024^FE_ESTIMATE(PRODLINE_SALES_17,MEAN,QUARTERLY_ROLL,2018/2F,45685,,,'')&lt;/Q&gt;&lt;R&gt;1&lt;/R&gt;&lt;C&gt;1&lt;/C&gt;&lt;D xsi:type="xsd:double"&gt;12170&lt;/D&gt;&lt;/FQL&gt;&lt;FQL&gt;&lt;Q&gt;Ticker0024^FE_ESTIMATE(PRODLINE_SALES_17,MEAN,QUARTERLY_ROLL,2018/1F,45685,,,'')&lt;/Q&gt;&lt;R&gt;1&lt;/R&gt;&lt;C&gt;1&lt;/C&gt;&lt;D xsi:type="xsd:double"&gt;9378&lt;/D&gt;&lt;/FQL&gt;&lt;FQL&gt;&lt;Q&gt;Ticker0024^FE_ESTIMATE(PRODLINE_SALES_17,MEAN,ANNUAL_ROLL,2017,45685,,,'')&lt;/Q&gt;&lt;R&gt;1&lt;/R&gt;&lt;C&gt;1&lt;/C&gt;&lt;D xsi:type="xsd:double"&gt;38773&lt;/D&gt;&lt;/FQL&gt;&lt;FQL&gt;&lt;Q&gt;Ticker0024^FE_ESTIMATE(PRODLINE_SALES_17,MEAN,QUARTERLY_ROLL,2017/4F,45685,,,'')&lt;/Q&gt;&lt;R&gt;1&lt;/R&gt;&lt;C&gt;1&lt;/C&gt;&lt;D xsi:type="xsd:double"&gt;8820&lt;/D&gt;&lt;/FQL&gt;&lt;FQL&gt;&lt;Q&gt;Ticker0024^FE_ESTIMATE(PRODLINE_SALES_17,MEAN,QUARTERLY_ROLL,2017/3F,45685,,,'')&lt;/Q&gt;&lt;R&gt;1&lt;/R&gt;&lt;C&gt;1&lt;/C&gt;&lt;D xsi:type="xsd:double"&gt;8836&lt;/D&gt;&lt;/FQL&gt;&lt;FQL&gt;&lt;Q&gt;Ticker0024^FE_ESTIMATE(PRODLINE_SALES_17,MEAN,QUARTERLY_ROLL,2017/2F,45685,,,'')&lt;/Q&gt;&lt;R&gt;1&lt;/R&gt;&lt;C&gt;1&lt;/C&gt;&lt;D xsi:type="xsd:double"&gt;11823&lt;/D&gt;&lt;/FQL&gt;&lt;FQL&gt;&lt;Q&gt;Ticker0024^FE_ESTIMATE(PRODLINE_SALES_17,MEAN,QUARTERLY_ROLL,2017/1F,45685,,,'')&lt;/Q&gt;&lt;R&gt;1&lt;/R&gt;&lt;C&gt;1&lt;/C&gt;&lt;D xsi:type="xsd:double"&gt;9294&lt;/D&gt;&lt;/FQL&gt;&lt;FQL&gt;&lt;Q&gt;Ticker0024^FE_ESTIMATE(PRODLINE_SALES_17,MEAN,ANNUAL_ROLL,2016,45685,,,'')&lt;/Q&gt;&lt;R&gt;1&lt;/R&gt;&lt;C&gt;1&lt;/C&gt;&lt;D xsi:type="xsd:double"&gt;40460&lt;/D&gt;&lt;/FQL&gt;&lt;FQL&gt;&lt;Q&gt;Ticker0024^FE_ESTIMATE(PRODLINE_SALES_17,MEAN,QUARTERLY_ROLL,2016/4F,45685,,,'')&lt;/Q&gt;&lt;R&gt;1&lt;/R&gt;&lt;C&gt;1&lt;/C&gt;&lt;D xsi:type="xsd:double"&gt;8897&lt;/D&gt;&lt;/FQL&gt;&lt;FQL&gt;&lt;Q&gt;Ticker0024^FE_ESTIMATE(PRODLINE_SALES_17,MEAN,QUARTERLY_ROLL,2016/3F,45685,,,'')&lt;/Q&gt;&lt;R&gt;1&lt;/R&gt;&lt;C&gt;1&lt;/C&gt;&lt;D xsi:type="xsd:double"&gt;9458&lt;/D&gt;&lt;/FQL&gt;&lt;FQL&gt;&lt;Q&gt;Ticker0024^FE_ESTIMATE(PRODLINE_SALES_17,MEAN,QUARTERLY_ROLL,2016/2F,45685,,,'')&lt;/Q&gt;&lt;R&gt;1&lt;/R&gt;&lt;C&gt;1&lt;/C&gt;&lt;D xsi:type="xsd:double"&gt;12660&lt;/D&gt;&lt;/FQL&gt;&lt;FQL&gt;&lt;Q&gt;Ticker0024^FE_ESTIMATE(PRODLINE_SALES_17,MEAN,QUARTERLY_ROLL,2016/1F,45685,,,'')&lt;/Q&gt;&lt;R&gt;1&lt;/R&gt;&lt;C&gt;1&lt;/C&gt;&lt;D xsi:type="xsd:double"&gt;9381&lt;/D&gt;&lt;/FQL&gt;&lt;FQL&gt;&lt;Q&gt;Ticker0024^FE_ESTIMATE(PRODLINE_SALES_17,MEAN,ANNUAL_ROLL,2015,45685,,,'')&lt;/Q&gt;&lt;R&gt;0&lt;/R&gt;&lt;C&gt;0&lt;/C&gt;&lt;/FQL&gt;&lt;FQL&gt;&lt;Q&gt;Ticker0024^FE_ESTIMATE(PRODLINE_SALES_17,MEAN,QUARTERLY_ROLL,2015/4F,45685,,,'')&lt;/Q&gt;&lt;R&gt;0&lt;/R&gt;&lt;C&gt;0&lt;/C&gt;&lt;/FQL&gt;&lt;FQL&gt;&lt;Q&gt;Ticker0024^FE_ESTIMATE(PRODLINE_SALES_17,MEAN,QUARTERLY_ROLL,2015/3F,45685,,,'')&lt;/Q&gt;&lt;R&gt;0&lt;/R&gt;&lt;C&gt;0&lt;/C&gt;&lt;/FQL&gt;&lt;FQL&gt;&lt;Q&gt;Ticker0024^FE_ESTIMATE(PRODLINE_SALES_17,MEAN,QUARTERLY_ROLL,2015/2F,45685,,,'')&lt;/Q&gt;&lt;R&gt;0&lt;/R&gt;&lt;C&gt;0&lt;/C&gt;&lt;/FQL&gt;&lt;FQL&gt;&lt;Q&gt;Ticker0024^FE_ESTIMATE(PRODLINE_SALES_17,MEAN,QUARTERLY_ROLL,2015/1F,45685,,,'')&lt;/Q&gt;&lt;R&gt;0&lt;/R&gt;&lt;C&gt;0&lt;/C&gt;&lt;/FQL&gt;&lt;FQL&gt;&lt;Q&gt;Ticker0024^FE_ESTIMATE(PRODLINE_SALES_16,MEAN,ANNUAL_ROLL,2030,45685,,,'')&lt;/Q&gt;&lt;R&gt;0&lt;/R&gt;&lt;C&gt;0&lt;/C&gt;&lt;/FQL&gt;&lt;FQL&gt;&lt;Q&gt;Ticker0024^FE_ESTIMATE(PRODLINE_SALES_16,MEAN,QUARTERLY_ROLL,2030/4F,45685,,,'')&lt;/Q&gt;&lt;R&gt;0&lt;/R&gt;&lt;C&gt;0&lt;/C&gt;&lt;/FQL&gt;&lt;FQL&gt;&lt;Q&gt;Ticker0024^FE_ESTIMATE(PRODLINE_SALES_16,MEAN,QUARTERLY_ROLL,2030/3F,45685,,,'')&lt;/Q&gt;&lt;R&gt;0&lt;/R&gt;&lt;C&gt;0&lt;/C&gt;&lt;/FQL&gt;&lt;FQL&gt;&lt;Q&gt;Ticker0024^FE_ESTIMATE(PRODLINE_SALES_16,MEAN,QUARTERLY_ROLL,2030/2F,45685,,,'')&lt;/Q&gt;&lt;R&gt;0&lt;/R&gt;&lt;C&gt;0&lt;/C&gt;&lt;/FQL&gt;&lt;FQL&gt;&lt;Q&gt;Ticker0024^FE_ESTIMATE(PRODLINE_SALES_16,MEAN,QUARTERLY_ROLL,2030/1F,45685,,,'')&lt;/Q&gt;&lt;R&gt;0&lt;/R&gt;&lt;C&gt;0&lt;/C&gt;&lt;/FQL&gt;&lt;FQL&gt;&lt;Q&gt;Ticker0024^FE_ESTIMATE(PRODLINE_SALES_16,MEAN,ANNUAL_ROLL,2029,45685,,,'')&lt;/Q&gt;&lt;R&gt;0&lt;/R&gt;&lt;C&gt;0&lt;/C&gt;&lt;/FQL&gt;&lt;FQL&gt;&lt;Q&gt;Ticker0024^FE_ESTIMATE(PRODLINE_SALES_16,MEAN,QUARTERLY_ROLL,2029/4F,45685,,,'')&lt;/Q&gt;&lt;R&gt;0&lt;/R&gt;&lt;C&gt;0&lt;/C&gt;&lt;/FQL&gt;&lt;FQL&gt;&lt;Q&gt;Ticker0024^FE_ESTIMATE(PRODLINE_SALES_16,MEAN,QUARTERLY_ROLL,2029/3F,45685,,,'')&lt;/Q&gt;&lt;R&gt;0&lt;/R&gt;&lt;C&gt;0&lt;/C&gt;&lt;/FQL&gt;&lt;FQL&gt;&lt;Q&gt;Ticker0024^FE_ESTIMATE(PRODLINE_SALES_16,MEAN,QUARTERLY_ROLL,2029/2F,45685,,,'')&lt;/Q&gt;&lt;R&gt;0&lt;/R&gt;&lt;C&gt;0&lt;/C&gt;&lt;/FQL&gt;&lt;FQL&gt;&lt;Q&gt;Ticker0024^FE_ESTIMATE(PRODLINE_SALES_16,MEAN,QUARTERLY_ROLL,2029/1F,45685,,,'')&lt;/Q&gt;&lt;R&gt;0&lt;/R&gt;&lt;C&gt;0&lt;/C&gt;&lt;/FQL&gt;&lt;FQL&gt;&lt;Q&gt;Ticker0024^FE_ESTIMATE(PRODLINE_SALES_16,MEAN,ANNUAL_ROLL,2028,45685,,,'')&lt;/Q&gt;&lt;R&gt;0&lt;/R&gt;&lt;C&gt;0&lt;/C&gt;&lt;/FQL&gt;&lt;FQL&gt;&lt;Q&gt;Ticker0024^FE_ESTIMATE(PRODLINE_SALES_16,MEAN,QUARTERLY_ROLL,2028/4F,45685,,,'')&lt;/Q&gt;&lt;R&gt;0&lt;/R&gt;&lt;C&gt;0&lt;/C&gt;&lt;/FQL&gt;&lt;FQL&gt;&lt;Q&gt;Ticker0024^FE_ESTIMATE(PRODLINE_SALES_16,MEAN,QUARTERLY_ROLL,2028/3F,45685,,,'')&lt;/Q&gt;&lt;R&gt;0&lt;/R&gt;&lt;C&gt;0&lt;/C&gt;&lt;/FQL&gt;&lt;FQL&gt;&lt;Q&gt;Ticker0024^FE_ESTIMATE(PRODLINE_SALES_16,MEAN,QUARTERLY_ROLL,2028/2F,45685,,,'')&lt;/Q&gt;&lt;R&gt;0&lt;/R&gt;&lt;C&gt;0&lt;/C&gt;&lt;/FQL&gt;&lt;FQL&gt;&lt;Q&gt;Ticker0024^FE_ESTIMATE(PRODLINE_SALES_16,MEAN,QUARTERLY_ROLL,2028/1F,45685,,,'')&lt;/Q&gt;&lt;R&gt;0&lt;/R&gt;&lt;C&gt;0&lt;/C&gt;&lt;/FQL&gt;&lt;FQL&gt;&lt;Q&gt;Ticker0024^FE_ESTIMATE(PRODLINE_SALES_16,MEAN,ANNUAL_ROLL,2027,45685,,,'')&lt;/Q&gt;&lt;R&gt;1&lt;/R&gt;&lt;C&gt;1&lt;/C&gt;&lt;D xsi:type="xsd:double"&gt;160734.92&lt;/D&gt;&lt;/FQL&gt;&lt;FQL&gt;&lt;Q&gt;Ticker0024^FE_ESTIMATE(PRODLINE_SALES_16,MEAN,QUARTERLY_ROLL,2027/4F,45685,,,'')&lt;/Q&gt;&lt;R&gt;1&lt;/R&gt;&lt;C&gt;1&lt;/C&gt;&lt;D xsi:type="xsd:double"&gt;46075&lt;/D&gt;&lt;/FQL&gt;&lt;FQL&gt;&lt;Q&gt;Ticker0024^FE_ESTIMATE(PRODLINE_SALES_16,MEAN,QUARTERLY_ROLL,2027/3F,45685,,,'')&lt;/Q&gt;&lt;R&gt;1&lt;/R&gt;&lt;C&gt;1&lt;/C&gt;&lt;D xsi:type="xsd:double"&gt;39848&lt;/D&gt;&lt;/FQL&gt;&lt;FQL&gt;&lt;Q&gt;Ticker0024^FE_ESTIMATE(PRODLINE_SALES_16,MEAN,QUARTERLY_ROLL,2027/2F,45685,,,'')&lt;/Q&gt;&lt;R&gt;1&lt;/R&gt;&lt;C&gt;1&lt;/C&gt;&lt;D xsi:type="xsd:double"&gt;39046.5&lt;/D&gt;&lt;/FQL&gt;&lt;FQL&gt;&lt;Q&gt;Ticker0024^FE_ESTIMATE(PRODLINE_SALES_16,MEAN,QUARTERLY_ROLL,2027/1F,45685,,,'')&lt;/Q&gt;&lt;R&gt;1&lt;/R&gt;&lt;C&gt;1&lt;/C&gt;&lt;D xsi:type="xsd:double"&gt;36502.5&lt;/D&gt;&lt;/FQL&gt;&lt;FQL&gt;&lt;Q&gt;Ticker0024^FE_ESTIMATE(PRODLINE_SALES_16,MEAN,ANNUAL_ROLL,2026,45685,,,'')&lt;/Q&gt;&lt;R&gt;1&lt;/R&gt;&lt;C&gt;1&lt;/C&gt;&lt;D xsi:type="xsd:double"&gt;130201.16&lt;/D&gt;&lt;/FQL&gt;&lt;FQL&gt;&lt;Q&gt;Ticker0024^FE_ESTIMATE(PRODLINE_SALES_16,MEAN,QUARTERLY_ROLL,2026/4F,45685,,,'')&lt;/Q&gt;&lt;R&gt;1&lt;/R&gt;&lt;C&gt;1&lt;/C&gt;&lt;D xsi:type="xsd:double"&gt;35482.824&lt;/D&gt;&lt;/FQL&gt;&lt;FQL&gt;&lt;Q&gt;Ticker0024^FE_ESTIMATE(PRODLINE_SALES_16,MEAN,QUARTERLY_ROLL,2026/3F,45685,,,'')&lt;/Q&gt;&lt;R&gt;1&lt;/R&gt;&lt;C&gt;1&lt;/C&gt;&lt;D xsi:type="xsd:double"&gt;32890.957&lt;/D&gt;&lt;/FQL&gt;&lt;FQL&gt;&lt;Q&gt;Ticker0024^FE_ESTIMATE(PRODLINE_SALES_16,MEAN,QUARTERLY_ROLL,2026/2F,45685,,,'')&lt;/Q&gt;&lt;R&gt;1&lt;/R&gt;&lt;C&gt;1&lt;/C&gt;&lt;D xsi:type="xsd:double"&gt;31414.35&lt;/D&gt;&lt;/FQL&gt;&lt;FQL&gt;&lt;Q&gt;Ticker0024^FE_ESTIMATE(PRODLINE_SALES_16,MEAN,QUARTERLY_ROLL,2026/1F,45685,,,'')&lt;/Q&gt;&lt;R&gt;1&lt;/R&gt;&lt;C&gt;1&lt;/C&gt;&lt;D xsi:type="xsd:double"&gt;29419.514&lt;/D&gt;&lt;/FQL&gt;&lt;FQL&gt;&lt;Q&gt;Ticker0024^FE_ESTIMATE(PRODLINE_SALES_16,MEAN,ANNUAL_ROLL,2025,45685,,,'')&lt;/Q&gt;&lt;R&gt;1&lt;/R&gt;&lt;C&gt;1&lt;/C&gt;&lt;D xsi:type="xsd:double"&gt;106722.38&lt;/D&gt;&lt;/FQL&gt;&lt;FQL&gt;&lt;Q&gt;Ticker0024^FE_ESTIMATE(PRODLINE_SALES_16,MEAN,QUARTERLY_ROLL,2025/4F,45685,,,'')&lt;/Q&gt;&lt;R&gt;1&lt;/R&gt;&lt;C&gt;1&lt;/C&gt;&lt;D xsi:type="xsd:double"&gt;29193.191&lt;/D&gt;&lt;/FQL&gt;&lt;FQL&gt;&lt;Q&gt;Ticker0024^FE_ESTIMATE(PRODLINE_SALES_16,MEAN,QUARTERLY_ROLL,2025/3F,45685,,,'')&lt;/Q&gt;&lt;R&gt;1&lt;/R&gt;&lt;C&gt;1&lt;/C&gt;&lt;D xsi:type="xsd:double"&gt;26898.818&lt;/D&gt;&lt;/FQL&gt;&lt;FQL&gt;&lt;Q&gt;Ticker0024^FE_ESTIMATE(PRODLINE_SALES_16,MEAN,QUARTERLY_ROLL,2025/2F,45685,,,'')&lt;/Q&gt;&lt;R&gt;1&lt;/R&gt;&lt;C&gt;1&lt;/C&gt;&lt;D xsi:type="xsd:double"&gt;25827.959&lt;/D&gt;&lt;/FQL&gt;&lt;FQL&gt;&lt;Q&gt;Ticker0024^FE_ESTIMATE(PRODLINE_SALES_16,MEAN,QUARTERLY_ROLL,2025/1F,45685,,,'')&lt;/Q&gt;&lt;R&gt;1&lt;/R&gt;&lt;C&gt;1&lt;/C&gt;&lt;D xsi:type="xsd:double"&gt;24092&lt;/D&gt;&lt;/FQL&gt;&lt;FQL&gt;&lt;Q&gt;Ticker0024^FE_ESTIMATE(PRODLINE_SALES_16,MEAN,ANNUAL_ROLL,2024,45685,,,'')&lt;/Q&gt;&lt;R&gt;1&lt;/R&gt;&lt;C&gt;1&lt;/C&gt;&lt;D xsi:type="xsd:double"&gt;105362&lt;/D&gt;&lt;/FQL&gt;&lt;FQL&gt;&lt;Q&gt;Ticker0024^FE_ESTIMATE(PRODLINE_SALES_16,MEAN,QUARTERLY_ROLL,2024/4F,45685,,,'')&lt;/Q&gt;&lt;R&gt;1&lt;/R&gt;&lt;C&gt;1&lt;/C&gt;&lt;D xsi:type="xsd:double"&gt;28515&lt;/D&gt;&lt;/FQL&gt;&lt;FQL&gt;&lt;Q&gt;Ticker0024^FE_ESTIMATE(PRODLINE_SALES_16,MEAN,QUARTERLY_ROLL,2024/3F,45685,,,'')&lt;/Q&gt;&lt;R&gt;1&lt;/R&gt;&lt;C&gt;1&lt;/C&gt;&lt;D xsi:type="xsd:double"&gt;26708&lt;/D&gt;&lt;/FQL&gt;&lt;FQL&gt;&lt;Q&gt;Ticker0024^FE_ESTIMATE(PRODLINE_SALES_16,MEAN,QUARTERLY_ROLL,2024/2F,45685,,,'')&lt;/Q&gt;&lt;R&gt;1&lt;/R&gt;&lt;C&gt;1&lt;/C&gt;&lt;D xsi:type="xsd:double"&gt;25880&lt;/D&gt;&lt;/FQL&gt;&lt;FQL&gt;&lt;Q&gt;Ticker0024^FE_ESTIMATE(PRODLINE_SALES_16,MEAN,QUARTERLY_ROLL,2024/1F,45685,,,'')&lt;/Q&gt;&lt;R&gt;1&lt;/R&gt;&lt;C&gt;1&lt;/C&gt;&lt;D xsi:type="xsd:double"&gt;24259&lt;/D&gt;&lt;/FQL&gt;&lt;FQL&gt;&lt;Q&gt;Ticker0024^FE_ESTIMATE(PRODLINE_SALES_16,MEAN,ANNUAL_ROLL,2023,45685,,,'')&lt;/Q&gt;&lt;R&gt;1&lt;/R&gt;&lt;C&gt;1&lt;/C&gt;&lt;D xsi:type="xsd:double"&gt;87906.82&lt;/D&gt;&lt;/FQL&gt;&lt;FQL&gt;&lt;Q&gt;Ticker0024^FE_ESTIMATE(PRODLINE_SALES_16,MEAN,QUARTERLY_ROLL,2023/4F,45685,,,'')&lt;/Q&gt;&lt;R&gt;1&lt;/R&gt;&lt;C&gt;1&lt;/C&gt;&lt;D xsi:type="xsd:double"&gt;23993&lt;/D&gt;&lt;/FQL&gt;&lt;FQL&gt;&lt;Q&gt;Ticker0024^FE_ESTIMATE(PRODLINE_SALES_16,MEAN,QUARTERLY_ROLL,2023/3F,45685,,,'')&lt;/Q&gt;&lt;R&gt;1&lt;/R&gt;&lt;C&gt;1&lt;/C&gt;&lt;D xsi:type="xsd:double"&gt;22081&lt;/D&gt;&lt;/FQL&gt;&lt;FQL&gt;&lt;Q&gt;Ticker0024^FE_ESTIMATE(PRODLINE_SALES_16,MEAN,QUARTERLY_ROLL,2023/2F,45685,,,'')&lt;/Q&gt;&lt;R&gt;1&lt;/R&gt;&lt;C&gt;1&lt;/C&gt;&lt;D xsi:type="xsd:double"&gt;21508&lt;/D&gt;&lt;/FQL&gt;&lt;FQL&gt;&lt;Q&gt;Ticker0024^FE_ESTIMATE(PRODLINE_SALES_16,MEAN,QUARTERLY_ROLL,2023/1F,45685,,,'')&lt;/Q&gt;&lt;R&gt;1&lt;/R&gt;&lt;C&gt;1&lt;/C&gt;&lt;D xsi:type="xsd:double"&gt;20325&lt;/D&gt;&lt;/FQL&gt;&lt;FQL&gt;&lt;Q&gt;Ticker0024^FE_ESTIMATE(PRODLINE_SALES_16,MEAN,ANNUAL_ROLL,2022,45685,,,'')&lt;/Q&gt;&lt;R&gt;1&lt;/R&gt;&lt;C&gt;1&lt;/C&gt;&lt;D xsi:type="xsd:double"&gt;75251&lt;/D&gt;&lt;/FQL&gt;&lt;FQL&gt;&lt;Q&gt;Ticker0024^FE_ESTIMATE(PRODLINE_SALES_16,MEAN,QUARTERLY_ROLL,2022/4F,45685,,,'')&lt;/Q&gt;&lt;R&gt;1&lt;/R&gt;&lt;C&gt;1&lt;/C&gt;&lt;D xsi:type="xsd:double"&gt;20909&lt;/D&gt;&lt;/FQL&gt;&lt;FQL&gt;&lt;Q&gt;Ticker0024^FE_ESTIMATE(PRODLINE_SALES_16,MEAN,QUARTERLY_ROLL,2022/3F,45685,,,'')&lt;/Q&gt;&lt;R&gt;1&lt;/R&gt;&lt;C&gt;1&lt;/C&gt;&lt;D xsi:type="xsd:double"&gt;19051&lt;/D&gt;&lt;/FQL&gt;&lt;FQL&gt;&lt;Q&gt;Ticker0024^FE_ESTIMATE(PRODLINE_SALES_16,MEAN,QUARTERLY_ROLL,2022/2F,45685,,,'')&lt;/Q&gt;&lt;R&gt;1&lt;/R&gt;&lt;C&gt;1&lt;/C&gt;&lt;D xsi:type="xsd:double"&gt;18327&lt;/D&gt;&lt;/FQL&gt;&lt;FQL&gt;&lt;Q&gt;Ticker0024^FE_ESTIMATE(PRODLINE_SALES_16,MEAN,QUARTERLY_ROLL,2022/1F,45685,,,'')&lt;/Q&gt;&lt;R&gt;1&lt;/R&gt;&lt;C&gt;1&lt;/C&gt;&lt;D xsi:type="xsd:double"&gt;16964&lt;/D&gt;&lt;/FQL&gt;&lt;FQL&gt;&lt;Q&gt;Ticker0024^FE_ESTIMATE(PRODLINE_SALES_16,MEAN,ANNUAL_ROLL,2021,45685,,,'')&lt;/Q&gt;&lt;R&gt;1&lt;/R&gt;&lt;C&gt;1&lt;/C&gt;&lt;D xsi:type="xsd:double"&gt;60080&lt;/D&gt;&lt;/FQL&gt;&lt;FQL&gt;&lt;Q&gt;Ticker0024^FE_ESTIMATE(PRODLINE_SALES_16,MEAN,QUARTERLY_ROLL,2021/4F,45685,,,'')&lt;/Q&gt;&lt;R&gt;1&lt;/R&gt;&lt;C&gt;1&lt;/C&gt;&lt;D xsi:type="xsd:double"&gt;17375&lt;/D&gt;&lt;/FQL&gt;&lt;FQL&gt;&lt;Q&gt;Ticker0024^FE_ESTIMATE(PRODLINE_SALES_16,MEAN,QUARTERLY_ROLL,2021/3F,45685,,,'')&lt;/Q&gt;&lt;R&gt;1&lt;/R&gt;&lt;C&gt;1&lt;/C&gt;&lt;D xsi:type="xsd:double"&gt;15118&lt;/D&gt;&lt;/FQL&gt;&lt;FQL&gt;&lt;Q&gt;Ticker0024^FE_ESTIMATE(PRODLINE_SALES_16,MEAN,QUARTERLY_ROLL,2021/2F,45685,,,'')&lt;/Q&gt;&lt;R&gt;1&lt;/R&gt;&lt;C&gt;1&lt;/C&gt;&lt;D xsi:type="xsd:double"&gt;14601&lt;/D&gt;&lt;/FQL&gt;&lt;FQL&gt;&lt;Q&gt;Ticker0024^FE_ESTIMATE(PRODLINE_SALES_16,MEAN,QUARTERLY_ROLL,2021/1F,45685,,,'')&lt;/Q&gt;&lt;R&gt;1&lt;/R&gt;&lt;C&gt;1&lt;/C&gt;&lt;D xsi:type="xsd:double"&gt;12986&lt;/D&gt;&lt;/FQL&gt;&lt;FQL&gt;&lt;Q&gt;Ticker0024^FE_ESTIMATE(PRODLINE_SALES_16,MEAN,ANNUAL_ROLL,2020,45685,,,'')&lt;/Q&gt;&lt;R&gt;1&lt;/R&gt;&lt;C&gt;1&lt;/C&gt;&lt;D xsi:type="xsd:double"&gt;48366&lt;/D&gt;&lt;/FQL&gt;&lt;FQL&gt;&lt;Q&gt;Ticker0024^FE_ESTIMATE(PRODLINE_SALES_16,MEAN,QUARTERLY_ROLL,2020/4F,45685,,,'')&lt;/Q&gt;&lt;R&gt;1&lt;/R&gt;&lt;C&gt;1&lt;/C&gt;&lt;D xsi:type="xsd:double"&gt;13371&lt;/D&gt;&lt;/FQL&gt;&lt;FQL&gt;&lt;Q&gt;Ticker0024^FE_ESTIMATE(PRODLINE_SALES_16,MEAN,QUARTERLY_ROLL,2020/3F,45685,,,'')&lt;/Q&gt;&lt;R&gt;1&lt;/R&gt;&lt;C&gt;1&lt;/C&gt;&lt;D xsi:type="xsd:double"&gt;12281&lt;/D&gt;&lt;/FQL&gt;&lt;FQL&gt;&lt;Q&gt;Ticker0024^FE_ESTIMATE(PRODLINE_SALES_16,MEAN,QUARTERLY_ROLL,2020/2F,45685,,,'')&lt;/Q&gt;&lt;R&gt;1&lt;/R&gt;&lt;C&gt;1&lt;/C&gt;&lt;D xsi:type="xsd:double"&gt;11869&lt;/D&gt;&lt;/FQL&gt;&lt;FQL&gt;&lt;Q&gt;Ticker0024^FE_ESTIMATE(PRODLINE_SALES_16,MEAN,QUARTERLY_ROLL,2020/1F,45685,,,'')&lt;/Q&gt;&lt;R&gt;1&lt;/R&gt;&lt;C&gt;1&lt;/C&gt;&lt;D xsi:type="xsd:double"&gt;10845&lt;/D&gt;&lt;/FQL&gt;&lt;FQL&gt;&lt;Q&gt;Ticker0024^FE_ESTIMATE(PRODLINE_SALES_16,MEAN,ANNUAL_ROLL,2019,45685,,,'')&lt;/Q&gt;&lt;R&gt;1&lt;/R&gt;&lt;C&gt;1&lt;/C&gt;&lt;D xsi:type="xsd:double"&gt;38985&lt;/D&gt;&lt;/FQL&gt;&lt;FQL&gt;&lt;Q&gt;Ticker0024^FE_ESTIMATE(PRODLINE_SALES_16,MEAN,QUARTERLY_ROLL,2019/4F,45685,,,'')&lt;/Q&gt;&lt;R&gt;1&lt;/R&gt;&lt;C&gt;1&lt;/C&gt;&lt;D xsi:type="xsd:double"&gt;11391&lt;/D&gt;&lt;/FQL&gt;&lt;FQL&gt;&lt;Q&gt;Ticker0024^FE_ESTIMATE(PRODLINE_SALES_16,MEAN,QUARTERLY_ROLL,2019/3F,45685,,,'')&lt;/Q&gt;&lt;R&gt;1&lt;/R&gt;&lt;C&gt;1&lt;/C&gt;&lt;D xsi:type="xsd:double"&gt;9649&lt;/D&gt;&lt;/FQL&gt;&lt;FQL&gt;&lt;Q&gt;Ticker0024^FE_ESTIMATE(PRODLINE_SALES_16,MEAN,QUARTERLY_ROLL,2019/2F,45685,,,'')&lt;/Q&gt;&lt;R&gt;1&lt;/R&gt;&lt;C&gt;1&lt;/C&gt;&lt;D xsi:type="xsd:double"&gt;9378&lt;/D&gt;&lt;/FQL&gt;&lt;FQL&gt;&lt;Q&gt;Ticker0024^FE_ESTIMATE(PRODLINE_SALES_16,MEAN,QUARTERLY_ROLL,2019/1F,45685,,,'')&lt;/Q&gt;&lt;R&gt;1&lt;/R&gt;&lt;C&gt;1&lt;/C&gt;&lt;D xsi:type="xsd:double"&gt;8567&lt;/D&gt;&lt;/FQL&gt;&lt;FQL&gt;&lt;Q&gt;Ticker0024^FE_ESTIMATE(PRODLINE_SALES_16,MEAN,ANNUAL_ROLL,2018,45685,,,'')&lt;/Q&gt;&lt;R&gt;1&lt;/R&gt;&lt;C&gt;1&lt;/C&gt;&lt;D xsi:type="xsd:double"&gt;32219&lt;/D&gt;&lt;/FQL&gt;&lt;FQL&gt;&lt;Q&gt;Ticker0024^FE_ESTIMATE(PRODLINE_SALES_16,MEAN,QUARTERLY_ROLL,2018/4F,45685,,,'')&lt;/Q&gt;&lt;R&gt;1&lt;/R&gt;&lt;C&gt;1&lt;/C&gt;&lt;D xsi:type="xsd:double"&gt;9606&lt;/D&gt;&lt;/FQL&gt;&lt;FQL&gt;&lt;Q&gt;Ticker0024^FE_ESTIMATE(PRODLINE_SALES_16,MEAN,QUARTERLY_ROLL,2018/3F,45685,,,'')&lt;/Q&gt;&lt;R&gt;1&lt;/R&gt;&lt;C&gt;1&lt;/C&gt;&lt;D xsi:type="xsd:double"&gt;7896&lt;/D&gt;&lt;/FQL&gt;&lt;FQL&gt;&lt;Q&gt;Ticker0024^FE_ESTIMATE(PRODLINE_SALES_16,MEAN,QUARTERLY_ROLL,2018/2F,45685,,,'')&lt;/Q&gt;&lt;R&gt;1&lt;/R&gt;&lt;C&gt;1&lt;/C&gt;&lt;D xsi:type="xsd:double"&gt;7795&lt;/D&gt;&lt;/FQL&gt;&lt;FQL&gt;&lt;Q&gt;Ticker0024^FE_ESTIMATE(PRODLINE_SALES_16,MEAN,QUARTERLY_ROLL,2018/1F,45685,,,'')&lt;/Q&gt;&lt;R&gt;1&lt;/R&gt;&lt;C&gt;1&lt;/C&gt;&lt;D xsi:type="xsd:double"&gt;6922&lt;/D&gt;&lt;/FQL&gt;&lt;FQL&gt;&lt;Q&gt;Ticker0024^FE_ESTIMATE(PRODLINE_SALES_16,MEAN,ANNUAL_ROLL,2017,45685,,,'')&lt;/Q&gt;&lt;R&gt;1&lt;/R&gt;&lt;C&gt;1&lt;/C&gt;&lt;D xsi:type="xsd:double"&gt;27440&lt;/D&gt;&lt;/FQL&gt;&lt;FQL&gt;&lt;Q&gt;Ticker0024^FE_ESTIMATE(PRODLINE_SALES_16,MEAN,QUARTERLY_ROLL,2017/4F,45685,,,'')&lt;/Q&gt;&lt;R&gt;1&lt;/R&gt;&lt;C&gt;1&lt;/C&gt;&lt;D xsi:type="xsd:double"&gt;7434&lt;/D&gt;&lt;/FQL&gt;&lt;FQL&gt;&lt;Q&gt;Ticker0024^FE_ESTIMATE(PRODLINE_SALES_16,MEAN,QUARTERLY_ROLL,2017/3F,45685,,,'')&lt;/Q&gt;&lt;R&gt;1&lt;/R&gt;&lt;C&gt;1&lt;/C&gt;&lt;D xsi:type="xsd:double"&gt;6763&lt;/D&gt;&lt;/FQL&gt;&lt;FQL&gt;&lt;Q&gt;Ticker0024^FE_ESTIMATE(PRODLINE_SALES_16,MEAN,QUARTERLY_ROLL,2017/2F,45685,,,'')&lt;/Q&gt;&lt;R&gt;1&lt;/R&gt;&lt;C&gt;1&lt;/C&gt;&lt;D xsi:type="xsd:double"&gt;6861&lt;/D&gt;&lt;/FQL&gt;&lt;FQL&gt;&lt;Q&gt;Ticker0024^FE_ESTIMATE(PRODLINE_SALES_16,MEAN,QUARTERLY_ROLL,2017/1F,45685,,,'')&lt;/Q&gt;&lt;R&gt;1&lt;/R&gt;&lt;C&gt;1&lt;/C&gt;&lt;D xsi:type="xsd:double"&gt;6382&lt;/D&gt;&lt;/FQL&gt;&lt;FQL&gt;&lt;Q&gt;Ticker0024^FE_ESTIMATE(PRODLINE_SALES_16,MEAN,ANNUAL_ROLL,2016,45685,,,'')&lt;/Q&gt;&lt;R&gt;1&lt;/R&gt;&lt;C&gt;1&lt;/C&gt;&lt;D xsi:type="xsd:double"&gt;25042&lt;/D&gt;&lt;/FQL&gt;&lt;FQL&gt;&lt;Q&gt;Ticker0024^FE_ESTIMATE(PRODLINE_SALES_16,MEAN,QUARTERLY_ROLL,2016/4F,45685,,,'')&lt;/Q&gt;&lt;R&gt;1&lt;/R&gt;&lt;C&gt;1&lt;/C&gt;&lt;D xsi:type="xsd:double"&gt;6711&lt;/D&gt;&lt;/FQL&gt;&lt;FQL&gt;&lt;Q&gt;Ticker0024^FE_ESTIMATE(PRODLINE_SALES_16,MEAN,QUARTERLY_ROLL,2016/3F,45685,,,'')&lt;/Q&gt;&lt;R&gt;1&lt;/R&gt;&lt;C&gt;1&lt;/C&gt;&lt;D xsi:type="xsd:double"&gt;6096&lt;/D&gt;&lt;/FQL&gt;&lt;FQL&gt;&lt;Q&gt;Ticker0024^FE_ESTIMATE(PRODLINE_SALES_16,MEAN,QUARTERLY_ROLL,2016/2F,45685,,,'')&lt;/Q&gt;&lt;R&gt;1&lt;/R&gt;&lt;C&gt;1&lt;/C&gt;&lt;D xsi:type="xsd:double"&gt;6343&lt;/D&gt;&lt;/FQL&gt;&lt;FQL&gt;&lt;Q&gt;Ticker0024^FE_ESTIMATE(PRODLINE_SALES_16,MEAN,QUARTERLY_ROLL,2016/1F,45685,,,'')&lt;/Q&gt;&lt;R&gt;1&lt;/R&gt;&lt;C&gt;1&lt;/C&gt;&lt;D xsi:type="xsd:double"&gt;5892&lt;/D&gt;&lt;/FQL&gt;&lt;FQL&gt;&lt;Q&gt;Ticker0024^FE_ESTIMATE(PRODLINE_SALES_16,MEAN,ANNUAL_ROLL,2015,45685,,,'')&lt;/Q&gt;&lt;R&gt;0&lt;/R&gt;&lt;C&gt;0&lt;/C&gt;&lt;/FQL&gt;&lt;FQL&gt;&lt;Q&gt;Ticker0024^FE_ESTIMATE(PRODLINE_SALES_16,MEAN,QUARTERLY_ROLL,2015/4F,45685,,,'')&lt;/Q&gt;&lt;R&gt;0&lt;/R&gt;&lt;C&gt;0&lt;/C&gt;&lt;/FQL&gt;&lt;FQL&gt;&lt;Q&gt;Ticker0024^FE_ESTIMATE(PRODLINE_SALES_16,MEAN,QUARTERLY_ROLL,2015/3F,45685,,,'')&lt;/Q&gt;&lt;R&gt;0&lt;/R&gt;&lt;C&gt;0&lt;/C&gt;&lt;/FQL&gt;&lt;FQL&gt;&lt;Q&gt;Ticker0024^FE_ESTIMATE(PRODLINE_SALES_16,MEAN,QUARTERLY_ROLL,2015/2F,45685,,,'')&lt;/Q&gt;&lt;R&gt;0&lt;/R&gt;&lt;C&gt;0&lt;/C&gt;&lt;/FQL&gt;&lt;FQL&gt;&lt;Q&gt;Ticker0024^FE_ESTIMATE(PRODLINE_SALES_16,MEAN,QUARTERLY_ROLL,2015/1F,45685,,,'')&lt;/Q&gt;&lt;R&gt;0&lt;/R&gt;&lt;C&gt;0&lt;/C&gt;&lt;/FQL&gt;&lt;FQL&gt;&lt;Q&gt;Ticker0024^FE_ESTIMATE(PRODLINE_SALES_15,MEAN,ANNUAL_ROLL,2030,45685,,,'')&lt;/Q&gt;&lt;R&gt;0&lt;/R&gt;&lt;C&gt;0&lt;/C&gt;&lt;/FQL&gt;&lt;FQL&gt;&lt;Q&gt;Ticker0024^FE_ESTIMATE(PRODLINE_SALES_15,MEAN,QUARTERLY_ROLL,2030/4F,45685,,,'')&lt;/Q&gt;&lt;R&gt;0&lt;/R&gt;&lt;C&gt;0&lt;/C&gt;&lt;/FQL&gt;&lt;FQL&gt;&lt;Q&gt;Ticker0024^FE_ESTIMATE(PRODLINE_SALES_15,MEAN,QUARTERLY_ROLL,2030/3F,45685,,,'')&lt;/Q&gt;&lt;R&gt;0&lt;/R&gt;&lt;C&gt;0&lt;/C&gt;&lt;/FQL&gt;&lt;FQL&gt;&lt;Q&gt;Ticker0024^FE_ESTIMATE(PRODLINE_SALES_15,MEAN,QUARTERLY_ROLL,2030/2F,45685,,,'')&lt;/Q&gt;&lt;R&gt;0&lt;/R&gt;&lt;C&gt;0&lt;/C&gt;&lt;/FQL&gt;&lt;FQL&gt;&lt;Q&gt;Ticker0024^FE_ESTIMATE(PRODLINE_SALES_15,MEAN,QUARTERLY_ROLL,2030/1F,45685,,,'')&lt;/Q&gt;&lt;R&gt;0&lt;/R&gt;&lt;C&gt;0&lt;/C&gt;&lt;/FQL&gt;&lt;FQL&gt;&lt;Q&gt;Ticker0024^FE_ESTIMATE(PRODLINE_SALES_15,MEAN,ANNUAL_ROLL,2029,45685,,,'')&lt;/Q&gt;&lt;R&gt;0&lt;/R&gt;&lt;C&gt;0&lt;/C&gt;&lt;/FQL&gt;&lt;FQL&gt;&lt;Q&gt;Ticker0024^FE_ESTIMATE(PRODLINE_SALES_15,MEAN,QUARTERLY_ROLL,2029/4F,45685,,,'')&lt;/Q&gt;&lt;R&gt;0&lt;/R&gt;&lt;C&gt;0&lt;/C&gt;&lt;/FQL&gt;&lt;FQL&gt;&lt;Q&gt;Ticker0024^FE_ESTIMATE(PRODLINE_SALES_15,MEAN,QUARTERLY_ROLL,2029/3F,45685,,,'')&lt;/Q&gt;&lt;R&gt;0&lt;/R&gt;&lt;C&gt;0&lt;/C&gt;&lt;/FQL&gt;&lt;FQL&gt;&lt;Q&gt;Ticker0024^FE_ESTIMATE(PRODLINE_SALES_15,MEAN,QUARTERLY_ROLL,2029/2F,45685,,,'')&lt;/Q&gt;&lt;R&gt;0&lt;/R&gt;&lt;C&gt;0&lt;/C&gt;&lt;/FQL&gt;&lt;FQL&gt;&lt;Q&gt;Ticker0024^FE_ESTIMATE(PRODLINE_SALES_15,MEAN,QUARTERLY_ROLL,2029/1F,45685,,,'')&lt;/Q&gt;&lt;R&gt;0&lt;/R&gt;&lt;C&gt;0&lt;/C&gt;&lt;/FQL&gt;&lt;FQL&gt;&lt;Q&gt;Ticker0024^FE_ESTIMATE(PRODLINE_SALES_15,MEAN,ANNUAL_ROLL,2028,45685,,,'')&lt;/Q&gt;&lt;R&gt;0&lt;/R&gt;&lt;C&gt;0&lt;/C&gt;&lt;/FQL&gt;&lt;FQL&gt;&lt;Q&gt;Ticker0024^FE_ESTIMATE(PRODLINE_SALES_15,MEAN,QUARTERLY_ROLL,2028/4F,45685,,,'')&lt;/Q&gt;&lt;R&gt;0&lt;/R&gt;&lt;C&gt;0&lt;/C&gt;&lt;/FQL&gt;&lt;FQL&gt;&lt;Q&gt;Ticker0024^FE_ESTIMATE(PRODLINE_SALES_15,MEAN,QUARTERLY_ROLL,2028/3F,45685,,,'')&lt;/Q&gt;&lt;R&gt;0&lt;/R&gt;&lt;C&gt;0&lt;/C&gt;&lt;/FQL&gt;&lt;FQL&gt;&lt;Q&gt;Ticker0024^FE_ESTIMATE(PRODLINE_SALES_15,MEAN,QUARTERLY_ROLL,2028/2F,45685,,,'')&lt;/Q&gt;&lt;R&gt;0&lt;/R&gt;&lt;C&gt;0&lt;/C&gt;&lt;/FQL&gt;&lt;FQL&gt;&lt;Q&gt;Ticker0024^FE_ESTIMATE(PRODLINE_SALES_15,MEAN,QUARTERLY_ROLL,2028/1F,45685,,,'')&lt;/Q&gt;&lt;R&gt;0&lt;/R&gt;&lt;C&gt;0&lt;/C&gt;&lt;/FQL&gt;&lt;FQL&gt;&lt;Q&gt;Ticker0024^FE_ESTIMATE(PRODLINE_SALES_15,MEAN,ANNUAL_ROLL,2027,45685,,,'')&lt;/Q&gt;&lt;R&gt;1&lt;/R&gt;&lt;C&gt;1&lt;/C&gt;&lt;D xsi:type="xsd:double"&gt;144437.58&lt;/D&gt;&lt;/FQL&gt;&lt;FQL&gt;&lt;Q&gt;Ticker0024^FE_ESTIMATE(PRODLINE_SALES_15,MEAN,QUARTERLY_ROLL,2027/4F,45685,,,'')&lt;/Q&gt;&lt;R&gt;1&lt;/R&gt;&lt;C&gt;1&lt;/C&gt;&lt;D xsi:type="xsd:double"&gt;37139&lt;/D&gt;&lt;/FQL&gt;&lt;FQL&gt;&lt;Q&gt;Ticker0024^FE_ESTIMATE(PRODLINE_SALES_15,MEAN,QUARTERLY_ROLL,2027/3F,45685,,,'')&lt;/Q&gt;&lt;R&gt;1&lt;/R&gt;&lt;C&gt;1&lt;/C&gt;&lt;D xsi:type="xsd:double"&gt;34841&lt;/D&gt;&lt;/FQL&gt;&lt;FQL&gt;&lt;Q&gt;Ticker0024^FE_ESTIMATE(PRODLINE_SALES_15,MEA</t>
        </r>
      </text>
    </comment>
    <comment ref="A20" authorId="0" shapeId="0" xr:uid="{C9272B18-5DE5-4947-9500-94B86E159C7E}">
      <text>
        <r>
          <rPr>
            <b/>
            <sz val="9"/>
            <color indexed="81"/>
            <rFont val="Tahoma"/>
            <family val="2"/>
          </rPr>
          <t>N,QUARTERLY_ROLL,2027/2F,45685,,,'')&lt;/Q&gt;&lt;R&gt;1&lt;/R&gt;&lt;C&gt;1&lt;/C&gt;&lt;D xsi:type="xsd:double"&gt;35104&lt;/D&gt;&lt;/FQL&gt;&lt;FQL&gt;&lt;Q&gt;Ticker0024^FE_ESTIMATE(PRODLINE_SALES_15,MEAN,QUARTERLY_ROLL,2027/1F,45685,,,'')&lt;/Q&gt;&lt;R&gt;1&lt;/R&gt;&lt;C&gt;1&lt;/C&gt;&lt;D xsi:type="xsd:double"&gt;34356.5&lt;/D&gt;&lt;/FQL&gt;&lt;FQL&gt;&lt;Q&gt;Ticker0024^FE_ESTIMATE(PRODLINE_SALES_15,MEAN,ANNUAL_ROLL,2026,45685,,,'')&lt;/Q&gt;&lt;R&gt;1&lt;/R&gt;&lt;C&gt;1&lt;/C&gt;&lt;D xsi:type="xsd:double"&gt;129240.26&lt;/D&gt;&lt;/FQL&gt;&lt;FQL&gt;&lt;Q&gt;Ticker0024^FE_ESTIMATE(PRODLINE_SALES_15,MEAN,QUARTERLY_ROLL,2026/4F,45685,,,'')&lt;/Q&gt;&lt;R&gt;1&lt;/R&gt;&lt;C&gt;1&lt;/C&gt;&lt;D xsi:type="xsd:double"&gt;34294.457&lt;/D&gt;&lt;/FQL&gt;&lt;FQL&gt;&lt;Q&gt;Ticker0024^FE_ESTIMATE(PRODLINE_SALES_15,MEAN,QUARTERLY_ROLL,2026/3F,45685,,,'')&lt;/Q&gt;&lt;R&gt;1&lt;/R&gt;&lt;C&gt;1&lt;/C&gt;&lt;D xsi:type="xsd:double"&gt;32711.95&lt;/D&gt;&lt;/FQL&gt;&lt;FQL&gt;&lt;Q&gt;Ticker0024^FE_ESTIMATE(PRODLINE_SALES_15,MEAN,QUARTERLY_ROLL,2026/2F,45685,,,'')&lt;/Q&gt;&lt;R&gt;1&lt;/R&gt;&lt;C&gt;1&lt;/C&gt;&lt;D xsi:type="xsd:double"&gt;31739.1&lt;/D&gt;&lt;/FQL&gt;&lt;FQL&gt;&lt;Q&gt;Ticker0024^FE_ESTIMATE(PRODLINE_SALES_15,MEAN,QUARTERLY_ROLL,2026/1F,45685,,,'')&lt;/Q&gt;&lt;R&gt;1&lt;/R&gt;&lt;C&gt;1&lt;/C&gt;&lt;D xsi:type="xsd:double"&gt;31241.258&lt;/D&gt;&lt;/FQL&gt;&lt;FQL&gt;&lt;Q&gt;Ticker0024^FE_ESTIMATE(PRODLINE_SALES_15,MEAN,ANNUAL_ROLL,2025,45685,,,'')&lt;/Q&gt;&lt;R&gt;1&lt;/R&gt;&lt;C&gt;1&lt;/C&gt;&lt;D xsi:type="xsd:double"&gt;117231.43&lt;/D&gt;&lt;/FQL&gt;&lt;FQL&gt;&lt;Q&gt;Ticker0024^FE_ESTIMATE(PRODLINE_SALES_15,MEAN,QUARTERLY_ROLL,2025/4F,45685,,,'')&lt;/Q&gt;&lt;R&gt;1&lt;/R&gt;&lt;C&gt;1&lt;/C&gt;&lt;D xsi:type="xsd:double"&gt;31403.762&lt;/D&gt;&lt;/FQL&gt;&lt;FQL&gt;&lt;Q&gt;Ticker0024^FE_ESTIMATE(PRODLINE_SALES_15,MEAN,QUARTERLY_ROLL,2025/3F,45685,,,'')&lt;/Q&gt;&lt;R&gt;1&lt;/R&gt;&lt;C&gt;1&lt;/C&gt;&lt;D xsi:type="xsd:double"&gt;29931.818&lt;/D&gt;&lt;/FQL&gt;&lt;FQL&gt;&lt;Q&gt;Ticker0024^FE_ESTIMATE(PRODLINE_SALES_15,MEAN,QUARTERLY_ROLL,2025/2F,45685,,,'')&lt;/Q&gt;&lt;R&gt;1&lt;/R&gt;&lt;C&gt;1&lt;/C&gt;&lt;D xsi:type="xsd:double"&gt;28892.75&lt;/D&gt;&lt;/FQL&gt;&lt;FQL&gt;&lt;Q&gt;Ticker0024^FE_ESTIMATE(PRODLINE_SALES_15,MEAN,QUARTERLY_ROLL,2025/1F,45685,,,'')&lt;/Q&gt;&lt;R&gt;1&lt;/R&gt;&lt;C&gt;1&lt;/C&gt;&lt;D xsi:type="xsd:double"&gt;28317&lt;/D&gt;&lt;/FQL&gt;&lt;FQL&gt;&lt;Q&gt;Ticker0024^FE_ESTIMATE(PRODLINE_SALES_15,MEAN,ANNUAL_ROLL,2024,45685,,,'')&lt;/Q&gt;&lt;R&gt;1&lt;/R&gt;&lt;C&gt;1&lt;/C&gt;&lt;D xsi:type="xsd:double"&gt;77728&lt;/D&gt;&lt;/FQL&gt;&lt;FQL&gt;&lt;Q&gt;Ticker0024^FE_ESTIMATE(PRODLINE_SALES_15,MEAN,QUARTERLY_ROLL,2024/4F,45685,,,'')&lt;/Q&gt;&lt;R&gt;1&lt;/R&gt;&lt;C&gt;1&lt;/C&gt;&lt;D xsi:type="xsd:double"&gt;20317&lt;/D&gt;&lt;/FQL&gt;&lt;FQL&gt;&lt;Q&gt;Ticker0024^FE_ESTIMATE(PRODLINE_SALES_15,MEAN,QUARTERLY_ROLL,2024/3F,45685,,,'')&lt;/Q&gt;&lt;R&gt;1&lt;/R&gt;&lt;C&gt;1&lt;/C&gt;&lt;D xsi:type="xsd:double"&gt;19570&lt;/D&gt;&lt;/FQL&gt;&lt;FQL&gt;&lt;Q&gt;Ticker0024^FE_ESTIMATE(PRODLINE_SALES_15,MEAN,QUARTERLY_ROLL,2024/2F,45685,,,'')&lt;/Q&gt;&lt;R&gt;1&lt;/R&gt;&lt;C&gt;1&lt;/C&gt;&lt;D xsi:type="xsd:double"&gt;19249&lt;/D&gt;&lt;/FQL&gt;&lt;FQL&gt;&lt;Q&gt;Ticker0024^FE_ESTIMATE(PRODLINE_SALES_15,MEAN,QUARTERLY_ROLL,2024/1F,45685,,,'')&lt;/Q&gt;&lt;R&gt;1&lt;/R&gt;&lt;C&gt;1&lt;/C&gt;&lt;D xsi:type="xsd:double"&gt;18592&lt;/D&gt;&lt;/FQL&gt;&lt;FQL&gt;&lt;Q&gt;Ticker0024^FE_ESTIMATE(PRODLINE_SALES_15,MEAN,ANNUAL_ROLL,2023,45685,,,'')&lt;/Q&gt;&lt;R&gt;1&lt;/R&gt;&lt;C&gt;1&lt;/C&gt;&lt;D xsi:type="xsd:double"&gt;69275&lt;/D&gt;&lt;/FQL&gt;&lt;FQL&gt;&lt;Q&gt;Ticker0024^FE_ESTIMATE(PRODLINE_SALES_15,MEAN,QUARTERLY_ROLL,2023/4F,45685,,,'')&lt;/Q&gt;&lt;R&gt;1&lt;/R&gt;&lt;C&gt;1&lt;/C&gt;&lt;D xsi:type="xsd:double"&gt;18291&lt;/D&gt;&lt;/FQL&gt;&lt;FQL&gt;&lt;Q&gt;Ticker0024^FE_ESTIMATE(PRODLINE_SALES_15,MEAN,QUARTERLY_ROLL,2023/3F,45685,,,'')&lt;/Q&gt;&lt;R&gt;1&lt;/R&gt;&lt;C&gt;1&lt;/C&gt;&lt;D xsi:type="xsd:double"&gt;17516&lt;/D&gt;&lt;/FQL&gt;&lt;FQL&gt;&lt;Q&gt;Ticker0024^FE_ESTIMATE(PRODLINE_SALES_15,MEAN,QUARTERLY_ROLL,2023/2F,45685,,,'')&lt;/Q&gt;&lt;R&gt;1&lt;/R&gt;&lt;C&gt;1&lt;/C&gt;&lt;D xsi:type="xsd:double"&gt;17002&lt;/D&gt;&lt;/FQL&gt;&lt;FQL&gt;&lt;Q&gt;Ticker0024^FE_ESTIMATE(PRODLINE_SALES_15,MEAN,QUARTERLY_ROLL,2023/1F,45685,,,'')&lt;/Q&gt;&lt;R&gt;1&lt;/R&gt;&lt;C&gt;1&lt;/C&gt;&lt;D xsi:type="xsd:double"&gt;16465&lt;/D&gt;&lt;/FQL&gt;&lt;FQL&gt;&lt;Q&gt;Ticker0024^FE_ESTIMATE(PRODLINE_SALES_15,MEAN,ANNUAL_ROLL,2022,45685,,,'')&lt;/Q&gt;&lt;R&gt;1&lt;/R&gt;&lt;C&gt;1&lt;/C&gt;&lt;D xsi:type="xsd:double"&gt;63364&lt;/D&gt;&lt;/FQL&gt;&lt;FQL&gt;&lt;Q&gt;Ticker0024^FE_ESTIMATE(PRODLINE_SALES_15,MEAN,QUARTERLY_ROLL,2022/4F,45685,,,'')&lt;/Q&gt;&lt;R&gt;1&lt;/R&gt;&lt;C&gt;1&lt;/C&gt;&lt;D xsi:type="xsd:double"&gt;16600&lt;/D&gt;&lt;/FQL&gt;&lt;FQL&gt;&lt;Q&gt;Ticker0024^FE_ESTIMATE(PRODLINE_SALES_15,MEAN,QUARTERLY_ROLL,2022/3F,45685,,,'')&lt;/Q&gt;&lt;R&gt;1&lt;/R&gt;&lt;C&gt;1&lt;/C&gt;&lt;D xsi:type="xsd:double"&gt;15789&lt;/D&gt;&lt;/FQL&gt;&lt;FQL&gt;&lt;Q&gt;Ticker0024^FE_ESTIMATE(PRODLINE_SALES_15,MEAN,QUARTERLY_ROLL,2022/2F,45685,,,'')&lt;/Q&gt;&lt;R&gt;1&lt;/R&gt;&lt;C&gt;1&lt;/C&gt;&lt;D xsi:type="xsd:double"&gt;15936&lt;/D&gt;&lt;/FQL&gt;&lt;FQL&gt;&lt;Q&gt;Ticker0024^FE_ESTIMATE(PRODLINE_SALES_15,MEAN,QUARTERLY_ROLL,2022/1F,45685,,,'')&lt;/Q&gt;&lt;R&gt;1&lt;/R&gt;&lt;C&gt;1&lt;/C&gt;&lt;D xsi:type="xsd:double"&gt;15039&lt;/D&gt;&lt;/FQL&gt;&lt;FQL&gt;&lt;Q&gt;Ticker0024^FE_ESTIMATE(PRODLINE_SALES_15,MEAN,ANNUAL_ROLL,2021,45685,,,'')&lt;/Q&gt;&lt;R&gt;1&lt;/R&gt;&lt;C&gt;1&lt;/C&gt;&lt;D xsi:type="xsd:double"&gt;53915&lt;/D&gt;&lt;/FQL&gt;&lt;FQL&gt;&lt;Q&gt;Ticker0024^FE_ESTIMATE(PRODLINE_SALES_15,MEAN,QUARTERLY_ROLL,2021/4F,45685,,,'')&lt;/Q&gt;&lt;R&gt;1&lt;/R&gt;&lt;C&gt;1&lt;/C&gt;&lt;D xsi:type="xsd:double"&gt;14691&lt;/D&gt;&lt;/FQL&gt;&lt;FQL&gt;&lt;Q&gt;Ticker0024^FE_ESTIMATE(PRODLINE_SALES_15,MEAN,QUARTERLY_ROLL,2021/3F,45685,,,'')&lt;/Q&gt;&lt;R&gt;1&lt;/R&gt;&lt;C&gt;1&lt;/C&gt;&lt;D xsi:type="xsd:double"&gt;13552&lt;/D&gt;&lt;/FQL&gt;&lt;FQL&gt;&lt;Q&gt;Ticker0024^FE_ESTIMATE(PRODLINE_SALES_15,MEAN,QUARTERLY_ROLL,2021/2F,45685,,,'')&lt;/Q&gt;&lt;R&gt;1&lt;/R&gt;&lt;C&gt;1&lt;/C&gt;&lt;D xsi:type="xsd:double"&gt;13353&lt;/D&gt;&lt;/FQL&gt;&lt;FQL&gt;&lt;Q&gt;Ticker0024^FE_ESTIMATE(PRODLINE_SALES_15,MEAN,QUARTERLY_ROLL,2021/1F,45685,,,'')&lt;/Q&gt;&lt;R&gt;1&lt;/R&gt;&lt;C&gt;1&lt;/C&gt;&lt;D xsi:type="xsd:double"&gt;12319&lt;/D&gt;&lt;/FQL&gt;&lt;FQL&gt;&lt;Q&gt;Ticker0024^FE_ESTIMATE(PRODLINE_SALES_15,MEAN,ANNUAL_ROLL,2020,45685,,,'')&lt;/Q&gt;&lt;R&gt;1&lt;/R&gt;&lt;C&gt;1&lt;/C&gt;&lt;D xsi:type="xsd:double"&gt;46398&lt;/D&gt;&lt;/FQL&gt;&lt;FQL&gt;&lt;Q&gt;Ticker0024^FE_ESTIMATE(PRODLINE_SALES_15,MEAN,QUARTERLY_ROLL,2020/4F,45685,,,'')&lt;/Q&gt;&lt;R&gt;1&lt;/R&gt;&lt;C&gt;1&lt;/C&gt;&lt;D xsi:type="xsd:double"&gt;11752&lt;/D&gt;&lt;/FQL&gt;&lt;FQL&gt;&lt;Q&gt;Ticker0024^FE_ESTIMATE(PRODLINE_SALES_15,MEAN,QUARTERLY_ROLL,2020/3F,45685,,,'')&lt;/Q&gt;&lt;R&gt;1&lt;/R&gt;&lt;C&gt;1&lt;/C&gt;&lt;D xsi:type="xsd:double"&gt;11743&lt;/D&gt;&lt;/FQL&gt;&lt;FQL&gt;&lt;Q&gt;Ticker0024^FE_ESTIMATE(PRODLINE_SALES_15,MEAN,QUARTERLY_ROLL,2020/2F,45685,,,'')&lt;/Q&gt;&lt;R&gt;1&lt;/R&gt;&lt;C&gt;1&lt;/C&gt;&lt;D xsi:type="xsd:double"&gt;11826&lt;/D&gt;&lt;/FQL&gt;&lt;FQL&gt;&lt;Q&gt;Ticker0024^FE_ESTIMATE(PRODLINE_SALES_15,MEAN,QUARTERLY_ROLL,2020/1F,45685,,,'')&lt;/Q&gt;&lt;R&gt;1&lt;/R&gt;&lt;C&gt;1&lt;/C&gt;&lt;D xsi:type="xsd:double"&gt;11077&lt;/D&gt;&lt;/FQL&gt;&lt;FQL&gt;&lt;Q&gt;Ticker0024^FE_ESTIMATE(PRODLINE_SALES_15,MEAN,ANNUAL_ROLL,2019,45685,,,'')&lt;/Q&gt;&lt;R&gt;1&lt;/R&gt;&lt;C&gt;1&lt;/C&gt;&lt;D xsi:type="xsd:double"&gt;41160&lt;/D&gt;&lt;/FQL&gt;&lt;FQL&gt;&lt;Q&gt;Ticker0024^FE_ESTIMATE(PRODLINE_SALES_15,MEAN,QUARTERLY_ROLL,2019/4F,45685,,,'')&lt;/Q&gt;&lt;R&gt;1&lt;/R&gt;&lt;C&gt;1&lt;/C&gt;&lt;D xsi:type="xsd:double"&gt;11047&lt;/D&gt;&lt;/FQL&gt;&lt;FQL&gt;&lt;Q&gt;Ticker0024^FE_ESTIMATE(PRODLINE_SALES_15,MEAN,QUARTERLY_ROLL,2019/3F,45685,,,'')&lt;/Q&gt;&lt;R&gt;1&lt;/R&gt;&lt;C&gt;1&lt;/C&gt;&lt;D xsi:type="xsd:double"&gt;10242&lt;/D&gt;&lt;/FQL&gt;&lt;FQL&gt;&lt;Q&gt;Ticker0024^FE_ESTIMATE(PRODLINE_SALES_15,MEAN,QUARTERLY_ROLL,2019/2F,45685,,,'')&lt;/Q&gt;&lt;R&gt;1&lt;/R&gt;&lt;C&gt;1&lt;/C&gt;&lt;D xsi:type="xsd:double"&gt;10100&lt;/D&gt;&lt;/FQL&gt;&lt;FQL&gt;&lt;Q&gt;Ticker0024^FE_ESTIMATE(PRODLINE_SALES_15,MEAN,QUARTERLY_ROLL,2019/1F,45685,,,'')&lt;/Q&gt;&lt;R&gt;1&lt;/R&gt;&lt;C&gt;1&lt;/C&gt;&lt;D xsi:type="xsd:double"&gt;9771&lt;/D&gt;&lt;/FQL&gt;&lt;FQL&gt;&lt;Q&gt;Ticker0024^FE_ESTIMATE(PRODLINE_SALES_15,MEAN,ANNUAL_ROLL,2018,45685,,,'')&lt;/Q&gt;&lt;R&gt;1&lt;/R&gt;&lt;C&gt;1&lt;/C&gt;&lt;D xsi:type="xsd:double"&gt;35865&lt;/D&gt;&lt;/FQL&gt;&lt;FQL&gt;&lt;Q&gt;Ticker0024^FE_ESTIMATE(PRODLINE_SALES_15,MEAN,QUARTERLY_ROLL,2018/4F,45685,,,'')&lt;/Q&gt;&lt;R&gt;1&lt;/R&gt;&lt;C&gt;1&lt;/C&gt;&lt;D xsi:type="xsd:double"&gt;9668&lt;/D&gt;&lt;/FQL&gt;&lt;FQL&gt;&lt;Q&gt;Ticker0024^FE_ESTIMATE(PRODLINE_SALES_15,MEAN,QUARTERLY_ROLL,2018/3F,45685,,,'')&lt;/Q&gt;&lt;R&gt;1&lt;/R&gt;&lt;C&gt;1&lt;/C&gt;&lt;D xsi:type="xsd:double"&gt;9006&lt;/D&gt;&lt;/FQL&gt;&lt;FQL&gt;&lt;Q&gt;Ticker0024^FE_ESTIMATE(PRODLINE_SALES_15,MEAN,QUARTERLY_ROLL,2018/2F,45685,,,'')&lt;/Q&gt;&lt;R&gt;1&lt;/R&gt;&lt;C&gt;1&lt;/C&gt;&lt;D xsi:type="xsd:double"&gt;8953&lt;/D&gt;&lt;/FQL&gt;&lt;FQL&gt;&lt;Q&gt;Ticker0024^FE_ESTIMATE(PRODLINE_SALES_15,MEAN,QUARTERLY_ROLL,2018/1F,45685,,,'')&lt;/Q&gt;&lt;R&gt;1&lt;/R&gt;&lt;C&gt;1&lt;/C&gt;&lt;D xsi:type="xsd:double"&gt;8238&lt;/D&gt;&lt;/FQL&gt;&lt;FQL&gt;&lt;Q&gt;Ticker0024^FE_ESTIMATE(PRODLINE_SALES_15,MEAN,ANNUAL_ROLL,2017,45685,,,'')&lt;/Q&gt;&lt;R&gt;1&lt;/R&gt;&lt;C&gt;1&lt;/C&gt;&lt;D xsi:type="xsd:double"&gt;30444&lt;/D&gt;&lt;/FQL&gt;&lt;FQL&gt;&lt;Q&gt;Ticker0024^FE_ESTIMATE(PRODLINE_SALES_15,MEAN,QUARTERLY_ROLL,2017/4F,45685,,,'')&lt;/Q&gt;&lt;R&gt;1&lt;/R&gt;&lt;C&gt;1&lt;/C&gt;&lt;D xsi:type="xsd:double"&gt;8446&lt;/D&gt;&lt;/FQL&gt;&lt;FQL&gt;&lt;Q&gt;Ticker0024^FE_ESTIMATE(PRODLINE_SALES_15,MEAN,QUARTERLY_ROLL,2017/3F,45685,,,'')&lt;/Q&gt;&lt;R&gt;1&lt;/R&gt;&lt;C&gt;1&lt;/C&gt;&lt;D xsi:type="xsd:double"&gt;7958&lt;/D&gt;&lt;/FQL&gt;&lt;FQL&gt;&lt;Q&gt;Ticker0024^FE_ESTIMATE(PRODLINE_SALES_15,MEAN,QUARTERLY_ROLL,2017/2F,45685,,,'')&lt;/Q&gt;&lt;R&gt;1&lt;/R&gt;&lt;C&gt;1&lt;/C&gt;&lt;D xsi:type="xsd:double"&gt;7382&lt;/D&gt;&lt;/FQL&gt;&lt;FQL&gt;&lt;Q&gt;Ticker0024^FE_ESTIMATE(PRODLINE_SALES_15,MEAN,QUARTERLY_ROLL,2017/1F,45685,,,'')&lt;/Q&gt;&lt;R&gt;1&lt;/R&gt;&lt;C&gt;1&lt;/C&gt;&lt;D xsi:type="xsd:double"&gt;6658&lt;/D&gt;&lt;/FQL&gt;&lt;FQL&gt;&lt;Q&gt;Ticker0024^FE_ESTIMATE(PRODLINE_SALES_15,MEAN,ANNUAL_ROLL,2016,45685,,,'')&lt;/Q&gt;&lt;R&gt;1&lt;/R&gt;&lt;C&gt;1&lt;/C&gt;&lt;D xsi:type="xsd:double"&gt;26487&lt;/D&gt;&lt;/FQL&gt;&lt;FQL&gt;&lt;Q&gt;Ticker0024^FE_ESTIMATE(PRODLINE_SALES_15,MEAN,QUARTERLY_ROLL,2016/4F,45685,,,'')&lt;/Q&gt;&lt;R&gt;1&lt;/R&gt;&lt;C&gt;1&lt;/C&gt;&lt;D xsi:type="xsd:double"&gt;6969&lt;/D&gt;&lt;/FQL&gt;&lt;FQL&gt;&lt;Q&gt;Ticker0024^FE_ESTIMATE(PRODLINE_SALES_15,MEAN,QUARTERLY_ROLL,2016/3F,45685,,,'')&lt;/Q&gt;&lt;R&gt;1&lt;/R&gt;&lt;C&gt;1&lt;/C&gt;&lt;D xsi:type="xsd:double"&gt;6522&lt;/D&gt;&lt;/FQL&gt;&lt;FQL&gt;&lt;Q&gt;Ticker0024^FE_ESTIMATE(PRODLINE_SALES_15,MEAN,QUARTERLY_ROLL,2016/2F,45685,,,'')&lt;/Q&gt;&lt;R&gt;1&lt;/R&gt;&lt;C&gt;1&lt;/C&gt;&lt;D xsi:type="xsd:double"&gt;6690&lt;/D&gt;&lt;/FQL&gt;&lt;FQL&gt;&lt;Q&gt;Ticker0024^FE_ESTIMATE(PRODLINE_SALES_15,MEAN,QUARTERLY_ROLL,2016/1F,45685,,,'')&lt;/Q&gt;&lt;R&gt;1&lt;/R&gt;&lt;C&gt;1&lt;/C&gt;&lt;D xsi:type="xsd:double"&gt;6306&lt;/D&gt;&lt;/FQL&gt;&lt;FQL&gt;&lt;Q&gt;Ticker0024^FE_ESTIMATE(PRODLINE_SALES_15,MEAN,ANNUAL_ROLL,2015,45685,,,'')&lt;/Q&gt;&lt;R&gt;0&lt;/R&gt;&lt;C&gt;0&lt;/C&gt;&lt;/FQL&gt;&lt;FQL&gt;&lt;Q&gt;Ticker0024^FE_ESTIMATE(PRODLINE_SALES_15,MEAN,QUARTERLY_ROLL,2015/4F,45685,,,'')&lt;/Q&gt;&lt;R&gt;0&lt;/R&gt;&lt;C&gt;0&lt;/C&gt;&lt;/FQL&gt;&lt;FQL&gt;&lt;Q&gt;Ticker0024^FE_ESTIMATE(PRODLINE_SALES_15,MEAN,QUARTERLY_ROLL,2015/3F,45685,,,'')&lt;/Q&gt;&lt;R&gt;0&lt;/R&gt;&lt;C&gt;0&lt;/C&gt;&lt;/FQL&gt;&lt;FQL&gt;&lt;Q&gt;Ticker0024^FE_ESTIMATE(PRODLINE_SALES_15,MEAN,QUARTERLY_ROLL,2015/2F,45685,,,'')&lt;/Q&gt;&lt;R&gt;0&lt;/R&gt;&lt;C&gt;0&lt;/C&gt;&lt;/FQL&gt;&lt;FQL&gt;&lt;Q&gt;Ticker0024^FE_ESTIMATE(PRODLINE_SALES_15,MEAN,QUARTERLY_ROLL,2015/1F,45685,,,'')&lt;/Q&gt;&lt;R&gt;0&lt;/R&gt;&lt;C&gt;0&lt;/C&gt;&lt;/FQL&gt;&lt;FQL&gt;&lt;Q&gt;Ticker0024^FE_ESTIMATE(SPEC_NO_CHANGE_2,MEAN,ANNUAL_ROLL,2030,45740,,,'')&lt;/Q&gt;&lt;R&gt;0&lt;/R&gt;&lt;C&gt;0&lt;/C&gt;&lt;/FQL&gt;&lt;FQL&gt;&lt;Q&gt;Ticker0024^FE_ESTIMATE(SPEC_NO_CHANGE_2,MEAN,QUARTERLY_ROLL,2030/4F,45740,,,'')&lt;/Q&gt;&lt;R&gt;0&lt;/R&gt;&lt;C&gt;0&lt;/C&gt;&lt;/FQL&gt;&lt;FQL&gt;&lt;Q&gt;Ticker0024^FE_ESTIMATE(SPEC_NO_CHANGE_2,MEAN,QUARTERLY_ROLL,2030/3F,45740,,,'')&lt;/Q&gt;&lt;R&gt;0&lt;/R&gt;&lt;C&gt;0&lt;/C&gt;&lt;/FQL&gt;&lt;FQL&gt;&lt;Q&gt;Ticker0024^FE_ESTIMATE(SPEC_NO_CHANGE_2,MEAN,QUARTERLY_ROLL,2030/2F,45740,,,'')&lt;/Q&gt;&lt;R&gt;0&lt;/R&gt;&lt;C&gt;0&lt;/C&gt;&lt;/FQL&gt;&lt;FQL&gt;&lt;Q&gt;Ticker0024^FE_ESTIMATE(SPEC_NO_CHANGE_2,MEAN,QUARTERLY_ROLL,2030/1F,45740,,,'')&lt;/Q&gt;&lt;R&gt;0&lt;/R&gt;&lt;C&gt;0&lt;/C&gt;&lt;/FQL&gt;&lt;FQL&gt;&lt;Q&gt;Ticker0024^FE_ESTIMATE(SPEC_NO_CHANGE_2,MEAN,ANNUAL_ROLL,2029,45740,,,'')&lt;/Q&gt;&lt;R&gt;0&lt;/R&gt;&lt;C&gt;0&lt;/C&gt;&lt;/FQL&gt;&lt;FQL&gt;&lt;Q&gt;Ticker0024^FE_ESTIMATE(SPEC_NO_CHANGE_2,MEAN,QUARTERLY_ROLL,2029/4F,45740,,,'')&lt;/Q&gt;&lt;R&gt;0&lt;/R&gt;&lt;C&gt;0&lt;/C&gt;&lt;/FQL&gt;&lt;FQL&gt;&lt;Q&gt;Ticker0024^FE_ESTIMATE(SPEC_NO_CHANGE_2,MEAN,QUARTERLY_ROLL,2029/3F,45740,,,'')&lt;/Q&gt;&lt;R&gt;0&lt;/R&gt;&lt;C&gt;0&lt;/C&gt;&lt;/FQL&gt;&lt;FQL&gt;&lt;Q&gt;Ticker0024^FE_ESTIMATE(SPEC_NO_CHANGE_2,MEAN,QUARTERLY_ROLL,2029/2F,45740,,,'')&lt;/Q&gt;&lt;R&gt;0&lt;/R&gt;&lt;C&gt;0&lt;/C&gt;&lt;/FQL&gt;&lt;FQL&gt;&lt;Q&gt;Ticker0024^FE_ESTIMATE(SPEC_NO_CHANGE_2,MEAN,QUARTERLY_ROLL,2029/1F,45740,,,'')&lt;/Q&gt;&lt;R&gt;0&lt;/R&gt;&lt;C&gt;0&lt;/C&gt;&lt;/FQL&gt;&lt;FQL&gt;&lt;Q&gt;Ticker0024^FE_ESTIMATE(SPEC_NO_CHANGE_2,MEAN,ANNUAL_ROLL,2028,45740,,,'')&lt;/Q&gt;&lt;R&gt;1&lt;/R&gt;&lt;C&gt;1&lt;/C&gt;&lt;D xsi:type="xsd:double"&gt;24&lt;/D&gt;&lt;/FQL&gt;&lt;FQL&gt;&lt;Q&gt;Ticker0024^FE_ESTIMATE(SPEC_NO_CHANGE_2,MEAN,QUARTERLY_ROLL,2028/4F,45740,,,'')&lt;/Q&gt;&lt;R&gt;0&lt;/R&gt;&lt;C&gt;0&lt;/C&gt;&lt;/FQL&gt;&lt;FQL&gt;&lt;Q&gt;Ticker0024^FE_ESTIMATE(SPEC_NO_CHANGE_2,MEAN,QUARTERLY_ROLL,2028/3F,45740,,,'')&lt;/Q&gt;&lt;R&gt;0&lt;/R&gt;&lt;C&gt;0&lt;/C&gt;&lt;/FQL&gt;&lt;FQL&gt;&lt;Q&gt;Ticker0024^FE_ESTIMATE(SPEC_NO_CHANGE_2,MEAN,QUARTERLY_ROLL,2028/2F,45740,,,'')&lt;/Q&gt;&lt;R&gt;0&lt;/R&gt;&lt;C&gt;0&lt;/C&gt;&lt;/FQL&gt;&lt;FQL&gt;&lt;Q&gt;Ticker0024^FE_ESTIMATE(SPEC_NO_CHANGE_2,MEAN,QUARTERLY_ROLL,2028/1F,45740,,,'')&lt;/Q&gt;&lt;R&gt;0&lt;/R&gt;&lt;C&gt;0&lt;/C&gt;&lt;/FQL&gt;&lt;FQL&gt;&lt;Q&gt;Ticker0024^FE_ESTIMATE(SPEC_NO_CHANGE_2,MEAN,ANNUAL_ROLL,2027,45740,,,'')&lt;/Q&gt;&lt;R&gt;1&lt;/R&gt;&lt;C&gt;1&lt;/C&gt;&lt;D xsi:type="xsd:double"&gt;29.733334&lt;/D&gt;&lt;/FQL&gt;&lt;FQL&gt;&lt;Q&gt;Ticker0024^FE_ESTIMATE(SPEC_NO_CHANGE_2,MEAN,QUARTERLY_ROLL,2027/4F,45740,,,'')&lt;/Q&gt;&lt;R&gt;0&lt;/R&gt;&lt;C&gt;0&lt;/C&gt;&lt;/FQL&gt;&lt;FQL&gt;&lt;Q&gt;Ticker0024^FE_ESTIMATE(SPEC_NO_CHANGE_2,MEAN,QUARTERLY_ROLL,2027/3F,45740,,,'')&lt;/Q&gt;&lt;R&gt;0&lt;/R&gt;&lt;C&gt;0&lt;/C&gt;&lt;/FQL&gt;&lt;FQL&gt;&lt;Q&gt;Ticker0024^FE_ESTIMATE(SPEC_NO_CHANGE_2,MEAN,QUARTERLY_ROLL,2027/2F,45740,,,'')&lt;/Q&gt;&lt;R&gt;0&lt;/R&gt;&lt;C&gt;0&lt;/C&gt;&lt;/FQL&gt;&lt;FQL&gt;&lt;Q&gt;Ticker0024^FE_ESTIMATE(SPEC_NO_CHANGE_2,MEAN,QUARTERLY_ROLL,2027/1F,45740,,,'')&lt;/Q&gt;&lt;R&gt;0&lt;/R&gt;&lt;C&gt;0&lt;/C&gt;&lt;/FQL&gt;&lt;FQL&gt;&lt;Q&gt;Ticker0024^FE_ESTIMATE(SPEC_NO_CHANGE_2,MEAN,ANNUAL_ROLL,2026,45740,,,'')&lt;/Q&gt;&lt;R&gt;1&lt;/R&gt;&lt;C&gt;1&lt;/C&gt;&lt;D xsi:type="xsd:double"&gt;32.025&lt;/D&gt;&lt;/FQL&gt;&lt;FQL&gt;&lt;Q&gt;Ticker0024^FE_ESTIMATE(SPEC_NO_CHANGE_2,MEAN,QUARTERLY_ROLL,2026/4F,45740,,,'')&lt;/Q&gt;&lt;R&gt;1&lt;/R&gt;&lt;C&gt;1&lt;/C&gt;&lt;D xsi:type="xsd:double"&gt;31&lt;/D&gt;&lt;/FQL&gt;&lt;FQL&gt;&lt;Q&gt;Ticker0024^FE_ESTIMATE(SPEC_NO_CHANGE_2,MEAN,QUARTERLY_ROLL,2026/3F,45740,,,'')&lt;/Q&gt;&lt;R&gt;1&lt;/R&gt;&lt;C&gt;1&lt;/C&gt;&lt;D xsi:type="xsd:double"&gt;30&lt;/D&gt;&lt;/FQL&gt;&lt;FQL&gt;&lt;Q&gt;Ticker0024^FE_ESTIMATE(SPEC_NO_CHANGE_2,MEAN,QUARTERLY_ROLL,2026/2F,45740,,,'')&lt;/Q&gt;&lt;R&gt;1&lt;/R&gt;&lt;C&gt;1&lt;/C&gt;&lt;D xsi:type="xsd:double"&gt;31&lt;/D&gt;&lt;/FQL&gt;&lt;FQL&gt;&lt;Q&gt;Ticker0024^FE_ESTIMATE(SPEC_NO_CHANGE_2,MEAN,QUARTERLY_ROLL,2026/1F,45740,,,'')&lt;/Q&gt;&lt;R&gt;1&lt;/R&gt;&lt;C&gt;1&lt;/C&gt;&lt;D xsi:type="xsd:double"&gt;33.5&lt;/D&gt;&lt;/FQL&gt;&lt;FQL&gt;&lt;Q&gt;Ticker0024^FE_ESTIMATE(SPEC_NO_CHANGE_2,MEAN,ANNUAL_ROLL,2025,45740,,,'')&lt;/Q&gt;&lt;R&gt;1&lt;/R&gt;&lt;C&gt;1&lt;/C&gt;&lt;D xsi:type="xsd:double"&gt;32&lt;/D&gt;&lt;/FQL&gt;&lt;FQL&gt;&lt;Q&gt;Ticker0024^FE_ESTIMATE(SPEC_NO_CHANGE_2,MEAN,QUARTERLY_ROLL,2025/4F,45740,,,'')&lt;/Q&gt;&lt;R&gt;1&lt;/R&gt;&lt;C&gt;1&lt;/C&gt;&lt;D xsi:type="xsd:double"&gt;32.12&lt;/D&gt;&lt;/FQL&gt;&lt;FQL&gt;&lt;Q&gt;Ticker0024^FE_ESTIMATE(SPEC_NO_CHANGE_2,MEAN,QUARTERLY_ROLL,2025/3F,45740,,,'')&lt;/Q&gt;&lt;R&gt;1&lt;/R&gt;&lt;C&gt;1&lt;/C&gt;&lt;D xsi:type="xsd:double"&gt;31.34&lt;/D&gt;&lt;/FQL&gt;&lt;FQL&gt;&lt;Q&gt;Ticker0024^FE_ESTIMATE(SPEC_NO_CHANGE_2,MEAN,QUARTERLY_ROLL,2025/2F,45740,,,'')&lt;/Q&gt;&lt;R&gt;1&lt;/R&gt;&lt;C&gt;1&lt;/C&gt;&lt;D xsi:type="xsd:double"&gt;31&lt;/D&gt;&lt;/FQL&gt;&lt;FQL&gt;&lt;Q&gt;Ticker0024^FE_ESTIMATE(SPEC_NO_CHANGE_2,MEAN,QUARTERLY_ROLL,2025/1F,45740,,,'')&lt;/Q&gt;&lt;R&gt;1&lt;/R&gt;&lt;C&gt;1&lt;/C&gt;&lt;D xsi:type="xsd:double"&gt;34&lt;/D&gt;&lt;/FQL&gt;&lt;FQL&gt;&lt;Q&gt;Ticker0024^FE_ESTIMATE(SPEC_NO_CHANGE_2,MEAN,ANNUAL_ROLL,2024,45740,,,'')&lt;/Q&gt;&lt;R&gt;1&lt;/R&gt;&lt;C&gt;1&lt;/C&gt;&lt;D xsi:type="xsd:double"&gt;29.14&lt;/D&gt;&lt;/FQL&gt;&lt;FQL&gt;&lt;Q&gt;Ticker0024^FE_ESTIMATE(SPEC_NO_CHANGE_2,MEAN,QUARTERLY_ROLL,2024/4F,45740,,,'')&lt;/Q&gt;&lt;R&gt;1&lt;/R&gt;&lt;C&gt;1&lt;/C&gt;&lt;D xsi:type="xsd:double"&gt;30&lt;/D&gt;&lt;/FQL&gt;&lt;FQL&gt;&lt;Q&gt;Ticker0024^FE_ESTIMATE(SPEC_NO_CHANGE_2,MEAN,QUARTERLY_ROLL,2024/3F,45740,,,'')&lt;/Q&gt;&lt;R&gt;1&lt;/R&gt;&lt;C&gt;1&lt;/C&gt;&lt;D xsi:type="xsd:double"&gt;31&lt;/D&gt;&lt;/FQL&gt;&lt;FQL&gt;&lt;Q&gt;Ticker0024^FE_ESTIMATE(SPEC_NO_CHANGE_2,MEAN,QUARTERLY_ROLL,2024/2F,45740,,,'')&lt;/Q&gt;&lt;R&gt;1&lt;/R&gt;&lt;C&gt;1&lt;/C&gt;&lt;D xsi:type="xsd:double"&gt;28&lt;/D&gt;&lt;/FQL&gt;&lt;FQL&gt;&lt;Q&gt;Ticker0024^FE_ESTIMATE(SPEC_NO_CHANGE_2,MEAN,QUARTERLY_ROLL,2024/1F,45740,,,'')&lt;/Q&gt;&lt;R&gt;1&lt;/R&gt;&lt;C&gt;1&lt;/C&gt;&lt;D xsi:type="xsd:double"&gt;28.1&lt;/D&gt;&lt;/FQL&gt;&lt;FQL&gt;&lt;Q&gt;Ticker0024^FE_ESTIMATE(SPEC_NO_CHANGE_2,MEAN,ANNUAL_ROLL,2023,45740,,,'')&lt;/Q&gt;&lt;R&gt;1&lt;/R&gt;&lt;C&gt;1&lt;/C&gt;&lt;D xsi:type="xsd:double"&gt;34&lt;/D&gt;&lt;/FQL&gt;&lt;FQL&gt;&lt;Q&gt;Ticker0024^FE_ESTIMATE(SPEC_NO_CHANGE_2,MEAN,QUARTERLY_ROLL,2023/4F,45740,,,'')&lt;/Q&gt;&lt;R&gt;1&lt;/R&gt;&lt;C&gt;1&lt;/C&gt;&lt;D xsi:type="xsd:double"&gt;27&lt;/D&gt;&lt;/FQL&gt;&lt;FQL&gt;&lt;Q&gt;Ticker0024^FE_ESTIMATE(SPEC_NO_CHANGE_2,MEAN,QUARTERLY_ROLL,2023/3F,45740,,,'')&lt;/Q&gt;&lt;R&gt;1&lt;/R&gt;&lt;C&gt;1&lt;/C&gt;&lt;D xsi:type="xsd:double"&gt;31&lt;/D&gt;&lt;/FQL&gt;&lt;FQL&gt;&lt;Q&gt;Ticker0024^FE_ESTIMATE(SPEC_NO_CHANGE_2,MEAN,QUARTERLY_ROLL,2023/2F,45740,,,'')&lt;/Q&gt;&lt;R&gt;1&lt;/R&gt;&lt;C&gt;1&lt;/C&gt;&lt;D xsi:type="xsd:double"&gt;38&lt;/D&gt;&lt;/FQL&gt;&lt;FQL&gt;&lt;Q&gt;Ticker0024^FE_ESTIMATE(SPEC_NO_CHANGE_2,MEAN,QUARTERLY_ROLL,2023/1F,45740,,,'')&lt;/Q&gt;&lt;R&gt;1&lt;/R&gt;&lt;C&gt;1&lt;/C&gt;&lt;D xsi:type="xsd:double"&gt;42&lt;/D&gt;&lt;/FQL&gt;&lt;FQL&gt;&lt;Q&gt;Ticker0024^FE_ESTIMATE(SPEC_NO_CHANGE_2,MEAN,ANNUAL_ROLL,2022,45740,,,'')&lt;/Q&gt;&lt;R&gt;1&lt;/R&gt;&lt;C&gt;1&lt;/C&gt;&lt;D xsi:type="xsd:double"&gt;47.05&lt;/D&gt;&lt;/FQL&gt;&lt;FQL&gt;&lt;Q&gt;Ticker0024^FE_ESTIMATE(SPEC_NO_CHANGE_2,MEAN,QUARTERLY_ROLL,2022/4F,45740,,,'')&lt;/Q&gt;&lt;R&gt;1&lt;/R&gt;&lt;C&gt;1&lt;/C&gt;&lt;D xsi:type="xsd:double"&gt;46&lt;/D&gt;&lt;/FQL&gt;&lt;FQL&gt;&lt;Q&gt;Ticker0024^FE_ESTIMATE(SPEC_NO_CHANGE_2,MEAN,QUARTERLY_ROLL,2022/3F,45740,,,'')&lt;/Q&gt;&lt;R&gt;0&lt;/R&gt;&lt;C&gt;0&lt;/C&gt;&lt;/FQL&gt;&lt;FQL&gt;&lt;Q&gt;Ticker0024^FE_ESTIMATE(SPEC_NO_CHANGE_2,MEAN,QUARTERLY_ROLL,2022/2F,45740,,,'')&lt;/Q&gt;&lt;R&gt;0&lt;/R&gt;&lt;C&gt;0&lt;/C&gt;&lt;/FQL&gt;&lt;FQL&gt;&lt;Q&gt;Ticker0024^FE_ESTIMATE(SPEC_NO_CHANGE_2,MEAN,QUARTERLY_ROLL,2022/1F,45740,,,'')&lt;/Q&gt;&lt;R&gt;0&lt;/R&gt;&lt;C&gt;0&lt;/C&gt;&lt;/FQL&gt;&lt;FQL&gt;&lt;Q&gt;Ticker0024^FE_ESTIMATE(SPEC_NO_CHANGE_2,MEAN,ANNUAL_ROLL,2021,45740,,,'')&lt;/Q&gt;&lt;R&gt;0&lt;/R&gt;&lt;C&gt;0&lt;/C&gt;&lt;/FQL&gt;&lt;FQL&gt;&lt;Q&gt;Ticker0024^FE_ESTIMATE(SPEC_NO_CHANGE_2,MEAN,QUARTERLY_ROLL,2021/4F,45740,,,'')&lt;/Q&gt;&lt;R&gt;0&lt;/R&gt;&lt;C&gt;0&lt;/C&gt;&lt;/FQL&gt;&lt;FQL&gt;&lt;Q&gt;Ticker0024^FE_ESTIMATE(SPEC_NO_CHANGE_2,MEAN,QUARTERLY_ROLL,2021/3F,45740,,,'')&lt;/Q&gt;&lt;R&gt;1&lt;/R&gt;&lt;C&gt;1&lt;/C&gt;&lt;D xsi:type="xsd:double"&gt;46&lt;/D&gt;&lt;/FQL&gt;&lt;FQL&gt;&lt;Q&gt;Ticker0024^FE_ESTIMATE(SPEC_NO_CHANGE_2,MEAN,QUARTERLY_ROLL,2021/2F,45740,,,'')&lt;/Q&gt;&lt;R&gt;0&lt;/R&gt;&lt;C&gt;0&lt;/C&gt;&lt;/FQL&gt;&lt;FQL&gt;&lt;Q&gt;Ticker0024^FE_ESTIMATE(SPEC_NO_CHANGE_2,MEAN,QUARTERLY_ROLL,2021/1F,45740,,,'')&lt;/Q&gt;&lt;R&gt;0&lt;/R&gt;&lt;C&gt;0&lt;/C&gt;&lt;/FQL&gt;&lt;FQL&gt;&lt;Q&gt;Ticker0024^FE_ESTIMATE(SPEC_NO_CHANGE_2,MEAN,ANNUAL_ROLL,2020,45740,,,'')&lt;/Q&gt;&lt;R&gt;0&lt;/R&gt;&lt;C&gt;0&lt;/C&gt;&lt;/FQL&gt;&lt;FQL&gt;&lt;Q&gt;Ticker0024^FE_ESTIMATE(SPEC_NO_CHANGE_2,MEAN,QUARTERLY_ROLL,2020/4F,45740,,,'')&lt;/Q&gt;&lt;R&gt;0&lt;/R&gt;&lt;C&gt;0&lt;/C&gt;&lt;/FQL&gt;&lt;FQL&gt;&lt;Q&gt;Ticker0024^FE_ESTIMATE(SPEC_NO_CHANGE_2,MEAN,QUARTERLY_ROLL,2020/3F,45740,,,'')&lt;/Q&gt;&lt;R&gt;0&lt;/R&gt;&lt;C&gt;0&lt;/C&gt;&lt;/FQL&gt;&lt;FQL&gt;&lt;Q&gt;Ticker0024^FE_ESTIMATE(SPEC_NO_CHANGE_2,MEAN,QUARTERLY_ROLL,2020/2F,45740,,,'')&lt;/Q&gt;&lt;R&gt;0&lt;/R&gt;&lt;C&gt;0&lt;/C&gt;&lt;/FQL&gt;&lt;FQL&gt;&lt;Q&gt;Ticker0024^FE_ESTIMATE(SPEC_NO_CHANGE_2,MEAN,QUARTERLY_ROLL,2020/1F,45740,,,'')&lt;/Q&gt;&lt;R&gt;0&lt;/R&gt;&lt;C&gt;0&lt;/C&gt;&lt;/FQL&gt;&lt;FQL&gt;&lt;Q&gt;Ticker0024^FE_ESTIMATE(SPEC_NO_CHANGE_2,MEAN,ANNUAL_ROLL,2019,45740,,,'')&lt;/Q&gt;&lt;R&gt;0&lt;/R&gt;&lt;C&gt;0&lt;/C&gt;&lt;/FQL&gt;&lt;FQL&gt;&lt;Q&gt;Ticker0024^FE_ESTIMATE(SPEC_NO_CHANGE_2,MEAN,QUARTERLY_ROLL,2019/4F,45740,,,'')&lt;/Q&gt;&lt;R&gt;0&lt;/R&gt;&lt;C&gt;0&lt;/C&gt;&lt;/FQL&gt;&lt;FQL&gt;&lt;Q&gt;Ticker0024^FE_ESTIMATE(SPEC_NO_CHANGE_2,MEAN,QUARTERLY_ROLL,2019/3F,45740,,,'')&lt;/Q&gt;&lt;R&gt;0&lt;/R&gt;&lt;C&gt;0&lt;/C&gt;&lt;/FQL&gt;&lt;FQL&gt;&lt;Q&gt;Ticker0024^FE_ESTIMATE(SPEC_NO_CHANGE_2,MEAN,QUARTERLY_ROLL,2019/2F,45740,,,'')&lt;/Q&gt;&lt;R&gt;0&lt;/R&gt;&lt;C&gt;0&lt;/C&gt;&lt;/FQL&gt;&lt;FQL&gt;&lt;Q&gt;Ticker0024^FE_ESTIMATE(SPEC_NO_CHANGE_2,MEAN,QUARTERLY_ROLL,2019/1F,45740,,,'')&lt;/Q&gt;&lt;R&gt;0&lt;/R&gt;&lt;C&gt;0&lt;/C&gt;&lt;/FQL&gt;&lt;FQL&gt;&lt;Q&gt;Ticker0024^FE_ESTIMATE(SPEC_NO_CHANGE_2,MEAN,ANNUAL_ROLL,2018,45740,,,'')&lt;/Q&gt;&lt;R&gt;0&lt;/R&gt;&lt;C&gt;0&lt;/C&gt;&lt;/FQL&gt;&lt;FQL&gt;&lt;Q&gt;Ticker0024^FE_ESTIMATE(SPEC_NO_CHANGE_2,MEAN,QUARTERLY_ROLL,2018/4F,45740,,,'')&lt;/Q&gt;&lt;R&gt;0&lt;/R&gt;&lt;C&gt;0&lt;/C&gt;&lt;/FQL&gt;&lt;FQL&gt;&lt;Q&gt;Ticker0024^FE_ESTIMATE(SPEC_NO_CHANGE_2,MEAN,QUARTERLY_ROLL,2018/3F,45740,,,'')&lt;/Q&gt;&lt;R&gt;0&lt;/R&gt;&lt;C&gt;0&lt;/C&gt;&lt;/FQL&gt;&lt;FQL&gt;&lt;Q&gt;Ticker0024^FE_ESTIMATE(SPEC_NO_CHANGE_2,MEAN,QUARTERLY_ROLL,2018/2F,45740,,,'')&lt;/Q&gt;&lt;R&gt;0&lt;/R&gt;&lt;C&gt;0&lt;/C&gt;&lt;/FQL&gt;&lt;FQL&gt;&lt;Q&gt;Ticker0024^FE_ESTIMATE(SPEC_NO_CHANGE_2,MEAN,QUARTERLY_ROLL,2018/1F,45740,,,'')&lt;/Q&gt;&lt;R&gt;0&lt;/R&gt;&lt;C&gt;0&lt;/C&gt;&lt;/FQL&gt;&lt;FQL&gt;&lt;Q&gt;Ticker0024^FE_ESTIMATE(SPEC_NO_CHANGE_2,MEAN,ANNUAL_ROLL,2017,45740,,,'')&lt;/Q&gt;&lt;R&gt;0&lt;/R&gt;&lt;C&gt;0&lt;/C&gt;&lt;/FQL&gt;&lt;FQL&gt;&lt;Q&gt;Ticker0024^FE_ESTIMATE(SPEC_NO_CHANGE_2,MEAN,QUARTERLY_ROLL,2017/4F,45740,,,'')&lt;/Q&gt;&lt;R&gt;0&lt;/R&gt;&lt;C&gt;0&lt;/C&gt;&lt;/FQL&gt;&lt;FQL&gt;&lt;Q&gt;Ticker0024^FE_ESTIMATE(SPEC_NO_CHANGE_2,MEAN,QUARTERLY_ROLL,2017/3F,45740,,,'')&lt;/Q&gt;&lt;R&gt;0&lt;/R&gt;&lt;C&gt;0&lt;/C&gt;&lt;/FQL&gt;&lt;FQL&gt;&lt;Q&gt;Ticker0024^FE_ESTIMATE(SPEC_NO_CHANGE_2,MEAN,QUARTERLY_ROLL,2017/2F,45740,,,'')&lt;/Q&gt;&lt;R&gt;0&lt;/R&gt;&lt;C&gt;0&lt;/C&gt;&lt;/FQL&gt;&lt;FQL&gt;&lt;Q&gt;Ticker0024^FE_ESTIMATE(SPEC_NO_CHANGE_2,MEAN,QUARTERLY_ROLL,2017/1F,45740,,,'')&lt;/Q&gt;&lt;R&gt;0&lt;/R&gt;&lt;C&gt;0&lt;/C&gt;&lt;/FQL&gt;&lt;FQL&gt;&lt;Q&gt;Ticker0024^FE_ESTIMATE(SPEC_NO_CHANGE_2,MEAN,ANNUAL_ROLL,2016,45740,,,'')&lt;/Q&gt;&lt;R&gt;0&lt;/R&gt;&lt;C&gt;0&lt;/C&gt;&lt;/FQL&gt;&lt;FQL&gt;&lt;Q&gt;Ticker0024^FE_ESTIMATE(SPEC_NO_CHANGE_2,MEAN,QUARTERLY_ROLL,2016/4F,45740,,,'')&lt;/Q&gt;&lt;R&gt;0&lt;/R&gt;&lt;C&gt;0&lt;/C&gt;&lt;/FQL&gt;&lt;FQL&gt;&lt;Q&gt;Ticker0024^FE_ESTIMATE(SPEC_NO_CHANGE_2,MEAN,QUARTERLY_ROLL,2016/3F,45740,,,'')&lt;/Q&gt;&lt;R&gt;0&lt;/R&gt;&lt;C&gt;0&lt;/C&gt;&lt;/FQL&gt;&lt;FQL&gt;&lt;Q&gt;Ticker0024^FE_ESTIMATE(SPEC_NO_CHANGE_2,MEAN,QUARTERLY_ROLL,2016/2F,45740,,,'')&lt;/Q&gt;&lt;R&gt;0&lt;/R&gt;&lt;C&gt;0&lt;/C&gt;&lt;/FQL&gt;&lt;FQL&gt;&lt;Q&gt;Ticker0024^FE_ESTIMATE(SPEC_NO_CHANGE_2,MEAN,QUARTERLY_ROLL,2016/1F,45740,,,'')&lt;/Q&gt;&lt;R&gt;0&lt;/R&gt;&lt;C&gt;0&lt;/C&gt;&lt;/FQL&gt;&lt;FQL&gt;&lt;Q&gt;Ticker0024^FE_ESTIMATE(SPEC_NO_CHANGE_2,MEAN,ANNUAL_ROLL,2015,45740,,,'')&lt;/Q&gt;&lt;R&gt;0&lt;/R&gt;&lt;C&gt;0&lt;/C&gt;&lt;/FQL&gt;&lt;FQL&gt;&lt;Q&gt;Ticker0024^FE_ESTIMATE(SPEC_NO_CHANGE_2,MEAN,QUARTERLY_ROLL,2015/4F,45740,,,'')&lt;/Q&gt;&lt;R&gt;0&lt;/R&gt;&lt;C&gt;0&lt;/C&gt;&lt;/FQL&gt;&lt;FQL&gt;&lt;Q&gt;Ticker0024^FE_ESTIMATE(SPEC_NO_CHANGE_2,MEAN,QUARTERLY_ROLL,2015/3F,45740,,,'')&lt;/Q&gt;&lt;R&gt;0&lt;/R&gt;&lt;C&gt;0&lt;/C&gt;&lt;/FQL&gt;&lt;FQL&gt;&lt;Q&gt;Ticker0024^FE_ESTIMATE(SPEC_NO_CHANGE_2,MEAN,QUARTERLY_ROLL,2015/2F,45740,,,'')&lt;/Q&gt;&lt;R&gt;0&lt;/R&gt;&lt;C&gt;0&lt;/C&gt;&lt;/FQL&gt;&lt;FQL&gt;&lt;Q&gt;Ticker0024^FE_ESTIMATE(SPEC_NO_CHANGE_2,MEAN,QUARTERLY_ROLL,2015/1F,45740,,,'')&lt;/Q&gt;&lt;R&gt;0&lt;/R&gt;&lt;C&gt;0&lt;/C&gt;&lt;/FQL&gt;&lt;FQL&gt;&lt;Q&gt;Ticker0024^FE_ESTIMATE(SPEC_NO_CHANGE_1,MEAN,ANNUAL_ROLL,2030,45740,,,'')&lt;/Q&gt;&lt;R&gt;0&lt;/R&gt;&lt;C&gt;0&lt;/C&gt;&lt;/FQL&gt;&lt;FQL&gt;&lt;Q&gt;Ticker0024^FE_ESTIMATE(SPEC_NO_CHANGE_1,MEAN,QUARTERLY_ROLL,2030/4F,45740,,,'')&lt;/Q&gt;&lt;R&gt;0&lt;/R&gt;&lt;C&gt;0&lt;/C&gt;&lt;/FQL&gt;&lt;FQL&gt;&lt;Q&gt;Ticker0024^FE_ESTIMATE(SPEC_NO_CHANGE_1,MEAN,QUARTERLY_ROLL,2030/3F,45740,,,'')&lt;/Q&gt;&lt;R&gt;0&lt;/R&gt;&lt;C&gt;0&lt;/C&gt;&lt;/FQL&gt;&lt;FQL&gt;&lt;Q&gt;Ticker0024^FE_ESTIMATE(SPEC_NO_CHANGE_1,MEAN,QUARTERLY_ROLL,2030/2F,45740,,,'')&lt;/Q&gt;&lt;R&gt;0&lt;/R&gt;&lt;C&gt;0&lt;/C&gt;&lt;/FQL&gt;&lt;FQL&gt;&lt;Q&gt;Ticker0024^FE_ESTIMATE(SPEC_NO_CHANGE_1,MEAN,QUARTERLY_ROLL,2030/1F,45740,,,'')&lt;/Q&gt;&lt;R&gt;0&lt;/R&gt;&lt;C&gt;0&lt;/C&gt;&lt;/FQL&gt;&lt;FQL&gt;&lt;Q&gt;Ticker0024^FE_ESTIMATE(SPEC_NO_CHANGE_1,MEAN,ANNUAL_ROLL,2029,45740,,,'')&lt;/Q&gt;&lt;R&gt;0&lt;/R&gt;&lt;C&gt;0&lt;/C&gt;&lt;/FQL&gt;&lt;FQL&gt;&lt;Q&gt;Ticker0024^FE_ESTIMATE(SPEC_NO_CHANGE_1,MEAN,QUARTERLY_ROLL,2029/4F,45740,,,'')&lt;/Q&gt;&lt;R&gt;0&lt;/R&gt;&lt;C&gt;0&lt;/C&gt;&lt;/FQL&gt;&lt;FQL&gt;&lt;Q&gt;Ticker0024^FE_ESTIMATE(SPEC_NO_CHANGE_1,MEAN,QUARTERLY_ROLL,2029/3F,45740,,,'')&lt;/Q&gt;&lt;R&gt;0&lt;/R&gt;&lt;C&gt;0&lt;/C&gt;&lt;/FQL&gt;&lt;FQL&gt;&lt;Q&gt;Ticker0024^FE_ESTIMATE(SPEC_NO_CHANGE_1,MEAN,QUARTERLY_ROLL,2029/2F,45740,,,'')&lt;/Q&gt;&lt;R&gt;0&lt;/R&gt;&lt;C&gt;0&lt;/C&gt;&lt;/FQL&gt;&lt;FQL&gt;&lt;Q&gt;Ticker0024^FE_ESTIMATE(SPEC_NO_CHANGE_1,MEAN,QUARTERLY_ROLL,2029/1F,45740,,,'')&lt;/Q&gt;&lt;R&gt;0&lt;/R&gt;&lt;C&gt;0&lt;/C&gt;&lt;/FQL&gt;&lt;FQL&gt;&lt;Q&gt;Ticker0024^FE_ESTIMATE(SPEC_NO_CHANGE_1,MEAN,ANNUAL_ROLL,2028,45740,,,'')&lt;/Q&gt;&lt;R&gt;0&lt;/R&gt;&lt;C&gt;0&lt;/C&gt;&lt;/FQL&gt;&lt;FQL&gt;&lt;Q&gt;Ticker0024^FE_ESTIMATE(SPEC_NO_CHANGE_1,MEAN,QUARTERLY_ROLL,2028/4F,45740,,,'')&lt;/Q&gt;&lt;R&gt;0&lt;/R&gt;&lt;C&gt;0&lt;/C&gt;&lt;/FQL&gt;&lt;FQL&gt;&lt;Q&gt;Ticker0024^FE_ESTIMATE(SPEC_NO_CHANGE_1,MEAN,QUARTERLY_ROLL,2028/3F,45740,,,'')&lt;/Q&gt;&lt;R&gt;0&lt;/R&gt;&lt;C&gt;0&lt;/C&gt;&lt;/FQL&gt;&lt;FQL&gt;&lt;Q&gt;Ticker0024^FE_ESTIMATE(SPEC_NO_CHANGE_1,MEAN,QUARTERLY_ROLL,2028/2F,45740,,,'')&lt;/Q&gt;&lt;R&gt;0&lt;/R&gt;&lt;C&gt;0&lt;/C&gt;&lt;/FQL&gt;&lt;FQL&gt;&lt;Q&gt;Ticker0024^FE_ESTIMATE(SPEC_NO_CHANGE_1,MEAN,QUARTERLY_ROLL,2028/1F,45740,,,'')&lt;/Q&gt;&lt;R&gt;0&lt;/R&gt;&lt;C&gt;0&lt;/C&gt;&lt;/FQL&gt;&lt;FQL&gt;&lt;Q&gt;Ticker0024^FE_ESTIMATE(SPEC_NO_CHANGE_1,MEAN,ANNUAL_ROLL,2027,45740,,,'')&lt;/Q&gt;&lt;R&gt;1&lt;/R&gt;&lt;C&gt;1&lt;/C&gt;&lt;D xsi:type="xsd:double"&gt;27.9&lt;/D&gt;&lt;/FQL&gt;&lt;FQL&gt;&lt;Q&gt;Ticker0024^FE_ESTIMATE(SPEC_NO_CHANGE_1,MEAN,QUARTERLY_ROLL,2027/4F,45740,,,'')&lt;/Q&gt;&lt;R&gt;0&lt;/R&gt;&lt;C&gt;0&lt;/C&gt;&lt;/FQL&gt;&lt;FQL&gt;&lt;Q&gt;Ticker0024^FE_ESTIMATE(SPEC_NO_CHANGE_1,MEAN,QUARTERLY_ROLL,2027/3F,45740,,,'')&lt;/Q&gt;&lt;R&gt;0&lt;/R&gt;&lt;C&gt;0&lt;/C&gt;&lt;/FQL&gt;&lt;FQL&gt;&lt;Q&gt;Ticker0024^FE_ESTIMATE(SPEC_NO_CHANGE_1,MEAN,QUARTERLY_ROLL,2027/2F,45740,,,'')&lt;/Q&gt;&lt;R&gt;0&lt;/R&gt;&lt;C&gt;0&lt;/C&gt;&lt;/FQL&gt;&lt;FQL&gt;&lt;Q&gt;Ticker0024^FE_ESTIMATE(SPEC_NO_CHANGE_1,MEAN,QUARTERLY_ROLL,2027/1F,45740,,,'')&lt;/Q&gt;&lt;R&gt;0&lt;/R&gt;&lt;C&gt;0&lt;/C&gt;&lt;/FQL&gt;&lt;FQL&gt;&lt;Q&gt;Ticker0024^FE_ESTIMATE(SPEC_NO_CHANGE_1,MEAN,ANNUAL_ROLL,2026,45740,,,'')&lt;/Q&gt;&lt;R&gt;1&lt;/R&gt;&lt;C&gt;1&lt;/C&gt;&lt;D xsi:type="xsd:double"&gt;30.35&lt;/D&gt;&lt;/FQL&gt;&lt;FQL&gt;&lt;Q&gt;Ticker0024^FE_ESTIMATE(SPEC_NO_CHANGE_1,MEAN,QUARTERLY_ROLL,2026/4F,45740,,,'')&lt;/Q&gt;&lt;R&gt;1&lt;/R&gt;&lt;C&gt;1&lt;/C&gt;&lt;D xsi:type="xsd:double"&gt;31&lt;/D&gt;&lt;/FQL&gt;&lt;FQL&gt;&lt;Q&gt;Ticker0024^FE_ESTIMATE(SPEC_NO_CHANGE_1,MEAN,QUARTERLY_ROLL,2026/3F,45740,,,'')&lt;/Q&gt;&lt;R&gt;1&lt;/R&gt;&lt;C&gt;1&lt;/C&gt;&lt;D xsi:type="xsd:double"&gt;30&lt;/D&gt;&lt;/FQL&gt;&lt;FQL&gt;&lt;Q&gt;Ticker0024^FE_ESTIMATE(SPEC_NO_CHANGE_1,MEAN,QUARTERLY_ROLL,2026/2F,45740,,,'')&lt;/Q&gt;&lt;R&gt;1&lt;/R&gt;&lt;C&gt;1&lt;/C&gt;&lt;D xsi:type="xsd:double"&gt;31&lt;/D&gt;&lt;/FQL&gt;&lt;FQL&gt;&lt;Q&gt;Ticker0024^FE_ESTIMATE(SPEC_NO_CHANGE_1,MEAN,QUARTERLY_ROLL,2026/1F,45740,,,'')&lt;/Q&gt;&lt;R&gt;1&lt;/R&gt;&lt;C&gt;1&lt;/C&gt;&lt;D xsi:type="xsd:double"&gt;31&lt;/D&gt;&lt;/FQL&gt;&lt;FQL&gt;&lt;Q&gt;Ticker0024^FE_ESTIMATE(SPEC_NO_CHANGE_1,MEAN,ANNUAL_ROLL,2025,45740,,,'')&lt;/Q&gt;&lt;R&gt;1&lt;/R&gt;&lt;C&gt;1&lt;/C&gt;&lt;D xsi:type="xsd:double"&gt;31.133333&lt;/D&gt;&lt;/FQL&gt;&lt;FQL&gt;&lt;Q&gt;Ticker0024^FE_ESTIMATE(SPEC_NO_CHANGE_1,MEAN,QUARTERLY_ROLL,2025/4F,45740,,,'')&lt;/Q&gt;&lt;R&gt;1&lt;/R&gt;&lt;C&gt;1&lt;/C&gt;&lt;D xsi:type="xsd:double"&gt;31.533333&lt;/D&gt;&lt;/FQL&gt;&lt;FQL&gt;&lt;Q&gt;Ticker0024^FE_ESTIMATE(SPEC_NO_CHANGE_1,MEAN,QUARTERLY_ROLL,2025/3F,45740,,,'')&lt;/Q&gt;&lt;R&gt;1&lt;/R&gt;&lt;C&gt;1&lt;/C&gt;&lt;D xsi:type="xsd:double"&gt;30.3&lt;/D&gt;&lt;/FQL&gt;&lt;FQL&gt;&lt;Q&gt;Ticker0024^FE_ESTIMATE(SPEC_NO_CHANGE_1,MEAN,QUARTERLY_ROLL,2025/2F,45740,,,'')&lt;/Q&gt;&lt;R&gt;1&lt;/R&gt;&lt;C&gt;1&lt;/C&gt;&lt;D xsi:type="xsd:double"&gt;31&lt;/D&gt;&lt;/FQL&gt;&lt;FQL&gt;&lt;Q&gt;Ticker0024^FE_ESTIMATE(SPEC_NO_CHANGE_1,MEAN,QUARTERLY_ROLL,2025/1F,45740,,,'')&lt;/Q&gt;&lt;R&gt;1&lt;/R&gt;&lt;C&gt;1&lt;/C&gt;&lt;D xsi:type="xsd:double"&gt;31.05&lt;/D&gt;&lt;/FQL&gt;&lt;FQL&gt;&lt;Q&gt;Ticker0024^FE_ESTIMATE(SPEC_NO_CHANGE_1,MEAN,ANNUAL_ROLL,2024,45740,,,'')&lt;/Q&gt;&lt;R&gt;1&lt;/R&gt;&lt;C&gt;1&lt;/C&gt;&lt;D xsi:type="xsd:double"&gt;29.966667&lt;/D&gt;&lt;/FQL&gt;&lt;FQL&gt;&lt;Q&gt;Ticker0024^FE_ESTIMATE(SPEC_NO_CHANGE_1,MEAN,QUARTERLY_ROLL,2024/4F,45740,,,'')&lt;/Q&gt;&lt;R&gt;1&lt;/R&gt;&lt;C&gt;1&lt;/C&gt;&lt;D xsi:type="xsd:double"&gt;28.933332&lt;/D&gt;&lt;/FQL&gt;&lt;FQL&gt;&lt;Q&gt;Ticker0024^FE_ESTIMATE(SPEC_NO_CHANGE_1,MEAN,QUARTERLY_ROLL,2024/3F,45740,,,'')&lt;/Q&gt;&lt;R&gt;1&lt;/R&gt;&lt;C&gt;1&lt;/C&gt;&lt;D xsi:type="xsd:double"&gt;31.02&lt;/D&gt;&lt;/FQL&gt;&lt;FQL&gt;&lt;Q&gt;Ticker0024^FE_ESTIMATE(SPEC_NO_CHANGE_1,MEAN,QUARTERLY_ROLL,2024/2F,45740,,,'')&lt;/Q&gt;&lt;R&gt;1&lt;/R&gt;&lt;C&gt;1&lt;/C&gt;&lt;D xsi:type="xsd:double"&gt;30.06&lt;/D&gt;&lt;/FQL&gt;&lt;FQL&gt;&lt;Q&gt;Ticker0024^FE_ESTIMATE(SPEC_NO_CHANGE_1,MEAN,QUARTERLY_ROLL,2024/1F,45740,,,'')&lt;/Q&gt;&lt;R&gt;1&lt;/R&gt;&lt;C&gt;1&lt;/C&gt;&lt;D xsi:type="xsd:double"&gt;29.066668&lt;/D&gt;&lt;/FQL&gt;&lt;FQL&gt;&lt;Q&gt;Ticker0024^FE_ESTIMATE(SPEC_NO_CHANGE_1,MEAN,ANNUAL_ROLL,2023,45740,,,'')&lt;/Q&gt;&lt;R&gt;1&lt;/R&gt;&lt;C&gt;1&lt;/C&gt;&lt;D xsi:type="xsd:double"&gt;29.166666&lt;/D&gt;&lt;/FQL&gt;&lt;FQL&gt;&lt;Q&gt;Ticker0024^FE_ESTIMATE(SPEC_NO_CHANGE_1,MEAN,QUARTERLY_ROLL,2023/4F,45740,,,'')&lt;/Q&gt;&lt;R&gt;1&lt;/R&gt;&lt;C&gt;1&lt;/C&gt;&lt;D xsi:type="xsd:double"&gt;25.916666&lt;/D&gt;&lt;/FQL&gt;&lt;FQL&gt;&lt;Q&gt;Ticker0024^FE_ESTIMATE(SPEC_NO_CHANGE_1,MEAN,QUARTERLY_ROLL,2023/3F,45740,,,'')&lt;/Q&gt;&lt;R&gt;1&lt;/R&gt;&lt;C&gt;1&lt;/C&gt;&lt;D xsi:type="xsd:double"&gt;27.766666&lt;/D&gt;&lt;/FQL&gt;&lt;FQL&gt;&lt;Q&gt;Ticker0024^FE_ESTIMATE(SPEC_NO_CHANGE_1,MEAN,QUARTERLY_ROLL,2023/2F,45740,,,'')&lt;/Q&gt;&lt;R&gt;1&lt;/R&gt;&lt;C&gt;1&lt;/C&gt;&lt;D xsi:type="xsd:double"&gt;31&lt;/D&gt;&lt;/FQL&gt;&lt;FQL&gt;&lt;Q&gt;Ticker0024^FE_ESTIMATE(SPEC_NO_CHANGE_1,MEAN,QUARTERLY_ROLL,2023/1F,45740,,,'')&lt;/Q&gt;&lt;R&gt;1&lt;/R&gt;&lt;C&gt;1&lt;/C&gt;&lt;D xsi:type="xsd:double"&gt;35&lt;/D&gt;&lt;/FQL&gt;&lt;FQL&gt;&lt;Q&gt;Ticker0024^FE_ESTIMATE(SPEC_NO_CHANGE_1,MEAN,ANNUAL_ROLL,2022,45740,,,'')&lt;/Q&gt;&lt;R&gt;1&lt;/R&gt;&lt;C&gt;1&lt;/C&gt;&lt;D xsi:type="xsd:double"&gt;45.05&lt;/D&gt;&lt;/FQL&gt;&lt;FQL&gt;&lt;Q&gt;Ticker0024^FE_ESTIMATE(SPEC_NO_CHANGE_1,MEAN,QUARTERLY_ROLL,2022/4F,45740,,,'')&lt;/Q&gt;&lt;R&gt;1&lt;/R&gt;&lt;C&gt;1&lt;/C&gt;&lt;D xsi:type="xsd:double"&gt;40&lt;/D&gt;&lt;/FQL&gt;&lt;FQL&gt;&lt;Q&gt;Ticker0024^FE_ESTIMATE(SPEC_NO_CHANGE_1,MEAN,QUARTERLY_ROLL,2022/3F,45740,,,'')&lt;/Q&gt;&lt;R&gt;1&lt;/R&gt;&lt;C&gt;1&lt;/C&gt;&lt;D xsi:type="xsd:double"&gt;46&lt;/D&gt;&lt;/FQL&gt;&lt;FQL&gt;&lt;Q&gt;Ticker0024^FE_ESTIMATE(SPEC_NO_CHANGE_1,MEAN,QUARTERLY_ROLL,2022/2F,45740,,,'')&lt;/Q&gt;&lt;R&gt;1&lt;/R&gt;&lt;C&gt;1&lt;/C&gt;&lt;D xsi:type="xsd:double"&gt;46&lt;/D&gt;&lt;/FQL&gt;&lt;FQL&gt;&lt;Q&gt;Ticker0024^FE_ESTIMATE(SPEC_NO_CHANGE_1,MEAN,QUARTERLY_ROLL,2022/1F,45740,,,'')&lt;/Q&gt;&lt;R&gt;1&lt;/R&gt;&lt;C&gt;1&lt;/C&gt;&lt;D xsi:type="xsd:double"&gt;50&lt;/D&gt;&lt;/FQL&gt;&lt;FQL&gt;&lt;Q&gt;Ticker0024^FE_ESTIMATE(SPEC_NO_CHANGE_1,MEAN,ANNUAL_ROLL,2021,45740,,,'')&lt;/Q&gt;&lt;R&gt;1&lt;/R&gt;&lt;C&gt;1&lt;/C&gt;&lt;D xsi:type="xsd:double"&gt;49.8&lt;/D&gt;&lt;/FQL&gt;&lt;FQL&gt;&lt;Q&gt;Ticker0024^FE_ESTIMATE(SPEC_NO_CHANGE_1,MEAN,QUARTERLY_ROLL,2021/4F,45740,,,'')&lt;/Q&gt;&lt;R&gt;1&lt;/R&gt;&lt;C&gt;1&lt;/C&gt;&lt;D xsi:type="xsd:double"&gt;51&lt;/D&gt;&lt;/FQL&gt;&lt;FQL&gt;&lt;Q&gt;Ticker0024^FE_ESTIMATE(SPEC_NO_CHANGE_1,MEAN,QUARTERLY_ROLL,2021/3F,45740,,,'')&lt;/Q&gt;&lt;R&gt;1&lt;/R&gt;&lt;C&gt;1&lt;/C&gt;&lt;D xsi:type="xsd:double"&gt;50&lt;/D&gt;&lt;/FQL&gt;&lt;FQL&gt;&lt;Q&gt;Ticker0024^FE_ESTIMATE(SPEC_NO_CHANGE_1,MEAN,QUARTERLY_ROLL,2021/2F,45740,,,'')&lt;/Q&gt;&lt;R&gt;1&lt;/R&gt;&lt;C&gt;1&lt;/C&gt;&lt;D xsi:type="xsd:double"&gt;50&lt;/D&gt;&lt;/FQL&gt;&lt;FQL&gt;&lt;Q&gt;Ticker0024^FE_ESTIMATE(SPEC_NO_CHANGE_1,MEAN,QUARTERLY_ROLL,2021/1F,45740,,,'')&lt;/Q&gt;&lt;R&gt;1&lt;/R&gt;&lt;C&gt;1&lt;/C&gt;&lt;D xsi:type="xsd:double"&gt;48&lt;/D&gt;&lt;/FQL&gt;&lt;FQL&gt;&lt;Q&gt;Ticker0024^FE_ESTIMATE(SPEC_NO_CHANGE_1,MEAN,ANNUAL_ROLL,2020,45740,,,'')&lt;/Q&gt;&lt;R&gt;0&lt;/R&gt;&lt;C&gt;0&lt;/C&gt;&lt;/FQL&gt;&lt;FQL&gt;&lt;Q&gt;Ticker0024^FE_ESTIMATE(SPEC_NO_CHANGE_1,MEAN,QUARTERLY_ROLL,2020/4F,45740,,,'')&lt;/Q&gt;&lt;R&gt;0&lt;/R&gt;&lt;C&gt;0&lt;/C&gt;&lt;/FQL&gt;&lt;FQL&gt;&lt;Q&gt;Ticker0024^FE_ESTIMATE(SPEC_NO_CHANGE_1,MEAN,QUARTERLY_ROLL,2020/3F,45740,,,'')&lt;/Q&gt;&lt;R&gt;0&lt;/R&gt;&lt;C&gt;0&lt;/C&gt;&lt;/FQL&gt;&lt;FQL&gt;&lt;Q&gt;Ticker0024^FE_ESTIMATE(SPEC_NO_CHANGE_1,MEAN,QUARTERLY_ROLL,2020/2F,45740,,,'')&lt;/Q&gt;&lt;R&gt;0&lt;/R&gt;&lt;C&gt;0&lt;/C&gt;&lt;/FQL&gt;&lt;FQL&gt;&lt;Q&gt;Ticker0024^FE_ESTIMATE(SPEC_NO_CHANGE_1,MEAN,QUARTERLY_ROLL,2020/1F,45740,,,'')&lt;/Q&gt;&lt;R&gt;0&lt;/R&gt;&lt;C&gt;0&lt;/C&gt;&lt;/FQL&gt;&lt;FQL&gt;&lt;Q&gt;Ticker0024^FE_ESTIMATE(SPEC_NO_CHANGE_1,MEAN,ANNUAL_ROLL,2019,45740,,,'')&lt;/Q&gt;&lt;R&gt;0&lt;/R&gt;&lt;C&gt;0&lt;/C&gt;&lt;/FQL&gt;&lt;FQL&gt;&lt;Q&gt;Ticker0024^FE_ESTIMATE(SPEC_NO_CHANGE_1,MEAN,QUARTERLY_ROLL,2019/4F,45740,,,'')&lt;/Q&gt;&lt;R&gt;0&lt;/R&gt;&lt;C&gt;0&lt;/C&gt;&lt;/FQL&gt;&lt;FQL&gt;&lt;Q&gt;Ticker0024^FE_ESTIMATE(SPEC_NO_CHANGE_1,MEAN,QUARTERLY_ROLL,2019/3F,45740,,,'')&lt;/Q&gt;&lt;R&gt;0&lt;/R&gt;&lt;C&gt;0&lt;/C&gt;&lt;/FQL&gt;&lt;FQL&gt;&lt;Q&gt;Ticker0024^FE_ESTIMATE(SPEC_NO_CHANGE_1,MEAN,QUARTERLY_ROLL,2019/2F,45740,,,'')&lt;/Q&gt;&lt;R&gt;0&lt;/R&gt;&lt;C&gt;0&lt;/C&gt;&lt;/FQL&gt;&lt;FQL&gt;&lt;Q&gt;Ticker0024^FE_ESTIMATE(SPEC_NO_CHANGE_1,MEAN,QUARTERLY_ROLL,2019/1F,45740,,,'')&lt;/Q&gt;&lt;R&gt;0&lt;/R&gt;&lt;C&gt;0&lt;/C&gt;&lt;/FQL&gt;&lt;FQL&gt;&lt;Q&gt;Ticker0024^FE_ESTIMATE(SPEC_NO_CHANGE_1,MEAN,ANNUAL_ROLL,2018,45740,,,'')&lt;/Q&gt;&lt;R&gt;0&lt;/R&gt;&lt;C&gt;0&lt;/C&gt;&lt;/FQL&gt;&lt;FQL&gt;&lt;Q&gt;Ticker0024^FE_ESTIMATE(SPEC_NO_CHANGE_1,MEAN,QUARTERLY_ROLL,2018/4F,45740,,,'')&lt;/Q&gt;&lt;R&gt;0&lt;/R&gt;&lt;C&gt;0&lt;/C&gt;&lt;/FQL&gt;&lt;FQL&gt;&lt;Q&gt;Ticker0024^FE_ESTIMATE(SPEC_NO_CHANGE_1,MEAN,QUARTERLY_ROLL,2018/3F,45740,,,'')&lt;/Q&gt;&lt;R&gt;0&lt;/R&gt;&lt;C&gt;0&lt;/C&gt;&lt;/FQL&gt;&lt;FQL&gt;&lt;Q&gt;Ticker0024^FE_ESTIMATE(SPEC_NO_CHANGE_1,MEAN,QUARTERLY_ROLL,2018/2F,45740,,,'')&lt;/Q&gt;&lt;R&gt;0&lt;/R&gt;&lt;C&gt;0&lt;/C&gt;&lt;/FQL&gt;&lt;FQL&gt;&lt;Q&gt;Ticker0024^FE_ESTIMATE(SPEC_NO_CHANGE_1,MEAN,QUARTERLY_ROLL,2018/1F,45740,,,'')&lt;/Q&gt;&lt;R&gt;0&lt;/R&gt;&lt;C&gt;0&lt;/C&gt;&lt;/FQL&gt;&lt;FQL&gt;&lt;Q&gt;Ticker0024^FE_ESTIMATE(SPEC_NO_CHANGE_1,MEAN,ANNUAL_ROLL,2017,45740,,,'')&lt;/Q&gt;&lt;R&gt;0&lt;/R&gt;&lt;C&gt;0&lt;/C&gt;&lt;/FQL&gt;&lt;FQL&gt;&lt;Q&gt;Ticker0024^FE_ESTIMATE(SPEC_NO_CHANGE_1,MEAN,QUARTERLY_ROLL,2017/4F,45740,,,'')&lt;/Q&gt;&lt;R&gt;0&lt;/R&gt;&lt;C&gt;0&lt;/C&gt;&lt;/FQL&gt;&lt;FQL&gt;&lt;Q&gt;Ticker0024^FE_ESTIMATE(SPEC_NO_CHANGE_1,MEAN,QUARTERLY_ROLL,2017/3F,45740,,,'')&lt;/Q&gt;&lt;R&gt;0&lt;/R&gt;&lt;C&gt;0&lt;/C&gt;&lt;/FQL&gt;&lt;FQL&gt;&lt;Q&gt;Ticker0024^FE_ESTIMATE(SPEC_NO_CHANGE_1,MEAN,QUARTERLY_ROLL,2017/2F,45740,,,'')&lt;/Q&gt;&lt;R&gt;0&lt;/R&gt;&lt;C&gt;0&lt;/C&gt;&lt;/FQL&gt;&lt;FQL&gt;&lt;Q&gt;Ticker0024^FE_ESTIMATE(SPEC_NO_CHANGE_1,MEAN,QUARTERLY_ROLL,2017/1F,45740,,,'')&lt;/Q&gt;&lt;R&gt;0&lt;/R&gt;&lt;C&gt;0&lt;/C&gt;&lt;/FQL&gt;&lt;FQL&gt;&lt;Q&gt;Ticker0024^FE_ESTIMATE(SPEC_NO_CHANGE_1,MEAN,ANNUAL_ROLL,2016,45740,,,'')&lt;/Q&gt;&lt;R&gt;0&lt;/R&gt;&lt;C&gt;0&lt;/C&gt;&lt;/FQL&gt;&lt;FQL&gt;&lt;Q&gt;Ticker0024^FE_ESTIMATE(SPEC_NO_CHANGE_1,MEAN,QUARTERLY_ROLL,2016/4F,45740,,,'')&lt;/Q&gt;&lt;R&gt;0&lt;/R&gt;&lt;C&gt;0&lt;/C&gt;&lt;/FQL&gt;&lt;FQL&gt;&lt;Q&gt;Ticker0024^FE_ESTIMATE(SPEC_NO_CHANGE_1,MEAN,QUARTERLY_ROLL,2016/3F,45740,,,'')&lt;/Q&gt;&lt;R&gt;0&lt;/R&gt;&lt;C&gt;0&lt;/C&gt;&lt;/FQL&gt;&lt;FQL&gt;&lt;Q&gt;Ticker0024^FE_ESTIMATE(SPEC_NO_CHANGE_1,MEAN,QUARTERLY_ROLL,2016/2F,45740,,,'')&lt;/Q&gt;&lt;R&gt;0&lt;/R&gt;&lt;C&gt;0&lt;/C&gt;&lt;/FQL&gt;&lt;FQL&gt;&lt;Q&gt;Ticker0024^FE_ESTIMATE(SPEC_NO_CHANGE_1,MEAN,QUARTERLY_ROLL,2016/1F,45740,,,'')&lt;/Q&gt;&lt;R&gt;0&lt;/R&gt;&lt;C&gt;0&lt;/C&gt;&lt;/FQL&gt;&lt;FQL&gt;&lt;Q&gt;Ticker0024^FE_ESTIMATE(SPEC_NO_CHANGE_1,MEAN,ANNUAL_ROLL,2015,45740,,,'')&lt;/Q&gt;&lt;R&gt;0&lt;/R&gt;&lt;C&gt;0&lt;/C&gt;&lt;/FQL&gt;&lt;FQL&gt;&lt;Q&gt;Ticker0024^FE_ESTIMATE(SPEC_NO_CHANGE_1,MEAN,QUARTERLY_ROLL,2015/4F,45740,,,'')&lt;/Q&gt;&lt;R&gt;0&lt;/R&gt;&lt;C&gt;0&lt;/C&gt;&lt;/FQL&gt;&lt;FQL&gt;&lt;Q&gt;Ticker0024^FE_ESTIMATE(SPEC_NO_CHANGE_1,MEAN,QUARTERLY_ROLL,2015/3F,45740,,,'')&lt;/Q&gt;&lt;R&gt;0&lt;/R&gt;&lt;C&gt;0&lt;/C&gt;&lt;/FQL&gt;&lt;FQL&gt;&lt;Q&gt;Ticker0024^FE_ESTIMATE(SPEC_NO_CHANGE_1,MEAN,QUARTERLY_ROLL,2015/2F,45740,,,'')&lt;/Q&gt;&lt;R&gt;0&lt;/R&gt;&lt;C&gt;0&lt;/C&gt;&lt;/FQL&gt;&lt;FQL&gt;&lt;Q&gt;Ticker0024^FE_ESTIMATE(SPEC_NO_CHANGE_1,MEAN,QUARTERLY_ROLL,2015/1F,45740,,,'')&lt;/Q&gt;&lt;R&gt;0&lt;/R&gt;&lt;C&gt;0&lt;/C&gt;&lt;/FQL&gt;&lt;FQL&gt;&lt;Q&gt;Ticker0024^FE_ESTIMATE(NEW_ORDERS_VALUE,MEAN,ANNUAL_ROLL,2030,45740,,,'')&lt;/Q&gt;&lt;R&gt;0&lt;/R&gt;&lt;C&gt;0&lt;/C&gt;&lt;/FQL&gt;&lt;FQL&gt;&lt;Q&gt;Ticker0024^FE_ESTIMATE(NEW_ORDERS_VALUE,MEAN,QUARTERLY_ROLL,2030/4F,45740,,,'')&lt;/Q&gt;&lt;R&gt;0&lt;/R&gt;&lt;C&gt;0&lt;/C&gt;&lt;/FQL&gt;&lt;FQL&gt;&lt;Q&gt;Ticker0024^FE_ESTIMATE(NEW_ORDERS_VALUE,MEAN,QUARTERLY_ROLL,2030/3F,45740,,,'')&lt;/Q&gt;&lt;R&gt;0&lt;/R&gt;&lt;C&gt;0&lt;/C&gt;&lt;/FQL&gt;&lt;FQL&gt;&lt;Q&gt;Ticker0024^FE_ESTIMATE(NEW_ORDERS_VALUE,MEAN,QUARTERLY_ROLL,2030/2F,45740,,,'')&lt;/Q&gt;&lt;R&gt;0&lt;/R&gt;&lt;C&gt;0&lt;/C&gt;&lt;/FQL&gt;&lt;FQL&gt;&lt;Q&gt;Ticker0024^FE_ESTIMATE(NEW_ORDERS_VALUE,MEAN,QUARTERLY_ROLL,2030/1F,45740,,,'')&lt;/Q&gt;&lt;R&gt;0&lt;/R&gt;&lt;C&gt;0&lt;/C&gt;&lt;/FQL&gt;&lt;FQL&gt;&lt;Q&gt;Ticker0024^FE_ESTIMATE(NEW_ORDERS_VALUE,MEAN,ANNUAL_ROLL,2029,45740,,,'')&lt;/Q&gt;&lt;R&gt;0&lt;/R&gt;&lt;C&gt;0&lt;/C&gt;&lt;/FQL&gt;&lt;FQL&gt;&lt;Q&gt;Ticker0024^FE_ESTIMATE(NEW_ORDERS_VALUE,MEAN,QUARTERLY_ROLL,2029/4F,45740,,,'')&lt;/Q&gt;&lt;R&gt;0&lt;/R&gt;&lt;C&gt;0&lt;/C&gt;&lt;/FQL&gt;&lt;FQL&gt;&lt;Q&gt;Ticker0024^FE_ESTIMATE(NEW_ORDERS_VALUE,MEAN,QUARTERLY_ROLL,2029/3F,45740,,,'')&lt;/Q&gt;&lt;R&gt;0&lt;/R&gt;&lt;C&gt;0&lt;/C&gt;&lt;/FQL&gt;&lt;FQL&gt;&lt;Q&gt;Ticker0024^FE_ESTIMATE(NEW_ORDERS_VALUE,MEAN,QUARTERLY_ROLL,2029/2F,45740,,,'')&lt;/Q&gt;&lt;R&gt;0&lt;/R&gt;&lt;C&gt;0&lt;/C&gt;&lt;/FQL&gt;&lt;FQL&gt;&lt;Q&gt;Ticker0024^FE_ESTIMATE(NEW_ORDERS_VALUE,MEAN,QUARTERLY_ROLL,2029/1F,45740,,,'')&lt;/Q&gt;&lt;R&gt;0&lt;/R&gt;&lt;C&gt;0&lt;/C&gt;&lt;/FQL&gt;&lt;FQL&gt;&lt;Q&gt;Ticker0024^FE_ESTIMATE(NEW_ORDERS_VALUE,MEAN,ANNUAL_ROLL,2028,45740,,,'')&lt;/Q&gt;&lt;R&gt;0&lt;/R&gt;&lt;C&gt;0&lt;/C&gt;&lt;/FQL&gt;&lt;FQL&gt;&lt;Q&gt;Ticker0024^FE_ESTIMATE(NEW_ORDERS_VALUE,MEAN,QUARTERLY_ROLL,2028/4F,45740,,,'')&lt;/Q&gt;&lt;R&gt;0&lt;/R&gt;&lt;C&gt;0&lt;/C&gt;&lt;/FQL&gt;&lt;FQL&gt;&lt;Q&gt;Ticker0024^FE_ESTIMATE(NEW_ORDERS_VALUE,MEAN,QUARTERLY_ROLL,2028/3F,45740,,,'')&lt;/Q&gt;&lt;R&gt;0&lt;/R&gt;&lt;C&gt;0&lt;/C&gt;&lt;/FQL&gt;&lt;FQL&gt;&lt;Q&gt;Ticker0024^FE_ESTIMATE(NEW_ORDERS_VALUE,MEAN,QUARTERLY_ROLL,2028/2F,45740,,,'')&lt;/Q&gt;&lt;R&gt;0&lt;/R&gt;&lt;C&gt;0&lt;/C&gt;&lt;/FQL&gt;&lt;FQL&gt;&lt;Q&gt;Ticker0024^FE_ESTIMATE(NEW_ORDERS_VALUE,MEAN,QUARTERLY_ROLL,2028/1F,45740,,,'')&lt;/Q&gt;&lt;R&gt;0&lt;/R&gt;&lt;C&gt;0&lt;/C&gt;&lt;/FQL&gt;&lt;FQL&gt;&lt;Q&gt;Ticker0024^FE_ESTIMATE(NEW_ORDERS_VALUE,MEAN,ANNUAL_ROLL,2027,45740,,,'')&lt;/Q&gt;&lt;R&gt;0&lt;/R&gt;&lt;C&gt;0&lt;/C&gt;&lt;/FQL&gt;&lt;FQL&gt;&lt;Q&gt;Ticker0024^FE_ESTIMATE(NEW_ORDERS_VALUE,MEAN,QUARTERLY_ROLL,2027/4F,45740,,,'')&lt;/Q&gt;&lt;R&gt;0&lt;/R&gt;&lt;C&gt;0&lt;/C&gt;&lt;/FQL&gt;&lt;FQL&gt;&lt;Q&gt;Ticker0024^FE_ESTIMATE(NEW_ORDERS_VALUE,MEAN,QUARTERLY_ROLL,2027/3F,45740,,,'')&lt;/Q&gt;&lt;R&gt;0&lt;/R&gt;&lt;C&gt;0&lt;/C&gt;&lt;/FQL&gt;&lt;FQL&gt;&lt;Q&gt;Ticker0024^FE_ESTIMATE(NEW_ORDERS_VALUE,MEAN,QUARTERLY_ROLL,2027/2F,45740,,,'')&lt;/Q&gt;&lt;R&gt;0&lt;/R&gt;&lt;C&gt;0&lt;/C&gt;&lt;/FQL&gt;&lt;FQL&gt;&lt;Q&gt;Ticker0024^FE_ESTIMATE(NEW_ORDERS_VALUE,MEAN,QUARTERLY_ROLL,2027/1F,45740,,,'')&lt;/Q&gt;&lt;R&gt;0&lt;/R&gt;&lt;C&gt;0&lt;/C&gt;&lt;/FQL&gt;&lt;FQL&gt;&lt;Q&gt;Ticker0024^FE_ESTIMATE(NEW_ORDERS_VALUE,MEAN,ANNUAL_ROLL,2026,45740,,,'')&lt;/Q&gt;&lt;R&gt;1&lt;/R&gt;&lt;C&gt;1&lt;/C&gt;&lt;D xsi:type="xsd:double"&gt;313347&lt;/D&gt;&lt;/FQL&gt;&lt;FQL&gt;&lt;Q&gt;Ticker0024^FE_ESTIMATE(NEW_ORDERS_VALUE,MEAN,QUARTERLY_ROLL,2026/4F,45740,,,'')&lt;/Q&gt;&lt;R&gt;0&lt;/R&gt;&lt;C&gt;0&lt;/C&gt;&lt;/FQL&gt;&lt;FQL&gt;&lt;Q&gt;Ticker0024^FE_ESTIMATE(NEW_ORDERS_VALUE,MEAN,QUARTERLY_ROLL,2026/3F,45740,,,'')&lt;/Q&gt;&lt;R&gt;0&lt;/R&gt;&lt;C&gt;0&lt;/C&gt;&lt;/FQL&gt;&lt;FQL&gt;&lt;Q&gt;Ticker0024^FE_ESTIMATE(NEW_ORDERS_VALUE,MEAN,QUARTERLY_ROLL,2026/2F,45740,,,'')&lt;/Q&gt;&lt;R&gt;0&lt;/R&gt;&lt;C&gt;0&lt;/C&gt;&lt;/FQL&gt;&lt;FQL&gt;&lt;Q&gt;Ticker0024^FE_ESTIMATE(NEW_ORDERS_VALUE,MEAN,QUARTERLY_ROLL,2026/1F,45740,,,'')&lt;/Q&gt;&lt;R&gt;0&lt;/R&gt;&lt;C&gt;0&lt;/C&gt;&lt;/FQL&gt;&lt;FQL&gt;&lt;Q&gt;Ticker0024^FE_ESTIMATE(NEW_ORDERS_VALUE,MEAN,ANNUAL_ROLL,2025,45740,,,'')&lt;/Q&gt;&lt;R&gt;1&lt;/R&gt;&lt;C&gt;1&lt;/C&gt;&lt;D xsi:type="xsd:double"&gt;282234&lt;/D&gt;&lt;/FQL&gt;&lt;FQL&gt;&lt;Q&gt;Ticker0024^FE_ESTIMATE(NEW_ORDERS_VALUE,MEAN,QUARTERLY_ROLL,2025/4F,45740,,,'')&lt;/Q&gt;&lt;R&gt;1&lt;/R&gt;&lt;C&gt;1&lt;/C&gt;&lt;D xsi:type="xsd:double"&gt;88306&lt;/D&gt;&lt;/FQL&gt;&lt;FQL&gt;&lt;Q&gt;Ticker0024^FE_ESTIMATE(NEW_ORDERS_VALUE,MEAN,QUARTERLY_ROLL,2025/3F,45740,,,'')&lt;/Q&gt;&lt;R&gt;1&lt;/R&gt;&lt;C&gt;1&lt;/C&gt;&lt;D xsi:type="xsd:double"&gt;70850&lt;/D&gt;&lt;/FQL&gt;&lt;FQL&gt;&lt;Q&gt;Ticker0024^FE_ESTIMATE(NEW_ORDERS_VALUE,MEAN,QUARTERLY_ROLL,2025/2F,45740,,,'')&lt;/Q&gt;&lt;R&gt;1&lt;/R&gt;&lt;C&gt;1&lt;/C&gt;&lt;D xsi:type="xsd:double"&gt;61988&lt;/D&gt;&lt;/FQL&gt;&lt;FQL&gt;&lt;Q&gt;Ticker0024^FE_ESTIMATE(NEW_ORDERS_VALUE,MEAN,QUARTERLY_ROLL,2025/1F,45740,,,'')&lt;/Q&gt;&lt;R&gt;0&lt;/R&gt;&lt;C&gt;0&lt;/C&gt;&lt;/FQL&gt;&lt;FQL&gt;&lt;Q&gt;Ticker0024^FE_ESTIMATE(NEW_ORDERS_VALUE,MEAN,ANNUAL_ROLL,2024,45740,,,'')&lt;/Q&gt;&lt;R&gt;0&lt;/R&gt;&lt;C&gt;0&lt;/C&gt;&lt;/FQL&gt;&lt;FQL&gt;&lt;Q&gt;Ticker0024^FE_ESTIMATE(NEW_ORDERS_VALUE,MEAN,QUARTERLY_ROLL,2024/4F,45740,,,'')&lt;/Q&gt;&lt;R&gt;0&lt;/R&gt;&lt;C&gt;0&lt;/C&gt;&lt;/FQL&gt;&lt;FQL&gt;&lt;Q&gt;Ticker0024^FE_ESTIMATE(NEW_ORDERS_VALUE,MEAN,QUARTERLY_ROLL,2024/3F,45740,,,'')&lt;/Q&gt;&lt;R&gt;0&lt;/R&gt;&lt;C&gt;0&lt;/C&gt;&lt;/FQL&gt;&lt;FQL&gt;&lt;Q&gt;Ticker0024^FE_ESTIMATE(NEW_ORDERS_VALUE,MEAN,QUARTERLY_ROLL,2024/2F,45740,,,'')&lt;/Q&gt;&lt;R&gt;0&lt;/R&gt;&lt;C&gt;0&lt;/C&gt;&lt;/FQL&gt;&lt;FQL&gt;&lt;Q&gt;Ticker0024^FE_ESTIMATE(NEW_ORDERS_VALUE,MEAN,QUARTERLY_ROLL,2024/1F,45740,,,'')&lt;/Q&gt;&lt;R&gt;0&lt;/R&gt;&lt;C&gt;0&lt;/C&gt;&lt;/FQL&gt;&lt;FQL&gt;&lt;Q&gt;Ticker0024^FE_ESTIMATE(NEW_ORDERS_VALUE,MEAN,ANNUAL_ROLL,2023,45740,,,'')&lt;/Q&gt;&lt;R&gt;1&lt;/R&gt;&lt;C&gt;1&lt;/C&gt;&lt;D xsi:type="xsd:double"&gt;217320&lt;/D&gt;&lt;/FQL&gt;&lt;FQL&gt;&lt;Q&gt;Ticker0024^FE_ESTIMATE(NEW_ORDERS_VALUE,MEAN,QUARTERLY_ROLL,2023/4F,45740,,,'')&lt;/Q&gt;&lt;R&gt;1&lt;/R&gt;&lt;C&gt;1&lt;/C&gt;&lt;D xsi:type="xsd:double"&gt;70401&lt;/D&gt;&lt;/FQL&gt;&lt;FQL&gt;&lt;Q&gt;Ticker0024^FE_ESTIMATE(NEW_ORDERS_VALUE,MEAN,QUARTERLY_ROLL,2023/3F,45740,,,'')&lt;/Q&gt;&lt;R&gt;1&lt;/R&gt;&lt;C&gt;1&lt;/C&gt;&lt;D xsi:type="xsd:double"&gt;52832&lt;/D&gt;&lt;/FQL&gt;&lt;FQL&gt;&lt;Q&gt;Ticker0024^FE_ESTIMATE(NEW_ORDERS_VALUE,MEAN,QUARTERLY_ROLL,2023/2F,45740,,,'')&lt;/Q&gt;&lt;R&gt;1&lt;/R&gt;&lt;C&gt;1&lt;/C&gt;&lt;D xsi:type="xsd:double"&gt;48484&lt;/D&gt;&lt;/FQL&gt;&lt;FQL&gt;&lt;Q&gt;Ticker0024^FE_ESTIMATE(NEW_ORDERS_VALUE,MEAN,QUARTERLY_ROLL,2023/1F,45740,,,'')&lt;/Q&gt;&lt;R&gt;1&lt;/R&gt;&lt;C&gt;1&lt;/C&gt;&lt;D xsi:type="xsd:double"&gt;45603&lt;/D&gt;&lt;/FQL&gt;&lt;FQL&gt;&lt;Q&gt;Ticker0024^FE_ESTIMATE(NEW_ORDERS_VALUE,MEAN,ANNUAL_ROLL,2022,45740,,,'')&lt;/Q&gt;&lt;R&gt;1&lt;/R&gt;&lt;C&gt;1&lt;/C&gt;&lt;D xsi:type="xsd:double"&gt;202537&lt;/D&gt;&lt;/FQL&gt;&lt;FQL&gt;&lt;Q&gt;Ticker0024^FE_ESTIMATE(NEW_ORDERS_VALUE,MEAN,QUARTERLY_ROLL,2022/4F,45740,,,'')&lt;/Q&gt;&lt;R&gt;1&lt;/R&gt;&lt;C&gt;1&lt;/C&gt;&lt;D xsi:type="xsd:double"&gt;63477&lt;/D&gt;&lt;/FQL&gt;&lt;FQL&gt;&lt;Q&gt;Ticker0024^FE_ESTIMATE(NEW_ORDERS_VALUE,MEAN,QUARTERLY_ROLL,2022/3F,45740,,,'')&lt;/Q&gt;&lt;R&gt;1&lt;/R&gt;&lt;C&gt;1&lt;/C&gt;&lt;D xsi:type="xsd:double"&gt;49387&lt;/D&gt;&lt;/FQL&gt;&lt;FQL&gt;&lt;Q&gt;Ticker0024^FE_ESTIMATE(NEW_ORDERS_VALUE,MEAN,QUARTERLY_ROLL,2022/2F,45740,,,'')&lt;/Q&gt;&lt;R&gt;1&lt;/R&gt;&lt;C&gt;1&lt;/C&gt;&lt;D xsi:type="xsd:double"&gt;47482&lt;/D&gt;&lt;/FQL&gt;&lt;FQL&gt;&lt;Q&gt;Ticker0024^FE_ESTIMATE(NEW_ORDERS_VALUE,MEAN,QUARTERLY_ROLL,2022/1F,45740,,,'')&lt;/Q&gt;&lt;R&gt;1&lt;/R&gt;&lt;C&gt;1&lt;/C&gt;&lt;D xsi:type="xsd:double"&gt;42191&lt;/D&gt;&lt;/FQL&gt;&lt;FQL&gt;&lt;Q&gt;Ticker0024^FE_ESTIMATE(NEW_ORDERS_VALUE,MEAN,ANNUAL_ROLL,2021,45740,,,'')&lt;/Q&gt;&lt;R&gt;1&lt;/R&gt;&lt;C&gt;1&lt;/C&gt;&lt;D xsi:type="xsd:double"&gt;173049&lt;/D&gt;&lt;/FQL&gt;&lt;FQL&gt;&lt;Q&gt;Ticker0024^FE_ESTIMATE(NEW_ORDERS_VALUE,MEAN,QUA</t>
        </r>
      </text>
    </comment>
    <comment ref="A21" authorId="0" shapeId="0" xr:uid="{86692255-ED19-4179-948B-7679068D5F95}">
      <text>
        <r>
          <rPr>
            <b/>
            <sz val="9"/>
            <color indexed="81"/>
            <rFont val="Tahoma"/>
            <family val="2"/>
          </rPr>
          <t>RTERLY_ROLL,2021/4F,45740,,,'')&lt;/Q&gt;&lt;R&gt;1&lt;/R&gt;&lt;C&gt;1&lt;/C&gt;&lt;D xsi:type="xsd:double"&gt;57579&lt;/D&gt;&lt;/FQL&gt;&lt;FQL&gt;&lt;Q&gt;Ticker0024^FE_ESTIMATE(NEW_ORDERS_VALUE,MEAN,QUARTERLY_ROLL,2021/3F,45740,,,'')&lt;/Q&gt;&lt;R&gt;1&lt;/R&gt;&lt;C&gt;1&lt;/C&gt;&lt;D xsi:type="xsd:double"&gt;40710.5&lt;/D&gt;&lt;/FQL&gt;&lt;FQL&gt;&lt;Q&gt;Ticker0024^FE_ESTIMATE(NEW_ORDERS_VALUE,MEAN,QUARTERLY_ROLL,2021/2F,45740,,,'')&lt;/Q&gt;&lt;R&gt;1&lt;/R&gt;&lt;C&gt;1&lt;/C&gt;&lt;D xsi:type="xsd:double"&gt;40158&lt;/D&gt;&lt;/FQL&gt;&lt;FQL&gt;&lt;Q&gt;Ticker0024^FE_ESTIMATE(NEW_ORDERS_VALUE,MEAN,QUARTERLY_ROLL,2021/1F,45740,,,'')&lt;/Q&gt;&lt;R&gt;1&lt;/R&gt;&lt;C&gt;1&lt;/C&gt;&lt;D xsi:type="xsd:double"&gt;34160.5&lt;/D&gt;&lt;/FQL&gt;&lt;FQL&gt;&lt;Q&gt;Ticker0024^FE_ESTIMATE(NEW_ORDERS_VALUE,MEAN,ANNUAL_ROLL,2020,45740,,,'')&lt;/Q&gt;&lt;R&gt;0&lt;/R&gt;&lt;C&gt;0&lt;/C&gt;&lt;/FQL&gt;&lt;FQL&gt;&lt;Q&gt;Ticker0024^FE_ESTIMATE(NEW_ORDERS_VALUE,MEAN,QUARTERLY_ROLL,2020/4F,45740,,,'')&lt;/Q&gt;&lt;R&gt;0&lt;/R&gt;&lt;C&gt;0&lt;/C&gt;&lt;/FQL&gt;&lt;FQL&gt;&lt;Q&gt;Ticker0024^FE_ESTIMATE(NEW_ORDERS_VALUE,MEAN,QUARTERLY_ROLL,2020/3F,45740,,,'')&lt;/Q&gt;&lt;R&gt;0&lt;/R&gt;&lt;C&gt;0&lt;/C&gt;&lt;/FQL&gt;&lt;FQL&gt;&lt;Q&gt;Ticker0024^FE_ESTIMATE(NEW_ORDERS_VALUE,MEAN,QUARTERLY_ROLL,2020/2F,45740,,,'')&lt;/Q&gt;&lt;R&gt;1&lt;/R&gt;&lt;C&gt;1&lt;/C&gt;&lt;D xsi:type="xsd:double"&gt;34101&lt;/D&gt;&lt;/FQL&gt;&lt;FQL&gt;&lt;Q&gt;Ticker0024^FE_ESTIMATE(NEW_ORDERS_VALUE,MEAN,QUARTERLY_ROLL,2020/1F,45740,,,'')&lt;/Q&gt;&lt;R&gt;1&lt;/R&gt;&lt;C&gt;1&lt;/C&gt;&lt;D xsi:type="xsd:double"&gt;29875&lt;/D&gt;&lt;/FQL&gt;&lt;FQL&gt;&lt;Q&gt;Ticker0024^FE_ESTIMATE(NEW_ORDERS_VALUE,MEAN,ANNUAL_ROLL,2019,45740,,,'')&lt;/Q&gt;&lt;R&gt;1&lt;/R&gt;&lt;C&gt;1&lt;/C&gt;&lt;D xsi:type="xsd:double"&gt;130329&lt;/D&gt;&lt;/FQL&gt;&lt;FQL&gt;&lt;Q&gt;Ticker0024^FE_ESTIMATE(NEW_ORDERS_VALUE,MEAN,QUARTERLY_ROLL,2019/4F,45740,,,'')&lt;/Q&gt;&lt;R&gt;1&lt;/R&gt;&lt;C&gt;1&lt;/C&gt;&lt;D xsi:type="xsd:double"&gt;42788&lt;/D&gt;&lt;/FQL&gt;&lt;FQL&gt;&lt;Q&gt;Ticker0024^FE_ESTIMATE(NEW_ORDERS_VALUE,MEAN,QUARTERLY_ROLL,2019/3F,45740,,,'')&lt;/Q&gt;&lt;R&gt;1&lt;/R&gt;&lt;C&gt;1&lt;/C&gt;&lt;D xsi:type="xsd:double"&gt;30622&lt;/D&gt;&lt;/FQL&gt;&lt;FQL&gt;&lt;Q&gt;Ticker0024^FE_ESTIMATE(NEW_ORDERS_VALUE,MEAN,QUARTERLY_ROLL,2019/2F,45740,,,'')&lt;/Q&gt;&lt;R&gt;1&lt;/R&gt;&lt;C&gt;1&lt;/C&gt;&lt;D xsi:type="xsd:double"&gt;30313&lt;/D&gt;&lt;/FQL&gt;&lt;FQL&gt;&lt;Q&gt;Ticker0024^FE_ESTIMATE(NEW_ORDERS_VALUE,MEAN,QUARTERLY_ROLL,2019/1F,45740,,,'')&lt;/Q&gt;&lt;R&gt;1&lt;/R&gt;&lt;C&gt;1&lt;/C&gt;&lt;D xsi:type="xsd:double"&gt;26606&lt;/D&gt;&lt;/FQL&gt;&lt;FQL&gt;&lt;Q&gt;Ticker0024^FE_ESTIMATE(NEW_ORDERS_VALUE,MEAN,ANNUAL_ROLL,2018,45740,,,'')&lt;/Q&gt;&lt;R&gt;1&lt;/R&gt;&lt;C&gt;1&lt;/C&gt;&lt;D xsi:type="xsd:double"&gt;116424&lt;/D&gt;&lt;/FQL&gt;&lt;FQL&gt;&lt;Q&gt;Ticker0024^FE_ESTIMATE(NEW_ORDERS_VALUE,MEAN,QUARTERLY_ROLL,2018/4F,45740,,,'')&lt;/Q&gt;&lt;R&gt;1&lt;/R&gt;&lt;C&gt;1&lt;/C&gt;&lt;D xsi:type="xsd:double"&gt;38850&lt;/D&gt;&lt;/FQL&gt;&lt;FQL&gt;&lt;Q&gt;Ticker0024^FE_ESTIMATE(NEW_ORDERS_VALUE,MEAN,QUARTERLY_ROLL,2018/3F,45740,,,'')&lt;/Q&gt;&lt;R&gt;1&lt;/R&gt;&lt;C&gt;1&lt;/C&gt;&lt;D xsi:type="xsd:double"&gt;26965&lt;/D&gt;&lt;/FQL&gt;&lt;FQL&gt;&lt;Q&gt;Ticker0024^FE_ESTIMATE(NEW_ORDERS_VALUE,MEAN,QUARTERLY_ROLL,2018/2F,45740,,,'')&lt;/Q&gt;&lt;R&gt;1&lt;/R&gt;&lt;C&gt;1&lt;/C&gt;&lt;D xsi:type="xsd:double"&gt;27823&lt;/D&gt;&lt;/FQL&gt;&lt;FQL&gt;&lt;Q&gt;Ticker0024^FE_ESTIMATE(NEW_ORDERS_VALUE,MEAN,QUARTERLY_ROLL,2018/1F,45740,,,'')&lt;/Q&gt;&lt;R&gt;1&lt;/R&gt;&lt;C&gt;1&lt;/C&gt;&lt;D xsi:type="xsd:double"&gt;22786&lt;/D&gt;&lt;/FQL&gt;&lt;FQL&gt;&lt;Q&gt;Ticker0024^FE_ESTIMATE(NEW_ORDERS_VALUE,MEAN,ANNUAL_ROLL,2017,45740,,,'')&lt;/Q&gt;&lt;R&gt;1&lt;/R&gt;&lt;C&gt;1&lt;/C&gt;&lt;D xsi:type="xsd:double"&gt;99926&lt;/D&gt;&lt;/FQL&gt;&lt;FQL&gt;&lt;Q&gt;Ticker0024^FE_ESTIMATE(NEW_ORDERS_VALUE,MEAN,QUARTERLY_ROLL,2017/4F,45740,,,'')&lt;/Q&gt;&lt;R&gt;1&lt;/R&gt;&lt;C&gt;1&lt;/C&gt;&lt;D xsi:type="xsd:double"&gt;32063.5&lt;/D&gt;&lt;/FQL&gt;&lt;FQL&gt;&lt;Q&gt;Ticker0024^FE_ESTIMATE(NEW_ORDERS_VALUE,MEAN,QUARTERLY_ROLL,2017/3F,45740,,,'')&lt;/Q&gt;&lt;R&gt;1&lt;/R&gt;&lt;C&gt;1&lt;/C&gt;&lt;D xsi:type="xsd:double"&gt;23144&lt;/D&gt;&lt;/FQL&gt;&lt;FQL&gt;&lt;Q&gt;Ticker0024^FE_ESTIMATE(NEW_ORDERS_VALUE,MEAN,QUARTERLY_ROLL,2017/2F,45740,,,'')&lt;/Q&gt;&lt;R&gt;1&lt;/R&gt;&lt;C&gt;1&lt;/C&gt;&lt;D xsi:type="xsd:double"&gt;26300.666&lt;/D&gt;&lt;/FQL&gt;&lt;FQL&gt;&lt;Q&gt;Ticker0024^FE_ESTIMATE(NEW_ORDERS_VALUE,MEAN,QUARTERLY_ROLL,2017/1F,45740,,,'')&lt;/Q&gt;&lt;R&gt;1&lt;/R&gt;&lt;C&gt;1&lt;/C&gt;&lt;D xsi:type="xsd:double"&gt;21072.5&lt;/D&gt;&lt;/FQL&gt;&lt;FQL&gt;&lt;Q&gt;Ticker0024^FE_ESTIMATE(NEW_ORDERS_VALUE,MEAN,ANNUAL_ROLL,2016,45740,,,'')&lt;/Q&gt;&lt;R&gt;1&lt;/R&gt;&lt;C&gt;1&lt;/C&gt;&lt;D xsi:type="xsd:double"&gt;94769&lt;/D&gt;&lt;/FQL&gt;&lt;FQL&gt;&lt;Q&gt;Ticker0024^FE_ESTIMATE(NEW_ORDERS_VALUE,MEAN,QUARTERLY_ROLL,2016/4F,45740,,,'')&lt;/Q&gt;&lt;R&gt;1&lt;/R&gt;&lt;C&gt;1&lt;/C&gt;&lt;D xsi:type="xsd:double"&gt;29640.5&lt;/D&gt;&lt;/FQL&gt;&lt;FQL&gt;&lt;Q&gt;Ticker0024^FE_ESTIMATE(NEW_ORDERS_VALUE,MEAN,QUARTERLY_ROLL,2016/3F,45740,,,'')&lt;/Q&gt;&lt;R&gt;1&lt;/R&gt;&lt;C&gt;1&lt;/C&gt;&lt;D xsi:type="xsd:double"&gt;22938&lt;/D&gt;&lt;/FQL&gt;&lt;FQL&gt;&lt;Q&gt;Ticker0024^FE_ESTIMATE(NEW_ORDERS_VALUE,MEAN,QUARTERLY_ROLL,2016/2F,45740,,,'')&lt;/Q&gt;&lt;R&gt;0&lt;/R&gt;&lt;C&gt;0&lt;/C&gt;&lt;/FQL&gt;&lt;FQL&gt;&lt;Q&gt;Ticker0024^FE_ESTIMATE(NEW_ORDERS_VALUE,MEAN,QUARTERLY_ROLL,2016/1F,45740,,,'')&lt;/Q&gt;&lt;R&gt;0&lt;/R&gt;&lt;C&gt;0&lt;/C&gt;&lt;/FQL&gt;&lt;FQL&gt;&lt;Q&gt;Ticker0024^FE_ESTIMATE(NEW_ORDERS_VALUE,MEAN,ANNUAL_ROLL,2015,45740,,,'')&lt;/Q&gt;&lt;R&gt;0&lt;/R&gt;&lt;C&gt;0&lt;/C&gt;&lt;/FQL&gt;&lt;FQL&gt;&lt;Q&gt;Ticker0024^FE_ESTIMATE(NEW_ORDERS_VALUE,MEAN,QUARTERLY_ROLL,2015/4F,45740,,,'')&lt;/Q&gt;&lt;R&gt;0&lt;/R&gt;&lt;C&gt;0&lt;/C&gt;&lt;/FQL&gt;&lt;FQL&gt;&lt;Q&gt;Ticker0024^FE_ESTIMATE(NEW_ORDERS_VALUE,MEAN,QUARTERLY_ROLL,2015/3F,45740,,,'')&lt;/Q&gt;&lt;R&gt;0&lt;/R&gt;&lt;C&gt;0&lt;/C&gt;&lt;/FQL&gt;&lt;FQL&gt;&lt;Q&gt;Ticker0024^FE_ESTIMATE(NEW_ORDERS_VALUE,MEAN,QUARTERLY_ROLL,2015/2F,45740,,,'')&lt;/Q&gt;&lt;R&gt;0&lt;/R&gt;&lt;C&gt;0&lt;/C&gt;&lt;/FQL&gt;&lt;FQL&gt;&lt;Q&gt;Ticker0024^FE_ESTIMATE(NEW_ORDERS_VALUE,MEAN,QUARTERLY_ROLL,2015/1F,45740,,,'')&lt;/Q&gt;&lt;R&gt;0&lt;/R&gt;&lt;C&gt;0&lt;/C&gt;&lt;/FQL&gt;&lt;FQL&gt;&lt;Q&gt;Ticker0024^FE_ESTIMATE(DEFREVENUE,MEAN,ANNUAL_ROLL,2030,45740,,,'')&lt;/Q&gt;&lt;R&gt;0&lt;/R&gt;&lt;C&gt;0&lt;/C&gt;&lt;/FQL&gt;&lt;FQL&gt;&lt;Q&gt;Ticker0024^FE_ESTIMATE(DEFREVENUE,MEAN,QUARTERLY_ROLL,2030/4F,45740,,,'')&lt;/Q&gt;&lt;R&gt;0&lt;/R&gt;&lt;C&gt;0&lt;/C&gt;&lt;/FQL&gt;&lt;FQL&gt;&lt;Q&gt;Ticker0024^FE_ESTIMATE(DEFREVENUE,MEAN,QUARTERLY_ROLL,2030/3F,45740,,,'')&lt;/Q&gt;&lt;R&gt;0&lt;/R&gt;&lt;C&gt;0&lt;/C&gt;&lt;/FQL&gt;&lt;FQL&gt;&lt;Q&gt;Ticker0024^FE_ESTIMATE(DEFREVENUE,MEAN,QUARTERLY_ROLL,2030/2F,45740,,,'')&lt;/Q&gt;&lt;R&gt;0&lt;/R&gt;&lt;C&gt;0&lt;/C&gt;&lt;/FQL&gt;&lt;FQL&gt;&lt;Q&gt;Ticker0024^FE_ESTIMATE(DEFREVENUE,MEAN,QUARTERLY_ROLL,2030/1F,45740,,,'')&lt;/Q&gt;&lt;R&gt;0&lt;/R&gt;&lt;C&gt;0&lt;/C&gt;&lt;/FQL&gt;&lt;FQL&gt;&lt;Q&gt;Ticker0024^FE_ESTIMATE(DEFREVENUE,MEAN,ANNUAL_ROLL,2029,45740,,,'')&lt;/Q&gt;&lt;R&gt;0&lt;/R&gt;&lt;C&gt;0&lt;/C&gt;&lt;/FQL&gt;&lt;FQL&gt;&lt;Q&gt;Ticker0024^FE_ESTIMATE(DEFREVENUE,MEAN,QUARTERLY_ROLL,2029/4F,45740,,,'')&lt;/Q&gt;&lt;R&gt;0&lt;/R&gt;&lt;C&gt;0&lt;/C&gt;&lt;/FQL&gt;&lt;FQL&gt;&lt;Q&gt;Ticker0024^FE_ESTIMATE(DEFREVENUE,MEAN,QUARTERLY_ROLL,2029/3F,45740,,,'')&lt;/Q&gt;&lt;R&gt;0&lt;/R&gt;&lt;C&gt;0&lt;/C&gt;&lt;/FQL&gt;&lt;FQL&gt;&lt;Q&gt;Ticker0024^FE_ESTIMATE(DEFREVENUE,MEAN,QUARTERLY_ROLL,2029/2F,45740,,,'')&lt;/Q&gt;&lt;R&gt;0&lt;/R&gt;&lt;C&gt;0&lt;/C&gt;&lt;/FQL&gt;&lt;FQL&gt;&lt;Q&gt;Ticker0024^FE_ESTIMATE(DEFREVENUE,MEAN,QUARTERLY_ROLL,2029/1F,45740,,,'')&lt;/Q&gt;&lt;R&gt;0&lt;/R&gt;&lt;C&gt;0&lt;/C&gt;&lt;/FQL&gt;&lt;FQL&gt;&lt;Q&gt;Ticker0024^FE_ESTIMATE(DEFREVENUE,MEAN,ANNUAL_ROLL,2028,45740,,,'')&lt;/Q&gt;&lt;R&gt;0&lt;/R&gt;&lt;C&gt;0&lt;/C&gt;&lt;/FQL&gt;&lt;FQL&gt;&lt;Q&gt;Ticker0024^FE_ESTIMATE(DEFREVENUE,MEAN,QUARTERLY_ROLL,2028/4F,45740,,,'')&lt;/Q&gt;&lt;R&gt;0&lt;/R&gt;&lt;C&gt;0&lt;/C&gt;&lt;/FQL&gt;&lt;FQL&gt;&lt;Q&gt;Ticker0024^FE_ESTIMATE(DEFREVENUE,MEAN,QUARTERLY_ROLL,2028/3F,45740,,,'')&lt;/Q&gt;&lt;R&gt;0&lt;/R&gt;&lt;C&gt;0&lt;/C&gt;&lt;/FQL&gt;&lt;FQL&gt;&lt;Q&gt;Ticker0024^FE_ESTIMATE(DEFREVENUE,MEAN,QUARTERLY_ROLL,2028/2F,45740,,,'')&lt;/Q&gt;&lt;R&gt;0&lt;/R&gt;&lt;C&gt;0&lt;/C&gt;&lt;/FQL&gt;&lt;FQL&gt;&lt;Q&gt;Ticker0024^FE_ESTIMATE(DEFREVENUE,MEAN,QUARTERLY_ROLL,2028/1F,45740,,,'')&lt;/Q&gt;&lt;R&gt;0&lt;/R&gt;&lt;C&gt;0&lt;/C&gt;&lt;/FQL&gt;&lt;FQL&gt;&lt;Q&gt;Ticker0024^FE_ESTIMATE(DEFREVENUE,MEAN,ANNUAL_ROLL,2027,45740,,,'')&lt;/Q&gt;&lt;R&gt;1&lt;/R&gt;&lt;C&gt;1&lt;/C&gt;&lt;D xsi:type="xsd:double"&gt;72487.375&lt;/D&gt;&lt;/FQL&gt;&lt;FQL&gt;&lt;Q&gt;Ticker0024^FE_ESTIMATE(DEFREVENUE,MEAN,QUARTERLY_ROLL,2027/4F,45740,,,'')&lt;/Q&gt;&lt;R&gt;1&lt;/R&gt;&lt;C&gt;1&lt;/C&gt;&lt;D xsi:type="xsd:double"&gt;89245&lt;/D&gt;&lt;/FQL&gt;&lt;FQL&gt;&lt;Q&gt;Ticker0024^FE_ESTIMATE(DEFREVENUE,MEAN,QUARTERLY_ROLL,2027/3F,45740,,,'')&lt;/Q&gt;&lt;R&gt;1&lt;/R&gt;&lt;C&gt;1&lt;/C&gt;&lt;D xsi:type="xsd:double"&gt;69445&lt;/D&gt;&lt;/FQL&gt;&lt;FQL&gt;&lt;Q&gt;Ticker0024^FE_ESTIMATE(DEFREVENUE,MEAN,QUARTERLY_ROLL,2027/2F,45740,,,'')&lt;/Q&gt;&lt;R&gt;1&lt;/R&gt;&lt;C&gt;1&lt;/C&gt;&lt;D xsi:type="xsd:double"&gt;70045&lt;/D&gt;&lt;/FQL&gt;&lt;FQL&gt;&lt;Q&gt;Ticker0024^FE_ESTIMATE(DEFREVENUE,MEAN,QUARTERLY_ROLL,2027/1F,45740,,,'')&lt;/Q&gt;&lt;R&gt;1&lt;/R&gt;&lt;C&gt;1&lt;/C&gt;&lt;D xsi:type="xsd:double"&gt;73545&lt;/D&gt;&lt;/FQL&gt;&lt;FQL&gt;&lt;Q&gt;Ticker0024^FE_ESTIMATE(DEFREVENUE,MEAN,ANNUAL_ROLL,2026,45740,,,'')&lt;/Q&gt;&lt;R&gt;1&lt;/R&gt;&lt;C&gt;1&lt;/C&gt;&lt;D xsi:type="xsd:double"&gt;69717.11&lt;/D&gt;&lt;/FQL&gt;&lt;FQL&gt;&lt;Q&gt;Ticker0024^FE_ESTIMATE(DEFREVENUE,MEAN,QUARTERLY_ROLL,2026/4F,45740,,,'')&lt;/Q&gt;&lt;R&gt;1&lt;/R&gt;&lt;C&gt;1&lt;/C&gt;&lt;D xsi:type="xsd:double"&gt;71264.3&lt;/D&gt;&lt;/FQL&gt;&lt;FQL&gt;&lt;Q&gt;Ticker0024^FE_ESTIMATE(DEFREVENUE,MEAN,QUARTERLY_ROLL,2026/3F,45740,,,'')&lt;/Q&gt;&lt;R&gt;1&lt;/R&gt;&lt;C&gt;1&lt;/C&gt;&lt;D xsi:type="xsd:double"&gt;54407.28&lt;/D&gt;&lt;/FQL&gt;&lt;FQL&gt;&lt;Q&gt;Ticker0024^FE_ESTIMATE(DEFREVENUE,MEAN,QUARTERLY_ROLL,2026/2F,45740,,,'')&lt;/Q&gt;&lt;R&gt;1&lt;/R&gt;&lt;C&gt;1&lt;/C&gt;&lt;D xsi:type="xsd:double"&gt;55597.68&lt;/D&gt;&lt;/FQL&gt;&lt;FQL&gt;&lt;Q&gt;Ticker0024^FE_ESTIMATE(DEFREVENUE,MEAN,QUARTERLY_ROLL,2026/1F,45740,,,'')&lt;/Q&gt;&lt;R&gt;1&lt;/R&gt;&lt;C&gt;1&lt;/C&gt;&lt;D xsi:type="xsd:double"&gt;61505.66&lt;/D&gt;&lt;/FQL&gt;&lt;FQL&gt;&lt;Q&gt;Ticker0024^FE_ESTIMATE(DEFREVENUE,MEAN,ANNUAL_ROLL,2025,45740,,,'')&lt;/Q&gt;&lt;R&gt;1&lt;/R&gt;&lt;C&gt;1&lt;/C&gt;&lt;D xsi:type="xsd:double"&gt;64817.49&lt;/D&gt;&lt;/FQL&gt;&lt;FQL&gt;&lt;Q&gt;Ticker0024^FE_ESTIMATE(DEFREVENUE,MEAN,QUARTERLY_ROLL,2025/4F,45740,,,'')&lt;/Q&gt;&lt;R&gt;1&lt;/R&gt;&lt;C&gt;1&lt;/C&gt;&lt;D xsi:type="xsd:double"&gt;65034.3&lt;/D&gt;&lt;/FQL&gt;&lt;FQL&gt;&lt;Q&gt;Ticker0024^FE_ESTIMATE(DEFREVENUE,MEAN,QUARTERLY_ROLL,2025/3F,45740,,,'')&lt;/Q&gt;&lt;R&gt;1&lt;/R&gt;&lt;C&gt;1&lt;/C&gt;&lt;D xsi:type="xsd:double"&gt;49069.926&lt;/D&gt;&lt;/FQL&gt;&lt;FQL&gt;&lt;Q&gt;Ticker0024^FE_ESTIMATE(DEFREVENUE,MEAN,QUARTERLY_ROLL,2025/2F,45740,,,'')&lt;/Q&gt;&lt;R&gt;1&lt;/R&gt;&lt;C&gt;1&lt;/C&gt;&lt;D xsi:type="xsd:double"&gt;48045.715&lt;/D&gt;&lt;/FQL&gt;&lt;FQL&gt;&lt;Q&gt;Ticker0024^FE_ESTIMATE(DEFREVENUE,MEAN,QUARTERLY_ROLL,2025/1F,45740,,,'')&lt;/Q&gt;&lt;R&gt;1&lt;/R&gt;&lt;C&gt;1&lt;/C&gt;&lt;D xsi:type="xsd:double"&gt;55689.125&lt;/D&gt;&lt;/FQL&gt;&lt;FQL&gt;&lt;Q&gt;Ticker0024^FE_ESTIMATE(DEFREVENUE,MEAN,ANNUAL_ROLL,2024,45740,,,'')&lt;/Q&gt;&lt;R&gt;1&lt;/R&gt;&lt;C&gt;1&lt;/C&gt;&lt;D xsi:type="xsd:double"&gt;60183.6&lt;/D&gt;&lt;/FQL&gt;&lt;FQL&gt;&lt;Q&gt;Ticker0024^FE_ESTIMATE(DEFREVENUE,MEAN,QUARTERLY_ROLL,2024/4F,45740,,,'')&lt;/Q&gt;&lt;R&gt;1&lt;/R&gt;&lt;C&gt;1&lt;/C&gt;&lt;D xsi:type="xsd:double"&gt;60183.555&lt;/D&gt;&lt;/FQL&gt;&lt;FQL&gt;&lt;Q&gt;Ticker0024^FE_ESTIMATE(DEFREVENUE,MEAN,QUARTERLY_ROLL,2024/3F,45740,,,'')&lt;/Q&gt;&lt;R&gt;1&lt;/R&gt;&lt;C&gt;1&lt;/C&gt;&lt;D xsi:type="xsd:double"&gt;44834&lt;/D&gt;&lt;/FQL&gt;&lt;FQL&gt;&lt;Q&gt;Ticker0024^FE_ESTIMATE(DEFREVENUE,MEAN,QUARTERLY_ROLL,2024/2F,45740,,,'')&lt;/Q&gt;&lt;R&gt;1&lt;/R&gt;&lt;C&gt;1&lt;/C&gt;&lt;D xsi:type="xsd:double"&gt;46034.855&lt;/D&gt;&lt;/FQL&gt;&lt;FQL&gt;&lt;Q&gt;Ticker0024^FE_ESTIMATE(DEFREVENUE,MEAN,QUARTERLY_ROLL,2024/1F,45740,,,'')&lt;/Q&gt;&lt;R&gt;1&lt;/R&gt;&lt;C&gt;1&lt;/C&gt;&lt;D xsi:type="xsd:double"&gt;49188.332&lt;/D&gt;&lt;/FQL&gt;&lt;FQL&gt;&lt;Q&gt;Ticker0024^FE_ESTIMATE(DEFREVENUE,MEAN,ANNUAL_ROLL,2023,45740,,,'')&lt;/Q&gt;&lt;R&gt;1&lt;/R&gt;&lt;C&gt;1&lt;/C&gt;&lt;D xsi:type="xsd:double"&gt;53548&lt;/D&gt;&lt;/FQL&gt;&lt;FQL&gt;&lt;Q&gt;Ticker0024^FE_ESTIMATE(DEFREVENUE,MEAN,QUARTERLY_ROLL,2023/4F,45740,,,'')&lt;/Q&gt;&lt;R&gt;1&lt;/R&gt;&lt;C&gt;1&lt;/C&gt;&lt;D xsi:type="xsd:double"&gt;53812.625&lt;/D&gt;&lt;/FQL&gt;&lt;FQL&gt;&lt;Q&gt;Ticker0024^FE_ESTIMATE(DEFREVENUE,MEAN,QUARTERLY_ROLL,2023/3F,45740,,,'')&lt;/Q&gt;&lt;R&gt;1&lt;/R&gt;&lt;C&gt;1&lt;/C&gt;&lt;D xsi:type="xsd:double"&gt;39600.832&lt;/D&gt;&lt;/FQL&gt;&lt;FQL&gt;&lt;Q&gt;Ticker0024^FE_ESTIMATE(DEFREVENUE,MEAN,QUARTERLY_ROLL,2023/2F,45740,,,'')&lt;/Q&gt;&lt;R&gt;1&lt;/R&gt;&lt;C&gt;1&lt;/C&gt;&lt;D xsi:type="xsd:double"&gt;39625&lt;/D&gt;&lt;/FQL&gt;&lt;FQL&gt;&lt;Q&gt;Ticker0024^FE_ESTIMATE(DEFREVENUE,MEAN,QUARTERLY_ROLL,2023/1F,45740,,,'')&lt;/Q&gt;&lt;R&gt;1&lt;/R&gt;&lt;C&gt;1&lt;/C&gt;&lt;D xsi:type="xsd:double"&gt;43889.145&lt;/D&gt;&lt;/FQL&gt;&lt;FQL&gt;&lt;Q&gt;Ticker0024^FE_ESTIMATE(DEFREVENUE,MEAN,ANNUAL_ROLL,2022,45740,,,'')&lt;/Q&gt;&lt;R&gt;1&lt;/R&gt;&lt;C&gt;1&lt;/C&gt;&lt;D xsi:type="xsd:double"&gt;48121&lt;/D&gt;&lt;/FQL&gt;&lt;FQL&gt;&lt;Q&gt;Ticker0024^FE_ESTIMATE(DEFREVENUE,MEAN,QUARTERLY_ROLL,2022/4F,45740,,,'')&lt;/Q&gt;&lt;R&gt;1&lt;/R&gt;&lt;C&gt;1&lt;/C&gt;&lt;D xsi:type="xsd:double"&gt;48408&lt;/D&gt;&lt;/FQL&gt;&lt;FQL&gt;&lt;Q&gt;Ticker0024^FE_ESTIMATE(DEFREVENUE,MEAN,QUARTERLY_ROLL,2022/3F,45740,,,'')&lt;/Q&gt;&lt;R&gt;1&lt;/R&gt;&lt;C&gt;1&lt;/C&gt;&lt;D xsi:type="xsd:double"&gt;36796&lt;/D&gt;&lt;/FQL&gt;&lt;FQL&gt;&lt;Q&gt;Ticker0024^FE_ESTIMATE(DEFREVENUE,MEAN,QUARTERLY_ROLL,2022/2F,45740,,,'')&lt;/Q&gt;&lt;R&gt;1&lt;/R&gt;&lt;C&gt;1&lt;/C&gt;&lt;D xsi:type="xsd:double"&gt;36769&lt;/D&gt;&lt;/FQL&gt;&lt;FQL&gt;&lt;Q&gt;Ticker0024^FE_ESTIMATE(DEFREVENUE,MEAN,QUARTERLY_ROLL,2022/1F,45740,,,'')&lt;/Q&gt;&lt;R&gt;1&lt;/R&gt;&lt;C&gt;1&lt;/C&gt;&lt;D xsi:type="xsd:double"&gt;41015&lt;/D&gt;&lt;/FQL&gt;&lt;FQL&gt;&lt;Q&gt;Ticker0024^FE_ESTIMATE(DEFREVENUE,MEAN,ANNUAL_ROLL,2021,45740,,,'')&lt;/Q&gt;&lt;R&gt;1&lt;/R&gt;&lt;C&gt;1&lt;/C&gt;&lt;D xsi:type="xsd:double"&gt;44141&lt;/D&gt;&lt;/FQL&gt;&lt;FQL&gt;&lt;Q&gt;Ticker0024^FE_ESTIMATE(DEFREVENUE,MEAN,QUARTERLY_ROLL,2021/4F,45740,,,'')&lt;/Q&gt;&lt;R&gt;1&lt;/R&gt;&lt;C&gt;1&lt;/C&gt;&lt;D xsi:type="xsd:double"&gt;44141&lt;/D&gt;&lt;/FQL&gt;&lt;FQL&gt;&lt;Q&gt;Ticker0024^FE_ESTIMATE(DEFREVENUE,MEAN,QUARTERLY_ROLL,2021/3F,45740,,,'')&lt;/Q&gt;&lt;R&gt;1&lt;/R&gt;&lt;C&gt;1&lt;/C&gt;&lt;D xsi:type="xsd:double"&gt;32714&lt;/D&gt;&lt;/FQL&gt;&lt;FQL&gt;&lt;Q&gt;Ticker0024^FE_ESTIMATE(DEFREVENUE,MEAN,QUARTERLY_ROLL,2021/2F,45740,,,'')&lt;/Q&gt;&lt;R&gt;1&lt;/R&gt;&lt;C&gt;1&lt;/C&gt;&lt;D xsi:type="xsd:double"&gt;33387&lt;/D&gt;&lt;/FQL&gt;&lt;FQL&gt;&lt;Q&gt;Ticker0024^FE_ESTIMATE(DEFREVENUE,MEAN,QUARTERLY_ROLL,2021/1F,45740,,,'')&lt;/Q&gt;&lt;R&gt;1&lt;/R&gt;&lt;C&gt;1&lt;/C&gt;&lt;D xsi:type="xsd:double"&gt;36305&lt;/D&gt;&lt;/FQL&gt;&lt;FQL&gt;&lt;Q&gt;Ticker0024^FE_ESTIMATE(DEFREVENUE,MEAN,ANNUAL_ROLL,2020,45740,,,'')&lt;/Q&gt;&lt;R&gt;1&lt;/R&gt;&lt;C&gt;1&lt;/C&gt;&lt;D xsi:type="xsd:double"&gt;39180&lt;/D&gt;&lt;/FQL&gt;&lt;FQL&gt;&lt;Q&gt;Ticker0024^FE_ESTIMATE(DEFREVENUE,MEAN,QUARTERLY_ROLL,2020/4F,45740,,,'')&lt;/Q&gt;&lt;R&gt;1&lt;/R&gt;&lt;C&gt;1&lt;/C&gt;&lt;D xsi:type="xsd:double"&gt;39180&lt;/D&gt;&lt;/FQL&gt;&lt;FQL&gt;&lt;Q&gt;Ticker0024^FE_ESTIMATE(DEFREVENUE,MEAN,QUARTERLY_ROLL,2020/3F,45740,,,'')&lt;/Q&gt;&lt;R&gt;1&lt;/R&gt;&lt;C&gt;1&lt;/C&gt;&lt;D xsi:type="xsd:double"&gt;30397&lt;/D&gt;&lt;/FQL&gt;&lt;FQL&gt;&lt;Q&gt;Ticker0024^FE_ESTIMATE(DEFREVENUE,MEAN,QUARTERLY_ROLL,2020/2F,45740,,,'')&lt;/Q&gt;&lt;R&gt;1&lt;/R&gt;&lt;C&gt;1&lt;/C&gt;&lt;D xsi:type="xsd:double"&gt;31221&lt;/D&gt;&lt;/FQL&gt;&lt;FQL&gt;&lt;Q&gt;Ticker0024^FE_ESTIMATE(DEFREVENUE,MEAN,QUARTERLY_ROLL,2020/1F,45740,,,'')&lt;/Q&gt;&lt;R&gt;1&lt;/R&gt;&lt;C&gt;1&lt;/C&gt;&lt;D xsi:type="xsd:double"&gt;34026&lt;/D&gt;&lt;/FQL&gt;&lt;FQL&gt;&lt;Q&gt;Ticker0024^FE_ESTIMATE(DEFREVENUE,MEAN,ANNUAL_ROLL,2019,45740,,,'')&lt;/Q&gt;&lt;R&gt;1&lt;/R&gt;&lt;C&gt;1&lt;/C&gt;&lt;D xsi:type="xsd:double"&gt;37206&lt;/D&gt;&lt;/FQL&gt;&lt;FQL&gt;&lt;Q&gt;Ticker0024^FE_ESTIMATE(DEFREVENUE,MEAN,QUARTERLY_ROLL,2019/4F,45740,,,'')&lt;/Q&gt;&lt;R&gt;1&lt;/R&gt;&lt;C&gt;1&lt;/C&gt;&lt;D xsi:type="xsd:double"&gt;37206&lt;/D&gt;&lt;/FQL&gt;&lt;FQL&gt;&lt;Q&gt;Ticker0024^FE_ESTIMATE(DEFREVENUE,MEAN,QUARTERLY_ROLL,2019/3F,45740,,,'')&lt;/Q&gt;&lt;R&gt;1&lt;/R&gt;&lt;C&gt;1&lt;/C&gt;&lt;D xsi:type="xsd:double"&gt;28135&lt;/D&gt;&lt;/FQL&gt;&lt;FQL&gt;&lt;Q&gt;Ticker0024^FE_ESTIMATE(DEFREVENUE,MEAN,QUARTERLY_ROLL,2019/2F,45740,,,'')&lt;/Q&gt;&lt;R&gt;1&lt;/R&gt;&lt;C&gt;1&lt;/C&gt;&lt;D xsi:type="xsd:double"&gt;28084&lt;/D&gt;&lt;/FQL&gt;&lt;FQL&gt;&lt;Q&gt;Ticker0024^FE_ESTIMATE(DEFREVENUE,MEAN,QUARTERLY_ROLL,2019/1F,45740,,,'')&lt;/Q&gt;&lt;R&gt;1&lt;/R&gt;&lt;C&gt;1&lt;/C&gt;&lt;D xsi:type="xsd:double"&gt;30242&lt;/D&gt;&lt;/FQL&gt;&lt;FQL&gt;&lt;Q&gt;Ticker0024^FE_ESTIMATE(DEFREVENUE,MEAN,ANNUAL_ROLL,2018,45740,,,'')&lt;/Q&gt;&lt;R&gt;1&lt;/R&gt;&lt;C&gt;1&lt;/C&gt;&lt;D xsi:type="xsd:double"&gt;32540.1&lt;/D&gt;&lt;/FQL&gt;&lt;FQL&gt;&lt;Q&gt;Ticker0024^FE_ESTIMATE(DEFREVENUE,MEAN,QUARTERLY_ROLL,2018/4F,45740,,,'')&lt;/Q&gt;&lt;R&gt;1&lt;/R&gt;&lt;C&gt;1&lt;/C&gt;&lt;D xsi:type="xsd:double"&gt;32540.1&lt;/D&gt;&lt;/FQL&gt;&lt;FQL&gt;&lt;Q&gt;Ticker0024^FE_ESTIMATE(DEFREVENUE,MEAN,QUARTERLY_ROLL,2018/3F,45740,,,'')&lt;/Q&gt;&lt;R&gt;1&lt;/R&gt;&lt;C&gt;1&lt;/C&gt;&lt;D xsi:type="xsd:double"&gt;23955&lt;/D&gt;&lt;/FQL&gt;&lt;FQL&gt;&lt;Q&gt;Ticker0024^FE_ESTIMATE(DEFREVENUE,MEAN,QUARTERLY_ROLL,2018/2F,45740,,,'')&lt;/Q&gt;&lt;R&gt;1&lt;/R&gt;&lt;C&gt;1&lt;/C&gt;&lt;D xsi:type="xsd:double"&gt;23809&lt;/D&gt;&lt;/FQL&gt;&lt;FQL&gt;&lt;Q&gt;Ticker0024^FE_ESTIMATE(DEFREVENUE,MEAN,QUARTERLY_ROLL,2018/1F,45740,,,'')&lt;/Q&gt;&lt;R&gt;1&lt;/R&gt;&lt;C&gt;1&lt;/C&gt;&lt;D xsi:type="xsd:double"&gt;24904&lt;/D&gt;&lt;/FQL&gt;&lt;FQL&gt;&lt;Q&gt;Ticker0024^FE_ESTIMATE(DEFREVENUE,MEAN,ANNUAL_ROLL,2017,45740,,,'')&lt;/Q&gt;&lt;R&gt;1&lt;/R&gt;&lt;C&gt;1&lt;/C&gt;&lt;D xsi:type="xsd:double"&gt;44479&lt;/D&gt;&lt;/FQL&gt;&lt;FQL&gt;&lt;Q&gt;Ticker0024^FE_ESTIMATE(DEFREVENUE,MEAN,QUARTERLY_ROLL,2017/4F,45740,,,'')&lt;/Q&gt;&lt;R&gt;1&lt;/R&gt;&lt;C&gt;1&lt;/C&gt;&lt;D xsi:type="xsd:double"&gt;44479&lt;/D&gt;&lt;/FQL&gt;&lt;FQL&gt;&lt;Q&gt;Ticker0024^FE_ESTIMATE(DEFREVENUE,MEAN,QUARTERLY_ROLL,2017/3F,45740,,,'')&lt;/Q&gt;&lt;R&gt;1&lt;/R&gt;&lt;C&gt;1&lt;/C&gt;&lt;D xsi:type="xsd:double"&gt;35733&lt;/D&gt;&lt;/FQL&gt;&lt;FQL&gt;&lt;Q&gt;Ticker0024^FE_ESTIMATE(DEFREVENUE,MEAN,QUARTERLY_ROLL,2017/2F,45740,,,'')&lt;/Q&gt;&lt;R&gt;1&lt;/R&gt;&lt;C&gt;1&lt;/C&gt;&lt;D xsi:type="xsd:double"&gt;34587.273&lt;/D&gt;&lt;/FQL&gt;&lt;FQL&gt;&lt;Q&gt;Ticker0024^FE_ESTIMATE(DEFREVENUE,MEAN,QUARTERLY_ROLL,2017/1F,45740,,,'')&lt;/Q&gt;&lt;R&gt;1&lt;/R&gt;&lt;C&gt;1&lt;/C&gt;&lt;D xsi:type="xsd:double"&gt;33588&lt;/D&gt;&lt;/FQL&gt;&lt;FQL&gt;&lt;Q&gt;Ticker0024^FE_ESTIMATE(DEFREVENUE,MEAN,ANNUAL_ROLL,2016,45740,,,'')&lt;/Q&gt;&lt;R&gt;1&lt;/R&gt;&lt;C&gt;1&lt;/C&gt;&lt;D xsi:type="xsd:double"&gt;33909&lt;/D&gt;&lt;/FQL&gt;&lt;FQL&gt;&lt;Q&gt;Ticker0024^FE_ESTIMATE(DEFREVENUE,MEAN,QUARTERLY_ROLL,2016/4F,45740,,,'')&lt;/Q&gt;&lt;R&gt;1&lt;/R&gt;&lt;C&gt;1&lt;/C&gt;&lt;D xsi:type="xsd:double"&gt;33909&lt;/D&gt;&lt;/FQL&gt;&lt;FQL&gt;&lt;Q&gt;Ticker0024^FE_ESTIMATE(DEFREVENUE,MEAN,QUARTERLY_ROLL,2016/3F,45740,,,'')&lt;/Q&gt;&lt;R&gt;1&lt;/R&gt;&lt;C&gt;1&lt;/C&gt;&lt;D xsi:type="xsd:double"&gt;25893&lt;/D&gt;&lt;/FQL&gt;&lt;FQL&gt;&lt;Q&gt;Ticker0024^FE_ESTIMATE(DEFREVENUE,MEAN,QUARTERLY_ROLL,2016/2F,45740,,,'')&lt;/Q&gt;&lt;R&gt;1&lt;/R&gt;&lt;C&gt;1&lt;/C&gt;&lt;D xsi:type="xsd:double"&gt;25031&lt;/D&gt;&lt;/FQL&gt;&lt;FQL&gt;&lt;Q&gt;Ticker0024^FE_ESTIMATE(DEFREVENUE,MEAN,QUARTERLY_ROLL,2016/1F,45740,,,'')&lt;/Q&gt;&lt;R&gt;0&lt;/R&gt;&lt;C&gt;0&lt;/C&gt;&lt;/FQL&gt;&lt;FQL&gt;&lt;Q&gt;Ticker0024^FE_ESTIMATE(DEFREVENUE,MEAN,ANNUAL_ROLL,2015,45740,,,'')&lt;/Q&gt;&lt;R&gt;0&lt;/R&gt;&lt;C&gt;0&lt;/C&gt;&lt;/FQL&gt;&lt;FQL&gt;&lt;Q&gt;Ticker0024^FE_ESTIMATE(DEFREVENUE,MEAN,QUARTERLY_ROLL,2015/4F,45740,,,'')&lt;/Q&gt;&lt;R&gt;0&lt;/R&gt;&lt;C&gt;0&lt;/C&gt;&lt;/FQL&gt;&lt;FQL&gt;&lt;Q&gt;Ticker0024^FE_ESTIMATE(DEFREVENUE,MEAN,QUARTERLY_ROLL,2015/3F,45740,,,'')&lt;/Q&gt;&lt;R&gt;0&lt;/R&gt;&lt;C&gt;0&lt;/C&gt;&lt;/FQL&gt;&lt;FQL&gt;&lt;Q&gt;Ticker0024^FE_ESTIMATE(DEFREVENUE,MEAN,QUARTERLY_ROLL,2015/2F,45740,,,'')&lt;/Q&gt;&lt;R&gt;0&lt;/R&gt;&lt;C&gt;0&lt;/C&gt;&lt;/FQL&gt;&lt;FQL&gt;&lt;Q&gt;Ticker0024^FE_ESTIMATE(DEFREVENUE,MEAN,QUARTERLY_ROLL,2015/1F,45740,,,'')&lt;/Q&gt;&lt;R&gt;0&lt;/R&gt;&lt;C&gt;0&lt;/C&gt;&lt;/FQL&gt;&lt;FQL&gt;&lt;Q&gt;Ticker0024^FE_ESTIMATE(DEFREVENUE_LT,MEAN,ANNUAL_ROLL,2030,45740,,,'')&lt;/Q&gt;&lt;R&gt;0&lt;/R&gt;&lt;C&gt;0&lt;/C&gt;&lt;/FQL&gt;&lt;FQL&gt;&lt;Q&gt;Ticker0024^FE_ESTIMATE(DEFREVENUE_LT,MEAN,QUARTERLY_ROLL,2030/4F,45740,,,'')&lt;/Q&gt;&lt;R&gt;0&lt;/R&gt;&lt;C&gt;0&lt;/C&gt;&lt;/FQL&gt;&lt;FQL&gt;&lt;Q&gt;Ticker0024^FE_ESTIMATE(DEFREVENUE_LT,MEAN,QUARTERLY_ROLL,2030/3F,45740,,,'')&lt;/Q&gt;&lt;R&gt;0&lt;/R&gt;&lt;C&gt;0&lt;/C&gt;&lt;/FQL&gt;&lt;FQL&gt;&lt;Q&gt;Ticker0024^FE_ESTIMATE(DEFREVENUE_LT,MEAN,QUARTERLY_ROLL,2030/2F,45740,,,'')&lt;/Q&gt;&lt;R&gt;0&lt;/R&gt;&lt;C&gt;0&lt;/C&gt;&lt;/FQL&gt;&lt;FQL&gt;&lt;Q&gt;Ticker0024^FE_ESTIMATE(DEFREVENUE_LT,MEAN,QUARTERLY_ROLL,2030/1F,45740,,,'')&lt;/Q&gt;&lt;R&gt;0&lt;/R&gt;&lt;C&gt;0&lt;/C&gt;&lt;/FQL&gt;&lt;FQL&gt;&lt;Q&gt;Ticker0024^FE_ESTIMATE(DEFREVENUE_LT,MEAN,ANNUAL_ROLL,2029,45740,,,'')&lt;/Q&gt;&lt;R&gt;0&lt;/R&gt;&lt;C&gt;0&lt;/C&gt;&lt;/FQL&gt;&lt;FQL&gt;&lt;Q&gt;Ticker0024^FE_ESTIMATE(DEFREVENUE_LT,MEAN,QUARTERLY_ROLL,2029/4F,45740,,,'')&lt;/Q&gt;&lt;R&gt;0&lt;/R&gt;&lt;C&gt;0&lt;/C&gt;&lt;/FQL&gt;&lt;FQL&gt;&lt;Q&gt;Ticker0024^FE_ESTIMATE(DEFREVENUE_LT,MEAN,QUARTERLY_ROLL,2029/3F,45740,,,'')&lt;/Q&gt;&lt;R&gt;0&lt;/R&gt;&lt;C&gt;0&lt;/C&gt;&lt;/FQL&gt;&lt;FQL&gt;&lt;Q&gt;Ticker0024^FE_ESTIMATE(DEFREVENUE_LT,MEAN,QUARTERLY_ROLL,2029/2F,45740,,,'')&lt;/Q&gt;&lt;R&gt;0&lt;/R&gt;&lt;C&gt;0&lt;/C&gt;&lt;/FQL&gt;&lt;FQL&gt;&lt;Q&gt;Ticker0024^FE_ESTIMATE(DEFREVENUE_LT,MEAN,QUARTERLY_ROLL,2029/1F,45740,,,'')&lt;/Q&gt;&lt;R&gt;0&lt;/R&gt;&lt;C&gt;0&lt;/C&gt;&lt;/FQL&gt;&lt;FQL&gt;&lt;Q&gt;Ticker0024^FE_ESTIMATE(DEFREVENUE_LT,MEAN,ANNUAL_ROLL,2028,45740,,,'')&lt;/Q&gt;&lt;R&gt;0&lt;/R&gt;&lt;C&gt;0&lt;/C&gt;&lt;/FQL&gt;&lt;FQL&gt;&lt;Q&gt;Ticker0024^FE_ESTIMATE(DEFREVENUE_LT,MEAN,QUARTERLY_ROLL,2028/4F,45740,,,'')&lt;/Q&gt;&lt;R&gt;0&lt;/R&gt;&lt;C&gt;0&lt;/C&gt;&lt;/FQL&gt;&lt;FQL&gt;&lt;Q&gt;Ticker0024^FE_ESTIMATE(DEFREVENUE_LT,MEAN,QUARTERLY_ROLL,2028/3F,45740,,,'')&lt;/Q&gt;&lt;R&gt;0&lt;/R&gt;&lt;C&gt;0&lt;/C&gt;&lt;/FQL&gt;&lt;FQL&gt;&lt;Q&gt;Ticker0024^FE_ESTIMATE(DEFREVENUE_LT,MEAN,QUARTERLY_ROLL,2028/2F,45740,,,'')&lt;/Q&gt;&lt;R&gt;0&lt;/R&gt;&lt;C&gt;0&lt;/C&gt;&lt;/FQL&gt;&lt;FQL&gt;&lt;Q&gt;Ticker0024^FE_ESTIMATE(DEFREVENUE_LT,MEAN,QUARTERLY_ROLL,2028/1F,45740,,,'')&lt;/Q&gt;&lt;R&gt;0&lt;/R&gt;&lt;C&gt;0&lt;/C&gt;&lt;/FQL&gt;&lt;FQL&gt;&lt;Q&gt;Ticker0024^FE_ESTIMATE(DEFREVENUE_LT,MEAN,ANNUAL_ROLL,2027,45740,,,'')&lt;/Q&gt;&lt;R&gt;1&lt;/R&gt;&lt;C&gt;1&lt;/C&gt;&lt;D xsi:type="xsd:double"&gt;2641.6&lt;/D&gt;&lt;/FQL&gt;&lt;FQL&gt;&lt;Q&gt;Ticker0024^FE_ESTIMATE(DEFREVENUE_LT,MEAN,QUARTERLY_ROLL,2027/4F,45740,,,'')&lt;/Q&gt;&lt;R&gt;1&lt;/R&gt;&lt;C&gt;1&lt;/C&gt;&lt;D xsi:type="xsd:double"&gt;1937&lt;/D&gt;&lt;/FQL&gt;&lt;FQL&gt;&lt;Q&gt;Ticker0024^FE_ESTIMATE(DEFREVENUE_LT,MEAN,QUARTERLY_ROLL,2027/3F,45740,,,'')&lt;/Q&gt;&lt;R&gt;1&lt;/R&gt;&lt;C&gt;1&lt;/C&gt;&lt;D xsi:type="xsd:double"&gt;2137&lt;/D&gt;&lt;/FQL&gt;&lt;FQL&gt;&lt;Q&gt;Ticker0024^FE_ESTIMATE(DEFREVENUE_LT,MEAN,QUARTERLY_ROLL,2027/2F,45740,,,'')&lt;/Q&gt;&lt;R&gt;1&lt;/R&gt;&lt;C&gt;1&lt;/C&gt;&lt;D xsi:type="xsd:double"&gt;2137&lt;/D&gt;&lt;/FQL&gt;&lt;FQL&gt;&lt;Q&gt;Ticker0024^FE_ESTIMATE(DEFREVENUE_LT,MEAN,QUARTERLY_ROLL,2027/1F,45740,,,'')&lt;/Q&gt;&lt;R&gt;1&lt;/R&gt;&lt;C&gt;1&lt;/C&gt;&lt;D xsi:type="xsd:double"&gt;1937&lt;/D&gt;&lt;/FQL&gt;&lt;FQL&gt;&lt;Q&gt;Ticker0024^FE_ESTIMATE(DEFREVENUE_LT,MEAN,ANNUAL_ROLL,2026,45740,,,'')&lt;/Q&gt;&lt;R&gt;1&lt;/R&gt;&lt;C&gt;1&lt;/C&gt;&lt;D xsi:type="xsd:double"&gt;3046.8&lt;/D&gt;&lt;/FQL&gt;&lt;FQL&gt;&lt;Q&gt;Ticker0024^FE_ESTIMATE(DEFREVENUE_LT,MEAN,QUARTERLY_ROLL,2026/4F,45740,,,'')&lt;/Q&gt;&lt;R&gt;1&lt;/R&gt;&lt;C&gt;1&lt;/C&gt;&lt;D xsi:type="xsd:double"&gt;3016.3833&lt;/D&gt;&lt;/FQL&gt;&lt;FQL&gt;&lt;Q&gt;Ticker0024^FE_ESTIMATE(DEFREVENUE_LT,MEAN,QUARTERLY_ROLL,2026/3F,45740,,,'')&lt;/Q&gt;&lt;R&gt;1&lt;/R&gt;&lt;C&gt;1&lt;/C&gt;&lt;D xsi:type="xsd:double"&gt;2946.2834&lt;/D&gt;&lt;/FQL&gt;&lt;FQL&gt;&lt;Q&gt;Ticker0024^FE_ESTIMATE(DEFREVENUE_LT,MEAN,QUARTERLY_ROLL,2026/2F,45740,,,'')&lt;/Q&gt;&lt;R&gt;1&lt;/R&gt;&lt;C&gt;1&lt;/C&gt;&lt;D xsi:type="xsd:double"&gt;2931.6667&lt;/D&gt;&lt;/FQL&gt;&lt;FQL&gt;&lt;Q&gt;Ticker0024^FE_ESTIMATE(DEFREVENUE_LT,MEAN,QUARTERLY_ROLL,2026/1F,45740,,,'')&lt;/Q&gt;&lt;R&gt;1&lt;/R&gt;&lt;C&gt;1&lt;/C&gt;&lt;D xsi:type="xsd:double"&gt;2884.4834&lt;/D&gt;&lt;/FQL&gt;&lt;FQL&gt;&lt;Q&gt;Ticker0024^FE_ESTIMATE(DEFREVENUE_LT,MEAN,ANNUAL_ROLL,2025,45740,,,'')&lt;/Q&gt;&lt;R&gt;1&lt;/R&gt;&lt;C&gt;1&lt;/C&gt;&lt;D xsi:type="xsd:double"&gt;2885.7285&lt;/D&gt;&lt;/FQL&gt;&lt;FQL&gt;&lt;Q&gt;Ticker0024^FE_ESTIMATE(DEFREVENUE_LT,MEAN,QUARTERLY_ROLL,2025/4F,45740,,,'')&lt;/Q&gt;&lt;R&gt;1&lt;/R&gt;&lt;C&gt;1&lt;/C&gt;&lt;D xsi:type="xsd:double"&gt;2885.7285&lt;/D&gt;&lt;/FQL&gt;&lt;FQL&gt;&lt;Q&gt;Ticker0024^FE_ESTIMATE(DEFREVENUE_LT,MEAN,QUARTERLY_ROLL,2025/3F,45740,,,'')&lt;/Q&gt;&lt;R&gt;1&lt;/R&gt;&lt;C&gt;1&lt;/C&gt;&lt;D xsi:type="xsd:double"&gt;2845.8125&lt;/D&gt;&lt;/FQL&gt;&lt;FQL&gt;&lt;Q&gt;Ticker0024^FE_ESTIMATE(DEFREVENUE_LT,MEAN,QUARTERLY_ROLL,2025/2F,45740,,,'')&lt;/Q&gt;&lt;R&gt;1&lt;/R&gt;&lt;C&gt;1&lt;/C&gt;&lt;D xsi:type="xsd:double"&gt;2537.4285&lt;/D&gt;&lt;/FQL&gt;&lt;FQL&gt;&lt;Q&gt;Ticker0024^FE_ESTIMATE(DEFREVENUE_LT,MEAN,QUARTERLY_ROLL,2025/1F,45740,,,'')&lt;/Q&gt;&lt;R&gt;1&lt;/R&gt;&lt;C&gt;1&lt;/C&gt;&lt;D xsi:type="xsd:double"&gt;2662.6667&lt;/D&gt;&lt;/FQL&gt;&lt;FQL&gt;&lt;Q&gt;Ticker0024^FE_ESTIMATE(DEFREVENUE_LT,MEAN,ANNUAL_ROLL,2024,45740,,,'')&lt;/Q&gt;&lt;R&gt;1&lt;/R&gt;&lt;C&gt;1&lt;/C&gt;&lt;D xsi:type="xsd:double"&gt;2601.75&lt;/D&gt;&lt;/FQL&gt;&lt;FQL&gt;&lt;Q&gt;Ticker0024^FE_ESTIMATE(DEFREVENUE_LT,MEAN,QUARTERLY_ROLL,2024/4F,45740,,,'')&lt;/Q&gt;&lt;R&gt;1&lt;/R&gt;&lt;C&gt;1&lt;/C&gt;&lt;D xsi:type="xsd:double"&gt;2601.75&lt;/D&gt;&lt;/FQL&gt;&lt;FQL&gt;&lt;Q&gt;Ticker0024^FE_ESTIMATE(DEFREVENUE_LT,MEAN,QUARTERLY_ROLL,2024/3F,45740,,,'')&lt;/Q&gt;&lt;R&gt;1&lt;/R&gt;&lt;C&gt;1&lt;/C&gt;&lt;D xsi:type="xsd:double"&gt;2945.7144&lt;/D&gt;&lt;/FQL&gt;&lt;FQL&gt;&lt;Q&gt;Ticker0024^FE_ESTIMATE(DEFREVENUE_LT,MEAN,QUARTERLY_ROLL,2024/2F,45740,,,'')&lt;/Q&gt;&lt;R&gt;1&lt;/R&gt;&lt;C&gt;1&lt;/C&gt;&lt;D xsi:type="xsd:double"&gt;2966.5715&lt;/D&gt;&lt;/FQL&gt;&lt;FQL&gt;&lt;Q&gt;Ticker0024^FE_ESTIMATE(DEFREVENUE_LT,MEAN,QUARTERLY_ROLL,2024/1F,45740,,,'')&lt;/Q&gt;&lt;R&gt;1&lt;/R&gt;&lt;C&gt;1&lt;/C&gt;&lt;D xsi:type="xsd:double"&gt;2759.1428&lt;/D&gt;&lt;/FQL&gt;&lt;FQL&gt;&lt;Q&gt;Ticker0024^FE_ESTIMATE(DEFREVENUE_LT,MEAN,ANNUAL_ROLL,2023,45740,,,'')&lt;/Q&gt;&lt;R&gt;1&lt;/R&gt;&lt;C&gt;1&lt;/C&gt;&lt;D xsi:type="xsd:double"&gt;2911.75&lt;/D&gt;&lt;/FQL&gt;&lt;FQL&gt;&lt;Q&gt;Ticker0024^FE_ESTIMATE(DEFREVENUE_LT,MEAN,QUARTERLY_ROLL,2023/4F,45740,,,'')&lt;/Q&gt;&lt;R&gt;1&lt;/R&gt;&lt;C&gt;1&lt;/C&gt;&lt;D xsi:type="xsd:double"&gt;2911.7144&lt;/D&gt;&lt;/FQL&gt;&lt;FQL&gt;&lt;Q&gt;Ticker0024^FE_ESTIMATE(DEFREVENUE_LT,MEAN,QUARTERLY_ROLL,2023/3F,45740,,,'')&lt;/Q&gt;&lt;R&gt;1&lt;/R&gt;&lt;C&gt;1&lt;/C&gt;&lt;D xsi:type="xsd:double"&gt;2698.3333&lt;/D&gt;&lt;/FQL&gt;&lt;FQL&gt;&lt;Q&gt;Ticker0024^FE_ESTIMATE(DEFREVENUE_LT,MEAN,QUARTERLY_ROLL,2023/2F,45740,,,'')&lt;/Q&gt;&lt;R&gt;1&lt;/R&gt;&lt;C&gt;1&lt;/C&gt;&lt;D xsi:type="xsd:double"&gt;2643.3333&lt;/D&gt;&lt;/FQL&gt;&lt;FQL&gt;&lt;Q&gt;Ticker0024^FE_ESTIMATE(DEFREVENUE_LT,MEAN,QUARTERLY_ROLL,2023/1F,45740,,,'')&lt;/Q&gt;&lt;R&gt;1&lt;/R&gt;&lt;C&gt;1&lt;/C&gt;&lt;D xsi:type="xsd:double"&gt;2549.1428&lt;/D&gt;&lt;/FQL&gt;&lt;FQL&gt;&lt;Q&gt;Ticker0024^FE_ESTIMATE(DEFREVENUE_LT,MEAN,ANNUAL_ROLL,2022,45740,,,'')&lt;/Q&gt;&lt;R&gt;1&lt;/R&gt;&lt;C&gt;1&lt;/C&gt;&lt;D xsi:type="xsd:double"&gt;2870&lt;/D&gt;&lt;/FQL&gt;&lt;FQL&gt;&lt;Q&gt;Ticker0024^FE_ESTIMATE(DEFREVENUE_LT,MEAN,QUARTERLY_ROLL,2022/4F,45740,,,'')&lt;/Q&gt;&lt;R&gt;1&lt;/R&gt;&lt;C&gt;1&lt;/C&gt;&lt;D xsi:type="xsd:double"&gt;2870&lt;/D&gt;&lt;/FQL&gt;&lt;FQL&gt;&lt;Q&gt;Ticker0024^FE_ESTIMATE(DEFREVENUE_LT,MEAN,QUARTERLY_ROLL,2022/3F,45740,,,'')&lt;/Q&gt;&lt;R&gt;1&lt;/R&gt;&lt;C&gt;1&lt;/C&gt;&lt;D xsi:type="xsd:double"&gt;2769&lt;/D&gt;&lt;/FQL&gt;&lt;FQL&gt;&lt;Q&gt;Ticker0024^FE_ESTIMATE(DEFREVENUE_LT,MEAN,QUARTERLY_ROLL,2022/2F,45740,,,'')&lt;/Q&gt;&lt;R&gt;1&lt;/R&gt;&lt;C&gt;1&lt;/C&gt;&lt;D xsi:type="xsd:double"&gt;2768&lt;/D&gt;&lt;/FQL&gt;&lt;FQL&gt;&lt;Q&gt;Ticker0024^FE_ESTIMATE(DEFREVENUE_LT,MEAN,QUARTERLY_ROLL,2022/1F,45740,,,'')&lt;/Q&gt;&lt;R&gt;1&lt;/R&gt;&lt;C&gt;1&lt;/C&gt;&lt;D xsi:type="xsd:double"&gt;2550&lt;/D&gt;&lt;/FQL&gt;&lt;FQL&gt;&lt;Q&gt;Ticker0024^FE_ESTIMATE(DEFREVENUE_LT,MEAN,ANNUAL_ROLL,2021,45740,,,'')&lt;/Q&gt;&lt;R&gt;1&lt;/R&gt;&lt;C&gt;1&lt;/C&gt;&lt;D xsi:type="xsd:double"&gt;2616&lt;/D&gt;&lt;/FQL&gt;&lt;FQL&gt;&lt;Q&gt;Ticker0024^FE_ESTIMATE(DEFREVENUE_LT,MEAN,QUARTERLY_ROLL,2021/4F,45740,,,'')&lt;/Q&gt;&lt;R&gt;1&lt;/R&gt;&lt;C&gt;1&lt;/C&gt;&lt;D xsi:type="xsd:double"&gt;2616&lt;/D&gt;&lt;/FQL&gt;&lt;FQL&gt;&lt;Q&gt;Ticker0024^FE_ESTIMATE(DEFREVENUE_LT,MEAN,QUARTERLY_ROLL,2021/3F,45740,,,'')&lt;/Q&gt;&lt;R&gt;1&lt;/R&gt;&lt;C&gt;1&lt;/C&gt;&lt;D xsi:type="xsd:double"&gt;2631&lt;/D&gt;&lt;/FQL&gt;&lt;FQL&gt;&lt;Q&gt;Ticker0024^FE_ESTIMATE(DEFREVENUE_LT,MEAN,QUARTERLY_ROLL,2021/2F,45740,,,'')&lt;/Q&gt;&lt;R&gt;1&lt;/R&gt;&lt;C&gt;1&lt;/C&gt;&lt;D xsi:type="xsd:double"&gt;2985&lt;/D&gt;&lt;/FQL&gt;&lt;FQL&gt;&lt;Q&gt;Ticker0024^FE_ESTIMATE(DEFREVENUE_LT,MEAN,QUARTERLY_ROLL,2021/1F,45740,,,'')&lt;/Q&gt;&lt;R&gt;1&lt;/R&gt;&lt;C&gt;1&lt;/C&gt;&lt;D xsi:type="xsd:double"&gt;2829&lt;/D&gt;&lt;/FQL&gt;&lt;FQL&gt;&lt;Q&gt;Ticker0024^FE_ESTIMATE(DEFREVENUE_LT,MEAN,ANNUAL_ROLL,2020,45740,,,'')&lt;/Q&gt;&lt;R&gt;1&lt;/R&gt;&lt;C&gt;1&lt;/C&gt;&lt;D xsi:type="xsd:double"&gt;3180&lt;/D&gt;&lt;/FQL&gt;&lt;FQL&gt;&lt;Q&gt;Ticker0024^FE_ESTIMATE(DEFREVENUE_LT,MEAN,QUARTERLY_ROLL,2020/4F,45740,,,'')&lt;/Q&gt;&lt;R&gt;1&lt;/R&gt;&lt;C&gt;1&lt;/C&gt;&lt;D xsi:type="xsd:double"&gt;3180&lt;/D&gt;&lt;/FQL&gt;&lt;FQL&gt;&lt;Q&gt;Ticker0024^FE_ESTIMATE(DEFREVENUE_LT,MEAN,QUARTERLY_ROLL,2020/3F,45740,,,'')&lt;/Q&gt;&lt;R&gt;1&lt;/R&gt;&lt;C&gt;1&lt;/C&gt;&lt;D xsi:type="xsd:double"&gt;3385&lt;/D&gt;&lt;/FQL&gt;&lt;FQL&gt;&lt;Q&gt;Ticker0024^FE_ESTIMATE(DEFREVENUE_LT,MEAN,QUARTERLY_ROLL,2020/2F,45740,,,'')&lt;/Q&gt;&lt;R&gt;1&lt;/R&gt;&lt;C&gt;1&lt;/C&gt;&lt;D xsi:type="xsd:double"&gt;3878&lt;/D&gt;&lt;/FQL&gt;&lt;FQL&gt;&lt;Q&gt;Ticker0024^FE_ESTIMATE(DEFREVENUE_LT,MEAN,QUARTERLY_ROLL,2020/1F,45740,,,'')&lt;/Q&gt;&lt;R&gt;1&lt;/R&gt;&lt;C&gt;1&lt;/C&gt;&lt;D xsi:type="xsd:double"&gt;4122&lt;/D&gt;&lt;/FQL&gt;&lt;FQL&gt;&lt;Q&gt;Ticker0024^FE_ESTIMATE(DEFREVENUE_LT,MEAN,ANNUAL_ROLL,2019,45740,,,'')&lt;/Q&gt;&lt;R&gt;1&lt;/R&gt;&lt;C&gt;1&lt;/C&gt;&lt;D xsi:type="xsd:double"&gt;4530&lt;/D&gt;&lt;/FQL&gt;&lt;FQL&gt;&lt;Q&gt;Ticker0024^FE_ESTIMATE(DEFREVENUE_LT,MEAN,QUARTERLY_ROLL,2019/4F,45740,,,'')&lt;/Q&gt;&lt;R&gt;1&lt;/R&gt;&lt;C&gt;1&lt;/C&gt;&lt;D xsi:type="xsd:double"&gt;4530&lt;/D&gt;&lt;/FQL&gt;&lt;FQL&gt;&lt;Q&gt;Ticker0024^FE_ESTIMATE(DEFREVENUE_LT,MEAN,QUARTERLY_ROLL,2019/3F,45740,,,'')&lt;/Q&gt;&lt;R&gt;1&lt;/R&gt;&lt;C&gt;1&lt;/C&gt;&lt;D xsi:type="xsd:double"&gt;3884&lt;/D&gt;&lt;/FQL&gt;&lt;FQL&gt;&lt;Q&gt;Ticker0024^FE_ESTIMATE(DEFREVENUE_LT,MEAN,QUARTERLY_ROLL,2019/2F,45740,,,'')&lt;/Q&gt;&lt;R&gt;1&lt;/R&gt;&lt;C&gt;1&lt;/C&gt;&lt;D xsi:type="xsd:double"&gt;3799&lt;/D&gt;&lt;/FQL&gt;&lt;FQL&gt;&lt;Q&gt;Ticker0024^FE_ESTIMATE(DEFREVENUE_LT,MEAN,QUARTERLY_ROLL,2019/1F,45740,,,'')&lt;/Q&gt;&lt;R&gt;1&lt;/R&gt;&lt;C&gt;1&lt;/C&gt;&lt;D xsi:type="xsd:double"&gt;3538&lt;/D&gt;&lt;/FQL&gt;&lt;FQL&gt;&lt;Q&gt;Ticker0024^FE_ESTIMATE(DEFREVENUE_LT,MEAN,ANNUAL_ROLL,2018,45740,,,'')&lt;/Q&gt;&lt;R&gt;1&lt;/R&gt;&lt;C&gt;1&lt;/C&gt;&lt;D xsi:type="xsd:double"&gt;3815&lt;/D&gt;&lt;/FQL&gt;&lt;FQL&gt;&lt;Q&gt;Ticker0024^FE_ESTIMATE(DEFREVENUE_LT,MEAN,QUARTERLY_ROLL,2018/4F,45740,,,'')&lt;/Q&gt;&lt;R&gt;1&lt;/R&gt;&lt;C&gt;1&lt;/C&gt;&lt;D xsi:type="xsd:double"&gt;3815&lt;/D&gt;&lt;/FQL&gt;&lt;FQL&gt;&lt;Q&gt;Ticker0024^FE_ESTIMATE(DEFREVENUE_LT,MEAN,QUARTERLY_ROLL,2018/3F,45740,,,'')&lt;/Q&gt;&lt;R&gt;1&lt;/R&gt;&lt;C&gt;1&lt;/C&gt;&lt;D xsi:type="xsd:double"&gt;2585&lt;/D&gt;&lt;/FQL&gt;&lt;FQL&gt;&lt;Q&gt;Ticker0024^FE_ESTIMATE(DEFREVENUE_LT,MEAN,QUARTERLY_ROLL,2018/2F,45740,,,'')&lt;/Q&gt;&lt;R&gt;1&lt;/R&gt;&lt;C&gt;1&lt;/C&gt;&lt;D xsi:type="xsd:double"&gt;2500&lt;/D&gt;&lt;/FQL&gt;&lt;FQL&gt;&lt;Q&gt;Ticker0024^FE_ESTIMATE(DEFREVENUE_LT,MEAN,QUARTERLY_ROLL,2018/1F,45740,,,'')&lt;/Q&gt;&lt;R&gt;1&lt;/R&gt;&lt;C&gt;1&lt;/C&gt;&lt;D xsi:type="xsd:double"&gt;2126&lt;/D&gt;&lt;/FQL&gt;&lt;FQL&gt;&lt;Q&gt;Ticker0024^FE_ESTIMATE(DEFREVENUE_LT,MEAN,ANNUAL_ROLL,2017,45740,,,'')&lt;/Q&gt;&lt;R&gt;1&lt;/R&gt;&lt;C&gt;1&lt;/C&gt;&lt;D xsi:type="xsd:double"&gt;10377&lt;/D&gt;&lt;/FQL&gt;&lt;FQL&gt;&lt;Q&gt;Ticker0024^FE_ESTIMATE(DEFREVENUE_LT,MEAN,QUARTERLY_ROLL,2017/4F,45740,,,'')&lt;/Q&gt;&lt;R&gt;1&lt;/R&gt;&lt;C&gt;1&lt;/C&gt;&lt;D xsi:type="xsd:double"&gt;10377&lt;/D&gt;&lt;/FQL&gt;&lt;FQL&gt;&lt;Q&gt;Ticker0024^FE_ESTIMATE(DEFREVENUE_LT,MEAN,QUARTERLY_ROLL,2017/3F,45740,,,'')&lt;/Q&gt;&lt;R&gt;1&lt;/R&gt;&lt;C&gt;1&lt;/C&gt;&lt;D xsi:type="xsd:double"&gt;9215&lt;/D&gt;&lt;/FQL&gt;&lt;FQL&gt;&lt;Q&gt;Ticker0024^FE_ESTIMATE(DEFREVENUE_LT,MEAN,QUARTERLY_ROLL,2017/2F,45740,,,'')&lt;/Q&gt;&lt;R&gt;1&lt;/R&gt;&lt;C&gt;1&lt;/C&gt;&lt;D xsi:type="xsd:double"&gt;8595&lt;/D&gt;&lt;/FQL&gt;&lt;FQL&gt;&lt;Q&gt;Ticker0024^FE_ESTIMATE(DEFREVENUE_LT,MEAN,QUARTERLY_ROLL,2017/1F,45740,,,'')&lt;/Q&gt;&lt;R&gt;1&lt;/R&gt;&lt;C&gt;1&lt;/C&gt;&lt;D xsi:type="xsd:double"&gt;7284&lt;/D&gt;&lt;/FQL&gt;&lt;FQL&gt;&lt;Q&gt;Ticker0024^FE_ESTIMATE(DEFREVENUE_LT,MEAN,ANNUAL_ROLL,2016,45740,,,'')&lt;/Q&gt;&lt;R&gt;1&lt;/R&gt;&lt;C&gt;1&lt;/C&gt;&lt;D xsi:type="xsd:double"&gt;6441&lt;/D&gt;&lt;/FQL&gt;&lt;FQL&gt;&lt;Q&gt;Ticker0024^FE_ESTIMATE(DEFREVENUE_LT,MEAN,QUARTERLY_ROLL,2016/4F,45740,,,'')&lt;/Q&gt;&lt;R&gt;1&lt;/R&gt;&lt;C&gt;1&lt;/C&gt;&lt;D xsi:type="xsd:double"&gt;6441&lt;/D&gt;&lt;/FQL&gt;&lt;FQL&gt;&lt;Q&gt;Ticker0024^FE_ESTIMATE(DEFREVENUE_LT,MEAN,QUARTERLY_ROLL,2016/3F,45740,,,'')&lt;/Q&gt;&lt;R&gt;1&lt;/R&gt;&lt;C&gt;1&lt;/C&gt;&lt;D xsi:type="xsd:double"&gt;5017&lt;/D&gt;&lt;/FQL&gt;&lt;FQL&gt;&lt;Q&gt;Ticker0024^FE_ESTIMATE(DEFREVENUE_LT,MEAN,QUARTERLY_ROLL,2016/2F,45740,,,'')&lt;/Q&gt;&lt;R&gt;1&lt;/R&gt;&lt;C&gt;1&lt;/C&gt;&lt;D xsi:type="xsd:double"&gt;4102&lt;/D&gt;&lt;/FQL&gt;&lt;FQL&gt;&lt;Q&gt;Ticker0024^FE_ESTIMATE(DEFREVENUE_LT,MEAN,QUARTERLY_ROLL,2016/1F,45740,,,'')&lt;/Q&gt;&lt;R&gt;1&lt;/R&gt;&lt;C&gt;1&lt;/C&gt;&lt;D xsi:type="xsd:double"&gt;2784&lt;/D&gt;&lt;/FQL&gt;&lt;FQL&gt;&lt;Q&gt;Ticker0024^FE_ESTIMATE(DEFREVENUE_LT,MEAN,ANNUAL_ROLL,2015,45740,,,'')&lt;/Q&gt;&lt;R&gt;1&lt;/R&gt;&lt;C&gt;1&lt;/C&gt;&lt;D xsi:type="xsd:double"&gt;2095&lt;/D&gt;&lt;/FQL&gt;&lt;FQL&gt;&lt;Q&gt;Ticker0024^FE_ESTIMATE(DEFREVENUE_LT,MEAN,QUARTERLY_ROLL,2015/4F,45740,,,'')&lt;/Q&gt;&lt;R&gt;1&lt;/R&gt;&lt;C&gt;1&lt;/C&gt;&lt;D xsi:type="xsd:double"&gt;2095&lt;/D&gt;&lt;/FQL&gt;&lt;FQL&gt;&lt;Q&gt;Ticker0024^FE_ESTIMATE(DEFREVENUE_LT,MEAN,QUARTERLY_ROLL,2015/3F,45740,,,'')&lt;/Q&gt;&lt;R&gt;1&lt;/R&gt;&lt;C&gt;1&lt;/C&gt;&lt;D xsi:type="xsd:double"&gt;1966&lt;/D&gt;&lt;/FQL&gt;&lt;FQL&gt;&lt;Q&gt;Ticker0024^FE_ESTIMATE(DEFREVENUE_LT,MEAN,QUARTERLY_ROLL,2015/2F,45740,,,'')&lt;/Q&gt;&lt;R&gt;1&lt;/R&gt;&lt;C&gt;1&lt;/C&gt;&lt;D xsi:type="xsd:double"&gt;2035.2727&lt;/D&gt;&lt;/FQL&gt;&lt;FQL&gt;&lt;Q&gt;Ticker0024^FE_ESTIMATE(DEFREVENUE_LT,MEAN,QUARTERLY_ROLL,2015/1F,45740,,,'')&lt;/Q&gt;&lt;R&gt;1&lt;/R&gt;&lt;C&gt;1&lt;/C&gt;&lt;D xsi:type="xsd:double"&gt;1825&lt;/D&gt;&lt;/FQL&gt;&lt;FQL&gt;&lt;Q&gt;Ticker0024^FE_ESTIMATE(DEFREVENUE_ST,MEAN,ANNUAL_ROLL,2030,45740,,,'')&lt;/Q&gt;&lt;R&gt;0&lt;/R&gt;&lt;C&gt;0&lt;/C&gt;&lt;/FQL&gt;&lt;FQL&gt;&lt;Q&gt;Ticker0024^FE_ESTIMATE(DEFREVENUE_ST,MEAN,QUARTERLY_ROLL,2030/4F,45740,,,'')&lt;/Q&gt;&lt;R&gt;0&lt;/R&gt;&lt;C&gt;0&lt;/C&gt;&lt;/FQL&gt;&lt;FQL&gt;&lt;Q&gt;Ticker0024^FE_ESTIMATE(DEFREVENUE_ST,MEAN,QUARTERLY_ROLL,2030/3F,45740,,,'')&lt;/Q&gt;&lt;R&gt;0&lt;/R&gt;&lt;C&gt;0&lt;/C&gt;&lt;/FQL&gt;&lt;FQL&gt;&lt;Q&gt;Ticker0024^FE_ESTIMATE(DEFREVENUE_ST,MEAN,QUARTERLY_ROLL,2030/2F,45740,,,'')&lt;/Q&gt;&lt;R&gt;0&lt;/R&gt;&lt;C&gt;0&lt;/C&gt;&lt;/FQL&gt;&lt;FQL&gt;&lt;Q&gt;Ticker0024^FE_ESTIMATE(DEFREVENUE_ST,MEAN,QUARTERLY_ROLL,2030/1F,45740,,,'')&lt;/Q&gt;&lt;R&gt;0&lt;/R&gt;&lt;C&gt;0&lt;/C&gt;&lt;/FQL&gt;&lt;FQL&gt;&lt;Q&gt;Ticker0024^FE_ESTIMATE(DEFREVENUE_ST,MEAN,ANNUAL_ROLL,2029,45740,,,'')&lt;/Q&gt;&lt;R&gt;0&lt;/R&gt;&lt;C&gt;0&lt;/C&gt;&lt;/FQL&gt;&lt;FQL&gt;&lt;Q&gt;Ticker0024^FE_ESTIMATE(DEFREVENUE_ST,MEAN,QUARTERLY_ROLL,2029/4F,45740,,,'')&lt;/Q&gt;&lt;R&gt;0&lt;/R&gt;&lt;C&gt;0&lt;/C&gt;&lt;/FQL&gt;&lt;FQL&gt;&lt;Q&gt;Ticker0024^FE_ESTIMATE(DEFREVENUE_ST,MEAN,QUARTERLY_ROLL,2029/3F,45740,,,'')&lt;/Q&gt;&lt;R&gt;0&lt;/R&gt;&lt;C&gt;0&lt;/C&gt;&lt;/FQL&gt;&lt;FQL&gt;&lt;Q&gt;Ticker0024^FE_ESTIMATE(DEFREVENUE_ST,MEAN,QUARTERLY_ROLL,2029/2F,45740,,,'')&lt;/Q&gt;&lt;R&gt;0&lt;/R&gt;&lt;C&gt;0&lt;/C&gt;&lt;/FQL&gt;&lt;FQL&gt;&lt;Q&gt;Ticker0024^FE_ESTIMATE(DEFREVENUE_ST,MEAN,QUARTERLY_ROLL,2029/1F,45740,,,'')&lt;/Q&gt;&lt;R&gt;0&lt;/R&gt;&lt;C&gt;0&lt;/C&gt;&lt;/FQL&gt;&lt;FQL&gt;&lt;Q&gt;Ticker0024^FE_ESTIMATE(DEFREVENUE_ST,MEAN,ANNUAL_ROLL,2028,45740,,,'')&lt;/Q&gt;&lt;R&gt;0&lt;/R&gt;&lt;C&gt;0&lt;/C&gt;&lt;/FQL&gt;&lt;FQL&gt;&lt;Q&gt;Ticker0024^FE_ESTIMATE(DEFREVENUE_ST,MEAN,QUARTERLY_ROLL,2028/4F,45740,,,'')&lt;/Q&gt;&lt;R&gt;0&lt;/R&gt;&lt;C&gt;0&lt;/C&gt;&lt;/FQL&gt;&lt;FQL&gt;&lt;Q&gt;Ticker0024^FE_ESTIMATE(DEFREVENUE_ST,MEAN,QUARTERLY_ROLL,2028/3F,45740,,,'')&lt;/Q&gt;&lt;R&gt;0&lt;/R&gt;&lt;C&gt;0&lt;/C&gt;&lt;/FQL&gt;&lt;FQL&gt;&lt;Q&gt;Ticker0024^FE_ESTIMATE(DEFREVENUE_ST,MEAN,QUARTERLY_ROLL,2028/2F,45740,,,'')&lt;/Q&gt;&lt;R&gt;0&lt;/R&gt;&lt;C&gt;0&lt;/C&gt;&lt;/FQL&gt;&lt;FQL&gt;&lt;Q&gt;Ticker0024^FE_ESTIMATE(DEFREVENUE_ST,MEAN,QUARTERLY_ROLL,2028/1F,45740,,,'')&lt;/Q&gt;&lt;R&gt;0&lt;/R&gt;&lt;C&gt;0&lt;/C&gt;&lt;/FQL&gt;&lt;FQL&gt;&lt;Q&gt;Ticker0024^FE_ESTIMATE(DEFREVENUE_ST,MEAN,ANNUAL_ROLL,2027,45740,,,'')&lt;/Q&gt;&lt;R&gt;1&lt;/R&gt;&lt;C&gt;1&lt;/C&gt;&lt;D xsi:type="xsd:double"&gt;71051.42&lt;/D&gt;&lt;/FQL&gt;&lt;FQL&gt;&lt;Q&gt;Ticker0024^FE_ESTIMATE(DEFREVENUE_ST,MEAN,QUARTERLY_ROLL,2027/4F,45740,,,'')&lt;/Q&gt;&lt;R&gt;1&lt;/R&gt;&lt;C&gt;1&lt;/C&gt;&lt;D xsi:type="xsd:double"&gt;87308&lt;/D&gt;&lt;/FQL&gt;&lt;FQL&gt;&lt;Q&gt;Ticker0024^FE_ESTIMATE(DEFREVENUE_ST,MEAN,QUARTERLY_ROLL,2027/3F,45740,,,'')&lt;/Q&gt;&lt;R&gt;1&lt;/R&gt;&lt;C&gt;1&lt;/C&gt;&lt;D xsi:type="xsd:double"&gt;67308&lt;/D&gt;&lt;/FQL&gt;&lt;FQL&gt;&lt;Q&gt;Ticker0024^FE_ESTIMATE(DEFREVENUE_ST,MEAN,QUARTERLY_ROLL,2027/2F,45740,,,'')&lt;/Q&gt;&lt;R&gt;1&lt;/R&gt;&lt;C&gt;1&lt;/C&gt;&lt;D xsi:type="xsd:double"&gt;67908&lt;/D&gt;&lt;/FQL&gt;&lt;FQL&gt;&lt;Q&gt;Ticker0024^FE_ESTIMATE(DEFREVENUE_ST,MEAN,QUARTERLY_ROLL,2027/1F,45740,,,'')&lt;/Q&gt;&lt;R&gt;1&lt;/R&gt;&lt;C&gt;1&lt;/C&gt;&lt;D xsi:type="xsd:double"&gt;71608&lt;/D&gt;&lt;/FQL&gt;&lt;FQL&gt;&lt;Q&gt;Ticker0024^FE_ESTIMATE(DEFREVENUE_ST,MEAN,ANNUAL_ROLL,2026,45740,,,'')&lt;/Q&gt;&lt;R&gt;1&lt;/R&gt;&lt;C&gt;1&lt;/C&gt;&lt;D xsi:type="xsd:double"&gt;67652.586&lt;/D&gt;&lt;/FQL&gt;&lt;FQL&gt;&lt;Q&gt;Ticker0024^FE_ESTIMATE(DEFREVENUE_ST,MEAN,QUARTERLY_ROLL,2026/4F,45740,,,'')&lt;/Q&gt;&lt;R&gt;1&lt;/R&gt;&lt;C&gt;1&lt;/C&gt;&lt;D xsi:type="xsd:double"&gt;68031.44&lt;/D&gt;&lt;/FQL&gt;&lt;FQL&gt;&lt;Q&gt;Ticker0024^FE_ESTIMATE(DEFREVENUE_ST,MEAN,QUARTERLY_ROLL,2026/3F,45740,,,'')&lt;/Q&gt;&lt;R&gt;1&lt;/R&gt;&lt;C&gt;1&lt;/C&gt;&lt;D xsi:type="xsd:double"&gt;51405.14&lt;/D&gt;&lt;/FQL&gt;&lt;FQL&gt;&lt;Q&gt;Ticker0024^FE_ESTIMATE(DEFREVENUE_ST,MEAN,QUARTERLY_ROLL,2026/2F,45740,,,'')&lt;/Q&gt;&lt;R&gt;1&lt;/R&gt;&lt;C&gt;1&lt;/C&gt;&lt;D xsi:type="xsd:double"&gt;52592.48&lt;/D&gt;&lt;/FQL&gt;&lt;FQL&gt;&lt;Q&gt;Ticker0024^FE_ESTIMATE(DEFREVENUE_ST,MEAN,QUARTERLY_ROLL,2026/1F,45740,,,'')&lt;/Q&gt;&lt;R&gt;1&lt;/R&gt;&lt;C&gt;1&lt;/C&gt;&lt;D xsi:type="xsd:double"&gt;58514.48&lt;/D&gt;&lt;/FQL&gt;&lt;FQL&gt;&lt;Q&gt;Ticker0024^FE_ESTIMATE(DEFREVENUE_ST,MEAN,ANNUAL_ROLL,2025,45740,,,'')&lt;/Q&gt;&lt;R&gt;1&lt;/R&gt;&lt;C&gt;1&lt;/C&gt;&lt;D xsi:type="xsd:double"&gt;62017.04&lt;/D&gt;&lt;/FQL&gt;&lt;FQL&gt;&lt;Q&gt;Ticker0024^FE_ESTIMATE(DEFREVENUE_ST,MEAN,QUARTERLY_ROLL,2025/4F,45740,,,'')&lt;/Q&gt;&lt;R&gt;1&lt;/R&gt;&lt;C&gt;1&lt;/C&gt;&lt;D xsi:type="xsd:double"&gt;61588.613&lt;/D&gt;&lt;/FQL&gt;&lt;FQL&gt;&lt;Q&gt;Ticker0024^FE_ESTIMATE(DEFREVENUE_ST,MEAN,QUARTERLY_ROLL,2025/3F,45740,,,'')&lt;/Q&gt;&lt;R&gt;1&lt;/R&gt;&lt;C&gt;1&lt;/C&gt;&lt;D xsi:type="xsd:double"&gt;46344.13&lt;/D&gt;&lt;/FQL&gt;&lt;FQL&gt;&lt;Q&gt;Ticker0024^FE_ESTIMATE(DEFREVENUE_ST,MEAN,QUARTERLY_ROLL,2025/2F,45740,,,'')&lt;/Q&gt;&lt;R&gt;1&lt;/R&gt;&lt;C&gt;1&lt;/C&gt;&lt;D xsi:type="xsd:double"&gt;45508.332&lt;/D&gt;&lt;/FQL&gt;&lt;FQL&gt;&lt;Q&gt;Ticker0024^FE_ESTIMATE(DEFREVENUE_ST,MEAN,QUARTERLY_ROLL,2025/1F,45740,,,'')&lt;/Q&gt;&lt;R&gt;1&lt;/R&gt;&lt;C&gt;1&lt;/C&gt;&lt;D xsi:type="xsd:double"&gt;53026.5&lt;/D&gt;&lt;/FQL&gt;&lt;FQL&gt;&lt;Q&gt;Ticker0024^FE_ESTIMATE(DEFREVENUE_ST,MEAN,ANNUAL_ROLL,2024,45740,,,'')&lt;/Q&gt;&lt;R&gt;1&lt;/R&gt;&lt;C&gt;1&lt;/C&gt;&lt;D xsi:type="xsd:double"&gt;57725&lt;/D&gt;&lt;/FQL&gt;&lt;FQL&gt;&lt;Q&gt;Ticker0024^FE_ESTIMATE(DEFREVENUE_ST,MEAN,QUARTERLY_ROLL,2024/4F,45740,,,'')&lt;/Q&gt;&lt;R&gt;1&lt;/R&gt;&lt;C&gt;1&lt;/C&gt;&lt;D xsi:type="xsd:double"&gt;57581.75&lt;/D&gt;&lt;/FQL&gt;&lt;FQL&gt;&lt;Q&gt;Ticker0024^FE_ESTIMATE(DEFREVENUE_ST,MEAN,QUARTERLY_ROLL,2024/3F,45740,,,'')&lt;/Q&gt;&lt;R&gt;1&lt;/R&gt;&lt;C&gt;1&lt;/C&gt;&lt;D xsi:type="xsd:double"&gt;41888.285&lt;/D&gt;&lt;/FQL&gt;&lt;FQL&gt;&lt;Q&gt;Ticker0024^FE_ESTIMATE(DEFREVENUE_ST,MEAN,QUARTERLY_ROLL,2024/2F,45740,,,'')&lt;/Q&gt;&lt;R&gt;1&lt;/R&gt;&lt;C&gt;1&lt;/C&gt;&lt;D xsi:type="xsd:double"&gt;43068.285&lt;/D&gt;&lt;/FQL&gt;&lt;FQL&gt;&lt;Q&gt;Ticker0024^FE_ESTIMATE(DEFREVENUE_ST,MEAN,QUARTERLY_ROLL,2024/1F,45740,,,'')&lt;/Q&gt;&lt;R&gt;1&lt;/R&gt;&lt;C&gt;1&lt;/C&gt;&lt;D xsi:type="xsd:double"&gt;46429.168&lt;/D&gt;&lt;/FQL&gt;&lt;FQL&gt;&lt;Q&gt;Ticker0024^FE_ESTIMATE(DEFREVENUE_ST,MEAN,ANNUAL_ROLL,2023,45740,,,'')&lt;/Q&gt;&lt;R&gt;1&lt;/R&gt;&lt;C&gt;1&lt;/C&gt;&lt;D xsi:type="xsd:double"&gt;50900.875&lt;/D&gt;&lt;/FQL&gt;&lt;FQL&gt;&lt;Q&gt;Ticker0024^FE_ESTIMATE(DEFREVENUE_ST,MEAN,QUARTERLY_ROLL,2023/4F,45740,,,'')&lt;/Q&gt;&lt;R&gt;1&lt;/R&gt;&lt;C&gt;1&lt;/C&gt;&lt;D xsi:type="xsd:double"&gt;50900.855&lt;/D&gt;&lt;/FQL&gt;&lt;FQL&gt;&lt;Q&gt;Ticker0024^FE_ESTIMATE(DEFREVENUE_ST,MEAN,QUARTERLY_ROLL,2023/3F,45740,,,'')&lt;/Q&gt;&lt;R&gt;1&lt;/R&gt;&lt;C&gt;1&lt;/C&gt;&lt;D xsi:type="xsd:double"&gt;36902.5&lt;/D&gt;&lt;/FQL&gt;&lt;FQL&gt;&lt;Q&gt;Ticker0024^FE_ESTIMATE(DEFREVENUE_ST,MEAN,QUARTERLY_ROLL,2023/2F,45740,,,'')&lt;/Q&gt;&lt;R&gt;1&lt;/R&gt;&lt;C&gt;1&lt;/C&gt;&lt;D xsi:type="xsd:double"&gt;36981.668&lt;/D&gt;&lt;/FQL&gt;&lt;FQL&gt;&lt;Q&gt;Ticker0024^FE_ESTIMATE(DEFREVENUE_ST,MEAN,QUARTERLY_ROLL,2023/1F,45740,,,'')&lt;/Q&gt;&lt;R&gt;1&lt;/R&gt;&lt;C&gt;1&lt;/C&gt;&lt;D xsi:type="xsd:double"&gt;41340&lt;/D&gt;&lt;/FQL&gt;&lt;FQL&gt;&lt;Q&gt;Ticker0024^FE_ESTIMATE(DEFREVENUE_ST,MEAN,ANNUAL_ROLL,2022,45740,,,'')&lt;/Q&gt;&lt;R&gt;1&lt;/R&gt;&lt;C&gt;1&lt;/C&gt;&lt;D xsi:type="xsd:double"&gt;45538&lt;/D&gt;&lt;/FQL&gt;&lt;FQL&gt;&lt;Q&gt;Ticker0024^FE_ESTIMATE(DEFREVENUE_ST,MEAN,QUARTERLY_ROLL,2022/4F,45740,,,'')&lt;/Q&gt;&lt;R&gt;1&lt;/R&gt;&lt;C&gt;1&lt;/C&gt;&lt;D xsi:type="xsd:double"&gt;45538&lt;/D&gt;&lt;/FQL&gt;&lt;FQL&gt;&lt;Q&gt;Ticker0024^FE_ESTIMATE(DEFREVENUE_ST,MEAN,QUARTERLY_ROLL,2022/3F,45740,,,'')&lt;/Q&gt;&lt;R&gt;1&lt;/R&gt;&lt;C&gt;1&lt;/C&gt;&lt;D xsi:type="xsd:double"&gt;34027&lt;/D&gt;&lt;/FQL&gt;&lt;FQL&gt;&lt;Q&gt;Ticker0024^FE_ESTIMATE(DEFREVENUE_ST,MEAN,QUARTERLY_ROLL,2022/2F,45740,,,'')&lt;/Q&gt;&lt;R&gt;1&lt;/R&gt;&lt;C&gt;1&lt;/C&gt;&lt;D xsi:type="xsd:double"&gt;34001&lt;/D&gt;&lt;/FQL&gt;&lt;FQL&gt;&lt;Q&gt;Ticker0024^FE_ESTIMATE(DEFREVENUE_ST,MEAN,QUARTERLY_ROLL,2022/1F,45740,,,'')&lt;/Q&gt;&lt;R&gt;1&lt;/R&gt;&lt;C&gt;1&lt;/C&gt;&lt;D xsi:type="xsd:double"&gt;38465&lt;/D&gt;&lt;/FQL&gt;&lt;FQL&gt;&lt;Q&gt;Ticker0024^FE_ESTIMATE(DEFREVENUE_ST,MEAN,ANNUAL_ROLL,2021,45740,,,'')&lt;/Q&gt;&lt;R&gt;1&lt;/R&gt;&lt;C&gt;1&lt;/C&gt;&lt;D xsi:type="xsd:double"&gt;41525&lt;/D&gt;&lt;/FQL&gt;&lt;FQL&gt;&lt;Q&gt;Ticker0024^FE_ESTIMATE(DEFREVENUE_ST,MEAN,QUARTERLY_ROLL,2021/4F,45740,,,'')&lt;/Q&gt;&lt;R&gt;1&lt;/R&gt;&lt;C&gt;1&lt;/C&gt;&lt;D xsi:type="xsd:double"&gt;41525&lt;/D&gt;&lt;/FQL&gt;&lt;FQL&gt;&lt;Q&gt;Ticker0024^FE_ESTIMATE(DEFREVENUE_ST,MEAN,QUARTERLY_ROLL,2021/3F,45740,,,'')&lt;/Q&gt;&lt;R&gt;1&lt;/R&gt;&lt;C&gt;1&lt;/C&gt;&lt;D xsi:type="xsd:double"&gt;30083&lt;/D&gt;&lt;/FQL&gt;&lt;FQL&gt;&lt;Q&gt;Ticker0024^FE_ESTIMATE(DEFREVENUE_ST,MEAN,QUARTERLY_ROLL,2021/2F,45740,,,'')&lt;/Q&gt;&lt;R&gt;1&lt;/R&gt;&lt;C&gt;1&lt;/C&gt;&lt;D xsi:type="xsd:double"&gt;30402&lt;/D&gt;&lt;/FQL&gt;&lt;FQL&gt;&lt;Q&gt;Ticker0024^FE_ESTIMATE(DEFREVENUE_ST,MEAN,QUARTERLY_ROLL,2021/1F,45740,,,'')&lt;/Q&gt;&lt;R&gt;1&lt;/R&gt;&lt;C&gt;1&lt;/C&gt;&lt;D xsi:type="xsd:double"&gt;33476&lt;/D&gt;&lt;/FQL&gt;&lt;FQL&gt;&lt;Q&gt;Ticker0024^FE_ESTIMATE(DEFREVENUE_ST,MEAN,ANNUAL_ROLL,2020,45740,,,'')&lt;/Q&gt;&lt;R&gt;1&lt;/R&gt;&lt;C&gt;1&lt;/C&gt;&lt;D xsi:type="xsd:double"&gt;36000&lt;/D&gt;&lt;/FQL&gt;&lt;FQL&gt;&lt;Q&gt;Ticker0024^FE_ESTIMATE(DEFREVENUE_ST,MEAN,QUARTERLY_ROLL,2020/4F,45740,,,'')&lt;/Q&gt;&lt;R&gt;1&lt;/R&gt;&lt;C&gt;1&lt;/C&gt;&lt;D xsi:type="xsd:double"&gt;36000&lt;/D&gt;&lt;/FQL&gt;&lt;FQL&gt;&lt;Q&gt;Ticker0024^FE_ESTIMATE(DEFREVENUE_ST,MEAN,QUARTERLY_ROLL,2020/3F,45740,,,'')&lt;/Q&gt;&lt;R&gt;1&lt;/R&gt;&lt;C&gt;1&lt;/C&gt;&lt;D xsi:type="xsd:double"&gt;27012&lt;/D&gt;&lt;/FQL&gt;&lt;FQL&gt;&lt;Q&gt;Ticker0024^FE_ESTIMATE(DEFREVENUE_ST,MEAN,QUARTERLY_ROLL,2020/2F,45740,,,'')&lt;/Q&gt;&lt;R&gt;1&lt;/R&gt;&lt;C&gt;1&lt;/C&gt;&lt;D xsi:type="xsd:double"&gt;27343&lt;/D&gt;&lt;/FQL&gt;&lt;FQL&gt;&lt;Q&gt;Ticker0024^FE_ESTIMATE(DEFREVENUE_ST,MEAN,QUARTERLY_ROLL,2020/1F,45740,,,'')&lt;/Q&gt;&lt;R&gt;1&lt;/R&gt;&lt;C&gt;1&lt;/C&gt;&lt;D xsi:type="xsd:double"&gt;29904&lt;/D&gt;&lt;/FQL&gt;&lt;FQL&gt;&lt;Q&gt;Ticker0024^FE_ESTIMATE(DEFREVENUE_ST,MEAN,ANNUAL_ROLL,2019,45740,,,'')&lt;/Q&gt;&lt;R&gt;1&lt;/R&gt;&lt;C&gt;1&lt;/C&gt;&lt;D xsi:type="xsd:double"&gt;32676&lt;/D&gt;&lt;/FQL&gt;&lt;FQL&gt;&lt;Q&gt;Ticker0024^FE_ESTIMATE(DEFREVENUE_ST,MEAN,QUARTERLY_ROLL,2019/4F,45740,,,'')&lt;/Q&gt;&lt;R&gt;1&lt;/R&gt;&lt;C&gt;1&lt;/C&gt;&lt;D xsi:type="xsd:double"&gt;32676&lt;/D&gt;&lt;/FQL&gt;&lt;FQL&gt;&lt;Q&gt;Ticker0024^FE_ESTIMATE(DEFREVENUE_ST,MEAN,QUARTERLY_ROLL,2019/3F,45740,,,'')&lt;/Q&gt;&lt;R&gt;1&lt;/R&gt;&lt;C&gt;1&lt;/C&gt;&lt;D xsi:type="xsd:double"&gt;24251&lt;/D&gt;&lt;/FQL&gt;&lt;FQL&gt;&lt;Q&gt;Ticker0024^FE_ESTIMATE(DEFREVENUE_ST,MEAN,QUARTERLY_ROLL,2019/2F,45740,,,'')&lt;/Q&gt;&lt;R&gt;1&lt;/R&gt;&lt;C&gt;1&lt;/C&gt;&lt;D xsi:type="xsd:double"&gt;24285&lt;/D&gt;&lt;/FQL&gt;&lt;FQL&gt;&lt;Q&gt;Ticker0024^FE_ESTIMATE(DEFREVENUE_ST,MEAN,QUARTERLY_ROLL,2019/1F,45740,,,'')&lt;/Q&gt;&lt;R&gt;1&lt;/R&gt;&lt;C&gt;1&lt;/C&gt;&lt;D xsi:type="xsd:double"&gt;26704&lt;/D&gt;&lt;/FQL&gt;&lt;FQL&gt;&lt;Q&gt;Ticker0024^FE_ESTIMATE(DEFREVENUE_ST,MEAN,ANNUAL_ROLL,2018,45740,,,'')&lt;/Q&gt;&lt;R&gt;1&lt;/R&gt;&lt;C&gt;1&lt;/C&gt;</t>
        </r>
      </text>
    </comment>
    <comment ref="A22" authorId="0" shapeId="0" xr:uid="{B7E67E83-8C62-4E82-AA5F-36558ECDACF1}">
      <text>
        <r>
          <rPr>
            <b/>
            <sz val="9"/>
            <color indexed="81"/>
            <rFont val="Tahoma"/>
            <family val="2"/>
          </rPr>
          <t>Author:type="xsd:double"&gt;28905&lt;/D&gt;&lt;/FQL&gt;&lt;FQL&gt;&lt;Q&gt;Ticker0024^FE_ESTIMATE(DEFREVENUE_ST,MEAN,QUARTERLY_ROLL,2018/4F,45740,,,'')&lt;/Q&gt;&lt;R&gt;1&lt;/R&gt;&lt;C&gt;1&lt;/C&gt;&lt;D xsi:type="xsd:double"&gt;28905&lt;/D&gt;&lt;/FQL&gt;&lt;FQL&gt;&lt;Q&gt;Ticker0024^FE_ESTIMATE(DEFREVENUE_ST,MEAN,QUARTERLY_ROLL,2018/3F,45740,,,'')&lt;/Q&gt;&lt;R&gt;1&lt;/R&gt;&lt;C&gt;1&lt;/C&gt;&lt;D xsi:type="xsd:double"&gt;21370&lt;/D&gt;&lt;/FQL&gt;&lt;FQL&gt;&lt;Q&gt;Ticker0024^FE_ESTIMATE(DEFREVENUE_ST,MEAN,QUARTERLY_ROLL,2018/2F,45740,,,'')&lt;/Q&gt;&lt;R&gt;1&lt;/R&gt;&lt;C&gt;1&lt;/C&gt;&lt;D xsi:type="xsd:double"&gt;21559&lt;/D&gt;&lt;/FQL&gt;&lt;FQL&gt;&lt;Q&gt;Ticker0024^FE_ESTIMATE(DEFREVENUE_ST,MEAN,QUARTERLY_ROLL,2018/1F,45740,,,'')&lt;/Q&gt;&lt;R&gt;1&lt;/R&gt;&lt;C&gt;1&lt;/C&gt;&lt;D xsi:type="xsd:double"&gt;22990.6&lt;/D&gt;&lt;/FQL&gt;&lt;FQL&gt;&lt;Q&gt;Ticker0024^FE_ESTIMATE(DEFREVENUE_ST,MEAN,ANNUAL_ROLL,2017,45740,,,'')&lt;/Q&gt;&lt;R&gt;1&lt;/R&gt;&lt;C&gt;1&lt;/C&gt;&lt;D xsi:type="xsd:double"&gt;34102&lt;/D&gt;&lt;/FQL&gt;&lt;FQL&gt;&lt;Q&gt;Ticker0024^FE_ESTIMATE(DEFREVENUE_ST,MEAN,QUARTERLY_ROLL,2017/4F,45740,,,'')&lt;/Q&gt;&lt;R&gt;1&lt;/R&gt;&lt;C&gt;1&lt;/C&gt;&lt;D xsi:type="xsd:double"&gt;34102&lt;/D&gt;&lt;/FQL&gt;&lt;FQL&gt;&lt;Q&gt;Ticker0024^FE_ESTIMATE(DEFREVENUE_ST,MEAN,QUARTERLY_ROLL,2017/3F,45740,,,'')&lt;/Q&gt;&lt;R&gt;1&lt;/R&gt;&lt;C&gt;1&lt;/C&gt;&lt;D xsi:type="xsd:double"&gt;26518&lt;/D&gt;&lt;/FQL&gt;&lt;FQL&gt;&lt;Q&gt;Ticker0024^FE_ESTIMATE(DEFREVENUE_ST,MEAN,QUARTERLY_ROLL,2017/2F,45740,,,'')&lt;/Q&gt;&lt;R&gt;1&lt;/R&gt;&lt;C&gt;1&lt;/C&gt;&lt;D xsi:type="xsd:double"&gt;25983&lt;/D&gt;&lt;/FQL&gt;&lt;FQL&gt;&lt;Q&gt;Ticker0024^FE_ESTIMATE(DEFREVENUE_ST,MEAN,QUARTERLY_ROLL,2017/1F,45740,,,'')&lt;/Q&gt;&lt;R&gt;1&lt;/R&gt;&lt;C&gt;1&lt;/C&gt;&lt;D xsi:type="xsd:double"&gt;26304&lt;/D&gt;&lt;/FQL&gt;&lt;FQL&gt;&lt;Q&gt;Ticker0024^FE_ESTIMATE(DEFREVENUE_ST,MEAN,ANNUAL_ROLL,2016,45740,,,'')&lt;/Q&gt;&lt;R&gt;1&lt;/R&gt;&lt;C&gt;1&lt;/C&gt;&lt;D xsi:type="xsd:double"&gt;27468&lt;/D&gt;&lt;/FQL&gt;&lt;FQL&gt;&lt;Q&gt;Ticker0024^FE_ESTIMATE(DEFREVENUE_ST,MEAN,QUARTERLY_ROLL,2016/4F,45740,,,'')&lt;/Q&gt;&lt;R&gt;1&lt;/R&gt;&lt;C&gt;1&lt;/C&gt;&lt;D xsi:type="xsd:double"&gt;27468&lt;/D&gt;&lt;/FQL&gt;&lt;FQL&gt;&lt;Q&gt;Ticker0024^FE_ESTIMATE(DEFREVENUE_ST,MEAN,QUARTERLY_ROLL,2016/3F,45740,,,'')&lt;/Q&gt;&lt;R&gt;1&lt;/R&gt;&lt;C&gt;1&lt;/C&gt;&lt;D xsi:type="xsd:double"&gt;20876&lt;/D&gt;&lt;/FQL&gt;&lt;FQL&gt;&lt;Q&gt;Ticker0024^FE_ESTIMATE(DEFREVENUE_ST,MEAN,QUARTERLY_ROLL,2016/2F,45740,,,'')&lt;/Q&gt;&lt;R&gt;1&lt;/R&gt;&lt;C&gt;1&lt;/C&gt;&lt;D xsi:type="xsd:double"&gt;20929&lt;/D&gt;&lt;/FQL&gt;&lt;FQL&gt;&lt;Q&gt;Ticker0024^FE_ESTIMATE(DEFREVENUE_ST,MEAN,QUARTERLY_ROLL,2016/1F,45740,,,'')&lt;/Q&gt;&lt;R&gt;1&lt;/R&gt;&lt;C&gt;1&lt;/C&gt;&lt;D xsi:type="xsd:double"&gt;21603&lt;/D&gt;&lt;/FQL&gt;&lt;FQL&gt;&lt;Q&gt;Ticker0024^FE_ESTIMATE(DEFREVENUE_ST,MEAN,ANNUAL_ROLL,2015,45740,,,'')&lt;/Q&gt;&lt;R&gt;1&lt;/R&gt;&lt;C&gt;1&lt;/C&gt;&lt;D xsi:type="xsd:double"&gt;23223&lt;/D&gt;&lt;/FQL&gt;&lt;FQL&gt;&lt;Q&gt;Ticker0024^FE_ESTIMATE(DEFREVENUE_ST,MEAN,QUARTERLY_ROLL,2015/4F,45740,,,'')&lt;/Q&gt;&lt;R&gt;1&lt;/R&gt;&lt;C&gt;1&lt;/C&gt;&lt;D xsi:type="xsd:double"&gt;23223&lt;/D&gt;&lt;/FQL&gt;&lt;FQL&gt;&lt;Q&gt;Ticker0024^FE_ESTIMATE(DEFREVENUE_ST,MEAN,QUARTERLY_ROLL,2015/3F,45740,,,'')&lt;/Q&gt;&lt;R&gt;1&lt;/R&gt;&lt;C&gt;1&lt;/C&gt;&lt;D xsi:type="xsd:double"&gt;18232&lt;/D&gt;&lt;/FQL&gt;&lt;FQL&gt;&lt;Q&gt;Ticker0024^FE_ESTIMATE(DEFREVENUE_ST,MEAN,QUARTERLY_ROLL,2015/2F,45740,,,'')&lt;/Q&gt;&lt;R&gt;1&lt;/R&gt;&lt;C&gt;1&lt;/C&gt;&lt;D xsi:type="xsd:double"&gt;19192&lt;/D&gt;&lt;/FQL&gt;&lt;FQL&gt;&lt;Q&gt;Ticker0024^FE_ESTIMATE(DEFREVENUE_ST,MEAN,QUARTERLY_ROLL,2015/1F,45740,,,'')&lt;/Q&gt;&lt;R&gt;1&lt;/R&gt;&lt;C&gt;1&lt;/C&gt;&lt;D xsi:type="xsd:double"&gt;20713&lt;/D&gt;&lt;/FQL&gt;&lt;FQL&gt;&lt;Q&gt;Ticker0024^FE_ESTIMATE(FCF,MEAN,ANNUAL_ROLL,2030,45740,,,'')&lt;/Q&gt;&lt;R&gt;0&lt;/R&gt;&lt;C&gt;0&lt;/C&gt;&lt;/FQL&gt;&lt;FQL&gt;&lt;Q&gt;Ticker0024^FE_ESTIMATE(FCF,MEAN,QUARTERLY_ROLL,2030/4F,45740,,,'')&lt;/Q&gt;&lt;R&gt;0&lt;/R&gt;&lt;C&gt;0&lt;/C&gt;&lt;/FQL&gt;&lt;FQL&gt;&lt;Q&gt;Ticker0024^FE_ESTIMATE(FCF,MEAN,QUARTERLY_ROLL,2030/3F,45740,,,'')&lt;/Q&gt;&lt;R&gt;0&lt;/R&gt;&lt;C&gt;0&lt;/C&gt;&lt;/FQL&gt;&lt;FQL&gt;&lt;Q&gt;Ticker0024^FE_ESTIMATE(FCF,MEAN,QUARTERLY_ROLL,2030/2F,45740,,,'')&lt;/Q&gt;&lt;R&gt;0&lt;/R&gt;&lt;C&gt;0&lt;/C&gt;&lt;/FQL&gt;&lt;FQL&gt;&lt;Q&gt;Ticker0024^FE_ESTIMATE(FCF,MEAN,QUARTERLY_ROLL,2030/1F,45740,,,'')&lt;/Q&gt;&lt;R&gt;0&lt;/R&gt;&lt;C&gt;0&lt;/C&gt;&lt;/FQL&gt;&lt;FQL&gt;&lt;Q&gt;Ticker0024^FE_ESTIMATE(FCF,MEAN,ANNUAL_ROLL,2029,45740,,,'')&lt;/Q&gt;&lt;R&gt;0&lt;/R&gt;&lt;C&gt;0&lt;/C&gt;&lt;/FQL&gt;&lt;FQL&gt;&lt;Q&gt;Ticker0024^FE_ESTIMATE(FCF,MEAN,QUARTERLY_ROLL,2029/4F,45740,,,'')&lt;/Q&gt;&lt;R&gt;0&lt;/R&gt;&lt;C&gt;0&lt;/C&gt;&lt;/FQL&gt;&lt;FQL&gt;&lt;Q&gt;Ticker0024^FE_ESTIMATE(FCF,MEAN,QUARTERLY_ROLL,2029/3F,45740,,,'')&lt;/Q&gt;&lt;R&gt;0&lt;/R&gt;&lt;C&gt;0&lt;/C&gt;&lt;/FQL&gt;&lt;FQL&gt;&lt;Q&gt;Ticker0024^FE_ESTIMATE(FCF,MEAN,QUARTERLY_ROLL,2029/2F,45740,,,'')&lt;/Q&gt;&lt;R&gt;0&lt;/R&gt;&lt;C&gt;0&lt;/C&gt;&lt;/FQL&gt;&lt;FQL&gt;&lt;Q&gt;Ticker0024^FE_ESTIMATE(FCF,MEAN,QUARTERLY_ROLL,2029/1F,45740,,,'')&lt;/Q&gt;&lt;R&gt;0&lt;/R&gt;&lt;C&gt;0&lt;/C&gt;&lt;/FQL&gt;&lt;FQL&gt;&lt;Q&gt;Ticker0024^FE_ESTIMATE(FCF,MEAN,ANNUAL_ROLL,2028,45740,,,'')&lt;/Q&gt;&lt;R&gt;1&lt;/R&gt;&lt;C&gt;1&lt;/C&gt;&lt;D xsi:type="xsd:double"&gt;117419.7&lt;/D&gt;&lt;/FQL&gt;&lt;FQL&gt;&lt;Q&gt;Ticker0024^FE_ESTIMATE(FCF,MEAN,QUARTERLY_ROLL,2028/4F,45740,,,'')&lt;/Q&gt;&lt;R&gt;0&lt;/R&gt;&lt;C&gt;0&lt;/C&gt;&lt;/FQL&gt;&lt;FQL&gt;&lt;Q&gt;Ticker0024^FE_ESTIMATE(FCF,MEAN,QUARTERLY_ROLL,2028/3F,45740,,,'')&lt;/Q&gt;&lt;R&gt;0&lt;/R&gt;&lt;C&gt;0&lt;/C&gt;&lt;/FQL&gt;&lt;FQL&gt;&lt;Q&gt;Ticker0024^FE_ESTIMATE(FCF,MEAN,QUARTERLY_ROLL,2028/2F,45740,,,'')&lt;/Q&gt;&lt;R&gt;0&lt;/R&gt;&lt;C&gt;0&lt;/C&gt;&lt;/FQL&gt;&lt;FQL&gt;&lt;Q&gt;Ticker0024^FE_ESTIMATE(FCF,MEAN,QUARTERLY_ROLL,2028/1F,45740,,,'')&lt;/Q&gt;&lt;R&gt;0&lt;/R&gt;&lt;C&gt;0&lt;/C&gt;&lt;/FQL&gt;&lt;FQL&gt;&lt;Q&gt;Ticker0024^FE_ESTIMATE(FCF,MEAN,ANNUAL_ROLL,2027,45740,,,'')&lt;/Q&gt;&lt;R&gt;1&lt;/R&gt;&lt;C&gt;1&lt;/C&gt;&lt;D xsi:type="xsd:double"&gt;98984.92&lt;/D&gt;&lt;/FQL&gt;&lt;FQL&gt;&lt;Q&gt;Ticker0024^FE_ESTIMATE(FCF,MEAN,QUARTERLY_ROLL,2027/4F,45740,,,'')&lt;/Q&gt;&lt;R&gt;0&lt;/R&gt;&lt;C&gt;0&lt;/C&gt;&lt;/FQL&gt;&lt;FQL&gt;&lt;Q&gt;Ticker0024^FE_ESTIMATE(FCF,MEAN,QUARTERLY_ROLL,2027/3F,45740,,,'')&lt;/Q&gt;&lt;R&gt;0&lt;/R&gt;&lt;C&gt;0&lt;/C&gt;&lt;/FQL&gt;&lt;FQL&gt;&lt;Q&gt;Ticker0024^FE_ESTIMATE(FCF,MEAN,QUARTERLY_ROLL,2027/2F,45740,,,'')&lt;/Q&gt;&lt;R&gt;0&lt;/R&gt;&lt;C&gt;0&lt;/C&gt;&lt;/FQL&gt;&lt;FQL&gt;&lt;Q&gt;Ticker0024^FE_ESTIMATE(FCF,MEAN,QUARTERLY_ROLL,2027/1F,45740,,,'')&lt;/Q&gt;&lt;R&gt;0&lt;/R&gt;&lt;C&gt;0&lt;/C&gt;&lt;/FQL&gt;&lt;FQL&gt;&lt;Q&gt;Ticker0024^FE_ESTIMATE(FCF,MEAN,ANNUAL_ROLL,2026,45740,,,'')&lt;/Q&gt;&lt;R&gt;1&lt;/R&gt;&lt;C&gt;1&lt;/C&gt;&lt;D xsi:type="xsd:double"&gt;79885.82&lt;/D&gt;&lt;/FQL&gt;&lt;FQL&gt;&lt;Q&gt;Ticker0024^FE_ESTIMATE(FCF,MEAN,QUARTERLY_ROLL,2026/4F,45740,,,'')&lt;/Q&gt;&lt;R&gt;1&lt;/R&gt;&lt;C&gt;1&lt;/C&gt;&lt;D xsi:type="xsd:double"&gt;21727.162&lt;/D&gt;&lt;/FQL&gt;&lt;FQL&gt;&lt;Q&gt;Ticker0024^FE_ESTIMATE(FCF,MEAN,QUARTERLY_ROLL,2026/3F,45740,,,'')&lt;/Q&gt;&lt;R&gt;1&lt;/R&gt;&lt;C&gt;1&lt;/C&gt;&lt;D xsi:type="xsd:double"&gt;18773.604&lt;/D&gt;&lt;/FQL&gt;&lt;FQL&gt;&lt;Q&gt;Ticker0024^FE_ESTIMATE(FCF,MEAN,QUARTERLY_ROLL,2026/2F,45740,,,'')&lt;/Q&gt;&lt;R&gt;1&lt;/R&gt;&lt;C&gt;1&lt;/C&gt;&lt;D xsi:type="xsd:double"&gt;12522.741&lt;/D&gt;&lt;/FQL&gt;&lt;FQL&gt;&lt;Q&gt;Ticker0024^FE_ESTIMATE(FCF,MEAN,QUARTERLY_ROLL,2026/1F,45740,,,'')&lt;/Q&gt;&lt;R&gt;1&lt;/R&gt;&lt;C&gt;1&lt;/C&gt;&lt;D xsi:type="xsd:double"&gt;26182.303&lt;/D&gt;&lt;/FQL&gt;&lt;FQL&gt;&lt;Q&gt;Ticker0024^FE_ESTIMATE(FCF,MEAN,ANNUAL_ROLL,2025,45740,,,'')&lt;/Q&gt;&lt;R&gt;1&lt;/R&gt;&lt;C&gt;1&lt;/C&gt;&lt;D xsi:type="xsd:double"&gt;68049.47&lt;/D&gt;&lt;/FQL&gt;&lt;FQL&gt;&lt;Q&gt;Ticker0024^FE_ESTIMATE(FCF,MEAN,QUARTERLY_ROLL,2025/4F,45740,,,'')&lt;/Q&gt;&lt;R&gt;1&lt;/R&gt;&lt;C&gt;1&lt;/C&gt;&lt;D xsi:type="xsd:double"&gt;24470.578&lt;/D&gt;&lt;/FQL&gt;&lt;FQL&gt;&lt;Q&gt;Ticker0024^FE_ESTIMATE(FCF,MEAN,QUARTERLY_ROLL,2025/3F,45740,,,'')&lt;/Q&gt;&lt;R&gt;1&lt;/R&gt;&lt;C&gt;1&lt;/C&gt;&lt;D xsi:type="xsd:double"&gt;17470.639&lt;/D&gt;&lt;/FQL&gt;&lt;FQL&gt;&lt;Q&gt;Ticker0024^FE_ESTIMATE(FCF,MEAN,QUARTERLY_ROLL,2025/2F,45740,,,'')&lt;/Q&gt;&lt;R&gt;1&lt;/R&gt;&lt;C&gt;1&lt;/C&gt;&lt;D xsi:type="xsd:double"&gt;6722.6665&lt;/D&gt;&lt;/FQL&gt;&lt;FQL&gt;&lt;Q&gt;Ticker0024^FE_ESTIMATE(FCF,MEAN,QUARTERLY_ROLL,2025/1F,45740,,,'')&lt;/Q&gt;&lt;R&gt;1&lt;/R&gt;&lt;C&gt;1&lt;/C&gt;&lt;D xsi:type="xsd:double"&gt;18738.584&lt;/D&gt;&lt;/FQL&gt;&lt;FQL&gt;&lt;Q&gt;Ticker0024^FE_ESTIMATE(FCF,MEAN,ANNUAL_ROLL,2024,45740,,,'')&lt;/Q&gt;&lt;R&gt;1&lt;/R&gt;&lt;C&gt;1&lt;/C&gt;&lt;D xsi:type="xsd:double"&gt;72678.9&lt;/D&gt;&lt;/FQL&gt;&lt;FQL&gt;&lt;Q&gt;Ticker0024^FE_ESTIMATE(FCF,MEAN,QUARTERLY_ROLL,2024/4F,45740,,,'')&lt;/Q&gt;&lt;R&gt;1&lt;/R&gt;&lt;C&gt;1&lt;/C&gt;&lt;D xsi:type="xsd:double"&gt;22275.834&lt;/D&gt;&lt;/FQL&gt;&lt;FQL&gt;&lt;Q&gt;Ticker0024^FE_ESTIMATE(FCF,MEAN,QUARTERLY_ROLL,2024/3F,45740,,,'')&lt;/Q&gt;&lt;R&gt;1&lt;/R&gt;&lt;C&gt;1&lt;/C&gt;&lt;D xsi:type="xsd:double"&gt;20634.766&lt;/D&gt;&lt;/FQL&gt;&lt;FQL&gt;&lt;Q&gt;Ticker0024^FE_ESTIMATE(FCF,MEAN,QUARTERLY_ROLL,2024/2F,45740,,,'')&lt;/Q&gt;&lt;R&gt;1&lt;/R&gt;&lt;C&gt;1&lt;/C&gt;&lt;D xsi:type="xsd:double"&gt;6218.222&lt;/D&gt;&lt;/FQL&gt;&lt;FQL&gt;&lt;Q&gt;Ticker0024^FE_ESTIMATE(FCF,MEAN,QUARTERLY_ROLL,2024/1F,45740,,,'')&lt;/Q&gt;&lt;R&gt;1&lt;/R&gt;&lt;C&gt;1&lt;/C&gt;&lt;D xsi:type="xsd:double"&gt;21096.059&lt;/D&gt;&lt;/FQL&gt;&lt;FQL&gt;&lt;Q&gt;Ticker0024^FE_ESTIMATE(FCF,MEAN,ANNUAL_ROLL,2023,45740,,,'')&lt;/Q&gt;&lt;R&gt;1&lt;/R&gt;&lt;C&gt;1&lt;/C&gt;&lt;D xsi:type="xsd:double"&gt;60085.832&lt;/D&gt;&lt;/FQL&gt;&lt;FQL&gt;&lt;Q&gt;Ticker0024^FE_ESTIMATE(FCF,MEAN,QUARTERLY_ROLL,2023/4F,45740,,,'')&lt;/Q&gt;&lt;R&gt;1&lt;/R&gt;&lt;C&gt;1&lt;/C&gt;&lt;D xsi:type="xsd:double"&gt;19492.357&lt;/D&gt;&lt;/FQL&gt;&lt;FQL&gt;&lt;Q&gt;Ticker0024^FE_ESTIMATE(FCF,MEAN,QUARTERLY_ROLL,2023/3F,45740,,,'')&lt;/Q&gt;&lt;R&gt;1&lt;/R&gt;&lt;C&gt;1&lt;/C&gt;&lt;D xsi:type="xsd:double"&gt;17765.25&lt;/D&gt;&lt;/FQL&gt;&lt;FQL&gt;&lt;Q&gt;Ticker0024^FE_ESTIMATE(FCF,MEAN,QUARTERLY_ROLL,2023/2F,45740,,,'')&lt;/Q&gt;&lt;R&gt;1&lt;/R&gt;&lt;C&gt;1&lt;/C&gt;&lt;D xsi:type="xsd:double"&gt;5507.533&lt;/D&gt;&lt;/FQL&gt;&lt;FQL&gt;&lt;Q&gt;Ticker0024^FE_ESTIMATE(FCF,MEAN,QUARTERLY_ROLL,2023/1F,45740,,,'')&lt;/Q&gt;&lt;R&gt;1&lt;/R&gt;&lt;C&gt;1&lt;/C&gt;&lt;D xsi:type="xsd:double"&gt;17698&lt;/D&gt;&lt;/FQL&gt;&lt;FQL&gt;&lt;Q&gt;Ticker0024^FE_ESTIMATE(FCF,MEAN,ANNUAL_ROLL,2022,45740,,,'')&lt;/Q&gt;&lt;R&gt;1&lt;/R&gt;&lt;C&gt;1&lt;/C&gt;&lt;D xsi:type="xsd:double"&gt;65067.133&lt;/D&gt;&lt;/FQL&gt;&lt;FQL&gt;&lt;Q&gt;Ticker0024^FE_ESTIMATE(FCF,MEAN,QUARTERLY_ROLL,2022/4F,45740,,,'')&lt;/Q&gt;&lt;R&gt;1&lt;/R&gt;&lt;C&gt;1&lt;/C&gt;&lt;D xsi:type="xsd:double"&gt;17158&lt;/D&gt;&lt;/FQL&gt;&lt;FQL&gt;&lt;Q&gt;Ticker0024^FE_ESTIMATE(FCF,MEAN,QUARTERLY_ROLL,2022/3F,45740,,,'')&lt;/Q&gt;&lt;R&gt;1&lt;/R&gt;&lt;C&gt;1&lt;/C&gt;&lt;D xsi:type="xsd:double"&gt;19608.334&lt;/D&gt;&lt;/FQL&gt;&lt;FQL&gt;&lt;Q&gt;Ticker0024^FE_ESTIMATE(FCF,MEAN,QUARTERLY_ROLL,2022/2F,45740,,,'')&lt;/Q&gt;&lt;R&gt;1&lt;/R&gt;&lt;C&gt;1&lt;/C&gt;&lt;D xsi:type="xsd:double"&gt;9409.818&lt;/D&gt;&lt;/FQL&gt;&lt;FQL&gt;&lt;Q&gt;Ticker0024^FE_ESTIMATE(FCF,MEAN,QUARTERLY_ROLL,2022/1F,45740,,,'')&lt;/Q&gt;&lt;R&gt;1&lt;/R&gt;&lt;C&gt;1&lt;/C&gt;&lt;D xsi:type="xsd:double"&gt;18285.334&lt;/D&gt;&lt;/FQL&gt;&lt;FQL&gt;&lt;Q&gt;Ticker0024^FE_ESTIMATE(FCF,MEAN,ANNUAL_ROLL,2021,45740,,,'')&lt;/Q&gt;&lt;R&gt;1&lt;/R&gt;&lt;C&gt;1&lt;/C&gt;&lt;D xsi:type="xsd:double"&gt;55483.777&lt;/D&gt;&lt;/FQL&gt;&lt;FQL&gt;&lt;Q&gt;Ticker0024^FE_ESTIMATE(FCF,MEAN,QUARTERLY_ROLL,2021/4F,45740,,,'')&lt;/Q&gt;&lt;R&gt;1&lt;/R&gt;&lt;C&gt;1&lt;/C&gt;&lt;D xsi:type="xsd:double"&gt;15893.833&lt;/D&gt;&lt;/FQL&gt;&lt;FQL&gt;&lt;Q&gt;Ticker0024^FE_ESTIMATE(FCF,MEAN,QUARTERLY_ROLL,2021/3F,45740,,,'')&lt;/Q&gt;&lt;R&gt;1&lt;/R&gt;&lt;C&gt;1&lt;/C&gt;&lt;D xsi:type="xsd:double"&gt;16693.5&lt;/D&gt;&lt;/FQL&gt;&lt;FQL&gt;&lt;Q&gt;Ticker0024^FE_ESTIMATE(FCF,MEAN,QUARTERLY_ROLL,2021/2F,45740,,,'')&lt;/Q&gt;&lt;R&gt;1&lt;/R&gt;&lt;C&gt;1&lt;/C&gt;&lt;D xsi:type="xsd:double"&gt;9098&lt;/D&gt;&lt;/FQL&gt;&lt;FQL&gt;&lt;Q&gt;Ticker0024^FE_ESTIMATE(FCF,MEAN,QUARTERLY_ROLL,2021/1F,45740,,,'')&lt;/Q&gt;&lt;R&gt;1&lt;/R&gt;&lt;C&gt;1&lt;/C&gt;&lt;D xsi:type="xsd:double"&gt;13974.333&lt;/D&gt;&lt;/FQL&gt;&lt;FQL&gt;&lt;Q&gt;Ticker0024^FE_ESTIMATE(FCF,MEAN,ANNUAL_ROLL,2020,45740,,,'')&lt;/Q&gt;&lt;R&gt;1&lt;/R&gt;&lt;C&gt;1&lt;/C&gt;&lt;D xsi:type="xsd:double"&gt;45095.453&lt;/D&gt;&lt;/FQL&gt;&lt;FQL&gt;&lt;Q&gt;Ticker0024^FE_ESTIMATE(FCF,MEAN,QUARTERLY_ROLL,2020/4F,45740,,,'')&lt;/Q&gt;&lt;R&gt;1&lt;/R&gt;&lt;C&gt;1&lt;/C&gt;&lt;D xsi:type="xsd:double"&gt;13391.667&lt;/D&gt;&lt;/FQL&gt;&lt;FQL&gt;&lt;Q&gt;Ticker0024^FE_ESTIMATE(FCF,MEAN,QUARTERLY_ROLL,2020/3F,45740,,,'')&lt;/Q&gt;&lt;R&gt;1&lt;/R&gt;&lt;C&gt;1&lt;/C&gt;&lt;D xsi:type="xsd:double"&gt;13437&lt;/D&gt;&lt;/FQL&gt;&lt;FQL&gt;&lt;Q&gt;Ticker0024^FE_ESTIMATE(FCF,MEAN,QUARTERLY_ROLL,2020/2F,45740,,,'')&lt;/Q&gt;&lt;R&gt;1&lt;/R&gt;&lt;C&gt;1&lt;/C&gt;&lt;D xsi:type="xsd:double"&gt;7641.3335&lt;/D&gt;&lt;/FQL&gt;&lt;FQL&gt;&lt;Q&gt;Ticker0024^FE_ESTIMATE(FCF,MEAN,QUARTERLY_ROLL,2020/1F,45740,,,'')&lt;/Q&gt;&lt;R&gt;1&lt;/R&gt;&lt;C&gt;1&lt;/C&gt;&lt;D xsi:type="xsd:double"&gt;10215.875&lt;/D&gt;&lt;/FQL&gt;&lt;FQL&gt;&lt;Q&gt;Ticker0024^FE_ESTIMATE(FCF,MEAN,ANNUAL_ROLL,2019,45740,,,'')&lt;/Q&gt;&lt;R&gt;1&lt;/R&gt;&lt;C&gt;1&lt;/C&gt;&lt;D xsi:type="xsd:double"&gt;38085.168&lt;/D&gt;&lt;/FQL&gt;&lt;FQL&gt;&lt;Q&gt;Ticker0024^FE_ESTIMATE(FCF,MEAN,QUARTERLY_ROLL,2019/4F,45740,,,'')&lt;/Q&gt;&lt;R&gt;1&lt;/R&gt;&lt;C&gt;1&lt;/C&gt;&lt;D xsi:type="xsd:double"&gt;11695.728&lt;/D&gt;&lt;/FQL&gt;&lt;FQL&gt;&lt;Q&gt;Ticker0024^FE_ESTIMATE(FCF,MEAN,QUARTERLY_ROLL,2019/3F,45740,,,'')&lt;/Q&gt;&lt;R&gt;1&lt;/R&gt;&lt;C&gt;1&lt;/C&gt;&lt;D xsi:type="xsd:double"&gt;10834.333&lt;/D&gt;&lt;/FQL&gt;&lt;FQL&gt;&lt;Q&gt;Ticker0024^FE_ESTIMATE(FCF,MEAN,QUARTERLY_ROLL,2019/2F,45740,,,'')&lt;/Q&gt;&lt;R&gt;1&lt;/R&gt;&lt;C&gt;1&lt;/C&gt;&lt;D xsi:type="xsd:double"&gt;5420.25&lt;/D&gt;&lt;/FQL&gt;&lt;FQL&gt;&lt;Q&gt;Ticker0024^FE_ESTIMATE(FCF,MEAN,QUARTERLY_ROLL,2019/1F,45740,,,'')&lt;/Q&gt;&lt;R&gt;1&lt;/R&gt;&lt;C&gt;1&lt;/C&gt;&lt;D xsi:type="xsd:double"&gt;9414.454&lt;/D&gt;&lt;/FQL&gt;&lt;FQL&gt;&lt;Q&gt;Ticker0024^FE_ESTIMATE(FCF,MEAN,ANNUAL_ROLL,2018,45740,,,'')&lt;/Q&gt;&lt;R&gt;1&lt;/R&gt;&lt;C&gt;1&lt;/C&gt;&lt;D xsi:type="xsd:double"&gt;32102.77&lt;/D&gt;&lt;/FQL&gt;&lt;FQL&gt;&lt;Q&gt;Ticker0024^FE_ESTIMATE(FCF,MEAN,QUARTERLY_ROLL,2018/4F,45740,,,'')&lt;/Q&gt;&lt;R&gt;1&lt;/R&gt;&lt;C&gt;1&lt;/C&gt;&lt;D xsi:type="xsd:double"&gt;7717.909&lt;/D&gt;&lt;/FQL&gt;&lt;FQL&gt;&lt;Q&gt;Ticker0024^FE_ESTIMATE(FCF,MEAN,QUARTERLY_ROLL,2018/3F,45740,,,'')&lt;/Q&gt;&lt;R&gt;1&lt;/R&gt;&lt;C&gt;1&lt;/C&gt;&lt;D xsi:type="xsd:double"&gt;8967.363&lt;/D&gt;&lt;/FQL&gt;&lt;FQL&gt;&lt;Q&gt;Ticker0024^FE_ESTIMATE(FCF,MEAN,QUARTERLY_ROLL,2018/2F,45740,,,'')&lt;/Q&gt;&lt;R&gt;1&lt;/R&gt;&lt;C&gt;1&lt;/C&gt;&lt;D xsi:type="xsd:double"&gt;5426.1665&lt;/D&gt;&lt;/FQL&gt;&lt;FQL&gt;&lt;Q&gt;Ticker0024^FE_ESTIMATE(FCF,MEAN,QUARTERLY_ROLL,2018/1F,45740,,,'')&lt;/Q&gt;&lt;R&gt;1&lt;/R&gt;&lt;C&gt;1&lt;/C&gt;&lt;D xsi:type="xsd:double"&gt;9866.75&lt;/D&gt;&lt;/FQL&gt;&lt;FQL&gt;&lt;Q&gt;Ticker0024^FE_ESTIMATE(FCF,MEAN,ANNUAL_ROLL,2017,45740,,,'')&lt;/Q&gt;&lt;R&gt;1&lt;/R&gt;&lt;C&gt;1&lt;/C&gt;&lt;D xsi:type="xsd:double"&gt;30380.875&lt;/D&gt;&lt;/FQL&gt;&lt;FQL&gt;&lt;Q&gt;Ticker0024^FE_ESTIMATE(FCF,MEAN,QUARTERLY_ROLL,2017/4F,45740,,,'')&lt;/Q&gt;&lt;R&gt;1&lt;/R&gt;&lt;C&gt;1&lt;/C&gt;&lt;D xsi:type="xsd:double"&gt;8029.2&lt;/D&gt;&lt;/FQL&gt;&lt;FQL&gt;&lt;Q&gt;Ticker0024^FE_ESTIMATE(FCF,MEAN,QUARTERLY_ROLL,2017/3F,45740,,,'')&lt;/Q&gt;&lt;R&gt;1&lt;/R&gt;&lt;C&gt;1&lt;/C&gt;&lt;D xsi:type="xsd:double"&gt;8506&lt;/D&gt;&lt;/FQL&gt;&lt;FQL&gt;&lt;Q&gt;Ticker0024^FE_ESTIMATE(FCF,MEAN,QUARTERLY_ROLL,2017/2F,45740,,,'')&lt;/Q&gt;&lt;R&gt;1&lt;/R&gt;&lt;C&gt;1&lt;/C&gt;&lt;D xsi:type="xsd:double"&gt;4305&lt;/D&gt;&lt;/FQL&gt;&lt;FQL&gt;&lt;Q&gt;Ticker0024^FE_ESTIMATE(FCF,MEAN,QUARTERLY_ROLL,2017/1F,45740,,,'')&lt;/Q&gt;&lt;R&gt;1&lt;/R&gt;&lt;C&gt;1&lt;/C&gt;&lt;D xsi:type="xsd:double"&gt;9382&lt;/D&gt;&lt;/FQL&gt;&lt;FQL&gt;&lt;Q&gt;Ticker0024^FE_ESTIMATE(FCF,MEAN,ANNUAL_ROLL,2016,45740,,,'')&lt;/Q&gt;&lt;R&gt;1&lt;/R&gt;&lt;C&gt;1&lt;/C&gt;&lt;D xsi:type="xsd:double"&gt;24212.758&lt;/D&gt;&lt;/FQL&gt;&lt;FQL&gt;&lt;Q&gt;Ticker0024^FE_ESTIMATE(FCF,MEAN,QUARTERLY_ROLL,2016/4F,45740,,,'')&lt;/Q&gt;&lt;R&gt;1&lt;/R&gt;&lt;C&gt;1&lt;/C&gt;&lt;D xsi:type="xsd:double"&gt;5742&lt;/D&gt;&lt;/FQL&gt;&lt;FQL&gt;&lt;Q&gt;Ticker0024^FE_ESTIMATE(FCF,MEAN,QUARTERLY_ROLL,2016/3F,45740,,,'')&lt;/Q&gt;&lt;R&gt;1&lt;/R&gt;&lt;C&gt;1&lt;/C&gt;&lt;D xsi:type="xsd:double"&gt;6915.5625&lt;/D&gt;&lt;/FQL&gt;&lt;FQL&gt;&lt;Q&gt;Ticker0024^FE_ESTIMATE(FCF,MEAN,QUARTERLY_ROLL,2016/2F,45740,,,'')&lt;/Q&gt;&lt;R&gt;1&lt;/R&gt;&lt;C&gt;1&lt;/C&gt;&lt;D xsi:type="xsd:double"&gt;3510.5&lt;/D&gt;&lt;/FQL&gt;&lt;FQL&gt;&lt;Q&gt;Ticker0024^FE_ESTIMATE(FCF,MEAN,QUARTERLY_ROLL,2016/1F,45740,,,'')&lt;/Q&gt;&lt;R&gt;1&lt;/R&gt;&lt;C&gt;1&lt;/C&gt;&lt;D xsi:type="xsd:double"&gt;7124&lt;/D&gt;&lt;/FQL&gt;&lt;FQL&gt;&lt;Q&gt;Ticker0024^FE_ESTIMATE(FCF,MEAN,ANNUAL_ROLL,2015,45740,,,'')&lt;/Q&gt;&lt;R&gt;1&lt;/R&gt;&lt;C&gt;1&lt;/C&gt;&lt;D xsi:type="xsd:double"&gt;22531.357&lt;/D&gt;&lt;/FQL&gt;&lt;FQL&gt;&lt;Q&gt;Ticker0024^FE_ESTIMATE(FCF,MEAN,QUARTERLY_ROLL,2015/4F,45740,,,'')&lt;/Q&gt;&lt;R&gt;1&lt;/R&gt;&lt;C&gt;1&lt;/C&gt;&lt;D xsi:type="xsd:double"&gt;4565.622&lt;/D&gt;&lt;/FQL&gt;&lt;FQL&gt;&lt;Q&gt;Ticker0024^FE_ESTIMATE(FCF,MEAN,QUARTERLY_ROLL,2015/3F,45740,,,'')&lt;/Q&gt;&lt;R&gt;1&lt;/R&gt;&lt;C&gt;1&lt;/C&gt;&lt;D xsi:type="xsd:double"&gt;8155.857&lt;/D&gt;&lt;/FQL&gt;&lt;FQL&gt;&lt;Q&gt;Ticker0024^FE_ESTIMATE(FCF,MEAN,QUARTERLY_ROLL,2015/2F,45740,,,'')&lt;/Q&gt;&lt;R&gt;1&lt;/R&gt;&lt;C&gt;1&lt;/C&gt;&lt;D xsi:type="xsd:double"&gt;2850&lt;/D&gt;&lt;/FQL&gt;&lt;FQL&gt;&lt;Q&gt;Ticker0024^FE_ESTIMATE(FCF,MEAN,QUARTERLY_ROLL,2015/1F,45740,,,'')&lt;/Q&gt;&lt;R&gt;1&lt;/R&gt;&lt;C&gt;1&lt;/C&gt;&lt;D xsi:type="xsd:double"&gt;6849.033&lt;/D&gt;&lt;/FQL&gt;&lt;FQL&gt;&lt;Q&gt;Ticker0024^FE_ESTIMATE(CAPEX,MEAN,ANNUAL_ROLL,2030,45740,,,'')&lt;/Q&gt;&lt;R&gt;0&lt;/R&gt;&lt;C&gt;0&lt;/C&gt;&lt;/FQL&gt;&lt;FQL&gt;&lt;Q&gt;Ticker0024^FE_ESTIMATE(CAPEX,MEAN,QUARTERLY_ROLL,2030/4F,45740,,,'')&lt;/Q&gt;&lt;R&gt;0&lt;/R&gt;&lt;C&gt;0&lt;/C&gt;&lt;/FQL&gt;&lt;FQL&gt;&lt;Q&gt;Ticker0024^FE_ESTIMATE(CAPEX,MEAN,QUARTERLY_ROLL,2030/3F,45740,,,'')&lt;/Q&gt;&lt;R&gt;0&lt;/R&gt;&lt;C&gt;0&lt;/C&gt;&lt;/FQL&gt;&lt;FQL&gt;&lt;Q&gt;Ticker0024^FE_ESTIMATE(CAPEX,MEAN,QUARTERLY_ROLL,2030/2F,45740,,,'')&lt;/Q&gt;&lt;R&gt;0&lt;/R&gt;&lt;C&gt;0&lt;/C&gt;&lt;/FQL&gt;&lt;FQL&gt;&lt;Q&gt;Ticker0024^FE_ESTIMATE(CAPEX,MEAN,QUARTERLY_ROLL,2030/1F,45740,,,'')&lt;/Q&gt;&lt;R&gt;0&lt;/R&gt;&lt;C&gt;0&lt;/C&gt;&lt;/FQL&gt;&lt;FQL&gt;&lt;Q&gt;Ticker0024^FE_ESTIMATE(CAPEX,MEAN,ANNUAL_ROLL,2029,45740,,,'')&lt;/Q&gt;&lt;R&gt;0&lt;/R&gt;&lt;C&gt;0&lt;/C&gt;&lt;/FQL&gt;&lt;FQL&gt;&lt;Q&gt;Ticker0024^FE_ESTIMATE(CAPEX,MEAN,QUARTERLY_ROLL,2029/4F,45740,,,'')&lt;/Q&gt;&lt;R&gt;0&lt;/R&gt;&lt;C&gt;0&lt;/C&gt;&lt;/FQL&gt;&lt;FQL&gt;&lt;Q&gt;Ticker0024^FE_ESTIMATE(CAPEX,MEAN,QUARTERLY_ROLL,2029/3F,45740,,,'')&lt;/Q&gt;&lt;R&gt;0&lt;/R&gt;&lt;C&gt;0&lt;/C&gt;&lt;/FQL&gt;&lt;FQL&gt;&lt;Q&gt;Ticker0024^FE_ESTIMATE(CAPEX,MEAN,QUARTERLY_ROLL,2029/2F,45740,,,'')&lt;/Q&gt;&lt;R&gt;0&lt;/R&gt;&lt;C&gt;0&lt;/C&gt;&lt;/FQL&gt;&lt;FQL&gt;&lt;Q&gt;Ticker0024^FE_ESTIMATE(CAPEX,MEAN,QUARTERLY_ROLL,2029/1F,45740,,,'')&lt;/Q&gt;&lt;R&gt;0&lt;/R&gt;&lt;C&gt;0&lt;/C&gt;&lt;/FQL&gt;&lt;FQL&gt;&lt;Q&gt;Ticker0024^FE_ESTIMATE(CAPEX,MEAN,ANNUAL_ROLL,2028,45740,,,'')&lt;/Q&gt;&lt;R&gt;1&lt;/R&gt;&lt;C&gt;1&lt;/C&gt;&lt;D xsi:type="xsd:double"&gt;76142.09&lt;/D&gt;&lt;/FQL&gt;&lt;FQL&gt;&lt;Q&gt;Ticker0024^FE_ESTIMATE(CAPEX,MEAN,QUARTERLY_ROLL,2028/4F,45740,,,'')&lt;/Q&gt;&lt;R&gt;0&lt;/R&gt;&lt;C&gt;0&lt;/C&gt;&lt;/FQL&gt;&lt;FQL&gt;&lt;Q&gt;Ticker0024^FE_ESTIMATE(CAPEX,MEAN,QUARTERLY_ROLL,2028/3F,45740,,,'')&lt;/Q&gt;&lt;R&gt;0&lt;/R&gt;&lt;C&gt;0&lt;/C&gt;&lt;/FQL&gt;&lt;FQL&gt;&lt;Q&gt;Ticker0024^FE_ESTIMATE(CAPEX,MEAN,QUARTERLY_ROLL,2028/2F,45740,,,'')&lt;/Q&gt;&lt;R&gt;0&lt;/R&gt;&lt;C&gt;0&lt;/C&gt;&lt;/FQL&gt;&lt;FQL&gt;&lt;Q&gt;Ticker0024^FE_ESTIMATE(CAPEX,MEAN,QUARTERLY_ROLL,2028/1F,45740,,,'')&lt;/Q&gt;&lt;R&gt;0&lt;/R&gt;&lt;C&gt;0&lt;/C&gt;&lt;/FQL&gt;&lt;FQL&gt;&lt;Q&gt;Ticker0024^FE_ESTIMATE(CAPEX,MEAN,ANNUAL_ROLL,2027,45740,,,'')&lt;/Q&gt;&lt;R&gt;1&lt;/R&gt;&lt;C&gt;1&lt;/C&gt;&lt;D xsi:type="xsd:double"&gt;75603.26&lt;/D&gt;&lt;/FQL&gt;&lt;FQL&gt;&lt;Q&gt;Ticker0024^FE_ESTIMATE(CAPEX,MEAN,QUARTERLY_ROLL,2027/4F,45740,,,'')&lt;/Q&gt;&lt;R&gt;1&lt;/R&gt;&lt;C&gt;1&lt;/C&gt;&lt;D xsi:type="xsd:double"&gt;20189.2&lt;/D&gt;&lt;/FQL&gt;&lt;FQL&gt;&lt;Q&gt;Ticker0024^FE_ESTIMATE(CAPEX,MEAN,QUARTERLY_ROLL,2027/3F,45740,,,'')&lt;/Q&gt;&lt;R&gt;1&lt;/R&gt;&lt;C&gt;1&lt;/C&gt;&lt;D xsi:type="xsd:double"&gt;19405.7&lt;/D&gt;&lt;/FQL&gt;&lt;FQL&gt;&lt;Q&gt;Ticker0024^FE_ESTIMATE(CAPEX,MEAN,QUARTERLY_ROLL,2027/2F,45740,,,'')&lt;/Q&gt;&lt;R&gt;1&lt;/R&gt;&lt;C&gt;1&lt;/C&gt;&lt;D xsi:type="xsd:double"&gt;19301.404&lt;/D&gt;&lt;/FQL&gt;&lt;FQL&gt;&lt;Q&gt;Ticker0024^FE_ESTIMATE(CAPEX,MEAN,QUARTERLY_ROLL,2027/1F,45740,,,'')&lt;/Q&gt;&lt;R&gt;1&lt;/R&gt;&lt;C&gt;1&lt;/C&gt;&lt;D xsi:type="xsd:double"&gt;18265.703&lt;/D&gt;&lt;/FQL&gt;&lt;FQL&gt;&lt;Q&gt;Ticker0024^FE_ESTIMATE(CAPEX,MEAN,ANNUAL_ROLL,2026,45740,,,'')&lt;/Q&gt;&lt;R&gt;1&lt;/R&gt;&lt;C&gt;1&lt;/C&gt;&lt;D xsi:type="xsd:double"&gt;71158.61&lt;/D&gt;&lt;/FQL&gt;&lt;FQL&gt;&lt;Q&gt;Ticker0024^FE_ESTIMATE(CAPEX,MEAN,QUARTERLY_ROLL,2026/4F,45740,,,'')&lt;/Q&gt;&lt;R&gt;1&lt;/R&gt;&lt;C&gt;1&lt;/C&gt;&lt;D xsi:type="xsd:double"&gt;17991.078&lt;/D&gt;&lt;/FQL&gt;&lt;FQL&gt;&lt;Q&gt;Ticker0024^FE_ESTIMATE(CAPEX,MEAN,QUARTERLY_ROLL,2026/3F,45740,,,'')&lt;/Q&gt;&lt;R&gt;1&lt;/R&gt;&lt;C&gt;1&lt;/C&gt;&lt;D xsi:type="xsd:double"&gt;17597.113&lt;/D&gt;&lt;/FQL&gt;&lt;FQL&gt;&lt;Q&gt;Ticker0024^FE_ESTIMATE(CAPEX,MEAN,QUARTERLY_ROLL,2026/2F,45740,,,'')&lt;/Q&gt;&lt;R&gt;1&lt;/R&gt;&lt;C&gt;1&lt;/C&gt;&lt;D xsi:type="xsd:double"&gt;17354.229&lt;/D&gt;&lt;/FQL&gt;&lt;FQL&gt;&lt;Q&gt;Ticker0024^FE_ESTIMATE(CAPEX,MEAN,QUARTERLY_ROLL,2026/1F,45740,,,'')&lt;/Q&gt;&lt;R&gt;1&lt;/R&gt;&lt;C&gt;1&lt;/C&gt;&lt;D xsi:type="xsd:double"&gt;16769.48&lt;/D&gt;&lt;/FQL&gt;&lt;FQL&gt;&lt;Q&gt;Ticker0024^FE_ESTIMATE(CAPEX,MEAN,ANNUAL_ROLL,2025,45740,,,'')&lt;/Q&gt;&lt;R&gt;1&lt;/R&gt;&lt;C&gt;1&lt;/C&gt;&lt;D xsi:type="xsd:double"&gt;63695.805&lt;/D&gt;&lt;/FQL&gt;&lt;FQL&gt;&lt;Q&gt;Ticker0024^FE_ESTIMATE(CAPEX,MEAN,QUARTERLY_ROLL,2025/4F,45740,,,'')&lt;/Q&gt;&lt;R&gt;1&lt;/R&gt;&lt;C&gt;1&lt;/C&gt;&lt;D xsi:type="xsd:double"&gt;16308.237&lt;/D&gt;&lt;/FQL&gt;&lt;FQL&gt;&lt;Q&gt;Ticker0024^FE_ESTIMATE(CAPEX,MEAN,QUARTERLY_ROLL,2025/3F,45740,,,'')&lt;/Q&gt;&lt;R&gt;1&lt;/R&gt;&lt;C&gt;1&lt;/C&gt;&lt;D xsi:type="xsd:double"&gt;16038.753&lt;/D&gt;&lt;/FQL&gt;&lt;FQL&gt;&lt;Q&gt;Ticker0024^FE_ESTIMATE(CAPEX,MEAN,QUARTERLY_ROLL,2025/2F,45740,,,'')&lt;/Q&gt;&lt;R&gt;1&lt;/R&gt;&lt;C&gt;1&lt;/C&gt;&lt;D xsi:type="xsd:double"&gt;15787.934&lt;/D&gt;&lt;/FQL&gt;&lt;FQL&gt;&lt;Q&gt;Ticker0024^FE_ESTIMATE(CAPEX,MEAN,QUARTERLY_ROLL,2025/1F,45740,,,'')&lt;/Q&gt;&lt;R&gt;1&lt;/R&gt;&lt;C&gt;1&lt;/C&gt;&lt;D xsi:type="xsd:double"&gt;14922.786&lt;/D&gt;&lt;/FQL&gt;&lt;FQL&gt;&lt;Q&gt;Ticker0024^FE_ESTIMATE(CAPEX,MEAN,ANNUAL_ROLL,2024,45740,,,'')&lt;/Q&gt;&lt;R&gt;1&lt;/R&gt;&lt;C&gt;1&lt;/C&gt;&lt;D xsi:type="xsd:double"&gt;44477.12&lt;/D&gt;&lt;/FQL&gt;&lt;FQL&gt;&lt;Q&gt;Ticker0024^FE_ESTIMATE(CAPEX,MEAN,QUARTERLY_ROLL,2024/4F,45740,,,'')&lt;/Q&gt;&lt;R&gt;1&lt;/R&gt;&lt;C&gt;1&lt;/C&gt;&lt;D xsi:type="xsd:double"&gt;13874.714&lt;/D&gt;&lt;/FQL&gt;&lt;FQL&gt;&lt;Q&gt;Ticker0024^FE_ESTIMATE(CAPEX,MEAN,QUARTERLY_ROLL,2024/3F,45740,,,'')&lt;/Q&gt;&lt;R&gt;1&lt;/R&gt;&lt;C&gt;1&lt;/C&gt;&lt;D xsi:type="xsd:double"&gt;10951.875&lt;/D&gt;&lt;/FQL&gt;&lt;FQL&gt;&lt;Q&gt;Ticker0024^FE_ESTIMATE(CAPEX,MEAN,QUARTERLY_ROLL,2024/2F,45740,,,'')&lt;/Q&gt;&lt;R&gt;1&lt;/R&gt;&lt;C&gt;1&lt;/C&gt;&lt;D xsi:type="xsd:double"&gt;10013.947&lt;/D&gt;&lt;/FQL&gt;&lt;FQL&gt;&lt;Q&gt;Ticker0024^FE_ESTIMATE(CAPEX,MEAN,QUARTERLY_ROLL,2024/1F,45740,,,'')&lt;/Q&gt;&lt;R&gt;1&lt;/R&gt;&lt;C&gt;1&lt;/C&gt;&lt;D xsi:type="xsd:double"&gt;10002.733&lt;/D&gt;&lt;/FQL&gt;&lt;FQL&gt;&lt;Q&gt;Ticker0024^FE_ESTIMATE(CAPEX,MEAN,ANNUAL_ROLL,2023,45740,,,'')&lt;/Q&gt;&lt;R&gt;1&lt;/R&gt;&lt;C&gt;1&lt;/C&gt;&lt;D xsi:type="xsd:double"&gt;28107.125&lt;/D&gt;&lt;/FQL&gt;&lt;FQL&gt;&lt;Q&gt;Ticker0024^FE_ESTIMATE(CAPEX,MEAN,QUARTERLY_ROLL,2023/4F,45740,,,'')&lt;/Q&gt;&lt;R&gt;1&lt;/R&gt;&lt;C&gt;1&lt;/C&gt;&lt;D xsi:type="xsd:double"&gt;8942.77&lt;/D&gt;&lt;/FQL&gt;&lt;FQL&gt;&lt;Q&gt;Ticker0024^FE_ESTIMATE(CAPEX,MEAN,QUARTERLY_ROLL,2023/3F,45740,,,'')&lt;/Q&gt;&lt;R&gt;1&lt;/R&gt;&lt;C&gt;1&lt;/C&gt;&lt;D xsi:type="xsd:double"&gt;6607.25&lt;/D&gt;&lt;/FQL&gt;&lt;FQL&gt;&lt;Q&gt;Ticker0024^FE_ESTIMATE(CAPEX,MEAN,QUARTERLY_ROLL,2023/2F,45740,,,'')&lt;/Q&gt;&lt;R&gt;1&lt;/R&gt;&lt;C&gt;1&lt;/C&gt;&lt;D xsi:type="xsd:double"&gt;6273.636&lt;/D&gt;&lt;/FQL&gt;&lt;FQL&gt;&lt;Q&gt;Ticker0024^FE_ESTIMATE(CAPEX,MEAN,QUARTERLY_ROLL,2023/1F,45740,,,'')&lt;/Q&gt;&lt;R&gt;1&lt;/R&gt;&lt;C&gt;1&lt;/C&gt;&lt;D xsi:type="xsd:double"&gt;6283&lt;/D&gt;&lt;/FQL&gt;&lt;FQL&gt;&lt;Q&gt;Ticker0024^FE_ESTIMATE(CAPEX,MEAN,ANNUAL_ROLL,2022,45740,,,'')&lt;/Q&gt;&lt;R&gt;1&lt;/R&gt;&lt;C&gt;1&lt;/C&gt;&lt;D xsi:type="xsd:double"&gt;24090.385&lt;/D&gt;&lt;/FQL&gt;&lt;FQL&gt;&lt;Q&gt;Ticker0024^FE_ESTIMATE(CAPEX,MEAN,QUARTERLY_ROLL,2022/4F,45740,,,'')&lt;/Q&gt;&lt;R&gt;1&lt;/R&gt;&lt;C&gt;1&lt;/C&gt;&lt;D xsi:type="xsd:double"&gt;7023.4165&lt;/D&gt;&lt;/FQL&gt;&lt;FQL&gt;&lt;Q&gt;Ticker0024^FE_ESTIMATE(CAPEX,MEAN,QUARTERLY_ROLL,2022/3F,45740,,,'')&lt;/Q&gt;&lt;R&gt;1&lt;/R&gt;&lt;C&gt;1&lt;/C&gt;&lt;D xsi:type="xsd:double"&gt;5436&lt;/D&gt;&lt;/FQL&gt;&lt;FQL&gt;&lt;Q&gt;Ticker0024^FE_ESTIMATE(CAPEX,MEAN,QUARTERLY_ROLL,2022/2F,45740,,,'')&lt;/Q&gt;&lt;R&gt;1&lt;/R&gt;&lt;C&gt;1&lt;/C&gt;&lt;D xsi:type="xsd:double"&gt;5958.5&lt;/D&gt;&lt;/FQL&gt;&lt;FQL&gt;&lt;Q&gt;Ticker0024^FE_ESTIMATE(CAPEX,MEAN,QUARTERLY_ROLL,2022/1F,45740,,,'')&lt;/Q&gt;&lt;R&gt;1&lt;/R&gt;&lt;C&gt;1&lt;/C&gt;&lt;D xsi:type="xsd:double"&gt;5954.5454&lt;/D&gt;&lt;/FQL&gt;&lt;FQL&gt;&lt;Q&gt;Ticker0024^FE_ESTIMATE(CAPEX,MEAN,ANNUAL_ROLL,2021,45740,,,'')&lt;/Q&gt;&lt;R&gt;1&lt;/R&gt;&lt;C&gt;1&lt;/C&gt;&lt;D xsi:type="xsd:double"&gt;20901.076&lt;/D&gt;&lt;/FQL&gt;&lt;FQL&gt;&lt;Q&gt;Ticker0024^FE_ESTIMATE(CAPEX,MEAN,QUARTERLY_ROLL,2021/4F,45740,,,'')&lt;/Q&gt;&lt;R&gt;1&lt;/R&gt;&lt;C&gt;1&lt;/C&gt;&lt;D xsi:type="xsd:double"&gt;6558&lt;/D&gt;&lt;/FQL&gt;&lt;FQL&gt;&lt;Q&gt;Ticker0024^FE_ESTIMATE(CAPEX,MEAN,QUARTERLY_ROLL,2021/3F,45740,,,'')&lt;/Q&gt;&lt;R&gt;1&lt;/R&gt;&lt;C&gt;1&lt;/C&gt;&lt;D xsi:type="xsd:double"&gt;5190.222&lt;/D&gt;&lt;/FQL&gt;&lt;FQL&gt;&lt;Q&gt;Ticker0024^FE_ESTIMATE(CAPEX,MEAN,QUARTERLY_ROLL,2021/2F,45740,,,'')&lt;/Q&gt;&lt;R&gt;1&lt;/R&gt;&lt;C&gt;1&lt;/C&gt;&lt;D xsi:type="xsd:double"&gt;4310.222&lt;/D&gt;&lt;/FQL&gt;&lt;FQL&gt;&lt;Q&gt;Ticker0024^FE_ESTIMATE(CAPEX,MEAN,QUARTERLY_ROLL,2021/1F,45740,,,'')&lt;/Q&gt;&lt;R&gt;1&lt;/R&gt;&lt;C&gt;1&lt;/C&gt;&lt;D xsi:type="xsd:double"&gt;4951.2&lt;/D&gt;&lt;/FQL&gt;&lt;FQL&gt;&lt;Q&gt;Ticker0024^FE_ESTIMATE(CAPEX,MEAN,ANNUAL_ROLL,2020,45740,,,'')&lt;/Q&gt;&lt;R&gt;1&lt;/R&gt;&lt;C&gt;1&lt;/C&gt;&lt;D xsi:type="xsd:double"&gt;15737.583&lt;/D&gt;&lt;/FQL&gt;&lt;FQL&gt;&lt;Q&gt;Ticker0024^FE_ESTIMATE(CAPEX,MEAN,QUARTERLY_ROLL,2020/4F,45740,,,'')&lt;/Q&gt;&lt;R&gt;1&lt;/R&gt;&lt;C&gt;1&lt;/C&gt;&lt;D xsi:type="xsd:double"&gt;4876&lt;/D&gt;&lt;/FQL&gt;&lt;FQL&gt;&lt;Q&gt;Ticker0024^FE_ESTIMATE(CAPEX,MEAN,QUARTERLY_ROLL,2020/3F,45740,,,'')&lt;/Q&gt;&lt;R&gt;1&lt;/R&gt;&lt;C&gt;1&lt;/C&gt;&lt;D xsi:type="xsd:double"&gt;3781.7778&lt;/D&gt;&lt;/FQL&gt;&lt;FQL&gt;&lt;Q&gt;Ticker0024^FE_ESTIMATE(CAPEX,MEAN,QUARTERLY_ROLL,2020/2F,45740,,,'')&lt;/Q&gt;&lt;R&gt;1&lt;/R&gt;&lt;C&gt;1&lt;/C&gt;&lt;D xsi:type="xsd:double"&gt;3640.5&lt;/D&gt;&lt;/FQL&gt;&lt;FQL&gt;&lt;Q&gt;Ticker0024^FE_ESTIMATE(CAPEX,MEAN,QUARTERLY_ROLL,2020/1F,45740,,,'')&lt;/Q&gt;&lt;R&gt;1&lt;/R&gt;&lt;C&gt;1&lt;/C&gt;&lt;D xsi:type="xsd:double"&gt;3526.5&lt;/D&gt;&lt;/FQL&gt;&lt;FQL&gt;&lt;Q&gt;Ticker0024^FE_ESTIMATE(CAPEX,MEAN,ANNUAL_ROLL,2019,45740,,,'')&lt;/Q&gt;&lt;R&gt;1&lt;/R&gt;&lt;C&gt;1&lt;/C&gt;&lt;D xsi:type="xsd:double"&gt;14123.333&lt;/D&gt;&lt;/FQL&gt;&lt;FQL&gt;&lt;Q&gt;Ticker0024^FE_ESTIMATE(CAPEX,MEAN,QUARTERLY_ROLL,2019/4F,45740,,,'')&lt;/Q&gt;&lt;R&gt;1&lt;/R&gt;&lt;C&gt;1&lt;/C&gt;&lt;D xsi:type="xsd:double"&gt;4300.8&lt;/D&gt;&lt;/FQL&gt;&lt;FQL&gt;&lt;Q&gt;Ticker0024^FE_ESTIMATE(CAPEX,MEAN,QUARTERLY_ROLL,2019/3F,45740,,,'')&lt;/Q&gt;&lt;R&gt;1&lt;/R&gt;&lt;C&gt;1&lt;/C&gt;&lt;D xsi:type="xsd:double"&gt;2648.5&lt;/D&gt;&lt;/FQL&gt;&lt;FQL&gt;&lt;Q&gt;Ticker0024^FE_ESTIMATE(CAPEX,MEAN,QUARTERLY_ROLL,2019/2F,45740,,,'')&lt;/Q&gt;&lt;R&gt;1&lt;/R&gt;&lt;C&gt;1&lt;/C&gt;&lt;D xsi:type="xsd:double"&gt;3736.6924&lt;/D&gt;&lt;/FQL&gt;&lt;FQL&gt;&lt;Q&gt;Ticker0024^FE_ESTIMATE(CAPEX,MEAN,QUARTERLY_ROLL,2019/1F,45740,,,'')&lt;/Q&gt;&lt;R&gt;1&lt;/R&gt;&lt;C&gt;1&lt;/C&gt;&lt;D xsi:type="xsd:double"&gt;3728.9092&lt;/D&gt;&lt;/FQL&gt;&lt;FQL&gt;&lt;Q&gt;Ticker0024^FE_ESTIMATE(CAPEX,MEAN,ANNUAL_ROLL,2018,45740,,,'')&lt;/Q&gt;&lt;R&gt;1&lt;/R&gt;&lt;C&gt;1&lt;/C&gt;&lt;D xsi:type="xsd:double"&gt;11958.8&lt;/D&gt;&lt;/FQL&gt;&lt;FQL&gt;&lt;Q&gt;Ticker0024^FE_ESTIMATE(CAPEX,MEAN,QUARTERLY_ROLL,2018/4F,45740,,,'')&lt;/Q&gt;&lt;R&gt;1&lt;/R&gt;&lt;C&gt;1&lt;/C&gt;&lt;D xsi:type="xsd:double"&gt;3993.3333&lt;/D&gt;&lt;/FQL&gt;&lt;FQL&gt;&lt;Q&gt;Ticker0024^FE_ESTIMATE(CAPEX,MEAN,QUARTERLY_ROLL,2018/3F,45740,,,'')&lt;/Q&gt;&lt;R&gt;1&lt;/R&gt;&lt;C&gt;1&lt;/C&gt;&lt;D xsi:type="xsd:double"&gt;2934&lt;/D&gt;&lt;/FQL&gt;&lt;FQL&gt;&lt;Q&gt;Ticker0024^FE_ESTIMATE(CAPEX,MEAN,QUARTERLY_ROLL,2018/2F,45740,,,'')&lt;/Q&gt;&lt;R&gt;1&lt;/R&gt;&lt;C&gt;1&lt;/C&gt;&lt;D xsi:type="xsd:double"&gt;2650.9092&lt;/D&gt;&lt;/FQL&gt;&lt;FQL&gt;&lt;Q&gt;Ticker0024^FE_ESTIMATE(CAPEX,MEAN,QUARTERLY_ROLL,2018/1F,45740,,,'')&lt;/Q&gt;&lt;R&gt;1&lt;/R&gt;&lt;C&gt;1&lt;/C&gt;&lt;D xsi:type="xsd:double"&gt;2132&lt;/D&gt;&lt;/FQL&gt;&lt;FQL&gt;&lt;Q&gt;Ticker0024^FE_ESTIMATE(CAPEX,MEAN,ANNUAL_ROLL,2017,45740,,,'')&lt;/Q&gt;&lt;R&gt;1&lt;/R&gt;&lt;C&gt;1&lt;/C&gt;&lt;D xsi:type="xsd:double"&gt;8129&lt;/D&gt;&lt;/FQL&gt;&lt;FQL&gt;&lt;Q&gt;Ticker0024^FE_ESTIMATE(CAPEX,MEAN,QUARTERLY_ROLL,2017/4F,45740,,,'')&lt;/Q&gt;&lt;R&gt;1&lt;/R&gt;&lt;C&gt;1&lt;/C&gt;&lt;D xsi:type="xsd:double"&gt;2283&lt;/D&gt;&lt;/FQL&gt;&lt;FQL&gt;&lt;Q&gt;Ticker0024^FE_ESTIMATE(CAPEX,MEAN,QUARTERLY_ROLL,2017/3F,45740,,,'')&lt;/Q&gt;&lt;R&gt;1&lt;/R&gt;&lt;C&gt;1&lt;/C&gt;&lt;D xsi:type="xsd:double"&gt;1767.909&lt;/D&gt;&lt;/FQL&gt;&lt;FQL&gt;&lt;Q&gt;Ticker0024^FE_ESTIMATE(CAPEX,MEAN,QUARTERLY_ROLL,2017/2F,45740,,,'')&lt;/Q&gt;&lt;R&gt;1&lt;/R&gt;&lt;C&gt;1&lt;/C&gt;&lt;D xsi:type="xsd:double"&gt;1988&lt;/D&gt;&lt;/FQL&gt;&lt;FQL&gt;&lt;Q&gt;Ticker0024^FE_ESTIMATE(CAPEX,MEAN,QUARTERLY_ROLL,2017/1F,45740,,,'')&lt;/Q&gt;&lt;R&gt;1&lt;/R&gt;&lt;C&gt;1&lt;/C&gt;&lt;D xsi:type="xsd:double"&gt;2163&lt;/D&gt;&lt;/FQL&gt;&lt;FQL&gt;&lt;Q&gt;Ticker0024^FE_ESTIMATE(CAPEX,MEAN,ANNUAL_ROLL,2016,45740,,,'')&lt;/Q&gt;&lt;R&gt;1&lt;/R&gt;&lt;C&gt;1&lt;/C&gt;&lt;D xsi:type="xsd:double"&gt;8343&lt;/D&gt;&lt;/FQL&gt;&lt;FQL&gt;&lt;Q&gt;Ticker0024^FE_ESTIMATE(CAPEX,MEAN,QUARTERLY_ROLL,2016/4F,45740,,,'')&lt;/Q&gt;&lt;R&gt;1&lt;/R&gt;&lt;C&gt;1&lt;/C&gt;&lt;D xsi:type="xsd:double"&gt;2655&lt;/D&gt;&lt;/FQL&gt;&lt;FQL&gt;&lt;Q&gt;Ticker0024^FE_ESTIMATE(CAPEX,MEAN,QUARTERLY_ROLL,2016/3F,45740,,,'')&lt;/Q&gt;&lt;R&gt;1&lt;/R&gt;&lt;C&gt;1&lt;/C&gt;&lt;D xsi:type="xsd:double"&gt;2308&lt;/D&gt;&lt;/FQL&gt;&lt;FQL&gt;&lt;Q&gt;Ticker0024^FE_ESTIMATE(CAPEX,MEAN,QUARTERLY_ROLL,2016/2F,45740,,,'')&lt;/Q&gt;&lt;R&gt;1&lt;/R&gt;&lt;C&gt;1&lt;/C&gt;&lt;D xsi:type="xsd:double"&gt;2024&lt;/D&gt;&lt;/FQL&gt;&lt;FQL&gt;&lt;Q&gt;Ticker0024^FE_ESTIMATE(CAPEX,MEAN,QUARTERLY_ROLL,2016/1F,45740,,,'')&lt;/Q&gt;&lt;R&gt;1&lt;/R&gt;&lt;C&gt;1&lt;/C&gt;&lt;D xsi:type="xsd:double"&gt;1356&lt;/D&gt;&lt;/FQL&gt;&lt;FQL&gt;&lt;Q&gt;Ticker0024^FE_ESTIMATE(CAPEX,MEAN,ANNUAL_ROLL,2015,45740,,,'')&lt;/Q&gt;&lt;R&gt;1&lt;/R&gt;&lt;C&gt;1&lt;/C&gt;&lt;D xsi:type="xsd:double"&gt;5944&lt;/D&gt;&lt;/FQL&gt;&lt;FQL&gt;&lt;Q&gt;Ticker0024^FE_ESTIMATE(CAPEX,MEAN,QUARTERLY_ROLL,2015/4F,45740,,,'')&lt;/Q&gt;&lt;R&gt;1&lt;/R&gt;&lt;C&gt;1&lt;/C&gt;&lt;D xsi:type="xsd:double"&gt;1781&lt;/D&gt;&lt;/FQL&gt;&lt;FQL&gt;&lt;Q&gt;Ticker0024^FE_ESTIMATE(CAPEX,MEAN,QUARTERLY_ROLL,2015/3F,45740,,,'')&lt;/Q&gt;&lt;R&gt;1&lt;/R&gt;&lt;C&gt;1&lt;/C&gt;&lt;D xsi:type="xsd:double"&gt;1391&lt;/D&gt;&lt;/FQL&gt;&lt;FQL&gt;&lt;Q&gt;Ticker0024^FE_ESTIMATE(CAPEX,MEAN,QUARTERLY_ROLL,2015/2F,45740,,,'')&lt;/Q&gt;&lt;R&gt;1&lt;/R&gt;&lt;C&gt;1&lt;/C&gt;&lt;D xsi:type="xsd:double"&gt;1490&lt;/D&gt;&lt;/FQL&gt;&lt;FQL&gt;&lt;Q&gt;Ticker0024^FE_ESTIMATE(CAPEX,MEAN,QUARTERLY_ROLL,2015/1F,45740,,,'')&lt;/Q&gt;&lt;R&gt;1&lt;/R&gt;&lt;C&gt;1&lt;/C&gt;&lt;D xsi:type="xsd:double"&gt;1282&lt;/D&gt;&lt;/FQL&gt;&lt;FQL&gt;&lt;Q&gt;Ticker0024^FE_ESTIMATE(CFO,MEAN,ANNUAL_ROLL,2030,45740,,,'')&lt;/Q&gt;&lt;R&gt;0&lt;/R&gt;&lt;C&gt;0&lt;/C&gt;&lt;/FQL&gt;&lt;FQL&gt;&lt;Q&gt;Ticker0024^FE_ESTIMATE(CFO,MEAN,QUARTERLY_ROLL,2030/4F,45740,,,'')&lt;/Q&gt;&lt;R&gt;0&lt;/R&gt;&lt;C&gt;0&lt;/C&gt;&lt;/FQL&gt;&lt;FQL&gt;&lt;Q&gt;Ticker0024^FE_ESTIMATE(CFO,MEAN,QUARTERLY_ROLL,2030/3F,45740,,,'')&lt;/Q&gt;&lt;R&gt;0&lt;/R&gt;&lt;C&gt;0&lt;/C&gt;&lt;/FQL&gt;&lt;FQL&gt;&lt;Q&gt;Ticker0024^FE_ESTIMATE(CFO,MEAN,QUARTERLY_ROLL,2030/2F,45740,,,'')&lt;/Q&gt;&lt;R&gt;0&lt;/R&gt;&lt;C&gt;0&lt;/C&gt;&lt;/FQL&gt;&lt;FQL&gt;&lt;Q&gt;Ticker0024^FE_ESTIMATE(CFO,MEAN,QUARTERLY_ROLL,2030/1F,45740,,,'')&lt;/Q&gt;&lt;R&gt;0&lt;/R&gt;&lt;C&gt;0&lt;/C&gt;&lt;/FQL&gt;&lt;FQL&gt;&lt;Q&gt;Ticker0024^FE_ESTIMATE(CFO,MEAN,ANNUAL_ROLL,2029,45740,,,'')&lt;/Q&gt;&lt;R&gt;0&lt;/R&gt;&lt;C&gt;0&lt;/C&gt;&lt;/FQL&gt;&lt;FQL&gt;&lt;Q&gt;Ticker0024^FE_ESTIMATE(CFO,MEAN,QUARTERLY_ROLL,2029/4F,45740,,,'')&lt;/Q&gt;&lt;R&gt;0&lt;/R&gt;&lt;C&gt;0&lt;/C&gt;&lt;/FQL&gt;&lt;FQL&gt;&lt;Q&gt;Ticker0024^FE_ESTIMATE(CFO,MEAN,QUARTERLY_ROLL,2029/3F,45740,,,'')&lt;/Q&gt;&lt;R&gt;0&lt;/R&gt;&lt;C&gt;0&lt;/C&gt;&lt;/FQL&gt;&lt;FQL&gt;&lt;Q&gt;Ticker0024^FE_ESTIMATE(CFO,MEAN,QUARTERLY_ROLL,2029/2F,45740,,,'')&lt;/Q&gt;&lt;R&gt;0&lt;/R&gt;&lt;C&gt;0&lt;/C&gt;&lt;/FQL&gt;&lt;FQL&gt;&lt;Q&gt;Ticker0024^FE_ESTIMATE(CFO,MEAN,QUARTERLY_ROLL,2029/1F,45740,,,'')&lt;/Q&gt;&lt;R&gt;0&lt;/R&gt;&lt;C&gt;0&lt;/C&gt;&lt;/FQL&gt;&lt;FQL&gt;&lt;Q&gt;Ticker0024^FE_ESTIMATE(CFO,MEAN,ANNUAL_ROLL,2028,45740,,,'')&lt;/Q&gt;&lt;R&gt;1&lt;/R&gt;&lt;C&gt;1&lt;/C&gt;&lt;D xsi:type="xsd:double"&gt;228546&lt;/D&gt;&lt;/FQL&gt;&lt;FQL&gt;&lt;Q&gt;Ticker0024^FE_ESTIMATE(CFO,MEAN,QUARTERLY_ROLL,2028/4F,45740,,,'')&lt;/Q&gt;&lt;R&gt;0&lt;/R&gt;&lt;C&gt;0&lt;/C&gt;&lt;/FQL&gt;&lt;FQL&gt;&lt;Q&gt;Ticker0024^FE_ESTIMATE(CFO,MEAN,QUARTERLY_ROLL,2028/3F,45740,,,'')&lt;/Q&gt;&lt;R&gt;0&lt;/R&gt;&lt;C&gt;0&lt;/C&gt;&lt;/FQL&gt;&lt;FQL&gt;&lt;Q&gt;Ticker0024^FE_ESTIMATE(CFO,MEAN,QUARTERLY_ROLL,2028/2F,45740,,,'')&lt;/Q&gt;&lt;R&gt;0&lt;/R&gt;&lt;C&gt;0&lt;/C&gt;&lt;/FQL&gt;&lt;FQL&gt;&lt;Q&gt;Ticker0024^FE_ESTIMATE(CFO,MEAN,QUARTERLY_ROLL,2028/1F,45740,,,'')&lt;/Q&gt;&lt;R&gt;0&lt;/R&gt;&lt;C&gt;0&lt;/C&gt;&lt;/FQL&gt;&lt;FQL&gt;&lt;Q&gt;Ticker0024^FE_ESTIMATE(CFO,MEAN,ANNUAL_ROLL,2027,45740,,,'')&lt;/Q&gt;&lt;R&gt;1&lt;/R&gt;&lt;C&gt;1&lt;/C&gt;&lt;D xsi:type="xsd:double"&gt;172466.13&lt;/D&gt;&lt;/FQL&gt;&lt;FQL&gt;&lt;Q&gt;Ticker0024^FE_ESTIMATE(CFO,MEAN,QUARTERLY_ROLL,2027/4F,45740,,,'')&lt;/Q&gt;&lt;R&gt;1&lt;/R&gt;&lt;C&gt;1&lt;/C&gt;&lt;D xsi:type="xsd:double"&gt;52534&lt;/D&gt;&lt;/FQL&gt;&lt;FQL&gt;&lt;Q&gt;Ticker0024^FE_ESTIMATE(CFO,MEAN,QUARTERLY_ROLL,2027/3F,45740,,,'')&lt;/Q&gt;&lt;R&gt;1&lt;/R&gt;&lt;C&gt;1&lt;/C&gt;&lt;D xsi:type="xsd:double"&gt;45180&lt;/D&gt;&lt;/FQL&gt;&lt;FQL&gt;&lt;Q&gt;Ticker0024^FE_ESTIMATE(CFO,MEAN,QUARTERLY_ROLL,2027/2F,45740,,,'')&lt;/Q&gt;&lt;R&gt;1&lt;/R&gt;&lt;C&gt;1&lt;/C&gt;&lt;D xsi:type="xsd:double"&gt;34701&lt;/D&gt;&lt;/FQL&gt;&lt;FQL&gt;&lt;Q&gt;Ticker0024^FE_ESTIMATE(CFO,MEAN,QUARTERLY_ROLL,2027/1F,45740,,,'')&lt;/Q&gt;&lt;R&gt;1&lt;/R&gt;&lt;C&gt;1&lt;/C&gt;&lt;D xsi:type="xsd:double"&gt;49253&lt;/D&gt;&lt;/FQL&gt;&lt;FQL&gt;&lt;Q&gt;Ticker0024^FE_ESTIMATE(CFO,MEAN,ANNUAL_ROLL,2026,45740,,,'')&lt;/Q&gt;&lt;R&gt;1&lt;/R&gt;&lt;C&gt;1&lt;/C&gt;&lt;D xsi:type="xsd:double"&gt;148964.36&lt;/D&gt;&lt;/FQL&gt;&lt;FQL&gt;&lt;Q&gt;Ticker0024^FE_ESTIMATE(CFO,MEAN,QUARTERLY_ROLL,2026/4F,45740,,,'')&lt;/Q&gt;&lt;R&gt;1&lt;/R&gt;&lt;C&gt;1&lt;/C&gt;&lt;D xsi:type="xsd:double"&gt;44516.4&lt;/D&gt;&lt;/FQL&gt;&lt;FQL&gt;&lt;Q&gt;Ticker0024^FE_ESTIMATE(CFO,MEAN,QUARTERLY_ROLL,2026/3F,45740,,,'')&lt;/Q&gt;&lt;R&gt;1&lt;/R&gt;&lt;C&gt;1&lt;/C&gt;&lt;D xsi:type="xsd:double"&gt;37563.35&lt;/D&gt;&lt;/FQL&gt;&lt;FQL&gt;&lt;Q&gt;Ticker0024^FE_ESTIMATE(CFO,MEAN,QUARTERLY_ROLL,2026/2F,45740,,,'')&lt;/Q&gt;&lt;R&gt;1&lt;/R&gt;&lt;C&gt;1&lt;/C&gt;&lt;D xsi:type="xsd:double"&gt;27928.225&lt;/D&gt;&lt;/FQL&gt;&lt;FQL&gt;&lt;Q&gt;Ticker0024^FE_ESTIMATE(CFO,MEAN,QUARTERLY_ROLL,2026/1F,45740,,,'')&lt;/Q&gt;&lt;R&gt;1&lt;/R&gt;&lt;C&gt;1&lt;/C&gt;&lt;D xsi:type="xsd:double"&gt;40356.68&lt;/D&gt;&lt;/FQL&gt;&lt;FQL&gt;&lt;Q&gt;Ticker0024^FE_ESTIMATE(CFO,MEAN,ANNUAL_ROLL,2025,45740,,,'')&lt;/Q&gt;&lt;R&gt;1&lt;/R&gt;&lt;C&gt;1&lt;/C&gt;&lt;D xsi:type="xsd:double"&gt;130763.234&lt;/D&gt;&lt;/FQL&gt;&lt;FQL&gt;&lt;Q&gt;Ticker0024^FE_ESTIMATE(CFO,MEAN,QUARTERLY_ROLL,2025/4F,45740,,,'')&lt;/Q&gt;&lt;R&gt;1&lt;/R&gt;&lt;C&gt;1&lt;/C&gt;&lt;D xsi:type="xsd:double"&gt;40797.508&lt;/D&gt;&lt;/FQL&gt;&lt;FQL&gt;&lt;Q&gt;Ticker0024^FE_ESTIMATE(CFO,MEAN,QUARTERLY_ROLL,2025/3F,45740,,,'')&lt;/Q&gt;&lt;R&gt;1&lt;/R&gt;&lt;C&gt;1&lt;/C&gt;&lt;D xsi:type="xsd:double"&gt;34005.246&lt;/D&gt;&lt;/FQL&gt;&lt;FQL&gt;&lt;Q&gt;Ticker0024^FE_ESTIMATE(CFO,MEAN,QUARTERLY_ROLL,2025/2F,45740,,,'')&lt;/Q&gt;&lt;R&gt;1&lt;/R&gt;&lt;C&gt;1&lt;/C&gt;&lt;D xsi:type="xsd:double"&gt;22290.934&lt;/D&gt;&lt;/FQL&gt;&lt;FQL&gt;&lt;Q&gt;Ticker0024^FE_ESTIMATE(CFO,MEAN,QUARTERLY_ROLL,2025/1F,45740,,,'')&lt;/Q&gt;&lt;R&gt;1&lt;/R&gt;&lt;C&gt;1&lt;/C&gt;&lt;D xsi:type="xsd:double"&gt;34180&lt;/D&gt;&lt;/FQL&gt;&lt;FQL&gt;&lt;Q&gt;Ticker0024^FE_ESTIMATE(CFO,MEAN,ANNUAL_ROLL,2024,45740,,,'')&lt;/Q&gt;&lt;R&gt;1&lt;/R&gt;&lt;C&gt;1&lt;/C&gt;&lt;D xsi:type="xsd:double"&gt;119091&lt;/D&gt;&lt;/FQL&gt;&lt;FQL&gt;&lt;Q&gt;Ticker0024^FE_ESTIMATE(CFO,MEAN,QUARTERLY_ROLL,2024/4F,45740,,,'')&lt;/Q&gt;&lt;R&gt;1&lt;/R&gt;&lt;C&gt;1&lt;/C&gt;&lt;D xsi:type="xsd:double"&gt;37195.355&lt;/D&gt;&lt;/FQL&gt;&lt;FQL&gt;&lt;Q&gt;Ticker0024^FE_ESTIMATE(CFO,MEAN,QUARTERLY_ROLL,2024/3F,45740,,,'')&lt;/Q&gt;&lt;R&gt;1&lt;/R&gt;&lt;C&gt;1&lt;/C&gt;&lt;D xsi:type="xsd:double"&gt;31917.176&lt;/D&gt;&lt;/FQL&gt;&lt;FQL&gt;&lt;Q&gt;Ticker0024^FE_ESTIMATE(CFO,MEAN,QUARTERLY_ROLL,2024/2F,45740,,,'')&lt;/Q&gt;&lt;R&gt;1&lt;/R&gt;&lt;C&gt;1&lt;/C&gt;&lt;D xsi:type="xsd:double"&gt;18855.445&lt;/D&gt;&lt;/FQL&gt;&lt;FQL&gt;&lt;Q&gt;Ticker0024^FE_ESTIMATE(CFO,MEAN,QUARTERLY_ROLL,2024/1F,45740,,,'')&lt;/Q&gt;&lt;R&gt;1&lt;/R&gt;&lt;C&gt;1&lt;/C&gt;&lt;D xsi:type="xsd:double"&gt;30578.588&lt;/D&gt;&lt;/FQL&gt;&lt;FQL&gt;&lt;Q&gt;Ticker0024^FE_ESTIMATE(CFO,MEAN,ANNUAL_ROLL,2023,45740,,,'')&lt;/Q&gt;&lt;R&gt;1&lt;/R&gt;&lt;C&gt;1&lt;/C&gt;&lt;D xsi:type="xsd:double"&gt;87714&lt;/D&gt;&lt;/FQL&gt;&lt;FQL&gt;&lt;Q&gt;Ticker0024^FE_ESTIMATE(CFO,MEAN,QUARTERLY_ROLL,2023/4F,45740,,,'')&lt;/Q&gt;&lt;R&gt;1&lt;/R&gt;&lt;C&gt;1&lt;/C&gt;&lt;D xsi:type="xsd:double"&gt;28504.813&lt;/D&gt;&lt;/FQL&gt;&lt;FQL&gt;&lt;Q&gt;Ticker0024^FE_ESTIMATE(CFO,MEAN,QUARTERLY_ROLL,2023/3F,45740,,,'')&lt;/Q&gt;&lt;R&gt;1&lt;/R&gt;&lt;C&gt;1&lt;/C&gt;&lt;D xsi:type="xsd:double"&gt;24325.75&lt;/D&gt;&lt;/FQL&gt;&lt;FQL&gt;&lt;Q&gt;Ticker0024^FE_ESTIMATE(CFO,MEAN,QUARTERLY_ROLL,2023/2F,45740,,,'')&lt;/Q&gt;&lt;R&gt;1&lt;/R&gt;&lt;C&gt;1&lt;/C&gt;&lt;D xsi:type="xsd:double"&gt;11172.8&lt;/D&gt;&lt;/FQL&gt;&lt;FQL&gt;&lt;Q&gt;Ticker0024^FE_ESTIMATE(CFO,MEAN,QUARTERLY_ROLL,2023/1F,45740,,,'')&lt;/Q&gt;&lt;R&gt;1&lt;/R&gt;&lt;C&gt;1&lt;/C&gt;&lt;D xsi:type="xsd:double"&gt;23330.53&lt;/D&gt;&lt;/FQL&gt;&lt;FQL&gt;&lt;Q&gt;Ticker0024^FE_ESTIMATE(CFO,MEAN,ANNUAL_ROLL,2022,45740,,,'')&lt;/Q&gt;&lt;R&gt;1&lt;/R&gt;&lt;C&gt;1&lt;/C&gt;&lt;D xsi:type="xsd:double"&gt;89044.74&lt;/D&gt;&lt;/FQL&gt;&lt;FQL&gt;&lt;Q&gt;Ticker0024^FE_ESTIMATE(CFO,MEAN,QUARTERLY_ROLL,2022/4F,45740,,,'')&lt;/Q&gt;&lt;R&gt;1&lt;/R&gt;&lt;C&gt;1&lt;/C&gt;&lt;D xsi:type="xsd:double"&gt;24629&lt;/D&gt;&lt;/FQL&gt;&lt;FQL&gt;&lt;Q&gt;Ticker0024^FE_ESTIMATE(CFO,MEAN,QUARTERLY_ROLL,2022/3F,45740,,,'')&lt;/Q&gt;&lt;R&gt;1&lt;/R&gt;&lt;C&gt;1&lt;/C&gt;&lt;D xsi:type="xsd:double"&gt;25386&lt;/D&gt;&lt;/FQL&gt;&lt;FQL&gt;&lt;Q&gt;Ticker0024^FE_ESTIMATE(CFO,MEAN,QUARTERLY_ROLL,2022/2F,45740,,,'')&lt;/Q&gt;&lt;R&gt;1&lt;/R&gt;&lt;C&gt;1&lt;/C&gt;&lt;D xsi:type="xsd:double"&gt;14480&lt;/D&gt;&lt;/FQL&gt;&lt;FQL&gt;&lt;Q&gt;Ticker0024^FE_ESTIMATE(CFO,MEAN,QUARTERLY_ROLL,2022/1F,45740,,,'')&lt;/Q&gt;&lt;R&gt;1&lt;/R&gt;&lt;C&gt;1&lt;/C&gt;&lt;D xsi:type="xsd:double"&gt;24540&lt;/D&gt;&lt;/FQL&gt;&lt;FQL&gt;&lt;Q&gt;Ticker0024^FE_ESTIMATE(CFO,MEAN,ANNUAL_ROLL,2021,45740,,,'')&lt;/Q&gt;&lt;R&gt;1&lt;/R&gt;&lt;C&gt;1&lt;/C&gt;&lt;D xsi:type="xsd:double"&gt;77615.55&lt;/D&gt;&lt;/FQL&gt;&lt;FQL&gt;&lt;Q&gt;Ticker0024^FE_ESTIMATE(CFO,MEAN,QUARTERLY_ROLL,2021/4F,45740,,,'')&lt;/Q&gt;&lt;R&gt;1&lt;/R&gt;&lt;C&gt;1&lt;/C&gt;&lt;D xsi:type="xsd:double"&gt;22710&lt;/D&gt;&lt;/FQL&gt;&lt;FQL&gt;&lt;Q&gt;Ticker0024^FE_ESTIMATE(CFO,MEAN,QUARTERLY_ROLL,2021/3F,45740,,,'')&lt;/Q&gt;&lt;R&gt;1&lt;/R&gt;&lt;C&gt;1&lt;/C&gt;&lt;D xsi:type="xsd:double"&gt;21909&lt;/D&gt;&lt;/FQL&gt;&lt;FQL&gt;&lt;Q&gt;Ticker0024^FE_ESTIMATE(CFO,MEAN,QUARTERLY_ROLL,2021/2F,45740,,,'')&lt;/Q&gt;&lt;R&gt;1&lt;/R&gt;&lt;C&gt;1&lt;/C&gt;&lt;D xsi:type="xsd:double"&gt;12516&lt;/D&gt;&lt;/FQL&gt;&lt;FQL&gt;&lt;Q&gt;Ticker0024^FE_ESTIMATE(CFO,MEAN,QUARTERLY_ROLL,2021/1F,45740,,,'')&lt;/Q&gt;&lt;R&gt;1&lt;/R&gt;&lt;C&gt;1&lt;/C&gt;&lt;D xsi:type="xsd:double"&gt;19151.9&lt;/D&gt;&lt;/FQL&gt;&lt;FQL&gt;&lt;Q&gt;Ticker0024^FE_ESTIMATE(CFO,MEAN,ANNUAL_ROLL,2020,45740,,,'')&lt;/Q&gt;&lt;R&gt;1&lt;/R&gt;&lt;C&gt;1&lt;/C&gt;&lt;D xsi:type="xsd:double"&gt;60473.91&lt;/D&gt;&lt;/FQL&gt;&lt;FQL&gt;&lt;Q&gt;Ticker0024^FE_ESTIMATE(CFO,MEAN,QUARTERLY_ROLL,2020/4F,45740,,,'')&lt;/Q&gt;&lt;R&gt;1&lt;/R&gt;&lt;C&gt;1&lt;/C&gt;&lt;D xsi:type="xsd:double"&gt;18673&lt;/D&gt;&lt;/FQL&gt;&lt;FQL&gt;&lt;Q&gt;Ticker0024^FE_ESTIMATE(CFO,MEAN,QUARTERLY_ROLL,2020/3F,45740,,,'')&lt;/Q&gt;&lt;R&gt;1&lt;/R&gt;&lt;C&gt;1&lt;/C&gt;&lt;D xsi:type="xsd:double"&gt;17507.223&lt;/D&gt;&lt;/FQL&gt;&lt;FQL&gt;&lt;Q&gt;Ticker0024^FE_ESTIMATE(CFO,MEAN,QUARTERLY_ROLL,2020/2F,45740,,,'')&lt;/Q&gt;&lt;R&gt;1&lt;/R&gt;&lt;C&gt;1&lt;/C&gt;&lt;D xsi:type="xsd:double"&gt;10680&lt;/D&gt;&lt;/FQL&gt;&lt;FQL&gt;&lt;Q&gt;Ticker0024^FE_ESTIMATE(CFO,MEAN,QUARTERLY_ROLL,2020/1F,45740,,,'')&lt;/Q&gt;&lt;R&gt;1&lt;/R&gt;&lt;C&gt;1&lt;/C&gt;&lt;D xsi:type="xsd:double"&gt;13818&lt;/D&gt;&lt;/FQL&gt;&lt;FQL&gt;&lt;Q&gt;Ticker0024^FE_ESTIMATE(CFO,MEAN,ANNUAL_ROLL,2019,45740,,,'')&lt;/Q&gt;&lt;R&gt;1&lt;/R&gt;&lt;C&gt;1&lt;/C&gt;&lt;D xsi:type="xsd:double"&gt;51866.285&lt;/D&gt;&lt;/FQL&gt;&lt;FQL&gt;&lt;Q&gt;Ticker0024^FE_ESTIMATE(CFO,MEAN,QUARTERLY_ROLL,2019/4F,45740,,,'')&lt;/Q&gt;&lt;R&gt;1&lt;/R&gt;&lt;C&gt;1&lt;/C&gt;&lt;D xsi:type="xsd:double"&gt;16108&lt;/D&gt;&lt;/FQL&gt;&lt;FQL&gt;&lt;Q&gt;Ticker0024^FE_ESTIMATE(CFO,MEAN,QUARTERLY_ROLL,2019/3F,45740,,,'')&lt;/Q&gt;&lt;R&gt;1&lt;/R&gt;&lt;C&gt;1&lt;/C&gt;&lt;D xsi:type="xsd:double"&gt;13520&lt;/D&gt;&lt;/FQL&gt;&lt;FQL&gt;&lt;Q&gt;Ticker0024^FE_ESTIMATE(CFO,MEAN,QUARTERLY_ROLL,2019/2F,45740,,,'')&lt;/Q&gt;&lt;R&gt;1&lt;/R&gt;&lt;C&gt;1&lt;/C&gt;&lt;D xsi:type="xsd:double"&gt;8854.25&lt;/D&gt;&lt;/FQL&gt;&lt;FQL&gt;&lt;Q&gt;Ticker0024^FE_ESTIMATE(CFO,MEAN,QUARTERLY_ROLL,2019/1F,45740,,,'')&lt;/Q&gt;&lt;R&gt;1&lt;/R&gt;&lt;C&gt;1&lt;/C&gt;&lt;D xsi:type="xsd:double"&gt;13284.637&lt;/D&gt;&lt;/FQL&gt;&lt;FQL&gt;&lt;Q&gt;Ticker0024^FE_ESTIMATE(CFO,MEAN,ANNUAL_ROLL,2018,45740,,,'')&lt;/Q&gt;&lt;R&gt;1&lt;/R&gt;&lt;C&gt;1&lt;/C&gt;&lt;D xsi:type="xsd:double"&gt;43558.848&lt;/D&gt;&lt;/FQL&gt;&lt;FQL&gt;&lt;Q&gt;Ticker0024^FE_ESTIMATE(CFO,MEAN,QUARTERLY_ROLL,2018/4F,45740,,,'')&lt;/Q&gt;&lt;R&gt;1&lt;/R&gt;&lt;C&gt;1&lt;/C&gt;&lt;D xsi:type="xsd:double"&gt;11606.333&lt;/D&gt;&lt;/FQL&gt;&lt;FQL&gt;&lt;Q&gt;Ticker0024^FE_ESTIMATE(CFO,MEAN,QUARTERLY_ROLL,2018/3F,45740,,,'')&lt;/Q&gt;&lt;R&gt;1&lt;/R&gt;&lt;C&gt;1&lt;/C&gt;&lt;D xsi:type="xsd:double"&gt;12151&lt;/D&gt;&lt;/FQL&gt;&lt;FQL&gt;&lt;Q&gt;Ticker0024^FE_ESTIMATE(CFO,MEAN,QUARTERLY_ROLL,2018/2F,45740,,,'')&lt;/Q&gt;&lt;R&gt;1&lt;/R&gt;&lt;C&gt;1&lt;/C&gt;&lt;D xsi:type="xsd:double"&gt;7875&lt;/D&gt;&lt;/FQL&gt;&lt;FQL&gt;&lt;Q&gt;Ticker0024^FE_ESTIMATE(CFO,MEAN,QUARTERLY_ROLL,2018/1F,45740,,,'')&lt;/Q&gt;&lt;R&gt;1&lt;/R&gt;&lt;C&gt;1&lt;/C&gt;&lt;D xsi:type="xsd:double"&gt;12440&lt;/D&gt;&lt;/FQL&gt;&lt;FQL&gt;&lt;Q&gt;Ticker0024^FE_ESTIMATE(CFO,MEAN,ANNUAL_ROLL,2017,45740,,,'')&lt;/Q&gt;&lt;R&gt;1&lt;/R&gt;&lt;C&gt;1&lt;/C&gt;&lt;D xsi:type="xsd:double"&gt;39507&lt;/D&gt;&lt;/FQL&gt;&lt;FQL&gt;&lt;Q&gt;Ticker0024^FE_ESTIMATE(CFO,MEAN,QUARTERLY_ROLL,2017/4F,45740,,,'')&lt;/Q&gt;&lt;R&gt;1&lt;/R&gt;&lt;C&gt;1&lt;/C&gt;&lt;D xsi:type="xsd:double"&gt;11005&lt;/D&gt;&lt;/FQL&gt;&lt;FQL&gt;&lt;Q&gt;Ticker0024^FE_ESTIMATE(CFO,MEAN,QUARTERLY_ROLL,2017/3F,45740,,,'')&lt;/Q&gt;&lt;R&gt;1&lt;/R&gt;&lt;C&gt;1&lt;/C&gt;&lt;D xsi:type="xsd:double"&gt;10660&lt;/D&gt;&lt;/FQL&gt;&lt;FQL&gt;&lt;Q&gt;Ticker0024^FE_ESTIMATE(CFO,MEAN,QUARTERLY_ROLL,2017/2F,45740,,,'')&lt;/Q&gt;&lt;R&gt;1&lt;/R&gt;&lt;C&gt;1&lt;/C&gt;&lt;D xsi:type="xsd:double"&gt;6293&lt;/D&gt;&lt;/FQL&gt;&lt;FQL&gt;&lt;Q&gt;Ticker0024^FE_ESTIMATE(CFO,MEAN,QUARTERLY_ROLL,2017/1F,45740,,,'')&lt;/Q&gt;&lt;R&gt;1&lt;/R&gt;&lt;C&gt;1&lt;/C&gt;&lt;D xsi:type="xsd:double"&gt;11549&lt;/D&gt;&lt;/FQL&gt;&lt;FQL&gt;&lt;Q&gt;Ticker0024^FE_ESTIMATE(CFO,MEAN,ANNUAL_ROLL,2016,45740,,,'')&lt;/Q&gt;&lt;R&gt;1&lt;/R&gt;&lt;C&gt;1&lt;/C&gt;&lt;D xsi:type="xsd:double"&gt;32872.5&lt;/D&gt;&lt;/FQL&gt;&lt;FQL&gt;&lt;Q&gt;Ticker0024^FE_ESTIMATE(CFO,MEAN,QUARTERLY_ROLL,2016/4F,45740,,,'')&lt;/Q&gt;&lt;R&gt;1&lt;/R&gt;&lt;C&gt;1&lt;/C&gt;&lt;D xsi:type="xsd:double"&gt;8464&lt;/D&gt;&lt;/FQL&gt;&lt;FQL&gt;&lt;Q&gt;Ticker0024^FE_ESTIMATE(CFO,MEAN,QUARTERLY_ROLL,2016/3F,45740,,,'')&lt;/Q&gt;&lt;R&gt;1&lt;/R&gt;&lt;C&gt;1&lt;/C&gt;&lt;D xsi:type="xsd:double"&gt;10367&lt;/D&gt;&lt;/FQL&gt;&lt;FQL&gt;&lt;Q&gt;Ticker0024^FE_ESTIMATE(CFO,MEAN,QUARTERLY_ROLL,2016/2F,45740,,,'')&lt;/Q&gt;&lt;R&gt;1&lt;/R&gt;&lt;C&gt;1&lt;/C&gt;&lt;D xsi:type="xsd:double"&gt;5598&lt;/D&gt;&lt;/FQL&gt;&lt;FQL&gt;&lt;Q&gt;Ticker0024^FE_ESTIMATE(CFO,MEAN,QUARTERLY_ROLL,2016/1F,45740,,,'')&lt;/Q&gt;&lt;R&gt;1&lt;/R&gt;&lt;C&gt;1&lt;/C&gt;&lt;D xsi:type="xsd:double"&gt;8550.5&lt;/D&gt;&lt;/FQL&gt;&lt;FQL&gt;&lt;Q&gt;Ticker0024^FE_ESTIMATE(CFO,MEAN,ANNUAL_ROLL,2015,45740,,,'')&lt;/Q&gt;&lt;R&gt;1&lt;/R&gt;&lt;C&gt;1&lt;/C&gt;&lt;D xsi:type="xsd:double"&gt;29510.059&lt;/D&gt;&lt;/FQL&gt;&lt;FQL&gt;&lt;Q&gt;Ticker0024^FE_ESTIMATE(CFO,MEAN,QUARTERLY_ROLL,2015/4F,45740,,,'')&lt;/Q&gt;&lt;R&gt;1&lt;/R&gt;&lt;C&gt;1&lt;/C&gt;&lt;D xsi:type="xsd:double"&gt;7446.231&lt;/D&gt;&lt;/FQL&gt;&lt;FQL&gt;&lt;Q&gt;Ticker0024^FE_ESTIMATE(CFO,MEAN,QUARTERLY_ROLL,2015/3F,45740,,,'')&lt;/Q&gt;&lt;R&gt;1&lt;/R&gt;&lt;C&gt;1&lt;/C&gt;&lt;D xsi:type="xsd:double"&gt;9570&lt;/D&gt;&lt;/FQL&gt;&lt;FQL&gt;&lt;Q&gt;Ticker0024^FE_ESTIMATE(CFO,MEAN,QUARTERLY_ROLL,2015/2F,45740,,,'')&lt;/Q&gt;&lt;R&gt;1&lt;/R&gt;&lt;C&gt;1&lt;/C&gt;&lt;D xsi:type="xsd:double"&gt;4340&lt;/D&gt;&lt;/FQL&gt;&lt;FQL&gt;&lt;Q&gt;Ticker0024^FE_ESTIMATE(CFO,MEAN,QUARTERLY_ROLL,2015/1F,45740,,,'')&lt;/Q&gt;&lt;R&gt;1&lt;/R&gt;&lt;C&gt;1&lt;/C&gt;&lt;D xsi:type="xsd:double"&gt;8354&lt;/D&gt;&lt;/FQL&gt;&lt;FQL&gt;&lt;Q&gt;Ticker0024^FE_ESTIMATE(EPS,MEAN,ANNUAL_ROLL,2030,45740,,,'')&lt;/Q&gt;&lt;R&gt;0&lt;/R&gt;&lt;C&gt;0&lt;/C&gt;&lt;/FQL&gt;&lt;FQL&gt;&lt;Q&gt;Ticker0024^FE_ESTIMATE(EPS,MEAN,QUARTERLY_ROLL,2030/4F,45740,,,'')&lt;/Q&gt;&lt;R&gt;0&lt;/R&gt;&lt;C&gt;0&lt;/C&gt;&lt;/FQL&gt;&lt;FQL&gt;&lt;Q&gt;Ticker0024^FE_ESTIMATE(EPS,MEAN,QUARTERLY_ROLL,2030/3F,45740,,,'')&lt;/Q&gt;&lt;R&gt;0&lt;/R&gt;&lt;C&gt;0&lt;/C&gt;&lt;/FQL&gt;&lt;FQL&gt;&lt;Q&gt;Ticker0024^FE_ESTIMATE(EPS,MEAN,QUARTERLY_ROLL,2030/2F,45740,,,'')&lt;/Q&gt;&lt;R&gt;0&lt;/R&gt;&lt;C&gt;0&lt;/C&gt;&lt;/FQL&gt;&lt;FQL&gt;&lt;Q&gt;Ticker0024^FE_ESTIMATE(EPS,MEAN,QUARTERLY_ROLL,2030/1F,45740,,,'')&lt;/Q&gt;&lt;R&gt;0&lt;/R&gt;&lt;C&gt;0&lt;/C&gt;&lt;/FQL&gt;&lt;FQL&gt;&lt;Q&gt;Ticker0024^FE_ESTIMATE(EPS,MEAN,ANNUAL_ROLL,2029,45740,,,'')&lt;/Q&gt;&lt;R&gt;1&lt;/R&gt;&lt;C&gt;1&lt;/C&gt;&lt;D xsi:type="xsd:double"&gt;23.3&lt;/D&gt;&lt;/FQL&gt;&lt;FQL&gt;&lt;Q&gt;Ticker0024^FE_ESTIMATE(EPS,MEAN,QUARTERLY_ROLL,2029/4F,45740,,,'')&lt;/Q&gt;&lt;R&gt;0&lt;/R&gt;&lt;C&gt;0&lt;/C&gt;&lt;/FQL&gt;&lt;FQL&gt;&lt;Q&gt;Company1745</t>
        </r>
      </text>
    </comment>
    <comment ref="A23" authorId="0" shapeId="0" xr:uid="{3E8A5253-53D7-4717-A762-EF304502A3C1}">
      <text>
        <r>
          <rPr>
            <b/>
            <sz val="9"/>
            <color indexed="81"/>
            <rFont val="Tahoma"/>
            <family val="2"/>
          </rPr>
          <t>T^FE_ESTIMATE(EPS,MEAN,QUARTERLY_ROLL,2029/3F,45740,,,'')&lt;/Q&gt;&lt;R&gt;0&lt;/R&gt;&lt;C&gt;0&lt;/C&gt;&lt;/FQL&gt;&lt;FQL&gt;&lt;Q&gt;Ticker0024^FE_ESTIMATE(EPS,MEAN,QUARTERLY_ROLL,2029/2F,45740,,,'')&lt;/Q&gt;&lt;R&gt;0&lt;/R&gt;&lt;C&gt;0&lt;/C&gt;&lt;/FQL&gt;&lt;FQL&gt;&lt;Q&gt;Ticker0024^FE_ESTIMATE(EPS,MEAN,QUARTERLY_ROLL,2029/1F,45740,,,'')&lt;/Q&gt;&lt;R&gt;0&lt;/R&gt;&lt;C&gt;0&lt;/C&gt;&lt;/FQL&gt;&lt;FQL&gt;&lt;Q&gt;Ticker0024^FE_ESTIMATE(EPS,MEAN,ANNUAL_ROLL,2028,45740,,,'')&lt;/Q&gt;&lt;R&gt;1&lt;/R&gt;&lt;C&gt;1&lt;/C&gt;&lt;D xsi:type="xsd:double"&gt;20.057943&lt;/D&gt;&lt;/FQL&gt;&lt;FQL&gt;&lt;Q&gt;Ticker0024^FE_ESTIMATE(EPS,MEAN,QUARTERLY_ROLL,2028/4F,45740,,,'')&lt;/Q&gt;&lt;R&gt;0&lt;/R&gt;&lt;C&gt;0&lt;/C&gt;&lt;/FQL&gt;&lt;FQL&gt;&lt;Q&gt;Ticker0024^FE_ESTIMATE(EPS,MEAN,QUARTERLY_ROLL,2028/3F,45740,,,'')&lt;/Q&gt;&lt;R&gt;0&lt;/R&gt;&lt;C&gt;0&lt;/C&gt;&lt;/FQL&gt;&lt;FQL&gt;&lt;Q&gt;Ticker0024^FE_ESTIMATE(EPS,MEAN,QUARTERLY_ROLL,2028/2F,45740,,,'')&lt;/Q&gt;&lt;R&gt;0&lt;/R&gt;&lt;C&gt;0&lt;/C&gt;&lt;/FQL&gt;&lt;FQL&gt;&lt;Q&gt;Ticker0024^FE_ESTIMATE(EPS,MEAN,QUARTERLY_ROLL,2028/1F,45740,,,'')&lt;/Q&gt;&lt;R&gt;0&lt;/R&gt;&lt;C&gt;0&lt;/C&gt;&lt;/FQL&gt;&lt;FQL&gt;&lt;Q&gt;Ticker0024^FE_ESTIMATE(EPS,MEAN,ANNUAL_ROLL,2027,45740,,,'')&lt;/Q&gt;&lt;R&gt;1&lt;/R&gt;&lt;C&gt;1&lt;/C&gt;&lt;D xsi:type="xsd:double"&gt;17.66991&lt;/D&gt;&lt;/FQL&gt;&lt;FQL&gt;&lt;Q&gt;Ticker0024^FE_ESTIMATE(EPS,MEAN,QUARTERLY_ROLL,2027/4F,45740,,,'')&lt;/Q&gt;&lt;R&gt;1&lt;/R&gt;&lt;C&gt;1&lt;/C&gt;&lt;D xsi:type="xsd:double"&gt;4.602154&lt;/D&gt;&lt;/FQL&gt;&lt;FQL&gt;&lt;Q&gt;Ticker0024^FE_ESTIMATE(EPS,MEAN,QUARTERLY_ROLL,2027/3F,45740,,,'')&lt;/Q&gt;&lt;R&gt;1&lt;/R&gt;&lt;C&gt;1&lt;/C&gt;&lt;D xsi:type="xsd:double"&gt;4.3125997&lt;/D&gt;&lt;/FQL&gt;&lt;FQL&gt;&lt;Q&gt;Ticker0024^FE_ESTIMATE(EPS,MEAN,QUARTERLY_ROLL,2027/2F,45740,,,'')&lt;/Q&gt;&lt;R&gt;1&lt;/R&gt;&lt;C&gt;1&lt;/C&gt;&lt;D xsi:type="xsd:double"&gt;4.3585835&lt;/D&gt;&lt;/FQL&gt;&lt;FQL&gt;&lt;Q&gt;Ticker0024^FE_ESTIMATE(EPS,MEAN,QUARTERLY_ROLL,2027/1F,45740,,,'')&lt;/Q&gt;&lt;R&gt;1&lt;/R&gt;&lt;C&gt;1&lt;/C&gt;&lt;D xsi:type="xsd:double"&gt;4.1449976&lt;/D&gt;&lt;/FQL&gt;&lt;FQL&gt;&lt;Q&gt;Ticker0024^FE_ESTIMATE(EPS,MEAN,ANNUAL_ROLL,2026,45740,,,'')&lt;/Q&gt;&lt;R&gt;1&lt;/R&gt;&lt;C&gt;1&lt;/C&gt;&lt;D xsi:type="xsd:double"&gt;14.952208&lt;/D&gt;&lt;/FQL&gt;&lt;FQL&gt;&lt;Q&gt;Ticker0024^FE_ESTIMATE(EPS,MEAN,QUARTERLY_ROLL,2026/4F,45740,,,'')&lt;/Q&gt;&lt;R&gt;1&lt;/R&gt;&lt;C&gt;1&lt;/C&gt;&lt;D xsi:type="xsd:double"&gt;3.8653765&lt;/D&gt;&lt;/FQL&gt;&lt;FQL&gt;&lt;Q&gt;Ticker0024^FE_ESTIMATE(EPS,MEAN,QUARTERLY_ROLL,2026/3F,45740,,,'')&lt;/Q&gt;&lt;R&gt;1&lt;/R&gt;&lt;C&gt;1&lt;/C&gt;&lt;D xsi:type="xsd:double"&gt;3.6544564&lt;/D&gt;&lt;/FQL&gt;&lt;FQL&gt;&lt;Q&gt;Ticker0024^FE_ESTIMATE(EPS,MEAN,QUARTERLY_ROLL,2026/2F,45740,,,'')&lt;/Q&gt;&lt;R&gt;1&lt;/R&gt;&lt;C&gt;1&lt;/C&gt;&lt;D xsi:type="xsd:double"&gt;3.719088&lt;/D&gt;&lt;/FQL&gt;&lt;FQL&gt;&lt;Q&gt;Ticker0024^FE_ESTIMATE(EPS,MEAN,QUARTERLY_ROLL,2026/1F,45740,,,'')&lt;/Q&gt;&lt;R&gt;1&lt;/R&gt;&lt;C&gt;1&lt;/C&gt;&lt;D xsi:type="xsd:double"&gt;3.5544353&lt;/D&gt;&lt;/FQL&gt;&lt;FQL&gt;&lt;Q&gt;Ticker0024^FE_ESTIMATE(EPS,MEAN,ANNUAL_ROLL,2025,45740,,,'')&lt;/Q&gt;&lt;R&gt;1&lt;/R&gt;&lt;C&gt;1&lt;/C&gt;&lt;D xsi:type="xsd:double"&gt;13.15488&lt;/D&gt;&lt;/FQL&gt;&lt;FQL&gt;&lt;Q&gt;Ticker0024^FE_ESTIMATE(EPS,MEAN,QUARTERLY_ROLL,2025/4F,45740,,,'')&lt;/Q&gt;&lt;R&gt;1&lt;/R&gt;&lt;C&gt;1&lt;/C&gt;&lt;D xsi:type="xsd:double"&gt;3.3433313&lt;/D&gt;&lt;/FQL&gt;&lt;FQL&gt;&lt;Q&gt;Ticker0024^FE_ESTIMATE(EPS,MEAN,QUARTERLY_ROLL,2025/3F,45740,,,'')&lt;/Q&gt;&lt;R&gt;1&lt;/R&gt;&lt;C&gt;1&lt;/C&gt;&lt;D xsi:type="xsd:double"&gt;3.229622&lt;/D&gt;&lt;/FQL&gt;&lt;FQL&gt;&lt;Q&gt;Ticker0024^FE_ESTIMATE(EPS,MEAN,QUARTERLY_ROLL,2025/2F,45740,,,'')&lt;/Q&gt;&lt;R&gt;1&lt;/R&gt;&lt;C&gt;1&lt;/C&gt;&lt;D xsi:type="xsd:double"&gt;3.23&lt;/D&gt;&lt;/FQL&gt;&lt;FQL&gt;&lt;Q&gt;Ticker0024^FE_ESTIMATE(EPS,MEAN,QUARTERLY_ROLL,2025/1F,45740,,,'')&lt;/Q&gt;&lt;R&gt;1&lt;/R&gt;&lt;C&gt;1&lt;/C&gt;&lt;D xsi:type="xsd:double"&gt;3.3&lt;/D&gt;&lt;/FQL&gt;&lt;FQL&gt;&lt;Q&gt;Ticker0024^FE_ESTIMATE(EPS,MEAN,ANNUAL_ROLL,2024,45740,,,'')&lt;/Q&gt;&lt;R&gt;1&lt;/R&gt;&lt;C&gt;1&lt;/C&gt;&lt;D xsi:type="xsd:double"&gt;11.8&lt;/D&gt;&lt;/FQL&gt;&lt;FQL&gt;&lt;Q&gt;Ticker0024^FE_ESTIMATE(EPS,MEAN,QUARTERLY_ROLL,2024/4F,45740,,,'')&lt;/Q&gt;&lt;R&gt;1&lt;/R&gt;&lt;C&gt;1&lt;/C&gt;&lt;D xsi:type="xsd:double"&gt;2.95&lt;/D&gt;&lt;/FQL&gt;&lt;FQL&gt;&lt;Q&gt;Ticker0024^FE_ESTIMATE(EPS,MEAN,QUARTERLY_ROLL,2024/3F,45740,,,'')&lt;/Q&gt;&lt;R&gt;1&lt;/R&gt;&lt;C&gt;1&lt;/C&gt;&lt;D xsi:type="xsd:double"&gt;2.94&lt;/D&gt;&lt;/FQL&gt;&lt;FQL&gt;&lt;Q&gt;Ticker0024^FE_ESTIMATE(EPS,MEAN,QUARTERLY_ROLL,2024/2F,45740,,,'')&lt;/Q&gt;&lt;R&gt;1&lt;/R&gt;&lt;C&gt;1&lt;/C&gt;&lt;D xsi:type="xsd:double"&gt;2.93&lt;/D&gt;&lt;/FQL&gt;&lt;FQL&gt;&lt;Q&gt;Ticker0024^FE_ESTIMATE(EPS,MEAN,QUARTERLY_ROLL,2024/1F,45740,,,'')&lt;/Q&gt;&lt;R&gt;1&lt;/R&gt;&lt;C&gt;1&lt;/C&gt;&lt;D xsi:type="xsd:double"&gt;2.99&lt;/D&gt;&lt;/FQL&gt;&lt;FQL&gt;&lt;Q&gt;Ticker0024^FE_ESTIMATE(EPS,MEAN,ANNUAL_ROLL,2023,45740,,,'')&lt;/Q&gt;&lt;R&gt;1&lt;/R&gt;&lt;C&gt;1&lt;/C&gt;&lt;D xsi:type="xsd:double"&gt;9.81&lt;/D&gt;&lt;/FQL&gt;&lt;FQL&gt;&lt;Q&gt;Ticker0024^FE_ESTIMATE(EPS,MEAN,QUARTERLY_ROLL,2023/4F,45740,,,'')&lt;/Q&gt;&lt;R&gt;1&lt;/R&gt;&lt;C&gt;1&lt;/C&gt;&lt;D xsi:type="xsd:double"&gt;2.69&lt;/D&gt;&lt;/FQL&gt;&lt;FQL&gt;&lt;Q&gt;Ticker0024^FE_ESTIMATE(EPS,MEAN,QUARTERLY_ROLL,2023/3F,45740,,,'')&lt;/Q&gt;&lt;R&gt;1&lt;/R&gt;&lt;C&gt;1&lt;/C&gt;&lt;D xsi:type="xsd:double"&gt;2.45&lt;/D&gt;&lt;/FQL&gt;&lt;FQL&gt;&lt;Q&gt;Ticker0024^FE_ESTIMATE(EPS,MEAN,QUARTERLY_ROLL,2023/2F,45740,,,'')&lt;/Q&gt;&lt;R&gt;1&lt;/R&gt;&lt;C&gt;1&lt;/C&gt;&lt;D xsi:type="xsd:double"&gt;2.32&lt;/D&gt;&lt;/FQL&gt;&lt;FQL&gt;&lt;Q&gt;Ticker0024^FE_ESTIMATE(EPS,MEAN,QUARTERLY_ROLL,2023/1F,45740,,,'')&lt;/Q&gt;&lt;R&gt;1&lt;/R&gt;&lt;C&gt;1&lt;/C&gt;&lt;D xsi:type="xsd:double"&gt;2.35&lt;/D&gt;&lt;/FQL&gt;&lt;FQL&gt;&lt;Q&gt;Ticker0024^FE_ESTIMATE(EPS,MEAN,ANNUAL_ROLL,2022,45740,,,'')&lt;/Q&gt;&lt;R&gt;1&lt;/R&gt;&lt;C&gt;1&lt;/C&gt;&lt;D xsi:type="xsd:double"&gt;9.21&lt;/D&gt;&lt;/FQL&gt;&lt;FQL&gt;&lt;Q&gt;Ticker0024^FE_ESTIMATE(EPS,MEAN,QUARTERLY_ROLL,2022/4F,45740,,,'')&lt;/Q&gt;&lt;R&gt;1&lt;/R&gt;&lt;C&gt;1&lt;/C&gt;&lt;D xsi:type="xsd:double"&gt;2.23&lt;/D&gt;&lt;/FQL&gt;&lt;FQL&gt;&lt;Q&gt;Ticker0024^FE_ESTIMATE(EPS,MEAN,QUARTERLY_ROLL,2022/3F,45740,,,'')&lt;/Q&gt;&lt;R&gt;1&lt;/R&gt;&lt;C&gt;1&lt;/C&gt;&lt;D xsi:type="xsd:double"&gt;2.22&lt;/D&gt;&lt;/FQL&gt;&lt;FQL&gt;&lt;Q&gt;Ticker0024^FE_ESTIMATE(EPS,MEAN,QUARTERLY_ROLL,2022/2F,45740,,,'')&lt;/Q&gt;&lt;R&gt;1&lt;/R&gt;&lt;C&gt;1&lt;/C&gt;&lt;D xsi:type="xsd:double"&gt;2.48&lt;/D&gt;&lt;/FQL&gt;&lt;FQL&gt;&lt;Q&gt;Ticker0024^FE_ESTIMATE(EPS,MEAN,QUARTERLY_ROLL,2022/1F,45740,,,'')&lt;/Q&gt;&lt;R&gt;1&lt;/R&gt;&lt;C&gt;1&lt;/C&gt;&lt;D xsi:type="xsd:double"&gt;2.27&lt;/D&gt;&lt;/FQL&gt;&lt;FQL&gt;&lt;Q&gt;Ticker0024^FE_ESTIMATE(EPS,MEAN,ANNUAL_ROLL,2021,45740,,,'')&lt;/Q&gt;&lt;R&gt;1&lt;/R&gt;&lt;C&gt;1&lt;/C&gt;&lt;D xsi:type="xsd:double"&gt;7.97&lt;/D&gt;&lt;/FQL&gt;&lt;FQL&gt;&lt;Q&gt;Ticker0024^FE_ESTIMATE(EPS,MEAN,QUARTERLY_ROLL,2021/4F,45740,,,'')&lt;/Q&gt;&lt;R&gt;1&lt;/R&gt;&lt;C&gt;1&lt;/C&gt;&lt;D xsi:type="xsd:double"&gt;2.17&lt;/D&gt;&lt;/FQL&gt;&lt;FQL&gt;&lt;Q&gt;Ticker0024^FE_ESTIMATE(EPS,MEAN,QUARTERLY_ROLL,2021/3F,45740,,,'')&lt;/Q&gt;&lt;R&gt;1&lt;/R&gt;&lt;C&gt;1&lt;/C&gt;&lt;D xsi:type="xsd:double"&gt;1.95&lt;/D&gt;&lt;/FQL&gt;&lt;FQL&gt;&lt;Q&gt;Ticker0024^FE_ESTIMATE(EPS,MEAN,QUARTERLY_ROLL,2021/2F,45740,,,'')&lt;/Q&gt;&lt;R&gt;1&lt;/R&gt;&lt;C&gt;1&lt;/C&gt;&lt;D xsi:type="xsd:double"&gt;2.03&lt;/D&gt;&lt;/FQL&gt;&lt;FQL&gt;&lt;Q&gt;Ticker0024^FE_ESTIMATE(EPS,MEAN,QUARTERLY_ROLL,2021/1F,45740,,,'')&lt;/Q&gt;&lt;R&gt;1&lt;/R&gt;&lt;C&gt;1&lt;/C&gt;&lt;D xsi:type="xsd:double"&gt;1.82&lt;/D&gt;&lt;/FQL&gt;&lt;FQL&gt;&lt;Q&gt;Ticker0024^FE_ESTIMATE(EPS,MEAN,ANNUAL_ROLL,2020,45740,,,'')&lt;/Q&gt;&lt;R&gt;1&lt;/R&gt;&lt;C&gt;1&lt;/C&gt;&lt;D xsi:type="xsd:double"&gt;5.76&lt;/D&gt;&lt;/FQL&gt;&lt;FQL&gt;&lt;Q&gt;Ticker0024^FE_ESTIMATE(EPS,MEAN,QUARTERLY_ROLL,2020/4F,45740,,,'')&lt;/Q&gt;&lt;R&gt;1&lt;/R&gt;&lt;C&gt;1&lt;/C&gt;&lt;D xsi:type="xsd:double"&gt;1.46&lt;/D&gt;&lt;/FQL&gt;&lt;FQL&gt;&lt;Q&gt;Ticker0024^FE_ESTIMATE(EPS,MEAN,QUARTERLY_ROLL,2020/3F,45740,,,'')&lt;/Q&gt;&lt;R&gt;1&lt;/R&gt;&lt;C&gt;1&lt;/C&gt;&lt;D xsi:type="xsd:double"&gt;1.4&lt;/D&gt;&lt;/FQL&gt;&lt;FQL&gt;&lt;Q&gt;Ticker0024^FE_ESTIMATE(EPS,MEAN,QUARTERLY_ROLL,2020/2F,45740,,,'')&lt;/Q&gt;&lt;R&gt;1&lt;/R&gt;&lt;C&gt;1&lt;/C&gt;&lt;D xsi:type="xsd:double"&gt;1.51&lt;/D&gt;&lt;/FQL&gt;&lt;FQL&gt;&lt;Q&gt;Ticker0024^FE_ESTIMATE(EPS,MEAN,QUARTERLY_ROLL,2020/1F,45740,,,'')&lt;/Q&gt;&lt;R&gt;1&lt;/R&gt;&lt;C&gt;1&lt;/C&gt;&lt;D xsi:type="xsd:double"&gt;1.38&lt;/D&gt;&lt;/FQL&gt;&lt;FQL&gt;&lt;Q&gt;Ticker0024^FE_ESTIMATE(EPS,MEAN,ANNUAL_ROLL,2019,45740,,,'')&lt;/Q&gt;&lt;R&gt;1&lt;/R&gt;&lt;C&gt;1&lt;/C&gt;&lt;D xsi:type="xsd:double"&gt;4.75&lt;/D&gt;&lt;/FQL&gt;&lt;FQL&gt;&lt;Q&gt;Ticker0024^FE_ESTIMATE(EPS,MEAN,QUARTERLY_ROLL,2019/4F,45740,,,'')&lt;/Q&gt;&lt;R&gt;1&lt;/R&gt;&lt;C&gt;1&lt;/C&gt;&lt;D xsi:type="xsd:double"&gt;1.37&lt;/D&gt;&lt;/FQL&gt;&lt;FQL&gt;&lt;Q&gt;Ticker0024^FE_ESTIMATE(EPS,MEAN,QUARTERLY_ROLL,2019/3F,45740,,,'')&lt;/Q&gt;&lt;R&gt;1&lt;/R&gt;&lt;C&gt;1&lt;/C&gt;&lt;D xsi:type="xsd:double"&gt;1.14&lt;/D&gt;&lt;/FQL&gt;&lt;FQL&gt;&lt;Q&gt;Ticker0024^FE_ESTIMATE(EPS,MEAN,QUARTERLY_ROLL,2019/2F,45740,,,'')&lt;/Q&gt;&lt;R&gt;1&lt;/R&gt;&lt;C&gt;1&lt;/C&gt;&lt;D xsi:type="xsd:double"&gt;1.1&lt;/D&gt;&lt;/FQL&gt;&lt;FQL&gt;&lt;Q&gt;Ticker0024^FE_ESTIMATE(EPS,MEAN,QUARTERLY_ROLL,2019/1F,45740,,,'')&lt;/Q&gt;&lt;R&gt;1&lt;/R&gt;&lt;C&gt;1&lt;/C&gt;&lt;D xsi:type="xsd:double"&gt;1.14&lt;/D&gt;&lt;/FQL&gt;&lt;FQL&gt;&lt;Q&gt;Ticker0024^FE_ESTIMATE(EPS,MEAN,ANNUAL_ROLL,2018,45740,,,'')&lt;/Q&gt;&lt;R&gt;1&lt;/R&gt;&lt;C&gt;1&lt;/C&gt;&lt;D xsi:type="xsd:double"&gt;3.88&lt;/D&gt;&lt;/FQL&gt;&lt;FQL&gt;&lt;Q&gt;Ticker0024^FE_ESTIMATE(EPS,MEAN,QUARTERLY_ROLL,2018/4F,45740,,,'')&lt;/Q&gt;&lt;R&gt;1&lt;/R&gt;&lt;C&gt;1&lt;/C&gt;&lt;D xsi:type="xsd:double"&gt;1.13&lt;/D&gt;&lt;/FQL&gt;&lt;FQL&gt;&lt;Q&gt;Ticker0024^FE_ESTIMATE(EPS,MEAN,QUARTERLY_ROLL,2018/3F,45740,,,'')&lt;/Q&gt;&lt;R&gt;1&lt;/R&gt;&lt;C&gt;1&lt;/C&gt;&lt;D xsi:type="xsd:double"&gt;0.95&lt;/D&gt;&lt;/FQL&gt;&lt;FQL&gt;&lt;Q&gt;Ticker0024^FE_ESTIMATE(EPS,MEAN,QUARTERLY_ROLL,2018/2F,45740,,,'')&lt;/Q&gt;&lt;R&gt;1&lt;/R&gt;&lt;C&gt;1&lt;/C&gt;&lt;D xsi:type="xsd:double"&gt;0.96&lt;/D&gt;&lt;/FQL&gt;&lt;FQL&gt;&lt;Q&gt;Ticker0024^FE_ESTIMATE(EPS,MEAN,QUARTERLY_ROLL,2018/1F,45740,,,'')&lt;/Q&gt;&lt;R&gt;1&lt;/R&gt;&lt;C&gt;1&lt;/C&gt;&lt;D xsi:type="xsd:double"&gt;0.84&lt;/D&gt;&lt;/FQL&gt;&lt;FQL&gt;&lt;Q&gt;Ticker0024^FE_ESTIMATE(EPS,MEAN,ANNUAL_ROLL,2017,45740,,,'')&lt;/Q&gt;&lt;R&gt;1&lt;/R&gt;&lt;C&gt;1&lt;/C&gt;&lt;D xsi:type="xsd:double"&gt;3.31&lt;/D&gt;&lt;/FQL&gt;&lt;FQL&gt;&lt;Q&gt;Ticker0024^FE_ESTIMATE(EPS,MEAN,QUARTERLY_ROLL,2017/4F,45740,,,'')&lt;/Q&gt;&lt;R&gt;1&lt;/R&gt;&lt;C&gt;1&lt;/C&gt;&lt;D xsi:type="xsd:double"&gt;0.98&lt;/D&gt;&lt;/FQL&gt;&lt;FQL&gt;&lt;Q&gt;Ticker0024^FE_ESTIMATE(EPS,MEAN,QUARTERLY_ROLL,2017/3F,45740,,,'')&lt;/Q&gt;&lt;R&gt;1&lt;/R&gt;&lt;C&gt;1&lt;/C&gt;&lt;D xsi:type="xsd:double"&gt;0.73&lt;/D&gt;&lt;/FQL&gt;&lt;FQL&gt;&lt;Q&gt;Ticker0024^FE_ESTIMATE(EPS,MEAN,QUARTERLY_ROLL,2017/2F,45740,,,'')&lt;/Q&gt;&lt;R&gt;1&lt;/R&gt;&lt;C&gt;1&lt;/C&gt;&lt;D xsi:type="xsd:double"&gt;0.83&lt;/D&gt;&lt;/FQL&gt;&lt;FQL&gt;&lt;Q&gt;Ticker0024^FE_ESTIMATE(EPS,MEAN,QUARTERLY_ROLL,2017/1F,45740,,,'')&lt;/Q&gt;&lt;R&gt;1&lt;/R&gt;&lt;C&gt;1&lt;/C&gt;&lt;D xsi:type="xsd:double"&gt;0.76&lt;/D&gt;&lt;/FQL&gt;&lt;FQL&gt;&lt;Q&gt;Ticker0024^FE_ESTIMATE(EPS,MEAN,ANNUAL_ROLL,2016,45740,,,'')&lt;/Q&gt;&lt;R&gt;1&lt;/R&gt;&lt;C&gt;1&lt;/C&gt;&lt;D xsi:type="xsd:double"&gt;2.79&lt;/D&gt;&lt;/FQL&gt;&lt;FQL&gt;&lt;Q&gt;Ticker0024^FE_ESTIMATE(EPS,MEAN,QUARTERLY_ROLL,2016/4F,45740,,,'')&lt;/Q&gt;&lt;R&gt;1&lt;/R&gt;&lt;C&gt;1&lt;/C&gt;&lt;D xsi:type="xsd:double"&gt;0.69&lt;/D&gt;&lt;/FQL&gt;&lt;FQL&gt;&lt;Q&gt;Ticker0024^FE_ESTIMATE(EPS,MEAN,QUARTERLY_ROLL,2016/3F,45740,,,'')&lt;/Q&gt;&lt;R&gt;1&lt;/R&gt;&lt;C&gt;1&lt;/C&gt;&lt;D xsi:type="xsd:double"&gt;0.62&lt;/D&gt;&lt;/FQL&gt;&lt;FQL&gt;&lt;Q&gt;Ticker0024^FE_ESTIMATE(EPS,MEAN,QUARTERLY_ROLL,2016/2F,45740,,,'')&lt;/Q&gt;&lt;R&gt;1&lt;/R&gt;&lt;C&gt;1&lt;/C&gt;&lt;D xsi:type="xsd:double"&gt;0.78&lt;/D&gt;&lt;/FQL&gt;&lt;FQL&gt;&lt;Q&gt;Ticker0024^FE_ESTIMATE(EPS,MEAN,QUARTERLY_ROLL,2016/1F,45740,,,'')&lt;/Q&gt;&lt;R&gt;1&lt;/R&gt;&lt;C&gt;1&lt;/C&gt;&lt;D xsi:type="xsd:double"&gt;0.67&lt;/D&gt;&lt;/FQL&gt;&lt;FQL&gt;&lt;Q&gt;Ticker0024^FE_ESTIMATE(EPS,MEAN,ANNUAL_ROLL,2015,45740,,,'')&lt;/Q&gt;&lt;R&gt;1&lt;/R&gt;&lt;C&gt;1&lt;/C&gt;&lt;D xsi:type="xsd:double"&gt;2.63&lt;/D&gt;&lt;/FQL&gt;&lt;FQL&gt;&lt;Q&gt;Ticker0024^FE_ESTIMATE(EPS,MEAN,QUARTERLY_ROLL,2015/4F,45740,,,'')&lt;/Q&gt;&lt;R&gt;1&lt;/R&gt;&lt;C&gt;1&lt;/C&gt;&lt;D xsi:type="xsd:double"&gt;0.62&lt;/D&gt;&lt;/FQL&gt;&lt;FQL&gt;&lt;Q&gt;Ticker0024^FE_ESTIMATE(EPS,MEAN,QUARTERLY_ROLL,2015/3F,45740,,,'')&lt;/Q&gt;&lt;R&gt;1&lt;/R&gt;&lt;C&gt;1&lt;/C&gt;&lt;D xsi:type="xsd:double"&gt;0.61&lt;/D&gt;&lt;/FQL&gt;&lt;FQL&gt;&lt;Q&gt;Ticker0024^FE_ESTIMATE(EPS,MEAN,QUARTERLY_ROLL,2015/2F,45740,,,'')&lt;/Q&gt;&lt;R&gt;1&lt;/R&gt;&lt;C&gt;1&lt;/C&gt;&lt;D xsi:type="xsd:double"&gt;0.71&lt;/D&gt;&lt;/FQL&gt;&lt;FQL&gt;&lt;Q&gt;Ticker0024^FE_ESTIMATE(EPS,MEAN,QUARTERLY_ROLL,2015/1F,45740,,,'')&lt;/Q&gt;&lt;R&gt;1&lt;/R&gt;&lt;C&gt;1&lt;/C&gt;&lt;D xsi:type="xsd:double"&gt;0.54&lt;/D&gt;&lt;/FQL&gt;&lt;FQL&gt;&lt;Q&gt;Ticker0024^FE_ESTIMATE(EAG,MEAN,ANNUAL_ROLL,2030,45740,,,'')&lt;/Q&gt;&lt;R&gt;0&lt;/R&gt;&lt;C&gt;0&lt;/C&gt;&lt;/FQL&gt;&lt;FQL&gt;&lt;Q&gt;Ticker0024^FE_ESTIMATE(EAG,MEAN,QUARTERLY_ROLL,2030/4F,45740,,,'')&lt;/Q&gt;&lt;R&gt;0&lt;/R&gt;&lt;C&gt;0&lt;/C&gt;&lt;/FQL&gt;&lt;FQL&gt;&lt;Q&gt;Ticker0024^FE_ESTIMATE(EAG,MEAN,QUARTERLY_ROLL,2030/3F,45740,,,'')&lt;/Q&gt;&lt;R&gt;0&lt;/R&gt;&lt;C&gt;0&lt;/C&gt;&lt;/FQL&gt;&lt;FQL&gt;&lt;Q&gt;Ticker0024^FE_ESTIMATE(EAG,MEAN,QUARTERLY_ROLL,2030/2F,45740,,,'')&lt;/Q&gt;&lt;R&gt;0&lt;/R&gt;&lt;C&gt;0&lt;/C&gt;&lt;/FQL&gt;&lt;FQL&gt;&lt;Q&gt;Ticker0024^FE_ESTIMATE(EAG,MEAN,QUARTERLY_ROLL,2030/1F,45740,,,'')&lt;/Q&gt;&lt;R&gt;0&lt;/R&gt;&lt;C&gt;0&lt;/C&gt;&lt;/FQL&gt;&lt;FQL&gt;&lt;Q&gt;Ticker0024^FE_ESTIMATE(EAG,MEAN,ANNUAL_ROLL,2029,45740,,,'')&lt;/Q&gt;&lt;R&gt;0&lt;/R&gt;&lt;C&gt;0&lt;/C&gt;&lt;/FQL&gt;&lt;FQL&gt;&lt;Q&gt;Ticker0024^FE_ESTIMATE(EAG,MEAN,QUARTERLY_ROLL,2029/4F,45740,,,'')&lt;/Q&gt;&lt;R&gt;0&lt;/R&gt;&lt;C&gt;0&lt;/C&gt;&lt;/FQL&gt;&lt;FQL&gt;&lt;Q&gt;Ticker0024^FE_ESTIMATE(EAG,MEAN,QUARTERLY_ROLL,2029/3F,45740,,,'')&lt;/Q&gt;&lt;R&gt;0&lt;/R&gt;&lt;C&gt;0&lt;/C&gt;&lt;/FQL&gt;&lt;FQL&gt;&lt;Q&gt;Ticker0024^FE_ESTIMATE(EAG,MEAN,QUARTERLY_ROLL,2029/2F,45740,,,'')&lt;/Q&gt;&lt;R&gt;0&lt;/R&gt;&lt;C&gt;0&lt;/C&gt;&lt;/FQL&gt;&lt;FQL&gt;&lt;Q&gt;Ticker0024^FE_ESTIMATE(EAG,MEAN,QUARTERLY_ROLL,2029/1F,45740,,,'')&lt;/Q&gt;&lt;R&gt;0&lt;/R&gt;&lt;C&gt;0&lt;/C&gt;&lt;/FQL&gt;&lt;FQL&gt;&lt;Q&gt;Ticker0024^FE_ESTIMATE(EAG,MEAN,ANNUAL_ROLL,2028,45740,,,'')&lt;/Q&gt;&lt;R&gt;1&lt;/R&gt;&lt;C&gt;1&lt;/C&gt;&lt;D xsi:type="xsd:double"&gt;20.1915&lt;/D&gt;&lt;/FQL&gt;&lt;FQL&gt;&lt;Q&gt;Ticker0024^FE_ESTIMATE(EAG,MEAN,QUARTERLY_ROLL,2028/4F,45740,,,'')&lt;/Q&gt;&lt;R&gt;0&lt;/R&gt;&lt;C&gt;0&lt;/C&gt;&lt;/FQL&gt;&lt;FQL&gt;&lt;Q&gt;Ticker0024^FE_ESTIMATE(EAG,MEAN,QUARTERLY_ROLL,2028/3F,45740,,,'')&lt;/Q&gt;&lt;R&gt;0&lt;/R&gt;&lt;C&gt;0&lt;/C&gt;&lt;/FQL&gt;&lt;FQL&gt;&lt;Q&gt;Ticker0024^FE_ESTIMATE(EAG,MEAN,QUARTERLY_ROLL,2028/2F,45740,,,'')&lt;/Q&gt;&lt;R&gt;0&lt;/R&gt;&lt;C&gt;0&lt;/C&gt;&lt;/FQL&gt;&lt;FQL&gt;&lt;Q&gt;Ticker0024^FE_ESTIMATE(EAG,MEAN,QUARTERLY_ROLL,2028/1F,45740,,,'')&lt;/Q&gt;&lt;R&gt;0&lt;/R&gt;&lt;C&gt;0&lt;/C&gt;&lt;/FQL&gt;&lt;FQL&gt;&lt;Q&gt;Ticker0024^FE_ESTIMATE(EAG,MEAN,ANNUAL_ROLL,2027,45740,,,'')&lt;/Q&gt;&lt;R&gt;1&lt;/R&gt;&lt;C&gt;1&lt;/C&gt;&lt;D xsi:type="xsd:double"&gt;17.655266&lt;/D&gt;&lt;/FQL&gt;&lt;FQL&gt;&lt;Q&gt;Ticker0024^FE_ESTIMATE(EAG,MEAN,QUARTERLY_ROLL,2027/4F,45740,,,'')&lt;/Q&gt;&lt;R&gt;1&lt;/R&gt;&lt;C&gt;1&lt;/C&gt;&lt;D xsi:type="xsd:double"&gt;4.6626663&lt;/D&gt;&lt;/FQL&gt;&lt;FQL&gt;&lt;Q&gt;Ticker0024^FE_ESTIMATE(EAG,MEAN,QUARTERLY_ROLL,2027/3F,45740,,,'')&lt;/Q&gt;&lt;R&gt;1&lt;/R&gt;&lt;C&gt;1&lt;/C&gt;&lt;D xsi:type="xsd:double"&gt;4.321669&lt;/D&gt;&lt;/FQL&gt;&lt;FQL&gt;&lt;Q&gt;Ticker0024^FE_ESTIMATE(EAG,MEAN,QUARTERLY_ROLL,2027/2F,45740,,,'')&lt;/Q&gt;&lt;R&gt;1&lt;/R&gt;&lt;C&gt;1&lt;/C&gt;&lt;D xsi:type="xsd:double"&gt;4.3784666&lt;/D&gt;&lt;/FQL&gt;&lt;FQL&gt;&lt;Q&gt;Ticker0024^FE_ESTIMATE(EAG,MEAN,QUARTERLY_ROLL,2027/1F,45740,,,'')&lt;/Q&gt;&lt;R&gt;1&lt;/R&gt;&lt;C&gt;1&lt;/C&gt;&lt;D xsi:type="xsd:double"&gt;4.10875&lt;/D&gt;&lt;/FQL&gt;&lt;FQL&gt;&lt;Q&gt;Ticker0024^FE_ESTIMATE(EAG,MEAN,ANNUAL_ROLL,2026,45740,,,'')&lt;/Q&gt;&lt;R&gt;1&lt;/R&gt;&lt;C&gt;1&lt;/C&gt;&lt;D xsi:type="xsd:double"&gt;14.998783&lt;/D&gt;&lt;/FQL&gt;&lt;FQL&gt;&lt;Q&gt;Ticker0024^FE_ESTIMATE(EAG,MEAN,QUARTERLY_ROLL,2026/4F,45740,,,'')&lt;/Q&gt;&lt;R&gt;1&lt;/R&gt;&lt;C&gt;1&lt;/C&gt;&lt;D xsi:type="xsd:double"&gt;3.8559742&lt;/D&gt;&lt;/FQL&gt;&lt;FQL&gt;&lt;Q&gt;Ticker0024^FE_ESTIMATE(EAG,MEAN,QUARTERLY_ROLL,2026/3F,45740,,,'')&lt;/Q&gt;&lt;R&gt;1&lt;/R&gt;&lt;C&gt;1&lt;/C&gt;&lt;D xsi:type="xsd:double"&gt;3.6610148&lt;/D&gt;&lt;/FQL&gt;&lt;FQL&gt;&lt;Q&gt;Ticker0024^FE_ESTIMATE(EAG,MEAN,QUARTERLY_ROLL,2026/2F,45740,,,'')&lt;/Q&gt;&lt;R&gt;1&lt;/R&gt;&lt;C&gt;1&lt;/C&gt;&lt;D xsi:type="xsd:double"&gt;3.6991363&lt;/D&gt;&lt;/FQL&gt;&lt;FQL&gt;&lt;Q&gt;Ticker0024^FE_ESTIMATE(EAG,MEAN,QUARTERLY_ROLL,2026/1F,45740,,,'')&lt;/Q&gt;&lt;R&gt;1&lt;/R&gt;&lt;C&gt;1&lt;/C&gt;&lt;D xsi:type="xsd:double"&gt;3.5062456&lt;/D&gt;&lt;/FQL&gt;&lt;FQL&gt;&lt;Q&gt;Ticker0024^FE_ESTIMATE(EAG,MEAN,ANNUAL_ROLL,2025,45740,,,'')&lt;/Q&gt;&lt;R&gt;1&lt;/R&gt;&lt;C&gt;1&lt;/C&gt;&lt;D xsi:type="xsd:double"&gt;13.124786&lt;/D&gt;&lt;/FQL&gt;&lt;FQL&gt;&lt;Q&gt;Ticker0024^FE_ESTIMATE(EAG,MEAN,QUARTERLY_ROLL,2025/4F,45740,,,'')&lt;/Q&gt;&lt;R&gt;1&lt;/R&gt;&lt;C&gt;1&lt;/C&gt;&lt;D xsi:type="xsd:double"&gt;3.3164842&lt;/D&gt;&lt;/FQL&gt;&lt;FQL&gt;&lt;Q&gt;Ticker0024^FE_ESTIMATE(EAG,MEAN,QUARTERLY_ROLL,2025/3F,45740,,,'')&lt;/Q&gt;&lt;R&gt;1&lt;/R&gt;&lt;C&gt;1&lt;/C&gt;&lt;D xsi:type="xsd:double"&gt;3.2028952&lt;/D&gt;&lt;/FQL&gt;&lt;FQL&gt;&lt;Q&gt;Ticker0024^FE_ESTIMATE(EAG,MEAN,QUARTERLY_ROLL,2025/2F,45740,,,'')&lt;/Q&gt;&lt;R&gt;1&lt;/R&gt;&lt;C&gt;1&lt;/C&gt;&lt;D xsi:type="xsd:double"&gt;3.23&lt;/D&gt;&lt;/FQL&gt;&lt;FQL&gt;&lt;Q&gt;Ticker0024^FE_ESTIMATE(EAG,MEAN,QUARTERLY_ROLL,2025/1F,45740,,,'')&lt;/Q&gt;&lt;R&gt;1&lt;/R&gt;&lt;C&gt;1&lt;/C&gt;&lt;D xsi:type="xsd:double"&gt;3.3&lt;/D&gt;&lt;/FQL&gt;&lt;FQL&gt;&lt;Q&gt;Ticker0024^FE_ESTIMATE(EAG,MEAN,ANNUAL_ROLL,2024,45740,,,'')&lt;/Q&gt;&lt;R&gt;1&lt;/R&gt;&lt;C&gt;1&lt;/C&gt;&lt;D xsi:type="xsd:double"&gt;11.8&lt;/D&gt;&lt;/FQL&gt;&lt;FQL&gt;&lt;Q&gt;Ticker0024^FE_ESTIMATE(EAG,MEAN,QUARTERLY_ROLL,2024/4F,45740,,,'')&lt;/Q&gt;&lt;R&gt;1&lt;/R&gt;&lt;C&gt;1&lt;/C&gt;&lt;D xsi:type="xsd:double"&gt;2.95&lt;/D&gt;&lt;/FQL&gt;&lt;FQL&gt;&lt;Q&gt;Ticker0024^FE_ESTIMATE(EAG,MEAN,QUARTERLY_ROLL,2024/3F,45740,,,'')&lt;/Q&gt;&lt;R&gt;1&lt;/R&gt;&lt;C&gt;1&lt;/C&gt;&lt;D xsi:type="xsd:double"&gt;2.94&lt;/D&gt;&lt;/FQL&gt;&lt;FQL&gt;&lt;Q&gt;Ticker0024^FE_ESTIMATE(EAG,MEAN,QUARTERLY_ROLL,2024/2F,45740,,,'')&lt;/Q&gt;&lt;R&gt;1&lt;/R&gt;&lt;C&gt;1&lt;/C&gt;&lt;D xsi:type="xsd:double"&gt;2.93&lt;/D&gt;&lt;/FQL&gt;&lt;FQL&gt;&lt;Q&gt;Ticker0024^FE_ESTIMATE(EAG,MEAN,QUARTERLY_ROLL,2024/1F,45740,,,'')&lt;/Q&gt;&lt;R&gt;1&lt;/R&gt;&lt;C&gt;1&lt;/C&gt;&lt;D xsi:type="xsd:double"&gt;2.99&lt;/D&gt;&lt;/FQL&gt;&lt;FQL&gt;&lt;Q&gt;Ticker0024^FE_ESTIMATE(EAG,MEAN,ANNUAL_ROLL,2023,45740,,,'')&lt;/Q&gt;&lt;R&gt;1&lt;/R&gt;&lt;C&gt;1&lt;/C&gt;&lt;D xsi:type="xsd:double"&gt;9.68&lt;/D&gt;&lt;/FQL&gt;&lt;FQL&gt;&lt;Q&gt;Ticker0024^FE_ESTIMATE(EAG,MEAN,QUARTERLY_ROLL,2023/4F,45740,,,'')&lt;/Q&gt;&lt;R&gt;1&lt;/R&gt;&lt;C&gt;1&lt;/C&gt;&lt;D xsi:type="xsd:double"&gt;2.69&lt;/D&gt;&lt;/FQL&gt;&lt;FQL&gt;&lt;Q&gt;Ticker0024^FE_ESTIMATE(EAG,MEAN,QUARTERLY_ROLL,2023/3F,45740,,,'')&lt;/Q&gt;&lt;R&gt;1&lt;/R&gt;&lt;C&gt;1&lt;/C&gt;&lt;D xsi:type="xsd:double"&gt;2.4501362&lt;/D&gt;&lt;/FQL&gt;&lt;FQL&gt;&lt;Q&gt;Ticker0024^FE_ESTIMATE(EAG,MEAN,QUARTERLY_ROLL,2023/2F,45740,,,'')&lt;/Q&gt;&lt;R&gt;1&lt;/R&gt;&lt;C&gt;1&lt;/C&gt;&lt;D xsi:type="xsd:double"&gt;2.2&lt;/D&gt;&lt;/FQL&gt;&lt;FQL&gt;&lt;Q&gt;Ticker0024^FE_ESTIMATE(EAG,MEAN,QUARTERLY_ROLL,2023/1F,45740,,,'')&lt;/Q&gt;&lt;R&gt;1&lt;/R&gt;&lt;C&gt;1&lt;/C&gt;&lt;D xsi:type="xsd:double"&gt;2.35&lt;/D&gt;&lt;/FQL&gt;&lt;FQL&gt;&lt;Q&gt;Ticker0024^FE_ESTIMATE(EAG,MEAN,ANNUAL_ROLL,2022,45740,,,'')&lt;/Q&gt;&lt;R&gt;1&lt;/R&gt;&lt;C&gt;1&lt;/C&gt;&lt;D xsi:type="xsd:double"&gt;9.65&lt;/D&gt;&lt;/FQL&gt;&lt;FQL&gt;&lt;Q&gt;Ticker0024^FE_ESTIMATE(EAG,MEAN,QUARTERLY_ROLL,2022/4F,45740,,,'')&lt;/Q&gt;&lt;R&gt;1&lt;/R&gt;&lt;C&gt;1&lt;/C&gt;&lt;D xsi:type="xsd:double"&gt;2.23&lt;/D&gt;&lt;/FQL&gt;&lt;FQL&gt;&lt;Q&gt;Ticker0024^FE_ESTIMATE(EAG,MEAN,QUARTERLY_ROLL,2022/3F,45740,,,'')&lt;/Q&gt;&lt;R&gt;1&lt;/R&gt;&lt;C&gt;1&lt;/C&gt;&lt;D xsi:type="xsd:double"&gt;2.22&lt;/D&gt;&lt;/FQL&gt;&lt;FQL&gt;&lt;Q&gt;Ticker0024^FE_ESTIMATE(EAG,MEAN,QUARTERLY_ROLL,2022/2F,45740,,,'')&lt;/Q&gt;&lt;R&gt;1&lt;/R&gt;&lt;C&gt;1&lt;/C&gt;&lt;D xsi:type="xsd:double"&gt;2.48&lt;/D&gt;&lt;/FQL&gt;&lt;FQL&gt;&lt;Q&gt;Ticker0024^FE_ESTIMATE(EAG,MEAN,QUARTERLY_ROLL,2022/1F,45740,,,'')&lt;/Q&gt;&lt;R&gt;1&lt;/R&gt;&lt;C&gt;1&lt;/C&gt;&lt;D xsi:type="xsd:double"&gt;2.71&lt;/D&gt;&lt;/FQL&gt;&lt;FQL&gt;&lt;Q&gt;Ticker0024^FE_ESTIMATE(EAG,MEAN,ANNUAL_ROLL,2021,45740,,,'')&lt;/Q&gt;&lt;R&gt;1&lt;/R&gt;&lt;C&gt;1&lt;/C&gt;&lt;D xsi:type="xsd:double"&gt;8.05&lt;/D&gt;&lt;/FQL&gt;&lt;FQL&gt;&lt;Q&gt;Ticker0024^FE_ESTIMATE(EAG,MEAN,QUARTERLY_ROLL,2021/4F,45740,,,'')&lt;/Q&gt;&lt;R&gt;1&lt;/R&gt;&lt;C&gt;1&lt;/C&gt;&lt;D xsi:type="xsd:double"&gt;2.17&lt;/D&gt;&lt;/FQL&gt;&lt;FQL&gt;&lt;Q&gt;Ticker0024^FE_ESTIMATE(EAG,MEAN,QUARTERLY_ROLL,2021/3F,45740,,,'')&lt;/Q&gt;&lt;R&gt;1&lt;/R&gt;&lt;C&gt;1&lt;/C&gt;&lt;D xsi:type="xsd:double"&gt;2.03&lt;/D&gt;&lt;/FQL&gt;&lt;FQL&gt;&lt;Q&gt;Ticker0024^FE_ESTIMATE(EAG,MEAN,QUARTERLY_ROLL,2021/2F,45740,,,'')&lt;/Q&gt;&lt;R&gt;1&lt;/R&gt;&lt;C&gt;1&lt;/C&gt;&lt;D xsi:type="xsd:double"&gt;2.03&lt;/D&gt;&lt;/FQL&gt;&lt;FQL&gt;&lt;Q&gt;Ticker0024^FE_ESTIMATE(EAG,MEAN,QUARTERLY_ROLL,2021/1F,45740,,,'')&lt;/Q&gt;&lt;R&gt;1&lt;/R&gt;&lt;C&gt;1&lt;/C&gt;&lt;D xsi:type="xsd:double"&gt;1.82&lt;/D&gt;&lt;/FQL&gt;&lt;FQL&gt;&lt;Q&gt;Ticker0024^FE_ESTIMATE(EAG,MEAN,ANNUAL_ROLL,2020,45740,,,'')&lt;/Q&gt;&lt;R&gt;1&lt;/R&gt;&lt;C&gt;1&lt;/C&gt;&lt;D xsi:type="xsd:double"&gt;5.76&lt;/D&gt;&lt;/FQL&gt;&lt;FQL&gt;&lt;Q&gt;Ticker0024^FE_ESTIMATE(EAG,MEAN,QUARTERLY_ROLL,2020/4F,45740,,,'')&lt;/Q&gt;&lt;R&gt;1&lt;/R&gt;&lt;C&gt;1&lt;/C&gt;&lt;D xsi:type="xsd:double"&gt;1.46&lt;/D&gt;&lt;/FQL&gt;&lt;FQL&gt;&lt;Q&gt;Ticker0024^FE_ESTIMATE(EAG,MEAN,QUARTERLY_ROLL,2020/3F,45740,,,'')&lt;/Q&gt;&lt;R&gt;1&lt;/R&gt;&lt;C&gt;1&lt;/C&gt;&lt;D xsi:type="xsd:double"&gt;1.4&lt;/D&gt;&lt;/FQL&gt;&lt;FQL&gt;&lt;Q&gt;Ticker0024^FE_ESTIMATE(EAG,MEAN,QUARTERLY_ROLL,2020/2F,45740,,,'')&lt;/Q&gt;&lt;R&gt;1&lt;/R&gt;&lt;C&gt;1&lt;/C&gt;&lt;D xsi:type="xsd:double"&gt;1.51&lt;/D&gt;&lt;/FQL&gt;&lt;FQL&gt;&lt;Q&gt;Ticker0024^FE_ESTIMATE(EAG,MEAN,QUARTERLY_ROLL,2020/1F,45740,,,'')&lt;/Q&gt;&lt;R&gt;1&lt;/R&gt;&lt;C&gt;1&lt;/C&gt;&lt;D xsi:type="xsd:double"&gt;1.38&lt;/D&gt;&lt;/FQL&gt;&lt;FQL&gt;&lt;Q&gt;Ticker0024^FE_ESTIMATE(EAG,MEAN,ANNUAL_ROLL,2019,45740,,,'')&lt;/Q&gt;&lt;R&gt;1&lt;/R&gt;&lt;C&gt;1&lt;/C&gt;&lt;D xsi:type="xsd:double"&gt;5.06&lt;/D&gt;&lt;/FQL&gt;&lt;FQL&gt;&lt;Q&gt;Ticker0024^FE_ESTIMATE(EAG,MEAN,QUARTERLY_ROLL,2019/4F,45740,,,'')&lt;/Q&gt;&lt;R&gt;1&lt;/R&gt;&lt;C&gt;1&lt;/C&gt;&lt;D xsi:type="xsd:double"&gt;1.71&lt;/D&gt;&lt;/FQL&gt;&lt;FQL&gt;&lt;Q&gt;Ticker0024^FE_ESTIMATE(EAG,MEAN,QUARTERLY_ROLL,2019/3F,45740,,,'')&lt;/Q&gt;&lt;R&gt;1&lt;/R&gt;&lt;C&gt;1&lt;/C&gt;&lt;D xsi:type="xsd:double"&gt;1.14&lt;/D&gt;&lt;/FQL&gt;&lt;FQL&gt;&lt;Q&gt;Ticker0024^FE_ESTIMATE(EAG,MEAN,QUARTERLY_ROLL,2019/2F,45740,,,'')&lt;/Q&gt;&lt;R&gt;1&lt;/R&gt;&lt;C&gt;1&lt;/C&gt;&lt;D xsi:type="xsd:double"&gt;1.08&lt;/D&gt;&lt;/FQL&gt;&lt;FQL&gt;&lt;Q&gt;Ticker0024^FE_ESTIMATE(EAG,MEAN,QUARTERLY_ROLL,2019/1F,45740,,,'')&lt;/Q&gt;&lt;R&gt;1&lt;/R&gt;&lt;C&gt;1&lt;/C&gt;&lt;D xsi:type="xsd:double"&gt;1.14&lt;/D&gt;&lt;/FQL&gt;&lt;FQL&gt;&lt;Q&gt;Ticker0024^FE_ESTIMATE(EAG,MEAN,ANNUAL_ROLL,2018,45740,,,'')&lt;/Q&gt;&lt;R&gt;1&lt;/R&gt;&lt;C&gt;1&lt;/C&gt;&lt;D xsi:type="xsd:double"&gt;2.13&lt;/D&gt;&lt;/FQL&gt;&lt;FQL&gt;&lt;Q&gt;Ticker0024^FE_ESTIMATE(EAG,MEAN,QUARTERLY_ROLL,2018/4F,45740,,,'')&lt;/Q&gt;&lt;R&gt;1&lt;/R&gt;&lt;C&gt;1&lt;/C&gt;&lt;D xsi:type="xsd:double"&gt;1.14&lt;/D&gt;&lt;/FQL&gt;&lt;FQL&gt;&lt;Q&gt;Ticker0024^FE_ESTIMATE(EAG,MEAN,QUARTERLY_ROLL,2018/3F,45740,,,'')&lt;/Q&gt;&lt;R&gt;1&lt;/R&gt;&lt;C&gt;1&lt;/C&gt;&lt;D xsi:type="xsd:double"&gt;0.9504607&lt;/D&gt;&lt;/FQL&gt;&lt;FQL&gt;&lt;Q&gt;Ticker0024^FE_ESTIMATE(EAG,MEAN,QUARTERLY_ROLL,2018/2F,45740,,,'')&lt;/Q&gt;&lt;R&gt;1&lt;/R&gt;&lt;C&gt;1&lt;/C&gt;&lt;D xsi:type="xsd:double"&gt;-0.82&lt;/D&gt;&lt;/FQL&gt;&lt;FQL&gt;&lt;Q&gt;Ticker0024^FE_ESTIMATE(EAG,MEAN,QUARTERLY_ROLL,2018/1F,45740,,,'')&lt;/Q&gt;&lt;R&gt;1&lt;/R&gt;&lt;C&gt;1&lt;/C&gt;&lt;D xsi:type="xsd:double"&gt;0.84&lt;/D&gt;&lt;/FQL&gt;&lt;FQL&gt;&lt;Q&gt;Ticker0024^FE_ESTIMATE(EAG,MEAN,ANNUAL_ROLL,2017,45740,,,'')&lt;/Q&gt;&lt;R&gt;1&lt;/R&gt;&lt;C&gt;1&lt;/C&gt;&lt;D xsi:type="xsd:double"&gt;2.71&lt;/D&gt;&lt;/FQL&gt;&lt;FQL&gt;&lt;Q&gt;Ticker0024^FE_ESTIMATE(EAG,MEAN,QUARTERLY_ROLL,2017/4F,45740,,,'')&lt;/Q&gt;&lt;R&gt;1&lt;/R&gt;&lt;C&gt;1&lt;/C&gt;&lt;D xsi:type="xsd:double"&gt;0.83&lt;/D&gt;&lt;/FQL&gt;&lt;FQL&gt;&lt;Q&gt;Ticker0024^FE_ESTIMATE(EAG,MEAN,QUARTERLY_ROLL,2017/3F,45740,,,'')&lt;/Q&gt;&lt;R&gt;1&lt;/R&gt;&lt;C&gt;1&lt;/C&gt;&lt;D xsi:type="xsd:double"&gt;0.61&lt;/D&gt;&lt;/FQL&gt;&lt;FQL&gt;&lt;Q&gt;Ticker0024^FE_ESTIMATE(EAG,MEAN,QUARTERLY_ROLL,2017/2F,45740,,,'')&lt;/Q&gt;&lt;R&gt;1&lt;/R&gt;&lt;C&gt;1&lt;/C&gt;&lt;D xsi:type="xsd:double"&gt;0.66&lt;/D&gt;&lt;/FQL&gt;&lt;FQL&gt;&lt;Q&gt;Ticker0024^FE_ESTIMATE(EAG,MEAN,QUARTERLY_ROLL,2017/1F,45740,,,'')&lt;/Q&gt;&lt;R&gt;1&lt;/R&gt;&lt;C&gt;1&lt;/C&gt;&lt;D xsi:type="xsd:double"&gt;0.6&lt;/D&gt;&lt;/FQL&gt;&lt;FQL&gt;&lt;Q&gt;Ticker0024^FE_ESTIMATE(EAG,MEAN,ANNUAL_ROLL,2016,45740,,,'')&lt;/Q&gt;&lt;R&gt;1&lt;/R&gt;&lt;C&gt;1&lt;/C&gt;&lt;D xsi:type="xsd:double"&gt;2.1&lt;/D&gt;&lt;/FQL&gt;&lt;FQL&gt;&lt;Q&gt;Ticker0024^FE_ESTIMATE(EAG,MEAN,QUARTERLY_ROLL,2016/4F,45740,,,'')&lt;/Q&gt;&lt;R&gt;1&lt;/R&gt;&lt;C&gt;1&lt;/C&gt;&lt;D xsi:type="xsd:double"&gt;0.39&lt;/D&gt;&lt;/FQL&gt;&lt;FQL&gt;&lt;Q&gt;Ticker0024^FE_ESTIMATE(EAG,MEAN,QUARTERLY_ROLL,2016/3F,45740,,,'')&lt;/Q&gt;&lt;R&gt;1&lt;/R&gt;&lt;C&gt;1&lt;/C&gt;&lt;D xsi:type="xsd:double"&gt;0.47&lt;/D&gt;&lt;/FQL&gt;&lt;FQL&gt;&lt;Q&gt;Ticker0024^FE_ESTIMATE(EAG,MEAN,QUARTERLY_ROLL,2016/2F,45740,,,'')&lt;/Q&gt;&lt;R&gt;1&lt;/R&gt;&lt;C&gt;1&lt;/C&gt;&lt;D xsi:type="xsd:double"&gt;0.62&lt;/D&gt;&lt;/FQL&gt;&lt;FQL&gt;&lt;Q&gt;Ticker0024^FE_ESTIMATE(EAG,MEAN,QUARTERLY_ROLL,2016/1F,45740,,,'')&lt;/Q&gt;&lt;R&gt;1&lt;/R&gt;&lt;C&gt;1&lt;/C&gt;&lt;D xsi:type="xsd:double"&gt;0.57&lt;/D&gt;&lt;/FQL&gt;&lt;FQL&gt;&lt;Q&gt;Ticker0024^FE_ESTIMATE(EAG,MEAN,ANNUAL_ROLL,2015,45740,,,'')&lt;/Q&gt;&lt;R&gt;1&lt;/R&gt;&lt;C&gt;1&lt;/C&gt;&lt;D xsi:type="xsd:double"&gt;1.48&lt;/D&gt;&lt;/FQL&gt;&lt;FQL&gt;&lt;Q&gt;Ticker0024^FE_ESTIMATE(EAG,MEAN,QUARTERLY_ROLL,2015/4F,45740,,,'')&lt;/Q&gt;&lt;R&gt;1&lt;/R&gt;&lt;C&gt;1&lt;/C&gt;&lt;D xsi:type="xsd:double"&gt;-0.4&lt;/D&gt;&lt;/FQL&gt;&lt;FQL&gt;&lt;Q&gt;Ticker0024^FE_ESTIMATE(EAG,MEAN,QUARTERLY_ROLL,2015/3F,45740,,,'')&lt;/Q&gt;&lt;R&gt;1&lt;/R&gt;&lt;C&gt;1&lt;/C&gt;&lt;D xsi:type="xsd:double"&gt;0.61&lt;/D&gt;&lt;/FQL&gt;&lt;FQL&gt;&lt;Q&gt;Ticker0024^FE_ESTIMATE(EAG,MEAN,QUARTERLY_ROLL,2015/2F,45740,,,'')&lt;/Q&gt;&lt;R&gt;1&lt;/R&gt;&lt;C&gt;1&lt;/C&gt;&lt;D xsi:type="xsd:double"&gt;0.71&lt;/D&gt;&lt;/FQL&gt;&lt;FQL&gt;&lt;Q&gt;Ticker0024^FE_ESTIMATE(EAG,MEAN,QUARTERLY_ROLL,2015/1F,45740,,,'')&lt;/Q&gt;&lt;R&gt;1&lt;/R&gt;&lt;C&gt;1&lt;/C&gt;&lt;D xsi:type="xsd:double"&gt;0.54&lt;/D&gt;&lt;/FQL&gt;&lt;FQL&gt;&lt;Q&gt;Ticker0024^FE_ESTIMATE(EBIT,MEAN,ANNUAL_ROLL,2030,45740,,,'')&lt;/Q&gt;&lt;R&gt;0&lt;/R&gt;&lt;C&gt;0&lt;/C&gt;&lt;/FQL&gt;&lt;FQL&gt;&lt;Q&gt;Ticker0024^FE_ESTIMATE(EBIT,MEAN,QUARTERLY_ROLL,2030/4F,45740,,,'')&lt;/Q&gt;&lt;R&gt;0&lt;/R&gt;&lt;C&gt;0&lt;/C&gt;&lt;/FQL&gt;&lt;FQL&gt;&lt;Q&gt;Ticker0024^FE_ESTIMATE(EBIT,MEAN,QUARTERLY_ROLL,2030/3F,45740,,,'')&lt;/Q&gt;&lt;R&gt;0&lt;/R&gt;&lt;C&gt;0&lt;/C&gt;&lt;/FQL&gt;&lt;FQL&gt;&lt;Q&gt;Ticker0024^FE_ESTIMATE(EBIT,MEAN,QUARTERLY_ROLL,2030/2F,45740,,,'')&lt;/Q&gt;&lt;R&gt;0&lt;/R&gt;&lt;C&gt;0&lt;/C&gt;&lt;/FQL&gt;&lt;FQL&gt;&lt;Q&gt;Ticker0024^FE_ESTIMATE(EBIT,MEAN,QUARTERLY_ROLL,2030/1F,45740,,,'')&lt;/Q&gt;&lt;R&gt;0&lt;/R&gt;&lt;C&gt;0&lt;/C&gt;&lt;/FQL&gt;&lt;FQL&gt;&lt;Q&gt;Ticker0024^FE_ESTIMATE(EBIT,MEAN,ANNUAL_ROLL,2029,45740,,,'')&lt;/Q&gt;&lt;R&gt;1&lt;/R&gt;&lt;C&gt;1&lt;/C&gt;&lt;D xsi:type="xsd:double"&gt;214554.7&lt;/D&gt;&lt;/FQL&gt;&lt;FQL&gt;&lt;Q&gt;Ticker0024^FE_ESTIMATE(EBIT,MEAN,QUARTERLY_ROLL,2029/4F,45740,,,'')&lt;/Q&gt;&lt;R&gt;0&lt;/R&gt;&lt;C&gt;0&lt;/C&gt;&lt;/FQL&gt;&lt;FQL&gt;&lt;Q&gt;Ticker0024^FE_ESTIMATE(EBIT,MEAN,QUARTERLY_ROLL,2029/3F,45740,,,'')&lt;/Q&gt;&lt;R&gt;0&lt;/R&gt;&lt;C&gt;0&lt;/C&gt;&lt;/FQL&gt;&lt;FQL&gt;&lt;Q&gt;Ticker0024^FE_ESTIMATE(EBIT,MEAN,QUARTERLY_ROLL,2029/2F,45740,,,'')&lt;/Q&gt;&lt;R&gt;0&lt;/R&gt;&lt;C&gt;0&lt;/C&gt;&lt;/FQL&gt;&lt;FQL&gt;&lt;Q&gt;Ticker0024^FE_ESTIMATE(EBIT,MEAN,QUARTERLY_ROLL,2029/1F,45740,,,'')&lt;/Q&gt;&lt;R&gt;0&lt;/R&gt;&lt;C&gt;0&lt;/C&gt;&lt;/FQL&gt;&lt;FQL&gt;&lt;Q&gt;Ticker0024^FE_ESTIMATE(EBIT,MEAN,ANNUAL_ROLL,2028,45740,,,'')&lt;/Q&gt;&lt;R&gt;1&lt;/R&gt;&lt;C&gt;1&lt;/C&gt;&lt;D xsi:type="xsd:double"&gt;183575.19&lt;/D&gt;&lt;/FQL&gt;&lt;FQL&gt;&lt;Q&gt;Ticker0024^FE_ESTIMATE(EBIT,MEAN,QUARTERLY_ROLL,2028/4F,45740,,,'')&lt;/Q&gt;&lt;R&gt;0&lt;/R&gt;&lt;C&gt;0&lt;/C&gt;&lt;/FQL&gt;&lt;FQL&gt;&lt;Q&gt;Ticker0024^FE_ESTIMATE(EBIT,MEAN,QUARTERLY_ROLL,2028/3F,45740,,,'')&lt;/Q&gt;&lt;R&gt;0&lt;/R&gt;&lt;C&gt;0&lt;/C&gt;&lt;/FQL&gt;&lt;FQL&gt;&lt;Q&gt;Ticker0024^FE_ESTIMATE(EBIT,MEAN,QUARTERLY_ROLL,2028/2F,45740,,,'')&lt;/Q&gt;&lt;R&gt;0&lt;/R&gt;&lt;C&gt;0&lt;/C&gt;&lt;/FQL&gt;&lt;FQL&gt;&lt;Q&gt;Ticker0024^FE_ESTIMATE(EBIT,MEAN,QUARTERLY_ROLL,2028/1F,45740,,,'')&lt;/Q&gt;&lt;R&gt;0&lt;/R&gt;&lt;C&gt;0&lt;/C&gt;&lt;/FQL&gt;&lt;FQL&gt;&lt;Q&gt;Ticker0024^FE_ESTIMATE(EBIT,MEAN,ANNUAL_ROLL,2027,45740,,,'')&lt;/Q&gt;&lt;R&gt;1&lt;/R&gt;&lt;C&gt;1&lt;/C&gt;&lt;D xsi:type="xsd:double"&gt;163050.52&lt;/D&gt;&lt;/FQL&gt;&lt;FQL&gt;&lt;Q&gt;Ticker0024^FE_ESTIMATE(EBIT,MEAN,QUARTERLY_ROLL,2027/4F,45740,,,'')&lt;/Q&gt;&lt;R&gt;1&lt;/R&gt;&lt;C&gt;1&lt;/C&gt;&lt;D xsi:type="xsd:double"&gt;43613.4&lt;/D&gt;&lt;/FQL&gt;&lt;FQL&gt;&lt;Q&gt;Ticker0024^FE_ESTIMATE(EBIT,MEAN,QUARTERLY_ROLL,2027/3F,45740,,,'')&lt;/Q&gt;&lt;R&gt;1&lt;/R&gt;&lt;C&gt;1&lt;/C&gt;&lt;D xsi:type="xsd:double"&gt;40916.785&lt;/D&gt;&lt;/FQL&gt;&lt;FQL&gt;&lt;Q&gt;Ticker0024^FE_ESTIMATE(EBIT,MEAN,QUARTERLY_ROLL,2027/2F,45740,,,'')&lt;/Q&gt;&lt;R&gt;1&lt;/R&gt;&lt;C&gt;1&lt;/C&gt;&lt;D xsi:type="xsd:double"&gt;41205.152&lt;/D&gt;&lt;/FQL&gt;&lt;FQL&gt;&lt;Q&gt;Ticker0024^FE_ESTIMATE(EBIT,MEAN,QUARTERLY_ROLL,2027/1F,45740,,,'')&lt;/Q&gt;&lt;R&gt;1&lt;/R&gt;&lt;C&gt;1&lt;/C&gt;&lt;D xsi:type="xsd:double"&gt;39638.72&lt;/D&gt;&lt;/FQL&gt;&lt;FQL&gt;&lt;Q&gt;Ticker0024^FE_ESTIMATE(EBIT,MEAN,ANNUAL_ROLL,2026,45740,,,'')&lt;/Q&gt;&lt;R&gt;1&lt;/R&gt;&lt;C&gt;1&lt;/C&gt;&lt;D xsi:type="xsd:double"&gt;140420.36&lt;/D&gt;&lt;/FQL&gt;&lt;FQL&gt;&lt;Q&gt;Ticker0024^FE_ESTIMATE(EBIT,MEAN,QUARTERLY_ROLL,2026/4F,45740,,,'')&lt;/Q&gt;&lt;R&gt;1&lt;/R&gt;&lt;C&gt;1&lt;/C&gt;&lt;D xsi:type="xsd:double"&gt;36537.965&lt;/D&gt;&lt;/FQL&gt;&lt;FQL&gt;&lt;Q&gt;Ticker0024^FE_ESTIMATE(EBIT,MEAN,QUARTERLY_ROLL,2026/3F,45740,,,'')&lt;/Q&gt;&lt;R&gt;1&lt;/R&gt;&lt;C&gt;1&lt;/C&gt;&lt;D xsi:type="xsd:double"&gt;34760.895&lt;/D&gt;&lt;/FQL&gt;&lt;FQL&gt;&lt;Q&gt;Ticker0024^FE_ESTIMATE(EBIT,MEAN,QUARTERLY_ROLL,2026/2F,45740,,,'')&lt;/Q&gt;&lt;R&gt;1&lt;/R&gt;&lt;C&gt;1&lt;/C&gt;&lt;D xsi:type="xsd:double"&gt;35296.99&lt;/D&gt;&lt;/FQL&gt;&lt;FQL&gt;&lt;Q&gt;Ticker0024^FE_ESTIMATE(EBIT,MEAN,QUARTERLY_ROLL,2026/1F,45740,,,'')&lt;/Q&gt;&lt;R&gt;1&lt;/R&gt;&lt;C&gt;1&lt;/C&gt;&lt;D xsi:type="xsd:double"&gt;33863.965&lt;/D&gt;&lt;/FQL&gt;&lt;FQL&gt;&lt;Q&gt;Ticker0024^FE_ESTIMATE(EBIT,MEAN,ANNUAL_ROLL,2025,45740,,,'')&lt;/Q&gt;&lt;R&gt;1&lt;/R&gt;&lt;C&gt;1&lt;/C&gt;&lt;D xsi:type="xsd:double"&gt;124057.414&lt;/D&gt;&lt;/FQL&gt;&lt;FQL&gt;&lt;Q&gt;Ticker0024^FE_ESTIMATE(EBIT,MEAN,QUARTERLY_ROLL,2025/4F,45740,,,'')&lt;/Q&gt;&lt;R&gt;1&lt;/R&gt;&lt;C&gt;1&lt;/C&gt;&lt;D xsi:type="xsd:double"&gt;31770.18&lt;/D&gt;&lt;/FQL&gt;&lt;FQL&gt;&lt;Q&gt;Ticker0024^FE_ESTIMATE(EBIT,MEAN,QUARTERLY_ROLL,2025/3F,45740,,,'')&lt;/Q&gt;&lt;R&gt;1&lt;/R&gt;&lt;C&gt;1&lt;/C&gt;&lt;D xsi:type="xsd:double"&gt;30530.016&lt;/D&gt;&lt;/FQL&gt;&lt;FQL&gt;&lt;Q&gt;Ticker0024^FE_ESTIMATE(EBIT,MEAN,QUARTERLY_ROLL,2025/2F,45740,,,'')&lt;/Q&gt;&lt;R&gt;1&lt;/R&gt;&lt;C&gt;1&lt;/C&gt;&lt;D xsi:type="xsd:double"&gt;31654.166&lt;/D&gt;&lt;/FQL&gt;&lt;FQL&gt;&lt;Q&gt;Ticker0024^FE_ESTIMATE(EBIT,MEAN,QUARTERLY_ROLL,2025/1F,45740,,,'')&lt;/Q&gt;&lt;R&gt;1&lt;/R&gt;&lt;C&gt;1&lt;/C&gt;&lt;D xsi:type="xsd:double"&gt;30535.146&lt;/D&gt;&lt;/FQL&gt;&lt;FQL&gt;&lt;Q&gt;Ticker0024^FE_ESTIMATE(EBIT,MEAN,ANNUAL_ROLL,2024,45740,,,'')&lt;/Q&gt;&lt;R&gt;1&lt;/R&gt;&lt;C&gt;1&lt;/C&gt;&lt;D xsi:type="xsd:double"&gt;109729.96&lt;/D&gt;&lt;/FQL&gt;&lt;FQL&gt;&lt;Q&gt;Ticker0024^FE_ESTIMATE(EBIT,MEAN,QUARTERLY_ROLL,2024/4F,45740,,,'')&lt;/Q&gt;&lt;R&gt;1&lt;/R&gt;&lt;C&gt;1&lt;/C&gt;&lt;D xsi:type="xsd:double"&gt;27926.969&lt;/D&gt;&lt;/FQL&gt;&lt;FQL&gt;&lt;Q&gt;Ticker0024^FE_ESTIMATE(EBIT,MEAN,QUARTERLY_ROLL,2024/3F,45740,,,'')&lt;/Q&gt;&lt;R&gt;1&lt;/R&gt;&lt;C&gt;1&lt;/C&gt;&lt;D xsi:type="xsd:double"&gt;27582.4&lt;/D&gt;&lt;/FQL&gt;&lt;FQL&gt;&lt;Q&gt;Ticker0024^FE_ESTIMATE(EBIT,MEAN,QUARTERLY_ROLL,2024/2F,45740,,,'')&lt;/Q&gt;&lt;R&gt;1&lt;/R&gt;&lt;C&gt;1&lt;/C&gt;&lt;D xsi:type="xsd:double"&gt;27031.055&lt;/D&gt;&lt;/FQL&gt;&lt;FQL&gt;&lt;Q&gt;Ticker0024^FE_ESTIMATE(EBIT,MEAN,QUARTERLY_ROLL,2024/1F,45740,,,'')&lt;/Q&gt;&lt;R&gt;1&lt;/R&gt;&lt;C&gt;1&lt;/C&gt;&lt;D xsi:type="xsd:double"&gt;26895.146&lt;/D&gt;&lt;/FQL&gt;&lt;FQL&gt;&lt;Q&gt;Ticker0024^FE_ESTIMATE(EBIT,MEAN,ANNUAL_ROLL,2023,45740,,,'')&lt;/Q&gt;&lt;R&gt;1&lt;/R&gt;&lt;C&gt;1&lt;/C&gt;&lt;D xsi:type="xsd:double"&gt;88600.766&lt;/D&gt;&lt;/FQL&gt;&lt;FQL&gt;&lt;Q&gt;Ticker0024^FE_ESTIMATE(EBIT,MEAN,QUARTERLY_ROLL,2023/4F,45740,,,'')&lt;/Q&gt;&lt;R&gt;1&lt;/R&gt;&lt;C&gt;1&lt;/C&gt;&lt;D xsi:type="xsd:double"&gt;24173.82&lt;/D&gt;&lt;/FQL&gt;&lt;FQL&gt;&lt;Q&gt;Ticker0024^FE_ESTIMATE(EBIT,MEAN,QUARTERLY_ROLL,2023/3F,45740,,,'')&lt;/Q&gt;&lt;R&gt;1&lt;/R&gt;&lt;C&gt;1&lt;/C&gt;&lt;D xsi:type="xsd:double"&gt;22351.936&lt;/D&gt;&lt;/FQL&gt;&lt;FQL&gt;&lt;Q&gt;Ticker0024^FE_ESTIMATE(EBIT,MEAN,QUARTERLY_ROLL,2023/2F,45740,,,'')&lt;/Q&gt;&lt;R&gt;1&lt;/R&gt;&lt;C&gt;1&lt;/C&gt;&lt;D xsi:type="xsd:double"&gt;20399.059&lt;/D&gt;&lt;/FQL&gt;&lt;FQL&gt;&lt;Q&gt;Ticker0024^FE_ESTIMATE(EBIT,MEAN,QUARTERLY_ROLL,2023/1F,45740,,,'')&lt;/Q&gt;&lt;R&gt;1&lt;/R&gt;&lt;C&gt;1&lt;/C&gt;&lt;D xsi:type="xsd:double"&gt;21518.063&lt;/D&gt;&lt;/FQL&gt;&lt;FQL&gt;&lt;Q&gt;Ticker0024^FE_ESTIMATE(EBIT,MEAN,ANNUAL_ROLL,2022,45740,,,'')&lt;/Q&gt;&lt;R&gt;1&lt;/R&gt;&lt;C&gt;1&lt;/C&gt;&lt;D xsi:type="xsd:double"&gt;83380.48&lt;/D&gt;&lt;/FQL&gt;&lt;FQL&gt;&lt;Q&gt;Ticker0024^FE_ESTIMATE(EBIT,MEAN,QUARTERLY_ROLL,2022/4F,45740,,,'')&lt;/Q&gt;&lt;R&gt;1&lt;/R&gt;&lt;C&gt;1&lt;/C&gt;&lt;D xsi:type="xsd:double"&gt;20531.785&lt;/D&gt;&lt;/FQL&gt;&lt;FQL&gt;&lt;Q&gt;Ticker0024^FE_ESTIMATE(EBIT,MEAN,QUARTERLY_ROLL,2022/3F,45740,,,'')&lt;/Q&gt;&lt;R&gt;1&lt;/R&gt;&lt;C&gt;1&lt;/C&gt;&lt;D xsi:type="xsd:double"&gt;20362.076&lt;/D&gt;&lt;/FQL&gt;&lt;FQL&gt;&lt;Q&gt;Ticker0024^FE_ESTIMATE(EBIT,MEAN,QUARTERLY_ROLL,2022/2F,45740,,,'')&lt;/Q&gt;&lt;R&gt;1&lt;/R&gt;&lt;C&gt;1&lt;/C&gt;&lt;D xsi:type="xsd:double"&gt;22246.809&lt;/D&gt;&lt;/FQL&gt;&lt;FQL&gt;&lt;Q&gt;Ticker0024^FE_ESTIMATE(EBIT,MEAN,QUARTERLY_ROLL,2022/1F,45740,,,'')&lt;/Q&gt;&lt;R&gt;1&lt;/R&gt;&lt;C&gt;1&lt;/C&gt;&lt;D xsi:type="xsd:double"&gt;20237.896&lt;/D&gt;&lt;/FQL&gt;&lt;FQL&gt;&lt;Q&gt;Ticker0024^FE_ESTIMATE(EBIT,MEAN,ANNUAL_ROLL,2021,45740,,,'')&lt;/Q&gt;&lt;R&gt;1&lt;/R&gt;&lt;C&gt;1&lt;/C&gt;&lt;D xsi:type="xsd:double"&gt;69916.43&lt;/D&gt;&lt;/FQL&gt;&lt;FQL&gt;&lt;Q&gt;Ticker0024^FE_ESTIMATE(EBIT,MEAN,QUARTERLY_ROLL,2021/4F,45740,,,'')&lt;/Q&gt;&lt;R&gt;1&lt;/R&gt;&lt;C&gt;1&lt;/C&gt;&lt;D xsi:type="xsd:double"&gt;19095&lt;/D&gt;&lt;/FQL&gt;&lt;FQL&gt;&lt;Q&gt;Ticker0024^FE_ESTIMATE(EBIT,MEAN,QUARTERLY_ROLL,2021/3F,45740,,,'')&lt;/Q&gt;&lt;R&gt;1&lt;/R&gt;&lt;C&gt;1&lt;/C&gt;&lt;D xsi:type="xsd:double"&gt;17048&lt;/D&gt;&lt;/FQL&gt;&lt;FQL&gt;&lt;Q&gt;Ticker0024^FE_ESTIMATE(EBIT,MEAN,QUARTERLY_ROLL,2021/2F,45740,,,'')&lt;/Q&gt;&lt;R&gt;1&lt;/R&gt;&lt;C&gt;1&lt;/C&gt;&lt;D xsi:type="xsd:double"&gt;17896.826&lt;/D&gt;&lt;/FQL&gt;&lt;FQL&gt;&lt;Q&gt;Ticker0024^FE_ESTIMATE(EBIT,MEAN,QUARTERLY_ROLL,2021/1F,45740,,,'')&lt;/Q&gt;&lt;R&gt;1&lt;/R&gt;&lt;C&gt;1&lt;/C&gt;&lt;D xsi:type="xsd:double"&gt;15875.739&lt;/D&gt;&lt;/FQL&gt;&lt;FQL&gt;&lt;Q&gt;Ticker0024^FE_ESTIMATE(EBIT,MEAN,ANNUAL_ROLL,2020,45740,,,'')&lt;/Q&gt;&lt;R&gt;1&lt;/R&gt;&lt;C&gt;1&lt;/C&gt;&lt;D xsi:type="xsd:double"&gt;52978.875&lt;/D&gt;&lt;/FQL&gt;&lt;FQL&gt;&lt;Q&gt;Ticker0024^FE_ESTIMATE(EBIT,MEAN,QUARTERLY_ROLL,2020/4F,45740,,,'')&lt;/Q&gt;&lt;R&gt;1&lt;/R&gt;&lt;C&gt;1&lt;/C&gt;&lt;D xsi:type="xsd:double"&gt;13432.45&lt;/D&gt;&lt;/FQL&gt;&lt;FQL&gt;&lt;Q&gt;Ticker0024^FE_ESTIMATE(EBIT,MEAN,QUARTERLY_ROLL,2020/3F,45740,,,'')&lt;/Q&gt;&lt;R&gt;1&lt;/R&gt;&lt;C&gt;1&lt;/C&gt;&lt;D xsi:type="xsd:double"&gt;12975&lt;/D&gt;&lt;/FQL&gt;&lt;FQL&gt;&lt;Q&gt;Ticker0024^FE_ESTIMATE(EBIT,MEAN,QUARTERLY_ROLL,2020/2F,45740,,,'')&lt;/Q&gt;&lt;R&gt;1&lt;/R&gt;&lt;C&gt;1&lt;/C&gt;&lt;D xsi:type="xsd:double"&gt;13891&lt;/D&gt;&lt;/FQL&gt;&lt;FQL&gt;&lt;Q&gt;Ticker0024^FE_ESTIMATE(EBIT,MEAN,QUARTERLY_ROLL,2020/1F,45740,,,'')&lt;/Q&gt;&lt;R&gt;1&lt;/R&gt;&lt;C&gt;1&lt;/C&gt;&lt;D xsi:type="xsd:double"&gt;12686&lt;/D&gt;&lt;/FQL&gt;&lt;FQL&gt;&lt;Q&gt;Ticker0024^FE_ESTIMATE(EBIT,MEAN,ANNUAL_ROLL,2019,45740,,,'')&lt;/Q&gt;&lt;R&gt;1&lt;/R&gt;&lt;C&gt;1&lt;/C&gt;&lt;D xsi:type="xsd:double"&gt;42964.805&lt;/D&gt;&lt;/FQL&gt;&lt;FQL&gt;&lt;Q&gt;Ticker0024^FE_ESTIMATE(EBIT,MEAN,QUARTERLY_ROLL,2019/4F,45740,,,'')&lt;/Q&gt;&lt;R&gt;1&lt;/R&gt;&lt;C&gt;1&lt;/C&gt;&lt;D xsi:type="xsd:double"&gt;12405&lt;/D&gt;&lt;/FQL&gt;&lt;FQL&gt;&lt;Q&gt;Ticker0024^FE_ESTIMATE(EBIT,MEAN,QUARTERLY_ROLL,2019/3F,45740,,,'')&lt;/Q&gt;&lt;R&gt;1&lt;/R&gt;&lt;C&gt;1&lt;/C&gt;&lt;D xsi:type="xsd:double"&gt;10341&lt;/D&gt;&lt;/FQL&gt;&lt;FQL&gt;&lt;Q&gt;Ticker0024^FE_ESTIMATE(EBIT,MEAN,QUARTERLY_ROLL,2019/2F,45740,,,'')&lt;/Q&gt;&lt;R&gt;1&lt;/R&gt;&lt;C&gt;1&lt;/C&gt;&lt;D xsi:type="xsd:double"&gt;10263.846&lt;/D&gt;&lt;/FQL&gt;&lt;FQL&gt;&lt;Q&gt;Ticker0024^FE_ESTIMATE(EBIT,MEAN,QUARTERLY_ROLL,2019/1F,45740,,,'')&lt;/Q&gt;&lt;R&gt;1&lt;/R&gt;&lt;C&gt;1&lt;/C&gt;&lt;D xsi:type="xsd:double"&gt;9955&lt;/D&gt;&lt;/FQL&gt;&lt;FQL&gt;&lt;Q&gt;Ticker0024^FE_ESTIMATE(EBIT,MEAN,ANNUAL_ROLL,2018,45740,,,'')&lt;/Q&gt;&lt;R&gt;1&lt;/R&gt;&lt;C&gt;1&lt;/C&gt;&lt;D xsi:type="xsd:double"&gt;35034.188&lt;/D&gt;&lt;/FQL&gt;&lt;FQL&gt;&lt;Q&gt;Ticker0024^FE_ESTIMATE(EBIT,MEAN,QUARTERLY_ROLL,2018/4F,45740,,,'')&lt;/Q&gt;&lt;R&gt;1&lt;/R&gt;&lt;C&gt;1&lt;/C&gt;&lt;D xsi:type="xsd:double"&gt;10349.692&lt;/D&gt;&lt;/FQL&gt;&lt;FQL&gt;&lt;Q&gt;Ticker0024^FE_ESTIMATE(EBIT,MEAN,QUARTERLY_ROLL,2018/3F,45740,,,'')&lt;/Q&gt;&lt;R&gt;1&lt;/R&gt;&lt;C&gt;1&lt;/C&gt;&lt;D xsi:type="xsd:double"&gt;8292&lt;/D&gt;&lt;/FQL&gt;&lt;FQL&gt;&lt;Q&gt;Ticker0024^FE_ESTIMATE(EBIT,MEAN,QUARTERLY_ROLL,2018/2F,45740,,,'')&lt;/Q&gt;&lt;R&gt;1&lt;/R&gt;&lt;C&gt;1&lt;/C&gt;&lt;D xsi:type="xsd:double"&gt;8679&lt;/D&gt;&lt;/FQL&gt;&lt;FQL&gt;&lt;Q&gt;Ticker0024^FE_ESTIMATE(EBIT,MEAN,QUARTERLY_ROLL,2018/1F,45740,,,'')&lt;/Q&gt;&lt;R&gt;1&lt;/R&gt;&lt;C&gt;1&lt;/C&gt;&lt;D xsi:type="xsd:double"&gt;7708&lt;/D&gt;&lt;/FQL&gt;&lt;FQL&gt;&lt;Q&gt;Ticker0024^FE_ESTIMATE(EBIT,MEAN,ANNUAL_ROLL,2017,45740,,,'')&lt;/Q&gt;&lt;R&gt;1&lt;/R&gt;&lt;C&gt;1&lt;/C&gt;&lt;D xsi:type="xsd:double"&gt;29326.25&lt;/D&gt;&lt;/FQL&gt;&lt;FQL&gt;&lt;Q&gt;Ticker0024^FE_ESTIMATE(EBIT,MEAN,QUARTERLY_ROLL,2017/4F,45740,,,'')&lt;/Q&gt;&lt;R&gt;1&lt;/R&gt;&lt;C&gt;1&lt;/C&gt;&lt;D xsi:type="xsd:double"&gt;7019&lt;/D&gt;&lt;/FQL&gt;&lt;FQL&gt;&lt;Q&gt;Ticker0024^FE_ESTIMATE(EBIT,MEAN,QUARTERLY_ROLL,2017/3F,45740,,,'')&lt;/Q&gt;&lt;R&gt;1&lt;/R&gt;&lt;C&gt;1&lt;/C&gt;&lt;D xsi:type="xsd:double"&gt;7061&lt;/D&gt;&lt;/FQL&gt;&lt;FQL&gt;&lt;Q&gt;Ticker0024^FE_ESTIMATE(EBIT,MEAN,QUARTERLY_ROLL,2017/2F,45740,,,'')&lt;/Q&gt;&lt;R&gt;1&lt;/R&gt;&lt;C&gt;1&lt;/C&gt;&lt;D xsi:type="xsd:double"&gt;8153&lt;/D&gt;&lt;/FQL&gt;&lt;FQL&gt;&lt;Q&gt;Ticker0024^FE_ESTIMATE(EBIT,MEAN,QUARTERLY_ROLL,2017/1F,45740,,,'')&lt;/Q&gt;&lt;R&gt;1&lt;/R&gt;&lt;C&gt;1&lt;/C&gt;&lt;D xsi:type="xsd:double"&gt;7106&lt;/D&gt;&lt;/FQL&gt;&lt;FQL&gt;&lt;Q&gt;Ticker0024^FE_ESTIMATE(EBIT,MEAN,ANNUAL_ROLL,2016,45740,,,'')&lt;/Q&gt;&lt;R&gt;1&lt;/R&gt;&lt;C&gt;1&lt;/C&gt;&lt;D xsi:type="xsd:double"&gt;28028.564&lt;/D&gt;&lt;/FQL&gt;&lt;FQL&gt;&lt;Q&gt;Ticker0024^FE_ESTIMATE(EBIT,MEAN,QUARTERLY_ROLL,2016/4F,45740,,,'')&lt;/Q&gt;&lt;R&gt;1&lt;/R&gt;&lt;C&gt;1&lt;/C&gt;&lt;D xsi:type="xsd:double"&gt;6218&lt;/D&gt;&lt;/FQL&gt;&lt;FQL&gt;&lt;Q&gt;Ticker0024^FE_ESTIMATE(EBIT,MEAN,QUARTERLY_ROLL,2016/3F,45740,,,'')&lt;/Q&gt;&lt;R&gt;1&lt;/R&gt;&lt;C&gt;1&lt;/C&gt;&lt;D xsi:type="xsd:double"&gt;6828&lt;/D&gt;&lt;/FQL&gt;&lt;FQL&gt;&lt;Q&gt;Ticker0024^FE_ESTIMATE(EBIT,MEAN,QUARTERLY_ROLL,2016/2F,45740,,,'')&lt;/Q&gt;&lt;R&gt;1&lt;/R&gt;&lt;C&gt;1&lt;/C&gt;&lt;D xsi:type="xsd:double"&gt;7923&lt;/D&gt;&lt;/FQL&gt;&lt;FQL&gt;&lt;Q&gt;Ticker0024^FE_ESTIMATE(EBIT,MEAN,QUARTERLY_ROLL,2016/1F,45740,,,'')&lt;/Q&gt;&lt;R&gt;1&lt;/R&gt;&lt;C&gt;1&lt;/C&gt;&lt;D xsi:type="xsd:double"&gt;7073.7896&lt;/D&gt;&lt;/FQL&gt;&lt;FQL&gt;&lt;Q&gt;Ticker0024^FE_ESTIMATE(EBIT,MEAN,ANNUAL_ROLL,2015,45740,,,'')&lt;/Q&gt;&lt;R&gt;1&lt;/R&gt;&lt;C&gt;1&lt;/C&gt;&lt;D xsi:type="xsd:double"&gt;27916.867&lt;/D&gt;&lt;/FQL&gt;&lt;FQL&gt;&lt;Q&gt;Ticker0024^FE_ESTIMATE(EBIT,MEAN,QUARTERLY_ROLL,2015/4F,45740,,,'')&lt;/Q&gt;&lt;R&gt;1&lt;/R&gt;&lt;C&gt;1&lt;/C&gt;&lt;D xsi:type="xsd:double"&gt;4513.1914&lt;/D&gt;&lt;/FQL&gt;&lt;FQL&gt;&lt;Q&gt;Ticker0024^FE_ESTIMATE(EBIT,MEAN,QUARTERLY_ROLL,2015/3F,45740,,,'')&lt;/Q&gt;&lt;R&gt;1&lt;/R&gt;&lt;C&gt;1&lt;/C&gt;&lt;D xsi:type="xsd:double"&gt;6598.875&lt;/D&gt;&lt;/FQL&gt;&lt;FQL&gt;&lt;Q&gt;Ticker0024^FE_ESTIMATE(EBIT,MEAN,QUARTERLY_ROLL,2015/2F,45740,,,'')&lt;/Q&gt;&lt;R&gt;1&lt;/R&gt;&lt;C&gt;1&lt;/C&gt;&lt;D xsi:type="xsd:double"&gt;7776&lt;/D&gt;&lt;/FQL&gt;&lt;FQL&gt;&lt;Q&gt;Ticker0024^FE_ESTIMATE(EBIT,MEAN,QUARTERLY_ROLL,2015/1F,45740,,,'')&lt;/Q&gt;&lt;R&gt;1&lt;/R&gt;&lt;C&gt;1&lt;/C&gt;&lt;D xsi:type="xsd:double"&gt;5844&lt;/D&gt;&lt;/FQL&gt;&lt;FQL&gt;&lt;Q&gt;Ticker0024^FE_ESTIMATE(PRODLINE_EBIT_17,MEAN,ANNUAL_ROLL,2030,45740,,,'')&lt;/Q&gt;&lt;R&gt;0&lt;/R&gt;&lt;C&gt;0&lt;/C&gt;&lt;/FQL&gt;&lt;FQL&gt;&lt;Q&gt;Ticker0024^FE_ESTIMATE(PRODLINE_EBIT_17,MEAN,QUARTERLY_ROLL,2030/4F,45740,,,'')&lt;/Q&gt;&lt;R&gt;0&lt;/R&gt;&lt;C&gt;0&lt;/C&gt;&lt;/FQL&gt;&lt;FQL&gt;&lt;Q&gt;Ticker0024^FE_ESTIMATE(PRODLINE_EBIT_17,MEAN,QUARTERLY_ROLL,2030/3F,45740,,,'')&lt;/Q&gt;&lt;R&gt;0&lt;/R&gt;&lt;C&gt;0&lt;/C&gt;&lt;/FQL&gt;&lt;FQL&gt;&lt;Q&gt;Ticker0024^FE_ESTIMATE(PRODLINE_EBIT_17,MEAN,QUARTERLY_ROLL,2030/2F,45740,,,'')&lt;/Q&gt;&lt;R&gt;0&lt;/R&gt;&lt;C&gt;0&lt;/C&gt;&lt;/FQL&gt;&lt;FQL&gt;&lt;Q&gt;Ticker0024^FE_ESTIMATE(PRODLINE_EBIT_17,MEAN,QUARTERLY_ROLL,2030/1F,45740,,,'')&lt;/Q&gt;&lt;R&gt;0&lt;/R&gt;&lt;C&gt;0&lt;/C&gt;&lt;/FQL&gt;&lt;FQL&gt;&lt;Q&gt;Ticker0024^FE_ESTIMATE(PRODLINE_EBIT_17,MEAN,ANNUAL_ROLL,2029,45740,,,'')&lt;/Q&gt;&lt;R&gt;0&lt;/R&gt;&lt;C&gt;0&lt;/C&gt;&lt;/FQL&gt;&lt;FQL&gt;&lt;Q&gt;Ticker0024^FE_ESTIMATE(PRODLINE_EBIT_17,MEAN,QUARTERLY_ROLL,2029/4F,45740,,,'')&lt;/Q&gt;&lt;R&gt;0&lt;/R&gt;&lt;C&gt;0&lt;/C&gt;&lt;/FQL&gt;&lt;FQL&gt;&lt;Q&gt;Ticker0024^FE_ESTIMATE(PRODLINE_EBIT_17,MEAN,QUARTERLY_ROLL,2029/3F,45740,,,'')&lt;/Q&gt;&lt;R&gt;0&lt;/R&gt;&lt;C&gt;0&lt;/C&gt;&lt;/FQL&gt;&lt;FQL&gt;&lt;Q&gt;Ticker0024^FE_ESTIMATE(PRODLINE_EBIT_17,MEAN,QUARTERLY_ROLL,2029/2F,45740,,,'')&lt;/Q&gt;&lt;R&gt;0&lt;/R&gt;&lt;C&gt;0&lt;/C&gt;&lt;/FQL&gt;&lt;FQL&gt;&lt;Q&gt;Ticker0024^FE_ESTIMATE(PRODLINE_EBIT_17,MEAN,QUARTERLY_ROLL,2029/1F,45740,,,'')&lt;/Q&gt;&lt;R&gt;0&lt;/R&gt;&lt;C&gt;0&lt;/C&gt;&lt;/FQL&gt;&lt;FQL&gt;&lt;Q&gt;Ticker0024^FE_ESTIMATE(PRODLINE_EBIT_17,MEAN,ANNUAL_ROLL,2028,45740,,,'')&lt;/Q&gt;&lt;R&gt;1&lt;/R&gt;&lt;C&gt;1&lt;/C&gt;&lt;D xsi:type="xsd:double"&gt;10723&lt;/D&gt;&lt;/FQL&gt;&lt;FQL&gt;&lt;Q&gt;Ticker0024^FE_ESTIMATE(PRODLINE_EBIT_17,MEAN,QUARTERLY_ROLL,2028/4F,45740,,,'')&lt;/Q&gt;&lt;R&gt;0&lt;/R&gt;&lt;C&gt;0&lt;/C&gt;&lt;/FQL&gt;&lt;FQL&gt;&lt;Q&gt;Ticker0024^FE_ESTIMATE(PRODLINE_EBIT_17,MEAN,QUARTERLY_ROLL,2028/3F,45740,,,'')&lt;/Q&gt;&lt;R&gt;0&lt;/R&gt;&lt;C&gt;0&lt;/C&gt;&lt;/FQL&gt;&lt;FQL&gt;&lt;Q&gt;Ticker0024^FE_ESTIMATE(PRODLINE_EBIT_17,MEAN,QUARTERLY_ROLL,2028/2F,45740,,,'')&lt;/Q&gt;&lt;R&gt;0&lt;/R&gt;&lt;C&gt;0&lt;/C&gt;&lt;/FQL&gt;&lt;FQL&gt;&lt;Q&gt;Ticker0024^FE_ESTIMATE(PRODLINE_EBIT_17,MEAN,QUARTERLY_ROLL,2028/1F,45740,,,'')&lt;/Q&gt;&lt;R&gt;0&lt;/R&gt;&lt;C&gt;0&lt;/C&gt;&lt;/FQL&gt;&lt;FQL&gt;&lt;Q&gt;Ticker0024^FE_ESTIMATE(PRODLINE_EBIT_17,MEAN,ANNUAL_ROLL,2027,45740,,,'')&lt;/Q&gt;&lt;R&gt;1&lt;/R&gt;&lt;C&gt;1&lt;/C&gt;&lt;D xsi:type="xsd:double"&gt;12836&lt;/D&gt;&lt;/FQL&gt;&lt;FQL&gt;&lt;Q&gt;Ticker0024^FE_ESTIMATE(PRODLINE_EBIT_17,MEAN,QUARTERLY_ROLL,2027/4F,45740,,,'')&lt;/Q&gt;&lt;R&gt;0&lt;/R&gt;&lt;C&gt;0&lt;/C&gt;&lt;/FQL&gt;&lt;FQL&gt;&lt;Q&gt;Ticker0024^FE_ESTIMATE(PRODLINE_EBIT_17,MEAN,QUARTERLY_ROLL,2027/3F,45740,,,'')&lt;/Q&gt;&lt;R&gt;0&lt;/R&gt;&lt;C&gt;0&lt;/C&gt;&lt;/FQL&gt;&lt;FQL&gt;&lt;Q&gt;Ticker0024^FE_ESTIMATE(PRODLINE_EBIT_17,MEAN,QUARTERLY_ROLL,2027/2F,45740,,,'')&lt;/Q&gt;&lt;R&gt;0&lt;/R&gt;&lt;C&gt;0&lt;/C&gt;&lt;/FQL&gt;&lt;FQL&gt;&lt;Q&gt;Ticker0024^FE_ESTIMATE(PRODLINE_EBIT_17,MEAN,QUARTERLY_ROLL,2027/1F,45740,,,'')&lt;/Q&gt;&lt;R&gt;0&lt;/R&gt;&lt;C&gt;0&lt;/C&gt;&lt;/FQL&gt;&lt;FQL&gt;&lt;Q&gt;Ticker0024^FE_ESTIMATE(PRODLINE_EBIT_17,MEAN,ANNUAL_ROLL,2026,45740,,,'')&lt;/Q&gt;&lt;R&gt;1&lt;/R&gt;&lt;C&gt;1&lt;/C&gt;&lt;D xsi:type="xsd:double"&gt;15375&lt;/D&gt;&lt;/FQL&gt;&lt;FQL&gt;&lt;Q&gt;Ticker0024^FE_ESTIMATE(PRODLINE_EBIT_17,MEAN,QUARTERLY_ROLL,2026/4F,45740,,,'')&lt;/Q&gt;&lt;R&gt;1&lt;/R&gt;&lt;C&gt;1&lt;/C&gt;&lt;D xsi:type="xsd:double"&gt;3614.3333&lt;/D&gt;&lt;/FQL&gt;&lt;FQL&gt;&lt;Q&gt;Ticker0024^FE_ESTIMATE(PRODLINE_EBIT_17,MEAN,QUARTERLY_ROLL,2026/3F,45740,,,'')&lt;/Q&gt;&lt;R&gt;1&lt;/R&gt;&lt;C&gt;1&lt;/C&gt;&lt;D xsi:type="xsd:double"&gt;3774&lt;/D&gt;&lt;/FQL&gt;&lt;FQL&gt;&lt;Q&gt;Ticker0024^FE_ESTIMATE(PRODLINE_EBIT_17,MEAN,QUARTERLY_ROLL,2026/2F,45740,,,'')&lt;/Q&gt;&lt;R&gt;1&lt;/R&gt;&lt;C&gt;1&lt;/C&gt;&lt;D xsi:type="xsd:double"&gt;4365.6665&lt;/D&gt;&lt;/FQL&gt;&lt;FQL&gt;&lt;Q&gt;Ticker0024^FE_ESTIMATE(PRODLINE_EBIT_17,MEAN,QUARTERLY_ROLL,2026/1F,45740,,,'')&lt;/Q&gt;&lt;R&gt;1&lt;/R&gt;&lt;C&gt;1&lt;/C&gt;&lt;D xsi:type="xsd:double"&gt;4159&lt;/D&gt;&lt;/FQL&gt;&lt;FQL&gt;&lt;Q&gt;Ticker0024^FE_ESTIMATE(PRODLINE_EBIT_17,MEAN,ANNUAL_ROLL,2025,45740,,,'')&lt;/Q&gt;&lt;R&gt;1&lt;/R&gt;&lt;C&gt;1&lt;/C&gt;&lt;D xsi:type="xsd:double"&gt;15577.6&lt;/D&gt;&lt;/FQL&gt;&lt;FQL&gt;&lt;Q&gt;Ticker0024^FE_ESTIMATE(PRODLINE_EBIT_17,MEAN,QUARTERLY_ROLL,2025/4F,45740,,,'')&lt;/Q&gt;&lt;R&gt;1&lt;/R&gt;&lt;C&gt;1&lt;/C&gt;&lt;D xsi:type="xsd:double"&gt;3693.4&lt;/D&gt;&lt;/FQL&gt;&lt;FQL&gt;&lt;Q&gt;Ticker0024^FE_ESTIMATE(PRODLINE_EBIT_17,MEAN,QUARTERLY_ROLL,2025/3F,45740,,,'')&lt;/Q&gt;&lt;R&gt;1&lt;/R&gt;&lt;C&gt;1&lt;/C&gt;&lt;D xsi:type="xsd:double"&gt;3806.4&lt;/D&gt;&lt;/FQL&gt;&lt;FQL&gt;&lt;Q&gt;Ticker0024^FE_ESTIMATE(PRODLINE_EBIT_17,MEAN,QUARTERLY_ROLL,2025/2F,45740,,,'')&lt;/Q&gt;&lt;R&gt;1&lt;/R&gt;&lt;C&gt;1&lt;/C&gt;&lt;D xsi:type="xsd:double"&gt;4253.8&lt;/D&gt;&lt;/FQL&gt;&lt;FQL&gt;&lt;Q&gt;Ticker0024^FE_ESTIMATE(PRODLINE_EBIT_17,MEAN,QUARTERLY_ROLL,2025/1F,45740,,,'')&lt;/Q&gt;&lt;R&gt;1&lt;/R&gt;&lt;C&gt;1&lt;/C&gt;&lt;D xsi:type="xsd:double"&gt;3822.2&lt;/D&gt;&lt;/FQL&gt;&lt;FQL&gt;&lt;Q&gt;Ticker0024^FE_ESTIMATE(PRODLINE_EBIT_17,MEAN,ANNUAL_ROLL,2024,45740,,,'')&lt;/Q&gt;&lt;R&gt;1&lt;/R&gt;&lt;C&gt;1&lt;/C&gt;&lt;D xsi:type="xsd:double"&gt;19332.8&lt;/D&gt;&lt;/FQL&gt;&lt;FQL&gt;&lt;Q&gt;Ticker0024^FE_ESTIMATE(PRODLINE_EBIT_17,MEAN,QUARTERLY_ROLL,2024/4F,45740,,,'')&lt;/Q&gt;&lt;R&gt;1&lt;/R&gt;&lt;C&gt;1&lt;/C&gt;&lt;D xsi:type="xsd:double"&gt;4922.4&lt;/D&gt;&lt;/FQL&gt;&lt;FQL&gt;&lt;Q&gt;Ticker0024^FE_ESTIMATE(PRODLINE_EBIT_17,MEAN,QUARTERLY_ROLL,2024/3F,45740,,,'')&lt;/Q&gt;&lt;R&gt;1&lt;/R&gt;&lt;C&gt;1&lt;/C&gt;&lt;D xsi:type="xsd:double"&gt;4925.7144&lt;/D&gt;&lt;/FQL&gt;&lt;FQL&gt;&lt;Q&gt;Ticker0024^FE_ESTIMATE(PRODLINE_EBIT_17,MEAN,QUARTERLY_ROLL,2024/2F,45740,,,'')&lt;/Q&gt;&lt;R&gt;1&lt;/R&gt;&lt;C&gt;1&lt;/C&gt;&lt;D xsi:type="xsd:double</t>
        </r>
      </text>
    </comment>
    <comment ref="A24" authorId="0" shapeId="0" xr:uid="{EBC5FE13-3D27-4C45-A117-A0E43C6DC1CE}">
      <text>
        <r>
          <rPr>
            <b/>
            <sz val="9"/>
            <color indexed="81"/>
            <rFont val="Tahoma"/>
            <family val="2"/>
          </rPr>
          <t>"&gt;4308.3335&lt;/D&gt;&lt;/FQL&gt;&lt;FQL&gt;&lt;Q&gt;Ticker0024^FE_ESTIMATE(PRODLINE_EBIT_17,MEAN,QUARTERLY_ROLL,2024/1F,45740,,,'')&lt;/Q&gt;&lt;R&gt;1&lt;/R&gt;&lt;C&gt;1&lt;/C&gt;&lt;D xsi:type="xsd:double"&gt;5197&lt;/D&gt;&lt;/FQL&gt;&lt;FQL&gt;&lt;Q&gt;Ticker0024^FE_ESTIMATE(PRODLINE_EBIT_17,MEAN,ANNUAL_ROLL,2023,45740,,,'')&lt;/Q&gt;&lt;R&gt;1&lt;/R&gt;&lt;C&gt;1&lt;/C&gt;&lt;D xsi:type="xsd:double"&gt;16450&lt;/D&gt;&lt;/FQL&gt;&lt;FQL&gt;&lt;Q&gt;Ticker0024^FE_ESTIMATE(PRODLINE_EBIT_17,MEAN,QUARTERLY_ROLL,2023/4F,45740,,,'')&lt;/Q&gt;&lt;R&gt;1&lt;/R&gt;&lt;C&gt;1&lt;/C&gt;&lt;D xsi:type="xsd:double"&gt;4676.8&lt;/D&gt;&lt;/FQL&gt;&lt;FQL&gt;&lt;Q&gt;Ticker0024^FE_ESTIMATE(PRODLINE_EBIT_17,MEAN,QUARTERLY_ROLL,2023/3F,45740,,,'')&lt;/Q&gt;&lt;R&gt;1&lt;/R&gt;&lt;C&gt;1&lt;/C&gt;&lt;D xsi:type="xsd:double"&gt;4237.6&lt;/D&gt;&lt;/FQL&gt;&lt;FQL&gt;&lt;Q&gt;Ticker0024^FE_ESTIMATE(PRODLINE_EBIT_17,MEAN,QUARTERLY_ROLL,2023/2F,45740,,,'')&lt;/Q&gt;&lt;R&gt;1&lt;/R&gt;&lt;C&gt;1&lt;/C&gt;&lt;D xsi:type="xsd:double"&gt;3345&lt;/D&gt;&lt;/FQL&gt;&lt;FQL&gt;&lt;Q&gt;Ticker0024^FE_ESTIMATE(PRODLINE_EBIT_17,MEAN,QUARTERLY_ROLL,2023/1F,45740,,,'')&lt;/Q&gt;&lt;R&gt;1&lt;/R&gt;&lt;C&gt;1&lt;/C&gt;&lt;D xsi:type="xsd:double"&gt;4241.4&lt;/D&gt;&lt;/FQL&gt;&lt;FQL&gt;&lt;Q&gt;Ticker0024^FE_ESTIMATE(PRODLINE_EBIT_17,MEAN,ANNUAL_ROLL,2022,45740,,,'')&lt;/Q&gt;&lt;R&gt;1&lt;/R&gt;&lt;C&gt;1&lt;/C&gt;&lt;D xsi:type="xsd:double"&gt;20975.2&lt;/D&gt;&lt;/FQL&gt;&lt;FQL&gt;&lt;Q&gt;Ticker0024^FE_ESTIMATE(PRODLINE_EBIT_17,MEAN,QUARTERLY_ROLL,2022/4F,45740,,,'')&lt;/Q&gt;&lt;R&gt;1&lt;/R&gt;&lt;C&gt;1&lt;/C&gt;&lt;D xsi:type="xsd:double"&gt;4619.2&lt;/D&gt;&lt;/FQL&gt;&lt;FQL&gt;&lt;Q&gt;Ticker0024^FE_ESTIMATE(PRODLINE_EBIT_17,MEAN,QUARTERLY_ROLL,2022/3F,45740,,,'')&lt;/Q&gt;&lt;R&gt;1&lt;/R&gt;&lt;C&gt;1&lt;/C&gt;&lt;D xsi:type="xsd:double"&gt;4899&lt;/D&gt;&lt;/FQL&gt;&lt;FQL&gt;&lt;Q&gt;Ticker0024^FE_ESTIMATE(PRODLINE_EBIT_17,MEAN,QUARTERLY_ROLL,2022/2F,45740,,,'')&lt;/Q&gt;&lt;R&gt;1&lt;/R&gt;&lt;C&gt;1&lt;/C&gt;&lt;D xsi:type="xsd:double"&gt;6360&lt;/D&gt;&lt;/FQL&gt;&lt;FQL&gt;&lt;Q&gt;Ticker0024^FE_ESTIMATE(PRODLINE_EBIT_17,MEAN,QUARTERLY_ROLL,2022/1F,45740,,,'')&lt;/Q&gt;&lt;R&gt;1&lt;/R&gt;&lt;C&gt;1&lt;/C&gt;&lt;D xsi:type="xsd:double"&gt;5095&lt;/D&gt;&lt;/FQL&gt;&lt;FQL&gt;&lt;Q&gt;Ticker0024^FE_ESTIMATE(PRODLINE_EBIT_17,MEAN,ANNUAL_ROLL,2021,45740,,,'')&lt;/Q&gt;&lt;R&gt;1&lt;/R&gt;&lt;C&gt;1&lt;/C&gt;&lt;D xsi:type="xsd:double"&gt;19439.25&lt;/D&gt;&lt;/FQL&gt;&lt;FQL&gt;&lt;Q&gt;Ticker0024^FE_ESTIMATE(PRODLINE_EBIT_17,MEAN,QUARTERLY_ROLL,2021/4F,45740,,,'')&lt;/Q&gt;&lt;R&gt;1&lt;/R&gt;&lt;C&gt;1&lt;/C&gt;&lt;D xsi:type="xsd:double"&gt;4873&lt;/D&gt;&lt;/FQL&gt;&lt;FQL&gt;&lt;Q&gt;Ticker0024^FE_ESTIMATE(PRODLINE_EBIT_17,MEAN,QUARTERLY_ROLL,2021/3F,45740,,,'')&lt;/Q&gt;&lt;R&gt;1&lt;/R&gt;&lt;C&gt;1&lt;/C&gt;&lt;D xsi:type="xsd:double"&gt;4594&lt;/D&gt;&lt;/FQL&gt;&lt;FQL&gt;&lt;Q&gt;Ticker0024^FE_ESTIMATE(PRODLINE_EBIT_17,MEAN,QUARTERLY_ROLL,2021/2F,45740,,,'')&lt;/Q&gt;&lt;R&gt;1&lt;/R&gt;&lt;C&gt;1&lt;/C&gt;&lt;D xsi:type="xsd:double"&gt;5224&lt;/D&gt;&lt;/FQL&gt;&lt;FQL&gt;&lt;Q&gt;Ticker0024^FE_ESTIMATE(PRODLINE_EBIT_17,MEAN,QUARTERLY_ROLL,2021/1F,45740,,,'')&lt;/Q&gt;&lt;R&gt;1&lt;/R&gt;&lt;C&gt;1&lt;/C&gt;&lt;D xsi:type="xsd:double"&gt;4748&lt;/D&gt;&lt;/FQL&gt;&lt;FQL&gt;&lt;Q&gt;Ticker0024^FE_ESTIMATE(PRODLINE_EBIT_17,MEAN,ANNUAL_ROLL,2020,45740,,,'')&lt;/Q&gt;&lt;R&gt;1&lt;/R&gt;&lt;C&gt;1&lt;/C&gt;&lt;D xsi:type="xsd:double"&gt;15895.667&lt;/D&gt;&lt;/FQL&gt;&lt;FQL&gt;&lt;Q&gt;Ticker0024^FE_ESTIMATE(PRODLINE_EBIT_17,MEAN,QUARTERLY_ROLL,2020/4F,45740,,,'')&lt;/Q&gt;&lt;R&gt;1&lt;/R&gt;&lt;C&gt;1&lt;/C&gt;&lt;D xsi:type="xsd:double"&gt;4075.3333&lt;/D&gt;&lt;/FQL&gt;&lt;FQL&gt;&lt;Q&gt;Ticker0024^FE_ESTIMATE(PRODLINE_EBIT_17,MEAN,QUARTERLY_ROLL,2020/3F,45740,,,'')&lt;/Q&gt;&lt;R&gt;1&lt;/R&gt;&lt;C&gt;1&lt;/C&gt;&lt;D xsi:type="xsd:double"&gt;3627&lt;/D&gt;&lt;/FQL&gt;&lt;FQL&gt;&lt;Q&gt;Ticker0024^FE_ESTIMATE(PRODLINE_EBIT_17,MEAN,QUARTERLY_ROLL,2020/2F,45740,,,'')&lt;/Q&gt;&lt;R&gt;1&lt;/R&gt;&lt;C&gt;1&lt;/C&gt;&lt;D xsi:type="xsd:double"&gt;4178&lt;/D&gt;&lt;/FQL&gt;&lt;FQL&gt;&lt;Q&gt;Ticker0024^FE_ESTIMATE(PRODLINE_EBIT_17,MEAN,QUARTERLY_ROLL,2020/1F,45740,,,'')&lt;/Q&gt;&lt;R&gt;1&lt;/R&gt;&lt;C&gt;1&lt;/C&gt;&lt;D xsi:type="xsd:double"&gt;4015&lt;/D&gt;&lt;/FQL&gt;&lt;FQL&gt;&lt;Q&gt;Ticker0024^FE_ESTIMATE(PRODLINE_EBIT_17,MEAN,ANNUAL_ROLL,2019,45740,,,'')&lt;/Q&gt;&lt;R&gt;1&lt;/R&gt;&lt;C&gt;1&lt;/C&gt;&lt;D xsi:type="xsd:double"&gt;12820&lt;/D&gt;&lt;/FQL&gt;&lt;FQL&gt;&lt;Q&gt;Ticker0024^FE_ESTIMATE(PRODLINE_EBIT_17,MEAN,QUARTERLY_ROLL,2019/4F,45740,,,'')&lt;/Q&gt;&lt;R&gt;1&lt;/R&gt;&lt;C&gt;1&lt;/C&gt;&lt;D xsi:type="xsd:double"&gt;3559&lt;/D&gt;&lt;/FQL&gt;&lt;FQL&gt;&lt;Q&gt;Ticker0024^FE_ESTIMATE(PRODLINE_EBIT_17,MEAN,QUARTERLY_ROLL,2019/3F,45740,,,'')&lt;/Q&gt;&lt;R&gt;1&lt;/R&gt;&lt;C&gt;1&lt;/C&gt;&lt;D xsi:type="xsd:double"&gt;3154&lt;/D&gt;&lt;/FQL&gt;&lt;FQL&gt;&lt;Q&gt;Ticker0024^FE_ESTIMATE(PRODLINE_EBIT_17,MEAN,QUARTERLY_ROLL,2019/2F,45740,,,'')&lt;/Q&gt;&lt;R&gt;1&lt;/R&gt;&lt;C&gt;1&lt;/C&gt;&lt;D xsi:type="xsd:double"&gt;2964&lt;/D&gt;&lt;/FQL&gt;&lt;FQL&gt;&lt;Q&gt;Ticker0024^FE_ESTIMATE(PRODLINE_EBIT_17,MEAN,QUARTERLY_ROLL,2019/1F,45740,,,'')&lt;/Q&gt;&lt;R&gt;1&lt;/R&gt;&lt;C&gt;1&lt;/C&gt;&lt;D xsi:type="xsd:double"&gt;3143&lt;/D&gt;&lt;/FQL&gt;&lt;FQL&gt;&lt;Q&gt;Ticker0024^FE_ESTIMATE(PRODLINE_EBIT_17,MEAN,ANNUAL_ROLL,2018,45740,,,'')&lt;/Q&gt;&lt;R&gt;1&lt;/R&gt;&lt;C&gt;1&lt;/C&gt;&lt;D xsi:type="xsd:double"&gt;10610.25&lt;/D&gt;&lt;/FQL&gt;&lt;FQL&gt;&lt;Q&gt;Ticker0024^FE_ESTIMATE(PRODLINE_EBIT_17,MEAN,QUARTERLY_ROLL,2018/4F,45740,,,'')&lt;/Q&gt;&lt;R&gt;1&lt;/R&gt;&lt;C&gt;1&lt;/C&gt;&lt;D xsi:type="xsd:double"&gt;3012&lt;/D&gt;&lt;/FQL&gt;&lt;FQL&gt;&lt;Q&gt;Ticker0024^FE_ESTIMATE(PRODLINE_EBIT_17,MEAN,QUARTERLY_ROLL,2018/3F,45740,,,'')&lt;/Q&gt;&lt;R&gt;1&lt;/R&gt;&lt;C&gt;1&lt;/C&gt;&lt;D xsi:type="xsd:double"&gt;2523&lt;/D&gt;&lt;/FQL&gt;&lt;FQL&gt;&lt;Q&gt;Ticker0024^FE_ESTIMATE(PRODLINE_EBIT_17,MEAN,QUARTERLY_ROLL,2018/2F,45740,,,'')&lt;/Q&gt;&lt;R&gt;1&lt;/R&gt;&lt;C&gt;1&lt;/C&gt;&lt;D xsi:type="xsd:double"&gt;2510&lt;/D&gt;&lt;/FQL&gt;&lt;FQL&gt;&lt;Q&gt;Ticker0024^FE_ESTIMATE(PRODLINE_EBIT_17,MEAN,QUARTERLY_ROLL,2018/1F,45740,,,'')&lt;/Q&gt;&lt;R&gt;1&lt;/R&gt;&lt;C&gt;1&lt;/C&gt;&lt;D xsi:type="xsd:double"&gt;2565&lt;/D&gt;&lt;/FQL&gt;&lt;FQL&gt;&lt;Q&gt;Ticker0024^FE_ESTIMATE(PRODLINE_EBIT_17,MEAN,ANNUAL_ROLL,2017,45740,,,'')&lt;/Q&gt;&lt;R&gt;1&lt;/R&gt;&lt;C&gt;1&lt;/C&gt;&lt;D xsi:type="xsd:double"&gt;8288&lt;/D&gt;&lt;/FQL&gt;&lt;FQL&gt;&lt;Q&gt;Ticker0024^FE_ESTIMATE(PRODLINE_EBIT_17,MEAN,QUARTERLY_ROLL,2017/4F,45740,,,'')&lt;/Q&gt;&lt;R&gt;1&lt;/R&gt;&lt;C&gt;1&lt;/C&gt;&lt;D xsi:type="xsd:double"&gt;1764&lt;/D&gt;&lt;/FQL&gt;&lt;FQL&gt;&lt;Q&gt;Ticker0024^FE_ESTIMATE(PRODLINE_EBIT_17,MEAN,QUARTERLY_ROLL,2017/3F,45740,,,'')&lt;/Q&gt;&lt;R&gt;1&lt;/R&gt;&lt;C&gt;1&lt;/C&gt;&lt;D xsi:type="xsd:double"&gt;2097&lt;/D&gt;&lt;/FQL&gt;&lt;FQL&gt;&lt;Q&gt;Ticker0024^FE_ESTIMATE(PRODLINE_EBIT_17,MEAN,QUARTERLY_ROLL,2017/2F,45740,,,'')&lt;/Q&gt;&lt;R&gt;1&lt;/R&gt;&lt;C&gt;1&lt;/C&gt;&lt;D xsi:type="xsd:double"&gt;2499&lt;/D&gt;&lt;/FQL&gt;&lt;FQL&gt;&lt;Q&gt;Ticker0024^FE_ESTIMATE(PRODLINE_EBIT_17,MEAN,QUARTERLY_ROLL,2017/1F,45740,,,'')&lt;/Q&gt;&lt;R&gt;1&lt;/R&gt;&lt;C&gt;1&lt;/C&gt;&lt;D xsi:type="xsd:double"&gt;1928&lt;/D&gt;&lt;/FQL&gt;&lt;FQL&gt;&lt;Q&gt;Ticker0024^FE_ESTIMATE(PRODLINE_EBIT_17,MEAN,ANNUAL_ROLL,2016,45740,,,'')&lt;/Q&gt;&lt;R&gt;1&lt;/R&gt;&lt;C&gt;1&lt;/C&gt;&lt;D xsi:type="xsd:double"&gt;6167.3335&lt;/D&gt;&lt;/FQL&gt;&lt;FQL&gt;&lt;Q&gt;Ticker0024^FE_ESTIMATE(PRODLINE_EBIT_17,MEAN,QUARTERLY_ROLL,2016/4F,45740,,,'')&lt;/Q&gt;&lt;R&gt;1&lt;/R&gt;&lt;C&gt;1&lt;/C&gt;&lt;D xsi:type="xsd:double"&gt;964&lt;/D&gt;&lt;/FQL&gt;&lt;FQL&gt;&lt;Q&gt;Ticker0024^FE_ESTIMATE(PRODLINE_EBIT_17,MEAN,QUARTERLY_ROLL,2016/3F,45740,,,'')&lt;/Q&gt;&lt;R&gt;1&lt;/R&gt;&lt;C&gt;1&lt;/C&gt;&lt;D xsi:type="xsd:double"&gt;1645&lt;/D&gt;&lt;/FQL&gt;&lt;FQL&gt;&lt;Q&gt;Ticker0024^FE_ESTIMATE(PRODLINE_EBIT_17,MEAN,QUARTERLY_ROLL,2016/2F,45740,,,'')&lt;/Q&gt;&lt;R&gt;0&lt;/R&gt;&lt;C&gt;0&lt;/C&gt;&lt;/FQL&gt;&lt;FQL&gt;&lt;Q&gt;Ticker0024^FE_ESTIMATE(PRODLINE_EBIT_17,MEAN,QUARTERLY_ROLL,2016/1F,45740,,,'')&lt;/Q&gt;&lt;R&gt;0&lt;/R&gt;&lt;C&gt;0&lt;/C&gt;&lt;/FQL&gt;&lt;FQL&gt;&lt;Q&gt;Ticker0024^FE_ESTIMATE(PRODLINE_EBIT_17,MEAN,ANNUAL_ROLL,2015,45740,,,'')&lt;/Q&gt;&lt;R&gt;0&lt;/R&gt;&lt;C&gt;0&lt;/C&gt;&lt;/FQL&gt;&lt;FQL&gt;&lt;Q&gt;Ticker0024^FE_ESTIMATE(PRODLINE_EBIT_17,MEAN,QUARTERLY_ROLL,2015/4F,45740,,,'')&lt;/Q&gt;&lt;R&gt;0&lt;/R&gt;&lt;C&gt;0&lt;/C&gt;&lt;/FQL&gt;&lt;FQL&gt;&lt;Q&gt;Ticker0024^FE_ESTIMATE(PRODLINE_EBIT_17,MEAN,QUARTERLY_ROLL,2015/3F,45740,,,'')&lt;/Q&gt;&lt;R&gt;0&lt;/R&gt;&lt;C&gt;0&lt;/C&gt;&lt;/FQL&gt;&lt;FQL&gt;&lt;Q&gt;Ticker0024^FE_ESTIMATE(PRODLINE_EBIT_17,MEAN,QUARTERLY_ROLL,2015/2F,45740,,,'')&lt;/Q&gt;&lt;R&gt;0&lt;/R&gt;&lt;C&gt;0&lt;/C&gt;&lt;/FQL&gt;&lt;FQL&gt;&lt;Q&gt;Ticker0024^FE_ESTIMATE(PRODLINE_EBIT_17,MEAN,QUARTERLY_ROLL,2015/1F,45740,,,'')&lt;/Q&gt;&lt;R&gt;0&lt;/R&gt;&lt;C&gt;0&lt;/C&gt;&lt;/FQL&gt;&lt;FQL&gt;&lt;Q&gt;Ticker0024^FE_ESTIMATE(PRODLINE_EBIT_16,MEAN,ANNUAL_ROLL,2030,45740,,,'')&lt;/Q&gt;&lt;R&gt;0&lt;/R&gt;&lt;C&gt;0&lt;/C&gt;&lt;/FQL&gt;&lt;FQL&gt;&lt;Q&gt;Ticker0024^FE_ESTIMATE(PRODLINE_EBIT_16,MEAN,QUARTERLY_ROLL,2030/4F,45740,,,'')&lt;/Q&gt;&lt;R&gt;0&lt;/R&gt;&lt;C&gt;0&lt;/C&gt;&lt;/FQL&gt;&lt;FQL&gt;&lt;Q&gt;Ticker0024^FE_ESTIMATE(PRODLINE_EBIT_16,MEAN,QUARTERLY_ROLL,2030/3F,45740,,,'')&lt;/Q&gt;&lt;R&gt;0&lt;/R&gt;&lt;C&gt;0&lt;/C&gt;&lt;/FQL&gt;&lt;FQL&gt;&lt;Q&gt;Ticker0024^FE_ESTIMATE(PRODLINE_EBIT_16,MEAN,QUARTERLY_ROLL,2030/2F,45740,,,'')&lt;/Q&gt;&lt;R&gt;0&lt;/R&gt;&lt;C&gt;0&lt;/C&gt;&lt;/FQL&gt;&lt;FQL&gt;&lt;Q&gt;Ticker0024^FE_ESTIMATE(PRODLINE_EBIT_16,MEAN,QUARTERLY_ROLL,2030/1F,45740,,,'')&lt;/Q&gt;&lt;R&gt;0&lt;/R&gt;&lt;C&gt;0&lt;/C&gt;&lt;/FQL&gt;&lt;FQL&gt;&lt;Q&gt;Ticker0024^FE_ESTIMATE(PRODLINE_EBIT_16,MEAN,ANNUAL_ROLL,2029,45740,,,'')&lt;/Q&gt;&lt;R&gt;0&lt;/R&gt;&lt;C&gt;0&lt;/C&gt;&lt;/FQL&gt;&lt;FQL&gt;&lt;Q&gt;Ticker0024^FE_ESTIMATE(PRODLINE_EBIT_16,MEAN,QUARTERLY_ROLL,2029/4F,45740,,,'')&lt;/Q&gt;&lt;R&gt;0&lt;/R&gt;&lt;C&gt;0&lt;/C&gt;&lt;/FQL&gt;&lt;FQL&gt;&lt;Q&gt;Ticker0024^FE_ESTIMATE(PRODLINE_EBIT_16,MEAN,QUARTERLY_ROLL,2029/3F,45740,,,'')&lt;/Q&gt;&lt;R&gt;0&lt;/R&gt;&lt;C&gt;0&lt;/C&gt;&lt;/FQL&gt;&lt;FQL&gt;&lt;Q&gt;Ticker0024^FE_ESTIMATE(PRODLINE_EBIT_16,MEAN,QUARTERLY_ROLL,2029/2F,45740,,,'')&lt;/Q&gt;&lt;R&gt;0&lt;/R&gt;&lt;C&gt;0&lt;/C&gt;&lt;/FQL&gt;&lt;FQL&gt;&lt;Q&gt;Ticker0024^FE_ESTIMATE(PRODLINE_EBIT_16,MEAN,QUARTERLY_ROLL,2029/1F,45740,,,'')&lt;/Q&gt;&lt;R&gt;0&lt;/R&gt;&lt;C&gt;0&lt;/C&gt;&lt;/FQL&gt;&lt;FQL&gt;&lt;Q&gt;Ticker0024^FE_ESTIMATE(PRODLINE_EBIT_16,MEAN,ANNUAL_ROLL,2028,45740,,,'')&lt;/Q&gt;&lt;R&gt;1&lt;/R&gt;&lt;C&gt;1&lt;/C&gt;&lt;D xsi:type="xsd:double"&gt;88201&lt;/D&gt;&lt;/FQL&gt;&lt;FQL&gt;&lt;Q&gt;Ticker0024^FE_ESTIMATE(PRODLINE_EBIT_16,MEAN,QUARTERLY_ROLL,2028/4F,45740,,,'')&lt;/Q&gt;&lt;R&gt;0&lt;/R&gt;&lt;C&gt;0&lt;/C&gt;&lt;/FQL&gt;&lt;FQL&gt;&lt;Q&gt;Ticker0024^FE_ESTIMATE(PRODLINE_EBIT_16,MEAN,QUARTERLY_ROLL,2028/3F,45740,,,'')&lt;/Q&gt;&lt;R&gt;0&lt;/R&gt;&lt;C&gt;0&lt;/C&gt;&lt;/FQL&gt;&lt;FQL&gt;&lt;Q&gt;Ticker0024^FE_ESTIMATE(PRODLINE_EBIT_16,MEAN,QUARTERLY_ROLL,2028/2F,45740,,,'')&lt;/Q&gt;&lt;R&gt;0&lt;/R&gt;&lt;C&gt;0&lt;/C&gt;&lt;/FQL&gt;&lt;FQL&gt;&lt;Q&gt;Ticker0024^FE_ESTIMATE(PRODLINE_EBIT_16,MEAN,QUARTERLY_ROLL,2028/1F,45740,,,'')&lt;/Q&gt;&lt;R&gt;0&lt;/R&gt;&lt;C&gt;0&lt;/C&gt;&lt;/FQL&gt;&lt;FQL&gt;&lt;Q&gt;Ticker0024^FE_ESTIMATE(PRODLINE_EBIT_16,MEAN,ANNUAL_ROLL,2027,45740,,,'')&lt;/Q&gt;&lt;R&gt;1&lt;/R&gt;&lt;C&gt;1&lt;/C&gt;&lt;D xsi:type="xsd:double"&gt;69101.336&lt;/D&gt;&lt;/FQL&gt;&lt;FQL&gt;&lt;Q&gt;Ticker0024^FE_ESTIMATE(PRODLINE_EBIT_16,MEAN,QUARTERLY_ROLL,2027/4F,45740,,,'')&lt;/Q&gt;&lt;R&gt;0&lt;/R&gt;&lt;C&gt;0&lt;/C&gt;&lt;/FQL&gt;&lt;FQL&gt;&lt;Q&gt;Ticker0024^FE_ESTIMATE(PRODLINE_EBIT_16,MEAN,QUARTERLY_ROLL,2027/3F,45740,,,'')&lt;/Q&gt;&lt;R&gt;0&lt;/R&gt;&lt;C&gt;0&lt;/C&gt;&lt;/FQL&gt;&lt;FQL&gt;&lt;Q&gt;Ticker0024^FE_ESTIMATE(PRODLINE_EBIT_16,MEAN,QUARTERLY_ROLL,2027/2F,45740,,,'')&lt;/Q&gt;&lt;R&gt;0&lt;/R&gt;&lt;C&gt;0&lt;/C&gt;&lt;/FQL&gt;&lt;FQL&gt;&lt;Q&gt;Ticker0024^FE_ESTIMATE(PRODLINE_EBIT_16,MEAN,QUARTERLY_ROLL,2027/1F,45740,,,'')&lt;/Q&gt;&lt;R&gt;0&lt;/R&gt;&lt;C&gt;0&lt;/C&gt;&lt;/FQL&gt;&lt;FQL&gt;&lt;Q&gt;Ticker0024^FE_ESTIMATE(PRODLINE_EBIT_16,MEAN,ANNUAL_ROLL,2026,45740,,,'')&lt;/Q&gt;&lt;R&gt;1&lt;/R&gt;&lt;C&gt;1&lt;/C&gt;&lt;D xsi:type="xsd:double"&gt;57133.25&lt;/D&gt;&lt;/FQL&gt;&lt;FQL&gt;&lt;Q&gt;Ticker0024^FE_ESTIMATE(PRODLINE_EBIT_16,MEAN,QUARTERLY_ROLL,2026/4F,45740,,,'')&lt;/Q&gt;&lt;R&gt;1&lt;/R&gt;&lt;C&gt;1&lt;/C&gt;&lt;D xsi:type="xsd:double"&gt;15323.667&lt;/D&gt;&lt;/FQL&gt;&lt;FQL&gt;&lt;Q&gt;Ticker0024^FE_ESTIMATE(PRODLINE_EBIT_16,MEAN,QUARTERLY_ROLL,2026/3F,45740,,,'')&lt;/Q&gt;&lt;R&gt;1&lt;/R&gt;&lt;C&gt;1&lt;/C&gt;&lt;D xsi:type="xsd:double"&gt;14215&lt;/D&gt;&lt;/FQL&gt;&lt;FQL&gt;&lt;Q&gt;Ticker0024^FE_ESTIMATE(PRODLINE_EBIT_16,MEAN,QUARTERLY_ROLL,2026/2F,45740,,,'')&lt;/Q&gt;&lt;R&gt;1&lt;/R&gt;&lt;C&gt;1&lt;/C&gt;&lt;D xsi:type="xsd:double"&gt;13941.333&lt;/D&gt;&lt;/FQL&gt;&lt;FQL&gt;&lt;Q&gt;Ticker0024^FE_ESTIMATE(PRODLINE_EBIT_16,MEAN,QUARTERLY_ROLL,2026/1F,45740,,,'')&lt;/Q&gt;&lt;R&gt;1&lt;/R&gt;&lt;C&gt;1&lt;/C&gt;&lt;D xsi:type="xsd:double"&gt;13576.667&lt;/D&gt;&lt;/FQL&gt;&lt;FQL&gt;&lt;Q&gt;Ticker0024^FE_ESTIMATE(PRODLINE_EBIT_16,MEAN,ANNUAL_ROLL,2025,45740,,,'')&lt;/Q&gt;&lt;R&gt;1&lt;/R&gt;&lt;C&gt;1&lt;/C&gt;&lt;D xsi:type="xsd:double"&gt;46586.4&lt;/D&gt;&lt;/FQL&gt;&lt;FQL&gt;&lt;Q&gt;Ticker0024^FE_ESTIMATE(PRODLINE_EBIT_16,MEAN,QUARTERLY_ROLL,2025/4F,45740,,,'')&lt;/Q&gt;&lt;R&gt;1&lt;/R&gt;&lt;C&gt;1&lt;/C&gt;&lt;D xsi:type="xsd:double"&gt;12703.6&lt;/D&gt;&lt;/FQL&gt;&lt;FQL&gt;&lt;Q&gt;Ticker0024^FE_ESTIMATE(PRODLINE_EBIT_16,MEAN,QUARTERLY_ROLL,2025/3F,45740,,,'')&lt;/Q&gt;&lt;R&gt;1&lt;/R&gt;&lt;C&gt;1&lt;/C&gt;&lt;D xsi:type="xsd:double"&gt;11483.2&lt;/D&gt;&lt;/FQL&gt;&lt;FQL&gt;&lt;Q&gt;Ticker0024^FE_ESTIMATE(PRODLINE_EBIT_16,MEAN,QUARTERLY_ROLL,2025/2F,45740,,,'')&lt;/Q&gt;&lt;R&gt;1&lt;/R&gt;&lt;C&gt;1&lt;/C&gt;&lt;D xsi:type="xsd:double"&gt;11386.8&lt;/D&gt;&lt;/FQL&gt;&lt;FQL&gt;&lt;Q&gt;Ticker0024^FE_ESTIMATE(PRODLINE_EBIT_16,MEAN,QUARTERLY_ROLL,2025/1F,45740,,,'')&lt;/Q&gt;&lt;R&gt;1&lt;/R&gt;&lt;C&gt;1&lt;/C&gt;&lt;D xsi:type="xsd:double"&gt;11013&lt;/D&gt;&lt;/FQL&gt;&lt;FQL&gt;&lt;Q&gt;Ticker0024^FE_ESTIMATE(PRODLINE_EBIT_16,MEAN,ANNUAL_ROLL,2024,45740,,,'')&lt;/Q&gt;&lt;R&gt;1&lt;/R&gt;&lt;C&gt;1&lt;/C&gt;&lt;D xsi:type="xsd:double"&gt;49583.2&lt;/D&gt;&lt;/FQL&gt;&lt;FQL&gt;&lt;Q&gt;Ticker0024^FE_ESTIMATE(PRODLINE_EBIT_16,MEAN,QUARTERLY_ROLL,2024/4F,45740,,,'')&lt;/Q&gt;&lt;R&gt;1&lt;/R&gt;&lt;C&gt;1&lt;/C&gt;&lt;D xsi:type="xsd:double"&gt;12859.2&lt;/D&gt;&lt;/FQL&gt;&lt;FQL&gt;&lt;Q&gt;Ticker0024^FE_ESTIMATE(PRODLINE_EBIT_16,MEAN,QUARTERLY_ROLL,2024/3F,45740,,,'')&lt;/Q&gt;&lt;R&gt;1&lt;/R&gt;&lt;C&gt;1&lt;/C&gt;&lt;D xsi:type="xsd:double"&gt;12512.571&lt;/D&gt;&lt;/FQL&gt;&lt;FQL&gt;&lt;Q&gt;Ticker0024^FE_ESTIMATE(PRODLINE_EBIT_16,MEAN,QUARTERLY_ROLL,2024/2F,45740,,,'')&lt;/Q&gt;&lt;R&gt;1&lt;/R&gt;&lt;C&gt;1&lt;/C&gt;&lt;D xsi:type="xsd:double"&gt;12460.833&lt;/D&gt;&lt;/FQL&gt;&lt;FQL&gt;&lt;Q&gt;Ticker0024^FE_ESTIMATE(PRODLINE_EBIT_16,MEAN,QUARTERLY_ROLL,2024/1F,45740,,,'')&lt;/Q&gt;&lt;R&gt;1&lt;/R&gt;&lt;C&gt;1&lt;/C&gt;&lt;D xsi:type="xsd:double"&gt;11750.8&lt;/D&gt;&lt;/FQL&gt;&lt;FQL&gt;&lt;Q&gt;Ticker0024^FE_ESTIMATE(PRODLINE_EBIT_16,MEAN,ANNUAL_ROLL,2023,45740,,,'')&lt;/Q&gt;&lt;R&gt;1&lt;/R&gt;&lt;C&gt;1&lt;/C&gt;&lt;D xsi:type="xsd:double"&gt;37883.2&lt;/D&gt;&lt;/FQL&gt;&lt;FQL&gt;&lt;Q&gt;Ticker0024^FE_ESTIMATE(PRODLINE_EBIT_16,MEAN,QUARTERLY_ROLL,2023/4F,45740,,,'')&lt;/Q&gt;&lt;R&gt;1&lt;/R&gt;&lt;C&gt;1&lt;/C&gt;&lt;D xsi:type="xsd:double"&gt;10526.8&lt;/D&gt;&lt;/FQL&gt;&lt;FQL&gt;&lt;Q&gt;Ticker0024^FE_ESTIMATE(PRODLINE_EBIT_16,MEAN,QUARTERLY_ROLL,2023/3F,45740,,,'')&lt;/Q&gt;&lt;R&gt;1&lt;/R&gt;&lt;C&gt;1&lt;/C&gt;&lt;D xsi:type="xsd:double"&gt;9476.8&lt;/D&gt;&lt;/FQL&gt;&lt;FQL&gt;&lt;Q&gt;Ticker0024^FE_ESTIMATE(PRODLINE_EBIT_16,MEAN,QUARTERLY_ROLL,2023/2F,45740,,,'')&lt;/Q&gt;&lt;R&gt;1&lt;/R&gt;&lt;C&gt;1&lt;/C&gt;&lt;D xsi:type="xsd:double"&gt;8903.2&lt;/D&gt;&lt;/FQL&gt;&lt;FQL&gt;&lt;Q&gt;Ticker0024^FE_ESTIMATE(PRODLINE_EBIT_16,MEAN,QUARTERLY_ROLL,2023/1F,45740,,,'')&lt;/Q&gt;&lt;R&gt;1&lt;/R&gt;&lt;C&gt;1&lt;/C&gt;&lt;D xsi:type="xsd:double"&gt;8954.6&lt;/D&gt;&lt;/FQL&gt;&lt;FQL&gt;&lt;Q&gt;Ticker0024^FE_ESTIMATE(PRODLINE_EBIT_16,MEAN,ANNUAL_ROLL,2022,45740,,,'')&lt;/Q&gt;&lt;R&gt;1&lt;/R&gt;&lt;C&gt;1&lt;/C&gt;&lt;D xsi:type="xsd:double"&gt;32708.6&lt;/D&gt;&lt;/FQL&gt;&lt;FQL&gt;&lt;Q&gt;Ticker0024^FE_ESTIMATE(PRODLINE_EBIT_16,MEAN,QUARTERLY_ROLL,2022/4F,45740,,,'')&lt;/Q&gt;&lt;R&gt;1&lt;/R&gt;&lt;C&gt;1&lt;/C&gt;&lt;D xsi:type="xsd:double"&gt;8668.8&lt;/D&gt;&lt;/FQL&gt;&lt;FQL&gt;&lt;Q&gt;Ticker0024^FE_ESTIMATE(PRODLINE_EBIT_16,MEAN,QUARTERLY_ROLL,2022/3F,45740,,,'')&lt;/Q&gt;&lt;R&gt;1&lt;/R&gt;&lt;C&gt;1&lt;/C&gt;&lt;D xsi:type="xsd:double"&gt;8281&lt;/D&gt;&lt;/FQL&gt;&lt;FQL&gt;&lt;Q&gt;Ticker0024^FE_ESTIMATE(PRODLINE_EBIT_16,MEAN,QUARTERLY_ROLL,2022/2F,45740,,,'')&lt;/Q&gt;&lt;R&gt;1&lt;/R&gt;&lt;C&gt;1&lt;/C&gt;&lt;D xsi:type="xsd:double"&gt;8197&lt;/D&gt;&lt;/FQL&gt;&lt;FQL&gt;&lt;Q&gt;Ticker0024^FE_ESTIMATE(PRODLINE_EBIT_16,MEAN,QUARTERLY_ROLL,2022/1F,45740,,,'')&lt;/Q&gt;&lt;R&gt;1&lt;/R&gt;&lt;C&gt;1&lt;/C&gt;&lt;D xsi:type="xsd:double"&gt;7562&lt;/D&gt;&lt;/FQL&gt;&lt;FQL&gt;&lt;Q&gt;Ticker0024^FE_ESTIMATE(PRODLINE_EBIT_16,MEAN,ANNUAL_ROLL,2021,45740,,,'')&lt;/Q&gt;&lt;R&gt;1&lt;/R&gt;&lt;C&gt;1&lt;/C&gt;&lt;D xsi:type="xsd:double"&gt;26126&lt;/D&gt;&lt;/FQL&gt;&lt;FQL&gt;&lt;Q&gt;Ticker0024^FE_ESTIMATE(PRODLINE_EBIT_16,MEAN,QUARTERLY_ROLL,2021/4F,45740,,,'')&lt;/Q&gt;&lt;R&gt;1&lt;/R&gt;&lt;C&gt;1&lt;/C&gt;&lt;D xsi:type="xsd:double"&gt;7787&lt;/D&gt;&lt;/FQL&gt;&lt;FQL&gt;&lt;Q&gt;Ticker0024^FE_ESTIMATE(PRODLINE_EBIT_16,MEAN,QUARTERLY_ROLL,2021/3F,45740,,,'')&lt;/Q&gt;&lt;R&gt;1&lt;/R&gt;&lt;C&gt;1&lt;/C&gt;&lt;D xsi:type="xsd:double"&gt;6425&lt;/D&gt;&lt;/FQL&gt;&lt;FQL&gt;&lt;Q&gt;Ticker0024^FE_ESTIMATE(PRODLINE_EBIT_16,MEAN,QUARTERLY_ROLL,2021/2F,45740,,,'')&lt;/Q&gt;&lt;R&gt;1&lt;/R&gt;&lt;C&gt;1&lt;/C&gt;&lt;D xsi:type="xsd:double"&gt;6492&lt;/D&gt;&lt;/FQL&gt;&lt;FQL&gt;&lt;Q&gt;Ticker0024^FE_ESTIMATE(PRODLINE_EBIT_16,MEAN,QUARTERLY_ROLL,2021/1F,45740,,,'')&lt;/Q&gt;&lt;R&gt;1&lt;/R&gt;&lt;C&gt;1&lt;/C&gt;&lt;D xsi:type="xsd:double"&gt;5422&lt;/D&gt;&lt;/FQL&gt;&lt;FQL&gt;&lt;Q&gt;Ticker0024^FE_ESTIMATE(PRODLINE_EBIT_16,MEAN,ANNUAL_ROLL,2020,45740,,,'')&lt;/Q&gt;&lt;R&gt;1&lt;/R&gt;&lt;C&gt;1&lt;/C&gt;&lt;D xsi:type="xsd:double"&gt;18188.334&lt;/D&gt;&lt;/FQL&gt;&lt;FQL&gt;&lt;Q&gt;Ticker0024^FE_ESTIMATE(PRODLINE_EBIT_16,MEAN,QUARTERLY_ROLL,2020/4F,45740,,,'')&lt;/Q&gt;&lt;R&gt;1&lt;/R&gt;&lt;C&gt;1&lt;/C&gt;&lt;D xsi:type="xsd:double"&gt;5208.3335&lt;/D&gt;&lt;/FQL&gt;&lt;FQL&gt;&lt;Q&gt;Ticker0024^FE_ESTIMATE(PRODLINE_EBIT_16,MEAN,QUARTERLY_ROLL,2020/3F,45740,,,'')&lt;/Q&gt;&lt;R&gt;1&lt;/R&gt;&lt;C&gt;1&lt;/C&gt;&lt;D xsi:type="xsd:double"&gt;4560&lt;/D&gt;&lt;/FQL&gt;&lt;FQL&gt;&lt;Q&gt;Ticker0024^FE_ESTIMATE(PRODLINE_EBIT_16,MEAN,QUARTERLY_ROLL,2020/2F,45740,,,'')&lt;/Q&gt;&lt;R&gt;1&lt;/R&gt;&lt;C&gt;1&lt;/C&gt;&lt;D xsi:type="xsd:double"&gt;4531&lt;/D&gt;&lt;/FQL&gt;&lt;FQL&gt;&lt;Q&gt;Ticker0024^FE_ESTIMATE(PRODLINE_EBIT_16,MEAN,QUARTERLY_ROLL,2020/1F,45740,,,'')&lt;/Q&gt;&lt;R&gt;1&lt;/R&gt;&lt;C&gt;1&lt;/C&gt;&lt;D xsi:type="xsd:double"&gt;3889&lt;/D&gt;&lt;/FQL&gt;&lt;FQL&gt;&lt;Q&gt;Ticker0024^FE_ESTIMATE(PRODLINE_EBIT_16,MEAN,ANNUAL_ROLL,2019,45740,,,'')&lt;/Q&gt;&lt;R&gt;1&lt;/R&gt;&lt;C&gt;1&lt;/C&gt;&lt;D xsi:type="xsd:double"&gt;13920&lt;/D&gt;&lt;/FQL&gt;&lt;FQL&gt;&lt;Q&gt;Ticker0024^FE_ESTIMATE(PRODLINE_EBIT_16,MEAN,QUARTERLY_ROLL,2019/4F,45740,,,'')&lt;/Q&gt;&lt;R&gt;1&lt;/R&gt;&lt;C&gt;1&lt;/C&gt;&lt;D xsi:type="xsd:double"&gt;4502&lt;/D&gt;&lt;/FQL&gt;&lt;FQL&gt;&lt;Q&gt;Ticker0024^FE_ESTIMATE(PRODLINE_EBIT_16,MEAN,QUARTERLY_ROLL,2019/3F,45740,,,'')&lt;/Q&gt;&lt;R&gt;1&lt;/R&gt;&lt;C&gt;1&lt;/C&gt;&lt;D xsi:type="xsd:double"&gt;3208&lt;/D&gt;&lt;/FQL&gt;&lt;FQL&gt;&lt;Q&gt;Ticker0024^FE_ESTIMATE(PRODLINE_EBIT_16,MEAN,QUARTERLY_ROLL,2019/2F,45740,,,'')&lt;/Q&gt;&lt;R&gt;1&lt;/R&gt;&lt;C&gt;1&lt;/C&gt;&lt;D xsi:type="xsd:double"&gt;3278.75&lt;/D&gt;&lt;/FQL&gt;&lt;FQL&gt;&lt;Q&gt;Ticker0024^FE_ESTIMATE(PRODLINE_EBIT_16,MEAN,QUARTERLY_ROLL,2019/1F,45740,,,'')&lt;/Q&gt;&lt;R&gt;1&lt;/R&gt;&lt;C&gt;1&lt;/C&gt;&lt;D xsi:type="xsd:double"&gt;2931&lt;/D&gt;&lt;/FQL&gt;&lt;FQL&gt;&lt;Q&gt;Ticker0024^FE_ESTIMATE(PRODLINE_EBIT_16,MEAN,ANNUAL_ROLL,2018,45740,,,'')&lt;/Q&gt;&lt;R&gt;1&lt;/R&gt;&lt;C&gt;1&lt;/C&gt;&lt;D xsi:type="xsd:double"&gt;11524&lt;/D&gt;&lt;/FQL&gt;&lt;FQL&gt;&lt;Q&gt;Ticker0024^FE_ESTIMATE(PRODLINE_EBIT_16,MEAN,QUARTERLY_ROLL,2018/4F,45740,,,'')&lt;/Q&gt;&lt;R&gt;1&lt;/R&gt;&lt;C&gt;1&lt;/C&gt;&lt;D xsi:type="xsd:double"&gt;3901&lt;/D&gt;&lt;/FQL&gt;&lt;FQL&gt;&lt;Q&gt;Ticker0024^FE_ESTIMATE(PRODLINE_EBIT_16,MEAN,QUARTERLY_ROLL,2018/3F,45740,,,'')&lt;/Q&gt;&lt;R&gt;1&lt;/R&gt;&lt;C&gt;1&lt;/C&gt;&lt;D xsi:type="xsd:double"&gt;2654&lt;/D&gt;&lt;/FQL&gt;&lt;FQL&gt;&lt;Q&gt;Ticker0024^FE_ESTIMATE(PRODLINE_EBIT_16,MEAN,QUARTERLY_ROLL,2018/2F,45740,,,'')&lt;/Q&gt;&lt;R&gt;1&lt;/R&gt;&lt;C&gt;1&lt;/C&gt;&lt;D xsi:type="xsd:double"&gt;2832&lt;/D&gt;&lt;/FQL&gt;&lt;FQL&gt;&lt;Q&gt;Ticker0024^FE_ESTIMATE(PRODLINE_EBIT_16,MEAN,QUARTERLY_ROLL,2018/1F,45740,,,'')&lt;/Q&gt;&lt;R&gt;1&lt;/R&gt;&lt;C&gt;1&lt;/C&gt;&lt;D xsi:type="xsd:double"&gt;2137&lt;/D&gt;&lt;/FQL&gt;&lt;FQL&gt;&lt;Q&gt;Ticker0024^FE_ESTIMATE(PRODLINE_EBIT_16,MEAN,ANNUAL_ROLL,2017,45740,,,'')&lt;/Q&gt;&lt;R&gt;1&lt;/R&gt;&lt;C&gt;1&lt;/C&gt;&lt;D xsi:type="xsd:double"&gt;9138&lt;/D&gt;&lt;/FQL&gt;&lt;FQL&gt;&lt;Q&gt;Ticker0024^FE_ESTIMATE(PRODLINE_EBIT_16,MEAN,QUARTERLY_ROLL,2017/4F,45740,,,'')&lt;/Q&gt;&lt;R&gt;1&lt;/R&gt;&lt;C&gt;1&lt;/C&gt;&lt;D xsi:type="xsd:double"&gt;2501&lt;/D&gt;&lt;/FQL&gt;&lt;FQL&gt;&lt;Q&gt;Ticker0024^FE_ESTIMATE(PRODLINE_EBIT_16,MEAN,QUARTERLY_ROLL,2017/3F,45740,,,'')&lt;/Q&gt;&lt;R&gt;1&lt;/R&gt;&lt;C&gt;1&lt;/C&gt;&lt;D xsi:type="xsd:double"&gt;2181&lt;/D&gt;&lt;/FQL&gt;&lt;FQL&gt;&lt;Q&gt;Ticker0024^FE_ESTIMATE(PRODLINE_EBIT_16,MEAN,QUARTERLY_ROLL,2017/2F,45740,,,'')&lt;/Q&gt;&lt;R&gt;1&lt;/R&gt;&lt;C&gt;1&lt;/C&gt;&lt;D xsi:type="xsd:double"&gt;2398&lt;/D&gt;&lt;/FQL&gt;&lt;FQL&gt;&lt;Q&gt;Ticker0024^FE_ESTIMATE(PRODLINE_EBIT_16,MEAN,QUARTERLY_ROLL,2017/1F,45740,,,'')&lt;/Q&gt;&lt;R&gt;1&lt;/R&gt;&lt;C&gt;1&lt;/C&gt;&lt;D xsi:type="xsd:double"&gt;2058&lt;/D&gt;&lt;/FQL&gt;&lt;FQL&gt;&lt;Q&gt;Ticker0024^FE_ESTIMATE(PRODLINE_EBIT_16,MEAN,ANNUAL_ROLL,2016,45740,,,'')&lt;/Q&gt;&lt;R&gt;1&lt;/R&gt;&lt;C&gt;1&lt;/C&gt;&lt;D xsi:type="xsd:double"&gt;9357&lt;/D&gt;&lt;/FQL&gt;&lt;FQL&gt;&lt;Q&gt;Ticker0024^FE_ESTIMATE(PRODLINE_EBIT_16,MEAN,QUARTERLY_ROLL,2016/4F,45740,,,'')&lt;/Q&gt;&lt;R&gt;1&lt;/R&gt;&lt;C&gt;1&lt;/C&gt;&lt;D xsi:type="xsd:double"&gt;2190&lt;/D&gt;&lt;/FQL&gt;&lt;FQL&gt;&lt;Q&gt;Ticker0024^FE_ESTIMATE(PRODLINE_EBIT_16,MEAN,QUARTERLY_ROLL,2016/3F,45740,,,'')&lt;/Q&gt;&lt;R&gt;1&lt;/R&gt;&lt;C&gt;1&lt;/C&gt;&lt;D xsi:type="xsd:double"&gt;2188&lt;/D&gt;&lt;/FQL&gt;&lt;FQL&gt;&lt;Q&gt;Ticker0024^FE_ESTIMATE(PRODLINE_EBIT_16,MEAN,QUARTERLY_ROLL,2016/2F,45740,,,'')&lt;/Q&gt;&lt;R&gt;0&lt;/R&gt;&lt;C&gt;0&lt;/C&gt;&lt;/FQL&gt;&lt;FQL&gt;&lt;Q&gt;Ticker0024^FE_ESTIMATE(PRODLINE_EBIT_16,MEAN,QUARTERLY_ROLL,2016/1F,45740,,,'')&lt;/Q&gt;&lt;R&gt;0&lt;/R&gt;&lt;C&gt;0&lt;/C&gt;&lt;/FQL&gt;&lt;FQL&gt;&lt;Q&gt;Ticker0024^FE_ESTIMATE(PRODLINE_EBIT_16,MEAN,ANNUAL_ROLL,2015,45740,,,'')&lt;/Q&gt;&lt;R&gt;0&lt;/R&gt;&lt;C&gt;0&lt;/C&gt;&lt;/FQL&gt;&lt;FQL&gt;&lt;Q&gt;Ticker0024^FE_ESTIMATE(PRODLINE_EBIT_16,MEAN,QUARTERLY_ROLL,2015/4F,45740,,,'')&lt;/Q&gt;&lt;R&gt;0&lt;/R&gt;&lt;C&gt;0&lt;/C&gt;&lt;/FQL&gt;&lt;FQL&gt;&lt;Q&gt;Ticker0024^FE_ESTIMATE(PRODLINE_EBIT_16,MEAN,QUARTERLY_ROLL,2015/3F,45740,,,'')&lt;/Q&gt;&lt;R&gt;0&lt;/R&gt;&lt;C&gt;0&lt;/C&gt;&lt;/FQL&gt;&lt;FQL&gt;&lt;Q&gt;Ticker0024^FE_ESTIMATE(PRODLINE_EBIT_16,MEAN,QUARTERLY_ROLL,2015/2F,45740,,,'')&lt;/Q&gt;&lt;R&gt;0&lt;/R&gt;&lt;C&gt;0&lt;/C&gt;&lt;/FQL&gt;&lt;FQL&gt;&lt;Q&gt;Ticker0024^FE_ESTIMATE(PRODLINE_EBIT_16,MEAN,QUARTERLY_ROLL,2015/1F,45740,,,'')&lt;/Q&gt;&lt;R&gt;0&lt;/R&gt;&lt;C&gt;0&lt;/C&gt;&lt;/FQL&gt;&lt;FQL&gt;&lt;Q&gt;Ticker0024^FE_ESTIMATE(PRODLINE_EBIT_15,MEAN,ANNUAL_ROLL,2030,45740,,,'')&lt;/Q&gt;&lt;R&gt;0&lt;/R&gt;&lt;C&gt;0&lt;/C&gt;&lt;/FQL&gt;&lt;FQL&gt;&lt;Q&gt;Ticker0024^FE_ESTIMATE(PRODLINE_EBIT_15,MEAN,QUARTERLY_ROLL,2030/4F,45740,,,'')&lt;/Q&gt;&lt;R&gt;0&lt;/R&gt;&lt;C&gt;0&lt;/C&gt;&lt;/FQL&gt;&lt;FQL&gt;&lt;Q&gt;Ticker0024^FE_ESTIMATE(PRODLINE_EBIT_15,MEAN,QUARTERLY_ROLL,2030/3F,45740,,,'')&lt;/Q&gt;&lt;R&gt;0&lt;/R&gt;&lt;C&gt;0&lt;/C&gt;&lt;/FQL&gt;&lt;FQL&gt;&lt;Q&gt;Ticker0024^FE_ESTIMATE(PRODLINE_EBIT_15,MEAN,QUARTERLY_ROLL,2030/2F,45740,,,'')&lt;/Q&gt;&lt;R&gt;0&lt;/R&gt;&lt;C&gt;0&lt;/C&gt;&lt;/FQL&gt;&lt;FQL&gt;&lt;Q&gt;Ticker0024^FE_ESTIMATE(PRODLINE_EBIT_15,MEAN,QUARTERLY_ROLL,2030/1F,45740,,,'')&lt;/Q&gt;&lt;R&gt;0&lt;/R&gt;&lt;C&gt;0&lt;/C&gt;&lt;/FQL&gt;&lt;FQL&gt;&lt;Q&gt;Ticker0024^FE_ESTIMATE(PRODLINE_EBIT_15,MEAN,ANNUAL_ROLL,2029,45740,,,'')&lt;/Q&gt;&lt;R&gt;0&lt;/R&gt;&lt;C&gt;0&lt;/C&gt;&lt;/FQL&gt;&lt;FQL&gt;&lt;Q&gt;Ticker0024^FE_ESTIMATE(PRODLINE_EBIT_15,MEAN,QUARTERLY_ROLL,2029/4F,45740,,,'')&lt;/Q&gt;&lt;R&gt;0&lt;/R&gt;&lt;C&gt;0&lt;/C&gt;&lt;/FQL&gt;&lt;FQL&gt;&lt;Q&gt;Ticker0024^FE_ESTIMATE(PRODLINE_EBIT_15,MEAN,QUARTERLY_ROLL,2029/3F,45740,,,'')&lt;/Q&gt;&lt;R&gt;0&lt;/R&gt;&lt;C&gt;0&lt;/C&gt;&lt;/FQL&gt;&lt;FQL&gt;&lt;Q&gt;Ticker0024^FE_ESTIMATE(PRODLINE_EBIT_15,MEAN,QUARTERLY_ROLL,2029/2F,45740,,,'')&lt;/Q&gt;&lt;R&gt;0&lt;/R&gt;&lt;C&gt;0&lt;/C&gt;&lt;/FQL&gt;&lt;FQL&gt;&lt;Q&gt;Ticker0024^FE_ESTIMATE(PRODLINE_EBIT_15,MEAN,QUARTERLY_ROLL,2029/1F,45740,,,'')&lt;/Q&gt;&lt;R&gt;0&lt;/R&gt;&lt;C&gt;0&lt;/C&gt;&lt;/FQL&gt;&lt;FQL&gt;&lt;Q&gt;Ticker0024^FE_ESTIMATE(PRODLINE_EBIT_15,MEAN,ANNUAL_ROLL,2028,45740,,,'')&lt;/Q&gt;&lt;R&gt;1&lt;/R&gt;&lt;C&gt;1&lt;/C&gt;&lt;D xsi:type="xsd:double"&gt;75505&lt;/D&gt;&lt;/FQL&gt;&lt;FQL&gt;&lt;Q&gt;Ticker0024^FE_ESTIMATE(PRODLINE_EBIT_15,MEAN,QUARTERLY_ROLL,2028/4F,45740,,,'')&lt;/Q&gt;&lt;R&gt;0&lt;/R&gt;&lt;C&gt;0&lt;/C&gt;&lt;/FQL&gt;&lt;FQL&gt;&lt;Q&gt;Ticker0024^FE_ESTIMATE(PRODLINE_EBIT_15,MEAN,QUARTERLY_ROLL,2028/3F,45740,,,'')&lt;/Q&gt;&lt;R&gt;0&lt;/R&gt;&lt;C&gt;0&lt;/C&gt;&lt;/FQL&gt;&lt;FQL&gt;&lt;Q&gt;Ticker0024^FE_ESTIMATE(PRODLINE_EBIT_15,MEAN,QUARTERLY_ROLL,2028/2F,45740,,,'')&lt;/Q&gt;&lt;R&gt;0&lt;/R&gt;&lt;C&gt;0&lt;/C&gt;&lt;/FQL&gt;&lt;FQL&gt;&lt;Q&gt;Ticker0024^FE_ESTIMATE(PRODLINE_EBIT_15,MEAN,QUARTERLY_ROLL,2028/1F,45740,,,'')&lt;/Q&gt;&lt;R&gt;0&lt;/R&gt;&lt;C&gt;0&lt;/C&gt;&lt;/FQL&gt;&lt;FQL&gt;&lt;Q&gt;Ticker0024^FE_ESTIMATE(PRODLINE_EBIT_15,MEAN,ANNUAL_ROLL,2027,45740,,,'')&lt;/Q&gt;&lt;R&gt;1&lt;/R&gt;&lt;C&gt;1&lt;/C&gt;&lt;D xsi:type="xsd:double"&gt;77870.336&lt;/D&gt;&lt;/FQL&gt;&lt;FQL&gt;&lt;Q&gt;Ticker0024^FE_ESTIMATE(PRODLINE_EBIT_15,MEAN,QUARTERLY_ROLL,2027/4F,45740,,,'')&lt;/Q&gt;&lt;R&gt;0&lt;/R&gt;&lt;C&gt;0&lt;/C&gt;&lt;/FQL&gt;&lt;FQL&gt;&lt;Q&gt;Ticker0024^FE_ESTIMATE(PRODLINE_EBIT_15,MEAN,QUARTERLY_ROLL,2027/3F,45740,,,'')&lt;/Q&gt;&lt;R&gt;0&lt;/R&gt;&lt;C&gt;0&lt;/C&gt;&lt;/FQL&gt;&lt;FQL&gt;&lt;Q&gt;Ticker0024^FE_ESTIMATE(PRODLINE_EBIT_15,MEAN,QUARTERLY_ROLL,2027/2F,45740,,,'')&lt;/Q&gt;&lt;R&gt;0&lt;/R&gt;&lt;C&gt;0&lt;/C&gt;&lt;/FQL&gt;&lt;FQL&gt;&lt;Q&gt;Ticker0024^FE_ESTIMATE(PRODLINE_EBIT_15,MEAN,QUARTERLY_ROLL,2027/1F,45740,,,'')&lt;/Q&gt;&lt;R&gt;0&lt;/R&gt;&lt;C&gt;0&lt;/C&gt;&lt;/FQL&gt;&lt;FQL&gt;&lt;Q&gt;Ticker0024^FE_ESTIMATE(PRODLINE_EBIT_15,MEAN,ANNUAL_ROLL,2026,45740,,,'')&lt;/Q&gt;&lt;R&gt;1&lt;/R&gt;&lt;C&gt;1&lt;/C&gt;&lt;D xsi:type="xsd:double"&gt;65629.75&lt;/D&gt;&lt;/FQL&gt;&lt;FQL&gt;&lt;Q&gt;Ticker0024^FE_ESTIMATE(PRODLINE_EBIT_15,MEAN,QUARTERLY_ROLL,2026/4F,45740,,,'')&lt;/Q&gt;&lt;R&gt;1&lt;/R&gt;&lt;C&gt;1&lt;/C&gt;&lt;D xsi:type="xsd:double"&gt;16687.334&lt;/D&gt;&lt;/FQL&gt;&lt;FQL&gt;&lt;Q&gt;Ticker0024^FE_ESTIMATE(PRODLINE_EBIT_15,MEAN,QUARTERLY_ROLL,2026/3F,45740,,,'')&lt;/Q&gt;&lt;R&gt;1&lt;/R&gt;&lt;C&gt;1&lt;/C&gt;&lt;D xsi:type="xsd:double"&gt;15999.333&lt;/D&gt;&lt;/FQL&gt;&lt;FQL&gt;&lt;Q&gt;Ticker0024^FE_ESTIMATE(PRODLINE_EBIT_15,MEAN,QUARTERLY_ROLL,2026/2F,45740,,,'')&lt;/Q&gt;&lt;R&gt;1&lt;/R&gt;&lt;C&gt;1&lt;/C&gt;&lt;D xsi:type="xsd:double"&gt;16563.334&lt;/D&gt;&lt;/FQL&gt;&lt;FQL&gt;&lt;Q&gt;Ticker0024^FE_ESTIMATE(PRODLINE_EBIT_15,MEAN,QUARTERLY_ROLL,2026/1F,45740,,,'')&lt;/Q&gt;&lt;R&gt;1&lt;/R&gt;&lt;C&gt;1&lt;/C&gt;&lt;D xsi:type="xsd:double"&gt;16066&lt;/D&gt;&lt;/FQL&gt;&lt;FQL&gt;&lt;Q&gt;Ticker0024^FE_ESTIMATE(PRODLINE_EBIT_15,MEAN,ANNUAL_ROLL,2025,45740,,,'')&lt;/Q&gt;&lt;R&gt;1&lt;/R&gt;&lt;C&gt;1&lt;/C&gt;&lt;D xsi:type="xsd:double"&gt;61515.2&lt;/D&gt;&lt;/FQL&gt;&lt;FQL&gt;&lt;Q&gt;Ticker0024^FE_ESTIMATE(PRODLINE_EBIT_15,MEAN,QUARTERLY_ROLL,2025/4F,45740,,,'')&lt;/Q&gt;&lt;R&gt;1&lt;/R&gt;&lt;C&gt;1&lt;/C&gt;&lt;D xsi:type="xsd:double"&gt;15298.8&lt;/D&gt;&lt;/FQL&gt;&lt;FQL&gt;&lt;Q&gt;Ticker0024^FE_ESTIMATE(PRODLINE_EBIT_15,MEAN,QUARTERLY_ROLL,2025/3F,45740,,,'')&lt;/Q&gt;&lt;R&gt;1&lt;/R&gt;&lt;C&gt;1&lt;/C&gt;&lt;D xsi:type="xsd:double"&gt;15000.4&lt;/D&gt;&lt;/FQL&gt;&lt;FQL&gt;&lt;Q&gt;Ticker0024^FE_ESTIMATE(PRODLINE_EBIT_15,MEAN,QUARTERLY_ROLL,2025/2F,45740,,,'')&lt;/Q&gt;&lt;R&gt;1&lt;/R&gt;&lt;C&gt;1&lt;/C&gt;&lt;D xsi:type="xsd:double"&gt;15766.4&lt;/D&gt;&lt;/FQL&gt;&lt;FQL&gt;&lt;Q&gt;Ticker0024^FE_ESTIMATE(PRODLINE_EBIT_15,MEAN,QUARTERLY_ROLL,2025/1F,45740,,,'')&lt;/Q&gt;&lt;R&gt;1&lt;/R&gt;&lt;C&gt;1&lt;/C&gt;&lt;D xsi:type="xsd:double"&gt;15451.8&lt;/D&gt;&lt;/FQL&gt;&lt;FQL&gt;&lt;Q&gt;Ticker0024^FE_ESTIMATE(PRODLINE_EBIT_15,MEAN,ANNUAL_ROLL,2024,45740,,,'')&lt;/Q&gt;&lt;R&gt;1&lt;/R&gt;&lt;C&gt;1&lt;/C&gt;&lt;D xsi:type="xsd:double"&gt;40540&lt;/D&gt;&lt;/FQL&gt;&lt;FQL&gt;&lt;Q&gt;Ticker0024^FE_ESTIMATE(PRODLINE_EBIT_15,MEAN,QUARTERLY_ROLL,2024/4F,45740,,,'')&lt;/Q&gt;&lt;R&gt;1&lt;/R&gt;&lt;C&gt;1&lt;/C&gt;&lt;D xsi:type="xsd:double"&gt;10142.4&lt;/D&gt;&lt;/FQL&gt;&lt;FQL&gt;&lt;Q&gt;Ticker0024^FE_ESTIMATE(PRODLINE_EBIT_15,MEAN,QUARTERLY_ROLL,2024/3F,45740,,,'')&lt;/Q&gt;&lt;R&gt;1&lt;/R&gt;&lt;C&gt;1&lt;/C&gt;&lt;D xsi:type="xsd:double"&gt;10142.571&lt;/D&gt;&lt;/FQL&gt;&lt;FQL&gt;&lt;Q&gt;Ticker0024^FE_ESTIMATE(PRODLINE_EBIT_15,MEAN,QUARTERLY_ROLL,2024/2F,45740,,,'')&lt;/Q&gt;&lt;R&gt;1&lt;/R&gt;&lt;C&gt;1&lt;/C&gt;&lt;D xsi:type="xsd:double"&gt;10283.333&lt;/D&gt;&lt;/FQL&gt;&lt;FQL&gt;&lt;Q&gt;Ticker0024^FE_ESTIMATE(PRODLINE_EBIT_15,MEAN,QUARTERLY_ROLL,2024/1F,45740,,,'')&lt;/Q&gt;&lt;R&gt;1&lt;/R&gt;&lt;C&gt;1&lt;/C&gt;&lt;D xsi:type="xsd:double"&gt;9970&lt;/D&gt;&lt;/FQL&gt;&lt;FQL&gt;&lt;Q&gt;Ticker0024^FE_ESTIMATE(PRODLINE_EBIT_15,MEAN,ANNUAL_ROLL,2023,45740,,,'')&lt;/Q&gt;&lt;R&gt;1&lt;/R&gt;&lt;C&gt;1&lt;/C&gt;&lt;D xsi:type="xsd:double"&gt;34189.4&lt;/D&gt;&lt;/FQL&gt;&lt;FQL&gt;&lt;Q&gt;Ticker0024^FE_ESTIMATE(PRODLINE_EBIT_15,MEAN,QUARTERLY_ROLL,2023/4F,45740,,,'')&lt;/Q&gt;&lt;R&gt;1&lt;/R&gt;&lt;C&gt;1&lt;/C&gt;&lt;D xsi:type="xsd:double"&gt;9051.6&lt;/D&gt;&lt;/FQL&gt;&lt;FQL&gt;&lt;Q&gt;Ticker0024^FE_ESTIMATE(PRODLINE_EBIT_15,MEAN,QUARTERLY_ROLL,2023/3F,45740,,,'')&lt;/Q&gt;&lt;R&gt;1&lt;/R&gt;&lt;C&gt;1&lt;/C&gt;&lt;D xsi:type="xsd:double"&gt;8639.2&lt;/D&gt;&lt;/FQL&gt;&lt;FQL&gt;&lt;Q&gt;Ticker0024^FE_ESTIMATE(PRODLINE_EBIT_15,MEAN,QUARTERLY_ROLL,2023/2F,45740,,,'')&lt;/Q&gt;&lt;R&gt;1&lt;/R&gt;&lt;C&gt;1&lt;/C&gt;&lt;D xsi:type="xsd:double"&gt;8176&lt;/D&gt;&lt;/FQL&gt;&lt;FQL&gt;&lt;Q&gt;Ticker0024^FE_ESTIMATE(PRODLINE_EBIT_15,MEAN,QUARTERLY_ROLL,2023/1F,45740,,,'')&lt;/Q&gt;&lt;R&gt;1&lt;/R&gt;&lt;C&gt;1&lt;/C&gt;&lt;D xsi:type="xsd:double"&gt;8322.4&lt;/D&gt;&lt;/FQL&gt;&lt;FQL&gt;&lt;Q&gt;Ticker0024^FE_ESTIMATE(PRODLINE_EBIT_15,MEAN,ANNUAL_ROLL,2022,45740,,,'')&lt;/Q&gt;&lt;R&gt;1&lt;/R&gt;&lt;C&gt;1&lt;/C&gt;&lt;D xsi:type="xsd:double"&gt;29685&lt;/D&gt;&lt;/FQL&gt;&lt;FQL&gt;&lt;Q&gt;Ticker0024^FE_ESTIMATE(PRODLINE_EBIT_15,MEAN,QUARTERLY_ROLL,2022/4F,45740,,,'')&lt;/Q&gt;&lt;R&gt;1&lt;/R&gt;&lt;C&gt;1&lt;/C&gt;&lt;D xsi:type="xsd:double"&gt;7232&lt;/D&gt;&lt;/FQL&gt;&lt;FQL&gt;&lt;Q&gt;Ticker0024^FE_ESTIMATE(PRODLINE_EBIT_15,MEAN,QUARTERLY_ROLL,2022/3F,45740,,,'')&lt;/Q&gt;&lt;R&gt;1&lt;/R&gt;&lt;C&gt;1&lt;/C&gt;&lt;D xsi:type="xsd:double"&gt;7184&lt;/D&gt;&lt;/FQL&gt;&lt;FQL&gt;&lt;Q&gt;Ticker0024^FE_ESTIMATE(PRODLINE_EBIT_15,MEAN,QUARTERLY_ROLL,2022/2F,45740,,,'')&lt;/Q&gt;&lt;R&gt;1&lt;/R&gt;&lt;C&gt;1&lt;/C&gt;&lt;D xsi:type="xsd:double"&gt;7688&lt;/D&gt;&lt;/FQL&gt;&lt;FQL&gt;&lt;Q&gt;Ticker0024^FE_ESTIMATE(PRODLINE_EBIT_15,MEAN,QUARTERLY_ROLL,2022/1F,45740,,,'')&lt;/Q&gt;&lt;R&gt;1&lt;/R&gt;&lt;C&gt;1&lt;/C&gt;&lt;D xsi:type="xsd:double"&gt;7581&lt;/D&gt;&lt;/FQL&gt;&lt;FQL&gt;&lt;Q&gt;Ticker0024^FE_ESTIMATE(PRODLINE_EBIT_15,MEAN,ANNUAL_ROLL,2021,45740,,,'')&lt;/Q&gt;&lt;R&gt;1&lt;/R&gt;&lt;C&gt;1&lt;/C&gt;&lt;D xsi:type="xsd:double"&gt;24351&lt;/D&gt;&lt;/FQL&gt;&lt;FQL&gt;&lt;Q&gt;Ticker0024^FE_ESTIMATE(PRODLINE_EBIT_15,MEAN,QUARTERLY_ROLL,2021/4F,45740,,,'')&lt;/Q&gt;&lt;R&gt;1&lt;/R&gt;&lt;C&gt;1&lt;/C&gt;&lt;D xsi:type="xsd:double"&gt;6435&lt;/D&gt;&lt;/FQL&gt;&lt;FQL&gt;&lt;Q&gt;Ticker0024^FE_ESTIMATE(PRODLINE_EBIT_15,MEAN,QUARTERLY_ROLL,2021/3F,45740,,,'')&lt;/Q&gt;&lt;R&gt;1&lt;/R&gt;&lt;C&gt;1&lt;/C&gt;&lt;D xsi:type="xsd:double"&gt;6029&lt;/D&gt;&lt;/FQL&gt;&lt;FQL&gt;&lt;Q&gt;Ticker0024^FE_ESTIMATE(PRODLINE_EBIT_15,MEAN,QUARTERLY_ROLL,2021/2F,45740,,,'')&lt;/Q&gt;&lt;R&gt;1&lt;/R&gt;&lt;C&gt;1&lt;/C&gt;&lt;D xsi:type="xsd:double"&gt;6179.6665&lt;/D&gt;&lt;/FQL&gt;&lt;FQL&gt;&lt;Q&gt;Ticker0024^FE_ESTIMATE(PRODLINE_EBIT_15,MEAN,QUARTERLY_ROLL,2021/1F,45740,,,'')&lt;/Q&gt;&lt;R&gt;1&lt;/R&gt;&lt;C&gt;1&lt;/C&gt;&lt;D xsi:type="xsd:double"&gt;5706&lt;/D&gt;&lt;/FQL&gt;&lt;FQL&gt;&lt;Q&gt;Ticker0024^FE_ESTIMATE(PRODLINE_EBIT_15,MEAN,ANNUAL_ROLL,2020,45740,,,'')&lt;/Q&gt;&lt;R&gt;1&lt;/R&gt;&lt;C&gt;1&lt;/C&gt;&lt;D xsi:type="xsd:double"&gt;18781&lt;/D&gt;&lt;/FQL&gt;&lt;FQL&gt;&lt;Q&gt;Ticker0024^FE_ESTIMATE(PRODLINE_EBIT_15,MEAN,QUARTERLY_ROLL,2020/4F,45740,,,'')&lt;/Q&gt;&lt;R&gt;1&lt;/R&gt;&lt;C&gt;1&lt;/C&gt;&lt;D xsi:type="xsd:double"&gt;4029&lt;/D&gt;&lt;/FQL&gt;&lt;FQL&gt;&lt;Q&gt;Ticker0024^FE_ESTIMATE(PRODLINE_EBIT_15,MEAN,QUARTERLY_ROLL,2020/3F,45740,,,'')&lt;/Q&gt;&lt;R&gt;1&lt;/R&gt;&lt;C&gt;1&lt;/C&gt;&lt;D xsi:type="xsd:double"&gt;4788&lt;/D&gt;&lt;/FQL&gt;&lt;FQL&gt;&lt;Q&gt;Ticker0024^FE_ESTIMATE(PRODLINE_EBIT_15,MEAN,QUARTERLY_ROLL,2020/2F,45740,,,'')&lt;/Q&gt;&lt;R&gt;1&lt;/R&gt;&lt;C&gt;1&lt;/C&gt;&lt;D xsi:type="xsd:double"&gt;5182&lt;/D&gt;&lt;/FQL&gt;&lt;FQL&gt;&lt;Q&gt;Ticker0024^FE_ESTIMATE(PRODLINE_EBIT_15,MEAN,QUARTERLY_ROLL,2020/1F,45740,,,'')&lt;/Q&gt;&lt;R&gt;1&lt;/R&gt;&lt;C&gt;1&lt;/C&gt;&lt;D xsi:type="xsd:double"&gt;4782&lt;/D&gt;&lt;/FQL&gt;&lt;FQL&gt;&lt;Q&gt;Ticker0024^FE_ESTIMATE(PRODLINE_EBIT_15,MEAN,ANNUAL_ROLL,2019,45740,,,'')&lt;/Q&gt;&lt;R&gt;1&lt;/R&gt;&lt;C&gt;1&lt;/C&gt;&lt;D xsi:type="xsd:double"&gt;16219&lt;/D&gt;&lt;/FQL&gt;&lt;FQL&gt;&lt;Q&gt;Ticker0024^FE_ESTIMATE(PRODLINE_EBIT_15,MEAN,QUARTERLY_ROLL,2019/4F,45740,,,'')&lt;/Q&gt;&lt;R&gt;1&lt;/R&gt;&lt;C&gt;1&lt;/C&gt;&lt;D xsi:type="xsd:double"&gt;4344&lt;/D&gt;&lt;/FQL&gt;&lt;FQL&gt;&lt;Q&gt;Ticker0024^FE_ESTIMATE(PRODLINE_EBIT_15,MEAN,QUARTERLY_ROLL,2019/3F,45740,,,'')&lt;/Q&gt;&lt;R&gt;1&lt;/R&gt;&lt;C&gt;1&lt;/C&gt;&lt;D xsi:type="xsd:double"&gt;3979&lt;/D&gt;&lt;/FQL&gt;&lt;FQL&gt;&lt;Q&gt;Ticker0024^FE_ESTIMATE(PRODLINE_EBIT_15,MEAN,QUARTERLY_ROLL,2019/2F,45740,,,'')&lt;/Q&gt;&lt;R&gt;1&lt;/R&gt;&lt;C&gt;1&lt;/C&gt;&lt;D xsi:type="xsd:double"&gt;4013.75&lt;/D&gt;&lt;/FQL&gt;&lt;FQL&gt;&lt;Q&gt;Ticker0024^FE_ESTIMATE(PRODLINE_EBIT_15,MEAN,QUARTERLY_ROLL,2019/1F,45740,,,'')&lt;/Q&gt;&lt;R&gt;1&lt;/R&gt;&lt;C&gt;1&lt;/C&gt;&lt;D xsi:type="xsd:double"&gt;3881&lt;/D&gt;&lt;/FQL&gt;&lt;FQL&gt;&lt;Q&gt;Ticker0024^FE_ESTIMATE(PRODLINE_EBIT_15,MEAN,ANNUAL_ROLL,2018,45740,,,'')&lt;/Q&gt;&lt;R&gt;1&lt;/R&gt;&lt;C&gt;1&lt;/C&gt;&lt;D xsi:type="xsd:double"&gt;12924&lt;/D&gt;&lt;/FQL&gt;&lt;FQL&gt;&lt;Q&gt;Ticker0024^FE_ESTIMATE(PRODLINE_EBIT_15,MEAN,QUARTERLY_ROLL,2018/4F,45740,,,'')&lt;/Q&gt;&lt;R&gt;1&lt;/R&gt;&lt;C&gt;1&lt;/C&gt;&lt;D xsi:type="xsd:double"&gt;3466&lt;/D&gt;&lt;/FQL&gt;&lt;FQL&gt;&lt;Q&gt;Ticker0024^FE_ESTIMATE(PRODLINE_EBIT_15,MEAN,QUARTERLY_ROLL,2018/3F,45740,,,'')&lt;/Q&gt;&lt;R&gt;1&lt;/R&gt;&lt;C&gt;1&lt;/C&gt;&lt;D xsi:type="xsd:double"&gt;3115&lt;/D&gt;&lt;/FQL&gt;&lt;FQL&gt;&lt;Q&gt;Ticker0024^FE_ESTIMATE(PRODLINE_EBIT_15,MEAN,QUARTERLY_ROLL,2018/2F,45740,,,'')&lt;/Q&gt;&lt;R&gt;1&lt;/R&gt;&lt;C&gt;1&lt;/C&gt;&lt;D xsi:type="xsd:double"&gt;3337&lt;/D&gt;&lt;/FQL&gt;&lt;FQL&gt;&lt;Q&gt;Ticker0024^FE_ESTIMATE(PRODLINE_EBIT_15,MEAN,QUARTERLY_ROLL,2018/1F,45740,,,'')&lt;/Q&gt;&lt;R&gt;1&lt;/R&gt;&lt;C&gt;1&lt;/C&gt;&lt;D xsi:type="xsd:double"&gt;3006&lt;/D&gt;&lt;/FQL&gt;&lt;FQL&gt;&lt;Q&gt;Ticker0024^FE_ESTIMATE(PRODLINE_EBIT_15,MEAN,ANNUAL_ROLL,2017,45740,,,'')&lt;/Q&gt;&lt;R&gt;1&lt;/R&gt;&lt;C&gt;1&lt;/C&gt;&lt;D xsi:type="xsd:double"&gt;11913&lt;/D&gt;&lt;/FQL&gt;&lt;FQL&gt;&lt;Q&gt;Ticker0024^FE_ESTIMATE(PRODLINE_EBIT_15,MEAN,QUARTERLY_ROLL,2017/4F,45740,,,'')&lt;/Q&gt;&lt;R&gt;1&lt;/R&gt;&lt;C&gt;1&lt;/C&gt;&lt;D xsi:type="xsd:double"&gt;2754&lt;/D&gt;&lt;/FQL&gt;&lt;FQL&gt;&lt;Q&gt;Ticker0024^FE_ESTIMATE(PRODLINE_EBIT_15,MEAN,QUARTERLY_ROLL,2017/3F,45740,,,'')&lt;/Q&gt;&lt;R&gt;1&lt;/R&gt;&lt;C&gt;1&lt;/C&gt;&lt;D xsi:type="xsd:double"&gt;2783&lt;/D&gt;&lt;/FQL&gt;&lt;FQL&gt;&lt;Q&gt;Ticker0024^FE_ESTIMATE(PRODLINE_EBIT_15,MEAN,QUARTERLY_ROLL,2017/2F,45740,,,'')&lt;/Q&gt;&lt;R&gt;1&lt;/R&gt;&lt;C&gt;1&lt;/C&gt;&lt;D xsi:type="xsd:double"&gt;3256&lt;/D&gt;&lt;/FQL&gt;&lt;FQL&gt;&lt;Q&gt;Ticker0024^FE_ESTIMATE(PRODLINE_EBIT_15,MEAN,QUARTERLY_ROLL,2017/1F,45740,,,'')&lt;/Q&gt;&lt;R&gt;1&lt;/R&gt;&lt;C&gt;1&lt;/C&gt;&lt;D xsi:type="xsd:double"&gt;3120&lt;/D&gt;&lt;/FQL&gt;&lt;FQL&gt;&lt;Q&gt;Ticker0024^FE_ESTIMATE(PRODLINE_EBIT_15,MEAN,ANNUAL_ROLL,2016,45740,,,'')&lt;/Q&gt;&lt;R&gt;1&lt;/R&gt;&lt;C&gt;1&lt;/C&gt;&lt;D xsi:type="xsd:double"&gt;12429&lt;/D&gt;&lt;/FQL&gt;&lt;FQL&gt;&lt;Q&gt;Ticker0024^FE_ESTIMATE(PRODLINE_EBIT_15,MEAN,QUARTERLY_ROLL,2016/4F,45740,,,'')&lt;/Q&gt;&lt;R&gt;1&lt;/R&gt;&lt;C&gt;1&lt;/C&gt;&lt;D xsi:type="xsd:double"&gt;3000&lt;/D&gt;&lt;/FQL&gt;&lt;FQL&gt;&lt;Q&gt;Ticker0024^FE_ESTIMATE(PRODLINE_EBIT_15,MEAN,QUARTERLY_ROLL,2016/3F,45740,,,'')&lt;/Q&gt;&lt;R&gt;1&lt;/R&gt;&lt;C&gt;1&lt;/C&gt;&lt;D xsi:type="xsd:double"&gt;2994&lt;/D&gt;&lt;/FQL&gt;&lt;FQL&gt;&lt;Q&gt;Ticker0024^FE_ESTIMATE(PRODLINE_EBIT_15,MEAN,QUARTERLY_ROLL,2016/2F,45740,,,'')&lt;/Q&gt;&lt;R&gt;0&lt;/R&gt;&lt;C&gt;0&lt;/C&gt;&lt;/FQL&gt;&lt;FQL&gt;&lt;Q&gt;Ticker0024^FE_ESTIMATE(PRODLINE_EBIT_15,MEAN,QUARTERLY_ROLL,2016/1F,45740,,,'')&lt;/Q&gt;&lt;R&gt;0&lt;/R&gt;&lt;C&gt;0&lt;/C&gt;&lt;/FQL&gt;&lt;FQL&gt;&lt;Q&gt;Ticker0024^FE_ESTIMATE(PRODLINE_EBIT_15,MEAN,ANNUAL_ROLL,2015,45740,,,'')&lt;/Q&gt;&lt;R&gt;0&lt;/R&gt;&lt;C&gt;0&lt;/C&gt;&lt;/FQL&gt;&lt;FQL&gt;&lt;Q&gt;Ticker0024^FE_ESTIMATE(PRODLINE_EBIT_15,MEAN,QUARTERLY_ROLL,2015/4F,45740,,,'')&lt;/Q&gt;&lt;R&gt;0&lt;/R&gt;&lt;C&gt;0&lt;/C&gt;&lt;/FQL&gt;&lt;FQL&gt;&lt;Q&gt;Ticker0024^FE_ESTIMATE(PRODLINE_EBIT_15,MEAN,QUARTERLY_ROLL,2015/3F,45740,,,'')&lt;/Q&gt;&lt;R&gt;0&lt;/R&gt;&lt;C&gt;0&lt;/C&gt;&lt;/FQL&gt;&lt;FQL&gt;&lt;Q&gt;Ticker0024^FE_ESTIMATE(PRODLINE_EBIT_15,MEAN,QUARTERLY_ROLL,2015/2F,45740,,,'')&lt;/Q&gt;&lt;R&gt;0&lt;/R&gt;&lt;C&gt;0&lt;/C&gt;&lt;/FQL&gt;&lt;FQL&gt;&lt;Q&gt;Ticker0024^FE_ESTIMATE(PRODLINE_EBIT_15,MEAN,QUARTERLY_ROLL,2015/1F,45740,,,'')&lt;/Q&gt;&lt;R&gt;0&lt;/R&gt;&lt;C&gt;0&lt;/C&gt;&lt;/FQL&gt;&lt;FQL&gt;&lt;Q&gt;Ticker0024^FE_ESTIMATE(GROSSINCOME,MEAN,ANNUAL_ROLL,2030,45740,,,'')&lt;/Q&gt;&lt;R&gt;0&lt;/R&gt;&lt;C&gt;0&lt;/C&gt;&lt;/FQL&gt;&lt;FQL&gt;&lt;Q&gt;Ticker0024^FE_ESTIMATE(GROSSINCOME,MEAN,QUARTERLY_ROLL,2030/4F,45740,,,'')&lt;/Q&gt;&lt;R&gt;0&lt;/R&gt;&lt;C&gt;0&lt;/C&gt;&lt;/FQL&gt;&lt;FQL&gt;&lt;Q&gt;Ticker0024^FE_ESTIMATE(GROSSINCOME,MEAN,QUARTERLY_ROLL,2030/3F,45740,,,'')&lt;/Q&gt;&lt;R&gt;0&lt;/R&gt;&lt;C&gt;0&lt;/C&gt;&lt;/FQL&gt;&lt;FQL&gt;&lt;Q&gt;Ticker0024^FE_ESTIMATE(GROSSINCOME,MEAN,QUARTERLY_ROLL,2030/2F,45740,,,'')&lt;/Q&gt;&lt;R&gt;0&lt;/R&gt;&lt;C&gt;0&lt;/C&gt;&lt;/FQL&gt;&lt;FQL&gt;&lt;Q&gt;Ticker0024^FE_ESTIMATE(GROSSINCOME,MEAN,QUARTERLY_ROLL,2030/1F,45740,,,'')&lt;/Q&gt;&lt;R&gt;0&lt;/R&gt;&lt;C&gt;0&lt;/C&gt;&lt;/FQL&gt;&lt;FQL&gt;&lt;Q&gt;Ticker0024^FE_ESTIMATE(GROSSINCOME,MEAN,ANNUAL_ROLL,2029,45740,,,'')&lt;/Q&gt;&lt;R&gt;1&lt;/R&gt;&lt;C&gt;1&lt;/C&gt;&lt;D xsi:type="xsd:double"&gt;322005&lt;/D&gt;&lt;/FQL&gt;&lt;FQL&gt;&lt;Q&gt;Ticker0024^FE_ESTIMATE(GROSSINCOME,MEAN,QUARTERLY_ROLL,2029/4F,45740,,,'')&lt;/Q&gt;&lt;R&gt;0&lt;/R&gt;&lt;C&gt;0&lt;/C&gt;&lt;/FQL&gt;&lt;FQL&gt;&lt;Q&gt;Ticker0024^FE_ESTIMATE(GROSSINCOME,MEAN,QUARTERLY_ROLL,2029/3F,45740,,,'')&lt;/Q&gt;&lt;R&gt;0&lt;/R&gt;&lt;C&gt;0&lt;/C&gt;&lt;/FQL&gt;&lt;FQL&gt;&lt;Q&gt;Ticker0024^FE_ESTIMATE(GROSSINCOME,MEAN,QUARTERLY_ROLL,2029/2F,45740,,,'')&lt;/Q&gt;&lt;R&gt;0&lt;/R&gt;&lt;C&gt;0&lt;/C&gt;&lt;/FQL&gt;&lt;FQL&gt;&lt;Q&gt;Ticker0024^FE_ESTIMATE(GROSSINCOME,MEAN,QUARTERLY_ROLL,2029/1F,45740,,,'')&lt;/Q&gt;&lt;R&gt;0&lt;/R&gt;&lt;C&gt;0&lt;/C&gt;&lt;/FQL&gt;&lt;FQL&gt;&lt;Q&gt;Ticker0024^FE_ESTIMATE(GROSSINCOME,MEAN,ANNUAL_ROLL,2028,45740,,,'')&lt;/Q&gt;&lt;R&gt;1&lt;/R&gt;&lt;C&gt;1&lt;/C&gt;&lt;D xsi:type="xsd:double"&gt;275056.56&lt;/D&gt;&lt;/FQL&gt;&lt;FQL&gt;&lt;Q&gt;Ticker0024^FE_ESTIMATE(GROSSINCOME,MEAN,QUARTERLY_ROLL,2028/4F,45740,,,'')&lt;/Q&gt;&lt;R&gt;0&lt;/R&gt;&lt;C&gt;0&lt;/C&gt;&lt;/FQL&gt;&lt;FQL&gt;&lt;Q&gt;Ticker0024^FE_ESTIMATE(GROSSINCOME,MEAN,QUARTERLY_ROLL,2028/3F,45740,,,'')&lt;/Q&gt;&lt;R&gt;0&lt;/R&gt;&lt;C&gt;0&lt;/C&gt;&lt;/FQL&gt;&lt;FQL&gt;&lt;Q&gt;Ticker0024^FE_ESTIMATE(GROSSINCOME,MEAN,QUARTERLY_ROLL,2028/2F,45740,,,'')&lt;/Q&gt;&lt;R&gt;0&lt;/R&gt;&lt;C&gt;0&lt;/C&gt;&lt;/FQL&gt;&lt;FQL&gt;&lt;Q&gt;Ticker0024^FE_ESTIMATE(GROSSINCOME,MEAN,QUARTERLY_ROLL,2028/1F,45740,,,'')&lt;/Q&gt;&lt;R&gt;0&lt;/R&gt;&lt;C&gt;0&lt;/C&gt;&lt;/FQL&gt;&lt;FQL&gt;&lt;Q&gt;Ticker0024^FE_ESTIMATE(GROSSINCOME,MEAN,ANNUAL_ROLL,2027,45740,,,'')&lt;/Q&gt;&lt;R&gt;1&lt;/R&gt;&lt;C&gt;1&lt;/C&gt;&lt;D xsi:type="xsd:double"&gt;244174.66&lt;/D&gt;&lt;/FQL&gt;&lt;FQL&gt;&lt;Q&gt;Ticker0024^FE_ESTIMATE(GROSSINCOME,MEAN,QUARTERLY_ROLL,2027/4F,45740,,,'')&lt;/Q&gt;&lt;R&gt;1&lt;/R&gt;&lt;C&gt;1&lt;/C&gt;&lt;D xsi:type="xsd:double"&gt;67413&lt;/D&gt;&lt;/FQL&gt;&lt;FQL&gt;&lt;Q&gt;Ticker0024^FE_ESTIMATE(GROSSINCOME,MEAN,QUARTERLY_ROLL,2027/3F,45740,,,'')&lt;/Q&gt;&lt;R&gt;1&lt;/R&gt;&lt;C&gt;1&lt;/C&gt;&lt;D xsi:type="xsd:double"&gt;60977&lt;/D&gt;&lt;/FQL&gt;&lt;FQL&gt;&lt;Q&gt;Ticker0024^FE_ESTIMATE(GROSSINCOME,MEAN,QUARTERLY_ROLL,2027/2F,45740,,,'')&lt;/Q&gt;&lt;R&gt;1&lt;/R&gt;&lt;C&gt;1&lt;/C&gt;&lt;D xsi:type="xsd:double"&gt;60744.5&lt;/D&gt;&lt;/FQL&gt;&lt;FQL&gt;&lt;Q&gt;Ticker0024^FE_ESTIMATE(GROSSINCOME,MEAN,QUARTERLY_ROLL,2027/1F,45740,,,'')&lt;/Q&gt;&lt;R&gt;1&lt;/R&gt;&lt;C&gt;1&lt;/C&gt;&lt;D xsi:type="xsd:double"&gt;57002&lt;/D&gt;&lt;/FQL&gt;&lt;FQL&gt;&lt;Q&gt;Ticker0024^FE_ESTIMATE(GROSSINCOME,MEAN,ANNUAL_ROLL,2026,45740,,,'')&lt;/Q&gt;&lt;R&gt;1&lt;/R&gt;&lt;C&gt;1&lt;/C&gt;&lt;D xsi:type="xsd:double"&gt;213137.6&lt;/D&gt;&lt;/FQL&gt;&lt;FQL&gt;&lt;Q&gt;Ticker0024^FE_ESTIMATE(GROSSINCOME,MEAN,QUARTERLY_ROLL,2026/4F,45740,,,'')&lt;/Q&gt;&lt;R&gt;1&lt;/R&gt;&lt;C&gt;1&lt;/C&gt;&lt;D xsi:type="xsd:double"&gt;56057.105&lt;/D&gt;&lt;/FQL&gt;&lt;FQL&gt;&lt;Q&gt;Ticker0024^FE_ESTIMATE(GROSSINCOME,MEAN,QUARTERLY_ROLL,2026/3F,45740,,,'')&lt;/Q&gt;&lt;R&gt;1&lt;/R&gt;&lt;C&gt;1&lt;/C&gt;&lt;D xsi:type="xsd:double"&gt;52825.496&lt;/D&gt;&lt;/FQL&gt;&lt;FQL&gt;&lt;Q&gt;Ticker0024^FE_ESTIMATE(GROSSINCOME,MEAN,QUARTERLY_ROLL,2026/2F,45740,,,'')&lt;/Q&gt;&lt;R&gt;1&lt;/R&gt;&lt;C&gt;1&lt;/C&gt;&lt;D xsi:type="xsd:double"&gt;53056.805&lt;/D&gt;&lt;/FQL&gt;&lt;FQL&gt;&lt;Q&gt;Ticker0024^FE_ESTIMATE(GROSSINCOME,MEAN,QUARTERLY_ROLL,2026/1F,45740,,,'')&lt;/Q&gt;&lt;R&gt;1&lt;/R&gt;&lt;C&gt;1&lt;/C&gt;&lt;D xsi:type="xsd:double"&gt;50376.426&lt;/D&gt;&lt;/FQL&gt;&lt;FQL&gt;&lt;Q&gt;Ticker0024^FE_ESTIMATE(GROSSINCOME,MEAN,ANNUAL_ROLL,2025,45740,,,'')&lt;/Q&gt;&lt;R&gt;1&lt;/R&gt;&lt;C&gt;1&lt;/C&gt;&lt;D xsi:type="xsd:double"&gt;189762.06&lt;/D&gt;&lt;/FQL&gt;&lt;FQL&gt;&lt;Q&gt;Ticker0024^FE_ESTIMATE(GROSSINCOME,MEAN,QUARTERLY_ROLL,2025/4F,45740,,,'')&lt;/Q&gt;&lt;R&gt;1&lt;/R&gt;&lt;C&gt;1&lt;/C&gt;&lt;D xsi:type="xsd:double"&gt;49549.227&lt;/D&gt;&lt;/FQL&gt;&lt;FQL&gt;&lt;Q&gt;Ticker0024^FE_ESTIMATE(GROSSINCOME,MEAN,QUARTERLY_ROLL,2025/3F,45740,,,'')&lt;/Q&gt;&lt;R&gt;1&lt;/R&gt;&lt;C&gt;1&lt;/C&gt;&lt;D xsi:type="xsd:double"&gt;46775.824&lt;/D&gt;&lt;/FQL&gt;&lt;FQL&gt;&lt;Q&gt;Ticker0024^FE_ESTIMATE(GROSSINCOME,MEAN,QUARTERLY_ROLL,2025/2F,45740,,,'')&lt;/Q&gt;&lt;R&gt;1&lt;/R&gt;&lt;C&gt;1&lt;/C&gt;&lt;D xsi:type="xsd:double"&gt;47831.758&lt;/D&gt;&lt;/FQL&gt;&lt;FQL&gt;&lt;Q&gt;Ticker0024^FE_ESTIMATE(GROSSINCOME,MEAN,QUARTERLY_ROLL,2025/1F,45740,,,'')&lt;/Q&gt;&lt;R&gt;1&lt;/R&gt;&lt;C&gt;1&lt;/C&gt;&lt;D xsi:type="xsd:double"&gt;45476.035&lt;/D&gt;&lt;/FQL&gt;&lt;FQL&gt;&lt;Q&gt;Ticker0024^FE_ESTIMATE(GROSSINCOME,MEAN,ANNUAL_ROLL,2024,45740,,,'')&lt;/Q&gt;&lt;R&gt;1&lt;/R&gt;&lt;C&gt;1&lt;/C&gt;&lt;D xsi:type="xsd:double"&gt;171008.06&lt;/D&gt;&lt;/FQL&gt;&lt;FQL&gt;&lt;Q&gt;Ticker0024^FE_ESTIMATE(GROSSINCOME,MEAN,QUARTERLY_ROLL,2024/4F,45740,,,'')&lt;/Q&gt;&lt;R&gt;1&lt;/R&gt;&lt;C&gt;1&lt;/C&gt;&lt;D xsi:type="xsd:double"&gt;45041.355&lt;/D&gt;&lt;/FQL&gt;&lt;FQL&gt;&lt;Q&gt;Ticker0024^FE_ESTIMATE(GROSSINCOME,MEAN,QUARTERLY_ROLL,2024/3F,45740,,,'')&lt;/Q&gt;&lt;R&gt;1&lt;/R&gt;&lt;C&gt;1&lt;/C&gt;&lt;D xsi:type="xsd:double"&gt;43354.293&lt;/D&gt;&lt;/FQL&gt;&lt;FQL&gt;&lt;Q&gt;Ticker0024^FE_ESTIMATE(GROSSINCOME,MEAN,QUARTERLY_ROLL,2024/2F,45740,,,'')&lt;/Q&gt;&lt;R&gt;1&lt;/R&gt;&lt;C&gt;1&lt;/C&gt;&lt;D xsi:type="xsd:double"&gt;42397.1&lt;/D&gt;&lt;/FQL&gt;&lt;FQL&gt;&lt;Q&gt;Ticker0024^FE_ESTIMATE(GROSSINCOME,MEAN,QUARTERLY_ROLL,2024/1F,45740,,,'')&lt;/Q&gt;&lt;R&gt;1&lt;/R&gt;&lt;C&gt;1&lt;/C&gt;&lt;D xsi:type="xsd:double"&gt;40215.17&lt;/D&gt;&lt;/FQL&gt;&lt;FQL&gt;&lt;Q&gt;Ticker0024^FE_ESTIMATE(GROSSINCOME,MEAN,ANNUAL_ROLL,2023,45740,,,'')&lt;/Q&gt;&lt;R&gt;1&lt;/R&gt;&lt;C&gt;1&lt;/C&gt;&lt;D xsi:type="xsd:double"&gt;146082.89&lt;/D&gt;&lt;/FQL&gt;&lt;FQL&gt;&lt;Q&gt;Ticker0024^FE_ESTIMATE(GROSSINCOME,MEAN,QUARTERLY_ROLL,2023/4F,45740,,,'')&lt;/Q&gt;&lt;R&gt;1&lt;/R&gt;&lt;C&gt;1&lt;/C&gt;&lt;D xsi:type="xsd:double"&gt;39388&lt;/D&gt;&lt;/FQL&gt;&lt;FQL&gt;&lt;Q&gt;Ticker0024^FE_ESTIMATE(GROSSINCOME,MEAN,QUARTERLY_ROLL,2023/3F,45740,,,'')&lt;/Q&gt;&lt;R&gt;1&lt;/R&gt;&lt;C&gt;1&lt;/C&gt;&lt;D xsi:type="xsd:double"&gt;36729.035&lt;/D&gt;&lt;/FQL&gt;&lt;FQL&gt;&lt;Q&gt;Ticker0024^FE_ESTIMATE(GROSSINCOME,MEAN,QUARTERLY_ROLL,2023/2F,45740,,,'')&lt;/Q&gt;&lt;R&gt;1&lt;/R&gt;&lt;C&gt;1&lt;/C&gt;&lt;D xsi:type="xsd:double"&gt;35294.117&lt;/D&gt;&lt;/FQL&gt;&lt;FQL&gt;&lt;Q&gt;Ticker0024^FE_ESTIMATE(GROSSINCOME,MEAN,QUARTERLY_ROLL,2023/1F,45740,,,'')&lt;/Q&gt;&lt;R&gt;1&lt;/R&gt;&lt;C&gt;1&lt;/C&gt;&lt;D xsi:type="xsd:double"&gt;34670&lt;/D&gt;&lt;/FQL&gt;&lt;FQL&gt;&lt;Q&gt;Ticker0024^FE_ESTIMATE(GROSSINCOME,MEAN,ANNUAL_ROLL,2022,45740,,,'')&lt;/Q&gt;&lt;R&gt;1&lt;/R&gt;&lt;C&gt;1&lt;/C&gt;&lt;D xsi:type="xsd:double"&gt;135605.53&lt;/D&gt;&lt;/FQL&gt;&lt;FQL&gt;&lt;Q&gt;Ticker0024^FE_ESTIMATE(GROSSINCOME,MEAN,QUARTERLY_ROLL,2022/4F,45740,,,'')&lt;/Q&gt;&lt;R&gt;1&lt;/R&gt;&lt;C&gt;1&lt;/C&gt;&lt;D xsi:type="xsd:double"&gt;35436&lt;/D&gt;&lt;/FQL&gt;&lt;FQL&gt;&lt;Q&gt;Ticker0024^FE_ESTIMATE(GROSSINCOME,MEAN,QUARTERLY_ROLL,2022/3F,45740,,,'')&lt;/Q&gt;&lt;R&gt;1&lt;/R&gt;&lt;C&gt;1&lt;/C&gt;&lt;D xsi:type="xsd:double"&gt;33744.957&lt;/D&gt;&lt;/FQL&gt;&lt;FQL&gt;&lt;Q&gt;Ticker0024^FE_ESTIMATE(GROSSINCOME,MEAN,QUARTERLY_ROLL,2022/2F,45740,,,'')&lt;/Q&gt;&lt;R&gt;1&lt;/R&gt;&lt;C&gt;1&lt;/C&gt;&lt;D xsi:type="xsd:double"&gt;34768&lt;/D&gt;&lt;/FQL&gt;&lt;FQL&gt;&lt;Q&gt;Ticker0024^FE_ESTIMATE(GROSSINCOME,MEAN,QUARTERLY_ROLL,2022/1F,45740,,,'')&lt;/Q&gt;&lt;R&gt;1&lt;/R&gt;&lt;C&gt;1&lt;/C&gt;&lt;D xsi:type="xsd:double"&gt;31671&lt;/D&gt;&lt;/FQL&gt;&lt;FQL&gt;&lt;Q&gt;Ticker0024^FE_ESTIMATE(GROSSINCOME,MEAN,ANNUAL_ROLL,2021,45740,,,'')&lt;/Q&gt;&lt;R&gt;1&lt;/R&gt;&lt;C&gt;1&lt;/C&gt;&lt;D xsi:type="xsd:double"&gt;1</t>
        </r>
      </text>
    </comment>
    <comment ref="A25" authorId="0" shapeId="0" xr:uid="{1282AAD1-D0A5-4AF2-8F5F-9F472C7C3937}">
      <text>
        <r>
          <rPr>
            <b/>
            <sz val="9"/>
            <color indexed="81"/>
            <rFont val="Tahoma"/>
            <family val="2"/>
          </rPr>
          <t>15856.59&lt;/D&gt;&lt;/FQL&gt;&lt;FQL&gt;&lt;Q&gt;Ticker0024^FE_ESTIMATE(GROSSINCOME,MEAN,QUARTERLY_ROLL,2021/4F,45740,,,'')&lt;/Q&gt;&lt;R&gt;1&lt;/R&gt;&lt;C&gt;1&lt;/C&gt;&lt;D xsi:type="xsd:double"&gt;32161&lt;/D&gt;&lt;/FQL&gt;&lt;FQL&gt;&lt;Q&gt;Ticker0024^FE_ESTIMATE(GROSSINCOME,MEAN,QUARTERLY_ROLL,2021/3F,45740,,,'')&lt;/Q&gt;&lt;R&gt;1&lt;/R&gt;&lt;C&gt;1&lt;/C&gt;&lt;D xsi:type="xsd:double"&gt;28661&lt;/D&gt;&lt;/FQL&gt;&lt;FQL&gt;&lt;Q&gt;Ticker0024^FE_ESTIMATE(GROSSINCOME,MEAN,QUARTERLY_ROLL,2021/2F,45740,,,'')&lt;/Q&gt;&lt;R&gt;1&lt;/R&gt;&lt;C&gt;1&lt;/C&gt;&lt;D xsi:type="xsd:double"&gt;28882&lt;/D&gt;&lt;/FQL&gt;&lt;FQL&gt;&lt;Q&gt;Ticker0024^FE_ESTIMATE(GROSSINCOME,MEAN,QUARTERLY_ROLL,2021/1F,45740,,,'')&lt;/Q&gt;&lt;R&gt;1&lt;/R&gt;&lt;C&gt;1&lt;/C&gt;&lt;D xsi:type="xsd:double"&gt;26152&lt;/D&gt;&lt;/FQL&gt;&lt;FQL&gt;&lt;Q&gt;Ticker0024^FE_ESTIMATE(GROSSINCOME,MEAN,ANNUAL_ROLL,2020,45740,,,'')&lt;/Q&gt;&lt;R&gt;1&lt;/R&gt;&lt;C&gt;1&lt;/C&gt;&lt;D xsi:type="xsd:double"&gt;96940.4&lt;/D&gt;&lt;/FQL&gt;&lt;FQL&gt;&lt;Q&gt;Ticker0024^FE_ESTIMATE(GROSSINCOME,MEAN,QUARTERLY_ROLL,2020/4F,45740,,,'')&lt;/Q&gt;&lt;R&gt;1&lt;/R&gt;&lt;C&gt;1&lt;/C&gt;&lt;D xsi:type="xsd:double"&gt;25698.295&lt;/D&gt;&lt;/FQL&gt;&lt;FQL&gt;&lt;Q&gt;Ticker0024^FE_ESTIMATE(GROSSINCOME,MEAN,QUARTERLY_ROLL,2020/3F,45740,,,'')&lt;/Q&gt;&lt;R&gt;1&lt;/R&gt;&lt;C&gt;1&lt;/C&gt;&lt;D xsi:type="xsd:double"&gt;24046&lt;/D&gt;&lt;/FQL&gt;&lt;FQL&gt;&lt;Q&gt;Ticker0024^FE_ESTIMATE(GROSSINCOME,MEAN,QUARTERLY_ROLL,2020/2F,45740,,,'')&lt;/Q&gt;&lt;R&gt;1&lt;/R&gt;&lt;C&gt;1&lt;/C&gt;&lt;D xsi:type="xsd:double"&gt;24548&lt;/D&gt;&lt;/FQL&gt;&lt;FQL&gt;&lt;Q&gt;Ticker0024^FE_ESTIMATE(GROSSINCOME,MEAN,QUARTERLY_ROLL,2020/1F,45740,,,'')&lt;/Q&gt;&lt;R&gt;1&lt;/R&gt;&lt;C&gt;1&lt;/C&gt;&lt;D xsi:type="xsd:double"&gt;22649&lt;/D&gt;&lt;/FQL&gt;&lt;FQL&gt;&lt;Q&gt;Ticker0024^FE_ESTIMATE(GROSSINCOME,MEAN,ANNUAL_ROLL,2019,45740,,,'')&lt;/Q&gt;&lt;R&gt;1&lt;/R&gt;&lt;C&gt;1&lt;/C&gt;&lt;D xsi:type="xsd:double"&gt;82959.15&lt;/D&gt;&lt;/FQL&gt;&lt;FQL&gt;&lt;Q&gt;Ticker0024^FE_ESTIMATE(GROSSINCOME,MEAN,QUARTERLY_ROLL,2019/4F,45740,,,'')&lt;/Q&gt;&lt;R&gt;1&lt;/R&gt;&lt;C&gt;1&lt;/C&gt;&lt;D xsi:type="xsd:double"&gt;23317.578&lt;/D&gt;&lt;/FQL&gt;&lt;FQL&gt;&lt;Q&gt;Ticker0024^FE_ESTIMATE(GROSSINCOME,MEAN,QUARTERLY_ROLL,2019/3F,45740,,,'')&lt;/Q&gt;&lt;R&gt;1&lt;/R&gt;&lt;C&gt;1&lt;/C&gt;&lt;D xsi:type="xsd:double"&gt;20416&lt;/D&gt;&lt;/FQL&gt;&lt;FQL&gt;&lt;Q&gt;Ticker0024^FE_ESTIMATE(GROSSINCOME,MEAN,QUARTERLY_ROLL,2019/2F,45740,,,'')&lt;/Q&gt;&lt;R&gt;1&lt;/R&gt;&lt;C&gt;1&lt;/C&gt;&lt;D xsi:type="xsd:double"&gt;20048&lt;/D&gt;&lt;/FQL&gt;&lt;FQL&gt;&lt;Q&gt;Ticker0024^FE_ESTIMATE(GROSSINCOME,MEAN,QUARTERLY_ROLL,2019/1F,45740,,,'')&lt;/Q&gt;&lt;R&gt;1&lt;/R&gt;&lt;C&gt;1&lt;/C&gt;&lt;D xsi:type="xsd:double"&gt;19179&lt;/D&gt;&lt;/FQL&gt;&lt;FQL&gt;&lt;Q&gt;Ticker0024^FE_ESTIMATE(GROSSINCOME,MEAN,ANNUAL_ROLL,2018,45740,,,'')&lt;/Q&gt;&lt;R&gt;1&lt;/R&gt;&lt;C&gt;1&lt;/C&gt;&lt;D xsi:type="xsd:double"&gt;71970.336&lt;/D&gt;&lt;/FQL&gt;&lt;FQL&gt;&lt;Q&gt;Ticker0024^FE_ESTIMATE(GROSSINCOME,MEAN,QUARTERLY_ROLL,2018/4F,45740,,,'')&lt;/Q&gt;&lt;R&gt;1&lt;/R&gt;&lt;C&gt;1&lt;/C&gt;&lt;D xsi:type="xsd:double"&gt;20296.684&lt;/D&gt;&lt;/FQL&gt;&lt;FQL&gt;&lt;Q&gt;Ticker0024^FE_ESTIMATE(GROSSINCOME,MEAN,QUARTERLY_ROLL,2018/3F,45740,,,'')&lt;/Q&gt;&lt;R&gt;1&lt;/R&gt;&lt;C&gt;1&lt;/C&gt;&lt;D xsi:type="xsd:double"&gt;17550&lt;/D&gt;&lt;/FQL&gt;&lt;FQL&gt;&lt;Q&gt;Ticker0024^FE_ESTIMATE(GROSSINCOME,MEAN,QUARTERLY_ROLL,2018/2F,45740,,,'')&lt;/Q&gt;&lt;R&gt;1&lt;/R&gt;&lt;C&gt;1&lt;/C&gt;&lt;D xsi:type="xsd:double"&gt;17854&lt;/D&gt;&lt;/FQL&gt;&lt;FQL&gt;&lt;Q&gt;Ticker0024^FE_ESTIMATE(GROSSINCOME,MEAN,QUARTERLY_ROLL,2018/1F,45740,,,'')&lt;/Q&gt;&lt;R&gt;1&lt;/R&gt;&lt;C&gt;1&lt;/C&gt;&lt;D xsi:type="xsd:double"&gt;16264.4&lt;/D&gt;&lt;/FQL&gt;&lt;FQL&gt;&lt;Q&gt;Ticker0024^FE_ESTIMATE(GROSSINCOME,MEAN,ANNUAL_ROLL,2017,45740,,,'')&lt;/Q&gt;&lt;R&gt;1&lt;/R&gt;&lt;C&gt;1&lt;/C&gt;&lt;D xsi:type="xsd:double"&gt;62400.3&lt;/D&gt;&lt;/FQL&gt;&lt;FQL&gt;&lt;Q&gt;Ticker0024^FE_ESTIMATE(GROSSINCOME,MEAN,QUARTERLY_ROLL,2017/4F,45740,,,'')&lt;/Q&gt;&lt;R&gt;1&lt;/R&gt;&lt;C&gt;1&lt;/C&gt;&lt;D xsi:type="xsd:double"&gt;16244&lt;/D&gt;&lt;/FQL&gt;&lt;FQL&gt;&lt;Q&gt;Ticker0024^FE_ESTIMATE(GROSSINCOME,MEAN,QUARTERLY_ROLL,2017/3F,45740,,,'')&lt;/Q&gt;&lt;R&gt;1&lt;/R&gt;&lt;C&gt;1&lt;/C&gt;&lt;D xsi:type="xsd:double"&gt;15497&lt;/D&gt;&lt;/FQL&gt;&lt;FQL&gt;&lt;Q&gt;Ticker0024^FE_ESTIMATE(GROSSINCOME,MEAN,QUARTERLY_ROLL,2017/2F,45740,,,'')&lt;/Q&gt;&lt;R&gt;1&lt;/R&gt;&lt;C&gt;1&lt;/C&gt;&lt;D xsi:type="xsd:double"&gt;15990.608&lt;/D&gt;&lt;/FQL&gt;&lt;FQL&gt;&lt;Q&gt;Ticker0024^FE_ESTIMATE(GROSSINCOME,MEAN,QUARTERLY_ROLL,2017/1F,45740,,,'')&lt;/Q&gt;&lt;R&gt;1&lt;/R&gt;&lt;C&gt;1&lt;/C&gt;&lt;D xsi:type="xsd:double"&gt;14317.286&lt;/D&gt;&lt;/FQL&gt;&lt;FQL&gt;&lt;Q&gt;Ticker0024^FE_ESTIMATE(GROSSINCOME,MEAN,ANNUAL_ROLL,2016,45740,,,'')&lt;/Q&gt;&lt;R&gt;1&lt;/R&gt;&lt;C&gt;1&lt;/C&gt;&lt;D xsi:type="xsd:double"&gt;59288.41&lt;/D&gt;&lt;/FQL&gt;&lt;FQL&gt;&lt;Q&gt;Ticker0024^FE_ESTIMATE(GROSSINCOME,MEAN,QUARTERLY_ROLL,2016/4F,45740,,,'')&lt;/Q&gt;&lt;R&gt;1&lt;/R&gt;&lt;C&gt;1&lt;/C&gt;&lt;D xsi:type="xsd:double"&gt;14663&lt;/D&gt;&lt;/FQL&gt;&lt;FQL&gt;&lt;Q&gt;Ticker0024^FE_ESTIMATE(GROSSINCOME,MEAN,QUARTERLY_ROLL,2016/3F,45740,,,'')&lt;/Q&gt;&lt;R&gt;1&lt;/R&gt;&lt;C&gt;1&lt;/C&gt;&lt;D xsi:type="xsd:double"&gt;14354&lt;/D&gt;&lt;/FQL&gt;&lt;FQL&gt;&lt;Q&gt;Ticker0024^FE_ESTIMATE(GROSSINCOME,MEAN,QUARTERLY_ROLL,2016/2F,45740,,,'')&lt;/Q&gt;&lt;R&gt;1&lt;/R&gt;&lt;C&gt;1&lt;/C&gt;&lt;D xsi:type="xsd:double"&gt;15821&lt;/D&gt;&lt;/FQL&gt;&lt;FQL&gt;&lt;Q&gt;Ticker0024^FE_ESTIMATE(GROSSINCOME,MEAN,QUARTERLY_ROLL,2016/1F,45740,,,'')&lt;/Q&gt;&lt;R&gt;1&lt;/R&gt;&lt;C&gt;1&lt;/C&gt;&lt;D xsi:type="xsd:double"&gt;14452.667&lt;/D&gt;&lt;/FQL&gt;&lt;FQL&gt;&lt;Q&gt;Ticker0024^FE_ESTIMATE(GROSSINCOME,MEAN,ANNUAL_ROLL,2015,45740,,,'')&lt;/Q&gt;&lt;R&gt;1&lt;/R&gt;&lt;C&gt;1&lt;/C&gt;&lt;D xsi:type="xsd:double"&gt;60542.086&lt;/D&gt;&lt;/FQL&gt;&lt;FQL&gt;&lt;Q&gt;Ticker0024^FE_ESTIMATE(GROSSINCOME,MEAN,QUARTERLY_ROLL,2015/4F,45740,,,'')&lt;/Q&gt;&lt;R&gt;1&lt;/R&gt;&lt;C&gt;1&lt;/C&gt;&lt;D xsi:type="xsd:double"&gt;14712&lt;/D&gt;&lt;/FQL&gt;&lt;FQL&gt;&lt;Q&gt;Ticker0024^FE_ESTIMATE(GROSSINCOME,MEAN,QUARTERLY_ROLL,2015/3F,45740,,,'')&lt;/Q&gt;&lt;R&gt;1&lt;/R&gt;&lt;C&gt;1&lt;/C&gt;&lt;D xsi:type="xsd:double"&gt;14571.714&lt;/D&gt;&lt;/FQL&gt;&lt;FQL&gt;&lt;Q&gt;Ticker0024^FE_ESTIMATE(GROSSINCOME,MEAN,QUARTERLY_ROLL,2015/2F,45740,,,'')&lt;/Q&gt;&lt;R&gt;1&lt;/R&gt;&lt;C&gt;1&lt;/C&gt;&lt;D xsi:type="xsd:double"&gt;16334&lt;/D&gt;&lt;/FQL&gt;&lt;FQL&gt;&lt;Q&gt;Ticker0024^FE_ESTIMATE(GROSSINCOME,MEAN,QUARTERLY_ROLL,2015/1F,45740,,,'')&lt;/Q&gt;&lt;R&gt;1&lt;/R&gt;&lt;C&gt;1&lt;/C&gt;&lt;D xsi:type="xsd:double"&gt;14928&lt;/D&gt;&lt;/FQL&gt;&lt;FQL&gt;&lt;Q&gt;Ticker0024^FE_ESTIMATE(SALES,MEAN,ANNUAL_ROLL,2030,45740,,,'')&lt;/Q&gt;&lt;R&gt;0&lt;/R&gt;&lt;C&gt;0&lt;/C&gt;&lt;/FQL&gt;&lt;FQL&gt;&lt;Q&gt;Ticker0024^FE_ESTIMATE(SALES,MEAN,QUARTERLY_ROLL,2030/4F,45740,,,'')&lt;/Q&gt;&lt;R&gt;0&lt;/R&gt;&lt;C&gt;0&lt;/C&gt;&lt;/FQL&gt;&lt;FQL&gt;&lt;Q&gt;Ticker0024^FE_ESTIMATE(SALES,MEAN,QUARTERLY_ROLL,2030/3F,45740,,,'')&lt;/Q&gt;&lt;R&gt;0&lt;/R&gt;&lt;C&gt;0&lt;/C&gt;&lt;/FQL&gt;&lt;FQL&gt;&lt;Q&gt;Ticker0024^FE_ESTIMATE(SALES,MEAN,QUARTERLY_ROLL,2030/2F,45740,,,'')&lt;/Q&gt;&lt;R&gt;0&lt;/R&gt;&lt;C&gt;0&lt;/C&gt;&lt;/FQL&gt;&lt;FQL&gt;&lt;Q&gt;Ticker0024^FE_ESTIMATE(SALES,MEAN,QUARTERLY_ROLL,2030/1F,45740,,,'')&lt;/Q&gt;&lt;R&gt;0&lt;/R&gt;&lt;C&gt;0&lt;/C&gt;&lt;/FQL&gt;&lt;FQL&gt;&lt;Q&gt;Ticker0024^FE_ESTIMATE(SALES,MEAN,ANNUAL_ROLL,2029,45740,,,'')&lt;/Q&gt;&lt;R&gt;1&lt;/R&gt;&lt;C&gt;1&lt;/C&gt;&lt;D xsi:type="xsd:double"&gt;474419.9&lt;/D&gt;&lt;/FQL&gt;&lt;FQL&gt;&lt;Q&gt;Ticker0024^FE_ESTIMATE(SALES,MEAN,QUARTERLY_ROLL,2029/4F,45740,,,'')&lt;/Q&gt;&lt;R&gt;0&lt;/R&gt;&lt;C&gt;0&lt;/C&gt;&lt;/FQL&gt;&lt;FQL&gt;&lt;Q&gt;Ticker0024^FE_ESTIMATE(SALES,MEAN,QUARTERLY_ROLL,2029/3F,45740,,,'')&lt;/Q&gt;&lt;R&gt;0&lt;/R&gt;&lt;C&gt;0&lt;/C&gt;&lt;/FQL&gt;&lt;FQL&gt;&lt;Q&gt;Ticker0024^FE_ESTIMATE(SALES,MEAN,QUARTERLY_ROLL,2029/2F,45740,,,'')&lt;/Q&gt;&lt;R&gt;0&lt;/R&gt;&lt;C&gt;0&lt;/C&gt;&lt;/FQL&gt;&lt;FQL&gt;&lt;Q&gt;Ticker0024^FE_ESTIMATE(SALES,MEAN,QUARTERLY_ROLL,2029/1F,45740,,,'')&lt;/Q&gt;&lt;R&gt;0&lt;/R&gt;&lt;C&gt;0&lt;/C&gt;&lt;/FQL&gt;&lt;FQL&gt;&lt;Q&gt;Ticker0024^FE_ESTIMATE(SALES,MEAN,ANNUAL_ROLL,2028,45740,,,'')&lt;/Q&gt;&lt;R&gt;1&lt;/R&gt;&lt;C&gt;1&lt;/C&gt;&lt;D xsi:type="xsd:double"&gt;416577.6&lt;/D&gt;&lt;/FQL&gt;&lt;FQL&gt;&lt;Q&gt;Ticker0024^FE_ESTIMATE(SALES,MEAN,QUARTERLY_ROLL,2028/4F,45740,,,'')&lt;/Q&gt;&lt;R&gt;0&lt;/R&gt;&lt;C&gt;0&lt;/C&gt;&lt;/FQL&gt;&lt;FQL&gt;&lt;Q&gt;Ticker0024^FE_ESTIMATE(SALES,MEAN,QUARTERLY_ROLL,2028/3F,45740,,,'')&lt;/Q&gt;&lt;R&gt;0&lt;/R&gt;&lt;C&gt;0&lt;/C&gt;&lt;/FQL&gt;&lt;FQL&gt;&lt;Q&gt;Ticker0024^FE_ESTIMATE(SALES,MEAN,QUARTERLY_ROLL,2028/2F,45740,,,'')&lt;/Q&gt;&lt;R&gt;0&lt;/R&gt;&lt;C&gt;0&lt;/C&gt;&lt;/FQL&gt;&lt;FQL&gt;&lt;Q&gt;Ticker0024^FE_ESTIMATE(SALES,MEAN,QUARTERLY_ROLL,2028/1F,45740,,,'')&lt;/Q&gt;&lt;R&gt;0&lt;/R&gt;&lt;C&gt;0&lt;/C&gt;&lt;/FQL&gt;&lt;FQL&gt;&lt;Q&gt;Ticker0024^FE_ESTIMATE(SALES,MEAN,ANNUAL_ROLL,2027,45740,,,'')&lt;/Q&gt;&lt;R&gt;1&lt;/R&gt;&lt;C&gt;1&lt;/C&gt;&lt;D xsi:type="xsd:double"&gt;361886.3&lt;/D&gt;&lt;/FQL&gt;&lt;FQL&gt;&lt;Q&gt;Ticker0024^FE_ESTIMATE(SALES,MEAN,QUARTERLY_ROLL,2027/4F,45740,,,'')&lt;/Q&gt;&lt;R&gt;1&lt;/R&gt;&lt;C&gt;1&lt;/C&gt;&lt;D xsi:type="xsd:double"&gt;94452.6&lt;/D&gt;&lt;/FQL&gt;&lt;FQL&gt;&lt;Q&gt;Ticker0024^FE_ESTIMATE(SALES,MEAN,QUARTERLY_ROLL,2027/3F,45740,,,'')&lt;/Q&gt;&lt;R&gt;1&lt;/R&gt;&lt;C&gt;1&lt;/C&gt;&lt;D xsi:type="xsd:double"&gt;88682.49&lt;/D&gt;&lt;/FQL&gt;&lt;FQL&gt;&lt;Q&gt;Ticker0024^FE_ESTIMATE(SALES,MEAN,QUARTERLY_ROLL,2027/2F,45740,,,'')&lt;/Q&gt;&lt;R&gt;1&lt;/R&gt;&lt;C&gt;1&lt;/C&gt;&lt;D xsi:type="xsd:double"&gt;89035.75&lt;/D&gt;&lt;/FQL&gt;&lt;FQL&gt;&lt;Q&gt;Ticker0024^FE_ESTIMATE(SALES,MEAN,QUARTERLY_ROLL,2027/1F,45740,,,'')&lt;/Q&gt;&lt;R&gt;1&lt;/R&gt;&lt;C&gt;1&lt;/C&gt;&lt;D xsi:type="xsd:double"&gt;83883.65&lt;/D&gt;&lt;/FQL&gt;&lt;FQL&gt;&lt;Q&gt;Ticker0024^FE_ESTIMATE(SALES,MEAN,ANNUAL_ROLL,2026,45740,,,'')&lt;/Q&gt;&lt;R&gt;1&lt;/R&gt;&lt;C&gt;1&lt;/C&gt;&lt;D xsi:type="xsd:double"&gt;314727.16&lt;/D&gt;&lt;/FQL&gt;&lt;FQL&gt;&lt;Q&gt;Ticker0024^FE_ESTIMATE(SALES,MEAN,QUARTERLY_ROLL,2026/4F,45740,,,'')&lt;/Q&gt;&lt;R&gt;1&lt;/R&gt;&lt;C&gt;1&lt;/C&gt;&lt;D xsi:type="xsd:double"&gt;82470.914&lt;/D&gt;&lt;/FQL&gt;&lt;FQL&gt;&lt;Q&gt;Ticker0024^FE_ESTIMATE(SALES,MEAN,QUARTERLY_ROLL,2026/3F,45740,,,'')&lt;/Q&gt;&lt;R&gt;1&lt;/R&gt;&lt;C&gt;1&lt;/C&gt;&lt;D xsi:type="xsd:double"&gt;77828.92&lt;/D&gt;&lt;/FQL&gt;&lt;FQL&gt;&lt;Q&gt;Ticker0024^FE_ESTIMATE(SALES,MEAN,QUARTERLY_ROLL,2026/2F,45740,,,'')&lt;/Q&gt;&lt;R&gt;1&lt;/R&gt;&lt;C&gt;1&lt;/C&gt;&lt;D xsi:type="xsd:double"&gt;78378.69&lt;/D&gt;&lt;/FQL&gt;&lt;FQL&gt;&lt;Q&gt;Ticker0024^FE_ESTIMATE(SALES,MEAN,QUARTERLY_ROLL,2026/1F,45740,,,'')&lt;/Q&gt;&lt;R&gt;1&lt;/R&gt;&lt;C&gt;1&lt;/C&gt;&lt;D xsi:type="xsd:double"&gt;73642.375&lt;/D&gt;&lt;/FQL&gt;&lt;FQL&gt;&lt;Q&gt;Ticker0024^FE_ESTIMATE(SALES,MEAN,ANNUAL_ROLL,2025,45740,,,'')&lt;/Q&gt;&lt;R&gt;1&lt;/R&gt;&lt;C&gt;1&lt;/C&gt;&lt;D xsi:type="xsd:double"&gt;276829.06&lt;/D&gt;&lt;/FQL&gt;&lt;FQL&gt;&lt;Q&gt;Ticker0024^FE_ESTIMATE(SALES,MEAN,QUARTERLY_ROLL,2025/4F,45740,,,'')&lt;/Q&gt;&lt;R&gt;1&lt;/R&gt;&lt;C&gt;1&lt;/C&gt;&lt;D xsi:type="xsd:double"&gt;72708.15&lt;/D&gt;&lt;/FQL&gt;&lt;FQL&gt;&lt;Q&gt;Ticker0024^FE_ESTIMATE(SALES,MEAN,QUARTERLY_ROLL,2025/3F,45740,,,'')&lt;/Q&gt;&lt;R&gt;1&lt;/R&gt;&lt;C&gt;1&lt;/C&gt;&lt;D xsi:type="xsd:double"&gt;68533.18&lt;/D&gt;&lt;/FQL&gt;&lt;FQL&gt;&lt;Q&gt;Ticker0024^FE_ESTIMATE(SALES,MEAN,QUARTERLY_ROLL,2025/2F,45740,,,'')&lt;/Q&gt;&lt;R&gt;1&lt;/R&gt;&lt;C&gt;1&lt;/C&gt;&lt;D xsi:type="xsd:double"&gt;69632&lt;/D&gt;&lt;/FQL&gt;&lt;FQL&gt;&lt;Q&gt;Ticker0024^FE_ESTIMATE(SALES,MEAN,QUARTERLY_ROLL,2025/1F,45740,,,'')&lt;/Q&gt;&lt;R&gt;1&lt;/R&gt;&lt;C&gt;1&lt;/C&gt;&lt;D xsi:type="xsd:double"&gt;65585&lt;/D&gt;&lt;/FQL&gt;&lt;FQL&gt;&lt;Q&gt;Ticker0024^FE_ESTIMATE(SALES,MEAN,ANNUAL_ROLL,2024,45740,,,'')&lt;/Q&gt;&lt;R&gt;1&lt;/R&gt;&lt;C&gt;1&lt;/C&gt;&lt;D xsi:type="xsd:double"&gt;245122&lt;/D&gt;&lt;/FQL&gt;&lt;FQL&gt;&lt;Q&gt;Ticker0024^FE_ESTIMATE(SALES,MEAN,QUARTERLY_ROLL,2024/4F,45740,,,'')&lt;/Q&gt;&lt;R&gt;1&lt;/R&gt;&lt;C&gt;1&lt;/C&gt;&lt;D xsi:type="xsd:double"&gt;64727&lt;/D&gt;&lt;/FQL&gt;&lt;FQL&gt;&lt;Q&gt;Ticker0024^FE_ESTIMATE(SALES,MEAN,QUARTERLY_ROLL,2024/3F,45740,,,'')&lt;/Q&gt;&lt;R&gt;1&lt;/R&gt;&lt;C&gt;1&lt;/C&gt;&lt;D xsi:type="xsd:double"&gt;61858&lt;/D&gt;&lt;/FQL&gt;&lt;FQL&gt;&lt;Q&gt;Ticker0024^FE_ESTIMATE(SALES,MEAN,QUARTERLY_ROLL,2024/2F,45740,,,'')&lt;/Q&gt;&lt;R&gt;1&lt;/R&gt;&lt;C&gt;1&lt;/C&gt;&lt;D xsi:type="xsd:double"&gt;62020&lt;/D&gt;&lt;/FQL&gt;&lt;FQL&gt;&lt;Q&gt;Ticker0024^FE_ESTIMATE(SALES,MEAN,QUARTERLY_ROLL,2024/1F,45740,,,'')&lt;/Q&gt;&lt;R&gt;1&lt;/R&gt;&lt;C&gt;1&lt;/C&gt;&lt;D xsi:type="xsd:double"&gt;56517&lt;/D&gt;&lt;/FQL&gt;&lt;FQL&gt;&lt;Q&gt;Ticker0024^FE_ESTIMATE(SALES,MEAN,ANNUAL_ROLL,2023,45740,,,'')&lt;/Q&gt;&lt;R&gt;1&lt;/R&gt;&lt;C&gt;1&lt;/C&gt;&lt;D xsi:type="xsd:double"&gt;211915&lt;/D&gt;&lt;/FQL&gt;&lt;FQL&gt;&lt;Q&gt;Ticker0024^FE_ESTIMATE(SALES,MEAN,QUARTERLY_ROLL,2023/4F,45740,,,'')&lt;/Q&gt;&lt;R&gt;1&lt;/R&gt;&lt;C&gt;1&lt;/C&gt;&lt;D xsi:type="xsd:double"&gt;56189&lt;/D&gt;&lt;/FQL&gt;&lt;FQL&gt;&lt;Q&gt;Ticker0024^FE_ESTIMATE(SALES,MEAN,QUARTERLY_ROLL,2023/3F,45740,,,'')&lt;/Q&gt;&lt;R&gt;1&lt;/R&gt;&lt;C&gt;1&lt;/C&gt;&lt;D xsi:type="xsd:double"&gt;52857&lt;/D&gt;&lt;/FQL&gt;&lt;FQL&gt;&lt;Q&gt;Ticker0024^FE_ESTIMATE(SALES,MEAN,QUARTERLY_ROLL,2023/2F,45740,,,'')&lt;/Q&gt;&lt;R&gt;1&lt;/R&gt;&lt;C&gt;1&lt;/C&gt;&lt;D xsi:type="xsd:double"&gt;52747&lt;/D&gt;&lt;/FQL&gt;&lt;FQL&gt;&lt;Q&gt;Ticker0024^FE_ESTIMATE(SALES,MEAN,QUARTERLY_ROLL,2023/1F,45740,,,'')&lt;/Q&gt;&lt;R&gt;1&lt;/R&gt;&lt;C&gt;1&lt;/C&gt;&lt;D xsi:type="xsd:double"&gt;50122&lt;/D&gt;&lt;/FQL&gt;&lt;FQL&gt;&lt;Q&gt;Ticker0024^FE_ESTIMATE(SALES,MEAN,ANNUAL_ROLL,2022,45740,,,'')&lt;/Q&gt;&lt;R&gt;1&lt;/R&gt;&lt;C&gt;1&lt;/C&gt;&lt;D xsi:type="xsd:double"&gt;198270&lt;/D&gt;&lt;/FQL&gt;&lt;FQL&gt;&lt;Q&gt;Ticker0024^FE_ESTIMATE(SALES,MEAN,QUARTERLY_ROLL,2022/4F,45740,,,'')&lt;/Q&gt;&lt;R&gt;1&lt;/R&gt;&lt;C&gt;1&lt;/C&gt;&lt;D xsi:type="xsd:double"&gt;51865&lt;/D&gt;&lt;/FQL&gt;&lt;FQL&gt;&lt;Q&gt;Ticker0024^FE_ESTIMATE(SALES,MEAN,QUARTERLY_ROLL,2022/3F,45740,,,'')&lt;/Q&gt;&lt;R&gt;1&lt;/R&gt;&lt;C&gt;1&lt;/C&gt;&lt;D xsi:type="xsd:double"&gt;49360&lt;/D&gt;&lt;/FQL&gt;&lt;FQL&gt;&lt;Q&gt;Ticker0024^FE_ESTIMATE(SALES,MEAN,QUARTERLY_ROLL,2022/2F,45740,,,'')&lt;/Q&gt;&lt;R&gt;1&lt;/R&gt;&lt;C&gt;1&lt;/C&gt;&lt;D xsi:type="xsd:double"&gt;51728&lt;/D&gt;&lt;/FQL&gt;&lt;FQL&gt;&lt;Q&gt;Ticker0024^FE_ESTIMATE(SALES,MEAN,QUARTERLY_ROLL,2022/1F,45740,,,'')&lt;/Q&gt;&lt;R&gt;1&lt;/R&gt;&lt;C&gt;1&lt;/C&gt;&lt;D xsi:type="xsd:double"&gt;45317&lt;/D&gt;&lt;/FQL&gt;&lt;FQL&gt;&lt;Q&gt;Ticker0024^FE_ESTIMATE(SALES,MEAN,ANNUAL_ROLL,2021,45740,,,'')&lt;/Q&gt;&lt;R&gt;1&lt;/R&gt;&lt;C&gt;1&lt;/C&gt;&lt;D xsi:type="xsd:double"&gt;168088&lt;/D&gt;&lt;/FQL&gt;&lt;FQL&gt;&lt;Q&gt;Ticker0024^FE_ESTIMATE(SALES,MEAN,QUARTERLY_ROLL,2021/4F,45740,,,'')&lt;/Q&gt;&lt;R&gt;1&lt;/R&gt;&lt;C&gt;1&lt;/C&gt;&lt;D xsi:type="xsd:double"&gt;46152&lt;/D&gt;&lt;/FQL&gt;&lt;FQL&gt;&lt;Q&gt;Ticker0024^FE_ESTIMATE(SALES,MEAN,QUARTERLY_ROLL,2021/3F,45740,,,'')&lt;/Q&gt;&lt;R&gt;1&lt;/R&gt;&lt;C&gt;1&lt;/C&gt;&lt;D xsi:type="xsd:double"&gt;41706&lt;/D&gt;&lt;/FQL&gt;&lt;FQL&gt;&lt;Q&gt;Ticker0024^FE_ESTIMATE(SALES,MEAN,QUARTERLY_ROLL,2021/2F,45740,,,'')&lt;/Q&gt;&lt;R&gt;1&lt;/R&gt;&lt;C&gt;1&lt;/C&gt;&lt;D xsi:type="xsd:double"&gt;43076&lt;/D&gt;&lt;/FQL&gt;&lt;FQL&gt;&lt;Q&gt;Ticker0024^FE_ESTIMATE(SALES,MEAN,QUARTERLY_ROLL,2021/1F,45740,,,'')&lt;/Q&gt;&lt;R&gt;1&lt;/R&gt;&lt;C&gt;1&lt;/C&gt;&lt;D xsi:type="xsd:double"&gt;37154&lt;/D&gt;&lt;/FQL&gt;&lt;FQL&gt;&lt;Q&gt;Ticker0024^FE_ESTIMATE(SALES,MEAN,ANNUAL_ROLL,2020,45740,,,'')&lt;/Q&gt;&lt;R&gt;1&lt;/R&gt;&lt;C&gt;1&lt;/C&gt;&lt;D xsi:type="xsd:double"&gt;143015&lt;/D&gt;&lt;/FQL&gt;&lt;FQL&gt;&lt;Q&gt;Ticker0024^FE_ESTIMATE(SALES,MEAN,QUARTERLY_ROLL,2020/4F,45740,,,'')&lt;/Q&gt;&lt;R&gt;1&lt;/R&gt;&lt;C&gt;1&lt;/C&gt;&lt;D xsi:type="xsd:double"&gt;38033&lt;/D&gt;&lt;/FQL&gt;&lt;FQL&gt;&lt;Q&gt;Ticker0024^FE_ESTIMATE(SALES,MEAN,QUARTERLY_ROLL,2020/3F,45740,,,'')&lt;/Q&gt;&lt;R&gt;1&lt;/R&gt;&lt;C&gt;1&lt;/C&gt;&lt;D xsi:type="xsd:double"&gt;35021&lt;/D&gt;&lt;/FQL&gt;&lt;FQL&gt;&lt;Q&gt;Ticker0024^FE_ESTIMATE(SALES,MEAN,QUARTERLY_ROLL,2020/2F,45740,,,'')&lt;/Q&gt;&lt;R&gt;1&lt;/R&gt;&lt;C&gt;1&lt;/C&gt;&lt;D xsi:type="xsd:double"&gt;36906&lt;/D&gt;&lt;/FQL&gt;&lt;FQL&gt;&lt;Q&gt;Ticker0024^FE_ESTIMATE(SALES,MEAN,QUARTERLY_ROLL,2020/1F,45740,,,'')&lt;/Q&gt;&lt;R&gt;1&lt;/R&gt;&lt;C&gt;1&lt;/C&gt;&lt;D xsi:type="xsd:double"&gt;33055&lt;/D&gt;&lt;/FQL&gt;&lt;FQL&gt;&lt;Q&gt;Ticker0024^FE_ESTIMATE(SALES,MEAN,ANNUAL_ROLL,2019,45740,,,'')&lt;/Q&gt;&lt;R&gt;1&lt;/R&gt;&lt;C&gt;1&lt;/C&gt;&lt;D xsi:type="xsd:double"&gt;125843&lt;/D&gt;&lt;/FQL&gt;&lt;FQL&gt;&lt;Q&gt;Ticker0024^FE_ESTIMATE(SALES,MEAN,QUARTERLY_ROLL,2019/4F,45740,,,'')&lt;/Q&gt;&lt;R&gt;1&lt;/R&gt;&lt;C&gt;1&lt;/C&gt;&lt;D xsi:type="xsd:double"&gt;33717&lt;/D&gt;&lt;/FQL&gt;&lt;FQL&gt;&lt;Q&gt;Ticker0024^FE_ESTIMATE(SALES,MEAN,QUARTERLY_ROLL,2019/3F,45740,,,'')&lt;/Q&gt;&lt;R&gt;1&lt;/R&gt;&lt;C&gt;1&lt;/C&gt;&lt;D xsi:type="xsd:double"&gt;30571&lt;/D&gt;&lt;/FQL&gt;&lt;FQL&gt;&lt;Q&gt;Ticker0024^FE_ESTIMATE(SALES,MEAN,QUARTERLY_ROLL,2019/2F,45740,,,'')&lt;/Q&gt;&lt;R&gt;1&lt;/R&gt;&lt;C&gt;1&lt;/C&gt;&lt;D xsi:type="xsd:double"&gt;32471&lt;/D&gt;&lt;/FQL&gt;&lt;FQL&gt;&lt;Q&gt;Ticker0024^FE_ESTIMATE(SALES,MEAN,QUARTERLY_ROLL,2019/1F,45740,,,'')&lt;/Q&gt;&lt;R&gt;1&lt;/R&gt;&lt;C&gt;1&lt;/C&gt;&lt;D xsi:type="xsd:double"&gt;29084&lt;/D&gt;&lt;/FQL&gt;&lt;FQL&gt;&lt;Q&gt;Ticker0024^FE_ESTIMATE(SALES,MEAN,ANNUAL_ROLL,2018,45740,,,'')&lt;/Q&gt;&lt;R&gt;1&lt;/R&gt;&lt;C&gt;1&lt;/C&gt;&lt;D xsi:type="xsd:double"&gt;110360&lt;/D&gt;&lt;/FQL&gt;&lt;FQL&gt;&lt;Q&gt;Ticker0024^FE_ESTIMATE(SALES,MEAN,QUARTERLY_ROLL,2018/4F,45740,,,'')&lt;/Q&gt;&lt;R&gt;1&lt;/R&gt;&lt;C&gt;1&lt;/C&gt;&lt;D xsi:type="xsd:double"&gt;30085&lt;/D&gt;&lt;/FQL&gt;&lt;FQL&gt;&lt;Q&gt;Ticker0024^FE_ESTIMATE(SALES,MEAN,QUARTERLY_ROLL,2018/3F,45740,,,'')&lt;/Q&gt;&lt;R&gt;1&lt;/R&gt;&lt;C&gt;1&lt;/C&gt;&lt;D xsi:type="xsd:double"&gt;26819&lt;/D&gt;&lt;/FQL&gt;&lt;FQL&gt;&lt;Q&gt;Ticker0024^FE_ESTIMATE(SALES,MEAN,QUARTERLY_ROLL,2018/2F,45740,,,'')&lt;/Q&gt;&lt;R&gt;1&lt;/R&gt;&lt;C&gt;1&lt;/C&gt;&lt;D xsi:type="xsd:double"&gt;28918&lt;/D&gt;&lt;/FQL&gt;&lt;FQL&gt;&lt;Q&gt;Ticker0024^FE_ESTIMATE(SALES,MEAN,QUARTERLY_ROLL,2018/1F,45740,,,'')&lt;/Q&gt;&lt;R&gt;1&lt;/R&gt;&lt;C&gt;1&lt;/C&gt;&lt;D xsi:type="xsd:double"&gt;24538&lt;/D&gt;&lt;/FQL&gt;&lt;FQL&gt;&lt;Q&gt;Ticker0024^FE_ESTIMATE(SALES,MEAN,ANNUAL_ROLL,2017,45740,,,'')&lt;/Q&gt;&lt;R&gt;1&lt;/R&gt;&lt;C&gt;1&lt;/C&gt;&lt;D xsi:type="xsd:double"&gt;96700&lt;/D&gt;&lt;/FQL&gt;&lt;FQL&gt;&lt;Q&gt;Ticker0024^FE_ESTIMATE(SALES,MEAN,QUARTERLY_ROLL,2017/4F,45740,,,'')&lt;/Q&gt;&lt;R&gt;1&lt;/R&gt;&lt;C&gt;1&lt;/C&gt;&lt;D xsi:type="xsd:double"&gt;24700&lt;/D&gt;&lt;/FQL&gt;&lt;FQL&gt;&lt;Q&gt;Ticker0024^FE_ESTIMATE(SALES,MEAN,QUARTERLY_ROLL,2017/3F,45740,,,'')&lt;/Q&gt;&lt;R&gt;1&lt;/R&gt;&lt;C&gt;1&lt;/C&gt;&lt;D xsi:type="xsd:double"&gt;23557&lt;/D&gt;&lt;/FQL&gt;&lt;FQL&gt;&lt;Q&gt;Ticker0024^FE_ESTIMATE(SALES,MEAN,QUARTERLY_ROLL,2017/2F,45740,,,'')&lt;/Q&gt;&lt;R&gt;1&lt;/R&gt;&lt;C&gt;1&lt;/C&gt;&lt;D xsi:type="xsd:double"&gt;26066&lt;/D&gt;&lt;/FQL&gt;&lt;FQL&gt;&lt;Q&gt;Ticker0024^FE_ESTIMATE(SALES,MEAN,QUARTERLY_ROLL,2017/1F,45740,,,'')&lt;/Q&gt;&lt;R&gt;1&lt;/R&gt;&lt;C&gt;1&lt;/C&gt;&lt;D xsi:type="xsd:double"&gt;22334&lt;/D&gt;&lt;/FQL&gt;&lt;FQL&gt;&lt;Q&gt;Ticker0024^FE_ESTIMATE(SALES,MEAN,ANNUAL_ROLL,2016,45740,,,'')&lt;/Q&gt;&lt;R&gt;1&lt;/R&gt;&lt;C&gt;1&lt;/C&gt;&lt;D xsi:type="xsd:double"&gt;92051.92&lt;/D&gt;&lt;/FQL&gt;&lt;FQL&gt;&lt;Q&gt;Ticker0024^FE_ESTIMATE(SALES,MEAN,QUARTERLY_ROLL,2016/4F,45740,,,'')&lt;/Q&gt;&lt;R&gt;1&lt;/R&gt;&lt;C&gt;1&lt;/C&gt;&lt;D xsi:type="xsd:double"&gt;22640.229&lt;/D&gt;&lt;/FQL&gt;&lt;FQL&gt;&lt;Q&gt;Ticker0024^FE_ESTIMATE(SALES,MEAN,QUARTERLY_ROLL,2016/3F,45740,,,'')&lt;/Q&gt;&lt;R&gt;1&lt;/R&gt;&lt;C&gt;1&lt;/C&gt;&lt;D xsi:type="xsd:double"&gt;22076&lt;/D&gt;&lt;/FQL&gt;&lt;FQL&gt;&lt;Q&gt;Ticker0024^FE_ESTIMATE(SALES,MEAN,QUARTERLY_ROLL,2016/2F,45740,,,'')&lt;/Q&gt;&lt;R&gt;1&lt;/R&gt;&lt;C&gt;1&lt;/C&gt;&lt;D xsi:type="xsd:double"&gt;25693&lt;/D&gt;&lt;/FQL&gt;&lt;FQL&gt;&lt;Q&gt;Ticker0024^FE_ESTIMATE(SALES,MEAN,QUARTERLY_ROLL,2016/1F,45740,,,'')&lt;/Q&gt;&lt;R&gt;1&lt;/R&gt;&lt;C&gt;1&lt;/C&gt;&lt;D xsi:type="xsd:double"&gt;21660&lt;/D&gt;&lt;/FQL&gt;&lt;FQL&gt;&lt;Q&gt;Ticker0024^FE_ESTIMATE(SALES,MEAN,ANNUAL_ROLL,2015,45740,,,'')&lt;/Q&gt;&lt;R&gt;1&lt;/R&gt;&lt;C&gt;1&lt;/C&gt;&lt;D xsi:type="xsd:double"&gt;93580&lt;/D&gt;&lt;/FQL&gt;&lt;FQL&gt;&lt;Q&gt;Ticker0024^FE_ESTIMATE(SALES,MEAN,QUARTERLY_ROLL,2015/4F,45740,,,'')&lt;/Q&gt;&lt;R&gt;1&lt;/R&gt;&lt;C&gt;1&lt;/C&gt;&lt;D xsi:type="xsd:double"&gt;22180&lt;/D&gt;&lt;/FQL&gt;&lt;FQL&gt;&lt;Q&gt;Ticker0024^FE_ESTIMATE(SALES,MEAN,QUARTERLY_ROLL,2015/3F,45740,,,'')&lt;/Q&gt;&lt;R&gt;1&lt;/R&gt;&lt;C&gt;1&lt;/C&gt;&lt;D xsi:type="xsd:double"&gt;21729&lt;/D&gt;&lt;/FQL&gt;&lt;FQL&gt;&lt;Q&gt;Ticker0024^FE_ESTIMATE(SALES,MEAN,QUARTERLY_ROLL,2015/2F,45740,,,'')&lt;/Q&gt;&lt;R&gt;1&lt;/R&gt;&lt;C&gt;1&lt;/C&gt;&lt;D xsi:type="xsd:double"&gt;26470&lt;/D&gt;&lt;/FQL&gt;&lt;FQL&gt;&lt;Q&gt;Ticker0024^FE_ESTIMATE(SALES,MEAN,QUARTERLY_ROLL,2015/1F,45740,,,'')&lt;/Q&gt;&lt;R&gt;1&lt;/R&gt;&lt;C&gt;1&lt;/C&gt;&lt;D xsi:type="xsd:double"&gt;23201&lt;/D&gt;&lt;/FQL&gt;&lt;FQL&gt;&lt;Q&gt;Ticker0024^FE_ESTIMATE(PRODLINE_SALES_17,MEAN,ANNUAL_ROLL,2030,45740,,,'')&lt;/Q&gt;&lt;R&gt;0&lt;/R&gt;&lt;C&gt;0&lt;/C&gt;&lt;/FQL&gt;&lt;FQL&gt;&lt;Q&gt;Ticker0024^FE_ESTIMATE(PRODLINE_SALES_17,MEAN,QUARTERLY_ROLL,2030/4F,45740,,,'')&lt;/Q&gt;&lt;R&gt;0&lt;/R&gt;&lt;C&gt;0&lt;/C&gt;&lt;/FQL&gt;&lt;FQL&gt;&lt;Q&gt;Ticker0024^FE_ESTIMATE(PRODLINE_SALES_17,MEAN,QUARTERLY_ROLL,2030/3F,45740,,,'')&lt;/Q&gt;&lt;R&gt;0&lt;/R&gt;&lt;C&gt;0&lt;/C&gt;&lt;/FQL&gt;&lt;FQL&gt;&lt;Q&gt;Ticker0024^FE_ESTIMATE(PRODLINE_SALES_17,MEAN,QUARTERLY_ROLL,2030/2F,45740,,,'')&lt;/Q&gt;&lt;R&gt;0&lt;/R&gt;&lt;C&gt;0&lt;/C&gt;&lt;/FQL&gt;&lt;FQL&gt;&lt;Q&gt;Ticker0024^FE_ESTIMATE(PRODLINE_SALES_17,MEAN,QUARTERLY_ROLL,2030/1F,45740,,,'')&lt;/Q&gt;&lt;R&gt;0&lt;/R&gt;&lt;C&gt;0&lt;/C&gt;&lt;/FQL&gt;&lt;FQL&gt;&lt;Q&gt;Ticker0024^FE_ESTIMATE(PRODLINE_SALES_17,MEAN,ANNUAL_ROLL,2029,45740,,,'')&lt;/Q&gt;&lt;R&gt;0&lt;/R&gt;&lt;C&gt;0&lt;/C&gt;&lt;/FQL&gt;&lt;FQL&gt;&lt;Q&gt;Ticker0024^FE_ESTIMATE(PRODLINE_SALES_17,MEAN,QUARTERLY_ROLL,2029/4F,45740,,,'')&lt;/Q&gt;&lt;R&gt;0&lt;/R&gt;&lt;C&gt;0&lt;/C&gt;&lt;/FQL&gt;&lt;FQL&gt;&lt;Q&gt;Ticker0024^FE_ESTIMATE(PRODLINE_SALES_17,MEAN,QUARTERLY_ROLL,2029/3F,45740,,,'')&lt;/Q&gt;&lt;R&gt;0&lt;/R&gt;&lt;C&gt;0&lt;/C&gt;&lt;/FQL&gt;&lt;FQL&gt;&lt;Q&gt;Ticker0024^FE_ESTIMATE(PRODLINE_SALES_17,MEAN,QUARTERLY_ROLL,2029/2F,45740,,,'')&lt;/Q&gt;&lt;R&gt;0&lt;/R&gt;&lt;C&gt;0&lt;/C&gt;&lt;/FQL&gt;&lt;FQL&gt;&lt;Q&gt;Ticker0024^FE_ESTIMATE(PRODLINE_SALES_17,MEAN,QUARTERLY_ROLL,2029/1F,45740,,,'')&lt;/Q&gt;&lt;R&gt;0&lt;/R&gt;&lt;C&gt;0&lt;/C&gt;&lt;/FQL&gt;&lt;FQL&gt;&lt;Q&gt;Ticker0024^FE_ESTIMATE(PRODLINE_SALES_17,MEAN,ANNUAL_ROLL,2028,45740,,,'')&lt;/Q&gt;&lt;R&gt;1&lt;/R&gt;&lt;C&gt;1&lt;/C&gt;&lt;D xsi:type="xsd:double"&gt;62543&lt;/D&gt;&lt;/FQL&gt;&lt;FQL&gt;&lt;Q&gt;Ticker0024^FE_ESTIMATE(PRODLINE_SALES_17,MEAN,QUARTERLY_ROLL,2028/4F,45740,,,'')&lt;/Q&gt;&lt;R&gt;0&lt;/R&gt;&lt;C&gt;0&lt;/C&gt;&lt;/FQL&gt;&lt;FQL&gt;&lt;Q&gt;Ticker0024^FE_ESTIMATE(PRODLINE_SALES_17,MEAN,QUARTERLY_ROLL,2028/3F,45740,,,'')&lt;/Q&gt;&lt;R&gt;0&lt;/R&gt;&lt;C&gt;0&lt;/C&gt;&lt;/FQL&gt;&lt;FQL&gt;&lt;Q&gt;Ticker0024^FE_ESTIMATE(PRODLINE_SALES_17,MEAN,QUARTERLY_ROLL,2028/2F,45740,,,'')&lt;/Q&gt;&lt;R&gt;0&lt;/R&gt;&lt;C&gt;0&lt;/C&gt;&lt;/FQL&gt;&lt;FQL&gt;&lt;Q&gt;Ticker0024^FE_ESTIMATE(PRODLINE_SALES_17,MEAN,QUARTERLY_ROLL,2028/1F,45740,,,'')&lt;/Q&gt;&lt;R&gt;0&lt;/R&gt;&lt;C&gt;0&lt;/C&gt;&lt;/FQL&gt;&lt;FQL&gt;&lt;Q&gt;Ticker0024^FE_ESTIMATE(PRODLINE_SALES_17,MEAN,ANNUAL_ROLL,2027,45740,,,'')&lt;/Q&gt;&lt;R&gt;1&lt;/R&gt;&lt;C&gt;1&lt;/C&gt;&lt;D xsi:type="xsd:double"&gt;58578.625&lt;/D&gt;&lt;/FQL&gt;&lt;FQL&gt;&lt;Q&gt;Ticker0024^FE_ESTIMATE(PRODLINE_SALES_17,MEAN,QUARTERLY_ROLL,2027/4F,45740,,,'')&lt;/Q&gt;&lt;R&gt;1&lt;/R&gt;&lt;C&gt;1&lt;/C&gt;&lt;D xsi:type="xsd:double"&gt;15736&lt;/D&gt;&lt;/FQL&gt;&lt;FQL&gt;&lt;Q&gt;Ticker0024^FE_ESTIMATE(PRODLINE_SALES_17,MEAN,QUARTERLY_ROLL,2027/3F,45740,,,'')&lt;/Q&gt;&lt;R&gt;1&lt;/R&gt;&lt;C&gt;1&lt;/C&gt;&lt;D xsi:type="xsd:double"&gt;15282&lt;/D&gt;&lt;/FQL&gt;&lt;FQL&gt;&lt;Q&gt;Ticker0024^FE_ESTIMATE(PRODLINE_SALES_17,MEAN,QUARTERLY_ROLL,2027/2F,45740,,,'')&lt;/Q&gt;&lt;R&gt;1&lt;/R&gt;&lt;C&gt;1&lt;/C&gt;&lt;D xsi:type="xsd:double"&gt;16686.5&lt;/D&gt;&lt;/FQL&gt;&lt;FQL&gt;&lt;Q&gt;Ticker0024^FE_ESTIMATE(PRODLINE_SALES_17,MEAN,QUARTERLY_ROLL,2027/1F,45740,,,'')&lt;/Q&gt;&lt;R&gt;1&lt;/R&gt;&lt;C&gt;1&lt;/C&gt;&lt;D xsi:type="xsd:double"&gt;14561.5&lt;/D&gt;&lt;/FQL&gt;&lt;FQL&gt;&lt;Q&gt;Ticker0024^FE_ESTIMATE(PRODLINE_SALES_17,MEAN,ANNUAL_ROLL,2026,45740,,,'')&lt;/Q&gt;&lt;R&gt;1&lt;/R&gt;&lt;C&gt;1&lt;/C&gt;&lt;D xsi:type="xsd:double"&gt;55467.69&lt;/D&gt;&lt;/FQL&gt;&lt;FQL&gt;&lt;Q&gt;Ticker0024^FE_ESTIMATE(PRODLINE_SALES_17,MEAN,QUARTERLY_ROLL,2026/4F,45740,,,'')&lt;/Q&gt;&lt;R&gt;1&lt;/R&gt;&lt;C&gt;1&lt;/C&gt;&lt;D xsi:type="xsd:double"&gt;13380.129&lt;/D&gt;&lt;/FQL&gt;&lt;FQL&gt;&lt;Q&gt;Ticker0024^FE_ESTIMATE(PRODLINE_SALES_17,MEAN,QUARTERLY_ROLL,2026/3F,45740,,,'')&lt;/Q&gt;&lt;R&gt;1&lt;/R&gt;&lt;C&gt;1&lt;/C&gt;&lt;D xsi:type="xsd:double"&gt;13489.657&lt;/D&gt;&lt;/FQL&gt;&lt;FQL&gt;&lt;Q&gt;Ticker0024^FE_ESTIMATE(PRODLINE_SALES_17,MEAN,QUARTERLY_ROLL,2026/2F,45740,,,'')&lt;/Q&gt;&lt;R&gt;1&lt;/R&gt;&lt;C&gt;1&lt;/C&gt;&lt;D xsi:type="xsd:double"&gt;15201.893&lt;/D&gt;&lt;/FQL&gt;&lt;FQL&gt;&lt;Q&gt;Ticker0024^FE_ESTIMATE(PRODLINE_SALES_17,MEAN,QUARTERLY_ROLL,2026/1F,45740,,,'')&lt;/Q&gt;&lt;R&gt;1&lt;/R&gt;&lt;C&gt;1&lt;/C&gt;&lt;D xsi:type="xsd:double"&gt;13481.467&lt;/D&gt;&lt;/FQL&gt;&lt;FQL&gt;&lt;Q&gt;Ticker0024^FE_ESTIMATE(PRODLINE_SALES_17,MEAN,ANNUAL_ROLL,2025,45740,,,'')&lt;/Q&gt;&lt;R&gt;1&lt;/R&gt;&lt;C&gt;1&lt;/C&gt;&lt;D xsi:type="xsd:double"&gt;53227.086&lt;/D&gt;&lt;/FQL&gt;&lt;FQL&gt;&lt;Q&gt;Ticker0024^FE_ESTIMATE(PRODLINE_SALES_17,MEAN,QUARTERLY_ROLL,2025/4F,45740,,,'')&lt;/Q&gt;&lt;R&gt;1&lt;/R&gt;&lt;C&gt;1&lt;/C&gt;&lt;D xsi:type="xsd:double"&gt;12764.182&lt;/D&gt;&lt;/FQL&gt;&lt;FQL&gt;&lt;Q&gt;Ticker0024^FE_ESTIMATE(PRODLINE_SALES_17,MEAN,QUARTERLY_ROLL,2025/3F,45740,,,'')&lt;/Q&gt;&lt;R&gt;1&lt;/R&gt;&lt;C&gt;1&lt;/C&gt;&lt;D xsi:type="xsd:double"&gt;12689.5&lt;/D&gt;&lt;/FQL&gt;&lt;FQL&gt;&lt;Q&gt;Ticker0024^FE_ESTIMATE(PRODLINE_SALES_17,MEAN,QUARTERLY_ROLL,2025/2F,45740,,,'')&lt;/Q&gt;&lt;R&gt;1&lt;/R&gt;&lt;C&gt;1&lt;/C&gt;&lt;D xsi:type="xsd:double"&gt;14651&lt;/D&gt;&lt;/FQL&gt;&lt;FQL&gt;&lt;Q&gt;Ticker0024^FE_ESTIMATE(PRODLINE_SALES_17,MEAN,QUARTERLY_ROLL,2025/1F,45740,,,'')&lt;/Q&gt;&lt;R&gt;1&lt;/R&gt;&lt;C&gt;1&lt;/C&gt;&lt;D xsi:type="xsd:double"&gt;13176&lt;/D&gt;&lt;/FQL&gt;&lt;FQL&gt;&lt;Q&gt;Ticker0024^FE_ESTIMATE(PRODLINE_SALES_17,MEAN,ANNUAL_ROLL,2024,45740,,,'')&lt;/Q&gt;&lt;R&gt;1&lt;/R&gt;&lt;C&gt;1&lt;/C&gt;&lt;D xsi:type="xsd:double"&gt;62032&lt;/D&gt;&lt;/FQL&gt;&lt;FQL&gt;&lt;Q&gt;Ticker0024^FE_ESTIMATE(PRODLINE_SALES_17,MEAN,QUARTERLY_ROLL,2024/4F,45740,,,'')&lt;/Q&gt;&lt;R&gt;1&lt;/R&gt;&lt;C&gt;1&lt;/C&gt;&lt;D xsi:type="xsd:double"&gt;15895&lt;/D&gt;&lt;/FQL&gt;&lt;FQL&gt;&lt;Q&gt;Ticker0024^FE_ESTIMATE(PRODLINE_SALES_17,MEAN,QUARTERLY_ROLL,2024/3F,45740,,,'')&lt;/Q&gt;&lt;R&gt;1&lt;/R&gt;&lt;C&gt;1&lt;/C&gt;&lt;D xsi:type="xsd:double"&gt;15580&lt;/D&gt;&lt;/FQL&gt;&lt;FQL&gt;&lt;Q&gt;Ticker0024^FE_ESTIMATE(PRODLINE_SALES_17,MEAN,QUARTERLY_ROLL,2024/2F,45740,,,'')&lt;/Q&gt;&lt;R&gt;1&lt;/R&gt;&lt;C&gt;1&lt;/C&gt;&lt;D xsi:type="xsd:double"&gt;16891&lt;/D&gt;&lt;/FQL&gt;&lt;FQL&gt;&lt;Q&gt;Ticker0024^FE_ESTIMATE(PRODLINE_SALES_17,MEAN,QUARTERLY_ROLL,2024/1F,45740,,,'')&lt;/Q&gt;&lt;R&gt;1&lt;/R&gt;&lt;C&gt;1&lt;/C&gt;&lt;D xsi:type="xsd:double"&gt;13666&lt;/D&gt;&lt;/FQL&gt;&lt;FQL&gt;&lt;Q&gt;Ticker0024^FE_ESTIMATE(PRODLINE_SALES_17,MEAN,ANNUAL_ROLL,2023,45740,,,'')&lt;/Q&gt;&lt;R&gt;1&lt;/R&gt;&lt;C&gt;1&lt;/C&gt;&lt;D xsi:type="xsd:double"&gt;54732.273&lt;/D&gt;&lt;/FQL&gt;&lt;FQL&gt;&lt;Q&gt;Ticker0024^FE_ESTIMATE(PRODLINE_SALES_17,MEAN,QUARTERLY_ROLL,2023/4F,45740,,,'')&lt;/Q&gt;&lt;R&gt;1&lt;/R&gt;&lt;C&gt;1&lt;/C&gt;&lt;D xsi:type="xsd:double"&gt;13905&lt;/D&gt;&lt;/FQL&gt;&lt;FQL&gt;&lt;Q&gt;Ticker0024^FE_ESTIMATE(PRODLINE_SALES_17,MEAN,QUARTERLY_ROLL,2023/3F,45740,,,'')&lt;/Q&gt;&lt;R&gt;1&lt;/R&gt;&lt;C&gt;1&lt;/C&gt;&lt;D xsi:type="xsd:double"&gt;13260&lt;/D&gt;&lt;/FQL&gt;&lt;FQL&gt;&lt;Q&gt;Ticker0024^FE_ESTIMATE(PRODLINE_SALES_17,MEAN,QUARTERLY_ROLL,2023/2F,45740,,,'')&lt;/Q&gt;&lt;R&gt;1&lt;/R&gt;&lt;C&gt;1&lt;/C&gt;&lt;D xsi:type="xsd:double"&gt;14237&lt;/D&gt;&lt;/FQL&gt;&lt;FQL&gt;&lt;Q&gt;Ticker0024^FE_ESTIMATE(PRODLINE_SALES_17,MEAN,QUARTERLY_ROLL,2023/1F,45740,,,'')&lt;/Q&gt;&lt;R&gt;1&lt;/R&gt;&lt;C&gt;1&lt;/C&gt;&lt;D xsi:type="xsd:double"&gt;13332&lt;/D&gt;&lt;/FQL&gt;&lt;FQL&gt;&lt;Q&gt;Ticker0024^FE_ESTIMATE(PRODLINE_SALES_17,MEAN,ANNUAL_ROLL,2022,45740,,,'')&lt;/Q&gt;&lt;R&gt;1&lt;/R&gt;&lt;C&gt;1&lt;/C&gt;&lt;D xsi:type="xsd:double"&gt;59655&lt;/D&gt;&lt;/FQL&gt;&lt;FQL&gt;&lt;Q&gt;Ticker0024^FE_ESTIMATE(PRODLINE_SALES_17,MEAN,QUARTERLY_ROLL,2022/4F,45740,,,'')&lt;/Q&gt;&lt;R&gt;1&lt;/R&gt;&lt;C&gt;1&lt;/C&gt;&lt;D xsi:type="xsd:double"&gt;14356&lt;/D&gt;&lt;/FQL&gt;&lt;FQL&gt;&lt;Q&gt;Ticker0024^FE_ESTIMATE(PRODLINE_SALES_17,MEAN,QUARTERLY_ROLL,2022/3F,45740,,,'')&lt;/Q&gt;&lt;R&gt;1&lt;/R&gt;&lt;C&gt;1&lt;/C&gt;&lt;D xsi:type="xsd:double"&gt;14520&lt;/D&gt;&lt;/FQL&gt;&lt;FQL&gt;&lt;Q&gt;Ticker0024^FE_ESTIMATE(PRODLINE_SALES_17,MEAN,QUARTERLY_ROLL,2022/2F,45740,,,'')&lt;/Q&gt;&lt;R&gt;1&lt;/R&gt;&lt;C&gt;1&lt;/C&gt;&lt;D xsi:type="xsd:double"&gt;17465&lt;/D&gt;&lt;/FQL&gt;&lt;FQL&gt;&lt;Q&gt;Ticker0024^FE_ESTIMATE(PRODLINE_SALES_17,MEAN,QUARTERLY_ROLL,2022/1F,45740,,,'')&lt;/Q&gt;&lt;R&gt;1&lt;/R&gt;&lt;C&gt;1&lt;/C&gt;&lt;D xsi:type="xsd:double"&gt;13314&lt;/D&gt;&lt;/FQL&gt;&lt;FQL&gt;&lt;Q&gt;Ticker0024^FE_ESTIMATE(PRODLINE_SALES_17,MEAN,ANNUAL_ROLL,2021,45740,,,'')&lt;/Q&gt;&lt;R&gt;1&lt;/R&gt;&lt;C&gt;1&lt;/C&gt;&lt;D xsi:type="xsd:double"&gt;54093&lt;/D&gt;&lt;/FQL&gt;&lt;FQL&gt;&lt;Q&gt;Ticker0024^FE_ESTIMATE(PRODLINE_SALES_17,MEAN,QUARTERLY_ROLL,2021/4F,45740,,,'')&lt;/Q&gt;&lt;R&gt;1&lt;/R&gt;&lt;C&gt;1&lt;/C&gt;&lt;D xsi:type="xsd:double"&gt;14086&lt;/D&gt;&lt;/FQL&gt;&lt;FQL&gt;&lt;Q&gt;Ticker0024^FE_ESTIMATE(PRODLINE_SALES_17,MEAN,QUARTERLY_ROLL,2021/3F,45740,,,'')&lt;/Q&gt;&lt;R&gt;1&lt;/R&gt;&lt;C&gt;1&lt;/C&gt;&lt;D xsi:type="xsd:double"&gt;13036&lt;/D&gt;&lt;/FQL&gt;&lt;FQL&gt;&lt;Q&gt;Ticker0024^FE_ESTIMATE(PRODLINE_SALES_17,MEAN,QUARTERLY_ROLL,2021/2F,45740,,,'')&lt;/Q&gt;&lt;R&gt;1&lt;/R&gt;&lt;C&gt;1&lt;/C&gt;&lt;D xsi:type="xsd:double"&gt;15122&lt;/D&gt;&lt;/FQL&gt;&lt;FQL&gt;&lt;Q&gt;Ticker0024^FE_ESTIMATE(PRODLINE_SALES_17,MEAN,QUARTERLY_ROLL,2021/1F,45740,,,'')&lt;/Q&gt;&lt;R&gt;1&lt;/R&gt;&lt;C&gt;1&lt;/C&gt;&lt;D xsi:type="xsd:double"&gt;11849&lt;/D&gt;&lt;/FQL&gt;&lt;FQL&gt;&lt;Q&gt;Ticker0024^FE_ESTIMATE(PRODLINE_SALES_17,MEAN,ANNUAL_ROLL,2020,45740,,,'')&lt;/Q&gt;&lt;R&gt;1&lt;/R&gt;&lt;C&gt;1&lt;/C&gt;&lt;D xsi:type="xsd:double"&gt;48251&lt;/D&gt;&lt;/FQL&gt;&lt;FQL&gt;&lt;Q&gt;Ticker0024^FE_ESTIMATE(PRODLINE_SALES_17,MEAN,QUARTERLY_ROLL,2020/4F,45740,,,'')&lt;/Q&gt;&lt;R&gt;1&lt;/R&gt;&lt;C&gt;1&lt;/C&gt;&lt;D xsi:type="xsd:double"&gt;12910&lt;/D&gt;&lt;/FQL&gt;&lt;FQL&gt;&lt;Q&gt;Ticker0024^FE_ESTIMATE(PRODLINE_SALES_17,MEAN,QUARTERLY_ROLL,2020/3F,45740,,,'')&lt;/Q&gt;&lt;R&gt;1&lt;/R&gt;&lt;C&gt;1&lt;/C&gt;&lt;D xsi:type="xsd:double"&gt;10997&lt;/D&gt;&lt;/FQL&gt;&lt;FQL&gt;&lt;Q&gt;Ticker0024^FE_ESTIMATE(PRODLINE_SALES_17,MEAN,QUARTERLY_ROLL,2020/2F,45740,,,'')&lt;/Q&gt;&lt;R&gt;1&lt;/R&gt;&lt;C&gt;1&lt;/C&gt;&lt;D xsi:type="xsd:double"&gt;13211&lt;/D&gt;&lt;/FQL&gt;&lt;FQL&gt;&lt;Q&gt;Ticker0024^FE_ESTIMATE(PRODLINE_SALES_17,MEAN,QUARTERLY_ROLL,2020/1F,45740,,,'')&lt;/Q&gt;&lt;R&gt;1&lt;/R&gt;&lt;C&gt;1&lt;/C&gt;&lt;D xsi:type="xsd:double"&gt;11133&lt;/D&gt;&lt;/FQL&gt;&lt;FQL&gt;&lt;Q&gt;Ticker0024^FE_ESTIMATE(PRODLINE_SALES_17,MEAN,ANNUAL_ROLL,2019,45740,,,'')&lt;/Q&gt;&lt;R&gt;1&lt;/R&gt;&lt;C&gt;1&lt;/C&gt;&lt;D xsi:type="xsd:double"&gt;45698&lt;/D&gt;&lt;/FQL&gt;&lt;FQL&gt;&lt;Q&gt;Ticker0024^FE_ESTIMATE(PRODLINE_SALES_17,MEAN,QUARTERLY_ROLL,2019/4F,45740,,,'')&lt;/Q&gt;&lt;R&gt;1&lt;/R&gt;&lt;C&gt;1&lt;/C&gt;&lt;D xsi:type="xsd:double"&gt;11279&lt;/D&gt;&lt;/FQL&gt;&lt;FQL&gt;&lt;Q&gt;Ticker0024^FE_ESTIMATE(PRODLINE_SALES_17,MEAN,QUARTERLY_ROLL,2019/3F,45740,,,'')&lt;/Q&gt;&lt;R&gt;1&lt;/R&gt;&lt;C&gt;1&lt;/C&gt;&lt;D xsi:type="xsd:double"&gt;10680&lt;/D&gt;&lt;/FQL&gt;&lt;FQL&gt;&lt;Q&gt;Ticker0024^FE_ESTIMATE(PRODLINE_SALES_17,MEAN,QUARTERLY_ROLL,2019/2F,45740,,,'')&lt;/Q&gt;&lt;R&gt;1&lt;/R&gt;&lt;C&gt;1&lt;/C&gt;&lt;D xsi:type="xsd:double"&gt;12993&lt;/D&gt;&lt;/FQL&gt;&lt;FQL&gt;&lt;Q&gt;Ticker0024^FE_ESTIMATE(PRODLINE_SALES_17,MEAN,QUARTERLY_ROLL,2019/1F,45740,,,'')&lt;/Q&gt;&lt;R&gt;1&lt;/R&gt;&lt;C&gt;1&lt;/C&gt;&lt;D xsi:type="xsd:double"&gt;10746&lt;/D&gt;&lt;/FQL&gt;&lt;FQL&gt;&lt;Q&gt;Ticker0024^FE_ESTIMATE(PRODLINE_SALES_17,MEAN,ANNUAL_ROLL,2018,45740,,,'')&lt;/Q&gt;&lt;R&gt;1&lt;/R&gt;&lt;C&gt;1&lt;/C&gt;&lt;D xsi:type="xsd:double"&gt;42276&lt;/D&gt;&lt;/FQL&gt;&lt;FQL&gt;&lt;Q&gt;Ticker0024^FE_ESTIMATE(PRODLINE_SALES_17,MEAN,QUARTERLY_ROLL,2018/4F,45740,,,'')&lt;/Q&gt;&lt;R&gt;1&lt;/R&gt;&lt;C&gt;1&lt;/C&gt;&lt;D xsi:type="xsd:double"&gt;10811&lt;/D&gt;&lt;/FQL&gt;&lt;FQL&gt;&lt;Q&gt;Ticker0024^FE_ESTIMATE(PRODLINE_SALES_17,MEAN,QUARTERLY_ROLL,2018/3F,45740,,,'')&lt;/Q&gt;&lt;R&gt;1&lt;/R&gt;&lt;C&gt;1&lt;/C&gt;&lt;D xsi:type="xsd:double"&gt;9917&lt;/D&gt;&lt;/FQL&gt;&lt;FQL&gt;&lt;Q&gt;Ticker0024^FE_ESTIMATE(PRODLINE_SALES_17,MEAN,QUARTERLY_ROLL,2018/2F,45740,,,'')&lt;/Q&gt;&lt;R&gt;1&lt;/R&gt;&lt;C&gt;1&lt;/C&gt;&lt;D xsi:type="xsd:double"&gt;12170&lt;/D&gt;&lt;/FQL&gt;&lt;FQL&gt;&lt;Q&gt;Ticker0024^FE_ESTIMATE(PRODLINE_SALES_17,MEAN,QUARTERLY_ROLL,2018/1F,45740,,,'')&lt;/Q&gt;&lt;R&gt;1&lt;/R&gt;&lt;C&gt;1&lt;/C&gt;&lt;D xsi:type="xsd:double"&gt;9378&lt;/D&gt;&lt;/FQL&gt;&lt;FQL&gt;&lt;Q&gt;Ticker0024^FE_ESTIMATE(PRODLINE_SALES_17,MEAN,ANNUAL_ROLL,2017,45740,,,'')&lt;/Q&gt;&lt;R&gt;1&lt;/R&gt;&lt;C&gt;1&lt;/C&gt;&lt;D xsi:type="xsd:double"&gt;38773&lt;/D&gt;&lt;/FQL&gt;&lt;FQL&gt;&lt;Q&gt;Ticker0024^FE_ESTIMATE(PRODLINE_SALES_17,MEAN,QUARTERLY_ROLL,2017/4F,45740,,,'')&lt;/Q&gt;&lt;R&gt;1&lt;/R&gt;&lt;C&gt;1&lt;/C&gt;&lt;D xsi:type="xsd:double"&gt;8820&lt;/D&gt;&lt;/FQL&gt;&lt;FQL&gt;&lt;Q&gt;Ticker0024^FE_ESTIMATE(PRODLINE_SALES_17,MEAN,QUARTERLY_ROLL,2017/3F,45740,,,'')&lt;/Q&gt;&lt;R&gt;1&lt;/R&gt;&lt;C&gt;1&lt;/C&gt;&lt;D xsi:type="xsd:double"&gt;8836&lt;/D&gt;&lt;/FQL&gt;&lt;FQL&gt;&lt;Q&gt;Ticker0024^FE_ESTIMATE(PRODLINE_SALES_17,MEAN,QUARTERLY_ROLL,2017/2F,45740,,,'')&lt;/Q&gt;&lt;R&gt;1&lt;/R&gt;&lt;C&gt;1&lt;/C&gt;&lt;D xsi:type="xsd:double"&gt;11823&lt;/D&gt;&lt;/FQL&gt;&lt;FQL&gt;&lt;Q&gt;Ticker0024^FE_ESTIMATE(PRODLINE_SALES_17,MEAN,QUARTERLY_ROLL,2017/1F,45740,,,'')&lt;/Q&gt;&lt;R&gt;1&lt;/R&gt;&lt;C&gt;1&lt;/C&gt;&lt;D xsi:type="xsd:double"&gt;9294&lt;/D&gt;&lt;/FQL&gt;&lt;FQL&gt;&lt;Q&gt;Ticker0024^FE_ESTIMATE(PRODLINE_SALES_17,MEAN,ANNUAL_ROLL,2016,45740,,,'')&lt;/Q&gt;&lt;R&gt;1&lt;/R&gt;&lt;C&gt;1&lt;/C&gt;&lt;D xsi:type="xsd:double"&gt;40460&lt;/D&gt;&lt;/FQL&gt;&lt;FQL&gt;&lt;Q&gt;Ticker0024^FE_ESTIMATE(PRODLINE_SALES_17,MEAN,QUARTERLY_ROLL,2016/4F,45740,,,'')&lt;/Q&gt;&lt;R&gt;1&lt;/R&gt;&lt;C&gt;1&lt;/C&gt;&lt;D xsi:type="xsd:double"&gt;8897&lt;/D&gt;&lt;/FQL&gt;&lt;FQL&gt;&lt;Q&gt;Ticker0024^FE_ESTIMATE(PRODLINE_SALES_17,MEAN,QUARTERLY_ROLL,2016/3F,45740,,,'')&lt;/Q&gt;&lt;R&gt;1&lt;/R&gt;&lt;C&gt;1&lt;/C&gt;&lt;D xsi:type="xsd:double"&gt;9458&lt;/D&gt;&lt;/FQL&gt;&lt;FQL&gt;&lt;Q&gt;Ticker0024^FE_ESTIMATE(PRODLINE_SALES_17,MEAN,QUARTERLY_ROLL,2016/2F,45740,,,'')&lt;/Q&gt;&lt;R&gt;1&lt;/R&gt;&lt;C&gt;1&lt;/C&gt;&lt;D xsi:type="xsd:double"&gt;12660&lt;/D&gt;&lt;/FQL&gt;&lt;FQL&gt;&lt;Q&gt;Ticker0024^FE_ESTIMATE(PRODLINE_SALES_17,MEAN,QUARTERLY_ROLL,2016/1F,45740,,,'')&lt;/Q&gt;&lt;R&gt;1&lt;/R&gt;&lt;C&gt;1&lt;/C&gt;&lt;D xsi:type="xsd:double"&gt;9381&lt;/D&gt;&lt;/FQL&gt;&lt;FQL&gt;&lt;Q&gt;Ticker0024^FE_ESTIMATE(PRODLINE_SALES_17,MEAN,ANNUAL_ROLL,2015,45740,,,'')&lt;/Q&gt;&lt;R&gt;0&lt;/R&gt;&lt;C&gt;0&lt;/C&gt;&lt;/FQL&gt;&lt;FQL&gt;&lt;Q&gt;Ticker0024^FE_ESTIMATE(PRODLINE_SALES_17,MEAN,QUARTERLY_ROLL,2015/4F,45740,,,'')&lt;/Q&gt;&lt;R&gt;0&lt;/R&gt;&lt;C&gt;0&lt;/C&gt;&lt;/FQL&gt;&lt;FQL&gt;&lt;Q&gt;Ticker0024^FE_ESTIMATE(PRODLINE_SALES_17,MEAN,QUARTERLY_ROLL,2015/3F,45740,,,'')&lt;/Q&gt;&lt;R&gt;0&lt;/R&gt;&lt;C&gt;0&lt;/C&gt;&lt;/FQL&gt;&lt;FQL&gt;&lt;Q&gt;Ticker0024^FE_ESTIMATE(PRODLINE_SALES_17,MEAN,QUARTERLY_ROLL,2015/2F,45740,,,'')&lt;/Q&gt;&lt;R&gt;0&lt;/R&gt;&lt;C&gt;0&lt;/C&gt;&lt;/FQL&gt;&lt;FQL&gt;&lt;Q&gt;Ticker0024^FE_ESTIMATE(PRODLINE_SALES_17,MEAN,QUARTERLY_ROLL,2015/1F,45740,,,'')&lt;/Q&gt;&lt;R&gt;0&lt;/R&gt;&lt;C&gt;0&lt;/C&gt;&lt;/FQL&gt;&lt;FQL&gt;&lt;Q&gt;Ticker0024^FE_ESTIMATE(PRODLINE_SALES_16,MEAN,ANNUAL_ROLL,2030,45740,,,'')&lt;/Q&gt;&lt;R&gt;0&lt;/R&gt;&lt;C&gt;0&lt;/C&gt;&lt;/FQL&gt;&lt;FQL&gt;&lt;Q&gt;Ticker0024^FE_ESTIMATE(PRODLINE_SALES_16,MEAN,QUARTERLY_ROLL,2030/4F,45740,,,'')&lt;/Q&gt;&lt;R&gt;0&lt;/R&gt;&lt;C&gt;0&lt;/C&gt;&lt;/FQL&gt;&lt;FQL&gt;&lt;Q&gt;Ticker0024^FE_ESTIMATE(PRODLINE_SALES_16,MEAN,QUARTERLY_ROLL,2030/3F,45740,,,'')&lt;/Q&gt;&lt;R&gt;0&lt;/R&gt;&lt;C&gt;0&lt;/C&gt;&lt;/FQL&gt;&lt;FQL&gt;&lt;Q&gt;Ticker0024^FE_ESTIMATE(PRODLINE_SALES_16,MEAN,QUARTERLY_ROLL,2030/2F,45740,,,'')&lt;/Q&gt;&lt;R&gt;0&lt;/R&gt;&lt;C&gt;0&lt;/C&gt;&lt;/FQL&gt;&lt;FQL&gt;&lt;Q&gt;Ticker0024^FE_ESTIMATE(PRODLINE_SALES_16,MEAN,QUARTERLY_ROLL,2030/1F,45740,,,'')&lt;/Q&gt;&lt;R&gt;0&lt;/R&gt;&lt;C&gt;0&lt;/C&gt;&lt;/FQL&gt;&lt;FQL&gt;&lt;Q&gt;Ticker0024^FE_ESTIMATE(PRODLINE_SALES_16,MEAN,ANNUAL_ROLL,2029,45740,,,'')&lt;/Q&gt;&lt;R&gt;0&lt;/R&gt;&lt;C&gt;0&lt;/C&gt;&lt;/FQL&gt;&lt;FQL&gt;&lt;Q&gt;Ticker0024^FE_ESTIMATE(PRODLINE_SALES_16,MEAN,QUARTERLY_ROLL,2029/4F,45740,,,'')&lt;/Q&gt;&lt;R&gt;0&lt;/R&gt;&lt;C&gt;0&lt;/C&gt;&lt;/FQL&gt;&lt;FQL&gt;&lt;Q&gt;Ticker0024^FE_ESTIMATE(PRODLINE_SALES_16,MEAN,QUARTERLY_ROLL,2029/3F,45740,,,'')&lt;/Q&gt;&lt;R&gt;0&lt;/R&gt;&lt;C&gt;0&lt;/C&gt;&lt;/FQL&gt;&lt;FQL&gt;&lt;Q&gt;Ticker0024^FE_ESTIMATE(PRODLINE_SALES_16,MEAN,QUARTERLY_ROLL,2029/2F,45740,,,'')&lt;/Q&gt;&lt;R&gt;0&lt;/R&gt;&lt;C&gt;0&lt;/C&gt;&lt;/FQL&gt;&lt;FQL&gt;&lt;Q&gt;Ticker0024^FE_ESTIMATE(PRODLINE_SALES_16,MEAN,QUARTERLY_ROLL,2029/1F,45740,,,'')&lt;/Q&gt;&lt;R&gt;0&lt;/R&gt;&lt;C&gt;0&lt;/C&gt;&lt;/FQL&gt;&lt;FQL&gt;&lt;Q&gt;Ticker0024^FE_ESTIMATE(PRODLINE_SALES_16,MEAN,ANNUAL_ROLL,2028,45740,,,'')&lt;/Q&gt;&lt;R&gt;0&lt;/R&gt;&lt;C&gt;0&lt;/C&gt;&lt;/FQL&gt;&lt;FQL&gt;&lt;Q&gt;Ticker0024^FE_ESTIMATE(PRODLINE_SALES_16,MEAN,QUARTERLY_ROLL,2028/4F,45740,,,'')&lt;/Q&gt;&lt;R&gt;0&lt;/R&gt;&lt;C&gt;0&lt;/C&gt;&lt;/FQL&gt;&lt;FQL&gt;&lt;Q&gt;Ticker0024^FE_ESTIMATE(PRODLINE_SALES_16,MEAN,QUARTERLY_ROLL,2028/3F,45740,,,'')&lt;/Q&gt;&lt;R&gt;0&lt;/R&gt;&lt;C&gt;0&lt;/C&gt;&lt;/FQL&gt;&lt;FQL&gt;&lt;Q&gt;Ticker0024^FE_ESTIMATE(PRODLINE_SALES_16,MEAN,QUARTERLY_ROLL,2028/2F,45740,,,'')&lt;/Q&gt;&lt;R&gt;0&lt;/R&gt;&lt;C&gt;0&lt;/C&gt;&lt;/FQL&gt;&lt;FQL&gt;&lt;Q&gt;Ticker0024^FE_ESTIMATE(PRODLINE_SALES_16,MEAN,QUARTERLY_ROLL,2028/1F,45740,,,'')&lt;/Q&gt;&lt;R&gt;0&lt;/R&gt;&lt;C&gt;0&lt;/C&gt;&lt;/FQL&gt;&lt;FQL&gt;&lt;Q&gt;Ticker0024^FE_ESTIMATE(PRODLINE_SALES_16,MEAN,ANNUAL_ROLL,2027,45740,,,'')&lt;/Q&gt;&lt;R&gt;1&lt;/R&gt;&lt;C&gt;1&lt;/C&gt;&lt;D xsi:type="xsd:double"&gt;158246.5&lt;/D&gt;&lt;/FQL&gt;&lt;FQL&gt;&lt;Q&gt;Ticker0024^FE_ESTIMATE(PRODLINE_SALES_16,MEAN,QUARTERLY_ROLL,2027/4F,45740,,,'')&lt;/Q&gt;&lt;R&gt;1&lt;/R&gt;&lt;C&gt;1&lt;/C&gt;&lt;D xsi:type="xsd:double"&gt;46378&lt;/D&gt;&lt;/FQL&gt;&lt;FQL&gt;&lt;Q&gt;Ticker0024^FE_ESTIMATE(PRODLINE_SALES_16,MEAN,QUARTERLY_ROLL,2027/3F,45740,,,'')&lt;/Q&gt;&lt;R&gt;1&lt;/R&gt;&lt;C&gt;1&lt;/C&gt;&lt;D xsi:type="xsd:double"&gt;38764&lt;/D&gt;&lt;/FQL&gt;&lt;FQL&gt;&lt;Q&gt;Ticker0024^FE_ESTIMATE(PRODLINE_SALES_16,MEAN,QUARTERLY_ROLL,2027/2F,45740,,,'')&lt;/Q&gt;&lt;R&gt;1&lt;/R&gt;&lt;C&gt;1&lt;/C&gt;&lt;D xsi:type="xsd:double"&gt;37775.5&lt;/D&gt;&lt;/FQL&gt;&lt;FQL&gt;&lt;Q&gt;Ticker0024^FE_ESTIMATE(PRODLINE_SALES_16,MEAN,QUARTERLY_ROLL,2027/1F,45740,,,'')&lt;/Q&gt;&lt;R&gt;1&lt;/R&gt;&lt;C&gt;1&lt;/C&gt;&lt;D xsi:type="xsd:double"&gt;35304.5&lt;/D&gt;&lt;/FQL&gt;&lt;FQL&gt;&lt;Q&gt;Ticker0024^FE_ESTIMATE(PRODLINE_SALES_16,MEAN,ANNUAL_ROLL,2026,45740,,,'')&lt;/Q&gt;&lt;R&gt;1&lt;/R&gt;&lt;C&gt;1&lt;/C&gt;&lt;D xsi:type="xsd:double"&gt;127216.44&lt;/D&gt;&lt;/FQL&gt;&lt;FQL&gt;&lt;Q&gt;Ticker0024^FE_ESTIMATE(PRODLINE_SALES_16,MEAN,QUARTERLY_ROLL,2026/4F,45740,,,'')&lt;/Q&gt;&lt;R&gt;1&lt;/R&gt;&lt;C&gt;1&lt;/C&gt;&lt;D xsi:type="xsd:double"&gt;34759.207&lt;/D&gt;&lt;/FQL&gt;&lt;FQL&gt;&lt;Q&gt;Ticker0024^FE_ESTIMATE(PRODLINE_SALES_16,MEAN,QUARTERLY_ROLL,2026/3F,45740,,,'')&lt;/Q&gt;&lt;R&gt;1&lt;/R&gt;&lt;C&gt;1&lt;/C&gt;&lt;D xsi:type="xsd:double"&gt;31807.393&lt;/D&gt;&lt;/FQL&gt;&lt;FQL&gt;&lt;Q&gt;Ticker0024^FE_ESTIMATE(PRODLINE_SALES_16,MEAN,QUARTERLY_ROLL,2026/2F,45740,,,'')&lt;/Q&gt;&lt;R&gt;1&lt;/R&gt;&lt;C&gt;1&lt;/C&gt;&lt;D xsi:type="xsd:double"&gt;30942.156&lt;/D&gt;&lt;/FQL&gt;&lt;FQL&gt;&lt;Q&gt;Ticker0024^FE_ESTIMATE(PRODLINE_SALES_16,MEAN,QUARTERLY_ROLL,2026/1F,45740,,,'')&lt;/Q&gt;&lt;R&gt;1&lt;/R&gt;&lt;C&gt;1&lt;/C&gt;&lt;D xsi:type="xsd:double"&gt;29106.014&lt;/D&gt;&lt;/FQL&gt;&lt;FQL&gt;&lt;Q&gt;Ticker0024^FE_ESTIMATE(PRODLINE_SALES_16,MEAN,ANNUAL_ROLL,2025,45740,,,'')&lt;/Q&gt;&lt;R&gt;1&lt;/R&gt;&lt;C&gt;1&lt;/C&gt;&lt;D xsi:type="xsd:double"&gt;104526.41&lt;/D&gt;&lt;/FQL&gt;&lt;FQL&gt;&lt;Q&gt;Ticker0024^FE_ESTIMATE(PRODLINE_SALES_16,MEAN,QUARTERLY_ROLL,2025/4F,45740,,,'')&lt;/Q&gt;&lt;R&gt;1&lt;/R&gt;&lt;C&gt;1&lt;/C&gt;&lt;D xsi:type="xsd:double"&gt;28659.857&lt;/D&gt;&lt;/FQL&gt;&lt;FQL&gt;&lt;Q&gt;Ticker0024^FE_ESTIMATE(PRODLINE_SALES_16,MEAN,QUARTERLY_ROLL,2025/3F,45740,,,'')&lt;/Q&gt;&lt;R&gt;1&lt;/R&gt;&lt;C&gt;1&lt;/C&gt;&lt;D xsi:type="xsd:double"&gt;26210.305&lt;/D&gt;&lt;/FQL&gt;&lt;FQL&gt;&lt;Q&gt;Ticker0024^FE_ESTIMATE(PRODLINE_SALES_16,MEAN,QUARTERLY_ROLL,2025/2F,45740,,,'')&lt;/Q&gt;&lt;R&gt;1&lt;/R&gt;&lt;C&gt;1&lt;/C&gt;&lt;D xsi:type="xsd:double"&gt;25544&lt;/D&gt;&lt;/FQL&gt;&lt;FQL&gt;&lt;Q&gt;Ticker0024^FE_ESTIMATE(PRODLINE_SALES_16,MEAN,QUARTERLY_ROLL,2025/1F,45740,,,'')&lt;/Q&gt;&lt;R&gt;1&lt;/R&gt;&lt;C&gt;1&lt;/C&gt;&lt;D xsi:type="xsd:double"&gt;24092&lt;/D&gt;&lt;/FQL&gt;&lt;FQL&gt;&lt;Q&gt;Ticker0024^FE_ESTIMATE(PRODLINE_SALES_16,MEAN,ANNUAL_ROLL,2024,45740,,,'')&lt;/Q&gt;&lt;R&gt;1&lt;/R&gt;&lt;C&gt;1&lt;/C&gt;&lt;D xsi:type="xsd:double"&gt;105362&lt;/D&gt;&lt;/FQL&gt;&lt;FQL&gt;&lt;Q&gt;Ticker0024^FE_ESTIMATE(PRODLINE_SALES_16,MEAN,QUARTERLY_ROLL,2024/4F,45740,,,'')&lt;/Q&gt;&lt;R&gt;1&lt;/R&gt;&lt;C&gt;1&lt;/C&gt;&lt;D xsi:type="xsd:double"&gt;28515&lt;/D&gt;&lt;/FQL&gt;&lt;FQL&gt;&lt;Q&gt;Ticker0024^FE_ESTIMATE(PRODLINE_SALES_16,MEAN,QUARTERLY_ROLL,2024/3F,45740,,,'')&lt;/Q&gt;&lt;R&gt;1&lt;/R&gt;&lt;C&gt;1&lt;/C&gt;&lt;D xsi:type="xsd:double"&gt;26708&lt;/D&gt;&lt;/FQL&gt;&lt;FQL&gt;&lt;Q&gt;Ticker0024^FE_ESTIMATE(PRODLINE_SALES_16,MEAN,QUARTERLY_ROLL,2024/2F,45740,,,'')&lt;/Q&gt;&lt;R&gt;1&lt;/R&gt;&lt;C&gt;1&lt;/C&gt;&lt;D xsi:type="xsd:double"&gt;25880&lt;/D&gt;&lt;/FQL&gt;&lt;FQL&gt;&lt;Q&gt;Ticker0024^FE_ESTIMATE(PRODLINE_SALES_16,MEAN,QUARTERLY_ROLL,2024/1F,45740,,,'')&lt;/Q&gt;&lt;R&gt;1&lt;/R&gt;&lt;C&gt;1&lt;/C&gt;&lt;D xsi:type="xsd:double"&gt;24259&lt;/D&gt;&lt;/FQL&gt;&lt;FQL&gt;&lt;Q&gt;Ticker0024^FE_ESTIMATE(PRODLINE_SALES_16,MEAN,ANNUAL_ROLL,2023,45740,,,'')&lt;/Q&gt;&lt;R&gt;1&lt;/R&gt;&lt;C&gt;1&lt;/C&gt;&lt;D xsi:type="xsd:double"&gt;87906.82&lt;/D&gt;&lt;/FQL&gt;&lt;FQL&gt;&lt;Q&gt;Ticker0024^FE_ESTIMATE(PRODLINE_SALES_16,MEAN,QUARTERLY_ROLL,2023/4F,45740,,,'')&lt;/Q&gt;&lt;R&gt;1&lt;/R&gt;&lt;C&gt;1&lt;/C&gt;&lt;D xsi:type="xsd:double"&gt;23993&lt;/D&gt;&lt;/FQL&gt;&lt;FQL&gt;&lt;Q&gt;Ticker0024^FE_ESTIMATE(PRODLINE_SALES_16,MEAN,QUARTERLY_ROLL,2023/3F,45740,,,'')&lt;/Q&gt;&lt;R&gt;1&lt;/R&gt;&lt;C&gt;1&lt;/C&gt;&lt;D xsi:type="xsd:double"&gt;22081&lt;/D&gt;&lt;/FQL&gt;&lt;FQL&gt;&lt;Q&gt;Ticker0024^FE_ESTIMATE(PRODLINE_SALES_16,MEAN,QUARTERLY_ROLL,2023/2F,45740,,,'')&lt;/Q&gt;&lt;R&gt;1&lt;/R&gt;&lt;C&gt;1&lt;/C&gt;&lt;D xsi:type="xsd:double"&gt;21508&lt;/D&gt;&lt;/FQL&gt;&lt;FQL&gt;&lt;Q&gt;Ticker0024^FE_ESTIMATE(PRODLINE_SALES_16,MEAN,QUARTERLY_ROLL,2023/1F,45740,,,'')&lt;/Q&gt;&lt;R&gt;1&lt;/R&gt;&lt;C&gt;1&lt;/C&gt;&lt;D xsi:type="xsd:double"&gt;20325&lt;/D&gt;&lt;/FQL&gt;&lt;FQL&gt;&lt;Q&gt;Ticker0024^FE_ESTIMATE(PRODLINE_SALES_16,MEAN,ANNUAL_ROLL,2022,45740,,,'')&lt;/Q&gt;&lt;R&gt;1&lt;/R&gt;&lt;C&gt;1&lt;/C&gt;&lt;D xsi:type="xsd:double"&gt;75251&lt;/D&gt;&lt;/FQL&gt;&lt;FQL&gt;&lt;Q&gt;Ticker0024^FE_ESTIMATE(PRODLINE_SALES_16,MEAN,QUARTERLY_ROLL,2022/4F,45740,,,'')&lt;/Q&gt;&lt;R&gt;1&lt;/R&gt;&lt;C&gt;1&lt;/C&gt;&lt;D xsi:type="xsd:double"&gt;20909&lt;/D&gt;&lt;/FQL&gt;&lt;FQL&gt;&lt;Q&gt;Ticker0024^FE_ESTIMATE(PRODLINE_SALES_16,MEAN,QUARTERLY_ROLL,2022/3F,45740,,,'')&lt;/Q&gt;&lt;R&gt;1&lt;/R&gt;&lt;C&gt;1&lt;/C&gt;&lt;D xsi:type="xsd:double"&gt;19051&lt;/D&gt;&lt;/FQL&gt;&lt;FQL&gt;&lt;Q&gt;Ticker0024^FE_ESTIMATE(PRODLINE_SALES_16,MEAN,QUARTERLY_ROLL,2022/2F,45740,,,'')&lt;/Q&gt;&lt;R&gt;1&lt;/R&gt;&lt;C&gt;1&lt;/C&gt;&lt;D xsi:type="xsd:double"&gt;18327&lt;/D&gt;&lt;/FQL&gt;&lt;FQL&gt;&lt;Q&gt;Ticker0024^FE_ESTIMATE(PRODLINE_SALES_16,MEAN,QUARTERLY_ROLL,2022/1F,45740,,,'')&lt;/Q&gt;&lt;R&gt;1&lt;/R&gt;&lt;C&gt;1&lt;/C&gt;&lt;D xsi:type="xsd:double"&gt;16964&lt;/D&gt;&lt;/FQL&gt;&lt;FQL&gt;&lt;Q&gt;Ticker0024^FE_ESTIMATE(PRODLINE_SALES_16,MEAN,ANNUAL_ROLL,2021,45740,,,'')&lt;/Q&gt;&lt;R&gt;1&lt;/R&gt;&lt;C&gt;1&lt;/C&gt;&lt;D xsi:type="xsd:double"&gt;60080&lt;/D&gt;&lt;/FQL&gt;&lt;FQL&gt;&lt;Q&gt;Ticker0024^FE_ESTIMATE(PRODLINE_SALES_16,MEAN,QUARTERLY_ROLL,2021/4F,45740,,,'')&lt;/Q&gt;&lt;R&gt;1&lt;/R&gt;&lt;C&gt;1&lt;/C&gt;&lt;D xsi:type="xsd:double"&gt;17375&lt;/D&gt;&lt;/FQL&gt;&lt;FQL&gt;&lt;Q&gt;Ticker0024^FE_ESTIMATE(PRODLINE_SALES_16,MEAN,QUARTERLY_ROLL,2021/3F,45740,,,'')&lt;/Q&gt;&lt;R&gt;1&lt;/R&gt;&lt;C&gt;1&lt;/C&gt;&lt;D xsi:type="xsd:double"&gt;15118&lt;/D&gt;&lt;/FQL&gt;&lt;FQL&gt;&lt;Q&gt;Ticker0024^FE_ESTIMATE(PRODLINE_SALES_16,MEAN,QUARTERLY_ROLL,2021/2F,45740,,,'')&lt;/Q&gt;&lt;R&gt;1&lt;/R&gt;&lt;C&gt;1&lt;/C&gt;&lt;D xsi:type="xsd:double"&gt;14601&lt;/D&gt;&lt;/FQL&gt;&lt;FQL&gt;&lt;Q&gt;Ticker0024^FE_ESTIMATE(PRODLINE_SALES_16,MEAN,QUARTERLY_ROLL,2021/1F,45740,,,'')&lt;/Q&gt;&lt;R&gt;1&lt;/R&gt;&lt;C&gt;1&lt;/C&gt;&lt;D xsi:type="xsd:double"&gt;12986&lt;/D&gt;&lt;/FQL&gt;&lt;FQL&gt;&lt;Q&gt;Ticker0024^FE_ESTIMATE(PRODLINE_SALES_16,MEAN,ANNUAL_ROLL,2020,45740,,,'')&lt;/Q&gt;&lt;R&gt;1&lt;/R&gt;&lt;C&gt;1&lt;/C&gt;&lt;D xsi:type="xsd:double"&gt;48366&lt;/D&gt;&lt;/FQL&gt;&lt;FQL&gt;&lt;Q&gt;Ticker0024^FE_ESTIMATE(PRODLINE_SALES_16,MEAN,QUARTERLY_ROLL,2020/4F,45740,,,'')&lt;/Q&gt;&lt;R&gt;1&lt;/R&gt;&lt;C&gt;1&lt;/C&gt;&lt;D xsi:type="xsd:double"&gt;13371&lt;/D&gt;&lt;/FQL&gt;&lt;FQL&gt;&lt;Q&gt;Ticker0024^FE_ESTIMATE(PRODLINE_SALES_16,MEAN,QUARTERLY_ROLL,2020/3F,45740,,,'')&lt;/Q&gt;&lt;R&gt;1&lt;/R&gt;&lt;C&gt;1&lt;/C&gt;&lt;D xsi:type="xsd:double"&gt;12281&lt;/D&gt;&lt;/FQL&gt;&lt;FQL&gt;&lt;Q&gt;Ticker0024^FE_ESTIMATE(PRODLINE_SALES_16,MEAN,QUARTERLY_ROLL,2020/2F,45740,,,'')&lt;/Q&gt;&lt;R&gt;1&lt;/R&gt;&lt;C&gt;1&lt;/C&gt;&lt;D xsi:type="xsd:double"&gt;11869&lt;/D&gt;&lt;/FQL&gt;&lt;FQL&gt;&lt;Q&gt;Ticker0024^FE_ESTIMATE(PRODLINE_SALES_16,MEAN,QUARTERLY_ROLL,2020/1F,45740,,,'')&lt;/Q&gt;&lt;R&gt;1&lt;/R&gt;&lt;C&gt;1&lt;/C&gt;&lt;D xsi:type="xsd:double"&gt;10845&lt;/D&gt;&lt;/FQL&gt;&lt;FQL&gt;&lt;Q&gt;Ticker0024^FE_ESTIMATE(PRODLINE_SALES_16,MEAN,ANNUAL_ROLL,2019,45740,,,'')&lt;/Q&gt;&lt;R&gt;1&lt;/R&gt;&lt;C&gt;1&lt;/C&gt;&lt;D xsi:type="xsd:double"&gt;38985&lt;/D&gt;&lt;/FQL&gt;&lt;FQL&gt;&lt;Q&gt;Ticker0024^FE_ESTIMATE(PRODLINE_SALES_16,MEAN,QUARTERLY_ROLL,2019/4F,45740,,,'')&lt;/Q&gt;&lt;R&gt;1&lt;/R&gt;&lt;C&gt;1&lt;/C&gt;&lt;D xsi:type="xsd:doubl</t>
        </r>
      </text>
    </comment>
    <comment ref="A26" authorId="0" shapeId="0" xr:uid="{A8557CAF-84A7-415C-9309-3793FCC3789E}">
      <text>
        <r>
          <rPr>
            <b/>
            <sz val="9"/>
            <color indexed="81"/>
            <rFont val="Tahoma"/>
            <family val="2"/>
          </rPr>
          <t>e"&gt;11391&lt;/D&gt;&lt;/FQL&gt;&lt;FQL&gt;&lt;Q&gt;Ticker0024^FE_ESTIMATE(PRODLINE_SALES_16,MEAN,QUARTERLY_ROLL,2019/3F,45740,,,'')&lt;/Q&gt;&lt;R&gt;1&lt;/R&gt;&lt;C&gt;1&lt;/C&gt;&lt;D xsi:type="xsd:double"&gt;9649&lt;/D&gt;&lt;/FQL&gt;&lt;FQL&gt;&lt;Q&gt;Ticker0024^FE_ESTIMATE(PRODLINE_SALES_16,MEAN,QUARTERLY_ROLL,2019/2F,45740,,,'')&lt;/Q&gt;&lt;R&gt;1&lt;/R&gt;&lt;C&gt;1&lt;/C&gt;&lt;D xsi:type="xsd:double"&gt;9378&lt;/D&gt;&lt;/FQL&gt;&lt;FQL&gt;&lt;Q&gt;Ticker0024^FE_ESTIMATE(PRODLINE_SALES_16,MEAN,QUARTERLY_ROLL,2019/1F,45740,,,'')&lt;/Q&gt;&lt;R&gt;1&lt;/R&gt;&lt;C&gt;1&lt;/C&gt;&lt;D xsi:type="xsd:double"&gt;8567&lt;/D&gt;&lt;/FQL&gt;&lt;FQL&gt;&lt;Q&gt;Ticker0024^FE_ESTIMATE(PRODLINE_SALES_16,MEAN,ANNUAL_ROLL,2018,45740,,,'')&lt;/Q&gt;&lt;R&gt;1&lt;/R&gt;&lt;C&gt;1&lt;/C&gt;&lt;D xsi:type="xsd:double"&gt;32219&lt;/D&gt;&lt;/FQL&gt;&lt;FQL&gt;&lt;Q&gt;Ticker0024^FE_ESTIMATE(PRODLINE_SALES_16,MEAN,QUARTERLY_ROLL,2018/4F,45740,,,'')&lt;/Q&gt;&lt;R&gt;1&lt;/R&gt;&lt;C&gt;1&lt;/C&gt;&lt;D xsi:type="xsd:double"&gt;9606&lt;/D&gt;&lt;/FQL&gt;&lt;FQL&gt;&lt;Q&gt;Ticker0024^FE_ESTIMATE(PRODLINE_SALES_16,MEAN,QUARTERLY_ROLL,2018/3F,45740,,,'')&lt;/Q&gt;&lt;R&gt;1&lt;/R&gt;&lt;C&gt;1&lt;/C&gt;&lt;D xsi:type="xsd:double"&gt;7896&lt;/D&gt;&lt;/FQL&gt;&lt;FQL&gt;&lt;Q&gt;Ticker0024^FE_ESTIMATE(PRODLINE_SALES_16,MEAN,QUARTERLY_ROLL,2018/2F,45740,,,'')&lt;/Q&gt;&lt;R&gt;1&lt;/R&gt;&lt;C&gt;1&lt;/C&gt;&lt;D xsi:type="xsd:double"&gt;7795&lt;/D&gt;&lt;/FQL&gt;&lt;FQL&gt;&lt;Q&gt;Ticker0024^FE_ESTIMATE(PRODLINE_SALES_16,MEAN,QUARTERLY_ROLL,2018/1F,45740,,,'')&lt;/Q&gt;&lt;R&gt;1&lt;/R&gt;&lt;C&gt;1&lt;/C&gt;&lt;D xsi:type="xsd:double"&gt;6922&lt;/D&gt;&lt;/FQL&gt;&lt;FQL&gt;&lt;Q&gt;Ticker0024^FE_ESTIMATE(PRODLINE_SALES_16,MEAN,ANNUAL_ROLL,2017,45740,,,'')&lt;/Q&gt;&lt;R&gt;1&lt;/R&gt;&lt;C&gt;1&lt;/C&gt;&lt;D xsi:type="xsd:double"&gt;27440&lt;/D&gt;&lt;/FQL&gt;&lt;FQL&gt;&lt;Q&gt;Ticker0024^FE_ESTIMATE(PRODLINE_SALES_16,MEAN,QUARTERLY_ROLL,2017/4F,45740,,,'')&lt;/Q&gt;&lt;R&gt;1&lt;/R&gt;&lt;C&gt;1&lt;/C&gt;&lt;D xsi:type="xsd:double"&gt;7434&lt;/D&gt;&lt;/FQL&gt;&lt;FQL&gt;&lt;Q&gt;Ticker0024^FE_ESTIMATE(PRODLINE_SALES_16,MEAN,QUARTERLY_ROLL,2017/3F,45740,,,'')&lt;/Q&gt;&lt;R&gt;1&lt;/R&gt;&lt;C&gt;1&lt;/C&gt;&lt;D xsi:type="xsd:double"&gt;6763&lt;/D&gt;&lt;/FQL&gt;&lt;FQL&gt;&lt;Q&gt;Ticker0024^FE_ESTIMATE(PRODLINE_SALES_16,MEAN,QUARTERLY_ROLL,2017/2F,45740,,,'')&lt;/Q&gt;&lt;R&gt;1&lt;/R&gt;&lt;C&gt;1&lt;/C&gt;&lt;D xsi:type="xsd:double"&gt;6861&lt;/D&gt;&lt;/FQL&gt;&lt;FQL&gt;&lt;Q&gt;Ticker0024^FE_ESTIMATE(PRODLINE_SALES_16,MEAN,QUARTERLY_ROLL,2017/1F,45740,,,'')&lt;/Q&gt;&lt;R&gt;1&lt;/R&gt;&lt;C&gt;1&lt;/C&gt;&lt;D xsi:type="xsd:double"&gt;6382&lt;/D&gt;&lt;/FQL&gt;&lt;FQL&gt;&lt;Q&gt;Ticker0024^FE_ESTIMATE(PRODLINE_SALES_16,MEAN,ANNUAL_ROLL,2016,45740,,,'')&lt;/Q&gt;&lt;R&gt;1&lt;/R&gt;&lt;C&gt;1&lt;/C&gt;&lt;D xsi:type="xsd:double"&gt;25042&lt;/D&gt;&lt;/FQL&gt;&lt;FQL&gt;&lt;Q&gt;Ticker0024^FE_ESTIMATE(PRODLINE_SALES_16,MEAN,QUARTERLY_ROLL,2016/4F,45740,,,'')&lt;/Q&gt;&lt;R&gt;1&lt;/R&gt;&lt;C&gt;1&lt;/C&gt;&lt;D xsi:type="xsd:double"&gt;6711&lt;/D&gt;&lt;/FQL&gt;&lt;FQL&gt;&lt;Q&gt;Ticker0024^FE_ESTIMATE(PRODLINE_SALES_16,MEAN,QUARTERLY_ROLL,2016/3F,45740,,,'')&lt;/Q&gt;&lt;R&gt;1&lt;/R&gt;&lt;C&gt;1&lt;/C&gt;&lt;D xsi:type="xsd:double"&gt;6096&lt;/D&gt;&lt;/FQL&gt;&lt;FQL&gt;&lt;Q&gt;Ticker0024^FE_ESTIMATE(PRODLINE_SALES_16,MEAN,QUARTERLY_ROLL,2016/2F,45740,,,'')&lt;/Q&gt;&lt;R&gt;1&lt;/R&gt;&lt;C&gt;1&lt;/C&gt;&lt;D xsi:type="xsd:double"&gt;6343&lt;/D&gt;&lt;/FQL&gt;&lt;FQL&gt;&lt;Q&gt;Ticker0024^FE_ESTIMATE(PRODLINE_SALES_16,MEAN,QUARTERLY_ROLL,2016/1F,45740,,,'')&lt;/Q&gt;&lt;R&gt;1&lt;/R&gt;&lt;C&gt;1&lt;/C&gt;&lt;D xsi:type="xsd:double"&gt;5892&lt;/D&gt;&lt;/FQL&gt;&lt;FQL&gt;&lt;Q&gt;Ticker0024^FE_ESTIMATE(PRODLINE_SALES_16,MEAN,ANNUAL_ROLL,2015,45740,,,'')&lt;/Q&gt;&lt;R&gt;0&lt;/R&gt;&lt;C&gt;0&lt;/C&gt;&lt;/FQL&gt;&lt;FQL&gt;&lt;Q&gt;Ticker0024^FE_ESTIMATE(PRODLINE_SALES_16,MEAN,QUARTERLY_ROLL,2015/4F,45740,,,'')&lt;/Q&gt;&lt;R&gt;0&lt;/R&gt;&lt;C&gt;0&lt;/C&gt;&lt;/FQL&gt;&lt;FQL&gt;&lt;Q&gt;Ticker0024^FE_ESTIMATE(PRODLINE_SALES_16,MEAN,QUARTERLY_ROLL,2015/3F,45740,,,'')&lt;/Q&gt;&lt;R&gt;0&lt;/R&gt;&lt;C&gt;0&lt;/C&gt;&lt;/FQL&gt;&lt;FQL&gt;&lt;Q&gt;Ticker0024^FE_ESTIMATE(PRODLINE_SALES_16,MEAN,QUARTERLY_ROLL,2015/2F,45740,,,'')&lt;/Q&gt;&lt;R&gt;0&lt;/R&gt;&lt;C&gt;0&lt;/C&gt;&lt;/FQL&gt;&lt;FQL&gt;&lt;Q&gt;Ticker0024^FE_ESTIMATE(PRODLINE_SALES_16,MEAN,QUARTERLY_ROLL,2015/1F,45740,,,'')&lt;/Q&gt;&lt;R&gt;0&lt;/R&gt;&lt;C&gt;0&lt;/C&gt;&lt;/FQL&gt;&lt;FQL&gt;&lt;Q&gt;Ticker0024^FE_ESTIMATE(PRODLINE_SALES_15,MEAN,ANNUAL_ROLL,2030,45740,,,'')&lt;/Q&gt;&lt;R&gt;0&lt;/R&gt;&lt;C&gt;0&lt;/C&gt;&lt;/FQL&gt;&lt;FQL&gt;&lt;Q&gt;Ticker0024^FE_ESTIMATE(PRODLINE_SALES_15,MEAN,QUARTERLY_ROLL,2030/4F,45740,,,'')&lt;/Q&gt;&lt;R&gt;0&lt;/R&gt;&lt;C&gt;0&lt;/C&gt;&lt;/FQL&gt;&lt;FQL&gt;&lt;Q&gt;Ticker0024^FE_ESTIMATE(PRODLINE_SALES_15,MEAN,QUARTERLY_ROLL,2030/3F,45740,,,'')&lt;/Q&gt;&lt;R&gt;0&lt;/R&gt;&lt;C&gt;0&lt;/C&gt;&lt;/FQL&gt;&lt;FQL&gt;&lt;Q&gt;Ticker0024^FE_ESTIMATE(PRODLINE_SALES_15,MEAN,QUARTERLY_ROLL,2030/2F,45740,,,'')&lt;/Q&gt;&lt;R&gt;0&lt;/R&gt;&lt;C&gt;0&lt;/C&gt;&lt;/FQL&gt;&lt;FQL&gt;&lt;Q&gt;Ticker0024^FE_ESTIMATE(PRODLINE_SALES_15,MEAN,QUARTERLY_ROLL,2030/1F,45740,,,'')&lt;/Q&gt;&lt;R&gt;0&lt;/R&gt;&lt;C&gt;0&lt;/C&gt;&lt;/FQL&gt;&lt;FQL&gt;&lt;Q&gt;Ticker0024^FE_ESTIMATE(PRODLINE_SALES_15,MEAN,ANNUAL_ROLL,2029,45740,,,'')&lt;/Q&gt;&lt;R&gt;0&lt;/R&gt;&lt;C&gt;0&lt;/C&gt;&lt;/FQL&gt;&lt;FQL&gt;&lt;Q&gt;Ticker0024^FE_ESTIMATE(PRODLINE_SALES_15,MEAN,QUARTERLY_ROLL,2029/4F,45740,,,'')&lt;/Q&gt;&lt;R&gt;0&lt;/R&gt;&lt;C&gt;0&lt;/C&gt;&lt;/FQL&gt;&lt;FQL&gt;&lt;Q&gt;Ticker0024^FE_ESTIMATE(PRODLINE_SALES_15,MEAN,QUARTERLY_ROLL,2029/3F,45740,,,'')&lt;/Q&gt;&lt;R&gt;0&lt;/R&gt;&lt;C&gt;0&lt;/C&gt;&lt;/FQL&gt;&lt;FQL&gt;&lt;Q&gt;Ticker0024^FE_ESTIMATE(PRODLINE_SALES_15,MEAN,QUARTERLY_ROLL,2029/2F,45740,,,'')&lt;/Q&gt;&lt;R&gt;0&lt;/R&gt;&lt;C&gt;0&lt;/C&gt;&lt;/FQL&gt;&lt;FQL&gt;&lt;Q&gt;Ticker0024^FE_ESTIMATE(PRODLINE_SALES_15,MEAN,QUARTERLY_ROLL,2029/1F,45740,,,'')&lt;/Q&gt;&lt;R&gt;0&lt;/R&gt;&lt;C&gt;0&lt;/C&gt;&lt;/FQL&gt;&lt;FQL&gt;&lt;Q&gt;Ticker0024^FE_ESTIMATE(PRODLINE_SALES_15,MEAN,ANNUAL_ROLL,2028,45740,,,'')&lt;/Q&gt;&lt;R&gt;0&lt;/R&gt;&lt;C&gt;0&lt;/C&gt;&lt;/FQL&gt;&lt;FQL&gt;&lt;Q&gt;Ticker0024^FE_ESTIMATE(PRODLINE_SALES_15,MEAN,QUARTERLY_ROLL,2028/4F,45740,,,'')&lt;/Q&gt;&lt;R&gt;0&lt;/R&gt;&lt;C&gt;0&lt;/C&gt;&lt;/FQL&gt;&lt;FQL&gt;&lt;Q&gt;Ticker0024^FE_ESTIMATE(PRODLINE_SALES_15,MEAN,QUARTERLY_ROLL,2028/3F,45740,,,'')&lt;/Q&gt;&lt;R&gt;0&lt;/R&gt;&lt;C&gt;0&lt;/C&gt;&lt;/FQL&gt;&lt;FQL&gt;&lt;Q&gt;Ticker0024^FE_ESTIMATE(PRODLINE_SALES_15,MEAN,QUARTERLY_ROLL,2028/2F,45740,,,'')&lt;/Q&gt;&lt;R&gt;0&lt;/R&gt;&lt;C&gt;0&lt;/C&gt;&lt;/FQL&gt;&lt;FQL&gt;&lt;Q&gt;Ticker0024^FE_ESTIMATE(PRODLINE_SALES_15,MEAN,QUARTERLY_ROLL,2028/1F,45740,,,'')&lt;/Q&gt;&lt;R&gt;0&lt;/R&gt;&lt;C&gt;0&lt;/C&gt;&lt;/FQL&gt;&lt;FQL&gt;&lt;Q&gt;Ticker0024^FE_ESTIMATE(PRODLINE_SALES_15,MEAN,ANNUAL_ROLL,2027,45740,,,'')&lt;/Q&gt;&lt;R&gt;1&lt;/R&gt;&lt;C&gt;1&lt;/C&gt;&lt;D xsi:type="xsd:double"&gt;143634.81&lt;/D&gt;&lt;/FQL&gt;&lt;FQL&gt;&lt;Q&gt;Ticker0024^FE_ESTIMATE(PRODLINE_SALES_15,MEAN,QUARTERLY_ROLL,2027/4F,45740,,,'')&lt;/Q&gt;&lt;R&gt;1&lt;/R&gt;&lt;C&gt;1&lt;/C&gt;&lt;D xsi:type="xsd:double"&gt;36890&lt;/D&gt;&lt;/FQL&gt;&lt;FQL&gt;&lt;Q&gt;Ticker0024^FE_ESTIMATE(PRODLINE_SALES_15,MEAN,QUARTERLY_ROLL,2027/3F,45740,,,'')&lt;/Q&gt;&lt;R&gt;1&lt;/R&gt;&lt;C&gt;1&lt;/C&gt;&lt;D xsi:type="xsd:double"&gt;35629&lt;/D&gt;&lt;/FQL&gt;&lt;FQL&gt;&lt;Q&gt;Ticker0024^FE_ESTIMATE(PRODLINE_SALES_15,MEAN,QUARTERLY_ROLL,2027/2F,45740,,,'')&lt;/Q&gt;&lt;R&gt;1&lt;/R&gt;&lt;C&gt;1&lt;/C&gt;&lt;D xsi:type="xsd:double"&gt;34931&lt;/D&gt;&lt;/FQL&gt;&lt;FQL&gt;&lt;Q&gt;Ticker0024^FE_ESTIMATE(PRODLINE_SALES_15,MEAN,QUARTERLY_ROLL,2027/1F,45740,,,'')&lt;/Q&gt;&lt;R&gt;1&lt;/R&gt;&lt;C&gt;1&lt;/C&gt;&lt;D xsi:type="xsd:double"&gt;33840&lt;/D&gt;&lt;/FQL&gt;&lt;FQL&gt;&lt;Q&gt;Ticker0024^FE_ESTIMATE(PRODLINE_SALES_15,MEAN,ANNUAL_ROLL,2026,45740,,,'')&lt;/Q&gt;&lt;R&gt;1&lt;/R&gt;&lt;C&gt;1&lt;/C&gt;&lt;D xsi:type="xsd:double"&gt;130659.734&lt;/D&gt;&lt;/FQL&gt;&lt;FQL&gt;&lt;Q&gt;Ticker0024^FE_ESTIMATE(PRODLINE_SALES_15,MEAN,QUARTERLY_ROLL,2026/4F,45740,,,'')&lt;/Q&gt;&lt;R&gt;1&lt;/R&gt;&lt;C&gt;1&lt;/C&gt;&lt;D xsi:type="xsd:double"&gt;34294.75&lt;/D&gt;&lt;/FQL&gt;&lt;FQL&gt;&lt;Q&gt;Ticker0024^FE_ESTIMATE(PRODLINE_SALES_15,MEAN,QUARTERLY_ROLL,2026/3F,45740,,,'')&lt;/Q&gt;&lt;R&gt;1&lt;/R&gt;&lt;C&gt;1&lt;/C&gt;&lt;D xsi:type="xsd:double"&gt;32546.6&lt;/D&gt;&lt;/FQL&gt;&lt;FQL&gt;&lt;Q&gt;Ticker0024^FE_ESTIMATE(PRODLINE_SALES_15,MEAN,QUARTERLY_ROLL,2026/2F,45740,,,'')&lt;/Q&gt;&lt;R&gt;1&lt;/R&gt;&lt;C&gt;1&lt;/C&gt;&lt;D xsi:type="xsd:double"&gt;32114.871&lt;/D&gt;&lt;/FQL&gt;&lt;FQL&gt;&lt;Q&gt;Ticker0024^FE_ESTIMATE(PRODLINE_SALES_15,MEAN,QUARTERLY_ROLL,2026/1F,45740,,,'')&lt;/Q&gt;&lt;R&gt;1&lt;/R&gt;&lt;C&gt;1&lt;/C&gt;&lt;D xsi:type="xsd:double"&gt;31076.64&lt;/D&gt;&lt;/FQL&gt;&lt;FQL&gt;&lt;Q&gt;Ticker0024^FE_ESTIMATE(PRODLINE_SALES_15,MEAN,ANNUAL_ROLL,2025,45740,,,'')&lt;/Q&gt;&lt;R&gt;1&lt;/R&gt;&lt;C&gt;1&lt;/C&gt;&lt;D xsi:type="xsd:double"&gt;118600.87&lt;/D&gt;&lt;/FQL&gt;&lt;FQL&gt;&lt;Q&gt;Ticker0024^FE_ESTIMATE(PRODLINE_SALES_15,MEAN,QUARTERLY_ROLL,2025/4F,45740,,,'')&lt;/Q&gt;&lt;R&gt;1&lt;/R&gt;&lt;C&gt;1&lt;/C&gt;&lt;D xsi:type="xsd:double"&gt;31263.572&lt;/D&gt;&lt;/FQL&gt;&lt;FQL&gt;&lt;Q&gt;Ticker0024^FE_ESTIMATE(PRODLINE_SALES_15,MEAN,QUARTERLY_ROLL,2025/3F,45740,,,'')&lt;/Q&gt;&lt;R&gt;1&lt;/R&gt;&lt;C&gt;1&lt;/C&gt;&lt;D xsi:type="xsd:double"&gt;29659.39&lt;/D&gt;&lt;/FQL&gt;&lt;FQL&gt;&lt;Q&gt;Ticker0024^FE_ESTIMATE(PRODLINE_SALES_15,MEAN,QUARTERLY_ROLL,2025/2F,45740,,,'')&lt;/Q&gt;&lt;R&gt;1&lt;/R&gt;&lt;C&gt;1&lt;/C&gt;&lt;D xsi:type="xsd:double"&gt;29437&lt;/D&gt;&lt;/FQL&gt;&lt;FQL&gt;&lt;Q&gt;Ticker0024^FE_ESTIMATE(PRODLINE_SALES_15,MEAN,QUARTERLY_ROLL,2025/1F,45740,,,'')&lt;/Q&gt;&lt;R&gt;1&lt;/R&gt;&lt;C&gt;1&lt;/C&gt;&lt;D xsi:type="xsd:double"&gt;28317&lt;/D&gt;&lt;/FQL&gt;&lt;FQL&gt;&lt;Q&gt;Ticker0024^FE_ESTIMATE(PRODLINE_SALES_15,MEAN,ANNUAL_ROLL,2024,45740,,,'')&lt;/Q&gt;&lt;R&gt;1&lt;/R&gt;&lt;C&gt;1&lt;/C&gt;&lt;D xsi:type="xsd:double"&gt;77728&lt;/D&gt;&lt;/FQL&gt;&lt;FQL&gt;&lt;Q&gt;Ticker0024^FE_ESTIMATE(PRODLINE_SALES_15,MEAN,QUARTERLY_ROLL,2024/4F,45740,,,'')&lt;/Q&gt;&lt;R&gt;1&lt;/R&gt;&lt;C&gt;1&lt;/C&gt;&lt;D xsi:type="xsd:double"&gt;20317&lt;/D&gt;&lt;/FQL&gt;&lt;FQL&gt;&lt;Q&gt;Ticker0024^FE_ESTIMATE(PRODLINE_SALES_15,MEAN,QUARTERLY_ROLL,2024/3F,45740,,,'')&lt;/Q&gt;&lt;R&gt;1&lt;/R&gt;&lt;C&gt;1&lt;/C&gt;&lt;D xsi:type="xsd:double"&gt;19570&lt;/D&gt;&lt;/FQL&gt;&lt;FQL&gt;&lt;Q&gt;Ticker0024^FE_ESTIMATE(PRODLINE_SALES_15,MEAN,QUARTERLY_ROLL,2024/2F,45740,,,'')&lt;/Q&gt;&lt;R&gt;1&lt;/R&gt;&lt;C&gt;1&lt;/C&gt;&lt;D xsi:type="xsd:double"&gt;19249&lt;/D&gt;&lt;/FQL&gt;&lt;FQL&gt;&lt;Q&gt;Ticker0024^FE_ESTIMATE(PRODLINE_SALES_15,MEAN,QUARTERLY_ROLL,2024/1F,45740,,,'')&lt;/Q&gt;&lt;R&gt;1&lt;/R&gt;&lt;C&gt;1&lt;/C&gt;&lt;D xsi:type="xsd:double"&gt;18592&lt;/D&gt;&lt;/FQL&gt;&lt;FQL&gt;&lt;Q&gt;Ticker0024^FE_ESTIMATE(PRODLINE_SALES_15,MEAN,ANNUAL_ROLL,2023,45740,,,'')&lt;/Q&gt;&lt;R&gt;1&lt;/R&gt;&lt;C&gt;1&lt;/C&gt;&lt;D xsi:type="xsd:double"&gt;69275&lt;/D&gt;&lt;/FQL&gt;&lt;FQL&gt;&lt;Q&gt;Ticker0024^FE_ESTIMATE(PRODLINE_SALES_15,MEAN,QUARTERLY_ROLL,2023/4F,45740,,,'')&lt;/Q&gt;&lt;R&gt;1&lt;/R&gt;&lt;C&gt;1&lt;/C&gt;&lt;D xsi:type="xsd:double"&gt;18291&lt;/D&gt;&lt;/FQL&gt;&lt;FQL&gt;&lt;Q&gt;Ticker0024^FE_ESTIMATE(PRODLINE_SALES_15,MEAN,QUARTERLY_ROLL,2023/3F,45740,,,'')&lt;/Q&gt;&lt;R&gt;1&lt;/R&gt;&lt;C&gt;1&lt;/C&gt;&lt;D xsi:type="xsd:double"&gt;17516&lt;/D&gt;&lt;/FQL&gt;&lt;FQL&gt;&lt;Q&gt;Ticker0024^FE_ESTIMATE(PRODLINE_SALES_15,MEAN,QUARTERLY_ROLL,2023/2F,45740,,,'')&lt;/Q&gt;&lt;R&gt;1&lt;/R&gt;&lt;C&gt;1&lt;/C&gt;&lt;D xsi:type="xsd:double"&gt;17002&lt;/D&gt;&lt;/FQL&gt;&lt;FQL&gt;&lt;Q&gt;Ticker0024^FE_ESTIMATE(PRODLINE_SALES_15,MEAN,QUARTERLY_ROLL,2023/1F,45740,,,'')&lt;/Q&gt;&lt;R&gt;1&lt;/R&gt;&lt;C&gt;1&lt;/C&gt;&lt;D xsi:type="xsd:double"&gt;16465&lt;/D&gt;&lt;/FQL&gt;&lt;FQL&gt;&lt;Q&gt;Ticker0024^FE_ESTIMATE(PRODLINE_SALES_15,MEAN,ANNUAL_ROLL,2022,45740,,,'')&lt;/Q&gt;&lt;R&gt;1&lt;/R&gt;&lt;C&gt;1&lt;/C&gt;&lt;D xsi:type="xsd:double"&gt;63364&lt;/D&gt;&lt;/FQL&gt;&lt;FQL&gt;&lt;Q&gt;Ticker0024^FE_ESTIMATE(PRODLINE_SALES_15,MEAN,QUARTERLY_ROLL,2022/4F,45740,,,'')&lt;/Q&gt;&lt;R&gt;1&lt;/R&gt;&lt;C&gt;1&lt;/C&gt;&lt;D xsi:type="xsd:double"&gt;16600&lt;/D&gt;&lt;/FQL&gt;&lt;FQL&gt;&lt;Q&gt;Ticker0024^FE_ESTIMATE(PRODLINE_SALES_15,MEAN,QUARTERLY_ROLL,2022/3F,45740,,,'')&lt;/Q&gt;&lt;R&gt;1&lt;/R&gt;&lt;C&gt;1&lt;/C&gt;&lt;D xsi:type="xsd:double"&gt;15789&lt;/D&gt;&lt;/FQL&gt;&lt;FQL&gt;&lt;Q&gt;Ticker0024^FE_ESTIMATE(PRODLINE_SALES_15,MEAN,QUARTERLY_ROLL,2022/2F,45740,,,'')&lt;/Q&gt;&lt;R&gt;1&lt;/R&gt;&lt;C&gt;1&lt;/C&gt;&lt;D xsi:type="xsd:double"&gt;15936&lt;/D&gt;&lt;/FQL&gt;&lt;FQL&gt;&lt;Q&gt;Ticker0024^FE_ESTIMATE(PRODLINE_SALES_15,MEAN,QUARTERLY_ROLL,2022/1F,45740,,,'')&lt;/Q&gt;&lt;R&gt;1&lt;/R&gt;&lt;C&gt;1&lt;/C&gt;&lt;D xsi:type="xsd:double"&gt;15039&lt;/D&gt;&lt;/FQL&gt;&lt;FQL&gt;&lt;Q&gt;Ticker0024^FE_ESTIMATE(PRODLINE_SALES_15,MEAN,ANNUAL_ROLL,2021,45740,,,'')&lt;/Q&gt;&lt;R&gt;1&lt;/R&gt;&lt;C&gt;1&lt;/C&gt;&lt;D xsi:type="xsd:double"&gt;53915&lt;/D&gt;&lt;/FQL&gt;&lt;FQL&gt;&lt;Q&gt;Ticker0024^FE_ESTIMATE(PRODLINE_SALES_15,MEAN,QUARTERLY_ROLL,2021/4F,45740,,,'')&lt;/Q&gt;&lt;R&gt;1&lt;/R&gt;&lt;C&gt;1&lt;/C&gt;&lt;D xsi:type="xsd:double"&gt;14691&lt;/D&gt;&lt;/FQL&gt;&lt;FQL&gt;&lt;Q&gt;Ticker0024^FE_ESTIMATE(PRODLINE_SALES_15,MEAN,QUARTERLY_ROLL,2021/3F,45740,,,'')&lt;/Q&gt;&lt;R&gt;1&lt;/R&gt;&lt;C&gt;1&lt;/C&gt;&lt;D xsi:type="xsd:double"&gt;13552&lt;/D&gt;&lt;/FQL&gt;&lt;FQL&gt;&lt;Q&gt;Ticker0024^FE_ESTIMATE(PRODLINE_SALES_15,MEAN,QUARTERLY_ROLL,2021/2F,45740,,,'')&lt;/Q&gt;&lt;R&gt;1&lt;/R&gt;&lt;C&gt;1&lt;/C&gt;&lt;D xsi:type="xsd:double"&gt;13353&lt;/D&gt;&lt;/FQL&gt;&lt;FQL&gt;&lt;Q&gt;Ticker0024^FE_ESTIMATE(PRODLINE_SALES_15,MEAN,QUARTERLY_ROLL,2021/1F,45740,,,'')&lt;/Q&gt;&lt;R&gt;1&lt;/R&gt;&lt;C&gt;1&lt;/C&gt;&lt;D xsi:type="xsd:double"&gt;12319&lt;/D&gt;&lt;/FQL&gt;&lt;FQL&gt;&lt;Q&gt;Ticker0024^FE_ESTIMATE(PRODLINE_SALES_15,MEAN,ANNUAL_ROLL,2020,45740,,,'')&lt;/Q&gt;&lt;R&gt;1&lt;/R&gt;&lt;C&gt;1&lt;/C&gt;&lt;D xsi:type="xsd:double"&gt;46398&lt;/D&gt;&lt;/FQL&gt;&lt;FQL&gt;&lt;Q&gt;Ticker0024^FE_ESTIMATE(PRODLINE_SALES_15,MEAN,QUARTERLY_ROLL,2020/4F,45740,,,'')&lt;/Q&gt;&lt;R&gt;1&lt;/R&gt;&lt;C&gt;1&lt;/C&gt;&lt;D xsi:type="xsd:double"&gt;11752&lt;/D&gt;&lt;/FQL&gt;&lt;FQL&gt;&lt;Q&gt;Ticker0024^FE_ESTIMATE(PRODLINE_SALES_15,MEAN,QUARTERLY_ROLL,2020/3F,45740,,,'')&lt;/Q&gt;&lt;R&gt;1&lt;/R&gt;&lt;C&gt;1&lt;/C&gt;&lt;D xsi:type="xsd:double"&gt;11743&lt;/D&gt;&lt;/FQL&gt;&lt;FQL&gt;&lt;Q&gt;Ticker0024^FE_ESTIMATE(PRODLINE_SALES_15,MEAN,QUARTERLY_ROLL,2020/2F,45740,,,'')&lt;/Q&gt;&lt;R&gt;1&lt;/R&gt;&lt;C&gt;1&lt;/C&gt;&lt;D xsi:type="xsd:double"&gt;11826&lt;/D&gt;&lt;/FQL&gt;&lt;FQL&gt;&lt;Q&gt;Ticker0024^FE_ESTIMATE(PRODLINE_SALES_15,MEAN,QUARTERLY_ROLL,2020/1F,45740,,,'')&lt;/Q&gt;&lt;R&gt;1&lt;/R&gt;&lt;C&gt;1&lt;/C&gt;&lt;D xsi:type="xsd:double"&gt;11077&lt;/D&gt;&lt;/FQL&gt;&lt;FQL&gt;&lt;Q&gt;Ticker0024^FE_ESTIMATE(PRODLINE_SALES_15,MEAN,ANNUAL_ROLL,2019,45740,,,'')&lt;/Q&gt;&lt;R&gt;1&lt;/R&gt;&lt;C&gt;1&lt;/C&gt;&lt;D xsi:type="xsd:double"&gt;41160&lt;/D&gt;&lt;/FQL&gt;&lt;FQL&gt;&lt;Q&gt;Ticker0024^FE_ESTIMATE(PRODLINE_SALES_15,MEAN,QUARTERLY_ROLL,2019/4F,45740,,,'')&lt;/Q&gt;&lt;R&gt;1&lt;/R&gt;&lt;C&gt;1&lt;/C&gt;&lt;D xsi:type="xsd:double"&gt;11047&lt;/D&gt;&lt;/FQL&gt;&lt;FQL&gt;&lt;Q&gt;Ticker0024^FE_ESTIMATE(PRODLINE_SALES_15,MEAN,QUARTERLY_ROLL,2019/3F,45740,,,'')&lt;/Q&gt;&lt;R&gt;1&lt;/R&gt;&lt;C&gt;1&lt;/C&gt;&lt;D xsi:type="xsd:double"&gt;10242&lt;/D&gt;&lt;/FQL&gt;&lt;FQL&gt;&lt;Q&gt;Ticker0024^FE_ESTIMATE(PRODLINE_SALES_15,MEAN,QUARTERLY_ROLL,2019/2F,45740,,,'')&lt;/Q&gt;&lt;R&gt;1&lt;/R&gt;&lt;C&gt;1&lt;/C&gt;&lt;D xsi:type="xsd:double"&gt;10100&lt;/D&gt;&lt;/FQL&gt;&lt;FQL&gt;&lt;Q&gt;Ticker0024^FE_ESTIMATE(PRODLINE_SALES_15,MEAN,QUARTERLY_ROLL,2019/1F,45740,,,'')&lt;/Q&gt;&lt;R&gt;1&lt;/R&gt;&lt;C&gt;1&lt;/C&gt;&lt;D xsi:type="xsd:double"&gt;9771&lt;/D&gt;&lt;/FQL&gt;&lt;FQL&gt;&lt;Q&gt;Ticker0024^FE_ESTIMATE(PRODLINE_SALES_15,MEAN,ANNUAL_ROLL,2018,45740,,,'')&lt;/Q&gt;&lt;R&gt;1&lt;/R&gt;&lt;C&gt;1&lt;/C&gt;&lt;D xsi:type="xsd:double"&gt;35865&lt;/D&gt;&lt;/FQL&gt;&lt;FQL&gt;&lt;Q&gt;Ticker0024^FE_ESTIMATE(PRODLINE_SALES_15,MEAN,QUARTERLY_ROLL,2018/4F,45740,,,'')&lt;/Q&gt;&lt;R&gt;1&lt;/R&gt;&lt;C&gt;1&lt;/C&gt;&lt;D xsi:type="xsd:double"&gt;9668&lt;/D&gt;&lt;/FQL&gt;&lt;FQL&gt;&lt;Q&gt;Ticker0024^FE_ESTIMATE(PRODLINE_SALES_15,MEAN,QUARTERLY_ROLL,2018/3F,45740,,,'')&lt;/Q&gt;&lt;R&gt;1&lt;/R&gt;&lt;C&gt;1&lt;/C&gt;&lt;D xsi:type="xsd:double"&gt;9006&lt;/D&gt;&lt;/FQL&gt;&lt;FQL&gt;&lt;Q&gt;Ticker0024^FE_ESTIMATE(PRODLINE_SALES_15,MEAN,QUARTERLY_ROLL,2018/2F,45740,,,'')&lt;/Q&gt;&lt;R&gt;1&lt;/R&gt;&lt;C&gt;1&lt;/C&gt;&lt;D xsi:type="xsd:double"&gt;8953&lt;/D&gt;&lt;/FQL&gt;&lt;FQL&gt;&lt;Q&gt;Ticker0024^FE_ESTIMATE(PRODLINE_SALES_15,MEAN,QUARTERLY_ROLL,2018/1F,45740,,,'')&lt;/Q&gt;&lt;R&gt;1&lt;/R&gt;&lt;C&gt;1&lt;/C&gt;&lt;D xsi:type="xsd:double"&gt;8238&lt;/D&gt;&lt;/FQL&gt;&lt;FQL&gt;&lt;Q&gt;Ticker0024^FE_ESTIMATE(PRODLINE_SALES_15,MEAN,ANNUAL_ROLL,2017,45740,,,'')&lt;/Q&gt;&lt;R&gt;1&lt;/R&gt;&lt;C&gt;1&lt;/C&gt;&lt;D xsi:type="xsd:double"&gt;30444&lt;/D&gt;&lt;/FQL&gt;&lt;FQL&gt;&lt;Q&gt;Ticker0024^FE_ESTIMATE(PRODLINE_SALES_15,MEAN,QUARTERLY_ROLL,2017/4F,45740,,,'')&lt;/Q&gt;&lt;R&gt;1&lt;/R&gt;&lt;C&gt;1&lt;/C&gt;&lt;D xsi:type="xsd:double"&gt;8446&lt;/D&gt;&lt;/FQL&gt;&lt;FQL&gt;&lt;Q&gt;Ticker0024^FE_ESTIMATE(PRODLINE_SALES_15,MEAN,QUARTERLY_ROLL,2017/3F,45740,,,'')&lt;/Q&gt;&lt;R&gt;1&lt;/R&gt;&lt;C&gt;1&lt;/C&gt;&lt;D xsi:type="xsd:double"&gt;7958&lt;/D&gt;&lt;/FQL&gt;&lt;FQL&gt;&lt;Q&gt;Ticker0024^FE_ESTIMATE(PRODLINE_SALES_15,MEAN,QUARTERLY_ROLL,2017/2F,45740,,,'')&lt;/Q&gt;&lt;R&gt;1&lt;/R&gt;&lt;C&gt;1&lt;/C&gt;&lt;D xsi:type="xsd:double"&gt;7382&lt;/D&gt;&lt;/FQL&gt;&lt;FQL&gt;&lt;Q&gt;Ticker0024^FE_ESTIMATE(PRODLINE_SALES_15,MEAN,QUARTERLY_ROLL,2017/1F,45740,,,'')&lt;/Q&gt;&lt;R&gt;1&lt;/R&gt;&lt;C&gt;1&lt;/C&gt;&lt;D xsi:type="xsd:double"&gt;6658&lt;/D&gt;&lt;/FQL&gt;&lt;FQL&gt;&lt;Q&gt;Ticker0024^FE_ESTIMATE(PRODLINE_SALES_15,MEAN,ANNUAL_ROLL,2016,45740,,,'')&lt;/Q&gt;&lt;R&gt;1&lt;/R&gt;&lt;C&gt;1&lt;/C&gt;&lt;D xsi:type="xsd:double"&gt;26487&lt;/D&gt;&lt;/FQL&gt;&lt;FQL&gt;&lt;Q&gt;Ticker0024^FE_ESTIMATE(PRODLINE_SALES_15,MEAN,QUARTERLY_ROLL,2016/4F,45740,,,'')&lt;/Q&gt;&lt;R&gt;1&lt;/R&gt;&lt;C&gt;1&lt;/C&gt;&lt;D xsi:type="xsd:double"&gt;6969&lt;/D&gt;&lt;/FQL&gt;&lt;FQL&gt;&lt;Q&gt;Ticker0024^FE_ESTIMATE(PRODLINE_SALES_15,MEAN,QUARTERLY_ROLL,2016/3F,45740,,,'')&lt;/Q&gt;&lt;R&gt;1&lt;/R&gt;&lt;C&gt;1&lt;/C&gt;&lt;D xsi:type="xsd:double"&gt;6522&lt;/D&gt;&lt;/FQL&gt;&lt;FQL&gt;&lt;Q&gt;Ticker0024^FE_ESTIMATE(PRODLINE_SALES_15,MEAN,QUARTERLY_ROLL,2016/2F,45740,,,'')&lt;/Q&gt;&lt;R&gt;1&lt;/R&gt;&lt;C&gt;1&lt;/C&gt;&lt;D xsi:type="xsd:double"&gt;6690&lt;/D&gt;&lt;/FQL&gt;&lt;FQL&gt;&lt;Q&gt;Ticker0024^FE_ESTIMATE(PRODLINE_SALES_15,MEAN,QUARTERLY_ROLL,2016/1F,45740,,,'')&lt;/Q&gt;&lt;R&gt;1&lt;/R&gt;&lt;C&gt;1&lt;/C&gt;&lt;D xsi:type="xsd:double"&gt;6306&lt;/D&gt;&lt;/FQL&gt;&lt;FQL&gt;&lt;Q&gt;Ticker0024^FE_ESTIMATE(PRODLINE_SALES_15,MEAN,ANNUAL_ROLL,2015,45740,,,'')&lt;/Q&gt;&lt;R&gt;0&lt;/R&gt;&lt;C&gt;0&lt;/C&gt;&lt;/FQL&gt;&lt;FQL&gt;&lt;Q&gt;Ticker0024^FE_ESTIMATE(PRODLINE_SALES_15,MEAN,QUARTERLY_ROLL,2015/4F,45740,,,'')&lt;/Q&gt;&lt;R&gt;0&lt;/R&gt;&lt;C&gt;0&lt;/C&gt;&lt;/FQL&gt;&lt;FQL&gt;&lt;Q&gt;Ticker0024^FE_ESTIMATE(PRODLINE_SALES_15,MEAN,QUARTERLY_ROLL,2015/3F,45740,,,'')&lt;/Q&gt;&lt;R&gt;0&lt;/R&gt;&lt;C&gt;0&lt;/C&gt;&lt;/FQL&gt;&lt;FQL&gt;&lt;Q&gt;Ticker0024^FE_ESTIMATE(PRODLINE_SALES_15,MEAN,QUARTERLY_ROLL,2015/2F,45740,,,'')&lt;/Q&gt;&lt;R&gt;0&lt;/R&gt;&lt;C&gt;0&lt;/C&gt;&lt;/FQL&gt;&lt;FQL&gt;&lt;Q&gt;Ticker0024^FE_ESTIMATE(PRODLINE_SALES_15,MEAN,QUARTERLY_ROLL,2015/1F,45740,,,'')&lt;/Q&gt;&lt;R&gt;0&lt;/R&gt;&lt;C&gt;0&lt;/C&gt;&lt;/FQL&gt;&lt;FQL&gt;&lt;Q&gt;Ticker0024^FE_ESTIMATE(SPEC_NO_CHANGE_2,MEAN,ANNUAL_ROLL,2030,45769,,,'')&lt;/Q&gt;&lt;R&gt;0&lt;/R&gt;&lt;C&gt;0&lt;/C&gt;&lt;/FQL&gt;&lt;FQL&gt;&lt;Q&gt;Ticker0024^FE_ESTIMATE(SPEC_NO_CHANGE_2,MEAN,QUARTERLY_ROLL,2030/4F,45769,,,'')&lt;/Q&gt;&lt;R&gt;0&lt;/R&gt;&lt;C&gt;0&lt;/C&gt;&lt;/FQL&gt;&lt;FQL&gt;&lt;Q&gt;Ticker0024^FE_ESTIMATE(SPEC_NO_CHANGE_2,MEAN,QUARTERLY_ROLL,2030/3F,45769,,,'')&lt;/Q&gt;&lt;R&gt;0&lt;/R&gt;&lt;C&gt;0&lt;/C&gt;&lt;/FQL&gt;&lt;FQL&gt;&lt;Q&gt;Ticker0024^FE_ESTIMATE(SPEC_NO_CHANGE_2,MEAN,QUARTERLY_ROLL,2030/2F,45769,,,'')&lt;/Q&gt;&lt;R&gt;0&lt;/R&gt;&lt;C&gt;0&lt;/C&gt;&lt;/FQL&gt;&lt;FQL&gt;&lt;Q&gt;Ticker0024^FE_ESTIMATE(SPEC_NO_CHANGE_2,MEAN,QUARTERLY_ROLL,2030/1F,45769,,,'')&lt;/Q&gt;&lt;R&gt;0&lt;/R&gt;&lt;C&gt;0&lt;/C&gt;&lt;/FQL&gt;&lt;FQL&gt;&lt;Q&gt;Ticker0024^FE_ESTIMATE(SPEC_NO_CHANGE_2,MEAN,ANNUAL_ROLL,2029,45769,,,'')&lt;/Q&gt;&lt;R&gt;0&lt;/R&gt;&lt;C&gt;0&lt;/C&gt;&lt;/FQL&gt;&lt;FQL&gt;&lt;Q&gt;Ticker0024^FE_ESTIMATE(SPEC_NO_CHANGE_2,MEAN,QUARTERLY_ROLL,2029/4F,45769,,,'')&lt;/Q&gt;&lt;R&gt;0&lt;/R&gt;&lt;C&gt;0&lt;/C&gt;&lt;/FQL&gt;&lt;FQL&gt;&lt;Q&gt;Ticker0024^FE_ESTIMATE(SPEC_NO_CHANGE_2,MEAN,QUARTERLY_ROLL,2029/3F,45769,,,'')&lt;/Q&gt;&lt;R&gt;0&lt;/R&gt;&lt;C&gt;0&lt;/C&gt;&lt;/FQL&gt;&lt;FQL&gt;&lt;Q&gt;Ticker0024^FE_ESTIMATE(SPEC_NO_CHANGE_2,MEAN,QUARTERLY_ROLL,2029/2F,45769,,,'')&lt;/Q&gt;&lt;R&gt;0&lt;/R&gt;&lt;C&gt;0&lt;/C&gt;&lt;/FQL&gt;&lt;FQL&gt;&lt;Q&gt;Ticker0024^FE_ESTIMATE(SPEC_NO_CHANGE_2,MEAN,QUARTERLY_ROLL,2029/1F,45769,,,'')&lt;/Q&gt;&lt;R&gt;0&lt;/R&gt;&lt;C&gt;0&lt;/C&gt;&lt;/FQL&gt;&lt;FQL&gt;&lt;Q&gt;Ticker0024^FE_ESTIMATE(SPEC_NO_CHANGE_2,MEAN,ANNUAL_ROLL,2028,45769,,,'')&lt;/Q&gt;&lt;R&gt;1&lt;/R&gt;&lt;C&gt;1&lt;/C&gt;&lt;D xsi:type="xsd:double"&gt;24&lt;/D&gt;&lt;/FQL&gt;&lt;FQL&gt;&lt;Q&gt;Ticker0024^FE_ESTIMATE(SPEC_NO_CHANGE_2,MEAN,QUARTERLY_ROLL,2028/4F,45769,,,'')&lt;/Q&gt;&lt;R&gt;0&lt;/R&gt;&lt;C&gt;0&lt;/C&gt;&lt;/FQL&gt;&lt;FQL&gt;&lt;Q&gt;Ticker0024^FE_ESTIMATE(SPEC_NO_CHANGE_2,MEAN,QUARTERLY_ROLL,2028/3F,45769,,,'')&lt;/Q&gt;&lt;R&gt;0&lt;/R&gt;&lt;C&gt;0&lt;/C&gt;&lt;/FQL&gt;&lt;FQL&gt;&lt;Q&gt;Ticker0024^FE_ESTIMATE(SPEC_NO_CHANGE_2,MEAN,QUARTERLY_ROLL,2028/2F,45769,,,'')&lt;/Q&gt;&lt;R&gt;0&lt;/R&gt;&lt;C&gt;0&lt;/C&gt;&lt;/FQL&gt;&lt;FQL&gt;&lt;Q&gt;Ticker0024^FE_ESTIMATE(SPEC_NO_CHANGE_2,MEAN,QUARTERLY_ROLL,2028/1F,45769,,,'')&lt;/Q&gt;&lt;R&gt;0&lt;/R&gt;&lt;C&gt;0&lt;/C&gt;&lt;/FQL&gt;&lt;FQL&gt;&lt;Q&gt;Ticker0024^FE_ESTIMATE(SPEC_NO_CHANGE_2,MEAN,ANNUAL_ROLL,2027,45769,,,'')&lt;/Q&gt;&lt;R&gt;1&lt;/R&gt;&lt;C&gt;1&lt;/C&gt;&lt;D xsi:type="xsd:double"&gt;30&lt;/D&gt;&lt;/FQL&gt;&lt;FQL&gt;&lt;Q&gt;Ticker0024^FE_ESTIMATE(SPEC_NO_CHANGE_2,MEAN,QUARTERLY_ROLL,2027/4F,45769,,,'')&lt;/Q&gt;&lt;R&gt;0&lt;/R&gt;&lt;C&gt;0&lt;/C&gt;&lt;/FQL&gt;&lt;FQL&gt;&lt;Q&gt;Ticker0024^FE_ESTIMATE(SPEC_NO_CHANGE_2,MEAN,QUARTERLY_ROLL,2027/3F,45769,,,'')&lt;/Q&gt;&lt;R&gt;0&lt;/R&gt;&lt;C&gt;0&lt;/C&gt;&lt;/FQL&gt;&lt;FQL&gt;&lt;Q&gt;Ticker0024^FE_ESTIMATE(SPEC_NO_CHANGE_2,MEAN,QUARTERLY_ROLL,2027/2F,45769,,,'')&lt;/Q&gt;&lt;R&gt;0&lt;/R&gt;&lt;C&gt;0&lt;/C&gt;&lt;/FQL&gt;&lt;FQL&gt;&lt;Q&gt;Ticker0024^FE_ESTIMATE(SPEC_NO_CHANGE_2,MEAN,QUARTERLY_ROLL,2027/1F,45769,,,'')&lt;/Q&gt;&lt;R&gt;0&lt;/R&gt;&lt;C&gt;0&lt;/C&gt;&lt;/FQL&gt;&lt;FQL&gt;&lt;Q&gt;Ticker0024^FE_ESTIMATE(SPEC_NO_CHANGE_2,MEAN,ANNUAL_ROLL,2026,45769,,,'')&lt;/Q&gt;&lt;R&gt;1&lt;/R&gt;&lt;C&gt;1&lt;/C&gt;&lt;D xsi:type="xsd:double"&gt;31.433332&lt;/D&gt;&lt;/FQL&gt;&lt;FQL&gt;&lt;Q&gt;Ticker0024^FE_ESTIMATE(SPEC_NO_CHANGE_2,MEAN,QUARTERLY_ROLL,2026/4F,45769,,,'')&lt;/Q&gt;&lt;R&gt;1&lt;/R&gt;&lt;C&gt;1&lt;/C&gt;&lt;D xsi:type="xsd:double"&gt;30.933332&lt;/D&gt;&lt;/FQL&gt;&lt;FQL&gt;&lt;Q&gt;Ticker0024^FE_ESTIMATE(SPEC_NO_CHANGE_2,MEAN,QUARTERLY_ROLL,2026/3F,45769,,,'')&lt;/Q&gt;&lt;R&gt;1&lt;/R&gt;&lt;C&gt;1&lt;/C&gt;&lt;D xsi:type="xsd:double"&gt;31.833334&lt;/D&gt;&lt;/FQL&gt;&lt;FQL&gt;&lt;Q&gt;Ticker0024^FE_ESTIMATE(SPEC_NO_CHANGE_2,MEAN,QUARTERLY_ROLL,2026/2F,45769,,,'')&lt;/Q&gt;&lt;R&gt;1&lt;/R&gt;&lt;C&gt;1&lt;/C&gt;&lt;D xsi:type="xsd:double"&gt;31.125&lt;/D&gt;&lt;/FQL&gt;&lt;FQL&gt;&lt;Q&gt;Ticker0024^FE_ESTIMATE(SPEC_NO_CHANGE_2,MEAN,QUARTERLY_ROLL,2026/1F,45769,,,'')&lt;/Q&gt;&lt;R&gt;1&lt;/R&gt;&lt;C&gt;1&lt;/C&gt;&lt;D xsi:type="xsd:double"&gt;31.875&lt;/D&gt;&lt;/FQL&gt;&lt;FQL&gt;&lt;Q&gt;Ticker0024^FE_ESTIMATE(SPEC_NO_CHANGE_2,MEAN,ANNUAL_ROLL,2025,45769,,,'')&lt;/Q&gt;&lt;R&gt;1&lt;/R&gt;&lt;C&gt;1&lt;/C&gt;&lt;D xsi:type="xsd:double"&gt;31.666666&lt;/D&gt;&lt;/FQL&gt;&lt;FQL&gt;&lt;Q&gt;Ticker0024^FE_ESTIMATE(SPEC_NO_CHANGE_2,MEAN,QUARTERLY_ROLL,2025/4F,45769,,,'')&lt;/Q&gt;&lt;R&gt;1&lt;/R&gt;&lt;C&gt;1&lt;/C&gt;&lt;D xsi:type="xsd:double"&gt;31.716667&lt;/D&gt;&lt;/FQL&gt;&lt;FQL&gt;&lt;Q&gt;Ticker0024^FE_ESTIMATE(SPEC_NO_CHANGE_2,MEAN,QUARTERLY_ROLL,2025/3F,45769,,,'')&lt;/Q&gt;&lt;R&gt;1&lt;/R&gt;&lt;C&gt;1&lt;/C&gt;&lt;D xsi:type="xsd:double"&gt;31.383333&lt;/D&gt;&lt;/FQL&gt;&lt;FQL&gt;&lt;Q&gt;Ticker0024^FE_ESTIMATE(SPEC_NO_CHANGE_2,MEAN,QUARTERLY_ROLL,2025/2F,45769,,,'')&lt;/Q&gt;&lt;R&gt;1&lt;/R&gt;&lt;C&gt;1&lt;/C&gt;&lt;D xsi:type="xsd:double"&gt;31&lt;/D&gt;&lt;/FQL&gt;&lt;FQL&gt;&lt;Q&gt;Ticker0024^FE_ESTIMATE(SPEC_NO_CHANGE_2,MEAN,QUARTERLY_ROLL,2025/1F,45769,,,'')&lt;/Q&gt;&lt;R&gt;1&lt;/R&gt;&lt;C&gt;1&lt;/C&gt;&lt;D xsi:type="xsd:double"&gt;34&lt;/D&gt;&lt;/FQL&gt;&lt;FQL&gt;&lt;Q&gt;Ticker0024^FE_ESTIMATE(SPEC_NO_CHANGE_2,MEAN,ANNUAL_ROLL,2024,45769,,,'')&lt;/Q&gt;&lt;R&gt;1&lt;/R&gt;&lt;C&gt;1&lt;/C&gt;&lt;D xsi:type="xsd:double"&gt;29.14&lt;/D&gt;&lt;/FQL&gt;&lt;FQL&gt;&lt;Q&gt;Ticker0024^FE_ESTIMATE(SPEC_NO_CHANGE_2,MEAN,QUARTERLY_ROLL,2024/4F,45769,,,'')&lt;/Q&gt;&lt;R&gt;1&lt;/R&gt;&lt;C&gt;1&lt;/C&gt;&lt;D xsi:type="xsd:double"&gt;30&lt;/D&gt;&lt;/FQL&gt;&lt;FQL&gt;&lt;Q&gt;Ticker0024^FE_ESTIMATE(SPEC_NO_CHANGE_2,MEAN,QUARTERLY_ROLL,2024/3F,45769,,,'')&lt;/Q&gt;&lt;R&gt;1&lt;/R&gt;&lt;C&gt;1&lt;/C&gt;&lt;D xsi:type="xsd:double"&gt;31&lt;/D&gt;&lt;/FQL&gt;&lt;FQL&gt;&lt;Q&gt;Ticker0024^FE_ESTIMATE(SPEC_NO_CHANGE_2,MEAN,QUARTERLY_ROLL,2024/2F,45769,,,'')&lt;/Q&gt;&lt;R&gt;1&lt;/R&gt;&lt;C&gt;1&lt;/C&gt;&lt;D xsi:type="xsd:double"&gt;28&lt;/D&gt;&lt;/FQL&gt;&lt;FQL&gt;&lt;Q&gt;Ticker0024^FE_ESTIMATE(SPEC_NO_CHANGE_2,MEAN,QUARTERLY_ROLL,2024/1F,45769,,,'')&lt;/Q&gt;&lt;R&gt;1&lt;/R&gt;&lt;C&gt;1&lt;/C&gt;&lt;D xsi:type="xsd:double"&gt;28.1&lt;/D&gt;&lt;/FQL&gt;&lt;FQL&gt;&lt;Q&gt;Ticker0024^FE_ESTIMATE(SPEC_NO_CHANGE_2,MEAN,ANNUAL_ROLL,2023,45769,,,'')&lt;/Q&gt;&lt;R&gt;1&lt;/R&gt;&lt;C&gt;1&lt;/C&gt;&lt;D xsi:type="xsd:double"&gt;34&lt;/D&gt;&lt;/FQL&gt;&lt;FQL&gt;&lt;Q&gt;Ticker0024^FE_ESTIMATE(SPEC_NO_CHANGE_2,MEAN,QUARTERLY_ROLL,2023/4F,45769,,,'')&lt;/Q&gt;&lt;R&gt;1&lt;/R&gt;&lt;C&gt;1&lt;/C&gt;&lt;D xsi:type="xsd:double"&gt;27&lt;/D&gt;&lt;/FQL&gt;&lt;FQL&gt;&lt;Q&gt;Ticker0024^FE_ESTIMATE(SPEC_NO_CHANGE_2,MEAN,QUARTERLY_ROLL,2023/3F,45769,,,'')&lt;/Q&gt;&lt;R&gt;1&lt;/R&gt;&lt;C&gt;1&lt;/C&gt;&lt;D xsi:type="xsd:double"&gt;31&lt;/D&gt;&lt;/FQL&gt;&lt;FQL&gt;&lt;Q&gt;Ticker0024^FE_ESTIMATE(SPEC_NO_CHANGE_2,MEAN,QUARTERLY_ROLL,2023/2F,45769,,,'')&lt;/Q&gt;&lt;R&gt;1&lt;/R&gt;&lt;C&gt;1&lt;/C&gt;&lt;D xsi:type="xsd:double"&gt;38&lt;/D&gt;&lt;/FQL&gt;&lt;FQL&gt;&lt;Q&gt;Ticker0024^FE_ESTIMATE(SPEC_NO_CHANGE_2,MEAN,QUARTERLY_ROLL,2023/1F,45769,,,'')&lt;/Q&gt;&lt;R&gt;1&lt;/R&gt;&lt;C&gt;1&lt;/C&gt;&lt;D xsi:type="xsd:double"&gt;42&lt;/D&gt;&lt;/FQL&gt;&lt;FQL&gt;&lt;Q&gt;Ticker0024^FE_ESTIMATE(SPEC_NO_CHANGE_2,MEAN,ANNUAL_ROLL,2022,45769,,,'')&lt;/Q&gt;&lt;R&gt;1&lt;/R&gt;&lt;C&gt;1&lt;/C&gt;&lt;D xsi:type="xsd:double"&gt;47.05&lt;/D&gt;&lt;/FQL&gt;&lt;FQL&gt;&lt;Q&gt;Ticker0024^FE_ESTIMATE(SPEC_NO_CHANGE_2,MEAN,QUARTERLY_ROLL,2022/4F,45769,,,'')&lt;/Q&gt;&lt;R&gt;1&lt;/R&gt;&lt;C&gt;1&lt;/C&gt;&lt;D xsi:type="xsd:double"&gt;46&lt;/D&gt;&lt;/FQL&gt;&lt;FQL&gt;&lt;Q&gt;Ticker0024^FE_ESTIMATE(SPEC_NO_CHANGE_2,MEAN,QUARTERLY_ROLL,2022/3F,45769,,,'')&lt;/Q&gt;&lt;R&gt;0&lt;/R&gt;&lt;C&gt;0&lt;/C&gt;&lt;/FQL&gt;&lt;FQL&gt;&lt;Q&gt;Ticker0024^FE_ESTIMATE(SPEC_NO_CHANGE_2,MEAN,QUARTERLY_ROLL,2022/2F,45769,,,'')&lt;/Q&gt;&lt;R&gt;0&lt;/R&gt;&lt;C&gt;0&lt;/C&gt;&lt;/FQL&gt;&lt;FQL&gt;&lt;Q&gt;Ticker0024^FE_ESTIMATE(SPEC_NO_CHANGE_2,MEAN,QUARTERLY_ROLL,2022/1F,45769,,,'')&lt;/Q&gt;&lt;R&gt;0&lt;/R&gt;&lt;C&gt;0&lt;/C&gt;&lt;/FQL&gt;&lt;FQL&gt;&lt;Q&gt;Ticker0024^FE_ESTIMATE(SPEC_NO_CHANGE_2,MEAN,ANNUAL_ROLL,2021,45769,,,'')&lt;/Q&gt;&lt;R&gt;0&lt;/R&gt;&lt;C&gt;0&lt;/C&gt;&lt;/FQL&gt;&lt;FQL&gt;&lt;Q&gt;Ticker0024^FE_ESTIMATE(SPEC_NO_CHANGE_2,MEAN,QUARTERLY_ROLL,2021/4F,45769,,,'')&lt;/Q&gt;&lt;R&gt;0&lt;/R&gt;&lt;C&gt;0&lt;/C&gt;&lt;/FQL&gt;&lt;FQL&gt;&lt;Q&gt;Ticker0024^FE_ESTIMATE(SPEC_NO_CHANGE_2,MEAN,QUARTERLY_ROLL,2021/3F,45769,,,'')&lt;/Q&gt;&lt;R&gt;1&lt;/R&gt;&lt;C&gt;1&lt;/C&gt;&lt;D xsi:type="xsd:double"&gt;46&lt;/D&gt;&lt;/FQL&gt;&lt;FQL&gt;&lt;Q&gt;Ticker0024^FE_ESTIMATE(SPEC_NO_CHANGE_2,MEAN,QUARTERLY_ROLL,2021/2F,45769,,,'')&lt;/Q&gt;&lt;R&gt;0&lt;/R&gt;&lt;C&gt;0&lt;/C&gt;&lt;/FQL&gt;&lt;FQL&gt;&lt;Q&gt;Ticker0024^FE_ESTIMATE(SPEC_NO_CHANGE_2,MEAN,QUARTERLY_ROLL,2021/1F,45769,,,'')&lt;/Q&gt;&lt;R&gt;0&lt;/R&gt;&lt;C&gt;0&lt;/C&gt;&lt;/FQL&gt;&lt;FQL&gt;&lt;Q&gt;Ticker0024^FE_ESTIMATE(SPEC_NO_CHANGE_2,MEAN,ANNUAL_ROLL,2020,45769,,,'')&lt;/Q&gt;&lt;R&gt;0&lt;/R&gt;&lt;C&gt;0&lt;/C&gt;&lt;/FQL&gt;&lt;FQL&gt;&lt;Q&gt;Ticker0024^FE_ESTIMATE(SPEC_NO_CHANGE_2,MEAN,QUARTERLY_ROLL,2020/4F,45769,,,'')&lt;/Q&gt;&lt;R&gt;0&lt;/R&gt;&lt;C&gt;0&lt;/C&gt;&lt;/FQL&gt;&lt;FQL&gt;&lt;Q&gt;Ticker0024^FE_ESTIMATE(SPEC_NO_CHANGE_2,MEAN,QUARTERLY_ROLL,2020/3F,45769,,,'')&lt;/Q&gt;&lt;R&gt;0&lt;/R&gt;&lt;C&gt;0&lt;/C&gt;&lt;/FQL&gt;&lt;FQL&gt;&lt;Q&gt;Ticker0024^FE_ESTIMATE(SPEC_NO_CHANGE_2,MEAN,QUARTERLY_ROLL,2020/2F,45769,,,'')&lt;/Q&gt;&lt;R&gt;0&lt;/R&gt;&lt;C&gt;0&lt;/C&gt;&lt;/FQL&gt;&lt;FQL&gt;&lt;Q&gt;Ticker0024^FE_ESTIMATE(SPEC_NO_CHANGE_2,MEAN,QUARTERLY_ROLL,2020/1F,45769,,,'')&lt;/Q&gt;&lt;R&gt;0&lt;/R&gt;&lt;C&gt;0&lt;/C&gt;&lt;/FQL&gt;&lt;FQL&gt;&lt;Q&gt;Ticker0024^FE_ESTIMATE(SPEC_NO_CHANGE_2,MEAN,ANNUAL_ROLL,2019,45769,,,'')&lt;/Q&gt;&lt;R&gt;0&lt;/R&gt;&lt;C&gt;0&lt;/C&gt;&lt;/FQL&gt;&lt;FQL&gt;&lt;Q&gt;Ticker0024^FE_ESTIMATE(SPEC_NO_CHANGE_2,MEAN,QUARTERLY_ROLL,2019/4F,45769,,,'')&lt;/Q&gt;&lt;R&gt;0&lt;/R&gt;&lt;C&gt;0&lt;/C&gt;&lt;/FQL&gt;&lt;FQL&gt;&lt;Q&gt;Ticker0024^FE_ESTIMATE(SPEC_NO_CHANGE_2,MEAN,QUARTERLY_ROLL,2019/3F,45769,,,'')&lt;/Q&gt;&lt;R&gt;0&lt;/R&gt;&lt;C&gt;0&lt;/C&gt;&lt;/FQL&gt;&lt;FQL&gt;&lt;Q&gt;Ticker0024^FE_ESTIMATE(SPEC_NO_CHANGE_2,MEAN,QUARTERLY_ROLL,2019/2F,45769,,,'')&lt;/Q&gt;&lt;R&gt;0&lt;/R&gt;&lt;C&gt;0&lt;/C&gt;&lt;/FQL&gt;&lt;FQL&gt;&lt;Q&gt;Ticker0024^FE_ESTIMATE(SPEC_NO_CHANGE_2,MEAN,QUARTERLY_ROLL,2019/1F,45769,,,'')&lt;/Q&gt;&lt;R&gt;0&lt;/R&gt;&lt;C&gt;0&lt;/C&gt;&lt;/FQL&gt;&lt;FQL&gt;&lt;Q&gt;Ticker0024^FE_ESTIMATE(SPEC_NO_CHANGE_2,MEAN,ANNUAL_ROLL,2018,45769,,,'')&lt;/Q&gt;&lt;R&gt;0&lt;/R&gt;&lt;C&gt;0&lt;/C&gt;&lt;/FQL&gt;&lt;FQL&gt;&lt;Q&gt;Ticker0024^FE_ESTIMATE(SPEC_NO_CHANGE_2,MEAN,QUARTERLY_ROLL,2018/4F,45769,,,'')&lt;/Q&gt;&lt;R&gt;0&lt;/R&gt;&lt;C&gt;0&lt;/C&gt;&lt;/FQL&gt;&lt;FQL&gt;&lt;Q&gt;Ticker0024^FE_ESTIMATE(SPEC_NO_CHANGE_2,MEAN,QUARTERLY_ROLL,2018/3F,45769,,,'')&lt;/Q&gt;&lt;R&gt;0&lt;/R&gt;&lt;C&gt;0&lt;/C&gt;&lt;/FQL&gt;&lt;FQL&gt;&lt;Q&gt;Ticker0024^FE_ESTIMATE(SPEC_NO_CHANGE_2,MEAN,QUARTERLY_ROLL,2018/2F,45769,,,'')&lt;/Q&gt;&lt;R&gt;0&lt;/R&gt;&lt;C&gt;0&lt;/C&gt;&lt;/FQL&gt;&lt;FQL&gt;&lt;Q&gt;Ticker0024^FE_ESTIMATE(SPEC_NO_CHANGE_2,MEAN,QUARTERLY_ROLL,2018/1F,45769,,,'')&lt;/Q&gt;&lt;R&gt;0&lt;/R&gt;&lt;C&gt;0&lt;/C&gt;&lt;/FQL&gt;&lt;FQL&gt;&lt;Q&gt;Ticker0024^FE_ESTIMATE(SPEC_NO_CHANGE_2,MEAN,ANNUAL_ROLL,2017,45769,,,'')&lt;/Q&gt;&lt;R&gt;0&lt;/R&gt;&lt;C&gt;0&lt;/C&gt;&lt;/FQL&gt;&lt;FQL&gt;&lt;Q&gt;Ticker0024^FE_ESTIMATE(SPEC_NO_CHANGE_2,MEAN,QUARTERLY_ROLL,2017/4F,45769,,,'')&lt;/Q&gt;&lt;R&gt;0&lt;/R&gt;&lt;C&gt;0&lt;/C&gt;&lt;/FQL&gt;&lt;FQL&gt;&lt;Q&gt;Ticker0024^FE_ESTIMATE(SPEC_NO_CHANGE_2,MEAN,QUARTERLY_ROLL,2017/3F,45769,,,'')&lt;/Q&gt;&lt;R&gt;0&lt;/R&gt;&lt;C&gt;0&lt;/C&gt;&lt;/FQL&gt;&lt;FQL&gt;&lt;Q&gt;Ticker0024^FE_ESTIMATE(SPEC_NO_CHANGE_2,MEAN,QUARTERLY_ROLL,2017/2F,45769,,,'')&lt;/Q&gt;&lt;R&gt;0&lt;/R&gt;&lt;C&gt;0&lt;/C&gt;&lt;/FQL&gt;&lt;FQL&gt;&lt;Q&gt;Ticker0024^FE_ESTIMATE(SPEC_NO_CHANGE_2,MEAN,QUARTERLY_ROLL,2017/1F,45769,,,'')&lt;/Q&gt;&lt;R&gt;0&lt;/R&gt;&lt;C&gt;0&lt;/C&gt;&lt;/FQL&gt;&lt;FQL&gt;&lt;Q&gt;Ticker0024^FE_ESTIMATE(SPEC_NO_CHANGE_2,MEAN,ANNUAL_ROLL,2016,45769,,,'')&lt;/Q&gt;&lt;R&gt;0&lt;/R&gt;&lt;C&gt;0&lt;/C&gt;&lt;/FQL&gt;&lt;FQL&gt;&lt;Q&gt;Ticker0024^FE_ESTIMATE(SPEC_NO_CHANGE_2,MEAN,QUARTERLY_ROLL,2016/4F,45769,,,'')&lt;/Q&gt;&lt;R&gt;0&lt;/R&gt;&lt;C&gt;0&lt;/C&gt;&lt;/FQL&gt;&lt;FQL&gt;&lt;Q&gt;Ticker0024^FE_ESTIMATE(SPEC_NO_CHANGE_2,MEAN,QUARTERLY_ROLL,2016/3F,45769,,,'')&lt;/Q&gt;&lt;R&gt;0&lt;/R&gt;&lt;C&gt;0&lt;/C&gt;&lt;/FQL&gt;&lt;FQL&gt;&lt;Q&gt;Ticker0024^FE_ESTIMATE(SPEC_NO_CHANGE_2,MEAN,QUARTERLY_ROLL,2016/2F,45769,,,'')&lt;/Q&gt;&lt;R&gt;0&lt;/R&gt;&lt;C&gt;0&lt;/C&gt;&lt;/FQL&gt;&lt;FQL&gt;&lt;Q&gt;Ticker0024^FE_ESTIMATE(SPEC_NO_CHANGE_2,MEAN,QUARTERLY_ROLL,2016/1F,45769,,,'')&lt;/Q&gt;&lt;R&gt;0&lt;/R&gt;&lt;C&gt;0&lt;/C&gt;&lt;/FQL&gt;&lt;FQL&gt;&lt;Q&gt;Ticker0024^FE_ESTIMATE(SPEC_NO_CHANGE_2,MEAN,ANNUAL_ROLL,2015,45769,,,'')&lt;/Q&gt;&lt;R&gt;0&lt;/R&gt;&lt;C&gt;0&lt;/C&gt;&lt;/FQL&gt;&lt;FQL&gt;&lt;Q&gt;Ticker0024^FE_ESTIMATE(SPEC_NO_CHANGE_2,MEAN,QUARTERLY_ROLL,2015/4F,45769,,,'')&lt;/Q&gt;&lt;R&gt;0&lt;/R&gt;&lt;C&gt;0&lt;/C&gt;&lt;/FQL&gt;&lt;FQL&gt;&lt;Q&gt;Ticker0024^FE_ESTIMATE(SPEC_NO_CHANGE_2,MEAN,QUARTERLY_ROLL,2015/3F,45769,,,'')&lt;/Q&gt;&lt;R&gt;0&lt;/R&gt;&lt;C&gt;0&lt;/C&gt;&lt;/FQL&gt;&lt;FQL&gt;&lt;Q&gt;Ticker0024^FE_ESTIMATE(SPEC_NO_CHANGE_2,MEAN,QUARTERLY_ROLL,2015/2F,45769,,,'')&lt;/Q&gt;&lt;R&gt;0&lt;/R&gt;&lt;C&gt;0&lt;/C&gt;&lt;/FQL&gt;&lt;FQL&gt;&lt;Q&gt;Ticker0024^FE_ESTIMATE(SPEC_NO_CHANGE_2,MEAN,QUARTERLY_ROLL,2015/1F,45769,,,'')&lt;/Q&gt;&lt;R&gt;0&lt;/R&gt;&lt;C&gt;0&lt;/C&gt;&lt;/FQL&gt;&lt;FQL&gt;&lt;Q&gt;Ticker0024^FE_ESTIMATE(SPEC_NO_CHANGE_1,MEAN,ANNUAL_ROLL,2030,45769,,,'')&lt;/Q&gt;&lt;R&gt;0&lt;/R&gt;&lt;C&gt;0&lt;/C&gt;&lt;/FQL&gt;&lt;FQL&gt;&lt;Q&gt;Ticker0024^FE_ESTIMATE(SPEC_NO_CHANGE_1,MEAN,QUARTERLY_ROLL,2030/4F,45769,,,'')&lt;/Q&gt;&lt;R&gt;0&lt;/R&gt;&lt;C&gt;0&lt;/C&gt;&lt;/FQL&gt;&lt;FQL&gt;&lt;Q&gt;Ticker0024^FE_ESTIMATE(SPEC_NO_CHANGE_1,MEAN,QUARTERLY_ROLL,2030/3F,45769,,,'')&lt;/Q&gt;&lt;R&gt;0&lt;/R&gt;&lt;C&gt;0&lt;/C&gt;&lt;/FQL&gt;&lt;FQL&gt;&lt;Q&gt;Ticker0024^FE_ESTIMATE(SPEC_NO_CHANGE_1,MEAN,QUARTERLY_ROLL,2030/2F,45769,,,'')&lt;/Q&gt;&lt;R&gt;0&lt;/R&gt;&lt;C&gt;0&lt;/C&gt;&lt;/FQL&gt;&lt;FQL&gt;&lt;Q&gt;Ticker0024^FE_ESTIMATE(SPEC_NO_CHANGE_1,MEAN,QUARTERLY_ROLL,2030/1F,45769,,,'')&lt;/Q&gt;&lt;R&gt;0&lt;/R&gt;&lt;C&gt;0&lt;/C&gt;&lt;/FQL&gt;&lt;FQL&gt;&lt;Q&gt;Ticker0024^FE_ESTIMATE(SPEC_NO_CHANGE_1,MEAN,ANNUAL_ROLL,2029,45769,,,'')&lt;/Q&gt;&lt;R&gt;0&lt;/R&gt;&lt;C&gt;0&lt;/C&gt;&lt;/FQL&gt;&lt;FQL&gt;&lt;Q&gt;Ticker0024^FE_ESTIMATE(SPEC_NO_CHANGE_1,MEAN,QUARTERLY_ROLL,2029/4F,45769,,,'')&lt;/Q&gt;&lt;R&gt;0&lt;/R&gt;&lt;C&gt;0&lt;/C&gt;&lt;/FQL&gt;&lt;FQL&gt;&lt;Q&gt;Ticker0024^FE_ESTIMATE(SPEC_NO_CHANGE_1,MEAN,QUARTERLY_ROLL,2029/3F,45769,,,'')&lt;/Q&gt;&lt;R&gt;0&lt;/R&gt;&lt;C&gt;0&lt;/C&gt;&lt;/FQL&gt;&lt;FQL&gt;&lt;Q&gt;Ticker0024^FE_ESTIMATE(SPEC_NO_CHANGE_1,MEAN,QUARTERLY_ROLL,2029/2F,45769,,,'')&lt;/Q&gt;&lt;R&gt;0&lt;/R&gt;&lt;C&gt;0&lt;/C&gt;&lt;/FQL&gt;&lt;FQL&gt;&lt;Q&gt;Ticker0024^FE_ESTIMATE(SPEC_NO_CHANGE_1,MEAN,QUARTERLY_ROLL,2029/1F,45769,,,'')&lt;/Q&gt;&lt;R&gt;0&lt;/R&gt;&lt;C&gt;0&lt;/C&gt;&lt;/FQL&gt;&lt;FQL&gt;&lt;Q&gt;Ticker0024^FE_ESTIMATE(SPEC_NO_CHANGE_1,MEAN,ANNUAL_ROLL,2028,45769,,,'')&lt;/Q&gt;&lt;R&gt;0&lt;/R&gt;&lt;C&gt;0&lt;/C&gt;&lt;/FQL&gt;&lt;FQL&gt;&lt;Q&gt;Ticker0024^FE_ESTIMATE(SPEC_NO_CHANGE_1,MEAN,QUARTERLY_ROLL,2028/4F,45769,,,'')&lt;/Q&gt;&lt;R&gt;0&lt;/R&gt;&lt;C&gt;0&lt;/C&gt;&lt;/FQL&gt;&lt;FQL&gt;&lt;Q&gt;Ticker0024^FE_ESTIMATE(SPEC_NO_CHANGE_1,MEAN,QUARTERLY_ROLL,2028/3F,45769,,,'')&lt;/Q&gt;&lt;R&gt;0&lt;/R&gt;&lt;C&gt;0&lt;/C&gt;&lt;/FQL&gt;&lt;FQL&gt;&lt;Q&gt;Ticker0024^FE_ESTIMATE(SPEC_NO_CHANGE_1,MEAN,QUARTERLY_ROLL,2028/2F,45769,,,'')&lt;/Q&gt;&lt;R&gt;0&lt;/R&gt;&lt;C&gt;0&lt;/C&gt;&lt;/FQL&gt;&lt;FQL&gt;&lt;Q&gt;Ticker0024^FE_ESTIMATE(SPEC_NO_CHANGE_1,MEAN,QUARTERLY_ROLL,2028/1F,45769,,,'')&lt;/Q&gt;&lt;R&gt;0&lt;/R&gt;&lt;C&gt;0&lt;/C&gt;&lt;/FQL&gt;&lt;FQL&gt;&lt;Q&gt;Ticker0024^FE_ESTIMATE(SPEC_NO_CHANGE_1,MEAN,ANNUAL_ROLL,2027,45769,,,'')&lt;/Q&gt;&lt;R&gt;0&lt;/R&gt;&lt;C&gt;0&lt;/C&gt;&lt;/FQL&gt;&lt;FQL&gt;&lt;Q&gt;Ticker0024^FE_ESTIMATE(SPEC_NO_CHANGE_1,MEAN,QUARTERLY_ROLL,2027/4F,45769,,,'')&lt;/Q&gt;&lt;R&gt;0&lt;/R&gt;&lt;C&gt;0&lt;/C&gt;&lt;/FQL&gt;&lt;FQL&gt;&lt;Q&gt;Ticker0024^FE_ESTIMATE(SPEC_NO_CHANGE_1,MEAN,QUARTERLY_ROLL,2027/3F,45769,,,'')&lt;/Q&gt;&lt;R&gt;0&lt;/R&gt;&lt;C&gt;0&lt;/C&gt;&lt;/FQL&gt;&lt;FQL&gt;&lt;Q&gt;Ticker0024^FE_ESTIMATE(SPEC_NO_CHANGE_1,MEAN,QUARTERLY_ROLL,2027/2F,45769,,,'')&lt;/Q&gt;&lt;R&gt;0&lt;/R&gt;&lt;C&gt;0&lt;/C&gt;&lt;/FQL&gt;&lt;FQL&gt;&lt;Q&gt;Ticker0024^FE_ESTIMATE(SPEC_NO_CHANGE_1,MEAN,QUARTERLY_ROLL,2027/1F,45769,,,'')&lt;/Q&gt;&lt;R&gt;0&lt;/R&gt;&lt;C&gt;0&lt;/C&gt;&lt;/FQL&gt;&lt;FQL&gt;&lt;Q&gt;Ticker0024^FE_ESTIMATE(SPEC_NO_CHANGE_1,MEAN,ANNUAL_ROLL,2026,45769,,,'')&lt;/Q&gt;&lt;R&gt;1&lt;/R&gt;&lt;C&gt;1&lt;/C&gt;&lt;D xsi:type="xsd:double"&gt;31.866667&lt;/D&gt;&lt;/FQL&gt;&lt;FQL&gt;&lt;Q&gt;Ticker0024^FE_ESTIMATE(SPEC_NO_CHANGE_1,MEAN,QUARTERLY_ROLL,2026/4F,45769,,,'')&lt;/Q&gt;&lt;R&gt;1&lt;/R&gt;&lt;C&gt;1&lt;/C&gt;&lt;D xsi:type="xsd:double"&gt;30.933332&lt;/D&gt;&lt;/FQL&gt;&lt;FQL&gt;&lt;Q&gt;Ticker0024^FE_ESTIMATE(SPEC_NO_CHANGE_1,MEAN,QUARTERLY_ROLL,2026/3F,45769,,,'')&lt;/Q&gt;&lt;R&gt;1&lt;/R&gt;&lt;C&gt;1&lt;/C&gt;&lt;D xsi:type="xsd:double"&gt;31.566668&lt;/D&gt;&lt;/FQL&gt;&lt;FQL&gt;&lt;Q&gt;Ticker0024^FE_ESTIMATE(SPEC_NO_CHANGE_1,MEAN,QUARTERLY_ROLL,2026/2F,45769,,,'')&lt;/Q&gt;&lt;R&gt;1&lt;/R&gt;&lt;C&gt;1&lt;/C&gt;&lt;D xsi:type="xsd:double"&gt;31.566668&lt;/D&gt;&lt;/FQL&gt;&lt;FQL&gt;&lt;Q&gt;Ticker0024^FE_ESTIMATE(SPEC_NO_CHANGE_1,MEAN,QUARTERLY_ROLL,2026/1F,45769,,,'')&lt;/Q&gt;&lt;R&gt;1&lt;/R&gt;&lt;C&gt;1&lt;/C&gt;&lt;D xsi:type="xsd:double"&gt;32.966667&lt;/D&gt;&lt;/FQL&gt;&lt;FQL&gt;&lt;Q&gt;Ticker0024^FE_ESTIMATE(SPEC_NO_CHANGE_1,MEAN,ANNUAL_ROLL,2025,45769,,,'')&lt;/Q&gt;&lt;R&gt;1&lt;/R&gt;&lt;C&gt;1&lt;/C&gt;&lt;D xsi:type="xsd:double"&gt;31.733334&lt;/D&gt;&lt;/FQL&gt;&lt;FQL&gt;&lt;Q&gt;Ticker0024^FE_ESTIMATE(SPEC_NO_CHANGE_1,MEAN,QUARTERLY_ROLL,2025/4F,45769,,,'')&lt;/Q&gt;&lt;R&gt;1&lt;/R&gt;&lt;C&gt;1&lt;/C&gt;&lt;D xsi:type="xsd:double"&gt;32.933334&lt;/D&gt;&lt;/FQL&gt;&lt;FQL&gt;&lt;Q&gt;Ticker0024^FE_ESTIMATE(SPEC_NO_CHANGE_1,MEAN,QUARTERLY_ROLL,2025/3F,45769,,,'')&lt;/Q&gt;&lt;R&gt;1&lt;/R&gt;&lt;C&gt;1&lt;/C&gt;&lt;D xsi:type="xsd:double"&gt;30.1&lt;/D&gt;&lt;/FQL&gt;&lt;FQL&gt;&lt;Q&gt;Ticker0024^FE_ESTIMATE(SPEC_NO_CHANGE_1,MEAN,QUARTERLY_ROLL,2025/2F,45769,,,'')&lt;/Q&gt;&lt;R&gt;1&lt;/R&gt;&lt;C&gt;1&lt;/C&gt;&lt;D xsi:type="xsd:double"&gt;31&lt;/D&gt;&lt;/FQL&gt;&lt;FQL&gt;&lt;Q&gt;Ticker0024^FE_ESTIMATE(SPEC_NO_CHANGE_1,MEAN,QUARTERLY_ROLL,2025/1F,45769,,,'')&lt;/Q&gt;&lt;R&gt;1&lt;/R&gt;&lt;C&gt;1&lt;/C&gt;&lt;D xsi:type="xsd:double"&gt;31.05&lt;/D&gt;&lt;/FQL&gt;&lt;FQL&gt;&lt;Q&gt;Ticker0024^FE_ESTIMATE(SPEC_NO_CHANGE_1,MEAN,ANNUAL_ROLL,2024,45769,,,'')&lt;/Q&gt;&lt;R&gt;1&lt;/R&gt;&lt;C&gt;1&lt;/C&gt;&lt;D xsi:type="xsd:double"&gt;29.966667&lt;/D&gt;&lt;/FQL&gt;&lt;FQL&gt;&lt;Q&gt;Ticker0024^FE_ESTIMATE(SPEC_NO_CHANGE_1,MEAN,QUARTERLY_ROLL,2024/4F,45769,,,'')&lt;/Q&gt;&lt;R&gt;1&lt;/R&gt;&lt;C&gt;1&lt;/C&gt;&lt;D xsi:type="xsd:double"&gt;28.933332&lt;/D&gt;&lt;/FQL&gt;&lt;FQL&gt;&lt;Q&gt;Ticker0024^FE_ESTIMATE(SPEC_NO_CHANGE_1,MEAN,QUARTERLY_ROLL,2024/3F,45769,,,'')&lt;/Q&gt;&lt;R&gt;1&lt;/R&gt;&lt;C&gt;1&lt;/C&gt;&lt;D xsi:type="xsd:double"&gt;31.02&lt;/D&gt;&lt;/FQL&gt;&lt;FQL&gt;&lt;Q&gt;Ticker0024^FE_ESTIMATE(SPEC_NO_CHANGE_1,MEAN,QUARTERLY_ROLL,2024/2F,45769,,,'')&lt;/Q&gt;&lt;R&gt;1&lt;/R&gt;&lt;C&gt;1&lt;/C&gt;&lt;D xsi:type="xsd:double"&gt;30.06&lt;/D&gt;&lt;/FQL&gt;&lt;FQL&gt;&lt;Q&gt;Ticker0024^FE_ESTIMATE(SPEC_NO_CHANGE_1,MEAN,QUARTERLY_ROLL,2024/1F,45769,,,'')&lt;/Q&gt;&lt;R&gt;1&lt;/R&gt;&lt;C&gt;1&lt;/C&gt;&lt;D xsi:type="xsd:double"&gt;29.066668&lt;/D&gt;&lt;/FQL&gt;&lt;FQL&gt;&lt;Q&gt;Ticker0024^FE_ESTIMATE(SPEC_NO_CHANGE_1,MEAN,ANNUAL_ROLL,2023,45769,,,'')&lt;/Q&gt;&lt;R&gt;1&lt;/R&gt;&lt;C&gt;1&lt;/C&gt;&lt;D xsi:type="xsd:double"&gt;29.166666&lt;/D&gt;&lt;/FQL&gt;&lt;FQL&gt;&lt;Q&gt;Ticker0024^FE_ESTIMATE(SPEC_NO_CHANGE_1,MEAN,QUARTERLY_ROLL,2023/4F,45769,,,'')&lt;/Q&gt;&lt;R&gt;1&lt;/R&gt;&lt;C&gt;1&lt;/C&gt;&lt;D xsi:type="xsd:double"&gt;25.916666&lt;/D&gt;&lt;/FQL&gt;&lt;FQL&gt;&lt;Q&gt;Ticker0024^FE_ESTIMATE(SPEC_NO_CHANGE_1,MEAN,QUARTERLY_ROLL,2023/3F,45769,,,'')&lt;/Q&gt;&lt;R&gt;1&lt;/R&gt;&lt;C&gt;1&lt;/C&gt;&lt;D xsi:type="xsd:double"&gt;27.766666&lt;/D&gt;&lt;/FQL&gt;&lt;FQL&gt;&lt;Q&gt;Ticker0024^FE_ESTIMATE(SPEC_NO_CHANGE_1,MEAN,QUARTERLY_ROLL,2023/2F,45769,,,'')&lt;/Q&gt;&lt;R&gt;1&lt;/R&gt;&lt;C&gt;1&lt;/C&gt;&lt;D xsi:type="xsd:double"&gt;31&lt;/D&gt;&lt;/FQL&gt;&lt;FQL&gt;&lt;Q&gt;Ticker0024^FE_ESTIMATE(SPEC_NO_CHANGE_1,MEAN,QUARTERLY_ROLL,2023/1F,45769,,,'')&lt;/Q&gt;&lt;R&gt;1&lt;/R&gt;&lt;C&gt;1&lt;/C&gt;&lt;D xsi:type="xsd:double"&gt;35&lt;/D&gt;&lt;/FQL&gt;&lt;FQL&gt;&lt;Q&gt;Ticker0024^FE_ESTIMATE(SPEC_NO_CHANGE_1,MEAN,ANNUAL_ROLL,2022,45769,,,'')&lt;/Q&gt;&lt;R&gt;1&lt;/R&gt;&lt;C&gt;1&lt;/C&gt;&lt;D xsi:type="xsd:double"&gt;45.05&lt;/D&gt;&lt;/FQL&gt;&lt;FQL&gt;&lt;Q&gt;Ticker0024^FE_ESTIMATE(SPEC_NO_CHANGE_1,MEAN,QUARTERLY_ROLL,2022/4F,45769,,,'')&lt;/Q&gt;&lt;R&gt;1&lt;/R&gt;&lt;C&gt;1&lt;/C&gt;&lt;D xsi:type="xsd:double"&gt;40&lt;/D&gt;&lt;/FQL&gt;&lt;FQL&gt;&lt;Q&gt;Ticker0024^FE_ESTIMATE(SPEC_NO_CHANGE_1,MEAN,QUARTERLY_ROLL,2022/3F,45769,,,'')&lt;/Q&gt;&lt;R&gt;1&lt;/R&gt;&lt;C&gt;1&lt;/C&gt;&lt;D xsi:type="xsd:double"&gt;46&lt;/D&gt;&lt;/FQL&gt;&lt;FQL&gt;&lt;Q&gt;Ticker0024^FE_ESTIMATE(SPEC_NO_CHANGE_1,MEAN,QUARTERLY_ROLL,2022/2F,45769,,,'')&lt;/Q&gt;&lt;R&gt;1&lt;/R&gt;&lt;C&gt;1&lt;/C&gt;&lt;D xsi:type="xsd:double"&gt;46&lt;/D&gt;&lt;/FQL&gt;&lt;FQL&gt;&lt;Q&gt;Ticker0024^FE_ESTIMATE(SPEC_NO_CHANGE_1,MEAN,QUARTERLY_ROLL,2022/1F,45769,,,'')&lt;/Q&gt;&lt;R&gt;1&lt;/R&gt;&lt;C&gt;1&lt;/C&gt;&lt;D xsi:type="xsd:double"&gt;50&lt;/D&gt;&lt;/FQL&gt;&lt;FQL&gt;&lt;Q&gt;Ticker0024^FE_ESTIMATE(SPEC_NO_CHANGE_1,MEAN,ANNUAL_ROLL,2021,45769,,,'')&lt;/Q&gt;&lt;R&gt;1&lt;/R&gt;&lt;C&gt;1&lt;/C&gt;&lt;D xsi:type="xsd:double"&gt;49.8&lt;/D&gt;&lt;/FQL&gt;&lt;FQL&gt;&lt;Q&gt;Ticker0024^FE_ESTIMATE(SPEC_NO_CHANGE_1,MEAN,QUARTERLY_ROLL,2021/4F,45769,,,'')&lt;/Q&gt;&lt;R&gt;1&lt;/R&gt;&lt;C&gt;1&lt;/C&gt;&lt;D xsi:type="xsd:double"&gt;51&lt;/D&gt;&lt;/FQL&gt;&lt;FQL&gt;&lt;Q&gt;Ticker0024^FE_ESTIMATE(SPEC_NO_CHANGE_1,MEAN,QUARTERLY_ROLL,2021/3F,45769,,,'')&lt;/Q&gt;&lt;R&gt;1&lt;/R&gt;&lt;C&gt;1&lt;/C&gt;&lt;D xsi:type="xsd:double"&gt;50&lt;/D&gt;&lt;/FQL&gt;&lt;FQL&gt;&lt;Q&gt;Ticker0024^FE_ESTIMATE(SPEC_NO_CHANGE_1,MEAN,QUARTERLY_ROLL,2021/2F,45769,,,'')&lt;/Q&gt;&lt;R&gt;1&lt;/R&gt;&lt;C&gt;1&lt;/C&gt;&lt;D xsi:type="xsd:double"&gt;50&lt;/D&gt;&lt;/FQL&gt;&lt;FQL&gt;&lt;Q&gt;Ticker0024^FE_ESTIMATE(SPEC_NO_CHANGE_1,MEAN,QUARTERLY_ROLL,2021/1F,45769,,,'')&lt;/Q&gt;&lt;R&gt;1&lt;/R&gt;&lt;C&gt;1&lt;/C&gt;&lt;D xsi:type="xsd:double"&gt;48&lt;/D&gt;&lt;/FQL&gt;&lt;FQL&gt;&lt;Q&gt;Ticker0024^FE_ESTIMATE(SPEC_NO_CHANGE_1,MEAN,ANNUAL_ROLL,2020,45769,,,'')&lt;/Q&gt;&lt;R&gt;0&lt;/R&gt;&lt;C&gt;0&lt;/C&gt;&lt;/FQL&gt;&lt;FQL&gt;&lt;Q&gt;Ticker0024^FE_ESTIMATE(SPEC_NO_CHANGE_1,MEAN,QUARTERLY_ROLL,2020/4F,45769,,,'')&lt;/Q&gt;&lt;R&gt;0&lt;/R&gt;&lt;C&gt;0&lt;/C&gt;&lt;/FQL&gt;&lt;FQL&gt;&lt;Q&gt;Ticker0024^FE_ESTIMATE(SPEC_NO_CHANGE_1,MEAN,QUARTERLY_ROLL,2020/3F,45769,,,'')&lt;/Q&gt;&lt;R&gt;0&lt;/R&gt;&lt;C&gt;0&lt;/C&gt;&lt;/FQL&gt;&lt;FQL&gt;&lt;Q&gt;Ticker0024^FE_ESTIMATE(SPEC_NO_CHANGE_1,MEAN,QUARTERLY_ROLL,2020/2F,45769,,,'')&lt;/Q&gt;&lt;R&gt;0&lt;/R&gt;&lt;C&gt;0&lt;/C&gt;&lt;/FQL&gt;&lt;FQL&gt;&lt;Q&gt;Ticker0024^FE_ESTIMATE(SPEC_NO_CHANGE_1,MEAN,QUARTERLY_ROLL,2020/1F,45769,,,'')&lt;/Q&gt;&lt;R&gt;0&lt;/R&gt;&lt;C&gt;0&lt;/C&gt;&lt;/FQL&gt;&lt;FQL&gt;&lt;Q&gt;Ticker0024^FE_ESTIMATE(SPEC_NO_CHANGE_1,MEAN,ANNUAL_ROLL,2019,45769,,,'')&lt;/Q&gt;&lt;R&gt;0&lt;/R&gt;&lt;C&gt;0&lt;/C&gt;&lt;/FQL&gt;&lt;FQL&gt;&lt;Q&gt;Ticker0024^FE_ESTIMATE(SPEC_NO_CHANGE_1,MEAN,QUARTERLY_ROLL,2019/4F,45769,,,'')&lt;/Q&gt;&lt;R&gt;0&lt;/R&gt;&lt;C&gt;0&lt;/C&gt;&lt;/FQL&gt;&lt;FQL&gt;&lt;Q&gt;Ticker0024^FE_ESTIMATE(SPEC_NO_CHANGE_1,MEAN,QUARTERLY_ROLL,2019/3F,45769,,,'')&lt;/Q&gt;&lt;R&gt;0&lt;/R&gt;&lt;C&gt;0&lt;/C&gt;&lt;/FQL&gt;&lt;FQL&gt;&lt;Q&gt;Ticker0024^FE_ESTIMATE(SPEC_NO_CHANGE_1,MEAN,QUARTERLY_ROLL,2019/2F,45769,,,'')&lt;/Q&gt;&lt;R&gt;0&lt;/R&gt;&lt;C&gt;0&lt;/C&gt;&lt;/FQL&gt;&lt;FQL&gt;&lt;Q&gt;Ticker0024^FE_ESTIMATE(SPEC_NO_CHANGE_1,MEAN,QUARTERLY_ROLL,2019/1F,45769,,,'')&lt;/Q&gt;&lt;R&gt;0&lt;/R&gt;&lt;C&gt;0&lt;/C&gt;&lt;/FQL&gt;&lt;FQL&gt;&lt;Q&gt;Ticker0024^FE_ESTIMATE(SPEC_NO_CHANGE_1,MEAN,ANNUAL_ROLL,2018,45769,,,'')&lt;/Q&gt;&lt;R&gt;0&lt;/R&gt;&lt;C&gt;0&lt;/C&gt;&lt;/FQL&gt;&lt;FQL&gt;&lt;Q&gt;Ticker0024^FE_ESTIMATE(SPEC_NO_CHANGE_1,MEAN,QUARTERLY_ROLL,2018/4F,45769,,,'')&lt;/Q&gt;&lt;R&gt;0&lt;/R&gt;&lt;C&gt;0&lt;/C&gt;&lt;/FQL&gt;&lt;FQL&gt;&lt;Q&gt;Ticker0024^FE_ESTIMATE(SPEC_NO_CHANGE_1,MEAN,QUARTERLY_ROLL,2018/3F,45769,,,'')&lt;/Q&gt;&lt;R&gt;0&lt;/R&gt;&lt;C&gt;0&lt;/C&gt;&lt;/FQL&gt;&lt;FQL&gt;&lt;Q&gt;Ticker0024^FE_ESTIMATE(SPEC_NO_CHANGE_1,MEAN,QUARTERLY_ROLL,2018/2F,45769,,,'')&lt;/Q&gt;&lt;R&gt;0&lt;/R&gt;&lt;C&gt;0&lt;/C&gt;&lt;/FQL&gt;&lt;FQL&gt;&lt;Q&gt;Ticker0024^FE_ESTIMATE(SPEC_NO_CHANGE_1,MEAN,QUARTERLY_ROLL,2018/1F,45769,,,'')&lt;/Q&gt;&lt;R&gt;0&lt;/R&gt;&lt;C&gt;0&lt;/C&gt;&lt;/FQL&gt;&lt;FQL&gt;&lt;Q&gt;Ticker0024^FE_ESTIMATE(SPEC_NO_CHANGE_1,MEAN,ANNUAL_ROLL,2017,45769,,,'')&lt;/Q&gt;&lt;R&gt;0&lt;/R&gt;&lt;C&gt;0&lt;/C&gt;&lt;/FQL&gt;&lt;FQL&gt;&lt;Q&gt;Ticker0024^FE_ESTIMATE(SPEC_NO_CHANGE_1,MEAN,QUARTERLY_ROLL,2017/4F,45769,,,'')&lt;/Q&gt;&lt;R&gt;0&lt;/R&gt;&lt;C&gt;0&lt;/C&gt;&lt;/FQL&gt;&lt;FQL&gt;&lt;Q&gt;Ticker0024^FE_ESTIMATE(SPEC_NO_CHANGE_1,MEAN,QUARTERLY_ROLL,2017/3F,45769,,,'')&lt;/Q&gt;&lt;R&gt;0&lt;/R&gt;&lt;C&gt;0&lt;/C&gt;&lt;/FQL&gt;&lt;FQL&gt;&lt;Q&gt;Ticker0024^FE_ESTIMATE(SPEC_NO_CHANGE_1,MEAN,QUARTERLY_ROLL,2017/2F,45769,,,'')&lt;/Q&gt;&lt;R&gt;0&lt;/R&gt;&lt;C&gt;0&lt;/C&gt;&lt;/FQL&gt;&lt;FQL&gt;&lt;Q&gt;Ticker0024^FE_ESTIMATE(SPEC_NO_CHANGE_1,MEAN,QUARTERLY_ROLL,2017/1F,45769,,,'')&lt;/Q&gt;&lt;R&gt;0&lt;/R&gt;&lt;C&gt;0&lt;/C&gt;&lt;/FQL&gt;&lt;FQL&gt;&lt;Q&gt;Ticker0024^FE_ESTIMATE(SPEC_NO_CHANGE_1,MEAN,ANNUAL_ROLL,2016,45769,,,'')&lt;/Q&gt;&lt;R&gt;0&lt;/R&gt;&lt;C&gt;0&lt;/C&gt;&lt;/FQL&gt;&lt;FQL&gt;&lt;Q&gt;Ticker0024^FE_ESTIMATE(SPEC_NO_CHANGE_1,MEAN,QUARTERLY_ROLL,2016/4F,45769,,,'')&lt;/Q&gt;&lt;R&gt;0&lt;/R&gt;&lt;C&gt;0&lt;/C&gt;&lt;/FQL&gt;&lt;FQL&gt;&lt;Q&gt;Ticker0024^FE_ESTIMATE(SPEC_NO_CHANGE_1,MEAN,QUARTERLY_ROLL,2016/3F,45769,,,'')&lt;/Q&gt;&lt;R&gt;0&lt;/R&gt;&lt;C&gt;0&lt;/C&gt;&lt;/FQL&gt;&lt;FQL&gt;&lt;Q&gt;Ticker0024^FE_ESTIMATE(SPEC_NO_CHANGE_1,MEAN,QUARTERLY_ROLL,2016/2F,45769,,,'')&lt;/Q&gt;&lt;R&gt;0&lt;/R&gt;&lt;C&gt;0&lt;/C&gt;&lt;/FQL&gt;&lt;FQL&gt;&lt;Q&gt;Ticker0024^FE_ESTIMATE(SPEC_NO_CHANGE_1,MEAN,QUARTERLY_ROLL,2016/1F,45769,,,'')&lt;/Q&gt;&lt;R&gt;0&lt;/R&gt;&lt;C&gt;0&lt;/C&gt;&lt;/FQL&gt;&lt;FQL&gt;&lt;Q&gt;Ticker0024^FE_ESTIMATE(SPEC_NO_CHANGE_1,MEAN,ANNUAL_ROLL,2015,45769,,,'')&lt;/Q&gt;&lt;R&gt;0&lt;/R&gt;&lt;C&gt;0&lt;/C&gt;&lt;/FQL&gt;&lt;FQL&gt;&lt;Q&gt;Ticker0024^FE_ESTIMATE(SPEC_NO_CHANGE_1,MEAN,QUARTERLY_ROLL,2015/4F,45769,,,'')&lt;/Q&gt;&lt;R&gt;0&lt;/R&gt;&lt;C&gt;0&lt;/C&gt;&lt;/FQL&gt;&lt;FQL&gt;&lt;Q&gt;Ticker0024^FE_ESTIMATE(SPEC_NO_CHANGE_1,MEAN,QUARTERLY_ROLL,2015/3F,45769,,,'')&lt;/Q&gt;&lt;R&gt;0&lt;/R&gt;&lt;C&gt;0&lt;/C&gt;&lt;/FQL&gt;&lt;FQL&gt;&lt;Q&gt;Ticker0024^FE_ESTIMATE(SPEC_NO_CHANGE_1,MEAN,QUARTERLY_ROLL,2015/2F,45769,,,'')&lt;/Q&gt;&lt;R&gt;0&lt;/R&gt;&lt;C&gt;0&lt;/C&gt;&lt;/FQL&gt;&lt;FQL&gt;&lt;Q&gt;Ticker0024^FE_ESTIMATE(SPEC_NO_CHANGE_1,MEAN,QUARTERLY_ROLL,2015/1F,45769,,,'')&lt;/Q&gt;&lt;R&gt;0&lt;/R&gt;&lt;C&gt;0&lt;/C&gt;&lt;/FQL&gt;&lt;FQL&gt;&lt;Q&gt;Ticker0024^FE_ESTIMATE(NEW_ORDERS_VALUE,MEAN,ANNUAL_ROLL,2030,45769,,,'')&lt;/Q&gt;&lt;R&gt;0&lt;/R&gt;&lt;C&gt;0&lt;/C&gt;&lt;/FQL&gt;&lt;FQL&gt;&lt;Q&gt;Ticker0024^FE_ESTIMATE(NEW_ORDERS_VALUE,MEAN,QUARTERLY_ROLL,2030/4F,45769,,,'')&lt;/Q&gt;&lt;R&gt;0&lt;/R&gt;&lt;C&gt;0&lt;/C&gt;&lt;/FQL&gt;&lt;FQL&gt;&lt;Q&gt;Ticker0024^FE_ESTIMATE(NEW_ORDERS_VALUE,MEAN,QUARTERLY_ROLL,2030/3F,45769,,,'')&lt;</t>
        </r>
      </text>
    </comment>
    <comment ref="A27" authorId="0" shapeId="0" xr:uid="{5EA59BB2-A5DD-4BDB-93C4-4A87392A29D6}">
      <text>
        <r>
          <rPr>
            <b/>
            <sz val="9"/>
            <color indexed="81"/>
            <rFont val="Tahoma"/>
            <family val="2"/>
          </rPr>
          <t>/Q&gt;&lt;R&gt;0&lt;/R&gt;&lt;C&gt;0&lt;/C&gt;&lt;/FQL&gt;&lt;FQL&gt;&lt;Q&gt;Ticker0024^FE_ESTIMATE(NEW_ORDERS_VALUE,MEAN,QUARTERLY_ROLL,2030/2F,45769,,,'')&lt;/Q&gt;&lt;R&gt;0&lt;/R&gt;&lt;C&gt;0&lt;/C&gt;&lt;/FQL&gt;&lt;FQL&gt;&lt;Q&gt;Ticker0024^FE_ESTIMATE(NEW_ORDERS_VALUE,MEAN,QUARTERLY_ROLL,2030/1F,45769,,,'')&lt;/Q&gt;&lt;R&gt;0&lt;/R&gt;&lt;C&gt;0&lt;/C&gt;&lt;/FQL&gt;&lt;FQL&gt;&lt;Q&gt;Ticker0024^FE_ESTIMATE(NEW_ORDERS_VALUE,MEAN,ANNUAL_ROLL,2029,45769,,,'')&lt;/Q&gt;&lt;R&gt;0&lt;/R&gt;&lt;C&gt;0&lt;/C&gt;&lt;/FQL&gt;&lt;FQL&gt;&lt;Q&gt;Ticker0024^FE_ESTIMATE(NEW_ORDERS_VALUE,MEAN,QUARTERLY_ROLL,2029/4F,45769,,,'')&lt;/Q&gt;&lt;R&gt;0&lt;/R&gt;&lt;C&gt;0&lt;/C&gt;&lt;/FQL&gt;&lt;FQL&gt;&lt;Q&gt;Ticker0024^FE_ESTIMATE(NEW_ORDERS_VALUE,MEAN,QUARTERLY_ROLL,2029/3F,45769,,,'')&lt;/Q&gt;&lt;R&gt;0&lt;/R&gt;&lt;C&gt;0&lt;/C&gt;&lt;/FQL&gt;&lt;FQL&gt;&lt;Q&gt;Ticker0024^FE_ESTIMATE(NEW_ORDERS_VALUE,MEAN,QUARTERLY_ROLL,2029/2F,45769,,,'')&lt;/Q&gt;&lt;R&gt;0&lt;/R&gt;&lt;C&gt;0&lt;/C&gt;&lt;/FQL&gt;&lt;FQL&gt;&lt;Q&gt;Ticker0024^FE_ESTIMATE(NEW_ORDERS_VALUE,MEAN,QUARTERLY_ROLL,2029/1F,45769,,,'')&lt;/Q&gt;&lt;R&gt;0&lt;/R&gt;&lt;C&gt;0&lt;/C&gt;&lt;/FQL&gt;&lt;FQL&gt;&lt;Q&gt;Ticker0024^FE_ESTIMATE(NEW_ORDERS_VALUE,MEAN,ANNUAL_ROLL,2028,45769,,,'')&lt;/Q&gt;&lt;R&gt;0&lt;/R&gt;&lt;C&gt;0&lt;/C&gt;&lt;/FQL&gt;&lt;FQL&gt;&lt;Q&gt;Ticker0024^FE_ESTIMATE(NEW_ORDERS_VALUE,MEAN,QUARTERLY_ROLL,2028/4F,45769,,,'')&lt;/Q&gt;&lt;R&gt;0&lt;/R&gt;&lt;C&gt;0&lt;/C&gt;&lt;/FQL&gt;&lt;FQL&gt;&lt;Q&gt;Ticker0024^FE_ESTIMATE(NEW_ORDERS_VALUE,MEAN,QUARTERLY_ROLL,2028/3F,45769,,,'')&lt;/Q&gt;&lt;R&gt;0&lt;/R&gt;&lt;C&gt;0&lt;/C&gt;&lt;/FQL&gt;&lt;FQL&gt;&lt;Q&gt;Ticker0024^FE_ESTIMATE(NEW_ORDERS_VALUE,MEAN,QUARTERLY_ROLL,2028/2F,45769,,,'')&lt;/Q&gt;&lt;R&gt;0&lt;/R&gt;&lt;C&gt;0&lt;/C&gt;&lt;/FQL&gt;&lt;FQL&gt;&lt;Q&gt;Ticker0024^FE_ESTIMATE(NEW_ORDERS_VALUE,MEAN,QUARTERLY_ROLL,2028/1F,45769,,,'')&lt;/Q&gt;&lt;R&gt;0&lt;/R&gt;&lt;C&gt;0&lt;/C&gt;&lt;/FQL&gt;&lt;FQL&gt;&lt;Q&gt;Ticker0024^FE_ESTIMATE(NEW_ORDERS_VALUE,MEAN,ANNUAL_ROLL,2027,45769,,,'')&lt;/Q&gt;&lt;R&gt;0&lt;/R&gt;&lt;C&gt;0&lt;/C&gt;&lt;/FQL&gt;&lt;FQL&gt;&lt;Q&gt;Ticker0024^FE_ESTIMATE(NEW_ORDERS_VALUE,MEAN,QUARTERLY_ROLL,2027/4F,45769,,,'')&lt;/Q&gt;&lt;R&gt;0&lt;/R&gt;&lt;C&gt;0&lt;/C&gt;&lt;/FQL&gt;&lt;FQL&gt;&lt;Q&gt;Ticker0024^FE_ESTIMATE(NEW_ORDERS_VALUE,MEAN,QUARTERLY_ROLL,2027/3F,45769,,,'')&lt;/Q&gt;&lt;R&gt;0&lt;/R&gt;&lt;C&gt;0&lt;/C&gt;&lt;/FQL&gt;&lt;FQL&gt;&lt;Q&gt;Ticker0024^FE_ESTIMATE(NEW_ORDERS_VALUE,MEAN,QUARTERLY_ROLL,2027/2F,45769,,,'')&lt;/Q&gt;&lt;R&gt;0&lt;/R&gt;&lt;C&gt;0&lt;/C&gt;&lt;/FQL&gt;&lt;FQL&gt;&lt;Q&gt;Ticker0024^FE_ESTIMATE(NEW_ORDERS_VALUE,MEAN,QUARTERLY_ROLL,2027/1F,45769,,,'')&lt;/Q&gt;&lt;R&gt;0&lt;/R&gt;&lt;C&gt;0&lt;/C&gt;&lt;/FQL&gt;&lt;FQL&gt;&lt;Q&gt;Ticker0024^FE_ESTIMATE(NEW_ORDERS_VALUE,MEAN,ANNUAL_ROLL,2026,45769,,,'')&lt;/Q&gt;&lt;R&gt;1&lt;/R&gt;&lt;C&gt;1&lt;/C&gt;&lt;D xsi:type="xsd:double"&gt;313347&lt;/D&gt;&lt;/FQL&gt;&lt;FQL&gt;&lt;Q&gt;Ticker0024^FE_ESTIMATE(NEW_ORDERS_VALUE,MEAN,QUARTERLY_ROLL,2026/4F,45769,,,'')&lt;/Q&gt;&lt;R&gt;0&lt;/R&gt;&lt;C&gt;0&lt;/C&gt;&lt;/FQL&gt;&lt;FQL&gt;&lt;Q&gt;Ticker0024^FE_ESTIMATE(NEW_ORDERS_VALUE,MEAN,QUARTERLY_ROLL,2026/3F,45769,,,'')&lt;/Q&gt;&lt;R&gt;0&lt;/R&gt;&lt;C&gt;0&lt;/C&gt;&lt;/FQL&gt;&lt;FQL&gt;&lt;Q&gt;Ticker0024^FE_ESTIMATE(NEW_ORDERS_VALUE,MEAN,QUARTERLY_ROLL,2026/2F,45769,,,'')&lt;/Q&gt;&lt;R&gt;0&lt;/R&gt;&lt;C&gt;0&lt;/C&gt;&lt;/FQL&gt;&lt;FQL&gt;&lt;Q&gt;Ticker0024^FE_ESTIMATE(NEW_ORDERS_VALUE,MEAN,QUARTERLY_ROLL,2026/1F,45769,,,'')&lt;/Q&gt;&lt;R&gt;0&lt;/R&gt;&lt;C&gt;0&lt;/C&gt;&lt;/FQL&gt;&lt;FQL&gt;&lt;Q&gt;Ticker0024^FE_ESTIMATE(NEW_ORDERS_VALUE,MEAN,ANNUAL_ROLL,2025,45769,,,'')&lt;/Q&gt;&lt;R&gt;1&lt;/R&gt;&lt;C&gt;1&lt;/C&gt;&lt;D xsi:type="xsd:double"&gt;282234&lt;/D&gt;&lt;/FQL&gt;&lt;FQL&gt;&lt;Q&gt;Ticker0024^FE_ESTIMATE(NEW_ORDERS_VALUE,MEAN,QUARTERLY_ROLL,2025/4F,45769,,,'')&lt;/Q&gt;&lt;R&gt;1&lt;/R&gt;&lt;C&gt;1&lt;/C&gt;&lt;D xsi:type="xsd:double"&gt;88306&lt;/D&gt;&lt;/FQL&gt;&lt;FQL&gt;&lt;Q&gt;Ticker0024^FE_ESTIMATE(NEW_ORDERS_VALUE,MEAN,QUARTERLY_ROLL,2025/3F,45769,,,'')&lt;/Q&gt;&lt;R&gt;1&lt;/R&gt;&lt;C&gt;1&lt;/C&gt;&lt;D xsi:type="xsd:double"&gt;74367&lt;/D&gt;&lt;/FQL&gt;&lt;FQL&gt;&lt;Q&gt;Ticker0024^FE_ESTIMATE(NEW_ORDERS_VALUE,MEAN,QUARTERLY_ROLL,2025/2F,45769,,,'')&lt;/Q&gt;&lt;R&gt;1&lt;/R&gt;&lt;C&gt;1&lt;/C&gt;&lt;D xsi:type="xsd:double"&gt;61988&lt;/D&gt;&lt;/FQL&gt;&lt;FQL&gt;&lt;Q&gt;Ticker0024^FE_ESTIMATE(NEW_ORDERS_VALUE,MEAN,QUARTERLY_ROLL,2025/1F,45769,,,'')&lt;/Q&gt;&lt;R&gt;0&lt;/R&gt;&lt;C&gt;0&lt;/C&gt;&lt;/FQL&gt;&lt;FQL&gt;&lt;Q&gt;Ticker0024^FE_ESTIMATE(NEW_ORDERS_VALUE,MEAN,ANNUAL_ROLL,2024,45769,,,'')&lt;/Q&gt;&lt;R&gt;0&lt;/R&gt;&lt;C&gt;0&lt;/C&gt;&lt;/FQL&gt;&lt;FQL&gt;&lt;Q&gt;Ticker0024^FE_ESTIMATE(NEW_ORDERS_VALUE,MEAN,QUARTERLY_ROLL,2024/4F,45769,,,'')&lt;/Q&gt;&lt;R&gt;0&lt;/R&gt;&lt;C&gt;0&lt;/C&gt;&lt;/FQL&gt;&lt;FQL&gt;&lt;Q&gt;Ticker0024^FE_ESTIMATE(NEW_ORDERS_VALUE,MEAN,QUARTERLY_ROLL,2024/3F,45769,,,'')&lt;/Q&gt;&lt;R&gt;0&lt;/R&gt;&lt;C&gt;0&lt;/C&gt;&lt;/FQL&gt;&lt;FQL&gt;&lt;Q&gt;Ticker0024^FE_ESTIMATE(NEW_ORDERS_VALUE,MEAN,QUARTERLY_ROLL,2024/2F,45769,,,'')&lt;/Q&gt;&lt;R&gt;0&lt;/R&gt;&lt;C&gt;0&lt;/C&gt;&lt;/FQL&gt;&lt;FQL&gt;&lt;Q&gt;Ticker0024^FE_ESTIMATE(NEW_ORDERS_VALUE,MEAN,QUARTERLY_ROLL,2024/1F,45769,,,'')&lt;/Q&gt;&lt;R&gt;0&lt;/R&gt;&lt;C&gt;0&lt;/C&gt;&lt;/FQL&gt;&lt;FQL&gt;&lt;Q&gt;Ticker0024^FE_ESTIMATE(NEW_ORDERS_VALUE,MEAN,ANNUAL_ROLL,2023,45769,,,'')&lt;/Q&gt;&lt;R&gt;1&lt;/R&gt;&lt;C&gt;1&lt;/C&gt;&lt;D xsi:type="xsd:double"&gt;217320&lt;/D&gt;&lt;/FQL&gt;&lt;FQL&gt;&lt;Q&gt;Ticker0024^FE_ESTIMATE(NEW_ORDERS_VALUE,MEAN,QUARTERLY_ROLL,2023/4F,45769,,,'')&lt;/Q&gt;&lt;R&gt;1&lt;/R&gt;&lt;C&gt;1&lt;/C&gt;&lt;D xsi:type="xsd:double"&gt;70401&lt;/D&gt;&lt;/FQL&gt;&lt;FQL&gt;&lt;Q&gt;Ticker0024^FE_ESTIMATE(NEW_ORDERS_VALUE,MEAN,QUARTERLY_ROLL,2023/3F,45769,,,'')&lt;/Q&gt;&lt;R&gt;1&lt;/R&gt;&lt;C&gt;1&lt;/C&gt;&lt;D xsi:type="xsd:double"&gt;52832&lt;/D&gt;&lt;/FQL&gt;&lt;FQL&gt;&lt;Q&gt;Ticker0024^FE_ESTIMATE(NEW_ORDERS_VALUE,MEAN,QUARTERLY_ROLL,2023/2F,45769,,,'')&lt;/Q&gt;&lt;R&gt;1&lt;/R&gt;&lt;C&gt;1&lt;/C&gt;&lt;D xsi:type="xsd:double"&gt;48484&lt;/D&gt;&lt;/FQL&gt;&lt;FQL&gt;&lt;Q&gt;Ticker0024^FE_ESTIMATE(NEW_ORDERS_VALUE,MEAN,QUARTERLY_ROLL,2023/1F,45769,,,'')&lt;/Q&gt;&lt;R&gt;1&lt;/R&gt;&lt;C&gt;1&lt;/C&gt;&lt;D xsi:type="xsd:double"&gt;45603&lt;/D&gt;&lt;/FQL&gt;&lt;FQL&gt;&lt;Q&gt;Ticker0024^FE_ESTIMATE(NEW_ORDERS_VALUE,MEAN,ANNUAL_ROLL,2022,45769,,,'')&lt;/Q&gt;&lt;R&gt;1&lt;/R&gt;&lt;C&gt;1&lt;/C&gt;&lt;D xsi:type="xsd:double"&gt;202537&lt;/D&gt;&lt;/FQL&gt;&lt;FQL&gt;&lt;Q&gt;Ticker0024^FE_ESTIMATE(NEW_ORDERS_VALUE,MEAN,QUARTERLY_ROLL,2022/4F,45769,,,'')&lt;/Q&gt;&lt;R&gt;1&lt;/R&gt;&lt;C&gt;1&lt;/C&gt;&lt;D xsi:type="xsd:double"&gt;63477&lt;/D&gt;&lt;/FQL&gt;&lt;FQL&gt;&lt;Q&gt;Ticker0024^FE_ESTIMATE(NEW_ORDERS_VALUE,MEAN,QUARTERLY_ROLL,2022/3F,45769,,,'')&lt;/Q&gt;&lt;R&gt;1&lt;/R&gt;&lt;C&gt;1&lt;/C&gt;&lt;D xsi:type="xsd:double"&gt;49387&lt;/D&gt;&lt;/FQL&gt;&lt;FQL&gt;&lt;Q&gt;Ticker0024^FE_ESTIMATE(NEW_ORDERS_VALUE,MEAN,QUARTERLY_ROLL,2022/2F,45769,,,'')&lt;/Q&gt;&lt;R&gt;1&lt;/R&gt;&lt;C&gt;1&lt;/C&gt;&lt;D xsi:type="xsd:double"&gt;47482&lt;/D&gt;&lt;/FQL&gt;&lt;FQL&gt;&lt;Q&gt;Ticker0024^FE_ESTIMATE(NEW_ORDERS_VALUE,MEAN,QUARTERLY_ROLL,2022/1F,45769,,,'')&lt;/Q&gt;&lt;R&gt;1&lt;/R&gt;&lt;C&gt;1&lt;/C&gt;&lt;D xsi:type="xsd:double"&gt;42191&lt;/D&gt;&lt;/FQL&gt;&lt;FQL&gt;&lt;Q&gt;Ticker0024^FE_ESTIMATE(NEW_ORDERS_VALUE,MEAN,ANNUAL_ROLL,2021,45769,,,'')&lt;/Q&gt;&lt;R&gt;1&lt;/R&gt;&lt;C&gt;1&lt;/C&gt;&lt;D xsi:type="xsd:double"&gt;173049&lt;/D&gt;&lt;/FQL&gt;&lt;FQL&gt;&lt;Q&gt;Ticker0024^FE_ESTIMATE(NEW_ORDERS_VALUE,MEAN,QUARTERLY_ROLL,2021/4F,45769,,,'')&lt;/Q&gt;&lt;R&gt;1&lt;/R&gt;&lt;C&gt;1&lt;/C&gt;&lt;D xsi:type="xsd:double"&gt;57579&lt;/D&gt;&lt;/FQL&gt;&lt;FQL&gt;&lt;Q&gt;Ticker0024^FE_ESTIMATE(NEW_ORDERS_VALUE,MEAN,QUARTERLY_ROLL,2021/3F,45769,,,'')&lt;/Q&gt;&lt;R&gt;1&lt;/R&gt;&lt;C&gt;1&lt;/C&gt;&lt;D xsi:type="xsd:double"&gt;40710.5&lt;/D&gt;&lt;/FQL&gt;&lt;FQL&gt;&lt;Q&gt;Ticker0024^FE_ESTIMATE(NEW_ORDERS_VALUE,MEAN,QUARTERLY_ROLL,2021/2F,45769,,,'')&lt;/Q&gt;&lt;R&gt;1&lt;/R&gt;&lt;C&gt;1&lt;/C&gt;&lt;D xsi:type="xsd:double"&gt;40158&lt;/D&gt;&lt;/FQL&gt;&lt;FQL&gt;&lt;Q&gt;Ticker0024^FE_ESTIMATE(NEW_ORDERS_VALUE,MEAN,QUARTERLY_ROLL,2021/1F,45769,,,'')&lt;/Q&gt;&lt;R&gt;1&lt;/R&gt;&lt;C&gt;1&lt;/C&gt;&lt;D xsi:type="xsd:double"&gt;34160.5&lt;/D&gt;&lt;/FQL&gt;&lt;FQL&gt;&lt;Q&gt;Ticker0024^FE_ESTIMATE(NEW_ORDERS_VALUE,MEAN,ANNUAL_ROLL,2020,45769,,,'')&lt;/Q&gt;&lt;R&gt;0&lt;/R&gt;&lt;C&gt;0&lt;/C&gt;&lt;/FQL&gt;&lt;FQL&gt;&lt;Q&gt;Ticker0024^FE_ESTIMATE(NEW_ORDERS_VALUE,MEAN,QUARTERLY_ROLL,2020/4F,45769,,,'')&lt;/Q&gt;&lt;R&gt;0&lt;/R&gt;&lt;C&gt;0&lt;/C&gt;&lt;/FQL&gt;&lt;FQL&gt;&lt;Q&gt;Ticker0024^FE_ESTIMATE(NEW_ORDERS_VALUE,MEAN,QUARTERLY_ROLL,2020/3F,45769,,,'')&lt;/Q&gt;&lt;R&gt;0&lt;/R&gt;&lt;C&gt;0&lt;/C&gt;&lt;/FQL&gt;&lt;FQL&gt;&lt;Q&gt;Ticker0024^FE_ESTIMATE(NEW_ORDERS_VALUE,MEAN,QUARTERLY_ROLL,2020/2F,45769,,,'')&lt;/Q&gt;&lt;R&gt;1&lt;/R&gt;&lt;C&gt;1&lt;/C&gt;&lt;D xsi:type="xsd:double"&gt;34101&lt;/D&gt;&lt;/FQL&gt;&lt;FQL&gt;&lt;Q&gt;Ticker0024^FE_ESTIMATE(NEW_ORDERS_VALUE,MEAN,QUARTERLY_ROLL,2020/1F,45769,,,'')&lt;/Q&gt;&lt;R&gt;1&lt;/R&gt;&lt;C&gt;1&lt;/C&gt;&lt;D xsi:type="xsd:double"&gt;29875&lt;/D&gt;&lt;/FQL&gt;&lt;FQL&gt;&lt;Q&gt;Ticker0024^FE_ESTIMATE(NEW_ORDERS_VALUE,MEAN,ANNUAL_ROLL,2019,45769,,,'')&lt;/Q&gt;&lt;R&gt;1&lt;/R&gt;&lt;C&gt;1&lt;/C&gt;&lt;D xsi:type="xsd:double"&gt;130329&lt;/D&gt;&lt;/FQL&gt;&lt;FQL&gt;&lt;Q&gt;Ticker0024^FE_ESTIMATE(NEW_ORDERS_VALUE,MEAN,QUARTERLY_ROLL,2019/4F,45769,,,'')&lt;/Q&gt;&lt;R&gt;1&lt;/R&gt;&lt;C&gt;1&lt;/C&gt;&lt;D xsi:type="xsd:double"&gt;42788&lt;/D&gt;&lt;/FQL&gt;&lt;FQL&gt;&lt;Q&gt;Ticker0024^FE_ESTIMATE(NEW_ORDERS_VALUE,MEAN,QUARTERLY_ROLL,2019/3F,45769,,,'')&lt;/Q&gt;&lt;R&gt;1&lt;/R&gt;&lt;C&gt;1&lt;/C&gt;&lt;D xsi:type="xsd:double"&gt;30622&lt;/D&gt;&lt;/FQL&gt;&lt;FQL&gt;&lt;Q&gt;Ticker0024^FE_ESTIMATE(NEW_ORDERS_VALUE,MEAN,QUARTERLY_ROLL,2019/2F,45769,,,'')&lt;/Q&gt;&lt;R&gt;1&lt;/R&gt;&lt;C&gt;1&lt;/C&gt;&lt;D xsi:type="xsd:double"&gt;30313&lt;/D&gt;&lt;/FQL&gt;&lt;FQL&gt;&lt;Q&gt;Ticker0024^FE_ESTIMATE(NEW_ORDERS_VALUE,MEAN,QUARTERLY_ROLL,2019/1F,45769,,,'')&lt;/Q&gt;&lt;R&gt;1&lt;/R&gt;&lt;C&gt;1&lt;/C&gt;&lt;D xsi:type="xsd:double"&gt;26606&lt;/D&gt;&lt;/FQL&gt;&lt;FQL&gt;&lt;Q&gt;Ticker0024^FE_ESTIMATE(NEW_ORDERS_VALUE,MEAN,ANNUAL_ROLL,2018,45769,,,'')&lt;/Q&gt;&lt;R&gt;1&lt;/R&gt;&lt;C&gt;1&lt;/C&gt;&lt;D xsi:type="xsd:double"&gt;116424&lt;/D&gt;&lt;/FQL&gt;&lt;FQL&gt;&lt;Q&gt;Ticker0024^FE_ESTIMATE(NEW_ORDERS_VALUE,MEAN,QUARTERLY_ROLL,2018/4F,45769,,,'')&lt;/Q&gt;&lt;R&gt;1&lt;/R&gt;&lt;C&gt;1&lt;/C&gt;&lt;D xsi:type="xsd:double"&gt;38850&lt;/D&gt;&lt;/FQL&gt;&lt;FQL&gt;&lt;Q&gt;Ticker0024^FE_ESTIMATE(NEW_ORDERS_VALUE,MEAN,QUARTERLY_ROLL,2018/3F,45769,,,'')&lt;/Q&gt;&lt;R&gt;1&lt;/R&gt;&lt;C&gt;1&lt;/C&gt;&lt;D xsi:type="xsd:double"&gt;26965&lt;/D&gt;&lt;/FQL&gt;&lt;FQL&gt;&lt;Q&gt;Ticker0024^FE_ESTIMATE(NEW_ORDERS_VALUE,MEAN,QUARTERLY_ROLL,2018/2F,45769,,,'')&lt;/Q&gt;&lt;R&gt;1&lt;/R&gt;&lt;C&gt;1&lt;/C&gt;&lt;D xsi:type="xsd:double"&gt;27823&lt;/D&gt;&lt;/FQL&gt;&lt;FQL&gt;&lt;Q&gt;Ticker0024^FE_ESTIMATE(NEW_ORDERS_VALUE,MEAN,QUARTERLY_ROLL,2018/1F,45769,,,'')&lt;/Q&gt;&lt;R&gt;1&lt;/R&gt;&lt;C&gt;1&lt;/C&gt;&lt;D xsi:type="xsd:double"&gt;22786&lt;/D&gt;&lt;/FQL&gt;&lt;FQL&gt;&lt;Q&gt;Ticker0024^FE_ESTIMATE(NEW_ORDERS_VALUE,MEAN,ANNUAL_ROLL,2017,45769,,,'')&lt;/Q&gt;&lt;R&gt;1&lt;/R&gt;&lt;C&gt;1&lt;/C&gt;&lt;D xsi:type="xsd:double"&gt;99926&lt;/D&gt;&lt;/FQL&gt;&lt;FQL&gt;&lt;Q&gt;Ticker0024^FE_ESTIMATE(NEW_ORDERS_VALUE,MEAN,QUARTERLY_ROLL,2017/4F,45769,,,'')&lt;/Q&gt;&lt;R&gt;1&lt;/R&gt;&lt;C&gt;1&lt;/C&gt;&lt;D xsi:type="xsd:double"&gt;32063.5&lt;/D&gt;&lt;/FQL&gt;&lt;FQL&gt;&lt;Q&gt;Ticker0024^FE_ESTIMATE(NEW_ORDERS_VALUE,MEAN,QUARTERLY_ROLL,2017/3F,45769,,,'')&lt;/Q&gt;&lt;R&gt;1&lt;/R&gt;&lt;C&gt;1&lt;/C&gt;&lt;D xsi:type="xsd:double"&gt;23144&lt;/D&gt;&lt;/FQL&gt;&lt;FQL&gt;&lt;Q&gt;Ticker0024^FE_ESTIMATE(NEW_ORDERS_VALUE,MEAN,QUARTERLY_ROLL,2017/2F,45769,,,'')&lt;/Q&gt;&lt;R&gt;1&lt;/R&gt;&lt;C&gt;1&lt;/C&gt;&lt;D xsi:type="xsd:double"&gt;26300.666&lt;/D&gt;&lt;/FQL&gt;&lt;FQL&gt;&lt;Q&gt;Ticker0024^FE_ESTIMATE(NEW_ORDERS_VALUE,MEAN,QUARTERLY_ROLL,2017/1F,45769,,,'')&lt;/Q&gt;&lt;R&gt;1&lt;/R&gt;&lt;C&gt;1&lt;/C&gt;&lt;D xsi:type="xsd:double"&gt;21072.5&lt;/D&gt;&lt;/FQL&gt;&lt;FQL&gt;&lt;Q&gt;Ticker0024^FE_ESTIMATE(NEW_ORDERS_VALUE,MEAN,ANNUAL_ROLL,2016,45769,,,'')&lt;/Q&gt;&lt;R&gt;1&lt;/R&gt;&lt;C&gt;1&lt;/C&gt;&lt;D xsi:type="xsd:double"&gt;94769&lt;/D&gt;&lt;/FQL&gt;&lt;FQL&gt;&lt;Q&gt;Ticker0024^FE_ESTIMATE(NEW_ORDERS_VALUE,MEAN,QUARTERLY_ROLL,2016/4F,45769,,,'')&lt;/Q&gt;&lt;R&gt;1&lt;/R&gt;&lt;C&gt;1&lt;/C&gt;&lt;D xsi:type="xsd:double"&gt;29640.5&lt;/D&gt;&lt;/FQL&gt;&lt;FQL&gt;&lt;Q&gt;Ticker0024^FE_ESTIMATE(NEW_ORDERS_VALUE,MEAN,QUARTERLY_ROLL,2016/3F,45769,,,'')&lt;/Q&gt;&lt;R&gt;1&lt;/R&gt;&lt;C&gt;1&lt;/C&gt;&lt;D xsi:type="xsd:double"&gt;22938&lt;/D&gt;&lt;/FQL&gt;&lt;FQL&gt;&lt;Q&gt;Ticker0024^FE_ESTIMATE(NEW_ORDERS_VALUE,MEAN,QUARTERLY_ROLL,2016/2F,45769,,,'')&lt;/Q&gt;&lt;R&gt;0&lt;/R&gt;&lt;C&gt;0&lt;/C&gt;&lt;/FQL&gt;&lt;FQL&gt;&lt;Q&gt;Ticker0024^FE_ESTIMATE(NEW_ORDERS_VALUE,MEAN,QUARTERLY_ROLL,2016/1F,45769,,,'')&lt;/Q&gt;&lt;R&gt;0&lt;/R&gt;&lt;C&gt;0&lt;/C&gt;&lt;/FQL&gt;&lt;FQL&gt;&lt;Q&gt;Ticker0024^FE_ESTIMATE(NEW_ORDERS_VALUE,MEAN,ANNUAL_ROLL,2015,45769,,,'')&lt;/Q&gt;&lt;R&gt;0&lt;/R&gt;&lt;C&gt;0&lt;/C&gt;&lt;/FQL&gt;&lt;FQL&gt;&lt;Q&gt;Ticker0024^FE_ESTIMATE(NEW_ORDERS_VALUE,MEAN,QUARTERLY_ROLL,2015/4F,45769,,,'')&lt;/Q&gt;&lt;R&gt;0&lt;/R&gt;&lt;C&gt;0&lt;/C&gt;&lt;/FQL&gt;&lt;FQL&gt;&lt;Q&gt;Ticker0024^FE_ESTIMATE(NEW_ORDERS_VALUE,MEAN,QUARTERLY_ROLL,2015/3F,45769,,,'')&lt;/Q&gt;&lt;R&gt;0&lt;/R&gt;&lt;C&gt;0&lt;/C&gt;&lt;/FQL&gt;&lt;FQL&gt;&lt;Q&gt;Ticker0024^FE_ESTIMATE(NEW_ORDERS_VALUE,MEAN,QUARTERLY_ROLL,2015/2F,45769,,,'')&lt;/Q&gt;&lt;R&gt;0&lt;/R&gt;&lt;C&gt;0&lt;/C&gt;&lt;/FQL&gt;&lt;FQL&gt;&lt;Q&gt;Ticker0024^FE_ESTIMATE(NEW_ORDERS_VALUE,MEAN,QUARTERLY_ROLL,2015/1F,45769,,,'')&lt;/Q&gt;&lt;R&gt;0&lt;/R&gt;&lt;C&gt;0&lt;/C&gt;&lt;/FQL&gt;&lt;FQL&gt;&lt;Q&gt;Ticker0024^FE_ESTIMATE(DEFREVENUE,MEAN,ANNUAL_ROLL,2030,45769,,,'')&lt;/Q&gt;&lt;R&gt;0&lt;/R&gt;&lt;C&gt;0&lt;/C&gt;&lt;/FQL&gt;&lt;FQL&gt;&lt;Q&gt;Ticker0024^FE_ESTIMATE(DEFREVENUE,MEAN,QUARTERLY_ROLL,2030/4F,45769,,,'')&lt;/Q&gt;&lt;R&gt;0&lt;/R&gt;&lt;C&gt;0&lt;/C&gt;&lt;/FQL&gt;&lt;FQL&gt;&lt;Q&gt;Ticker0024^FE_ESTIMATE(DEFREVENUE,MEAN,QUARTERLY_ROLL,2030/3F,45769,,,'')&lt;/Q&gt;&lt;R&gt;0&lt;/R&gt;&lt;C&gt;0&lt;/C&gt;&lt;/FQL&gt;&lt;FQL&gt;&lt;Q&gt;Ticker0024^FE_ESTIMATE(DEFREVENUE,MEAN,QUARTERLY_ROLL,2030/2F,45769,,,'')&lt;/Q&gt;&lt;R&gt;0&lt;/R&gt;&lt;C&gt;0&lt;/C&gt;&lt;/FQL&gt;&lt;FQL&gt;&lt;Q&gt;Ticker0024^FE_ESTIMATE(DEFREVENUE,MEAN,QUARTERLY_ROLL,2030/1F,45769,,,'')&lt;/Q&gt;&lt;R&gt;0&lt;/R&gt;&lt;C&gt;0&lt;/C&gt;&lt;/FQL&gt;&lt;FQL&gt;&lt;Q&gt;Ticker0024^FE_ESTIMATE(DEFREVENUE,MEAN,ANNUAL_ROLL,2029,45769,,,'')&lt;/Q&gt;&lt;R&gt;0&lt;/R&gt;&lt;C&gt;0&lt;/C&gt;&lt;/FQL&gt;&lt;FQL&gt;&lt;Q&gt;Ticker0024^FE_ESTIMATE(DEFREVENUE,MEAN,QUARTERLY_ROLL,2029/4F,45769,,,'')&lt;/Q&gt;&lt;R&gt;0&lt;/R&gt;&lt;C&gt;0&lt;/C&gt;&lt;/FQL&gt;&lt;FQL&gt;&lt;Q&gt;Ticker0024^FE_ESTIMATE(DEFREVENUE,MEAN,QUARTERLY_ROLL,2029/3F,45769,,,'')&lt;/Q&gt;&lt;R&gt;0&lt;/R&gt;&lt;C&gt;0&lt;/C&gt;&lt;/FQL&gt;&lt;FQL&gt;&lt;Q&gt;Ticker0024^FE_ESTIMATE(DEFREVENUE,MEAN,QUARTERLY_ROLL,2029/2F,45769,,,'')&lt;/Q&gt;&lt;R&gt;0&lt;/R&gt;&lt;C&gt;0&lt;/C&gt;&lt;/FQL&gt;&lt;FQL&gt;&lt;Q&gt;Ticker0024^FE_ESTIMATE(DEFREVENUE,MEAN,QUARTERLY_ROLL,2029/1F,45769,,,'')&lt;/Q&gt;&lt;R&gt;0&lt;/R&gt;&lt;C&gt;0&lt;/C&gt;&lt;/FQL&gt;&lt;FQL&gt;&lt;Q&gt;Ticker0024^FE_ESTIMATE(DEFREVENUE,MEAN,ANNUAL_ROLL,2028,45769,,,'')&lt;/Q&gt;&lt;R&gt;0&lt;/R&gt;&lt;C&gt;0&lt;/C&gt;&lt;/FQL&gt;&lt;FQL&gt;&lt;Q&gt;Ticker0024^FE_ESTIMATE(DEFREVENUE,MEAN,QUARTERLY_ROLL,2028/4F,45769,,,'')&lt;/Q&gt;&lt;R&gt;0&lt;/R&gt;&lt;C&gt;0&lt;/C&gt;&lt;/FQL&gt;&lt;FQL&gt;&lt;Q&gt;Ticker0024^FE_ESTIMATE(DEFREVENUE,MEAN,QUARTERLY_ROLL,2028/3F,45769,,,'')&lt;/Q&gt;&lt;R&gt;0&lt;/R&gt;&lt;C&gt;0&lt;/C&gt;&lt;/FQL&gt;&lt;FQL&gt;&lt;Q&gt;Ticker0024^FE_ESTIMATE(DEFREVENUE,MEAN,QUARTERLY_ROLL,2028/2F,45769,,,'')&lt;/Q&gt;&lt;R&gt;0&lt;/R&gt;&lt;C&gt;0&lt;/C&gt;&lt;/FQL&gt;&lt;FQL&gt;&lt;Q&gt;Ticker0024^FE_ESTIMATE(DEFREVENUE,MEAN,QUARTERLY_ROLL,2028/1F,45769,,,'')&lt;/Q&gt;&lt;R&gt;0&lt;/R&gt;&lt;C&gt;0&lt;/C&gt;&lt;/FQL&gt;&lt;FQL&gt;&lt;Q&gt;Ticker0024^FE_ESTIMATE(DEFREVENUE,MEAN,ANNUAL_ROLL,2027,45769,,,'')&lt;/Q&gt;&lt;R&gt;1&lt;/R&gt;&lt;C&gt;1&lt;/C&gt;&lt;D xsi:type="xsd:double"&gt;76496.5&lt;/D&gt;&lt;/FQL&gt;&lt;FQL&gt;&lt;Q&gt;Ticker0024^FE_ESTIMATE(DEFREVENUE,MEAN,QUARTERLY_ROLL,2027/4F,45769,,,'')&lt;/Q&gt;&lt;R&gt;1&lt;/R&gt;&lt;C&gt;1&lt;/C&gt;&lt;D xsi:type="xsd:double"&gt;89245&lt;/D&gt;&lt;/FQL&gt;&lt;FQL&gt;&lt;Q&gt;Ticker0024^FE_ESTIMATE(DEFREVENUE,MEAN,QUARTERLY_ROLL,2027/3F,45769,,,'')&lt;/Q&gt;&lt;R&gt;1&lt;/R&gt;&lt;C&gt;1&lt;/C&gt;&lt;D xsi:type="xsd:double"&gt;69445&lt;/D&gt;&lt;/FQL&gt;&lt;FQL&gt;&lt;Q&gt;Ticker0024^FE_ESTIMATE(DEFREVENUE,MEAN,QUARTERLY_ROLL,2027/2F,45769,,,'')&lt;/Q&gt;&lt;R&gt;1&lt;/R&gt;&lt;C&gt;1&lt;/C&gt;&lt;D xsi:type="xsd:double"&gt;70045&lt;/D&gt;&lt;/FQL&gt;&lt;FQL&gt;&lt;Q&gt;Ticker0024^FE_ESTIMATE(DEFREVENUE,MEAN,QUARTERLY_ROLL,2027/1F,45769,,,'')&lt;/Q&gt;&lt;R&gt;1&lt;/R&gt;&lt;C&gt;1&lt;/C&gt;&lt;D xsi:type="xsd:double"&gt;73545&lt;/D&gt;&lt;/FQL&gt;&lt;FQL&gt;&lt;Q&gt;Ticker0024^FE_ESTIMATE(DEFREVENUE,MEAN,ANNUAL_ROLL,2026,45769,,,'')&lt;/Q&gt;&lt;R&gt;1&lt;/R&gt;&lt;C&gt;1&lt;/C&gt;&lt;D xsi:type="xsd:double"&gt;71952.77&lt;/D&gt;&lt;/FQL&gt;&lt;FQL&gt;&lt;Q&gt;Ticker0024^FE_ESTIMATE(DEFREVENUE,MEAN,QUARTERLY_ROLL,2026/4F,45769,,,'')&lt;/Q&gt;&lt;R&gt;1&lt;/R&gt;&lt;C&gt;1&lt;/C&gt;&lt;D xsi:type="xsd:double"&gt;72752.6&lt;/D&gt;&lt;/FQL&gt;&lt;FQL&gt;&lt;Q&gt;Ticker0024^FE_ESTIMATE(DEFREVENUE,MEAN,QUARTERLY_ROLL,2026/3F,45769,,,'')&lt;/Q&gt;&lt;R&gt;1&lt;/R&gt;&lt;C&gt;1&lt;/C&gt;&lt;D xsi:type="xsd:double"&gt;53656.2&lt;/D&gt;&lt;/FQL&gt;&lt;FQL&gt;&lt;Q&gt;Ticker0024^FE_ESTIMATE(DEFREVENUE,MEAN,QUARTERLY_ROLL,2026/2F,45769,,,'')&lt;/Q&gt;&lt;R&gt;1&lt;/R&gt;&lt;C&gt;1&lt;/C&gt;&lt;D xsi:type="xsd:double"&gt;54186.6&lt;/D&gt;&lt;/FQL&gt;&lt;FQL&gt;&lt;Q&gt;Ticker0024^FE_ESTIMATE(DEFREVENUE,MEAN,QUARTERLY_ROLL,2026/1F,45769,,,'')&lt;/Q&gt;&lt;R&gt;1&lt;/R&gt;&lt;C&gt;1&lt;/C&gt;&lt;D xsi:type="xsd:double"&gt;60669.8&lt;/D&gt;&lt;/FQL&gt;&lt;FQL&gt;&lt;Q&gt;Ticker0024^FE_ESTIMATE(DEFREVENUE,MEAN,ANNUAL_ROLL,2025,45769,,,'')&lt;/Q&gt;&lt;R&gt;1&lt;/R&gt;&lt;C&gt;1&lt;/C&gt;&lt;D xsi:type="xsd:double"&gt;65361.164&lt;/D&gt;&lt;/FQL&gt;&lt;FQL&gt;&lt;Q&gt;Ticker0024^FE_ESTIMATE(DEFREVENUE,MEAN,QUARTERLY_ROLL,2025/4F,45769,,,'')&lt;/Q&gt;&lt;R&gt;1&lt;/R&gt;&lt;C&gt;1&lt;/C&gt;&lt;D xsi:type="xsd:double"&gt;65030.754&lt;/D&gt;&lt;/FQL&gt;&lt;FQL&gt;&lt;Q&gt;Ticker0024^FE_ESTIMATE(DEFREVENUE,MEAN,QUARTERLY_ROLL,2025/3F,45769,,,'')&lt;/Q&gt;&lt;R&gt;1&lt;/R&gt;&lt;C&gt;1&lt;/C&gt;&lt;D xsi:type="xsd:double"&gt;49016.51&lt;/D&gt;&lt;/FQL&gt;&lt;FQL&gt;&lt;Q&gt;Ticker0024^FE_ESTIMATE(DEFREVENUE,MEAN,QUARTERLY_ROLL,2025/2F,45769,,,'')&lt;/Q&gt;&lt;R&gt;1&lt;/R&gt;&lt;C&gt;1&lt;/C&gt;&lt;D xsi:type="xsd:double"&gt;48045.715&lt;/D&gt;&lt;/FQL&gt;&lt;FQL&gt;&lt;Q&gt;Ticker0024^FE_ESTIMATE(DEFREVENUE,MEAN,QUARTERLY_ROLL,2025/1F,45769,,,'')&lt;/Q&gt;&lt;R&gt;1&lt;/R&gt;&lt;C&gt;1&lt;/C&gt;&lt;D xsi:type="xsd:double"&gt;55689.125&lt;/D&gt;&lt;/FQL&gt;&lt;FQL&gt;&lt;Q&gt;Ticker0024^FE_ESTIMATE(DEFREVENUE,MEAN,ANNUAL_ROLL,2024,45769,,,'')&lt;/Q&gt;&lt;R&gt;1&lt;/R&gt;&lt;C&gt;1&lt;/C&gt;&lt;D xsi:type="xsd:double"&gt;60183.6&lt;/D&gt;&lt;/FQL&gt;&lt;FQL&gt;&lt;Q&gt;Ticker0024^FE_ESTIMATE(DEFREVENUE,MEAN,QUARTERLY_ROLL,2024/4F,45769,,,'')&lt;/Q&gt;&lt;R&gt;1&lt;/R&gt;&lt;C&gt;1&lt;/C&gt;&lt;D xsi:type="xsd:double"&gt;60183.555&lt;/D&gt;&lt;/FQL&gt;&lt;FQL&gt;&lt;Q&gt;Ticker0024^FE_ESTIMATE(DEFREVENUE,MEAN,QUARTERLY_ROLL,2024/3F,45769,,,'')&lt;/Q&gt;&lt;R&gt;1&lt;/R&gt;&lt;C&gt;1&lt;/C&gt;&lt;D xsi:type="xsd:double"&gt;44834&lt;/D&gt;&lt;/FQL&gt;&lt;FQL&gt;&lt;Q&gt;Ticker0024^FE_ESTIMATE(DEFREVENUE,MEAN,QUARTERLY_ROLL,2024/2F,45769,,,'')&lt;/Q&gt;&lt;R&gt;1&lt;/R&gt;&lt;C&gt;1&lt;/C&gt;&lt;D xsi:type="xsd:double"&gt;46034.855&lt;/D&gt;&lt;/FQL&gt;&lt;FQL&gt;&lt;Q&gt;Ticker0024^FE_ESTIMATE(DEFREVENUE,MEAN,QUARTERLY_ROLL,2024/1F,45769,,,'')&lt;/Q&gt;&lt;R&gt;1&lt;/R&gt;&lt;C&gt;1&lt;/C&gt;&lt;D xsi:type="xsd:double"&gt;49188.332&lt;/D&gt;&lt;/FQL&gt;&lt;FQL&gt;&lt;Q&gt;Ticker0024^FE_ESTIMATE(DEFREVENUE,MEAN,ANNUAL_ROLL,2023,45769,,,'')&lt;/Q&gt;&lt;R&gt;1&lt;/R&gt;&lt;C&gt;1&lt;/C&gt;&lt;D xsi:type="xsd:double"&gt;53548&lt;/D&gt;&lt;/FQL&gt;&lt;FQL&gt;&lt;Q&gt;Ticker0024^FE_ESTIMATE(DEFREVENUE,MEAN,QUARTERLY_ROLL,2023/4F,45769,,,'')&lt;/Q&gt;&lt;R&gt;1&lt;/R&gt;&lt;C&gt;1&lt;/C&gt;&lt;D xsi:type="xsd:double"&gt;53812.625&lt;/D&gt;&lt;/FQL&gt;&lt;FQL&gt;&lt;Q&gt;Ticker0024^FE_ESTIMATE(DEFREVENUE,MEAN,QUARTERLY_ROLL,2023/3F,45769,,,'')&lt;/Q&gt;&lt;R&gt;1&lt;/R&gt;&lt;C&gt;1&lt;/C&gt;&lt;D xsi:type="xsd:double"&gt;39600.832&lt;/D&gt;&lt;/FQL&gt;&lt;FQL&gt;&lt;Q&gt;Ticker0024^FE_ESTIMATE(DEFREVENUE,MEAN,QUARTERLY_ROLL,2023/2F,45769,,,'')&lt;/Q&gt;&lt;R&gt;1&lt;/R&gt;&lt;C&gt;1&lt;/C&gt;&lt;D xsi:type="xsd:double"&gt;39625&lt;/D&gt;&lt;/FQL&gt;&lt;FQL&gt;&lt;Q&gt;Ticker0024^FE_ESTIMATE(DEFREVENUE,MEAN,QUARTERLY_ROLL,2023/1F,45769,,,'')&lt;/Q&gt;&lt;R&gt;1&lt;/R&gt;&lt;C&gt;1&lt;/C&gt;&lt;D xsi:type="xsd:double"&gt;43889.145&lt;/D&gt;&lt;/FQL&gt;&lt;FQL&gt;&lt;Q&gt;Ticker0024^FE_ESTIMATE(DEFREVENUE,MEAN,ANNUAL_ROLL,2022,45769,,,'')&lt;/Q&gt;&lt;R&gt;1&lt;/R&gt;&lt;C&gt;1&lt;/C&gt;&lt;D xsi:type="xsd:double"&gt;48121&lt;/D&gt;&lt;/FQL&gt;&lt;FQL&gt;&lt;Q&gt;Ticker0024^FE_ESTIMATE(DEFREVENUE,MEAN,QUARTERLY_ROLL,2022/4F,45769,,,'')&lt;/Q&gt;&lt;R&gt;1&lt;/R&gt;&lt;C&gt;1&lt;/C&gt;&lt;D xsi:type="xsd:double"&gt;48408&lt;/D&gt;&lt;/FQL&gt;&lt;FQL&gt;&lt;Q&gt;Ticker0024^FE_ESTIMATE(DEFREVENUE,MEAN,QUARTERLY_ROLL,2022/3F,45769,,,'')&lt;/Q&gt;&lt;R&gt;1&lt;/R&gt;&lt;C&gt;1&lt;/C&gt;&lt;D xsi:type="xsd:double"&gt;36796&lt;/D&gt;&lt;/FQL&gt;&lt;FQL&gt;&lt;Q&gt;Ticker0024^FE_ESTIMATE(DEFREVENUE,MEAN,QUARTERLY_ROLL,2022/2F,45769,,,'')&lt;/Q&gt;&lt;R&gt;1&lt;/R&gt;&lt;C&gt;1&lt;/C&gt;&lt;D xsi:type="xsd:double"&gt;36769&lt;/D&gt;&lt;/FQL&gt;&lt;FQL&gt;&lt;Q&gt;Ticker0024^FE_ESTIMATE(DEFREVENUE,MEAN,QUARTERLY_ROLL,2022/1F,45769,,,'')&lt;/Q&gt;&lt;R&gt;1&lt;/R&gt;&lt;C&gt;1&lt;/C&gt;&lt;D xsi:type="xsd:double"&gt;41015&lt;/D&gt;&lt;/FQL&gt;&lt;FQL&gt;&lt;Q&gt;Ticker0024^FE_ESTIMATE(DEFREVENUE,MEAN,ANNUAL_ROLL,2021,45769,,,'')&lt;/Q&gt;&lt;R&gt;1&lt;/R&gt;&lt;C&gt;1&lt;/C&gt;&lt;D xsi:type="xsd:double"&gt;44141&lt;/D&gt;&lt;/FQL&gt;&lt;FQL&gt;&lt;Q&gt;Ticker0024^FE_ESTIMATE(DEFREVENUE,MEAN,QUARTERLY_ROLL,2021/4F,45769,,,'')&lt;/Q&gt;&lt;R&gt;1&lt;/R&gt;&lt;C&gt;1&lt;/C&gt;&lt;D xsi:type="xsd:double"&gt;44141&lt;/D&gt;&lt;/FQL&gt;&lt;FQL&gt;&lt;Q&gt;Ticker0024^FE_ESTIMATE(DEFREVENUE,MEAN,QUARTERLY_ROLL,2021/3F,45769,,,'')&lt;/Q&gt;&lt;R&gt;1&lt;/R&gt;&lt;C&gt;1&lt;/C&gt;&lt;D xsi:type="xsd:double"&gt;32714&lt;/D&gt;&lt;/FQL&gt;&lt;FQL&gt;&lt;Q&gt;Ticker0024^FE_ESTIMATE(DEFREVENUE,MEAN,QUARTERLY_ROLL,2021/2F,45769,,,'')&lt;/Q&gt;&lt;R&gt;1&lt;/R&gt;&lt;C&gt;1&lt;/C&gt;&lt;D xsi:type="xsd:double"&gt;33387&lt;/D&gt;&lt;/FQL&gt;&lt;FQL&gt;&lt;Q&gt;Ticker0024^FE_ESTIMATE(DEFREVENUE,MEAN,QUARTERLY_ROLL,2021/1F,45769,,,'')&lt;/Q&gt;&lt;R&gt;1&lt;/R&gt;&lt;C&gt;1&lt;/C&gt;&lt;D xsi:type="xsd:double"&gt;36305&lt;/D&gt;&lt;/FQL&gt;&lt;FQL&gt;&lt;Q&gt;Ticker0024^FE_ESTIMATE(DEFREVENUE,MEAN,ANNUAL_ROLL,2020,45769,,,'')&lt;/Q&gt;&lt;R&gt;1&lt;/R&gt;&lt;C&gt;1&lt;/C&gt;&lt;D xsi:type="xsd:double"&gt;39180&lt;/D&gt;&lt;/FQL&gt;&lt;FQL&gt;&lt;Q&gt;Ticker0024^FE_ESTIMATE(DEFREVENUE,MEAN,QUARTERLY_ROLL,2020/4F,45769,,,'')&lt;/Q&gt;&lt;R&gt;1&lt;/R&gt;&lt;C&gt;1&lt;/C&gt;&lt;D xsi:type="xsd:double"&gt;39180&lt;/D&gt;&lt;/FQL&gt;&lt;FQL&gt;&lt;Q&gt;Ticker0024^FE_ESTIMATE(DEFREVENUE,MEAN,QUARTERLY_ROLL,2020/3F,45769,,,'')&lt;/Q&gt;&lt;R&gt;1&lt;/R&gt;&lt;C&gt;1&lt;/C&gt;&lt;D xsi:type="xsd:double"&gt;30397&lt;/D&gt;&lt;/FQL&gt;&lt;FQL&gt;&lt;Q&gt;Ticker0024^FE_ESTIMATE(DEFREVENUE,MEAN,QUARTERLY_ROLL,2020/2F,45769,,,'')&lt;/Q&gt;&lt;R&gt;1&lt;/R&gt;&lt;C&gt;1&lt;/C&gt;&lt;D xsi:type="xsd:double"&gt;31221&lt;/D&gt;&lt;/FQL&gt;&lt;FQL&gt;&lt;Q&gt;Ticker0024^FE_ESTIMATE(DEFREVENUE,MEAN,QUARTERLY_ROLL,2020/1F,45769,,,'')&lt;/Q&gt;&lt;R&gt;1&lt;/R&gt;&lt;C&gt;1&lt;/C&gt;&lt;D xsi:type="xsd:double"&gt;34026&lt;/D&gt;&lt;/FQL&gt;&lt;FQL&gt;&lt;Q&gt;Ticker0024^FE_ESTIMATE(DEFREVENUE,MEAN,ANNUAL_ROLL,2019,45769,,,'')&lt;/Q&gt;&lt;R&gt;1&lt;/R&gt;&lt;C&gt;1&lt;/C&gt;&lt;D xsi:type="xsd:double"&gt;37206&lt;/D&gt;&lt;/FQL&gt;&lt;FQL&gt;&lt;Q&gt;Ticker0024^FE_ESTIMATE(DEFREVENUE,MEAN,QUARTERLY_ROLL,2019/4F,45769,,,'')&lt;/Q&gt;&lt;R&gt;1&lt;/R&gt;&lt;C&gt;1&lt;/C&gt;&lt;D xsi:type="xsd:double"&gt;37206&lt;/D&gt;&lt;/FQL&gt;&lt;FQL&gt;&lt;Q&gt;Ticker0024^FE_ESTIMATE(DEFREVENUE,MEAN,QUARTERLY_ROLL,2019/3F,45769,,,'')&lt;/Q&gt;&lt;R&gt;1&lt;/R&gt;&lt;C&gt;1&lt;/C&gt;&lt;D xsi:type="xsd:double"&gt;28135&lt;/D&gt;&lt;/FQL&gt;&lt;FQL&gt;&lt;Q&gt;Ticker0024^FE_ESTIMATE(DEFREVENUE,MEAN,QUARTERLY_ROLL,2019/2F,45769,,,'')&lt;/Q&gt;&lt;R&gt;1&lt;/R&gt;&lt;C&gt;1&lt;/C&gt;&lt;D xsi:type="xsd:double"&gt;28084&lt;/D&gt;&lt;/FQL&gt;&lt;FQL&gt;&lt;Q&gt;Ticker0024^FE_ESTIMATE(DEFREVENUE,MEAN,QUARTERLY_ROLL,2019/1F,45769,,,'')&lt;/Q&gt;&lt;R&gt;1&lt;/R&gt;&lt;C&gt;1&lt;/C&gt;&lt;D xsi:type="xsd:double"&gt;30242&lt;/D&gt;&lt;/FQL&gt;&lt;FQL&gt;&lt;Q&gt;Ticker0024^FE_ESTIMATE(DEFREVENUE,MEAN,ANNUAL_ROLL,2018,45769,,,'')&lt;/Q&gt;&lt;R&gt;1&lt;/R&gt;&lt;C&gt;1&lt;/C&gt;&lt;D xsi:type="xsd:double"&gt;32540.1&lt;/D&gt;&lt;/FQL&gt;&lt;FQL&gt;&lt;Q&gt;Ticker0024^FE_ESTIMATE(DEFREVENUE,MEAN,QUARTERLY_ROLL,2018/4F,45769,,,'')&lt;/Q&gt;&lt;R&gt;1&lt;/R&gt;&lt;C&gt;1&lt;/C&gt;&lt;D xsi:type="xsd:double"&gt;32540.1&lt;/D&gt;&lt;/FQL&gt;&lt;FQL&gt;&lt;Q&gt;Ticker0024^FE_ESTIMATE(DEFREVENUE,MEAN,QUARTERLY_ROLL,2018/3F,45769,,,'')&lt;/Q&gt;&lt;R&gt;1&lt;/R&gt;&lt;C&gt;1&lt;/C&gt;&lt;D xsi:type="xsd:double"&gt;23955&lt;/D&gt;&lt;/FQL&gt;&lt;FQL&gt;&lt;Q&gt;Ticker0024^FE_ESTIMATE(DEFREVENUE,MEAN,QUARTERLY_ROLL,2018/2F,45769,,,'')&lt;/Q&gt;&lt;R&gt;1&lt;/R&gt;&lt;C&gt;1&lt;/C&gt;&lt;D xsi:type="xsd:double"&gt;23809&lt;/D&gt;&lt;/FQL&gt;&lt;FQL&gt;&lt;Q&gt;Ticker0024^FE_ESTIMATE(DEFREVENUE,MEAN,QUARTERLY_ROLL,2018/1F,45769,,,'')&lt;/Q&gt;&lt;R&gt;1&lt;/R&gt;&lt;C&gt;1&lt;/C&gt;&lt;D xsi:type="xsd:double"&gt;24904&lt;/D&gt;&lt;/FQL&gt;&lt;FQL&gt;&lt;Q&gt;Ticker0024^FE_ESTIMATE(DEFREVENUE,MEAN,ANNUAL_ROLL,2017,45769,,,'')&lt;/Q&gt;&lt;R&gt;1&lt;/R&gt;&lt;C&gt;1&lt;/C&gt;&lt;D xsi:type="xsd:double"&gt;44479&lt;/D&gt;&lt;/FQL&gt;&lt;FQL&gt;&lt;Q&gt;Ticker0024^FE_ESTIMATE(DEFREVENUE,MEAN,QUARTERLY_ROLL,2017/4F,45769,,,'')&lt;/Q&gt;&lt;R&gt;1&lt;/R&gt;&lt;C&gt;1&lt;/C&gt;&lt;D xsi:type="xsd:double"&gt;44479&lt;/D&gt;&lt;/FQL&gt;&lt;FQL&gt;&lt;Q&gt;Ticker0024^FE_ESTIMATE(DEFREVENUE,MEAN,QUARTERLY_ROLL,2017/3F,45769,,,'')&lt;/Q&gt;&lt;R&gt;1&lt;/R&gt;&lt;C&gt;1&lt;/C&gt;&lt;D xsi:type="xsd:double"&gt;35733&lt;/D&gt;&lt;/FQL&gt;&lt;FQL&gt;&lt;Q&gt;Ticker0024^FE_ESTIMATE(DEFREVENUE,MEAN,QUARTERLY_ROLL,2017/2F,45769,,,'')&lt;/Q&gt;&lt;R&gt;1&lt;/R&gt;&lt;C&gt;1&lt;/C&gt;&lt;D xsi:type="xsd:double"&gt;34587.273&lt;/D&gt;&lt;/FQL&gt;&lt;FQL&gt;&lt;Q&gt;Ticker0024^FE_ESTIMATE(DEFREVENUE,MEAN,QUARTERLY_ROLL,2017/1F,45769,,,'')&lt;/Q&gt;&lt;R&gt;1&lt;/R&gt;&lt;C&gt;1&lt;/C&gt;&lt;D xsi:type="xsd:double"&gt;33588&lt;/D&gt;&lt;/FQL&gt;&lt;FQL&gt;&lt;Q&gt;Ticker0024^FE_ESTIMATE(DEFREVENUE,MEAN,ANNUAL_ROLL,2016,45769,,,'')&lt;/Q&gt;&lt;R&gt;1&lt;/R&gt;&lt;C&gt;1&lt;/C&gt;&lt;D xsi:type="xsd:double"&gt;33909&lt;/D&gt;&lt;/FQL&gt;&lt;FQL&gt;&lt;Q&gt;Ticker0024^FE_ESTIMATE(DEFREVENUE,MEAN,QUARTERLY_ROLL,2016/4F,45769,,,'')&lt;/Q&gt;&lt;R&gt;1&lt;/R&gt;&lt;C&gt;1&lt;/C&gt;&lt;D xsi:type="xsd:double"&gt;33909&lt;/D&gt;&lt;/FQL&gt;&lt;FQL&gt;&lt;Q&gt;Ticker0024^FE_ESTIMATE(DEFREVENUE,MEAN,QUARTERLY_ROLL,2016/3F,45769,,,'')&lt;/Q&gt;&lt;R&gt;1&lt;/R&gt;&lt;C&gt;1&lt;/C&gt;&lt;D xsi:type="xsd:double"&gt;25893&lt;/D&gt;&lt;/FQL&gt;&lt;FQL&gt;&lt;Q&gt;Ticker0024^FE_ESTIMATE(DEFREVENUE,MEAN,QUARTERLY_ROLL,2016/2F,45769,,,'')&lt;/Q&gt;&lt;R&gt;1&lt;/R&gt;&lt;C&gt;1&lt;/C&gt;&lt;D xsi:type="xsd:double"&gt;25031&lt;/D&gt;&lt;/FQL&gt;&lt;FQL&gt;&lt;Q&gt;Ticker0024^FE_ESTIMATE(DEFREVENUE,MEAN,QUARTERLY_ROLL,2016/1F,45769,,,'')&lt;/Q&gt;&lt;R&gt;0&lt;/R&gt;&lt;C&gt;0&lt;/C&gt;&lt;/FQL&gt;&lt;FQL&gt;&lt;Q&gt;Ticker0024^FE_ESTIMATE(DEFREVENUE,MEAN,ANNUAL_ROLL,2015,45769,,,'')&lt;/Q&gt;&lt;R&gt;0&lt;/R&gt;&lt;C&gt;0&lt;/C&gt;&lt;/FQL&gt;&lt;FQL&gt;&lt;Q&gt;Ticker0024^FE_ESTIMATE(DEFREVENUE,MEAN,QUARTERLY_ROLL,2015/4F,45769,,,'')&lt;/Q&gt;&lt;R&gt;0&lt;/R&gt;&lt;C&gt;0&lt;/C&gt;&lt;/FQL&gt;&lt;FQL&gt;&lt;Q&gt;Ticker0024^FE_ESTIMATE(DEFREVENUE,MEAN,QUARTERLY_ROLL,2015/3F,45769,,,'')&lt;/Q&gt;&lt;R&gt;0&lt;/R&gt;&lt;C&gt;0&lt;/C&gt;&lt;/FQL&gt;&lt;FQL&gt;&lt;Q&gt;Ticker0024^FE_ESTIMATE(DEFREVENUE,MEAN,QUARTERLY_ROLL,2015/2F,45769,,,'')&lt;/Q&gt;&lt;R&gt;0&lt;/R&gt;&lt;C&gt;0&lt;/C&gt;&lt;/FQL&gt;&lt;FQL&gt;&lt;Q&gt;Ticker0024^FE_ESTIMATE(DEFREVENUE,MEAN,QUARTERLY_ROLL,2015/1F,45769,,,'')&lt;/Q&gt;&lt;R&gt;0&lt;/R&gt;&lt;C&gt;0&lt;/C&gt;&lt;/FQL&gt;&lt;FQL&gt;&lt;Q&gt;Ticker0024^FE_ESTIMATE(DEFREVENUE_LT,MEAN,ANNUAL_ROLL,2030,45769,,,'')&lt;/Q&gt;&lt;R&gt;0&lt;/R&gt;&lt;C&gt;0&lt;/C&gt;&lt;/FQL&gt;&lt;FQL&gt;&lt;Q&gt;Ticker0024^FE_ESTIMATE(DEFREVENUE_LT,MEAN,QUARTERLY_ROLL,2030/4F,45769,,,'')&lt;/Q&gt;&lt;R&gt;0&lt;/R&gt;&lt;C&gt;0&lt;/C&gt;&lt;/FQL&gt;&lt;FQL&gt;&lt;Q&gt;Ticker0024^FE_ESTIMATE(DEFREVENUE_LT,MEAN,QUARTERLY_ROLL,2030/3F,45769,,,'')&lt;/Q&gt;&lt;R&gt;0&lt;/R&gt;&lt;C&gt;0&lt;/C&gt;&lt;/FQL&gt;&lt;FQL&gt;&lt;Q&gt;Ticker0024^FE_ESTIMATE(DEFREVENUE_LT,MEAN,QUARTERLY_ROLL,2030/2F,45769,,,'')&lt;/Q&gt;&lt;R&gt;0&lt;/R&gt;&lt;C&gt;0&lt;/C&gt;&lt;/FQL&gt;&lt;FQL&gt;&lt;Q&gt;Ticker0024^FE_ESTIMATE(DEFREVENUE_LT,MEAN,QUARTERLY_ROLL,2030/1F,45769,,,'')&lt;/Q&gt;&lt;R&gt;0&lt;/R&gt;&lt;C&gt;0&lt;/C&gt;&lt;/FQL&gt;&lt;FQL&gt;&lt;Q&gt;Ticker0024^FE_ESTIMATE(DEFREVENUE_LT,MEAN,ANNUAL_ROLL,2029,45769,,,'')&lt;/Q&gt;&lt;R&gt;0&lt;/R&gt;&lt;C&gt;0&lt;/C&gt;&lt;/FQL&gt;&lt;FQL&gt;&lt;Q&gt;Ticker0024^FE_ESTIMATE(DEFREVENUE_LT,MEAN,QUARTERLY_ROLL,2029/4F,45769,,,'')&lt;/Q&gt;&lt;R&gt;0&lt;/R&gt;&lt;C&gt;0&lt;/C&gt;&lt;/FQL&gt;&lt;FQL&gt;&lt;Q&gt;Ticker0024^FE_ESTIMATE(DEFREVENUE_LT,MEAN,QUARTERLY_ROLL,2029/3F,45769,,,'')&lt;/Q&gt;&lt;R&gt;0&lt;/R&gt;&lt;C&gt;0&lt;/C&gt;&lt;/FQL&gt;&lt;FQL&gt;&lt;Q&gt;Ticker0024^FE_ESTIMATE(DEFREVENUE_LT,MEAN,QUARTERLY_ROLL,2029/2F,45769,,,'')&lt;/Q&gt;&lt;R&gt;0&lt;/R&gt;&lt;C&gt;0&lt;/C&gt;&lt;/FQL&gt;&lt;FQL&gt;&lt;Q&gt;Ticker0024^FE_ESTIMATE(DEFREVENUE_LT,MEAN,QUARTERLY_ROLL,2029/1F,45769,,,'')&lt;/Q&gt;&lt;R&gt;0&lt;/R&gt;&lt;C&gt;0&lt;/C&gt;&lt;/FQL&gt;&lt;FQL&gt;&lt;Q&gt;Ticker0024^FE_ESTIMATE(DEFREVENUE_LT,MEAN,ANNUAL_ROLL,2028,45769,,,'')&lt;/Q&gt;&lt;R&gt;0&lt;/R&gt;&lt;C&gt;0&lt;/C&gt;&lt;/FQL&gt;&lt;FQL&gt;&lt;Q&gt;Ticker0024^FE_ESTIMATE(DEFREVENUE_LT,MEAN,QUARTERLY_ROLL,2028/4F,45769,,,'')&lt;/Q&gt;&lt;R&gt;0&lt;/R&gt;&lt;C&gt;0&lt;/C&gt;&lt;/FQL&gt;&lt;FQL&gt;&lt;Q&gt;Ticker0024^FE_ESTIMATE(DEFREVENUE_LT,MEAN,QUARTERLY_ROLL,2028/3F,45769,,,'')&lt;/Q&gt;&lt;R&gt;0&lt;/R&gt;&lt;C&gt;0&lt;/C&gt;&lt;/FQL&gt;&lt;FQL&gt;&lt;Q&gt;Ticker0024^FE_ESTIMATE(DEFREVENUE_LT,MEAN,QUARTERLY_ROLL,2028/2F,45769,,,'')&lt;/Q&gt;&lt;R&gt;0&lt;/R&gt;&lt;C&gt;0&lt;/C&gt;&lt;/FQL&gt;&lt;FQL&gt;&lt;Q&gt;Ticker0024^FE_ESTIMATE(DEFREVENUE_LT,MEAN,QUARTERLY_ROLL,2028/1F,45769,,,'')&lt;/Q&gt;&lt;R&gt;0&lt;/R&gt;&lt;C&gt;0&lt;/C&gt;&lt;/FQL&gt;&lt;FQL&gt;&lt;Q&gt;Ticker0024^FE_ESTIMATE(DEFREVENUE_LT,MEAN,ANNUAL_ROLL,2027,45769,,,'')&lt;/Q&gt;&lt;R&gt;1&lt;/R&gt;&lt;C&gt;1&lt;/C&gt;&lt;D xsi:type="xsd:double"&gt;2574.75&lt;/D&gt;&lt;/FQL&gt;&lt;FQL&gt;&lt;Q&gt;Ticker0024^FE_ESTIMATE(DEFREVENUE_LT,MEAN,QUARTERLY_ROLL,2027/4F,45769,,,'')&lt;/Q&gt;&lt;R&gt;1&lt;/R&gt;&lt;C&gt;1&lt;/C&gt;&lt;D xsi:type="xsd:double"&gt;1937&lt;/D&gt;&lt;/FQL&gt;&lt;FQL&gt;&lt;Q&gt;Ticker0024^FE_ESTIMATE(DEFREVENUE_LT,MEAN,QUARTERLY_ROLL,2027/3F,45769,,,'')&lt;/Q&gt;&lt;R&gt;1&lt;/R&gt;&lt;C&gt;1&lt;/C&gt;&lt;D xsi:type="xsd:double"&gt;2137&lt;/D&gt;&lt;/FQL&gt;&lt;FQL&gt;&lt;Q&gt;Ticker0024^FE_ESTIMATE(DEFREVENUE_LT,MEAN,QUARTERLY_ROLL,2027/2F,45769,,,'')&lt;/Q&gt;&lt;R&gt;1&lt;/R&gt;&lt;C&gt;1&lt;/C&gt;&lt;D xsi:type="xsd:double"&gt;2137&lt;/D&gt;&lt;/FQL&gt;&lt;FQL&gt;&lt;Q&gt;Ticker0024^FE_ESTIMATE(DEFREVENUE_LT,MEAN,QUARTERLY_ROLL,2027/1F,45769,,,'')&lt;/Q&gt;&lt;R&gt;1&lt;/R&gt;&lt;C&gt;1&lt;/C&gt;&lt;D xsi:type="xsd:double"&gt;1937&lt;/D&gt;&lt;/FQL&gt;&lt;FQL&gt;&lt;Q&gt;Ticker0024^FE_ESTIMATE(DEFREVENUE_LT,MEAN,ANNUAL_ROLL,2026,45769,,,'')&lt;/Q&gt;&lt;R&gt;1&lt;/R&gt;&lt;C&gt;1&lt;/C&gt;&lt;D xsi:type="xsd:double"&gt;3020.1167&lt;/D&gt;&lt;/FQL&gt;&lt;FQL&gt;&lt;Q&gt;Ticker0024^FE_ESTIMATE(DEFREVENUE_LT,MEAN,QUARTERLY_ROLL,2026/4F,45769,,,'')&lt;/Q&gt;&lt;R&gt;1&lt;/R&gt;&lt;C&gt;1&lt;/C&gt;&lt;D xsi:type="xsd:double"&gt;2629.6&lt;/D&gt;&lt;/FQL&gt;&lt;FQL&gt;&lt;Q&gt;Ticker0024^FE_ESTIMATE(DEFREVENUE_LT,MEAN,QUARTERLY_ROLL,2026/3F,45769,,,'')&lt;/Q&gt;&lt;R&gt;1&lt;/R&gt;&lt;C&gt;1&lt;/C&gt;&lt;D xsi:type="xsd:double"&gt;2732.4&lt;/D&gt;&lt;/FQL&gt;&lt;FQL&gt;&lt;Q&gt;Ticker0024^FE_ESTIMATE(DEFREVENUE_LT,MEAN,QUARTERLY_ROLL,2026/2F,45769,,,'')&lt;/Q&gt;&lt;R&gt;1&lt;/R&gt;&lt;C&gt;1&lt;/C&gt;&lt;D xsi:type="xsd:double"&gt;2679.6&lt;/D&gt;&lt;/FQL&gt;&lt;FQL&gt;&lt;Q&gt;Ticker0024^FE_ESTIMATE(DEFREVENUE_LT,MEAN,QUARTERLY_ROLL,2026/1F,45769,,,'')&lt;/Q&gt;&lt;R&gt;1&lt;/R&gt;&lt;C&gt;1&lt;/C&gt;&lt;D xsi:type="xsd:double"&gt;2597.8&lt;/D&gt;&lt;/FQL&gt;&lt;FQL&gt;&lt;Q&gt;Ticker0024^FE_ESTIMATE(DEFREVENUE_LT,MEAN,ANNUAL_ROLL,2025,45769,,,'')&lt;/Q&gt;&lt;R&gt;1&lt;/R&gt;&lt;C&gt;1&lt;/C&gt;&lt;D xsi:type="xsd:double"&gt;2880.2856&lt;/D&gt;&lt;/FQL&gt;&lt;FQL&gt;&lt;Q&gt;Ticker0024^FE_ESTIMATE(DEFREVENUE_LT,MEAN,QUARTERLY_ROLL,2025/4F,45769,,,'')&lt;/Q&gt;&lt;R&gt;1&lt;/R&gt;&lt;C&gt;1&lt;/C&gt;&lt;D xsi:type="xsd:double"&gt;2880.2856&lt;/D&gt;&lt;/FQL&gt;&lt;FQL&gt;&lt;Q&gt;Ticker0024^FE_ESTIMATE(DEFREVENUE_LT,MEAN,QUARTERLY_ROLL,2025/3F,45769,,,'')&lt;/Q&gt;&lt;R&gt;1&lt;/R&gt;&lt;C&gt;1&lt;/C&gt;&lt;D xsi:type="xsd:double"&gt;2842.475&lt;/D&gt;&lt;/FQL&gt;&lt;FQL&gt;&lt;Q&gt;Ticker0024^FE_ESTIMATE(DEFREVENUE_LT,MEAN,QUARTERLY_ROLL,2025/2F,45769,,,'')&lt;/Q&gt;&lt;R&gt;1&lt;/R&gt;&lt;C&gt;1&lt;/C&gt;&lt;D xsi:type="xsd:double"&gt;2537.4285&lt;/D&gt;&lt;/FQL&gt;&lt;FQL&gt;&lt;Q&gt;Ticker0024^FE_ESTIMATE(DEFREVENUE_LT,MEAN,QUARTERLY_ROLL,2025/1F,45769,,,'')&lt;/Q&gt;&lt;R&gt;1&lt;/R&gt;&lt;C&gt;1&lt;/C&gt;&lt;D xsi:type="xsd:double"&gt;2662.6667&lt;/D&gt;&lt;/FQL&gt;&lt;FQL&gt;&lt;Q&gt;Ticker0024^FE_ESTIMATE(DEFREVENUE_LT,MEAN,ANNUAL_ROLL,2024,45769,,,'')&lt;/Q&gt;&lt;R&gt;1&lt;/R&gt;&lt;C&gt;1&lt;/C&gt;&lt;D xsi:type="xsd:double"&gt;2601.75&lt;/D&gt;&lt;/FQL&gt;&lt;FQL&gt;&lt;Q&gt;Ticker0024^FE_ESTIMATE(DEFREVENUE_LT,MEAN,QUARTERLY_ROLL,2024/4F,45769,,,'')&lt;/Q&gt;&lt;R&gt;1&lt;/R&gt;&lt;C&gt;1&lt;/C&gt;&lt;D xsi:type="xsd:double"&gt;2601.75&lt;/D&gt;&lt;/FQL&gt;&lt;FQL&gt;&lt;Q&gt;Ticker0024^FE_ESTIMATE(DEFREVENUE_LT,MEAN,QUARTERLY_ROLL,2024/3F,45769,,,'')&lt;/Q&gt;&lt;R&gt;1&lt;/R&gt;&lt;C&gt;1&lt;/C&gt;&lt;D xsi:type="xsd:double"&gt;2945.7144&lt;/D&gt;&lt;/FQL&gt;&lt;FQL&gt;&lt;Q&gt;Ticker0024^FE_ESTIMATE(DEFREVENUE_LT,MEAN,QUARTERLY_ROLL,2024/2F,45769,,,'')&lt;/Q&gt;&lt;R&gt;1&lt;/R&gt;&lt;C&gt;1&lt;/C&gt;&lt;D xsi:type="xsd:double"&gt;2966.5715&lt;/D&gt;&lt;/FQL&gt;&lt;FQL&gt;&lt;Q&gt;Ticker0024^FE_ESTIMATE(DEFREVENUE_LT,MEAN,QUARTERLY_ROLL,2024/1F,45769,,,'')&lt;/Q&gt;&lt;R&gt;1&lt;/R&gt;&lt;C&gt;1&lt;/C&gt;&lt;D xsi:type="xsd:double"&gt;2759.1428&lt;/D&gt;&lt;/FQL&gt;&lt;FQL&gt;&lt;Q&gt;Ticker0024^FE_ESTIMATE(DEFREVENUE_LT,MEAN,ANNUAL_ROLL,2023,45769,,,'')&lt;/Q&gt;&lt;R&gt;1&lt;/R&gt;&lt;C&gt;1&lt;/C&gt;&lt;D xsi:type="xsd:double"&gt;2911.75&lt;/D&gt;&lt;/FQL&gt;&lt;FQL&gt;&lt;Q&gt;Ticker0024^FE_ESTIMATE(DEFREVENUE_LT,MEAN,QUARTERLY_ROLL,2023/4F,45769,,,'')&lt;/Q&gt;&lt;R&gt;1&lt;/R&gt;&lt;C&gt;1&lt;/C&gt;&lt;D xsi:type="xsd:double"&gt;2911.7144&lt;/D&gt;&lt;/FQL&gt;&lt;FQL&gt;&lt;Q&gt;Ticker0024^FE_ESTIMATE(DEFREVENUE_LT,MEAN,QUARTERLY_ROLL,2023/3F,45769,,,'')&lt;/Q&gt;&lt;R&gt;1&lt;/R&gt;&lt;C&gt;1&lt;/C&gt;&lt;D xsi:type="xsd:double"&gt;2698.3333&lt;/D&gt;&lt;/FQL&gt;&lt;FQL&gt;&lt;Q&gt;Ticker0024^FE_ESTIMATE(DEFREVENUE_LT,MEAN,QUARTERLY_ROLL,2023/2F,45769,,,'')&lt;/Q&gt;&lt;R&gt;1&lt;/R&gt;&lt;C&gt;1&lt;/C&gt;&lt;D xsi:type="xsd:double"&gt;2643.3333&lt;/D&gt;&lt;/FQL&gt;&lt;FQL&gt;&lt;Q&gt;Ticker0024^FE_ESTIMATE(DEFREVENUE_LT,MEAN,QUARTERLY_ROLL,2023/1F,45769,,,'')&lt;/Q&gt;&lt;R&gt;1&lt;/R&gt;&lt;C&gt;1&lt;/C&gt;&lt;D xsi:type="xsd:double"&gt;2549.1428&lt;/D&gt;&lt;/FQL&gt;&lt;FQL&gt;&lt;Q&gt;Ticker0024^FE_ESTIMATE(DEFREVENUE_LT,MEAN,ANNUAL_ROLL,2022,45769,,,'')&lt;/Q&gt;&lt;R&gt;1&lt;/R&gt;&lt;C&gt;1&lt;/C&gt;&lt;D xsi:type="xsd:double"&gt;2870&lt;/D&gt;&lt;/FQL&gt;&lt;FQL&gt;&lt;Q&gt;Ticker0024^FE_ESTIMATE(DEFREVENUE_LT,MEAN,QUARTERLY_ROLL,2022/4F,45769,,,'')&lt;/Q&gt;&lt;R&gt;1&lt;/R&gt;&lt;C&gt;1&lt;/C&gt;&lt;D xsi:type="xsd:double"&gt;2870&lt;/D&gt;&lt;/FQL&gt;&lt;FQL&gt;&lt;Q&gt;Ticker0024^FE_ESTIMATE(DEFREVENUE_LT,MEAN,QUARTERLY_ROLL,2022/3F,45769,,,'')&lt;/Q&gt;&lt;R&gt;1&lt;/R&gt;&lt;C&gt;1&lt;/C&gt;&lt;D xsi:type="xsd:double"&gt;2769&lt;/D&gt;&lt;/FQL&gt;&lt;FQL&gt;&lt;Q&gt;Ticker0024^FE_ESTIMATE(DEFREVENUE_LT,MEAN,QUARTERLY_ROLL,2022/2F,45769,,,'')&lt;/Q&gt;&lt;R&gt;1&lt;/R&gt;&lt;C&gt;1&lt;/C&gt;&lt;D xsi:type="xsd:double"&gt;2768&lt;/D&gt;&lt;/FQL&gt;&lt;FQL&gt;&lt;Q&gt;Ticker0024^FE_ESTIMATE(DEFREVENUE_LT,MEAN,QUARTERLY_ROLL,2022/1F,45769,,,'')&lt;/Q&gt;&lt;R&gt;1&lt;/R&gt;&lt;C&gt;1&lt;/C&gt;&lt;D xsi:type="xsd:double"&gt;2550&lt;/D&gt;&lt;/FQL&gt;&lt;FQL&gt;&lt;Q&gt;Ticker0024^FE_ESTIMATE(DEFREVENUE_LT,MEAN,ANNUAL_ROLL,2021,45769,,,'')&lt;/Q&gt;&lt;R&gt;1&lt;/R&gt;&lt;C&gt;1&lt;/C&gt;&lt;D xsi:type="xsd:double"&gt;2616&lt;/D&gt;&lt;/FQL&gt;&lt;FQL&gt;&lt;Q&gt;Ticker0024^FE_ESTIMATE(DEFREVENUE_LT,MEAN,QUARTERLY_ROLL,2021/4F,45769,,,'')&lt;/Q&gt;&lt;R&gt;1&lt;/R&gt;&lt;C&gt;1&lt;/C&gt;&lt;D xsi:type="xsd:double"&gt;2616&lt;/D&gt;&lt;/FQL&gt;&lt;FQL&gt;&lt;Q&gt;Ticker0024^FE_ESTIMATE(DEFREVENUE_LT,MEAN,QUARTERLY_ROLL,2021/3F,45769,,,'')&lt;/Q&gt;&lt;R&gt;1&lt;/R&gt;&lt;C&gt;1&lt;/C&gt;&lt;D xsi:type="xsd:double"&gt;2631&lt;/D&gt;&lt;/FQL&gt;&lt;FQL&gt;&lt;Q&gt;Ticker0024^FE_ESTIMATE(DEFREVENUE_LT,MEAN,QUARTERLY_ROLL,2021/2F,45769,,,'')&lt;/Q&gt;&lt;R&gt;1&lt;/R&gt;&lt;C&gt;1&lt;/C&gt;&lt;D xsi:type="xsd:double"&gt;2985&lt;/D&gt;&lt;/FQL&gt;&lt;FQL&gt;&lt;Q&gt;Ticker0024^FE_ESTIMATE(DEFREVENUE_LT,MEAN,QUARTERLY_ROLL,2021/1F,45769,,,'')&lt;/Q&gt;&lt;R&gt;1&lt;/R&gt;&lt;C&gt;1&lt;/C&gt;&lt;D xsi:type="xsd:double"&gt;2829&lt;/D&gt;&lt;/FQL&gt;&lt;FQL&gt;&lt;Q&gt;Ticker0024^FE_ESTIMATE(DEFREVENUE_LT,MEAN,ANNUAL_ROLL,2020,45769,,,'')&lt;/Q&gt;&lt;R&gt;1&lt;/R&gt;&lt;C&gt;1&lt;/C&gt;&lt;D xsi:type="xsd:double"&gt;3180&lt;/D&gt;&lt;/FQL&gt;&lt;FQL&gt;&lt;Q&gt;Ticker0024^FE_ESTIMATE(DEFREVENUE_LT,MEAN,QUARTERLY_ROLL,2020/4F,45769,,,'')&lt;/Q&gt;&lt;R&gt;1&lt;/R&gt;&lt;C&gt;1&lt;/C&gt;&lt;D xsi:type="xsd:double"&gt;3180&lt;/D&gt;&lt;/FQL&gt;&lt;FQL&gt;&lt;Q&gt;Ticker0024^FE_ESTIMATE(DEFREVENUE_LT,MEAN,QUARTERLY_ROLL,2020/3F,45769,,,'')&lt;/Q&gt;&lt;R&gt;1&lt;/R&gt;&lt;C&gt;1&lt;/C&gt;&lt;D xsi:type="xsd:double"&gt;3385&lt;/D&gt;&lt;/FQL&gt;&lt;FQL&gt;&lt;Q&gt;Ticker0024^FE_ESTIMATE(DEFREVENUE_LT,MEAN,QUARTERLY_ROLL,2020/2F,45769,,,'')&lt;/Q&gt;&lt;R&gt;1&lt;/R&gt;&lt;C&gt;1&lt;/C&gt;&lt;D xsi:type="xsd:double"&gt;3878&lt;/D&gt;&lt;/FQL&gt;&lt;FQL&gt;&lt;Q&gt;Ticker0024^FE_ESTIMATE(DEFREVENUE_LT,MEAN,QUARTERLY_ROLL,2020/1F,45769,,,'')&lt;/Q&gt;&lt;R&gt;1&lt;/R&gt;&lt;C&gt;1&lt;/C&gt;&lt;D xsi:type="xsd:double"&gt;4122&lt;/D&gt;&lt;/FQL&gt;&lt;FQL&gt;&lt;Q&gt;Ticker0024^FE_ESTIMATE(DEFREVENUE_LT,MEAN,ANNUAL_ROLL,2019,45769,,,'')&lt;/Q&gt;&lt;R&gt;1&lt;/R&gt;&lt;C&gt;1&lt;/C&gt;&lt;D xsi:type="xsd:double"&gt;4530&lt;/D&gt;&lt;/FQL&gt;&lt;FQL&gt;&lt;Q&gt;Ticker0024^FE_ESTIMATE(DEFREVENUE_LT,MEAN,QUARTERLY_ROLL,2019/4F,45769,,,'')&lt;/Q&gt;&lt;R&gt;1&lt;/R&gt;&lt;C&gt;1&lt;/C&gt;&lt;D xsi:type="xsd:double"&gt;4530&lt;/D&gt;&lt;/FQL&gt;&lt;FQL&gt;&lt;Q&gt;Ticker0024^FE_ESTIMATE(DEFREVENUE_LT,MEAN,QUARTERLY_ROLL,2019/3F,45769,,,'')&lt;/Q&gt;&lt;R&gt;1&lt;/R&gt;&lt;C&gt;1&lt;/C&gt;&lt;D xsi:type="xsd:double"&gt;3884&lt;/D&gt;&lt;/FQL&gt;&lt;FQL&gt;&lt;Q&gt;Ticker0024^FE_ESTIMATE(DEFREVENUE_LT,MEAN,QUARTERLY_ROLL,2019/2F,45769,,,'')&lt;/Q&gt;&lt;R&gt;1&lt;/R&gt;&lt;C&gt;1&lt;/C&gt;&lt;D xsi:type="xsd:double"&gt;3799&lt;/D&gt;&lt;/FQL&gt;&lt;FQL&gt;&lt;Q&gt;Ticker0024^FE_ESTIMATE(DEFREVENUE_LT,MEAN,QUARTERLY_ROLL,2019/1F,45769,,,'')&lt;/Q&gt;&lt;R&gt;1&lt;/R&gt;&lt;C&gt;1&lt;/C&gt;&lt;D xsi:type="xsd:double"&gt;3538&lt;/D&gt;&lt;/FQL&gt;&lt;FQL&gt;&lt;Q&gt;Ticker0024^FE_ESTIMATE(DEFREVENUE_LT,MEAN,ANNUAL_ROLL,2018,45769,,,'')&lt;/Q&gt;&lt;R&gt;1&lt;/R&gt;&lt;C&gt;1&lt;/C&gt;&lt;D xsi:type="xsd:double"&gt;3815&lt;/D&gt;&lt;/FQL&gt;&lt;FQL&gt;&lt;Q&gt;Ticker0024^FE_ESTIMATE(DEFREVENUE_LT,MEAN,QUARTERLY_ROLL,2018/4F,45769,,,'')&lt;/Q&gt;&lt;R&gt;1&lt;/R&gt;&lt;C&gt;1&lt;/C&gt;&lt;D xsi:type="xsd:double"&gt;3815&lt;/D&gt;&lt;/FQL&gt;&lt;FQL&gt;&lt;Q&gt;Ticker0024^FE_ESTIMATE(DEFREVENUE_LT,MEAN,QUARTERLY_ROLL,2018/3F,45769,,,'')&lt;/Q&gt;&lt;R&gt;1&lt;/R&gt;&lt;C&gt;1&lt;/C&gt;&lt;D xsi:type="xsd:double"&gt;2585&lt;/D&gt;&lt;/FQL&gt;&lt;FQL&gt;&lt;Q&gt;Ticker0024^FE_ESTIMATE(DEFREVENUE_LT,MEAN,QUARTERLY_ROLL,2018/2F,45769,,,'')&lt;/Q&gt;&lt;R&gt;1&lt;/R&gt;&lt;C&gt;1&lt;/C&gt;&lt;D xsi:type="xsd:double"&gt;2500&lt;/D&gt;&lt;/FQL&gt;&lt;FQL&gt;&lt;Q&gt;Ticker0024^FE_ESTIMATE(DEFREVENUE_LT,MEAN,QUARTERLY_ROLL,2018/1F,45769,,,'')&lt;/Q&gt;&lt;R&gt;1&lt;/R&gt;&lt;C&gt;1&lt;/C&gt;&lt;D xsi:type="xsd:double"&gt;2126&lt;/D&gt;&lt;/FQL&gt;&lt;FQL&gt;&lt;Q&gt;Ticker0024^FE_ESTIMATE(DEFREVENUE_LT,MEAN,ANNUAL_ROLL,2017,45769,,,'')&lt;/Q&gt;&lt;R&gt;1&lt;/R&gt;&lt;C&gt;1&lt;/C&gt;&lt;D xsi:type="xsd:double"&gt;10377&lt;/D&gt;&lt;/FQL&gt;&lt;FQL&gt;&lt;Q&gt;Ticker0024^FE_ESTIMATE(DEFREVENUE_LT,MEAN,QUARTERLY_ROLL,2017/4F,45769,,,'')&lt;/Q&gt;&lt;R&gt;1&lt;/R&gt;&lt;C&gt;1&lt;/C&gt;&lt;D xsi:type="xsd:double"&gt;10377&lt;/D&gt;&lt;/FQL&gt;&lt;FQL&gt;&lt;Q&gt;Ticker0024^FE_ESTIMATE(DEFREVENUE_LT,MEAN,QUARTERLY_ROLL,2017/3F,45769,,,'')&lt;/Q&gt;&lt;R&gt;1&lt;/R&gt;&lt;C&gt;1&lt;/C&gt;&lt;D xsi:type="xsd:double"&gt;9215&lt;/D&gt;&lt;/FQL&gt;&lt;FQL&gt;&lt;Q&gt;Ticker0024^FE_ESTIMATE(DEFREVENUE_LT,MEAN,QUARTERLY_ROLL,2017/2F,45769,,,'')&lt;/Q&gt;&lt;R&gt;1&lt;/R&gt;&lt;C&gt;1&lt;/C&gt;&lt;D xsi:type="xsd:double"&gt;8595&lt;/D&gt;&lt;/FQL&gt;&lt;FQL&gt;&lt;Q&gt;Ticker0024^FE_ESTIMATE(DEFREVENUE_LT,MEAN,QUARTERLY_ROLL,2017/1F,45769,,,'')&lt;/Q&gt;&lt;R&gt;1&lt;/R&gt;&lt;C&gt;1&lt;/C&gt;&lt;D xsi:type="xsd:double"&gt;7284&lt;/D&gt;&lt;/FQL&gt;&lt;FQL&gt;&lt;Q&gt;Ticker0024^FE_ESTIMATE(DEFREVENUE_LT,MEAN,ANNUAL_ROLL,2016,45769,,,'')&lt;/Q&gt;&lt;R&gt;1&lt;/R&gt;&lt;C&gt;1&lt;/C&gt;&lt;D xsi:type="xsd:double"&gt;6441&lt;/D&gt;&lt;/FQL&gt;&lt;FQL&gt;&lt;Q&gt;Ticker0024^FE_ESTIMATE(DEFREVENUE_LT,MEAN,QUARTERLY_ROLL,2016/4F,45769,,,'')&lt;/Q&gt;&lt;R&gt;1&lt;/R&gt;&lt;C&gt;1&lt;/C&gt;&lt;D xsi:type="xsd:double"&gt;6441&lt;/D&gt;&lt;/FQL&gt;&lt;FQL&gt;&lt;Q&gt;Ticker0024^FE_ESTIMATE(DEFREVENUE_LT,MEAN,QUARTERLY_ROLL,2016/3F,45769,,,'')&lt;/Q&gt;&lt;R&gt;1&lt;/R&gt;&lt;C&gt;1&lt;/C&gt;&lt;D xsi:type="xsd:double"&gt;5017&lt;/D&gt;&lt;/FQL&gt;&lt;FQL&gt;&lt;Q&gt;Ticker0024^FE_ESTIMATE(DEFREVENUE_LT,MEAN,QUARTERLY_ROLL,2016/2F,45769,,,'')&lt;/Q&gt;&lt;R&gt;1&lt;/R&gt;&lt;C&gt;1&lt;/C&gt;&lt;D xsi:type="xsd:double"&gt;4102&lt;/D&gt;&lt;/FQL&gt;&lt;FQL&gt;&lt;Q&gt;Ticker0024^FE_ESTIMATE(DEFREVENUE_LT,MEAN,QUARTERLY_ROLL,2016/1F,45769,,,'')&lt;/Q&gt;&lt;R&gt;1&lt;/R&gt;&lt;C&gt;1&lt;/C&gt;&lt;D xsi:type="xsd:double"&gt;2784&lt;/D&gt;&lt;/FQL&gt;&lt;FQL&gt;&lt;Q&gt;Ticker0024^FE_ESTIMATE(DEFREVENUE_LT,MEAN,ANNUAL_ROLL,2015,45769,,,'')&lt;/Q&gt;&lt;R&gt;1&lt;/R&gt;&lt;C&gt;1&lt;/C&gt;&lt;D xsi:type="xsd:double"&gt;2095&lt;/D&gt;&lt;/FQL&gt;&lt;FQL&gt;&lt;Q&gt;Ticker0024^FE_ESTIMATE(DEFREVENUE_LT,MEAN,QUARTERLY_ROLL,2015/4F,45769,,,'')&lt;/Q&gt;&lt;R&gt;1&lt;/R&gt;&lt;C&gt;1&lt;/C&gt;&lt;D xsi:type="xsd:double"&gt;2095&lt;/D&gt;&lt;/FQL&gt;&lt;FQL&gt;&lt;Q&gt;Ticker0024^FE_ESTIMATE(DEFREVENUE_LT,MEAN,QUARTERLY_ROLL,2015/3F,45769,,,'')&lt;/Q&gt;&lt;R&gt;1&lt;/R&gt;&lt;C&gt;1&lt;/C&gt;&lt;D xsi:type="xsd:double"&gt;1966&lt;/D&gt;&lt;/FQL&gt;&lt;FQL&gt;&lt;Q&gt;Ticker0024^FE_ESTIMATE(DEFREVENUE_LT,MEAN,QUARTERLY_ROLL,2015/2F,45769,,,'')&lt;/Q&gt;&lt;R&gt;1&lt;/R&gt;&lt;C&gt;1&lt;/C&gt;&lt;D xsi:type="xsd:double"&gt;2035.2727&lt;/D&gt;&lt;/FQL&gt;&lt;FQL&gt;&lt;Q&gt;Ticker0024^FE_ESTIMATE(DEFREVENUE_LT,MEAN,QUARTERLY_ROLL,2015/1F,45769,,,'')&lt;/Q&gt;&lt;R&gt;1&lt;/R&gt;&lt;C&gt;1&lt;/C&gt;&lt;D xsi:type="xsd:double"&gt;1825&lt;/D&gt;&lt;/FQL&gt;&lt;FQL&gt;&lt;Q&gt;Ticker0024^FE_ESTIMATE(DEFREVENUE_ST,MEAN,ANNUAL_ROLL,2030,45769,,,'')&lt;/Q&gt;&lt;R&gt;0&lt;/R&gt;&lt;C&gt;0&lt;/C&gt;&lt;/FQL&gt;&lt;FQL&gt;&lt;Q&gt;Ticker0024^FE_ESTIMATE(DEFREVENUE_ST,MEAN,QUARTERLY_ROLL,2030/4F,45769,,,'')&lt;/Q&gt;&lt;R&gt;0&lt;/R&gt;&lt;C&gt;0&lt;/C&gt;&lt;/FQL&gt;&lt;FQL&gt;&lt;Q&gt;Ticker0024^FE_ESTIMATE(DEFREVENUE_ST,MEAN,QUARTERLY_ROLL,2030/3F,45769,,,'')&lt;/Q&gt;&lt;R&gt;0&lt;/R&gt;&lt;C&gt;0&lt;/C&gt;&lt;/FQL&gt;&lt;FQL&gt;&lt;Q&gt;Ticker0024^FE_ESTIMATE(DEFREVENUE_ST,MEAN,QUARTERLY_ROLL,2030/2F,45769,,,'')&lt;/Q&gt;&lt;R&gt;0&lt;/R&gt;&lt;C&gt;0&lt;/C&gt;&lt;/FQL&gt;&lt;FQL&gt;&lt;Q&gt;Ticker0024^FE_ESTIMATE(DEFREVENUE_ST,MEAN,QUARTERLY_ROLL,2030/1F,45769,,,'')&lt;/Q&gt;&lt;R&gt;0&lt;/R&gt;&lt;C&gt;0&lt;/C&gt;&lt;/FQL&gt;&lt;FQL&gt;&lt;Q&gt;Ticker0024^FE_ESTIMATE(DEFREVENUE_ST,MEAN,ANNUAL_ROLL,2029,45769,,,'')&lt;/Q&gt;&lt;R&gt;0&lt;/R&gt;&lt;C&gt;0&lt;/C&gt;&lt;/FQL&gt;&lt;FQL&gt;&lt;Q&gt;Ticker0024^FE_ESTIMATE(DEFREVENUE_ST,MEAN,QUARTERLY_ROLL,2029/4F,45769,,,'')&lt;/Q&gt;&lt;R&gt;0&lt;/R&gt;&lt;C&gt;0&lt;/C&gt;&lt;/FQL&gt;&lt;FQL&gt;&lt;Q&gt;Ticker0024^FE_ESTIMATE(DEFREVENUE_ST,MEAN,QUARTERLY_ROLL,2029/3F,45769,,,'')&lt;/Q&gt;&lt;R&gt;0&lt;/R&gt;&lt;C&gt;0&lt;/C&gt;&lt;/FQL&gt;&lt;FQL&gt;&lt;Q&gt;Ticker0024^FE_ESTIMATE(DEFREVENUE_ST,MEAN,QUARTERLY_ROLL,2029/2F,45769,,,'')&lt;/Q&gt;&lt;R&gt;0&lt;/R&gt;&lt;C&gt;0&lt;/C&gt;&lt;/FQL&gt;&lt;FQL&gt;&lt;Q&gt;Ticker0024^FE_ESTIMATE(DEFREVENUE_ST,MEAN,QUARTERLY_ROLL,2029/1F,45769,,,'')&lt;/Q&gt;&lt;R&gt;0&lt;/R&gt;&lt;C&gt;0&lt;/C&gt;&lt;/FQL&gt;&lt;FQL&gt;&lt;Q&gt;Ticker0024^FE_ESTIMATE(DEFREVENUE_ST,MEAN,ANNUAL_ROLL,2028,45769,,,'')&lt;/Q&gt;&lt;R&gt;0&lt;/R&gt;&lt;C&gt;0&lt;/C&gt;&lt;/FQL&gt;&lt;FQL&gt;&lt;Q&gt;Ticker0024^FE_ESTIMATE(DEFREVENUE_ST,MEAN,QUARTERLY_ROLL,2028/4F,45769,,,'')&lt;/Q&gt;&lt;R&gt;0&lt;/R&gt;&lt;C&gt;0&lt;/C&gt;&lt;/FQL&gt;&lt;FQL&gt;&lt;Q&gt;Ticker0024^FE_ESTIMATE(DEFREVENUE_ST,MEAN,QUARTERLY_ROLL,2028/3F,45769,,,'')&lt;/Q&gt;&lt;R&gt;0&lt;/R&gt;&lt;C&gt;0&lt;/C&gt;&lt;/FQL&gt;&lt;FQL&gt;&lt;Q&gt;Ticker0024^FE_ESTIMATE(DEFREVENUE_ST,MEAN,QUARTERLY_ROLL,2028/2F,45769,,,'')&lt;/Q&gt;&lt;R&gt;0&lt;/R&gt;&lt;C&gt;0&lt;/C&gt;&lt;/FQL&gt;&lt;FQL&gt;&lt;Q&gt;Ticker0024^FE_ESTIMATE(DEFREVENUE_ST,MEAN,QUARTERLY_ROLL,2028/1F,45769,,,'')&lt;/Q&gt;&lt;R&gt;0&lt;/R&gt;&lt;C&gt;0&lt;/C&gt;&lt;/FQL&gt;&lt;FQL&gt;&lt;Q&gt;Ticker0024^FE_ESTIMATE(DEFREVENUE_ST,MEAN,ANNUAL_ROLL,2027,45769,,,'')&lt;/Q&gt;&lt;R&gt;1&lt;/R&gt;&lt;C&gt;1&lt;/C&gt;&lt;D xsi:type="xsd:double"&gt;74439.25&lt;/D&gt;&lt;/FQL&gt;&lt;FQL&gt;&lt;Q&gt;Ticker0024^FE_ESTIMATE(DEFREVENUE_ST,MEAN,QUARTERLY_ROLL,2027/4F,45769,,,'')&lt;/Q&gt;&lt;R&gt;1&lt;/R&gt;&lt;C&gt;1&lt;/C&gt;&lt;D xsi:type="xsd:double"&gt;87308&lt;/D&gt;&lt;/FQL&gt;&lt;FQL&gt;&lt;Q&gt;Ticker0024^FE_ESTIMATE(DEFREVENUE_ST,MEAN,QUARTERLY_ROLL,2027/3F,45769,,,'')&lt;/Q&gt;&lt;R&gt;1&lt;/R&gt;&lt;C&gt;1&lt;/C&gt;&lt;D xsi:type="xsd:double"&gt;67308&lt;/D&gt;&lt;/FQL&gt;&lt;FQL&gt;&lt;Q&gt;Ticker0024^FE_ESTIMATE(DEFREVENUE_ST,MEAN,QUARTERLY_ROLL,2027/2F,45769,,,'')&lt;/Q&gt;&lt;R&gt;1&lt;/R&gt;&lt;C&gt;1&lt;/C&gt;&lt;D xsi:type="xsd:double"&gt;67908&lt;/D&gt;&lt;/FQL&gt;&lt;FQL&gt;&lt;Q&gt;Ticker0024^FE_ESTIMATE(DEFREVENUE_ST,MEAN,QUARTERLY_ROLL,2027/1F,45769,,,'')&lt;/Q&gt;&lt;R&gt;1&lt;/R&gt;&lt;C&gt;1&lt;/C&gt;&lt;D xsi:type="xsd:double"&gt;71608&lt;/D&gt;&lt;/FQL&gt;&lt;FQL&gt;&lt;Q&gt;Ticker0024^FE_ESTIMATE(DEFREVENUE_ST,MEAN,ANNUAL_ROLL,2026,45769,,,'')&lt;/Q&gt;&lt;R&gt;1&lt;/R&gt;&lt;C&gt;1&lt;/C&gt;&lt;D xsi:type="xsd:double"&gt;68459.75&lt;/D&gt;&lt;/FQL&gt;&lt;FQL&gt;&lt;Q&gt;Ticker0024^FE_ESTIMATE(DEFREVENUE_ST,MEAN,QUARTERLY_ROLL,2026/4F,45769,,,'')&lt;/Q&gt;&lt;R&gt;1&lt;/R&gt;&lt;C&gt;1&lt;/C&gt;&lt;D xsi:type="xsd:double"&gt;70123&lt;/D&gt;&lt;/FQL&gt;&lt;FQL&gt;&lt;Q&gt;Ticker0024^FE_ESTIMATE(DEFREVENUE_ST,MEAN,QUARTERLY_ROLL,2026/3F,45769,,,'')&lt;/Q&gt;&lt;R&gt;1&lt;/R&gt;&lt;C&gt;1&lt;/C&gt;&lt;D xsi:type="xsd:double"&gt;50923.8&lt;/D&gt;&lt;/FQL&gt;&lt;FQL&gt;&lt;Q&gt;Ticker0024^FE_ESTIMATE(DEFREVENUE_ST,MEAN,QUARTERLY</t>
        </r>
      </text>
    </comment>
    <comment ref="A28" authorId="0" shapeId="0" xr:uid="{EAF6CED0-3FB3-4691-9E86-442B01D6355B}">
      <text>
        <r>
          <rPr>
            <b/>
            <sz val="9"/>
            <color indexed="81"/>
            <rFont val="Tahoma"/>
            <family val="2"/>
          </rPr>
          <t>_ROLL,2026/2F,45769,,,'')&lt;/Q&gt;&lt;R&gt;1&lt;/R&gt;&lt;C&gt;1&lt;/C&gt;&lt;D xsi:type="xsd:double"&gt;51507&lt;/D&gt;&lt;/FQL&gt;&lt;FQL&gt;&lt;Q&gt;Ticker0024^FE_ESTIMATE(DEFREVENUE_ST,MEAN,QUARTERLY_ROLL,2026/1F,45769,,,'')&lt;/Q&gt;&lt;R&gt;1&lt;/R&gt;&lt;C&gt;1&lt;/C&gt;&lt;D xsi:type="xsd:double"&gt;58072&lt;/D&gt;&lt;/FQL&gt;&lt;FQL&gt;&lt;Q&gt;Ticker0024^FE_ESTIMATE(DEFREVENUE_ST,MEAN,ANNUAL_ROLL,2025,45769,,,'')&lt;/Q&gt;&lt;R&gt;1&lt;/R&gt;&lt;C&gt;1&lt;/C&gt;&lt;D xsi:type="xsd:double"&gt;62089.535&lt;/D&gt;&lt;/FQL&gt;&lt;FQL&gt;&lt;Q&gt;Ticker0024^FE_ESTIMATE(DEFREVENUE_ST,MEAN,QUARTERLY_ROLL,2025/4F,45769,,,'')&lt;/Q&gt;&lt;R&gt;1&lt;/R&gt;&lt;C&gt;1&lt;/C&gt;&lt;D xsi:type="xsd:double"&gt;61723.727&lt;/D&gt;&lt;/FQL&gt;&lt;FQL&gt;&lt;Q&gt;Ticker0024^FE_ESTIMATE(DEFREVENUE_ST,MEAN,QUARTERLY_ROLL,2025/3F,45769,,,'')&lt;/Q&gt;&lt;R&gt;1&lt;/R&gt;&lt;C&gt;1&lt;/C&gt;&lt;D xsi:type="xsd:double"&gt;46295.477&lt;/D&gt;&lt;/FQL&gt;&lt;FQL&gt;&lt;Q&gt;Ticker0024^FE_ESTIMATE(DEFREVENUE_ST,MEAN,QUARTERLY_ROLL,2025/2F,45769,,,'')&lt;/Q&gt;&lt;R&gt;1&lt;/R&gt;&lt;C&gt;1&lt;/C&gt;&lt;D xsi:type="xsd:double"&gt;45508.332&lt;/D&gt;&lt;/FQL&gt;&lt;FQL&gt;&lt;Q&gt;Ticker0024^FE_ESTIMATE(DEFREVENUE_ST,MEAN,QUARTERLY_ROLL,2025/1F,45769,,,'')&lt;/Q&gt;&lt;R&gt;1&lt;/R&gt;&lt;C&gt;1&lt;/C&gt;&lt;D xsi:type="xsd:double"&gt;53026.5&lt;/D&gt;&lt;/FQL&gt;&lt;FQL&gt;&lt;Q&gt;Ticker0024^FE_ESTIMATE(DEFREVENUE_ST,MEAN,ANNUAL_ROLL,2024,45769,,,'')&lt;/Q&gt;&lt;R&gt;1&lt;/R&gt;&lt;C&gt;1&lt;/C&gt;&lt;D xsi:type="xsd:double"&gt;57725&lt;/D&gt;&lt;/FQL&gt;&lt;FQL&gt;&lt;Q&gt;Ticker0024^FE_ESTIMATE(DEFREVENUE_ST,MEAN,QUARTERLY_ROLL,2024/4F,45769,,,'')&lt;/Q&gt;&lt;R&gt;1&lt;/R&gt;&lt;C&gt;1&lt;/C&gt;&lt;D xsi:type="xsd:double"&gt;57581.75&lt;/D&gt;&lt;/FQL&gt;&lt;FQL&gt;&lt;Q&gt;Ticker0024^FE_ESTIMATE(DEFREVENUE_ST,MEAN,QUARTERLY_ROLL,2024/3F,45769,,,'')&lt;/Q&gt;&lt;R&gt;1&lt;/R&gt;&lt;C&gt;1&lt;/C&gt;&lt;D xsi:type="xsd:double"&gt;41888.285&lt;/D&gt;&lt;/FQL&gt;&lt;FQL&gt;&lt;Q&gt;Ticker0024^FE_ESTIMATE(DEFREVENUE_ST,MEAN,QUARTERLY_ROLL,2024/2F,45769,,,'')&lt;/Q&gt;&lt;R&gt;1&lt;/R&gt;&lt;C&gt;1&lt;/C&gt;&lt;D xsi:type="xsd:double"&gt;43068.285&lt;/D&gt;&lt;/FQL&gt;&lt;FQL&gt;&lt;Q&gt;Ticker0024^FE_ESTIMATE(DEFREVENUE_ST,MEAN,QUARTERLY_ROLL,2024/1F,45769,,,'')&lt;/Q&gt;&lt;R&gt;1&lt;/R&gt;&lt;C&gt;1&lt;/C&gt;&lt;D xsi:type="xsd:double"&gt;46429.168&lt;/D&gt;&lt;/FQL&gt;&lt;FQL&gt;&lt;Q&gt;Ticker0024^FE_ESTIMATE(DEFREVENUE_ST,MEAN,ANNUAL_ROLL,2023,45769,,,'')&lt;/Q&gt;&lt;R&gt;1&lt;/R&gt;&lt;C&gt;1&lt;/C&gt;&lt;D xsi:type="xsd:double"&gt;50900.875&lt;/D&gt;&lt;/FQL&gt;&lt;FQL&gt;&lt;Q&gt;Ticker0024^FE_ESTIMATE(DEFREVENUE_ST,MEAN,QUARTERLY_ROLL,2023/4F,45769,,,'')&lt;/Q&gt;&lt;R&gt;1&lt;/R&gt;&lt;C&gt;1&lt;/C&gt;&lt;D xsi:type="xsd:double"&gt;50900.855&lt;/D&gt;&lt;/FQL&gt;&lt;FQL&gt;&lt;Q&gt;Ticker0024^FE_ESTIMATE(DEFREVENUE_ST,MEAN,QUARTERLY_ROLL,2023/3F,45769,,,'')&lt;/Q&gt;&lt;R&gt;1&lt;/R&gt;&lt;C&gt;1&lt;/C&gt;&lt;D xsi:type="xsd:double"&gt;36902.5&lt;/D&gt;&lt;/FQL&gt;&lt;FQL&gt;&lt;Q&gt;Ticker0024^FE_ESTIMATE(DEFREVENUE_ST,MEAN,QUARTERLY_ROLL,2023/2F,45769,,,'')&lt;/Q&gt;&lt;R&gt;1&lt;/R&gt;&lt;C&gt;1&lt;/C&gt;&lt;D xsi:type="xsd:double"&gt;36981.668&lt;/D&gt;&lt;/FQL&gt;&lt;FQL&gt;&lt;Q&gt;Ticker0024^FE_ESTIMATE(DEFREVENUE_ST,MEAN,QUARTERLY_ROLL,2023/1F,45769,,,'')&lt;/Q&gt;&lt;R&gt;1&lt;/R&gt;&lt;C&gt;1&lt;/C&gt;&lt;D xsi:type="xsd:double"&gt;41340&lt;/D&gt;&lt;/FQL&gt;&lt;FQL&gt;&lt;Q&gt;Ticker0024^FE_ESTIMATE(DEFREVENUE_ST,MEAN,ANNUAL_ROLL,2022,45769,,,'')&lt;/Q&gt;&lt;R&gt;1&lt;/R&gt;&lt;C&gt;1&lt;/C&gt;&lt;D xsi:type="xsd:double"&gt;45538&lt;/D&gt;&lt;/FQL&gt;&lt;FQL&gt;&lt;Q&gt;Ticker0024^FE_ESTIMATE(DEFREVENUE_ST,MEAN,QUARTERLY_ROLL,2022/4F,45769,,,'')&lt;/Q&gt;&lt;R&gt;1&lt;/R&gt;&lt;C&gt;1&lt;/C&gt;&lt;D xsi:type="xsd:double"&gt;45538&lt;/D&gt;&lt;/FQL&gt;&lt;FQL&gt;&lt;Q&gt;Ticker0024^FE_ESTIMATE(DEFREVENUE_ST,MEAN,QUARTERLY_ROLL,2022/3F,45769,,,'')&lt;/Q&gt;&lt;R&gt;1&lt;/R&gt;&lt;C&gt;1&lt;/C&gt;&lt;D xsi:type="xsd:double"&gt;34027&lt;/D&gt;&lt;/FQL&gt;&lt;FQL&gt;&lt;Q&gt;Ticker0024^FE_ESTIMATE(DEFREVENUE_ST,MEAN,QUARTERLY_ROLL,2022/2F,45769,,,'')&lt;/Q&gt;&lt;R&gt;1&lt;/R&gt;&lt;C&gt;1&lt;/C&gt;&lt;D xsi:type="xsd:double"&gt;34001&lt;/D&gt;&lt;/FQL&gt;&lt;FQL&gt;&lt;Q&gt;Ticker0024^FE_ESTIMATE(DEFREVENUE_ST,MEAN,QUARTERLY_ROLL,2022/1F,45769,,,'')&lt;/Q&gt;&lt;R&gt;1&lt;/R&gt;&lt;C&gt;1&lt;/C&gt;&lt;D xsi:type="xsd:double"&gt;38465&lt;/D&gt;&lt;/FQL&gt;&lt;FQL&gt;&lt;Q&gt;Ticker0024^FE_ESTIMATE(DEFREVENUE_ST,MEAN,ANNUAL_ROLL,2021,45769,,,'')&lt;/Q&gt;&lt;R&gt;1&lt;/R&gt;&lt;C&gt;1&lt;/C&gt;&lt;D xsi:type="xsd:double"&gt;41525&lt;/D&gt;&lt;/FQL&gt;&lt;FQL&gt;&lt;Q&gt;Ticker0024^FE_ESTIMATE(DEFREVENUE_ST,MEAN,QUARTERLY_ROLL,2021/4F,45769,,,'')&lt;/Q&gt;&lt;R&gt;1&lt;/R&gt;&lt;C&gt;1&lt;/C&gt;&lt;D xsi:type="xsd:double"&gt;41525&lt;/D&gt;&lt;/FQL&gt;&lt;FQL&gt;&lt;Q&gt;Ticker0024^FE_ESTIMATE(DEFREVENUE_ST,MEAN,QUARTERLY_ROLL,2021/3F,45769,,,'')&lt;/Q&gt;&lt;R&gt;1&lt;/R&gt;&lt;C&gt;1&lt;/C&gt;&lt;D xsi:type="xsd:double"&gt;30083&lt;/D&gt;&lt;/FQL&gt;&lt;FQL&gt;&lt;Q&gt;Ticker0024^FE_ESTIMATE(DEFREVENUE_ST,MEAN,QUARTERLY_ROLL,2021/2F,45769,,,'')&lt;/Q&gt;&lt;R&gt;1&lt;/R&gt;&lt;C&gt;1&lt;/C&gt;&lt;D xsi:type="xsd:double"&gt;30402&lt;/D&gt;&lt;/FQL&gt;&lt;FQL&gt;&lt;Q&gt;Ticker0024^FE_ESTIMATE(DEFREVENUE_ST,MEAN,QUARTERLY_ROLL,2021/1F,45769,,,'')&lt;/Q&gt;&lt;R&gt;1&lt;/R&gt;&lt;C&gt;1&lt;/C&gt;&lt;D xsi:type="xsd:double"&gt;33476&lt;/D&gt;&lt;/FQL&gt;&lt;FQL&gt;&lt;Q&gt;Ticker0024^FE_ESTIMATE(DEFREVENUE_ST,MEAN,ANNUAL_ROLL,2020,45769,,,'')&lt;/Q&gt;&lt;R&gt;1&lt;/R&gt;&lt;C&gt;1&lt;/C&gt;&lt;D xsi:type="xsd:double"&gt;36000&lt;/D&gt;&lt;/FQL&gt;&lt;FQL&gt;&lt;Q&gt;Ticker0024^FE_ESTIMATE(DEFREVENUE_ST,MEAN,QUARTERLY_ROLL,2020/4F,45769,,,'')&lt;/Q&gt;&lt;R&gt;1&lt;/R&gt;&lt;C&gt;1&lt;/C&gt;&lt;D xsi:type="xsd:double"&gt;36000&lt;/D&gt;&lt;/FQL&gt;&lt;FQL&gt;&lt;Q&gt;Ticker0024^FE_ESTIMATE(DEFREVENUE_ST,MEAN,QUARTERLY_ROLL,2020/3F,45769,,,'')&lt;/Q&gt;&lt;R&gt;1&lt;/R&gt;&lt;C&gt;1&lt;/C&gt;&lt;D xsi:type="xsd:double"&gt;27012&lt;/D&gt;&lt;/FQL&gt;&lt;FQL&gt;&lt;Q&gt;Ticker0024^FE_ESTIMATE(DEFREVENUE_ST,MEAN,QUARTERLY_ROLL,2020/2F,45769,,,'')&lt;/Q&gt;&lt;R&gt;1&lt;/R&gt;&lt;C&gt;1&lt;/C&gt;&lt;D xsi:type="xsd:double"&gt;27343&lt;/D&gt;&lt;/FQL&gt;&lt;FQL&gt;&lt;Q&gt;Ticker0024^FE_ESTIMATE(DEFREVENUE_ST,MEAN,QUARTERLY_ROLL,2020/1F,45769,,,'')&lt;/Q&gt;&lt;R&gt;1&lt;/R&gt;&lt;C&gt;1&lt;/C&gt;&lt;D xsi:type="xsd:double"&gt;29904&lt;/D&gt;&lt;/FQL&gt;&lt;FQL&gt;&lt;Q&gt;Ticker0024^FE_ESTIMATE(DEFREVENUE_ST,MEAN,ANNUAL_ROLL,2019,45769,,,'')&lt;/Q&gt;&lt;R&gt;1&lt;/R&gt;&lt;C&gt;1&lt;/C&gt;&lt;D xsi:type="xsd:double"&gt;32676&lt;/D&gt;&lt;/FQL&gt;&lt;FQL&gt;&lt;Q&gt;Ticker0024^FE_ESTIMATE(DEFREVENUE_ST,MEAN,QUARTERLY_ROLL,2019/4F,45769,,,'')&lt;/Q&gt;&lt;R&gt;1&lt;/R&gt;&lt;C&gt;1&lt;/C&gt;&lt;D xsi:type="xsd:double"&gt;32676&lt;/D&gt;&lt;/FQL&gt;&lt;FQL&gt;&lt;Q&gt;Ticker0024^FE_ESTIMATE(DEFREVENUE_ST,MEAN,QUARTERLY_ROLL,2019/3F,45769,,,'')&lt;/Q&gt;&lt;R&gt;1&lt;/R&gt;&lt;C&gt;1&lt;/C&gt;&lt;D xsi:type="xsd:double"&gt;24251&lt;/D&gt;&lt;/FQL&gt;&lt;FQL&gt;&lt;Q&gt;Ticker0024^FE_ESTIMATE(DEFREVENUE_ST,MEAN,QUARTERLY_ROLL,2019/2F,45769,,,'')&lt;/Q&gt;&lt;R&gt;1&lt;/R&gt;&lt;C&gt;1&lt;/C&gt;&lt;D xsi:type="xsd:double"&gt;24285&lt;/D&gt;&lt;/FQL&gt;&lt;FQL&gt;&lt;Q&gt;Ticker0024^FE_ESTIMATE(DEFREVENUE_ST,MEAN,QUARTERLY_ROLL,2019/1F,45769,,,'')&lt;/Q&gt;&lt;R&gt;1&lt;/R&gt;&lt;C&gt;1&lt;/C&gt;&lt;D xsi:type="xsd:double"&gt;26704&lt;/D&gt;&lt;/FQL&gt;&lt;FQL&gt;&lt;Q&gt;Ticker0024^FE_ESTIMATE(DEFREVENUE_ST,MEAN,ANNUAL_ROLL,2018,45769,,,'')&lt;/Q&gt;&lt;R&gt;1&lt;/R&gt;&lt;C&gt;1&lt;/C&gt;&lt;D xsi:type="xsd:double"&gt;28905&lt;/D&gt;&lt;/FQL&gt;&lt;FQL&gt;&lt;Q&gt;Ticker0024^FE_ESTIMATE(DEFREVENUE_ST,MEAN,QUARTERLY_ROLL,2018/4F,45769,,,'')&lt;/Q&gt;&lt;R&gt;1&lt;/R&gt;&lt;C&gt;1&lt;/C&gt;&lt;D xsi:type="xsd:double"&gt;28905&lt;/D&gt;&lt;/FQL&gt;&lt;FQL&gt;&lt;Q&gt;Ticker0024^FE_ESTIMATE(DEFREVENUE_ST,MEAN,QUARTERLY_ROLL,2018/3F,45769,,,'')&lt;/Q&gt;&lt;R&gt;1&lt;/R&gt;&lt;C&gt;1&lt;/C&gt;&lt;D xsi:type="xsd:double"&gt;21370&lt;/D&gt;&lt;/FQL&gt;&lt;FQL&gt;&lt;Q&gt;Ticker0024^FE_ESTIMATE(DEFREVENUE_ST,MEAN,QUARTERLY_ROLL,2018/2F,45769,,,'')&lt;/Q&gt;&lt;R&gt;1&lt;/R&gt;&lt;C&gt;1&lt;/C&gt;&lt;D xsi:type="xsd:double"&gt;21559&lt;/D&gt;&lt;/FQL&gt;&lt;FQL&gt;&lt;Q&gt;Ticker0024^FE_ESTIMATE(DEFREVENUE_ST,MEAN,QUARTERLY_ROLL,2018/1F,45769,,,'')&lt;/Q&gt;&lt;R&gt;1&lt;/R&gt;&lt;C&gt;1&lt;/C&gt;&lt;D xsi:type="xsd:double"&gt;22990.6&lt;/D&gt;&lt;/FQL&gt;&lt;FQL&gt;&lt;Q&gt;Ticker0024^FE_ESTIMATE(DEFREVENUE_ST,MEAN,ANNUAL_ROLL,2017,45769,,,'')&lt;/Q&gt;&lt;R&gt;1&lt;/R&gt;&lt;C&gt;1&lt;/C&gt;&lt;D xsi:type="xsd:double"&gt;34102&lt;/D&gt;&lt;/FQL&gt;&lt;FQL&gt;&lt;Q&gt;Ticker0024^FE_ESTIMATE(DEFREVENUE_ST,MEAN,QUARTERLY_ROLL,2017/4F,45769,,,'')&lt;/Q&gt;&lt;R&gt;1&lt;/R&gt;&lt;C&gt;1&lt;/C&gt;&lt;D xsi:type="xsd:double"&gt;34102&lt;/D&gt;&lt;/FQL&gt;&lt;FQL&gt;&lt;Q&gt;Ticker0024^FE_ESTIMATE(DEFREVENUE_ST,MEAN,QUARTERLY_ROLL,2017/3F,45769,,,'')&lt;/Q&gt;&lt;R&gt;1&lt;/R&gt;&lt;C&gt;1&lt;/C&gt;&lt;D xsi:type="xsd:double"&gt;26518&lt;/D&gt;&lt;/FQL&gt;&lt;FQL&gt;&lt;Q&gt;Ticker0024^FE_ESTIMATE(DEFREVENUE_ST,MEAN,QUARTERLY_ROLL,2017/2F,45769,,,'')&lt;/Q&gt;&lt;R&gt;1&lt;/R&gt;&lt;C&gt;1&lt;/C&gt;&lt;D xsi:type="xsd:double"&gt;25983&lt;/D&gt;&lt;/FQL&gt;&lt;FQL&gt;&lt;Q&gt;Ticker0024^FE_ESTIMATE(DEFREVENUE_ST,MEAN,QUARTERLY_ROLL,2017/1F,45769,,,'')&lt;/Q&gt;&lt;R&gt;1&lt;/R&gt;&lt;C&gt;1&lt;/C&gt;&lt;D xsi:type="xsd:double"&gt;26304&lt;/D&gt;&lt;/FQL&gt;&lt;FQL&gt;&lt;Q&gt;Ticker0024^FE_ESTIMATE(DEFREVENUE_ST,MEAN,ANNUAL_ROLL,2016,45769,,,'')&lt;/Q&gt;&lt;R&gt;1&lt;/R&gt;&lt;C&gt;1&lt;/C&gt;&lt;D xsi:type="xsd:double"&gt;27468&lt;/D&gt;&lt;/FQL&gt;&lt;FQL&gt;&lt;Q&gt;Ticker0024^FE_ESTIMATE(DEFREVENUE_ST,MEAN,QUARTERLY_ROLL,2016/4F,45769,,,'')&lt;/Q&gt;&lt;R&gt;1&lt;/R&gt;&lt;C&gt;1&lt;/C&gt;&lt;D xsi:type="xsd:double"&gt;27468&lt;/D&gt;&lt;/FQL&gt;&lt;FQL&gt;&lt;Q&gt;Ticker0024^FE_ESTIMATE(DEFREVENUE_ST,MEAN,QUARTERLY_ROLL,2016/3F,45769,,,'')&lt;/Q&gt;&lt;R&gt;1&lt;/R&gt;&lt;C&gt;1&lt;/C&gt;&lt;D xsi:type="xsd:double"&gt;20876&lt;/D&gt;&lt;/FQL&gt;&lt;FQL&gt;&lt;Q&gt;Ticker0024^FE_ESTIMATE(DEFREVENUE_ST,MEAN,QUARTERLY_ROLL,2016/2F,45769,,,'')&lt;/Q&gt;&lt;R&gt;1&lt;/R&gt;&lt;C&gt;1&lt;/C&gt;&lt;D xsi:type="xsd:double"&gt;20929&lt;/D&gt;&lt;/FQL&gt;&lt;FQL&gt;&lt;Q&gt;Ticker0024^FE_ESTIMATE(DEFREVENUE_ST,MEAN,QUARTERLY_ROLL,2016/1F,45769,,,'')&lt;/Q&gt;&lt;R&gt;1&lt;/R&gt;&lt;C&gt;1&lt;/C&gt;&lt;D xsi:type="xsd:double"&gt;21603&lt;/D&gt;&lt;/FQL&gt;&lt;FQL&gt;&lt;Q&gt;Ticker0024^FE_ESTIMATE(DEFREVENUE_ST,MEAN,ANNUAL_ROLL,2015,45769,,,'')&lt;/Q&gt;&lt;R&gt;1&lt;/R&gt;&lt;C&gt;1&lt;/C&gt;&lt;D xsi:type="xsd:double"&gt;23223&lt;/D&gt;&lt;/FQL&gt;&lt;FQL&gt;&lt;Q&gt;Ticker0024^FE_ESTIMATE(DEFREVENUE_ST,MEAN,QUARTERLY_ROLL,2015/4F,45769,,,'')&lt;/Q&gt;&lt;R&gt;1&lt;/R&gt;&lt;C&gt;1&lt;/C&gt;&lt;D xsi:type="xsd:double"&gt;23223&lt;/D&gt;&lt;/FQL&gt;&lt;FQL&gt;&lt;Q&gt;Ticker0024^FE_ESTIMATE(DEFREVENUE_ST,MEAN,QUARTERLY_ROLL,2015/3F,45769,,,'')&lt;/Q&gt;&lt;R&gt;1&lt;/R&gt;&lt;C&gt;1&lt;/C&gt;&lt;D xsi:type="xsd:double"&gt;18232&lt;/D&gt;&lt;/FQL&gt;&lt;FQL&gt;&lt;Q&gt;Ticker0024^FE_ESTIMATE(DEFREVENUE_ST,MEAN,QUARTERLY_ROLL,2015/2F,45769,,,'')&lt;/Q&gt;&lt;R&gt;1&lt;/R&gt;&lt;C&gt;1&lt;/C&gt;&lt;D xsi:type="xsd:double"&gt;19192&lt;/D&gt;&lt;/FQL&gt;&lt;FQL&gt;&lt;Q&gt;Ticker0024^FE_ESTIMATE(DEFREVENUE_ST,MEAN,QUARTERLY_ROLL,2015/1F,45769,,,'')&lt;/Q&gt;&lt;R&gt;1&lt;/R&gt;&lt;C&gt;1&lt;/C&gt;&lt;D xsi:type="xsd:double"&gt;20713&lt;/D&gt;&lt;/FQL&gt;&lt;FQL&gt;&lt;Q&gt;Ticker0024^FE_ESTIMATE(FCF,MEAN,ANNUAL_ROLL,2030,45769,,,'')&lt;/Q&gt;&lt;R&gt;0&lt;/R&gt;&lt;C&gt;0&lt;/C&gt;&lt;/FQL&gt;&lt;FQL&gt;&lt;Q&gt;Ticker0024^FE_ESTIMATE(FCF,MEAN,QUARTERLY_ROLL,2030/4F,45769,,,'')&lt;/Q&gt;&lt;R&gt;0&lt;/R&gt;&lt;C&gt;0&lt;/C&gt;&lt;/FQL&gt;&lt;FQL&gt;&lt;Q&gt;Ticker0024^FE_ESTIMATE(FCF,MEAN,QUARTERLY_ROLL,2030/3F,45769,,,'')&lt;/Q&gt;&lt;R&gt;0&lt;/R&gt;&lt;C&gt;0&lt;/C&gt;&lt;/FQL&gt;&lt;FQL&gt;&lt;Q&gt;Ticker0024^FE_ESTIMATE(FCF,MEAN,QUARTERLY_ROLL,2030/2F,45769,,,'')&lt;/Q&gt;&lt;R&gt;0&lt;/R&gt;&lt;C&gt;0&lt;/C&gt;&lt;/FQL&gt;&lt;FQL&gt;&lt;Q&gt;Ticker0024^FE_ESTIMATE(FCF,MEAN,QUARTERLY_ROLL,2030/1F,45769,,,'')&lt;/Q&gt;&lt;R&gt;0&lt;/R&gt;&lt;C&gt;0&lt;/C&gt;&lt;/FQL&gt;&lt;FQL&gt;&lt;Q&gt;Ticker0024^FE_ESTIMATE(FCF,MEAN,ANNUAL_ROLL,2029,45769,,,'')&lt;/Q&gt;&lt;R&gt;1&lt;/R&gt;&lt;C&gt;1&lt;/C&gt;&lt;D xsi:type="xsd:double"&gt;153725&lt;/D&gt;&lt;/FQL&gt;&lt;FQL&gt;&lt;Q&gt;Ticker0024^FE_ESTIMATE(FCF,MEAN,QUARTERLY_ROLL,2029/4F,45769,,,'')&lt;/Q&gt;&lt;R&gt;0&lt;/R&gt;&lt;C&gt;0&lt;/C&gt;&lt;/FQL&gt;&lt;FQL&gt;&lt;Q&gt;Ticker0024^FE_ESTIMATE(FCF,MEAN,QUARTERLY_ROLL,2029/3F,45769,,,'')&lt;/Q&gt;&lt;R&gt;0&lt;/R&gt;&lt;C&gt;0&lt;/C&gt;&lt;/FQL&gt;&lt;FQL&gt;&lt;Q&gt;Ticker0024^FE_ESTIMATE(FCF,MEAN,QUARTERLY_ROLL,2029/2F,45769,,,'')&lt;/Q&gt;&lt;R&gt;0&lt;/R&gt;&lt;C&gt;0&lt;/C&gt;&lt;/FQL&gt;&lt;FQL&gt;&lt;Q&gt;Ticker0024^FE_ESTIMATE(FCF,MEAN,QUARTERLY_ROLL,2029/1F,45769,,,'')&lt;/Q&gt;&lt;R&gt;0&lt;/R&gt;&lt;C&gt;0&lt;/C&gt;&lt;/FQL&gt;&lt;FQL&gt;&lt;Q&gt;Ticker0024^FE_ESTIMATE(FCF,MEAN,ANNUAL_ROLL,2028,45769,,,'')&lt;/Q&gt;&lt;R&gt;1&lt;/R&gt;&lt;C&gt;1&lt;/C&gt;&lt;D xsi:type="xsd:double"&gt;119306.03&lt;/D&gt;&lt;/FQL&gt;&lt;FQL&gt;&lt;Q&gt;Ticker0024^FE_ESTIMATE(FCF,MEAN,QUARTERLY_ROLL,2028/4F,45769,,,'')&lt;/Q&gt;&lt;R&gt;0&lt;/R&gt;&lt;C&gt;0&lt;/C&gt;&lt;/FQL&gt;&lt;FQL&gt;&lt;Q&gt;Ticker0024^FE_ESTIMATE(FCF,MEAN,QUARTERLY_ROLL,2028/3F,45769,,,'')&lt;/Q&gt;&lt;R&gt;0&lt;/R&gt;&lt;C&gt;0&lt;/C&gt;&lt;/FQL&gt;&lt;FQL&gt;&lt;Q&gt;Ticker0024^FE_ESTIMATE(FCF,MEAN,QUARTERLY_ROLL,2028/2F,45769,,,'')&lt;/Q&gt;&lt;R&gt;0&lt;/R&gt;&lt;C&gt;0&lt;/C&gt;&lt;/FQL&gt;&lt;FQL&gt;&lt;Q&gt;Ticker0024^FE_ESTIMATE(FCF,MEAN,QUARTERLY_ROLL,2028/1F,45769,,,'')&lt;/Q&gt;&lt;R&gt;0&lt;/R&gt;&lt;C&gt;0&lt;/C&gt;&lt;/FQL&gt;&lt;FQL&gt;&lt;Q&gt;Ticker0024^FE_ESTIMATE(FCF,MEAN,ANNUAL_ROLL,2027,45769,,,'')&lt;/Q&gt;&lt;R&gt;1&lt;/R&gt;&lt;C&gt;1&lt;/C&gt;&lt;D xsi:type="xsd:double"&gt;94932.77&lt;/D&gt;&lt;/FQL&gt;&lt;FQL&gt;&lt;Q&gt;Ticker0024^FE_ESTIMATE(FCF,MEAN,QUARTERLY_ROLL,2027/4F,45769,,,'')&lt;/Q&gt;&lt;R&gt;1&lt;/R&gt;&lt;C&gt;1&lt;/C&gt;&lt;D xsi:type="xsd:double"&gt;-1237&lt;/D&gt;&lt;/FQL&gt;&lt;FQL&gt;&lt;Q&gt;Ticker0024^FE_ESTIMATE(FCF,MEAN,QUARTERLY_ROLL,2027/3F,45769,,,'')&lt;/Q&gt;&lt;R&gt;1&lt;/R&gt;&lt;C&gt;1&lt;/C&gt;&lt;D xsi:type="xsd:double"&gt;7257&lt;/D&gt;&lt;/FQL&gt;&lt;FQL&gt;&lt;Q&gt;Ticker0024^FE_ESTIMATE(FCF,MEAN,QUARTERLY_ROLL,2027/2F,45769,,,'')&lt;/Q&gt;&lt;R&gt;1&lt;/R&gt;&lt;C&gt;1&lt;/C&gt;&lt;D xsi:type="xsd:double"&gt;4746&lt;/D&gt;&lt;/FQL&gt;&lt;FQL&gt;&lt;Q&gt;Ticker0024^FE_ESTIMATE(FCF,MEAN,QUARTERLY_ROLL,2027/1F,45769,,,'')&lt;/Q&gt;&lt;R&gt;1&lt;/R&gt;&lt;C&gt;1&lt;/C&gt;&lt;D xsi:type="xsd:double"&gt;43736&lt;/D&gt;&lt;/FQL&gt;&lt;FQL&gt;&lt;Q&gt;Ticker0024^FE_ESTIMATE(FCF,MEAN,ANNUAL_ROLL,2026,45769,,,'')&lt;/Q&gt;&lt;R&gt;1&lt;/R&gt;&lt;C&gt;1&lt;/C&gt;&lt;D xsi:type="xsd:double"&gt;77014.25&lt;/D&gt;&lt;/FQL&gt;&lt;FQL&gt;&lt;Q&gt;Ticker0024^FE_ESTIMATE(FCF,MEAN,QUARTERLY_ROLL,2026/4F,45769,,,'')&lt;/Q&gt;&lt;R&gt;1&lt;/R&gt;&lt;C&gt;1&lt;/C&gt;&lt;D xsi:type="xsd:double"&gt;17289.863&lt;/D&gt;&lt;/FQL&gt;&lt;FQL&gt;&lt;Q&gt;Ticker0024^FE_ESTIMATE(FCF,MEAN,QUARTERLY_ROLL,2026/3F,45769,,,'')&lt;/Q&gt;&lt;R&gt;1&lt;/R&gt;&lt;C&gt;1&lt;/C&gt;&lt;D xsi:type="xsd:double"&gt;16515.604&lt;/D&gt;&lt;/FQL&gt;&lt;FQL&gt;&lt;Q&gt;Ticker0024^FE_ESTIMATE(FCF,MEAN,QUARTERLY_ROLL,2026/2F,45769,,,'')&lt;/Q&gt;&lt;R&gt;1&lt;/R&gt;&lt;C&gt;1&lt;/C&gt;&lt;D xsi:type="xsd:double"&gt;12066.101&lt;/D&gt;&lt;/FQL&gt;&lt;FQL&gt;&lt;Q&gt;Ticker0024^FE_ESTIMATE(FCF,MEAN,QUARTERLY_ROLL,2026/1F,45769,,,'')&lt;/Q&gt;&lt;R&gt;1&lt;/R&gt;&lt;C&gt;1&lt;/C&gt;&lt;D xsi:type="xsd:double"&gt;27528.252&lt;/D&gt;&lt;/FQL&gt;&lt;FQL&gt;&lt;Q&gt;Ticker0024^FE_ESTIMATE(FCF,MEAN,ANNUAL_ROLL,2025,45769,,,'')&lt;/Q&gt;&lt;R&gt;1&lt;/R&gt;&lt;C&gt;1&lt;/C&gt;&lt;D xsi:type="xsd:double"&gt;65857.14&lt;/D&gt;&lt;/FQL&gt;&lt;FQL&gt;&lt;Q&gt;Ticker0024^FE_ESTIMATE(FCF,MEAN,QUARTERLY_ROLL,2025/4F,45769,,,'')&lt;/Q&gt;&lt;R&gt;1&lt;/R&gt;&lt;C&gt;1&lt;/C&gt;&lt;D xsi:type="xsd:double"&gt;22528.842&lt;/D&gt;&lt;/FQL&gt;&lt;FQL&gt;&lt;Q&gt;Ticker0024^FE_ESTIMATE(FCF,MEAN,QUARTERLY_ROLL,2025/3F,45769,,,'')&lt;/Q&gt;&lt;R&gt;1&lt;/R&gt;&lt;C&gt;1&lt;/C&gt;&lt;D xsi:type="xsd:double"&gt;17229.836&lt;/D&gt;&lt;/FQL&gt;&lt;FQL&gt;&lt;Q&gt;Ticker0024^FE_ESTIMATE(FCF,MEAN,QUARTERLY_ROLL,2025/2F,45769,,,'')&lt;/Q&gt;&lt;R&gt;1&lt;/R&gt;&lt;C&gt;1&lt;/C&gt;&lt;D xsi:type="xsd:double"&gt;6707.9375&lt;/D&gt;&lt;/FQL&gt;&lt;FQL&gt;&lt;Q&gt;Ticker0024^FE_ESTIMATE(FCF,MEAN,QUARTERLY_ROLL,2025/1F,45769,,,'')&lt;/Q&gt;&lt;R&gt;1&lt;/R&gt;&lt;C&gt;1&lt;/C&gt;&lt;D xsi:type="xsd:double"&gt;18738.584&lt;/D&gt;&lt;/FQL&gt;&lt;FQL&gt;&lt;Q&gt;Ticker0024^FE_ESTIMATE(FCF,MEAN,ANNUAL_ROLL,2024,45769,,,'')&lt;/Q&gt;&lt;R&gt;1&lt;/R&gt;&lt;C&gt;1&lt;/C&gt;&lt;D xsi:type="xsd:double"&gt;72678.9&lt;/D&gt;&lt;/FQL&gt;&lt;FQL&gt;&lt;Q&gt;Ticker0024^FE_ESTIMATE(FCF,MEAN,QUARTERLY_ROLL,2024/4F,45769,,,'')&lt;/Q&gt;&lt;R&gt;1&lt;/R&gt;&lt;C&gt;1&lt;/C&gt;&lt;D xsi:type="xsd:double"&gt;22275.834&lt;/D&gt;&lt;/FQL&gt;&lt;FQL&gt;&lt;Q&gt;Ticker0024^FE_ESTIMATE(FCF,MEAN,QUARTERLY_ROLL,2024/3F,45769,,,'')&lt;/Q&gt;&lt;R&gt;1&lt;/R&gt;&lt;C&gt;1&lt;/C&gt;&lt;D xsi:type="xsd:double"&gt;20634.766&lt;/D&gt;&lt;/FQL&gt;&lt;FQL&gt;&lt;Q&gt;Ticker0024^FE_ESTIMATE(FCF,MEAN,QUARTERLY_ROLL,2024/2F,45769,,,'')&lt;/Q&gt;&lt;R&gt;1&lt;/R&gt;&lt;C&gt;1&lt;/C&gt;&lt;D xsi:type="xsd:double"&gt;6218.222&lt;/D&gt;&lt;/FQL&gt;&lt;FQL&gt;&lt;Q&gt;Ticker0024^FE_ESTIMATE(FCF,MEAN,QUARTERLY_ROLL,2024/1F,45769,,,'')&lt;/Q&gt;&lt;R&gt;1&lt;/R&gt;&lt;C&gt;1&lt;/C&gt;&lt;D xsi:type="xsd:double"&gt;21096.059&lt;/D&gt;&lt;/FQL&gt;&lt;FQL&gt;&lt;Q&gt;Ticker0024^FE_ESTIMATE(FCF,MEAN,ANNUAL_ROLL,2023,45769,,,'')&lt;/Q&gt;&lt;R&gt;1&lt;/R&gt;&lt;C&gt;1&lt;/C&gt;&lt;D xsi:type="xsd:double"&gt;60085.832&lt;/D&gt;&lt;/FQL&gt;&lt;FQL&gt;&lt;Q&gt;Ticker0024^FE_ESTIMATE(FCF,MEAN,QUARTERLY_ROLL,2023/4F,45769,,,'')&lt;/Q&gt;&lt;R&gt;1&lt;/R&gt;&lt;C&gt;1&lt;/C&gt;&lt;D xsi:type="xsd:double"&gt;19492.357&lt;/D&gt;&lt;/FQL&gt;&lt;FQL&gt;&lt;Q&gt;Ticker0024^FE_ESTIMATE(FCF,MEAN,QUARTERLY_ROLL,2023/3F,45769,,,'')&lt;/Q&gt;&lt;R&gt;1&lt;/R&gt;&lt;C&gt;1&lt;/C&gt;&lt;D xsi:type="xsd:double"&gt;17765.25&lt;/D&gt;&lt;/FQL&gt;&lt;FQL&gt;&lt;Q&gt;Ticker0024^FE_ESTIMATE(FCF,MEAN,QUARTERLY_ROLL,2023/2F,45769,,,'')&lt;/Q&gt;&lt;R&gt;1&lt;/R&gt;&lt;C&gt;1&lt;/C&gt;&lt;D xsi:type="xsd:double"&gt;5507.533&lt;/D&gt;&lt;/FQL&gt;&lt;FQL&gt;&lt;Q&gt;Ticker0024^FE_ESTIMATE(FCF,MEAN,QUARTERLY_ROLL,2023/1F,45769,,,'')&lt;/Q&gt;&lt;R&gt;1&lt;/R&gt;&lt;C&gt;1&lt;/C&gt;&lt;D xsi:type="xsd:double"&gt;17698&lt;/D&gt;&lt;/FQL&gt;&lt;FQL&gt;&lt;Q&gt;Ticker0024^FE_ESTIMATE(FCF,MEAN,ANNUAL_ROLL,2022,45769,,,'')&lt;/Q&gt;&lt;R&gt;1&lt;/R&gt;&lt;C&gt;1&lt;/C&gt;&lt;D xsi:type="xsd:double"&gt;65067.133&lt;/D&gt;&lt;/FQL&gt;&lt;FQL&gt;&lt;Q&gt;Ticker0024^FE_ESTIMATE(FCF,MEAN,QUARTERLY_ROLL,2022/4F,45769,,,'')&lt;/Q&gt;&lt;R&gt;1&lt;/R&gt;&lt;C&gt;1&lt;/C&gt;&lt;D xsi:type="xsd:double"&gt;17158&lt;/D&gt;&lt;/FQL&gt;&lt;FQL&gt;&lt;Q&gt;Ticker0024^FE_ESTIMATE(FCF,MEAN,QUARTERLY_ROLL,2022/3F,45769,,,'')&lt;/Q&gt;&lt;R&gt;1&lt;/R&gt;&lt;C&gt;1&lt;/C&gt;&lt;D xsi:type="xsd:double"&gt;19608.334&lt;/D&gt;&lt;/FQL&gt;&lt;FQL&gt;&lt;Q&gt;Ticker0024^FE_ESTIMATE(FCF,MEAN,QUARTERLY_ROLL,2022/2F,45769,,,'')&lt;/Q&gt;&lt;R&gt;1&lt;/R&gt;&lt;C&gt;1&lt;/C&gt;&lt;D xsi:type="xsd:double"&gt;9409.818&lt;/D&gt;&lt;/FQL&gt;&lt;FQL&gt;&lt;Q&gt;Ticker0024^FE_ESTIMATE(FCF,MEAN,QUARTERLY_ROLL,2022/1F,45769,,,'')&lt;/Q&gt;&lt;R&gt;1&lt;/R&gt;&lt;C&gt;1&lt;/C&gt;&lt;D xsi:type="xsd:double"&gt;18285.334&lt;/D&gt;&lt;/FQL&gt;&lt;FQL&gt;&lt;Q&gt;Ticker0024^FE_ESTIMATE(FCF,MEAN,ANNUAL_ROLL,2021,45769,,,'')&lt;/Q&gt;&lt;R&gt;1&lt;/R&gt;&lt;C&gt;1&lt;/C&gt;&lt;D xsi:type="xsd:double"&gt;55483.777&lt;/D&gt;&lt;/FQL&gt;&lt;FQL&gt;&lt;Q&gt;Ticker0024^FE_ESTIMATE(FCF,MEAN,QUARTERLY_ROLL,2021/4F,45769,,,'')&lt;/Q&gt;&lt;R&gt;1&lt;/R&gt;&lt;C&gt;1&lt;/C&gt;&lt;D xsi:type="xsd:double"&gt;15893.833&lt;/D&gt;&lt;/FQL&gt;&lt;FQL&gt;&lt;Q&gt;Ticker0024^FE_ESTIMATE(FCF,MEAN,QUARTERLY_ROLL,2021/3F,45769,,,'')&lt;/Q&gt;&lt;R&gt;1&lt;/R&gt;&lt;C&gt;1&lt;/C&gt;&lt;D xsi:type="xsd:double"&gt;16693.5&lt;/D&gt;&lt;/FQL&gt;&lt;FQL&gt;&lt;Q&gt;Ticker0024^FE_ESTIMATE(FCF,MEAN,QUARTERLY_ROLL,2021/2F,45769,,,'')&lt;/Q&gt;&lt;R&gt;1&lt;/R&gt;&lt;C&gt;1&lt;/C&gt;&lt;D xsi:type="xsd:double"&gt;9098&lt;/D&gt;&lt;/FQL&gt;&lt;FQL&gt;&lt;Q&gt;Ticker0024^FE_ESTIMATE(FCF,MEAN,QUARTERLY_ROLL,2021/1F,45769,,,'')&lt;/Q&gt;&lt;R&gt;1&lt;/R&gt;&lt;C&gt;1&lt;/C&gt;&lt;D xsi:type="xsd:double"&gt;13974.333&lt;/D&gt;&lt;/FQL&gt;&lt;FQL&gt;&lt;Q&gt;Ticker0024^FE_ESTIMATE(FCF,MEAN,ANNUAL_ROLL,2020,45769,,,'')&lt;/Q&gt;&lt;R&gt;1&lt;/R&gt;&lt;C&gt;1&lt;/C&gt;&lt;D xsi:type="xsd:double"&gt;45095.453&lt;/D&gt;&lt;/FQL&gt;&lt;FQL&gt;&lt;Q&gt;Ticker0024^FE_ESTIMATE(FCF,MEAN,QUARTERLY_ROLL,2020/4F,45769,,,'')&lt;/Q&gt;&lt;R&gt;1&lt;/R&gt;&lt;C&gt;1&lt;/C&gt;&lt;D xsi:type="xsd:double"&gt;13391.667&lt;/D&gt;&lt;/FQL&gt;&lt;FQL&gt;&lt;Q&gt;Ticker0024^FE_ESTIMATE(FCF,MEAN,QUARTERLY_ROLL,2020/3F,45769,,,'')&lt;/Q&gt;&lt;R&gt;1&lt;/R&gt;&lt;C&gt;1&lt;/C&gt;&lt;D xsi:type="xsd:double"&gt;13437&lt;/D&gt;&lt;/FQL&gt;&lt;FQL&gt;&lt;Q&gt;Ticker0024^FE_ESTIMATE(FCF,MEAN,QUARTERLY_ROLL,2020/2F,45769,,,'')&lt;/Q&gt;&lt;R&gt;1&lt;/R&gt;&lt;C&gt;1&lt;/C&gt;&lt;D xsi:type="xsd:double"&gt;7641.3335&lt;/D&gt;&lt;/FQL&gt;&lt;FQL&gt;&lt;Q&gt;Ticker0024^FE_ESTIMATE(FCF,MEAN,QUARTERLY_ROLL,2020/1F,45769,,,'')&lt;/Q&gt;&lt;R&gt;1&lt;/R&gt;&lt;C&gt;1&lt;/C&gt;&lt;D xsi:type="xsd:double"&gt;10215.875&lt;/D&gt;&lt;/FQL&gt;&lt;FQL&gt;&lt;Q&gt;Ticker0024^FE_ESTIMATE(FCF,MEAN,ANNUAL_ROLL,2019,45769,,,'')&lt;/Q&gt;&lt;R&gt;1&lt;/R&gt;&lt;C&gt;1&lt;/C&gt;&lt;D xsi:type="xsd:double"&gt;38085.168&lt;/D&gt;&lt;/FQL&gt;&lt;FQL&gt;&lt;Q&gt;Ticker0024^FE_ESTIMATE(FCF,MEAN,QUARTERLY_ROLL,2019/4F,45769,,,'')&lt;/Q&gt;&lt;R&gt;1&lt;/R&gt;&lt;C&gt;1&lt;/C&gt;&lt;D xsi:type="xsd:double"&gt;11695.728&lt;/D&gt;&lt;/FQL&gt;&lt;FQL&gt;&lt;Q&gt;Ticker0024^FE_ESTIMATE(FCF,MEAN,QUARTERLY_ROLL,2019/3F,45769,,,'')&lt;/Q&gt;&lt;R&gt;1&lt;/R&gt;&lt;C&gt;1&lt;/C&gt;&lt;D xsi:type="xsd:double"&gt;10834.333&lt;/D&gt;&lt;/FQL&gt;&lt;FQL&gt;&lt;Q&gt;Ticker0024^FE_ESTIMATE(FCF,MEAN,QUARTERLY_ROLL,2019/2F,45769,,,'')&lt;/Q&gt;&lt;R&gt;1&lt;/R&gt;&lt;C&gt;1&lt;/C&gt;&lt;D xsi:type="xsd:double"&gt;5420.25&lt;/D&gt;&lt;/FQL&gt;&lt;FQL&gt;&lt;Q&gt;Ticker0024^FE_ESTIMATE(FCF,MEAN,QUARTERLY_ROLL,2019/1F,45769,,,'')&lt;/Q&gt;&lt;R&gt;1&lt;/R&gt;&lt;C&gt;1&lt;/C&gt;&lt;D xsi:type="xsd:double"&gt;9414.454&lt;/D&gt;&lt;/FQL&gt;&lt;FQL&gt;&lt;Q&gt;Ticker0024^FE_ESTIMATE(FCF,MEAN,ANNUAL_ROLL,2018,45769,,,'')&lt;/Q&gt;&lt;R&gt;1&lt;/R&gt;&lt;C&gt;1&lt;/C&gt;&lt;D xsi:type="xsd:double"&gt;32102.77&lt;/D&gt;&lt;/FQL&gt;&lt;FQL&gt;&lt;Q&gt;Ticker0024^FE_ESTIMATE(FCF,MEAN,QUARTERLY_ROLL,2018/4F,45769,,,'')&lt;/Q&gt;&lt;R&gt;1&lt;/R&gt;&lt;C&gt;1&lt;/C&gt;&lt;D xsi:type="xsd:double"&gt;7717.909&lt;/D&gt;&lt;/FQL&gt;&lt;FQL&gt;&lt;Q&gt;Ticker0024^FE_ESTIMATE(FCF,MEAN,QUARTERLY_ROLL,2018/3F,45769,,,'')&lt;/Q&gt;&lt;R&gt;1&lt;/R&gt;&lt;C&gt;1&lt;/C&gt;&lt;D xsi:type="xsd:double"&gt;8967.363&lt;/D&gt;&lt;/FQL&gt;&lt;FQL&gt;&lt;Q&gt;Ticker0024^FE_ESTIMATE(FCF,MEAN,QUARTERLY_ROLL,2018/2F,45769,,,'')&lt;/Q&gt;&lt;R&gt;1&lt;/R&gt;&lt;C&gt;1&lt;/C&gt;&lt;D xsi:type="xsd:double"&gt;5426.1665&lt;/D&gt;&lt;/FQL&gt;&lt;FQL&gt;&lt;Q&gt;Ticker0024^FE_ESTIMATE(FCF,MEAN,QUARTERLY_ROLL,2018/1F,45769,,,'')&lt;/Q&gt;&lt;R&gt;1&lt;/R&gt;&lt;C&gt;1&lt;/C&gt;&lt;D xsi:type="xsd:double"&gt;9866.75&lt;/D&gt;&lt;/FQL&gt;&lt;FQL&gt;&lt;Q&gt;Ticker0024^FE_ESTIMATE(FCF,MEAN,ANNUAL_ROLL,2017,45769,,,'')&lt;/Q&gt;&lt;R&gt;1&lt;/R&gt;&lt;C&gt;1&lt;/C&gt;&lt;D xsi:type="xsd:double"&gt;30380.875&lt;/D&gt;&lt;/FQL&gt;&lt;FQL&gt;&lt;Q&gt;Ticker0024^FE_ESTIMATE(FCF,MEAN,QUARTERLY_ROLL,2017/4F,45769,,,'')&lt;/Q&gt;&lt;R&gt;1&lt;/R&gt;&lt;C&gt;1&lt;/C&gt;&lt;D xsi:type="xsd:double"&gt;8029.2&lt;/D&gt;&lt;/FQL&gt;&lt;FQL&gt;&lt;Q&gt;Ticker0024^FE_ESTIMATE(FCF,MEAN,QUARTERLY_ROLL,2017/3F,45769,,,'')&lt;/Q&gt;&lt;R&gt;1&lt;/R&gt;&lt;C&gt;1&lt;/C&gt;&lt;D xsi:type="xsd:double"&gt;8506&lt;/D&gt;&lt;/FQL&gt;&lt;FQL&gt;&lt;Q&gt;Ticker0024^FE_ESTIMATE(FCF,MEAN,QUARTERLY_ROLL,2017/2F,45769,,,'')&lt;/Q&gt;&lt;R&gt;1&lt;/R&gt;&lt;C&gt;1&lt;/C&gt;&lt;D xsi:type="xsd:double"&gt;4305&lt;/D&gt;&lt;/FQL&gt;&lt;FQL&gt;&lt;Q&gt;Ticker0024^FE_ESTIMATE(FCF,MEAN,QUARTERLY_ROLL,2017/1F,45769,,,'')&lt;/Q&gt;&lt;R&gt;1&lt;/R&gt;&lt;C&gt;1&lt;/C&gt;&lt;D xsi:type="xsd:double"&gt;9382&lt;/D&gt;&lt;/FQL&gt;&lt;FQL&gt;&lt;Q&gt;Ticker0024^FE_ESTIMATE(FCF,MEAN,ANNUAL_ROLL,2016,45769,,,'')&lt;/Q&gt;&lt;R&gt;1&lt;/R&gt;&lt;C&gt;1&lt;/C&gt;&lt;D xsi:type="xsd:double"&gt;24212.758&lt;/D&gt;&lt;/FQL&gt;&lt;FQL&gt;&lt;Q&gt;Ticker0024^FE_ESTIMATE(FCF,MEAN,QUARTERLY_ROLL,2016/4F,45769,,,'')&lt;/Q&gt;&lt;R&gt;1&lt;/R&gt;&lt;C&gt;1&lt;/C&gt;&lt;D xsi:type="xsd:double"&gt;5742&lt;/D&gt;&lt;/FQL&gt;&lt;FQL&gt;&lt;Q&gt;Ticker0024^FE_ESTIMATE(FCF,MEAN,QUARTERLY_ROLL,2016/3F,45769,,,'')&lt;/Q&gt;&lt;R&gt;1&lt;/R&gt;&lt;C&gt;1&lt;/C&gt;&lt;D xsi:type="xsd:double"&gt;6915.5625&lt;/D&gt;&lt;/FQL&gt;&lt;FQL&gt;&lt;Q&gt;Ticker0024^FE_ESTIMATE(FCF,MEAN,QUARTERLY_ROLL,2016/2F,45769,,,'')&lt;/Q&gt;&lt;R&gt;1&lt;/R&gt;&lt;C&gt;1&lt;/C&gt;&lt;D xsi:type="xsd:double"&gt;3510.5&lt;/D&gt;&lt;/FQL&gt;&lt;FQL&gt;&lt;Q&gt;Ticker0024^FE_ESTIMATE(FCF,MEAN,QUARTERLY_ROLL,2016/1F,45769,,,'')&lt;/Q&gt;&lt;R&gt;1&lt;/R&gt;&lt;C&gt;1&lt;/C&gt;&lt;D xsi:type="xsd:double"&gt;7124&lt;/D&gt;&lt;/FQL&gt;&lt;FQL&gt;&lt;Q&gt;Ticker0024^FE_ESTIMATE(FCF,MEAN,ANNUAL_ROLL,2015,45769,,,'')&lt;/Q&gt;&lt;R&gt;1&lt;/R&gt;&lt;C&gt;1&lt;/C&gt;&lt;D xsi:type="xsd:double"&gt;22531.357&lt;/D&gt;&lt;/FQL&gt;&lt;FQL&gt;&lt;Q&gt;Ticker0024^FE_ESTIMATE(FCF,MEAN,QUARTERLY_ROLL,2015/4F,45769,,,'')&lt;/Q&gt;&lt;R&gt;1&lt;/R&gt;&lt;C&gt;1&lt;/C&gt;&lt;D xsi:type="xsd:double"&gt;4565.622&lt;/D&gt;&lt;/FQL&gt;&lt;FQL&gt;&lt;Q&gt;Ticker0024^FE_ESTIMATE(FCF,MEAN,QUARTERLY_ROLL,2015/3F,45769,,,'')&lt;/Q&gt;&lt;R&gt;1&lt;/R&gt;&lt;C&gt;1&lt;/C&gt;&lt;D xsi:type="xsd:double"&gt;8155.857&lt;/D&gt;&lt;/FQL&gt;&lt;FQL&gt;&lt;Q&gt;Ticker0024^FE_ESTIMATE(FCF,MEAN,QUARTERLY_ROLL,2015/2F,45769,,,'')&lt;/Q&gt;&lt;R&gt;1&lt;/R&gt;&lt;C&gt;1&lt;/C&gt;&lt;D xsi:type="xsd:double"&gt;2850&lt;/D&gt;&lt;/FQL&gt;&lt;FQL&gt;&lt;Q&gt;Ticker0024^FE_ESTIMATE(FCF,MEAN,QUARTERLY_ROLL,2015/1F,45769,,,'')&lt;/Q&gt;&lt;R&gt;1&lt;/R&gt;&lt;C&gt;1&lt;/C&gt;&lt;D xsi:type="xsd:double"&gt;6849.033&lt;/D&gt;&lt;/FQL&gt;&lt;FQL&gt;&lt;Q&gt;Ticker0024^FE_ESTIMATE(CAPEX,MEAN,ANNUAL_ROLL,2030,45769,,,'')&lt;/Q&gt;&lt;R&gt;0&lt;/R&gt;&lt;C&gt;0&lt;/C&gt;&lt;/FQL&gt;&lt;FQL&gt;&lt;Q&gt;Ticker0024^FE_ESTIMATE(CAPEX,MEAN,QUARTERLY_ROLL,2030/4F,45769,,,'')&lt;/Q&gt;&lt;R&gt;0&lt;/R&gt;&lt;C&gt;0&lt;/C&gt;&lt;/FQL&gt;&lt;FQL&gt;&lt;Q&gt;Ticker0024^FE_ESTIMATE(CAPEX,MEAN,QUARTERLY_ROLL,2030/3F,45769,,,'')&lt;/Q&gt;&lt;R&gt;0&lt;/R&gt;&lt;C&gt;0&lt;/C&gt;&lt;/FQL&gt;&lt;FQL&gt;&lt;Q&gt;Ticker0024^FE_ESTIMATE(CAPEX,MEAN,QUARTERLY_ROLL,2030/2F,45769,,,'')&lt;/Q&gt;&lt;R&gt;0&lt;/R&gt;&lt;C&gt;0&lt;/C&gt;&lt;/FQL&gt;&lt;FQL&gt;&lt;Q&gt;Ticker0024^FE_ESTIMATE(CAPEX,MEAN,QUARTERLY_ROLL,2030/1F,45769,,,'')&lt;/Q&gt;&lt;R&gt;0&lt;/R&gt;&lt;C&gt;0&lt;/C&gt;&lt;/FQL&gt;&lt;FQL&gt;&lt;Q&gt;Ticker0024^FE_ESTIMATE(CAPEX,MEAN,ANNUAL_ROLL,2029,45769,,,'')&lt;/Q&gt;&lt;R&gt;0&lt;/R&gt;&lt;C&gt;0&lt;/C&gt;&lt;/FQL&gt;&lt;FQL&gt;&lt;Q&gt;Ticker0024^FE_ESTIMATE(CAPEX,MEAN,QUARTERLY_ROLL,2029/4F,45769,,,'')&lt;/Q&gt;&lt;R&gt;0&lt;/R&gt;&lt;C&gt;0&lt;/C&gt;&lt;/FQL&gt;&lt;FQL&gt;&lt;Q&gt;Ticker0024^FE_ESTIMATE(CAPEX,MEAN,QUARTERLY_ROLL,2029/3F,45769,,,'')&lt;/Q&gt;&lt;R&gt;0&lt;/R&gt;&lt;C&gt;0&lt;/C&gt;&lt;/FQL&gt;&lt;FQL&gt;&lt;Q&gt;Ticker0024^FE_ESTIMATE(CAPEX,MEAN,QUARTERLY_ROLL,2029/2F,45769,,,'')&lt;/Q&gt;&lt;R&gt;0&lt;/R&gt;&lt;C&gt;0&lt;/C&gt;&lt;/FQL&gt;&lt;FQL&gt;&lt;Q&gt;Ticker0024^FE_ESTIMATE(CAPEX,MEAN,QUARTERLY_ROLL,2029/1F,45769,,,'')&lt;/Q&gt;&lt;R&gt;0&lt;/R&gt;&lt;C&gt;0&lt;/C&gt;&lt;/FQL&gt;&lt;FQL&gt;&lt;Q&gt;Ticker0024^FE_ESTIMATE(CAPEX,MEAN,ANNUAL_ROLL,2028,45769,,,'')&lt;/Q&gt;&lt;R&gt;1&lt;/R&gt;&lt;C&gt;1&lt;/C&gt;&lt;D xsi:type="xsd:double"&gt;75907.09&lt;/D&gt;&lt;/FQL&gt;&lt;FQL&gt;&lt;Q&gt;Ticker0024^FE_ESTIMATE(CAPEX,MEAN,QUARTERLY_ROLL,2028/4F,45769,,,'')&lt;/Q&gt;&lt;R&gt;0&lt;/R&gt;&lt;C&gt;0&lt;/C&gt;&lt;/FQL&gt;&lt;FQL&gt;&lt;Q&gt;Ticker0024^FE_ESTIMATE(CAPEX,MEAN,QUARTERLY_ROLL,2028/3F,45769,,,'')&lt;/Q&gt;&lt;R&gt;0&lt;/R&gt;&lt;C&gt;0&lt;/C&gt;&lt;/FQL&gt;&lt;FQL&gt;&lt;Q&gt;Ticker0024^FE_ESTIMATE(CAPEX,MEAN,QUARTERLY_ROLL,2028/2F,45769,,,'')&lt;/Q&gt;&lt;R&gt;0&lt;/R&gt;&lt;C&gt;0&lt;/C&gt;&lt;/FQL&gt;&lt;FQL&gt;&lt;Q&gt;Ticker0024^FE_ESTIMATE(CAPEX,MEAN,QUARTERLY_ROLL,2028/1F,45769,,,'')&lt;/Q&gt;&lt;R&gt;0&lt;/R&gt;&lt;C&gt;0&lt;/C&gt;&lt;/FQL&gt;&lt;FQL&gt;&lt;Q&gt;Ticker0024^FE_ESTIMATE(CAPEX,MEAN,ANNUAL_ROLL,2027,45769,,,'')&lt;/Q&gt;&lt;R&gt;1&lt;/R&gt;&lt;C&gt;1&lt;/C&gt;&lt;D xsi:type="xsd:double"&gt;77371.984&lt;/D&gt;&lt;/FQL&gt;&lt;FQL&gt;&lt;Q&gt;Ticker0024^FE_ESTIMATE(CAPEX,MEAN,QUARTERLY_ROLL,2027/4F,45769,,,'')&lt;/Q&gt;&lt;R&gt;1&lt;/R&gt;&lt;C&gt;1&lt;/C&gt;&lt;D xsi:type="xsd:double"&gt;25112.799&lt;/D&gt;&lt;/FQL&gt;&lt;FQL&gt;&lt;Q&gt;Ticker0024^FE_ESTIMATE(CAPEX,MEAN,QUARTERLY_ROLL,2027/3F,45769,,,'')&lt;/Q&gt;&lt;R&gt;1&lt;/R&gt;&lt;C&gt;1&lt;/C&gt;&lt;D xsi:type="xsd:double"&gt;22136.799&lt;/D&gt;&lt;/FQL&gt;&lt;FQL&gt;&lt;Q&gt;Ticker0024^FE_ESTIMATE(CAPEX,MEAN,QUARTERLY_ROLL,2027/2F,45769,,,'')&lt;/Q&gt;&lt;R&gt;1&lt;/R&gt;&lt;C&gt;1&lt;/C&gt;&lt;D xsi:type="xsd:double"&gt;20453.604&lt;/D&gt;&lt;/FQL&gt;&lt;FQL&gt;&lt;Q&gt;Ticker0024^FE_ESTIMATE(CAPEX,MEAN,QUARTERLY_ROLL,2027/1F,45769,,,'')&lt;/Q&gt;&lt;R&gt;1&lt;/R&gt;&lt;C&gt;1&lt;/C&gt;&lt;D xsi:type="xsd:double"&gt;19340.135&lt;/D&gt;&lt;/FQL&gt;&lt;FQL&gt;&lt;Q&gt;Ticker0024^FE_ESTIMATE(CAPEX,MEAN,ANNUAL_ROLL,2026,45769,,,'')&lt;/Q&gt;&lt;R&gt;1&lt;/R&gt;&lt;C&gt;1&lt;/C&gt;&lt;D xsi:type="xsd:double"&gt;72960.06&lt;/D&gt;&lt;/FQL&gt;&lt;FQL&gt;&lt;Q&gt;Ticker0024^FE_ESTIMATE(CAPEX,MEAN,QUARTERLY_ROLL,2026/4F,45769,,,'')&lt;/Q&gt;&lt;R&gt;1&lt;/R&gt;&lt;C&gt;1&lt;/C&gt;&lt;D xsi:type="xsd:double"&gt;19534.213&lt;/D&gt;&lt;/FQL&gt;&lt;FQL&gt;&lt;Q&gt;Ticker0024^FE_ESTIMATE(CAPEX,MEAN,QUARTERLY_ROLL,2026/3F,45769,,,'')&lt;/Q&gt;&lt;R&gt;1&lt;/R&gt;&lt;C&gt;1&lt;/C&gt;&lt;D xsi:type="xsd:double"&gt;18362.58&lt;/D&gt;&lt;/FQL&gt;&lt;FQL&gt;&lt;Q&gt;Ticker0024^FE_ESTIMATE(CAPEX,MEAN,QUARTERLY_ROLL,2026/2F,45769,,,'')&lt;/Q&gt;&lt;R&gt;1&lt;/R&gt;&lt;C&gt;1&lt;/C&gt;&lt;D xsi:type="xsd:double"&gt;17651.625&lt;/D&gt;&lt;/FQL&gt;&lt;FQL&gt;&lt;Q&gt;Ticker0024^FE_ESTIMATE(CAPEX,MEAN,QUARTERLY_ROLL,2026/1F,45769,,,'')&lt;/Q&gt;&lt;R&gt;1&lt;/R&gt;&lt;C&gt;1&lt;/C&gt;&lt;D xsi:type="xsd:double"&gt;16818.5&lt;/D&gt;&lt;/FQL&gt;&lt;FQL&gt;&lt;Q&gt;Ticker0024^FE_ESTIMATE(CAPEX,MEAN,ANNUAL_ROLL,2025,45769,,,'')&lt;/Q&gt;&lt;R&gt;1&lt;/R&gt;&lt;C&gt;1&lt;/C&gt;&lt;D xsi:type="xsd:double"&gt;65391.164&lt;/D&gt;&lt;/FQL&gt;&lt;FQL&gt;&lt;Q&gt;Ticker0024^FE_ESTIMATE(CAPEX,MEAN,QUARTERLY_ROLL,2025/4F,45769,,,'')&lt;/Q&gt;&lt;R&gt;1&lt;/R&gt;&lt;C&gt;1&lt;/C&gt;&lt;D xsi:type="xsd:double"&gt;16824.752&lt;/D&gt;&lt;/FQL&gt;&lt;FQL&gt;&lt;Q&gt;Ticker0024^FE_ESTIMATE(CAPEX,MEAN,QUARTERLY_ROLL,2025/3F,45769,,,'')&lt;/Q&gt;&lt;R&gt;1&lt;/R&gt;&lt;C&gt;1&lt;/C&gt;&lt;D xsi:type="xsd:double"&gt;16221.434&lt;/D&gt;&lt;/FQL&gt;&lt;FQL&gt;&lt;Q&gt;Ticker0024^FE_ESTIMATE(CAPEX,MEAN,QUARTERLY_ROLL,2025/2F,45769,,,'')&lt;/Q&gt;&lt;R&gt;1&lt;/R&gt;&lt;C&gt;1&lt;/C&gt;&lt;D xsi:type="xsd:double"&gt;15788.9375&lt;/D&gt;&lt;/FQL&gt;&lt;FQL&gt;&lt;Q&gt;Ticker0024^FE_ESTIMATE(CAPEX,MEAN,QUARTERLY_ROLL,2025/1F,45769,,,'')&lt;/Q&gt;&lt;R&gt;1&lt;/R&gt;&lt;C&gt;1&lt;/C&gt;&lt;D xsi:type="xsd:double"&gt;14922.786&lt;/D&gt;&lt;/FQL&gt;&lt;FQL&gt;&lt;Q&gt;Ticker0024^FE_ESTIMATE(CAPEX,MEAN,ANNUAL_ROLL,2024,45769,,,'')&lt;/Q&gt;&lt;R&gt;1&lt;/R&gt;&lt;C&gt;1&lt;/C&gt;&lt;D xsi:type="xsd:double"&gt;44477.12&lt;/D&gt;&lt;/FQL&gt;&lt;FQL&gt;&lt;Q&gt;Ticker0024^FE_ESTIMATE(CAPEX,MEAN,QUARTERLY_ROLL,2024/4F,45769,,,'')&lt;/Q&gt;&lt;R&gt;1&lt;/R&gt;&lt;C&gt;1&lt;/C&gt;&lt;D xsi:type="xsd:double"&gt;13874.714&lt;/D&gt;&lt;/FQL&gt;&lt;FQL&gt;&lt;Q&gt;Ticker0024^FE_ESTIMATE(CAPEX,MEAN,QUARTERLY_ROLL,2024/3F,45769,,,'')&lt;/Q&gt;&lt;R&gt;1&lt;/R&gt;&lt;C&gt;1&lt;/C&gt;&lt;D xsi:type="xsd:double"&gt;10951.875&lt;/D&gt;&lt;/FQL&gt;&lt;FQL&gt;&lt;Q&gt;Ticker0024^FE_ESTIMATE(CAPEX,MEAN,QUARTERLY_ROLL,2024/2F,45769,,,'')&lt;/Q&gt;&lt;R&gt;1&lt;/R&gt;&lt;C&gt;1&lt;/C&gt;&lt;D xsi:type="xsd:double"&gt;10013.947&lt;/D&gt;&lt;/FQL&gt;&lt;FQL&gt;&lt;Q&gt;Ticker0024^FE_ESTIMATE(CAPEX,MEAN,QUARTERLY_ROLL,2024/1F,45769,,,'')&lt;/Q&gt;&lt;R&gt;1&lt;/R&gt;&lt;C&gt;1&lt;/C&gt;&lt;D xsi:type="xsd:double"&gt;10002.733&lt;/D&gt;&lt;/FQL&gt;&lt;FQL&gt;&lt;Q&gt;Ticker0024^FE_ESTIMATE(CAPEX,MEAN,ANNUAL_ROLL,2023,45769,,,'')&lt;/Q&gt;&lt;R&gt;1&lt;/R&gt;&lt;C&gt;1&lt;/C&gt;&lt;D xsi:type="xsd:double"&gt;28107.125&lt;/D&gt;&lt;/FQL&gt;&lt;FQL&gt;&lt;Q&gt;Ticker0024^FE_ESTIMATE(CAPEX,MEAN,QUARTERLY_ROLL,2023/4F,45769,,,'')&lt;/Q&gt;&lt;R&gt;1&lt;/R&gt;&lt;C&gt;1&lt;/C&gt;&lt;D xsi:type="xsd:double"&gt;8942.77&lt;/D&gt;&lt;/FQL&gt;&lt;FQL&gt;&lt;Q&gt;Ticker0024^FE_ESTIMATE(CAPEX,MEAN,QUARTERLY_ROLL,2023/3F,45769,,,'')&lt;/Q&gt;&lt;R&gt;1&lt;/R&gt;&lt;C&gt;1&lt;/C&gt;&lt;D xsi:type="xsd:double"&gt;6607.25&lt;/D&gt;&lt;/FQL&gt;&lt;FQL&gt;&lt;Q&gt;Ticker0024^FE_ESTIMATE(CAPEX,MEAN,QUARTERLY_ROLL,2023/2F,45769,,,'')&lt;/Q&gt;&lt;R&gt;1&lt;/R&gt;&lt;C&gt;1&lt;/C&gt;&lt;D xsi:type="xsd:double"&gt;6273.636&lt;/D&gt;&lt;/FQL&gt;&lt;FQL&gt;&lt;Q&gt;Ticker0024^FE_ESTIMATE(CAPEX,MEAN,QUARTERLY_ROLL,2023/1F,45769,,,'')&lt;/Q&gt;&lt;R&gt;1&lt;/R&gt;&lt;C&gt;1&lt;/C&gt;&lt;D xsi:type="xsd:double"&gt;6283&lt;/D&gt;&lt;/FQL&gt;&lt;FQL&gt;&lt;Q&gt;Ticker0024^FE_ESTIMATE(CAPEX,MEAN,ANNUAL_ROLL,2022,45769,,,'')&lt;/Q&gt;&lt;R&gt;1&lt;/R&gt;&lt;C&gt;1&lt;/C&gt;&lt;D xsi:type="xsd:double"&gt;24090.385&lt;/D&gt;&lt;/FQL&gt;&lt;FQL&gt;&lt;Q&gt;Ticker0024^FE_ESTIMATE(CAPEX,MEAN,QUARTERLY_ROLL,2022/4F,45769,,,'')&lt;/Q&gt;&lt;R&gt;1&lt;/R&gt;&lt;C&gt;1&lt;/C&gt;&lt;D xsi:type="xsd:double"&gt;7023.4165&lt;/D&gt;&lt;/FQL&gt;&lt;FQL&gt;&lt;Q&gt;Ticker0024^FE_ESTIMATE(CAPEX,MEAN,QUARTERLY_ROLL,2022/3F,45769,,,'')&lt;/Q&gt;&lt;R&gt;1&lt;/R&gt;&lt;C&gt;1&lt;/C&gt;&lt;D xsi:type="xsd:double"&gt;5436&lt;/D&gt;&lt;/FQL&gt;&lt;FQL&gt;&lt;Q&gt;Ticker0024^FE_ESTIMATE(CAPEX,MEAN,QUARTERLY_ROLL,2022/2F,45769,,,'')&lt;/Q&gt;&lt;R&gt;1&lt;/R&gt;&lt;C&gt;1&lt;/C&gt;&lt;D xsi:type="xsd:double"&gt;5958.5&lt;/D&gt;&lt;/FQL&gt;&lt;FQL&gt;&lt;Q&gt;Ticker0024^FE_ESTIMATE(CAPEX,MEAN,QUARTERLY_ROLL,2022/1F,45769,,,'')&lt;/Q&gt;&lt;R&gt;1&lt;/R&gt;&lt;C&gt;1&lt;/C&gt;&lt;D xsi:type="xsd:double"&gt;5954.5454&lt;/D&gt;&lt;/FQL&gt;&lt;FQL&gt;&lt;Q&gt;Ticker0024^FE_ESTIMATE(CAPEX,MEAN,ANNUAL_ROLL,2021,45769,,,'')&lt;/Q&gt;&lt;R&gt;1&lt;/R&gt;&lt;C&gt;1&lt;/C&gt;&lt;D xsi:type="xsd:double"&gt;20901.076&lt;/D&gt;&lt;/FQL&gt;&lt;FQL&gt;&lt;Q&gt;Ticker0024^FE_ESTIMATE(CAPEX,MEAN,QUARTERLY_ROLL,2021/4F,45769,,,'')&lt;/Q&gt;&lt;R&gt;1&lt;/R&gt;&lt;C&gt;1&lt;/C&gt;&lt;D xsi:type="xsd:double"&gt;6558&lt;/D&gt;&lt;/FQL&gt;&lt;FQL&gt;&lt;Q&gt;Ticker0024^FE_ESTIMATE(CAPEX,MEAN,QUARTERLY_ROLL,2021/3F,45769,,,'')&lt;/Q&gt;&lt;R&gt;1&lt;/R&gt;&lt;C&gt;1&lt;/C&gt;&lt;D xsi:type="xsd:double"&gt;5190.222&lt;/D&gt;&lt;/FQL&gt;&lt;FQL&gt;&lt;Q&gt;Ticker0024^FE_ESTIMATE(CAPEX,MEAN,QUARTERLY_ROLL,2021/2F,45769,,,'')&lt;/Q&gt;&lt;R&gt;1&lt;/R&gt;&lt;C&gt;1&lt;/C&gt;&lt;D xsi:type="xsd:double"&gt;4310.222&lt;/D&gt;&lt;/FQL&gt;&lt;FQL&gt;&lt;Q&gt;Ticker0024^FE_ESTIMATE(CAPEX,MEAN,QUARTERLY_ROLL,2021/1F,45769,,,'')&lt;/Q&gt;&lt;R&gt;1&lt;/R&gt;&lt;C&gt;1&lt;/C&gt;&lt;D xsi:type="xsd:double"&gt;4951.2&lt;/D&gt;&lt;/FQL&gt;&lt;FQL&gt;&lt;Q&gt;Ticker0024^FE_ESTIMATE(CAPEX,MEAN,ANNUAL_ROLL,2020,45769,,,'')&lt;/Q&gt;&lt;R&gt;1&lt;/R&gt;&lt;C&gt;1&lt;/C&gt;&lt;D xsi:type="xsd:double"&gt;15737.583&lt;/D&gt;&lt;/FQL&gt;&lt;FQL&gt;&lt;Q&gt;Ticker0024^FE_ESTIMATE(CAPEX,MEAN,QUARTERLY_ROLL,2020/4F,45769,,,'')&lt;/Q&gt;&lt;R&gt;1&lt;/R&gt;&lt;C&gt;1&lt;/C&gt;&lt;D xsi:type="xsd:double"&gt;4876&lt;/D&gt;&lt;/FQL&gt;&lt;FQL&gt;&lt;Q&gt;Ticker0024^FE_ESTIMATE(CAPEX,MEAN,QUARTERLY_ROLL,2020/3F,45769,,,'')&lt;/Q&gt;&lt;R&gt;1&lt;/R&gt;&lt;C&gt;1&lt;/C&gt;&lt;D xsi:type="xsd:double"&gt;3781.7778&lt;/D&gt;&lt;/FQL&gt;&lt;FQL&gt;&lt;Q&gt;Ticker0024^FE_ESTIMATE(CAPEX,MEAN,QUARTERLY_ROLL,2020/2F,45769,,,'')&lt;/Q&gt;&lt;R&gt;1&lt;/R&gt;&lt;C&gt;1&lt;/C&gt;&lt;D xsi:type="xsd:double"&gt;3640.5&lt;/D&gt;&lt;/FQL&gt;&lt;FQL&gt;&lt;Q&gt;Ticker0024^FE_ESTIMATE(CAPEX,MEAN,QUARTERLY_ROLL,2020/1F,45769,,,'')&lt;/Q&gt;&lt;R&gt;1&lt;/R&gt;&lt;C&gt;1&lt;/C&gt;&lt;D xsi:type="xsd:double"&gt;3526.5&lt;/D&gt;&lt;/FQL&gt;&lt;FQL&gt;&lt;Q&gt;Ticker0024^FE_ESTIMATE(CAPEX,MEAN,ANNUAL_ROLL,2019,45769,,,'')&lt;/Q&gt;&lt;R&gt;1&lt;/R&gt;&lt;C&gt;1&lt;/C&gt;&lt;D xsi:type="xsd:double"&gt;14123.333&lt;/D&gt;&lt;/FQL&gt;&lt;FQL&gt;&lt;Q&gt;Ticker0024^FE_ESTIMATE(CAPEX,MEAN,QUARTERLY_ROLL,2019/4F,45769,,,'')&lt;/Q&gt;&lt;R&gt;1&lt;/R&gt;&lt;C&gt;1&lt;/C&gt;&lt;D xsi:type="xsd:double"&gt;4300.8&lt;/D&gt;&lt;/FQL&gt;&lt;FQL&gt;&lt;Q&gt;Ticker0024^FE_ESTIMATE(CAPEX,MEAN,QUARTERLY_ROLL,2019/3F,45769,,,'')&lt;/Q&gt;&lt;R&gt;1&lt;/R&gt;&lt;C&gt;1&lt;/C&gt;&lt;D xsi:type="xsd:double"&gt;2648.5&lt;/D&gt;&lt;/FQL&gt;&lt;FQL&gt;&lt;Q&gt;Ticker0024^FE_ESTIMATE(CAPEX,MEAN,QUARTERLY_ROLL,2019/2F,45769,,,'')&lt;/Q&gt;&lt;R&gt;1&lt;/R&gt;&lt;C&gt;1&lt;/C&gt;&lt;D xsi:type="xsd:double"&gt;3736.6924&lt;/D&gt;&lt;/FQL&gt;&lt;FQL&gt;&lt;Q&gt;Ticker0024^FE_ESTIMATE(CAPEX,MEAN,QUARTERLY_ROLL,2019/1F,45769,,,'')&lt;/Q&gt;&lt;R&gt;1&lt;/R&gt;&lt;C&gt;1&lt;/C&gt;&lt;D xsi:type="xsd:double"&gt;3728.9092&lt;/D&gt;&lt;/FQL&gt;&lt;FQL&gt;&lt;Q&gt;Ticker0024^FE_ESTIMATE(CAPEX,MEAN,ANNUAL_ROLL,2018,45769,,,'')&lt;/Q&gt;&lt;R&gt;1&lt;/R&gt;&lt;C&gt;1&lt;/C&gt;&lt;D xsi:type="xsd:double"&gt;11958.8&lt;/D&gt;&lt;/FQL&gt;&lt;FQL&gt;&lt;Q&gt;Ticker0024^FE_ESTIMATE(CAPEX,MEAN,QUARTERLY_ROLL,2018/4F,45769,,,'')&lt;/Q&gt;&lt;R&gt;1&lt;/R&gt;&lt;C&gt;1&lt;/C&gt;&lt;D xsi:type="xsd:double"&gt;3993.3333&lt;/D&gt;&lt;/FQL&gt;&lt;FQL&gt;&lt;Q&gt;Ticker0024^FE_ESTIMATE(CAPEX,MEAN,QUARTERLY_ROLL,2018/3F,45769,,,'')&lt;/Q&gt;&lt;R&gt;1&lt;/R&gt;&lt;C&gt;1&lt;/C&gt;&lt;D xsi:type="xsd:double"&gt;2934&lt;/D&gt;&lt;/FQL&gt;&lt;FQL&gt;&lt;Q&gt;Ticker0024^FE_ESTIMATE(CAPEX,MEAN,QUARTERLY_ROLL,2018/2F,45769,,,'')&lt;/Q&gt;&lt;R&gt;1&lt;/R&gt;&lt;C&gt;1&lt;/C&gt;&lt;D xsi:type="xsd:double"&gt;2650.9092&lt;/D&gt;&lt;/FQL&gt;&lt;FQL&gt;&lt;Q&gt;Ticker0024^FE_ESTIMATE(CAPEX,MEAN,QUARTERLY_ROLL,2018/1F,45769,,,'')&lt;/Q&gt;&lt;R&gt;1&lt;/R&gt;&lt;C&gt;1&lt;/C&gt;&lt;D xsi:type="xsd:double"&gt;2132&lt;/D&gt;&lt;/FQL&gt;&lt;FQL&gt;&lt;Q&gt;Ticker0024^FE_ESTIMATE(CAPEX,MEAN,ANNUAL_ROLL,2017,45769,,,'')&lt;/Q&gt;&lt;R&gt;1&lt;/R&gt;&lt;C&gt;1&lt;/C&gt;&lt;D xsi:type="xsd:double"&gt;8129&lt;/D&gt;&lt;/FQL&gt;&lt;FQL&gt;&lt;Q&gt;Ticker0024^FE_ESTIMATE(CAPEX,MEAN,QUARTERLY_ROLL,2017/4F,45769,,,'')&lt;/Q&gt;&lt;R&gt;1&lt;/R&gt;&lt;C&gt;1&lt;/C&gt;&lt;D xsi:type="xsd:double"&gt;2283&lt;/D&gt;&lt;/FQL&gt;&lt;FQL&gt;&lt;Q&gt;Ticker0024^FE_ESTIMATE(CAPEX,MEAN,QUARTERLY_ROLL,2017/3F,45769,,,'')&lt;/Q&gt;&lt;R&gt;1&lt;/R&gt;&lt;C&gt;1&lt;/C&gt;&lt;D xsi:type="xsd:double"&gt;1767.909&lt;/D&gt;&lt;/FQL&gt;&lt;FQL&gt;&lt;Q&gt;Ticker0024^FE_ESTIMATE(CAPEX,MEAN,QUARTERLY_ROLL,2017/2F,45769,,,'')&lt;/Q&gt;&lt;R&gt;1&lt;/R&gt;&lt;C&gt;1&lt;/C&gt;&lt;D xsi:type="xsd:double"&gt;1988&lt;/D&gt;&lt;/FQL&gt;&lt;FQL&gt;&lt;Q&gt;Ticker0024^FE_ESTIMATE(CAPEX,MEAN,QUARTERLY_ROLL,2017/1F,45769,,,'')&lt;/Q&gt;&lt;R&gt;1&lt;/R&gt;&lt;C&gt;1&lt;/C&gt;&lt;D xsi:type="xsd:double"&gt;2163&lt;/D&gt;&lt;/FQL&gt;&lt;FQL&gt;&lt;Q&gt;Ticker0024^FE_ESTIMATE(CAPEX,MEAN,ANNUAL_ROLL,2016,45769,,,'')&lt;/Q&gt;&lt;R&gt;1&lt;/R&gt;&lt;C&gt;1&lt;/C&gt;&lt;D xsi:type="xsd:double"&gt;8343&lt;/D&gt;&lt;/FQL&gt;&lt;FQL&gt;&lt;Q&gt;Ticker0024^FE_ESTIMATE(CAPEX,MEAN,QUARTERLY_ROLL,2016/4F,45769,,,'')&lt;/Q&gt;&lt;R&gt;1&lt;/R&gt;&lt;C&gt;1&lt;/C&gt;&lt;D xsi:type="xsd:double"&gt;2655&lt;/D&gt;&lt;/FQL&gt;&lt;FQL&gt;&lt;Q&gt;Ticker0024^FE_ESTIMATE(CAPEX,MEAN,QUARTERLY_ROLL,2016/3F,45769,,,'')&lt;/Q&gt;&lt;R&gt;1&lt;/R&gt;&lt;C&gt;1&lt;/C&gt;&lt;D xsi:type="xsd:double"&gt;2308&lt;/D&gt;&lt;/FQL&gt;&lt;FQL&gt;&lt;Q&gt;Ticker0024^FE_ESTIMATE(CAPEX,MEAN,QUARTERLY_ROLL,2016/2F,45769,,,'')&lt;/Q&gt;&lt;R&gt;1&lt;/R&gt;&lt;C&gt;1&lt;/C&gt;&lt;D xsi:type="xsd:double"&gt;2024&lt;/D&gt;&lt;/FQL&gt;&lt;FQL&gt;&lt;Q&gt;Ticker0024^FE_ESTIMATE(CAPEX,MEAN,QUARTERLY_ROLL,2016/1F,45769,,,'')&lt;/Q&gt;&lt;R&gt;1&lt;/R&gt;&lt;C&gt;1&lt;/C&gt;&lt;D xsi:type="xsd:double"&gt;1356&lt;/D&gt;&lt;/FQL&gt;&lt;FQL&gt;&lt;Q&gt;Ticker0024^FE_ESTIMATE(CAPEX,MEAN,ANNUAL_ROLL,2015,45769,,,'')&lt;/Q&gt;&lt;R&gt;1&lt;/R&gt;&lt;C&gt;1&lt;/C&gt;&lt;D xsi:type="xsd:double"&gt;5944&lt;/D&gt;&lt;/FQL&gt;&lt;FQL&gt;&lt;Q&gt;Ticker0024^FE_ESTIMATE(CAPEX,MEAN,QUARTERLY_ROLL,2015/4F,45769,,,'')&lt;/Q&gt;&lt;R&gt;1&lt;/R&gt;&lt;C&gt;1&lt;/C&gt;&lt;D xsi:type="xsd:double"&gt;1781&lt;/D&gt;&lt;/FQL&gt;&lt;FQL&gt;&lt;Q&gt;Ticker0024^FE_ESTIMATE(CAPEX,MEAN,QUARTERLY_ROLL,2015/3F,45769,,,'')&lt;/Q&gt;&lt;R&gt;1&lt;/R&gt;&lt;C&gt;1&lt;/C&gt;&lt;D xsi:type="xsd:double"&gt;1391&lt;/D&gt;&lt;/FQL&gt;&lt;FQL&gt;&lt;Q&gt;Ticker0024^FE_ESTIMATE(CAPEX,MEAN,QUARTERLY_ROLL,2015/2F,45769,,,'')&lt;/Q&gt;&lt;R&gt;1&lt;/R&gt;&lt;C&gt;1&lt;/C&gt;&lt;D xsi:type="xsd:double"&gt;1490&lt;/D&gt;&lt;/FQL&gt;&lt;FQL&gt;&lt;Q&gt;Ticker0024^FE_ESTIMATE(CAPEX,MEAN,QUARTERLY_ROLL,2015/1F,45769,,,'')&lt;/Q&gt;&lt;R&gt;1&lt;/R&gt;&lt;C&gt;1&lt;/C&gt;&lt;D xsi:type="xsd:double"&gt;1282&lt;/D&gt;&lt;/FQL&gt;&lt;FQL&gt;&lt;Q&gt;Ticker0024^FE_ESTIMATE(CFO,MEAN,ANNUAL_ROLL,2030,45769,,,'')&lt;/Q&gt;&lt;R&gt;0&lt;/R&gt;&lt;C&gt;0&lt;/C&gt;&lt;/FQL&gt;&lt;FQL&gt;&lt;Q&gt;Ticker0024^FE_ESTIMATE(CFO,MEAN,QUARTERLY_ROLL,2030/4F,45769,,,'')&lt;/Q&gt;&lt;R&gt;0&lt;/R&gt;&lt;C&gt;0&lt;/C&gt;&lt;/FQL&gt;&lt;FQL&gt;&lt;Q&gt;Ticker0024^FE_ESTIMATE(CFO,MEAN,QUARTERLY_ROLL,2030/3F,45769,,,'')&lt;/Q&gt;&lt;R&gt;0&lt;/R&gt;&lt;C&gt;0&lt;/C&gt;&lt;/FQL&gt;&lt;FQL&gt;&lt;Q&gt;Ticker0024^FE_ESTIMATE(CFO,MEAN,QUARTERLY_ROLL,2030/2F,45769,,,'')&lt;/Q&gt;&lt;R&gt;0&lt;/R&gt;&lt;C&gt;0&lt;/C&gt;&lt;/FQL&gt;&lt;FQL&gt;&lt;Q&gt;Ticker0024^FE_ESTIMATE(CFO,MEAN,QUARTERLY_ROLL,2030/1F,45769,,,'')&lt;/Q&gt;&lt;R&gt;0&lt;/R&gt;&lt;C&gt;0&lt;/C&gt;&lt;/FQL&gt;&lt;FQL&gt;&lt;Q&gt;Ticker0024^FE_ESTIMATE(CFO,MEAN,ANNUAL_ROLL,2029,45769,,,'')&lt;/Q&gt;&lt;R&gt;0&lt;/R&gt;&lt;C&gt;0&lt;/C&gt;&lt;/FQL&gt;&lt;FQL&gt;&lt;Q&gt;Ticker0024^FE_ESTIMATE(CFO,MEAN,QUARTERLY_ROLL,2029/4F,45769,,,'')&lt;/Q&gt;&lt;R&gt;0&lt;/R&gt;&lt;C&gt;0&lt;/C&gt;&lt;/FQL&gt;&lt;FQL&gt;&lt;Q&gt;Ticker0024^FE_ESTIMATE(CFO,MEAN,QUARTERLY_ROLL,2029/3F,45769,,,'')&lt;/Q&gt;&lt;R&gt;0&lt;/R&gt;&lt;C&gt;0&lt;/C&gt;&lt;/FQL&gt;&lt;FQL&gt;&lt;Q&gt;Ticker0024^FE_ESTIMATE(CFO,MEAN,QUARTERLY_ROLL,2029/2F,45769,,,'')&lt;/Q&gt;&lt;R&gt;0&lt;/R&gt;&lt;C&gt;0&lt;/C&gt;&lt;/FQL&gt;&lt;FQL&gt;&lt;Q&gt;Ticker0024^FE_ESTIMATE(CFO,MEAN,QUARTERLY_ROLL,2029/1F,45769,,,'')&lt;/Q&gt;&lt;R&gt;0&lt;/R&gt;&lt;C&gt;0&lt;/C&gt;&lt;/FQL&gt;&lt;FQL&gt;&lt;Q&gt;Ticker0024^FE_ESTIMATE(CFO,MEAN,ANNUAL_ROLL,2028,45769,,,'')&lt;/Q&gt;&lt;R&gt;1&lt;/R&gt;&lt;C&gt;1&lt;/C&gt;&lt;D xsi:type="xsd:double"&gt;226816&lt;/D&gt;&lt;/FQL&gt;&lt;FQL&gt;&lt;Q&gt;Ticker0024^FE_ESTIMATE(CFO,MEAN,QUARTERLY_ROLL,2028/4F,45769,,,'')&lt;/Q&gt;&lt;R&gt;0&lt;/R&gt;&lt;C&gt;0&lt;/C&gt;&lt;/FQL&gt;&lt;FQL&gt;&lt;Q&gt;Ticker0024^FE_ESTIMATE(CFO,MEAN,QUARTERLY_ROLL,2028/3F,45769,,,'')&lt;/Q&gt;&lt;R&gt;0&lt;/R&gt;&lt;C&gt;0&lt;/C&gt;&lt;/FQL&gt;&lt;FQL&gt;&lt;Q&gt;Ticker0024^FE_ESTIMATE(CFO,MEAN,QUARTERLY_ROLL,2028/2F,45769,,,'')&lt;/Q&gt;&lt;R&gt;0&lt;/R&gt;&lt;C&gt;0&lt;/C&gt;&lt;/FQL&gt;&lt;FQL&gt;&lt;Q&gt;Ticker0024^FE_ESTIMATE(CFO,MEAN,QUARTERLY_ROLL,2028/1F,45769,,,'')&lt;/Q&gt;&lt;R&gt;0&lt;/R&gt;&lt;C&gt;0&lt;/C&gt;&lt;/FQL&gt;&lt;FQL&gt;&lt;Q&gt;Ticker0024^FE_ESTIMATE(CFO,MEAN,ANNUAL_ROLL,2027,45769,,,'')&lt;/Q&gt;&lt;R&gt;1&lt;/R&gt;&lt;C&gt;1&lt;/C&gt;&lt;D xsi:type="xsd:double"&gt;171369.47&lt;/D&gt;&lt;/FQL&gt;&lt;FQL&gt;&lt;Q&gt;Ticker0024^FE_ESTIMATE(CFO,MEAN,QUARTERLY_ROLL,2027/4F,45769,,,'')&lt;/Q&gt;&lt;R&gt;1&lt;/R&gt;&lt;C&gt;1&lt;/C&gt;&lt;D xsi:type="xsd:double"&gt;43128.5&lt;/D&gt;&lt;/FQL&gt;&lt;FQL&gt;&lt;Q&gt;Ticker0024^FE_ESTIMATE(CFO,MEAN,QUARTERLY_ROLL,2027/3F,45769,,,'')&lt;/Q&gt;&lt;R&gt;1&lt;/R&gt;&lt;C&gt;1&lt;/C&gt;&lt;D xsi:type="xsd:double"&gt;40018&lt;/D&gt;&lt;/FQL&gt;&lt;FQL&gt;&lt;Q&gt;Ticker0024^FE_ESTIMATE(CFO,MEAN,QUARTERLY_ROLL,2027/2F,45769,,,'')&lt;/Q&gt;&lt;R&gt;1&lt;/R&gt;&lt;C&gt;1&lt;/C&gt;&lt;D xsi:type="xsd:double"&gt;31102&lt;/D&gt;&lt;/FQL&gt;&lt;FQL&gt;&lt;Q&gt;Ticker0024^FE_ESTIMATE(CFO,MEAN,QUARTERLY_ROLL,2027/1F,45769,,,'')&lt;/Q&gt;&lt;R&gt;1&lt;/R&gt;&lt;C&gt;1&lt;/C&gt;&lt;D xsi:type="xsd:double"&gt;57239&lt;/D&gt;&lt;/FQL&gt;&lt;FQL&gt;&lt;Q&gt;Ticker0024^FE_ESTIMATE(CFO,MEAN,ANNUAL_ROLL,2026,45769,,,'')&lt;/Q&gt;&lt;R&gt;1&lt;/R&gt;&lt;C&gt;1&lt;/C&gt;&lt;D xsi:type="xsd:double"&gt;149676.98&lt;/D&gt;&lt;/FQL&gt;&lt;FQL&gt;&lt;Q&gt;Ticker0024^FE_ESTIMATE(CFO,MEAN,QUARTERLY_ROLL,2026/4F,45769,,,'')&lt;/Q&gt;&lt;R&gt;1&lt;/R&gt;&lt;C&gt;1&lt;/C&gt;&lt;D xsi:type="xsd:double"&gt;43479.25&lt;/D&gt;&lt;/FQL&gt;&lt;FQL&gt;&lt;Q&gt;Ticker0024^FE_ESTIMATE(CFO,MEAN,QUARTERLY_ROLL,2026/3F,45769,,,'')&lt;/Q&gt;&lt;R&gt;1&lt;/R&gt;&lt;C&gt;1&lt;/C&gt;&lt;D xsi:type="xsd:double"&gt;37013.375&lt;/D&gt;&lt;/FQL&gt;&lt;FQL&gt;&lt;Q&gt;Ticker0024^FE_ESTIMATE(CFO,MEAN,QUARTERLY_ROLL,2026/2F,45769,,,'')&lt;/Q&gt;&lt;R&gt;1&lt;/R&gt;&lt;C&gt;1&lt;/C&gt;&lt;D xsi:type="xsd:double"&gt;28170.666&lt;/D&gt;&lt;/FQL&gt;&lt;FQL&gt;&lt;Q&gt;Ticker0024^FE_ESTIMATE(CFO,MEAN,QUARTERLY_ROLL,2026/1F,45769,,,'')&lt;/Q&gt;&lt;R&gt;1&lt;/R&gt;&lt;C&gt;1&lt;/C&gt;&lt;D xsi:type="xsd:double"&gt;41308.332&lt;/D&gt;&lt;/FQL&gt;&lt;FQL&gt;&lt;Q&gt;Ticker0024^FE_ESTIMATE(CFO,MEAN,ANNUAL_ROLL,2025,45769,,,'')&lt;/Q&gt;&lt;R&gt;1&lt;/R&gt;&lt;C&gt;1&lt;/C&gt;&lt;D xsi:type="xsd:double"&gt;130408.66&lt;/D&gt;&lt;/FQL&gt;&lt;FQL&gt;&lt;Q&gt;Ticker0024^FE_ESTIMATE(CFO,MEAN,QUARTERLY_ROLL,2025/4F,45769,,,'')&lt;/Q&gt;&lt;R&gt;1&lt;/R&gt;&lt;C&gt;1&lt;/C&gt;&lt;D xsi:type="xsd:double"&gt;39714.273&lt;/D&gt;&lt;/FQL&gt;&lt;FQL&gt;&lt;Q&gt;Ticker0024^FE_ESTIMATE(CFO,MEAN,QUARTERLY_ROLL,2025/3F,45769,,,'')&lt;/Q&gt;&lt;R&gt;1&lt;/R&gt;&lt;C&gt;1&lt;/C&gt;&lt;D xsi:type="xsd:double"&gt;33905.51&lt;/D&gt;&lt;/FQL&gt;&lt;FQL&gt;&lt;Q&gt;Ticker0024^FE_ESTIMATE(CFO,MEAN,QUARTERLY_ROLL,2025/2F,45769,,,'')&lt;/Q&gt;&lt;R&gt;1&lt;/R&gt;&lt;C&gt;1&lt;/C&gt;&lt;D xsi:type="xsd:double"&gt;22290.938&lt;/D&gt;&lt;/FQL&gt;&lt;FQL&gt;&lt;Q&gt;Ticker0024^FE_ESTIMATE(CFO,MEAN,QUARTERLY_ROLL,2025/1F,45769,,,'')&lt;/Q&gt;&lt;R&gt;1&lt;/R&gt;&lt;C&gt;1&lt;/C&gt;&lt;D xsi:type="xsd:double"&gt;34180&lt;/D&gt;&lt;/FQL&gt;&lt;FQL&gt;&lt;Q&gt;Ticker0024^FE_ESTIMATE(CFO,MEAN,ANNUAL_ROLL,2024,45769,,,'')&lt;/Q&gt;&lt;R&gt;1&lt;/R&gt;&lt;C&gt;1&lt;/C&gt;&lt;D xsi:type="xsd:double"&gt;119091&lt;/D&gt;&lt;/FQL&gt;&lt;FQL&gt;&lt;Q&gt;Ticker0024^FE_ESTIMATE(CFO,MEAN,QUARTERLY_ROLL,2024/4F,45769,,,'')&lt;/Q&gt;&lt;R&gt;1&lt;/R&gt;&lt;C&gt;1&lt;/C&gt;&lt;D xsi:type="xsd:double"&gt;37195.355&lt;/D&gt;&lt;/FQL&gt;&lt;FQL&gt;&lt;Q&gt;Ticker0024^FE_ESTIMATE(CFO,MEAN,QUARTERLY_ROLL,2024/3F,45769,,,'')&lt;/Q&gt;&lt;R&gt;1&lt;/R&gt;&lt;C&gt;1&lt;/C&gt;&lt;D xsi:type="xsd:double"&gt;31917.176&lt;/D&gt;&lt;/FQL&gt;&lt;FQL&gt;&lt;Q&gt;Ticker0024^FE_ESTIMATE(CFO,MEAN,QUARTERLY_ROLL,2024/2F,45769,,,'')&lt;/Q&gt;&lt;R&gt;1&lt;/R&gt;&lt;C&gt;1&lt;/C&gt;&lt;D xsi:type="xsd:double"&gt;18855.445&lt;/D&gt;&lt;/FQL&gt;&lt;FQL&gt;&lt;Q&gt;Ticker0024^FE_ESTIMATE(CFO,MEAN,QUARTERLY_ROLL,2024/1F,45769,,,'')&lt;/Q&gt;&lt;R&gt;1&lt;/R&gt;&lt;C&gt;1&lt;/C&gt;&lt;D xsi:type="xsd:double"&gt;30578.588&lt;/D&gt;&lt;/FQL&gt;&lt;FQL&gt;&lt;Q&gt;Ticker0024^FE_ESTIMATE(CFO,MEAN,ANNUAL_ROLL,2023,45769,,,'')&lt;/Q&gt;&lt;R&gt;1&lt;/R&gt;&lt;C&gt;1&lt;/C&gt;&lt;D xsi:type="xsd:double"&gt;87714&lt;/D&gt;&lt;/FQL&gt;&lt;FQL&gt;&lt;Q&gt;Ticker0024^FE_ESTIMATE(CFO,MEAN,QUARTERLY_ROLL,2023/4F,45769,,,'')&lt;/Q&gt;&lt;R&gt;1&lt;/R&gt;&lt;C&gt;1&lt;/C&gt;&lt;D xsi:type="xsd:double"&gt;28504.813&lt;/D&gt;&lt;/FQL&gt;&lt;FQL&gt;&lt;Q&gt;Ticker0024^FE_ESTIMATE(CFO,MEAN,QUARTERLY_ROLL,2023/3F,45769,,,'')&lt;/Q&gt;&lt;R&gt;1&lt;/R&gt;&lt;C&gt;1&lt;/C&gt;&lt;D xsi:type="xsd:double"&gt;24325.75&lt;/D&gt;&lt;/FQL&gt;&lt;FQL&gt;&lt;Q&gt;Ticker0024^FE_ESTIMATE(CFO,MEAN,QUARTERLY_ROLL,2023/2F,45769,,,'')&lt;/Q&gt;&lt;R&gt;1&lt;/R&gt;&lt;C&gt;1&lt;/C&gt;&lt;D xsi:type="xsd:double"&gt;11172.8&lt;/D&gt;&lt;/FQL&gt;&lt;FQL&gt;&lt;Q&gt;Ticker0024^FE_ESTIMATE(CFO,MEAN,QUARTERLY_ROLL,2023/1F,45769,,,'')&lt;/Q&gt;&lt;R&gt;1&lt;/R&gt;&lt;C&gt;1&lt;/C&gt;&lt;D xsi:type="xsd:double"&gt;23330.53&lt;/D&gt;&lt;/FQL&gt;&lt;FQL&gt;&lt;Q&gt;Ticker0024^FE_ESTIMATE(CFO,MEAN,ANNUAL_ROLL,2022,45769,,,'')&lt;/Q&gt;&lt;R&gt;1&lt;/R&gt;&lt;C&gt;1&lt;/C&gt;&lt;D xsi:type="xsd:double"&gt;89044.74&lt;/D&gt;&lt;/FQL&gt;&lt;FQL&gt;&lt;Q&gt;Ticker0024^FE_ESTIMATE(CFO,MEAN,QUARTERLY_ROLL,2022/4F,45769,,,'')&lt;/Q&gt;&lt;R&gt;1&lt;/R&gt;&lt;C&gt;1&lt;/C&gt;&lt;D xsi:type="xsd:double"&gt;24629&lt;/D&gt;&lt;/FQL&gt;&lt;FQL&gt;&lt;Q&gt;Ticker0024^FE_ESTIMATE(CFO,MEAN,QUARTERLY_ROLL,2022/3F,45769,,,'')&lt;/Q&gt;&lt;R&gt;1&lt;/R&gt;&lt;C&gt;1&lt;/C&gt;&lt;D xsi:type="xsd:double"&gt;25386&lt;/D&gt;&lt;/FQL&gt;&lt;FQL&gt;&lt;Q&gt;Ticker0024^FE_ESTIMATE(CFO,MEAN,QUARTERLY_ROLL,2022/2F,45769,,,'')&lt;/Q&gt;&lt;R&gt;1&lt;/R&gt;&lt;C&gt;1&lt;/C&gt;&lt;D</t>
        </r>
      </text>
    </comment>
    <comment ref="A29" authorId="0" shapeId="0" xr:uid="{56931401-F77C-445F-B703-3D152A1F109C}">
      <text>
        <r>
          <rPr>
            <b/>
            <sz val="9"/>
            <color indexed="81"/>
            <rFont val="Tahoma"/>
            <family val="2"/>
          </rPr>
          <t xml:space="preserve">Author:type="xsd:double"&gt;14480&lt;/D&gt;&lt;/FQL&gt;&lt;FQL&gt;&lt;Q&gt;Ticker0024^FE_ESTIMATE(CFO,MEAN,QUARTERLY_ROLL,2022/1F,45769,,,'')&lt;/Q&gt;&lt;R&gt;1&lt;/R&gt;&lt;C&gt;1&lt;/C&gt;&lt;D xsi:type="xsd:double"&gt;24540&lt;/D&gt;&lt;/FQL&gt;&lt;FQL&gt;&lt;Q&gt;Ticker0024^FE_ESTIMATE(CFO,MEAN,ANNUAL_ROLL,2021,45769,,,'')&lt;/Q&gt;&lt;R&gt;1&lt;/R&gt;&lt;C&gt;1&lt;/C&gt;&lt;D xsi:type="xsd:double"&gt;77615.55&lt;/D&gt;&lt;/FQL&gt;&lt;FQL&gt;&lt;Q&gt;Ticker0024^FE_ESTIMATE(CFO,MEAN,QUARTERLY_ROLL,2021/4F,45769,,,'')&lt;/Q&gt;&lt;R&gt;1&lt;/R&gt;&lt;C&gt;1&lt;/C&gt;&lt;D xsi:type="xsd:double"&gt;22710&lt;/D&gt;&lt;/FQL&gt;&lt;FQL&gt;&lt;Q&gt;Ticker0024^FE_ESTIMATE(CFO,MEAN,QUARTERLY_ROLL,2021/3F,45769,,,'')&lt;/Q&gt;&lt;R&gt;1&lt;/R&gt;&lt;C&gt;1&lt;/C&gt;&lt;D xsi:type="xsd:double"&gt;21909&lt;/D&gt;&lt;/FQL&gt;&lt;FQL&gt;&lt;Q&gt;Ticker0024^FE_ESTIMATE(CFO,MEAN,QUARTERLY_ROLL,2021/2F,45769,,,'')&lt;/Q&gt;&lt;R&gt;1&lt;/R&gt;&lt;C&gt;1&lt;/C&gt;&lt;D xsi:type="xsd:double"&gt;12516&lt;/D&gt;&lt;/FQL&gt;&lt;FQL&gt;&lt;Q&gt;Ticker0024^FE_ESTIMATE(CFO,MEAN,QUARTERLY_ROLL,2021/1F,45769,,,'')&lt;/Q&gt;&lt;R&gt;1&lt;/R&gt;&lt;C&gt;1&lt;/C&gt;&lt;D xsi:type="xsd:double"&gt;19151.9&lt;/D&gt;&lt;/FQL&gt;&lt;FQL&gt;&lt;Q&gt;Ticker0024^FE_ESTIMATE(CFO,MEAN,ANNUAL_ROLL,2020,45769,,,'')&lt;/Q&gt;&lt;R&gt;1&lt;/R&gt;&lt;C&gt;1&lt;/C&gt;&lt;D xsi:type="xsd:double"&gt;60473.91&lt;/D&gt;&lt;/FQL&gt;&lt;FQL&gt;&lt;Q&gt;Ticker0024^FE_ESTIMATE(CFO,MEAN,QUARTERLY_ROLL,2020/4F,45769,,,'')&lt;/Q&gt;&lt;R&gt;1&lt;/R&gt;&lt;C&gt;1&lt;/C&gt;&lt;D xsi:type="xsd:double"&gt;18673&lt;/D&gt;&lt;/FQL&gt;&lt;FQL&gt;&lt;Q&gt;Ticker0024^FE_ESTIMATE(CFO,MEAN,QUARTERLY_ROLL,2020/3F,45769,,,'')&lt;/Q&gt;&lt;R&gt;1&lt;/R&gt;&lt;C&gt;1&lt;/C&gt;&lt;D xsi:type="xsd:double"&gt;17507.223&lt;/D&gt;&lt;/FQL&gt;&lt;FQL&gt;&lt;Q&gt;Ticker0024^FE_ESTIMATE(CFO,MEAN,QUARTERLY_ROLL,2020/2F,45769,,,'')&lt;/Q&gt;&lt;R&gt;1&lt;/R&gt;&lt;C&gt;1&lt;/C&gt;&lt;D xsi:type="xsd:double"&gt;10680&lt;/D&gt;&lt;/FQL&gt;&lt;FQL&gt;&lt;Q&gt;Ticker0024^FE_ESTIMATE(CFO,MEAN,QUARTERLY_ROLL,2020/1F,45769,,,'')&lt;/Q&gt;&lt;R&gt;1&lt;/R&gt;&lt;C&gt;1&lt;/C&gt;&lt;D xsi:type="xsd:double"&gt;13818&lt;/D&gt;&lt;/FQL&gt;&lt;FQL&gt;&lt;Q&gt;Ticker0024^FE_ESTIMATE(CFO,MEAN,ANNUAL_ROLL,2019,45769,,,'')&lt;/Q&gt;&lt;R&gt;1&lt;/R&gt;&lt;C&gt;1&lt;/C&gt;&lt;D xsi:type="xsd:double"&gt;51866.285&lt;/D&gt;&lt;/FQL&gt;&lt;FQL&gt;&lt;Q&gt;Ticker0024^FE_ESTIMATE(CFO,MEAN,QUARTERLY_ROLL,2019/4F,45769,,,'')&lt;/Q&gt;&lt;R&gt;1&lt;/R&gt;&lt;C&gt;1&lt;/C&gt;&lt;D xsi:type="xsd:double"&gt;16108&lt;/D&gt;&lt;/FQL&gt;&lt;FQL&gt;&lt;Q&gt;Ticker0024^FE_ESTIMATE(CFO,MEAN,QUARTERLY_ROLL,2019/3F,45769,,,'')&lt;/Q&gt;&lt;R&gt;1&lt;/R&gt;&lt;C&gt;1&lt;/C&gt;&lt;D xsi:type="xsd:double"&gt;13520&lt;/D&gt;&lt;/FQL&gt;&lt;FQL&gt;&lt;Q&gt;Ticker0024^FE_ESTIMATE(CFO,MEAN,QUARTERLY_ROLL,2019/2F,45769,,,'')&lt;/Q&gt;&lt;R&gt;1&lt;/R&gt;&lt;C&gt;1&lt;/C&gt;&lt;D xsi:type="xsd:double"&gt;8854.25&lt;/D&gt;&lt;/FQL&gt;&lt;FQL&gt;&lt;Q&gt;Ticker0024^FE_ESTIMATE(CFO,MEAN,QUARTERLY_ROLL,2019/1F,45769,,,'')&lt;/Q&gt;&lt;R&gt;1&lt;/R&gt;&lt;C&gt;1&lt;/C&gt;&lt;D xsi:type="xsd:double"&gt;13284.637&lt;/D&gt;&lt;/FQL&gt;&lt;FQL&gt;&lt;Q&gt;Ticker0024^FE_ESTIMATE(CFO,MEAN,ANNUAL_ROLL,2018,45769,,,'')&lt;/Q&gt;&lt;R&gt;1&lt;/R&gt;&lt;C&gt;1&lt;/C&gt;&lt;D xsi:type="xsd:double"&gt;43558.848&lt;/D&gt;&lt;/FQL&gt;&lt;FQL&gt;&lt;Q&gt;Ticker0024^FE_ESTIMATE(CFO,MEAN,QUARTERLY_ROLL,2018/4F,45769,,,'')&lt;/Q&gt;&lt;R&gt;1&lt;/R&gt;&lt;C&gt;1&lt;/C&gt;&lt;D xsi:type="xsd:double"&gt;11606.333&lt;/D&gt;&lt;/FQL&gt;&lt;FQL&gt;&lt;Q&gt;Ticker0024^FE_ESTIMATE(CFO,MEAN,QUARTERLY_ROLL,2018/3F,45769,,,'')&lt;/Q&gt;&lt;R&gt;1&lt;/R&gt;&lt;C&gt;1&lt;/C&gt;&lt;D xsi:type="xsd:double"&gt;12151&lt;/D&gt;&lt;/FQL&gt;&lt;FQL&gt;&lt;Q&gt;Ticker0024^FE_ESTIMATE(CFO,MEAN,QUARTERLY_ROLL,2018/2F,45769,,,'')&lt;/Q&gt;&lt;R&gt;1&lt;/R&gt;&lt;C&gt;1&lt;/C&gt;&lt;D xsi:type="xsd:double"&gt;7875&lt;/D&gt;&lt;/FQL&gt;&lt;FQL&gt;&lt;Q&gt;Ticker0024^FE_ESTIMATE(CFO,MEAN,QUARTERLY_ROLL,2018/1F,45769,,,'')&lt;/Q&gt;&lt;R&gt;1&lt;/R&gt;&lt;C&gt;1&lt;/C&gt;&lt;D xsi:type="xsd:double"&gt;12440&lt;/D&gt;&lt;/FQL&gt;&lt;FQL&gt;&lt;Q&gt;Ticker0024^FE_ESTIMATE(CFO,MEAN,ANNUAL_ROLL,2017,45769,,,'')&lt;/Q&gt;&lt;R&gt;1&lt;/R&gt;&lt;C&gt;1&lt;/C&gt;&lt;D xsi:type="xsd:double"&gt;39507&lt;/D&gt;&lt;/FQL&gt;&lt;FQL&gt;&lt;Q&gt;Ticker0024^FE_ESTIMATE(CFO,MEAN,QUARTERLY_ROLL,2017/4F,45769,,,'')&lt;/Q&gt;&lt;R&gt;1&lt;/R&gt;&lt;C&gt;1&lt;/C&gt;&lt;D xsi:type="xsd:double"&gt;11005&lt;/D&gt;&lt;/FQL&gt;&lt;FQL&gt;&lt;Q&gt;Ticker0024^FE_ESTIMATE(CFO,MEAN,QUARTERLY_ROLL,2017/3F,45769,,,'')&lt;/Q&gt;&lt;R&gt;1&lt;/R&gt;&lt;C&gt;1&lt;/C&gt;&lt;D xsi:type="xsd:double"&gt;10660&lt;/D&gt;&lt;/FQL&gt;&lt;FQL&gt;&lt;Q&gt;Ticker0024^FE_ESTIMATE(CFO,MEAN,QUARTERLY_ROLL,2017/2F,45769,,,'')&lt;/Q&gt;&lt;R&gt;1&lt;/R&gt;&lt;C&gt;1&lt;/C&gt;&lt;D xsi:type="xsd:double"&gt;6293&lt;/D&gt;&lt;/FQL&gt;&lt;FQL&gt;&lt;Q&gt;Ticker0024^FE_ESTIMATE(CFO,MEAN,QUARTERLY_ROLL,2017/1F,45769,,,'')&lt;/Q&gt;&lt;R&gt;1&lt;/R&gt;&lt;C&gt;1&lt;/C&gt;&lt;D xsi:type="xsd:double"&gt;11549&lt;/D&gt;&lt;/FQL&gt;&lt;FQL&gt;&lt;Q&gt;Ticker0024^FE_ESTIMATE(CFO,MEAN,ANNUAL_ROLL,2016,45769,,,'')&lt;/Q&gt;&lt;R&gt;1&lt;/R&gt;&lt;C&gt;1&lt;/C&gt;&lt;D xsi:type="xsd:double"&gt;32872.5&lt;/D&gt;&lt;/FQL&gt;&lt;FQL&gt;&lt;Q&gt;Ticker0024^FE_ESTIMATE(CFO,MEAN,QUARTERLY_ROLL,2016/4F,45769,,,'')&lt;/Q&gt;&lt;R&gt;1&lt;/R&gt;&lt;C&gt;1&lt;/C&gt;&lt;D xsi:type="xsd:double"&gt;8464&lt;/D&gt;&lt;/FQL&gt;&lt;FQL&gt;&lt;Q&gt;Ticker0024^FE_ESTIMATE(CFO,MEAN,QUARTERLY_ROLL,2016/3F,45769,,,'')&lt;/Q&gt;&lt;R&gt;1&lt;/R&gt;&lt;C&gt;1&lt;/C&gt;&lt;D xsi:type="xsd:double"&gt;10367&lt;/D&gt;&lt;/FQL&gt;&lt;FQL&gt;&lt;Q&gt;Ticker0024^FE_ESTIMATE(CFO,MEAN,QUARTERLY_ROLL,2016/2F,45769,,,'')&lt;/Q&gt;&lt;R&gt;1&lt;/R&gt;&lt;C&gt;1&lt;/C&gt;&lt;D xsi:type="xsd:double"&gt;5598&lt;/D&gt;&lt;/FQL&gt;&lt;FQL&gt;&lt;Q&gt;Ticker0024^FE_ESTIMATE(CFO,MEAN,QUARTERLY_ROLL,2016/1F,45769,,,'')&lt;/Q&gt;&lt;R&gt;1&lt;/R&gt;&lt;C&gt;1&lt;/C&gt;&lt;D xsi:type="xsd:double"&gt;8550.5&lt;/D&gt;&lt;/FQL&gt;&lt;FQL&gt;&lt;Q&gt;Ticker0024^FE_ESTIMATE(CFO,MEAN,ANNUAL_ROLL,2015,45769,,,'')&lt;/Q&gt;&lt;R&gt;1&lt;/R&gt;&lt;C&gt;1&lt;/C&gt;&lt;D xsi:type="xsd:double"&gt;29510.059&lt;/D&gt;&lt;/FQL&gt;&lt;FQL&gt;&lt;Q&gt;Ticker0024^FE_ESTIMATE(CFO,MEAN,QUARTERLY_ROLL,2015/4F,45769,,,'')&lt;/Q&gt;&lt;R&gt;1&lt;/R&gt;&lt;C&gt;1&lt;/C&gt;&lt;D xsi:type="xsd:double"&gt;7446.231&lt;/D&gt;&lt;/FQL&gt;&lt;FQL&gt;&lt;Q&gt;Ticker0024^FE_ESTIMATE(CFO,MEAN,QUARTERLY_ROLL,2015/3F,45769,,,'')&lt;/Q&gt;&lt;R&gt;1&lt;/R&gt;&lt;C&gt;1&lt;/C&gt;&lt;D xsi:type="xsd:double"&gt;9570&lt;/D&gt;&lt;/FQL&gt;&lt;FQL&gt;&lt;Q&gt;Ticker0024^FE_ESTIMATE(CFO,MEAN,QUARTERLY_ROLL,2015/2F,45769,,,'')&lt;/Q&gt;&lt;R&gt;1&lt;/R&gt;&lt;C&gt;1&lt;/C&gt;&lt;D xsi:type="xsd:double"&gt;4340&lt;/D&gt;&lt;/FQL&gt;&lt;FQL&gt;&lt;Q&gt;Ticker0024^FE_ESTIMATE(CFO,MEAN,QUARTERLY_ROLL,2015/1F,45769,,,'')&lt;/Q&gt;&lt;R&gt;1&lt;/R&gt;&lt;C&gt;1&lt;/C&gt;&lt;D xsi:type="xsd:double"&gt;8354&lt;/D&gt;&lt;/FQL&gt;&lt;FQL&gt;&lt;Q&gt;Ticker0024^FE_ESTIMATE(EPS,MEAN,ANNUAL_ROLL,2030,45769,,,'')&lt;/Q&gt;&lt;R&gt;0&lt;/R&gt;&lt;C&gt;0&lt;/C&gt;&lt;/FQL&gt;&lt;FQL&gt;&lt;Q&gt;Ticker0024^FE_ESTIMATE(EPS,MEAN,QUARTERLY_ROLL,2030/4F,45769,,,'')&lt;/Q&gt;&lt;R&gt;0&lt;/R&gt;&lt;C&gt;0&lt;/C&gt;&lt;/FQL&gt;&lt;FQL&gt;&lt;Q&gt;Ticker0024^FE_ESTIMATE(EPS,MEAN,QUARTERLY_ROLL,2030/3F,45769,,,'')&lt;/Q&gt;&lt;R&gt;0&lt;/R&gt;&lt;C&gt;0&lt;/C&gt;&lt;/FQL&gt;&lt;FQL&gt;&lt;Q&gt;Ticker0024^FE_ESTIMATE(EPS,MEAN,QUARTERLY_ROLL,2030/2F,45769,,,'')&lt;/Q&gt;&lt;R&gt;0&lt;/R&gt;&lt;C&gt;0&lt;/C&gt;&lt;/FQL&gt;&lt;FQL&gt;&lt;Q&gt;Ticker0024^FE_ESTIMATE(EPS,MEAN,QUARTERLY_ROLL,2030/1F,45769,,,'')&lt;/Q&gt;&lt;R&gt;0&lt;/R&gt;&lt;C&gt;0&lt;/C&gt;&lt;/FQL&gt;&lt;FQL&gt;&lt;Q&gt;Ticker0024^FE_ESTIMATE(EPS,MEAN,ANNUAL_ROLL,2029,45769,,,'')&lt;/Q&gt;&lt;R&gt;1&lt;/R&gt;&lt;C&gt;1&lt;/C&gt;&lt;D xsi:type="xsd:double"&gt;23.3&lt;/D&gt;&lt;/FQL&gt;&lt;FQL&gt;&lt;Q&gt;Ticker0024^FE_ESTIMATE(EPS,MEAN,QUARTERLY_ROLL,2029/4F,45769,,,'')&lt;/Q&gt;&lt;R&gt;0&lt;/R&gt;&lt;C&gt;0&lt;/C&gt;&lt;/FQL&gt;&lt;FQL&gt;&lt;Q&gt;Ticker0024^FE_ESTIMATE(EPS,MEAN,QUARTERLY_ROLL,2029/3F,45769,,,'')&lt;/Q&gt;&lt;R&gt;0&lt;/R&gt;&lt;C&gt;0&lt;/C&gt;&lt;/FQL&gt;&lt;FQL&gt;&lt;Q&gt;Ticker0024^FE_ESTIMATE(EPS,MEAN,QUARTERLY_ROLL,2029/2F,45769,,,'')&lt;/Q&gt;&lt;R&gt;0&lt;/R&gt;&lt;C&gt;0&lt;/C&gt;&lt;/FQL&gt;&lt;FQL&gt;&lt;Q&gt;Ticker0024^FE_ESTIMATE(EPS,MEAN,QUARTERLY_ROLL,2029/1F,45769,,,'')&lt;/Q&gt;&lt;R&gt;0&lt;/R&gt;&lt;C&gt;0&lt;/C&gt;&lt;/FQL&gt;&lt;FQL&gt;&lt;Q&gt;Ticker0024^FE_ESTIMATE(EPS,MEAN,ANNUAL_ROLL,2028,45769,,,'')&lt;/Q&gt;&lt;R&gt;1&lt;/R&gt;&lt;C&gt;1&lt;/C&gt;&lt;D xsi:type="xsd:double"&gt;20.045443&lt;/D&gt;&lt;/FQL&gt;&lt;FQL&gt;&lt;Q&gt;Ticker0024^FE_ESTIMATE(EPS,MEAN,QUARTERLY_ROLL,2028/4F,45769,,,'')&lt;/Q&gt;&lt;R&gt;0&lt;/R&gt;&lt;C&gt;0&lt;/C&gt;&lt;/FQL&gt;&lt;FQL&gt;&lt;Q&gt;Ticker0024^FE_ESTIMATE(EPS,MEAN,QUARTERLY_ROLL,2028/3F,45769,,,'')&lt;/Q&gt;&lt;R&gt;0&lt;/R&gt;&lt;C&gt;0&lt;/C&gt;&lt;/FQL&gt;&lt;FQL&gt;&lt;Q&gt;Ticker0024^FE_ESTIMATE(EPS,MEAN,QUARTERLY_ROLL,2028/2F,45769,,,'')&lt;/Q&gt;&lt;R&gt;0&lt;/R&gt;&lt;C&gt;0&lt;/C&gt;&lt;/FQL&gt;&lt;FQL&gt;&lt;Q&gt;Ticker0024^FE_ESTIMATE(EPS,MEAN,QUARTERLY_ROLL,2028/1F,45769,,,'')&lt;/Q&gt;&lt;R&gt;0&lt;/R&gt;&lt;C&gt;0&lt;/C&gt;&lt;/FQL&gt;&lt;FQL&gt;&lt;Q&gt;Ticker0024^FE_ESTIMATE(EPS,MEAN,ANNUAL_ROLL,2027,45769,,,'')&lt;/Q&gt;&lt;R&gt;1&lt;/R&gt;&lt;C&gt;1&lt;/C&gt;&lt;D xsi:type="xsd:double"&gt;17.612577&lt;/D&gt;&lt;/FQL&gt;&lt;FQL&gt;&lt;Q&gt;Ticker0024^FE_ESTIMATE(EPS,MEAN,QUARTERLY_ROLL,2027/4F,45769,,,'')&lt;/Q&gt;&lt;R&gt;1&lt;/R&gt;&lt;C&gt;1&lt;/C&gt;&lt;D xsi:type="xsd:double"&gt;4.5051656&lt;/D&gt;&lt;/FQL&gt;&lt;FQL&gt;&lt;Q&gt;Ticker0024^FE_ESTIMATE(EPS,MEAN,QUARTERLY_ROLL,2027/3F,45769,,,'')&lt;/Q&gt;&lt;R&gt;1&lt;/R&gt;&lt;C&gt;1&lt;/C&gt;&lt;D xsi:type="xsd:double"&gt;4.2434998&lt;/D&gt;&lt;/FQL&gt;&lt;FQL&gt;&lt;Q&gt;Ticker0024^FE_ESTIMATE(EPS,MEAN,QUARTERLY_ROLL,2027/2F,45769,,,'')&lt;/Q&gt;&lt;R&gt;1&lt;/R&gt;&lt;C&gt;1&lt;/C&gt;&lt;D xsi:type="xsd:double"&gt;4.3033867&lt;/D&gt;&lt;/FQL&gt;&lt;FQL&gt;&lt;Q&gt;Ticker0024^FE_ESTIMATE(EPS,MEAN,QUARTERLY_ROLL,2027/1F,45769,,,'')&lt;/Q&gt;&lt;R&gt;1&lt;/R&gt;&lt;C&gt;1&lt;/C&gt;&lt;D xsi:type="xsd:double"&gt;4.125898&lt;/D&gt;&lt;/FQL&gt;&lt;FQL&gt;&lt;Q&gt;Ticker0024^FE_ESTIMATE(EPS,MEAN,ANNUAL_ROLL,2026,45769,,,'')&lt;/Q&gt;&lt;R&gt;1&lt;/R&gt;&lt;C&gt;1&lt;/C&gt;&lt;D xsi:type="xsd:double"&gt;14.872912&lt;/D&gt;&lt;/FQL&gt;&lt;FQL&gt;&lt;Q&gt;Ticker0024^FE_ESTIMATE(EPS,MEAN,QUARTERLY_ROLL,2026/4F,45769,,,'')&lt;/Q&gt;&lt;R&gt;1&lt;/R&gt;&lt;C&gt;1&lt;/C&gt;&lt;D xsi:type="xsd:double"&gt;3.828962&lt;/D&gt;&lt;/FQL&gt;&lt;FQL&gt;&lt;Q&gt;Ticker0024^FE_ESTIMATE(EPS,MEAN,QUARTERLY_ROLL,2026/3F,45769,,,'')&lt;/Q&gt;&lt;R&gt;1&lt;/R&gt;&lt;C&gt;1&lt;/C&gt;&lt;D xsi:type="xsd:double"&gt;3.6329236&lt;/D&gt;&lt;/FQL&gt;&lt;FQL&gt;&lt;Q&gt;Ticker0024^FE_ESTIMATE(EPS,MEAN,QUARTERLY_ROLL,2026/2F,45769,,,'')&lt;/Q&gt;&lt;R&gt;1&lt;/R&gt;&lt;C&gt;1&lt;/C&gt;&lt;D xsi:type="xsd:double"&gt;3.69713&lt;/D&gt;&lt;/FQL&gt;&lt;FQL&gt;&lt;Q&gt;Ticker0024^FE_ESTIMATE(EPS,MEAN,QUARTERLY_ROLL,2026/1F,45769,,,'')&lt;/Q&gt;&lt;R&gt;1&lt;/R&gt;&lt;C&gt;1&lt;/C&gt;&lt;D xsi:type="xsd:double"&gt;3.5434372&lt;/D&gt;&lt;/FQL&gt;&lt;FQL&gt;&lt;Q&gt;Ticker0024^FE_ESTIMATE(EPS,MEAN,ANNUAL_ROLL,2025,45769,,,'')&lt;/Q&gt;&lt;R&gt;1&lt;/R&gt;&lt;C&gt;1&lt;/C&gt;&lt;D xsi:type="xsd:double"&gt;13.175249&lt;/D&gt;&lt;/FQL&gt;&lt;FQL&gt;&lt;Q&gt;Ticker0024^FE_ESTIMATE(EPS,MEAN,QUARTERLY_ROLL,2025/4F,45769,,,'')&lt;/Q&gt;&lt;R&gt;1&lt;/R&gt;&lt;C&gt;1&lt;/C&gt;&lt;D xsi:type="xsd:double"&gt;3.3307843&lt;/D&gt;&lt;/FQL&gt;&lt;FQL&gt;&lt;Q&gt;Ticker0024^FE_ESTIMATE(EPS,MEAN,QUARTERLY_ROLL,2025/3F,45769,,,'')&lt;/Q&gt;&lt;R&gt;1&lt;/R&gt;&lt;C&gt;1&lt;/C&gt;&lt;D xsi:type="xsd:double"&gt;3.2277396&lt;/D&gt;&lt;/FQL&gt;&lt;FQL&gt;&lt;Q&gt;Ticker0024^FE_ESTIMATE(EPS,MEAN,QUARTERLY_ROLL,2025/2F,45769,,,'')&lt;/Q&gt;&lt;R&gt;1&lt;/R&gt;&lt;C&gt;1&lt;/C&gt;&lt;D xsi:type="xsd:double"&gt;3.23&lt;/D&gt;&lt;/FQL&gt;&lt;FQL&gt;&lt;Q&gt;Ticker0024^FE_ESTIMATE(EPS,MEAN,QUARTERLY_ROLL,2025/1F,45769,,,'')&lt;/Q&gt;&lt;R&gt;1&lt;/R&gt;&lt;C&gt;1&lt;/C&gt;&lt;D xsi:type="xsd:double"&gt;3.3&lt;/D&gt;&lt;/FQL&gt;&lt;FQL&gt;&lt;Q&gt;Ticker0024^FE_ESTIMATE(EPS,MEAN,ANNUAL_ROLL,2024,45769,,,'')&lt;/Q&gt;&lt;R&gt;1&lt;/R&gt;&lt;C&gt;1&lt;/C&gt;&lt;D xsi:type="xsd:double"&gt;11.8&lt;/D&gt;&lt;/FQL&gt;&lt;FQL&gt;&lt;Q&gt;Ticker0024^FE_ESTIMATE(EPS,MEAN,QUARTERLY_ROLL,2024/4F,45769,,,'')&lt;/Q&gt;&lt;R&gt;1&lt;/R&gt;&lt;C&gt;1&lt;/C&gt;&lt;D xsi:type="xsd:double"&gt;2.95&lt;/D&gt;&lt;/FQL&gt;&lt;FQL&gt;&lt;Q&gt;Ticker0024^FE_ESTIMATE(EPS,MEAN,QUARTERLY_ROLL,2024/3F,45769,,,'')&lt;/Q&gt;&lt;R&gt;1&lt;/R&gt;&lt;C&gt;1&lt;/C&gt;&lt;D xsi:type="xsd:double"&gt;2.94&lt;/D&gt;&lt;/FQL&gt;&lt;FQL&gt;&lt;Q&gt;Ticker0024^FE_ESTIMATE(EPS,MEAN,QUARTERLY_ROLL,2024/2F,45769,,,'')&lt;/Q&gt;&lt;R&gt;1&lt;/R&gt;&lt;C&gt;1&lt;/C&gt;&lt;D xsi:type="xsd:double"&gt;2.93&lt;/D&gt;&lt;/FQL&gt;&lt;FQL&gt;&lt;Q&gt;Ticker0024^FE_ESTIMATE(EPS,MEAN,QUARTERLY_ROLL,2024/1F,45769,,,'')&lt;/Q&gt;&lt;R&gt;1&lt;/R&gt;&lt;C&gt;1&lt;/C&gt;&lt;D xsi:type="xsd:double"&gt;2.99&lt;/D&gt;&lt;/FQL&gt;&lt;FQL&gt;&lt;Q&gt;Ticker0024^FE_ESTIMATE(EPS,MEAN,ANNUAL_ROLL,2023,45769,,,'')&lt;/Q&gt;&lt;R&gt;1&lt;/R&gt;&lt;C&gt;1&lt;/C&gt;&lt;D xsi:type="xsd:double"&gt;9.81&lt;/D&gt;&lt;/FQL&gt;&lt;FQL&gt;&lt;Q&gt;Ticker0024^FE_ESTIMATE(EPS,MEAN,QUARTERLY_ROLL,2023/4F,45769,,,'')&lt;/Q&gt;&lt;R&gt;1&lt;/R&gt;&lt;C&gt;1&lt;/C&gt;&lt;D xsi:type="xsd:double"&gt;2.69&lt;/D&gt;&lt;/FQL&gt;&lt;FQL&gt;&lt;Q&gt;Ticker0024^FE_ESTIMATE(EPS,MEAN,QUARTERLY_ROLL,2023/3F,45769,,,'')&lt;/Q&gt;&lt;R&gt;1&lt;/R&gt;&lt;C&gt;1&lt;/C&gt;&lt;D xsi:type="xsd:double"&gt;2.45&lt;/D&gt;&lt;/FQL&gt;&lt;FQL&gt;&lt;Q&gt;Ticker0024^FE_ESTIMATE(EPS,MEAN,QUARTERLY_ROLL,2023/2F,45769,,,'')&lt;/Q&gt;&lt;R&gt;1&lt;/R&gt;&lt;C&gt;1&lt;/C&gt;&lt;D xsi:type="xsd:double"&gt;2.32&lt;/D&gt;&lt;/FQL&gt;&lt;FQL&gt;&lt;Q&gt;Ticker0024^FE_ESTIMATE(EPS,MEAN,QUARTERLY_ROLL,2023/1F,45769,,,'')&lt;/Q&gt;&lt;R&gt;1&lt;/R&gt;&lt;C&gt;1&lt;/C&gt;&lt;D xsi:type="xsd:double"&gt;2.35&lt;/D&gt;&lt;/FQL&gt;&lt;FQL&gt;&lt;Q&gt;Ticker0024^FE_ESTIMATE(EPS,MEAN,ANNUAL_ROLL,2022,45769,,,'')&lt;/Q&gt;&lt;R&gt;1&lt;/R&gt;&lt;C&gt;1&lt;/C&gt;&lt;D xsi:type="xsd:double"&gt;9.21&lt;/D&gt;&lt;/FQL&gt;&lt;FQL&gt;&lt;Q&gt;Ticker0024^FE_ESTIMATE(EPS,MEAN,QUARTERLY_ROLL,2022/4F,45769,,,'')&lt;/Q&gt;&lt;R&gt;1&lt;/R&gt;&lt;C&gt;1&lt;/C&gt;&lt;D xsi:type="xsd:double"&gt;2.23&lt;/D&gt;&lt;/FQL&gt;&lt;FQL&gt;&lt;Q&gt;Ticker0024^FE_ESTIMATE(EPS,MEAN,QUARTERLY_ROLL,2022/3F,45769,,,'')&lt;/Q&gt;&lt;R&gt;1&lt;/R&gt;&lt;C&gt;1&lt;/C&gt;&lt;D xsi:type="xsd:double"&gt;2.22&lt;/D&gt;&lt;/FQL&gt;&lt;FQL&gt;&lt;Q&gt;Ticker0024^FE_ESTIMATE(EPS,MEAN,QUARTERLY_ROLL,2022/2F,45769,,,'')&lt;/Q&gt;&lt;R&gt;1&lt;/R&gt;&lt;C&gt;1&lt;/C&gt;&lt;D xsi:type="xsd:double"&gt;2.48&lt;/D&gt;&lt;/FQL&gt;&lt;FQL&gt;&lt;Q&gt;Ticker0024^FE_ESTIMATE(EPS,MEAN,QUARTERLY_ROLL,2022/1F,45769,,,'')&lt;/Q&gt;&lt;R&gt;1&lt;/R&gt;&lt;C&gt;1&lt;/C&gt;&lt;D xsi:type="xsd:double"&gt;2.27&lt;/D&gt;&lt;/FQL&gt;&lt;FQL&gt;&lt;Q&gt;Ticker0024^FE_ESTIMATE(EPS,MEAN,ANNUAL_ROLL,2021,45769,,,'')&lt;/Q&gt;&lt;R&gt;1&lt;/R&gt;&lt;C&gt;1&lt;/C&gt;&lt;D xsi:type="xsd:double"&gt;7.97&lt;/D&gt;&lt;/FQL&gt;&lt;FQL&gt;&lt;Q&gt;Ticker0024^FE_ESTIMATE(EPS,MEAN,QUARTERLY_ROLL,2021/4F,45769,,,'')&lt;/Q&gt;&lt;R&gt;1&lt;/R&gt;&lt;C&gt;1&lt;/C&gt;&lt;D xsi:type="xsd:double"&gt;2.17&lt;/D&gt;&lt;/FQL&gt;&lt;FQL&gt;&lt;Q&gt;Ticker0024^FE_ESTIMATE(EPS,MEAN,QUARTERLY_ROLL,2021/3F,45769,,,'')&lt;/Q&gt;&lt;R&gt;1&lt;/R&gt;&lt;C&gt;1&lt;/C&gt;&lt;D xsi:type="xsd:double"&gt;1.95&lt;/D&gt;&lt;/FQL&gt;&lt;FQL&gt;&lt;Q&gt;Ticker0024^FE_ESTIMATE(EPS,MEAN,QUARTERLY_ROLL,2021/2F,45769,,,'')&lt;/Q&gt;&lt;R&gt;1&lt;/R&gt;&lt;C&gt;1&lt;/C&gt;&lt;D xsi:type="xsd:double"&gt;2.03&lt;/D&gt;&lt;/FQL&gt;&lt;FQL&gt;&lt;Q&gt;Ticker0024^FE_ESTIMATE(EPS,MEAN,QUARTERLY_ROLL,2021/1F,45769,,,'')&lt;/Q&gt;&lt;R&gt;1&lt;/R&gt;&lt;C&gt;1&lt;/C&gt;&lt;D xsi:type="xsd:double"&gt;1.82&lt;/D&gt;&lt;/FQL&gt;&lt;FQL&gt;&lt;Q&gt;Ticker0024^FE_ESTIMATE(EPS,MEAN,ANNUAL_ROLL,2020,45769,,,'')&lt;/Q&gt;&lt;R&gt;1&lt;/R&gt;&lt;C&gt;1&lt;/C&gt;&lt;D xsi:type="xsd:double"&gt;5.76&lt;/D&gt;&lt;/FQL&gt;&lt;FQL&gt;&lt;Q&gt;Ticker0024^FE_ESTIMATE(EPS,MEAN,QUARTERLY_ROLL,2020/4F,45769,,,'')&lt;/Q&gt;&lt;R&gt;1&lt;/R&gt;&lt;C&gt;1&lt;/C&gt;&lt;D xsi:type="xsd:double"&gt;1.46&lt;/D&gt;&lt;/FQL&gt;&lt;FQL&gt;&lt;Q&gt;Ticker0024^FE_ESTIMATE(EPS,MEAN,QUARTERLY_ROLL,2020/3F,45769,,,'')&lt;/Q&gt;&lt;R&gt;1&lt;/R&gt;&lt;C&gt;1&lt;/C&gt;&lt;D xsi:type="xsd:double"&gt;1.4&lt;/D&gt;&lt;/FQL&gt;&lt;FQL&gt;&lt;Q&gt;Ticker0024^FE_ESTIMATE(EPS,MEAN,QUARTERLY_ROLL,2020/2F,45769,,,'')&lt;/Q&gt;&lt;R&gt;1&lt;/R&gt;&lt;C&gt;1&lt;/C&gt;&lt;D xsi:type="xsd:double"&gt;1.51&lt;/D&gt;&lt;/FQL&gt;&lt;FQL&gt;&lt;Q&gt;Ticker0024^FE_ESTIMATE(EPS,MEAN,QUARTERLY_ROLL,2020/1F,45769,,,'')&lt;/Q&gt;&lt;R&gt;1&lt;/R&gt;&lt;C&gt;1&lt;/C&gt;&lt;D xsi:type="xsd:double"&gt;1.38&lt;/D&gt;&lt;/FQL&gt;&lt;FQL&gt;&lt;Q&gt;Ticker0024^FE_ESTIMATE(EPS,MEAN,ANNUAL_ROLL,2019,45769,,,'')&lt;/Q&gt;&lt;R&gt;1&lt;/R&gt;&lt;C&gt;1&lt;/C&gt;&lt;D xsi:type="xsd:double"&gt;4.75&lt;/D&gt;&lt;/FQL&gt;&lt;FQL&gt;&lt;Q&gt;Ticker0024^FE_ESTIMATE(EPS,MEAN,QUARTERLY_ROLL,2019/4F,45769,,,'')&lt;/Q&gt;&lt;R&gt;1&lt;/R&gt;&lt;C&gt;1&lt;/C&gt;&lt;D xsi:type="xsd:double"&gt;1.37&lt;/D&gt;&lt;/FQL&gt;&lt;FQL&gt;&lt;Q&gt;Ticker0024^FE_ESTIMATE(EPS,MEAN,QUARTERLY_ROLL,2019/3F,45769,,,'')&lt;/Q&gt;&lt;R&gt;1&lt;/R&gt;&lt;C&gt;1&lt;/C&gt;&lt;D xsi:type="xsd:double"&gt;1.14&lt;/D&gt;&lt;/FQL&gt;&lt;FQL&gt;&lt;Q&gt;Ticker0024^FE_ESTIMATE(EPS,MEAN,QUARTERLY_ROLL,2019/2F,45769,,,'')&lt;/Q&gt;&lt;R&gt;1&lt;/R&gt;&lt;C&gt;1&lt;/C&gt;&lt;D xsi:type="xsd:double"&gt;1.1&lt;/D&gt;&lt;/FQL&gt;&lt;FQL&gt;&lt;Q&gt;Ticker0024^FE_ESTIMATE(EPS,MEAN,QUARTERLY_ROLL,2019/1F,45769,,,'')&lt;/Q&gt;&lt;R&gt;1&lt;/R&gt;&lt;C&gt;1&lt;/C&gt;&lt;D xsi:type="xsd:double"&gt;1.14&lt;/D&gt;&lt;/FQL&gt;&lt;FQL&gt;&lt;Q&gt;Ticker0024^FE_ESTIMATE(EPS,MEAN,ANNUAL_ROLL,2018,45769,,,'')&lt;/Q&gt;&lt;R&gt;1&lt;/R&gt;&lt;C&gt;1&lt;/C&gt;&lt;D xsi:type="xsd:double"&gt;3.88&lt;/D&gt;&lt;/FQL&gt;&lt;FQL&gt;&lt;Q&gt;Ticker0024^FE_ESTIMATE(EPS,MEAN,QUARTERLY_ROLL,2018/4F,45769,,,'')&lt;/Q&gt;&lt;R&gt;1&lt;/R&gt;&lt;C&gt;1&lt;/C&gt;&lt;D xsi:type="xsd:double"&gt;1.13&lt;/D&gt;&lt;/FQL&gt;&lt;FQL&gt;&lt;Q&gt;Ticker0024^FE_ESTIMATE(EPS,MEAN,QUARTERLY_ROLL,2018/3F,45769,,,'')&lt;/Q&gt;&lt;R&gt;1&lt;/R&gt;&lt;C&gt;1&lt;/C&gt;&lt;D xsi:type="xsd:double"&gt;0.95&lt;/D&gt;&lt;/FQL&gt;&lt;FQL&gt;&lt;Q&gt;Ticker0024^FE_ESTIMATE(EPS,MEAN,QUARTERLY_ROLL,2018/2F,45769,,,'')&lt;/Q&gt;&lt;R&gt;1&lt;/R&gt;&lt;C&gt;1&lt;/C&gt;&lt;D xsi:type="xsd:double"&gt;0.96&lt;/D&gt;&lt;/FQL&gt;&lt;FQL&gt;&lt;Q&gt;Ticker0024^FE_ESTIMATE(EPS,MEAN,QUARTERLY_ROLL,2018/1F,45769,,,'')&lt;/Q&gt;&lt;R&gt;1&lt;/R&gt;&lt;C&gt;1&lt;/C&gt;&lt;D xsi:type="xsd:double"&gt;0.84&lt;/D&gt;&lt;/FQL&gt;&lt;FQL&gt;&lt;Q&gt;Ticker0024^FE_ESTIMATE(EPS,MEAN,ANNUAL_ROLL,2017,45769,,,'')&lt;/Q&gt;&lt;R&gt;1&lt;/R&gt;&lt;C&gt;1&lt;/C&gt;&lt;D xsi:type="xsd:double"&gt;3.31&lt;/D&gt;&lt;/FQL&gt;&lt;FQL&gt;&lt;Q&gt;Ticker0024^FE_ESTIMATE(EPS,MEAN,QUARTERLY_ROLL,2017/4F,45769,,,'')&lt;/Q&gt;&lt;R&gt;1&lt;/R&gt;&lt;C&gt;1&lt;/C&gt;&lt;D xsi:type="xsd:double"&gt;0.98&lt;/D&gt;&lt;/FQL&gt;&lt;FQL&gt;&lt;Q&gt;Ticker0024^FE_ESTIMATE(EPS,MEAN,QUARTERLY_ROLL,2017/3F,45769,,,'')&lt;/Q&gt;&lt;R&gt;1&lt;/R&gt;&lt;C&gt;1&lt;/C&gt;&lt;D xsi:type="xsd:double"&gt;0.73&lt;/D&gt;&lt;/FQL&gt;&lt;FQL&gt;&lt;Q&gt;Ticker0024^FE_ESTIMATE(EPS,MEAN,QUARTERLY_ROLL,2017/2F,45769,,,'')&lt;/Q&gt;&lt;R&gt;1&lt;/R&gt;&lt;C&gt;1&lt;/C&gt;&lt;D xsi:type="xsd:double"&gt;0.83&lt;/D&gt;&lt;/FQL&gt;&lt;FQL&gt;&lt;Q&gt;Ticker0024^FE_ESTIMATE(EPS,MEAN,QUARTERLY_ROLL,2017/1F,45769,,,'')&lt;/Q&gt;&lt;R&gt;1&lt;/R&gt;&lt;C&gt;1&lt;/C&gt;&lt;D xsi:type="xsd:double"&gt;0.76&lt;/D&gt;&lt;/FQL&gt;&lt;FQL&gt;&lt;Q&gt;Ticker0024^FE_ESTIMATE(EPS,MEAN,ANNUAL_ROLL,2016,45769,,,'')&lt;/Q&gt;&lt;R&gt;1&lt;/R&gt;&lt;C&gt;1&lt;/C&gt;&lt;D xsi:type="xsd:double"&gt;2.79&lt;/D&gt;&lt;/FQL&gt;&lt;FQL&gt;&lt;Q&gt;Ticker0024^FE_ESTIMATE(EPS,MEAN,QUARTERLY_ROLL,2016/4F,45769,,,'')&lt;/Q&gt;&lt;R&gt;1&lt;/R&gt;&lt;C&gt;1&lt;/C&gt;&lt;D xsi:type="xsd:double"&gt;0.69&lt;/D&gt;&lt;/FQL&gt;&lt;FQL&gt;&lt;Q&gt;Ticker0024^FE_ESTIMATE(EPS,MEAN,QUARTERLY_ROLL,2016/3F,45769,,,'')&lt;/Q&gt;&lt;R&gt;1&lt;/R&gt;&lt;C&gt;1&lt;/C&gt;&lt;D xsi:type="xsd:double"&gt;0.62&lt;/D&gt;&lt;/FQL&gt;&lt;FQL&gt;&lt;Q&gt;Ticker0024^FE_ESTIMATE(EPS,MEAN,QUARTERLY_ROLL,2016/2F,45769,,,'')&lt;/Q&gt;&lt;R&gt;1&lt;/R&gt;&lt;C&gt;1&lt;/C&gt;&lt;D xsi:type="xsd:double"&gt;0.78&lt;/D&gt;&lt;/FQL&gt;&lt;FQL&gt;&lt;Q&gt;Ticker0024^FE_ESTIMATE(EPS,MEAN,QUARTERLY_ROLL,2016/1F,45769,,,'')&lt;/Q&gt;&lt;R&gt;1&lt;/R&gt;&lt;C&gt;1&lt;/C&gt;&lt;D xsi:type="xsd:double"&gt;0.67&lt;/D&gt;&lt;/FQL&gt;&lt;FQL&gt;&lt;Q&gt;Ticker0024^FE_ESTIMATE(EPS,MEAN,ANNUAL_ROLL,2015,45769,,,'')&lt;/Q&gt;&lt;R&gt;1&lt;/R&gt;&lt;C&gt;1&lt;/C&gt;&lt;D xsi:type="xsd:double"&gt;2.63&lt;/D&gt;&lt;/FQL&gt;&lt;FQL&gt;&lt;Q&gt;Ticker0024^FE_ESTIMATE(EPS,MEAN,QUARTERLY_ROLL,2015/4F,45769,,,'')&lt;/Q&gt;&lt;R&gt;1&lt;/R&gt;&lt;C&gt;1&lt;/C&gt;&lt;D xsi:type="xsd:double"&gt;0.62&lt;/D&gt;&lt;/FQL&gt;&lt;FQL&gt;&lt;Q&gt;Ticker0024^FE_ESTIMATE(EPS,MEAN,QUARTERLY_ROLL,2015/3F,45769,,,'')&lt;/Q&gt;&lt;R&gt;1&lt;/R&gt;&lt;C&gt;1&lt;/C&gt;&lt;D xsi:type="xsd:double"&gt;0.61&lt;/D&gt;&lt;/FQL&gt;&lt;FQL&gt;&lt;Q&gt;Ticker0024^FE_ESTIMATE(EPS,MEAN,QUARTERLY_ROLL,2015/2F,45769,,,'')&lt;/Q&gt;&lt;R&gt;1&lt;/R&gt;&lt;C&gt;1&lt;/C&gt;&lt;D xsi:type="xsd:double"&gt;0.71&lt;/D&gt;&lt;/FQL&gt;&lt;FQL&gt;&lt;Q&gt;Ticker0024^FE_ESTIMATE(EPS,MEAN,QUARTERLY_ROLL,2015/1F,45769,,,'')&lt;/Q&gt;&lt;R&gt;1&lt;/R&gt;&lt;C&gt;1&lt;/C&gt;&lt;D xsi:type="xsd:double"&gt;0.54&lt;/D&gt;&lt;/FQL&gt;&lt;FQL&gt;&lt;Q&gt;Ticker0024^FE_ESTIMATE(EAG,MEAN,ANNUAL_ROLL,2030,45769,,,'')&lt;/Q&gt;&lt;R&gt;0&lt;/R&gt;&lt;C&gt;0&lt;/C&gt;&lt;/FQL&gt;&lt;FQL&gt;&lt;Q&gt;Ticker0024^FE_ESTIMATE(EAG,MEAN,QUARTERLY_ROLL,2030/4F,45769,,,'')&lt;/Q&gt;&lt;R&gt;0&lt;/R&gt;&lt;C&gt;0&lt;/C&gt;&lt;/FQL&gt;&lt;FQL&gt;&lt;Q&gt;Ticker0024^FE_ESTIMATE(EAG,MEAN,QUARTERLY_ROLL,2030/3F,45769,,,'')&lt;/Q&gt;&lt;R&gt;0&lt;/R&gt;&lt;C&gt;0&lt;/C&gt;&lt;/FQL&gt;&lt;FQL&gt;&lt;Q&gt;Ticker0024^FE_ESTIMATE(EAG,MEAN,QUARTERLY_ROLL,2030/2F,45769,,,'')&lt;/Q&gt;&lt;R&gt;0&lt;/R&gt;&lt;C&gt;0&lt;/C&gt;&lt;/FQL&gt;&lt;FQL&gt;&lt;Q&gt;Ticker0024^FE_ESTIMATE(EAG,MEAN,QUARTERLY_ROLL,2030/1F,45769,,,'')&lt;/Q&gt;&lt;R&gt;0&lt;/R&gt;&lt;C&gt;0&lt;/C&gt;&lt;/FQL&gt;&lt;FQL&gt;&lt;Q&gt;Ticker0024^FE_ESTIMATE(EAG,MEAN,ANNUAL_ROLL,2029,45769,,,'')&lt;/Q&gt;&lt;R&gt;0&lt;/R&gt;&lt;C&gt;0&lt;/C&gt;&lt;/FQL&gt;&lt;FQL&gt;&lt;Q&gt;Ticker0024^FE_ESTIMATE(EAG,MEAN,QUARTERLY_ROLL,2029/4F,45769,,,'')&lt;/Q&gt;&lt;R&gt;0&lt;/R&gt;&lt;C&gt;0&lt;/C&gt;&lt;/FQL&gt;&lt;FQL&gt;&lt;Q&gt;Ticker0024^FE_ESTIMATE(EAG,MEAN,QUARTERLY_ROLL,2029/3F,45769,,,'')&lt;/Q&gt;&lt;R&gt;0&lt;/R&gt;&lt;C&gt;0&lt;/C&gt;&lt;/FQL&gt;&lt;FQL&gt;&lt;Q&gt;Ticker0024^FE_ESTIMATE(EAG,MEAN,QUARTERLY_ROLL,2029/2F,45769,,,'')&lt;/Q&gt;&lt;R&gt;0&lt;/R&gt;&lt;C&gt;0&lt;/C&gt;&lt;/FQL&gt;&lt;FQL&gt;&lt;Q&gt;Ticker0024^FE_ESTIMATE(EAG,MEAN,QUARTERLY_ROLL,2029/1F,45769,,,'')&lt;/Q&gt;&lt;R&gt;0&lt;/R&gt;&lt;C&gt;0&lt;/C&gt;&lt;/FQL&gt;&lt;FQL&gt;&lt;Q&gt;Ticker0024^FE_ESTIMATE(EAG,MEAN,ANNUAL_ROLL,2028,45769,,,'')&lt;/Q&gt;&lt;R&gt;1&lt;/R&gt;&lt;C&gt;1&lt;/C&gt;&lt;D xsi:type="xsd:double"&gt;20.1315&lt;/D&gt;&lt;/FQL&gt;&lt;FQL&gt;&lt;Q&gt;Ticker0024^FE_ESTIMATE(EAG,MEAN,QUARTERLY_ROLL,2028/4F,45769,,,'')&lt;/Q&gt;&lt;R&gt;0&lt;/R&gt;&lt;C&gt;0&lt;/C&gt;&lt;/FQL&gt;&lt;FQL&gt;&lt;Q&gt;Ticker0024^FE_ESTIMATE(EAG,MEAN,QUARTERLY_ROLL,2028/3F,45769,,,'')&lt;/Q&gt;&lt;R&gt;0&lt;/R&gt;&lt;C&gt;0&lt;/C&gt;&lt;/FQL&gt;&lt;FQL&gt;&lt;Q&gt;Ticker0024^FE_ESTIMATE(EAG,MEAN,QUARTERLY_ROLL,2028/2F,45769,,,'')&lt;/Q&gt;&lt;R&gt;0&lt;/R&gt;&lt;C&gt;0&lt;/C&gt;&lt;/FQL&gt;&lt;FQL&gt;&lt;Q&gt;Ticker0024^FE_ESTIMATE(EAG,MEAN,QUARTERLY_ROLL,2028/1F,45769,,,'')&lt;/Q&gt;&lt;R&gt;0&lt;/R&gt;&lt;C&gt;0&lt;/C&gt;&lt;/FQL&gt;&lt;FQL&gt;&lt;Q&gt;Ticker0024^FE_ESTIMATE(EAG,MEAN,ANNUAL_ROLL,2027,45769,,,'')&lt;/Q&gt;&lt;R&gt;1&lt;/R&gt;&lt;C&gt;1&lt;/C&gt;&lt;D xsi:type="xsd:double"&gt;17.608435&lt;/D&gt;&lt;/FQL&gt;&lt;FQL&gt;&lt;Q&gt;Ticker0024^FE_ESTIMATE(EAG,MEAN,QUARTERLY_ROLL,2027/4F,45769,,,'')&lt;/Q&gt;&lt;R&gt;1&lt;/R&gt;&lt;C&gt;1&lt;/C&gt;&lt;D xsi:type="xsd:double"&gt;4.507211&lt;/D&gt;&lt;/FQL&gt;&lt;FQL&gt;&lt;Q&gt;Ticker0024^FE_ESTIMATE(EAG,MEAN,QUARTERLY_ROLL,2027/3F,45769,,,'')&lt;/Q&gt;&lt;R&gt;1&lt;/R&gt;&lt;C&gt;1&lt;/C&gt;&lt;D xsi:type="xsd:double"&gt;4.219346&lt;/D&gt;&lt;/FQL&gt;&lt;FQL&gt;&lt;Q&gt;Ticker0024^FE_ESTIMATE(EAG,MEAN,QUARTERLY_ROLL,2027/2F,45769,,,'')&lt;/Q&gt;&lt;R&gt;1&lt;/R&gt;&lt;C&gt;1&lt;/C&gt;&lt;D xsi:type="xsd:double"&gt;4.324611&lt;/D&gt;&lt;/FQL&gt;&lt;FQL&gt;&lt;Q&gt;Ticker0024^FE_ESTIMATE(EAG,MEAN,QUARTERLY_ROLL,2027/1F,45769,,,'')&lt;/Q&gt;&lt;R&gt;1&lt;/R&gt;&lt;C&gt;1&lt;/C&gt;&lt;D xsi:type="xsd:double"&gt;4.0368&lt;/D&gt;&lt;/FQL&gt;&lt;FQL&gt;&lt;Q&gt;Ticker0024^FE_ESTIMATE(EAG,MEAN,ANNUAL_ROLL,2026,45769,,,'')&lt;/Q&gt;&lt;R&gt;1&lt;/R&gt;&lt;C&gt;1&lt;/C&gt;&lt;D xsi:type="xsd:double"&gt;14.976579&lt;/D&gt;&lt;/FQL&gt;&lt;FQL&gt;&lt;Q&gt;Ticker0024^FE_ESTIMATE(EAG,MEAN,QUARTERLY_ROLL,2026/4F,45769,,,'')&lt;/Q&gt;&lt;R&gt;1&lt;/R&gt;&lt;C&gt;1&lt;/C&gt;&lt;D xsi:type="xsd:double"&gt;3.8482833&lt;/D&gt;&lt;/FQL&gt;&lt;FQL&gt;&lt;Q&gt;Ticker0024^FE_ESTIMATE(EAG,MEAN,QUARTERLY_ROLL,2026/3F,45769,,,'')&lt;/Q&gt;&lt;R&gt;1&lt;/R&gt;&lt;C&gt;1&lt;/C&gt;&lt;D xsi:type="xsd:double"&gt;3.653433&lt;/D&gt;&lt;/FQL&gt;&lt;FQL&gt;&lt;Q&gt;Ticker0024^FE_ESTIMATE(EAG,MEAN,QUARTERLY_ROLL,2026/2F,45769,,,'')&lt;/Q&gt;&lt;R&gt;1&lt;/R&gt;&lt;C&gt;1&lt;/C&gt;&lt;D xsi:type="xsd:double"&gt;3.698875&lt;/D&gt;&lt;/FQL&gt;&lt;FQL&gt;&lt;Q&gt;Ticker0024^FE_ESTIMATE(EAG,MEAN,QUARTERLY_ROLL,2026/1F,45769,,,'')&lt;/Q&gt;&lt;R&gt;1&lt;/R&gt;&lt;C&gt;1&lt;/C&gt;&lt;D xsi:type="xsd:double"&gt;3.502788&lt;/D&gt;&lt;/FQL&gt;&lt;FQL&gt;&lt;Q&gt;Ticker0024^FE_ESTIMATE(EAG,MEAN,ANNUAL_ROLL,2025,45769,,,'')&lt;/Q&gt;&lt;R&gt;1&lt;/R&gt;&lt;C&gt;1&lt;/C&gt;&lt;D xsi:type="xsd:double"&gt;13.122745&lt;/D&gt;&lt;/FQL&gt;&lt;FQL&gt;&lt;Q&gt;Ticker0024^FE_ESTIMATE(EAG,MEAN,QUARTERLY_ROLL,2025/4F,45769,,,'')&lt;/Q&gt;&lt;R&gt;1&lt;/R&gt;&lt;C&gt;1&lt;/C&gt;&lt;D xsi:type="xsd:double"&gt;3.3120842&lt;/D&gt;&lt;/FQL&gt;&lt;FQL&gt;&lt;Q&gt;Ticker0024^FE_ESTIMATE(EAG,MEAN,QUARTERLY_ROLL,2025/3F,45769,,,'')&lt;/Q&gt;&lt;R&gt;1&lt;/R&gt;&lt;C&gt;1&lt;/C&gt;&lt;D xsi:type="xsd:double"&gt;3.208911&lt;/D&gt;&lt;/FQL&gt;&lt;FQL&gt;&lt;Q&gt;Ticker0024^FE_ESTIMATE(EAG,MEAN,QUARTERLY_ROLL,2025/2F,45769,,,'')&lt;/Q&gt;&lt;R&gt;1&lt;/R&gt;&lt;C&gt;1&lt;/C&gt;&lt;D xsi:type="xsd:double"&gt;3.23&lt;/D&gt;&lt;/FQL&gt;&lt;FQL&gt;&lt;Q&gt;Ticker0024^FE_ESTIMATE(EAG,MEAN,QUARTERLY_ROLL,2025/1F,45769,,,'')&lt;/Q&gt;&lt;R&gt;1&lt;/R&gt;&lt;C&gt;1&lt;/C&gt;&lt;D xsi:type="xsd:double"&gt;3.3&lt;/D&gt;&lt;/FQL&gt;&lt;FQL&gt;&lt;Q&gt;Ticker0024^FE_ESTIMATE(EAG,MEAN,ANNUAL_ROLL,2024,45769,,,'')&lt;/Q&gt;&lt;R&gt;1&lt;/R&gt;&lt;C&gt;1&lt;/C&gt;&lt;D xsi:type="xsd:double"&gt;11.8&lt;/D&gt;&lt;/FQL&gt;&lt;FQL&gt;&lt;Q&gt;Ticker0024^FE_ESTIMATE(EAG,MEAN,QUARTERLY_ROLL,2024/4F,45769,,,'')&lt;/Q&gt;&lt;R&gt;1&lt;/R&gt;&lt;C&gt;1&lt;/C&gt;&lt;D xsi:type="xsd:double"&gt;2.95&lt;/D&gt;&lt;/FQL&gt;&lt;FQL&gt;&lt;Q&gt;Ticker0024^FE_ESTIMATE(EAG,MEAN,QUARTERLY_ROLL,2024/3F,45769,,,'')&lt;/Q&gt;&lt;R&gt;1&lt;/R&gt;&lt;C&gt;1&lt;/C&gt;&lt;D xsi:type="xsd:double"&gt;2.94&lt;/D&gt;&lt;/FQL&gt;&lt;FQL&gt;&lt;Q&gt;Ticker0024^FE_ESTIMATE(EAG,MEAN,QUARTERLY_ROLL,2024/2F,45769,,,'')&lt;/Q&gt;&lt;R&gt;1&lt;/R&gt;&lt;C&gt;1&lt;/C&gt;&lt;D xsi:type="xsd:double"&gt;2.93&lt;/D&gt;&lt;/FQL&gt;&lt;FQL&gt;&lt;Q&gt;Ticker0024^FE_ESTIMATE(EAG,MEAN,QUARTERLY_ROLL,2024/1F,45769,,,'')&lt;/Q&gt;&lt;R&gt;1&lt;/R&gt;&lt;C&gt;1&lt;/C&gt;&lt;D xsi:type="xsd:double"&gt;2.99&lt;/D&gt;&lt;/FQL&gt;&lt;FQL&gt;&lt;Q&gt;Ticker0024^FE_ESTIMATE(EAG,MEAN,ANNUAL_ROLL,2023,45769,,,'')&lt;/Q&gt;&lt;R&gt;1&lt;/R&gt;&lt;C&gt;1&lt;/C&gt;&lt;D xsi:type="xsd:double"&gt;9.68&lt;/D&gt;&lt;/FQL&gt;&lt;FQL&gt;&lt;Q&gt;Ticker0024^FE_ESTIMATE(EAG,MEAN,QUARTERLY_ROLL,2023/4F,45769,,,'')&lt;/Q&gt;&lt;R&gt;1&lt;/R&gt;&lt;C&gt;1&lt;/C&gt;&lt;D xsi:type="xsd:double"&gt;2.69&lt;/D&gt;&lt;/FQL&gt;&lt;FQL&gt;&lt;Q&gt;Ticker0024^FE_ESTIMATE(EAG,MEAN,QUARTERLY_ROLL,2023/3F,45769,,,'')&lt;/Q&gt;&lt;R&gt;1&lt;/R&gt;&lt;C&gt;1&lt;/C&gt;&lt;D xsi:type="xsd:double"&gt;2.4501362&lt;/D&gt;&lt;/FQL&gt;&lt;FQL&gt;&lt;Q&gt;Ticker0024^FE_ESTIMATE(EAG,MEAN,QUARTERLY_ROLL,2023/2F,45769,,,'')&lt;/Q&gt;&lt;R&gt;1&lt;/R&gt;&lt;C&gt;1&lt;/C&gt;&lt;D xsi:type="xsd:double"&gt;2.2&lt;/D&gt;&lt;/FQL&gt;&lt;FQL&gt;&lt;Q&gt;Ticker0024^FE_ESTIMATE(EAG,MEAN,QUARTERLY_ROLL,2023/1F,45769,,,'')&lt;/Q&gt;&lt;R&gt;1&lt;/R&gt;&lt;C&gt;1&lt;/C&gt;&lt;D xsi:type="xsd:double"&gt;2.35&lt;/D&gt;&lt;/FQL&gt;&lt;FQL&gt;&lt;Q&gt;Ticker0024^FE_ESTIMATE(EAG,MEAN,ANNUAL_ROLL,2022,45769,,,'')&lt;/Q&gt;&lt;R&gt;1&lt;/R&gt;&lt;C&gt;1&lt;/C&gt;&lt;D xsi:type="xsd:double"&gt;9.65&lt;/D&gt;&lt;/FQL&gt;&lt;FQL&gt;&lt;Q&gt;Ticker0024^FE_ESTIMATE(EAG,MEAN,QUARTERLY_ROLL,2022/4F,45769,,,'')&lt;/Q&gt;&lt;R&gt;1&lt;/R&gt;&lt;C&gt;1&lt;/C&gt;&lt;D xsi:type="xsd:double"&gt;2.23&lt;/D&gt;&lt;/FQL&gt;&lt;FQL&gt;&lt;Q&gt;Ticker0024^FE_ESTIMATE(EAG,MEAN,QUARTERLY_ROLL,2022/3F,45769,,,'')&lt;/Q&gt;&lt;R&gt;1&lt;/R&gt;&lt;C&gt;1&lt;/C&gt;&lt;D xsi:type="xsd:double"&gt;2.22&lt;/D&gt;&lt;/FQL&gt;&lt;FQL&gt;&lt;Q&gt;Ticker0024^FE_ESTIMATE(EAG,MEAN,QUARTERLY_ROLL,2022/2F,45769,,,'')&lt;/Q&gt;&lt;R&gt;1&lt;/R&gt;&lt;C&gt;1&lt;/C&gt;&lt;D xsi:type="xsd:double"&gt;2.48&lt;/D&gt;&lt;/FQL&gt;&lt;FQL&gt;&lt;Q&gt;Ticker0024^FE_ESTIMATE(EAG,MEAN,QUARTERLY_ROLL,2022/1F,45769,,,'')&lt;/Q&gt;&lt;R&gt;1&lt;/R&gt;&lt;C&gt;1&lt;/C&gt;&lt;D xsi:type="xsd:double"&gt;2.71&lt;/D&gt;&lt;/FQL&gt;&lt;FQL&gt;&lt;Q&gt;Ticker0024^FE_ESTIMATE(EAG,MEAN,ANNUAL_ROLL,2021,45769,,,'')&lt;/Q&gt;&lt;R&gt;1&lt;/R&gt;&lt;C&gt;1&lt;/C&gt;&lt;D xsi:type="xsd:double"&gt;8.05&lt;/D&gt;&lt;/FQL&gt;&lt;FQL&gt;&lt;Q&gt;Ticker0024^FE_ESTIMATE(EAG,MEAN,QUARTERLY_ROLL,2021/4F,45769,,,'')&lt;/Q&gt;&lt;R&gt;1&lt;/R&gt;&lt;C&gt;1&lt;/C&gt;&lt;D xsi:type="xsd:double"&gt;2.17&lt;/D&gt;&lt;/FQL&gt;&lt;FQL&gt;&lt;Q&gt;Ticker0024^FE_ESTIMATE(EAG,MEAN,QUARTERLY_ROLL,2021/3F,45769,,,'')&lt;/Q&gt;&lt;R&gt;1&lt;/R&gt;&lt;C&gt;1&lt;/C&gt;&lt;D xsi:type="xsd:double"&gt;2.03&lt;/D&gt;&lt;/FQL&gt;&lt;FQL&gt;&lt;Q&gt;Ticker0024^FE_ESTIMATE(EAG,MEAN,QUARTERLY_ROLL,2021/2F,45769,,,'')&lt;/Q&gt;&lt;R&gt;1&lt;/R&gt;&lt;C&gt;1&lt;/C&gt;&lt;D xsi:type="xsd:double"&gt;2.03&lt;/D&gt;&lt;/FQL&gt;&lt;FQL&gt;&lt;Q&gt;Ticker0024^FE_ESTIMATE(EAG,MEAN,QUARTERLY_ROLL,2021/1F,45769,,,'')&lt;/Q&gt;&lt;R&gt;1&lt;/R&gt;&lt;C&gt;1&lt;/C&gt;&lt;D xsi:type="xsd:double"&gt;1.82&lt;/D&gt;&lt;/FQL&gt;&lt;FQL&gt;&lt;Q&gt;Ticker0024^FE_ESTIMATE(EAG,MEAN,ANNUAL_ROLL,2020,45769,,,'')&lt;/Q&gt;&lt;R&gt;1&lt;/R&gt;&lt;C&gt;1&lt;/C&gt;&lt;D xsi:type="xsd:double"&gt;5.76&lt;/D&gt;&lt;/FQL&gt;&lt;FQL&gt;&lt;Q&gt;Ticker0024^FE_ESTIMATE(EAG,MEAN,QUARTERLY_ROLL,2020/4F,45769,,,'')&lt;/Q&gt;&lt;R&gt;1&lt;/R&gt;&lt;C&gt;1&lt;/C&gt;&lt;D xsi:type="xsd:double"&gt;1.46&lt;/D&gt;&lt;/FQL&gt;&lt;FQL&gt;&lt;Q&gt;Ticker0024^FE_ESTIMATE(EAG,MEAN,QUARTERLY_ROLL,2020/3F,45769,,,'')&lt;/Q&gt;&lt;R&gt;1&lt;/R&gt;&lt;C&gt;1&lt;/C&gt;&lt;D xsi:type="xsd:double"&gt;1.4&lt;/D&gt;&lt;/FQL&gt;&lt;FQL&gt;&lt;Q&gt;Ticker0024^FE_ESTIMATE(EAG,MEAN,QUARTERLY_ROLL,2020/2F,45769,,,'')&lt;/Q&gt;&lt;R&gt;1&lt;/R&gt;&lt;C&gt;1&lt;/C&gt;&lt;D xsi:type="xsd:double"&gt;1.51&lt;/D&gt;&lt;/FQL&gt;&lt;FQL&gt;&lt;Q&gt;Ticker0024^FE_ESTIMATE(EAG,MEAN,QUARTERLY_ROLL,2020/1F,45769,,,'')&lt;/Q&gt;&lt;R&gt;1&lt;/R&gt;&lt;C&gt;1&lt;/C&gt;&lt;D xsi:type="xsd:double"&gt;1.38&lt;/D&gt;&lt;/FQL&gt;&lt;FQL&gt;&lt;Q&gt;Ticker0024^FE_ESTIMATE(EAG,MEAN,ANNUAL_ROLL,2019,45769,,,'')&lt;/Q&gt;&lt;R&gt;1&lt;/R&gt;&lt;C&gt;1&lt;/C&gt;&lt;D xsi:type="xsd:double"&gt;5.06&lt;/D&gt;&lt;/FQL&gt;&lt;FQL&gt;&lt;Q&gt;Ticker0024^FE_ESTIMATE(EAG,MEAN,QUARTERLY_ROLL,2019/4F,45769,,,'')&lt;/Q&gt;&lt;R&gt;1&lt;/R&gt;&lt;C&gt;1&lt;/C&gt;&lt;D xsi:type="xsd:double"&gt;1.71&lt;/D&gt;&lt;/FQL&gt;&lt;FQL&gt;&lt;Q&gt;Ticker0024^FE_ESTIMATE(EAG,MEAN,QUARTERLY_ROLL,2019/3F,45769,,,'')&lt;/Q&gt;&lt;R&gt;1&lt;/R&gt;&lt;C&gt;1&lt;/C&gt;&lt;D xsi:type="xsd:double"&gt;1.14&lt;/D&gt;&lt;/FQL&gt;&lt;FQL&gt;&lt;Q&gt;Ticker0024^FE_ESTIMATE(EAG,MEAN,QUARTERLY_ROLL,2019/2F,45769,,,'')&lt;/Q&gt;&lt;R&gt;1&lt;/R&gt;&lt;C&gt;1&lt;/C&gt;&lt;D xsi:type="xsd:double"&gt;1.08&lt;/D&gt;&lt;/FQL&gt;&lt;FQL&gt;&lt;Q&gt;Ticker0024^FE_ESTIMATE(EAG,MEAN,QUARTERLY_ROLL,2019/1F,45769,,,'')&lt;/Q&gt;&lt;R&gt;1&lt;/R&gt;&lt;C&gt;1&lt;/C&gt;&lt;D xsi:type="xsd:double"&gt;1.14&lt;/D&gt;&lt;/FQL&gt;&lt;FQL&gt;&lt;Q&gt;Ticker0024^FE_ESTIMATE(EAG,MEAN,ANNUAL_ROLL,2018,45769,,,'')&lt;/Q&gt;&lt;R&gt;1&lt;/R&gt;&lt;C&gt;1&lt;/C&gt;&lt;D xsi:type="xsd:double"&gt;2.13&lt;/D&gt;&lt;/FQL&gt;&lt;FQL&gt;&lt;Q&gt;Ticker0024^FE_ESTIMATE(EAG,MEAN,QUARTERLY_ROLL,2018/4F,45769,,,'')&lt;/Q&gt;&lt;R&gt;1&lt;/R&gt;&lt;C&gt;1&lt;/C&gt;&lt;D xsi:type="xsd:double"&gt;1.14&lt;/D&gt;&lt;/FQL&gt;&lt;FQL&gt;&lt;Q&gt;Ticker0024^FE_ESTIMATE(EAG,MEAN,QUARTERLY_ROLL,2018/3F,45769,,,'')&lt;/Q&gt;&lt;R&gt;1&lt;/R&gt;&lt;C&gt;1&lt;/C&gt;&lt;D xsi:type="xsd:double"&gt;0.9504607&lt;/D&gt;&lt;/FQL&gt;&lt;FQL&gt;&lt;Q&gt;Ticker0024^FE_ESTIMATE(EAG,MEAN,QUARTERLY_ROLL,2018/2F,45769,,,'')&lt;/Q&gt;&lt;R&gt;1&lt;/R&gt;&lt;C&gt;1&lt;/C&gt;&lt;D xsi:type="xsd:double"&gt;-0.82&lt;/D&gt;&lt;/FQL&gt;&lt;FQL&gt;&lt;Q&gt;Ticker0024^FE_ESTIMATE(EAG,MEAN,QUARTERLY_ROLL,2018/1F,45769,,,'')&lt;/Q&gt;&lt;R&gt;1&lt;/R&gt;&lt;C&gt;1&lt;/C&gt;&lt;D xsi:type="xsd:double"&gt;0.84&lt;/D&gt;&lt;/FQL&gt;&lt;FQL&gt;&lt;Q&gt;Ticker0024^FE_ESTIMATE(EAG,MEAN,ANNUAL_ROLL,2017,45769,,,'')&lt;/Q&gt;&lt;R&gt;1&lt;/R&gt;&lt;C&gt;1&lt;/C&gt;&lt;D xsi:type="xsd:double"&gt;2.71&lt;/D&gt;&lt;/FQL&gt;&lt;FQL&gt;&lt;Q&gt;Ticker0024^FE_ESTIMATE(EAG,MEAN,QUARTERLY_ROLL,2017/4F,45769,,,'')&lt;/Q&gt;&lt;R&gt;1&lt;/R&gt;&lt;C&gt;1&lt;/C&gt;&lt;D xsi:type="xsd:double"&gt;0.83&lt;/D&gt;&lt;/FQL&gt;&lt;FQL&gt;&lt;Q&gt;Ticker0024^FE_ESTIMATE(EAG,MEAN,QUARTERLY_ROLL,2017/3F,45769,,,'')&lt;/Q&gt;&lt;R&gt;1&lt;/R&gt;&lt;C&gt;1&lt;/C&gt;&lt;D xsi:type="xsd:double"&gt;0.61&lt;/D&gt;&lt;/FQL&gt;&lt;FQL&gt;&lt;Q&gt;Ticker0024^FE_ESTIMATE(EAG,MEAN,QUARTERLY_ROLL,2017/2F,45769,,,'')&lt;/Q&gt;&lt;R&gt;1&lt;/R&gt;&lt;C&gt;1&lt;/C&gt;&lt;D xsi:type="xsd:double"&gt;0.66&lt;/D&gt;&lt;/FQL&gt;&lt;FQL&gt;&lt;Q&gt;Ticker0024^FE_ESTIMATE(EAG,MEAN,QUARTERLY_ROLL,2017/1F,45769,,,'')&lt;/Q&gt;&lt;R&gt;1&lt;/R&gt;&lt;C&gt;1&lt;/C&gt;&lt;D xsi:type="xsd:double"&gt;0.6&lt;/D&gt;&lt;/FQL&gt;&lt;FQL&gt;&lt;Q&gt;Ticker0024^FE_ESTIMATE(EAG,MEAN,ANNUAL_ROLL,2016,45769,,,'')&lt;/Q&gt;&lt;R&gt;1&lt;/R&gt;&lt;C&gt;1&lt;/C&gt;&lt;D xsi:type="xsd:double"&gt;2.1&lt;/D&gt;&lt;/FQL&gt;&lt;FQL&gt;&lt;Q&gt;Ticker0024^FE_ESTIMATE(EAG,MEAN,QUARTERLY_ROLL,2016/4F,45769,,,'')&lt;/Q&gt;&lt;R&gt;1&lt;/R&gt;&lt;C&gt;1&lt;/C&gt;&lt;D xsi:type="xsd:double"&gt;0.39&lt;/D&gt;&lt;/FQL&gt;&lt;FQL&gt;&lt;Q&gt;Ticker0024^FE_ESTIMATE(EAG,MEAN,QUARTERLY_ROLL,2016/3F,45769,,,'')&lt;/Q&gt;&lt;R&gt;1&lt;/R&gt;&lt;C&gt;1&lt;/C&gt;&lt;D xsi:type="xsd:double"&gt;0.47&lt;/D&gt;&lt;/FQL&gt;&lt;FQL&gt;&lt;Q&gt;Ticker0024^FE_ESTIMATE(EAG,MEAN,QUARTERLY_ROLL,2016/2F,45769,,,'')&lt;/Q&gt;&lt;R&gt;1&lt;/R&gt;&lt;C&gt;1&lt;/C&gt;&lt;D xsi:type="xsd:double"&gt;0.62&lt;/D&gt;&lt;/FQL&gt;&lt;FQL&gt;&lt;Q&gt;Ticker0024^FE_ESTIMATE(EAG,MEAN,QUARTERLY_ROLL,2016/1F,45769,,,'')&lt;/Q&gt;&lt;R&gt;1&lt;/R&gt;&lt;C&gt;1&lt;/C&gt;&lt;D xsi:type="xsd:double"&gt;0.57&lt;/D&gt;&lt;/FQL&gt;&lt;FQL&gt;&lt;Q&gt;Ticker0024^FE_ESTIMATE(EAG,MEAN,ANNUAL_ROLL,2015,45769,,,'')&lt;/Q&gt;&lt;R&gt;1&lt;/R&gt;&lt;C&gt;1&lt;/C&gt;&lt;D xsi:type="xsd:double"&gt;1.48&lt;/D&gt;&lt;/FQL&gt;&lt;FQL&gt;&lt;Q&gt;Ticker0024^FE_ESTIMATE(EAG,MEAN,QUARTERLY_ROLL,2015/4F,45769,,,'')&lt;/Q&gt;&lt;R&gt;1&lt;/R&gt;&lt;C&gt;1&lt;/C&gt;&lt;D xsi:type="xsd:double"&gt;-0.4&lt;/D&gt;&lt;/FQL&gt;&lt;FQL&gt;&lt;Q&gt;Ticker0024^FE_ESTIMATE(EAG,MEAN,QUARTERLY_ROLL,2015/3F,45769,,,'')&lt;/Q&gt;&lt;R&gt;1&lt;/R&gt;&lt;C&gt;1&lt;/C&gt;&lt;D xsi:type="xsd:double"&gt;0.61&lt;/D&gt;&lt;/FQL&gt;&lt;FQL&gt;&lt;Q&gt;Ticker0024^FE_ESTIMATE(EAG,MEAN,QUARTERLY_ROLL,2015/2F,45769,,,'')&lt;/Q&gt;&lt;R&gt;1&lt;/R&gt;&lt;C&gt;1&lt;/C&gt;&lt;D xsi:type="xsd:double"&gt;0.71&lt;/D&gt;&lt;/FQL&gt;&lt;FQL&gt;&lt;Q&gt;Ticker0024^FE_ESTIMATE(EAG,MEAN,QUARTERLY_ROLL,2015/1F,45769,,,'')&lt;/Q&gt;&lt;R&gt;1&lt;/R&gt;&lt;C&gt;1&lt;/C&gt;&lt;D xsi:type="xsd:double"&gt;0.54&lt;/D&gt;&lt;/FQL&gt;&lt;FQL&gt;&lt;Q&gt;Ticker0024^FE_ESTIMATE(EBIT,MEAN,ANNUAL_ROLL,2030,45769,,,'')&lt;/Q&gt;&lt;R&gt;0&lt;/R&gt;&lt;C&gt;0&lt;/C&gt;&lt;/FQL&gt;&lt;FQL&gt;&lt;Q&gt;Ticker0024^FE_ESTIMATE(EBIT,MEAN,QUARTERLY_ROLL,2030/4F,45769,,,'')&lt;/Q&gt;&lt;R&gt;0&lt;/R&gt;&lt;C&gt;0&lt;/C&gt;&lt;/FQL&gt;&lt;FQL&gt;&lt;Q&gt;Ticker0024^FE_ESTIMATE(EBIT,MEAN,QUARTERLY_ROLL,2030/3F,45769,,,'')&lt;/Q&gt;&lt;R&gt;0&lt;/R&gt;&lt;C&gt;0&lt;/C&gt;&lt;/FQL&gt;&lt;FQL&gt;&lt;Q&gt;Ticker0024^FE_ESTIMATE(EBIT,MEAN,QUARTERLY_ROLL,2030/2F,45769,,,'')&lt;/Q&gt;&lt;R&gt;0&lt;/R&gt;&lt;C&gt;0&lt;/C&gt;&lt;/FQL&gt;&lt;FQL&gt;&lt;Q&gt;Ticker0024^FE_ESTIMATE(EBIT,MEAN,QUARTERLY_ROLL,2030/1F,45769,,,'')&lt;/Q&gt;&lt;R&gt;0&lt;/R&gt;&lt;C&gt;0&lt;/C&gt;&lt;/FQL&gt;&lt;FQL&gt;&lt;Q&gt;Ticker0024^FE_ESTIMATE(EBIT,MEAN,ANNUAL_ROLL,2029,45769,,,'')&lt;/Q&gt;&lt;R&gt;1&lt;/R&gt;&lt;C&gt;1&lt;/C&gt;&lt;D xsi:type="xsd:double"&gt;212715&lt;/D&gt;&lt;/FQL&gt;&lt;FQL&gt;&lt;Q&gt;Ticker0024^FE_ESTIMATE(EBIT,MEAN,QUARTERLY_ROLL,2029/4F,45769,,,'')&lt;/Q&gt;&lt;R&gt;0&lt;/R&gt;&lt;C&gt;0&lt;/C&gt;&lt;/FQL&gt;&lt;FQL&gt;&lt;Q&gt;Ticker0024^FE_ESTIMATE(EBIT,MEAN,QUARTERLY_ROLL,2029/3F,45769,,,'')&lt;/Q&gt;&lt;R&gt;0&lt;/R&gt;&lt;C&gt;0&lt;/C&gt;&lt;/FQL&gt;&lt;FQL&gt;&lt;Q&gt;Ticker0024^FE_ESTIMATE(EBIT,MEAN,QUARTERLY_ROLL,2029/2F,45769,,,'')&lt;/Q&gt;&lt;R&gt;0&lt;/R&gt;&lt;C&gt;0&lt;/C&gt;&lt;/FQL&gt;&lt;FQL&gt;&lt;Q&gt;Ticker0024^FE_ESTIMATE(EBIT,MEAN,QUARTERLY_ROLL,2029/1F,45769,,,'')&lt;/Q&gt;&lt;R&gt;0&lt;/R&gt;&lt;C&gt;0&lt;/C&gt;&lt;/FQL&gt;&lt;FQL&gt;&lt;Q&gt;Ticker0024^FE_ESTIMATE(EBIT,MEAN,ANNUAL_ROLL,2028,45769,,,'')&lt;/Q&gt;&lt;R&gt;1&lt;/R&gt;&lt;C&gt;1&lt;/C&gt;&lt;D xsi:type="xsd:double"&gt;182802.1&lt;/D&gt;&lt;/FQL&gt;&lt;FQL&gt;&lt;Q&gt;Ticker0024^FE_ESTIMATE(EBIT,MEAN,QUARTERLY_ROLL,2028/4F,45769,,,'')&lt;/Q&gt;&lt;R&gt;0&lt;/R&gt;&lt;C&gt;0&lt;/C&gt;&lt;/FQL&gt;&lt;FQL&gt;&lt;Q&gt;Ticker0024^FE_ESTIMATE(EBIT,MEAN,QUARTERLY_ROLL,2028/3F,45769,,,'')&lt;/Q&gt;&lt;R&gt;0&lt;/R&gt;&lt;C&gt;0&lt;/C&gt;&lt;/FQL&gt;&lt;FQL&gt;&lt;Q&gt;Ticker0024^FE_ESTIMATE(EBIT,MEAN,QUARTERLY_ROLL,2028/2F,45769,,,'')&lt;/Q&gt;&lt;R&gt;0&lt;/R&gt;&lt;C&gt;0&lt;/C&gt;&lt;/FQL&gt;&lt;FQL&gt;&lt;Q&gt;Ticker0024^FE_ESTIMATE(EBIT,MEAN,QUARTERLY_ROLL,2028/1F,45769,,,'')&lt;/Q&gt;&lt;R&gt;0&lt;/R&gt;&lt;C&gt;0&lt;/C&gt;&lt;/FQL&gt;&lt;FQL&gt;&lt;Q&gt;Ticker0024^FE_ESTIMATE(EBIT,MEAN,ANNUAL_ROLL,2027,45769,,,'')&lt;/Q&gt;&lt;R&gt;1&lt;/R&gt;&lt;C&gt;1&lt;/C&gt;&lt;D xsi:type="xsd:double"&gt;162333.11&lt;/D&gt;&lt;/FQL&gt;&lt;FQL&gt;&lt;Q&gt;Ticker0024^FE_ESTIMATE(EBIT,MEAN,QUARTERLY_ROLL,2027/4F,45769,,,'')&lt;/Q&gt;&lt;R&gt;1&lt;/R&gt;&lt;C&gt;1&lt;/C&gt;&lt;D xsi:type="xsd:double"&gt;42533.3&lt;/D&gt;&lt;/FQL&gt;&lt;FQL&gt;&lt;Q&gt;Ticker0024^FE_ESTIMATE(EBIT,MEAN,QUARTERLY_ROLL,2027/3F,45769,,,'')&lt;/Q&gt;&lt;R&gt;1&lt;/R&gt;&lt;C&gt;1&lt;/C&gt;&lt;D xsi:type="xsd:double"&gt;40100.84&lt;/D&gt;&lt;/FQL&gt;&lt;FQL&gt;&lt;Q&gt;Ticker0024^FE_ESTIMATE(EBIT,MEAN,QUARTERLY_ROLL,2027/2F,45769,,,'')&lt;/Q&gt;&lt;R&gt;1&lt;/R&gt;&lt;C&gt;1&lt;/C&gt;&lt;D xsi:type="xsd:double"&gt;40589.52&lt;/D&gt;&lt;/FQL&gt;&lt;FQL&gt;&lt;Q&gt;Ticker0024^FE_ESTIMATE(EBIT,MEAN,QUARTERLY_ROLL,2027/1F,45769,,,'')&lt;/Q&gt;&lt;R&gt;1&lt;/R&gt;&lt;C&gt;1&lt;/C&gt;&lt;D xsi:type="xsd:double"&gt;39281.977&lt;/D&gt;&lt;/FQL&gt;&lt;FQL&gt;&lt;Q&gt;Ticker0024^FE_ESTIMATE(EBIT,MEAN,ANNUAL_ROLL,2026,45769,,,'')&lt;/Q&gt;&lt;R&gt;1&lt;/R&gt;&lt;C&gt;1&lt;/C&gt;&lt;D xsi:type="xsd:double"&gt;139922.53&lt;/D&gt;&lt;/FQL&gt;&lt;FQL&gt;&lt;Q&gt;Ticker0024^FE_ESTIMATE(EBIT,MEAN,QUARTERLY_ROLL,2026/4F,45769,,,'')&lt;/Q&gt;&lt;R&gt;1&lt;/R&gt;&lt;C&gt;1&lt;/C&gt;&lt;D xsi:type="xsd:double"&gt;36221.348&lt;/D&gt;&lt;/FQL&gt;&lt;FQL&gt;&lt;Q&gt;Ticker0024^FE_ESTIMATE(EBIT,MEAN,QUARTERLY_ROLL,2026/3F,45769,,,'')&lt;/Q&gt;&lt;R&gt;1&lt;/R&gt;&lt;C&gt;1&lt;/C&gt;&lt;D xsi:type="xsd:double"&gt;34567.566&lt;/D&gt;&lt;/FQL&gt;&lt;FQL&gt;&lt;Q&gt;Ticker0024^FE_ESTIMATE(EBIT,MEAN,QUARTERLY_ROLL,2026/2F,45769,,,'')&lt;/Q&gt;&lt;R&gt;1&lt;/R&gt;&lt;C&gt;1&lt;/C&gt;&lt;D xsi:type="xsd:double"&gt;35108.676&lt;/D&gt;&lt;/FQL&gt;&lt;FQL&gt;&lt;Q&gt;Ticker0024^FE_ESTIMATE(EBIT,MEAN,QUARTERLY_ROLL,2026/1F,45769,,,'')&lt;/Q&gt;&lt;R&gt;1&lt;/R&gt;&lt;C&gt;1&lt;/C&gt;&lt;D xsi:type="xsd:double"&gt;33760.797&lt;/D&gt;&lt;/FQL&gt;&lt;FQL&gt;&lt;Q&gt;Ticker0024^FE_ESTIMATE(EBIT,MEAN,ANNUAL_ROLL,2025,45769,,,'')&lt;/Q&gt;&lt;R&gt;1&lt;/R&gt;&lt;C&gt;1&lt;/C&gt;&lt;D xsi:type="xsd:double"&gt;124011.9&lt;/D&gt;&lt;/FQL&gt;&lt;FQL&gt;&lt;Q&gt;Ticker0024^FE_ESTIMATE(EBIT,MEAN,QUARTERLY_ROLL,2025/4F,45769,,,'')&lt;/Q&gt;&lt;R&gt;1&lt;/R&gt;&lt;C&gt;1&lt;/C&gt;&lt;D xsi:type="xsd:double"&gt;31622.328&lt;/D&gt;&lt;/FQL&gt;&lt;FQL&gt;&lt;Q&gt;Ticker0024^FE_ESTIMATE(EBIT,MEAN,QUARTERLY_ROLL,2025/3F,45769,,,'')&lt;/Q&gt;&lt;R&gt;1&lt;/R&gt;&lt;C&gt;1&lt;/C&gt;&lt;D xsi:type="xsd:double"&gt;30501.701&lt;/D&gt;&lt;/FQL&gt;&lt;FQL&gt;&lt;Q&gt;Ticker0024^FE_ESTIMATE(EBIT,MEAN,QUARTERLY_ROLL,2025/2F,45769,,,'')&lt;/Q&gt;&lt;R&gt;1&lt;/R&gt;&lt;C&gt;1&lt;/C&gt;&lt;D xsi:type="xsd:double"&gt;31654.105&lt;/D&gt;&lt;/FQL&gt;&lt;FQL&gt;&lt;Q&gt;Ticker0024^FE_ESTIMATE(EBIT,MEAN,QUARTERLY_ROLL,2025/1F,45769,,,'')&lt;/Q&gt;&lt;R&gt;1&lt;/R&gt;&lt;C&gt;1&lt;/C&gt;&lt;D xsi:type="xsd:double"&gt;30535.146&lt;/D&gt;&lt;/FQL&gt;&lt;FQL&gt;&lt;Q&gt;Ticker0024^FE_ESTIMATE(EBIT,MEAN,ANNUAL_ROLL,2024,45769,,,'')&lt;/Q&gt;&lt;R&gt;1&lt;/R&gt;&lt;C&gt;1&lt;/C&gt;&lt;D xsi:type="xsd:double"&gt;109729.96&lt;/D&gt;&lt;/FQL&gt;&lt;FQL&gt;&lt;Q&gt;Ticker0024^FE_ESTIMATE(EBIT,MEAN,QUARTERLY_ROLL,2024/4F,45769,,,'')&lt;/Q&gt;&lt;R&gt;1&lt;/R&gt;&lt;C&gt;1&lt;/C&gt;&lt;D xsi:type="xsd:double"&gt;27926.969&lt;/D&gt;&lt;/FQL&gt;&lt;FQL&gt;&lt;Q&gt;Ticker0024^FE_ESTIMATE(EBIT,MEAN,QUARTERLY_ROLL,2024/3F,45769,,,'')&lt;/Q&gt;&lt;R&gt;1&lt;/R&gt;&lt;C&gt;1&lt;/C&gt;&lt;D xsi:type="xsd:double"&gt;27582.4&lt;/D&gt;&lt;/FQL&gt;&lt;FQL&gt;&lt;Q&gt;Ticker0024^FE_ESTIMATE(EBIT,MEAN,QUARTERLY_ROLL,2024/2F,45769,,,'')&lt;/Q&gt;&lt;R&gt;1&lt;/R&gt;&lt;C&gt;1&lt;/C&gt;&lt;D xsi:type="xsd:double"&gt;27031.055&lt;/D&gt;&lt;/FQL&gt;&lt;FQL&gt;&lt;Q&gt;Ticker0024^FE_ESTIMATE(EBIT,MEAN,QUARTERLY_ROLL,2024/1F,45769,,,'')&lt;/Q&gt;&lt;R&gt;1&lt;/R&gt;&lt;C&gt;1&lt;/C&gt;&lt;D xsi:type="xsd:double"&gt;26895.146&lt;/D&gt;&lt;/FQL&gt;&lt;FQL&gt;&lt;Q&gt;Ticker0024^FE_ESTIMATE(EBIT,MEAN,ANNUAL_ROLL,2023,45769,,,'')&lt;/Q&gt;&lt;R&gt;1&lt;/R&gt;&lt;C&gt;1&lt;/C&gt;&lt;D xsi:type="xsd:double"&gt;88600.766&lt;/D&gt;&lt;/FQL&gt;&lt;FQL&gt;&lt;Q&gt;Ticker0024^FE_ESTIMATE(EBIT,MEAN,QUARTERLY_ROLL,2023/4F,45769,,,'')&lt;/Q&gt;&lt;R&gt;1&lt;/R&gt;&lt;C&gt;1&lt;/C&gt;&lt;D xsi:type="xsd:double"&gt;24173.82&lt;/D&gt;&lt;/FQL&gt;&lt;FQL&gt;&lt;Q&gt;Ticker0024^FE_ESTIMATE(EBIT,MEAN,QUARTERLY_ROLL,2023/3F,45769,,,'')&lt;/Q&gt;&lt;R&gt;1&lt;/R&gt;&lt;C&gt;1&lt;/C&gt;&lt;D xsi:type="xsd:double"&gt;22351.936&lt;/D&gt;&lt;/FQL&gt;&lt;FQL&gt;&lt;Q&gt;Ticker0024^FE_ESTIMATE(EBIT,MEAN,QUARTERLY_ROLL,2023/2F,45769,,,'')&lt;/Q&gt;&lt;R&gt;1&lt;/R&gt;&lt;C&gt;1&lt;/C&gt;&lt;D xsi:type="xsd:double"&gt;20399.059&lt;/D&gt;&lt;/FQL&gt;&lt;FQL&gt;&lt;Q&gt;Ticker0024^FE_ESTIMATE(EBIT,MEAN,QUARTERLY_ROLL,2023/1F,45769,,,'')&lt;/Q&gt;&lt;R&gt;1&lt;/R&gt;&lt;C&gt;1&lt;/C&gt;&lt;D xsi:type="xsd:double"&gt;21518.063&lt;/D&gt;&lt;/FQL&gt;&lt;FQL&gt;&lt;Q&gt;Ticker0024^FE_ESTIMATE(EBIT,MEAN,ANNUAL_ROLL,2022,45769,,,'')&lt;/Q&gt;&lt;R&gt;1&lt;/R&gt;&lt;C&gt;1&lt;/C&gt;&lt;D xsi:type="xsd:double"&gt;83380.48&lt;/D&gt;&lt;/FQL&gt;&lt;FQL&gt;&lt;Q&gt;Ticker0024^FE_ESTIMATE(EBIT,MEAN,QUARTERLY_ROLL,2022/4F,45769,,,'')&lt;/Q&gt;&lt;R&gt;1&lt;/R&gt;&lt;C&gt;1&lt;/C&gt;&lt;D xsi:type="xsd:double"&gt;20531.785&lt;/D&gt;&lt;/FQL&gt;&lt;FQL&gt;&lt;Q&gt;Ticker0024^FE_ESTIMATE(EBIT,MEAN,QUARTERLY_ROLL,2022/3F,45769,,,'')&lt;/Q&gt;&lt;R&gt;1&lt;/R&gt;&lt;C&gt;1&lt;/C&gt;&lt;D xsi:type="xsd:double"&gt;20362.076&lt;/D&gt;&lt;/FQL&gt;&lt;FQL&gt;&lt;Q&gt;Ticker0024^FE_ESTIMATE(EBIT,MEAN,QUARTERLY_ROLL,2022/2F,45769,,,'')&lt;/Q&gt;&lt;R&gt;1&lt;/R&gt;&lt;C&gt;1&lt;/C&gt;&lt;D xsi:type="xsd:double"&gt;22246.809&lt;/D&gt;&lt;/FQL&gt;&lt;FQL&gt;&lt;Q&gt;Ticker0024^FE_ESTIMATE(EBIT,MEAN,QUARTERLY_ROLL,2022/1F,45769,,,'')&lt;/Q&gt;&lt;R&gt;1&lt;/R&gt;&lt;C&gt;1&lt;/C&gt;&lt;D xsi:type="xsd:double"&gt;20237.896&lt;/D&gt;&lt;/FQL&gt;&lt;FQL&gt;&lt;Q&gt;Ticker0024^FE_ESTIMATE(EBIT,MEAN,ANNUAL_ROLL,2021,45769,,,'')&lt;/Q&gt;&lt;R&gt;1&lt;/R&gt;&lt;C&gt;1&lt;/C&gt;&lt;D xsi:type="xsd:double"&gt;69916.43&lt;/D&gt;&lt;/FQL&gt;&lt;FQL&gt;&lt;Q&gt;Ticker0024^FE_ESTIMATE(EBIT,MEAN,QUARTERLY_ROLL,2021/4F,45769,,,'')&lt;/Q&gt;&lt;R&gt;1&lt;/R&gt;&lt;C&gt;1&lt;/C&gt;&lt;D xsi:type="xsd:double"&gt;19095&lt;/D&gt;&lt;/FQL&gt;&lt;FQL&gt;&lt;Q&gt;Ticker0024^FE_ESTIMATE(EBIT,MEAN,QUARTERLY_ROLL,2021/3F,45769,,,'')&lt;/Q&gt;&lt;R&gt;1&lt;/R&gt;&lt;C&gt;1&lt;/C&gt;&lt;D xsi:type="xsd:double"&gt;17048&lt;/D&gt;&lt;/FQL&gt;&lt;FQL&gt;&lt;Q&gt;Ticker0024^FE_ESTIMATE(EBIT,MEAN,QUARTERLY_ROLL,2021/2F,45769,,,'')&lt;/Q&gt;&lt;R&gt;1&lt;/R&gt;&lt;C&gt;1&lt;/C&gt;&lt;D xsi:type="xsd:double"&gt;17896.826&lt;/D&gt;&lt;/FQL&gt;&lt;FQL&gt;&lt;Q&gt;Ticker0024^FE_ESTIMATE(EBIT,MEAN,QUARTERLY_ROLL,2021/1F,45769,,,'')&lt;/Q&gt;&lt;R&gt;1&lt;/R&gt;&lt;C&gt;1&lt;/C&gt;&lt;D xsi:type="xsd:double"&gt;15875.739&lt;/D&gt;&lt;/FQL&gt;&lt;FQL&gt;&lt;Q&gt;Ticker0024^FE_ESTIMATE(EBIT,MEAN,ANNUAL_ROLL,2020,45769,,,'')&lt;/Q&gt;&lt;R&gt;1&lt;/R&gt;&lt;C&gt;1&lt;/C&gt;&lt;D xsi:type="xsd:double"&gt;52978.875&lt;/D&gt;&lt;/FQL&gt;&lt;FQL&gt;&lt;Q&gt;Ticker0024^FE_ESTIMATE(EBIT,MEAN,QUARTERLY_ROLL,2020/4F,45769,,,'')&lt;/Q&gt;&lt;R&gt;1&lt;/R&gt;&lt;C&gt;1&lt;/C&gt;&lt;D xsi:type="xsd:double"&gt;13432.45&lt;/D&gt;&lt;/FQL&gt;&lt;FQL&gt;&lt;Q&gt;Ticker0024^FE_ESTIMATE(EBIT,MEAN,QUARTERLY_ROLL,2020/3F,45769,,,'')&lt;/Q&gt;&lt;R&gt;1&lt;/R&gt;&lt;C&gt;1&lt;/C&gt;&lt;D xsi:type="xsd:double"&gt;12975&lt;/D&gt;&lt;/FQL&gt;&lt;FQL&gt;&lt;Q&gt;Ticker0024^FE_ESTIMATE(EBIT,MEAN,QUARTERLY_ROLL,2020/2F,45769,,,'')&lt;/Q&gt;&lt;R&gt;1&lt;/R&gt;&lt;C&gt;1&lt;/C&gt;&lt;D xsi:type="xsd:double"&gt;13891&lt;/D&gt;&lt;/FQL&gt;&lt;FQL&gt;&lt;Q&gt;Ticker0024^FE_ESTIMATE(EBIT,MEAN,QUARTERLY_ROLL,2020/1F,45769,,,'')&lt;/Q&gt;&lt;R&gt;1&lt;/R&gt;&lt;C&gt;1&lt;/C&gt;&lt;D xsi:type="xsd:double"&gt;12686&lt;/D&gt;&lt;/FQL&gt;&lt;FQL&gt;&lt;Q&gt;Ticker0024^FE_ESTIMATE(EBIT,MEAN,ANNUAL_ROLL,2019,45769,,,'')&lt;/Q&gt;&lt;R&gt;1&lt;/R&gt;&lt;C&gt;1&lt;/C&gt;&lt;D xsi:type="xsd:double"&gt;42964.805&lt;/D&gt;&lt;/FQL&gt;&lt;FQL&gt;&lt;Q&gt;Ticker0024^FE_ESTIMATE(EBIT,MEAN,QUARTERLY_ROLL,2019/4F,45769,,,'')&lt;/Q&gt;&lt;R&gt;1&lt;/R&gt;&lt;C&gt;1&lt;/C&gt;&lt;D xsi:type="xsd:double"&gt;12405&lt;/D&gt;&lt;/FQL&gt;&lt;FQL&gt;&lt;Q&gt;Ticker0024^FE_ESTIMATE(EBIT,MEAN,QUARTERLY_ROLL,2019/3F,45769,,,'')&lt;/Q&gt;&lt;R&gt;1&lt;/R&gt;&lt;C&gt;1&lt;/C&gt;&lt;D xsi:type="xsd:double"&gt;10341&lt;/D&gt;&lt;/FQL&gt;&lt;FQL&gt;&lt;Q&gt;Ticker0024^FE_ESTIMATE(EBIT,MEAN,QUARTERLY_ROLL,2019/2F,45769,,,'')&lt;/Q&gt;&lt;R&gt;1&lt;/R&gt;&lt;C&gt;1&lt;/C&gt;&lt;D xsi:type="xsd:double"&gt;10263.846&lt;/D&gt;&lt;/FQL&gt;&lt;FQL&gt;&lt;Q&gt;Ticker0024^FE_ESTIMATE(EBIT,MEAN,QUARTERLY_ROLL,2019/1F,45769,,,'')&lt;/Q&gt;&lt;R&gt;1&lt;/R&gt;&lt;C&gt;1&lt;/C&gt;&lt;D xsi:type="xsd:double"&gt;9955&lt;/D&gt;&lt;/FQL&gt;&lt;FQL&gt;&lt;Q&gt;Ticker0024^FE_ESTIMATE(EBIT,MEAN,ANNUAL_ROLL,2018,45769,,,'')&lt;/Q&gt;&lt;R&gt;1&lt;/R&gt;&lt;C&gt;1&lt;/C&gt;&lt;D xsi:type="xsd:double"&gt;35034.188&lt;/D&gt;&lt;/FQL&gt;&lt;FQL&gt;&lt;Q&gt;Ticker0024^FE_ESTIMATE(EBIT,MEAN,QUARTERLY_ROLL,2018/4F,45769,,,'')&lt;/Q&gt;&lt;R&gt;1&lt;/R&gt;&lt;C&gt;1&lt;/C&gt;&lt;D xsi:type="xsd:double"&gt;10349.692&lt;/D&gt;&lt;/FQL&gt;&lt;FQL&gt;&lt;Q&gt;Ticker0024^FE_ESTIMATE(EBIT,MEAN,QUARTERLY_ROLL,2018/3F,45769,,,'')&lt;/Q&gt;&lt;R&gt;1&lt;/R&gt;&lt;C&gt;1&lt;/C&gt;&lt;D xsi:type="xsd:double"&gt;8292&lt;/D&gt;&lt;/FQL&gt;&lt;FQL&gt;&lt;Q&gt;Ticker0024^FE_ESTIMATE(EBIT,MEAN,QUARTERLY_ROLL,2018/2F,45769,,,'')&lt;/Q&gt;&lt;R&gt;1&lt;/R&gt;&lt;C&gt;1&lt;/C&gt;&lt;D xsi:type="xsd:double"&gt;8679&lt;/D&gt;&lt;/FQL&gt;&lt;FQL&gt;&lt;Q&gt;Ticker0024^FE_ESTIMATE(EBIT,MEAN,QUARTERLY_ROLL,2018/1F,45769,,,'')&lt;/Q&gt;&lt;R&gt;1&lt;/R&gt;&lt;C&gt;1&lt;/C&gt;&lt;D xsi:type="xsd:double"&gt;7708&lt;/D&gt;&lt;/FQL&gt;&lt;FQL&gt;&lt;Q&gt;Ticker0024^FE_ESTIMATE(EBIT,MEAN,ANNUAL_ROLL,2017,45769,,,'')&lt;/Q&gt;&lt;R&gt;1&lt;/R&gt;&lt;C&gt;1&lt;/C&gt;&lt;D xsi:type="xsd:double"&gt;29326.25&lt;/D&gt;&lt;/FQL&gt;&lt;FQL&gt;&lt;Q&gt;Ticker0024^FE_ESTIMATE(EBIT,MEAN,QUARTERLY_ROLL,2017/4F,45769,,,'')&lt;/Q&gt;&lt;R&gt;1&lt;/R&gt;&lt;C&gt;1&lt;/C&gt;&lt;D xsi:type="xsd:double"&gt;7019&lt;/D&gt;&lt;/FQL&gt;&lt;FQL&gt;&lt;Q&gt;Ticker0024^FE_ESTIMATE(EBIT,MEAN,QUARTERLY_ROLL,2017/3F,45769,,,'')&lt;/Q&gt;&lt;R&gt;1&lt;/R&gt;&lt;C&gt;1&lt;/C&gt;&lt;D xsi:type="xsd:double"&gt;7061&lt;/D&gt;&lt;/FQL&gt;&lt;FQL&gt;&lt;Q&gt;Ticker0024^FE_ESTIMATE(EBIT,MEAN,QUARTERLY_ROLL,2017/2F,45769,,,'')&lt;/Q&gt;&lt;R&gt;1&lt;/R&gt;&lt;C&gt;1&lt;/C&gt;&lt;D xsi:type="xsd:double"&gt;8153&lt;/D&gt;&lt;/FQL&gt;&lt;FQL&gt;&lt;Q&gt;Ticker0024^FE_ESTIMATE(EBIT,MEAN,QUARTERLY_ROLL,2017/1F,45769,,,'')&lt;/Q&gt;&lt;R&gt;1&lt;/R&gt;&lt;C&gt;1&lt;/C&gt;&lt;D xsi:type="xsd:double"&gt;7106&lt;/D&gt;&lt;/FQL&gt;&lt;FQL&gt;&lt;Q&gt;Ticker0024^FE_ESTIMATE(EBIT,MEAN,ANNUAL_ROLL,2016,45769,,,'')&lt;/Q&gt;&lt;R&gt;1&lt;/R&gt;&lt;C&gt;1&lt;/C&gt;&lt;D xsi:type="xsd:double"&gt;28028.564</t>
        </r>
      </text>
    </comment>
    <comment ref="A30" authorId="0" shapeId="0" xr:uid="{467EBCD7-FDF0-4F46-B483-EF4EAC5A5F7A}">
      <text>
        <r>
          <rPr>
            <b/>
            <sz val="9"/>
            <color indexed="81"/>
            <rFont val="Tahoma"/>
            <family val="2"/>
          </rPr>
          <t>&lt;/D&gt;&lt;/FQL&gt;&lt;FQL&gt;&lt;Q&gt;Ticker0024^FE_ESTIMATE(EBIT,MEAN,QUARTERLY_ROLL,2016/4F,45769,,,'')&lt;/Q&gt;&lt;R&gt;1&lt;/R&gt;&lt;C&gt;1&lt;/C&gt;&lt;D xsi:type="xsd:double"&gt;6218&lt;/D&gt;&lt;/FQL&gt;&lt;FQL&gt;&lt;Q&gt;Ticker0024^FE_ESTIMATE(EBIT,MEAN,QUARTERLY_ROLL,2016/3F,45769,,,'')&lt;/Q&gt;&lt;R&gt;1&lt;/R&gt;&lt;C&gt;1&lt;/C&gt;&lt;D xsi:type="xsd:double"&gt;6828&lt;/D&gt;&lt;/FQL&gt;&lt;FQL&gt;&lt;Q&gt;Ticker0024^FE_ESTIMATE(EBIT,MEAN,QUARTERLY_ROLL,2016/2F,45769,,,'')&lt;/Q&gt;&lt;R&gt;1&lt;/R&gt;&lt;C&gt;1&lt;/C&gt;&lt;D xsi:type="xsd:double"&gt;7923&lt;/D&gt;&lt;/FQL&gt;&lt;FQL&gt;&lt;Q&gt;Ticker0024^FE_ESTIMATE(EBIT,MEAN,QUARTERLY_ROLL,2016/1F,45769,,,'')&lt;/Q&gt;&lt;R&gt;1&lt;/R&gt;&lt;C&gt;1&lt;/C&gt;&lt;D xsi:type="xsd:double"&gt;7073.7896&lt;/D&gt;&lt;/FQL&gt;&lt;FQL&gt;&lt;Q&gt;Ticker0024^FE_ESTIMATE(EBIT,MEAN,ANNUAL_ROLL,2015,45769,,,'')&lt;/Q&gt;&lt;R&gt;1&lt;/R&gt;&lt;C&gt;1&lt;/C&gt;&lt;D xsi:type="xsd:double"&gt;27916.867&lt;/D&gt;&lt;/FQL&gt;&lt;FQL&gt;&lt;Q&gt;Ticker0024^FE_ESTIMATE(EBIT,MEAN,QUARTERLY_ROLL,2015/4F,45769,,,'')&lt;/Q&gt;&lt;R&gt;1&lt;/R&gt;&lt;C&gt;1&lt;/C&gt;&lt;D xsi:type="xsd:double"&gt;4513.1914&lt;/D&gt;&lt;/FQL&gt;&lt;FQL&gt;&lt;Q&gt;Ticker0024^FE_ESTIMATE(EBIT,MEAN,QUARTERLY_ROLL,2015/3F,45769,,,'')&lt;/Q&gt;&lt;R&gt;1&lt;/R&gt;&lt;C&gt;1&lt;/C&gt;&lt;D xsi:type="xsd:double"&gt;6598.875&lt;/D&gt;&lt;/FQL&gt;&lt;FQL&gt;&lt;Q&gt;Ticker0024^FE_ESTIMATE(EBIT,MEAN,QUARTERLY_ROLL,2015/2F,45769,,,'')&lt;/Q&gt;&lt;R&gt;1&lt;/R&gt;&lt;C&gt;1&lt;/C&gt;&lt;D xsi:type="xsd:double"&gt;7776&lt;/D&gt;&lt;/FQL&gt;&lt;FQL&gt;&lt;Q&gt;Ticker0024^FE_ESTIMATE(EBIT,MEAN,QUARTERLY_ROLL,2015/1F,45769,,,'')&lt;/Q&gt;&lt;R&gt;1&lt;/R&gt;&lt;C&gt;1&lt;/C&gt;&lt;D xsi:type="xsd:double"&gt;5844&lt;/D&gt;&lt;/FQL&gt;&lt;FQL&gt;&lt;Q&gt;Ticker0024^FE_ESTIMATE(PRODLINE_EBIT_17,MEAN,ANNUAL_ROLL,2030,45769,,,'')&lt;/Q&gt;&lt;R&gt;0&lt;/R&gt;&lt;C&gt;0&lt;/C&gt;&lt;/FQL&gt;&lt;FQL&gt;&lt;Q&gt;Ticker0024^FE_ESTIMATE(PRODLINE_EBIT_17,MEAN,QUARTERLY_ROLL,2030/4F,45769,,,'')&lt;/Q&gt;&lt;R&gt;0&lt;/R&gt;&lt;C&gt;0&lt;/C&gt;&lt;/FQL&gt;&lt;FQL&gt;&lt;Q&gt;Ticker0024^FE_ESTIMATE(PRODLINE_EBIT_17,MEAN,QUARTERLY_ROLL,2030/3F,45769,,,'')&lt;/Q&gt;&lt;R&gt;0&lt;/R&gt;&lt;C&gt;0&lt;/C&gt;&lt;/FQL&gt;&lt;FQL&gt;&lt;Q&gt;Ticker0024^FE_ESTIMATE(PRODLINE_EBIT_17,MEAN,QUARTERLY_ROLL,2030/2F,45769,,,'')&lt;/Q&gt;&lt;R&gt;0&lt;/R&gt;&lt;C&gt;0&lt;/C&gt;&lt;/FQL&gt;&lt;FQL&gt;&lt;Q&gt;Ticker0024^FE_ESTIMATE(PRODLINE_EBIT_17,MEAN,QUARTERLY_ROLL,2030/1F,45769,,,'')&lt;/Q&gt;&lt;R&gt;0&lt;/R&gt;&lt;C&gt;0&lt;/C&gt;&lt;/FQL&gt;&lt;FQL&gt;&lt;Q&gt;Ticker0024^FE_ESTIMATE(PRODLINE_EBIT_17,MEAN,ANNUAL_ROLL,2029,45769,,,'')&lt;/Q&gt;&lt;R&gt;0&lt;/R&gt;&lt;C&gt;0&lt;/C&gt;&lt;/FQL&gt;&lt;FQL&gt;&lt;Q&gt;Ticker0024^FE_ESTIMATE(PRODLINE_EBIT_17,MEAN,QUARTERLY_ROLL,2029/4F,45769,,,'')&lt;/Q&gt;&lt;R&gt;0&lt;/R&gt;&lt;C&gt;0&lt;/C&gt;&lt;/FQL&gt;&lt;FQL&gt;&lt;Q&gt;Ticker0024^FE_ESTIMATE(PRODLINE_EBIT_17,MEAN,QUARTERLY_ROLL,2029/3F,45769,,,'')&lt;/Q&gt;&lt;R&gt;0&lt;/R&gt;&lt;C&gt;0&lt;/C&gt;&lt;/FQL&gt;&lt;FQL&gt;&lt;Q&gt;Ticker0024^FE_ESTIMATE(PRODLINE_EBIT_17,MEAN,QUARTERLY_ROLL,2029/2F,45769,,,'')&lt;/Q&gt;&lt;R&gt;0&lt;/R&gt;&lt;C&gt;0&lt;/C&gt;&lt;/FQL&gt;&lt;FQL&gt;&lt;Q&gt;Ticker0024^FE_ESTIMATE(PRODLINE_EBIT_17,MEAN,QUARTERLY_ROLL,2029/1F,45769,,,'')&lt;/Q&gt;&lt;R&gt;0&lt;/R&gt;&lt;C&gt;0&lt;/C&gt;&lt;/FQL&gt;&lt;FQL&gt;&lt;Q&gt;Ticker0024^FE_ESTIMATE(PRODLINE_EBIT_17,MEAN,ANNUAL_ROLL,2028,45769,,,'')&lt;/Q&gt;&lt;R&gt;1&lt;/R&gt;&lt;C&gt;1&lt;/C&gt;&lt;D xsi:type="xsd:double"&gt;10723&lt;/D&gt;&lt;/FQL&gt;&lt;FQL&gt;&lt;Q&gt;Ticker0024^FE_ESTIMATE(PRODLINE_EBIT_17,MEAN,QUARTERLY_ROLL,2028/4F,45769,,,'')&lt;/Q&gt;&lt;R&gt;0&lt;/R&gt;&lt;C&gt;0&lt;/C&gt;&lt;/FQL&gt;&lt;FQL&gt;&lt;Q&gt;Ticker0024^FE_ESTIMATE(PRODLINE_EBIT_17,MEAN,QUARTERLY_ROLL,2028/3F,45769,,,'')&lt;/Q&gt;&lt;R&gt;0&lt;/R&gt;&lt;C&gt;0&lt;/C&gt;&lt;/FQL&gt;&lt;FQL&gt;&lt;Q&gt;Ticker0024^FE_ESTIMATE(PRODLINE_EBIT_17,MEAN,QUARTERLY_ROLL,2028/2F,45769,,,'')&lt;/Q&gt;&lt;R&gt;0&lt;/R&gt;&lt;C&gt;0&lt;/C&gt;&lt;/FQL&gt;&lt;FQL&gt;&lt;Q&gt;Ticker0024^FE_ESTIMATE(PRODLINE_EBIT_17,MEAN,QUARTERLY_ROLL,2028/1F,45769,,,'')&lt;/Q&gt;&lt;R&gt;0&lt;/R&gt;&lt;C&gt;0&lt;/C&gt;&lt;/FQL&gt;&lt;FQL&gt;&lt;Q&gt;Ticker0024^FE_ESTIMATE(PRODLINE_EBIT_17,MEAN,ANNUAL_ROLL,2027,45769,,,'')&lt;/Q&gt;&lt;R&gt;1&lt;/R&gt;&lt;C&gt;1&lt;/C&gt;&lt;D xsi:type="xsd:double"&gt;12836&lt;/D&gt;&lt;/FQL&gt;&lt;FQL&gt;&lt;Q&gt;Ticker0024^FE_ESTIMATE(PRODLINE_EBIT_17,MEAN,QUARTERLY_ROLL,2027/4F,45769,,,'')&lt;/Q&gt;&lt;R&gt;0&lt;/R&gt;&lt;C&gt;0&lt;/C&gt;&lt;/FQL&gt;&lt;FQL&gt;&lt;Q&gt;Ticker0024^FE_ESTIMATE(PRODLINE_EBIT_17,MEAN,QUARTERLY_ROLL,2027/3F,45769,,,'')&lt;/Q&gt;&lt;R&gt;0&lt;/R&gt;&lt;C&gt;0&lt;/C&gt;&lt;/FQL&gt;&lt;FQL&gt;&lt;Q&gt;Ticker0024^FE_ESTIMATE(PRODLINE_EBIT_17,MEAN,QUARTERLY_ROLL,2027/2F,45769,,,'')&lt;/Q&gt;&lt;R&gt;0&lt;/R&gt;&lt;C&gt;0&lt;/C&gt;&lt;/FQL&gt;&lt;FQL&gt;&lt;Q&gt;Ticker0024^FE_ESTIMATE(PRODLINE_EBIT_17,MEAN,QUARTERLY_ROLL,2027/1F,45769,,,'')&lt;/Q&gt;&lt;R&gt;0&lt;/R&gt;&lt;C&gt;0&lt;/C&gt;&lt;/FQL&gt;&lt;FQL&gt;&lt;Q&gt;Ticker0024^FE_ESTIMATE(PRODLINE_EBIT_17,MEAN,ANNUAL_ROLL,2026,45769,,,'')&lt;/Q&gt;&lt;R&gt;1&lt;/R&gt;&lt;C&gt;1&lt;/C&gt;&lt;D xsi:type="xsd:double"&gt;15375&lt;/D&gt;&lt;/FQL&gt;&lt;FQL&gt;&lt;Q&gt;Ticker0024^FE_ESTIMATE(PRODLINE_EBIT_17,MEAN,QUARTERLY_ROLL,2026/4F,45769,,,'')&lt;/Q&gt;&lt;R&gt;1&lt;/R&gt;&lt;C&gt;1&lt;/C&gt;&lt;D xsi:type="xsd:double"&gt;3614.3333&lt;/D&gt;&lt;/FQL&gt;&lt;FQL&gt;&lt;Q&gt;Ticker0024^FE_ESTIMATE(PRODLINE_EBIT_17,MEAN,QUARTERLY_ROLL,2026/3F,45769,,,'')&lt;/Q&gt;&lt;R&gt;1&lt;/R&gt;&lt;C&gt;1&lt;/C&gt;&lt;D xsi:type="xsd:double"&gt;3774&lt;/D&gt;&lt;/FQL&gt;&lt;FQL&gt;&lt;Q&gt;Ticker0024^FE_ESTIMATE(PRODLINE_EBIT_17,MEAN,QUARTERLY_ROLL,2026/2F,45769,,,'')&lt;/Q&gt;&lt;R&gt;1&lt;/R&gt;&lt;C&gt;1&lt;/C&gt;&lt;D xsi:type="xsd:double"&gt;4365.6665&lt;/D&gt;&lt;/FQL&gt;&lt;FQL&gt;&lt;Q&gt;Ticker0024^FE_ESTIMATE(PRODLINE_EBIT_17,MEAN,QUARTERLY_ROLL,2026/1F,45769,,,'')&lt;/Q&gt;&lt;R&gt;1&lt;/R&gt;&lt;C&gt;1&lt;/C&gt;&lt;D xsi:type="xsd:double"&gt;4159&lt;/D&gt;&lt;/FQL&gt;&lt;FQL&gt;&lt;Q&gt;Ticker0024^FE_ESTIMATE(PRODLINE_EBIT_17,MEAN,ANNUAL_ROLL,2025,45769,,,'')&lt;/Q&gt;&lt;R&gt;1&lt;/R&gt;&lt;C&gt;1&lt;/C&gt;&lt;D xsi:type="xsd:double"&gt;15375.6&lt;/D&gt;&lt;/FQL&gt;&lt;FQL&gt;&lt;Q&gt;Ticker0024^FE_ESTIMATE(PRODLINE_EBIT_17,MEAN,QUARTERLY_ROLL,2025/4F,45769,,,'')&lt;/Q&gt;&lt;R&gt;1&lt;/R&gt;&lt;C&gt;1&lt;/C&gt;&lt;D xsi:type="xsd:double"&gt;3533.4&lt;/D&gt;&lt;/FQL&gt;&lt;FQL&gt;&lt;Q&gt;Ticker0024^FE_ESTIMATE(PRODLINE_EBIT_17,MEAN,QUARTERLY_ROLL,2025/3F,45769,,,'')&lt;/Q&gt;&lt;R&gt;1&lt;/R&gt;&lt;C&gt;1&lt;/C&gt;&lt;D xsi:type="xsd:double"&gt;3766.4&lt;/D&gt;&lt;/FQL&gt;&lt;FQL&gt;&lt;Q&gt;Ticker0024^FE_ESTIMATE(PRODLINE_EBIT_17,MEAN,QUARTERLY_ROLL,2025/2F,45769,,,'')&lt;/Q&gt;&lt;R&gt;1&lt;/R&gt;&lt;C&gt;1&lt;/C&gt;&lt;D xsi:type="xsd:double"&gt;4253.8&lt;/D&gt;&lt;/FQL&gt;&lt;FQL&gt;&lt;Q&gt;Ticker0024^FE_ESTIMATE(PRODLINE_EBIT_17,MEAN,QUARTERLY_ROLL,2025/1F,45769,,,'')&lt;/Q&gt;&lt;R&gt;1&lt;/R&gt;&lt;C&gt;1&lt;/C&gt;&lt;D xsi:type="xsd:double"&gt;3822.2&lt;/D&gt;&lt;/FQL&gt;&lt;FQL&gt;&lt;Q&gt;Ticker0024^FE_ESTIMATE(PRODLINE_EBIT_17,MEAN,ANNUAL_ROLL,2024,45769,,,'')&lt;/Q&gt;&lt;R&gt;1&lt;/R&gt;&lt;C&gt;1&lt;/C&gt;&lt;D xsi:type="xsd:double"&gt;19332.8&lt;/D&gt;&lt;/FQL&gt;&lt;FQL&gt;&lt;Q&gt;Ticker0024^FE_ESTIMATE(PRODLINE_EBIT_17,MEAN,QUARTERLY_ROLL,2024/4F,45769,,,'')&lt;/Q&gt;&lt;R&gt;1&lt;/R&gt;&lt;C&gt;1&lt;/C&gt;&lt;D xsi:type="xsd:double"&gt;4922.4&lt;/D&gt;&lt;/FQL&gt;&lt;FQL&gt;&lt;Q&gt;Ticker0024^FE_ESTIMATE(PRODLINE_EBIT_17,MEAN,QUARTERLY_ROLL,2024/3F,45769,,,'')&lt;/Q&gt;&lt;R&gt;1&lt;/R&gt;&lt;C&gt;1&lt;/C&gt;&lt;D xsi:type="xsd:double"&gt;4925.7144&lt;/D&gt;&lt;/FQL&gt;&lt;FQL&gt;&lt;Q&gt;Ticker0024^FE_ESTIMATE(PRODLINE_EBIT_17,MEAN,QUARTERLY_ROLL,2024/2F,45769,,,'')&lt;/Q&gt;&lt;R&gt;1&lt;/R&gt;&lt;C&gt;1&lt;/C&gt;&lt;D xsi:type="xsd:double"&gt;4308.3335&lt;/D&gt;&lt;/FQL&gt;&lt;FQL&gt;&lt;Q&gt;Ticker0024^FE_ESTIMATE(PRODLINE_EBIT_17,MEAN,QUARTERLY_ROLL,2024/1F,45769,,,'')&lt;/Q&gt;&lt;R&gt;1&lt;/R&gt;&lt;C&gt;1&lt;/C&gt;&lt;D xsi:type="xsd:double"&gt;5197&lt;/D&gt;&lt;/FQL&gt;&lt;FQL&gt;&lt;Q&gt;Ticker0024^FE_ESTIMATE(PRODLINE_EBIT_17,MEAN,ANNUAL_ROLL,2023,45769,,,'')&lt;/Q&gt;&lt;R&gt;1&lt;/R&gt;&lt;C&gt;1&lt;/C&gt;&lt;D xsi:type="xsd:double"&gt;16450&lt;/D&gt;&lt;/FQL&gt;&lt;FQL&gt;&lt;Q&gt;Ticker0024^FE_ESTIMATE(PRODLINE_EBIT_17,MEAN,QUARTERLY_ROLL,2023/4F,45769,,,'')&lt;/Q&gt;&lt;R&gt;1&lt;/R&gt;&lt;C&gt;1&lt;/C&gt;&lt;D xsi:type="xsd:double"&gt;4676.8&lt;/D&gt;&lt;/FQL&gt;&lt;FQL&gt;&lt;Q&gt;Ticker0024^FE_ESTIMATE(PRODLINE_EBIT_17,MEAN,QUARTERLY_ROLL,2023/3F,45769,,,'')&lt;/Q&gt;&lt;R&gt;1&lt;/R&gt;&lt;C&gt;1&lt;/C&gt;&lt;D xsi:type="xsd:double"&gt;4237.6&lt;/D&gt;&lt;/FQL&gt;&lt;FQL&gt;&lt;Q&gt;Ticker0024^FE_ESTIMATE(PRODLINE_EBIT_17,MEAN,QUARTERLY_ROLL,2023/2F,45769,,,'')&lt;/Q&gt;&lt;R&gt;1&lt;/R&gt;&lt;C&gt;1&lt;/C&gt;&lt;D xsi:type="xsd:double"&gt;3345&lt;/D&gt;&lt;/FQL&gt;&lt;FQL&gt;&lt;Q&gt;Ticker0024^FE_ESTIMATE(PRODLINE_EBIT_17,MEAN,QUARTERLY_ROLL,2023/1F,45769,,,'')&lt;/Q&gt;&lt;R&gt;1&lt;/R&gt;&lt;C&gt;1&lt;/C&gt;&lt;D xsi:type="xsd:double"&gt;4241.4&lt;/D&gt;&lt;/FQL&gt;&lt;FQL&gt;&lt;Q&gt;Ticker0024^FE_ESTIMATE(PRODLINE_EBIT_17,MEAN,ANNUAL_ROLL,2022,45769,,,'')&lt;/Q&gt;&lt;R&gt;1&lt;/R&gt;&lt;C&gt;1&lt;/C&gt;&lt;D xsi:type="xsd:double"&gt;20975.2&lt;/D&gt;&lt;/FQL&gt;&lt;FQL&gt;&lt;Q&gt;Ticker0024^FE_ESTIMATE(PRODLINE_EBIT_17,MEAN,QUARTERLY_ROLL,2022/4F,45769,,,'')&lt;/Q&gt;&lt;R&gt;1&lt;/R&gt;&lt;C&gt;1&lt;/C&gt;&lt;D xsi:type="xsd:double"&gt;4619.2&lt;/D&gt;&lt;/FQL&gt;&lt;FQL&gt;&lt;Q&gt;Ticker0024^FE_ESTIMATE(PRODLINE_EBIT_17,MEAN,QUARTERLY_ROLL,2022/3F,45769,,,'')&lt;/Q&gt;&lt;R&gt;1&lt;/R&gt;&lt;C&gt;1&lt;/C&gt;&lt;D xsi:type="xsd:double"&gt;4899&lt;/D&gt;&lt;/FQL&gt;&lt;FQL&gt;&lt;Q&gt;Ticker0024^FE_ESTIMATE(PRODLINE_EBIT_17,MEAN,QUARTERLY_ROLL,2022/2F,45769,,,'')&lt;/Q&gt;&lt;R&gt;1&lt;/R&gt;&lt;C&gt;1&lt;/C&gt;&lt;D xsi:type="xsd:double"&gt;6360&lt;/D&gt;&lt;/FQL&gt;&lt;FQL&gt;&lt;Q&gt;Ticker0024^FE_ESTIMATE(PRODLINE_EBIT_17,MEAN,QUARTERLY_ROLL,2022/1F,45769,,,'')&lt;/Q&gt;&lt;R&gt;1&lt;/R&gt;&lt;C&gt;1&lt;/C&gt;&lt;D xsi:type="xsd:double"&gt;5095&lt;/D&gt;&lt;/FQL&gt;&lt;FQL&gt;&lt;Q&gt;Ticker0024^FE_ESTIMATE(PRODLINE_EBIT_17,MEAN,ANNUAL_ROLL,2021,45769,,,'')&lt;/Q&gt;&lt;R&gt;1&lt;/R&gt;&lt;C&gt;1&lt;/C&gt;&lt;D xsi:type="xsd:double"&gt;19439.25&lt;/D&gt;&lt;/FQL&gt;&lt;FQL&gt;&lt;Q&gt;Ticker0024^FE_ESTIMATE(PRODLINE_EBIT_17,MEAN,QUARTERLY_ROLL,2021/4F,45769,,,'')&lt;/Q&gt;&lt;R&gt;1&lt;/R&gt;&lt;C&gt;1&lt;/C&gt;&lt;D xsi:type="xsd:double"&gt;4873&lt;/D&gt;&lt;/FQL&gt;&lt;FQL&gt;&lt;Q&gt;Ticker0024^FE_ESTIMATE(PRODLINE_EBIT_17,MEAN,QUARTERLY_ROLL,2021/3F,45769,,,'')&lt;/Q&gt;&lt;R&gt;1&lt;/R&gt;&lt;C&gt;1&lt;/C&gt;&lt;D xsi:type="xsd:double"&gt;4594&lt;/D&gt;&lt;/FQL&gt;&lt;FQL&gt;&lt;Q&gt;Ticker0024^FE_ESTIMATE(PRODLINE_EBIT_17,MEAN,QUARTERLY_ROLL,2021/2F,45769,,,'')&lt;/Q&gt;&lt;R&gt;1&lt;/R&gt;&lt;C&gt;1&lt;/C&gt;&lt;D xsi:type="xsd:double"&gt;5224&lt;/D&gt;&lt;/FQL&gt;&lt;FQL&gt;&lt;Q&gt;Ticker0024^FE_ESTIMATE(PRODLINE_EBIT_17,MEAN,QUARTERLY_ROLL,2021/1F,45769,,,'')&lt;/Q&gt;&lt;R&gt;1&lt;/R&gt;&lt;C&gt;1&lt;/C&gt;&lt;D xsi:type="xsd:double"&gt;4748&lt;/D&gt;&lt;/FQL&gt;&lt;FQL&gt;&lt;Q&gt;Ticker0024^FE_ESTIMATE(PRODLINE_EBIT_17,MEAN,ANNUAL_ROLL,2020,45769,,,'')&lt;/Q&gt;&lt;R&gt;1&lt;/R&gt;&lt;C&gt;1&lt;/C&gt;&lt;D xsi:type="xsd:double"&gt;15895.667&lt;/D&gt;&lt;/FQL&gt;&lt;FQL&gt;&lt;Q&gt;Ticker0024^FE_ESTIMATE(PRODLINE_EBIT_17,MEAN,QUARTERLY_ROLL,2020/4F,45769,,,'')&lt;/Q&gt;&lt;R&gt;1&lt;/R&gt;&lt;C&gt;1&lt;/C&gt;&lt;D xsi:type="xsd:double"&gt;4075.3333&lt;/D&gt;&lt;/FQL&gt;&lt;FQL&gt;&lt;Q&gt;Ticker0024^FE_ESTIMATE(PRODLINE_EBIT_17,MEAN,QUARTERLY_ROLL,2020/3F,45769,,,'')&lt;/Q&gt;&lt;R&gt;1&lt;/R&gt;&lt;C&gt;1&lt;/C&gt;&lt;D xsi:type="xsd:double"&gt;3627&lt;/D&gt;&lt;/FQL&gt;&lt;FQL&gt;&lt;Q&gt;Ticker0024^FE_ESTIMATE(PRODLINE_EBIT_17,MEAN,QUARTERLY_ROLL,2020/2F,45769,,,'')&lt;/Q&gt;&lt;R&gt;1&lt;/R&gt;&lt;C&gt;1&lt;/C&gt;&lt;D xsi:type="xsd:double"&gt;4178&lt;/D&gt;&lt;/FQL&gt;&lt;FQL&gt;&lt;Q&gt;Ticker0024^FE_ESTIMATE(PRODLINE_EBIT_17,MEAN,QUARTERLY_ROLL,2020/1F,45769,,,'')&lt;/Q&gt;&lt;R&gt;1&lt;/R&gt;&lt;C&gt;1&lt;/C&gt;&lt;D xsi:type="xsd:double"&gt;4015&lt;/D&gt;&lt;/FQL&gt;&lt;FQL&gt;&lt;Q&gt;Ticker0024^FE_ESTIMATE(PRODLINE_EBIT_17,MEAN,ANNUAL_ROLL,2019,45769,,,'')&lt;/Q&gt;&lt;R&gt;1&lt;/R&gt;&lt;C&gt;1&lt;/C&gt;&lt;D xsi:type="xsd:double"&gt;12820&lt;/D&gt;&lt;/FQL&gt;&lt;FQL&gt;&lt;Q&gt;Ticker0024^FE_ESTIMATE(PRODLINE_EBIT_17,MEAN,QUARTERLY_ROLL,2019/4F,45769,,,'')&lt;/Q&gt;&lt;R&gt;1&lt;/R&gt;&lt;C&gt;1&lt;/C&gt;&lt;D xsi:type="xsd:double"&gt;3559&lt;/D&gt;&lt;/FQL&gt;&lt;FQL&gt;&lt;Q&gt;Ticker0024^FE_ESTIMATE(PRODLINE_EBIT_17,MEAN,QUARTERLY_ROLL,2019/3F,45769,,,'')&lt;/Q&gt;&lt;R&gt;1&lt;/R&gt;&lt;C&gt;1&lt;/C&gt;&lt;D xsi:type="xsd:double"&gt;3154&lt;/D&gt;&lt;/FQL&gt;&lt;FQL&gt;&lt;Q&gt;Ticker0024^FE_ESTIMATE(PRODLINE_EBIT_17,MEAN,QUARTERLY_ROLL,2019/2F,45769,,,'')&lt;/Q&gt;&lt;R&gt;1&lt;/R&gt;&lt;C&gt;1&lt;/C&gt;&lt;D xsi:type="xsd:double"&gt;2964&lt;/D&gt;&lt;/FQL&gt;&lt;FQL&gt;&lt;Q&gt;Ticker0024^FE_ESTIMATE(PRODLINE_EBIT_17,MEAN,QUARTERLY_ROLL,2019/1F,45769,,,'')&lt;/Q&gt;&lt;R&gt;1&lt;/R&gt;&lt;C&gt;1&lt;/C&gt;&lt;D xsi:type="xsd:double"&gt;3143&lt;/D&gt;&lt;/FQL&gt;&lt;FQL&gt;&lt;Q&gt;Ticker0024^FE_ESTIMATE(PRODLINE_EBIT_17,MEAN,ANNUAL_ROLL,2018,45769,,,'')&lt;/Q&gt;&lt;R&gt;1&lt;/R&gt;&lt;C&gt;1&lt;/C&gt;&lt;D xsi:type="xsd:double"&gt;10610.25&lt;/D&gt;&lt;/FQL&gt;&lt;FQL&gt;&lt;Q&gt;Ticker0024^FE_ESTIMATE(PRODLINE_EBIT_17,MEAN,QUARTERLY_ROLL,2018/4F,45769,,,'')&lt;/Q&gt;&lt;R&gt;1&lt;/R&gt;&lt;C&gt;1&lt;/C&gt;&lt;D xsi:type="xsd:double"&gt;3012&lt;/D&gt;&lt;/FQL&gt;&lt;FQL&gt;&lt;Q&gt;Ticker0024^FE_ESTIMATE(PRODLINE_EBIT_17,MEAN,QUARTERLY_ROLL,2018/3F,45769,,,'')&lt;/Q&gt;&lt;R&gt;1&lt;/R&gt;&lt;C&gt;1&lt;/C&gt;&lt;D xsi:type="xsd:double"&gt;2523&lt;/D&gt;&lt;/FQL&gt;&lt;FQL&gt;&lt;Q&gt;Ticker0024^FE_ESTIMATE(PRODLINE_EBIT_17,MEAN,QUARTERLY_ROLL,2018/2F,45769,,,'')&lt;/Q&gt;&lt;R&gt;1&lt;/R&gt;&lt;C&gt;1&lt;/C&gt;&lt;D xsi:type="xsd:double"&gt;2510&lt;/D&gt;&lt;/FQL&gt;&lt;FQL&gt;&lt;Q&gt;Ticker0024^FE_ESTIMATE(PRODLINE_EBIT_17,MEAN,QUARTERLY_ROLL,2018/1F,45769,,,'')&lt;/Q&gt;&lt;R&gt;1&lt;/R&gt;&lt;C&gt;1&lt;/C&gt;&lt;D xsi:type="xsd:double"&gt;2565&lt;/D&gt;&lt;/FQL&gt;&lt;FQL&gt;&lt;Q&gt;Ticker0024^FE_ESTIMATE(PRODLINE_EBIT_17,MEAN,ANNUAL_ROLL,2017,45769,,,'')&lt;/Q&gt;&lt;R&gt;1&lt;/R&gt;&lt;C&gt;1&lt;/C&gt;&lt;D xsi:type="xsd:double"&gt;8288&lt;/D&gt;&lt;/FQL&gt;&lt;FQL&gt;&lt;Q&gt;Ticker0024^FE_ESTIMATE(PRODLINE_EBIT_17,MEAN,QUARTERLY_ROLL,2017/4F,45769,,,'')&lt;/Q&gt;&lt;R&gt;1&lt;/R&gt;&lt;C&gt;1&lt;/C&gt;&lt;D xsi:type="xsd:double"&gt;1764&lt;/D&gt;&lt;/FQL&gt;&lt;FQL&gt;&lt;Q&gt;Ticker0024^FE_ESTIMATE(PRODLINE_EBIT_17,MEAN,QUARTERLY_ROLL,2017/3F,45769,,,'')&lt;/Q&gt;&lt;R&gt;1&lt;/R&gt;&lt;C&gt;1&lt;/C&gt;&lt;D xsi:type="xsd:double"&gt;2097&lt;/D&gt;&lt;/FQL&gt;&lt;FQL&gt;&lt;Q&gt;Ticker0024^FE_ESTIMATE(PRODLINE_EBIT_17,MEAN,QUARTERLY_ROLL,2017/2F,45769,,,'')&lt;/Q&gt;&lt;R&gt;1&lt;/R&gt;&lt;C&gt;1&lt;/C&gt;&lt;D xsi:type="xsd:double"&gt;2499&lt;/D&gt;&lt;/FQL&gt;&lt;FQL&gt;&lt;Q&gt;Ticker0024^FE_ESTIMATE(PRODLINE_EBIT_17,MEAN,QUARTERLY_ROLL,2017/1F,45769,,,'')&lt;/Q&gt;&lt;R&gt;1&lt;/R&gt;&lt;C&gt;1&lt;/C&gt;&lt;D xsi:type="xsd:double"&gt;1928&lt;/D&gt;&lt;/FQL&gt;&lt;FQL&gt;&lt;Q&gt;Ticker0024^FE_ESTIMATE(PRODLINE_EBIT_17,MEAN,ANNUAL_ROLL,2016,45769,,,'')&lt;/Q&gt;&lt;R&gt;1&lt;/R&gt;&lt;C&gt;1&lt;/C&gt;&lt;D xsi:type="xsd:double"&gt;6167.3335&lt;/D&gt;&lt;/FQL&gt;&lt;FQL&gt;&lt;Q&gt;Ticker0024^FE_ESTIMATE(PRODLINE_EBIT_17,MEAN,QUARTERLY_ROLL,2016/4F,45769,,,'')&lt;/Q&gt;&lt;R&gt;1&lt;/R&gt;&lt;C&gt;1&lt;/C&gt;&lt;D xsi:type="xsd:double"&gt;964&lt;/D&gt;&lt;/FQL&gt;&lt;FQL&gt;&lt;Q&gt;Ticker0024^FE_ESTIMATE(PRODLINE_EBIT_17,MEAN,QUARTERLY_ROLL,2016/3F,45769,,,'')&lt;/Q&gt;&lt;R&gt;1&lt;/R&gt;&lt;C&gt;1&lt;/C&gt;&lt;D xsi:type="xsd:double"&gt;1645&lt;/D&gt;&lt;/FQL&gt;&lt;FQL&gt;&lt;Q&gt;Ticker0024^FE_ESTIMATE(PRODLINE_EBIT_17,MEAN,QUARTERLY_ROLL,2016/2F,45769,,,'')&lt;/Q&gt;&lt;R&gt;0&lt;/R&gt;&lt;C&gt;0&lt;/C&gt;&lt;/FQL&gt;&lt;FQL&gt;&lt;Q&gt;Ticker0024^FE_ESTIMATE(PRODLINE_EBIT_17,MEAN,QUARTERLY_ROLL,2016/1F,45769,,,'')&lt;/Q&gt;&lt;R&gt;0&lt;/R&gt;&lt;C&gt;0&lt;/C&gt;&lt;/FQL&gt;&lt;FQL&gt;&lt;Q&gt;Ticker0024^FE_ESTIMATE(PRODLINE_EBIT_17,MEAN,ANNUAL_ROLL,2015,45769,,,'')&lt;/Q&gt;&lt;R&gt;0&lt;/R&gt;&lt;C&gt;0&lt;/C&gt;&lt;/FQL&gt;&lt;FQL&gt;&lt;Q&gt;Ticker0024^FE_ESTIMATE(PRODLINE_EBIT_17,MEAN,QUARTERLY_ROLL,2015/4F,45769,,,'')&lt;/Q&gt;&lt;R&gt;0&lt;/R&gt;&lt;C&gt;0&lt;/C&gt;&lt;/FQL&gt;&lt;FQL&gt;&lt;Q&gt;Ticker0024^FE_ESTIMATE(PRODLINE_EBIT_17,MEAN,QUARTERLY_ROLL,2015/3F,45769,,,'')&lt;/Q&gt;&lt;R&gt;0&lt;/R&gt;&lt;C&gt;0&lt;/C&gt;&lt;/FQL&gt;&lt;FQL&gt;&lt;Q&gt;Ticker0024^FE_ESTIMATE(PRODLINE_EBIT_17,MEAN,QUARTERLY_ROLL,2015/2F,45769,,,'')&lt;/Q&gt;&lt;R&gt;0&lt;/R&gt;&lt;C&gt;0&lt;/C&gt;&lt;/FQL&gt;&lt;FQL&gt;&lt;Q&gt;Ticker0024^FE_ESTIMATE(PRODLINE_EBIT_17,MEAN,QUARTERLY_ROLL,2015/1F,45769,,,'')&lt;/Q&gt;&lt;R&gt;0&lt;/R&gt;&lt;C&gt;0&lt;/C&gt;&lt;/FQL&gt;&lt;FQL&gt;&lt;Q&gt;Ticker0024^FE_ESTIMATE(PRODLINE_EBIT_16,MEAN,ANNUAL_ROLL,2030,45769,,,'')&lt;/Q&gt;&lt;R&gt;0&lt;/R&gt;&lt;C&gt;0&lt;/C&gt;&lt;/FQL&gt;&lt;FQL&gt;&lt;Q&gt;Ticker0024^FE_ESTIMATE(PRODLINE_EBIT_16,MEAN,QUARTERLY_ROLL,2030/4F,45769,,,'')&lt;/Q&gt;&lt;R&gt;0&lt;/R&gt;&lt;C&gt;0&lt;/C&gt;&lt;/FQL&gt;&lt;FQL&gt;&lt;Q&gt;Ticker0024^FE_ESTIMATE(PRODLINE_EBIT_16,MEAN,QUARTERLY_ROLL,2030/3F,45769,,,'')&lt;/Q&gt;&lt;R&gt;0&lt;/R&gt;&lt;C&gt;0&lt;/C&gt;&lt;/FQL&gt;&lt;FQL&gt;&lt;Q&gt;Ticker0024^FE_ESTIMATE(PRODLINE_EBIT_16,MEAN,QUARTERLY_ROLL,2030/2F,45769,,,'')&lt;/Q&gt;&lt;R&gt;0&lt;/R&gt;&lt;C&gt;0&lt;/C&gt;&lt;/FQL&gt;&lt;FQL&gt;&lt;Q&gt;Ticker0024^FE_ESTIMATE(PRODLINE_EBIT_16,MEAN,QUARTERLY_ROLL,2030/1F,45769,,,'')&lt;/Q&gt;&lt;R&gt;0&lt;/R&gt;&lt;C&gt;0&lt;/C&gt;&lt;/FQL&gt;&lt;FQL&gt;&lt;Q&gt;Ticker0024^FE_ESTIMATE(PRODLINE_EBIT_16,MEAN,ANNUAL_ROLL,2029,45769,,,'')&lt;/Q&gt;&lt;R&gt;0&lt;/R&gt;&lt;C&gt;0&lt;/C&gt;&lt;/FQL&gt;&lt;FQL&gt;&lt;Q&gt;Ticker0024^FE_ESTIMATE(PRODLINE_EBIT_16,MEAN,QUARTERLY_ROLL,2029/4F,45769,,,'')&lt;/Q&gt;&lt;R&gt;0&lt;/R&gt;&lt;C&gt;0&lt;/C&gt;&lt;/FQL&gt;&lt;FQL&gt;&lt;Q&gt;Ticker0024^FE_ESTIMATE(PRODLINE_EBIT_16,MEAN,QUARTERLY_ROLL,2029/3F,45769,,,'')&lt;/Q&gt;&lt;R&gt;0&lt;/R&gt;&lt;C&gt;0&lt;/C&gt;&lt;/FQL&gt;&lt;FQL&gt;&lt;Q&gt;Ticker0024^FE_ESTIMATE(PRODLINE_EBIT_16,MEAN,QUARTERLY_ROLL,2029/2F,45769,,,'')&lt;/Q&gt;&lt;R&gt;0&lt;/R&gt;&lt;C&gt;0&lt;/C&gt;&lt;/FQL&gt;&lt;FQL&gt;&lt;Q&gt;Ticker0024^FE_ESTIMATE(PRODLINE_EBIT_16,MEAN,QUARTERLY_ROLL,2029/1F,45769,,,'')&lt;/Q&gt;&lt;R&gt;0&lt;/R&gt;&lt;C&gt;0&lt;/C&gt;&lt;/FQL&gt;&lt;FQL&gt;&lt;Q&gt;Ticker0024^FE_ESTIMATE(PRODLINE_EBIT_16,MEAN,ANNUAL_ROLL,2028,45769,,,'')&lt;/Q&gt;&lt;R&gt;1&lt;/R&gt;&lt;C&gt;1&lt;/C&gt;&lt;D xsi:type="xsd:double"&gt;88201&lt;/D&gt;&lt;/FQL&gt;&lt;FQL&gt;&lt;Q&gt;Ticker0024^FE_ESTIMATE(PRODLINE_EBIT_16,MEAN,QUARTERLY_ROLL,2028/4F,45769,,,'')&lt;/Q&gt;&lt;R&gt;0&lt;/R&gt;&lt;C&gt;0&lt;/C&gt;&lt;/FQL&gt;&lt;FQL&gt;&lt;Q&gt;Ticker0024^FE_ESTIMATE(PRODLINE_EBIT_16,MEAN,QUARTERLY_ROLL,2028/3F,45769,,,'')&lt;/Q&gt;&lt;R&gt;0&lt;/R&gt;&lt;C&gt;0&lt;/C&gt;&lt;/FQL&gt;&lt;FQL&gt;&lt;Q&gt;Ticker0024^FE_ESTIMATE(PRODLINE_EBIT_16,MEAN,QUARTERLY_ROLL,2028/2F,45769,,,'')&lt;/Q&gt;&lt;R&gt;0&lt;/R&gt;&lt;C&gt;0&lt;/C&gt;&lt;/FQL&gt;&lt;FQL&gt;&lt;Q&gt;Ticker0024^FE_ESTIMATE(PRODLINE_EBIT_16,MEAN,QUARTERLY_ROLL,2028/1F,45769,,,'')&lt;/Q&gt;&lt;R&gt;0&lt;/R&gt;&lt;C&gt;0&lt;/C&gt;&lt;/FQL&gt;&lt;FQL&gt;&lt;Q&gt;Ticker0024^FE_ESTIMATE(PRODLINE_EBIT_16,MEAN,ANNUAL_ROLL,2027,45769,,,'')&lt;/Q&gt;&lt;R&gt;1&lt;/R&gt;&lt;C&gt;1&lt;/C&gt;&lt;D xsi:type="xsd:double"&gt;69101.336&lt;/D&gt;&lt;/FQL&gt;&lt;FQL&gt;&lt;Q&gt;Ticker0024^FE_ESTIMATE(PRODLINE_EBIT_16,MEAN,QUARTERLY_ROLL,2027/4F,45769,,,'')&lt;/Q&gt;&lt;R&gt;0&lt;/R&gt;&lt;C&gt;0&lt;/C&gt;&lt;/FQL&gt;&lt;FQL&gt;&lt;Q&gt;Ticker0024^FE_ESTIMATE(PRODLINE_EBIT_16,MEAN,QUARTERLY_ROLL,2027/3F,45769,,,'')&lt;/Q&gt;&lt;R&gt;0&lt;/R&gt;&lt;C&gt;0&lt;/C&gt;&lt;/FQL&gt;&lt;FQL&gt;&lt;Q&gt;Ticker0024^FE_ESTIMATE(PRODLINE_EBIT_16,MEAN,QUARTERLY_ROLL,2027/2F,45769,,,'')&lt;/Q&gt;&lt;R&gt;0&lt;/R&gt;&lt;C&gt;0&lt;/C&gt;&lt;/FQL&gt;&lt;FQL&gt;&lt;Q&gt;Ticker0024^FE_ESTIMATE(PRODLINE_EBIT_16,MEAN,QUARTERLY_ROLL,2027/1F,45769,,,'')&lt;/Q&gt;&lt;R&gt;0&lt;/R&gt;&lt;C&gt;0&lt;/C&gt;&lt;/FQL&gt;&lt;FQL&gt;&lt;Q&gt;Ticker0024^FE_ESTIMATE(PRODLINE_EBIT_16,MEAN,ANNUAL_ROLL,2026,45769,,,'')&lt;/Q&gt;&lt;R&gt;1&lt;/R&gt;&lt;C&gt;1&lt;/C&gt;&lt;D xsi:type="xsd:double"&gt;57133.25&lt;/D&gt;&lt;/FQL&gt;&lt;FQL&gt;&lt;Q&gt;Ticker0024^FE_ESTIMATE(PRODLINE_EBIT_16,MEAN,QUARTERLY_ROLL,2026/4F,45769,,,'')&lt;/Q&gt;&lt;R&gt;1&lt;/R&gt;&lt;C&gt;1&lt;/C&gt;&lt;D xsi:type="xsd:double"&gt;15323.667&lt;/D&gt;&lt;/FQL&gt;&lt;FQL&gt;&lt;Q&gt;Ticker0024^FE_ESTIMATE(PRODLINE_EBIT_16,MEAN,QUARTERLY_ROLL,2026/3F,45769,,,'')&lt;/Q&gt;&lt;R&gt;1&lt;/R&gt;&lt;C&gt;1&lt;/C&gt;&lt;D xsi:type="xsd:double"&gt;14215&lt;/D&gt;&lt;/FQL&gt;&lt;FQL&gt;&lt;Q&gt;Ticker0024^FE_ESTIMATE(PRODLINE_EBIT_16,MEAN,QUARTERLY_ROLL,2026/2F,45769,,,'')&lt;/Q&gt;&lt;R&gt;1&lt;/R&gt;&lt;C&gt;1&lt;/C&gt;&lt;D xsi:type="xsd:double"&gt;13941.333&lt;/D&gt;&lt;/FQL&gt;&lt;FQL&gt;&lt;Q&gt;Ticker0024^FE_ESTIMATE(PRODLINE_EBIT_16,MEAN,QUARTERLY_ROLL,2026/1F,45769,,,'')&lt;/Q&gt;&lt;R&gt;1&lt;/R&gt;&lt;C&gt;1&lt;/C&gt;&lt;D xsi:type="xsd:double"&gt;13576.667&lt;/D&gt;&lt;/FQL&gt;&lt;FQL&gt;&lt;Q&gt;Ticker0024^FE_ESTIMATE(PRODLINE_EBIT_16,MEAN,ANNUAL_ROLL,2025,45769,,,'')&lt;/Q&gt;&lt;R&gt;1&lt;/R&gt;&lt;C&gt;1&lt;/C&gt;&lt;D xsi:type="xsd:double"&gt;46586.4&lt;/D&gt;&lt;/FQL&gt;&lt;FQL&gt;&lt;Q&gt;Ticker0024^FE_ESTIMATE(PRODLINE_EBIT_16,MEAN,QUARTERLY_ROLL,2025/4F,45769,,,'')&lt;/Q&gt;&lt;R&gt;1&lt;/R&gt;&lt;C&gt;1&lt;/C&gt;&lt;D xsi:type="xsd:double"&gt;12703.6&lt;/D&gt;&lt;/FQL&gt;&lt;FQL&gt;&lt;Q&gt;Ticker0024^FE_ESTIMATE(PRODLINE_EBIT_16,MEAN,QUARTERLY_ROLL,2025/3F,45769,,,'')&lt;/Q&gt;&lt;R&gt;1&lt;/R&gt;&lt;C&gt;1&lt;/C&gt;&lt;D xsi:type="xsd:double"&gt;11483.2&lt;/D&gt;&lt;/FQL&gt;&lt;FQL&gt;&lt;Q&gt;Ticker0024^FE_ESTIMATE(PRODLINE_EBIT_16,MEAN,QUARTERLY_ROLL,2025/2F,45769,,,'')&lt;/Q&gt;&lt;R&gt;1&lt;/R&gt;&lt;C&gt;1&lt;/C&gt;&lt;D xsi:type="xsd:double"&gt;11386.8&lt;/D&gt;&lt;/FQL&gt;&lt;FQL&gt;&lt;Q&gt;Ticker0024^FE_ESTIMATE(PRODLINE_EBIT_16,MEAN,QUARTERLY_ROLL,2025/1F,45769,,,'')&lt;/Q&gt;&lt;R&gt;1&lt;/R&gt;&lt;C&gt;1&lt;/C&gt;&lt;D xsi:type="xsd:double"&gt;11013&lt;/D&gt;&lt;/FQL&gt;&lt;FQL&gt;&lt;Q&gt;Ticker0024^FE_ESTIMATE(PRODLINE_EBIT_16,MEAN,ANNUAL_ROLL,2024,45769,,,'')&lt;/Q&gt;&lt;R&gt;1&lt;/R&gt;&lt;C&gt;1&lt;/C&gt;&lt;D xsi:type="xsd:double"&gt;49583.2&lt;/D&gt;&lt;/FQL&gt;&lt;FQL&gt;&lt;Q&gt;Ticker0024^FE_ESTIMATE(PRODLINE_EBIT_16,MEAN,QUARTERLY_ROLL,2024/4F,45769,,,'')&lt;/Q&gt;&lt;R&gt;1&lt;/R&gt;&lt;C&gt;1&lt;/C&gt;&lt;D xsi:type="xsd:double"&gt;12859.2&lt;/D&gt;&lt;/FQL&gt;&lt;FQL&gt;&lt;Q&gt;Ticker0024^FE_ESTIMATE(PRODLINE_EBIT_16,MEAN,QUARTERLY_ROLL,2024/3F,45769,,,'')&lt;/Q&gt;&lt;R&gt;1&lt;/R&gt;&lt;C&gt;1&lt;/C&gt;&lt;D xsi:type="xsd:double"&gt;12512.571&lt;/D&gt;&lt;/FQL&gt;&lt;FQL&gt;&lt;Q&gt;Ticker0024^FE_ESTIMATE(PRODLINE_EBIT_16,MEAN,QUARTERLY_ROLL,2024/2F,45769,,,'')&lt;/Q&gt;&lt;R&gt;1&lt;/R&gt;&lt;C&gt;1&lt;/C&gt;&lt;D xsi:type="xsd:double"&gt;12460.833&lt;/D&gt;&lt;/FQL&gt;&lt;FQL&gt;&lt;Q&gt;Ticker0024^FE_ESTIMATE(PRODLINE_EBIT_16,MEAN,QUARTERLY_ROLL,2024/1F,45769,,,'')&lt;/Q&gt;&lt;R&gt;1&lt;/R&gt;&lt;C&gt;1&lt;/C&gt;&lt;D xsi:type="xsd:double"&gt;11750.8&lt;/D&gt;&lt;/FQL&gt;&lt;FQL&gt;&lt;Q&gt;Ticker0024^FE_ESTIMATE(PRODLINE_EBIT_16,MEAN,ANNUAL_ROLL,2023,45769,,,'')&lt;/Q&gt;&lt;R&gt;1&lt;/R&gt;&lt;C&gt;1&lt;/C&gt;&lt;D xsi:type="xsd:double"&gt;37883.2&lt;/D&gt;&lt;/FQL&gt;&lt;FQL&gt;&lt;Q&gt;Ticker0024^FE_ESTIMATE(PRODLINE_EBIT_16,MEAN,QUARTERLY_ROLL,2023/4F,45769,,,'')&lt;/Q&gt;&lt;R&gt;1&lt;/R&gt;&lt;C&gt;1&lt;/C&gt;&lt;D xsi:type="xsd:double"&gt;10526.8&lt;/D&gt;&lt;/FQL&gt;&lt;FQL&gt;&lt;Q&gt;Ticker0024^FE_ESTIMATE(PRODLINE_EBIT_16,MEAN,QUARTERLY_ROLL,2023/3F,45769,,,'')&lt;/Q&gt;&lt;R&gt;1&lt;/R&gt;&lt;C&gt;1&lt;/C&gt;&lt;D xsi:type="xsd:double"&gt;9476.8&lt;/D&gt;&lt;/FQL&gt;&lt;FQL&gt;&lt;Q&gt;Ticker0024^FE_ESTIMATE(PRODLINE_EBIT_16,MEAN,QUARTERLY_ROLL,2023/2F,45769,,,'')&lt;/Q&gt;&lt;R&gt;1&lt;/R&gt;&lt;C&gt;1&lt;/C&gt;&lt;D xsi:type="xsd:double"&gt;8903.2&lt;/D&gt;&lt;/FQL&gt;&lt;FQL&gt;&lt;Q&gt;Ticker0024^FE_ESTIMATE(PRODLINE_EBIT_16,MEAN,QUARTERLY_ROLL,2023/1F,45769,,,'')&lt;/Q&gt;&lt;R&gt;1&lt;/R&gt;&lt;C&gt;1&lt;/C&gt;&lt;D xsi:type="xsd:double"&gt;8954.6&lt;/D&gt;&lt;/FQL&gt;&lt;FQL&gt;&lt;Q&gt;Ticker0024^FE_ESTIMATE(PRODLINE_EBIT_16,MEAN,ANNUAL_ROLL,2022,45769,,,'')&lt;/Q&gt;&lt;R&gt;1&lt;/R&gt;&lt;C&gt;1&lt;/C&gt;&lt;D xsi:type="xsd:double"&gt;32708.6&lt;/D&gt;&lt;/FQL&gt;&lt;FQL&gt;&lt;Q&gt;Ticker0024^FE_ESTIMATE(PRODLINE_EBIT_16,MEAN,QUARTERLY_ROLL,2022/4F,45769,,,'')&lt;/Q&gt;&lt;R&gt;1&lt;/R&gt;&lt;C&gt;1&lt;/C&gt;&lt;D xsi:type="xsd:double"&gt;8668.8&lt;/D&gt;&lt;/FQL&gt;&lt;FQL&gt;&lt;Q&gt;Ticker0024^FE_ESTIMATE(PRODLINE_EBIT_16,MEAN,QUARTERLY_ROLL,2022/3F,45769,,,'')&lt;/Q&gt;&lt;R&gt;1&lt;/R&gt;&lt;C&gt;1&lt;/C&gt;&lt;D xsi:type="xsd:double"&gt;8281&lt;/D&gt;&lt;/FQL&gt;&lt;FQL&gt;&lt;Q&gt;Ticker0024^FE_ESTIMATE(PRODLINE_EBIT_16,MEAN,QUARTERLY_ROLL,2022/2F,45769,,,'')&lt;/Q&gt;&lt;R&gt;1&lt;/R&gt;&lt;C&gt;1&lt;/C&gt;&lt;D xsi:type="xsd:double"&gt;8197&lt;/D&gt;&lt;/FQL&gt;&lt;FQL&gt;&lt;Q&gt;Ticker0024^FE_ESTIMATE(PRODLINE_EBIT_16,MEAN,QUARTERLY_ROLL,2022/1F,45769,,,'')&lt;/Q&gt;&lt;R&gt;1&lt;/R&gt;&lt;C&gt;1&lt;/C&gt;&lt;D xsi:type="xsd:double"&gt;7562&lt;/D&gt;&lt;/FQL&gt;&lt;FQL&gt;&lt;Q&gt;Ticker0024^FE_ESTIMATE(PRODLINE_EBIT_16,MEAN,ANNUAL_ROLL,2021,45769,,,'')&lt;/Q&gt;&lt;R&gt;1&lt;/R&gt;&lt;C&gt;1&lt;/C&gt;&lt;D xsi:type="xsd:double"&gt;26126&lt;/D&gt;&lt;/FQL&gt;&lt;FQL&gt;&lt;Q&gt;Ticker0024^FE_ESTIMATE(PRODLINE_EBIT_16,MEAN,QUARTERLY_ROLL,2021/4F,45769,,,'')&lt;/Q&gt;&lt;R&gt;1&lt;/R&gt;&lt;C&gt;1&lt;/C&gt;&lt;D xsi:type="xsd:double"&gt;7787&lt;/D&gt;&lt;/FQL&gt;&lt;FQL&gt;&lt;Q&gt;Ticker0024^FE_ESTIMATE(PRODLINE_EBIT_16,MEAN,QUARTERLY_ROLL,2021/3F,45769,,,'')&lt;/Q&gt;&lt;R&gt;1&lt;/R&gt;&lt;C&gt;1&lt;/C&gt;&lt;D xsi:type="xsd:double"&gt;6425&lt;/D&gt;&lt;/FQL&gt;&lt;FQL&gt;&lt;Q&gt;Ticker0024^FE_ESTIMATE(PRODLINE_EBIT_16,MEAN,QUARTERLY_ROLL,2021/2F,45769,,,'')&lt;/Q&gt;&lt;R&gt;1&lt;/R&gt;&lt;C&gt;1&lt;/C&gt;&lt;D xsi:type="xsd:double"&gt;6492&lt;/D&gt;&lt;/FQL&gt;&lt;FQL&gt;&lt;Q&gt;Ticker0024^FE_ESTIMATE(PRODLINE_EBIT_16,MEAN,QUARTERLY_ROLL,2021/1F,45769,,,'')&lt;/Q&gt;&lt;R&gt;1&lt;/R&gt;&lt;C&gt;1&lt;/C&gt;&lt;D xsi:type="xsd:double"&gt;5422&lt;/D&gt;&lt;/FQL&gt;&lt;FQL&gt;&lt;Q&gt;Ticker0024^FE_ESTIMATE(PRODLINE_EBIT_16,MEAN,ANNUAL_ROLL,2020,45769,,,'')&lt;/Q&gt;&lt;R&gt;1&lt;/R&gt;&lt;C&gt;1&lt;/C&gt;&lt;D xsi:type="xsd:double"&gt;18188.334&lt;/D&gt;&lt;/FQL&gt;&lt;FQL&gt;&lt;Q&gt;Ticker0024^FE_ESTIMATE(PRODLINE_EBIT_16,MEAN,QUARTERLY_ROLL,2020/4F,45769,,,'')&lt;/Q&gt;&lt;R&gt;1&lt;/R&gt;&lt;C&gt;1&lt;/C&gt;&lt;D xsi:type="xsd:double"&gt;5208.3335&lt;/D&gt;&lt;/FQL&gt;&lt;FQL&gt;&lt;Q&gt;Ticker0024^FE_ESTIMATE(PRODLINE_EBIT_16,MEAN,QUARTERLY_ROLL,2020/3F,45769,,,'')&lt;/Q&gt;&lt;R&gt;1&lt;/R&gt;&lt;C&gt;1&lt;/C&gt;&lt;D xsi:type="xsd:double"&gt;4560&lt;/D&gt;&lt;/FQL&gt;&lt;FQL&gt;&lt;Q&gt;Ticker0024^FE_ESTIMATE(PRODLINE_EBIT_16,MEAN,QUARTERLY_ROLL,2020/2F,45769,,,'')&lt;/Q&gt;&lt;R&gt;1&lt;/R&gt;&lt;C&gt;1&lt;/C&gt;&lt;D xsi:type="xsd:double"&gt;4531&lt;/D&gt;&lt;/FQL&gt;&lt;FQL&gt;&lt;Q&gt;Ticker0024^FE_ESTIMATE(PRODLINE_EBIT_16,MEAN,QUARTERLY_ROLL,2020/1F,45769,,,'')&lt;/Q&gt;&lt;R&gt;1&lt;/R&gt;&lt;C&gt;1&lt;/C&gt;&lt;D xsi:type="xsd:double"&gt;3889&lt;/D&gt;&lt;/FQL&gt;&lt;FQL&gt;&lt;Q&gt;Ticker0024^FE_ESTIMATE(PRODLINE_EBIT_16,MEAN,ANNUAL_ROLL,2019,45769,,,'')&lt;/Q&gt;&lt;R&gt;1&lt;/R&gt;&lt;C&gt;1&lt;/C&gt;&lt;D xsi:type="xsd:double"&gt;13920&lt;/D&gt;&lt;/FQL&gt;&lt;FQL&gt;&lt;Q&gt;Ticker0024^FE_ESTIMATE(PRODLINE_EBIT_16,MEAN,QUARTERLY_ROLL,2019/4F,45769,,,'')&lt;/Q&gt;&lt;R&gt;1&lt;/R&gt;&lt;C&gt;1&lt;/C&gt;&lt;D xsi:type="xsd:double"&gt;4502&lt;/D&gt;&lt;/FQL&gt;&lt;FQL&gt;&lt;Q&gt;Ticker0024^FE_ESTIMATE(PRODLINE_EBIT_16,MEAN,QUARTERLY_ROLL,2019/3F,45769,,,'')&lt;/Q&gt;&lt;R&gt;1&lt;/R&gt;&lt;C&gt;1&lt;/C&gt;&lt;D xsi:type="xsd:double"&gt;3208&lt;/D&gt;&lt;/FQL&gt;&lt;FQL&gt;&lt;Q&gt;Ticker0024^FE_ESTIMATE(PRODLINE_EBIT_16,MEAN,QUARTERLY_ROLL,2019/2F,45769,,,'')&lt;/Q&gt;&lt;R&gt;1&lt;/R&gt;&lt;C&gt;1&lt;/C&gt;&lt;D xsi:type="xsd:double"&gt;3278.75&lt;/D&gt;&lt;/FQL&gt;&lt;FQL&gt;&lt;Q&gt;Ticker0024^FE_ESTIMATE(PRODLINE_EBIT_16,MEAN,QUARTERLY_ROLL,2019/1F,45769,,,'')&lt;/Q&gt;&lt;R&gt;1&lt;/R&gt;&lt;C&gt;1&lt;/C&gt;&lt;D xsi:type="xsd:double"&gt;2931&lt;/D&gt;&lt;/FQL&gt;&lt;FQL&gt;&lt;Q&gt;Ticker0024^FE_ESTIMATE(PRODLINE_EBIT_16,MEAN,ANNUAL_ROLL,2018,45769,,,'')&lt;/Q&gt;&lt;R&gt;1&lt;/R&gt;&lt;C&gt;1&lt;/C&gt;&lt;D xsi:type="xsd:double"&gt;11524&lt;/D&gt;&lt;/FQL&gt;&lt;FQL&gt;&lt;Q&gt;Ticker0024^FE_ESTIMATE(PRODLINE_EBIT_16,MEAN,QUARTERLY_ROLL,2018/4F,45769,,,'')&lt;/Q&gt;&lt;R&gt;1&lt;/R&gt;&lt;C&gt;1&lt;/C&gt;&lt;D xsi:type="xsd:double"&gt;3901&lt;/D&gt;&lt;/FQL&gt;&lt;FQL&gt;&lt;Q&gt;Ticker0024^FE_ESTIMATE(PRODLINE_EBIT_16,MEAN,QUARTERLY_ROLL,2018/3F,45769,,,'')&lt;/Q&gt;&lt;R&gt;1&lt;/R&gt;&lt;C&gt;1&lt;/C&gt;&lt;D xsi:type="xsd:double"&gt;2654&lt;/D&gt;&lt;/FQL&gt;&lt;FQL&gt;&lt;Q&gt;Ticker0024^FE_ESTIMATE(PRODLINE_EBIT_16,MEAN,QUARTERLY_ROLL,2018/2F,45769,,,'')&lt;/Q&gt;&lt;R&gt;1&lt;/R&gt;&lt;C&gt;1&lt;/C&gt;&lt;D xsi:type="xsd:double"&gt;2832&lt;/D&gt;&lt;/FQL&gt;&lt;FQL&gt;&lt;Q&gt;Ticker0024^FE_ESTIMATE(PRODLINE_EBIT_16,MEAN,QUARTERLY_ROLL,2018/1F,45769,,,'')&lt;/Q&gt;&lt;R&gt;1&lt;/R&gt;&lt;C&gt;1&lt;/C&gt;&lt;D xsi:type="xsd:double"&gt;2137&lt;/D&gt;&lt;/FQL&gt;&lt;FQL&gt;&lt;Q&gt;Ticker0024^FE_ESTIMATE(PRODLINE_EBIT_16,MEAN,ANNUAL_ROLL,2017,45769,,,'')&lt;/Q&gt;&lt;R&gt;1&lt;/R&gt;&lt;C&gt;1&lt;/C&gt;&lt;D xsi:type="xsd:double"&gt;9138&lt;/D&gt;&lt;/FQL&gt;&lt;FQL&gt;&lt;Q&gt;Ticker0024^FE_ESTIMATE(PRODLINE_EBIT_16,MEAN,QUARTERLY_ROLL,2017/4F,45769,,,'')&lt;/Q&gt;&lt;R&gt;1&lt;/R&gt;&lt;C&gt;1&lt;/C&gt;&lt;D xsi:type="xsd:double"&gt;2501&lt;/D&gt;&lt;/FQL&gt;&lt;FQL&gt;&lt;Q&gt;Ticker0024^FE_ESTIMATE(PRODLINE_EBIT_16,MEAN,QUARTERLY_ROLL,2017/3F,45769,,,'')&lt;/Q&gt;&lt;R&gt;1&lt;/R&gt;&lt;C&gt;1&lt;/C&gt;&lt;D xsi:type="xsd:double"&gt;2181&lt;/D&gt;&lt;/FQL&gt;&lt;FQL&gt;&lt;Q&gt;Ticker0024^FE_ESTIMATE(PRODLINE_EBIT_16,MEAN,QUARTERLY_ROLL,2017/2F,45769,,,'')&lt;/Q&gt;&lt;R&gt;1&lt;/R&gt;&lt;C&gt;1&lt;/C&gt;&lt;D xsi:type="xsd:double"&gt;2398&lt;/D&gt;&lt;/FQL&gt;&lt;FQL&gt;&lt;Q&gt;Ticker0024^FE_ESTIMATE(PRODLINE_EBIT_16,MEAN,QUARTERLY_ROLL,2017/1F,45769,,,'')&lt;/Q&gt;&lt;R&gt;1&lt;/R&gt;&lt;C&gt;1&lt;/C&gt;&lt;D xsi:type="xsd:double"&gt;2058&lt;/D&gt;&lt;/FQL&gt;&lt;FQL&gt;&lt;Q&gt;Ticker0024^FE_ESTIMATE(PRODLINE_EBIT_16,MEAN,ANNUAL_ROLL,2016,45769,,,'')&lt;/Q&gt;&lt;R&gt;1&lt;/R&gt;&lt;C&gt;1&lt;/C&gt;&lt;D xsi:type="xsd:double"&gt;9357&lt;/D&gt;&lt;/FQL&gt;&lt;FQL&gt;&lt;Q&gt;Ticker0024^FE_ESTIMATE(PRODLINE_EBIT_16,MEAN,QUARTERLY_ROLL,2016/4F,45769,,,'')&lt;/Q&gt;&lt;R&gt;1&lt;/R&gt;&lt;C&gt;1&lt;/C&gt;&lt;D xsi:type="xsd:double"&gt;2190&lt;/D&gt;&lt;/FQL&gt;&lt;FQL&gt;&lt;Q&gt;Ticker0024^FE_ESTIMATE(PRODLINE_EBIT_16,MEAN,QUARTERLY_ROLL,2016/3F,45769,,,'')&lt;/Q&gt;&lt;R&gt;1&lt;/R&gt;&lt;C&gt;1&lt;/C&gt;&lt;D xsi:type="xsd:double"&gt;2188&lt;/D&gt;&lt;/FQL&gt;&lt;FQL&gt;&lt;Q&gt;Ticker0024^FE_ESTIMATE(PRODLINE_EBIT_16,MEAN,QUARTERLY_ROLL,2016/2F,45769,,,'')&lt;/Q&gt;&lt;R&gt;0&lt;/R&gt;&lt;C&gt;0&lt;/C&gt;&lt;/FQL&gt;&lt;FQL&gt;&lt;Q&gt;Ticker0024^FE_ESTIMATE(PRODLINE_EBIT_16,MEAN,QUARTERLY_ROLL,2016/1F,45769,,,'')&lt;/Q&gt;&lt;R&gt;0&lt;/R&gt;&lt;C&gt;0&lt;/C&gt;&lt;/FQL&gt;&lt;FQL&gt;&lt;Q&gt;Ticker0024^FE_ESTIMATE(PRODLINE_EBIT_16,MEAN,ANNUAL_ROLL,2015,45769,,,'')&lt;/Q&gt;&lt;R&gt;0&lt;/R&gt;&lt;C&gt;0&lt;/C&gt;&lt;/FQL&gt;&lt;FQL&gt;&lt;Q&gt;Ticker0024^FE_ESTIMATE(PRODLINE_EBIT_16,MEAN,QUARTERLY_ROLL,2015/4F,45769,,,'')&lt;/Q&gt;&lt;R&gt;0&lt;/R&gt;&lt;C&gt;0&lt;/C&gt;&lt;/FQL&gt;&lt;FQL&gt;&lt;Q&gt;Ticker0024^FE_ESTIMATE(PRODLINE_EBIT_16,MEAN,QUARTERLY_ROLL,2015/3F,45769,,,'')&lt;/Q&gt;&lt;R&gt;0&lt;/R&gt;&lt;C&gt;0&lt;/C&gt;&lt;/FQL&gt;&lt;FQL&gt;&lt;Q&gt;Ticker0024^FE_ESTIMATE(PRODLINE_EBIT_16,MEAN,QUARTERLY_ROLL,2015/2F,45769,,,'')&lt;/Q&gt;&lt;R&gt;0&lt;/R&gt;&lt;C&gt;0&lt;/C&gt;&lt;/FQL&gt;&lt;FQL&gt;&lt;Q&gt;Ticker0024^FE_ESTIMATE(PRODLINE_EBIT_16,MEAN,QUARTERLY_ROLL,2015/1F,45769,,,'')&lt;/Q&gt;&lt;R&gt;0&lt;/R&gt;&lt;C&gt;0&lt;/C&gt;&lt;/FQL&gt;&lt;FQL&gt;&lt;Q&gt;Ticker0024^FE_ESTIMATE(PRODLINE_EBIT_15,MEAN,ANNUAL_ROLL,2030,45769,,,'')&lt;/Q&gt;&lt;R&gt;0&lt;/R&gt;&lt;C&gt;0&lt;/C&gt;&lt;/FQL&gt;&lt;FQL&gt;&lt;Q&gt;Ticker0024^FE_ESTIMATE(PRODLINE_EBIT_15,MEAN,QUARTERLY_ROLL,2030/4F,45769,,,'')&lt;/Q&gt;&lt;R&gt;0&lt;/R&gt;&lt;C&gt;0&lt;/C&gt;&lt;/FQL&gt;&lt;FQL&gt;&lt;Q&gt;Ticker0024^FE_ESTIMATE(PRODLINE_EBIT_15,MEAN,QUARTERLY_ROLL,2030/3F,45769,,,'')&lt;/Q&gt;&lt;R&gt;0&lt;/R&gt;&lt;C&gt;0&lt;/C&gt;&lt;/FQL&gt;&lt;FQL&gt;&lt;Q&gt;Ticker0024^FE_ESTIMATE(PRODLINE_EBIT_15,MEAN,QUARTERLY_ROLL,2030/2F,45769,,,'')&lt;/Q&gt;&lt;R&gt;0&lt;/R&gt;&lt;C&gt;0&lt;/C&gt;&lt;/FQL&gt;&lt;FQL&gt;&lt;Q&gt;Ticker0024^FE_ESTIMATE(PRODLINE_EBIT_15,MEAN,QUARTERLY_ROLL,2030/1F,45769,,,'')&lt;/Q&gt;&lt;R&gt;0&lt;/R&gt;&lt;C&gt;0&lt;/C&gt;&lt;/FQL&gt;&lt;FQL&gt;&lt;Q&gt;Ticker0024^FE_ESTIMATE(PRODLINE_EBIT_15,MEAN,ANNUAL_ROLL,2029,45769,,,'')&lt;/Q&gt;&lt;R&gt;0&lt;/R&gt;&lt;C&gt;0&lt;/C&gt;&lt;/FQL&gt;&lt;FQL&gt;&lt;Q&gt;Ticker0024^FE_ESTIMATE(PRODLINE_EBIT_15,MEAN,QUARTERLY_ROLL,2029/4F,45769,,,'')&lt;/Q&gt;&lt;R&gt;0&lt;/R&gt;&lt;C&gt;0&lt;/C&gt;&lt;/FQL&gt;&lt;FQL&gt;&lt;Q&gt;Ticker0024^FE_ESTIMATE(PRODLINE_EBIT_15,MEAN,QUARTERLY_ROLL,2029/3F,45769,,,'')&lt;/Q&gt;&lt;R&gt;0&lt;/R&gt;&lt;C&gt;0&lt;/C&gt;&lt;/FQL&gt;&lt;FQL&gt;&lt;Q&gt;Ticker0024^FE_ESTIMATE(PRODLINE_EBIT_15,MEAN,QUARTERLY_ROLL,2029/2F,45769,,,'')&lt;/Q&gt;&lt;R&gt;0&lt;/R&gt;&lt;C&gt;0&lt;/C&gt;&lt;/FQL&gt;&lt;FQL&gt;&lt;Q&gt;Ticker0024^FE_ESTIMATE(PRODLINE_EBIT_15,MEAN,QUARTERLY_ROLL,2029/1F,45769,,,'')&lt;/Q&gt;&lt;R&gt;0&lt;/R&gt;&lt;C&gt;0&lt;/C&gt;&lt;/FQL&gt;&lt;FQL&gt;&lt;Q&gt;Ticker0024^FE_ESTIMATE(PRODLINE_EBIT_15,MEAN,ANNUAL_ROLL,2028,45769,,,'')&lt;/Q&gt;&lt;R&gt;1&lt;/R&gt;&lt;C&gt;1&lt;/C&gt;&lt;D xsi:type="xsd:double"&gt;75505&lt;/D&gt;&lt;/FQL&gt;&lt;FQL&gt;&lt;Q&gt;Ticker0024^FE_ESTIMATE(PRODLINE_EBIT_15,MEAN,QUARTERLY_ROLL,2028/4F,45769,,,'')&lt;/Q&gt;&lt;R&gt;0&lt;/R&gt;&lt;C&gt;0&lt;/C&gt;&lt;/FQL&gt;&lt;FQL&gt;&lt;Q&gt;Ticker0024^FE_ESTIMATE(PRODLINE_EBIT_15,MEAN,QUARTERLY_ROLL,2028/3F,45769,,,'')&lt;/Q&gt;&lt;R&gt;0&lt;/R&gt;&lt;C&gt;0&lt;/C&gt;&lt;/FQL&gt;&lt;FQL&gt;&lt;Q&gt;Ticker0024^FE_ESTIMATE(PRODLINE_EBIT_15,MEAN,QUARTERLY_ROLL,2028/2F,45769,,,'')&lt;/Q&gt;&lt;R&gt;0&lt;/R&gt;&lt;C&gt;0&lt;/C&gt;&lt;/FQL&gt;&lt;FQL&gt;&lt;Q&gt;Ticker0024^FE_ESTIMATE(PRODLINE_EBIT_15,MEAN,QUARTERLY_ROLL,2028/1F,45769,,,'')&lt;/Q&gt;&lt;R&gt;0&lt;/R&gt;&lt;C&gt;0&lt;/C&gt;&lt;/FQL&gt;&lt;FQL&gt;&lt;Q&gt;Ticker0024^FE_ESTIMATE(PRODLINE_EBIT_15,MEAN,ANNUAL_ROLL,2027,45769,,,'')&lt;/Q&gt;&lt;R&gt;1&lt;/R&gt;&lt;C&gt;1&lt;/C&gt;&lt;D xsi:type="xsd:double"&gt;77870.336&lt;/D&gt;&lt;/FQL&gt;&lt;FQL&gt;&lt;Q&gt;Ticker0024^FE_ESTIMATE(PRODLINE_EBIT_15,MEAN,QUARTERLY_ROLL,2027/4F,45769,,,'')&lt;/Q&gt;&lt;R&gt;0&lt;/R&gt;&lt;C&gt;0&lt;/C&gt;&lt;/FQL&gt;&lt;FQL&gt;&lt;Q&gt;Ticker0024^FE_ESTIMATE(PRODLINE_EBIT_15,MEAN,QUARTERLY_ROLL,2027/3F,45769,,,'')&lt;/Q&gt;&lt;R&gt;0&lt;/R&gt;&lt;C&gt;0&lt;/C&gt;&lt;/FQL&gt;&lt;FQL&gt;&lt;Q&gt;Ticker0024^FE_ESTIMATE(PRODLINE_EBIT_15,MEAN,QUARTERLY_ROLL,2027/2F,45769,,,'')&lt;/Q&gt;&lt;R&gt;0&lt;/R&gt;&lt;C&gt;0&lt;/C&gt;&lt;/FQL&gt;&lt;FQL&gt;&lt;Q&gt;Ticker0024^FE_ESTIMATE(PRODLINE_EBIT_15,MEAN,QUARTERLY_ROLL,2027/1F,45769,,,'')&lt;/Q&gt;&lt;R&gt;0&lt;/R&gt;&lt;C&gt;0&lt;/C&gt;&lt;/FQL&gt;&lt;FQL&gt;&lt;Q&gt;Ticker0024^FE_ESTIMATE(PRODLINE_EBIT_15,MEAN,ANNUAL_ROLL,2026,45769,,,'')&lt;/Q&gt;&lt;R&gt;1&lt;/R&gt;&lt;C&gt;1&lt;/C&gt;&lt;D xsi:type="xsd:double"&gt;65629.75&lt;/D&gt;&lt;/FQL&gt;&lt;FQL&gt;&lt;Q&gt;Ticker0024^FE_ESTIMATE(PRODLINE_EBIT_15,MEAN,QUARTERLY_ROLL,2026/4F,45769,,,'')&lt;/Q&gt;&lt;R&gt;1&lt;/R&gt;&lt;C&gt;1&lt;/C&gt;&lt;D xsi:type="xsd:double"&gt;16687.334&lt;/D&gt;&lt;/FQL&gt;&lt;FQL&gt;&lt;Q&gt;Ticker0024^FE_ESTIMATE(PRODLINE_EBIT_15,MEAN,QUARTERLY_ROLL,2026/3F,45769,,,'')&lt;/Q&gt;&lt;R&gt;1&lt;/R&gt;&lt;C&gt;1&lt;/C&gt;&lt;D xsi:type="xsd:double"&gt;15999.333&lt;/D&gt;&lt;/FQL&gt;&lt;FQL&gt;&lt;Q&gt;Ticker0024^FE_ESTIMATE(PRODLINE_EBIT_15,MEAN,QUARTERLY_ROLL,2026/2F,45769,,,'')&lt;/Q&gt;&lt;R&gt;1&lt;/R&gt;&lt;C&gt;1&lt;/C&gt;&lt;D xsi:type="xsd:double"&gt;16563.334&lt;/D&gt;&lt;/FQL&gt;&lt;FQL&gt;&lt;Q&gt;Ticker0024^FE_ESTIMATE(PRODLINE_EBIT_15,MEAN,QUARTERLY_ROLL,2026/1F,45769,,,'')&lt;/Q&gt;&lt;R&gt;1&lt;/R&gt;&lt;C&gt;1&lt;/C&gt;&lt;D xsi:type="xsd:double"&gt;16066&lt;/D&gt;&lt;/FQL&gt;&lt;FQL&gt;&lt;Q&gt;Ticker0024^FE_ESTIMATE(PRODLINE_EBIT_15,MEAN,ANNUAL_ROLL,2025,45769,,,'')&lt;/Q&gt;&lt;R&gt;1&lt;/R&gt;&lt;C&gt;1&lt;/C&gt;&lt;D xsi:type="xsd:double"&gt;61515.2&lt;/D&gt;&lt;/FQL&gt;&lt;FQL&gt;&lt;Q&gt;Ticker0024^FE_ESTIMATE(PRODLINE_EBIT_15,MEAN,QUARTERLY_ROLL,2025/4F,45769,,,'')&lt;/Q&gt;&lt;R&gt;1&lt;/R&gt;&lt;C&gt;1&lt;/C&gt;&lt;D xsi:type="xsd:double"&gt;15298.8&lt;/D&gt;&lt;/FQL&gt;&lt;FQL&gt;&lt;Q&gt;Ticker0024^FE_ESTIMATE(PRODLINE_EBIT_15,MEAN,QUARTERLY_ROLL,2025/3F,45769,,,'')&lt;/Q&gt;&lt;R&gt;1&lt;/R&gt;&lt;C&gt;1&lt;/C&gt;&lt;D xsi:type="xsd:double"&gt;15000.4&lt;/D&gt;&lt;/FQL&gt;&lt;FQL&gt;&lt;Q&gt;Ticker0024^FE_ESTIMATE(PRODLINE_EBIT_15,MEAN,QUARTERLY_ROLL,2025/2F,45769,,,'')&lt;/Q&gt;&lt;R&gt;1&lt;/R&gt;&lt;C&gt;1&lt;/C&gt;&lt;D xsi:type="xsd:double"&gt;15766.4&lt;/D&gt;&lt;/FQL&gt;&lt;FQL&gt;&lt;Q&gt;Ticker0024^FE_ESTIMATE(PRODLINE_EBIT_15,MEAN,QUARTERLY_ROLL,2025/1F,45769,,,'')&lt;/Q&gt;&lt;R&gt;1&lt;/R&gt;&lt;C&gt;1&lt;/C&gt;&lt;D xsi:type="xsd:double"&gt;15451.8&lt;/D&gt;&lt;/FQL&gt;&lt;FQL&gt;&lt;Q&gt;Ticker0024^FE_ESTIMATE(PRODLINE_EBIT_15,MEAN,ANNUAL_ROLL,2024,45769,,,'')&lt;/Q&gt;&lt;R&gt;1&lt;/R&gt;&lt;C&gt;1&lt;/C&gt;&lt;D xsi:type="xsd:double"&gt;40540&lt;/D&gt;&lt;/FQL&gt;&lt;FQL&gt;&lt;Q&gt;Ticker0024^FE_ESTIMATE(PRODLINE_EBIT_15,MEAN,QUARTERLY_ROLL,2024/4F,45769,,,'')&lt;/Q&gt;&lt;R&gt;1&lt;/R&gt;&lt;C&gt;1&lt;/C&gt;&lt;D xsi:type="xsd:double"&gt;10142.4&lt;/D&gt;&lt;/FQL&gt;&lt;FQL&gt;&lt;Q&gt;Ticker0024^FE_ESTIMATE(PRODLINE_EBIT_15,MEAN,QUARTERLY_ROLL,2024/3F,45769,,,'')&lt;/Q&gt;&lt;R&gt;1&lt;/R&gt;&lt;C&gt;1&lt;/C&gt;&lt;D xsi:type="xsd:double"&gt;10142.571&lt;/D&gt;&lt;/FQL&gt;&lt;FQL&gt;&lt;Q&gt;Ticker0024^FE_ESTIMATE(PRODLINE_EBIT_15,MEAN,QUARTERLY_ROLL,2024/2F,45769,,,'')&lt;/Q&gt;&lt;R&gt;1&lt;/R&gt;&lt;C&gt;1&lt;/C&gt;&lt;D xsi:type="xsd:double"&gt;10283.333&lt;/D&gt;&lt;/FQL&gt;&lt;FQL&gt;&lt;Q&gt;Ticker0024^FE_ESTIMATE(PRODLINE_EBIT_15,MEAN,QUARTERLY_ROLL,2024/1F,45769,,,'')&lt;/Q&gt;&lt;R&gt;1&lt;/R&gt;&lt;C&gt;1&lt;/C&gt;&lt;D xsi:type="xsd:double"&gt;9970&lt;/D&gt;&lt;/FQL&gt;&lt;FQL&gt;&lt;Q&gt;Ticker0024^FE_ESTIMATE(PRODLINE_EBIT_15,MEAN,ANNUAL_ROLL,2023,45769,,,'')&lt;/Q&gt;&lt;R&gt;1&lt;/R&gt;&lt;C&gt;1&lt;/C&gt;&lt;D xsi:type="xsd:double"&gt;34189.4&lt;/D&gt;&lt;/FQL&gt;&lt;FQL&gt;&lt;Q&gt;Ticker0024^FE_ESTIMATE(PRODLINE_EBIT_15,MEAN,QUARTERLY_ROLL,2023/4F,45769,,,'')&lt;/Q&gt;&lt;R&gt;1&lt;/R&gt;&lt;C&gt;1&lt;/C&gt;&lt;D xsi:type="xsd:double"&gt;9051.6&lt;/D&gt;&lt;/FQL&gt;&lt;FQL&gt;&lt;Q&gt;Ticker0024^FE_ESTIMATE(PRODLINE_EBIT_15,MEAN,QUARTERLY_ROLL,2023/3F,45769,,,'')&lt;/Q&gt;&lt;R&gt;1&lt;/R&gt;&lt;C&gt;1&lt;/C&gt;&lt;D xsi:type="xsd:double"&gt;8639.2&lt;/D&gt;&lt;/FQL&gt;&lt;FQL&gt;&lt;Q&gt;Ticker0024^FE_ESTIMATE(PRODLINE_EBIT_15,MEAN,QUARTERLY_ROLL,2023/2F,45769,,,'')&lt;/Q&gt;&lt;R&gt;1&lt;/R&gt;&lt;C&gt;1&lt;/C&gt;&lt;D xsi:type="xsd:double"&gt;8176&lt;/D&gt;&lt;/FQL&gt;&lt;FQL&gt;&lt;Q&gt;Ticker0024^FE_ESTIMATE(PRODLINE_EBIT_15,MEAN,QUARTERLY_ROLL,2023/1F,45769,,,'')&lt;/Q&gt;&lt;R&gt;1&lt;/R&gt;&lt;C&gt;1&lt;/C&gt;&lt;D xsi:type="xsd:double"&gt;8322.4&lt;/D&gt;&lt;/FQL&gt;&lt;FQL&gt;&lt;Q&gt;Ticker0024^FE_ESTIMATE(PRODLINE_EBIT_15,MEAN,ANNUAL_ROLL,2022,45769,,,'')&lt;/Q&gt;&lt;R&gt;1&lt;/R&gt;&lt;C&gt;1&lt;/C&gt;&lt;D xsi:type="xsd:double"&gt;29685&lt;/D&gt;&lt;/FQL&gt;&lt;FQL&gt;&lt;Q&gt;Ticker0024^FE_ESTIMATE(PRODLINE_EBIT_15,MEAN,QUARTERLY_ROLL,2022/4F,45769,,,'')&lt;/Q&gt;&lt;R&gt;1&lt;/R&gt;&lt;C&gt;1&lt;/C&gt;&lt;D xsi:type="xsd:double"&gt;7232&lt;/D&gt;&lt;/FQL&gt;&lt;FQL&gt;&lt;Q&gt;Ticker0024^FE_ESTIMATE(PRODLINE_EBIT_15,MEAN,QUARTERLY_ROLL,2022/3F,45769,,,'')&lt;/Q&gt;&lt;R&gt;1&lt;/R&gt;&lt;C&gt;1&lt;/C&gt;&lt;D xsi:type="xsd:double"&gt;7184&lt;/D&gt;&lt;/FQL&gt;&lt;FQL&gt;&lt;Q&gt;Ticker0024^FE_ESTIMATE(PRODLINE_EBIT_15,MEAN,QUARTERLY_ROLL,2022/2F,45769,,,'')&lt;/Q&gt;&lt;R&gt;1&lt;/R&gt;&lt;C&gt;1&lt;/C&gt;&lt;D xsi:type="xsd:double"&gt;7688&lt;/D&gt;&lt;/FQL&gt;&lt;FQL&gt;&lt;Q&gt;Ticker0024^FE_ESTIMATE(PRODLINE_EBIT_15,MEAN,QUARTERLY_ROLL,2022/1F,45769,,,'')&lt;/Q&gt;&lt;R&gt;1&lt;/R&gt;&lt;C&gt;1&lt;/C&gt;&lt;D xsi:type="xsd:double"&gt;7581&lt;/D&gt;&lt;/FQL&gt;&lt;FQL&gt;&lt;Q&gt;Ticker0024^FE_ESTIMATE(PRODLINE_EBIT_15,MEAN,ANNUAL_ROLL,2021,45769,,,'')&lt;/Q&gt;&lt;R&gt;1&lt;/R&gt;&lt;C&gt;1&lt;/C&gt;&lt;D xsi:type="xsd:double"&gt;24351&lt;/D&gt;&lt;/FQL&gt;&lt;FQL&gt;&lt;Q&gt;Ticker0024^FE_ESTIMATE(PRODLINE_EBIT_15,MEAN,QUARTERLY_ROLL,2021/4F,45769,,,'')&lt;/Q&gt;&lt;R&gt;1&lt;/R&gt;&lt;C&gt;1&lt;/C&gt;&lt;D xsi:type="xsd:double"&gt;6435&lt;/D&gt;&lt;/FQL&gt;&lt;FQL&gt;&lt;Q&gt;Ticker0024^FE_ESTIMATE(PRODLINE_EBIT_15,MEAN,QUARTERLY_ROLL,2021/3F,45769,,,'')&lt;/Q&gt;&lt;R&gt;1&lt;/R&gt;&lt;C&gt;1&lt;/C&gt;&lt;D xsi:type="xsd:double"&gt;6029&lt;/D&gt;&lt;/FQL&gt;&lt;FQL&gt;&lt;Q&gt;Ticker0024^FE_ESTIMATE(PRODLINE_EBIT_15,MEAN,QUARTERLY_ROLL,2021/2F,45769,,,'')&lt;/Q&gt;&lt;R&gt;1&lt;/R&gt;&lt;C&gt;1&lt;/C&gt;&lt;D xsi:type="xsd:double"&gt;6179.6665&lt;/D&gt;&lt;/FQL&gt;&lt;FQL&gt;&lt;Q&gt;Ticker0024^FE_ESTIMATE(PRODLINE_EBIT_15,MEAN,QUARTERLY_ROLL,2021/1F,45769,,,'')&lt;/Q&gt;&lt;R&gt;1&lt;/R&gt;&lt;C&gt;1&lt;/C&gt;&lt;D xsi:type="xsd:double"&gt;5706&lt;/D&gt;&lt;/FQL&gt;&lt;FQL&gt;&lt;Q&gt;Ticker0024^FE_ESTIMATE(PRODLINE_EBIT_15,MEAN,ANNUAL_ROLL,2020,45769,,,'')&lt;/Q&gt;&lt;R&gt;1&lt;/R&gt;&lt;C&gt;1&lt;/C&gt;&lt;D xsi:type="xsd:double"&gt;18781&lt;/D&gt;&lt;/FQL&gt;&lt;FQL&gt;&lt;Q&gt;Ticker0024^FE_ESTIMATE(PRODLINE_EBIT_15,MEAN,QUARTERLY_ROLL,2020/4F,45769,,,'')&lt;/Q&gt;&lt;R&gt;1&lt;/R&gt;&lt;C&gt;1&lt;/C&gt;&lt;D xsi:type="xsd:double"&gt;4029&lt;/D&gt;&lt;/FQL&gt;&lt;FQL&gt;&lt;Q&gt;Ticker0024^FE_ESTIMATE(PRODLINE_EBIT_15,MEAN,QUARTERLY_ROLL,2020/3F,45769,,,'')&lt;/Q&gt;&lt;R&gt;1&lt;/R&gt;&lt;C&gt;1&lt;/C&gt;&lt;D xsi:type="xsd:double"&gt;4788&lt;/D&gt;&lt;/FQL&gt;&lt;FQL&gt;&lt;Q&gt;Ticker0024^FE_ESTIMATE(PRODLINE_EBIT_15,MEAN,QUARTERLY_ROLL,2020/2F,45769,,,'')&lt;/Q&gt;&lt;R&gt;1&lt;/R&gt;&lt;C&gt;1&lt;/C&gt;&lt;D xsi:type="xsd:double"&gt;5182&lt;/D&gt;&lt;/FQL&gt;&lt;FQL&gt;&lt;Q&gt;Ticker0024^FE_ESTIMATE(PRODLINE_EBIT_15,MEAN,QUARTERLY_ROLL,2020/1F,45769,,,'')&lt;/Q&gt;&lt;R&gt;1&lt;/R&gt;&lt;C&gt;1&lt;/C&gt;&lt;D xsi:type="xsd:double"&gt;4782&lt;/D&gt;&lt;/FQL&gt;&lt;FQL&gt;&lt;Q&gt;Ticker0024^FE_ESTIMATE(PRODLINE_EBIT_15,MEAN,ANNUAL_ROLL,2019,45769,,,'')&lt;/Q&gt;&lt;R&gt;1&lt;/R&gt;&lt;C&gt;1&lt;/C&gt;&lt;D xsi:type="xsd:double"&gt;16219&lt;/D&gt;&lt;/FQL&gt;&lt;FQL&gt;&lt;Q&gt;Ticker0024^FE_ESTIMATE(PRODLINE_EBIT_15,MEAN,QUARTERLY_ROLL,2019/4F,45769,,,'')&lt;/Q&gt;&lt;R&gt;1&lt;/R&gt;&lt;C&gt;1&lt;/C&gt;&lt;D xsi:type="xsd:double"&gt;4344&lt;/D&gt;&lt;/FQL&gt;&lt;FQL&gt;&lt;Q&gt;Ticker0024^FE_ESTIMATE(PRODLINE_EBIT_15,MEAN,QUARTERLY_ROLL,2019/3F,45769,,,'')&lt;/Q&gt;&lt;R&gt;1&lt;/R&gt;&lt;C&gt;1&lt;/C&gt;&lt;D xsi:type="xsd:double"&gt;3979&lt;/D&gt;&lt;/FQL&gt;&lt;FQL&gt;&lt;Q&gt;Ticker0024^FE_ESTIMATE(PRODLINE_EBIT_15,MEAN,QUARTERLY_ROLL,2019/2F,45769,,,'')&lt;/Q&gt;&lt;R&gt;1&lt;/R&gt;&lt;C&gt;1&lt;/C&gt;&lt;D xsi:type="xsd:double"&gt;4013.75&lt;/D&gt;&lt;/FQL&gt;&lt;FQL&gt;&lt;Q&gt;Ticker0024^FE_ESTIMATE(PRODLINE_EBIT_15,MEAN,QUARTERLY_ROLL,2019/1F,45769,,,'')&lt;/Q&gt;&lt;R&gt;1&lt;/R&gt;&lt;C&gt;1&lt;/C&gt;&lt;D xsi:type="xsd:double"&gt;3881&lt;/D&gt;&lt;/FQL&gt;&lt;FQL&gt;&lt;Q&gt;Ticker0024^FE_ESTIMATE(PRODLINE_EBIT_15,MEAN,ANNUAL_ROLL,2018,45769,,,'')&lt;/Q&gt;&lt;R&gt;1&lt;/R&gt;&lt;C&gt;1&lt;/C&gt;&lt;D xsi:type="xsd:double"&gt;12924&lt;/D&gt;&lt;/FQL&gt;&lt;FQL&gt;&lt;Q&gt;Ticker0024^FE_ESTIMATE(PRODLINE_EBIT_15,MEAN,QUARTERLY_ROLL,2018/4F,45769,,,'')&lt;/Q&gt;&lt;R&gt;1&lt;/R&gt;&lt;C&gt;1&lt;/C&gt;&lt;D xsi:type="xsd:double"&gt;3466&lt;/D&gt;&lt;/FQL&gt;&lt;FQL&gt;&lt;Q&gt;Ticker0024^FE_ESTIMATE(PRODLINE_EBIT_15,MEAN,QUARTERLY_ROLL,2018/3F,45769,,,'')&lt;/Q&gt;&lt;R&gt;1&lt;/R&gt;&lt;C&gt;1&lt;/C&gt;&lt;D xsi:type="xsd:double"&gt;3115&lt;/D&gt;&lt;/FQL&gt;&lt;FQL&gt;&lt;Q&gt;Ticker0024^FE_ESTIMATE(PRODLINE_EBIT_15,MEAN,QUARTERLY_ROLL,2018/2F,45769,,,'')&lt;/Q&gt;&lt;R&gt;1&lt;/R&gt;&lt;C&gt;1&lt;/C&gt;&lt;D xsi:type="xsd:double"&gt;3337&lt;/D&gt;&lt;/FQL&gt;&lt;FQL&gt;&lt;Q&gt;Ticker0024^FE_ESTIMATE(PRODLINE_EBIT_15,MEAN,QUARTERLY_ROLL,2018/1F,45769,,,'')&lt;/Q&gt;&lt;R&gt;1&lt;/R&gt;&lt;C&gt;1&lt;/C&gt;&lt;D xsi:type="xsd:double"&gt;3006&lt;/D&gt;&lt;/FQL&gt;&lt;FQL&gt;&lt;Q&gt;Ticker0024^FE_ESTIMATE(PRODLINE_EBIT_15,MEAN,ANNUAL_ROLL,2017,45769,,,'')&lt;/Q&gt;&lt;R&gt;1&lt;/R&gt;&lt;C&gt;1&lt;/C&gt;&lt;D xsi:type="xsd:double"&gt;11913&lt;/D&gt;&lt;/FQL&gt;&lt;FQL&gt;&lt;Q&gt;Ticker0024^FE_ESTIMATE(PRODLINE_EBIT_15,MEAN,QUARTERLY_ROLL,2017/4F,45769,,,'')&lt;/Q&gt;&lt;R&gt;1&lt;/R&gt;&lt;C&gt;1&lt;/C&gt;&lt;D xsi:type="xsd:double"&gt;2754&lt;/D&gt;&lt;/FQL&gt;&lt;FQL&gt;&lt;Q&gt;Ticker0024^FE_ESTIMATE(PRODLINE_EBIT_15,MEAN,QUARTERLY_ROLL,2017/3F,45769,,,'')&lt;/Q&gt;&lt;R&gt;1&lt;/R&gt;&lt;C&gt;1&lt;/C&gt;&lt;D xsi:type="xsd:double"&gt;2783&lt;/D&gt;&lt;/FQL&gt;&lt;FQL&gt;&lt;Q&gt;Ticker0024^FE_ESTIMATE(PRODLINE_EBIT_15,MEAN,QUARTERLY_ROLL,2017/2F,45769,,,'')&lt;/Q&gt;&lt;R&gt;1&lt;/R&gt;&lt;C&gt;1&lt;/C&gt;&lt;D xsi:type="xsd:double"&gt;3256&lt;/D&gt;&lt;/FQL&gt;&lt;FQL&gt;&lt;Q&gt;Ticker0024^FE_ESTIMATE(PRODLINE_EBIT_15,MEAN,QUARTERLY_ROLL,2017/1F,45769,,,'')&lt;/Q&gt;&lt;R&gt;1&lt;/R&gt;&lt;C&gt;1&lt;/C&gt;&lt;D xsi:type="xsd:double"&gt;3120&lt;/D&gt;&lt;/FQL&gt;&lt;FQL&gt;&lt;Q&gt;Ticker0024^FE_ESTIMATE(PRODLINE_EBIT_15,MEAN,ANNUAL_ROLL,2016,45769,,,'')&lt;/Q&gt;&lt;R&gt;1&lt;/R&gt;&lt;C&gt;1&lt;/C&gt;&lt;D xsi:type="xsd:double"&gt;12429&lt;/D&gt;&lt;/FQL&gt;&lt;FQL&gt;&lt;Q&gt;Ticker0024^FE_ESTIMATE(PRODLINE_EBIT_15,MEAN,QUARTERLY_ROLL,2016/4F,45769,,,'')&lt;/Q&gt;&lt;R&gt;1&lt;/R&gt;&lt;C&gt;1&lt;/C&gt;&lt;D xsi:type="xsd:double"&gt;3000&lt;/D&gt;&lt;/FQL&gt;&lt;FQL&gt;&lt;Q&gt;Ticker0024^FE_ESTIMATE(PRODLINE_EBIT_15,MEAN,QUARTERLY_ROLL,2016/3F,45769,,,'')&lt;/Q&gt;&lt;R&gt;1&lt;/R&gt;&lt;C&gt;1&lt;/C&gt;&lt;D xsi:type="xsd:double"&gt;2994&lt;/D&gt;&lt;/FQL&gt;&lt;FQL&gt;&lt;Q&gt;Ticker0024^FE_ESTIMATE(PRODLINE_EBIT_15,MEAN,QUARTERLY_ROLL,2016/2F,45769,,,'')&lt;/Q&gt;&lt;R&gt;0&lt;/R&gt;&lt;C&gt;0&lt;/C&gt;&lt;/FQL&gt;&lt;FQL&gt;&lt;Q&gt;Ticker0024^FE_ESTIMATE(PRODLINE_EBIT_15,MEAN,QUARTERLY_ROLL,2016/1F,45769,,,'')&lt;/Q&gt;&lt;R&gt;0&lt;/R&gt;&lt;C&gt;0&lt;/C&gt;&lt;/FQL&gt;&lt;FQL&gt;&lt;Q&gt;Ticker0024^FE_ESTIMATE(PRODLINE_EBIT_15,MEAN,ANNUAL_ROLL,2015,45769,,,'')&lt;/Q&gt;&lt;R&gt;0&lt;/R&gt;&lt;C&gt;0&lt;/C&gt;&lt;/FQL&gt;&lt;FQL&gt;&lt;Q&gt;Ticker0024^FE_ESTIMATE(PRODLINE_EBIT_15,MEAN,QUARTERLY_ROLL,2015/4F,45769,,,'')&lt;/Q&gt;&lt;R&gt;0&lt;/R&gt;&lt;C&gt;0&lt;/C&gt;&lt;/FQL&gt;&lt;FQL&gt;&lt;Q&gt;Ticker0024^FE_ESTIMATE(PRODLINE_EBIT_15,MEAN,QUARTERLY_ROLL,2015/3F,45769,,,'')&lt;/Q&gt;&lt;R&gt;0&lt;/R&gt;&lt;C&gt;0&lt;/C&gt;&lt;/FQL&gt;&lt;FQL&gt;&lt;Q&gt;Ticker0024^FE_ESTIMATE(PRODLINE_EBIT_15,MEAN,QUARTERLY_ROLL,2015/2F,45769,,,'')&lt;/Q&gt;&lt;R&gt;0&lt;/R&gt;&lt;C&gt;0&lt;/C&gt;&lt;/FQL&gt;&lt;FQL&gt;&lt;Q&gt;Ticker0024^FE_ESTIMATE(PRODLINE_EBIT_15,MEAN,QUARTERLY_ROLL,2015/1F,45769,,,'')&lt;/Q&gt;&lt;R&gt;0&lt;/R&gt;&lt;C&gt;0&lt;/C&gt;&lt;/FQL&gt;&lt;FQL&gt;&lt;Q&gt;Ticker0024^FE_ESTIMATE(GROSSINCOME,MEAN,ANNUAL_ROLL,2030,45769,,,'')&lt;/Q&gt;&lt;R&gt;0&lt;/R&gt;&lt;C&gt;0&lt;/C&gt;&lt;/FQL&gt;&lt;FQL&gt;&lt;Q&gt;Ticker0024^FE_ESTIMATE(GROSSINCOME,MEAN,QUARTERLY_ROLL,2030/4F,45769,,,'')&lt;/Q&gt;&lt;R&gt;0&lt;/R&gt;&lt;C&gt;0&lt;/C&gt;&lt;/FQL&gt;&lt;FQL&gt;&lt;Q&gt;Ticker0024^FE_ESTIMATE(GROSSINCOME,MEAN,QUARTERLY_ROLL,2030/3F,45769,,,'')&lt;/Q&gt;&lt;R&gt;0&lt;/R&gt;&lt;C&gt;0&lt;/C&gt;&lt;/FQL&gt;&lt;FQL&gt;&lt;Q&gt;Ticker0024^FE_ESTIMATE(GROSSINCOME,MEAN,QUARTERLY_ROLL,2030/2F,45769,,,'')&lt;/Q&gt;&lt;R&gt;0&lt;/R&gt;&lt;C&gt;0&lt;/C&gt;&lt;/FQL&gt;&lt;FQL&gt;&lt;Q&gt;Ticker0024^FE_ESTIMATE(GROSSINCOME,MEAN,QUARTERLY_ROLL,2030/1F,45769,,,'')&lt;/Q&gt;&lt;R&gt;0&lt;/R&gt;&lt;C&gt;0&lt;/C&gt;&lt;/FQL&gt;&lt;FQL&gt;&lt;</t>
        </r>
      </text>
    </comment>
    <comment ref="A31" authorId="0" shapeId="0" xr:uid="{D3CBCB5B-9430-4DCA-ADF9-5C8A019DA036}">
      <text>
        <r>
          <rPr>
            <b/>
            <sz val="9"/>
            <color indexed="81"/>
            <rFont val="Tahoma"/>
            <family val="2"/>
          </rPr>
          <t>Q&gt;Ticker0024^FE_ESTIMATE(GROSSINCOME,MEAN,ANNUAL_ROLL,2029,45769,,,'')&lt;/Q&gt;&lt;R&gt;1&lt;/R&gt;&lt;C&gt;1&lt;/C&gt;&lt;D xsi:type="xsd:double"&gt;322005&lt;/D&gt;&lt;/FQL&gt;&lt;FQL&gt;&lt;Q&gt;Ticker0024^FE_ESTIMATE(GROSSINCOME,MEAN,QUARTERLY_ROLL,2029/4F,45769,,,'')&lt;/Q&gt;&lt;R&gt;0&lt;/R&gt;&lt;C&gt;0&lt;/C&gt;&lt;/FQL&gt;&lt;FQL&gt;&lt;Q&gt;Ticker0024^FE_ESTIMATE(GROSSINCOME,MEAN,QUARTERLY_ROLL,2029/3F,45769,,,'')&lt;/Q&gt;&lt;R&gt;0&lt;/R&gt;&lt;C&gt;0&lt;/C&gt;&lt;/FQL&gt;&lt;FQL&gt;&lt;Q&gt;Ticker0024^FE_ESTIMATE(GROSSINCOME,MEAN,QUARTERLY_ROLL,2029/2F,45769,,,'')&lt;/Q&gt;&lt;R&gt;0&lt;/R&gt;&lt;C&gt;0&lt;/C&gt;&lt;/FQL&gt;&lt;FQL&gt;&lt;Q&gt;Ticker0024^FE_ESTIMATE(GROSSINCOME,MEAN,QUARTERLY_ROLL,2029/1F,45769,,,'')&lt;/Q&gt;&lt;R&gt;0&lt;/R&gt;&lt;C&gt;0&lt;/C&gt;&lt;/FQL&gt;&lt;FQL&gt;&lt;Q&gt;Ticker0024^FE_ESTIMATE(GROSSINCOME,MEAN,ANNUAL_ROLL,2028,45769,,,'')&lt;/Q&gt;&lt;R&gt;1&lt;/R&gt;&lt;C&gt;1&lt;/C&gt;&lt;D xsi:type="xsd:double"&gt;275056.56&lt;/D&gt;&lt;/FQL&gt;&lt;FQL&gt;&lt;Q&gt;Ticker0024^FE_ESTIMATE(GROSSINCOME,MEAN,QUARTERLY_ROLL,2028/4F,45769,,,'')&lt;/Q&gt;&lt;R&gt;0&lt;/R&gt;&lt;C&gt;0&lt;/C&gt;&lt;/FQL&gt;&lt;FQL&gt;&lt;Q&gt;Ticker0024^FE_ESTIMATE(GROSSINCOME,MEAN,QUARTERLY_ROLL,2028/3F,45769,,,'')&lt;/Q&gt;&lt;R&gt;0&lt;/R&gt;&lt;C&gt;0&lt;/C&gt;&lt;/FQL&gt;&lt;FQL&gt;&lt;Q&gt;Ticker0024^FE_ESTIMATE(GROSSINCOME,MEAN,QUARTERLY_ROLL,2028/2F,45769,,,'')&lt;/Q&gt;&lt;R&gt;0&lt;/R&gt;&lt;C&gt;0&lt;/C&gt;&lt;/FQL&gt;&lt;FQL&gt;&lt;Q&gt;Ticker0024^FE_ESTIMATE(GROSSINCOME,MEAN,QUARTERLY_ROLL,2028/1F,45769,,,'')&lt;/Q&gt;&lt;R&gt;0&lt;/R&gt;&lt;C&gt;0&lt;/C&gt;&lt;/FQL&gt;&lt;FQL&gt;&lt;Q&gt;Ticker0024^FE_ESTIMATE(GROSSINCOME,MEAN,ANNUAL_ROLL,2027,45769,,,'')&lt;/Q&gt;&lt;R&gt;1&lt;/R&gt;&lt;C&gt;1&lt;/C&gt;&lt;D xsi:type="xsd:double"&gt;243064.8&lt;/D&gt;&lt;/FQL&gt;&lt;FQL&gt;&lt;Q&gt;Ticker0024^FE_ESTIMATE(GROSSINCOME,MEAN,QUARTERLY_ROLL,2027/4F,45769,,,'')&lt;/Q&gt;&lt;R&gt;1&lt;/R&gt;&lt;C&gt;1&lt;/C&gt;&lt;D xsi:type="xsd:double"&gt;64327.5&lt;/D&gt;&lt;/FQL&gt;&lt;FQL&gt;&lt;Q&gt;Ticker0024^FE_ESTIMATE(GROSSINCOME,MEAN,QUARTERLY_ROLL,2027/3F,45769,,,'')&lt;/Q&gt;&lt;R&gt;1&lt;/R&gt;&lt;C&gt;1&lt;/C&gt;&lt;D xsi:type="xsd:double"&gt;59104.5&lt;/D&gt;&lt;/FQL&gt;&lt;FQL&gt;&lt;Q&gt;Ticker0024^FE_ESTIMATE(GROSSINCOME,MEAN,QUARTERLY_ROLL,2027/2F,45769,,,'')&lt;/Q&gt;&lt;R&gt;1&lt;/R&gt;&lt;C&gt;1&lt;/C&gt;&lt;D xsi:type="xsd:double"&gt;59623.668&lt;/D&gt;&lt;/FQL&gt;&lt;FQL&gt;&lt;Q&gt;Ticker0024^FE_ESTIMATE(GROSSINCOME,MEAN,QUARTERLY_ROLL,2027/1F,45769,,,'')&lt;/Q&gt;&lt;R&gt;1&lt;/R&gt;&lt;C&gt;1&lt;/C&gt;&lt;D xsi:type="xsd:double"&gt;56554&lt;/D&gt;&lt;/FQL&gt;&lt;FQL&gt;&lt;Q&gt;Ticker0024^FE_ESTIMATE(GROSSINCOME,MEAN,ANNUAL_ROLL,2026,45769,,,'')&lt;/Q&gt;&lt;R&gt;1&lt;/R&gt;&lt;C&gt;1&lt;/C&gt;&lt;D xsi:type="xsd:double"&gt;212420.95&lt;/D&gt;&lt;/FQL&gt;&lt;FQL&gt;&lt;Q&gt;Ticker0024^FE_ESTIMATE(GROSSINCOME,MEAN,QUARTERLY_ROLL,2026/4F,45769,,,'')&lt;/Q&gt;&lt;R&gt;1&lt;/R&gt;&lt;C&gt;1&lt;/C&gt;&lt;D xsi:type="xsd:double"&gt;55522.68&lt;/D&gt;&lt;/FQL&gt;&lt;FQL&gt;&lt;Q&gt;Ticker0024^FE_ESTIMATE(GROSSINCOME,MEAN,QUARTERLY_ROLL,2026/3F,45769,,,'')&lt;/Q&gt;&lt;R&gt;1&lt;/R&gt;&lt;C&gt;1&lt;/C&gt;&lt;D xsi:type="xsd:double"&gt;52472.418&lt;/D&gt;&lt;/FQL&gt;&lt;FQL&gt;&lt;Q&gt;Ticker0024^FE_ESTIMATE(GROSSINCOME,MEAN,QUARTERLY_ROLL,2026/2F,45769,,,'')&lt;/Q&gt;&lt;R&gt;1&lt;/R&gt;&lt;C&gt;1&lt;/C&gt;&lt;D xsi:type="xsd:double"&gt;52779.777&lt;/D&gt;&lt;/FQL&gt;&lt;FQL&gt;&lt;Q&gt;Ticker0024^FE_ESTIMATE(GROSSINCOME,MEAN,QUARTERLY_ROLL,2026/1F,45769,,,'')&lt;/Q&gt;&lt;R&gt;1&lt;/R&gt;&lt;C&gt;1&lt;/C&gt;&lt;D xsi:type="xsd:double"&gt;50127.355&lt;/D&gt;&lt;/FQL&gt;&lt;FQL&gt;&lt;Q&gt;Ticker0024^FE_ESTIMATE(GROSSINCOME,MEAN,ANNUAL_ROLL,2025,45769,,,'')&lt;/Q&gt;&lt;R&gt;1&lt;/R&gt;&lt;C&gt;1&lt;/C&gt;&lt;D xsi:type="xsd:double"&gt;189616.14&lt;/D&gt;&lt;/FQL&gt;&lt;FQL&gt;&lt;Q&gt;Ticker0024^FE_ESTIMATE(GROSSINCOME,MEAN,QUARTERLY_ROLL,2025/4F,45769,,,'')&lt;/Q&gt;&lt;R&gt;1&lt;/R&gt;&lt;C&gt;1&lt;/C&gt;&lt;D xsi:type="xsd:double"&gt;49291.08&lt;/D&gt;&lt;/FQL&gt;&lt;FQL&gt;&lt;Q&gt;Ticker0024^FE_ESTIMATE(GROSSINCOME,MEAN,QUARTERLY_ROLL,2025/3F,45769,,,'')&lt;/Q&gt;&lt;R&gt;1&lt;/R&gt;&lt;C&gt;1&lt;/C&gt;&lt;D xsi:type="xsd:double"&gt;46758.47&lt;/D&gt;&lt;/FQL&gt;&lt;FQL&gt;&lt;Q&gt;Ticker0024^FE_ESTIMATE(GROSSINCOME,MEAN,QUARTERLY_ROLL,2025/2F,45769,,,'')&lt;/Q&gt;&lt;R&gt;1&lt;/R&gt;&lt;C&gt;1&lt;/C&gt;&lt;D xsi:type="xsd:double"&gt;47831.8&lt;/D&gt;&lt;/FQL&gt;&lt;FQL&gt;&lt;Q&gt;Ticker0024^FE_ESTIMATE(GROSSINCOME,MEAN,QUARTERLY_ROLL,2025/1F,45769,,,'')&lt;/Q&gt;&lt;R&gt;1&lt;/R&gt;&lt;C&gt;1&lt;/C&gt;&lt;D xsi:type="xsd:double"&gt;45476.035&lt;/D&gt;&lt;/FQL&gt;&lt;FQL&gt;&lt;Q&gt;Ticker0024^FE_ESTIMATE(GROSSINCOME,MEAN,ANNUAL_ROLL,2024,45769,,,'')&lt;/Q&gt;&lt;R&gt;1&lt;/R&gt;&lt;C&gt;1&lt;/C&gt;&lt;D xsi:type="xsd:double"&gt;171008.06&lt;/D&gt;&lt;/FQL&gt;&lt;FQL&gt;&lt;Q&gt;Ticker0024^FE_ESTIMATE(GROSSINCOME,MEAN,QUARTERLY_ROLL,2024/4F,45769,,,'')&lt;/Q&gt;&lt;R&gt;1&lt;/R&gt;&lt;C&gt;1&lt;/C&gt;&lt;D xsi:type="xsd:double"&gt;45041.355&lt;/D&gt;&lt;/FQL&gt;&lt;FQL&gt;&lt;Q&gt;Ticker0024^FE_ESTIMATE(GROSSINCOME,MEAN,QUARTERLY_ROLL,2024/3F,45769,,,'')&lt;/Q&gt;&lt;R&gt;1&lt;/R&gt;&lt;C&gt;1&lt;/C&gt;&lt;D xsi:type="xsd:double"&gt;43354.293&lt;/D&gt;&lt;/FQL&gt;&lt;FQL&gt;&lt;Q&gt;Ticker0024^FE_ESTIMATE(GROSSINCOME,MEAN,QUARTERLY_ROLL,2024/2F,45769,,,'')&lt;/Q&gt;&lt;R&gt;1&lt;/R&gt;&lt;C&gt;1&lt;/C&gt;&lt;D xsi:type="xsd:double"&gt;42397.1&lt;/D&gt;&lt;/FQL&gt;&lt;FQL&gt;&lt;Q&gt;Ticker0024^FE_ESTIMATE(GROSSINCOME,MEAN,QUARTERLY_ROLL,2024/1F,45769,,,'')&lt;/Q&gt;&lt;R&gt;1&lt;/R&gt;&lt;C&gt;1&lt;/C&gt;&lt;D xsi:type="xsd:double"&gt;40215.17&lt;/D&gt;&lt;/FQL&gt;&lt;FQL&gt;&lt;Q&gt;Ticker0024^FE_ESTIMATE(GROSSINCOME,MEAN,ANNUAL_ROLL,2023,45769,,,'')&lt;/Q&gt;&lt;R&gt;1&lt;/R&gt;&lt;C&gt;1&lt;/C&gt;&lt;D xsi:type="xsd:double"&gt;146082.89&lt;/D&gt;&lt;/FQL&gt;&lt;FQL&gt;&lt;Q&gt;Ticker0024^FE_ESTIMATE(GROSSINCOME,MEAN,QUARTERLY_ROLL,2023/4F,45769,,,'')&lt;/Q&gt;&lt;R&gt;1&lt;/R&gt;&lt;C&gt;1&lt;/C&gt;&lt;D xsi:type="xsd:double"&gt;39388&lt;/D&gt;&lt;/FQL&gt;&lt;FQL&gt;&lt;Q&gt;Ticker0024^FE_ESTIMATE(GROSSINCOME,MEAN,QUARTERLY_ROLL,2023/3F,45769,,,'')&lt;/Q&gt;&lt;R&gt;1&lt;/R&gt;&lt;C&gt;1&lt;/C&gt;&lt;D xsi:type="xsd:double"&gt;36729.035&lt;/D&gt;&lt;/FQL&gt;&lt;FQL&gt;&lt;Q&gt;Ticker0024^FE_ESTIMATE(GROSSINCOME,MEAN,QUARTERLY_ROLL,2023/2F,45769,,,'')&lt;/Q&gt;&lt;R&gt;1&lt;/R&gt;&lt;C&gt;1&lt;/C&gt;&lt;D xsi:type="xsd:double"&gt;35294.117&lt;/D&gt;&lt;/FQL&gt;&lt;FQL&gt;&lt;Q&gt;Ticker0024^FE_ESTIMATE(GROSSINCOME,MEAN,QUARTERLY_ROLL,2023/1F,45769,,,'')&lt;/Q&gt;&lt;R&gt;1&lt;/R&gt;&lt;C&gt;1&lt;/C&gt;&lt;D xsi:type="xsd:double"&gt;34670&lt;/D&gt;&lt;/FQL&gt;&lt;FQL&gt;&lt;Q&gt;Ticker0024^FE_ESTIMATE(GROSSINCOME,MEAN,ANNUAL_ROLL,2022,45769,,,'')&lt;/Q&gt;&lt;R&gt;1&lt;/R&gt;&lt;C&gt;1&lt;/C&gt;&lt;D xsi:type="xsd:double"&gt;135605.53&lt;/D&gt;&lt;/FQL&gt;&lt;FQL&gt;&lt;Q&gt;Ticker0024^FE_ESTIMATE(GROSSINCOME,MEAN,QUARTERLY_ROLL,2022/4F,45769,,,'')&lt;/Q&gt;&lt;R&gt;1&lt;/R&gt;&lt;C&gt;1&lt;/C&gt;&lt;D xsi:type="xsd:double"&gt;35436&lt;/D&gt;&lt;/FQL&gt;&lt;FQL&gt;&lt;Q&gt;Ticker0024^FE_ESTIMATE(GROSSINCOME,MEAN,QUARTERLY_ROLL,2022/3F,45769,,,'')&lt;/Q&gt;&lt;R&gt;1&lt;/R&gt;&lt;C&gt;1&lt;/C&gt;&lt;D xsi:type="xsd:double"&gt;33744.957&lt;/D&gt;&lt;/FQL&gt;&lt;FQL&gt;&lt;Q&gt;Ticker0024^FE_ESTIMATE(GROSSINCOME,MEAN,QUARTERLY_ROLL,2022/2F,45769,,,'')&lt;/Q&gt;&lt;R&gt;1&lt;/R&gt;&lt;C&gt;1&lt;/C&gt;&lt;D xsi:type="xsd:double"&gt;34768&lt;/D&gt;&lt;/FQL&gt;&lt;FQL&gt;&lt;Q&gt;Ticker0024^FE_ESTIMATE(GROSSINCOME,MEAN,QUARTERLY_ROLL,2022/1F,45769,,,'')&lt;/Q&gt;&lt;R&gt;1&lt;/R&gt;&lt;C&gt;1&lt;/C&gt;&lt;D xsi:type="xsd:double"&gt;31671&lt;/D&gt;&lt;/FQL&gt;&lt;FQL&gt;&lt;Q&gt;Ticker0024^FE_ESTIMATE(GROSSINCOME,MEAN,ANNUAL_ROLL,2021,45769,,,'')&lt;/Q&gt;&lt;R&gt;1&lt;/R&gt;&lt;C&gt;1&lt;/C&gt;&lt;D xsi:type="xsd:double"&gt;115856.59&lt;/D&gt;&lt;/FQL&gt;&lt;FQL&gt;&lt;Q&gt;Ticker0024^FE_ESTIMATE(GROSSINCOME,MEAN,QUARTERLY_ROLL,2021/4F,45769,,,'')&lt;/Q&gt;&lt;R&gt;1&lt;/R&gt;&lt;C&gt;1&lt;/C&gt;&lt;D xsi:type="xsd:double"&gt;32161&lt;/D&gt;&lt;/FQL&gt;&lt;FQL&gt;&lt;Q&gt;Ticker0024^FE_ESTIMATE(GROSSINCOME,MEAN,QUARTERLY_ROLL,2021/3F,45769,,,'')&lt;/Q&gt;&lt;R&gt;1&lt;/R&gt;&lt;C&gt;1&lt;/C&gt;&lt;D xsi:type="xsd:double"&gt;28661&lt;/D&gt;&lt;/FQL&gt;&lt;FQL&gt;&lt;Q&gt;Ticker0024^FE_ESTIMATE(GROSSINCOME,MEAN,QUARTERLY_ROLL,2021/2F,45769,,,'')&lt;/Q&gt;&lt;R&gt;1&lt;/R&gt;&lt;C&gt;1&lt;/C&gt;&lt;D xsi:type="xsd:double"&gt;28882&lt;/D&gt;&lt;/FQL&gt;&lt;FQL&gt;&lt;Q&gt;Ticker0024^FE_ESTIMATE(GROSSINCOME,MEAN,QUARTERLY_ROLL,2021/1F,45769,,,'')&lt;/Q&gt;&lt;R&gt;1&lt;/R&gt;&lt;C&gt;1&lt;/C&gt;&lt;D xsi:type="xsd:double"&gt;26152&lt;/D&gt;&lt;/FQL&gt;&lt;FQL&gt;&lt;Q&gt;Ticker0024^FE_ESTIMATE(GROSSINCOME,MEAN,ANNUAL_ROLL,2020,45769,,,'')&lt;/Q&gt;&lt;R&gt;1&lt;/R&gt;&lt;C&gt;1&lt;/C&gt;&lt;D xsi:type="xsd:double"&gt;96940.4&lt;/D&gt;&lt;/FQL&gt;&lt;FQL&gt;&lt;Q&gt;Ticker0024^FE_ESTIMATE(GROSSINCOME,MEAN,QUARTERLY_ROLL,2020/4F,45769,,,'')&lt;/Q&gt;&lt;R&gt;1&lt;/R&gt;&lt;C&gt;1&lt;/C&gt;&lt;D xsi:type="xsd:double"&gt;25698.295&lt;/D&gt;&lt;/FQL&gt;&lt;FQL&gt;&lt;Q&gt;Ticker0024^FE_ESTIMATE(GROSSINCOME,MEAN,QUARTERLY_ROLL,2020/3F,45769,,,'')&lt;/Q&gt;&lt;R&gt;1&lt;/R&gt;&lt;C&gt;1&lt;/C&gt;&lt;D xsi:type="xsd:double"&gt;24046&lt;/D&gt;&lt;/FQL&gt;&lt;FQL&gt;&lt;Q&gt;Ticker0024^FE_ESTIMATE(GROSSINCOME,MEAN,QUARTERLY_ROLL,2020/2F,45769,,,'')&lt;/Q&gt;&lt;R&gt;1&lt;/R&gt;&lt;C&gt;1&lt;/C&gt;&lt;D xsi:type="xsd:double"&gt;24548&lt;/D&gt;&lt;/FQL&gt;&lt;FQL&gt;&lt;Q&gt;Ticker0024^FE_ESTIMATE(GROSSINCOME,MEAN,QUARTERLY_ROLL,2020/1F,45769,,,'')&lt;/Q&gt;&lt;R&gt;1&lt;/R&gt;&lt;C&gt;1&lt;/C&gt;&lt;D xsi:type="xsd:double"&gt;22649&lt;/D&gt;&lt;/FQL&gt;&lt;FQL&gt;&lt;Q&gt;Ticker0024^FE_ESTIMATE(GROSSINCOME,MEAN,ANNUAL_ROLL,2019,45769,,,'')&lt;/Q&gt;&lt;R&gt;1&lt;/R&gt;&lt;C&gt;1&lt;/C&gt;&lt;D xsi:type="xsd:double"&gt;82959.15&lt;/D&gt;&lt;/FQL&gt;&lt;FQL&gt;&lt;Q&gt;Ticker0024^FE_ESTIMATE(GROSSINCOME,MEAN,QUARTERLY_ROLL,2019/4F,45769,,,'')&lt;/Q&gt;&lt;R&gt;1&lt;/R&gt;&lt;C&gt;1&lt;/C&gt;&lt;D xsi:type="xsd:double"&gt;23317.578&lt;/D&gt;&lt;/FQL&gt;&lt;FQL&gt;&lt;Q&gt;Ticker0024^FE_ESTIMATE(GROSSINCOME,MEAN,QUARTERLY_ROLL,2019/3F,45769,,,'')&lt;/Q&gt;&lt;R&gt;1&lt;/R&gt;&lt;C&gt;1&lt;/C&gt;&lt;D xsi:type="xsd:double"&gt;20416&lt;/D&gt;&lt;/FQL&gt;&lt;FQL&gt;&lt;Q&gt;Ticker0024^FE_ESTIMATE(GROSSINCOME,MEAN,QUARTERLY_ROLL,2019/2F,45769,,,'')&lt;/Q&gt;&lt;R&gt;1&lt;/R&gt;&lt;C&gt;1&lt;/C&gt;&lt;D xsi:type="xsd:double"&gt;20048&lt;/D&gt;&lt;/FQL&gt;&lt;FQL&gt;&lt;Q&gt;Ticker0024^FE_ESTIMATE(GROSSINCOME,MEAN,QUARTERLY_ROLL,2019/1F,45769,,,'')&lt;/Q&gt;&lt;R&gt;1&lt;/R&gt;&lt;C&gt;1&lt;/C&gt;&lt;D xsi:type="xsd:double"&gt;19179&lt;/D&gt;&lt;/FQL&gt;&lt;FQL&gt;&lt;Q&gt;Ticker0024^FE_ESTIMATE(GROSSINCOME,MEAN,ANNUAL_ROLL,2018,45769,,,'')&lt;/Q&gt;&lt;R&gt;1&lt;/R&gt;&lt;C&gt;1&lt;/C&gt;&lt;D xsi:type="xsd:double"&gt;71970.336&lt;/D&gt;&lt;/FQL&gt;&lt;FQL&gt;&lt;Q&gt;Ticker0024^FE_ESTIMATE(GROSSINCOME,MEAN,QUARTERLY_ROLL,2018/4F,45769,,,'')&lt;/Q&gt;&lt;R&gt;1&lt;/R&gt;&lt;C&gt;1&lt;/C&gt;&lt;D xsi:type="xsd:double"&gt;20296.684&lt;/D&gt;&lt;/FQL&gt;&lt;FQL&gt;&lt;Q&gt;Ticker0024^FE_ESTIMATE(GROSSINCOME,MEAN,QUARTERLY_ROLL,2018/3F,45769,,,'')&lt;/Q&gt;&lt;R&gt;1&lt;/R&gt;&lt;C&gt;1&lt;/C&gt;&lt;D xsi:type="xsd:double"&gt;17550&lt;/D&gt;&lt;/FQL&gt;&lt;FQL&gt;&lt;Q&gt;Ticker0024^FE_ESTIMATE(GROSSINCOME,MEAN,QUARTERLY_ROLL,2018/2F,45769,,,'')&lt;/Q&gt;&lt;R&gt;1&lt;/R&gt;&lt;C&gt;1&lt;/C&gt;&lt;D xsi:type="xsd:double"&gt;17854&lt;/D&gt;&lt;/FQL&gt;&lt;FQL&gt;&lt;Q&gt;Ticker0024^FE_ESTIMATE(GROSSINCOME,MEAN,QUARTERLY_ROLL,2018/1F,45769,,,'')&lt;/Q&gt;&lt;R&gt;1&lt;/R&gt;&lt;C&gt;1&lt;/C&gt;&lt;D xsi:type="xsd:double"&gt;16264.4&lt;/D&gt;&lt;/FQL&gt;&lt;FQL&gt;&lt;Q&gt;Ticker0024^FE_ESTIMATE(GROSSINCOME,MEAN,ANNUAL_ROLL,2017,45769,,,'')&lt;/Q&gt;&lt;R&gt;1&lt;/R&gt;&lt;C&gt;1&lt;/C&gt;&lt;D xsi:type="xsd:double"&gt;62400.3&lt;/D&gt;&lt;/FQL&gt;&lt;FQL&gt;&lt;Q&gt;Ticker0024^FE_ESTIMATE(GROSSINCOME,MEAN,QUARTERLY_ROLL,2017/4F,45769,,,'')&lt;/Q&gt;&lt;R&gt;1&lt;/R&gt;&lt;C&gt;1&lt;/C&gt;&lt;D xsi:type="xsd:double"&gt;16244&lt;/D&gt;&lt;/FQL&gt;&lt;FQL&gt;&lt;Q&gt;Ticker0024^FE_ESTIMATE(GROSSINCOME,MEAN,QUARTERLY_ROLL,2017/3F,45769,,,'')&lt;/Q&gt;&lt;R&gt;1&lt;/R&gt;&lt;C&gt;1&lt;/C&gt;&lt;D xsi:type="xsd:double"&gt;15497&lt;/D&gt;&lt;/FQL&gt;&lt;FQL&gt;&lt;Q&gt;Ticker0024^FE_ESTIMATE(GROSSINCOME,MEAN,QUARTERLY_ROLL,2017/2F,45769,,,'')&lt;/Q&gt;&lt;R&gt;1&lt;/R&gt;&lt;C&gt;1&lt;/C&gt;&lt;D xsi:type="xsd:double"&gt;15990.608&lt;/D&gt;&lt;/FQL&gt;&lt;FQL&gt;&lt;Q&gt;Ticker0024^FE_ESTIMATE(GROSSINCOME,MEAN,QUARTERLY_ROLL,2017/1F,45769,,,'')&lt;/Q&gt;&lt;R&gt;1&lt;/R&gt;&lt;C&gt;1&lt;/C&gt;&lt;D xsi:type="xsd:double"&gt;14317.286&lt;/D&gt;&lt;/FQL&gt;&lt;FQL&gt;&lt;Q&gt;Ticker0024^FE_ESTIMATE(GROSSINCOME,MEAN,ANNUAL_ROLL,2016,45769,,,'')&lt;/Q&gt;&lt;R&gt;1&lt;/R&gt;&lt;C&gt;1&lt;/C&gt;&lt;D xsi:type="xsd:double"&gt;59288.41&lt;/D&gt;&lt;/FQL&gt;&lt;FQL&gt;&lt;Q&gt;Ticker0024^FE_ESTIMATE(GROSSINCOME,MEAN,QUARTERLY_ROLL,2016/4F,45769,,,'')&lt;/Q&gt;&lt;R&gt;1&lt;/R&gt;&lt;C&gt;1&lt;/C&gt;&lt;D xsi:type="xsd:double"&gt;14663&lt;/D&gt;&lt;/FQL&gt;&lt;FQL&gt;&lt;Q&gt;Ticker0024^FE_ESTIMATE(GROSSINCOME,MEAN,QUARTERLY_ROLL,2016/3F,45769,,,'')&lt;/Q&gt;&lt;R&gt;1&lt;/R&gt;&lt;C&gt;1&lt;/C&gt;&lt;D xsi:type="xsd:double"&gt;14354&lt;/D&gt;&lt;/FQL&gt;&lt;FQL&gt;&lt;Q&gt;Ticker0024^FE_ESTIMATE(GROSSINCOME,MEAN,QUARTERLY_ROLL,2016/2F,45769,,,'')&lt;/Q&gt;&lt;R&gt;1&lt;/R&gt;&lt;C&gt;1&lt;/C&gt;&lt;D xsi:type="xsd:double"&gt;15821&lt;/D&gt;&lt;/FQL&gt;&lt;FQL&gt;&lt;Q&gt;Ticker0024^FE_ESTIMATE(GROSSINCOME,MEAN,QUARTERLY_ROLL,2016/1F,45769,,,'')&lt;/Q&gt;&lt;R&gt;1&lt;/R&gt;&lt;C&gt;1&lt;/C&gt;&lt;D xsi:type="xsd:double"&gt;14452.667&lt;/D&gt;&lt;/FQL&gt;&lt;FQL&gt;&lt;Q&gt;Ticker0024^FE_ESTIMATE(GROSSINCOME,MEAN,ANNUAL_ROLL,2015,45769,,,'')&lt;/Q&gt;&lt;R&gt;1&lt;/R&gt;&lt;C&gt;1&lt;/C&gt;&lt;D xsi:type="xsd:double"&gt;60542.086&lt;/D&gt;&lt;/FQL&gt;&lt;FQL&gt;&lt;Q&gt;Ticker0024^FE_ESTIMATE(GROSSINCOME,MEAN,QUARTERLY_ROLL,2015/4F,45769,,,'')&lt;/Q&gt;&lt;R&gt;1&lt;/R&gt;&lt;C&gt;1&lt;/C&gt;&lt;D xsi:type="xsd:double"&gt;14712&lt;/D&gt;&lt;/FQL&gt;&lt;FQL&gt;&lt;Q&gt;Ticker0024^FE_ESTIMATE(GROSSINCOME,MEAN,QUARTERLY_ROLL,2015/3F,45769,,,'')&lt;/Q&gt;&lt;R&gt;1&lt;/R&gt;&lt;C&gt;1&lt;/C&gt;&lt;D xsi:type="xsd:double"&gt;14571.714&lt;/D&gt;&lt;/FQL&gt;&lt;FQL&gt;&lt;Q&gt;Ticker0024^FE_ESTIMATE(GROSSINCOME,MEAN,QUARTERLY_ROLL,2015/2F,45769,,,'')&lt;/Q&gt;&lt;R&gt;1&lt;/R&gt;&lt;C&gt;1&lt;/C&gt;&lt;D xsi:type="xsd:double"&gt;16334&lt;/D&gt;&lt;/FQL&gt;&lt;FQL&gt;&lt;Q&gt;Ticker0024^FE_ESTIMATE(GROSSINCOME,MEAN,QUARTERLY_ROLL,2015/1F,45769,,,'')&lt;/Q&gt;&lt;R&gt;1&lt;/R&gt;&lt;C&gt;1&lt;/C&gt;&lt;D xsi:type="xsd:double"&gt;14928&lt;/D&gt;&lt;/FQL&gt;&lt;FQL&gt;&lt;Q&gt;Ticker0024^FE_ESTIMATE(SALES,MEAN,ANNUAL_ROLL,2030,45769,,,'')&lt;/Q&gt;&lt;R&gt;0&lt;/R&gt;&lt;C&gt;0&lt;/C&gt;&lt;/FQL&gt;&lt;FQL&gt;&lt;Q&gt;Ticker0024^FE_ESTIMATE(SALES,MEAN,QUARTERLY_ROLL,2030/4F,45769,,,'')&lt;/Q&gt;&lt;R&gt;0&lt;/R&gt;&lt;C&gt;0&lt;/C&gt;&lt;/FQL&gt;&lt;FQL&gt;&lt;Q&gt;Ticker0024^FE_ESTIMATE(SALES,MEAN,QUARTERLY_ROLL,2030/3F,45769,,,'')&lt;/Q&gt;&lt;R&gt;0&lt;/R&gt;&lt;C&gt;0&lt;/C&gt;&lt;/FQL&gt;&lt;FQL&gt;&lt;Q&gt;Ticker0024^FE_ESTIMATE(SALES,MEAN,QUARTERLY_ROLL,2030/2F,45769,,,'')&lt;/Q&gt;&lt;R&gt;0&lt;/R&gt;&lt;C&gt;0&lt;/C&gt;&lt;/FQL&gt;&lt;FQL&gt;&lt;Q&gt;Ticker0024^FE_ESTIMATE(SALES,MEAN,QUARTERLY_ROLL,2030/1F,45769,,,'')&lt;/Q&gt;&lt;R&gt;0&lt;/R&gt;&lt;C&gt;0&lt;/C&gt;&lt;/FQL&gt;&lt;FQL&gt;&lt;Q&gt;Ticker0024^FE_ESTIMATE(SALES,MEAN,ANNUAL_ROLL,2029,45769,,,'')&lt;/Q&gt;&lt;R&gt;1&lt;/R&gt;&lt;C&gt;1&lt;/C&gt;&lt;D xsi:type="xsd:double"&gt;469313&lt;/D&gt;&lt;/FQL&gt;&lt;FQL&gt;&lt;Q&gt;Ticker0024^FE_ESTIMATE(SALES,MEAN,QUARTERLY_ROLL,2029/4F,45769,,,'')&lt;/Q&gt;&lt;R&gt;0&lt;/R&gt;&lt;C&gt;0&lt;/C&gt;&lt;/FQL&gt;&lt;FQL&gt;&lt;Q&gt;Ticker0024^FE_ESTIMATE(SALES,MEAN,QUARTERLY_ROLL,2029/3F,45769,,,'')&lt;/Q&gt;&lt;R&gt;0&lt;/R&gt;&lt;C&gt;0&lt;/C&gt;&lt;/FQL&gt;&lt;FQL&gt;&lt;Q&gt;Ticker0024^FE_ESTIMATE(SALES,MEAN,QUARTERLY_ROLL,2029/2F,45769,,,'')&lt;/Q&gt;&lt;R&gt;0&lt;/R&gt;&lt;C&gt;0&lt;/C&gt;&lt;/FQL&gt;&lt;FQL&gt;&lt;Q&gt;Ticker0024^FE_ESTIMATE(SALES,MEAN,QUARTERLY_ROLL,2029/1F,45769,,,'')&lt;/Q&gt;&lt;R&gt;0&lt;/R&gt;&lt;C&gt;0&lt;/C&gt;&lt;/FQL&gt;&lt;FQL&gt;&lt;Q&gt;Ticker0024^FE_ESTIMATE(SALES,MEAN,ANNUAL_ROLL,2028,45769,,,'')&lt;/Q&gt;&lt;R&gt;1&lt;/R&gt;&lt;C&gt;1&lt;/C&gt;&lt;D xsi:type="xsd:double"&gt;414247.25&lt;/D&gt;&lt;/FQL&gt;&lt;FQL&gt;&lt;Q&gt;Ticker0024^FE_ESTIMATE(SALES,MEAN,QUARTERLY_ROLL,2028/4F,45769,,,'')&lt;/Q&gt;&lt;R&gt;0&lt;/R&gt;&lt;C&gt;0&lt;/C&gt;&lt;/FQL&gt;&lt;FQL&gt;&lt;Q&gt;Ticker0024^FE_ESTIMATE(SALES,MEAN,QUARTERLY_ROLL,2028/3F,45769,,,'')&lt;/Q&gt;&lt;R&gt;0&lt;/R&gt;&lt;C&gt;0&lt;/C&gt;&lt;/FQL&gt;&lt;FQL&gt;&lt;Q&gt;Ticker0024^FE_ESTIMATE(SALES,MEAN,QUARTERLY_ROLL,2028/2F,45769,,,'')&lt;/Q&gt;&lt;R&gt;0&lt;/R&gt;&lt;C&gt;0&lt;/C&gt;&lt;/FQL&gt;&lt;FQL&gt;&lt;Q&gt;Ticker0024^FE_ESTIMATE(SALES,MEAN,QUARTERLY_ROLL,2028/1F,45769,,,'')&lt;/Q&gt;&lt;R&gt;0&lt;/R&gt;&lt;C&gt;0&lt;/C&gt;&lt;/FQL&gt;&lt;FQL&gt;&lt;Q&gt;Ticker0024^FE_ESTIMATE(SALES,MEAN,ANNUAL_ROLL,2027,45769,,,'')&lt;/Q&gt;&lt;R&gt;1&lt;/R&gt;&lt;C&gt;1&lt;/C&gt;&lt;D xsi:type="xsd:double"&gt;360005.94&lt;/D&gt;&lt;/FQL&gt;&lt;FQL&gt;&lt;Q&gt;Ticker0024^FE_ESTIMATE(SALES,MEAN,QUARTERLY_ROLL,2027/4F,45769,,,'')&lt;/Q&gt;&lt;R&gt;1&lt;/R&gt;&lt;C&gt;1&lt;/C&gt;&lt;D xsi:type="xsd:double"&gt;93389.79&lt;/D&gt;&lt;/FQL&gt;&lt;FQL&gt;&lt;Q&gt;Ticker0024^FE_ESTIMATE(SALES,MEAN,QUARTERLY_ROLL,2027/3F,45769,,,'')&lt;/Q&gt;&lt;R&gt;1&lt;/R&gt;&lt;C&gt;1&lt;/C&gt;&lt;D xsi:type="xsd:double"&gt;87803.87&lt;/D&gt;&lt;/FQL&gt;&lt;FQL&gt;&lt;Q&gt;Ticker0024^FE_ESTIMATE(SALES,MEAN,QUARTERLY_ROLL,2027/2F,45769,,,'')&lt;/Q&gt;&lt;R&gt;1&lt;/R&gt;&lt;C&gt;1&lt;/C&gt;&lt;D xsi:type="xsd:double"&gt;88179.266&lt;/D&gt;&lt;/FQL&gt;&lt;FQL&gt;&lt;Q&gt;Ticker0024^FE_ESTIMATE(SALES,MEAN,QUARTERLY_ROLL,2027/1F,45769,,,'')&lt;/Q&gt;&lt;R&gt;1&lt;/R&gt;&lt;C&gt;1&lt;/C&gt;&lt;D xsi:type="xsd:double"&gt;83473.54&lt;/D&gt;&lt;/FQL&gt;&lt;FQL&gt;&lt;Q&gt;Ticker0024^FE_ESTIMATE(SALES,MEAN,ANNUAL_ROLL,2026,45769,,,'')&lt;/Q&gt;&lt;R&gt;1&lt;/R&gt;&lt;C&gt;1&lt;/C&gt;&lt;D xsi:type="xsd:double"&gt;313519.2&lt;/D&gt;&lt;/FQL&gt;&lt;FQL&gt;&lt;Q&gt;Ticker0024^FE_ESTIMATE(SALES,MEAN,QUARTERLY_ROLL,2026/4F,45769,,,'')&lt;/Q&gt;&lt;R&gt;1&lt;/R&gt;&lt;C&gt;1&lt;/C&gt;&lt;D xsi:type="xsd:double"&gt;81752.164&lt;/D&gt;&lt;/FQL&gt;&lt;FQL&gt;&lt;Q&gt;Ticker0024^FE_ESTIMATE(SALES,MEAN,QUARTERLY_ROLL,2026/3F,45769,,,'')&lt;/Q&gt;&lt;R&gt;1&lt;/R&gt;&lt;C&gt;1&lt;/C&gt;&lt;D xsi:type="xsd:double"&gt;77354.45&lt;/D&gt;&lt;/FQL&gt;&lt;FQL&gt;&lt;Q&gt;Ticker0024^FE_ESTIMATE(SALES,MEAN,QUARTERLY_ROLL,2026/2F,45769,,,'')&lt;/Q&gt;&lt;R&gt;1&lt;/R&gt;&lt;C&gt;1&lt;/C&gt;&lt;D xsi:type="xsd:double"&gt;77924.86&lt;/D&gt;&lt;/FQL&gt;&lt;FQL&gt;&lt;Q&gt;Ticker0024^FE_ESTIMATE(SALES,MEAN,QUARTERLY_ROLL,2026/1F,45769,,,'')&lt;/Q&gt;&lt;R&gt;1&lt;/R&gt;&lt;C&gt;1&lt;/C&gt;&lt;D xsi:type="xsd:double"&gt;73397.92&lt;/D&gt;&lt;/FQL&gt;&lt;FQL&gt;&lt;Q&gt;Ticker0024^FE_ESTIMATE(SALES,MEAN,ANNUAL_ROLL,2025,45769,,,'')&lt;/Q&gt;&lt;R&gt;1&lt;/R&gt;&lt;C&gt;1&lt;/C&gt;&lt;D xsi:type="xsd:double"&gt;276665.84&lt;/D&gt;&lt;/FQL&gt;&lt;FQL&gt;&lt;Q&gt;Ticker0024^FE_ESTIMATE(SALES,MEAN,QUARTERLY_ROLL,2025/4F,45769,,,'')&lt;/Q&gt;&lt;R&gt;1&lt;/R&gt;&lt;C&gt;1&lt;/C&gt;&lt;D xsi:type="xsd:double"&gt;72395.875&lt;/D&gt;&lt;/FQL&gt;&lt;FQL&gt;&lt;Q&gt;Ticker0024^FE_ESTIMATE(SALES,MEAN,QUARTERLY_ROLL,2025/3F,45769,,,'')&lt;/Q&gt;&lt;R&gt;1&lt;/R&gt;&lt;C&gt;1&lt;/C&gt;&lt;D xsi:type="xsd:double"&gt;68498.44&lt;/D&gt;&lt;/FQL&gt;&lt;FQL&gt;&lt;Q&gt;Ticker0024^FE_ESTIMATE(SALES,MEAN,QUARTERLY_ROLL,2025/2F,45769,,,'')&lt;/Q&gt;&lt;R&gt;1&lt;/R&gt;&lt;C&gt;1&lt;/C&gt;&lt;D xsi:type="xsd:double"&gt;69632&lt;/D&gt;&lt;/FQL&gt;&lt;FQL&gt;&lt;Q&gt;Ticker0024^FE_ESTIMATE(SALES,MEAN,QUARTERLY_ROLL,2025/1F,45769,,,'')&lt;/Q&gt;&lt;R&gt;1&lt;/R&gt;&lt;C&gt;1&lt;/C&gt;&lt;D xsi:type="xsd:double"&gt;65585&lt;/D&gt;&lt;/FQL&gt;&lt;FQL&gt;&lt;Q&gt;Ticker0024^FE_ESTIMATE(SALES,MEAN,ANNUAL_ROLL,2024,45769,,,'')&lt;/Q&gt;&lt;R&gt;1&lt;/R&gt;&lt;C&gt;1&lt;/C&gt;&lt;D xsi:type="xsd:double"&gt;245122&lt;/D&gt;&lt;/FQL&gt;&lt;FQL&gt;&lt;Q&gt;Ticker0024^FE_ESTIMATE(SALES,MEAN,QUARTERLY_ROLL,2024/4F,45769,,,'')&lt;/Q&gt;&lt;R&gt;1&lt;/R&gt;&lt;C&gt;1&lt;/C&gt;&lt;D xsi:type="xsd:double"&gt;64727&lt;/D&gt;&lt;/FQL&gt;&lt;FQL&gt;&lt;Q&gt;Ticker0024^FE_ESTIMATE(SALES,MEAN,QUARTERLY_ROLL,2024/3F,45769,,,'')&lt;/Q&gt;&lt;R&gt;1&lt;/R&gt;&lt;C&gt;1&lt;/C&gt;&lt;D xsi:type="xsd:double"&gt;61858&lt;/D&gt;&lt;/FQL&gt;&lt;FQL&gt;&lt;Q&gt;Ticker0024^FE_ESTIMATE(SALES,MEAN,QUARTERLY_ROLL,2024/2F,45769,,,'')&lt;/Q&gt;&lt;R&gt;1&lt;/R&gt;&lt;C&gt;1&lt;/C&gt;&lt;D xsi:type="xsd:double"&gt;62020&lt;/D&gt;&lt;/FQL&gt;&lt;FQL&gt;&lt;Q&gt;Ticker0024^FE_ESTIMATE(SALES,MEAN,QUARTERLY_ROLL,2024/1F,45769,,,'')&lt;/Q&gt;&lt;R&gt;1&lt;/R&gt;&lt;C&gt;1&lt;/C&gt;&lt;D xsi:type="xsd:double"&gt;56517&lt;/D&gt;&lt;/FQL&gt;&lt;FQL&gt;&lt;Q&gt;Ticker0024^FE_ESTIMATE(SALES,MEAN,ANNUAL_ROLL,2023,45769,,,'')&lt;/Q&gt;&lt;R&gt;1&lt;/R&gt;&lt;C&gt;1&lt;/C&gt;&lt;D xsi:type="xsd:double"&gt;211915&lt;/D&gt;&lt;/FQL&gt;&lt;FQL&gt;&lt;Q&gt;Ticker0024^FE_ESTIMATE(SALES,MEAN,QUARTERLY_ROLL,2023/4F,45769,,,'')&lt;/Q&gt;&lt;R&gt;1&lt;/R&gt;&lt;C&gt;1&lt;/C&gt;&lt;D xsi:type="xsd:double"&gt;56189&lt;/D&gt;&lt;/FQL&gt;&lt;FQL&gt;&lt;Q&gt;Ticker0024^FE_ESTIMATE(SALES,MEAN,QUARTERLY_ROLL,2023/3F,45769,,,'')&lt;/Q&gt;&lt;R&gt;1&lt;/R&gt;&lt;C&gt;1&lt;/C&gt;&lt;D xsi:type="xsd:double"&gt;52857&lt;/D&gt;&lt;/FQL&gt;&lt;FQL&gt;&lt;Q&gt;Ticker0024^FE_ESTIMATE(SALES,MEAN,QUARTERLY_ROLL,2023/2F,45769,,,'')&lt;/Q&gt;&lt;R&gt;1&lt;/R&gt;&lt;C&gt;1&lt;/C&gt;&lt;D xsi:type="xsd:double"&gt;52747&lt;/D&gt;&lt;/FQL&gt;&lt;FQL&gt;&lt;Q&gt;Ticker0024^FE_ESTIMATE(SALES,MEAN,QUARTERLY_ROLL,2023/1F,45769,,,'')&lt;/Q&gt;&lt;R&gt;1&lt;/R&gt;&lt;C&gt;1&lt;/C&gt;&lt;D xsi:type="xsd:double"&gt;50122&lt;/D&gt;&lt;/FQL&gt;&lt;FQL&gt;&lt;Q&gt;Ticker0024^FE_ESTIMATE(SALES,MEAN,ANNUAL_ROLL,2022,45769,,,'')&lt;/Q&gt;&lt;R&gt;1&lt;/R&gt;&lt;C&gt;1&lt;/C&gt;&lt;D xsi:type="xsd:double"&gt;198270&lt;/D&gt;&lt;/FQL&gt;&lt;FQL&gt;&lt;Q&gt;Ticker0024^FE_ESTIMATE(SALES,MEAN,QUARTERLY_ROLL,2022/4F,45769,,,'')&lt;/Q&gt;&lt;R&gt;1&lt;/R&gt;&lt;C&gt;1&lt;/C&gt;&lt;D xsi:type="xsd:double"&gt;51865&lt;/D&gt;&lt;/FQL&gt;&lt;FQL&gt;&lt;Q&gt;Ticker0024^FE_ESTIMATE(SALES,MEAN,QUARTERLY_ROLL,2022/3F,45769,,,'')&lt;/Q&gt;&lt;R&gt;1&lt;/R&gt;&lt;C&gt;1&lt;/C&gt;&lt;D xsi:type="xsd:double"&gt;49360&lt;/D&gt;&lt;/FQL&gt;&lt;FQL&gt;&lt;Q&gt;Ticker0024^FE_ESTIMATE(SALES,MEAN,QUARTERLY_ROLL,2022/2F,45769,,,'')&lt;/Q&gt;&lt;R&gt;1&lt;/R&gt;&lt;C&gt;1&lt;/C&gt;&lt;D xsi:type="xsd:double"&gt;51728&lt;/D&gt;&lt;/FQL&gt;&lt;FQL&gt;&lt;Q&gt;Ticker0024^FE_ESTIMATE(SALES,MEAN,QUARTERLY_ROLL,2022/1F,45769,,,'')&lt;/Q&gt;&lt;R&gt;1&lt;/R&gt;&lt;C&gt;1&lt;/C&gt;&lt;D xsi:type="xsd:double"&gt;45317&lt;/D&gt;&lt;/FQL&gt;&lt;FQL&gt;&lt;Q&gt;Ticker0024^FE_ESTIMATE(SALES,MEAN,ANNUAL_ROLL,2021,45769,,,'')&lt;/Q&gt;&lt;R&gt;1&lt;/R&gt;&lt;C&gt;1&lt;/C&gt;&lt;D xsi:type="xsd:double"&gt;168088&lt;/D&gt;&lt;/FQL&gt;&lt;FQL&gt;&lt;Q&gt;Ticker0024^FE_ESTIMATE(SALES,MEAN,QUARTERLY_ROLL,2021/4F,45769,,,'')&lt;/Q&gt;&lt;R&gt;1&lt;/R&gt;&lt;C&gt;1&lt;/C&gt;&lt;D xsi:type="xsd:double"&gt;46152&lt;/D&gt;&lt;/FQL&gt;&lt;FQL&gt;&lt;Q&gt;Ticker0024^FE_ESTIMATE(SALES,MEAN,QUARTERLY_ROLL,2021/3F,45769,,,'')&lt;/Q&gt;&lt;R&gt;1&lt;/R&gt;&lt;C&gt;1&lt;/C&gt;&lt;D xsi:type="xsd:double"&gt;41706&lt;/D&gt;&lt;/FQL&gt;&lt;FQL&gt;&lt;Q&gt;Ticker0024^FE_ESTIMATE(SALES,MEAN,QUARTERLY_ROLL,2021/2F,45769,,,'')&lt;/Q&gt;&lt;R&gt;1&lt;/R&gt;&lt;C&gt;1&lt;/C&gt;&lt;D xsi:type="xsd:double"&gt;43076&lt;/D&gt;&lt;/FQL&gt;&lt;FQL&gt;&lt;Q&gt;Ticker0024^FE_ESTIMATE(SALES,MEAN,QUARTERLY_ROLL,2021/1F,45769,,,'')&lt;/Q&gt;&lt;R&gt;1&lt;/R&gt;&lt;C&gt;1&lt;/C&gt;&lt;D xsi:type="xsd:double"&gt;37154&lt;/D&gt;&lt;/FQL&gt;&lt;FQL&gt;&lt;Q&gt;Ticker0024^FE_ESTIMATE(SALES,MEAN,ANNUAL_ROLL,2020,45769,,,'')&lt;/Q&gt;&lt;R&gt;1&lt;/R&gt;&lt;C&gt;1&lt;/C&gt;&lt;D xsi:type="xsd:double"&gt;143015&lt;/D&gt;&lt;/FQL&gt;&lt;FQL&gt;&lt;Q&gt;Ticker0024^FE_ESTIMATE(SALES,MEAN,QUARTERLY_ROLL,2020/4F,45769,,,'')&lt;/Q&gt;&lt;R&gt;1&lt;/R&gt;&lt;C&gt;1&lt;/C&gt;&lt;D xsi:type="xsd:double"&gt;38033&lt;/D&gt;&lt;/FQL&gt;&lt;FQL&gt;&lt;Q&gt;Ticker0024^FE_ESTIMATE(SALES,MEAN,QUARTERLY_ROLL,2020/3F,45769,,,'')&lt;/Q&gt;&lt;R&gt;1&lt;/R&gt;&lt;C&gt;1&lt;/C&gt;&lt;D xsi:type="xsd:double"&gt;35021&lt;/D&gt;&lt;/FQL&gt;&lt;FQL&gt;&lt;Q&gt;Ticker0024^FE_ESTIMATE(SALES,MEAN,QUARTERLY_ROLL,2020/2F,45769,,,'')&lt;/Q&gt;&lt;R&gt;1&lt;/R&gt;&lt;C&gt;1&lt;/C&gt;&lt;D xsi:type="xsd:double"&gt;36906&lt;/D&gt;&lt;/FQL&gt;&lt;FQL&gt;&lt;Q&gt;Ticker0024^FE_ESTIMATE(SALES,MEAN,QUARTERLY_ROLL,2020/1F,45769,,,'')&lt;/Q&gt;&lt;R&gt;1&lt;/R&gt;&lt;C&gt;1&lt;/C&gt;&lt;D xsi:type="xsd:double"&gt;33055&lt;/D&gt;&lt;/FQL&gt;&lt;FQL&gt;&lt;Q&gt;Ticker0024^FE_ESTIMATE(SALES,MEAN,ANNUAL_ROLL,2019,45769,,,'')&lt;/Q&gt;&lt;R&gt;1&lt;/R&gt;&lt;C&gt;1&lt;/C&gt;&lt;D xsi:type="xsd:double"&gt;125843&lt;/D&gt;&lt;/FQL&gt;&lt;FQL&gt;&lt;Q&gt;Ticker0024^FE_ESTIMATE(SALES,MEAN,QUARTERLY_ROLL,2019/4F,45769,,,'')&lt;/Q&gt;&lt;R&gt;1&lt;/R&gt;&lt;C&gt;1&lt;/C&gt;&lt;D xsi:type="xsd:double"&gt;33717&lt;/D&gt;&lt;/FQL&gt;&lt;FQL&gt;&lt;Q&gt;Ticker0024^FE_ESTIMATE(SALES,MEAN,QUARTERLY_ROLL,2019/3F,45769,,,'')&lt;/Q&gt;&lt;R&gt;1&lt;/R&gt;&lt;C&gt;1&lt;/C&gt;&lt;D xsi:type="xsd:double"&gt;30571&lt;/D&gt;&lt;/FQL&gt;&lt;FQL&gt;&lt;Q&gt;Ticker0024^FE_ESTIMATE(SALES,MEAN,QUARTERLY_ROLL,2019/2F,45769,,,'')&lt;/Q&gt;&lt;R&gt;1&lt;/R&gt;&lt;C&gt;1&lt;/C&gt;&lt;D xsi:type="xsd:double"&gt;32471&lt;/D&gt;&lt;/FQL&gt;&lt;FQL&gt;&lt;Q&gt;Ticker0024^FE_ESTIMATE(SALES,MEAN,QUARTERLY_ROLL,2019/1F,45769,,,'')&lt;/Q&gt;&lt;R&gt;1&lt;/R&gt;&lt;C&gt;1&lt;/C&gt;&lt;D xsi:type="xsd:double"&gt;29084&lt;/D&gt;&lt;/FQL&gt;&lt;FQL&gt;&lt;Q&gt;Ticker0024^FE_ESTIMATE(SALES,MEAN,ANNUAL_ROLL,2018,45769,,,'')&lt;/Q&gt;&lt;R&gt;1&lt;/R&gt;&lt;C&gt;1&lt;/C&gt;&lt;D xsi:type="xsd:double"&gt;110360&lt;/D&gt;&lt;/FQL&gt;&lt;FQL&gt;&lt;Q&gt;Ticker0024^FE_ESTIMATE(SALES,MEAN,QUARTERLY_ROLL,2018/4F,45769,,,'')&lt;/Q&gt;&lt;R&gt;1&lt;/R&gt;&lt;C&gt;1&lt;/C&gt;&lt;D xsi:type="xsd:double"&gt;30085&lt;/D&gt;&lt;/FQL&gt;&lt;FQL&gt;&lt;Q&gt;Ticker0024^FE_ESTIMATE(SALES,MEAN,QUARTERLY_ROLL,2018/3F,45769,,,'')&lt;/Q&gt;&lt;R&gt;1&lt;/R&gt;&lt;C&gt;1&lt;/C&gt;&lt;D xsi:type="xsd:double"&gt;26819&lt;/D&gt;&lt;/FQL&gt;&lt;FQL&gt;&lt;Q&gt;Ticker0024^FE_ESTIMATE(SALES,MEAN,QUARTERLY_ROLL,2018/2F,45769,,,'')&lt;/Q&gt;&lt;R&gt;1&lt;/R&gt;&lt;C&gt;1&lt;/C&gt;&lt;D xsi:type="xsd:double"&gt;28918&lt;/D&gt;&lt;/FQL&gt;&lt;FQL&gt;&lt;Q&gt;Ticker0024^FE_ESTIMATE(SALES,MEAN,QUARTERLY_ROLL,2018/1F,45769,,,'')&lt;/Q&gt;&lt;R&gt;1&lt;/R&gt;&lt;C&gt;1&lt;/C&gt;&lt;D xsi:type="xsd:double"&gt;24538&lt;/D&gt;&lt;/FQL&gt;&lt;FQL&gt;&lt;Q&gt;Ticker0024^FE_ESTIMATE(SALES,MEAN,ANNUAL_ROLL,2017,45769,,,'')&lt;/Q&gt;&lt;R&gt;1&lt;/R&gt;&lt;C&gt;1&lt;/C&gt;&lt;D xsi:type="xsd:double"&gt;96700&lt;/D&gt;&lt;/FQL&gt;&lt;FQL&gt;&lt;Q&gt;Ticker0024^FE_ESTIMATE(SALES,MEAN,QUARTERLY_ROLL,2017/4F,45769,,,'')&lt;/Q&gt;&lt;R&gt;1&lt;/R&gt;&lt;C&gt;1&lt;/C&gt;&lt;D xsi:type="xsd:double"&gt;24700&lt;/D&gt;&lt;/FQL&gt;&lt;FQL&gt;&lt;Q&gt;Ticker0024^FE_ESTIMATE(SALES,MEAN,QUARTERLY_ROLL,2017/3F,45769,,,'')&lt;/Q&gt;&lt;R&gt;1&lt;/R&gt;&lt;C&gt;1&lt;/C&gt;&lt;D xsi:type="xsd:double"&gt;23557&lt;/D&gt;&lt;/FQL&gt;&lt;FQL&gt;&lt;Q&gt;Ticker0024^FE_ESTIMATE(SALES,MEAN,QUARTERLY_ROLL,2017/2F,45769,,,'')&lt;/Q&gt;&lt;R&gt;1&lt;/R&gt;&lt;C&gt;1&lt;/C&gt;&lt;D xsi:type="xsd:double"&gt;26066&lt;/D&gt;&lt;/FQL&gt;&lt;FQL&gt;&lt;Q&gt;Ticker0024^FE_ESTIMATE(SALES,MEAN,QUARTERLY_ROLL,2017/1F,45769,,,'')&lt;/Q&gt;&lt;R&gt;1&lt;/R&gt;&lt;C&gt;1&lt;/C&gt;&lt;D xsi:type="xsd:double"&gt;22334&lt;/D&gt;&lt;/FQL&gt;&lt;FQL&gt;&lt;Q&gt;Ticker0024^FE_ESTIMATE(SALES,MEAN,ANNUAL_ROLL,2016,45769,,,'')&lt;/Q&gt;&lt;R&gt;1&lt;/R&gt;&lt;C&gt;1&lt;/C&gt;&lt;D xsi:type="xsd:double"&gt;92051.92&lt;/D&gt;&lt;/FQL&gt;&lt;FQL&gt;&lt;Q&gt;Ticker0024^FE_ESTIMATE(SALES,MEAN,QUARTERLY_ROLL,2016/4F,45769,,,'')&lt;/Q&gt;&lt;R&gt;1&lt;/R&gt;&lt;C&gt;1&lt;/C&gt;&lt;D xsi:type="xsd:double"&gt;22640.229&lt;/D&gt;&lt;/FQL&gt;&lt;FQL&gt;&lt;Q&gt;Ticker0024^FE_ESTIMATE(SALES,MEAN,QUARTERLY_ROLL,2016/3F,45769,,,'')&lt;/Q&gt;&lt;R&gt;1&lt;/R&gt;&lt;C&gt;1&lt;/C&gt;&lt;D xsi:type="xsd:double"&gt;22076&lt;/D&gt;&lt;/FQL&gt;&lt;FQL&gt;&lt;Q&gt;Ticker0024^FE_ESTIMATE(SALES,MEAN,QUARTERLY_ROLL,2016/2F,45769,,,'')&lt;/Q&gt;&lt;R&gt;1&lt;/R&gt;&lt;C&gt;1&lt;/C&gt;&lt;D xsi:type="xsd:double"&gt;25693&lt;/D&gt;&lt;/FQL&gt;&lt;FQL&gt;&lt;Q&gt;Ticker0024^FE_ESTIMATE(SALES,MEAN,QUARTERLY_ROLL,2016/1F,45769,,,'')&lt;/Q&gt;&lt;R&gt;1&lt;/R&gt;&lt;C&gt;1&lt;/C&gt;&lt;D xsi:type="xsd:double"&gt;21660&lt;/D&gt;&lt;/FQL&gt;&lt;FQL&gt;&lt;Q&gt;Ticker0024^FE_ESTIMATE(SALES,MEAN,ANNUAL_ROLL,2015,45769,,,'')&lt;/Q&gt;&lt;R&gt;1&lt;/R&gt;&lt;C&gt;1&lt;/C&gt;&lt;D xsi:type="xsd:double"&gt;93580&lt;/D&gt;&lt;/FQL&gt;&lt;FQL&gt;&lt;Q&gt;Ticker0024^FE_ESTIMATE(SALES,MEAN,QUARTERLY_ROLL,2015/4F,45769,,,'')&lt;/Q&gt;&lt;R&gt;1&lt;/R&gt;&lt;C&gt;1&lt;/C&gt;&lt;D xsi:type="xsd:double"&gt;22180&lt;/D&gt;&lt;/FQL&gt;&lt;FQL&gt;&lt;Q&gt;Ticker0024^FE_ESTIMATE(SALES,MEAN,QUARTERLY_ROLL,2015/3F,45769,,,'')&lt;/Q&gt;&lt;R&gt;1&lt;/R&gt;&lt;C&gt;1&lt;/C&gt;&lt;D xsi:type="xsd:double"&gt;21729&lt;/D&gt;&lt;/FQL&gt;&lt;FQL&gt;&lt;Q&gt;Ticker0024^FE_ESTIMATE(SALES,MEAN,QUARTERLY_ROLL,2015/2F,45769,,,'')&lt;/Q&gt;&lt;R&gt;1&lt;/R&gt;&lt;C&gt;1&lt;/C&gt;&lt;D xsi:type="xsd:double"&gt;26470&lt;/D&gt;&lt;/FQL&gt;&lt;FQL&gt;&lt;Q&gt;Ticker0024^FE_ESTIMATE(SALES,MEAN,QUARTERLY_ROLL,2015/1F,45769,,,'')&lt;/Q&gt;&lt;R&gt;1&lt;/R&gt;&lt;C&gt;1&lt;/C&gt;&lt;D xsi:type="xsd:double"&gt;23201&lt;/D&gt;&lt;/FQL&gt;&lt;FQL&gt;&lt;Q&gt;Ticker0024^FE_ESTIMATE(PRODLINE_SALES_17,MEAN,ANNUAL_ROLL,2030,45769,,,'')&lt;/Q&gt;&lt;R&gt;0&lt;/R&gt;&lt;C&gt;0&lt;/C&gt;&lt;/FQL&gt;&lt;FQL&gt;&lt;Q&gt;Ticker0024^FE_ESTIMATE(PRODLINE_SALES_17,MEAN,QUARTERLY_ROLL,2030/4F,45769,,,'')&lt;/Q&gt;&lt;R&gt;0&lt;/R&gt;&lt;C&gt;0&lt;/C&gt;&lt;/FQL&gt;&lt;FQL&gt;&lt;Q&gt;Ticker0024^FE_ESTIMATE(PRODLINE_SALES_17,MEAN,QUARTERLY_ROLL,2030/3F,45769,,,'')&lt;/Q&gt;&lt;R&gt;0&lt;/R&gt;&lt;C&gt;0&lt;/C&gt;&lt;/FQL&gt;&lt;FQL&gt;&lt;Q&gt;Ticker0024^FE_ESTIMATE(PRODLINE_SALES_17,MEAN,QUARTERLY_ROLL,2030/2F,45769,,,'')&lt;/Q&gt;&lt;R&gt;0&lt;/R&gt;&lt;C&gt;0&lt;/C&gt;&lt;/FQL&gt;&lt;FQL&gt;&lt;Q&gt;Ticker0024^FE_ESTIMATE(PRODLINE_SALES_17,MEAN,QUARTERLY_ROLL,2030/1F,45769,,,'')&lt;/Q&gt;&lt;R&gt;0&lt;/R&gt;&lt;C&gt;0&lt;/C&gt;&lt;/FQL&gt;&lt;FQL&gt;&lt;Q&gt;Ticker0024^FE_ESTIMATE(PRODLINE_SALES_17,MEAN,ANNUAL_ROLL,2029,45769,,,'')&lt;/Q&gt;&lt;R&gt;0&lt;/R&gt;&lt;C&gt;0&lt;/C&gt;&lt;/FQL&gt;&lt;FQL&gt;&lt;Q&gt;Ticker0024^FE_ESTIMATE(PRODLINE_SALES_17,MEAN,QUARTERLY_ROLL,2029/4F,45769,,,'')&lt;/Q&gt;&lt;R&gt;0&lt;/R&gt;&lt;C&gt;0&lt;/C&gt;&lt;/FQL&gt;&lt;FQL&gt;&lt;Q&gt;Ticker0024^FE_ESTIMATE(PRODLINE_SALES_17,MEAN,QUARTERLY_ROLL,2029/3F,45769,,,'')&lt;/Q&gt;&lt;R&gt;0&lt;/R&gt;&lt;C&gt;0&lt;/C&gt;&lt;/FQL&gt;&lt;FQL&gt;&lt;Q&gt;Ticker0024^FE_ESTIMATE(PRODLINE_SALES_17,MEAN,QUARTERLY_ROLL,2029/2F,45769,,,'')&lt;/Q&gt;&lt;R&gt;0&lt;/R&gt;&lt;C&gt;0&lt;/C&gt;&lt;/FQL&gt;&lt;FQL&gt;&lt;Q&gt;Ticker0024^FE_ESTIMATE(PRODLINE_SALES_17,MEAN,QUARTERLY_ROLL,2029/1F,45769,,,'')&lt;/Q&gt;&lt;R&gt;0&lt;/R&gt;&lt;C&gt;0&lt;/C&gt;&lt;/FQL&gt;&lt;FQL&gt;&lt;Q&gt;Ticker0024^FE_ESTIMATE(PRODLINE_SALES_17,MEAN,ANNUAL_ROLL,2028,45769,,,'')&lt;/Q&gt;&lt;R&gt;1&lt;/R&gt;&lt;C&gt;1&lt;/C&gt;&lt;D xsi:type="xsd:double"&gt;62543&lt;/D&gt;&lt;/FQL&gt;&lt;FQL&gt;&lt;Q&gt;Ticker0024^FE_ESTIMATE(PRODLINE_SALES_17,MEAN,QUARTERLY_ROLL,2028/4F,45769,,,'')&lt;/Q&gt;&lt;R&gt;0&lt;/R&gt;&lt;C&gt;0&lt;/C&gt;&lt;/FQL&gt;&lt;FQL&gt;&lt;Q&gt;Ticker0024^FE_ESTIMATE(PRODLINE_SALES_17,MEAN,QUARTERLY_ROLL,2028/3F,45769,,,'')&lt;/Q&gt;&lt;R&gt;0&lt;/R&gt;&lt;C&gt;0&lt;/C&gt;&lt;/FQL&gt;&lt;FQL&gt;&lt;Q&gt;Ticker0024^FE_ESTIMATE(PRODLINE_SALES_17,MEAN,QUARTERLY_ROLL,2028/2F,45769,,,'')&lt;/Q&gt;&lt;R&gt;0&lt;/R&gt;&lt;C&gt;0&lt;/C&gt;&lt;/FQL&gt;&lt;FQL&gt;&lt;Q&gt;Ticker0024^FE_ESTIMATE(PRODLINE_SALES_17,MEAN,QUARTERLY_ROLL,2028/1F,45769,,,'')&lt;/Q&gt;&lt;R&gt;0&lt;/R&gt;&lt;C&gt;0&lt;/C&gt;&lt;/FQL&gt;&lt;FQL&gt;&lt;Q&gt;Ticker0024^FE_ESTIMATE(PRODLINE_SALES_17,MEAN,ANNUAL_ROLL,2027,45769,,,'')&lt;/Q&gt;&lt;R&gt;1&lt;/R&gt;&lt;C&gt;1&lt;/C&gt;&lt;D xsi:type="xsd:double"&gt;58235.793&lt;/D&gt;&lt;/FQL&gt;&lt;FQL&gt;&lt;Q&gt;Ticker0024^FE_ESTIMATE(PRODLINE_SALES_17,MEAN,QUARTERLY_ROLL,2027/4F,45769,,,'')&lt;/Q&gt;&lt;R&gt;1&lt;/R&gt;&lt;C&gt;1&lt;/C&gt;&lt;D xsi:type="xsd:double"&gt;15736&lt;/D&gt;&lt;/FQL&gt;&lt;FQL&gt;&lt;Q&gt;Ticker0024^FE_ESTIMATE(PRODLINE_SALES_17,MEAN,QUARTERLY_ROLL,2027/3F,45769,,,'')&lt;/Q&gt;&lt;R&gt;1&lt;/R&gt;&lt;C&gt;1&lt;/C&gt;&lt;D xsi:type="xsd:double"&gt;15282&lt;/D&gt;&lt;/FQL&gt;&lt;FQL&gt;&lt;Q&gt;Ticker0024^FE_ESTIMATE(PRODLINE_SALES_17,MEAN,QUARTERLY_ROLL,2027/2F,45769,,,'')&lt;/Q&gt;&lt;R&gt;1&lt;/R&gt;&lt;C&gt;1&lt;/C&gt;&lt;D xsi:type="xsd:double"&gt;16686.5&lt;/D&gt;&lt;/FQL&gt;&lt;FQL&gt;&lt;Q&gt;Ticker0024^FE_ESTIMATE(PRODLINE_SALES_17,MEAN,QUARTERLY_ROLL,2027/1F,45769,,,'')&lt;/Q&gt;&lt;R&gt;1&lt;/R&gt;&lt;C&gt;1&lt;/C&gt;&lt;D xsi:type="xsd:double"&gt;14561.5&lt;/D&gt;&lt;/FQL&gt;&lt;FQL&gt;&lt;Q&gt;Ticker0024^FE_ESTIMATE(PRODLINE_SALES_17,MEAN,ANNUAL_ROLL,2026,45769,,,'')&lt;/Q&gt;&lt;R&gt;1&lt;/R&gt;&lt;C&gt;1&lt;/C&gt;&lt;D xsi:type="xsd:double"&gt;55046.93&lt;/D&gt;&lt;/FQL&gt;&lt;FQL&gt;&lt;Q&gt;Ticker0024^FE_ESTIMATE(PRODLINE_SALES_17,MEAN,QUARTERLY_ROLL,2026/4F,45769,,,'')&lt;/Q&gt;&lt;R&gt;1&lt;/R&gt;&lt;C&gt;1&lt;/C&gt;&lt;D xsi:type="xsd:double"&gt;13138.2&lt;/D&gt;&lt;/FQL&gt;&lt;FQL&gt;&lt;Q&gt;Ticker0024^FE_ESTIMATE(PRODLINE_SALES_17,MEAN,QUARTERLY_ROLL,2026/3F,45769,,,'')&lt;/Q&gt;&lt;R&gt;1&lt;/R&gt;&lt;C&gt;1&lt;/C&gt;&lt;D xsi:type="xsd:double"&gt;13400.442&lt;/D&gt;&lt;/FQL&gt;&lt;FQL&gt;&lt;Q&gt;Ticker0024^FE_ESTIMATE(PRODLINE_SALES_17,MEAN,QUARTERLY_ROLL,2026/2F,45769,,,'')&lt;/Q&gt;&lt;R&gt;1&lt;/R&gt;&lt;C&gt;1&lt;/C&gt;&lt;D xsi:type="xsd:double"&gt;15088.033&lt;/D&gt;&lt;/FQL&gt;&lt;FQL&gt;&lt;Q&gt;Ticker0024^FE_ESTIMATE(PRODLINE_SALES_17,MEAN,QUARTERLY_ROLL,2026/1F,45769,,,'')&lt;/Q&gt;&lt;R&gt;1&lt;/R&gt;&lt;C&gt;1&lt;/C&gt;&lt;D xsi:type="xsd:double"&gt;13396&lt;/D&gt;&lt;/FQL&gt;&lt;FQL&gt;&lt;Q&gt;Ticker0024^FE_ESTIMATE(PRODLINE_SALES_17,MEAN,ANNUAL_ROLL,2025,45769,,,'')&lt;/Q&gt;&lt;R&gt;1&lt;/R&gt;&lt;C&gt;1&lt;/C&gt;&lt;D xsi:type="xsd:double"&gt;52934.74&lt;/D&gt;&lt;/FQL&gt;&lt;FQL&gt;&lt;Q&gt;Ticker0024^FE_ESTIMATE(PRODLINE_SALES_17,MEAN,QUARTERLY_ROLL,2025/4F,45769,,,'')&lt;/Q&gt;&lt;R&gt;1&lt;/R&gt;&lt;C&gt;1&lt;/C&gt;&lt;D xsi:type="xsd:double"&gt;12499.182&lt;/D&gt;&lt;/FQL&gt;&lt;FQL&gt;&lt;Q&gt;Ticker0024^FE_ESTIMATE(PRODLINE_SALES_17,MEAN,QUARTERLY_ROLL,2025/3F,45769,,,'')&lt;/Q&gt;&lt;R&gt;1&lt;/R&gt;&lt;C&gt;1&lt;/C&gt;&lt;D xsi:type="xsd:double"&gt;12656.208&lt;/D&gt;&lt;/FQL&gt;&lt;FQL&gt;&lt;Q&gt;Ticker0024^FE_ESTIMATE(PRODLINE_SALES_17,MEAN,QUARTERLY_ROLL,2025/2F,45769,,,'')&lt;/Q&gt;&lt;R&gt;1&lt;/R&gt;&lt;C&gt;1&lt;/C&gt;&lt;D xsi:type="xsd:double"&gt;14651&lt;/D&gt;&lt;/FQL&gt;&lt;FQL&gt;&lt;Q&gt;Ticker0024^FE_ESTIMATE(PRODLINE_SALES_17,MEAN,QUARTERLY_ROLL,2025/1F,45769,,,'')&lt;/Q&gt;&lt;R&gt;1&lt;/R&gt;&lt;C&gt;1&lt;/C&gt;&lt;D xsi:type="xsd:double"&gt;13176&lt;/D&gt;&lt;/FQL&gt;&lt;FQL&gt;&lt;Q&gt;Ticker0024^FE_ESTIMATE(PRODLINE_SALES_17,MEAN,ANNUAL_ROLL,2024,45769,,,'')&lt;/Q&gt;&lt;R&gt;1&lt;/R&gt;&lt;C&gt;1&lt;/C&gt;&lt;D xsi:type="xsd:double"&gt;62032&lt;/D&gt;&lt;/FQL&gt;&lt;FQL&gt;&lt;Q&gt;Ticker0024^FE_ESTIMATE(PRODLINE_SALES_17,MEAN,QUARTERLY_ROLL,2024/4F,45769,,,'')&lt;/Q&gt;&lt;R&gt;1&lt;/R&gt;&lt;C&gt;1&lt;/C&gt;&lt;D xsi:type="xsd:double"&gt;15895&lt;/D&gt;&lt;/FQL&gt;&lt;FQL&gt;&lt;Q&gt;Ticker0024^FE_ESTIMATE(PRODLINE_SALES_17,MEAN,QUARTERLY_ROLL,2024/3F,45769,,,'')&lt;/Q&gt;&lt;R&gt;1&lt;/R&gt;&lt;C&gt;1&lt;/C&gt;&lt;D xsi:type="xsd:double"&gt;15580&lt;/D&gt;&lt;/FQL&gt;&lt;FQL&gt;&lt;Q&gt;Ticker0024^FE_ESTIMATE(PRODLINE_SALES_17,MEAN,QUARTERLY_ROLL,2024/2F,45769,,,'')&lt;/Q&gt;&lt;R&gt;1&lt;/R&gt;&lt;C&gt;1&lt;/C&gt;&lt;D xsi:type="xsd:double"&gt;16891&lt;/D&gt;&lt;/FQL&gt;&lt;FQL&gt;&lt;Q&gt;Ticker0024^FE_ESTIMATE(PRODLINE_SALES_17,MEAN,QUARTERLY_ROLL,2024/1F,45769,,,'')&lt;/Q&gt;&lt;R&gt;1&lt;/R&gt;&lt;C&gt;1&lt;/C&gt;&lt;D xsi:type="xsd:double"&gt;13666&lt;/D&gt;&lt;/FQL&gt;&lt;FQL&gt;&lt;Q&gt;Ticker0024^FE_ESTIMATE(PRODLINE_SALES_17,MEAN,ANNUAL_ROLL,2023,45769,,,'')&lt;/Q&gt;&lt;R&gt;1&lt;/R&gt;&lt;C&gt;1&lt;/C&gt;&lt;D xsi:type="xsd:double"&gt;54732.273&lt;/D&gt;&lt;/FQL&gt;&lt;FQL&gt;&lt;Q&gt;Ticker0024^FE_ESTIMATE(PRODLINE_SALES_17,MEAN,QUARTERLY_ROLL,2023/4F,45769,,,'')&lt;/Q&gt;&lt;R&gt;1&lt;/R&gt;&lt;C&gt;1&lt;/C&gt;&lt;D xsi:type="xsd:double"&gt;13905&lt;/D&gt;&lt;/FQL&gt;&lt;FQL&gt;&lt;Q&gt;Ticker0024^FE_ESTIMATE(PRODLINE_SALES_17,MEAN,QUARTERLY_ROLL,2023/3F,45769,,,'')&lt;/Q&gt;&lt;R&gt;1&lt;/R&gt;&lt;C&gt;1&lt;/C&gt;&lt;D xsi:type="xsd:double"&gt;13260&lt;/D&gt;&lt;/FQL&gt;&lt;FQL&gt;&lt;Q&gt;Ticker0024^FE_ESTIMATE(PRODLINE_SALES_17,MEAN,QUARTERLY_ROLL,2023/2F,45769,,,'')&lt;/Q&gt;&lt;R&gt;1&lt;/R&gt;&lt;C&gt;1&lt;/C&gt;&lt;D xsi:type="xsd:double"&gt;14237&lt;/D&gt;&lt;/FQL&gt;&lt;FQL&gt;&lt;Q&gt;Ticker0024^FE_ESTIMATE(PRODLINE_SALES_17,MEAN,QUARTERLY_ROLL,2023/1F,45769,,,'')&lt;/Q&gt;&lt;R&gt;1&lt;/R&gt;&lt;C&gt;1&lt;/C&gt;&lt;D xsi:type="xsd:double"&gt;13332&lt;/D&gt;&lt;/FQL&gt;&lt;FQL&gt;&lt;Q&gt;Ticker0024^FE_ESTIMATE(PRODLINE_SALES_17,MEAN,ANNUAL_ROLL,2022,45769,,,'')&lt;/Q&gt;&lt;R&gt;1&lt;/R&gt;&lt;C&gt;1&lt;/C&gt;&lt;D xsi:type="xsd:double"&gt;59655&lt;/D&gt;&lt;/FQL&gt;&lt;FQL&gt;&lt;Q&gt;Ticker0024^FE_ESTIMATE(PRODLINE_SALES_17,MEAN,QUARTERLY_ROLL,2022/4F,45769,,,'')&lt;/Q&gt;&lt;R&gt;1&lt;/R&gt;&lt;C&gt;1&lt;/C&gt;&lt;D xsi:type="xsd:double"&gt;14356&lt;/D&gt;&lt;/FQL&gt;&lt;FQL&gt;&lt;Q&gt;Ticker0024^FE_ESTIMATE(PRODLINE_SALES_17,MEAN,QUARTERLY_ROLL,2022/3F,45769,,,'')&lt;/Q&gt;&lt;R&gt;1&lt;/R&gt;&lt;C&gt;1&lt;/C&gt;&lt;D xsi:type="xsd:double"&gt;14520&lt;/D&gt;&lt;/FQL&gt;&lt;FQL&gt;&lt;Q&gt;Ticker0024^FE_ESTIMATE(PRODLINE_SALES_17,MEAN,QUARTERLY_ROLL,2022/2F,45769,,,'')&lt;/Q&gt;&lt;R&gt;1&lt;/R&gt;&lt;C&gt;1&lt;/C&gt;&lt;D xsi:type="xsd:double"&gt;17465&lt;/D&gt;&lt;/FQL&gt;&lt;FQL&gt;&lt;Q&gt;Ticker0024^FE_ESTIMATE(PRODLINE_SALES_17,MEAN,QUARTERLY_ROLL,2022/1F,45769,,,'')&lt;/Q&gt;&lt;R&gt;1&lt;/R&gt;&lt;C&gt;1&lt;/C&gt;&lt;D xsi:type="xsd:double"&gt;13314&lt;/D&gt;&lt;/FQL&gt;&lt;FQL&gt;&lt;Q&gt;Ticker0024^FE_ESTIMATE(PRODLINE_SALES_17,MEAN,ANNUAL_ROLL,2021,45769,,,'')&lt;/Q&gt;&lt;R&gt;1&lt;/R&gt;&lt;C&gt;1&lt;/C&gt;&lt;D xsi:type="xsd:double"&gt;54093&lt;/D&gt;&lt;/FQL&gt;&lt;FQL&gt;&lt;Q&gt;Ticker0024^FE_ESTIMATE(PRODLINE_SALES_17,MEAN,QUARTERLY_ROLL,2021/4F,45769,,,'')&lt;/Q&gt;&lt;R&gt;1&lt;/R&gt;&lt;C&gt;1&lt;/C&gt;&lt;D xsi:type="xsd:double"&gt;14086&lt;/D&gt;&lt;/FQL&gt;&lt;FQL&gt;&lt;Q&gt;Ticker0024^FE_ESTIMATE(PRODLINE_SALES_17,MEAN,QUARTERLY_ROLL,2021/3F,45769,,,'')&lt;/Q&gt;&lt;R&gt;1&lt;/R&gt;&lt;C&gt;1&lt;/C&gt;&lt;D xsi:type="xsd:double"&gt;13036&lt;/D&gt;&lt;/FQL&gt;&lt;FQL&gt;&lt;Q&gt;Ticker0024^FE_ESTIMATE(PRODLINE_SALES_17,MEAN,QUARTERLY_ROLL,2021/2F,45769,,,'')&lt;/Q&gt;&lt;R&gt;1&lt;/R&gt;&lt;C&gt;1&lt;/C&gt;&lt;D xsi:type="xsd:double"&gt;15122&lt;/D&gt;&lt;/FQL&gt;&lt;FQL&gt;&lt;Q&gt;Ticker0024^FE_ESTIMATE(PRODLINE_SALES_17,MEAN,QUARTERLY_ROLL,2021/1F,45769,,,'')&lt;/Q&gt;&lt;R&gt;1&lt;/R&gt;&lt;C&gt;1&lt;/C&gt;&lt;D xsi:type="xsd:double"&gt;11849&lt;/D&gt;&lt;/FQL&gt;&lt;FQL&gt;&lt;Q&gt;Ticker0024^FE_ESTIMATE(PRODLINE_SALES_17,MEAN,ANNUAL_ROLL,2020,45769,,,'')&lt;/Q&gt;&lt;R&gt;1&lt;/R&gt;&lt;C&gt;1&lt;/C&gt;&lt;D xsi:type="xsd:double"&gt;48251&lt;/D&gt;&lt;/FQL&gt;&lt;FQL&gt;&lt;Q&gt;Ticker0024^FE_ESTIMATE(PRODLINE_SALES_17,MEAN,QUARTERLY_ROLL,2020/4F,45769,,,'')&lt;/Q&gt;&lt;R&gt;1&lt;/R&gt;&lt;C&gt;1&lt;/C&gt;&lt;D xsi:type="xsd:double"&gt;12910&lt;/D&gt;&lt;/FQL&gt;&lt;FQL&gt;&lt;Q&gt;Ticker0024^FE_ESTIMATE(PRODLINE_SALES_17,MEAN,QUARTERLY_ROLL,2020/3F,45769,,,'')&lt;/Q&gt;&lt;R&gt;1&lt;/R&gt;&lt;C&gt;1&lt;/C&gt;&lt;D xsi:type="xsd:double"&gt;10997&lt;/D&gt;&lt;/FQL&gt;&lt;FQL&gt;&lt;Q&gt;Ticker0024^FE_ESTIMATE(PRODLINE_SALES_17,MEAN,QUARTERLY_ROLL,2020/2F,45769,,,'')&lt;/Q&gt;&lt;R&gt;1&lt;/R&gt;&lt;C&gt;1&lt;/C&gt;&lt;D xsi:type="xsd:double"&gt;13211&lt;/D&gt;&lt;/FQL&gt;&lt;FQL&gt;&lt;Q&gt;Ticker0024^FE_ESTIMATE(PRODLINE_SALES_17,MEAN,QUARTERLY_ROLL,2020/1F,45769,,,'')&lt;/Q&gt;&lt;R&gt;1&lt;/R&gt;&lt;C&gt;1&lt;/C&gt;&lt;D xsi:type="xsd:double"&gt;11133&lt;/D&gt;&lt;/FQL&gt;&lt;FQL&gt;&lt;Q&gt;Ticker0024^FE_ESTIMATE(PRODLINE_SALES_17,MEAN,ANNUAL_ROLL,2019,45769,,,'')&lt;/Q&gt;&lt;R&gt;1&lt;/R&gt;&lt;C&gt;1&lt;/C&gt;&lt;D xsi:type="xsd:double"&gt;45698&lt;/D&gt;&lt;/FQL&gt;&lt;FQL&gt;&lt;Q&gt;Ticker0024^FE_ESTIMATE(PRODLINE_SALES_17,MEAN,QUARTERLY_ROLL,2019/4F,45769,,,'')&lt;/Q&gt;&lt;R&gt;1&lt;/R&gt;&lt;C&gt;1&lt;/C&gt;&lt;D xsi:type="xsd:double"&gt;11279&lt;/D&gt;&lt;/FQL&gt;&lt;FQL&gt;&lt;Q&gt;Ticker0024^FE_ESTIMATE(PRODLINE_SALES_17,MEAN,QUARTERLY_ROLL,2019/3F,45769,,,'')&lt;/Q&gt;&lt;R&gt;1&lt;/R&gt;&lt;C&gt;1&lt;/C&gt;&lt;D xsi:type="xsd:double"&gt;10680&lt;/D&gt;&lt;/FQL&gt;&lt;FQL&gt;&lt;Q&gt;Ticker0024^FE_ESTIMATE(PRODLINE_SALES_17,MEAN,QUARTERLY_ROLL,2019/2F,45769,,,'')&lt;/Q&gt;&lt;R&gt;1&lt;/R&gt;&lt;C&gt;1&lt;/C&gt;&lt;D xsi:type="xsd:double"&gt;12993&lt;/D&gt;&lt;/FQL&gt;&lt;FQL&gt;&lt;Q&gt;Ticker0024^FE_ESTIMATE(PRODLINE_SALES_17,MEAN,QUARTERLY_ROLL,2019/1F,45769,,,'')&lt;/Q&gt;&lt;R&gt;1&lt;/R&gt;&lt;C&gt;1&lt;/C&gt;&lt;D xsi:type="xsd:double"&gt;10746&lt;/D&gt;&lt;/FQL&gt;&lt;FQL&gt;&lt;Q&gt;Ticker0024^FE_ESTIMATE(PRODLINE_SALES_17,MEAN,ANNUAL_ROLL,2018,45769,,,'')&lt;/Q&gt;&lt;R&gt;1&lt;/R&gt;&lt;C&gt;1&lt;/C&gt;&lt;D xsi:type="xsd:double"&gt;42276&lt;/D&gt;&lt;/FQL&gt;&lt;FQL&gt;&lt;Q&gt;Ticker0024^FE_ESTIMATE(PRODLINE_SALES_17,MEAN,QUARTERLY_ROLL,2018/4F,45769,,,'')&lt;/Q&gt;&lt;R&gt;1&lt;/R&gt;&lt;C&gt;1&lt;/C&gt;&lt;D xsi:type="xsd:double"&gt;10811&lt;/D&gt;&lt;/FQL&gt;&lt;FQL&gt;&lt;Q&gt;Ticker0024^FE_ESTIMATE(PRODLINE_SALES_17,MEAN,QUARTERLY_ROLL,2018/3F,45769,,,'')&lt;/Q&gt;&lt;R&gt;1&lt;/R&gt;&lt;C&gt;1&lt;/C&gt;&lt;D xsi:type="xsd:double"&gt;9917&lt;/D&gt;&lt;/FQL&gt;&lt;FQL&gt;&lt;Q&gt;Ticker0024^FE_ESTIMATE(PRODLINE_SALES_17,MEAN,QUARTERLY_ROLL,2018/2F,45769,,,'')&lt;/Q&gt;&lt;R&gt;1&lt;/R&gt;&lt;C&gt;1&lt;/C&gt;&lt;D xsi:type="xsd:double"&gt;12170&lt;/D&gt;&lt;/FQL&gt;&lt;FQL&gt;&lt;Q&gt;Ticker0024^FE_ESTIMATE(PRODLINE_SALES_17,MEAN,QUARTERLY_ROLL,2018/1F,45769,,,'')&lt;/Q&gt;&lt;R&gt;1&lt;/R&gt;&lt;C&gt;1&lt;/C&gt;&lt;D xsi:type="xsd:double"&gt;9378&lt;/D&gt;&lt;/FQL&gt;&lt;FQL&gt;&lt;Q&gt;Ticker0024^FE_ESTIMATE(PRODLINE_SALES_17,MEAN,ANNUAL_ROLL,2017,45769,,,'')&lt;/Q&gt;&lt;R&gt;1&lt;/R&gt;&lt;C&gt;1&lt;/C&gt;&lt;D xsi:type="xsd:double"&gt;38773&lt;/D&gt;&lt;/FQL&gt;&lt;FQL&gt;&lt;Q&gt;Ticker0024^FE_ESTIMATE(PRODLINE_SALES_17,MEAN,QUARTERLY_ROLL,2017/4F,45769,,,'')&lt;/Q&gt;&lt;R&gt;1&lt;/R&gt;&lt;C&gt;1&lt;/C&gt;&lt;D xsi:type="xsd:double"&gt;8820&lt;/D&gt;&lt;/FQL&gt;&lt;FQL&gt;&lt;Q&gt;Ticker0024^FE_ESTIMATE(PRODLINE_SALES_17,MEAN,QUARTERLY_ROLL,2017/3F,45769,,,'')&lt;/Q&gt;&lt;R&gt;1&lt;/R&gt;&lt;C&gt;1&lt;/C&gt;&lt;D xsi:type="xsd:double"&gt;8836&lt;/D&gt;&lt;/FQL&gt;&lt;FQL&gt;&lt;Q&gt;Ticker0024^FE_ESTIMATE(PRODLINE_SALES_17,MEAN,QUARTERLY_ROLL,2017/2F,45769,,,'')&lt;/Q&gt;&lt;R&gt;1&lt;/R&gt;&lt;C&gt;1&lt;/C&gt;&lt;D xsi:type="xsd:double"&gt;11823&lt;/D&gt;&lt;/FQL&gt;&lt;FQL&gt;&lt;Q&gt;Ticker0024^FE_ESTIMATE(PRODLINE_SALES_17,MEAN,QUARTERLY_ROLL,2017/1F,45769,,,'')&lt;/Q&gt;&lt;R&gt;1&lt;/R&gt;&lt;C&gt;1&lt;/C&gt;&lt;D xsi:type="xsd:double"&gt;9294&lt;/D&gt;&lt;/FQL&gt;&lt;FQL&gt;&lt;Q&gt;Ticker0024^FE_ESTIMATE(PRODLINE_SALES_17,MEAN,ANNUAL_ROLL,2016,45769,,,'')&lt;/Q&gt;&lt;R&gt;1&lt;/R&gt;&lt;C&gt;1&lt;/C&gt;&lt;D xsi:type="xsd:double"&gt;40460&lt;/D&gt;&lt;/FQL&gt;&lt;FQL&gt;&lt;Q&gt;Ticker0024^FE_ESTIMATE(PRODLINE_SALES_17,MEAN,QUARTERLY_ROLL,2016/4F,45769,,,'')&lt;/Q&gt;&lt;R&gt;1&lt;/R&gt;&lt;C&gt;1&lt;/C&gt;&lt;D xsi:type="xsd:double"&gt;8897&lt;/D&gt;&lt;/FQL&gt;&lt;FQL&gt;&lt;Q&gt;Ticker0024^FE_ESTIMATE(PRODLINE_SALES_17,MEAN,QUARTERLY_ROLL,2016/3F,45769,,,'')&lt;/Q&gt;&lt;R&gt;1&lt;/R&gt;&lt;C&gt;1&lt;/C&gt;&lt;D xsi:type="xsd:double"&gt;9458&lt;/D&gt;&lt;/FQL&gt;&lt;FQL&gt;&lt;Q&gt;Ticker0024^FE_ESTIMATE(PRODLINE_SALES_17,MEAN,QUARTERLY_ROLL,2016/2F,45769,,,'')&lt;/Q&gt;&lt;R&gt;1&lt;/R&gt;&lt;C&gt;1&lt;/C&gt;&lt;D xsi:type="xsd:double"&gt;12660&lt;/D&gt;&lt;/FQL&gt;&lt;FQL&gt;&lt;Q&gt;Ticker0024^FE_ESTIMATE(PRODLINE_SALES_17,MEAN,QUARTERLY_ROLL,2016/1F,45769,,,'')&lt;/Q&gt;&lt;R&gt;1&lt;/R&gt;&lt;C&gt;1&lt;/C&gt;&lt;D xsi:type="xsd:double"&gt;9381&lt;/D&gt;&lt;/FQL&gt;&lt;FQL&gt;&lt;Q&gt;Ticker0024^FE_ESTIMATE(PRODLINE_SALES_17,MEAN,ANNUAL_ROLL,2015,45769,,,'')&lt;/Q&gt;&lt;R&gt;0&lt;/R&gt;&lt;C&gt;0&lt;/C&gt;&lt;/FQL&gt;&lt;FQL&gt;&lt;Q&gt;Ticker0024^FE_ESTIMATE(PRODLINE_SALES_17,MEAN,QUARTERLY_ROLL,2015/4F,45769,,,'')&lt;/Q&gt;&lt;R&gt;0&lt;/R&gt;&lt;C&gt;0&lt;/C&gt;&lt;/FQL&gt;&lt;FQL&gt;&lt;Q&gt;Ticker0024^FE_ESTIMATE(PRODLINE_SALES_17,MEAN,QUARTERLY_ROLL,2015/3F,45769,,,'')&lt;/Q&gt;&lt;R&gt;0&lt;/R&gt;&lt;C&gt;0&lt;/C&gt;&lt;/FQL&gt;&lt;FQL&gt;&lt;Q&gt;Ticker0024^FE_ESTIMATE(PRODLINE_SALES_17,MEAN,QUARTERLY_ROLL,2015/2F,45769,,,'')&lt;/Q&gt;&lt;R&gt;0&lt;/R&gt;&lt;C&gt;0&lt;/C&gt;&lt;/FQL&gt;&lt;FQL&gt;&lt;Q&gt;Ticker0024^FE_ESTIMATE(PRODLINE_SALES_17,MEAN,QUARTERLY_ROLL,2015/1F,45769,,,'')&lt;/Q&gt;&lt;R&gt;0&lt;/R&gt;&lt;C&gt;0&lt;/C&gt;&lt;/FQL&gt;&lt;FQL&gt;&lt;Q&gt;Ticker0024^FE_ESTIMATE(PRODLINE_SALES_16,MEAN,ANNUAL_ROLL,2030,45769,,,'')&lt;/Q&gt;&lt;R&gt;0&lt;/R&gt;&lt;C&gt;0&lt;/C&gt;&lt;/FQL&gt;&lt;FQL&gt;&lt;Q&gt;Ticker0024^FE_ESTIMATE(PRODLINE_SALES_16,MEAN,QUARTERLY_ROLL,2030/4F,45769,,,'')&lt;/Q&gt;&lt;R&gt;0&lt;/R&gt;&lt;C&gt;0&lt;/C&gt;&lt;/FQL&gt;&lt;FQL&gt;&lt;Q&gt;Ticker0024^FE_ESTIMATE(PRODLINE_SALES_16,MEAN,QUARTERLY_ROLL,2030/3F,45769,,,'')&lt;/Q&gt;&lt;R&gt;0&lt;/R&gt;&lt;C&gt;0&lt;/C&gt;&lt;/FQL&gt;&lt;FQL&gt;&lt;Q&gt;Ticker0024^FE_ESTIMATE(PRODLINE_SALES_16,MEAN,QUARTERLY_ROLL,2030/2F,45769,,,'')&lt;/Q&gt;&lt;R&gt;0&lt;/R&gt;&lt;C&gt;0&lt;/C&gt;&lt;/FQL&gt;&lt;FQL&gt;&lt;Q&gt;Ticker0024^FE_ESTIMATE(PRODLINE_SALES_16,MEAN,QUARTERLY_ROLL,2030/1F,45769,,,'')&lt;/Q&gt;&lt;R&gt;0&lt;/R&gt;&lt;C&gt;0&lt;/C&gt;&lt;/FQL&gt;&lt;FQL&gt;&lt;Q&gt;Ticker0024^FE_ESTIMATE(PRODLINE_SALES_16,MEAN,ANNUAL_ROLL,2029,45769,,,'')&lt;/Q&gt;&lt;R&gt;0&lt;/R&gt;&lt;C&gt;0&lt;/C&gt;&lt;/FQL&gt;&lt;FQL&gt;&lt;Q&gt;Ticker0024^FE_ESTIMATE(PRODLINE_SALES_16,MEAN,QUARTERLY_ROLL,2029/4F,45769,,,'')&lt;/Q&gt;&lt;R&gt;0&lt;/R&gt;&lt;C&gt;0&lt;/C&gt;&lt;/FQL&gt;&lt;FQL&gt;&lt;Q&gt;Ticker0024^FE_ESTIMATE(PRODLINE_SALES_16,MEAN,QUARTERLY_ROLL,2029/3F,45769,,,'')&lt;/Q&gt;&lt;R&gt;0&lt;/R&gt;&lt;C&gt;0&lt;/C&gt;&lt;/FQL&gt;&lt;FQL&gt;&lt;Q&gt;Ticker0024^FE_ESTIMATE(PRODLINE_SALES_16,MEAN,QUARTERLY_ROLL,2029/2F,45769,,,'')&lt;/Q&gt;&lt;R&gt;0&lt;/R&gt;&lt;C&gt;0&lt;/C&gt;&lt;/FQL&gt;&lt;FQL&gt;&lt;Q&gt;Ticker0024^FE_ESTIMATE(PRODLINE_SALES_16,MEAN,QUARTERLY_ROLL,2029/1F,45769,,,'')&lt;/Q&gt;&lt;R&gt;0&lt;/R&gt;&lt;C&gt;0&lt;/C&gt;&lt;/FQL&gt;&lt;FQL&gt;&lt;Q&gt;Ticker0024^FE_ESTIMATE(PRODLINE_SALES_16,MEAN,ANNUAL_ROLL,2028,45769,,,'')&lt;/Q&gt;&lt;R&gt;0&lt;/R&gt;&lt;C&gt;0&lt;/C&gt;&lt;/FQL&gt;&lt;FQL&gt;&lt;Q&gt;Ticker0024^FE_ESTIMATE(PRODLINE_SALES_16,MEAN,QUARTERLY_ROLL,2028/4F,45769,,,'')&lt;/Q&gt;&lt;R&gt;0&lt;/R&gt;&lt;C&gt;0&lt;/C&gt;&lt;/FQL&gt;&lt;FQL&gt;&lt;Q&gt;Ticker0024^FE_ESTIMATE(PRODLINE_SALES_16,MEAN,QUARTERLY_ROLL,2028/3F,45769,,,'')&lt;/Q&gt;&lt;R&gt;0&lt;/R&gt;&lt;C&gt;0&lt;/C&gt;&lt;/FQL&gt;&lt;FQL&gt;&lt;Q&gt;Ticker0024^FE_ESTIMATE(PRODLINE_SALES_16,MEAN,QUARTERLY_ROLL,2028/2F,45769,,,'')&lt;/Q&gt;&lt;R&gt;0&lt;/R&gt;&lt;C&gt;0&lt;/C&gt;&lt;/FQL&gt;&lt;FQL&gt;&lt;Q&gt;Ticker0024^FE_ESTIMATE(PRODLINE_SALES_16,MEAN,QUARTERLY_ROLL,2028/1F,45769,,,'')&lt;/Q&gt;&lt;R&gt;0&lt;/R&gt;&lt;C&gt;0&lt;/C&gt;&lt;/FQL&gt;&lt;FQL&gt;&lt;Q&gt;Ticker0024^FE_ESTIMATE(PRODLINE_SALES_16,MEAN,ANNUAL_ROLL,2027,45769,,,'')&lt;/Q&gt;&lt;R&gt;1&lt;/R&gt;&lt;C&gt;1&lt;/C&gt;&lt;D xsi:type="xsd:double"&gt;157939.23&lt;/D&gt;&lt;/FQL&gt;&lt;FQL&gt;&lt;Q&gt;Ticker0024^FE_ESTIMATE(PRODLINE_SALES_16,MEAN,QUARTERLY_ROLL,2027/4F,45769,,,'')&lt;/Q&gt;&lt;R&gt;1&lt;/R&gt;&lt;C&gt;1&lt;/C&gt;&lt;D xsi:type="xsd:double"&gt;45716&lt;/D&gt;&lt;/FQL&gt;&lt;FQL&gt;&lt;Q&gt;Ticker0024^FE_ESTIMATE(PRODLINE_SALES_16,MEAN,QUARTERLY_ROLL,2027/3F,45769,,,'')&lt;/Q&gt;&lt;R&gt;1&lt;/R&gt;&lt;C&gt;1&lt;/C&gt;&lt;D xsi:type="xsd:double"&gt;38216&lt;/D&gt;&lt;/FQL&gt;&lt;FQL&gt;&lt;Q&gt;Ticker0024^FE_ESTIMATE(PRODLINE_SALES_16,MEAN,QUARTERLY_ROLL,2027/2F,45769,,,'')&lt;/Q&gt;&lt;R&gt;1&lt;/R&gt;&lt;C&gt;1&lt;/C&gt;&lt;D xsi:type="xsd:double"&gt;37509.5&lt;/D&gt;&lt;/FQL&gt;&lt;FQL&gt;&lt;Q&gt;Ticker0024^FE_ESTIMATE(PRODLINE_SALES_16,MEAN,QUART</t>
        </r>
      </text>
    </comment>
    <comment ref="A32" authorId="0" shapeId="0" xr:uid="{821FADC2-43C5-4437-B4DC-B560D08F48AA}">
      <text>
        <r>
          <rPr>
            <b/>
            <sz val="9"/>
            <color indexed="81"/>
            <rFont val="Tahoma"/>
            <family val="2"/>
          </rPr>
          <t>ERLY_ROLL,2027/1F,45769,,,'')&lt;/Q&gt;&lt;R&gt;1&lt;/R&gt;&lt;C&gt;1&lt;/C&gt;&lt;D xsi:type="xsd:double"&gt;35058.5&lt;/D&gt;&lt;/FQL&gt;&lt;FQL&gt;&lt;Q&gt;Ticker0024^FE_ESTIMATE(PRODLINE_SALES_16,MEAN,ANNUAL_ROLL,2026,45769,,,'')&lt;/Q&gt;&lt;R&gt;1&lt;/R&gt;&lt;C&gt;1&lt;/C&gt;&lt;D xsi:type="xsd:double"&gt;126657.59&lt;/D&gt;&lt;/FQL&gt;&lt;FQL&gt;&lt;Q&gt;Ticker0024^FE_ESTIMATE(PRODLINE_SALES_16,MEAN,QUARTERLY_ROLL,2026/4F,45769,,,'')&lt;/Q&gt;&lt;R&gt;1&lt;/R&gt;&lt;C&gt;1&lt;/C&gt;&lt;D xsi:type="xsd:double"&gt;34487.35&lt;/D&gt;&lt;/FQL&gt;&lt;FQL&gt;&lt;Q&gt;Ticker0024^FE_ESTIMATE(PRODLINE_SALES_16,MEAN,QUARTERLY_ROLL,2026/3F,45769,,,'')&lt;/Q&gt;&lt;R&gt;1&lt;/R&gt;&lt;C&gt;1&lt;/C&gt;&lt;D xsi:type="xsd:double"&gt;31621.75&lt;/D&gt;&lt;/FQL&gt;&lt;FQL&gt;&lt;Q&gt;Ticker0024^FE_ESTIMATE(PRODLINE_SALES_16,MEAN,QUARTERLY_ROLL,2026/2F,45769,,,'')&lt;/Q&gt;&lt;R&gt;1&lt;/R&gt;&lt;C&gt;1&lt;/C&gt;&lt;D xsi:type="xsd:double"&gt;30771.08&lt;/D&gt;&lt;/FQL&gt;&lt;FQL&gt;&lt;Q&gt;Ticker0024^FE_ESTIMATE(PRODLINE_SALES_16,MEAN,QUARTERLY_ROLL,2026/1F,45769,,,'')&lt;/Q&gt;&lt;R&gt;1&lt;/R&gt;&lt;C&gt;1&lt;/C&gt;&lt;D xsi:type="xsd:double"&gt;28944.014&lt;/D&gt;&lt;/FQL&gt;&lt;FQL&gt;&lt;Q&gt;Ticker0024^FE_ESTIMATE(PRODLINE_SALES_16,MEAN,ANNUAL_ROLL,2025,45769,,,'')&lt;/Q&gt;&lt;R&gt;1&lt;/R&gt;&lt;C&gt;1&lt;/C&gt;&lt;D xsi:type="xsd:double"&gt;104488.95&lt;/D&gt;&lt;/FQL&gt;&lt;FQL&gt;&lt;Q&gt;Ticker0024^FE_ESTIMATE(PRODLINE_SALES_16,MEAN,QUARTERLY_ROLL,2025/4F,45769,,,'')&lt;/Q&gt;&lt;R&gt;1&lt;/R&gt;&lt;C&gt;1&lt;/C&gt;&lt;D xsi:type="xsd:double"&gt;28610.477&lt;/D&gt;&lt;/FQL&gt;&lt;FQL&gt;&lt;Q&gt;Ticker0024^FE_ESTIMATE(PRODLINE_SALES_16,MEAN,QUARTERLY_ROLL,2025/3F,45769,,,'')&lt;/Q&gt;&lt;R&gt;1&lt;/R&gt;&lt;C&gt;1&lt;/C&gt;&lt;D xsi:type="xsd:double"&gt;26190.305&lt;/D&gt;&lt;/FQL&gt;&lt;FQL&gt;&lt;Q&gt;Ticker0024^FE_ESTIMATE(PRODLINE_SALES_16,MEAN,QUARTERLY_ROLL,2025/2F,45769,,,'')&lt;/Q&gt;&lt;R&gt;1&lt;/R&gt;&lt;C&gt;1&lt;/C&gt;&lt;D xsi:type="xsd:double"&gt;25544&lt;/D&gt;&lt;/FQL&gt;&lt;FQL&gt;&lt;Q&gt;Ticker0024^FE_ESTIMATE(PRODLINE_SALES_16,MEAN,QUARTERLY_ROLL,2025/1F,45769,,,'')&lt;/Q&gt;&lt;R&gt;1&lt;/R&gt;&lt;C&gt;1&lt;/C&gt;&lt;D xsi:type="xsd:double"&gt;24092&lt;/D&gt;&lt;/FQL&gt;&lt;FQL&gt;&lt;Q&gt;Ticker0024^FE_ESTIMATE(PRODLINE_SALES_16,MEAN,ANNUAL_ROLL,2024,45769,,,'')&lt;/Q&gt;&lt;R&gt;1&lt;/R&gt;&lt;C&gt;1&lt;/C&gt;&lt;D xsi:type="xsd:double"&gt;105362&lt;/D&gt;&lt;/FQL&gt;&lt;FQL&gt;&lt;Q&gt;Ticker0024^FE_ESTIMATE(PRODLINE_SALES_16,MEAN,QUARTERLY_ROLL,2024/4F,45769,,,'')&lt;/Q&gt;&lt;R&gt;1&lt;/R&gt;&lt;C&gt;1&lt;/C&gt;&lt;D xsi:type="xsd:double"&gt;28515&lt;/D&gt;&lt;/FQL&gt;&lt;FQL&gt;&lt;Q&gt;Ticker0024^FE_ESTIMATE(PRODLINE_SALES_16,MEAN,QUARTERLY_ROLL,2024/3F,45769,,,'')&lt;/Q&gt;&lt;R&gt;1&lt;/R&gt;&lt;C&gt;1&lt;/C&gt;&lt;D xsi:type="xsd:double"&gt;26708&lt;/D&gt;&lt;/FQL&gt;&lt;FQL&gt;&lt;Q&gt;Ticker0024^FE_ESTIMATE(PRODLINE_SALES_16,MEAN,QUARTERLY_ROLL,2024/2F,45769,,,'')&lt;/Q&gt;&lt;R&gt;1&lt;/R&gt;&lt;C&gt;1&lt;/C&gt;&lt;D xsi:type="xsd:double"&gt;25880&lt;/D&gt;&lt;/FQL&gt;&lt;FQL&gt;&lt;Q&gt;Ticker0024^FE_ESTIMATE(PRODLINE_SALES_16,MEAN,QUARTERLY_ROLL,2024/1F,45769,,,'')&lt;/Q&gt;&lt;R&gt;1&lt;/R&gt;&lt;C&gt;1&lt;/C&gt;&lt;D xsi:type="xsd:double"&gt;24259&lt;/D&gt;&lt;/FQL&gt;&lt;FQL&gt;&lt;Q&gt;Ticker0024^FE_ESTIMATE(PRODLINE_SALES_16,MEAN,ANNUAL_ROLL,2023,45769,,,'')&lt;/Q&gt;&lt;R&gt;1&lt;/R&gt;&lt;C&gt;1&lt;/C&gt;&lt;D xsi:type="xsd:double"&gt;87906.82&lt;/D&gt;&lt;/FQL&gt;&lt;FQL&gt;&lt;Q&gt;Ticker0024^FE_ESTIMATE(PRODLINE_SALES_16,MEAN,QUARTERLY_ROLL,2023/4F,45769,,,'')&lt;/Q&gt;&lt;R&gt;1&lt;/R&gt;&lt;C&gt;1&lt;/C&gt;&lt;D xsi:type="xsd:double"&gt;23993&lt;/D&gt;&lt;/FQL&gt;&lt;FQL&gt;&lt;Q&gt;Ticker0024^FE_ESTIMATE(PRODLINE_SALES_16,MEAN,QUARTERLY_ROLL,2023/3F,45769,,,'')&lt;/Q&gt;&lt;R&gt;1&lt;/R&gt;&lt;C&gt;1&lt;/C&gt;&lt;D xsi:type="xsd:double"&gt;22081&lt;/D&gt;&lt;/FQL&gt;&lt;FQL&gt;&lt;Q&gt;Ticker0024^FE_ESTIMATE(PRODLINE_SALES_16,MEAN,QUARTERLY_ROLL,2023/2F,45769,,,'')&lt;/Q&gt;&lt;R&gt;1&lt;/R&gt;&lt;C&gt;1&lt;/C&gt;&lt;D xsi:type="xsd:double"&gt;21508&lt;/D&gt;&lt;/FQL&gt;&lt;FQL&gt;&lt;Q&gt;Ticker0024^FE_ESTIMATE(PRODLINE_SALES_16,MEAN,QUARTERLY_ROLL,2023/1F,45769,,,'')&lt;/Q&gt;&lt;R&gt;1&lt;/R&gt;&lt;C&gt;1&lt;/C&gt;&lt;D xsi:type="xsd:double"&gt;20325&lt;/D&gt;&lt;/FQL&gt;&lt;FQL&gt;&lt;Q&gt;Ticker0024^FE_ESTIMATE(PRODLINE_SALES_16,MEAN,ANNUAL_ROLL,2022,45769,,,'')&lt;/Q&gt;&lt;R&gt;1&lt;/R&gt;&lt;C&gt;1&lt;/C&gt;&lt;D xsi:type="xsd:double"&gt;75251&lt;/D&gt;&lt;/FQL&gt;&lt;FQL&gt;&lt;Q&gt;Ticker0024^FE_ESTIMATE(PRODLINE_SALES_16,MEAN,QUARTERLY_ROLL,2022/4F,45769,,,'')&lt;/Q&gt;&lt;R&gt;1&lt;/R&gt;&lt;C&gt;1&lt;/C&gt;&lt;D xsi:type="xsd:double"&gt;20909&lt;/D&gt;&lt;/FQL&gt;&lt;FQL&gt;&lt;Q&gt;Ticker0024^FE_ESTIMATE(PRODLINE_SALES_16,MEAN,QUARTERLY_ROLL,2022/3F,45769,,,'')&lt;/Q&gt;&lt;R&gt;1&lt;/R&gt;&lt;C&gt;1&lt;/C&gt;&lt;D xsi:type="xsd:double"&gt;19051&lt;/D&gt;&lt;/FQL&gt;&lt;FQL&gt;&lt;Q&gt;Ticker0024^FE_ESTIMATE(PRODLINE_SALES_16,MEAN,QUARTERLY_ROLL,2022/2F,45769,,,'')&lt;/Q&gt;&lt;R&gt;1&lt;/R&gt;&lt;C&gt;1&lt;/C&gt;&lt;D xsi:type="xsd:double"&gt;18327&lt;/D&gt;&lt;/FQL&gt;&lt;FQL&gt;&lt;Q&gt;Ticker0024^FE_ESTIMATE(PRODLINE_SALES_16,MEAN,QUARTERLY_ROLL,2022/1F,45769,,,'')&lt;/Q&gt;&lt;R&gt;1&lt;/R&gt;&lt;C&gt;1&lt;/C&gt;&lt;D xsi:type="xsd:double"&gt;16964&lt;/D&gt;&lt;/FQL&gt;&lt;FQL&gt;&lt;Q&gt;Ticker0024^FE_ESTIMATE(PRODLINE_SALES_16,MEAN,ANNUAL_ROLL,2021,45769,,,'')&lt;/Q&gt;&lt;R&gt;1&lt;/R&gt;&lt;C&gt;1&lt;/C&gt;&lt;D xsi:type="xsd:double"&gt;60080&lt;/D&gt;&lt;/FQL&gt;&lt;FQL&gt;&lt;Q&gt;Ticker0024^FE_ESTIMATE(PRODLINE_SALES_16,MEAN,QUARTERLY_ROLL,2021/4F,45769,,,'')&lt;/Q&gt;&lt;R&gt;1&lt;/R&gt;&lt;C&gt;1&lt;/C&gt;&lt;D xsi:type="xsd:double"&gt;17375&lt;/D&gt;&lt;/FQL&gt;&lt;FQL&gt;&lt;Q&gt;Ticker0024^FE_ESTIMATE(PRODLINE_SALES_16,MEAN,QUARTERLY_ROLL,2021/3F,45769,,,'')&lt;/Q&gt;&lt;R&gt;1&lt;/R&gt;&lt;C&gt;1&lt;/C&gt;&lt;D xsi:type="xsd:double"&gt;15118&lt;/D&gt;&lt;/FQL&gt;&lt;FQL&gt;&lt;Q&gt;Ticker0024^FE_ESTIMATE(PRODLINE_SALES_16,MEAN,QUARTERLY_ROLL,2021/2F,45769,,,'')&lt;/Q&gt;&lt;R&gt;1&lt;/R&gt;&lt;C&gt;1&lt;/C&gt;&lt;D xsi:type="xsd:double"&gt;14601&lt;/D&gt;&lt;/FQL&gt;&lt;FQL&gt;&lt;Q&gt;Ticker0024^FE_ESTIMATE(PRODLINE_SALES_16,MEAN,QUARTERLY_ROLL,2021/1F,45769,,,'')&lt;/Q&gt;&lt;R&gt;1&lt;/R&gt;&lt;C&gt;1&lt;/C&gt;&lt;D xsi:type="xsd:double"&gt;12986&lt;/D&gt;&lt;/FQL&gt;&lt;FQL&gt;&lt;Q&gt;Ticker0024^FE_ESTIMATE(PRODLINE_SALES_16,MEAN,ANNUAL_ROLL,2020,45769,,,'')&lt;/Q&gt;&lt;R&gt;1&lt;/R&gt;&lt;C&gt;1&lt;/C&gt;&lt;D xsi:type="xsd:double"&gt;48366&lt;/D&gt;&lt;/FQL&gt;&lt;FQL&gt;&lt;Q&gt;Ticker0024^FE_ESTIMATE(PRODLINE_SALES_16,MEAN,QUARTERLY_ROLL,2020/4F,45769,,,'')&lt;/Q&gt;&lt;R&gt;1&lt;/R&gt;&lt;C&gt;1&lt;/C&gt;&lt;D xsi:type="xsd:double"&gt;13371&lt;/D&gt;&lt;/FQL&gt;&lt;FQL&gt;&lt;Q&gt;Ticker0024^FE_ESTIMATE(PRODLINE_SALES_16,MEAN,QUARTERLY_ROLL,2020/3F,45769,,,'')&lt;/Q&gt;&lt;R&gt;1&lt;/R&gt;&lt;C&gt;1&lt;/C&gt;&lt;D xsi:type="xsd:double"&gt;12281&lt;/D&gt;&lt;/FQL&gt;&lt;FQL&gt;&lt;Q&gt;Ticker0024^FE_ESTIMATE(PRODLINE_SALES_16,MEAN,QUARTERLY_ROLL,2020/2F,45769,,,'')&lt;/Q&gt;&lt;R&gt;1&lt;/R&gt;&lt;C&gt;1&lt;/C&gt;&lt;D xsi:type="xsd:double"&gt;11869&lt;/D&gt;&lt;/FQL&gt;&lt;FQL&gt;&lt;Q&gt;Ticker0024^FE_ESTIMATE(PRODLINE_SALES_16,MEAN,QUARTERLY_ROLL,2020/1F,45769,,,'')&lt;/Q&gt;&lt;R&gt;1&lt;/R&gt;&lt;C&gt;1&lt;/C&gt;&lt;D xsi:type="xsd:double"&gt;10845&lt;/D&gt;&lt;/FQL&gt;&lt;FQL&gt;&lt;Q&gt;Ticker0024^FE_ESTIMATE(PRODLINE_SALES_16,MEAN,ANNUAL_ROLL,2019,45769,,,'')&lt;/Q&gt;&lt;R&gt;1&lt;/R&gt;&lt;C&gt;1&lt;/C&gt;&lt;D xsi:type="xsd:double"&gt;38985&lt;/D&gt;&lt;/FQL&gt;&lt;FQL&gt;&lt;Q&gt;Ticker0024^FE_ESTIMATE(PRODLINE_SALES_16,MEAN,QUARTERLY_ROLL,2019/4F,45769,,,'')&lt;/Q&gt;&lt;R&gt;1&lt;/R&gt;&lt;C&gt;1&lt;/C&gt;&lt;D xsi:type="xsd:double"&gt;11391&lt;/D&gt;&lt;/FQL&gt;&lt;FQL&gt;&lt;Q&gt;Ticker0024^FE_ESTIMATE(PRODLINE_SALES_16,MEAN,QUARTERLY_ROLL,2019/3F,45769,,,'')&lt;/Q&gt;&lt;R&gt;1&lt;/R&gt;&lt;C&gt;1&lt;/C&gt;&lt;D xsi:type="xsd:double"&gt;9649&lt;/D&gt;&lt;/FQL&gt;&lt;FQL&gt;&lt;Q&gt;Ticker0024^FE_ESTIMATE(PRODLINE_SALES_16,MEAN,QUARTERLY_ROLL,2019/2F,45769,,,'')&lt;/Q&gt;&lt;R&gt;1&lt;/R&gt;&lt;C&gt;1&lt;/C&gt;&lt;D xsi:type="xsd:double"&gt;9378&lt;/D&gt;&lt;/FQL&gt;&lt;FQL&gt;&lt;Q&gt;Ticker0024^FE_ESTIMATE(PRODLINE_SALES_16,MEAN,QUARTERLY_ROLL,2019/1F,45769,,,'')&lt;/Q&gt;&lt;R&gt;1&lt;/R&gt;&lt;C&gt;1&lt;/C&gt;&lt;D xsi:type="xsd:double"&gt;8567&lt;/D&gt;&lt;/FQL&gt;&lt;FQL&gt;&lt;Q&gt;Ticker0024^FE_ESTIMATE(PRODLINE_SALES_16,MEAN,ANNUAL_ROLL,2018,45769,,,'')&lt;/Q&gt;&lt;R&gt;1&lt;/R&gt;&lt;C&gt;1&lt;/C&gt;&lt;D xsi:type="xsd:double"&gt;32219&lt;/D&gt;&lt;/FQL&gt;&lt;FQL&gt;&lt;Q&gt;Ticker0024^FE_ESTIMATE(PRODLINE_SALES_16,MEAN,QUARTERLY_ROLL,2018/4F,45769,,,'')&lt;/Q&gt;&lt;R&gt;1&lt;/R&gt;&lt;C&gt;1&lt;/C&gt;&lt;D xsi:type="xsd:double"&gt;9606&lt;/D&gt;&lt;/FQL&gt;&lt;FQL&gt;&lt;Q&gt;Ticker0024^FE_ESTIMATE(PRODLINE_SALES_16,MEAN,QUARTERLY_ROLL,2018/3F,45769,,,'')&lt;/Q&gt;&lt;R&gt;1&lt;/R&gt;&lt;C&gt;1&lt;/C&gt;&lt;D xsi:type="xsd:double"&gt;7896&lt;/D&gt;&lt;/FQL&gt;&lt;FQL&gt;&lt;Q&gt;Ticker0024^FE_ESTIMATE(PRODLINE_SALES_16,MEAN,QUARTERLY_ROLL,2018/2F,45769,,,'')&lt;/Q&gt;&lt;R&gt;1&lt;/R&gt;&lt;C&gt;1&lt;/C&gt;&lt;D xsi:type="xsd:double"&gt;7795&lt;/D&gt;&lt;/FQL&gt;&lt;FQL&gt;&lt;Q&gt;Ticker0024^FE_ESTIMATE(PRODLINE_SALES_16,MEAN,QUARTERLY_ROLL,2018/1F,45769,,,'')&lt;/Q&gt;&lt;R&gt;1&lt;/R&gt;&lt;C&gt;1&lt;/C&gt;&lt;D xsi:type="xsd:double"&gt;6922&lt;/D&gt;&lt;/FQL&gt;&lt;FQL&gt;&lt;Q&gt;Ticker0024^FE_ESTIMATE(PRODLINE_SALES_16,MEAN,ANNUAL_ROLL,2017,45769,,,'')&lt;/Q&gt;&lt;R&gt;1&lt;/R&gt;&lt;C&gt;1&lt;/C&gt;&lt;D xsi:type="xsd:double"&gt;27440&lt;/D&gt;&lt;/FQL&gt;&lt;FQL&gt;&lt;Q&gt;Ticker0024^FE_ESTIMATE(PRODLINE_SALES_16,MEAN,QUARTERLY_ROLL,2017/4F,45769,,,'')&lt;/Q&gt;&lt;R&gt;1&lt;/R&gt;&lt;C&gt;1&lt;/C&gt;&lt;D xsi:type="xsd:double"&gt;7434&lt;/D&gt;&lt;/FQL&gt;&lt;FQL&gt;&lt;Q&gt;Ticker0024^FE_ESTIMATE(PRODLINE_SALES_16,MEAN,QUARTERLY_ROLL,2017/3F,45769,,,'')&lt;/Q&gt;&lt;R&gt;1&lt;/R&gt;&lt;C&gt;1&lt;/C&gt;&lt;D xsi:type="xsd:double"&gt;6763&lt;/D&gt;&lt;/FQL&gt;&lt;FQL&gt;&lt;Q&gt;Ticker0024^FE_ESTIMATE(PRODLINE_SALES_16,MEAN,QUARTERLY_ROLL,2017/2F,45769,,,'')&lt;/Q&gt;&lt;R&gt;1&lt;/R&gt;&lt;C&gt;1&lt;/C&gt;&lt;D xsi:type="xsd:double"&gt;6861&lt;/D&gt;&lt;/FQL&gt;&lt;FQL&gt;&lt;Q&gt;Ticker0024^FE_ESTIMATE(PRODLINE_SALES_16,MEAN,QUARTERLY_ROLL,2017/1F,45769,,,'')&lt;/Q&gt;&lt;R&gt;1&lt;/R&gt;&lt;C&gt;1&lt;/C&gt;&lt;D xsi:type="xsd:double"&gt;6382&lt;/D&gt;&lt;/FQL&gt;&lt;FQL&gt;&lt;Q&gt;Ticker0024^FE_ESTIMATE(PRODLINE_SALES_16,MEAN,ANNUAL_ROLL,2016,45769,,,'')&lt;/Q&gt;&lt;R&gt;1&lt;/R&gt;&lt;C&gt;1&lt;/C&gt;&lt;D xsi:type="xsd:double"&gt;25042&lt;/D&gt;&lt;/FQL&gt;&lt;FQL&gt;&lt;Q&gt;Ticker0024^FE_ESTIMATE(PRODLINE_SALES_16,MEAN,QUARTERLY_ROLL,2016/4F,45769,,,'')&lt;/Q&gt;&lt;R&gt;1&lt;/R&gt;&lt;C&gt;1&lt;/C&gt;&lt;D xsi:type="xsd:double"&gt;6711&lt;/D&gt;&lt;/FQL&gt;&lt;FQL&gt;&lt;Q&gt;Ticker0024^FE_ESTIMATE(PRODLINE_SALES_16,MEAN,QUARTERLY_ROLL,2016/3F,45769,,,'')&lt;/Q&gt;&lt;R&gt;1&lt;/R&gt;&lt;C&gt;1&lt;/C&gt;&lt;D xsi:type="xsd:double"&gt;6096&lt;/D&gt;&lt;/FQL&gt;&lt;FQL&gt;&lt;Q&gt;Ticker0024^FE_ESTIMATE(PRODLINE_SALES_16,MEAN,QUARTERLY_ROLL,2016/2F,45769,,,'')&lt;/Q&gt;&lt;R&gt;1&lt;/R&gt;&lt;C&gt;1&lt;/C&gt;&lt;D xsi:type="xsd:double"&gt;6343&lt;/D&gt;&lt;/FQL&gt;&lt;FQL&gt;&lt;Q&gt;Ticker0024^FE_ESTIMATE(PRODLINE_SALES_16,MEAN,QUARTERLY_ROLL,2016/1F,45769,,,'')&lt;/Q&gt;&lt;R&gt;1&lt;/R&gt;&lt;C&gt;1&lt;/C&gt;&lt;D xsi:type="xsd:double"&gt;5892&lt;/D&gt;&lt;/FQL&gt;&lt;FQL&gt;&lt;Q&gt;Ticker0024^FE_ESTIMATE(PRODLINE_SALES_16,MEAN,ANNUAL_ROLL,2015,45769,,,'')&lt;/Q&gt;&lt;R&gt;0&lt;/R&gt;&lt;C&gt;0&lt;/C&gt;&lt;/FQL&gt;&lt;FQL&gt;&lt;Q&gt;Ticker0024^FE_ESTIMATE(PRODLINE_SALES_16,MEAN,QUARTERLY_ROLL,2015/4F,45769,,,'')&lt;/Q&gt;&lt;R&gt;0&lt;/R&gt;&lt;C&gt;0&lt;/C&gt;&lt;/FQL&gt;&lt;FQL&gt;&lt;Q&gt;Ticker0024^FE_ESTIMATE(PRODLINE_SALES_16,MEAN,QUARTERLY_ROLL,2015/3F,45769,,,'')&lt;/Q&gt;&lt;R&gt;0&lt;/R&gt;&lt;C&gt;0&lt;/C&gt;&lt;/FQL&gt;&lt;FQL&gt;&lt;Q&gt;Ticker0024^FE_ESTIMATE(PRODLINE_SALES_16,MEAN,QUARTERLY_ROLL,2015/2F,45769,,,'')&lt;/Q&gt;&lt;R&gt;0&lt;/R&gt;&lt;C&gt;0&lt;/C&gt;&lt;/FQL&gt;&lt;FQL&gt;&lt;Q&gt;Ticker0024^FE_ESTIMATE(PRODLINE_SALES_16,MEAN,QUARTERLY_ROLL,2015/1F,45769,,,'')&lt;/Q&gt;&lt;R&gt;0&lt;/R&gt;&lt;C&gt;0&lt;/C&gt;&lt;/FQL&gt;&lt;FQL&gt;&lt;Q&gt;Ticker0024^FE_ESTIMATE(PRODLINE_SALES_15,MEAN,ANNUAL_ROLL,2030,45769,,,'')&lt;/Q&gt;&lt;R&gt;0&lt;/R&gt;&lt;C&gt;0&lt;/C&gt;&lt;/FQL&gt;&lt;FQL&gt;&lt;Q&gt;Ticker0024^FE_ESTIMATE(PRODLINE_SALES_15,MEAN,QUARTERLY_ROLL,2030/4F,45769,,,'')&lt;/Q&gt;&lt;R&gt;0&lt;/R&gt;&lt;C&gt;0&lt;/C&gt;&lt;/FQL&gt;&lt;FQL&gt;&lt;Q&gt;Ticker0024^FE_ESTIMATE(PRODLINE_SALES_15,MEAN,QUARTERLY_ROLL,2030/3F,45769,,,'')&lt;/Q&gt;&lt;R&gt;0&lt;/R&gt;&lt;C&gt;0&lt;/C&gt;&lt;/FQL&gt;&lt;FQL&gt;&lt;Q&gt;Ticker0024^FE_ESTIMATE(PRODLINE_SALES_15,MEAN,QUARTERLY_ROLL,2030/2F,45769,,,'')&lt;/Q&gt;&lt;R&gt;0&lt;/R&gt;&lt;C&gt;0&lt;/C&gt;&lt;/FQL&gt;&lt;FQL&gt;&lt;Q&gt;Ticker0024^FE_ESTIMATE(PRODLINE_SALES_15,MEAN,QUARTERLY_ROLL,2030/1F,45769,,,'')&lt;/Q&gt;&lt;R&gt;0&lt;/R&gt;&lt;C&gt;0&lt;/C&gt;&lt;/FQL&gt;&lt;FQL&gt;&lt;Q&gt;Ticker0024^FE_ESTIMATE(PRODLINE_SALES_15,MEAN,ANNUAL_ROLL,2029,45769,,,'')&lt;/Q&gt;&lt;R&gt;0&lt;/R&gt;&lt;C&gt;0&lt;/C&gt;&lt;/FQL&gt;&lt;FQL&gt;&lt;Q&gt;Ticker0024^FE_ESTIMATE(PRODLINE_SALES_15,MEAN,QUARTERLY_ROLL,2029/4F,45769,,,'')&lt;/Q&gt;&lt;R&gt;0&lt;/R&gt;&lt;C&gt;0&lt;/C&gt;&lt;/FQL&gt;&lt;FQL&gt;&lt;Q&gt;Ticker0024^FE_ESTIMATE(PRODLINE_SALES_15,MEAN,QUARTERLY_ROLL,2029/3F,45769,,,'')&lt;/Q&gt;&lt;R&gt;0&lt;/R&gt;&lt;C&gt;0&lt;/C&gt;&lt;/FQL&gt;&lt;FQL&gt;&lt;Q&gt;Ticker0024^FE_ESTIMATE(PRODLINE_SALES_15,MEAN,QUARTERLY_ROLL,2029/2F,45769,,,'')&lt;/Q&gt;&lt;R&gt;0&lt;/R&gt;&lt;C&gt;0&lt;/C&gt;&lt;/FQL&gt;&lt;FQL&gt;&lt;Q&gt;Ticker0024^FE_ESTIMATE(PRODLINE_SALES_15,MEAN,QUARTERLY_ROLL,2029/1F,45769,,,'')&lt;/Q&gt;&lt;R&gt;0&lt;/R&gt;&lt;C&gt;0&lt;/C&gt;&lt;/FQL&gt;&lt;FQL&gt;&lt;Q&gt;Ticker0024^FE_ESTIMATE(PRODLINE_SALES_15,MEAN,ANNUAL_ROLL,2028,45769,,,'')&lt;/Q&gt;&lt;R&gt;0&lt;/R&gt;&lt;C&gt;0&lt;/C&gt;&lt;/FQL&gt;&lt;FQL&gt;&lt;Q&gt;Ticker0024^FE_ESTIMATE(PRODLINE_SALES_15,MEAN,QUARTERLY_ROLL,2028/4F,45769,,,'')&lt;/Q&gt;&lt;R&gt;0&lt;/R&gt;&lt;C&gt;0&lt;/C&gt;&lt;/FQL&gt;&lt;FQL&gt;&lt;Q&gt;Ticker0024^FE_ESTIMATE(PRODLINE_SALES_15,MEAN,QUARTERLY_ROLL,2028/3F,45769,,,'')&lt;/Q&gt;&lt;R&gt;0&lt;/R&gt;&lt;C&gt;0&lt;/C&gt;&lt;/FQL&gt;&lt;FQL&gt;&lt;Q&gt;Ticker0024^FE_ESTIMATE(PRODLINE_SALES_15,MEAN,QUARTERLY_ROLL,2028/2F,45769,,,'')&lt;/Q&gt;&lt;R&gt;0&lt;/R&gt;&lt;C&gt;0&lt;/C&gt;&lt;/FQL&gt;&lt;FQL&gt;&lt;Q&gt;Ticker0024^FE_ESTIMATE(PRODLINE_SALES_15,MEAN,QUARTERLY_ROLL,2028/1F,45769,,,'')&lt;/Q&gt;&lt;R&gt;0&lt;/R&gt;&lt;C&gt;0&lt;/C&gt;&lt;/FQL&gt;&lt;FQL&gt;&lt;Q&gt;Ticker0024^FE_ESTIMATE(PRODLINE_SALES_15,MEAN,ANNUAL_ROLL,2027,45769,,,'')&lt;/Q&gt;&lt;R&gt;1&lt;/R&gt;&lt;C&gt;1&lt;/C&gt;&lt;D xsi:type="xsd:double"&gt;143471.9&lt;/D&gt;&lt;/FQL&gt;&lt;FQL&gt;&lt;Q&gt;Ticker0024^FE_ESTIMATE(PRODLINE_SALES_15,MEAN,QUARTERLY_ROLL,2027/4F,45769,,,'')&lt;/Q&gt;&lt;R&gt;1&lt;/R&gt;&lt;C&gt;1&lt;/C&gt;&lt;D xsi:type="xsd:double"&gt;36839&lt;/D&gt;&lt;/FQL&gt;&lt;FQL&gt;&lt;Q&gt;Ticker0024^FE_ESTIMATE(PRODLINE_SALES_15,MEAN,QUARTERLY_ROLL,2027/3F,45769,,,'')&lt;/Q&gt;&lt;R&gt;1&lt;/R&gt;&lt;C&gt;1&lt;/C&gt;&lt;D xsi:type="xsd:double"&gt;35581&lt;/D&gt;&lt;/FQL&gt;&lt;FQL&gt;&lt;Q&gt;Ticker0024^FE_ESTIMATE(PRODLINE_SALES_15,MEAN,QUARTERLY_ROLL,2027/2F,45769,,,'')&lt;/Q&gt;&lt;R&gt;1&lt;/R&gt;&lt;C&gt;1&lt;/C&gt;&lt;D xsi:type="xsd:double"&gt;34907&lt;/D&gt;&lt;/FQL&gt;&lt;FQL&gt;&lt;Q&gt;Ticker0024^FE_ESTIMATE(PRODLINE_SALES_15,MEAN,QUARTERLY_ROLL,2027/1F,45769,,,'')&lt;/Q&gt;&lt;R&gt;1&lt;/R&gt;&lt;C&gt;1&lt;/C&gt;&lt;D xsi:type="xsd:double"&gt;33817.5&lt;/D&gt;&lt;/FQL&gt;&lt;FQL&gt;&lt;Q&gt;Ticker0024^FE_ESTIMATE(PRODLINE_SALES_15,MEAN,ANNUAL_ROLL,2026,45769,,,'')&lt;/Q&gt;&lt;R&gt;1&lt;/R&gt;&lt;C&gt;1&lt;/C&gt;&lt;D xsi:type="xsd:double"&gt;129904.44&lt;/D&gt;&lt;/FQL&gt;&lt;FQL&gt;&lt;Q&gt;Ticker0024^FE_ESTIMATE(PRODLINE_SALES_15,MEAN,QUARTERLY_ROLL,2026/4F,45769,,,'')&lt;/Q&gt;&lt;R&gt;1&lt;/R&gt;&lt;C&gt;1&lt;/C&gt;&lt;D xsi:type="xsd:double"&gt;33838.68&lt;/D&gt;&lt;/FQL&gt;&lt;FQL&gt;&lt;Q&gt;Ticker0024^FE_ESTIMATE(PRODLINE_SALES_15,MEAN,QUARTERLY_ROLL,2026/3F,45769,,,'')&lt;/Q&gt;&lt;R&gt;1&lt;/R&gt;&lt;C&gt;1&lt;/C&gt;&lt;D xsi:type="xsd:double"&gt;32269.742&lt;/D&gt;&lt;/FQL&gt;&lt;FQL&gt;&lt;Q&gt;Ticker0024^FE_ESTIMATE(PRODLINE_SALES_15,MEAN,QUARTERLY_ROLL,2026/2F,45769,,,'')&lt;/Q&gt;&lt;R&gt;1&lt;/R&gt;&lt;C&gt;1&lt;/C&gt;&lt;D xsi:type="xsd:double"&gt;31948.28&lt;/D&gt;&lt;/FQL&gt;&lt;FQL&gt;&lt;Q&gt;Ticker0024^FE_ESTIMATE(PRODLINE_SALES_15,MEAN,QUARTERLY_ROLL,2026/1F,45769,,,'')&lt;/Q&gt;&lt;R&gt;1&lt;/R&gt;&lt;C&gt;1&lt;/C&gt;&lt;D xsi:type="xsd:double"&gt;30873.174&lt;/D&gt;&lt;/FQL&gt;&lt;FQL&gt;&lt;Q&gt;Ticker0024^FE_ESTIMATE(PRODLINE_SALES_15,MEAN,ANNUAL_ROLL,2025,45769,,,'')&lt;/Q&gt;&lt;R&gt;1&lt;/R&gt;&lt;C&gt;1&lt;/C&gt;&lt;D xsi:type="xsd:double"&gt;118425.63&lt;/D&gt;&lt;/FQL&gt;&lt;FQL&gt;&lt;Q&gt;Ticker0024^FE_ESTIMATE(PRODLINE_SALES_15,MEAN,QUARTERLY_ROLL,2025/4F,45769,,,'')&lt;/Q&gt;&lt;R&gt;1&lt;/R&gt;&lt;C&gt;1&lt;/C&gt;&lt;D xsi:type="xsd:double"&gt;31077.809&lt;/D&gt;&lt;/FQL&gt;&lt;FQL&gt;&lt;Q&gt;Ticker0024^FE_ESTIMATE(PRODLINE_SALES_15,MEAN,QUARTERLY_ROLL,2025/3F,45769,,,'')&lt;/Q&gt;&lt;R&gt;1&lt;/R&gt;&lt;C&gt;1&lt;/C&gt;&lt;D xsi:type="xsd:double"&gt;29601.174&lt;/D&gt;&lt;/FQL&gt;&lt;FQL&gt;&lt;Q&gt;Ticker0024^FE_ESTIMATE(PRODLINE_SALES_15,MEAN,QUARTERLY_ROLL,2025/2F,45769,,,'')&lt;/Q&gt;&lt;R&gt;1&lt;/R&gt;&lt;C&gt;1&lt;/C&gt;&lt;D xsi:type="xsd:double"&gt;29437&lt;/D&gt;&lt;/FQL&gt;&lt;FQL&gt;&lt;Q&gt;Ticker0024^FE_ESTIMATE(PRODLINE_SALES_15,MEAN,QUARTERLY_ROLL,2025/1F,45769,,,'')&lt;/Q&gt;&lt;R&gt;1&lt;/R&gt;&lt;C&gt;1&lt;/C&gt;&lt;D xsi:type="xsd:double"&gt;28317&lt;/D&gt;&lt;/FQL&gt;&lt;FQL&gt;&lt;Q&gt;Ticker0024^FE_ESTIMATE(PRODLINE_SALES_15,MEAN,ANNUAL_ROLL,2024,45769,,,'')&lt;/Q&gt;&lt;R&gt;1&lt;/R&gt;&lt;C&gt;1&lt;/C&gt;&lt;D xsi:type="xsd:double"&gt;77728&lt;/D&gt;&lt;/FQL&gt;&lt;FQL&gt;&lt;Q&gt;Ticker0024^FE_ESTIMATE(PRODLINE_SALES_15,MEAN,QUARTERLY_ROLL,2024/4F,45769,,,'')&lt;/Q&gt;&lt;R&gt;1&lt;/R&gt;&lt;C&gt;1&lt;/C&gt;&lt;D xsi:type="xsd:double"&gt;20317&lt;/D&gt;&lt;/FQL&gt;&lt;FQL&gt;&lt;Q&gt;Ticker0024^FE_ESTIMATE(PRODLINE_SALES_15,MEAN,QUARTERLY_ROLL,2024/3F,45769,,,'')&lt;/Q&gt;&lt;R&gt;1&lt;/R&gt;&lt;C&gt;1&lt;/C&gt;&lt;D xsi:type="xsd:double"&gt;19570&lt;/D&gt;&lt;/FQL&gt;&lt;FQL&gt;&lt;Q&gt;Ticker0024^FE_ESTIMATE(PRODLINE_SALES_15,MEAN,QUARTERLY_ROLL,2024/2F,45769,,,'')&lt;/Q&gt;&lt;R&gt;1&lt;/R&gt;&lt;C&gt;1&lt;/C&gt;&lt;D xsi:type="xsd:double"&gt;19249&lt;/D&gt;&lt;/FQL&gt;&lt;FQL&gt;&lt;Q&gt;Ticker0024^FE_ESTIMATE(PRODLINE_SALES_15,MEAN,QUARTERLY_ROLL,2024/1F,45769,,,'')&lt;/Q&gt;&lt;R&gt;1&lt;/R&gt;&lt;C&gt;1&lt;/C&gt;&lt;D xsi:type="xsd:double"&gt;18592&lt;/D&gt;&lt;/FQL&gt;&lt;FQL&gt;&lt;Q&gt;Ticker0024^FE_ESTIMATE(PRODLINE_SALES_15,MEAN,ANNUAL_ROLL,2023,45769,,,'')&lt;/Q&gt;&lt;R&gt;1&lt;/R&gt;&lt;C&gt;1&lt;/C&gt;&lt;D xsi:type="xsd:double"&gt;69275&lt;/D&gt;&lt;/FQL&gt;&lt;FQL&gt;&lt;Q&gt;Ticker0024^FE_ESTIMATE(PRODLINE_SALES_15,MEAN,QUARTERLY_ROLL,2023/4F,45769,,,'')&lt;/Q&gt;&lt;R&gt;1&lt;/R&gt;&lt;C&gt;1&lt;/C&gt;&lt;D xsi:type="xsd:double"&gt;18291&lt;/D&gt;&lt;/FQL&gt;&lt;FQL&gt;&lt;Q&gt;Ticker0024^FE_ESTIMATE(PRODLINE_SALES_15,MEAN,QUARTERLY_ROLL,2023/3F,45769,,,'')&lt;/Q&gt;&lt;R&gt;1&lt;/R&gt;&lt;C&gt;1&lt;/C&gt;&lt;D xsi:type="xsd:double"&gt;17516&lt;/D&gt;&lt;/FQL&gt;&lt;FQL&gt;&lt;Q&gt;Ticker0024^FE_ESTIMATE(PRODLINE_SALES_15,MEAN,QUARTERLY_ROLL,2023/2F,45769,,,'')&lt;/Q&gt;&lt;R&gt;1&lt;/R&gt;&lt;C&gt;1&lt;/C&gt;&lt;D xsi:type="xsd:double"&gt;17002&lt;/D&gt;&lt;/FQL&gt;&lt;FQL&gt;&lt;Q&gt;Ticker0024^FE_ESTIMATE(PRODLINE_SALES_15,MEAN,QUARTERLY_ROLL,2023/1F,45769,,,'')&lt;/Q&gt;&lt;R&gt;1&lt;/R&gt;&lt;C&gt;1&lt;/C&gt;&lt;D xsi:type="xsd:double"&gt;16465&lt;/D&gt;&lt;/FQL&gt;&lt;FQL&gt;&lt;Q&gt;Ticker0024^FE_ESTIMATE(PRODLINE_SALES_15,MEAN,ANNUAL_ROLL,2022,45769,,,'')&lt;/Q&gt;&lt;R&gt;1&lt;/R&gt;&lt;C&gt;1&lt;/C&gt;&lt;D xsi:type="xsd:double"&gt;63364&lt;/D&gt;&lt;/FQL&gt;&lt;FQL&gt;&lt;Q&gt;Ticker0024^FE_ESTIMATE(PRODLINE_SALES_15,MEAN,QUARTERLY_ROLL,2022/4F,45769,,,'')&lt;/Q&gt;&lt;R&gt;1&lt;/R&gt;&lt;C&gt;1&lt;/C&gt;&lt;D xsi:type="xsd:double"&gt;16600&lt;/D&gt;&lt;/FQL&gt;&lt;FQL&gt;&lt;Q&gt;Ticker0024^FE_ESTIMATE(PRODLINE_SALES_15,MEAN,QUARTERLY_ROLL,2022/3F,45769,,,'')&lt;/Q&gt;&lt;R&gt;1&lt;/R&gt;&lt;C&gt;1&lt;/C&gt;&lt;D xsi:type="xsd:double"&gt;15789&lt;/D&gt;&lt;/FQL&gt;&lt;FQL&gt;&lt;Q&gt;Ticker0024^FE_ESTIMATE(PRODLINE_SALES_15,MEAN,QUARTERLY_ROLL,2022/2F,45769,,,'')&lt;/Q&gt;&lt;R&gt;1&lt;/R&gt;&lt;C&gt;1&lt;/C&gt;&lt;D xsi:type="xsd:double"&gt;15936&lt;/D&gt;&lt;/FQL&gt;&lt;FQL&gt;&lt;Q&gt;Ticker0024^FE_ESTIMATE(PRODLINE_SALES_15,MEAN,QUARTERLY_ROLL,2022/1F,45769,,,'')&lt;/Q&gt;&lt;R&gt;1&lt;/R&gt;&lt;C&gt;1&lt;/C&gt;&lt;D xsi:type="xsd:double"&gt;15039&lt;/D&gt;&lt;/FQL&gt;&lt;FQL&gt;&lt;Q&gt;Ticker0024^FE_ESTIMATE(PRODLINE_SALES_15,MEAN,ANNUAL_ROLL,2021,45769,,,'')&lt;/Q&gt;&lt;R&gt;1&lt;/R&gt;&lt;C&gt;1&lt;/C&gt;&lt;D xsi:type="xsd:double"&gt;53915&lt;/D&gt;&lt;/FQL&gt;&lt;FQL&gt;&lt;Q&gt;Ticker0024^FE_ESTIMATE(PRODLINE_SALES_15,MEAN,QUARTERLY_ROLL,2021/4F,45769,,,'')&lt;/Q&gt;&lt;R&gt;1&lt;/R&gt;&lt;C&gt;1&lt;/C&gt;&lt;D xsi:type="xsd:double"&gt;14691&lt;/D&gt;&lt;/FQL&gt;&lt;FQL&gt;&lt;Q&gt;Ticker0024^FE_ESTIMATE(PRODLINE_SALES_15,MEAN,QUARTERLY_ROLL,2021/3F,45769,,,'')&lt;/Q&gt;&lt;R&gt;1&lt;/R&gt;&lt;C&gt;1&lt;/C&gt;&lt;D xsi:type="xsd:double"&gt;13552&lt;/D&gt;&lt;/FQL&gt;&lt;FQL&gt;&lt;Q&gt;Ticker0024^FE_ESTIMATE(PRODLINE_SALES_15,MEAN,QUARTERLY_ROLL,2021/2F,45769,,,'')&lt;/Q&gt;&lt;R&gt;1&lt;/R&gt;&lt;C&gt;1&lt;/C&gt;&lt;D xsi:type="xsd:double"&gt;13353&lt;/D&gt;&lt;/FQL&gt;&lt;FQL&gt;&lt;Q&gt;Ticker0024^FE_ESTIMATE(PRODLINE_SALES_15,MEAN,QUARTERLY_ROLL,2021/1F,45769,,,'')&lt;/Q&gt;&lt;R&gt;1&lt;/R&gt;&lt;C&gt;1&lt;/C&gt;&lt;D xsi:type="xsd:double"&gt;12319&lt;/D&gt;&lt;/FQL&gt;&lt;FQL&gt;&lt;Q&gt;Ticker0024^FE_ESTIMATE(PRODLINE_SALES_15,MEAN,ANNUAL_ROLL,2020,45769,,,'')&lt;/Q&gt;&lt;R&gt;1&lt;/R&gt;&lt;C&gt;1&lt;/C&gt;&lt;D xsi:type="xsd:double"&gt;46398&lt;/D&gt;&lt;/FQL&gt;&lt;FQL&gt;&lt;Q&gt;Ticker0024^FE_ESTIMATE(PRODLINE_SALES_15,MEAN,QUARTERLY_ROLL,2020/4F,45769,,,'')&lt;/Q&gt;&lt;R&gt;1&lt;/R&gt;&lt;C&gt;1&lt;/C&gt;&lt;D xsi:type="xsd:double"&gt;11752&lt;/D&gt;&lt;/FQL&gt;&lt;FQL&gt;&lt;Q&gt;Ticker0024^FE_ESTIMATE(PRODLINE_SALES_15,MEAN,QUARTERLY_ROLL,2020/3F,45769,,,'')&lt;/Q&gt;&lt;R&gt;1&lt;/R&gt;&lt;C&gt;1&lt;/C&gt;&lt;D xsi:type="xsd:double"&gt;11743&lt;/D&gt;&lt;/FQL&gt;&lt;FQL&gt;&lt;Q&gt;Ticker0024^FE_ESTIMATE(PRODLINE_SALES_15,MEAN,QUARTERLY_ROLL,2020/2F,45769,,,'')&lt;/Q&gt;&lt;R&gt;1&lt;/R&gt;&lt;C&gt;1&lt;/C&gt;&lt;D xsi:type="xsd:double"&gt;11826&lt;/D&gt;&lt;/FQL&gt;&lt;FQL&gt;&lt;Q&gt;Ticker0024^FE_ESTIMATE(PRODLINE_SALES_15,MEAN,QUARTERLY_ROLL,2020/1F,45769,,,'')&lt;/Q&gt;&lt;R&gt;1&lt;/R&gt;&lt;C&gt;1&lt;/C&gt;&lt;D xsi:type="xsd:double"&gt;11077&lt;/D&gt;&lt;/FQL&gt;&lt;FQL&gt;&lt;Q&gt;Ticker0024^FE_ESTIMATE(PRODLINE_SALES_15,MEAN,ANNUAL_ROLL,2019,45769,,,'')&lt;/Q&gt;&lt;R&gt;1&lt;/R&gt;&lt;C&gt;1&lt;/C&gt;&lt;D xsi:type="xsd:double"&gt;41160&lt;/D&gt;&lt;/FQL&gt;&lt;FQL&gt;&lt;Q&gt;Ticker0024^FE_ESTIMATE(PRODLINE_SALES_15,MEAN,QUARTERLY_ROLL,2019/4F,45769,,,'')&lt;/Q&gt;&lt;R&gt;1&lt;/R&gt;&lt;C&gt;1&lt;/C&gt;&lt;D xsi:type="xsd:double"&gt;11047&lt;/D&gt;&lt;/FQL&gt;&lt;FQL&gt;&lt;Q&gt;Ticker0024^FE_ESTIMATE(PRODLINE_SALES_15,MEAN,QUARTERLY_ROLL,2019/3F,45769,,,'')&lt;/Q&gt;&lt;R&gt;1&lt;/R&gt;&lt;C&gt;1&lt;/C&gt;&lt;D xsi:type="xsd:double"&gt;10242&lt;/D&gt;&lt;/FQL&gt;&lt;FQL&gt;&lt;Q&gt;Ticker0024^FE_ESTIMATE(PRODLINE_SALES_15,MEAN,QUARTERLY_ROLL,2019/2F,45769,,,'')&lt;/Q&gt;&lt;R&gt;1&lt;/R&gt;&lt;C&gt;1&lt;/C&gt;&lt;D xsi:type="xsd:double"&gt;10100&lt;/D&gt;&lt;/FQL&gt;&lt;FQL&gt;&lt;Q&gt;Ticker0024^FE_ESTIMATE(PRODLINE_SALES_15,MEAN,QUARTERLY_ROLL,2019/1F,45769,,,'')&lt;/Q&gt;&lt;R&gt;1&lt;/R&gt;&lt;C&gt;1&lt;/C&gt;&lt;D xsi:type="xsd:double"&gt;9771&lt;/D&gt;&lt;/FQL&gt;&lt;FQL&gt;&lt;Q&gt;Ticker0024^FE_ESTIMATE(PRODLINE_SALES_15,MEAN,ANNUAL_ROLL,2018,45769,,,'')&lt;/Q&gt;&lt;R&gt;1&lt;/R&gt;&lt;C&gt;1&lt;/C&gt;&lt;D xsi:type="xsd:double"&gt;35865&lt;/D&gt;&lt;/FQL&gt;&lt;FQL&gt;&lt;Q&gt;Ticker0024^FE_ESTIMATE(PRODLINE_SALES_15,MEAN,QUARTERLY_ROLL,2018/4F,45769,,,'')&lt;/Q&gt;&lt;R&gt;1&lt;/R&gt;&lt;C&gt;1&lt;/C&gt;&lt;D xsi:type="xsd:double"&gt;9668&lt;/D&gt;&lt;/FQL&gt;&lt;FQL&gt;&lt;Q&gt;Ticker0024^FE_ESTIMATE(PRODLINE_SALES_15,MEAN,QUARTERLY_ROLL,2018/3F,45769,,,'')&lt;/Q&gt;&lt;R&gt;1&lt;/R&gt;&lt;C&gt;1&lt;/C&gt;&lt;D xsi:type="xsd:double"&gt;9006&lt;/D&gt;&lt;/FQL&gt;&lt;FQL&gt;&lt;Q&gt;Ticker0024^FE_ESTIMATE(PRODLINE_SALES_15,MEAN,QUARTERLY_ROLL,2018/2F,45769,,,'')&lt;/Q&gt;&lt;R&gt;1&lt;/R&gt;&lt;C&gt;1&lt;/C&gt;&lt;D xsi:type="xsd:double"&gt;8953&lt;/D&gt;&lt;/FQL&gt;&lt;FQL&gt;&lt;Q&gt;Ticker0024^FE_ESTIMATE(PRODLINE_SALES_15,MEAN,QUARTERLY_ROLL,2018/1F,45769,,,'')&lt;/Q&gt;&lt;R&gt;1&lt;/R&gt;&lt;C&gt;1&lt;/C&gt;&lt;D xsi:type="xsd:double"&gt;8238&lt;/D&gt;&lt;/FQL&gt;&lt;FQL&gt;&lt;Q&gt;Ticker0024^FE_ESTIMATE(PRODLINE_SALES_15,MEAN,ANNUAL_ROLL,2017,45769,,,'')&lt;/Q&gt;&lt;R&gt;1&lt;/R&gt;&lt;C&gt;1&lt;/C&gt;&lt;D xsi:type="xsd:double"&gt;30444&lt;/D&gt;&lt;/FQL&gt;&lt;FQL&gt;&lt;Q&gt;Ticker0024^FE_ESTIMATE(PRODLINE_SALES_15,MEAN,QUARTERLY_ROLL,2017/4F,45769,,,'')&lt;/Q&gt;&lt;R&gt;1&lt;/R&gt;&lt;C&gt;1&lt;/C&gt;&lt;D xsi:type="xsd:double"&gt;8446&lt;/D&gt;&lt;/FQL&gt;&lt;FQL&gt;&lt;Q&gt;Ticker0024^FE_ESTIMATE(PRODLINE_SALES_15,MEAN,QUARTERLY_ROLL,2017/3F,45769,,,'')&lt;/Q&gt;&lt;R&gt;1&lt;/R&gt;&lt;C&gt;1&lt;/C&gt;&lt;D xsi:type="xsd:double"&gt;7958&lt;/D&gt;&lt;/FQL&gt;&lt;FQL&gt;&lt;Q&gt;Ticker0024^FE_ESTIMATE(PRODLINE_SALES_15,MEAN,QUARTERLY_ROLL,2017/2F,45769,,,'')&lt;/Q&gt;&lt;R&gt;1&lt;/R&gt;&lt;C&gt;1&lt;/C&gt;&lt;D xsi:type="xsd:double"&gt;7382&lt;/D&gt;&lt;/FQL&gt;&lt;FQL&gt;&lt;Q&gt;Ticker0024^FE_ESTIMATE(PRODLINE_SALES_15,MEAN,QUARTERLY_ROLL,2017/1F,45769,,,'')&lt;/Q&gt;&lt;R&gt;1&lt;/R&gt;&lt;C&gt;1&lt;/C&gt;&lt;D xsi:type="xsd:double"&gt;6658&lt;/D&gt;&lt;/FQL&gt;&lt;FQL&gt;&lt;Q&gt;Ticker0024^FE_ESTIMATE(PRODLINE_SALES_15,MEAN,ANNUAL_ROLL,2016,45769,,,'')&lt;/Q&gt;&lt;R&gt;1&lt;/R&gt;&lt;C&gt;1&lt;/C&gt;&lt;D xsi:type="xsd:double"&gt;26487&lt;/D&gt;&lt;/FQL&gt;&lt;FQL&gt;&lt;Q&gt;Ticker0024^FE_ESTIMATE(PRODLINE_SALES_15,MEAN,QUARTERLY_ROLL,2016/4F,45769,,,'')&lt;/Q&gt;&lt;R&gt;1&lt;/R&gt;&lt;C&gt;1&lt;/C&gt;&lt;D xsi:type="xsd:double"&gt;6969&lt;/D&gt;&lt;/FQL&gt;&lt;FQL&gt;&lt;Q&gt;Ticker0024^FE_ESTIMATE(PRODLINE_SALES_15,MEAN,QUARTERLY_ROLL,2016/3F,45769,,,'')&lt;/Q&gt;&lt;R&gt;1&lt;/R&gt;&lt;C&gt;1&lt;/C&gt;&lt;D xsi:type="xsd:double"&gt;6522&lt;/D&gt;&lt;/FQL&gt;&lt;FQL&gt;&lt;Q&gt;Ticker0024^FE_ESTIMATE(PRODLINE_SALES_15,MEAN,QUARTERLY_ROLL,2016/2F,45769,,,'')&lt;/Q&gt;&lt;R&gt;1&lt;/R&gt;&lt;C&gt;1&lt;/C&gt;&lt;D xsi:type="xsd:double"&gt;6690&lt;/D&gt;&lt;/FQL&gt;&lt;FQL&gt;&lt;Q&gt;Ticker0024^FE_ESTIMATE(PRODLINE_SALES_15,MEAN,QUARTERLY_ROLL,2016/1F,45769,,,'')&lt;/Q&gt;&lt;R&gt;1&lt;/R&gt;&lt;C&gt;1&lt;/C&gt;&lt;D xsi:type="xsd:double"&gt;6306&lt;/D&gt;&lt;/FQL&gt;&lt;FQL&gt;&lt;Q&gt;Ticker0024^FE_ESTIMATE(PRODLINE_SALES_15,MEAN,ANNUAL_ROLL,2015,45769,,,'')&lt;/Q&gt;&lt;R&gt;0&lt;/R&gt;&lt;C&gt;0&lt;/C&gt;&lt;/FQL&gt;&lt;FQL&gt;&lt;Q&gt;Ticker0024^FE_ESTIMATE(PRODLINE_SALES_15,MEAN,QUARTERLY_ROLL,2015/4F,45769,,,'')&lt;/Q&gt;&lt;R&gt;0&lt;/R&gt;&lt;C&gt;0&lt;/C&gt;&lt;/FQL&gt;&lt;FQL&gt;&lt;Q&gt;Ticker0024^FE_ESTIMATE(PRODLINE_SALES_15,MEAN,QUARTERLY_ROLL,2015/3F,45769,,,'')&lt;/Q&gt;&lt;R&gt;0&lt;/R&gt;&lt;C&gt;0&lt;/C&gt;&lt;/FQL&gt;&lt;FQL&gt;&lt;Q&gt;Ticker0024^FE_ESTIMATE(PRODLINE_SALES_15,MEAN,QUARTERLY_ROLL,2015/2F,45769,,,'')&lt;/Q&gt;&lt;R&gt;0&lt;/R&gt;&lt;C&gt;0&lt;/C&gt;&lt;/FQL&gt;&lt;FQL&gt;&lt;Q&gt;Ticker0024^FE_ESTIMATE(PRODLINE_SALES_15,MEAN,QUARTERLY_ROLL,2015/1F,45769,,,'')&lt;/Q&gt;&lt;R&gt;0&lt;/R&gt;&lt;C&gt;0&lt;/C&gt;&lt;/FQL&gt;&lt;FQL&gt;&lt;Q&gt;Company0023^FE_ESTIMATE(FCF,MEAN,CAL4_ROLL,2024,45770,,,'')&lt;/Q&gt;&lt;R&gt;1&lt;/R&gt;&lt;C&gt;1&lt;/C&gt;&lt;D xsi:type="xsd:double"&gt;7881.607&lt;/D&gt;&lt;/FQL&gt;&lt;FQL&gt;&lt;Q&gt;Company0023^FE_ESTIMATE(GROSS_INC,MEAN,CAL4_ROLL,2023,45770,,,'')&lt;/Q&gt;&lt;R&gt;1&lt;/R&gt;&lt;C&gt;1&lt;/C&gt;&lt;D xsi:type="xsd:double"&gt;17310.389&lt;/D&gt;&lt;/FQL&gt;&lt;FQL&gt;&lt;Q&gt;Ticker0013^FE_ESTIMATE(SALES,MEAN,CAL4_ROLL,2024,45770,,,'')&lt;/Q&gt;&lt;R&gt;1&lt;/R&gt;&lt;C&gt;1&lt;/C&gt;&lt;D xsi:type="xsd:double"&gt;350018&lt;/D&gt;&lt;/FQL&gt;&lt;FQL&gt;&lt;Q&gt;Ticker0013^FE_VALUATION(PE,MEAN,NTM4_ROLL,,45770,,,'')&lt;/Q&gt;&lt;R&gt;1&lt;/R&gt;&lt;C&gt;1&lt;/C&gt;&lt;D xsi:type="xsd:double"&gt;18.160412&lt;/D&gt;&lt;/FQL&gt;&lt;FQL&gt;&lt;Q&gt;Company2320^FREF_MARKET_VALUE_COMPANY(45770,,,,,0,,"LEGACY")&lt;/Q&gt;&lt;R&gt;1&lt;/R&gt;&lt;C&gt;1&lt;/C&gt;&lt;D xsi:type="xsd:double"&gt;340807.011367463&lt;/D&gt;&lt;/FQL&gt;&lt;FQL&gt;&lt;Q&gt;Ticker0013^FE_ESTIMATE(EBIT_ADJ,MEAN,NTM4_ROLL,,45770,,,'')&lt;/Q&gt;&lt;R&gt;1&lt;/R&gt;&lt;C&gt;1&lt;/C&gt;&lt;D xsi:type="xsd:double"&gt;139211.48&lt;/D&gt;&lt;/FQL&gt;&lt;FQL&gt;&lt;Q&gt;CRM^FE_ESTIMATE(FCF,MEAN,CAL4_ROLL,2024,45770,,,'')&lt;/Q&gt;&lt;R&gt;1&lt;/R&gt;&lt;C&gt;1&lt;/C&gt;&lt;D xsi:type="xsd:double"&gt;12434&lt;/D&gt;&lt;/FQL&gt;&lt;FQL&gt;&lt;Q&gt;CRM^FE_ESTIMATE(GROSS_INC,MEAN,CAL4_ROLL,2023,45770,,,'')&lt;/Q&gt;&lt;R&gt;1&lt;/R&gt;&lt;C&gt;1&lt;/C&gt;&lt;D xsi:type="xsd:double"&gt;27602.195&lt;/D&gt;&lt;/FQL&gt;&lt;FQL&gt;&lt;Q&gt;Company1905^FREF_MARKET_VALUE_COMPANY(45770,,,,,0,,"LEGACY")&lt;/Q&gt;&lt;R&gt;1&lt;/R&gt;&lt;C&gt;1&lt;/C&gt;&lt;D xsi:type="xsd:double"&gt;17098.3984375&lt;/D&gt;&lt;/FQL&gt;&lt;FQL&gt;&lt;Q&gt;Company1905^FF_ENTRPR_VAL_DAILY(45770,,,,,"DIL")&lt;/Q&gt;&lt;R&gt;1&lt;/R&gt;&lt;C&gt;1&lt;/C&gt;&lt;D xsi:type="xsd:double"&gt;18335.98595&lt;/D&gt;&lt;/FQL&gt;&lt;FQL&gt;&lt;Q&gt;IBM^FE_ESTIMATE(EPS,MEAN,CAL4_ROLL,2024,45770,,,'')&lt;/Q&gt;&lt;R&gt;1&lt;/R&gt;&lt;C&gt;1&lt;/C&gt;&lt;D xsi:type="xsd:double"&gt;10.33&lt;/D&gt;&lt;/FQL&gt;&lt;FQL&gt;&lt;Q&gt;Company0023^FE_VALUATION(FFEV_FCF,MEAN,CAL4_ROLL,2026,45770,,,'')&lt;/Q&gt;&lt;R&gt;1&lt;/R&gt;&lt;C&gt;1&lt;/C&gt;&lt;D xsi:type="xsd:double"&gt;15.170245&lt;/D&gt;&lt;/FQL&gt;&lt;FQL&gt;&lt;Q&gt;Company0023^FE_ESTIMATE(EPS,MEAN,CAL4_ROLL,2023,45770,,,'')&lt;/Q&gt;&lt;R&gt;1&lt;/R&gt;&lt;C&gt;1&lt;/C&gt;&lt;D xsi:type="xsd:double"&gt;16.07&lt;/D&gt;&lt;/FQL&gt;&lt;FQL&gt;&lt;Q&gt;IBM^FE_ESTIMATE(EPS,MEAN,NTM4_ROLL,,45770,,,'')&lt;/Q&gt;&lt;R&gt;1&lt;/R&gt;&lt;C&gt;1&lt;/C&gt;&lt;D xsi:type="xsd:double"&gt;10.783936&lt;/D&gt;&lt;/FQL&gt;&lt;FQL&gt;&lt;Q&gt;Ticker0013^FE_VALUATION(FFEV_FCF,MEAN,CAL4_ROLL,2025,45770,,,'')&lt;/Q&gt;&lt;R&gt;1&lt;/R&gt;&lt;C&gt;1&lt;/C&gt;&lt;D xsi:type="xsd:double"&gt;25.512203&lt;/D&gt;&lt;/FQL&gt;&lt;FQL&gt;&lt;Q&gt;CRM^FE_ESTIMATE(EPS,MEAN,CAL4_ROLL,2026,45770,,,'')&lt;/Q&gt;&lt;R&gt;1&lt;/R&gt;&lt;C&gt;1&lt;/C&gt;&lt;D xsi:type="xsd:double"&gt;12.420324&lt;/D&gt;&lt;/FQL&gt;&lt;FQL&gt;&lt;Q&gt;Company2320^FE_ESTIMATE(FCF,MEAN,CAL4_ROLL,2023,45770,,,'')&lt;/Q&gt;&lt;R&gt;1&lt;/R&gt;&lt;C&gt;1&lt;/C&gt;&lt;D xsi:type="xsd:double"&gt;5599.309&lt;/D&gt;&lt;/FQL&gt;&lt;FQL&gt;&lt;Q&gt;Company0103^FE_ESTIMATE(FCF,MEAN,NTM4_ROLL,,45770,,,'')&lt;/Q&gt;&lt;R&gt;1&lt;/R&gt;&lt;C&gt;1&lt;/C&gt;&lt;D xsi:type="xsd:double"&gt;43894.953&lt;/D&gt;&lt;/FQL&gt;&lt;FQL&gt;&lt;Q&gt;Company0023^FE_ESTIMATE(EPS,MEAN,NTM4_ROLL,,45770,,,'')&lt;/Q&gt;&lt;R&gt;1&lt;/R&gt;&lt;C&gt;1&lt;/C&gt;&lt;D xsi:type="xsd:double"&gt;20.905598&lt;/D&gt;&lt;/FQL&gt;&lt;FQL&gt;&lt;Q&gt;Company0103^FF_ENTRPR_VAL_DAILY(45770,,,,,"DIL")&lt;/Q&gt;&lt;R&gt;1&lt;/R&gt;&lt;C&gt;1&lt;/C&gt;&lt;D xsi:type="xsd:double"&gt;2019197.72&lt;/D&gt;&lt;/FQL&gt;&lt;FQL&gt;&lt;Q&gt;Company1985^FE_ESTIMATE(FCF,MEAN,LTM4_ROLL,,45770,,,'')&lt;/Q&gt;&lt;R&gt;1&lt;/R&gt;&lt;C&gt;1&lt;/C&gt;&lt;D xsi:type="xsd:double"&gt;5869.091&lt;/D&gt;&lt;/FQL&gt;&lt;FQL&gt;&lt;Q&gt;Company0103^FE_ESTIMATE(SALES,MEAN,CAL4,2023,45770,,,'')&lt;/Q&gt;&lt;R&gt;1&lt;/R&gt;&lt;C&gt;1&lt;/C&gt;&lt;D xsi:type="xsd:double"&gt;574785&lt;/D&gt;&lt;/FQL&gt;&lt;FQL&gt;&lt;Q&gt;Company1985^FE_ESTIMATE(FCF,MEAN,CAL4_ROLL,2025,45770,,,'')&lt;/Q&gt;&lt;R&gt;1&lt;/R&gt;&lt;C&gt;1&lt;/C&gt;&lt;D xsi:type="xsd:double"&gt;6118.5293&lt;/D&gt;&lt;/FQL&gt;&lt;FQL&gt;&lt;Q&gt;Ticker0013^FE_ESTIMATE(EBIT_ADJ,MEAN,CAL4_ROLL,2024,45770,,,'')&lt;/Q&gt;&lt;R&gt;1&lt;/R&gt;&lt;C&gt;1&lt;/C&gt;&lt;D xsi:type="xsd:double"&gt;126366.8&lt;/D&gt;&lt;/FQL&gt;&lt;FQL&gt;&lt;Q&gt;Ticker0013^FE_ESTIMATE(EPS,MEAN,CAL4_ROLL,2025,45770,,,'')&lt;/Q&gt;&lt;R&gt;1&lt;/R&gt;&lt;C&gt;1&lt;/C&gt;&lt;D xsi:type="xsd:double"&gt;8.744845&lt;/D&gt;&lt;/FQL&gt;&lt;FQL&gt;&lt;Q&gt;Company1985^FE_VALUATION(FFEV_FCF,MEAN,CAL4_ROLL,,45770,,,'')&lt;/Q&gt;&lt;R&gt;1&lt;/R&gt;&lt;C&gt;1&lt;/C&gt;&lt;D xsi:type="xsd:double"&gt;61.18545&lt;/D&gt;&lt;/FQL&gt;&lt;FQL&gt;&lt;Q&gt;Company1341^FE_ESTIMATE(SALES,MEAN,LTM4_ROLL,,45770,,,'')&lt;/Q&gt;&lt;R&gt;1&lt;/R&gt;&lt;C&gt;1&lt;/C&gt;&lt;D xsi:type="xsd:double"&gt;17167&lt;/D&gt;&lt;/FQL&gt;&lt;FQL&gt;&lt;Q&gt;Ticker0024^FE_ESTIMATE(EBIT_ADJ,MEAN,CAL4_ROLL,2026,45770,,,'')&lt;/Q&gt;&lt;R&gt;1&lt;/R&gt;&lt;C&gt;1&lt;/C&gt;&lt;D xsi:type="xsd:double"&gt;147888.97&lt;/D&gt;&lt;/FQL&gt;&lt;FQL&gt;&lt;Q&gt;Company1985^FE_ESTIMATE(SALES,MEAN,NTM4_ROLL,,45770,,,'')&lt;/Q&gt;&lt;R&gt;1&lt;/R&gt;&lt;C&gt;1&lt;/C&gt;&lt;D xsi:type="xsd:double"&gt;62668.145&lt;/D&gt;&lt;/FQL&gt;&lt;FQL&gt;&lt;Q&gt;Company1341^FE_ESTIMATE(FCF,MEAN,LTM4_ROLL,,45770,,,'')&lt;/Q&gt;&lt;R&gt;1&lt;/R&gt;&lt;C&gt;1&lt;/C&gt;&lt;D xsi:type="xsd:double"&gt;5539.0967&lt;/D&gt;&lt;/FQL&gt;&lt;FQL&gt;&lt;Q&gt;IBM^FE_ESTIMATE(EBIT_ADJ,MEAN,CAL4_ROLL,2023,45770,,,'')&lt;/Q&gt;&lt;R&gt;1&lt;/R&gt;&lt;C&gt;1&lt;/C&gt;&lt;D xsi:type="xsd:double"&gt;10434.986&lt;/D&gt;&lt;/FQL&gt;&lt;FQL&gt;&lt;Q&gt;Ticker0024^FE_VALUATION(FFEV_FCF,MEAN,CAL4_ROLL,2024,45770,,,'')&lt;/Q&gt;&lt;R&gt;1&lt;/R&gt;&lt;C&gt;1&lt;/C&gt;&lt;D xsi:type="xsd:double"&gt;41.70484&lt;/D&gt;&lt;/FQL&gt;&lt;FQL&gt;&lt;Q&gt;Company0023^FE_ESTIMATE(GROSS_INC,MEAN,CAL4_ROLL,2026,45770,,,'')&lt;/Q&gt;&lt;R&gt;1&lt;/R&gt;&lt;C&gt;1&lt;/C&gt;&lt;D xsi:type="xsd:double"&gt;23096.424&lt;/D&gt;&lt;/FQL&gt;&lt;FQL&gt;&lt;Q&gt;Company1985^FE_VALUATION(FFEV_FCF,MEAN,CAL4_ROLL,2024,45770,,,'')&lt;/Q&gt;&lt;R&gt;1&lt;/R&gt;&lt;C&gt;1&lt;/C&gt;&lt;D xsi:type="xsd:double"&gt;48.540607&lt;/D&gt;&lt;/FQL&gt;&lt;FQL&gt;&lt;Q&gt;Company2320^FE_ESTIMATE(FCF,MEAN,CAL4_ROLL,2026,45770,,,'')&lt;/Q&gt;&lt;R&gt;1&lt;/R&gt;&lt;C&gt;1&lt;/C&gt;&lt;D xsi:type="xsd:double"&gt;11239.641&lt;/D&gt;&lt;/FQL&gt;&lt;FQL&gt;&lt;Q&gt;CRM^FE_ESTIMATE(EBIT_ADJ,MEAN,NTM4_ROLL,,45770,,,'')&lt;/Q&gt;&lt;R&gt;1&lt;/R&gt;&lt;C&gt;1&lt;/C&gt;&lt;D xsi:type="xsd:double"&gt;13861.458&lt;/D&gt;&lt;/FQL&gt;&lt;FQL&gt;&lt;Q&gt;IBM^FE_VALUATION(FFEV_FCF,MEAN,CAL4_ROLL,2024,45770,,,'')&lt;/Q&gt;&lt;R&gt;1&lt;/R&gt;&lt;C&gt;1&lt;/C&gt;&lt;D xsi:type="xsd:double"&gt;21.595772&lt;/D&gt;&lt;/FQL&gt;&lt;FQL&gt;&lt;Q&gt;CRM^FE_ESTIMATE(SALES,MEAN,LTM4_ROLL,,45770,,,'')&lt;/Q&gt;&lt;R&gt;1&lt;/R&gt;&lt;C&gt;1&lt;/C&gt;&lt;D xsi:type="xsd:double"&gt;37895&lt;/D&gt;&lt;/FQL&gt;&lt;FQL&gt;&lt;Q&gt;Company0103^FE_VALUATION(PE,MEAN,NTM4_ROLL,,45770,,,'')&lt;/Q&gt;&lt;R&gt;1&lt;/R&gt;&lt;C&gt;1&lt;/C&gt;&lt;D xsi:type="xsd:double"&gt;30.190273&lt;/D&gt;&lt;/FQL&gt;&lt;FQL&gt;&lt;Q&gt;Company1985^FE_ESTIMATE(EBIT_ADJ,MEAN,CAL4_ROLL,2024,45770,,,'')&lt;/Q&gt;&lt;R&gt;1&lt;/R&gt;&lt;C&gt;1&lt;/C&gt;&lt;D xsi:type="xsd:double"&gt;24264.834&lt;/D&gt;&lt;/FQL&gt;&lt;FQL&gt;&lt;Q&gt;IBM^FE_ESTIMATE(FCF,MEAN,CAL4_ROLL,2024,45770,,,'')&lt;/Q&gt;&lt;R&gt;1&lt;/R&gt;&lt;C&gt;1&lt;/C&gt;&lt;D xsi:type="xsd:double"&gt;12749&lt;/D&gt;&lt;/FQL&gt;&lt;FQL&gt;&lt;Q&gt;Company2320^FE_ESTIMATE(GROSS_INC,MEAN,LTM4_ROLL,,45770,,,'')&lt;/Q&gt;&lt;R&gt;1&lt;/R&gt;&lt;C&gt;1&lt;/C&gt;&lt;D xsi:type="xsd:double"&gt;28036.684&lt;/D&gt;&lt;/FQL&gt;&lt;FQL&gt;&lt;Q&gt;Company1905^FE_ESTIMATE(SALES,MEAN,LTM4_ROLL,,45770,,,'')&lt;/Q&gt;&lt;R&gt;1&lt;/R&gt;&lt;C&gt;1&lt;/C&gt;&lt;D xsi:type="xsd:double"&gt;2318.206&lt;/D&gt;&lt;/FQL&gt;&lt;FQL&gt;&lt;Q&gt;Company1905^FE_ESTIMATE(SALES,MEAN,NTM4_ROLL,,45770,,,'')&lt;/Q&gt;&lt;R&gt;1&lt;/R&gt;&lt;C&gt;1&lt;/C&gt;&lt;D xsi:type="xsd:double"&gt;2690.5366&lt;/D&gt;&lt;/FQL&gt;&lt;FQL&gt;&lt;Q&gt;Company0023^FE_ESTIMATE(EBIT_ADJ,MEAN,LTM4_ROLL,,45770,,,'')&lt;/Q&gt;&lt;R&gt;1&lt;/R&gt;&lt;C&gt;1&lt;/C&gt;&lt;D xsi:type="xsd:double"&gt;10265.695&lt;/D&gt;&lt;/FQL&gt;&lt;FQL&gt;&lt;Q&gt;IBM^FE_ESTIMATE(EBIT_ADJ,MEAN,CAL4_ROLL,2025,45770,,,'')&lt;/Q&gt;&lt;R&gt;1&lt;/R&gt;&lt;C&gt;1&lt;/C&gt;&lt;D xsi:type="xsd:double"&gt;12221.485&lt;/D&gt;&lt;/FQL&gt;&lt;FQL&gt;&lt;Q&gt;Company1985^FE_ESTIMATE(EBIT_ADJ,MEAN,NTM4_ROLL,,45770,,,'')&lt;/Q&gt;&lt;R&gt;1&lt;/R&gt;&lt;C&gt;1&lt;/C&gt;&lt;D xsi:type="xsd:double"&gt;26456.012&lt;/D&gt;&lt;/FQL&gt;&lt;FQL&gt;&lt;Q&gt;Company1985^FE_ESTIMATE(SALES,MEAN,LTM4_ROLL,,45770,,,'')&lt;/Q&gt;&lt;R&gt;1&lt;/R&gt;&lt;C&gt;1&lt;/C&gt;&lt;D xsi:type="xsd:double"&gt;55783&lt;/D&gt;&lt;/FQL&gt;&lt;FQL&gt;&lt;Q&gt;Company1341^FE_ESTIMATE(EPS,MEAN,CAL4_ROLL,2024,45770,,,'')&lt;/Q&gt;&lt;R&gt;1&lt;/R&gt;&lt;C&gt;1&lt;/C&gt;&lt;D xsi:type="xsd:double"&gt;17.69&lt;/D&gt;&lt;/FQL&gt;&lt;FQL&gt;&lt;Q&gt;Company2320^FE_ESTIMATE(EPS,MEAN,CAL4_ROLL,2024,45770,,,'')&lt;/Q&gt;&lt;R&gt;1&lt;/R&gt;&lt;C&gt;1&lt;/C&gt;&lt;D xsi:type="xsd:double"&gt;4.848603&lt;/D&gt;&lt;/FQL&gt;&lt;FQL&gt;&lt;Q&gt;Company0023^FE_ESTIMATE(EPS,MEAN,LTM4_ROLL,,45770,,,'')&lt;/Q&gt;&lt;R&gt;1&lt;/R&gt;&lt;C&gt;1&lt;/C&gt;&lt;D xsi:type="xsd:double"&gt;19.02&lt;/D&gt;&lt;/FQL&gt;&lt;FQL&gt;&lt;Q&gt;IBM^FE_ESTIMATE(FCF,MEAN,CAL4_ROLL,2025,45770,,,'')&lt;/Q&gt;&lt;R&gt;1&lt;/R&gt;&lt;C&gt;1&lt;/C&gt;&lt;D xsi:type="xsd:double"&gt;13263.167&lt;/D&gt;&lt;/FQL&gt;&lt;FQL&gt;&lt;Q&gt;CRM^FE_VALUATION(FFEV_FCF,MEAN,CAL4_ROLL,2025,45770,,,'')&lt;/Q&gt;&lt;R&gt;1&lt;/R&gt;&lt;C&gt;1&lt;/C&gt;&lt;D xsi:type="xsd:double"&gt;17.162458&lt;/D&gt;&lt;/FQL&gt;&lt;FQL&gt;&lt;Q&gt;Company0023^FE_VALUATION(FFEV_FCF,MEAN,CAL4_ROLL,2025,45770,,,'')&lt;/Q&gt;&lt;R&gt;1&lt;/R&gt;&lt;C&gt;1&lt;/C&gt;&lt;D xsi:type="xsd:double"&gt;16.688696&lt;/D&gt;&lt;/FQL&gt;&lt;FQL&gt;&lt;Q&gt;IBM^FE_ESTIMATE(SALES,MEAN,NTM4_ROLL,,45770,,,'')&lt;/Q&gt;&lt;R&gt;1&lt;/R&gt;&lt;C&gt;1&lt;/C&gt;&lt;D xsi:type="xsd:double"&gt;65129.297&lt;/D&gt;&lt;/FQL&gt;&lt;FQL&gt;&lt;Q&gt;Ticker0013^FE_ESTIMATE(EPS,MEAN,CAL4_ROLL,2026,45770,,,'')&lt;/Q&gt;&lt;R&gt;1&lt;/R&gt;&lt;C&gt;1&lt;/C&gt;&lt;D xsi:type="xsd:double"&gt;10.02042&lt;/D&gt;&lt;/FQL&gt;&lt;FQL&gt;&lt;Q&gt;Ticker0024^FE_ESTIMATE(SALES,MEAN,CAL4_ROLL,2025,45770,,,'')&lt;/Q&gt;&lt;R&gt;1&lt;/R&gt;&lt;C&gt;1&lt;/C&gt;&lt;D xsi:type="xsd:double"&gt;292141.78&lt;/D&gt;&lt;/FQL&gt;&lt;FQL&gt;&lt;Q&gt;CRM^FE_VALUATION(FFEV_FCF,MEAN,CAL4_ROLL,0,45770,,,'')&lt;/Q&gt;&lt;R&gt;1&lt;/R&gt;&lt;C&gt;1&lt;/C&gt;&lt;D xsi:type="xsd:double"&gt;17.162458&lt;/D&gt;&lt;/FQL&gt;&lt;FQL&gt;&lt;Q&gt;Ticker0013^FE_ESTIMATE(GROSS_INC,MEAN,NTM4_ROLL,,45770,,,'')&lt;/Q&gt;&lt;R&gt;1&lt;/R&gt;&lt;C&gt;1&lt;/C&gt;&lt;D xsi:type="xsd:double"&gt;223916.53&lt;/D&gt;&lt;/FQL&gt;&lt;FQL&gt;&lt;Q&gt;Company2320^FE_VALUATION(FFEV_FCF,MEAN,CAL4_ROLL,0,45770,,,'')&lt;/Q&gt;&lt;R&gt;1&lt;/R&gt;&lt;C&gt;1&lt;/C&gt;&lt;D xsi:type="xsd:double"&gt;35.562206&lt;/D&gt;&lt;/FQL&gt;&lt;FQL&gt;&lt;Q&gt;Company1905^FE_ESTIMATE(GROSS_INC,MEAN,LTM4_ROLL,,45770,,,'')&lt;/Q&gt;&lt;R&gt;1&lt;/R&gt;&lt;C&gt;1&lt;/C&gt;&lt;D xsi:type="xsd:double"&gt;2016.336&lt;/D&gt;&lt;/FQL&gt;&lt;FQL&gt;&lt;Q&gt;Company1905^FE_ESTIMATE(GROSS_INC,MEAN,NTM4_ROLL,,45770,,,'')&lt;/Q&gt;&lt;R&gt;1&lt;/R&gt;&lt;C&gt;1&lt;/C&gt;&lt;D xsi:type="xsd:double"&gt;2342.5708&lt;/D&gt;&lt;/FQL&gt;&lt;FQL&gt;&lt;Q&gt;Company1341^FE_VALUATION(FFEV_FCF,MEAN,NTM4_ROLL,,45770,,,'')&lt;/Q&gt;&lt;R&gt;1&lt;/R&gt;&lt;C&gt;1&lt;/C&gt;&lt;D xsi:type="xsd:double"&gt;27.72785&lt;/D&gt;&lt;/FQL&gt;&lt;FQL&gt;&lt;Q&gt;Ticker0013^FE_VALUATION(FFEV_FCF,MEAN,CAL4_ROLL,0,45770,,,'')&lt;/Q&gt;&lt;R&gt;1&lt;/R&gt;&lt;C&gt;1&lt;/C&gt;&lt;D xsi:type="xsd:double"&gt;25.512203&lt;/D&gt;&lt;/FQL&gt;&lt;FQL&gt;&lt;Q&gt;IBM^FE_ESTIMATE(EPS,MEAN,CAL4_ROLL,,45770,,,'')&lt;/Q&gt;&lt;R&gt;1&lt;/R&gt;&lt;C&gt;1&lt;/C&gt;&lt;D xsi:type="xsd:double"&gt;10.783936&lt;/D&gt;&lt;/FQL&gt;&lt;FQL&gt;&lt;Q&gt;Ticker0024^FE_ESTIMATE(GROSS_INC,MEAN,LTM4_ROLL,,45770,,,'')&lt;/Q&gt;&lt;R&gt;1&lt;/R&gt;&lt;C&gt;1&lt;/C&gt;&lt;D xsi:type="xsd:double"&gt;181703.53&lt;/D&gt;&lt;/FQL&gt;&lt;FQL&gt;&lt;Q&gt;Company1341^FE_ESTIMATE(EPS,MEAN,CAL4_ROLL,,45770,,,'')&lt;/Q&gt;&lt;R&gt;1&lt;/R&gt;&lt;C&gt;1&lt;/C&gt;&lt;D xsi:type="xsd:double"&gt;19.318274&lt;/D&gt;&lt;/FQL&gt;&lt;FQL&gt;&lt;Q&gt;Ticker0024^FE_VALUATION(FFEV_FCF,MEAN,CAL4_ROLL,2026,45776,,,'')&lt;/Q&gt;&lt;R&gt;1&lt;/R&gt;&lt;C&gt;1&lt;/C&gt;&lt;D xsi:type="xsd:double"&gt;35.88076&lt;/D&gt;&lt;/FQL&gt;&lt;FQL&gt;&lt;Q&gt;Company2320^FE_ESTIMATE(EPS,MEAN,CAL4_ROLL,,45770,,,'')&lt;/Q&gt;&lt;R&gt;1&lt;/R&gt;&lt;C&gt;1&lt;/C&gt;&lt;D xsi:type="xsd:double"&gt;7.408706&lt;/D&gt;&lt;/FQL&gt;&lt;FQL&gt;&lt;Q&gt;Company2320^FE_VALUATION(PE,MEAN,NTM4_ROLL,,45770,,,'')&lt;/Q&gt;&lt;R&gt;1&lt;/R&gt;&lt;C&gt;1&lt;/C&gt;&lt;D xsi:type="xsd:double"&gt;37.26224&lt;/D&gt;&lt;/FQL&gt;&lt;FQL&gt;&lt;Q&gt;Company0103^FE_ESTIMATE(EPS,MEAN,CAL4_ROLL,,45770,,,'')&lt;/Q&gt;&lt;R&gt;1&lt;/R&gt;&lt;C&gt;1&lt;/C&gt;&lt;D xsi:type="xsd:double"&gt;6.167715&lt;/D&gt;&lt;/FQL&gt;&lt;FQL&gt;&lt;Q&gt;Ticker0024^FE_ESTIMATE(GROSS_INC,MEAN,CAL4_ROLL,2026,45770,,,'')&lt;/Q&gt;&lt;R&gt;1&lt;/R&gt;&lt;C&gt;1&lt;/C&gt;&lt;D xsi:type="xsd:double"&gt;224294.61&lt;/D&gt;&lt;/FQL&gt;&lt;FQL&gt;&lt;Q&gt;Ticker0024^FE_ESTIMATE(EBIT_ADJ,MEAN,CAL4_ROLL,2024,45770,,,'')&lt;/Q&gt;&lt;R&gt;1&lt;/R&gt;&lt;C&gt;1&lt;/C&gt;&lt;D xsi:type="xsd:double"&gt;117711.1&lt;/D&gt;&lt;/FQL&gt;&lt;FQL&gt;&lt;Q&gt;Company1341^FE_ESTIMATE(EBIT_ADJ,MEAN,CAL4_ROLL,2026,45770,,,'')&lt;/Q&gt;&lt;R&gt;1&lt;/R&gt;&lt;C&gt;1&lt;/C&gt;&lt;D xsi:type="xsd:double"&gt;8727.898&lt;/D&gt;&lt;/FQL&gt;&lt;FQL&gt;&lt;Q&gt;Company2320^FE_VALUATION(FFEV_FCF,MEAN,CAL4_ROLL,2025,45770,,,'')&lt;/Q&gt;&lt;R&gt;1&lt;/R&gt;&lt;C&gt;1&lt;/C&gt;&lt;D xsi:type="xsd:double"&gt;34.72892&lt;/D&gt;&lt;/FQL&gt;&lt;FQL&gt;&lt;Q&gt;Company1985^FE_ESTIMATE(EPS,MEAN,CAL4_ROLL,2024,45770,,,'')&lt;/Q&gt;&lt;R&gt;1&lt;/R&gt;&lt;C&gt;1&lt;/C&gt;&lt;D xsi:type="xsd:double"&gt;5.9&lt;/D&gt;&lt;/FQL&gt;&lt;FQL&gt;&lt;Q&gt;IBM^FE_ESTIMATE(FCF,MEAN,LTM4_ROLL,,45770,,,'')&lt;/Q&gt;&lt;R&gt;1&lt;/R&gt;&lt;C&gt;1&lt;/C&gt;&lt;D xsi:type="xsd:double"&gt;12749&lt;/D&gt;&lt;/FQL&gt;&lt;FQL&gt;&lt;Q&gt;Ticker0013^FE_ESTIMATE(EPS,MEAN,NTM4_ROLL,,45770,,,'')&lt;/Q&gt;&lt;R&gt;1&lt;/R&gt;&lt;C&gt;1&lt;/C&gt;&lt;D xsi:type="xsd:double"&gt;8.744845&lt;/D&gt;&lt;/FQL&gt;&lt;FQL&gt;&lt;Q&gt;Company1905^FE_ESTIMATE(EBIT_ADJ,MEAN,LTM4_ROLL,,45770,,,'')&lt;/Q&gt;&lt;R&gt;1&lt;/R&gt;&lt;C&gt;1&lt;/C&gt;&lt;D xsi:type="xsd:double"&gt;423.253&lt;/D&gt;&lt;/FQL&gt;&lt;FQL&gt;&lt;Q&gt;Company1905^FE_ESTIMATE(EBIT_ADJ,MEAN,NTM4_ROLL,,45770,,,'')&lt;/Q&gt;&lt;R&gt;1&lt;/R&gt;&lt;C&gt;1&lt;/C&gt;&lt;D xsi:type="xsd:double"&gt;490.61374&lt;/D&gt;&lt;/FQL&gt;&lt;FQL&gt;&lt;Q&gt;Company0023^FE_ESTIMATE(EBIT_ADJ,MEAN,CAL4_ROLL,2023,45770,,,'')&lt;/Q&gt;&lt;R&gt;1&lt;/R&gt;&lt;C&gt;1&lt;/C&gt;&lt;D xsi:type="xsd:double"&gt;8917.313&lt;/D&gt;&lt;/FQL&gt;&lt;FQL&gt;&lt;Q&gt;Ticker0013^FE_ESTIMATE(FCF,MEAN,CAL4_ROLL,2026,45770,,,'')&lt;/Q&gt;&lt;R&gt;1&lt;/R&gt;&lt;C&gt;1&lt;/C&gt;&lt;D xsi:type="xsd:double"&gt;85985&lt;/D&gt;&lt;/FQL&gt;&lt;FQL&gt;&lt;Q&gt;IBM^FE_ESTIMATE(FCF,MEAN,CAL4_ROLL,2023,45770,,,'')&lt;/Q&gt;&lt;R&gt;1&lt;/R&gt;&lt;C&gt;1&lt;/C&gt;&lt;D xsi:type="xsd:double"&gt;11210&lt;/D&gt;&lt;/FQL&gt;&lt;FQL&gt;&lt;Q&gt;IBM^FE_VALUATION(FFEV_FCF,MEAN,CAL4_ROLL,,45770,,,'')&lt;/Q&gt;&lt;R&gt;1&lt;/R&gt;&lt;C&gt;1&lt;/C&gt;&lt;D xsi:type="xsd:double"&gt;20.75858&lt;/D&gt;&lt;/FQL&gt;&lt;FQL&gt;&lt;Q&gt;Ticker0024^FE_ESTIMATE(SALES,MEAN,CAL4_ROLL,2026,45770,,,'')&lt;/Q&gt;&lt;R&gt;1&lt;/R&gt;&lt;C&gt;1&lt;/C&gt;&lt;D xsi:type="xsd:double"&gt;331163.7&lt;/D&gt;&lt;/FQL&gt;&lt;FQL&gt;&lt;Q&gt;Company1341^FE_ESTIMATE(GROSS_INC,MEAN,LTM4_ROLL,,45770,,,'')&lt;/Q&gt;&lt;R&gt;1&lt;/R&gt;&lt;C&gt;1&lt;/C&gt;&lt;D xsi:type="xsd:double"&gt;14063.704&lt;/D&gt;&lt;/FQL&gt;&lt;FQL&gt;&lt;Q&gt;Company1985^FE_ESTIMATE(GROSS_INC,MEAN,CAL4_ROLL,2025,45770,,,'')&lt;/Q&gt;&lt;R&gt;1&lt;/R&gt;&lt;C&gt;1&lt;/C&gt;&lt;D xsi:type="xsd:double"&gt;43064.066&lt;/D&gt;&lt;/FQL&gt;&lt;FQL&gt;&lt;Q&gt;Ticker0024^FE_ESTIMATE(SALES,MEAN,CAL4,2023,45770,,,'')&lt;/Q&gt;&lt;R&gt;1&lt;/R&gt;&lt;C&gt;1&lt;/C&gt;&lt;D xsi:type="xsd:double"&gt;227583&lt;/D&gt;&lt;/FQL&gt;&lt;FQL&gt;&lt;Q&gt;Company1985^FE_ESTIMATE(EBIT_ADJ,MEAN,CAL4_ROLL,2026,45770,,,'')&lt;/Q&gt;&lt;R&gt;1&lt;/R&gt;&lt;C&gt;1&lt;/C&gt;&lt;D xsi:type="xsd:double"&gt;29664.574&lt;/D&gt;&lt;/FQL&gt;&lt;FQL&gt;&lt;Q&gt;Ticker0024^FE_ESTIMATE(EBIT_ADJ,MEAN,CAL4_ROLL,2025,45770,,,'')&lt;/Q&gt;&lt;R&gt;1&lt;/R&gt;&lt;C&gt;1&lt;/C&gt;&lt;D xsi:type="xsd:double"&gt;130846.62&lt;/D&gt;&lt;/FQL&gt;&lt;FQL&gt;&lt;Q&gt;CRM^FE_ESTIMATE(EBIT_ADJ,MEAN,CAL4_ROLL,2026,45770,,,'')&lt;/Q&gt;&lt;R&gt;1&lt;/R&gt;&lt;C&gt;1&lt;/C&gt;&lt;D xsi:type="xsd:double"&gt;15507.806&lt;/D&gt;&lt;/FQL&gt;&lt;FQL&gt;&lt;Q&gt;Company1341^FE_ESTIMATE(FCF,MEAN,CAL4_ROLL,2024,45770,,,'')&lt;/Q&gt;&lt;R&gt;1&lt;/R&gt;&lt;C&gt;1&lt;/C&gt;&lt;D xsi:type="xsd:double"&gt;5539.0967&lt;/D&gt;&lt;/FQL&gt;&lt;FQL&gt;&lt;Q&gt;Ticker0013^FE_ESTIMATE(EBIT_ADJ,MEAN,CAL4_ROLL,2026,45770,,,'')&lt;/Q&gt;&lt;R&gt;1&lt;/R&gt;&lt;C&gt;1&lt;/C&gt;&lt;D xsi:type="xsd:double"&gt;148200.36&lt;/D&gt;&lt;/FQL&gt;&lt;FQL&gt;&lt;Q&gt;Ticker0024^FE_ESTIMATE(FCF,MEAN,CAL4_ROLL,2026,45770,,,'')&lt;/Q&gt;&lt;R&gt;1&lt;/R&gt;&lt;C&gt;1&lt;/C&gt;&lt;D xsi:type="xsd:double"&gt;82287.47&lt;/D&gt;&lt;/FQL&gt;&lt;FQL&gt;&lt;Q&gt;Company0103^FE_ESTIMATE(SALES,MEAN,LTM4_ROLL,,45770,,,'')&lt;/Q&gt;&lt;R&gt;1&lt;/R&gt;&lt;C&gt;1&lt;/C&gt;&lt;D xsi:type="xsd:double"&gt;637959&lt;/D&gt;&lt;/FQL&gt;&lt;FQL&gt;&lt;Q&gt;Company0023^FE_ESTIMATE(SALES,MEAN,LTM4_ROLL,,45770,,,'')&lt;/Q&gt;&lt;R&gt;1&lt;/R&gt;&lt;C&gt;1&lt;/C&gt;&lt;D xsi:type="xsd:double"&gt;22037&lt;/D&gt;&lt;/FQL&gt;&lt;FQL&gt;&lt;Q&gt;Company1905^FE_ESTIMATE(FCF,MEAN,LTM4_ROLL,,45770,,,'')&lt;/Q&gt;&lt;R&gt;1&lt;/R&gt;&lt;C&gt;1&lt;/C&gt;&lt;D xsi:type="xsd:double"&gt;641.565&lt;/D&gt;&lt;/FQL&gt;&lt;FQL&gt;&lt;Q&gt;Company1905^FE_ESTIMATE(FCF,MEAN,NTM4_ROLL,,45770,,,'')&lt;/Q&gt;&lt;R&gt;1&lt;/R&gt;&lt;C&gt;1&lt;/C&gt;&lt;D xsi:type="xsd:double"&gt;748.3166&lt;/D&gt;&lt;/FQL&gt;&lt;FQL&gt;&lt;Q&gt;IBM^FE_ESTIMATE(SALES,MEAN,CAL4_ROLL,2024,45770,,,'')&lt;/Q&gt;&lt;R&gt;1&lt;/R&gt;&lt;C&gt;1&lt;/C&gt;&lt;D xsi:type="xsd:double"&gt;62753&lt;/D&gt;&lt;/FQL&gt;&lt;FQL&gt;&lt;Q&gt;Company0023^FE_ESTIMATE(FCF,MEAN,CAL4_ROLL,2025,45770,,,'')&lt;/Q&gt;&lt;R&gt;1&lt;/R&gt;&lt;C&gt;1&lt;/C&gt;&lt;D xsi:type="xsd:double"&gt;9418.106&lt;/D&gt;&lt;/FQL&gt;&lt;FQL&gt;&lt;Q&gt;Ticker0024^FE_VALUATION(FFEV_FCF,MEAN,CAL4_ROLL,2024,45776,,,'')&lt;/Q&gt;&lt;R&gt;1&lt;/R&gt;&lt;C&gt;1&lt;/C&gt;&lt;D xsi:type="xsd:double"&gt;43.192825&lt;/D&gt;&lt;/FQL&gt;&lt;FQL&gt;&lt;Q&gt;Company0023^FE_VALUATION(PE,MEAN,NTM4_ROLL,,45770,,,'')&lt;/Q&gt;&lt;R&gt;1&lt;/R&gt;&lt;C&gt;1&lt;/C&gt;&lt;D xsi:type="xsd:double"&gt;17.25136&lt;/D&gt;&lt;/FQL&gt;&lt;FQL&gt;&lt;Q&gt;Company1341^FE_ESTIMATE(EPS,MEAN,CAL4_ROLL,2023,45770,,,'')&lt;/Q&gt;&lt;R&gt;1&lt;/R&gt;&lt;C&gt;1&lt;/C&gt;&lt;D xsi:type="xsd:double"&gt;15.67&lt;/D&gt;&lt;/FQL&gt;&lt;FQL&gt;&lt;Q&gt;Company2320^FE_ESTIMATE(FCF,MEAN,NTM4_ROLL,,45770,,,'')&lt;/Q&gt;&lt;R&gt;1&lt;/R&gt;&lt;C&gt;1&lt;/C&gt;&lt;D xsi:type="xsd:double"&gt;9136.861&lt;/D&gt;&lt;/FQL&gt;&lt;FQL&gt;&lt;Q&gt;Company1985^FE_ESTIMATE(EPS,MEAN,CAL4_ROLL,2025,45770,,,'')&lt;/Q&gt;&lt;R&gt;1&lt;/R&gt;&lt;C&gt;1&lt;/C&gt;&lt;D xsi:type="xsd:double"&gt;6.1939034&lt;/D&gt;&lt;/FQL&gt;&lt;FQL&gt;&lt;Q&gt;CRM^FE_ESTIMATE(EBIT_ADJ,MEAN,CAL4_ROLL,2025,45770,,,'')&lt;/Q&gt;&lt;R&gt;1&lt;/R&gt;&lt;C&gt;1&lt;/C&gt;&lt;D xsi:type="xsd:double"&gt;13861.458&lt;/D&gt;&lt;/FQL&gt;&lt;FQL&gt;&lt;Q&gt;Company1905^FE_VALUATION(FFEV_FCF,MEAN,NTM4_ROLL,,45770,,,'')&lt;/Q&gt;&lt;R&gt;1&lt;/R&gt;&lt;C&gt;1&lt;/C&gt;&lt;D xsi:type="xsd:double"&gt;24.765629&lt;/D&gt;&lt;/FQL&gt;&lt;FQL&gt;&lt;Q&gt;IBM^FE_ESTIMATE(SALES,MEAN,CAL4,2023,45770,,,'')&lt;/Q&gt;&lt;R&gt;1&lt;/R&gt;&lt;C&gt;1&lt;/C&gt;&lt;D xsi:type="xsd:double"&gt;61860&lt;/D&gt;&lt;/FQL&gt;&lt;FQL&gt;&lt;Q&gt;Ticker0024^FE_ESTIMATE(EPS,MEAN,LTM4_ROLL,,45770,,,'')&lt;/Q&gt;&lt;R&gt;1&lt;/R&gt;&lt;C&gt;1&lt;/C&gt;&lt;D xsi:type="xsd:double"&gt;12.42&lt;/D&gt;&lt;/FQL&gt;&lt;FQL&gt;&lt;Q&gt;Company0103^FE_VALUATION(FFEV_FCF,MEAN,CAL4_ROLL,2026,45770,,,'')&lt;/Q&gt;&lt;R&gt;1&lt;/R&gt;&lt;C&gt;1&lt;/C&gt;&lt;D xsi:type="xsd:double"&gt;37.862297&lt;/D&gt;&lt;/FQL&gt;&lt;FQL&gt;&lt;Q&gt;Company1985^FE_ESTIMATE(SALES,MEAN,CAL4_ROLL,2026,45770,,,'')&lt;/Q&gt;&lt;R&gt;1&lt;/R&gt;&lt;C&gt;1&lt;/C&gt;&lt;D xsi:type="xsd:double"&gt;70068.18&lt;/D&gt;&lt;/FQL&gt;&lt;FQL&gt;&lt;Q&gt;Ticker0024^FE_ESTIMATE(FCF,MEAN,CAL4_ROLL,2025,45770,,,'')&lt;/Q&gt;&lt;R&gt;1</t>
        </r>
      </text>
    </comment>
    <comment ref="A33" authorId="0" shapeId="0" xr:uid="{7E51528D-F83D-49FC-9676-09E0A0D43554}">
      <text>
        <r>
          <rPr>
            <b/>
            <sz val="9"/>
            <color indexed="81"/>
            <rFont val="Tahoma"/>
            <family val="2"/>
          </rPr>
          <t>Author:type="xsd:double"&gt;79353.03&lt;/D&gt;&lt;/FQL&gt;&lt;FQL&gt;&lt;Q&gt;Company1985^FE_VALUATION(PE,MEAN,CAL4_ROLL,,45770,,,'')&lt;/Q&gt;&lt;R&gt;1&lt;/R&gt;&lt;C&gt;1&lt;/C&gt;&lt;D xsi:type="xsd:double"&gt;20.251785&lt;/D&gt;&lt;/FQL&gt;&lt;FQL&gt;&lt;Q&gt;Company1985^FE_ESTIMATE(SALES,MEAN,CAL4,2023,45770,,,'')&lt;/Q&gt;&lt;R&gt;1&lt;/R&gt;&lt;C&gt;1&lt;/C&gt;&lt;D xsi:type="xsd:double"&gt;51629&lt;/D&gt;&lt;/FQL&gt;&lt;FQL&gt;&lt;Q&gt;Ticker0013^FE_VALUATION(FFEV_FCF,MEAN,CAL4_ROLL,2024,45770,,,'')&lt;/Q&gt;&lt;R&gt;1&lt;/R&gt;&lt;C&gt;1&lt;/C&gt;&lt;D xsi:type="xsd:double"&gt;25.672792&lt;/D&gt;&lt;/FQL&gt;&lt;FQL&gt;&lt;Q&gt;Company1905^FE_ESTIMATE(SALES,MEAN,CAL4_ROLL,2025,45770,,,'')&lt;/Q&gt;&lt;R&gt;1&lt;/R&gt;&lt;C&gt;1&lt;/C&gt;&lt;D xsi:type="xsd:double"&gt;2690.5366&lt;/D&gt;&lt;/FQL&gt;&lt;FQL&gt;&lt;Q&gt;Company0103^FE_ESTIMATE(EPS,MEAN,CAL4_ROLL,2024,45770,,,'')&lt;/Q&gt;&lt;R&gt;1&lt;/R&gt;&lt;C&gt;1&lt;/C&gt;&lt;D xsi:type="xsd:double"&gt;5.53&lt;/D&gt;&lt;/FQL&gt;&lt;FQL&gt;&lt;Q&gt;Ticker0013^FE_ESTIMATE(GROSS_INC,MEAN,CAL4_ROLL,2024,45770,,,'')&lt;/Q&gt;&lt;R&gt;1&lt;/R&gt;&lt;C&gt;1&lt;/C&gt;&lt;D xsi:type="xsd:double"&gt;203895.58&lt;/D&gt;&lt;/FQL&gt;&lt;FQL&gt;&lt;Q&gt;Company0023^FE_ESTIMATE(EBIT_ADJ,MEAN,CAL4_ROLL,2024,45770,,,'')&lt;/Q&gt;&lt;R&gt;1&lt;/R&gt;&lt;C&gt;1&lt;/C&gt;&lt;D xsi:type="xsd:double"&gt;10017.416&lt;/D&gt;&lt;/FQL&gt;&lt;FQL&gt;&lt;Q&gt;Ticker0024^FE_ESTIMATE(EPS,MEAN,CAL4_ROLL,2026,45770,,,'')&lt;/Q&gt;&lt;R&gt;1&lt;/R&gt;&lt;C&gt;1&lt;/C&gt;&lt;D xsi:type="xsd:double"&gt;15.897828&lt;/D&gt;&lt;/FQL&gt;&lt;FQL&gt;&lt;Q&gt;IBM^FE_ESTIMATE(EBIT_ADJ,MEAN,CAL4_ROLL,2024,45770,,,'')&lt;/Q&gt;&lt;R&gt;1&lt;/R&gt;&lt;C&gt;1&lt;/C&gt;&lt;D xsi:type="xsd:double"&gt;11312.172&lt;/D&gt;&lt;/FQL&gt;&lt;FQL&gt;&lt;Q&gt;Ticker0013^FE_ESTIMATE(SALES,MEAN,NTM4_ROLL,,45770,,,'')&lt;/Q&gt;&lt;R&gt;1&lt;/R&gt;&lt;C&gt;1&lt;/C&gt;&lt;D xsi:type="xsd:double"&gt;385166.38&lt;/D&gt;&lt;/FQL&gt;&lt;FQL&gt;&lt;Q&gt;Company0103^FE_ESTIMATE(EPS,MEAN,NTM4_ROLL,,45770,,,'')&lt;/Q&gt;&lt;R&gt;1&lt;/R&gt;&lt;C&gt;1&lt;/C&gt;&lt;D xsi:type="xsd:double"&gt;6.167715&lt;/D&gt;&lt;/FQL&gt;&lt;FQL&gt;&lt;Q&gt;IBM^FE_VALUATION(PE,MEAN,CAL4_ROLL,,45770,,,'')&lt;/Q&gt;&lt;R&gt;1&lt;/R&gt;&lt;C&gt;1&lt;/C&gt;&lt;D xsi:type="xsd:double"&gt;23.016644&lt;/D&gt;&lt;/FQL&gt;&lt;FQL&gt;&lt;Q&gt;Company1905^FE_ESTIMATE(GROSS_INC,MEAN,CAL4_ROLL,2025,45770,,,'')&lt;/Q&gt;&lt;R&gt;1&lt;/R&gt;&lt;C&gt;1&lt;/C&gt;&lt;D xsi:type="xsd:double"&gt;2342.5708&lt;/D&gt;&lt;/FQL&gt;&lt;FQL&gt;&lt;Q&gt;Company1985^FE_ESTIMATE(EPS,MEAN,LTM4_ROLL,,45770,,,'')&lt;/Q&gt;&lt;R&gt;1&lt;/R&gt;&lt;C&gt;1&lt;/C&gt;&lt;D xsi:type="xsd:double"&gt;5.96&lt;/D&gt;&lt;/FQL&gt;&lt;FQL&gt;&lt;Q&gt;Company2320^FE_VALUATION(PE,MEAN,CAL4_ROLL,,45770,,,'')&lt;/Q&gt;&lt;R&gt;1&lt;/R&gt;&lt;C&gt;1&lt;/C&gt;&lt;D xsi:type="xsd:double"&gt;37.26224&lt;/D&gt;&lt;/FQL&gt;&lt;FQL&gt;&lt;Q&gt;Company1985^FE_ESTIMATE(FCF,MEAN,CAL4_ROLL,2026,45770,,,'')&lt;/Q&gt;&lt;R&gt;1&lt;/R&gt;&lt;C&gt;1&lt;/C&gt;&lt;D xsi:type="xsd:double"&gt;10748.23&lt;/D&gt;&lt;/FQL&gt;&lt;FQL&gt;&lt;Q&gt;Ticker0024^FE_ESTIMATE(FCF,MEAN,CAL4_ROLL,2023,45770,,,'')&lt;/Q&gt;&lt;R&gt;1&lt;/R&gt;&lt;C&gt;1&lt;/C&gt;&lt;D xsi:type="xsd:double"&gt;64571.887&lt;/D&gt;&lt;/FQL&gt;&lt;FQL&gt;&lt;Q&gt;Ticker0013^FE_ESTIMATE(SALES,MEAN,CAL4_ROLL,2025,45770,,,'')&lt;/Q&gt;&lt;R&gt;1&lt;/R&gt;&lt;C&gt;1&lt;/C&gt;&lt;D xsi:type="xsd:double"&gt;385166.38&lt;/D&gt;&lt;/FQL&gt;&lt;FQL&gt;&lt;Q&gt;Ticker0024^FE_VALUATION(FFEV_FCF,MEAN,NTM4_ROLL,,45776,,,'')&lt;/Q&gt;&lt;R&gt;1&lt;/R&gt;&lt;C&gt;1&lt;/C&gt;&lt;D xsi:type="xsd:double"&gt;37.786915&lt;/D&gt;&lt;/FQL&gt;&lt;FQL&gt;&lt;Q&gt;Company0023^FE_ESTIMATE(EBIT_ADJ,MEAN,NTM4_ROLL,,45770,,,'')&lt;/Q&gt;&lt;R&gt;1&lt;/R&gt;&lt;C&gt;1&lt;/C&gt;&lt;D xsi:type="xsd:double"&gt;11001.661&lt;/D&gt;&lt;/FQL&gt;&lt;FQL&gt;&lt;Q&gt;Company0103^FE_ESTIMATE(EBIT_ADJ,MEAN,CAL4_ROLL,2023,45770,,,'')&lt;/Q&gt;&lt;R&gt;1&lt;/R&gt;&lt;C&gt;1&lt;/C&gt;&lt;D xsi:type="xsd:double"&gt;61021.926&lt;/D&gt;&lt;/FQL&gt;&lt;FQL&gt;&lt;Q&gt;Company1905^FE_ESTIMATE(SALES,MEAN,CAL4_ROLL,2024,45770,,,'')&lt;/Q&gt;&lt;R&gt;1&lt;/R&gt;&lt;C&gt;1&lt;/C&gt;&lt;D xsi:type="xsd:double"&gt;2318.206&lt;/D&gt;&lt;/FQL&gt;&lt;FQL&gt;&lt;Q&gt;Company0023^FE_ESTIMATE(EBIT_ADJ,MEAN,CAL4_ROLL,2026,45770,,,'')&lt;/Q&gt;&lt;R&gt;1&lt;/R&gt;&lt;C&gt;1&lt;/C&gt;&lt;D xsi:type="xsd:double"&gt;11879.626&lt;/D&gt;&lt;/FQL&gt;&lt;FQL&gt;&lt;Q&gt;Company1341^FE_ESTIMATE(GROSS_INC,MEAN,CAL4_ROLL,2023,45770,,,'')&lt;/Q&gt;&lt;R&gt;1&lt;/R&gt;&lt;C&gt;1&lt;/C&gt;&lt;D xsi:type="xsd:double"&gt;12198.407&lt;/D&gt;&lt;/FQL&gt;&lt;FQL&gt;&lt;Q&gt;IBM^FE_VALUATION(PE,MEAN,NTM4_ROLL,,45770,,,'')&lt;/Q&gt;&lt;R&gt;1&lt;/R&gt;&lt;C&gt;1&lt;/C&gt;&lt;D xsi:type="xsd:double"&gt;23.016644&lt;/D&gt;&lt;/FQL&gt;&lt;FQL&gt;&lt;Q&gt;Ticker0024^FE_ESTIMATE(EBIT_ADJ,MEAN,NTM4_ROLL,,45770,,,'')&lt;/Q&gt;&lt;R&gt;1&lt;/R&gt;&lt;C&gt;1&lt;/C&gt;&lt;D xsi:type="xsd:double"&gt;130846.62&lt;/D&gt;&lt;/FQL&gt;&lt;FQL&gt;&lt;Q&gt;Company0023^FE_ESTIMATE(EBIT_ADJ,MEAN,CAL4_ROLL,2025,45770,,,'')&lt;/Q&gt;&lt;R&gt;1&lt;/R&gt;&lt;C&gt;1&lt;/C&gt;&lt;D xsi:type="xsd:double"&gt;10802.084&lt;/D&gt;&lt;/FQL&gt;&lt;FQL&gt;&lt;Q&gt;IBM^FE_ESTIMATE(FCF,MEAN,CAL4_ROLL,2026,45770,,,'')&lt;/Q&gt;&lt;R&gt;1&lt;/R&gt;&lt;C&gt;1&lt;/C&gt;&lt;D xsi:type="xsd:double"&gt;13915&lt;/D&gt;&lt;/FQL&gt;&lt;FQL&gt;&lt;Q&gt;Company0103^FE_ESTIMATE(SALES,MEAN,CAL4_ROLL,2026,45770,,,'')&lt;/Q&gt;&lt;R&gt;1&lt;/R&gt;&lt;C&gt;1&lt;/C&gt;&lt;D xsi:type="xsd:double"&gt;758575&lt;/D&gt;&lt;/FQL&gt;&lt;FQL&gt;&lt;Q&gt;Company0023^FE_ESTIMATE(EPS,MEAN,CAL4_ROLL,2025,45770,,,'')&lt;/Q&gt;&lt;R&gt;1&lt;/R&gt;&lt;C&gt;1&lt;/C&gt;&lt;D xsi:type="xsd:double"&gt;20.419233&lt;/D&gt;&lt;/FQL&gt;&lt;FQL&gt;&lt;Q&gt;Company1905^FE_ESTIMATE(SALES,MEAN,CAL4_ROLL,2026,45770,,,'')&lt;/Q&gt;&lt;R&gt;1&lt;/R&gt;&lt;C&gt;1&lt;/C&gt;&lt;D xsi:type="xsd:double"&gt;3110.578&lt;/D&gt;&lt;/FQL&gt;&lt;FQL&gt;&lt;Q&gt;Company0023^FE_ESTIMATE(SALES,MEAN,NTM4_ROLL,,45770,,,'')&lt;/Q&gt;&lt;R&gt;1&lt;/R&gt;&lt;C&gt;1&lt;/C&gt;&lt;D xsi:type="xsd:double"&gt;23985.01&lt;/D&gt;&lt;/FQL&gt;&lt;FQL&gt;&lt;Q&gt;Ticker0024^FE_ESTIMATE(SALES,MEAN,CAL4_ROLL,2024,45770,,,'')&lt;/Q&gt;&lt;R&gt;1&lt;/R&gt;&lt;C&gt;1&lt;/C&gt;&lt;D xsi:type="xsd:double"&gt;261802&lt;/D&gt;&lt;/FQL&gt;&lt;FQL&gt;&lt;Q&gt;Company0103^FE_ESTIMATE(FCF,MEAN,CAL4_ROLL,2024,45770,,,'')&lt;/Q&gt;&lt;R&gt;1&lt;/R&gt;&lt;C&gt;1&lt;/C&gt;&lt;D xsi:type="xsd:double"&gt;37569.48&lt;/D&gt;&lt;/FQL&gt;&lt;FQL&gt;&lt;Q&gt;CRM^FE_ESTIMATE(GROSS_INC,MEAN,NTM4_ROLL,,45770,,,'')&lt;/Q&gt;&lt;R&gt;1&lt;/R&gt;&lt;C&gt;1&lt;/C&gt;&lt;D xsi:type="xsd:double"&gt;32787.863&lt;/D&gt;&lt;/FQL&gt;&lt;FQL&gt;&lt;Q&gt;Company0023^FE_ESTIMATE(FCF,MEAN,LTM4_ROLL,,45770,,,'')&lt;/Q&gt;&lt;R&gt;1&lt;/R&gt;&lt;C&gt;1&lt;/C&gt;&lt;D xsi:type="xsd:double"&gt;9193.25&lt;/D&gt;&lt;/FQL&gt;&lt;FQL&gt;&lt;Q&gt;Ticker0024^FE_VALUATION(FFEV_FCF,MEAN,CAL4_ROLL,0,45770,,,'')&lt;/Q&gt;&lt;R&gt;1&lt;/R&gt;&lt;C&gt;1&lt;/C&gt;&lt;D xsi:type="xsd:double"&gt;43.720787&lt;/D&gt;&lt;/FQL&gt;&lt;FQL&gt;&lt;Q&gt;Company1341^FE_VALUATION(FFEV_FCF,MEAN,CAL4_ROLL,0,45770,,,'')&lt;/Q&gt;&lt;R&gt;1&lt;/R&gt;&lt;C&gt;1&lt;/C&gt;&lt;D xsi:type="xsd:double"&gt;29.808407&lt;/D&gt;&lt;/FQL&gt;&lt;FQL&gt;&lt;Q&gt;Company1985^FE_VALUATION(FFEV_FCF,MEAN,CAL4_ROLL,0,45770,,,'')&lt;/Q&gt;&lt;R&gt;1&lt;/R&gt;&lt;C&gt;1&lt;/C&gt;&lt;D xsi:type="xsd:double"&gt;61.18545&lt;/D&gt;&lt;/FQL&gt;&lt;FQL&gt;&lt;Q&gt;Company1905^FE_ESTIMATE(GROSS_INC,MEAN,CAL4_ROLL,2024,45770,,,'')&lt;/Q&gt;&lt;R&gt;1&lt;/R&gt;&lt;C&gt;1&lt;/C&gt;&lt;D xsi:type="xsd:double"&gt;2016.336&lt;/D&gt;&lt;/FQL&gt;&lt;FQL&gt;&lt;Q&gt;Ticker0024^FE_VALUATION(PE,MEAN,CAL4_ROLL,,45776,,,'')&lt;/Q&gt;&lt;R&gt;1&lt;/R&gt;&lt;C&gt;1&lt;/C&gt;&lt;D xsi:type="xsd:double"&gt;30.139782&lt;/D&gt;&lt;/FQL&gt;&lt;FQL&gt;&lt;Q&gt;Company1341^FE_ESTIMATE(FCF,MEAN,CAL4_ROLL,2025,45770,,,'')&lt;/Q&gt;&lt;R&gt;1&lt;/R&gt;&lt;C&gt;1&lt;/C&gt;&lt;D xsi:type="xsd:double"&gt;6312.4644&lt;/D&gt;&lt;/FQL&gt;&lt;FQL&gt;&lt;Q&gt;Company1985^FE_ESTIMATE(EPS,MEAN,CAL4_ROLL,2026,45770,,,'')&lt;/Q&gt;&lt;R&gt;1&lt;/R&gt;&lt;C&gt;1&lt;/C&gt;&lt;D xsi:type="xsd:double"&gt;7.309573&lt;/D&gt;&lt;/FQL&gt;&lt;FQL&gt;&lt;Q&gt;Company2320^FE_ESTIMATE(SALES,MEAN,LTM4_ROLL,,45770,,,'')&lt;/Q&gt;&lt;R&gt;1&lt;/R&gt;&lt;C&gt;1&lt;/C&gt;&lt;D xsi:type="xsd:double"&gt;38264.996&lt;/D&gt;&lt;/FQL&gt;&lt;FQL&gt;&lt;Q&gt;Company2320^FE_ESTIMATE(EPS,MEAN,CAL4_ROLL,2026,45770,,,'')&lt;/Q&gt;&lt;R&gt;1&lt;/R&gt;&lt;C&gt;1&lt;/C&gt;&lt;D xsi:type="xsd:double"&gt;8.2462635&lt;/D&gt;&lt;/FQL&gt;&lt;FQL&gt;&lt;Q&gt;IBM^FE_VALUATION(FFEV_FCF,MEAN,CAL4_ROLL,0,45770,,,'')&lt;/Q&gt;&lt;R&gt;1&lt;/R&gt;&lt;C&gt;1&lt;/C&gt;&lt;D xsi:type="xsd:double"&gt;20.75858&lt;/D&gt;&lt;/FQL&gt;&lt;FQL&gt;&lt;Q&gt;Company0023^FE_VALUATION(FFEV_FCF,MEAN,CAL4_ROLL,0,45770,,,'')&lt;/Q&gt;&lt;R&gt;1&lt;/R&gt;&lt;C&gt;1&lt;/C&gt;&lt;D xsi:type="xsd:double"&gt;16.688696&lt;/D&gt;&lt;/FQL&gt;&lt;FQL&gt;&lt;Q&gt;Company0103^FE_VALUATION(FFEV_FCF,MEAN,CAL4_ROLL,0,45770,,,'')&lt;/Q&gt;&lt;R&gt;1&lt;/R&gt;&lt;C&gt;1&lt;/C&gt;&lt;D xsi:type="xsd:double"&gt;46.000683&lt;/D&gt;&lt;/FQL&gt;&lt;FQL&gt;&lt;Q&gt;Company1905^FE_ESTIMATE(GROSS_INC,MEAN,CAL4_ROLL,2026,45770,,,'')&lt;/Q&gt;&lt;R&gt;1&lt;/R&gt;&lt;C&gt;1&lt;/C&gt;&lt;D xsi:type="xsd:double"&gt;2702.793&lt;/D&gt;&lt;/FQL&gt;&lt;FQL&gt;&lt;Q&gt;Ticker0024^FE_ESTIMATE(GROSS_INC,MEAN,CAL4_ROLL,2024,45770,,,'')&lt;/Q&gt;&lt;R&gt;1&lt;/R&gt;&lt;C&gt;1&lt;/C&gt;&lt;D xsi:type="xsd:double"&gt;181703.53&lt;/D&gt;&lt;/FQL&gt;&lt;FQL&gt;&lt;Q&gt;Company1341^FE_ESTIMATE(EBIT_ADJ,MEAN,LTM4_ROLL,,45770,,,'')&lt;/Q&gt;&lt;R&gt;1&lt;/R&gt;&lt;C&gt;1&lt;/C&gt;&lt;D xsi:type="xsd:double"&gt;6655&lt;/D&gt;&lt;/FQL&gt;&lt;FQL&gt;&lt;Q&gt;IBM^FREF_MARKET_VALUE_COMPANY(45770,,,,,0,,"LEGACY")&lt;/Q&gt;&lt;R&gt;1&lt;/R&gt;&lt;C&gt;1&lt;/C&gt;&lt;D xsi:type="xsd:double"&gt;230156.28125&lt;/D&gt;&lt;/FQL&gt;&lt;FQL&gt;&lt;Q&gt;Ticker0024^FE_ESTIMATE(GROSS_INC,MEAN,CAL4_ROLL,2025,45770,,,'')&lt;/Q&gt;&lt;R&gt;1&lt;/R&gt;&lt;C&gt;1&lt;/C&gt;&lt;D xsi:type="xsd:double"&gt;198865.19&lt;/D&gt;&lt;/FQL&gt;&lt;FQL&gt;&lt;Q&gt;Company0103^FE_ESTIMATE(GROSS_INC,MEAN,CAL4_ROLL,2024,45770,,,'')&lt;/Q&gt;&lt;R&gt;1&lt;/R&gt;&lt;C&gt;1&lt;/C&gt;&lt;D xsi:type="xsd:double"&gt;311922.3&lt;/D&gt;&lt;/FQL&gt;&lt;FQL&gt;&lt;Q&gt;Company1341^FE_VALUATION(FFEV_FCF,MEAN,CAL4_ROLL,2025,45770,,,'')&lt;/Q&gt;&lt;R&gt;1&lt;/R&gt;&lt;C&gt;1&lt;/C&gt;&lt;D xsi:type="xsd:double"&gt;27.72785&lt;/D&gt;&lt;/FQL&gt;&lt;FQL&gt;&lt;Q&gt;Ticker0024^FE_ESTIMATE(SALES,MEAN,LTM4_ROLL,,45770,,,'')&lt;/Q&gt;&lt;R&gt;1&lt;/R&gt;&lt;C&gt;1&lt;/C&gt;&lt;D xsi:type="xsd:double"&gt;261802&lt;/D&gt;&lt;/FQL&gt;&lt;FQL&gt;&lt;Q&gt;Company0023^FE_ESTIMATE(SALES,MEAN,CAL4,2023,45770,,,'')&lt;/Q&gt;&lt;R&gt;1&lt;/R&gt;&lt;C&gt;1&lt;/C&gt;&lt;D xsi:type="xsd:double"&gt;19409&lt;/D&gt;&lt;/FQL&gt;&lt;FQL&gt;&lt;Q&gt;Company1905^FE_ESTIMATE(EBIT_ADJ,MEAN,CAL4_ROLL,2025,45770,,,'')&lt;/Q&gt;&lt;R&gt;1&lt;/R&gt;&lt;C&gt;1&lt;/C&gt;&lt;D xsi:type="xsd:double"&gt;490.61374&lt;/D&gt;&lt;/FQL&gt;&lt;FQL&gt;&lt;Q&gt;Company1341^FE_ESTIMATE(SALES,MEAN,NTM4_ROLL,,45770,,,'')&lt;/Q&gt;&lt;R&gt;1&lt;/R&gt;&lt;C&gt;1&lt;/C&gt;&lt;D xsi:type="xsd:double"&gt;19283.613&lt;/D&gt;&lt;/FQL&gt;&lt;FQL&gt;&lt;Q&gt;Company1341^FE_ESTIMATE(EBIT_ADJ,MEAN,CAL4_ROLL,2025,45770,,,'')&lt;/Q&gt;&lt;R&gt;1&lt;/R&gt;&lt;C&gt;1&lt;/C&gt;&lt;D xsi:type="xsd:double"&gt;7695.7646&lt;/D&gt;&lt;/FQL&gt;&lt;FQL&gt;&lt;Q&gt;Company2320^FE_ESTIMATE(GROSS_INC,MEAN,CAL4_ROLL,2025,45770,,,'')&lt;/Q&gt;&lt;R&gt;1&lt;/R&gt;&lt;C&gt;1&lt;/C&gt;&lt;D xsi:type="xsd:double"&gt;31167.572&lt;/D&gt;&lt;/FQL&gt;&lt;FQL&gt;&lt;Q&gt;Company1341^FE_VALUATION(FFEV_FCF,MEAN,CAL4_ROLL,,45770,,,'')&lt;/Q&gt;&lt;R&gt;1&lt;/R&gt;&lt;C&gt;1&lt;/C&gt;&lt;D xsi:type="xsd:double"&gt;29.808407&lt;/D&gt;&lt;/FQL&gt;&lt;FQL&gt;&lt;Q&gt;Company0023^FE_ESTIMATE(GROSS_INC,MEAN,CAL4_ROLL,2025,45770,,,'')&lt;/Q&gt;&lt;R&gt;1&lt;/R&gt;&lt;C&gt;1&lt;/C&gt;&lt;D xsi:type="xsd:double"&gt;21113.3&lt;/D&gt;&lt;/FQL&gt;&lt;FQL&gt;&lt;Q&gt;Company0023^FE_ESTIMATE(FCF,MEAN,CAL4_ROLL,2026,45770,,,'')&lt;/Q&gt;&lt;R&gt;1&lt;/R&gt;&lt;C&gt;1&lt;/C&gt;&lt;D xsi:type="xsd:double"&gt;10360.803&lt;/D&gt;&lt;/FQL&gt;&lt;FQL&gt;&lt;Q&gt;Ticker0024^FE_ESTIMATE(EPS,MEAN,NTM4_ROLL,,45770,,,'')&lt;/Q&gt;&lt;R&gt;1&lt;/R&gt;&lt;C&gt;1&lt;/C&gt;&lt;D xsi:type="xsd:double"&gt;13.78987&lt;/D&gt;&lt;/FQL&gt;&lt;FQL&gt;&lt;Q&gt;Company1341^FE_ESTIMATE(FCF,MEAN,CAL4_ROLL,2026,45770,,,'')&lt;/Q&gt;&lt;R&gt;1&lt;/R&gt;&lt;C&gt;1&lt;/C&gt;&lt;D xsi:type="xsd:double"&gt;6909.067&lt;/D&gt;&lt;/FQL&gt;&lt;FQL&gt;&lt;Q&gt;Company1905^FE_ESTIMATE(SALES,MEAN,CAL4,2023,45770,,,'')&lt;/Q&gt;&lt;R&gt;1&lt;/R&gt;&lt;C&gt;1&lt;/C&gt;&lt;D xsi:type="xsd:double"&gt;2019.078&lt;/D&gt;&lt;/FQL&gt;&lt;FQL&gt;&lt;Q&gt;Company1341^FE_ESTIMATE(GROSS_INC,MEAN,CAL4_ROLL,2026,45770,,,'')&lt;/Q&gt;&lt;R&gt;1&lt;/R&gt;&lt;C&gt;1&lt;/C&gt;&lt;D xsi:type="xsd:double"&gt;17756.25&lt;/D&gt;&lt;/FQL&gt;&lt;FQL&gt;&lt;Q&gt;Ticker0024^FE_ESTIMATE(EBIT_ADJ,MEAN,LTM4_ROLL,,45770,,,'')&lt;/Q&gt;&lt;R&gt;1&lt;/R&gt;&lt;C&gt;1&lt;/C&gt;&lt;D xsi:type="xsd:double"&gt;117711.1&lt;/D&gt;&lt;/FQL&gt;&lt;FQL&gt;&lt;Q&gt;Ticker0013^FE_ESTIMATE(GROSS_INC,MEAN,LTM4_ROLL,,45770,,,'')&lt;/Q&gt;&lt;R&gt;1&lt;/R&gt;&lt;C&gt;1&lt;/C&gt;&lt;D xsi:type="xsd:double"&gt;203895.58&lt;/D&gt;&lt;/FQL&gt;&lt;FQL&gt;&lt;Q&gt;Company1341^FE_ESTIMATE(SALES,MEAN,CAL4_ROLL,2026,45770,,,'')&lt;/Q&gt;&lt;R&gt;1&lt;/R&gt;&lt;C&gt;1&lt;/C&gt;&lt;D xsi:type="xsd:double"&gt;21564.582&lt;/D&gt;&lt;/FQL&gt;&lt;FQL&gt;&lt;Q&gt;IBM^FE_ESTIMATE(GROSS_INC,MEAN,CAL4_ROLL,2024,45770,,,'')&lt;/Q&gt;&lt;R&gt;1&lt;/R&gt;&lt;C&gt;1&lt;/C&gt;&lt;D xsi:type="xsd:double"&gt;36243.547&lt;/D&gt;&lt;/FQL&gt;&lt;FQL&gt;&lt;Q&gt;Company0023^FE_ESTIMATE(EPS,MEAN,CAL4_ROLL,2024,45770,,,'')&lt;/Q&gt;&lt;R&gt;1&lt;/R&gt;&lt;C&gt;1&lt;/C&gt;&lt;D xsi:type="xsd:double"&gt;18.42&lt;/D&gt;&lt;/FQL&gt;&lt;FQL&gt;&lt;Q&gt;Company0103^FE_ESTIMATE(GROSS_INC,MEAN,LTM4_ROLL,,45770,,,'')&lt;/Q&gt;&lt;R&gt;1&lt;/R&gt;&lt;C&gt;1&lt;/C&gt;&lt;D xsi:type="xsd:double"&gt;311922.3&lt;/D&gt;&lt;/FQL&gt;&lt;FQL&gt;&lt;Q&gt;Ticker0013^FE_ESTIMATE(EBIT_ADJ,MEAN,CAL4_ROLL,2025,45770,,,'')&lt;/Q&gt;&lt;R&gt;1&lt;/R&gt;&lt;C&gt;1&lt;/C&gt;&lt;D xsi:type="xsd:double"&gt;139211.48&lt;/D&gt;&lt;/FQL&gt;&lt;FQL&gt;&lt;Q&gt;Company1905^FE_ESTIMATE(EBIT_ADJ,MEAN,CAL4_ROLL,2026,45770,,,'')&lt;/Q&gt;&lt;R&gt;1&lt;/R&gt;&lt;C&gt;1&lt;/C&gt;&lt;D xsi:type="xsd:double"&gt;570.7&lt;/D&gt;&lt;/FQL&gt;&lt;FQL&gt;&lt;Q&gt;Company0103^FE_ESTIMATE(FCF,MEAN,CAL4_ROLL,2023,45770,,,'')&lt;/Q&gt;&lt;R&gt;1&lt;/R&gt;&lt;C&gt;1&lt;/C&gt;&lt;D xsi:type="xsd:double"&gt;38765.21&lt;/D&gt;&lt;/FQL&gt;&lt;FQL&gt;&lt;Q&gt;Company1341^FE_ESTIMATE(SALES,MEAN,CAL4_ROLL,2025,45770,,,'')&lt;/Q&gt;&lt;R&gt;1&lt;/R&gt;&lt;C&gt;1&lt;/C&gt;&lt;D xsi:type="xsd:double"&gt;19283.613&lt;/D&gt;&lt;/FQL&gt;&lt;FQL&gt;&lt;Q&gt;Company1341^FE_ESTIMATE(EBIT_ADJ,MEAN,CAL4_ROLL,2024,45770,,,'')&lt;/Q&gt;&lt;R&gt;1&lt;/R&gt;&lt;C&gt;1&lt;/C&gt;&lt;D xsi:type="xsd:double"&gt;6655&lt;/D&gt;&lt;/FQL&gt;&lt;FQL&gt;&lt;Q&gt;Company2320^FE_ESTIMATE(EBIT_ADJ,MEAN,CAL4_ROLL,2024,45770,,,'')&lt;/Q&gt;&lt;R&gt;1&lt;/R&gt;&lt;C&gt;1&lt;/C&gt;&lt;D xsi:type="xsd:double"&gt;8709.202&lt;/D&gt;&lt;/FQL&gt;&lt;FQL&gt;&lt;Q&gt;IBM^FE_VALUATION(FFEV_FCF,MEAN,CAL4_ROLL,2026,45770,,,'')&lt;/Q&gt;&lt;R&gt;1&lt;/R&gt;&lt;C&gt;1&lt;/C&gt;&lt;D xsi:type="xsd:double"&gt;19.786165&lt;/D&gt;&lt;/FQL&gt;&lt;FQL&gt;&lt;Q&gt;Ticker0013^FE_ESTIMATE(SALES,MEAN,LTM4_ROLL,,45770,,,'')&lt;/Q&gt;&lt;R&gt;1&lt;/R&gt;&lt;C&gt;1&lt;/C&gt;&lt;D xsi:type="xsd:double"&gt;350018&lt;/D&gt;&lt;/FQL&gt;&lt;FQL&gt;&lt;Q&gt;Company0023^FE_ESTIMATE(GROSS_INC,MEAN,NTM4_ROLL,,45770,,,'')&lt;/Q&gt;&lt;R&gt;1&lt;/R&gt;&lt;C&gt;1&lt;/C&gt;&lt;D xsi:type="xsd:double"&gt;21550.135&lt;/D&gt;&lt;/FQL&gt;&lt;FQL&gt;&lt;Q&gt;Company1341^FE_ESTIMATE(FCF,MEAN,NTM4_ROLL,,45770,,,'')&lt;/Q&gt;&lt;R&gt;1&lt;/R&gt;&lt;C&gt;1&lt;/C&gt;&lt;D xsi:type="xsd:double"&gt;6312.4644&lt;/D&gt;&lt;/FQL&gt;&lt;FQL&gt;&lt;Q&gt;Company1905^FE_ESTIMATE(GROSS_INC,MEAN,CAL4_ROLL,2023,45770,,,'')&lt;/Q&gt;&lt;R&gt;1&lt;/R&gt;&lt;C&gt;1&lt;/C&gt;&lt;D xsi:type="xsd:double"&gt;1712.756&lt;/D&gt;&lt;/FQL&gt;&lt;FQL&gt;&lt;Q&gt;Company1341^FE_VALUATION(FFEV_FCF,MEAN,CAL4_ROLL,2024,45770,,,'')&lt;/Q&gt;&lt;R&gt;1&lt;/R&gt;&lt;C&gt;1&lt;/C&gt;&lt;D xsi:type="xsd:double"&gt;31.599207&lt;/D&gt;&lt;/FQL&gt;&lt;FQL&gt;&lt;Q&gt;Company0023^FREF_MARKET_VALUE_COMPANY(45770,,,,,0,,"LEGACY")&lt;/Q&gt;&lt;R&gt;1&lt;/R&gt;&lt;C&gt;1&lt;/C&gt;&lt;D xsi:type="xsd:double"&gt;153709.03125&lt;/D&gt;&lt;/FQL&gt;&lt;FQL&gt;&lt;Q&gt;CRM^FE_ESTIMATE(GROSS_INC,MEAN,CAL4_ROLL,2024,45770,,,'')&lt;/Q&gt;&lt;R&gt;1&lt;/R&gt;&lt;C&gt;1&lt;/C&gt;&lt;D xsi:type="xsd:double"&gt;30389.063&lt;/D&gt;&lt;/FQL&gt;&lt;FQL&gt;&lt;Q&gt;Company0103^FREF_MARKET_VALUE_COMPANY(45770,,,,,0,,"LEGACY")&lt;/Q&gt;&lt;R&gt;1&lt;/R&gt;&lt;C&gt;1&lt;/C&gt;&lt;D xsi:type="xsd:double"&gt;1976075.25&lt;/D&gt;&lt;/FQL&gt;&lt;FQL&gt;&lt;Q&gt;Company2320^FE_ESTIMATE(GROSS_INC,MEAN,CAL4_ROLL,2026,45770,,,'')&lt;/Q&gt;&lt;R&gt;1&lt;/R&gt;&lt;C&gt;1&lt;/C&gt;&lt;D xsi:type="xsd:double"&gt;35248.566&lt;/D&gt;&lt;/FQL&gt;&lt;FQL&gt;&lt;Q&gt;Company2320^FE_ESTIMATE(SALES,MEAN,CAL4_ROLL,2024,45770,,,'')&lt;/Q&gt;&lt;R&gt;1&lt;/R&gt;&lt;C&gt;1&lt;/C&gt;&lt;D xsi:type="xsd:double"&gt;36522.137&lt;/D&gt;&lt;/FQL&gt;&lt;FQL&gt;&lt;Q&gt;Ticker0013^FE_ESTIMATE(FCF,MEAN,CAL4_ROLL,2023,45770,,,'')&lt;/Q&gt;&lt;R&gt;1&lt;/R&gt;&lt;C&gt;1&lt;/C&gt;&lt;D xsi:type="xsd:double"&gt;69970.21&lt;/D&gt;&lt;/FQL&gt;&lt;FQL&gt;&lt;Q&gt;Ticker0024^FE_VALUATION(PE,MEAN,NTM4_ROLL,,45770,,,'')&lt;/Q&gt;&lt;R&gt;1&lt;/R&gt;&lt;C&gt;1&lt;/C&gt;&lt;D xsi:type="xsd:double"&gt;27.433905&lt;/D&gt;&lt;/FQL&gt;&lt;FQL&gt;&lt;Q&gt;Company1905^FE_ESTIMATE(FCF,MEAN,CAL4_ROLL,2025,45770,,,'')&lt;/Q&gt;&lt;R&gt;1&lt;/R&gt;&lt;C&gt;1&lt;/C&gt;&lt;D xsi:type="xsd:double"&gt;748.3166&lt;/D&gt;&lt;/FQL&gt;&lt;FQL&gt;&lt;Q&gt;Ticker0024^FE_ESTIMATE(EPS,MEAN,CAL4_ROLL,,45770,,,'')&lt;/Q&gt;&lt;R&gt;1&lt;/R&gt;&lt;C&gt;1&lt;/C&gt;&lt;D xsi:type="xsd:double"&gt;13.081802&lt;/D&gt;&lt;/FQL&gt;&lt;FQL&gt;&lt;Q&gt;CRM^FE_ESTIMATE(EPS,MEAN,CAL4_ROLL,,45770,,,'')&lt;/Q&gt;&lt;R&gt;1&lt;/R&gt;&lt;C&gt;1&lt;/C&gt;&lt;D xsi:type="xsd:double"&gt;11.145007&lt;/D&gt;&lt;/FQL&gt;&lt;FQL&gt;&lt;Q&gt;Company0023^FE_ESTIMATE(EPS,MEAN,CAL4_ROLL,,45770,,,'')&lt;/Q&gt;&lt;R&gt;1&lt;/R&gt;&lt;C&gt;1&lt;/C&gt;&lt;D xsi:type="xsd:double"&gt;20.419233&lt;/D&gt;&lt;/FQL&gt;&lt;FQL&gt;&lt;Q&gt;Company1985^FE_ESTIMATE(EPS,MEAN,CAL4_ROLL,,45770,,,'')&lt;/Q&gt;&lt;R&gt;1&lt;/R&gt;&lt;C&gt;1&lt;/C&gt;&lt;D xsi:type="xsd:double"&gt;6.6557093&lt;/D&gt;&lt;/FQL&gt;&lt;FQL&gt;&lt;Q&gt;Ticker0013^FE_ESTIMATE(EPS,MEAN,CAL4_ROLL,,45770,,,'')&lt;/Q&gt;&lt;R&gt;1&lt;/R&gt;&lt;C&gt;1&lt;/C&gt;&lt;D xsi:type="xsd:double"&gt;8.744845&lt;/D&gt;&lt;/FQL&gt;&lt;FQL&gt;&lt;Q&gt;IBM^FE_ESTIMATE(EBIT_ADJ,MEAN,CAL4_ROLL,2026,45770,,,'')&lt;/Q&gt;&lt;R&gt;1&lt;/R&gt;&lt;C&gt;1&lt;/C&gt;&lt;D xsi:type="xsd:double"&gt;12953.552&lt;/D&gt;&lt;/FQL&gt;&lt;FQL&gt;&lt;Q&gt;Ticker0013^FREF_MARKET_VALUE_COMPANY(45770,,,,,0,,"LEGACY")&lt;/Q&gt;&lt;R&gt;1&lt;/R&gt;&lt;C&gt;1&lt;/C&gt;&lt;D xsi:type="xsd:double"&gt;1785058.5&lt;/D&gt;&lt;/FQL&gt;&lt;FQL&gt;&lt;Q&gt;Ticker0013^FE_ESTIMATE(GROSS_INC,MEAN,CAL4_ROLL,2025,45770,,,'')&lt;/Q&gt;&lt;R&gt;1&lt;/R&gt;&lt;C&gt;1&lt;/C&gt;&lt;D xsi:type="xsd:double"&gt;223916.53&lt;/D&gt;&lt;/FQL&gt;&lt;FQL&gt;&lt;Q&gt;Company1905^FE_ESTIMATE(EBIT_ADJ,MEAN,CAL4_ROLL,2024,45770,,,'')&lt;/Q&gt;&lt;R&gt;1&lt;/R&gt;&lt;C&gt;1&lt;/C&gt;&lt;D xsi:type="xsd:double"&gt;423.253&lt;/D&gt;&lt;/FQL&gt;&lt;FQL&gt;&lt;Q&gt;Company0023^FE_VALUATION(FFEV_FCF,MEAN,CAL4_ROLL,,45770,,,'')&lt;/Q&gt;&lt;R&gt;1&lt;/R&gt;&lt;C&gt;1&lt;/C&gt;&lt;D xsi:type="xsd:double"&gt;16.688696&lt;/D&gt;&lt;/FQL&gt;&lt;FQL&gt;&lt;Q&gt;Company0023^FE_ESTIMATE(FCF,MEAN,NTM4_ROLL,,45770,,,'')&lt;/Q&gt;&lt;R&gt;1&lt;/R&gt;&lt;C&gt;1&lt;/C&gt;&lt;D xsi:type="xsd:double"&gt;9198.944&lt;/D&gt;&lt;/FQL&gt;&lt;FQL&gt;&lt;Q&gt;IBM^FE_ESTIMATE(EBIT_ADJ,MEAN,NTM4_ROLL,,45770,,,'')&lt;/Q&gt;&lt;R&gt;1&lt;/R&gt;&lt;C&gt;1&lt;/C&gt;&lt;D xsi:type="xsd:double"&gt;12221.485&lt;/D&gt;&lt;/FQL&gt;&lt;FQL&gt;&lt;Q&gt;Company1341^FE_ESTIMATE(EPS,MEAN,LTM4_ROLL,,45770,,,'')&lt;/Q&gt;&lt;R&gt;1&lt;/R&gt;&lt;C&gt;1&lt;/C&gt;&lt;D xsi:type="xsd:double"&gt;17.69&lt;/D&gt;&lt;/FQL&gt;&lt;FQL&gt;&lt;Q&gt;IBM^FE_ESTIMATE(GROSS_INC,MEAN,CAL4_ROLL,2023,45770,,,'')&lt;/Q&gt;&lt;R&gt;1&lt;/R&gt;&lt;C&gt;1&lt;/C&gt;&lt;D xsi:type="xsd:double"&gt;34833.254&lt;/D&gt;&lt;/FQL&gt;&lt;FQL&gt;&lt;Q&gt;Company0103^FE_ESTIMATE(GROSS_INC,MEAN,CAL4_ROLL,2023,45770,,,'')&lt;/Q&gt;&lt;R&gt;1&lt;/R&gt;&lt;C&gt;1&lt;/C&gt;&lt;D xsi:type="xsd:double"&gt;270395.66&lt;/D&gt;&lt;/FQL&gt;&lt;FQL&gt;&lt;Q&gt;Company2320^FE_ESTIMATE(FCF,MEAN,CAL4_ROLL,2025,45770,,,'')&lt;/Q&gt;&lt;R&gt;1&lt;/R&gt;&lt;C&gt;1&lt;/C&gt;&lt;D xsi:type="xsd:double"&gt;9356.091&lt;/D&gt;&lt;/FQL&gt;&lt;FQL&gt;&lt;Q&gt;IBM^FE_ESTIMATE(GROSS_INC,MEAN,CAL4_ROLL,2025,45770,,,'')&lt;/Q&gt;&lt;R&gt;1&lt;/R&gt;&lt;C&gt;1&lt;/C&gt;&lt;D xsi:type="xsd:double"&gt;38016.75&lt;/D&gt;&lt;/FQL&gt;&lt;FQL&gt;&lt;Q&gt;Company1905^FE_ESTIMATE(FCF,MEAN,CAL4_ROLL,2026,45770,,,'')&lt;/Q&gt;&lt;R&gt;1&lt;/R&gt;&lt;C&gt;1&lt;/C&gt;&lt;D xsi:type="xsd:double"&gt;759.14166&lt;/D&gt;&lt;/FQL&gt;&lt;FQL&gt;&lt;Q&gt;Company2320^FE_ESTIMATE(EPS,MEAN,CAL4_ROLL,2025,45770,,,'')&lt;/Q&gt;&lt;R&gt;1&lt;/R&gt;&lt;C&gt;1&lt;/C&gt;&lt;D xsi:type="xsd:double"&gt;7.182781&lt;/D&gt;&lt;/FQL&gt;&lt;FQL&gt;&lt;Q&gt;Company0103^FE_ESTIMATE(EPS,MEAN,CAL4_ROLL,2026,45770,,,'')&lt;/Q&gt;&lt;R&gt;1&lt;/R&gt;&lt;C&gt;1&lt;/C&gt;&lt;D xsi:type="xsd:double"&gt;7.281052&lt;/D&gt;&lt;/FQL&gt;&lt;FQL&gt;&lt;Q&gt;CRM^FE_ESTIMATE(FCF,MEAN,NTM4_ROLL,,45770,,,'')&lt;/Q&gt;&lt;R&gt;1&lt;/R&gt;&lt;C&gt;1&lt;/C&gt;&lt;D xsi:type="xsd:double"&gt;13698.495&lt;/D&gt;&lt;/FQL&gt;&lt;FQL&gt;&lt;Q&gt;CRM^FE_VALUATION(FFEV_FCF,MEAN,CAL4_ROLL,2026,45770,,,'')&lt;/Q&gt;&lt;R&gt;1&lt;/R&gt;&lt;C&gt;1&lt;/C&gt;&lt;D xsi:type="xsd:double"&gt;15.644531&lt;/D&gt;&lt;/FQL&gt;&lt;FQL&gt;&lt;Q&gt;Company1985^FE_ESTIMATE(GROSS_INC,MEAN,LTM4_ROLL,,45770,,,'')&lt;/Q&gt;&lt;R&gt;1&lt;/R&gt;&lt;C&gt;1&lt;/C&gt;&lt;D xsi:type="xsd:double"&gt;40494.85&lt;/D&gt;&lt;/FQL&gt;&lt;FQL&gt;&lt;Q&gt;Company1985^FE_VALUATION(PE,MEAN,NTM4_ROLL,,45770,,,'')&lt;/Q&gt;&lt;R&gt;1&lt;/R&gt;&lt;C&gt;1&lt;/C&gt;&lt;D xsi:type="xsd:double"&gt;21.082268&lt;/D&gt;&lt;/FQL&gt;&lt;FQL&gt;&lt;Q&gt;CRM^FE_ESTIMATE(EBIT_ADJ,MEAN,CAL4_ROLL,2024,45770,,,'')&lt;/Q&gt;&lt;R&gt;1&lt;/R&gt;&lt;C&gt;1&lt;/C&gt;&lt;D xsi:type="xsd:double"&gt;12498&lt;/D&gt;&lt;/FQL&gt;&lt;FQL&gt;&lt;Q&gt;CRM^FE_ESTIMATE(SALES,MEAN,CAL4_ROLL,2024,45770,,,'')&lt;/Q&gt;&lt;R&gt;1&lt;/R&gt;&lt;C&gt;1&lt;/C&gt;&lt;D xsi:type="xsd:double"&gt;37895&lt;/D&gt;&lt;/FQL&gt;&lt;FQL&gt;&lt;Q&gt;Company1905^FE_VALUATION(FFEV_FCF,MEAN,CAL4_ROLL,2025,45770,,,'')&lt;/Q&gt;&lt;R&gt;1&lt;/R&gt;&lt;C&gt;1&lt;/C&gt;&lt;D xsi:type="xsd:double"&gt;24.765629&lt;/D&gt;&lt;/FQL&gt;&lt;FQL&gt;&lt;Q&gt;Company0103^FE_VALUATION(FFEV_FCF,MEAN,CAL4_ROLL,,45770,,,'')&lt;/Q&gt;&lt;R&gt;1&lt;/R&gt;&lt;C&gt;1&lt;/C&gt;&lt;D xsi:type="xsd:double"&gt;46.000683&lt;/D&gt;&lt;/FQL&gt;&lt;FQL&gt;&lt;Q&gt;Company0103^FE_VALUATION(PE,MEAN,CAL4_ROLL,,45770,,,'')&lt;/Q&gt;&lt;R&gt;1&lt;/R&gt;&lt;C&gt;1&lt;/C&gt;&lt;D xsi:type="xsd:double"&gt;30.190273&lt;/D&gt;&lt;/FQL&gt;&lt;FQL&gt;&lt;Q&gt;IBM^FE_ESTIMATE(SALES,MEAN,CAL4_ROLL,2026,45770,,,'')&lt;/Q&gt;&lt;R&gt;1&lt;/R&gt;&lt;C&gt;1&lt;/C&gt;&lt;D xsi:type="xsd:double"&gt;67397.89&lt;/D&gt;&lt;/FQL&gt;&lt;FQL&gt;&lt;Q&gt;Company1341^FE_ESTIMATE(EPS,MEAN,NTM4_ROLL,,45770,,,'')&lt;/Q&gt;&lt;R&gt;1&lt;/R&gt;&lt;C&gt;1&lt;/C&gt;&lt;D xsi:type="xsd:double"&gt;20.363081&lt;/D&gt;&lt;/FQL&gt;&lt;FQL&gt;&lt;Q&gt;Company0023^FE_ESTIMATE(SALES,MEAN,CAL4_ROLL,2024,45770,,,'')&lt;/Q&gt;&lt;R&gt;1&lt;/R&gt;&lt;C&gt;1&lt;/C&gt;&lt;D xsi:type="xsd:double"&gt;21505&lt;/D&gt;&lt;/FQL&gt;&lt;FQL&gt;&lt;Q&gt;Company1985^FE_ESTIMATE(EBIT_ADJ,MEAN,CAL4_ROLL,2025,45770,,,'')&lt;/Q&gt;&lt;R&gt;1&lt;/R&gt;&lt;C&gt;1&lt;/C&gt;&lt;D xsi:type="xsd:double"&gt;25825.52&lt;/D&gt;&lt;/FQL&gt;&lt;FQL&gt;&lt;Q&gt;CRM^FE_ESTIMATE(EPS,MEAN,CAL4_ROLL,2025,45770,,,'')&lt;/Q&gt;&lt;R&gt;1&lt;/R&gt;&lt;C&gt;1&lt;/C&gt;&lt;D xsi:type="xsd:double"&gt;11.145007&lt;/D&gt;&lt;/FQL&gt;&lt;FQL&gt;&lt;Q&gt;Company0023^FE_ESTIMATE(GROSS_INC,MEAN,LTM4_ROLL,,45770,,,'')&lt;/Q&gt;&lt;R&gt;1&lt;/R&gt;&lt;C&gt;1&lt;/C&gt;&lt;D xsi:type="xsd:double"&gt;19848.838&lt;/D&gt;&lt;/FQL&gt;&lt;FQL&gt;&lt;Q&gt;Company1905^FE_ESTIMATE(FCF,MEAN,CAL4_ROLL,2024,45770,,,'')&lt;/Q&gt;&lt;R&gt;1&lt;/R&gt;&lt;C&gt;1&lt;/C&gt;&lt;D xsi:type="xsd:double"&gt;641.565&lt;/D&gt;&lt;/FQL&gt;&lt;FQL&gt;&lt;Q&gt;Company1985^FE_ESTIMATE(GROSS_INC,MEAN,CAL4_ROLL,2024,45770,,,'')&lt;/Q&gt;&lt;R&gt;1&lt;/R&gt;&lt;C&gt;1&lt;/C&gt;&lt;D xsi:type="xsd:double"&gt;39915.637&lt;/D&gt;&lt;/FQL&gt;&lt;FQL&gt;&lt;Q&gt;Company1985^FE_ESTIMATE(EBIT_ADJ,MEAN,LTM4_ROLL,,45770,,,'')&lt;/Q&gt;&lt;R&gt;1&lt;/R&gt;&lt;C&gt;1&lt;/C&gt;&lt;D xsi:type="xsd:double"&gt;24667.857&lt;/D&gt;&lt;/FQL&gt;&lt;FQL&gt;&lt;Q&gt;Ticker0024^FREF_MARKET_VALUE_COMPANY(45770,,,,,0,,"LEGACY")&lt;/Q&gt;&lt;R&gt;1&lt;/R&gt;&lt;C&gt;1&lt;/C&gt;&lt;D xsi:type="xsd:double"&gt;2812349.75&lt;/D&gt;&lt;/FQL&gt;&lt;FQL&gt;&lt;Q&gt;Company1341^FE_VALUATION(PE,MEAN,NTM4_ROLL,,45770,,,'')&lt;/Q&gt;&lt;R&gt;1&lt;/R&gt;&lt;C&gt;1&lt;/C&gt;&lt;D xsi:type="xsd:double"&gt;29.642862&lt;/D&gt;&lt;/FQL&gt;&lt;FQL&gt;&lt;Q&gt;Company1341^FE_ESTIMATE(SALES,MEAN,CAL4,2023,45770,,,'')&lt;/Q&gt;&lt;R&gt;1&lt;/R&gt;&lt;C&gt;1&lt;/C&gt;&lt;D xsi:type="xsd:double"&gt;15094&lt;/D&gt;&lt;/FQL&gt;&lt;FQL&gt;&lt;Q&gt;Company0103^FE_ESTIMATE(EBIT_ADJ,MEAN,CAL4_ROLL,2026,45770,,,'')&lt;/Q&gt;&lt;R&gt;1&lt;/R&gt;&lt;C&gt;1&lt;/C&gt;&lt;D xsi:type="xsd:double"&gt;123200.09&lt;/D&gt;&lt;/FQL&gt;&lt;FQL&gt;&lt;Q&gt;IBM^FE_VALUATION(PE,MEAN,CAL4_ROLL,,45776,,,'')&lt;/Q&gt;&lt;R&gt;1&lt;/R&gt;&lt;C&gt;1&lt;/C&gt;&lt;D xsi:type="xsd:double"&gt;21.503397&lt;/D&gt;&lt;/FQL&gt;&lt;FQL&gt;&lt;Q&gt;Company0023^FE_ESTIMATE(SALES,MEAN,CAL4_ROLL,2025,45770,,,'')&lt;/Q&gt;&lt;R&gt;1&lt;/R&gt;&lt;C&gt;1&lt;/C&gt;&lt;D xsi:type="xsd:double"&gt;23472.752&lt;/D&gt;&lt;/FQL&gt;&lt;FQL&gt;&lt;Q&gt;Company1905^FE_ESTIMATE(EBIT_ADJ,MEAN,CAL4_ROLL,2023,45770,,,'')&lt;/Q&gt;&lt;R&gt;1&lt;/R&gt;&lt;C&gt;1&lt;/C&gt;&lt;D xsi:type="xsd:double"&gt;273.963&lt;/D&gt;&lt;/FQL&gt;&lt;FQL&gt;&lt;Q&gt;Company2320^FE_ESTIMATE(EBIT_ADJ,MEAN,CAL4_ROLL,2025,45770,,,'')&lt;/Q&gt;&lt;R&gt;1&lt;/R&gt;&lt;C&gt;1&lt;/C&gt;&lt;D xsi:type="xsd:double"&gt;11977.584&lt;/D&gt;&lt;/FQL&gt;&lt;FQL&gt;&lt;Q&gt;Company1341^FE_ESTIMATE(EPS,MEAN,CAL4_ROLL,2025,45770,,,'')&lt;/Q&gt;&lt;R&gt;1&lt;/R&gt;&lt;C&gt;1&lt;/C&gt;&lt;D xsi:type="xsd:double"&gt;20.363081&lt;/D&gt;&lt;/FQL&gt;&lt;FQL&gt;&lt;Q&gt;CRM^FE_ESTIMATE(EPS,MEAN,NTM4_ROLL,,45770,,,'')&lt;/Q&gt;&lt;R&gt;1&lt;/R&gt;&lt;C&gt;1&lt;/C&gt;&lt;D xsi:type="xsd:double"&gt;11.145007&lt;/D&gt;&lt;/FQL&gt;&lt;FQL&gt;&lt;Q&gt;Company1341^FE_ESTIMATE(FCF,MEAN,CAL4_ROLL,2023,45770,,,'')&lt;/Q&gt;&lt;R&gt;1&lt;/R&gt;&lt;C&gt;1&lt;/C&gt;&lt;D xsi:type="xsd:double"&gt;4760.005&lt;/D&gt;&lt;/FQL&gt;&lt;FQL&gt;&lt;Q&gt;Company2320^FE_ESTIMATE(EBIT_ADJ,MEAN,NTM4_ROLL,,45770,,,'')&lt;/Q&gt;&lt;R&gt;1&lt;/R&gt;&lt;C&gt;1&lt;/C&gt;&lt;D xsi:type="xsd:double"&gt;12300.448&lt;/D&gt;&lt;/FQL&gt;&lt;FQL&gt;&lt;Q&gt;Ticker0024^FE_VALUATION(FFEV_FCF,MEAN,CAL4_ROLL,,45770,,,'')&lt;/Q&gt;&lt;R&gt;1&lt;/R&gt;&lt;C&gt;1&lt;/C&gt;&lt;D xsi:type="xsd:double"&gt;43.720787&lt;/D&gt;&lt;/FQL&gt;&lt;FQL&gt;&lt;Q&gt;CRM^FE_ESTIMATE(FCF,MEAN,CAL4_ROLL,2025,45770,,,'')&lt;/Q&gt;&lt;R&gt;1&lt;/R&gt;&lt;C&gt;1&lt;/C&gt;&lt;D xsi:type="xsd:double"&gt;13698.495&lt;/D&gt;&lt;/FQL&gt;&lt;FQL&gt;&lt;Q&gt;CRM^FE_ESTIMATE(GROSS_INC,MEAN,CAL4_ROLL,2025,45770,,,'')&lt;/Q&gt;&lt;R&gt;1&lt;/R&gt;&lt;C&gt;1&lt;/C&gt;&lt;D xsi:type="xsd:double"&gt;32787.863&lt;/D&gt;&lt;/FQL&gt;&lt;FQL&gt;&lt;Q&gt;Company1905^FE_VALUATION(FFEV_FCF,MEAN,CAL4_ROLL,2026,45770,,,'')&lt;/Q&gt;&lt;R&gt;1&lt;/R&gt;&lt;C&gt;1&lt;/C&gt;&lt;D xsi:type="xsd:double"&gt;24.412481&lt;/D&gt;&lt;/FQL&gt;&lt;FQL&gt;&lt;Q&gt;Ticker0024^FE_VALUATION(FFEV_FCF,MEAN,CAL4_ROLL,2025,45770,,,'')&lt;/Q&gt;&lt;R&gt;1&lt;/R&gt;&lt;C&gt;1&lt;/C&gt;&lt;D xsi:type="xsd:double"&gt;35.92582&lt;/D&gt;&lt;/FQL&gt;&lt;FQL&gt;&lt;Q&gt;Company1341^FE_ESTIMATE(EBIT_ADJ,MEAN,NTM4_ROLL,,45770,,,'')&lt;/Q&gt;&lt;R&gt;1&lt;/R&gt;&lt;C&gt;1&lt;/C&gt;&lt;D xsi:type="xsd:double"&gt;7695.7646&lt;/D&gt;&lt;/FQL&gt;&lt;FQL&gt;&lt;Q&gt;Company1341^FE_ESTIMATE(GROSS_INC,MEAN,CAL4_ROLL,2024,45770,,,'')&lt;/Q&gt;&lt;R&gt;1&lt;/R&gt;&lt;C&gt;1&lt;/C&gt;&lt;D xsi:type="xsd:double"&gt;14063.704&lt;/D&gt;&lt;/FQL&gt;&lt;FQL&gt;&lt;Q&gt;Ticker0024^FE_ESTIMATE(GROSS_INC,MEAN,NTM4_ROLL,,45770,,,'')&lt;/Q&gt;&lt;R&gt;1&lt;/R&gt;&lt;C&gt;1&lt;/C&gt;&lt;D xsi:type="xsd:double"&gt;198865.19&lt;/D&gt;&lt;/FQL&gt;&lt;FQL&gt;&lt;Q&gt;Company1985^FE_ESTIMATE(GROSS_INC,MEAN,CAL4_ROLL,2026,45770,,,'')&lt;/Q&gt;&lt;R&gt;1&lt;/R&gt;&lt;C&gt;1&lt;/C&gt;&lt;D xsi:type="xsd:double"&gt;49353.563&lt;/D&gt;&lt;/FQL&gt;&lt;FQL&gt;&lt;Q&gt;Company1985^FE_ESTIMATE(SALES,MEAN,CAL4_ROLL,2024,45770,,,'')&lt;/Q&gt;&lt;R&gt;1&lt;/R&gt;&lt;C&gt;1&lt;/C&gt;&lt;D xsi:type="xsd:double"&gt;54933&lt;/D&gt;&lt;/FQL&gt;&lt;FQL&gt;&lt;Q&gt;Company0023^FE_ESTIMATE(EPS,MEAN,CAL4_ROLL,2026,45770,,,'')&lt;/Q&gt;&lt;R&gt;1&lt;/R&gt;&lt;C&gt;1&lt;/C&gt;&lt;D xsi:type="xsd:double"&gt;22.902164&lt;/D&gt;&lt;/FQL&gt;&lt;FQL&gt;&lt;Q&gt;IBM^FE_ESTIMATE(SALES,MEAN,LTM4_ROLL,,45770,,,'')&lt;/Q&gt;&lt;R&gt;1&lt;/R&gt;&lt;C&gt;1&lt;/C&gt;&lt;D xsi:type="xsd:double"&gt;62753&lt;/D&gt;&lt;/FQL&gt;&lt;FQL&gt;&lt;Q&gt;Company1905^FE_ESTIMATE(FCF,MEAN,CAL4_ROLL,2023,45770,,,'')&lt;/Q&gt;&lt;R&gt;1&lt;/R&gt;&lt;C&gt;1&lt;/C&gt;&lt;D xsi:type="xsd:double"&gt;383.104&lt;/D&gt;&lt;/FQL&gt;&lt;FQL&gt;&lt;Q&gt;IBM^FE_ESTIMATE(GROSS_INC,MEAN,CAL4_ROLL,2026,45770,,,'')&lt;/Q&gt;&lt;R&gt;1&lt;/R&gt;&lt;C&gt;1&lt;/C&gt;&lt;D xsi:type="xsd:double"&gt;39167.668&lt;/D&gt;&lt;/FQL&gt;&lt;FQL&gt;&lt;Q&gt;IBM^FE_ESTIMATE(EPS,MEAN,CAL4_ROLL,2025,45770,,,'')&lt;/Q&gt;&lt;R&gt;1&lt;/R&gt;&lt;C&gt;1&lt;/C&gt;&lt;D xsi:type="xsd:double"&gt;10.783936&lt;/D&gt;&lt;/FQL&gt;&lt;FQL&gt;&lt;Q&gt;Company0103^FE_ESTIMATE(SALES,MEAN,NTM4_ROLL,,45770,,,'')&lt;/Q&gt;&lt;R&gt;1&lt;/R&gt;&lt;C&gt;1&lt;/C&gt;&lt;D xsi:type="xsd:double"&gt;693419.75&lt;/D&gt;&lt;/FQL&gt;&lt;FQL&gt;&lt;Q&gt;Company1985^FE_VALUATION(FFEV_FCF,MEAN,CAL4_ROLL,2025,45770,,,'')&lt;/Q&gt;&lt;R&gt;1&lt;/R&gt;&lt;C&gt;1&lt;/C&gt;&lt;D xsi:type="xsd:double"&gt;75.76936&lt;/D&gt;&lt;/FQL&gt;&lt;FQL&gt;&lt;Q&gt;Company0103^FE_ESTIMATE(EPS,MEAN,CAL4_ROLL,2023,45770,,,'')&lt;/Q&gt;&lt;R&gt;1&lt;/R&gt;&lt;C&gt;1&lt;/C&gt;&lt;D xsi:type="xsd:double"&gt;2.9&lt;/D&gt;&lt;/FQL&gt;&lt;FQL&gt;&lt;Q&gt;Company2320^FE_ESTIMATE(EPS,MEAN,NTM4_ROLL,,45770,,,'')&lt;/Q&gt;&lt;R&gt;1&lt;/R&gt;&lt;C&gt;1&lt;/C&gt;&lt;D xsi:type="xsd:double"&gt;7.408706&lt;/D&gt;&lt;/FQL&gt;&lt;FQL&gt;&lt;Q&gt;CRM^FE_ESTIMATE(FCF,MEAN,CAL4_ROLL,2026,45770,,,'')&lt;/Q&gt;&lt;R&gt;1&lt;/R&gt;&lt;C&gt;1&lt;/C&gt;&lt;D xsi:type="xsd:double"&gt;15027.606&lt;/D&gt;&lt;/FQL&gt;&lt;FQL&gt;&lt;Q&gt;CRM^FE_ESTIMATE(GROSS_INC,MEAN,CAL4_ROLL,2026,45770,,,'')&lt;/Q&gt;&lt;R&gt;1&lt;/R&gt;&lt;C&gt;1&lt;/C&gt;&lt;D xsi:type="xsd:double"&gt;35619.215&lt;/D&gt;&lt;/FQL&gt;&lt;FQL&gt;&lt;Q&gt;Company1905^FE_VALUATION(FFEV_FCF,MEAN,CAL4_ROLL,2024,45770,,,'')&lt;/Q&gt;&lt;R&gt;1&lt;/R&gt;&lt;C&gt;1&lt;/C&gt;&lt;D xsi:type="xsd:double"&gt;28.886444&lt;/D&gt;&lt;/FQL&gt;&lt;FQL&gt;&lt;Q&gt;Company1747^FE_ESTIMATE(EPS,MEAN,ANN_ROLL,+1,NOW,,,'')&lt;/Q&gt;&lt;R&gt;1&lt;/R&gt;&lt;C&gt;1&lt;/C&gt;&lt;D xsi:type="xsd:double"&gt;13.155053&lt;/D&gt;&lt;/FQL&gt;&lt;FQL&gt;&lt;Q&gt;Ticker0024^FE_ESTIMATE(FCF,MEAN,CAL4_ROLL,2024,45770,,,'')&lt;/Q&gt;&lt;R&gt;1&lt;/R&gt;&lt;C&gt;1&lt;/C&gt;&lt;D xsi:type="xsd:double"&gt;68357.12&lt;/D&gt;&lt;/FQL&gt;&lt;FQL&gt;&lt;Q&gt;CRM^FE_ESTIMATE(SALES,MEAN,CAL4_ROLL,2026,45770,,,'')&lt;/Q&gt;&lt;R&gt;1&lt;/R&gt;&lt;C&gt;1&lt;/C&gt;&lt;D xsi:type="xsd:double"&gt;44301.97&lt;/D&gt;&lt;/FQL&gt;&lt;FQL&gt;&lt;Q&gt;Ticker0024^FE_ESTIMATE(GROSS_INC,MEAN,CAL4_ROLL,2023,45770,,,'')&lt;/Q&gt;&lt;R&gt;1&lt;/R&gt;&lt;C&gt;1&lt;/C&gt;&lt;D xsi:type="xsd:double"&gt;158729.31&lt;/D&gt;&lt;/FQL&gt;&lt;FQL&gt;&lt;Q&gt;Company0023^FE_ESTIMATE(SALES,MEAN,CAL4_ROLL,2026,45770,,,'')&lt;/Q&gt;&lt;R&gt;1&lt;/R&gt;&lt;C&gt;1&lt;/C&gt;&lt;D xsi:type="xsd:double"&gt;25692.145&lt;/D&gt;&lt;/FQL&gt;&lt;FQL&gt;&lt;Q&gt;IBM^FE_ESTIMATE(EPS,MEAN,LTM4_ROLL,,45770,,,'')&lt;/Q&gt;&lt;R&gt;1&lt;/R&gt;&lt;C&gt;1&lt;/C&gt;&lt;D xsi:type="xsd:double"&gt;10.33&lt;/D&gt;&lt;/FQL&gt;&lt;FQL&gt;&lt;Q&gt;IBM^FE_ESTIMATE(GROSS_INC,MEAN,LTM4_ROLL,,45770,,,'')&lt;/Q&gt;&lt;R&gt;1&lt;/R&gt;&lt;C&gt;1&lt;/C&gt;&lt;D xsi:type="xsd:double"&gt;36243.547&lt;/D&gt;&lt;/FQL&gt;&lt;FQL&gt;&lt;Q&gt;Company1985^FREF_MARKET_VALUE_COMPANY(45770,,,,,0,,"LEGACY")&lt;/Q&gt;&lt;R&gt;1&lt;/R&gt;&lt;C&gt;1&lt;/C&gt;&lt;D xsi:type="xsd:double"&gt;377982.65625&lt;/D&gt;&lt;/FQL&gt;&lt;FQL&gt;&lt;Q&gt;Ticker0013^FE_ESTIMATE(FCF,MEAN,CAL4_ROLL,2024,45770,,,'')&lt;/Q&gt;&lt;R&gt;1&lt;/R&gt;&lt;C&gt;1&lt;/C&gt;&lt;D xsi:type="xsd:double"&gt;73062&lt;/D&gt;&lt;/FQL&gt;&lt;FQL&gt;&lt;Q&gt;Ticker0013^FE_ESTIMATE(GROSS_INC,MEAN,CAL4_ROLL,2023,45770,,,'')&lt;/Q&gt;&lt;R&gt;1&lt;/R&gt;&lt;C&gt;1&lt;/C&gt;&lt;D xsi:type="xsd:double"&gt;174387&lt;/D&gt;&lt;/FQL&gt;&lt;FQL&gt;&lt;Q&gt;Company1985^FE_ESTIMATE(FCF,MEAN,CAL4_ROLL,2024,45770,,,'')&lt;/Q&gt;&lt;R&gt;1&lt;/R&gt;&lt;C&gt;1&lt;/C&gt;&lt;D xsi:type="xsd:double"&gt;9550.706&lt;/D&gt;&lt;/FQL&gt;&lt;FQL&gt;&lt;Q&gt;Ticker0013^FE_ESTIMATE(SALES,MEAN,CAL4_ROLL,2026,45770,,,'')&lt;/Q&gt;&lt;R&gt;1&lt;/R&gt;&lt;C&gt;1&lt;/C&gt;&lt;D xsi:type="xsd:double"&gt;423914.4&lt;/D&gt;&lt;/FQL&gt;&lt;FQL&gt;&lt;Q&gt;Company1985^FE_ESTIMATE(GROSS_INC,MEAN,CAL4_ROLL,2023,45770,,,'')&lt;/Q&gt;&lt;R&gt;1&lt;/R&gt;&lt;C&gt;1&lt;/C&gt;&lt;D xsi:type="xsd:double"&gt;37717.715&lt;/D&gt;&lt;/FQL&gt;&lt;FQL&gt;&lt;Q&gt;Ticker0024^FE_VALUATION(PE,MEAN,CAL4_ROLL,,45770,,,'')&lt;/Q&gt;&lt;R&gt;1&lt;/R&gt;&lt;C&gt;1&lt;/C&gt;&lt;D xsi:type="xsd:double"&gt;28.918798&lt;/D&gt;&lt;/FQL&gt;&lt;FQL&gt;&lt;Q&gt;IBM^FE_ESTIMATE(SALES,MEAN,CAL4_ROLL,2025,45770,,,'')&lt;/Q&gt;&lt;R&gt;1&lt;/R&gt;&lt;C&gt;1&lt;/C&gt;&lt;D xsi:type="xsd:double"&gt;65129.297&lt;/D&gt;&lt;/FQL&gt;&lt;FQL&gt;&lt;Q&gt;Company1985^FE_ESTIMATE(EPS,MEAN,NTM4_ROLL,,45770,,,'')&lt;/Q&gt;&lt;R&gt;1&lt;/R&gt;&lt;C&gt;1&lt;/C&gt;&lt;D xsi:type="xsd:double"&gt;6.393524&lt;/D&gt;&lt;/FQL&gt;&lt;FQL&gt;&lt;Q&gt;Company1341^FE_ESTIMATE(GROSS_INC,MEAN,NTM4_ROLL,,45770,,,'')&lt;/Q&gt;&lt;R&gt;1&lt;/R&gt;&lt;C&gt;1&lt;/C&gt;&lt;D xsi:type="xsd:double"&gt;15893.676&lt;/D&gt;&lt;/FQL&gt;&lt;FQL&gt;&lt;Q&gt;Ticker0024^FF_ENTRPR_VAL_DAILY(45770,,,,,"DIL")&lt;/Q&gt;&lt;R&gt;1&lt;/R&gt;&lt;C&gt;1&lt;/C&gt;&lt;D xsi:type="xsd:double"&gt;2848171.58&lt;/D&gt;&lt;/FQL&gt;&lt;FQL&gt;&lt;Q&gt;Company0103^FE_ESTIMATE(EBIT_ADJ,MEAN,NTM4_ROLL,,45770,,,'')&lt;/Q&gt;&lt;R&gt;1&lt;/R&gt;&lt;C&gt;1&lt;/C&gt;&lt;D xsi:type="xsd:double"&gt;101225.625&lt;/D&gt;&lt;/FQL&gt;&lt;FQL&gt;&lt;Q&gt;Ticker0024^FE_ESTIMATE(SALES,MEAN,NTM4_ROLL,,45770,,,'')&lt;/Q&gt;&lt;R&gt;1&lt;/R&gt;&lt;C&gt;1&lt;/C&gt;&lt;D xsi:type="xsd:double"&gt;292141.78&lt;/D&gt;&lt;/FQL&gt;&lt;FQL&gt;&lt;Q&gt;IBM^FE_VALUATION(PE,MEAN,NTM4_ROLL,,45776,,,'')&lt;/Q&gt;&lt;R&gt;1&lt;/R&gt;&lt;C&gt;1&lt;/C&gt;&lt;D xsi:type="xsd:double"&gt;21.503397&lt;/D&gt;&lt;/FQL&gt;&lt;FQL&gt;&lt;Q&gt;Company2320^FE_ESTIMATE(SALES,MEAN,NTM4_ROLL,,45770,,,'')&lt;/Q&gt;&lt;R&gt;1&lt;/R&gt;&lt;C&gt;1&lt;/C&gt;&lt;D xsi:type="xsd:double"&gt;43589.74&lt;/D&gt;&lt;/FQL&gt;&lt;FQL&gt;&lt;Q&gt;Company0023^FE_ESTIMATE(GROSS_INC,MEAN,CAL4_ROLL,2024,45770,,,'')&lt;/Q&gt;&lt;R&gt;1&lt;/R&gt;&lt;C&gt;1&lt;/C&gt;&lt;D xsi:type="xsd:double"&gt;19295.053&lt;/D&gt;&lt;/FQL&gt;&lt;FQL&gt;&lt;Q&gt;Company0023^FE_VALUATION(PE,MEAN,CAL4_ROLL,,45770,,,'')&lt;/Q&gt;&lt;R&gt;1&lt;/R&gt;&lt;C&gt;1&lt;/C&gt;&lt;D xsi:type="xsd:double"&gt;17.66227&lt;/D&gt;&lt;/FQL&gt;&lt;FQL&gt;&lt;Q&gt;IBM^FE_ESTIMATE(EBIT_ADJ,MEAN,LTM4_ROLL,,45770,,,'')&lt;/Q&gt;&lt;R&gt;1&lt;/R&gt;&lt;C&gt;1&lt;/C&gt;&lt;D xsi:type="xsd:double"&gt;11312.172&lt;/D&gt;&lt;/FQL&gt;&lt;FQL&gt;&lt;Q&gt;Company1341^FREF_MARKET_VALUE_COMPANY(45770,,,,,0,,"LEGACY")&lt;/Q&gt;&lt;R&gt;1&lt;/R&gt;&lt;C&gt;1&lt;/C&gt;&lt;D xsi:type="xsd:double"&gt;168749.21875&lt;/D&gt;&lt;/FQL&gt;&lt;FQL&gt;&lt;Q&gt;Company0103^FE_VALUATION(FFEV_FCF,MEAN,CAL4_ROLL,2024,45770,,,'')&lt;/Q&gt;&lt;R&gt;1&lt;/R&gt;&lt;C&gt;1&lt;/C&gt;&lt;D xsi:type="xsd:double"&gt;53.745693&lt;/D&gt;&lt;/FQL&gt;&lt;FQL&gt;&lt;Q&gt;Ticker0013^FE_ESTIMATE(EBIT_ADJ,MEAN,CAL4_ROLL,2023,45770,,,'')&lt;/Q&gt;&lt;R&gt;1&lt;/R&gt;&lt;C&gt;1&lt;/C&gt;&lt;D xsi:type="xsd:double"&gt;103431.97&lt;/D&gt;&lt;/FQL&gt;&lt;FQL&gt;&lt;Q&gt;Company2320^FE_VALUATION(FFEV_FCF,MEAN,CAL4_ROLL,2024,45770,,,'')&lt;/Q&gt;&lt;R&gt;1&lt;/R&gt;&lt;C&gt;1&lt;/C&gt;&lt;D xsi:type="xsd:double"&gt;72.88275&lt;/D&gt;&lt;/FQL&gt;&lt;FQL&gt;&lt;Q&gt;Ticker0013^FE_ESTIMATE(SALES,MEAN,CAL4,2023,45770,,,'')&lt;/Q&gt;&lt;R&gt;1&lt;/R&gt;&lt;C&gt;1&lt;/C&gt;&lt;D xsi:type="xsd:double"&gt;307394&lt;/D&gt;&lt;/FQL&gt;&lt;FQL&gt;&lt;Q&gt;Company1985^FE_ESTIMATE(EBIT_ADJ,MEAN,CAL4_ROLL,2023,45770,,,'')&lt;/Q&gt;&lt;R&gt;1&lt;/R&gt;&lt;C&gt;1&lt;/C&gt;&lt;D xsi:type="xsd:double"&gt;21933.8&lt;/D&gt;&lt;/FQL&gt;&lt;FQL&gt;&lt;Q&gt;Company1341^FE_ESTIMATE(EBIT_ADJ,MEAN,CAL4_ROLL,2023,45770,,,'')&lt;/Q&gt;&lt;R&gt;1&lt;/R&gt;&lt;C&gt;1&lt;/C&gt;&lt;D xsi:type="xsd:double"&gt;5945&lt;/D&gt;&lt;/FQL&gt;&lt;FQL&gt;&lt;Q&gt;CRM^FE_ESTIMATE(SALES,MEAN,CAL4_ROLL,2025,45770,,,'')&lt;/Q&gt;&lt;R&gt;1&lt;/R&gt;&lt;C&gt;1&lt;/C&gt;&lt;D xsi:type="xsd:double"&gt;40772.098&lt;/D&gt;&lt;/FQL&gt;&lt;FQL&gt;&lt;Q&gt;Company0103^FE_VALUATION(FFEV_FCF,MEAN,NTM4_ROLL,,45770,,,'')&lt;/Q&gt;&lt;R&gt;1&lt;/R&gt;&lt;C&gt;1&lt;/C&gt;&lt;D xsi:type="xsd:double"&gt;46.000683&lt;/D&gt;&lt;/FQL&gt;&lt;FQL&gt;&lt;Q&gt;Ticker0024^FE_ESTIMATE(FCF,MEAN,LTM4_ROLL,,45770,,,'')&lt;/Q&gt;&lt;R&gt;1&lt;/R&gt;&lt;C&gt;1&lt;/C&gt;&lt;D xsi:type="xsd:double"&gt;68357.12&lt;/D&gt;&lt;/FQL&gt;&lt;FQL&gt;&lt;Q&gt;Company0023^FF_ENTRPR_VAL_DAILY(45770,,,,,"DIL")&lt;/Q&gt;&lt;R&gt;1&lt;/R&gt;&lt;C&gt;1&lt;/C&gt;&lt;D xsi:type="xsd:double"&gt;157473.76&lt;/D&gt;&lt;/FQL&gt;&lt;FQL&gt;&lt;Q&gt;CRM^FE_VALUATION(FFEV_FCF,MEAN,CAL4_ROLL,,45770,,,'')&lt;/Q&gt;&lt;R&gt;1&lt;/R&gt;&lt;C&gt;1&lt;/C&gt;&lt;D xsi:type="xsd:double"&gt;17.162458&lt;/D&gt;&lt;/FQL&gt;&lt;FQL&gt;&lt;Q&gt;Company2320^FE_VALUATION(FFEV_FCF,MEAN,CAL4_ROLL,,45770,,,'')&lt;/Q&gt;&lt;R&gt;1&lt;/R&gt;&lt;C&gt;1&lt;/C&gt;&lt;D xsi:type="xsd:double"&gt;35.562206&lt;/D&gt;&lt;/FQL&gt;&lt;FQL&gt;&lt;Q&gt;Ticker0013^FE_VALUATION(FFEV_FCF,MEAN,CAL4_ROLL,,45770,,,'')&lt;/Q&gt;&lt;R&gt;1&lt;/R&gt;&lt;C&gt;1&lt;/C&gt;&lt;D xsi:type="xsd:double"&gt;25.512203&lt;/D&gt;&lt;/FQL&gt;&lt;FQL&gt;&lt;Q&gt;Ticker0013^FE_ESTIMATE(FCF,MEAN,CAL4_ROLL,2025,45770,,,'')&lt;/Q&gt;&lt;R&gt;1&lt;/R&gt;&lt;C&gt;1&lt;/C&gt;&lt;D xsi:type="xsd:double"&gt;73521.9&lt;/D&gt;&lt;/FQL&gt;&lt;FQL&gt;&lt;Q&gt;Ticker0013^FE_ESTIMATE(GROSS_INC,MEAN,CAL4_ROLL,2026,45770,,,'')&lt;/Q&gt;&lt;R&gt;1&lt;/R&gt;&lt;C&gt;1&lt;/C&gt;&lt;D xsi:type="xsd:double"&gt;245568.73&lt;/D&gt;&lt;/FQL&gt;&lt;FQL&gt;&lt;Q&gt;CRM^FE_VALUATION(PE,MEAN,NTM4_ROLL,,45770,,,'')&lt;/Q&gt;&lt;R&gt;1&lt;/R&gt;&lt;C&gt;1&lt;/C&gt;&lt;D xsi:type="xsd:double"&gt;22.908915&lt;/D&gt;&lt;/FQL&gt;&lt;FQL&gt;&lt;Q&gt;Ticker0013^FE_ESTIMATE(FCF,MEAN,NTM4_ROLL,,45770,,,'')&lt;/Q&gt;&lt;R&gt;1&lt;/R&gt;&lt;C&gt;1&lt;/C&gt;&lt;D xsi:type="xsd:double"&gt;73521.9&lt;/D&gt;&lt;/FQL&gt;&lt;FQL&gt;&lt;Q&gt;CRM^FREF_MARKET_VALUE_COMPANY(45770,,,,,0,,"LEGACY")&lt;/Q&gt;&lt;R&gt;1&lt;/R&gt;&lt;C&gt;1&lt;/C&gt;&lt;D xsi:type="xsd:double"&gt;245362.53125&lt;/D&gt;&lt;/FQL&gt;&lt;FQL&gt;&lt;Q&gt;Ticker0013^FE_VALUATION(FFEV_FCF,MEAN,CAL4_ROLL,2026,45770,,,'')&lt;/Q&gt;&lt;R&gt;1&lt;/R&gt;&lt;C&gt;1&lt;/C&gt;&lt;D xsi:type="xsd:double"&gt;21.814335&lt;/D&gt;&lt;/FQL&gt;&lt;FQL&gt;&lt;Q&gt;CRM^FE_ESTIMATE(EBIT_ADJ,MEAN,CAL4_ROLL,2023,45770,,,'')&lt;/Q&gt;&lt;R&gt;1&lt;/R&gt;&lt;C&gt;1&lt;/C&gt;&lt;D xsi:type="xsd:double"&gt;10632&lt;/D&gt;&lt;/FQL&gt;&lt;FQL&gt;&lt;Q&gt;Company1985^FE_VALUATION(FFEV_FCF,MEAN,CAL4_ROLL,2026,45770,,,'')&lt;/Q&gt;&lt;R&gt;1&lt;/R&gt;&lt;C&gt;1&lt;/C&gt;&lt;D xsi:type="xsd:double"&gt;43.13241&lt;/D&gt;&lt;/FQL&gt;&lt;FQL&gt;&lt;Q&gt;CRM^FE_ESTIMATE(SALES,MEAN,CAL4,2023,45770,,,'')&lt;/Q&gt;&lt;R&gt;1&lt;/R&gt;&lt;C&gt;1&lt;/C&gt;&lt;D xsi:type="xsd:double"&gt;34857&lt;/D&gt;&lt;/FQL&gt;&lt;FQL&gt;&lt;Q&gt;Ticker0024^FE_ESTIMATE(EBIT_ADJ,MEAN,CAL4_ROLL,2023,45770,,,'')&lt;/Q&gt;&lt;R&gt;1&lt;/R&gt;&lt;C&gt;1&lt;/C&gt;&lt;D xsi:type="xsd:double"&gt;100641.9&lt;/D&gt;&lt;/FQL&gt;&lt;FQL&gt;&lt;Q&gt;Company1341^FE_ESTIMATE(SALES,MEAN,CAL4_ROLL,2024,45770,,,'')&lt;/Q&gt;&lt;R&gt;1&lt;/R&gt;&lt;C&gt;1&lt;/C&gt;&lt;D xsi:type="xsd:double"&gt;17167&lt;/D&gt;&lt;/FQL&gt;&lt;FQL&gt;&lt;Q&gt;Company2320^FE_VALUATION(FFEV_FCF,MEAN,NTM4_ROLL,,45770,,,'')&lt;/Q&gt;&lt;R&gt;1&lt;/R&gt;&lt;C&gt;1&lt;/C&gt;&lt;D xsi:type="xsd:double"&gt;35.562206&lt;/D&gt;&lt;/FQL&gt;&lt;FQL&gt;&lt;Q&gt;Company1341^FE_VALUATION(PE,MEAN,CAL4_ROLL,,45770,,,'')&lt;/Q&gt;&lt;R&gt;1&lt;/R&gt;&lt;C&gt;1&lt;/C&gt;&lt;D xsi:type="xsd:double"&gt;31.246063&lt;/D&gt;&lt;/FQL&gt;&lt;FQL&gt;&lt;Q&gt;Company1985^FE_ESTIMATE(FCF,MEAN,NTM4_ROLL,,45770,,,'')&lt;/Q&gt;&lt;R&gt;1&lt;/R&gt;&lt;C&gt;1&lt;/C&gt;&lt;D xsi:type="xsd:double"&gt;7224.079&lt;/D&gt;&lt;/FQL&gt;&lt;FQL&gt;&lt;Q&gt;IBM^FF_ENTRPR_VAL_DAILY(45770,,,,,"DIL")&lt;/Q&gt;&lt;R&gt;1&lt;/R&gt;&lt;C&gt;1&lt;/C&gt;&lt;D xsi:type="xsd:double"&gt;275324.51134832&lt;/D&gt;&lt;/FQL&gt;&lt;FQL&gt;&lt;Q&gt;IBM^FE_ESTIMATE(FCF,MEAN,NTM4_ROLL,,45770,,,'')&lt;/Q&gt;&lt;R&gt;1&lt;/R&gt;&lt;C&gt;1&lt;/C&gt;&lt;D xsi:type="xsd:double"&gt;13263.167&lt;/D&gt;&lt;/FQL&gt;&lt;FQL&gt;&lt;Q&gt;Company1985^FE_ESTIMATE(GROSS_INC,MEAN,NTM4_ROLL,,45770,,,'')&lt;/Q&gt;&lt;R&gt;1&lt;/R&gt;&lt;C&gt;1&lt;/C&gt;&lt;D xsi:type="xsd:double"&gt;44321.25&lt;/D&gt;&lt;/FQL&gt;&lt;FQL&gt;&lt;Q&gt;Company1341^FE_ESTIMATE(GROSS_INC,MEAN,CAL4_ROLL,2025,45770,,,'')&lt;/Q&gt;&lt;R&gt;1&lt;/R&gt;&lt;C&gt;1&lt;/C&gt;&lt;D xsi:type="xsd:double"&gt;15893.676&lt;/D&gt;&lt;/FQL&gt;&lt;FQL&gt;&lt;Q&gt;Company1985^FF_ENTRPR_VAL_DAILY(45770,,,,,"DIL")&lt;/Q&gt;&lt;R&gt;1&lt;/R&gt;&lt;C&gt;1&lt;/C&gt;&lt;D xsi:type="xsd:double"&gt;465910.62&lt;/D&gt;&lt;/FQL&gt;&lt;FQL&gt;&lt;Q&gt;IBM^FE_VALUATION(FFEV_FCF,MEAN,NTM4_ROLL,,45770,,,'')&lt;/Q&gt;&lt;R&gt;1&lt;/R&gt;&lt;C&gt;1&lt;/C&gt;&lt;D xsi:type="xsd:double"&gt;20.75858&lt;/D&gt;&lt;/FQL&gt;&lt;FQL&gt;&lt;Q&gt;Company0103^FE_ESTIMATE(SALES,MEAN,CAL4_ROLL,2025,45770,,,'')&lt;/Q&gt;&lt;R&gt;1&lt;/R&gt;&lt;C&gt;1&lt;/C&gt;&lt;D xsi:type="xsd:double"&gt;693419.75&lt;/D&gt;&lt;/FQL&gt;&lt;FQL&gt;&lt;Q&gt;Ticker0024^FE_ESTIMATE(FCF,MEAN,NTM4_ROLL,,45770,,,'')&lt;/Q&gt;&lt;R&gt;1&lt;/R&gt;&lt;C&gt;1&lt;/C&gt;&lt;D xsi:type="xsd:double"&gt;79353.03&lt;/D&gt;&lt;/FQL&gt;&lt;FQL&gt;&lt;Q&gt;Company2320^FE_ESTIMATE(GROSS_INC,MEAN,NTM4_ROLL,,45770,,,'')&lt;/Q&gt;&lt;R&gt;1&lt;/R&gt;&lt;C&gt;1&lt;/C&gt;&lt;D xsi:type="xsd:double"&gt;32045.05&lt;/D&gt;&lt;/FQL&gt;&lt;FQL&gt;&lt;Q&gt;Ticker0024^FE_VALUATION(FFEV_FCF,MEAN,CAL4_ROLL,2025,45776,,,'')&lt;/Q&gt;&lt;R&gt;1&lt;/R&gt;&lt;C&gt;1&lt;/C&gt;&lt;D xsi:type="xsd:double"&gt;37.786915&lt;/D&gt;&lt;/FQL&gt;&lt;FQL&gt;&lt;Q&gt;IBM^FE_ESTIMATE(GROSS_INC,MEAN,NTM4_ROLL,,45770,,,'')&lt;/Q&gt;&lt;R&gt;1&lt;/R&gt;&lt;C&gt;1&lt;/C&gt;&lt;D xsi:type="xsd:double"&gt;38016.75&lt;/D&gt;&lt;/FQL&gt;&lt;FQL&gt;&lt;Q&gt;CRM^FE_ESTIMATE(SALES,MEAN,NTM4_ROLL,,45770,,,'')&lt;/Q&gt;&lt;R&gt;1&lt;/R&gt;&lt;C&gt;1&lt;/C&gt;&lt;D xsi:type="xsd:double"&gt;40772.098&lt;/D&gt;&lt;/FQL&gt;&lt;FQL&gt;&lt;Q&gt;Ticker0024^FE_VALUATION(PE,MEAN,NTM4_ROLL,,45776,,,'')&lt;/Q&gt;&lt;R&gt;1&lt;/R&gt;&lt;C&gt;1&lt;/C&gt;&lt;D xsi:type="xsd:double"&gt;28.588005&lt;/D&gt;&lt;/FQL&gt;&lt;FQL&gt;&lt;Q&gt;Company1341^FF_ENTRPR_VAL_DAILY(45770,,,,,"DIL")&lt;/Q&gt;&lt;R&gt;1&lt;/R&gt;&lt;C&gt;1&lt;/C&gt;&lt;D xsi:type="xsd:double"&gt;174994.27&lt;/D&gt;&lt;/FQL&gt;&lt;FQL&gt;&lt;Q&gt;IBM^FE_VALUATION(FFEV_FCF,MEAN,CAL4_ROLL,2025,45770,,,'')&lt;/Q&gt;&lt;R&gt;1&lt;/R&gt;&lt;C&gt;1&lt;/C&gt;&lt;D xsi:type="xsd:double"&gt;20.75858&lt;/D&gt;&lt;/FQL&gt;&lt;FQL&gt;&lt;Q&gt;CRM^FE_ESTIMATE(EPS,MEAN,CAL4_ROLL,2024,45770,,,'')&lt;/Q&gt;&lt;R&gt;1&lt;/R&gt;&lt;C&gt;1&lt;/C&gt;&lt;D xsi:type="xsd:double"&gt;10.19&lt;/D&gt;&lt;/FQL&gt;&lt;FQL&gt;&lt;Q&gt;Company1341^FE_ESTIMATE(EPS,MEAN,CAL4_ROLL,2026,45770,,,'')&lt;/Q&gt;&lt;R&gt;1&lt;/R&gt;&lt;C&gt;1&lt;/C&gt;&lt;D xsi:type="xsd:double"&gt;22.931976&lt;/D&gt;&lt;/FQL&gt;&lt;FQL&gt;&lt;Q&gt;Company0023^FE_VALUATION(FFEV_FCF,MEAN,CAL4_ROLL,2024,45770,,,'')&lt;/Q&gt;&lt;R&gt;1&lt;/R&gt;&lt;C&gt;1&lt;/C&gt;&lt;D xsi:type="xsd:double"&gt;19.942116&lt;/D&gt;&lt;/FQL&gt;&lt;FQL&gt;&lt;Q&gt;Company2320^FE_VALUATION(FFEV_FCF,MEAN,CAL4_ROLL,2026,45770,,,'')&lt;/Q&gt;&lt;R&gt;1&lt;/R&gt;&lt;C&gt;1&lt;/C&gt;&lt;D xsi:type="xsd:double"&gt;28.909016&lt;/D&gt;&lt;/FQL&gt;&lt;FQL&gt;&lt;Q&gt;Company1985^FE_ESTIMATE(FCF,MEAN,CAL4_ROLL,2023,45770,,,'')&lt;/Q&gt;&lt;R&gt;1&lt;/R&gt;&lt;C&gt;1&lt;/C&gt;&lt;D xsi:type="xsd:double"&gt;10035.492&lt;/D&gt;&lt;/FQL&gt;&lt;FQL&gt;&lt;Q&gt;CRM^FE_ESTIMATE(FCF,MEAN,CAL4_ROLL,2023,45770,,,'')&lt;/Q&gt;&lt;R&gt;1&lt;/R&gt;&lt;C&gt;1&lt;/C&gt;&lt;D xsi:type="xsd:double"&gt;9498&lt;/D&gt;&lt;/FQL&gt;&lt;FQL&gt;&lt;Q&gt;Company2320^FE_ESTIMATE(EPS,MEAN,CAL4_ROLL,2023,45770,,,'')&lt;/Q&gt;&lt;R&gt;1&lt;/R&gt;&lt;C&gt;1&lt;/C&gt;&lt;D xsi:type="xsd:double"&gt;5.655961&lt;/D&gt;&lt;/FQL&gt;&lt;FQL&gt;&lt;Q&gt;Ticker0013^FE_ESTIMATE(EPS,MEAN,CAL4_ROLL,2023,45770,,,'')&lt;/Q&gt;&lt;R&gt;1&lt;/R&gt;&lt;C&gt;1&lt;/C&gt;&lt;D xsi:type="xsd:double"&gt;5.8&lt;/D&gt;&lt;/FQL&gt;&lt;FQL&gt;&lt;Q&gt;Company2320^FE_ESTIMATE(SALES,MEAN,CAL4_ROLL,2025,45770,,,'')&lt;/Q&gt;&lt;R&gt;1&lt;/R&gt;&lt;C&gt;1&lt;/C&gt;&lt;D xsi:type="xsd:double"&gt;42531.445&lt;/D&gt;&lt;/FQL&gt;&lt;FQL&gt;&lt;Q&gt;Company2320^FE_ESTIMATE(SALES,MEAN,CAL4_ROLL,2026,45770,,,'')&lt;/Q&gt;&lt;R&gt;1&lt;/R&gt;&lt;C&gt;1&lt;/C&gt;&lt;D xsi:type="xsd:double"&gt;47644.043&lt;/D&gt;&lt;/FQL&gt;&lt;FQL&gt;&lt;Q&gt;Company2320^FE_ESTIMATE(GROSS_INC,MEAN,CAL4_ROLL,2024,45770,,,'')&lt;/Q&gt;&lt;R&gt;1&lt;/R&gt;&lt;C&gt;1&lt;/C&gt;&lt;D xsi:type="xsd:double"&gt;26742.303&lt;/D&gt;&lt;/FQL&gt;&lt;FQL&gt;&lt;Q&gt;Company2320^FE_ESTIMATE(SALES,MEAN,CAL4,2023,45770,,,'')&lt;/Q&gt;&lt;R&gt;1&lt;/R&gt;&lt;C&gt;1&lt;/C&gt;&lt;D xsi:type="xsd:double"&gt;34001.84&lt;/D&gt;&lt;/FQL&gt;&lt;FQL&gt;&lt;Q&gt;Company2320^FE_ESTIMATE(GROSS_INC,MEAN,CAL4_ROLL,2023,45770,,,'')&lt;/Q&gt;&lt;R&gt;1&lt;/R&gt;&lt;C&gt;1&lt;/C&gt;&lt;D xsi:type="xsd:double"&gt;24928.896&lt;/D&gt;&lt;/FQL&gt;&lt;FQL&gt;&lt;Q&gt;Company2320^FE_ESTIMATE(EBIT_ADJ,MEAN,CAL4_ROLL,2026,45770,,,'')&lt;/Q&gt;&lt;R&gt;1&lt;/R&gt;&lt;C&gt;1&lt;/C&gt;&lt;D xsi:type="xsd:double"&gt;13785.952&lt;/D&gt;&lt;/FQL&gt;&lt;FQL&gt;&lt;Q&gt;Company2320^FE_ESTIMATE(EBIT_ADJ,MEAN,CAL4_ROLL,2023,45770,,,'')&lt;/Q&gt;&lt;R&gt;1&lt;/R&gt;&lt;C&gt;1&lt;/C&gt;&lt;D xsi:type="xsd:double"&gt;9495.468&lt;/D&gt;&lt;/FQL&gt;&lt;FQL&gt;&lt;Q&gt;Company2320^FE_ESTIMATE(FCF,MEAN,CAL4_ROLL,2024,45770,,,'')&lt;/Q&gt;&lt;R&gt;1&lt;/R&gt;&lt;C&gt;1&lt;/C&gt;&lt;D xsi:type="xsd:double"&gt;4458.2144&lt;/D&gt;&lt;/FQL&gt;&lt;FQL&gt;&lt;Q&gt;Ticker0024^FE_ESTIMATE(EPS,MEAN,CAL4_ROLL,2025,45770,,,'')&lt;/Q&gt;&lt;R&gt;1&lt;/R&gt;&lt;C&gt;1&lt;/C&gt;&lt;D xsi:type="xsd:double"&gt;13.78987&lt;/D&gt;&lt;/FQL&gt;&lt;FQL&gt;&lt;Q&gt;Ticker0024^FE_VALUATION(FFEV_FCF,MEAN,CAL4_ROLL,2026,45770,,,'')&lt;/Q&gt;&lt;R&gt;1&lt;/R&gt;&lt;C&gt;1&lt;/C&gt;&lt;D xsi:type="xsd:double"&gt;34.644676&lt;/D&gt;&lt;/FQL&gt;&lt;FQL&gt;&lt;Q&gt;Ticker0013^FF_ENTRPR_VAL_DAILY(45770,,,,,"DIL")&lt;/Q&gt;&lt;R&gt;1&lt;/R&gt;&lt;C&gt;1&lt;/C&gt;&lt;D xsi:type="xsd:double"&gt;1875705.64&lt;/D&gt;&lt;/FQL&gt;&lt;FQL&gt;&lt;Q&gt;Company2320^FF_ENTRPR_VAL_DAILY(45770,,,,,"DIL")&lt;/Q&gt;&lt;R&gt;1&lt;/R&gt;&lt;C&gt;1&lt;/C&gt;&lt;D xsi:type="xsd:double"&gt;324926.932596826&lt;/D&gt;&lt;/FQL&gt;&lt;FQL&gt;&lt;Q&gt;CRM^FF_ENTRPR_VAL_DAILY(45770,,,,,"DIL")&lt;/Q&gt;&lt;R&gt;1&lt;/R&gt;&lt;C&gt;1&lt;/C&gt;&lt;D xsi:type="xsd:double"&gt;247791.08&lt;/D&gt;&lt;/FQL&gt;&lt;FQL&gt;&lt;Q&gt;Company0103^FE_ESTIMATE(GROSS_INC,MEAN,NTM4_ROLL,,45770,,,'')&lt;/Q&gt;&lt;R&gt;1&lt;/R&gt;&lt;C&gt;1&lt;/C&gt;&lt;D xsi:type="xsd:double"&gt;343515.75&lt;/D&gt;&lt;/FQL&gt;&lt;FQL&gt;&lt;Q&gt;Company0103^FE_ESTIMATE(EBIT_ADJ,MEAN,LTM4_ROLL,,45770,,,'')&lt;/Q&gt;&lt;R&gt;1&lt;/R&gt;&lt;C&gt;1&lt;/C&gt;&lt;D xsi:type="xsd:double"&gt;91124.61&lt;/D&gt;&lt;/FQL&gt;&lt;FQL&gt;&lt;Q&gt;Company0103^FE_ESTIMATE(FCF,MEAN,LTM4_ROLL,,45770,,,'')&lt;/Q&gt;&lt;R&gt;1&lt;/R&gt;&lt;C&gt;1&lt;/C&gt;&lt;D xsi:type="xsd:double"&gt;37569.48&lt;/D&gt;&lt;/FQL&gt;&lt;FQL&gt;&lt;Q&gt;Company0103^FE_ESTIMATE(EPS,MEAN,LTM4_ROLL,,45770,,,'')&lt;/Q&gt;&lt;R&gt;1&lt;/R&gt;&lt;C&gt;1&lt;/C&gt;&lt;D xsi:type="xsd:double"&gt;5.53&lt;/D&gt;&lt;/FQL&gt;&lt;FQL&gt;&lt;Q&gt;Ticker0013^FE_VALUATION(PE,MEAN,CAL4_ROLL,,45770,,,'')&lt;/Q&gt;&lt;R&gt;1&lt;/R&gt;&lt;C&gt;1&lt;/C&gt;&lt;D xsi:type="xsd:double"&gt;18.160412&lt;/D&gt;&lt;/FQL&gt;&lt;FQL&gt;&lt;Q&gt;Company0103^FE_VALUATION(FFEV_FCF,MEAN,CAL4_ROLL,2025,45770,,,'')&lt;/Q&gt;&lt;R&gt;1&lt;/R&gt;&lt;C&gt;1&lt;/C&gt;&lt;D xsi:type="xsd:double"&gt;46.000683&lt;/D&gt;&lt;/FQL&gt;&lt;FQL&gt;&lt;Q&gt;Ticker0013^FE_ESTIMATE(EPS,MEAN,CAL4_ROLL,2024,45770,,,'')&lt;/Q&gt;&lt;R&gt;1&lt;/R&gt;&lt;C&gt;1&lt;/C&gt;&lt;D xsi:type="xsd:double"&gt;8.05&lt;/D&gt;&lt;/FQL&gt;&lt;FQL&gt;&lt;Q&gt;Ticker0024^FE_ESTIMATE(EPS,MEAN,CAL4_ROLL,2024,45770,,,'')&lt;/Q&gt;&lt;R&gt;1&lt;/R&gt;&lt;C&gt;1&lt;/C&gt;&lt;D xsi:type="xsd:double"&gt;12.42&lt;/D&gt;&lt;/FQL&gt;&lt;FQL&gt;&lt;Q&gt;IBM^FE_ESTIMATE(EPS,MEAN,CAL4_ROLL,2026,45770,,,'')&lt;/Q&gt;&lt;R&gt;1&lt;/R&gt;&lt;C&gt;1&lt;/C&gt;&lt;D xsi:type="xsd:do</t>
        </r>
      </text>
    </comment>
    <comment ref="A34" authorId="0" shapeId="0" xr:uid="{CC6AFF2B-F6CD-4E24-80C6-4754BBAEE9B3}">
      <text>
        <r>
          <rPr>
            <b/>
            <sz val="9"/>
            <color indexed="81"/>
            <rFont val="Tahoma"/>
            <family val="2"/>
          </rPr>
          <t>uble"&gt;11.285255&lt;/D&gt;&lt;/FQL&gt;&lt;FQL&gt;&lt;Q&gt;CRM^FE_VALUATION(FFEV_FCF,MEAN,CAL4_ROLL,2024,45770,,,'')&lt;/Q&gt;&lt;R&gt;1&lt;/R&gt;&lt;C&gt;1&lt;/C&gt;&lt;D xsi:type="xsd:double"&gt;18.907822&lt;/D&gt;&lt;/FQL&gt;&lt;FQL&gt;&lt;Q&gt;Company1341^FE_VALUATION(FFEV_FCF,MEAN,CAL4_ROLL,2026,45770,,,'')&lt;/Q&gt;&lt;R&gt;1&lt;/R&gt;&lt;C&gt;1&lt;/C&gt;&lt;D xsi:type="xsd:double"&gt;25.33353&lt;/D&gt;&lt;/FQL&gt;&lt;FQL&gt;&lt;Q&gt;Company0023^FE_ESTIMATE(FCF,MEAN,CAL4_ROLL,2023,45770,,,'')&lt;/Q&gt;&lt;R&gt;1&lt;/R&gt;&lt;C&gt;1&lt;/C&gt;&lt;D xsi:type="xsd:double"&gt;7132.4546&lt;/D&gt;&lt;/FQL&gt;&lt;FQL&gt;&lt;Q&gt;CRM^FE_ESTIMATE(EPS,MEAN,CAL4_ROLL,2023,45770,,,'')&lt;/Q&gt;&lt;R&gt;1&lt;/R&gt;&lt;C&gt;1&lt;/C&gt;&lt;D xsi:type="xsd:double"&gt;8.21&lt;/D&gt;&lt;/FQL&gt;&lt;FQL&gt;&lt;Q&gt;Company1985^FE_ESTIMATE(EPS,MEAN,CAL4_ROLL,2023,45770,,,'')&lt;/Q&gt;&lt;R&gt;1&lt;/R&gt;&lt;C&gt;1&lt;/C&gt;&lt;D xsi:type="xsd:double"&gt;5.42&lt;/D&gt;&lt;/FQL&gt;&lt;FQL&gt;&lt;Q&gt;CRM^FE_VALUATION(PE,MEAN,CAL4_ROLL,,45770,,,'')&lt;/Q&gt;&lt;R&gt;1&lt;/R&gt;&lt;C&gt;1&lt;/C&gt;&lt;D xsi:type="xsd:double"&gt;22.908915&lt;/D&gt;&lt;/FQL&gt;&lt;FQL&gt;&lt;Q&gt;Company0103^FE_ESTIMATE(GROSS_INC,MEAN,CAL4_ROLL,2025,45770,,,'')&lt;/Q&gt;&lt;R&gt;1&lt;/R&gt;&lt;C&gt;1&lt;/C&gt;&lt;D xsi:type="xsd:double"&gt;343515.75&lt;/D&gt;&lt;/FQL&gt;&lt;FQL&gt;&lt;Q&gt;Company0103^FE_ESTIMATE(SALES,MEAN,CAL4_ROLL,2024,45770,,,'')&lt;/Q&gt;&lt;R&gt;1&lt;/R&gt;&lt;C&gt;1&lt;/C&gt;&lt;D xsi:type="xsd:double"&gt;637959&lt;/D&gt;&lt;/FQL&gt;&lt;FQL&gt;&lt;Q&gt;Company0103^FE_ESTIMATE(GROSS_INC,MEAN,CAL4_ROLL,2026,45770,,,'')&lt;/Q&gt;&lt;R&gt;1&lt;/R&gt;&lt;C&gt;1&lt;/C&gt;&lt;D xsi:type="xsd:double"&gt;379503.56&lt;/D&gt;&lt;/FQL&gt;&lt;FQL&gt;&lt;Q&gt;Company0103^FE_ESTIMATE(EBIT_ADJ,MEAN,CAL4_ROLL,2025,45770,,,'')&lt;/Q&gt;&lt;R&gt;1&lt;/R&gt;&lt;C&gt;1&lt;/C&gt;&lt;D xsi:type="xsd:double"&gt;101225.625&lt;/D&gt;&lt;/FQL&gt;&lt;FQL&gt;&lt;Q&gt;Company0103^FE_ESTIMATE(EBIT_ADJ,MEAN,CAL4_ROLL,2024,45770,,,'')&lt;/Q&gt;&lt;R&gt;1&lt;/R&gt;&lt;C&gt;1&lt;/C&gt;&lt;D xsi:type="xsd:double"&gt;91124.61&lt;/D&gt;&lt;/FQL&gt;&lt;FQL&gt;&lt;Q&gt;Company0103^FE_ESTIMATE(FCF,MEAN,CAL4_ROLL,2025,45770,,,'')&lt;/Q&gt;&lt;R&gt;1&lt;/R&gt;&lt;C&gt;1&lt;/C&gt;&lt;D xsi:type="xsd:double"&gt;43894.953&lt;/D&gt;&lt;/FQL&gt;&lt;FQL&gt;&lt;Q&gt;Company0103^FE_ESTIMATE(FCF,MEAN,CAL4_ROLL,2026,45770,,,'')&lt;/Q&gt;&lt;R&gt;1&lt;/R&gt;&lt;C&gt;1&lt;/C&gt;&lt;D xsi:type="xsd:double"&gt;53330.04&lt;/D&gt;&lt;/FQL&gt;&lt;FQL&gt;&lt;Q&gt;Company0103^FE_ESTIMATE(EPS,MEAN,CAL4_ROLL,2025,45770,,,'')&lt;/Q&gt;&lt;R&gt;1&lt;/R&gt;&lt;C&gt;1&lt;/C&gt;&lt;D xsi:type="xsd:double"&gt;6.167715&lt;/D&gt;&lt;/FQL&gt;&lt;FQL&gt;&lt;Q&gt;Company1747^FE_VALUATION(PE,MEAN,ANN_ROLL,+1,NOW,,,'')&lt;/Q&gt;&lt;R&gt;1&lt;/R&gt;&lt;C&gt;1&lt;/C&gt;&lt;D xsi:type="xsd:double"&gt;29.96255&lt;/D&gt;&lt;/FQL&gt;&lt;FQL&gt;&lt;Q&gt;Company1985^FE_ESTIMATE(SALES,MEAN,CAL4_ROLL,2025,45770,,,'')&lt;/Q&gt;&lt;R&gt;1&lt;/R&gt;&lt;C&gt;1&lt;/C&gt;&lt;D xsi:type="xsd:double"&gt;60506.574&lt;/D&gt;&lt;/FQL&gt;&lt;FQL&gt;&lt;Q&gt;Ticker0024^FE_VALUATION(FFEV_FCF,MEAN,NTM4_ROLL,,45770,,,'')&lt;/Q&gt;&lt;R&gt;1&lt;/R&gt;&lt;C&gt;1&lt;/C&gt;&lt;D xsi:type="xsd:double"&gt;35.92582&lt;/D&gt;&lt;/FQL&gt;&lt;FQL&gt;&lt;Q&gt;CRM^FE_VALUATION(FFEV_FCF,MEAN,NTM4_ROLL,,45770,,,'')&lt;/Q&gt;&lt;R&gt;1&lt;/R&gt;&lt;C&gt;1&lt;/C&gt;&lt;D xsi:type="xsd:double"&gt;17.162458&lt;/D&gt;&lt;/FQL&gt;&lt;FQL&gt;&lt;Q&gt;Company0023^FE_VALUATION(FFEV_FCF,MEAN,NTM4_ROLL,,45770,,,'')&lt;/Q&gt;&lt;R&gt;1&lt;/R&gt;&lt;C&gt;1&lt;/C&gt;&lt;D xsi:type="xsd:double"&gt;17.0863&lt;/D&gt;&lt;/FQL&gt;&lt;FQL&gt;&lt;Q&gt;Company1985^FE_VALUATION(FFEV_FCF,MEAN,NTM4_ROLL,,45770,,,'')&lt;/Q&gt;&lt;R&gt;1&lt;/R&gt;&lt;C&gt;1&lt;/C&gt;&lt;D xsi:type="xsd:double"&gt;64.17387&lt;/D&gt;&lt;/FQL&gt;&lt;FQL&gt;&lt;Q&gt;Ticker0013^FE_VALUATION(FFEV_FCF,MEAN,NTM4_ROLL,,45770,,,'')&lt;/Q&gt;&lt;R&gt;1&lt;/R&gt;&lt;C&gt;1&lt;/C&gt;&lt;D xsi:type="xsd:double"&gt;25.512203&lt;/D&gt;&lt;/FQL&gt;&lt;FQL&gt;&lt;Q&gt;CRM^FE_ESTIMATE(EPS,MEAN,LTM4_ROLL,,45770,,,'')&lt;/Q&gt;&lt;R&gt;1&lt;/R&gt;&lt;C&gt;1&lt;/C&gt;&lt;D xsi:type="xsd:double"&gt;10.19&lt;/D&gt;&lt;/FQL&gt;&lt;FQL&gt;&lt;Q&gt;Company2320^FE_ESTIMATE(EPS,MEAN,LTM4_ROLL,,45770,,,'')&lt;/Q&gt;&lt;R&gt;1&lt;/R&gt;&lt;C&gt;1&lt;/C&gt;&lt;D xsi:type="xsd:double"&gt;5.634897&lt;/D&gt;&lt;/FQL&gt;&lt;FQL&gt;&lt;Q&gt;Ticker0013^FE_ESTIMATE(EPS,MEAN,LTM4_ROLL,,45770,,,'')&lt;/Q&gt;&lt;R&gt;1&lt;/R&gt;&lt;C&gt;1&lt;/C&gt;&lt;D xsi:type="xsd:double"&gt;8.05&lt;/D&gt;&lt;/FQL&gt;&lt;FQL&gt;&lt;Q&gt;CRM^FE_ESTIMATE(FCF,MEAN,LTM4_ROLL,,45770,,,'')&lt;/Q&gt;&lt;R&gt;1&lt;/R&gt;&lt;C&gt;1&lt;/C&gt;&lt;D xsi:type="xsd:double"&gt;12434&lt;/D&gt;&lt;/FQL&gt;&lt;FQL&gt;&lt;Q&gt;Company2320^FE_ESTIMATE(FCF,MEAN,LTM4_ROLL,,45770,,,'')&lt;/Q&gt;&lt;R&gt;1&lt;/R&gt;&lt;C&gt;1&lt;/C&gt;&lt;D xsi:type="xsd:double"&gt;5904.8403&lt;/D&gt;&lt;/FQL&gt;&lt;FQL&gt;&lt;Q&gt;Ticker0013^FE_ESTIMATE(FCF,MEAN,LTM4_ROLL,,45770,,,'')&lt;/Q&gt;&lt;R&gt;1&lt;/R&gt;&lt;C&gt;1&lt;/C&gt;&lt;D xsi:type="xsd:double"&gt;73062&lt;/D&gt;&lt;/FQL&gt;&lt;FQL&gt;&lt;Q&gt;CRM^FE_ESTIMATE(EBIT_ADJ,MEAN,LTM4_ROLL,,45770,,,'')&lt;/Q&gt;&lt;R&gt;1&lt;/R&gt;&lt;C&gt;1&lt;/C&gt;&lt;D xsi:type="xsd:double"&gt;12498&lt;/D&gt;&lt;/FQL&gt;&lt;FQL&gt;&lt;Q&gt;Company2320^FE_ESTIMATE(EBIT_ADJ,MEAN,LTM4_ROLL,,45770,,,'')&lt;/Q&gt;&lt;R&gt;1&lt;/R&gt;&lt;C&gt;1&lt;/C&gt;&lt;D xsi:type="xsd:double"&gt;9887.048&lt;/D&gt;&lt;/FQL&gt;&lt;FQL&gt;&lt;Q&gt;Ticker0013^FE_ESTIMATE(EBIT_ADJ,MEAN,LTM4_ROLL,,45770,,,'')&lt;/Q&gt;&lt;R&gt;1&lt;/R&gt;&lt;C&gt;1&lt;/C&gt;&lt;D xsi:type="xsd:double"&gt;126366.8&lt;/D&gt;&lt;/FQL&gt;&lt;FQL&gt;&lt;Q&gt;CRM^FE_ESTIMATE(GROSS_INC,MEAN,LTM4_ROLL,,45770,,,'')&lt;/Q&gt;&lt;R&gt;1&lt;/R&gt;&lt;C&gt;1&lt;/C&gt;&lt;D xsi:type="xsd:double"&gt;30389.063&lt;/D&gt;&lt;/FQL&gt;&lt;FQL&gt;&lt;Q&gt;IBM^FE_ESTIMATE(EPS,MEAN,CAL4_ROLL,2023,45770,,,'')&lt;/Q&gt;&lt;R&gt;1&lt;/R&gt;&lt;C&gt;1&lt;/C&gt;&lt;D xsi:type="xsd:double"&gt;9.61&lt;/D&gt;&lt;/FQL&gt;&lt;FQL&gt;&lt;Q&gt;Ticker0024^FE_ESTIMATE(EPS,MEAN,CAL4_ROLL,2023,45770,,,'')&lt;/Q&gt;&lt;R&gt;1&lt;/R&gt;&lt;C&gt;1&lt;/C&gt;&lt;D xsi:type="xsd:double"&gt;11.06&lt;/D&gt;&lt;/FQL&gt;&lt;FQL&gt;&lt;Q&gt;Ticker0024^FE_ESTIMATE(SPEC_NO_CHANGE_2,MEAN,ANNUAL_ROLL,2030,45772,,,'')&lt;/Q&gt;&lt;R&gt;0&lt;/R&gt;&lt;C&gt;0&lt;/C&gt;&lt;/FQL&gt;&lt;FQL&gt;&lt;Q&gt;Ticker0024^FE_ESTIMATE(SPEC_NO_CHANGE_2,MEAN,QUARTERLY_ROLL,2030/4F,45772,,,'')&lt;/Q&gt;&lt;R&gt;0&lt;/R&gt;&lt;C&gt;0&lt;/C&gt;&lt;/FQL&gt;&lt;FQL&gt;&lt;Q&gt;Ticker0024^FE_ESTIMATE(SPEC_NO_CHANGE_2,MEAN,QUARTERLY_ROLL,2030/3F,45772,,,'')&lt;/Q&gt;&lt;R&gt;0&lt;/R&gt;&lt;C&gt;0&lt;/C&gt;&lt;/FQL&gt;&lt;FQL&gt;&lt;Q&gt;Ticker0024^FE_ESTIMATE(SPEC_NO_CHANGE_2,MEAN,QUARTERLY_ROLL,2030/2F,45772,,,'')&lt;/Q&gt;&lt;R&gt;0&lt;/R&gt;&lt;C&gt;0&lt;/C&gt;&lt;/FQL&gt;&lt;FQL&gt;&lt;Q&gt;Ticker0024^FE_ESTIMATE(SPEC_NO_CHANGE_2,MEAN,QUARTERLY_ROLL,2030/1F,45772,,,'')&lt;/Q&gt;&lt;R&gt;0&lt;/R&gt;&lt;C&gt;0&lt;/C&gt;&lt;/FQL&gt;&lt;FQL&gt;&lt;Q&gt;Ticker0024^FE_ESTIMATE(SPEC_NO_CHANGE_2,MEAN,ANNUAL_ROLL,2029,45772,,,'')&lt;/Q&gt;&lt;R&gt;0&lt;/R&gt;&lt;C&gt;0&lt;/C&gt;&lt;/FQL&gt;&lt;FQL&gt;&lt;Q&gt;Ticker0024^FE_ESTIMATE(SPEC_NO_CHANGE_2,MEAN,QUARTERLY_ROLL,2029/4F,45772,,,'')&lt;/Q&gt;&lt;R&gt;0&lt;/R&gt;&lt;C&gt;0&lt;/C&gt;&lt;/FQL&gt;&lt;FQL&gt;&lt;Q&gt;Ticker0024^FE_ESTIMATE(SPEC_NO_CHANGE_2,MEAN,QUARTERLY_ROLL,2029/3F,45772,,,'')&lt;/Q&gt;&lt;R&gt;0&lt;/R&gt;&lt;C&gt;0&lt;/C&gt;&lt;/FQL&gt;&lt;FQL&gt;&lt;Q&gt;Ticker0024^FE_ESTIMATE(SPEC_NO_CHANGE_2,MEAN,QUARTERLY_ROLL,2029/2F,45772,,,'')&lt;/Q&gt;&lt;R&gt;0&lt;/R&gt;&lt;C&gt;0&lt;/C&gt;&lt;/FQL&gt;&lt;FQL&gt;&lt;Q&gt;Ticker0024^FE_ESTIMATE(SPEC_NO_CHANGE_2,MEAN,QUARTERLY_ROLL,2029/1F,45772,,,'')&lt;/Q&gt;&lt;R&gt;0&lt;/R&gt;&lt;C&gt;0&lt;/C&gt;&lt;/FQL&gt;&lt;FQL&gt;&lt;Q&gt;Ticker0024^FE_ESTIMATE(SPEC_NO_CHANGE_2,MEAN,ANNUAL_ROLL,2028,45772,,,'')&lt;/Q&gt;&lt;R&gt;1&lt;/R&gt;&lt;C&gt;1&lt;/C&gt;&lt;D xsi:type="xsd:double"&gt;24&lt;/D&gt;&lt;/FQL&gt;&lt;FQL&gt;&lt;Q&gt;Ticker0024^FE_ESTIMATE(SPEC_NO_CHANGE_2,MEAN,QUARTERLY_ROLL,2028/4F,45772,,,'')&lt;/Q&gt;&lt;R&gt;0&lt;/R&gt;&lt;C&gt;0&lt;/C&gt;&lt;/FQL&gt;&lt;FQL&gt;&lt;Q&gt;Ticker0024^FE_ESTIMATE(SPEC_NO_CHANGE_2,MEAN,QUARTERLY_ROLL,2028/3F,45772,,,'')&lt;/Q&gt;&lt;R&gt;0&lt;/R&gt;&lt;C&gt;0&lt;/C&gt;&lt;/FQL&gt;&lt;FQL&gt;&lt;Q&gt;Ticker0024^FE_ESTIMATE(SPEC_NO_CHANGE_2,MEAN,QUARTERLY_ROLL,2028/2F,45772,,,'')&lt;/Q&gt;&lt;R&gt;0&lt;/R&gt;&lt;C&gt;0&lt;/C&gt;&lt;/FQL&gt;&lt;FQL&gt;&lt;Q&gt;Ticker0024^FE_ESTIMATE(SPEC_NO_CHANGE_2,MEAN,QUARTERLY_ROLL,2028/1F,45772,,,'')&lt;/Q&gt;&lt;R&gt;0&lt;/R&gt;&lt;C&gt;0&lt;/C&gt;&lt;/FQL&gt;&lt;FQL&gt;&lt;Q&gt;Ticker0024^FE_ESTIMATE(SPEC_NO_CHANGE_2,MEAN,ANNUAL_ROLL,2027,45772,,,'')&lt;/Q&gt;&lt;R&gt;1&lt;/R&gt;&lt;C&gt;1&lt;/C&gt;&lt;D xsi:type="xsd:double"&gt;30&lt;/D&gt;&lt;/FQL&gt;&lt;FQL&gt;&lt;Q&gt;Ticker0024^FE_ESTIMATE(SPEC_NO_CHANGE_2,MEAN,QUARTERLY_ROLL,2027/4F,45772,,,'')&lt;/Q&gt;&lt;R&gt;0&lt;/R&gt;&lt;C&gt;0&lt;/C&gt;&lt;/FQL&gt;&lt;FQL&gt;&lt;Q&gt;Ticker0024^FE_ESTIMATE(SPEC_NO_CHANGE_2,MEAN,QUARTERLY_ROLL,2027/3F,45772,,,'')&lt;/Q&gt;&lt;R&gt;0&lt;/R&gt;&lt;C&gt;0&lt;/C&gt;&lt;/FQL&gt;&lt;FQL&gt;&lt;Q&gt;Ticker0024^FE_ESTIMATE(SPEC_NO_CHANGE_2,MEAN,QUARTERLY_ROLL,2027/2F,45772,,,'')&lt;/Q&gt;&lt;R&gt;0&lt;/R&gt;&lt;C&gt;0&lt;/C&gt;&lt;/FQL&gt;&lt;FQL&gt;&lt;Q&gt;Ticker0024^FE_ESTIMATE(SPEC_NO_CHANGE_2,MEAN,QUARTERLY_ROLL,2027/1F,45772,,,'')&lt;/Q&gt;&lt;R&gt;0&lt;/R&gt;&lt;C&gt;0&lt;/C&gt;&lt;/FQL&gt;&lt;FQL&gt;&lt;Q&gt;Ticker0024^FE_ESTIMATE(SPEC_NO_CHANGE_2,MEAN,ANNUAL_ROLL,2026,45772,,,'')&lt;/Q&gt;&lt;R&gt;1&lt;/R&gt;&lt;C&gt;1&lt;/C&gt;&lt;D xsi:type="xsd:double"&gt;31.433332&lt;/D&gt;&lt;/FQL&gt;&lt;FQL&gt;&lt;Q&gt;Ticker0024^FE_ESTIMATE(SPEC_NO_CHANGE_2,MEAN,QUARTERLY_ROLL,2026/4F,45772,,,'')&lt;/Q&gt;&lt;R&gt;1&lt;/R&gt;&lt;C&gt;1&lt;/C&gt;&lt;D xsi:type="xsd:double"&gt;30.933332&lt;/D&gt;&lt;/FQL&gt;&lt;FQL&gt;&lt;Q&gt;Ticker0024^FE_ESTIMATE(SPEC_NO_CHANGE_2,MEAN,QUARTERLY_ROLL,2026/3F,45772,,,'')&lt;/Q&gt;&lt;R&gt;1&lt;/R&gt;&lt;C&gt;1&lt;/C&gt;&lt;D xsi:type="xsd:double"&gt;31.833334&lt;/D&gt;&lt;/FQL&gt;&lt;FQL&gt;&lt;Q&gt;Ticker0024^FE_ESTIMATE(SPEC_NO_CHANGE_2,MEAN,QUARTERLY_ROLL,2026/2F,45772,,,'')&lt;/Q&gt;&lt;R&gt;1&lt;/R&gt;&lt;C&gt;1&lt;/C&gt;&lt;D xsi:type="xsd:double"&gt;31.125&lt;/D&gt;&lt;/FQL&gt;&lt;FQL&gt;&lt;Q&gt;Ticker0024^FE_ESTIMATE(SPEC_NO_CHANGE_2,MEAN,QUARTERLY_ROLL,2026/1F,45772,,,'')&lt;/Q&gt;&lt;R&gt;1&lt;/R&gt;&lt;C&gt;1&lt;/C&gt;&lt;D xsi:type="xsd:double"&gt;31.875&lt;/D&gt;&lt;/FQL&gt;&lt;FQL&gt;&lt;Q&gt;Ticker0024^FE_ESTIMATE(SPEC_NO_CHANGE_2,MEAN,ANNUAL_ROLL,2025,45772,,,'')&lt;/Q&gt;&lt;R&gt;1&lt;/R&gt;&lt;C&gt;1&lt;/C&gt;&lt;D xsi:type="xsd:double"&gt;31.666666&lt;/D&gt;&lt;/FQL&gt;&lt;FQL&gt;&lt;Q&gt;Ticker0024^FE_ESTIMATE(SPEC_NO_CHANGE_2,MEAN,QUARTERLY_ROLL,2025/4F,45772,,,'')&lt;/Q&gt;&lt;R&gt;1&lt;/R&gt;&lt;C&gt;1&lt;/C&gt;&lt;D xsi:type="xsd:double"&gt;31.666666&lt;/D&gt;&lt;/FQL&gt;&lt;FQL&gt;&lt;Q&gt;Ticker0024^FE_ESTIMATE(SPEC_NO_CHANGE_2,MEAN,QUARTERLY_ROLL,2025/3F,45772,,,'')&lt;/Q&gt;&lt;R&gt;1&lt;/R&gt;&lt;C&gt;1&lt;/C&gt;&lt;D xsi:type="xsd:double"&gt;31.366667&lt;/D&gt;&lt;/FQL&gt;&lt;FQL&gt;&lt;Q&gt;Ticker0024^FE_ESTIMATE(SPEC_NO_CHANGE_2,MEAN,QUARTERLY_ROLL,2025/2F,45772,,,'')&lt;/Q&gt;&lt;R&gt;1&lt;/R&gt;&lt;C&gt;1&lt;/C&gt;&lt;D xsi:type="xsd:double"&gt;31&lt;/D&gt;&lt;/FQL&gt;&lt;FQL&gt;&lt;Q&gt;Ticker0024^FE_ESTIMATE(SPEC_NO_CHANGE_2,MEAN,QUARTERLY_ROLL,2025/1F,45772,,,'')&lt;/Q&gt;&lt;R&gt;1&lt;/R&gt;&lt;C&gt;1&lt;/C&gt;&lt;D xsi:type="xsd:double"&gt;34&lt;/D&gt;&lt;/FQL&gt;&lt;FQL&gt;&lt;Q&gt;Ticker0024^FE_ESTIMATE(SPEC_NO_CHANGE_2,MEAN,ANNUAL_ROLL,2024,45772,,,'')&lt;/Q&gt;&lt;R&gt;1&lt;/R&gt;&lt;C&gt;1&lt;/C&gt;&lt;D xsi:type="xsd:double"&gt;29.14&lt;/D&gt;&lt;/FQL&gt;&lt;FQL&gt;&lt;Q&gt;Ticker0024^FE_ESTIMATE(SPEC_NO_CHANGE_2,MEAN,QUARTERLY_ROLL,2024/4F,45772,,,'')&lt;/Q&gt;&lt;R&gt;1&lt;/R&gt;&lt;C&gt;1&lt;/C&gt;&lt;D xsi:type="xsd:double"&gt;30&lt;/D&gt;&lt;/FQL&gt;&lt;FQL&gt;&lt;Q&gt;Ticker0024^FE_ESTIMATE(SPEC_NO_CHANGE_2,MEAN,QUARTERLY_ROLL,2024/3F,45772,,,'')&lt;/Q&gt;&lt;R&gt;1&lt;/R&gt;&lt;C&gt;1&lt;/C&gt;&lt;D xsi:type="xsd:double"&gt;31&lt;/D&gt;&lt;/FQL&gt;&lt;FQL&gt;&lt;Q&gt;Ticker0024^FE_ESTIMATE(SPEC_NO_CHANGE_2,MEAN,QUARTERLY_ROLL,2024/2F,45772,,,'')&lt;/Q&gt;&lt;R&gt;1&lt;/R&gt;&lt;C&gt;1&lt;/C&gt;&lt;D xsi:type="xsd:double"&gt;28&lt;/D&gt;&lt;/FQL&gt;&lt;FQL&gt;&lt;Q&gt;Ticker0024^FE_ESTIMATE(SPEC_NO_CHANGE_2,MEAN,QUARTERLY_ROLL,2024/1F,45772,,,'')&lt;/Q&gt;&lt;R&gt;1&lt;/R&gt;&lt;C&gt;1&lt;/C&gt;&lt;D xsi:type="xsd:double"&gt;28.1&lt;/D&gt;&lt;/FQL&gt;&lt;FQL&gt;&lt;Q&gt;Ticker0024^FE_ESTIMATE(SPEC_NO_CHANGE_2,MEAN,ANNUAL_ROLL,2023,45772,,,'')&lt;/Q&gt;&lt;R&gt;1&lt;/R&gt;&lt;C&gt;1&lt;/C&gt;&lt;D xsi:type="xsd:double"&gt;34&lt;/D&gt;&lt;/FQL&gt;&lt;FQL&gt;&lt;Q&gt;Ticker0024^FE_ESTIMATE(SPEC_NO_CHANGE_2,MEAN,QUARTERLY_ROLL,2023/4F,45772,,,'')&lt;/Q&gt;&lt;R&gt;1&lt;/R&gt;&lt;C&gt;1&lt;/C&gt;&lt;D xsi:type="xsd:double"&gt;27&lt;/D&gt;&lt;/FQL&gt;&lt;FQL&gt;&lt;Q&gt;Ticker0024^FE_ESTIMATE(SPEC_NO_CHANGE_2,MEAN,QUARTERLY_ROLL,2023/3F,45772,,,'')&lt;/Q&gt;&lt;R&gt;1&lt;/R&gt;&lt;C&gt;1&lt;/C&gt;&lt;D xsi:type="xsd:double"&gt;31&lt;/D&gt;&lt;/FQL&gt;&lt;FQL&gt;&lt;Q&gt;Ticker0024^FE_ESTIMATE(SPEC_NO_CHANGE_2,MEAN,QUARTERLY_ROLL,2023/2F,45772,,,'')&lt;/Q&gt;&lt;R&gt;1&lt;/R&gt;&lt;C&gt;1&lt;/C&gt;&lt;D xsi:type="xsd:double"&gt;38&lt;/D&gt;&lt;/FQL&gt;&lt;FQL&gt;&lt;Q&gt;Ticker0024^FE_ESTIMATE(SPEC_NO_CHANGE_2,MEAN,QUARTERLY_ROLL,2023/1F,45772,,,'')&lt;/Q&gt;&lt;R&gt;1&lt;/R&gt;&lt;C&gt;1&lt;/C&gt;&lt;D xsi:type="xsd:double"&gt;42&lt;/D&gt;&lt;/FQL&gt;&lt;FQL&gt;&lt;Q&gt;Ticker0024^FE_ESTIMATE(SPEC_NO_CHANGE_2,MEAN,ANNUAL_ROLL,2022,45772,,,'')&lt;/Q&gt;&lt;R&gt;1&lt;/R&gt;&lt;C&gt;1&lt;/C&gt;&lt;D xsi:type="xsd:double"&gt;47.05&lt;/D&gt;&lt;/FQL&gt;&lt;FQL&gt;&lt;Q&gt;Ticker0024^FE_ESTIMATE(SPEC_NO_CHANGE_2,MEAN,QUARTERLY_ROLL,2022/4F,45772,,,'')&lt;/Q&gt;&lt;R&gt;1&lt;/R&gt;&lt;C&gt;1&lt;/C&gt;&lt;D xsi:type="xsd:double"&gt;46&lt;/D&gt;&lt;/FQL&gt;&lt;FQL&gt;&lt;Q&gt;Ticker0024^FE_ESTIMATE(SPEC_NO_CHANGE_2,MEAN,QUARTERLY_ROLL,2022/3F,45772,,,'')&lt;/Q&gt;&lt;R&gt;0&lt;/R&gt;&lt;C&gt;0&lt;/C&gt;&lt;/FQL&gt;&lt;FQL&gt;&lt;Q&gt;Ticker0024^FE_ESTIMATE(SPEC_NO_CHANGE_2,MEAN,QUARTERLY_ROLL,2022/2F,45772,,,'')&lt;/Q&gt;&lt;R&gt;0&lt;/R&gt;&lt;C&gt;0&lt;/C&gt;&lt;/FQL&gt;&lt;FQL&gt;&lt;Q&gt;Ticker0024^FE_ESTIMATE(SPEC_NO_CHANGE_2,MEAN,QUARTERLY_ROLL,2022/1F,45772,,,'')&lt;/Q&gt;&lt;R&gt;0&lt;/R&gt;&lt;C&gt;0&lt;/C&gt;&lt;/FQL&gt;&lt;FQL&gt;&lt;Q&gt;Ticker0024^FE_ESTIMATE(SPEC_NO_CHANGE_2,MEAN,ANNUAL_ROLL,2021,45772,,,'')&lt;/Q&gt;&lt;R&gt;0&lt;/R&gt;&lt;C&gt;0&lt;/C&gt;&lt;/FQL&gt;&lt;FQL&gt;&lt;Q&gt;Ticker0024^FE_ESTIMATE(SPEC_NO_CHANGE_2,MEAN,QUARTERLY_ROLL,2021/4F,45772,,,'')&lt;/Q&gt;&lt;R&gt;0&lt;/R&gt;&lt;C&gt;0&lt;/C&gt;&lt;/FQL&gt;&lt;FQL&gt;&lt;Q&gt;Ticker0024^FE_ESTIMATE(SPEC_NO_CHANGE_2,MEAN,QUARTERLY_ROLL,2021/3F,45772,,,'')&lt;/Q&gt;&lt;R&gt;1&lt;/R&gt;&lt;C&gt;1&lt;/C&gt;&lt;D xsi:type="xsd:double"&gt;46&lt;/D&gt;&lt;/FQL&gt;&lt;FQL&gt;&lt;Q&gt;Ticker0024^FE_ESTIMATE(SPEC_NO_CHANGE_2,MEAN,QUARTERLY_ROLL,2021/2F,45772,,,'')&lt;/Q&gt;&lt;R&gt;0&lt;/R&gt;&lt;C&gt;0&lt;/C&gt;&lt;/FQL&gt;&lt;FQL&gt;&lt;Q&gt;Ticker0024^FE_ESTIMATE(SPEC_NO_CHANGE_2,MEAN,QUARTERLY_ROLL,2021/1F,45772,,,'')&lt;/Q&gt;&lt;R&gt;0&lt;/R&gt;&lt;C&gt;0&lt;/C&gt;&lt;/FQL&gt;&lt;FQL&gt;&lt;Q&gt;Ticker0024^FE_ESTIMATE(SPEC_NO_CHANGE_2,MEAN,ANNUAL_ROLL,2020,45772,,,'')&lt;/Q&gt;&lt;R&gt;0&lt;/R&gt;&lt;C&gt;0&lt;/C&gt;&lt;/FQL&gt;&lt;FQL&gt;&lt;Q&gt;Ticker0024^FE_ESTIMATE(SPEC_NO_CHANGE_2,MEAN,QUARTERLY_ROLL,2020/4F,45772,,,'')&lt;/Q&gt;&lt;R&gt;0&lt;/R&gt;&lt;C&gt;0&lt;/C&gt;&lt;/FQL&gt;&lt;FQL&gt;&lt;Q&gt;Ticker0024^FE_ESTIMATE(SPEC_NO_CHANGE_2,MEAN,QUARTERLY_ROLL,2020/3F,45772,,,'')&lt;/Q&gt;&lt;R&gt;0&lt;/R&gt;&lt;C&gt;0&lt;/C&gt;&lt;/FQL&gt;&lt;FQL&gt;&lt;Q&gt;Ticker0024^FE_ESTIMATE(SPEC_NO_CHANGE_2,MEAN,QUARTERLY_ROLL,2020/2F,45772,,,'')&lt;/Q&gt;&lt;R&gt;0&lt;/R&gt;&lt;C&gt;0&lt;/C&gt;&lt;/FQL&gt;&lt;FQL&gt;&lt;Q&gt;Ticker0024^FE_ESTIMATE(SPEC_NO_CHANGE_2,MEAN,QUARTERLY_ROLL,2020/1F,45772,,,'')&lt;/Q&gt;&lt;R&gt;0&lt;/R&gt;&lt;C&gt;0&lt;/C&gt;&lt;/FQL&gt;&lt;FQL&gt;&lt;Q&gt;Ticker0024^FE_ESTIMATE(SPEC_NO_CHANGE_2,MEAN,ANNUAL_ROLL,2019,45772,,,'')&lt;/Q&gt;&lt;R&gt;0&lt;/R&gt;&lt;C&gt;0&lt;/C&gt;&lt;/FQL&gt;&lt;FQL&gt;&lt;Q&gt;Ticker0024^FE_ESTIMATE(SPEC_NO_CHANGE_2,MEAN,QUARTERLY_ROLL,2019/4F,45772,,,'')&lt;/Q&gt;&lt;R&gt;0&lt;/R&gt;&lt;C&gt;0&lt;/C&gt;&lt;/FQL&gt;&lt;FQL&gt;&lt;Q&gt;Ticker0024^FE_ESTIMATE(SPEC_NO_CHANGE_2,MEAN,QUARTERLY_ROLL,2019/3F,45772,,,'')&lt;/Q&gt;&lt;R&gt;0&lt;/R&gt;&lt;C&gt;0&lt;/C&gt;&lt;/FQL&gt;&lt;FQL&gt;&lt;Q&gt;Ticker0024^FE_ESTIMATE(SPEC_NO_CHANGE_2,MEAN,QUARTERLY_ROLL,2019/2F,45772,,,'')&lt;/Q&gt;&lt;R&gt;0&lt;/R&gt;&lt;C&gt;0&lt;/C&gt;&lt;/FQL&gt;&lt;FQL&gt;&lt;Q&gt;Ticker0024^FE_ESTIMATE(SPEC_NO_CHANGE_2,MEAN,QUARTERLY_ROLL,2019/1F,45772,,,'')&lt;/Q&gt;&lt;R&gt;0&lt;/R&gt;&lt;C&gt;0&lt;/C&gt;&lt;/FQL&gt;&lt;FQL&gt;&lt;Q&gt;Ticker0024^FE_ESTIMATE(SPEC_NO_CHANGE_2,MEAN,ANNUAL_ROLL,2018,45772,,,'')&lt;/Q&gt;&lt;R&gt;0&lt;/R&gt;&lt;C&gt;0&lt;/C&gt;&lt;/FQL&gt;&lt;FQL&gt;&lt;Q&gt;Ticker0024^FE_ESTIMATE(SPEC_NO_CHANGE_2,MEAN,QUARTERLY_ROLL,2018/4F,45772,,,'')&lt;/Q&gt;&lt;R&gt;0&lt;/R&gt;&lt;C&gt;0&lt;/C&gt;&lt;/FQL&gt;&lt;FQL&gt;&lt;Q&gt;Ticker0024^FE_ESTIMATE(SPEC_NO_CHANGE_2,MEAN,QUARTERLY_ROLL,2018/3F,45772,,,'')&lt;/Q&gt;&lt;R&gt;0&lt;/R&gt;&lt;C&gt;0&lt;/C&gt;&lt;/FQL&gt;&lt;FQL&gt;&lt;Q&gt;Ticker0024^FE_ESTIMATE(SPEC_NO_CHANGE_2,MEAN,QUARTERLY_ROLL,2018/2F,45772,,,'')&lt;/Q&gt;&lt;R&gt;0&lt;/R&gt;&lt;C&gt;0&lt;/C&gt;&lt;/FQL&gt;&lt;FQL&gt;&lt;Q&gt;Ticker0024^FE_ESTIMATE(SPEC_NO_CHANGE_2,MEAN,QUARTERLY_ROLL,2018/1F,45772,,,'')&lt;/Q&gt;&lt;R&gt;0&lt;/R&gt;&lt;C&gt;0&lt;/C&gt;&lt;/FQL&gt;&lt;FQL&gt;&lt;Q&gt;Ticker0024^FE_ESTIMATE(SPEC_NO_CHANGE_2,MEAN,ANNUAL_ROLL,2017,45772,,,'')&lt;/Q&gt;&lt;R&gt;0&lt;/R&gt;&lt;C&gt;0&lt;/C&gt;&lt;/FQL&gt;&lt;FQL&gt;&lt;Q&gt;Ticker0024^FE_ESTIMATE(SPEC_NO_CHANGE_2,MEAN,QUARTERLY_ROLL,2017/4F,45772,,,'')&lt;/Q&gt;&lt;R&gt;0&lt;/R&gt;&lt;C&gt;0&lt;/C&gt;&lt;/FQL&gt;&lt;FQL&gt;&lt;Q&gt;Ticker0024^FE_ESTIMATE(SPEC_NO_CHANGE_2,MEAN,QUARTERLY_ROLL,2017/3F,45772,,,'')&lt;/Q&gt;&lt;R&gt;0&lt;/R&gt;&lt;C&gt;0&lt;/C&gt;&lt;/FQL&gt;&lt;FQL&gt;&lt;Q&gt;Ticker0024^FE_ESTIMATE(SPEC_NO_CHANGE_2,MEAN,QUARTERLY_ROLL,2017/2F,45772,,,'')&lt;/Q&gt;&lt;R&gt;0&lt;/R&gt;&lt;C&gt;0&lt;/C&gt;&lt;/FQL&gt;&lt;FQL&gt;&lt;Q&gt;Ticker0024^FE_ESTIMATE(SPEC_NO_CHANGE_2,MEAN,QUARTERLY_ROLL,2017/1F,45772,,,'')&lt;/Q&gt;&lt;R&gt;0&lt;/R&gt;&lt;C&gt;0&lt;/C&gt;&lt;/FQL&gt;&lt;FQL&gt;&lt;Q&gt;Ticker0024^FE_ESTIMATE(SPEC_NO_CHANGE_2,MEAN,ANNUAL_ROLL,2016,45772,,,'')&lt;/Q&gt;&lt;R&gt;0&lt;/R&gt;&lt;C&gt;0&lt;/C&gt;&lt;/FQL&gt;&lt;FQL&gt;&lt;Q&gt;Ticker0024^FE_ESTIMATE(SPEC_NO_CHANGE_2,MEAN,QUARTERLY_ROLL,2016/4F,45772,,,'')&lt;/Q&gt;&lt;R&gt;0&lt;/R&gt;&lt;C&gt;0&lt;/C&gt;&lt;/FQL&gt;&lt;FQL&gt;&lt;Q&gt;Ticker0024^FE_ESTIMATE(SPEC_NO_CHANGE_2,MEAN,QUARTERLY_ROLL,2016/3F,45772,,,'')&lt;/Q&gt;&lt;R&gt;0&lt;/R&gt;&lt;C&gt;0&lt;/C&gt;&lt;/FQL&gt;&lt;FQL&gt;&lt;Q&gt;Ticker0024^FE_ESTIMATE(SPEC_NO_CHANGE_2,MEAN,QUARTERLY_ROLL,2016/2F,45772,,,'')&lt;/Q&gt;&lt;R&gt;0&lt;/R&gt;&lt;C&gt;0&lt;/C&gt;&lt;/FQL&gt;&lt;FQL&gt;&lt;Q&gt;Ticker0024^FE_ESTIMATE(SPEC_NO_CHANGE_2,MEAN,QUARTERLY_ROLL,2016/1F,45772,,,'')&lt;/Q&gt;&lt;R&gt;0&lt;/R&gt;&lt;C&gt;0&lt;/C&gt;&lt;/FQL&gt;&lt;FQL&gt;&lt;Q&gt;Ticker0024^FE_ESTIMATE(SPEC_NO_CHANGE_2,MEAN,ANNUAL_ROLL,2015,45772,,,'')&lt;/Q&gt;&lt;R&gt;0&lt;/R&gt;&lt;C&gt;0&lt;/C&gt;&lt;/FQL&gt;&lt;FQL&gt;&lt;Q&gt;Ticker0024^FE_ESTIMATE(SPEC_NO_CHANGE_2,MEAN,QUARTERLY_ROLL,2015/4F,45772,,,'')&lt;/Q&gt;&lt;R&gt;0&lt;/R&gt;&lt;C&gt;0&lt;/C&gt;&lt;/FQL&gt;&lt;FQL&gt;&lt;Q&gt;Ticker0024^FE_ESTIMATE(SPEC_NO_CHANGE_2,MEAN,QUARTERLY_ROLL,2015/3F,45772,,,'')&lt;/Q&gt;&lt;R&gt;0&lt;/R&gt;&lt;C&gt;0&lt;/C&gt;&lt;/FQL&gt;&lt;FQL&gt;&lt;Q&gt;Ticker0024^FE_ESTIMATE(SPEC_NO_CHANGE_2,MEAN,QUARTERLY_ROLL,2015/2F,45772,,,'')&lt;/Q&gt;&lt;R&gt;0&lt;/R&gt;&lt;C&gt;0&lt;/C&gt;&lt;/FQL&gt;&lt;FQL&gt;&lt;Q&gt;Ticker0024^FE_ESTIMATE(SPEC_NO_CHANGE_2,MEAN,QUARTERLY_ROLL,2015/1F,45772,,,'')&lt;/Q&gt;&lt;R&gt;0&lt;/R&gt;&lt;C&gt;0&lt;/C&gt;&lt;/FQL&gt;&lt;FQL&gt;&lt;Q&gt;Ticker0024^FE_ESTIMATE(SPEC_NO_CHANGE_1,MEAN,ANNUAL_ROLL,2030,45772,,,'')&lt;/Q&gt;&lt;R&gt;0&lt;/R&gt;&lt;C&gt;0&lt;/C&gt;&lt;/FQL&gt;&lt;FQL&gt;&lt;Q&gt;Ticker0024^FE_ESTIMATE(SPEC_NO_CHANGE_1,MEAN,QUARTERLY_ROLL,2030/4F,45772,,,'')&lt;/Q&gt;&lt;R&gt;0&lt;/R&gt;&lt;C&gt;0&lt;/C&gt;&lt;/FQL&gt;&lt;FQL&gt;&lt;Q&gt;Ticker0024^FE_ESTIMATE(SPEC_NO_CHANGE_1,MEAN,QUARTERLY_ROLL,2030/3F,45772,,,'')&lt;/Q&gt;&lt;R&gt;0&lt;/R&gt;&lt;C&gt;0&lt;/C&gt;&lt;/FQL&gt;&lt;FQL&gt;&lt;Q&gt;Ticker0024^FE_ESTIMATE(SPEC_NO_CHANGE_1,MEAN,QUARTERLY_ROLL,2030/2F,45772,,,'')&lt;/Q&gt;&lt;R&gt;0&lt;/R&gt;&lt;C&gt;0&lt;/C&gt;&lt;/FQL&gt;&lt;FQL&gt;&lt;Q&gt;Ticker0024^FE_ESTIMATE(SPEC_NO_CHANGE_1,MEAN,QUARTERLY_ROLL,2030/1F,45772,,,'')&lt;/Q&gt;&lt;R&gt;0&lt;/R&gt;&lt;C&gt;0&lt;/C&gt;&lt;/FQL&gt;&lt;FQL&gt;&lt;Q&gt;Ticker0024^FE_ESTIMATE(SPEC_NO_CHANGE_1,MEAN,ANNUAL_ROLL,2029,45772,,,'')&lt;/Q&gt;&lt;R&gt;0&lt;/R&gt;&lt;C&gt;0&lt;/C&gt;&lt;/FQL&gt;&lt;FQL&gt;&lt;Q&gt;Ticker0024^FE_ESTIMATE(SPEC_NO_CHANGE_1,MEAN,QUARTERLY_ROLL,2029/4F,45772,,,'')&lt;/Q&gt;&lt;R&gt;0&lt;/R&gt;&lt;C&gt;0&lt;/C&gt;&lt;/FQL&gt;&lt;FQL&gt;&lt;Q&gt;Ticker0024^FE_ESTIMATE(SPEC_NO_CHANGE_1,MEAN,QUARTERLY_ROLL,2029/3F,45772,,,'')&lt;/Q&gt;&lt;R&gt;0&lt;/R&gt;&lt;C&gt;0&lt;/C&gt;&lt;/FQL&gt;&lt;FQL&gt;&lt;Q&gt;Ticker0024^FE_ESTIMATE(SPEC_NO_CHANGE_1,MEAN,QUARTERLY_ROLL,2029/2F,45772,,,'')&lt;/Q&gt;&lt;R&gt;0&lt;/R&gt;&lt;C&gt;0&lt;/C&gt;&lt;/FQL&gt;&lt;FQL&gt;&lt;Q&gt;Ticker0024^FE_ESTIMATE(SPEC_NO_CHANGE_1,MEAN,QUARTERLY_ROLL,2029/1F,45772,,,'')&lt;/Q&gt;&lt;R&gt;0&lt;/R&gt;&lt;C&gt;0&lt;/C&gt;&lt;/FQL&gt;&lt;FQL&gt;&lt;Q&gt;Ticker0024^FE_ESTIMATE(SPEC_NO_CHANGE_1,MEAN,ANNUAL_ROLL,2028,45772,,,'')&lt;/Q&gt;&lt;R&gt;0&lt;/R&gt;&lt;C&gt;0&lt;/C&gt;&lt;/FQL&gt;&lt;FQL&gt;&lt;Q&gt;Ticker0024^FE_ESTIMATE(SPEC_NO_CHANGE_1,MEAN,QUARTERLY_ROLL,2028/4F,45772,,,'')&lt;/Q&gt;&lt;R&gt;0&lt;/R&gt;&lt;C&gt;0&lt;/C&gt;&lt;/FQL&gt;&lt;FQL&gt;&lt;Q&gt;Ticker0024^FE_ESTIMATE(SPEC_NO_CHANGE_1,MEAN,QUARTERLY_ROLL,2028/3F,45772,,,'')&lt;/Q&gt;&lt;R&gt;0&lt;/R&gt;&lt;C&gt;0&lt;/C&gt;&lt;/FQL&gt;&lt;FQL&gt;&lt;Q&gt;Ticker0024^FE_ESTIMATE(SPEC_NO_CHANGE_1,MEAN,QUARTERLY_ROLL,2028/2F,45772,,,'')&lt;/Q&gt;&lt;R&gt;0&lt;/R&gt;&lt;C&gt;0&lt;/C&gt;&lt;/FQL&gt;&lt;FQL&gt;&lt;Q&gt;Ticker0024^FE_ESTIMATE(SPEC_NO_CHANGE_1,MEAN,QUARTERLY_ROLL,2028/1F,45772,,,'')&lt;/Q&gt;&lt;R&gt;0&lt;/R&gt;&lt;C&gt;0&lt;/C&gt;&lt;/FQL&gt;&lt;FQL&gt;&lt;Q&gt;Ticker0024^FE_ESTIMATE(SPEC_NO_CHANGE_1,MEAN,ANNUAL_ROLL,2027,45772,,,'')&lt;/Q&gt;&lt;R&gt;0&lt;/R&gt;&lt;C&gt;0&lt;/C&gt;&lt;/FQL&gt;&lt;FQL&gt;&lt;Q&gt;Ticker0024^FE_ESTIMATE(SPEC_NO_CHANGE_1,MEAN,QUARTERLY_ROLL,2027/4F,45772,,,'')&lt;/Q&gt;&lt;R&gt;0&lt;/R&gt;&lt;C&gt;0&lt;/C&gt;&lt;/FQL&gt;&lt;FQL&gt;&lt;Q&gt;Ticker0024^FE_ESTIMATE(SPEC_NO_CHANGE_1,MEAN,QUARTERLY_ROLL,2027/3F,45772,,,'')&lt;/Q&gt;&lt;R&gt;0&lt;/R&gt;&lt;C&gt;0&lt;/C&gt;&lt;/FQL&gt;&lt;FQL&gt;&lt;Q&gt;Ticker0024^FE_ESTIMATE(SPEC_NO_CHANGE_1,MEAN,QUARTERLY_ROLL,2027/2F,45772,,,'')&lt;/Q&gt;&lt;R&gt;0&lt;/R&gt;&lt;C&gt;0&lt;/C&gt;&lt;/FQL&gt;&lt;FQL&gt;&lt;Q&gt;Ticker0024^FE_ESTIMATE(SPEC_NO_CHANGE_1,MEAN,QUARTERLY_ROLL,2027/1F,45772,,,'')&lt;/Q&gt;&lt;R&gt;0&lt;/R&gt;&lt;C&gt;0&lt;/C&gt;&lt;/FQL&gt;&lt;FQL&gt;&lt;Q&gt;Ticker0024^FE_ESTIMATE(SPEC_NO_CHANGE_1,MEAN,ANNUAL_ROLL,2026,45772,,,'')&lt;/Q&gt;&lt;R&gt;1&lt;/R&gt;&lt;C&gt;1&lt;/C&gt;&lt;D xsi:type="xsd:double"&gt;31.866667&lt;/D&gt;&lt;/FQL&gt;&lt;FQL&gt;&lt;Q&gt;Ticker0024^FE_ESTIMATE(SPEC_NO_CHANGE_1,MEAN,QUARTERLY_ROLL,2026/4F,45772,,,'')&lt;/Q&gt;&lt;R&gt;1&lt;/R&gt;&lt;C&gt;1&lt;/C&gt;&lt;D xsi:type="xsd:double"&gt;30.933332&lt;/D&gt;&lt;/FQL&gt;&lt;FQL&gt;&lt;Q&gt;Ticker0024^FE_ESTIMATE(SPEC_NO_CHANGE_1,MEAN,QUARTERLY_ROLL,2026/3F,45772,,,'')&lt;/Q&gt;&lt;R&gt;1&lt;/R&gt;&lt;C&gt;1&lt;/C&gt;&lt;D xsi:type="xsd:double"&gt;31.566668&lt;/D&gt;&lt;/FQL&gt;&lt;FQL&gt;&lt;Q&gt;Ticker0024^FE_ESTIMATE(SPEC_NO_CHANGE_1,MEAN,QUARTERLY_ROLL,2026/2F,45772,,,'')&lt;/Q&gt;&lt;R&gt;1&lt;/R&gt;&lt;C&gt;1&lt;/C&gt;&lt;D xsi:type="xsd:double"&gt;31.566668&lt;/D&gt;&lt;/FQL&gt;&lt;FQL&gt;&lt;Q&gt;Ticker0024^FE_ESTIMATE(SPEC_NO_CHANGE_1,MEAN,QUARTERLY_ROLL,2026/1F,45772,,,'')&lt;/Q&gt;&lt;R&gt;1&lt;/R&gt;&lt;C&gt;1&lt;/C&gt;&lt;D xsi:type="xsd:double"&gt;32.966667&lt;/D&gt;&lt;/FQL&gt;&lt;FQL&gt;&lt;Q&gt;Ticker0024^FE_ESTIMATE(SPEC_NO_CHANGE_1,MEAN,ANNUAL_ROLL,2025,45772,,,'')&lt;/Q&gt;&lt;R&gt;1&lt;/R&gt;&lt;C&gt;1&lt;/C&gt;&lt;D xsi:type="xsd:double"&gt;31.833334&lt;/D&gt;&lt;/FQL&gt;&lt;FQL&gt;&lt;Q&gt;Ticker0024^FE_ESTIMATE(SPEC_NO_CHANGE_1,MEAN,QUARTERLY_ROLL,2025/4F,45772,,,'')&lt;/Q&gt;&lt;R&gt;1&lt;/R&gt;&lt;C&gt;1&lt;/C&gt;&lt;D xsi:type="xsd:double"&gt;33.266666&lt;/D&gt;&lt;/FQL&gt;&lt;FQL&gt;&lt;Q&gt;Ticker0024^FE_ESTIMATE(SPEC_NO_CHANGE_1,MEAN,QUARTERLY_ROLL,2025/3F,45772,,,'')&lt;/Q&gt;&lt;R&gt;1&lt;/R&gt;&lt;C&gt;1&lt;/C&gt;&lt;D xsi:type="xsd:double"&gt;30.166666&lt;/D&gt;&lt;/FQL&gt;&lt;FQL&gt;&lt;Q&gt;Ticker0024^FE_ESTIMATE(SPEC_NO_CHANGE_1,MEAN,QUARTERLY_ROLL,2025/2F,45772,,,'')&lt;/Q&gt;&lt;R&gt;1&lt;/R&gt;&lt;C&gt;1&lt;/C&gt;&lt;D xsi:type="xsd:double"&gt;31&lt;/D&gt;&lt;/FQL&gt;&lt;FQL&gt;&lt;Q&gt;Ticker0024^FE_ESTIMATE(SPEC_NO_CHANGE_1,MEAN,QUARTERLY_ROLL,2025/1F,45772,,,'')&lt;/Q&gt;&lt;R&gt;1&lt;/R&gt;&lt;C&gt;1&lt;/C&gt;&lt;D xsi:type="xsd:double"&gt;31.05&lt;/D&gt;&lt;/FQL&gt;&lt;FQL&gt;&lt;Q&gt;Ticker0024^FE_ESTIMATE(SPEC_NO_CHANGE_1,MEAN,ANNUAL_ROLL,2024,45772,,,'')&lt;/Q&gt;&lt;R&gt;1&lt;/R&gt;&lt;C&gt;1&lt;/C&gt;&lt;D xsi:type="xsd:double"&gt;29.966667&lt;/D&gt;&lt;/FQL&gt;&lt;FQL&gt;&lt;Q&gt;Ticker0024^FE_ESTIMATE(SPEC_NO_CHANGE_1,MEAN,QUARTERLY_ROLL,2024/4F,45772,,,'')&lt;/Q&gt;&lt;R&gt;1&lt;/R&gt;&lt;C&gt;1&lt;/C&gt;&lt;D xsi:type="xsd:double"&gt;28.933332&lt;/D&gt;&lt;/FQL&gt;&lt;FQL&gt;&lt;Q&gt;Ticker0024^FE_ESTIMATE(SPEC_NO_CHANGE_1,MEAN,QUARTERLY_ROLL,2024/3F,45772,,,'')&lt;/Q&gt;&lt;R&gt;1&lt;/R&gt;&lt;C&gt;1&lt;/C&gt;&lt;D xsi:type="xsd:double"&gt;31.02&lt;/D&gt;&lt;/FQL&gt;&lt;FQL&gt;&lt;Q&gt;Ticker0024^FE_ESTIMATE(SPEC_NO_CHANGE_1,MEAN,QUARTERLY_ROLL,2024/2F,45772,,,'')&lt;/Q&gt;&lt;R&gt;1&lt;/R&gt;&lt;C&gt;1&lt;/C&gt;&lt;D xsi:type="xsd:double"&gt;30.06&lt;/D&gt;&lt;/FQL&gt;&lt;FQL&gt;&lt;Q&gt;Ticker0024^FE_ESTIMATE(SPEC_NO_CHANGE_1,MEAN,QUARTERLY_ROLL,2024/1F,45772,,,'')&lt;/Q&gt;&lt;R&gt;1&lt;/R&gt;&lt;C&gt;1&lt;/C&gt;&lt;D xsi:type="xsd:double"&gt;29.066668&lt;/D&gt;&lt;/FQL&gt;&lt;FQL&gt;&lt;Q&gt;Ticker0024^FE_ESTIMATE(SPEC_NO_CHANGE_1,MEAN,ANNUAL_ROLL,2023,45772,,,'')&lt;/Q&gt;&lt;R&gt;1&lt;/R&gt;&lt;C&gt;1&lt;/C&gt;&lt;D xsi:type="xsd:double"&gt;29.166666&lt;/D&gt;&lt;/FQL&gt;&lt;FQL&gt;&lt;Q&gt;Ticker0024^FE_ESTIMATE(SPEC_NO_CHANGE_1,MEAN,QUARTERLY_ROLL,2023/4F,45772,,,'')&lt;/Q&gt;&lt;R&gt;1&lt;/R&gt;&lt;C&gt;1&lt;/C&gt;&lt;D xsi:type="xsd:double"&gt;25.916666&lt;/D&gt;&lt;/FQL&gt;&lt;FQL&gt;&lt;Q&gt;Ticker0024^FE_ESTIMATE(SPEC_NO_CHANGE_1,MEAN,QUARTERLY_ROLL,2023/3F,45772,,,'')&lt;/Q&gt;&lt;R&gt;1&lt;/R&gt;&lt;C&gt;1&lt;/C&gt;&lt;D xsi:type="xsd:double"&gt;27.766666&lt;/D&gt;&lt;/FQL&gt;&lt;FQL&gt;&lt;Q&gt;Ticker0024^FE_ESTIMATE(SPEC_NO_CHANGE_1,MEAN,QUARTERLY_ROLL,2023/2F,45772,,,'')&lt;/Q&gt;&lt;R&gt;1&lt;/R&gt;&lt;C&gt;1&lt;/C&gt;&lt;D xsi:type="xsd:double"&gt;31&lt;/D&gt;&lt;/FQL&gt;&lt;FQL&gt;&lt;Q&gt;Ticker0024^FE_ESTIMATE(SPEC_NO_CHANGE_1,MEAN,QUARTERLY_ROLL,2023/1F,45772,,,'')&lt;/Q&gt;&lt;R&gt;1&lt;/R&gt;&lt;C&gt;1&lt;/C&gt;&lt;D xsi:type="xsd:double"&gt;35&lt;/D&gt;&lt;/FQL&gt;&lt;FQL&gt;&lt;Q&gt;Ticker0024^FE_ESTIMATE(SPEC_NO_CHANGE_1,MEAN,ANNUAL_ROLL,2022,45772,,,'')&lt;/Q&gt;&lt;R&gt;1&lt;/R&gt;&lt;C&gt;1&lt;/C&gt;&lt;D xsi:type="xsd:double"&gt;45.05&lt;/D&gt;&lt;/FQL&gt;&lt;FQL&gt;&lt;Q&gt;Ticker0024^FE_ESTIMATE(SPEC_NO_CHANGE_1,MEAN,QUARTERLY_ROLL,2022/4F,45772,,,'')&lt;/Q&gt;&lt;R&gt;1&lt;/R&gt;&lt;C&gt;1&lt;/C&gt;&lt;D xsi:type="xsd:double"&gt;40&lt;/D&gt;&lt;/FQL&gt;&lt;FQL&gt;&lt;Q&gt;Ticker0024^FE_ESTIMATE(SPEC_NO_CHANGE_1,MEAN,QUARTERLY_ROLL,2022/3F,45772,,,'')&lt;/Q&gt;&lt;R&gt;1&lt;/R&gt;&lt;C&gt;1&lt;/C&gt;&lt;D xsi:type="xsd:double"&gt;46&lt;/D&gt;&lt;/FQL&gt;&lt;FQL&gt;&lt;Q&gt;Ticker0024^FE_ESTIMATE(SPEC_NO_CHANGE_1,MEAN,QUARTERLY_ROLL,2022/2F,45772,,,'')&lt;/Q&gt;&lt;R&gt;1&lt;/R&gt;&lt;C&gt;1&lt;/C&gt;&lt;D xsi:type="xsd:double"&gt;46&lt;/D&gt;&lt;/FQL&gt;&lt;FQL&gt;&lt;Q&gt;Ticker0024^FE_ESTIMATE(SPEC_NO_CHANGE_1,MEAN,QUARTERLY_ROLL,2022/1F,45772,,,'')&lt;/Q&gt;&lt;R&gt;1&lt;/R&gt;&lt;C&gt;1&lt;/C&gt;&lt;D xsi:type="xsd:double"&gt;50&lt;/D&gt;&lt;/FQL&gt;&lt;FQL&gt;&lt;Q&gt;Ticker0024^FE_ESTIMATE(SPEC_NO_CHANGE_1,MEAN,ANNUAL_ROLL,2021,45772,,,'')&lt;/Q&gt;&lt;R&gt;1&lt;/R&gt;&lt;C&gt;1&lt;/C&gt;&lt;D xsi:type="xsd:double"&gt;49.8&lt;/D&gt;&lt;/FQL&gt;&lt;FQL&gt;&lt;Q&gt;Ticker0024^FE_ESTIMATE(SPEC_NO_CHANGE_1,MEAN,QUARTERLY_ROLL,2021/4F,45772,,,'')&lt;/Q&gt;&lt;R&gt;1&lt;/R&gt;&lt;C&gt;1&lt;/C&gt;&lt;D xsi:type="xsd:double"&gt;51&lt;/D&gt;&lt;/FQL&gt;&lt;FQL&gt;&lt;Q&gt;Ticker0024^FE_ESTIMATE(SPEC_NO_CHANGE_1,MEAN,QUARTERLY_ROLL,2021/3F,45772,,,'')&lt;/Q&gt;&lt;R&gt;1&lt;/R&gt;&lt;C&gt;1&lt;/C&gt;&lt;D xsi:type="xsd:double"&gt;50&lt;/D&gt;&lt;/FQL&gt;&lt;FQL&gt;&lt;Q&gt;Ticker0024^FE_ESTIMATE(SPEC_NO_CHANGE_1,MEAN,QUARTERLY_ROLL,2021/2F,45772,,,'')&lt;/Q&gt;&lt;R&gt;1&lt;/R&gt;&lt;C&gt;1&lt;/C&gt;&lt;D xsi:type="xsd:double"&gt;50&lt;/D&gt;&lt;/FQL&gt;&lt;FQL&gt;&lt;Q&gt;Ticker0024^FE_ESTIMATE(SPEC_NO_CHANGE_1,MEAN,QUARTERLY_ROLL,2021/1F,45772,,,'')&lt;/Q&gt;&lt;R&gt;1&lt;/R&gt;&lt;C&gt;1&lt;/C&gt;&lt;D xsi:type="xsd:double"&gt;48&lt;/D&gt;&lt;/FQL&gt;&lt;FQL&gt;&lt;Q&gt;Ticker0024^FE_ESTIMATE(SPEC_NO_CHANGE_1,MEAN,ANNUAL_ROLL,2020,45772,,,'')&lt;/Q&gt;&lt;R&gt;0&lt;/R&gt;&lt;C&gt;0&lt;/C&gt;&lt;/FQL&gt;&lt;FQL&gt;&lt;Q&gt;Ticker0024^FE_ESTIMATE(SPEC_NO_CHANGE_1,MEAN,QUARTERLY_ROLL,2020/4F,45772,,,'')&lt;/Q&gt;&lt;R&gt;0&lt;/R&gt;&lt;C&gt;0&lt;/C&gt;&lt;/FQL&gt;&lt;FQL&gt;&lt;Q&gt;Ticker0024^FE_ESTIMATE(SPEC_NO_CHANGE_1,MEAN,QUARTERLY_ROLL,2020/3F,45772,,,'')&lt;/Q&gt;&lt;R&gt;0&lt;/R&gt;&lt;C&gt;0&lt;/C&gt;&lt;/FQL&gt;&lt;FQL&gt;&lt;Q&gt;Ticker0024^FE_ESTIMATE(SPEC_NO_CHANGE_1,MEAN,QUARTERLY_ROLL,2020/2F,45772,,,'')&lt;/Q&gt;&lt;R&gt;0&lt;/R&gt;&lt;C&gt;0&lt;/C&gt;&lt;/FQL&gt;&lt;FQL&gt;&lt;Q&gt;Ticker0024^FE_ESTIMATE(SPEC_NO_CHANGE_1,MEAN,QUARTERLY_ROLL,2020/1F,45772,,,'')&lt;/Q&gt;&lt;R&gt;0&lt;/R&gt;&lt;C&gt;0&lt;/C&gt;&lt;/FQL&gt;&lt;FQL&gt;&lt;Q&gt;Ticker0024^FE_ESTIMATE(SPEC_NO_CHANGE_1,MEAN,ANNUAL_ROLL,2019,45772,,,'')&lt;/Q&gt;&lt;R&gt;0&lt;/R&gt;&lt;C&gt;0&lt;/C&gt;&lt;/FQL&gt;&lt;FQL&gt;&lt;Q&gt;Ticker0024^FE_ESTIMATE(SPEC_NO_CHANGE_1,MEAN,QUARTERLY_ROLL,2019/4F,45772,,,'')&lt;/Q&gt;&lt;R&gt;0&lt;/R&gt;&lt;C&gt;0&lt;/C&gt;&lt;/FQL&gt;&lt;FQL&gt;&lt;Q&gt;Ticker0024^FE_ESTIMATE(SPEC_NO_CHANGE_1,MEAN,QUARTERLY_ROLL,2019/3F,45772,,,'')&lt;/Q&gt;&lt;R&gt;0&lt;/R&gt;&lt;C&gt;0&lt;/C&gt;&lt;/FQL&gt;&lt;FQL&gt;&lt;Q&gt;Ticker0024^FE_ESTIMATE(SPEC_NO_CHANGE_1,MEAN,QUARTERLY_ROLL,2019/2F,45772,,,'')&lt;/Q&gt;&lt;R&gt;0&lt;/R&gt;&lt;C&gt;0&lt;/C&gt;&lt;/FQL&gt;&lt;FQL&gt;&lt;Q&gt;Ticker0024^FE_ESTIMATE(SPEC_NO_CHANGE_1,MEAN,QUARTERLY_ROLL,2019/1F,45772,,,'')&lt;/Q&gt;&lt;R&gt;0&lt;/R&gt;&lt;C&gt;0&lt;/C&gt;&lt;/FQL&gt;&lt;FQL&gt;&lt;Q&gt;Ticker0024^FE_ESTIMATE(SPEC_NO_CHANGE_1,MEAN,ANNUAL_ROLL,2018,45772,,,'')&lt;/Q&gt;&lt;R&gt;0&lt;/R&gt;&lt;C&gt;0&lt;/C&gt;&lt;/FQL&gt;&lt;FQL&gt;&lt;Q&gt;Ticker0024^FE_ESTIMATE(SPEC_NO_CHANGE_1,MEAN,QUARTERLY_ROLL,2018/4F,45772,,,'')&lt;/Q&gt;&lt;R&gt;0&lt;/R&gt;&lt;C&gt;0&lt;/C&gt;&lt;/FQL&gt;&lt;FQL&gt;&lt;Q&gt;Ticker0024^FE_ESTIMATE(SPEC_NO_CHANGE_1,MEAN,QUARTERLY_ROLL,2018/3F,45772,,,'')&lt;/Q&gt;&lt;R&gt;0&lt;/R&gt;&lt;C&gt;0&lt;/C&gt;&lt;/FQL&gt;&lt;FQL&gt;&lt;Q&gt;Ticker0024^FE_ESTIMATE(SPEC_NO_CHANGE_1,MEAN,QUARTERLY_ROLL,2018/2F,45772,,,'')&lt;/Q&gt;&lt;R&gt;0&lt;/R&gt;&lt;C&gt;0&lt;/C&gt;&lt;/FQL&gt;&lt;FQL&gt;&lt;Q&gt;Ticker0024^FE_ESTIMATE(SPEC_NO_CHANGE_1,MEAN,QUARTERLY_ROLL,2018/1F,45772,,,'')&lt;/Q&gt;&lt;R&gt;0&lt;/R&gt;&lt;C&gt;0&lt;/C&gt;&lt;/FQL&gt;&lt;FQL&gt;&lt;Q&gt;Ticker0024^FE_ESTIMATE(SPEC_NO_CHANGE_1,MEAN,ANNUAL_ROLL,2017,45772,,,'')&lt;/Q&gt;&lt;R&gt;0&lt;/R&gt;&lt;C&gt;0&lt;/C&gt;&lt;/FQL&gt;&lt;FQL&gt;&lt;Q&gt;Ticker0024^FE_ESTIMATE(SPEC_NO_CHANGE_1,MEAN,QUARTERLY_ROLL,2017/4F,45772,,,'')&lt;/Q&gt;&lt;R&gt;0&lt;/R&gt;&lt;C&gt;0&lt;/C&gt;&lt;/FQL&gt;&lt;FQL&gt;&lt;Q&gt;Ticker0024^FE_ESTIMATE(SPEC_NO_CHANGE_1,MEAN,QUARTERLY_ROLL,2017/3F,45772,,,'')&lt;/Q&gt;&lt;R&gt;0&lt;/R&gt;&lt;C&gt;0&lt;/C&gt;&lt;/FQL&gt;&lt;FQL&gt;&lt;Q&gt;Ticker0024^FE_ESTIMATE(SPEC_NO_CHANGE_1,MEAN,QUARTERLY_ROLL,2017/2F,45772,,,'')&lt;/Q&gt;&lt;R&gt;0&lt;/R&gt;&lt;C&gt;0&lt;/C&gt;&lt;/FQL&gt;&lt;FQL&gt;&lt;Q&gt;Ticker0024^FE_ESTIMATE(SPEC_NO_CHANGE_1,MEAN,QUARTERLY_ROLL,2017/1F,45772,,,'')&lt;/Q&gt;&lt;R&gt;0&lt;/R&gt;&lt;C&gt;0&lt;/C&gt;&lt;/FQL&gt;&lt;FQL&gt;&lt;Q&gt;Ticker0024^FE_ESTIMATE(SPEC_NO_CHANGE_1,MEAN,ANNUAL_ROLL,2016,45772,,,'')&lt;/Q&gt;&lt;R&gt;0&lt;/R&gt;&lt;C&gt;0&lt;/C&gt;&lt;/FQL&gt;&lt;FQL&gt;&lt;Q&gt;Ticker0024^FE_ESTIMATE(SPEC_NO_CHANGE_1,MEAN,QUARTERLY_ROLL,2016/4F,45772,,,'')&lt;/Q&gt;&lt;R&gt;0&lt;/R&gt;&lt;C&gt;0&lt;/C&gt;&lt;/FQL&gt;&lt;FQL&gt;&lt;Q&gt;Ticker0024^FE_ESTIMATE(SPEC_NO_CHANGE_1,MEAN,QUARTERLY_ROLL,2016/3F,45772,,,'')&lt;/Q&gt;&lt;R&gt;0&lt;/R&gt;&lt;C&gt;0&lt;/C&gt;&lt;/FQL&gt;&lt;FQL&gt;&lt;Q&gt;Ticker0024^FE_ESTIMATE(SPEC_NO_CHANGE_1,MEAN,QUARTERLY_ROLL,2016/2F,45772,,,'')&lt;/Q&gt;&lt;R&gt;0&lt;/R&gt;&lt;C&gt;0&lt;/C&gt;&lt;/FQL&gt;&lt;FQL&gt;&lt;Q&gt;Ticker0024^FE_ESTIMATE(SPEC_NO_CHANGE_1,MEAN,QUARTERLY_ROLL,2016/1F,45772,,,'')&lt;/Q&gt;&lt;R&gt;0&lt;/R&gt;&lt;C&gt;0&lt;/C&gt;&lt;/FQL&gt;&lt;FQL&gt;&lt;Q&gt;Ticker0024^FE_ESTIMATE(SPEC_NO_CHANGE_1,MEAN,ANNUAL_ROLL,2015,45772,,,'')&lt;/Q&gt;&lt;R&gt;0&lt;/R&gt;&lt;C&gt;0&lt;/C&gt;&lt;/FQL&gt;&lt;FQL&gt;&lt;Q&gt;Ticker0024^FE_ESTIMATE(SPEC_NO_CHANGE_1,MEAN,QUARTERLY_ROLL,2015/4F,45772,,,'')&lt;/Q&gt;&lt;R&gt;0&lt;/R&gt;&lt;C&gt;0&lt;/C&gt;&lt;/FQL&gt;&lt;FQL&gt;&lt;Q&gt;Ticker0024^FE_ESTIMATE(SPEC_NO_CHANGE_1,MEAN,QUARTERLY_ROLL,2015/3F,45772,,,'')&lt;/Q&gt;&lt;R&gt;0&lt;/R&gt;&lt;C&gt;0&lt;/C&gt;&lt;/FQL&gt;&lt;FQL&gt;&lt;Q&gt;Ticker0024^FE_ESTIMATE(SPEC_NO_CHANGE_1,MEAN,QUARTERLY_ROLL,2015/2F,45772,,,'')&lt;/Q&gt;&lt;R&gt;0&lt;/R&gt;&lt;C&gt;0&lt;/C&gt;&lt;/FQL&gt;&lt;FQL&gt;&lt;Q&gt;Ticker0024^FE_ESTIMATE(SPEC_NO_CHANGE_1,MEAN,QUARTERLY_ROLL,2015/1F,45772,,,'')&lt;/Q&gt;&lt;R&gt;0&lt;/R&gt;&lt;C&gt;0&lt;/C&gt;&lt;/FQL&gt;&lt;FQL&gt;&lt;Q&gt;Ticker0024^FE_ESTIMATE(NEW_ORDERS_VALUE,MEAN,ANNUAL_ROLL,2030,45772,,,'')&lt;/Q&gt;&lt;R&gt;0&lt;/R&gt;&lt;C&gt;0&lt;/C&gt;&lt;/FQL&gt;&lt;FQL&gt;&lt;Q&gt;Ticker0024^FE_ESTIMATE(NEW_ORDERS_VALUE,MEAN,QUARTERLY_ROLL,2030/4F,45772,,,'')&lt;/Q&gt;&lt;R&gt;0&lt;/R&gt;&lt;C&gt;0&lt;/C&gt;&lt;/FQL&gt;&lt;FQL&gt;&lt;Q&gt;Ticker0024^FE_ESTIMATE(NEW_ORDERS_VALUE,MEAN,QUARTERLY_ROLL,2030/3F,45772,,,'')&lt;/Q&gt;&lt;R&gt;0&lt;/R&gt;&lt;C&gt;0&lt;/C&gt;&lt;/FQL&gt;&lt;FQL&gt;&lt;Q&gt;Ticker0024^FE_ESTIMATE(NEW_ORDERS_VALUE,MEAN,QUARTERLY_ROLL,2030/2F,45772,,,'')&lt;/Q&gt;&lt;R&gt;0&lt;/R&gt;&lt;C&gt;0&lt;/C&gt;&lt;/FQL&gt;&lt;FQL&gt;&lt;Q&gt;Ticker0024^FE_ESTIMATE(NEW_ORDERS_VALUE,MEAN,QUARTERLY_ROLL,2030/1F,45772,,,'')&lt;/Q&gt;&lt;R&gt;0&lt;/R&gt;&lt;C&gt;0&lt;/C&gt;&lt;/FQL&gt;&lt;FQL&gt;&lt;Q&gt;Ticker0024^FE_ESTIMATE(NEW_ORDERS_VALUE,MEAN,ANNUAL_ROLL,2029,45772,,,'')&lt;/Q&gt;&lt;R&gt;0&lt;/R&gt;&lt;C&gt;0&lt;/C&gt;&lt;/FQL&gt;&lt;FQL&gt;&lt;Q&gt;Ticker0024^FE_ESTIMATE(NEW_ORDERS_VALUE,MEAN,QUARTERLY_ROLL,2029/4F,45772,,,'')&lt;/Q&gt;&lt;R&gt;0&lt;/R&gt;&lt;C&gt;0&lt;/C&gt;&lt;/FQL&gt;&lt;FQL&gt;&lt;Q&gt;Ticker0024^FE_ESTIMATE(NEW_ORDERS_VALUE,MEAN,QUARTERLY_ROLL,2029/3F,45772,,,'')&lt;/Q&gt;&lt;R&gt;0&lt;/R&gt;&lt;C&gt;0&lt;/C&gt;&lt;/FQL&gt;&lt;FQL&gt;&lt;Q&gt;Ticker0024^FE_ESTIMATE(NEW_ORDERS_VALUE,MEAN,QUARTERLY_ROLL,2029/2F,45772,,,'')&lt;/Q&gt;&lt;R&gt;0&lt;/R&gt;&lt;C&gt;0&lt;/C&gt;&lt;/FQL&gt;&lt;FQL&gt;&lt;Q&gt;Ticker0024^FE_ESTIMATE(NEW_ORDERS_VALUE,MEAN,QUARTERLY_ROLL,2029/1F,45772,,,'')&lt;/Q&gt;&lt;R&gt;0&lt;/R&gt;&lt;C&gt;0&lt;/C&gt;&lt;/FQL&gt;&lt;FQL&gt;&lt;Q&gt;Ticker0024^FE_ESTIMATE(NEW_ORDERS_VALUE,MEAN,ANNUAL_ROLL,2028,45772,,,'')&lt;/Q&gt;&lt;R&gt;0&lt;/R&gt;&lt;C&gt;0&lt;/C&gt;&lt;/FQL&gt;&lt;FQL&gt;&lt;Q&gt;Ticker0024^FE_ESTIMATE(NEW_ORDERS_VALUE,MEAN,QUARTERLY_ROLL,2028/4F,45772,,,'')&lt;/Q&gt;&lt;R&gt;0&lt;/R&gt;&lt;C&gt;0&lt;/C&gt;&lt;/FQL&gt;&lt;FQL&gt;&lt;Q&gt;Ticker0024^FE_ESTIMATE(NEW_ORDERS_VALUE,MEAN,QUARTERLY_ROLL,2028/3F,45772,,,'')&lt;/Q&gt;&lt;R&gt;0&lt;/R&gt;&lt;C&gt;0&lt;/C&gt;&lt;/FQL&gt;&lt;FQL&gt;&lt;Q&gt;Ticker0024^FE_ESTIMATE(NEW_ORDERS_VALUE,MEAN,QUARTERLY_ROLL,2028/2F,45772,,,'')&lt;/Q&gt;&lt;R&gt;0&lt;/R&gt;&lt;C&gt;0&lt;/C&gt;&lt;/FQL&gt;&lt;FQL&gt;&lt;Q&gt;Ticker0024^FE_ESTIMATE(NEW_ORDERS_VALUE,MEAN,QUARTERLY_ROLL,2028/1F,45772,,,'')&lt;/Q&gt;&lt;R&gt;0&lt;/R&gt;&lt;C&gt;0&lt;/C&gt;&lt;/FQL&gt;&lt;FQL&gt;&lt;Q&gt;Ticker0024^FE_ESTIMATE(NEW_ORDERS_VALUE,MEAN,ANNUAL_ROLL,2027,45772,,,'')&lt;/Q&gt;&lt;R&gt;0&lt;/R&gt;&lt;C&gt;0&lt;/C&gt;&lt;/FQL&gt;&lt;FQL&gt;&lt;Q&gt;Ticker0024^FE_ESTIMATE(NEW_ORDERS_VALUE,MEAN,QUARTERLY_ROLL,2027/4F,45772,,,'')&lt;/Q&gt;&lt;R&gt;0&lt;/R&gt;&lt;C&gt;0&lt;/C&gt;&lt;/FQL&gt;&lt;FQL&gt;&lt;Q&gt;Ticker0024^FE_ESTIMATE(NEW_ORDERS_VALUE,MEAN,QUARTERLY_ROLL,2027/3F,45772,,,'')&lt;/Q&gt;&lt;R&gt;0&lt;/R&gt;&lt;C&gt;0&lt;/C&gt;&lt;/FQL&gt;&lt;FQL&gt;&lt;Q&gt;Ticker0024^FE_ESTIMATE(NEW_ORDERS_VALUE,MEAN,QUARTERLY_ROLL,2027/2F,45772,,,'')&lt;/Q&gt;&lt;R&gt;0&lt;/R&gt;&lt;C&gt;0&lt;/C&gt;&lt;/FQL&gt;&lt;FQL&gt;&lt;Q&gt;Ticker0024^FE_ESTIMATE(NEW_ORDERS_VALUE,MEAN,QUARTERLY_ROLL,2027/1F,45772,,,'')&lt;/Q&gt;&lt;R&gt;0&lt;/R&gt;&lt;C&gt;0&lt;/C&gt;&lt;/FQL&gt;&lt;FQL&gt;&lt;Q&gt;Ticker0024^FE_ESTIMATE(NEW_ORDERS_VALUE,MEAN,ANNUAL_ROLL,2026,45772,,,'')&lt;/Q&gt;&lt;R&gt;1&lt;/R&gt;&lt;C&gt;1&lt;/C&gt;&lt;D xsi:type="xsd:double"&gt;313347&lt;/D&gt;&lt;/FQL&gt;&lt;FQL&gt;&lt;Q&gt;Ticker0024^FE_ESTIMATE(NEW_ORDERS_VALUE,MEAN,QUARTERLY_ROLL,2026/4F,45772,,,'')&lt;/Q&gt;&lt;R&gt;0&lt;/R&gt;&lt;C&gt;0&lt;/C&gt;&lt;/FQL&gt;&lt;FQL&gt;&lt;Q&gt;Ticker0024^FE_ESTIMATE(NEW_ORDERS_VALUE,MEAN,QUARTERLY_ROLL,2026/3F,45772,,,'')&lt;/Q&gt;&lt;R&gt;0&lt;/R&gt;&lt;C&gt;0&lt;/C&gt;&lt;/FQL&gt;&lt;FQL&gt;&lt;Q&gt;Ticker0024^FE_ESTIMATE(NEW_ORDERS_VALUE,MEAN,QUARTERLY_ROLL,2026/2F,45772,,,'')&lt;/Q&gt;&lt;R&gt;0&lt;/R&gt;&lt;C&gt;0&lt;/C&gt;&lt;/FQL&gt;&lt;FQL&gt;&lt;Q&gt;Ticker0024^FE_ESTIMATE(NEW_ORDERS_VALUE,MEAN,QUARTERLY_ROLL,2026/1F,45772,,,'')&lt;/Q&gt;&lt;R&gt;0&lt;/R&gt;&lt;C&gt;0&lt;/C&gt;&lt;/FQL&gt;&lt;FQL&gt;&lt;Q&gt;Ticker0024^FE_ESTIMATE(NEW_ORDERS_VALUE,MEAN,ANNUAL_ROLL,2025,45772,,,'')&lt;/Q&gt;&lt;R&gt;1&lt;/R&gt;&lt;C&gt;1&lt;/C&gt;&lt;D xsi:type="xsd:double"&gt;282234&lt;/D&gt;&lt;/FQL&gt;&lt;FQL&gt;&lt;Q&gt;Ticker0024^FE_ESTIMATE(NEW_ORDERS_VALUE,MEAN,QUARTERLY_ROLL,2025/4F,45772,,,'')&lt;/Q&gt;&lt;R&gt;1&lt;/R&gt;&lt;C&gt;1&lt;/C&gt;&lt;D xsi:type="xsd:double"&gt;88306&lt;/D&gt;&lt;/FQL&gt;&lt;FQL&gt;&lt;Q&gt;Ticker0024^FE_ESTIMATE(NEW_ORDERS_VALUE,MEAN,QUARTERLY_ROLL,2025/3F,45772,,,'')&lt;/Q&gt;&lt;R&gt;1&lt;/R&gt;&lt;C&gt;1&lt;/C&gt;&lt;D xsi:type="xsd:double"&gt;74367&lt;/D&gt;&lt;/FQL&gt;&lt;FQL&gt;&lt;Q&gt;Ticker0024^FE_ESTIMATE(NEW_ORDERS_VALUE,MEAN,QUARTERLY_ROLL,2025/2F,45772,,,'')&lt;/Q&gt;&lt;R&gt;1&lt;/R&gt;&lt;C&gt;1&lt;/C&gt;&lt;D xsi:type="xsd:double"&gt;61988&lt;/D&gt;&lt;/FQL&gt;&lt;FQL&gt;&lt;Q&gt;Ticker0024^FE_ESTIMATE(NEW_ORDERS_VALUE,MEAN,QUARTERLY_ROLL,2025/1F,45772,,,'')&lt;/Q&gt;&lt;R&gt;0&lt;/R&gt;&lt;C&gt;0&lt;/C&gt;&lt;/FQL&gt;&lt;FQL&gt;&lt;Q&gt;Ticker0024^FE_ESTIMATE(NEW_ORDERS_VALUE,MEAN,ANNUAL_ROLL,2024,45772,,,'')&lt;/Q&gt;&lt;R&gt;0&lt;/R&gt;&lt;C&gt;0&lt;/C&gt;&lt;/FQL&gt;&lt;FQL&gt;&lt;Q&gt;Ticker0024^FE_ESTIMATE(NEW_ORDERS_VALUE,MEAN,QUARTERLY_ROLL,2024/4F,45772,,,'')&lt;/Q&gt;&lt;R&gt;0&lt;/R&gt;&lt;C&gt;0&lt;/C&gt;&lt;/FQL&gt;&lt;FQL&gt;&lt;Q&gt;Ticker0024^FE_ESTIMATE(NEW_ORDERS_VALUE,MEAN,QUARTERLY_ROLL,2024/3F,45772,,,'')&lt;/Q&gt;&lt;R&gt;0&lt;/R&gt;&lt;C&gt;0&lt;/C&gt;&lt;/FQL&gt;&lt;FQL&gt;&lt;Q&gt;Ticker0024^FE_ESTIMATE(NEW_ORDERS_VALUE,MEAN,QUARTERLY_ROLL,2024/2F,45772,,,'')&lt;/Q&gt;&lt;R&gt;0&lt;/R&gt;&lt;C&gt;0&lt;/C&gt;&lt;/FQL&gt;&lt;FQL&gt;&lt;Q&gt;Ticker0024^FE_ESTIMATE(NEW_ORDERS_VALUE,MEAN,QUARTERLY_ROLL,2024/1F,45772,,,'')&lt;/Q&gt;&lt;R&gt;0&lt;/R&gt;&lt;C&gt;0&lt;/C&gt;&lt;/FQL&gt;&lt;FQL&gt;&lt;Q&gt;Ticker0024^FE_ESTIMATE(NEW_ORDERS_VALUE,MEAN,ANNUAL_ROLL,2023,45772,,,'')&lt;/Q&gt;&lt;R&gt;1&lt;/R&gt;&lt;C&gt;1&lt;/C&gt;&lt;D xsi:type="xsd:double"&gt;217320&lt;/D&gt;&lt;/FQL&gt;&lt;FQL&gt;&lt;Q&gt;Ticker0024^FE_ESTIMATE(NEW_ORDERS_VALUE,MEAN,QUARTERLY_ROLL,2023/4F,45772,,,'')&lt;/Q&gt;&lt;R&gt;1&lt;/R&gt;&lt;C&gt;1&lt;/C&gt;&lt;D xsi:type="xsd:double"&gt;70401&lt;/D&gt;&lt;/FQL&gt;&lt;FQL&gt;&lt;Q&gt;Ticker0024^FE_ESTIMATE(NEW_ORDERS_VALUE,MEAN,QUARTERLY_ROLL,2023/3F,45772,,,'')&lt;/Q&gt;&lt;R&gt;1&lt;/R&gt;&lt;C&gt;1&lt;/C&gt;&lt;D xsi:type="xsd:double"&gt;52832&lt;/D&gt;&lt;/FQL&gt;&lt;FQL&gt;&lt;Q&gt;Ticker0024^FE_ESTIMATE(NEW_ORDERS_VALUE,MEAN,QUARTERLY_ROLL,2023/2F,45772,,,'')&lt;/Q&gt;&lt;R&gt;1&lt;/R&gt;&lt;C&gt;1&lt;/C&gt;&lt;D xsi:type="xsd:double"&gt;48484&lt;/D&gt;&lt;/FQL&gt;&lt;FQL&gt;&lt;Q&gt;Ticker0024^FE_ESTIMATE(NEW_ORDERS_VALUE,MEAN,QUARTERLY_ROLL,2023/1F,45772,,,'')&lt;/Q&gt;&lt;R&gt;1&lt;/R&gt;&lt;C&gt;1&lt;/C&gt;&lt;D xsi:type="xsd:double"&gt;45603&lt;/D&gt;&lt;/FQL&gt;&lt;FQL&gt;&lt;Q&gt;Ticker0024^FE_ESTIMATE(NEW_ORDERS_VALUE,MEAN,ANNUAL_ROLL,2022,45772,,,'')&lt;/Q&gt;&lt;R&gt;1&lt;/R&gt;&lt;C&gt;1&lt;/C&gt;&lt;D xsi:type="xsd:double"&gt;202537&lt;/D&gt;&lt;/FQL&gt;&lt;FQL&gt;&lt;Q&gt;Ticker0024^FE_ESTIMATE(NEW_ORDERS_VALUE,MEAN,QUARTERLY_ROLL,2022/4F,45772,,,'')&lt;/Q&gt;&lt;R&gt;1&lt;/R&gt;&lt;C&gt;1&lt;/C&gt;&lt;D xsi:type="xsd:double"&gt;63477&lt;/D&gt;&lt;/FQL&gt;&lt;FQL&gt;&lt;Q&gt;Ticker0024^FE_ESTIMATE(NEW_ORDERS_VALUE,MEAN,QUARTERLY_ROLL,2022/3F,45772,,,'')&lt;/Q&gt;&lt;R&gt;1&lt;/R&gt;&lt;C&gt;1&lt;/C&gt;&lt;D xsi:type="xsd:double"&gt;49387&lt;/D&gt;&lt;/FQL&gt;&lt;FQL&gt;&lt;Q&gt;Ticker0024^FE_ESTIMATE(NEW_ORDERS_VALUE,MEAN,QUARTERLY_ROLL,2022/2F,45772,,,'')&lt;/Q&gt;&lt;R&gt;1&lt;/R&gt;&lt;C&gt;1&lt;/C&gt;&lt;D xsi:type="xsd:double"&gt;47482&lt;/D&gt;&lt;/FQL&gt;&lt;FQL&gt;&lt;Q&gt;Ticker0024^FE_ESTIMATE(NEW_ORDERS_VALUE,MEAN,QUARTERLY_ROLL,2022/1F,45772,,,'')&lt;/Q&gt;&lt;R&gt;1&lt;/R&gt;&lt;C&gt;1&lt;/C&gt;&lt;D xsi:type="xsd:double"&gt;42191&lt;/D&gt;&lt;/FQL&gt;&lt;FQL&gt;&lt;Q&gt;Ticker0024^FE_ESTIMATE(NEW_ORDERS_VALUE,MEAN,ANNUAL_ROLL,2021,45772,,,'')&lt;/Q&gt;&lt;R&gt;1&lt;/R&gt;&lt;C&gt;1&lt;/C&gt;&lt;D xsi:type="xsd:double"&gt;173049&lt;/D&gt;&lt;/FQL&gt;&lt;FQL&gt;&lt;Q&gt;Ticker0024^FE_ESTIMATE(NEW_ORDERS_VALUE,MEAN,QUARTERLY_ROLL,2021/4F,45772,,,'')&lt;/Q&gt;&lt;R&gt;1&lt;/R&gt;&lt;C&gt;1&lt;/C&gt;&lt;D xsi:type="xsd:double"&gt;57579&lt;/D&gt;&lt;/FQL&gt;&lt;FQL&gt;&lt;Q&gt;Ticker0024^FE_ESTIMATE(NEW_ORDERS_VALUE,MEAN,QUARTERLY_ROLL,2021/3F,45772,,,'')&lt;/Q&gt;&lt;R&gt;1&lt;/R&gt;&lt;C&gt;1&lt;/C&gt;&lt;D xsi:type="xsd:double"&gt;40710.5&lt;/D&gt;&lt;/FQL&gt;&lt;FQL&gt;&lt;Q&gt;Ticker0024^FE_ESTIMATE(NEW_ORDERS_VALUE,MEAN,QUARTERLY_ROLL,2021/2F,45772,,,'')&lt;/Q&gt;&lt;R&gt;1&lt;/R&gt;&lt;C&gt;1&lt;/C&gt;&lt;D xsi:type="xsd:double"&gt;40158&lt;/D&gt;&lt;/FQL&gt;&lt;FQL&gt;&lt;Q&gt;Ticker0024^FE_ESTIMATE(NEW_ORDERS_VALUE,MEAN,QUARTERLY_ROLL,2021/1F,45772,,,'')&lt;/Q&gt;&lt;R&gt;1&lt;/R&gt;&lt;C&gt;1&lt;/C&gt;&lt;D xsi:type="xsd:double"&gt;34160.5&lt;/D&gt;&lt;/FQL&gt;&lt;FQL&gt;&lt;Q&gt;Ticker0024^FE_ESTIMATE(NEW_ORDERS_VALUE,MEAN,ANNUAL_ROLL,2020,45772,,,'')&lt;/Q&gt;&lt;R&gt;0&lt;/R&gt;&lt;C&gt;0&lt;/C&gt;&lt;/FQL&gt;&lt;FQL&gt;&lt;Q&gt;Ticker0024^FE_ESTIMATE(NEW_ORDERS_VALUE,MEAN,QUARTERLY_ROLL,2020/4F,45772,,,'')&lt;/Q&gt;&lt;R&gt;0&lt;/R&gt;&lt;C&gt;0&lt;/C&gt;&lt;/FQL&gt;&lt;FQL&gt;&lt;Q&gt;Ticker0024^FE_ESTIMATE(NEW_ORDERS_VALUE,MEAN,QUARTERLY_ROLL,2020/3F,45772,,,'')&lt;/Q&gt;&lt;R&gt;0&lt;/R&gt;&lt;C&gt;0&lt;/C&gt;&lt;/FQL&gt;&lt;FQL&gt;&lt;Q&gt;Ticker0024^FE_ESTIMATE(NEW_ORDERS_VALUE,MEAN,QUARTERLY_ROLL,2020/2F,45772,,,'')&lt;/Q&gt;&lt;R&gt;1&lt;/R&gt;&lt;C&gt;1&lt;/C&gt;&lt;D xsi:type="xsd:double"&gt;34101&lt;/D&gt;&lt;/FQL&gt;&lt;FQL&gt;&lt;Q&gt;Ticker0024^FE_ESTIMATE(NEW_ORDERS_VALUE,MEAN,QUARTERLY_ROLL,2020/1F,45772,,,'')&lt;/Q&gt;&lt;R&gt;1&lt;/R&gt;&lt;C&gt;1&lt;/C&gt;&lt;D xsi:type="xsd:double"&gt;29875&lt;/D&gt;&lt;/FQL&gt;&lt;FQL&gt;&lt;Q&gt;Ticker0024^FE_ESTIMATE(NEW_ORDERS_VALUE,MEAN,ANNUAL_ROLL,2019,45772,,,'')&lt;/Q&gt;&lt;R&gt;1&lt;/R&gt;&lt;C&gt;1&lt;/C&gt;&lt;D xsi:type="xsd:double"&gt;130329&lt;/D&gt;&lt;/FQL&gt;&lt;FQL&gt;&lt;Q&gt;Ticker0024^FE_ESTIMATE(NEW_ORDERS_VALUE,MEAN,QUARTERLY_ROLL,2019/4F,45772,,,'')&lt;/Q&gt;&lt;R&gt;1&lt;/R&gt;&lt;C&gt;1&lt;/C&gt;&lt;D xsi:type="xsd:double"&gt;42788&lt;/D&gt;&lt;/FQL&gt;&lt;FQL&gt;&lt;Q&gt;Ticker0024^FE_ESTIMATE(NEW_ORDERS_VALUE,MEAN,QUARTERLY_ROLL,2019/3F,45772,,,'')&lt;/Q&gt;&lt;R&gt;1&lt;/R&gt;&lt;C&gt;1&lt;/C&gt;&lt;D xsi:type="xsd:double"&gt;30622&lt;/D&gt;&lt;/FQL&gt;&lt;FQL&gt;&lt;Q&gt;Ticker0024^FE_ESTIMATE(NEW_ORDERS_VALUE,MEAN,QUARTERLY_ROLL,2019/2F,45772,,,'')&lt;/Q&gt;&lt;R&gt;1&lt;/R&gt;&lt;C&gt;1&lt;/C&gt;&lt;D xsi:type="xsd:double"&gt;30313&lt;/D&gt;&lt;/FQL&gt;&lt;FQL&gt;&lt;Q&gt;Ticker0024^FE_ESTIMATE(NEW_ORDERS_VALUE,MEAN,QUARTERLY_ROLL,2019/1F,45772,,,'')&lt;/Q&gt;&lt;R&gt;1&lt;/R&gt;&lt;C&gt;1&lt;/C&gt;&lt;D xsi:type="xsd:double"&gt;26606&lt;/D&gt;&lt;/FQL&gt;&lt;FQL&gt;&lt;Q&gt;Ticker0024^FE_ESTIMATE(NEW_ORDERS_VALUE,MEAN,ANNUAL_ROLL,2018,45772,,,'')&lt;/Q&gt;&lt;R&gt;1&lt;/R&gt;&lt;C&gt;1&lt;/C&gt;&lt;D xsi:type="xsd:double"&gt;116424&lt;/D&gt;&lt;/FQL&gt;&lt;FQL&gt;&lt;Q&gt;Ticker0024^FE_ESTIMATE(NEW_ORDERS_VALUE,MEAN,QUARTERLY_ROLL,2018/4F,45772,,,'')&lt;/Q&gt;&lt;R&gt;1&lt;/R&gt;&lt;C&gt;1&lt;/C&gt;&lt;D xsi:type="xsd:double"&gt;38850&lt;/D&gt;&lt;/FQL&gt;&lt;FQL&gt;&lt;Q&gt;Ticker0024^FE_ESTIMATE(NEW_ORDERS_VALUE,MEAN,QUARTERLY_ROLL,2018/3F,45772,,,'')&lt;/Q&gt;&lt;R&gt;1&lt;/R&gt;&lt;C&gt;1&lt;/C&gt;&lt;D xsi:type="xsd:double"&gt;26965&lt;/D&gt;&lt;/FQL&gt;&lt;FQL&gt;&lt;Q&gt;Ticker0024^FE_ESTIMATE(NEW_ORDERS_VALUE,MEAN,QUARTERLY_ROLL,2018/2F,45772,,,'')&lt;/Q&gt;&lt;R&gt;1&lt;/R&gt;&lt;C&gt;1&lt;/C&gt;&lt;D xsi:type="xsd:double"&gt;27823&lt;/D&gt;&lt;/FQL&gt;&lt;FQL&gt;&lt;Q&gt;Ticker0024^FE_ESTIMATE(NEW_ORDERS_VALUE,MEAN,QUARTERLY_ROLL,2018/1F,45772,,,'')&lt;/Q&gt;&lt;R&gt;1&lt;/R&gt;&lt;C&gt;1&lt;/C&gt;&lt;D xsi:type="xsd:double"&gt;22786&lt;/D&gt;&lt;/FQL&gt;&lt;FQL&gt;&lt;Q&gt;Ticker0024^FE_ESTIMATE(NEW_ORDERS_VALUE,MEAN,ANNUAL_ROLL,2017,45772,,,'')&lt;/Q&gt;&lt;R&gt;1&lt;/R&gt;&lt;C&gt;1&lt;/C&gt;&lt;D xsi:type="xsd:double"&gt;99926&lt;/D&gt;&lt;/FQL&gt;&lt;FQL&gt;&lt;Q&gt;Ticker0024^FE_ESTIMATE(NEW_ORDERS_VALUE,MEAN,QUARTERLY_ROLL,2017/4F,45772,,,'')&lt;/Q&gt;&lt;R&gt;1&lt;/R&gt;&lt;C&gt;1&lt;/C&gt;&lt;D xsi:type="xsd:double"&gt;32063.5&lt;/D&gt;&lt;/FQL&gt;&lt;FQL&gt;&lt;Q&gt;Ticker0024^FE_ESTIMATE(NEW_ORDERS_VALUE,MEAN,QUARTERLY_ROLL,2017/3F,45772,,,'')&lt;/Q&gt;&lt;R&gt;1&lt;/R&gt;&lt;C&gt;1&lt;/C&gt;&lt;D xsi:type="xsd:double"&gt;23144&lt;/D&gt;&lt;/FQL&gt;&lt;FQL&gt;&lt;Q&gt;Ticker0024^FE_ESTIMATE(NEW_ORDERS_VALUE,MEAN,QUARTERLY_ROLL,2017/2F,45772,,,'')&lt;/Q&gt;&lt;R&gt;1&lt;/R&gt;&lt;C&gt;1&lt;/C&gt;&lt;D xsi:type="xsd:double"&gt;26300.666&lt;/D&gt;&lt;/FQL&gt;&lt;FQL&gt;&lt;Q&gt;Ticker0024^FE_ESTIMATE(NEW_ORDERS_VALUE,MEAN,QUARTERLY_ROLL,2017/1F,45772,,,'')&lt;/Q&gt;&lt;R&gt;1&lt;/R&gt;&lt;C&gt;1&lt;/C&gt;&lt;D xsi:type="xsd:double"&gt;21072.5&lt;/D&gt;&lt;/FQL&gt;&lt;FQL&gt;&lt;Q&gt;Ticker0024^FE_ESTIMATE(NEW_ORDERS_VALUE,MEAN,ANNUAL_ROLL,2016,45772,,,'')&lt;/Q&gt;&lt;R&gt;1&lt;/R&gt;&lt;C&gt;1&lt;/C&gt;&lt;D xsi:type="xsd:double"&gt;94769&lt;/D&gt;&lt;/FQL&gt;&lt;FQL&gt;&lt;Q&gt;Ticker0024^FE_ESTIMATE(NEW_ORDERS_VALUE,MEAN,QUARTERLY_ROLL,2016/4F,45772,,,'')&lt;/Q&gt;&lt;R&gt;1&lt;/R&gt;&lt;C&gt;1&lt;/C&gt;&lt;D xsi:type="xsd:double"&gt;29640.5&lt;/D&gt;&lt;/FQL&gt;&lt;FQL&gt;&lt;Q&gt;Ticker0024^FE_ESTIMATE(NEW_ORDERS_VALUE,MEAN,QUARTERLY_ROLL,2016/3F,45772,,,'')&lt;/Q&gt;&lt;R&gt;1&lt;/R&gt;&lt;C&gt;1&lt;/C&gt;&lt;D xsi:type="xsd:double"&gt;22938&lt;/D&gt;&lt;/FQL&gt;&lt;FQL&gt;&lt;Q&gt;Ticker0024^FE_ESTIMATE(NEW_ORDERS_VALUE,MEAN,QUARTERLY_ROLL,2016/2F,45772,,,'')&lt;/Q&gt;&lt;R&gt;0&lt;/R&gt;&lt;C&gt;0&lt;/C&gt;&lt;/FQL&gt;&lt;FQL&gt;&lt;Q&gt;Ticker0024^FE_ESTIMATE(NEW_ORDERS_VALUE,MEAN,QUARTERLY_ROLL,2016/1F,45772,,,'')&lt;/Q&gt;&lt;R&gt;0&lt;/R&gt;&lt;C&gt;0&lt;/C&gt;&lt;/FQL&gt;&lt;FQL&gt;&lt;Q&gt;Ticker0024^FE_ESTIMATE(NEW_ORDERS_VALUE,MEAN,ANNUAL_ROLL,2015,45772,,,'')&lt;/Q&gt;&lt;R&gt;0&lt;/R&gt;&lt;C&gt;0&lt;/C&gt;&lt;/FQL&gt;&lt;FQL&gt;&lt;Q&gt;Ticker0024^FE_ESTIMATE(NEW_ORDERS_VALUE,MEAN,QUARTERLY_ROLL,2015/4F,45772,,,'')&lt;/Q&gt;&lt;R&gt;0&lt;/R&gt;&lt;C&gt;0&lt;/C&gt;&lt;/FQL&gt;&lt;FQL&gt;&lt;Q&gt;Ticker0024^FE_ESTIMATE(NEW_ORDERS_VALUE,MEAN,QUARTERLY_ROLL,2015/3F,45772,,,'')&lt;/Q&gt;&lt;R&gt;0&lt;/R&gt;&lt;C&gt;0&lt;/C&gt;&lt;/FQL&gt;&lt;FQL&gt;&lt;Q&gt;Ticker0024^FE_ESTIMATE(NEW_ORDERS_VALUE,MEAN,QUARTERLY_ROLL,2015/2F,45772,,,'')&lt;/Q&gt;&lt;R&gt;0&lt;/R&gt;&lt;C&gt;0&lt;/C&gt;&lt;/FQL&gt;&lt;FQL&gt;&lt;Q&gt;Ticker0024^FE_ESTIMATE(NEW_ORDERS_VALUE,MEAN,QUARTERLY_ROLL,2015/1F,45772,,,'')&lt;/Q&gt;&lt;R&gt;0&lt;/R&gt;&lt;C&gt;0&lt;/C&gt;&lt;/FQL&gt;&lt;FQL&gt;&lt;Q&gt;Ticker0024^FE_ESTIMATE(DEFREVENUE,MEAN,ANN</t>
        </r>
      </text>
    </comment>
    <comment ref="A35" authorId="0" shapeId="0" xr:uid="{CE29DC72-FD47-4CEE-B6D2-718946440ADA}">
      <text>
        <r>
          <rPr>
            <b/>
            <sz val="9"/>
            <color indexed="81"/>
            <rFont val="Tahoma"/>
            <family val="2"/>
          </rPr>
          <t>Company2792_ROLL,2030,45772,,,'')&lt;/Q&gt;&lt;R&gt;0&lt;/R&gt;&lt;C&gt;0&lt;/C&gt;&lt;/FQL&gt;&lt;FQL&gt;&lt;Q&gt;Ticker0024^FE_ESTIMATE(DEFREVENUE,MEAN,QUARTERLY_ROLL,2030/4F,45772,,,'')&lt;/Q&gt;&lt;R&gt;0&lt;/R&gt;&lt;C&gt;0&lt;/C&gt;&lt;/FQL&gt;&lt;FQL&gt;&lt;Q&gt;Ticker0024^FE_ESTIMATE(DEFREVENUE,MEAN,QUARTERLY_ROLL,2030/3F,45772,,,'')&lt;/Q&gt;&lt;R&gt;0&lt;/R&gt;&lt;C&gt;0&lt;/C&gt;&lt;/FQL&gt;&lt;FQL&gt;&lt;Q&gt;Ticker0024^FE_ESTIMATE(DEFREVENUE,MEAN,QUARTERLY_ROLL,2030/2F,45772,,,'')&lt;/Q&gt;&lt;R&gt;0&lt;/R&gt;&lt;C&gt;0&lt;/C&gt;&lt;/FQL&gt;&lt;FQL&gt;&lt;Q&gt;Ticker0024^FE_ESTIMATE(DEFREVENUE,MEAN,QUARTERLY_ROLL,2030/1F,45772,,,'')&lt;/Q&gt;&lt;R&gt;0&lt;/R&gt;&lt;C&gt;0&lt;/C&gt;&lt;/FQL&gt;&lt;FQL&gt;&lt;Q&gt;Ticker0024^FE_ESTIMATE(DEFREVENUE,MEAN,ANNUAL_ROLL,2029,45772,,,'')&lt;/Q&gt;&lt;R&gt;0&lt;/R&gt;&lt;C&gt;0&lt;/C&gt;&lt;/FQL&gt;&lt;FQL&gt;&lt;Q&gt;Ticker0024^FE_ESTIMATE(DEFREVENUE,MEAN,QUARTERLY_ROLL,2029/4F,45772,,,'')&lt;/Q&gt;&lt;R&gt;0&lt;/R&gt;&lt;C&gt;0&lt;/C&gt;&lt;/FQL&gt;&lt;FQL&gt;&lt;Q&gt;Ticker0024^FE_ESTIMATE(DEFREVENUE,MEAN,QUARTERLY_ROLL,2029/3F,45772,,,'')&lt;/Q&gt;&lt;R&gt;0&lt;/R&gt;&lt;C&gt;0&lt;/C&gt;&lt;/FQL&gt;&lt;FQL&gt;&lt;Q&gt;Ticker0024^FE_ESTIMATE(DEFREVENUE,MEAN,QUARTERLY_ROLL,2029/2F,45772,,,'')&lt;/Q&gt;&lt;R&gt;0&lt;/R&gt;&lt;C&gt;0&lt;/C&gt;&lt;/FQL&gt;&lt;FQL&gt;&lt;Q&gt;Ticker0024^FE_ESTIMATE(DEFREVENUE,MEAN,QUARTERLY_ROLL,2029/1F,45772,,,'')&lt;/Q&gt;&lt;R&gt;0&lt;/R&gt;&lt;C&gt;0&lt;/C&gt;&lt;/FQL&gt;&lt;FQL&gt;&lt;Q&gt;Ticker0024^FE_ESTIMATE(DEFREVENUE,MEAN,ANNUAL_ROLL,2028,45772,,,'')&lt;/Q&gt;&lt;R&gt;0&lt;/R&gt;&lt;C&gt;0&lt;/C&gt;&lt;/FQL&gt;&lt;FQL&gt;&lt;Q&gt;Ticker0024^FE_ESTIMATE(DEFREVENUE,MEAN,QUARTERLY_ROLL,2028/4F,45772,,,'')&lt;/Q&gt;&lt;R&gt;0&lt;/R&gt;&lt;C&gt;0&lt;/C&gt;&lt;/FQL&gt;&lt;FQL&gt;&lt;Q&gt;Ticker0024^FE_ESTIMATE(DEFREVENUE,MEAN,QUARTERLY_ROLL,2028/3F,45772,,,'')&lt;/Q&gt;&lt;R&gt;0&lt;/R&gt;&lt;C&gt;0&lt;/C&gt;&lt;/FQL&gt;&lt;FQL&gt;&lt;Q&gt;Ticker0024^FE_ESTIMATE(DEFREVENUE,MEAN,QUARTERLY_ROLL,2028/2F,45772,,,'')&lt;/Q&gt;&lt;R&gt;0&lt;/R&gt;&lt;C&gt;0&lt;/C&gt;&lt;/FQL&gt;&lt;FQL&gt;&lt;Q&gt;Ticker0024^FE_ESTIMATE(DEFREVENUE,MEAN,QUARTERLY_ROLL,2028/1F,45772,,,'')&lt;/Q&gt;&lt;R&gt;0&lt;/R&gt;&lt;C&gt;0&lt;/C&gt;&lt;/FQL&gt;&lt;FQL&gt;&lt;Q&gt;Ticker0024^FE_ESTIMATE(DEFREVENUE,MEAN,ANNUAL_ROLL,2027,45772,,,'')&lt;/Q&gt;&lt;R&gt;1&lt;/R&gt;&lt;C&gt;1&lt;/C&gt;&lt;D xsi:type="xsd:double"&gt;75930.914&lt;/D&gt;&lt;/FQL&gt;&lt;FQL&gt;&lt;Q&gt;Ticker0024^FE_ESTIMATE(DEFREVENUE,MEAN,QUARTERLY_ROLL,2027/4F,45772,,,'')&lt;/Q&gt;&lt;R&gt;1&lt;/R&gt;&lt;C&gt;1&lt;/C&gt;&lt;D xsi:type="xsd:double"&gt;81174&lt;/D&gt;&lt;/FQL&gt;&lt;FQL&gt;&lt;Q&gt;Ticker0024^FE_ESTIMATE(DEFREVENUE,MEAN,QUARTERLY_ROLL,2027/3F,45772,,,'')&lt;/Q&gt;&lt;R&gt;1&lt;/R&gt;&lt;C&gt;1&lt;/C&gt;&lt;D xsi:type="xsd:double"&gt;60046.5&lt;/D&gt;&lt;/FQL&gt;&lt;FQL&gt;&lt;Q&gt;Ticker0024^FE_ESTIMATE(DEFREVENUE,MEAN,QUARTERLY_ROLL,2027/2F,45772,,,'')&lt;/Q&gt;&lt;R&gt;1&lt;/R&gt;&lt;C&gt;1&lt;/C&gt;&lt;D xsi:type="xsd:double"&gt;61217&lt;/D&gt;&lt;/FQL&gt;&lt;FQL&gt;&lt;Q&gt;Ticker0024^FE_ESTIMATE(DEFREVENUE,MEAN,QUARTERLY_ROLL,2027/1F,45772,,,'')&lt;/Q&gt;&lt;R&gt;1&lt;/R&gt;&lt;C&gt;1&lt;/C&gt;&lt;D xsi:type="xsd:double"&gt;67899.5&lt;/D&gt;&lt;/FQL&gt;&lt;FQL&gt;&lt;Q&gt;Ticker0024^FE_ESTIMATE(DEFREVENUE,MEAN,ANNUAL_ROLL,2026,45772,,,'')&lt;/Q&gt;&lt;R&gt;1&lt;/R&gt;&lt;C&gt;1&lt;/C&gt;&lt;D xsi:type="xsd:double"&gt;71944.27&lt;/D&gt;&lt;/FQL&gt;&lt;FQL&gt;&lt;Q&gt;Ticker0024^FE_ESTIMATE(DEFREVENUE,MEAN,QUARTERLY_ROLL,2026/4F,45772,,,'')&lt;/Q&gt;&lt;R&gt;1&lt;/R&gt;&lt;C&gt;1&lt;/C&gt;&lt;D xsi:type="xsd:double"&gt;72735.6&lt;/D&gt;&lt;/FQL&gt;&lt;FQL&gt;&lt;Q&gt;Ticker0024^FE_ESTIMATE(DEFREVENUE,MEAN,QUARTERLY_ROLL,2026/3F,45772,,,'')&lt;/Q&gt;&lt;R&gt;1&lt;/R&gt;&lt;C&gt;1&lt;/C&gt;&lt;D xsi:type="xsd:double"&gt;53619.2&lt;/D&gt;&lt;/FQL&gt;&lt;FQL&gt;&lt;Q&gt;Ticker0024^FE_ESTIMATE(DEFREVENUE,MEAN,QUARTERLY_ROLL,2026/2F,45772,,,'')&lt;/Q&gt;&lt;R&gt;1&lt;/R&gt;&lt;C&gt;1&lt;/C&gt;&lt;D xsi:type="xsd:double"&gt;54152.6&lt;/D&gt;&lt;/FQL&gt;&lt;FQL&gt;&lt;Q&gt;Ticker0024^FE_ESTIMATE(DEFREVENUE,MEAN,QUARTERLY_ROLL,2026/1F,45772,,,'')&lt;/Q&gt;&lt;R&gt;1&lt;/R&gt;&lt;C&gt;1&lt;/C&gt;&lt;D xsi:type="xsd:double"&gt;60658.4&lt;/D&gt;&lt;/FQL&gt;&lt;FQL&gt;&lt;Q&gt;Ticker0024^FE_ESTIMATE(DEFREVENUE,MEAN,ANNUAL_ROLL,2025,45772,,,'')&lt;/Q&gt;&lt;R&gt;1&lt;/R&gt;&lt;C&gt;1&lt;/C&gt;&lt;D xsi:type="xsd:double"&gt;65362.71&lt;/D&gt;&lt;/FQL&gt;&lt;FQL&gt;&lt;Q&gt;Ticker0024^FE_ESTIMATE(DEFREVENUE,MEAN,QUARTERLY_ROLL,2025/4F,45772,,,'')&lt;/Q&gt;&lt;R&gt;1&lt;/R&gt;&lt;C&gt;1&lt;/C&gt;&lt;D xsi:type="xsd:double"&gt;65032.645&lt;/D&gt;&lt;/FQL&gt;&lt;FQL&gt;&lt;Q&gt;Ticker0024^FE_ESTIMATE(DEFREVENUE,MEAN,QUARTERLY_ROLL,2025/3F,45772,,,'')&lt;/Q&gt;&lt;R&gt;1&lt;/R&gt;&lt;C&gt;1&lt;/C&gt;&lt;D xsi:type="xsd:double"&gt;49016.29&lt;/D&gt;&lt;/FQL&gt;&lt;FQL&gt;&lt;Q&gt;Ticker0024^FE_ESTIMATE(DEFREVENUE,MEAN,QUARTERLY_ROLL,2025/2F,45772,,,'')&lt;/Q&gt;&lt;R&gt;1&lt;/R&gt;&lt;C&gt;1&lt;/C&gt;&lt;D xsi:type="xsd:double"&gt;48045.715&lt;/D&gt;&lt;/FQL&gt;&lt;FQL&gt;&lt;Q&gt;Ticker0024^FE_ESTIMATE(DEFREVENUE,MEAN,QUARTERLY_ROLL,2025/1F,45772,,,'')&lt;/Q&gt;&lt;R&gt;1&lt;/R&gt;&lt;C&gt;1&lt;/C&gt;&lt;D xsi:type="xsd:double"&gt;55689.125&lt;/D&gt;&lt;/FQL&gt;&lt;FQL&gt;&lt;Q&gt;Ticker0024^FE_ESTIMATE(DEFREVENUE,MEAN,ANNUAL_ROLL,2024,45772,,,'')&lt;/Q&gt;&lt;R&gt;1&lt;/R&gt;&lt;C&gt;1&lt;/C&gt;&lt;D xsi:type="xsd:double"&gt;60183.6&lt;/D&gt;&lt;/FQL&gt;&lt;FQL&gt;&lt;Q&gt;Ticker0024^FE_ESTIMATE(DEFREVENUE,MEAN,QUARTERLY_ROLL,2024/4F,45772,,,'')&lt;/Q&gt;&lt;R&gt;1&lt;/R&gt;&lt;C&gt;1&lt;/C&gt;&lt;D xsi:type="xsd:double"&gt;60183.555&lt;/D&gt;&lt;/FQL&gt;&lt;FQL&gt;&lt;Q&gt;Ticker0024^FE_ESTIMATE(DEFREVENUE,MEAN,QUARTERLY_ROLL,2024/3F,45772,,,'')&lt;/Q&gt;&lt;R&gt;1&lt;/R&gt;&lt;C&gt;1&lt;/C&gt;&lt;D xsi:type="xsd:double"&gt;44834&lt;/D&gt;&lt;/FQL&gt;&lt;FQL&gt;&lt;Q&gt;Ticker0024^FE_ESTIMATE(DEFREVENUE,MEAN,QUARTERLY_ROLL,2024/2F,45772,,,'')&lt;/Q&gt;&lt;R&gt;1&lt;/R&gt;&lt;C&gt;1&lt;/C&gt;&lt;D xsi:type="xsd:double"&gt;46034.855&lt;/D&gt;&lt;/FQL&gt;&lt;FQL&gt;&lt;Q&gt;Ticker0024^FE_ESTIMATE(DEFREVENUE,MEAN,QUARTERLY_ROLL,2024/1F,45772,,,'')&lt;/Q&gt;&lt;R&gt;1&lt;/R&gt;&lt;C&gt;1&lt;/C&gt;&lt;D xsi:type="xsd:double"&gt;49188.332&lt;/D&gt;&lt;/FQL&gt;&lt;FQL&gt;&lt;Q&gt;Ticker0024^FE_ESTIMATE(DEFREVENUE,MEAN,ANNUAL_ROLL,2023,45772,,,'')&lt;/Q&gt;&lt;R&gt;1&lt;/R&gt;&lt;C&gt;1&lt;/C&gt;&lt;D xsi:type="xsd:double"&gt;53548&lt;/D&gt;&lt;/FQL&gt;&lt;FQL&gt;&lt;Q&gt;Ticker0024^FE_ESTIMATE(DEFREVENUE,MEAN,QUARTERLY_ROLL,2023/4F,45772,,,'')&lt;/Q&gt;&lt;R&gt;1&lt;/R&gt;&lt;C&gt;1&lt;/C&gt;&lt;D xsi:type="xsd:double"&gt;53812.625&lt;/D&gt;&lt;/FQL&gt;&lt;FQL&gt;&lt;Q&gt;Ticker0024^FE_ESTIMATE(DEFREVENUE,MEAN,QUARTERLY_ROLL,2023/3F,45772,,,'')&lt;/Q&gt;&lt;R&gt;1&lt;/R&gt;&lt;C&gt;1&lt;/C&gt;&lt;D xsi:type="xsd:double"&gt;39600.832&lt;/D&gt;&lt;/FQL&gt;&lt;FQL&gt;&lt;Q&gt;Ticker0024^FE_ESTIMATE(DEFREVENUE,MEAN,QUARTERLY_ROLL,2023/2F,45772,,,'')&lt;/Q&gt;&lt;R&gt;1&lt;/R&gt;&lt;C&gt;1&lt;/C&gt;&lt;D xsi:type="xsd:double"&gt;39625&lt;/D&gt;&lt;/FQL&gt;&lt;FQL&gt;&lt;Q&gt;Ticker0024^FE_ESTIMATE(DEFREVENUE,MEAN,QUARTERLY_ROLL,2023/1F,45772,,,'')&lt;/Q&gt;&lt;R&gt;1&lt;/R&gt;&lt;C&gt;1&lt;/C&gt;&lt;D xsi:type="xsd:double"&gt;43889.145&lt;/D&gt;&lt;/FQL&gt;&lt;FQL&gt;&lt;Q&gt;Ticker0024^FE_ESTIMATE(DEFREVENUE,MEAN,ANNUAL_ROLL,2022,45772,,,'')&lt;/Q&gt;&lt;R&gt;1&lt;/R&gt;&lt;C&gt;1&lt;/C&gt;&lt;D xsi:type="xsd:double"&gt;48121&lt;/D&gt;&lt;/FQL&gt;&lt;FQL&gt;&lt;Q&gt;Ticker0024^FE_ESTIMATE(DEFREVENUE,MEAN,QUARTERLY_ROLL,2022/4F,45772,,,'')&lt;/Q&gt;&lt;R&gt;1&lt;/R&gt;&lt;C&gt;1&lt;/C&gt;&lt;D xsi:type="xsd:double"&gt;48408&lt;/D&gt;&lt;/FQL&gt;&lt;FQL&gt;&lt;Q&gt;Ticker0024^FE_ESTIMATE(DEFREVENUE,MEAN,QUARTERLY_ROLL,2022/3F,45772,,,'')&lt;/Q&gt;&lt;R&gt;1&lt;/R&gt;&lt;C&gt;1&lt;/C&gt;&lt;D xsi:type="xsd:double"&gt;36796&lt;/D&gt;&lt;/FQL&gt;&lt;FQL&gt;&lt;Q&gt;Ticker0024^FE_ESTIMATE(DEFREVENUE,MEAN,QUARTERLY_ROLL,2022/2F,45772,,,'')&lt;/Q&gt;&lt;R&gt;1&lt;/R&gt;&lt;C&gt;1&lt;/C&gt;&lt;D xsi:type="xsd:double"&gt;36769&lt;/D&gt;&lt;/FQL&gt;&lt;FQL&gt;&lt;Q&gt;Ticker0024^FE_ESTIMATE(DEFREVENUE,MEAN,QUARTERLY_ROLL,2022/1F,45772,,,'')&lt;/Q&gt;&lt;R&gt;1&lt;/R&gt;&lt;C&gt;1&lt;/C&gt;&lt;D xsi:type="xsd:double"&gt;41015&lt;/D&gt;&lt;/FQL&gt;&lt;FQL&gt;&lt;Q&gt;Ticker0024^FE_ESTIMATE(DEFREVENUE,MEAN,ANNUAL_ROLL,2021,45772,,,'')&lt;/Q&gt;&lt;R&gt;1&lt;/R&gt;&lt;C&gt;1&lt;/C&gt;&lt;D xsi:type="xsd:double"&gt;44141&lt;/D&gt;&lt;/FQL&gt;&lt;FQL&gt;&lt;Q&gt;Ticker0024^FE_ESTIMATE(DEFREVENUE,MEAN,QUARTERLY_ROLL,2021/4F,45772,,,'')&lt;/Q&gt;&lt;R&gt;1&lt;/R&gt;&lt;C&gt;1&lt;/C&gt;&lt;D xsi:type="xsd:double"&gt;44141&lt;/D&gt;&lt;/FQL&gt;&lt;FQL&gt;&lt;Q&gt;Ticker0024^FE_ESTIMATE(DEFREVENUE,MEAN,QUARTERLY_ROLL,2021/3F,45772,,,'')&lt;/Q&gt;&lt;R&gt;1&lt;/R&gt;&lt;C&gt;1&lt;/C&gt;&lt;D xsi:type="xsd:double"&gt;32714&lt;/D&gt;&lt;/FQL&gt;&lt;FQL&gt;&lt;Q&gt;Ticker0024^FE_ESTIMATE(DEFREVENUE,MEAN,QUARTERLY_ROLL,2021/2F,45772,,,'')&lt;/Q&gt;&lt;R&gt;1&lt;/R&gt;&lt;C&gt;1&lt;/C&gt;&lt;D xsi:type="xsd:double"&gt;33387&lt;/D&gt;&lt;/FQL&gt;&lt;FQL&gt;&lt;Q&gt;Ticker0024^FE_ESTIMATE(DEFREVENUE,MEAN,QUARTERLY_ROLL,2021/1F,45772,,,'')&lt;/Q&gt;&lt;R&gt;1&lt;/R&gt;&lt;C&gt;1&lt;/C&gt;&lt;D xsi:type="xsd:double"&gt;36305&lt;/D&gt;&lt;/FQL&gt;&lt;FQL&gt;&lt;Q&gt;Ticker0024^FE_ESTIMATE(DEFREVENUE,MEAN,ANNUAL_ROLL,2020,45772,,,'')&lt;/Q&gt;&lt;R&gt;1&lt;/R&gt;&lt;C&gt;1&lt;/C&gt;&lt;D xsi:type="xsd:double"&gt;39180&lt;/D&gt;&lt;/FQL&gt;&lt;FQL&gt;&lt;Q&gt;Ticker0024^FE_ESTIMATE(DEFREVENUE,MEAN,QUARTERLY_ROLL,2020/4F,45772,,,'')&lt;/Q&gt;&lt;R&gt;1&lt;/R&gt;&lt;C&gt;1&lt;/C&gt;&lt;D xsi:type="xsd:double"&gt;39180&lt;/D&gt;&lt;/FQL&gt;&lt;FQL&gt;&lt;Q&gt;Ticker0024^FE_ESTIMATE(DEFREVENUE,MEAN,QUARTERLY_ROLL,2020/3F,45772,,,'')&lt;/Q&gt;&lt;R&gt;1&lt;/R&gt;&lt;C&gt;1&lt;/C&gt;&lt;D xsi:type="xsd:double"&gt;30397&lt;/D&gt;&lt;/FQL&gt;&lt;FQL&gt;&lt;Q&gt;Ticker0024^FE_ESTIMATE(DEFREVENUE,MEAN,QUARTERLY_ROLL,2020/2F,45772,,,'')&lt;/Q&gt;&lt;R&gt;1&lt;/R&gt;&lt;C&gt;1&lt;/C&gt;&lt;D xsi:type="xsd:double"&gt;31221&lt;/D&gt;&lt;/FQL&gt;&lt;FQL&gt;&lt;Q&gt;Ticker0024^FE_ESTIMATE(DEFREVENUE,MEAN,QUARTERLY_ROLL,2020/1F,45772,,,'')&lt;/Q&gt;&lt;R&gt;1&lt;/R&gt;&lt;C&gt;1&lt;/C&gt;&lt;D xsi:type="xsd:double"&gt;34026&lt;/D&gt;&lt;/FQL&gt;&lt;FQL&gt;&lt;Q&gt;Ticker0024^FE_ESTIMATE(DEFREVENUE,MEAN,ANNUAL_ROLL,2019,45772,,,'')&lt;/Q&gt;&lt;R&gt;1&lt;/R&gt;&lt;C&gt;1&lt;/C&gt;&lt;D xsi:type="xsd:double"&gt;37206&lt;/D&gt;&lt;/FQL&gt;&lt;FQL&gt;&lt;Q&gt;Ticker0024^FE_ESTIMATE(DEFREVENUE,MEAN,QUARTERLY_ROLL,2019/4F,45772,,,'')&lt;/Q&gt;&lt;R&gt;1&lt;/R&gt;&lt;C&gt;1&lt;/C&gt;&lt;D xsi:type="xsd:double"&gt;37206&lt;/D&gt;&lt;/FQL&gt;&lt;FQL&gt;&lt;Q&gt;Ticker0024^FE_ESTIMATE(DEFREVENUE,MEAN,QUARTERLY_ROLL,2019/3F,45772,,,'')&lt;/Q&gt;&lt;R&gt;1&lt;/R&gt;&lt;C&gt;1&lt;/C&gt;&lt;D xsi:type="xsd:double"&gt;28135&lt;/D&gt;&lt;/FQL&gt;&lt;FQL&gt;&lt;Q&gt;Ticker0024^FE_ESTIMATE(DEFREVENUE,MEAN,QUARTERLY_ROLL,2019/2F,45772,,,'')&lt;/Q&gt;&lt;R&gt;1&lt;/R&gt;&lt;C&gt;1&lt;/C&gt;&lt;D xsi:type="xsd:double"&gt;28084&lt;/D&gt;&lt;/FQL&gt;&lt;FQL&gt;&lt;Q&gt;Ticker0024^FE_ESTIMATE(DEFREVENUE,MEAN,QUARTERLY_ROLL,2019/1F,45772,,,'')&lt;/Q&gt;&lt;R&gt;1&lt;/R&gt;&lt;C&gt;1&lt;/C&gt;&lt;D xsi:type="xsd:double"&gt;30242&lt;/D&gt;&lt;/FQL&gt;&lt;FQL&gt;&lt;Q&gt;Ticker0024^FE_ESTIMATE(DEFREVENUE,MEAN,ANNUAL_ROLL,2018,45772,,,'')&lt;/Q&gt;&lt;R&gt;1&lt;/R&gt;&lt;C&gt;1&lt;/C&gt;&lt;D xsi:type="xsd:double"&gt;32540.1&lt;/D&gt;&lt;/FQL&gt;&lt;FQL&gt;&lt;Q&gt;Ticker0024^FE_ESTIMATE(DEFREVENUE,MEAN,QUARTERLY_ROLL,2018/4F,45772,,,'')&lt;/Q&gt;&lt;R&gt;1&lt;/R&gt;&lt;C&gt;1&lt;/C&gt;&lt;D xsi:type="xsd:double"&gt;32540.1&lt;/D&gt;&lt;/FQL&gt;&lt;FQL&gt;&lt;Q&gt;Ticker0024^FE_ESTIMATE(DEFREVENUE,MEAN,QUARTERLY_ROLL,2018/3F,45772,,,'')&lt;/Q&gt;&lt;R&gt;1&lt;/R&gt;&lt;C&gt;1&lt;/C&gt;&lt;D xsi:type="xsd:double"&gt;23955&lt;/D&gt;&lt;/FQL&gt;&lt;FQL&gt;&lt;Q&gt;Ticker0024^FE_ESTIMATE(DEFREVENUE,MEAN,QUARTERLY_ROLL,2018/2F,45772,,,'')&lt;/Q&gt;&lt;R&gt;1&lt;/R&gt;&lt;C&gt;1&lt;/C&gt;&lt;D xsi:type="xsd:double"&gt;23809&lt;/D&gt;&lt;/FQL&gt;&lt;FQL&gt;&lt;Q&gt;Ticker0024^FE_ESTIMATE(DEFREVENUE,MEAN,QUARTERLY_ROLL,2018/1F,45772,,,'')&lt;/Q&gt;&lt;R&gt;1&lt;/R&gt;&lt;C&gt;1&lt;/C&gt;&lt;D xsi:type="xsd:double"&gt;24904&lt;/D&gt;&lt;/FQL&gt;&lt;FQL&gt;&lt;Q&gt;Ticker0024^FE_ESTIMATE(DEFREVENUE,MEAN,ANNUAL_ROLL,2017,45772,,,'')&lt;/Q&gt;&lt;R&gt;1&lt;/R&gt;&lt;C&gt;1&lt;/C&gt;&lt;D xsi:type="xsd:double"&gt;44479&lt;/D&gt;&lt;/FQL&gt;&lt;FQL&gt;&lt;Q&gt;Ticker0024^FE_ESTIMATE(DEFREVENUE,MEAN,QUARTERLY_ROLL,2017/4F,45772,,,'')&lt;/Q&gt;&lt;R&gt;1&lt;/R&gt;&lt;C&gt;1&lt;/C&gt;&lt;D xsi:type="xsd:double"&gt;44479&lt;/D&gt;&lt;/FQL&gt;&lt;FQL&gt;&lt;Q&gt;Ticker0024^FE_ESTIMATE(DEFREVENUE,MEAN,QUARTERLY_ROLL,2017/3F,45772,,,'')&lt;/Q&gt;&lt;R&gt;1&lt;/R&gt;&lt;C&gt;1&lt;/C&gt;&lt;D xsi:type="xsd:double"&gt;35733&lt;/D&gt;&lt;/FQL&gt;&lt;FQL&gt;&lt;Q&gt;Ticker0024^FE_ESTIMATE(DEFREVENUE,MEAN,QUARTERLY_ROLL,2017/2F,45772,,,'')&lt;/Q&gt;&lt;R&gt;1&lt;/R&gt;&lt;C&gt;1&lt;/C&gt;&lt;D xsi:type="xsd:double"&gt;34587.273&lt;/D&gt;&lt;/FQL&gt;&lt;FQL&gt;&lt;Q&gt;Ticker0024^FE_ESTIMATE(DEFREVENUE,MEAN,QUARTERLY_ROLL,2017/1F,45772,,,'')&lt;/Q&gt;&lt;R&gt;1&lt;/R&gt;&lt;C&gt;1&lt;/C&gt;&lt;D xsi:type="xsd:double"&gt;33588&lt;/D&gt;&lt;/FQL&gt;&lt;FQL&gt;&lt;Q&gt;Ticker0024^FE_ESTIMATE(DEFREVENUE,MEAN,ANNUAL_ROLL,2016,45772,,,'')&lt;/Q&gt;&lt;R&gt;1&lt;/R&gt;&lt;C&gt;1&lt;/C&gt;&lt;D xsi:type="xsd:double"&gt;33909&lt;/D&gt;&lt;/FQL&gt;&lt;FQL&gt;&lt;Q&gt;Ticker0024^FE_ESTIMATE(DEFREVENUE,MEAN,QUARTERLY_ROLL,2016/4F,45772,,,'')&lt;/Q&gt;&lt;R&gt;1&lt;/R&gt;&lt;C&gt;1&lt;/C&gt;&lt;D xsi:type="xsd:double"&gt;33909&lt;/D&gt;&lt;/FQL&gt;&lt;FQL&gt;&lt;Q&gt;Ticker0024^FE_ESTIMATE(DEFREVENUE,MEAN,QUARTERLY_ROLL,2016/3F,45772,,,'')&lt;/Q&gt;&lt;R&gt;1&lt;/R&gt;&lt;C&gt;1&lt;/C&gt;&lt;D xsi:type="xsd:double"&gt;25893&lt;/D&gt;&lt;/FQL&gt;&lt;FQL&gt;&lt;Q&gt;Ticker0024^FE_ESTIMATE(DEFREVENUE,MEAN,QUARTERLY_ROLL,2016/2F,45772,,,'')&lt;/Q&gt;&lt;R&gt;1&lt;/R&gt;&lt;C&gt;1&lt;/C&gt;&lt;D xsi:type="xsd:double"&gt;25031&lt;/D&gt;&lt;/FQL&gt;&lt;FQL&gt;&lt;Q&gt;Ticker0024^FE_ESTIMATE(DEFREVENUE,MEAN,QUARTERLY_ROLL,2016/1F,45772,,,'')&lt;/Q&gt;&lt;R&gt;0&lt;/R&gt;&lt;C&gt;0&lt;/C&gt;&lt;/FQL&gt;&lt;FQL&gt;&lt;Q&gt;Ticker0024^FE_ESTIMATE(DEFREVENUE,MEAN,ANNUAL_ROLL,2015,45772,,,'')&lt;/Q&gt;&lt;R&gt;0&lt;/R&gt;&lt;C&gt;0&lt;/C&gt;&lt;/FQL&gt;&lt;FQL&gt;&lt;Q&gt;Ticker0024^FE_ESTIMATE(DEFREVENUE,MEAN,QUARTERLY_ROLL,2015/4F,45772,,,'')&lt;/Q&gt;&lt;R&gt;0&lt;/R&gt;&lt;C&gt;0&lt;/C&gt;&lt;/FQL&gt;&lt;FQL&gt;&lt;Q&gt;Ticker0024^FE_ESTIMATE(DEFREVENUE,MEAN,QUARTERLY_ROLL,2015/3F,45772,,,'')&lt;/Q&gt;&lt;R&gt;0&lt;/R&gt;&lt;C&gt;0&lt;/C&gt;&lt;/FQL&gt;&lt;FQL&gt;&lt;Q&gt;Ticker0024^FE_ESTIMATE(DEFREVENUE,MEAN,QUARTERLY_ROLL,2015/2F,45772,,,'')&lt;/Q&gt;&lt;R&gt;0&lt;/R&gt;&lt;C&gt;0&lt;/C&gt;&lt;/FQL&gt;&lt;FQL&gt;&lt;Q&gt;Ticker0024^FE_ESTIMATE(DEFREVENUE,MEAN,QUARTERLY_ROLL,2015/1F,45772,,,'')&lt;/Q&gt;&lt;R&gt;0&lt;/R&gt;&lt;C&gt;0&lt;/C&gt;&lt;/FQL&gt;&lt;FQL&gt;&lt;Q&gt;Ticker0024^FE_ESTIMATE(DEFREVENUE_LT,MEAN,ANNUAL_ROLL,2030,45772,,,'')&lt;/Q&gt;&lt;R&gt;0&lt;/R&gt;&lt;C&gt;0&lt;/C&gt;&lt;/FQL&gt;&lt;FQL&gt;&lt;Q&gt;Ticker0024^FE_ESTIMATE(DEFREVENUE_LT,MEAN,QUARTERLY_ROLL,2030/4F,45772,,,'')&lt;/Q&gt;&lt;R&gt;0&lt;/R&gt;&lt;C&gt;0&lt;/C&gt;&lt;/FQL&gt;&lt;FQL&gt;&lt;Q&gt;Ticker0024^FE_ESTIMATE(DEFREVENUE_LT,MEAN,QUARTERLY_ROLL,2030/3F,45772,,,'')&lt;/Q&gt;&lt;R&gt;0&lt;/R&gt;&lt;C&gt;0&lt;/C&gt;&lt;/FQL&gt;&lt;FQL&gt;&lt;Q&gt;Ticker0024^FE_ESTIMATE(DEFREVENUE_LT,MEAN,QUARTERLY_ROLL,2030/2F,45772,,,'')&lt;/Q&gt;&lt;R&gt;0&lt;/R&gt;&lt;C&gt;0&lt;/C&gt;&lt;/FQL&gt;&lt;FQL&gt;&lt;Q&gt;Ticker0024^FE_ESTIMATE(DEFREVENUE_LT,MEAN,QUARTERLY_ROLL,2030/1F,45772,,,'')&lt;/Q&gt;&lt;R&gt;0&lt;/R&gt;&lt;C&gt;0&lt;/C&gt;&lt;/FQL&gt;&lt;FQL&gt;&lt;Q&gt;Ticker0024^FE_ESTIMATE(DEFREVENUE_LT,MEAN,ANNUAL_ROLL,2029,45772,,,'')&lt;/Q&gt;&lt;R&gt;0&lt;/R&gt;&lt;C&gt;0&lt;/C&gt;&lt;/FQL&gt;&lt;FQL&gt;&lt;Q&gt;Ticker0024^FE_ESTIMATE(DEFREVENUE_LT,MEAN,QUARTERLY_ROLL,2029/4F,45772,,,'')&lt;/Q&gt;&lt;R&gt;0&lt;/R&gt;&lt;C&gt;0&lt;/C&gt;&lt;/FQL&gt;&lt;FQL&gt;&lt;Q&gt;Ticker0024^FE_ESTIMATE(DEFREVENUE_LT,MEAN,QUARTERLY_ROLL,2029/3F,45772,,,'')&lt;/Q&gt;&lt;R&gt;0&lt;/R&gt;&lt;C&gt;0&lt;/C&gt;&lt;/FQL&gt;&lt;FQL&gt;&lt;Q&gt;Ticker0024^FE_ESTIMATE(DEFREVENUE_LT,MEAN,QUARTERLY_ROLL,2029/2F,45772,,,'')&lt;/Q&gt;&lt;R&gt;0&lt;/R&gt;&lt;C&gt;0&lt;/C&gt;&lt;/FQL&gt;&lt;FQL&gt;&lt;Q&gt;Ticker0024^FE_ESTIMATE(DEFREVENUE_LT,MEAN,QUARTERLY_ROLL,2029/1F,45772,,,'')&lt;/Q&gt;&lt;R&gt;0&lt;/R&gt;&lt;C&gt;0&lt;/C&gt;&lt;/FQL&gt;&lt;FQL&gt;&lt;Q&gt;Ticker0024^FE_ESTIMATE(DEFREVENUE_LT,MEAN,ANNUAL_ROLL,2028,45772,,,'')&lt;/Q&gt;&lt;R&gt;0&lt;/R&gt;&lt;C&gt;0&lt;/C&gt;&lt;/FQL&gt;&lt;FQL&gt;&lt;Q&gt;Ticker0024^FE_ESTIMATE(DEFREVENUE_LT,MEAN,QUARTERLY_ROLL,2028/4F,45772,,,'')&lt;/Q&gt;&lt;R&gt;0&lt;/R&gt;&lt;C&gt;0&lt;/C&gt;&lt;/FQL&gt;&lt;FQL&gt;&lt;Q&gt;Ticker0024^FE_ESTIMATE(DEFREVENUE_LT,MEAN,QUARTERLY_ROLL,2028/3F,45772,,,'')&lt;/Q&gt;&lt;R&gt;0&lt;/R&gt;&lt;C&gt;0&lt;/C&gt;&lt;/FQL&gt;&lt;FQL&gt;&lt;Q&gt;Ticker0024^FE_ESTIMATE(DEFREVENUE_LT,MEAN,QUARTERLY_ROLL,2028/2F,45772,,,'')&lt;/Q&gt;&lt;R&gt;0&lt;/R&gt;&lt;C&gt;0&lt;/C&gt;&lt;/FQL&gt;&lt;FQL&gt;&lt;Q&gt;Ticker0024^FE_ESTIMATE(DEFREVENUE_LT,MEAN,QUARTERLY_ROLL,2028/1F,45772,,,'')&lt;/Q&gt;&lt;R&gt;0&lt;/R&gt;&lt;C&gt;0&lt;/C&gt;&lt;/FQL&gt;&lt;FQL&gt;&lt;Q&gt;Ticker0024^FE_ESTIMATE(DEFREVENUE_LT,MEAN,ANNUAL_ROLL,2027,45772,,,'')&lt;/Q&gt;&lt;R&gt;1&lt;/R&gt;&lt;C&gt;1&lt;/C&gt;&lt;D xsi:type="xsd:double"&gt;2831.8&lt;/D&gt;&lt;/FQL&gt;&lt;FQL&gt;&lt;Q&gt;Ticker0024^FE_ESTIMATE(DEFREVENUE_LT,MEAN,QUARTERLY_ROLL,2027/4F,45772,,,'')&lt;/Q&gt;&lt;R&gt;1&lt;/R&gt;&lt;C&gt;1&lt;/C&gt;&lt;D xsi:type="xsd:double"&gt;2898.5&lt;/D&gt;&lt;/FQL&gt;&lt;FQL&gt;&lt;Q&gt;Ticker0024^FE_ESTIMATE(DEFREVENUE_LT,MEAN,QUARTERLY_ROLL,2027/3F,45772,,,'')&lt;/Q&gt;&lt;R&gt;1&lt;/R&gt;&lt;C&gt;1&lt;/C&gt;&lt;D xsi:type="xsd:double"&gt;2405.5&lt;/D&gt;&lt;/FQL&gt;&lt;FQL&gt;&lt;Q&gt;Ticker0024^FE_ESTIMATE(DEFREVENUE_LT,MEAN,QUARTERLY_ROLL,2027/2F,45772,,,'')&lt;/Q&gt;&lt;R&gt;1&lt;/R&gt;&lt;C&gt;1&lt;/C&gt;&lt;D xsi:type="xsd:double"&gt;2451.5&lt;/D&gt;&lt;/FQL&gt;&lt;FQL&gt;&lt;Q&gt;Ticker0024^FE_ESTIMATE(DEFREVENUE_LT,MEAN,QUARTERLY_ROLL,2027/1F,45772,,,'')&lt;/Q&gt;&lt;R&gt;1&lt;/R&gt;&lt;C&gt;1&lt;/C&gt;&lt;D xsi:type="xsd:double"&gt;2612&lt;/D&gt;&lt;/FQL&gt;&lt;FQL&gt;&lt;Q&gt;Ticker0024^FE_ESTIMATE(DEFREVENUE_LT,MEAN,ANNUAL_ROLL,2026,45772,,,'')&lt;/Q&gt;&lt;R&gt;1&lt;/R&gt;&lt;C&gt;1&lt;/C&gt;&lt;D xsi:type="xsd:double"&gt;3019.45&lt;/D&gt;&lt;/FQL&gt;&lt;FQL&gt;&lt;Q&gt;Ticker0024^FE_ESTIMATE(DEFREVENUE_LT,MEAN,QUARTERLY_ROLL,2026/4F,45772,,,'')&lt;/Q&gt;&lt;R&gt;1&lt;/R&gt;&lt;C&gt;1&lt;/C&gt;&lt;D xsi:type="xsd:double"&gt;2628.8&lt;/D&gt;&lt;/FQL&gt;&lt;FQL&gt;&lt;Q&gt;Ticker0024^FE_ESTIMATE(DEFREVENUE_LT,MEAN,QUARTERLY_ROLL,2026/3F,45772,,,'')&lt;/Q&gt;&lt;R&gt;1&lt;/R&gt;&lt;C&gt;1&lt;/C&gt;&lt;D xsi:type="xsd:double"&gt;2730.4&lt;/D&gt;&lt;/FQL&gt;&lt;FQL&gt;&lt;Q&gt;Ticker0024^FE_ESTIMATE(DEFREVENUE_LT,MEAN,QUARTERLY_ROLL,2026/2F,45772,,,'')&lt;/Q&gt;&lt;R&gt;1&lt;/R&gt;&lt;C&gt;1&lt;/C&gt;&lt;D xsi:type="xsd:double"&gt;2677.8&lt;/D&gt;&lt;/FQL&gt;&lt;FQL&gt;&lt;Q&gt;Ticker0024^FE_ESTIMATE(DEFREVENUE_LT,MEAN,QUARTERLY_ROLL,2026/1F,45772,,,'')&lt;/Q&gt;&lt;R&gt;1&lt;/R&gt;&lt;C&gt;1&lt;/C&gt;&lt;D xsi:type="xsd:double"&gt;2597.2&lt;/D&gt;&lt;/FQL&gt;&lt;FQL&gt;&lt;Q&gt;Ticker0024^FE_ESTIMATE(DEFREVENUE_LT,MEAN,ANNUAL_ROLL,2025,45772,,,'')&lt;/Q&gt;&lt;R&gt;1&lt;/R&gt;&lt;C&gt;1&lt;/C&gt;&lt;D xsi:type="xsd:double"&gt;2880.4285&lt;/D&gt;&lt;/FQL&gt;&lt;FQL&gt;&lt;Q&gt;Ticker0024^FE_ESTIMATE(DEFREVENUE_LT,MEAN,QUARTERLY_ROLL,2025/4F,45772,,,'')&lt;/Q&gt;&lt;R&gt;1&lt;/R&gt;&lt;C&gt;1&lt;/C&gt;&lt;D xsi:type="xsd:double"&gt;2880.4285&lt;/D&gt;&lt;/FQL&gt;&lt;FQL&gt;&lt;Q&gt;Ticker0024^FE_ESTIMATE(DEFREVENUE_LT,MEAN,QUARTERLY_ROLL,2025/3F,45772,,,'')&lt;/Q&gt;&lt;R&gt;1&lt;/R&gt;&lt;C&gt;1&lt;/C&gt;&lt;D xsi:type="xsd:double"&gt;2842.475&lt;/D&gt;&lt;/FQL&gt;&lt;FQL&gt;&lt;Q&gt;Ticker0024^FE_ESTIMATE(DEFREVENUE_LT,MEAN,QUARTERLY_ROLL,2025/2F,45772,,,'')&lt;/Q&gt;&lt;R&gt;1&lt;/R&gt;&lt;C&gt;1&lt;/C&gt;&lt;D xsi:type="xsd:double"&gt;2537.4285&lt;/D&gt;&lt;/FQL&gt;&lt;FQL&gt;&lt;Q&gt;Ticker0024^FE_ESTIMATE(DEFREVENUE_LT,MEAN,QUARTERLY_ROLL,2025/1F,45772,,,'')&lt;/Q&gt;&lt;R&gt;1&lt;/R&gt;&lt;C&gt;1&lt;/C&gt;&lt;D xsi:type="xsd:double"&gt;2662.6667&lt;/D&gt;&lt;/FQL&gt;&lt;FQL&gt;&lt;Q&gt;Ticker0024^FE_ESTIMATE(DEFREVENUE_LT,MEAN,ANNUAL_ROLL,2024,45772,,,'')&lt;/Q&gt;&lt;R&gt;1&lt;/R&gt;&lt;C&gt;1&lt;/C&gt;&lt;D xsi:type="xsd:double"&gt;2601.75&lt;/D&gt;&lt;/FQL&gt;&lt;FQL&gt;&lt;Q&gt;Ticker0024^FE_ESTIMATE(DEFREVENUE_LT,MEAN,QUARTERLY_ROLL,2024/4F,45772,,,'')&lt;/Q&gt;&lt;R&gt;1&lt;/R&gt;&lt;C&gt;1&lt;/C&gt;&lt;D xsi:type="xsd:double"&gt;2601.75&lt;/D&gt;&lt;/FQL&gt;&lt;FQL&gt;&lt;Q&gt;Ticker0024^FE_ESTIMATE(DEFREVENUE_LT,MEAN,QUARTERLY_ROLL,2024/3F,45772,,,'')&lt;/Q&gt;&lt;R&gt;1&lt;/R&gt;&lt;C&gt;1&lt;/C&gt;&lt;D xsi:type="xsd:double"&gt;2945.7144&lt;/D&gt;&lt;/FQL&gt;&lt;FQL&gt;&lt;Q&gt;Ticker0024^FE_ESTIMATE(DEFREVENUE_LT,MEAN,QUARTERLY_ROLL,2024/2F,45772,,,'')&lt;/Q&gt;&lt;R&gt;1&lt;/R&gt;&lt;C&gt;1&lt;/C&gt;&lt;D xsi:type="xsd:double"&gt;2966.5715&lt;/D&gt;&lt;/FQL&gt;&lt;FQL&gt;&lt;Q&gt;Ticker0024^FE_ESTIMATE(DEFREVENUE_LT,MEAN,QUARTERLY_ROLL,2024/1F,45772,,,'')&lt;/Q&gt;&lt;R&gt;1&lt;/R&gt;&lt;C&gt;1&lt;/C&gt;&lt;D xsi:type="xsd:double"&gt;2759.1428&lt;/D&gt;&lt;/FQL&gt;&lt;FQL&gt;&lt;Q&gt;Ticker0024^FE_ESTIMATE(DEFREVENUE_LT,MEAN,ANNUAL_ROLL,2023,45772,,,'')&lt;/Q&gt;&lt;R&gt;1&lt;/R&gt;&lt;C&gt;1&lt;/C&gt;&lt;D xsi:type="xsd:double"&gt;2911.75&lt;/D&gt;&lt;/FQL&gt;&lt;FQL&gt;&lt;Q&gt;Ticker0024^FE_ESTIMATE(DEFREVENUE_LT,MEAN,QUARTERLY_ROLL,2023/4F,45772,,,'')&lt;/Q&gt;&lt;R&gt;1&lt;/R&gt;&lt;C&gt;1&lt;/C&gt;&lt;D xsi:type="xsd:double"&gt;2911.7144&lt;/D&gt;&lt;/FQL&gt;&lt;FQL&gt;&lt;Q&gt;Ticker0024^FE_ESTIMATE(DEFREVENUE_LT,MEAN,QUARTERLY_ROLL,2023/3F,45772,,,'')&lt;/Q&gt;&lt;R&gt;1&lt;/R&gt;&lt;C&gt;1&lt;/C&gt;&lt;D xsi:type="xsd:double"&gt;2698.3333&lt;/D&gt;&lt;/FQL&gt;&lt;FQL&gt;&lt;Q&gt;Ticker0024^FE_ESTIMATE(DEFREVENUE_LT,MEAN,QUARTERLY_ROLL,2023/2F,45772,,,'')&lt;/Q&gt;&lt;R&gt;1&lt;/R&gt;&lt;C&gt;1&lt;/C&gt;&lt;D xsi:type="xsd:double"&gt;2643.3333&lt;/D&gt;&lt;/FQL&gt;&lt;FQL&gt;&lt;Q&gt;Ticker0024^FE_ESTIMATE(DEFREVENUE_LT,MEAN,QUARTERLY_ROLL,2023/1F,45772,,,'')&lt;/Q&gt;&lt;R&gt;1&lt;/R&gt;&lt;C&gt;1&lt;/C&gt;&lt;D xsi:type="xsd:double"&gt;2549.1428&lt;/D&gt;&lt;/FQL&gt;&lt;FQL&gt;&lt;Q&gt;Ticker0024^FE_ESTIMATE(DEFREVENUE_LT,MEAN,ANNUAL_ROLL,2022,45772,,,'')&lt;/Q&gt;&lt;R&gt;1&lt;/R&gt;&lt;C&gt;1&lt;/C&gt;&lt;D xsi:type="xsd:double"&gt;2870&lt;/D&gt;&lt;/FQL&gt;&lt;FQL&gt;&lt;Q&gt;Ticker0024^FE_ESTIMATE(DEFREVENUE_LT,MEAN,QUARTERLY_ROLL,2022/4F,45772,,,'')&lt;/Q&gt;&lt;R&gt;1&lt;/R&gt;&lt;C&gt;1&lt;/C&gt;&lt;D xsi:type="xsd:double"&gt;2870&lt;/D&gt;&lt;/FQL&gt;&lt;FQL&gt;&lt;Q&gt;Ticker0024^FE_ESTIMATE(DEFREVENUE_LT,MEAN,QUARTERLY_ROLL,2022/3F,45772,,,'')&lt;/Q&gt;&lt;R&gt;1&lt;/R&gt;&lt;C&gt;1&lt;/C&gt;&lt;D xsi:type="xsd:double"&gt;2769&lt;/D&gt;&lt;/FQL&gt;&lt;FQL&gt;&lt;Q&gt;Ticker0024^FE_ESTIMATE(DEFREVENUE_LT,MEAN,QUARTERLY_ROLL,2022/2F,45772,,,'')&lt;/Q&gt;&lt;R&gt;1&lt;/R&gt;&lt;C&gt;1&lt;/C&gt;&lt;D xsi:type="xsd:double"&gt;2768&lt;/D&gt;&lt;/FQL&gt;&lt;FQL&gt;&lt;Q&gt;Ticker0024^FE_ESTIMATE(DEFREVENUE_LT,MEAN,QUARTERLY_ROLL,2022/1F,45772,,,'')&lt;/Q&gt;&lt;R&gt;1&lt;/R&gt;&lt;C&gt;1&lt;/C&gt;&lt;D xsi:type="xsd:double"&gt;2550&lt;/D&gt;&lt;/FQL&gt;&lt;FQL&gt;&lt;Q&gt;Ticker0024^FE_ESTIMATE(DEFREVENUE_LT,MEAN,ANNUAL_ROLL,2021,45772,,,'')&lt;/Q&gt;&lt;R&gt;1&lt;/R&gt;&lt;C&gt;1&lt;/C&gt;&lt;D xsi:type="xsd:double"&gt;2616&lt;/D&gt;&lt;/FQL&gt;&lt;FQL&gt;&lt;Q&gt;Ticker0024^FE_ESTIMATE(DEFREVENUE_LT,MEAN,QUARTERLY_ROLL,2021/4F,45772,,,'')&lt;/Q&gt;&lt;R&gt;1&lt;/R&gt;&lt;C&gt;1&lt;/C&gt;&lt;D xsi:type="xsd:double"&gt;2616&lt;/D&gt;&lt;/FQL&gt;&lt;FQL&gt;&lt;Q&gt;Ticker0024^FE_ESTIMATE(DEFREVENUE_LT,MEAN,QUARTERLY_ROLL,2021/3F,45772,,,'')&lt;/Q&gt;&lt;R&gt;1&lt;/R&gt;&lt;C&gt;1&lt;/C&gt;&lt;D xsi:type="xsd:double"&gt;2631&lt;/D&gt;&lt;/FQL&gt;&lt;FQL&gt;&lt;Q&gt;Ticker0024^FE_ESTIMATE(DEFREVENUE_LT,MEAN,QUARTERLY_ROLL,2021/2F,45772,,,'')&lt;/Q&gt;&lt;R&gt;1&lt;/R&gt;&lt;C&gt;1&lt;/C&gt;&lt;D xsi:type="xsd:double"&gt;2985&lt;/D&gt;&lt;/FQL&gt;&lt;FQL&gt;&lt;Q&gt;Ticker0024^FE_ESTIMATE(DEFREVENUE_LT,MEAN,QUARTERLY_ROLL,2021/1F,45772,,,'')&lt;/Q&gt;&lt;R&gt;1&lt;/R&gt;&lt;C&gt;1&lt;/C&gt;&lt;D xsi:type="xsd:double"&gt;2829&lt;/D&gt;&lt;/FQL&gt;&lt;FQL&gt;&lt;Q&gt;Ticker0024^FE_ESTIMATE(DEFREVENUE_LT,MEAN,ANNUAL_ROLL,2020,45772,,,'')&lt;/Q&gt;&lt;R&gt;1&lt;/R&gt;&lt;C&gt;1&lt;/C&gt;&lt;D xsi:type="xsd:double"&gt;3180&lt;/D&gt;&lt;/FQL&gt;&lt;FQL&gt;&lt;Q&gt;Ticker0024^FE_ESTIMATE(DEFREVENUE_LT,MEAN,QUARTERLY_ROLL,2020/4F,45772,,,'')&lt;/Q&gt;&lt;R&gt;1&lt;/R&gt;&lt;C&gt;1&lt;/C&gt;&lt;D xsi:type="xsd:double"&gt;3180&lt;/D&gt;&lt;/FQL&gt;&lt;FQL&gt;&lt;Q&gt;Ticker0024^FE_ESTIMATE(DEFREVENUE_LT,MEAN,QUARTERLY_ROLL,2020/3F,45772,,,'')&lt;/Q&gt;&lt;R&gt;1&lt;/R&gt;&lt;C&gt;1&lt;/C&gt;&lt;D xsi:type="xsd:double"&gt;3385&lt;/D&gt;&lt;/FQL&gt;&lt;FQL&gt;&lt;Q&gt;Ticker0024^FE_ESTIMATE(DEFREVENUE_LT,MEAN,QUARTERLY_ROLL,2020/2F,45772,,,'')&lt;/Q&gt;&lt;R&gt;1&lt;/R&gt;&lt;C&gt;1&lt;/C&gt;&lt;D xsi:type="xsd:double"&gt;3878&lt;/D&gt;&lt;/FQL&gt;&lt;FQL&gt;&lt;Q&gt;Ticker0024^FE_ESTIMATE(DEFREVENUE_LT,MEAN,QUARTERLY_ROLL,2020/1F,45772,,,'')&lt;/Q&gt;&lt;R&gt;1&lt;/R&gt;&lt;C&gt;1&lt;/C&gt;&lt;D xsi:type="xsd:double"&gt;4122&lt;/D&gt;&lt;/FQL&gt;&lt;FQL&gt;&lt;Q&gt;Ticker0024^FE_ESTIMATE(DEFREVENUE_LT,MEAN,ANNUAL_ROLL,2019,45772,,,'')&lt;/Q&gt;&lt;R&gt;1&lt;/R&gt;&lt;C&gt;1&lt;/C&gt;&lt;D xsi:type="xsd:double"&gt;4530&lt;/D&gt;&lt;/FQL&gt;&lt;FQL&gt;&lt;Q&gt;Ticker0024^FE_ESTIMATE(DEFREVENUE_LT,MEAN,QUARTERLY_ROLL,2019/4F,45772,,,'')&lt;/Q&gt;&lt;R&gt;1&lt;/R&gt;&lt;C&gt;1&lt;/C&gt;&lt;D xsi:type="xsd:double"&gt;4530&lt;/D&gt;&lt;/FQL&gt;&lt;FQL&gt;&lt;Q&gt;Ticker0024^FE_ESTIMATE(DEFREVENUE_LT,MEAN,QUARTERLY_ROLL,2019/3F,45772,,,'')&lt;/Q&gt;&lt;R&gt;1&lt;/R&gt;&lt;C&gt;1&lt;/C&gt;&lt;D xsi:type="xsd:double"&gt;3884&lt;/D&gt;&lt;/FQL&gt;&lt;FQL&gt;&lt;Q&gt;Ticker0024^FE_ESTIMATE(DEFREVENUE_LT,MEAN,QUARTERLY_ROLL,2019/2F,45772,,,'')&lt;/Q&gt;&lt;R&gt;1&lt;/R&gt;&lt;C&gt;1&lt;/C&gt;&lt;D xsi:type="xsd:double"&gt;3799&lt;/D&gt;&lt;/FQL&gt;&lt;FQL&gt;&lt;Q&gt;Ticker0024^FE_ESTIMATE(DEFREVENUE_LT,MEAN,QUARTERLY_ROLL,2019/1F,45772,,,'')&lt;/Q&gt;&lt;R&gt;1&lt;/R&gt;&lt;C&gt;1&lt;/C&gt;&lt;D xsi:type="xsd:double"&gt;3538&lt;/D&gt;&lt;/FQL&gt;&lt;FQL&gt;&lt;Q&gt;Ticker0024^FE_ESTIMATE(DEFREVENUE_LT,MEAN,ANNUAL_ROLL,2018,45772,,,'')&lt;/Q&gt;&lt;R&gt;1&lt;/R&gt;&lt;C&gt;1&lt;/C&gt;&lt;D xsi:type="xsd:double"&gt;3815&lt;/D&gt;&lt;/FQL&gt;&lt;FQL&gt;&lt;Q&gt;Ticker0024^FE_ESTIMATE(DEFREVENUE_LT,MEAN,QUARTERLY_ROLL,2018/4F,45772,,,'')&lt;/Q&gt;&lt;R&gt;1&lt;/R&gt;&lt;C&gt;1&lt;/C&gt;&lt;D xsi:type="xsd:double"&gt;3815&lt;/D&gt;&lt;/FQL&gt;&lt;FQL&gt;&lt;Q&gt;Ticker0024^FE_ESTIMATE(DEFREVENUE_LT,MEAN,QUARTERLY_ROLL,2018/3F,45772,,,'')&lt;/Q&gt;&lt;R&gt;1&lt;/R&gt;&lt;C&gt;1&lt;/C&gt;&lt;D xsi:type="xsd:double"&gt;2585&lt;/D&gt;&lt;/FQL&gt;&lt;FQL&gt;&lt;Q&gt;Ticker0024^FE_ESTIMATE(DEFREVENUE_LT,MEAN,QUARTERLY_ROLL,2018/2F,45772,,,'')&lt;/Q&gt;&lt;R&gt;1&lt;/R&gt;&lt;C&gt;1&lt;/C&gt;&lt;D xsi:type="xsd:double"&gt;2500&lt;/D&gt;&lt;/FQL&gt;&lt;FQL&gt;&lt;Q&gt;Ticker0024^FE_ESTIMATE(DEFREVENUE_LT,MEAN,QUARTERLY_ROLL,2018/1F,45772,,,'')&lt;/Q&gt;&lt;R&gt;1&lt;/R&gt;&lt;C&gt;1&lt;/C&gt;&lt;D xsi:type="xsd:double"&gt;2126&lt;/D&gt;&lt;/FQL&gt;&lt;FQL&gt;&lt;Q&gt;Ticker0024^FE_ESTIMATE(DEFREVENUE_LT,MEAN,ANNUAL_ROLL,2017,45772,,,'')&lt;/Q&gt;&lt;R&gt;1&lt;/R&gt;&lt;C&gt;1&lt;/C&gt;&lt;D xsi:type="xsd:double"&gt;10377&lt;/D&gt;&lt;/FQL&gt;&lt;FQL&gt;&lt;Q&gt;Ticker0024^FE_ESTIMATE(DEFREVENUE_LT,MEAN,QUARTERLY_ROLL,2017/4F,45772,,,'')&lt;/Q&gt;&lt;R&gt;1&lt;/R&gt;&lt;C&gt;1&lt;/C&gt;&lt;D xsi:type="xsd:double"&gt;10377&lt;/D&gt;&lt;/FQL&gt;&lt;FQL&gt;&lt;Q&gt;Ticker0024^FE_ESTIMATE(DEFREVENUE_LT,MEAN,QUARTERLY_ROLL,2017/3F,45772,,,'')&lt;/Q&gt;&lt;R&gt;1&lt;/R&gt;&lt;C&gt;1&lt;/C&gt;&lt;D xsi:type="xsd:double"&gt;9215&lt;/D&gt;&lt;/FQL&gt;&lt;FQL&gt;&lt;Q&gt;Ticker0024^FE_ESTIMATE(DEFREVENUE_LT,MEAN,QUARTERLY_ROLL,2017/2F,45772,,,'')&lt;/Q&gt;&lt;R&gt;1&lt;/R&gt;&lt;C&gt;1&lt;/C&gt;&lt;D xsi:type="xsd:double"&gt;8595&lt;/D&gt;&lt;/FQL&gt;&lt;FQL&gt;&lt;Q&gt;Ticker0024^FE_ESTIMATE(DEFREVENUE_LT,MEAN,QUARTERLY_ROLL,2017/1F,45772,,,'')&lt;/Q&gt;&lt;R&gt;1&lt;/R&gt;&lt;C&gt;1&lt;/C&gt;&lt;D xsi:type="xsd:double"&gt;7284&lt;/D&gt;&lt;/FQL&gt;&lt;FQL&gt;&lt;Q&gt;Ticker0024^FE_ESTIMATE(DEFREVENUE_LT,MEAN,ANNUAL_ROLL,2016,45772,,,'')&lt;/Q&gt;&lt;R&gt;1&lt;/R&gt;&lt;C&gt;1&lt;/C&gt;&lt;D xsi:type="xsd:double"&gt;6441&lt;/D&gt;&lt;/FQL&gt;&lt;FQL&gt;&lt;Q&gt;Ticker0024^FE_ESTIMATE(DEFREVENUE_LT,MEAN,QUARTERLY_ROLL,2016/4F,45772,,,'')&lt;/Q&gt;&lt;R&gt;1&lt;/R&gt;&lt;C&gt;1&lt;/C&gt;&lt;D xsi:type="xsd:double"&gt;6441&lt;/D&gt;&lt;/FQL&gt;&lt;FQL&gt;&lt;Q&gt;Ticker0024^FE_ESTIMATE(DEFREVENUE_LT,MEAN,QUARTERLY_ROLL,2016/3F,45772,,,'')&lt;/Q&gt;&lt;R&gt;1&lt;/R&gt;&lt;C&gt;1&lt;/C&gt;&lt;D xsi:type="xsd:double"&gt;5017&lt;/D&gt;&lt;/FQL&gt;&lt;FQL&gt;&lt;Q&gt;Ticker0024^FE_ESTIMATE(DEFREVENUE_LT,MEAN,QUARTERLY_ROLL,2016/2F,45772,,,'')&lt;/Q&gt;&lt;R&gt;1&lt;/R&gt;&lt;C&gt;1&lt;/C&gt;&lt;D xsi:type="xsd:double"&gt;4102&lt;/D&gt;&lt;/FQL&gt;&lt;FQL&gt;&lt;Q&gt;Ticker0024^FE_ESTIMATE(DEFREVENUE_LT,MEAN,QUARTERLY_ROLL,2016/1F,45772,,,'')&lt;/Q&gt;&lt;R&gt;1&lt;/R&gt;&lt;C&gt;1&lt;/C&gt;&lt;D xsi:type="xsd:double"&gt;2784&lt;/D&gt;&lt;/FQL&gt;&lt;FQL&gt;&lt;Q&gt;Ticker0024^FE_ESTIMATE(DEFREVENUE_LT,MEAN,ANNUAL_ROLL,2015,45772,,,'')&lt;/Q&gt;&lt;R&gt;1&lt;/R&gt;&lt;C&gt;1&lt;/C&gt;&lt;D xsi:type="xsd:double"&gt;2095&lt;/D&gt;&lt;/FQL&gt;&lt;FQL&gt;&lt;Q&gt;Ticker0024^FE_ESTIMATE(DEFREVENUE_LT,MEAN,QUARTERLY_ROLL,2015/4F,45772,,,'')&lt;/Q&gt;&lt;R&gt;1&lt;/R&gt;&lt;C&gt;1&lt;/C&gt;&lt;D xsi:type="xsd:double"&gt;2095&lt;/D&gt;&lt;/FQL&gt;&lt;FQL&gt;&lt;Q&gt;Ticker0024^FE_ESTIMATE(DEFREVENUE_LT,MEAN,QUARTERLY_ROLL,2015/3F,45772,,,'')&lt;/Q&gt;&lt;R&gt;1&lt;/R&gt;&lt;C&gt;1&lt;/C&gt;&lt;D xsi:type="xsd:double"&gt;1966&lt;/D&gt;&lt;/FQL&gt;&lt;FQL&gt;&lt;Q&gt;Ticker0024^FE_ESTIMATE(DEFREVENUE_LT,MEAN,QUARTERLY_ROLL,2015/2F,45772,,,'')&lt;/Q&gt;&lt;R&gt;1&lt;/R&gt;&lt;C&gt;1&lt;/C&gt;&lt;D xsi:type="xsd:double"&gt;2035.2727&lt;/D&gt;&lt;/FQL&gt;&lt;FQL&gt;&lt;Q&gt;Ticker0024^FE_ESTIMATE(DEFREVENUE_LT,MEAN,QUARTERLY_ROLL,2015/1F,45772,,,'')&lt;/Q&gt;&lt;R&gt;1&lt;/R&gt;&lt;C&gt;1&lt;/C&gt;&lt;D xsi:type="xsd:double"&gt;1825&lt;/D&gt;&lt;/FQL&gt;&lt;FQL&gt;&lt;Q&gt;Ticker0024^FE_ESTIMATE(DEFREVENUE_ST,MEAN,ANNUAL_ROLL,2030,45772,,,'')&lt;/Q&gt;&lt;R&gt;0&lt;/R&gt;&lt;C&gt;0&lt;/C&gt;&lt;/FQL&gt;&lt;FQL&gt;&lt;Q&gt;Ticker0024^FE_ESTIMATE(DEFREVENUE_ST,MEAN,QUARTERLY_ROLL,2030/4F,45772,,,'')&lt;/Q&gt;&lt;R&gt;0&lt;/R&gt;&lt;C&gt;0&lt;/C&gt;&lt;/FQL&gt;&lt;FQL&gt;&lt;Q&gt;Ticker0024^FE_ESTIMATE(DEFREVENUE_ST,MEAN,QUARTERLY_ROLL,2030/3F,45772,,,'')&lt;/Q&gt;&lt;R&gt;0&lt;/R&gt;&lt;C&gt;0&lt;/C&gt;&lt;/FQL&gt;&lt;FQL&gt;&lt;Q&gt;Ticker0024^FE_ESTIMATE(DEFREVENUE_ST,MEAN,QUARTERLY_ROLL,2030/2F,45772,,,'')&lt;/Q&gt;&lt;R&gt;0&lt;/R&gt;&lt;C&gt;0&lt;/C&gt;&lt;/FQL&gt;&lt;FQL&gt;&lt;Q&gt;Ticker0024^FE_ESTIMATE(DEFREVENUE_ST,MEAN,QUARTERLY_ROLL,2030/1F,45772,,,'')&lt;/Q&gt;&lt;R&gt;0&lt;/R&gt;&lt;C&gt;0&lt;/C&gt;&lt;/FQL&gt;&lt;FQL&gt;&lt;Q&gt;Ticker0024^FE_ESTIMATE(DEFREVENUE_ST,MEAN,ANNUAL_ROLL,2029,45772,,,'')&lt;/Q&gt;&lt;R&gt;0&lt;/R&gt;&lt;C&gt;0&lt;/C&gt;&lt;/FQL&gt;&lt;FQL&gt;&lt;Q&gt;Ticker0024^FE_ESTIMATE(DEFREVENUE_ST,MEAN,QUARTERLY_ROLL,2029/4F,45772,,,'')&lt;/Q&gt;&lt;R&gt;0&lt;/R&gt;&lt;C&gt;0&lt;/C&gt;&lt;/FQL&gt;&lt;FQL&gt;&lt;Q&gt;Ticker0024^FE_ESTIMATE(DEFREVENUE_ST,MEAN,QUARTERLY_ROLL,2029/3F,45772,,,'')&lt;/Q&gt;&lt;R&gt;0&lt;/R&gt;&lt;C&gt;0&lt;/C&gt;&lt;/FQL&gt;&lt;FQL&gt;&lt;Q&gt;Ticker0024^FE_ESTIMATE(DEFREVENUE_ST,MEAN,QUARTERLY_ROLL,2029/2F,45772,,,'')&lt;/Q&gt;&lt;R&gt;0&lt;/R&gt;&lt;C&gt;0&lt;/C&gt;&lt;/FQL&gt;&lt;FQL&gt;&lt;Q&gt;Ticker0024^FE_ESTIMATE(DEFREVENUE_ST,MEAN,QUARTERLY_ROLL,2029/1F,45772,,,'')&lt;/Q&gt;&lt;R&gt;0&lt;/R&gt;&lt;C&gt;0&lt;/C&gt;&lt;/FQL&gt;&lt;FQL&gt;&lt;Q&gt;Ticker0024^FE_ESTIMATE(DEFREVENUE_ST,MEAN,ANNUAL_ROLL,2028,45772,,,'')&lt;/Q&gt;&lt;R&gt;0&lt;/R&gt;&lt;C&gt;0&lt;/C&gt;&lt;/FQL&gt;&lt;FQL&gt;&lt;Q&gt;Ticker0024^FE_ESTIMATE(DEFREVENUE_ST,MEAN,QUARTERLY_ROLL,2028/4F,45772,,,'')&lt;/Q&gt;&lt;R&gt;0&lt;/R&gt;&lt;C&gt;0&lt;/C&gt;&lt;/FQL&gt;&lt;FQL&gt;&lt;Q&gt;Ticker0024^FE_ESTIMATE(DEFREVENUE_ST,MEAN,QUARTERLY_ROLL,2028/3F,45772,,,'')&lt;/Q&gt;&lt;R&gt;0&lt;/R&gt;&lt;C&gt;0&lt;/C&gt;&lt;/FQL&gt;&lt;FQL&gt;&lt;Q&gt;Ticker0024^FE_ESTIMATE(DEFREVENUE_ST,MEAN,QUARTERLY_ROLL,2028/2F,45772,,,'')&lt;/Q&gt;&lt;R&gt;0&lt;/R&gt;&lt;C&gt;0&lt;/C&gt;&lt;/FQL&gt;&lt;FQL&gt;&lt;Q&gt;Ticker0024^FE_ESTIMATE(DEFREVENUE_ST,MEAN,QUARTERLY_ROLL,2028/1F,45772,,,'')&lt;/Q&gt;&lt;R&gt;0&lt;/R&gt;&lt;C&gt;0&lt;/C&gt;&lt;/FQL&gt;&lt;FQL&gt;&lt;Q&gt;Ticker0024^FE_ESTIMATE(DEFREVENUE_ST,MEAN,ANNUAL_ROLL,2027,45772,,,'')&lt;/Q&gt;&lt;R&gt;1&lt;/R&gt;&lt;C&gt;1&lt;/C&gt;&lt;D xsi:type="xsd:double"&gt;73696.93&lt;/D&gt;&lt;/FQL&gt;&lt;FQL&gt;&lt;Q&gt;Ticker0024^FE_ESTIMATE(DEFREVENUE_ST,MEAN,QUARTERLY_ROLL,2027/4F,45772,,,'')&lt;/Q&gt;&lt;R&gt;1&lt;/R&gt;&lt;C&gt;1&lt;/C&gt;&lt;D xsi:type="xsd:double"&gt;78275.5&lt;/D&gt;&lt;/FQL&gt;&lt;FQL&gt;&lt;Q&gt;Ticker0024^FE_ESTIMATE(DEFREVENUE_ST,MEAN,QUARTERLY_ROLL,2027/3F,45772,,,'')&lt;/Q&gt;&lt;R&gt;1&lt;/R&gt;&lt;C&gt;1&lt;/C&gt;&lt;D xsi:type="xsd:double"&gt;57641&lt;/D&gt;&lt;/FQL&gt;&lt;FQL&gt;&lt;Q&gt;Ticker0024^FE_ESTIMATE(DEFREVENUE_ST,MEAN,QUARTERLY_ROLL,2027/2F,45772,,,'')&lt;/Q&gt;&lt;R&gt;1&lt;/R&gt;&lt;C&gt;1&lt;/C&gt;&lt;D xsi:type="xsd:double"&gt;58765.5&lt;/D&gt;&lt;/FQL&gt;&lt;FQL&gt;&lt;Q&gt;Ticker0024^FE_ESTIMATE(DEFREVENUE_ST,MEAN,QUARTERLY_ROLL,2027/1F,45772,,,'')&lt;/Q&gt;&lt;R&gt;1&lt;/R&gt;&lt;C&gt;1&lt;/C&gt;&lt;D xsi:type="xsd:double"&gt;65287.5&lt;/D&gt;&lt;/FQL&gt;&lt;FQL&gt;&lt;Q&gt;Ticker0024^FE_ESTIMATE(DEFREVENUE_ST,MEAN,ANNUAL_ROLL,2026,45772,,,'')&lt;/Q&gt;&lt;R&gt;1&lt;/R&gt;&lt;C&gt;1&lt;/C&gt;&lt;D xsi:type="xsd:double"&gt;68449.625&lt;/D&gt;&lt;/FQL&gt;&lt;FQL&gt;&lt;Q&gt;Ticker0024^FE_ESTIMATE(DEFREVENUE_ST,MEAN,QUARTERLY_ROLL,2026/4F,45772,,,'')&lt;/Q&gt;&lt;R&gt;1&lt;/R&gt;&lt;C&gt;1&lt;/C&gt;&lt;D xsi:type="xsd:double"&gt;70106.8&lt;/D&gt;&lt;/FQL&gt;&lt;FQL&gt;&lt;Q&gt;Ticker0024^FE_ESTIMATE(DEFREVENUE_ST,MEAN,QUARTERLY_ROLL,2026/3F,45772,,,'')&lt;/Q&gt;&lt;R&gt;1&lt;/R&gt;&lt;C&gt;1&lt;/C&gt;&lt;D xsi:type="xsd:double"&gt;50888.8&lt;/D&gt;&lt;/FQL&gt;&lt;FQL&gt;&lt;Q&gt;Ticker0024^FE_ESTIMATE(DEFREVENUE_ST,MEAN,QUARTERLY_ROLL,2026/2F,45772,,,'')&lt;/Q&gt;&lt;R&gt;1&lt;/R&gt;&lt;C&gt;1&lt;/C&gt;&lt;D xsi:type="xsd:double"&gt;51474.8&lt;/D&gt;&lt;/FQL&gt;&lt;FQL&gt;&lt;Q&gt;Ticker0024^FE_ESTIMATE(DEFREVENUE_ST,MEAN,QUARTERLY_ROLL,2026/1F,45772,,,'')&lt;/Q&gt;&lt;R&gt;1&lt;/R&gt;&lt;C&gt;1&lt;/C&gt;&lt;D xsi:type="xsd:double"&gt;58061.2&lt;/D&gt;&lt;/FQL&gt;&lt;FQL&gt;&lt;Q&gt;Ticker0024^FE_ESTIMATE(DEFREVENUE_ST,MEAN,ANNUAL_ROLL,2025,45772,,,'')&lt;/Q&gt;&lt;R&gt;1&lt;/R&gt;&lt;C&gt;1&lt;/C&gt;&lt;D xsi:type="xsd:double"&gt;62091.313&lt;/D&gt;&lt;/FQL&gt;&lt;FQL&gt;&lt;Q&gt;Ticker0024^FE_ESTIMATE(DEFREVENUE_ST,MEAN,QUARTERLY_ROLL,2025/4F,45772,,,'')&lt;/Q&gt;&lt;R&gt;1&lt;/R&gt;&lt;C&gt;1&lt;/C&gt;&lt;D xsi:type="xsd:double"&gt;61725.727&lt;/D&gt;&lt;/FQL&gt;&lt;FQL&gt;&lt;Q&gt;Ticker0024^FE_ESTIMATE(DEFREVENUE_ST,MEAN,QUARTERLY_ROLL,2025/3F,45772,,,'')&lt;/Q&gt;&lt;R&gt;1&lt;/R&gt;&lt;C&gt;1&lt;/C&gt;&lt;D xsi:type="xsd:double"&gt;46295.227&lt;/D&gt;&lt;/FQL&gt;&lt;FQL&gt;&lt;Q&gt;Ticker0024^FE_ESTIMATE(DEFREVENUE_ST,MEAN,QUARTERLY_ROLL,2025/2F,45772,,,'')&lt;/Q&gt;&lt;R&gt;1&lt;/R&gt;&lt;C&gt;1&lt;/C&gt;&lt;D xsi:type="xsd:double"&gt;45508.332&lt;/D&gt;&lt;/FQL&gt;&lt;FQL&gt;&lt;Q&gt;Ticker0024^FE_ESTIMATE(DEFREVENUE_ST,MEAN,QUARTERLY_ROLL,2025/1F,45772,,,'')&lt;/Q&gt;&lt;R&gt;1&lt;/R&gt;&lt;C&gt;1&lt;/C&gt;&lt;D xsi:type="xsd:double"&gt;53026.5&lt;/D&gt;&lt;/FQL&gt;&lt;FQL&gt;&lt;Q&gt;Ticker0024^FE_ESTIMATE(DEFREVENUE_ST,MEAN,ANNUAL_ROLL,2024,45772,,,'')&lt;/Q&gt;&lt;R&gt;1&lt;/R&gt;&lt;C&gt;1&lt;/C&gt;&lt;D xsi:type="xsd:double"&gt;57725&lt;/D&gt;&lt;/FQL&gt;&lt;FQL&gt;&lt;Q&gt;Ticker0024^FE_ESTIMATE(DEFREVENUE_ST,MEAN,QUARTERLY_ROLL,2024/4F,45772,,,'')&lt;/Q&gt;&lt;R&gt;1&lt;/R&gt;&lt;C&gt;1&lt;/C&gt;&lt;D xsi:type="xsd:double"&gt;57581.75&lt;/D&gt;&lt;/FQL&gt;&lt;FQL&gt;&lt;Q&gt;Ticker0024^FE_ESTIMATE(DEFREVENUE_ST,MEAN,QUARTERLY_ROLL,2024/3F,45772,,,'')&lt;/Q&gt;&lt;R&gt;1&lt;/R&gt;&lt;C&gt;1&lt;/C&gt;&lt;D xsi:type="xsd:double"&gt;41888.285&lt;/D&gt;&lt;/FQL&gt;&lt;FQL&gt;&lt;Q&gt;Ticker0024^FE_ESTIMATE(DEFREVENUE_ST,MEAN,QUARTERLY_ROLL,2024/2F,45772,,,'')&lt;/Q&gt;&lt;R&gt;1&lt;/R&gt;&lt;C&gt;1&lt;/C&gt;&lt;D xsi:type="xsd:double"&gt;43068.285&lt;/D&gt;&lt;/FQL&gt;&lt;FQL&gt;&lt;Q&gt;Ticker0024^FE_ESTIMATE(DEFREVENUE_ST,MEAN,QUARTERLY_ROLL,2024/1F,45772,,,'')&lt;/Q&gt;&lt;R&gt;1&lt;/R&gt;&lt;C&gt;1&lt;/C&gt;&lt;D xsi:type="xsd:double"&gt;46429.168&lt;/D&gt;&lt;/FQL&gt;&lt;FQL&gt;&lt;Q&gt;Ticker0024^FE_ESTIMATE(DEFREVENUE_ST,MEAN,ANNUAL_ROLL,2023,45772,,,'')&lt;/Q&gt;&lt;R&gt;1&lt;/R&gt;&lt;C&gt;1&lt;/C&gt;&lt;D xsi:type="xsd:double"&gt;50900.875&lt;/D&gt;&lt;/FQL&gt;&lt;FQL&gt;&lt;Q&gt;Ticker0024^FE_ESTIMATE(DEFREVENUE_ST,MEAN,QUARTERLY_ROLL,2023/4F,45772,,,'')&lt;/Q&gt;&lt;R&gt;1&lt;/R&gt;&lt;C&gt;1&lt;/C&gt;&lt;D xsi:type="xsd:double"&gt;50900.855&lt;/D&gt;&lt;/FQL&gt;&lt;FQL&gt;&lt;Q&gt;Ticker0024^FE_ESTIMATE(DEFREVENUE_ST,MEAN,QUARTERLY_ROLL,2023/3F,45772,,,'')&lt;/Q&gt;&lt;R&gt;1&lt;/R&gt;&lt;C&gt;1&lt;/C&gt;&lt;D xsi:type="xsd:double"&gt;36902.5&lt;/D&gt;&lt;/FQL&gt;&lt;FQL&gt;&lt;Q&gt;Ticker0024^FE_ESTIMATE(DEFREVENUE_ST,MEAN,QUARTERLY_ROLL,2023/2F,45772,,,'')&lt;/Q&gt;&lt;R&gt;1&lt;/R&gt;&lt;C&gt;1&lt;/C&gt;&lt;D xsi:type="xsd:double"&gt;36981.668&lt;/D&gt;&lt;/FQL&gt;&lt;FQL&gt;&lt;Q&gt;Ticker0024^FE_ESTIMATE(DEFREVENUE_ST,MEAN,QUARTERLY_ROLL,2023/1F,45772,,,'')&lt;/Q&gt;&lt;R&gt;1&lt;/R&gt;&lt;C&gt;1&lt;/C&gt;&lt;D xsi:type="xsd:double"&gt;41340&lt;/D&gt;&lt;/FQL&gt;&lt;FQL&gt;&lt;Q&gt;Ticker0024^FE_ESTIMATE(DEFREVENUE_ST,MEAN,ANNUAL_ROLL,2022,45772,,,'')&lt;/Q&gt;&lt;R&gt;1&lt;/R&gt;&lt;C&gt;1&lt;/C&gt;&lt;D xsi:type="xsd:double"&gt;45538&lt;/D&gt;&lt;/FQL&gt;&lt;FQL&gt;&lt;Q&gt;Ticker0024^FE_ESTIMATE(DEFREVENUE_ST,MEAN,QUARTERLY_ROLL,2022/4F,45772,,,'')&lt;/Q&gt;&lt;R&gt;1&lt;/R&gt;&lt;C&gt;1&lt;/C&gt;&lt;D xsi:type="xsd:double"&gt;45538&lt;/D&gt;&lt;/FQL&gt;&lt;FQL&gt;&lt;Q&gt;Ticker0024^FE_ESTIMATE(DEFREVENUE_ST,MEAN,QUARTERLY_ROLL,2022/3F,45772,,,'')&lt;/Q&gt;&lt;R&gt;1&lt;/R&gt;&lt;C&gt;1&lt;/C&gt;&lt;D xsi:type="xsd:double"&gt;34027&lt;/D&gt;&lt;/FQL&gt;&lt;FQL&gt;&lt;Q&gt;Ticker0024^FE_ESTIMATE(DEFREVENUE_ST,MEAN,QUARTERLY_ROLL,2022/2F,45772,,,'')&lt;/Q&gt;&lt;R&gt;1&lt;/R&gt;&lt;C&gt;1&lt;/C&gt;&lt;D xsi:type="xsd:double"&gt;34001&lt;/D&gt;&lt;/FQL&gt;&lt;FQL&gt;&lt;Q&gt;Ticker0024^FE_ESTIMATE(DEFREVENUE_ST,MEAN,QUARTERLY_ROLL,2022/1F,45772,,,'')&lt;/Q&gt;&lt;R&gt;1&lt;/R&gt;&lt;C&gt;1&lt;/C&gt;&lt;D xsi:type="xsd:double"&gt;38465&lt;/D&gt;&lt;/FQL&gt;&lt;FQL&gt;&lt;Q&gt;Ticker0024^FE_ESTIMATE(DEFREVENUE_ST,MEAN,ANNUAL_ROLL,2021,45772,,,'')&lt;/Q&gt;&lt;R&gt;1&lt;/R&gt;&lt;C&gt;1&lt;/C&gt;&lt;D xsi:type="xsd:double"&gt;41525&lt;/D&gt;&lt;/FQL&gt;&lt;FQL&gt;&lt;Q&gt;Ticker0024^FE_ESTIMATE(DEFREVENUE_ST,MEAN,QUARTERLY_ROLL,2021/4F,45772,,,'')&lt;/Q&gt;&lt;R&gt;1&lt;/R&gt;&lt;C&gt;1&lt;/C&gt;&lt;D xsi:type="xsd:double"&gt;41525&lt;/D&gt;&lt;/FQL&gt;&lt;FQL&gt;&lt;Q&gt;Ticker0024^FE_ESTIMATE(DEFREVENUE_ST,MEAN,QUARTERLY_ROLL,2021/3F,45772,,,'')&lt;/Q&gt;&lt;R&gt;1&lt;/R&gt;&lt;C&gt;1&lt;/C&gt;&lt;D xsi:type="xsd:double"&gt;30083&lt;/D&gt;&lt;/FQL&gt;&lt;FQL&gt;&lt;Q&gt;Ticker0024^FE_ESTIMATE(DEFREVENUE_ST,MEAN,QUARTERLY_ROLL,2021/2F,45772,,,'')&lt;/Q&gt;&lt;R&gt;1&lt;/R&gt;&lt;C&gt;1&lt;/C&gt;&lt;D xsi:type="xsd:double"&gt;30402&lt;/D&gt;&lt;/FQL&gt;&lt;FQL&gt;&lt;Q&gt;Ticker0024^FE_ESTIMATE(DEFREVENUE_ST,MEAN,QUARTERLY_ROLL,2021/1F,45772,,,'')&lt;/Q&gt;&lt;R&gt;1&lt;/R&gt;&lt;C&gt;1&lt;/C&gt;&lt;D xsi:type="xsd:double"&gt;33476&lt;/D&gt;&lt;/FQL&gt;&lt;FQL&gt;&lt;Q&gt;Ticker0024^FE_ESTIMATE(DEFREVENUE_ST,MEAN,ANNUAL_ROLL,2020,45772,,,'')&lt;/Q&gt;&lt;R&gt;1&lt;/R&gt;&lt;C&gt;1&lt;/C&gt;&lt;D xsi:type="xsd:double"&gt;36000&lt;/D&gt;&lt;/FQL&gt;&lt;FQL&gt;&lt;Q&gt;Ticker0024^FE_ESTIMATE(DEFREVENUE_ST,MEAN,QUARTERLY_ROLL,2020/4F,45772,,,'')&lt;/Q&gt;&lt;R&gt;1&lt;/R&gt;&lt;C&gt;1&lt;/C&gt;&lt;D xsi:type="xsd:double"&gt;36000&lt;/D&gt;&lt;/FQL&gt;&lt;FQL&gt;&lt;Q&gt;Ticker0024^FE_ESTIMATE(DEFREVENUE_ST,MEAN,QUARTERLY_ROLL,2020/3F,45772,,,'')&lt;/Q&gt;&lt;R&gt;1&lt;/R&gt;&lt;C&gt;1&lt;/C&gt;&lt;D xsi:type="xsd:double"&gt;27012&lt;/D&gt;&lt;/FQL&gt;&lt;FQL&gt;&lt;Q&gt;Ticker0024^FE_ESTIMATE(DEFREVENUE_ST,MEAN,QUARTERLY_ROLL,2020/2F,45772,,,'')&lt;/Q&gt;&lt;R&gt;1&lt;/R&gt;&lt;C&gt;1&lt;/C&gt;&lt;D xsi:type="xsd:double"&gt;27343&lt;/D&gt;&lt;/FQL&gt;&lt;FQL&gt;&lt;Q&gt;Ticker0024^FE_ESTIMATE(DEFREVENUE_ST,MEAN,QUARTERLY_ROLL,2020/1F,45772,,,'')&lt;/Q&gt;&lt;R&gt;1&lt;/R&gt;&lt;C&gt;1&lt;/C&gt;&lt;D xsi:type="xsd:double"&gt;29904&lt;/D&gt;&lt;/FQL&gt;&lt;FQL&gt;&lt;Q&gt;Ticker0024^FE_ESTIMATE(DEFREVENUE_ST,MEAN,ANNUAL_ROLL,2019,45772,,,'')&lt;/Q&gt;&lt;R&gt;1&lt;/R&gt;&lt;C&gt;1&lt;/C&gt;&lt;D xsi:type="xsd:double"&gt;32676&lt;/D&gt;&lt;/FQL&gt;&lt;FQL&gt;&lt;Q&gt;Ticker0024^FE_ESTIMATE(DEFREVENUE_ST,MEAN,QUARTERLY_ROLL,2019/4F,45772,,,'')&lt;/Q&gt;&lt;R&gt;1&lt;/R&gt;&lt;C&gt;1&lt;/C&gt;&lt;D xsi:type="xsd:double"&gt;32676&lt;/D&gt;&lt;/FQL&gt;&lt;FQL&gt;&lt;Q&gt;Ticker0024^FE_ESTIMATE(DEFREVENUE_ST,MEAN,QUARTERLY_ROLL,2019/3F,45772,,,'')&lt;/Q&gt;&lt;R&gt;1&lt;/R&gt;&lt;C&gt;1&lt;/C&gt;&lt;D xsi:type="xsd:double"&gt;24251&lt;/D&gt;&lt;/FQL&gt;&lt;FQL&gt;&lt;Q&gt;Ticker0024^FE_ESTIMATE(DEFREVENUE_ST,MEAN,QUARTERLY_ROLL,2019/2F,45772,,,'')&lt;/Q&gt;&lt;R&gt;1&lt;/R&gt;&lt;C&gt;1&lt;/C&gt;&lt;D xsi:type="xsd:double"&gt;24285&lt;/D&gt;&lt;/FQL&gt;&lt;FQL&gt;&lt;Q&gt;Ticker0024^FE_ESTIMATE(DEFREVENUE_ST,MEAN,QUARTERLY_ROLL,2019/1F,45772,,,'')&lt;/Q&gt;&lt;R&gt;1&lt;/R&gt;&lt;C&gt;1&lt;/C&gt;&lt;D xsi:type="xsd:double"&gt;26704&lt;/D&gt;&lt;/FQL&gt;&lt;FQL&gt;&lt;Q&gt;Ticker0024^FE_ESTIMATE(DEFREVENUE_ST,MEAN,ANNUAL_ROLL,2018,45772,,,'')&lt;/Q&gt;&lt;R&gt;1&lt;/R&gt;&lt;C&gt;1&lt;/C&gt;&lt;D xsi:type="xsd:double"&gt;28905&lt;/D&gt;&lt;/FQL&gt;&lt;FQL&gt;&lt;Q&gt;Ticker0024^FE_ESTIMATE(DEFREVENUE_ST,MEAN,QUARTERLY_ROLL,2018/4F,45772,,,'')&lt;/Q&gt;&lt;R&gt;1&lt;/R&gt;&lt;C&gt;1&lt;/C&gt;&lt;D xsi:type="xsd:double"&gt;28905&lt;/D&gt;&lt;/FQL&gt;&lt;FQL&gt;&lt;Q&gt;Ticker0024^FE_ESTIMATE(DEFREVENUE_ST,MEAN,QUARTERLY_ROLL,2018/3F,45772,,,'')&lt;/Q&gt;&lt;R&gt;1&lt;/R&gt;&lt;C&gt;1&lt;/C&gt;&lt;D xsi:type="xsd:double"&gt;21370&lt;/D&gt;&lt;/FQL&gt;&lt;FQL&gt;&lt;Q&gt;Ticker0024^FE_ESTIMATE(DEFREVENUE_ST,MEAN,QUARTERLY_ROLL,2018/2F,45772,,,'')&lt;/Q&gt;&lt;R&gt;1&lt;/R&gt;&lt;C&gt;1&lt;/C&gt;&lt;D xsi:type="xsd:double"&gt;21559&lt;/D&gt;&lt;/FQL&gt;&lt;FQL&gt;&lt;Q&gt;Ticker0024^FE_ESTIMATE(DEFREVENUE_ST,MEAN,QUARTERLY_ROLL,2018/1F,45772,,,'')&lt;/Q&gt;&lt;R&gt;1&lt;/R&gt;&lt;C&gt;1&lt;/C&gt;&lt;D xsi:type="xsd:double"&gt;22990.6&lt;/D&gt;&lt;/FQL&gt;&lt;FQL&gt;&lt;Q&gt;Ticker0024^FE_ESTIMATE(DEFREVENUE_ST,MEAN,ANNUAL_ROLL,2017,45772,,,'')&lt;/Q&gt;&lt;R&gt;1&lt;/R&gt;&lt;C&gt;1&lt;/C&gt;&lt;D xsi:type="xsd:double"&gt;34102&lt;/D&gt;&lt;/FQL&gt;&lt;FQL&gt;&lt;Q&gt;Ticker0024^FE_ESTIMATE(DEFREVENUE_ST,MEAN,QUARTERLY_ROLL,2017/4F,45772,,,'')&lt;/Q&gt;&lt;R&gt;1&lt;/R&gt;&lt;C&gt;1&lt;/C&gt;&lt;D xsi:type="xsd:double"&gt;34102&lt;/D&gt;&lt;/FQL&gt;&lt;FQL&gt;&lt;Q&gt;Ticker0024^FE_ESTIMATE(DEFREVENUE_ST,MEAN,QUARTERLY_ROLL,2017/3F,45772,,,'')&lt;/Q&gt;&lt;R&gt;1&lt;/R&gt;&lt;C&gt;1&lt;/C&gt;&lt;D xsi:type="xsd:double"&gt;26518&lt;/D&gt;&lt;/FQL&gt;&lt;FQL&gt;&lt;Q&gt;Ticker0024^FE_ESTIMATE(DEFREVENUE_ST,MEAN,QUARTERLY_ROLL,2017/2F,45772,,,'')&lt;/Q&gt;&lt;R&gt;1&lt;/R&gt;&lt;C&gt;1&lt;/C&gt;&lt;D xsi:type="xsd:double"&gt;25983&lt;/D&gt;&lt;/FQL&gt;&lt;FQL&gt;&lt;Q&gt;Ticker0024^FE_ESTIMATE(DEFREVENUE_ST,MEAN,QUARTERLY_ROLL,2017/1F,45772,,,'')&lt;/Q&gt;&lt;R&gt;1&lt;/R&gt;&lt;C&gt;1&lt;/C&gt;&lt;D xsi:type="xsd:double"&gt;26304&lt;/D&gt;&lt;/FQL&gt;&lt;FQL&gt;&lt;Q&gt;Ticker0024^FE_ESTIMATE(DEFREVENUE_ST,MEAN,ANNUAL_ROLL,2016,45772,,,'')&lt;/Q&gt;&lt;R&gt;1&lt;/R&gt;&lt;C&gt;1&lt;/C&gt;&lt;D xsi:type="xsd:double"&gt;27468&lt;/D&gt;&lt;/FQL&gt;&lt;FQL&gt;&lt;Q&gt;Ticker0024^FE_ESTIMATE(DEFREVENUE_ST,MEAN,QUARTERLY_ROLL,2016/4F,45772,,,'')&lt;/Q&gt;&lt;R&gt;1&lt;/R&gt;&lt;C&gt;1&lt;/C&gt;&lt;D xsi:type="xsd:double"&gt;27468&lt;/D&gt;&lt;/FQL&gt;&lt;FQL&gt;&lt;Q&gt;Ticker0024^FE_ESTIMATE(DEFREVENUE_ST,MEAN,QUARTERLY_ROLL,2016/3F,45772,,,'')&lt;/Q&gt;&lt;R&gt;1&lt;/R&gt;&lt;C&gt;1&lt;/C&gt;&lt;D xsi:type="xsd:double"&gt;20876&lt;/D&gt;&lt;/FQL&gt;&lt;FQL&gt;&lt;Q&gt;Ticker0024^FE_ESTIMATE(DEFREVENUE_ST,MEAN,QUARTERLY_ROLL,2016/2F,45772,,,'')&lt;/Q&gt;&lt;R&gt;1&lt;/R&gt;&lt;C&gt;1&lt;/C&gt;&lt;D xsi:type="xsd:double"&gt;20929&lt;/D&gt;&lt;/FQL&gt;&lt;FQL&gt;&lt;Q&gt;Ticker0024^FE_ESTIMATE(DEFREVENUE_ST,MEAN,QUARTERLY_ROLL,2016/1F,45772,,,'')&lt;/Q&gt;&lt;R&gt;1&lt;/R&gt;&lt;C&gt;1&lt;/C&gt;&lt;D xsi:type="xsd:double"&gt;21603&lt;/D&gt;&lt;/FQL&gt;&lt;FQL&gt;&lt;Q&gt;Ticker0024^FE_ESTIMATE(DEFREVENUE_ST,MEAN,ANNUAL_ROLL,2015,45772,,,'')&lt;/Q&gt;&lt;R&gt;1&lt;/R&gt;&lt;C&gt;1&lt;/C&gt;&lt;D xsi:type="xsd:double"&gt;23223&lt;/D&gt;&lt;/FQL&gt;&lt;FQL&gt;&lt;Q&gt;Ticker0024^FE_ESTIMATE(DEFREVENUE_ST,MEAN,QUARTERLY_ROLL,2015/4F,45772,,,'')&lt;/Q&gt;&lt;R&gt;1&lt;/R&gt;&lt;C&gt;1&lt;/C&gt;&lt;D xsi:type="xsd:double"&gt;23223&lt;/D&gt;&lt;/FQL&gt;&lt;FQL&gt;&lt;Q&gt;Ticker0024^FE_ESTIMATE(DEFREVENUE_ST,MEAN,QUARTERLY_ROLL,2015/3F,45772,,,'')&lt;/Q&gt;&lt;R&gt;1&lt;/R&gt;&lt;C&gt;1&lt;/C&gt;&lt;D xsi:type="xsd:double"&gt;18232&lt;/D&gt;&lt;/FQL&gt;&lt;FQL&gt;&lt;Q&gt;Ticker0024^FE_ESTIMATE(DEFREVENUE_ST,MEAN,QUARTERLY_ROLL,2015/2F,45772,,,'')&lt;/Q&gt;&lt;R&gt;1&lt;/R&gt;&lt;C&gt;1&lt;/C&gt;&lt;D xsi:type="xsd:double"&gt;19192&lt;/D&gt;&lt;/FQL&gt;&lt;FQL&gt;&lt;Q&gt;Ticker0024^FE_ESTIMATE(DEFREVENUE_ST,MEAN,QUARTERLY_ROLL,2015/1F,45772,,,'')&lt;/Q&gt;&lt;R&gt;1&lt;/R&gt;&lt;C&gt;1&lt;/C&gt;&lt;D xsi:type="xsd:double"&gt;20713&lt;/D&gt;&lt;/FQL&gt;&lt;FQL&gt;&lt;Q&gt;Ticker0024^FE_ESTIMATE(FCF,MEAN,ANNUAL_ROLL,2030,45772,,,'')&lt;/Q&gt;&lt;R&gt;0&lt;/R&gt;&lt;C&gt;0&lt;/C&gt;&lt;/FQL&gt;&lt;FQL&gt;&lt;Q&gt;Ticker0024^FE_ESTIMATE(FCF,MEAN,QUARTERLY_ROLL,2030/4F,45772,,,'')&lt;/Q&gt;&lt;R&gt;0&lt;/R&gt;&lt;C&gt;0&lt;/C&gt;&lt;/FQL&gt;&lt;FQL&gt;&lt;Q&gt;Ticker0024^FE_ESTIMATE(FCF,MEAN,QUARTERLY_ROLL,2030/3F,45772,,,'')&lt;/Q&gt;&lt;R&gt;0&lt;/R&gt;&lt;C&gt;0&lt;/C&gt;&lt;/FQL&gt;&lt;FQL&gt;&lt;Q&gt;Ticker0024^FE_ESTIMATE(FCF,MEAN,QUARTERLY_ROLL,2030/2F,45772,,,'')&lt;/Q&gt;&lt;R&gt;0&lt;/R&gt;&lt;C&gt;0&lt;/C&gt;&lt;/FQL&gt;&lt;FQL&gt;&lt;Q&gt;Ticker0024^FE_ESTIMATE(FCF,MEAN,QUARTERLY_ROLL,2030/1F,45772,,,'')&lt;/Q&gt;&lt;R&gt;0&lt;/R&gt;&lt;C&gt;0&lt;/C&gt;&lt;/FQL&gt;&lt;FQL&gt;&lt;Q&gt;Ticker0024^FE_ESTIMATE(FCF,MEAN,ANNUAL_ROLL,2029,45772,,,'')&lt;/Q&gt;&lt;R&gt;1&lt;/R&gt;&lt;C&gt;1&lt;/C&gt;&lt;D xsi:type="xsd:double"&gt;153725&lt;/D&gt;&lt;/FQL&gt;&lt;FQL&gt;&lt;Q&gt;Ticker0024^FE_ESTIMATE(FCF,MEAN,QUARTERLY_ROLL,2029/4F,45772,,,'')&lt;/Q&gt;&lt;R&gt;0&lt;/R&gt;&lt;C&gt;0&lt;/C&gt;&lt;/FQL&gt;&lt;FQL&gt;&lt;Q&gt;Ticker0024^FE_ESTIMATE(FCF,MEAN,QUARTERLY_ROLL,2029/3F,45772,,,'')&lt;/Q&gt;&lt;R&gt;0&lt;/R&gt;&lt;C&gt;0&lt;/C&gt;&lt;/FQL&gt;&lt;FQL&gt;&lt;Q&gt;Ticker0024^FE_ESTIMATE(FCF,MEAN,QUARTERLY_ROLL,2029/2F,45772,,,'')&lt;/Q&gt;&lt;R&gt;0&lt;/R&gt;&lt;C&gt;0&lt;/C&gt;&lt;/FQL&gt;&lt;FQL&gt;&lt;Q&gt;Ticker0024^FE_ESTIMATE(FCF,MEAN,QUARTERLY_ROLL,2029/1F,45772,,,'')&lt;/Q&gt;&lt;R&gt;0&lt;/R&gt;&lt;C&gt;0&lt;/C&gt;&lt;/FQL&gt;&lt;FQL&gt;&lt;Q&gt;Ticker0024^FE_ESTIMATE(FCF,MEAN,ANNUAL_ROLL,2028,45772,,,'')&lt;/Q&gt;&lt;R&gt;1&lt;/R&gt;&lt;C&gt;1&lt;/C&gt;&lt;D xsi:type="xsd:double"&gt;119306.03&lt;/D&gt;&lt;/FQL&gt;&lt;FQL&gt;&lt;Q&gt;Ticker0024^FE_ESTIMATE(FCF,MEAN,QUARTERLY_ROLL,2028/4F,45772,,,'')&lt;/Q&gt;&lt;R&gt;0&lt;/R&gt;&lt;C&gt;0&lt;/C&gt;&lt;/FQL&gt;&lt;FQL&gt;&lt;Q&gt;Ticker0024^FE_ESTIMATE(FCF,MEAN,QUARTERLY_ROLL,2028/3F,45772,,,'')&lt;/Q&gt;&lt;R&gt;0&lt;/R&gt;&lt;C&gt;0&lt;/C&gt;&lt;/FQL&gt;&lt;FQL&gt;&lt;Q&gt;Ticker0024^FE_ESTIMATE(FCF,MEAN,QUARTERLY_ROLL,2028/2F,45772,,,'')&lt;/Q&gt;&lt;R&gt;0&lt;/R&gt;&lt;C&gt;0&lt;/C&gt;&lt;/FQL&gt;&lt;FQL&gt;&lt;Q&gt;Ticker0024^FE_ESTIMATE(FCF,MEAN,QUARTERLY_ROLL,2028/1F,45772,,,'')&lt;/Q&gt;&lt;R&gt;0&lt;/R&gt;&lt;C&gt;0&lt;/C&gt;&lt;/FQL&gt;&lt;FQL&gt;&lt;Q&gt;Ticker0024^FE_ESTIMATE(FCF,MEAN,ANNUAL_ROLL,2027,45772,,,'')&lt;/Q&gt;&lt;R&gt;1&lt;/R&gt;&lt;C&gt;1&lt;/C&gt;&lt;D xsi:type="xsd:double"&gt;94932.77&lt;/D&gt;&lt;/FQL&gt;&lt;FQL&gt;&lt;Q&gt;Ticker0024^FE_ESTIMATE(FCF,MEAN,QUARTERLY_ROLL,2027/4F,45772,,,'')&lt;/Q&gt;&lt;R&gt;1&lt;/R&gt;&lt;C&gt;1&lt;/C&gt;&lt;D xsi:type="xsd:double"&gt;-1237&lt;/D&gt;&lt;/FQL&gt;&lt;FQL&gt;&lt;Q&gt;Ticker0024^FE_ESTIMATE(FCF,MEAN,QUARTERLY_ROLL,2027/3F,45772,,</t>
        </r>
      </text>
    </comment>
    <comment ref="A36" authorId="0" shapeId="0" xr:uid="{0B71D67D-F9BD-4260-8AA2-8AC39A857DE2}">
      <text>
        <r>
          <rPr>
            <b/>
            <sz val="9"/>
            <color indexed="81"/>
            <rFont val="Tahoma"/>
            <family val="2"/>
          </rPr>
          <t>,'')&lt;/Q&gt;&lt;R&gt;1&lt;/R&gt;&lt;C&gt;1&lt;/C&gt;&lt;D xsi:type="xsd:double"&gt;7257&lt;/D&gt;&lt;/FQL&gt;&lt;FQL&gt;&lt;Q&gt;Ticker0024^FE_ESTIMATE(FCF,MEAN,QUARTERLY_ROLL,2027/2F,45772,,,'')&lt;/Q&gt;&lt;R&gt;1&lt;/R&gt;&lt;C&gt;1&lt;/C&gt;&lt;D xsi:type="xsd:double"&gt;4746&lt;/D&gt;&lt;/FQL&gt;&lt;FQL&gt;&lt;Q&gt;Ticker0024^FE_ESTIMATE(FCF,MEAN,QUARTERLY_ROLL,2027/1F,45772,,,'')&lt;/Q&gt;&lt;R&gt;1&lt;/R&gt;&lt;C&gt;1&lt;/C&gt;&lt;D xsi:type="xsd:double"&gt;43736&lt;/D&gt;&lt;/FQL&gt;&lt;FQL&gt;&lt;Q&gt;Ticker0024^FE_ESTIMATE(FCF,MEAN,ANNUAL_ROLL,2026,45772,,,'')&lt;/Q&gt;&lt;R&gt;1&lt;/R&gt;&lt;C&gt;1&lt;/C&gt;&lt;D xsi:type="xsd:double"&gt;76840.79&lt;/D&gt;&lt;/FQL&gt;&lt;FQL&gt;&lt;Q&gt;Ticker0024^FE_ESTIMATE(FCF,MEAN,QUARTERLY_ROLL,2026/4F,45772,,,'')&lt;/Q&gt;&lt;R&gt;1&lt;/R&gt;&lt;C&gt;1&lt;/C&gt;&lt;D xsi:type="xsd:double"&gt;17289.863&lt;/D&gt;&lt;/FQL&gt;&lt;FQL&gt;&lt;Q&gt;Ticker0024^FE_ESTIMATE(FCF,MEAN,QUARTERLY_ROLL,2026/3F,45772,,,'')&lt;/Q&gt;&lt;R&gt;1&lt;/R&gt;&lt;C&gt;1&lt;/C&gt;&lt;D xsi:type="xsd:double"&gt;16515.604&lt;/D&gt;&lt;/FQL&gt;&lt;FQL&gt;&lt;Q&gt;Ticker0024^FE_ESTIMATE(FCF,MEAN,QUARTERLY_ROLL,2026/2F,45772,,,'')&lt;/Q&gt;&lt;R&gt;1&lt;/R&gt;&lt;C&gt;1&lt;/C&gt;&lt;D xsi:type="xsd:double"&gt;11648.516&lt;/D&gt;&lt;/FQL&gt;&lt;FQL&gt;&lt;Q&gt;Ticker0024^FE_ESTIMATE(FCF,MEAN,QUARTERLY_ROLL,2026/1F,45772,,,'')&lt;/Q&gt;&lt;R&gt;1&lt;/R&gt;&lt;C&gt;1&lt;/C&gt;&lt;D xsi:type="xsd:double"&gt;26980.645&lt;/D&gt;&lt;/FQL&gt;&lt;FQL&gt;&lt;Q&gt;Ticker0024^FE_ESTIMATE(FCF,MEAN,ANNUAL_ROLL,2025,45772,,,'')&lt;/Q&gt;&lt;R&gt;1&lt;/R&gt;&lt;C&gt;1&lt;/C&gt;&lt;D xsi:type="xsd:double"&gt;65765.94&lt;/D&gt;&lt;/FQL&gt;&lt;FQL&gt;&lt;Q&gt;Ticker0024^FE_ESTIMATE(FCF,MEAN,QUARTERLY_ROLL,2025/4F,45772,,,'')&lt;/Q&gt;&lt;R&gt;1&lt;/R&gt;&lt;C&gt;1&lt;/C&gt;&lt;D xsi:type="xsd:double"&gt;22491.781&lt;/D&gt;&lt;/FQL&gt;&lt;FQL&gt;&lt;Q&gt;Ticker0024^FE_ESTIMATE(FCF,MEAN,QUARTERLY_ROLL,2025/3F,45772,,,'')&lt;/Q&gt;&lt;R&gt;1&lt;/R&gt;&lt;C&gt;1&lt;/C&gt;&lt;D xsi:type="xsd:double"&gt;17197.602&lt;/D&gt;&lt;/FQL&gt;&lt;FQL&gt;&lt;Q&gt;Ticker0024^FE_ESTIMATE(FCF,MEAN,QUARTERLY_ROLL,2025/2F,45772,,,'')&lt;/Q&gt;&lt;R&gt;1&lt;/R&gt;&lt;C&gt;1&lt;/C&gt;&lt;D xsi:type="xsd:double"&gt;6707.9375&lt;/D&gt;&lt;/FQL&gt;&lt;FQL&gt;&lt;Q&gt;Ticker0024^FE_ESTIMATE(FCF,MEAN,QUARTERLY_ROLL,2025/1F,45772,,,'')&lt;/Q&gt;&lt;R&gt;1&lt;/R&gt;&lt;C&gt;1&lt;/C&gt;&lt;D xsi:type="xsd:double"&gt;18738.584&lt;/D&gt;&lt;/FQL&gt;&lt;FQL&gt;&lt;Q&gt;Ticker0024^FE_ESTIMATE(FCF,MEAN,ANNUAL_ROLL,2024,45772,,,'')&lt;/Q&gt;&lt;R&gt;1&lt;/R&gt;&lt;C&gt;1&lt;/C&gt;&lt;D xsi:type="xsd:double"&gt;72678.9&lt;/D&gt;&lt;/FQL&gt;&lt;FQL&gt;&lt;Q&gt;Ticker0024^FE_ESTIMATE(FCF,MEAN,QUARTERLY_ROLL,2024/4F,45772,,,'')&lt;/Q&gt;&lt;R&gt;1&lt;/R&gt;&lt;C&gt;1&lt;/C&gt;&lt;D xsi:type="xsd:double"&gt;22275.834&lt;/D&gt;&lt;/FQL&gt;&lt;FQL&gt;&lt;Q&gt;Ticker0024^FE_ESTIMATE(FCF,MEAN,QUARTERLY_ROLL,2024/3F,45772,,,'')&lt;/Q&gt;&lt;R&gt;1&lt;/R&gt;&lt;C&gt;1&lt;/C&gt;&lt;D xsi:type="xsd:double"&gt;20634.766&lt;/D&gt;&lt;/FQL&gt;&lt;FQL&gt;&lt;Q&gt;Ticker0024^FE_ESTIMATE(FCF,MEAN,QUARTERLY_ROLL,2024/2F,45772,,,'')&lt;/Q&gt;&lt;R&gt;1&lt;/R&gt;&lt;C&gt;1&lt;/C&gt;&lt;D xsi:type="xsd:double"&gt;6218.222&lt;/D&gt;&lt;/FQL&gt;&lt;FQL&gt;&lt;Q&gt;Ticker0024^FE_ESTIMATE(FCF,MEAN,QUARTERLY_ROLL,2024/1F,45772,,,'')&lt;/Q&gt;&lt;R&gt;1&lt;/R&gt;&lt;C&gt;1&lt;/C&gt;&lt;D xsi:type="xsd:double"&gt;21096.059&lt;/D&gt;&lt;/FQL&gt;&lt;FQL&gt;&lt;Q&gt;Ticker0024^FE_ESTIMATE(FCF,MEAN,ANNUAL_ROLL,2023,45772,,,'')&lt;/Q&gt;&lt;R&gt;1&lt;/R&gt;&lt;C&gt;1&lt;/C&gt;&lt;D xsi:type="xsd:double"&gt;60085.832&lt;/D&gt;&lt;/FQL&gt;&lt;FQL&gt;&lt;Q&gt;Ticker0024^FE_ESTIMATE(FCF,MEAN,QUARTERLY_ROLL,2023/4F,45772,,,'')&lt;/Q&gt;&lt;R&gt;1&lt;/R&gt;&lt;C&gt;1&lt;/C&gt;&lt;D xsi:type="xsd:double"&gt;19492.357&lt;/D&gt;&lt;/FQL&gt;&lt;FQL&gt;&lt;Q&gt;Ticker0024^FE_ESTIMATE(FCF,MEAN,QUARTERLY_ROLL,2023/3F,45772,,,'')&lt;/Q&gt;&lt;R&gt;1&lt;/R&gt;&lt;C&gt;1&lt;/C&gt;&lt;D xsi:type="xsd:double"&gt;17765.25&lt;/D&gt;&lt;/FQL&gt;&lt;FQL&gt;&lt;Q&gt;Ticker0024^FE_ESTIMATE(FCF,MEAN,QUARTERLY_ROLL,2023/2F,45772,,,'')&lt;/Q&gt;&lt;R&gt;1&lt;/R&gt;&lt;C&gt;1&lt;/C&gt;&lt;D xsi:type="xsd:double"&gt;5507.533&lt;/D&gt;&lt;/FQL&gt;&lt;FQL&gt;&lt;Q&gt;Ticker0024^FE_ESTIMATE(FCF,MEAN,QUARTERLY_ROLL,2023/1F,45772,,,'')&lt;/Q&gt;&lt;R&gt;1&lt;/R&gt;&lt;C&gt;1&lt;/C&gt;&lt;D xsi:type="xsd:double"&gt;17698&lt;/D&gt;&lt;/FQL&gt;&lt;FQL&gt;&lt;Q&gt;Ticker0024^FE_ESTIMATE(FCF,MEAN,ANNUAL_ROLL,2022,45772,,,'')&lt;/Q&gt;&lt;R&gt;1&lt;/R&gt;&lt;C&gt;1&lt;/C&gt;&lt;D xsi:type="xsd:double"&gt;65067.133&lt;/D&gt;&lt;/FQL&gt;&lt;FQL&gt;&lt;Q&gt;Ticker0024^FE_ESTIMATE(FCF,MEAN,QUARTERLY_ROLL,2022/4F,45772,,,'')&lt;/Q&gt;&lt;R&gt;1&lt;/R&gt;&lt;C&gt;1&lt;/C&gt;&lt;D xsi:type="xsd:double"&gt;17158&lt;/D&gt;&lt;/FQL&gt;&lt;FQL&gt;&lt;Q&gt;Ticker0024^FE_ESTIMATE(FCF,MEAN,QUARTERLY_ROLL,2022/3F,45772,,,'')&lt;/Q&gt;&lt;R&gt;1&lt;/R&gt;&lt;C&gt;1&lt;/C&gt;&lt;D xsi:type="xsd:double"&gt;19608.334&lt;/D&gt;&lt;/FQL&gt;&lt;FQL&gt;&lt;Q&gt;Ticker0024^FE_ESTIMATE(FCF,MEAN,QUARTERLY_ROLL,2022/2F,45772,,,'')&lt;/Q&gt;&lt;R&gt;1&lt;/R&gt;&lt;C&gt;1&lt;/C&gt;&lt;D xsi:type="xsd:double"&gt;9409.818&lt;/D&gt;&lt;/FQL&gt;&lt;FQL&gt;&lt;Q&gt;Ticker0024^FE_ESTIMATE(FCF,MEAN,QUARTERLY_ROLL,2022/1F,45772,,,'')&lt;/Q&gt;&lt;R&gt;1&lt;/R&gt;&lt;C&gt;1&lt;/C&gt;&lt;D xsi:type="xsd:double"&gt;18285.334&lt;/D&gt;&lt;/FQL&gt;&lt;FQL&gt;&lt;Q&gt;Ticker0024^FE_ESTIMATE(FCF,MEAN,ANNUAL_ROLL,2021,45772,,,'')&lt;/Q&gt;&lt;R&gt;1&lt;/R&gt;&lt;C&gt;1&lt;/C&gt;&lt;D xsi:type="xsd:double"&gt;55483.777&lt;/D&gt;&lt;/FQL&gt;&lt;FQL&gt;&lt;Q&gt;Ticker0024^FE_ESTIMATE(FCF,MEAN,QUARTERLY_ROLL,2021/4F,45772,,,'')&lt;/Q&gt;&lt;R&gt;1&lt;/R&gt;&lt;C&gt;1&lt;/C&gt;&lt;D xsi:type="xsd:double"&gt;15893.833&lt;/D&gt;&lt;/FQL&gt;&lt;FQL&gt;&lt;Q&gt;Ticker0024^FE_ESTIMATE(FCF,MEAN,QUARTERLY_ROLL,2021/3F,45772,,,'')&lt;/Q&gt;&lt;R&gt;1&lt;/R&gt;&lt;C&gt;1&lt;/C&gt;&lt;D xsi:type="xsd:double"&gt;16693.5&lt;/D&gt;&lt;/FQL&gt;&lt;FQL&gt;&lt;Q&gt;Ticker0024^FE_ESTIMATE(FCF,MEAN,QUARTERLY_ROLL,2021/2F,45772,,,'')&lt;/Q&gt;&lt;R&gt;1&lt;/R&gt;&lt;C&gt;1&lt;/C&gt;&lt;D xsi:type="xsd:double"&gt;9098&lt;/D&gt;&lt;/FQL&gt;&lt;FQL&gt;&lt;Q&gt;Ticker0024^FE_ESTIMATE(FCF,MEAN,QUARTERLY_ROLL,2021/1F,45772,,,'')&lt;/Q&gt;&lt;R&gt;1&lt;/R&gt;&lt;C&gt;1&lt;/C&gt;&lt;D xsi:type="xsd:double"&gt;13974.333&lt;/D&gt;&lt;/FQL&gt;&lt;FQL&gt;&lt;Q&gt;Ticker0024^FE_ESTIMATE(FCF,MEAN,ANNUAL_ROLL,2020,45772,,,'')&lt;/Q&gt;&lt;R&gt;1&lt;/R&gt;&lt;C&gt;1&lt;/C&gt;&lt;D xsi:type="xsd:double"&gt;45095.453&lt;/D&gt;&lt;/FQL&gt;&lt;FQL&gt;&lt;Q&gt;Ticker0024^FE_ESTIMATE(FCF,MEAN,QUARTERLY_ROLL,2020/4F,45772,,,'')&lt;/Q&gt;&lt;R&gt;1&lt;/R&gt;&lt;C&gt;1&lt;/C&gt;&lt;D xsi:type="xsd:double"&gt;13391.667&lt;/D&gt;&lt;/FQL&gt;&lt;FQL&gt;&lt;Q&gt;Ticker0024^FE_ESTIMATE(FCF,MEAN,QUARTERLY_ROLL,2020/3F,45772,,,'')&lt;/Q&gt;&lt;R&gt;1&lt;/R&gt;&lt;C&gt;1&lt;/C&gt;&lt;D xsi:type="xsd:double"&gt;13437&lt;/D&gt;&lt;/FQL&gt;&lt;FQL&gt;&lt;Q&gt;Ticker0024^FE_ESTIMATE(FCF,MEAN,QUARTERLY_ROLL,2020/2F,45772,,,'')&lt;/Q&gt;&lt;R&gt;1&lt;/R&gt;&lt;C&gt;1&lt;/C&gt;&lt;D xsi:type="xsd:double"&gt;7641.3335&lt;/D&gt;&lt;/FQL&gt;&lt;FQL&gt;&lt;Q&gt;Ticker0024^FE_ESTIMATE(FCF,MEAN,QUARTERLY_ROLL,2020/1F,45772,,,'')&lt;/Q&gt;&lt;R&gt;1&lt;/R&gt;&lt;C&gt;1&lt;/C&gt;&lt;D xsi:type="xsd:double"&gt;10215.875&lt;/D&gt;&lt;/FQL&gt;&lt;FQL&gt;&lt;Q&gt;Ticker0024^FE_ESTIMATE(FCF,MEAN,ANNUAL_ROLL,2019,45772,,,'')&lt;/Q&gt;&lt;R&gt;1&lt;/R&gt;&lt;C&gt;1&lt;/C&gt;&lt;D xsi:type="xsd:double"&gt;38085.168&lt;/D&gt;&lt;/FQL&gt;&lt;FQL&gt;&lt;Q&gt;Ticker0024^FE_ESTIMATE(FCF,MEAN,QUARTERLY_ROLL,2019/4F,45772,,,'')&lt;/Q&gt;&lt;R&gt;1&lt;/R&gt;&lt;C&gt;1&lt;/C&gt;&lt;D xsi:type="xsd:double"&gt;11695.728&lt;/D&gt;&lt;/FQL&gt;&lt;FQL&gt;&lt;Q&gt;Ticker0024^FE_ESTIMATE(FCF,MEAN,QUARTERLY_ROLL,2019/3F,45772,,,'')&lt;/Q&gt;&lt;R&gt;1&lt;/R&gt;&lt;C&gt;1&lt;/C&gt;&lt;D xsi:type="xsd:double"&gt;10834.333&lt;/D&gt;&lt;/FQL&gt;&lt;FQL&gt;&lt;Q&gt;Ticker0024^FE_ESTIMATE(FCF,MEAN,QUARTERLY_ROLL,2019/2F,45772,,,'')&lt;/Q&gt;&lt;R&gt;1&lt;/R&gt;&lt;C&gt;1&lt;/C&gt;&lt;D xsi:type="xsd:double"&gt;5420.25&lt;/D&gt;&lt;/FQL&gt;&lt;FQL&gt;&lt;Q&gt;Ticker0024^FE_ESTIMATE(FCF,MEAN,QUARTERLY_ROLL,2019/1F,45772,,,'')&lt;/Q&gt;&lt;R&gt;1&lt;/R&gt;&lt;C&gt;1&lt;/C&gt;&lt;D xsi:type="xsd:double"&gt;9414.454&lt;/D&gt;&lt;/FQL&gt;&lt;FQL&gt;&lt;Q&gt;Ticker0024^FE_ESTIMATE(FCF,MEAN,ANNUAL_ROLL,2018,45772,,,'')&lt;/Q&gt;&lt;R&gt;1&lt;/R&gt;&lt;C&gt;1&lt;/C&gt;&lt;D xsi:type="xsd:double"&gt;32102.77&lt;/D&gt;&lt;/FQL&gt;&lt;FQL&gt;&lt;Q&gt;Ticker0024^FE_ESTIMATE(FCF,MEAN,QUARTERLY_ROLL,2018/4F,45772,,,'')&lt;/Q&gt;&lt;R&gt;1&lt;/R&gt;&lt;C&gt;1&lt;/C&gt;&lt;D xsi:type="xsd:double"&gt;7717.909&lt;/D&gt;&lt;/FQL&gt;&lt;FQL&gt;&lt;Q&gt;Ticker0024^FE_ESTIMATE(FCF,MEAN,QUARTERLY_ROLL,2018/3F,45772,,,'')&lt;/Q&gt;&lt;R&gt;1&lt;/R&gt;&lt;C&gt;1&lt;/C&gt;&lt;D xsi:type="xsd:double"&gt;8967.363&lt;/D&gt;&lt;/FQL&gt;&lt;FQL&gt;&lt;Q&gt;Ticker0024^FE_ESTIMATE(FCF,MEAN,QUARTERLY_ROLL,2018/2F,45772,,,'')&lt;/Q&gt;&lt;R&gt;1&lt;/R&gt;&lt;C&gt;1&lt;/C&gt;&lt;D xsi:type="xsd:double"&gt;5426.1665&lt;/D&gt;&lt;/FQL&gt;&lt;FQL&gt;&lt;Q&gt;Ticker0024^FE_ESTIMATE(FCF,MEAN,QUARTERLY_ROLL,2018/1F,45772,,,'')&lt;/Q&gt;&lt;R&gt;1&lt;/R&gt;&lt;C&gt;1&lt;/C&gt;&lt;D xsi:type="xsd:double"&gt;9866.75&lt;/D&gt;&lt;/FQL&gt;&lt;FQL&gt;&lt;Q&gt;Ticker0024^FE_ESTIMATE(FCF,MEAN,ANNUAL_ROLL,2017,45772,,,'')&lt;/Q&gt;&lt;R&gt;1&lt;/R&gt;&lt;C&gt;1&lt;/C&gt;&lt;D xsi:type="xsd:double"&gt;30380.875&lt;/D&gt;&lt;/FQL&gt;&lt;FQL&gt;&lt;Q&gt;Ticker0024^FE_ESTIMATE(FCF,MEAN,QUARTERLY_ROLL,2017/4F,45772,,,'')&lt;/Q&gt;&lt;R&gt;1&lt;/R&gt;&lt;C&gt;1&lt;/C&gt;&lt;D xsi:type="xsd:double"&gt;8029.2&lt;/D&gt;&lt;/FQL&gt;&lt;FQL&gt;&lt;Q&gt;Ticker0024^FE_ESTIMATE(FCF,MEAN,QUARTERLY_ROLL,2017/3F,45772,,,'')&lt;/Q&gt;&lt;R&gt;1&lt;/R&gt;&lt;C&gt;1&lt;/C&gt;&lt;D xsi:type="xsd:double"&gt;8506&lt;/D&gt;&lt;/FQL&gt;&lt;FQL&gt;&lt;Q&gt;Ticker0024^FE_ESTIMATE(FCF,MEAN,QUARTERLY_ROLL,2017/2F,45772,,,'')&lt;/Q&gt;&lt;R&gt;1&lt;/R&gt;&lt;C&gt;1&lt;/C&gt;&lt;D xsi:type="xsd:double"&gt;4305&lt;/D&gt;&lt;/FQL&gt;&lt;FQL&gt;&lt;Q&gt;Ticker0024^FE_ESTIMATE(FCF,MEAN,QUARTERLY_ROLL,2017/1F,45772,,,'')&lt;/Q&gt;&lt;R&gt;1&lt;/R&gt;&lt;C&gt;1&lt;/C&gt;&lt;D xsi:type="xsd:double"&gt;9382&lt;/D&gt;&lt;/FQL&gt;&lt;FQL&gt;&lt;Q&gt;Ticker0024^FE_ESTIMATE(FCF,MEAN,ANNUAL_ROLL,2016,45772,,,'')&lt;/Q&gt;&lt;R&gt;1&lt;/R&gt;&lt;C&gt;1&lt;/C&gt;&lt;D xsi:type="xsd:double"&gt;24212.758&lt;/D&gt;&lt;/FQL&gt;&lt;FQL&gt;&lt;Q&gt;Ticker0024^FE_ESTIMATE(FCF,MEAN,QUARTERLY_ROLL,2016/4F,45772,,,'')&lt;/Q&gt;&lt;R&gt;1&lt;/R&gt;&lt;C&gt;1&lt;/C&gt;&lt;D xsi:type="xsd:double"&gt;5742&lt;/D&gt;&lt;/FQL&gt;&lt;FQL&gt;&lt;Q&gt;Ticker0024^FE_ESTIMATE(FCF,MEAN,QUARTERLY_ROLL,2016/3F,45772,,,'')&lt;/Q&gt;&lt;R&gt;1&lt;/R&gt;&lt;C&gt;1&lt;/C&gt;&lt;D xsi:type="xsd:double"&gt;6915.5625&lt;/D&gt;&lt;/FQL&gt;&lt;FQL&gt;&lt;Q&gt;Ticker0024^FE_ESTIMATE(FCF,MEAN,QUARTERLY_ROLL,2016/2F,45772,,,'')&lt;/Q&gt;&lt;R&gt;1&lt;/R&gt;&lt;C&gt;1&lt;/C&gt;&lt;D xsi:type="xsd:double"&gt;3510.5&lt;/D&gt;&lt;/FQL&gt;&lt;FQL&gt;&lt;Q&gt;Ticker0024^FE_ESTIMATE(FCF,MEAN,QUARTERLY_ROLL,2016/1F,45772,,,'')&lt;/Q&gt;&lt;R&gt;1&lt;/R&gt;&lt;C&gt;1&lt;/C&gt;&lt;D xsi:type="xsd:double"&gt;7124&lt;/D&gt;&lt;/FQL&gt;&lt;FQL&gt;&lt;Q&gt;Ticker0024^FE_ESTIMATE(FCF,MEAN,ANNUAL_ROLL,2015,45772,,,'')&lt;/Q&gt;&lt;R&gt;1&lt;/R&gt;&lt;C&gt;1&lt;/C&gt;&lt;D xsi:type="xsd:double"&gt;22531.357&lt;/D&gt;&lt;/FQL&gt;&lt;FQL&gt;&lt;Q&gt;Ticker0024^FE_ESTIMATE(FCF,MEAN,QUARTERLY_ROLL,2015/4F,45772,,,'')&lt;/Q&gt;&lt;R&gt;1&lt;/R&gt;&lt;C&gt;1&lt;/C&gt;&lt;D xsi:type="xsd:double"&gt;4565.622&lt;/D&gt;&lt;/FQL&gt;&lt;FQL&gt;&lt;Q&gt;Ticker0024^FE_ESTIMATE(FCF,MEAN,QUARTERLY_ROLL,2015/3F,45772,,,'')&lt;/Q&gt;&lt;R&gt;1&lt;/R&gt;&lt;C&gt;1&lt;/C&gt;&lt;D xsi:type="xsd:double"&gt;8155.857&lt;/D&gt;&lt;/FQL&gt;&lt;FQL&gt;&lt;Q&gt;Ticker0024^FE_ESTIMATE(FCF,MEAN,QUARTERLY_ROLL,2015/2F,45772,,,'')&lt;/Q&gt;&lt;R&gt;1&lt;/R&gt;&lt;C&gt;1&lt;/C&gt;&lt;D xsi:type="xsd:double"&gt;2850&lt;/D&gt;&lt;/FQL&gt;&lt;FQL&gt;&lt;Q&gt;Ticker0024^FE_ESTIMATE(FCF,MEAN,QUARTERLY_ROLL,2015/1F,45772,,,'')&lt;/Q&gt;&lt;R&gt;1&lt;/R&gt;&lt;C&gt;1&lt;/C&gt;&lt;D xsi:type="xsd:double"&gt;6849.033&lt;/D&gt;&lt;/FQL&gt;&lt;FQL&gt;&lt;Q&gt;Ticker0024^FE_ESTIMATE(CAPEX,MEAN,ANNUAL_ROLL,2030,45772,,,'')&lt;/Q&gt;&lt;R&gt;0&lt;/R&gt;&lt;C&gt;0&lt;/C&gt;&lt;/FQL&gt;&lt;FQL&gt;&lt;Q&gt;Ticker0024^FE_ESTIMATE(CAPEX,MEAN,QUARTERLY_ROLL,2030/4F,45772,,,'')&lt;/Q&gt;&lt;R&gt;0&lt;/R&gt;&lt;C&gt;0&lt;/C&gt;&lt;/FQL&gt;&lt;FQL&gt;&lt;Q&gt;Ticker0024^FE_ESTIMATE(CAPEX,MEAN,QUARTERLY_ROLL,2030/3F,45772,,,'')&lt;/Q&gt;&lt;R&gt;0&lt;/R&gt;&lt;C&gt;0&lt;/C&gt;&lt;/FQL&gt;&lt;FQL&gt;&lt;Q&gt;Ticker0024^FE_ESTIMATE(CAPEX,MEAN,QUARTERLY_ROLL,2030/2F,45772,,,'')&lt;/Q&gt;&lt;R&gt;0&lt;/R&gt;&lt;C&gt;0&lt;/C&gt;&lt;/FQL&gt;&lt;FQL&gt;&lt;Q&gt;Ticker0024^FE_ESTIMATE(CAPEX,MEAN,QUARTERLY_ROLL,2030/1F,45772,,,'')&lt;/Q&gt;&lt;R&gt;0&lt;/R&gt;&lt;C&gt;0&lt;/C&gt;&lt;/FQL&gt;&lt;FQL&gt;&lt;Q&gt;Ticker0024^FE_ESTIMATE(CAPEX,MEAN,ANNUAL_ROLL,2029,45772,,,'')&lt;/Q&gt;&lt;R&gt;0&lt;/R&gt;&lt;C&gt;0&lt;/C&gt;&lt;/FQL&gt;&lt;FQL&gt;&lt;Q&gt;Ticker0024^FE_ESTIMATE(CAPEX,MEAN,QUARTERLY_ROLL,2029/4F,45772,,,'')&lt;/Q&gt;&lt;R&gt;0&lt;/R&gt;&lt;C&gt;0&lt;/C&gt;&lt;/FQL&gt;&lt;FQL&gt;&lt;Q&gt;Ticker0024^FE_ESTIMATE(CAPEX,MEAN,QUARTERLY_ROLL,2029/3F,45772,,,'')&lt;/Q&gt;&lt;R&gt;0&lt;/R&gt;&lt;C&gt;0&lt;/C&gt;&lt;/FQL&gt;&lt;FQL&gt;&lt;Q&gt;Ticker0024^FE_ESTIMATE(CAPEX,MEAN,QUARTERLY_ROLL,2029/2F,45772,,,'')&lt;/Q&gt;&lt;R&gt;0&lt;/R&gt;&lt;C&gt;0&lt;/C&gt;&lt;/FQL&gt;&lt;FQL&gt;&lt;Q&gt;Ticker0024^FE_ESTIMATE(CAPEX,MEAN,QUARTERLY_ROLL,2029/1F,45772,,,'')&lt;/Q&gt;&lt;R&gt;0&lt;/R&gt;&lt;C&gt;0&lt;/C&gt;&lt;/FQL&gt;&lt;FQL&gt;&lt;Q&gt;Ticker0024^FE_ESTIMATE(CAPEX,MEAN,ANNUAL_ROLL,2028,45772,,,'')&lt;/Q&gt;&lt;R&gt;1&lt;/R&gt;&lt;C&gt;1&lt;/C&gt;&lt;D xsi:type="xsd:double"&gt;75907.09&lt;/D&gt;&lt;/FQL&gt;&lt;FQL&gt;&lt;Q&gt;Ticker0024^FE_ESTIMATE(CAPEX,MEAN,QUARTERLY_ROLL,2028/4F,45772,,,'')&lt;/Q&gt;&lt;R&gt;0&lt;/R&gt;&lt;C&gt;0&lt;/C&gt;&lt;/FQL&gt;&lt;FQL&gt;&lt;Q&gt;Ticker0024^FE_ESTIMATE(CAPEX,MEAN,QUARTERLY_ROLL,2028/3F,45772,,,'')&lt;/Q&gt;&lt;R&gt;0&lt;/R&gt;&lt;C&gt;0&lt;/C&gt;&lt;/FQL&gt;&lt;FQL&gt;&lt;Q&gt;Ticker0024^FE_ESTIMATE(CAPEX,MEAN,QUARTERLY_ROLL,2028/2F,45772,,,'')&lt;/Q&gt;&lt;R&gt;0&lt;/R&gt;&lt;C&gt;0&lt;/C&gt;&lt;/FQL&gt;&lt;FQL&gt;&lt;Q&gt;Ticker0024^FE_ESTIMATE(CAPEX,MEAN,QUARTERLY_ROLL,2028/1F,45772,,,'')&lt;/Q&gt;&lt;R&gt;0&lt;/R&gt;&lt;C&gt;0&lt;/C&gt;&lt;/FQL&gt;&lt;FQL&gt;&lt;Q&gt;Ticker0024^FE_ESTIMATE(CAPEX,MEAN,ANNUAL_ROLL,2027,45772,,,'')&lt;/Q&gt;&lt;R&gt;1&lt;/R&gt;&lt;C&gt;1&lt;/C&gt;&lt;D xsi:type="xsd:double"&gt;77091.94&lt;/D&gt;&lt;/FQL&gt;&lt;FQL&gt;&lt;Q&gt;Ticker0024^FE_ESTIMATE(CAPEX,MEAN,QUARTERLY_ROLL,2027/4F,45772,,,'')&lt;/Q&gt;&lt;R&gt;1&lt;/R&gt;&lt;C&gt;1&lt;/C&gt;&lt;D xsi:type="xsd:double"&gt;23568.6&lt;/D&gt;&lt;/FQL&gt;&lt;FQL&gt;&lt;Q&gt;Ticker0024^FE_ESTIMATE(CAPEX,MEAN,QUARTERLY_ROLL,2027/3F,45772,,,'')&lt;/Q&gt;&lt;R&gt;1&lt;/R&gt;&lt;C&gt;1&lt;/C&gt;&lt;D xsi:type="xsd:double"&gt;21084.35&lt;/D&gt;&lt;/FQL&gt;&lt;FQL&gt;&lt;Q&gt;Ticker0024^FE_ESTIMATE(CAPEX,MEAN,QUARTERLY_ROLL,2027/2F,45772,,,'')&lt;/Q&gt;&lt;R&gt;1&lt;/R&gt;&lt;C&gt;1&lt;/C&gt;&lt;D xsi:type="xsd:double"&gt;19833.701&lt;/D&gt;&lt;/FQL&gt;&lt;FQL&gt;&lt;Q&gt;Ticker0024^FE_ESTIMATE(CAPEX,MEAN,QUARTERLY_ROLL,2027/1F,45772,,,'')&lt;/Q&gt;&lt;R&gt;1&lt;/R&gt;&lt;C&gt;1&lt;/C&gt;&lt;D xsi:type="xsd:double"&gt;18738.602&lt;/D&gt;&lt;/FQL&gt;&lt;FQL&gt;&lt;Q&gt;Ticker0024^FE_ESTIMATE(CAPEX,MEAN,ANNUAL_ROLL,2026,45772,,,'')&lt;/Q&gt;&lt;R&gt;1&lt;/R&gt;&lt;C&gt;1&lt;/C&gt;&lt;D xsi:type="xsd:double"&gt;72897.766&lt;/D&gt;&lt;/FQL&gt;&lt;FQL&gt;&lt;Q&gt;Ticker0024^FE_ESTIMATE(CAPEX,MEAN,QUARTERLY_ROLL,2026/4F,45772,,,'')&lt;/Q&gt;&lt;R&gt;1&lt;/R&gt;&lt;C&gt;1&lt;/C&gt;&lt;D xsi:type="xsd:double"&gt;19544.545&lt;/D&gt;&lt;/FQL&gt;&lt;FQL&gt;&lt;Q&gt;Ticker0024^FE_ESTIMATE(CAPEX,MEAN,QUARTERLY_ROLL,2026/3F,45772,,,'')&lt;/Q&gt;&lt;R&gt;1&lt;/R&gt;&lt;C&gt;1&lt;/C&gt;&lt;D xsi:type="xsd:double"&gt;18383.137&lt;/D&gt;&lt;/FQL&gt;&lt;FQL&gt;&lt;Q&gt;Ticker0024^FE_ESTIMATE(CAPEX,MEAN,QUARTERLY_ROLL,2026/2F,45772,,,'')&lt;/Q&gt;&lt;R&gt;1&lt;/R&gt;&lt;C&gt;1&lt;/C&gt;&lt;D xsi:type="xsd:double"&gt;17683.75&lt;/D&gt;&lt;/FQL&gt;&lt;FQL&gt;&lt;Q&gt;Ticker0024^FE_ESTIMATE(CAPEX,MEAN,QUARTERLY_ROLL,2026/1F,45772,,,'')&lt;/Q&gt;&lt;R&gt;1&lt;/R&gt;&lt;C&gt;1&lt;/C&gt;&lt;D xsi:type="xsd:double"&gt;16772.727&lt;/D&gt;&lt;/FQL&gt;&lt;FQL&gt;&lt;Q&gt;Ticker0024^FE_ESTIMATE(CAPEX,MEAN,ANNUAL_ROLL,2025,45772,,,'')&lt;/Q&gt;&lt;R&gt;1&lt;/R&gt;&lt;C&gt;1&lt;/C&gt;&lt;D xsi:type="xsd:double"&gt;66221.63&lt;/D&gt;&lt;/FQL&gt;&lt;FQL&gt;&lt;Q&gt;Ticker0024^FE_ESTIMATE(CAPEX,MEAN,QUARTERLY_ROLL,2025/4F,45772,,,'')&lt;/Q&gt;&lt;R&gt;1&lt;/R&gt;&lt;C&gt;1&lt;/C&gt;&lt;D xsi:type="xsd:double"&gt;16746.459&lt;/D&gt;&lt;/FQL&gt;&lt;FQL&gt;&lt;Q&gt;Ticker0024^FE_ESTIMATE(CAPEX,MEAN,QUARTERLY_ROLL,2025/3F,45772,,,'')&lt;/Q&gt;&lt;R&gt;1&lt;/R&gt;&lt;C&gt;1&lt;/C&gt;&lt;D xsi:type="xsd:double"&gt;16223.93&lt;/D&gt;&lt;/FQL&gt;&lt;FQL&gt;&lt;Q&gt;Ticker0024^FE_ESTIMATE(CAPEX,MEAN,QUARTERLY_ROLL,2025/2F,45772,,,'')&lt;/Q&gt;&lt;R&gt;1&lt;/R&gt;&lt;C&gt;1&lt;/C&gt;&lt;D xsi:type="xsd:double"&gt;15788.9375&lt;/D&gt;&lt;/FQL&gt;&lt;FQL&gt;&lt;Q&gt;Ticker0024^FE_ESTIMATE(CAPEX,MEAN,QUARTERLY_ROLL,2025/1F,45772,,,'')&lt;/Q&gt;&lt;R&gt;1&lt;/R&gt;&lt;C&gt;1&lt;/C&gt;&lt;D xsi:type="xsd:double"&gt;14922.786&lt;/D&gt;&lt;/FQL&gt;&lt;FQL&gt;&lt;Q&gt;Ticker0024^FE_ESTIMATE(CAPEX,MEAN,ANNUAL_ROLL,2024,45772,,,'')&lt;/Q&gt;&lt;R&gt;1&lt;/R&gt;&lt;C&gt;1&lt;/C&gt;&lt;D xsi:type="xsd:double"&gt;44477.12&lt;/D&gt;&lt;/FQL&gt;&lt;FQL&gt;&lt;Q&gt;Ticker0024^FE_ESTIMATE(CAPEX,MEAN,QUARTERLY_ROLL,2024/4F,45772,,,'')&lt;/Q&gt;&lt;R&gt;1&lt;/R&gt;&lt;C&gt;1&lt;/C&gt;&lt;D xsi:type="xsd:double"&gt;13874.714&lt;/D&gt;&lt;/FQL&gt;&lt;FQL&gt;&lt;Q&gt;Ticker0024^FE_ESTIMATE(CAPEX,MEAN,QUARTERLY_ROLL,2024/3F,45772,,,'')&lt;/Q&gt;&lt;R&gt;1&lt;/R&gt;&lt;C&gt;1&lt;/C&gt;&lt;D xsi:type="xsd:double"&gt;10951.875&lt;/D&gt;&lt;/FQL&gt;&lt;FQL&gt;&lt;Q&gt;Ticker0024^FE_ESTIMATE(CAPEX,MEAN,QUARTERLY_ROLL,2024/2F,45772,,,'')&lt;/Q&gt;&lt;R&gt;1&lt;/R&gt;&lt;C&gt;1&lt;/C&gt;&lt;D xsi:type="xsd:double"&gt;10013.947&lt;/D&gt;&lt;/FQL&gt;&lt;FQL&gt;&lt;Q&gt;Ticker0024^FE_ESTIMATE(CAPEX,MEAN,QUARTERLY_ROLL,2024/1F,45772,,,'')&lt;/Q&gt;&lt;R&gt;1&lt;/R&gt;&lt;C&gt;1&lt;/C&gt;&lt;D xsi:type="xsd:double"&gt;10002.733&lt;/D&gt;&lt;/FQL&gt;&lt;FQL&gt;&lt;Q&gt;Ticker0024^FE_ESTIMATE(CAPEX,MEAN,ANNUAL_ROLL,2023,45772,,,'')&lt;/Q&gt;&lt;R&gt;1&lt;/R&gt;&lt;C&gt;1&lt;/C&gt;&lt;D xsi:type="xsd:double"&gt;28107.125&lt;/D&gt;&lt;/FQL&gt;&lt;FQL&gt;&lt;Q&gt;Ticker0024^FE_ESTIMATE(CAPEX,MEAN,QUARTERLY_ROLL,2023/4F,45772,,,'')&lt;/Q&gt;&lt;R&gt;1&lt;/R&gt;&lt;C&gt;1&lt;/C&gt;&lt;D xsi:type="xsd:double"&gt;8942.77&lt;/D&gt;&lt;/FQL&gt;&lt;FQL&gt;&lt;Q&gt;Ticker0024^FE_ESTIMATE(CAPEX,MEAN,QUARTERLY_ROLL,2023/3F,45772,,,'')&lt;/Q&gt;&lt;R&gt;1&lt;/R&gt;&lt;C&gt;1&lt;/C&gt;&lt;D xsi:type="xsd:double"&gt;6607.25&lt;/D&gt;&lt;/FQL&gt;&lt;FQL&gt;&lt;Q&gt;Ticker0024^FE_ESTIMATE(CAPEX,MEAN,QUARTERLY_ROLL,2023/2F,45772,,,'')&lt;/Q&gt;&lt;R&gt;1&lt;/R&gt;&lt;C&gt;1&lt;/C&gt;&lt;D xsi:type="xsd:double"&gt;6273.636&lt;/D&gt;&lt;/FQL&gt;&lt;FQL&gt;&lt;Q&gt;Ticker0024^FE_ESTIMATE(CAPEX,MEAN,QUARTERLY_ROLL,2023/1F,45772,,,'')&lt;/Q&gt;&lt;R&gt;1&lt;/R&gt;&lt;C&gt;1&lt;/C&gt;&lt;D xsi:type="xsd:double"&gt;6283&lt;/D&gt;&lt;/FQL&gt;&lt;FQL&gt;&lt;Q&gt;Ticker0024^FE_ESTIMATE(CAPEX,MEAN,ANNUAL_ROLL,2022,45772,,,'')&lt;/Q&gt;&lt;R&gt;1&lt;/R&gt;&lt;C&gt;1&lt;/C&gt;&lt;D xsi:type="xsd:double"&gt;24090.385&lt;/D&gt;&lt;/FQL&gt;&lt;FQL&gt;&lt;Q&gt;Ticker0024^FE_ESTIMATE(CAPEX,MEAN,QUARTERLY_ROLL,2022/4F,45772,,,'')&lt;/Q&gt;&lt;R&gt;1&lt;/R&gt;&lt;C&gt;1&lt;/C&gt;&lt;D xsi:type="xsd:double"&gt;7023.4165&lt;/D&gt;&lt;/FQL&gt;&lt;FQL&gt;&lt;Q&gt;Ticker0024^FE_ESTIMATE(CAPEX,MEAN,QUARTERLY_ROLL,2022/3F,45772,,,'')&lt;/Q&gt;&lt;R&gt;1&lt;/R&gt;&lt;C&gt;1&lt;/C&gt;&lt;D xsi:type="xsd:double"&gt;5436&lt;/D&gt;&lt;/FQL&gt;&lt;FQL&gt;&lt;Q&gt;Ticker0024^FE_ESTIMATE(CAPEX,MEAN,QUARTERLY_ROLL,2022/2F,45772,,,'')&lt;/Q&gt;&lt;R&gt;1&lt;/R&gt;&lt;C&gt;1&lt;/C&gt;&lt;D xsi:type="xsd:double"&gt;5958.5&lt;/D&gt;&lt;/FQL&gt;&lt;FQL&gt;&lt;Q&gt;Ticker0024^FE_ESTIMATE(CAPEX,MEAN,QUARTERLY_ROLL,2022/1F,45772,,,'')&lt;/Q&gt;&lt;R&gt;1&lt;/R&gt;&lt;C&gt;1&lt;/C&gt;&lt;D xsi:type="xsd:double"&gt;5954.5454&lt;/D&gt;&lt;/FQL&gt;&lt;FQL&gt;&lt;Q&gt;Ticker0024^FE_ESTIMATE(CAPEX,MEAN,ANNUAL_ROLL,2021,45772,,,'')&lt;/Q&gt;&lt;R&gt;1&lt;/R&gt;&lt;C&gt;1&lt;/C&gt;&lt;D xsi:type="xsd:double"&gt;20901.076&lt;/D&gt;&lt;/FQL&gt;&lt;FQL&gt;&lt;Q&gt;Ticker0024^FE_ESTIMATE(CAPEX,MEAN,QUARTERLY_ROLL,2021/4F,45772,,,'')&lt;/Q&gt;&lt;R&gt;1&lt;/R&gt;&lt;C&gt;1&lt;/C&gt;&lt;D xsi:type="xsd:double"&gt;6558&lt;/D&gt;&lt;/FQL&gt;&lt;FQL&gt;&lt;Q&gt;Ticker0024^FE_ESTIMATE(CAPEX,MEAN,QUARTERLY_ROLL,2021/3F,45772,,,'')&lt;/Q&gt;&lt;R&gt;1&lt;/R&gt;&lt;C&gt;1&lt;/C&gt;&lt;D xsi:type="xsd:double"&gt;5190.222&lt;/D&gt;&lt;/FQL&gt;&lt;FQL&gt;&lt;Q&gt;Ticker0024^FE_ESTIMATE(CAPEX,MEAN,QUARTERLY_ROLL,2021/2F,45772,,,'')&lt;/Q&gt;&lt;R&gt;1&lt;/R&gt;&lt;C&gt;1&lt;/C&gt;&lt;D xsi:type="xsd:double"&gt;4310.222&lt;/D&gt;&lt;/FQL&gt;&lt;FQL&gt;&lt;Q&gt;Ticker0024^FE_ESTIMATE(CAPEX,MEAN,QUARTERLY_ROLL,2021/1F,45772,,,'')&lt;/Q&gt;&lt;R&gt;1&lt;/R&gt;&lt;C&gt;1&lt;/C&gt;&lt;D xsi:type="xsd:double"&gt;4951.2&lt;/D&gt;&lt;/FQL&gt;&lt;FQL&gt;&lt;Q&gt;Ticker0024^FE_ESTIMATE(CAPEX,MEAN,ANNUAL_ROLL,2020,45772,,,'')&lt;/Q&gt;&lt;R&gt;1&lt;/R&gt;&lt;C&gt;1&lt;/C&gt;&lt;D xsi:type="xsd:double"&gt;15737.583&lt;/D&gt;&lt;/FQL&gt;&lt;FQL&gt;&lt;Q&gt;Ticker0024^FE_ESTIMATE(CAPEX,MEAN,QUARTERLY_ROLL,2020/4F,45772,,,'')&lt;/Q&gt;&lt;R&gt;1&lt;/R&gt;&lt;C&gt;1&lt;/C&gt;&lt;D xsi:type="xsd:double"&gt;4876&lt;/D&gt;&lt;/FQL&gt;&lt;FQL&gt;&lt;Q&gt;Ticker0024^FE_ESTIMATE(CAPEX,MEAN,QUARTERLY_ROLL,2020/3F,45772,,,'')&lt;/Q&gt;&lt;R&gt;1&lt;/R&gt;&lt;C&gt;1&lt;/C&gt;&lt;D xsi:type="xsd:double"&gt;3781.7778&lt;/D&gt;&lt;/FQL&gt;&lt;FQL&gt;&lt;Q&gt;Ticker0024^FE_ESTIMATE(CAPEX,MEAN,QUARTERLY_ROLL,2020/2F,45772,,,'')&lt;/Q&gt;&lt;R&gt;1&lt;/R&gt;&lt;C&gt;1&lt;/C&gt;&lt;D xsi:type="xsd:double"&gt;3640.5&lt;/D&gt;&lt;/FQL&gt;&lt;FQL&gt;&lt;Q&gt;Ticker0024^FE_ESTIMATE(CAPEX,MEAN,QUARTERLY_ROLL,2020/1F,45772,,,'')&lt;/Q&gt;&lt;R&gt;1&lt;/R&gt;&lt;C&gt;1&lt;/C&gt;&lt;D xsi:type="xsd:double"&gt;3526.5&lt;/D&gt;&lt;/FQL&gt;&lt;FQL&gt;&lt;Q&gt;Ticker0024^FE_ESTIMATE(CAPEX,MEAN,ANNUAL_ROLL,2019,45772,,,'')&lt;/Q&gt;&lt;R&gt;1&lt;/R&gt;&lt;C&gt;1&lt;/C&gt;&lt;D xsi:type="xsd:double"&gt;14123.333&lt;/D&gt;&lt;/FQL&gt;&lt;FQL&gt;&lt;Q&gt;Ticker0024^FE_ESTIMATE(CAPEX,MEAN,QUARTERLY_ROLL,2019/4F,45772,,,'')&lt;/Q&gt;&lt;R&gt;1&lt;/R&gt;&lt;C&gt;1&lt;/C&gt;&lt;D xsi:type="xsd:double"&gt;4300.8&lt;/D&gt;&lt;/FQL&gt;&lt;FQL&gt;&lt;Q&gt;Ticker0024^FE_ESTIMATE(CAPEX,MEAN,QUARTERLY_ROLL,2019/3F,45772,,,'')&lt;/Q&gt;&lt;R&gt;1&lt;/R&gt;&lt;C&gt;1&lt;/C&gt;&lt;D xsi:type="xsd:double"&gt;2648.5&lt;/D&gt;&lt;/FQL&gt;&lt;FQL&gt;&lt;Q&gt;Ticker0024^FE_ESTIMATE(CAPEX,MEAN,QUARTERLY_ROLL,2019/2F,45772,,,'')&lt;/Q&gt;&lt;R&gt;1&lt;/R&gt;&lt;C&gt;1&lt;/C&gt;&lt;D xsi:type="xsd:double"&gt;3736.6924&lt;/D&gt;&lt;/FQL&gt;&lt;FQL&gt;&lt;Q&gt;Ticker0024^FE_ESTIMATE(CAPEX,MEAN,QUARTERLY_ROLL,2019/1F,45772,,,'')&lt;/Q&gt;&lt;R&gt;1&lt;/R&gt;&lt;C&gt;1&lt;/C&gt;&lt;D xsi:type="xsd:double"&gt;3728.9092&lt;/D&gt;&lt;/FQL&gt;&lt;FQL&gt;&lt;Q&gt;Ticker0024^FE_ESTIMATE(CAPEX,MEAN,ANNUAL_ROLL,2018,45772,,,'')&lt;/Q&gt;&lt;R&gt;1&lt;/R&gt;&lt;C&gt;1&lt;/C&gt;&lt;D xsi:type="xsd:double"&gt;11958.8&lt;/D&gt;&lt;/FQL&gt;&lt;FQL&gt;&lt;Q&gt;Ticker0024^FE_ESTIMATE(CAPEX,MEAN,QUARTERLY_ROLL,2018/4F,45772,,,'')&lt;/Q&gt;&lt;R&gt;1&lt;/R&gt;&lt;C&gt;1&lt;/C&gt;&lt;D xsi:type="xsd:double"&gt;3993.3333&lt;/D&gt;&lt;/FQL&gt;&lt;FQL&gt;&lt;Q&gt;Ticker0024^FE_ESTIMATE(CAPEX,MEAN,QUARTERLY_ROLL,2018/3F,45772,,,'')&lt;/Q&gt;&lt;R&gt;1&lt;/R&gt;&lt;C&gt;1&lt;/C&gt;&lt;D xsi:type="xsd:double"&gt;2934&lt;/D&gt;&lt;/FQL&gt;&lt;FQL&gt;&lt;Q&gt;Ticker0024^FE_ESTIMATE(CAPEX,MEAN,QUARTERLY_ROLL,2018/2F,45772,,,'')&lt;/Q&gt;&lt;R&gt;1&lt;/R&gt;&lt;C&gt;1&lt;/C&gt;&lt;D xsi:type="xsd:double"&gt;2650.9092&lt;/D&gt;&lt;/FQL&gt;&lt;FQL&gt;&lt;Q&gt;Ticker0024^FE_ESTIMATE(CAPEX,MEAN,QUARTERLY_ROLL,2018/1F,45772,,,'')&lt;/Q&gt;&lt;R&gt;1&lt;/R&gt;&lt;C&gt;1&lt;/C&gt;&lt;D xsi:type="xsd:double"&gt;2132&lt;/D&gt;&lt;/FQL&gt;&lt;FQL&gt;&lt;Q&gt;Ticker0024^FE_ESTIMATE(CAPEX,MEAN,ANNUAL_ROLL,2017,45772,,,'')&lt;/Q&gt;&lt;R&gt;1&lt;/R&gt;&lt;C&gt;1&lt;/C&gt;&lt;D xsi:type="xsd:double"&gt;8129&lt;/D&gt;&lt;/FQL&gt;&lt;FQL&gt;&lt;Q&gt;Ticker0024^FE_ESTIMATE(CAPEX,MEAN,QUARTERLY_ROLL,2017/4F,45772,,,'')&lt;/Q&gt;&lt;R&gt;1&lt;/R&gt;&lt;C&gt;1&lt;/C&gt;&lt;D xsi:type="xsd:double"&gt;2283&lt;/D&gt;&lt;/FQL&gt;&lt;FQL&gt;&lt;Q&gt;Ticker0024^FE_ESTIMATE(CAPEX,MEAN,QUARTERLY_ROLL,2017/3F,45772,,,'')&lt;/Q&gt;&lt;R&gt;1&lt;/R&gt;&lt;C&gt;1&lt;/C&gt;&lt;D xsi:type="xsd:double"&gt;1767.909&lt;/D&gt;&lt;/FQL&gt;&lt;FQL&gt;&lt;Q&gt;Ticker0024^FE_ESTIMATE(CAPEX,MEAN,QUARTERLY_ROLL,2017/2F,45772,,,'')&lt;/Q&gt;&lt;R&gt;1&lt;/R&gt;&lt;C&gt;1&lt;/C&gt;&lt;D xsi:type="xsd:double"&gt;1988&lt;/D&gt;&lt;/FQL&gt;&lt;FQL&gt;&lt;Q&gt;Ticker0024^FE_ESTIMATE(CAPEX,MEAN,QUARTERLY_ROLL,2017/1F,45772,,,'')&lt;/Q&gt;&lt;R&gt;1&lt;/R&gt;&lt;C&gt;1&lt;/C&gt;&lt;D xsi:type="xsd:double"&gt;2163&lt;/D&gt;&lt;/FQL&gt;&lt;FQL&gt;&lt;Q&gt;Ticker0024^FE_ESTIMATE(CAPEX,MEAN,ANNUAL_ROLL,2016,45772,,,'')&lt;/Q&gt;&lt;R&gt;1&lt;/R&gt;&lt;C&gt;1&lt;/C&gt;&lt;D xsi:type="xsd:double"&gt;8343&lt;/D&gt;&lt;/FQL&gt;&lt;FQL&gt;&lt;Q&gt;Ticker0024^FE_ESTIMATE(CAPEX,MEAN,QUARTERLY_ROLL,2016/4F,45772,,,'')&lt;/Q&gt;&lt;R&gt;1&lt;/R&gt;&lt;C&gt;1&lt;/C&gt;&lt;D xsi:type="xsd:double"&gt;2655&lt;/D&gt;&lt;/FQL&gt;&lt;FQL&gt;&lt;Q&gt;Ticker0024^FE_ESTIMATE(CAPEX,MEAN,QUARTERLY_ROLL,2016/3F,45772,,,'')&lt;/Q&gt;&lt;R&gt;1&lt;/R&gt;&lt;C&gt;1&lt;/C&gt;&lt;D xsi:type="xsd:double"&gt;2308&lt;/D&gt;&lt;/FQL&gt;&lt;FQL&gt;&lt;Q&gt;Ticker0024^FE_ESTIMATE(CAPEX,MEAN,QUARTERLY_ROLL,2016/2F,45772,,,'')&lt;/Q&gt;&lt;R&gt;1&lt;/R&gt;&lt;C&gt;1&lt;/C&gt;&lt;D xsi:type="xsd:double"&gt;2024&lt;/D&gt;&lt;/FQL&gt;&lt;FQL&gt;&lt;Q&gt;Ticker0024^FE_ESTIMATE(CAPEX,MEAN,QUARTERLY_ROLL,2016/1F,45772,,,'')&lt;/Q&gt;&lt;R&gt;1&lt;/R&gt;&lt;C&gt;1&lt;/C&gt;&lt;D xsi:type="xsd:double"&gt;1356&lt;/D&gt;&lt;/FQL&gt;&lt;FQL&gt;&lt;Q&gt;Ticker0024^FE_ESTIMATE(CAPEX,MEAN,ANNUAL_ROLL,2015,45772,,,'')&lt;/Q&gt;&lt;R&gt;1&lt;/R&gt;&lt;C&gt;1&lt;/C&gt;&lt;D xsi:type="xsd:double"&gt;5944&lt;/D&gt;&lt;/FQL&gt;&lt;FQL&gt;&lt;Q&gt;Ticker0024^FE_ESTIMATE(CAPEX,MEAN,QUARTERLY_ROLL,2015/4F,45772,,,'')&lt;/Q&gt;&lt;R&gt;1&lt;/R&gt;&lt;C&gt;1&lt;/C&gt;&lt;D xsi:type="xsd:double"&gt;1781&lt;/D&gt;&lt;/FQL&gt;&lt;FQL&gt;&lt;Q&gt;Ticker0024^FE_ESTIMATE(CAPEX,MEAN,QUARTERLY_ROLL,2015/3F,45772,,,'')&lt;/Q&gt;&lt;R&gt;1&lt;/R&gt;&lt;C&gt;1&lt;/C&gt;&lt;D xsi:type="xsd:double"&gt;1391&lt;/D&gt;&lt;/FQL&gt;&lt;FQL&gt;&lt;Q&gt;Ticker0024^FE_ESTIMATE(CAPEX,MEAN,QUARTERLY_ROLL,2015/2F,45772,,,'')&lt;/Q&gt;&lt;R&gt;1&lt;/R&gt;&lt;C&gt;1&lt;/C&gt;&lt;D xsi:type="xsd:double"&gt;1490&lt;/D&gt;&lt;/FQL&gt;&lt;FQL&gt;&lt;Q&gt;Ticker0024^FE_ESTIMATE(CAPEX,MEAN,QUARTERLY_ROLL,2015/1F,45772,,,'')&lt;/Q&gt;&lt;R&gt;1&lt;/R&gt;&lt;C&gt;1&lt;/C&gt;&lt;D xsi:type="xsd:double"&gt;1282&lt;/D&gt;&lt;/FQL&gt;&lt;FQL&gt;&lt;Q&gt;Ticker0024^FE_ESTIMATE(CFO,MEAN,ANNUAL_ROLL,2030,45772,,,'')&lt;/Q&gt;&lt;R&gt;0&lt;/R&gt;&lt;C&gt;0&lt;/C&gt;&lt;/FQL&gt;&lt;FQL&gt;&lt;Q&gt;Ticker0024^FE_ESTIMATE(CFO,MEAN,QUARTERLY_ROLL,2030/4F,45772,,,'')&lt;/Q&gt;&lt;R&gt;0&lt;/R&gt;&lt;C&gt;0&lt;/C&gt;&lt;/FQL&gt;&lt;FQL&gt;&lt;Q&gt;Ticker0024^FE_ESTIMATE(CFO,MEAN,QUARTERLY_ROLL,2030/3F,45772,,,'')&lt;/Q&gt;&lt;R&gt;0&lt;/R&gt;&lt;C&gt;0&lt;/C&gt;&lt;/FQL&gt;&lt;FQL&gt;&lt;Q&gt;Ticker0024^FE_ESTIMATE(CFO,MEAN,QUARTERLY_ROLL,2030/2F,45772,,,'')&lt;/Q&gt;&lt;R&gt;0&lt;/R&gt;&lt;C&gt;0&lt;/C&gt;&lt;/FQL&gt;&lt;FQL&gt;&lt;Q&gt;Ticker0024^FE_ESTIMATE(CFO,MEAN,QUARTERLY_ROLL,2030/1F,45772,,,'')&lt;/Q&gt;&lt;R&gt;0&lt;/R&gt;&lt;C&gt;0&lt;/C&gt;&lt;/FQL&gt;&lt;FQL&gt;&lt;Q&gt;Ticker0024^FE_ESTIMATE(CFO,MEAN,ANNUAL_ROLL,2029,45772,,,'')&lt;/Q&gt;&lt;R&gt;0&lt;/R&gt;&lt;C&gt;0&lt;/C&gt;&lt;/FQL&gt;&lt;FQL&gt;&lt;Q&gt;Ticker0024^FE_ESTIMATE(CFO,MEAN,QUARTERLY_ROLL,2029/4F,45772,,,'')&lt;/Q&gt;&lt;R&gt;0&lt;/R&gt;&lt;C&gt;0&lt;/C&gt;&lt;/FQL&gt;&lt;FQL&gt;&lt;Q&gt;Ticker0024^FE_ESTIMATE(CFO,MEAN,QUARTERLY_ROLL,2029/3F,45772,,,'')&lt;/Q&gt;&lt;R&gt;0&lt;/R&gt;&lt;C&gt;0&lt;/C&gt;&lt;/FQL&gt;&lt;FQL&gt;&lt;Q&gt;Ticker0024^FE_ESTIMATE(CFO,MEAN,QUARTERLY_ROLL,2029/2F,45772,,,'')&lt;/Q&gt;&lt;R&gt;0&lt;/R&gt;&lt;C&gt;0&lt;/C&gt;&lt;/FQL&gt;&lt;FQL&gt;&lt;Q&gt;Ticker0024^FE_ESTIMATE(CFO,MEAN,QUARTERLY_ROLL,2029/1F,45772,,,'')&lt;/Q&gt;&lt;R&gt;0&lt;/R&gt;&lt;C&gt;0&lt;/C&gt;&lt;/FQL&gt;&lt;FQL&gt;&lt;Q&gt;Ticker0024^FE_ESTIMATE(CFO,MEAN,ANNUAL_ROLL,2028,45772,,,'')&lt;/Q&gt;&lt;R&gt;1&lt;/R&gt;&lt;C&gt;1&lt;/C&gt;&lt;D xsi:type="xsd:double"&gt;226816&lt;/D&gt;&lt;/FQL&gt;&lt;FQL&gt;&lt;Q&gt;Ticker0024^FE_ESTIMATE(CFO,MEAN,QUARTERLY_ROLL,2028/4F,45772,,,'')&lt;/Q&gt;&lt;R&gt;0&lt;/R&gt;&lt;C&gt;0&lt;/C&gt;&lt;/FQL&gt;&lt;FQL&gt;&lt;Q&gt;Ticker0024^FE_ESTIMATE(CFO,MEAN,QUARTERLY_ROLL,2028/3F,45772,,,'')&lt;/Q&gt;&lt;R&gt;0&lt;/R&gt;&lt;C&gt;0&lt;/C&gt;&lt;/FQL&gt;&lt;FQL&gt;&lt;Q&gt;Ticker0024^FE_ESTIMATE(CFO,MEAN,QUARTERLY_ROLL,2028/2F,45772,,,'')&lt;/Q&gt;&lt;R&gt;0&lt;/R&gt;&lt;C&gt;0&lt;/C&gt;&lt;/FQL&gt;&lt;FQL&gt;&lt;Q&gt;Ticker0024^FE_ESTIMATE(CFO,MEAN,QUARTERLY_ROLL,2028/1F,45772,,,'')&lt;/Q&gt;&lt;R&gt;0&lt;/R&gt;&lt;C&gt;0&lt;/C&gt;&lt;/FQL&gt;&lt;FQL&gt;&lt;Q&gt;Ticker0024^FE_ESTIMATE(CFO,MEAN,ANNUAL_ROLL,2027,45772,,,'')&lt;/Q&gt;&lt;R&gt;1&lt;/R&gt;&lt;C&gt;1&lt;/C&gt;&lt;D xsi:type="xsd:double"&gt;170969.06&lt;/D&gt;&lt;/FQL&gt;&lt;FQL&gt;&lt;Q&gt;Ticker0024^FE_ESTIMATE(CFO,MEAN,QUARTERLY_ROLL,2027/4F,45772,,,'')&lt;/Q&gt;&lt;R&gt;1&lt;/R&gt;&lt;C&gt;1&lt;/C&gt;&lt;D xsi:type="xsd:double"&gt;44364.332&lt;/D&gt;&lt;/FQL&gt;&lt;FQL&gt;&lt;Q&gt;Ticker0024^FE_ESTIMATE(CFO,MEAN,QUARTERLY_ROLL,2027/3F,45772,,,'')&lt;/Q&gt;&lt;R&gt;1&lt;/R&gt;&lt;C&gt;1&lt;/C&gt;&lt;D xsi:type="xsd:double"&gt;40902&lt;/D&gt;&lt;/FQL&gt;&lt;FQL&gt;&lt;Q&gt;Ticker0024^FE_ESTIMATE(CFO,MEAN,QUARTERLY_ROLL,2027/2F,45772,,,'')&lt;/Q&gt;&lt;R&gt;1&lt;/R&gt;&lt;C&gt;1&lt;/C&gt;&lt;D xsi:type="xsd:double"&gt;30646.666&lt;/D&gt;&lt;/FQL&gt;&lt;FQL&gt;&lt;Q&gt;Ticker0024^FE_ESTIMATE(CFO,MEAN,QUARTERLY_ROLL,2027/1F,45772,,,'')&lt;/Q&gt;&lt;R&gt;1&lt;/R&gt;&lt;C&gt;1&lt;/C&gt;&lt;D xsi:type="xsd:double"&gt;53132.332&lt;/D&gt;&lt;/FQL&gt;&lt;FQL&gt;&lt;Q&gt;Ticker0024^FE_ESTIMATE(CFO,MEAN,ANNUAL_ROLL,2026,45772,,,'')&lt;/Q&gt;&lt;R&gt;1&lt;/R&gt;&lt;C&gt;1&lt;/C&gt;&lt;D xsi:type="xsd:double"&gt;149335.08&lt;/D&gt;&lt;/FQL&gt;&lt;FQL&gt;&lt;Q&gt;Ticker0024^FE_ESTIMATE(CFO,MEAN,QUARTERLY_ROLL,2026/4F,45772,,,'')&lt;/Q&gt;&lt;R&gt;1&lt;/R&gt;&lt;C&gt;1&lt;/C&gt;&lt;D xsi:type="xsd:double"&gt;43052.625&lt;/D&gt;&lt;/FQL&gt;&lt;FQL&gt;&lt;Q&gt;Ticker0024^FE_ESTIMATE(CFO,MEAN,QUARTERLY_ROLL,2026/3F,45772,,,'')&lt;/Q&gt;&lt;R&gt;1&lt;/R&gt;&lt;C&gt;1&lt;/C&gt;&lt;D xsi:type="xsd:double"&gt;37066.125&lt;/D&gt;&lt;/FQL&gt;&lt;FQL&gt;&lt;Q&gt;Ticker0024^FE_ESTIMATE(CFO,MEAN,QUARTERLY_ROLL,2026/2F,45772,,,'')&lt;/Q&gt;&lt;R&gt;1&lt;/R&gt;&lt;C&gt;1&lt;/C&gt;&lt;D xsi:type="xsd:double"&gt;27832.6&lt;/D&gt;&lt;/FQL&gt;&lt;FQL&gt;&lt;Q&gt;Ticker0024^FE_ESTIMATE(CFO,MEAN,QUARTERLY_ROLL,2026/1F,45772,,,'')&lt;/Q&gt;&lt;R&gt;1&lt;/R&gt;&lt;C&gt;1&lt;/C&gt;&lt;D xsi:type="xsd:double"&gt;41189.3&lt;/D&gt;&lt;/FQL&gt;&lt;FQL&gt;&lt;Q&gt;Ticker0024^FE_ESTIMATE(CFO,MEAN,ANNUAL_ROLL,2025,45772,,,'')&lt;/Q&gt;&lt;R&gt;1&lt;/R&gt;&lt;C&gt;1&lt;/C&gt;&lt;D xsi:type="xsd:double"&gt;130434.88&lt;/D&gt;&lt;/FQL&gt;&lt;FQL&gt;&lt;Q&gt;Ticker0024^FE_ESTIMATE(CFO,MEAN,QUARTERLY_ROLL,2025/4F,45772,,,'')&lt;/Q&gt;&lt;R&gt;1&lt;/R&gt;&lt;C&gt;1&lt;/C&gt;&lt;D xsi:type="xsd:double"&gt;39674.875&lt;/D&gt;&lt;/FQL&gt;&lt;FQL&gt;&lt;Q&gt;Ticker0024^FE_ESTIMATE(CFO,MEAN,QUARTERLY_ROLL,2025/3F,45772,,,'')&lt;/Q&gt;&lt;R&gt;1&lt;/R&gt;&lt;C&gt;1&lt;/C&gt;&lt;D xsi:type="xsd:double"&gt;33981.01&lt;/D&gt;&lt;/FQL&gt;&lt;FQL&gt;&lt;Q&gt;Ticker0024^FE_ESTIMATE(CFO,MEAN,QUARTERLY_ROLL,2025/2F,45772,,,'')&lt;/Q&gt;&lt;R&gt;1&lt;/R&gt;&lt;C&gt;1&lt;/C&gt;&lt;D xsi:type="xsd:double"&gt;22290.938&lt;/D&gt;&lt;/FQL&gt;&lt;FQL&gt;&lt;Q&gt;Ticker0024^FE_ESTIMATE(CFO,MEAN,QUARTERLY_ROLL,2025/1F,45772,,,'')&lt;/Q&gt;&lt;R&gt;1&lt;/R&gt;&lt;C&gt;1&lt;/C&gt;&lt;D xsi:type="xsd:double"&gt;34180&lt;/D&gt;&lt;/FQL&gt;&lt;FQL&gt;&lt;Q&gt;Ticker0024^FE_ESTIMATE(CFO,MEAN,ANNUAL_ROLL,2024,45772,,,'')&lt;/Q&gt;&lt;R&gt;1&lt;/R&gt;&lt;C&gt;1&lt;/C&gt;&lt;D xsi:type="xsd:double"&gt;119091&lt;/D&gt;&lt;/FQL&gt;&lt;FQL&gt;&lt;Q&gt;Ticker0024^FE_ESTIMATE(CFO,MEAN,QUARTERLY_ROLL,2024/4F,45772,,,'')&lt;/Q&gt;&lt;R&gt;1&lt;/R&gt;&lt;C&gt;1&lt;/C&gt;&lt;D xsi:type="xsd:double"&gt;37195.355&lt;/D&gt;&lt;/FQL&gt;&lt;FQL&gt;&lt;Q&gt;Ticker0024^FE_ESTIMATE(CFO,MEAN,QUARTERLY_ROLL,2024/3F,45772,,,'')&lt;/Q&gt;&lt;R&gt;1&lt;/R&gt;&lt;C&gt;1&lt;/C&gt;&lt;D xsi:type="xsd:double"&gt;31917.176&lt;/D&gt;&lt;/FQL&gt;&lt;FQL&gt;&lt;Q&gt;Ticker0024^FE_ESTIMATE(CFO,MEAN,QUARTERLY_ROLL,2024/2F,45772,,,'')&lt;/Q&gt;&lt;R&gt;1&lt;/R&gt;&lt;C&gt;1&lt;/C&gt;&lt;D xsi:type="xsd:double"&gt;18855.445&lt;/D&gt;&lt;/FQL&gt;&lt;FQL&gt;&lt;Q&gt;Ticker0024^FE_ESTIMATE(CFO,MEAN,QUARTERLY_ROLL,2024/1F,45772,,,'')&lt;/Q&gt;&lt;R&gt;1&lt;/R&gt;&lt;C&gt;1&lt;/C&gt;&lt;D xsi:type="xsd:double"&gt;30578.588&lt;/D&gt;&lt;/FQL&gt;&lt;FQL&gt;&lt;Q&gt;Ticker0024^FE_ESTIMATE(CFO,MEAN,ANNUAL_ROLL,2023,45772,,,'')&lt;/Q&gt;&lt;R&gt;1&lt;/R&gt;&lt;C&gt;1&lt;/C&gt;&lt;D xsi:type="xsd:double"&gt;87714&lt;/D&gt;&lt;/FQL&gt;&lt;FQL&gt;&lt;Q&gt;Ticker0024^FE_ESTIMATE(CFO,MEAN,QUARTERLY_ROLL,2023/4F,45772,,,'')&lt;/Q&gt;&lt;R&gt;1&lt;/R&gt;&lt;C&gt;1&lt;/C&gt;&lt;D xsi:type="xsd:double"&gt;28504.813&lt;/D&gt;&lt;/FQL&gt;&lt;FQL&gt;&lt;Q&gt;Ticker0024^FE_ESTIMATE(CFO,MEAN,QUARTERLY_ROLL,2023/3F,45772,,,'')&lt;/Q&gt;&lt;R&gt;1&lt;/R&gt;&lt;C&gt;1&lt;/C&gt;&lt;D xsi:type="xsd:double"&gt;24325.75&lt;/D&gt;&lt;/FQL&gt;&lt;FQL&gt;&lt;Q&gt;Ticker0024^FE_ESTIMATE(CFO,MEAN,QUARTERLY_ROLL,2023/2F,45772,,,'')&lt;/Q&gt;&lt;R&gt;1&lt;/R&gt;&lt;C&gt;1&lt;/C&gt;&lt;D xsi:type="xsd:double"&gt;11172.8&lt;/D&gt;&lt;/FQL&gt;&lt;FQL&gt;&lt;Q&gt;Ticker0024^FE_ESTIMATE(CFO,MEAN,QUARTERLY_ROLL,2023/1F,45772,,,'')&lt;/Q&gt;&lt;R&gt;1&lt;/R&gt;&lt;C&gt;1&lt;/C&gt;&lt;D xsi:type="xsd:double"&gt;23330.53&lt;/D&gt;&lt;/FQL&gt;&lt;FQL&gt;&lt;Q&gt;Ticker0024^FE_ESTIMATE(CFO,MEAN,ANNUAL_ROLL,2022,45772,,,'')&lt;/Q&gt;&lt;R&gt;1&lt;/R&gt;&lt;C&gt;1&lt;/C&gt;&lt;D xsi:type="xsd:double"&gt;89044.74&lt;/D&gt;&lt;/FQL&gt;&lt;FQL&gt;&lt;Q&gt;Ticker0024^FE_ESTIMATE(CFO,MEAN,QUARTERLY_ROLL,2022/4F,45772,,,'')&lt;/Q&gt;&lt;R&gt;1&lt;/R&gt;&lt;C&gt;1&lt;/C&gt;&lt;D xsi:type="xsd:double"&gt;24629&lt;/D&gt;&lt;/FQL&gt;&lt;FQL&gt;&lt;Q&gt;Ticker0024^FE_ESTIMATE(CFO,MEAN,QUARTERLY_ROLL,2022/3F,45772,,,'')&lt;/Q&gt;&lt;R&gt;1&lt;/R&gt;&lt;C&gt;1&lt;/C&gt;&lt;D xsi:type="xsd:double"&gt;25386&lt;/D&gt;&lt;/FQL&gt;&lt;FQL&gt;&lt;Q&gt;Ticker0024^FE_ESTIMATE(CFO,MEAN,QUARTERLY_ROLL,2022/2F,45772,,,'')&lt;/Q&gt;&lt;R&gt;1&lt;/R&gt;&lt;C&gt;1&lt;/C&gt;&lt;D xsi:type="xsd:double"&gt;14480&lt;/D&gt;&lt;/FQL&gt;&lt;FQL&gt;&lt;Q&gt;Ticker0024^FE_ESTIMATE(CFO,MEAN,QUARTERLY_ROLL,2022/1F,45772,,,'')&lt;/Q&gt;&lt;R&gt;1&lt;/R&gt;&lt;C&gt;1&lt;/C&gt;&lt;D xsi:type="xsd:double"&gt;24540&lt;/D&gt;&lt;/FQL&gt;&lt;FQL&gt;&lt;Q&gt;Ticker0024^FE_ESTIMATE(CFO,MEAN,ANNUAL_ROLL,2021,45772,,,'')&lt;/Q&gt;&lt;R&gt;1&lt;/R&gt;&lt;C&gt;1&lt;/C&gt;&lt;D xsi:type="xsd:double"&gt;77615.55&lt;/D&gt;&lt;/FQL&gt;&lt;FQL&gt;&lt;Q&gt;Ticker0024^FE_ESTIMATE(CFO,MEAN,QUARTERLY_ROLL,2021/4F,45772,,,'')&lt;/Q&gt;&lt;R&gt;1&lt;/R&gt;&lt;C&gt;1&lt;/C&gt;&lt;D xsi:type="xsd:double"&gt;22710&lt;/D&gt;&lt;/FQL&gt;&lt;FQL&gt;&lt;Q&gt;Ticker0024^FE_ESTIMATE(CFO,MEAN,QUARTERLY_ROLL,2021/3F,45772,,,'')&lt;/Q&gt;&lt;R&gt;1&lt;/R&gt;&lt;C&gt;1&lt;/C&gt;&lt;D xsi:type="xsd:double"&gt;21909&lt;/D&gt;&lt;/FQL&gt;&lt;FQL&gt;&lt;Q&gt;Ticker0024^FE_ESTIMATE(CFO,MEAN,QUARTERLY_ROLL,2021/2F,45772,,,'')&lt;/Q&gt;&lt;R&gt;1&lt;/R&gt;&lt;C&gt;1&lt;/C&gt;&lt;D xsi:type="xsd:double"&gt;12516&lt;/D&gt;&lt;/FQL&gt;&lt;FQL&gt;&lt;Q&gt;Ticker0024^FE_ESTIMATE(CFO,MEAN,QUARTERLY_ROLL,2021/1F,45772,,,'')&lt;/Q&gt;&lt;R&gt;1&lt;/R&gt;&lt;C&gt;1&lt;/C&gt;&lt;D xsi:type="xsd:double"&gt;19151.9&lt;/D&gt;&lt;/FQL&gt;&lt;FQL&gt;&lt;Q&gt;Ticker0024^FE_ESTIMATE(CFO,MEAN,ANNUAL_ROLL,2020,45772,,,'')&lt;/Q&gt;&lt;R&gt;1&lt;/R&gt;&lt;C&gt;1&lt;/C&gt;&lt;D xsi:type="xsd:double"&gt;60473.91&lt;/D&gt;&lt;/FQL&gt;&lt;FQL&gt;&lt;Q&gt;Ticker0024^FE_ESTIMATE(CFO,MEAN,QUARTERLY_ROLL,2020/4F,45772,,,'')&lt;/Q&gt;&lt;R&gt;1&lt;/R&gt;&lt;C&gt;1&lt;/C&gt;&lt;D xsi:type="xsd:double"&gt;18673&lt;/D&gt;&lt;/FQL&gt;&lt;FQL&gt;&lt;Q&gt;Ticker0024^FE_ESTIMATE(CFO,MEAN,QUARTERLY_ROLL,2020/3F,45772,,,'')&lt;/Q&gt;&lt;R&gt;1&lt;/R&gt;&lt;C&gt;1&lt;/C&gt;&lt;D xsi:type="xsd:double"&gt;17507.223&lt;/D&gt;&lt;/FQL&gt;&lt;FQL&gt;&lt;Q&gt;Ticker0024^FE_ESTIMATE(CFO,MEAN,QUARTERLY_ROLL,2020/2F,45772,,,'')&lt;/Q&gt;&lt;R&gt;1&lt;/R&gt;&lt;C&gt;1&lt;/C&gt;&lt;D xsi:type="xsd:double"&gt;10680&lt;/D&gt;&lt;/FQL&gt;&lt;FQL&gt;&lt;Q&gt;Ticker0024^FE_ESTIMATE(CFO,MEAN,QUARTERLY_ROLL,2020/1F,45772,,,'')&lt;/Q&gt;&lt;R&gt;1&lt;/R&gt;&lt;C&gt;1&lt;/C&gt;&lt;D xsi:type="xsd:double"&gt;13818&lt;/D&gt;&lt;/FQL&gt;&lt;FQL&gt;&lt;Q&gt;Ticker0024^FE_ESTIMATE(CFO,MEAN,ANNUAL_ROLL,2019,45772,,,'')&lt;/Q&gt;&lt;R&gt;1&lt;/R&gt;&lt;C&gt;1&lt;/C&gt;&lt;D xsi:type="xsd:double"&gt;51866.285&lt;/D&gt;&lt;/FQL&gt;&lt;FQL&gt;&lt;Q&gt;Ticker0024^FE_ESTIMATE(CFO,MEAN,QUARTERLY_ROLL,2019/4F,45772,,,'')&lt;/Q&gt;&lt;R&gt;1&lt;/R&gt;&lt;C&gt;1&lt;/C&gt;&lt;D xsi:type="xsd:double"&gt;16108&lt;/D&gt;&lt;/FQL&gt;&lt;FQL&gt;&lt;Q&gt;Ticker0024^FE_ESTIMATE(CFO,MEAN,QUARTERLY_ROLL,2019/3F,45772,,,'')&lt;/Q&gt;&lt;R&gt;1&lt;/R&gt;&lt;C&gt;1&lt;/C&gt;&lt;D xsi:type="xsd:double"&gt;13520&lt;/D&gt;&lt;/FQL&gt;&lt;FQL&gt;&lt;Q&gt;Ticker0024^FE_ESTIMATE(CFO,MEAN,QUARTERLY_ROLL,2019/2F,45772,,,'')&lt;/Q&gt;&lt;R&gt;1&lt;/R&gt;&lt;C&gt;1&lt;/C&gt;&lt;D xsi:type="xsd:double"&gt;8854.25&lt;/D&gt;&lt;/FQL&gt;&lt;FQL&gt;&lt;Q&gt;Ticker0024^FE_ESTIMATE(CFO,MEAN,QUARTERLY_ROLL,2019/1F,45772,,,'')&lt;/Q&gt;&lt;R&gt;1&lt;/R&gt;&lt;C&gt;1&lt;/C&gt;&lt;D xsi:type="xsd:double"&gt;13284.637&lt;/D&gt;&lt;/FQL&gt;&lt;FQL&gt;&lt;Q&gt;Ticker0024^FE_ESTIMATE(CFO,MEAN,ANNUAL_ROLL,2018,45772,,,'')&lt;/Q&gt;&lt;R&gt;1&lt;/R&gt;&lt;C&gt;1&lt;/C&gt;&lt;D xsi:type="xsd:double"&gt;43558.848&lt;/D&gt;&lt;/FQL&gt;&lt;FQL&gt;&lt;Q&gt;Ticker0024^FE_ESTIMATE(CFO,MEAN,QUARTERLY_ROLL,2018/4F,45772,,,'')&lt;/Q&gt;&lt;R&gt;1&lt;/R&gt;&lt;C&gt;1&lt;/C&gt;&lt;D xsi:type="xsd:double"&gt;11606.333&lt;/D&gt;&lt;/FQL&gt;&lt;FQL&gt;&lt;Q&gt;Ticker0024^FE_ESTIMATE(CFO,MEAN,QUARTERLY_ROLL,2018/3F,45772,,,'')&lt;/Q&gt;&lt;R&gt;1&lt;/R&gt;&lt;C&gt;1&lt;/C&gt;&lt;D xsi:type="xsd:double"&gt;12151&lt;/D&gt;&lt;/FQL&gt;&lt;FQL&gt;&lt;Q&gt;Ticker0024^FE_ESTIMATE(CFO,MEAN,QUARTERLY_ROLL,2018/2F,45772,,,'')&lt;/Q&gt;&lt;R&gt;1&lt;/R&gt;&lt;C&gt;1&lt;/C&gt;&lt;D xsi:type="xsd:double"&gt;7875&lt;/D&gt;&lt;/FQL&gt;&lt;FQL&gt;&lt;Q&gt;Ticker0024^FE_ESTIMATE(CFO,MEAN,QUARTERLY_ROLL,2018/1F,45772,,,'')&lt;/Q&gt;&lt;R&gt;1&lt;/R&gt;&lt;C&gt;1&lt;/C&gt;&lt;D xsi:type="xsd:double"&gt;12440&lt;/D&gt;&lt;/FQL&gt;&lt;FQL&gt;&lt;Q&gt;Ticker0024^FE_ESTIMATE(CFO,MEAN,ANNUAL_ROLL,2017,45772,,,'')&lt;/Q&gt;&lt;R&gt;1&lt;/R&gt;&lt;C&gt;1&lt;/C&gt;&lt;D xsi:type="xsd:double"&gt;39507&lt;/D&gt;&lt;/FQL&gt;&lt;FQL&gt;&lt;Q&gt;Ticker0024^FE_ESTIMATE(CFO,MEAN,QUARTERLY_ROLL,2017/4F,45772,,,'')&lt;/Q&gt;&lt;R&gt;1&lt;/R&gt;&lt;C&gt;1&lt;/C&gt;&lt;D xsi:type="xsd:double"&gt;11005&lt;/D&gt;&lt;/FQL&gt;&lt;FQL&gt;&lt;Q&gt;Ticker0024^FE_ESTIMATE(CFO,MEAN,QUARTERLY_ROLL,2017/3F,45772,,,'')&lt;/Q&gt;&lt;R&gt;1&lt;/R&gt;&lt;C&gt;1&lt;/C&gt;&lt;D xsi:type="xsd:double"&gt;10660&lt;/D&gt;&lt;/FQL&gt;&lt;FQL&gt;&lt;Q&gt;Ticker0024^FE_ESTIMATE(CFO,MEAN,QUARTERLY_ROLL,2017/2F,45772,,,'')&lt;/Q&gt;&lt;R&gt;1&lt;/R&gt;&lt;C&gt;1&lt;/C&gt;&lt;D xsi:type="xsd:double"&gt;6293&lt;/D&gt;&lt;/FQL&gt;&lt;FQL&gt;&lt;Q&gt;Ticker0024^FE_ESTIMATE(CFO,MEAN,QUARTERLY_ROLL,2017/1F,45772,,,'')&lt;/Q&gt;&lt;R&gt;1&lt;/R&gt;&lt;C&gt;1&lt;/C&gt;&lt;D xsi:type="xsd:double"&gt;11549&lt;/D&gt;&lt;/FQL&gt;&lt;FQL&gt;&lt;Q&gt;Ticker0024^FE_ESTIMATE(CFO,MEAN,ANNUAL_ROLL,2016,45772,,,'')&lt;/Q&gt;&lt;R&gt;1&lt;/R&gt;&lt;C&gt;1&lt;/C&gt;&lt;D xsi:type="xsd:double"&gt;32872.5&lt;/D&gt;&lt;/FQL&gt;&lt;FQL&gt;&lt;Q&gt;Ticker0024^FE_ESTIMATE(CFO,MEAN,QUARTERLY_ROLL,2016/4F,45772,,,'')&lt;/Q&gt;&lt;R&gt;1&lt;/R&gt;&lt;C&gt;1&lt;/C&gt;&lt;D xsi:type="xsd:double"&gt;8464&lt;/D&gt;&lt;/FQL&gt;&lt;FQL&gt;&lt;Q&gt;Ticker0024^FE_ESTIMATE(CFO,MEAN,QUARTERLY_ROLL,2016/3F,45772,,,'')&lt;/Q&gt;&lt;R&gt;1&lt;/R&gt;&lt;C&gt;1&lt;/C&gt;&lt;D xsi:type="xsd:double"&gt;10367&lt;/D&gt;&lt;/FQL&gt;&lt;FQL&gt;&lt;Q&gt;Ticker0024^FE_ESTIMATE(CFO,MEAN,QUARTERLY_ROLL,2016/2F,45772,,,'')&lt;/Q&gt;&lt;R&gt;1&lt;/R&gt;&lt;C&gt;1&lt;/C&gt;&lt;D xsi:type="xsd:double"&gt;5598&lt;/D&gt;&lt;/FQL&gt;&lt;FQL&gt;&lt;Q&gt;Ticker0024^FE_ESTIMATE(CFO,MEAN,QUARTERLY_ROLL,2016/1F,45772,,,'')&lt;/Q&gt;&lt;R&gt;1&lt;/R&gt;&lt;C&gt;1&lt;/C&gt;&lt;D xsi:type="xsd:double"&gt;8550.5&lt;/D&gt;&lt;/FQL&gt;&lt;FQL&gt;&lt;Q&gt;Ticker0024^FE_ESTIMATE(CFO,MEAN,ANNUAL_ROLL,2015,45772,,,'')&lt;/Q&gt;&lt;R&gt;1&lt;/R&gt;&lt;C&gt;1&lt;/C&gt;&lt;D xsi:type="xsd:double"&gt;29510.059&lt;/D&gt;&lt;/FQL&gt;&lt;FQL&gt;&lt;Q&gt;Ticker0024^FE_ESTIMATE(CFO,MEAN,QUARTERLY_ROLL,2015/4F,45772,,,'')&lt;/Q&gt;&lt;R&gt;1&lt;/R&gt;&lt;C&gt;1&lt;/C&gt;&lt;D xsi:type="xsd:double"&gt;7446.231&lt;/D&gt;&lt;/FQL&gt;&lt;FQL&gt;&lt;Q&gt;Ticker0024^FE_ESTIMATE(CFO,MEAN,QUARTERLY_ROLL,2015/3F,45772,,,'')&lt;/Q&gt;&lt;R&gt;1&lt;/R&gt;&lt;C&gt;1&lt;/C&gt;&lt;D xsi:type="xsd:double"&gt;9570&lt;/D&gt;&lt;/FQL&gt;&lt;FQL&gt;&lt;Q&gt;Ticker0024^FE_ESTIMATE(CFO,MEAN,QUARTERLY_ROLL,2015/2F,45772,,,'')&lt;/Q&gt;&lt;R&gt;1&lt;/R&gt;&lt;C&gt;1&lt;/C&gt;&lt;D xsi:type="xsd:double"&gt;4340&lt;/D&gt;&lt;/FQL&gt;&lt;FQL&gt;&lt;Q&gt;Ticker0024^FE_ESTIMATE(CFO,MEAN,QUARTERLY_ROLL,2015/1F,45772,,,'')&lt;/Q&gt;&lt;R&gt;1&lt;/R&gt;&lt;C&gt;1&lt;/C&gt;&lt;D xsi:type="xsd:double"&gt;8354&lt;/D&gt;&lt;/FQL&gt;&lt;FQL&gt;&lt;Q&gt;Ticker0024^FE_ESTIMATE(EPS,MEAN,ANNUAL_ROLL,2030,45772,,,'')&lt;/Q&gt;&lt;R&gt;0&lt;/R&gt;&lt;C&gt;0&lt;/C&gt;&lt;/FQL&gt;&lt;FQL&gt;&lt;Q&gt;Ticker0024^FE_ESTIMATE(EPS,MEAN,QUARTERLY_ROLL,2030/4F,45772,,,'')&lt;/Q&gt;&lt;R&gt;0&lt;/R&gt;&lt;C&gt;0&lt;/C&gt;&lt;/FQL&gt;&lt;FQL&gt;&lt;Q&gt;Ticker0024^FE_ESTIMATE(EPS,MEAN,QUARTERLY_ROLL,2030/3F,45772,,,'')&lt;/Q&gt;&lt;R&gt;0&lt;/R&gt;&lt;C&gt;0&lt;/C&gt;&lt;/FQL&gt;&lt;FQL&gt;&lt;Q&gt;Ticker0024^FE_ESTIMATE(EPS,MEAN,QUARTERLY_ROLL,2030/2F,45772,,,'')&lt;/Q&gt;&lt;R&gt;0&lt;/R&gt;&lt;C&gt;0&lt;/C&gt;&lt;/FQL&gt;&lt;FQL&gt;&lt;Q&gt;Ticker0024^FE_ESTIMATE(EPS,MEAN,QUARTERLY_ROLL,2030/1F,45772,,,'')&lt;/Q&gt;&lt;R&gt;0&lt;/R&gt;&lt;C&gt;0&lt;/C&gt;&lt;/FQL&gt;&lt;FQL&gt;&lt;Q&gt;Ticker0024^FE_ESTIMATE(EPS,MEAN,ANNUAL_ROLL,2029,45772,,,'')&lt;/Q&gt;&lt;R&gt;1&lt;/R&gt;&lt;C&gt;1&lt;/C&gt;&lt;D xsi:type="xsd:double"&gt;24.15&lt;/D&gt;&lt;/FQL&gt;&lt;FQL&gt;&lt;Q&gt;Ticker0024^FE_ESTIMATE(EPS,MEAN,QUARTERLY_ROLL,2029/4F,45772,,,'')&lt;/Q&gt;&lt;R&gt;0&lt;/R&gt;&lt;C&gt;0&lt;/C&gt;&lt;/FQL&gt;&lt;FQL&gt;&lt;Q&gt;Ticker0024^FE_ESTIMATE(EPS,MEAN,QUARTERLY_ROLL,2029/3F,45772,,,'')&lt;/Q&gt;&lt;R&gt;0&lt;/R&gt;&lt;C&gt;0&lt;/C&gt;&lt;/FQL&gt;&lt;FQL&gt;&lt;Q&gt;Ticker0024^FE_ESTIMATE(EPS,MEAN,QUARTERLY_ROLL,2029/2F,45772,,,'')&lt;/Q&gt;&lt;R&gt;0&lt;/R&gt;&lt;C&gt;0&lt;/C&gt;&lt;/FQL&gt;&lt;FQL&gt;&lt;Q&gt;Ticker0024^FE_ESTIMATE(EPS,MEAN,QUARTERLY_ROLL,2029/1F,45772,,,'')&lt;/Q&gt;&lt;R&gt;0&lt;/R&gt;&lt;C&gt;0&lt;/C&gt;&lt;/FQL&gt;&lt;FQL&gt;&lt;Q&gt;Ticker0024^FE_ESTIMATE(EPS,MEAN,ANNUAL_ROLL,2028,45772,,,'')&lt;/Q&gt;&lt;R&gt;1&lt;/R&gt;&lt;C&gt;1&lt;/C&gt;&lt;D xsi:type="xsd:double"&gt;20.015442&lt;/D&gt;&lt;/FQL&gt;&lt;FQL&gt;&lt;Q&gt;Ticker0024^FE_ESTIMATE(EPS,MEAN,QUARTERLY_ROLL,2028/4F,45772,,,'')&lt;/Q&gt;&lt;R&gt;0&lt;/R&gt;&lt;C&gt;0&lt;/C&gt;&lt;/FQL&gt;&lt;FQL&gt;&lt;Q&gt;Ticker0024^FE_ESTIMATE(EPS,MEAN,QUARTERLY_ROLL,2028/3F,45772,,,'')&lt;/Q&gt;&lt;R&gt;0&lt;/R&gt;&lt;C&gt;0&lt;/C&gt;&lt;/FQL&gt;&lt;FQL&gt;&lt;Q&gt;Ticker0024^FE_ESTIMATE(EPS,MEAN,QUARTERLY_ROLL,2028/2F,45772,,,'')&lt;/Q&gt;&lt;R&gt;0&lt;/R&gt;&lt;C&gt;0&lt;/C&gt;&lt;/FQL&gt;&lt;FQL&gt;&lt;Q&gt;Ticker0024^FE_ESTIMATE(EPS,MEAN,QUARTERLY_ROLL,2028/1F,45772,,,'')&lt;/Q&gt;&lt;R&gt;0&lt;/R&gt;&lt;C&gt;0&lt;/C&gt;&lt;/FQL&gt;&lt;FQL&gt;&lt;Q&gt;Ticker0024^FE_ESTIMATE(EPS,MEAN,ANNUAL_ROLL,2027,45772,,,'')&lt;/Q&gt;&lt;R&gt;1&lt;/R&gt;&lt;C&gt;1&lt;/C&gt;&lt;D xsi:type="xsd:double"&gt;17.578491&lt;/D&gt;&lt;/FQL&gt;&lt;FQL&gt;&lt;Q&gt;Ticker0024^FE_ESTIMATE(EPS,MEAN,QUARTERLY_ROLL,2027/4F,45772,,,'')&lt;/Q&gt;&lt;R&gt;1&lt;/R&gt;&lt;C&gt;1&lt;/C&gt;&lt;D xsi:type="xsd:double"&gt;4.4741325&lt;/D&gt;&lt;/FQL&gt;&lt;FQL&gt;&lt;Q&gt;Ticker0024^FE_ESTIMATE(EPS,MEAN,QUARTERLY_ROLL,2027/3F,45772,,,'')&lt;/Q&gt;&lt;R&gt;1&lt;/R&gt;&lt;C&gt;1&lt;/C&gt;&lt;D xsi:type="xsd:double"&gt;4.2367997&lt;/D&gt;&lt;/FQL&gt;&lt;FQL&gt;&lt;Q&gt;Ticker0024^FE_ESTIMATE(EPS,MEAN,QUARTERLY_ROLL,2027/2F,45772,,,'')&lt;/Q&gt;&lt;R&gt;1&lt;/R&gt;&lt;C&gt;1&lt;/C&gt;&lt;D xsi:type="xsd:double"&gt;4.309489&lt;/D&gt;&lt;/FQL&gt;&lt;FQL&gt;&lt;Q&gt;Ticker0024^FE_ESTIMATE(EPS,MEAN,QUARTERLY_ROLL,2027/1F,45772,,,'')&lt;/Q&gt;&lt;R&gt;1&lt;/R&gt;&lt;C&gt;1&lt;/C&gt;&lt;D xsi:type="xsd:double"&gt;4.134915&lt;/D&gt;&lt;/FQL&gt;&lt;FQL&gt;&lt;Q&gt;Ticker0024^FE_ESTIMATE(EPS,MEAN,ANNUAL_ROLL,2026,45772,,,'')&lt;/Q&gt;&lt;R&gt;1&lt;/R&gt;&lt;C&gt;1&lt;/C&gt;&lt;D xsi:type="xsd:double"&gt;14.859606&lt;/D&gt;&lt;/FQL&gt;&lt;FQL&gt;&lt;Q&gt;Ticker0024^FE_ESTIMATE(EPS,MEAN,QUARTERLY_ROLL,2026/4F,45772,,,'')&lt;/Q&gt;&lt;R&gt;1&lt;/R&gt;&lt;C&gt;1&lt;/C&gt;&lt;D xsi:type="xsd:double"&gt;3.82042&lt;/D&gt;&lt;/FQL&gt;&lt;FQL&gt;&lt;Q&gt;Ticker0024^FE_ESTIMATE(EPS,MEAN,QUARTERLY_ROLL,2026/3F,45772,,,'')&lt;/Q&gt;&lt;R&gt;1&lt;/R&gt;&lt;C&gt;1&lt;/C&gt;&lt;D xsi:type="xsd:double"&gt;3.6292257&lt;/D&gt;&lt;/FQL&gt;&lt;FQL&gt;&lt;Q&gt;Ticker0024^FE_ESTIMATE(EPS,MEAN,QUARTERLY_ROLL,2026/2F,45772,,,'')&lt;/Q&gt;&lt;R&gt;1&lt;/R&gt;&lt;C&gt;1&lt;/C&gt;&lt;D xsi:type="xsd:double"&gt;3.6969428&lt;/D&gt;&lt;/FQL&gt;&lt;FQL&gt;&lt;Q&gt;Ticker0024^FE_ESTIMATE(EPS,MEAN,QUARTERLY_ROLL,2026/1F,45772,,,'')&lt;/Q&gt;&lt;R&gt;1&lt;/R&gt;&lt;C&gt;1&lt;/C&gt;&lt;D xsi:type="xsd:double"&gt;3.5427094&lt;/D&gt;&lt;/FQL&gt;&lt;FQL&gt;&lt;Q&gt;Ticker0024^FE_ESTIMATE(EPS,MEAN,ANNUAL_ROLL,2025,45772,,,'')&lt;/Q&gt;&lt;R&gt;1&lt;/R&gt;&lt;C&gt;1&lt;/C&gt;&lt;D xsi:type="xsd:double"&gt;13.150888&lt;/D&gt;&lt;/FQL&gt;&lt;FQL&gt;&lt;Q&gt;Ticker0024^FE_ESTIMATE(EPS,MEAN,QUARTERLY_ROLL,2025/4F,45772,,,'')&lt;/Q&gt;&lt;R&gt;1&lt;/R&gt;&lt;C&gt;1&lt;/C&gt;&lt;D xsi:type="xsd:double"&gt;3.3215313&lt;/D&gt;&lt;/FQL&gt;&lt;FQL&gt;&lt;Q&gt;Ticker0024^FE_ESTIMATE(EPS,MEAN,QUARTERLY_ROLL,2025/3F,45772,,,'')&lt;/Q&gt;&lt;R&gt;1&lt;/R&gt;&lt;C&gt;1&lt;/C&gt;&lt;D xsi:type="xsd:double"&gt;3.2222133&lt;/D&gt;&lt;/FQL&gt;&lt;FQL&gt;&lt;Q&gt;Ticker0024^FE_ESTIMATE(EPS,MEAN,QUARTERLY_ROLL,2025/2F,45772,,,'')&lt;/Q&gt;&lt;R&gt;1&lt;/R&gt;&lt;C&gt;1&lt;/C&gt;&lt;D xsi:type="xsd:double"&gt;3.23&lt;/D&gt;&lt;/FQL&gt;&lt;FQL&gt;&lt;Q&gt;Ticker0024^FE_ESTIMATE(EPS,MEAN,QUARTERLY_ROLL,2025/1F,45772,,,'')&lt;/Q&gt;&lt;R&gt;1&lt;/R&gt;&lt;C&gt;1&lt;/C&gt;&lt;D xsi:type="xsd:double"&gt;3.3&lt;/D&gt;&lt;/FQL&gt;&lt;FQL&gt;&lt;Q&gt;Ticker0024^FE_ESTIMATE(EPS,MEAN,ANNUAL_ROLL,2024,45772,,,'')&lt;/Q&gt;&lt;R&gt;1&lt;/R&gt;&lt;C&gt;1&lt;/C&gt;&lt;D xsi:type="xsd:double"&gt;11.8&lt;/D&gt;&lt;/FQL&gt;&lt;FQL&gt;&lt;Q&gt;Ticker0024^FE_ESTIMATE(EPS,MEAN,QUARTERLY_ROLL,2024/4F,45772,,,'')&lt;/Q&gt;&lt;R&gt;1&lt;/R&gt;&lt;C&gt;1&lt;/C&gt;&lt;D xsi:type="xsd:double"&gt;2.95&lt;/D&gt;&lt;/FQL&gt;&lt;FQL&gt;&lt;Q&gt;Ticker0024^FE_ESTIMATE(EPS,MEAN,QUARTERLY_ROLL,2024/3F,45772,,,'')&lt;/Q&gt;&lt;R&gt;1&lt;/R&gt;&lt;C&gt;1&lt;/C&gt;&lt;D xsi:type="xsd:double"&gt;2.94&lt;/D&gt;&lt;/FQL&gt;&lt;FQL&gt;&lt;Q&gt;Ticker0024^FE_ESTIMATE(EPS,MEAN,QUARTERLY_ROLL,2024/2F,45772,,,'')&lt;/Q&gt;&lt;R&gt;1&lt;/R&gt;&lt;C&gt;1&lt;/C&gt;&lt;D xsi:type="xsd:double"&gt;2.93&lt;/D&gt;&lt;/FQL&gt;&lt;FQL&gt;&lt;Q&gt;Ticker0024^FE_ESTIMATE(EPS,MEAN,QUARTERLY_ROLL,2024/1F,45772,,,'')&lt;/Q&gt;&lt;R&gt;1&lt;/R&gt;&lt;C&gt;1&lt;/C&gt;&lt;D xsi:type="xsd:double"&gt;2.99&lt;/D&gt;&lt;/FQL&gt;&lt;FQL&gt;&lt;Q&gt;Ticker0024^FE_ESTIMATE(EPS,MEAN,ANNUAL_ROLL,2023,45772,,,'')&lt;/Q&gt;&lt;R&gt;1&lt;/R&gt;&lt;C&gt;1&lt;/C&gt;&lt;D xsi:type="xsd:double"&gt;9.81&lt;/D&gt;&lt;/FQL&gt;&lt;FQL&gt;&lt;Q&gt;Ticker0024^FE_ESTIMATE(EPS,MEAN,QUARTERLY_ROLL,2023/4F,45772,,,'')&lt;/Q&gt;&lt;R&gt;1&lt;/R&gt;&lt;C&gt;1&lt;/C&gt;&lt;D xsi:type="xsd:double"&gt;2.69&lt;/D&gt;&lt;/FQL&gt;&lt;FQL&gt;&lt;Q&gt;Ticker0024^FE_ESTIMATE(EPS,MEAN,QUARTERLY_ROLL,2023/3F,45772,,,'')&lt;/Q&gt;&lt;R&gt;1&lt;/R&gt;&lt;C&gt;1&lt;/C&gt;&lt;D xsi:type="xsd:double"&gt;2.45&lt;/D&gt;&lt;/FQL&gt;&lt;FQL&gt;&lt;Q&gt;Ticker0024^FE_ESTIMATE(EPS,MEAN,QUARTERLY_ROLL,2023/2F,45772,,,'')&lt;/Q&gt;&lt;R&gt;1&lt;/R&gt;&lt;C&gt;1&lt;/C&gt;&lt;D xsi:type="xsd:double"&gt;2.32&lt;/D&gt;&lt;/FQL&gt;&lt;FQL&gt;&lt;Q&gt;Ticker0024^FE_ESTIMATE(EPS,MEAN,QUARTERLY_ROLL,2023/1F,45772,,,'')&lt;/Q&gt;&lt;R&gt;1&lt;/R&gt;&lt;C&gt;1&lt;/C&gt;&lt;D xsi:type="xsd:double"&gt;2.35&lt;/D&gt;&lt;/FQL&gt;&lt;FQL&gt;&lt;Q&gt;Ticker0024^FE_ESTIMATE(EPS,MEAN,ANNUAL_ROLL,2022,45772,,,'')&lt;/Q&gt;&lt;R&gt;1&lt;/R&gt;&lt;C&gt;1&lt;/C&gt;&lt;D xsi:type="xsd:double"&gt;9.21&lt;/D&gt;&lt;/FQL&gt;&lt;FQL&gt;&lt;Q&gt;Ticker0024^FE_ESTIMATE(EPS,MEAN,QUARTERLY_ROLL,2022/4F,45772,,,'')&lt;/Q&gt;&lt;R&gt;1&lt;/R&gt;&lt;C&gt;1&lt;/C&gt;&lt;D xsi:type="xsd:double"&gt;2.23&lt;/D&gt;&lt;/FQL&gt;&lt;FQL&gt;&lt;Q&gt;Ticker0024^FE_ESTI</t>
        </r>
      </text>
    </comment>
    <comment ref="A37" authorId="0" shapeId="0" xr:uid="{DF16E118-1899-403F-BD17-9616CA80079D}">
      <text>
        <r>
          <rPr>
            <b/>
            <sz val="9"/>
            <color indexed="81"/>
            <rFont val="Tahoma"/>
            <family val="2"/>
          </rPr>
          <t>MATE(EPS,MEAN,QUARTERLY_ROLL,2022/3F,45772,,,'')&lt;/Q&gt;&lt;R&gt;1&lt;/R&gt;&lt;C&gt;1&lt;/C&gt;&lt;D xsi:type="xsd:double"&gt;2.22&lt;/D&gt;&lt;/FQL&gt;&lt;FQL&gt;&lt;Q&gt;Ticker0024^FE_ESTIMATE(EPS,MEAN,QUARTERLY_ROLL,2022/2F,45772,,,'')&lt;/Q&gt;&lt;R&gt;1&lt;/R&gt;&lt;C&gt;1&lt;/C&gt;&lt;D xsi:type="xsd:double"&gt;2.48&lt;/D&gt;&lt;/FQL&gt;&lt;FQL&gt;&lt;Q&gt;Ticker0024^FE_ESTIMATE(EPS,MEAN,QUARTERLY_ROLL,2022/1F,45772,,,'')&lt;/Q&gt;&lt;R&gt;1&lt;/R&gt;&lt;C&gt;1&lt;/C&gt;&lt;D xsi:type="xsd:double"&gt;2.27&lt;/D&gt;&lt;/FQL&gt;&lt;FQL&gt;&lt;Q&gt;Ticker0024^FE_ESTIMATE(EPS,MEAN,ANNUAL_ROLL,2021,45772,,,'')&lt;/Q&gt;&lt;R&gt;1&lt;/R&gt;&lt;C&gt;1&lt;/C&gt;&lt;D xsi:type="xsd:double"&gt;7.97&lt;/D&gt;&lt;/FQL&gt;&lt;FQL&gt;&lt;Q&gt;Ticker0024^FE_ESTIMATE(EPS,MEAN,QUARTERLY_ROLL,2021/4F,45772,,,'')&lt;/Q&gt;&lt;R&gt;1&lt;/R&gt;&lt;C&gt;1&lt;/C&gt;&lt;D xsi:type="xsd:double"&gt;2.17&lt;/D&gt;&lt;/FQL&gt;&lt;FQL&gt;&lt;Q&gt;Ticker0024^FE_ESTIMATE(EPS,MEAN,QUARTERLY_ROLL,2021/3F,45772,,,'')&lt;/Q&gt;&lt;R&gt;1&lt;/R&gt;&lt;C&gt;1&lt;/C&gt;&lt;D xsi:type="xsd:double"&gt;1.95&lt;/D&gt;&lt;/FQL&gt;&lt;FQL&gt;&lt;Q&gt;Ticker0024^FE_ESTIMATE(EPS,MEAN,QUARTERLY_ROLL,2021/2F,45772,,,'')&lt;/Q&gt;&lt;R&gt;1&lt;/R&gt;&lt;C&gt;1&lt;/C&gt;&lt;D xsi:type="xsd:double"&gt;2.03&lt;/D&gt;&lt;/FQL&gt;&lt;FQL&gt;&lt;Q&gt;Ticker0024^FE_ESTIMATE(EPS,MEAN,QUARTERLY_ROLL,2021/1F,45772,,,'')&lt;/Q&gt;&lt;R&gt;1&lt;/R&gt;&lt;C&gt;1&lt;/C&gt;&lt;D xsi:type="xsd:double"&gt;1.82&lt;/D&gt;&lt;/FQL&gt;&lt;FQL&gt;&lt;Q&gt;Ticker0024^FE_ESTIMATE(EPS,MEAN,ANNUAL_ROLL,2020,45772,,,'')&lt;/Q&gt;&lt;R&gt;1&lt;/R&gt;&lt;C&gt;1&lt;/C&gt;&lt;D xsi:type="xsd:double"&gt;5.76&lt;/D&gt;&lt;/FQL&gt;&lt;FQL&gt;&lt;Q&gt;Ticker0024^FE_ESTIMATE(EPS,MEAN,QUARTERLY_ROLL,2020/4F,45772,,,'')&lt;/Q&gt;&lt;R&gt;1&lt;/R&gt;&lt;C&gt;1&lt;/C&gt;&lt;D xsi:type="xsd:double"&gt;1.46&lt;/D&gt;&lt;/FQL&gt;&lt;FQL&gt;&lt;Q&gt;Ticker0024^FE_ESTIMATE(EPS,MEAN,QUARTERLY_ROLL,2020/3F,45772,,,'')&lt;/Q&gt;&lt;R&gt;1&lt;/R&gt;&lt;C&gt;1&lt;/C&gt;&lt;D xsi:type="xsd:double"&gt;1.4&lt;/D&gt;&lt;/FQL&gt;&lt;FQL&gt;&lt;Q&gt;Ticker0024^FE_ESTIMATE(EPS,MEAN,QUARTERLY_ROLL,2020/2F,45772,,,'')&lt;/Q&gt;&lt;R&gt;1&lt;/R&gt;&lt;C&gt;1&lt;/C&gt;&lt;D xsi:type="xsd:double"&gt;1.51&lt;/D&gt;&lt;/FQL&gt;&lt;FQL&gt;&lt;Q&gt;Ticker0024^FE_ESTIMATE(EPS,MEAN,QUARTERLY_ROLL,2020/1F,45772,,,'')&lt;/Q&gt;&lt;R&gt;1&lt;/R&gt;&lt;C&gt;1&lt;/C&gt;&lt;D xsi:type="xsd:double"&gt;1.38&lt;/D&gt;&lt;/FQL&gt;&lt;FQL&gt;&lt;Q&gt;Ticker0024^FE_ESTIMATE(EPS,MEAN,ANNUAL_ROLL,2019,45772,,,'')&lt;/Q&gt;&lt;R&gt;1&lt;/R&gt;&lt;C&gt;1&lt;/C&gt;&lt;D xsi:type="xsd:double"&gt;4.75&lt;/D&gt;&lt;/FQL&gt;&lt;FQL&gt;&lt;Q&gt;Ticker0024^FE_ESTIMATE(EPS,MEAN,QUARTERLY_ROLL,2019/4F,45772,,,'')&lt;/Q&gt;&lt;R&gt;1&lt;/R&gt;&lt;C&gt;1&lt;/C&gt;&lt;D xsi:type="xsd:double"&gt;1.37&lt;/D&gt;&lt;/FQL&gt;&lt;FQL&gt;&lt;Q&gt;Ticker0024^FE_ESTIMATE(EPS,MEAN,QUARTERLY_ROLL,2019/3F,45772,,,'')&lt;/Q&gt;&lt;R&gt;1&lt;/R&gt;&lt;C&gt;1&lt;/C&gt;&lt;D xsi:type="xsd:double"&gt;1.14&lt;/D&gt;&lt;/FQL&gt;&lt;FQL&gt;&lt;Q&gt;Ticker0024^FE_ESTIMATE(EPS,MEAN,QUARTERLY_ROLL,2019/2F,45772,,,'')&lt;/Q&gt;&lt;R&gt;1&lt;/R&gt;&lt;C&gt;1&lt;/C&gt;&lt;D xsi:type="xsd:double"&gt;1.1&lt;/D&gt;&lt;/FQL&gt;&lt;FQL&gt;&lt;Q&gt;Ticker0024^FE_ESTIMATE(EPS,MEAN,QUARTERLY_ROLL,2019/1F,45772,,,'')&lt;/Q&gt;&lt;R&gt;1&lt;/R&gt;&lt;C&gt;1&lt;/C&gt;&lt;D xsi:type="xsd:double"&gt;1.14&lt;/D&gt;&lt;/FQL&gt;&lt;FQL&gt;&lt;Q&gt;Ticker0024^FE_ESTIMATE(EPS,MEAN,ANNUAL_ROLL,2018,45772,,,'')&lt;/Q&gt;&lt;R&gt;1&lt;/R&gt;&lt;C&gt;1&lt;/C&gt;&lt;D xsi:type="xsd:double"&gt;3.88&lt;/D&gt;&lt;/FQL&gt;&lt;FQL&gt;&lt;Q&gt;Ticker0024^FE_ESTIMATE(EPS,MEAN,QUARTERLY_ROLL,2018/4F,45772,,,'')&lt;/Q&gt;&lt;R&gt;1&lt;/R&gt;&lt;C&gt;1&lt;/C&gt;&lt;D xsi:type="xsd:double"&gt;1.13&lt;/D&gt;&lt;/FQL&gt;&lt;FQL&gt;&lt;Q&gt;Ticker0024^FE_ESTIMATE(EPS,MEAN,QUARTERLY_ROLL,2018/3F,45772,,,'')&lt;/Q&gt;&lt;R&gt;1&lt;/R&gt;&lt;C&gt;1&lt;/C&gt;&lt;D xsi:type="xsd:double"&gt;0.95&lt;/D&gt;&lt;/FQL&gt;&lt;FQL&gt;&lt;Q&gt;Ticker0024^FE_ESTIMATE(EPS,MEAN,QUARTERLY_ROLL,2018/2F,45772,,,'')&lt;/Q&gt;&lt;R&gt;1&lt;/R&gt;&lt;C&gt;1&lt;/C&gt;&lt;D xsi:type="xsd:double"&gt;0.96&lt;/D&gt;&lt;/FQL&gt;&lt;FQL&gt;&lt;Q&gt;Ticker0024^FE_ESTIMATE(EPS,MEAN,QUARTERLY_ROLL,2018/1F,45772,,,'')&lt;/Q&gt;&lt;R&gt;1&lt;/R&gt;&lt;C&gt;1&lt;/C&gt;&lt;D xsi:type="xsd:double"&gt;0.84&lt;/D&gt;&lt;/FQL&gt;&lt;FQL&gt;&lt;Q&gt;Ticker0024^FE_ESTIMATE(EPS,MEAN,ANNUAL_ROLL,2017,45772,,,'')&lt;/Q&gt;&lt;R&gt;1&lt;/R&gt;&lt;C&gt;1&lt;/C&gt;&lt;D xsi:type="xsd:double"&gt;3.31&lt;/D&gt;&lt;/FQL&gt;&lt;FQL&gt;&lt;Q&gt;Ticker0024^FE_ESTIMATE(EPS,MEAN,QUARTERLY_ROLL,2017/4F,45772,,,'')&lt;/Q&gt;&lt;R&gt;1&lt;/R&gt;&lt;C&gt;1&lt;/C&gt;&lt;D xsi:type="xsd:double"&gt;0.98&lt;/D&gt;&lt;/FQL&gt;&lt;FQL&gt;&lt;Q&gt;Ticker0024^FE_ESTIMATE(EPS,MEAN,QUARTERLY_ROLL,2017/3F,45772,,,'')&lt;/Q&gt;&lt;R&gt;1&lt;/R&gt;&lt;C&gt;1&lt;/C&gt;&lt;D xsi:type="xsd:double"&gt;0.73&lt;/D&gt;&lt;/FQL&gt;&lt;FQL&gt;&lt;Q&gt;Ticker0024^FE_ESTIMATE(EPS,MEAN,QUARTERLY_ROLL,2017/2F,45772,,,'')&lt;/Q&gt;&lt;R&gt;1&lt;/R&gt;&lt;C&gt;1&lt;/C&gt;&lt;D xsi:type="xsd:double"&gt;0.83&lt;/D&gt;&lt;/FQL&gt;&lt;FQL&gt;&lt;Q&gt;Ticker0024^FE_ESTIMATE(EPS,MEAN,QUARTERLY_ROLL,2017/1F,45772,,,'')&lt;/Q&gt;&lt;R&gt;1&lt;/R&gt;&lt;C&gt;1&lt;/C&gt;&lt;D xsi:type="xsd:double"&gt;0.76&lt;/D&gt;&lt;/FQL&gt;&lt;FQL&gt;&lt;Q&gt;Ticker0024^FE_ESTIMATE(EPS,MEAN,ANNUAL_ROLL,2016,45772,,,'')&lt;/Q&gt;&lt;R&gt;1&lt;/R&gt;&lt;C&gt;1&lt;/C&gt;&lt;D xsi:type="xsd:double"&gt;2.79&lt;/D&gt;&lt;/FQL&gt;&lt;FQL&gt;&lt;Q&gt;Ticker0024^FE_ESTIMATE(EPS,MEAN,QUARTERLY_ROLL,2016/4F,45772,,,'')&lt;/Q&gt;&lt;R&gt;1&lt;/R&gt;&lt;C&gt;1&lt;/C&gt;&lt;D xsi:type="xsd:double"&gt;0.69&lt;/D&gt;&lt;/FQL&gt;&lt;FQL&gt;&lt;Q&gt;Ticker0024^FE_ESTIMATE(EPS,MEAN,QUARTERLY_ROLL,2016/3F,45772,,,'')&lt;/Q&gt;&lt;R&gt;1&lt;/R&gt;&lt;C&gt;1&lt;/C&gt;&lt;D xsi:type="xsd:double"&gt;0.62&lt;/D&gt;&lt;/FQL&gt;&lt;FQL&gt;&lt;Q&gt;Ticker0024^FE_ESTIMATE(EPS,MEAN,QUARTERLY_ROLL,2016/2F,45772,,,'')&lt;/Q&gt;&lt;R&gt;1&lt;/R&gt;&lt;C&gt;1&lt;/C&gt;&lt;D xsi:type="xsd:double"&gt;0.78&lt;/D&gt;&lt;/FQL&gt;&lt;FQL&gt;&lt;Q&gt;Ticker0024^FE_ESTIMATE(EPS,MEAN,QUARTERLY_ROLL,2016/1F,45772,,,'')&lt;/Q&gt;&lt;R&gt;1&lt;/R&gt;&lt;C&gt;1&lt;/C&gt;&lt;D xsi:type="xsd:double"&gt;0.67&lt;/D&gt;&lt;/FQL&gt;&lt;FQL&gt;&lt;Q&gt;Ticker0024^FE_ESTIMATE(EPS,MEAN,ANNUAL_ROLL,2015,45772,,,'')&lt;/Q&gt;&lt;R&gt;1&lt;/R&gt;&lt;C&gt;1&lt;/C&gt;&lt;D xsi:type="xsd:double"&gt;2.63&lt;/D&gt;&lt;/FQL&gt;&lt;FQL&gt;&lt;Q&gt;Ticker0024^FE_ESTIMATE(EPS,MEAN,QUARTERLY_ROLL,2015/4F,45772,,,'')&lt;/Q&gt;&lt;R&gt;1&lt;/R&gt;&lt;C&gt;1&lt;/C&gt;&lt;D xsi:type="xsd:double"&gt;0.62&lt;/D&gt;&lt;/FQL&gt;&lt;FQL&gt;&lt;Q&gt;Ticker0024^FE_ESTIMATE(EPS,MEAN,QUARTERLY_ROLL,2015/3F,45772,,,'')&lt;/Q&gt;&lt;R&gt;1&lt;/R&gt;&lt;C&gt;1&lt;/C&gt;&lt;D xsi:type="xsd:double"&gt;0.61&lt;/D&gt;&lt;/FQL&gt;&lt;FQL&gt;&lt;Q&gt;Ticker0024^FE_ESTIMATE(EPS,MEAN,QUARTERLY_ROLL,2015/2F,45772,,,'')&lt;/Q&gt;&lt;R&gt;1&lt;/R&gt;&lt;C&gt;1&lt;/C&gt;&lt;D xsi:type="xsd:double"&gt;0.71&lt;/D&gt;&lt;/FQL&gt;&lt;FQL&gt;&lt;Q&gt;Ticker0024^FE_ESTIMATE(EPS,MEAN,QUARTERLY_ROLL,2015/1F,45772,,,'')&lt;/Q&gt;&lt;R&gt;1&lt;/R&gt;&lt;C&gt;1&lt;/C&gt;&lt;D xsi:type="xsd:double"&gt;0.54&lt;/D&gt;&lt;/FQL&gt;&lt;FQL&gt;&lt;Q&gt;Ticker0024^FE_ESTIMATE(EAG,MEAN,ANNUAL_ROLL,2030,45772,,,'')&lt;/Q&gt;&lt;R&gt;0&lt;/R&gt;&lt;C&gt;0&lt;/C&gt;&lt;/FQL&gt;&lt;FQL&gt;&lt;Q&gt;Ticker0024^FE_ESTIMATE(EAG,MEAN,QUARTERLY_ROLL,2030/4F,45772,,,'')&lt;/Q&gt;&lt;R&gt;0&lt;/R&gt;&lt;C&gt;0&lt;/C&gt;&lt;/FQL&gt;&lt;FQL&gt;&lt;Q&gt;Ticker0024^FE_ESTIMATE(EAG,MEAN,QUARTERLY_ROLL,2030/3F,45772,,,'')&lt;/Q&gt;&lt;R&gt;0&lt;/R&gt;&lt;C&gt;0&lt;/C&gt;&lt;/FQL&gt;&lt;FQL&gt;&lt;Q&gt;Ticker0024^FE_ESTIMATE(EAG,MEAN,QUARTERLY_ROLL,2030/2F,45772,,,'')&lt;/Q&gt;&lt;R&gt;0&lt;/R&gt;&lt;C&gt;0&lt;/C&gt;&lt;/FQL&gt;&lt;FQL&gt;&lt;Q&gt;Ticker0024^FE_ESTIMATE(EAG,MEAN,QUARTERLY_ROLL,2030/1F,45772,,,'')&lt;/Q&gt;&lt;R&gt;0&lt;/R&gt;&lt;C&gt;0&lt;/C&gt;&lt;/FQL&gt;&lt;FQL&gt;&lt;Q&gt;Ticker0024^FE_ESTIMATE(EAG,MEAN,ANNUAL_ROLL,2029,45772,,,'')&lt;/Q&gt;&lt;R&gt;0&lt;/R&gt;&lt;C&gt;0&lt;/C&gt;&lt;/FQL&gt;&lt;FQL&gt;&lt;Q&gt;Ticker0024^FE_ESTIMATE(EAG,MEAN,QUARTERLY_ROLL,2029/4F,45772,,,'')&lt;/Q&gt;&lt;R&gt;0&lt;/R&gt;&lt;C&gt;0&lt;/C&gt;&lt;/FQL&gt;&lt;FQL&gt;&lt;Q&gt;Ticker0024^FE_ESTIMATE(EAG,MEAN,QUARTERLY_ROLL,2029/3F,45772,,,'')&lt;/Q&gt;&lt;R&gt;0&lt;/R&gt;&lt;C&gt;0&lt;/C&gt;&lt;/FQL&gt;&lt;FQL&gt;&lt;Q&gt;Ticker0024^FE_ESTIMATE(EAG,MEAN,QUARTERLY_ROLL,2029/2F,45772,,,'')&lt;/Q&gt;&lt;R&gt;0&lt;/R&gt;&lt;C&gt;0&lt;/C&gt;&lt;/FQL&gt;&lt;FQL&gt;&lt;Q&gt;Ticker0024^FE_ESTIMATE(EAG,MEAN,QUARTERLY_ROLL,2029/1F,45772,,,'')&lt;/Q&gt;&lt;R&gt;0&lt;/R&gt;&lt;C&gt;0&lt;/C&gt;&lt;/FQL&gt;&lt;FQL&gt;&lt;Q&gt;Ticker0024^FE_ESTIMATE(EAG,MEAN,ANNUAL_ROLL,2028,45772,,,'')&lt;/Q&gt;&lt;R&gt;1&lt;/R&gt;&lt;C&gt;1&lt;/C&gt;&lt;D xsi:type="xsd:double"&gt;20.1315&lt;/D&gt;&lt;/FQL&gt;&lt;FQL&gt;&lt;Q&gt;Ticker0024^FE_ESTIMATE(EAG,MEAN,QUARTERLY_ROLL,2028/4F,45772,,,'')&lt;/Q&gt;&lt;R&gt;0&lt;/R&gt;&lt;C&gt;0&lt;/C&gt;&lt;/FQL&gt;&lt;FQL&gt;&lt;Q&gt;Ticker0024^FE_ESTIMATE(EAG,MEAN,QUARTERLY_ROLL,2028/3F,45772,,,'')&lt;/Q&gt;&lt;R&gt;0&lt;/R&gt;&lt;C&gt;0&lt;/C&gt;&lt;/FQL&gt;&lt;FQL&gt;&lt;Q&gt;Ticker0024^FE_ESTIMATE(EAG,MEAN,QUARTERLY_ROLL,2028/2F,45772,,,'')&lt;/Q&gt;&lt;R&gt;0&lt;/R&gt;&lt;C&gt;0&lt;/C&gt;&lt;/FQL&gt;&lt;FQL&gt;&lt;Q&gt;Ticker0024^FE_ESTIMATE(EAG,MEAN,QUARTERLY_ROLL,2028/1F,45772,,,'')&lt;/Q&gt;&lt;R&gt;0&lt;/R&gt;&lt;C&gt;0&lt;/C&gt;&lt;/FQL&gt;&lt;FQL&gt;&lt;Q&gt;Ticker0024^FE_ESTIMATE(EAG,MEAN,ANNUAL_ROLL,2027,45772,,,'')&lt;/Q&gt;&lt;R&gt;1&lt;/R&gt;&lt;C&gt;1&lt;/C&gt;&lt;D xsi:type="xsd:double"&gt;17.577349&lt;/D&gt;&lt;/FQL&gt;&lt;FQL&gt;&lt;Q&gt;Ticker0024^FE_ESTIMATE(EAG,MEAN,QUARTERLY_ROLL,2027/4F,45772,,,'')&lt;/Q&gt;&lt;R&gt;1&lt;/R&gt;&lt;C&gt;1&lt;/C&gt;&lt;D xsi:type="xsd:double"&gt;4.4679084&lt;/D&gt;&lt;/FQL&gt;&lt;FQL&gt;&lt;Q&gt;Ticker0024^FE_ESTIMATE(EAG,MEAN,QUARTERLY_ROLL,2027/3F,45772,,,'')&lt;/Q&gt;&lt;R&gt;1&lt;/R&gt;&lt;C&gt;1&lt;/C&gt;&lt;D xsi:type="xsd:double"&gt;4.2170095&lt;/D&gt;&lt;/FQL&gt;&lt;FQL&gt;&lt;Q&gt;Ticker0024^FE_ESTIMATE(EAG,MEAN,QUARTERLY_ROLL,2027/2F,45772,,,'')&lt;/Q&gt;&lt;R&gt;1&lt;/R&gt;&lt;C&gt;1&lt;/C&gt;&lt;D xsi:type="xsd:double"&gt;4.3284583&lt;/D&gt;&lt;/FQL&gt;&lt;FQL&gt;&lt;Q&gt;Ticker0024^FE_ESTIMATE(EAG,MEAN,QUARTERLY_ROLL,2027/1F,45772,,,'')&lt;/Q&gt;&lt;R&gt;1&lt;/R&gt;&lt;C&gt;1&lt;/C&gt;&lt;D xsi:type="xsd:double"&gt;4.0726&lt;/D&gt;&lt;/FQL&gt;&lt;FQL&gt;&lt;Q&gt;Ticker0024^FE_ESTIMATE(EAG,MEAN,ANNUAL_ROLL,2026,45772,,,'')&lt;/Q&gt;&lt;R&gt;1&lt;/R&gt;&lt;C&gt;1&lt;/C&gt;&lt;D xsi:type="xsd:double"&gt;14.9601965&lt;/D&gt;&lt;/FQL&gt;&lt;FQL&gt;&lt;Q&gt;Ticker0024^FE_ESTIMATE(EAG,MEAN,QUARTERLY_ROLL,2026/4F,45772,,,'')&lt;/Q&gt;&lt;R&gt;1&lt;/R&gt;&lt;C&gt;1&lt;/C&gt;&lt;D xsi:type="xsd:double"&gt;3.836456&lt;/D&gt;&lt;/FQL&gt;&lt;FQL&gt;&lt;Q&gt;Ticker0024^FE_ESTIMATE(EAG,MEAN,QUARTERLY_ROLL,2026/3F,45772,,,'')&lt;/Q&gt;&lt;R&gt;1&lt;/R&gt;&lt;C&gt;1&lt;/C&gt;&lt;D xsi:type="xsd:double"&gt;3.645524&lt;/D&gt;&lt;/FQL&gt;&lt;FQL&gt;&lt;Q&gt;Ticker0024^FE_ESTIMATE(EAG,MEAN,QUARTERLY_ROLL,2026/2F,45772,,,'')&lt;/Q&gt;&lt;R&gt;1&lt;/R&gt;&lt;C&gt;1&lt;/C&gt;&lt;D xsi:type="xsd:double"&gt;3.693108&lt;/D&gt;&lt;/FQL&gt;&lt;FQL&gt;&lt;Q&gt;Ticker0024^FE_ESTIMATE(EAG,MEAN,QUARTERLY_ROLL,2026/1F,45772,,,'')&lt;/Q&gt;&lt;R&gt;1&lt;/R&gt;&lt;C&gt;1&lt;/C&gt;&lt;D xsi:type="xsd:double"&gt;3.5027728&lt;/D&gt;&lt;/FQL&gt;&lt;FQL&gt;&lt;Q&gt;Ticker0024^FE_ESTIMATE(EAG,MEAN,ANNUAL_ROLL,2025,45772,,,'')&lt;/Q&gt;&lt;R&gt;1&lt;/R&gt;&lt;C&gt;1&lt;/C&gt;&lt;D xsi:type="xsd:double"&gt;13.120191&lt;/D&gt;&lt;/FQL&gt;&lt;FQL&gt;&lt;Q&gt;Ticker0024^FE_ESTIMATE(EAG,MEAN,QUARTERLY_ROLL,2025/4F,45772,,,'')&lt;/Q&gt;&lt;R&gt;1&lt;/R&gt;&lt;C&gt;1&lt;/C&gt;&lt;D xsi:type="xsd:double"&gt;3.3122&lt;/D&gt;&lt;/FQL&gt;&lt;FQL&gt;&lt;Q&gt;Ticker0024^FE_ESTIMATE(EAG,MEAN,QUARTERLY_ROLL,2025/3F,45772,,,'')&lt;/Q&gt;&lt;R&gt;1&lt;/R&gt;&lt;C&gt;1&lt;/C&gt;&lt;D xsi:type="xsd:double"&gt;3.2089424&lt;/D&gt;&lt;/FQL&gt;&lt;FQL&gt;&lt;Q&gt;Ticker0024^FE_ESTIMATE(EAG,MEAN,QUARTERLY_ROLL,2025/2F,45772,,,'')&lt;/Q&gt;&lt;R&gt;1&lt;/R&gt;&lt;C&gt;1&lt;/C&gt;&lt;D xsi:type="xsd:double"&gt;3.23&lt;/D&gt;&lt;/FQL&gt;&lt;FQL&gt;&lt;Q&gt;Ticker0024^FE_ESTIMATE(EAG,MEAN,QUARTERLY_ROLL,2025/1F,45772,,,'')&lt;/Q&gt;&lt;R&gt;1&lt;/R&gt;&lt;C&gt;1&lt;/C&gt;&lt;D xsi:type="xsd:double"&gt;3.3&lt;/D&gt;&lt;/FQL&gt;&lt;FQL&gt;&lt;Q&gt;Ticker0024^FE_ESTIMATE(EAG,MEAN,ANNUAL_ROLL,2024,45772,,,'')&lt;/Q&gt;&lt;R&gt;1&lt;/R&gt;&lt;C&gt;1&lt;/C&gt;&lt;D xsi:type="xsd:double"&gt;11.8&lt;/D&gt;&lt;/FQL&gt;&lt;FQL&gt;&lt;Q&gt;Ticker0024^FE_ESTIMATE(EAG,MEAN,QUARTERLY_ROLL,2024/4F,45772,,,'')&lt;/Q&gt;&lt;R&gt;1&lt;/R&gt;&lt;C&gt;1&lt;/C&gt;&lt;D xsi:type="xsd:double"&gt;2.95&lt;/D&gt;&lt;/FQL&gt;&lt;FQL&gt;&lt;Q&gt;Ticker0024^FE_ESTIMATE(EAG,MEAN,QUARTERLY_ROLL,2024/3F,45772,,,'')&lt;/Q&gt;&lt;R&gt;1&lt;/R&gt;&lt;C&gt;1&lt;/C&gt;&lt;D xsi:type="xsd:double"&gt;2.94&lt;/D&gt;&lt;/FQL&gt;&lt;FQL&gt;&lt;Q&gt;Ticker0024^FE_ESTIMATE(EAG,MEAN,QUARTERLY_ROLL,2024/2F,45772,,,'')&lt;/Q&gt;&lt;R&gt;1&lt;/R&gt;&lt;C&gt;1&lt;/C&gt;&lt;D xsi:type="xsd:double"&gt;2.93&lt;/D&gt;&lt;/FQL&gt;&lt;FQL&gt;&lt;Q&gt;Ticker0024^FE_ESTIMATE(EAG,MEAN,QUARTERLY_ROLL,2024/1F,45772,,,'')&lt;/Q&gt;&lt;R&gt;1&lt;/R&gt;&lt;C&gt;1&lt;/C&gt;&lt;D xsi:type="xsd:double"&gt;2.99&lt;/D&gt;&lt;/FQL&gt;&lt;FQL&gt;&lt;Q&gt;Ticker0024^FE_ESTIMATE(EAG,MEAN,ANNUAL_ROLL,2023,45772,,,'')&lt;/Q&gt;&lt;R&gt;1&lt;/R&gt;&lt;C&gt;1&lt;/C&gt;&lt;D xsi:type="xsd:double"&gt;9.68&lt;/D&gt;&lt;/FQL&gt;&lt;FQL&gt;&lt;Q&gt;Ticker0024^FE_ESTIMATE(EAG,MEAN,QUARTERLY_ROLL,2023/4F,45772,,,'')&lt;/Q&gt;&lt;R&gt;1&lt;/R&gt;&lt;C&gt;1&lt;/C&gt;&lt;D xsi:type="xsd:double"&gt;2.69&lt;/D&gt;&lt;/FQL&gt;&lt;FQL&gt;&lt;Q&gt;Ticker0024^FE_ESTIMATE(EAG,MEAN,QUARTERLY_ROLL,2023/3F,45772,,,'')&lt;/Q&gt;&lt;R&gt;1&lt;/R&gt;&lt;C&gt;1&lt;/C&gt;&lt;D xsi:type="xsd:double"&gt;2.4501362&lt;/D&gt;&lt;/FQL&gt;&lt;FQL&gt;&lt;Q&gt;Ticker0024^FE_ESTIMATE(EAG,MEAN,QUARTERLY_ROLL,2023/2F,45772,,,'')&lt;/Q&gt;&lt;R&gt;1&lt;/R&gt;&lt;C&gt;1&lt;/C&gt;&lt;D xsi:type="xsd:double"&gt;2.2&lt;/D&gt;&lt;/FQL&gt;&lt;FQL&gt;&lt;Q&gt;Ticker0024^FE_ESTIMATE(EAG,MEAN,QUARTERLY_ROLL,2023/1F,45772,,,'')&lt;/Q&gt;&lt;R&gt;1&lt;/R&gt;&lt;C&gt;1&lt;/C&gt;&lt;D xsi:type="xsd:double"&gt;2.35&lt;/D&gt;&lt;/FQL&gt;&lt;FQL&gt;&lt;Q&gt;Ticker0024^FE_ESTIMATE(EAG,MEAN,ANNUAL_ROLL,2022,45772,,,'')&lt;/Q&gt;&lt;R&gt;1&lt;/R&gt;&lt;C&gt;1&lt;/C&gt;&lt;D xsi:type="xsd:double"&gt;9.65&lt;/D&gt;&lt;/FQL&gt;&lt;FQL&gt;&lt;Q&gt;Ticker0024^FE_ESTIMATE(EAG,MEAN,QUARTERLY_ROLL,2022/4F,45772,,,'')&lt;/Q&gt;&lt;R&gt;1&lt;/R&gt;&lt;C&gt;1&lt;/C&gt;&lt;D xsi:type="xsd:double"&gt;2.23&lt;/D&gt;&lt;/FQL&gt;&lt;FQL&gt;&lt;Q&gt;Ticker0024^FE_ESTIMATE(EAG,MEAN,QUARTERLY_ROLL,2022/3F,45772,,,'')&lt;/Q&gt;&lt;R&gt;1&lt;/R&gt;&lt;C&gt;1&lt;/C&gt;&lt;D xsi:type="xsd:double"&gt;2.22&lt;/D&gt;&lt;/FQL&gt;&lt;FQL&gt;&lt;Q&gt;Ticker0024^FE_ESTIMATE(EAG,MEAN,QUARTERLY_ROLL,2022/2F,45772,,,'')&lt;/Q&gt;&lt;R&gt;1&lt;/R&gt;&lt;C&gt;1&lt;/C&gt;&lt;D xsi:type="xsd:double"&gt;2.48&lt;/D&gt;&lt;/FQL&gt;&lt;FQL&gt;&lt;Q&gt;Ticker0024^FE_ESTIMATE(EAG,MEAN,QUARTERLY_ROLL,2022/1F,45772,,,'')&lt;/Q&gt;&lt;R&gt;1&lt;/R&gt;&lt;C&gt;1&lt;/C&gt;&lt;D xsi:type="xsd:double"&gt;2.71&lt;/D&gt;&lt;/FQL&gt;&lt;FQL&gt;&lt;Q&gt;Ticker0024^FE_ESTIMATE(EAG,MEAN,ANNUAL_ROLL,2021,45772,,,'')&lt;/Q&gt;&lt;R&gt;1&lt;/R&gt;&lt;C&gt;1&lt;/C&gt;&lt;D xsi:type="xsd:double"&gt;8.05&lt;/D&gt;&lt;/FQL&gt;&lt;FQL&gt;&lt;Q&gt;Ticker0024^FE_ESTIMATE(EAG,MEAN,QUARTERLY_ROLL,2021/4F,45772,,,'')&lt;/Q&gt;&lt;R&gt;1&lt;/R&gt;&lt;C&gt;1&lt;/C&gt;&lt;D xsi:type="xsd:double"&gt;2.17&lt;/D&gt;&lt;/FQL&gt;&lt;FQL&gt;&lt;Q&gt;Ticker0024^FE_ESTIMATE(EAG,MEAN,QUARTERLY_ROLL,2021/3F,45772,,,'')&lt;/Q&gt;&lt;R&gt;1&lt;/R&gt;&lt;C&gt;1&lt;/C&gt;&lt;D xsi:type="xsd:double"&gt;2.03&lt;/D&gt;&lt;/FQL&gt;&lt;FQL&gt;&lt;Q&gt;Ticker0024^FE_ESTIMATE(EAG,MEAN,QUARTERLY_ROLL,2021/2F,45772,,,'')&lt;/Q&gt;&lt;R&gt;1&lt;/R&gt;&lt;C&gt;1&lt;/C&gt;&lt;D xsi:type="xsd:double"&gt;2.03&lt;/D&gt;&lt;/FQL&gt;&lt;FQL&gt;&lt;Q&gt;Ticker0024^FE_ESTIMATE(EAG,MEAN,QUARTERLY_ROLL,2021/1F,45772,,,'')&lt;/Q&gt;&lt;R&gt;1&lt;/R&gt;&lt;C&gt;1&lt;/C&gt;&lt;D xsi:type="xsd:double"&gt;1.82&lt;/D&gt;&lt;/FQL&gt;&lt;FQL&gt;&lt;Q&gt;Ticker0024^FE_ESTIMATE(EAG,MEAN,ANNUAL_ROLL,2020,45772,,,'')&lt;/Q&gt;&lt;R&gt;1&lt;/R&gt;&lt;C&gt;1&lt;/C&gt;&lt;D xsi:type="xsd:double"&gt;5.76&lt;/D&gt;&lt;/FQL&gt;&lt;FQL&gt;&lt;Q&gt;Ticker0024^FE_ESTIMATE(EAG,MEAN,QUARTERLY_ROLL,2020/4F,45772,,,'')&lt;/Q&gt;&lt;R&gt;1&lt;/R&gt;&lt;C&gt;1&lt;/C&gt;&lt;D xsi:type="xsd:double"&gt;1.46&lt;/D&gt;&lt;/FQL&gt;&lt;FQL&gt;&lt;Q&gt;Ticker0024^FE_ESTIMATE(EAG,MEAN,QUARTERLY_ROLL,2020/3F,45772,,,'')&lt;/Q&gt;&lt;R&gt;1&lt;/R&gt;&lt;C&gt;1&lt;/C&gt;&lt;D xsi:type="xsd:double"&gt;1.4&lt;/D&gt;&lt;/FQL&gt;&lt;FQL&gt;&lt;Q&gt;Ticker0024^FE_ESTIMATE(EAG,MEAN,QUARTERLY_ROLL,2020/2F,45772,,,'')&lt;/Q&gt;&lt;R&gt;1&lt;/R&gt;&lt;C&gt;1&lt;/C&gt;&lt;D xsi:type="xsd:double"&gt;1.51&lt;/D&gt;&lt;/FQL&gt;&lt;FQL&gt;&lt;Q&gt;Ticker0024^FE_ESTIMATE(EAG,MEAN,QUARTERLY_ROLL,2020/1F,45772,,,'')&lt;/Q&gt;&lt;R&gt;1&lt;/R&gt;&lt;C&gt;1&lt;/C&gt;&lt;D xsi:type="xsd:double"&gt;1.38&lt;/D&gt;&lt;/FQL&gt;&lt;FQL&gt;&lt;Q&gt;Ticker0024^FE_ESTIMATE(EAG,MEAN,ANNUAL_ROLL,2019,45772,,,'')&lt;/Q&gt;&lt;R&gt;1&lt;/R&gt;&lt;C&gt;1&lt;/C&gt;&lt;D xsi:type="xsd:double"&gt;5.06&lt;/D&gt;&lt;/FQL&gt;&lt;FQL&gt;&lt;Q&gt;Ticker0024^FE_ESTIMATE(EAG,MEAN,QUARTERLY_ROLL,2019/4F,45772,,,'')&lt;/Q&gt;&lt;R&gt;1&lt;/R&gt;&lt;C&gt;1&lt;/C&gt;&lt;D xsi:type="xsd:double"&gt;1.71&lt;/D&gt;&lt;/FQL&gt;&lt;FQL&gt;&lt;Q&gt;Ticker0024^FE_ESTIMATE(EAG,MEAN,QUARTERLY_ROLL,2019/3F,45772,,,'')&lt;/Q&gt;&lt;R&gt;1&lt;/R&gt;&lt;C&gt;1&lt;/C&gt;&lt;D xsi:type="xsd:double"&gt;1.14&lt;/D&gt;&lt;/FQL&gt;&lt;FQL&gt;&lt;Q&gt;Ticker0024^FE_ESTIMATE(EAG,MEAN,QUARTERLY_ROLL,2019/2F,45772,,,'')&lt;/Q&gt;&lt;R&gt;1&lt;/R&gt;&lt;C&gt;1&lt;/C&gt;&lt;D xsi:type="xsd:double"&gt;1.08&lt;/D&gt;&lt;/FQL&gt;&lt;FQL&gt;&lt;Q&gt;Ticker0024^FE_ESTIMATE(EAG,MEAN,QUARTERLY_ROLL,2019/1F,45772,,,'')&lt;/Q&gt;&lt;R&gt;1&lt;/R&gt;&lt;C&gt;1&lt;/C&gt;&lt;D xsi:type="xsd:double"&gt;1.14&lt;/D&gt;&lt;/FQL&gt;&lt;FQL&gt;&lt;Q&gt;Ticker0024^FE_ESTIMATE(EAG,MEAN,ANNUAL_ROLL,2018,45772,,,'')&lt;/Q&gt;&lt;R&gt;1&lt;/R&gt;&lt;C&gt;1&lt;/C&gt;&lt;D xsi:type="xsd:double"&gt;2.13&lt;/D&gt;&lt;/FQL&gt;&lt;FQL&gt;&lt;Q&gt;Ticker0024^FE_ESTIMATE(EAG,MEAN,QUARTERLY_ROLL,2018/4F,45772,,,'')&lt;/Q&gt;&lt;R&gt;1&lt;/R&gt;&lt;C&gt;1&lt;/C&gt;&lt;D xsi:type="xsd:double"&gt;1.14&lt;/D&gt;&lt;/FQL&gt;&lt;FQL&gt;&lt;Q&gt;Ticker0024^FE_ESTIMATE(EAG,MEAN,QUARTERLY_ROLL,2018/3F,45772,,,'')&lt;/Q&gt;&lt;R&gt;1&lt;/R&gt;&lt;C&gt;1&lt;/C&gt;&lt;D xsi:type="xsd:double"&gt;0.9504607&lt;/D&gt;&lt;/FQL&gt;&lt;FQL&gt;&lt;Q&gt;Ticker0024^FE_ESTIMATE(EAG,MEAN,QUARTERLY_ROLL,2018/2F,45772,,,'')&lt;/Q&gt;&lt;R&gt;1&lt;/R&gt;&lt;C&gt;1&lt;/C&gt;&lt;D xsi:type="xsd:double"&gt;-0.82&lt;/D&gt;&lt;/FQL&gt;&lt;FQL&gt;&lt;Q&gt;Ticker0024^FE_ESTIMATE(EAG,MEAN,QUARTERLY_ROLL,2018/1F,45772,,,'')&lt;/Q&gt;&lt;R&gt;1&lt;/R&gt;&lt;C&gt;1&lt;/C&gt;&lt;D xsi:type="xsd:double"&gt;0.84&lt;/D&gt;&lt;/FQL&gt;&lt;FQL&gt;&lt;Q&gt;Ticker0024^FE_ESTIMATE(EAG,MEAN,ANNUAL_ROLL,2017,45772,,,'')&lt;/Q&gt;&lt;R&gt;1&lt;/R&gt;&lt;C&gt;1&lt;/C&gt;&lt;D xsi:type="xsd:double"&gt;2.71&lt;/D&gt;&lt;/FQL&gt;&lt;FQL&gt;&lt;Q&gt;Ticker0024^FE_ESTIMATE(EAG,MEAN,QUARTERLY_ROLL,2017/4F,45772,,,'')&lt;/Q&gt;&lt;R&gt;1&lt;/R&gt;&lt;C&gt;1&lt;/C&gt;&lt;D xsi:type="xsd:double"&gt;0.83&lt;/D&gt;&lt;/FQL&gt;&lt;FQL&gt;&lt;Q&gt;Ticker0024^FE_ESTIMATE(EAG,MEAN,QUARTERLY_ROLL,2017/3F,45772,,,'')&lt;/Q&gt;&lt;R&gt;1&lt;/R&gt;&lt;C&gt;1&lt;/C&gt;&lt;D xsi:type="xsd:double"&gt;0.61&lt;/D&gt;&lt;/FQL&gt;&lt;FQL&gt;&lt;Q&gt;Ticker0024^FE_ESTIMATE(EAG,MEAN,QUARTERLY_ROLL,2017/2F,45772,,,'')&lt;/Q&gt;&lt;R&gt;1&lt;/R&gt;&lt;C&gt;1&lt;/C&gt;&lt;D xsi:type="xsd:double"&gt;0.66&lt;/D&gt;&lt;/FQL&gt;&lt;FQL&gt;&lt;Q&gt;Ticker0024^FE_ESTIMATE(EAG,MEAN,QUARTERLY_ROLL,2017/1F,45772,,,'')&lt;/Q&gt;&lt;R&gt;1&lt;/R&gt;&lt;C&gt;1&lt;/C&gt;&lt;D xsi:type="xsd:double"&gt;0.6&lt;/D&gt;&lt;/FQL&gt;&lt;FQL&gt;&lt;Q&gt;Ticker0024^FE_ESTIMATE(EAG,MEAN,ANNUAL_ROLL,2016,45772,,,'')&lt;/Q&gt;&lt;R&gt;1&lt;/R&gt;&lt;C&gt;1&lt;/C&gt;&lt;D xsi:type="xsd:double"&gt;2.1&lt;/D&gt;&lt;/FQL&gt;&lt;FQL&gt;&lt;Q&gt;Ticker0024^FE_ESTIMATE(EAG,MEAN,QUARTERLY_ROLL,2016/4F,45772,,,'')&lt;/Q&gt;&lt;R&gt;1&lt;/R&gt;&lt;C&gt;1&lt;/C&gt;&lt;D xsi:type="xsd:double"&gt;0.39&lt;/D&gt;&lt;/FQL&gt;&lt;FQL&gt;&lt;Q&gt;Ticker0024^FE_ESTIMATE(EAG,MEAN,QUARTERLY_ROLL,2016/3F,45772,,,'')&lt;/Q&gt;&lt;R&gt;1&lt;/R&gt;&lt;C&gt;1&lt;/C&gt;&lt;D xsi:type="xsd:double"&gt;0.47&lt;/D&gt;&lt;/FQL&gt;&lt;FQL&gt;&lt;Q&gt;Ticker0024^FE_ESTIMATE(EAG,MEAN,QUARTERLY_ROLL,2016/2F,45772,,,'')&lt;/Q&gt;&lt;R&gt;1&lt;/R&gt;&lt;C&gt;1&lt;/C&gt;&lt;D xsi:type="xsd:double"&gt;0.62&lt;/D&gt;&lt;/FQL&gt;&lt;FQL&gt;&lt;Q&gt;Ticker0024^FE_ESTIMATE(EAG,MEAN,QUARTERLY_ROLL,2016/1F,45772,,,'')&lt;/Q&gt;&lt;R&gt;1&lt;/R&gt;&lt;C&gt;1&lt;/C&gt;&lt;D xsi:type="xsd:double"&gt;0.57&lt;/D&gt;&lt;/FQL&gt;&lt;FQL&gt;&lt;Q&gt;Ticker0024^FE_ESTIMATE(EAG,MEAN,ANNUAL_ROLL,2015,45772,,,'')&lt;/Q&gt;&lt;R&gt;1&lt;/R&gt;&lt;C&gt;1&lt;/C&gt;&lt;D xsi:type="xsd:double"&gt;1.48&lt;/D&gt;&lt;/FQL&gt;&lt;FQL&gt;&lt;Q&gt;Ticker0024^FE_ESTIMATE(EAG,MEAN,QUARTERLY_ROLL,2015/4F,45772,,,'')&lt;/Q&gt;&lt;R&gt;1&lt;/R&gt;&lt;C&gt;1&lt;/C&gt;&lt;D xsi:type="xsd:double"&gt;-0.4&lt;/D&gt;&lt;/FQL&gt;&lt;FQL&gt;&lt;Q&gt;Ticker0024^FE_ESTIMATE(EAG,MEAN,QUARTERLY_ROLL,2015/3F,45772,,,'')&lt;/Q&gt;&lt;R&gt;1&lt;/R&gt;&lt;C&gt;1&lt;/C&gt;&lt;D xsi:type="xsd:double"&gt;0.61&lt;/D&gt;&lt;/FQL&gt;&lt;FQL&gt;&lt;Q&gt;Ticker0024^FE_ESTIMATE(EAG,MEAN,QUARTERLY_ROLL,2015/2F,45772,,,'')&lt;/Q&gt;&lt;R&gt;1&lt;/R&gt;&lt;C&gt;1&lt;/C&gt;&lt;D xsi:type="xsd:double"&gt;0.71&lt;/D&gt;&lt;/FQL&gt;&lt;FQL&gt;&lt;Q&gt;Ticker0024^FE_ESTIMATE(EAG,MEAN,QUARTERLY_ROLL,2015/1F,45772,,,'')&lt;/Q&gt;&lt;R&gt;1&lt;/R&gt;&lt;C&gt;1&lt;/C&gt;&lt;D xsi:type="xsd:double"&gt;0.54&lt;/D&gt;&lt;/FQL&gt;&lt;FQL&gt;&lt;Q&gt;Ticker0024^FE_ESTIMATE(EBIT,MEAN,ANNUAL_ROLL,2030,45772,,,'')&lt;/Q&gt;&lt;R&gt;0&lt;/R&gt;&lt;C&gt;0&lt;/C&gt;&lt;/FQL&gt;&lt;FQL&gt;&lt;Q&gt;Ticker0024^FE_ESTIMATE(EBIT,MEAN,QUARTERLY_ROLL,2030/4F,45772,,,'')&lt;/Q&gt;&lt;R&gt;0&lt;/R&gt;&lt;C&gt;0&lt;/C&gt;&lt;/FQL&gt;&lt;FQL&gt;&lt;Q&gt;Ticker0024^FE_ESTIMATE(EBIT,MEAN,QUARTERLY_ROLL,2030/3F,45772,,,'')&lt;/Q&gt;&lt;R&gt;0&lt;/R&gt;&lt;C&gt;0&lt;/C&gt;&lt;/FQL&gt;&lt;FQL&gt;&lt;Q&gt;Ticker0024^FE_ESTIMATE(EBIT,MEAN,QUARTERLY_ROLL,2030/2F,45772,,,'')&lt;/Q&gt;&lt;R&gt;0&lt;/R&gt;&lt;C&gt;0&lt;/C&gt;&lt;/FQL&gt;&lt;FQL&gt;&lt;Q&gt;Ticker0024^FE_ESTIMATE(EBIT,MEAN,QUARTERLY_ROLL,2030/1F,45772,,,'')&lt;/Q&gt;&lt;R&gt;0&lt;/R&gt;&lt;C&gt;0&lt;/C&gt;&lt;/FQL&gt;&lt;FQL&gt;&lt;Q&gt;Ticker0024^FE_ESTIMATE(EBIT,MEAN,ANNUAL_ROLL,2029,45772,,,'')&lt;/Q&gt;&lt;R&gt;1&lt;/R&gt;&lt;C&gt;1&lt;/C&gt;&lt;D xsi:type="xsd:double"&gt;215560.1&lt;/D&gt;&lt;/FQL&gt;&lt;FQL&gt;&lt;Q&gt;Ticker0024^FE_ESTIMATE(EBIT,MEAN,QUARTERLY_ROLL,2029/4F,45772,,,'')&lt;/Q&gt;&lt;R&gt;0&lt;/R&gt;&lt;C&gt;0&lt;/C&gt;&lt;/FQL&gt;&lt;FQL&gt;&lt;Q&gt;Ticker0024^FE_ESTIMATE(EBIT,MEAN,QUARTERLY_ROLL,2029/3F,45772,,,'')&lt;/Q&gt;&lt;R&gt;0&lt;/R&gt;&lt;C&gt;0&lt;/C&gt;&lt;/FQL&gt;&lt;FQL&gt;&lt;Q&gt;Ticker0024^FE_ESTIMATE(EBIT,MEAN,QUARTERLY_ROLL,2029/2F,45772,,,'')&lt;/Q&gt;&lt;R&gt;0&lt;/R&gt;&lt;C&gt;0&lt;/C&gt;&lt;/FQL&gt;&lt;FQL&gt;&lt;Q&gt;Ticker0024^FE_ESTIMATE(EBIT,MEAN,QUARTERLY_ROLL,2029/1F,45772,,,'')&lt;/Q&gt;&lt;R&gt;0&lt;/R&gt;&lt;C&gt;0&lt;/C&gt;&lt;/FQL&gt;&lt;FQL&gt;&lt;Q&gt;Ticker0024^FE_ESTIMATE(EBIT,MEAN,ANNUAL_ROLL,2028,45772,,,'')&lt;/Q&gt;&lt;R&gt;1&lt;/R&gt;&lt;C&gt;1&lt;/C&gt;&lt;D xsi:type="xsd:double"&gt;183142.72&lt;/D&gt;&lt;/FQL&gt;&lt;FQL&gt;&lt;Q&gt;Ticker0024^FE_ESTIMATE(EBIT,MEAN,QUARTERLY_ROLL,2028/4F,45772,,,'')&lt;/Q&gt;&lt;R&gt;0&lt;/R&gt;&lt;C&gt;0&lt;/C&gt;&lt;/FQL&gt;&lt;FQL&gt;&lt;Q&gt;Ticker0024^FE_ESTIMATE(EBIT,MEAN,QUARTERLY_ROLL,2028/3F,45772,,,'')&lt;/Q&gt;&lt;R&gt;0&lt;/R&gt;&lt;C&gt;0&lt;/C&gt;&lt;/FQL&gt;&lt;FQL&gt;&lt;Q&gt;Ticker0024^FE_ESTIMATE(EBIT,MEAN,QUARTERLY_ROLL,2028/2F,45772,,,'')&lt;/Q&gt;&lt;R&gt;0&lt;/R&gt;&lt;C&gt;0&lt;/C&gt;&lt;/FQL&gt;&lt;FQL&gt;&lt;Q&gt;Ticker0024^FE_ESTIMATE(EBIT,MEAN,QUARTERLY_ROLL,2028/1F,45772,,,'')&lt;/Q&gt;&lt;R&gt;0&lt;/R&gt;&lt;C&gt;0&lt;/C&gt;&lt;/FQL&gt;&lt;FQL&gt;&lt;Q&gt;Ticker0024^FE_ESTIMATE(EBIT,MEAN,ANNUAL_ROLL,2027,45772,,,'')&lt;/Q&gt;&lt;R&gt;1&lt;/R&gt;&lt;C&gt;1&lt;/C&gt;&lt;D xsi:type="xsd:double"&gt;162172.73&lt;/D&gt;&lt;/FQL&gt;&lt;FQL&gt;&lt;Q&gt;Ticker0024^FE_ESTIMATE(EBIT,MEAN,QUARTERLY_ROLL,2027/4F,45772,,,'')&lt;/Q&gt;&lt;R&gt;1&lt;/R&gt;&lt;C&gt;1&lt;/C&gt;&lt;D xsi:type="xsd:double"&gt;42008.84&lt;/D&gt;&lt;/FQL&gt;&lt;FQL&gt;&lt;Q&gt;Ticker0024^FE_ESTIMATE(EBIT,MEAN,QUARTERLY_ROLL,2027/3F,45772,,,'')&lt;/Q&gt;&lt;R&gt;1&lt;/R&gt;&lt;C&gt;1&lt;/C&gt;&lt;D xsi:type="xsd:double"&gt;39807.87&lt;/D&gt;&lt;/FQL&gt;&lt;FQL&gt;&lt;Q&gt;Ticker0024^FE_ESTIMATE(EBIT,MEAN,QUARTERLY_ROLL,2027/2F,45772,,,'')&lt;/Q&gt;&lt;R&gt;1&lt;/R&gt;&lt;C&gt;1&lt;/C&gt;&lt;D xsi:type="xsd:double"&gt;40461.266&lt;/D&gt;&lt;/FQL&gt;&lt;FQL&gt;&lt;Q&gt;Ticker0024^FE_ESTIMATE(EBIT,MEAN,QUARTERLY_ROLL,2027/1F,45772,,,'')&lt;/Q&gt;&lt;R&gt;1&lt;/R&gt;&lt;C&gt;1&lt;/C&gt;&lt;D xsi:type="xsd:double"&gt;39146.313&lt;/D&gt;&lt;/FQL&gt;&lt;FQL&gt;&lt;Q&gt;Ticker0024^FE_ESTIMATE(EBIT,MEAN,ANNUAL_ROLL,2026,45772,,,'')&lt;/Q&gt;&lt;R&gt;1&lt;/R&gt;&lt;C&gt;1&lt;/C&gt;&lt;D xsi:type="xsd:double"&gt;139828.19&lt;/D&gt;&lt;/FQL&gt;&lt;FQL&gt;&lt;Q&gt;Ticker0024^FE_ESTIMATE(EBIT,MEAN,QUARTERLY_ROLL,2026/4F,45772,,,'')&lt;/Q&gt;&lt;R&gt;1&lt;/R&gt;&lt;C&gt;1&lt;/C&gt;&lt;D xsi:type="xsd:double"&gt;36189.586&lt;/D&gt;&lt;/FQL&gt;&lt;FQL&gt;&lt;Q&gt;Ticker0024^FE_ESTIMATE(EBIT,MEAN,QUARTERLY_ROLL,2026/3F,45772,,,'')&lt;/Q&gt;&lt;R&gt;1&lt;/R&gt;&lt;C&gt;1&lt;/C&gt;&lt;D xsi:type="xsd:double"&gt;34552.566&lt;/D&gt;&lt;/FQL&gt;&lt;FQL&gt;&lt;Q&gt;Ticker0024^FE_ESTIMATE(EBIT,MEAN,QUARTERLY_ROLL,2026/2F,45772,,,'')&lt;/Q&gt;&lt;R&gt;1&lt;/R&gt;&lt;C&gt;1&lt;/C&gt;&lt;D xsi:type="xsd:double"&gt;35078.633&lt;/D&gt;&lt;/FQL&gt;&lt;FQL&gt;&lt;Q&gt;Ticker0024^FE_ESTIMATE(EBIT,MEAN,QUARTERLY_ROLL,2026/1F,45772,,,'')&lt;/Q&gt;&lt;R&gt;1&lt;/R&gt;&lt;C&gt;1&lt;/C&gt;&lt;D xsi:type="xsd:double"&gt;33741.598&lt;/D&gt;&lt;/FQL&gt;&lt;FQL&gt;&lt;Q&gt;Ticker0024^FE_ESTIMATE(EBIT,MEAN,ANNUAL_ROLL,2025,45772,,,'')&lt;/Q&gt;&lt;R&gt;1&lt;/R&gt;&lt;C&gt;1&lt;/C&gt;&lt;D xsi:type="xsd:double"&gt;123966.52&lt;/D&gt;&lt;/FQL&gt;&lt;FQL&gt;&lt;Q&gt;Ticker0024^FE_ESTIMATE(EBIT,MEAN,QUARTERLY_ROLL,2025/4F,45772,,,'')&lt;/Q&gt;&lt;R&gt;1&lt;/R&gt;&lt;C&gt;1&lt;/C&gt;&lt;D xsi:type="xsd:double"&gt;31568.404&lt;/D&gt;&lt;/FQL&gt;&lt;FQL&gt;&lt;Q&gt;Ticker0024^FE_ESTIMATE(EBIT,MEAN,QUARTERLY_ROLL,2025/3F,45772,,,'')&lt;/Q&gt;&lt;R&gt;1&lt;/R&gt;&lt;C&gt;1&lt;/C&gt;&lt;D xsi:type="xsd:double"&gt;30434.213&lt;/D&gt;&lt;/FQL&gt;&lt;FQL&gt;&lt;Q&gt;Ticker0024^FE_ESTIMATE(EBIT,MEAN,QUARTERLY_ROLL,2025/2F,45772,,,'')&lt;/Q&gt;&lt;R&gt;1&lt;/R&gt;&lt;C&gt;1&lt;/C&gt;&lt;D xsi:type="xsd:double"&gt;31654.076&lt;/D&gt;&lt;/FQL&gt;&lt;FQL&gt;&lt;Q&gt;Ticker0024^FE_ESTIMATE(EBIT,MEAN,QUARTERLY_ROLL,2025/1F,45772,,,'')&lt;/Q&gt;&lt;R&gt;1&lt;/R&gt;&lt;C&gt;1&lt;/C&gt;&lt;D xsi:type="xsd:double"&gt;30535.146&lt;/D&gt;&lt;/FQL&gt;&lt;FQL&gt;&lt;Q&gt;Ticker0024^FE_ESTIMATE(EBIT,MEAN,ANNUAL_ROLL,2024,45772,,,'')&lt;/Q&gt;&lt;R&gt;1&lt;/R&gt;&lt;C&gt;1&lt;/C&gt;&lt;D xsi:type="xsd:double"&gt;109729.96&lt;/D&gt;&lt;/FQL&gt;&lt;FQL&gt;&lt;Q&gt;Ticker0024^FE_ESTIMATE(EBIT,MEAN,QUARTERLY_ROLL,2024/4F,45772,,,'')&lt;/Q&gt;&lt;R&gt;1&lt;/R&gt;&lt;C&gt;1&lt;/C&gt;&lt;D xsi:type="xsd:double"&gt;27926.969&lt;/D&gt;&lt;/FQL&gt;&lt;FQL&gt;&lt;Q&gt;Ticker0024^FE_ESTIMATE(EBIT,MEAN,QUARTERLY_ROLL,2024/3F,45772,,,'')&lt;/Q&gt;&lt;R&gt;1&lt;/R&gt;&lt;C&gt;1&lt;/C&gt;&lt;D xsi:type="xsd:double"&gt;27582.4&lt;/D&gt;&lt;/FQL&gt;&lt;FQL&gt;&lt;Q&gt;Ticker0024^FE_ESTIMATE(EBIT,MEAN,QUARTERLY_ROLL,2024/2F,45772,,,'')&lt;/Q&gt;&lt;R&gt;1&lt;/R&gt;&lt;C&gt;1&lt;/C&gt;&lt;D xsi:type="xsd:double"&gt;27031.055&lt;/D&gt;&lt;/FQL&gt;&lt;FQL&gt;&lt;Q&gt;Ticker0024^FE_ESTIMATE(EBIT,MEAN,QUARTERLY_ROLL,2024/1F,45772,,,'')&lt;/Q&gt;&lt;R&gt;1&lt;/R&gt;&lt;C&gt;1&lt;/C&gt;&lt;D xsi:type="xsd:double"&gt;26895.146&lt;/D&gt;&lt;/FQL&gt;&lt;FQL&gt;&lt;Q&gt;Ticker0024^FE_ESTIMATE(EBIT,MEAN,ANNUAL_ROLL,2023,45772,,,'')&lt;/Q&gt;&lt;R&gt;1&lt;/R&gt;&lt;C&gt;1&lt;/C&gt;&lt;D xsi:type="xsd:double"&gt;88600.766&lt;/D&gt;&lt;/FQL&gt;&lt;FQL&gt;&lt;Q&gt;Ticker0024^FE_ESTIMATE(EBIT,MEAN,QUARTERLY_ROLL,2023/4F,45772,,,'')&lt;/Q&gt;&lt;R&gt;1&lt;/R&gt;&lt;C&gt;1&lt;/C&gt;&lt;D xsi:type="xsd:double"&gt;24173.82&lt;/D&gt;&lt;/FQL&gt;&lt;FQL&gt;&lt;Q&gt;Ticker0024^FE_ESTIMATE(EBIT,MEAN,QUARTERLY_ROLL,2023/3F,45772,,,'')&lt;/Q&gt;&lt;R&gt;1&lt;/R&gt;&lt;C&gt;1&lt;/C&gt;&lt;D xsi:type="xsd:double"&gt;22351.936&lt;/D&gt;&lt;/FQL&gt;&lt;FQL&gt;&lt;Q&gt;Ticker0024^FE_ESTIMATE(EBIT,MEAN,QUARTERLY_ROLL,2023/2F,45772,,,'')&lt;/Q&gt;&lt;R&gt;1&lt;/R&gt;&lt;C&gt;1&lt;/C&gt;&lt;D xsi:type="xsd:double"&gt;20399.059&lt;/D&gt;&lt;/FQL&gt;&lt;FQL&gt;&lt;Q&gt;Ticker0024^FE_ESTIMATE(EBIT,MEAN,QUARTERLY_ROLL,2023/1F,45772,,,'')&lt;/Q&gt;&lt;R&gt;1&lt;/R&gt;&lt;C&gt;1&lt;/C&gt;&lt;D xsi:type="xsd:double"&gt;21518.063&lt;/D&gt;&lt;/FQL&gt;&lt;FQL&gt;&lt;Q&gt;Ticker0024^FE_ESTIMATE(EBIT,MEAN,ANNUAL_ROLL,2022,45772,,,'')&lt;/Q&gt;&lt;R&gt;1&lt;/R&gt;&lt;C&gt;1&lt;/C&gt;&lt;D xsi:type="xsd:double"&gt;83380.48&lt;/D&gt;&lt;/FQL&gt;&lt;FQL&gt;&lt;Q&gt;Ticker0024^FE_ESTIMATE(EBIT,MEAN,QUARTERLY_ROLL,2022/4F,45772,,,'')&lt;/Q&gt;&lt;R&gt;1&lt;/R&gt;&lt;C&gt;1&lt;/C&gt;&lt;D xsi:type="xsd:double"&gt;20531.785&lt;/D&gt;&lt;/FQL&gt;&lt;FQL&gt;&lt;Q&gt;Ticker0024^FE_ESTIMATE(EBIT,MEAN,QUARTERLY_ROLL,2022/3F,45772,,,'')&lt;/Q&gt;&lt;R&gt;1&lt;/R&gt;&lt;C&gt;1&lt;/C&gt;&lt;D xsi:type="xsd:double"&gt;20362.076&lt;/D&gt;&lt;/FQL&gt;&lt;FQL&gt;&lt;Q&gt;Ticker0024^FE_ESTIMATE(EBIT,MEAN,QUARTERLY_ROLL,2022/2F,45772,,,'')&lt;/Q&gt;&lt;R&gt;1&lt;/R&gt;&lt;C&gt;1&lt;/C&gt;&lt;D xsi:type="xsd:double"&gt;22246.809&lt;/D&gt;&lt;/FQL&gt;&lt;FQL&gt;&lt;Q&gt;Ticker0024^FE_ESTIMATE(EBIT,MEAN,QUARTERLY_ROLL,2022/1F,45772,,,'')&lt;/Q&gt;&lt;R&gt;1&lt;/R&gt;&lt;C&gt;1&lt;/C&gt;&lt;D xsi:type="xsd:double"&gt;20237.896&lt;/D&gt;&lt;/FQL&gt;&lt;FQL&gt;&lt;Q&gt;Ticker0024^FE_ESTIMATE(EBIT,MEAN,ANNUAL_ROLL,2021,45772,,,'')&lt;/Q&gt;&lt;R&gt;1&lt;/R&gt;&lt;C&gt;1&lt;/C&gt;&lt;D xsi:type="xsd:double"&gt;69916.43&lt;/D&gt;&lt;/FQL&gt;&lt;FQL&gt;&lt;Q&gt;Ticker0024^FE_ESTIMATE(EBIT,MEAN,QUARTERLY_ROLL,2021/4F,45772,,,'')&lt;/Q&gt;&lt;R&gt;1&lt;/R&gt;&lt;C&gt;1&lt;/C&gt;&lt;D xsi:type="xsd:double"&gt;19095&lt;/D&gt;&lt;/FQL&gt;&lt;FQL&gt;&lt;Q&gt;Ticker0024^FE_ESTIMATE(EBIT,MEAN,QUARTERLY_ROLL,2021/3F,45772,,,'')&lt;/Q&gt;&lt;R&gt;1&lt;/R&gt;&lt;C&gt;1&lt;/C&gt;&lt;D xsi:type="xsd:double"&gt;17048&lt;/D&gt;&lt;/FQL&gt;&lt;FQL&gt;&lt;Q&gt;Ticker0024^FE_ESTIMATE(EBIT,MEAN,QUARTERLY_ROLL,2021/2F,45772,,,'')&lt;/Q&gt;&lt;R&gt;1&lt;/R&gt;&lt;C&gt;1&lt;/C&gt;&lt;D xsi:type="xsd:double"&gt;17896.826&lt;/D&gt;&lt;/FQL&gt;&lt;FQL&gt;&lt;Q&gt;Ticker0024^FE_ESTIMATE(EBIT,MEAN,QUARTERLY_ROLL,2021/1F,45772,,,'')&lt;/Q&gt;&lt;R&gt;1&lt;/R&gt;&lt;C&gt;1&lt;/C&gt;&lt;D xsi:type="xsd:double"&gt;15875.739&lt;/D&gt;&lt;/FQL&gt;&lt;FQL&gt;&lt;Q&gt;Ticker0024^FE_ESTIMATE(EBIT,MEAN,ANNUAL_ROLL,2020,45772,,,'')&lt;/Q&gt;&lt;R&gt;1&lt;/R&gt;&lt;C&gt;1&lt;/C&gt;&lt;D xsi:type="xsd:double"&gt;52978.875&lt;/D&gt;&lt;/FQL&gt;&lt;FQL&gt;&lt;Q&gt;Ticker0024^FE_ESTIMATE(EBIT,MEAN,QUARTERLY_ROLL,2020/4F,45772,,,'')&lt;/Q&gt;&lt;R&gt;1&lt;/R&gt;&lt;C&gt;1&lt;/C&gt;&lt;D xsi:type="xsd:double"&gt;13432.45&lt;/D&gt;&lt;/FQL&gt;&lt;FQL&gt;&lt;Q&gt;Ticker0024^FE_ESTIMATE(EBIT,MEAN,QUARTERLY_ROLL,2020/3F,45772,,,'')&lt;/Q&gt;&lt;R&gt;1&lt;/R&gt;&lt;C&gt;1&lt;/C&gt;&lt;D xsi:type="xsd:double"&gt;12975&lt;/D&gt;&lt;/FQL&gt;&lt;FQL&gt;&lt;Q&gt;Ticker0024^FE_ESTIMATE(EBIT,MEAN,QUARTERLY_ROLL,2020/2F,45772,,,'')&lt;/Q&gt;&lt;R&gt;1&lt;/R&gt;&lt;C&gt;1&lt;/C&gt;&lt;D xsi:type="xsd:double"&gt;13891&lt;/D&gt;&lt;/FQL&gt;&lt;FQL&gt;&lt;Q&gt;Ticker0024^FE_ESTIMATE(EBIT,MEAN,QUARTERLY_ROLL,2020/1F,45772,,,'')&lt;/Q&gt;&lt;R&gt;1&lt;/R&gt;&lt;C&gt;1&lt;/C&gt;&lt;D xsi:type="xsd:double"&gt;12686&lt;/D&gt;&lt;/FQL&gt;&lt;FQL&gt;&lt;Q&gt;Ticker0024^FE_ESTIMATE(EBIT,MEAN,ANNUAL_ROLL,2019,45772,,,'')&lt;/Q&gt;&lt;R&gt;1&lt;/R&gt;&lt;C&gt;1&lt;/C&gt;&lt;D xsi:type="xsd:double"&gt;42964.805&lt;/D&gt;&lt;/FQL&gt;&lt;FQL&gt;&lt;Q&gt;Ticker0024^FE_ESTIMATE(EBIT,MEAN,QUARTERLY_ROLL,2019/4F,45772,,,'')&lt;/Q&gt;&lt;R&gt;1&lt;/R&gt;&lt;C&gt;1&lt;/C&gt;&lt;D xsi:type="xsd:double"&gt;12405&lt;/D&gt;&lt;/FQL&gt;&lt;FQL&gt;&lt;Q&gt;Ticker0024^FE_ESTIMATE(EBIT,MEAN,QUARTERLY_ROLL,2019/3F,45772,,,'')&lt;/Q&gt;&lt;R&gt;1&lt;/R&gt;&lt;C&gt;1&lt;/C&gt;&lt;D xsi:type="xsd:double"&gt;10341&lt;/D&gt;&lt;/FQL&gt;&lt;FQL&gt;&lt;Q&gt;Ticker0024^FE_ESTIMATE(EBIT,MEAN,QUARTERLY_ROLL,2019/2F,45772,,,'')&lt;/Q&gt;&lt;R&gt;1&lt;/R&gt;&lt;C&gt;1&lt;/C&gt;&lt;D xsi:type="xsd:double"&gt;10263.846&lt;/D&gt;&lt;/FQL&gt;&lt;FQL&gt;&lt;Q&gt;Ticker0024^FE_ESTIMATE(EBIT,MEAN,QUARTERLY_ROLL,2019/1F,45772,,,'')&lt;/Q&gt;&lt;R&gt;1&lt;/R&gt;&lt;C&gt;1&lt;/C&gt;&lt;D xsi:type="xsd:double"&gt;9955&lt;/D&gt;&lt;/FQL&gt;&lt;FQL&gt;&lt;Q&gt;Ticker0024^FE_ESTIMATE(EBIT,MEAN,ANNUAL_ROLL,2018,45772,,,'')&lt;/Q&gt;&lt;R&gt;1&lt;/R&gt;&lt;C&gt;1&lt;/C&gt;&lt;D xsi:type="xsd:double"&gt;35034.188&lt;/D&gt;&lt;/FQL&gt;&lt;FQL&gt;&lt;Q&gt;Ticker0024^FE_ESTIMATE(EBIT,MEAN,QUARTERLY_ROLL,2018/4F,45772,,,'')&lt;/Q&gt;&lt;R&gt;1&lt;/R&gt;&lt;C&gt;1&lt;/C&gt;&lt;D xsi:type="xsd:double"&gt;10349.692&lt;/D&gt;&lt;/FQL&gt;&lt;FQL&gt;&lt;Q&gt;Ticker0024^FE_ESTIMATE(EBIT,MEAN,QUARTERLY_ROLL,2018/3F,45772,,,'')&lt;/Q&gt;&lt;R&gt;1&lt;/R&gt;&lt;C&gt;1&lt;/C&gt;&lt;D xsi:type="xsd:double"&gt;8292&lt;/D&gt;&lt;/FQL&gt;&lt;FQL&gt;&lt;Q&gt;Ticker0024^FE_ESTIMATE(EBIT,MEAN,QUARTERLY_ROLL,2018/2F,45772,,,'')&lt;/Q&gt;&lt;R&gt;1&lt;/R&gt;&lt;C&gt;1&lt;/C&gt;&lt;D xsi:type="xsd:double"&gt;8679&lt;/D&gt;&lt;/FQL&gt;&lt;FQL&gt;&lt;Q&gt;Ticker0024^FE_ESTIMATE(EBIT,MEAN,QUARTERLY_ROLL,2018/1F,45772,,,'')&lt;/Q&gt;&lt;R&gt;1&lt;/R&gt;&lt;C&gt;1&lt;/C&gt;&lt;D xsi:type="xsd:double"&gt;7708&lt;/D&gt;&lt;/FQL&gt;&lt;FQL&gt;&lt;Q&gt;Ticker0024^FE_ESTIMATE(EBIT,MEAN,ANNUAL_ROLL,2017,45772,,,'')&lt;/Q&gt;&lt;R&gt;1&lt;/R&gt;&lt;C&gt;1&lt;/C&gt;&lt;D xsi:type="xsd:double"&gt;29326.25&lt;/D&gt;&lt;/FQL&gt;&lt;FQL&gt;&lt;Q&gt;Ticker0024^FE_ESTIMATE(EBIT,MEAN,QUARTERLY_ROLL,2017/4F,45772,,,'')&lt;/Q&gt;&lt;R&gt;1&lt;/R&gt;&lt;C&gt;1&lt;/C&gt;&lt;D xsi:type="xsd:double"&gt;7019&lt;/D&gt;&lt;/FQL&gt;&lt;FQL&gt;&lt;Q&gt;Ticker0024^FE_ESTIMATE(EBIT,MEAN,QUARTERLY_ROLL,2017/3F,45772,,,'')&lt;/Q&gt;&lt;R&gt;1&lt;/R&gt;&lt;C&gt;1&lt;/C&gt;&lt;D xsi:type="xsd:double"&gt;7061&lt;/D&gt;&lt;/FQL&gt;&lt;FQL&gt;&lt;Q&gt;Ticker0024^FE_ESTIMATE(EBIT,MEAN,QUARTERLY_ROLL,2017/2F,45772,,,'')&lt;/Q&gt;&lt;R&gt;1&lt;/R&gt;&lt;C&gt;1&lt;/C&gt;&lt;D xsi:type="xsd:double"&gt;8153&lt;/D&gt;&lt;/FQL&gt;&lt;FQL&gt;&lt;Q&gt;Ticker0024^FE_ESTIMATE(EBIT,MEAN,QUARTERLY_ROLL,2017/1F,45772,,,'')&lt;/Q&gt;&lt;R&gt;1&lt;/R&gt;&lt;C&gt;1&lt;/C&gt;&lt;D xsi:type="xsd:double"&gt;7106&lt;/D&gt;&lt;/FQL&gt;&lt;FQL&gt;&lt;Q&gt;Ticker0024^FE_ESTIMATE(EBIT,MEAN,ANNUAL_ROLL,2016,45772,,,'')&lt;/Q&gt;&lt;R&gt;1&lt;/R&gt;&lt;C&gt;1&lt;/C&gt;&lt;D xsi:type="xsd:double"&gt;28028.564&lt;/D&gt;&lt;/FQL&gt;&lt;FQL&gt;&lt;Q&gt;Ticker0024^FE_ESTIMATE(EBIT,MEAN,QUARTERLY_ROLL,2016/4F,45772,,,'')&lt;/Q&gt;&lt;R&gt;1&lt;/R&gt;&lt;C&gt;1&lt;/C&gt;&lt;D xsi:type="xsd:double"&gt;6218&lt;/D&gt;&lt;/FQL&gt;&lt;FQL&gt;&lt;Q&gt;Ticker0024^FE_ESTIMATE(EBIT,MEAN,QUARTERLY_ROLL,2016/3F,45772,,,'')&lt;/Q&gt;&lt;R&gt;1&lt;/R&gt;&lt;C&gt;1&lt;/C&gt;&lt;D xsi:type="xsd:double"&gt;6828&lt;/D&gt;&lt;/FQL&gt;&lt;FQL&gt;&lt;Q&gt;Ticker0024^FE_ESTIMATE(EBIT,MEAN,QUARTERLY_ROLL,2016/2F,45772,,,'')&lt;/Q&gt;&lt;R&gt;1&lt;/R&gt;&lt;C&gt;1&lt;/C&gt;&lt;D xsi:type="xsd:double"&gt;7923&lt;/D&gt;&lt;/FQL&gt;&lt;FQL&gt;&lt;Q&gt;Ticker0024^FE_ESTIMATE(EBIT,MEAN,QUARTERLY_ROLL,2016/1F,45772,,,'')&lt;/Q&gt;&lt;R&gt;1&lt;/R&gt;&lt;C&gt;1&lt;/C&gt;&lt;D xsi:type="xsd:double"&gt;7073.7896&lt;/D&gt;&lt;/FQL&gt;&lt;FQL&gt;&lt;Q&gt;Ticker0024^FE_ESTIMATE(EBIT,MEAN,ANNUAL_ROLL,2015,45772,,,'')&lt;/Q&gt;&lt;R&gt;1&lt;/R&gt;&lt;C&gt;1&lt;/C&gt;&lt;D xsi:type="xsd:double"&gt;27916.867&lt;/D&gt;&lt;/FQL&gt;&lt;FQL&gt;&lt;Q&gt;Ticker0024^FE_ESTIMATE(EBIT,MEAN,QUARTERLY_ROLL,2015/4F,45772,,,'')&lt;/Q&gt;&lt;R&gt;1&lt;/R&gt;&lt;C&gt;1&lt;/C&gt;&lt;D xsi:type="xsd:double"&gt;4513.1914&lt;/D&gt;&lt;/FQL&gt;&lt;FQL&gt;&lt;Q&gt;Ticker0024^FE_ESTIMATE(EBIT,MEAN,QUARTERLY_ROLL,2015/3F,45772,,,'')&lt;/Q&gt;&lt;R&gt;1&lt;/R&gt;&lt;C&gt;1&lt;/C&gt;&lt;D xsi:type="xsd:double"&gt;6598.875&lt;/D&gt;&lt;/FQL&gt;&lt;FQL&gt;&lt;Q&gt;Ticker0024^FE_ESTIMATE(EBIT,MEAN,QUARTERLY_ROLL,2015/2F,45772,,,'')&lt;/Q&gt;&lt;R&gt;1&lt;/R&gt;&lt;C&gt;1&lt;/C&gt;&lt;D xsi:type="xsd:double"&gt;7776&lt;/D&gt;&lt;/FQL&gt;&lt;FQL&gt;&lt;Q&gt;Ticker0024^FE_ESTIMATE(EBIT,MEAN,QUARTERLY_ROLL,2015/1F,45772,,,'')&lt;/Q&gt;&lt;R&gt;1&lt;/R&gt;&lt;C&gt;1&lt;/C&gt;&lt;D xsi:type="xsd:double"&gt;5844&lt;/D&gt;&lt;/FQL&gt;&lt;FQL&gt;&lt;Q&gt;Ticker0024^FE_ESTIMATE(PRODLINE_EBIT_17,MEAN,ANNUAL_ROLL,2030,45772,,,'')&lt;/Q&gt;&lt;R&gt;0&lt;/R&gt;&lt;C&gt;0&lt;/C&gt;&lt;/FQL&gt;&lt;FQL&gt;&lt;Q&gt;Ticker0024^FE_ESTIMATE(PRODLINE_EBIT_17,MEAN,QUARTERLY_ROLL,2030/4F,45772,,,'')&lt;/Q&gt;&lt;R&gt;0&lt;/R&gt;&lt;C&gt;0&lt;/C&gt;&lt;/FQL&gt;&lt;FQL&gt;&lt;Q&gt;Ticker0024^FE_ESTIMATE(PRODLINE_EBIT_17,MEAN,QUARTERLY_ROLL,2030/3F,45772,,,'')&lt;/Q&gt;&lt;R&gt;0&lt;/R&gt;&lt;C&gt;0&lt;/C&gt;&lt;/FQL&gt;&lt;FQL&gt;&lt;Q&gt;Ticker0024^FE_ESTIMATE(PRODLINE_EBIT_17,MEAN,QUARTERLY_ROLL,2030/2F,45772,,,'')&lt;/Q&gt;&lt;R&gt;0&lt;/R&gt;&lt;C&gt;0&lt;/C&gt;&lt;/FQL&gt;&lt;FQL&gt;&lt;Q&gt;Ticker0024^FE_ESTIMATE(PRODLINE_EBIT_17,MEAN,QUARTERLY_ROLL,2030/1F,45772,,,'')&lt;/Q&gt;&lt;R&gt;0&lt;/R&gt;&lt;C&gt;0&lt;/C&gt;&lt;/FQL&gt;&lt;FQL&gt;&lt;Q&gt;Ticker0024^FE_ESTIMATE(PRODLINE_EBIT_17,MEAN,ANNUAL_ROLL,2029,45772,,,'')&lt;/Q&gt;&lt;R&gt;0&lt;/R&gt;&lt;C&gt;0&lt;/C&gt;&lt;/FQL&gt;&lt;FQL&gt;&lt;Q&gt;Ticker0024^FE_ESTIMATE(PRODLINE_EBIT_17,MEAN,QUARTERLY_ROLL,2029/4F,45772,,,'')&lt;/Q&gt;&lt;R&gt;0&lt;/R&gt;&lt;C&gt;0&lt;/C&gt;&lt;/FQL&gt;&lt;FQL&gt;&lt;Q&gt;Ticker0024^FE_ESTIMATE(PRODLINE_EBIT_17,MEAN,QUARTERLY_ROLL,2029/3F,45772,,,'')&lt;/Q&gt;&lt;R&gt;0&lt;/R&gt;&lt;C&gt;0&lt;/C&gt;&lt;/FQL&gt;&lt;FQL&gt;&lt;Q&gt;Ticker0024^FE_ESTIMATE(PRODLINE_EBIT_17,MEAN,QUARTERLY_ROLL,2029/2F,45772,,,'')&lt;/Q&gt;&lt;R&gt;0&lt;/R&gt;&lt;C&gt;0&lt;/C&gt;&lt;/FQL&gt;&lt;FQL&gt;&lt;Q&gt;Ticker0024^FE_ESTIMATE(PRODLINE_EBIT_17,MEAN,QUARTERLY_ROLL,2029/1F,45772,,,'')&lt;/Q&gt;&lt;R&gt;0&lt;/R&gt;&lt;C&gt;0&lt;/C&gt;&lt;/FQL&gt;&lt;FQL&gt;&lt;Q&gt;Ticker0024^FE_ESTIMATE(PRODLINE_EBIT_17,MEAN,ANNUAL_ROLL,2028,45772,,,'')&lt;/Q&gt;&lt;R&gt;1&lt;/R&gt;&lt;C&gt;1&lt;/C&gt;&lt;D xsi:type="xsd:double"&gt;10723&lt;/D&gt;&lt;/FQL&gt;&lt;FQL&gt;&lt;Q&gt;Ticker0024^FE_ESTIMATE(PRODLINE_EBIT_17,MEAN,QUARTERLY_ROLL,2028/4F,45772,,,'')&lt;/Q&gt;&lt;R&gt;0&lt;/R&gt;&lt;C&gt;0&lt;/C&gt;&lt;/FQL&gt;&lt;FQL&gt;&lt;Q&gt;Ticker0024^FE_ESTIMATE(PRODLINE_EBIT_17,MEAN,QUARTERLY_ROLL,2028/3F,45772,,,'')&lt;/Q&gt;&lt;R&gt;0&lt;/R&gt;&lt;C&gt;0&lt;/C&gt;&lt;/FQL&gt;&lt;FQL&gt;&lt;Q&gt;Ticker0024^FE_ESTIMATE(PRODLINE_EBIT_17,MEAN,QUARTERLY_ROLL,2028/2F,45772,,,'')&lt;/Q&gt;&lt;R&gt;0&lt;/R&gt;&lt;C&gt;0&lt;/C&gt;&lt;/FQL&gt;&lt;FQL&gt;&lt;Q&gt;Ticker0024^FE_ESTIMATE(PRODLINE_EBIT_17,MEAN,QUARTERLY_ROLL,2028/1F,45772,,,'')&lt;/Q&gt;&lt;R&gt;0&lt;/R&gt;&lt;C&gt;0&lt;/C&gt;&lt;/FQL&gt;&lt;FQL&gt;&lt;Q&gt;Ticker0024^FE_ESTIMATE(PRODLINE_EBIT_17,MEAN,ANNUAL_ROLL,2027,45772,,,'')&lt;/Q&gt;&lt;R&gt;1&lt;/R&gt;&lt;C&gt;1&lt;/C&gt;&lt;D xsi:type="xsd:double"&gt;12836&lt;/D&gt;&lt;/FQL&gt;&lt;FQL&gt;&lt;Q&gt;Ticker0024^FE_ESTIMATE(PRODLINE_EBIT_17,MEAN,QUARTERLY_ROLL,2027/4F,45772,,,'')&lt;/Q&gt;&lt;R&gt;0&lt;/R&gt;&lt;C&gt;0&lt;/C&gt;&lt;/FQL&gt;&lt;FQL&gt;&lt;Q&gt;Ticker0024^FE_ESTIMATE(PRODLINE_EBIT_17,MEAN,QUARTERLY_ROLL,2027/3F,45772,,,'')&lt;/Q&gt;&lt;R&gt;0&lt;/R&gt;&lt;C&gt;0&lt;/C&gt;&lt;/FQL&gt;&lt;FQL&gt;&lt;Q&gt;Ticker0024^FE_ESTIMATE(PRODLINE_EBIT_17,MEAN,QUARTERLY_ROLL,2027/2F,45772,,,'')&lt;/Q&gt;&lt;R&gt;0&lt;/R&gt;&lt;C&gt;0&lt;/C&gt;&lt;/FQL&gt;&lt;FQL&gt;&lt;Q&gt;Ticker0024^FE_ESTIMATE(PRODLINE_EBIT_17,MEAN,QUARTERLY_ROLL,2027/1F,45772,,,'')&lt;/Q&gt;&lt;R&gt;0&lt;/R&gt;&lt;C&gt;0&lt;/C&gt;&lt;/FQL&gt;&lt;FQL&gt;&lt;Q&gt;Ticker0024^FE_ESTIMATE(PRODLINE_EBIT_17,MEAN,ANNUAL_ROLL,2026,45772,,,'')&lt;/Q&gt;&lt;R&gt;1&lt;/R&gt;&lt;C&gt;1&lt;/C&gt;&lt;D xsi:type="xsd:double"&gt;15375&lt;/D&gt;&lt;/FQL&gt;&lt;FQL&gt;&lt;Q&gt;Ticker0024^FE_ESTIMATE(PRODLINE_EBIT_17,MEAN,QUARTERLY_ROLL,2026/4F,45772,,,'')&lt;/Q&gt;&lt;R&gt;1&lt;/R&gt;&lt;C&gt;1&lt;/C&gt;&lt;D xsi:type="xsd:double"&gt;3614.3333&lt;/D&gt;&lt;/FQL&gt;&lt;FQL&gt;&lt;Q&gt;Ticker0024^FE_ESTIMATE(PRODLINE_EBIT_17,MEAN,QUARTERLY_ROLL,2026/3F,45772,,,'')&lt;/Q&gt;&lt;R&gt;1&lt;/R&gt;&lt;C&gt;1&lt;/C&gt;&lt;D xsi:type="xsd:double"&gt;3774&lt;/D&gt;&lt;/FQL&gt;&lt;FQL&gt;&lt;Q&gt;Ticker0024^FE_ESTIMATE(PRODLINE_EBIT_17,MEAN,QUARTERLY_ROLL,2026/2F,45772,,,'')&lt;/Q&gt;&lt;R&gt;1&lt;/R&gt;&lt;C&gt;1&lt;/C&gt;&lt;D xsi:type="xsd:double"&gt;4365.6665&lt;/D&gt;&lt;/FQL&gt;&lt;FQL&gt;&lt;Q&gt;Ticker0024^FE_ESTIMATE(PRODLINE_EBIT_17,MEAN,QUARTERLY_ROLL,2026/1F,45772,,,'')&lt;/Q&gt;&lt;R&gt;1&lt;/R&gt;&lt;C&gt;1&lt;/C&gt;&lt;D xsi:type="xsd:double"&gt;4159&lt;/D&gt;&lt;/FQL&gt;&lt;FQL&gt;&lt;Q&gt;Ticker0024^FE_ESTIMATE(PRODLINE_EBIT_17,MEAN,ANNUAL_ROLL,2025,45772,,,'')&lt;/Q&gt;&lt;R&gt;1&lt;/R&gt;&lt;C&gt;1&lt;/C&gt;&lt;D xsi:type="xsd:double"&gt;15375.6&lt;/D&gt;&lt;/FQL&gt;&lt;FQL&gt;&lt;Q&gt;Ticker0024^FE_ESTIMATE(PRODLINE_EBIT_17,MEAN,QUARTERLY_ROLL,2025/4F,45772,,,'')&lt;/Q&gt;&lt;R&gt;1&lt;/R&gt;&lt;C&gt;1&lt;/C&gt;&lt;D xsi:type="xsd:double"&gt;3533.4&lt;/D&gt;&lt;/FQL&gt;&lt;FQL&gt;&lt;Q&gt;Ticker0024^FE_ESTIMATE(PRODLINE_EBIT_17,MEAN,QUARTERLY_ROLL,2025/3F,45772,,,'')&lt;/Q&gt;&lt;R&gt;1&lt;/R&gt;&lt;C&gt;1&lt;/C&gt;&lt;D xsi:type="xsd:double"&gt;3766.4&lt;/D&gt;&lt;/FQL&gt;&lt;FQL&gt;&lt;Q&gt;Ticker0024^FE_ESTIMATE(PRODLINE_EBIT_17,MEAN,QUARTERLY_ROLL,2025/2F,45772,,,'')&lt;/Q&gt;&lt;R&gt;1&lt;/R&gt;&lt;C&gt;1&lt;/C&gt;&lt;D xsi:type="xsd:double"&gt;4253.8&lt;/D&gt;&lt;/FQL&gt;&lt;FQL&gt;&lt;Q&gt;Ticker0024^FE_ESTIMATE(PRODLINE_EBIT_17,MEAN,QUARTERLY_ROLL,2025/1F,45772,,,'')&lt;/Q&gt;&lt;R&gt;1&lt;/R&gt;&lt;C&gt;1&lt;/C&gt;&lt;D xsi:type="xsd:double"&gt;3822.2&lt;/D&gt;&lt;/FQL&gt;&lt;FQL&gt;&lt;Q&gt;Ticker0024^FE_ESTIMATE(PRODLINE_EBIT_17,MEAN,ANNUAL_ROLL,2024,45772,,,'')&lt;/Q&gt;&lt;R&gt;1&lt;/R&gt;&lt;C&gt;1&lt;/C&gt;&lt;D xsi:type="xsd:double"&gt;19332.8&lt;/D&gt;&lt;/FQL&gt;&lt;FQL&gt;&lt;Q&gt;Ticker0024^FE_ESTIMATE(PRODLINE_EBIT_17,MEAN,QUARTERLY_ROLL,2024/4F,45772,,,'')&lt;/Q&gt;&lt;R&gt;1&lt;/R&gt;&lt;C&gt;1&lt;/C&gt;&lt;D xsi:type="xsd:double"&gt;4922.4&lt;/D&gt;&lt;/FQL&gt;&lt;FQL&gt;&lt;Q&gt;Ticker0024^FE_ESTIMATE(PRODLINE_EBIT_17,MEAN,QUARTERLY_ROLL,2024/3F,45772,,,'')&lt;/Q&gt;&lt;R&gt;1&lt;/R&gt;&lt;C&gt;1&lt;/C&gt;&lt;D xsi:type="xsd:double"&gt;4925.7144&lt;/D&gt;&lt;/FQL&gt;&lt;FQL&gt;&lt;Q&gt;Ticker0024^FE_ESTIMATE(PRODLINE_EBIT_17,MEAN,QUARTERLY_ROLL,2024/2F,45772,,,'')&lt;/Q&gt;&lt;R&gt;1&lt;/R&gt;&lt;C&gt;1&lt;/C&gt;&lt;D xsi:type="xsd:double"&gt;4308.3335&lt;/D&gt;&lt;/FQL&gt;&lt;FQL&gt;&lt;Q&gt;Ticker0024^FE_ESTIMATE(PRODLINE_EBIT_17,MEAN,QUARTERLY_ROLL,2024/1F,45772,,,'')&lt;/Q&gt;&lt;R&gt;1&lt;/R&gt;&lt;C&gt;1&lt;/C&gt;&lt;D xsi:type="xsd:double"&gt;5197&lt;/D&gt;&lt;/FQL&gt;&lt;FQL&gt;&lt;Q&gt;Ticker0024^FE_ESTIMATE(PRODLINE_EBIT_17,MEAN,ANNUAL_ROLL,2023,45772,,,'')&lt;/Q&gt;&lt;R&gt;1&lt;/R&gt;&lt;C&gt;1&lt;/C&gt;&lt;D xsi:type="xsd:double"&gt;16450&lt;/D&gt;&lt;/FQL&gt;&lt;FQL&gt;&lt;Q&gt;Ticker0024^FE_ESTIMATE(PRODLINE_EBIT_17,MEAN,QUARTERLY_ROLL,2023/4F,45772,,,'')&lt;/Q&gt;&lt;R&gt;1&lt;/R&gt;&lt;C&gt;1&lt;/C&gt;&lt;D xsi:type="xsd:double"&gt;4676.8&lt;/D&gt;&lt;/FQL&gt;&lt;FQL&gt;&lt;Q&gt;Ticker0024^FE_ESTIMATE(PRODLINE_EBIT_17,MEAN,QUARTERLY_ROLL,2023/3F,45772,,,'')&lt;/Q&gt;&lt;R&gt;1&lt;/R&gt;&lt;C&gt;1&lt;/C&gt;&lt;D xsi:type="xsd:double"&gt;4237.6&lt;/D&gt;&lt;/FQL&gt;&lt;FQL&gt;&lt;Q&gt;Ticker0024^FE_ESTIMATE(PRODLINE_EBIT_17,MEAN,QUARTERLY_ROLL,2023/2F,45772,,,'')&lt;/Q&gt;&lt;R&gt;1&lt;/R&gt;&lt;C&gt;1&lt;/C&gt;&lt;D xsi:type="xsd:double"&gt;3345&lt;/D&gt;&lt;/FQL&gt;&lt;FQL&gt;&lt;Q&gt;Ticker0024^FE_ESTIMATE(PRODLINE_EBIT_17,MEAN,QUARTERLY_ROLL,2023/1F,45772,,,'')&lt;/Q&gt;&lt;R&gt;1&lt;/R&gt;&lt;C&gt;1&lt;/C&gt;&lt;D xsi:type="xsd:double"&gt;4241.4&lt;/D&gt;&lt;/FQL&gt;&lt;FQL&gt;&lt;Q&gt;Ticker0024^FE_ESTIMATE(PRODLINE_EBIT_17,MEAN,ANNUAL_ROLL,2022,45772,,,'')&lt;/Q&gt;&lt;R&gt;1&lt;/R&gt;&lt;C&gt;1&lt;/C&gt;&lt;D xsi:type="xsd:double"&gt;20975.2&lt;/D&gt;&lt;/FQL&gt;&lt;FQL&gt;&lt;Q&gt;Ticker0024^FE_ESTIMATE(PRODLINE_EBIT_17,MEAN,QUARTERLY_ROLL,2022/4F,45772,,,'')&lt;/Q&gt;&lt;R&gt;1&lt;/R&gt;&lt;C&gt;1&lt;/C&gt;&lt;D xsi:type="xsd:double"&gt;4619.2&lt;/D&gt;&lt;/FQL&gt;&lt;FQL&gt;&lt;Q&gt;Ticker0024^FE_ESTIMATE(PRODLINE_EBIT_17,MEAN,QUARTERLY_ROLL,2022/3F,45772,,,'')&lt;/Q&gt;&lt;R&gt;1&lt;/R&gt;&lt;C&gt;1&lt;/C&gt;&lt;D xsi:type="xsd:double"&gt;4899&lt;/D&gt;&lt;/FQL&gt;&lt;FQL&gt;&lt;Q&gt;Ticker0024^FE_ESTIMATE(PRODLINE_EBIT_17,MEAN,QUARTERLY_ROLL,2022/2F,45772,,,'')&lt;/Q&gt;&lt;R&gt;1&lt;/R&gt;&lt;C&gt;1&lt;/C&gt;&lt;D xsi:type="xsd:double"&gt;6360&lt;/D&gt;&lt;/FQL&gt;&lt;FQL&gt;&lt;Q&gt;Ticker0024^FE_ESTIMATE(PRODLINE_EBIT_17,MEAN,QUARTERLY_ROLL,2022/1F,45772,,,'')&lt;/Q&gt;&lt;R&gt;1&lt;/R&gt;&lt;C&gt;1&lt;/C&gt;&lt;D xsi:type="xsd:double"&gt;5095&lt;/D&gt;&lt;/FQL&gt;&lt;FQL&gt;&lt;Q&gt;Ticker0024^FE_ESTIMATE(PRODLINE_EBIT_17,MEAN,ANNUAL_ROLL,2021,45772,,,'')&lt;/Q&gt;&lt;R&gt;1&lt;/R&gt;&lt;C&gt;1&lt;/C&gt;&lt;D xsi:type="xsd:double"&gt;19439.25&lt;/D&gt;&lt;/FQL&gt;&lt;FQL&gt;&lt;Q&gt;Ticker0024^FE_ESTIMATE(PRODLINE_EBIT_17,MEAN,QUARTERLY_ROLL,2021/4F,45772,,,'')&lt;/Q&gt;&lt;R&gt;1&lt;/R&gt;&lt;C&gt;1&lt;/C&gt;&lt;D xsi:type="xsd:double"&gt;4873&lt;/D&gt;&lt;/FQL&gt;&lt;FQL&gt;&lt;Q&gt;Ticker0024^FE_ESTIMATE(PRODLINE_EBIT_17,MEAN,QUARTERLY_ROLL,2021/3F,45772,,,'')&lt;/Q&gt;&lt;R&gt;1&lt;/R&gt;&lt;C&gt;1&lt;/C&gt;&lt;D xsi:type="xsd:double"&gt;4594&lt;/D&gt;&lt;/FQL&gt;&lt;FQL&gt;&lt;Q&gt;Ticker0024^FE_ESTIMATE(PRODLINE_EBIT_17,MEAN,QUARTERLY_ROLL,2021/2F,45772,,,'')&lt;/Q&gt;&lt;R&gt;1&lt;/R&gt;&lt;C&gt;1&lt;/C&gt;&lt;D xsi:type="xsd:double"&gt;5224&lt;/D&gt;&lt;/FQL&gt;&lt;FQL&gt;&lt;Q&gt;Ticker0024^FE_ESTIMATE(PRODLINE_EBIT_17,MEAN,QUARTERLY_ROLL,2021/1F,45772,,,'')&lt;/Q&gt;&lt;R&gt;1&lt;/R&gt;&lt;C&gt;1&lt;/C&gt;&lt;D xsi:type="xsd:double"&gt;4748&lt;/D&gt;&lt;/FQL&gt;&lt;FQL&gt;&lt;Q&gt;Ticker0024^FE_ESTIMATE(PRODLINE_EBIT_17,MEAN,ANNUAL_ROLL,2020,45772,,,'')&lt;/Q&gt;&lt;R&gt;1&lt;/R&gt;&lt;C&gt;1&lt;/C&gt;&lt;D xsi:type="xsd:double"&gt;15895.667&lt;/D&gt;&lt;/FQL&gt;&lt;FQL&gt;&lt;Q&gt;Ticker0024^FE_ESTIMATE(PRODLINE_EBIT_17,MEAN,QUARTERLY_ROLL,2020/4F,45772,,,'')&lt;/Q&gt;&lt;R&gt;1&lt;/R&gt;&lt;C&gt;1&lt;/C&gt;&lt;D xsi:type="xsd:double"&gt;4075.3333&lt;/D&gt;&lt;/FQL&gt;&lt;FQL&gt;&lt;Q&gt;Ticker0024^FE_ESTIMATE(PRODLINE_EBIT_17,MEAN,QUARTERLY_ROLL,2020/3F,45772,,,'')&lt;/Q&gt;&lt;R&gt;1&lt;/R&gt;&lt;C&gt;1&lt;/C&gt;&lt;D xsi:type="xsd:double"&gt;3627&lt;/D&gt;&lt;/FQL&gt;&lt;FQL&gt;&lt;Q&gt;Ticker0024^FE_ESTIMATE(PRODLINE_EBIT_17,MEAN,QUARTERLY_ROLL,2020/2F,45772,,,'')&lt;/Q&gt;&lt;R&gt;1&lt;/R&gt;&lt;C&gt;1&lt;/C&gt;&lt;D xsi:type="xsd:double"&gt;4178&lt;/D&gt;&lt;/FQL&gt;&lt;FQL&gt;&lt;Q&gt;Ticker0024^FE_ESTIMATE(PRODLINE_EBIT_17,MEAN,QUARTERLY_ROLL,2020/1F,45772,,,'')&lt;/Q&gt;&lt;R&gt;1&lt;/R&gt;&lt;C&gt;1&lt;/C&gt;&lt;D xsi:type="xsd:double"&gt;4015&lt;/D&gt;&lt;/FQL&gt;&lt;FQL&gt;&lt;Q&gt;Ticker0024^FE_ESTIMATE(PRODLINE_EBIT_17,MEAN,ANNUAL_ROLL,2019,45772,,,'')&lt;/Q&gt;&lt;R&gt;1&lt;/R&gt;&lt;C&gt;1&lt;/C&gt;&lt;D xsi:type="xsd:double"&gt;12820&lt;/D&gt;&lt;/FQL&gt;&lt;FQL&gt;&lt;Q&gt;Ticker0024^FE_ESTIMATE(PRODLINE_EBIT_17,MEAN,QUARTERLY_ROLL,2019/4F,45772,,,'')&lt;/Q&gt;&lt;R&gt;1&lt;/R&gt;&lt;C&gt;1&lt;/C&gt;&lt;D xsi:type="xsd:double"&gt;3559&lt;/D&gt;&lt;/FQL&gt;&lt;FQL&gt;&lt;Q&gt;Ticker0024^FE_ESTIMATE(PRODLINE_EBIT_17,MEAN,QUARTERLY_ROLL,2019/3F,45772,,,'')&lt;/Q&gt;&lt;R&gt;1&lt;/R&gt;&lt;C&gt;1&lt;/C&gt;&lt;D xsi:type="xsd:double"&gt;3154&lt;/D&gt;&lt;/FQL&gt;&lt;FQL&gt;&lt;Q&gt;Ticker0024^FE_ESTIMATE(PRODLINE_EBIT_17,MEAN,QUARTERLY_ROLL,2019/2F,45772,,,'')&lt;/Q&gt;&lt;R&gt;1&lt;/R&gt;&lt;C&gt;1&lt;/C&gt;&lt;D xsi:type="xsd:double"&gt;2964&lt;/D&gt;&lt;/FQL&gt;&lt;FQL&gt;&lt;Q&gt;Ticker0024^FE_ESTIMATE(PRODLINE_EBIT_17,MEAN,QUARTERLY_ROLL,2019/1F,45772,,,'')&lt;/Q&gt;&lt;R&gt;1&lt;/R&gt;&lt;C&gt;1&lt;/C&gt;&lt;D xsi:type="xsd:double"&gt;3143&lt;/D&gt;&lt;/FQL&gt;&lt;FQL&gt;&lt;Q&gt;Ticker0024^FE_ESTIMATE(PRODLINE_EBIT_17,MEAN,ANNUAL_ROLL,2018,45772,,,'')&lt;/Q&gt;&lt;R&gt;1&lt;/R&gt;&lt;C&gt;1&lt;/C&gt;&lt;D xsi:type="xsd:double"&gt;10610.25&lt;/D&gt;&lt;/FQL&gt;&lt;FQL&gt;&lt;Q&gt;Ticker0024^FE_ESTIMATE(PRODLINE_EBIT_17,MEAN,QUARTERLY_ROLL,2018/4F,45772,,,'')&lt;/Q&gt;&lt;R&gt;1&lt;/R&gt;&lt;C&gt;1&lt;/C&gt;&lt;D xsi:type="xsd:double"&gt;3012&lt;/D&gt;&lt;/FQL&gt;&lt;FQL&gt;&lt;Q&gt;Ticker0024^FE_ESTIMATE(PRODLINE_EBIT_17,MEAN,QUARTERLY_ROLL,2018/3F,45772,,,'')&lt;/Q&gt;&lt;R&gt;1&lt;/R&gt;&lt;C&gt;1&lt;/C&gt;&lt;D xsi:type="xsd:double"&gt;2523&lt;/D&gt;&lt;/FQL&gt;&lt;FQL&gt;&lt;Q&gt;Ticker0024^FE_ESTIMATE(PRODLINE_EBIT_17,MEAN,QUARTERLY_ROLL,2018/2F,45772,,,'')&lt;/Q&gt;&lt;R&gt;1&lt;/R&gt;&lt;C&gt;1&lt;/C&gt;&lt;D xsi:type="xsd:double"&gt;2510&lt;/D&gt;&lt;/FQL&gt;&lt;FQL&gt;&lt;Q&gt;Ticker0024^FE_ESTIMATE(PRODLIN</t>
        </r>
      </text>
    </comment>
    <comment ref="A38" authorId="0" shapeId="0" xr:uid="{B9ACB03C-70E5-48BD-B518-93EB1F556D09}">
      <text>
        <r>
          <rPr>
            <b/>
            <sz val="9"/>
            <color indexed="81"/>
            <rFont val="Tahoma"/>
            <family val="2"/>
          </rPr>
          <t>E_EBIT_17,MEAN,QUARTERLY_ROLL,2018/1F,45772,,,'')&lt;/Q&gt;&lt;R&gt;1&lt;/R&gt;&lt;C&gt;1&lt;/C&gt;&lt;D xsi:type="xsd:double"&gt;2565&lt;/D&gt;&lt;/FQL&gt;&lt;FQL&gt;&lt;Q&gt;Ticker0024^FE_ESTIMATE(PRODLINE_EBIT_17,MEAN,ANNUAL_ROLL,2017,45772,,,'')&lt;/Q&gt;&lt;R&gt;1&lt;/R&gt;&lt;C&gt;1&lt;/C&gt;&lt;D xsi:type="xsd:double"&gt;8288&lt;/D&gt;&lt;/FQL&gt;&lt;FQL&gt;&lt;Q&gt;Ticker0024^FE_ESTIMATE(PRODLINE_EBIT_17,MEAN,QUARTERLY_ROLL,2017/4F,45772,,,'')&lt;/Q&gt;&lt;R&gt;1&lt;/R&gt;&lt;C&gt;1&lt;/C&gt;&lt;D xsi:type="xsd:double"&gt;1764&lt;/D&gt;&lt;/FQL&gt;&lt;FQL&gt;&lt;Q&gt;Ticker0024^FE_ESTIMATE(PRODLINE_EBIT_17,MEAN,QUARTERLY_ROLL,2017/3F,45772,,,'')&lt;/Q&gt;&lt;R&gt;1&lt;/R&gt;&lt;C&gt;1&lt;/C&gt;&lt;D xsi:type="xsd:double"&gt;2097&lt;/D&gt;&lt;/FQL&gt;&lt;FQL&gt;&lt;Q&gt;Ticker0024^FE_ESTIMATE(PRODLINE_EBIT_17,MEAN,QUARTERLY_ROLL,2017/2F,45772,,,'')&lt;/Q&gt;&lt;R&gt;1&lt;/R&gt;&lt;C&gt;1&lt;/C&gt;&lt;D xsi:type="xsd:double"&gt;2499&lt;/D&gt;&lt;/FQL&gt;&lt;FQL&gt;&lt;Q&gt;Ticker0024^FE_ESTIMATE(PRODLINE_EBIT_17,MEAN,QUARTERLY_ROLL,2017/1F,45772,,,'')&lt;/Q&gt;&lt;R&gt;1&lt;/R&gt;&lt;C&gt;1&lt;/C&gt;&lt;D xsi:type="xsd:double"&gt;1928&lt;/D&gt;&lt;/FQL&gt;&lt;FQL&gt;&lt;Q&gt;Ticker0024^FE_ESTIMATE(PRODLINE_EBIT_17,MEAN,ANNUAL_ROLL,2016,45772,,,'')&lt;/Q&gt;&lt;R&gt;1&lt;/R&gt;&lt;C&gt;1&lt;/C&gt;&lt;D xsi:type="xsd:double"&gt;6167.3335&lt;/D&gt;&lt;/FQL&gt;&lt;FQL&gt;&lt;Q&gt;Ticker0024^FE_ESTIMATE(PRODLINE_EBIT_17,MEAN,QUARTERLY_ROLL,2016/4F,45772,,,'')&lt;/Q&gt;&lt;R&gt;1&lt;/R&gt;&lt;C&gt;1&lt;/C&gt;&lt;D xsi:type="xsd:double"&gt;964&lt;/D&gt;&lt;/FQL&gt;&lt;FQL&gt;&lt;Q&gt;Ticker0024^FE_ESTIMATE(PRODLINE_EBIT_17,MEAN,QUARTERLY_ROLL,2016/3F,45772,,,'')&lt;/Q&gt;&lt;R&gt;1&lt;/R&gt;&lt;C&gt;1&lt;/C&gt;&lt;D xsi:type="xsd:double"&gt;1645&lt;/D&gt;&lt;/FQL&gt;&lt;FQL&gt;&lt;Q&gt;Ticker0024^FE_ESTIMATE(PRODLINE_EBIT_17,MEAN,QUARTERLY_ROLL,2016/2F,45772,,,'')&lt;/Q&gt;&lt;R&gt;0&lt;/R&gt;&lt;C&gt;0&lt;/C&gt;&lt;/FQL&gt;&lt;FQL&gt;&lt;Q&gt;Ticker0024^FE_ESTIMATE(PRODLINE_EBIT_17,MEAN,QUARTERLY_ROLL,2016/1F,45772,,,'')&lt;/Q&gt;&lt;R&gt;0&lt;/R&gt;&lt;C&gt;0&lt;/C&gt;&lt;/FQL&gt;&lt;FQL&gt;&lt;Q&gt;Ticker0024^FE_ESTIMATE(PRODLINE_EBIT_17,MEAN,ANNUAL_ROLL,2015,45772,,,'')&lt;/Q&gt;&lt;R&gt;0&lt;/R&gt;&lt;C&gt;0&lt;/C&gt;&lt;/FQL&gt;&lt;FQL&gt;&lt;Q&gt;Ticker0024^FE_ESTIMATE(PRODLINE_EBIT_17,MEAN,QUARTERLY_ROLL,2015/4F,45772,,,'')&lt;/Q&gt;&lt;R&gt;0&lt;/R&gt;&lt;C&gt;0&lt;/C&gt;&lt;/FQL&gt;&lt;FQL&gt;&lt;Q&gt;Ticker0024^FE_ESTIMATE(PRODLINE_EBIT_17,MEAN,QUARTERLY_ROLL,2015/3F,45772,,,'')&lt;/Q&gt;&lt;R&gt;0&lt;/R&gt;&lt;C&gt;0&lt;/C&gt;&lt;/FQL&gt;&lt;FQL&gt;&lt;Q&gt;Ticker0024^FE_ESTIMATE(PRODLINE_EBIT_17,MEAN,QUARTERLY_ROLL,2015/2F,45772,,,'')&lt;/Q&gt;&lt;R&gt;0&lt;/R&gt;&lt;C&gt;0&lt;/C&gt;&lt;/FQL&gt;&lt;FQL&gt;&lt;Q&gt;Ticker0024^FE_ESTIMATE(PRODLINE_EBIT_17,MEAN,QUARTERLY_ROLL,2015/1F,45772,,,'')&lt;/Q&gt;&lt;R&gt;0&lt;/R&gt;&lt;C&gt;0&lt;/C&gt;&lt;/FQL&gt;&lt;FQL&gt;&lt;Q&gt;Ticker0024^FE_ESTIMATE(PRODLINE_EBIT_16,MEAN,ANNUAL_ROLL,2030,45772,,,'')&lt;/Q&gt;&lt;R&gt;0&lt;/R&gt;&lt;C&gt;0&lt;/C&gt;&lt;/FQL&gt;&lt;FQL&gt;&lt;Q&gt;Ticker0024^FE_ESTIMATE(PRODLINE_EBIT_16,MEAN,QUARTERLY_ROLL,2030/4F,45772,,,'')&lt;/Q&gt;&lt;R&gt;0&lt;/R&gt;&lt;C&gt;0&lt;/C&gt;&lt;/FQL&gt;&lt;FQL&gt;&lt;Q&gt;Ticker0024^FE_ESTIMATE(PRODLINE_EBIT_16,MEAN,QUARTERLY_ROLL,2030/3F,45772,,,'')&lt;/Q&gt;&lt;R&gt;0&lt;/R&gt;&lt;C&gt;0&lt;/C&gt;&lt;/FQL&gt;&lt;FQL&gt;&lt;Q&gt;Ticker0024^FE_ESTIMATE(PRODLINE_EBIT_16,MEAN,QUARTERLY_ROLL,2030/2F,45772,,,'')&lt;/Q&gt;&lt;R&gt;0&lt;/R&gt;&lt;C&gt;0&lt;/C&gt;&lt;/FQL&gt;&lt;FQL&gt;&lt;Q&gt;Ticker0024^FE_ESTIMATE(PRODLINE_EBIT_16,MEAN,QUARTERLY_ROLL,2030/1F,45772,,,'')&lt;/Q&gt;&lt;R&gt;0&lt;/R&gt;&lt;C&gt;0&lt;/C&gt;&lt;/FQL&gt;&lt;FQL&gt;&lt;Q&gt;Ticker0024^FE_ESTIMATE(PRODLINE_EBIT_16,MEAN,ANNUAL_ROLL,2029,45772,,,'')&lt;/Q&gt;&lt;R&gt;0&lt;/R&gt;&lt;C&gt;0&lt;/C&gt;&lt;/FQL&gt;&lt;FQL&gt;&lt;Q&gt;Ticker0024^FE_ESTIMATE(PRODLINE_EBIT_16,MEAN,QUARTERLY_ROLL,2029/4F,45772,,,'')&lt;/Q&gt;&lt;R&gt;0&lt;/R&gt;&lt;C&gt;0&lt;/C&gt;&lt;/FQL&gt;&lt;FQL&gt;&lt;Q&gt;Ticker0024^FE_ESTIMATE(PRODLINE_EBIT_16,MEAN,QUARTERLY_ROLL,2029/3F,45772,,,'')&lt;/Q&gt;&lt;R&gt;0&lt;/R&gt;&lt;C&gt;0&lt;/C&gt;&lt;/FQL&gt;&lt;FQL&gt;&lt;Q&gt;Ticker0024^FE_ESTIMATE(PRODLINE_EBIT_16,MEAN,QUARTERLY_ROLL,2029/2F,45772,,,'')&lt;/Q&gt;&lt;R&gt;0&lt;/R&gt;&lt;C&gt;0&lt;/C&gt;&lt;/FQL&gt;&lt;FQL&gt;&lt;Q&gt;Ticker0024^FE_ESTIMATE(PRODLINE_EBIT_16,MEAN,QUARTERLY_ROLL,2029/1F,45772,,,'')&lt;/Q&gt;&lt;R&gt;0&lt;/R&gt;&lt;C&gt;0&lt;/C&gt;&lt;/FQL&gt;&lt;FQL&gt;&lt;Q&gt;Ticker0024^FE_ESTIMATE(PRODLINE_EBIT_16,MEAN,ANNUAL_ROLL,2028,45772,,,'')&lt;/Q&gt;&lt;R&gt;1&lt;/R&gt;&lt;C&gt;1&lt;/C&gt;&lt;D xsi:type="xsd:double"&gt;88201&lt;/D&gt;&lt;/FQL&gt;&lt;FQL&gt;&lt;Q&gt;Ticker0024^FE_ESTIMATE(PRODLINE_EBIT_16,MEAN,QUARTERLY_ROLL,2028/4F,45772,,,'')&lt;/Q&gt;&lt;R&gt;0&lt;/R&gt;&lt;C&gt;0&lt;/C&gt;&lt;/FQL&gt;&lt;FQL&gt;&lt;Q&gt;Ticker0024^FE_ESTIMATE(PRODLINE_EBIT_16,MEAN,QUARTERLY_ROLL,2028/3F,45772,,,'')&lt;/Q&gt;&lt;R&gt;0&lt;/R&gt;&lt;C&gt;0&lt;/C&gt;&lt;/FQL&gt;&lt;FQL&gt;&lt;Q&gt;Ticker0024^FE_ESTIMATE(PRODLINE_EBIT_16,MEAN,QUARTERLY_ROLL,2028/2F,45772,,,'')&lt;/Q&gt;&lt;R&gt;0&lt;/R&gt;&lt;C&gt;0&lt;/C&gt;&lt;/FQL&gt;&lt;FQL&gt;&lt;Q&gt;Ticker0024^FE_ESTIMATE(PRODLINE_EBIT_16,MEAN,QUARTERLY_ROLL,2028/1F,45772,,,'')&lt;/Q&gt;&lt;R&gt;0&lt;/R&gt;&lt;C&gt;0&lt;/C&gt;&lt;/FQL&gt;&lt;FQL&gt;&lt;Q&gt;Ticker0024^FE_ESTIMATE(PRODLINE_EBIT_16,MEAN,ANNUAL_ROLL,2027,45772,,,'')&lt;/Q&gt;&lt;R&gt;1&lt;/R&gt;&lt;C&gt;1&lt;/C&gt;&lt;D xsi:type="xsd:double"&gt;69101.336&lt;/D&gt;&lt;/FQL&gt;&lt;FQL&gt;&lt;Q&gt;Ticker0024^FE_ESTIMATE(PRODLINE_EBIT_16,MEAN,QUARTERLY_ROLL,2027/4F,45772,,,'')&lt;/Q&gt;&lt;R&gt;0&lt;/R&gt;&lt;C&gt;0&lt;/C&gt;&lt;/FQL&gt;&lt;FQL&gt;&lt;Q&gt;Ticker0024^FE_ESTIMATE(PRODLINE_EBIT_16,MEAN,QUARTERLY_ROLL,2027/3F,45772,,,'')&lt;/Q&gt;&lt;R&gt;0&lt;/R&gt;&lt;C&gt;0&lt;/C&gt;&lt;/FQL&gt;&lt;FQL&gt;&lt;Q&gt;Ticker0024^FE_ESTIMATE(PRODLINE_EBIT_16,MEAN,QUARTERLY_ROLL,2027/2F,45772,,,'')&lt;/Q&gt;&lt;R&gt;0&lt;/R&gt;&lt;C&gt;0&lt;/C&gt;&lt;/FQL&gt;&lt;FQL&gt;&lt;Q&gt;Ticker0024^FE_ESTIMATE(PRODLINE_EBIT_16,MEAN,QUARTERLY_ROLL,2027/1F,45772,,,'')&lt;/Q&gt;&lt;R&gt;0&lt;/R&gt;&lt;C&gt;0&lt;/C&gt;&lt;/FQL&gt;&lt;FQL&gt;&lt;Q&gt;Ticker0024^FE_ESTIMATE(PRODLINE_EBIT_16,MEAN,ANNUAL_ROLL,2026,45772,,,'')&lt;/Q&gt;&lt;R&gt;1&lt;/R&gt;&lt;C&gt;1&lt;/C&gt;&lt;D xsi:type="xsd:double"&gt;57133.25&lt;/D&gt;&lt;/FQL&gt;&lt;FQL&gt;&lt;Q&gt;Ticker0024^FE_ESTIMATE(PRODLINE_EBIT_16,MEAN,QUARTERLY_ROLL,2026/4F,45772,,,'')&lt;/Q&gt;&lt;R&gt;1&lt;/R&gt;&lt;C&gt;1&lt;/C&gt;&lt;D xsi:type="xsd:double"&gt;15323.667&lt;/D&gt;&lt;/FQL&gt;&lt;FQL&gt;&lt;Q&gt;Ticker0024^FE_ESTIMATE(PRODLINE_EBIT_16,MEAN,QUARTERLY_ROLL,2026/3F,45772,,,'')&lt;/Q&gt;&lt;R&gt;1&lt;/R&gt;&lt;C&gt;1&lt;/C&gt;&lt;D xsi:type="xsd:double"&gt;14215&lt;/D&gt;&lt;/FQL&gt;&lt;FQL&gt;&lt;Q&gt;Ticker0024^FE_ESTIMATE(PRODLINE_EBIT_16,MEAN,QUARTERLY_ROLL,2026/2F,45772,,,'')&lt;/Q&gt;&lt;R&gt;1&lt;/R&gt;&lt;C&gt;1&lt;/C&gt;&lt;D xsi:type="xsd:double"&gt;13941.333&lt;/D&gt;&lt;/FQL&gt;&lt;FQL&gt;&lt;Q&gt;Ticker0024^FE_ESTIMATE(PRODLINE_EBIT_16,MEAN,QUARTERLY_ROLL,2026/1F,45772,,,'')&lt;/Q&gt;&lt;R&gt;1&lt;/R&gt;&lt;C&gt;1&lt;/C&gt;&lt;D xsi:type="xsd:double"&gt;13576.667&lt;/D&gt;&lt;/FQL&gt;&lt;FQL&gt;&lt;Q&gt;Ticker0024^FE_ESTIMATE(PRODLINE_EBIT_16,MEAN,ANNUAL_ROLL,2025,45772,,,'')&lt;/Q&gt;&lt;R&gt;1&lt;/R&gt;&lt;C&gt;1&lt;/C&gt;&lt;D xsi:type="xsd:double"&gt;46586.4&lt;/D&gt;&lt;/FQL&gt;&lt;FQL&gt;&lt;Q&gt;Ticker0024^FE_ESTIMATE(PRODLINE_EBIT_16,MEAN,QUARTERLY_ROLL,2025/4F,45772,,,'')&lt;/Q&gt;&lt;R&gt;1&lt;/R&gt;&lt;C&gt;1&lt;/C&gt;&lt;D xsi:type="xsd:double"&gt;12703.6&lt;/D&gt;&lt;/FQL&gt;&lt;FQL&gt;&lt;Q&gt;Ticker0024^FE_ESTIMATE(PRODLINE_EBIT_16,MEAN,QUARTERLY_ROLL,2025/3F,45772,,,'')&lt;/Q&gt;&lt;R&gt;1&lt;/R&gt;&lt;C&gt;1&lt;/C&gt;&lt;D xsi:type="xsd:double"&gt;11483.2&lt;/D&gt;&lt;/FQL&gt;&lt;FQL&gt;&lt;Q&gt;Ticker0024^FE_ESTIMATE(PRODLINE_EBIT_16,MEAN,QUARTERLY_ROLL,2025/2F,45772,,,'')&lt;/Q&gt;&lt;R&gt;1&lt;/R&gt;&lt;C&gt;1&lt;/C&gt;&lt;D xsi:type="xsd:double"&gt;11386.8&lt;/D&gt;&lt;/FQL&gt;&lt;FQL&gt;&lt;Q&gt;Ticker0024^FE_ESTIMATE(PRODLINE_EBIT_16,MEAN,QUARTERLY_ROLL,2025/1F,45772,,,'')&lt;/Q&gt;&lt;R&gt;1&lt;/R&gt;&lt;C&gt;1&lt;/C&gt;&lt;D xsi:type="xsd:double"&gt;11013&lt;/D&gt;&lt;/FQL&gt;&lt;FQL&gt;&lt;Q&gt;Ticker0024^FE_ESTIMATE(PRODLINE_EBIT_16,MEAN,ANNUAL_ROLL,2024,45772,,,'')&lt;/Q&gt;&lt;R&gt;1&lt;/R&gt;&lt;C&gt;1&lt;/C&gt;&lt;D xsi:type="xsd:double"&gt;49583.2&lt;/D&gt;&lt;/FQL&gt;&lt;FQL&gt;&lt;Q&gt;Ticker0024^FE_ESTIMATE(PRODLINE_EBIT_16,MEAN,QUARTERLY_ROLL,2024/4F,45772,,,'')&lt;/Q&gt;&lt;R&gt;1&lt;/R&gt;&lt;C&gt;1&lt;/C&gt;&lt;D xsi:type="xsd:double"&gt;12859.2&lt;/D&gt;&lt;/FQL&gt;&lt;FQL&gt;&lt;Q&gt;Ticker0024^FE_ESTIMATE(PRODLINE_EBIT_16,MEAN,QUARTERLY_ROLL,2024/3F,45772,,,'')&lt;/Q&gt;&lt;R&gt;1&lt;/R&gt;&lt;C&gt;1&lt;/C&gt;&lt;D xsi:type="xsd:double"&gt;12512.571&lt;/D&gt;&lt;/FQL&gt;&lt;FQL&gt;&lt;Q&gt;Ticker0024^FE_ESTIMATE(PRODLINE_EBIT_16,MEAN,QUARTERLY_ROLL,2024/2F,45772,,,'')&lt;/Q&gt;&lt;R&gt;1&lt;/R&gt;&lt;C&gt;1&lt;/C&gt;&lt;D xsi:type="xsd:double"&gt;12460.833&lt;/D&gt;&lt;/FQL&gt;&lt;FQL&gt;&lt;Q&gt;Ticker0024^FE_ESTIMATE(PRODLINE_EBIT_16,MEAN,QUARTERLY_ROLL,2024/1F,45772,,,'')&lt;/Q&gt;&lt;R&gt;1&lt;/R&gt;&lt;C&gt;1&lt;/C&gt;&lt;D xsi:type="xsd:double"&gt;11750.8&lt;/D&gt;&lt;/FQL&gt;&lt;FQL&gt;&lt;Q&gt;Ticker0024^FE_ESTIMATE(PRODLINE_EBIT_16,MEAN,ANNUAL_ROLL,2023,45772,,,'')&lt;/Q&gt;&lt;R&gt;1&lt;/R&gt;&lt;C&gt;1&lt;/C&gt;&lt;D xsi:type="xsd:double"&gt;37883.2&lt;/D&gt;&lt;/FQL&gt;&lt;FQL&gt;&lt;Q&gt;Ticker0024^FE_ESTIMATE(PRODLINE_EBIT_16,MEAN,QUARTERLY_ROLL,2023/4F,45772,,,'')&lt;/Q&gt;&lt;R&gt;1&lt;/R&gt;&lt;C&gt;1&lt;/C&gt;&lt;D xsi:type="xsd:double"&gt;10526.8&lt;/D&gt;&lt;/FQL&gt;&lt;FQL&gt;&lt;Q&gt;Ticker0024^FE_ESTIMATE(PRODLINE_EBIT_16,MEAN,QUARTERLY_ROLL,2023/3F,45772,,,'')&lt;/Q&gt;&lt;R&gt;1&lt;/R&gt;&lt;C&gt;1&lt;/C&gt;&lt;D xsi:type="xsd:double"&gt;9476.8&lt;/D&gt;&lt;/FQL&gt;&lt;FQL&gt;&lt;Q&gt;Ticker0024^FE_ESTIMATE(PRODLINE_EBIT_16,MEAN,QUARTERLY_ROLL,2023/2F,45772,,,'')&lt;/Q&gt;&lt;R&gt;1&lt;/R&gt;&lt;C&gt;1&lt;/C&gt;&lt;D xsi:type="xsd:double"&gt;8903.2&lt;/D&gt;&lt;/FQL&gt;&lt;FQL&gt;&lt;Q&gt;Ticker0024^FE_ESTIMATE(PRODLINE_EBIT_16,MEAN,QUARTERLY_ROLL,2023/1F,45772,,,'')&lt;/Q&gt;&lt;R&gt;1&lt;/R&gt;&lt;C&gt;1&lt;/C&gt;&lt;D xsi:type="xsd:double"&gt;8954.6&lt;/D&gt;&lt;/FQL&gt;&lt;FQL&gt;&lt;Q&gt;Ticker0024^FE_ESTIMATE(PRODLINE_EBIT_16,MEAN,ANNUAL_ROLL,2022,45772,,,'')&lt;/Q&gt;&lt;R&gt;1&lt;/R&gt;&lt;C&gt;1&lt;/C&gt;&lt;D xsi:type="xsd:double"&gt;32708.6&lt;/D&gt;&lt;/FQL&gt;&lt;FQL&gt;&lt;Q&gt;Ticker0024^FE_ESTIMATE(PRODLINE_EBIT_16,MEAN,QUARTERLY_ROLL,2022/4F,45772,,,'')&lt;/Q&gt;&lt;R&gt;1&lt;/R&gt;&lt;C&gt;1&lt;/C&gt;&lt;D xsi:type="xsd:double"&gt;8668.8&lt;/D&gt;&lt;/FQL&gt;&lt;FQL&gt;&lt;Q&gt;Ticker0024^FE_ESTIMATE(PRODLINE_EBIT_16,MEAN,QUARTERLY_ROLL,2022/3F,45772,,,'')&lt;/Q&gt;&lt;R&gt;1&lt;/R&gt;&lt;C&gt;1&lt;/C&gt;&lt;D xsi:type="xsd:double"&gt;8281&lt;/D&gt;&lt;/FQL&gt;&lt;FQL&gt;&lt;Q&gt;Ticker0024^FE_ESTIMATE(PRODLINE_EBIT_16,MEAN,QUARTERLY_ROLL,2022/2F,45772,,,'')&lt;/Q&gt;&lt;R&gt;1&lt;/R&gt;&lt;C&gt;1&lt;/C&gt;&lt;D xsi:type="xsd:double"&gt;8197&lt;/D&gt;&lt;/FQL&gt;&lt;FQL&gt;&lt;Q&gt;Ticker0024^FE_ESTIMATE(PRODLINE_EBIT_16,MEAN,QUARTERLY_ROLL,2022/1F,45772,,,'')&lt;/Q&gt;&lt;R&gt;1&lt;/R&gt;&lt;C&gt;1&lt;/C&gt;&lt;D xsi:type="xsd:double"&gt;7562&lt;/D&gt;&lt;/FQL&gt;&lt;FQL&gt;&lt;Q&gt;Ticker0024^FE_ESTIMATE(PRODLINE_EBIT_16,MEAN,ANNUAL_ROLL,2021,45772,,,'')&lt;/Q&gt;&lt;R&gt;1&lt;/R&gt;&lt;C&gt;1&lt;/C&gt;&lt;D xsi:type="xsd:double"&gt;26126&lt;/D&gt;&lt;/FQL&gt;&lt;FQL&gt;&lt;Q&gt;Ticker0024^FE_ESTIMATE(PRODLINE_EBIT_16,MEAN,QUARTERLY_ROLL,2021/4F,45772,,,'')&lt;/Q&gt;&lt;R&gt;1&lt;/R&gt;&lt;C&gt;1&lt;/C&gt;&lt;D xsi:type="xsd:double"&gt;7787&lt;/D&gt;&lt;/FQL&gt;&lt;FQL&gt;&lt;Q&gt;Ticker0024^FE_ESTIMATE(PRODLINE_EBIT_16,MEAN,QUARTERLY_ROLL,2021/3F,45772,,,'')&lt;/Q&gt;&lt;R&gt;1&lt;/R&gt;&lt;C&gt;1&lt;/C&gt;&lt;D xsi:type="xsd:double"&gt;6425&lt;/D&gt;&lt;/FQL&gt;&lt;FQL&gt;&lt;Q&gt;Ticker0024^FE_ESTIMATE(PRODLINE_EBIT_16,MEAN,QUARTERLY_ROLL,2021/2F,45772,,,'')&lt;/Q&gt;&lt;R&gt;1&lt;/R&gt;&lt;C&gt;1&lt;/C&gt;&lt;D xsi:type="xsd:double"&gt;6492&lt;/D&gt;&lt;/FQL&gt;&lt;FQL&gt;&lt;Q&gt;Ticker0024^FE_ESTIMATE(PRODLINE_EBIT_16,MEAN,QUARTERLY_ROLL,2021/1F,45772,,,'')&lt;/Q&gt;&lt;R&gt;1&lt;/R&gt;&lt;C&gt;1&lt;/C&gt;&lt;D xsi:type="xsd:double"&gt;5422&lt;/D&gt;&lt;/FQL&gt;&lt;FQL&gt;&lt;Q&gt;Ticker0024^FE_ESTIMATE(PRODLINE_EBIT_16,MEAN,ANNUAL_ROLL,2020,45772,,,'')&lt;/Q&gt;&lt;R&gt;1&lt;/R&gt;&lt;C&gt;1&lt;/C&gt;&lt;D xsi:type="xsd:double"&gt;18188.334&lt;/D&gt;&lt;/FQL&gt;&lt;FQL&gt;&lt;Q&gt;Ticker0024^FE_ESTIMATE(PRODLINE_EBIT_16,MEAN,QUARTERLY_ROLL,2020/4F,45772,,,'')&lt;/Q&gt;&lt;R&gt;1&lt;/R&gt;&lt;C&gt;1&lt;/C&gt;&lt;D xsi:type="xsd:double"&gt;5208.3335&lt;/D&gt;&lt;/FQL&gt;&lt;FQL&gt;&lt;Q&gt;Ticker0024^FE_ESTIMATE(PRODLINE_EBIT_16,MEAN,QUARTERLY_ROLL,2020/3F,45772,,,'')&lt;/Q&gt;&lt;R&gt;1&lt;/R&gt;&lt;C&gt;1&lt;/C&gt;&lt;D xsi:type="xsd:double"&gt;4560&lt;/D&gt;&lt;/FQL&gt;&lt;FQL&gt;&lt;Q&gt;Ticker0024^FE_ESTIMATE(PRODLINE_EBIT_16,MEAN,QUARTERLY_ROLL,2020/2F,45772,,,'')&lt;/Q&gt;&lt;R&gt;1&lt;/R&gt;&lt;C&gt;1&lt;/C&gt;&lt;D xsi:type="xsd:double"&gt;4531&lt;/D&gt;&lt;/FQL&gt;&lt;FQL&gt;&lt;Q&gt;Ticker0024^FE_ESTIMATE(PRODLINE_EBIT_16,MEAN,QUARTERLY_ROLL,2020/1F,45772,,,'')&lt;/Q&gt;&lt;R&gt;1&lt;/R&gt;&lt;C&gt;1&lt;/C&gt;&lt;D xsi:type="xsd:double"&gt;3889&lt;/D&gt;&lt;/FQL&gt;&lt;FQL&gt;&lt;Q&gt;Ticker0024^FE_ESTIMATE(PRODLINE_EBIT_16,MEAN,ANNUAL_ROLL,2019,45772,,,'')&lt;/Q&gt;&lt;R&gt;1&lt;/R&gt;&lt;C&gt;1&lt;/C&gt;&lt;D xsi:type="xsd:double"&gt;13920&lt;/D&gt;&lt;/FQL&gt;&lt;FQL&gt;&lt;Q&gt;Ticker0024^FE_ESTIMATE(PRODLINE_EBIT_16,MEAN,QUARTERLY_ROLL,2019/4F,45772,,,'')&lt;/Q&gt;&lt;R&gt;1&lt;/R&gt;&lt;C&gt;1&lt;/C&gt;&lt;D xsi:type="xsd:double"&gt;4502&lt;/D&gt;&lt;/FQL&gt;&lt;FQL&gt;&lt;Q&gt;Ticker0024^FE_ESTIMATE(PRODLINE_EBIT_16,MEAN,QUARTERLY_ROLL,2019/3F,45772,,,'')&lt;/Q&gt;&lt;R&gt;1&lt;/R&gt;&lt;C&gt;1&lt;/C&gt;&lt;D xsi:type="xsd:double"&gt;3208&lt;/D&gt;&lt;/FQL&gt;&lt;FQL&gt;&lt;Q&gt;Ticker0024^FE_ESTIMATE(PRODLINE_EBIT_16,MEAN,QUARTERLY_ROLL,2019/2F,45772,,,'')&lt;/Q&gt;&lt;R&gt;1&lt;/R&gt;&lt;C&gt;1&lt;/C&gt;&lt;D xsi:type="xsd:double"&gt;3278.75&lt;/D&gt;&lt;/FQL&gt;&lt;FQL&gt;&lt;Q&gt;Ticker0024^FE_ESTIMATE(PRODLINE_EBIT_16,MEAN,QUARTERLY_ROLL,2019/1F,45772,,,'')&lt;/Q&gt;&lt;R&gt;1&lt;/R&gt;&lt;C&gt;1&lt;/C&gt;&lt;D xsi:type="xsd:double"&gt;2931&lt;/D&gt;&lt;/FQL&gt;&lt;FQL&gt;&lt;Q&gt;Ticker0024^FE_ESTIMATE(PRODLINE_EBIT_16,MEAN,ANNUAL_ROLL,2018,45772,,,'')&lt;/Q&gt;&lt;R&gt;1&lt;/R&gt;&lt;C&gt;1&lt;/C&gt;&lt;D xsi:type="xsd:double"&gt;11524&lt;/D&gt;&lt;/FQL&gt;&lt;FQL&gt;&lt;Q&gt;Ticker0024^FE_ESTIMATE(PRODLINE_EBIT_16,MEAN,QUARTERLY_ROLL,2018/4F,45772,,,'')&lt;/Q&gt;&lt;R&gt;1&lt;/R&gt;&lt;C&gt;1&lt;/C&gt;&lt;D xsi:type="xsd:double"&gt;3901&lt;/D&gt;&lt;/FQL&gt;&lt;FQL&gt;&lt;Q&gt;Ticker0024^FE_ESTIMATE(PRODLINE_EBIT_16,MEAN,QUARTERLY_ROLL,2018/3F,45772,,,'')&lt;/Q&gt;&lt;R&gt;1&lt;/R&gt;&lt;C&gt;1&lt;/C&gt;&lt;D xsi:type="xsd:double"&gt;2654&lt;/D&gt;&lt;/FQL&gt;&lt;FQL&gt;&lt;Q&gt;Ticker0024^FE_ESTIMATE(PRODLINE_EBIT_16,MEAN,QUARTERLY_ROLL,2018/2F,45772,,,'')&lt;/Q&gt;&lt;R&gt;1&lt;/R&gt;&lt;C&gt;1&lt;/C&gt;&lt;D xsi:type="xsd:double"&gt;2832&lt;/D&gt;&lt;/FQL&gt;&lt;FQL&gt;&lt;Q&gt;Ticker0024^FE_ESTIMATE(PRODLINE_EBIT_16,MEAN,QUARTERLY_ROLL,2018/1F,45772,,,'')&lt;/Q&gt;&lt;R&gt;1&lt;/R&gt;&lt;C&gt;1&lt;/C&gt;&lt;D xsi:type="xsd:double"&gt;2137&lt;/D&gt;&lt;/FQL&gt;&lt;FQL&gt;&lt;Q&gt;Ticker0024^FE_ESTIMATE(PRODLINE_EBIT_16,MEAN,ANNUAL_ROLL,2017,45772,,,'')&lt;/Q&gt;&lt;R&gt;1&lt;/R&gt;&lt;C&gt;1&lt;/C&gt;&lt;D xsi:type="xsd:double"&gt;9138&lt;/D&gt;&lt;/FQL&gt;&lt;FQL&gt;&lt;Q&gt;Ticker0024^FE_ESTIMATE(PRODLINE_EBIT_16,MEAN,QUARTERLY_ROLL,2017/4F,45772,,,'')&lt;/Q&gt;&lt;R&gt;1&lt;/R&gt;&lt;C&gt;1&lt;/C&gt;&lt;D xsi:type="xsd:double"&gt;2501&lt;/D&gt;&lt;/FQL&gt;&lt;FQL&gt;&lt;Q&gt;Ticker0024^FE_ESTIMATE(PRODLINE_EBIT_16,MEAN,QUARTERLY_ROLL,2017/3F,45772,,,'')&lt;/Q&gt;&lt;R&gt;1&lt;/R&gt;&lt;C&gt;1&lt;/C&gt;&lt;D xsi:type="xsd:double"&gt;2181&lt;/D&gt;&lt;/FQL&gt;&lt;FQL&gt;&lt;Q&gt;Ticker0024^FE_ESTIMATE(PRODLINE_EBIT_16,MEAN,QUARTERLY_ROLL,2017/2F,45772,,,'')&lt;/Q&gt;&lt;R&gt;1&lt;/R&gt;&lt;C&gt;1&lt;/C&gt;&lt;D xsi:type="xsd:double"&gt;2398&lt;/D&gt;&lt;/FQL&gt;&lt;FQL&gt;&lt;Q&gt;Ticker0024^FE_ESTIMATE(PRODLINE_EBIT_16,MEAN,QUARTERLY_ROLL,2017/1F,45772,,,'')&lt;/Q&gt;&lt;R&gt;1&lt;/R&gt;&lt;C&gt;1&lt;/C&gt;&lt;D xsi:type="xsd:double"&gt;2058&lt;/D&gt;&lt;/FQL&gt;&lt;FQL&gt;&lt;Q&gt;Ticker0024^FE_ESTIMATE(PRODLINE_EBIT_16,MEAN,ANNUAL_ROLL,2016,45772,,,'')&lt;/Q&gt;&lt;R&gt;1&lt;/R&gt;&lt;C&gt;1&lt;/C&gt;&lt;D xsi:type="xsd:double"&gt;9357&lt;/D&gt;&lt;/FQL&gt;&lt;FQL&gt;&lt;Q&gt;Ticker0024^FE_ESTIMATE(PRODLINE_EBIT_16,MEAN,QUARTERLY_ROLL,2016/4F,45772,,,'')&lt;/Q&gt;&lt;R&gt;1&lt;/R&gt;&lt;C&gt;1&lt;/C&gt;&lt;D xsi:type="xsd:double"&gt;2190&lt;/D&gt;&lt;/FQL&gt;&lt;FQL&gt;&lt;Q&gt;Ticker0024^FE_ESTIMATE(PRODLINE_EBIT_16,MEAN,QUARTERLY_ROLL,2016/3F,45772,,,'')&lt;/Q&gt;&lt;R&gt;1&lt;/R&gt;&lt;C&gt;1&lt;/C&gt;&lt;D xsi:type="xsd:double"&gt;2188&lt;/D&gt;&lt;/FQL&gt;&lt;FQL&gt;&lt;Q&gt;Ticker0024^FE_ESTIMATE(PRODLINE_EBIT_16,MEAN,QUARTERLY_ROLL,2016/2F,45772,,,'')&lt;/Q&gt;&lt;R&gt;0&lt;/R&gt;&lt;C&gt;0&lt;/C&gt;&lt;/FQL&gt;&lt;FQL&gt;&lt;Q&gt;Ticker0024^FE_ESTIMATE(PRODLINE_EBIT_16,MEAN,QUARTERLY_ROLL,2016/1F,45772,,,'')&lt;/Q&gt;&lt;R&gt;0&lt;/R&gt;&lt;C&gt;0&lt;/C&gt;&lt;/FQL&gt;&lt;FQL&gt;&lt;Q&gt;Ticker0024^FE_ESTIMATE(PRODLINE_EBIT_16,MEAN,ANNUAL_ROLL,2015,45772,,,'')&lt;/Q&gt;&lt;R&gt;0&lt;/R&gt;&lt;C&gt;0&lt;/C&gt;&lt;/FQL&gt;&lt;FQL&gt;&lt;Q&gt;Ticker0024^FE_ESTIMATE(PRODLINE_EBIT_16,MEAN,QUARTERLY_ROLL,2015/4F,45772,,,'')&lt;/Q&gt;&lt;R&gt;0&lt;/R&gt;&lt;C&gt;0&lt;/C&gt;&lt;/FQL&gt;&lt;FQL&gt;&lt;Q&gt;Ticker0024^FE_ESTIMATE(PRODLINE_EBIT_16,MEAN,QUARTERLY_ROLL,2015/3F,45772,,,'')&lt;/Q&gt;&lt;R&gt;0&lt;/R&gt;&lt;C&gt;0&lt;/C&gt;&lt;/FQL&gt;&lt;FQL&gt;&lt;Q&gt;Ticker0024^FE_ESTIMATE(PRODLINE_EBIT_16,MEAN,QUARTERLY_ROLL,2015/2F,45772,,,'')&lt;/Q&gt;&lt;R&gt;0&lt;/R&gt;&lt;C&gt;0&lt;/C&gt;&lt;/FQL&gt;&lt;FQL&gt;&lt;Q&gt;Ticker0024^FE_ESTIMATE(PRODLINE_EBIT_16,MEAN,QUARTERLY_ROLL,2015/1F,45772,,,'')&lt;/Q&gt;&lt;R&gt;0&lt;/R&gt;&lt;C&gt;0&lt;/C&gt;&lt;/FQL&gt;&lt;FQL&gt;&lt;Q&gt;Ticker0024^FE_ESTIMATE(PRODLINE_EBIT_15,MEAN,ANNUAL_ROLL,2030,45772,,,'')&lt;/Q&gt;&lt;R&gt;0&lt;/R&gt;&lt;C&gt;0&lt;/C&gt;&lt;/FQL&gt;&lt;FQL&gt;&lt;Q&gt;Ticker0024^FE_ESTIMATE(PRODLINE_EBIT_15,MEAN,QUARTERLY_ROLL,2030/4F,45772,,,'')&lt;/Q&gt;&lt;R&gt;0&lt;/R&gt;&lt;C&gt;0&lt;/C&gt;&lt;/FQL&gt;&lt;FQL&gt;&lt;Q&gt;Ticker0024^FE_ESTIMATE(PRODLINE_EBIT_15,MEAN,QUARTERLY_ROLL,2030/3F,45772,,,'')&lt;/Q&gt;&lt;R&gt;0&lt;/R&gt;&lt;C&gt;0&lt;/C&gt;&lt;/FQL&gt;&lt;FQL&gt;&lt;Q&gt;Ticker0024^FE_ESTIMATE(PRODLINE_EBIT_15,MEAN,QUARTERLY_ROLL,2030/2F,45772,,,'')&lt;/Q&gt;&lt;R&gt;0&lt;/R&gt;&lt;C&gt;0&lt;/C&gt;&lt;/FQL&gt;&lt;FQL&gt;&lt;Q&gt;Ticker0024^FE_ESTIMATE(PRODLINE_EBIT_15,MEAN,QUARTERLY_ROLL,2030/1F,45772,,,'')&lt;/Q&gt;&lt;R&gt;0&lt;/R&gt;&lt;C&gt;0&lt;/C&gt;&lt;/FQL&gt;&lt;FQL&gt;&lt;Q&gt;Ticker0024^FE_ESTIMATE(PRODLINE_EBIT_15,MEAN,ANNUAL_ROLL,2029,45772,,,'')&lt;/Q&gt;&lt;R&gt;0&lt;/R&gt;&lt;C&gt;0&lt;/C&gt;&lt;/FQL&gt;&lt;FQL&gt;&lt;Q&gt;Ticker0024^FE_ESTIMATE(PRODLINE_EBIT_15,MEAN,QUARTERLY_ROLL,2029/4F,45772,,,'')&lt;/Q&gt;&lt;R&gt;0&lt;/R&gt;&lt;C&gt;0&lt;/C&gt;&lt;/FQL&gt;&lt;FQL&gt;&lt;Q&gt;Ticker0024^FE_ESTIMATE(PRODLINE_EBIT_15,MEAN,QUARTERLY_ROLL,2029/3F,45772,,,'')&lt;/Q&gt;&lt;R&gt;0&lt;/R&gt;&lt;C&gt;0&lt;/C&gt;&lt;/FQL&gt;&lt;FQL&gt;&lt;Q&gt;Ticker0024^FE_ESTIMATE(PRODLINE_EBIT_15,MEAN,QUARTERLY_ROLL,2029/2F,45772,,,'')&lt;/Q&gt;&lt;R&gt;0&lt;/R&gt;&lt;C&gt;0&lt;/C&gt;&lt;/FQL&gt;&lt;FQL&gt;&lt;Q&gt;Ticker0024^FE_ESTIMATE(PRODLINE_EBIT_15,MEAN,QUARTERLY_ROLL,2029/1F,45772,,,'')&lt;/Q&gt;&lt;R&gt;0&lt;/R&gt;&lt;C&gt;0&lt;/C&gt;&lt;/FQL&gt;&lt;FQL&gt;&lt;Q&gt;Ticker0024^FE_ESTIMATE(PRODLINE_EBIT_15,MEAN,ANNUAL_ROLL,2028,45772,,,'')&lt;/Q&gt;&lt;R&gt;1&lt;/R&gt;&lt;C&gt;1&lt;/C&gt;&lt;D xsi:type="xsd:double"&gt;75505&lt;/D&gt;&lt;/FQL&gt;&lt;FQL&gt;&lt;Q&gt;Ticker0024^FE_ESTIMATE(PRODLINE_EBIT_15,MEAN,QUARTERLY_ROLL,2028/4F,45772,,,'')&lt;/Q&gt;&lt;R&gt;0&lt;/R&gt;&lt;C&gt;0&lt;/C&gt;&lt;/FQL&gt;&lt;FQL&gt;&lt;Q&gt;Ticker0024^FE_ESTIMATE(PRODLINE_EBIT_15,MEAN,QUARTERLY_ROLL,2028/3F,45772,,,'')&lt;/Q&gt;&lt;R&gt;0&lt;/R&gt;&lt;C&gt;0&lt;/C&gt;&lt;/FQL&gt;&lt;FQL&gt;&lt;Q&gt;Ticker0024^FE_ESTIMATE(PRODLINE_EBIT_15,MEAN,QUARTERLY_ROLL,2028/2F,45772,,,'')&lt;/Q&gt;&lt;R&gt;0&lt;/R&gt;&lt;C&gt;0&lt;/C&gt;&lt;/FQL&gt;&lt;FQL&gt;&lt;Q&gt;Ticker0024^FE_ESTIMATE(PRODLINE_EBIT_15,MEAN,QUARTERLY_ROLL,2028/1F,45772,,,'')&lt;/Q&gt;&lt;R&gt;0&lt;/R&gt;&lt;C&gt;0&lt;/C&gt;&lt;/FQL&gt;&lt;FQL&gt;&lt;Q&gt;Ticker0024^FE_ESTIMATE(PRODLINE_EBIT_15,MEAN,ANNUAL_ROLL,2027,45772,,,'')&lt;/Q&gt;&lt;R&gt;1&lt;/R&gt;&lt;C&gt;1&lt;/C&gt;&lt;D xsi:type="xsd:double"&gt;77870.336&lt;/D&gt;&lt;/FQL&gt;&lt;FQL&gt;&lt;Q&gt;Ticker0024^FE_ESTIMATE(PRODLINE_EBIT_15,MEAN,QUARTERLY_ROLL,2027/4F,45772,,,'')&lt;/Q&gt;&lt;R&gt;0&lt;/R&gt;&lt;C&gt;0&lt;/C&gt;&lt;/FQL&gt;&lt;FQL&gt;&lt;Q&gt;Ticker0024^FE_ESTIMATE(PRODLINE_EBIT_15,MEAN,QUARTERLY_ROLL,2027/3F,45772,,,'')&lt;/Q&gt;&lt;R&gt;0&lt;/R&gt;&lt;C&gt;0&lt;/C&gt;&lt;/FQL&gt;&lt;FQL&gt;&lt;Q&gt;Ticker0024^FE_ESTIMATE(PRODLINE_EBIT_15,MEAN,QUARTERLY_ROLL,2027/2F,45772,,,'')&lt;/Q&gt;&lt;R&gt;0&lt;/R&gt;&lt;C&gt;0&lt;/C&gt;&lt;/FQL&gt;&lt;FQL&gt;&lt;Q&gt;Ticker0024^FE_ESTIMATE(PRODLINE_EBIT_15,MEAN,QUARTERLY_ROLL,2027/1F,45772,,,'')&lt;/Q&gt;&lt;R&gt;0&lt;/R&gt;&lt;C&gt;0&lt;/C&gt;&lt;/FQL&gt;&lt;FQL&gt;&lt;Q&gt;Ticker0024^FE_ESTIMATE(PRODLINE_EBIT_15,MEAN,ANNUAL_ROLL,2026,45772,,,'')&lt;/Q&gt;&lt;R&gt;1&lt;/R&gt;&lt;C&gt;1&lt;/C&gt;&lt;D xsi:type="xsd:double"&gt;65629.75&lt;/D&gt;&lt;/FQL&gt;&lt;FQL&gt;&lt;Q&gt;Ticker0024^FE_ESTIMATE(PRODLINE_EBIT_15,MEAN,QUARTERLY_ROLL,2026/4F,45772,,,'')&lt;/Q&gt;&lt;R&gt;1&lt;/R&gt;&lt;C&gt;1&lt;/C&gt;&lt;D xsi:type="xsd:double"&gt;16687.334&lt;/D&gt;&lt;/FQL&gt;&lt;FQL&gt;&lt;Q&gt;Ticker0024^FE_ESTIMATE(PRODLINE_EBIT_15,MEAN,QUARTERLY_ROLL,2026/3F,45772,,,'')&lt;/Q&gt;&lt;R&gt;1&lt;/R&gt;&lt;C&gt;1&lt;/C&gt;&lt;D xsi:type="xsd:double"&gt;15999.333&lt;/D&gt;&lt;/FQL&gt;&lt;FQL&gt;&lt;Q&gt;Ticker0024^FE_ESTIMATE(PRODLINE_EBIT_15,MEAN,QUARTERLY_ROLL,2026/2F,45772,,,'')&lt;/Q&gt;&lt;R&gt;1&lt;/R&gt;&lt;C&gt;1&lt;/C&gt;&lt;D xsi:type="xsd:double"&gt;16563.334&lt;/D&gt;&lt;/FQL&gt;&lt;FQL&gt;&lt;Q&gt;Ticker0024^FE_ESTIMATE(PRODLINE_EBIT_15,MEAN,QUARTERLY_ROLL,2026/1F,45772,,,'')&lt;/Q&gt;&lt;R&gt;1&lt;/R&gt;&lt;C&gt;1&lt;/C&gt;&lt;D xsi:type="xsd:double"&gt;16066&lt;/D&gt;&lt;/FQL&gt;&lt;FQL&gt;&lt;Q&gt;Ticker0024^FE_ESTIMATE(PRODLINE_EBIT_15,MEAN,ANNUAL_ROLL,2025,45772,,,'')&lt;/Q&gt;&lt;R&gt;1&lt;/R&gt;&lt;C&gt;1&lt;/C&gt;&lt;D xsi:type="xsd:double"&gt;61515.2&lt;/D&gt;&lt;/FQL&gt;&lt;FQL&gt;&lt;Q&gt;Ticker0024^FE_ESTIMATE(PRODLINE_EBIT_15,MEAN,QUARTERLY_ROLL,2025/4F,45772,,,'')&lt;/Q&gt;&lt;R&gt;1&lt;/R&gt;&lt;C&gt;1&lt;/C&gt;&lt;D xsi:type="xsd:double"&gt;15298.8&lt;/D&gt;&lt;/FQL&gt;&lt;FQL&gt;&lt;Q&gt;Ticker0024^FE_ESTIMATE(PRODLINE_EBIT_15,MEAN,QUARTERLY_ROLL,2025/3F,45772,,,'')&lt;/Q&gt;&lt;R&gt;1&lt;/R&gt;&lt;C&gt;1&lt;/C&gt;&lt;D xsi:type="xsd:double"&gt;15000.4&lt;/D&gt;&lt;/FQL&gt;&lt;FQL&gt;&lt;Q&gt;Ticker0024^FE_ESTIMATE(PRODLINE_EBIT_15,MEAN,QUARTERLY_ROLL,2025/2F,45772,,,'')&lt;/Q&gt;&lt;R&gt;1&lt;/R&gt;&lt;C&gt;1&lt;/C&gt;&lt;D xsi:type="xsd:double"&gt;15766.4&lt;/D&gt;&lt;/FQL&gt;&lt;FQL&gt;&lt;Q&gt;Ticker0024^FE_ESTIMATE(PRODLINE_EBIT_15,MEAN,QUARTERLY_ROLL,2025/1F,45772,,,'')&lt;/Q&gt;&lt;R&gt;1&lt;/R&gt;&lt;C&gt;1&lt;/C&gt;&lt;D xsi:type="xsd:double"&gt;15451.8&lt;/D&gt;&lt;/FQL&gt;&lt;FQL&gt;&lt;Q&gt;Ticker0024^FE_ESTIMATE(PRODLINE_EBIT_15,MEAN,ANNUAL_ROLL,2024,45772,,,'')&lt;/Q&gt;&lt;R&gt;1&lt;/R&gt;&lt;C&gt;1&lt;/C&gt;&lt;D xsi:type="xsd:double"&gt;40540&lt;/D&gt;&lt;/FQL&gt;&lt;FQL&gt;&lt;Q&gt;Ticker0024^FE_ESTIMATE(PRODLINE_EBIT_15,MEAN,QUARTERLY_ROLL,2024/4F,45772,,,'')&lt;/Q&gt;&lt;R&gt;1&lt;/R&gt;&lt;C&gt;1&lt;/C&gt;&lt;D xsi:type="xsd:double"&gt;10142.4&lt;/D&gt;&lt;/FQL&gt;&lt;FQL&gt;&lt;Q&gt;Ticker0024^FE_ESTIMATE(PRODLINE_EBIT_15,MEAN,QUARTERLY_ROLL,2024/3F,45772,,,'')&lt;/Q&gt;&lt;R&gt;1&lt;/R&gt;&lt;C&gt;1&lt;/C&gt;&lt;D xsi:type="xsd:double"&gt;10142.571&lt;/D&gt;&lt;/FQL&gt;&lt;FQL&gt;&lt;Q&gt;Ticker0024^FE_ESTIMATE(PRODLINE_EBIT_15,MEAN,QUARTERLY_ROLL,2024/2F,45772,,,'')&lt;/Q&gt;&lt;R&gt;1&lt;/R&gt;&lt;C&gt;1&lt;/C&gt;&lt;D xsi:type="xsd:double"&gt;10283.333&lt;/D&gt;&lt;/FQL&gt;&lt;FQL&gt;&lt;Q&gt;Ticker0024^FE_ESTIMATE(PRODLINE_EBIT_15,MEAN,QUARTERLY_ROLL,2024/1F,45772,,,'')&lt;/Q&gt;&lt;R&gt;1&lt;/R&gt;&lt;C&gt;1&lt;/C&gt;&lt;D xsi:type="xsd:double"&gt;9970&lt;/D&gt;&lt;/FQL&gt;&lt;FQL&gt;&lt;Q&gt;Ticker0024^FE_ESTIMATE(PRODLINE_EBIT_15,MEAN,ANNUAL_ROLL,2023,45772,,,'')&lt;/Q&gt;&lt;R&gt;1&lt;/R&gt;&lt;C&gt;1&lt;/C&gt;&lt;D xsi:type="xsd:double"&gt;34189.4&lt;/D&gt;&lt;/FQL&gt;&lt;FQL&gt;&lt;Q&gt;Ticker0024^FE_ESTIMATE(PRODLINE_EBIT_15,MEAN,QUARTERLY_ROLL,2023/4F,45772,,,'')&lt;/Q&gt;&lt;R&gt;1&lt;/R&gt;&lt;C&gt;1&lt;/C&gt;&lt;D xsi:type="xsd:double"&gt;9051.6&lt;/D&gt;&lt;/FQL&gt;&lt;FQL&gt;&lt;Q&gt;Ticker0024^FE_ESTIMATE(PRODLINE_EBIT_15,MEAN,QUARTERLY_ROLL,2023/3F,45772,,,'')&lt;/Q&gt;&lt;R&gt;1&lt;/R&gt;&lt;C&gt;1&lt;/C&gt;&lt;D xsi:type="xsd:double"&gt;8639.2&lt;/D&gt;&lt;/FQL&gt;&lt;FQL&gt;&lt;Q&gt;Ticker0024^FE_ESTIMATE(PRODLINE_EBIT_15,MEAN,QUARTERLY_ROLL,2023/2F,45772,,,'')&lt;/Q&gt;&lt;R&gt;1&lt;/R&gt;&lt;C&gt;1&lt;/C&gt;&lt;D xsi:type="xsd:double"&gt;8176&lt;/D&gt;&lt;/FQL&gt;&lt;FQL&gt;&lt;Q&gt;Ticker0024^FE_ESTIMATE(PRODLINE_EBIT_15,MEAN,QUARTERLY_ROLL,2023/1F,45772,,,'')&lt;/Q&gt;&lt;R&gt;1&lt;/R&gt;&lt;C&gt;1&lt;/C&gt;&lt;D xsi:type="xsd:double"&gt;8322.4&lt;/D&gt;&lt;/FQL&gt;&lt;FQL&gt;&lt;Q&gt;Ticker0024^FE_ESTIMATE(PRODLINE_EBIT_15,MEAN,ANNUAL_ROLL,2022,45772,,,'')&lt;/Q&gt;&lt;R&gt;1&lt;/R&gt;&lt;C&gt;1&lt;/C&gt;&lt;D xsi:type="xsd:double"&gt;29685&lt;/D&gt;&lt;/FQL&gt;&lt;FQL&gt;&lt;Q&gt;Ticker0024^FE_ESTIMATE(PRODLINE_EBIT_15,MEAN,QUARTERLY_ROLL,2022/4F,45772,,,'')&lt;/Q&gt;&lt;R&gt;1&lt;/R&gt;&lt;C&gt;1&lt;/C&gt;&lt;D xsi:type="xsd:double"&gt;7232&lt;/D&gt;&lt;/FQL&gt;&lt;FQL&gt;&lt;Q&gt;Ticker0024^FE_ESTIMATE(PRODLINE_EBIT_15,MEAN,QUARTERLY_ROLL,2022/3F,45772,,,'')&lt;/Q&gt;&lt;R&gt;1&lt;/R&gt;&lt;C&gt;1&lt;/C&gt;&lt;D xsi:type="xsd:double"&gt;7184&lt;/D&gt;&lt;/FQL&gt;&lt;FQL&gt;&lt;Q&gt;Ticker0024^FE_ESTIMATE(PRODLINE_EBIT_15,MEAN,QUARTERLY_ROLL,2022/2F,45772,,,'')&lt;/Q&gt;&lt;R&gt;1&lt;/R&gt;&lt;C&gt;1&lt;/C&gt;&lt;D xsi:type="xsd:double"&gt;7688&lt;/D&gt;&lt;/FQL&gt;&lt;FQL&gt;&lt;Q&gt;Ticker0024^FE_ESTIMATE(PRODLINE_EBIT_15,MEAN,QUARTERLY_ROLL,2022/1F,45772,,,'')&lt;/Q&gt;&lt;R&gt;1&lt;/R&gt;&lt;C&gt;1&lt;/C&gt;&lt;D xsi:type="xsd:double"&gt;7581&lt;/D&gt;&lt;/FQL&gt;&lt;FQL&gt;&lt;Q&gt;Ticker0024^FE_ESTIMATE(PRODLINE_EBIT_15,MEAN,ANNUAL_ROLL,2021,45772,,,'')&lt;/Q&gt;&lt;R&gt;1&lt;/R&gt;&lt;C&gt;1&lt;/C&gt;&lt;D xsi:type="xsd:double"&gt;24351&lt;/D&gt;&lt;/FQL&gt;&lt;FQL&gt;&lt;Q&gt;Ticker0024^FE_ESTIMATE(PRODLINE_EBIT_15,MEAN,QUARTERLY_ROLL,2021/4F,45772,,,'')&lt;/Q&gt;&lt;R&gt;1&lt;/R&gt;&lt;C&gt;1&lt;/C&gt;&lt;D xsi:type="xsd:double"&gt;6435&lt;/D&gt;&lt;/FQL&gt;&lt;FQL&gt;&lt;Q&gt;Ticker0024^FE_ESTIMATE(PRODLINE_EBIT_15,MEAN,QUARTERLY_ROLL,2021/3F,45772,,,'')&lt;/Q&gt;&lt;R&gt;1&lt;/R&gt;&lt;C&gt;1&lt;/C&gt;&lt;D xsi:type="xsd:double"&gt;6029&lt;/D&gt;&lt;/FQL&gt;&lt;FQL&gt;&lt;Q&gt;Ticker0024^FE_ESTIMATE(PRODLINE_EBIT_15,MEAN,QUARTERLY_ROLL,2021/2F,45772,,,'')&lt;/Q&gt;&lt;R&gt;1&lt;/R&gt;&lt;C&gt;1&lt;/C&gt;&lt;D xsi:type="xsd:double"&gt;6179.6665&lt;/D&gt;&lt;/FQL&gt;&lt;FQL&gt;&lt;Q&gt;Ticker0024^FE_ESTIMATE(PRODLINE_EBIT_15,MEAN,QUARTERLY_ROLL,2021/1F,45772,,,'')&lt;/Q&gt;&lt;R&gt;1&lt;/R&gt;&lt;C&gt;1&lt;/C&gt;&lt;D xsi:type="xsd:double"&gt;5706&lt;/D&gt;&lt;/FQL&gt;&lt;FQL&gt;&lt;Q&gt;Ticker0024^FE_ESTIMATE(PRODLINE_EBIT_15,MEAN,ANNUAL_ROLL,2020,45772,,,'')&lt;/Q&gt;&lt;R&gt;1&lt;/R&gt;&lt;C&gt;1&lt;/C&gt;&lt;D xsi:type="xsd:double"&gt;18781&lt;/D&gt;&lt;/FQL&gt;&lt;FQL&gt;&lt;Q&gt;Ticker0024^FE_ESTIMATE(PRODLINE_EBIT_15,MEAN,QUARTERLY_ROLL,2020/4F,45772,,,'')&lt;/Q&gt;&lt;R&gt;1&lt;/R&gt;&lt;C&gt;1&lt;/C&gt;&lt;D xsi:type="xsd:double"&gt;4029&lt;/D&gt;&lt;/FQL&gt;&lt;FQL&gt;&lt;Q&gt;Ticker0024^FE_ESTIMATE(PRODLINE_EBIT_15,MEAN,QUARTERLY_ROLL,2020/3F,45772,,,'')&lt;/Q&gt;&lt;R&gt;1&lt;/R&gt;&lt;C&gt;1&lt;/C&gt;&lt;D xsi:type="xsd:double"&gt;4788&lt;/D&gt;&lt;/FQL&gt;&lt;FQL&gt;&lt;Q&gt;Ticker0024^FE_ESTIMATE(PRODLINE_EBIT_15,MEAN,QUARTERLY_ROLL,2020/2F,45772,,,'')&lt;/Q&gt;&lt;R&gt;1&lt;/R&gt;&lt;C&gt;1&lt;/C&gt;&lt;D xsi:type="xsd:double"&gt;5182&lt;/D&gt;&lt;/FQL&gt;&lt;FQL&gt;&lt;Q&gt;Ticker0024^FE_ESTIMATE(PRODLINE_EBIT_15,MEAN,QUARTERLY_ROLL,2020/1F,45772,,,'')&lt;/Q&gt;&lt;R&gt;1&lt;/R&gt;&lt;C&gt;1&lt;/C&gt;&lt;D xsi:type="xsd:double"&gt;4782&lt;/D&gt;&lt;/FQL&gt;&lt;FQL&gt;&lt;Q&gt;Ticker0024^FE_ESTIMATE(PRODLINE_EBIT_15,MEAN,ANNUAL_ROLL,2019,45772,,,'')&lt;/Q&gt;&lt;R&gt;1&lt;/R&gt;&lt;C&gt;1&lt;/C&gt;&lt;D xsi:type="xsd:double"&gt;16219&lt;/D&gt;&lt;/FQL&gt;&lt;FQL&gt;&lt;Q&gt;Ticker0024^FE_ESTIMATE(PRODLINE_EBIT_15,MEAN,QUARTERLY_ROLL,2019/4F,45772,,,'')&lt;/Q&gt;&lt;R&gt;1&lt;/R&gt;&lt;C&gt;1&lt;/C&gt;&lt;D xsi:type="xsd:double"&gt;4344&lt;/D&gt;&lt;/FQL&gt;&lt;FQL&gt;&lt;Q&gt;Ticker0024^FE_ESTIMATE(PRODLINE_EBIT_15,MEAN,QUARTERLY_ROLL,2019/3F,45772,,,'')&lt;/Q&gt;&lt;R&gt;1&lt;/R&gt;&lt;C&gt;1&lt;/C&gt;&lt;D xsi:type="xsd:double"&gt;3979&lt;/D&gt;&lt;/FQL&gt;&lt;FQL&gt;&lt;Q&gt;Ticker0024^FE_ESTIMATE(PRODLINE_EBIT_15,MEAN,QUARTERLY_ROLL,2019/2F,45772,,,'')&lt;/Q&gt;&lt;R&gt;1&lt;/R&gt;&lt;C&gt;1&lt;/C&gt;&lt;D xsi:type="xsd:double"&gt;4013.75&lt;/D&gt;&lt;/FQL&gt;&lt;FQL&gt;&lt;Q&gt;Ticker0024^FE_ESTIMATE(PRODLINE_EBIT_15,MEAN,QUARTERLY_ROLL,2019/1F,45772,,,'')&lt;/Q&gt;&lt;R&gt;1&lt;/R&gt;&lt;C&gt;1&lt;/C&gt;&lt;D xsi:type="xsd:double"&gt;3881&lt;/D&gt;&lt;/FQL&gt;&lt;FQL&gt;&lt;Q&gt;Ticker0024^FE_ESTIMATE(PRODLINE_EBIT_15,MEAN,ANNUAL_ROLL,2018,45772,,,'')&lt;/Q&gt;&lt;R&gt;1&lt;/R&gt;&lt;C&gt;1&lt;/C&gt;&lt;D xsi:type="xsd:double"&gt;12924&lt;/D&gt;&lt;/FQL&gt;&lt;FQL&gt;&lt;Q&gt;Ticker0024^FE_ESTIMATE(PRODLINE_EBIT_15,MEAN,QUARTERLY_ROLL,2018/4F,45772,,,'')&lt;/Q&gt;&lt;R&gt;1&lt;/R&gt;&lt;C&gt;1&lt;/C&gt;&lt;D xsi:type="xsd:double"&gt;3466&lt;/D&gt;&lt;/FQL&gt;&lt;FQL&gt;&lt;Q&gt;Ticker0024^FE_ESTIMATE(PRODLINE_EBIT_15,MEAN,QUARTERLY_ROLL,2018/3F,45772,,,'')&lt;/Q&gt;&lt;R&gt;1&lt;/R&gt;&lt;C&gt;1&lt;/C&gt;&lt;D xsi:type="xsd:double"&gt;3115&lt;/D&gt;&lt;/FQL&gt;&lt;FQL&gt;&lt;Q&gt;Ticker0024^FE_ESTIMATE(PRODLINE_EBIT_15,MEAN,QUARTERLY_ROLL,2018/2F,45772,,,'')&lt;/Q&gt;&lt;R&gt;1&lt;/R&gt;&lt;C&gt;1&lt;/C&gt;&lt;D xsi:type="xsd:double"&gt;3337&lt;/D&gt;&lt;/FQL&gt;&lt;FQL&gt;&lt;Q&gt;Ticker0024^FE_ESTIMATE(PRODLINE_EBIT_15,MEAN,QUARTERLY_ROLL,2018/1F,45772,,,'')&lt;/Q&gt;&lt;R&gt;1&lt;/R&gt;&lt;C&gt;1&lt;/C&gt;&lt;D xsi:type="xsd:double"&gt;3006&lt;/D&gt;&lt;/FQL&gt;&lt;FQL&gt;&lt;Q&gt;Ticker0024^FE_ESTIMATE(PRODLINE_EBIT_15,MEAN,ANNUAL_ROLL,2017,45772,,,'')&lt;/Q&gt;&lt;R&gt;1&lt;/R&gt;&lt;C&gt;1&lt;/C&gt;&lt;D xsi:type="xsd:double"&gt;11913&lt;/D&gt;&lt;/FQL&gt;&lt;FQL&gt;&lt;Q&gt;Ticker0024^FE_ESTIMATE(PRODLINE_EBIT_15,MEAN,QUARTERLY_ROLL,2017/4F,45772,,,'')&lt;/Q&gt;&lt;R&gt;1&lt;/R&gt;&lt;C&gt;1&lt;/C&gt;&lt;D xsi:type="xsd:double"&gt;2754&lt;/D&gt;&lt;/FQL&gt;&lt;FQL&gt;&lt;Q&gt;Ticker0024^FE_ESTIMATE(PRODLINE_EBIT_15,MEAN,QUARTERLY_ROLL,2017/3F,45772,,,'')&lt;/Q&gt;&lt;R&gt;1&lt;/R&gt;&lt;C&gt;1&lt;/C&gt;&lt;D xsi:type="xsd:double"&gt;2783&lt;/D&gt;&lt;/FQL&gt;&lt;FQL&gt;&lt;Q&gt;Ticker0024^FE_ESTIMATE(PRODLINE_EBIT_15,MEAN,QUARTERLY_ROLL,2017/2F,45772,,,'')&lt;/Q&gt;&lt;R&gt;1&lt;/R&gt;&lt;C&gt;1&lt;/C&gt;&lt;D xsi:type="xsd:double"&gt;3256&lt;/D&gt;&lt;/FQL&gt;&lt;FQL&gt;&lt;Q&gt;Ticker0024^FE_ESTIMATE(PRODLINE_EBIT_15,MEAN,QUARTERLY_ROLL,2017/1F,45772,,,'')&lt;/Q&gt;&lt;R&gt;1&lt;/R&gt;&lt;C&gt;1&lt;/C&gt;&lt;D xsi:type="xsd:double"&gt;3120&lt;/D&gt;&lt;/FQL&gt;&lt;FQL&gt;&lt;Q&gt;Ticker0024^FE_ESTIMATE(PRODLINE_EBIT_15,MEAN,ANNUAL_ROLL,2016,45772,,,'')&lt;/Q&gt;&lt;R&gt;1&lt;/R&gt;&lt;C&gt;1&lt;/C&gt;&lt;D xsi:type="xsd:double"&gt;12429&lt;/D&gt;&lt;/FQL&gt;&lt;FQL&gt;&lt;Q&gt;Ticker0024^FE_ESTIMATE(PRODLINE_EBIT_15,MEAN,QUARTERLY_ROLL,2016/4F,45772,,,'')&lt;/Q&gt;&lt;R&gt;1&lt;/R&gt;&lt;C&gt;1&lt;/C&gt;&lt;D xsi:type="xsd:double"&gt;3000&lt;/D&gt;&lt;/FQL&gt;&lt;FQL&gt;&lt;Q&gt;Ticker0024^FE_ESTIMATE(PRODLINE_EBIT_15,MEAN,QUARTERLY_ROLL,2016/3F,45772,,,'')&lt;/Q&gt;&lt;R&gt;1&lt;/R&gt;&lt;C&gt;1&lt;/C&gt;&lt;D xsi:type="xsd:double"&gt;2994&lt;/D&gt;&lt;/FQL&gt;&lt;FQL&gt;&lt;Q&gt;Ticker0024^FE_ESTIMATE(PRODLINE_EBIT_15,MEAN,QUARTERLY_ROLL,2016/2F,45772,,,'')&lt;/Q&gt;&lt;R&gt;0&lt;/R&gt;&lt;C&gt;0&lt;/C&gt;&lt;/FQL&gt;&lt;FQL&gt;&lt;Q&gt;Ticker0024^FE_ESTIMATE(PRODLINE_EBIT_15,MEAN,QUARTERLY_ROLL,2016/1F,45772,,,'')&lt;/Q&gt;&lt;R&gt;0&lt;/R&gt;&lt;C&gt;0&lt;/C&gt;&lt;/FQL&gt;&lt;FQL&gt;&lt;Q&gt;Ticker0024^FE_ESTIMATE(PRODLINE_EBIT_15,MEAN,ANNUAL_ROLL,2015,45772,,,'')&lt;/Q&gt;&lt;R&gt;0&lt;/R&gt;&lt;C&gt;0&lt;/C&gt;&lt;/FQL&gt;&lt;FQL&gt;&lt;Q&gt;Ticker0024^FE_ESTIMATE(PRODLINE_EBIT_15,MEAN,QUARTERLY_ROLL,2015/4F,45772,,,'')&lt;/Q&gt;&lt;R&gt;0&lt;/R&gt;&lt;C&gt;0&lt;/C&gt;&lt;/FQL&gt;&lt;FQL&gt;&lt;Q&gt;Ticker0024^FE_ESTIMATE(PRODLINE_EBIT_15,MEAN,QUARTERLY_ROLL,2015/3F,45772,,,'')&lt;/Q&gt;&lt;R&gt;0&lt;/R&gt;&lt;C&gt;0&lt;/C&gt;&lt;/FQL&gt;&lt;FQL&gt;&lt;Q&gt;Ticker0024^FE_ESTIMATE(PRODLINE_EBIT_15,MEAN,QUARTERLY_ROLL,2015/2F,45772,,,'')&lt;/Q&gt;&lt;R&gt;0&lt;/R&gt;&lt;C&gt;0&lt;/C&gt;&lt;/FQL&gt;&lt;FQL&gt;&lt;Q&gt;Ticker0024^FE_ESTIMATE(PRODLINE_EBIT_15,MEAN,QUARTERLY_ROLL,2015/1F,45772,,,'')&lt;/Q&gt;&lt;R&gt;0&lt;/R&gt;&lt;C&gt;0&lt;/C&gt;&lt;/FQL&gt;&lt;FQL&gt;&lt;Q&gt;Ticker0024^FE_ESTIMATE(GROSSINCOME,MEAN,ANNUAL_ROLL,2030,45772,,,'')&lt;/Q&gt;&lt;R&gt;0&lt;/R&gt;&lt;C&gt;0&lt;/C&gt;&lt;/FQL&gt;&lt;FQL&gt;&lt;Q&gt;Ticker0024^FE_ESTIMATE(GROSSINCOME,MEAN,QUARTERLY_ROLL,2030/4F,45772,,,'')&lt;/Q&gt;&lt;R&gt;0&lt;/R&gt;&lt;C&gt;0&lt;/C&gt;&lt;/FQL&gt;&lt;FQL&gt;&lt;Q&gt;Ticker0024^FE_ESTIMATE(GROSSINCOME,MEAN,QUARTERLY_ROLL,2030/3F,45772,,,'')&lt;/Q&gt;&lt;R&gt;0&lt;/R&gt;&lt;C&gt;0&lt;/C&gt;&lt;/FQL&gt;&lt;FQL&gt;&lt;Q&gt;Ticker0024^FE_ESTIMATE(GROSSINCOME,MEAN,QUARTERLY_ROLL,2030/2F,45772,,,'')&lt;/Q&gt;&lt;R&gt;0&lt;/R&gt;&lt;C&gt;0&lt;/C&gt;&lt;/FQL&gt;&lt;FQL&gt;&lt;Q&gt;Ticker0024^FE_ESTIMATE(GROSSINCOME,MEAN,QUARTERLY_ROLL,2030/1F,45772,,,'')&lt;/Q&gt;&lt;R&gt;0&lt;/R&gt;&lt;C&gt;0&lt;/C&gt;&lt;/FQL&gt;&lt;FQL&gt;&lt;Q&gt;Ticker0024^FE_ESTIMATE(GROSSINCOME,MEAN,ANNUAL_ROLL,2029,45772,,,'')&lt;/Q&gt;&lt;R&gt;1&lt;/R&gt;&lt;C&gt;1&lt;/C&gt;&lt;D xsi:type="xsd:double"&gt;321383.9&lt;/D&gt;&lt;/FQL&gt;&lt;FQL&gt;&lt;Q&gt;Ticker0024^FE_ESTIMATE(GROSSINCOME,MEAN,QUARTERLY_ROLL,2029/4F,45772,,,'')&lt;/Q&gt;&lt;R&gt;0&lt;/R&gt;&lt;C&gt;0&lt;/C&gt;&lt;/FQL&gt;&lt;FQL&gt;&lt;Q&gt;Ticker0024^FE_ESTIMATE(GROSSINCOME,MEAN,QUARTERLY_ROLL,2029/3F,45772,,,'')&lt;/Q&gt;&lt;R&gt;0&lt;/R&gt;&lt;C&gt;0&lt;/C&gt;&lt;/FQL&gt;&lt;FQL&gt;&lt;Q&gt;Ticker0024^FE_ESTIMATE(GROSSINCOME,MEAN,QUARTERLY_ROLL,2029/2F,45772,,,'')&lt;/Q&gt;&lt;R&gt;0&lt;/R&gt;&lt;C&gt;0&lt;/C&gt;&lt;/FQL&gt;&lt;FQL&gt;&lt;Q&gt;Ticker0024^FE_ESTIMATE(GROSSINCOME,MEAN,QUARTERLY_ROLL,2029/1F,45772,,,'')&lt;/Q&gt;&lt;R&gt;0&lt;/R&gt;&lt;C&gt;0&lt;/C&gt;&lt;/FQL&gt;&lt;FQL&gt;&lt;Q&gt;Ticker0024^FE_ESTIMATE(GROSSINCOME,MEAN,ANNUAL_ROLL,2028,45772,,,'')&lt;/Q&gt;&lt;R&gt;1&lt;/R&gt;&lt;C&gt;1&lt;/C&gt;&lt;D xsi:type="xsd:double"&gt;274457.06&lt;/D&gt;&lt;/FQL&gt;&lt;FQL&gt;&lt;Q&gt;Ticker0024^FE_ESTIMATE(GROSSINCOME,MEAN,QUARTERLY_ROLL,2028/4F,45772,,,'')&lt;/Q&gt;&lt;R&gt;0&lt;/R&gt;&lt;C&gt;0&lt;/C&gt;&lt;/FQL&gt;&lt;FQL&gt;&lt;Q&gt;Ticker0024^FE_ESTIMATE(GROSSINCOME,MEAN,QUARTERLY_ROLL,2028/3F,45772,,,'')&lt;/Q&gt;&lt;R&gt;0&lt;/R&gt;&lt;C&gt;0&lt;/C&gt;&lt;/FQL&gt;&lt;FQL&gt;&lt;Q&gt;Ticker0024^FE_ESTIMATE(GROSSINCOME,MEAN,QUARTERLY_ROLL,2028/2F,45772,,,'')&lt;/Q&gt;&lt;R&gt;0&lt;/R&gt;&lt;C&gt;0&lt;/C&gt;&lt;/FQL&gt;&lt;FQL&gt;&lt;Q&gt;Ticker0024^FE_ESTIMATE(GROSSINCOME,MEAN,QUARTERLY_ROLL,2028/1F,45772,,,'')&lt;/Q&gt;&lt;R&gt;0&lt;/R&gt;&lt;C&gt;0&lt;/C&gt;&lt;/FQL&gt;&lt;FQL&gt;&lt;Q&gt;Ticker0024^FE_ESTIMATE(GROSSINCOME,MEAN,ANNUAL_ROLL,2027,45772,,,'')&lt;/Q&gt;&lt;R&gt;1&lt;/R&gt;&lt;C&gt;1&lt;/C&gt;&lt;D xsi:type="xsd:double"&gt;242762.88&lt;/D&gt;&lt;/FQL&gt;&lt;FQL&gt;&lt;Q&gt;Ticker0024^FE_ESTIMATE(GROSSINCOME,MEAN,QUARTERLY_ROLL,2027/4F,45772,,,'')&lt;/Q&gt;&lt;R&gt;1&lt;/R&gt;&lt;C&gt;1&lt;/C&gt;&lt;D xsi:type="xsd:double"&gt;63541&lt;/D&gt;&lt;/FQL&gt;&lt;FQL&gt;&lt;Q&gt;Ticker0024^FE_ESTIMATE(GROSSINCOME,MEAN,QUARTERLY_ROLL,2027/3F,45772,,,'')&lt;/Q&gt;&lt;R&gt;1&lt;/R&gt;&lt;C&gt;1&lt;/C&gt;&lt;D xsi:type="xsd:double"&gt;59182.668&lt;/D&gt;&lt;/FQL&gt;&lt;FQL&gt;&lt;Q&gt;Ticker0024^FE_ESTIMATE(GROSSINCOME,MEAN,QUARTERLY_ROLL,2027/2F,45772,,,'')&lt;/Q&gt;&lt;R&gt;1&lt;/R&gt;&lt;C&gt;1&lt;/C&gt;&lt;D xsi:type="xsd:double"&gt;59691.25&lt;/D&gt;&lt;/FQL&gt;&lt;FQL&gt;&lt;Q&gt;Ticker0024^FE_ESTIMATE(GROSSINCOME,MEAN,QUARTERLY_ROLL,2027/1F,45772,,,'')&lt;/Q&gt;&lt;R&gt;1&lt;/R&gt;&lt;C&gt;1&lt;/C&gt;&lt;D xsi:type="xsd:double"&gt;56662&lt;/D&gt;&lt;/FQL&gt;&lt;FQL&gt;&lt;Q&gt;Ticker0024^FE_ESTIMATE(GROSSINCOME,MEAN,ANNUAL_ROLL,2026,45772,,,'')&lt;/Q&gt;&lt;R&gt;1&lt;/R&gt;&lt;C&gt;1&lt;/C&gt;&lt;D xsi:type="xsd:double"&gt;212369.83&lt;/D&gt;&lt;/FQL&gt;&lt;FQL&gt;&lt;Q&gt;Ticker0024^FE_ESTIMATE(GROSSINCOME,MEAN,QUARTERLY_ROLL,2026/4F,45772,,,'')&lt;/Q&gt;&lt;R&gt;1&lt;/R&gt;&lt;C&gt;1&lt;/C&gt;&lt;D xsi:type="xsd:double"&gt;55482.734&lt;/D&gt;&lt;/FQL&gt;&lt;FQL&gt;&lt;Q&gt;Ticker0024^FE_ESTIMATE(GROSSINCOME,MEAN,QUARTERLY_ROLL,2026/3F,45772,,,'')&lt;/Q&gt;&lt;R&gt;1&lt;/R&gt;&lt;C&gt;1&lt;/C&gt;&lt;D xsi:type="xsd:double"&gt;52458.625&lt;/D&gt;&lt;/FQL&gt;&lt;FQL&gt;&lt;Q&gt;Ticker0024^FE_ESTIMATE(GROSSINCOME,MEAN,QUARTERLY_ROLL,2026/2F,45772,,,'')&lt;/Q&gt;&lt;R&gt;1&lt;/R&gt;&lt;C&gt;1&lt;/C&gt;&lt;D xsi:type="xsd:double"&gt;52775.875&lt;/D&gt;&lt;/FQL&gt;&lt;FQL&gt;&lt;Q&gt;Ticker0024^FE_ESTIMATE(GROSSINCOME,MEAN,QUARTERLY_ROLL,2026/1F,45772,,,'')&lt;/Q&gt;&lt;R&gt;1&lt;/R&gt;&lt;C&gt;1&lt;/C&gt;&lt;D xsi:type="xsd:double"&gt;50139.805&lt;/D&gt;&lt;/FQL&gt;&lt;FQL&gt;&lt;Q&gt;Ticker0024^FE_ESTIMATE(GROSSINCOME,MEAN,ANNUAL_ROLL,2025,45772,,,'')&lt;/Q&gt;&lt;R&gt;1&lt;/R&gt;&lt;C&gt;1&lt;/C&gt;&lt;D xsi:type="xsd:double"&gt;189526.6&lt;/D&gt;&lt;/FQL&gt;&lt;FQL&gt;&lt;Q&gt;Ticker0024^FE_ESTIMATE(GROSSINCOME,MEAN,QUARTERLY_ROLL,2025/4F,45772,,,'')&lt;/Q&gt;&lt;R&gt;1&lt;/R&gt;&lt;C&gt;1&lt;/C&gt;&lt;D xsi:type="xsd:double"&gt;49193.754&lt;/D&gt;&lt;/FQL&gt;&lt;FQL&gt;&lt;Q&gt;Ticker0024^FE_ESTIMATE(GROSSINCOME,MEAN,QUARTERLY_ROLL,2025/3F,45772,,,'')&lt;/Q&gt;&lt;R&gt;1&lt;/R&gt;&lt;C&gt;1&lt;/C&gt;&lt;D xsi:type="xsd:double"&gt;46738.516&lt;/D&gt;&lt;/FQL&gt;&lt;FQL&gt;&lt;Q&gt;Ticker0024^FE_ESTIMATE(GROSSINCOME,MEAN,QUARTERLY_ROLL,2025/2F,45772,,,'')&lt;/Q&gt;&lt;R&gt;1&lt;/R&gt;&lt;C&gt;1&lt;/C&gt;&lt;D xsi:type="xsd:double"&gt;47831.84&lt;/D&gt;&lt;/FQL&gt;&lt;FQL&gt;&lt;Q&gt;Ticker0024^FE_ESTIMATE(GROSSINCOME,MEAN,QUARTERLY_ROLL,2025/1F,45772,,,'')&lt;/Q&gt;&lt;R&gt;1&lt;/R&gt;&lt;C&gt;1&lt;/C&gt;&lt;D xsi:type="xsd:double"&gt;45476.035&lt;/D&gt;&lt;/FQL&gt;&lt;FQL&gt;&lt;Q&gt;Ticker0024^FE_ESTIMATE(GROSSINCOME,MEAN,ANNUAL_ROLL,2024,45772,,,'')&lt;/Q&gt;&lt;R&gt;1&lt;/R&gt;&lt;C&gt;1&lt;/C&gt;&lt;D xsi:type="xsd:double"&gt;171008.06&lt;/D&gt;&lt;/FQL&gt;&lt;FQL&gt;&lt;Q&gt;Ticker0024^FE_ESTIMATE(GROSSINCOME,MEAN,QUARTERLY_ROLL,2024/4F,45772,,,'')&lt;/Q&gt;&lt;R&gt;1&lt;/R&gt;&lt;C&gt;1&lt;/C&gt;&lt;D xsi:type="xsd:double"&gt;45041.355&lt;/D&gt;&lt;/FQL&gt;&lt;FQL&gt;&lt;Q&gt;Ticker0024^FE_ESTIMATE(GROSSINCOME,MEAN,QUARTERLY_ROLL,2024/3F,45772,,,'')&lt;/Q&gt;&lt;R&gt;1&lt;/R&gt;&lt;C&gt;1&lt;/C&gt;&lt;D xsi:type="xsd:double"&gt;43354.293&lt;/D&gt;&lt;/FQL&gt;&lt;FQL&gt;&lt;Q&gt;Ticker0024^FE_ESTIMATE(GROSSINCOME,MEAN,QUARTERLY_ROLL,2024/2F,45772,,,'')&lt;/Q&gt;&lt;R&gt;1&lt;/R&gt;&lt;C&gt;1&lt;/C&gt;&lt;D xsi:type="xsd:double"&gt;42397.1&lt;/D&gt;&lt;/FQL&gt;&lt;FQL&gt;&lt;Q&gt;Ticker0024^FE_ESTIMATE(GROSSINCOME,MEAN,QUARTERLY_ROLL,2024/1F,45772,,,'')&lt;/Q&gt;&lt;R&gt;1&lt;/R&gt;&lt;C&gt;1&lt;/C&gt;&lt;D xsi:type="xsd:double"&gt;40215.17&lt;/D&gt;&lt;/FQL&gt;&lt;FQL&gt;&lt;Q&gt;Ticker0024^FE_ESTIMATE(GROSSINCOME,MEAN,ANNUAL_ROLL,2023,45772,,,'')&lt;/Q&gt;&lt;R&gt;1&lt;/R&gt;&lt;C&gt;1&lt;/C&gt;&lt;D xsi:type="xsd:double"&gt;146082.89&lt;/D&gt;&lt;/FQL&gt;&lt;FQL&gt;&lt;Q&gt;Ticker0024^FE_ESTIMATE(GROSSINCOME,MEAN,QUARTERLY_ROLL,2023/4F,45772,,,'')&lt;/Q&gt;&lt;R&gt;1&lt;/R&gt;&lt;C&gt;1&lt;/C&gt;&lt;D xsi:type="xsd:double"&gt;39388&lt;/D&gt;&lt;/FQL&gt;&lt;FQL&gt;&lt;Q&gt;Ticker0024^FE_ESTIMATE(GROSSINCOME,MEAN,QUARTERLY_ROLL,2023/3F,45772,,,'')&lt;/Q&gt;&lt;R&gt;1&lt;/R&gt;&lt;C&gt;1&lt;/C&gt;&lt;D xsi:type="xsd:double"&gt;36729.035&lt;/D&gt;&lt;/FQL&gt;&lt;FQL&gt;&lt;Q&gt;Ticker0024^FE_ESTIMATE(GROSSINCOME,MEAN,QUARTERLY_ROLL,2023/2F,45772,,,'')&lt;/Q&gt;&lt;R&gt;1&lt;/R&gt;&lt;C&gt;1&lt;/C&gt;&lt;D xsi:type="xsd:double"&gt;35294.117&lt;/D&gt;&lt;/FQL&gt;&lt;FQL&gt;&lt;Q&gt;Ticker0024^FE_ESTIMATE(GROSSINCOME,MEAN,QUARTERLY_ROLL,2023/1F,45772,,,'')&lt;/Q&gt;&lt;R&gt;1&lt;/R&gt;&lt;C&gt;1&lt;/C&gt;&lt;D xsi:type="xsd:double"&gt;34670&lt;/D&gt;&lt;/FQL&gt;&lt;FQL&gt;&lt;Q&gt;Ticker0024^FE_ESTIMATE(GROSSINCOME,MEAN,ANNUAL_ROLL,2022,45772,,,'')&lt;/Q&gt;&lt;R&gt;1&lt;/R&gt;&lt;C&gt;1&lt;/C&gt;&lt;D xsi:type="xsd:double"&gt;135605.53&lt;/D&gt;&lt;/FQL&gt;&lt;FQL&gt;&lt;Q&gt;Ticker0024^FE_ESTIMATE(GROSSINCOME,MEAN,QUARTERLY_ROLL,2022/4F,45772,,,'')&lt;/Q&gt;&lt;R&gt;1&lt;/R&gt;&lt;C&gt;1&lt;/C&gt;&lt;D xsi:type="xsd:double"&gt;35436&lt;/D&gt;&lt;/FQL&gt;&lt;FQL&gt;&lt;Q&gt;Ticker0024^FE_ESTIMATE(GROSSINCOME,MEAN,QUARTERLY_ROLL,2022/3F,45772,,,'')&lt;/Q&gt;&lt;R&gt;1&lt;/R&gt;&lt;C&gt;1&lt;/C&gt;&lt;D xsi:type="xsd:double"&gt;33744.957&lt;/D&gt;&lt;/FQL&gt;&lt;FQL&gt;&lt;Q&gt;Ticker0024^FE_ESTIMATE(GROSSINCOME,MEAN,QUARTERLY_ROLL,2022/2F,45772,,,'')&lt;/Q&gt;&lt;R&gt;1&lt;/R&gt;&lt;C&gt;1&lt;/C&gt;&lt;D xsi:type="xsd:double"&gt;34768&lt;/D&gt;&lt;/FQL&gt;&lt;FQL&gt;&lt;Q&gt;Ticker0024^FE_ESTIMATE(GROSSINCOME,MEAN,QUARTERLY_ROLL,2022/1F,45772,,,'')&lt;/Q&gt;&lt;R&gt;1&lt;/R&gt;&lt;C&gt;1&lt;/C&gt;&lt;D xsi:type="xsd:double"&gt;31671&lt;/D&gt;&lt;/FQL&gt;&lt;FQL&gt;&lt;Q&gt;Ticker0024^FE_ESTIMATE(GROSSINCOME,MEAN,ANNUAL_ROLL,2021,45772,,,'')&lt;/Q&gt;&lt;R&gt;1&lt;/R&gt;&lt;C&gt;1&lt;/C&gt;&lt;D xsi:type="xsd:double"&gt;115856.59&lt;/D&gt;&lt;/FQL&gt;&lt;FQL&gt;&lt;Q&gt;Ticker0024^FE_ESTIMATE(GROSSINCOME,MEAN,QUARTERLY_ROLL,2021/4F,45772,,,'')&lt;/Q&gt;&lt;R&gt;1&lt;/R&gt;&lt;C&gt;1&lt;/C&gt;&lt;D xsi:type="xsd:double"&gt;32161&lt;/D&gt;&lt;/FQL&gt;&lt;FQL&gt;&lt;Q&gt;Ticker0024^FE_ESTIMATE(GROSSINCOME,MEAN,QUARTERLY_ROLL,2021/3F,45772,,,'')&lt;/Q&gt;&lt;R&gt;1&lt;/R&gt;&lt;C&gt;1&lt;/C&gt;&lt;D xsi:type="xsd:double"&gt;28661&lt;/D&gt;&lt;/FQL&gt;&lt;FQL&gt;&lt;Q&gt;Ticker0024^FE_ESTIMATE(GROSSINCOME,MEAN,QUARTERLY_ROLL,2021/2F,45772,,,'')&lt;/Q&gt;&lt;R&gt;1&lt;/R&gt;&lt;C&gt;1&lt;/C&gt;&lt;D xsi:type="xsd:double"&gt;28882&lt;/D&gt;&lt;/FQL&gt;&lt;FQL&gt;&lt;Q&gt;Ticker0024^FE_ESTIMATE(GROSSINCOME,MEAN,QUARTERLY_ROLL,2021/1F,45772,,,'')&lt;/Q&gt;&lt;R&gt;1&lt;/R&gt;&lt;C&gt;1&lt;/C&gt;&lt;D xsi:type="xsd:double"&gt;26152&lt;/D&gt;&lt;/FQL&gt;&lt;FQL&gt;&lt;Q&gt;Ticker0024^FE_ESTIMATE(GROSSINCOME,MEAN,ANNUAL_ROLL,2020,45772,,,'')&lt;/Q&gt;&lt;R&gt;1&lt;/R&gt;&lt;C&gt;1&lt;/C&gt;&lt;D xsi:type="xsd:double"&gt;96940.4&lt;/D&gt;&lt;/FQL&gt;&lt;FQL&gt;&lt;Q&gt;Ticker0024^FE_ESTIMATE(GROSSINCOME,MEAN,QUARTERLY_ROLL,2020/4F,45772,,,'')&lt;/Q&gt;&lt;R&gt;1&lt;/R&gt;&lt;C&gt;1&lt;/C&gt;&lt;D xsi:type="xsd:double"&gt;25698.295&lt;/D&gt;&lt;/FQL&gt;&lt;FQL&gt;&lt;Q&gt;Ticker0024^FE_ESTIMATE(GROSSINCOME,MEAN,QUARTERLY_ROLL,2020/3F,45772,,,'')&lt;/Q&gt;&lt;R&gt;1&lt;/R&gt;&lt;C&gt;1&lt;/C&gt;&lt;D xsi:type="xsd:double"&gt;24046&lt;/D&gt;&lt;/FQL&gt;&lt;FQL&gt;&lt;Q&gt;Ticker0024^FE_ESTIMATE(GROSSINCOME,MEAN,QUARTERLY_ROLL,2020/2F,45772,,,'')&lt;/Q&gt;&lt;R&gt;1&lt;/R&gt;&lt;C&gt;1&lt;/C&gt;&lt;D xsi:type="xsd:double"&gt;24548&lt;/D&gt;&lt;/FQL&gt;&lt;FQL&gt;&lt;Q&gt;Ticker0024^FE_ESTIMATE(GROSSINCOME,MEAN,QUARTERLY_ROLL,2020/1F,45772,,,'')&lt;/Q&gt;&lt;R&gt;1&lt;/R&gt;&lt;C&gt;1&lt;/C&gt;&lt;D xsi:type="xsd:double"&gt;22649&lt;/D&gt;&lt;/FQL&gt;&lt;FQL&gt;&lt;Q&gt;Ticker0024^FE_ESTIMATE(GROSSINCOME,MEAN,ANNUAL_ROLL,2019,45772,,,'')&lt;/Q&gt;&lt;R&gt;1&lt;/R&gt;&lt;C&gt;1&lt;/C&gt;&lt;D xsi:type="xsd:double"&gt;82959.15&lt;/D&gt;&lt;/FQL&gt;&lt;FQL&gt;&lt;Q&gt;Ticker0024^FE_ESTIMATE(GROSSINCOME,MEAN,QUARTERLY_ROLL,2019/4F,45772,,,'')&lt;/Q&gt;&lt;R&gt;1&lt;/R&gt;&lt;C&gt;1&lt;/C&gt;&lt;D xsi:type="xsd:double"&gt;23317.578&lt;/D&gt;&lt;/FQL&gt;&lt;FQL&gt;&lt;Q&gt;Ticker0024^FE_ESTIMATE(GROSSINCOME,MEAN,QUARTERLY_ROLL,2019/3F,45772,,,'')&lt;/Q&gt;&lt;R&gt;1&lt;/R&gt;&lt;C&gt;1&lt;/C&gt;&lt;D xsi:type="xsd:double"&gt;20416&lt;/D&gt;&lt;/FQL&gt;&lt;FQL&gt;&lt;Q&gt;Ticker0024^FE_ESTIMATE(GROSSINCOME,MEAN,QUARTERLY_ROLL,2019/2F,45772,,,'')&lt;/Q&gt;&lt;R&gt;1&lt;/R&gt;&lt;C&gt;1&lt;/C&gt;&lt;D xsi:type="xsd:double"&gt;20048&lt;/D&gt;&lt;/FQL&gt;&lt;FQL&gt;&lt;Q&gt;Ticker0024^FE_ESTIMATE(GROSSINCOME,MEAN,QUARTERLY_ROLL,2019/1F,45772,,,'')&lt;/Q&gt;&lt;R&gt;1&lt;/R&gt;&lt;C&gt;1&lt;/C&gt;&lt;D xsi:type="xsd:double"&gt;19179&lt;/D&gt;&lt;/FQL&gt;&lt;FQL&gt;&lt;Q&gt;Ticker0024^FE_ESTIMATE(GROSSINCOME,MEAN,ANNUAL_ROLL,2018,45772,,,'')&lt;/Q&gt;&lt;R&gt;1&lt;/R&gt;&lt;C&gt;1&lt;/C&gt;&lt;D xsi:type="xsd:double"&gt;71970.336&lt;/D&gt;&lt;/FQL&gt;&lt;FQL&gt;&lt;Q&gt;Ticker0024^FE_ESTIMATE(GROSSINCOME,MEAN,QUARTERLY_ROLL,2018/4F,45772,,,'')&lt;/Q&gt;&lt;R&gt;1&lt;/R&gt;&lt;C&gt;1&lt;/C&gt;&lt;D xsi:type="xsd:double"&gt;20296.684&lt;/D&gt;&lt;/FQL&gt;&lt;FQL&gt;&lt;Q&gt;Ticker0024^FE_ESTIMATE(GROSSINCOME,MEAN,QUARTERLY_ROLL,2018/3F,45772,,,'')&lt;/Q&gt;&lt;R&gt;1&lt;/R&gt;&lt;C&gt;1&lt;/C&gt;&lt;D xsi:type="xsd:double"&gt;17550&lt;/D&gt;&lt;/FQL&gt;&lt;FQL&gt;&lt;Q&gt;Ticker0024^FE_ESTIMATE(GROSSINCOME,MEAN,QUARTERLY_ROLL,2018/2F,45772,,,'')&lt;/Q&gt;&lt;R&gt;1&lt;/R&gt;&lt;C&gt;1&lt;/C&gt;&lt;D xsi:type="xsd:double"&gt;17854&lt;/D&gt;&lt;/FQL&gt;&lt;FQL&gt;&lt;Q&gt;Ticker0024^FE_ESTIMATE(GROSSINCOME,MEAN,QUARTERLY_ROLL,2018/1F,45772,,,'')&lt;/Q&gt;&lt;R&gt;1&lt;/R&gt;&lt;C&gt;1&lt;/C&gt;&lt;D xsi:type="xsd:double"&gt;16264.4&lt;/D&gt;&lt;/FQL&gt;&lt;FQL&gt;&lt;Q&gt;Ticker0024^FE_ESTIMATE(GROSSINCOME,MEAN,ANNUAL_ROLL,2017,45772,,,'')&lt;/Q&gt;&lt;R&gt;1&lt;/R&gt;&lt;C&gt;1&lt;/C&gt;&lt;D xsi:type="xsd:double"&gt;62400.3&lt;/D&gt;&lt;/FQL&gt;&lt;FQL&gt;&lt;Q&gt;Ticker0024^FE_ESTIMATE(GROSSINCOME,MEAN,QUARTERLY_ROLL,2017/4F,45772,,,'')&lt;/Q&gt;&lt;R&gt;1&lt;/R&gt;&lt;C&gt;1&lt;/C&gt;&lt;D xsi:type="xsd:double"&gt;16244&lt;/D&gt;&lt;/FQL&gt;&lt;FQL&gt;&lt;Q&gt;Ticker0024^FE_ESTIMATE(GROSSINCOME,MEAN,QUARTERLY_ROLL,2017/3F,45772,,,'')&lt;/Q&gt;&lt;R&gt;1&lt;/R&gt;&lt;C&gt;1&lt;/C&gt;&lt;D xsi:type="xsd:double"&gt;15497&lt;/D&gt;&lt;/FQL&gt;&lt;FQL&gt;&lt;Q&gt;Ticker0024^FE_ESTIMATE(GROSSINCOME,MEAN,QUARTERLY_ROLL,2017/2F,45772,,,'')&lt;/Q&gt;&lt;R&gt;1&lt;/R&gt;&lt;C&gt;1&lt;/C&gt;&lt;D xsi:type="xsd:double"&gt;15990.608&lt;/D&gt;&lt;/FQL&gt;&lt;FQL&gt;&lt;Q&gt;Ticker0024^FE_ESTIMATE(GROSSINCOME,MEAN,QUARTERLY_ROLL,2017/1F,45772,,,'')&lt;/Q&gt;&lt;R&gt;1&lt;/R&gt;&lt;C&gt;1&lt;/C&gt;&lt;D xsi:type="xsd:double"&gt;14317.286&lt;/D&gt;&lt;/FQL&gt;&lt;FQL&gt;&lt;Q&gt;Ticker0024^FE_ESTIMATE(GROSSINCOME,MEAN,ANNUAL_ROLL,2016,45772,,,'')&lt;/Q&gt;&lt;R&gt;1&lt;/R&gt;&lt;C&gt;1&lt;/C&gt;&lt;D xsi:type="xsd:double"&gt;59288.41&lt;/D&gt;&lt;/FQL&gt;&lt;FQL&gt;&lt;Q&gt;Ticker0024^FE_ESTIMATE(GROSSINCOME,MEAN,QUARTERLY_ROLL,2016/4F,45772,,,'')&lt;/Q&gt;&lt;R&gt;1&lt;/R&gt;&lt;C&gt;1&lt;/C&gt;&lt;D xsi:type="xsd:double"&gt;14663&lt;/D&gt;&lt;/FQL&gt;&lt;FQL&gt;&lt;Q&gt;Ticker0024^FE_ESTIMATE(GROSSINCOME,MEAN,QUARTERLY_ROLL,2016/3F,45772,,,'')&lt;/Q&gt;&lt;R&gt;1&lt;/R&gt;&lt;C&gt;1&lt;/C&gt;&lt;D xsi:type="xsd:double"&gt;14354&lt;/D&gt;&lt;/FQL&gt;&lt;FQL&gt;&lt;Q&gt;Ticker0024^FE_ESTIMATE(GROSSINCOME,MEAN,QUARTERLY_ROLL,2016/2F,45772,,,'')&lt;/Q&gt;&lt;R&gt;1&lt;/R&gt;&lt;C&gt;1&lt;/C&gt;&lt;D xsi:type="xsd:double"&gt;15821&lt;/D&gt;&lt;/FQL&gt;&lt;FQL&gt;&lt;Q&gt;Ticker0024^FE_ESTIMATE(GROSSINCOME,MEAN,QUARTERLY_ROLL,2016/1F,45772,,,'')&lt;/Q&gt;&lt;R&gt;1&lt;/R&gt;&lt;C&gt;1&lt;/C&gt;&lt;D xsi:type="xsd:double"&gt;14452.667&lt;/D&gt;&lt;/FQL&gt;&lt;FQL&gt;&lt;Q&gt;Ticker0024^FE_ESTIMATE(GROSSINCOME,MEAN,ANNUAL_ROLL,2015,45772,,,'')&lt;/Q&gt;&lt;R&gt;1&lt;/R&gt;&lt;C&gt;1&lt;/C&gt;&lt;D xsi:type="xsd:double"&gt;60542.086&lt;/D&gt;&lt;/FQL&gt;&lt;FQL&gt;&lt;Q&gt;Ticker0024^FE_ESTIMATE(GROSSINCOME,MEAN,QUARTERLY_ROLL,2015/4F,45772,,,'')&lt;/Q&gt;&lt;R&gt;1&lt;/R&gt;&lt;C&gt;1&lt;/C&gt;&lt;D xsi:type="xsd:double"&gt;14712&lt;/D&gt;&lt;/FQL&gt;</t>
        </r>
      </text>
    </comment>
    <comment ref="A39" authorId="0" shapeId="0" xr:uid="{B0A2C67B-6091-44F3-A423-FD359EE27E1F}">
      <text>
        <r>
          <rPr>
            <b/>
            <sz val="9"/>
            <color indexed="81"/>
            <rFont val="Tahoma"/>
            <family val="2"/>
          </rPr>
          <t>&lt;FQL&gt;&lt;Q&gt;Ticker0024^FE_ESTIMATE(GROSSINCOME,MEAN,QUARTERLY_ROLL,2015/3F,45772,,,'')&lt;/Q&gt;&lt;R&gt;1&lt;/R&gt;&lt;C&gt;1&lt;/C&gt;&lt;D xsi:type="xsd:double"&gt;14571.714&lt;/D&gt;&lt;/FQL&gt;&lt;FQL&gt;&lt;Q&gt;Ticker0024^FE_ESTIMATE(GROSSINCOME,MEAN,QUARTERLY_ROLL,2015/2F,45772,,,'')&lt;/Q&gt;&lt;R&gt;1&lt;/R&gt;&lt;C&gt;1&lt;/C&gt;&lt;D xsi:type="xsd:double"&gt;16334&lt;/D&gt;&lt;/FQL&gt;&lt;FQL&gt;&lt;Q&gt;Ticker0024^FE_ESTIMATE(GROSSINCOME,MEAN,QUARTERLY_ROLL,2015/1F,45772,,,'')&lt;/Q&gt;&lt;R&gt;1&lt;/R&gt;&lt;C&gt;1&lt;/C&gt;&lt;D xsi:type="xsd:double"&gt;14928&lt;/D&gt;&lt;/FQL&gt;&lt;FQL&gt;&lt;Q&gt;Ticker0024^FE_ESTIMATE(SALES,MEAN,ANNUAL_ROLL,2030,45772,,,'')&lt;/Q&gt;&lt;R&gt;0&lt;/R&gt;&lt;C&gt;0&lt;/C&gt;&lt;/FQL&gt;&lt;FQL&gt;&lt;Q&gt;Ticker0024^FE_ESTIMATE(SALES,MEAN,QUARTERLY_ROLL,2030/4F,45772,,,'')&lt;/Q&gt;&lt;R&gt;0&lt;/R&gt;&lt;C&gt;0&lt;/C&gt;&lt;/FQL&gt;&lt;FQL&gt;&lt;Q&gt;Ticker0024^FE_ESTIMATE(SALES,MEAN,QUARTERLY_ROLL,2030/3F,45772,,,'')&lt;/Q&gt;&lt;R&gt;0&lt;/R&gt;&lt;C&gt;0&lt;/C&gt;&lt;/FQL&gt;&lt;FQL&gt;&lt;Q&gt;Ticker0024^FE_ESTIMATE(SALES,MEAN,QUARTERLY_ROLL,2030/2F,45772,,,'')&lt;/Q&gt;&lt;R&gt;0&lt;/R&gt;&lt;C&gt;0&lt;/C&gt;&lt;/FQL&gt;&lt;FQL&gt;&lt;Q&gt;Ticker0024^FE_ESTIMATE(SALES,MEAN,QUARTERLY_ROLL,2030/1F,45772,,,'')&lt;/Q&gt;&lt;R&gt;0&lt;/R&gt;&lt;C&gt;0&lt;/C&gt;&lt;/FQL&gt;&lt;FQL&gt;&lt;Q&gt;Ticker0024^FE_ESTIMATE(SALES,MEAN,ANNUAL_ROLL,2029,45772,,,'')&lt;/Q&gt;&lt;R&gt;1&lt;/R&gt;&lt;C&gt;1&lt;/C&gt;&lt;D xsi:type="xsd:double"&gt;469312.5&lt;/D&gt;&lt;/FQL&gt;&lt;FQL&gt;&lt;Q&gt;Ticker0024^FE_ESTIMATE(SALES,MEAN,QUARTERLY_ROLL,2029/4F,45772,,,'')&lt;/Q&gt;&lt;R&gt;0&lt;/R&gt;&lt;C&gt;0&lt;/C&gt;&lt;/FQL&gt;&lt;FQL&gt;&lt;Q&gt;Ticker0024^FE_ESTIMATE(SALES,MEAN,QUARTERLY_ROLL,2029/3F,45772,,,'')&lt;/Q&gt;&lt;R&gt;0&lt;/R&gt;&lt;C&gt;0&lt;/C&gt;&lt;/FQL&gt;&lt;FQL&gt;&lt;Q&gt;Ticker0024^FE_ESTIMATE(SALES,MEAN,QUARTERLY_ROLL,2029/2F,45772,,,'')&lt;/Q&gt;&lt;R&gt;0&lt;/R&gt;&lt;C&gt;0&lt;/C&gt;&lt;/FQL&gt;&lt;FQL&gt;&lt;Q&gt;Ticker0024^FE_ESTIMATE(SALES,MEAN,QUARTERLY_ROLL,2029/1F,45772,,,'')&lt;/Q&gt;&lt;R&gt;0&lt;/R&gt;&lt;C&gt;0&lt;/C&gt;&lt;/FQL&gt;&lt;FQL&gt;&lt;Q&gt;Ticker0024^FE_ESTIMATE(SALES,MEAN,ANNUAL_ROLL,2028,45772,,,'')&lt;/Q&gt;&lt;R&gt;1&lt;/R&gt;&lt;C&gt;1&lt;/C&gt;&lt;D xsi:type="xsd:double"&gt;414247.2&lt;/D&gt;&lt;/FQL&gt;&lt;FQL&gt;&lt;Q&gt;Ticker0024^FE_ESTIMATE(SALES,MEAN,QUARTERLY_ROLL,2028/4F,45772,,,'')&lt;/Q&gt;&lt;R&gt;0&lt;/R&gt;&lt;C&gt;0&lt;/C&gt;&lt;/FQL&gt;&lt;FQL&gt;&lt;Q&gt;Ticker0024^FE_ESTIMATE(SALES,MEAN,QUARTERLY_ROLL,2028/3F,45772,,,'')&lt;/Q&gt;&lt;R&gt;0&lt;/R&gt;&lt;C&gt;0&lt;/C&gt;&lt;/FQL&gt;&lt;FQL&gt;&lt;Q&gt;Ticker0024^FE_ESTIMATE(SALES,MEAN,QUARTERLY_ROLL,2028/2F,45772,,,'')&lt;/Q&gt;&lt;R&gt;0&lt;/R&gt;&lt;C&gt;0&lt;/C&gt;&lt;/FQL&gt;&lt;FQL&gt;&lt;Q&gt;Ticker0024^FE_ESTIMATE(SALES,MEAN,QUARTERLY_ROLL,2028/1F,45772,,,'')&lt;/Q&gt;&lt;R&gt;0&lt;/R&gt;&lt;C&gt;0&lt;/C&gt;&lt;/FQL&gt;&lt;FQL&gt;&lt;Q&gt;Ticker0024^FE_ESTIMATE(SALES,MEAN,ANNUAL_ROLL,2027,45772,,,'')&lt;/Q&gt;&lt;R&gt;1&lt;/R&gt;&lt;C&gt;1&lt;/C&gt;&lt;D xsi:type="xsd:double"&gt;360056.1&lt;/D&gt;&lt;/FQL&gt;&lt;FQL&gt;&lt;Q&gt;Ticker0024^FE_ESTIMATE(SALES,MEAN,QUARTERLY_ROLL,2027/4F,45772,,,'')&lt;/Q&gt;&lt;R&gt;1&lt;/R&gt;&lt;C&gt;1&lt;/C&gt;&lt;D xsi:type="xsd:double"&gt;93604.83&lt;/D&gt;&lt;/FQL&gt;&lt;FQL&gt;&lt;Q&gt;Ticker0024^FE_ESTIMATE(SALES,MEAN,QUARTERLY_ROLL,2027/3F,45772,,,'')&lt;/Q&gt;&lt;R&gt;1&lt;/R&gt;&lt;C&gt;1&lt;/C&gt;&lt;D xsi:type="xsd:double"&gt;88109.22&lt;/D&gt;&lt;/FQL&gt;&lt;FQL&gt;&lt;Q&gt;Ticker0024^FE_ESTIMATE(SALES,MEAN,QUARTERLY_ROLL,2027/2F,45772,,,'')&lt;/Q&gt;&lt;R&gt;1&lt;/R&gt;&lt;C&gt;1&lt;/C&gt;&lt;D xsi:type="xsd:double"&gt;88420.945&lt;/D&gt;&lt;/FQL&gt;&lt;FQL&gt;&lt;Q&gt;Ticker0024^FE_ESTIMATE(SALES,MEAN,QUARTERLY_ROLL,2027/1F,45772,,,'')&lt;/Q&gt;&lt;R&gt;1&lt;/R&gt;&lt;C&gt;1&lt;/C&gt;&lt;D xsi:type="xsd:double"&gt;83644.31&lt;/D&gt;&lt;/FQL&gt;&lt;FQL&gt;&lt;Q&gt;Ticker0024^FE_ESTIMATE(SALES,MEAN,ANNUAL_ROLL,2026,45772,,,'')&lt;/Q&gt;&lt;R&gt;1&lt;/R&gt;&lt;C&gt;1&lt;/C&gt;&lt;D xsi:type="xsd:double"&gt;313293.94&lt;/D&gt;&lt;/FQL&gt;&lt;FQL&gt;&lt;Q&gt;Ticker0024^FE_ESTIMATE(SALES,MEAN,QUARTERLY_ROLL,2026/4F,45772,,,'')&lt;/Q&gt;&lt;R&gt;1&lt;/R&gt;&lt;C&gt;1&lt;/C&gt;&lt;D xsi:type="xsd:double"&gt;81640.195&lt;/D&gt;&lt;/FQL&gt;&lt;FQL&gt;&lt;Q&gt;Ticker0024^FE_ESTIMATE(SALES,MEAN,QUARTERLY_ROLL,2026/3F,45772,,,'')&lt;/Q&gt;&lt;R&gt;1&lt;/R&gt;&lt;C&gt;1&lt;/C&gt;&lt;D xsi:type="xsd:double"&gt;77287.12&lt;/D&gt;&lt;/FQL&gt;&lt;FQL&gt;&lt;Q&gt;Ticker0024^FE_ESTIMATE(SALES,MEAN,QUARTERLY_ROLL,2026/2F,45772,,,'')&lt;/Q&gt;&lt;R&gt;1&lt;/R&gt;&lt;C&gt;1&lt;/C&gt;&lt;D xsi:type="xsd:double"&gt;77888.13&lt;/D&gt;&lt;/FQL&gt;&lt;FQL&gt;&lt;Q&gt;Ticker0024^FE_ESTIMATE(SALES,MEAN,QUARTERLY_ROLL,2026/1F,45772,,,'')&lt;/Q&gt;&lt;R&gt;1&lt;/R&gt;&lt;C&gt;1&lt;/C&gt;&lt;D xsi:type="xsd:double"&gt;73388.47&lt;/D&gt;&lt;/FQL&gt;&lt;FQL&gt;&lt;Q&gt;Ticker0024^FE_ESTIMATE(SALES,MEAN,ANNUAL_ROLL,2025,45772,,,'')&lt;/Q&gt;&lt;R&gt;1&lt;/R&gt;&lt;C&gt;1&lt;/C&gt;&lt;D xsi:type="xsd:double"&gt;276550.34&lt;/D&gt;&lt;/FQL&gt;&lt;FQL&gt;&lt;Q&gt;Ticker0024^FE_ESTIMATE(SALES,MEAN,QUARTERLY_ROLL,2025/4F,45772,,,'')&lt;/Q&gt;&lt;R&gt;1&lt;/R&gt;&lt;C&gt;1&lt;/C&gt;&lt;D xsi:type="xsd:double"&gt;72236.22&lt;/D&gt;&lt;/FQL&gt;&lt;FQL&gt;&lt;Q&gt;Ticker0024^FE_ESTIMATE(SALES,MEAN,QUARTERLY_ROLL,2025/3F,45772,,,'')&lt;/Q&gt;&lt;R&gt;1&lt;/R&gt;&lt;C&gt;1&lt;/C&gt;&lt;D xsi:type="xsd:double"&gt;68429.64&lt;/D&gt;&lt;/FQL&gt;&lt;FQL&gt;&lt;Q&gt;Ticker0024^FE_ESTIMATE(SALES,MEAN,QUARTERLY_ROLL,2025/2F,45772,,,'')&lt;/Q&gt;&lt;R&gt;1&lt;/R&gt;&lt;C&gt;1&lt;/C&gt;&lt;D xsi:type="xsd:double"&gt;69632&lt;/D&gt;&lt;/FQL&gt;&lt;FQL&gt;&lt;Q&gt;Ticker0024^FE_ESTIMATE(SALES,MEAN,QUARTERLY_ROLL,2025/1F,45772,,,'')&lt;/Q&gt;&lt;R&gt;1&lt;/R&gt;&lt;C&gt;1&lt;/C&gt;&lt;D xsi:type="xsd:double"&gt;65585&lt;/D&gt;&lt;/FQL&gt;&lt;FQL&gt;&lt;Q&gt;Ticker0024^FE_ESTIMATE(SALES,MEAN,ANNUAL_ROLL,2024,45772,,,'')&lt;/Q&gt;&lt;R&gt;1&lt;/R&gt;&lt;C&gt;1&lt;/C&gt;&lt;D xsi:type="xsd:double"&gt;245122&lt;/D&gt;&lt;/FQL&gt;&lt;FQL&gt;&lt;Q&gt;Ticker0024^FE_ESTIMATE(SALES,MEAN,QUARTERLY_ROLL,2024/4F,45772,,,'')&lt;/Q&gt;&lt;R&gt;1&lt;/R&gt;&lt;C&gt;1&lt;/C&gt;&lt;D xsi:type="xsd:double"&gt;64727&lt;/D&gt;&lt;/FQL&gt;&lt;FQL&gt;&lt;Q&gt;Ticker0024^FE_ESTIMATE(SALES,MEAN,QUARTERLY_ROLL,2024/3F,45772,,,'')&lt;/Q&gt;&lt;R&gt;1&lt;/R&gt;&lt;C&gt;1&lt;/C&gt;&lt;D xsi:type="xsd:double"&gt;61858&lt;/D&gt;&lt;/FQL&gt;&lt;FQL&gt;&lt;Q&gt;Ticker0024^FE_ESTIMATE(SALES,MEAN,QUARTERLY_ROLL,2024/2F,45772,,,'')&lt;/Q&gt;&lt;R&gt;1&lt;/R&gt;&lt;C&gt;1&lt;/C&gt;&lt;D xsi:type="xsd:double"&gt;62020&lt;/D&gt;&lt;/FQL&gt;&lt;FQL&gt;&lt;Q&gt;Ticker0024^FE_ESTIMATE(SALES,MEAN,QUARTERLY_ROLL,2024/1F,45772,,,'')&lt;/Q&gt;&lt;R&gt;1&lt;/R&gt;&lt;C&gt;1&lt;/C&gt;&lt;D xsi:type="xsd:double"&gt;56517&lt;/D&gt;&lt;/FQL&gt;&lt;FQL&gt;&lt;Q&gt;Ticker0024^FE_ESTIMATE(SALES,MEAN,ANNUAL_ROLL,2023,45772,,,'')&lt;/Q&gt;&lt;R&gt;1&lt;/R&gt;&lt;C&gt;1&lt;/C&gt;&lt;D xsi:type="xsd:double"&gt;211915&lt;/D&gt;&lt;/FQL&gt;&lt;FQL&gt;&lt;Q&gt;Ticker0024^FE_ESTIMATE(SALES,MEAN,QUARTERLY_ROLL,2023/4F,45772,,,'')&lt;/Q&gt;&lt;R&gt;1&lt;/R&gt;&lt;C&gt;1&lt;/C&gt;&lt;D xsi:type="xsd:double"&gt;56189&lt;/D&gt;&lt;/FQL&gt;&lt;FQL&gt;&lt;Q&gt;Ticker0024^FE_ESTIMATE(SALES,MEAN,QUARTERLY_ROLL,2023/3F,45772,,,'')&lt;/Q&gt;&lt;R&gt;1&lt;/R&gt;&lt;C&gt;1&lt;/C&gt;&lt;D xsi:type="xsd:double"&gt;52857&lt;/D&gt;&lt;/FQL&gt;&lt;FQL&gt;&lt;Q&gt;Ticker0024^FE_ESTIMATE(SALES,MEAN,QUARTERLY_ROLL,2023/2F,45772,,,'')&lt;/Q&gt;&lt;R&gt;1&lt;/R&gt;&lt;C&gt;1&lt;/C&gt;&lt;D xsi:type="xsd:double"&gt;52747&lt;/D&gt;&lt;/FQL&gt;&lt;FQL&gt;&lt;Q&gt;Ticker0024^FE_ESTIMATE(SALES,MEAN,QUARTERLY_ROLL,2023/1F,45772,,,'')&lt;/Q&gt;&lt;R&gt;1&lt;/R&gt;&lt;C&gt;1&lt;/C&gt;&lt;D xsi:type="xsd:double"&gt;50122&lt;/D&gt;&lt;/FQL&gt;&lt;FQL&gt;&lt;Q&gt;Ticker0024^FE_ESTIMATE(SALES,MEAN,ANNUAL_ROLL,2022,45772,,,'')&lt;/Q&gt;&lt;R&gt;1&lt;/R&gt;&lt;C&gt;1&lt;/C&gt;&lt;D xsi:type="xsd:double"&gt;198270&lt;/D&gt;&lt;/FQL&gt;&lt;FQL&gt;&lt;Q&gt;Ticker0024^FE_ESTIMATE(SALES,MEAN,QUARTERLY_ROLL,2022/4F,45772,,,'')&lt;/Q&gt;&lt;R&gt;1&lt;/R&gt;&lt;C&gt;1&lt;/C&gt;&lt;D xsi:type="xsd:double"&gt;51865&lt;/D&gt;&lt;/FQL&gt;&lt;FQL&gt;&lt;Q&gt;Ticker0024^FE_ESTIMATE(SALES,MEAN,QUARTERLY_ROLL,2022/3F,45772,,,'')&lt;/Q&gt;&lt;R&gt;1&lt;/R&gt;&lt;C&gt;1&lt;/C&gt;&lt;D xsi:type="xsd:double"&gt;49360&lt;/D&gt;&lt;/FQL&gt;&lt;FQL&gt;&lt;Q&gt;Ticker0024^FE_ESTIMATE(SALES,MEAN,QUARTERLY_ROLL,2022/2F,45772,,,'')&lt;/Q&gt;&lt;R&gt;1&lt;/R&gt;&lt;C&gt;1&lt;/C&gt;&lt;D xsi:type="xsd:double"&gt;51728&lt;/D&gt;&lt;/FQL&gt;&lt;FQL&gt;&lt;Q&gt;Ticker0024^FE_ESTIMATE(SALES,MEAN,QUARTERLY_ROLL,2022/1F,45772,,,'')&lt;/Q&gt;&lt;R&gt;1&lt;/R&gt;&lt;C&gt;1&lt;/C&gt;&lt;D xsi:type="xsd:double"&gt;45317&lt;/D&gt;&lt;/FQL&gt;&lt;FQL&gt;&lt;Q&gt;Ticker0024^FE_ESTIMATE(SALES,MEAN,ANNUAL_ROLL,2021,45772,,,'')&lt;/Q&gt;&lt;R&gt;1&lt;/R&gt;&lt;C&gt;1&lt;/C&gt;&lt;D xsi:type="xsd:double"&gt;168088&lt;/D&gt;&lt;/FQL&gt;&lt;FQL&gt;&lt;Q&gt;Ticker0024^FE_ESTIMATE(SALES,MEAN,QUARTERLY_ROLL,2021/4F,45772,,,'')&lt;/Q&gt;&lt;R&gt;1&lt;/R&gt;&lt;C&gt;1&lt;/C&gt;&lt;D xsi:type="xsd:double"&gt;46152&lt;/D&gt;&lt;/FQL&gt;&lt;FQL&gt;&lt;Q&gt;Ticker0024^FE_ESTIMATE(SALES,MEAN,QUARTERLY_ROLL,2021/3F,45772,,,'')&lt;/Q&gt;&lt;R&gt;1&lt;/R&gt;&lt;C&gt;1&lt;/C&gt;&lt;D xsi:type="xsd:double"&gt;41706&lt;/D&gt;&lt;/FQL&gt;&lt;FQL&gt;&lt;Q&gt;Ticker0024^FE_ESTIMATE(SALES,MEAN,QUARTERLY_ROLL,2021/2F,45772,,,'')&lt;/Q&gt;&lt;R&gt;1&lt;/R&gt;&lt;C&gt;1&lt;/C&gt;&lt;D xsi:type="xsd:double"&gt;43076&lt;/D&gt;&lt;/FQL&gt;&lt;FQL&gt;&lt;Q&gt;Ticker0024^FE_ESTIMATE(SALES,MEAN,QUARTERLY_ROLL,2021/1F,45772,,,'')&lt;/Q&gt;&lt;R&gt;1&lt;/R&gt;&lt;C&gt;1&lt;/C&gt;&lt;D xsi:type="xsd:double"&gt;37154&lt;/D&gt;&lt;/FQL&gt;&lt;FQL&gt;&lt;Q&gt;Ticker0024^FE_ESTIMATE(SALES,MEAN,ANNUAL_ROLL,2020,45772,,,'')&lt;/Q&gt;&lt;R&gt;1&lt;/R&gt;&lt;C&gt;1&lt;/C&gt;&lt;D xsi:type="xsd:double"&gt;143015&lt;/D&gt;&lt;/FQL&gt;&lt;FQL&gt;&lt;Q&gt;Ticker0024^FE_ESTIMATE(SALES,MEAN,QUARTERLY_ROLL,2020/4F,45772,,,'')&lt;/Q&gt;&lt;R&gt;1&lt;/R&gt;&lt;C&gt;1&lt;/C&gt;&lt;D xsi:type="xsd:double"&gt;38033&lt;/D&gt;&lt;/FQL&gt;&lt;FQL&gt;&lt;Q&gt;Ticker0024^FE_ESTIMATE(SALES,MEAN,QUARTERLY_ROLL,2020/3F,45772,,,'')&lt;/Q&gt;&lt;R&gt;1&lt;/R&gt;&lt;C&gt;1&lt;/C&gt;&lt;D xsi:type="xsd:double"&gt;35021&lt;/D&gt;&lt;/FQL&gt;&lt;FQL&gt;&lt;Q&gt;Ticker0024^FE_ESTIMATE(SALES,MEAN,QUARTERLY_ROLL,2020/2F,45772,,,'')&lt;/Q&gt;&lt;R&gt;1&lt;/R&gt;&lt;C&gt;1&lt;/C&gt;&lt;D xsi:type="xsd:double"&gt;36906&lt;/D&gt;&lt;/FQL&gt;&lt;FQL&gt;&lt;Q&gt;Ticker0024^FE_ESTIMATE(SALES,MEAN,QUARTERLY_ROLL,2020/1F,45772,,,'')&lt;/Q&gt;&lt;R&gt;1&lt;/R&gt;&lt;C&gt;1&lt;/C&gt;&lt;D xsi:type="xsd:double"&gt;33055&lt;/D&gt;&lt;/FQL&gt;&lt;FQL&gt;&lt;Q&gt;Ticker0024^FE_ESTIMATE(SALES,MEAN,ANNUAL_ROLL,2019,45772,,,'')&lt;/Q&gt;&lt;R&gt;1&lt;/R&gt;&lt;C&gt;1&lt;/C&gt;&lt;D xsi:type="xsd:double"&gt;125843&lt;/D&gt;&lt;/FQL&gt;&lt;FQL&gt;&lt;Q&gt;Ticker0024^FE_ESTIMATE(SALES,MEAN,QUARTERLY_ROLL,2019/4F,45772,,,'')&lt;/Q&gt;&lt;R&gt;1&lt;/R&gt;&lt;C&gt;1&lt;/C&gt;&lt;D xsi:type="xsd:double"&gt;33717&lt;/D&gt;&lt;/FQL&gt;&lt;FQL&gt;&lt;Q&gt;Ticker0024^FE_ESTIMATE(SALES,MEAN,QUARTERLY_ROLL,2019/3F,45772,,,'')&lt;/Q&gt;&lt;R&gt;1&lt;/R&gt;&lt;C&gt;1&lt;/C&gt;&lt;D xsi:type="xsd:double"&gt;30571&lt;/D&gt;&lt;/FQL&gt;&lt;FQL&gt;&lt;Q&gt;Ticker0024^FE_ESTIMATE(SALES,MEAN,QUARTERLY_ROLL,2019/2F,45772,,,'')&lt;/Q&gt;&lt;R&gt;1&lt;/R&gt;&lt;C&gt;1&lt;/C&gt;&lt;D xsi:type="xsd:double"&gt;32471&lt;/D&gt;&lt;/FQL&gt;&lt;FQL&gt;&lt;Q&gt;Ticker0024^FE_ESTIMATE(SALES,MEAN,QUARTERLY_ROLL,2019/1F,45772,,,'')&lt;/Q&gt;&lt;R&gt;1&lt;/R&gt;&lt;C&gt;1&lt;/C&gt;&lt;D xsi:type="xsd:double"&gt;29084&lt;/D&gt;&lt;/FQL&gt;&lt;FQL&gt;&lt;Q&gt;Ticker0024^FE_ESTIMATE(SALES,MEAN,ANNUAL_ROLL,2018,45772,,,'')&lt;/Q&gt;&lt;R&gt;1&lt;/R&gt;&lt;C&gt;1&lt;/C&gt;&lt;D xsi:type="xsd:double"&gt;110360&lt;/D&gt;&lt;/FQL&gt;&lt;FQL&gt;&lt;Q&gt;Ticker0024^FE_ESTIMATE(SALES,MEAN,QUARTERLY_ROLL,2018/4F,45772,,,'')&lt;/Q&gt;&lt;R&gt;1&lt;/R&gt;&lt;C&gt;1&lt;/C&gt;&lt;D xsi:type="xsd:double"&gt;30085&lt;/D&gt;&lt;/FQL&gt;&lt;FQL&gt;&lt;Q&gt;Ticker0024^FE_ESTIMATE(SALES,MEAN,QUARTERLY_ROLL,2018/3F,45772,,,'')&lt;/Q&gt;&lt;R&gt;1&lt;/R&gt;&lt;C&gt;1&lt;/C&gt;&lt;D xsi:type="xsd:double"&gt;26819&lt;/D&gt;&lt;/FQL&gt;&lt;FQL&gt;&lt;Q&gt;Ticker0024^FE_ESTIMATE(SALES,MEAN,QUARTERLY_ROLL,2018/2F,45772,,,'')&lt;/Q&gt;&lt;R&gt;1&lt;/R&gt;&lt;C&gt;1&lt;/C&gt;&lt;D xsi:type="xsd:double"&gt;28918&lt;/D&gt;&lt;/FQL&gt;&lt;FQL&gt;&lt;Q&gt;Ticker0024^FE_ESTIMATE(SALES,MEAN,QUARTERLY_ROLL,2018/1F,45772,,,'')&lt;/Q&gt;&lt;R&gt;1&lt;/R&gt;&lt;C&gt;1&lt;/C&gt;&lt;D xsi:type="xsd:double"&gt;24538&lt;/D&gt;&lt;/FQL&gt;&lt;FQL&gt;&lt;Q&gt;Ticker0024^FE_ESTIMATE(SALES,MEAN,ANNUAL_ROLL,2017,45772,,,'')&lt;/Q&gt;&lt;R&gt;1&lt;/R&gt;&lt;C&gt;1&lt;/C&gt;&lt;D xsi:type="xsd:double"&gt;96700&lt;/D&gt;&lt;/FQL&gt;&lt;FQL&gt;&lt;Q&gt;Ticker0024^FE_ESTIMATE(SALES,MEAN,QUARTERLY_ROLL,2017/4F,45772,,,'')&lt;/Q&gt;&lt;R&gt;1&lt;/R&gt;&lt;C&gt;1&lt;/C&gt;&lt;D xsi:type="xsd:double"&gt;24700&lt;/D&gt;&lt;/FQL&gt;&lt;FQL&gt;&lt;Q&gt;Ticker0024^FE_ESTIMATE(SALES,MEAN,QUARTERLY_ROLL,2017/3F,45772,,,'')&lt;/Q&gt;&lt;R&gt;1&lt;/R&gt;&lt;C&gt;1&lt;/C&gt;&lt;D xsi:type="xsd:double"&gt;23557&lt;/D&gt;&lt;/FQL&gt;&lt;FQL&gt;&lt;Q&gt;Ticker0024^FE_ESTIMATE(SALES,MEAN,QUARTERLY_ROLL,2017/2F,45772,,,'')&lt;/Q&gt;&lt;R&gt;1&lt;/R&gt;&lt;C&gt;1&lt;/C&gt;&lt;D xsi:type="xsd:double"&gt;26066&lt;/D&gt;&lt;/FQL&gt;&lt;FQL&gt;&lt;Q&gt;Ticker0024^FE_ESTIMATE(SALES,MEAN,QUARTERLY_ROLL,2017/1F,45772,,,'')&lt;/Q&gt;&lt;R&gt;1&lt;/R&gt;&lt;C&gt;1&lt;/C&gt;&lt;D xsi:type="xsd:double"&gt;22334&lt;/D&gt;&lt;/FQL&gt;&lt;FQL&gt;&lt;Q&gt;Ticker0024^FE_ESTIMATE(SALES,MEAN,ANNUAL_ROLL,2016,45772,,,'')&lt;/Q&gt;&lt;R&gt;1&lt;/R&gt;&lt;C&gt;1&lt;/C&gt;&lt;D xsi:type="xsd:double"&gt;92051.92&lt;/D&gt;&lt;/FQL&gt;&lt;FQL&gt;&lt;Q&gt;Ticker0024^FE_ESTIMATE(SALES,MEAN,QUARTERLY_ROLL,2016/4F,45772,,,'')&lt;/Q&gt;&lt;R&gt;1&lt;/R&gt;&lt;C&gt;1&lt;/C&gt;&lt;D xsi:type="xsd:double"&gt;22640.229&lt;/D&gt;&lt;/FQL&gt;&lt;FQL&gt;&lt;Q&gt;Ticker0024^FE_ESTIMATE(SALES,MEAN,QUARTERLY_ROLL,2016/3F,45772,,,'')&lt;/Q&gt;&lt;R&gt;1&lt;/R&gt;&lt;C&gt;1&lt;/C&gt;&lt;D xsi:type="xsd:double"&gt;22076&lt;/D&gt;&lt;/FQL&gt;&lt;FQL&gt;&lt;Q&gt;Ticker0024^FE_ESTIMATE(SALES,MEAN,QUARTERLY_ROLL,2016/2F,45772,,,'')&lt;/Q&gt;&lt;R&gt;1&lt;/R&gt;&lt;C&gt;1&lt;/C&gt;&lt;D xsi:type="xsd:double"&gt;25693&lt;/D&gt;&lt;/FQL&gt;&lt;FQL&gt;&lt;Q&gt;Ticker0024^FE_ESTIMATE(SALES,MEAN,QUARTERLY_ROLL,2016/1F,45772,,,'')&lt;/Q&gt;&lt;R&gt;1&lt;/R&gt;&lt;C&gt;1&lt;/C&gt;&lt;D xsi:type="xsd:double"&gt;21660&lt;/D&gt;&lt;/FQL&gt;&lt;FQL&gt;&lt;Q&gt;Ticker0024^FE_ESTIMATE(SALES,MEAN,ANNUAL_ROLL,2015,45772,,,'')&lt;/Q&gt;&lt;R&gt;1&lt;/R&gt;&lt;C&gt;1&lt;/C&gt;&lt;D xsi:type="xsd:double"&gt;93580&lt;/D&gt;&lt;/FQL&gt;&lt;FQL&gt;&lt;Q&gt;Ticker0024^FE_ESTIMATE(SALES,MEAN,QUARTERLY_ROLL,2015/4F,45772,,,'')&lt;/Q&gt;&lt;R&gt;1&lt;/R&gt;&lt;C&gt;1&lt;/C&gt;&lt;D xsi:type="xsd:double"&gt;22180&lt;/D&gt;&lt;/FQL&gt;&lt;FQL&gt;&lt;Q&gt;Ticker0024^FE_ESTIMATE(SALES,MEAN,QUARTERLY_ROLL,2015/3F,45772,,,'')&lt;/Q&gt;&lt;R&gt;1&lt;/R&gt;&lt;C&gt;1&lt;/C&gt;&lt;D xsi:type="xsd:double"&gt;21729&lt;/D&gt;&lt;/FQL&gt;&lt;FQL&gt;&lt;Q&gt;Ticker0024^FE_ESTIMATE(SALES,MEAN,QUARTERLY_ROLL,2015/2F,45772,,,'')&lt;/Q&gt;&lt;R&gt;1&lt;/R&gt;&lt;C&gt;1&lt;/C&gt;&lt;D xsi:type="xsd:double"&gt;26470&lt;/D&gt;&lt;/FQL&gt;&lt;FQL&gt;&lt;Q&gt;Ticker0024^FE_ESTIMATE(SALES,MEAN,QUARTERLY_ROLL,2015/1F,45772,,,'')&lt;/Q&gt;&lt;R&gt;1&lt;/R&gt;&lt;C&gt;1&lt;/C&gt;&lt;D xsi:type="xsd:double"&gt;23201&lt;/D&gt;&lt;/FQL&gt;&lt;FQL&gt;&lt;Q&gt;Ticker0024^FE_ESTIMATE(PRODLINE_SALES_17,MEAN,ANNUAL_ROLL,2030,45772,,,'')&lt;/Q&gt;&lt;R&gt;0&lt;/R&gt;&lt;C&gt;0&lt;/C&gt;&lt;/FQL&gt;&lt;FQL&gt;&lt;Q&gt;Ticker0024^FE_ESTIMATE(PRODLINE_SALES_17,MEAN,QUARTERLY_ROLL,2030/4F,45772,,,'')&lt;/Q&gt;&lt;R&gt;0&lt;/R&gt;&lt;C&gt;0&lt;/C&gt;&lt;/FQL&gt;&lt;FQL&gt;&lt;Q&gt;Ticker0024^FE_ESTIMATE(PRODLINE_SALES_17,MEAN,QUARTERLY_ROLL,2030/3F,45772,,,'')&lt;/Q&gt;&lt;R&gt;0&lt;/R&gt;&lt;C&gt;0&lt;/C&gt;&lt;/FQL&gt;&lt;FQL&gt;&lt;Q&gt;Ticker0024^FE_ESTIMATE(PRODLINE_SALES_17,MEAN,QUARTERLY_ROLL,2030/2F,45772,,,'')&lt;/Q&gt;&lt;R&gt;0&lt;/R&gt;&lt;C&gt;0&lt;/C&gt;&lt;/FQL&gt;&lt;FQL&gt;&lt;Q&gt;Ticker0024^FE_ESTIMATE(PRODLINE_SALES_17,MEAN,QUARTERLY_ROLL,2030/1F,45772,,,'')&lt;/Q&gt;&lt;R&gt;0&lt;/R&gt;&lt;C&gt;0&lt;/C&gt;&lt;/FQL&gt;&lt;FQL&gt;&lt;Q&gt;Ticker0024^FE_ESTIMATE(PRODLINE_SALES_17,MEAN,ANNUAL_ROLL,2029,45772,,,'')&lt;/Q&gt;&lt;R&gt;0&lt;/R&gt;&lt;C&gt;0&lt;/C&gt;&lt;/FQL&gt;&lt;FQL&gt;&lt;Q&gt;Ticker0024^FE_ESTIMATE(PRODLINE_SALES_17,MEAN,QUARTERLY_ROLL,2029/4F,45772,,,'')&lt;/Q&gt;&lt;R&gt;0&lt;/R&gt;&lt;C&gt;0&lt;/C&gt;&lt;/FQL&gt;&lt;FQL&gt;&lt;Q&gt;Ticker0024^FE_ESTIMATE(PRODLINE_SALES_17,MEAN,QUARTERLY_ROLL,2029/3F,45772,,,'')&lt;/Q&gt;&lt;R&gt;0&lt;/R&gt;&lt;C&gt;0&lt;/C&gt;&lt;/FQL&gt;&lt;FQL&gt;&lt;Q&gt;Ticker0024^FE_ESTIMATE(PRODLINE_SALES_17,MEAN,QUARTERLY_ROLL,2029/2F,45772,,,'')&lt;/Q&gt;&lt;R&gt;0&lt;/R&gt;&lt;C&gt;0&lt;/C&gt;&lt;/FQL&gt;&lt;FQL&gt;&lt;Q&gt;Ticker0024^FE_ESTIMATE(PRODLINE_SALES_17,MEAN,QUARTERLY_ROLL,2029/1F,45772,,,'')&lt;/Q&gt;&lt;R&gt;0&lt;/R&gt;&lt;C&gt;0&lt;/C&gt;&lt;/FQL&gt;&lt;FQL&gt;&lt;Q&gt;Ticker0024^FE_ESTIMATE(PRODLINE_SALES_17,MEAN,ANNUAL_ROLL,2028,45772,,,'')&lt;/Q&gt;&lt;R&gt;1&lt;/R&gt;&lt;C&gt;1&lt;/C&gt;&lt;D xsi:type="xsd:double"&gt;62543&lt;/D&gt;&lt;/FQL&gt;&lt;FQL&gt;&lt;Q&gt;Ticker0024^FE_ESTIMATE(PRODLINE_SALES_17,MEAN,QUARTERLY_ROLL,2028/4F,45772,,,'')&lt;/Q&gt;&lt;R&gt;0&lt;/R&gt;&lt;C&gt;0&lt;/C&gt;&lt;/FQL&gt;&lt;FQL&gt;&lt;Q&gt;Ticker0024^FE_ESTIMATE(PRODLINE_SALES_17,MEAN,QUARTERLY_ROLL,2028/3F,45772,,,'')&lt;/Q&gt;&lt;R&gt;0&lt;/R&gt;&lt;C&gt;0&lt;/C&gt;&lt;/FQL&gt;&lt;FQL&gt;&lt;Q&gt;Ticker0024^FE_ESTIMATE(PRODLINE_SALES_17,MEAN,QUARTERLY_ROLL,2028/2F,45772,,,'')&lt;/Q&gt;&lt;R&gt;0&lt;/R&gt;&lt;C&gt;0&lt;/C&gt;&lt;/FQL&gt;&lt;FQL&gt;&lt;Q&gt;Ticker0024^FE_ESTIMATE(PRODLINE_SALES_17,MEAN,QUARTERLY_ROLL,2028/1F,45772,,,'')&lt;/Q&gt;&lt;R&gt;0&lt;/R&gt;&lt;C&gt;0&lt;/C&gt;&lt;/FQL&gt;&lt;FQL&gt;&lt;Q&gt;Ticker0024^FE_ESTIMATE(PRODLINE_SALES_17,MEAN,ANNUAL_ROLL,2027,45772,,,'')&lt;/Q&gt;&lt;R&gt;1&lt;/R&gt;&lt;C&gt;1&lt;/C&gt;&lt;D xsi:type="xsd:double"&gt;58235.793&lt;/D&gt;&lt;/FQL&gt;&lt;FQL&gt;&lt;Q&gt;Ticker0024^FE_ESTIMATE(PRODLINE_SALES_17,MEAN,QUARTERLY_ROLL,2027/4F,45772,,,'')&lt;/Q&gt;&lt;R&gt;1&lt;/R&gt;&lt;C&gt;1&lt;/C&gt;&lt;D xsi:type="xsd:double"&gt;15736&lt;/D&gt;&lt;/FQL&gt;&lt;FQL&gt;&lt;Q&gt;Ticker0024^FE_ESTIMATE(PRODLINE_SALES_17,MEAN,QUARTERLY_ROLL,2027/3F,45772,,,'')&lt;/Q&gt;&lt;R&gt;1&lt;/R&gt;&lt;C&gt;1&lt;/C&gt;&lt;D xsi:type="xsd:double"&gt;15282&lt;/D&gt;&lt;/FQL&gt;&lt;FQL&gt;&lt;Q&gt;Ticker0024^FE_ESTIMATE(PRODLINE_SALES_17,MEAN,QUARTERLY_ROLL,2027/2F,45772,,,'')&lt;/Q&gt;&lt;R&gt;1&lt;/R&gt;&lt;C&gt;1&lt;/C&gt;&lt;D xsi:type="xsd:double"&gt;16686.5&lt;/D&gt;&lt;/FQL&gt;&lt;FQL&gt;&lt;Q&gt;Ticker0024^FE_ESTIMATE(PRODLINE_SALES_17,MEAN,QUARTERLY_ROLL,2027/1F,45772,,,'')&lt;/Q&gt;&lt;R&gt;1&lt;/R&gt;&lt;C&gt;1&lt;/C&gt;&lt;D xsi:type="xsd:double"&gt;14561.5&lt;/D&gt;&lt;/FQL&gt;&lt;FQL&gt;&lt;Q&gt;Ticker0024^FE_ESTIMATE(PRODLINE_SALES_17,MEAN,ANNUAL_ROLL,2026,45772,,,'')&lt;/Q&gt;&lt;R&gt;1&lt;/R&gt;&lt;C&gt;1&lt;/C&gt;&lt;D xsi:type="xsd:double"&gt;55039.26&lt;/D&gt;&lt;/FQL&gt;&lt;FQL&gt;&lt;Q&gt;Ticker0024^FE_ESTIMATE(PRODLINE_SALES_17,MEAN,QUARTERLY_ROLL,2026/4F,45772,,,'')&lt;/Q&gt;&lt;R&gt;1&lt;/R&gt;&lt;C&gt;1&lt;/C&gt;&lt;D xsi:type="xsd:double"&gt;13138.2&lt;/D&gt;&lt;/FQL&gt;&lt;FQL&gt;&lt;Q&gt;Ticker0024^FE_ESTIMATE(PRODLINE_SALES_17,MEAN,QUARTERLY_ROLL,2026/3F,45772,,,'')&lt;/Q&gt;&lt;R&gt;1&lt;/R&gt;&lt;C&gt;1&lt;/C&gt;&lt;D xsi:type="xsd:double"&gt;13400.442&lt;/D&gt;&lt;/FQL&gt;&lt;FQL&gt;&lt;Q&gt;Ticker0024^FE_ESTIMATE(PRODLINE_SALES_17,MEAN,QUARTERLY_ROLL,2026/2F,45772,,,'')&lt;/Q&gt;&lt;R&gt;1&lt;/R&gt;&lt;C&gt;1&lt;/C&gt;&lt;D xsi:type="xsd:double"&gt;15084.833&lt;/D&gt;&lt;/FQL&gt;&lt;FQL&gt;&lt;Q&gt;Ticker0024^FE_ESTIMATE(PRODLINE_SALES_17,MEAN,QUARTERLY_ROLL,2026/1F,45772,,,'')&lt;/Q&gt;&lt;R&gt;1&lt;/R&gt;&lt;C&gt;1&lt;/C&gt;&lt;D xsi:type="xsd:double"&gt;13394&lt;/D&gt;&lt;/FQL&gt;&lt;FQL&gt;&lt;Q&gt;Ticker0024^FE_ESTIMATE(PRODLINE_SALES_17,MEAN,ANNUAL_ROLL,2025,45772,,,'')&lt;/Q&gt;&lt;R&gt;1&lt;/R&gt;&lt;C&gt;1&lt;/C&gt;&lt;D xsi:type="xsd:double"&gt;52936&lt;/D&gt;&lt;/FQL&gt;&lt;FQL&gt;&lt;Q&gt;Ticker0024^FE_ESTIMATE(PRODLINE_SALES_17,MEAN,QUARTERLY_ROLL,2025/4F,45772,,,'')&lt;/Q&gt;&lt;R&gt;1&lt;/R&gt;&lt;C&gt;1&lt;/C&gt;&lt;D xsi:type="xsd:double"&gt;12529.305&lt;/D&gt;&lt;/FQL&gt;&lt;FQL&gt;&lt;Q&gt;Ticker0024^FE_ESTIMATE(PRODLINE_SALES_17,MEAN,QUARTERLY_ROLL,2025/3F,45772,,,'')&lt;/Q&gt;&lt;R&gt;1&lt;/R&gt;&lt;C&gt;1&lt;/C&gt;&lt;D xsi:type="xsd:double"&gt;12654.44&lt;/D&gt;&lt;/FQL&gt;&lt;FQL&gt;&lt;Q&gt;Ticker0024^FE_ESTIMATE(PRODLINE_SALES_17,MEAN,QUARTERLY_ROLL,2025/2F,45772,,,'')&lt;/Q&gt;&lt;R&gt;1&lt;/R&gt;&lt;C&gt;1&lt;/C&gt;&lt;D xsi:type="xsd:double"&gt;14651&lt;/D&gt;&lt;/FQL&gt;&lt;FQL&gt;&lt;Q&gt;Ticker0024^FE_ESTIMATE(PRODLINE_SALES_17,MEAN,QUARTERLY_ROLL,2025/1F,45772,,,'')&lt;/Q&gt;&lt;R&gt;1&lt;/R&gt;&lt;C&gt;1&lt;/C&gt;&lt;D xsi:type="xsd:double"&gt;13176&lt;/D&gt;&lt;/FQL&gt;&lt;FQL&gt;&lt;Q&gt;Ticker0024^FE_ESTIMATE(PRODLINE_SALES_17,MEAN,ANNUAL_ROLL,2024,45772,,,'')&lt;/Q&gt;&lt;R&gt;1&lt;/R&gt;&lt;C&gt;1&lt;/C&gt;&lt;D xsi:type="xsd:double"&gt;62032&lt;/D&gt;&lt;/FQL&gt;&lt;FQL&gt;&lt;Q&gt;Ticker0024^FE_ESTIMATE(PRODLINE_SALES_17,MEAN,QUARTERLY_ROLL,2024/4F,45772,,,'')&lt;/Q&gt;&lt;R&gt;1&lt;/R&gt;&lt;C&gt;1&lt;/C&gt;&lt;D xsi:type="xsd:double"&gt;15895&lt;/D&gt;&lt;/FQL&gt;&lt;FQL&gt;&lt;Q&gt;Ticker0024^FE_ESTIMATE(PRODLINE_SALES_17,MEAN,QUARTERLY_ROLL,2024/3F,45772,,,'')&lt;/Q&gt;&lt;R&gt;1&lt;/R&gt;&lt;C&gt;1&lt;/C&gt;&lt;D xsi:type="xsd:double"&gt;15580&lt;/D&gt;&lt;/FQL&gt;&lt;FQL&gt;&lt;Q&gt;Ticker0024^FE_ESTIMATE(PRODLINE_SALES_17,MEAN,QUARTERLY_ROLL,2024/2F,45772,,,'')&lt;/Q&gt;&lt;R&gt;1&lt;/R&gt;&lt;C&gt;1&lt;/C&gt;&lt;D xsi:type="xsd:double"&gt;16891&lt;/D&gt;&lt;/FQL&gt;&lt;FQL&gt;&lt;Q&gt;Ticker0024^FE_ESTIMATE(PRODLINE_SALES_17,MEAN,QUARTERLY_ROLL,2024/1F,45772,,,'')&lt;/Q&gt;&lt;R&gt;1&lt;/R&gt;&lt;C&gt;1&lt;/C&gt;&lt;D xsi:type="xsd:double"&gt;13666&lt;/D&gt;&lt;/FQL&gt;&lt;FQL&gt;&lt;Q&gt;Ticker0024^FE_ESTIMATE(PRODLINE_SALES_17,MEAN,ANNUAL_ROLL,2023,45772,,,'')&lt;/Q&gt;&lt;R&gt;1&lt;/R&gt;&lt;C&gt;1&lt;/C&gt;&lt;D xsi:type="xsd:double"&gt;54732.273&lt;/D&gt;&lt;/FQL&gt;&lt;FQL&gt;&lt;Q&gt;Ticker0024^FE_ESTIMATE(PRODLINE_SALES_17,MEAN,QUARTERLY_ROLL,2023/4F,45772,,,'')&lt;/Q&gt;&lt;R&gt;1&lt;/R&gt;&lt;C&gt;1&lt;/C&gt;&lt;D xsi:type="xsd:double"&gt;13905&lt;/D&gt;&lt;/FQL&gt;&lt;FQL&gt;&lt;Q&gt;Ticker0024^FE_ESTIMATE(PRODLINE_SALES_17,MEAN,QUARTERLY_ROLL,2023/3F,45772,,,'')&lt;/Q&gt;&lt;R&gt;1&lt;/R&gt;&lt;C&gt;1&lt;/C&gt;&lt;D xsi:type="xsd:double"&gt;13260&lt;/D&gt;&lt;/FQL&gt;&lt;FQL&gt;&lt;Q&gt;Ticker0024^FE_ESTIMATE(PRODLINE_SALES_17,MEAN,QUARTERLY_ROLL,2023/2F,45772,,,'')&lt;/Q&gt;&lt;R&gt;1&lt;/R&gt;&lt;C&gt;1&lt;/C&gt;&lt;D xsi:type="xsd:double"&gt;14237&lt;/D&gt;&lt;/FQL&gt;&lt;FQL&gt;&lt;Q&gt;Ticker0024^FE_ESTIMATE(PRODLINE_SALES_17,MEAN,QUARTERLY_ROLL,2023/1F,45772,,,'')&lt;/Q&gt;&lt;R&gt;1&lt;/R&gt;&lt;C&gt;1&lt;/C&gt;&lt;D xsi:type="xsd:double"&gt;13332&lt;/D&gt;&lt;/FQL&gt;&lt;FQL&gt;&lt;Q&gt;Ticker0024^FE_ESTIMATE(PRODLINE_SALES_17,MEAN,ANNUAL_ROLL,2022,45772,,,'')&lt;/Q&gt;&lt;R&gt;1&lt;/R&gt;&lt;C&gt;1&lt;/C&gt;&lt;D xsi:type="xsd:double"&gt;59655&lt;/D&gt;&lt;/FQL&gt;&lt;FQL&gt;&lt;Q&gt;Ticker0024^FE_ESTIMATE(PRODLINE_SALES_17,MEAN,QUARTERLY_ROLL,2022/4F,45772,,,'')&lt;/Q&gt;&lt;R&gt;1&lt;/R&gt;&lt;C&gt;1&lt;/C&gt;&lt;D xsi:type="xsd:double"&gt;14356&lt;/D&gt;&lt;/FQL&gt;&lt;FQL&gt;&lt;Q&gt;Ticker0024^FE_ESTIMATE(PRODLINE_SALES_17,MEAN,QUARTERLY_ROLL,2022/3F,45772,,,'')&lt;/Q&gt;&lt;R&gt;1&lt;/R&gt;&lt;C&gt;1&lt;/C&gt;&lt;D xsi:type="xsd:double"&gt;14520&lt;/D&gt;&lt;/FQL&gt;&lt;FQL&gt;&lt;Q&gt;Ticker0024^FE_ESTIMATE(PRODLINE_SALES_17,MEAN,QUARTERLY_ROLL,2022/2F,45772,,,'')&lt;/Q&gt;&lt;R&gt;1&lt;/R&gt;&lt;C&gt;1&lt;/C&gt;&lt;D xsi:type="xsd:double"&gt;17465&lt;/D&gt;&lt;/FQL&gt;&lt;FQL&gt;&lt;Q&gt;Ticker0024^FE_ESTIMATE(PRODLINE_SALES_17,MEAN,QUARTERLY_ROLL,2022/1F,45772,,,'')&lt;/Q&gt;&lt;R&gt;1&lt;/R&gt;&lt;C&gt;1&lt;/C&gt;&lt;D xsi:type="xsd:double"&gt;13314&lt;/D&gt;&lt;/FQL&gt;&lt;FQL&gt;&lt;Q&gt;Ticker0024^FE_ESTIMATE(PRODLINE_SALES_17,MEAN,ANNUAL_ROLL,2021,45772,,,'')&lt;/Q&gt;&lt;R&gt;1&lt;/R&gt;&lt;C&gt;1&lt;/C&gt;&lt;D xsi:type="xsd:double"&gt;54093&lt;/D&gt;&lt;/FQL&gt;&lt;FQL&gt;&lt;Q&gt;Ticker0024^FE_ESTIMATE(PRODLINE_SALES_17,MEAN,QUARTERLY_ROLL,2021/4F,45772,,,'')&lt;/Q&gt;&lt;R&gt;1&lt;/R&gt;&lt;C&gt;1&lt;/C&gt;&lt;D xsi:type="xsd:double"&gt;14086&lt;/D&gt;&lt;/FQL&gt;&lt;FQL&gt;&lt;Q&gt;Ticker0024^FE_ESTIMATE(PRODLINE_SALES_17,MEAN,QUARTERLY_ROLL,2021/3F,45772,,,'')&lt;/Q&gt;&lt;R&gt;1&lt;/R&gt;&lt;C&gt;1&lt;/C&gt;&lt;D xsi:type="xsd:double"&gt;13036&lt;/D&gt;&lt;/FQL&gt;&lt;FQL&gt;&lt;Q&gt;Ticker0024^FE_ESTIMATE(PRODLINE_SALES_17,MEAN,QUARTERLY_ROLL,2021/2F,45772,,,'')&lt;/Q&gt;&lt;R&gt;1&lt;/R&gt;&lt;C&gt;1&lt;/C&gt;&lt;D xsi:type="xsd:double"&gt;15122&lt;/D&gt;&lt;/FQL&gt;&lt;FQL&gt;&lt;Q&gt;Ticker0024^FE_ESTIMATE(PRODLINE_SALES_17,MEAN,QUARTERLY_ROLL,2021/1F,45772,,,'')&lt;/Q&gt;&lt;R&gt;1&lt;/R&gt;&lt;C&gt;1&lt;/C&gt;&lt;D xsi:type="xsd:double"&gt;11849&lt;/D&gt;&lt;/FQL&gt;&lt;FQL&gt;&lt;Q&gt;Ticker0024^FE_ESTIMATE(PRODLINE_SALES_17,MEAN,ANNUAL_ROLL,2020,45772,,,'')&lt;/Q&gt;&lt;R&gt;1&lt;/R&gt;&lt;C&gt;1&lt;/C&gt;&lt;D xsi:type="xsd:double"&gt;48251&lt;/D&gt;&lt;/FQL&gt;&lt;FQL&gt;&lt;Q&gt;Ticker0024^FE_ESTIMATE(PRODLINE_SALES_17,MEAN,QUARTERLY_ROLL,2020/4F,45772,,,'')&lt;/Q&gt;&lt;R&gt;1&lt;/R&gt;&lt;C&gt;1&lt;/C&gt;&lt;D xsi:type="xsd:double"&gt;12910&lt;/D&gt;&lt;/FQL&gt;&lt;FQL&gt;&lt;Q&gt;Ticker0024^FE_ESTIMATE(PRODLINE_SALES_17,MEAN,QUARTERLY_ROLL,2020/3F,45772,,,'')&lt;/Q&gt;&lt;R&gt;1&lt;/R&gt;&lt;C&gt;1&lt;/C&gt;&lt;D xsi:type="xsd:double"&gt;10997&lt;/D&gt;&lt;/FQL&gt;&lt;FQL&gt;&lt;Q&gt;Ticker0024^FE_ESTIMATE(PRODLINE_SALES_17,MEAN,QUARTERLY_ROLL,2020/2F,45772,,,'')&lt;/Q&gt;&lt;R&gt;1&lt;/R&gt;&lt;C&gt;1&lt;/C&gt;&lt;D xsi:type="xsd:double"&gt;13211&lt;/D&gt;&lt;/FQL&gt;&lt;FQL&gt;&lt;Q&gt;Ticker0024^FE_ESTIMATE(PRODLINE_SALES_17,MEAN,QUARTERLY_ROLL,2020/1F,45772,,,'')&lt;/Q&gt;&lt;R&gt;1&lt;/R&gt;&lt;C&gt;1&lt;/C&gt;&lt;D xsi:type="xsd:double"&gt;11133&lt;/D&gt;&lt;/FQL&gt;&lt;FQL&gt;&lt;Q&gt;Ticker0024^FE_ESTIMATE(PRODLINE_SALES_17,MEAN,ANNUAL_ROLL,2019,45772,,,'')&lt;/Q&gt;&lt;R&gt;1&lt;/R&gt;&lt;C&gt;1&lt;/C&gt;&lt;D xsi:type="xsd:double"&gt;45698&lt;/D&gt;&lt;/FQL&gt;&lt;FQL&gt;&lt;Q&gt;Ticker0024^FE_ESTIMATE(PRODLINE_SALES_17,MEAN,QUARTERLY_ROLL,2019/4F,45772,,,'')&lt;/Q&gt;&lt;R&gt;1&lt;/R&gt;&lt;C&gt;1&lt;/C&gt;&lt;D xsi:type="xsd:double"&gt;11279&lt;/D&gt;&lt;/FQL&gt;&lt;FQL&gt;&lt;Q&gt;Ticker0024^FE_ESTIMATE(PRODLINE_SALES_17,MEAN,QUARTERLY_ROLL,2019/3F,45772,,,'')&lt;/Q&gt;&lt;R&gt;1&lt;/R&gt;&lt;C&gt;1&lt;/C&gt;&lt;D xsi:type="xsd:double"&gt;10680&lt;/D&gt;&lt;/FQL&gt;&lt;FQL&gt;&lt;Q&gt;Ticker0024^FE_ESTIMATE(PRODLINE_SALES_17,MEAN,QUARTERLY_ROLL,2019/2F,45772,,,'')&lt;/Q&gt;&lt;R&gt;1&lt;/R&gt;&lt;C&gt;1&lt;/C&gt;&lt;D xsi:type="xsd:double"&gt;12993&lt;/D&gt;&lt;/FQL&gt;&lt;FQL&gt;&lt;Q&gt;Ticker0024^FE_ESTIMATE(PRODLINE_SALES_17,MEAN,QUARTERLY_ROLL,2019/1F,45772,,,'')&lt;/Q&gt;&lt;R&gt;1&lt;/R&gt;&lt;C&gt;1&lt;/C&gt;&lt;D xsi:type="xsd:double"&gt;10746&lt;/D&gt;&lt;/FQL&gt;&lt;FQL&gt;&lt;Q&gt;Ticker0024^FE_ESTIMATE(PRODLINE_SALES_17,MEAN,ANNUAL_ROLL,2018,45772,,,'')&lt;/Q&gt;&lt;R&gt;1&lt;/R&gt;&lt;C&gt;1&lt;/C&gt;&lt;D xsi:type="xsd:double"&gt;42276&lt;/D&gt;&lt;/FQL&gt;&lt;FQL&gt;&lt;Q&gt;Ticker0024^FE_ESTIMATE(PRODLINE_SALES_17,MEAN,QUARTERLY_ROLL,2018/4F,45772,,,'')&lt;/Q&gt;&lt;R&gt;1&lt;/R&gt;&lt;C&gt;1&lt;/C&gt;&lt;D xsi:type="xsd:double"&gt;10811&lt;/D&gt;&lt;/FQL&gt;&lt;FQL&gt;&lt;Q&gt;Ticker0024^FE_ESTIMATE(PRODLINE_SALES_17,MEAN,QUARTERLY_ROLL,2018/3F,45772,,,'')&lt;/Q&gt;&lt;R&gt;1&lt;/R&gt;&lt;C&gt;1&lt;/C&gt;&lt;D xsi:type="xsd:double"&gt;9917&lt;/D&gt;&lt;/FQL&gt;&lt;FQL&gt;&lt;Q&gt;Ticker0024^FE_ESTIMATE(PRODLINE_SALES_17,MEAN,QUARTERLY_ROLL,2018/2F,45772,,,'')&lt;/Q&gt;&lt;R&gt;1&lt;/R&gt;&lt;C&gt;1&lt;/C&gt;&lt;D xsi:type="xsd:double"&gt;12170&lt;/D&gt;&lt;/FQL&gt;&lt;FQL&gt;&lt;Q&gt;Ticker0024^FE_ESTIMATE(PRODLINE_SALES_17,MEAN,QUARTERLY_ROLL,2018/1F,45772,,,'')&lt;/Q&gt;&lt;R&gt;1&lt;/R&gt;&lt;C&gt;1&lt;/C&gt;&lt;D xsi:type="xsd:double"&gt;9378&lt;/D&gt;&lt;/FQL&gt;&lt;FQL&gt;&lt;Q&gt;Ticker0024^FE_ESTIMATE(PRODLINE_SALES_17,MEAN,ANNUAL_ROLL,2017,45772,,,'')&lt;/Q&gt;&lt;R&gt;1&lt;/R&gt;&lt;C&gt;1&lt;/C&gt;&lt;D xsi:type="xsd:double"&gt;38773&lt;/D&gt;&lt;/FQL&gt;&lt;FQL&gt;&lt;Q&gt;Ticker0024^FE_ESTIMATE(PRODLINE_SALES_17,MEAN,QUARTERLY_ROLL,2017/4F,45772,,,'')&lt;/Q&gt;&lt;R&gt;1&lt;/R&gt;&lt;C&gt;1&lt;/C&gt;&lt;D xsi:type="xsd:double"&gt;8820&lt;/D&gt;&lt;/FQL&gt;&lt;FQL&gt;&lt;Q&gt;Ticker0024^FE_ESTIMATE(PRODLINE_SALES_17,MEAN,QUARTERLY_ROLL,2017/3F,45772,,,'')&lt;/Q&gt;&lt;R&gt;1&lt;/R&gt;&lt;C&gt;1&lt;/C&gt;&lt;D xsi:type="xsd:double"&gt;8836&lt;/D&gt;&lt;/FQL&gt;&lt;FQL&gt;&lt;Q&gt;Ticker0024^FE_ESTIMATE(PRODLINE_SALES_17,MEAN,QUARTERLY_ROLL,2017/2F,45772,,,'')&lt;/Q&gt;&lt;R&gt;1&lt;/R&gt;&lt;C&gt;1&lt;/C&gt;&lt;D xsi:type="xsd:double"&gt;11823&lt;/D&gt;&lt;/FQL&gt;&lt;FQL&gt;&lt;Q&gt;Ticker0024^FE_ESTIMATE(PRODLINE_SALES_17,MEAN,QUARTERLY_ROLL,2017/1F,45772,,,'')&lt;/Q&gt;&lt;R&gt;1&lt;/R&gt;&lt;C&gt;1&lt;/C&gt;&lt;D xsi:type="xsd:double"&gt;9294&lt;/D&gt;&lt;/FQL&gt;&lt;FQL&gt;&lt;Q&gt;Ticker0024^FE_ESTIMATE(PRODLINE_SALES_17,MEAN,ANNUAL_ROLL,2016,45772,,,'')&lt;/Q&gt;&lt;R&gt;1&lt;/R&gt;&lt;C&gt;1&lt;/C&gt;&lt;D xsi:type="xsd:double"&gt;40460&lt;/D&gt;&lt;/FQL&gt;&lt;FQL&gt;&lt;Q&gt;Ticker0024^FE_ESTIMATE(PRODLINE_SALES_17,MEAN,QUARTERLY_ROLL,2016/4F,45772,,,'')&lt;/Q&gt;&lt;R&gt;1&lt;/R&gt;&lt;C&gt;1&lt;/C&gt;&lt;D xsi:type="xsd:double"&gt;8897&lt;/D&gt;&lt;/FQL&gt;&lt;FQL&gt;&lt;Q&gt;Ticker0024^FE_ESTIMATE(PRODLINE_SALES_17,MEAN,QUARTERLY_ROLL,2016/3F,45772,,,'')&lt;/Q&gt;&lt;R&gt;1&lt;/R&gt;&lt;C&gt;1&lt;/C&gt;&lt;D xsi:type="xsd:double"&gt;9458&lt;/D&gt;&lt;/FQL&gt;&lt;FQL&gt;&lt;Q&gt;Ticker0024^FE_ESTIMATE(PRODLINE_SALES_17,MEAN,QUARTERLY_ROLL,2016/2F,45772,,,'')&lt;/Q&gt;&lt;R&gt;1&lt;/R&gt;&lt;C&gt;1&lt;/C&gt;&lt;D xsi:type="xsd:double"&gt;12660&lt;/D&gt;&lt;/FQL&gt;&lt;FQL&gt;&lt;Q&gt;Ticker0024^FE_ESTIMATE(PRODLINE_SALES_17,MEAN,QUARTERLY_ROLL,2016/1F,45772,,,'')&lt;/Q&gt;&lt;R&gt;1&lt;/R&gt;&lt;C&gt;1&lt;/C&gt;&lt;D xsi:type="xsd:double"&gt;9381&lt;/D&gt;&lt;/FQL&gt;&lt;FQL&gt;&lt;Q&gt;Ticker0024^FE_ESTIMATE(PRODLINE_SALES_17,MEAN,ANNUAL_ROLL,2015,45772,,,'')&lt;/Q&gt;&lt;R&gt;0&lt;/R&gt;&lt;C&gt;0&lt;/C&gt;&lt;/FQL&gt;&lt;FQL&gt;&lt;Q&gt;Ticker0024^FE_ESTIMATE(PRODLINE_SALES_17,MEAN,QUARTERLY_ROLL,2015/4F,45772,,,'')&lt;/Q&gt;&lt;R&gt;0&lt;/R&gt;&lt;C&gt;0&lt;/C&gt;&lt;/FQL&gt;&lt;FQL&gt;&lt;Q&gt;Ticker0024^FE_ESTIMATE(PRODLINE_SALES_17,MEAN,QUARTERLY_ROLL,2015/3F,45772,,,'')&lt;/Q&gt;&lt;R&gt;0&lt;/R&gt;&lt;C&gt;0&lt;/C&gt;&lt;/FQL&gt;&lt;FQL&gt;&lt;Q&gt;Ticker0024^FE_ESTIMATE(PRODLINE_SALES_17,MEAN,QUARTERLY_ROLL,2015/2F,45772,,,'')&lt;/Q&gt;&lt;R&gt;0&lt;/R&gt;&lt;C&gt;0&lt;/C&gt;&lt;/FQL&gt;&lt;FQL&gt;&lt;Q&gt;Ticker0024^FE_ESTIMATE(PRODLINE_SALES_17,MEAN,QUARTERLY_ROLL,2015/1F,45772,,,'')&lt;/Q&gt;&lt;R&gt;0&lt;/R&gt;&lt;C&gt;0&lt;/C&gt;&lt;/FQL&gt;&lt;FQL&gt;&lt;Q&gt;Ticker0024^FE_ESTIMATE(PRODLINE_SALES_16,MEAN,ANNUAL_ROLL,2030,45772,,,'')&lt;/Q&gt;&lt;R&gt;0&lt;/R&gt;&lt;C&gt;0&lt;/C&gt;&lt;/FQL&gt;&lt;FQL&gt;&lt;Q&gt;Ticker0024^FE_ESTIMATE(PRODLINE_SALES_16,MEAN,QUARTERLY_ROLL,2030/4F,45772,,,'')&lt;/Q&gt;&lt;R&gt;0&lt;/R&gt;&lt;C&gt;0&lt;/C&gt;&lt;/FQL&gt;&lt;FQL&gt;&lt;Q&gt;Ticker0024^FE_ESTIMATE(PRODLINE_SALES_16,MEAN,QUARTERLY_ROLL,2030/3F,45772,,,'')&lt;/Q&gt;&lt;R&gt;0&lt;/R&gt;&lt;C&gt;0&lt;/C&gt;&lt;/FQL&gt;&lt;FQL&gt;&lt;Q&gt;Ticker0024^FE_ESTIMATE(PRODLINE_SALES_16,MEAN,QUARTERLY_ROLL,2030/2F,45772,,,'')&lt;/Q&gt;&lt;R&gt;0&lt;/R&gt;&lt;C&gt;0&lt;/C&gt;&lt;/FQL&gt;&lt;FQL&gt;&lt;Q&gt;Ticker0024^FE_ESTIMATE(PRODLINE_SALES_16,MEAN,QUARTERLY_ROLL,2030/1F,45772,,,'')&lt;/Q&gt;&lt;R&gt;0&lt;/R&gt;&lt;C&gt;0&lt;/C&gt;&lt;/FQL&gt;&lt;FQL&gt;&lt;Q&gt;Ticker0024^FE_ESTIMATE(PRODLINE_SALES_16,MEAN,ANNUAL_ROLL,2029,45772,,,'')&lt;/Q&gt;&lt;R&gt;0&lt;/R&gt;&lt;C&gt;0&lt;/C&gt;&lt;/FQL&gt;&lt;FQL&gt;&lt;Q&gt;Ticker0024^FE_ESTIMATE(PRODLINE_SALES_16,MEAN,QUARTERLY_ROLL,2029/4F,45772,,,'')&lt;/Q&gt;&lt;R&gt;0&lt;/R&gt;&lt;C&gt;0&lt;/C&gt;&lt;/FQL&gt;&lt;FQL&gt;&lt;Q&gt;Ticker0024^FE_ESTIMATE(PRODLINE_SALES_16,MEAN,QUARTERLY_ROLL,2029/3F,45772,,,'')&lt;/Q&gt;&lt;R&gt;0&lt;/R&gt;&lt;C&gt;0&lt;/C&gt;&lt;/FQL&gt;&lt;FQL&gt;&lt;Q&gt;Ticker0024^FE_ESTIMATE(PRODLINE_SALES_16,MEAN,QUARTERLY_ROLL,2029/2F,45772,,,'')&lt;/Q&gt;&lt;R&gt;0&lt;/R&gt;&lt;C&gt;0&lt;/C&gt;&lt;/FQL&gt;&lt;FQL&gt;&lt;Q&gt;Ticker0024^FE_ESTIMATE(PRODLINE_SALES_16,MEAN,QUARTERLY_ROLL,2029/1F,45772,,,'')&lt;/Q&gt;&lt;R&gt;0&lt;/R&gt;&lt;C&gt;0&lt;/C&gt;&lt;/FQL&gt;&lt;FQL&gt;&lt;Q&gt;Ticker0024^FE_ESTIMATE(PRODLINE_SALES_16,MEAN,ANNUAL_ROLL,2028,45772,,,'')&lt;/Q&gt;&lt;R&gt;0&lt;/R&gt;&lt;C&gt;0&lt;/C&gt;&lt;/FQL&gt;&lt;FQL&gt;&lt;Q&gt;Ticker0024^FE_ESTIMATE(PRODLINE_SALES_16,MEAN,QUARTERLY_ROLL,2028/4F,45772,,,'')&lt;/Q&gt;&lt;R&gt;0&lt;/R&gt;&lt;C&gt;0&lt;/C&gt;&lt;/FQL&gt;&lt;FQL&gt;&lt;Q&gt;Ticker0024^FE_ESTIMATE(PRODLINE_SALES_16,MEAN,QUARTERLY_ROLL,2028/3F,45772,,,'')&lt;/Q&gt;&lt;R&gt;0&lt;/R&gt;&lt;C&gt;0&lt;/C&gt;&lt;/FQL&gt;&lt;FQL&gt;&lt;Q&gt;Ticker0024^FE_ESTIMATE(PRODLINE_SALES_16,MEAN,QUARTERLY_ROLL,2028/2F,45772,,,'')&lt;/Q&gt;&lt;R&gt;0&lt;/R&gt;&lt;C&gt;0&lt;/C&gt;&lt;/FQL&gt;&lt;FQL&gt;&lt;Q&gt;Ticker0024^FE_ESTIMATE(PRODLINE_SALES_16,MEAN,QUARTERLY_ROLL,2028/1F,45772,,,'')&lt;/Q&gt;&lt;R&gt;0&lt;/R&gt;&lt;C&gt;0&lt;/C&gt;&lt;/FQL&gt;&lt;FQL&gt;&lt;Q&gt;Ticker0024^FE_ESTIMATE(PRODLINE_SALES_16,MEAN,ANNUAL_ROLL,2027,45772,,,'')&lt;/Q&gt;&lt;R&gt;1&lt;/R&gt;&lt;C&gt;1&lt;/C&gt;&lt;D xsi:type="xsd:double"&gt;157939.23&lt;/D&gt;&lt;/FQL&gt;&lt;FQL&gt;&lt;Q&gt;Ticker0024^FE_ESTIMATE(PRODLINE_SALES_16,MEAN,QUARTERLY_ROLL,2027/4F,45772,,,'')&lt;/Q&gt;&lt;R&gt;1&lt;/R&gt;&lt;C&gt;1&lt;/C&gt;&lt;D xsi:type="xsd:double"&gt;45716&lt;/D&gt;&lt;/FQL&gt;&lt;FQL&gt;&lt;Q&gt;Ticker0024^FE_ESTIMATE(PRODLINE_SALES_16,MEAN,QUARTERLY_ROLL,2027/3F,45772,,,'')&lt;/Q&gt;&lt;R&gt;1&lt;/R&gt;&lt;C&gt;1&lt;/C&gt;&lt;D xsi:type="xsd:double"&gt;38216&lt;/D&gt;&lt;/FQL&gt;&lt;FQL&gt;&lt;Q&gt;Ticker0024^FE_ESTIMATE(PRODLINE_SALES_16,MEAN,QUARTERLY_ROLL,2027/2F,45772,,,'')&lt;/Q&gt;&lt;R&gt;1&lt;/R&gt;&lt;C&gt;1&lt;/C&gt;&lt;D xsi:type="xsd:double"&gt;37509.5&lt;/D&gt;&lt;/FQL&gt;&lt;FQL&gt;&lt;Q&gt;Ticker0024^FE_ESTIMATE(PRODLINE_SALES_16,MEAN,QUARTERLY_ROLL,2027/1F,45772,,,'')&lt;/Q&gt;&lt;R&gt;1&lt;/R&gt;&lt;C&gt;1&lt;/C&gt;&lt;D xsi:type="xsd:double"&gt;35058.5&lt;/D&gt;&lt;/FQL&gt;&lt;FQL&gt;&lt;Q&gt;Ticker0024^FE_ESTIMATE(PRODLINE_SALES_16,MEAN,ANNUAL_ROLL,2026,45772,,,'')&lt;/Q&gt;&lt;R&gt;1&lt;/R&gt;&lt;C&gt;1&lt;/C&gt;&lt;D xsi:type="xsd:double"&gt;126262.89&lt;/D&gt;&lt;/FQL&gt;&lt;FQL&gt;&lt;Q&gt;Ticker0024^FE_ESTIMATE(PRODLINE_SALES_16,MEAN,QUARTERLY_ROLL,2026/4F,45772,,,'')&lt;/Q&gt;&lt;R&gt;1&lt;/R&gt;&lt;C&gt;1&lt;/C&gt;&lt;D xsi:type="xsd:double"&gt;34409.777&lt;/D&gt;&lt;/FQL&gt;&lt;FQL&gt;&lt;Q&gt;Ticker0024^FE_ESTIMATE(PRODLINE_SALES_16,MEAN,QUARTERLY_ROLL,2026/3F,45772,,,'')&lt;/Q&gt;&lt;R&gt;1&lt;/R&gt;&lt;C&gt;1&lt;/C&gt;&lt;D xsi:type="xsd:double"&gt;31565.535&lt;/D&gt;&lt;/FQL&gt;&lt;FQL&gt;&lt;Q&gt;Ticker0024^FE_ESTIMATE(PRODLINE_SALES_16,MEAN,QUARTERLY_ROLL,2026/2F,45772,,,'')&lt;/Q&gt;&lt;R&gt;1&lt;/R&gt;&lt;C&gt;1&lt;/C&gt;&lt;D xsi:type="xsd:double"&gt;30662.213&lt;/D&gt;&lt;/FQL&gt;&lt;FQL&gt;&lt;Q&gt;Ticker0024^FE_ESTIMATE(PRODLINE_SALES_16,MEAN,QUARTERLY_ROLL,2026/1F,45772,,,'')&lt;/Q&gt;&lt;R&gt;1&lt;/R&gt;&lt;C&gt;1&lt;/C&gt;&lt;D xsi:type="xsd:double"&gt;28878.28&lt;/D&gt;&lt;/FQL&gt;&lt;FQL&gt;&lt;Q&gt;Ticker0024^FE_ESTIMATE(PRODLINE_SALES_16,MEAN,ANNUAL_ROLL,2025,45772,,,'')&lt;/Q&gt;&lt;R&gt;1&lt;/R&gt;&lt;C&gt;1&lt;/C&gt;&lt;D xsi:type="xsd:double"&gt;104363.95&lt;/D&gt;&lt;/FQL&gt;&lt;FQL&gt;&lt;Q&gt;Ticker0024^FE_ESTIMATE(PRODLINE_SALES_16,MEAN,QUARTERLY_ROLL,2025/4F,45772,,,'')&lt;/Q&gt;&lt;R&gt;1&lt;/R&gt;&lt;C&gt;1&lt;/C&gt;&lt;D xsi:type="xsd:double"&gt;28536.592&lt;/D&gt;&lt;/FQL&gt;&lt;FQL&gt;&lt;Q&gt;Ticker0024^FE_ESTIMATE(PRODLINE_SALES_16,MEAN,QUARTERLY_ROLL,2025/3F,45772,,,'')&lt;/Q&gt;&lt;R&gt;1&lt;/R&gt;&lt;C&gt;1&lt;/C&gt;&lt;D xsi:type="xsd:double"&gt;26173.166&lt;/D&gt;&lt;/FQL&gt;&lt;FQL&gt;&lt;Q&gt;Ticker0024^FE_ESTIMATE(PRODLINE_SALES_16,MEAN,QUARTERLY_ROLL,2025/2F,45772,,,'')&lt;/Q&gt;&lt;R&gt;1&lt;/R&gt;&lt;C&gt;1&lt;/C&gt;&lt;D xsi:type="xsd:double"&gt;25544&lt;/D&gt;&lt;/FQL&gt;&lt;FQL&gt;&lt;Q&gt;Ticker0024^FE_ESTIMATE(PRODLINE_SALES_16,MEAN,QUARTERLY_ROLL,2025/1F,45772,,,'')&lt;/Q&gt;&lt;R&gt;1&lt;/R&gt;&lt;C&gt;1&lt;/C&gt;&lt;D xsi:type="xsd:double"&gt;24092&lt;/D&gt;&lt;/FQL&gt;&lt;FQL&gt;&lt;Q&gt;Ticker0024^FE_ESTIMATE(PRODLINE_SALES_16,MEAN,ANNUAL_ROLL,2024,45772,,,'')&lt;/Q&gt;&lt;R&gt;1&lt;/R&gt;&lt;C&gt;1&lt;/C&gt;&lt;D xsi:type="xsd:double"&gt;105362&lt;/D&gt;&lt;/FQL&gt;&lt;FQL&gt;&lt;Q&gt;Ticker0024^FE_ESTIMATE(PRODLINE_SALES_16,MEAN,QUARTERLY_ROLL,2024/4F,45772,,,'')&lt;/Q&gt;&lt;R&gt;1&lt;/R&gt;&lt;C&gt;1&lt;/C&gt;&lt;D xsi:type="xsd:double"&gt;28515&lt;/D&gt;&lt;/FQL&gt;&lt;FQL&gt;&lt;Q&gt;Ticker0024^FE_ESTIMATE(PRODLINE_SALES_16,MEAN,QUARTERLY_ROLL,2024/3F,45772,,,'')&lt;/Q&gt;&lt;R&gt;1&lt;/R&gt;&lt;C&gt;1&lt;/C&gt;&lt;D xsi:type="xsd:double"&gt;26708&lt;/D&gt;&lt;/FQL&gt;&lt;FQL&gt;&lt;Q&gt;Ticker0024^FE_ESTIMATE(PRODLINE_SALES_16,MEAN,QUARTERLY_ROLL,2024/2F,45772,,,'')&lt;/Q&gt;&lt;R&gt;1&lt;/R&gt;&lt;C&gt;1&lt;/C&gt;&lt;D xsi:type="xsd:double"&gt;25880&lt;/D&gt;&lt;/FQL&gt;&lt;FQL&gt;&lt;Q&gt;Ticker0024^FE_ESTIMATE(PRODLINE_SALES_16,MEAN,QUARTERLY_ROLL,2024/1F,45772,,,'')&lt;/Q&gt;&lt;R&gt;1&lt;/R&gt;&lt;C&gt;1&lt;/C&gt;&lt;D xsi:type="xsd:double"&gt;24259&lt;/D&gt;&lt;/FQL&gt;&lt;FQL&gt;&lt;Q&gt;Ticker0024^FE_ESTIMATE(PRODLINE_SALES_16,MEAN,ANNUAL_ROLL,2023,45772,,,'')&lt;/Q&gt;&lt;R&gt;1&lt;/R&gt;&lt;C&gt;1&lt;/C&gt;&lt;D xsi:type="xsd:double"&gt;87906.82&lt;/D&gt;&lt;/FQL&gt;&lt;FQL&gt;&lt;Q&gt;Ticker0024^FE_ESTIMATE(PRODLINE_SALES_16,MEAN,QUARTERLY_ROLL,2023/4F,45772,,,'')&lt;/Q&gt;&lt;R&gt;1&lt;/R&gt;&lt;C&gt;1&lt;/C&gt;&lt;D xsi:type="xsd:double"&gt;23993&lt;/D&gt;&lt;/FQL&gt;&lt;FQL&gt;&lt;Q&gt;Ticker0024^FE_ESTIMATE(PRODLINE_SALES_16,MEAN,QUARTERLY_ROLL,2023/3F,45772,,,'')&lt;/Q&gt;&lt;R&gt;1&lt;/R&gt;&lt;C&gt;1&lt;/C&gt;&lt;D xsi:type="xsd:double"&gt;22081&lt;/D&gt;&lt;/FQL&gt;&lt;FQL&gt;&lt;Q&gt;Ticker0024^FE_ESTIMATE(PRODLINE_SALES_16,MEAN,QUARTERLY_ROLL,2023/2F,45772,,,'')&lt;/Q&gt;&lt;R&gt;1&lt;/R&gt;&lt;C&gt;1&lt;/C&gt;&lt;D xsi:type="xsd:double"&gt;21508&lt;/D&gt;&lt;/FQL&gt;&lt;FQL&gt;&lt;Q&gt;Ticker0024^FE_ESTIMATE(PRODLINE_SALES_16,MEAN,QUARTERLY_ROLL,2023/1F,45772,,,'')&lt;/Q&gt;&lt;R&gt;1&lt;/R&gt;&lt;C&gt;1&lt;/C&gt;&lt;D xsi:type="xsd:double"&gt;20325&lt;/D&gt;&lt;/FQL&gt;&lt;FQL&gt;&lt;Q&gt;Ticker0024^FE_ESTIMATE(PRODLINE_SALES_16,MEAN,ANNUAL_ROLL,2022,45772,,,'')&lt;/Q&gt;&lt;R&gt;1&lt;/R&gt;&lt;C&gt;1&lt;/C&gt;&lt;D xsi:type="xsd:double"&gt;75251&lt;/D&gt;&lt;/FQL&gt;&lt;FQL&gt;&lt;Q&gt;Ticker0024^FE_ESTIMATE(PRODLINE_SALES_16,MEAN,QUARTERLY_ROLL,2022/4F,45772,,,'')&lt;/Q&gt;&lt;R&gt;1&lt;/R&gt;&lt;C&gt;1&lt;/C&gt;&lt;D xsi:type="xsd:double"&gt;20909&lt;/D&gt;&lt;/FQL&gt;&lt;FQL&gt;&lt;Q&gt;Ticker0024^FE_ESTIMATE(PRODLINE_SALES_16,MEAN,QUARTERLY_ROLL,2022/3F,45772,,,'')&lt;/Q&gt;&lt;R&gt;1&lt;/R&gt;&lt;C&gt;1&lt;/C&gt;&lt;D xsi:type="xsd:double"&gt;19051&lt;/D&gt;&lt;/FQL&gt;&lt;FQL&gt;&lt;Q&gt;Ticker0024^FE_ESTIMATE(PRODLINE_SALES_16,MEAN,QUARTERLY_ROLL,2022/2F,45772,,,'')&lt;/Q&gt;&lt;R&gt;1&lt;/R&gt;&lt;C&gt;1&lt;/C&gt;&lt;D xsi:type="xsd:double"&gt;18327&lt;/D&gt;&lt;/FQL&gt;&lt;FQL&gt;&lt;Q&gt;Ticker0024^FE_ESTIMATE(PRODLINE_SALES_16,MEAN,QUARTERLY_ROLL,2022/1F,45772,,,'')&lt;/Q&gt;&lt;R&gt;1&lt;/R&gt;&lt;C&gt;1&lt;/C&gt;&lt;D xsi:type="xsd:double"&gt;16964&lt;/D&gt;&lt;/FQL&gt;&lt;FQL&gt;&lt;Q&gt;Ticker0024^FE_ESTIMATE(PRODLINE_SALES_16,MEAN,ANNUAL_ROLL,2021,45772,,,'')&lt;/Q&gt;&lt;R&gt;1&lt;/R&gt;&lt;C&gt;1&lt;/C&gt;&lt;D xsi:type="xsd:double"&gt;60080&lt;/D&gt;&lt;/FQL&gt;&lt;FQL&gt;&lt;Q&gt;Ticker0024^FE_ESTIMATE(PRODLINE_SALES_16,MEAN,QUARTERLY_ROLL,2021/4F,45772,,,'')&lt;/Q&gt;&lt;R&gt;1&lt;/R&gt;&lt;C&gt;1&lt;/C&gt;&lt;D xsi:type="xsd:double"&gt;17375&lt;/D&gt;&lt;/FQL&gt;&lt;FQL&gt;&lt;Q&gt;Ticker0024^FE_ESTIMATE(PRODLINE_SALES_16,MEAN,QUARTERLY_ROLL,2021/3F,45772,,,'')&lt;/Q&gt;&lt;R&gt;1&lt;/R&gt;&lt;C&gt;1&lt;/C&gt;&lt;D xsi:type="xsd:double"&gt;15118&lt;/D&gt;&lt;/FQL&gt;&lt;FQL&gt;&lt;Q&gt;Ticker0024^FE_ESTIMATE(PRODLINE_SALES_16,MEAN,QUARTERLY_ROLL,2021/2F,45772,,,'')&lt;/Q&gt;&lt;R&gt;1&lt;/R&gt;&lt;C&gt;1&lt;/C&gt;&lt;D xsi:type="xsd:double"&gt;14601&lt;/D&gt;&lt;/FQL&gt;&lt;FQL&gt;&lt;Q&gt;Ticker0024^FE_ESTIMATE(PRODLINE_SALES_16,MEAN,QUARTERLY_ROLL,2021/1F,45772,,,'')&lt;/Q&gt;&lt;R&gt;1&lt;/R&gt;&lt;C&gt;1&lt;/C&gt;&lt;D xsi:type="xsd:double"&gt;12986&lt;/D&gt;&lt;/FQL&gt;&lt;FQL&gt;&lt;Q&gt;Ticker0024^FE_ESTIMATE(PRODLINE_SALES_16,MEAN,ANNUAL_ROLL,2020,45772,,,'')&lt;/Q&gt;&lt;R&gt;1&lt;/R&gt;&lt;C&gt;1&lt;/C&gt;&lt;D xsi:type="xsd:double"&gt;48366&lt;/D&gt;&lt;/FQL&gt;&lt;FQL&gt;&lt;Q&gt;Ticker0024^FE_ESTIMATE(PRODLINE_SALES_16,MEAN,QUARTERLY_ROLL,2020/4F,45772,,,'')&lt;/Q&gt;&lt;R&gt;1&lt;/R&gt;&lt;C&gt;1&lt;/C&gt;&lt;D xsi:type="xsd:double"&gt;13371&lt;/D&gt;&lt;/FQL&gt;&lt;FQL&gt;&lt;Q&gt;Ticker0024^FE_ESTIMATE(PRODLINE_SALES_16,MEAN,QUARTERLY_ROLL,2020/3F,45772,,,'')&lt;/Q&gt;&lt;R&gt;1&lt;/R&gt;&lt;C&gt;1&lt;/C&gt;&lt;D xsi:type="xsd:double"&gt;12281&lt;/D&gt;&lt;/FQL&gt;&lt;FQL&gt;&lt;Q&gt;Ticker0024^FE_ESTIMATE(PRODLINE_SALES_16,MEAN,QUARTERLY_ROLL,2020/2F,45772,,,'')&lt;/Q&gt;&lt;R&gt;1&lt;/R&gt;&lt;C&gt;1&lt;/C&gt;&lt;D xsi:type="xsd:double"&gt;11869&lt;/D&gt;&lt;/FQL&gt;&lt;FQL&gt;&lt;Q&gt;Ticker0024^FE_ESTIMATE(PRODLINE_SALES_16,MEAN,QUARTERLY_ROLL,2020/1F,45772,,,'')&lt;/Q&gt;&lt;R&gt;1&lt;/R&gt;&lt;C&gt;1&lt;/C&gt;&lt;D xsi:type="xsd:double"&gt;10845&lt;/D&gt;&lt;/FQL&gt;&lt;FQL&gt;&lt;Q&gt;Ticker0024^FE_ESTIMATE(PRODLINE_SALES_16,MEAN,ANNUAL_ROLL,2019,45772,,,'')&lt;/Q&gt;&lt;R&gt;1&lt;/R&gt;&lt;C&gt;1&lt;/C&gt;&lt;D xsi:type="xsd:double"&gt;38985&lt;/D&gt;&lt;/FQL&gt;&lt;FQL&gt;&lt;Q&gt;Ticker0024^FE_ESTIMATE(PRODLINE_SALES_16,MEAN,QUARTERLY_ROLL,2019/4F,45772,,,'')&lt;/Q&gt;&lt;R&gt;1&lt;/R&gt;&lt;C&gt;1&lt;/C&gt;&lt;D xsi:type="xsd:double"&gt;11391&lt;/D&gt;&lt;/FQL&gt;&lt;FQL&gt;&lt;Q&gt;Ticker0024^FE_ESTIMATE(PRODLINE_SALES_16,MEAN,QUARTERLY_ROLL,2019/3F,45772,,,'')&lt;/Q&gt;&lt;R&gt;1&lt;/R&gt;&lt;C&gt;1&lt;/C&gt;&lt;D xsi:type="xsd:double"&gt;9649&lt;/D&gt;&lt;/FQL&gt;&lt;FQL&gt;&lt;Q&gt;Ticker0024^FE_ESTIMATE(PRODLINE_SALES_16,MEAN,QUARTERLY_ROLL,2019/2F,45772,,,'')&lt;/Q&gt;&lt;R&gt;1&lt;/R&gt;&lt;C&gt;1&lt;/C&gt;&lt;D xsi:type="xsd:double"&gt;9378&lt;/D&gt;&lt;/FQL&gt;&lt;FQL&gt;&lt;Q&gt;Ticker0024^FE_ESTIMATE(PRODLINE_SALES_16,MEAN,QUARTERLY_ROLL,2019/1F,45772,,,'')&lt;/Q&gt;&lt;R&gt;1&lt;/R&gt;&lt;C&gt;1&lt;/C&gt;&lt;D xsi:type="xsd:double"&gt;8567&lt;/D&gt;&lt;/FQL&gt;&lt;FQL&gt;&lt;Q&gt;Ticker0024^FE_ESTIMATE(PRODLINE_SALES_16,MEAN,ANNUAL_ROLL,2018,45772,,,'')&lt;/Q&gt;&lt;R&gt;1&lt;/R&gt;&lt;C&gt;1&lt;/C&gt;&lt;D xsi:type="xsd:double"&gt;32219&lt;/D&gt;&lt;/FQL&gt;&lt;FQL&gt;&lt;Q&gt;Ticker0024^FE_ESTIMATE(PRODLINE_SALES_16,MEAN,QUARTERLY_ROLL,2018/4F,45772,,,'')&lt;/Q&gt;&lt;R&gt;1&lt;/R&gt;&lt;C&gt;1&lt;/C&gt;&lt;D xsi:type="xsd:double"&gt;9606&lt;/D&gt;&lt;/FQL&gt;&lt;FQL&gt;&lt;Q&gt;Ticker0024^FE_ESTIMATE(PRODLINE_SALES_16,MEAN,QUARTERLY_ROLL,2018/3F,45772,,,'')&lt;/Q&gt;&lt;R&gt;1&lt;/R&gt;&lt;C&gt;1&lt;/C&gt;&lt;D xsi:type="xsd:double"&gt;7896&lt;/D&gt;&lt;/FQL&gt;&lt;FQL&gt;&lt;Q&gt;Ticker0024^FE_ESTIMATE(PRODLINE_SALES_16,MEAN,QUARTERLY_ROLL,2018/2F,45772,,,'')&lt;/Q&gt;&lt;R&gt;1&lt;/R&gt;&lt;C&gt;1&lt;/C&gt;&lt;D xsi:type="xsd:double"&gt;7795&lt;/D&gt;&lt;/FQL&gt;&lt;FQL&gt;&lt;Q&gt;Ticker0024^FE_ESTIMATE(PRODLINE_SALES_16,MEAN,QUARTERLY_ROLL,2018/1F,45772,,,'')&lt;/Q&gt;&lt;R&gt;1&lt;/R&gt;&lt;C&gt;1&lt;/C&gt;&lt;D xsi:type="xsd:double"&gt;6922&lt;/D&gt;&lt;/FQL&gt;&lt;FQL&gt;&lt;Q&gt;Ticker0024^FE_ESTIMATE(PRODLINE_SALES_16,MEAN,ANNUAL_ROLL,2017,45772,,,'')&lt;/Q&gt;&lt;R&gt;1&lt;/R&gt;&lt;C&gt;1&lt;/C&gt;&lt;D xsi:type="xsd:double"&gt;27440&lt;/D&gt;&lt;/FQL&gt;&lt;FQL&gt;&lt;Q&gt;Ticker0024^FE_ESTIMATE(PRODLINE_SALES_16,MEAN,QUARTERLY_ROLL,2017/4F,45772,,,'')&lt;/Q&gt;&lt;R&gt;1&lt;/R&gt;&lt;C&gt;1&lt;/C&gt;&lt;D xsi:type="xsd:double"&gt;7434&lt;/D&gt;&lt;/FQL&gt;&lt;FQL&gt;&lt;Q&gt;Ticker0024^FE_ESTIMATE(PRODLINE_SALES_16,MEAN,QUARTERLY_ROLL,2017/3F,45772,,,'')&lt;/Q&gt;&lt;R&gt;1&lt;/R&gt;&lt;C&gt;1&lt;/C&gt;&lt;D xsi:type="xsd:double"&gt;6763&lt;/D&gt;&lt;/FQL&gt;&lt;FQL&gt;&lt;Q&gt;Ticker0024^FE_ESTIMATE(PRODLINE_SALES_16,MEAN,QUARTERLY_ROLL,2017/2F,45772,,,'')&lt;/Q&gt;&lt;R&gt;1&lt;/R&gt;&lt;C&gt;1&lt;/C&gt;&lt;D xsi:type="xsd:double"&gt;6861&lt;/D&gt;&lt;/FQL&gt;&lt;FQL&gt;&lt;Q&gt;Ticker0024^FE_ESTIMATE(PRODLINE_SALES_16,MEAN,QUARTERLY_ROLL,2017/1F,45772,,,'')&lt;/Q&gt;&lt;R&gt;1&lt;/R&gt;&lt;C&gt;1&lt;/C&gt;&lt;D xsi:type="xsd:double"&gt;6382&lt;/D&gt;&lt;/FQL&gt;&lt;FQL&gt;&lt;Q&gt;Ticker0024^FE_ESTIMATE(PRODLINE_SALES_16,MEAN,ANNUAL_ROLL,2016,45772,,,'')&lt;/Q&gt;&lt;R&gt;1&lt;/R&gt;&lt;C&gt;1&lt;/C&gt;&lt;D xsi:type="xsd:double"&gt;25042&lt;/D&gt;&lt;/FQL&gt;&lt;FQL&gt;&lt;Q&gt;Ticker0024^FE_ESTIMATE(PRODLINE_SALES_16,MEAN,QUARTERLY_ROLL,2016/4F,45772,,,'')&lt;/Q&gt;&lt;R&gt;1&lt;/R&gt;&lt;C&gt;1&lt;/C&gt;&lt;D xsi:type="xsd:double"&gt;6711&lt;/D&gt;&lt;/FQL&gt;&lt;FQL&gt;&lt;Q&gt;Ticker0024^FE_ESTIMATE(PRODLINE_SALES_16,MEAN,QUARTERLY_ROLL,2016/3F,45772,,,'')&lt;/Q&gt;&lt;R&gt;1&lt;/R&gt;&lt;C&gt;1&lt;/C&gt;&lt;D xsi:type="xsd:double"&gt;6096&lt;/D&gt;&lt;/FQL&gt;&lt;FQL&gt;&lt;Q&gt;Ticker0024^FE_ESTIMATE(PRODLINE_SALES_16,MEAN,QUARTERLY_ROLL,2016/2F,45772,,,'')&lt;/Q&gt;&lt;R&gt;1&lt;/R&gt;&lt;C&gt;1&lt;/C&gt;&lt;D xsi:type="xsd:double"&gt;6343&lt;/D&gt;&lt;/FQL&gt;&lt;FQL&gt;&lt;Q&gt;Ticker0024^FE_ESTIMATE(PRODLINE_SALES_16,MEAN,QUARTERLY_ROLL,2016/1F,45772,,,'')&lt;/Q&gt;&lt;R&gt;1&lt;/R&gt;&lt;C&gt;1&lt;/C&gt;&lt;D xsi:type="xsd:double"&gt;5892&lt;/D&gt;&lt;/FQL&gt;&lt;FQL&gt;&lt;Q&gt;Ticker0024^FE_ESTIMATE(PRODLINE_SALES_16,MEAN,ANNUAL_ROLL,2015,45772,,,'')&lt;/Q&gt;&lt;R&gt;0&lt;/R&gt;&lt;C&gt;0&lt;/C&gt;&lt;/FQL&gt;&lt;FQL&gt;&lt;Q&gt;Ticker0024^FE_ESTIMATE(PRODLINE_SALES_16,MEAN,QUARTERLY_ROLL,2015/4F,45772,,,'')&lt;/Q&gt;&lt;R&gt;0&lt;/R&gt;&lt;C&gt;0&lt;/C&gt;&lt;/FQL&gt;&lt;FQL&gt;&lt;Q&gt;Ticker0024^FE_ESTIMATE(PRODLINE_SALES_16,MEAN,QUARTERLY_ROLL,2015/3F,45772,,,'')&lt;/Q&gt;&lt;R&gt;0&lt;/R&gt;&lt;C&gt;0&lt;/C&gt;&lt;/FQL&gt;&lt;FQL&gt;&lt;Q&gt;Ticker0024^FE_ESTIMATE(PRODLINE_SALES_16,MEAN,QUARTERLY_ROLL,2015/2F,45772,,,'')&lt;/Q&gt;&lt;R&gt;0&lt;/R&gt;&lt;C&gt;0&lt;/C&gt;&lt;/FQL&gt;&lt;FQL&gt;&lt;Q&gt;Ticker0024^FE_ESTIMATE(PRODLINE_SALES_16,MEAN,QUARTERLY_ROLL,2015/1F,45772,,,'')&lt;/Q&gt;&lt;R&gt;0&lt;/R&gt;&lt;C&gt;0&lt;/C&gt;&lt;/FQL&gt;&lt;FQL&gt;&lt;Q&gt;Ticker0024^FE_ESTIMATE(PRODLINE_SALES_15,MEAN,ANNUAL_ROLL,2030,45772,,,'')&lt;/Q&gt;&lt;R&gt;0&lt;/R&gt;&lt;C&gt;0&lt;/C&gt;&lt;/FQL&gt;&lt;FQL&gt;&lt;Q&gt;Ticker0024^FE_ESTIMATE(PRODLINE_SALES_15,MEAN,QUARTERLY_ROLL,2030/4F,45772,,,'')&lt;/Q&gt;&lt;R&gt;0&lt;/R&gt;&lt;C&gt;0&lt;/C&gt;&lt;/FQL&gt;&lt;FQL&gt;&lt;Q&gt;Ticker0024^FE_ESTIMATE(PRODLINE_SALES_15,MEAN,QUARTERLY_ROLL,2030/3F,45772,,,'')&lt;/Q&gt;&lt;R&gt;0&lt;/R&gt;&lt;C&gt;0&lt;/C&gt;&lt;/FQL&gt;&lt;FQL&gt;&lt;Q&gt;Ticker0024^FE_ESTIMATE(PRODLINE_SALES_15,MEAN,QUARTERLY_ROLL,2030/2F,45772,,,'')&lt;/Q&gt;&lt;R&gt;0&lt;/R&gt;&lt;C&gt;0&lt;/C&gt;&lt;/FQL&gt;&lt;FQL&gt;&lt;Q&gt;Ticker0024^FE_ESTIMATE(PRODLINE_SALES_15,MEAN,QUARTERLY_ROLL,2030/1F,45772,,,'')&lt;/Q&gt;&lt;R&gt;0&lt;/R&gt;&lt;C&gt;0&lt;/C&gt;&lt;/FQL&gt;&lt;FQL&gt;&lt;Q&gt;Ticker0024^FE_ESTIMATE(PRODLINE_SALES_15,MEAN,ANNUAL_ROLL,2029,45772,,,'')&lt;/Q&gt;&lt;R&gt;0&lt;/R&gt;&lt;C&gt;0&lt;/C&gt;&lt;/FQL&gt;&lt;FQL&gt;&lt;Q&gt;Ticker0024^FE_ESTIMATE(PRODLINE_SALES_15,MEAN,QUARTERLY_ROLL,2029/4F,45772,,,'')&lt;/Q&gt;&lt;R&gt;0&lt;/R&gt;&lt;C&gt;0&lt;/C&gt;&lt;/FQL&gt;&lt;FQL&gt;&lt;Q&gt;Ticker0024^FE_ESTIMATE(PRODLINE_SALES_15,MEAN,QUARTERLY_ROLL,2029/3F,45772,,,'')&lt;/Q&gt;&lt;R&gt;0&lt;/R&gt;&lt;C&gt;0&lt;/C&gt;&lt;/FQL&gt;&lt;FQL&gt;&lt;Q&gt;Ticker0024^FE_ESTIMATE(PRODLINE_SALES_15,MEAN,QUARTERLY_ROLL,2029/2F,45772,,,'')&lt;/Q&gt;&lt;R&gt;0&lt;/R&gt;&lt;C&gt;0&lt;/C&gt;&lt;/FQL&gt;&lt;FQL&gt;&lt;Q&gt;Ticker0024^FE_ESTIMATE(PRODLINE_SALES_15,MEAN,QUARTERLY_ROLL,2029/1F,45772,,,'')&lt;/Q&gt;&lt;R&gt;0&lt;/R&gt;&lt;C&gt;0&lt;/C&gt;&lt;/FQL&gt;&lt;FQL&gt;&lt;Q&gt;Ticker0024^FE_ESTIMATE(PRODLINE_SALES_15,MEAN,ANNUAL_ROLL,2028,45772,,,'')&lt;/Q&gt;&lt;R&gt;0&lt;/R&gt;&lt;C&gt;0&lt;/C&gt;&lt;/FQL&gt;&lt;FQL&gt;</t>
        </r>
      </text>
    </comment>
    <comment ref="A40" authorId="0" shapeId="0" xr:uid="{7308099C-C070-4E6A-B903-D89C14A400E4}">
      <text>
        <r>
          <rPr>
            <b/>
            <sz val="9"/>
            <color indexed="81"/>
            <rFont val="Tahoma"/>
            <family val="2"/>
          </rPr>
          <t>&lt;Q&gt;Ticker0024^FE_ESTIMATE(PRODLINE_SALES_15,MEAN,QUARTERLY_ROLL,2028/4F,45772,,,'')&lt;/Q&gt;&lt;R&gt;0&lt;/R&gt;&lt;C&gt;0&lt;/C&gt;&lt;/FQL&gt;&lt;FQL&gt;&lt;Q&gt;Ticker0024^FE_ESTIMATE(PRODLINE_SALES_15,MEAN,QUARTERLY_ROLL,2028/3F,45772,,,'')&lt;/Q&gt;&lt;R&gt;0&lt;/R&gt;&lt;C&gt;0&lt;/C&gt;&lt;/FQL&gt;&lt;FQL&gt;&lt;Q&gt;Ticker0024^FE_ESTIMATE(PRODLINE_SALES_15,MEAN,QUARTERLY_ROLL,2028/2F,45772,,,'')&lt;/Q&gt;&lt;R&gt;0&lt;/R&gt;&lt;C&gt;0&lt;/C&gt;&lt;/FQL&gt;&lt;FQL&gt;&lt;Q&gt;Ticker0024^FE_ESTIMATE(PRODLINE_SALES_15,MEAN,QUARTERLY_ROLL,2028/1F,45772,,,'')&lt;/Q&gt;&lt;R&gt;0&lt;/R&gt;&lt;C&gt;0&lt;/C&gt;&lt;/FQL&gt;&lt;FQL&gt;&lt;Q&gt;Ticker0024^FE_ESTIMATE(PRODLINE_SALES_15,MEAN,ANNUAL_ROLL,2027,45772,,,'')&lt;/Q&gt;&lt;R&gt;1&lt;/R&gt;&lt;C&gt;1&lt;/C&gt;&lt;D xsi:type="xsd:double"&gt;143471.9&lt;/D&gt;&lt;/FQL&gt;&lt;FQL&gt;&lt;Q&gt;Ticker0024^FE_ESTIMATE(PRODLINE_SALES_15,MEAN,QUARTERLY_ROLL,2027/4F,45772,,,'')&lt;/Q&gt;&lt;R&gt;1&lt;/R&gt;&lt;C&gt;1&lt;/C&gt;&lt;D xsi:type="xsd:double"&gt;36839&lt;/D&gt;&lt;/FQL&gt;&lt;FQL&gt;&lt;Q&gt;Ticker0024^FE_ESTIMATE(PRODLINE_SALES_15,MEAN,QUARTERLY_ROLL,2027/3F,45772,,,'')&lt;/Q&gt;&lt;R&gt;1&lt;/R&gt;&lt;C&gt;1&lt;/C&gt;&lt;D xsi:type="xsd:double"&gt;35581&lt;/D&gt;&lt;/FQL&gt;&lt;FQL&gt;&lt;Q&gt;Ticker0024^FE_ESTIMATE(PRODLINE_SALES_15,MEAN,QUARTERLY_ROLL,2027/2F,45772,,,'')&lt;/Q&gt;&lt;R&gt;1&lt;/R&gt;&lt;C&gt;1&lt;/C&gt;&lt;D xsi:type="xsd:double"&gt;34907&lt;/D&gt;&lt;/FQL&gt;&lt;FQL&gt;&lt;Q&gt;Ticker0024^FE_ESTIMATE(PRODLINE_SALES_15,MEAN,QUARTERLY_ROLL,2027/1F,45772,,,'')&lt;/Q&gt;&lt;R&gt;1&lt;/R&gt;&lt;C&gt;1&lt;/C&gt;&lt;D xsi:type="xsd:double"&gt;33817.5&lt;/D&gt;&lt;/FQL&gt;&lt;FQL&gt;&lt;Q&gt;Ticker0024^FE_ESTIMATE(PRODLINE_SALES_15,MEAN,ANNUAL_ROLL,2026,45772,,,'')&lt;/Q&gt;&lt;R&gt;1&lt;/R&gt;&lt;C&gt;1&lt;/C&gt;&lt;D xsi:type="xsd:double"&gt;129831.836&lt;/D&gt;&lt;/FQL&gt;&lt;FQL&gt;&lt;Q&gt;Ticker0024^FE_ESTIMATE(PRODLINE_SALES_15,MEAN,QUARTERLY_ROLL,2026/4F,45772,,,'')&lt;/Q&gt;&lt;R&gt;1&lt;/R&gt;&lt;C&gt;1&lt;/C&gt;&lt;D xsi:type="xsd:double"&gt;33856.68&lt;/D&gt;&lt;/FQL&gt;&lt;FQL&gt;&lt;Q&gt;Ticker0024^FE_ESTIMATE(PRODLINE_SALES_15,MEAN,QUARTERLY_ROLL,2026/3F,45772,,,'')&lt;/Q&gt;&lt;R&gt;1&lt;/R&gt;&lt;C&gt;1&lt;/C&gt;&lt;D xsi:type="xsd:double"&gt;32280.53&lt;/D&gt;&lt;/FQL&gt;&lt;FQL&gt;&lt;Q&gt;Ticker0024^FE_ESTIMATE(PRODLINE_SALES_15,MEAN,QUARTERLY_ROLL,2026/2F,45772,,,'')&lt;/Q&gt;&lt;R&gt;1&lt;/R&gt;&lt;C&gt;1&lt;/C&gt;&lt;D xsi:type="xsd:double"&gt;31923.813&lt;/D&gt;&lt;/FQL&gt;&lt;FQL&gt;&lt;Q&gt;Ticker0024^FE_ESTIMATE(PRODLINE_SALES_15,MEAN,QUARTERLY_ROLL,2026/1F,45772,,,'')&lt;/Q&gt;&lt;R&gt;1&lt;/R&gt;&lt;C&gt;1&lt;/C&gt;&lt;D xsi:type="xsd:double"&gt;30849.574&lt;/D&gt;&lt;/FQL&gt;&lt;FQL&gt;&lt;Q&gt;Ticker0024^FE_ESTIMATE(PRODLINE_SALES_15,MEAN,ANNUAL_ROLL,2025,45772,,,'')&lt;/Q&gt;&lt;R&gt;1&lt;/R&gt;&lt;C&gt;1&lt;/C&gt;&lt;D xsi:type="xsd:double"&gt;118388&lt;/D&gt;&lt;/FQL&gt;&lt;FQL&gt;&lt;Q&gt;Ticker0024^FE_ESTIMATE(PRODLINE_SALES_15,MEAN,QUARTERLY_ROLL,2025/4F,45772,,,'')&lt;/Q&gt;&lt;R&gt;1&lt;/R&gt;&lt;C&gt;1&lt;/C&gt;&lt;D xsi:type="xsd:double"&gt;30948.455&lt;/D&gt;&lt;/FQL&gt;&lt;FQL&gt;&lt;Q&gt;Ticker0024^FE_ESTIMATE(PRODLINE_SALES_15,MEAN,QUARTERLY_ROLL,2025/3F,45772,,,'')&lt;/Q&gt;&lt;R&gt;1&lt;/R&gt;&lt;C&gt;1&lt;/C&gt;&lt;D xsi:type="xsd:double"&gt;29540.709&lt;/D&gt;&lt;/FQL&gt;&lt;FQL&gt;&lt;Q&gt;Ticker0024^FE_ESTIMATE(PRODLINE_SALES_15,MEAN,QUARTERLY_ROLL,2025/2F,45772,,,'')&lt;/Q&gt;&lt;R&gt;1&lt;/R&gt;&lt;C&gt;1&lt;/C&gt;&lt;D xsi:type="xsd:double"&gt;29437&lt;/D&gt;&lt;/FQL&gt;&lt;FQL&gt;&lt;Q&gt;Ticker0024^FE_ESTIMATE(PRODLINE_SALES_15,MEAN,QUARTERLY_ROLL,2025/1F,45772,,,'')&lt;/Q&gt;&lt;R&gt;1&lt;/R&gt;&lt;C&gt;1&lt;/C&gt;&lt;D xsi:type="xsd:double"&gt;28317&lt;/D&gt;&lt;/FQL&gt;&lt;FQL&gt;&lt;Q&gt;Ticker0024^FE_ESTIMATE(PRODLINE_SALES_15,MEAN,ANNUAL_ROLL,2024,45772,,,'')&lt;/Q&gt;&lt;R&gt;1&lt;/R&gt;&lt;C&gt;1&lt;/C&gt;&lt;D xsi:type="xsd:double"&gt;77728&lt;/D&gt;&lt;/FQL&gt;&lt;FQL&gt;&lt;Q&gt;Ticker0024^FE_ESTIMATE(PRODLINE_SALES_15,MEAN,QUARTERLY_ROLL,2024/4F,45772,,,'')&lt;/Q&gt;&lt;R&gt;1&lt;/R&gt;&lt;C&gt;1&lt;/C&gt;&lt;D xsi:type="xsd:double"&gt;20317&lt;/D&gt;&lt;/FQL&gt;&lt;FQL&gt;&lt;Q&gt;Ticker0024^FE_ESTIMATE(PRODLINE_SALES_15,MEAN,QUARTERLY_ROLL,2024/3F,45772,,,'')&lt;/Q&gt;&lt;R&gt;1&lt;/R&gt;&lt;C&gt;1&lt;/C&gt;&lt;D xsi:type="xsd:double"&gt;19570&lt;/D&gt;&lt;/FQL&gt;&lt;FQL&gt;&lt;Q&gt;Ticker0024^FE_ESTIMATE(PRODLINE_SALES_15,MEAN,QUARTERLY_ROLL,2024/2F,45772,,,'')&lt;/Q&gt;&lt;R&gt;1&lt;/R&gt;&lt;C&gt;1&lt;/C&gt;&lt;D xsi:type="xsd:double"&gt;19249&lt;/D&gt;&lt;/FQL&gt;&lt;FQL&gt;&lt;Q&gt;Ticker0024^FE_ESTIMATE(PRODLINE_SALES_15,MEAN,QUARTERLY_ROLL,2024/1F,45772,,,'')&lt;/Q&gt;&lt;R&gt;1&lt;/R&gt;&lt;C&gt;1&lt;/C&gt;&lt;D xsi:type="xsd:double"&gt;18592&lt;/D&gt;&lt;/FQL&gt;&lt;FQL&gt;&lt;Q&gt;Ticker0024^FE_ESTIMATE(PRODLINE_SALES_15,MEAN,ANNUAL_ROLL,2023,45772,,,'')&lt;/Q&gt;&lt;R&gt;1&lt;/R&gt;&lt;C&gt;1&lt;/C&gt;&lt;D xsi:type="xsd:double"&gt;69275&lt;/D&gt;&lt;/FQL&gt;&lt;FQL&gt;&lt;Q&gt;Ticker0024^FE_ESTIMATE(PRODLINE_SALES_15,MEAN,QUARTERLY_ROLL,2023/4F,45772,,,'')&lt;/Q&gt;&lt;R&gt;1&lt;/R&gt;&lt;C&gt;1&lt;/C&gt;&lt;D xsi:type="xsd:double"&gt;18291&lt;/D&gt;&lt;/FQL&gt;&lt;FQL&gt;&lt;Q&gt;Ticker0024^FE_ESTIMATE(PRODLINE_SALES_15,MEAN,QUARTERLY_ROLL,2023/3F,45772,,,'')&lt;/Q&gt;&lt;R&gt;1&lt;/R&gt;&lt;C&gt;1&lt;/C&gt;&lt;D xsi:type="xsd:double"&gt;17516&lt;/D&gt;&lt;/FQL&gt;&lt;FQL&gt;&lt;Q&gt;Ticker0024^FE_ESTIMATE(PRODLINE_SALES_15,MEAN,QUARTERLY_ROLL,2023/2F,45772,,,'')&lt;/Q&gt;&lt;R&gt;1&lt;/R&gt;&lt;C&gt;1&lt;/C&gt;&lt;D xsi:type="xsd:double"&gt;17002&lt;/D&gt;&lt;/FQL&gt;&lt;FQL&gt;&lt;Q&gt;Ticker0024^FE_ESTIMATE(PRODLINE_SALES_15,MEAN,QUARTERLY_ROLL,2023/1F,45772,,,'')&lt;/Q&gt;&lt;R&gt;1&lt;/R&gt;&lt;C&gt;1&lt;/C&gt;&lt;D xsi:type="xsd:double"&gt;16465&lt;/D&gt;&lt;/FQL&gt;&lt;FQL&gt;&lt;Q&gt;Ticker0024^FE_ESTIMATE(PRODLINE_SALES_15,MEAN,ANNUAL_ROLL,2022,45772,,,'')&lt;/Q&gt;&lt;R&gt;1&lt;/R&gt;&lt;C&gt;1&lt;/C&gt;&lt;D xsi:type="xsd:double"&gt;63364&lt;/D&gt;&lt;/FQL&gt;&lt;FQL&gt;&lt;Q&gt;Ticker0024^FE_ESTIMATE(PRODLINE_SALES_15,MEAN,QUARTERLY_ROLL,2022/4F,45772,,,'')&lt;/Q&gt;&lt;R&gt;1&lt;/R&gt;&lt;C&gt;1&lt;/C&gt;&lt;D xsi:type="xsd:double"&gt;16600&lt;/D&gt;&lt;/FQL&gt;&lt;FQL&gt;&lt;Q&gt;Ticker0024^FE_ESTIMATE(PRODLINE_SALES_15,MEAN,QUARTERLY_ROLL,2022/3F,45772,,,'')&lt;/Q&gt;&lt;R&gt;1&lt;/R&gt;&lt;C&gt;1&lt;/C&gt;&lt;D xsi:type="xsd:double"&gt;15789&lt;/D&gt;&lt;/FQL&gt;&lt;FQL&gt;&lt;Q&gt;Ticker0024^FE_ESTIMATE(PRODLINE_SALES_15,MEAN,QUARTERLY_ROLL,2022/2F,45772,,,'')&lt;/Q&gt;&lt;R&gt;1&lt;/R&gt;&lt;C&gt;1&lt;/C&gt;&lt;D xsi:type="xsd:double"&gt;15936&lt;/D&gt;&lt;/FQL&gt;&lt;FQL&gt;&lt;Q&gt;Ticker0024^FE_ESTIMATE(PRODLINE_SALES_15,MEAN,QUARTERLY_ROLL,2022/1F,45772,,,'')&lt;/Q&gt;&lt;R&gt;1&lt;/R&gt;&lt;C&gt;1&lt;/C&gt;&lt;D xsi:type="xsd:double"&gt;15039&lt;/D&gt;&lt;/FQL&gt;&lt;FQL&gt;&lt;Q&gt;Ticker0024^FE_ESTIMATE(PRODLINE_SALES_15,MEAN,ANNUAL_ROLL,2021,45772,,,'')&lt;/Q&gt;&lt;R&gt;1&lt;/R&gt;&lt;C&gt;1&lt;/C&gt;&lt;D xsi:type="xsd:double"&gt;53915&lt;/D&gt;&lt;/FQL&gt;&lt;FQL&gt;&lt;Q&gt;Ticker0024^FE_ESTIMATE(PRODLINE_SALES_15,MEAN,QUARTERLY_ROLL,2021/4F,45772,,,'')&lt;/Q&gt;&lt;R&gt;1&lt;/R&gt;&lt;C&gt;1&lt;/C&gt;&lt;D xsi:type="xsd:double"&gt;14691&lt;/D&gt;&lt;/FQL&gt;&lt;FQL&gt;&lt;Q&gt;Ticker0024^FE_ESTIMATE(PRODLINE_SALES_15,MEAN,QUARTERLY_ROLL,2021/3F,45772,,,'')&lt;/Q&gt;&lt;R&gt;1&lt;/R&gt;&lt;C&gt;1&lt;/C&gt;&lt;D xsi:type="xsd:double"&gt;13552&lt;/D&gt;&lt;/FQL&gt;&lt;FQL&gt;&lt;Q&gt;Ticker0024^FE_ESTIMATE(PRODLINE_SALES_15,MEAN,QUARTERLY_ROLL,2021/2F,45772,,,'')&lt;/Q&gt;&lt;R&gt;1&lt;/R&gt;&lt;C&gt;1&lt;/C&gt;&lt;D xsi:type="xsd:double"&gt;13353&lt;/D&gt;&lt;/FQL&gt;&lt;FQL&gt;&lt;Q&gt;Ticker0024^FE_ESTIMATE(PRODLINE_SALES_15,MEAN,QUARTERLY_ROLL,2021/1F,45772,,,'')&lt;/Q&gt;&lt;R&gt;1&lt;/R&gt;&lt;C&gt;1&lt;/C&gt;&lt;D xsi:type="xsd:double"&gt;12319&lt;/D&gt;&lt;/FQL&gt;&lt;FQL&gt;&lt;Q&gt;Ticker0024^FE_ESTIMATE(PRODLINE_SALES_15,MEAN,ANNUAL_ROLL,2020,45772,,,'')&lt;/Q&gt;&lt;R&gt;1&lt;/R&gt;&lt;C&gt;1&lt;/C&gt;&lt;D xsi:type="xsd:double"&gt;46398&lt;/D&gt;&lt;/FQL&gt;&lt;FQL&gt;&lt;Q&gt;Ticker0024^FE_ESTIMATE(PRODLINE_SALES_15,MEAN,QUARTERLY_ROLL,2020/4F,45772,,,'')&lt;/Q&gt;&lt;R&gt;1&lt;/R&gt;&lt;C&gt;1&lt;/C&gt;&lt;D xsi:type="xsd:double"&gt;11752&lt;/D&gt;&lt;/FQL&gt;&lt;FQL&gt;&lt;Q&gt;Ticker0024^FE_ESTIMATE(PRODLINE_SALES_15,MEAN,QUARTERLY_ROLL,2020/3F,45772,,,'')&lt;/Q&gt;&lt;R&gt;1&lt;/R&gt;&lt;C&gt;1&lt;/C&gt;&lt;D xsi:type="xsd:double"&gt;11743&lt;/D&gt;&lt;/FQL&gt;&lt;FQL&gt;&lt;Q&gt;Ticker0024^FE_ESTIMATE(PRODLINE_SALES_15,MEAN,QUARTERLY_ROLL,2020/2F,45772,,,'')&lt;/Q&gt;&lt;R&gt;1&lt;/R&gt;&lt;C&gt;1&lt;/C&gt;&lt;D xsi:type="xsd:double"&gt;11826&lt;/D&gt;&lt;/FQL&gt;&lt;FQL&gt;&lt;Q&gt;Ticker0024^FE_ESTIMATE(PRODLINE_SALES_15,MEAN,QUARTERLY_ROLL,2020/1F,45772,,,'')&lt;/Q&gt;&lt;R&gt;1&lt;/R&gt;&lt;C&gt;1&lt;/C&gt;&lt;D xsi:type="xsd:double"&gt;11077&lt;/D&gt;&lt;/FQL&gt;&lt;FQL&gt;&lt;Q&gt;Ticker0024^FE_ESTIMATE(PRODLINE_SALES_15,MEAN,ANNUAL_ROLL,2019,45772,,,'')&lt;/Q&gt;&lt;R&gt;1&lt;/R&gt;&lt;C&gt;1&lt;/C&gt;&lt;D xsi:type="xsd:double"&gt;41160&lt;/D&gt;&lt;/FQL&gt;&lt;FQL&gt;&lt;Q&gt;Ticker0024^FE_ESTIMATE(PRODLINE_SALES_15,MEAN,QUARTERLY_ROLL,2019/4F,45772,,,'')&lt;/Q&gt;&lt;R&gt;1&lt;/R&gt;&lt;C&gt;1&lt;/C&gt;&lt;D xsi:type="xsd:double"&gt;11047&lt;/D&gt;&lt;/FQL&gt;&lt;FQL&gt;&lt;Q&gt;Ticker0024^FE_ESTIMATE(PRODLINE_SALES_15,MEAN,QUARTERLY_ROLL,2019/3F,45772,,,'')&lt;/Q&gt;&lt;R&gt;1&lt;/R&gt;&lt;C&gt;1&lt;/C&gt;&lt;D xsi:type="xsd:double"&gt;10242&lt;/D&gt;&lt;/FQL&gt;&lt;FQL&gt;&lt;Q&gt;Ticker0024^FE_ESTIMATE(PRODLINE_SALES_15,MEAN,QUARTERLY_ROLL,2019/2F,45772,,,'')&lt;/Q&gt;&lt;R&gt;1&lt;/R&gt;&lt;C&gt;1&lt;/C&gt;&lt;D xsi:type="xsd:double"&gt;10100&lt;/D&gt;&lt;/FQL&gt;&lt;FQL&gt;&lt;Q&gt;Ticker0024^FE_ESTIMATE(PRODLINE_SALES_15,MEAN,QUARTERLY_ROLL,2019/1F,45772,,,'')&lt;/Q&gt;&lt;R&gt;1&lt;/R&gt;&lt;C&gt;1&lt;/C&gt;&lt;D xsi:type="xsd:double"&gt;9771&lt;/D&gt;&lt;/FQL&gt;&lt;FQL&gt;&lt;Q&gt;Ticker0024^FE_ESTIMATE(PRODLINE_SALES_15,MEAN,ANNUAL_ROLL,2018,45772,,,'')&lt;/Q&gt;&lt;R&gt;1&lt;/R&gt;&lt;C&gt;1&lt;/C&gt;&lt;D xsi:type="xsd:double"&gt;35865&lt;/D&gt;&lt;/FQL&gt;&lt;FQL&gt;&lt;Q&gt;Ticker0024^FE_ESTIMATE(PRODLINE_SALES_15,MEAN,QUARTERLY_ROLL,2018/4F,45772,,,'')&lt;/Q&gt;&lt;R&gt;1&lt;/R&gt;&lt;C&gt;1&lt;/C&gt;&lt;D xsi:type="xsd:double"&gt;9668&lt;/D&gt;&lt;/FQL&gt;&lt;FQL&gt;&lt;Q&gt;Ticker0024^FE_ESTIMATE(PRODLINE_SALES_15,MEAN,QUARTERLY_ROLL,2018/3F,45772,,,'')&lt;/Q&gt;&lt;R&gt;1&lt;/R&gt;&lt;C&gt;1&lt;/C&gt;&lt;D xsi:type="xsd:double"&gt;9006&lt;/D&gt;&lt;/FQL&gt;&lt;FQL&gt;&lt;Q&gt;Ticker0024^FE_ESTIMATE(PRODLINE_SALES_15,MEAN,QUARTERLY_ROLL,2018/2F,45772,,,'')&lt;/Q&gt;&lt;R&gt;1&lt;/R&gt;&lt;C&gt;1&lt;/C&gt;&lt;D xsi:type="xsd:double"&gt;8953&lt;/D&gt;&lt;/FQL&gt;&lt;FQL&gt;&lt;Q&gt;Ticker0024^FE_ESTIMATE(PRODLINE_SALES_15,MEAN,QUARTERLY_ROLL,2018/1F,45772,,,'')&lt;/Q&gt;&lt;R&gt;1&lt;/R&gt;&lt;C&gt;1&lt;/C&gt;&lt;D xsi:type="xsd:double"&gt;8238&lt;/D&gt;&lt;/FQL&gt;&lt;FQL&gt;&lt;Q&gt;Ticker0024^FE_ESTIMATE(PRODLINE_SALES_15,MEAN,ANNUAL_ROLL,2017,45772,,,'')&lt;/Q&gt;&lt;R&gt;1&lt;/R&gt;&lt;C&gt;1&lt;/C&gt;&lt;D xsi:type="xsd:double"&gt;30444&lt;/D&gt;&lt;/FQL&gt;&lt;FQL&gt;&lt;Q&gt;Ticker0024^FE_ESTIMATE(PRODLINE_SALES_15,MEAN,QUARTERLY_ROLL,2017/4F,45772,,,'')&lt;/Q&gt;&lt;R&gt;1&lt;/R&gt;&lt;C&gt;1&lt;/C&gt;&lt;D xsi:type="xsd:double"&gt;8446&lt;/D&gt;&lt;/FQL&gt;&lt;FQL&gt;&lt;Q&gt;Ticker0024^FE_ESTIMATE(PRODLINE_SALES_15,MEAN,QUARTERLY_ROLL,2017/3F,45772,,,'')&lt;/Q&gt;&lt;R&gt;1&lt;/R&gt;&lt;C&gt;1&lt;/C&gt;&lt;D xsi:type="xsd:double"&gt;7958&lt;/D&gt;&lt;/FQL&gt;&lt;FQL&gt;&lt;Q&gt;Ticker0024^FE_ESTIMATE(PRODLINE_SALES_15,MEAN,QUARTERLY_ROLL,2017/2F,45772,,,'')&lt;/Q&gt;&lt;R&gt;1&lt;/R&gt;&lt;C&gt;1&lt;/C&gt;&lt;D xsi:type="xsd:double"&gt;7382&lt;/D&gt;&lt;/FQL&gt;&lt;FQL&gt;&lt;Q&gt;Ticker0024^FE_ESTIMATE(PRODLINE_SALES_15,MEAN,QUARTERLY_ROLL,2017/1F,45772,,,'')&lt;/Q&gt;&lt;R&gt;1&lt;/R&gt;&lt;C&gt;1&lt;/C&gt;&lt;D xsi:type="xsd:double"&gt;6658&lt;/D&gt;&lt;/FQL&gt;&lt;FQL&gt;&lt;Q&gt;Ticker0024^FE_ESTIMATE(PRODLINE_SALES_15,MEAN,ANNUAL_ROLL,2016,45772,,,'')&lt;/Q&gt;&lt;R&gt;1&lt;/R&gt;&lt;C&gt;1&lt;/C&gt;&lt;D xsi:type="xsd:double"&gt;26487&lt;/D&gt;&lt;/FQL&gt;&lt;FQL&gt;&lt;Q&gt;Ticker0024^FE_ESTIMATE(PRODLINE_SALES_15,MEAN,QUARTERLY_ROLL,2016/4F,45772,,,'')&lt;/Q&gt;&lt;R&gt;1&lt;/R&gt;&lt;C&gt;1&lt;/C&gt;&lt;D xsi:type="xsd:double"&gt;6969&lt;/D&gt;&lt;/FQL&gt;&lt;FQL&gt;&lt;Q&gt;Ticker0024^FE_ESTIMATE(PRODLINE_SALES_15,MEAN,QUARTERLY_ROLL,2016/3F,45772,,,'')&lt;/Q&gt;&lt;R&gt;1&lt;/R&gt;&lt;C&gt;1&lt;/C&gt;&lt;D xsi:type="xsd:double"&gt;6522&lt;/D&gt;&lt;/FQL&gt;&lt;FQL&gt;&lt;Q&gt;Ticker0024^FE_ESTIMATE(PRODLINE_SALES_15,MEAN,QUARTERLY_ROLL,2016/2F,45772,,,'')&lt;/Q&gt;&lt;R&gt;1&lt;/R&gt;&lt;C&gt;1&lt;/C&gt;&lt;D xsi:type="xsd:double"&gt;6690&lt;/D&gt;&lt;/FQL&gt;&lt;FQL&gt;&lt;Q&gt;Ticker0024^FE_ESTIMATE(PRODLINE_SALES_15,MEAN,QUARTERLY_ROLL,2016/1F,45772,,,'')&lt;/Q&gt;&lt;R&gt;1&lt;/R&gt;&lt;C&gt;1&lt;/C&gt;&lt;D xsi:type="xsd:double"&gt;6306&lt;/D&gt;&lt;/FQL&gt;&lt;FQL&gt;&lt;Q&gt;Ticker0024^FE_ESTIMATE(PRODLINE_SALES_15,MEAN,ANNUAL_ROLL,2015,45772,,,'')&lt;/Q&gt;&lt;R&gt;0&lt;/R&gt;&lt;C&gt;0&lt;/C&gt;&lt;/FQL&gt;&lt;FQL&gt;&lt;Q&gt;Ticker0024^FE_ESTIMATE(PRODLINE_SALES_15,MEAN,QUARTERLY_ROLL,2015/4F,45772,,,'')&lt;/Q&gt;&lt;R&gt;0&lt;/R&gt;&lt;C&gt;0&lt;/C&gt;&lt;/FQL&gt;&lt;FQL&gt;&lt;Q&gt;Ticker0024^FE_ESTIMATE(PRODLINE_SALES_15,MEAN,QUARTERLY_ROLL,2015/3F,45772,,,'')&lt;/Q&gt;&lt;R&gt;0&lt;/R&gt;&lt;C&gt;0&lt;/C&gt;&lt;/FQL&gt;&lt;FQL&gt;&lt;Q&gt;Ticker0024^FE_ESTIMATE(PRODLINE_SALES_15,MEAN,QUARTERLY_ROLL,2015/2F,45772,,,'')&lt;/Q&gt;&lt;R&gt;0&lt;/R&gt;&lt;C&gt;0&lt;/C&gt;&lt;/FQL&gt;&lt;FQL&gt;&lt;Q&gt;Ticker0024^FE_ESTIMATE(PRODLINE_SALES_15,MEAN,QUARTERLY_ROLL,2015/1F,45772,,,'')&lt;/Q&gt;&lt;R&gt;0&lt;/R&gt;&lt;C&gt;0&lt;/C&gt;&lt;/FQL&gt;&lt;FQL&gt;&lt;Q&gt;Ticker0024^FE_ESTIMATE(SPEC_NO_CHANGE_2,MEAN,ANNUAL_ROLL,2030,45776,,,'')&lt;/Q&gt;&lt;R&gt;0&lt;/R&gt;&lt;C&gt;0&lt;/C&gt;&lt;/FQL&gt;&lt;FQL&gt;&lt;Q&gt;Ticker0024^FE_ESTIMATE(SPEC_NO_CHANGE_2,MEAN,QUARTERLY_ROLL,2030/4F,45776,,,'')&lt;/Q&gt;&lt;R&gt;0&lt;/R&gt;&lt;C&gt;0&lt;/C&gt;&lt;/FQL&gt;&lt;FQL&gt;&lt;Q&gt;Ticker0024^FE_ESTIMATE(SPEC_NO_CHANGE_2,MEAN,QUARTERLY_ROLL,2030/3F,45776,,,'')&lt;/Q&gt;&lt;R&gt;0&lt;/R&gt;&lt;C&gt;0&lt;/C&gt;&lt;/FQL&gt;&lt;FQL&gt;&lt;Q&gt;Ticker0024^FE_ESTIMATE(SPEC_NO_CHANGE_2,MEAN,QUARTERLY_ROLL,2030/2F,45776,,,'')&lt;/Q&gt;&lt;R&gt;0&lt;/R&gt;&lt;C&gt;0&lt;/C&gt;&lt;/FQL&gt;&lt;FQL&gt;&lt;Q&gt;Ticker0024^FE_ESTIMATE(SPEC_NO_CHANGE_2,MEAN,QUARTERLY_ROLL,2030/1F,45776,,,'')&lt;/Q&gt;&lt;R&gt;0&lt;/R&gt;&lt;C&gt;0&lt;/C&gt;&lt;/FQL&gt;&lt;FQL&gt;&lt;Q&gt;Ticker0024^FE_ESTIMATE(SPEC_NO_CHANGE_2,MEAN,ANNUAL_ROLL,2029,45776,,,'')&lt;/Q&gt;&lt;R&gt;0&lt;/R&gt;&lt;C&gt;0&lt;/C&gt;&lt;/FQL&gt;&lt;FQL&gt;&lt;Q&gt;Ticker0024^FE_ESTIMATE(SPEC_NO_CHANGE_2,MEAN,QUARTERLY_ROLL,2029/4F,45776,,,'')&lt;/Q&gt;&lt;R&gt;0&lt;/R&gt;&lt;C&gt;0&lt;/C&gt;&lt;/FQL&gt;&lt;FQL&gt;&lt;Q&gt;Ticker0024^FE_ESTIMATE(SPEC_NO_CHANGE_2,MEAN,QUARTERLY_ROLL,2029/3F,45776,,,'')&lt;/Q&gt;&lt;R&gt;0&lt;/R&gt;&lt;C&gt;0&lt;/C&gt;&lt;/FQL&gt;&lt;FQL&gt;&lt;Q&gt;Ticker0024^FE_ESTIMATE(SPEC_NO_CHANGE_2,MEAN,QUARTERLY_ROLL,2029/2F,45776,,,'')&lt;/Q&gt;&lt;R&gt;0&lt;/R&gt;&lt;C&gt;0&lt;/C&gt;&lt;/FQL&gt;&lt;FQL&gt;&lt;Q&gt;Ticker0024^FE_ESTIMATE(SPEC_NO_CHANGE_2,MEAN,QUARTERLY_ROLL,2029/1F,45776,,,'')&lt;/Q&gt;&lt;R&gt;0&lt;/R&gt;&lt;C&gt;0&lt;/C&gt;&lt;/FQL&gt;&lt;FQL&gt;&lt;Q&gt;Ticker0024^FE_ESTIMATE(SPEC_NO_CHANGE_2,MEAN,ANNUAL_ROLL,2028,45776,,,'')&lt;/Q&gt;&lt;R&gt;1&lt;/R&gt;&lt;C&gt;1&lt;/C&gt;&lt;D xsi:type="xsd:double"&gt;24&lt;/D&gt;&lt;/FQL&gt;&lt;FQL&gt;&lt;Q&gt;Ticker0024^FE_ESTIMATE(SPEC_NO_CHANGE_2,MEAN,QUARTERLY_ROLL,2028/4F,45776,,,'')&lt;/Q&gt;&lt;R&gt;0&lt;/R&gt;&lt;C&gt;0&lt;/C&gt;&lt;/FQL&gt;&lt;FQL&gt;&lt;Q&gt;Ticker0024^FE_ESTIMATE(SPEC_NO_CHANGE_2,MEAN,QUARTERLY_ROLL,2028/3F,45776,,,'')&lt;/Q&gt;&lt;R&gt;0&lt;/R&gt;&lt;C&gt;0&lt;/C&gt;&lt;/FQL&gt;&lt;FQL&gt;&lt;Q&gt;Ticker0024^FE_ESTIMATE(SPEC_NO_CHANGE_2,MEAN,QUARTERLY_ROLL,2028/2F,45776,,,'')&lt;/Q&gt;&lt;R&gt;0&lt;/R&gt;&lt;C&gt;0&lt;/C&gt;&lt;/FQL&gt;&lt;FQL&gt;&lt;Q&gt;Ticker0024^FE_ESTIMATE(SPEC_NO_CHANGE_2,MEAN,QUARTERLY_ROLL,2028/1F,45776,,,'')&lt;/Q&gt;&lt;R&gt;0&lt;/R&gt;&lt;C&gt;0&lt;/C&gt;&lt;/FQL&gt;&lt;FQL&gt;&lt;Q&gt;Ticker0024^FE_ESTIMATE(SPEC_NO_CHANGE_2,MEAN,ANNUAL_ROLL,2027,45776,,,'')&lt;/Q&gt;&lt;R&gt;1&lt;/R&gt;&lt;C&gt;1&lt;/C&gt;&lt;D xsi:type="xsd:double"&gt;30&lt;/D&gt;&lt;/FQL&gt;&lt;FQL&gt;&lt;Q&gt;Ticker0024^FE_ESTIMATE(SPEC_NO_CHANGE_2,MEAN,QUARTERLY_ROLL,2027/4F,45776,,,'')&lt;/Q&gt;&lt;R&gt;0&lt;/R&gt;&lt;C&gt;0&lt;/C&gt;&lt;/FQL&gt;&lt;FQL&gt;&lt;Q&gt;Ticker0024^FE_ESTIMATE(SPEC_NO_CHANGE_2,MEAN,QUARTERLY_ROLL,2027/3F,45776,,,'')&lt;/Q&gt;&lt;R&gt;0&lt;/R&gt;&lt;C&gt;0&lt;/C&gt;&lt;/FQL&gt;&lt;FQL&gt;&lt;Q&gt;Ticker0024^FE_ESTIMATE(SPEC_NO_CHANGE_2,MEAN,QUARTERLY_ROLL,2027/2F,45776,,,'')&lt;/Q&gt;&lt;R&gt;0&lt;/R&gt;&lt;C&gt;0&lt;/C&gt;&lt;/FQL&gt;&lt;FQL&gt;&lt;Q&gt;Ticker0024^FE_ESTIMATE(SPEC_NO_CHANGE_2,MEAN,QUARTERLY_ROLL,2027/1F,45776,,,'')&lt;/Q&gt;&lt;R&gt;0&lt;/R&gt;&lt;C&gt;0&lt;/C&gt;&lt;/FQL&gt;&lt;FQL&gt;&lt;Q&gt;Ticker0024^FE_ESTIMATE(SPEC_NO_CHANGE_2,MEAN,ANNUAL_ROLL,2026,45776,,,'')&lt;/Q&gt;&lt;R&gt;1&lt;/R&gt;&lt;C&gt;1&lt;/C&gt;&lt;D xsi:type="xsd:double"&gt;31.433332&lt;/D&gt;&lt;/FQL&gt;&lt;FQL&gt;&lt;Q&gt;Ticker0024^FE_ESTIMATE(SPEC_NO_CHANGE_2,MEAN,QUARTERLY_ROLL,2026/4F,45776,,,'')&lt;/Q&gt;&lt;R&gt;1&lt;/R&gt;&lt;C&gt;1&lt;/C&gt;&lt;D xsi:type="xsd:double"&gt;30.933332&lt;/D&gt;&lt;/FQL&gt;&lt;FQL&gt;&lt;Q&gt;Ticker0024^FE_ESTIMATE(SPEC_NO_CHANGE_2,MEAN,QUARTERLY_ROLL,2026/3F,45776,,,'')&lt;/Q&gt;&lt;R&gt;1&lt;/R&gt;&lt;C&gt;1&lt;/C&gt;&lt;D xsi:type="xsd:double"&gt;31.833334&lt;/D&gt;&lt;/FQL&gt;&lt;FQL&gt;&lt;Q&gt;Ticker0024^FE_ESTIMATE(SPEC_NO_CHANGE_2,MEAN,QUARTERLY_ROLL,2026/2F,45776,,,'')&lt;/Q&gt;&lt;R&gt;1&lt;/R&gt;&lt;C&gt;1&lt;/C&gt;&lt;D xsi:type="xsd:double"&gt;31.125&lt;/D&gt;&lt;/FQL&gt;&lt;FQL&gt;&lt;Q&gt;Ticker0024^FE_ESTIMATE(SPEC_NO_CHANGE_2,MEAN,QUARTERLY_ROLL,2026/1F,45776,,,'')&lt;/Q&gt;&lt;R&gt;1&lt;/R&gt;&lt;C&gt;1&lt;/C&gt;&lt;D xsi:type="xsd:double"&gt;31.875&lt;/D&gt;&lt;/FQL&gt;&lt;FQL&gt;&lt;Q&gt;Ticker0024^FE_ESTIMATE(SPEC_NO_CHANGE_2,MEAN,ANNUAL_ROLL,2025,45776,,,'')&lt;/Q&gt;&lt;R&gt;1&lt;/R&gt;&lt;C&gt;1&lt;/C&gt;&lt;D xsi:type="xsd:double"&gt;31.666666&lt;/D&gt;&lt;/FQL&gt;&lt;FQL&gt;&lt;Q&gt;Ticker0024^FE_ESTIMATE(SPEC_NO_CHANGE_2,MEAN,QUARTERLY_ROLL,2025/4F,45776,,,'')&lt;/Q&gt;&lt;R&gt;1&lt;/R&gt;&lt;C&gt;1&lt;/C&gt;&lt;D xsi:type="xsd:double"&gt;31.666666&lt;/D&gt;&lt;/FQL&gt;&lt;FQL&gt;&lt;Q&gt;Ticker0024^FE_ESTIMATE(SPEC_NO_CHANGE_2,MEAN,QUARTERLY_ROLL,2025/3F,45776,,,'')&lt;/Q&gt;&lt;R&gt;1&lt;/R&gt;&lt;C&gt;1&lt;/C&gt;&lt;D xsi:type="xsd:double"&gt;31.366667&lt;/D&gt;&lt;/FQL&gt;&lt;FQL&gt;&lt;Q&gt;Ticker0024^FE_ESTIMATE(SPEC_NO_CHANGE_2,MEAN,QUARTERLY_ROLL,2025/2F,45776,,,'')&lt;/Q&gt;&lt;R&gt;1&lt;/R&gt;&lt;C&gt;1&lt;/C&gt;&lt;D xsi:type="xsd:double"&gt;31&lt;/D&gt;&lt;/FQL&gt;&lt;FQL&gt;&lt;Q&gt;Ticker0024^FE_ESTIMATE(SPEC_NO_CHANGE_2,MEAN,QUARTERLY_ROLL,2025/1F,45776,,,'')&lt;/Q&gt;&lt;R&gt;1&lt;/R&gt;&lt;C&gt;1&lt;/C&gt;&lt;D xsi:type="xsd:double"&gt;34&lt;/D&gt;&lt;/FQL&gt;&lt;FQL&gt;&lt;Q&gt;Ticker0024^FE_ESTIMATE(SPEC_NO_CHANGE_2,MEAN,ANNUAL_ROLL,2024,45776,,,'')&lt;/Q&gt;&lt;R&gt;1&lt;/R&gt;&lt;C&gt;1&lt;/C&gt;&lt;D xsi:type="xsd:double"&gt;29.14&lt;/D&gt;&lt;/FQL&gt;&lt;FQL&gt;&lt;Q&gt;Ticker0024^FE_ESTIMATE(SPEC_NO_CHANGE_2,MEAN,QUARTERLY_ROLL,2024/4F,45776,,,'')&lt;/Q&gt;&lt;R&gt;1&lt;/R&gt;&lt;C&gt;1&lt;/C&gt;&lt;D xsi:type="xsd:double"&gt;30&lt;/D&gt;&lt;/FQL&gt;&lt;FQL&gt;&lt;Q&gt;Ticker0024^FE_ESTIMATE(SPEC_NO_CHANGE_2,MEAN,QUARTERLY_ROLL,2024/3F,45776,,,'')&lt;/Q&gt;&lt;R&gt;1&lt;/R&gt;&lt;C&gt;1&lt;/C&gt;&lt;D xsi:type="xsd:double"&gt;31&lt;/D&gt;&lt;/FQL&gt;&lt;FQL&gt;&lt;Q&gt;Ticker0024^FE_ESTIMATE(SPEC_NO_CHANGE_2,MEAN,QUARTERLY_ROLL,2024/2F,45776,,,'')&lt;/Q&gt;&lt;R&gt;1&lt;/R&gt;&lt;C&gt;1&lt;/C&gt;&lt;D xsi:type="xsd:double"&gt;28&lt;/D&gt;&lt;/FQL&gt;&lt;FQL&gt;&lt;Q&gt;Ticker0024^FE_ESTIMATE(SPEC_NO_CHANGE_2,MEAN,QUARTERLY_ROLL,2024/1F,45776,,,'')&lt;/Q&gt;&lt;R&gt;1&lt;/R&gt;&lt;C&gt;1&lt;/C&gt;&lt;D xsi:type="xsd:double"&gt;28.1&lt;/D&gt;&lt;/FQL&gt;&lt;FQL&gt;&lt;Q&gt;Ticker0024^FE_ESTIMATE(SPEC_NO_CHANGE_2,MEAN,ANNUAL_ROLL,2023,45776,,,'')&lt;/Q&gt;&lt;R&gt;1&lt;/R&gt;&lt;C&gt;1&lt;/C&gt;&lt;D xsi:type="xsd:double"&gt;34&lt;/D&gt;&lt;/FQL&gt;&lt;FQL&gt;&lt;Q&gt;Ticker0024^FE_ESTIMATE(SPEC_NO_CHANGE_2,MEAN,QUARTERLY_ROLL,2023/4F,45776,,,'')&lt;/Q&gt;&lt;R&gt;1&lt;/R&gt;&lt;C&gt;1&lt;/C&gt;&lt;D xsi:type="xsd:double"&gt;27&lt;/D&gt;&lt;/FQL&gt;&lt;FQL&gt;&lt;Q&gt;Ticker0024^FE_ESTIMATE(SPEC_NO_CHANGE_2,MEAN,QUARTERLY_ROLL,2023/3F,45776,,,'')&lt;/Q&gt;&lt;R&gt;1&lt;/R&gt;&lt;C&gt;1&lt;/C&gt;&lt;D xsi:type="xsd:double"&gt;31&lt;/D&gt;&lt;/FQL&gt;&lt;FQL&gt;&lt;Q&gt;Ticker0024^FE_ESTIMATE(SPEC_NO_CHANGE_2,MEAN,QUARTERLY_ROLL,2023/2F,45776,,,'')&lt;/Q&gt;&lt;R&gt;1&lt;/R&gt;&lt;C&gt;1&lt;/C&gt;&lt;D xsi:type="xsd:double"&gt;38&lt;/D&gt;&lt;/FQL&gt;&lt;FQL&gt;&lt;Q&gt;Ticker0024^FE_ESTIMATE(SPEC_NO_CHANGE_2,MEAN,QUARTERLY_ROLL,2023/1F,45776,,,'')&lt;/Q&gt;&lt;R&gt;1&lt;/R&gt;&lt;C&gt;1&lt;/C&gt;&lt;D xsi:type="xsd:double"&gt;42&lt;/D&gt;&lt;/FQL&gt;&lt;FQL&gt;&lt;Q&gt;Ticker0024^FE_ESTIMATE(SPEC_NO_CHANGE_2,MEAN,ANNUAL_ROLL,2022,45776,,,'')&lt;/Q&gt;&lt;R&gt;1&lt;/R&gt;&lt;C&gt;1&lt;/C&gt;&lt;D xsi:type="xsd:double"&gt;47.05&lt;/D&gt;&lt;/FQL&gt;&lt;FQL&gt;&lt;Q&gt;Ticker0024^FE_ESTIMATE(SPEC_NO_CHANGE_2,MEAN,QUARTERLY_ROLL,2022/4F,45776,,,'')&lt;/Q&gt;&lt;R&gt;1&lt;/R&gt;&lt;C&gt;1&lt;/C&gt;&lt;D xsi:type="xsd:double"&gt;46&lt;/D&gt;&lt;/FQL&gt;&lt;FQL&gt;&lt;Q&gt;Ticker0024^FE_ESTIMATE(SPEC_NO_CHANGE_2,MEAN,QUARTERLY_ROLL,2022/3F,45776,,,'')&lt;/Q&gt;&lt;R&gt;0&lt;/R&gt;&lt;C&gt;0&lt;/C&gt;&lt;/FQL&gt;&lt;FQL&gt;&lt;Q&gt;Ticker0024^FE_ESTIMATE(SPEC_NO_CHANGE_2,MEAN,QUARTERLY_ROLL,2022/2F,45776,,,'')&lt;/Q&gt;&lt;R&gt;0&lt;/R&gt;&lt;C&gt;0&lt;/C&gt;&lt;/FQL&gt;&lt;FQL&gt;&lt;Q&gt;Ticker0024^FE_ESTIMATE(SPEC_NO_CHANGE_2,MEAN,QUARTERLY_ROLL,2022/1F,45776,,,'')&lt;/Q&gt;&lt;R&gt;0&lt;/R&gt;&lt;C&gt;0&lt;/C&gt;&lt;/FQL&gt;&lt;FQL&gt;&lt;Q&gt;Ticker0024^FE_ESTIMATE(SPEC_NO_CHANGE_2,MEAN,ANNUAL_ROLL,2021,45776,,,'')&lt;/Q&gt;&lt;R&gt;0&lt;/R&gt;&lt;C&gt;0&lt;/C&gt;&lt;/FQL&gt;&lt;FQL&gt;&lt;Q&gt;Ticker0024^FE_ESTIMATE(SPEC_NO_CHANGE_2,MEAN,QUARTERLY_ROLL,2021/4F,45776,,,'')&lt;/Q&gt;&lt;R&gt;0&lt;/R&gt;&lt;C&gt;0&lt;/C&gt;&lt;/FQL&gt;&lt;FQL&gt;&lt;Q&gt;Ticker0024^FE_ESTIMATE(SPEC_NO_CHANGE_2,MEAN,QUARTERLY_ROLL,2021/3F,45776,,,'')&lt;/Q&gt;&lt;R&gt;1&lt;/R&gt;&lt;C&gt;1&lt;/C&gt;&lt;D xsi:type="xsd:double"&gt;46&lt;/D&gt;&lt;/FQL&gt;&lt;FQL&gt;&lt;Q&gt;Ticker0024^FE_ESTIMATE(SPEC_NO_CHANGE_2,MEAN,QUARTERLY_ROLL,2021/2F,45776,,,'')&lt;/Q&gt;&lt;R&gt;0&lt;/R&gt;&lt;C&gt;0&lt;/C&gt;&lt;/FQL&gt;&lt;FQL&gt;&lt;Q&gt;Ticker0024^FE_ESTIMATE(SPEC_NO_CHANGE_2,MEAN,QUARTERLY_ROLL,2021/1F,45776,,,'')&lt;/Q&gt;&lt;R&gt;0&lt;/R&gt;&lt;C&gt;0&lt;/C&gt;&lt;/FQL&gt;&lt;FQL&gt;&lt;Q&gt;Ticker0024^FE_ESTIMATE(SPEC_NO_CHANGE_2,MEAN,ANNUAL_ROLL,2020,45776,,,'')&lt;/Q&gt;&lt;R&gt;0&lt;/R&gt;&lt;C&gt;0&lt;/C&gt;&lt;/FQL&gt;&lt;FQL&gt;&lt;Q&gt;Ticker0024^FE_ESTIMATE(SPEC_NO_CHANGE_2,MEAN,QUARTERLY_ROLL,2020/4F,45776,,,'')&lt;/Q&gt;&lt;R&gt;0&lt;/R&gt;&lt;C&gt;0&lt;/C&gt;&lt;/FQL&gt;&lt;FQL&gt;&lt;Q&gt;Ticker0024^FE_ESTIMATE(SPEC_NO_CHANGE_2,MEAN,QUARTERLY_ROLL,2020/3F,45776,,,'')&lt;/Q&gt;&lt;R&gt;0&lt;/R&gt;&lt;C&gt;0&lt;/C&gt;&lt;/FQL&gt;&lt;FQL&gt;&lt;Q&gt;Ticker0024^FE_ESTIMATE(SPEC_NO_CHANGE_2,MEAN,QUARTERLY_ROLL,2020/2F,45776,,,'')&lt;/Q&gt;&lt;R&gt;0&lt;/R&gt;&lt;C&gt;0&lt;/C&gt;&lt;/FQL&gt;&lt;FQL&gt;&lt;Q&gt;Ticker0024^FE_ESTIMATE(SPEC_NO_CHANGE_2,MEAN,QUARTERLY_ROLL,2020/1F,45776,,,'')&lt;/Q&gt;&lt;R&gt;0&lt;/R&gt;&lt;C&gt;0&lt;/C&gt;&lt;/FQL&gt;&lt;FQL&gt;&lt;Q&gt;Ticker0024^FE_ESTIMATE(SPEC_NO_CHANGE_2,MEAN,ANNUAL_ROLL,2019,45776,,,'')&lt;/Q&gt;&lt;R&gt;0&lt;/R&gt;&lt;C&gt;0&lt;/C&gt;&lt;/FQL&gt;&lt;FQL&gt;&lt;Q&gt;Ticker0024^FE_ESTIMATE(SPEC_NO_CHANGE_2,MEAN,QUARTERLY_ROLL,2019/4F,45776,,,'')&lt;/Q&gt;&lt;R&gt;0&lt;/R&gt;&lt;C&gt;0&lt;/C&gt;&lt;/FQL&gt;&lt;FQL&gt;&lt;Q&gt;Ticker0024^FE_ESTIMATE(SPEC_NO_CHANGE_2,MEAN,QUARTERLY_ROLL,2019/3F,45776,,,'')&lt;/Q&gt;&lt;R&gt;0&lt;/R&gt;&lt;C&gt;0&lt;/C&gt;&lt;/FQL&gt;&lt;FQL&gt;&lt;Q&gt;Ticker0024^FE_ESTIMATE(SPEC_NO_CHANGE_2,MEAN,QUARTERLY_ROLL,2019/2F,45776,,,'')&lt;/Q&gt;&lt;R&gt;0&lt;/R&gt;&lt;C&gt;0&lt;/C&gt;&lt;/FQL&gt;&lt;FQL&gt;&lt;Q&gt;Ticker0024^FE_ESTIMATE(SPEC_NO_CHANGE_2,MEAN,QUARTERLY_ROLL,2019/1F,45776,,,'')&lt;/Q&gt;&lt;R&gt;0&lt;/R&gt;&lt;C&gt;0&lt;/C&gt;&lt;/FQL&gt;&lt;FQL&gt;&lt;Q&gt;Ticker0024^FE_ESTIMATE(SPEC_NO_CHANGE_2,MEAN,ANNUAL_ROLL,2018,45776,,,'')&lt;/Q&gt;&lt;R&gt;0&lt;/R&gt;&lt;C&gt;0&lt;/C&gt;&lt;/FQL&gt;&lt;FQL&gt;&lt;Q&gt;Ticker0024^FE_ESTIMATE(SPEC_NO_CHANGE_2,MEAN,QUARTERLY_ROLL,2018/4F,45776,,,'')&lt;/Q&gt;&lt;R&gt;0&lt;/R&gt;&lt;C&gt;0&lt;/C&gt;&lt;/FQL&gt;&lt;FQL&gt;&lt;Q&gt;Ticker0024^FE_ESTIMATE(SPEC_NO_CHANGE_2,MEAN,QUARTERLY_ROLL,2018/3F,45776,,,'')&lt;/Q&gt;&lt;R&gt;0&lt;/R&gt;&lt;C&gt;0&lt;/C&gt;&lt;/FQL&gt;&lt;FQL&gt;&lt;Q&gt;Ticker0024^FE_ESTIMATE(SPEC_NO_CHANGE_2,MEAN,QUARTERLY_ROLL,2018/2F,45776,,,'')&lt;/Q&gt;&lt;R&gt;0&lt;/R&gt;&lt;C&gt;0&lt;/C&gt;&lt;/FQL&gt;&lt;FQL&gt;&lt;Q&gt;Ticker0024^FE_ESTIMATE(SPEC_NO_CHANGE_2,MEAN,QUARTERLY_ROLL,2018/1F,45776,,,'')&lt;/Q&gt;&lt;R&gt;0&lt;/R&gt;&lt;C&gt;0&lt;/C&gt;&lt;/FQL&gt;&lt;FQL&gt;&lt;Q&gt;Ticker0024^FE_ESTIMATE(SPEC_NO_CHANGE_2,MEAN,ANNUAL_ROLL,2017,45776,,,'')&lt;/Q&gt;&lt;R&gt;0&lt;/R&gt;&lt;C&gt;0&lt;/C&gt;&lt;/FQL&gt;&lt;FQL&gt;&lt;Q&gt;Ticker0024^FE_ESTIMATE(SPEC_NO_CHANGE_2,MEAN,QUARTERLY_ROLL,2017/4F,45776,,,'')&lt;/Q&gt;&lt;R&gt;0&lt;/R&gt;&lt;C&gt;0&lt;/C&gt;&lt;/FQL&gt;&lt;FQL&gt;&lt;Q&gt;Ticker0024^FE_ESTIMATE(SPEC_NO_CHANGE_2,MEAN,QUARTERLY_ROLL,2017/3F,45776,,,'')&lt;/Q&gt;&lt;R&gt;0&lt;/R&gt;&lt;C&gt;0&lt;/C&gt;&lt;/FQL&gt;&lt;FQL&gt;&lt;Q&gt;Ticker0024^FE_ESTIMATE(SPEC_NO_CHANGE_2,MEAN,QUARTERLY_ROLL,2017/2F,45776,,,'')&lt;/Q&gt;&lt;R&gt;0&lt;/R&gt;&lt;C&gt;0&lt;/C&gt;&lt;/FQL&gt;&lt;FQL&gt;&lt;Q&gt;Ticker0024^FE_ESTIMATE(SPEC_NO_CHANGE_2,MEAN,QUARTERLY_ROLL,2017/1F,45776,,,'')&lt;/Q&gt;&lt;R&gt;0&lt;/R&gt;&lt;C&gt;0&lt;/C&gt;&lt;/FQL&gt;&lt;FQL&gt;&lt;Q&gt;Ticker0024^FE_ESTIMATE(SPEC_NO_CHANGE_2,MEAN,ANNUAL_ROLL,2016,45776,,,'')&lt;/Q&gt;&lt;R&gt;0&lt;/R&gt;&lt;C&gt;0&lt;/C&gt;&lt;/FQL&gt;&lt;FQL&gt;&lt;Q&gt;Ticker0024^FE_ESTIMATE(SPEC_NO_CHANGE_2,MEAN,QUARTERLY_ROLL,2016/4F,45776,,,'')&lt;/Q&gt;&lt;R&gt;0&lt;/R&gt;&lt;C&gt;0&lt;/C&gt;&lt;/FQL&gt;&lt;FQL&gt;&lt;Q&gt;Ticker0024^FE_ESTIMATE(SPEC_NO_CHANGE_2,MEAN,QUARTERLY_ROLL,2016/3F,45776,,,'')&lt;/Q&gt;&lt;R&gt;0&lt;/R&gt;&lt;C&gt;0&lt;/C&gt;&lt;/FQL&gt;&lt;FQL&gt;&lt;Q&gt;Ticker0024^FE_ESTIMATE(SPEC_NO_CHANGE_2,MEAN,QUARTERLY_ROLL,2016/2F,45776,,,'')&lt;/Q&gt;&lt;R&gt;0&lt;/R&gt;&lt;C&gt;0&lt;/C&gt;&lt;/FQL&gt;&lt;FQL&gt;&lt;Q&gt;Ticker0024^FE_ESTIMATE(SPEC_NO_CHANGE_2,MEAN,QUARTERLY_ROLL,2016/1F,45776,,,'')&lt;/Q&gt;&lt;R&gt;0&lt;/R&gt;&lt;C&gt;0&lt;/C&gt;&lt;/FQL&gt;&lt;FQL&gt;&lt;Q&gt;Ticker0024^FE_ESTIMATE(SPEC_NO_CHANGE_2,MEAN,ANNUAL_ROLL,2015,45776,,,'')&lt;/Q&gt;&lt;R&gt;0&lt;/R&gt;&lt;C&gt;0&lt;/C&gt;&lt;/FQL&gt;&lt;FQL&gt;&lt;Q&gt;Ticker0024^FE_ESTIMATE(SPEC_NO_CHANGE_2,MEAN,QUARTERLY_ROLL,2015/4F,45776,,,'')&lt;/Q&gt;&lt;R&gt;0&lt;/R&gt;&lt;C&gt;0&lt;/C&gt;&lt;/FQL&gt;&lt;FQL&gt;&lt;Q&gt;Ticker0024^FE_ESTIMATE(SPEC_NO_CHANGE_2,MEAN,QUARTERLY_ROLL,2015/3F,45776,,,'')&lt;/Q&gt;&lt;R&gt;0&lt;/R&gt;&lt;C&gt;0&lt;/C&gt;&lt;/FQL&gt;&lt;FQL&gt;&lt;Q&gt;Ticker0024^FE_ESTIMATE(SPEC_NO_CHANGE_2,MEAN,QUARTERLY_ROLL,2015/2F,45776,,,'')&lt;/Q&gt;&lt;R&gt;0&lt;/R&gt;&lt;C&gt;0&lt;/C&gt;&lt;/FQL&gt;&lt;FQL&gt;&lt;Q&gt;Ticker0024^FE_ESTIMATE(SPEC_NO_CHANGE_2,MEAN,QUARTERLY_ROLL,2015/1F,45776,,,'')&lt;/Q&gt;&lt;R&gt;0&lt;/R&gt;&lt;C&gt;0&lt;/C&gt;&lt;/FQL&gt;&lt;FQL&gt;&lt;Q&gt;Ticker0024^FE_ESTIMATE(SPEC_NO_CHANGE_1,MEAN,ANNUAL_ROLL,2030,45776,,,'')&lt;/Q&gt;&lt;R&gt;0&lt;/R&gt;&lt;C&gt;0&lt;/C&gt;&lt;/FQL&gt;&lt;FQL&gt;&lt;Q&gt;Ticker0024^FE_ESTIMATE(SPEC_NO_CHANGE_1,MEAN,QUARTERLY_ROLL,2030/4F,45776,,,'')&lt;/Q&gt;&lt;R&gt;0&lt;/R&gt;&lt;C&gt;0&lt;/C&gt;&lt;/FQL&gt;&lt;FQL&gt;&lt;Q&gt;Ticker0024^FE_ESTIMATE(SPEC_NO_CHANGE_1,MEAN,QUARTERLY_ROLL,2030/3F,45776,,,'')&lt;/Q&gt;&lt;R&gt;0&lt;/R&gt;&lt;C&gt;0&lt;/C&gt;&lt;/FQL&gt;&lt;FQL&gt;&lt;Q&gt;Ticker0024^FE_ESTIMATE(SPEC_NO_CHANGE_1,MEAN,QUARTERLY_ROLL,2030/2F,45776,,,'')&lt;/Q&gt;&lt;R&gt;0&lt;/R&gt;&lt;C&gt;0&lt;/C&gt;&lt;/FQL&gt;&lt;FQL&gt;&lt;Q&gt;Ticker0024^FE_ESTIMATE(SPEC_NO_CHANGE_1,MEAN,QUARTERLY_ROLL,2030/1F,45776,,,'')&lt;/Q&gt;&lt;R&gt;0&lt;/R&gt;&lt;C&gt;0&lt;/C&gt;&lt;/FQL&gt;&lt;FQL&gt;&lt;Q&gt;Ticker0024^FE_ESTIMATE(SPEC_NO_CHANGE_1,MEAN,ANNUAL_ROLL,2029,45776,,,'')&lt;/Q&gt;&lt;R&gt;0&lt;/R&gt;&lt;C&gt;0&lt;/C&gt;&lt;/FQL&gt;&lt;FQL&gt;&lt;Q&gt;Ticker0024^FE_ESTIMATE(SPEC_NO_CHANGE_1,MEAN,QUARTERLY_ROLL,2029/4F,45776,,,'')&lt;/Q&gt;&lt;R&gt;0&lt;/R&gt;&lt;C&gt;0&lt;/C&gt;&lt;/FQL&gt;&lt;FQL&gt;&lt;Q&gt;Ticker0024^FE_ESTIMATE(SPEC_NO_CHANGE_1,MEAN,QUARTERLY_ROLL,2029/3F,45776,,,'')&lt;/Q&gt;&lt;R&gt;0&lt;/R&gt;&lt;C&gt;0&lt;/C&gt;&lt;/FQL&gt;&lt;FQL&gt;&lt;Q&gt;Ticker0024^FE_ESTIMATE(SPEC_NO_CHANGE_1,MEAN,QUARTERLY_ROLL,2029/2F,45776,,,'')&lt;/Q&gt;&lt;R&gt;0&lt;/R&gt;&lt;C&gt;0&lt;/C&gt;&lt;/FQL&gt;&lt;FQL&gt;&lt;Q&gt;Ticker0024^FE_ESTIMATE(SPEC_NO_CHANGE_1,MEAN,QUARTERLY_ROLL,2029/1F,45776,,,'')&lt;/Q&gt;&lt;R&gt;0&lt;/R&gt;&lt;C&gt;0&lt;/C&gt;&lt;/FQL&gt;&lt;FQL&gt;&lt;Q&gt;Ticker0024^FE_ESTIMATE(SPEC_NO_CHANGE_1,MEAN,ANNUAL_ROLL,2028,45776,,,'')&lt;/Q&gt;&lt;R&gt;0&lt;/R&gt;&lt;C&gt;0&lt;/C&gt;&lt;/FQL&gt;&lt;FQL&gt;&lt;Q&gt;Ticker0024^FE_ESTIMATE(SPEC_NO_CHANGE_1,MEAN,QUARTERLY_ROLL,2028/4F,45776,,,'')&lt;/Q&gt;&lt;R&gt;0&lt;/R&gt;&lt;C&gt;0&lt;/C&gt;&lt;/FQL&gt;&lt;FQL&gt;&lt;Q&gt;Ticker0024^FE_ESTIMATE(SPEC_NO_CHANGE_1,MEAN,QUARTERLY_ROLL,2028/3F,45776,,,'')&lt;/Q&gt;&lt;R&gt;0&lt;/R&gt;&lt;C&gt;0&lt;/C&gt;&lt;/FQL&gt;&lt;FQL&gt;&lt;Q&gt;Ticker0024^FE_ESTIMATE(SPEC_NO_CHANGE_1,MEAN,QUARTERLY_ROLL,2028/2F,45776,,,'')&lt;/Q&gt;&lt;R&gt;0&lt;/R&gt;&lt;C&gt;0&lt;/C&gt;&lt;/FQL&gt;&lt;FQL&gt;&lt;Q&gt;Ticker0024^FE_ESTIMATE(SPEC_NO_CHANGE_1,MEAN,QUARTERLY_ROLL,2028/1F,45776,,,'')&lt;/Q&gt;&lt;R&gt;0&lt;/R&gt;&lt;C&gt;0&lt;/C&gt;&lt;/FQL&gt;&lt;FQL&gt;&lt;Q&gt;Ticker0024^FE_ESTIMATE(SPEC_NO_CHANGE_1,MEAN,ANNUAL_ROLL,2027,45776,,,'')&lt;/Q&gt;&lt;R&gt;0&lt;/R&gt;&lt;C&gt;0&lt;/C&gt;&lt;/FQL&gt;&lt;FQL&gt;&lt;Q&gt;Ticker0024^FE_ESTIMATE(SPEC_NO_CHANGE_1,MEAN,QUARTERLY_ROLL,2027/4F,45776,,,'')&lt;/Q&gt;&lt;R&gt;0&lt;/R&gt;&lt;C&gt;0&lt;/C&gt;&lt;/FQL&gt;&lt;FQL&gt;&lt;Q&gt;Ticker0024^FE_ESTIMATE(SPEC_NO_CHANGE_1,MEAN,QUARTERLY_ROLL,2027/3F,45776,,,'')&lt;/Q&gt;&lt;R&gt;0&lt;/R&gt;&lt;C&gt;0&lt;/C&gt;&lt;/FQL&gt;&lt;FQL&gt;&lt;Q&gt;Ticker0024^FE_ESTIMATE(SPEC_NO_CHANGE_1,MEAN,QUARTERLY_ROLL,2027/2F,45776,,,'')&lt;/Q&gt;&lt;R&gt;0&lt;/R&gt;&lt;C&gt;0&lt;/C&gt;&lt;/FQL&gt;&lt;FQL&gt;&lt;Q&gt;Ticker0024^FE_ESTIMATE(SPEC_NO_CHANGE_1,MEAN,QUARTERLY_ROLL,2027/1F,45776,,,'')&lt;/Q&gt;&lt;R&gt;0&lt;/R&gt;&lt;C&gt;0&lt;/C&gt;&lt;/FQL&gt;&lt;FQL&gt;&lt;Q&gt;Ticker0024^FE_ESTIMATE(SPEC_NO_CHANGE_1,MEAN,ANNUAL_ROLL,2026,45776,,,'')&lt;/Q&gt;&lt;R&gt;1&lt;/R&gt;&lt;C&gt;1&lt;/C&gt;&lt;D xsi:type="xsd:double"&gt;31.866667&lt;/D&gt;&lt;/FQL&gt;&lt;FQL&gt;&lt;Q&gt;Ticker0024^FE_ESTIMATE(SPEC_NO_CHANGE_1,MEAN,QUARTERLY_ROLL,2026/4F,45776,,,'')&lt;/Q&gt;&lt;R&gt;1&lt;/R&gt;&lt;C&gt;1&lt;/C&gt;&lt;D xsi:type="xsd:double"&gt;30.933332&lt;/D&gt;&lt;/FQL&gt;&lt;FQL&gt;&lt;Q&gt;Ticker0024^FE_ESTIMATE(SPEC_NO_CHANGE_1,MEAN,QUARTERLY_ROLL,2026/3F,45776,,,'')&lt;/Q&gt;&lt;R&gt;1&lt;/R&gt;&lt;C&gt;1&lt;/C&gt;&lt;D xsi:type="xsd:double"&gt;31.566668&lt;/D&gt;&lt;/FQL&gt;&lt;FQL&gt;&lt;Q&gt;Ticker0024^FE_ESTIMATE(SPEC_NO_CHANGE_1,MEAN,QUARTERLY_ROLL,2026/2F,45776,,,'')&lt;/Q&gt;&lt;R&gt;1&lt;/R&gt;&lt;C&gt;1&lt;/C&gt;&lt;D xsi:type="xsd:double"&gt;31.566668&lt;/D&gt;&lt;/FQL&gt;&lt;FQL&gt;&lt;Q&gt;Ticker0024^FE_ESTIMATE(SPEC_NO_CHANGE_1,MEAN,QUARTERLY_ROLL,2026/1F,45776,,,'')&lt;/Q&gt;&lt;R&gt;1&lt;/R&gt;&lt;C&gt;1&lt;/C&gt;&lt;D xsi:type="xsd:double"&gt;32.966667&lt;/D&gt;&lt;/FQL&gt;&lt;FQL&gt;&lt;Q&gt;Ticker0024^FE_ESTIMATE(SPEC_NO_CHANGE_1,MEAN,ANNUAL_ROLL,2025,45776,,,'')&lt;/Q&gt;&lt;R&gt;1&lt;/R&gt;&lt;C&gt;1&lt;/C&gt;&lt;D xsi:type="xsd:double"&gt;31.833334&lt;/D&gt;&lt;/FQL&gt;&lt;FQL&gt;&lt;Q&gt;Ticker0024^FE_ESTIMATE(SPEC_NO_CHANGE_1,MEAN,QUARTERLY_ROLL,2025/4F,45776,,,'')&lt;/Q&gt;&lt;R&gt;1&lt;/R&gt;&lt;C&gt;1&lt;/C&gt;&lt;D xsi:type="xsd:double"&gt;33.266666&lt;/D&gt;&lt;/FQL&gt;&lt;FQL&gt;&lt;Q&gt;Ticker0024^FE_ESTIMATE(SPEC_NO_CHANGE_1,MEAN,QUARTERLY_ROLL,2025/3F,45776,,,'')&lt;/Q&gt;&lt;R&gt;1&lt;/R&gt;&lt;C&gt;1&lt;/C&gt;&lt;D xsi:type="xsd:double"&gt;30.166666&lt;/D&gt;&lt;/FQL&gt;&lt;FQL&gt;&lt;Q&gt;Ticker0024^FE_ESTIMATE(SPEC_NO_CHANGE_1,MEAN,QUARTERLY_ROLL,2025/2F,45776,,,'')&lt;/Q&gt;&lt;R&gt;1&lt;/R&gt;&lt;C&gt;1&lt;/C&gt;&lt;D xsi:type="xsd:double"&gt;31&lt;/D&gt;&lt;/FQL&gt;&lt;FQL&gt;&lt;Q&gt;Ticker0024^FE_ESTIMATE(SPEC_NO_CHANGE_1,MEAN,QUARTERLY_ROLL,2025/1F,45776,,,'')&lt;/Q&gt;&lt;R&gt;1&lt;/R&gt;&lt;C&gt;1&lt;/C&gt;&lt;D xsi:type="xsd:double"&gt;31.05&lt;/D&gt;&lt;/FQL&gt;&lt;FQL&gt;&lt;Q&gt;Ticker0024^FE_ESTIMATE(SPEC_NO_CHANGE_1,MEAN,ANNUAL_ROLL,2024,45776,,,'')&lt;/Q&gt;&lt;R&gt;1&lt;/R&gt;&lt;C&gt;1&lt;/C&gt;&lt;D xsi:type="xsd:double"&gt;29.966667&lt;/D&gt;&lt;/FQL&gt;&lt;FQL&gt;&lt;Q&gt;Ticker0024^FE_ESTIMATE(SPEC_NO_CHANGE_1,MEAN,QUARTERLY_ROLL,2024/4F,45776,,,'')&lt;/Q&gt;&lt;R&gt;1&lt;/R&gt;&lt;C&gt;1&lt;/C&gt;&lt;D xsi:type="xsd:double"&gt;28.933332&lt;/D&gt;&lt;/FQL&gt;&lt;FQL&gt;&lt;Q&gt;Ticker0024^FE_ESTIMATE(SPEC_NO_CHANGE_1,MEAN,QUARTERLY_ROLL,2024/3F,45776,,,'')&lt;/Q&gt;&lt;R&gt;1&lt;/R&gt;&lt;C&gt;1&lt;/C&gt;&lt;D xsi:type="xsd:double"&gt;31.02&lt;/D&gt;&lt;/FQL&gt;&lt;FQL&gt;&lt;Q&gt;Ticker0024^FE_ESTIMATE(SPEC_NO_CHANGE_1,MEAN,QUARTERLY_ROLL,2024/2F,45776,,,'')&lt;/Q&gt;&lt;R&gt;1&lt;/R&gt;&lt;C&gt;1&lt;/C&gt;&lt;D xsi:type="xsd:double"&gt;30.06&lt;/D&gt;&lt;/FQL&gt;&lt;FQL&gt;&lt;Q&gt;Ticker0024^FE_ESTIMATE(SPEC_NO_CHANGE_1,MEAN,QUARTERLY_ROLL,2024/1F,45776,,,'')&lt;/Q&gt;&lt;R&gt;1&lt;/R&gt;&lt;C&gt;1&lt;/C&gt;&lt;D xsi:type="xsd:double"&gt;29.066668&lt;/D&gt;&lt;/FQL&gt;&lt;FQL&gt;&lt;Q&gt;Ticker0024^FE_ESTIMATE(SPEC_NO_CHANGE_1,MEAN,ANNUAL_ROLL,2023,45776,,,'')&lt;/Q&gt;&lt;R&gt;1&lt;/R&gt;&lt;C&gt;1&lt;/C&gt;&lt;D xsi:type="xsd:double"&gt;29.166666&lt;/D&gt;&lt;/FQL&gt;&lt;FQL&gt;&lt;Q&gt;Ticker0024^FE_ESTIMATE(SPEC_NO_CHANGE_1,MEAN,QUARTERLY_ROLL,2023/4F,45776,,,'')&lt;/Q&gt;&lt;R&gt;1&lt;/R&gt;&lt;C&gt;1&lt;/C&gt;&lt;D xsi:type="xsd:double"&gt;25.916666&lt;/D&gt;&lt;/FQL&gt;&lt;FQL&gt;&lt;Q&gt;Ticker0024^FE_ESTIMATE(SPEC_NO_CHANGE_1,MEAN,QUARTERLY_ROLL,2023/3F,45776,,,'')&lt;/Q&gt;&lt;R&gt;1&lt;/R&gt;&lt;C&gt;1&lt;/C&gt;&lt;D xsi:type="xsd:double"&gt;27.766666&lt;/D&gt;&lt;/FQL&gt;&lt;FQL&gt;&lt;Q&gt;Ticker0024^FE_ESTIMATE(SPEC_NO_CHANGE_1,MEAN,QUARTERLY_ROLL,2023/2F,45776,,,'')&lt;/Q&gt;&lt;R&gt;1&lt;/R&gt;&lt;C&gt;1&lt;/C&gt;&lt;D xsi:type="xsd:double"&gt;31&lt;/D&gt;&lt;/FQL&gt;&lt;FQL&gt;&lt;Q&gt;Ticker0024^FE_ESTIMATE(SPEC_NO_CHANGE_1,MEAN,QUARTERLY_ROLL,2023/1F,45776,,,'')&lt;/Q&gt;&lt;R&gt;1&lt;/R&gt;&lt;C&gt;1&lt;/C&gt;&lt;D xsi:type="xsd:double"&gt;35&lt;/D&gt;&lt;/FQL&gt;&lt;FQL&gt;&lt;Q&gt;Ticker0024^FE_ESTIMATE(SPEC_NO_CHANGE_1,MEAN,ANNUAL_ROLL,2022,45776,,,'')&lt;/Q&gt;&lt;R&gt;1&lt;/R&gt;&lt;C&gt;1&lt;/C&gt;&lt;D xsi:type="xsd:double"&gt;45.05&lt;/D&gt;&lt;/FQL&gt;&lt;FQL&gt;&lt;Q&gt;Ticker0024^FE_ESTIMATE(SPEC_NO_CHANGE_1,MEAN,QUARTERLY_ROLL,2022/4F,45776,,,'')&lt;/Q&gt;&lt;R&gt;1&lt;/R&gt;&lt;C&gt;1&lt;/C&gt;&lt;D xsi:type="xsd:double"&gt;40&lt;/D&gt;&lt;/FQL&gt;&lt;FQL&gt;&lt;Q&gt;Ticker0024^FE_ESTIMATE(SPEC_NO_CHANGE_1,MEAN,QUARTERLY_ROLL,2022/3F,45776,,,'')&lt;/Q&gt;&lt;R&gt;1&lt;/R&gt;&lt;C&gt;1&lt;/C&gt;&lt;D xsi:type="xsd:double"&gt;46&lt;/D&gt;&lt;/FQL&gt;&lt;FQL&gt;&lt;Q&gt;Ticker0024^FE_ESTIMATE(SPEC_NO_CHANGE_1,MEAN,QUARTERLY_ROLL,2022/2F,45776,,,'')&lt;/Q&gt;&lt;R&gt;1&lt;/R&gt;&lt;C&gt;1&lt;/C&gt;&lt;D xsi:type="xsd:double"&gt;46&lt;/D&gt;&lt;/FQL&gt;&lt;FQL&gt;&lt;Q&gt;Ticker0024^FE_ESTIMATE(SPEC_NO_CHANGE_1,MEAN,QUARTERLY_ROLL,2022/1F,45776,,,'')&lt;/Q&gt;&lt;R&gt;1&lt;/R&gt;&lt;C&gt;1&lt;/C&gt;&lt;D xsi:type="xsd:double"&gt;50&lt;/D&gt;&lt;/FQL&gt;&lt;FQL&gt;&lt;Q&gt;Ticker0024^FE_ESTIMATE(SPEC_NO_CHANGE_1,MEAN,ANNUAL_ROLL,2021,45776,,,'')&lt;/Q&gt;&lt;R&gt;1&lt;/R&gt;&lt;C&gt;1&lt;/C&gt;&lt;D xsi:type="xsd:double"&gt;49.8&lt;/D&gt;&lt;/FQL&gt;&lt;FQL&gt;&lt;Q&gt;Ticker0024^FE_ESTIMATE(SPEC_NO_CHANGE_1,MEAN,QUARTERLY_ROLL,2021/4F,45776,,,'')&lt;/Q&gt;&lt;R&gt;1&lt;/R&gt;&lt;C&gt;1&lt;/C&gt;&lt;D xsi:type="xsd:double"&gt;51&lt;/D&gt;&lt;/FQL&gt;&lt;FQL&gt;&lt;Q&gt;Ticker0024^FE_ESTIMATE(SPEC_NO_CHANGE_1,MEAN,QUARTERLY_ROLL,2021/3F,45776,,,'')&lt;/Q&gt;&lt;R&gt;1&lt;/R&gt;&lt;C&gt;1&lt;/C&gt;&lt;D xsi:type="xsd:double"&gt;50&lt;/D&gt;&lt;/FQL&gt;&lt;FQL&gt;&lt;Q&gt;Ticker0024^FE_ESTIMATE(SPEC_NO_CHANGE_1,MEAN,QUARTERLY_ROLL,2021/2F,45776,,,'')&lt;/Q&gt;&lt;R&gt;1&lt;/R&gt;&lt;C&gt;1&lt;/C&gt;&lt;D xsi:type="xsd:double"&gt;50&lt;/D&gt;&lt;/FQL&gt;&lt;FQL&gt;&lt;Q&gt;Ticker0024^FE_ESTIMATE(SPEC_NO_CHANGE_1,MEAN,QUARTERLY_ROLL,2021/1F,45776,,,'')&lt;/Q&gt;&lt;R&gt;1&lt;/R&gt;&lt;C&gt;1&lt;/C&gt;&lt;D xsi:type="xsd:double"&gt;48&lt;/D&gt;&lt;/FQL&gt;&lt;FQL&gt;&lt;Q&gt;Ticker0024^FE_ESTIMATE(SPEC_NO_CHANGE_1,MEAN,ANNUAL_ROLL,2020,45776,,,'')&lt;/Q&gt;&lt;R&gt;0&lt;/R&gt;&lt;C&gt;0&lt;/C&gt;&lt;/FQL&gt;&lt;FQL&gt;&lt;Q&gt;Ticker0024^FE_ESTIMATE(SPEC_NO_CHANGE_1,MEAN,QUARTERLY_ROLL,2020/4F,45776,,,'')&lt;/Q&gt;&lt;R&gt;0&lt;/R&gt;&lt;C&gt;0&lt;/C&gt;&lt;/FQL&gt;&lt;FQL&gt;&lt;Q&gt;Ticker0024^FE_ESTIMATE(SPEC_NO_CHANGE_1,MEAN,QUARTERLY_ROLL,2020/3F,45776,,,'')&lt;/Q&gt;&lt;R&gt;0&lt;/R&gt;&lt;C&gt;0&lt;/C&gt;&lt;/FQL&gt;&lt;FQL&gt;&lt;Q&gt;Ticker0024^FE_ESTIMATE(SPEC_NO_CHANGE_1,MEAN,QUARTERLY_ROLL,2020/2F,45776,,,'')&lt;/Q&gt;&lt;R&gt;0&lt;/R&gt;&lt;C&gt;0&lt;/C&gt;&lt;/FQL&gt;&lt;FQL&gt;&lt;Q&gt;Ticker0024^FE_ESTIMATE(SPEC_NO_CHANGE_1,MEAN,QUARTERLY_ROLL,2020/1F,45776,,,'')&lt;/Q&gt;&lt;R&gt;0&lt;/R&gt;&lt;C&gt;0&lt;/C&gt;&lt;/FQL&gt;&lt;FQL&gt;&lt;Q&gt;Ticker0024^FE_ESTIMATE(SPEC_NO_CHANGE_1,MEAN,ANNUAL_ROLL,2019,45776,,,'')&lt;/Q&gt;&lt;R&gt;0&lt;/R&gt;&lt;C&gt;0&lt;/C&gt;&lt;/FQL&gt;&lt;FQL&gt;&lt;Q&gt;Ticker0024^FE_ESTIMATE(SPEC_NO_CHANGE_1,MEAN,QUARTERLY_ROLL,2019/4F,45776,,,'')&lt;/Q&gt;&lt;R&gt;0&lt;/R&gt;&lt;C&gt;0&lt;/C&gt;&lt;/FQL&gt;&lt;FQL&gt;&lt;Q&gt;Ticker0024^FE_ESTIMATE(SPEC_NO_CHANGE_1,MEAN,QUARTERLY_ROLL,2019/3F,45776,,,'')&lt;/Q&gt;&lt;R&gt;0&lt;/R&gt;&lt;C&gt;0&lt;/C&gt;&lt;/FQL&gt;&lt;FQL&gt;&lt;Q&gt;Ticker0024^FE_ESTIMATE(SPEC_NO_CHANGE_1,MEAN,QUARTERLY_ROLL,2019/2F,45776,,,'')&lt;/Q&gt;&lt;R&gt;0&lt;/R&gt;&lt;C&gt;0&lt;/C&gt;&lt;/FQL&gt;&lt;FQL&gt;&lt;Q&gt;Ticker0024^FE_ESTIMATE(SPEC_NO_CHANGE_1,MEAN,QUARTERLY_ROLL,2019/1F,45776,,,'')&lt;/Q&gt;&lt;R&gt;0&lt;/R&gt;&lt;C&gt;0&lt;/C&gt;&lt;/FQL&gt;&lt;FQL&gt;&lt;Q&gt;Ticker0024^FE_ESTIMATE(SPEC_NO_CHANGE_1,MEAN,ANNUAL_ROLL,2018,45776,,,'')&lt;/Q&gt;&lt;R&gt;0&lt;/R&gt;&lt;C&gt;0&lt;/C&gt;&lt;/FQL&gt;&lt;FQL&gt;&lt;Q&gt;Ticker0024^FE_ESTIMATE(SPEC_NO_CHANGE_1,MEAN,QUARTERLY_ROLL,2018/4F,45776,,,'')&lt;/Q&gt;&lt;R&gt;0&lt;/R&gt;&lt;C&gt;0&lt;/C&gt;&lt;/FQL&gt;&lt;FQL&gt;&lt;Q&gt;Ticker0024^FE_ESTIMATE(SPEC_NO_CHANGE_1,MEAN,QUARTERLY_ROLL,2018/3F,45776,,,'')&lt;/Q&gt;&lt;R&gt;0&lt;/R&gt;&lt;C&gt;0&lt;/C&gt;&lt;/FQL&gt;&lt;FQL&gt;&lt;Q&gt;Ticker0024^FE_ESTIMATE(SPEC_NO_CHANGE_1,MEAN,QUARTERLY_ROLL,2018/2F,45776,,,'')&lt;/Q&gt;&lt;R&gt;0&lt;/R&gt;&lt;C&gt;0&lt;/C&gt;&lt;/FQL&gt;&lt;FQL&gt;&lt;Q&gt;Ticker0024^FE_ESTIMATE(SPEC_NO_CHANGE_1,MEAN,QUARTERLY_ROLL,2018/1F,45776,,,'')&lt;/Q&gt;&lt;R&gt;0&lt;/R&gt;&lt;C&gt;0&lt;/C&gt;&lt;/FQL&gt;&lt;FQL&gt;&lt;Q&gt;Ticker0024^FE_ESTIMATE(SPEC_NO_CHANGE_1,MEAN,ANNUAL_ROLL,2017,45776,,,'')&lt;/Q&gt;&lt;R&gt;0&lt;/R&gt;&lt;C&gt;0&lt;/C&gt;&lt;/FQL&gt;&lt;FQL&gt;&lt;Q&gt;Ticker0024^FE_ESTIMATE(SPEC_NO_CHANGE_1,MEAN,QUARTERLY_ROLL,2017/4F,45776,,,'')&lt;/Q&gt;&lt;R&gt;0&lt;/R&gt;&lt;C&gt;0&lt;/C&gt;&lt;/FQL&gt;&lt;FQL&gt;&lt;Q&gt;Ticker0024^FE_ESTIMATE(SPEC_NO_CHANGE_1,MEAN,QUARTERLY_ROLL,2017/3F,45776,,,'')&lt;/Q&gt;&lt;R&gt;0&lt;/R&gt;&lt;C&gt;0&lt;/C&gt;&lt;/FQL&gt;&lt;FQL&gt;&lt;Q&gt;Ticker0024^FE_ESTIMATE(SPEC_NO_CHANGE_1,MEAN,QUARTERLY_ROLL,2017/2F,45776,,,'')&lt;/Q&gt;&lt;R&gt;0&lt;/R&gt;&lt;C&gt;0&lt;/C&gt;&lt;/FQL&gt;&lt;FQL&gt;&lt;Q&gt;Ticker0024^FE_ESTIMATE(SPEC_NO_CHANGE_1,MEAN,QUARTERLY_ROLL,2017/1F,45776,,,'')&lt;/Q&gt;&lt;R&gt;0&lt;/R&gt;&lt;C&gt;0&lt;/C&gt;&lt;/FQL&gt;&lt;FQL&gt;&lt;Q&gt;Ticker0024^FE_ESTIMATE(SPEC_NO_CHANGE_1,MEAN,ANNUAL_ROLL,2016,45776,,,'')&lt;/Q&gt;&lt;R&gt;0&lt;/R&gt;&lt;C&gt;0&lt;/C&gt;&lt;/FQL&gt;&lt;FQL&gt;&lt;Q&gt;Ticker0024^FE_ESTIMATE(SPEC_NO_CHANGE_1,MEAN,QUARTERLY_ROLL,2016/4F,45776,,,'')&lt;/Q&gt;&lt;R&gt;0&lt;/R&gt;&lt;C&gt;0&lt;/C&gt;&lt;/FQL&gt;&lt;FQL&gt;&lt;Q&gt;Ticker0024^FE_ESTIMATE(SPEC_NO_CHANGE_1,MEAN,QUARTERLY_ROLL,2016/3F,45776,,,'')&lt;/Q&gt;&lt;R&gt;0&lt;/R&gt;&lt;C&gt;0&lt;/C&gt;&lt;/FQL&gt;&lt;FQL&gt;&lt;Q&gt;Ticker0024^FE_ESTIMATE(SPEC_NO_CHANGE_1,MEAN,QUARTERLY_ROLL,2016/2F,45776,,,'')&lt;/Q&gt;&lt;R&gt;0&lt;/R&gt;&lt;C&gt;0&lt;/C&gt;&lt;/FQL&gt;&lt;FQL&gt;&lt;Q&gt;Ticker0024^FE_ESTIMATE(SPEC_NO_CHANGE_1,MEAN,QUARTERLY_ROLL,2016/1F,45776,,,'')&lt;/Q&gt;&lt;R&gt;0&lt;/R&gt;&lt;C&gt;0&lt;/C&gt;&lt;/FQL&gt;&lt;FQL&gt;&lt;Q&gt;Ticker0024^FE_ESTIMATE(SPEC_NO_CHANGE_1,MEAN,ANNUAL_ROLL,2015,45776,,,'')&lt;/Q&gt;&lt;R&gt;0&lt;/R&gt;&lt;C&gt;0&lt;/C&gt;&lt;/FQL&gt;&lt;FQL&gt;&lt;Q&gt;Ticker0024^FE_ESTIMATE(SPEC_NO_CHANGE_1,MEAN,QUARTERLY_ROLL,2015/4F,45776,,,'')&lt;/Q&gt;&lt;R&gt;0&lt;/R&gt;&lt;C&gt;0&lt;/C&gt;&lt;/FQL&gt;&lt;FQL&gt;&lt;Q&gt;Ticker0024^FE_ESTIMATE(SPEC_NO_CHANGE_1,MEAN,QUARTERLY_ROLL,2015/3F,45776,,,'')&lt;/Q&gt;&lt;R&gt;0&lt;/R&gt;&lt;C&gt;0&lt;/C&gt;&lt;/FQL&gt;&lt;FQL&gt;&lt;Q&gt;Ticker0024^FE_ESTIMATE(SPEC_NO_CHANGE_1,MEAN,QUARTERLY_ROLL,2015/2F,45776,,,'')&lt;/Q&gt;&lt;R&gt;0&lt;/R&gt;&lt;C&gt;0&lt;/C&gt;&lt;/FQL&gt;&lt;FQL&gt;&lt;Q&gt;Ticker0024^FE_ESTIMATE(SPEC_NO_CHANGE_1,MEAN,QUARTERLY_ROLL,2015/1F,45776,,,'')&lt;/Q&gt;&lt;R&gt;0&lt;/R&gt;&lt;C&gt;0&lt;/C&gt;&lt;/FQL&gt;&lt;FQL&gt;&lt;Q&gt;Ticker0024^FE_ESTIMATE(NEW_ORDERS_VALUE,MEAN,ANNUAL_ROLL,2030,45776,,,'')&lt;/Q&gt;&lt;R&gt;0&lt;/R&gt;&lt;C&gt;0&lt;/C&gt;&lt;/FQL&gt;&lt;FQL&gt;&lt;Q&gt;Ticker0024^FE_ESTIMATE(NEW_ORDERS_VALUE,MEAN,QUARTERLY_ROLL,2030/4F,45776,,,'')&lt;/Q&gt;&lt;R&gt;0&lt;/R&gt;&lt;C&gt;0&lt;/C&gt;&lt;/FQL&gt;&lt;FQL&gt;&lt;Q&gt;Ticker0024^FE_ESTIMATE(NEW_ORDERS_VALUE,MEAN,QUARTERLY_ROLL,2030/3F,45776,,,'')&lt;/Q&gt;&lt;R&gt;0&lt;/R&gt;&lt;C&gt;0&lt;/C&gt;&lt;/FQL&gt;&lt;FQL&gt;&lt;Q&gt;Ticker0024^FE_ESTIMATE(NEW_ORDERS_VALUE,MEAN,QUARTERLY_ROLL,2030/2F,45776,,,'')&lt;/Q&gt;&lt;R&gt;0&lt;/R&gt;&lt;C&gt;0&lt;/C&gt;&lt;/FQL&gt;&lt;FQL&gt;&lt;Q&gt;Ticker0024^FE_ESTIMATE(NEW_ORDERS_VALUE,MEAN,QUARTERLY_ROLL,2030/1F,45776,,,'')&lt;/Q&gt;&lt;R&gt;0&lt;/R&gt;&lt;C&gt;0&lt;/C&gt;&lt;/FQL&gt;&lt;FQL&gt;&lt;Q&gt;Ticker0024^FE_ESTIMATE(NEW_ORDERS_VALUE,MEAN,ANNUAL_ROLL,2029,45776,,,'')&lt;/Q&gt;&lt;R&gt;0&lt;/R&gt;&lt;C&gt;0&lt;/C&gt;&lt;/FQL&gt;&lt;FQL&gt;&lt;Q&gt;Ticker0024^FE_ESTIMATE(NEW_ORDERS_VALUE,MEAN,QUARTERLY_ROLL,2029/4F,45776,,,'')&lt;/Q&gt;&lt;R&gt;0&lt;/R&gt;&lt;C&gt;0&lt;/C&gt;&lt;/FQL&gt;&lt;FQL&gt;&lt;Q&gt;Ticker0024^FE_ESTIMATE(NEW_ORDERS_VALUE,MEAN,QUARTERLY_ROLL,2029/3F,45776,,,'')&lt;/Q&gt;&lt;R&gt;0&lt;/R&gt;&lt;C&gt;0&lt;/C&gt;&lt;/FQL&gt;&lt;FQL&gt;&lt;Q&gt;Ticker0024^FE_ESTIMATE(NEW_ORDERS_VALUE,MEAN,QUARTERLY_ROLL,2029/2F,45776,,,'')&lt;/Q&gt;&lt;R&gt;0&lt;/R&gt;&lt;C&gt;0&lt;/C&gt;&lt;/FQL&gt;&lt;FQL&gt;&lt;Q&gt;Ticker0024^FE_ESTIMATE(NEW_ORDERS_VALUE,MEAN,QUARTERLY_ROLL,2029/1F,45776,,,'')&lt;/Q&gt;&lt;R&gt;0&lt;/R&gt;&lt;C&gt;0&lt;/C&gt;&lt;/FQL&gt;&lt;FQL&gt;&lt;Q&gt;Ticker0024^FE_ESTIMATE(NEW_ORDERS_VALUE,MEAN,ANNUAL_ROLL,2028,45776,,,'')&lt;/Q&gt;&lt;R&gt;0&lt;/R&gt;&lt;C&gt;0&lt;/C&gt;&lt;/FQL&gt;&lt;FQL&gt;&lt;Q&gt;Ticker0024^FE_ESTIMATE(NEW_ORDERS_VALUE,MEAN,QUARTERLY_ROLL,2028/4F,45776,,,'')&lt;/Q&gt;&lt;R&gt;0&lt;/R&gt;&lt;C&gt;0&lt;/C&gt;&lt;/FQL&gt;&lt;FQL&gt;&lt;Q&gt;Ticker0024^FE_ESTIMATE(NEW_ORDERS_VALUE,MEAN,QUARTERLY_ROLL,2028/3F,45776,,,'')&lt;/Q&gt;&lt;R&gt;0&lt;/R&gt;&lt;C&gt;0&lt;/C&gt;&lt;/FQL&gt;&lt;FQL&gt;&lt;Q&gt;Ticker0024^FE_ESTIMATE(NEW_ORDERS_VALUE,MEAN,QUARTERLY_ROLL,2028/2F,45776,,,'')&lt;/Q&gt;&lt;R&gt;0&lt;/R&gt;&lt;C&gt;0&lt;/C&gt;&lt;/FQL&gt;&lt;FQL&gt;&lt;Q&gt;Ticker0024^FE_ESTIMATE(NEW_ORDERS_VALUE,MEAN,QUARTERLY_ROLL,2028/1F,45776,,,'')&lt;/Q&gt;&lt;R&gt;0&lt;/R&gt;&lt;C&gt;0&lt;/C&gt;&lt;/FQL&gt;&lt;FQL&gt;&lt;Q&gt;Ticker0024^FE_ESTIMATE(NEW_ORDERS_VALUE,MEAN,ANNUAL_ROLL,2027,45776,,,'')&lt;/Q&gt;&lt;R&gt;0&lt;/R&gt;&lt;C&gt;0&lt;/C&gt;&lt;/FQL&gt;&lt;FQL&gt;&lt;Q&gt;Ticker0024^FE_ESTIMATE(NEW_ORDERS_VALUE,MEAN,QUARTERLY_ROLL,2027/4F,45776,,,'')&lt;/Q&gt;&lt;R&gt;0&lt;/R&gt;&lt;C&gt;0&lt;/C&gt;&lt;/FQL&gt;&lt;FQL&gt;&lt;Q&gt;Ticker0024^FE_ESTIMATE(NEW_ORDERS_VALUE,MEAN,QUARTERLY_ROLL,2027/3F,45776,,,'')&lt;/Q&gt;&lt;R&gt;0&lt;/R&gt;&lt;C&gt;0&lt;/C&gt;&lt;/FQL&gt;&lt;FQL&gt;&lt;Q&gt;Ticker0024^FE_ESTIMATE(NEW_ORDERS_VALUE,MEAN,QUARTERLY_ROLL,2027/2F,45776,,,'')&lt;/Q&gt;&lt;R&gt;0&lt;/R&gt;&lt;C&gt;0&lt;/C&gt;&lt;/FQL&gt;&lt;FQL&gt;&lt;Q&gt;Ticker0024^FE_ESTIMATE(NEW_ORDERS_VALUE,MEAN,QUARTERLY_ROLL,2027/1F,45776,,,'')&lt;/Q&gt;&lt;R&gt;0&lt;/R&gt;&lt;C&gt;0&lt;/C&gt;&lt;/FQL&gt;&lt;FQL&gt;&lt;Q&gt;Ticker0024^FE_ESTIMATE(NEW_ORDERS_VALUE,MEAN,ANNUAL_ROLL,2026,45776,,,'')&lt;/Q&gt;&lt;R&gt;1&lt;/R&gt;&lt;C&gt;1&lt;/C&gt;&lt;D xsi:type="xsd:double"&gt;313347&lt;/D&gt;&lt;/FQL&gt;&lt;FQL&gt;&lt;Q&gt;Ticker0024^FE_ESTIMATE(NEW_ORDERS_VALUE,MEAN,QUARTERLY_ROLL,2026/4F,45776,,,'')&lt;/Q&gt;&lt;R&gt;0&lt;/R&gt;&lt;C&gt;0&lt;/C&gt;&lt;/FQL&gt;&lt;FQL&gt;&lt;Q&gt;Ticker0024^FE_ESTIMATE(NEW_ORDERS_VALUE,MEAN,QUARTERLY_ROLL,2026/3F,45776,,,'')&lt;/Q&gt;&lt;R&gt;0&lt;/R&gt;&lt;C&gt;0&lt;/C&gt;&lt;/FQL&gt;&lt;FQL&gt;&lt;Q&gt;Ticker0024^FE_ESTIMATE(NEW_ORDERS_VALUE,MEAN,QUARTERLY_ROLL,2026/2F,45776,,,'')&lt;/Q&gt;&lt;R&gt;0&lt;/R&gt;&lt;C&gt;0&lt;/C&gt;&lt;/FQL&gt;&lt;FQL&gt;&lt;Q&gt;Ticker0024^FE_ESTIMATE(NEW_ORDERS_VALUE,MEAN,QUARTERLY_ROLL,2026/1F,45776,,,'')&lt;/Q&gt;&lt;R&gt;0&lt;/R&gt;&lt;C&gt;0&lt;/C&gt;&lt;/FQL&gt;&lt;FQL&gt;&lt;Q&gt;Ticker0024^FE_ESTIMATE(NEW_ORDERS_VALUE,MEAN,ANNUAL_ROLL,2025,45776,,,'')&lt;/Q&gt;&lt;R&gt;1&lt;/R&gt;&lt;C&gt;1&lt;/C&gt;&lt;D xsi:type="xsd:double"&gt;282234&lt;/D&gt;&lt;/FQL&gt;&lt;FQL&gt;&lt;Q&gt;Ticker0024^FE_ESTIMATE(NEW_ORDERS_VALUE,MEAN,QUARTERLY_ROLL,2025/4F,45776,,,'')&lt;/Q&gt;&lt;R&gt;1&lt;/R&gt;&lt;C&gt;1&lt;/C&gt;&lt;D xsi:type="xsd:double"&gt;88306&lt;/D&gt;&lt;/FQL&gt;&lt;FQL&gt;&lt;Q&gt;Ticker0024^FE_ESTIMATE(NEW_ORDERS_VALUE,MEAN,QUARTERLY_ROLL,2025/3F,45776,,,'')&lt;/Q&gt;&lt;R&gt;1&lt;/R&gt;&lt;C&gt;1&lt;/C&gt;&lt;D xsi:type="xsd:double"&gt;74367&lt;/D&gt;&lt;/FQL&gt;&lt;FQL&gt;&lt;Q&gt;Ticker0024^FE_ESTIMATE(NEW_ORDERS_VALUE,MEAN,QUARTERLY_ROLL,2025/2F,45776,,,'')&lt;/Q&gt;&lt;R&gt;1&lt;/R&gt;&lt;C&gt;1&lt;/C&gt;&lt;D xsi:type="xsd:double"&gt;61988&lt;/D&gt;&lt;/FQL&gt;&lt;FQL&gt;&lt;Q&gt;Ticker0024^FE_ESTIMATE(NEW_ORDERS_VALUE,MEAN,QUARTERLY_ROLL,2025/1F,45776,,,'')&lt;/Q&gt;&lt;R&gt;0&lt;/R&gt;&lt;C&gt;0&lt;/C&gt;&lt;/FQL&gt;&lt;FQL&gt;&lt;Q&gt;Ticker0024^FE_ESTIMATE(NEW_ORDERS_VALUE,MEAN,ANNUAL_ROLL,2024,45776,,,'')&lt;/Q&gt;&lt;R&gt;0&lt;/R&gt;&lt;C&gt;0&lt;/C&gt;&lt;/FQL&gt;&lt;FQL&gt;&lt;Q&gt;Ticker0024^FE_ESTIMATE(NEW_ORDERS_VALUE,MEAN,QUARTERLY_ROLL,2024/4F,45776,,,'')&lt;/Q&gt;&lt;R&gt;0&lt;/R&gt;&lt;C&gt;0&lt;/C&gt;&lt;/FQL&gt;&lt;FQL&gt;&lt;Q&gt;Ticker0024^FE_ESTIMATE(NEW_ORDERS_VALUE,MEAN,QUARTERLY_ROLL,2024/3F,45776,,,'')&lt;/Q&gt;&lt;R&gt;0&lt;/R&gt;&lt;C&gt;0&lt;/C&gt;&lt;/FQL&gt;&lt;FQL&gt;&lt;Q&gt;Ticker0024^FE_ESTIMATE(NEW_ORDERS_VALUE,MEAN,QUARTERLY_ROLL,2024/2F,45776,,,'')&lt;/Q&gt;&lt;R&gt;0&lt;/R&gt;&lt;C&gt;0&lt;/C&gt;&lt;/FQL&gt;&lt;FQL&gt;&lt;Q&gt;Ticker0024^FE_ESTIMATE(NEW_ORDERS_VALUE,MEAN,QUARTERLY_ROLL,2024/1F,45776,,,'')&lt;/Q&gt;&lt;R&gt;0&lt;/R&gt;&lt;C&gt;0&lt;/C&gt;&lt;/FQL&gt;&lt;FQL&gt;&lt;Q&gt;Ticker0024^FE_ESTIMATE(NEW_ORDERS_VALUE,MEAN,ANNUAL_ROLL,2023,45776,,,'')&lt;/Q&gt;&lt;R&gt;1&lt;/R&gt;&lt;C&gt;1&lt;/C&gt;&lt;D xsi:type="xsd:double"&gt;217320&lt;/D&gt;&lt;/FQL&gt;&lt;FQL&gt;&lt;Q&gt;Ticker0024^FE_ESTIMATE(NEW_ORDERS_VALUE,MEAN,QUARTERLY_ROLL,2023/4F,45776,,,'')&lt;/Q&gt;&lt;R&gt;1&lt;/R&gt;&lt;C&gt;1&lt;/C&gt;&lt;D xsi:type="xsd:double"&gt;70401&lt;/D&gt;&lt;/FQL&gt;&lt;FQL&gt;&lt;Q&gt;Ticker0024^FE_ESTIMATE(NEW_ORDERS_VALUE,MEAN,QUARTERLY_ROLL,2023/3F,45776,,,'')&lt;/Q&gt;&lt;R&gt;1&lt;/R&gt;&lt;C&gt;1&lt;/C&gt;&lt;D xsi:type="xsd:double"&gt;52832&lt;/D&gt;&lt;/FQL&gt;&lt;FQL&gt;&lt;Q&gt;Ticker0024^FE_ESTIMATE(NEW_ORDERS_VALUE,MEAN,QUARTERLY_ROLL,2023/2F,45776,,,'')&lt;/Q&gt;&lt;R&gt;1&lt;/R&gt;&lt;C&gt;1&lt;/C&gt;&lt;D xsi:type="xsd:double"&gt;48484&lt;/D&gt;&lt;/FQL&gt;&lt;FQL&gt;&lt;Q&gt;Ticker0024^FE_ESTIMATE(NEW_ORDERS_VALUE,MEAN,QUARTERLY_ROLL,2023/1F,45776,,,'')&lt;/Q&gt;&lt;R&gt;1&lt;/R&gt;&lt;C&gt;1&lt;/C</t>
        </r>
      </text>
    </comment>
    <comment ref="A41" authorId="0" shapeId="0" xr:uid="{EA41C3C6-613B-41F0-9E38-FFA9FD7A7C9A}">
      <text>
        <r>
          <rPr>
            <b/>
            <sz val="9"/>
            <color indexed="81"/>
            <rFont val="Tahoma"/>
            <family val="2"/>
          </rPr>
          <t>Author:type="xsd:double"&gt;45603&lt;/D&gt;&lt;/FQL&gt;&lt;FQL&gt;&lt;Q&gt;Ticker0024^FE_ESTIMATE(NEW_ORDERS_VALUE,MEAN,ANNUAL_ROLL,2022,45776,,,'')&lt;/Q&gt;&lt;R&gt;1&lt;/R&gt;&lt;C&gt;1&lt;/C&gt;&lt;D xsi:type="xsd:double"&gt;202537&lt;/D&gt;&lt;/FQL&gt;&lt;FQL&gt;&lt;Q&gt;Ticker0024^FE_ESTIMATE(NEW_ORDERS_VALUE,MEAN,QUARTERLY_ROLL,2022/4F,45776,,,'')&lt;/Q&gt;&lt;R&gt;1&lt;/R&gt;&lt;C&gt;1&lt;/C&gt;&lt;D xsi:type="xsd:double"&gt;63477&lt;/D&gt;&lt;/FQL&gt;&lt;FQL&gt;&lt;Q&gt;Ticker0024^FE_ESTIMATE(NEW_ORDERS_VALUE,MEAN,QUARTERLY_ROLL,2022/3F,45776,,,'')&lt;/Q&gt;&lt;R&gt;1&lt;/R&gt;&lt;C&gt;1&lt;/C&gt;&lt;D xsi:type="xsd:double"&gt;49387&lt;/D&gt;&lt;/FQL&gt;&lt;FQL&gt;&lt;Q&gt;Ticker0024^FE_ESTIMATE(NEW_ORDERS_VALUE,MEAN,QUARTERLY_ROLL,2022/2F,45776,,,'')&lt;/Q&gt;&lt;R&gt;1&lt;/R&gt;&lt;C&gt;1&lt;/C&gt;&lt;D xsi:type="xsd:double"&gt;47482&lt;/D&gt;&lt;/FQL&gt;&lt;FQL&gt;&lt;Q&gt;Ticker0024^FE_ESTIMATE(NEW_ORDERS_VALUE,MEAN,QUARTERLY_ROLL,2022/1F,45776,,,'')&lt;/Q&gt;&lt;R&gt;1&lt;/R&gt;&lt;C&gt;1&lt;/C&gt;&lt;D xsi:type="xsd:double"&gt;42191&lt;/D&gt;&lt;/FQL&gt;&lt;FQL&gt;&lt;Q&gt;Ticker0024^FE_ESTIMATE(NEW_ORDERS_VALUE,MEAN,ANNUAL_ROLL,2021,45776,,,'')&lt;/Q&gt;&lt;R&gt;1&lt;/R&gt;&lt;C&gt;1&lt;/C&gt;&lt;D xsi:type="xsd:double"&gt;173049&lt;/D&gt;&lt;/FQL&gt;&lt;FQL&gt;&lt;Q&gt;Ticker0024^FE_ESTIMATE(NEW_ORDERS_VALUE,MEAN,QUARTERLY_ROLL,2021/4F,45776,,,'')&lt;/Q&gt;&lt;R&gt;1&lt;/R&gt;&lt;C&gt;1&lt;/C&gt;&lt;D xsi:type="xsd:double"&gt;57579&lt;/D&gt;&lt;/FQL&gt;&lt;FQL&gt;&lt;Q&gt;Ticker0024^FE_ESTIMATE(NEW_ORDERS_VALUE,MEAN,QUARTERLY_ROLL,2021/3F,45776,,,'')&lt;/Q&gt;&lt;R&gt;1&lt;/R&gt;&lt;C&gt;1&lt;/C&gt;&lt;D xsi:type="xsd:double"&gt;40710.5&lt;/D&gt;&lt;/FQL&gt;&lt;FQL&gt;&lt;Q&gt;Ticker0024^FE_ESTIMATE(NEW_ORDERS_VALUE,MEAN,QUARTERLY_ROLL,2021/2F,45776,,,'')&lt;/Q&gt;&lt;R&gt;1&lt;/R&gt;&lt;C&gt;1&lt;/C&gt;&lt;D xsi:type="xsd:double"&gt;40158&lt;/D&gt;&lt;/FQL&gt;&lt;FQL&gt;&lt;Q&gt;Ticker0024^FE_ESTIMATE(NEW_ORDERS_VALUE,MEAN,QUARTERLY_ROLL,2021/1F,45776,,,'')&lt;/Q&gt;&lt;R&gt;1&lt;/R&gt;&lt;C&gt;1&lt;/C&gt;&lt;D xsi:type="xsd:double"&gt;34160.5&lt;/D&gt;&lt;/FQL&gt;&lt;FQL&gt;&lt;Q&gt;Ticker0024^FE_ESTIMATE(NEW_ORDERS_VALUE,MEAN,ANNUAL_ROLL,2020,45776,,,'')&lt;/Q&gt;&lt;R&gt;0&lt;/R&gt;&lt;C&gt;0&lt;/C&gt;&lt;/FQL&gt;&lt;FQL&gt;&lt;Q&gt;Ticker0024^FE_ESTIMATE(NEW_ORDERS_VALUE,MEAN,QUARTERLY_ROLL,2020/4F,45776,,,'')&lt;/Q&gt;&lt;R&gt;0&lt;/R&gt;&lt;C&gt;0&lt;/C&gt;&lt;/FQL&gt;&lt;FQL&gt;&lt;Q&gt;Ticker0024^FE_ESTIMATE(NEW_ORDERS_VALUE,MEAN,QUARTERLY_ROLL,2020/3F,45776,,,'')&lt;/Q&gt;&lt;R&gt;0&lt;/R&gt;&lt;C&gt;0&lt;/C&gt;&lt;/FQL&gt;&lt;FQL&gt;&lt;Q&gt;Ticker0024^FE_ESTIMATE(NEW_ORDERS_VALUE,MEAN,QUARTERLY_ROLL,2020/2F,45776,,,'')&lt;/Q&gt;&lt;R&gt;1&lt;/R&gt;&lt;C&gt;1&lt;/C&gt;&lt;D xsi:type="xsd:double"&gt;34101&lt;/D&gt;&lt;/FQL&gt;&lt;FQL&gt;&lt;Q&gt;Ticker0024^FE_ESTIMATE(NEW_ORDERS_VALUE,MEAN,QUARTERLY_ROLL,2020/1F,45776,,,'')&lt;/Q&gt;&lt;R&gt;1&lt;/R&gt;&lt;C&gt;1&lt;/C&gt;&lt;D xsi:type="xsd:double"&gt;29875&lt;/D&gt;&lt;/FQL&gt;&lt;FQL&gt;&lt;Q&gt;Ticker0024^FE_ESTIMATE(NEW_ORDERS_VALUE,MEAN,ANNUAL_ROLL,2019,45776,,,'')&lt;/Q&gt;&lt;R&gt;1&lt;/R&gt;&lt;C&gt;1&lt;/C&gt;&lt;D xsi:type="xsd:double"&gt;130329&lt;/D&gt;&lt;/FQL&gt;&lt;FQL&gt;&lt;Q&gt;Ticker0024^FE_ESTIMATE(NEW_ORDERS_VALUE,MEAN,QUARTERLY_ROLL,2019/4F,45776,,,'')&lt;/Q&gt;&lt;R&gt;1&lt;/R&gt;&lt;C&gt;1&lt;/C&gt;&lt;D xsi:type="xsd:double"&gt;42788&lt;/D&gt;&lt;/FQL&gt;&lt;FQL&gt;&lt;Q&gt;Ticker0024^FE_ESTIMATE(NEW_ORDERS_VALUE,MEAN,QUARTERLY_ROLL,2019/3F,45776,,,'')&lt;/Q&gt;&lt;R&gt;1&lt;/R&gt;&lt;C&gt;1&lt;/C&gt;&lt;D xsi:type="xsd:double"&gt;30622&lt;/D&gt;&lt;/FQL&gt;&lt;FQL&gt;&lt;Q&gt;Ticker0024^FE_ESTIMATE(NEW_ORDERS_VALUE,MEAN,QUARTERLY_ROLL,2019/2F,45776,,,'')&lt;/Q&gt;&lt;R&gt;1&lt;/R&gt;&lt;C&gt;1&lt;/C&gt;&lt;D xsi:type="xsd:double"&gt;30313&lt;/D&gt;&lt;/FQL&gt;&lt;FQL&gt;&lt;Q&gt;Ticker0024^FE_ESTIMATE(NEW_ORDERS_VALUE,MEAN,QUARTERLY_ROLL,2019/1F,45776,,,'')&lt;/Q&gt;&lt;R&gt;1&lt;/R&gt;&lt;C&gt;1&lt;/C&gt;&lt;D xsi:type="xsd:double"&gt;26606&lt;/D&gt;&lt;/FQL&gt;&lt;FQL&gt;&lt;Q&gt;Ticker0024^FE_ESTIMATE(NEW_ORDERS_VALUE,MEAN,ANNUAL_ROLL,2018,45776,,,'')&lt;/Q&gt;&lt;R&gt;1&lt;/R&gt;&lt;C&gt;1&lt;/C&gt;&lt;D xsi:type="xsd:double"&gt;116424&lt;/D&gt;&lt;/FQL&gt;&lt;FQL&gt;&lt;Q&gt;Ticker0024^FE_ESTIMATE(NEW_ORDERS_VALUE,MEAN,QUARTERLY_ROLL,2018/4F,45776,,,'')&lt;/Q&gt;&lt;R&gt;1&lt;/R&gt;&lt;C&gt;1&lt;/C&gt;&lt;D xsi:type="xsd:double"&gt;38850&lt;/D&gt;&lt;/FQL&gt;&lt;FQL&gt;&lt;Q&gt;Ticker0024^FE_ESTIMATE(NEW_ORDERS_VALUE,MEAN,QUARTERLY_ROLL,2018/3F,45776,,,'')&lt;/Q&gt;&lt;R&gt;1&lt;/R&gt;&lt;C&gt;1&lt;/C&gt;&lt;D xsi:type="xsd:double"&gt;26965&lt;/D&gt;&lt;/FQL&gt;&lt;FQL&gt;&lt;Q&gt;Ticker0024^FE_ESTIMATE(NEW_ORDERS_VALUE,MEAN,QUARTERLY_ROLL,2018/2F,45776,,,'')&lt;/Q&gt;&lt;R&gt;1&lt;/R&gt;&lt;C&gt;1&lt;/C&gt;&lt;D xsi:type="xsd:double"&gt;27823&lt;/D&gt;&lt;/FQL&gt;&lt;FQL&gt;&lt;Q&gt;Ticker0024^FE_ESTIMATE(NEW_ORDERS_VALUE,MEAN,QUARTERLY_ROLL,2018/1F,45776,,,'')&lt;/Q&gt;&lt;R&gt;1&lt;/R&gt;&lt;C&gt;1&lt;/C&gt;&lt;D xsi:type="xsd:double"&gt;22786&lt;/D&gt;&lt;/FQL&gt;&lt;FQL&gt;&lt;Q&gt;Ticker0024^FE_ESTIMATE(NEW_ORDERS_VALUE,MEAN,ANNUAL_ROLL,2017,45776,,,'')&lt;/Q&gt;&lt;R&gt;1&lt;/R&gt;&lt;C&gt;1&lt;/C&gt;&lt;D xsi:type="xsd:double"&gt;99926&lt;/D&gt;&lt;/FQL&gt;&lt;FQL&gt;&lt;Q&gt;Ticker0024^FE_ESTIMATE(NEW_ORDERS_VALUE,MEAN,QUARTERLY_ROLL,2017/4F,45776,,,'')&lt;/Q&gt;&lt;R&gt;1&lt;/R&gt;&lt;C&gt;1&lt;/C&gt;&lt;D xsi:type="xsd:double"&gt;32063.5&lt;/D&gt;&lt;/FQL&gt;&lt;FQL&gt;&lt;Q&gt;Ticker0024^FE_ESTIMATE(NEW_ORDERS_VALUE,MEAN,QUARTERLY_ROLL,2017/3F,45776,,,'')&lt;/Q&gt;&lt;R&gt;1&lt;/R&gt;&lt;C&gt;1&lt;/C&gt;&lt;D xsi:type="xsd:double"&gt;23144&lt;/D&gt;&lt;/FQL&gt;&lt;FQL&gt;&lt;Q&gt;Ticker0024^FE_ESTIMATE(NEW_ORDERS_VALUE,MEAN,QUARTERLY_ROLL,2017/2F,45776,,,'')&lt;/Q&gt;&lt;R&gt;1&lt;/R&gt;&lt;C&gt;1&lt;/C&gt;&lt;D xsi:type="xsd:double"&gt;26300.666&lt;/D&gt;&lt;/FQL&gt;&lt;FQL&gt;&lt;Q&gt;Ticker0024^FE_ESTIMATE(NEW_ORDERS_VALUE,MEAN,QUARTERLY_ROLL,2017/1F,45776,,,'')&lt;/Q&gt;&lt;R&gt;1&lt;/R&gt;&lt;C&gt;1&lt;/C&gt;&lt;D xsi:type="xsd:double"&gt;21072.5&lt;/D&gt;&lt;/FQL&gt;&lt;FQL&gt;&lt;Q&gt;Ticker0024^FE_ESTIMATE(NEW_ORDERS_VALUE,MEAN,ANNUAL_ROLL,2016,45776,,,'')&lt;/Q&gt;&lt;R&gt;1&lt;/R&gt;&lt;C&gt;1&lt;/C&gt;&lt;D xsi:type="xsd:double"&gt;94769&lt;/D&gt;&lt;/FQL&gt;&lt;FQL&gt;&lt;Q&gt;Ticker0024^FE_ESTIMATE(NEW_ORDERS_VALUE,MEAN,QUARTERLY_ROLL,2016/4F,45776,,,'')&lt;/Q&gt;&lt;R&gt;1&lt;/R&gt;&lt;C&gt;1&lt;/C&gt;&lt;D xsi:type="xsd:double"&gt;29640.5&lt;/D&gt;&lt;/FQL&gt;&lt;FQL&gt;&lt;Q&gt;Ticker0024^FE_ESTIMATE(NEW_ORDERS_VALUE,MEAN,QUARTERLY_ROLL,2016/3F,45776,,,'')&lt;/Q&gt;&lt;R&gt;1&lt;/R&gt;&lt;C&gt;1&lt;/C&gt;&lt;D xsi:type="xsd:double"&gt;22938&lt;/D&gt;&lt;/FQL&gt;&lt;FQL&gt;&lt;Q&gt;Ticker0024^FE_ESTIMATE(NEW_ORDERS_VALUE,MEAN,QUARTERLY_ROLL,2016/2F,45776,,,'')&lt;/Q&gt;&lt;R&gt;0&lt;/R&gt;&lt;C&gt;0&lt;/C&gt;&lt;/FQL&gt;&lt;FQL&gt;&lt;Q&gt;Ticker0024^FE_ESTIMATE(NEW_ORDERS_VALUE,MEAN,QUARTERLY_ROLL,2016/1F,45776,,,'')&lt;/Q&gt;&lt;R&gt;0&lt;/R&gt;&lt;C&gt;0&lt;/C&gt;&lt;/FQL&gt;&lt;FQL&gt;&lt;Q&gt;Ticker0024^FE_ESTIMATE(NEW_ORDERS_VALUE,MEAN,ANNUAL_ROLL,2015,45776,,,'')&lt;/Q&gt;&lt;R&gt;0&lt;/R&gt;&lt;C&gt;0&lt;/C&gt;&lt;/FQL&gt;&lt;FQL&gt;&lt;Q&gt;Ticker0024^FE_ESTIMATE(NEW_ORDERS_VALUE,MEAN,QUARTERLY_ROLL,2015/4F,45776,,,'')&lt;/Q&gt;&lt;R&gt;0&lt;/R&gt;&lt;C&gt;0&lt;/C&gt;&lt;/FQL&gt;&lt;FQL&gt;&lt;Q&gt;Ticker0024^FE_ESTIMATE(NEW_ORDERS_VALUE,MEAN,QUARTERLY_ROLL,2015/3F,45776,,,'')&lt;/Q&gt;&lt;R&gt;0&lt;/R&gt;&lt;C&gt;0&lt;/C&gt;&lt;/FQL&gt;&lt;FQL&gt;&lt;Q&gt;Ticker0024^FE_ESTIMATE(NEW_ORDERS_VALUE,MEAN,QUARTERLY_ROLL,2015/2F,45776,,,'')&lt;/Q&gt;&lt;R&gt;0&lt;/R&gt;&lt;C&gt;0&lt;/C&gt;&lt;/FQL&gt;&lt;FQL&gt;&lt;Q&gt;Ticker0024^FE_ESTIMATE(NEW_ORDERS_VALUE,MEAN,QUARTERLY_ROLL,2015/1F,45776,,,'')&lt;/Q&gt;&lt;R&gt;0&lt;/R&gt;&lt;C&gt;0&lt;/C&gt;&lt;/FQL&gt;&lt;FQL&gt;&lt;Q&gt;Ticker0024^FE_ESTIMATE(DEFREVENUE,MEAN,ANNUAL_ROLL,2030,45776,,,'')&lt;/Q&gt;&lt;R&gt;0&lt;/R&gt;&lt;C&gt;0&lt;/C&gt;&lt;/FQL&gt;&lt;FQL&gt;&lt;Q&gt;Ticker0024^FE_ESTIMATE(DEFREVENUE,MEAN,QUARTERLY_ROLL,2030/4F,45776,,,'')&lt;/Q&gt;&lt;R&gt;0&lt;/R&gt;&lt;C&gt;0&lt;/C&gt;&lt;/FQL&gt;&lt;FQL&gt;&lt;Q&gt;Ticker0024^FE_ESTIMATE(DEFREVENUE,MEAN,QUARTERLY_ROLL,2030/3F,45776,,,'')&lt;/Q&gt;&lt;R&gt;0&lt;/R&gt;&lt;C&gt;0&lt;/C&gt;&lt;/FQL&gt;&lt;FQL&gt;&lt;Q&gt;Ticker0024^FE_ESTIMATE(DEFREVENUE,MEAN,QUARTERLY_ROLL,2030/2F,45776,,,'')&lt;/Q&gt;&lt;R&gt;0&lt;/R&gt;&lt;C&gt;0&lt;/C&gt;&lt;/FQL&gt;&lt;FQL&gt;&lt;Q&gt;Ticker0024^FE_ESTIMATE(DEFREVENUE,MEAN,QUARTERLY_ROLL,2030/1F,45776,,,'')&lt;/Q&gt;&lt;R&gt;0&lt;/R&gt;&lt;C&gt;0&lt;/C&gt;&lt;/FQL&gt;&lt;FQL&gt;&lt;Q&gt;Ticker0024^FE_ESTIMATE(DEFREVENUE,MEAN,ANNUAL_ROLL,2029,45776,,,'')&lt;/Q&gt;&lt;R&gt;0&lt;/R&gt;&lt;C&gt;0&lt;/C&gt;&lt;/FQL&gt;&lt;FQL&gt;&lt;Q&gt;Ticker0024^FE_ESTIMATE(DEFREVENUE,MEAN,QUARTERLY_ROLL,2029/4F,45776,,,'')&lt;/Q&gt;&lt;R&gt;0&lt;/R&gt;&lt;C&gt;0&lt;/C&gt;&lt;/FQL&gt;&lt;FQL&gt;&lt;Q&gt;Ticker0024^FE_ESTIMATE(DEFREVENUE,MEAN,QUARTERLY_ROLL,2029/3F,45776,,,'')&lt;/Q&gt;&lt;R&gt;0&lt;/R&gt;&lt;C&gt;0&lt;/C&gt;&lt;/FQL&gt;&lt;FQL&gt;&lt;Q&gt;Ticker0024^FE_ESTIMATE(DEFREVENUE,MEAN,QUARTERLY_ROLL,2029/2F,45776,,,'')&lt;/Q&gt;&lt;R&gt;0&lt;/R&gt;&lt;C&gt;0&lt;/C&gt;&lt;/FQL&gt;&lt;FQL&gt;&lt;Q&gt;Ticker0024^FE_ESTIMATE(DEFREVENUE,MEAN,QUARTERLY_ROLL,2029/1F,45776,,,'')&lt;/Q&gt;&lt;R&gt;0&lt;/R&gt;&lt;C&gt;0&lt;/C&gt;&lt;/FQL&gt;&lt;FQL&gt;&lt;Q&gt;Ticker0024^FE_ESTIMATE(DEFREVENUE,MEAN,ANNUAL_ROLL,2028,45776,,,'')&lt;/Q&gt;&lt;R&gt;0&lt;/R&gt;&lt;C&gt;0&lt;/C&gt;&lt;/FQL&gt;&lt;FQL&gt;&lt;Q&gt;Ticker0024^FE_ESTIMATE(DEFREVENUE,MEAN,QUARTERLY_ROLL,2028/4F,45776,,,'')&lt;/Q&gt;&lt;R&gt;0&lt;/R&gt;&lt;C&gt;0&lt;/C&gt;&lt;/FQL&gt;&lt;FQL&gt;&lt;Q&gt;Ticker0024^FE_ESTIMATE(DEFREVENUE,MEAN,QUARTERLY_ROLL,2028/3F,45776,,,'')&lt;/Q&gt;&lt;R&gt;0&lt;/R&gt;&lt;C&gt;0&lt;/C&gt;&lt;/FQL&gt;&lt;FQL&gt;&lt;Q&gt;Ticker0024^FE_ESTIMATE(DEFREVENUE,MEAN,QUARTERLY_ROLL,2028/2F,45776,,,'')&lt;/Q&gt;&lt;R&gt;0&lt;/R&gt;&lt;C&gt;0&lt;/C&gt;&lt;/FQL&gt;&lt;FQL&gt;&lt;Q&gt;Ticker0024^FE_ESTIMATE(DEFREVENUE,MEAN,QUARTERLY_ROLL,2028/1F,45776,,,'')&lt;/Q&gt;&lt;R&gt;0&lt;/R&gt;&lt;C&gt;0&lt;/C&gt;&lt;/FQL&gt;&lt;FQL&gt;&lt;Q&gt;Ticker0024^FE_ESTIMATE(DEFREVENUE,MEAN,ANNUAL_ROLL,2027,45776,,,'')&lt;/Q&gt;&lt;R&gt;1&lt;/R&gt;&lt;C&gt;1&lt;/C&gt;&lt;D xsi:type="xsd:double"&gt;75930.914&lt;/D&gt;&lt;/FQL&gt;&lt;FQL&gt;&lt;Q&gt;Ticker0024^FE_ESTIMATE(DEFREVENUE,MEAN,QUARTERLY_ROLL,2027/4F,45776,,,'')&lt;/Q&gt;&lt;R&gt;1&lt;/R&gt;&lt;C&gt;1&lt;/C&gt;&lt;D xsi:type="xsd:double"&gt;81174&lt;/D&gt;&lt;/FQL&gt;&lt;FQL&gt;&lt;Q&gt;Ticker0024^FE_ESTIMATE(DEFREVENUE,MEAN,QUARTERLY_ROLL,2027/3F,45776,,,'')&lt;/Q&gt;&lt;R&gt;1&lt;/R&gt;&lt;C&gt;1&lt;/C&gt;&lt;D xsi:type="xsd:double"&gt;60046.5&lt;/D&gt;&lt;/FQL&gt;&lt;FQL&gt;&lt;Q&gt;Ticker0024^FE_ESTIMATE(DEFREVENUE,MEAN,QUARTERLY_ROLL,2027/2F,45776,,,'')&lt;/Q&gt;&lt;R&gt;1&lt;/R&gt;&lt;C&gt;1&lt;/C&gt;&lt;D xsi:type="xsd:double"&gt;61217&lt;/D&gt;&lt;/FQL&gt;&lt;FQL&gt;&lt;Q&gt;Ticker0024^FE_ESTIMATE(DEFREVENUE,MEAN,QUARTERLY_ROLL,2027/1F,45776,,,'')&lt;/Q&gt;&lt;R&gt;1&lt;/R&gt;&lt;C&gt;1&lt;/C&gt;&lt;D xsi:type="xsd:double"&gt;67899.5&lt;/D&gt;&lt;/FQL&gt;&lt;FQL&gt;&lt;Q&gt;Ticker0024^FE_ESTIMATE(DEFREVENUE,MEAN,ANNUAL_ROLL,2026,45776,,,'')&lt;/Q&gt;&lt;R&gt;1&lt;/R&gt;&lt;C&gt;1&lt;/C&gt;&lt;D xsi:type="xsd:double"&gt;71944.27&lt;/D&gt;&lt;/FQL&gt;&lt;FQL&gt;&lt;Q&gt;Ticker0024^FE_ESTIMATE(DEFREVENUE,MEAN,QUARTERLY_ROLL,2026/4F,45776,,,'')&lt;/Q&gt;&lt;R&gt;1&lt;/R&gt;&lt;C&gt;1&lt;/C&gt;&lt;D xsi:type="xsd:double"&gt;72735.6&lt;/D&gt;&lt;/FQL&gt;&lt;FQL&gt;&lt;Q&gt;Ticker0024^FE_ESTIMATE(DEFREVENUE,MEAN,QUARTERLY_ROLL,2026/3F,45776,,,'')&lt;/Q&gt;&lt;R&gt;1&lt;/R&gt;&lt;C&gt;1&lt;/C&gt;&lt;D xsi:type="xsd:double"&gt;53619.2&lt;/D&gt;&lt;/FQL&gt;&lt;FQL&gt;&lt;Q&gt;Ticker0024^FE_ESTIMATE(DEFREVENUE,MEAN,QUARTERLY_ROLL,2026/2F,45776,,,'')&lt;/Q&gt;&lt;R&gt;1&lt;/R&gt;&lt;C&gt;1&lt;/C&gt;&lt;D xsi:type="xsd:double"&gt;54152.6&lt;/D&gt;&lt;/FQL&gt;&lt;FQL&gt;&lt;Q&gt;Ticker0024^FE_ESTIMATE(DEFREVENUE,MEAN,QUARTERLY_ROLL,2026/1F,45776,,,'')&lt;/Q&gt;&lt;R&gt;1&lt;/R&gt;&lt;C&gt;1&lt;/C&gt;&lt;D xsi:type="xsd:double"&gt;60658.4&lt;/D&gt;&lt;/FQL&gt;&lt;FQL&gt;&lt;Q&gt;Ticker0024^FE_ESTIMATE(DEFREVENUE,MEAN,ANNUAL_ROLL,2025,45776,,,'')&lt;/Q&gt;&lt;R&gt;1&lt;/R&gt;&lt;C&gt;1&lt;/C&gt;&lt;D xsi:type="xsd:double"&gt;65362.71&lt;/D&gt;&lt;/FQL&gt;&lt;FQL&gt;&lt;Q&gt;Ticker0024^FE_ESTIMATE(DEFREVENUE,MEAN,QUARTERLY_ROLL,2025/4F,45776,,,'')&lt;/Q&gt;&lt;R&gt;1&lt;/R&gt;&lt;C&gt;1&lt;/C&gt;&lt;D xsi:type="xsd:double"&gt;65032.645&lt;/D&gt;&lt;/FQL&gt;&lt;FQL&gt;&lt;Q&gt;Ticker0024^FE_ESTIMATE(DEFREVENUE,MEAN,QUARTERLY_ROLL,2025/3F,45776,,,'')&lt;/Q&gt;&lt;R&gt;1&lt;/R&gt;&lt;C&gt;1&lt;/C&gt;&lt;D xsi:type="xsd:double"&gt;49016.29&lt;/D&gt;&lt;/FQL&gt;&lt;FQL&gt;&lt;Q&gt;Ticker0024^FE_ESTIMATE(DEFREVENUE,MEAN,QUARTERLY_ROLL,2025/2F,45776,,,'')&lt;/Q&gt;&lt;R&gt;1&lt;/R&gt;&lt;C&gt;1&lt;/C&gt;&lt;D xsi:type="xsd:double"&gt;48045.715&lt;/D&gt;&lt;/FQL&gt;&lt;FQL&gt;&lt;Q&gt;Ticker0024^FE_ESTIMATE(DEFREVENUE,MEAN,QUARTERLY_ROLL,2025/1F,45776,,,'')&lt;/Q&gt;&lt;R&gt;1&lt;/R&gt;&lt;C&gt;1&lt;/C&gt;&lt;D xsi:type="xsd:double"&gt;55689.125&lt;/D&gt;&lt;/FQL&gt;&lt;FQL&gt;&lt;Q&gt;Ticker0024^FE_ESTIMATE(DEFREVENUE,MEAN,ANNUAL_ROLL,2024,45776,,,'')&lt;/Q&gt;&lt;R&gt;1&lt;/R&gt;&lt;C&gt;1&lt;/C&gt;&lt;D xsi:type="xsd:double"&gt;60183.6&lt;/D&gt;&lt;/FQL&gt;&lt;FQL&gt;&lt;Q&gt;Ticker0024^FE_ESTIMATE(DEFREVENUE,MEAN,QUARTERLY_ROLL,2024/4F,45776,,,'')&lt;/Q&gt;&lt;R&gt;1&lt;/R&gt;&lt;C&gt;1&lt;/C&gt;&lt;D xsi:type="xsd:double"&gt;60183.555&lt;/D&gt;&lt;/FQL&gt;&lt;FQL&gt;&lt;Q&gt;Ticker0024^FE_ESTIMATE(DEFREVENUE,MEAN,QUARTERLY_ROLL,2024/3F,45776,,,'')&lt;/Q&gt;&lt;R&gt;1&lt;/R&gt;&lt;C&gt;1&lt;/C&gt;&lt;D xsi:type="xsd:double"&gt;44834&lt;/D&gt;&lt;/FQL&gt;&lt;FQL&gt;&lt;Q&gt;Ticker0024^FE_ESTIMATE(DEFREVENUE,MEAN,QUARTERLY_ROLL,2024/2F,45776,,,'')&lt;/Q&gt;&lt;R&gt;1&lt;/R&gt;&lt;C&gt;1&lt;/C&gt;&lt;D xsi:type="xsd:double"&gt;46034.855&lt;/D&gt;&lt;/FQL&gt;&lt;FQL&gt;&lt;Q&gt;Ticker0024^FE_ESTIMATE(DEFREVENUE,MEAN,QUARTERLY_ROLL,2024/1F,45776,,,'')&lt;/Q&gt;&lt;R&gt;1&lt;/R&gt;&lt;C&gt;1&lt;/C&gt;&lt;D xsi:type="xsd:double"&gt;49188.332&lt;/D&gt;&lt;/FQL&gt;&lt;FQL&gt;&lt;Q&gt;Ticker0024^FE_ESTIMATE(DEFREVENUE,MEAN,ANNUAL_ROLL,2023,45776,,,'')&lt;/Q&gt;&lt;R&gt;1&lt;/R&gt;&lt;C&gt;1&lt;/C&gt;&lt;D xsi:type="xsd:double"&gt;53548&lt;/D&gt;&lt;/FQL&gt;&lt;FQL&gt;&lt;Q&gt;Ticker0024^FE_ESTIMATE(DEFREVENUE,MEAN,QUARTERLY_ROLL,2023/4F,45776,,,'')&lt;/Q&gt;&lt;R&gt;1&lt;/R&gt;&lt;C&gt;1&lt;/C&gt;&lt;D xsi:type="xsd:double"&gt;53812.625&lt;/D&gt;&lt;/FQL&gt;&lt;FQL&gt;&lt;Q&gt;Ticker0024^FE_ESTIMATE(DEFREVENUE,MEAN,QUARTERLY_ROLL,2023/3F,45776,,,'')&lt;/Q&gt;&lt;R&gt;1&lt;/R&gt;&lt;C&gt;1&lt;/C&gt;&lt;D xsi:type="xsd:double"&gt;39600.832&lt;/D&gt;&lt;/FQL&gt;&lt;FQL&gt;&lt;Q&gt;Ticker0024^FE_ESTIMATE(DEFREVENUE,MEAN,QUARTERLY_ROLL,2023/2F,45776,,,'')&lt;/Q&gt;&lt;R&gt;1&lt;/R&gt;&lt;C&gt;1&lt;/C&gt;&lt;D xsi:type="xsd:double"&gt;39625&lt;/D&gt;&lt;/FQL&gt;&lt;FQL&gt;&lt;Q&gt;Ticker0024^FE_ESTIMATE(DEFREVENUE,MEAN,QUARTERLY_ROLL,2023/1F,45776,,,'')&lt;/Q&gt;&lt;R&gt;1&lt;/R&gt;&lt;C&gt;1&lt;/C&gt;&lt;D xsi:type="xsd:double"&gt;43889.145&lt;/D&gt;&lt;/FQL&gt;&lt;FQL&gt;&lt;Q&gt;Ticker0024^FE_ESTIMATE(DEFREVENUE,MEAN,ANNUAL_ROLL,2022,45776,,,'')&lt;/Q&gt;&lt;R&gt;1&lt;/R&gt;&lt;C&gt;1&lt;/C&gt;&lt;D xsi:type="xsd:double"&gt;48121&lt;/D&gt;&lt;/FQL&gt;&lt;FQL&gt;&lt;Q&gt;Ticker0024^FE_ESTIMATE(DEFREVENUE,MEAN,QUARTERLY_ROLL,2022/4F,45776,,,'')&lt;/Q&gt;&lt;R&gt;1&lt;/R&gt;&lt;C&gt;1&lt;/C&gt;&lt;D xsi:type="xsd:double"&gt;48408&lt;/D&gt;&lt;/FQL&gt;&lt;FQL&gt;&lt;Q&gt;Ticker0024^FE_ESTIMATE(DEFREVENUE,MEAN,QUARTERLY_ROLL,2022/3F,45776,,,'')&lt;/Q&gt;&lt;R&gt;1&lt;/R&gt;&lt;C&gt;1&lt;/C&gt;&lt;D xsi:type="xsd:double"&gt;36796&lt;/D&gt;&lt;/FQL&gt;&lt;FQL&gt;&lt;Q&gt;Ticker0024^FE_ESTIMATE(DEFREVENUE,MEAN,QUARTERLY_ROLL,2022/2F,45776,,,'')&lt;/Q&gt;&lt;R&gt;1&lt;/R&gt;&lt;C&gt;1&lt;/C&gt;&lt;D xsi:type="xsd:double"&gt;36769&lt;/D&gt;&lt;/FQL&gt;&lt;FQL&gt;&lt;Q&gt;Ticker0024^FE_ESTIMATE(DEFREVENUE,MEAN,QUARTERLY_ROLL,2022/1F,45776,,,'')&lt;/Q&gt;&lt;R&gt;1&lt;/R&gt;&lt;C&gt;1&lt;/C&gt;&lt;D xsi:type="xsd:double"&gt;41015&lt;/D&gt;&lt;/FQL&gt;&lt;FQL&gt;&lt;Q&gt;Ticker0024^FE_ESTIMATE(DEFREVENUE,MEAN,ANNUAL_ROLL,2021,45776,,,'')&lt;/Q&gt;&lt;R&gt;1&lt;/R&gt;&lt;C&gt;1&lt;/C&gt;&lt;D xsi:type="xsd:double"&gt;44141&lt;/D&gt;&lt;/FQL&gt;&lt;FQL&gt;&lt;Q&gt;Ticker0024^FE_ESTIMATE(DEFREVENUE,MEAN,QUARTERLY_ROLL,2021/4F,45776,,,'')&lt;/Q&gt;&lt;R&gt;1&lt;/R&gt;&lt;C&gt;1&lt;/C&gt;&lt;D xsi:type="xsd:double"&gt;44141&lt;/D&gt;&lt;/FQL&gt;&lt;FQL&gt;&lt;Q&gt;Ticker0024^FE_ESTIMATE(DEFREVENUE,MEAN,QUARTERLY_ROLL,2021/3F,45776,,,'')&lt;/Q&gt;&lt;R&gt;1&lt;/R&gt;&lt;C&gt;1&lt;/C&gt;&lt;D xsi:type="xsd:double"&gt;32714&lt;/D&gt;&lt;/FQL&gt;&lt;FQL&gt;&lt;Q&gt;Ticker0024^FE_ESTIMATE(DEFREVENUE,MEAN,QUARTERLY_ROLL,2021/2F,45776,,,'')&lt;/Q&gt;&lt;R&gt;1&lt;/R&gt;&lt;C&gt;1&lt;/C&gt;&lt;D xsi:type="xsd:double"&gt;33387&lt;/D&gt;&lt;/FQL&gt;&lt;FQL&gt;&lt;Q&gt;Ticker0024^FE_ESTIMATE(DEFREVENUE,MEAN,QUARTERLY_ROLL,2021/1F,45776,,,'')&lt;/Q&gt;&lt;R&gt;1&lt;/R&gt;&lt;C&gt;1&lt;/C&gt;&lt;D xsi:type="xsd:double"&gt;36305&lt;/D&gt;&lt;/FQL&gt;&lt;FQL&gt;&lt;Q&gt;Ticker0024^FE_ESTIMATE(DEFREVENUE,MEAN,ANNUAL_ROLL,2020,45776,,,'')&lt;/Q&gt;&lt;R&gt;1&lt;/R&gt;&lt;C&gt;1&lt;/C&gt;&lt;D xsi:type="xsd:double"&gt;39180&lt;/D&gt;&lt;/FQL&gt;&lt;FQL&gt;&lt;Q&gt;Ticker0024^FE_ESTIMATE(DEFREVENUE,MEAN,QUARTERLY_ROLL,2020/4F,45776,,,'')&lt;/Q&gt;&lt;R&gt;1&lt;/R&gt;&lt;C&gt;1&lt;/C&gt;&lt;D xsi:type="xsd:double"&gt;39180&lt;/D&gt;&lt;/FQL&gt;&lt;FQL&gt;&lt;Q&gt;Ticker0024^FE_ESTIMATE(DEFREVENUE,MEAN,QUARTERLY_ROLL,2020/3F,45776,,,'')&lt;/Q&gt;&lt;R&gt;1&lt;/R&gt;&lt;C&gt;1&lt;/C&gt;&lt;D xsi:type="xsd:double"&gt;30397&lt;/D&gt;&lt;/FQL&gt;&lt;FQL&gt;&lt;Q&gt;Ticker0024^FE_ESTIMATE(DEFREVENUE,MEAN,QUARTERLY_ROLL,2020/2F,45776,,,'')&lt;/Q&gt;&lt;R&gt;1&lt;/R&gt;&lt;C&gt;1&lt;/C&gt;&lt;D xsi:type="xsd:double"&gt;31221&lt;/D&gt;&lt;/FQL&gt;&lt;FQL&gt;&lt;Q&gt;Ticker0024^FE_ESTIMATE(DEFREVENUE,MEAN,QUARTERLY_ROLL,2020/1F,45776,,,'')&lt;/Q&gt;&lt;R&gt;1&lt;/R&gt;&lt;C&gt;1&lt;/C&gt;&lt;D xsi:type="xsd:double"&gt;34026&lt;/D&gt;&lt;/FQL&gt;&lt;FQL&gt;&lt;Q&gt;Ticker0024^FE_ESTIMATE(DEFREVENUE,MEAN,ANNUAL_ROLL,2019,45776,,,'')&lt;/Q&gt;&lt;R&gt;1&lt;/R&gt;&lt;C&gt;1&lt;/C&gt;&lt;D xsi:type="xsd:double"&gt;37206&lt;/D&gt;&lt;/FQL&gt;&lt;FQL&gt;&lt;Q&gt;Ticker0024^FE_ESTIMATE(DEFREVENUE,MEAN,QUARTERLY_ROLL,2019/4F,45776,,,'')&lt;/Q&gt;&lt;R&gt;1&lt;/R&gt;&lt;C&gt;1&lt;/C&gt;&lt;D xsi:type="xsd:double"&gt;37206&lt;/D&gt;&lt;/FQL&gt;&lt;FQL&gt;&lt;Q&gt;Ticker0024^FE_ESTIMATE(DEFREVENUE,MEAN,QUARTERLY_ROLL,2019/3F,45776,,,'')&lt;/Q&gt;&lt;R&gt;1&lt;/R&gt;&lt;C&gt;1&lt;/C&gt;&lt;D xsi:type="xsd:double"&gt;28135&lt;/D&gt;&lt;/FQL&gt;&lt;FQL&gt;&lt;Q&gt;Ticker0024^FE_ESTIMATE(DEFREVENUE,MEAN,QUARTERLY_ROLL,2019/2F,45776,,,'')&lt;/Q&gt;&lt;R&gt;1&lt;/R&gt;&lt;C&gt;1&lt;/C&gt;&lt;D xsi:type="xsd:double"&gt;28084&lt;/D&gt;&lt;/FQL&gt;&lt;FQL&gt;&lt;Q&gt;Ticker0024^FE_ESTIMATE(DEFREVENUE,MEAN,QUARTERLY_ROLL,2019/1F,45776,,,'')&lt;/Q&gt;&lt;R&gt;1&lt;/R&gt;&lt;C&gt;1&lt;/C&gt;&lt;D xsi:type="xsd:double"&gt;30242&lt;/D&gt;&lt;/FQL&gt;&lt;FQL&gt;&lt;Q&gt;Ticker0024^FE_ESTIMATE(DEFREVENUE,MEAN,ANNUAL_ROLL,2018,45776,,,'')&lt;/Q&gt;&lt;R&gt;1&lt;/R&gt;&lt;C&gt;1&lt;/C&gt;&lt;D xsi:type="xsd:double"&gt;32540.1&lt;/D&gt;&lt;/FQL&gt;&lt;FQL&gt;&lt;Q&gt;Ticker0024^FE_ESTIMATE(DEFREVENUE,MEAN,QUARTERLY_ROLL,2018/4F,45776,,,'')&lt;/Q&gt;&lt;R&gt;1&lt;/R&gt;&lt;C&gt;1&lt;/C&gt;&lt;D xsi:type="xsd:double"&gt;32540.1&lt;/D&gt;&lt;/FQL&gt;&lt;FQL&gt;&lt;Q&gt;Ticker0024^FE_ESTIMATE(DEFREVENUE,MEAN,QUARTERLY_ROLL,2018/3F,45776,,,'')&lt;/Q&gt;&lt;R&gt;1&lt;/R&gt;&lt;C&gt;1&lt;/C&gt;&lt;D xsi:type="xsd:double"&gt;23955&lt;/D&gt;&lt;/FQL&gt;&lt;FQL&gt;&lt;Q&gt;Ticker0024^FE_ESTIMATE(DEFREVENUE,MEAN,QUARTERLY_ROLL,2018/2F,45776,,,'')&lt;/Q&gt;&lt;R&gt;1&lt;/R&gt;&lt;C&gt;1&lt;/C&gt;&lt;D xsi:type="xsd:double"&gt;23809&lt;/D&gt;&lt;/FQL&gt;&lt;FQL&gt;&lt;Q&gt;Ticker0024^FE_ESTIMATE(DEFREVENUE,MEAN,QUARTERLY_ROLL,2018/1F,45776,,,'')&lt;/Q&gt;&lt;R&gt;1&lt;/R&gt;&lt;C&gt;1&lt;/C&gt;&lt;D xsi:type="xsd:double"&gt;24904&lt;/D&gt;&lt;/FQL&gt;&lt;FQL&gt;&lt;Q&gt;Ticker0024^FE_ESTIMATE(DEFREVENUE,MEAN,ANNUAL_ROLL,2017,45776,,,'')&lt;/Q&gt;&lt;R&gt;1&lt;/R&gt;&lt;C&gt;1&lt;/C&gt;&lt;D xsi:type="xsd:double"&gt;44479&lt;/D&gt;&lt;/FQL&gt;&lt;FQL&gt;&lt;Q&gt;Ticker0024^FE_ESTIMATE(DEFREVENUE,MEAN,QUARTERLY_ROLL,2017/4F,45776,,,'')&lt;/Q&gt;&lt;R&gt;1&lt;/R&gt;&lt;C&gt;1&lt;/C&gt;&lt;D xsi:type="xsd:double"&gt;44479&lt;/D&gt;&lt;/FQL&gt;&lt;FQL&gt;&lt;Q&gt;Ticker0024^FE_ESTIMATE(DEFREVENUE,MEAN,QUARTERLY_ROLL,2017/3F,45776,,,'')&lt;/Q&gt;&lt;R&gt;1&lt;/R&gt;&lt;C&gt;1&lt;/C&gt;&lt;D xsi:type="xsd:double"&gt;35733&lt;/D&gt;&lt;/FQL&gt;&lt;FQL&gt;&lt;Q&gt;Ticker0024^FE_ESTIMATE(DEFREVENUE,MEAN,QUARTERLY_ROLL,2017/2F,45776,,,'')&lt;/Q&gt;&lt;R&gt;1&lt;/R&gt;&lt;C&gt;1&lt;/C&gt;&lt;D xsi:type="xsd:double"&gt;34587.273&lt;/D&gt;&lt;/FQL&gt;&lt;FQL&gt;&lt;Q&gt;Ticker0024^FE_ESTIMATE(DEFREVENUE,MEAN,QUARTERLY_ROLL,2017/1F,45776,,,'')&lt;/Q&gt;&lt;R&gt;1&lt;/R&gt;&lt;C&gt;1&lt;/C&gt;&lt;D xsi:type="xsd:double"&gt;33588&lt;/D&gt;&lt;/FQL&gt;&lt;FQL&gt;&lt;Q&gt;Ticker0024^FE_ESTIMATE(DEFREVENUE,MEAN,ANNUAL_ROLL,2016,45776,,,'')&lt;/Q&gt;&lt;R&gt;1&lt;/R&gt;&lt;C&gt;1&lt;/C&gt;&lt;D xsi:type="xsd:double"&gt;33909&lt;/D&gt;&lt;/FQL&gt;&lt;FQL&gt;&lt;Q&gt;Ticker0024^FE_ESTIMATE(DEFREVENUE,MEAN,QUARTERLY_ROLL,2016/4F,45776,,,'')&lt;/Q&gt;&lt;R&gt;1&lt;/R&gt;&lt;C&gt;1&lt;/C&gt;&lt;D xsi:type="xsd:double"&gt;33909&lt;/D&gt;&lt;/FQL&gt;&lt;FQL&gt;&lt;Q&gt;Ticker0024^FE_ESTIMATE(DEFREVENUE,MEAN,QUARTERLY_ROLL,2016/3F,45776,,,'')&lt;/Q&gt;&lt;R&gt;1&lt;/R&gt;&lt;C&gt;1&lt;/C&gt;&lt;D xsi:type="xsd:double"&gt;25893&lt;/D&gt;&lt;/FQL&gt;&lt;FQL&gt;&lt;Q&gt;Ticker0024^FE_ESTIMATE(DEFREVENUE,MEAN,QUARTERLY_ROLL,2016/2F,45776,,,'')&lt;/Q&gt;&lt;R&gt;1&lt;/R&gt;&lt;C&gt;1&lt;/C&gt;&lt;D xsi:type="xsd:double"&gt;25031&lt;/D&gt;&lt;/FQL&gt;&lt;FQL&gt;&lt;Q&gt;Ticker0024^FE_ESTIMATE(DEFREVENUE,MEAN,QUARTERLY_ROLL,2016/1F,45776,,,'')&lt;/Q&gt;&lt;R&gt;0&lt;/R&gt;&lt;C&gt;0&lt;/C&gt;&lt;/FQL&gt;&lt;FQL&gt;&lt;Q&gt;Ticker0024^FE_ESTIMATE(DEFREVENUE,MEAN,ANNUAL_ROLL,2015,45776,,,'')&lt;/Q&gt;&lt;R&gt;0&lt;/R&gt;&lt;C&gt;0&lt;/C&gt;&lt;/FQL&gt;&lt;FQL&gt;&lt;Q&gt;Ticker0024^FE_ESTIMATE(DEFREVENUE,MEAN,QUARTERLY_ROLL,2015/4F,45776,,,'')&lt;/Q&gt;&lt;R&gt;0&lt;/R&gt;&lt;C&gt;0&lt;/C&gt;&lt;/FQL&gt;&lt;FQL&gt;&lt;Q&gt;Ticker0024^FE_ESTIMATE(DEFREVENUE,MEAN,QUARTERLY_ROLL,2015/3F,45776,,,'')&lt;/Q&gt;&lt;R&gt;0&lt;/R&gt;&lt;C&gt;0&lt;/C&gt;&lt;/FQL&gt;&lt;FQL&gt;&lt;Q&gt;Ticker0024^FE_ESTIMATE(DEFREVENUE,MEAN,QUARTERLY_ROLL,2015/2F,45776,,,'')&lt;/Q&gt;&lt;R&gt;0&lt;/R&gt;&lt;C&gt;0&lt;/C&gt;&lt;/FQL&gt;&lt;FQL&gt;&lt;Q&gt;Ticker0024^FE_ESTIMATE(DEFREVENUE,MEAN,QUARTERLY_ROLL,2015/1F,45776,,,'')&lt;/Q&gt;&lt;R&gt;0&lt;/R&gt;&lt;C&gt;0&lt;/C&gt;&lt;/FQL&gt;&lt;FQL&gt;&lt;Q&gt;Ticker0024^FE_ESTIMATE(DEFREVENUE_LT,MEAN,ANNUAL_ROLL,2030,45776,,,'')&lt;/Q&gt;&lt;R&gt;0&lt;/R&gt;&lt;C&gt;0&lt;/C&gt;&lt;/FQL&gt;&lt;FQL&gt;&lt;Q&gt;Ticker0024^FE_ESTIMATE(DEFREVENUE_LT,MEAN,QUARTERLY_ROLL,2030/4F,45776,,,'')&lt;/Q&gt;&lt;R&gt;0&lt;/R&gt;&lt;C&gt;0&lt;/C&gt;&lt;/FQL&gt;&lt;FQL&gt;&lt;Q&gt;Ticker0024^FE_ESTIMATE(DEFREVENUE_LT,MEAN,QUARTERLY_ROLL,2030/3F,45776,,,'')&lt;/Q&gt;&lt;R&gt;0&lt;/R&gt;&lt;C&gt;0&lt;/C&gt;&lt;/FQL&gt;&lt;FQL&gt;&lt;Q&gt;Ticker0024^FE_ESTIMATE(DEFREVENUE_LT,MEAN,QUARTERLY_ROLL,2030/2F,45776,,,'')&lt;/Q&gt;&lt;R&gt;0&lt;/R&gt;&lt;C&gt;0&lt;/C&gt;&lt;/FQL&gt;&lt;FQL&gt;&lt;Q&gt;Ticker0024^FE_ESTIMATE(DEFREVENUE_LT,MEAN,QUARTERLY_ROLL,2030/1F,45776,,,'')&lt;/Q&gt;&lt;R&gt;0&lt;/R&gt;&lt;C&gt;0&lt;/C&gt;&lt;/FQL&gt;&lt;FQL&gt;&lt;Q&gt;Ticker0024^FE_ESTIMATE(DEFREVENUE_LT,MEAN,ANNUAL_ROLL,2029,45776,,,'')&lt;/Q&gt;&lt;R&gt;0&lt;/R&gt;&lt;C&gt;0&lt;/C&gt;&lt;/FQL&gt;&lt;FQL&gt;&lt;Q&gt;Ticker0024^FE_ESTIMATE(DEFREVENUE_LT,MEAN,QUARTERLY_ROLL,2029/4F,45776,,,'')&lt;/Q&gt;&lt;R&gt;0&lt;/R&gt;&lt;C&gt;0&lt;/C&gt;&lt;/FQL&gt;&lt;FQL&gt;&lt;Q&gt;Ticker0024^FE_ESTIMATE(DEFREVENUE_LT,MEAN,QUARTERLY_ROLL,2029/3F,45776,,,'')&lt;/Q&gt;&lt;R&gt;0&lt;/R&gt;&lt;C&gt;0&lt;/C&gt;&lt;/FQL&gt;&lt;FQL&gt;&lt;Q&gt;Ticker0024^FE_ESTIMATE(DEFREVENUE_LT,MEAN,QUARTERLY_ROLL,2029/2F,45776,,,'')&lt;/Q&gt;&lt;R&gt;0&lt;/R&gt;&lt;C&gt;0&lt;/C&gt;&lt;/FQL&gt;&lt;FQL&gt;&lt;Q&gt;Ticker0024^FE_ESTIMATE(DEFREVENUE_LT,MEAN,QUARTERLY_ROLL,2029/1F,45776,,,'')&lt;/Q&gt;&lt;R&gt;0&lt;/R&gt;&lt;C&gt;0&lt;/C&gt;&lt;/FQL&gt;&lt;FQL&gt;&lt;Q&gt;Ticker0024^FE_ESTIMATE(DEFREVENUE_LT,MEAN,ANNUAL_ROLL,2028,45776,,,'')&lt;/Q&gt;&lt;R&gt;0&lt;/R&gt;&lt;C&gt;0&lt;/C&gt;&lt;/FQL&gt;&lt;FQL&gt;&lt;Q&gt;Ticker0024^FE_ESTIMATE(DEFREVENUE_LT,MEAN,QUARTERLY_ROLL,2028/4F,45776,,,'')&lt;/Q&gt;&lt;R&gt;0&lt;/R&gt;&lt;C&gt;0&lt;/C&gt;&lt;/FQL&gt;&lt;FQL&gt;&lt;Q&gt;Ticker0024^FE_ESTIMATE(DEFREVENUE_LT,MEAN,QUARTERLY_ROLL,2028/3F,45776,,,'')&lt;/Q&gt;&lt;R&gt;0&lt;/R&gt;&lt;C&gt;0&lt;/C&gt;&lt;/FQL&gt;&lt;FQL&gt;&lt;Q&gt;Ticker0024^FE_ESTIMATE(DEFREVENUE_LT,MEAN,QUARTERLY_ROLL,2028/2F,45776,,,'')&lt;/Q&gt;&lt;R&gt;0&lt;/R&gt;&lt;C&gt;0&lt;/C&gt;&lt;/FQL&gt;&lt;FQL&gt;&lt;Q&gt;Ticker0024^FE_ESTIMATE(DEFREVENUE_LT,MEAN,QUARTERLY_ROLL,2028/1F,45776,,,'')&lt;/Q&gt;&lt;R&gt;0&lt;/R&gt;&lt;C&gt;0&lt;/C&gt;&lt;/FQL&gt;&lt;FQL&gt;&lt;Q&gt;Ticker0024^FE_ESTIMATE(DEFREVENUE_LT,MEAN,ANNUAL_ROLL,2027,45776,,,'')&lt;/Q&gt;&lt;R&gt;1&lt;/R&gt;&lt;C&gt;1&lt;/C&gt;&lt;D xsi:type="xsd:double"&gt;2831.8&lt;/D&gt;&lt;/FQL&gt;&lt;FQL&gt;&lt;Q&gt;Ticker0024^FE_ESTIMATE(DEFREVENUE_LT,MEAN,QUARTERLY_ROLL,2027/4F,45776,,,'')&lt;/Q&gt;&lt;R&gt;1&lt;/R&gt;&lt;C&gt;1&lt;/C&gt;&lt;D xsi:type="xsd:double"&gt;2898.5&lt;/D&gt;&lt;/FQL&gt;&lt;FQL&gt;&lt;Q&gt;Ticker0024^FE_ESTIMATE(DEFREVENUE_LT,MEAN,QUARTERLY_ROLL,2027/3F,45776,,,'')&lt;/Q&gt;&lt;R&gt;1&lt;/R&gt;&lt;C&gt;1&lt;/C&gt;&lt;D xsi:type="xsd:double"&gt;2405.5&lt;/D&gt;&lt;/FQL&gt;&lt;FQL&gt;&lt;Q&gt;Ticker0024^FE_ESTIMATE(DEFREVENUE_LT,MEAN,QUARTERLY_ROLL,2027/2F,45776,,,'')&lt;/Q&gt;&lt;R&gt;1&lt;/R&gt;&lt;C&gt;1&lt;/C&gt;&lt;D xsi:type="xsd:double"&gt;2451.5&lt;/D&gt;&lt;/FQL&gt;&lt;FQL&gt;&lt;Q&gt;Ticker0024^FE_ESTIMATE(DEFREVENUE_LT,MEAN,QUARTERLY_ROLL,2027/1F,45776,,,'')&lt;/Q&gt;&lt;R&gt;1&lt;/R&gt;&lt;C&gt;1&lt;/C&gt;&lt;D xsi:type="xsd:double"&gt;2612&lt;/D&gt;&lt;/FQL&gt;&lt;FQL&gt;&lt;Q&gt;Ticker0024^FE_ESTIMATE(DEFREVENUE_LT,MEAN,ANNUAL_ROLL,2026,45776,,,'')&lt;/Q&gt;&lt;R&gt;1&lt;/R&gt;&lt;C&gt;1&lt;/C&gt;&lt;D xsi:type="xsd:double"&gt;3019.45&lt;/D&gt;&lt;/FQL&gt;&lt;FQL&gt;&lt;Q&gt;Ticker0024^FE_ESTIMATE(DEFREVENUE_LT,MEAN,QUARTERLY_ROLL,2026/4F,45776,,,'')&lt;/Q&gt;&lt;R&gt;1&lt;/R&gt;&lt;C&gt;1&lt;/C&gt;&lt;D xsi:type="xsd:double"&gt;2628.8&lt;/D&gt;&lt;/FQL&gt;&lt;FQL&gt;&lt;Q&gt;Ticker0024^FE_ESTIMATE(DEFREVENUE_LT,MEAN,QUARTERLY_ROLL,2026/3F,45776,,,'')&lt;/Q&gt;&lt;R&gt;1&lt;/R&gt;&lt;C&gt;1&lt;/C&gt;&lt;D xsi:type="xsd:double"&gt;2730.4&lt;/D&gt;&lt;/FQL&gt;&lt;FQL&gt;&lt;Q&gt;Ticker0024^FE_ESTIMATE(DEFREVENUE_LT,MEAN,QUARTERLY_ROLL,2026/2F,45776,,,'')&lt;/Q&gt;&lt;R&gt;1&lt;/R&gt;&lt;C&gt;1&lt;/C&gt;&lt;D xsi:type="xsd:double"&gt;2677.8&lt;/D&gt;&lt;/FQL&gt;&lt;FQL&gt;&lt;Q&gt;Ticker0024^FE_ESTIMATE(DEFREVENUE_LT,MEAN,QUARTERLY_ROLL,2026/1F,45776,,,'')&lt;/Q&gt;&lt;R&gt;1&lt;/R&gt;&lt;C&gt;1&lt;/C&gt;&lt;D xsi:type="xsd:double"&gt;2597.2&lt;/D&gt;&lt;/FQL&gt;&lt;FQL&gt;&lt;Q&gt;Ticker0024^FE_ESTIMATE(DEFREVENUE_LT,MEAN,ANNUAL_ROLL,2025,45776,,,'')&lt;/Q&gt;&lt;R&gt;1&lt;/R&gt;&lt;C&gt;1&lt;/C&gt;&lt;D xsi:type="xsd:double"&gt;2880.4285&lt;/D&gt;&lt;/FQL&gt;&lt;FQL&gt;&lt;Q&gt;Ticker0024^FE_ESTIMATE(DEFREVENUE_LT,MEAN,QUARTERLY_ROLL,2025/4F,45776,,,'')&lt;/Q&gt;&lt;R&gt;1&lt;/R&gt;&lt;C&gt;1&lt;/C&gt;&lt;D xsi:type="xsd:double"&gt;2880.4285&lt;/D&gt;&lt;/FQL&gt;&lt;FQL&gt;&lt;Q&gt;Ticker0024^FE_ESTIMATE(DEFREVENUE_LT,MEAN,QUARTERLY_ROLL,2025/3F,45776,,,'')&lt;/Q&gt;&lt;R&gt;1&lt;/R&gt;&lt;C&gt;1&lt;/C&gt;&lt;D xsi:type="xsd:double"&gt;2842.475&lt;/D&gt;&lt;/FQL&gt;&lt;FQL&gt;&lt;Q&gt;Ticker0024^FE_ESTIMATE(DEFREVENUE_LT,MEAN,QUARTERLY_ROLL,2025/2F,45776,,,'')&lt;/Q&gt;&lt;R&gt;1&lt;/R&gt;&lt;C&gt;1&lt;/C&gt;&lt;D xsi:type="xsd:double"&gt;2537.4285&lt;/D&gt;&lt;/FQL&gt;&lt;FQL&gt;&lt;Q&gt;Ticker0024^FE_ESTIMATE(DEFREVENUE_LT,MEAN,QUARTERLY_ROLL,2025/1F,45776,,,'')&lt;/Q&gt;&lt;R&gt;1&lt;/R&gt;&lt;C&gt;1&lt;/C&gt;&lt;D xsi:type="xsd:double"&gt;2662.6667&lt;/D&gt;&lt;/FQL&gt;&lt;FQL&gt;&lt;Q&gt;Ticker0024^FE_ESTIMATE(DEFREVENUE_LT,MEAN,ANNUAL_ROLL,2024,45776,,,'')&lt;/Q&gt;&lt;R&gt;1&lt;/R&gt;&lt;C&gt;1&lt;/C&gt;&lt;D xsi:type="xsd:double"&gt;2601.75&lt;/D&gt;&lt;/FQL&gt;&lt;FQL&gt;&lt;Q&gt;Ticker0024^FE_ESTIMATE(DEFREVENUE_LT,MEAN,QUARTERLY_ROLL,2024/4F,45776,,,'')&lt;/Q&gt;&lt;R&gt;1&lt;/R&gt;&lt;C&gt;1&lt;/C&gt;&lt;D xsi:type="xsd:double"&gt;2601.75&lt;/D&gt;&lt;/FQL&gt;&lt;FQL&gt;&lt;Q&gt;Ticker0024^FE_ESTIMATE(DEFREVENUE_LT,MEAN,QUARTERLY_ROLL,2024/3F,45776,,,'')&lt;/Q&gt;&lt;R&gt;1&lt;/R&gt;&lt;C&gt;1&lt;/C&gt;&lt;D xsi:type="xsd:double"&gt;2945.7144&lt;/D&gt;&lt;/FQL&gt;&lt;FQL&gt;&lt;Q&gt;Ticker0024^FE_ESTIMATE(DEFREVENUE_LT,MEAN,QUARTERLY_ROLL,2024/2F,45776,,,'')&lt;/Q&gt;&lt;R&gt;1&lt;/R&gt;&lt;C&gt;1&lt;/C&gt;&lt;D xsi:type="xsd:double"&gt;2966.5715&lt;/D&gt;&lt;/FQL&gt;&lt;FQL&gt;&lt;Q&gt;Ticker0024^FE_ESTIMATE(DEFREVENUE_LT,MEAN,QUARTERLY_ROLL,2024/1F,45776,,,'')&lt;/Q&gt;&lt;R&gt;1&lt;/R&gt;&lt;C&gt;1&lt;/C&gt;&lt;D xsi:type="xsd:double"&gt;2759.1428&lt;/D&gt;&lt;/FQL&gt;&lt;FQL&gt;&lt;Q&gt;Ticker0024^FE_ESTIMATE(DEFREVENUE_LT,MEAN,ANNUAL_ROLL,2023,45776,,,'')&lt;/Q&gt;&lt;R&gt;1&lt;/R&gt;&lt;C&gt;1&lt;/C&gt;&lt;D xsi:type="xsd:double"&gt;2911.75&lt;/D&gt;&lt;/FQL&gt;&lt;FQL&gt;&lt;Q&gt;Ticker0024^FE_ESTIMATE(DEFREVENUE_LT,MEAN,QUARTERLY_ROLL,2023/4F,45776,,,'')&lt;/Q&gt;&lt;R&gt;1&lt;/R&gt;&lt;C&gt;1&lt;/C&gt;&lt;D xsi:type="xsd:double"&gt;2911.7144&lt;/D&gt;&lt;/FQL&gt;&lt;FQL&gt;&lt;Q&gt;Ticker0024^FE_ESTIMATE(DEFREVENUE_LT,MEAN,QUARTERLY_ROLL,2023/3F,45776,,,'')&lt;/Q&gt;&lt;R&gt;1&lt;/R&gt;&lt;C&gt;1&lt;/C&gt;&lt;D xsi:type="xsd:double"&gt;2698.3333&lt;/D&gt;&lt;/FQL&gt;&lt;FQL&gt;&lt;Q&gt;Ticker0024^FE_ESTIMATE(DEFREVENUE_LT,MEAN,QUARTERLY_ROLL,2023/2F,45776,,,'')&lt;/Q&gt;&lt;R&gt;1&lt;/R&gt;&lt;C&gt;1&lt;/C&gt;&lt;D xsi:type="xsd:double"&gt;2643.3333&lt;/D&gt;&lt;/FQL&gt;&lt;FQL&gt;&lt;Q&gt;Ticker0024^FE_ESTIMATE(DEFREVENUE_LT,MEAN,QUARTERLY_ROLL,2023/1F,45776,,,'')&lt;/Q&gt;&lt;R&gt;1&lt;/R&gt;&lt;C&gt;1&lt;/C&gt;&lt;D xsi:type="xsd:double"&gt;2549.1428&lt;/D&gt;&lt;/FQL&gt;&lt;FQL&gt;&lt;Q&gt;Ticker0024^FE_ESTIMATE(DEFREVENUE_LT,MEAN,ANNUAL_ROLL,2022,45776,,,'')&lt;/Q&gt;&lt;R&gt;1&lt;/R&gt;&lt;C&gt;1&lt;/C&gt;&lt;D xsi:type="xsd:double"&gt;2870&lt;/D&gt;&lt;/FQL&gt;&lt;FQL&gt;&lt;Q&gt;Ticker0024^FE_ESTIMATE(DEFREVENUE_LT,MEAN,QUARTERLY_ROLL,2022/4F,45776,,,'')&lt;/Q&gt;&lt;R&gt;1&lt;/R&gt;&lt;C&gt;1&lt;/C&gt;&lt;D xsi:type="xsd:double"&gt;2870&lt;/D&gt;&lt;/FQL&gt;&lt;FQL&gt;&lt;Q&gt;Ticker0024^FE_ESTIMATE(DEFREVENUE_LT,MEAN,QUARTERLY_ROLL,2022/3F,45776,,,'')&lt;/Q&gt;&lt;R&gt;1&lt;/R&gt;&lt;C&gt;1&lt;/C&gt;&lt;D xsi:type="xsd:double"&gt;2769&lt;/D&gt;&lt;/FQL&gt;&lt;FQL&gt;&lt;Q&gt;Ticker0024^FE_ESTIMATE(DEFREVENUE_LT,MEAN,QUARTERLY_ROLL,2022/2F,45776,,,'')&lt;/Q&gt;&lt;R&gt;1&lt;/R&gt;&lt;C&gt;1&lt;/C&gt;&lt;D xsi:type="xsd:double"&gt;2768&lt;/D&gt;&lt;/FQL&gt;&lt;FQL&gt;&lt;Q&gt;Ticker0024^FE_ESTIMATE(DEFREVENUE_LT,MEAN,QUARTERLY_ROLL,2022/1F,45776,,,'')&lt;/Q&gt;&lt;R&gt;1&lt;/R&gt;&lt;C&gt;1&lt;/C&gt;&lt;D xsi:type="xsd:double"&gt;2550&lt;/D&gt;&lt;/FQL&gt;&lt;FQL&gt;&lt;Q&gt;Ticker0024^FE_ESTIMATE(DEFREVENUE_LT,MEAN,ANNUAL_ROLL,2021,45776,,,'')&lt;/Q&gt;&lt;R&gt;1&lt;/R&gt;&lt;C&gt;1&lt;/C&gt;&lt;D xsi:type="xsd:double"&gt;2616&lt;/D&gt;&lt;/FQL&gt;&lt;FQL&gt;&lt;Q&gt;Ticker0024^FE_ESTIMATE(DEFREVENUE_LT,MEAN,QUARTERLY_ROLL,2021/4F,45776,,,'')&lt;/Q&gt;&lt;R&gt;1&lt;/R&gt;&lt;C&gt;1&lt;/C&gt;&lt;D xsi:type="xsd:double"&gt;2616&lt;/D&gt;&lt;/FQL&gt;&lt;FQL&gt;&lt;Q&gt;Ticker0024^FE_ESTIMATE(DEFREVENUE_LT,MEAN,QUARTERLY_ROLL,2021/3F,45776,,,'')&lt;/Q&gt;&lt;R&gt;1&lt;/R&gt;&lt;C&gt;1&lt;/C&gt;&lt;D xsi:type="xsd:double"&gt;2631&lt;/D&gt;&lt;/FQL&gt;&lt;FQL&gt;&lt;Q&gt;Ticker0024^FE_ESTIMATE(DEFREVENUE_LT,MEAN,QUARTERLY_ROLL,2021/2F,45776,,,'')&lt;/Q&gt;&lt;R&gt;1&lt;/R&gt;&lt;C&gt;1&lt;/C&gt;&lt;D xsi:type="xsd:double"&gt;2985&lt;/D&gt;&lt;/FQL&gt;&lt;FQL&gt;&lt;Q&gt;Ticker0024^FE_ESTIMATE(DEFREVENUE_LT,MEAN,QUARTERLY_ROLL,2021/1F,45776,,,'')&lt;/Q&gt;&lt;R&gt;1&lt;/R&gt;&lt;C&gt;1&lt;/C&gt;&lt;D xsi:type="xsd:double"&gt;2829&lt;/D&gt;&lt;/FQL&gt;&lt;FQL&gt;&lt;Q&gt;Ticker0024^FE_ESTIMATE(DEFREVENUE_LT,MEAN,ANNUAL_ROLL,2020,45776,,,'')&lt;/Q&gt;&lt;R&gt;1&lt;/R&gt;&lt;C&gt;1&lt;/C&gt;&lt;D xsi:type="xsd:double"&gt;3180&lt;/D&gt;&lt;/FQL&gt;&lt;FQL&gt;&lt;Q&gt;Ticker0024^FE_ESTIMATE(DEFREVENUE_LT,MEAN,QUARTERLY_ROLL,2020/4F,45776,,,'')&lt;/Q&gt;&lt;R&gt;1&lt;/R&gt;&lt;C&gt;1&lt;/C&gt;&lt;D xsi:type="xsd:double"&gt;3180&lt;/D&gt;&lt;/FQL&gt;&lt;FQL&gt;&lt;Q&gt;Ticker0024^FE_ESTIMATE(DEFREVENUE_LT,MEAN,QUARTERLY_ROLL,2020/3F,45776,,,'')&lt;/Q&gt;&lt;R&gt;1&lt;/R&gt;&lt;C&gt;1&lt;/C&gt;&lt;D xsi:type="xsd:double"&gt;3385&lt;/D&gt;&lt;/FQL&gt;&lt;FQL&gt;&lt;Q&gt;Ticker0024^FE_ESTIMATE(DEFREVENUE_LT,MEAN,QUARTERLY_ROLL,2020/2F,45776,,,'')&lt;/Q&gt;&lt;R&gt;1&lt;/R&gt;&lt;C&gt;1&lt;/C&gt;&lt;D xsi:type="xsd:double"&gt;3878&lt;/D&gt;&lt;/FQL&gt;&lt;FQL&gt;&lt;Q&gt;Ticker0024^FE_ESTIMATE(DEFREVENUE_LT,MEAN,QUARTERLY_ROLL,2020/1F,45776,,,'')&lt;/Q&gt;&lt;R&gt;1&lt;/R&gt;&lt;C&gt;1&lt;/C&gt;&lt;D xsi:type="xsd:double"&gt;4122&lt;/D&gt;&lt;/FQL&gt;&lt;FQL&gt;&lt;Q&gt;Ticker0024^FE_ESTIMATE(DEFREVENUE_LT,MEAN,ANNUAL_ROLL,2019,45776,,,'')&lt;/Q&gt;&lt;R&gt;1&lt;/R&gt;&lt;C&gt;1&lt;/C&gt;&lt;D xsi:type="xsd:double"&gt;4530&lt;/D&gt;&lt;/FQL&gt;&lt;FQL&gt;&lt;Q&gt;Ticker0024^FE_ESTIMATE(DEFREVENUE_LT,MEAN,QUARTERLY_ROLL,2019/4F,45776,,,'')&lt;/Q&gt;&lt;R&gt;1&lt;/R&gt;&lt;C&gt;1&lt;/C&gt;&lt;D xsi:type="xsd:double"&gt;4530&lt;/D&gt;&lt;/FQL&gt;&lt;FQL&gt;&lt;Q&gt;Ticker0024^FE_ESTIMATE(DEFREVENUE_LT,MEAN,QUARTERLY_ROLL,2019/3F,45776,,,'')&lt;/Q&gt;&lt;R&gt;1&lt;/R&gt;&lt;C&gt;1&lt;/C&gt;&lt;D xsi:type="xsd:double"&gt;3884&lt;/D&gt;&lt;/FQL&gt;&lt;FQL&gt;&lt;Q&gt;Ticker0024^FE_ESTIMATE(DEFREVENUE_LT,MEAN,QUARTERLY_ROLL,2019/2F,45776,,,'')&lt;/Q&gt;&lt;R&gt;1&lt;/R&gt;&lt;C&gt;1&lt;/C&gt;&lt;D xsi:type="xsd:double"&gt;3799&lt;/D&gt;&lt;/FQL&gt;&lt;FQL&gt;&lt;Q&gt;Ticker0024^FE_ESTIMATE(DEFREVENUE_LT,MEAN,QUARTERLY_ROLL,2019/1F,45776,,,'')&lt;/Q&gt;&lt;R&gt;1&lt;/R&gt;&lt;C&gt;1&lt;/C&gt;&lt;D xsi:type="xsd:double"&gt;3538&lt;/D&gt;&lt;/FQL&gt;&lt;FQL&gt;&lt;Q&gt;Ticker0024^FE_ESTIMATE(DEFREVENUE_LT,MEAN,ANNUAL_ROLL,2018,45776,,,'')&lt;/Q&gt;&lt;R&gt;1&lt;/R&gt;&lt;C&gt;1&lt;/C&gt;&lt;D xsi:type="xsd:double"&gt;3815&lt;/D&gt;&lt;/FQL&gt;&lt;FQL&gt;&lt;Q&gt;Ticker0024^FE_ESTIMATE(DEFREVENUE_LT,MEAN,QUARTERLY_ROLL,2018/4F,45776,,,'')&lt;/Q&gt;&lt;R&gt;1&lt;/R&gt;&lt;C&gt;1&lt;/C&gt;&lt;D xsi:type="xsd:double"&gt;3815&lt;/D&gt;&lt;/FQL&gt;&lt;FQL&gt;&lt;Q&gt;Ticker0024^FE_ESTIMATE(DEFREVENUE_LT,MEAN,QUARTERLY_ROLL,2018/3F,45776,,,'')&lt;/Q&gt;&lt;R&gt;1&lt;/R&gt;&lt;C&gt;1&lt;/C&gt;&lt;D xsi:type="xsd:double"&gt;2585&lt;/D&gt;&lt;/FQL&gt;&lt;FQL&gt;&lt;Q&gt;Ticker0024^FE_ESTIMATE(DEFREVENUE_LT,MEAN,QUARTERLY_ROLL,2018/2F,45776,,,'')&lt;/Q&gt;&lt;R&gt;1&lt;/R&gt;&lt;C&gt;1&lt;/C&gt;&lt;D xsi:type="xsd:double"&gt;2500&lt;/D&gt;&lt;/FQL&gt;&lt;FQL&gt;&lt;Q&gt;Ticker0024^FE_ESTIMATE(DEFREVENUE_LT,MEAN,QUARTERLY_ROLL,2018/1F,45776,,,'')&lt;/Q&gt;&lt;R&gt;1&lt;/R&gt;&lt;C&gt;1&lt;/C&gt;&lt;D xsi:type="xsd:double"&gt;2126&lt;/D&gt;&lt;/FQL&gt;&lt;FQL&gt;&lt;Q&gt;Ticker0024^FE_ESTIMATE(DEFREVENUE_LT,MEAN,ANNUAL_ROLL,2017,45776,,,'')&lt;/Q&gt;&lt;R&gt;1&lt;/R&gt;&lt;C&gt;1&lt;/C&gt;&lt;D xsi:type="xsd:double"&gt;10377&lt;/D&gt;&lt;/FQL&gt;&lt;FQL&gt;&lt;Q&gt;Ticker0024^FE_ESTIMATE(DEFREVENUE_LT,MEAN,QUARTERLY_ROLL,2017/4F,45776,,,'')&lt;/Q&gt;&lt;R&gt;1&lt;/R&gt;&lt;C&gt;1&lt;/C&gt;&lt;D xsi:type="xsd:double"&gt;10377&lt;/D&gt;&lt;/FQL&gt;&lt;FQL&gt;&lt;Q&gt;Ticker0024^FE_ESTIMATE(DEFREVENUE_LT,MEAN,QUARTERLY_ROLL,2017/3F,45776,,,'')&lt;/Q&gt;&lt;R&gt;1&lt;/R&gt;&lt;C&gt;1&lt;/C&gt;&lt;D xsi:type="xsd:double"&gt;9215&lt;/D&gt;&lt;/FQL&gt;&lt;FQL&gt;&lt;Q&gt;Ticker0024^FE_ESTIMATE(DEFREVENUE_LT,MEAN,QUARTERLY_ROLL,2017/2F,45776,,,'')&lt;/Q&gt;&lt;R&gt;1&lt;/R&gt;&lt;C&gt;1&lt;/C&gt;&lt;D xsi:type="xsd:double"&gt;8595&lt;/D&gt;&lt;/FQL&gt;&lt;FQL&gt;&lt;Q&gt;Ticker0024^FE_ESTIMATE(DEFREVENUE_LT,MEAN,QUARTERLY_ROLL,2017/1F,45776,,,'')&lt;/Q&gt;&lt;R&gt;1&lt;/R&gt;&lt;C&gt;1&lt;/C&gt;&lt;D xsi:type="xsd:double"&gt;7284&lt;/D&gt;&lt;/FQL&gt;&lt;FQL&gt;&lt;Q&gt;Ticker0024^FE_ESTIMATE(DEFREVENUE_LT,MEAN,ANNUAL_ROLL,2016,45776,,,'')&lt;/Q&gt;&lt;R&gt;1&lt;/R&gt;&lt;C&gt;1&lt;/C&gt;&lt;D xsi:type="xsd:double"&gt;6441&lt;/D&gt;&lt;/FQL&gt;&lt;FQL&gt;&lt;Q&gt;Ticker0024^FE_ESTIMATE(DEFREVENUE_LT,MEAN,QUARTERLY_ROLL,2016/4F,45776,,,'')&lt;/Q&gt;&lt;R&gt;1&lt;/R&gt;&lt;C&gt;1&lt;/C&gt;&lt;D xsi:type="xsd:double"&gt;6441&lt;/D&gt;&lt;/FQL&gt;&lt;FQL&gt;&lt;Q&gt;Ticker0024^FE_ESTIMATE(DEFREVENUE_LT,MEAN,QUARTERLY_ROLL,2016/3F,45776,,,'')&lt;/Q&gt;&lt;R&gt;1&lt;/R&gt;&lt;C&gt;1&lt;/C&gt;&lt;D xsi:type="xsd:double"&gt;5017&lt;/D&gt;&lt;/FQL&gt;&lt;FQL&gt;&lt;Q&gt;Ticker0024^FE_ESTIMATE(DEFREVENUE_LT,MEAN,QUARTERLY_ROLL,2016/2F,45776,,,'')&lt;/Q&gt;&lt;R&gt;1&lt;/R&gt;&lt;C&gt;1&lt;/C&gt;&lt;D xsi:type="xsd:double"&gt;4102&lt;/D&gt;&lt;/FQL&gt;&lt;FQL&gt;&lt;Q&gt;Ticker0024^FE_ESTIMATE(DEFREVENUE_LT,MEAN,QUARTERLY_ROLL,2016/1F,45776,,,'')&lt;/Q&gt;&lt;R&gt;1&lt;/R&gt;&lt;C&gt;1&lt;/C&gt;&lt;D xsi:type="xsd:double"&gt;2784&lt;/D&gt;&lt;/FQL&gt;&lt;FQL&gt;&lt;Q&gt;Ticker0024^FE_ESTIMATE(DEFREVENUE_LT,MEAN,ANNUAL_ROLL,2015,45776,,,'')&lt;/Q&gt;&lt;R&gt;1&lt;/R&gt;&lt;C&gt;1&lt;/C&gt;&lt;D xsi:type="xsd:double"&gt;2095&lt;/D&gt;&lt;/FQL&gt;&lt;FQL&gt;&lt;Q&gt;Ticker0024^FE_ESTIMATE(DEFREVENUE_LT,MEAN,QUARTERLY_ROLL,2015/4F,45776,,,'')&lt;/Q&gt;&lt;R&gt;1&lt;/R&gt;&lt;C&gt;1&lt;/C&gt;&lt;D xsi:type="xsd:double"&gt;2095&lt;/D&gt;&lt;/FQL&gt;&lt;FQL&gt;&lt;Q&gt;Ticker0024^FE_ESTIMATE(DEFREVENUE_LT,MEAN,QUARTERLY_ROLL,2015/3F,45776,,,'')&lt;/Q&gt;&lt;R&gt;1&lt;/R&gt;&lt;C&gt;1&lt;/C&gt;&lt;D xsi:type="xsd:double"&gt;1966&lt;/D&gt;&lt;/FQL&gt;&lt;FQL&gt;&lt;Q&gt;Ticker0024^FE_ESTIMATE(DEFREVENUE_LT,MEAN,QUARTERLY_ROLL,2015/2F,45776,,,'')&lt;/Q&gt;&lt;R&gt;1&lt;/R&gt;&lt;C&gt;1&lt;/C&gt;&lt;D xsi:type="xsd:double"&gt;2035.2727&lt;/D&gt;&lt;/FQL&gt;&lt;FQL&gt;&lt;Q&gt;Ticker0024^FE_ESTIMATE(DEFREVENUE_LT,MEAN,QUARTERLY_ROLL,2015/1F,45776,,,'')&lt;/Q&gt;&lt;R&gt;1&lt;/R&gt;&lt;C&gt;1&lt;/C&gt;&lt;D xsi:type="xsd:double"&gt;1825&lt;/D&gt;&lt;/FQL&gt;&lt;FQL&gt;&lt;Q&gt;Ticker0024^FE_ESTIMATE(DEFREVENUE_ST,MEAN,ANNUAL_ROLL,2030,45776,,,'')&lt;/Q&gt;&lt;R&gt;0&lt;/R&gt;&lt;C&gt;0&lt;/C&gt;&lt;/FQL&gt;&lt;FQL&gt;&lt;Q&gt;Ticker0024^FE_ESTIMATE(DEFREVENUE_ST,MEAN,QUARTERLY_ROLL,2030/4F,45776,,,'')&lt;/Q&gt;&lt;R&gt;0&lt;/R&gt;&lt;C&gt;0&lt;/C&gt;&lt;/FQL&gt;&lt;FQL&gt;&lt;Q&gt;Ticker0024^FE_ESTIMATE(DEFREVENUE_ST,MEAN,QUARTERLY_ROLL,2030/3F,45776,,,'')&lt;/Q&gt;&lt;R&gt;0&lt;/R&gt;&lt;C&gt;0&lt;/C&gt;&lt;/FQL&gt;&lt;FQL&gt;&lt;Q&gt;Ticker0024^FE_ESTIMATE(DEFREVENUE_ST,MEAN,QUARTERLY_ROLL,2030/2F,45776,,,'')&lt;/Q&gt;&lt;R&gt;0&lt;/R&gt;&lt;C&gt;0&lt;/C&gt;&lt;/FQL&gt;&lt;FQL&gt;&lt;Q&gt;Ticker0024^FE_ESTIMATE(DEFREVENUE_ST,MEAN,QUARTERLY_ROLL,2030/1F,45776,,,'')&lt;/Q&gt;&lt;R&gt;0&lt;/R&gt;&lt;C&gt;0&lt;/C&gt;&lt;/FQL&gt;&lt;FQL&gt;&lt;Q&gt;Ticker0024^FE_ESTIMATE(DEFREVENUE_ST,MEAN,ANNUAL_ROLL,2029,45776,,,'')&lt;/Q&gt;&lt;R&gt;0&lt;/R&gt;&lt;C&gt;0&lt;/C&gt;&lt;/FQL&gt;&lt;FQL&gt;&lt;Q&gt;Ticker0024^FE_ESTIMATE(DEFREVENUE_ST,MEAN,QUARTERLY_ROLL,2029/4F,45776,,,'')&lt;/Q&gt;&lt;R&gt;0&lt;/R&gt;&lt;C&gt;0&lt;/C&gt;&lt;/FQL&gt;&lt;FQL&gt;&lt;Q&gt;Ticker0024^FE_ESTIMATE(DEFREVENUE_ST,MEAN,QUARTERLY_ROLL,2029/3F,45776,,,'')&lt;/Q&gt;&lt;R&gt;0&lt;/R&gt;&lt;C&gt;0&lt;/C&gt;&lt;/FQL&gt;&lt;FQL&gt;&lt;Q&gt;Ticker0024^FE_ESTIMATE(DEFREVENUE_ST,MEAN,QUARTERLY_ROLL,2029/2F,45776,,,'')&lt;/Q&gt;&lt;R&gt;0&lt;/R&gt;&lt;C&gt;0&lt;/C&gt;&lt;/FQL&gt;&lt;FQL&gt;&lt;Q&gt;Ticker0024^FE_ESTIMATE(DEFREVENUE_ST,MEAN,QUARTERLY_ROLL,2029/1F,45776,,,'')&lt;/Q&gt;&lt;R&gt;0&lt;/R&gt;&lt;C&gt;0&lt;/C&gt;&lt;/FQL&gt;&lt;FQL&gt;&lt;Q&gt;Ticker0024^FE_ESTIMATE(DEFREVENUE_ST,MEAN,ANNUAL_ROLL,2028,45776,,,'')&lt;/Q&gt;&lt;R&gt;0&lt;/R&gt;&lt;C&gt;0&lt;/C&gt;&lt;/FQL&gt;&lt;FQL&gt;&lt;Q&gt;Ticker0024^FE_ESTIMATE(DEFREVENUE_ST,MEAN,QUARTERLY_ROLL,2028/4F,45776,,,'')&lt;/Q&gt;&lt;R&gt;0&lt;/R&gt;&lt;C&gt;0&lt;/C&gt;&lt;/FQL&gt;&lt;FQL&gt;&lt;Q&gt;Ticker0024^FE_ESTIMATE(DEFREVENUE_ST,MEAN,QUARTERLY_ROLL,2028/3F,45776,,,'')&lt;/Q&gt;&lt;R&gt;0&lt;/R&gt;&lt;C&gt;0&lt;/C&gt;&lt;/FQL&gt;&lt;FQL&gt;&lt;Q&gt;Ticker0024^FE_ESTIMATE(DEFREVENUE_ST,MEAN,QUARTERLY_ROLL,2028/2F,45776,,,'')&lt;/Q&gt;&lt;R&gt;0&lt;/R&gt;&lt;C&gt;0&lt;/C&gt;&lt;/FQL&gt;&lt;FQL&gt;&lt;Q&gt;Ticker0024^FE_ESTIMATE(DEFREVENUE_ST,MEAN,QUARTERLY_ROLL,2028/1F,45776,,,'')&lt;/Q&gt;&lt;R&gt;0&lt;/R&gt;&lt;C&gt;0&lt;/C&gt;&lt;/FQL&gt;&lt;FQL&gt;&lt;Q&gt;Ticker0024^FE_ESTIMATE(DEFREVENUE_ST,MEAN,ANNUAL_ROLL,2027,45776,,,'')&lt;/Q&gt;&lt;R&gt;1&lt;/R&gt;&lt;C&gt;1&lt;/C&gt;&lt;D xsi:type="xsd:double"&gt;73618.64&lt;/D&gt;&lt;/FQL&gt;&lt;FQL&gt;&lt;Q&gt;Ticker0024^FE_ESTIMATE(DEFREVENUE_ST,MEAN,QUARTERLY_ROLL,2027/4F,45776,,,'')&lt;/Q&gt;&lt;R&gt;1&lt;/R&gt;&lt;C&gt;1&lt;/C&gt;&lt;D xsi:type="xsd:double"&gt;78275.5&lt;/D&gt;&lt;/FQL&gt;&lt;FQL&gt;&lt;Q&gt;Ticker0024^FE_ESTIMATE(DEFREVENUE_ST,MEAN,QUARTERLY_ROLL,2027/3F,45776,,,'')&lt;/Q&gt;&lt;R&gt;1&lt;/R&gt;&lt;C&gt;1&lt;/C&gt;&lt;D xsi:type="xsd:double"&gt;57641&lt;/D&gt;&lt;/FQL&gt;&lt;FQL&gt;&lt;Q&gt;Ticker0024^FE_ESTIMATE(DEFREVENUE_ST,MEAN,QUARTERLY_ROLL,2027/2F,45776,,,'')&lt;/Q&gt;&lt;R&gt;1&lt;/R&gt;&lt;C&gt;1&lt;/C&gt;&lt;D xsi:type="xsd:double"&gt;58765.5&lt;/D&gt;&lt;/FQL&gt;&lt;FQL&gt;&lt;Q&gt;Ticker0024^FE_ESTIMATE(DEFREVENUE_ST,MEAN,QUARTERLY_ROLL,2027/1F,45776,,,'')&lt;/Q&gt;&lt;R&gt;1&lt;/R&gt;&lt;C&gt;1&lt;/C&gt;&lt;D xsi:type="xsd:double"&gt;65287.5&lt;/D&gt;&lt;/FQL&gt;&lt;FQL&gt;&lt;Q&gt;Ticker0024^FE_ESTIMATE(DEFREVENUE_ST,MEAN,ANNUAL_ROLL,2026,45776,,,'')&lt;/Q&gt;&lt;R&gt;1&lt;/R&gt;&lt;C&gt;1&lt;/C&gt;&lt;D xsi:type="xsd:double"&gt;68383.75&lt;/D&gt;&lt;/FQL&gt;&lt;FQL&gt;&lt;Q&gt;Ticker0024^FE_ESTIMATE(DEFREVENUE_ST,MEAN,QUARTERLY_ROLL,2026/4F,45776,,,'')&lt;/Q&gt;&lt;R&gt;1&lt;/R&gt;&lt;C&gt;1&lt;/C&gt;&lt;D xsi:type="xsd:double"&gt;70106.8&lt;/D&gt;&lt;/FQL&gt;&lt;FQL&gt;&lt;Q&gt;Ticker0024^FE_ESTIMATE(DEFREVENUE_ST,MEAN,QUARTERLY_ROLL,2026/3F,45776,,,'')&lt;/Q&gt;&lt;R&gt;1&lt;/R&gt;&lt;C&gt;1&lt;/C&gt;&lt;D xsi:type="xsd:double"&gt;50888.8&lt;/D&gt;&lt;/FQL&gt;&lt;FQL&gt;&lt;Q&gt;Ticker0024^FE_ESTIMATE(DEFREVENUE_ST,MEAN,QUARTERLY_ROLL,2026/2F,45776,,,'')&lt;/Q&gt;&lt;R&gt;1&lt;/R&gt;&lt;C&gt;1&lt;/C&gt;&lt;D xsi:type="xsd:double"&gt;51474.8&lt;/D&gt;&lt;/FQL&gt;&lt;FQL&gt;&lt;Q&gt;Ticker0024^FE_ESTIMATE(DEFREVENUE_ST,MEAN,QUARTERLY_ROLL,2026/1F,45776,,,'')&lt;/Q&gt;&lt;R&gt;1&lt;/R&gt;&lt;C&gt;1&lt;/C&gt;&lt;D xsi:type="xsd:double"&gt;58061.2&lt;/D&gt;&lt;/FQL&gt;&lt;FQL&gt;&lt;Q&gt;Ticker0024^FE_ESTIMATE(DEFREVENUE_ST,MEAN,ANNUAL_ROLL,2025,45776,,,'')&lt;/Q&gt;&lt;R&gt;1&lt;/R&gt;&lt;C&gt;1&lt;/C&gt;&lt;D xsi:type="xsd:double"&gt;62099.977&lt;/D&gt;&lt;/FQL&gt;&lt;FQL&gt;&lt;Q&gt;Ticker0024^FE_ESTIMATE(DEFREVENUE_ST,MEAN,QUARTERLY_ROLL,2025/4F,45776,,,'')&lt;/Q&gt;&lt;R&gt;1&lt;/R&gt;&lt;C&gt;1&lt;/C&gt;&lt;D xsi:type="xsd:double"&gt;61725.727&lt;/D&gt;&lt;/FQL&gt;&lt;FQL&gt;&lt;Q&gt;Ticker0024^FE_ESTIMATE(DEFREVENUE_ST,MEAN,QUARTERLY_ROLL,2025/3F,45776,,,'')&lt;/Q&gt;&lt;R&gt;1&lt;/R&gt;&lt;C&gt;1&lt;/C&gt;&lt;D xsi:type="xsd:double"&gt;46295.227&lt;/D&gt;&lt;/FQL&gt;&lt;FQL&gt;&lt;Q&gt;Ticker0024^FE_ESTIMATE(DEFREVENUE_ST,MEAN,QUARTERLY_ROLL,2025/2F,45776,,,'')&lt;/Q&gt;&lt;R&gt;1&lt;/R&gt;&lt;C&gt;1&lt;/C&gt;&lt;D xsi:type="xsd:double"&gt;45508.332&lt;/D&gt;&lt;/FQL&gt;&lt;FQL&gt;&lt;Q&gt;Ticker0024^FE_ESTIMATE(DEFREVENUE_ST,MEAN,QUARTERLY_ROLL,2025/1F,45776,,,'')&lt;/Q&gt;&lt;R&gt;1&lt;/R&gt;&lt;C&gt;1&lt;/C&gt;&lt;D xsi:type="xsd:double"&gt;53026.5&lt;/D&gt;&lt;/FQL&gt;&lt;FQL&gt;&lt;Q&gt;Ticker0024^FE_ESTIMATE(DEFREVENUE_ST,MEAN,ANNUAL_ROLL,2024,45776,,,'')&lt;/Q&gt;&lt;R&gt;1&lt;/R&gt;&lt;C&gt;1&lt;/C&gt;&lt;D xsi:type="xsd:double"&gt;57725&lt;/D&gt;&lt;/FQL&gt;&lt;FQL&gt;&lt;Q&gt;Ticker0024^FE_ESTIMATE(DEFREVENUE_ST,MEAN,QUARTERLY_ROLL,2024/4F,45776,,,'')&lt;/Q&gt;&lt;R&gt;1&lt;/R&gt;&lt;C&gt;1&lt;/C&gt;&lt;D xsi:type="xsd:double"&gt;57581.75&lt;/D&gt;&lt;/FQL&gt;&lt;FQL&gt;&lt;Q&gt;Ticker0024^FE_ESTIMATE(DEFREVENUE_ST,MEAN,QUARTERLY_ROLL,2024/3F,45776,,,'')&lt;/Q&gt;&lt;R&gt;1&lt;/R&gt;&lt;C&gt;1&lt;/C&gt;&lt;D xsi:type="xsd:double"&gt;41888.285&lt;/D&gt;&lt;/FQL&gt;&lt;FQL&gt;&lt;Q&gt;Ticker0024^FE_ESTIMATE(DEFREVENUE_ST,MEAN,QUARTERLY_ROLL,2024/2F,45776,,,'')&lt;/Q&gt;&lt;R&gt;1&lt;/R&gt;&lt;C&gt;1&lt;/C&gt;&lt;D xsi:type="xsd:double"&gt;43068.285&lt;/D&gt;&lt;/FQL&gt;&lt;FQL&gt;&lt;Q&gt;Ticker0024^FE_ESTIMATE(DEFREVENUE_ST,MEAN,QUARTERLY_ROLL,2024/1F,45776,,,'')&lt;/Q&gt;&lt;R&gt;1&lt;/R&gt;&lt;C&gt;1&lt;/C&gt;&lt;D xsi:type="xsd:double"&gt;46429.168&lt;/D&gt;&lt;/FQL&gt;&lt;FQL&gt;&lt;Q&gt;Ticker0024^FE_ESTIMATE(DEFREVENUE_ST,MEAN,ANNUAL_ROLL,2023,45776,,,'')&lt;/Q&gt;&lt;R&gt;1&lt;/R&gt;&lt;C&gt;1&lt;/C&gt;&lt;D xsi:type="xsd:double"&gt;50900.875&lt;/D&gt;&lt;/FQL&gt;&lt;FQL&gt;&lt;Q&gt;Ticker0024^FE_ESTIMATE(DEFREVENUE_ST,MEAN,QUARTERLY_ROLL,2023/4F,45776,,,'')&lt;/Q&gt;&lt;R&gt;1&lt;/R&gt;&lt;C&gt;1&lt;/C&gt;&lt;D xsi:type="xsd:double"&gt;50900.855&lt;/D&gt;&lt;/FQL&gt;&lt;FQL&gt;&lt;Q&gt;Ticker0024^FE_ESTIMATE(DEFREVENUE_ST,MEAN,QUARTERLY_ROLL,2023/3F,45776,,,'')&lt;/Q&gt;&lt;R&gt;1&lt;/R&gt;&lt;C&gt;1&lt;/C&gt;&lt;D xsi:type="xsd:double"&gt;36902.5&lt;/D&gt;&lt;/FQL&gt;&lt;FQL&gt;&lt;Q&gt;Ticker0024^FE_ESTIMATE(DEFREVENUE_ST,MEAN,QUARTERLY_ROLL,2023/2F,45776,,,'')&lt;/Q&gt;&lt;R&gt;1&lt;/R&gt;&lt;C&gt;1&lt;/C&gt;&lt;D xsi:type="xsd:double"&gt;36981.668&lt;/D&gt;&lt;/FQL&gt;&lt;FQL&gt;&lt;Q&gt;Ticker0024^FE_ESTIMATE(DEFREVENUE_ST,MEAN,QUARTERLY_ROLL,2023/1F,45776,,,'')&lt;/Q&gt;&lt;R&gt;1&lt;/R&gt;&lt;C&gt;1&lt;/C&gt;&lt;D xsi:type="xsd:double"&gt;41340&lt;/D&gt;&lt;/FQL&gt;&lt;FQL&gt;&lt;Q&gt;Ticker0024^FE_ESTIMATE(DEFREVENUE_ST,MEAN,ANNUAL_ROLL,2022,45776,,,'')&lt;/Q&gt;&lt;R&gt;1&lt;/R&gt;&lt;C&gt;1&lt;/C&gt;&lt;D xsi:type="xsd:double"&gt;45538&lt;/D&gt;&lt;/FQL&gt;&lt;FQL&gt;&lt;Q&gt;Ticker0024^FE_ESTIMATE(DEFREVENUE_ST,MEAN,QUARTERLY_ROLL,2022/4F,45776,,,'')&lt;/Q&gt;&lt;R&gt;1&lt;/R&gt;&lt;C&gt;1&lt;/C&gt;&lt;D xsi:type="xsd:double"&gt;45538&lt;/D&gt;&lt;/FQL&gt;&lt;FQL&gt;&lt;Q&gt;Ticker0024^FE_ESTIMATE(DEFREVENUE_ST,MEAN,QUARTERLY_ROLL,2022/3F,45776,,,'')&lt;/Q&gt;&lt;R&gt;1&lt;/R&gt;&lt;C&gt;1&lt;/C&gt;&lt;D xsi:type="xsd:double"&gt;34027&lt;/D&gt;&lt;/FQL&gt;&lt;FQL&gt;&lt;Q&gt;Ticker0024^FE_ESTIMATE(DEFREVENUE_ST,MEAN,QUARTERLY_ROLL,2022/2F,45776,,,'')&lt;/Q&gt;&lt;R&gt;1&lt;/R&gt;&lt;C&gt;1&lt;/C&gt;&lt;D xsi:type="xsd:double"&gt;34001&lt;/D&gt;&lt;/FQL&gt;&lt;FQL&gt;&lt;Q&gt;Ticker0024^FE_ESTIMATE(DEFREVENUE_ST,MEAN,QUARTERLY_ROLL,2022/1F,45776,,,'')&lt;/Q&gt;&lt;R&gt;1&lt;/R&gt;&lt;C&gt;1&lt;/C&gt;&lt;D xsi:type="xsd:double"&gt;38465&lt;/D&gt;&lt;/FQL&gt;&lt;FQL&gt;&lt;Q&gt;Ticker0024^FE_ESTIMATE(DEFREVENUE_ST,MEAN,ANNUAL_ROLL,2021,45776,,,'')&lt;/Q&gt;&lt;R&gt;1&lt;/R&gt;&lt;C&gt;1&lt;/C&gt;&lt;D xsi:type="xsd:double"&gt;41525&lt;/D&gt;&lt;/FQL&gt;&lt;FQL&gt;&lt;Q&gt;Ticker0024^FE_ESTIMATE(DEFREVENUE_ST,MEAN,QUARTERLY_ROLL,2021/4F,45776,,,'')&lt;/Q&gt;&lt;R&gt;1&lt;/R&gt;&lt;C&gt;1&lt;/C&gt;&lt;D xsi:type="xsd:double"&gt;41525&lt;/D&gt;&lt;/FQL&gt;&lt;FQL&gt;&lt;Q&gt;Ticker0024^FE_ESTIMATE(DEFREVENUE_ST,MEAN,QUARTERLY_ROLL,2021/3F,45776,,,'')&lt;/Q&gt;&lt;R&gt;1&lt;/R&gt;&lt;C&gt;1&lt;/C&gt;&lt;D xsi:type="xsd:double"&gt;30083&lt;/D&gt;&lt;/FQL&gt;&lt;FQL&gt;&lt;Q&gt;Ticker0024^FE_ESTIMATE(DEFREVENUE_ST,MEAN,QUARTERLY_ROLL,2021/2F,45776,,,'')&lt;/Q&gt;&lt;R&gt;1&lt;/R&gt;&lt;C&gt;1&lt;/C&gt;&lt;D xsi:type="xsd:double"&gt;30402&lt;/D&gt;&lt;/FQL&gt;&lt;FQL&gt;&lt;Q&gt;Ticker0024^FE_ESTIMATE(DEFREVENUE_ST,MEAN,QUARTERLY_ROLL,2021/1F,45776,,,'')&lt;/Q&gt;&lt;R&gt;1&lt;/R&gt;&lt;C&gt;1&lt;/C&gt;&lt;D xsi:type="xsd:double"&gt;33476&lt;/D&gt;&lt;/FQL&gt;&lt;FQL&gt;&lt;Q&gt;Ticker0024^FE_ESTIMATE(DEFREVENUE_ST,MEAN,ANNUAL_ROLL,2020,45776,,,'')&lt;/Q&gt;&lt;R&gt;1&lt;/R&gt;&lt;C&gt;1&lt;/C&gt;&lt;D xsi:type="xsd:double"&gt;36000&lt;/D&gt;&lt;/FQL&gt;&lt;FQL&gt;&lt;Q&gt;Ticker0024^FE_ESTIMATE(DEFREVENUE_ST,MEAN,QUARTERLY_ROLL,2020/4F,45776,,,'')&lt;/Q&gt;&lt;R&gt;1&lt;/R&gt;&lt;C&gt;1&lt;/C&gt;&lt;D xsi:type="xsd:double"&gt;36000&lt;/D&gt;&lt;/FQL&gt;&lt;FQL&gt;&lt;Q&gt;Ticker0024^FE_ESTIMATE(DEFREVENUE_ST,MEAN,QUARTERLY_ROLL,2020/3F,45776,,,'')&lt;/Q&gt;&lt;R&gt;1&lt;/R&gt;&lt;C&gt;1&lt;/C&gt;&lt;D xsi:type="xsd:double"&gt;27012&lt;/D&gt;&lt;/FQL&gt;&lt;FQL&gt;&lt;Q&gt;Ticker0024^FE_ESTIMATE(DEFREVENUE_ST,MEAN,QUARTERLY_ROLL,2020/2F,45776,,,'')&lt;/Q&gt;&lt;R&gt;1&lt;/R&gt;&lt;C&gt;1&lt;/C&gt;&lt;D xsi:type="xsd:double"&gt;273</t>
        </r>
      </text>
    </comment>
    <comment ref="A42" authorId="0" shapeId="0" xr:uid="{26A16BA5-A52C-41D2-9D2E-4CC1363228DD}">
      <text>
        <r>
          <rPr>
            <b/>
            <sz val="9"/>
            <color indexed="81"/>
            <rFont val="Tahoma"/>
            <family val="2"/>
          </rPr>
          <t>43&lt;/D&gt;&lt;/FQL&gt;&lt;FQL&gt;&lt;Q&gt;Ticker0024^FE_ESTIMATE(DEFREVENUE_ST,MEAN,QUARTERLY_ROLL,2020/1F,45776,,,'')&lt;/Q&gt;&lt;R&gt;1&lt;/R&gt;&lt;C&gt;1&lt;/C&gt;&lt;D xsi:type="xsd:double"&gt;29904&lt;/D&gt;&lt;/FQL&gt;&lt;FQL&gt;&lt;Q&gt;Ticker0024^FE_ESTIMATE(DEFREVENUE_ST,MEAN,ANNUAL_ROLL,2019,45776,,,'')&lt;/Q&gt;&lt;R&gt;1&lt;/R&gt;&lt;C&gt;1&lt;/C&gt;&lt;D xsi:type="xsd:double"&gt;32676&lt;/D&gt;&lt;/FQL&gt;&lt;FQL&gt;&lt;Q&gt;Ticker0024^FE_ESTIMATE(DEFREVENUE_ST,MEAN,QUARTERLY_ROLL,2019/4F,45776,,,'')&lt;/Q&gt;&lt;R&gt;1&lt;/R&gt;&lt;C&gt;1&lt;/C&gt;&lt;D xsi:type="xsd:double"&gt;32676&lt;/D&gt;&lt;/FQL&gt;&lt;FQL&gt;&lt;Q&gt;Ticker0024^FE_ESTIMATE(DEFREVENUE_ST,MEAN,QUARTERLY_ROLL,2019/3F,45776,,,'')&lt;/Q&gt;&lt;R&gt;1&lt;/R&gt;&lt;C&gt;1&lt;/C&gt;&lt;D xsi:type="xsd:double"&gt;24251&lt;/D&gt;&lt;/FQL&gt;&lt;FQL&gt;&lt;Q&gt;Ticker0024^FE_ESTIMATE(DEFREVENUE_ST,MEAN,QUARTERLY_ROLL,2019/2F,45776,,,'')&lt;/Q&gt;&lt;R&gt;1&lt;/R&gt;&lt;C&gt;1&lt;/C&gt;&lt;D xsi:type="xsd:double"&gt;24285&lt;/D&gt;&lt;/FQL&gt;&lt;FQL&gt;&lt;Q&gt;Ticker0024^FE_ESTIMATE(DEFREVENUE_ST,MEAN,QUARTERLY_ROLL,2019/1F,45776,,,'')&lt;/Q&gt;&lt;R&gt;1&lt;/R&gt;&lt;C&gt;1&lt;/C&gt;&lt;D xsi:type="xsd:double"&gt;26704&lt;/D&gt;&lt;/FQL&gt;&lt;FQL&gt;&lt;Q&gt;Ticker0024^FE_ESTIMATE(DEFREVENUE_ST,MEAN,ANNUAL_ROLL,2018,45776,,,'')&lt;/Q&gt;&lt;R&gt;1&lt;/R&gt;&lt;C&gt;1&lt;/C&gt;&lt;D xsi:type="xsd:double"&gt;28905&lt;/D&gt;&lt;/FQL&gt;&lt;FQL&gt;&lt;Q&gt;Ticker0024^FE_ESTIMATE(DEFREVENUE_ST,MEAN,QUARTERLY_ROLL,2018/4F,45776,,,'')&lt;/Q&gt;&lt;R&gt;1&lt;/R&gt;&lt;C&gt;1&lt;/C&gt;&lt;D xsi:type="xsd:double"&gt;28905&lt;/D&gt;&lt;/FQL&gt;&lt;FQL&gt;&lt;Q&gt;Ticker0024^FE_ESTIMATE(DEFREVENUE_ST,MEAN,QUARTERLY_ROLL,2018/3F,45776,,,'')&lt;/Q&gt;&lt;R&gt;1&lt;/R&gt;&lt;C&gt;1&lt;/C&gt;&lt;D xsi:type="xsd:double"&gt;21370&lt;/D&gt;&lt;/FQL&gt;&lt;FQL&gt;&lt;Q&gt;Ticker0024^FE_ESTIMATE(DEFREVENUE_ST,MEAN,QUARTERLY_ROLL,2018/2F,45776,,,'')&lt;/Q&gt;&lt;R&gt;1&lt;/R&gt;&lt;C&gt;1&lt;/C&gt;&lt;D xsi:type="xsd:double"&gt;21559&lt;/D&gt;&lt;/FQL&gt;&lt;FQL&gt;&lt;Q&gt;Ticker0024^FE_ESTIMATE(DEFREVENUE_ST,MEAN,QUARTERLY_ROLL,2018/1F,45776,,,'')&lt;/Q&gt;&lt;R&gt;1&lt;/R&gt;&lt;C&gt;1&lt;/C&gt;&lt;D xsi:type="xsd:double"&gt;22990.6&lt;/D&gt;&lt;/FQL&gt;&lt;FQL&gt;&lt;Q&gt;Ticker0024^FE_ESTIMATE(DEFREVENUE_ST,MEAN,ANNUAL_ROLL,2017,45776,,,'')&lt;/Q&gt;&lt;R&gt;1&lt;/R&gt;&lt;C&gt;1&lt;/C&gt;&lt;D xsi:type="xsd:double"&gt;34102&lt;/D&gt;&lt;/FQL&gt;&lt;FQL&gt;&lt;Q&gt;Ticker0024^FE_ESTIMATE(DEFREVENUE_ST,MEAN,QUARTERLY_ROLL,2017/4F,45776,,,'')&lt;/Q&gt;&lt;R&gt;1&lt;/R&gt;&lt;C&gt;1&lt;/C&gt;&lt;D xsi:type="xsd:double"&gt;34102&lt;/D&gt;&lt;/FQL&gt;&lt;FQL&gt;&lt;Q&gt;Ticker0024^FE_ESTIMATE(DEFREVENUE_ST,MEAN,QUARTERLY_ROLL,2017/3F,45776,,,'')&lt;/Q&gt;&lt;R&gt;1&lt;/R&gt;&lt;C&gt;1&lt;/C&gt;&lt;D xsi:type="xsd:double"&gt;26518&lt;/D&gt;&lt;/FQL&gt;&lt;FQL&gt;&lt;Q&gt;Ticker0024^FE_ESTIMATE(DEFREVENUE_ST,MEAN,QUARTERLY_ROLL,2017/2F,45776,,,'')&lt;/Q&gt;&lt;R&gt;1&lt;/R&gt;&lt;C&gt;1&lt;/C&gt;&lt;D xsi:type="xsd:double"&gt;25983&lt;/D&gt;&lt;/FQL&gt;&lt;FQL&gt;&lt;Q&gt;Ticker0024^FE_ESTIMATE(DEFREVENUE_ST,MEAN,QUARTERLY_ROLL,2017/1F,45776,,,'')&lt;/Q&gt;&lt;R&gt;1&lt;/R&gt;&lt;C&gt;1&lt;/C&gt;&lt;D xsi:type="xsd:double"&gt;26304&lt;/D&gt;&lt;/FQL&gt;&lt;FQL&gt;&lt;Q&gt;Ticker0024^FE_ESTIMATE(DEFREVENUE_ST,MEAN,ANNUAL_ROLL,2016,45776,,,'')&lt;/Q&gt;&lt;R&gt;1&lt;/R&gt;&lt;C&gt;1&lt;/C&gt;&lt;D xsi:type="xsd:double"&gt;27468&lt;/D&gt;&lt;/FQL&gt;&lt;FQL&gt;&lt;Q&gt;Ticker0024^FE_ESTIMATE(DEFREVENUE_ST,MEAN,QUARTERLY_ROLL,2016/4F,45776,,,'')&lt;/Q&gt;&lt;R&gt;1&lt;/R&gt;&lt;C&gt;1&lt;/C&gt;&lt;D xsi:type="xsd:double"&gt;27468&lt;/D&gt;&lt;/FQL&gt;&lt;FQL&gt;&lt;Q&gt;Ticker0024^FE_ESTIMATE(DEFREVENUE_ST,MEAN,QUARTERLY_ROLL,2016/3F,45776,,,'')&lt;/Q&gt;&lt;R&gt;1&lt;/R&gt;&lt;C&gt;1&lt;/C&gt;&lt;D xsi:type="xsd:double"&gt;20876&lt;/D&gt;&lt;/FQL&gt;&lt;FQL&gt;&lt;Q&gt;Ticker0024^FE_ESTIMATE(DEFREVENUE_ST,MEAN,QUARTERLY_ROLL,2016/2F,45776,,,'')&lt;/Q&gt;&lt;R&gt;1&lt;/R&gt;&lt;C&gt;1&lt;/C&gt;&lt;D xsi:type="xsd:double"&gt;20929&lt;/D&gt;&lt;/FQL&gt;&lt;FQL&gt;&lt;Q&gt;Ticker0024^FE_ESTIMATE(DEFREVENUE_ST,MEAN,QUARTERLY_ROLL,2016/1F,45776,,,'')&lt;/Q&gt;&lt;R&gt;1&lt;/R&gt;&lt;C&gt;1&lt;/C&gt;&lt;D xsi:type="xsd:double"&gt;21603&lt;/D&gt;&lt;/FQL&gt;&lt;FQL&gt;&lt;Q&gt;Ticker0024^FE_ESTIMATE(DEFREVENUE_ST,MEAN,ANNUAL_ROLL,2015,45776,,,'')&lt;/Q&gt;&lt;R&gt;1&lt;/R&gt;&lt;C&gt;1&lt;/C&gt;&lt;D xsi:type="xsd:double"&gt;23223&lt;/D&gt;&lt;/FQL&gt;&lt;FQL&gt;&lt;Q&gt;Ticker0024^FE_ESTIMATE(DEFREVENUE_ST,MEAN,QUARTERLY_ROLL,2015/4F,45776,,,'')&lt;/Q&gt;&lt;R&gt;1&lt;/R&gt;&lt;C&gt;1&lt;/C&gt;&lt;D xsi:type="xsd:double"&gt;23223&lt;/D&gt;&lt;/FQL&gt;&lt;FQL&gt;&lt;Q&gt;Ticker0024^FE_ESTIMATE(DEFREVENUE_ST,MEAN,QUARTERLY_ROLL,2015/3F,45776,,,'')&lt;/Q&gt;&lt;R&gt;1&lt;/R&gt;&lt;C&gt;1&lt;/C&gt;&lt;D xsi:type="xsd:double"&gt;18232&lt;/D&gt;&lt;/FQL&gt;&lt;FQL&gt;&lt;Q&gt;Ticker0024^FE_ESTIMATE(DEFREVENUE_ST,MEAN,QUARTERLY_ROLL,2015/2F,45776,,,'')&lt;/Q&gt;&lt;R&gt;1&lt;/R&gt;&lt;C&gt;1&lt;/C&gt;&lt;D xsi:type="xsd:double"&gt;19192&lt;/D&gt;&lt;/FQL&gt;&lt;FQL&gt;&lt;Q&gt;Ticker0024^FE_ESTIMATE(DEFREVENUE_ST,MEAN,QUARTERLY_ROLL,2015/1F,45776,,,'')&lt;/Q&gt;&lt;R&gt;1&lt;/R&gt;&lt;C&gt;1&lt;/C&gt;&lt;D xsi:type="xsd:double"&gt;20713&lt;/D&gt;&lt;/FQL&gt;&lt;FQL&gt;&lt;Q&gt;Ticker0024^FE_ESTIMATE(FCF,MEAN,ANNUAL_ROLL,2030,45776,,,'')&lt;/Q&gt;&lt;R&gt;0&lt;/R&gt;&lt;C&gt;0&lt;/C&gt;&lt;/FQL&gt;&lt;FQL&gt;&lt;Q&gt;Ticker0024^FE_ESTIMATE(FCF,MEAN,QUARTERLY_ROLL,2030/4F,45776,,,'')&lt;/Q&gt;&lt;R&gt;0&lt;/R&gt;&lt;C&gt;0&lt;/C&gt;&lt;/FQL&gt;&lt;FQL&gt;&lt;Q&gt;Ticker0024^FE_ESTIMATE(FCF,MEAN,QUARTERLY_ROLL,2030/3F,45776,,,'')&lt;/Q&gt;&lt;R&gt;0&lt;/R&gt;&lt;C&gt;0&lt;/C&gt;&lt;/FQL&gt;&lt;FQL&gt;&lt;Q&gt;Ticker0024^FE_ESTIMATE(FCF,MEAN,QUARTERLY_ROLL,2030/2F,45776,,,'')&lt;/Q&gt;&lt;R&gt;0&lt;/R&gt;&lt;C&gt;0&lt;/C&gt;&lt;/FQL&gt;&lt;FQL&gt;&lt;Q&gt;Ticker0024^FE_ESTIMATE(FCF,MEAN,QUARTERLY_ROLL,2030/1F,45776,,,'')&lt;/Q&gt;&lt;R&gt;0&lt;/R&gt;&lt;C&gt;0&lt;/C&gt;&lt;/FQL&gt;&lt;FQL&gt;&lt;Q&gt;Ticker0024^FE_ESTIMATE(FCF,MEAN,ANNUAL_ROLL,2029,45776,,,'')&lt;/Q&gt;&lt;R&gt;1&lt;/R&gt;&lt;C&gt;1&lt;/C&gt;&lt;D xsi:type="xsd:double"&gt;153725&lt;/D&gt;&lt;/FQL&gt;&lt;FQL&gt;&lt;Q&gt;Ticker0024^FE_ESTIMATE(FCF,MEAN,QUARTERLY_ROLL,2029/4F,45776,,,'')&lt;/Q&gt;&lt;R&gt;0&lt;/R&gt;&lt;C&gt;0&lt;/C&gt;&lt;/FQL&gt;&lt;FQL&gt;&lt;Q&gt;Ticker0024^FE_ESTIMATE(FCF,MEAN,QUARTERLY_ROLL,2029/3F,45776,,,'')&lt;/Q&gt;&lt;R&gt;0&lt;/R&gt;&lt;C&gt;0&lt;/C&gt;&lt;/FQL&gt;&lt;FQL&gt;&lt;Q&gt;Ticker0024^FE_ESTIMATE(FCF,MEAN,QUARTERLY_ROLL,2029/2F,45776,,,'')&lt;/Q&gt;&lt;R&gt;0&lt;/R&gt;&lt;C&gt;0&lt;/C&gt;&lt;/FQL&gt;&lt;FQL&gt;&lt;Q&gt;Ticker0024^FE_ESTIMATE(FCF,MEAN,QUARTERLY_ROLL,2029/1F,45776,,,'')&lt;/Q&gt;&lt;R&gt;0&lt;/R&gt;&lt;C&gt;0&lt;/C&gt;&lt;/FQL&gt;&lt;FQL&gt;&lt;Q&gt;Ticker0024^FE_ESTIMATE(FCF,MEAN,ANNUAL_ROLL,2028,45776,,,'')&lt;/Q&gt;&lt;R&gt;1&lt;/R&gt;&lt;C&gt;1&lt;/C&gt;&lt;D xsi:type="xsd:double"&gt;119306.03&lt;/D&gt;&lt;/FQL&gt;&lt;FQL&gt;&lt;Q&gt;Ticker0024^FE_ESTIMATE(FCF,MEAN,QUARTERLY_ROLL,2028/4F,45776,,,'')&lt;/Q&gt;&lt;R&gt;0&lt;/R&gt;&lt;C&gt;0&lt;/C&gt;&lt;/FQL&gt;&lt;FQL&gt;&lt;Q&gt;Ticker0024^FE_ESTIMATE(FCF,MEAN,QUARTERLY_ROLL,2028/3F,45776,,,'')&lt;/Q&gt;&lt;R&gt;0&lt;/R&gt;&lt;C&gt;0&lt;/C&gt;&lt;/FQL&gt;&lt;FQL&gt;&lt;Q&gt;Ticker0024^FE_ESTIMATE(FCF,MEAN,QUARTERLY_ROLL,2028/2F,45776,,,'')&lt;/Q&gt;&lt;R&gt;0&lt;/R&gt;&lt;C&gt;0&lt;/C&gt;&lt;/FQL&gt;&lt;FQL&gt;&lt;Q&gt;Ticker0024^FE_ESTIMATE(FCF,MEAN,QUARTERLY_ROLL,2028/1F,45776,,,'')&lt;/Q&gt;&lt;R&gt;0&lt;/R&gt;&lt;C&gt;0&lt;/C&gt;&lt;/FQL&gt;&lt;FQL&gt;&lt;Q&gt;Ticker0024^FE_ESTIMATE(FCF,MEAN,ANNUAL_ROLL,2027,45776,,,'')&lt;/Q&gt;&lt;R&gt;1&lt;/R&gt;&lt;C&gt;1&lt;/C&gt;&lt;D xsi:type="xsd:double"&gt;94857.54&lt;/D&gt;&lt;/FQL&gt;&lt;FQL&gt;&lt;Q&gt;Ticker0024^FE_ESTIMATE(FCF,MEAN,QUARTERLY_ROLL,2027/4F,45776,,,'')&lt;/Q&gt;&lt;R&gt;1&lt;/R&gt;&lt;C&gt;1&lt;/C&gt;&lt;D xsi:type="xsd:double"&gt;-1237&lt;/D&gt;&lt;/FQL&gt;&lt;FQL&gt;&lt;Q&gt;Ticker0024^FE_ESTIMATE(FCF,MEAN,QUARTERLY_ROLL,2027/3F,45776,,,'')&lt;/Q&gt;&lt;R&gt;1&lt;/R&gt;&lt;C&gt;1&lt;/C&gt;&lt;D xsi:type="xsd:double"&gt;7257&lt;/D&gt;&lt;/FQL&gt;&lt;FQL&gt;&lt;Q&gt;Ticker0024^FE_ESTIMATE(FCF,MEAN,QUARTERLY_ROLL,2027/2F,45776,,,'')&lt;/Q&gt;&lt;R&gt;1&lt;/R&gt;&lt;C&gt;1&lt;/C&gt;&lt;D xsi:type="xsd:double"&gt;4746&lt;/D&gt;&lt;/FQL&gt;&lt;FQL&gt;&lt;Q&gt;Ticker0024^FE_ESTIMATE(FCF,MEAN,QUARTERLY_ROLL,2027/1F,45776,,,'')&lt;/Q&gt;&lt;R&gt;1&lt;/R&gt;&lt;C&gt;1&lt;/C&gt;&lt;D xsi:type="xsd:double"&gt;43736&lt;/D&gt;&lt;/FQL&gt;&lt;FQL&gt;&lt;Q&gt;Ticker0024^FE_ESTIMATE(FCF,MEAN,ANNUAL_ROLL,2026,45776,,,'')&lt;/Q&gt;&lt;R&gt;1&lt;/R&gt;&lt;C&gt;1&lt;/C&gt;&lt;D xsi:type="xsd:double"&gt;76161.875&lt;/D&gt;&lt;/FQL&gt;&lt;FQL&gt;&lt;Q&gt;Ticker0024^FE_ESTIMATE(FCF,MEAN,QUARTERLY_ROLL,2026/4F,45776,,,'')&lt;/Q&gt;&lt;R&gt;1&lt;/R&gt;&lt;C&gt;1&lt;/C&gt;&lt;D xsi:type="xsd:double"&gt;17289.863&lt;/D&gt;&lt;/FQL&gt;&lt;FQL&gt;&lt;Q&gt;Ticker0024^FE_ESTIMATE(FCF,MEAN,QUARTERLY_ROLL,2026/3F,45776,,,'')&lt;/Q&gt;&lt;R&gt;1&lt;/R&gt;&lt;C&gt;1&lt;/C&gt;&lt;D xsi:type="xsd:double"&gt;16515.604&lt;/D&gt;&lt;/FQL&gt;&lt;FQL&gt;&lt;Q&gt;Ticker0024^FE_ESTIMATE(FCF,MEAN,QUARTERLY_ROLL,2026/2F,45776,,,'')&lt;/Q&gt;&lt;R&gt;1&lt;/R&gt;&lt;C&gt;1&lt;/C&gt;&lt;D xsi:type="xsd:double"&gt;11648.516&lt;/D&gt;&lt;/FQL&gt;&lt;FQL&gt;&lt;Q&gt;Ticker0024^FE_ESTIMATE(FCF,MEAN,QUARTERLY_ROLL,2026/1F,45776,,,'')&lt;/Q&gt;&lt;R&gt;1&lt;/R&gt;&lt;C&gt;1&lt;/C&gt;&lt;D xsi:type="xsd:double"&gt;26980.645&lt;/D&gt;&lt;/FQL&gt;&lt;FQL&gt;&lt;Q&gt;Ticker0024^FE_ESTIMATE(FCF,MEAN,ANNUAL_ROLL,2025,45776,,,'')&lt;/Q&gt;&lt;R&gt;1&lt;/R&gt;&lt;C&gt;1&lt;/C&gt;&lt;D xsi:type="xsd:double"&gt;65565.516&lt;/D&gt;&lt;/FQL&gt;&lt;FQL&gt;&lt;Q&gt;Ticker0024^FE_ESTIMATE(FCF,MEAN,QUARTERLY_ROLL,2025/4F,45776,,,'')&lt;/Q&gt;&lt;R&gt;1&lt;/R&gt;&lt;C&gt;1&lt;/C&gt;&lt;D xsi:type="xsd:double"&gt;22309.729&lt;/D&gt;&lt;/FQL&gt;&lt;FQL&gt;&lt;Q&gt;Ticker0024^FE_ESTIMATE(FCF,MEAN,QUARTERLY_ROLL,2025/3F,45776,,,'')&lt;/Q&gt;&lt;R&gt;1&lt;/R&gt;&lt;C&gt;1&lt;/C&gt;&lt;D xsi:type="xsd:double"&gt;17197.602&lt;/D&gt;&lt;/FQL&gt;&lt;FQL&gt;&lt;Q&gt;Ticker0024^FE_ESTIMATE(FCF,MEAN,QUARTERLY_ROLL,2025/2F,45776,,,'')&lt;/Q&gt;&lt;R&gt;1&lt;/R&gt;&lt;C&gt;1&lt;/C&gt;&lt;D xsi:type="xsd:double"&gt;6707.9375&lt;/D&gt;&lt;/FQL&gt;&lt;FQL&gt;&lt;Q&gt;Ticker0024^FE_ESTIMATE(FCF,MEAN,QUARTERLY_ROLL,2025/1F,45776,,,'')&lt;/Q&gt;&lt;R&gt;1&lt;/R&gt;&lt;C&gt;1&lt;/C&gt;&lt;D xsi:type="xsd:double"&gt;18738.584&lt;/D&gt;&lt;/FQL&gt;&lt;FQL&gt;&lt;Q&gt;Ticker0024^FE_ESTIMATE(FCF,MEAN,ANNUAL_ROLL,2024,45776,,,'')&lt;/Q&gt;&lt;R&gt;1&lt;/R&gt;&lt;C&gt;1&lt;/C&gt;&lt;D xsi:type="xsd:double"&gt;72678.9&lt;/D&gt;&lt;/FQL&gt;&lt;FQL&gt;&lt;Q&gt;Ticker0024^FE_ESTIMATE(FCF,MEAN,QUARTERLY_ROLL,2024/4F,45776,,,'')&lt;/Q&gt;&lt;R&gt;1&lt;/R&gt;&lt;C&gt;1&lt;/C&gt;&lt;D xsi:type="xsd:double"&gt;22275.834&lt;/D&gt;&lt;/FQL&gt;&lt;FQL&gt;&lt;Q&gt;Ticker0024^FE_ESTIMATE(FCF,MEAN,QUARTERLY_ROLL,2024/3F,45776,,,'')&lt;/Q&gt;&lt;R&gt;1&lt;/R&gt;&lt;C&gt;1&lt;/C&gt;&lt;D xsi:type="xsd:double"&gt;20634.766&lt;/D&gt;&lt;/FQL&gt;&lt;FQL&gt;&lt;Q&gt;Ticker0024^FE_ESTIMATE(FCF,MEAN,QUARTERLY_ROLL,2024/2F,45776,,,'')&lt;/Q&gt;&lt;R&gt;1&lt;/R&gt;&lt;C&gt;1&lt;/C&gt;&lt;D xsi:type="xsd:double"&gt;6218.222&lt;/D&gt;&lt;/FQL&gt;&lt;FQL&gt;&lt;Q&gt;Ticker0024^FE_ESTIMATE(FCF,MEAN,QUARTERLY_ROLL,2024/1F,45776,,,'')&lt;/Q&gt;&lt;R&gt;1&lt;/R&gt;&lt;C&gt;1&lt;/C&gt;&lt;D xsi:type="xsd:double"&gt;21096.059&lt;/D&gt;&lt;/FQL&gt;&lt;FQL&gt;&lt;Q&gt;Ticker0024^FE_ESTIMATE(FCF,MEAN,ANNUAL_ROLL,2023,45776,,,'')&lt;/Q&gt;&lt;R&gt;1&lt;/R&gt;&lt;C&gt;1&lt;/C&gt;&lt;D xsi:type="xsd:double"&gt;60085.832&lt;/D&gt;&lt;/FQL&gt;&lt;FQL&gt;&lt;Q&gt;Ticker0024^FE_ESTIMATE(FCF,MEAN,QUARTERLY_ROLL,2023/4F,45776,,,'')&lt;/Q&gt;&lt;R&gt;1&lt;/R&gt;&lt;C&gt;1&lt;/C&gt;&lt;D xsi:type="xsd:double"&gt;19492.357&lt;/D&gt;&lt;/FQL&gt;&lt;FQL&gt;&lt;Q&gt;Ticker0024^FE_ESTIMATE(FCF,MEAN,QUARTERLY_ROLL,2023/3F,45776,,,'')&lt;/Q&gt;&lt;R&gt;1&lt;/R&gt;&lt;C&gt;1&lt;/C&gt;&lt;D xsi:type="xsd:double"&gt;17765.25&lt;/D&gt;&lt;/FQL&gt;&lt;FQL&gt;&lt;Q&gt;Ticker0024^FE_ESTIMATE(FCF,MEAN,QUARTERLY_ROLL,2023/2F,45776,,,'')&lt;/Q&gt;&lt;R&gt;1&lt;/R&gt;&lt;C&gt;1&lt;/C&gt;&lt;D xsi:type="xsd:double"&gt;5507.533&lt;/D&gt;&lt;/FQL&gt;&lt;FQL&gt;&lt;Q&gt;Ticker0024^FE_ESTIMATE(FCF,MEAN,QUARTERLY_ROLL,2023/1F,45776,,,'')&lt;/Q&gt;&lt;R&gt;1&lt;/R&gt;&lt;C&gt;1&lt;/C&gt;&lt;D xsi:type="xsd:double"&gt;17698&lt;/D&gt;&lt;/FQL&gt;&lt;FQL&gt;&lt;Q&gt;Ticker0024^FE_ESTIMATE(FCF,MEAN,ANNUAL_ROLL,2022,45776,,,'')&lt;/Q&gt;&lt;R&gt;1&lt;/R&gt;&lt;C&gt;1&lt;/C&gt;&lt;D xsi:type="xsd:double"&gt;65067.133&lt;/D&gt;&lt;/FQL&gt;&lt;FQL&gt;&lt;Q&gt;Ticker0024^FE_ESTIMATE(FCF,MEAN,QUARTERLY_ROLL,2022/4F,45776,,,'')&lt;/Q&gt;&lt;R&gt;1&lt;/R&gt;&lt;C&gt;1&lt;/C&gt;&lt;D xsi:type="xsd:double"&gt;17158&lt;/D&gt;&lt;/FQL&gt;&lt;FQL&gt;&lt;Q&gt;Ticker0024^FE_ESTIMATE(FCF,MEAN,QUARTERLY_ROLL,2022/3F,45776,,,'')&lt;/Q&gt;&lt;R&gt;1&lt;/R&gt;&lt;C&gt;1&lt;/C&gt;&lt;D xsi:type="xsd:double"&gt;19608.334&lt;/D&gt;&lt;/FQL&gt;&lt;FQL&gt;&lt;Q&gt;Ticker0024^FE_ESTIMATE(FCF,MEAN,QUARTERLY_ROLL,2022/2F,45776,,,'')&lt;/Q&gt;&lt;R&gt;1&lt;/R&gt;&lt;C&gt;1&lt;/C&gt;&lt;D xsi:type="xsd:double"&gt;9409.818&lt;/D&gt;&lt;/FQL&gt;&lt;FQL&gt;&lt;Q&gt;Ticker0024^FE_ESTIMATE(FCF,MEAN,QUARTERLY_ROLL,2022/1F,45776,,,'')&lt;/Q&gt;&lt;R&gt;1&lt;/R&gt;&lt;C&gt;1&lt;/C&gt;&lt;D xsi:type="xsd:double"&gt;18285.334&lt;/D&gt;&lt;/FQL&gt;&lt;FQL&gt;&lt;Q&gt;Ticker0024^FE_ESTIMATE(FCF,MEAN,ANNUAL_ROLL,2021,45776,,,'')&lt;/Q&gt;&lt;R&gt;1&lt;/R&gt;&lt;C&gt;1&lt;/C&gt;&lt;D xsi:type="xsd:double"&gt;55483.777&lt;/D&gt;&lt;/FQL&gt;&lt;FQL&gt;&lt;Q&gt;Ticker0024^FE_ESTIMATE(FCF,MEAN,QUARTERLY_ROLL,2021/4F,45776,,,'')&lt;/Q&gt;&lt;R&gt;1&lt;/R&gt;&lt;C&gt;1&lt;/C&gt;&lt;D xsi:type="xsd:double"&gt;15893.833&lt;/D&gt;&lt;/FQL&gt;&lt;FQL&gt;&lt;Q&gt;Ticker0024^FE_ESTIMATE(FCF,MEAN,QUARTERLY_ROLL,2021/3F,45776,,,'')&lt;/Q&gt;&lt;R&gt;1&lt;/R&gt;&lt;C&gt;1&lt;/C&gt;&lt;D xsi:type="xsd:double"&gt;16693.5&lt;/D&gt;&lt;/FQL&gt;&lt;FQL&gt;&lt;Q&gt;Ticker0024^FE_ESTIMATE(FCF,MEAN,QUARTERLY_ROLL,2021/2F,45776,,,'')&lt;/Q&gt;&lt;R&gt;1&lt;/R&gt;&lt;C&gt;1&lt;/C&gt;&lt;D xsi:type="xsd:double"&gt;9098&lt;/D&gt;&lt;/FQL&gt;&lt;FQL&gt;&lt;Q&gt;Ticker0024^FE_ESTIMATE(FCF,MEAN,QUARTERLY_ROLL,2021/1F,45776,,,'')&lt;/Q&gt;&lt;R&gt;1&lt;/R&gt;&lt;C&gt;1&lt;/C&gt;&lt;D xsi:type="xsd:double"&gt;13974.333&lt;/D&gt;&lt;/FQL&gt;&lt;FQL&gt;&lt;Q&gt;Ticker0024^FE_ESTIMATE(FCF,MEAN,ANNUAL_ROLL,2020,45776,,,'')&lt;/Q&gt;&lt;R&gt;1&lt;/R&gt;&lt;C&gt;1&lt;/C&gt;&lt;D xsi:type="xsd:double"&gt;45095.453&lt;/D&gt;&lt;/FQL&gt;&lt;FQL&gt;&lt;Q&gt;Ticker0024^FE_ESTIMATE(FCF,MEAN,QUARTERLY_ROLL,2020/4F,45776,,,'')&lt;/Q&gt;&lt;R&gt;1&lt;/R&gt;&lt;C&gt;1&lt;/C&gt;&lt;D xsi:type="xsd:double"&gt;13391.667&lt;/D&gt;&lt;/FQL&gt;&lt;FQL&gt;&lt;Q&gt;Ticker0024^FE_ESTIMATE(FCF,MEAN,QUARTERLY_ROLL,2020/3F,45776,,,'')&lt;/Q&gt;&lt;R&gt;1&lt;/R&gt;&lt;C&gt;1&lt;/C&gt;&lt;D xsi:type="xsd:double"&gt;13437&lt;/D&gt;&lt;/FQL&gt;&lt;FQL&gt;&lt;Q&gt;Ticker0024^FE_ESTIMATE(FCF,MEAN,QUARTERLY_ROLL,2020/2F,45776,,,'')&lt;/Q&gt;&lt;R&gt;1&lt;/R&gt;&lt;C&gt;1&lt;/C&gt;&lt;D xsi:type="xsd:double"&gt;7641.3335&lt;/D&gt;&lt;/FQL&gt;&lt;FQL&gt;&lt;Q&gt;Ticker0024^FE_ESTIMATE(FCF,MEAN,QUARTERLY_ROLL,2020/1F,45776,,,'')&lt;/Q&gt;&lt;R&gt;1&lt;/R&gt;&lt;C&gt;1&lt;/C&gt;&lt;D xsi:type="xsd:double"&gt;10215.875&lt;/D&gt;&lt;/FQL&gt;&lt;FQL&gt;&lt;Q&gt;Ticker0024^FE_ESTIMATE(FCF,MEAN,ANNUAL_ROLL,2019,45776,,,'')&lt;/Q&gt;&lt;R&gt;1&lt;/R&gt;&lt;C&gt;1&lt;/C&gt;&lt;D xsi:type="xsd:double"&gt;38085.168&lt;/D&gt;&lt;/FQL&gt;&lt;FQL&gt;&lt;Q&gt;Ticker0024^FE_ESTIMATE(FCF,MEAN,QUARTERLY_ROLL,2019/4F,45776,,,'')&lt;/Q&gt;&lt;R&gt;1&lt;/R&gt;&lt;C&gt;1&lt;/C&gt;&lt;D xsi:type="xsd:double"&gt;11695.728&lt;/D&gt;&lt;/FQL&gt;&lt;FQL&gt;&lt;Q&gt;Ticker0024^FE_ESTIMATE(FCF,MEAN,QUARTERLY_ROLL,2019/3F,45776,,,'')&lt;/Q&gt;&lt;R&gt;1&lt;/R&gt;&lt;C&gt;1&lt;/C&gt;&lt;D xsi:type="xsd:double"&gt;10834.333&lt;/D&gt;&lt;/FQL&gt;&lt;FQL&gt;&lt;Q&gt;Ticker0024^FE_ESTIMATE(FCF,MEAN,QUARTERLY_ROLL,2019/2F,45776,,,'')&lt;/Q&gt;&lt;R&gt;1&lt;/R&gt;&lt;C&gt;1&lt;/C&gt;&lt;D xsi:type="xsd:double"&gt;5420.25&lt;/D&gt;&lt;/FQL&gt;&lt;FQL&gt;&lt;Q&gt;Ticker0024^FE_ESTIMATE(FCF,MEAN,QUARTERLY_ROLL,2019/1F,45776,,,'')&lt;/Q&gt;&lt;R&gt;1&lt;/R&gt;&lt;C&gt;1&lt;/C&gt;&lt;D xsi:type="xsd:double"&gt;9414.454&lt;/D&gt;&lt;/FQL&gt;&lt;FQL&gt;&lt;Q&gt;Ticker0024^FE_ESTIMATE(FCF,MEAN,ANNUAL_ROLL,2018,45776,,,'')&lt;/Q&gt;&lt;R&gt;1&lt;/R&gt;&lt;C&gt;1&lt;/C&gt;&lt;D xsi:type="xsd:double"&gt;32102.77&lt;/D&gt;&lt;/FQL&gt;&lt;FQL&gt;&lt;Q&gt;Ticker0024^FE_ESTIMATE(FCF,MEAN,QUARTERLY_ROLL,2018/4F,45776,,,'')&lt;/Q&gt;&lt;R&gt;1&lt;/R&gt;&lt;C&gt;1&lt;/C&gt;&lt;D xsi:type="xsd:double"&gt;7717.909&lt;/D&gt;&lt;/FQL&gt;&lt;FQL&gt;&lt;Q&gt;Ticker0024^FE_ESTIMATE(FCF,MEAN,QUARTERLY_ROLL,2018/3F,45776,,,'')&lt;/Q&gt;&lt;R&gt;1&lt;/R&gt;&lt;C&gt;1&lt;/C&gt;&lt;D xsi:type="xsd:double"&gt;8967.363&lt;/D&gt;&lt;/FQL&gt;&lt;FQL&gt;&lt;Q&gt;Ticker0024^FE_ESTIMATE(FCF,MEAN,QUARTERLY_ROLL,2018/2F,45776,,,'')&lt;/Q&gt;&lt;R&gt;1&lt;/R&gt;&lt;C&gt;1&lt;/C&gt;&lt;D xsi:type="xsd:double"&gt;5426.1665&lt;/D&gt;&lt;/FQL&gt;&lt;FQL&gt;&lt;Q&gt;Ticker0024^FE_ESTIMATE(FCF,MEAN,QUARTERLY_ROLL,2018/1F,45776,,,'')&lt;/Q&gt;&lt;R&gt;1&lt;/R&gt;&lt;C&gt;1&lt;/C&gt;&lt;D xsi:type="xsd:double"&gt;9866.75&lt;/D&gt;&lt;/FQL&gt;&lt;FQL&gt;&lt;Q&gt;Ticker0024^FE_ESTIMATE(FCF,MEAN,ANNUAL_ROLL,2017,45776,,,'')&lt;/Q&gt;&lt;R&gt;1&lt;/R&gt;&lt;C&gt;1&lt;/C&gt;&lt;D xsi:type="xsd:double"&gt;30380.875&lt;/D&gt;&lt;/FQL&gt;&lt;FQL&gt;&lt;Q&gt;Ticker0024^FE_ESTIMATE(FCF,MEAN,QUARTERLY_ROLL,2017/4F,45776,,,'')&lt;/Q&gt;&lt;R&gt;1&lt;/R&gt;&lt;C&gt;1&lt;/C&gt;&lt;D xsi:type="xsd:double"&gt;8029.2&lt;/D&gt;&lt;/FQL&gt;&lt;FQL&gt;&lt;Q&gt;Ticker0024^FE_ESTIMATE(FCF,MEAN,QUARTERLY_ROLL,2017/3F,45776,,,'')&lt;/Q&gt;&lt;R&gt;1&lt;/R&gt;&lt;C&gt;1&lt;/C&gt;&lt;D xsi:type="xsd:double"&gt;8506&lt;/D&gt;&lt;/FQL&gt;&lt;FQL&gt;&lt;Q&gt;Ticker0024^FE_ESTIMATE(FCF,MEAN,QUARTERLY_ROLL,2017/2F,45776,,,'')&lt;/Q&gt;&lt;R&gt;1&lt;/R&gt;&lt;C&gt;1&lt;/C&gt;&lt;D xsi:type="xsd:double"&gt;4305&lt;/D&gt;&lt;/FQL&gt;&lt;FQL&gt;&lt;Q&gt;Ticker0024^FE_ESTIMATE(FCF,MEAN,QUARTERLY_ROLL,2017/1F,45776,,,'')&lt;/Q&gt;&lt;R&gt;1&lt;/R&gt;&lt;C&gt;1&lt;/C&gt;&lt;D xsi:type="xsd:double"&gt;9382&lt;/D&gt;&lt;/FQL&gt;&lt;FQL&gt;&lt;Q&gt;Ticker0024^FE_ESTIMATE(FCF,MEAN,ANNUAL_ROLL,2016,45776,,,'')&lt;/Q&gt;&lt;R&gt;1&lt;/R&gt;&lt;C&gt;1&lt;/C&gt;&lt;D xsi:type="xsd:double"&gt;24212.758&lt;/D&gt;&lt;/FQL&gt;&lt;FQL&gt;&lt;Q&gt;Ticker0024^FE_ESTIMATE(FCF,MEAN,QUARTERLY_ROLL,2016/4F,45776,,,'')&lt;/Q&gt;&lt;R&gt;1&lt;/R&gt;&lt;C&gt;1&lt;/C&gt;&lt;D xsi:type="xsd:double"&gt;5742&lt;/D&gt;&lt;/FQL&gt;&lt;FQL&gt;&lt;Q&gt;Ticker0024^FE_ESTIMATE(FCF,MEAN,QUARTERLY_ROLL,2016/3F,45776,,,'')&lt;/Q&gt;&lt;R&gt;1&lt;/R&gt;&lt;C&gt;1&lt;/C&gt;&lt;D xsi:type="xsd:double"&gt;6915.5625&lt;/D&gt;&lt;/FQL&gt;&lt;FQL&gt;&lt;Q&gt;Ticker0024^FE_ESTIMATE(FCF,MEAN,QUARTERLY_ROLL,2016/2F,45776,,,'')&lt;/Q&gt;&lt;R&gt;1&lt;/R&gt;&lt;C&gt;1&lt;/C&gt;&lt;D xsi:type="xsd:double"&gt;3510.5&lt;/D&gt;&lt;/FQL&gt;&lt;FQL&gt;&lt;Q&gt;Ticker0024^FE_ESTIMATE(FCF,MEAN,QUARTERLY_ROLL,2016/1F,45776,,,'')&lt;/Q&gt;&lt;R&gt;1&lt;/R&gt;&lt;C&gt;1&lt;/C&gt;&lt;D xsi:type="xsd:double"&gt;7124&lt;/D&gt;&lt;/FQL&gt;&lt;FQL&gt;&lt;Q&gt;Ticker0024^FE_ESTIMATE(FCF,MEAN,ANNUAL_ROLL,2015,45776,,,'')&lt;/Q&gt;&lt;R&gt;1&lt;/R&gt;&lt;C&gt;1&lt;/C&gt;&lt;D xsi:type="xsd:double"&gt;22531.357&lt;/D&gt;&lt;/FQL&gt;&lt;FQL&gt;&lt;Q&gt;Ticker0024^FE_ESTIMATE(FCF,MEAN,QUARTERLY_ROLL,2015/4F,45776,,,'')&lt;/Q&gt;&lt;R&gt;1&lt;/R&gt;&lt;C&gt;1&lt;/C&gt;&lt;D xsi:type="xsd:double"&gt;4565.622&lt;/D&gt;&lt;/FQL&gt;&lt;FQL&gt;&lt;Q&gt;Ticker0024^FE_ESTIMATE(FCF,MEAN,QUARTERLY_ROLL,2015/3F,45776,,,'')&lt;/Q&gt;&lt;R&gt;1&lt;/R&gt;&lt;C&gt;1&lt;/C&gt;&lt;D xsi:type="xsd:double"&gt;8155.857&lt;/D&gt;&lt;/FQL&gt;&lt;FQL&gt;&lt;Q&gt;Ticker0024^FE_ESTIMATE(FCF,MEAN,QUARTERLY_ROLL,2015/2F,45776,,,'')&lt;/Q&gt;&lt;R&gt;1&lt;/R&gt;&lt;C&gt;1&lt;/C&gt;&lt;D xsi:type="xsd:double"&gt;2850&lt;/D&gt;&lt;/FQL&gt;&lt;FQL&gt;&lt;Q&gt;Ticker0024^FE_ESTIMATE(FCF,MEAN,QUARTERLY_ROLL,2015/1F,45776,,,'')&lt;/Q&gt;&lt;R&gt;1&lt;/R&gt;&lt;C&gt;1&lt;/C&gt;&lt;D xsi:type="xsd:double"&gt;6849.033&lt;/D&gt;&lt;/FQL&gt;&lt;FQL&gt;&lt;Q&gt;Ticker0024^FE_ESTIMATE(CAPEX,MEAN,ANNUAL_ROLL,2030,45776,,,'')&lt;/Q&gt;&lt;R&gt;0&lt;/R&gt;&lt;C&gt;0&lt;/C&gt;&lt;/FQL&gt;&lt;FQL&gt;&lt;Q&gt;Ticker0024^FE_ESTIMATE(CAPEX,MEAN,QUARTERLY_ROLL,2030/4F,45776,,,'')&lt;/Q&gt;&lt;R&gt;0&lt;/R&gt;&lt;C&gt;0&lt;/C&gt;&lt;/FQL&gt;&lt;FQL&gt;&lt;Q&gt;Ticker0024^FE_ESTIMATE(CAPEX,MEAN,QUARTERLY_ROLL,2030/3F,45776,,,'')&lt;/Q&gt;&lt;R&gt;0&lt;/R&gt;&lt;C&gt;0&lt;/C&gt;&lt;/FQL&gt;&lt;FQL&gt;&lt;Q&gt;Ticker0024^FE_ESTIMATE(CAPEX,MEAN,QUARTERLY_ROLL,2030/2F,45776,,,'')&lt;/Q&gt;&lt;R&gt;0&lt;/R&gt;&lt;C&gt;0&lt;/C&gt;&lt;/FQL&gt;&lt;FQL&gt;&lt;Q&gt;Ticker0024^FE_ESTIMATE(CAPEX,MEAN,QUARTERLY_ROLL,2030/1F,45776,,,'')&lt;/Q&gt;&lt;R&gt;0&lt;/R&gt;&lt;C&gt;0&lt;/C&gt;&lt;/FQL&gt;&lt;FQL&gt;&lt;Q&gt;Ticker0024^FE_ESTIMATE(CAPEX,MEAN,ANNUAL_ROLL,2029,45776,,,'')&lt;/Q&gt;&lt;R&gt;0&lt;/R&gt;&lt;C&gt;0&lt;/C&gt;&lt;/FQL&gt;&lt;FQL&gt;&lt;Q&gt;Ticker0024^FE_ESTIMATE(CAPEX,MEAN,QUARTERLY_ROLL,2029/4F,45776,,,'')&lt;/Q&gt;&lt;R&gt;0&lt;/R&gt;&lt;C&gt;0&lt;/C&gt;&lt;/FQL&gt;&lt;FQL&gt;&lt;Q&gt;Ticker0024^FE_ESTIMATE(CAPEX,MEAN,QUARTERLY_ROLL,2029/3F,45776,,,'')&lt;/Q&gt;&lt;R&gt;0&lt;/R&gt;&lt;C&gt;0&lt;/C&gt;&lt;/FQL&gt;&lt;FQL&gt;&lt;Q&gt;Ticker0024^FE_ESTIMATE(CAPEX,MEAN,QUARTERLY_ROLL,2029/2F,45776,,,'')&lt;/Q&gt;&lt;R&gt;0&lt;/R&gt;&lt;C&gt;0&lt;/C&gt;&lt;/FQL&gt;&lt;FQL&gt;&lt;Q&gt;Ticker0024^FE_ESTIMATE(CAPEX,MEAN,QUARTERLY_ROLL,2029/1F,45776,,,'')&lt;/Q&gt;&lt;R&gt;0&lt;/R&gt;&lt;C&gt;0&lt;/C&gt;&lt;/FQL&gt;&lt;FQL&gt;&lt;Q&gt;Ticker0024^FE_ESTIMATE(CAPEX,MEAN,ANNUAL_ROLL,2028,45776,,,'')&lt;/Q&gt;&lt;R&gt;1&lt;/R&gt;&lt;C&gt;1&lt;/C&gt;&lt;D xsi:type="xsd:double"&gt;75907.09&lt;/D&gt;&lt;/FQL&gt;&lt;FQL&gt;&lt;Q&gt;Ticker0024^FE_ESTIMATE(CAPEX,MEAN,QUARTERLY_ROLL,2028/4F,45776,,,'')&lt;/Q&gt;&lt;R&gt;0&lt;/R&gt;&lt;C&gt;0&lt;/C&gt;&lt;/FQL&gt;&lt;FQL&gt;&lt;Q&gt;Ticker0024^FE_ESTIMATE(CAPEX,MEAN,QUARTERLY_ROLL,2028/3F,45776,,,'')&lt;/Q&gt;&lt;R&gt;0&lt;/R&gt;&lt;C&gt;0&lt;/C&gt;&lt;/FQL&gt;&lt;FQL&gt;&lt;Q&gt;Ticker0024^FE_ESTIMATE(CAPEX,MEAN,QUARTERLY_ROLL,2028/2F,45776,,,'')&lt;/Q&gt;&lt;R&gt;0&lt;/R&gt;&lt;C&gt;0&lt;/C&gt;&lt;/FQL&gt;&lt;FQL&gt;&lt;Q&gt;Ticker0024^FE_ESTIMATE(CAPEX,MEAN,QUARTERLY_ROLL,2028/1F,45776,,,'')&lt;/Q&gt;&lt;R&gt;0&lt;/R&gt;&lt;C&gt;0&lt;/C&gt;&lt;/FQL&gt;&lt;FQL&gt;&lt;Q&gt;Ticker0024^FE_ESTIMATE(CAPEX,MEAN,ANNUAL_ROLL,2027,45776,,,'')&lt;/Q&gt;&lt;R&gt;1&lt;/R&gt;&lt;C&gt;1&lt;/C&gt;&lt;D xsi:type="xsd:double"&gt;77091.94&lt;/D&gt;&lt;/FQL&gt;&lt;FQL&gt;&lt;Q&gt;Ticker0024^FE_ESTIMATE(CAPEX,MEAN,QUARTERLY_ROLL,2027/4F,45776,,,'')&lt;/Q&gt;&lt;R&gt;1&lt;/R&gt;&lt;C&gt;1&lt;/C&gt;&lt;D xsi:type="xsd:double"&gt;23568.6&lt;/D&gt;&lt;/FQL&gt;&lt;FQL&gt;&lt;Q&gt;Ticker0024^FE_ESTIMATE(CAPEX,MEAN,QUARTERLY_ROLL,2027/3F,45776,,,'')&lt;/Q&gt;&lt;R&gt;1&lt;/R&gt;&lt;C&gt;1&lt;/C&gt;&lt;D xsi:type="xsd:double"&gt;21084.35&lt;/D&gt;&lt;/FQL&gt;&lt;FQL&gt;&lt;Q&gt;Ticker0024^FE_ESTIMATE(CAPEX,MEAN,QUARTERLY_ROLL,2027/2F,45776,,,'')&lt;/Q&gt;&lt;R&gt;1&lt;/R&gt;&lt;C&gt;1&lt;/C&gt;&lt;D xsi:type="xsd:double"&gt;19833.701&lt;/D&gt;&lt;/FQL&gt;&lt;FQL&gt;&lt;Q&gt;Ticker0024^FE_ESTIMATE(CAPEX,MEAN,QUARTERLY_ROLL,2027/1F,45776,,,'')&lt;/Q&gt;&lt;R&gt;1&lt;/R&gt;&lt;C&gt;1&lt;/C&gt;&lt;D xsi:type="xsd:double"&gt;18738.602&lt;/D&gt;&lt;/FQL&gt;&lt;FQL&gt;&lt;Q&gt;Ticker0024^FE_ESTIMATE(CAPEX,MEAN,ANNUAL_ROLL,2026,45776,,,'')&lt;/Q&gt;&lt;R&gt;1&lt;/R&gt;&lt;C&gt;1&lt;/C&gt;&lt;D xsi:type="xsd:double"&gt;72897.766&lt;/D&gt;&lt;/FQL&gt;&lt;FQL&gt;&lt;Q&gt;Ticker0024^FE_ESTIMATE(CAPEX,MEAN,QUARTERLY_ROLL,2026/4F,45776,,,'')&lt;/Q&gt;&lt;R&gt;1&lt;/R&gt;&lt;C&gt;1&lt;/C&gt;&lt;D xsi:type="xsd:double"&gt;19544.545&lt;/D&gt;&lt;/FQL&gt;&lt;FQL&gt;&lt;Q&gt;Ticker0024^FE_ESTIMATE(CAPEX,MEAN,QUARTERLY_ROLL,2026/3F,45776,,,'')&lt;/Q&gt;&lt;R&gt;1&lt;/R&gt;&lt;C&gt;1&lt;/C&gt;&lt;D xsi:type="xsd:double"&gt;18383.137&lt;/D&gt;&lt;/FQL&gt;&lt;FQL&gt;&lt;Q&gt;Ticker0024^FE_ESTIMATE(CAPEX,MEAN,QUARTERLY_ROLL,2026/2F,45776,,,'')&lt;/Q&gt;&lt;R&gt;1&lt;/R&gt;&lt;C&gt;1&lt;/C&gt;&lt;D xsi:type="xsd:double"&gt;17683.75&lt;/D&gt;&lt;/FQL&gt;&lt;FQL&gt;&lt;Q&gt;Ticker0024^FE_ESTIMATE(CAPEX,MEAN,QUARTERLY_ROLL,2026/1F,45776,,,'')&lt;/Q&gt;&lt;R&gt;1&lt;/R&gt;&lt;C&gt;1&lt;/C&gt;&lt;D xsi:type="xsd:double"&gt;16772.727&lt;/D&gt;&lt;/FQL&gt;&lt;FQL&gt;&lt;Q&gt;Ticker0024^FE_ESTIMATE(CAPEX,MEAN,ANNUAL_ROLL,2025,45776,,,'')&lt;/Q&gt;&lt;R&gt;1&lt;/R&gt;&lt;C&gt;1&lt;/C&gt;&lt;D xsi:type="xsd:double"&gt;66221.63&lt;/D&gt;&lt;/FQL&gt;&lt;FQL&gt;&lt;Q&gt;Ticker0024^FE_ESTIMATE(CAPEX,MEAN,QUARTERLY_ROLL,2025/4F,45776,,,'')&lt;/Q&gt;&lt;R&gt;1&lt;/R&gt;&lt;C&gt;1&lt;/C&gt;&lt;D xsi:type="xsd:double"&gt;16746.459&lt;/D&gt;&lt;/FQL&gt;&lt;FQL&gt;&lt;Q&gt;Ticker0024^FE_ESTIMATE(CAPEX,MEAN,QUARTERLY_ROLL,2025/3F,45776,,,'')&lt;/Q&gt;&lt;R&gt;1&lt;/R&gt;&lt;C&gt;1&lt;/C&gt;&lt;D xsi:type="xsd:double"&gt;16223.93&lt;/D&gt;&lt;/FQL&gt;&lt;FQL&gt;&lt;Q&gt;Ticker0024^FE_ESTIMATE(CAPEX,MEAN,QUARTERLY_ROLL,2025/2F,45776,,,'')&lt;/Q&gt;&lt;R&gt;1&lt;/R&gt;&lt;C&gt;1&lt;/C&gt;&lt;D xsi:type="xsd:double"&gt;15788.9375&lt;/D&gt;&lt;/FQL&gt;&lt;FQL&gt;&lt;Q&gt;Ticker0024^FE_ESTIMATE(CAPEX,MEAN,QUARTERLY_ROLL,2025/1F,45776,,,'')&lt;/Q&gt;&lt;R&gt;1&lt;/R&gt;&lt;C&gt;1&lt;/C&gt;&lt;D xsi:type="xsd:double"&gt;14922.786&lt;/D&gt;&lt;/FQL&gt;&lt;FQL&gt;&lt;Q&gt;Ticker0024^FE_ESTIMATE(CAPEX,MEAN,ANNUAL_ROLL,2024,45776,,,'')&lt;/Q&gt;&lt;R&gt;1&lt;/R&gt;&lt;C&gt;1&lt;/C&gt;&lt;D xsi:type="xsd:double"&gt;44477.12&lt;/D&gt;&lt;/FQL&gt;&lt;FQL&gt;&lt;Q&gt;Ticker0024^FE_ESTIMATE(CAPEX,MEAN,QUARTERLY_ROLL,2024/4F,45776,,,'')&lt;/Q&gt;&lt;R&gt;1&lt;/R&gt;&lt;C&gt;1&lt;/C&gt;&lt;D xsi:type="xsd:double"&gt;13874.714&lt;/D&gt;&lt;/FQL&gt;&lt;FQL&gt;&lt;Q&gt;Ticker0024^FE_ESTIMATE(CAPEX,MEAN,QUARTERLY_ROLL,2024/3F,45776,,,'')&lt;/Q&gt;&lt;R&gt;1&lt;/R&gt;&lt;C&gt;1&lt;/C&gt;&lt;D xsi:type="xsd:double"&gt;10951.875&lt;/D&gt;&lt;/FQL&gt;&lt;FQL&gt;&lt;Q&gt;Ticker0024^FE_ESTIMATE(CAPEX,MEAN,QUARTERLY_ROLL,2024/2F,45776,,,'')&lt;/Q&gt;&lt;R&gt;1&lt;/R&gt;&lt;C&gt;1&lt;/C&gt;&lt;D xsi:type="xsd:double"&gt;10013.947&lt;/D&gt;&lt;/FQL&gt;&lt;FQL&gt;&lt;Q&gt;Ticker0024^FE_ESTIMATE(CAPEX,MEAN,QUARTERLY_ROLL,2024/1F,45776,,,'')&lt;/Q&gt;&lt;R&gt;1&lt;/R&gt;&lt;C&gt;1&lt;/C&gt;&lt;D xsi:type="xsd:double"&gt;10002.733&lt;/D&gt;&lt;/FQL&gt;&lt;FQL&gt;&lt;Q&gt;Ticker0024^FE_ESTIMATE(CAPEX,MEAN,ANNUAL_ROLL,2023,45776,,,'')&lt;/Q&gt;&lt;R&gt;1&lt;/R&gt;&lt;C&gt;1&lt;/C&gt;&lt;D xsi:type="xsd:double"&gt;28107.125&lt;/D&gt;&lt;/FQL&gt;&lt;FQL&gt;&lt;Q&gt;Ticker0024^FE_ESTIMATE(CAPEX,MEAN,QUARTERLY_ROLL,2023/4F,45776,,,'')&lt;/Q&gt;&lt;R&gt;1&lt;/R&gt;&lt;C&gt;1&lt;/C&gt;&lt;D xsi:type="xsd:double"&gt;8942.77&lt;/D&gt;&lt;/FQL&gt;&lt;FQL&gt;&lt;Q&gt;Ticker0024^FE_ESTIMATE(CAPEX,MEAN,QUARTERLY_ROLL,2023/3F,45776,,,'')&lt;/Q&gt;&lt;R&gt;1&lt;/R&gt;&lt;C&gt;1&lt;/C&gt;&lt;D xsi:type="xsd:double"&gt;6607.25&lt;/D&gt;&lt;/FQL&gt;&lt;FQL&gt;&lt;Q&gt;Ticker0024^FE_ESTIMATE(CAPEX,MEAN,QUARTERLY_ROLL,2023/2F,45776,,,'')&lt;/Q&gt;&lt;R&gt;1&lt;/R&gt;&lt;C&gt;1&lt;/C&gt;&lt;D xsi:type="xsd:double"&gt;6273.636&lt;/D&gt;&lt;/FQL&gt;&lt;FQL&gt;&lt;Q&gt;Ticker0024^FE_ESTIMATE(CAPEX,MEAN,QUARTERLY_ROLL,2023/1F,45776,,,'')&lt;/Q&gt;&lt;R&gt;1&lt;/R&gt;&lt;C&gt;1&lt;/C&gt;&lt;D xsi:type="xsd:double"&gt;6283&lt;/D&gt;&lt;/FQL&gt;&lt;FQL&gt;&lt;Q&gt;Ticker0024^FE_ESTIMATE(CAPEX,MEAN,ANNUAL_ROLL,2022,45776,,,'')&lt;/Q&gt;&lt;R&gt;1&lt;/R&gt;&lt;C&gt;1&lt;/C&gt;&lt;D xsi:type="xsd:double"&gt;24090.385&lt;/D&gt;&lt;/FQL&gt;&lt;FQL&gt;&lt;Q&gt;Ticker0024^FE_ESTIMATE(CAPEX,MEAN,QUARTERLY_ROLL,2022/4F,45776,,,'')&lt;/Q&gt;&lt;R&gt;1&lt;/R&gt;&lt;C&gt;1&lt;/C&gt;&lt;D xsi:type="xsd:double"&gt;7023.4165&lt;/D&gt;&lt;/FQL&gt;&lt;FQL&gt;&lt;Q&gt;Ticker0024^FE_ESTIMATE(CAPEX,MEAN,QUARTERLY_ROLL,2022/3F,45776,,,'')&lt;/Q&gt;&lt;R&gt;1&lt;/R&gt;&lt;C&gt;1&lt;/C&gt;&lt;D xsi:type="xsd:double"&gt;5436&lt;/D&gt;&lt;/FQL&gt;&lt;FQL&gt;&lt;Q&gt;Ticker0024^FE_ESTIMATE(CAPEX,MEAN,QUARTERLY_ROLL,2022/2F,45776,,,'')&lt;/Q&gt;&lt;R&gt;1&lt;/R&gt;&lt;C&gt;1&lt;/C&gt;&lt;D xsi:type="xsd:double"&gt;5958.5&lt;/D&gt;&lt;/FQL&gt;&lt;FQL&gt;&lt;Q&gt;Ticker0024^FE_ESTIMATE(CAPEX,MEAN,QUARTERLY_ROLL,2022/1F,45776,,,'')&lt;/Q&gt;&lt;R&gt;1&lt;/R&gt;&lt;C&gt;1&lt;/C&gt;&lt;D xsi:type="xsd:double"&gt;5954.5454&lt;/D&gt;&lt;/FQL&gt;&lt;FQL&gt;&lt;Q&gt;Ticker0024^FE_ESTIMATE(CAPEX,MEAN,ANNUAL_ROLL,2021,45776,,,'')&lt;/Q&gt;&lt;R&gt;1&lt;/R&gt;&lt;C&gt;1&lt;/C&gt;&lt;D xsi:type="xsd:double"&gt;20901.076&lt;/D&gt;&lt;/FQL&gt;&lt;FQL&gt;&lt;Q&gt;Ticker0024^FE_ESTIMATE(CAPEX,MEAN,QUARTERLY_ROLL,2021/4F,45776,,,'')&lt;/Q&gt;&lt;R&gt;1&lt;/R&gt;&lt;C&gt;1&lt;/C&gt;&lt;D xsi:type="xsd:double"&gt;6558&lt;/D&gt;&lt;/FQL&gt;&lt;FQL&gt;&lt;Q&gt;Ticker0024^FE_ESTIMATE(CAPEX,MEAN,QUARTERLY_ROLL,2021/3F,45776,,,'')&lt;/Q&gt;&lt;R&gt;1&lt;/R&gt;&lt;C&gt;1&lt;/C&gt;&lt;D xsi:type="xsd:double"&gt;5190.222&lt;/D&gt;&lt;/FQL&gt;&lt;FQL&gt;&lt;Q&gt;Ticker0024^FE_ESTIMATE(CAPEX,MEAN,QUARTERLY_ROLL,2021/2F,45776,,,'')&lt;/Q&gt;&lt;R&gt;1&lt;/R&gt;&lt;C&gt;1&lt;/C&gt;&lt;D xsi:type="xsd:double"&gt;4310.222&lt;/D&gt;&lt;/FQL&gt;&lt;FQL&gt;&lt;Q&gt;Ticker0024^FE_ESTIMATE(CAPEX,MEAN,QUARTERLY_ROLL,2021/1F,45776,,,'')&lt;/Q&gt;&lt;R&gt;1&lt;/R&gt;&lt;C&gt;1&lt;/C&gt;&lt;D xsi:type="xsd:double"&gt;4951.2&lt;/D&gt;&lt;/FQL&gt;&lt;FQL&gt;&lt;Q&gt;Ticker0024^FE_ESTIMATE(CAPEX,MEAN,ANNUAL_ROLL,2020,45776,,,'')&lt;/Q&gt;&lt;R&gt;1&lt;/R&gt;&lt;C&gt;1&lt;/C&gt;&lt;D xsi:type="xsd:double"&gt;15737.583&lt;/D&gt;&lt;/FQL&gt;&lt;FQL&gt;&lt;Q&gt;Ticker0024^FE_ESTIMATE(CAPEX,MEAN,QUARTERLY_ROLL,2020/4F,45776,,,'')&lt;/Q&gt;&lt;R&gt;1&lt;/R&gt;&lt;C&gt;1&lt;/C&gt;&lt;D xsi:type="xsd:double"&gt;4876&lt;/D&gt;&lt;/FQL&gt;&lt;FQL&gt;&lt;Q&gt;Ticker0024^FE_ESTIMATE(CAPEX,MEAN,QUARTERLY_ROLL,2020/3F,45776,,,'')&lt;/Q&gt;&lt;R&gt;1&lt;/R&gt;&lt;C&gt;1&lt;/C&gt;&lt;D xsi:type="xsd:double"&gt;3781.7778&lt;/D&gt;&lt;/FQL&gt;&lt;FQL&gt;&lt;Q&gt;Ticker0024^FE_ESTIMATE(CAPEX,MEAN,QUARTERLY_ROLL,2020/2F,45776,,,'')&lt;/Q&gt;&lt;R&gt;1&lt;/R&gt;&lt;C&gt;1&lt;/C&gt;&lt;D xsi:type="xsd:double"&gt;3640.5&lt;/D&gt;&lt;/FQL&gt;&lt;FQL&gt;&lt;Q&gt;Ticker0024^FE_ESTIMATE(CAPEX,MEAN,QUARTERLY_ROLL,2020/1F,45776,,,'')&lt;/Q&gt;&lt;R&gt;1&lt;/R&gt;&lt;C&gt;1&lt;/C&gt;&lt;D xsi:type="xsd:double"&gt;3526.5&lt;/D&gt;&lt;/FQL&gt;&lt;FQL&gt;&lt;Q&gt;Ticker0024^FE_ESTIMATE(CAPEX,MEAN,ANNUAL_ROLL,2019,45776,,,'')&lt;/Q&gt;&lt;R&gt;1&lt;/R&gt;&lt;C&gt;1&lt;/C&gt;&lt;D xsi:type="xsd:double"&gt;14123.333&lt;/D&gt;&lt;/FQL&gt;&lt;FQL&gt;&lt;Q&gt;Ticker0024^FE_ESTIMATE(CAPEX,MEAN,QUARTERLY_ROLL,2019/4F,45776,,,'')&lt;/Q&gt;&lt;R&gt;1&lt;/R&gt;&lt;C&gt;1&lt;/C&gt;&lt;D xsi:type="xsd:double"&gt;4300.8&lt;/D&gt;&lt;/FQL&gt;&lt;FQL&gt;&lt;Q&gt;Ticker0024^FE_ESTIMATE(CAPEX,MEAN,QUARTERLY_ROLL,2019/3F,45776,,,'')&lt;/Q&gt;&lt;R&gt;1&lt;/R&gt;&lt;C&gt;1&lt;/C&gt;&lt;D xsi:type="xsd:double"&gt;2648.5&lt;/D&gt;&lt;/FQL&gt;&lt;FQL&gt;&lt;Q&gt;Ticker0024^FE_ESTIMATE(CAPEX,MEAN,QUARTERLY_ROLL,2019/2F,45776,,,'')&lt;/Q&gt;&lt;R&gt;1&lt;/R&gt;&lt;C&gt;1&lt;/C&gt;&lt;D xsi:type="xsd:double"&gt;3736.6924&lt;/D&gt;&lt;/FQL&gt;&lt;FQL&gt;&lt;Q&gt;Ticker0024^FE_ESTIMATE(CAPEX,MEAN,QUARTERLY_ROLL,2019/1F,45776,,,'')&lt;/Q&gt;&lt;R&gt;1&lt;/R&gt;&lt;C&gt;1&lt;/C&gt;&lt;D xsi:type="xsd:double"&gt;3728.9092&lt;/D&gt;&lt;/FQL&gt;&lt;FQL&gt;&lt;Q&gt;Ticker0024^FE_ESTIMATE(CAPEX,MEAN,ANNUAL_ROLL,2018,45776,,,'')&lt;/Q&gt;&lt;R&gt;1&lt;/R&gt;&lt;C&gt;1&lt;/C&gt;&lt;D xsi:type="xsd:double"&gt;11958.8&lt;/D&gt;&lt;/FQL&gt;&lt;FQL&gt;&lt;Q&gt;Ticker0024^FE_ESTIMATE(CAPEX,MEAN,QUARTERLY_ROLL,2018/4F,45776,,,'')&lt;/Q&gt;&lt;R&gt;1&lt;/R&gt;&lt;C&gt;1&lt;/C&gt;&lt;D xsi:type="xsd:double"&gt;3993.3333&lt;/D&gt;&lt;/FQL&gt;&lt;FQL&gt;&lt;Q&gt;Ticker0024^FE_ESTIMATE(CAPEX,MEAN,QUARTERLY_ROLL,2018/3F,45776,,,'')&lt;/Q&gt;&lt;R&gt;1&lt;/R&gt;&lt;C&gt;1&lt;/C&gt;&lt;D xsi:type="xsd:double"&gt;2934&lt;/D&gt;&lt;/FQL&gt;&lt;FQL&gt;&lt;Q&gt;Ticker0024^FE_ESTIMATE(CAPEX,MEAN,QUARTERLY_ROLL,2018/2F,45776,,,'')&lt;/Q&gt;&lt;R&gt;1&lt;/R&gt;&lt;C&gt;1&lt;/C&gt;&lt;D xsi:type="xsd:double"&gt;2650.9092&lt;/D&gt;&lt;/FQL&gt;&lt;FQL&gt;&lt;Q&gt;Ticker0024^FE_ESTIMATE(CAPEX,MEAN,QUARTERLY_ROLL,2018/1F,45776,,,'')&lt;/Q&gt;&lt;R&gt;1&lt;/R&gt;&lt;C&gt;1&lt;/C&gt;&lt;D xsi:type="xsd:double"&gt;2132&lt;/D&gt;&lt;/FQL&gt;&lt;FQL&gt;&lt;Q&gt;Ticker0024^FE_ESTIMATE(CAPEX,MEAN,ANNUAL_ROLL,2017,45776,,,'')&lt;/Q&gt;&lt;R&gt;1&lt;/R&gt;&lt;C&gt;1&lt;/C&gt;&lt;D xsi:type="xsd:double"&gt;8129&lt;/D&gt;&lt;/FQL&gt;&lt;FQL&gt;&lt;Q&gt;Ticker0024^FE_ESTIMATE(CAPEX,MEAN,QUARTERLY_ROLL,2017/4F,45776,,,'')&lt;/Q&gt;&lt;R&gt;1&lt;/R&gt;&lt;C&gt;1&lt;/C&gt;&lt;D xsi:type="xsd:double"&gt;2283&lt;/D&gt;&lt;/FQL&gt;&lt;FQL&gt;&lt;Q&gt;Ticker0024^FE_ESTIMATE(CAPEX,MEAN,QUARTERLY_ROLL,2017/3F,45776,,,'')&lt;/Q&gt;&lt;R&gt;1&lt;/R&gt;&lt;C&gt;1&lt;/C&gt;&lt;D xsi:type="xsd:double"&gt;1767.909&lt;/D&gt;&lt;/FQL&gt;&lt;FQL&gt;&lt;Q&gt;Ticker0024^FE_ESTIMATE(CAPEX,MEAN,QUARTERLY_ROLL,2017/2F,45776,,,'')&lt;/Q&gt;&lt;R&gt;1&lt;/R&gt;&lt;C&gt;1&lt;/C&gt;&lt;D xsi:type="xsd:double"&gt;1988&lt;/D&gt;&lt;/FQL&gt;&lt;FQL&gt;&lt;Q&gt;Ticker0024^FE_ESTIMATE(CAPEX,MEAN,QUARTERLY_ROLL,2017/1F,45776,,,'')&lt;/Q&gt;&lt;R&gt;1&lt;/R&gt;&lt;C&gt;1&lt;/C&gt;&lt;D xsi:type="xsd:double"&gt;2163&lt;/D&gt;&lt;/FQL&gt;&lt;FQL&gt;&lt;Q&gt;Ticker0024^FE_ESTIMATE(CAPEX,MEAN,ANNUAL_ROLL,2016,45776,,,'')&lt;/Q&gt;&lt;R&gt;1&lt;/R&gt;&lt;C&gt;1&lt;/C&gt;&lt;D xsi:type="xsd:double"&gt;8343&lt;/D&gt;&lt;/FQL&gt;&lt;FQL&gt;&lt;Q&gt;Ticker0024^FE_ESTIMATE(CAPEX,MEAN,QUARTERLY_ROLL,2016/4F,45776,,,'')&lt;/Q&gt;&lt;R&gt;1&lt;/R&gt;&lt;C&gt;1&lt;/C&gt;&lt;D xsi:type="xsd:double"&gt;2655&lt;/D&gt;&lt;/FQL&gt;&lt;FQL&gt;&lt;Q&gt;Ticker0024^FE_ESTIMATE(CAPEX,MEAN,QUARTERLY_ROLL,2016/3F,45776,,,'')&lt;/Q&gt;&lt;R&gt;1&lt;/R&gt;&lt;C&gt;1&lt;/C&gt;&lt;D xsi:type="xsd:double"&gt;2308&lt;/D&gt;&lt;/FQL&gt;&lt;FQL&gt;&lt;Q&gt;Ticker0024^FE_ESTIMATE(CAPEX,MEAN,QUARTERLY_ROLL,2016/2F,45776,,,'')&lt;/Q&gt;&lt;R&gt;1&lt;/R&gt;&lt;C&gt;1&lt;/C&gt;&lt;D xsi:type="xsd:double"&gt;2024&lt;/D&gt;&lt;/FQL&gt;&lt;FQL&gt;&lt;Q&gt;Ticker0024^FE_ESTIMATE(CAPEX,MEAN,QUARTERLY_ROLL,2016/1F,45776,,,'')&lt;/Q&gt;&lt;R&gt;1&lt;/R&gt;&lt;C&gt;1&lt;/C&gt;&lt;D xsi:type="xsd:double"&gt;1356&lt;/D&gt;&lt;/FQL&gt;&lt;FQL&gt;&lt;Q&gt;Ticker0024^FE_ESTIMATE(CAPEX,MEAN,ANNUAL_ROLL,2015,45776,,,'')&lt;/Q&gt;&lt;R&gt;1&lt;/R&gt;&lt;C&gt;1&lt;/C&gt;&lt;D xsi:type="xsd:double"&gt;5944&lt;/D&gt;&lt;/FQL&gt;&lt;FQL&gt;&lt;Q&gt;Ticker0024^FE_ESTIMATE(CAPEX,MEAN,QUARTERLY_ROLL,2015/4F,45776,,,'')&lt;/Q&gt;&lt;R&gt;1&lt;/R&gt;&lt;C&gt;1&lt;/C&gt;&lt;D xsi:type="xsd:double"&gt;1781&lt;/D&gt;&lt;/FQL&gt;&lt;FQL&gt;&lt;Q&gt;Ticker0024^FE_ESTIMATE(CAPEX,MEAN,QUARTERLY_ROLL,2015/3F,45776,,,'')&lt;/Q&gt;&lt;R&gt;1&lt;/R&gt;&lt;C&gt;1&lt;/C&gt;&lt;D xsi:type="xsd:double"&gt;1391&lt;/D&gt;&lt;/FQL&gt;&lt;FQL&gt;&lt;Q&gt;Ticker0024^FE_ESTIMATE(CAPEX,MEAN,QUARTERLY_ROLL,2015/2F,45776,,,'')&lt;/Q&gt;&lt;R&gt;1&lt;/R&gt;&lt;C&gt;1&lt;/C&gt;&lt;D xsi:type="xsd:double"&gt;1490&lt;/D&gt;&lt;/FQL&gt;&lt;FQL&gt;&lt;Q&gt;Ticker0024^FE_ESTIMATE(CAPEX,MEAN,QUARTERLY_ROLL,2015/1F,45776,,,'')&lt;/Q&gt;&lt;R&gt;1&lt;/R&gt;&lt;C&gt;1&lt;/C&gt;&lt;D xsi:type="xsd:double"&gt;1282&lt;/D&gt;&lt;/FQL&gt;&lt;FQL&gt;&lt;Q&gt;Ticker0024^FE_ESTIMATE(CFO,MEAN,ANNUAL_ROLL,2030,45776,,,'')&lt;/Q&gt;&lt;R&gt;0&lt;/R&gt;&lt;C&gt;0&lt;/C&gt;&lt;/FQL&gt;&lt;FQL&gt;&lt;Q&gt;Ticker0024^FE_ESTIMATE(CFO,MEAN,QUARTERLY_ROLL,2030/4F,45776,,,'')&lt;/Q&gt;&lt;R&gt;0&lt;/R&gt;&lt;C&gt;0&lt;/C&gt;&lt;/FQL&gt;&lt;FQL&gt;&lt;Q&gt;Ticker0024^FE_ESTIMATE(CFO,MEAN,QUARTERLY_ROLL,2030/3F,45776,,,'')&lt;/Q&gt;&lt;R&gt;0&lt;/R&gt;&lt;C&gt;0&lt;/C&gt;&lt;/FQL&gt;&lt;FQL&gt;&lt;Q&gt;Ticker0024^FE_ESTIMATE(CFO,MEAN,QUARTERLY_ROLL,2030/2F,45776,,,'')&lt;/Q&gt;&lt;R&gt;0&lt;/R&gt;&lt;C&gt;0&lt;/C&gt;&lt;/FQL&gt;&lt;FQL&gt;&lt;Q&gt;Ticker0024^FE_ESTIMATE(CFO,MEAN,QUARTERLY_ROLL,2030/1F,45776,,,'')&lt;/Q&gt;&lt;R&gt;0&lt;/R&gt;&lt;C&gt;0&lt;/C&gt;&lt;/FQL&gt;&lt;FQL&gt;&lt;Q&gt;Ticker0024^FE_ESTIMATE(CFO,MEAN,ANNUAL_ROLL,2029,45776,,,'')&lt;/Q&gt;&lt;R&gt;0&lt;/R&gt;&lt;C&gt;0&lt;/C&gt;&lt;/FQL&gt;&lt;FQL&gt;&lt;Q&gt;Ticker0024^FE_ESTIMATE(CFO,MEAN,QUARTERLY_ROLL,2029/4F,45776,,,'')&lt;/Q&gt;&lt;R&gt;0&lt;/R&gt;&lt;C&gt;0&lt;/C&gt;&lt;/FQL&gt;&lt;FQL&gt;&lt;Q&gt;Ticker0024^FE_ESTIMATE(CFO,MEAN,QUARTERLY_ROLL,2029/3F,45776,,,'')&lt;/Q&gt;&lt;R&gt;0&lt;/R&gt;&lt;C&gt;0&lt;/C&gt;&lt;/FQL&gt;&lt;FQL&gt;&lt;Q&gt;Ticker0024^FE_ESTIMATE(CFO,MEAN,QUARTERLY_ROLL,2029/2F,45776,,,'')&lt;/Q&gt;&lt;R&gt;0&lt;/R&gt;&lt;C&gt;0&lt;/C&gt;&lt;/FQL&gt;&lt;FQL&gt;&lt;Q&gt;Ticker0024^FE_ESTIMATE(CFO,MEAN,QUARTERLY_ROLL,2029/1F,45776,,,'')&lt;/Q&gt;&lt;R&gt;0&lt;/R&gt;&lt;C&gt;0&lt;/C&gt;&lt;/FQL&gt;&lt;FQL&gt;&lt;Q&gt;Ticker0024^FE_ESTIMATE(CFO,MEAN,ANNUAL_ROLL,2028,45776,,,'')&lt;/Q&gt;&lt;R&gt;1&lt;/R&gt;&lt;C&gt;1&lt;/C&gt;&lt;D xsi:type="xsd:double"&gt;226816&lt;/D&gt;&lt;/FQL&gt;&lt;FQL&gt;&lt;Q&gt;Ticker0024^FE_ESTIMATE(CFO,MEAN,QUARTERLY_ROLL,2028/4F,45776,,,'')&lt;/Q&gt;&lt;R&gt;0&lt;/R&gt;&lt;C&gt;0&lt;/C&gt;&lt;/FQL&gt;&lt;FQL&gt;&lt;Q&gt;Ticker0024^FE_ESTIMATE(CFO,MEAN,QUARTERLY_ROLL,2028/3F,45776,,,'')&lt;/Q&gt;&lt;R&gt;0&lt;/R&gt;&lt;C&gt;0&lt;/C&gt;&lt;/FQL&gt;&lt;FQL&gt;&lt;Q&gt;Ticker0024^FE_ESTIMATE(CFO,MEAN,QUARTERLY_ROLL,2028/2F,45776,,,'')&lt;/Q&gt;&lt;R&gt;0&lt;/R&gt;&lt;C&gt;0&lt;/C&gt;&lt;/FQL&gt;&lt;FQL&gt;&lt;Q&gt;Ticker0024^FE_ESTIMATE(CFO,MEAN,QUARTERLY_ROLL,2028/1F,45776,,,'')&lt;/Q&gt;&lt;R&gt;0&lt;/R&gt;&lt;C&gt;0&lt;/C&gt;&lt;/FQL&gt;&lt;FQL&gt;&lt;Q&gt;Ticker0024^FE_ESTIMATE(CFO,MEAN,ANNUAL_ROLL,2027,45776,,,'')&lt;/Q&gt;&lt;R&gt;1&lt;/R&gt;&lt;C&gt;1&lt;/C&gt;&lt;D xsi:type="xsd:double"&gt;170885.28&lt;/D&gt;&lt;/FQL&gt;&lt;FQL&gt;&lt;Q&gt;Ticker0024^FE_ESTIMATE(CFO,MEAN,QUARTERLY_ROLL,2027/4F,45776,,,'')&lt;/Q&gt;&lt;R&gt;1&lt;/R&gt;&lt;C&gt;1&lt;/C&gt;&lt;D xsi:type="xsd:double"&gt;44364.332&lt;/D&gt;&lt;/FQL&gt;&lt;FQL&gt;&lt;Q&gt;Ticker0024^FE_ESTIMATE(CFO,MEAN,QUARTERLY_ROLL,2027/3F,45776,,,'')&lt;/Q&gt;&lt;R&gt;1&lt;/R&gt;&lt;C&gt;1&lt;/C&gt;&lt;D xsi:type="xsd:double"&gt;40902&lt;/D&gt;&lt;/FQL&gt;&lt;FQL&gt;&lt;Q&gt;Ticker0024^FE_ESTIMATE(CFO,MEAN,QUARTERLY_ROLL,2027/2F,45776,,,'')&lt;/Q&gt;&lt;R&gt;1&lt;/R&gt;&lt;C&gt;1&lt;/C&gt;&lt;D xsi:type="xsd:double"&gt;30646.666&lt;/D&gt;&lt;/FQL&gt;&lt;FQL&gt;&lt;Q&gt;Ticker0024^FE_ESTIMATE(CFO,MEAN,QUARTERLY_ROLL,2027/1F,45776,,,'')&lt;/Q&gt;&lt;R&gt;1&lt;/R&gt;&lt;C&gt;1&lt;/C&gt;&lt;D xsi:type="xsd:double"&gt;53132.332&lt;/D&gt;&lt;/FQL&gt;&lt;FQL&gt;&lt;Q&gt;Ticker0024^FE_ESTIMATE(CFO,MEAN,ANNUAL_ROLL,2026,45776,,,'')&lt;/Q&gt;&lt;R&gt;1&lt;/R&gt;&lt;C&gt;1&lt;/C&gt;&lt;D xsi:type="xsd:double"&gt;149269.02&lt;/D&gt;&lt;/FQL&gt;&lt;FQL&gt;&lt;Q&gt;Ticker0024^FE_ESTIMATE(CFO,MEAN,QUARTERLY_ROLL,2026/4F,45776,,,'')&lt;/Q&gt;&lt;R&gt;1&lt;/R&gt;&lt;C&gt;1&lt;/C&gt;&lt;D xsi:type="xsd:double"&gt;43052.625&lt;/D&gt;&lt;/FQL&gt;&lt;FQL&gt;&lt;Q&gt;Ticker0024^FE_ESTIMATE(CFO,MEAN,QUARTERLY_ROLL,2026/3F,45776,,,'')&lt;/Q&gt;&lt;R&gt;1&lt;/R&gt;&lt;C&gt;1&lt;/C&gt;&lt;D xsi:type="xsd:double"&gt;37066.125&lt;/D&gt;&lt;/FQL&gt;&lt;FQL&gt;&lt;Q&gt;Ticker0024^FE_ESTIMATE(CFO,MEAN,QUARTERLY_ROLL,2026/2F,45776,,,'')&lt;/Q&gt;&lt;R&gt;1&lt;/R&gt;&lt;C&gt;1&lt;/C&gt;&lt;D xsi:type="xsd:double"&gt;27832.6&lt;/D&gt;&lt;/FQL&gt;&lt;FQL&gt;&lt;Q&gt;Ticker0024^FE_ESTIMATE(CFO,MEAN,QUARTERLY_ROLL,2026/1F,45776,,,'')&lt;/Q&gt;&lt;R&gt;1&lt;/R&gt;&lt;C&gt;1&lt;/C&gt;&lt;D xsi:type="xsd:double"&gt;41189.3&lt;/D&gt;&lt;/FQL&gt;&lt;FQL&gt;&lt;Q&gt;Ticker0024^FE_ESTIMATE(CFO,MEAN,ANNUAL_ROLL,2025,45776,,,'')&lt;/Q&gt;&lt;R&gt;1&lt;/R&gt;&lt;C&gt;1&lt;/C&gt;&lt;D xsi:type="xsd:double"&gt;130437.22&lt;/D&gt;&lt;/FQL&gt;&lt;FQL&gt;&lt;Q&gt;Ticker0024^FE_ESTIMATE(CFO,MEAN,QUARTERLY_ROLL,2025/4F,45776,,,'')&lt;/Q&gt;&lt;R&gt;1&lt;/R&gt;&lt;C&gt;1&lt;/C&gt;&lt;D xsi:type="xsd:double"&gt;39524.445&lt;/D&gt;&lt;/FQL&gt;&lt;FQL&gt;&lt;Q&gt;Ticker0024^FE_ESTIMATE(CFO,MEAN,QUARTERLY_ROLL,2025/3F,45776,,,'')&lt;/Q&gt;&lt;R&gt;1&lt;/R&gt;&lt;C&gt;1&lt;/C&gt;&lt;D xsi:type="xsd:double"&gt;33981.01&lt;/D&gt;&lt;/FQL&gt;&lt;FQL&gt;&lt;Q&gt;Ticker0024^FE_ESTIMATE(CFO,MEAN,QUARTERLY_ROLL,2025/2F,45776,,,'')&lt;/Q&gt;&lt;R&gt;1&lt;/R&gt;&lt;C&gt;1&lt;/C&gt;&lt;D xsi:type="xsd:double"&gt;22290.938&lt;/D&gt;&lt;/FQL&gt;&lt;FQL&gt;&lt;Q&gt;Ticker0024^FE_ESTIMATE(CFO,MEAN,QUARTERLY_ROLL,2025/1F,45776,,,'')&lt;/Q&gt;&lt;R&gt;1&lt;/R&gt;&lt;C&gt;1&lt;/C&gt;&lt;D xsi:type="xsd:double"&gt;34180&lt;/D&gt;&lt;/FQL&gt;&lt;FQL&gt;&lt;Q&gt;Ticker0024^FE_ESTIMATE(CFO,MEAN,ANNUAL_ROLL,2024,45776,,,'')&lt;/Q&gt;&lt;R&gt;1&lt;/R&gt;&lt;C&gt;1&lt;/C&gt;&lt;D xsi:type="xsd:double"&gt;119091&lt;/D&gt;&lt;/FQL&gt;&lt;FQL&gt;&lt;Q&gt;Ticker0024^FE_ESTIMATE(CFO,MEAN,QUARTERLY_ROLL,2024/4F,45776,,,'')&lt;/Q&gt;&lt;R&gt;1&lt;/R&gt;&lt;C&gt;1&lt;/C&gt;&lt;D xsi:type="xsd:double"&gt;37195.355&lt;/D&gt;&lt;/FQL&gt;&lt;FQL&gt;&lt;Q&gt;Ticker0024^FE_ESTIMATE(CFO,MEAN,QUARTERLY_ROLL,2024/3F,45776,,,'')&lt;/Q&gt;&lt;R&gt;1&lt;/R&gt;&lt;C&gt;1&lt;/C&gt;&lt;D xsi:type="xsd:double"&gt;31917.176&lt;/D&gt;&lt;/FQL&gt;&lt;FQL&gt;&lt;Q&gt;Ticker0024^FE_ESTIMATE(CFO,MEAN,QUARTERLY_ROLL,2024/2F,45776,,,'')&lt;/Q&gt;&lt;R&gt;1&lt;/R&gt;&lt;C&gt;1&lt;/C&gt;&lt;D xsi:type="xsd:double"&gt;18855.445&lt;/D&gt;&lt;/FQL&gt;&lt;FQL&gt;&lt;Q&gt;Ticker0024^FE_ESTIMATE(CFO,MEAN,QUARTERLY_ROLL,2024/1F,45776,,,'')&lt;/Q&gt;&lt;R&gt;1&lt;/R&gt;&lt;C&gt;1&lt;/C&gt;&lt;D xsi:type="xsd:double"&gt;30578.588&lt;/D&gt;&lt;/FQL&gt;&lt;FQL&gt;&lt;Q&gt;Ticker0024^FE_ESTIMATE(CFO,MEAN,ANNUAL_ROLL,2023,45776,,,'')&lt;/Q&gt;&lt;R&gt;1&lt;/R&gt;&lt;C&gt;1&lt;/C&gt;&lt;D xsi:type="xsd:double"&gt;87714&lt;/D&gt;&lt;/FQL&gt;&lt;FQL&gt;&lt;Q&gt;Ticker0024^FE_ESTIMATE(CFO,MEAN,QUARTERLY_ROLL,2023/4F,45776,,,'')&lt;/Q&gt;&lt;R&gt;1&lt;/R&gt;&lt;C&gt;1&lt;/C&gt;&lt;D xsi:type="xsd:double"&gt;28504.813&lt;/D&gt;&lt;/FQL&gt;&lt;FQL&gt;&lt;Q&gt;Ticker0024^FE_ESTIMATE(CFO,MEAN,QUARTERLY_ROLL,2023/3F,45776,,,'')&lt;/Q&gt;&lt;R&gt;1&lt;/R&gt;&lt;C&gt;1&lt;/C&gt;&lt;D xsi:type="xsd:double"&gt;24325.75&lt;/D&gt;&lt;/FQL&gt;&lt;FQL&gt;&lt;Q&gt;Ticker0024^FE_ESTIMATE(CFO,MEAN,QUARTERLY_ROLL,2023/2F,45776,,,'')&lt;/Q&gt;&lt;R&gt;1&lt;/R&gt;&lt;C&gt;1&lt;/C&gt;&lt;D xsi:type="xsd:double"&gt;11172.8&lt;/D&gt;&lt;/FQL&gt;&lt;FQL&gt;&lt;Q&gt;Ticker0024^FE_ESTIMATE(CFO,MEAN,QUARTERLY_ROLL,2023/1F,45776,,,'')&lt;/Q&gt;&lt;R&gt;1&lt;/R&gt;&lt;C&gt;1&lt;/C&gt;&lt;D xsi:type="xsd:double"&gt;23330.53&lt;/D&gt;&lt;/FQL&gt;&lt;FQL&gt;&lt;Q&gt;Ticker0024^FE_ESTIMATE(CFO,MEAN,ANNUAL_ROLL,2022,45776,,,'')&lt;/Q&gt;&lt;R&gt;1&lt;/R&gt;&lt;C&gt;1&lt;/C&gt;&lt;D xsi:type="xsd:double"&gt;89044.74&lt;/D&gt;&lt;/FQL&gt;&lt;FQL&gt;&lt;Q&gt;Ticker0024^FE_ESTIMATE(CFO,MEAN,QUARTERLY_ROLL,2022/4F,45776,,,'')&lt;/Q&gt;&lt;R&gt;1&lt;/R&gt;&lt;C&gt;1&lt;/C&gt;&lt;D xsi:type="xsd:double"&gt;24629&lt;/D&gt;&lt;/FQL&gt;&lt;FQL&gt;&lt;Q&gt;Ticker0024^FE_ESTIMATE(CFO,MEAN,QUARTERLY_ROLL,2022/3F,45776,,,'')&lt;/Q&gt;&lt;R&gt;1&lt;/R&gt;&lt;C&gt;1&lt;/C&gt;&lt;D xsi:type="xsd:double"&gt;25386&lt;/D&gt;&lt;/FQL&gt;&lt;FQL&gt;&lt;Q&gt;Ticker0024^FE_ESTIMATE(CFO,MEAN,QUARTERLY_ROLL,2022/2F,45776,,,'')&lt;/Q&gt;&lt;R&gt;1&lt;/R&gt;&lt;C&gt;1&lt;/C&gt;&lt;D xsi:type="xsd:double"&gt;14480&lt;/D&gt;&lt;/FQL&gt;&lt;FQL&gt;&lt;Q&gt;Ticker0024^FE_ESTIMATE(CFO,MEAN,QUARTERLY_ROLL,2022/1F,45776,,,'')&lt;/Q&gt;&lt;R&gt;1&lt;/R&gt;&lt;C&gt;1&lt;/C&gt;&lt;D xsi:type="xsd:double"&gt;24540&lt;/D&gt;&lt;/FQL&gt;&lt;FQL&gt;&lt;Q&gt;Ticker0024^FE_ESTIMATE(CFO,MEAN,ANNUAL_ROLL,2021,45776,,,'')&lt;/Q&gt;&lt;R&gt;1&lt;/R&gt;&lt;C&gt;1&lt;/C&gt;&lt;D xsi:type="xsd:double"&gt;77615.55&lt;/D&gt;&lt;/FQL&gt;&lt;FQL&gt;&lt;Q&gt;Ticker0024^FE_ESTIMATE(CFO,MEAN,QUARTERLY_ROLL,2021/4F,45776,,,'')&lt;/Q&gt;&lt;R&gt;1&lt;/R&gt;&lt;C&gt;1&lt;/C&gt;&lt;D xsi:type="xsd:double"&gt;22710&lt;/D&gt;&lt;/FQL&gt;&lt;FQL&gt;&lt;Q&gt;Ticker0024^FE_ESTIMATE(CFO,MEAN,QUARTERLY_ROLL,2021/3F,45776,,,'')&lt;/Q&gt;&lt;R&gt;1&lt;/R&gt;&lt;C&gt;1&lt;/C&gt;&lt;D xsi:type="xsd:double"&gt;21909&lt;/D&gt;&lt;/FQL&gt;&lt;FQL&gt;&lt;Q&gt;Ticker0024^FE_ESTIMATE(CFO,MEAN,QUARTERLY_ROLL,2021/2F,45776,,,'')&lt;/Q&gt;&lt;R&gt;1&lt;/R&gt;&lt;C&gt;1&lt;/C&gt;&lt;D xsi:type="xsd:double"&gt;12516&lt;/D&gt;&lt;/FQL&gt;&lt;FQL&gt;&lt;Q&gt;Ticker0024^FE_ESTIMATE(CFO,MEAN,QUARTERLY_ROLL,2021/1F,45776,,,'')&lt;/Q&gt;&lt;R&gt;1&lt;/R&gt;&lt;C&gt;1&lt;/C&gt;&lt;D xsi:type="xsd:double"&gt;19151.9&lt;/D&gt;&lt;/FQL&gt;&lt;FQL&gt;&lt;Q&gt;Ticker0024^FE_ESTIMATE(CFO,MEAN,ANNUAL_ROLL,2020,45776,,,'')&lt;/Q&gt;&lt;R&gt;1&lt;/R&gt;&lt;C&gt;1&lt;/C&gt;&lt;D xsi:type="xsd:double"&gt;60473.91&lt;/D&gt;&lt;/FQL&gt;&lt;FQL&gt;&lt;Q&gt;Ticker0024^FE_ESTIMATE(CFO,MEAN,QUARTERLY_ROLL,2020/4F,45776,,,'')&lt;/Q&gt;&lt;R&gt;1&lt;/R&gt;&lt;C&gt;1&lt;/C&gt;&lt;D xsi:type="xsd:double"&gt;18673&lt;/D&gt;&lt;/FQL&gt;&lt;FQL&gt;&lt;Q&gt;Ticker0024^FE_ESTIMATE(CFO,MEAN,QUARTERLY_ROLL,2020/3F,45776,,,'')&lt;/Q&gt;&lt;R&gt;1&lt;/R&gt;&lt;C&gt;1&lt;/C&gt;&lt;D xsi:type="xsd:double"&gt;17507.223&lt;/D&gt;&lt;/FQL&gt;&lt;FQL&gt;&lt;Q&gt;Ticker0024^FE_ESTIMATE(CFO,MEAN,QUARTERLY_ROLL,2020/2F,45776,,,'')&lt;/Q&gt;&lt;R&gt;1&lt;/R&gt;&lt;C&gt;1&lt;/C&gt;&lt;D xsi:type="xsd:double"&gt;10680&lt;/D&gt;&lt;/FQL&gt;&lt;FQL&gt;&lt;Q&gt;Ticker0024^FE_ESTIMATE(CFO,MEAN,QUARTERLY_ROLL,2020/1F,45776,,,'')&lt;/Q&gt;&lt;R&gt;1&lt;/R&gt;&lt;C&gt;1&lt;/C&gt;&lt;D xsi:type="xsd:double"&gt;13818&lt;/D&gt;&lt;/FQL&gt;&lt;FQL&gt;&lt;Q&gt;Ticker0024^FE_ESTIMATE(CFO,MEAN,ANNUAL_ROLL,2019,45776,,,'')&lt;/Q&gt;&lt;R&gt;1&lt;/R&gt;&lt;C&gt;1&lt;/C&gt;&lt;D xsi:type="xsd:double"&gt;51866.285&lt;/D&gt;&lt;/FQL&gt;&lt;FQL&gt;&lt;Q&gt;Ticker0024^FE_ESTIMATE(CFO,MEAN,QUARTERLY_ROLL,2019/4F,45776,,,'')&lt;/Q&gt;&lt;R&gt;1&lt;/R&gt;&lt;C&gt;1&lt;/C&gt;&lt;D xsi:type="xsd:double"&gt;16108&lt;/D&gt;&lt;/FQL&gt;&lt;FQL&gt;&lt;Q&gt;Ticker0024^FE_ESTIMATE(CFO,MEAN,QUARTERLY_ROLL,2019/3F,45776,,,'')&lt;/Q&gt;&lt;R&gt;1&lt;/R&gt;&lt;C&gt;1&lt;/C&gt;&lt;D xsi:type="xsd:double"&gt;13520&lt;/D&gt;&lt;/FQL&gt;&lt;FQL&gt;&lt;Q&gt;Ticker0024^FE_ESTIMATE(CFO,MEAN,QUARTERLY_ROLL,2019/2F,45776,,,'')&lt;/Q&gt;&lt;R&gt;1&lt;/R&gt;&lt;C&gt;1&lt;/C&gt;&lt;D xsi:type="xsd:double"&gt;8854.25&lt;/D&gt;&lt;/FQL&gt;&lt;FQL&gt;&lt;Q&gt;Ticker0024^FE_ESTIMATE(CFO,MEAN,QUARTERLY_ROLL,2019/1F,45776,,,'')&lt;/Q&gt;&lt;R&gt;1&lt;/R&gt;&lt;C&gt;1&lt;/C&gt;&lt;D xsi:type="xsd:double"&gt;13284.637&lt;/D&gt;&lt;/FQL&gt;&lt;FQL&gt;&lt;Q&gt;Ticker0024^FE_ESTIMATE(CFO,MEAN,ANNUAL_ROLL,2018,45776,,,'')&lt;/Q&gt;&lt;R&gt;1&lt;/R&gt;&lt;C&gt;1&lt;/C&gt;&lt;D xsi:type="xsd:double"&gt;43558.848&lt;/D&gt;&lt;/FQL&gt;&lt;FQL&gt;&lt;Q&gt;Ticker0024^FE_ESTIMATE(CFO,MEAN,QUARTERLY_ROLL,2018/4F,45776,,,'')&lt;/Q&gt;&lt;R&gt;1&lt;/R&gt;&lt;C&gt;1&lt;/C&gt;&lt;D xsi:type="xsd:double"&gt;11606.333&lt;/D&gt;&lt;/FQL&gt;&lt;FQL&gt;&lt;Q&gt;Ticker0024^FE_ESTIMATE(CFO,MEAN,QUARTERLY_ROLL,2018/3F,45776,,,'')&lt;/Q&gt;&lt;R&gt;1&lt;/R&gt;&lt;C&gt;1&lt;/C&gt;&lt;D xsi:type="xsd:double"&gt;12151&lt;/D&gt;&lt;/FQL&gt;&lt;FQL&gt;&lt;Q&gt;Ticker0024^FE_ESTIMATE(CFO,MEAN,QUARTERLY_ROLL,2018/2F,45776,,,'')&lt;/Q&gt;&lt;R&gt;1&lt;/R&gt;&lt;C&gt;1&lt;/C&gt;&lt;D xsi:type="xsd:double"&gt;7875&lt;/D&gt;&lt;/FQL&gt;&lt;FQL&gt;&lt;Q&gt;Ticker0024^FE_ESTIMATE(CFO,MEAN,QUARTERLY_ROLL,2018/1F,45776,,,'')&lt;/Q&gt;&lt;R&gt;1&lt;/R&gt;&lt;C&gt;1&lt;/C&gt;&lt;D xsi:type="xsd:double"&gt;12440&lt;/D&gt;&lt;/FQL&gt;&lt;FQL&gt;&lt;Q&gt;Ticker0024^FE_ESTIMATE(CFO,MEAN,ANNUAL_ROLL,2017,45776,,,'')&lt;/Q&gt;&lt;R&gt;1&lt;/R&gt;&lt;C&gt;1&lt;/C&gt;&lt;D xsi:type="xsd:double"&gt;39507&lt;/D&gt;&lt;/FQL&gt;&lt;FQL&gt;&lt;Q&gt;Ticker0024^FE_ESTIMATE(CFO,MEAN,QUARTERLY_ROLL,2017/4F,45776,,,'')&lt;/Q&gt;&lt;R&gt;1&lt;/R&gt;&lt;C&gt;1&lt;/C&gt;&lt;D xsi:type="xsd:double"&gt;11005&lt;/D&gt;&lt;/FQL&gt;&lt;FQL&gt;&lt;Q&gt;Ticker0024^FE_ESTIMATE(CFO,MEAN,QUARTERLY_ROLL,2017/3F,45776,,,'')&lt;/Q&gt;&lt;R&gt;1&lt;/R&gt;&lt;C&gt;1&lt;/C&gt;&lt;D xsi:type="xsd:double"&gt;10660&lt;/D&gt;&lt;/FQL&gt;&lt;FQL&gt;&lt;Q&gt;Ticker0024^FE_ESTIMATE(CFO,MEAN,QUARTERLY_ROLL,2017/2F,45776,,,'')&lt;/Q&gt;&lt;R&gt;1&lt;/R&gt;&lt;C&gt;1&lt;/C&gt;&lt;D xsi:type="xsd:double"&gt;6293&lt;/D&gt;&lt;/FQL&gt;&lt;FQL&gt;&lt;Q&gt;Ticker0024^FE_ESTIMATE(CFO,MEAN,QUARTERLY_ROLL,2017/1F,45776,,,'')&lt;/Q&gt;&lt;R&gt;1&lt;/R&gt;&lt;C&gt;1&lt;/C&gt;&lt;D xsi:type="xsd:double"&gt;11549&lt;/D&gt;&lt;/FQL&gt;&lt;FQL&gt;&lt;Q&gt;Ticker0024^FE_ESTIMATE(CFO,MEAN,ANNUAL_ROLL,2016,45776,,,'')&lt;/Q&gt;&lt;R&gt;1&lt;/R&gt;&lt;C&gt;1&lt;/C&gt;&lt;D xsi:type="xsd:double"&gt;32872.5&lt;/D&gt;&lt;/FQL&gt;&lt;FQL&gt;&lt;Q&gt;Ticker0024^FE_ESTIMATE(CFO,MEAN,QUARTERLY_ROLL,2016/4F,45776,,,'')&lt;/Q&gt;&lt;R&gt;1&lt;/R&gt;&lt;C&gt;1&lt;/C&gt;&lt;D xsi:type="xsd:double"&gt;8464&lt;/D&gt;&lt;/FQL&gt;&lt;FQL&gt;&lt;Q&gt;Ticker0024^FE_ESTIMATE(CFO,MEAN,QUARTERLY_ROLL,2016/3F,45776,,,'')&lt;/Q&gt;&lt;R&gt;1&lt;/R&gt;&lt;C&gt;1&lt;/C&gt;&lt;D xsi:type="xsd:double"&gt;10367&lt;/D&gt;&lt;/FQL&gt;&lt;FQL&gt;&lt;Q&gt;Ticker0024^FE_ESTIMATE(CFO,MEAN,QUARTERLY_ROLL,2016/2F,45776,,,'')&lt;/Q&gt;&lt;R&gt;1&lt;/R&gt;&lt;C&gt;1&lt;/C&gt;&lt;D xsi:type="xsd:double"&gt;5598&lt;/D&gt;&lt;/FQL&gt;&lt;FQL&gt;&lt;Q&gt;Ticker0024^FE_ESTIMATE(CFO,MEAN,QUARTERLY_ROLL,2016/1F,45776,,,'')&lt;/Q&gt;&lt;R&gt;1&lt;/R&gt;&lt;C&gt;1&lt;/C&gt;&lt;D xsi:type="xsd:double"&gt;8550.5&lt;/D&gt;&lt;/FQL&gt;&lt;FQL&gt;&lt;Q&gt;Ticker0024^FE_ESTIMATE(CFO,MEAN,ANNUAL_ROLL,2015,45776,,,'')&lt;/Q&gt;&lt;R&gt;1&lt;/R&gt;&lt;C&gt;1&lt;/C&gt;&lt;D xsi:type="xsd:double"&gt;29510.059&lt;/D&gt;&lt;/FQL&gt;&lt;FQL&gt;&lt;Q&gt;Ticker0024^FE_ESTIMATE(CFO,MEAN,QUARTERLY_ROLL,2015/4F,45776,,,'')&lt;/Q&gt;&lt;R&gt;1&lt;/R&gt;&lt;C&gt;1&lt;/C&gt;&lt;D xs</t>
        </r>
      </text>
    </comment>
    <comment ref="A43" authorId="0" shapeId="0" xr:uid="{0BA447D9-1DFC-459D-9AB8-0AF410D286B5}">
      <text>
        <r>
          <rPr>
            <b/>
            <sz val="9"/>
            <color indexed="81"/>
            <rFont val="Tahoma"/>
            <family val="2"/>
          </rPr>
          <t>Author:type="xsd:double"&gt;7446.231&lt;/D&gt;&lt;/FQL&gt;&lt;FQL&gt;&lt;Q&gt;Ticker0024^FE_ESTIMATE(CFO,MEAN,QUARTERLY_ROLL,2015/3F,45776,,,'')&lt;/Q&gt;&lt;R&gt;1&lt;/R&gt;&lt;C&gt;1&lt;/C&gt;&lt;D xsi:type="xsd:double"&gt;9570&lt;/D&gt;&lt;/FQL&gt;&lt;FQL&gt;&lt;Q&gt;Ticker0024^FE_ESTIMATE(CFO,MEAN,QUARTERLY_ROLL,2015/2F,45776,,,'')&lt;/Q&gt;&lt;R&gt;1&lt;/R&gt;&lt;C&gt;1&lt;/C&gt;&lt;D xsi:type="xsd:double"&gt;4340&lt;/D&gt;&lt;/FQL&gt;&lt;FQL&gt;&lt;Q&gt;Ticker0024^FE_ESTIMATE(CFO,MEAN,QUARTERLY_ROLL,2015/1F,45776,,,'')&lt;/Q&gt;&lt;R&gt;1&lt;/R&gt;&lt;C&gt;1&lt;/C&gt;&lt;D xsi:type="xsd:double"&gt;8354&lt;/D&gt;&lt;/FQL&gt;&lt;FQL&gt;&lt;Q&gt;Ticker0024^FE_ESTIMATE(EPS,MEAN,ANNUAL_ROLL,2030,45776,,,'')&lt;/Q&gt;&lt;R&gt;0&lt;/R&gt;&lt;C&gt;0&lt;/C&gt;&lt;/FQL&gt;&lt;FQL&gt;&lt;Q&gt;Ticker0024^FE_ESTIMATE(EPS,MEAN,QUARTERLY_ROLL,2030/4F,45776,,,'')&lt;/Q&gt;&lt;R&gt;0&lt;/R&gt;&lt;C&gt;0&lt;/C&gt;&lt;/FQL&gt;&lt;FQL&gt;&lt;Q&gt;Ticker0024^FE_ESTIMATE(EPS,MEAN,QUARTERLY_ROLL,2030/3F,45776,,,'')&lt;/Q&gt;&lt;R&gt;0&lt;/R&gt;&lt;C&gt;0&lt;/C&gt;&lt;/FQL&gt;&lt;FQL&gt;&lt;Q&gt;Ticker0024^FE_ESTIMATE(EPS,MEAN,QUARTERLY_ROLL,2030/2F,45776,,,'')&lt;/Q&gt;&lt;R&gt;0&lt;/R&gt;&lt;C&gt;0&lt;/C&gt;&lt;/FQL&gt;&lt;FQL&gt;&lt;Q&gt;Ticker0024^FE_ESTIMATE(EPS,MEAN,QUARTERLY_ROLL,2030/1F,45776,,,'')&lt;/Q&gt;&lt;R&gt;0&lt;/R&gt;&lt;C&gt;0&lt;/C&gt;&lt;/FQL&gt;&lt;FQL&gt;&lt;Q&gt;Ticker0024^FE_ESTIMATE(EPS,MEAN,ANNUAL_ROLL,2029,45776,,,'')&lt;/Q&gt;&lt;R&gt;1&lt;/R&gt;&lt;C&gt;1&lt;/C&gt;&lt;D xsi:type="xsd:double"&gt;24.15&lt;/D&gt;&lt;/FQL&gt;&lt;FQL&gt;&lt;Q&gt;Ticker0024^FE_ESTIMATE(EPS,MEAN,QUARTERLY_ROLL,2029/4F,45776,,,'')&lt;/Q&gt;&lt;R&gt;0&lt;/R&gt;&lt;C&gt;0&lt;/C&gt;&lt;/FQL&gt;&lt;FQL&gt;&lt;Q&gt;Ticker0024^FE_ESTIMATE(EPS,MEAN,QUARTERLY_ROLL,2029/3F,45776,,,'')&lt;/Q&gt;&lt;R&gt;0&lt;/R&gt;&lt;C&gt;0&lt;/C&gt;&lt;/FQL&gt;&lt;FQL&gt;&lt;Q&gt;Ticker0024^FE_ESTIMATE(EPS,MEAN,QUARTERLY_ROLL,2029/2F,45776,,,'')&lt;/Q&gt;&lt;R&gt;0&lt;/R&gt;&lt;C&gt;0&lt;/C&gt;&lt;/FQL&gt;&lt;FQL&gt;&lt;Q&gt;Ticker0024^FE_ESTIMATE(EPS,MEAN,QUARTERLY_ROLL,2029/1F,45776,,,'')&lt;/Q&gt;&lt;R&gt;0&lt;/R&gt;&lt;C&gt;0&lt;/C&gt;&lt;/FQL&gt;&lt;FQL&gt;&lt;Q&gt;Ticker0024^FE_ESTIMATE(EPS,MEAN,ANNUAL_ROLL,2028,45776,,,'')&lt;/Q&gt;&lt;R&gt;1&lt;/R&gt;&lt;C&gt;1&lt;/C&gt;&lt;D xsi:type="xsd:double"&gt;20.015442&lt;/D&gt;&lt;/FQL&gt;&lt;FQL&gt;&lt;Q&gt;Ticker0024^FE_ESTIMATE(EPS,MEAN,QUARTERLY_ROLL,2028/4F,45776,,,'')&lt;/Q&gt;&lt;R&gt;0&lt;/R&gt;&lt;C&gt;0&lt;/C&gt;&lt;/FQL&gt;&lt;FQL&gt;&lt;Q&gt;Ticker0024^FE_ESTIMATE(EPS,MEAN,QUARTERLY_ROLL,2028/3F,45776,,,'')&lt;/Q&gt;&lt;R&gt;0&lt;/R&gt;&lt;C&gt;0&lt;/C&gt;&lt;/FQL&gt;&lt;FQL&gt;&lt;Q&gt;Ticker0024^FE_ESTIMATE(EPS,MEAN,QUARTERLY_ROLL,2028/2F,45776,,,'')&lt;/Q&gt;&lt;R&gt;0&lt;/R&gt;&lt;C&gt;0&lt;/C&gt;&lt;/FQL&gt;&lt;FQL&gt;&lt;Q&gt;Ticker0024^FE_ESTIMATE(EPS,MEAN,QUARTERLY_ROLL,2028/1F,45776,,,'')&lt;/Q&gt;&lt;R&gt;0&lt;/R&gt;&lt;C&gt;0&lt;/C&gt;&lt;/FQL&gt;&lt;FQL&gt;&lt;Q&gt;Ticker0024^FE_ESTIMATE(EPS,MEAN,ANNUAL_ROLL,2027,45776,,,'')&lt;/Q&gt;&lt;R&gt;1&lt;/R&gt;&lt;C&gt;1&lt;/C&gt;&lt;D xsi:type="xsd:double"&gt;17.575825&lt;/D&gt;&lt;/FQL&gt;&lt;FQL&gt;&lt;Q&gt;Ticker0024^FE_ESTIMATE(EPS,MEAN,QUARTERLY_ROLL,2027/4F,45776,,,'')&lt;/Q&gt;&lt;R&gt;1&lt;/R&gt;&lt;C&gt;1&lt;/C&gt;&lt;D xsi:type="xsd:double"&gt;4.4741325&lt;/D&gt;&lt;/FQL&gt;&lt;FQL&gt;&lt;Q&gt;Ticker0024^FE_ESTIMATE(EPS,MEAN,QUARTERLY_ROLL,2027/3F,45776,,,'')&lt;/Q&gt;&lt;R&gt;1&lt;/R&gt;&lt;C&gt;1&lt;/C&gt;&lt;D xsi:type="xsd:double"&gt;4.2367997&lt;/D&gt;&lt;/FQL&gt;&lt;FQL&gt;&lt;Q&gt;Ticker0024^FE_ESTIMATE(EPS,MEAN,QUARTERLY_ROLL,2027/2F,45776,,,'')&lt;/Q&gt;&lt;R&gt;1&lt;/R&gt;&lt;C&gt;1&lt;/C&gt;&lt;D xsi:type="xsd:double"&gt;4.309489&lt;/D&gt;&lt;/FQL&gt;&lt;FQL&gt;&lt;Q&gt;Ticker0024^FE_ESTIMATE(EPS,MEAN,QUARTERLY_ROLL,2027/1F,45776,,,'')&lt;/Q&gt;&lt;R&gt;1&lt;/R&gt;&lt;C&gt;1&lt;/C&gt;&lt;D xsi:type="xsd:double"&gt;4.134915&lt;/D&gt;&lt;/FQL&gt;&lt;FQL&gt;&lt;Q&gt;Ticker0024^FE_ESTIMATE(EPS,MEAN,ANNUAL_ROLL,2026,45776,,,'')&lt;/Q&gt;&lt;R&gt;1&lt;/R&gt;&lt;C&gt;1&lt;/C&gt;&lt;D xsi:type="xsd:double"&gt;14.858006&lt;/D&gt;&lt;/FQL&gt;&lt;FQL&gt;&lt;Q&gt;Ticker0024^FE_ESTIMATE(EPS,MEAN,QUARTERLY_ROLL,2026/4F,45776,,,'')&lt;/Q&gt;&lt;R&gt;1&lt;/R&gt;&lt;C&gt;1&lt;/C&gt;&lt;D xsi:type="xsd:double"&gt;3.8204186&lt;/D&gt;&lt;/FQL&gt;&lt;FQL&gt;&lt;Q&gt;Ticker0024^FE_ESTIMATE(EPS,MEAN,QUARTERLY_ROLL,2026/3F,45776,,,'')&lt;/Q&gt;&lt;R&gt;1&lt;/R&gt;&lt;C&gt;1&lt;/C&gt;&lt;D xsi:type="xsd:double"&gt;3.629226&lt;/D&gt;&lt;/FQL&gt;&lt;FQL&gt;&lt;Q&gt;Ticker0024^FE_ESTIMATE(EPS,MEAN,QUARTERLY_ROLL,2026/2F,45776,,,'')&lt;/Q&gt;&lt;R&gt;1&lt;/R&gt;&lt;C&gt;1&lt;/C&gt;&lt;D xsi:type="xsd:double"&gt;3.696944&lt;/D&gt;&lt;/FQL&gt;&lt;FQL&gt;&lt;Q&gt;Ticker0024^FE_ESTIMATE(EPS,MEAN,QUARTERLY_ROLL,2026/1F,45776,,,'')&lt;/Q&gt;&lt;R&gt;1&lt;/R&gt;&lt;C&gt;1&lt;/C&gt;&lt;D xsi:type="xsd:double"&gt;3.542708&lt;/D&gt;&lt;/FQL&gt;&lt;FQL&gt;&lt;Q&gt;Ticker0024^FE_ESTIMATE(EPS,MEAN,ANNUAL_ROLL,2025,45776,,,'')&lt;/Q&gt;&lt;R&gt;1&lt;/R&gt;&lt;C&gt;1&lt;/C&gt;&lt;D xsi:type="xsd:double"&gt;13.151084&lt;/D&gt;&lt;/FQL&gt;&lt;FQL&gt;&lt;Q&gt;Ticker0024^FE_ESTIMATE(EPS,MEAN,QUARTERLY_ROLL,2025/4F,45776,,,'')&lt;/Q&gt;&lt;R&gt;1&lt;/R&gt;&lt;C&gt;1&lt;/C&gt;&lt;D xsi:type="xsd:double"&gt;3.3215325&lt;/D&gt;&lt;/FQL&gt;&lt;FQL&gt;&lt;Q&gt;Ticker0024^FE_ESTIMATE(EPS,MEAN,QUARTERLY_ROLL,2025/3F,45776,,,'')&lt;/Q&gt;&lt;R&gt;1&lt;/R&gt;&lt;C&gt;1&lt;/C&gt;&lt;D xsi:type="xsd:double"&gt;3.222219&lt;/D&gt;&lt;/FQL&gt;&lt;FQL&gt;&lt;Q&gt;Ticker0024^FE_ESTIMATE(EPS,MEAN,QUARTERLY_ROLL,2025/2F,45776,,,'')&lt;/Q&gt;&lt;R&gt;1&lt;/R&gt;&lt;C&gt;1&lt;/C&gt;&lt;D xsi:type="xsd:double"&gt;3.23&lt;/D&gt;&lt;/FQL&gt;&lt;FQL&gt;&lt;Q&gt;Ticker0024^FE_ESTIMATE(EPS,MEAN,QUARTERLY_ROLL,2025/1F,45776,,,'')&lt;/Q&gt;&lt;R&gt;1&lt;/R&gt;&lt;C&gt;1&lt;/C&gt;&lt;D xsi:type="xsd:double"&gt;3.3&lt;/D&gt;&lt;/FQL&gt;&lt;FQL&gt;&lt;Q&gt;Ticker0024^FE_ESTIMATE(EPS,MEAN,ANNUAL_ROLL,2024,45776,,,'')&lt;/Q&gt;&lt;R&gt;1&lt;/R&gt;&lt;C&gt;1&lt;/C&gt;&lt;D xsi:type="xsd:double"&gt;11.8&lt;/D&gt;&lt;/FQL&gt;&lt;FQL&gt;&lt;Q&gt;Ticker0024^FE_ESTIMATE(EPS,MEAN,QUARTERLY_ROLL,2024/4F,45776,,,'')&lt;/Q&gt;&lt;R&gt;1&lt;/R&gt;&lt;C&gt;1&lt;/C&gt;&lt;D xsi:type="xsd:double"&gt;2.95&lt;/D&gt;&lt;/FQL&gt;&lt;FQL&gt;&lt;Q&gt;Ticker0024^FE_ESTIMATE(EPS,MEAN,QUARTERLY_ROLL,2024/3F,45776,,,'')&lt;/Q&gt;&lt;R&gt;1&lt;/R&gt;&lt;C&gt;1&lt;/C&gt;&lt;D xsi:type="xsd:double"&gt;2.94&lt;/D&gt;&lt;/FQL&gt;&lt;FQL&gt;&lt;Q&gt;Ticker0024^FE_ESTIMATE(EPS,MEAN,QUARTERLY_ROLL,2024/2F,45776,,,'')&lt;/Q&gt;&lt;R&gt;1&lt;/R&gt;&lt;C&gt;1&lt;/C&gt;&lt;D xsi:type="xsd:double"&gt;2.93&lt;/D&gt;&lt;/FQL&gt;&lt;FQL&gt;&lt;Q&gt;Ticker0024^FE_ESTIMATE(EPS,MEAN,QUARTERLY_ROLL,2024/1F,45776,,,'')&lt;/Q&gt;&lt;R&gt;1&lt;/R&gt;&lt;C&gt;1&lt;/C&gt;&lt;D xsi:type="xsd:double"&gt;2.99&lt;/D&gt;&lt;/FQL&gt;&lt;FQL&gt;&lt;Q&gt;Ticker0024^FE_ESTIMATE(EPS,MEAN,ANNUAL_ROLL,2023,45776,,,'')&lt;/Q&gt;&lt;R&gt;1&lt;/R&gt;&lt;C&gt;1&lt;/C&gt;&lt;D xsi:type="xsd:double"&gt;9.81&lt;/D&gt;&lt;/FQL&gt;&lt;FQL&gt;&lt;Q&gt;Ticker0024^FE_ESTIMATE(EPS,MEAN,QUARTERLY_ROLL,2023/4F,45776,,,'')&lt;/Q&gt;&lt;R&gt;1&lt;/R&gt;&lt;C&gt;1&lt;/C&gt;&lt;D xsi:type="xsd:double"&gt;2.69&lt;/D&gt;&lt;/FQL&gt;&lt;FQL&gt;&lt;Q&gt;Ticker0024^FE_ESTIMATE(EPS,MEAN,QUARTERLY_ROLL,2023/3F,45776,,,'')&lt;/Q&gt;&lt;R&gt;1&lt;/R&gt;&lt;C&gt;1&lt;/C&gt;&lt;D xsi:type="xsd:double"&gt;2.45&lt;/D&gt;&lt;/FQL&gt;&lt;FQL&gt;&lt;Q&gt;Ticker0024^FE_ESTIMATE(EPS,MEAN,QUARTERLY_ROLL,2023/2F,45776,,,'')&lt;/Q&gt;&lt;R&gt;1&lt;/R&gt;&lt;C&gt;1&lt;/C&gt;&lt;D xsi:type="xsd:double"&gt;2.32&lt;/D&gt;&lt;/FQL&gt;&lt;FQL&gt;&lt;Q&gt;Ticker0024^FE_ESTIMATE(EPS,MEAN,QUARTERLY_ROLL,2023/1F,45776,,,'')&lt;/Q&gt;&lt;R&gt;1&lt;/R&gt;&lt;C&gt;1&lt;/C&gt;&lt;D xsi:type="xsd:double"&gt;2.35&lt;/D&gt;&lt;/FQL&gt;&lt;FQL&gt;&lt;Q&gt;Ticker0024^FE_ESTIMATE(EPS,MEAN,ANNUAL_ROLL,2022,45776,,,'')&lt;/Q&gt;&lt;R&gt;1&lt;/R&gt;&lt;C&gt;1&lt;/C&gt;&lt;D xsi:type="xsd:double"&gt;9.21&lt;/D&gt;&lt;/FQL&gt;&lt;FQL&gt;&lt;Q&gt;Ticker0024^FE_ESTIMATE(EPS,MEAN,QUARTERLY_ROLL,2022/4F,45776,,,'')&lt;/Q&gt;&lt;R&gt;1&lt;/R&gt;&lt;C&gt;1&lt;/C&gt;&lt;D xsi:type="xsd:double"&gt;2.23&lt;/D&gt;&lt;/FQL&gt;&lt;FQL&gt;&lt;Q&gt;Ticker0024^FE_ESTIMATE(EPS,MEAN,QUARTERLY_ROLL,2022/3F,45776,,,'')&lt;/Q&gt;&lt;R&gt;1&lt;/R&gt;&lt;C&gt;1&lt;/C&gt;&lt;D xsi:type="xsd:double"&gt;2.22&lt;/D&gt;&lt;/FQL&gt;&lt;FQL&gt;&lt;Q&gt;Ticker0024^FE_ESTIMATE(EPS,MEAN,QUARTERLY_ROLL,2022/2F,45776,,,'')&lt;/Q&gt;&lt;R&gt;1&lt;/R&gt;&lt;C&gt;1&lt;/C&gt;&lt;D xsi:type="xsd:double"&gt;2.48&lt;/D&gt;&lt;/FQL&gt;&lt;FQL&gt;&lt;Q&gt;Ticker0024^FE_ESTIMATE(EPS,MEAN,QUARTERLY_ROLL,2022/1F,45776,,,'')&lt;/Q&gt;&lt;R&gt;1&lt;/R&gt;&lt;C&gt;1&lt;/C&gt;&lt;D xsi:type="xsd:double"&gt;2.27&lt;/D&gt;&lt;/FQL&gt;&lt;FQL&gt;&lt;Q&gt;Ticker0024^FE_ESTIMATE(EPS,MEAN,ANNUAL_ROLL,2021,45776,,,'')&lt;/Q&gt;&lt;R&gt;1&lt;/R&gt;&lt;C&gt;1&lt;/C&gt;&lt;D xsi:type="xsd:double"&gt;7.97&lt;/D&gt;&lt;/FQL&gt;&lt;FQL&gt;&lt;Q&gt;Ticker0024^FE_ESTIMATE(EPS,MEAN,QUARTERLY_ROLL,2021/4F,45776,,,'')&lt;/Q&gt;&lt;R&gt;1&lt;/R&gt;&lt;C&gt;1&lt;/C&gt;&lt;D xsi:type="xsd:double"&gt;2.17&lt;/D&gt;&lt;/FQL&gt;&lt;FQL&gt;&lt;Q&gt;Ticker0024^FE_ESTIMATE(EPS,MEAN,QUARTERLY_ROLL,2021/3F,45776,,,'')&lt;/Q&gt;&lt;R&gt;1&lt;/R&gt;&lt;C&gt;1&lt;/C&gt;&lt;D xsi:type="xsd:double"&gt;1.95&lt;/D&gt;&lt;/FQL&gt;&lt;FQL&gt;&lt;Q&gt;Ticker0024^FE_ESTIMATE(EPS,MEAN,QUARTERLY_ROLL,2021/2F,45776,,,'')&lt;/Q&gt;&lt;R&gt;1&lt;/R&gt;&lt;C&gt;1&lt;/C&gt;&lt;D xsi:type="xsd:double"&gt;2.03&lt;/D&gt;&lt;/FQL&gt;&lt;FQL&gt;&lt;Q&gt;Ticker0024^FE_ESTIMATE(EPS,MEAN,QUARTERLY_ROLL,2021/1F,45776,,,'')&lt;/Q&gt;&lt;R&gt;1&lt;/R&gt;&lt;C&gt;1&lt;/C&gt;&lt;D xsi:type="xsd:double"&gt;1.82&lt;/D&gt;&lt;/FQL&gt;&lt;FQL&gt;&lt;Q&gt;Ticker0024^FE_ESTIMATE(EPS,MEAN,ANNUAL_ROLL,2020,45776,,,'')&lt;/Q&gt;&lt;R&gt;1&lt;/R&gt;&lt;C&gt;1&lt;/C&gt;&lt;D xsi:type="xsd:double"&gt;5.76&lt;/D&gt;&lt;/FQL&gt;&lt;FQL&gt;&lt;Q&gt;Ticker0024^FE_ESTIMATE(EPS,MEAN,QUARTERLY_ROLL,2020/4F,45776,,,'')&lt;/Q&gt;&lt;R&gt;1&lt;/R&gt;&lt;C&gt;1&lt;/C&gt;&lt;D xsi:type="xsd:double"&gt;1.46&lt;/D&gt;&lt;/FQL&gt;&lt;FQL&gt;&lt;Q&gt;Ticker0024^FE_ESTIMATE(EPS,MEAN,QUARTERLY_ROLL,2020/3F,45776,,,'')&lt;/Q&gt;&lt;R&gt;1&lt;/R&gt;&lt;C&gt;1&lt;/C&gt;&lt;D xsi:type="xsd:double"&gt;1.4&lt;/D&gt;&lt;/FQL&gt;&lt;FQL&gt;&lt;Q&gt;Ticker0024^FE_ESTIMATE(EPS,MEAN,QUARTERLY_ROLL,2020/2F,45776,,,'')&lt;/Q&gt;&lt;R&gt;1&lt;/R&gt;&lt;C&gt;1&lt;/C&gt;&lt;D xsi:type="xsd:double"&gt;1.51&lt;/D&gt;&lt;/FQL&gt;&lt;FQL&gt;&lt;Q&gt;Ticker0024^FE_ESTIMATE(EPS,MEAN,QUARTERLY_ROLL,2020/1F,45776,,,'')&lt;/Q&gt;&lt;R&gt;1&lt;/R&gt;&lt;C&gt;1&lt;/C&gt;&lt;D xsi:type="xsd:double"&gt;1.38&lt;/D&gt;&lt;/FQL&gt;&lt;FQL&gt;&lt;Q&gt;Ticker0024^FE_ESTIMATE(EPS,MEAN,ANNUAL_ROLL,2019,45776,,,'')&lt;/Q&gt;&lt;R&gt;1&lt;/R&gt;&lt;C&gt;1&lt;/C&gt;&lt;D xsi:type="xsd:double"&gt;4.75&lt;/D&gt;&lt;/FQL&gt;&lt;FQL&gt;&lt;Q&gt;Ticker0024^FE_ESTIMATE(EPS,MEAN,QUARTERLY_ROLL,2019/4F,45776,,,'')&lt;/Q&gt;&lt;R&gt;1&lt;/R&gt;&lt;C&gt;1&lt;/C&gt;&lt;D xsi:type="xsd:double"&gt;1.37&lt;/D&gt;&lt;/FQL&gt;&lt;FQL&gt;&lt;Q&gt;Ticker0024^FE_ESTIMATE(EPS,MEAN,QUARTERLY_ROLL,2019/3F,45776,,,'')&lt;/Q&gt;&lt;R&gt;1&lt;/R&gt;&lt;C&gt;1&lt;/C&gt;&lt;D xsi:type="xsd:double"&gt;1.14&lt;/D&gt;&lt;/FQL&gt;&lt;FQL&gt;&lt;Q&gt;Ticker0024^FE_ESTIMATE(EPS,MEAN,QUARTERLY_ROLL,2019/2F,45776,,,'')&lt;/Q&gt;&lt;R&gt;1&lt;/R&gt;&lt;C&gt;1&lt;/C&gt;&lt;D xsi:type="xsd:double"&gt;1.1&lt;/D&gt;&lt;/FQL&gt;&lt;FQL&gt;&lt;Q&gt;Ticker0024^FE_ESTIMATE(EPS,MEAN,QUARTERLY_ROLL,2019/1F,45776,,,'')&lt;/Q&gt;&lt;R&gt;1&lt;/R&gt;&lt;C&gt;1&lt;/C&gt;&lt;D xsi:type="xsd:double"&gt;1.14&lt;/D&gt;&lt;/FQL&gt;&lt;FQL&gt;&lt;Q&gt;Ticker0024^FE_ESTIMATE(EPS,MEAN,ANNUAL_ROLL,2018,45776,,,'')&lt;/Q&gt;&lt;R&gt;1&lt;/R&gt;&lt;C&gt;1&lt;/C&gt;&lt;D xsi:type="xsd:double"&gt;3.88&lt;/D&gt;&lt;/FQL&gt;&lt;FQL&gt;&lt;Q&gt;Ticker0024^FE_ESTIMATE(EPS,MEAN,QUARTERLY_ROLL,2018/4F,45776,,,'')&lt;/Q&gt;&lt;R&gt;1&lt;/R&gt;&lt;C&gt;1&lt;/C&gt;&lt;D xsi:type="xsd:double"&gt;1.13&lt;/D&gt;&lt;/FQL&gt;&lt;FQL&gt;&lt;Q&gt;Ticker0024^FE_ESTIMATE(EPS,MEAN,QUARTERLY_ROLL,2018/3F,45776,,,'')&lt;/Q&gt;&lt;R&gt;1&lt;/R&gt;&lt;C&gt;1&lt;/C&gt;&lt;D xsi:type="xsd:double"&gt;0.95&lt;/D&gt;&lt;/FQL&gt;&lt;FQL&gt;&lt;Q&gt;Ticker0024^FE_ESTIMATE(EPS,MEAN,QUARTERLY_ROLL,2018/2F,45776,,,'')&lt;/Q&gt;&lt;R&gt;1&lt;/R&gt;&lt;C&gt;1&lt;/C&gt;&lt;D xsi:type="xsd:double"&gt;0.96&lt;/D&gt;&lt;/FQL&gt;&lt;FQL&gt;&lt;Q&gt;Ticker0024^FE_ESTIMATE(EPS,MEAN,QUARTERLY_ROLL,2018/1F,45776,,,'')&lt;/Q&gt;&lt;R&gt;1&lt;/R&gt;&lt;C&gt;1&lt;/C&gt;&lt;D xsi:type="xsd:double"&gt;0.84&lt;/D&gt;&lt;/FQL&gt;&lt;FQL&gt;&lt;Q&gt;Ticker0024^FE_ESTIMATE(EPS,MEAN,ANNUAL_ROLL,2017,45776,,,'')&lt;/Q&gt;&lt;R&gt;1&lt;/R&gt;&lt;C&gt;1&lt;/C&gt;&lt;D xsi:type="xsd:double"&gt;3.31&lt;/D&gt;&lt;/FQL&gt;&lt;FQL&gt;&lt;Q&gt;Ticker0024^FE_ESTIMATE(EPS,MEAN,QUARTERLY_ROLL,2017/4F,45776,,,'')&lt;/Q&gt;&lt;R&gt;1&lt;/R&gt;&lt;C&gt;1&lt;/C&gt;&lt;D xsi:type="xsd:double"&gt;0.98&lt;/D&gt;&lt;/FQL&gt;&lt;FQL&gt;&lt;Q&gt;Ticker0024^FE_ESTIMATE(EPS,MEAN,QUARTERLY_ROLL,2017/3F,45776,,,'')&lt;/Q&gt;&lt;R&gt;1&lt;/R&gt;&lt;C&gt;1&lt;/C&gt;&lt;D xsi:type="xsd:double"&gt;0.73&lt;/D&gt;&lt;/FQL&gt;&lt;FQL&gt;&lt;Q&gt;Ticker0024^FE_ESTIMATE(EPS,MEAN,QUARTERLY_ROLL,2017/2F,45776,,,'')&lt;/Q&gt;&lt;R&gt;1&lt;/R&gt;&lt;C&gt;1&lt;/C&gt;&lt;D xsi:type="xsd:double"&gt;0.83&lt;/D&gt;&lt;/FQL&gt;&lt;FQL&gt;&lt;Q&gt;Ticker0024^FE_ESTIMATE(EPS,MEAN,QUARTERLY_ROLL,2017/1F,45776,,,'')&lt;/Q&gt;&lt;R&gt;1&lt;/R&gt;&lt;C&gt;1&lt;/C&gt;&lt;D xsi:type="xsd:double"&gt;0.76&lt;/D&gt;&lt;/FQL&gt;&lt;FQL&gt;&lt;Q&gt;Ticker0024^FE_ESTIMATE(EPS,MEAN,ANNUAL_ROLL,2016,45776,,,'')&lt;/Q&gt;&lt;R&gt;1&lt;/R&gt;&lt;C&gt;1&lt;/C&gt;&lt;D xsi:type="xsd:double"&gt;2.79&lt;/D&gt;&lt;/FQL&gt;&lt;FQL&gt;&lt;Q&gt;Ticker0024^FE_ESTIMATE(EPS,MEAN,QUARTERLY_ROLL,2016/4F,45776,,,'')&lt;/Q&gt;&lt;R&gt;1&lt;/R&gt;&lt;C&gt;1&lt;/C&gt;&lt;D xsi:type="xsd:double"&gt;0.69&lt;/D&gt;&lt;/FQL&gt;&lt;FQL&gt;&lt;Q&gt;Ticker0024^FE_ESTIMATE(EPS,MEAN,QUARTERLY_ROLL,2016/3F,45776,,,'')&lt;/Q&gt;&lt;R&gt;1&lt;/R&gt;&lt;C&gt;1&lt;/C&gt;&lt;D xsi:type="xsd:double"&gt;0.62&lt;/D&gt;&lt;/FQL&gt;&lt;FQL&gt;&lt;Q&gt;Ticker0024^FE_ESTIMATE(EPS,MEAN,QUARTERLY_ROLL,2016/2F,45776,,,'')&lt;/Q&gt;&lt;R&gt;1&lt;/R&gt;&lt;C&gt;1&lt;/C&gt;&lt;D xsi:type="xsd:double"&gt;0.78&lt;/D&gt;&lt;/FQL&gt;&lt;FQL&gt;&lt;Q&gt;Ticker0024^FE_ESTIMATE(EPS,MEAN,QUARTERLY_ROLL,2016/1F,45776,,,'')&lt;/Q&gt;&lt;R&gt;1&lt;/R&gt;&lt;C&gt;1&lt;/C&gt;&lt;D xsi:type="xsd:double"&gt;0.67&lt;/D&gt;&lt;/FQL&gt;&lt;FQL&gt;&lt;Q&gt;Ticker0024^FE_ESTIMATE(EPS,MEAN,ANNUAL_ROLL,2015,45776,,,'')&lt;/Q&gt;&lt;R&gt;1&lt;/R&gt;&lt;C&gt;1&lt;/C&gt;&lt;D xsi:type="xsd:double"&gt;2.63&lt;/D&gt;&lt;/FQL&gt;&lt;FQL&gt;&lt;Q&gt;Ticker0024^FE_ESTIMATE(EPS,MEAN,QUARTERLY_ROLL,2015/4F,45776,,,'')&lt;/Q&gt;&lt;R&gt;1&lt;/R&gt;&lt;C&gt;1&lt;/C&gt;&lt;D xsi:type="xsd:double"&gt;0.62&lt;/D&gt;&lt;/FQL&gt;&lt;FQL&gt;&lt;Q&gt;Ticker0024^FE_ESTIMATE(EPS,MEAN,QUARTERLY_ROLL,2015/3F,45776,,,'')&lt;/Q&gt;&lt;R&gt;1&lt;/R&gt;&lt;C&gt;1&lt;/C&gt;&lt;D xsi:type="xsd:double"&gt;0.61&lt;/D&gt;&lt;/FQL&gt;&lt;FQL&gt;&lt;Q&gt;Ticker0024^FE_ESTIMATE(EPS,MEAN,QUARTERLY_ROLL,2015/2F,45776,,,'')&lt;/Q&gt;&lt;R&gt;1&lt;/R&gt;&lt;C&gt;1&lt;/C&gt;&lt;D xsi:type="xsd:double"&gt;0.71&lt;/D&gt;&lt;/FQL&gt;&lt;FQL&gt;&lt;Q&gt;Ticker0024^FE_ESTIMATE(EPS,MEAN,QUARTERLY_ROLL,2015/1F,45776,,,'')&lt;/Q&gt;&lt;R&gt;1&lt;/R&gt;&lt;C&gt;1&lt;/C&gt;&lt;D xsi:type="xsd:double"&gt;0.54&lt;/D&gt;&lt;/FQL&gt;&lt;FQL&gt;&lt;Q&gt;Ticker0024^FE_ESTIMATE(EAG,MEAN,ANNUAL_ROLL,2030,45776,,,'')&lt;/Q&gt;&lt;R&gt;0&lt;/R&gt;&lt;C&gt;0&lt;/C&gt;&lt;/FQL&gt;&lt;FQL&gt;&lt;Q&gt;Ticker0024^FE_ESTIMATE(EAG,MEAN,QUARTERLY_ROLL,2030/4F,45776,,,'')&lt;/Q&gt;&lt;R&gt;0&lt;/R&gt;&lt;C&gt;0&lt;/C&gt;&lt;/FQL&gt;&lt;FQL&gt;&lt;Q&gt;Ticker0024^FE_ESTIMATE(EAG,MEAN,QUARTERLY_ROLL,2030/3F,45776,,,'')&lt;/Q&gt;&lt;R&gt;0&lt;/R&gt;&lt;C&gt;0&lt;/C&gt;&lt;/FQL&gt;&lt;FQL&gt;&lt;Q&gt;Ticker0024^FE_ESTIMATE(EAG,MEAN,QUARTERLY_ROLL,2030/2F,45776,,,'')&lt;/Q&gt;&lt;R&gt;0&lt;/R&gt;&lt;C&gt;0&lt;/C&gt;&lt;/FQL&gt;&lt;FQL&gt;&lt;Q&gt;Ticker0024^FE_ESTIMATE(EAG,MEAN,QUARTERLY_ROLL,2030/1F,45776,,,'')&lt;/Q&gt;&lt;R&gt;0&lt;/R&gt;&lt;C&gt;0&lt;/C&gt;&lt;/FQL&gt;&lt;FQL&gt;&lt;Q&gt;Ticker0024^FE_ESTIMATE(EAG,MEAN,ANNUAL_ROLL,2029,45776,,,'')&lt;/Q&gt;&lt;R&gt;0&lt;/R&gt;&lt;C&gt;0&lt;/C&gt;&lt;/FQL&gt;&lt;FQL&gt;&lt;Q&gt;Ticker0024^FE_ESTIMATE(EAG,MEAN,QUARTERLY_ROLL,2029/4F,45776,,,'')&lt;/Q&gt;&lt;R&gt;0&lt;/R&gt;&lt;C&gt;0&lt;/C&gt;&lt;/FQL&gt;&lt;FQL&gt;&lt;Q&gt;Ticker0024^FE_ESTIMATE(EAG,MEAN,QUARTERLY_ROLL,2029/3F,45776,,,'')&lt;/Q&gt;&lt;R&gt;0&lt;/R&gt;&lt;C&gt;0&lt;/C&gt;&lt;/FQL&gt;&lt;FQL&gt;&lt;Q&gt;Ticker0024^FE_ESTIMATE(EAG,MEAN,QUARTERLY_ROLL,2029/2F,45776,,,'')&lt;/Q&gt;&lt;R&gt;0&lt;/R&gt;&lt;C&gt;0&lt;/C&gt;&lt;/FQL&gt;&lt;FQL&gt;&lt;Q&gt;Ticker0024^FE_ESTIMATE(EAG,MEAN,QUARTERLY_ROLL,2029/1F,45776,,,'')&lt;/Q&gt;&lt;R&gt;0&lt;/R&gt;&lt;C&gt;0&lt;/C&gt;&lt;/FQL&gt;&lt;FQL&gt;&lt;Q&gt;Ticker0024^FE_ESTIMATE(EAG,MEAN,ANNUAL_ROLL,2028,45776,,,'')&lt;/Q&gt;&lt;R&gt;1&lt;/R&gt;&lt;C&gt;1&lt;/C&gt;&lt;D xsi:type="xsd:double"&gt;20.1315&lt;/D&gt;&lt;/FQL&gt;&lt;FQL&gt;&lt;Q&gt;Ticker0024^FE_ESTIMATE(EAG,MEAN,QUARTERLY_ROLL,2028/4F,45776,,,'')&lt;/Q&gt;&lt;R&gt;0&lt;/R&gt;&lt;C&gt;0&lt;/C&gt;&lt;/FQL&gt;&lt;FQL&gt;&lt;Q&gt;Ticker0024^FE_ESTIMATE(EAG,MEAN,QUARTERLY_ROLL,2028/3F,45776,,,'')&lt;/Q&gt;&lt;R&gt;0&lt;/R&gt;&lt;C&gt;0&lt;/C&gt;&lt;/FQL&gt;&lt;FQL&gt;&lt;Q&gt;Ticker0024^FE_ESTIMATE(EAG,MEAN,QUARTERLY_ROLL,2028/2F,45776,,,'')&lt;/Q&gt;&lt;R&gt;0&lt;/R&gt;&lt;C&gt;0&lt;/C&gt;&lt;/FQL&gt;&lt;FQL&gt;&lt;Q&gt;Ticker0024^FE_ESTIMATE(EAG,MEAN,QUARTERLY_ROLL,2028/1F,45776,,,'')&lt;/Q&gt;&lt;R&gt;0&lt;/R&gt;&lt;C&gt;0&lt;/C&gt;&lt;/FQL&gt;&lt;FQL&gt;&lt;Q&gt;Ticker0024^FE_ESTIMATE(EAG,MEAN,ANNUAL_ROLL,2027,45776,,,'')&lt;/Q&gt;&lt;R&gt;1&lt;/R&gt;&lt;C&gt;1&lt;/C&gt;&lt;D xsi:type="xsd:double"&gt;17.572643&lt;/D&gt;&lt;/FQL&gt;&lt;FQL&gt;&lt;Q&gt;Ticker0024^FE_ESTIMATE(EAG,MEAN,QUARTERLY_ROLL,2027/4F,45776,,,'')&lt;/Q&gt;&lt;R&gt;1&lt;/R&gt;&lt;C&gt;1&lt;/C&gt;&lt;D xsi:type="xsd:double"&gt;4.4679084&lt;/D&gt;&lt;/FQL&gt;&lt;FQL&gt;&lt;Q&gt;Ticker0024^FE_ESTIMATE(EAG,MEAN,QUARTERLY_ROLL,2027/3F,45776,,,'')&lt;/Q&gt;&lt;R&gt;1&lt;/R&gt;&lt;C&gt;1&lt;/C&gt;&lt;D xsi:type="xsd:double"&gt;4.2170095&lt;/D&gt;&lt;/FQL&gt;&lt;FQL&gt;&lt;Q&gt;Ticker0024^FE_ESTIMATE(EAG,MEAN,QUARTERLY_ROLL,2027/2F,45776,,,'')&lt;/Q&gt;&lt;R&gt;1&lt;/R&gt;&lt;C&gt;1&lt;/C&gt;&lt;D xsi:type="xsd:double"&gt;4.3284583&lt;/D&gt;&lt;/FQL&gt;&lt;FQL&gt;&lt;Q&gt;Ticker0024^FE_ESTIMATE(EAG,MEAN,QUARTERLY_ROLL,2027/1F,45776,,,'')&lt;/Q&gt;&lt;R&gt;1&lt;/R&gt;&lt;C&gt;1&lt;/C&gt;&lt;D xsi:type="xsd:double"&gt;4.0726&lt;/D&gt;&lt;/FQL&gt;&lt;FQL&gt;&lt;Q&gt;Ticker0024^FE_ESTIMATE(EAG,MEAN,ANNUAL_ROLL,2026,45776,,,'')&lt;/Q&gt;&lt;R&gt;1&lt;/R&gt;&lt;C&gt;1&lt;/C&gt;&lt;D xsi:type="xsd:double"&gt;14.947588&lt;/D&gt;&lt;/FQL&gt;&lt;FQL&gt;&lt;Q&gt;Ticker0024^FE_ESTIMATE(EAG,MEAN,QUARTERLY_ROLL,2026/4F,45776,,,'')&lt;/Q&gt;&lt;R&gt;1&lt;/R&gt;&lt;C&gt;1&lt;/C&gt;&lt;D xsi:type="xsd:double"&gt;3.8291833&lt;/D&gt;&lt;/FQL&gt;&lt;FQL&gt;&lt;Q&gt;Ticker0024^FE_ESTIMATE(EAG,MEAN,QUARTERLY_ROLL,2026/3F,45776,,,'')&lt;/Q&gt;&lt;R&gt;1&lt;/R&gt;&lt;C&gt;1&lt;/C&gt;&lt;D xsi:type="xsd:double"&gt;3.6427968&lt;/D&gt;&lt;/FQL&gt;&lt;FQL&gt;&lt;Q&gt;Ticker0024^FE_ESTIMATE(EAG,MEAN,QUARTERLY_ROLL,2026/2F,45776,,,'')&lt;/Q&gt;&lt;R&gt;1&lt;/R&gt;&lt;C&gt;1&lt;/C&gt;&lt;D xsi:type="xsd:double"&gt;3.6897748&lt;/D&gt;&lt;/FQL&gt;&lt;FQL&gt;&lt;Q&gt;Ticker0024^FE_ESTIMATE(EAG,MEAN,QUARTERLY_ROLL,2026/1F,45776,,,'')&lt;/Q&gt;&lt;R&gt;1&lt;/R&gt;&lt;C&gt;1&lt;/C&gt;&lt;D xsi:type="xsd:double"&gt;3.4989266&lt;/D&gt;&lt;/FQL&gt;&lt;FQL&gt;&lt;Q&gt;Ticker0024^FE_ESTIMATE(EAG,MEAN,ANNUAL_ROLL,2025,45776,,,'')&lt;/Q&gt;&lt;R&gt;1&lt;/R&gt;&lt;C&gt;1&lt;/C&gt;&lt;D xsi:type="xsd:double"&gt;13.118108&lt;/D&gt;&lt;/FQL&gt;&lt;FQL&gt;&lt;Q&gt;Ticker0024^FE_ESTIMATE(EAG,MEAN,QUARTERLY_ROLL,2025/4F,45776,,,'')&lt;/Q&gt;&lt;R&gt;1&lt;/R&gt;&lt;C&gt;1&lt;/C&gt;&lt;D xsi:type="xsd:double"&gt;3.3090422&lt;/D&gt;&lt;/FQL&gt;&lt;FQL&gt;&lt;Q&gt;Ticker0024^FE_ESTIMATE(EAG,MEAN,QUARTERLY_ROLL,2025/3F,45776,,,'')&lt;/Q&gt;&lt;R&gt;1&lt;/R&gt;&lt;C&gt;1&lt;/C&gt;&lt;D xsi:type="xsd:double"&gt;3.2089424&lt;/D&gt;&lt;/FQL&gt;&lt;FQL&gt;&lt;Q&gt;Ticker0024^FE_ESTIMATE(EAG,MEAN,QUARTERLY_ROLL,2025/2F,45776,,,'')&lt;/Q&gt;&lt;R&gt;1&lt;/R&gt;&lt;C&gt;1&lt;/C&gt;&lt;D xsi:type="xsd:double"&gt;3.23&lt;/D&gt;&lt;/FQL&gt;&lt;FQL&gt;&lt;Q&gt;Ticker0024^FE_ESTIMATE(EAG,MEAN,QUARTERLY_ROLL,2025/1F,45776,,,'')&lt;/Q&gt;&lt;R&gt;1&lt;/R&gt;&lt;C&gt;1&lt;/C&gt;&lt;D xsi:type="xsd:double"&gt;3.3&lt;/D&gt;&lt;/FQL&gt;&lt;FQL&gt;&lt;Q&gt;Ticker0024^FE_ESTIMATE(EAG,MEAN,ANNUAL_ROLL,2024,45776,,,'')&lt;/Q&gt;&lt;R&gt;1&lt;/R&gt;&lt;C&gt;1&lt;/C&gt;&lt;D xsi:type="xsd:double"&gt;11.8&lt;/D&gt;&lt;/FQL&gt;&lt;FQL&gt;&lt;Q&gt;Ticker0024^FE_ESTIMATE(EAG,MEAN,QUARTERLY_ROLL,2024/4F,45776,,,'')&lt;/Q&gt;&lt;R&gt;1&lt;/R&gt;&lt;C&gt;1&lt;/C&gt;&lt;D xsi:type="xsd:double"&gt;2.95&lt;/D&gt;&lt;/FQL&gt;&lt;FQL&gt;&lt;Q&gt;Ticker0024^FE_ESTIMATE(EAG,MEAN,QUARTERLY_ROLL,2024/3F,45776,,,'')&lt;/Q&gt;&lt;R&gt;1&lt;/R&gt;&lt;C&gt;1&lt;/C&gt;&lt;D xsi:type="xsd:double"&gt;2.94&lt;/D&gt;&lt;/FQL&gt;&lt;FQL&gt;&lt;Q&gt;Ticker0024^FE_ESTIMATE(EAG,MEAN,QUARTERLY_ROLL,2024/2F,45776,,,'')&lt;/Q&gt;&lt;R&gt;1&lt;/R&gt;&lt;C&gt;1&lt;/C&gt;&lt;D xsi:type="xsd:double"&gt;2.93&lt;/D&gt;&lt;/FQL&gt;&lt;FQL&gt;&lt;Q&gt;Ticker0024^FE_ESTIMATE(EAG,MEAN,QUARTERLY_ROLL,2024/1F,45776,,,'')&lt;/Q&gt;&lt;R&gt;1&lt;/R&gt;&lt;C&gt;1&lt;/C&gt;&lt;D xsi:type="xsd:double"&gt;2.99&lt;/D&gt;&lt;/FQL&gt;&lt;FQL&gt;&lt;Q&gt;Ticker0024^FE_ESTIMATE(EAG,MEAN,ANNUAL_ROLL,2023,45776,,,'')&lt;/Q&gt;&lt;R&gt;1&lt;/R&gt;&lt;C&gt;1&lt;/C&gt;&lt;D xsi:type="xsd:double"&gt;9.68&lt;/D&gt;&lt;/FQL&gt;&lt;FQL&gt;&lt;Q&gt;Ticker0024^FE_ESTIMATE(EAG,MEAN,QUARTERLY_ROLL,2023/4F,45776,,,'')&lt;/Q&gt;&lt;R&gt;1&lt;/R&gt;&lt;C&gt;1&lt;/C&gt;&lt;D xsi:type="xsd:double"&gt;2.69&lt;/D&gt;&lt;/FQL&gt;&lt;FQL&gt;&lt;Q&gt;Ticker0024^FE_ESTIMATE(EAG,MEAN,QUARTERLY_ROLL,2023/3F,45776,,,'')&lt;/Q&gt;&lt;R&gt;1&lt;/R&gt;&lt;C&gt;1&lt;/C&gt;&lt;D xsi:type="xsd:double"&gt;2.4501362&lt;/D&gt;&lt;/FQL&gt;&lt;FQL&gt;&lt;Q&gt;Ticker0024^FE_ESTIMATE(EAG,MEAN,QUARTERLY_ROLL,2023/2F,45776,,,'')&lt;/Q&gt;&lt;R&gt;1&lt;/R&gt;&lt;C&gt;1&lt;/C&gt;&lt;D xsi:type="xsd:double"&gt;2.2&lt;/D&gt;&lt;/FQL&gt;&lt;FQL&gt;&lt;Q&gt;Ticker0024^FE_ESTIMATE(EAG,MEAN,QUARTERLY_ROLL,2023/1F,45776,,,'')&lt;/Q&gt;&lt;R&gt;1&lt;/R&gt;&lt;C&gt;1&lt;/C&gt;&lt;D xsi:type="xsd:double"&gt;2.35&lt;/D&gt;&lt;/FQL&gt;&lt;FQL&gt;&lt;Q&gt;Ticker0024^FE_ESTIMATE(EAG,MEAN,ANNUAL_ROLL,2022,45776,,,'')&lt;/Q&gt;&lt;R&gt;1&lt;/R&gt;&lt;C&gt;1&lt;/C&gt;&lt;D xsi:type="xsd:double"&gt;9.65&lt;/D&gt;&lt;/FQL&gt;&lt;FQL&gt;&lt;Q&gt;Ticker0024^FE_ESTIMATE(EAG,MEAN,QUARTERLY_ROLL,2022/4F,45776,,,'')&lt;/Q&gt;&lt;R&gt;1&lt;/R&gt;&lt;C&gt;1&lt;/C&gt;&lt;D xsi:type="xsd:double"&gt;2.23&lt;/D&gt;&lt;/FQL&gt;&lt;FQL&gt;&lt;Q&gt;Ticker0024^FE_ESTIMATE(EAG,MEAN,QUARTERLY_ROLL,2022/3F,45776,,,'')&lt;/Q&gt;&lt;R&gt;1&lt;/R&gt;&lt;C&gt;1&lt;/C&gt;&lt;D xsi:type="xsd:double"&gt;2.22&lt;/D&gt;&lt;/FQL&gt;&lt;FQL&gt;&lt;Q&gt;Ticker0024^FE_ESTIMATE(EAG,MEAN,QUARTERLY_ROLL,2022/2F,45776,,,'')&lt;/Q&gt;&lt;R&gt;1&lt;/R&gt;&lt;C&gt;1&lt;/C&gt;&lt;D xsi:type="xsd:double"&gt;2.48&lt;/D&gt;&lt;/FQL&gt;&lt;FQL&gt;&lt;Q&gt;Ticker0024^FE_ESTIMATE(EAG,MEAN,QUARTERLY_ROLL,2022/1F,45776,,,'')&lt;/Q&gt;&lt;R&gt;1&lt;/R&gt;&lt;C&gt;1&lt;/C&gt;&lt;D xsi:type="xsd:double"&gt;2.71&lt;/D&gt;&lt;/FQL&gt;&lt;FQL&gt;&lt;Q&gt;Ticker0024^FE_ESTIMATE(EAG,MEAN,ANNUAL_ROLL,2021,45776,,,'')&lt;/Q&gt;&lt;R&gt;1&lt;/R&gt;&lt;C&gt;1&lt;/C&gt;&lt;D xsi:type="xsd:double"&gt;8.05&lt;/D&gt;&lt;/FQL&gt;&lt;FQL&gt;&lt;Q&gt;Ticker0024^FE_ESTIMATE(EAG,MEAN,QUARTERLY_ROLL,2021/4F,45776,,,'')&lt;/Q&gt;&lt;R&gt;1&lt;/R&gt;&lt;C&gt;1&lt;/C&gt;&lt;D xsi:type="xsd:double"&gt;2.17&lt;/D&gt;&lt;/FQL&gt;&lt;FQL&gt;&lt;Q&gt;Ticker0024^FE_ESTIMATE(EAG,MEAN,QUARTERLY_ROLL,2021/3F,45776,,,'')&lt;/Q&gt;&lt;R&gt;1&lt;/R&gt;&lt;C&gt;1&lt;/C&gt;&lt;D xsi:type="xsd:double"&gt;2.03&lt;/D&gt;&lt;/FQL&gt;&lt;FQL&gt;&lt;Q&gt;Ticker0024^FE_ESTIMATE(EAG,MEAN,QUARTERLY_ROLL,2021/2F,45776,,,'')&lt;/Q&gt;&lt;R&gt;1&lt;/R&gt;&lt;C&gt;1&lt;/C&gt;&lt;D xsi:type="xsd:double"&gt;2.03&lt;/D&gt;&lt;/FQL&gt;&lt;FQL&gt;&lt;Q&gt;Ticker0024^FE_ESTIMATE(EAG,MEAN,QUARTERLY_ROLL,2021/1F,45776,,,'')&lt;/Q&gt;&lt;R&gt;1&lt;/R&gt;&lt;C&gt;1&lt;/C&gt;&lt;D xsi:type="xsd:double"&gt;1.82&lt;/D&gt;&lt;/FQL&gt;&lt;FQL&gt;&lt;Q&gt;Ticker0024^FE_ESTIMATE(EAG,MEAN,ANNUAL_ROLL,2020,45776,,,'')&lt;/Q&gt;&lt;R&gt;1&lt;/R&gt;&lt;C&gt;1&lt;/C&gt;&lt;D xsi:type="xsd:double"&gt;5.76&lt;/D&gt;&lt;/FQL&gt;&lt;FQL&gt;&lt;Q&gt;Ticker0024^FE_ESTIMATE(EAG,MEAN,QUARTERLY_ROLL,2020/4F,45776,,,'')&lt;/Q&gt;&lt;R&gt;1&lt;/R&gt;&lt;C&gt;1&lt;/C&gt;&lt;D xsi:type="xsd:double"&gt;1.46&lt;/D&gt;&lt;/FQL&gt;&lt;FQL&gt;&lt;Q&gt;Ticker0024^FE_ESTIMATE(EAG,MEAN,QUARTERLY_ROLL,2020/3F,45776,,,'')&lt;/Q&gt;&lt;R&gt;1&lt;/R&gt;&lt;C&gt;1&lt;/C&gt;&lt;D xsi:type="xsd:double"&gt;1.4&lt;/D&gt;&lt;/FQL&gt;&lt;FQL&gt;&lt;Q&gt;Ticker0024^FE_ESTIMATE(EAG,MEAN,QUARTERLY_ROLL,2020/2F,45776,,,'')&lt;/Q&gt;&lt;R&gt;1&lt;/R&gt;&lt;C&gt;1&lt;/C&gt;&lt;D xsi:type="xsd:double"&gt;1.51&lt;/D&gt;&lt;/FQL&gt;&lt;FQL&gt;&lt;Q&gt;Ticker0024^FE_ESTIMATE(EAG,MEAN,QUARTERLY_ROLL,2020/1F,45776,,,'')&lt;/Q&gt;&lt;R&gt;1&lt;/R&gt;&lt;C&gt;1&lt;/C&gt;&lt;D xsi:type="xsd:double"&gt;1.38&lt;/D&gt;&lt;/FQL&gt;&lt;FQL&gt;&lt;Q&gt;Ticker0024^FE_ESTIMATE(EAG,MEAN,ANNUAL_ROLL,2019,45776,,,'')&lt;/Q&gt;&lt;R&gt;1&lt;/R&gt;&lt;C&gt;1&lt;/C&gt;&lt;D xsi:type="xsd:double"&gt;5.06&lt;/D&gt;&lt;/FQL&gt;&lt;FQL&gt;&lt;Q&gt;Ticker0024^FE_ESTIMATE(EAG,MEAN,QUARTERLY_ROLL,2019/4F,45776,,,'')&lt;/Q&gt;&lt;R&gt;1&lt;/R&gt;&lt;C&gt;1&lt;/C&gt;&lt;D xsi:type="xsd:double"&gt;1.71&lt;/D&gt;&lt;/FQL&gt;&lt;FQL&gt;&lt;Q&gt;Ticker0024^FE_ESTIMATE(EAG,MEAN,QUARTERLY_ROLL,2019/3F,45776,,,'')&lt;/Q&gt;&lt;R&gt;1&lt;/R&gt;&lt;C&gt;1&lt;/C&gt;&lt;D xsi:type="xsd:double"&gt;1.14&lt;/D&gt;&lt;/FQL&gt;&lt;FQL&gt;&lt;Q&gt;Ticker0024^FE_ESTIMATE(EAG,MEAN,QUARTERLY_ROLL,2019/2F,45776,,,'')&lt;/Q&gt;&lt;R&gt;1&lt;/R&gt;&lt;C&gt;1&lt;/C&gt;&lt;D xsi:type="xsd:double"&gt;1.08&lt;/D&gt;&lt;/FQL&gt;&lt;FQL&gt;&lt;Q&gt;Ticker0024^FE_ESTIMATE(EAG,MEAN,QUARTERLY_ROLL,2019/1F,45776,,,'')&lt;/Q&gt;&lt;R&gt;1&lt;/R&gt;&lt;C&gt;1&lt;/C&gt;&lt;D xsi:type="xsd:double"&gt;1.14&lt;/D&gt;&lt;/FQL&gt;&lt;FQL&gt;&lt;Q&gt;Ticker0024^FE_ESTIMATE(EAG,MEAN,ANNUAL_ROLL,2018,45776,,,'')&lt;/Q&gt;&lt;R&gt;1&lt;/R&gt;&lt;C&gt;1&lt;/C&gt;&lt;D xsi:type="xsd:double"&gt;2.13&lt;/D&gt;&lt;/FQL&gt;&lt;FQL&gt;&lt;Q&gt;Ticker0024^FE_ESTIMATE(EAG,MEAN,QUARTERLY_ROLL,2018/4F,45776,,,'')&lt;/Q&gt;&lt;R&gt;1&lt;/R&gt;&lt;C&gt;1&lt;/C&gt;&lt;D xsi:type="xsd:double"&gt;1.14&lt;/D&gt;&lt;/FQL&gt;&lt;FQL&gt;&lt;Q&gt;Ticker0024^FE_ESTIMATE(EAG,MEAN,QUARTERLY_ROLL,2018/3F,45776,,,'')&lt;/Q&gt;&lt;R&gt;1&lt;/R&gt;&lt;C&gt;1&lt;/C&gt;&lt;D xsi:type="xsd:double"&gt;0.9504607&lt;/D&gt;&lt;/FQL&gt;&lt;FQL&gt;&lt;Q&gt;Ticker0024^FE_ESTIMATE(EAG,MEAN,QUARTERLY_ROLL,2018/2F,45776,,,'')&lt;/Q&gt;&lt;R&gt;1&lt;/R&gt;&lt;C&gt;1&lt;/C&gt;&lt;D xsi:type="xsd:double"&gt;-0.82&lt;/D&gt;&lt;/FQL&gt;&lt;FQL&gt;&lt;Q&gt;Ticker0024^FE_ESTIMATE(EAG,MEAN,QUARTERLY_ROLL,2018/1F,45776,,,'')&lt;/Q&gt;&lt;R&gt;1&lt;/R&gt;&lt;C&gt;1&lt;/C&gt;&lt;D xsi:type="xsd:double"&gt;0.84&lt;/D&gt;&lt;/FQL&gt;&lt;FQL&gt;&lt;Q&gt;Ticker0024^FE_ESTIMATE(EAG,MEAN,ANNUAL_ROLL,2017,45776,,,'')&lt;/Q&gt;&lt;R&gt;1&lt;/R&gt;&lt;C&gt;1&lt;/C&gt;&lt;D xsi:type="xsd:double"&gt;2.71&lt;/D&gt;&lt;/FQL&gt;&lt;FQL&gt;&lt;Q&gt;Ticker0024^FE_ESTIMATE(EAG,MEAN,QUARTERLY_ROLL,2017/4F,45776,,,'')&lt;/Q&gt;&lt;R&gt;1&lt;/R&gt;&lt;C&gt;1&lt;/C&gt;&lt;D xsi:type="xsd:double"&gt;0.83&lt;/D&gt;&lt;/FQL&gt;&lt;FQL&gt;&lt;Q&gt;Ticker0024^FE_ESTIMATE(EAG,MEAN,QUARTERLY_ROLL,2017/3F,45776,,,'')&lt;/Q&gt;&lt;R&gt;1&lt;/R&gt;&lt;C&gt;1&lt;/C&gt;&lt;D xsi:type="xsd:double"&gt;0.61&lt;/D&gt;&lt;/FQL&gt;&lt;FQL&gt;&lt;Q&gt;Ticker0024^FE_ESTIMATE(EAG,MEAN,QUARTERLY_ROLL,2017/2F,45776,,,'')&lt;/Q&gt;&lt;R&gt;1&lt;/R&gt;&lt;C&gt;1&lt;/C&gt;&lt;D xsi:type="xsd:double"&gt;0.66&lt;/D&gt;&lt;/FQL&gt;&lt;FQL&gt;&lt;Q&gt;Ticker0024^FE_ESTIMATE(EAG,MEAN,QUARTERLY_ROLL,2017/1F,45776,,,'')&lt;/Q&gt;&lt;R&gt;1&lt;/R&gt;&lt;C&gt;1&lt;/C&gt;&lt;D xsi:type="xsd:double"&gt;0.6&lt;/D&gt;&lt;/FQL&gt;&lt;FQL&gt;&lt;Q&gt;Ticker0024^FE_ESTIMATE(EAG,MEAN,ANNUAL_ROLL,2016,45776,,,'')&lt;/Q&gt;&lt;R&gt;1&lt;/R&gt;&lt;C&gt;1&lt;/C&gt;&lt;D xsi:type="xsd:double"&gt;2.1&lt;/D&gt;&lt;/FQL&gt;&lt;FQL&gt;&lt;Q&gt;Ticker0024^FE_ESTIMATE(EAG,MEAN,QUARTERLY_ROLL,2016/4F,45776,,,'')&lt;/Q&gt;&lt;R&gt;1&lt;/R&gt;&lt;C&gt;1&lt;/C&gt;&lt;D xsi:type="xsd:double"&gt;0.39&lt;/D&gt;&lt;/FQL&gt;&lt;FQL&gt;&lt;Q&gt;Ticker0024^FE_ESTIMATE(EAG,MEAN,QUARTERLY_ROLL,2016/3F,45776,,,'')&lt;/Q&gt;&lt;R&gt;1&lt;/R&gt;&lt;C&gt;1&lt;/C&gt;&lt;D xsi:type="xsd:double"&gt;0.47&lt;/D&gt;&lt;/FQL&gt;&lt;FQL&gt;&lt;Q&gt;Ticker0024^FE_ESTIMATE(EAG,MEAN,QUARTERLY_ROLL,2016/2F,45776,,,'')&lt;/Q&gt;&lt;R&gt;1&lt;/R&gt;&lt;C&gt;1&lt;/C&gt;&lt;D xsi:type="xsd:double"&gt;0.62&lt;/D&gt;&lt;/FQL&gt;&lt;FQL&gt;&lt;Q&gt;Ticker0024^FE_ESTIMATE(EAG,MEAN,QUARTERLY_ROLL,2016/1F,45776,,,'')&lt;/Q&gt;&lt;R&gt;1&lt;/R&gt;&lt;C&gt;1&lt;/C&gt;&lt;D xsi:type="xsd:double"&gt;0.57&lt;/D&gt;&lt;/FQL&gt;&lt;FQL&gt;&lt;Q&gt;Ticker0024^FE_ESTIMATE(EAG,MEAN,ANNUAL_ROLL,2015,45776,,,'')&lt;/Q&gt;&lt;R&gt;1&lt;/R&gt;&lt;C&gt;1&lt;/C&gt;&lt;D xsi:type="xsd:double"&gt;1.48&lt;/D&gt;&lt;/FQL&gt;&lt;FQL&gt;&lt;Q&gt;Ticker0024^FE_ESTIMATE(EAG,MEAN,QUARTERLY_ROLL,2015/4F,45776,,,'')&lt;/Q&gt;&lt;R&gt;1&lt;/R&gt;&lt;C&gt;1&lt;/C&gt;&lt;D xsi:type="xsd:double"&gt;-0.4&lt;/D&gt;&lt;/FQL&gt;&lt;FQL&gt;&lt;Q&gt;Ticker0024^FE_ESTIMATE(EAG,MEAN,QUARTERLY_ROLL,2015/3F,45776,,,'')&lt;/Q&gt;&lt;R&gt;1&lt;/R&gt;&lt;C&gt;1&lt;/C&gt;&lt;D xsi:type="xsd:double"&gt;0.61&lt;/D&gt;&lt;/FQL&gt;&lt;FQL&gt;&lt;Q&gt;Ticker0024^FE_ESTIMATE(EAG,MEAN,QUARTERLY_ROLL,2015/2F,45776,,,'')&lt;/Q&gt;&lt;R&gt;1&lt;/R&gt;&lt;C&gt;1&lt;/C&gt;&lt;D xsi:type="xsd:double"&gt;0.71&lt;/D&gt;&lt;/FQL&gt;&lt;FQL&gt;&lt;Q&gt;Ticker0024^FE_ESTIMATE(EAG,MEAN,QUARTERLY_ROLL,2015/1F,45776,,,'')&lt;/Q&gt;&lt;R&gt;1&lt;/R&gt;&lt;C&gt;1&lt;/C&gt;&lt;D xsi:type="xsd:double"&gt;0.54&lt;/D&gt;&lt;/FQL&gt;&lt;FQL&gt;&lt;Q&gt;Ticker0024^FE_ESTIMATE(EBIT,MEAN,ANNUAL_ROLL,2030,45776,,,'')&lt;/Q&gt;&lt;R&gt;0&lt;/R&gt;&lt;C&gt;0&lt;/C&gt;&lt;/FQL&gt;&lt;FQL&gt;&lt;Q&gt;Ticker0024^FE_ESTIMATE(EBIT,MEAN,QUARTERLY_ROLL,2030/4F,45776,,,'')&lt;/Q&gt;&lt;R&gt;0&lt;/R&gt;&lt;C&gt;0&lt;/C&gt;&lt;/FQL&gt;&lt;FQL&gt;&lt;Q&gt;Ticker0024^FE_ESTIMATE(EBIT,MEAN,QUARTERLY_ROLL,2030/3F,45776,,,'')&lt;/Q&gt;&lt;R&gt;0&lt;/R&gt;&lt;C&gt;0&lt;/C&gt;&lt;/FQL&gt;&lt;FQL&gt;&lt;Q&gt;Ticker0024^FE_ESTIMATE(EBIT,MEAN,QUARTERLY_ROLL,2030/2F,45776,,,'')&lt;/Q&gt;&lt;R&gt;0&lt;/R&gt;&lt;C&gt;0&lt;/C&gt;&lt;/FQL&gt;&lt;FQL&gt;&lt;Q&gt;Ticker0024^FE_ESTIMATE(EBIT,MEAN,QUARTERLY_ROLL,2030/1F,45776,,,'')&lt;/Q&gt;&lt;R&gt;0&lt;/R&gt;&lt;C&gt;0&lt;/C&gt;&lt;/FQL&gt;&lt;FQL&gt;&lt;Q&gt;Ticker0024^FE_ESTIMATE(EBIT,MEAN,ANNUAL_ROLL,2029,45776,,,'')&lt;/Q&gt;&lt;R&gt;1&lt;/R&gt;&lt;C&gt;1&lt;/C&gt;&lt;D xsi:type="xsd:double"&gt;215560.1&lt;/D&gt;&lt;/FQL&gt;&lt;FQL&gt;&lt;Q&gt;Ticker0024^FE_ESTIMATE(EBIT,MEAN,QUARTERLY_ROLL,2029/4F,45776,,,'')&lt;/Q&gt;&lt;R&gt;0&lt;/R&gt;&lt;C&gt;0&lt;/C&gt;&lt;/FQL&gt;&lt;FQL&gt;&lt;Q&gt;Ticker0024^FE_ESTIMATE(EBIT,MEAN,QUARTERLY_ROLL,2029/3F,45776,,,'')&lt;/Q&gt;&lt;R&gt;0&lt;/R&gt;&lt;C&gt;0&lt;/C&gt;&lt;/FQL&gt;&lt;FQL&gt;&lt;Q&gt;Ticker0024^FE_ESTIMATE(EBIT,MEAN,QUARTERLY_ROLL,2029/2F,45776,,,'')&lt;/Q&gt;&lt;R&gt;0&lt;/R&gt;&lt;C&gt;0&lt;/C&gt;&lt;/FQL&gt;&lt;FQL&gt;&lt;Q&gt;Ticker0024^FE_ESTIMATE(EBIT,MEAN,QUARTERLY_ROLL,2029/1F,45776,,,'')&lt;/Q&gt;&lt;R&gt;0&lt;/R&gt;&lt;C&gt;0&lt;/C&gt;&lt;/FQL&gt;&lt;FQL&gt;&lt;Q&gt;Ticker0024^FE_ESTIMATE(EBIT,MEAN,ANNUAL_ROLL,2028,45776,,,'')&lt;/Q&gt;&lt;R&gt;1&lt;/R&gt;&lt;C&gt;1&lt;/C&gt;&lt;D xsi:type="xsd:double"&gt;183142.72&lt;/D&gt;&lt;/FQL&gt;&lt;FQL&gt;&lt;Q&gt;Ticker0024^FE_ESTIMATE(EBIT,MEAN,QUARTERLY_ROLL,2028/4F,45776,,,'')&lt;/Q&gt;&lt;R&gt;0&lt;/R&gt;&lt;C&gt;0&lt;/C&gt;&lt;/FQL&gt;&lt;FQL&gt;&lt;Q&gt;Ticker0024^FE_ESTIMATE(EBIT,MEAN,QUARTERLY_ROLL,2028/3F,45776,,,'')&lt;/Q&gt;&lt;R&gt;0&lt;/R&gt;&lt;C&gt;0&lt;/C&gt;&lt;/FQL&gt;&lt;FQL&gt;&lt;Q&gt;Ticker0024^FE_ESTIMATE(EBIT,MEAN,QUARTERLY_ROLL,2028/2F,45776,,,'')&lt;/Q&gt;&lt;R&gt;0&lt;/R&gt;&lt;C&gt;0&lt;/C&gt;&lt;/FQL&gt;&lt;FQL&gt;&lt;Q&gt;Ticker0024^FE_ESTIMATE(EBIT,MEAN,QUARTERLY_ROLL,2028/1F,45776,,,'')&lt;/Q&gt;&lt;R&gt;0&lt;/R&gt;&lt;C&gt;0&lt;/C&gt;&lt;/FQL&gt;&lt;FQL&gt;&lt;Q&gt;Ticker0024^FE_ESTIMATE(EBIT,MEAN,ANNUAL_ROLL,2027,45776,,,'')&lt;/Q&gt;&lt;R&gt;1&lt;/R&gt;&lt;C&gt;1&lt;/C&gt;&lt;D xsi:type="xsd:double"&gt;162149.83&lt;/D&gt;&lt;/FQL&gt;&lt;FQL&gt;&lt;Q&gt;Ticker0024^FE_ESTIMATE(EBIT,MEAN,QUARTERLY_ROLL,2027/4F,45776,,,'')&lt;/Q&gt;&lt;R&gt;1&lt;/R&gt;&lt;C&gt;1&lt;/C&gt;&lt;D xsi:type="xsd:double"&gt;42008.84&lt;/D&gt;&lt;/FQL&gt;&lt;FQL&gt;&lt;Q&gt;Ticker0024^FE_ESTIMATE(EBIT,MEAN,QUARTERLY_ROLL,2027/3F,45776,,,'')&lt;/Q&gt;&lt;R&gt;1&lt;/R&gt;&lt;C&gt;1&lt;/C&gt;&lt;D xsi:type="xsd:double"&gt;39807.87&lt;/D&gt;&lt;/FQL&gt;&lt;FQL&gt;&lt;Q&gt;Ticker0024^FE_ESTIMATE(EBIT,MEAN,QUARTERLY_ROLL,2027/2F,45776,,,'')&lt;/Q&gt;&lt;R&gt;1&lt;/R&gt;&lt;C&gt;1&lt;/C&gt;&lt;D xsi:type="xsd:double"&gt;40461.266&lt;/D&gt;&lt;/FQL&gt;&lt;FQL&gt;&lt;Q&gt;Ticker0024^FE_ESTIMATE(EBIT,MEAN,QUARTERLY_ROLL,2027/1F,45776,,,'')&lt;/Q&gt;&lt;R&gt;1&lt;/R&gt;&lt;C&gt;1&lt;/C&gt;&lt;D xsi:type="xsd:double"&gt;39146.313&lt;/D&gt;&lt;/FQL&gt;&lt;FQL&gt;&lt;Q&gt;Ticker0024^FE_ESTIMATE(EBIT,MEAN,ANNUAL_ROLL,2026,45776,,,'')&lt;/Q&gt;&lt;R&gt;1&lt;/R&gt;&lt;C&gt;1&lt;/C&gt;&lt;D xsi:type="xsd:double"&gt;139770.97&lt;/D&gt;&lt;/FQL&gt;&lt;FQL&gt;&lt;Q&gt;Ticker0024^FE_ESTIMATE(EBIT,MEAN,QUARTERLY_ROLL,2026/4F,45776,,,'')&lt;/Q&gt;&lt;R&gt;1&lt;/R&gt;&lt;C&gt;1&lt;/C&gt;&lt;D xsi:type="xsd:double"&gt;36154.203&lt;/D&gt;&lt;/FQL&gt;&lt;FQL&gt;&lt;Q&gt;Ticker0024^FE_ESTIMATE(EBIT,MEAN,QUARTERLY_ROLL,2026/3F,45776,,,'')&lt;/Q&gt;&lt;R&gt;1&lt;/R&gt;&lt;C&gt;1&lt;/C&gt;&lt;D xsi:type="xsd:double"&gt;34535.805&lt;/D&gt;&lt;/FQL&gt;&lt;FQL&gt;&lt;Q&gt;Ticker0024^FE_ESTIMATE(EBIT,MEAN,QUARTERLY_ROLL,2026/2F,45776,,,'')&lt;/Q&gt;&lt;R&gt;1&lt;/R&gt;&lt;C&gt;1&lt;/C&gt;&lt;D xsi:type="xsd:double"&gt;35063.508&lt;/D&gt;&lt;/FQL&gt;&lt;FQL&gt;&lt;Q&gt;Ticker0024^FE_ESTIMATE(EBIT,MEAN,QUARTERLY_ROLL,2026/1F,45776,,,'')&lt;/Q&gt;&lt;R&gt;1&lt;/R&gt;&lt;C&gt;1&lt;/C&gt;&lt;D xsi:type="xsd:double"&gt;33723.117&lt;/D&gt;&lt;/FQL&gt;&lt;FQL&gt;&lt;Q&gt;Ticker0024^FE_ESTIMATE(EBIT,MEAN,ANNUAL_ROLL,2025,45776,,,'')&lt;/Q&gt;&lt;R&gt;1&lt;/R&gt;&lt;C&gt;1&lt;/C&gt;&lt;D xsi:type="xsd:double"&gt;123957.99&lt;/D&gt;&lt;/FQL&gt;&lt;FQL&gt;&lt;Q&gt;Ticker0024^FE_ESTIMATE(EBIT,MEAN,QUARTERLY_ROLL,2025/4F,45776,,,'')&lt;/Q&gt;&lt;R&gt;1&lt;/R&gt;&lt;C&gt;1&lt;/C&gt;&lt;D xsi:type="xsd:double"&gt;31407.734&lt;/D&gt;&lt;/FQL&gt;&lt;FQL&gt;&lt;Q&gt;Ticker0024^FE_ESTIMATE(EBIT,MEAN,QUARTERLY_ROLL,2025/3F,45776,,,'')&lt;/Q&gt;&lt;R&gt;1&lt;/R&gt;&lt;C&gt;1&lt;/C&gt;&lt;D xsi:type="xsd:double"&gt;30325.59&lt;/D&gt;&lt;/FQL&gt;&lt;FQL&gt;&lt;Q&gt;Ticker0024^FE_ESTIMATE(EBIT,MEAN,QUARTERLY_ROLL,2025/2F,45776,,,'')&lt;/Q&gt;&lt;R&gt;1&lt;/R&gt;&lt;C&gt;1&lt;/C&gt;&lt;D xsi:type="xsd:double"&gt;31654.076&lt;/D&gt;&lt;/FQL&gt;&lt;FQL&gt;&lt;Q&gt;Ticker0024^FE_ESTIMATE(EBIT,MEAN,QUARTERLY_ROLL,2025/1F,45776,,,'')&lt;/Q&gt;&lt;R&gt;1&lt;/R&gt;&lt;C&gt;1&lt;/C&gt;&lt;D xsi:type="xsd:double"&gt;30535.146&lt;/D&gt;&lt;/FQL&gt;&lt;FQL&gt;&lt;Q&gt;Ticker0024^FE_ESTIMATE(EBIT,MEAN,ANNUAL_ROLL,2024,45776,,,'')&lt;/Q&gt;&lt;R&gt;1&lt;/R&gt;&lt;C&gt;1&lt;/C&gt;&lt;D xsi:type="xsd:double"&gt;109729.96&lt;/D&gt;&lt;/FQL&gt;&lt;FQL&gt;&lt;Q&gt;Ticker0024^FE_ESTIMATE(EBIT,MEAN,QUARTERLY_ROLL,2024/4F,45776,,,'')&lt;/Q&gt;&lt;R&gt;1&lt;/R&gt;&lt;C&gt;1&lt;/C&gt;&lt;D xsi:type="xsd:double"&gt;27926.969&lt;/D&gt;&lt;/FQL&gt;&lt;FQL&gt;&lt;Q&gt;Ticker0024^FE_ESTIMATE(EBIT,MEAN,QUARTERLY_ROLL,2024/3F,45776,,,'')&lt;/Q&gt;&lt;R&gt;1&lt;/R&gt;&lt;C&gt;1&lt;/C&gt;&lt;D xsi:type="xsd:double"&gt;27582.4&lt;/D&gt;&lt;/FQL&gt;&lt;FQL&gt;&lt;Q&gt;Ticker0024^FE_ESTIMATE(EBIT,MEAN,QUARTERLY_ROLL,2024/2F,45776,,,'')&lt;/Q&gt;&lt;R&gt;1&lt;/R&gt;&lt;C&gt;1&lt;/C&gt;&lt;D xsi:type="xsd:double"&gt;27031.055&lt;/D&gt;&lt;/FQL&gt;&lt;FQL&gt;&lt;Q&gt;Ticker0024^FE_ESTIMATE(EBIT,MEAN,QUARTERLY_ROLL,2024/1F,45776,,,'')&lt;/Q&gt;&lt;R&gt;1&lt;/R&gt;&lt;C&gt;1&lt;/C&gt;&lt;D xsi:type="xsd:double"&gt;26895.146&lt;/D&gt;&lt;/FQL&gt;&lt;FQL&gt;&lt;Q&gt;Ticker0024^FE_ESTIMATE(EBIT,MEAN,ANNUAL_ROLL,2023,45776,,,'')&lt;/Q&gt;&lt;R&gt;1&lt;/R&gt;&lt;C&gt;1&lt;/C&gt;&lt;D xsi:type="xsd:double"&gt;88600.766&lt;/D&gt;&lt;/FQL&gt;&lt;FQL&gt;&lt;Q&gt;Ticker0024^FE_ESTIMATE(EBIT,MEAN,QUARTERLY_ROLL,2023/4F,45776,,,'')&lt;/Q&gt;&lt;R&gt;1&lt;/R&gt;&lt;C&gt;1&lt;/C&gt;&lt;D xsi:type="xsd:double"&gt;24173.82&lt;/D&gt;&lt;/FQL&gt;&lt;FQL&gt;&lt;Q&gt;Ticker0024^FE_ESTIMATE(EBIT,MEAN,QUARTERLY_ROLL,2023/3F,45776,,,'')&lt;/Q&gt;&lt;R&gt;1&lt;/R&gt;&lt;C&gt;1&lt;/C&gt;&lt;D xsi:type="xsd:double"&gt;22351.936&lt;/D&gt;&lt;/FQL&gt;&lt;FQL&gt;&lt;Q&gt;Ticker0024^FE_ESTIMATE(EBIT,MEAN,QUARTERLY_ROLL,2023/2F,45776,,,'')&lt;/Q&gt;&lt;R&gt;1&lt;/R&gt;&lt;C&gt;1&lt;/C&gt;&lt;D xsi:type="xsd:double"&gt;20399.059&lt;/D&gt;&lt;/FQL&gt;&lt;FQL&gt;&lt;Q&gt;Ticker0024^FE_ESTIMATE(EBIT,MEAN,QUARTERLY_ROLL,2023/1F,45776,,,'')&lt;/Q&gt;&lt;R&gt;1&lt;/R&gt;&lt;C&gt;1&lt;/C&gt;&lt;D xsi:type="xsd:double"&gt;21518.063&lt;/D&gt;&lt;/FQL&gt;&lt;FQL&gt;&lt;Q&gt;Ticker0024^FE_ESTIMATE(EBIT,MEAN,ANNUAL_ROLL,2022,45776,,,'')&lt;/Q&gt;&lt;R&gt;1&lt;/R&gt;&lt;C&gt;1&lt;/C&gt;&lt;D xsi:type="xsd:double"&gt;83380.48&lt;/D&gt;&lt;/FQL&gt;&lt;FQL&gt;&lt;Q&gt;Ticker0024^FE_ESTIMATE(EBIT,MEAN,QUARTERLY_ROLL,2022/4F,45776,,,'')&lt;/Q&gt;&lt;R&gt;1&lt;/R&gt;&lt;C&gt;1&lt;/C&gt;&lt;D xsi:type="xsd:double"&gt;20531.785&lt;/D&gt;&lt;/FQL&gt;&lt;FQL&gt;&lt;Q&gt;Ticker0024^FE_ESTIMATE(EBIT,MEAN,QUARTERLY_ROLL,2022/3F,45776,,,'')&lt;/Q&gt;&lt;R&gt;1&lt;/R&gt;&lt;C&gt;1&lt;/C&gt;&lt;D xsi:type="xsd:double"&gt;20362.076&lt;/D&gt;&lt;/FQL&gt;&lt;FQL&gt;&lt;Q&gt;Ticker0024^FE_ESTIMATE(EBIT,MEAN,QUARTERLY_ROLL,2022/2F,45776,,,'')&lt;/Q&gt;&lt;R&gt;1&lt;/R&gt;&lt;C&gt;1&lt;/C&gt;&lt;D xsi:type="xsd:double"&gt;22246.809&lt;/D&gt;&lt;/FQL&gt;&lt;FQL&gt;&lt;Q&gt;Ticker0024^FE_ESTIMATE(EBIT,MEAN,QUARTERLY_ROLL,2022/1F,45776,,,'')&lt;/Q&gt;&lt;R&gt;1&lt;/R&gt;&lt;C&gt;1&lt;/C&gt;&lt;D xsi:type="xsd:double"&gt;20237.896&lt;/D&gt;&lt;/FQL&gt;&lt;FQL&gt;&lt;Q&gt;Ticker0024^FE_ESTIMATE(EBIT,MEAN,ANNUAL_ROLL,2021,45776,,,'')&lt;/Q&gt;&lt;R&gt;1&lt;/R&gt;&lt;C&gt;1&lt;/C&gt;&lt;D xsi:type="xsd:double"&gt;69916.43&lt;/D&gt;&lt;/FQL&gt;&lt;FQL&gt;&lt;Q&gt;Ticker0024^FE_ESTIMATE(EBIT,MEAN,QUARTERLY_ROLL,2021/4F,45776,,,'')&lt;/Q&gt;&lt;R&gt;1&lt;/R&gt;&lt;C&gt;1&lt;/C&gt;&lt;D xsi:type="xsd:double"&gt;19095&lt;/D&gt;&lt;/FQL&gt;&lt;FQL&gt;&lt;Q&gt;Ticker0024^FE_ESTIMATE(EBIT,MEAN,QUARTERLY_ROLL,2021/3F,45776,,,'')&lt;/Q&gt;&lt;R&gt;1&lt;/R&gt;&lt;C&gt;1&lt;/C&gt;&lt;D xsi:type="xsd:double"&gt;17048&lt;/D&gt;&lt;/FQL&gt;&lt;FQL&gt;&lt;Q&gt;Ticker0024^FE_ESTIMATE(EBIT,MEAN,QUARTERLY_ROLL,2021/2F,45776,,,'')&lt;/Q&gt;&lt;R&gt;1&lt;/R&gt;&lt;C&gt;1&lt;/C&gt;&lt;D xsi:type="xsd:double"&gt;17896.826&lt;/D&gt;&lt;/FQL&gt;&lt;FQL&gt;&lt;Q&gt;Ticker0024^FE_ESTIMATE(EBIT,MEAN,QUARTERLY_ROLL,2021/1F,45776,,,'')&lt;/Q&gt;&lt;R&gt;1&lt;/R&gt;&lt;C&gt;1&lt;/C&gt;&lt;D xsi:type="xsd:double"&gt;15875.739&lt;/D&gt;&lt;/FQL&gt;&lt;FQL&gt;&lt;Q&gt;Ticker0024^FE_ESTIMATE(EBIT,MEAN,ANNUAL_ROLL,2020,45776,,,'')&lt;/Q&gt;&lt;R&gt;1&lt;/R&gt;&lt;C&gt;1&lt;/C&gt;&lt;D xsi:type="xsd:double"&gt;52978.875&lt;/D&gt;&lt;/FQL&gt;&lt;FQL&gt;&lt;Q&gt;Ticker0024^FE_ESTIMATE(EBIT,MEAN,QUARTERLY_ROLL,2020/4F,45776,,,'')&lt;/Q&gt;&lt;R&gt;1&lt;/R&gt;&lt;C&gt;1&lt;/C&gt;&lt;D xsi:type="xsd:double"&gt;13432.45&lt;/D&gt;&lt;/FQL&gt;&lt;FQL&gt;&lt;Q&gt;Ticker0024^FE_ESTIMATE(EBIT,MEAN,QUARTERLY_ROLL,2020/3F,45776,,,'')&lt;/Q&gt;&lt;R&gt;1&lt;/R&gt;&lt;C&gt;1&lt;/C&gt;&lt;D xsi:type="xsd:double"&gt;12975&lt;/D&gt;&lt;/FQL&gt;&lt;FQL&gt;&lt;Q&gt;Ticker0024^FE_ESTIMATE(EBIT,MEAN,QUARTERLY_ROLL,2020/2F,45776,,,'')&lt;/Q&gt;&lt;R&gt;1&lt;/R&gt;&lt;C&gt;1&lt;/C&gt;&lt;D xsi:type="xsd:double"&gt;13891&lt;/D&gt;&lt;/FQL&gt;&lt;FQL&gt;&lt;Q&gt;Ticker0024^FE_ESTIMATE(EBIT,MEAN,QUARTERLY_ROLL,2020/1F,45776,,,'')&lt;/Q&gt;&lt;R&gt;1&lt;/R&gt;&lt;C&gt;1&lt;/C&gt;&lt;D xsi:type="xsd:double"&gt;12686&lt;/D&gt;&lt;/FQL&gt;&lt;FQL&gt;&lt;Q&gt;Ticker0024^FE_ESTIMATE(EBIT,MEAN,ANNUAL_ROLL,2019,45776,,,'')&lt;/Q&gt;&lt;R&gt;1&lt;/R&gt;&lt;C&gt;1&lt;/C&gt;&lt;D xsi:type="xsd:double"&gt;42964.805&lt;/D&gt;&lt;/FQL&gt;&lt;FQL&gt;&lt;Q&gt;Ticker0024^FE_ESTIMATE(EBIT,MEAN,QUARTERLY_ROLL,2019/4F,45776,,,'')&lt;/Q&gt;&lt;R&gt;1&lt;/R&gt;&lt;C&gt;1&lt;/C&gt;&lt;D xsi:type="xsd:double"&gt;12405&lt;/D&gt;&lt;/FQL&gt;&lt;FQL&gt;&lt;Q&gt;Ticker0024^FE_ESTIMATE(EBIT,MEAN,QUARTERLY_ROLL,2019/3F,45776,,,'')&lt;/Q&gt;&lt;R&gt;1&lt;/R&gt;&lt;C&gt;1&lt;/C&gt;&lt;D xsi:type="xsd:double"&gt;10341&lt;/D&gt;&lt;/FQL&gt;&lt;FQL&gt;&lt;Q&gt;Ticker0024^FE_ESTIMATE(EBIT,MEAN,QUARTERLY_ROLL,2019/2F,45776,,,'')&lt;/Q&gt;&lt;R&gt;1&lt;/R&gt;&lt;C&gt;1&lt;/C&gt;&lt;D xsi:type="xsd:double"&gt;10263.846&lt;/D&gt;&lt;/FQL&gt;&lt;FQL&gt;&lt;Q&gt;Ticker0024^FE_ESTIMATE(EBIT,MEAN,QUARTERLY_ROLL,2019/1F,45776,,,'')&lt;/Q&gt;&lt;R&gt;1&lt;/R&gt;&lt;C&gt;1&lt;/C&gt;&lt;D xsi:type="xsd:double"&gt;9955&lt;/D&gt;&lt;/FQL&gt;&lt;FQL&gt;&lt;Q&gt;Ticker0024^FE_ESTIMATE(EBIT,MEAN,ANNUAL_ROLL,2018,45776,,,'')&lt;/Q&gt;&lt;R&gt;1&lt;/R&gt;&lt;C&gt;1&lt;/C&gt;&lt;D xsi:type="xsd:double"&gt;35034.188&lt;/D&gt;&lt;/FQL&gt;&lt;FQL&gt;&lt;Q&gt;Ticker0024^FE_ESTIMATE(EBIT,MEAN,QUARTERLY_ROLL,2018/4F,45776,,,'')&lt;/Q&gt;&lt;R&gt;1&lt;/R&gt;&lt;C&gt;1&lt;/C&gt;&lt;D xsi:type="xsd:double"&gt;10349.692&lt;/D&gt;&lt;/FQL&gt;&lt;FQL&gt;&lt;Q&gt;Ticker0024^FE_ESTIMATE(EBIT,MEAN,QUARTERLY_ROLL,2018/3F,45776,,,'')&lt;/Q&gt;&lt;R&gt;1&lt;/R&gt;&lt;C&gt;1&lt;/C&gt;&lt;D xsi:type="xsd:double"&gt;8292&lt;/D&gt;&lt;/FQL&gt;&lt;FQL&gt;&lt;Q&gt;Ticker0024^FE_ESTIMATE(EBIT,MEAN,QUARTERLY_ROLL,2018/2F,45776,,,'')&lt;/Q&gt;&lt;R&gt;1&lt;/R&gt;&lt;C&gt;1&lt;/C&gt;&lt;D xsi:type="xsd:double"&gt;8679&lt;/D&gt;&lt;/FQL&gt;&lt;FQL&gt;&lt;Q&gt;Ticker0024^FE_ESTIMATE(EBIT,MEAN,QUARTERLY_ROLL,2018/1F,45776,,,'')&lt;/Q&gt;&lt;R&gt;1&lt;/R&gt;&lt;C&gt;1&lt;/C&gt;&lt;D xsi:type="xsd:double"&gt;7708&lt;/D&gt;&lt;/FQL&gt;&lt;FQL&gt;&lt;Q&gt;Ticker0024^FE_ESTIMATE(EBIT,MEAN,ANNUAL_ROLL,2017,45776,,,'')&lt;/Q&gt;&lt;R&gt;1&lt;/R&gt;&lt;C&gt;1&lt;/C&gt;&lt;D xsi:type="xsd:double"&gt;29326.25&lt;/D&gt;&lt;/FQL&gt;&lt;FQL&gt;&lt;Q&gt;Ticker0024^FE_ESTIMATE(EBIT,MEAN,QUARTERLY_ROLL,2017/4F,45776,,,'')&lt;/Q&gt;&lt;R&gt;1&lt;/R&gt;&lt;C&gt;1&lt;/C&gt;&lt;D xsi:type="xsd:double"&gt;7019&lt;/D&gt;&lt;/FQL&gt;&lt;FQL&gt;&lt;Q&gt;Ticker0024^FE_ESTIMATE(EBIT,MEAN,QUARTERLY_ROLL,2017/3F,45776,,,'')&lt;/Q&gt;&lt;R&gt;1&lt;/R&gt;&lt;C&gt;1&lt;/C&gt;&lt;D xsi:type="xsd:double"&gt;7061&lt;/D&gt;&lt;/FQL&gt;&lt;FQL&gt;&lt;Q&gt;Ticker0024^FE_ESTIMATE(EBIT,MEAN,QUARTERLY_ROLL,2017/2F,45776,,,'')&lt;/Q&gt;&lt;R&gt;1&lt;/R&gt;&lt;C&gt;1&lt;/C&gt;&lt;D xsi:type="xsd:double"&gt;8153&lt;/D&gt;&lt;/FQL&gt;&lt;FQL&gt;&lt;Q&gt;Ticker0024^FE_ESTIMATE(EBIT,MEAN,QUARTERLY_ROLL,2017/1F,45776,,,'')&lt;/Q&gt;&lt;R&gt;1&lt;/R&gt;&lt;C&gt;1&lt;/C&gt;&lt;D xsi:type="xsd:double"&gt;7106&lt;/D&gt;&lt;/FQL&gt;&lt;FQL&gt;&lt;Q&gt;Ticker0024^FE_ESTIMATE(EBIT,MEAN,ANNUAL_ROLL,2016,45776,,,'')&lt;/Q&gt;&lt;R&gt;1&lt;/R&gt;&lt;C&gt;1&lt;/C&gt;&lt;D xsi:type="xsd:double"&gt;28028.564&lt;/D&gt;&lt;/FQL&gt;&lt;FQL&gt;&lt;Q&gt;Ticker0024^FE_ESTIMATE(EBIT,MEAN,QUARTERLY_ROLL,2016/4F,45776,,,'')&lt;/Q&gt;&lt;R&gt;1&lt;/R&gt;&lt;C&gt;1&lt;/C&gt;&lt;D xsi:type="xsd:double"&gt;6218&lt;/D&gt;&lt;/FQL&gt;&lt;FQL&gt;&lt;Q&gt;Ticker0024^FE_ESTIMATE(EBIT,MEAN,QUARTERLY_ROLL,2016/3F,45776,,,'')&lt;/Q&gt;&lt;R&gt;1&lt;/R&gt;&lt;C&gt;1&lt;/C&gt;&lt;D xsi:type="xsd:double"&gt;6828&lt;/D&gt;&lt;/FQL&gt;&lt;FQL&gt;&lt;Q&gt;Ticker0024^FE_ESTIMATE(EBIT,MEAN,QUARTERLY_ROLL,2016/2F,45776,,,'')&lt;/Q&gt;&lt;R&gt;1&lt;/R&gt;&lt;C&gt;1&lt;/C&gt;&lt;D xsi:type="xsd:double"&gt;7923&lt;/D&gt;&lt;/FQL&gt;&lt;FQL&gt;&lt;Q&gt;Ticker0024^FE_ESTIMATE(EBIT,MEAN,QUARTERLY_ROLL,2016/1F,45776,,,'')&lt;/Q&gt;&lt;R&gt;1&lt;/R&gt;&lt;C&gt;1&lt;/C&gt;&lt;D xsi:type="xsd:double"&gt;7073.7896&lt;/D&gt;&lt;/FQL&gt;&lt;FQL&gt;&lt;Q&gt;Ticker0024^FE_ESTIMATE(EBIT,MEAN,ANNUAL_ROLL,2015,45776,,,'')&lt;/Q&gt;&lt;R&gt;1&lt;/R&gt;&lt;C&gt;1&lt;/C&gt;&lt;D xsi:type="xsd:double"&gt;27916.867&lt;/D&gt;&lt;/FQL&gt;&lt;FQL&gt;&lt;Q&gt;Ticker0024^FE_ESTIMATE(EBIT,MEAN,QUARTERLY_ROLL,2015/4F,45776,,,'')&lt;/Q&gt;&lt;R&gt;1&lt;/R&gt;&lt;C&gt;1&lt;/C&gt;&lt;D xsi:type="xsd:double"&gt;4513.1914&lt;/D&gt;&lt;/FQL&gt;&lt;FQL&gt;&lt;Q&gt;Ticker0024^FE_ESTIMATE(EBIT,MEAN,QUARTERLY_ROLL,2015/3F,45776,,,'')&lt;/Q&gt;&lt;R&gt;1&lt;/R&gt;&lt;C&gt;1&lt;/C&gt;&lt;D xsi:type="xsd:double"&gt;6598.875&lt;/D&gt;&lt;/FQL&gt;&lt;FQL&gt;&lt;Q&gt;Ticker0024^FE_ESTIMATE(EBIT,MEAN,QUARTERLY_ROLL,2015/2F,45776,,,'')&lt;/Q&gt;&lt;R&gt;1&lt;/R&gt;&lt;C&gt;1&lt;/C&gt;&lt;D xsi:type="xsd:double"&gt;7776&lt;/D&gt;&lt;/FQL&gt;&lt;FQL&gt;&lt;Q&gt;Ticker0024^FE_ESTIMATE(EBIT,MEAN,QUARTERLY_ROLL,2015/1F,45776,,,'')&lt;/Q&gt;&lt;R&gt;1&lt;/R&gt;&lt;C&gt;1&lt;/C&gt;&lt;D xsi:type="xsd:double"&gt;5844&lt;/D&gt;&lt;/FQL&gt;&lt;FQL&gt;&lt;Q&gt;Ticker0024^FE_ESTIMATE(PRODLINE_EBIT_17,MEAN,ANNUAL_ROLL,2030,45776,,,'')&lt;/Q&gt;&lt;R&gt;0&lt;/R&gt;&lt;C&gt;0&lt;/C&gt;&lt;/FQL&gt;&lt;FQL&gt;&lt;Q&gt;Ticker0024^FE_ESTIMATE(PRODLINE_EBIT_17,MEAN,QUARTERLY_ROLL,2030/4F,45776,,,'')&lt;/Q&gt;&lt;R&gt;0&lt;/R&gt;&lt;C&gt;0&lt;/C&gt;&lt;/FQL&gt;&lt;FQL&gt;&lt;Q&gt;Ticker0024^FE_ESTIMATE(PRODLINE_EBIT_17,MEAN,QUARTERLY_ROLL,2030/3F,45776,,,'')&lt;/Q&gt;&lt;R&gt;0&lt;/R&gt;&lt;C&gt;0&lt;/C&gt;&lt;/FQL&gt;&lt;FQL&gt;&lt;Q&gt;Ticker0024^FE_ESTIMATE(PRODLINE_EBIT_17,MEAN,QUARTERLY_ROLL,2030/2F,45776,,,'')&lt;/Q&gt;&lt;R&gt;0&lt;/R&gt;&lt;C&gt;0&lt;/C&gt;&lt;/FQL&gt;&lt;FQL&gt;&lt;Q&gt;Ticker0024^FE_ESTIMATE(PRODLINE_EBIT_17,MEAN,QUARTERLY_ROLL,2030/1F,45776,,,'')&lt;/Q&gt;&lt;R&gt;0&lt;/R&gt;&lt;C&gt;0&lt;/C&gt;&lt;/FQL&gt;&lt;FQL&gt;&lt;Q&gt;Ticker0024^FE_ESTIMATE(PRODLINE_EBIT_17,MEAN,ANNUAL_ROLL,2029,45776,,,'')&lt;/Q&gt;&lt;R&gt;0&lt;/R&gt;&lt;C&gt;0&lt;/C&gt;&lt;/FQL&gt;&lt;FQL&gt;&lt;Q&gt;Ticker0024^FE_ESTIMATE(PRODLINE_EBIT_17,MEAN,QUARTERLY_ROLL,2029/4F,45776,,,'')&lt;/Q&gt;&lt;R&gt;0&lt;/R&gt;&lt;C&gt;0&lt;/C&gt;&lt;/FQL&gt;&lt;FQL&gt;&lt;Q&gt;Ticker0024^FE_ESTIMATE(PRODLINE_EBIT_17,MEAN,QUARTERLY_ROLL,2029/3F,45776,,,'')&lt;/Q&gt;&lt;R&gt;0&lt;/R&gt;&lt;C&gt;0&lt;/C&gt;&lt;/FQL&gt;&lt;FQL&gt;&lt;Q&gt;Ticker0024^FE_ESTIMATE(PRODLINE_EBIT_17,MEAN,QUARTERLY_ROLL,2029/2F,45776,,,'')&lt;/Q&gt;&lt;R&gt;0&lt;/R&gt;&lt;C&gt;0&lt;/C&gt;&lt;/FQL&gt;&lt;FQL&gt;&lt;Q&gt;Ticker0024^FE_ESTIMATE(PRODLINE_EBIT_17,MEAN,QUARTERLY_ROLL,2029/1F,45776,,,'')&lt;/Q&gt;&lt;R&gt;0&lt;/R&gt;&lt;C&gt;0&lt;/C&gt;&lt;/FQL&gt;&lt;FQL&gt;&lt;Q&gt;Ticker0024^FE_ESTIMATE(PRODLINE_EBIT_17,MEAN,ANNUAL_ROLL,2028,45776,,,'')&lt;/Q&gt;&lt;R&gt;1&lt;/R&gt;&lt;C&gt;1&lt;/C&gt;&lt;D xsi:type="xsd:double"&gt;10723&lt;/D&gt;&lt;/FQL&gt;&lt;FQL&gt;&lt;Q&gt;Ticker0024^FE_ESTIMATE(PRODLINE_EBIT_17,MEAN,QUARTERLY_ROLL,2028/4F,45776,,,'')&lt;/Q&gt;&lt;R&gt;0&lt;/R&gt;&lt;C&gt;0&lt;/C&gt;&lt;/FQL&gt;&lt;FQL&gt;&lt;Q&gt;Ticker0024^FE_ESTIMATE(PRODLINE_EBIT_17,MEAN,QUARTERLY_ROLL,2028/3F,45776,,,'')&lt;/Q&gt;&lt;R&gt;0&lt;/R&gt;&lt;C&gt;0&lt;/C&gt;&lt;/FQL&gt;&lt;FQL&gt;&lt;Q&gt;Ticker0024^FE_ESTIMATE(PRODLINE_EBIT_17,MEAN,QUARTERLY_ROLL,2028/2F,45776,,,'')&lt;/Q&gt;&lt;R&gt;0&lt;/R&gt;&lt;C&gt;0&lt;/C&gt;&lt;/FQL&gt;&lt;FQL&gt;&lt;Q&gt;Ticker0024^FE_ESTIMATE(PRODLINE_EBIT_17,MEAN,QUARTERLY_ROLL,2028/1F,45776,,,'')&lt;/Q&gt;&lt;R&gt;0&lt;/R&gt;&lt;C&gt;0&lt;/C&gt;&lt;/FQL&gt;&lt;FQL&gt;&lt;Q&gt;Ticker0024^FE_ESTIMATE(PRODLINE_EBIT_17,MEAN,ANNUAL_ROLL,2027,45776,,,'')&lt;/Q&gt;&lt;R&gt;1&lt;/R&gt;&lt;C&gt;1&lt;/C&gt;&lt;D xsi:type="xsd:double"&gt;12836&lt;/D&gt;&lt;/FQL&gt;&lt;FQL&gt;&lt;Q&gt;Ticker0024^FE_ESTIMATE(PRODLINE_EBIT_17,MEAN,QUARTERLY_ROLL,2027/4F,45776,,,'')&lt;/Q&gt;&lt;R&gt;0&lt;/R&gt;&lt;C&gt;0&lt;/C&gt;&lt;/FQL&gt;&lt;FQL&gt;&lt;Q&gt;Ticker0024^FE_ESTIMATE(PRODLINE_EBIT_17,MEAN,QUARTERLY_ROLL,2027/3F,45776,,,'')&lt;/Q&gt;&lt;R&gt;0&lt;/R&gt;&lt;C&gt;0&lt;/C&gt;&lt;/FQL&gt;&lt;FQL&gt;&lt;Q&gt;Ticker0024^FE_ESTIMATE(PRODLINE_EBIT_17,MEAN,QUARTERLY_ROLL,2027/2F,45776,,,'')&lt;/Q&gt;&lt;R&gt;0&lt;/R&gt;&lt;C&gt;0&lt;/C&gt;&lt;/FQL&gt;&lt;FQL&gt;&lt;Q&gt;Ticker0024^FE_ESTIMATE(PRODLINE_EBIT_17,MEAN,QUARTERLY_ROLL,2027/1F,45776,,,'')&lt;/Q&gt;&lt;R&gt;0&lt;/R&gt;&lt;C&gt;0&lt;/C&gt;&lt;/FQL&gt;&lt;FQL&gt;&lt;Q&gt;Ticker0024^FE_ESTIMATE(PRODLINE_EBIT_17,MEAN,ANNUAL_ROLL,2026,45776,,,'')&lt;/Q&gt;&lt;R&gt;1&lt;/R&gt;&lt;C&gt;1&lt;/C&gt;&lt;D xsi:type="xsd:double"&gt;15375&lt;/D&gt;&lt;/FQL&gt;&lt;FQL&gt;&lt;Q&gt;Ticker0024^FE_ESTIMATE(PRODLINE_EBIT_17,MEAN,QUARTERLY_ROLL,2026/4F,45776,,,'')&lt;/Q&gt;&lt;R&gt;1&lt;/R&gt;&lt;C&gt;1&lt;/C&gt;&lt;D xsi:type="xsd:double"&gt;3614.3333&lt;/D&gt;&lt;/FQL&gt;&lt;FQL&gt;&lt;Q&gt;Ticker0024^FE_ESTIMATE(PRODLINE_EBIT_17,MEAN,QUARTERLY_ROLL,2026/3F,45776,,,'')&lt;/Q&gt;&lt;R&gt;1&lt;/R&gt;&lt;C&gt;1&lt;/C&gt;&lt;D xsi:type="xsd:double"&gt;3774&lt;/D&gt;&lt;/FQL&gt;&lt;FQL&gt;&lt;Q&gt;Ticker0024^FE_ESTIMATE(PRODLINE_EBIT_17,MEAN,QUARTERLY_ROLL,2026/2F,45776,,,'')&lt;/Q&gt;&lt;R&gt;1&lt;/R&gt;&lt;C&gt;1&lt;/C&gt;&lt;D xsi:type="xsd:double"&gt;4365.6665&lt;/D&gt;&lt;/FQL&gt;&lt;FQL&gt;&lt;Q&gt;Ticker0024^FE_ESTIMATE(PRODLINE_EBIT_17,MEAN,QUARTERLY_ROLL,2026/1F,45776,,,'')&lt;/Q&gt;&lt;R&gt;1&lt;/R&gt;&lt;C&gt;1&lt;/C&gt;&lt;D xsi:type="xsd:double"&gt;4159&lt;/D&gt;&lt;/FQL&gt;&lt;FQL&gt;&lt;Q&gt;Ticker0024^FE_ESTIMATE(PRODLINE_EBIT_17,MEAN,ANNUAL_ROLL,2025,45776,,,'')&lt;/Q&gt;&lt;R&gt;1&lt;/R&gt;&lt;C&gt;1&lt;/C&gt;&lt;D xsi:type="xsd:double"&gt;15375.6&lt;/D&gt;&lt;/FQL&gt;&lt;FQL&gt;&lt;</t>
        </r>
      </text>
    </comment>
    <comment ref="A44" authorId="0" shapeId="0" xr:uid="{4C96EAD7-FAAF-457C-9A6D-AC64F65ABEFC}">
      <text>
        <r>
          <rPr>
            <b/>
            <sz val="9"/>
            <color indexed="81"/>
            <rFont val="Tahoma"/>
            <family val="2"/>
          </rPr>
          <t>Q&gt;Ticker0024^FE_ESTIMATE(PRODLINE_EBIT_17,MEAN,QUARTERLY_ROLL,2025/4F,45776,,,'')&lt;/Q&gt;&lt;R&gt;1&lt;/R&gt;&lt;C&gt;1&lt;/C&gt;&lt;D xsi:type="xsd:double"&gt;3533.4&lt;/D&gt;&lt;/FQL&gt;&lt;FQL&gt;&lt;Q&gt;Ticker0024^FE_ESTIMATE(PRODLINE_EBIT_17,MEAN,QUARTERLY_ROLL,2025/3F,45776,,,'')&lt;/Q&gt;&lt;R&gt;1&lt;/R&gt;&lt;C&gt;1&lt;/C&gt;&lt;D xsi:type="xsd:double"&gt;3766.4&lt;/D&gt;&lt;/FQL&gt;&lt;FQL&gt;&lt;Q&gt;Ticker0024^FE_ESTIMATE(PRODLINE_EBIT_17,MEAN,QUARTERLY_ROLL,2025/2F,45776,,,'')&lt;/Q&gt;&lt;R&gt;1&lt;/R&gt;&lt;C&gt;1&lt;/C&gt;&lt;D xsi:type="xsd:double"&gt;4253.8&lt;/D&gt;&lt;/FQL&gt;&lt;FQL&gt;&lt;Q&gt;Ticker0024^FE_ESTIMATE(PRODLINE_EBIT_17,MEAN,QUARTERLY_ROLL,2025/1F,45776,,,'')&lt;/Q&gt;&lt;R&gt;1&lt;/R&gt;&lt;C&gt;1&lt;/C&gt;&lt;D xsi:type="xsd:double"&gt;3822.2&lt;/D&gt;&lt;/FQL&gt;&lt;FQL&gt;&lt;Q&gt;Ticker0024^FE_ESTIMATE(PRODLINE_EBIT_17,MEAN,ANNUAL_ROLL,2024,45776,,,'')&lt;/Q&gt;&lt;R&gt;1&lt;/R&gt;&lt;C&gt;1&lt;/C&gt;&lt;D xsi:type="xsd:double"&gt;19332.8&lt;/D&gt;&lt;/FQL&gt;&lt;FQL&gt;&lt;Q&gt;Ticker0024^FE_ESTIMATE(PRODLINE_EBIT_17,MEAN,QUARTERLY_ROLL,2024/4F,45776,,,'')&lt;/Q&gt;&lt;R&gt;1&lt;/R&gt;&lt;C&gt;1&lt;/C&gt;&lt;D xsi:type="xsd:double"&gt;4922.4&lt;/D&gt;&lt;/FQL&gt;&lt;FQL&gt;&lt;Q&gt;Ticker0024^FE_ESTIMATE(PRODLINE_EBIT_17,MEAN,QUARTERLY_ROLL,2024/3F,45776,,,'')&lt;/Q&gt;&lt;R&gt;1&lt;/R&gt;&lt;C&gt;1&lt;/C&gt;&lt;D xsi:type="xsd:double"&gt;4925.7144&lt;/D&gt;&lt;/FQL&gt;&lt;FQL&gt;&lt;Q&gt;Ticker0024^FE_ESTIMATE(PRODLINE_EBIT_17,MEAN,QUARTERLY_ROLL,2024/2F,45776,,,'')&lt;/Q&gt;&lt;R&gt;1&lt;/R&gt;&lt;C&gt;1&lt;/C&gt;&lt;D xsi:type="xsd:double"&gt;4308.3335&lt;/D&gt;&lt;/FQL&gt;&lt;FQL&gt;&lt;Q&gt;Ticker0024^FE_ESTIMATE(PRODLINE_EBIT_17,MEAN,QUARTERLY_ROLL,2024/1F,45776,,,'')&lt;/Q&gt;&lt;R&gt;1&lt;/R&gt;&lt;C&gt;1&lt;/C&gt;&lt;D xsi:type="xsd:double"&gt;5197&lt;/D&gt;&lt;/FQL&gt;&lt;FQL&gt;&lt;Q&gt;Ticker0024^FE_ESTIMATE(PRODLINE_EBIT_17,MEAN,ANNUAL_ROLL,2023,45776,,,'')&lt;/Q&gt;&lt;R&gt;1&lt;/R&gt;&lt;C&gt;1&lt;/C&gt;&lt;D xsi:type="xsd:double"&gt;16450&lt;/D&gt;&lt;/FQL&gt;&lt;FQL&gt;&lt;Q&gt;Ticker0024^FE_ESTIMATE(PRODLINE_EBIT_17,MEAN,QUARTERLY_ROLL,2023/4F,45776,,,'')&lt;/Q&gt;&lt;R&gt;1&lt;/R&gt;&lt;C&gt;1&lt;/C&gt;&lt;D xsi:type="xsd:double"&gt;4676.8&lt;/D&gt;&lt;/FQL&gt;&lt;FQL&gt;&lt;Q&gt;Ticker0024^FE_ESTIMATE(PRODLINE_EBIT_17,MEAN,QUARTERLY_ROLL,2023/3F,45776,,,'')&lt;/Q&gt;&lt;R&gt;1&lt;/R&gt;&lt;C&gt;1&lt;/C&gt;&lt;D xsi:type="xsd:double"&gt;4237.6&lt;/D&gt;&lt;/FQL&gt;&lt;FQL&gt;&lt;Q&gt;Ticker0024^FE_ESTIMATE(PRODLINE_EBIT_17,MEAN,QUARTERLY_ROLL,2023/2F,45776,,,'')&lt;/Q&gt;&lt;R&gt;1&lt;/R&gt;&lt;C&gt;1&lt;/C&gt;&lt;D xsi:type="xsd:double"&gt;3345&lt;/D&gt;&lt;/FQL&gt;&lt;FQL&gt;&lt;Q&gt;Ticker0024^FE_ESTIMATE(PRODLINE_EBIT_17,MEAN,QUARTERLY_ROLL,2023/1F,45776,,,'')&lt;/Q&gt;&lt;R&gt;1&lt;/R&gt;&lt;C&gt;1&lt;/C&gt;&lt;D xsi:type="xsd:double"&gt;4241.4&lt;/D&gt;&lt;/FQL&gt;&lt;FQL&gt;&lt;Q&gt;Ticker0024^FE_ESTIMATE(PRODLINE_EBIT_17,MEAN,ANNUAL_ROLL,2022,45776,,,'')&lt;/Q&gt;&lt;R&gt;1&lt;/R&gt;&lt;C&gt;1&lt;/C&gt;&lt;D xsi:type="xsd:double"&gt;20975.2&lt;/D&gt;&lt;/FQL&gt;&lt;FQL&gt;&lt;Q&gt;Ticker0024^FE_ESTIMATE(PRODLINE_EBIT_17,MEAN,QUARTERLY_ROLL,2022/4F,45776,,,'')&lt;/Q&gt;&lt;R&gt;1&lt;/R&gt;&lt;C&gt;1&lt;/C&gt;&lt;D xsi:type="xsd:double"&gt;4619.2&lt;/D&gt;&lt;/FQL&gt;&lt;FQL&gt;&lt;Q&gt;Ticker0024^FE_ESTIMATE(PRODLINE_EBIT_17,MEAN,QUARTERLY_ROLL,2022/3F,45776,,,'')&lt;/Q&gt;&lt;R&gt;1&lt;/R&gt;&lt;C&gt;1&lt;/C&gt;&lt;D xsi:type="xsd:double"&gt;4899&lt;/D&gt;&lt;/FQL&gt;&lt;FQL&gt;&lt;Q&gt;Ticker0024^FE_ESTIMATE(PRODLINE_EBIT_17,MEAN,QUARTERLY_ROLL,2022/2F,45776,,,'')&lt;/Q&gt;&lt;R&gt;1&lt;/R&gt;&lt;C&gt;1&lt;/C&gt;&lt;D xsi:type="xsd:double"&gt;6360&lt;/D&gt;&lt;/FQL&gt;&lt;FQL&gt;&lt;Q&gt;Ticker0024^FE_ESTIMATE(PRODLINE_EBIT_17,MEAN,QUARTERLY_ROLL,2022/1F,45776,,,'')&lt;/Q&gt;&lt;R&gt;1&lt;/R&gt;&lt;C&gt;1&lt;/C&gt;&lt;D xsi:type="xsd:double"&gt;5095&lt;/D&gt;&lt;/FQL&gt;&lt;FQL&gt;&lt;Q&gt;Ticker0024^FE_ESTIMATE(PRODLINE_EBIT_17,MEAN,ANNUAL_ROLL,2021,45776,,,'')&lt;/Q&gt;&lt;R&gt;1&lt;/R&gt;&lt;C&gt;1&lt;/C&gt;&lt;D xsi:type="xsd:double"&gt;19439.25&lt;/D&gt;&lt;/FQL&gt;&lt;FQL&gt;&lt;Q&gt;Ticker0024^FE_ESTIMATE(PRODLINE_EBIT_17,MEAN,QUARTERLY_ROLL,2021/4F,45776,,,'')&lt;/Q&gt;&lt;R&gt;1&lt;/R&gt;&lt;C&gt;1&lt;/C&gt;&lt;D xsi:type="xsd:double"&gt;4873&lt;/D&gt;&lt;/FQL&gt;&lt;FQL&gt;&lt;Q&gt;Ticker0024^FE_ESTIMATE(PRODLINE_EBIT_17,MEAN,QUARTERLY_ROLL,2021/3F,45776,,,'')&lt;/Q&gt;&lt;R&gt;1&lt;/R&gt;&lt;C&gt;1&lt;/C&gt;&lt;D xsi:type="xsd:double"&gt;4594&lt;/D&gt;&lt;/FQL&gt;&lt;FQL&gt;&lt;Q&gt;Ticker0024^FE_ESTIMATE(PRODLINE_EBIT_17,MEAN,QUARTERLY_ROLL,2021/2F,45776,,,'')&lt;/Q&gt;&lt;R&gt;1&lt;/R&gt;&lt;C&gt;1&lt;/C&gt;&lt;D xsi:type="xsd:double"&gt;5224&lt;/D&gt;&lt;/FQL&gt;&lt;FQL&gt;&lt;Q&gt;Ticker0024^FE_ESTIMATE(PRODLINE_EBIT_17,MEAN,QUARTERLY_ROLL,2021/1F,45776,,,'')&lt;/Q&gt;&lt;R&gt;1&lt;/R&gt;&lt;C&gt;1&lt;/C&gt;&lt;D xsi:type="xsd:double"&gt;4748&lt;/D&gt;&lt;/FQL&gt;&lt;FQL&gt;&lt;Q&gt;Ticker0024^FE_ESTIMATE(PRODLINE_EBIT_17,MEAN,ANNUAL_ROLL,2020,45776,,,'')&lt;/Q&gt;&lt;R&gt;1&lt;/R&gt;&lt;C&gt;1&lt;/C&gt;&lt;D xsi:type="xsd:double"&gt;15895.667&lt;/D&gt;&lt;/FQL&gt;&lt;FQL&gt;&lt;Q&gt;Ticker0024^FE_ESTIMATE(PRODLINE_EBIT_17,MEAN,QUARTERLY_ROLL,2020/4F,45776,,,'')&lt;/Q&gt;&lt;R&gt;1&lt;/R&gt;&lt;C&gt;1&lt;/C&gt;&lt;D xsi:type="xsd:double"&gt;4075.3333&lt;/D&gt;&lt;/FQL&gt;&lt;FQL&gt;&lt;Q&gt;Ticker0024^FE_ESTIMATE(PRODLINE_EBIT_17,MEAN,QUARTERLY_ROLL,2020/3F,45776,,,'')&lt;/Q&gt;&lt;R&gt;1&lt;/R&gt;&lt;C&gt;1&lt;/C&gt;&lt;D xsi:type="xsd:double"&gt;3627&lt;/D&gt;&lt;/FQL&gt;&lt;FQL&gt;&lt;Q&gt;Ticker0024^FE_ESTIMATE(PRODLINE_EBIT_17,MEAN,QUARTERLY_ROLL,2020/2F,45776,,,'')&lt;/Q&gt;&lt;R&gt;1&lt;/R&gt;&lt;C&gt;1&lt;/C&gt;&lt;D xsi:type="xsd:double"&gt;4178&lt;/D&gt;&lt;/FQL&gt;&lt;FQL&gt;&lt;Q&gt;Ticker0024^FE_ESTIMATE(PRODLINE_EBIT_17,MEAN,QUARTERLY_ROLL,2020/1F,45776,,,'')&lt;/Q&gt;&lt;R&gt;1&lt;/R&gt;&lt;C&gt;1&lt;/C&gt;&lt;D xsi:type="xsd:double"&gt;4015&lt;/D&gt;&lt;/FQL&gt;&lt;FQL&gt;&lt;Q&gt;Ticker0024^FE_ESTIMATE(PRODLINE_EBIT_17,MEAN,ANNUAL_ROLL,2019,45776,,,'')&lt;/Q&gt;&lt;R&gt;1&lt;/R&gt;&lt;C&gt;1&lt;/C&gt;&lt;D xsi:type="xsd:double"&gt;12820&lt;/D&gt;&lt;/FQL&gt;&lt;FQL&gt;&lt;Q&gt;Ticker0024^FE_ESTIMATE(PRODLINE_EBIT_17,MEAN,QUARTERLY_ROLL,2019/4F,45776,,,'')&lt;/Q&gt;&lt;R&gt;1&lt;/R&gt;&lt;C&gt;1&lt;/C&gt;&lt;D xsi:type="xsd:double"&gt;3559&lt;/D&gt;&lt;/FQL&gt;&lt;FQL&gt;&lt;Q&gt;Ticker0024^FE_ESTIMATE(PRODLINE_EBIT_17,MEAN,QUARTERLY_ROLL,2019/3F,45776,,,'')&lt;/Q&gt;&lt;R&gt;1&lt;/R&gt;&lt;C&gt;1&lt;/C&gt;&lt;D xsi:type="xsd:double"&gt;3154&lt;/D&gt;&lt;/FQL&gt;&lt;FQL&gt;&lt;Q&gt;Ticker0024^FE_ESTIMATE(PRODLINE_EBIT_17,MEAN,QUARTERLY_ROLL,2019/2F,45776,,,'')&lt;/Q&gt;&lt;R&gt;1&lt;/R&gt;&lt;C&gt;1&lt;/C&gt;&lt;D xsi:type="xsd:double"&gt;2964&lt;/D&gt;&lt;/FQL&gt;&lt;FQL&gt;&lt;Q&gt;Ticker0024^FE_ESTIMATE(PRODLINE_EBIT_17,MEAN,QUARTERLY_ROLL,2019/1F,45776,,,'')&lt;/Q&gt;&lt;R&gt;1&lt;/R&gt;&lt;C&gt;1&lt;/C&gt;&lt;D xsi:type="xsd:double"&gt;3143&lt;/D&gt;&lt;/FQL&gt;&lt;FQL&gt;&lt;Q&gt;Ticker0024^FE_ESTIMATE(PRODLINE_EBIT_17,MEAN,ANNUAL_ROLL,2018,45776,,,'')&lt;/Q&gt;&lt;R&gt;1&lt;/R&gt;&lt;C&gt;1&lt;/C&gt;&lt;D xsi:type="xsd:double"&gt;10610.25&lt;/D&gt;&lt;/FQL&gt;&lt;FQL&gt;&lt;Q&gt;Ticker0024^FE_ESTIMATE(PRODLINE_EBIT_17,MEAN,QUARTERLY_ROLL,2018/4F,45776,,,'')&lt;/Q&gt;&lt;R&gt;1&lt;/R&gt;&lt;C&gt;1&lt;/C&gt;&lt;D xsi:type="xsd:double"&gt;3012&lt;/D&gt;&lt;/FQL&gt;&lt;FQL&gt;&lt;Q&gt;Ticker0024^FE_ESTIMATE(PRODLINE_EBIT_17,MEAN,QUARTERLY_ROLL,2018/3F,45776,,,'')&lt;/Q&gt;&lt;R&gt;1&lt;/R&gt;&lt;C&gt;1&lt;/C&gt;&lt;D xsi:type="xsd:double"&gt;2523&lt;/D&gt;&lt;/FQL&gt;&lt;FQL&gt;&lt;Q&gt;Ticker0024^FE_ESTIMATE(PRODLINE_EBIT_17,MEAN,QUARTERLY_ROLL,2018/2F,45776,,,'')&lt;/Q&gt;&lt;R&gt;1&lt;/R&gt;&lt;C&gt;1&lt;/C&gt;&lt;D xsi:type="xsd:double"&gt;2510&lt;/D&gt;&lt;/FQL&gt;&lt;FQL&gt;&lt;Q&gt;Ticker0024^FE_ESTIMATE(PRODLINE_EBIT_17,MEAN,QUARTERLY_ROLL,2018/1F,45776,,,'')&lt;/Q&gt;&lt;R&gt;1&lt;/R&gt;&lt;C&gt;1&lt;/C&gt;&lt;D xsi:type="xsd:double"&gt;2565&lt;/D&gt;&lt;/FQL&gt;&lt;FQL&gt;&lt;Q&gt;Ticker0024^FE_ESTIMATE(PRODLINE_EBIT_17,MEAN,ANNUAL_ROLL,2017,45776,,,'')&lt;/Q&gt;&lt;R&gt;1&lt;/R&gt;&lt;C&gt;1&lt;/C&gt;&lt;D xsi:type="xsd:double"&gt;8288&lt;/D&gt;&lt;/FQL&gt;&lt;FQL&gt;&lt;Q&gt;Ticker0024^FE_ESTIMATE(PRODLINE_EBIT_17,MEAN,QUARTERLY_ROLL,2017/4F,45776,,,'')&lt;/Q&gt;&lt;R&gt;1&lt;/R&gt;&lt;C&gt;1&lt;/C&gt;&lt;D xsi:type="xsd:double"&gt;1764&lt;/D&gt;&lt;/FQL&gt;&lt;FQL&gt;&lt;Q&gt;Ticker0024^FE_ESTIMATE(PRODLINE_EBIT_17,MEAN,QUARTERLY_ROLL,2017/3F,45776,,,'')&lt;/Q&gt;&lt;R&gt;1&lt;/R&gt;&lt;C&gt;1&lt;/C&gt;&lt;D xsi:type="xsd:double"&gt;2097&lt;/D&gt;&lt;/FQL&gt;&lt;FQL&gt;&lt;Q&gt;Ticker0024^FE_ESTIMATE(PRODLINE_EBIT_17,MEAN,QUARTERLY_ROLL,2017/2F,45776,,,'')&lt;/Q&gt;&lt;R&gt;1&lt;/R&gt;&lt;C&gt;1&lt;/C&gt;&lt;D xsi:type="xsd:double"&gt;2499&lt;/D&gt;&lt;/FQL&gt;&lt;FQL&gt;&lt;Q&gt;Ticker0024^FE_ESTIMATE(PRODLINE_EBIT_17,MEAN,QUARTERLY_ROLL,2017/1F,45776,,,'')&lt;/Q&gt;&lt;R&gt;1&lt;/R&gt;&lt;C&gt;1&lt;/C&gt;&lt;D xsi:type="xsd:double"&gt;1928&lt;/D&gt;&lt;/FQL&gt;&lt;FQL&gt;&lt;Q&gt;Ticker0024^FE_ESTIMATE(PRODLINE_EBIT_17,MEAN,ANNUAL_ROLL,2016,45776,,,'')&lt;/Q&gt;&lt;R&gt;1&lt;/R&gt;&lt;C&gt;1&lt;/C&gt;&lt;D xsi:type="xsd:double"&gt;6167.3335&lt;/D&gt;&lt;/FQL&gt;&lt;FQL&gt;&lt;Q&gt;Ticker0024^FE_ESTIMATE(PRODLINE_EBIT_17,MEAN,QUARTERLY_ROLL,2016/4F,45776,,,'')&lt;/Q&gt;&lt;R&gt;1&lt;/R&gt;&lt;C&gt;1&lt;/C&gt;&lt;D xsi:type="xsd:double"&gt;964&lt;/D&gt;&lt;/FQL&gt;&lt;FQL&gt;&lt;Q&gt;Ticker0024^FE_ESTIMATE(PRODLINE_EBIT_17,MEAN,QUARTERLY_ROLL,2016/3F,45776,,,'')&lt;/Q&gt;&lt;R&gt;1&lt;/R&gt;&lt;C&gt;1&lt;/C&gt;&lt;D xsi:type="xsd:double"&gt;1645&lt;/D&gt;&lt;/FQL&gt;&lt;FQL&gt;&lt;Q&gt;Ticker0024^FE_ESTIMATE(PRODLINE_EBIT_17,MEAN,QUARTERLY_ROLL,2016/2F,45776,,,'')&lt;/Q&gt;&lt;R&gt;0&lt;/R&gt;&lt;C&gt;0&lt;/C&gt;&lt;/FQL&gt;&lt;FQL&gt;&lt;Q&gt;Ticker0024^FE_ESTIMATE(PRODLINE_EBIT_17,MEAN,QUARTERLY_ROLL,2016/1F,45776,,,'')&lt;/Q&gt;&lt;R&gt;0&lt;/R&gt;&lt;C&gt;0&lt;/C&gt;&lt;/FQL&gt;&lt;FQL&gt;&lt;Q&gt;Ticker0024^FE_ESTIMATE(PRODLINE_EBIT_17,MEAN,ANNUAL_ROLL,2015,45776,,,'')&lt;/Q&gt;&lt;R&gt;0&lt;/R&gt;&lt;C&gt;0&lt;/C&gt;&lt;/FQL&gt;&lt;FQL&gt;&lt;Q&gt;Ticker0024^FE_ESTIMATE(PRODLINE_EBIT_17,MEAN,QUARTERLY_ROLL,2015/4F,45776,,,'')&lt;/Q&gt;&lt;R&gt;0&lt;/R&gt;&lt;C&gt;0&lt;/C&gt;&lt;/FQL&gt;&lt;FQL&gt;&lt;Q&gt;Ticker0024^FE_ESTIMATE(PRODLINE_EBIT_17,MEAN,QUARTERLY_ROLL,2015/3F,45776,,,'')&lt;/Q&gt;&lt;R&gt;0&lt;/R&gt;&lt;C&gt;0&lt;/C&gt;&lt;/FQL&gt;&lt;FQL&gt;&lt;Q&gt;Ticker0024^FE_ESTIMATE(PRODLINE_EBIT_17,MEAN,QUARTERLY_ROLL,2015/2F,45776,,,'')&lt;/Q&gt;&lt;R&gt;0&lt;/R&gt;&lt;C&gt;0&lt;/C&gt;&lt;/FQL&gt;&lt;FQL&gt;&lt;Q&gt;Ticker0024^FE_ESTIMATE(PRODLINE_EBIT_17,MEAN,QUARTERLY_ROLL,2015/1F,45776,,,'')&lt;/Q&gt;&lt;R&gt;0&lt;/R&gt;&lt;C&gt;0&lt;/C&gt;&lt;/FQL&gt;&lt;FQL&gt;&lt;Q&gt;Ticker0024^FE_ESTIMATE(PRODLINE_EBIT_16,MEAN,ANNUAL_ROLL,2030,45776,,,'')&lt;/Q&gt;&lt;R&gt;0&lt;/R&gt;&lt;C&gt;0&lt;/C&gt;&lt;/FQL&gt;&lt;FQL&gt;&lt;Q&gt;Ticker0024^FE_ESTIMATE(PRODLINE_EBIT_16,MEAN,QUARTERLY_ROLL,2030/4F,45776,,,'')&lt;/Q&gt;&lt;R&gt;0&lt;/R&gt;&lt;C&gt;0&lt;/C&gt;&lt;/FQL&gt;&lt;FQL&gt;&lt;Q&gt;Ticker0024^FE_ESTIMATE(PRODLINE_EBIT_16,MEAN,QUARTERLY_ROLL,2030/3F,45776,,,'')&lt;/Q&gt;&lt;R&gt;0&lt;/R&gt;&lt;C&gt;0&lt;/C&gt;&lt;/FQL&gt;&lt;FQL&gt;&lt;Q&gt;Ticker0024^FE_ESTIMATE(PRODLINE_EBIT_16,MEAN,QUARTERLY_ROLL,2030/2F,45776,,,'')&lt;/Q&gt;&lt;R&gt;0&lt;/R&gt;&lt;C&gt;0&lt;/C&gt;&lt;/FQL&gt;&lt;FQL&gt;&lt;Q&gt;Ticker0024^FE_ESTIMATE(PRODLINE_EBIT_16,MEAN,QUARTERLY_ROLL,2030/1F,45776,,,'')&lt;/Q&gt;&lt;R&gt;0&lt;/R&gt;&lt;C&gt;0&lt;/C&gt;&lt;/FQL&gt;&lt;FQL&gt;&lt;Q&gt;Ticker0024^FE_ESTIMATE(PRODLINE_EBIT_16,MEAN,ANNUAL_ROLL,2029,45776,,,'')&lt;/Q&gt;&lt;R&gt;0&lt;/R&gt;&lt;C&gt;0&lt;/C&gt;&lt;/FQL&gt;&lt;FQL&gt;&lt;Q&gt;Ticker0024^FE_ESTIMATE(PRODLINE_EBIT_16,MEAN,QUARTERLY_ROLL,2029/4F,45776,,,'')&lt;/Q&gt;&lt;R&gt;0&lt;/R&gt;&lt;C&gt;0&lt;/C&gt;&lt;/FQL&gt;&lt;FQL&gt;&lt;Q&gt;Ticker0024^FE_ESTIMATE(PRODLINE_EBIT_16,MEAN,QUARTERLY_ROLL,2029/3F,45776,,,'')&lt;/Q&gt;&lt;R&gt;0&lt;/R&gt;&lt;C&gt;0&lt;/C&gt;&lt;/FQL&gt;&lt;FQL&gt;&lt;Q&gt;Ticker0024^FE_ESTIMATE(PRODLINE_EBIT_16,MEAN,QUARTERLY_ROLL,2029/2F,45776,,,'')&lt;/Q&gt;&lt;R&gt;0&lt;/R&gt;&lt;C&gt;0&lt;/C&gt;&lt;/FQL&gt;&lt;FQL&gt;&lt;Q&gt;Ticker0024^FE_ESTIMATE(PRODLINE_EBIT_16,MEAN,QUARTERLY_ROLL,2029/1F,45776,,,'')&lt;/Q&gt;&lt;R&gt;0&lt;/R&gt;&lt;C&gt;0&lt;/C&gt;&lt;/FQL&gt;&lt;FQL&gt;&lt;Q&gt;Ticker0024^FE_ESTIMATE(PRODLINE_EBIT_16,MEAN,ANNUAL_ROLL,2028,45776,,,'')&lt;/Q&gt;&lt;R&gt;1&lt;/R&gt;&lt;C&gt;1&lt;/C&gt;&lt;D xsi:type="xsd:double"&gt;88201&lt;/D&gt;&lt;/FQL&gt;&lt;FQL&gt;&lt;Q&gt;Ticker0024^FE_ESTIMATE(PRODLINE_EBIT_16,MEAN,QUARTERLY_ROLL,2028/4F,45776,,,'')&lt;/Q&gt;&lt;R&gt;0&lt;/R&gt;&lt;C&gt;0&lt;/C&gt;&lt;/FQL&gt;&lt;FQL&gt;&lt;Q&gt;Ticker0024^FE_ESTIMATE(PRODLINE_EBIT_16,MEAN,QUARTERLY_ROLL,2028/3F,45776,,,'')&lt;/Q&gt;&lt;R&gt;0&lt;/R&gt;&lt;C&gt;0&lt;/C&gt;&lt;/FQL&gt;&lt;FQL&gt;&lt;Q&gt;Ticker0024^FE_ESTIMATE(PRODLINE_EBIT_16,MEAN,QUARTERLY_ROLL,2028/2F,45776,,,'')&lt;/Q&gt;&lt;R&gt;0&lt;/R&gt;&lt;C&gt;0&lt;/C&gt;&lt;/FQL&gt;&lt;FQL&gt;&lt;Q&gt;Ticker0024^FE_ESTIMATE(PRODLINE_EBIT_16,MEAN,QUARTERLY_ROLL,2028/1F,45776,,,'')&lt;/Q&gt;&lt;R&gt;0&lt;/R&gt;&lt;C&gt;0&lt;/C&gt;&lt;/FQL&gt;&lt;FQL&gt;&lt;Q&gt;Ticker0024^FE_ESTIMATE(PRODLINE_EBIT_16,MEAN,ANNUAL_ROLL,2027,45776,,,'')&lt;/Q&gt;&lt;R&gt;1&lt;/R&gt;&lt;C&gt;1&lt;/C&gt;&lt;D xsi:type="xsd:double"&gt;69101.336&lt;/D&gt;&lt;/FQL&gt;&lt;FQL&gt;&lt;Q&gt;Ticker0024^FE_ESTIMATE(PRODLINE_EBIT_16,MEAN,QUARTERLY_ROLL,2027/4F,45776,,,'')&lt;/Q&gt;&lt;R&gt;0&lt;/R&gt;&lt;C&gt;0&lt;/C&gt;&lt;/FQL&gt;&lt;FQL&gt;&lt;Q&gt;Ticker0024^FE_ESTIMATE(PRODLINE_EBIT_16,MEAN,QUARTERLY_ROLL,2027/3F,45776,,,'')&lt;/Q&gt;&lt;R&gt;0&lt;/R&gt;&lt;C&gt;0&lt;/C&gt;&lt;/FQL&gt;&lt;FQL&gt;&lt;Q&gt;Ticker0024^FE_ESTIMATE(PRODLINE_EBIT_16,MEAN,QUARTERLY_ROLL,2027/2F,45776,,,'')&lt;/Q&gt;&lt;R&gt;0&lt;/R&gt;&lt;C&gt;0&lt;/C&gt;&lt;/FQL&gt;&lt;FQL&gt;&lt;Q&gt;Ticker0024^FE_ESTIMATE(PRODLINE_EBIT_16,MEAN,QUARTERLY_ROLL,2027/1F,45776,,,'')&lt;/Q&gt;&lt;R&gt;0&lt;/R&gt;&lt;C&gt;0&lt;/C&gt;&lt;/FQL&gt;&lt;FQL&gt;&lt;Q&gt;Ticker0024^FE_ESTIMATE(PRODLINE_EBIT_16,MEAN,ANNUAL_ROLL,2026,45776,,,'')&lt;/Q&gt;&lt;R&gt;1&lt;/R&gt;&lt;C&gt;1&lt;/C&gt;&lt;D xsi:type="xsd:double"&gt;57133.25&lt;/D&gt;&lt;/FQL&gt;&lt;FQL&gt;&lt;Q&gt;Ticker0024^FE_ESTIMATE(PRODLINE_EBIT_16,MEAN,QUARTERLY_ROLL,2026/4F,45776,,,'')&lt;/Q&gt;&lt;R&gt;1&lt;/R&gt;&lt;C&gt;1&lt;/C&gt;&lt;D xsi:type="xsd:double"&gt;15323.667&lt;/D&gt;&lt;/FQL&gt;&lt;FQL&gt;&lt;Q&gt;Ticker0024^FE_ESTIMATE(PRODLINE_EBIT_16,MEAN,QUARTERLY_ROLL,2026/3F,45776,,,'')&lt;/Q&gt;&lt;R&gt;1&lt;/R&gt;&lt;C&gt;1&lt;/C&gt;&lt;D xsi:type="xsd:double"&gt;14215&lt;/D&gt;&lt;/FQL&gt;&lt;FQL&gt;&lt;Q&gt;Ticker0024^FE_ESTIMATE(PRODLINE_EBIT_16,MEAN,QUARTERLY_ROLL,2026/2F,45776,,,'')&lt;/Q&gt;&lt;R&gt;1&lt;/R&gt;&lt;C&gt;1&lt;/C&gt;&lt;D xsi:type="xsd:double"&gt;13941.333&lt;/D&gt;&lt;/FQL&gt;&lt;FQL&gt;&lt;Q&gt;Ticker0024^FE_ESTIMATE(PRODLINE_EBIT_16,MEAN,QUARTERLY_ROLL,2026/1F,45776,,,'')&lt;/Q&gt;&lt;R&gt;1&lt;/R&gt;&lt;C&gt;1&lt;/C&gt;&lt;D xsi:type="xsd:double"&gt;13576.667&lt;/D&gt;&lt;/FQL&gt;&lt;FQL&gt;&lt;Q&gt;Ticker0024^FE_ESTIMATE(PRODLINE_EBIT_16,MEAN,ANNUAL_ROLL,2025,45776,,,'')&lt;/Q&gt;&lt;R&gt;1&lt;/R&gt;&lt;C&gt;1&lt;/C&gt;&lt;D xsi:type="xsd:double"&gt;46586.4&lt;/D&gt;&lt;/FQL&gt;&lt;FQL&gt;&lt;Q&gt;Ticker0024^FE_ESTIMATE(PRODLINE_EBIT_16,MEAN,QUARTERLY_ROLL,2025/4F,45776,,,'')&lt;/Q&gt;&lt;R&gt;1&lt;/R&gt;&lt;C&gt;1&lt;/C&gt;&lt;D xsi:type="xsd:double"&gt;12703.6&lt;/D&gt;&lt;/FQL&gt;&lt;FQL&gt;&lt;Q&gt;Ticker0024^FE_ESTIMATE(PRODLINE_EBIT_16,MEAN,QUARTERLY_ROLL,2025/3F,45776,,,'')&lt;/Q&gt;&lt;R&gt;1&lt;/R&gt;&lt;C&gt;1&lt;/C&gt;&lt;D xsi:type="xsd:double"&gt;11483.2&lt;/D&gt;&lt;/FQL&gt;&lt;FQL&gt;&lt;Q&gt;Ticker0024^FE_ESTIMATE(PRODLINE_EBIT_16,MEAN,QUARTERLY_ROLL,2025/2F,45776,,,'')&lt;/Q&gt;&lt;R&gt;1&lt;/R&gt;&lt;C&gt;1&lt;/C&gt;&lt;D xsi:type="xsd:double"&gt;11386.8&lt;/D&gt;&lt;/FQL&gt;&lt;FQL&gt;&lt;Q&gt;Ticker0024^FE_ESTIMATE(PRODLINE_EBIT_16,MEAN,QUARTERLY_ROLL,2025/1F,45776,,,'')&lt;/Q&gt;&lt;R&gt;1&lt;/R&gt;&lt;C&gt;1&lt;/C&gt;&lt;D xsi:type="xsd:double"&gt;11013&lt;/D&gt;&lt;/FQL&gt;&lt;FQL&gt;&lt;Q&gt;Ticker0024^FE_ESTIMATE(PRODLINE_EBIT_16,MEAN,ANNUAL_ROLL,2024,45776,,,'')&lt;/Q&gt;&lt;R&gt;1&lt;/R&gt;&lt;C&gt;1&lt;/C&gt;&lt;D xsi:type="xsd:double"&gt;49583.2&lt;/D&gt;&lt;/FQL&gt;&lt;FQL&gt;&lt;Q&gt;Ticker0024^FE_ESTIMATE(PRODLINE_EBIT_16,MEAN,QUARTERLY_ROLL,2024/4F,45776,,,'')&lt;/Q&gt;&lt;R&gt;1&lt;/R&gt;&lt;C&gt;1&lt;/C&gt;&lt;D xsi:type="xsd:double"&gt;12859.2&lt;/D&gt;&lt;/FQL&gt;&lt;FQL&gt;&lt;Q&gt;Ticker0024^FE_ESTIMATE(PRODLINE_EBIT_16,MEAN,QUARTERLY_ROLL,2024/3F,45776,,,'')&lt;/Q&gt;&lt;R&gt;1&lt;/R&gt;&lt;C&gt;1&lt;/C&gt;&lt;D xsi:type="xsd:double"&gt;12512.571&lt;/D&gt;&lt;/FQL&gt;&lt;FQL&gt;&lt;Q&gt;Ticker0024^FE_ESTIMATE(PRODLINE_EBIT_16,MEAN,QUARTERLY_ROLL,2024/2F,45776,,,'')&lt;/Q&gt;&lt;R&gt;1&lt;/R&gt;&lt;C&gt;1&lt;/C&gt;&lt;D xsi:type="xsd:double"&gt;12460.833&lt;/D&gt;&lt;/FQL&gt;&lt;FQL&gt;&lt;Q&gt;Ticker0024^FE_ESTIMATE(PRODLINE_EBIT_16,MEAN,QUARTERLY_ROLL,2024/1F,45776,,,'')&lt;/Q&gt;&lt;R&gt;1&lt;/R&gt;&lt;C&gt;1&lt;/C&gt;&lt;D xsi:type="xsd:double"&gt;11750.8&lt;/D&gt;&lt;/FQL&gt;&lt;FQL&gt;&lt;Q&gt;Ticker0024^FE_ESTIMATE(PRODLINE_EBIT_16,MEAN,ANNUAL_ROLL,2023,45776,,,'')&lt;/Q&gt;&lt;R&gt;1&lt;/R&gt;&lt;C&gt;1&lt;/C&gt;&lt;D xsi:type="xsd:double"&gt;37883.2&lt;/D&gt;&lt;/FQL&gt;&lt;FQL&gt;&lt;Q&gt;Ticker0024^FE_ESTIMATE(PRODLINE_EBIT_16,MEAN,QUARTERLY_ROLL,2023/4F,45776,,,'')&lt;/Q&gt;&lt;R&gt;1&lt;/R&gt;&lt;C&gt;1&lt;/C&gt;&lt;D xsi:type="xsd:double"&gt;10526.8&lt;/D&gt;&lt;/FQL&gt;&lt;FQL&gt;&lt;Q&gt;Ticker0024^FE_ESTIMATE(PRODLINE_EBIT_16,MEAN,QUARTERLY_ROLL,2023/3F,45776,,,'')&lt;/Q&gt;&lt;R&gt;1&lt;/R&gt;&lt;C&gt;1&lt;/C&gt;&lt;D xsi:type="xsd:double"&gt;9476.8&lt;/D&gt;&lt;/FQL&gt;&lt;FQL&gt;&lt;Q&gt;Ticker0024^FE_ESTIMATE(PRODLINE_EBIT_16,MEAN,QUARTERLY_ROLL,2023/2F,45776,,,'')&lt;/Q&gt;&lt;R&gt;1&lt;/R&gt;&lt;C&gt;1&lt;/C&gt;&lt;D xsi:type="xsd:double"&gt;8903.2&lt;/D&gt;&lt;/FQL&gt;&lt;FQL&gt;&lt;Q&gt;Ticker0024^FE_ESTIMATE(PRODLINE_EBIT_16,MEAN,QUARTERLY_ROLL,2023/1F,45776,,,'')&lt;/Q&gt;&lt;R&gt;1&lt;/R&gt;&lt;C&gt;1&lt;/C&gt;&lt;D xsi:type="xsd:double"&gt;8954.6&lt;/D&gt;&lt;/FQL&gt;&lt;FQL&gt;&lt;Q&gt;Ticker0024^FE_ESTIMATE(PRODLINE_EBIT_16,MEAN,ANNUAL_ROLL,2022,45776,,,'')&lt;/Q&gt;&lt;R&gt;1&lt;/R&gt;&lt;C&gt;1&lt;/C&gt;&lt;D xsi:type="xsd:double"&gt;32708.6&lt;/D&gt;&lt;/FQL&gt;&lt;FQL&gt;&lt;Q&gt;Ticker0024^FE_ESTIMATE(PRODLINE_EBIT_16,MEAN,QUARTERLY_ROLL,2022/4F,45776,,,'')&lt;/Q&gt;&lt;R&gt;1&lt;/R&gt;&lt;C&gt;1&lt;/C&gt;&lt;D xsi:type="xsd:double"&gt;8668.8&lt;/D&gt;&lt;/FQL&gt;&lt;FQL&gt;&lt;Q&gt;Ticker0024^FE_ESTIMATE(PRODLINE_EBIT_16,MEAN,QUARTERLY_ROLL,2022/3F,45776,,,'')&lt;/Q&gt;&lt;R&gt;1&lt;/R&gt;&lt;C&gt;1&lt;/C&gt;&lt;D xsi:type="xsd:double"&gt;8281&lt;/D&gt;&lt;/FQL&gt;&lt;FQL&gt;&lt;Q&gt;Ticker0024^FE_ESTIMATE(PRODLINE_EBIT_16,MEAN,QUARTERLY_ROLL,2022/2F,45776,,,'')&lt;/Q&gt;&lt;R&gt;1&lt;/R&gt;&lt;C&gt;1&lt;/C&gt;&lt;D xsi:type="xsd:double"&gt;8197&lt;/D&gt;&lt;/FQL&gt;&lt;FQL&gt;&lt;Q&gt;Ticker0024^FE_ESTIMATE(PRODLINE_EBIT_16,MEAN,QUARTERLY_ROLL,2022/1F,45776,,,'')&lt;/Q&gt;&lt;R&gt;1&lt;/R&gt;&lt;C&gt;1&lt;/C&gt;&lt;D xsi:type="xsd:double"&gt;7562&lt;/D&gt;&lt;/FQL&gt;&lt;FQL&gt;&lt;Q&gt;Ticker0024^FE_ESTIMATE(PRODLINE_EBIT_16,MEAN,ANNUAL_ROLL,2021,45776,,,'')&lt;/Q&gt;&lt;R&gt;1&lt;/R&gt;&lt;C&gt;1&lt;/C&gt;&lt;D xsi:type="xsd:double"&gt;26126&lt;/D&gt;&lt;/FQL&gt;&lt;FQL&gt;&lt;Q&gt;Ticker0024^FE_ESTIMATE(PRODLINE_EBIT_16,MEAN,QUARTERLY_ROLL,2021/4F,45776,,,'')&lt;/Q&gt;&lt;R&gt;1&lt;/R&gt;&lt;C&gt;1&lt;/C&gt;&lt;D xsi:type="xsd:double"&gt;7787&lt;/D&gt;&lt;/FQL&gt;&lt;FQL&gt;&lt;Q&gt;Ticker0024^FE_ESTIMATE(PRODLINE_EBIT_16,MEAN,QUARTERLY_ROLL,2021/3F,45776,,,'')&lt;/Q&gt;&lt;R&gt;1&lt;/R&gt;&lt;C&gt;1&lt;/C&gt;&lt;D xsi:type="xsd:double"&gt;6425&lt;/D&gt;&lt;/FQL&gt;&lt;FQL&gt;&lt;Q&gt;Ticker0024^FE_ESTIMATE(PRODLINE_EBIT_16,MEAN,QUARTERLY_ROLL,2021/2F,45776,,,'')&lt;/Q&gt;&lt;R&gt;1&lt;/R&gt;&lt;C&gt;1&lt;/C&gt;&lt;D xsi:type="xsd:double"&gt;6492&lt;/D&gt;&lt;/FQL&gt;&lt;FQL&gt;&lt;Q&gt;Ticker0024^FE_ESTIMATE(PRODLINE_EBIT_16,MEAN,QUARTERLY_ROLL,2021/1F,45776,,,'')&lt;/Q&gt;&lt;R&gt;1&lt;/R&gt;&lt;C&gt;1&lt;/C&gt;&lt;D xsi:type="xsd:double"&gt;5422&lt;/D&gt;&lt;/FQL&gt;&lt;FQL&gt;&lt;Q&gt;Ticker0024^FE_ESTIMATE(PRODLINE_EBIT_16,MEAN,ANNUAL_ROLL,2020,45776,,,'')&lt;/Q&gt;&lt;R&gt;1&lt;/R&gt;&lt;C&gt;1&lt;/C&gt;&lt;D xsi:type="xsd:double"&gt;18188.334&lt;/D&gt;&lt;/FQL&gt;&lt;FQL&gt;&lt;Q&gt;Ticker0024^FE_ESTIMATE(PRODLINE_EBIT_16,MEAN,QUARTERLY_ROLL,2020/4F,45776,,,'')&lt;/Q&gt;&lt;R&gt;1&lt;/R&gt;&lt;C&gt;1&lt;/C&gt;&lt;D xsi:type="xsd:double"&gt;5208.3335&lt;/D&gt;&lt;/FQL&gt;&lt;FQL&gt;&lt;Q&gt;Ticker0024^FE_ESTIMATE(PRODLINE_EBIT_16,MEAN,QUARTERLY_ROLL,2020/3F,45776,,,'')&lt;/Q&gt;&lt;R&gt;1&lt;/R&gt;&lt;C&gt;1&lt;/C&gt;&lt;D xsi:type="xsd:double"&gt;4560&lt;/D&gt;&lt;/FQL&gt;&lt;FQL&gt;&lt;Q&gt;Ticker0024^FE_ESTIMATE(PRODLINE_EBIT_16,MEAN,QUARTERLY_ROLL,2020/2F,45776,,,'')&lt;/Q&gt;&lt;R&gt;1&lt;/R&gt;&lt;C&gt;1&lt;/C&gt;&lt;D xsi:type="xsd:double"&gt;4531&lt;/D&gt;&lt;/FQL&gt;&lt;FQL&gt;&lt;Q&gt;Ticker0024^FE_ESTIMATE(PRODLINE_EBIT_16,MEAN,QUARTERLY_ROLL,2020/1F,45776,,,'')&lt;/Q&gt;&lt;R&gt;1&lt;/R&gt;&lt;C&gt;1&lt;/C&gt;&lt;D xsi:type="xsd:double"&gt;3889&lt;/D&gt;&lt;/FQL&gt;&lt;FQL&gt;&lt;Q&gt;Ticker0024^FE_ESTIMATE(PRODLINE_EBIT_16,MEAN,ANNUAL_ROLL,2019,45776,,,'')&lt;/Q&gt;&lt;R&gt;1&lt;/R&gt;&lt;C&gt;1&lt;/C&gt;&lt;D xsi:type="xsd:double"&gt;13920&lt;/D&gt;&lt;/FQL&gt;&lt;FQL&gt;&lt;Q&gt;Ticker0024^FE_ESTIMATE(PRODLINE_EBIT_16,MEAN,QUARTERLY_ROLL,2019/4F,45776,,,'')&lt;/Q&gt;&lt;R&gt;1&lt;/R&gt;&lt;C&gt;1&lt;/C&gt;&lt;D xsi:type="xsd:double"&gt;4502&lt;/D&gt;&lt;/FQL&gt;&lt;FQL&gt;&lt;Q&gt;Ticker0024^FE_ESTIMATE(PRODLINE_EBIT_16,MEAN,QUARTERLY_ROLL,2019/3F,45776,,,'')&lt;/Q&gt;&lt;R&gt;1&lt;/R&gt;&lt;C&gt;1&lt;/C&gt;&lt;D xsi:type="xsd:double"&gt;3208&lt;/D&gt;&lt;/FQL&gt;&lt;FQL&gt;&lt;Q&gt;Ticker0024^FE_ESTIMATE(PRODLINE_EBIT_16,MEAN,QUARTERLY_ROLL,2019/2F,45776,,,'')&lt;/Q&gt;&lt;R&gt;1&lt;/R&gt;&lt;C&gt;1&lt;/C&gt;&lt;D xsi:type="xsd:double"&gt;3278.75&lt;/D&gt;&lt;/FQL&gt;&lt;FQL&gt;&lt;Q&gt;Ticker0024^FE_ESTIMATE(PRODLINE_EBIT_16,MEAN,QUARTERLY_ROLL,2019/1F,45776,,,'')&lt;/Q&gt;&lt;R&gt;1&lt;/R&gt;&lt;C&gt;1&lt;/C&gt;&lt;D xsi:type="xsd:double"&gt;2931&lt;/D&gt;&lt;/FQL&gt;&lt;FQL&gt;&lt;Q&gt;Ticker0024^FE_ESTIMATE(PRODLINE_EBIT_16,MEAN,ANNUAL_ROLL,2018,45776,,,'')&lt;/Q&gt;&lt;R&gt;1&lt;/R&gt;&lt;C&gt;1&lt;/C&gt;&lt;D xsi:type="xsd:double"&gt;11524&lt;/D&gt;&lt;/FQL&gt;&lt;FQL&gt;&lt;Q&gt;Ticker0024^FE_ESTIMATE(PRODLINE_EBIT_16,MEAN,QUARTERLY_ROLL,2018/4F,45776,,,'')&lt;/Q&gt;&lt;R&gt;1&lt;/R&gt;&lt;C&gt;1&lt;/C&gt;&lt;D xsi:type="xsd:double"&gt;3901&lt;/D&gt;&lt;/FQL&gt;&lt;FQL&gt;&lt;Q&gt;Ticker0024^FE_ESTIMATE(PRODLINE_EBIT_16,MEAN,QUARTERLY_ROLL,2018/3F,45776,,,'')&lt;/Q&gt;&lt;R&gt;1&lt;/R&gt;&lt;C&gt;1&lt;/C&gt;&lt;D xsi:type="xsd:double"&gt;2654&lt;/D&gt;&lt;/FQL&gt;&lt;FQL&gt;&lt;Q&gt;Ticker0024^FE_ESTIMATE(PRODLINE_EBIT_16,MEAN,QUARTERLY_ROLL,2018/2F,45776,,,'')&lt;/Q&gt;&lt;R&gt;1&lt;/R&gt;&lt;C&gt;1&lt;/C&gt;&lt;D xsi:type="xsd:double"&gt;2832&lt;/D&gt;&lt;/FQL&gt;&lt;FQL&gt;&lt;Q&gt;Ticker0024^FE_ESTIMATE(PRODLINE_EBIT_16,MEAN,QUARTERLY_ROLL,2018/1F,45776,,,'')&lt;/Q&gt;&lt;R&gt;1&lt;/R&gt;&lt;C&gt;1&lt;/C&gt;&lt;D xsi:type="xsd:double"&gt;2137&lt;/D&gt;&lt;/FQL&gt;&lt;FQL&gt;&lt;Q&gt;Ticker0024^FE_ESTIMATE(PRODLINE_EBIT_16,MEAN,ANNUAL_ROLL,2017,45776,,,'')&lt;/Q&gt;&lt;R&gt;1&lt;/R&gt;&lt;C&gt;1&lt;/C&gt;&lt;D xsi:type="xsd:double"&gt;9138&lt;/D&gt;&lt;/FQL&gt;&lt;FQL&gt;&lt;Q&gt;Ticker0024^FE_ESTIMATE(PRODLINE_EBIT_16,MEAN,QUARTERLY_ROLL,2017/4F,45776,,,'')&lt;/Q&gt;&lt;R&gt;1&lt;/R&gt;&lt;C&gt;1&lt;/C&gt;&lt;D xsi:type="xsd:double"&gt;2501&lt;/D&gt;&lt;/FQL&gt;&lt;FQL&gt;&lt;Q&gt;Ticker0024^FE_ESTIMATE(PRODLINE_EBIT_16,MEAN,QUARTERLY_ROLL,2017/3F,45776,,,'')&lt;/Q&gt;&lt;R&gt;1&lt;/R&gt;&lt;C&gt;1&lt;/C&gt;&lt;D xsi:type="xsd:double"&gt;2181&lt;/D&gt;&lt;/FQL&gt;&lt;FQL&gt;&lt;Q&gt;Ticker0024^FE_ESTIMATE(PRODLINE_EBIT_16,MEAN,QUARTERLY_ROLL,2017/2F,45776,,,'')&lt;/Q&gt;&lt;R&gt;1&lt;/R&gt;&lt;C&gt;1&lt;/C&gt;&lt;D xsi:type="xsd:double"&gt;2398&lt;/D&gt;&lt;/FQL&gt;&lt;FQL&gt;&lt;Q&gt;Ticker0024^FE_ESTIMATE(PRODLINE_EBIT_16,MEAN,QUARTERLY_ROLL,2017/1F,45776,,,'')&lt;/Q&gt;&lt;R&gt;1&lt;/R&gt;&lt;C&gt;1&lt;/C&gt;&lt;D xsi:type="xsd:double"&gt;2058&lt;/D&gt;&lt;/FQL&gt;&lt;FQL&gt;&lt;Q&gt;Ticker0024^FE_ESTIMATE(PRODLINE_EBIT_16,MEAN,ANNUAL_ROLL,2016,45776,,,'')&lt;/Q&gt;&lt;R&gt;1&lt;/R&gt;&lt;C&gt;1&lt;/C&gt;&lt;D xsi:type="xsd:double"&gt;9357&lt;/D&gt;&lt;/FQL&gt;&lt;FQL&gt;&lt;Q&gt;Ticker0024^FE_ESTIMATE(PRODLINE_EBIT_16,MEAN,QUARTERLY_ROLL,2016/4F,45776,,,'')&lt;/Q&gt;&lt;R&gt;1&lt;/R&gt;&lt;C&gt;1&lt;/C&gt;&lt;D xsi:type="xsd:double"&gt;2190&lt;/D&gt;&lt;/FQL&gt;&lt;FQL&gt;&lt;Q&gt;Ticker0024^FE_ESTIMATE(PRODLINE_EBIT_16,MEAN,QUARTERLY_ROLL,2016/3F,45776,,,'')&lt;/Q&gt;&lt;R&gt;1&lt;/R&gt;&lt;C&gt;1&lt;/C&gt;&lt;D xsi:type="xsd:double"&gt;2188&lt;/D&gt;&lt;/FQL&gt;&lt;FQL&gt;&lt;Q&gt;Ticker0024^FE_ESTIMATE(PRODLINE_EBIT_16,MEAN,QUARTERLY_ROLL,2016/2F,45776,,,'')&lt;/Q&gt;&lt;R&gt;0&lt;/R&gt;&lt;C&gt;0&lt;/C&gt;&lt;/FQL&gt;&lt;FQL&gt;&lt;Q&gt;Ticker0024^FE_ESTIMATE(PRODLINE_EBIT_16,MEAN,QUARTERLY_ROLL,2016/1F,45776,,,'')&lt;/Q&gt;&lt;R&gt;0&lt;/R&gt;&lt;C&gt;0&lt;/C&gt;&lt;/FQL&gt;&lt;FQL&gt;&lt;Q&gt;Ticker0024^FE_ESTIMATE(PRODLINE_EBIT_16,MEAN,ANNUAL_ROLL,2015,45776,,,'')&lt;/Q&gt;&lt;R&gt;0&lt;/R&gt;&lt;C&gt;0&lt;/C&gt;&lt;/FQL&gt;&lt;FQL&gt;&lt;Q&gt;Ticker0024^FE_ESTIMATE(PRODLINE_EBIT_16,MEAN,QUARTERLY_ROLL,2015/4F,45776,,,'')&lt;/Q&gt;&lt;R&gt;0&lt;/R&gt;&lt;C&gt;0&lt;/C&gt;&lt;/FQL&gt;&lt;FQL&gt;&lt;Q&gt;Ticker0024^FE_ESTIMATE(PRODLINE_EBIT_16,MEAN,QUARTERLY_ROLL,2015/3F,45776,,,'')&lt;/Q&gt;&lt;R&gt;0&lt;/R&gt;&lt;C&gt;0&lt;/C&gt;&lt;/FQL&gt;&lt;FQL&gt;&lt;Q&gt;Ticker0024^FE_ESTIMATE(PRODLINE_EBIT_16,MEAN,QUARTERLY_ROLL,2015/2F,45776,,,'')&lt;/Q&gt;&lt;R&gt;0&lt;/R&gt;&lt;C&gt;0&lt;/C&gt;&lt;/FQL&gt;&lt;FQL&gt;&lt;Q&gt;Ticker0024^FE_ESTIMATE(PRODLINE_EBIT_16,MEAN,QUARTERLY_ROLL,2015/1F,45776,,,'')&lt;/Q&gt;&lt;R&gt;0&lt;/R&gt;&lt;C&gt;0&lt;/C&gt;&lt;/FQL&gt;&lt;FQL&gt;&lt;Q&gt;Ticker0024^FE_ESTIMATE(PRODLINE_EBIT_15,MEAN,ANNUAL_ROLL,2030,45776,,,'')&lt;/Q&gt;&lt;R&gt;0&lt;/R&gt;&lt;C&gt;0&lt;/C&gt;&lt;/FQL&gt;&lt;FQL&gt;&lt;Q&gt;Ticker0024^FE_ESTIMATE(PRODLINE_EBIT_15,MEAN,QUARTERLY_ROLL,2030/4F,45776,,,'')&lt;/Q&gt;&lt;R&gt;0&lt;/R&gt;&lt;C&gt;0&lt;/C&gt;&lt;/FQL&gt;&lt;FQL&gt;&lt;Q&gt;Ticker0024^FE_ESTIMATE(PRODLINE_EBIT_15,MEAN,QUARTERLY_ROLL,2030/3F,45776,,,'')&lt;/Q&gt;&lt;R&gt;0&lt;/R&gt;&lt;C&gt;0&lt;/C&gt;&lt;/FQL&gt;&lt;FQL&gt;&lt;Q&gt;Ticker0024^FE_ESTIMATE(PRODLINE_EBIT_15,MEAN,QUARTERLY_ROLL,2030/2F,45776,,,'')&lt;/Q&gt;&lt;R&gt;0&lt;/R&gt;&lt;C&gt;0&lt;/C&gt;&lt;/FQL&gt;&lt;FQL&gt;&lt;Q&gt;Ticker0024^FE_ESTIMATE(PRODLINE_EBIT_15,MEAN,QUARTERLY_ROLL,2030/1F,45776,,,'')&lt;/Q&gt;&lt;R&gt;0&lt;/R&gt;&lt;C&gt;0&lt;/C&gt;&lt;/FQL&gt;&lt;FQL&gt;&lt;Q&gt;Ticker0024^FE_ESTIMATE(PRODLINE_EBIT_15,MEAN,ANNUAL_ROLL,2029,45776,,,'')&lt;/Q&gt;&lt;R&gt;0&lt;/R&gt;&lt;C&gt;0&lt;/C&gt;&lt;/FQL&gt;&lt;FQL&gt;&lt;Q&gt;Ticker0024^FE_ESTIMATE(PRODLINE_EBIT_15,MEAN,QUARTERLY_ROLL,2029/4F,45776,,,'')&lt;/Q&gt;&lt;R&gt;0&lt;/R&gt;&lt;C&gt;0&lt;/C&gt;&lt;/FQL&gt;&lt;FQL&gt;&lt;Q&gt;Ticker0024^FE_ESTIMATE(PRODLINE_EBIT_15,MEAN,QUARTERLY_ROLL,2029/3F,45776,,,'')&lt;/Q&gt;&lt;R&gt;0&lt;/R&gt;&lt;C&gt;0&lt;/C&gt;&lt;/FQL&gt;&lt;FQL&gt;&lt;Q&gt;Ticker0024^FE_ESTIMATE(PRODLINE_EBIT_15,MEAN,QUARTERLY_ROLL,2029/2F,45776,,,'')&lt;/Q&gt;&lt;R&gt;0&lt;/R&gt;&lt;C&gt;0&lt;/C&gt;&lt;/FQL&gt;&lt;FQL&gt;&lt;Q&gt;Ticker0024^FE_ESTIMATE(PRODLINE_EBIT_15,MEAN,QUARTERLY_ROLL,2029/1F,45776,,,'')&lt;/Q&gt;&lt;R&gt;0&lt;/R&gt;&lt;C&gt;0&lt;/C&gt;&lt;/FQL&gt;&lt;FQL&gt;&lt;Q&gt;Ticker0024^FE_ESTIMATE(PRODLINE_EBIT_15,MEAN,ANNUAL_ROLL,2028,45776,,,'')&lt;/Q&gt;&lt;R&gt;1&lt;/R&gt;&lt;C&gt;1&lt;/C&gt;&lt;D xsi:type="xsd:double"&gt;75505&lt;/D&gt;&lt;/FQL&gt;&lt;FQL&gt;&lt;Q&gt;Ticker0024^FE_ESTIMATE(PRODLINE_EBIT_15,MEAN,QUARTERLY_ROLL,2028/4F,45776,,,'')&lt;/Q&gt;&lt;R&gt;0&lt;/R&gt;&lt;C&gt;0&lt;/C&gt;&lt;/FQL&gt;&lt;FQL&gt;&lt;Q&gt;Ticker0024^FE_ESTIMATE(PRODLINE_EBIT_15,MEAN,QUARTERLY_ROLL,2028/3F,45776,,,'')&lt;/Q&gt;&lt;R&gt;0&lt;/R&gt;&lt;C&gt;0&lt;/C&gt;&lt;/FQL&gt;&lt;FQL&gt;&lt;Q&gt;Ticker0024^FE_ESTIMATE(PRODLINE_EBIT_15,MEAN,QUARTERLY_ROLL,2028/2F,45776,,,'')&lt;/Q&gt;&lt;R&gt;0&lt;/R&gt;&lt;C&gt;0&lt;/C&gt;&lt;/FQL&gt;&lt;FQL&gt;&lt;Q&gt;Ticker0024^FE_ESTIMATE(PRODLINE_EBIT_15,MEAN,QUARTERLY_ROLL,2028/1F,45776,,,'')&lt;/Q&gt;&lt;R&gt;0&lt;/R&gt;&lt;C&gt;0&lt;/C&gt;&lt;/FQL&gt;&lt;FQL&gt;&lt;Q&gt;Ticker0024^FE_ESTIMATE(PRODLINE_EBIT_15,MEAN,ANNUAL_ROLL,2027,45776,,,'')&lt;/Q&gt;&lt;R&gt;1&lt;/R&gt;&lt;C&gt;1&lt;/C&gt;&lt;D xsi:type="xsd:double"&gt;77870.336&lt;/D&gt;&lt;/FQL&gt;&lt;FQL&gt;&lt;Q&gt;Ticker0024^FE_ESTIMATE(PRODLINE_EBIT_15,MEAN,QUARTERLY_ROLL,2027/4F,45776,,,'')&lt;/Q&gt;&lt;R&gt;0&lt;/R&gt;&lt;C&gt;0&lt;/C&gt;&lt;/FQL&gt;&lt;FQL&gt;&lt;Q&gt;Ticker0024^FE_ESTIMATE(PRODLINE_EBIT_15,MEAN,QUARTERLY_ROLL,2027/3F,45776,,,'')&lt;/Q&gt;&lt;R&gt;0&lt;/R&gt;&lt;C&gt;0&lt;/C&gt;&lt;/FQL&gt;&lt;FQL&gt;&lt;Q&gt;Ticker0024^FE_ESTIMATE(PRODLINE_EBIT_15,MEAN,QUARTERLY_ROLL,2027/2F,45776,,,'')&lt;/Q&gt;&lt;R&gt;0&lt;/R&gt;&lt;C&gt;0&lt;/C&gt;&lt;/FQL&gt;&lt;FQL&gt;&lt;Q&gt;Ticker0024^FE_ESTIMATE(PRODLINE_EBIT_15,MEAN,QUARTERLY_ROLL,2027/1F,45776,,,'')&lt;/Q&gt;&lt;R&gt;0&lt;/R&gt;&lt;C&gt;0&lt;/C&gt;&lt;/FQL&gt;&lt;FQL&gt;&lt;Q&gt;Ticker0024^FE_ESTIMATE(PRODLINE_EBIT_15,MEAN,ANNUAL_ROLL,2026,45776,,,'')&lt;/Q&gt;&lt;R&gt;1&lt;/R&gt;&lt;C&gt;1&lt;/C&gt;&lt;D xsi:type="xsd:double"&gt;65629.75&lt;/D&gt;&lt;/FQL&gt;&lt;FQL&gt;&lt;Q&gt;Ticker0024^FE_ESTIMATE(PRODLINE_EBIT_15,MEAN,QUARTERLY_ROLL,2026/4F,45776,,,'')&lt;/Q&gt;&lt;R&gt;1&lt;/R&gt;&lt;C&gt;1&lt;/C&gt;&lt;D xsi:type="xsd:double"&gt;16687.334&lt;/D&gt;&lt;/FQL&gt;&lt;FQL&gt;&lt;Q&gt;Ticker0024^FE_ESTIMATE(PRODLINE_EBIT_15,MEAN,QUARTERLY_ROLL,2026/3F,45776,,,'')&lt;/Q&gt;&lt;R&gt;1&lt;/R&gt;&lt;C&gt;1&lt;/C&gt;&lt;D xsi:type="xsd:double"&gt;15999.333&lt;/D&gt;&lt;/FQL&gt;&lt;FQL&gt;&lt;Q&gt;Ticker0024^FE_ESTIMATE(PRODLINE_EBIT_15,MEAN,QUARTERLY_ROLL,2026/2F,45776,,,'')&lt;/Q&gt;&lt;R&gt;1&lt;/R&gt;&lt;C&gt;1&lt;/C&gt;&lt;D xsi:type="xsd:double"&gt;16563.334&lt;/D&gt;&lt;/FQL&gt;&lt;FQL&gt;&lt;Q&gt;Ticker0024^FE_ESTIMATE(PRODLINE_EBIT_15,MEAN,QUARTERLY_ROLL,2026/1F,45776,,,'')&lt;/Q&gt;&lt;R&gt;1&lt;/R&gt;&lt;C&gt;1&lt;/C&gt;&lt;D xsi:type="xsd:double"&gt;16066&lt;/D&gt;&lt;/FQL&gt;&lt;FQL&gt;&lt;Q&gt;Ticker0024^FE_ESTIMATE(PRODLINE_EBIT_15,MEAN,ANNUAL_ROLL,2025,45776,,,'')&lt;/Q&gt;&lt;R&gt;1&lt;/R&gt;&lt;C&gt;1&lt;/C&gt;&lt;D xsi:type="xsd:double"&gt;61515.2&lt;/D&gt;&lt;/FQL&gt;&lt;FQL&gt;&lt;Q&gt;Ticker0024^FE_ESTIMATE(PRODLINE_EBIT_15,MEAN,QUARTERLY_ROLL,2025/4F,45776,,,'')&lt;/Q&gt;&lt;R&gt;1&lt;/R&gt;&lt;C&gt;1&lt;/C&gt;&lt;D xsi:type="xsd:double"&gt;15298.8&lt;/D&gt;&lt;/FQL&gt;&lt;FQL&gt;&lt;Q&gt;Ticker0024^FE_ESTIMATE(PRODLINE_EBIT_15,MEAN,QUARTERLY_ROLL,2025/3F,45776,,,'')&lt;/Q&gt;&lt;R&gt;1&lt;/R&gt;&lt;C&gt;1&lt;/C&gt;&lt;D xsi:type="xsd:double"&gt;15000.4&lt;/D&gt;&lt;/FQL&gt;&lt;FQL&gt;&lt;Q&gt;Ticker0024^FE_ESTIMATE(PRODLINE_EBIT_15,MEAN,QUARTERLY_ROLL,2025/2F,45776,,,'')&lt;/Q&gt;&lt;R&gt;1&lt;/R&gt;&lt;C&gt;1&lt;/C&gt;&lt;D xsi:type="xsd:double"&gt;15766.4&lt;/D&gt;&lt;/FQL&gt;&lt;FQL&gt;&lt;Q&gt;Ticker0024^FE_ESTIMATE(PRODLINE_EBIT_15,MEAN,QUARTERLY_ROLL,2025/1F,45776,,,'')&lt;/Q&gt;&lt;R&gt;1&lt;/R&gt;&lt;C&gt;1&lt;/C&gt;&lt;D xsi:type="xsd:double"&gt;15451.8&lt;/D&gt;&lt;/FQL&gt;&lt;FQL&gt;&lt;Q&gt;Ticker0024^FE_ESTIMATE(PRODLINE_EBIT_15,MEAN,ANNUAL_ROLL,2024,45776,,,'')&lt;/Q&gt;&lt;R&gt;1&lt;/R&gt;&lt;C&gt;1&lt;/C&gt;&lt;D xsi:type="xsd:double"&gt;40540&lt;/D&gt;&lt;/FQL&gt;&lt;FQL&gt;&lt;Q&gt;Ticker0024^FE_ESTIMATE(PRODLINE_EBIT_15,MEAN,QUARTERLY_ROLL,2024/4F,45776,,,'')&lt;/Q&gt;&lt;R&gt;1&lt;/R&gt;&lt;C&gt;1&lt;/C&gt;&lt;D xsi:type="xsd:double"&gt;10142.4&lt;/D&gt;&lt;/FQL&gt;&lt;FQL&gt;&lt;Q&gt;Ticker0024^FE_ESTIMATE(PRODLINE_EBIT_15,MEAN,QUARTERLY_ROLL,2024/3F,45776,,,'')&lt;/Q&gt;&lt;R&gt;1&lt;/R&gt;&lt;C&gt;1&lt;/C&gt;&lt;D xsi:type="xsd:double"&gt;10142.571&lt;/D&gt;&lt;/FQL&gt;&lt;FQL&gt;&lt;Q&gt;Ticker0024^FE_ESTIMATE(PRODLINE_EBIT_15,MEAN,QUARTERLY_ROLL,2024/2F,45776,,,'')&lt;/Q&gt;&lt;R&gt;1&lt;/R&gt;&lt;C&gt;1&lt;/C&gt;&lt;D xsi:type="xsd:double"&gt;10283.333&lt;/D&gt;&lt;/FQL&gt;&lt;FQL&gt;&lt;Q&gt;Ticker0024^FE_ESTIMATE(PRODLINE_EBIT_15,MEAN,QUARTERLY_ROLL,2024/1F,45776,,,'')&lt;/Q&gt;&lt;R&gt;1&lt;/R&gt;&lt;C&gt;1&lt;/C&gt;&lt;D xsi:type="xsd:double"&gt;9970&lt;/D&gt;&lt;/FQL&gt;&lt;FQL&gt;&lt;Q&gt;Ticker0024^FE_ESTIMATE(PRODLINE_EBIT_15,MEAN,ANNUAL_ROLL,2023,45776,,,'')&lt;/Q&gt;&lt;R&gt;1&lt;/R&gt;&lt;C&gt;1&lt;/C&gt;&lt;D xsi:type="xsd:double"&gt;34189.4&lt;/D&gt;&lt;/FQL&gt;&lt;FQL&gt;&lt;Q&gt;Ticker0024^FE_ESTIMATE(PRODLINE_EBIT_15,MEAN,QUARTERLY_ROLL,2023/4F,45776,,,'')&lt;/Q&gt;&lt;R&gt;1&lt;/R&gt;&lt;C&gt;1&lt;/C&gt;&lt;D xsi:type="xsd:double"&gt;9051.6&lt;/D&gt;&lt;/FQL&gt;&lt;FQL&gt;&lt;Q&gt;Ticker0024^FE_ESTIMATE(PRODLINE_EBIT_15,MEAN,QUARTERLY_ROLL,2023/3F,45776,,,'')&lt;/Q&gt;&lt;R&gt;1&lt;/R&gt;&lt;C&gt;1&lt;/C&gt;&lt;D xsi:type="xsd:double"&gt;8639.2&lt;/D&gt;&lt;/FQL&gt;&lt;FQL&gt;&lt;Q&gt;Ticker0024^FE_ESTIMATE(PRODLINE_EBIT_15,MEAN,QUARTERLY_ROLL,2023/2F,45776,,,'')&lt;/Q&gt;&lt;R&gt;1&lt;/R&gt;&lt;C&gt;1&lt;/C&gt;&lt;D xsi:type="xsd:double"&gt;8176&lt;/D&gt;&lt;/FQL&gt;&lt;FQL&gt;&lt;Q&gt;Ticker0024^FE_ESTIMATE(PRODLINE_EBIT_15,MEAN,QUARTERLY_ROLL,2023/1F,45776,,,'')&lt;/Q&gt;&lt;R&gt;1&lt;/R&gt;&lt;C&gt;1&lt;/C&gt;&lt;D xsi:type="xsd:double"&gt;8322.4&lt;/D&gt;&lt;/FQL&gt;&lt;FQL&gt;&lt;Q&gt;Ticker0024^FE_ESTIMATE(PRODLINE_EBIT_15,MEAN,ANNUAL_ROLL,2022,45776,,,'')&lt;/Q&gt;&lt;R&gt;1&lt;/R&gt;&lt;C&gt;1&lt;/C&gt;&lt;D xsi:type="xsd:double"&gt;29685&lt;/D&gt;&lt;/FQL&gt;&lt;FQL&gt;&lt;Q&gt;Ticker0024^FE_ESTIMATE(PRODLINE_EBIT_15,MEAN,QUARTERLY_ROLL,2022/4F,45776,,,'')&lt;/Q&gt;&lt;R&gt;1&lt;/R&gt;&lt;C&gt;1&lt;/C&gt;&lt;D xsi:type="xsd:double"&gt;7232&lt;/D&gt;&lt;/FQL&gt;&lt;FQL&gt;&lt;Q&gt;Ticker0024^FE_ESTIMATE(PRODLINE_EBIT_15,MEAN,QUARTERLY_ROLL,2022/3F,45776,,,'')&lt;/Q&gt;&lt;R&gt;1&lt;/R&gt;&lt;C&gt;1&lt;/C&gt;&lt;D xsi:type="xsd:double"&gt;7184&lt;/D&gt;&lt;/FQL&gt;&lt;FQL&gt;&lt;Q&gt;Ticker0024^FE_ESTIMATE(PRODLINE_EBIT_15,MEAN,QUARTERLY_ROLL,2022/2F,45776,,,'')&lt;/Q&gt;&lt;R&gt;1&lt;/R&gt;&lt;C&gt;1&lt;/C&gt;&lt;D xsi:type="xsd:double"&gt;7688&lt;/D&gt;&lt;/FQL&gt;&lt;FQL&gt;&lt;Q&gt;Ticker0024^FE_ESTIMATE(PRODLINE_EBIT_15,MEAN,QUARTERLY_ROLL,2022/1F,45776,,,'')&lt;/Q&gt;&lt;R&gt;1&lt;/R&gt;&lt;C&gt;1&lt;/C&gt;&lt;D xsi:type="xsd:double"&gt;7581&lt;/D&gt;&lt;/FQL&gt;&lt;FQL&gt;&lt;Q&gt;Ticker0024^FE_ESTIMATE(PRODLINE_EBIT_15,MEAN,ANNUAL_ROLL,2021,45776,,,'')&lt;/Q&gt;&lt;R&gt;1&lt;/R&gt;&lt;C&gt;1&lt;/C&gt;&lt;D xsi:type="xsd:double"&gt;24351&lt;/D&gt;&lt;/FQL&gt;&lt;FQL&gt;&lt;Q&gt;Ticker0024^FE_ESTIMATE(PRODLINE_EBIT_15,MEAN,QUARTERLY_ROLL,2021/4F,45776,,,'')&lt;/Q&gt;&lt;R&gt;1&lt;/R&gt;&lt;C&gt;1&lt;/C&gt;&lt;D xsi:type="xsd:double"&gt;6435&lt;/D&gt;&lt;/FQL&gt;&lt;FQL&gt;&lt;Q&gt;Ticker0024^FE_ESTIMATE(PRODLINE_EBIT_15,MEAN,QUARTERLY_ROLL,2021/3F,45776,,,'')&lt;/Q&gt;&lt;R&gt;1&lt;/R&gt;&lt;C&gt;1&lt;/C&gt;&lt;D xsi:type="xsd:double"&gt;6029&lt;/D&gt;&lt;/FQL&gt;&lt;FQL&gt;&lt;Q&gt;Ticker0024^FE_ESTIMATE(PRODLINE_EBIT_15,MEAN,QUARTERLY_ROLL,2021/2F,45776,,,'')&lt;/Q&gt;&lt;R&gt;1&lt;/R&gt;&lt;C&gt;1&lt;/C&gt;&lt;D xsi:type="xsd:double"&gt;6179.6665&lt;/D&gt;&lt;/FQL&gt;&lt;FQL&gt;&lt;Q&gt;Ticker0024^FE_ESTIMATE(PRODLINE_EBIT_15,MEAN,QUARTERLY_ROLL,2021/1F,45776,,,'')&lt;/Q&gt;&lt;R&gt;1&lt;/R&gt;&lt;C&gt;1&lt;/C&gt;&lt;D xsi:type="xsd:double"&gt;5706&lt;/D&gt;&lt;/FQL&gt;&lt;FQL&gt;&lt;Q&gt;Ticker0024^FE_ESTIMATE(PRODLINE_EBIT_15,MEAN,ANNUAL_ROLL,2020,45776,,,'')&lt;/Q&gt;&lt;R&gt;1&lt;/R&gt;&lt;C&gt;1&lt;/C&gt;&lt;D xsi:type="xsd:double"&gt;18781&lt;/D&gt;&lt;/FQL&gt;&lt;FQL&gt;&lt;Q&gt;Ticker0024^FE_ESTIMATE(PRODLINE_EBIT_15,MEAN,QUARTERLY_ROLL,2020/4F,45776,,,'')&lt;/Q&gt;&lt;R&gt;1&lt;/R&gt;&lt;C&gt;1&lt;/C&gt;&lt;D xsi:type="xsd:double"&gt;4029&lt;/D&gt;&lt;/FQL&gt;&lt;FQL&gt;&lt;Q&gt;Ticker0024^FE_ESTIMATE(PRODLINE_EBIT_15,MEAN,QUARTERLY_ROLL,2020/3F,45776,,,'')&lt;/Q&gt;&lt;R&gt;1&lt;/R&gt;&lt;C&gt;1&lt;/C&gt;&lt;D xsi:type="xsd:double"&gt;4788&lt;/D&gt;&lt;/FQL&gt;&lt;FQL&gt;&lt;Q&gt;Ticker0024^FE_ESTIMATE(PRODLINE_EBIT_15,MEAN,QUARTERLY_ROLL,2020/2F,45776,,,'')&lt;/Q&gt;&lt;R&gt;1&lt;/R&gt;&lt;C&gt;1&lt;/C&gt;&lt;D xsi:type="xsd:double"&gt;5182&lt;/D&gt;&lt;/FQL&gt;&lt;FQL&gt;&lt;Q&gt;Ticker0024^FE_ESTIMATE(PRODLINE_EBIT_15,MEAN,QUARTERLY_ROLL,2020/1F,45776,,,'')&lt;/Q&gt;&lt;R&gt;1&lt;/R&gt;&lt;C&gt;1&lt;/C&gt;&lt;D xsi:type="xsd:double"&gt;4782&lt;/D&gt;&lt;/FQL&gt;&lt;FQL&gt;&lt;Q&gt;Ticker0024^FE_ESTIMATE(PRODLINE_EBIT_15,MEAN,ANNUAL_ROLL,2019,45776,,,'')&lt;/Q&gt;&lt;R&gt;1&lt;/R&gt;&lt;C&gt;1&lt;/C&gt;&lt;D xsi:type="xsd:double"&gt;16219&lt;/D&gt;&lt;/FQL&gt;&lt;FQL&gt;&lt;Q&gt;Ticker0024^FE_ESTIMATE(PRODLINE_EBIT_15,MEAN,QUARTERLY_ROLL,2019/4F,45776,,,'')&lt;/Q&gt;&lt;R&gt;1&lt;/R&gt;&lt;C&gt;1&lt;/C&gt;&lt;D xsi:type="xsd:double"&gt;4344&lt;/D&gt;&lt;/FQL&gt;&lt;FQL&gt;&lt;Q&gt;Ticker0024^FE_ESTIMATE(PRODLINE_EBIT_15,MEAN,QUARTERLY_ROLL,2019/3F,45776,,,'')&lt;/Q&gt;&lt;R&gt;1&lt;/R&gt;&lt;C&gt;1&lt;/C&gt;&lt;D xsi:type="xsd:double"&gt;3979&lt;/D&gt;&lt;/FQL&gt;&lt;FQL&gt;&lt;Q&gt;Ticker0024^FE_ESTIMATE(PRODLINE_EBIT_15,MEAN,QUARTERLY_ROLL,2019/2F,45776,,,'')&lt;/Q&gt;&lt;R&gt;1&lt;/R&gt;&lt;C&gt;1&lt;/C&gt;&lt;D xsi:type="xsd:double"&gt;4013.75&lt;/D&gt;&lt;/FQL&gt;&lt;FQL&gt;&lt;Q&gt;Ticker0024^FE_ESTIMATE(PRODLINE_EBIT_15,MEAN,QUARTERLY_ROLL,2019/1F,45776,,,'')&lt;/Q&gt;&lt;R&gt;1&lt;/R&gt;&lt;C&gt;1&lt;/C&gt;&lt;D xsi:type="xsd:double"&gt;3881&lt;/D&gt;&lt;/FQL&gt;&lt;FQL&gt;&lt;Q&gt;Ticker0024^FE_ESTIMATE(PRODLINE_EBIT_15,MEAN,ANNUAL_ROLL,2018,45776,,,'')&lt;/Q&gt;&lt;R&gt;1&lt;/R&gt;&lt;C&gt;1&lt;/C&gt;&lt;D xsi:type="xsd:double"&gt;12924&lt;/D&gt;&lt;/FQL&gt;&lt;FQL&gt;&lt;Q&gt;Ticker0024^FE_ESTIMATE(PRODLINE_EBIT_15,MEAN,QUARTERLY_ROLL,2018/4F,45776,,,'')&lt;/Q&gt;&lt;R&gt;1&lt;/R&gt;&lt;C&gt;1&lt;/C&gt;&lt;D xsi:type="xsd:double"&gt;3466&lt;/D&gt;&lt;/FQL&gt;&lt;FQL&gt;&lt;Q&gt;Ticker0024^FE_ESTIMATE(PRODLINE_EBIT_15,MEAN,QUARTERLY_ROLL,2018/3F,45776,,,'')&lt;/Q&gt;&lt;R&gt;1&lt;/R&gt;&lt;C&gt;1&lt;/C&gt;&lt;D xsi:type="xsd:double"&gt;3115&lt;/D&gt;&lt;/FQL&gt;&lt;FQL&gt;&lt;Q&gt;Ticker0024^FE_ESTIMATE(PRODLINE_EBIT_15,MEAN,QUARTERLY_ROLL,2018/2F,45776,,,'')&lt;/Q&gt;&lt;R&gt;1&lt;/R&gt;&lt;C&gt;1&lt;/C&gt;&lt;D xsi:type="xsd:double"&gt;3337&lt;/D&gt;&lt;/FQL&gt;&lt;FQL&gt;&lt;Q&gt;Ticker0024^FE_ESTIMATE(PRODLINE_EBIT_15,MEAN,QUARTERLY_ROLL,2018/1F,45776,,,'')&lt;/Q&gt;&lt;R&gt;1&lt;/R&gt;&lt;C&gt;1&lt;/C&gt;&lt;D xsi:type="xsd:double"&gt;3006&lt;/D&gt;&lt;/FQL&gt;&lt;FQL&gt;&lt;Q&gt;Ticker0024^FE_ESTIMATE(PRODLINE_EBIT_15,MEAN,ANNUAL_ROLL,2017,45776,,,'')&lt;/Q&gt;&lt;R&gt;1&lt;/R&gt;&lt;C&gt;1&lt;/C&gt;&lt;D xsi:type="xsd:double"&gt;11913&lt;/D&gt;&lt;/FQL&gt;&lt;FQL&gt;&lt;Q&gt;Ticker0024^FE_ESTIMATE(PRODLINE_EBIT_15,MEAN,QUARTERLY_ROLL,2017/4F,45776,,,'')&lt;/Q&gt;&lt;R&gt;1&lt;/R&gt;&lt;C&gt;1&lt;/C&gt;&lt;D xsi:type="xsd:double"&gt;2754&lt;/D&gt;&lt;/FQL&gt;&lt;FQL&gt;&lt;Q&gt;Ticker0024^FE_ESTIMATE(PRODLINE_EBIT_15,MEAN,QUARTERLY_ROLL,2017/3F,45776,,,'')&lt;/Q&gt;&lt;R&gt;1&lt;/R&gt;&lt;C&gt;1&lt;/C&gt;&lt;D xsi:type="xsd:double"&gt;2783&lt;/D&gt;&lt;/FQL&gt;&lt;FQL&gt;&lt;Q&gt;Ticker0024^FE_ESTIMATE(PRODLINE_EBIT_15,MEAN,QUARTERLY_ROLL,2017/2F,45776,,,'')&lt;/Q&gt;&lt;R&gt;1&lt;/R&gt;&lt;C&gt;1&lt;/C&gt;&lt;D xsi:type="xsd:double"&gt;3256&lt;/D&gt;&lt;/FQL&gt;&lt;FQL&gt;&lt;Q&gt;Ticker0024^FE_ESTIMATE(PRODLINE_EBIT_15,MEAN,QUARTERLY_ROLL,2017/1F,45776,,,'')&lt;/Q&gt;&lt;R&gt;1&lt;/R&gt;&lt;C&gt;1&lt;/C&gt;&lt;D xsi:type="xsd:double"&gt;3120&lt;/D&gt;&lt;/FQL&gt;&lt;FQL&gt;&lt;Q&gt;Ticker0024^FE_ESTIMATE(PRODLINE_EBIT_15,MEAN,ANNUAL_ROLL,2016,45776,,,'')&lt;/Q&gt;&lt;R&gt;1&lt;/R&gt;&lt;C&gt;1&lt;/C&gt;&lt;D xsi:type="xsd:double"&gt;12429&lt;/D&gt;&lt;/FQL&gt;&lt;FQL&gt;&lt;Q&gt;Ticker0024^FE_ESTIMATE(PRODLINE_EBIT_15,MEAN,QUARTERLY_ROLL,2016/4F,45776,,,'')&lt;/Q&gt;&lt;R&gt;1&lt;/R&gt;&lt;C&gt;1&lt;/C&gt;&lt;D xsi:type="xsd:double"&gt;3000&lt;/D&gt;&lt;/FQL&gt;&lt;FQL&gt;&lt;Q&gt;Ticker0024^FE_ESTIMATE(PRODLINE_EBIT_15,MEAN,QUARTERLY_ROLL,2016/3F,45776,,,'')&lt;/Q&gt;&lt;R&gt;1&lt;/R&gt;&lt;C&gt;1&lt;/C&gt;&lt;D xsi:type="xsd:double"&gt;2994&lt;/D&gt;&lt;/FQL&gt;&lt;FQL&gt;&lt;Q&gt;Ticker0024^FE_ESTIMATE(PRODLINE_EBIT_15,MEAN,QUARTERLY_ROLL,2016/2F,45776,,,'')&lt;/Q&gt;&lt;R&gt;0&lt;/R&gt;&lt;C&gt;0&lt;/C&gt;&lt;/FQL&gt;&lt;FQL&gt;&lt;Q&gt;Ticker0024^FE_ESTIMATE(PRODLINE_EBIT_15,MEAN,QUARTERLY_ROLL,2016/1F,45776,,,'')&lt;/Q&gt;&lt;R&gt;0&lt;/R&gt;&lt;C&gt;0&lt;/C&gt;&lt;/FQL&gt;&lt;FQL&gt;&lt;Q&gt;Ticker0024^FE_ESTIMATE(PRODLINE_EBIT_15,MEAN,ANNUAL_ROLL,2015,45776,,,'')&lt;/Q&gt;&lt;R&gt;0&lt;/R&gt;&lt;C&gt;0&lt;/C&gt;&lt;/FQL&gt;&lt;FQL&gt;&lt;Q&gt;Ticker0024^FE_ESTIMATE(PRODLINE_EBIT_15,MEAN,QUARTERLY_ROLL,2015/4F,45776,,,'')&lt;/Q&gt;&lt;R&gt;0&lt;/R&gt;&lt;C&gt;0&lt;/C&gt;&lt;/FQL&gt;&lt;FQL&gt;&lt;Q&gt;Ticker0024^FE_ESTIMATE(PRODLINE_EBIT_15,MEAN,QUARTERLY_ROLL,2015/3F,45776,,,'')&lt;/Q&gt;&lt;R&gt;0&lt;/R&gt;&lt;C&gt;0&lt;/C&gt;&lt;/FQL&gt;&lt;FQL&gt;&lt;Q&gt;Ticker0024^FE_ESTIMATE(PRODLINE_EBIT_15,MEAN,QUARTERLY_ROLL,2015/2F,45776,,,'')&lt;/Q&gt;&lt;R&gt;0&lt;/R&gt;&lt;C&gt;0&lt;/C&gt;&lt;/FQL&gt;&lt;FQL&gt;&lt;Q&gt;Ticker0024^FE_ESTIMATE(PRODLINE_EBIT_15,MEAN,QUARTERLY_ROLL,2015/1F,45776,,,'')&lt;/Q&gt;&lt;R&gt;0&lt;/R&gt;&lt;C&gt;0&lt;/C&gt;&lt;/FQL&gt;&lt;FQL&gt;&lt;Q&gt;Ticker0024^FE_ESTIMATE(GROSSINCOME,MEAN,ANNUAL_ROLL,2030,45776,,,'')&lt;/Q&gt;&lt;R&gt;0&lt;/R&gt;&lt;C&gt;0&lt;/C&gt;&lt;/FQL&gt;&lt;FQL&gt;&lt;Q&gt;Ticker0024^FE_ESTIMATE(GROSSINCOME,MEAN,QUARTERLY_ROLL,2030/4F,45776,,,'')&lt;/Q&gt;&lt;R&gt;0&lt;/R&gt;&lt;C&gt;0&lt;/C&gt;&lt;/FQL&gt;&lt;FQL&gt;&lt;Q&gt;Ticker0024^FE_ESTIMATE(GROSSINCOME,MEAN,QUARTERLY_ROLL,2030/3F,45776,,,'')&lt;/Q&gt;&lt;R&gt;0&lt;/R&gt;&lt;C&gt;0&lt;/C&gt;&lt;/FQL&gt;&lt;FQL&gt;&lt;Q&gt;Ticker0024^FE_ESTIMATE(GROSSINCOME,MEAN,QUARTERLY_ROLL,2030/2F,45776,,,'')&lt;/Q&gt;&lt;R&gt;0&lt;/R&gt;&lt;C&gt;0&lt;/C&gt;&lt;/FQL&gt;&lt;FQL&gt;&lt;Q&gt;Ticker0024^FE_ESTIMATE(GROSSINCOME,MEAN,QUARTERLY_ROLL,2030/1F,45776,,,'')&lt;/Q&gt;&lt;R&gt;0&lt;/R&gt;&lt;C&gt;0&lt;/C&gt;&lt;/FQL&gt;&lt;FQL&gt;&lt;Q&gt;Ticker0024^FE_ESTIMATE(GROSSINCOME,MEAN,ANNUAL_ROLL,2029,45776,,,'')&lt;/Q&gt;&lt;R&gt;1&lt;/R&gt;&lt;C&gt;1&lt;/C&gt;&lt;D xsi:type="xsd:double"&gt;321383.9&lt;/D&gt;&lt;/FQL&gt;&lt;FQL&gt;&lt;Q&gt;Ticker0024^FE_ESTIMATE(GROSSINCOME,MEAN,QUARTERLY_ROLL,2029/4F,45776,,,'')&lt;/Q&gt;&lt;R&gt;0&lt;/R&gt;&lt;C&gt;0&lt;/C&gt;&lt;/FQL&gt;&lt;FQL&gt;&lt;Q&gt;Ticker0024^FE_ESTIMATE(GROSSINCOME,MEAN,QUARTERLY_ROLL,2029/3F,45776,,,'')&lt;/Q&gt;&lt;R&gt;0&lt;/R&gt;&lt;C&gt;0&lt;/C&gt;&lt;/FQL&gt;&lt;FQL&gt;&lt;Q&gt;Ticker0024^FE_ESTIMATE(GROSSINCOME,MEAN,QUARTERLY_ROLL,2029/2F,45776,,,'')&lt;/Q&gt;&lt;R&gt;0&lt;/R&gt;&lt;C&gt;0&lt;/C&gt;&lt;/FQL&gt;&lt;FQL&gt;&lt;Q&gt;Ticker0024^FE_ESTIMATE(GROSSINCOME,MEAN,QUARTERLY_ROLL,2029/1F,45776,,,'')&lt;/Q&gt;&lt;R&gt;0&lt;/R&gt;&lt;C&gt;0&lt;/C&gt;&lt;/FQL&gt;&lt;FQL&gt;&lt;Q&gt;Ticker0024^FE_ESTIMATE(GROSSINCOME,MEAN,ANNUAL_ROLL,2028,45776,,,'')&lt;/Q&gt;&lt;R&gt;1&lt;/R&gt;&lt;C&gt;1&lt;/C&gt;&lt;D xsi:type="xsd:double"&gt;274457.06&lt;/D&gt;&lt;/FQL&gt;&lt;FQL&gt;&lt;Q&gt;Ticker0024^FE_ESTIMATE(GROSSINCOME,MEAN,QUARTERLY_ROLL,2028/4F,45776,,,'')&lt;/Q&gt;&lt;R&gt;0&lt;/R&gt;&lt;C&gt;0&lt;/C&gt;&lt;/FQL&gt;&lt;FQL&gt;&lt;Q&gt;Ticker0024^FE_ESTIMATE(GROSSINCOME,MEAN,QUARTERLY_ROLL,2028/3F,45776,,,'')&lt;/Q&gt;&lt;R&gt;0&lt;/R&gt;&lt;C&gt;0&lt;/C&gt;&lt;/FQL&gt;&lt;FQL&gt;&lt;Q&gt;Ticker0024^FE_ESTIMATE(GROSSINCOME,MEAN,QUARTERLY_ROLL,2028/2F,45776,,,'')&lt;/Q&gt;&lt;R&gt;0&lt;/R&gt;&lt;C&gt;0&lt;/C&gt;&lt;/FQL&gt;&lt;FQL&gt;&lt;Q&gt;Ticker0024^FE_ESTIMATE(GROSSINCOME,MEAN,QUARTERLY_ROLL,2028/1F,45776,,,'')&lt;/Q&gt;&lt;R&gt;0&lt;/R&gt;&lt;C&gt;0&lt;/C&gt;&lt;/FQL&gt;&lt;FQL&gt;&lt;Q&gt;Ticker0024^FE_ESTIMATE(GROSSINCOME,MEAN,ANNUAL_ROLL,2027,45776,,,'')&lt;/Q&gt;&lt;R&gt;1&lt;/R&gt;&lt;C&gt;1&lt;/C&gt;&lt;D xsi:type="xsd:double"&gt;242697.3&lt;/D&gt;&lt;/FQL&gt;&lt;FQL&gt;&lt;Q&gt;Ticker0024^FE_ESTIMATE(GROSSINCOME,MEAN,QUARTERLY_ROLL,2027/4F,45776,,,'')&lt;/Q&gt;&lt;R&gt;1&lt;/R&gt;&lt;C&gt;1&lt;/C&gt;&lt;D xsi:type="xsd:double"&gt;63541&lt;/D&gt;&lt;/FQL&gt;&lt;FQL&gt;&lt;Q&gt;Ticker0024^FE_ESTIMATE(GROSSINCOME,MEAN,QUARTERLY_ROLL,2027/3F,45776,,,'')&lt;/Q&gt;&lt;R&gt;1&lt;/R&gt;&lt;C&gt;1&lt;/C&gt;&lt;D xsi:type="xsd:double"&gt;59182.668&lt;/D&gt;&lt;/FQL&gt;&lt;FQL&gt;&lt;Q&gt;Ticker0024^FE_ESTIMATE(GROSSINCOME,MEAN,QUARTERLY_ROLL,2027/2F,45776,,,'')&lt;/Q&gt;&lt;R&gt;1&lt;/R&gt;&lt;C&gt;1&lt;/C&gt;&lt;D xsi:type="xsd:double"&gt;59691.25&lt;/D&gt;&lt;/FQL&gt;&lt;FQL&gt;&lt;Q&gt;Ticker0024^FE_ESTIMATE(GROSSINCOME,MEAN,QUARTERLY_ROLL,2027/1F,45776,,,'')&lt;/Q&gt;&lt;R&gt;1&lt;/R&gt;&lt;C&gt;1&lt;/C&gt;&lt;D xsi:type="xsd:double"&gt;56662&lt;/D&gt;&lt;/FQL&gt;&lt;FQL&gt;&lt;Q&gt;Ticker0024^FE_ESTIMATE(GROSSINCOME,MEAN,ANNUAL_ROLL,2026,45776,,,'')&lt;/Q&gt;&lt;R&gt;1&lt;/R&gt;&lt;C&gt;1&lt;/C&gt;&lt;D xsi:type="xsd:double"&gt;212328.98&lt;/D&gt;&lt;/FQL&gt;&lt;FQL&gt;&lt;Q&gt;Ticker0024^FE_ESTIMATE(GROSSINCOME,MEAN,QUARTERLY_ROLL,2026/4F,45776,,,'')&lt;/Q&gt;&lt;R&gt;1&lt;/R&gt;&lt;C&gt;1&lt;/C&gt;&lt;D xsi:type="xsd:double"&gt;55482.734&lt;/D&gt;&lt;/FQL&gt;&lt;FQL&gt;&lt;Q&gt;Ticker0024^FE_ESTIMATE(GROSSINCOME,MEAN,QUARTERLY_ROLL,2026/3F,45776,,,'')&lt;/Q&gt;&lt;R&gt;1&lt;/R&gt;&lt;C&gt;1&lt;/C&gt;&lt;D xsi:type="xsd:double"&gt;52458.625&lt;/D&gt;&lt;/FQL&gt;&lt;FQL&gt;&lt;Q&gt;Ticker0024^FE_ESTIMATE(GROSSINCOME,MEAN,QUARTERLY_ROLL,2026/2F,45776,,,'')&lt;/Q&gt;&lt;R&gt;1&lt;/R&gt;&lt;C&gt;1&lt;/C&gt;&lt;D xsi:type="xsd:double"&gt;52775.875&lt;/D&gt;&lt;/FQL&gt;&lt;FQL&gt;&lt;Q&gt;Ticker0024^FE_ESTIMATE(GROSSINCOME,MEAN,QUARTERLY_ROLL,2026/1F,45776,,,'')&lt;/Q&gt;&lt;R&gt;1&lt;/R&gt;&lt;C&gt;1&lt;/C&gt;&lt;D xsi:type="xsd:double"&gt;50139.805&lt;/D&gt;&lt;/FQL&gt;&lt;FQL&gt;&lt;Q&gt;Ticker0024^FE_ESTIMATE(GROSSINCOME,MEAN,ANNUAL_ROLL,2025,45776,,,'')&lt;/Q&gt;&lt;R&gt;1&lt;/R&gt;&lt;C&gt;1&lt;/C&gt;&lt;D xsi:type="xsd:double"&gt;189532.48&lt;/D&gt;&lt;/FQL&gt;&lt;FQL&gt;&lt;Q&gt;Ticker0024^FE_ESTIMATE(GROSSINCOME,MEAN,QUARTERLY_ROLL,2025/4F,45776,,,'')&lt;/Q&gt;&lt;R&gt;1&lt;/R&gt;&lt;C&gt;1&lt;/C&gt;&lt;D xsi:type="xsd:double"&gt;49194.574&lt;/D&gt;&lt;/FQL&gt;&lt;FQL&gt;&lt;Q&gt;Ticker0024^FE_ESTIMATE(GROSSINCOME,MEAN,QUARTERLY_ROLL,2025/3F,45776,,,'')&lt;/Q&gt;&lt;R&gt;1&lt;/R&gt;&lt;C&gt;1&lt;/C&gt;&lt;D xsi:type="xsd:double"&gt;46735.703&lt;/D&gt;&lt;/FQL&gt;&lt;FQL&gt;&lt;Q&gt;Ticker0024^FE_ESTIMATE(GROSSINCOME,MEAN,QUARTERLY_ROLL,2025/2F,45776,,,'')&lt;/Q&gt;&lt;R&gt;1&lt;/R&gt;&lt;C&gt;1&lt;/C&gt;&lt;D xsi:type="xsd:double"&gt;47831.84&lt;/D&gt;&lt;/FQL&gt;&lt;FQL&gt;&lt;Q&gt;Ticker0024^FE_ESTIMATE(GROSSINCOME,MEAN,QUARTERLY_ROLL,2025/1F,45776,,,'')&lt;/Q&gt;&lt;R&gt;1&lt;/R&gt;&lt;C&gt;1&lt;/C&gt;&lt;D xsi:type="xsd:double"&gt;45476.035&lt;/D&gt;&lt;/FQL&gt;&lt;FQL&gt;&lt;Q&gt;Ticker0024^FE_ESTIMATE(GROSSINCOME,MEAN,ANNUAL_ROLL,2024,45776,,,'')&lt;/Q&gt;&lt;R&gt;1&lt;/R&gt;&lt;C&gt;1&lt;/C&gt;&lt;D xsi:type="xsd:double"&gt;171008.06&lt;/D&gt;&lt;/FQL&gt;&lt;FQL&gt;&lt;Q&gt;Ticker0024^FE_ESTIMATE(GROSSINCOME,MEAN,QUARTERLY_ROLL,2024/4F,45776,,,'')&lt;/Q&gt;&lt;R&gt;1&lt;/R&gt;&lt;C&gt;1&lt;/C&gt;&lt;D xsi:type="xsd:double"&gt;45041.355&lt;/D&gt;&lt;/FQL&gt;&lt;FQL&gt;&lt;Q&gt;Ticker0024^FE_ESTIMATE(GROSSINCOME,MEAN,QUARTERLY_ROLL,2024/3F,45776,,,'')&lt;/Q&gt;&lt;R&gt;1&lt;/R&gt;&lt;C&gt;1&lt;/C&gt;&lt;D xsi:type="xsd:double"&gt;43354.293&lt;/D&gt;&lt;/FQL&gt;&lt;FQL&gt;&lt;Q&gt;Ticker0024^FE_ESTIMATE(GROSSINCOME,MEAN,QUARTERLY_ROLL,2024/2F,45776,,,'')&lt;/Q&gt;&lt;R&gt;1&lt;/R&gt;&lt;C&gt;1&lt;/C&gt;&lt;D xsi:type="xsd:double"&gt;42397.1&lt;/D&gt;&lt;/FQL&gt;&lt;FQL&gt;&lt;Q&gt;Ticker0024^FE_ESTIMATE(GROSSINCOME,MEAN,QUARTERLY_ROLL,2024/1F,45776,,,'')&lt;/Q&gt;&lt;R&gt;1&lt;/R&gt;&lt;C&gt;1&lt;/C&gt;&lt;D xsi:type="xsd:double"&gt;40215.17&lt;/D&gt;&lt;/FQL&gt;&lt;FQL&gt;&lt;Q&gt;Ticker0024^FE_ESTIMATE(GROSSINCOME,MEAN,ANNUAL_ROLL,2023,45776,,,'')&lt;/Q&gt;&lt;R&gt;1&lt;/R&gt;&lt;C&gt;1&lt;/C&gt;&lt;D xsi:type="xsd:double"&gt;146082.89&lt;/D&gt;&lt;/FQL&gt;&lt;FQL&gt;&lt;Q&gt;Ticker0024^FE_ESTIMATE(GROSSINCOME,MEAN,QUARTERLY_ROLL,2023/4F,45776,,,'')&lt;/Q&gt;&lt;R&gt;1&lt;/R&gt;&lt;C&gt;1&lt;/C&gt;&lt;D xsi:type="xsd:double"&gt;39388&lt;/D&gt;&lt;/FQL&gt;&lt;FQL&gt;&lt;Q&gt;Ticker0024^FE_ESTIMATE(GROSSINCOME,MEAN,QUARTERLY_ROLL,2023/3F,45776,,,'')&lt;/Q&gt;&lt;R&gt;1&lt;/R&gt;&lt;C&gt;1&lt;/C&gt;&lt;D</t>
        </r>
      </text>
    </comment>
    <comment ref="A45" authorId="0" shapeId="0" xr:uid="{488B7149-984D-4BC2-B3B2-3FFDFFAD93AA}">
      <text>
        <r>
          <rPr>
            <b/>
            <sz val="9"/>
            <color indexed="81"/>
            <rFont val="Tahoma"/>
            <family val="2"/>
          </rPr>
          <t xml:space="preserve">Author:type="xsd:double"&gt;36729.035&lt;/D&gt;&lt;/FQL&gt;&lt;FQL&gt;&lt;Q&gt;Ticker0024^FE_ESTIMATE(GROSSINCOME,MEAN,QUARTERLY_ROLL,2023/2F,45776,,,'')&lt;/Q&gt;&lt;R&gt;1&lt;/R&gt;&lt;C&gt;1&lt;/C&gt;&lt;D xsi:type="xsd:double"&gt;35294.117&lt;/D&gt;&lt;/FQL&gt;&lt;FQL&gt;&lt;Q&gt;Ticker0024^FE_ESTIMATE(GROSSINCOME,MEAN,QUARTERLY_ROLL,2023/1F,45776,,,'')&lt;/Q&gt;&lt;R&gt;1&lt;/R&gt;&lt;C&gt;1&lt;/C&gt;&lt;D xsi:type="xsd:double"&gt;34670&lt;/D&gt;&lt;/FQL&gt;&lt;FQL&gt;&lt;Q&gt;Ticker0024^FE_ESTIMATE(GROSSINCOME,MEAN,ANNUAL_ROLL,2022,45776,,,'')&lt;/Q&gt;&lt;R&gt;1&lt;/R&gt;&lt;C&gt;1&lt;/C&gt;&lt;D xsi:type="xsd:double"&gt;135605.53&lt;/D&gt;&lt;/FQL&gt;&lt;FQL&gt;&lt;Q&gt;Ticker0024^FE_ESTIMATE(GROSSINCOME,MEAN,QUARTERLY_ROLL,2022/4F,45776,,,'')&lt;/Q&gt;&lt;R&gt;1&lt;/R&gt;&lt;C&gt;1&lt;/C&gt;&lt;D xsi:type="xsd:double"&gt;35436&lt;/D&gt;&lt;/FQL&gt;&lt;FQL&gt;&lt;Q&gt;Ticker0024^FE_ESTIMATE(GROSSINCOME,MEAN,QUARTERLY_ROLL,2022/3F,45776,,,'')&lt;/Q&gt;&lt;R&gt;1&lt;/R&gt;&lt;C&gt;1&lt;/C&gt;&lt;D xsi:type="xsd:double"&gt;33744.957&lt;/D&gt;&lt;/FQL&gt;&lt;FQL&gt;&lt;Q&gt;Ticker0024^FE_ESTIMATE(GROSSINCOME,MEAN,QUARTERLY_ROLL,2022/2F,45776,,,'')&lt;/Q&gt;&lt;R&gt;1&lt;/R&gt;&lt;C&gt;1&lt;/C&gt;&lt;D xsi:type="xsd:double"&gt;34768&lt;/D&gt;&lt;/FQL&gt;&lt;FQL&gt;&lt;Q&gt;Ticker0024^FE_ESTIMATE(GROSSINCOME,MEAN,QUARTERLY_ROLL,2022/1F,45776,,,'')&lt;/Q&gt;&lt;R&gt;1&lt;/R&gt;&lt;C&gt;1&lt;/C&gt;&lt;D xsi:type="xsd:double"&gt;31671&lt;/D&gt;&lt;/FQL&gt;&lt;FQL&gt;&lt;Q&gt;Ticker0024^FE_ESTIMATE(GROSSINCOME,MEAN,ANNUAL_ROLL,2021,45776,,,'')&lt;/Q&gt;&lt;R&gt;1&lt;/R&gt;&lt;C&gt;1&lt;/C&gt;&lt;D xsi:type="xsd:double"&gt;115856.59&lt;/D&gt;&lt;/FQL&gt;&lt;FQL&gt;&lt;Q&gt;Ticker0024^FE_ESTIMATE(GROSSINCOME,MEAN,QUARTERLY_ROLL,2021/4F,45776,,,'')&lt;/Q&gt;&lt;R&gt;1&lt;/R&gt;&lt;C&gt;1&lt;/C&gt;&lt;D xsi:type="xsd:double"&gt;32161&lt;/D&gt;&lt;/FQL&gt;&lt;FQL&gt;&lt;Q&gt;Ticker0024^FE_ESTIMATE(GROSSINCOME,MEAN,QUARTERLY_ROLL,2021/3F,45776,,,'')&lt;/Q&gt;&lt;R&gt;1&lt;/R&gt;&lt;C&gt;1&lt;/C&gt;&lt;D xsi:type="xsd:double"&gt;28661&lt;/D&gt;&lt;/FQL&gt;&lt;FQL&gt;&lt;Q&gt;Ticker0024^FE_ESTIMATE(GROSSINCOME,MEAN,QUARTERLY_ROLL,2021/2F,45776,,,'')&lt;/Q&gt;&lt;R&gt;1&lt;/R&gt;&lt;C&gt;1&lt;/C&gt;&lt;D xsi:type="xsd:double"&gt;28882&lt;/D&gt;&lt;/FQL&gt;&lt;FQL&gt;&lt;Q&gt;Ticker0024^FE_ESTIMATE(GROSSINCOME,MEAN,QUARTERLY_ROLL,2021/1F,45776,,,'')&lt;/Q&gt;&lt;R&gt;1&lt;/R&gt;&lt;C&gt;1&lt;/C&gt;&lt;D xsi:type="xsd:double"&gt;26152&lt;/D&gt;&lt;/FQL&gt;&lt;FQL&gt;&lt;Q&gt;Ticker0024^FE_ESTIMATE(GROSSINCOME,MEAN,ANNUAL_ROLL,2020,45776,,,'')&lt;/Q&gt;&lt;R&gt;1&lt;/R&gt;&lt;C&gt;1&lt;/C&gt;&lt;D xsi:type="xsd:double"&gt;96940.4&lt;/D&gt;&lt;/FQL&gt;&lt;FQL&gt;&lt;Q&gt;Ticker0024^FE_ESTIMATE(GROSSINCOME,MEAN,QUARTERLY_ROLL,2020/4F,45776,,,'')&lt;/Q&gt;&lt;R&gt;1&lt;/R&gt;&lt;C&gt;1&lt;/C&gt;&lt;D xsi:type="xsd:double"&gt;25698.295&lt;/D&gt;&lt;/FQL&gt;&lt;FQL&gt;&lt;Q&gt;Ticker0024^FE_ESTIMATE(GROSSINCOME,MEAN,QUARTERLY_ROLL,2020/3F,45776,,,'')&lt;/Q&gt;&lt;R&gt;1&lt;/R&gt;&lt;C&gt;1&lt;/C&gt;&lt;D xsi:type="xsd:double"&gt;24046&lt;/D&gt;&lt;/FQL&gt;&lt;FQL&gt;&lt;Q&gt;Ticker0024^FE_ESTIMATE(GROSSINCOME,MEAN,QUARTERLY_ROLL,2020/2F,45776,,,'')&lt;/Q&gt;&lt;R&gt;1&lt;/R&gt;&lt;C&gt;1&lt;/C&gt;&lt;D xsi:type="xsd:double"&gt;24548&lt;/D&gt;&lt;/FQL&gt;&lt;FQL&gt;&lt;Q&gt;Ticker0024^FE_ESTIMATE(GROSSINCOME,MEAN,QUARTERLY_ROLL,2020/1F,45776,,,'')&lt;/Q&gt;&lt;R&gt;1&lt;/R&gt;&lt;C&gt;1&lt;/C&gt;&lt;D xsi:type="xsd:double"&gt;22649&lt;/D&gt;&lt;/FQL&gt;&lt;FQL&gt;&lt;Q&gt;Ticker0024^FE_ESTIMATE(GROSSINCOME,MEAN,ANNUAL_ROLL,2019,45776,,,'')&lt;/Q&gt;&lt;R&gt;1&lt;/R&gt;&lt;C&gt;1&lt;/C&gt;&lt;D xsi:type="xsd:double"&gt;82959.15&lt;/D&gt;&lt;/FQL&gt;&lt;FQL&gt;&lt;Q&gt;Ticker0024^FE_ESTIMATE(GROSSINCOME,MEAN,QUARTERLY_ROLL,2019/4F,45776,,,'')&lt;/Q&gt;&lt;R&gt;1&lt;/R&gt;&lt;C&gt;1&lt;/C&gt;&lt;D xsi:type="xsd:double"&gt;23317.578&lt;/D&gt;&lt;/FQL&gt;&lt;FQL&gt;&lt;Q&gt;Ticker0024^FE_ESTIMATE(GROSSINCOME,MEAN,QUARTERLY_ROLL,2019/3F,45776,,,'')&lt;/Q&gt;&lt;R&gt;1&lt;/R&gt;&lt;C&gt;1&lt;/C&gt;&lt;D xsi:type="xsd:double"&gt;20416&lt;/D&gt;&lt;/FQL&gt;&lt;FQL&gt;&lt;Q&gt;Ticker0024^FE_ESTIMATE(GROSSINCOME,MEAN,QUARTERLY_ROLL,2019/2F,45776,,,'')&lt;/Q&gt;&lt;R&gt;1&lt;/R&gt;&lt;C&gt;1&lt;/C&gt;&lt;D xsi:type="xsd:double"&gt;20048&lt;/D&gt;&lt;/FQL&gt;&lt;FQL&gt;&lt;Q&gt;Ticker0024^FE_ESTIMATE(GROSSINCOME,MEAN,QUARTERLY_ROLL,2019/1F,45776,,,'')&lt;/Q&gt;&lt;R&gt;1&lt;/R&gt;&lt;C&gt;1&lt;/C&gt;&lt;D xsi:type="xsd:double"&gt;19179&lt;/D&gt;&lt;/FQL&gt;&lt;FQL&gt;&lt;Q&gt;Ticker0024^FE_ESTIMATE(GROSSINCOME,MEAN,ANNUAL_ROLL,2018,45776,,,'')&lt;/Q&gt;&lt;R&gt;1&lt;/R&gt;&lt;C&gt;1&lt;/C&gt;&lt;D xsi:type="xsd:double"&gt;71970.336&lt;/D&gt;&lt;/FQL&gt;&lt;FQL&gt;&lt;Q&gt;Ticker0024^FE_ESTIMATE(GROSSINCOME,MEAN,QUARTERLY_ROLL,2018/4F,45776,,,'')&lt;/Q&gt;&lt;R&gt;1&lt;/R&gt;&lt;C&gt;1&lt;/C&gt;&lt;D xsi:type="xsd:double"&gt;20296.684&lt;/D&gt;&lt;/FQL&gt;&lt;FQL&gt;&lt;Q&gt;Ticker0024^FE_ESTIMATE(GROSSINCOME,MEAN,QUARTERLY_ROLL,2018/3F,45776,,,'')&lt;/Q&gt;&lt;R&gt;1&lt;/R&gt;&lt;C&gt;1&lt;/C&gt;&lt;D xsi:type="xsd:double"&gt;17550&lt;/D&gt;&lt;/FQL&gt;&lt;FQL&gt;&lt;Q&gt;Ticker0024^FE_ESTIMATE(GROSSINCOME,MEAN,QUARTERLY_ROLL,2018/2F,45776,,,'')&lt;/Q&gt;&lt;R&gt;1&lt;/R&gt;&lt;C&gt;1&lt;/C&gt;&lt;D xsi:type="xsd:double"&gt;17854&lt;/D&gt;&lt;/FQL&gt;&lt;FQL&gt;&lt;Q&gt;Ticker0024^FE_ESTIMATE(GROSSINCOME,MEAN,QUARTERLY_ROLL,2018/1F,45776,,,'')&lt;/Q&gt;&lt;R&gt;1&lt;/R&gt;&lt;C&gt;1&lt;/C&gt;&lt;D xsi:type="xsd:double"&gt;16264.4&lt;/D&gt;&lt;/FQL&gt;&lt;FQL&gt;&lt;Q&gt;Ticker0024^FE_ESTIMATE(GROSSINCOME,MEAN,ANNUAL_ROLL,2017,45776,,,'')&lt;/Q&gt;&lt;R&gt;1&lt;/R&gt;&lt;C&gt;1&lt;/C&gt;&lt;D xsi:type="xsd:double"&gt;62400.3&lt;/D&gt;&lt;/FQL&gt;&lt;FQL&gt;&lt;Q&gt;Ticker0024^FE_ESTIMATE(GROSSINCOME,MEAN,QUARTERLY_ROLL,2017/4F,45776,,,'')&lt;/Q&gt;&lt;R&gt;1&lt;/R&gt;&lt;C&gt;1&lt;/C&gt;&lt;D xsi:type="xsd:double"&gt;16244&lt;/D&gt;&lt;/FQL&gt;&lt;FQL&gt;&lt;Q&gt;Ticker0024^FE_ESTIMATE(GROSSINCOME,MEAN,QUARTERLY_ROLL,2017/3F,45776,,,'')&lt;/Q&gt;&lt;R&gt;1&lt;/R&gt;&lt;C&gt;1&lt;/C&gt;&lt;D xsi:type="xsd:double"&gt;15497&lt;/D&gt;&lt;/FQL&gt;&lt;FQL&gt;&lt;Q&gt;Ticker0024^FE_ESTIMATE(GROSSINCOME,MEAN,QUARTERLY_ROLL,2017/2F,45776,,,'')&lt;/Q&gt;&lt;R&gt;1&lt;/R&gt;&lt;C&gt;1&lt;/C&gt;&lt;D xsi:type="xsd:double"&gt;15990.608&lt;/D&gt;&lt;/FQL&gt;&lt;FQL&gt;&lt;Q&gt;Ticker0024^FE_ESTIMATE(GROSSINCOME,MEAN,QUARTERLY_ROLL,2017/1F,45776,,,'')&lt;/Q&gt;&lt;R&gt;1&lt;/R&gt;&lt;C&gt;1&lt;/C&gt;&lt;D xsi:type="xsd:double"&gt;14317.286&lt;/D&gt;&lt;/FQL&gt;&lt;FQL&gt;&lt;Q&gt;Ticker0024^FE_ESTIMATE(GROSSINCOME,MEAN,ANNUAL_ROLL,2016,45776,,,'')&lt;/Q&gt;&lt;R&gt;1&lt;/R&gt;&lt;C&gt;1&lt;/C&gt;&lt;D xsi:type="xsd:double"&gt;59288.41&lt;/D&gt;&lt;/FQL&gt;&lt;FQL&gt;&lt;Q&gt;Ticker0024^FE_ESTIMATE(GROSSINCOME,MEAN,QUARTERLY_ROLL,2016/4F,45776,,,'')&lt;/Q&gt;&lt;R&gt;1&lt;/R&gt;&lt;C&gt;1&lt;/C&gt;&lt;D xsi:type="xsd:double"&gt;14663&lt;/D&gt;&lt;/FQL&gt;&lt;FQL&gt;&lt;Q&gt;Ticker0024^FE_ESTIMATE(GROSSINCOME,MEAN,QUARTERLY_ROLL,2016/3F,45776,,,'')&lt;/Q&gt;&lt;R&gt;1&lt;/R&gt;&lt;C&gt;1&lt;/C&gt;&lt;D xsi:type="xsd:double"&gt;14354&lt;/D&gt;&lt;/FQL&gt;&lt;FQL&gt;&lt;Q&gt;Ticker0024^FE_ESTIMATE(GROSSINCOME,MEAN,QUARTERLY_ROLL,2016/2F,45776,,,'')&lt;/Q&gt;&lt;R&gt;1&lt;/R&gt;&lt;C&gt;1&lt;/C&gt;&lt;D xsi:type="xsd:double"&gt;15821&lt;/D&gt;&lt;/FQL&gt;&lt;FQL&gt;&lt;Q&gt;Ticker0024^FE_ESTIMATE(GROSSINCOME,MEAN,QUARTERLY_ROLL,2016/1F,45776,,,'')&lt;/Q&gt;&lt;R&gt;1&lt;/R&gt;&lt;C&gt;1&lt;/C&gt;&lt;D xsi:type="xsd:double"&gt;14452.667&lt;/D&gt;&lt;/FQL&gt;&lt;FQL&gt;&lt;Q&gt;Ticker0024^FE_ESTIMATE(GROSSINCOME,MEAN,ANNUAL_ROLL,2015,45776,,,'')&lt;/Q&gt;&lt;R&gt;1&lt;/R&gt;&lt;C&gt;1&lt;/C&gt;&lt;D xsi:type="xsd:double"&gt;60542.086&lt;/D&gt;&lt;/FQL&gt;&lt;FQL&gt;&lt;Q&gt;Ticker0024^FE_ESTIMATE(GROSSINCOME,MEAN,QUARTERLY_ROLL,2015/4F,45776,,,'')&lt;/Q&gt;&lt;R&gt;1&lt;/R&gt;&lt;C&gt;1&lt;/C&gt;&lt;D xsi:type="xsd:double"&gt;14712&lt;/D&gt;&lt;/FQL&gt;&lt;FQL&gt;&lt;Q&gt;Ticker0024^FE_ESTIMATE(GROSSINCOME,MEAN,QUARTERLY_ROLL,2015/3F,45776,,,'')&lt;/Q&gt;&lt;R&gt;1&lt;/R&gt;&lt;C&gt;1&lt;/C&gt;&lt;D xsi:type="xsd:double"&gt;14571.714&lt;/D&gt;&lt;/FQL&gt;&lt;FQL&gt;&lt;Q&gt;Ticker0024^FE_ESTIMATE(GROSSINCOME,MEAN,QUARTERLY_ROLL,2015/2F,45776,,,'')&lt;/Q&gt;&lt;R&gt;1&lt;/R&gt;&lt;C&gt;1&lt;/C&gt;&lt;D xsi:type="xsd:double"&gt;16334&lt;/D&gt;&lt;/FQL&gt;&lt;FQL&gt;&lt;Q&gt;Ticker0024^FE_ESTIMATE(GROSSINCOME,MEAN,QUARTERLY_ROLL,2015/1F,45776,,,'')&lt;/Q&gt;&lt;R&gt;1&lt;/R&gt;&lt;C&gt;1&lt;/C&gt;&lt;D xsi:type="xsd:double"&gt;14928&lt;/D&gt;&lt;/FQL&gt;&lt;FQL&gt;&lt;Q&gt;Ticker0024^FE_ESTIMATE(SALES,MEAN,ANNUAL_ROLL,2030,45776,,,'')&lt;/Q&gt;&lt;R&gt;0&lt;/R&gt;&lt;C&gt;0&lt;/C&gt;&lt;/FQL&gt;&lt;FQL&gt;&lt;Q&gt;Ticker0024^FE_ESTIMATE(SALES,MEAN,QUARTERLY_ROLL,2030/4F,45776,,,'')&lt;/Q&gt;&lt;R&gt;0&lt;/R&gt;&lt;C&gt;0&lt;/C&gt;&lt;/FQL&gt;&lt;FQL&gt;&lt;Q&gt;Ticker0024^FE_ESTIMATE(SALES,MEAN,QUARTERLY_ROLL,2030/3F,45776,,,'')&lt;/Q&gt;&lt;R&gt;0&lt;/R&gt;&lt;C&gt;0&lt;/C&gt;&lt;/FQL&gt;&lt;FQL&gt;&lt;Q&gt;Ticker0024^FE_ESTIMATE(SALES,MEAN,QUARTERLY_ROLL,2030/2F,45776,,,'')&lt;/Q&gt;&lt;R&gt;0&lt;/R&gt;&lt;C&gt;0&lt;/C&gt;&lt;/FQL&gt;&lt;FQL&gt;&lt;Q&gt;Ticker0024^FE_ESTIMATE(SALES,MEAN,QUARTERLY_ROLL,2030/1F,45776,,,'')&lt;/Q&gt;&lt;R&gt;0&lt;/R&gt;&lt;C&gt;0&lt;/C&gt;&lt;/FQL&gt;&lt;FQL&gt;&lt;Q&gt;Ticker0024^FE_ESTIMATE(SALES,MEAN,ANNUAL_ROLL,2029,45776,,,'')&lt;/Q&gt;&lt;R&gt;1&lt;/R&gt;&lt;C&gt;1&lt;/C&gt;&lt;D xsi:type="xsd:double"&gt;469312.5&lt;/D&gt;&lt;/FQL&gt;&lt;FQL&gt;&lt;Q&gt;Ticker0024^FE_ESTIMATE(SALES,MEAN,QUARTERLY_ROLL,2029/4F,45776,,,'')&lt;/Q&gt;&lt;R&gt;0&lt;/R&gt;&lt;C&gt;0&lt;/C&gt;&lt;/FQL&gt;&lt;FQL&gt;&lt;Q&gt;Ticker0024^FE_ESTIMATE(SALES,MEAN,QUARTERLY_ROLL,2029/3F,45776,,,'')&lt;/Q&gt;&lt;R&gt;0&lt;/R&gt;&lt;C&gt;0&lt;/C&gt;&lt;/FQL&gt;&lt;FQL&gt;&lt;Q&gt;Ticker0024^FE_ESTIMATE(SALES,MEAN,QUARTERLY_ROLL,2029/2F,45776,,,'')&lt;/Q&gt;&lt;R&gt;0&lt;/R&gt;&lt;C&gt;0&lt;/C&gt;&lt;/FQL&gt;&lt;FQL&gt;&lt;Q&gt;Ticker0024^FE_ESTIMATE(SALES,MEAN,QUARTERLY_ROLL,2029/1F,45776,,,'')&lt;/Q&gt;&lt;R&gt;0&lt;/R&gt;&lt;C&gt;0&lt;/C&gt;&lt;/FQL&gt;&lt;FQL&gt;&lt;Q&gt;Ticker0024^FE_ESTIMATE(SALES,MEAN,ANNUAL_ROLL,2028,45776,,,'')&lt;/Q&gt;&lt;R&gt;1&lt;/R&gt;&lt;C&gt;1&lt;/C&gt;&lt;D xsi:type="xsd:double"&gt;414247.2&lt;/D&gt;&lt;/FQL&gt;&lt;FQL&gt;&lt;Q&gt;Ticker0024^FE_ESTIMATE(SALES,MEAN,QUARTERLY_ROLL,2028/4F,45776,,,'')&lt;/Q&gt;&lt;R&gt;0&lt;/R&gt;&lt;C&gt;0&lt;/C&gt;&lt;/FQL&gt;&lt;FQL&gt;&lt;Q&gt;Ticker0024^FE_ESTIMATE(SALES,MEAN,QUARTERLY_ROLL,2028/3F,45776,,,'')&lt;/Q&gt;&lt;R&gt;0&lt;/R&gt;&lt;C&gt;0&lt;/C&gt;&lt;/FQL&gt;&lt;FQL&gt;&lt;Q&gt;Ticker0024^FE_ESTIMATE(SALES,MEAN,QUARTERLY_ROLL,2028/2F,45776,,,'')&lt;/Q&gt;&lt;R&gt;0&lt;/R&gt;&lt;C&gt;0&lt;/C&gt;&lt;/FQL&gt;&lt;FQL&gt;&lt;Q&gt;Ticker0024^FE_ESTIMATE(SALES,MEAN,QUARTERLY_ROLL,2028/1F,45776,,,'')&lt;/Q&gt;&lt;R&gt;0&lt;/R&gt;&lt;C&gt;0&lt;/C&gt;&lt;/FQL&gt;&lt;FQL&gt;&lt;Q&gt;Ticker0024^FE_ESTIMATE(SALES,MEAN,ANNUAL_ROLL,2027,45776,,,'')&lt;/Q&gt;&lt;R&gt;1&lt;/R&gt;&lt;C&gt;1&lt;/C&gt;&lt;D xsi:type="xsd:double"&gt;359989.5&lt;/D&gt;&lt;/FQL&gt;&lt;FQL&gt;&lt;Q&gt;Ticker0024^FE_ESTIMATE(SALES,MEAN,QUARTERLY_ROLL,2027/4F,45776,,,'')&lt;/Q&gt;&lt;R&gt;1&lt;/R&gt;&lt;C&gt;1&lt;/C&gt;&lt;D xsi:type="xsd:double"&gt;93604.83&lt;/D&gt;&lt;/FQL&gt;&lt;FQL&gt;&lt;Q&gt;Ticker0024^FE_ESTIMATE(SALES,MEAN,QUARTERLY_ROLL,2027/3F,45776,,,'')&lt;/Q&gt;&lt;R&gt;1&lt;/R&gt;&lt;C&gt;1&lt;/C&gt;&lt;D xsi:type="xsd:double"&gt;88109.22&lt;/D&gt;&lt;/FQL&gt;&lt;FQL&gt;&lt;Q&gt;Ticker0024^FE_ESTIMATE(SALES,MEAN,QUARTERLY_ROLL,2027/2F,45776,,,'')&lt;/Q&gt;&lt;R&gt;1&lt;/R&gt;&lt;C&gt;1&lt;/C&gt;&lt;D xsi:type="xsd:double"&gt;88420.945&lt;/D&gt;&lt;/FQL&gt;&lt;FQL&gt;&lt;Q&gt;Ticker0024^FE_ESTIMATE(SALES,MEAN,QUARTERLY_ROLL,2027/1F,45776,,,'')&lt;/Q&gt;&lt;R&gt;1&lt;/R&gt;&lt;C&gt;1&lt;/C&gt;&lt;D xsi:type="xsd:double"&gt;83644.31&lt;/D&gt;&lt;/FQL&gt;&lt;FQL&gt;&lt;Q&gt;Ticker0024^FE_ESTIMATE(SALES,MEAN,ANNUAL_ROLL,2026,45776,,,'')&lt;/Q&gt;&lt;R&gt;1&lt;/R&gt;&lt;C&gt;1&lt;/C&gt;&lt;D xsi:type="xsd:double"&gt;313252.28&lt;/D&gt;&lt;/FQL&gt;&lt;FQL&gt;&lt;Q&gt;Ticker0024^FE_ESTIMATE(SALES,MEAN,QUARTERLY_ROLL,2026/4F,45776,,,'')&lt;/Q&gt;&lt;R&gt;1&lt;/R&gt;&lt;C&gt;1&lt;/C&gt;&lt;D xsi:type="xsd:double"&gt;81640.195&lt;/D&gt;&lt;/FQL&gt;&lt;FQL&gt;&lt;Q&gt;Ticker0024^FE_ESTIMATE(SALES,MEAN,QUARTERLY_ROLL,2026/3F,45776,,,'')&lt;/Q&gt;&lt;R&gt;1&lt;/R&gt;&lt;C&gt;1&lt;/C&gt;&lt;D xsi:type="xsd:double"&gt;77287.12&lt;/D&gt;&lt;/FQL&gt;&lt;FQL&gt;&lt;Q&gt;Ticker0024^FE_ESTIMATE(SALES,MEAN,QUARTERLY_ROLL,2026/2F,45776,,,'')&lt;/Q&gt;&lt;R&gt;1&lt;/R&gt;&lt;C&gt;1&lt;/C&gt;&lt;D xsi:type="xsd:double"&gt;77888.13&lt;/D&gt;&lt;/FQL&gt;&lt;FQL&gt;&lt;Q&gt;Ticker0024^FE_ESTIMATE(SALES,MEAN,QUARTERLY_ROLL,2026/1F,45776,,,'')&lt;/Q&gt;&lt;R&gt;1&lt;/R&gt;&lt;C&gt;1&lt;/C&gt;&lt;D xsi:type="xsd:double"&gt;73388.47&lt;/D&gt;&lt;/FQL&gt;&lt;FQL&gt;&lt;Q&gt;Ticker0024^FE_ESTIMATE(SALES,MEAN,ANNUAL_ROLL,2025,45776,,,'')&lt;/Q&gt;&lt;R&gt;1&lt;/R&gt;&lt;C&gt;1&lt;/C&gt;&lt;D xsi:type="xsd:double"&gt;276551.06&lt;/D&gt;&lt;/FQL&gt;&lt;FQL&gt;&lt;Q&gt;Ticker0024^FE_ESTIMATE(SALES,MEAN,QUARTERLY_ROLL,2025/4F,45776,,,'')&lt;/Q&gt;&lt;R&gt;1&lt;/R&gt;&lt;C&gt;1&lt;/C&gt;&lt;D xsi:type="xsd:double"&gt;72229.5&lt;/D&gt;&lt;/FQL&gt;&lt;FQL&gt;&lt;Q&gt;Ticker0024^FE_ESTIMATE(SALES,MEAN,QUARTERLY_ROLL,2025/3F,45776,,,'')&lt;/Q&gt;&lt;R&gt;1&lt;/R&gt;&lt;C&gt;1&lt;/C&gt;&lt;D xsi:type="xsd:double"&gt;68443.89&lt;/D&gt;&lt;/FQL&gt;&lt;FQL&gt;&lt;Q&gt;Ticker0024^FE_ESTIMATE(SALES,MEAN,QUARTERLY_ROLL,2025/2F,45776,,,'')&lt;/Q&gt;&lt;R&gt;1&lt;/R&gt;&lt;C&gt;1&lt;/C&gt;&lt;D xsi:type="xsd:double"&gt;69632&lt;/D&gt;&lt;/FQL&gt;&lt;FQL&gt;&lt;Q&gt;Ticker0024^FE_ESTIMATE(SALES,MEAN,QUARTERLY_ROLL,2025/1F,45776,,,'')&lt;/Q&gt;&lt;R&gt;1&lt;/R&gt;&lt;C&gt;1&lt;/C&gt;&lt;D xsi:type="xsd:double"&gt;65585&lt;/D&gt;&lt;/FQL&gt;&lt;FQL&gt;&lt;Q&gt;Ticker0024^FE_ESTIMATE(SALES,MEAN,ANNUAL_ROLL,2024,45776,,,'')&lt;/Q&gt;&lt;R&gt;1&lt;/R&gt;&lt;C&gt;1&lt;/C&gt;&lt;D xsi:type="xsd:double"&gt;245122&lt;/D&gt;&lt;/FQL&gt;&lt;FQL&gt;&lt;Q&gt;Ticker0024^FE_ESTIMATE(SALES,MEAN,QUARTERLY_ROLL,2024/4F,45776,,,'')&lt;/Q&gt;&lt;R&gt;1&lt;/R&gt;&lt;C&gt;1&lt;/C&gt;&lt;D xsi:type="xsd:double"&gt;64727&lt;/D&gt;&lt;/FQL&gt;&lt;FQL&gt;&lt;Q&gt;Ticker0024^FE_ESTIMATE(SALES,MEAN,QUARTERLY_ROLL,2024/3F,45776,,,'')&lt;/Q&gt;&lt;R&gt;1&lt;/R&gt;&lt;C&gt;1&lt;/C&gt;&lt;D xsi:type="xsd:double"&gt;61858&lt;/D&gt;&lt;/FQL&gt;&lt;FQL&gt;&lt;Q&gt;Ticker0024^FE_ESTIMATE(SALES,MEAN,QUARTERLY_ROLL,2024/2F,45776,,,'')&lt;/Q&gt;&lt;R&gt;1&lt;/R&gt;&lt;C&gt;1&lt;/C&gt;&lt;D xsi:type="xsd:double"&gt;62020&lt;/D&gt;&lt;/FQL&gt;&lt;FQL&gt;&lt;Q&gt;Ticker0024^FE_ESTIMATE(SALES,MEAN,QUARTERLY_ROLL,2024/1F,45776,,,'')&lt;/Q&gt;&lt;R&gt;1&lt;/R&gt;&lt;C&gt;1&lt;/C&gt;&lt;D xsi:type="xsd:double"&gt;56517&lt;/D&gt;&lt;/FQL&gt;&lt;FQL&gt;&lt;Q&gt;Ticker0024^FE_ESTIMATE(SALES,MEAN,ANNUAL_ROLL,2023,45776,,,'')&lt;/Q&gt;&lt;R&gt;1&lt;/R&gt;&lt;C&gt;1&lt;/C&gt;&lt;D xsi:type="xsd:double"&gt;211915&lt;/D&gt;&lt;/FQL&gt;&lt;FQL&gt;&lt;Q&gt;Ticker0024^FE_ESTIMATE(SALES,MEAN,QUARTERLY_ROLL,2023/4F,45776,,,'')&lt;/Q&gt;&lt;R&gt;1&lt;/R&gt;&lt;C&gt;1&lt;/C&gt;&lt;D xsi:type="xsd:double"&gt;56189&lt;/D&gt;&lt;/FQL&gt;&lt;FQL&gt;&lt;Q&gt;Ticker0024^FE_ESTIMATE(SALES,MEAN,QUARTERLY_ROLL,2023/3F,45776,,,'')&lt;/Q&gt;&lt;R&gt;1&lt;/R&gt;&lt;C&gt;1&lt;/C&gt;&lt;D xsi:type="xsd:double"&gt;52857&lt;/D&gt;&lt;/FQL&gt;&lt;FQL&gt;&lt;Q&gt;Ticker0024^FE_ESTIMATE(SALES,MEAN,QUARTERLY_ROLL,2023/2F,45776,,,'')&lt;/Q&gt;&lt;R&gt;1&lt;/R&gt;&lt;C&gt;1&lt;/C&gt;&lt;D xsi:type="xsd:double"&gt;52747&lt;/D&gt;&lt;/FQL&gt;&lt;FQL&gt;&lt;Q&gt;Ticker0024^FE_ESTIMATE(SALES,MEAN,QUARTERLY_ROLL,2023/1F,45776,,,'')&lt;/Q&gt;&lt;R&gt;1&lt;/R&gt;&lt;C&gt;1&lt;/C&gt;&lt;D xsi:type="xsd:double"&gt;50122&lt;/D&gt;&lt;/FQL&gt;&lt;FQL&gt;&lt;Q&gt;Ticker0024^FE_ESTIMATE(SALES,MEAN,ANNUAL_ROLL,2022,45776,,,'')&lt;/Q&gt;&lt;R&gt;1&lt;/R&gt;&lt;C&gt;1&lt;/C&gt;&lt;D xsi:type="xsd:double"&gt;198270&lt;/D&gt;&lt;/FQL&gt;&lt;FQL&gt;&lt;Q&gt;Ticker0024^FE_ESTIMATE(SALES,MEAN,QUARTERLY_ROLL,2022/4F,45776,,,'')&lt;/Q&gt;&lt;R&gt;1&lt;/R&gt;&lt;C&gt;1&lt;/C&gt;&lt;D xsi:type="xsd:double"&gt;51865&lt;/D&gt;&lt;/FQL&gt;&lt;FQL&gt;&lt;Q&gt;Ticker0024^FE_ESTIMATE(SALES,MEAN,QUARTERLY_ROLL,2022/3F,45776,,,'')&lt;/Q&gt;&lt;R&gt;1&lt;/R&gt;&lt;C&gt;1&lt;/C&gt;&lt;D xsi:type="xsd:double"&gt;49360&lt;/D&gt;&lt;/FQL&gt;&lt;FQL&gt;&lt;Q&gt;Ticker0024^FE_ESTIMATE(SALES,MEAN,QUARTERLY_ROLL,2022/2F,45776,,,'')&lt;/Q&gt;&lt;R&gt;1&lt;/R&gt;&lt;C&gt;1&lt;/C&gt;&lt;D xsi:type="xsd:double"&gt;51728&lt;/D&gt;&lt;/FQL&gt;&lt;FQL&gt;&lt;Q&gt;Ticker0024^FE_ESTIMATE(SALES,MEAN,QUARTERLY_ROLL,2022/1F,45776,,,'')&lt;/Q&gt;&lt;R&gt;1&lt;/R&gt;&lt;C&gt;1&lt;/C&gt;&lt;D xsi:type="xsd:double"&gt;45317&lt;/D&gt;&lt;/FQL&gt;&lt;FQL&gt;&lt;Q&gt;Ticker0024^FE_ESTIMATE(SALES,MEAN,ANNUAL_ROLL,2021,45776,,,'')&lt;/Q&gt;&lt;R&gt;1&lt;/R&gt;&lt;C&gt;1&lt;/C&gt;&lt;D xsi:type="xsd:double"&gt;168088&lt;/D&gt;&lt;/FQL&gt;&lt;FQL&gt;&lt;Q&gt;Ticker0024^FE_ESTIMATE(SALES,MEAN,QUARTERLY_ROLL,2021/4F,45776,,,'')&lt;/Q&gt;&lt;R&gt;1&lt;/R&gt;&lt;C&gt;1&lt;/C&gt;&lt;D xsi:type="xsd:double"&gt;46152&lt;/D&gt;&lt;/FQL&gt;&lt;FQL&gt;&lt;Q&gt;Ticker0024^FE_ESTIMATE(SALES,MEAN,QUARTERLY_ROLL,2021/3F,45776,,,'')&lt;/Q&gt;&lt;R&gt;1&lt;/R&gt;&lt;C&gt;1&lt;/C&gt;&lt;D xsi:type="xsd:double"&gt;41706&lt;/D&gt;&lt;/FQL&gt;&lt;FQL&gt;&lt;Q&gt;Ticker0024^FE_ESTIMATE(SALES,MEAN,QUARTERLY_ROLL,2021/2F,45776,,,'')&lt;/Q&gt;&lt;R&gt;1&lt;/R&gt;&lt;C&gt;1&lt;/C&gt;&lt;D xsi:type="xsd:double"&gt;43076&lt;/D&gt;&lt;/FQL&gt;&lt;FQL&gt;&lt;Q&gt;Ticker0024^FE_ESTIMATE(SALES,MEAN,QUARTERLY_ROLL,2021/1F,45776,,,'')&lt;/Q&gt;&lt;R&gt;1&lt;/R&gt;&lt;C&gt;1&lt;/C&gt;&lt;D xsi:type="xsd:double"&gt;37154&lt;/D&gt;&lt;/FQL&gt;&lt;FQL&gt;&lt;Q&gt;Ticker0024^FE_ESTIMATE(SALES,MEAN,ANNUAL_ROLL,2020,45776,,,'')&lt;/Q&gt;&lt;R&gt;1&lt;/R&gt;&lt;C&gt;1&lt;/C&gt;&lt;D xsi:type="xsd:double"&gt;143015&lt;/D&gt;&lt;/FQL&gt;&lt;FQL&gt;&lt;Q&gt;Ticker0024^FE_ESTIMATE(SALES,MEAN,QUARTERLY_ROLL,2020/4F,45776,,,'')&lt;/Q&gt;&lt;R&gt;1&lt;/R&gt;&lt;C&gt;1&lt;/C&gt;&lt;D xsi:type="xsd:double"&gt;38033&lt;/D&gt;&lt;/FQL&gt;&lt;FQL&gt;&lt;Q&gt;Ticker0024^FE_ESTIMATE(SALES,MEAN,QUARTERLY_ROLL,2020/3F,45776,,,'')&lt;/Q&gt;&lt;R&gt;1&lt;/R&gt;&lt;C&gt;1&lt;/C&gt;&lt;D xsi:type="xsd:double"&gt;35021&lt;/D&gt;&lt;/FQL&gt;&lt;FQL&gt;&lt;Q&gt;Ticker0024^FE_ESTIMATE(SALES,MEAN,QUARTERLY_ROLL,2020/2F,45776,,,'')&lt;/Q&gt;&lt;R&gt;1&lt;/R&gt;&lt;C&gt;1&lt;/C&gt;&lt;D xsi:type="xsd:double"&gt;36906&lt;/D&gt;&lt;/FQL&gt;&lt;FQL&gt;&lt;Q&gt;Ticker0024^FE_ESTIMATE(SALES,MEAN,QUARTERLY_ROLL,2020/1F,45776,,,'')&lt;/Q&gt;&lt;R&gt;1&lt;/R&gt;&lt;C&gt;1&lt;/C&gt;&lt;D xsi:type="xsd:double"&gt;33055&lt;/D&gt;&lt;/FQL&gt;&lt;FQL&gt;&lt;Q&gt;Ticker0024^FE_ESTIMATE(SALES,MEAN,ANNUAL_ROLL,2019,45776,,,'')&lt;/Q&gt;&lt;R&gt;1&lt;/R&gt;&lt;C&gt;1&lt;/C&gt;&lt;D xsi:type="xsd:double"&gt;125843&lt;/D&gt;&lt;/FQL&gt;&lt;FQL&gt;&lt;Q&gt;Ticker0024^FE_ESTIMATE(SALES,MEAN,QUARTERLY_ROLL,2019/4F,45776,,,'')&lt;/Q&gt;&lt;R&gt;1&lt;/R&gt;&lt;C&gt;1&lt;/C&gt;&lt;D xsi:type="xsd:double"&gt;33717&lt;/D&gt;&lt;/FQL&gt;&lt;FQL&gt;&lt;Q&gt;Ticker0024^FE_ESTIMATE(SALES,MEAN,QUARTERLY_ROLL,2019/3F,45776,,,'')&lt;/Q&gt;&lt;R&gt;1&lt;/R&gt;&lt;C&gt;1&lt;/C&gt;&lt;D xsi:type="xsd:double"&gt;30571&lt;/D&gt;&lt;/FQL&gt;&lt;FQL&gt;&lt;Q&gt;Ticker0024^FE_ESTIMATE(SALES,MEAN,QUARTERLY_ROLL,2019/2F,45776,,,'')&lt;/Q&gt;&lt;R&gt;1&lt;/R&gt;&lt;C&gt;1&lt;/C&gt;&lt;D xsi:type="xsd:double"&gt;32471&lt;/D&gt;&lt;/FQL&gt;&lt;FQL&gt;&lt;Q&gt;Ticker0024^FE_ESTIMATE(SALES,MEAN,QUARTERLY_ROLL,2019/1F,45776,,,'')&lt;/Q&gt;&lt;R&gt;1&lt;/R&gt;&lt;C&gt;1&lt;/C&gt;&lt;D xsi:type="xsd:double"&gt;29084&lt;/D&gt;&lt;/FQL&gt;&lt;FQL&gt;&lt;Q&gt;Ticker0024^FE_ESTIMATE(SALES,MEAN,ANNUAL_ROLL,2018,45776,,,'')&lt;/Q&gt;&lt;R&gt;1&lt;/R&gt;&lt;C&gt;1&lt;/C&gt;&lt;D xsi:type="xsd:double"&gt;110360&lt;/D&gt;&lt;/FQL&gt;&lt;FQL&gt;&lt;Q&gt;Ticker0024^FE_ESTIMATE(SALES,MEAN,QUARTERLY_ROLL,2018/4F,45776,,,'')&lt;/Q&gt;&lt;R&gt;1&lt;/R&gt;&lt;C&gt;1&lt;/C&gt;&lt;D xsi:type="xsd:double"&gt;30085&lt;/D&gt;&lt;/FQL&gt;&lt;FQL&gt;&lt;Q&gt;Ticker0024^FE_ESTIMATE(SALES,MEAN,QUARTERLY_ROLL,2018/3F,45776,,,'')&lt;/Q&gt;&lt;R&gt;1&lt;/R&gt;&lt;C&gt;1&lt;/C&gt;&lt;D xsi:type="xsd:double"&gt;26819&lt;/D&gt;&lt;/FQL&gt;&lt;FQL&gt;&lt;Q&gt;Ticker0024^FE_ESTIMATE(SALES,MEAN,QUARTERLY_ROLL,2018/2F,45776,,,'')&lt;/Q&gt;&lt;R&gt;1&lt;/R&gt;&lt;C&gt;1&lt;/C&gt;&lt;D xsi:type="xsd:double"&gt;28918&lt;/D&gt;&lt;/FQL&gt;&lt;FQL&gt;&lt;Q&gt;Ticker0024^FE_ESTIMATE(SALES,MEAN,QUARTERLY_ROLL,2018/1F,45776,,,'')&lt;/Q&gt;&lt;R&gt;1&lt;/R&gt;&lt;C&gt;1&lt;/C&gt;&lt;D xsi:type="xsd:double"&gt;24538&lt;/D&gt;&lt;/FQL&gt;&lt;FQL&gt;&lt;Q&gt;Ticker0024^FE_ESTIMATE(SALES,MEAN,ANNUAL_ROLL,2017,45776,,,'')&lt;/Q&gt;&lt;R&gt;1&lt;/R&gt;&lt;C&gt;1&lt;/C&gt;&lt;D xsi:type="xsd:double"&gt;96700&lt;/D&gt;&lt;/FQL&gt;&lt;FQL&gt;&lt;Q&gt;Ticker0024^FE_ESTIMATE(SALES,MEAN,QUARTERLY_ROLL,2017/4F,45776,,,'')&lt;/Q&gt;&lt;R&gt;1&lt;/R&gt;&lt;C&gt;1&lt;/C&gt;&lt;D xsi:type="xsd:double"&gt;24700&lt;/D&gt;&lt;/FQL&gt;&lt;FQL&gt;&lt;Q&gt;Ticker0024^FE_ESTIMATE(SALES,MEAN,QUARTERLY_ROLL,2017/3F,45776,,,'')&lt;/Q&gt;&lt;R&gt;1&lt;/R&gt;&lt;C&gt;1&lt;/C&gt;&lt;D xsi:type="xsd:double"&gt;23557&lt;/D&gt;&lt;/FQL&gt;&lt;FQL&gt;&lt;Q&gt;Ticker0024^FE_ESTIMATE(SALES,MEAN,QUARTERLY_ROLL,2017/2F,45776,,,'')&lt;/Q&gt;&lt;R&gt;1&lt;/R&gt;&lt;C&gt;1&lt;/C&gt;&lt;D xsi:type="xsd:double"&gt;26066&lt;/D&gt;&lt;/FQL&gt;&lt;FQL&gt;&lt;Q&gt;Ticker0024^FE_ESTIMATE(SALES,MEAN,QUARTERLY_ROLL,2017/1F,45776,,,'')&lt;/Q&gt;&lt;R&gt;1&lt;/R&gt;&lt;C&gt;1&lt;/C&gt;&lt;D xsi:type="xsd:double"&gt;22334&lt;/D&gt;&lt;/FQL&gt;&lt;FQL&gt;&lt;Q&gt;Ticker0024^FE_ESTIMATE(SALES,MEAN,ANNUAL_ROLL,2016,45776,,,'')&lt;/Q&gt;&lt;R&gt;1&lt;/R&gt;&lt;C&gt;1&lt;/C&gt;&lt;D xsi:type="xsd:double"&gt;92051.92&lt;/D&gt;&lt;/FQL&gt;&lt;FQL&gt;&lt;Q&gt;Ticker0024^FE_ESTIMATE(SALES,MEAN,QUARTERLY_ROLL,2016/4F,45776,,,'')&lt;/Q&gt;&lt;R&gt;1&lt;/R&gt;&lt;C&gt;1&lt;/C&gt;&lt;D xsi:type="xsd:double"&gt;22640.229&lt;/D&gt;&lt;/FQL&gt;&lt;FQL&gt;&lt;Q&gt;Ticker0024^FE_ESTIMATE(SALES,MEAN,QUARTERLY_ROLL,2016/3F,45776,,,'')&lt;/Q&gt;&lt;R&gt;1&lt;/R&gt;&lt;C&gt;1&lt;/C&gt;&lt;D xsi:type="xsd:double"&gt;22076&lt;/D&gt;&lt;/FQL&gt;&lt;FQL&gt;&lt;Q&gt;Ticker0024^FE_ESTIMATE(SALES,MEAN,QUARTERLY_ROLL,2016/2F,45776,,,'')&lt;/Q&gt;&lt;R&gt;1&lt;/R&gt;&lt;C&gt;1&lt;/C&gt;&lt;D xsi:type="xsd:double"&gt;25693&lt;/D&gt;&lt;/FQL&gt;&lt;FQL&gt;&lt;Q&gt;Ticker0024^FE_ESTIMATE(SALES,MEAN,QUARTERLY_ROLL,2016/1F,45776,,,'')&lt;/Q&gt;&lt;R&gt;1&lt;/R&gt;&lt;C&gt;1&lt;/C&gt;&lt;D xsi:type="xsd:double"&gt;21660&lt;/D&gt;&lt;/FQL&gt;&lt;FQL&gt;&lt;Q&gt;Ticker0024^FE_ESTIMATE(SALES,MEAN,ANNUAL_ROLL,2015,45776,,,'')&lt;/Q&gt;&lt;R&gt;1&lt;/R&gt;&lt;C&gt;1&lt;/C&gt;&lt;D xsi:type="xsd:double"&gt;93580&lt;/D&gt;&lt;/FQL&gt;&lt;FQL&gt;&lt;Q&gt;Ticker0024^FE_ESTIMATE(SALES,MEAN,QUARTERLY_ROLL,2015/4F,45776,,,'')&lt;/Q&gt;&lt;R&gt;1&lt;/R&gt;&lt;C&gt;1&lt;/C&gt;&lt;D xsi:type="xsd:double"&gt;22180&lt;/D&gt;&lt;/FQL&gt;&lt;FQL&gt;&lt;Q&gt;Ticker0024^FE_ESTIMATE(SALES,MEAN,QUARTERLY_ROLL,2015/3F,45776,,,'')&lt;/Q&gt;&lt;R&gt;1&lt;/R&gt;&lt;C&gt;1&lt;/C&gt;&lt;D xsi:type="xsd:double"&gt;21729&lt;/D&gt;&lt;/FQL&gt;&lt;FQL&gt;&lt;Q&gt;Ticker0024^FE_ESTIMATE(SALES,MEAN,QUARTERLY_ROLL,2015/2F,45776,,,'')&lt;/Q&gt;&lt;R&gt;1&lt;/R&gt;&lt;C&gt;1&lt;/C&gt;&lt;D xsi:type="xsd:double"&gt;26470&lt;/D&gt;&lt;/FQL&gt;&lt;FQL&gt;&lt;Q&gt;Ticker0024^FE_ESTIMATE(SALES,MEAN,QUARTERLY_ROLL,2015/1F,45776,,,'')&lt;/Q&gt;&lt;R&gt;1&lt;/R&gt;&lt;C&gt;1&lt;/C&gt;&lt;D xsi:type="xsd:double"&gt;23201&lt;/D&gt;&lt;/FQL&gt;&lt;FQL&gt;&lt;Q&gt;Ticker0024^FE_ESTIMATE(PRODLINE_SALES_17,MEAN,ANNUAL_ROLL,2030,45776,,,'')&lt;/Q&gt;&lt;R&gt;0&lt;/R&gt;&lt;C&gt;0&lt;/C&gt;&lt;/FQL&gt;&lt;FQL&gt;&lt;Q&gt;Ticker0024^FE_ESTIMATE(PRODLINE_SALES_17,MEAN,QUARTERLY_ROLL,2030/4F,45776,,,'')&lt;/Q&gt;&lt;R&gt;0&lt;/R&gt;&lt;C&gt;0&lt;/C&gt;&lt;/FQL&gt;&lt;FQL&gt;&lt;Q&gt;Ticker0024^FE_ESTIMATE(PRODLINE_SALES_17,MEAN,QUARTERLY_ROLL,2030/3F,45776,,,'')&lt;/Q&gt;&lt;R&gt;0&lt;/R&gt;&lt;C&gt;0&lt;/C&gt;&lt;/FQL&gt;&lt;FQL&gt;&lt;Q&gt;Ticker0024^FE_ESTIMATE(PRODLINE_SALES_17,MEAN,QUARTERLY_ROLL,2030/2F,45776,,,'')&lt;/Q&gt;&lt;R&gt;0&lt;/R&gt;&lt;C&gt;0&lt;/C&gt;&lt;/FQL&gt;&lt;FQL&gt;&lt;Q&gt;Ticker0024^FE_ESTIMATE(PRODLINE_SALES_17,MEAN,QUARTERLY_ROLL,2030/1F,45776,,,'')&lt;/Q&gt;&lt;R&gt;0&lt;/R&gt;&lt;C&gt;0&lt;/C&gt;&lt;/FQL&gt;&lt;FQL&gt;&lt;Q&gt;Ticker0024^FE_ESTIMATE(PRODLINE_SALES_17,MEAN,ANNUAL_ROLL,2029,45776,,,'')&lt;/Q&gt;&lt;R&gt;0&lt;/R&gt;&lt;C&gt;0&lt;/C&gt;&lt;/FQL&gt;&lt;FQL&gt;&lt;Q&gt;Ticker0024^FE_ESTIMATE(PRODLINE_SALES_17,MEAN,QUARTERLY_ROLL,2029/4F,45776,,,'')&lt;/Q&gt;&lt;R&gt;0&lt;/R&gt;&lt;C&gt;0&lt;/C&gt;&lt;/FQL&gt;&lt;FQL&gt;&lt;Q&gt;Ticker0024^FE_ESTIMATE(PRODLINE_SALES_17,MEAN,QUARTERLY_ROLL,2029/3F,45776,,,'')&lt;/Q&gt;&lt;R&gt;0&lt;/R&gt;&lt;C&gt;0&lt;/C&gt;&lt;/FQL&gt;&lt;FQL&gt;&lt;Q&gt;Ticker0024^FE_ESTIMATE(PRODLINE_SALES_17,MEAN,QUARTERLY_ROLL,2029/2F,45776,,,'')&lt;/Q&gt;&lt;R&gt;0&lt;/R&gt;&lt;C&gt;0&lt;/C&gt;&lt;/FQL&gt;&lt;FQL&gt;&lt;Q&gt;Ticker0024^FE_ESTIMATE(PRODLINE_SALES_17,MEAN,QUARTERLY_ROLL,2029/1F,45776,,,'')&lt;/Q&gt;&lt;R&gt;0&lt;/R&gt;&lt;C&gt;0&lt;/C&gt;&lt;/FQL&gt;&lt;FQL&gt;&lt;Q&gt;Ticker0024^FE_ESTIMATE(PRODLINE_SALES_17,MEAN,ANNUAL_ROLL,2028,45776,,,'')&lt;/Q&gt;&lt;R&gt;1&lt;/R&gt;&lt;C&gt;1&lt;/C&gt;&lt;D xsi:type="xsd:double"&gt;62543&lt;/D&gt;&lt;/FQL&gt;&lt;FQL&gt;&lt;Q&gt;Ticker0024^FE_ESTIMATE(PRODLINE_SALES_17,MEAN,QUARTERLY_ROLL,2028/4F,45776,,,'')&lt;/Q&gt;&lt;R&gt;0&lt;/R&gt;&lt;C&gt;0&lt;/C&gt;&lt;/FQL&gt;&lt;FQL&gt;&lt;Q&gt;Ticker0024^FE_ESTIMATE(PRODLINE_SALES_17,MEAN,QUARTERLY_ROLL,2028/3F,45776,,,'')&lt;/Q&gt;&lt;R&gt;0&lt;/R&gt;&lt;C&gt;0&lt;/C&gt;&lt;/FQL&gt;&lt;FQL&gt;&lt;Q&gt;Ticker0024^FE_ESTIMATE(PRODLINE_SALES_17,MEAN,QUARTERLY_ROLL,2028/2F,45776,,,'')&lt;/Q&gt;&lt;R&gt;0&lt;/R&gt;&lt;C&gt;0&lt;/C&gt;&lt;/FQL&gt;&lt;FQL&gt;&lt;Q&gt;Ticker0024^FE_ESTIMATE(PRODLINE_SALES_17,MEAN,QUARTERLY_ROLL,2028/1F,45776,,,'')&lt;/Q&gt;&lt;R&gt;0&lt;/R&gt;&lt;C&gt;0&lt;/C&gt;&lt;/FQL&gt;&lt;FQL&gt;&lt;Q&gt;Ticker0024^FE_ESTIMATE(PRODLINE_SALES_17,MEAN,ANNUAL_ROLL,2027,45776,,,'')&lt;/Q&gt;&lt;R&gt;1&lt;/R&gt;&lt;C&gt;1&lt;/C&gt;&lt;D xsi:type="xsd:double"&gt;58092.043&lt;/D&gt;&lt;/FQL&gt;&lt;FQL&gt;&lt;Q&gt;Ticker0024^FE_ESTIMATE(PRODLINE_SALES_17,MEAN,QUARTERLY_ROLL,2027/4F,45776,,,'')&lt;/Q&gt;&lt;R&gt;1&lt;/R&gt;&lt;C&gt;1&lt;/C&gt;&lt;D xsi:type="xsd:double"&gt;15736&lt;/D&gt;&lt;/FQL&gt;&lt;FQL&gt;&lt;Q&gt;Ticker0024^FE_ESTIMATE(PRODLINE_SALES_17,MEAN,QUARTERLY_ROLL,2027/3F,45776,,,'')&lt;/Q&gt;&lt;R&gt;1&lt;/R&gt;&lt;C&gt;1&lt;/C&gt;&lt;D xsi:type="xsd:double"&gt;15282&lt;/D&gt;&lt;/FQL&gt;&lt;FQL&gt;&lt;Q&gt;Ticker0024^FE_ESTIMATE(PRODLINE_SALES_17,MEAN,QUARTERLY_ROLL,2027/2F,45776,,,'')&lt;/Q&gt;&lt;R&gt;1&lt;/R&gt;&lt;C&gt;1&lt;/C&gt;&lt;D xsi:type="xsd:double"&gt;16686.5&lt;/D&gt;&lt;/FQL&gt;&lt;FQL&gt;&lt;Q&gt;Ticker0024^FE_ESTIMATE(PRODLINE_SALES_17,MEAN,QUARTERLY_ROLL,2027/1F,45776,,,'')&lt;/Q&gt;&lt;R&gt;1&lt;/R&gt;&lt;C&gt;1&lt;/C&gt;&lt;D xsi:type="xsd:double"&gt;14561.5&lt;/D&gt;&lt;/FQL&gt;&lt;FQL&gt;&lt;Q&gt;Ticker0024^FE_ESTIMATE(PRODLINE_SALES_17,MEAN,ANNUAL_ROLL,2026,45776,,,'')&lt;/Q&gt;&lt;R&gt;1&lt;/R&gt;&lt;C&gt;1&lt;/C&gt;&lt;D xsi:type="xsd:double"&gt;54961.31&lt;/D&gt;&lt;/FQL&gt;&lt;FQL&gt;&lt;Q&gt;Ticker0024^FE_ESTIMATE(PRODLINE_SALES_17,MEAN,QUARTERLY_ROLL,2026/4F,45776,,,'')&lt;/Q&gt;&lt;R&gt;1&lt;/R&gt;&lt;C&gt;1&lt;/C&gt;&lt;D xsi:type="xsd:double"&gt;13138.2&lt;/D&gt;&lt;/FQL&gt;&lt;FQL&gt;&lt;Q&gt;Ticker0024^FE_ESTIMATE(PRODLINE_SALES_17,MEAN,QUARTERLY_ROLL,2026/3F,45776,,,'')&lt;/Q&gt;&lt;R&gt;1&lt;/R&gt;&lt;C&gt;1&lt;/C&gt;&lt;D xsi:type="xsd:double"&gt;13400.442&lt;/D&gt;&lt;/FQL&gt;&lt;FQL&gt;&lt;Q&gt;Ticker0024^FE_ESTIMATE(PRODLINE_SALES_17,MEAN,QUARTERLY_ROLL,2026/2F,45776,,,'')&lt;/Q&gt;&lt;R&gt;1&lt;/R&gt;&lt;C&gt;1&lt;/C&gt;&lt;D xsi:type="xsd:double"&gt;15084.833&lt;/D&gt;&lt;/FQL&gt;&lt;FQL&gt;&lt;Q&gt;Ticker0024^FE_ESTIMATE(PRODLINE_SALES_17,MEAN,QUARTERLY_ROLL,2026/1F,45776,,,'')&lt;/Q&gt;&lt;R&gt;1&lt;/R&gt;&lt;C&gt;1&lt;/C&gt;&lt;D xsi:type="xsd:double"&gt;13394&lt;/D&gt;&lt;/FQL&gt;&lt;FQL&gt;&lt;Q&gt;Ticker0024^FE_ESTIMATE(PRODLINE_SALES_17,MEAN,ANNUAL_ROLL,2025,45776,,,'')&lt;/Q&gt;&lt;R&gt;1&lt;/R&gt;&lt;C&gt;1&lt;/C&gt;&lt;D xsi:type="xsd:double"&gt;52939.477&lt;/D&gt;&lt;/FQL&gt;&lt;FQL&gt;&lt;Q&gt;Ticker0024^FE_ESTIMATE(PRODLINE_SALES_17,MEAN,QUARTERLY_ROLL,2025/4F,45776,,,'')&lt;/Q&gt;&lt;R&gt;1&lt;/R&gt;&lt;C&gt;1&lt;/C&gt;&lt;D xsi:type="xsd:double"&gt;12523.25&lt;/D&gt;&lt;/FQL&gt;&lt;FQL&gt;&lt;Q&gt;Ticker0024^FE_ESTIMATE(PRODLINE_SALES_17,MEAN,QUARTERLY_ROLL,2025/3F,45776,,,'')&lt;/Q&gt;&lt;R&gt;1&lt;/R&gt;&lt;C&gt;1&lt;/C&gt;&lt;D xsi:type="xsd:double"&gt;12657.76&lt;/D&gt;&lt;/FQL&gt;&lt;FQL&gt;&lt;Q&gt;Ticker0024^FE_ESTIMATE(PRODLINE_SALES_17,MEAN,QUARTERLY_ROLL,2025/2F,45776,,,'')&lt;/Q&gt;&lt;R&gt;1&lt;/R&gt;&lt;C&gt;1&lt;/C&gt;&lt;D xsi:type="xsd:double"&gt;14651&lt;/D&gt;&lt;/FQL&gt;&lt;FQL&gt;&lt;Q&gt;Ticker0024^FE_ESTIMATE(PRODLINE_SALES_17,MEAN,QUARTERLY_ROLL,2025/1F,45776,,,'')&lt;/Q&gt;&lt;R&gt;1&lt;/R&gt;&lt;C&gt;1&lt;/C&gt;&lt;D xsi:type="xsd:double"&gt;13176&lt;/D&gt;&lt;/FQL&gt;&lt;FQL&gt;&lt;Q&gt;Ticker0024^FE_ESTIMATE(PRODLINE_SALES_17,MEAN,ANNUAL_ROLL,2024,45776,,,'')&lt;/Q&gt;&lt;R&gt;1&lt;/R&gt;&lt;C&gt;1&lt;/C&gt;&lt;D xsi:type="xsd:double"&gt;62032&lt;/D&gt;&lt;/FQL&gt;&lt;FQL&gt;&lt;Q&gt;Ticker0024^FE_ESTIMATE(PRODLINE_SALES_17,MEAN,QUARTERLY_ROLL,2024/4F,45776,,,'')&lt;/Q&gt;&lt;R&gt;1&lt;/R&gt;&lt;C&gt;1&lt;/C&gt;&lt;D xsi:type="xsd:double"&gt;15895&lt;/D&gt;&lt;/FQL&gt;&lt;FQL&gt;&lt;Q&gt;Ticker0024^FE_ESTIMATE(PRODLINE_SALES_17,MEAN,QUARTERLY_ROLL,2024/3F,45776,,,'')&lt;/Q&gt;&lt;R&gt;1&lt;/R&gt;&lt;C&gt;1&lt;/C&gt;&lt;D xsi:type="xsd:double"&gt;15580&lt;/D&gt;&lt;/FQL&gt;&lt;FQL&gt;&lt;Q&gt;Ticker0024^FE_ESTIMATE(PRODLINE_SALES_17,MEAN,QUARTERLY_ROLL,2024/2F,45776,,,'')&lt;/Q&gt;&lt;R&gt;1&lt;/R&gt;&lt;C&gt;1&lt;/C&gt;&lt;D xsi:type="xsd:double"&gt;16891&lt;/D&gt;&lt;/FQL&gt;&lt;FQL&gt;&lt;Q&gt;Ticker0024^FE_ESTIMATE(PRODLINE_SALES_17,MEAN,QUARTERLY_ROLL,2024/1F,45776,,,'')&lt;/Q&gt;&lt;R&gt;1&lt;/R&gt;&lt;C&gt;1&lt;/C&gt;&lt;D xsi:type="xsd:double"&gt;13666&lt;/D&gt;&lt;/FQL&gt;&lt;FQL&gt;&lt;Q&gt;Ticker0024^FE_ESTIMATE(PRODLINE_SALES_17,MEAN,ANNUAL_ROLL,2023,45776,,,'')&lt;/Q&gt;&lt;R&gt;1&lt;/R&gt;&lt;C&gt;1&lt;/C&gt;&lt;D xsi:type="xsd:double"&gt;54732.273&lt;/D&gt;&lt;/FQL&gt;&lt;FQL&gt;&lt;Q&gt;Ticker0024^FE_ESTIMATE(PRODLINE_SALES_17,MEAN,QUARTERLY_ROLL,2023/4F,45776,,,'')&lt;/Q&gt;&lt;R&gt;1&lt;/R&gt;&lt;C&gt;1&lt;/C&gt;&lt;D xsi:type="xsd:double"&gt;13905&lt;/D&gt;&lt;/FQL&gt;&lt;FQL&gt;&lt;Q&gt;Ticker0024^FE_ESTIMATE(PRODLINE_SALES_17,MEAN,QUARTERLY_ROLL,2023/3F,45776,,,'')&lt;/Q&gt;&lt;R&gt;1&lt;/R&gt;&lt;C&gt;1&lt;/C&gt;&lt;D xsi:type="xsd:double"&gt;13260&lt;/D&gt;&lt;/FQL&gt;&lt;FQL&gt;&lt;Q&gt;Ticker0024^FE_ESTIMATE(PRODLINE_SALES_17,MEAN,QUARTERLY_ROLL,2023/2F,45776,,,'')&lt;/Q&gt;&lt;R&gt;1&lt;/R&gt;&lt;C&gt;1&lt;/C&gt;&lt;D xsi:type="xsd:double"&gt;14237&lt;/D&gt;&lt;/FQL&gt;&lt;FQL&gt;&lt;Q&gt;Ticker0024^FE_ESTIMATE(PRODLINE_SALES_17,MEAN,QUARTERLY_ROLL,2023/1F,45776,,,'')&lt;/Q&gt;&lt;R&gt;1&lt;/R&gt;&lt;C&gt;1&lt;/C&gt;&lt;D xsi:type="xsd:double"&gt;13332&lt;/D&gt;&lt;/FQL&gt;&lt;FQL&gt;&lt;Q&gt;Ticker0024^FE_ESTIMATE(PRODLINE_SALES_17,MEAN,ANNUAL_ROLL,2022,45776,,,'')&lt;/Q&gt;&lt;R&gt;1&lt;/R&gt;&lt;C&gt;1&lt;/C&gt;&lt;D xsi:type="xsd:double"&gt;59655&lt;/D&gt;&lt;/FQL&gt;&lt;FQL&gt;&lt;Q&gt;Ticker0024^FE_ESTIMATE(PRODLINE_SALES_17,MEAN,QUARTERLY_ROLL,2022/4F,45776,,,'')&lt;/Q&gt;&lt;R&gt;1&lt;/R&gt;&lt;C&gt;1&lt;/C&gt;&lt;D xsi:type="xsd:double"&gt;14356&lt;/D&gt;&lt;/FQL&gt;&lt;FQL&gt;&lt;Q&gt;Ticker0024^FE_ESTIMATE(PRODLINE_SALES_17,MEAN,QUARTERLY_ROLL,2022/3F,45776,,,'')&lt;/Q&gt;&lt;R&gt;1&lt;/R&gt;&lt;C&gt;1&lt;/C&gt;&lt;D xsi:type="xsd:double"&gt;14520&lt;/D&gt;&lt;/FQL&gt;&lt;FQL&gt;&lt;Q&gt;Ticker0024^FE_ESTIMATE(PRODLINE_SALES_17,MEAN,QUARTERLY_ROLL,2022/2F,45776,,,'')&lt;/Q&gt;&lt;R&gt;1&lt;/R&gt;&lt;C&gt;1&lt;/C&gt;&lt;D xsi:type="xsd:double"&gt;17465&lt;/D&gt;&lt;/FQL&gt;&lt;FQL&gt;&lt;Q&gt;Ticker0024^FE_ESTIMATE(PRODLINE_SALES_17,MEAN,QUARTERLY_ROLL,2022/1F,45776,,,'')&lt;/Q&gt;&lt;R&gt;1&lt;/R&gt;&lt;C&gt;1&lt;/C&gt;&lt;D xsi:type="xsd:double"&gt;13314&lt;/D&gt;&lt;/FQL&gt;&lt;FQL&gt;&lt;Q&gt;Ticker0024^FE_ESTIMATE(PRODLINE_SALES_17,MEAN,ANNUAL_ROLL,2021,45776,,,'')&lt;/Q&gt;&lt;R&gt;1&lt;/R&gt;&lt;C&gt;1&lt;/C&gt;&lt;D xsi:type="xsd:double"&gt;54093&lt;/D&gt;&lt;/FQL&gt;&lt;FQL&gt;&lt;Q&gt;Ticker0024^FE_ESTIMATE(PRODLINE_SALES_17,MEAN,QUARTERLY_ROLL,2021/4F,45776,,,'')&lt;/Q&gt;&lt;R&gt;1&lt;/R&gt;&lt;C&gt;1&lt;/C&gt;&lt;D xsi:type="xsd:double"&gt;14086&lt;/D&gt;&lt;/FQL&gt;&lt;FQL&gt;&lt;Q&gt;Ticker0024^FE_ESTIMATE(PRODLINE_SALES_17,MEAN,QUARTERLY_ROLL,2021/3F,45776,,,'')&lt;/Q&gt;&lt;R&gt;1&lt;/R&gt;&lt;C&gt;1&lt;/C&gt;&lt;D xsi:type="xsd:double"&gt;13036&lt;/D&gt;&lt;/FQL&gt;&lt;FQL&gt;&lt;Q&gt;Ticker0024^FE_ESTIMATE(PRODLINE_SALES_17,MEAN,QUARTERLY_ROLL,2021/2F,45776,,,'')&lt;/Q&gt;&lt;R&gt;1&lt;/R&gt;&lt;C&gt;1&lt;/C&gt;&lt;D xsi:type="xsd:double"&gt;15122&lt;/D&gt;&lt;/FQL&gt;&lt;FQL&gt;&lt;Q&gt;Ticker0024^FE_ESTIMATE(PRODLINE_SALES_17,MEAN,QUARTERLY_ROLL,2021/1F,45776,,,'')&lt;/Q&gt;&lt;R&gt;1&lt;/R&gt;&lt;C&gt;1&lt;/C&gt;&lt;D xsi:type="xsd:double"&gt;11849&lt;/D&gt;&lt;/FQL&gt;&lt;FQL&gt;&lt;Q&gt;Ticker0024^FE_ESTIMATE(PRODLINE_SALES_17,MEAN,ANNUAL_ROLL,2020,45776,,,'')&lt;/Q&gt;&lt;R&gt;1&lt;/R&gt;&lt;C&gt;1&lt;/C&gt;&lt;D xsi:type="xsd:double"&gt;48251&lt;/D&gt;&lt;/FQL&gt;&lt;FQL&gt;&lt;Q&gt;Ticker0024^FE_ESTIMATE(PRODLINE_SALES_17,MEAN,QUARTERLY_ROLL,2020/4F,45776,,,'')&lt;/Q&gt;&lt;R&gt;1&lt;/R&gt;&lt;C&gt;1&lt;/C&gt;&lt;D xsi:type="xsd:double"&gt;12910&lt;/D&gt;&lt;/FQL&gt;&lt;FQL&gt;&lt;Q&gt;Ticker0024^FE_ESTIMATE(PRODLINE_SALES_17,MEAN,QUARTERLY_ROLL,2020/3F,45776,,,'')&lt;/Q&gt;&lt;R&gt;1&lt;/R&gt;&lt;C&gt;1&lt;/C&gt;&lt;D xsi:type="xsd:double"&gt;10997&lt;/D&gt;&lt;/FQL&gt;&lt;FQL&gt;&lt;Q&gt;Ticker0024^FE_ESTIMATE(PRODLINE_SALES_17,MEAN,QUARTERLY_ROLL,2020/2F,45776,,,'')&lt;/Q&gt;&lt;R&gt;1&lt;/R&gt;&lt;C&gt;1&lt;/C&gt;&lt;D xsi:type="xsd:double"&gt;13211&lt;/D&gt;&lt;/FQL&gt;&lt;FQL&gt;&lt;Q&gt;Ticker0024^FE_ESTIMATE(PRODLINE_SALES_17,MEAN,QUARTERLY_ROLL,2020/1F,45776,,,'')&lt;/Q&gt;&lt;R&gt;1&lt;/R&gt;&lt;C&gt;1&lt;/C&gt;&lt;D xsi:type="xsd:double"&gt;11133&lt;/D&gt;&lt;/FQL&gt;&lt;FQL&gt;&lt;Q&gt;Ticker0024^FE_ESTIMATE(PRODLINE_SALES_17,MEAN,ANNUAL_ROLL,2019,45776,,,'')&lt;/Q&gt;&lt;R&gt;1&lt;/R&gt;&lt;C&gt;1&lt;/C&gt;&lt;D xsi:type="xsd:double"&gt;45698&lt;/D&gt;&lt;/FQL&gt;&lt;FQL&gt;&lt;Q&gt;Ticker0024^FE_ESTIMATE(PRODLINE_SALES_17,MEAN,QUARTERLY_ROLL,2019/4F,45776,,,'')&lt;/Q&gt;&lt;R&gt;1&lt;/R&gt;&lt;C&gt;1&lt;/C&gt;&lt;D xsi:type="xsd:double"&gt;11279&lt;/D&gt;&lt;/FQL&gt;&lt;FQL&gt;&lt;Q&gt;Ticker0024^FE_ESTIMATE(PRODLINE_SALES_17,MEAN,QUARTERLY_ROLL,2019/3F,45776,,,'')&lt;/Q&gt;&lt;R&gt;1&lt;/R&gt;&lt;C&gt;1&lt;/C&gt;&lt;D xsi:type="xsd:double"&gt;10680&lt;/D&gt;&lt;/FQL&gt;&lt;FQL&gt;&lt;Q&gt;Ticker0024^FE_ESTIMATE(PRODLINE_SALES_17,MEAN,QUARTERLY_ROLL,2019/2F,45776,,,'')&lt;/Q&gt;&lt;R&gt;1&lt;/R&gt;&lt;C&gt;1&lt;/C&gt;&lt;D xsi:type="xsd:double"&gt;12993&lt;/D&gt;&lt;/FQL&gt;&lt;FQL&gt;&lt;Q&gt;Ticker0024^FE_ESTIMATE(PRODLINE_SALES_17,MEAN,QUARTERLY_ROLL,2019/1F,45776,,,'')&lt;/Q&gt;&lt;R&gt;1&lt;/R&gt;&lt;C&gt;1&lt;/C&gt;&lt;D xsi:type="xsd:double"&gt;10746&lt;/D&gt;&lt;/FQL&gt;&lt;FQL&gt;&lt;Q&gt;Ticker0024^FE_ESTIMATE(PRODLINE_SALES_17,MEAN,ANNUAL_ROLL,2018,45776,,,'')&lt;/Q&gt;&lt;R&gt;1&lt;/R&gt;&lt;C&gt;1&lt;/C&gt;&lt;D xsi:type="xsd:double"&gt;42276&lt;/D&gt;&lt;/FQL&gt;&lt;FQL&gt;&lt;Q&gt;Ticker0024^FE_ESTIMATE(PRODLINE_SALES_17,MEAN,QUARTERLY_ROLL,2018/4F,45776,,,'')&lt;/Q&gt;&lt;R&gt;1&lt;/R&gt;&lt;C&gt;1&lt;/C&gt;&lt;D xsi:type="xsd:double"&gt;10811&lt;/D&gt;&lt;/FQL&gt;&lt;FQL&gt;&lt;Q&gt;Ticker0024^FE_ESTIMATE(PRODLINE_SALES_17,MEAN,QUARTERLY_ROLL,2018/3F,45776,,,'')&lt;/Q&gt;&lt;R&gt;1&lt;/R&gt;&lt;C&gt;1&lt;/C&gt;&lt;D xsi:type="xsd:double"&gt;9917&lt;/D&gt;&lt;/FQL&gt;&lt;FQL&gt;&lt;Q&gt;Ticker0024^FE_ESTIMATE(PRODLINE_SALES_17,MEAN,QUARTERLY_ROLL,2018/2F,45776,,,'')&lt;/Q&gt;&lt;R&gt;1&lt;/R&gt;&lt;C&gt;1&lt;/C&gt;&lt;D xsi:type="xsd:double"&gt;12170&lt;/D&gt;&lt;/FQL&gt;&lt;FQL&gt;&lt;Q&gt;Ticker0024^FE_ESTIMATE(PRODLINE_SALES_17,MEAN,QUARTERLY_ROLL,2018/1F,45776,,,'')&lt;/Q&gt;&lt;R&gt;1&lt;/R&gt;&lt;C&gt;1&lt;/C&gt;&lt;D xsi:type="xsd:double"&gt;9378&lt;/D&gt;&lt;/FQL&gt;&lt;FQL&gt;&lt;Q&gt;Ticker0024^FE_ESTIMATE(PRODLINE_SALES_17,MEAN,ANNUAL_ROLL,2017,45776,,,'')&lt;/Q&gt;&lt;R&gt;1&lt;/R&gt;&lt;C&gt;1&lt;/C&gt;&lt;D xsi:type="xsd:double"&gt;38773&lt;/D&gt;&lt;/FQL&gt;&lt;FQL&gt;&lt;Q&gt;Ticker0024^FE_ESTIMATE(PRODLINE_SALES_17,MEAN,QUARTERLY_ROLL,2017/4F,45776,,,'')&lt;/Q&gt;&lt;R&gt;1&lt;/R&gt;&lt;C&gt;1&lt;/C&gt;&lt;D xsi:type="xsd:double"&gt;8820&lt;/D&gt;&lt;/FQL&gt;&lt;FQL&gt;&lt;Q&gt;Ticker0024^FE_ESTIMATE(PRODLINE_SALES_17,MEAN,QUARTERLY_ROLL,2017/3F,45776,,,'')&lt;/Q&gt;&lt;R&gt;1&lt;/R&gt;&lt;C&gt;1&lt;/C&gt;&lt;D xsi:type="xsd:double"&gt;8836&lt;/D&gt;&lt;/FQL&gt;&lt;FQL&gt;&lt;Q&gt;Ticker0024^FE_ESTIMATE(PRODLINE_SALES_17,MEAN,QUARTERLY_ROLL,2017/2F,45776,,,'')&lt;/Q&gt;&lt;R&gt;1&lt;/R&gt;&lt;C&gt;1&lt;/C&gt;&lt;D xsi:type="xsd:double"&gt;11823&lt;/D&gt;&lt;/FQL&gt;&lt;FQL&gt;&lt;Q&gt;Ticker0024^FE_ESTIMATE(PRODLINE_SALES_17,MEAN,QUARTERLY_ROLL,2017/1F,45776,,,'')&lt;/Q&gt;&lt;R&gt;1&lt;/R&gt;&lt;C&gt;1&lt;/C&gt;&lt;D xsi:type="xsd:double"&gt;9294&lt;/D&gt;&lt;/FQL&gt;&lt;FQL&gt;&lt;Q&gt;Ticker0024^FE_ESTIMATE(PRODLINE_SALES_17,MEAN,ANNUAL_ROLL,2016,45776,,,'')&lt;/Q&gt;&lt;R&gt;1&lt;/R&gt;&lt;C&gt;1&lt;/C&gt;&lt;D xsi:type="xsd:double"&gt;40460&lt;/D&gt;&lt;/FQL&gt;&lt;FQL&gt;&lt;Q&gt;Ticker0024^FE_ESTIMATE(PRODLINE_SALES_17,MEAN,QUARTERLY_ROLL,2016/4F,45776,,,'')&lt;/Q&gt;&lt;R&gt;1&lt;/R&gt;&lt;C&gt;1&lt;/C&gt;&lt;D xsi:type="xsd:double"&gt;8897&lt;/D&gt;&lt;/FQL&gt;&lt;FQL&gt;&lt;Q&gt;Ticker0024^FE_ESTIMATE(PRODLINE_SALES_17,MEAN,QUARTERLY_ROLL,2016/3F,45776,,,'')&lt;/Q&gt;&lt;R&gt;1&lt;/R&gt;&lt;C&gt;1&lt;/C&gt;&lt;D xsi:type="xsd:double"&gt;9458&lt;/D&gt;&lt;/FQL&gt;&lt;FQL&gt;&lt;Q&gt;Ticker0024^FE_ESTIMATE(PRODLINE_SALES_17,MEAN,QUARTERLY_ROLL,2016/2F,45776,,,'')&lt;/Q&gt;&lt;R&gt;1&lt;/R&gt;&lt;C&gt;1&lt;/C&gt;&lt;D xsi:type="xsd:double"&gt;12660&lt;/D&gt;&lt;/FQL&gt;&lt;FQL&gt;&lt;Q&gt;Ticker0024^FE_ESTIMATE(PRODLINE_SALES_17,MEAN,QUARTERLY_ROLL,2016/1F,45776,,,'')&lt;/Q&gt;&lt;R&gt;1&lt;/R&gt;&lt;C&gt;1&lt;/C&gt;&lt;D xsi:type="xsd:double"&gt;9381&lt;/D&gt;&lt;/FQL&gt;&lt;FQL&gt;&lt;Q&gt;Ticker0024^FE_ESTIMATE(PRODLINE_SALES_17,MEAN,ANNUAL_ROLL,2015,45776,,,'')&lt;/Q&gt;&lt;R&gt;0&lt;/R&gt;&lt;C&gt;0&lt;/C&gt;&lt;/FQL&gt;&lt;FQL&gt;&lt;Q&gt;Ticker0024^FE_ESTIMATE(PRODLINE_SALES_17,MEAN,QUARTERLY_ROLL,2015/4F,45776,,,'')&lt;/Q&gt;&lt;R&gt;0&lt;/R&gt;&lt;C&gt;0&lt;/C&gt;&lt;/FQL&gt;&lt;FQL&gt;&lt;Q&gt;Ticker0024^FE_ESTIMATE(PRODLINE_SALES_17,MEAN,QUARTERLY_ROLL,2015/3F,45776,,,'')&lt;/Q&gt;&lt;R&gt;0&lt;/R&gt;&lt;C&gt;0&lt;/C&gt;&lt;/FQL&gt;&lt;FQL&gt;&lt;Q&gt;Ticker0024^FE_ESTIMATE(PRODLINE_SALES_17,MEAN,QUARTERLY_ROLL,2015/2F,45776,,,'')&lt;/Q&gt;&lt;R&gt;0&lt;/R&gt;&lt;C&gt;0&lt;/C&gt;&lt;/FQL&gt;&lt;FQL&gt;&lt;Q&gt;Ticker0024^FE_ESTIMATE(PRODLINE_SALES_17,MEAN,QUARTERLY_ROLL,2015/1F,45776,,,'')&lt;/Q&gt;&lt;R&gt;0&lt;/R&gt;&lt;C&gt;0&lt;/C&gt;&lt;/FQL&gt;&lt;FQL&gt;&lt;Q&gt;Ticker0024^FE_ESTIMATE(PRODLINE_SALES_16,MEAN,ANNUAL_ROLL,2030,45776,,,'')&lt;/Q&gt;&lt;R&gt;0&lt;/R&gt;&lt;C&gt;0&lt;/C&gt;&lt;/FQL&gt;&lt;FQL&gt;&lt;Q&gt;Ticker0024^FE_ESTIMATE(PRODLINE_SALES_16,MEAN,QUARTERLY_ROLL,2030/4F,45776,,,'')&lt;/Q&gt;&lt;R&gt;0&lt;/R&gt;&lt;C&gt;0&lt;/C&gt;&lt;/FQL&gt;&lt;FQL&gt;&lt;Q&gt;Ticker0024^FE_ESTIMATE(PRODLINE_SALES_16,MEAN,QUARTERLY_ROLL,2030/3F,45776,,,'')&lt;/Q&gt;&lt;R&gt;0&lt;/R&gt;&lt;C&gt;0&lt;/C&gt;&lt;/FQL&gt;&lt;FQL&gt;&lt;Q&gt;Ticker0024^FE_ESTIMATE(PRODLINE_SALES_16,MEAN,QUARTERLY_ROLL,2030/2F,45776,,,'')&lt;/Q&gt;&lt;R&gt;0&lt;/R&gt;&lt;C&gt;0&lt;/C&gt;&lt;/FQL&gt;&lt;FQL&gt;&lt;Q&gt;Ticker0024^FE_ESTIMATE(PRODLINE_SALES_16,MEAN,QUARTERLY_ROLL,2030/1F,45776,,,'')&lt;/Q&gt;&lt;R&gt;0&lt;/R&gt;&lt;C&gt;0&lt;/C&gt;&lt;/FQL&gt;&lt;FQL&gt;&lt;Q&gt;Ticker0024^FE_ESTIMATE(PRODLINE_SALES_16,MEAN,ANNUAL_ROLL,2029,45776,,,'')&lt;/Q&gt;&lt;R&gt;0&lt;/R&gt;&lt;C&gt;0&lt;/C&gt;&lt;/FQL&gt;&lt;FQL&gt;&lt;Q&gt;Ticker0024^FE_ESTIMATE(PRODLINE_SALES_16,MEAN,QUARTERLY_ROLL,2029/4F,45776,,,'')&lt;/Q&gt;&lt;R&gt;0&lt;/R&gt;&lt;C&gt;0&lt;/C&gt;&lt;/FQL&gt;&lt;FQL&gt;&lt;Q&gt;Ticker0024^FE_ESTIMATE(PRODLINE_SALES_16,MEAN,QUARTERLY_ROLL,2029/3F,45776,,,'')&lt;/Q&gt;&lt;R&gt;0&lt;/R&gt;&lt;C&gt;0&lt;/C&gt;&lt;/FQL&gt;&lt;FQL&gt;&lt;Q&gt;Ticker0024^FE_ESTIMATE(PRODLINE_SALES_16,MEAN,QUARTERLY_ROLL,2029/2F,45776,,,'')&lt;/Q&gt;&lt;R&gt;0&lt;/R&gt;&lt;C&gt;0&lt;/C&gt;&lt;/FQL&gt;&lt;FQL&gt;&lt;Q&gt;Ticker0024^FE_ESTIMATE(PRODLINE_SALES_16,MEAN,QUARTERLY_ROLL,2029/1F,45776,,,'')&lt;/Q&gt;&lt;R&gt;0&lt;/R&gt;&lt;C&gt;0&lt;/C&gt;&lt;/FQL&gt;&lt;FQL&gt;&lt;Q&gt;Ticker0024^FE_ESTIMATE(PRODLINE_SALES_16,MEAN,ANNUAL_ROLL,2028,45776,,,'')&lt;/Q&gt;&lt;R&gt;0&lt;/R&gt;&lt;C&gt;0&lt;/C&gt;&lt;/FQL&gt;&lt;FQL&gt;&lt;Q&gt;Ticker0024^FE_ESTIMATE(PRODLINE_SALES_16,MEAN,QUARTERLY_ROLL,2028/4F,45776,,,'')&lt;/Q&gt;&lt;R&gt;0&lt;/R&gt;&lt;C&gt;0&lt;/C&gt;&lt;/FQL&gt;&lt;FQL&gt;&lt;Q&gt;Ticker0024^FE_ESTIMATE(PRODLINE_SALES_16,MEAN,QUARTERLY_ROLL,2028/3F,45776,,,'')&lt;/Q&gt;&lt;R&gt;0&lt;/R&gt;&lt;C&gt;0&lt;/C&gt;&lt;/FQL&gt;&lt;FQL&gt;&lt;Q&gt;Ticker0024^FE_ESTIMATE(PRODLINE_SALES_16,MEAN,QUARTERLY_ROLL,2028/2F,45776,,,'')&lt;/Q&gt;&lt;R&gt;0&lt;/R&gt;&lt;C&gt;0&lt;/C&gt;&lt;/FQL&gt;&lt;FQL&gt;&lt;Q&gt;Ticker0024^FE_ESTIMATE(PRODLINE_SALES_16,MEAN,QUARTERLY_ROLL,2028/1F,45776,,,'')&lt;/Q&gt;&lt;R&gt;0&lt;/R&gt;&lt;C&gt;0&lt;/C&gt;&lt;/FQL&gt;&lt;FQL&gt;&lt;Q&gt;Ticker0024^FE_ESTIMATE(PRODLINE_SALES_16,MEAN,ANNUAL_ROLL,2027,45776,,,'')&lt;/Q&gt;&lt;R&gt;1&lt;/R&gt;&lt;C&gt;1&lt;/C&gt;&lt;D xsi:type="xsd:double"&gt;157965.69&lt;/D&gt;&lt;/FQL&gt;&lt;FQL&gt;&lt;Q&gt;Ticker0024^FE_ESTIMATE(PRODLINE_SALES_16,MEAN,QUARTERLY_ROLL,2027/4F,45776,,,'')&lt;/Q&gt;&lt;R&gt;1&lt;/R&gt;&lt;C&gt;1&lt;/C&gt;&lt;D xsi:type="xsd:double"&gt;45716&lt;/D&gt;&lt;/FQL&gt;&lt;FQL&gt;&lt;Q&gt;Ticker0024^FE_ESTIMATE(PRODLINE_SALES_16,MEAN,QUARTERLY_ROLL,2027/3F,45776,,,'')&lt;/Q&gt;&lt;R&gt;1&lt;/R&gt;&lt;C&gt;1&lt;/C&gt;&lt;D xsi:type="xsd:double"&gt;38216&lt;/D&gt;&lt;/FQL&gt;&lt;FQL&gt;&lt;Q&gt;Ticker0024^FE_ESTIMATE(PRODLINE_SALES_16,MEAN,QUARTERLY_ROLL,2027/2F,45776,,,'')&lt;/Q&gt;&lt;R&gt;1&lt;/R&gt;&lt;C&gt;1&lt;/C&gt;&lt;D xsi:type="xsd:double"&gt;37509.5&lt;/D&gt;&lt;/FQL&gt;&lt;FQL&gt;&lt;Q&gt;Ticker0024^FE_ESTIMATE(PRODLINE_SALES_16,MEAN,QUARTERLY_ROLL,2027/1F,45776,,,'')&lt;/Q&gt;&lt;R&gt;1&lt;/R&gt;&lt;C&gt;1&lt;/C&gt;&lt;D xsi:type="xsd:double"&gt;35058.5&lt;/D&gt;&lt;/FQL&gt;&lt;FQL&gt;&lt;Q&gt;Ticker0024^FE_ESTIMATE(PRODLINE_SALES_16,MEAN,ANNUAL_ROLL,2026,45776,,,'')&lt;/Q&gt;&lt;R&gt;1&lt;/R&gt;&lt;C&gt;1&lt;/C&gt;&lt;D xsi:type="xsd:double"&gt;126274.24&lt;/D&gt;&lt;/FQL&gt;&lt;FQL&gt;&lt;Q&gt;Ticker0024^FE_ESTIMATE(PRODLINE_SALES_16,MEAN,QUARTERLY_ROLL,2026/4F,45776,,,'')&lt;/Q&gt;&lt;R&gt;1&lt;/R&gt;&lt;C&gt;1&lt;/C&gt;&lt;D xsi:type="xsd:double"&gt;34409.777&lt;/D&gt;&lt;/FQL&gt;&lt;FQL&gt;&lt;Q&gt;Ticker0024^FE_ESTIMATE(PRODLINE_SALES_16,MEAN,QUARTERLY_ROLL,2026/3F,45776,,,'')&lt;/Q&gt;&lt;R&gt;1&lt;/R&gt;&lt;C&gt;1&lt;/C&gt;&lt;D xsi:type="xsd:double"&gt;31565.535&lt;/D&gt;&lt;/FQL&gt;&lt;FQL&gt;&lt;Q&gt;Ticker0024^FE_ESTIMATE(PRODLINE_SALES_16,MEAN,QUARTERLY_ROLL,2026/2F,45776,,,'')&lt;/Q&gt;&lt;R&gt;1&lt;/R&gt;&lt;C&gt;1&lt;/C&gt;&lt;D xsi:type="xsd:double"&gt;30662.213&lt;/D&gt;&lt;/FQL&gt;&lt;FQL&gt;&lt;Q&gt;Ticker0024^FE_ESTIMATE(PRODLINE_SALES_16,MEAN,QUARTERLY_ROLL,2026/1F,45776,,,'')&lt;/Q&gt;&lt;R&gt;1&lt;/R&gt;&lt;C&gt;1&lt;/C&gt;&lt;D xsi:type="xsd:double"&gt;28878.28&lt;/D&gt;&lt;/FQL&gt;&lt;FQL&gt;&lt;Q&gt;Ticker0024^FE_ESTIMATE(PRODLINE_SALES_16,MEAN,ANNUAL_ROLL,2025,45776,,,'')&lt;/Q&gt;&lt;R&gt;1&lt;/R&gt;&lt;C&gt;1&lt;/C&gt;&lt;D xsi:type="xsd:double"&gt;104371.87&lt;/D&gt;&lt;/FQL&gt;&lt;FQL&gt;&lt;Q&gt;Ticker0024^FE_ESTIMATE(PRODLINE_SALES_16,MEAN,QUARTERLY_ROLL,2025/4F,45776,,,'')&lt;/Q&gt;&lt;R&gt;1&lt;/R&gt;&lt;C&gt;1&lt;/C&gt;&lt;D xsi:type="xsd:double"&gt;28529.479&lt;/D&gt;&lt;/FQL&gt;&lt;FQL&gt;&lt;Q&gt;Ticker0024^FE_ESTIMATE(PRODLINE_SALES_16,MEAN,QUARTERLY_ROLL,2025/3F,45776,,,'')&lt;/Q&gt;&lt;R&gt;1&lt;/R&gt;&lt;C&gt;1&lt;/C&gt;&lt;D xsi:type="xsd:double"&gt;26159.791&lt;/D&gt;&lt;/FQL&gt;&lt;FQL&gt;&lt;Q&gt;Ticker0024^FE_ESTIMATE(PRODLINE_SALES_16,MEAN,QUARTERLY_ROLL,2025/2F,45776,,,'')&lt;/Q&gt;&lt;R&gt;1&lt;/R&gt;&lt;C&gt;1&lt;/C&gt;&lt;D xsi:type="xsd:double"&gt;25544&lt;/D&gt;&lt;/FQL&gt;&lt;FQL&gt;&lt;Q&gt;Ticker0024^FE_ESTIMATE(PRODLINE_SALES_16,MEAN,QUARTERLY_ROLL,2025/1F,45776,,,'')&lt;/Q&gt;&lt;R&gt;1&lt;/R&gt;&lt;C&gt;1&lt;/C&gt;&lt;D xsi:type="xsd:double"&gt;24092&lt;/D&gt;&lt;/FQL&gt;&lt;FQL&gt;&lt;Q&gt;Ticker0024^FE_ESTIMATE(PRODLINE_SALES_16,MEAN,ANNUAL_ROLL,2024,45776,,,'')&lt;/Q&gt;&lt;R&gt;1&lt;/R&gt;&lt;C&gt;1&lt;/C&gt;&lt;D xsi:type="xsd:double"&gt;105362&lt;/D&gt;&lt;/FQL&gt;&lt;FQL&gt;&lt;Q&gt;Ticker0024^FE_ESTIMATE(PRODLINE_SALES_16,MEAN,QUARTERLY_ROLL,2024/4F,45776,,,'')&lt;/Q&gt;&lt;R&gt;1&lt;/R&gt;&lt;C&gt;1&lt;/C&gt;&lt;D xsi:type="xsd:double"&gt;28515&lt;/D&gt;&lt;/FQL&gt;&lt;FQL&gt;&lt;Q&gt;Ticker0024^FE_ESTIMATE(PRODLINE_SALES_16,MEAN,QUARTERLY_ROLL,2024/3F,45776,,,'')&lt;/Q&gt;&lt;R&gt;1&lt;/R&gt;&lt;C&gt;1&lt;/C&gt;&lt;D xsi:type="xsd:double"&gt;26708&lt;/D&gt;&lt;/FQL&gt;&lt;FQL&gt;&lt;Q&gt;Ticker0024^FE_ESTIMATE(PRODLINE_SALES_16,MEAN,QUARTERLY_ROLL,2024/2F,45776,,,'')&lt;/Q&gt;&lt;R&gt;1&lt;/R&gt;&lt;C&gt;1&lt;/C&gt;&lt;D xsi:type="xsd:double"&gt;25880&lt;/D&gt;&lt;/FQL&gt;&lt;FQL&gt;&lt;Q&gt;Ticker0024^FE_ESTIMATE(PRODLINE_SALES_16,MEAN,QUARTERLY_ROLL,2024/1F,45776,,,'')&lt;/Q&gt;&lt;R&gt;1&lt;/R&gt;&lt;C&gt;1&lt;/C&gt;&lt;D xsi:type="xsd:double"&gt;24259&lt;/D&gt;&lt;/FQL&gt;&lt;FQL&gt;&lt;Q&gt;Ticker0024^FE_ESTIMATE(PRODLINE_SALES_16,MEAN,ANNUAL_ROLL,2023,45776,,,'')&lt;/Q&gt;&lt;R&gt;1&lt;/R&gt;&lt;C&gt;1&lt;/C&gt;&lt;D xsi:type="xsd:double"&gt;87906.82&lt;/D&gt;&lt;/FQL&gt;&lt;FQL&gt;&lt;Q&gt;Ticker0024^FE_ESTIMATE(PRODLINE_SALES_16,MEAN,QUARTERLY_ROLL,2023/4F,45776,,,'')&lt;/Q&gt;&lt;R&gt;1&lt;/R&gt;&lt;C&gt;1&lt;/C&gt;&lt;D xsi:type="xsd:double"&gt;23993&lt;/D&gt;&lt;/FQL&gt;&lt;FQL&gt;&lt;Q&gt;Ticker0024^FE_ESTIMATE(PRODLINE_SALES_16,MEAN,QUARTERLY_ROLL,2023/3F,45776,,,'')&lt;/Q&gt;&lt;R&gt;1&lt;/R&gt;&lt;C&gt;1&lt;/C&gt;&lt;D xsi:type="xsd:double"&gt;22081&lt;/D&gt;&lt;/FQL&gt;&lt;FQL&gt;&lt;Q&gt;Ticker0024^FE_ESTIMATE(PRODLINE_SALES_16,MEAN,QUARTERLY_ROLL,2023/2F,45776,,,'')&lt;/Q&gt;&lt;R&gt;1&lt;/R&gt;&lt;C&gt;1&lt;/C&gt;&lt;D xsi:type="xsd:double"&gt;21508&lt;/D&gt;&lt;/FQL&gt;&lt;FQL&gt;&lt;Q&gt;Ticker0024^FE_ESTIMATE(PRODLINE_SALES_16,MEAN,QUARTERLY_ROLL,2023/1F,45776,,,'')&lt;/Q&gt;&lt;R&gt;1&lt;/R&gt;&lt;C&gt;1&lt;/C&gt;&lt;D xsi:type="xsd:double"&gt;20325&lt;/D&gt;&lt;/FQL&gt;&lt;FQL&gt;&lt;Q&gt;Ticker0024^FE_ESTIMATE(PRODLINE_SALES_16,MEAN,ANNUAL_ROLL,2022,45776,,,'')&lt;/Q&gt;&lt;R&gt;1&lt;/R&gt;&lt;C&gt;1&lt;/C&gt;&lt;D xsi:type="xsd:double"&gt;75251&lt;/D&gt;&lt;/FQL&gt;&lt;FQL&gt;&lt;Q&gt;Ticker0024^FE_ESTIMATE(PRODLINE_SALES_16,MEAN,QUARTERLY_ROLL,2022/4F,45776,,,'')&lt;/Q&gt;&lt;R&gt;1&lt;/R&gt;&lt;C&gt;1&lt;/C&gt;&lt;D xsi:type="xsd:double"&gt;20909&lt;/D&gt;&lt;/FQL&gt;&lt;FQL&gt;&lt;Q&gt;Ticker0024^FE_ESTIMATE(PRODLINE_SALES_16,MEAN,QUARTERLY_ROLL,2022/3F,45776,,,'')&lt;/Q&gt;&lt;R&gt;1&lt;/R&gt;&lt;C&gt;1&lt;/C&gt;&lt;D xsi:type="xsd:double"&gt;19051&lt;/D&gt;&lt;/FQL&gt;&lt;FQL&gt;&lt;Q&gt;Ticker0024^FE_ESTIMATE(PRODLINE_SALES_16,MEAN,QUARTERLY_ROLL,2022/2F,45776,,,'')&lt;/Q&gt;&lt;R&gt;1&lt;/R&gt;&lt;C&gt;1&lt;/C&gt;&lt;D xsi:type="xsd:double"&gt;18327&lt;/D&gt;&lt;/FQL&gt;&lt;FQL&gt;&lt;Q&gt;Ticker0024^FE_ESTIMATE(PRODLINE_SALES_16,MEAN,QUARTERLY_ROLL,2022/1F,45776,,,'')&lt;/Q&gt;&lt;R&gt;1&lt;/R&gt;&lt;C&gt;1&lt;/C&gt;&lt;D xsi:type="xsd:double"&gt;16964&lt;/D&gt;&lt;/FQL&gt;&lt;FQL&gt;&lt;Q&gt;Ticker0024^FE_ESTIMATE(PRODLINE_SALES_16,MEAN,ANNUAL_ROLL,2021,45776,,,'')&lt;/Q&gt;&lt;R&gt;1&lt;/R&gt;&lt;C&gt;1&lt;/C&gt;&lt;D xsi:type="xsd:double"&gt;60080&lt;/D&gt;&lt;/FQL&gt;&lt;FQL&gt;&lt;Q&gt;Ticker0024^FE_ESTIMATE(PRODLINE_SALES_16,MEAN,QUARTERLY_ROLL,2021/4F,45776,,,'')&lt;/Q&gt;&lt;R&gt;1&lt;/R&gt;&lt;C&gt;1&lt;/C&gt;&lt;D xsi:type="xsd:double"&gt;17375&lt;/D&gt;&lt;/FQL&gt;&lt;FQL&gt;&lt;Q&gt;Ticker0024^FE_ESTIMATE(PRODLINE_SALES_16,MEAN,QUARTERLY_ROLL,2021/3F,45776,,,'')&lt;/Q&gt;&lt;R&gt;1&lt;/R&gt;&lt;C&gt;1&lt;/C&gt;&lt;D xsi:type="xsd:double"&gt;15118&lt;/D&gt;&lt;/FQL&gt;&lt;FQL&gt;&lt;Q&gt;Ticker0024^FE_ESTIMATE(PRODLINE_SALES_16,MEAN,QUARTERLY_ROLL,2021/2F,45776,,,'')&lt;/Q&gt;&lt;R&gt;1&lt;/R&gt;&lt;C&gt;1&lt;/C&gt;&lt;D xsi:type="xsd:double"&gt;14601&lt;/D&gt;&lt;/</t>
        </r>
      </text>
    </comment>
    <comment ref="A46" authorId="0" shapeId="0" xr:uid="{0ACBCDF1-4968-43A7-B334-423BC6FFB05B}">
      <text>
        <r>
          <rPr>
            <b/>
            <sz val="9"/>
            <color indexed="81"/>
            <rFont val="Tahoma"/>
            <family val="2"/>
          </rPr>
          <t>FQL&gt;&lt;FQL&gt;&lt;Q&gt;Ticker0024^FE_ESTIMATE(PRODLINE_SALES_16,MEAN,QUARTERLY_ROLL,2021/1F,45776,,,'')&lt;/Q&gt;&lt;R&gt;1&lt;/R&gt;&lt;C&gt;1&lt;/C&gt;&lt;D xsi:type="xsd:double"&gt;12986&lt;/D&gt;&lt;/FQL&gt;&lt;FQL&gt;&lt;Q&gt;Ticker0024^FE_ESTIMATE(PRODLINE_SALES_16,MEAN,ANNUAL_ROLL,2020,45776,,,'')&lt;/Q&gt;&lt;R&gt;1&lt;/R&gt;&lt;C&gt;1&lt;/C&gt;&lt;D xsi:type="xsd:double"&gt;48366&lt;/D&gt;&lt;/FQL&gt;&lt;FQL&gt;&lt;Q&gt;Ticker0024^FE_ESTIMATE(PRODLINE_SALES_16,MEAN,QUARTERLY_ROLL,2020/4F,45776,,,'')&lt;/Q&gt;&lt;R&gt;1&lt;/R&gt;&lt;C&gt;1&lt;/C&gt;&lt;D xsi:type="xsd:double"&gt;13371&lt;/D&gt;&lt;/FQL&gt;&lt;FQL&gt;&lt;Q&gt;Ticker0024^FE_ESTIMATE(PRODLINE_SALES_16,MEAN,QUARTERLY_ROLL,2020/3F,45776,,,'')&lt;/Q&gt;&lt;R&gt;1&lt;/R&gt;&lt;C&gt;1&lt;/C&gt;&lt;D xsi:type="xsd:double"&gt;12281&lt;/D&gt;&lt;/FQL&gt;&lt;FQL&gt;&lt;Q&gt;Ticker0024^FE_ESTIMATE(PRODLINE_SALES_16,MEAN,QUARTERLY_ROLL,2020/2F,45776,,,'')&lt;/Q&gt;&lt;R&gt;1&lt;/R&gt;&lt;C&gt;1&lt;/C&gt;&lt;D xsi:type="xsd:double"&gt;11869&lt;/D&gt;&lt;/FQL&gt;&lt;FQL&gt;&lt;Q&gt;Ticker0024^FE_ESTIMATE(PRODLINE_SALES_16,MEAN,QUARTERLY_ROLL,2020/1F,45776,,,'')&lt;/Q&gt;&lt;R&gt;1&lt;/R&gt;&lt;C&gt;1&lt;/C&gt;&lt;D xsi:type="xsd:double"&gt;10845&lt;/D&gt;&lt;/FQL&gt;&lt;FQL&gt;&lt;Q&gt;Ticker0024^FE_ESTIMATE(PRODLINE_SALES_16,MEAN,ANNUAL_ROLL,2019,45776,,,'')&lt;/Q&gt;&lt;R&gt;1&lt;/R&gt;&lt;C&gt;1&lt;/C&gt;&lt;D xsi:type="xsd:double"&gt;38985&lt;/D&gt;&lt;/FQL&gt;&lt;FQL&gt;&lt;Q&gt;Ticker0024^FE_ESTIMATE(PRODLINE_SALES_16,MEAN,QUARTERLY_ROLL,2019/4F,45776,,,'')&lt;/Q&gt;&lt;R&gt;1&lt;/R&gt;&lt;C&gt;1&lt;/C&gt;&lt;D xsi:type="xsd:double"&gt;11391&lt;/D&gt;&lt;/FQL&gt;&lt;FQL&gt;&lt;Q&gt;Ticker0024^FE_ESTIMATE(PRODLINE_SALES_16,MEAN,QUARTERLY_ROLL,2019/3F,45776,,,'')&lt;/Q&gt;&lt;R&gt;1&lt;/R&gt;&lt;C&gt;1&lt;/C&gt;&lt;D xsi:type="xsd:double"&gt;9649&lt;/D&gt;&lt;/FQL&gt;&lt;FQL&gt;&lt;Q&gt;Ticker0024^FE_ESTIMATE(PRODLINE_SALES_16,MEAN,QUARTERLY_ROLL,2019/2F,45776,,,'')&lt;/Q&gt;&lt;R&gt;1&lt;/R&gt;&lt;C&gt;1&lt;/C&gt;&lt;D xsi:type="xsd:double"&gt;9378&lt;/D&gt;&lt;/FQL&gt;&lt;FQL&gt;&lt;Q&gt;Ticker0024^FE_ESTIMATE(PRODLINE_SALES_16,MEAN,QUARTERLY_ROLL,2019/1F,45776,,,'')&lt;/Q&gt;&lt;R&gt;1&lt;/R&gt;&lt;C&gt;1&lt;/C&gt;&lt;D xsi:type="xsd:double"&gt;8567&lt;/D&gt;&lt;/FQL&gt;&lt;FQL&gt;&lt;Q&gt;Ticker0024^FE_ESTIMATE(PRODLINE_SALES_16,MEAN,ANNUAL_ROLL,2018,45776,,,'')&lt;/Q&gt;&lt;R&gt;1&lt;/R&gt;&lt;C&gt;1&lt;/C&gt;&lt;D xsi:type="xsd:double"&gt;32219&lt;/D&gt;&lt;/FQL&gt;&lt;FQL&gt;&lt;Q&gt;Ticker0024^FE_ESTIMATE(PRODLINE_SALES_16,MEAN,QUARTERLY_ROLL,2018/4F,45776,,,'')&lt;/Q&gt;&lt;R&gt;1&lt;/R&gt;&lt;C&gt;1&lt;/C&gt;&lt;D xsi:type="xsd:double"&gt;9606&lt;/D&gt;&lt;/FQL&gt;&lt;FQL&gt;&lt;Q&gt;Ticker0024^FE_ESTIMATE(PRODLINE_SALES_16,MEAN,QUARTERLY_ROLL,2018/3F,45776,,,'')&lt;/Q&gt;&lt;R&gt;1&lt;/R&gt;&lt;C&gt;1&lt;/C&gt;&lt;D xsi:type="xsd:double"&gt;7896&lt;/D&gt;&lt;/FQL&gt;&lt;FQL&gt;&lt;Q&gt;Ticker0024^FE_ESTIMATE(PRODLINE_SALES_16,MEAN,QUARTERLY_ROLL,2018/2F,45776,,,'')&lt;/Q&gt;&lt;R&gt;1&lt;/R&gt;&lt;C&gt;1&lt;/C&gt;&lt;D xsi:type="xsd:double"&gt;7795&lt;/D&gt;&lt;/FQL&gt;&lt;FQL&gt;&lt;Q&gt;Ticker0024^FE_ESTIMATE(PRODLINE_SALES_16,MEAN,QUARTERLY_ROLL,2018/1F,45776,,,'')&lt;/Q&gt;&lt;R&gt;1&lt;/R&gt;&lt;C&gt;1&lt;/C&gt;&lt;D xsi:type="xsd:double"&gt;6922&lt;/D&gt;&lt;/FQL&gt;&lt;FQL&gt;&lt;Q&gt;Ticker0024^FE_ESTIMATE(PRODLINE_SALES_16,MEAN,ANNUAL_ROLL,2017,45776,,,'')&lt;/Q&gt;&lt;R&gt;1&lt;/R&gt;&lt;C&gt;1&lt;/C&gt;&lt;D xsi:type="xsd:double"&gt;27440&lt;/D&gt;&lt;/FQL&gt;&lt;FQL&gt;&lt;Q&gt;Ticker0024^FE_ESTIMATE(PRODLINE_SALES_16,MEAN,QUARTERLY_ROLL,2017/4F,45776,,,'')&lt;/Q&gt;&lt;R&gt;1&lt;/R&gt;&lt;C&gt;1&lt;/C&gt;&lt;D xsi:type="xsd:double"&gt;7434&lt;/D&gt;&lt;/FQL&gt;&lt;FQL&gt;&lt;Q&gt;Ticker0024^FE_ESTIMATE(PRODLINE_SALES_16,MEAN,QUARTERLY_ROLL,2017/3F,45776,,,'')&lt;/Q&gt;&lt;R&gt;1&lt;/R&gt;&lt;C&gt;1&lt;/C&gt;&lt;D xsi:type="xsd:double"&gt;6763&lt;/D&gt;&lt;/FQL&gt;&lt;FQL&gt;&lt;Q&gt;Ticker0024^FE_ESTIMATE(PRODLINE_SALES_16,MEAN,QUARTERLY_ROLL,2017/2F,45776,,,'')&lt;/Q&gt;&lt;R&gt;1&lt;/R&gt;&lt;C&gt;1&lt;/C&gt;&lt;D xsi:type="xsd:double"&gt;6861&lt;/D&gt;&lt;/FQL&gt;&lt;FQL&gt;&lt;Q&gt;Ticker0024^FE_ESTIMATE(PRODLINE_SALES_16,MEAN,QUARTERLY_ROLL,2017/1F,45776,,,'')&lt;/Q&gt;&lt;R&gt;1&lt;/R&gt;&lt;C&gt;1&lt;/C&gt;&lt;D xsi:type="xsd:double"&gt;6382&lt;/D&gt;&lt;/FQL&gt;&lt;FQL&gt;&lt;Q&gt;Ticker0024^FE_ESTIMATE(PRODLINE_SALES_16,MEAN,ANNUAL_ROLL,2016,45776,,,'')&lt;/Q&gt;&lt;R&gt;1&lt;/R&gt;&lt;C&gt;1&lt;/C&gt;&lt;D xsi:type="xsd:double"&gt;25042&lt;/D&gt;&lt;/FQL&gt;&lt;FQL&gt;&lt;Q&gt;Ticker0024^FE_ESTIMATE(PRODLINE_SALES_16,MEAN,QUARTERLY_ROLL,2016/4F,45776,,,'')&lt;/Q&gt;&lt;R&gt;1&lt;/R&gt;&lt;C&gt;1&lt;/C&gt;&lt;D xsi:type="xsd:double"&gt;6711&lt;/D&gt;&lt;/FQL&gt;&lt;FQL&gt;&lt;Q&gt;Ticker0024^FE_ESTIMATE(PRODLINE_SALES_16,MEAN,QUARTERLY_ROLL,2016/3F,45776,,,'')&lt;/Q&gt;&lt;R&gt;1&lt;/R&gt;&lt;C&gt;1&lt;/C&gt;&lt;D xsi:type="xsd:double"&gt;6096&lt;/D&gt;&lt;/FQL&gt;&lt;FQL&gt;&lt;Q&gt;Ticker0024^FE_ESTIMATE(PRODLINE_SALES_16,MEAN,QUARTERLY_ROLL,2016/2F,45776,,,'')&lt;/Q&gt;&lt;R&gt;1&lt;/R&gt;&lt;C&gt;1&lt;/C&gt;&lt;D xsi:type="xsd:double"&gt;6343&lt;/D&gt;&lt;/FQL&gt;&lt;FQL&gt;&lt;Q&gt;Ticker0024^FE_ESTIMATE(PRODLINE_SALES_16,MEAN,QUARTERLY_ROLL,2016/1F,45776,,,'')&lt;/Q&gt;&lt;R&gt;1&lt;/R&gt;&lt;C&gt;1&lt;/C&gt;&lt;D xsi:type="xsd:double"&gt;5892&lt;/D&gt;&lt;/FQL&gt;&lt;FQL&gt;&lt;Q&gt;Ticker0024^FE_ESTIMATE(PRODLINE_SALES_16,MEAN,ANNUAL_ROLL,2015,45776,,,'')&lt;/Q&gt;&lt;R&gt;0&lt;/R&gt;&lt;C&gt;0&lt;/C&gt;&lt;/FQL&gt;&lt;FQL&gt;&lt;Q&gt;Ticker0024^FE_ESTIMATE(PRODLINE_SALES_16,MEAN,QUARTERLY_ROLL,2015/4F,45776,,,'')&lt;/Q&gt;&lt;R&gt;0&lt;/R&gt;&lt;C&gt;0&lt;/C&gt;&lt;/FQL&gt;&lt;FQL&gt;&lt;Q&gt;Ticker0024^FE_ESTIMATE(PRODLINE_SALES_16,MEAN,QUARTERLY_ROLL,2015/3F,45776,,,'')&lt;/Q&gt;&lt;R&gt;0&lt;/R&gt;&lt;C&gt;0&lt;/C&gt;&lt;/FQL&gt;&lt;FQL&gt;&lt;Q&gt;Ticker0024^FE_ESTIMATE(PRODLINE_SALES_16,MEAN,QUARTERLY_ROLL,2015/2F,45776,,,'')&lt;/Q&gt;&lt;R&gt;0&lt;/R&gt;&lt;C&gt;0&lt;/C&gt;&lt;/FQL&gt;&lt;FQL&gt;&lt;Q&gt;Ticker0024^FE_ESTIMATE(PRODLINE_SALES_16,MEAN,QUARTERLY_ROLL,2015/1F,45776,,,'')&lt;/Q&gt;&lt;R&gt;0&lt;/R&gt;&lt;C&gt;0&lt;/C&gt;&lt;/FQL&gt;&lt;FQL&gt;&lt;Q&gt;Ticker0024^FE_ESTIMATE(PRODLINE_SALES_15,MEAN,ANNUAL_ROLL,2030,45776,,,'')&lt;/Q&gt;&lt;R&gt;0&lt;/R&gt;&lt;C&gt;0&lt;/C&gt;&lt;/FQL&gt;&lt;FQL&gt;&lt;Q&gt;Ticker0024^FE_ESTIMATE(PRODLINE_SALES_15,MEAN,QUARTERLY_ROLL,2030/4F,45776,,,'')&lt;/Q&gt;&lt;R&gt;0&lt;/R&gt;&lt;C&gt;0&lt;/C&gt;&lt;/FQL&gt;&lt;FQL&gt;&lt;Q&gt;Ticker0024^FE_ESTIMATE(PRODLINE_SALES_15,MEAN,QUARTERLY_ROLL,2030/3F,45776,,,'')&lt;/Q&gt;&lt;R&gt;0&lt;/R&gt;&lt;C&gt;0&lt;/C&gt;&lt;/FQL&gt;&lt;FQL&gt;&lt;Q&gt;Ticker0024^FE_ESTIMATE(PRODLINE_SALES_15,MEAN,QUARTERLY_ROLL,2030/2F,45776,,,'')&lt;/Q&gt;&lt;R&gt;0&lt;/R&gt;&lt;C&gt;0&lt;/C&gt;&lt;/FQL&gt;&lt;FQL&gt;&lt;Q&gt;Ticker0024^FE_ESTIMATE(PRODLINE_SALES_15,MEAN,QUARTERLY_ROLL,2030/1F,45776,,,'')&lt;/Q&gt;&lt;R&gt;0&lt;/R&gt;&lt;C&gt;0&lt;/C&gt;&lt;/FQL&gt;&lt;FQL&gt;&lt;Q&gt;Ticker0024^FE_ESTIMATE(PRODLINE_SALES_15,MEAN,ANNUAL_ROLL,2029,45776,,,'')&lt;/Q&gt;&lt;R&gt;0&lt;/R&gt;&lt;C&gt;0&lt;/C&gt;&lt;/FQL&gt;&lt;FQL&gt;&lt;Q&gt;Ticker0024^FE_ESTIMATE(PRODLINE_SALES_15,MEAN,QUARTERLY_ROLL,2029/4F,45776,,,'')&lt;/Q&gt;&lt;R&gt;0&lt;/R&gt;&lt;C&gt;0&lt;/C&gt;&lt;/FQL&gt;&lt;FQL&gt;&lt;Q&gt;Ticker0024^FE_ESTIMATE(PRODLINE_SALES_15,MEAN,QUARTERLY_ROLL,2029/3F,45776,,,'')&lt;/Q&gt;&lt;R&gt;0&lt;/R&gt;&lt;C&gt;0&lt;/C&gt;&lt;/FQL&gt;&lt;FQL&gt;&lt;Q&gt;Ticker0024^FE_ESTIMATE(PRODLINE_SALES_15,MEAN,QUARTERLY_ROLL,2029/2F,45776,,,'')&lt;/Q&gt;&lt;R&gt;0&lt;/R&gt;&lt;C&gt;0&lt;/C&gt;&lt;/FQL&gt;&lt;FQL&gt;&lt;Q&gt;Ticker0024^FE_ESTIMATE(PRODLINE_SALES_15,MEAN,QUARTERLY_ROLL,2029/1F,45776,,,'')&lt;/Q&gt;&lt;R&gt;0&lt;/R&gt;&lt;C&gt;0&lt;/C&gt;&lt;/FQL&gt;&lt;FQL&gt;&lt;Q&gt;Ticker0024^FE_ESTIMATE(PRODLINE_SALES_15,MEAN,ANNUAL_ROLL,2028,45776,,,'')&lt;/Q&gt;&lt;R&gt;0&lt;/R&gt;&lt;C&gt;0&lt;/C&gt;&lt;/FQL&gt;&lt;FQL&gt;&lt;Q&gt;Ticker0024^FE_ESTIMATE(PRODLINE_SALES_15,MEAN,QUARTERLY_ROLL,2028/4F,45776,,,'')&lt;/Q&gt;&lt;R&gt;0&lt;/R&gt;&lt;C&gt;0&lt;/C&gt;&lt;/FQL&gt;&lt;FQL&gt;&lt;Q&gt;Ticker0024^FE_ESTIMATE(PRODLINE_SALES_15,MEAN,QUARTERLY_ROLL,2028/3F,45776,,,'')&lt;/Q&gt;&lt;R&gt;0&lt;/R&gt;&lt;C&gt;0&lt;/C&gt;&lt;/FQL&gt;&lt;FQL&gt;&lt;Q&gt;Ticker0024^FE_ESTIMATE(PRODLINE_SALES_15,MEAN,QUARTERLY_ROLL,2028/2F,45776,,,'')&lt;/Q&gt;&lt;R&gt;0&lt;/R&gt;&lt;C&gt;0&lt;/C&gt;&lt;/FQL&gt;&lt;FQL&gt;&lt;Q&gt;Ticker0024^FE_ESTIMATE(PRODLINE_SALES_15,MEAN,QUARTERLY_ROLL,2028/1F,45776,,,'')&lt;/Q&gt;&lt;R&gt;0&lt;/R&gt;&lt;C&gt;0&lt;/C&gt;&lt;/FQL&gt;&lt;FQL&gt;&lt;Q&gt;Ticker0024^FE_ESTIMATE(PRODLINE_SALES_15,MEAN,ANNUAL_ROLL,2027,45776,,,'')&lt;/Q&gt;&lt;R&gt;1&lt;/R&gt;&lt;C&gt;1&lt;/C&gt;&lt;D xsi:type="xsd:double"&gt;143390.19&lt;/D&gt;&lt;/FQL&gt;&lt;FQL&gt;&lt;Q&gt;Ticker0024^FE_ESTIMATE(PRODLINE_SALES_15,MEAN,QUARTERLY_ROLL,2027/4F,45776,,,'')&lt;/Q&gt;&lt;R&gt;1&lt;/R&gt;&lt;C&gt;1&lt;/C&gt;&lt;D xsi:type="xsd:double"&gt;36839&lt;/D&gt;&lt;/FQL&gt;&lt;FQL&gt;&lt;Q&gt;Ticker0024^FE_ESTIMATE(PRODLINE_SALES_15,MEAN,QUARTERLY_ROLL,2027/3F,45776,,,'')&lt;/Q&gt;&lt;R&gt;1&lt;/R&gt;&lt;C&gt;1&lt;/C&gt;&lt;D xsi:type="xsd:double"&gt;35581&lt;/D&gt;&lt;/FQL&gt;&lt;FQL&gt;&lt;Q&gt;Ticker0024^FE_ESTIMATE(PRODLINE_SALES_15,MEAN,QUARTERLY_ROLL,2027/2F,45776,,,'')&lt;/Q&gt;&lt;R&gt;1&lt;/R&gt;&lt;C&gt;1&lt;/C&gt;&lt;D xsi:type="xsd:double"&gt;34907&lt;/D&gt;&lt;/FQL&gt;&lt;FQL&gt;&lt;Q&gt;Ticker0024^FE_ESTIMATE(PRODLINE_SALES_15,MEAN,QUARTERLY_ROLL,2027/1F,45776,,,'')&lt;/Q&gt;&lt;R&gt;1&lt;/R&gt;&lt;C&gt;1&lt;/C&gt;&lt;D xsi:type="xsd:double"&gt;33817.5&lt;/D&gt;&lt;/FQL&gt;&lt;FQL&gt;&lt;Q&gt;Ticker0024^FE_ESTIMATE(PRODLINE_SALES_15,MEAN,ANNUAL_ROLL,2026,45776,,,'')&lt;/Q&gt;&lt;R&gt;1&lt;/R&gt;&lt;C&gt;1&lt;/C&gt;&lt;D xsi:type="xsd:double"&gt;129790.03&lt;/D&gt;&lt;/FQL&gt;&lt;FQL&gt;&lt;Q&gt;Ticker0024^FE_ESTIMATE(PRODLINE_SALES_15,MEAN,QUARTERLY_ROLL,2026/4F,45776,,,'')&lt;/Q&gt;&lt;R&gt;1&lt;/R&gt;&lt;C&gt;1&lt;/C&gt;&lt;D xsi:type="xsd:double"&gt;33856.68&lt;/D&gt;&lt;/FQL&gt;&lt;FQL&gt;&lt;Q&gt;Ticker0024^FE_ESTIMATE(PRODLINE_SALES_15,MEAN,QUARTERLY_ROLL,2026/3F,45776,,,'')&lt;/Q&gt;&lt;R&gt;1&lt;/R&gt;&lt;C&gt;1&lt;/C&gt;&lt;D xsi:type="xsd:double"&gt;32280.53&lt;/D&gt;&lt;/FQL&gt;&lt;FQL&gt;&lt;Q&gt;Ticker0024^FE_ESTIMATE(PRODLINE_SALES_15,MEAN,QUARTERLY_ROLL,2026/2F,45776,,,'')&lt;/Q&gt;&lt;R&gt;1&lt;/R&gt;&lt;C&gt;1&lt;/C&gt;&lt;D xsi:type="xsd:double"&gt;31923.813&lt;/D&gt;&lt;/FQL&gt;&lt;FQL&gt;&lt;Q&gt;Ticker0024^FE_ESTIMATE(PRODLINE_SALES_15,MEAN,QUARTERLY_ROLL,2026/1F,45776,,,'')&lt;/Q&gt;&lt;R&gt;1&lt;/R&gt;&lt;C&gt;1&lt;/C&gt;&lt;D xsi:type="xsd:double"&gt;30849.574&lt;/D&gt;&lt;/FQL&gt;&lt;FQL&gt;&lt;Q&gt;Ticker0024^FE_ESTIMATE(PRODLINE_SALES_15,MEAN,ANNUAL_ROLL,2025,45776,,,'')&lt;/Q&gt;&lt;R&gt;1&lt;/R&gt;&lt;C&gt;1&lt;/C&gt;&lt;D xsi:type="xsd:double"&gt;118391.55&lt;/D&gt;&lt;/FQL&gt;&lt;FQL&gt;&lt;Q&gt;Ticker0024^FE_ESTIMATE(PRODLINE_SALES_15,MEAN,QUARTERLY_ROLL,2025/4F,45776,,,'')&lt;/Q&gt;&lt;R&gt;1&lt;/R&gt;&lt;C&gt;1&lt;/C&gt;&lt;D xsi:type="xsd:double"&gt;30952.912&lt;/D&gt;&lt;/FQL&gt;&lt;FQL&gt;&lt;Q&gt;Ticker0024^FE_ESTIMATE(PRODLINE_SALES_15,MEAN,QUARTERLY_ROLL,2025/3F,45776,,,'')&lt;/Q&gt;&lt;R&gt;1&lt;/R&gt;&lt;C&gt;1&lt;/C&gt;&lt;D xsi:type="xsd:double"&gt;29550.75&lt;/D&gt;&lt;/FQL&gt;&lt;FQL&gt;&lt;Q&gt;Ticker0024^FE_ESTIMATE(PRODLINE_SALES_15,MEAN,QUARTERLY_ROLL,2025/2F,45776,,,'')&lt;/Q&gt;&lt;R&gt;1&lt;/R&gt;&lt;C&gt;1&lt;/C&gt;&lt;D xsi:type="xsd:double"&gt;29437&lt;/D&gt;&lt;/FQL&gt;&lt;FQL&gt;&lt;Q&gt;Ticker0024^FE_ESTIMATE(PRODLINE_SALES_15,MEAN,QUARTERLY_ROLL,2025/1F,45776,,,'')&lt;/Q&gt;&lt;R&gt;1&lt;/R&gt;&lt;C&gt;1&lt;/C&gt;&lt;D xsi:type="xsd:double"&gt;28317&lt;/D&gt;&lt;/FQL&gt;&lt;FQL&gt;&lt;Q&gt;Ticker0024^FE_ESTIMATE(PRODLINE_SALES_15,MEAN,ANNUAL_ROLL,2024,45776,,,'')&lt;/Q&gt;&lt;R&gt;1&lt;/R&gt;&lt;C&gt;1&lt;/C&gt;&lt;D xsi:type="xsd:double"&gt;77728&lt;/D&gt;&lt;/FQL&gt;&lt;FQL&gt;&lt;Q&gt;Ticker0024^FE_ESTIMATE(PRODLINE_SALES_15,MEAN,QUARTERLY_ROLL,2024/4F,45776,,,'')&lt;/Q&gt;&lt;R&gt;1&lt;/R&gt;&lt;C&gt;1&lt;/C&gt;&lt;D xsi:type="xsd:double"&gt;20317&lt;/D&gt;&lt;/FQL&gt;&lt;FQL&gt;&lt;Q&gt;Ticker0024^FE_ESTIMATE(PRODLINE_SALES_15,MEAN,QUARTERLY_ROLL,2024/3F,45776,,,'')&lt;/Q&gt;&lt;R&gt;1&lt;/R&gt;&lt;C&gt;1&lt;/C&gt;&lt;D xsi:type="xsd:double"&gt;19570&lt;/D&gt;&lt;/FQL&gt;&lt;FQL&gt;&lt;Q&gt;Ticker0024^FE_ESTIMATE(PRODLINE_SALES_15,MEAN,QUARTERLY_ROLL,2024/2F,45776,,,'')&lt;/Q&gt;&lt;R&gt;1&lt;/R&gt;&lt;C&gt;1&lt;/C&gt;&lt;D xsi:type="xsd:double"&gt;19249&lt;/D&gt;&lt;/FQL&gt;&lt;FQL&gt;&lt;Q&gt;Ticker0024^FE_ESTIMATE(PRODLINE_SALES_15,MEAN,QUARTERLY_ROLL,2024/1F,45776,,,'')&lt;/Q&gt;&lt;R&gt;1&lt;/R&gt;&lt;C&gt;1&lt;/C&gt;&lt;D xsi:type="xsd:double"&gt;18592&lt;/D&gt;&lt;/FQL&gt;&lt;FQL&gt;&lt;Q&gt;Ticker0024^FE_ESTIMATE(PRODLINE_SALES_15,MEAN,ANNUAL_ROLL,2023,45776,,,'')&lt;/Q&gt;&lt;R&gt;1&lt;/R&gt;&lt;C&gt;1&lt;/C&gt;&lt;D xsi:type="xsd:double"&gt;69275&lt;/D&gt;&lt;/FQL&gt;&lt;FQL&gt;&lt;Q&gt;Ticker0024^FE_ESTIMATE(PRODLINE_SALES_15,MEAN,QUARTERLY_ROLL,2023/4F,45776,,,'')&lt;/Q&gt;&lt;R&gt;1&lt;/R&gt;&lt;C&gt;1&lt;/C&gt;&lt;D xsi:type="xsd:double"&gt;18291&lt;/D&gt;&lt;/FQL&gt;&lt;FQL&gt;&lt;Q&gt;Ticker0024^FE_ESTIMATE(PRODLINE_SALES_15,MEAN,QUARTERLY_ROLL,2023/3F,45776,,,'')&lt;/Q&gt;&lt;R&gt;1&lt;/R&gt;&lt;C&gt;1&lt;/C&gt;&lt;D xsi:type="xsd:double"&gt;17516&lt;/D&gt;&lt;/FQL&gt;&lt;FQL&gt;&lt;Q&gt;Ticker0024^FE_ESTIMATE(PRODLINE_SALES_15,MEAN,QUARTERLY_ROLL,2023/2F,45776,,,'')&lt;/Q&gt;&lt;R&gt;1&lt;/R&gt;&lt;C&gt;1&lt;/C&gt;&lt;D xsi:type="xsd:double"&gt;17002&lt;/D&gt;&lt;/FQL&gt;&lt;FQL&gt;&lt;Q&gt;Ticker0024^FE_ESTIMATE(PRODLINE_SALES_15,MEAN,QUARTERLY_ROLL,2023/1F,45776,,,'')&lt;/Q&gt;&lt;R&gt;1&lt;/R&gt;&lt;C&gt;1&lt;/C&gt;&lt;D xsi:type="xsd:double"&gt;16465&lt;/D&gt;&lt;/FQL&gt;&lt;FQL&gt;&lt;Q&gt;Ticker0024^FE_ESTIMATE(PRODLINE_SALES_15,MEAN,ANNUAL_ROLL,2022,45776,,,'')&lt;/Q&gt;&lt;R&gt;1&lt;/R&gt;&lt;C&gt;1&lt;/C&gt;&lt;D xsi:type="xsd:double"&gt;63364&lt;/D&gt;&lt;/FQL&gt;&lt;FQL&gt;&lt;Q&gt;Ticker0024^FE_ESTIMATE(PRODLINE_SALES_15,MEAN,QUARTERLY_ROLL,2022/4F,45776,,,'')&lt;/Q&gt;&lt;R&gt;1&lt;/R&gt;&lt;C&gt;1&lt;/C&gt;&lt;D xsi:type="xsd:double"&gt;16600&lt;/D&gt;&lt;/FQL&gt;&lt;FQL&gt;&lt;Q&gt;Ticker0024^FE_ESTIMATE(PRODLINE_SALES_15,MEAN,QUARTERLY_ROLL,2022/3F,45776,,,'')&lt;/Q&gt;&lt;R&gt;1&lt;/R&gt;&lt;C&gt;1&lt;/C&gt;&lt;D xsi:type="xsd:double"&gt;15789&lt;/D&gt;&lt;/FQL&gt;&lt;FQL&gt;&lt;Q&gt;Ticker0024^FE_ESTIMATE(PRODLINE_SALES_15,MEAN,QUARTERLY_ROLL,2022/2F,45776,,,'')&lt;/Q&gt;&lt;R&gt;1&lt;/R&gt;&lt;C&gt;1&lt;/C&gt;&lt;D xsi:type="xsd:double"&gt;15936&lt;/D&gt;&lt;/FQL&gt;&lt;FQL&gt;&lt;Q&gt;Ticker0024^FE_ESTIMATE(PRODLINE_SALES_15,MEAN,QUARTERLY_ROLL,2022/1F,45776,,,'')&lt;/Q&gt;&lt;R&gt;1&lt;/R&gt;&lt;C&gt;1&lt;/C&gt;&lt;D xsi:type="xsd:double"&gt;15039&lt;/D&gt;&lt;/FQL&gt;&lt;FQL&gt;&lt;Q&gt;Ticker0024^FE_ESTIMATE(PRODLINE_SALES_15,MEAN,ANNUAL_ROLL,2021,45776,,,'')&lt;/Q&gt;&lt;R&gt;1&lt;/R&gt;&lt;C&gt;1&lt;/C&gt;&lt;D xsi:type="xsd:double"&gt;53915&lt;/D&gt;&lt;/FQL&gt;&lt;FQL&gt;&lt;Q&gt;Ticker0024^FE_ESTIMATE(PRODLINE_SALES_15,MEAN,QUARTERLY_ROLL,2021/4F,45776,,,'')&lt;/Q&gt;&lt;R&gt;1&lt;/R&gt;&lt;C&gt;1&lt;/C&gt;&lt;D xsi:type="xsd:double"&gt;14691&lt;/D&gt;&lt;/FQL&gt;&lt;FQL&gt;&lt;Q&gt;Ticker0024^FE_ESTIMATE(PRODLINE_SALES_15,MEAN,QUARTERLY_ROLL,2021/3F,45776,,,'')&lt;/Q&gt;&lt;R&gt;1&lt;/R&gt;&lt;C&gt;1&lt;/C&gt;&lt;D xsi:type="xsd:double"&gt;13552&lt;/D&gt;&lt;/FQL&gt;&lt;FQL&gt;&lt;Q&gt;Ticker0024^FE_ESTIMATE(PRODLINE_SALES_15,MEAN,QUARTERLY_ROLL,2021/2F,45776,,,'')&lt;/Q&gt;&lt;R&gt;1&lt;/R&gt;&lt;C&gt;1&lt;/C&gt;&lt;D xsi:type="xsd:double"&gt;13353&lt;/D&gt;&lt;/FQL&gt;&lt;FQL&gt;&lt;Q&gt;Ticker0024^FE_ESTIMATE(PRODLINE_SALES_15,MEAN,QUARTERLY_ROLL,2021/1F,45776,,,'')&lt;/Q&gt;&lt;R&gt;1&lt;/R&gt;&lt;C&gt;1&lt;/C&gt;&lt;D xsi:type="xsd:double"&gt;12319&lt;/D&gt;&lt;/FQL&gt;&lt;FQL&gt;&lt;Q&gt;Ticker0024^FE_ESTIMATE(PRODLINE_SALES_15,MEAN,ANNUAL_ROLL,2020,45776,,,'')&lt;/Q&gt;&lt;R&gt;1&lt;/R&gt;&lt;C&gt;1&lt;/C&gt;&lt;D xsi:type="xsd:double"&gt;46398&lt;/D&gt;&lt;/FQL&gt;&lt;FQL&gt;&lt;Q&gt;Ticker0024^FE_ESTIMATE(PRODLINE_SALES_15,MEAN,QUARTERLY_ROLL,2020/4F,45776,,,'')&lt;/Q&gt;&lt;R&gt;1&lt;/R&gt;&lt;C&gt;1&lt;/C&gt;&lt;D xsi:type="xsd:double"&gt;11752&lt;/D&gt;&lt;/FQL&gt;&lt;FQL&gt;&lt;Q&gt;Ticker0024^FE_ESTIMATE(PRODLINE_SALES_15,MEAN,QUARTERLY_ROLL,2020/3F,45776,,,'')&lt;/Q&gt;&lt;R&gt;1&lt;/R&gt;&lt;C&gt;1&lt;/C&gt;&lt;D xsi:type="xsd:double"&gt;11743&lt;/D&gt;&lt;/FQL&gt;&lt;FQL&gt;&lt;Q&gt;Ticker0024^FE_ESTIMATE(PRODLINE_SALES_15,MEAN,QUARTERLY_ROLL,2020/2F,45776,,,'')&lt;/Q&gt;&lt;R&gt;1&lt;/R&gt;&lt;C&gt;1&lt;/C&gt;&lt;D xsi:type="xsd:double"&gt;11826&lt;/D&gt;&lt;/FQL&gt;&lt;FQL&gt;&lt;Q&gt;Ticker0024^FE_ESTIMATE(PRODLINE_SALES_15,MEAN,QUARTERLY_ROLL,2020/1F,45776,,,'')&lt;/Q&gt;&lt;R&gt;1&lt;/R&gt;&lt;C&gt;1&lt;/C&gt;&lt;D xsi:type="xsd:double"&gt;11077&lt;/D&gt;&lt;/FQL&gt;&lt;FQL&gt;&lt;Q&gt;Ticker0024^FE_ESTIMATE(PRODLINE_SALES_15,MEAN,ANNUAL_ROLL,2019,45776,,,'')&lt;/Q&gt;&lt;R&gt;1&lt;/R&gt;&lt;C&gt;1&lt;/C&gt;&lt;D xsi:type="xsd:double"&gt;41160&lt;/D&gt;&lt;/FQL&gt;&lt;FQL&gt;&lt;Q&gt;Ticker0024^FE_ESTIMATE(PRODLINE_SALES_15,MEAN,QUARTERLY_ROLL,2019/4F,45776,,,'')&lt;/Q&gt;&lt;R&gt;1&lt;/R&gt;&lt;C&gt;1&lt;/C&gt;&lt;D xsi:type="xsd:double"&gt;11047&lt;/D&gt;&lt;/FQL&gt;&lt;FQL&gt;&lt;Q&gt;Ticker0024^FE_ESTIMATE(PRODLINE_SALES_15,MEAN,QUARTERLY_ROLL,2019/3F,45776,,,'')&lt;/Q&gt;&lt;R&gt;1&lt;/R&gt;&lt;C&gt;1&lt;/C&gt;&lt;D xsi:type="xsd:double"&gt;10242&lt;/D&gt;&lt;/FQL&gt;&lt;FQL&gt;&lt;Q&gt;Ticker0024^FE_ESTIMATE(PRODLINE_SALES_15,MEAN,QUARTERLY_ROLL,2019/2F,45776,,,'')&lt;/Q&gt;&lt;R&gt;1&lt;/R&gt;&lt;C&gt;1&lt;/C&gt;&lt;D xsi:type="xsd:double"&gt;10100&lt;/D&gt;&lt;/FQL&gt;&lt;FQL&gt;&lt;Q&gt;Ticker0024^FE_ESTIMATE(PRODLINE_SALES_15,MEAN,QUARTERLY_ROLL,2019/1F,45776,,,'')&lt;/Q&gt;&lt;R&gt;1&lt;/R&gt;&lt;C&gt;1&lt;/C&gt;&lt;D xsi:type="xsd:double"&gt;9771&lt;/D&gt;&lt;/FQL&gt;&lt;FQL&gt;&lt;Q&gt;Ticker0024^FE_ESTIMATE(PRODLINE_SALES_15,MEAN,ANNUAL_ROLL,2018,45776,,,'')&lt;/Q&gt;&lt;R&gt;1&lt;/R&gt;&lt;C&gt;1&lt;/C&gt;&lt;D xsi:type="xsd:double"&gt;35865&lt;/D&gt;&lt;/FQL&gt;&lt;FQL&gt;&lt;Q&gt;Ticker0024^FE_ESTIMATE(PRODLINE_SALES_15,MEAN,QUARTERLY_ROLL,2018/4F,45776,,,'')&lt;/Q&gt;&lt;R&gt;1&lt;/R&gt;&lt;C&gt;1&lt;/C&gt;&lt;D xsi:type="xsd:double"&gt;9668&lt;/D&gt;&lt;/FQL&gt;&lt;FQL&gt;&lt;Q&gt;Ticker0024^FE_ESTIMATE(PRODLINE_SALES_15,MEAN,QUARTERLY_ROLL,2018/3F,45776,,,'')&lt;/Q&gt;&lt;R&gt;1&lt;/R&gt;&lt;C&gt;1&lt;/C&gt;&lt;D xsi:type="xsd:double"&gt;9006&lt;/D&gt;&lt;/FQL&gt;&lt;FQL&gt;&lt;Q&gt;Ticker0024^FE_ESTIMATE(PRODLINE_SALES_15,MEAN,QUARTERLY_ROLL,2018/2F,45776,,,'')&lt;/Q&gt;&lt;R&gt;1&lt;/R&gt;&lt;C&gt;1&lt;/C&gt;&lt;D xsi:type="xsd:double"&gt;8953&lt;/D&gt;&lt;/FQL&gt;&lt;FQL&gt;&lt;Q&gt;Ticker0024^FE_ESTIMATE(PRODLINE_SALES_15,MEAN,QUARTERLY_ROLL,2018/1F,45776,,,'')&lt;/Q&gt;&lt;R&gt;1&lt;/R&gt;&lt;C&gt;1&lt;/C&gt;&lt;D xsi:type="xsd:double"&gt;8238&lt;/D&gt;&lt;/FQL&gt;&lt;FQL&gt;&lt;Q&gt;Ticker0024^FE_ESTIMATE(PRODLINE_SALES_15,MEAN,ANNUAL_ROLL,2017,45776,,,'')&lt;/Q&gt;&lt;R&gt;1&lt;/R&gt;&lt;C&gt;1&lt;/C&gt;&lt;D xsi:type="xsd:double"&gt;30444&lt;/D&gt;&lt;/FQL&gt;&lt;FQL&gt;&lt;Q&gt;Ticker0024^FE_ESTIMATE(PRODLINE_SALES_15,MEAN,QUARTERLY_ROLL,2017/4F,45776,,,'')&lt;/Q&gt;&lt;R&gt;1&lt;/R&gt;&lt;C&gt;1&lt;/C&gt;&lt;D xsi:type="xsd:double"&gt;8446&lt;/D&gt;&lt;/FQL&gt;&lt;FQL&gt;&lt;Q&gt;Ticker0024^FE_ESTIMATE(PRODLINE_SALES_15,MEAN,QUARTERLY_ROLL,2017/3F,45776,,,'')&lt;/Q&gt;&lt;R&gt;1&lt;/R&gt;&lt;C&gt;1&lt;/C&gt;&lt;D xsi:type="xsd:double"&gt;7958&lt;/D&gt;&lt;/FQL&gt;&lt;FQL&gt;&lt;Q&gt;Ticker0024^FE_ESTIMATE(PRODLINE_SALES_15,MEAN,QUARTERLY_ROLL,2017/2F,45776,,,'')&lt;/Q&gt;&lt;R&gt;1&lt;/R&gt;&lt;C&gt;1&lt;/C&gt;&lt;D xsi:type="xsd:double"&gt;7382&lt;/D&gt;&lt;/FQL&gt;&lt;FQL&gt;&lt;Q&gt;Ticker0024^FE_ESTIMATE(PRODLINE_SALES_15,MEAN,QUARTERLY_ROLL,2017/1F,45776,,,'')&lt;/Q&gt;&lt;R&gt;1&lt;/R&gt;&lt;C&gt;1&lt;/C&gt;&lt;D xsi:type="xsd:double"&gt;6658&lt;/D&gt;&lt;/FQL&gt;&lt;FQL&gt;&lt;Q&gt;Ticker0024^FE_ESTIMATE(PRODLINE_SALES_15,MEAN,ANNUAL_ROLL,2016,45776,,,'')&lt;/Q&gt;&lt;R&gt;1&lt;/R&gt;&lt;C&gt;1&lt;/C&gt;&lt;D xsi:type="xsd:double"&gt;26487&lt;/D&gt;&lt;/FQL&gt;&lt;FQL&gt;&lt;Q&gt;Ticker0024^FE_ESTIMATE(PRODLINE_SALES_15,MEAN,QUARTERLY_ROLL,2016/4F,45776,,,'')&lt;/Q&gt;&lt;R&gt;1&lt;/R&gt;&lt;C&gt;1&lt;/C&gt;&lt;D xsi:type="xsd:double"&gt;6969&lt;/D&gt;&lt;/FQL&gt;&lt;FQL&gt;&lt;Q&gt;Ticker0024^FE_ESTIMATE(PRODLINE_SALES_15,MEAN,QUARTERLY_ROLL,2016/3F,45776,,,'')&lt;/Q&gt;&lt;R&gt;1&lt;/R&gt;&lt;C&gt;1&lt;/C&gt;&lt;D xsi:type="xsd:double"&gt;6522&lt;/D&gt;&lt;/FQL&gt;&lt;FQL&gt;&lt;Q&gt;Ticker0024^FE_ESTIMATE(PRODLINE_SALES_15,MEAN,QUARTERLY_ROLL,2016/2F,45776,,,'')&lt;/Q&gt;&lt;R&gt;1&lt;/R&gt;&lt;C&gt;1&lt;/C&gt;&lt;D xsi:type="xsd:double"&gt;6690&lt;/D&gt;&lt;/FQL&gt;&lt;FQL&gt;&lt;Q&gt;Ticker0024^FE_ESTIMATE(PRODLINE_SALES_15,MEAN,QUARTERLY_ROLL,2016/1F,45776,,,'')&lt;/Q&gt;&lt;R&gt;1&lt;/R&gt;&lt;C&gt;1&lt;/C&gt;&lt;D xsi:type="xsd:double"&gt;6306&lt;/D&gt;&lt;/FQL&gt;&lt;FQL&gt;&lt;Q&gt;Ticker0024^FE_ESTIMATE(PRODLINE_SALES_15,MEAN,ANNUAL_ROLL,2015,45776,,,'')&lt;/Q&gt;&lt;R&gt;0&lt;/R&gt;&lt;C&gt;0&lt;/C&gt;&lt;/FQL&gt;&lt;FQL&gt;&lt;Q&gt;Ticker0024^FE_ESTIMATE(PRODLINE_SALES_15,MEAN,QUARTERLY_ROLL,2015/4F,45776,,,'')&lt;/Q&gt;&lt;R&gt;0&lt;/R&gt;&lt;C&gt;0&lt;/C&gt;&lt;/FQL&gt;&lt;FQL&gt;&lt;Q&gt;Ticker0024^FE_ESTIMATE(PRODLINE_SALES_15,MEAN,QUARTERLY_ROLL,2015/3F,45776,,,'')&lt;/Q&gt;&lt;R&gt;0&lt;/R&gt;&lt;C&gt;0&lt;/C&gt;&lt;/FQL&gt;&lt;FQL&gt;&lt;Q&gt;Ticker0024^FE_ESTIMATE(PRODLINE_SALES_15,MEAN,QUARTERLY_ROLL,2015/2F,45776,,,'')&lt;/Q&gt;&lt;R&gt;0&lt;/R&gt;&lt;C&gt;0&lt;/C&gt;&lt;/FQL&gt;&lt;FQL&gt;&lt;Q&gt;Ticker0024^FE_ESTIMATE(PRODLINE_SALES_15,MEAN,QUARTERLY_ROLL,2015/1F,45776,,,'')&lt;/Q&gt;&lt;R&gt;0&lt;/R&gt;&lt;C&gt;0&lt;/C&gt;&lt;/FQL&gt;&lt;FQL&gt;&lt;Q&gt;IBM^FE_VALUATION(FFEV_FCF,MEAN,CAL4_ROLL,2026,45776,,,'')&lt;/Q&gt;&lt;R&gt;1&lt;/R&gt;&lt;C&gt;1&lt;/C&gt;&lt;D xsi:type="xsd:double"&gt;19.001335&lt;/D&gt;&lt;/FQL&gt;&lt;FQL&gt;&lt;Q&gt;IBM^FE_VALUATION(FFEV_FCF,MEAN,CAL4_ROLL,2025,45776,,,'')&lt;/Q&gt;&lt;R&gt;1&lt;/R&gt;&lt;C&gt;1&lt;/C&gt;&lt;D xsi:type="xsd:double"&gt;19.82569&lt;/D&gt;&lt;/FQL&gt;&lt;FQL&gt;&lt;Q&gt;IBM^FE_VALUATION(FFEV_FCF,MEAN,CAL4_ROLL,2024,45776,,,'')&lt;/Q&gt;&lt;R&gt;1&lt;/R&gt;&lt;C&gt;1&lt;/C&gt;&lt;D xsi:type="xsd:double"&gt;21.380041&lt;/D&gt;&lt;/FQL&gt;&lt;FQL&gt;&lt;Q&gt;IBM^FE_VALUATION(FFEV_FCF,MEAN,NTM4_ROLL,,45776,,,'')&lt;/Q&gt;&lt;R&gt;1&lt;/R&gt;&lt;C&gt;1&lt;/C&gt;&lt;D xsi:type="xsd:double"&gt;19.41891&lt;/D&gt;&lt;/FQL&gt;&lt;FQL&gt;&lt;Q&gt;CRM^FE_VALUATION(PE,MEAN,CAL4_ROLL,,45776,,,'')&lt;/Q&gt;&lt;R&gt;1&lt;/R&gt;&lt;C&gt;1&lt;/C&gt;&lt;D xsi:type="xsd:double"&gt;24.025108&lt;/D&gt;&lt;/FQL&gt;&lt;FQL&gt;&lt;Q&gt;CRM^FE_VALUATION(PE,MEAN,NTM4_ROLL,,45776,,,'')&lt;/Q&gt;&lt;R&gt;1&lt;/R&gt;&lt;C&gt;1&lt;/C&gt;&lt;D xsi:type="xsd:double"&gt;24.025108&lt;/D&gt;&lt;/FQL&gt;&lt;FQL&gt;&lt;Q&gt;CRM^FE_VALUATION(FFEV_FCF,MEAN,CAL4_ROLL,2026,45776,,,'')&lt;/Q&gt;&lt;R&gt;1&lt;/R&gt;&lt;C&gt;1&lt;/C&gt;&lt;D xsi:type="xsd:double"&gt;17.224049&lt;/D&gt;&lt;/FQL&gt;&lt;FQL&gt;&lt;Q&gt;CRM^FE_VALUATION(FFEV_FCF,MEAN,CAL4_ROLL,2025,45776,,,'')&lt;/Q&gt;&lt;R&gt;1&lt;/R&gt;&lt;C&gt;1&lt;/C&gt;&lt;D xsi:type="xsd:double"&gt;18.895231&lt;/D&gt;&lt;/FQL&gt;&lt;FQL&gt;&lt;Q&gt;CRM^FE_VALUATION(FFEV_FCF,MEAN,CAL4_ROLL,2024,45776,,,'')&lt;/Q&gt;&lt;R&gt;1&lt;/R&gt;&lt;C&gt;1&lt;/C&gt;&lt;D xsi:type="xsd:double"&gt;20.81681&lt;/D&gt;&lt;/FQL&gt;&lt;FQL&gt;&lt;Q&gt;CRM^FE_VALUATION(FFEV_FCF,MEAN,NTM4_ROLL,,45776,,,'')&lt;/Q&gt;&lt;R&gt;1&lt;/R&gt;&lt;C&gt;1&lt;/C&gt;&lt;D xsi:type="xsd:double"&gt;18.895231&lt;/D&gt;&lt;/FQL&gt;&lt;FQL&gt;&lt;Q&gt;Company1341^FE_VALUATION(PE,MEAN,CAL4_ROLL,,45776,,,'')&lt;/Q&gt;&lt;R&gt;1&lt;/R&gt;&lt;C&gt;1&lt;/C&gt;&lt;D xsi:type="xsd:double"&gt;32.252155&lt;/D&gt;&lt;/FQL&gt;&lt;FQL&gt;&lt;Q&gt;Company1341^FE_VALUATION(PE,MEAN,NTM4_ROLL,,45776,,,'')&lt;/Q&gt;&lt;R&gt;1&lt;/R&gt;&lt;C&gt;1&lt;/C&gt;&lt;D xsi:type="xsd:double"&gt;30.59757&lt;/D&gt;&lt;/FQL&gt;&lt;FQL&gt;&lt;Q&gt;Company1341^FE_VALUATION(FFEV_FCF,MEAN,CAL4_ROLL,2026,45776,,,'')&lt;/Q&gt;&lt;R&gt;1&lt;/R&gt;&lt;C&gt;1&lt;/C&gt;&lt;D xsi:type="xsd:double"&gt;26.145166&lt;/D&gt;&lt;/FQL&gt;&lt;FQL&gt;&lt;Q&gt;Company1341^FE_VALUATION(FFEV_FCF,MEAN,CAL4_ROLL,2025,45776,,,'')&lt;/Q&gt;&lt;R&gt;1&lt;/R&gt;&lt;C&gt;1&lt;/C&gt;&lt;D xsi:type="xsd:double"&gt;28.616194&lt;/D&gt;&lt;/FQL&gt;&lt;FQL&gt;&lt;Q&gt;Company1341^FE_VALUATION(FFEV_FCF,MEAN,CAL4_ROLL,2024,45776,,,'')&lt;/Q&gt;&lt;R&gt;1&lt;/R&gt;&lt;C&gt;1&lt;/C&gt;&lt;D xsi:type="xsd:double"&gt;32.61158&lt;/D&gt;&lt;/FQL&gt;&lt;FQL&gt;&lt;Q&gt;Company1341^FE_VALUATION(FFEV_FCF,MEAN,NTM4_ROLL,,45776,,,'')&lt;/Q&gt;&lt;R&gt;1&lt;/R&gt;&lt;C&gt;1&lt;/C&gt;&lt;D xsi:type="xsd:double"&gt;28.616194&lt;/D&gt;&lt;/FQL&gt;&lt;FQL&gt;&lt;Q&gt;Company0023^FE_VALUATION(PE,MEAN,CAL4_ROLL,,45776,,,'')&lt;/Q&gt;&lt;R&gt;1&lt;/R&gt;&lt;C&gt;1&lt;/C&gt;&lt;D xsi:type="xsd:double"&gt;18.168165&lt;/D&gt;&lt;/FQL&gt;&lt;FQL&gt;&lt;Q&gt;Company0023^FE_VALUATION(PE,MEAN,NTM4_ROLL,,45776,,,'')&lt;/Q&gt;&lt;R&gt;1&lt;/R&gt;&lt;C&gt;1&lt;/C&gt;&lt;D xsi:type="xsd:double"&gt;17.745487&lt;/D&gt;&lt;/FQL&gt;&lt;FQL&gt;&lt;Q&gt;Company0023^FE_VALUATION(FFEV_FCF,MEAN,CAL4_ROLL,2026,45776,,,'')&lt;/Q&gt;&lt;R&gt;1&lt;/R&gt;&lt;C&gt;1&lt;/C&gt;&lt;D xsi:type="xsd:double"&gt;15.648795&lt;/D&gt;&lt;/FQL&gt;&lt;FQL&gt;&lt;Q&gt;Company0023^FE_VALUATION(FFEV_FCF,MEAN,CAL4_ROLL,2025,45776,,,'')&lt;/Q&gt;&lt;R&gt;1&lt;/R&gt;&lt;C&gt;1&lt;/C&gt;&lt;D xsi:type="xsd:double"&gt;17.215147&lt;/D&gt;&lt;/FQL&gt;&lt;FQL&gt;&lt;Q&gt;Company0023^FE_VALUATION(FFEV_FCF,MEAN,CAL4_ROLL,2024,45776,,,'')&lt;/Q&gt;&lt;R&gt;1&lt;/R&gt;&lt;C&gt;1&lt;/C&gt;&lt;D xsi:type="xsd:double"&gt;20.571196&lt;/D&gt;&lt;/FQL&gt;&lt;FQL&gt;&lt;Q&gt;Company0023^FE_VALUATION(FFEV_FCF,MEAN,NTM4_ROLL,,45776,,,'')&lt;/Q&gt;&lt;R&gt;1&lt;/R&gt;&lt;C&gt;1&lt;/C&gt;&lt;D xsi:type="xsd:double"&gt;17.625292&lt;/D&gt;&lt;/FQL&gt;&lt;FQL&gt;&lt;Q&gt;Company1985^FE_VALUATION(PE,MEAN,CAL4_ROLL,,45776,,,'')&lt;/Q&gt;&lt;R&gt;1&lt;/R&gt;&lt;C&gt;1&lt;/C&gt;&lt;D xsi:type="xsd:double"&gt;21.153267&lt;/D&gt;&lt;/FQL&gt;&lt;FQL&gt;&lt;Q&gt;Company1985^FE_VALUATION(PE,MEAN,NTM4_ROLL,,45776,,,'')&lt;/Q&gt;&lt;R&gt;1&lt;/R&gt;&lt;C&gt;1&lt;/C&gt;&lt;D xsi:type="xsd:double"&gt;22.020718&lt;/D&gt;&lt;/FQL&gt;&lt;FQL&gt;&lt;Q&gt;Company1985^FE_VALUATION(FFEV_FCF,MEAN,CAL4_ROLL,2026,45776,,,'')&lt;/Q&gt;&lt;R&gt;1&lt;/R&gt;&lt;C&gt;1&lt;/C&gt;&lt;D xsi:type="xsd:double"&gt;44.964046&lt;/D&gt;&lt;/FQL&gt;&lt;FQL&gt;&lt;Q&gt;Company1985^FE_VALUATION(FFEV_FCF,MEAN,CAL4_ROLL,2025,45776,,,'')&lt;/Q&gt;&lt;R&gt;1&lt;/R&gt;&lt;C&gt;1&lt;/C&gt;&lt;D xsi:type="xsd:double"&gt;76.555115&lt;/D&gt;&lt;/FQL&gt;&lt;FQL&gt;&lt;Q&gt;Company1985^FE_VALUATION(FFEV_FCF,MEAN,CAL4_ROLL,2024,45776,,,'')&lt;/Q&gt;&lt;R&gt;1&lt;/R&gt;&lt;C&gt;1&lt;/C&gt;&lt;D xsi:type="xsd:double"&gt;50.601906&lt;/D&gt;&lt;/FQL&gt;&lt;FQL&gt;&lt;Q&gt;Company1985^FE_VALUATION(FFEV_FCF,MEAN,NTM4_ROLL,,45776,,,'')&lt;/Q&gt;&lt;R&gt;1&lt;/R&gt;&lt;C&gt;1&lt;/C&gt;&lt;D xsi:type="xsd:double"&gt;65.14631&lt;/D&gt;&lt;/FQL&gt;&lt;FQL&gt;&lt;Q&gt;Company2320^FE_VALUATION(PE,MEAN,CAL4_ROLL,,45776,,,'')&lt;/Q&gt;&lt;R&gt;1&lt;/R&gt;&lt;C&gt;1&lt;/C&gt;&lt;D xsi:type="xsd:double"&gt;39.768665&lt;/D&gt;&lt;/FQL&gt;&lt;FQL&gt;&lt;Q&gt;Company2320^FE_VALUATION(PE,MEAN,NTM4_ROLL,,45776,,,'')&lt;/Q&gt;&lt;R&gt;1&lt;/R&gt;&lt;C&gt;1&lt;/C&gt;&lt;D xsi:type="xsd:double"&gt;39.768665&lt;/D&gt;&lt;/FQL&gt;&lt;FQL&gt;&lt;Q&gt;Company2320^FE_VALUATION(FFEV_FCF,MEAN,CAL4_ROLL,2026,45776,,,'')&lt;/Q&gt;&lt;R&gt;1&lt;/R&gt;&lt;C&gt;1&lt;/C&gt;&lt;D xsi:type="xsd:double"&gt;30.448977&lt;/D&gt;&lt;/FQL&gt;&lt;FQL&gt;&lt;Q&gt;Company2320^FE_VALUATION(FFEV_FCF,MEAN,CAL4_ROLL,2025,45776,,,'')&lt;/Q&gt;&lt;R&gt;1&lt;/R&gt;&lt;C&gt;1&lt;/C&gt;&lt;D xsi:type="xsd:double"&gt;36.53076&lt;/D&gt;&lt;/FQL&gt;&lt;FQL&gt;&lt;Q&gt;Company2320^FE_VALUATION(FFEV_FCF,MEAN,CAL4_ROLL,2024,45776,,,'')&lt;/Q&gt;&lt;R&gt;1&lt;/R&gt;&lt;C&gt;1&lt;/C&gt;&lt;D xsi:type="xsd:double"&gt;75.90909&lt;/D&gt;&lt;/FQL&gt;&lt;FQL&gt;&lt;Q&gt;Company2320^FE_VALUATION(FFEV_FCF,MEAN,NTM4_ROLL,,45776,,,'')&lt;/Q&gt;&lt;R&gt;1&lt;/R&gt;&lt;C&gt;1&lt;/C&gt;&lt;D xsi:type="xsd:double"&gt;37.406097&lt;/D&gt;&lt;/FQL&gt;&lt;FQL&gt;&lt;Q&gt;Company0103^FE_VALUATION(PE,MEAN,CAL4_ROLL,,45776,,,'')&lt;/Q&gt;&lt;R&gt;1&lt;/R&gt;&lt;C&gt;1&lt;/C&gt;&lt;D xsi:type="xsd:double"&gt;30.594524&lt;/D&gt;&lt;/FQL&gt;&lt;FQL&gt;&lt;Q&gt;Company0103^FE_VALUATION(PE,MEAN,NTM4_ROLL,,45776,,,'')&lt;/Q&gt;&lt;R&gt;1&lt;/R&gt;&lt;C&gt;1&lt;/C&gt;&lt;D xsi:type="xsd:double"&gt;30.594524&lt;/D&gt;&lt;/FQL&gt;&lt;FQL&gt;&lt;Q&gt;Company0103^FE_VALUATION(FFEV_FCF,MEAN,CAL4_ROLL,2026,45776,,,'')&lt;/Q&gt;&lt;R&gt;1&lt;/R&gt;&lt;C&gt;1&lt;/C&gt;&lt;D xsi:type="xsd:double"&gt;37.897476&lt;/D&gt;&lt;/FQL&gt;&lt;FQL&gt;&lt;Q&gt;Company0103^FE_VALUATION(FFEV_FCF,MEAN,CAL4_ROLL,2025,45776,,,'')&lt;/Q&gt;&lt;R&gt;1&lt;/R&gt;&lt;C&gt;1&lt;/C&gt;&lt;D xsi:type="xsd:double"&gt;48.238873&lt;/D&gt;&lt;/FQL&gt;&lt;FQL&gt;&lt;Q&gt;Company0103^FE_VALUATION(FFEV_FCF,MEAN,CAL4_ROLL,2024,45776,,,'')&lt;/Q&gt;&lt;R&gt;1&lt;/R&gt;&lt;C&gt;1&lt;/C&gt;&lt;D xsi:type="xsd:double"&gt;53.79563&lt;/D&gt;&lt;/FQL&gt;&lt;FQL&gt;&lt;Q&gt;Company0103^FE_VALUATION(FFEV_FCF,MEAN,NTM4_ROLL,,45776,,,'')&lt;/Q&gt;&lt;R&gt;1&lt;/R&gt;&lt;C&gt;1&lt;/C&gt;&lt;D xsi:type="xsd:double"&gt;48.238873&lt;/D&gt;&lt;/FQL&gt;&lt;FQL&gt;&lt;Q&gt;Ticker0013^FE_VALUATION(PE,MEAN,CAL4_ROLL,,45776,,,'')&lt;/Q&gt;&lt;R&gt;1&lt;/R&gt;&lt;C&gt;1&lt;/C&gt;&lt;D xsi:type="xsd:double"&gt;17.671793&lt;/D&gt;&lt;/FQL&gt;&lt;FQL&gt;&lt;Q&gt;Ticker0013^FE_VALUATION(PE,MEAN,NTM4_ROLL,,45776,,,'')&lt;/Q&gt;&lt;R&gt;1&lt;/R&gt;&lt;C&gt;1&lt;/C&gt;&lt;D xsi:type="xsd:double"&gt;17.671793&lt;/D&gt;&lt;/FQL&gt;&lt;FQL&gt;&lt;Q&gt;Ticker0013^FE_VALUATION(FFEV_FCF,MEAN,CAL4_ROLL,2026,45776,,,'')&lt;/Q&gt;&lt;R&gt;1&lt;/R&gt;&lt;C&gt;1&lt;/C&gt;&lt;D xsi:type="xsd:double"&gt;21.024385&lt;/D&gt;&lt;/FQL&gt;&lt;FQL&gt;&lt;Q&gt;Ticker0013^FE_VALUATION(FFEV_FCF,MEAN,CAL4_ROLL,2025,45776,,,'')&lt;/Q&gt;&lt;R&gt;1&lt;/R&gt;&lt;C&gt;1&lt;/C&gt;&lt;D xsi:type="xsd:double"&gt;25.382671&lt;/D&gt;&lt;/FQL&gt;&lt;FQL&gt;&lt;Q&gt;Ticker0013^FE_VALUATION(FFEV_FCF,MEAN,CAL4_ROLL,2024,45776,,,'')&lt;/Q&gt;&lt;R&gt;1&lt;/R&gt;&lt;C&gt;1&lt;/C&gt;&lt;D xsi:type="xsd:double"&gt;25.727404&lt;/D&gt;&lt;/FQL&gt;&lt;FQL&gt;&lt;Q&gt;Ticker0013^FE_VALUATION(FFEV_FCF,MEAN,NTM4_ROLL,,45776,,,'')&lt;/Q&gt;&lt;R&gt;1&lt;/R&gt;&lt;C&gt;1&lt;/C&gt;&lt;D xsi:type="xsd:double"&gt;24.624296&lt;/D&gt;&lt;/FQL&gt;&lt;FQL&gt;&lt;Q&gt;Ticker0024^FE_ESTIMATE(EPS,MEAN,CAL4_ROLL,2026,45776,,,'')&lt;/Q&gt;&lt;R&gt;1&lt;/R&gt;&lt;C&gt;1&lt;/C&gt;&lt;D xsi:type="xsd:double"&gt;15.894049&lt;/D&gt;&lt;/FQL&gt;&lt;FQL&gt;&lt;Q&gt;Ticker0024^FE_ESTIMATE(EPS,MEAN,CAL4_ROLL,2025,45776,,,'')&lt;/Q&gt;&lt;R&gt;1&lt;/R&gt;&lt;C&gt;1&lt;/C&gt;&lt;D xsi:type="xsd:double"&gt;13.783403&lt;/D&gt;&lt;/FQL&gt;&lt;FQL&gt;&lt;Q&gt;Ticker0024^FE_ESTIMATE(EPS,MEAN,CAL4_ROLL,2024,45776,,,'')&lt;/Q&gt;&lt;R&gt;1&lt;/R&gt;&lt;C&gt;1&lt;/C&gt;&lt;D xsi:type="xsd:double"&gt;12.42&lt;/D&gt;&lt;/FQL&gt;&lt;FQL&gt;&lt;Q&gt;Ticker0024^FE_ESTIMATE(EPS,MEAN,CAL4_ROLL,2023,45776,,,'')&lt;/Q&gt;&lt;R&gt;1&lt;/R&gt;&lt;C&gt;1&lt;/C&gt;&lt;D xsi:type="xsd:double"&gt;11.06&lt;/D&gt;&lt;/FQL&gt;&lt;FQL&gt;&lt;Q&gt;Ticker0024^FE_ESTIMATE(EPS,MEAN,NTM4_ROLL,,45776,,,'')&lt;/Q&gt;&lt;R&gt;1&lt;/R&gt;&lt;C&gt;1&lt;/C&gt;&lt;D xsi:type="xsd:double"&gt;13.783403&lt;/D&gt;&lt;/FQL&gt;&lt;FQL&gt;&lt;Q&gt;Ticker0024^FE_ESTIMATE(EPS,MEAN,LTM4_ROLL,,45776,,,'')&lt;/Q&gt;&lt;R&gt;1&lt;/R&gt;&lt;C&gt;1&lt;/C&gt;&lt;D xsi:type="xsd:double"&gt;12.42&lt;/D&gt;&lt;/FQL&gt;&lt;FQL&gt;&lt;Q&gt;IBM^FE_ESTIMATE(EPS,MEAN,CAL4_ROLL,2026,45776,,,'')&lt;/Q&gt;&lt;R&gt;1&lt;/R&gt;&lt;C&gt;1&lt;/C&gt;&lt;D xsi:type="xsd:double"&gt;11.616707&lt;/D&gt;&lt;/FQL&gt;&lt;FQL&gt;&lt;Q&gt;IBM^FE_ESTIMATE(EPS,MEAN,CAL4_ROLL,2025,45776,,,'')&lt;/Q&gt;&lt;R&gt;1&lt;/R&gt;&lt;C&gt;1&lt;/C&gt;&lt;D xsi:type="xsd:double"&gt;10.933711&lt;/D&gt;&lt;/FQL&gt;&lt;FQL&gt;&lt;Q&gt;IBM^FE_ESTIMATE(EPS,MEAN,CAL4_ROLL,2024,45776,,,'')&lt;/Q&gt;&lt;R&gt;1&lt;/R&gt;&lt;C&gt;1&lt;/C&gt;&lt;D xsi:type="xsd:double"&gt;10.33&lt;/D&gt;&lt;/FQL&gt;&lt;FQL&gt;&lt;Q&gt;IBM^FE_ESTIMATE(EPS,MEAN,CAL4_ROLL,2023,45776,,,'')&lt;/Q&gt;&lt;R&gt;1&lt;/R&gt;&lt;C&gt;1&lt;/C&gt;&lt;D xsi:type="xsd:double"&gt;9.61&lt;/D&gt;&lt;/FQL&gt;&lt;FQL&gt;&lt;Q&gt;IBM^FE_ESTIMATE(EPS,MEAN,NTM4_ROLL,,45776,,,'')&lt;/Q&gt;&lt;R&gt;1&lt;/R&gt;&lt;C&gt;1&lt;/C&gt;&lt;D xsi:type="xsd:double"&gt;11.13266&lt;/D&gt;&lt;/FQL&gt;&lt;FQL&gt;&lt;Q&gt;IBM^FE_ESTIMATE(EPS,MEAN,LTM4_ROLL,,45776,,,'')&lt;/Q&gt;&lt;R&gt;1&lt;/R&gt;&lt;C&gt;1&lt;/C&gt;&lt;D xsi:type="xsd:double"&gt;10.25&lt;/D&gt;&lt;/FQL&gt;&lt;FQL&gt;&lt;Q&gt;CRM^FE_ESTIMATE(EPS,MEAN,CAL4_ROLL,2026,45776,,,'')&lt;/Q&gt;&lt;R&gt;1&lt;/R&gt;&lt;C&gt;1&lt;/C&gt;&lt;D xsi:type="xsd:double"&gt;12.420324&lt;/D&gt;&lt;/FQL&gt;&lt;FQL&gt;&lt;Q&gt;CRM^FE_ESTIMATE(EPS,MEAN,CAL4_ROLL,2025,45776,,,'')&lt;/Q&gt;&lt;R&gt;1&lt;/R&gt;&lt;C&gt;1&lt;/C&gt;&lt;D xsi:type="xsd:double"&gt;11.145007&lt;/D&gt;&lt;/FQL&gt;&lt;FQL&gt;&lt;Q&gt;CRM^FE_ESTIMATE(EPS,MEAN,CAL4_ROLL,2024,45776,,,'')&lt;/Q&gt;&lt;R&gt;1&lt;/R&gt;&lt;C&gt;1&lt;/C&gt;&lt;D xsi:type="xsd:double"&gt;10.19&lt;/D&gt;&lt;/FQL&gt;&lt;FQL&gt;&lt;Q&gt;CRM^FE_ESTIMATE(EPS,MEAN,CAL4_ROLL,2023,45776,,,'')&lt;/Q&gt;&lt;R&gt;1&lt;/R&gt;&lt;C&gt;1&lt;/C&gt;&lt;D xsi:type="xsd:double"&gt;8.21&lt;/D&gt;&lt;/FQL&gt;&lt;FQL&gt;&lt;Q&gt;CRM^FE_ESTIMATE(EPS,MEAN,NTM4_ROLL,,45776,,,'')&lt;/Q&gt;&lt;R&gt;1&lt;/R&gt;&lt;C&gt;1&lt;/C&gt;&lt;D xsi:type="xsd:double"&gt;11.145007&lt;/D&gt;&lt;/FQL&gt;&lt;FQL&gt;&lt;Q&gt;CRM^FE_ESTIMATE(EPS,MEAN,LTM4_ROLL,,45776,,,'')&lt;/Q&gt;&lt;R&gt;1&lt;/R&gt;&lt;C&gt;1&lt;/C&gt;&lt;D xsi:type="xsd:double"&gt;10.19&lt;/D&gt;&lt;/FQL&gt;&lt;FQL&gt;&lt;Q&gt;Company1341^FE_ESTIMATE(EPS,MEAN,CAL4_ROLL,2026,45776,,,'')&lt;/Q&gt;&lt;R&gt;1&lt;/R&gt;&lt;C&gt;1&lt;/C&gt;&lt;D xsi:type="xsd:double"&gt;22.931976&lt;/D&gt;&lt;/FQL&gt;&lt;FQL&gt;&lt;Q&gt;Company1341^FE_ESTIMATE(EPS,MEAN,CAL4_ROLL,2025,45776,,,'')&lt;/Q&gt;&lt;R&gt;1&lt;/R&gt;&lt;C&gt;1&lt;/C&gt;&lt;D xsi:type="xsd:double"&gt;20.365997&lt;/D&gt;&lt;/FQL&gt;&lt;FQL&gt;&lt;Q&gt;Company1341^FE_ESTIMATE(EPS,MEAN,CAL4_ROLL,2024,45776,,,'')&lt;/Q&gt;&lt;R&gt;1&lt;/R&gt;&lt;C&gt;1&lt;/C&gt;&lt;D xsi:type="xsd:double"&gt;17.69&lt;/D&gt;&lt;/FQL&gt;&lt;FQL&gt;&lt;Q&gt;Company1341^FE_ESTIMATE(EPS,MEAN,CAL4_ROLL,2023,45776,,,'')&lt;/Q&gt;&lt;R&gt;1&lt;/R&gt;&lt;C&gt;1&lt;/C&gt;&lt;D xsi:type="xsd:double"&gt;15.67&lt;/D&gt;&lt;/FQL&gt;&lt;FQL&gt;&lt;Q&gt;Company1341^FE_ESTIMATE(EPS,MEAN,NTM4_ROLL,,45776,,,'')&lt;/Q&gt;&lt;R&gt;1&lt;/R&gt;&lt;C&gt;1&lt;/C&gt;&lt;D xsi:type="xsd:double"&gt;20.365997&lt;/D&gt;&lt;/FQL&gt;&lt;FQL&gt;&lt;Q&gt;Company1341^FE_ESTIMATE(EPS,MEAN,LTM4_ROLL,,45776,,,'')&lt;/Q&gt;&lt;R&gt;1&lt;/R&gt;&lt;C&gt;1&lt;/C&gt;&lt;D xsi:type="xsd:double"&gt;17.69&lt;/D&gt;&lt;/FQL&gt;&lt;FQL&gt;&lt;Q&gt;Company0023^FE_ESTIMATE(EPS,MEAN,CAL4_ROLL,2026,45776,,,'')&lt;/Q&gt;&lt;R&gt;1&lt;/R&gt;&lt;C&gt;1&lt;/C&gt;&lt;D xsi:type="xsd:double"&gt;22.902164&lt;/D&gt;&lt;/FQL&gt;&lt;FQL&gt;&lt;Q&gt;Company0023^FE_ESTIMATE(EPS,MEAN,CAL4_ROLL,2025,45776,,,'')&lt;/Q&gt;&lt;R&gt;1&lt;/R&gt;&lt;C&gt;1&lt;/C&gt;&lt;D xsi:type="xsd:double"&gt;20.419233&lt;/D&gt;&lt;/FQL&gt;&lt;FQL&gt;&lt;Q&gt;Company0023^FE_ESTIMATE(EPS,MEAN,CAL4_ROLL,2024,45776,,,'')&lt;/Q&gt;&lt;R&gt;1&lt;/R&gt;&lt;C&gt;1&lt;/C&gt;&lt;D xsi:type="xsd:double"&gt;18.42&lt;/D&gt;&lt;/FQL&gt;&lt;FQL&gt;&lt;Q&gt;Company0023^FE_ESTIMATE(EPS,MEAN,CAL4_ROLL,2023,45776,,,'')&lt;/Q&gt;&lt;R&gt;1&lt;/R&gt;&lt;C&gt;1&lt;/C&gt;&lt;D xsi:type="xsd:double"&gt;16.07&lt;/D&gt;&lt;/FQL&gt;&lt;FQL&gt;&lt;Q&gt;Company0023^FE_ESTIMATE(EPS,MEAN,NTM4_ROLL,,45776,,,'')&lt;/Q&gt;&lt;R&gt;1&lt;/R&gt;&lt;C&gt;1&lt;/C&gt;&lt;D xsi:type="xsd:double"&gt;20.905598&lt;/D&gt;&lt;/FQL&gt;&lt;FQL&gt;&lt;Q&gt;Company0023^FE_ESTIMATE(EPS,MEAN,LTM4_ROLL,,45776,,,'')&lt;/Q&gt;&lt;R&gt;1&lt;/R&gt;&lt;C&gt;1&lt;/C&gt;&lt;D xsi:type="xsd:double"&gt;19.02&lt;/D&gt;&lt;/FQL&gt;&lt;FQL&gt;&lt;Q&gt;Company1985^FE_ESTIMATE(EPS,MEAN,CAL4_ROLL,2026,45776,,,'')&lt;/Q&gt;&lt;R&gt;1&lt;/R&gt;&lt;C&gt;1&lt;/C&gt;&lt;D xsi:type="xsd:double"&gt;7.309573&lt;/D&gt;&lt;/FQL&gt;&lt;FQL&gt;&lt;Q&gt;Company1985^FE_ESTIMATE(EPS,MEAN,CAL4_ROLL,2025,45776,,,'')&lt;/Q&gt;&lt;R&gt;1&lt;/R&gt;&lt;C&gt;1&lt;/C&gt;&lt;D xsi:type="xsd:double"&gt;6.1939034&lt;/D&gt;&lt;/FQL&gt;&lt;FQL&gt;&lt;Q&gt;Company1985^FE_ESTIMATE(EPS,MEAN,CAL4_ROLL,2024,45776,,,'')&lt;/Q&gt;&lt;R&gt;1&lt;/R&gt;&lt;C&gt;1&lt;/C&gt;&lt;D xsi:type="xsd:double"&gt;5.9&lt;/D&gt;&lt;/FQL&gt;&lt;FQL&gt;&lt;Q&gt;Company1985^FE_ESTIMATE(EPS,MEAN,CAL4_ROLL,2023,45776,,,'')&lt;/Q&gt;&lt;R&gt;1&lt;/R&gt;&lt;C&gt;1&lt;/C&gt;&lt;D xsi:type="xsd:double"&gt;5.42&lt;/D&gt;&lt;/FQL&gt;&lt;FQL&gt;&lt;Q&gt;Company1985^FE_ESTIMATE(EPS,MEAN,NTM4_ROLL,,45776,,,'')&lt;/Q&gt;&lt;R&gt;1&lt;/R&gt;&lt;C&gt;1&lt;/C&gt;&lt;D xsi:type="xsd:double"&gt;6.393524&lt;/D&gt;&lt;/FQL&gt;&lt;FQL&gt;&lt;Q&gt;Company1985^FE_ESTIMATE(EPS,MEAN,LTM4_ROLL,,45776,,,'')&lt;/Q&gt;&lt;R&gt;1&lt;/R&gt;&lt;C&gt;1&lt;/C&gt;&lt;D xsi:type="xsd:double"&gt;5.96&lt;/D&gt;&lt;/FQL&gt;&lt;FQL&gt;&lt;Q&gt;Company2320^FE_ESTIMATE(EPS,MEAN,CAL4_ROLL,2026,45776,,,'')&lt;/Q&gt;&lt;R&gt;1&lt;/R&gt;&lt;C&gt;1&lt;/C&gt;&lt;D xsi:type="xsd:double"&gt;8.191906&lt;/D&gt;&lt;/FQL&gt;&lt;FQL&gt;&lt;Q&gt;Company2320^FE_ESTIMATE(EPS,MEAN,CAL4_ROLL,2025,45776,,,'')&lt;/Q&gt;&lt;R&gt;1&lt;/R&gt;&lt;C&gt;1&lt;/C&gt;&lt;D xsi:type="xsd:double"&gt;7.113219&lt;/D&gt;&lt;/FQL&gt;&lt;FQL&gt;&lt;Q&gt;Company2320^FE_ESTIMATE(EPS,MEAN,CAL4_ROLL,2024,45776,,,'')&lt;/Q&gt;&lt;R&gt;1&lt;/R&gt;&lt;C&gt;1&lt;/C&gt;&lt;D xsi:type="xsd:double"&gt;4.848603&lt;/D&gt;&lt;/FQL&gt;&lt;FQL&gt;&lt;Q&gt;Company2320^FE_ESTIMATE(EPS,MEAN,CAL4_ROLL,2023,45776,,,'')&lt;/Q&gt;&lt;R&gt;1&lt;/R&gt;&lt;C&gt;1&lt;/C&gt;&lt;D xsi:type="xsd:double"&gt;5.655961&lt;/D&gt;&lt;/FQL&gt;&lt;FQL&gt;&lt;Q&gt;Company2320^FE_ESTIMATE(EPS,MEAN,NTM4_ROLL,,45776,,,'')&lt;/Q&gt;&lt;R&gt;1&lt;/R&gt;&lt;C&gt;1&lt;/C&gt;&lt;D xsi:type="xsd:double"&gt;7.3562937&lt;/D&gt;&lt;/FQL&gt;&lt;FQL&gt;&lt;Q&gt;Company2320^FE_ESTIMATE(EPS,MEAN,LTM4_ROLL,,45776,,,'')&lt;/Q&gt;&lt;R&gt;1&lt;/R&gt;&lt;C&gt;1&lt;/C&gt;&lt;D xsi:type="xsd:double"&gt;5.616465&lt;/D&gt;&lt;/FQL&gt;&lt;FQL&gt;&lt;Q&gt;Company0103^FE_ESTIMATE(EPS,MEAN,CAL4_ROLL,2026,45776,,,'')&lt;/Q&gt;&lt;R&gt;1&lt;/R&gt;&lt;C&gt;1&lt;/C&gt;&lt;D xsi:type="xsd:double"&gt;7.2286015&lt;/D&gt;&lt;/FQL&gt;&lt;FQL&gt;&lt;Q&gt;Company0103^FE_ESTIMATE(EPS,MEAN,CAL4_ROLL,2025,45776,,,'')&lt;/Q&gt;&lt;R&gt;1&lt;/R&gt;&lt;C&gt;1&lt;/C&gt;&lt;D xsi:type="xsd:double"&gt;6.1249523&lt;/D&gt;&lt;/FQL&gt;&lt;FQL&gt;&lt;Q&gt;Company0103^FE_ESTIMATE(EPS,MEAN,CAL4_ROLL,2024,45776,,,'')&lt;/Q&gt;&lt;R&gt;1&lt;/R&gt;&lt;C&gt;1&lt;/C&gt;&lt;D xsi:type="xsd:double"&gt;5.53&lt;/D&gt;&lt;/FQL&gt;&lt;FQL&gt;&lt;Q&gt;Company0103^FE_ESTIMATE(EPS,MEAN,CAL4_ROLL,2023,45776,,,'')&lt;/Q&gt;&lt;R&gt;1&lt;/R&gt;&lt;C&gt;1&lt;/C&gt;&lt;D xsi:type="xsd:double"&gt;2.9&lt;/D&gt;&lt;/FQL&gt;&lt;FQL&gt;&lt;Q&gt;Company0103^FE_ESTIMATE(EPS,MEAN,NTM4_ROLL,,45776,,,'')&lt;/Q&gt;&lt;R&gt;1&lt;/R&gt;&lt;C&gt;1&lt;/C&gt;&lt;D xsi:type="xsd:double"&gt;6.1249523&lt;/D&gt;&lt;/FQL&gt;&lt;FQL&gt;&lt;Q&gt;Company0103^FE_ESTIMATE(EPS,MEAN,LTM4_ROLL,,45776,,,'')&lt;/Q&gt;&lt;R&gt;1&lt;/R&gt;&lt;C&gt;1&lt;/C&gt;&lt;D xsi:type="xsd:double"&gt;5.53&lt;/D&gt;&lt;/FQL&gt;&lt;FQL&gt;&lt;Q&gt;Ticker0013^FE_ESTIMATE(EPS,MEAN,CAL4_ROLL,2026,45776,,,'')&lt;/Q&gt;&lt;R&gt;1&lt;/R&gt;&lt;C&gt;1&lt;/C&gt;&lt;D xsi:type="xsd:double"&gt;10.129717&lt;/D&gt;&lt;/FQL&gt;&lt;FQL&gt;&lt;Q&gt;Ticker0013^FE_ESTIMATE(EPS,MEAN,CAL4_ROLL,2025,45776,,,'')&lt;/Q&gt;&lt;R&gt;1&lt;/R&gt;&lt;C&gt;1&lt;/C&gt;&lt;D xsi:type="xsd:double"&gt;9.6387415&lt;/D&gt;&lt;/FQL&gt;&lt;FQL&gt;&lt;Q&gt;Ticker0013^FE_ESTIMATE(EPS,MEAN,CAL4_ROLL,2024,45776,,,'')&lt;/Q&gt;&lt;R&gt;1&lt;/R&gt;&lt;C&gt;1&lt;/C&gt;&lt;D xsi:type="xsd:double"&gt;8.05&lt;/D&gt;&lt;/FQL&gt;&lt;FQL&gt;&lt;Q&gt;Ticker0013^FE_ESTIMATE(EPS,MEAN,CAL4_ROLL,2023,45776,,,'')&lt;/Q&gt;&lt;R&gt;1&lt;/R&gt;&lt;C&gt;1&lt;/C&gt;&lt;D xsi:type="xsd:double"&gt;5.8&lt;/D&gt;&lt;/FQL&gt;&lt;FQL&gt;&lt;Q&gt;Ticker0013^FE_ESTIMATE(EPS,MEAN,NTM4_ROLL,,45776,,,'')&lt;/Q&gt;&lt;R&gt;1&lt;/R&gt;&lt;C&gt;1&lt;/C&gt;&lt;D xsi:type="xsd:double"&gt;9.170547&lt;/D&gt;&lt;/FQL&gt;&lt;FQL&gt;&lt;Q&gt;Ticker0013^FE_ESTIMATE(EPS,MEAN,LTM4_ROLL,,45776,,,'')&lt;/Q&gt;&lt;R&gt;1&lt;/R&gt;&lt;C&gt;1&lt;/C&gt;&lt;D xsi:type="xsd:double"&gt;8.97&lt;/D&gt;&lt;/FQL&gt;&lt;FQL&gt;&lt;Q&gt;Ticker0024^FE_ESTIMATE(FCF,MEAN,CAL4_ROLL,2026,45776,,,'')&lt;/Q&gt;&lt;R&gt;1&lt;/R&gt;&lt;C&gt;1&lt;/C&gt;&lt;D xsi:type="xsd:double"&gt;82287.47&lt;/D&gt;&lt;/FQL&gt;&lt;FQL&gt;&lt;Q&gt;Ticker0024^FE_ESTIMATE(FCF,MEAN,CAL4_ROLL,2025,45776,,,'')&lt;/Q&gt;&lt;R&gt;1&lt;/R&gt;&lt;C&gt;1&lt;/C&gt;&lt;D xsi:type="xsd:double"&gt;78136.49&lt;/D&gt;&lt;/FQL&gt;&lt;FQL&gt;&lt;Q&gt;Ticker0024^FE_ESTIMATE(FCF,MEAN,CAL4_ROLL,2024,45776,,,'')&lt;/Q&gt;&lt;R&gt;1&lt;/R&gt;&lt;C&gt;1&lt;/C&gt;&lt;D xsi:type="xsd:double"&gt;68357.12&lt;/D&gt;&lt;/FQL&gt;&lt;FQL&gt;&lt;Q&gt;Ticker0024^FE_ESTIMATE(FCF,MEAN,CAL4_ROLL,2023,45776,,,'')&lt;/Q&gt;&lt;R&gt;1&lt;/R&gt;&lt;C&gt;1&lt;/C&gt;&lt;D xsi:type="xsd:double"&gt;64571.887&lt;/D&gt;&lt;/FQL&gt;&lt;FQL&gt;&lt;Q&gt;Ticker0024^FE_ESTIMATE(FCF,MEAN,NTM4_ROLL,,45776,,,'')&lt;/Q&gt;&lt;R&gt;1&lt;/R&gt;&lt;C&gt;1&lt;/C&gt;&lt;D xsi:type="xsd:double"&gt;78136.49&lt;/D&gt;&lt;/FQL&gt;&lt;FQL&gt;&lt;Q&gt;Ticker0024^FE_ESTIMATE(FCF,MEAN,LTM4_ROLL,,45776,,,'')&lt;/Q&gt;&lt;R&gt;1&lt;/R&gt;&lt;C&gt;1&lt;/C&gt;&lt;D xsi:type="xsd:double"&gt;68357.12&lt;/D&gt;&lt;/FQL&gt;&lt;FQL&gt;&lt;Q&gt;IBM^FE_ESTIMATE(FCF,MEAN,CAL4_ROLL,2026,45776,,,'')&lt;/Q&gt;&lt;R&gt;1&lt;/R&gt;&lt;C&gt;1&lt;/C&gt;&lt;D xsi:type="xsd:double"&gt;14345&lt;/D&gt;&lt;/FQL&gt;&lt;FQL&gt;&lt;Q&gt;IBM^FE_ESTIMATE(FCF,MEAN,CAL4_ROLL,2025,45776,,,'')&lt;/Q&gt;&lt;R&gt;1&lt;/R&gt;&lt;C&gt;1&lt;/C&gt;&lt;D xsi:type="xsd:double"&gt;13748.533&lt;/D&gt;&lt;/FQL&gt;&lt;FQL&gt;&lt;Q&gt;IBM^FE_ESTIMATE(FCF,MEAN,CAL4_ROLL,2024,45776,,,'')&lt;/Q&gt;&lt;R&gt;1&lt;/R&gt;&lt;C&gt;1&lt;/C&gt;&lt;D xsi:type="xsd:double"&gt;12749&lt;/D&gt;&lt;/FQL&gt;&lt;FQL&gt;&lt;Q&gt;IBM^FE_ESTIMATE(FCF,MEAN,CAL4_ROLL,2023,45776,,,'')&lt;/Q&gt;&lt;R&gt;1&lt;/R&gt;&lt;C&gt;1&lt;/C&gt;&lt;D xsi:type="xsd:double"&gt;11210&lt;/D&gt;&lt;/FQL&gt;&lt;FQL&gt;&lt;Q&gt;IBM^FE_ESTIMATE(FCF,MEAN,NTM4_ROLL,,45776,,,'')&lt;/Q&gt;&lt;R&gt;1&lt;/R&gt;&lt;C&gt;1&lt;/C&gt;&lt;D xsi:type="xsd:double"&gt;14036.533&lt;/D&gt;&lt;/FQL&gt;&lt;FQL&gt;&lt;Q&gt;IBM^FE_ESTIMATE(FCF,MEAN,LTM4_ROLL,,45776,,,'')&lt;/Q&gt;&lt;R&gt;1&lt;/R&gt;&lt;C&gt;1&lt;/C&gt;&lt;D xsi:type="xsd:double"&gt;12801&lt;/D&gt;&lt;/FQL&gt;&lt;FQL&gt;&lt;Q&gt;CRM^FE_ESTIMATE(FCF,MEAN,CAL4_ROLL,2026,45776,,,'')&lt;/Q&gt;&lt;R&gt;1&lt;/R&gt;&lt;C&gt;1&lt;/C&gt;&lt;D xsi:type="xsd:double"&gt;15027.606&lt;/D&gt;&lt;/FQL&gt;&lt;FQL&gt;&lt;Q&gt;CRM^FE_ESTIMATE(FCF,MEAN,CAL4_ROLL,2025,45776,,,'')&lt;/Q&gt;&lt;R&gt;1&lt;/R&gt;&lt;C&gt;1&lt;/C&gt;&lt;D xsi:type="xsd:double"&gt;13698.495&lt;/D&gt;&lt;/FQL&gt;&lt;FQL&gt;&lt;Q&gt;CRM^FE_ESTIMATE(FCF,MEAN,CAL4_ROLL,2024,45776,,,'')&lt;/Q&gt;&lt;R&gt;1&lt;/R&gt;&lt;C&gt;1&lt;/C&gt;&lt;D xsi:type="xsd:double"&gt;12434&lt;/D&gt;&lt;/FQL&gt;&lt;FQL&gt;&lt;Q&gt;CRM^FE_ESTIMATE(FCF,MEAN,CAL4_ROLL,2023,45776,,,'')&lt;/Q&gt;&lt;R&gt;1&lt;/R&gt;&lt;C&gt;1&lt;/C&gt;&lt;D xsi:type="xsd:double"&gt;9498&lt;/D&gt;&lt;/FQL&gt;&lt;FQL&gt;&lt;Q&gt;CRM^FE_ESTIMATE(FCF,MEAN,NTM4_ROLL,,45776,,,'')&lt;/Q&gt;&lt;R&gt;1&lt;/R&gt;&lt;C&gt;1&lt;/C&gt;&lt;D xsi:type="xsd:double"&gt;13698.495&lt;/D&gt;&lt;/FQL&gt;&lt;FQL&gt;&lt;Q&gt;CRM^FE_ESTIMATE(FCF,MEAN,LTM4_ROLL,,45776,,,'')&lt;/Q&gt;&lt;R&gt;1&lt;/R&gt;&lt;C&gt;1&lt;/C&gt;&lt;D xsi:type="xsd:double"&gt;12434&lt;/D&gt;&lt;/FQL&gt;&lt;FQL&gt;&lt;Q&gt;Company1341^FE_ESTIMATE(FCF,MEAN,CAL4_ROLL,2026,45776,,,'')&lt;/Q&gt;&lt;R&gt;1&lt;/R&gt;&lt;C&gt;1&lt;/C&gt;&lt;D xsi:type="xsd:double"&gt;6909.067&lt;/D&gt;&lt;/FQL&gt;&lt;FQL&gt;&lt;Q&gt;Company1341^FE_ESTIMATE(FCF,MEAN,CAL4_ROLL,2025,45776,,,'')&lt;/Q&gt;&lt;R&gt;1&lt;/R&gt;&lt;C&gt;1&lt;/C&gt;&lt;D xsi:type="xsd:double"&gt;6312.4644&lt;/D&gt;&lt;/FQL&gt;&lt;FQL&gt;&lt;Q&gt;Company1341^FE_ESTIMATE(FCF,MEAN,CAL4_ROLL,2024,45776,,,'')&lt;/Q&gt;&lt;R&gt;1&lt;/R&gt;&lt;C&gt;1&lt;/C&gt;&lt;D xsi:type="xsd:double"&gt;5539.0967&lt;/D&gt;&lt;/FQL&gt;&lt;FQL&gt;&lt;Q&gt;Company1341^FE_ESTIMATE(FCF,MEAN,CAL4_ROLL,2023,45776,,,'')&lt;/Q&gt;&lt;R&gt;1&lt;/R&gt;&lt;C&gt;1&lt;/C&gt;&lt;D xsi:type="xsd:double"&gt;4760.005&lt;/D&gt;&lt;/FQL&gt;&lt;FQL&gt;&lt;Q&gt;Company1341^FE_ESTIMATE(FCF,MEAN,NTM4_ROLL,,45776,,,'')&lt;/Q&gt;&lt;R&gt;1&lt;/R&gt;&lt;C&gt;1&lt;/C&gt;&lt;D xsi:type="xsd:double"&gt;6312.4644&lt;/D&gt;&lt;/FQL&gt;&lt;FQL&gt;&lt;Q&gt;Company1341^FE_ESTIMATE(FCF,MEAN,LTM4_ROLL,,45776,,,'')&lt;/Q&gt;&lt;R&gt;1&lt;/R&gt;&lt;C&gt;1&lt;/C&gt;&lt;D xsi:type="xsd:double"&gt;5539.0967&lt;/D&gt;&lt;/FQL&gt;&lt;FQL&gt;&lt;Q&gt;Company0023^FE_ESTIMATE(FCF,MEAN,CAL4_ROLL,2026,45776,,,'')&lt;/Q&gt;&lt;R&gt;1&lt;/R&gt;&lt;C&gt;1&lt;/C&gt;&lt;D xsi:type="xsd:double"&gt;10360.803&lt;/D&gt;&lt;/FQL&gt;&lt;FQL&gt;&lt;Q&gt;Company0023^FE_ESTIMATE(FCF,MEAN,CAL4_ROLL,2025,45776,,,'')&lt;/Q&gt;&lt;R&gt;1&lt;/R&gt;&lt;C&gt;1&lt;/C&gt;&lt;D xsi:type="xsd:double"&gt;9418.106&lt;/D&gt;&lt;/FQL&gt;&lt;FQL&gt;&lt;Q&gt;Company0023^FE_ESTIMATE(FCF,MEAN,CAL4_ROLL,2024,45776,,,'')&lt;/Q&gt;&lt;R&gt;1&lt;/R&gt;&lt;C&gt;1&lt;/C&gt;&lt;D xsi:type="xsd:double"&gt;7881.607&lt;/D&gt;&lt;/FQL&gt;&lt;FQL&gt;&lt;Q&gt;Company0023^FE_ESTIMATE(FCF,MEAN,CAL4_ROLL,2023,45776,,,'')&lt;/Q&gt;&lt;R&gt;1&lt;/R&gt;&lt;C&gt;1&lt;/C&gt;&lt;D xsi:type="xsd:double"&gt;7132.4546&lt;/D&gt;&lt;/FQL&gt;&lt;FQL&gt;&lt;Q&gt;Company0023^FE_ESTIMATE(FCF,MEAN,NTM4_ROLL,,45776,,,'')&lt;/Q&gt;&lt;R&gt;1&lt;/R&gt;&lt;C&gt;1&lt;/C&gt;&lt;D xsi:type="xsd:double"&gt;9198.944&lt;/D&gt;&lt;/FQL&gt;&lt;FQL&gt;&lt;Q&gt;Company0023^FE_ESTIMATE(FCF,MEAN,LTM4_ROLL,,45776,,,'')&lt;/Q&gt;&lt;R&gt;1&lt;/R&gt;&lt;C&gt;1&lt;/C&gt;&lt;D xsi:type="xsd:double"&gt;9193.25&lt;/D&gt;&lt;/FQL&gt;&lt;FQL&gt;&lt;Q&gt;Company1985^FE_ESTIMATE(FCF,MEAN,CAL4_ROLL,2026,45776,,,'')&lt;/Q&gt;&lt;R&gt;1&lt;/R&gt;&lt;C&gt;1&lt;/C&gt;&lt;D xsi:type="xsd:double"&gt;10748.23&lt;/D&gt;&lt;/FQL&gt;&lt;FQL&gt;&lt;Q&gt;Company1985^FE_ESTIMATE(FCF,MEAN,CAL4_ROLL,2025,45776,,,'')&lt;/Q&gt;&lt;R&gt;1&lt;/R&gt;&lt;C&gt;1&lt;/C&gt;&lt;D xsi:type="xsd:double"&gt;6312.889&lt;/D&gt;&lt;/FQL&gt;&lt;FQL&gt;&lt;Q&gt;Company1985^FE_ESTIMATE(FCF,MEAN,CAL4_ROLL,2024,45776,,,'')&lt;/Q&gt;&lt;R&gt;1&lt;/R&gt;&lt;C&gt;1&lt;/C&gt;&lt;D xsi:type="xsd:double"&gt;9550.706&lt;/D&gt;&lt;/FQL&gt;&lt;FQL&gt;&lt;Q&gt;Company1985^FE_ESTIMATE(FCF,MEAN,CAL4_ROLL,2023,45776,,,'')&lt;/Q&gt;&lt;R&gt;1&lt;/R&gt;&lt;C&gt;1&lt;/C&gt;&lt;D xsi:type="xsd:double"&gt;10035.492&lt;/D&gt;&lt;/FQL&gt;&lt;FQL&gt;&lt;Q&gt;Company1985^FE_ESTIMATE(FCF,MEAN,NTM4_ROLL,,45776,,,'')&lt;/Q&gt;&lt;R&gt;1&lt;/R&gt;&lt;C&gt;1&lt;/C&gt;&lt;D xsi:type="xsd:double"&gt;7418.4395&lt;/D&gt;&lt;/FQL&gt;&lt;FQL&gt;&lt;Q&gt;Company1985^FE_ESTIMATE(FCF,MEAN,LTM4_ROLL,,45776,,,'')&lt;/Q&gt;&lt;R&gt;1&lt;/R&gt;&lt;C&gt;1&lt;/C&gt;&lt;D xsi:type="xsd:double"&gt;5869.091&lt;/D&gt;&lt;/FQL&gt;&lt;FQL&gt;&lt;Q&gt;Company2320^FE_ESTIMATE(FCF,MEAN,CAL4_ROLL,2026,45776,,,'')&lt;/Q&gt;&lt;R&gt;1&lt;/R&gt;&lt;C&gt;1&lt;/C&gt;&lt;D xsi:type="xsd:double"&gt;11114.298&lt;/D&gt;&lt;/FQL&gt;&lt;FQL&gt;&lt;Q&gt;Company2320^FE_ESTIMATE(FCF,MEAN,CAL4_ROLL,2025,45776,,,'')&lt;/Q&gt;&lt;R&gt;1&lt;/R&gt;&lt;C&gt;1&lt;/C&gt;&lt;D xsi:type="xsd:double"&gt;9263.946&lt;/D&gt;&lt;/FQL&gt;&lt;FQL&gt;&lt;Q&gt;Company2320^FE_ESTIMATE(FCF,MEAN,CAL4_ROLL,2024,45776,,,'')&lt;/Q&gt;&lt;R&gt;1&lt;/R&gt;&lt;C&gt;1&lt;/C&gt;&lt;D xsi:type="xsd:double"&gt;4458.2144&lt;/D&gt;&lt;/FQL&gt;&lt;FQL&gt;&lt;Q&gt;Company2320^FE_ESTIMATE(FCF,MEAN,CAL4_ROLL,2023,45776,,,'')&lt;/Q&gt;&lt;R&gt;1&lt;/R&gt;&lt;C&gt;1&lt;/C&gt;&lt;D xsi:type="xsd:double"&gt;5599.309&lt;/D&gt;&lt;/FQL&gt;&lt;FQL&gt;&lt;Q&gt;Company2320^FE_ESTIMATE(FCF,MEAN,NTM4_ROLL,,45776,,,'')&lt;/Q&gt;&lt;R&gt;1&lt;/R&gt;&lt;C&gt;1&lt;/C&gt;&lt;D xsi:type="xsd:double"&gt;9047.161&lt;/D&gt;&lt;/FQL&gt;&lt;FQL&gt;&lt;Q&gt;Company2320^FE_ESTIMATE(FCF,MEAN,LTM4_ROLL,,45776,,,'')&lt;/Q&gt;&lt;R&gt;1&lt;/R&gt;&lt;C&gt;1&lt;/C&gt;&lt;D xsi:type="xsd:double"&gt;5858.978&lt;/D&gt;&lt;/FQL&gt;&lt;FQL&gt;&lt;Q&gt;Company0103^FE_ESTIMATE(FCF,MEAN,CAL4_ROLL,2026,45776,,,'')&lt;/Q&gt;&lt;R&gt;1&lt;/R&gt;&lt;C&gt;1&lt;/C&gt;&lt;D xsi:type="xsd:double"&gt;53330.04&lt;/D&gt;&lt;/FQL&gt;&lt;FQL&gt;&lt;Q&gt;Company0103^FE_ESTIMATE(FCF,MEAN,CAL4_ROLL,2025,45776,,,'')&lt;/Q&gt;&lt;R&gt;1&lt;/R&gt;&lt;C&gt;1&lt;/C&gt;&lt;D xsi:type="xsd:double"&gt;41897.203&lt;/D&gt;&lt;/FQL&gt;&lt;FQL&gt;&lt;Q&gt;Company0103^FE_ESTIMATE(FCF,MEAN,CAL4_ROLL,2024,45776,,,'')&lt;/Q&gt;&lt;R&gt;1&lt;/R&gt;&lt;C&gt;1&lt;/C&gt;&lt;D xsi:type="xsd:double"&gt;37569.48&lt;/D&gt;&lt;/FQL&gt;&lt;FQL&gt;&lt;Q&gt;Company0103^FE_ESTIMATE(FCF,MEAN,CAL4_ROLL,2023,45776,,,'')&lt;/Q&gt;&lt;R&gt;1&lt;/R&gt;&lt;C&gt;1&lt;/C&gt;&lt;D xsi:type="xsd:double"&gt;38765.21&lt;/D&gt;&lt;/FQL&gt;&lt;FQL&gt;&lt;Q&gt;Company0103^FE_ESTIMATE(FCF,MEAN,NTM4_ROLL,,45776,,,'')&lt;/Q&gt;&lt;R&gt;1&lt;/R&gt;&lt;C&gt;1&lt;/C&gt;&lt;D xsi:type="xsd:double"&gt;41897.203&lt;/D&gt;&lt;/FQL&gt;&lt;FQL&gt;&lt;Q</t>
        </r>
      </text>
    </comment>
    <comment ref="A47" authorId="0" shapeId="0" xr:uid="{D1C52D64-9F73-4D0F-A7AB-724DD0F4945A}">
      <text>
        <r>
          <rPr>
            <b/>
            <sz val="9"/>
            <color indexed="81"/>
            <rFont val="Tahoma"/>
            <family val="2"/>
          </rPr>
          <t>&gt;Company0103^FE_ESTIMATE(FCF,MEAN,LTM4_ROLL,,45776,,,'')&lt;/Q&gt;&lt;R&gt;1&lt;/R&gt;&lt;C&gt;1&lt;/C&gt;&lt;D xsi:type="xsd:double"&gt;37569.48&lt;/D&gt;&lt;/FQL&gt;&lt;FQL&gt;&lt;Q&gt;Ticker0013^FE_ESTIMATE(FCF,MEAN,CAL4_ROLL,2026,45776,,,'')&lt;/Q&gt;&lt;R&gt;1&lt;/R&gt;&lt;C&gt;1&lt;/C&gt;&lt;D xsi:type="xsd:double"&gt;89405.5&lt;/D&gt;&lt;/FQL&gt;&lt;FQL&gt;&lt;Q&gt;Ticker0013^FE_ESTIMATE(FCF,MEAN,CAL4_ROLL,2025,45776,,,'')&lt;/Q&gt;&lt;R&gt;1&lt;/R&gt;&lt;C&gt;1&lt;/C&gt;&lt;D xsi:type="xsd:double"&gt;74054.29&lt;/D&gt;&lt;/FQL&gt;&lt;FQL&gt;&lt;Q&gt;Ticker0013^FE_ESTIMATE(FCF,MEAN,CAL4_ROLL,2024,45776,,,'')&lt;/Q&gt;&lt;R&gt;1&lt;/R&gt;&lt;C&gt;1&lt;/C&gt;&lt;D xsi:type="xsd:double"&gt;73062&lt;/D&gt;&lt;/FQL&gt;&lt;FQL&gt;&lt;Q&gt;Ticker0013^FE_ESTIMATE(FCF,MEAN,CAL4_ROLL,2023,45776,,,'')&lt;/Q&gt;&lt;R&gt;1&lt;/R&gt;&lt;C&gt;1&lt;/C&gt;&lt;D xsi:type="xsd:double"&gt;69970.21&lt;/D&gt;&lt;/FQL&gt;&lt;FQL&gt;&lt;Q&gt;Ticker0013^FE_ESTIMATE(FCF,MEAN,NTM4_ROLL,,45776,,,'')&lt;/Q&gt;&lt;R&gt;1&lt;/R&gt;&lt;C&gt;1&lt;/C&gt;&lt;D xsi:type="xsd:double"&gt;76335&lt;/D&gt;&lt;/FQL&gt;&lt;FQL&gt;&lt;Q&gt;Ticker0013^FE_ESTIMATE(FCF,MEAN,LTM4_ROLL,,45776,,,'')&lt;/Q&gt;&lt;R&gt;1&lt;/R&gt;&lt;C&gt;1&lt;/C&gt;&lt;D xsi:type="xsd:double"&gt;74881.46&lt;/D&gt;&lt;/FQL&gt;&lt;FQL&gt;&lt;Q&gt;Ticker0024^FE_ESTIMATE(EBIT_ADJ,MEAN,CAL4_ROLL,2026,45776,,,'')&lt;/Q&gt;&lt;R&gt;1&lt;/R&gt;&lt;C&gt;1&lt;/C&gt;&lt;D xsi:type="xsd:double"&gt;147888.97&lt;/D&gt;&lt;/FQL&gt;&lt;FQL&gt;&lt;Q&gt;Ticker0024^FE_ESTIMATE(EBIT_ADJ,MEAN,CAL4_ROLL,2025,45776,,,'')&lt;/Q&gt;&lt;R&gt;1&lt;/R&gt;&lt;C&gt;1&lt;/C&gt;&lt;D xsi:type="xsd:double"&gt;130846.62&lt;/D&gt;&lt;/FQL&gt;&lt;FQL&gt;&lt;Q&gt;Ticker0024^FE_ESTIMATE(EBIT_ADJ,MEAN,CAL4_ROLL,2024,45776,,,'')&lt;/Q&gt;&lt;R&gt;1&lt;/R&gt;&lt;C&gt;1&lt;/C&gt;&lt;D xsi:type="xsd:double"&gt;117711.1&lt;/D&gt;&lt;/FQL&gt;&lt;FQL&gt;&lt;Q&gt;Ticker0024^FE_ESTIMATE(EBIT_ADJ,MEAN,CAL4_ROLL,2023,45776,,,'')&lt;/Q&gt;&lt;R&gt;1&lt;/R&gt;&lt;C&gt;1&lt;/C&gt;&lt;D xsi:type="xsd:double"&gt;100641.9&lt;/D&gt;&lt;/FQL&gt;&lt;FQL&gt;&lt;Q&gt;Ticker0024^FE_ESTIMATE(EBIT_ADJ,MEAN,NTM4_ROLL,,45776,,,'')&lt;/Q&gt;&lt;R&gt;1&lt;/R&gt;&lt;C&gt;1&lt;/C&gt;&lt;D xsi:type="xsd:double"&gt;130846.62&lt;/D&gt;&lt;/FQL&gt;&lt;FQL&gt;&lt;Q&gt;Ticker0024^FE_ESTIMATE(EBIT_ADJ,MEAN,LTM4_ROLL,,45776,,,'')&lt;/Q&gt;&lt;R&gt;1&lt;/R&gt;&lt;C&gt;1&lt;/C&gt;&lt;D xsi:type="xsd:double"&gt;117711.1&lt;/D&gt;&lt;/FQL&gt;&lt;FQL&gt;&lt;Q&gt;IBM^FE_ESTIMATE(EBIT_ADJ,MEAN,CAL4_ROLL,2026,45776,,,'')&lt;/Q&gt;&lt;R&gt;1&lt;/R&gt;&lt;C&gt;1&lt;/C&gt;&lt;D xsi:type="xsd:double"&gt;13539.798&lt;/D&gt;&lt;/FQL&gt;&lt;FQL&gt;&lt;Q&gt;IBM^FE_ESTIMATE(EBIT_ADJ,MEAN,CAL4_ROLL,2025,45776,,,'')&lt;/Q&gt;&lt;R&gt;1&lt;/R&gt;&lt;C&gt;1&lt;/C&gt;&lt;D xsi:type="xsd:double"&gt;12491.017&lt;/D&gt;&lt;/FQL&gt;&lt;FQL&gt;&lt;Q&gt;IBM^FE_ESTIMATE(EBIT_ADJ,MEAN,CAL4_ROLL,2024,45776,,,'')&lt;/Q&gt;&lt;R&gt;1&lt;/R&gt;&lt;C&gt;1&lt;/C&gt;&lt;D xsi:type="xsd:double"&gt;11312.172&lt;/D&gt;&lt;/FQL&gt;&lt;FQL&gt;&lt;Q&gt;IBM^FE_ESTIMATE(EBIT_ADJ,MEAN,CAL4_ROLL,2023,45776,,,'')&lt;/Q&gt;&lt;R&gt;1&lt;/R&gt;&lt;C&gt;1&lt;/C&gt;&lt;D xsi:type="xsd:double"&gt;10434.986&lt;/D&gt;&lt;/FQL&gt;&lt;FQL&gt;&lt;Q&gt;IBM^FE_ESTIMATE(EBIT_ADJ,MEAN,NTM4_ROLL,,45776,,,'')&lt;/Q&gt;&lt;R&gt;1&lt;/R&gt;&lt;C&gt;1&lt;/C&gt;&lt;D xsi:type="xsd:double"&gt;12944.078&lt;/D&gt;&lt;/FQL&gt;&lt;FQL&gt;&lt;Q&gt;IBM^FE_ESTIMATE(EBIT_ADJ,MEAN,LTM4_ROLL,,45776,,,'')&lt;/Q&gt;&lt;R&gt;1&lt;/R&gt;&lt;C&gt;1&lt;/C&gt;&lt;D xsi:type="xsd:double"&gt;11561.45&lt;/D&gt;&lt;/FQL&gt;&lt;FQL&gt;&lt;Q&gt;CRM^FE_ESTIMATE(EBIT_ADJ,MEAN,CAL4_ROLL,2026,45776,,,'')&lt;/Q&gt;&lt;R&gt;1&lt;/R&gt;&lt;C&gt;1&lt;/C&gt;&lt;D xsi:type="xsd:double"&gt;15507.806&lt;/D&gt;&lt;/FQL&gt;&lt;FQL&gt;&lt;Q&gt;CRM^FE_ESTIMATE(EBIT_ADJ,MEAN,CAL4_ROLL,2025,45776,,,'')&lt;/Q&gt;&lt;R&gt;1&lt;/R&gt;&lt;C&gt;1&lt;/C&gt;&lt;D xsi:type="xsd:double"&gt;13861.458&lt;/D&gt;&lt;/FQL&gt;&lt;FQL&gt;&lt;Q&gt;CRM^FE_ESTIMATE(EBIT_ADJ,MEAN,CAL4_ROLL,2024,45776,,,'')&lt;/Q&gt;&lt;R&gt;1&lt;/R&gt;&lt;C&gt;1&lt;/C&gt;&lt;D xsi:type="xsd:double"&gt;12498&lt;/D&gt;&lt;/FQL&gt;&lt;FQL&gt;&lt;Q&gt;CRM^FE_ESTIMATE(EBIT_ADJ,MEAN,CAL4_ROLL,2023,45776,,,'')&lt;/Q&gt;&lt;R&gt;1&lt;/R&gt;&lt;C&gt;1&lt;/C&gt;&lt;D xsi:type="xsd:double"&gt;10632&lt;/D&gt;&lt;/FQL&gt;&lt;FQL&gt;&lt;Q&gt;CRM^FE_ESTIMATE(EBIT_ADJ,MEAN,NTM4_ROLL,,45776,,,'')&lt;/Q&gt;&lt;R&gt;1&lt;/R&gt;&lt;C&gt;1&lt;/C&gt;&lt;D xsi:type="xsd:double"&gt;13861.458&lt;/D&gt;&lt;/FQL&gt;&lt;FQL&gt;&lt;Q&gt;CRM^FE_ESTIMATE(EBIT_ADJ,MEAN,LTM4_ROLL,,45776,,,'')&lt;/Q&gt;&lt;R&gt;1&lt;/R&gt;&lt;C&gt;1&lt;/C&gt;&lt;D xsi:type="xsd:double"&gt;12498&lt;/D&gt;&lt;/FQL&gt;&lt;FQL&gt;&lt;Q&gt;Company1341^FE_ESTIMATE(EBIT_ADJ,MEAN,CAL4_ROLL,2026,45776,,,'')&lt;/Q&gt;&lt;R&gt;1&lt;/R&gt;&lt;C&gt;1&lt;/C&gt;&lt;D xsi:type="xsd:double"&gt;8727.898&lt;/D&gt;&lt;/FQL&gt;&lt;FQL&gt;&lt;Q&gt;Company1341^FE_ESTIMATE(EBIT_ADJ,MEAN,CAL4_ROLL,2025,45776,,,'')&lt;/Q&gt;&lt;R&gt;1&lt;/R&gt;&lt;C&gt;1&lt;/C&gt;&lt;D xsi:type="xsd:double"&gt;7695.742&lt;/D&gt;&lt;/FQL&gt;&lt;FQL&gt;&lt;Q&gt;Company1341^FE_ESTIMATE(EBIT_ADJ,MEAN,CAL4_ROLL,2024,45776,,,'')&lt;/Q&gt;&lt;R&gt;1&lt;/R&gt;&lt;C&gt;1&lt;/C&gt;&lt;D xsi:type="xsd:double"&gt;6655&lt;/D&gt;&lt;/FQL&gt;&lt;FQL&gt;&lt;Q&gt;Company1341^FE_ESTIMATE(EBIT_ADJ,MEAN,CAL4_ROLL,2023,45776,,,'')&lt;/Q&gt;&lt;R&gt;1&lt;/R&gt;&lt;C&gt;1&lt;/C&gt;&lt;D xsi:type="xsd:double"&gt;5945&lt;/D&gt;&lt;/FQL&gt;&lt;FQL&gt;&lt;Q&gt;Company1341^FE_ESTIMATE(EBIT_ADJ,MEAN,NTM4_ROLL,,45776,,,'')&lt;/Q&gt;&lt;R&gt;1&lt;/R&gt;&lt;C&gt;1&lt;/C&gt;&lt;D xsi:type="xsd:double"&gt;7695.742&lt;/D&gt;&lt;/FQL&gt;&lt;FQL&gt;&lt;Q&gt;Company1341^FE_ESTIMATE(EBIT_ADJ,MEAN,LTM4_ROLL,,45776,,,'')&lt;/Q&gt;&lt;R&gt;1&lt;/R&gt;&lt;C&gt;1&lt;/C&gt;&lt;D xsi:type="xsd:double"&gt;6655&lt;/D&gt;&lt;/FQL&gt;&lt;FQL&gt;&lt;Q&gt;Company0023^FE_ESTIMATE(EBIT_ADJ,MEAN,CAL4_ROLL,2026,45776,,,'')&lt;/Q&gt;&lt;R&gt;1&lt;/R&gt;&lt;C&gt;1&lt;/C&gt;&lt;D xsi:type="xsd:double"&gt;11879.626&lt;/D&gt;&lt;/FQL&gt;&lt;FQL&gt;&lt;Q&gt;Company0023^FE_ESTIMATE(EBIT_ADJ,MEAN,CAL4_ROLL,2025,45776,,,'')&lt;/Q&gt;&lt;R&gt;1&lt;/R&gt;&lt;C&gt;1&lt;/C&gt;&lt;D xsi:type="xsd:double"&gt;10802.084&lt;/D&gt;&lt;/FQL&gt;&lt;FQL&gt;&lt;Q&gt;Company0023^FE_ESTIMATE(EBIT_ADJ,MEAN,CAL4_ROLL,2024,45776,,,'')&lt;/Q&gt;&lt;R&gt;1&lt;/R&gt;&lt;C&gt;1&lt;/C&gt;&lt;D xsi:type="xsd:double"&gt;10017.416&lt;/D&gt;&lt;/FQL&gt;&lt;FQL&gt;&lt;Q&gt;Company0023^FE_ESTIMATE(EBIT_ADJ,MEAN,CAL4_ROLL,2023,45776,,,'')&lt;/Q&gt;&lt;R&gt;1&lt;/R&gt;&lt;C&gt;1&lt;/C&gt;&lt;D xsi:type="xsd:double"&gt;8917.313&lt;/D&gt;&lt;/FQL&gt;&lt;FQL&gt;&lt;Q&gt;Company0023^FE_ESTIMATE(EBIT_ADJ,MEAN,NTM4_ROLL,,45776,,,'')&lt;/Q&gt;&lt;R&gt;1&lt;/R&gt;&lt;C&gt;1&lt;/C&gt;&lt;D xsi:type="xsd:double"&gt;11001.661&lt;/D&gt;&lt;/FQL&gt;&lt;FQL&gt;&lt;Q&gt;Company0023^FE_ESTIMATE(EBIT_ADJ,MEAN,LTM4_ROLL,,45776,,,'')&lt;/Q&gt;&lt;R&gt;1&lt;/R&gt;&lt;C&gt;1&lt;/C&gt;&lt;D xsi:type="xsd:double"&gt;10265.695&lt;/D&gt;&lt;/FQL&gt;&lt;FQL&gt;&lt;Q&gt;Company1985^FE_ESTIMATE(EBIT_ADJ,MEAN,CAL4_ROLL,2026,45776,,,'')&lt;/Q&gt;&lt;R&gt;1&lt;/R&gt;&lt;C&gt;1&lt;/C&gt;&lt;D xsi:type="xsd:double"&gt;29664.574&lt;/D&gt;&lt;/FQL&gt;&lt;FQL&gt;&lt;Q&gt;Company1985^FE_ESTIMATE(EBIT_ADJ,MEAN,CAL4_ROLL,2025,45776,,,'')&lt;/Q&gt;&lt;R&gt;1&lt;/R&gt;&lt;C&gt;1&lt;/C&gt;&lt;D xsi:type="xsd:double"&gt;25825.52&lt;/D&gt;&lt;/FQL&gt;&lt;FQL&gt;&lt;Q&gt;Company1985^FE_ESTIMATE(EBIT_ADJ,MEAN,CAL4_ROLL,2024,45776,,,'')&lt;/Q&gt;&lt;R&gt;1&lt;/R&gt;&lt;C&gt;1&lt;/C&gt;&lt;D xsi:type="xsd:double"&gt;24264.834&lt;/D&gt;&lt;/FQL&gt;&lt;FQL&gt;&lt;Q&gt;Company1985^FE_ESTIMATE(EBIT_ADJ,MEAN,CAL4_ROLL,2023,45776,,,'')&lt;/Q&gt;&lt;R&gt;1&lt;/R&gt;&lt;C&gt;1&lt;/C&gt;&lt;D xsi:type="xsd:double"&gt;21933.8&lt;/D&gt;&lt;/FQL&gt;&lt;FQL&gt;&lt;Q&gt;Company1985^FE_ESTIMATE(EBIT_ADJ,MEAN,NTM4_ROLL,,45776,,,'')&lt;/Q&gt;&lt;R&gt;1&lt;/R&gt;&lt;C&gt;1&lt;/C&gt;&lt;D xsi:type="xsd:double"&gt;26456.012&lt;/D&gt;&lt;/FQL&gt;&lt;FQL&gt;&lt;Q&gt;Company1985^FE_ESTIMATE(EBIT_ADJ,MEAN,LTM4_ROLL,,45776,,,'')&lt;/Q&gt;&lt;R&gt;1&lt;/R&gt;&lt;C&gt;1&lt;/C&gt;&lt;D xsi:type="xsd:double"&gt;24667.857&lt;/D&gt;&lt;/FQL&gt;&lt;FQL&gt;&lt;Q&gt;Company2320^FE_ESTIMATE(EBIT_ADJ,MEAN,CAL4_ROLL,2026,45776,,,'')&lt;/Q&gt;&lt;R&gt;1&lt;/R&gt;&lt;C&gt;1&lt;/C&gt;&lt;D xsi:type="xsd:double"&gt;13632.215&lt;/D&gt;&lt;/FQL&gt;&lt;FQL&gt;&lt;Q&gt;Company2320^FE_ESTIMATE(EBIT_ADJ,MEAN,CAL4_ROLL,2025,45776,,,'')&lt;/Q&gt;&lt;R&gt;1&lt;/R&gt;&lt;C&gt;1&lt;/C&gt;&lt;D xsi:type="xsd:double"&gt;11879.674&lt;/D&gt;&lt;/FQL&gt;&lt;FQL&gt;&lt;Q&gt;Company2320^FE_ESTIMATE(EBIT_ADJ,MEAN,CAL4_ROLL,2024,45776,,,'')&lt;/Q&gt;&lt;R&gt;1&lt;/R&gt;&lt;C&gt;1&lt;/C&gt;&lt;D xsi:type="xsd:double"&gt;8709.202&lt;/D&gt;&lt;/FQL&gt;&lt;FQL&gt;&lt;Q&gt;Company2320^FE_ESTIMATE(EBIT_ADJ,MEAN,CAL4_ROLL,2023,45776,,,'')&lt;/Q&gt;&lt;R&gt;1&lt;/R&gt;&lt;C&gt;1&lt;/C&gt;&lt;D xsi:type="xsd:double"&gt;9495.468&lt;/D&gt;&lt;/FQL&gt;&lt;FQL&gt;&lt;Q&gt;Company2320^FE_ESTIMATE(EBIT_ADJ,MEAN,NTM4_ROLL,,45776,,,'')&lt;/Q&gt;&lt;R&gt;1&lt;/R&gt;&lt;C&gt;1&lt;/C&gt;&lt;D xsi:type="xsd:double"&gt;12198.938&lt;/D&gt;&lt;/FQL&gt;&lt;FQL&gt;&lt;Q&gt;Company2320^FE_ESTIMATE(EBIT_ADJ,MEAN,LTM4_ROLL,,45776,,,'')&lt;/Q&gt;&lt;R&gt;1&lt;/R&gt;&lt;C&gt;1&lt;/C&gt;&lt;D xsi:type="xsd:double"&gt;9855.624&lt;/D&gt;&lt;/FQL&gt;&lt;FQL&gt;&lt;Q&gt;Company0103^FE_ESTIMATE(EBIT_ADJ,MEAN,CAL4_ROLL,2026,45776,,,'')&lt;/Q&gt;&lt;R&gt;1&lt;/R&gt;&lt;C&gt;1&lt;/C&gt;&lt;D xsi:type="xsd:double"&gt;121125.41&lt;/D&gt;&lt;/FQL&gt;&lt;FQL&gt;&lt;Q&gt;Company0103^FE_ESTIMATE(EBIT_ADJ,MEAN,CAL4_ROLL,2025,45776,,,'')&lt;/Q&gt;&lt;R&gt;1&lt;/R&gt;&lt;C&gt;1&lt;/C&gt;&lt;D xsi:type="xsd:double"&gt;100916.96&lt;/D&gt;&lt;/FQL&gt;&lt;FQL&gt;&lt;Q&gt;Company0103^FE_ESTIMATE(EBIT_ADJ,MEAN,CAL4_ROLL,2024,45776,,,'')&lt;/Q&gt;&lt;R&gt;1&lt;/R&gt;&lt;C&gt;1&lt;/C&gt;&lt;D xsi:type="xsd:double"&gt;91124.61&lt;/D&gt;&lt;/FQL&gt;&lt;FQL&gt;&lt;Q&gt;Company0103^FE_ESTIMATE(EBIT_ADJ,MEAN,CAL4_ROLL,2023,45776,,,'')&lt;/Q&gt;&lt;R&gt;1&lt;/R&gt;&lt;C&gt;1&lt;/C&gt;&lt;D xsi:type="xsd:double"&gt;61021.926&lt;/D&gt;&lt;/FQL&gt;&lt;FQL&gt;&lt;Q&gt;Company0103^FE_ESTIMATE(EBIT_ADJ,MEAN,NTM4_ROLL,,45776,,,'')&lt;/Q&gt;&lt;R&gt;1&lt;/R&gt;&lt;C&gt;1&lt;/C&gt;&lt;D xsi:type="xsd:double"&gt;100916.96&lt;/D&gt;&lt;/FQL&gt;&lt;FQL&gt;&lt;Q&gt;Company0103^FE_ESTIMATE(EBIT_ADJ,MEAN,LTM4_ROLL,,45776,,,'')&lt;/Q&gt;&lt;R&gt;1&lt;/R&gt;&lt;C&gt;1&lt;/C&gt;&lt;D xsi:type="xsd:double"&gt;91124.61&lt;/D&gt;&lt;/FQL&gt;&lt;FQL&gt;&lt;Q&gt;Ticker0013^FE_ESTIMATE(EBIT_ADJ,MEAN,CAL4_ROLL,2026,45776,,,'')&lt;/Q&gt;&lt;R&gt;1&lt;/R&gt;&lt;C&gt;1&lt;/C&gt;&lt;D xsi:type="xsd:double"&gt;149202.64&lt;/D&gt;&lt;/FQL&gt;&lt;FQL&gt;&lt;Q&gt;Ticker0013^FE_ESTIMATE(EBIT_ADJ,MEAN,CAL4_ROLL,2025,45776,,,'')&lt;/Q&gt;&lt;R&gt;1&lt;/R&gt;&lt;C&gt;1&lt;/C&gt;&lt;D xsi:type="xsd:double"&gt;141639.44&lt;/D&gt;&lt;/FQL&gt;&lt;FQL&gt;&lt;Q&gt;Ticker0013^FE_ESTIMATE(EBIT_ADJ,MEAN,CAL4_ROLL,2024,45776,,,'')&lt;/Q&gt;&lt;R&gt;1&lt;/R&gt;&lt;C&gt;1&lt;/C&gt;&lt;D xsi:type="xsd:double"&gt;126366.8&lt;/D&gt;&lt;/FQL&gt;&lt;FQL&gt;&lt;Q&gt;Ticker0013^FE_ESTIMATE(EBIT_ADJ,MEAN,CAL4_ROLL,2023,45776,,,'')&lt;/Q&gt;&lt;R&gt;1&lt;/R&gt;&lt;C&gt;1&lt;/C&gt;&lt;D xsi:type="xsd:double"&gt;103431.97&lt;/D&gt;&lt;/FQL&gt;&lt;FQL&gt;&lt;Q&gt;Ticker0013^FE_ESTIMATE(EBIT_ADJ,MEAN,NTM4_ROLL,,45776,,,'')&lt;/Q&gt;&lt;R&gt;1&lt;/R&gt;&lt;C&gt;1&lt;/C&gt;&lt;D xsi:type="xsd:double"&gt;141933.38&lt;/D&gt;&lt;/FQL&gt;&lt;FQL&gt;&lt;Q&gt;Ticker0013^FE_ESTIMATE(EBIT_ADJ,MEAN,LTM4_ROLL,,45776,,,'')&lt;/Q&gt;&lt;R&gt;1&lt;/R&gt;&lt;C&gt;1&lt;/C&gt;&lt;D xsi:type="xsd:double"&gt;130675.664&lt;/D&gt;&lt;/FQL&gt;&lt;FQL&gt;&lt;Q&gt;Ticker0024^FE_ESTIMATE(GROSS_INC,MEAN,CAL4_ROLL,2026,45776,,,'')&lt;/Q&gt;&lt;R&gt;1&lt;/R&gt;&lt;C&gt;1&lt;/C&gt;&lt;D xsi:type="xsd:double"&gt;224294.61&lt;/D&gt;&lt;/FQL&gt;&lt;FQL&gt;&lt;Q&gt;Ticker0024^FE_ESTIMATE(GROSS_INC,MEAN,CAL4_ROLL,2025,45776,,,'')&lt;/Q&gt;&lt;R&gt;1&lt;/R&gt;&lt;C&gt;1&lt;/C&gt;&lt;D xsi:type="xsd:double"&gt;198845.95&lt;/D&gt;&lt;/FQL&gt;&lt;FQL&gt;&lt;Q&gt;Ticker0024^FE_ESTIMATE(GROSS_INC,MEAN,CAL4_ROLL,2024,45776,,,'')&lt;/Q&gt;&lt;R&gt;1&lt;/R&gt;&lt;C&gt;1&lt;/C&gt;&lt;D xsi:type="xsd:double"&gt;181703.53&lt;/D&gt;&lt;/FQL&gt;&lt;FQL&gt;&lt;Q&gt;Ticker0024^FE_ESTIMATE(GROSS_INC,MEAN,CAL4_ROLL,2023,45776,,,'')&lt;/Q&gt;&lt;R&gt;1&lt;/R&gt;&lt;C&gt;1&lt;/C&gt;&lt;D xsi:type="xsd:double"&gt;158729.31&lt;/D&gt;&lt;/FQL&gt;&lt;FQL&gt;&lt;Q&gt;Ticker0024^FE_ESTIMATE(GROSS_INC,MEAN,NTM4_ROLL,,45776,,,'')&lt;/Q&gt;&lt;R&gt;1&lt;/R&gt;&lt;C&gt;1&lt;/C&gt;&lt;D xsi:type="xsd:double"&gt;198845.95&lt;/D&gt;&lt;/FQL&gt;&lt;FQL&gt;&lt;Q&gt;Ticker0024^FE_ESTIMATE(GROSS_INC,MEAN,LTM4_ROLL,,45776,,,'')&lt;/Q&gt;&lt;R&gt;1&lt;/R&gt;&lt;C&gt;1&lt;/C&gt;&lt;D xsi:type="xsd:double"&gt;181703.53&lt;/D&gt;&lt;/FQL&gt;&lt;FQL&gt;&lt;Q&gt;IBM^FE_ESTIMATE(GROSS_INC,MEAN,CAL4_ROLL,2026,45776,,,'')&lt;/Q&gt;&lt;R&gt;1&lt;/R&gt;&lt;C&gt;1&lt;/C&gt;&lt;D xsi:type="xsd:double"&gt;40454.023&lt;/D&gt;&lt;/FQL&gt;&lt;FQL&gt;&lt;Q&gt;IBM^FE_ESTIMATE(GROSS_INC,MEAN,CAL4_ROLL,2025,45776,,,'')&lt;/Q&gt;&lt;R&gt;1&lt;/R&gt;&lt;C&gt;1&lt;/C&gt;&lt;D xsi:type="xsd:double"&gt;38727.23&lt;/D&gt;&lt;/FQL&gt;&lt;FQL&gt;&lt;Q&gt;IBM^FE_ESTIMATE(GROSS_INC,MEAN,CAL4_ROLL,2024,45776,,,'')&lt;/Q&gt;&lt;R&gt;1&lt;/R&gt;&lt;C&gt;1&lt;/C&gt;&lt;D xsi:type="xsd:double"&gt;36243.547&lt;/D&gt;&lt;/FQL&gt;&lt;FQL&gt;&lt;Q&gt;IBM^FE_ESTIMATE(GROSS_INC,MEAN,CAL4_ROLL,2023,45776,,,'')&lt;/Q&gt;&lt;R&gt;1&lt;/R&gt;&lt;C&gt;1&lt;/C&gt;&lt;D xsi:type="xsd:double"&gt;34833.254&lt;/D&gt;&lt;/FQL&gt;&lt;FQL&gt;&lt;Q&gt;IBM^FE_ESTIMATE(GROSS_INC,MEAN,NTM4_ROLL,,45776,,,'')&lt;/Q&gt;&lt;R&gt;1&lt;/R&gt;&lt;C&gt;1&lt;/C&gt;&lt;D xsi:type="xsd:double"&gt;39260.78&lt;/D&gt;&lt;/FQL&gt;&lt;FQL&gt;&lt;Q&gt;IBM^FE_ESTIMATE(GROSS_INC,MEAN,LTM4_ROLL,,45776,,,'')&lt;/Q&gt;&lt;R&gt;1&lt;/R&gt;&lt;C&gt;1&lt;/C&gt;&lt;D xsi:type="xsd:double"&gt;36568.875&lt;/D&gt;&lt;/FQL&gt;&lt;FQL&gt;&lt;Q&gt;CRM^FE_ESTIMATE(GROSS_INC,MEAN,CAL4_ROLL,2026,45776,,,'')&lt;/Q&gt;&lt;R&gt;1&lt;/R&gt;&lt;C&gt;1&lt;/C&gt;&lt;D xsi:type="xsd:double"&gt;35619.215&lt;/D&gt;&lt;/FQL&gt;&lt;FQL&gt;&lt;Q&gt;CRM^FE_ESTIMATE(GROSS_INC,MEAN,CAL4_ROLL,2025,45776,,,'')&lt;/Q&gt;&lt;R&gt;1&lt;/R&gt;&lt;C&gt;1&lt;/C&gt;&lt;D xsi:type="xsd:double"&gt;32787.863&lt;/D&gt;&lt;/FQL&gt;&lt;FQL&gt;&lt;Q&gt;CRM^FE_ESTIMATE(GROSS_INC,MEAN,CAL4_ROLL,2024,45776,,,'')&lt;/Q&gt;&lt;R&gt;1&lt;/R&gt;&lt;C&gt;1&lt;/C&gt;&lt;D xsi:type="xsd:double"&gt;30389.063&lt;/D&gt;&lt;/FQL&gt;&lt;FQL&gt;&lt;Q&gt;CRM^FE_ESTIMATE(GROSS_INC,MEAN,CAL4_ROLL,2023,45776,,,'')&lt;/Q&gt;&lt;R&gt;1&lt;/R&gt;&lt;C&gt;1&lt;/C&gt;&lt;D xsi:type="xsd:double"&gt;27602.195&lt;/D&gt;&lt;/FQL&gt;&lt;FQL&gt;&lt;Q&gt;CRM^FE_ESTIMATE(GROSS_INC,MEAN,NTM4_ROLL,,45776,,,'')&lt;/Q&gt;&lt;R&gt;1&lt;/R&gt;&lt;C&gt;1&lt;/C&gt;&lt;D xsi:type="xsd:double"&gt;32787.863&lt;/D&gt;&lt;/FQL&gt;&lt;FQL&gt;&lt;Q&gt;CRM^FE_ESTIMATE(GROSS_INC,MEAN,LTM4_ROLL,,45776,,,'')&lt;/Q&gt;&lt;R&gt;1&lt;/R&gt;&lt;C&gt;1&lt;/C&gt;&lt;D xsi:type="xsd:double"&gt;30389.063&lt;/D&gt;&lt;/FQL&gt;&lt;FQL&gt;&lt;Q&gt;Company1341^FE_ESTIMATE(GROSS_INC,MEAN,CAL4_ROLL,2026,45776,,,'')&lt;/Q&gt;&lt;R&gt;1&lt;/R&gt;&lt;C&gt;1&lt;/C&gt;&lt;D xsi:type="xsd:double"&gt;17756.25&lt;/D&gt;&lt;/FQL&gt;&lt;FQL&gt;&lt;Q&gt;Company1341^FE_ESTIMATE(GROSS_INC,MEAN,CAL4_ROLL,2025,45776,,,'')&lt;/Q&gt;&lt;R&gt;1&lt;/R&gt;&lt;C&gt;1&lt;/C&gt;&lt;D xsi:type="xsd:double"&gt;15893.676&lt;/D&gt;&lt;/FQL&gt;&lt;FQL&gt;&lt;Q&gt;Company1341^FE_ESTIMATE(GROSS_INC,MEAN,CAL4_ROLL,2024,45776,,,'')&lt;/Q&gt;&lt;R&gt;1&lt;/R&gt;&lt;C&gt;1&lt;/C&gt;&lt;D xsi:type="xsd:double"&gt;14063.704&lt;/D&gt;&lt;/FQL&gt;&lt;FQL&gt;&lt;Q&gt;Company1341^FE_ESTIMATE(GROSS_INC,MEAN,CAL4_ROLL,2023,45776,,,'')&lt;/Q&gt;&lt;R&gt;1&lt;/R&gt;&lt;C&gt;1&lt;/C&gt;&lt;D xsi:type="xsd:double"&gt;12198.407&lt;/D&gt;&lt;/FQL&gt;&lt;FQL&gt;&lt;Q&gt;Company1341^FE_ESTIMATE(GROSS_INC,MEAN,NTM4_ROLL,,45776,,,'')&lt;/Q&gt;&lt;R&gt;1&lt;/R&gt;&lt;C&gt;1&lt;/C&gt;&lt;D xsi:type="xsd:double"&gt;15893.676&lt;/D&gt;&lt;/FQL&gt;&lt;FQL&gt;&lt;Q&gt;Company1341^FE_ESTIMATE(GROSS_INC,MEAN,LTM4_ROLL,,45776,,,'')&lt;/Q&gt;&lt;R&gt;1&lt;/R&gt;&lt;C&gt;1&lt;/C&gt;&lt;D xsi:type="xsd:double"&gt;14063.704&lt;/D&gt;&lt;/FQL&gt;&lt;FQL&gt;&lt;Q&gt;Company0023^FE_ESTIMATE(GROSS_INC,MEAN,CAL4_ROLL,2026,45776,,,'')&lt;/Q&gt;&lt;R&gt;1&lt;/R&gt;&lt;C&gt;1&lt;/C&gt;&lt;D xsi:type="xsd:double"&gt;23096.424&lt;/D&gt;&lt;/FQL&gt;&lt;FQL&gt;&lt;Q&gt;Company0023^FE_ESTIMATE(GROSS_INC,MEAN,CAL4_ROLL,2025,45776,,,'')&lt;/Q&gt;&lt;R&gt;1&lt;/R&gt;&lt;C&gt;1&lt;/C&gt;&lt;D xsi:type="xsd:double"&gt;21113.3&lt;/D&gt;&lt;/FQL&gt;&lt;FQL&gt;&lt;Q&gt;Company0023^FE_ESTIMATE(GROSS_INC,MEAN,CAL4_ROLL,2024,45776,,,'')&lt;/Q&gt;&lt;R&gt;1&lt;/R&gt;&lt;C&gt;1&lt;/C&gt;&lt;D xsi:type="xsd:double"&gt;19295.053&lt;/D&gt;&lt;/FQL&gt;&lt;FQL&gt;&lt;Q&gt;Company0023^FE_ESTIMATE(GROSS_INC,MEAN,CAL4_ROLL,2023,45776,,,'')&lt;/Q&gt;&lt;R&gt;1&lt;/R&gt;&lt;C&gt;1&lt;/C&gt;&lt;D xsi:type="xsd:double"&gt;17310.389&lt;/D&gt;&lt;/FQL&gt;&lt;FQL&gt;&lt;Q&gt;Company0023^FE_ESTIMATE(GROSS_INC,MEAN,NTM4_ROLL,,45776,,,'')&lt;/Q&gt;&lt;R&gt;1&lt;/R&gt;&lt;C&gt;1&lt;/C&gt;&lt;D xsi:type="xsd:double"&gt;21550.135&lt;/D&gt;&lt;/FQL&gt;&lt;FQL&gt;&lt;Q&gt;Company0023^FE_ESTIMATE(GROSS_INC,MEAN,LTM4_ROLL,,45776,,,'')&lt;/Q&gt;&lt;R&gt;1&lt;/R&gt;&lt;C&gt;1&lt;/C&gt;&lt;D xsi:type="xsd:double"&gt;19848.838&lt;/D&gt;&lt;/FQL&gt;&lt;FQL&gt;&lt;Q&gt;Company1985^FE_ESTIMATE(GROSS_INC,MEAN,CAL4_ROLL,2026,45776,,,'')&lt;/Q&gt;&lt;R&gt;1&lt;/R&gt;&lt;C&gt;1&lt;/C&gt;&lt;D xsi:type="xsd:double"&gt;49353.563&lt;/D&gt;&lt;/FQL&gt;&lt;FQL&gt;&lt;Q&gt;Company1985^FE_ESTIMATE(GROSS_INC,MEAN,CAL4_ROLL,2025,45776,,,'')&lt;/Q&gt;&lt;R&gt;1&lt;/R&gt;&lt;C&gt;1&lt;/C&gt;&lt;D xsi:type="xsd:double"&gt;43064.066&lt;/D&gt;&lt;/FQL&gt;&lt;FQL&gt;&lt;Q&gt;Company1985^FE_ESTIMATE(GROSS_INC,MEAN,CAL4_ROLL,2024,45776,,,'')&lt;/Q&gt;&lt;R&gt;1&lt;/R&gt;&lt;C&gt;1&lt;/C&gt;&lt;D xsi:type="xsd:double"&gt;39915.637&lt;/D&gt;&lt;/FQL&gt;&lt;FQL&gt;&lt;Q&gt;Company1985^FE_ESTIMATE(GROSS_INC,MEAN,CAL4_ROLL,2023,45776,,,'')&lt;/Q&gt;&lt;R&gt;1&lt;/R&gt;&lt;C&gt;1&lt;/C&gt;&lt;D xsi:type="xsd:double"&gt;37717.715&lt;/D&gt;&lt;/FQL&gt;&lt;FQL&gt;&lt;Q&gt;Company1985^FE_ESTIMATE(GROSS_INC,MEAN,NTM4_ROLL,,45776,,,'')&lt;/Q&gt;&lt;R&gt;1&lt;/R&gt;&lt;C&gt;1&lt;/C&gt;&lt;D xsi:type="xsd:double"&gt;44321.25&lt;/D&gt;&lt;/FQL&gt;&lt;FQL&gt;&lt;Q&gt;Company1985^FE_ESTIMATE(GROSS_INC,MEAN,LTM4_ROLL,,45776,,,'')&lt;/Q&gt;&lt;R&gt;1&lt;/R&gt;&lt;C&gt;1&lt;/C&gt;&lt;D xsi:type="xsd:double"&gt;40494.85&lt;/D&gt;&lt;/FQL&gt;&lt;FQL&gt;&lt;Q&gt;Company2320^FE_ESTIMATE(GROSS_INC,MEAN,CAL4_ROLL,2026,45776,,,'')&lt;/Q&gt;&lt;R&gt;1&lt;/R&gt;&lt;C&gt;1&lt;/C&gt;&lt;D xsi:type="xsd:double"&gt;34855.48&lt;/D&gt;&lt;/FQL&gt;&lt;FQL&gt;&lt;Q&gt;Company2320^FE_ESTIMATE(GROSS_INC,MEAN,CAL4_ROLL,2025,45776,,,'')&lt;/Q&gt;&lt;R&gt;1&lt;/R&gt;&lt;C&gt;1&lt;/C&gt;&lt;D xsi:type="xsd:double"&gt;31015.303&lt;/D&gt;&lt;/FQL&gt;&lt;FQL&gt;&lt;Q&gt;Company2320^FE_ESTIMATE(GROSS_INC,MEAN,CAL4_ROLL,2024,45776,,,'')&lt;/Q&gt;&lt;R&gt;1&lt;/R&gt;&lt;C&gt;1&lt;/C&gt;&lt;D xsi:type="xsd:double"&gt;26742.303&lt;/D&gt;&lt;/FQL&gt;&lt;FQL&gt;&lt;Q&gt;Company2320^FE_ESTIMATE(GROSS_INC,MEAN,CAL4_ROLL,2023,45776,,,'')&lt;/Q&gt;&lt;R&gt;1&lt;/R&gt;&lt;C&gt;1&lt;/C&gt;&lt;D xsi:type="xsd:double"&gt;24928.896&lt;/D&gt;&lt;/FQL&gt;&lt;FQL&gt;&lt;Q&gt;Company2320^FE_ESTIMATE(GROSS_INC,MEAN,NTM4_ROLL,,45776,,,'')&lt;/Q&gt;&lt;R&gt;1&lt;/R&gt;&lt;C&gt;1&lt;/C&gt;&lt;D xsi:type="xsd:double"&gt;31784.785&lt;/D&gt;&lt;/FQL&gt;&lt;FQL&gt;&lt;Q&gt;Company2320^FE_ESTIMATE(GROSS_INC,MEAN,LTM4_ROLL,,45776,,,'')&lt;/Q&gt;&lt;R&gt;1&lt;/R&gt;&lt;C&gt;1&lt;/C&gt;&lt;D xsi:type="xsd:double"&gt;28051.256&lt;/D&gt;&lt;/FQL&gt;&lt;FQL&gt;&lt;Q&gt;Company0103^FE_ESTIMATE(GROSS_INC,MEAN,CAL4_ROLL,2026,45776,,,'')&lt;/Q&gt;&lt;R&gt;1&lt;/R&gt;&lt;C&gt;1&lt;/C&gt;&lt;D xsi:type="xsd:double"&gt;379503.56&lt;/D&gt;&lt;/FQL&gt;&lt;FQL&gt;&lt;Q&gt;Company0103^FE_ESTIMATE(GROSS_INC,MEAN,CAL4_ROLL,2025,45776,,,'')&lt;/Q&gt;&lt;R&gt;1&lt;/R&gt;&lt;C&gt;1&lt;/C&gt;&lt;D xsi:type="xsd:double"&gt;343110.34&lt;/D&gt;&lt;/FQL&gt;&lt;FQL&gt;&lt;Q&gt;Company0103^FE_ESTIMATE(GROSS_INC,MEAN,CAL4_ROLL,2024,45776,,,'')&lt;/Q&gt;&lt;R&gt;1&lt;/R&gt;&lt;C&gt;1&lt;/C&gt;&lt;D xsi:type="xsd:double"&gt;311922.3&lt;/D&gt;&lt;/FQL&gt;&lt;FQL&gt;&lt;Q&gt;Company0103^FE_ESTIMATE(GROSS_INC,MEAN,CAL4_ROLL,2023,45776,,,'')&lt;/Q&gt;&lt;R&gt;1&lt;/R&gt;&lt;C&gt;1&lt;/C&gt;&lt;D xsi:type="xsd:double"&gt;270395.66&lt;/D&gt;&lt;/FQL&gt;&lt;FQL&gt;&lt;Q&gt;Company0103^FE_ESTIMATE(GROSS_INC,MEAN,NTM4_ROLL,,45776,,,'')&lt;/Q&gt;&lt;R&gt;1&lt;/R&gt;&lt;C&gt;1&lt;/C&gt;&lt;D xsi:type="xsd:double"&gt;343110.34&lt;/D&gt;&lt;/FQL&gt;&lt;FQL&gt;&lt;Q&gt;Company0103^FE_ESTIMATE(GROSS_INC,MEAN,LTM4_ROLL,,45776,,,'')&lt;/Q&gt;&lt;R&gt;1&lt;/R&gt;&lt;C&gt;1&lt;/C&gt;&lt;D xsi:type="xsd:double"&gt;311922.3&lt;/D&gt;&lt;/FQL&gt;&lt;FQL&gt;&lt;Q&gt;Ticker0013^FE_ESTIMATE(GROSS_INC,MEAN,CAL4_ROLL,2026,45776,,,'')&lt;/Q&gt;&lt;R&gt;1&lt;/R&gt;&lt;C&gt;1&lt;/C&gt;&lt;D xsi:type="xsd:double"&gt;249066.08&lt;/D&gt;&lt;/FQL&gt;&lt;FQL&gt;&lt;Q&gt;Ticker0013^FE_ESTIMATE(GROSS_INC,MEAN,CAL4_ROLL,2025,45776,,,'')&lt;/Q&gt;&lt;R&gt;1&lt;/R&gt;&lt;C&gt;1&lt;/C&gt;&lt;D xsi:type="xsd:double"&gt;227625.95&lt;/D&gt;&lt;/FQL&gt;&lt;FQL&gt;&lt;Q&gt;Ticker0013^FE_ESTIMATE(GROSS_INC,MEAN,CAL4_ROLL,2024,45776,,,'')&lt;/Q&gt;&lt;R&gt;1&lt;/R&gt;&lt;C&gt;1&lt;/C&gt;&lt;D xsi:type="xsd:double"&gt;203895.58&lt;/D&gt;&lt;/FQL&gt;&lt;FQL&gt;&lt;Q&gt;Ticker0013^FE_ESTIMATE(GROSS_INC,MEAN,CAL4_ROLL,2023,45776,,,'')&lt;/Q&gt;&lt;R&gt;1&lt;/R&gt;&lt;C&gt;1&lt;/C&gt;&lt;D xsi:type="xsd:double"&gt;174387&lt;/D&gt;&lt;/FQL&gt;&lt;FQL&gt;&lt;Q&gt;Ticker0013^FE_ESTIMATE(GROSS_INC,MEAN,NTM4_ROLL,,45776,,,'')&lt;/Q&gt;&lt;R&gt;1&lt;/R&gt;&lt;C&gt;1&lt;/C&gt;&lt;D xsi:type="xsd:double"&gt;232103.16&lt;/D&gt;&lt;/FQL&gt;&lt;FQL&gt;&lt;Q&gt;Ticker0013^FE_ESTIMATE(GROSS_INC,MEAN,LTM4_ROLL,,45776,,,'')&lt;/Q&gt;&lt;R&gt;1&lt;/R&gt;&lt;C&gt;1&lt;/C&gt;&lt;D xsi:type="xsd:double"&gt;210919.33&lt;/D&gt;&lt;/FQL&gt;&lt;FQL&gt;&lt;Q&gt;Ticker0024^FE_ESTIMATE(SALES,MEAN,CAL4_ROLL,2026,45776,,,'')&lt;/Q&gt;&lt;R&gt;1&lt;/R&gt;&lt;C&gt;1&lt;/C&gt;&lt;D xsi:type="xsd:double"&gt;330992.56&lt;/D&gt;&lt;/FQL&gt;&lt;FQL&gt;&lt;Q&gt;Ticker0024^FE_ESTIMATE(SALES,MEAN,CAL4_ROLL,2025,45776,,,'')&lt;/Q&gt;&lt;R&gt;1&lt;/R&gt;&lt;C&gt;1&lt;/C&gt;&lt;D xsi:type="xsd:double"&gt;291949.97&lt;/D&gt;&lt;/FQL&gt;&lt;FQL&gt;&lt;Q&gt;Ticker0024^FE_ESTIMATE(SALES,MEAN,CAL4_ROLL,2024,45776,,,'')&lt;/Q&gt;&lt;R&gt;1&lt;/R&gt;&lt;C&gt;1&lt;/C&gt;&lt;D xsi:type="xsd:double"&gt;261802&lt;/D&gt;&lt;/FQL&gt;&lt;FQL&gt;&lt;Q&gt;Ticker0024^FE_ESTIMATE(SALES,MEAN,CAL4,2023,45776,,,'')&lt;/Q&gt;&lt;R&gt;1&lt;/R&gt;&lt;C&gt;1&lt;/C&gt;&lt;D xsi:type="xsd:double"&gt;227583&lt;/D&gt;&lt;/FQL&gt;&lt;FQL&gt;&lt;Q&gt;Ticker0024^FE_ESTIMATE(SALES,MEAN,NTM4_ROLL,,45776,,,'')&lt;/Q&gt;&lt;R&gt;1&lt;/R&gt;&lt;C&gt;1&lt;/C&gt;&lt;D xsi:type="xsd:double"&gt;291949.97&lt;/D&gt;&lt;/FQL&gt;&lt;FQL&gt;&lt;Q&gt;Ticker0024^FE_ESTIMATE(SALES,MEAN,LTM4_ROLL,,45776,,,'')&lt;/Q&gt;&lt;R&gt;1&lt;/R&gt;&lt;C&gt;1&lt;/C&gt;&lt;D xsi:type="xsd:double"&gt;261802&lt;/D&gt;&lt;/FQL&gt;&lt;FQL&gt;&lt;Q&gt;Ticker0024^FF_ENTRPR_VAL_DAILY(45776,,,,,"DIL")&lt;/Q&gt;&lt;R&gt;1&lt;/R&gt;&lt;C&gt;1&lt;/C&gt;&lt;D xsi:type="xsd:double"&gt;2956158.86&lt;/D&gt;&lt;/FQL&gt;&lt;FQL&gt;&lt;Q&gt;Ticker0024^FREF_MARKET_VALUE_COMPANY(45776,,,,,0,,"LEGACY")&lt;/Q&gt;&lt;R&gt;1&lt;/R&gt;&lt;C&gt;1&lt;/C&gt;&lt;D xsi:type="xsd:double"&gt;2929286.5&lt;/D&gt;&lt;/FQL&gt;&lt;FQL&gt;&lt;Q&gt;IBM^FE_ESTIMATE(SALES,MEAN,CAL4_ROLL,2026,45776,,,'')&lt;/Q&gt;&lt;R&gt;1&lt;/R&gt;&lt;C&gt;1&lt;/C&gt;&lt;D xsi:type="xsd:double"&gt;68948.58&lt;/D&gt;&lt;/FQL&gt;&lt;FQL&gt;&lt;Q&gt;IBM^FE_ESTIMATE(SALES,MEAN,CAL4_ROLL,2025,45776,,,'')&lt;/Q&gt;&lt;R&gt;1&lt;/R&gt;&lt;C&gt;1&lt;/C&gt;&lt;D xsi:type="xsd:double"&gt;66108.5&lt;/D&gt;&lt;/FQL&gt;&lt;FQL&gt;&lt;Q&gt;IBM^FE_ESTIMATE(SALES,MEAN,CAL4_ROLL,2024,45776,,,'')&lt;/Q&gt;&lt;R&gt;1&lt;/R&gt;&lt;C&gt;1&lt;/C&gt;&lt;D xsi:type="xsd:double"&gt;62753&lt;/D&gt;&lt;/FQL&gt;&lt;FQL&gt;&lt;Q&gt;IBM^FE_ESTIMATE(SALES,MEAN,CAL4,2023,45776,,,'')&lt;/Q&gt;&lt;R&gt;1&lt;/R&gt;&lt;C&gt;1&lt;/C&gt;&lt;D xsi:type="xsd:double"&gt;61860&lt;/D&gt;&lt;/FQL&gt;&lt;FQL&gt;&lt;Q&gt;IBM^FE_ESTIMATE(SALES,MEAN,NTM4_ROLL,,45776,,,'')&lt;/Q&gt;&lt;R&gt;1&lt;/R&gt;&lt;C&gt;1&lt;/C&gt;&lt;D xsi:type="xsd:double"&gt;66942.805&lt;/D&gt;&lt;/FQL&gt;&lt;FQL&gt;&lt;Q&gt;IBM^FE_ESTIMATE(SALES,MEAN,LTM4_ROLL,,45776,,,'')&lt;/Q&gt;&lt;R&gt;1&lt;/R&gt;&lt;C&gt;1&lt;/C&gt;&lt;D xsi:type="xsd:double"&gt;62832&lt;/D&gt;&lt;/FQL&gt;&lt;FQL&gt;&lt;Q&gt;IBM^FF_ENTRPR_VAL_DAILY(45776,,,,,"DIL")&lt;/Q&gt;&lt;R&gt;1&lt;/R&gt;&lt;C&gt;1&lt;/C&gt;&lt;D xsi:type="xsd:double"&gt;275017.937832605&lt;/D&gt;&lt;/FQL&gt;&lt;FQL&gt;&lt;Q&gt;IBM^FREF_MARKET_VALUE_COMPANY(45776,,,,,0,,"LEGACY")&lt;/Q&gt;&lt;R&gt;1&lt;/R&gt;&lt;C&gt;1&lt;/C&gt;&lt;D xsi:type="xsd:double"&gt;222488.234375&lt;/D&gt;&lt;/FQL&gt;&lt;FQL&gt;&lt;Q&gt;CRM^FE_ESTIMATE(SALES,MEAN,CAL4_ROLL,2026,45776,,,'')&lt;/Q&gt;&lt;R&gt;1&lt;/R&gt;&lt;C&gt;1&lt;/C&gt;&lt;D xsi:type="xsd:double"&gt;44301.97&lt;/D&gt;&lt;/FQL&gt;&lt;FQL&gt;&lt;Q&gt;CRM^FE_ESTIMATE(SALES,MEAN,CAL4_ROLL,2025,45776,,,'')&lt;/Q&gt;&lt;R&gt;1&lt;/R&gt;&lt;C&gt;1&lt;/C&gt;&lt;D xsi:type="xsd:double"&gt;40772.098&lt;/D&gt;&lt;/FQL&gt;&lt;FQL&gt;&lt;Q&gt;CRM^FE_ESTIMATE(SALES,MEAN,CAL4_ROLL,2024,45776,,,'')&lt;/Q&gt;&lt;R&gt;1&lt;/R&gt;&lt;C&gt;1&lt;/C&gt;&lt;D xsi:type="xsd:double"&gt;37895&lt;/D&gt;&lt;/FQL&gt;&lt;FQL&gt;&lt;Q&gt;CRM^FE_ESTIMATE(SALES,MEAN,CAL4,2023,45776,,,'')&lt;/Q&gt;&lt;R&gt;1&lt;/R&gt;&lt;C&gt;1&lt;/C&gt;&lt;D xsi:type="xsd:double"&gt;34857&lt;/D&gt;&lt;/FQL&gt;&lt;FQL&gt;&lt;Q&gt;CRM^FE_ESTIMATE(SALES,MEAN,NTM4_ROLL,,45776,,,'')&lt;/Q&gt;&lt;R&gt;1&lt;/R&gt;&lt;C&gt;1&lt;/C&gt;&lt;D xsi:type="xsd:double"&gt;40772.098&lt;/D&gt;&lt;/FQL&gt;&lt;FQL&gt;&lt;Q&gt;CRM^FE_ESTIMATE(SALES,MEAN,LTM4_ROLL,,45776,,,'')&lt;/Q&gt;&lt;R&gt;1&lt;/R&gt;&lt;C&gt;1&lt;/C&gt;&lt;D xsi:type="xsd:double"&gt;37895&lt;/D&gt;&lt;/FQL&gt;&lt;FQL&gt;&lt;Q&gt;CRM^FF_ENTRPR_VAL_DAILY(45776,,,,,"DIL")&lt;/Q&gt;&lt;R&gt;1&lt;/R&gt;&lt;C&gt;1&lt;/C&gt;&lt;D xsi:type="xsd:double"&gt;258836.24&lt;/D&gt;&lt;/FQL&gt;&lt;FQL&gt;&lt;Q&gt;CRM^FREF_MARKET_VALUE_COMPANY(45776,,,,,0,,"LEGACY")&lt;/Q&gt;&lt;R&gt;1&lt;/R&gt;&lt;C&gt;1&lt;/C&gt;&lt;D xsi:type="xsd:double"&gt;256908.65625&lt;/D&gt;&lt;/FQL&gt;&lt;FQL&gt;&lt;Q&gt;Company1341^FE_ESTIMATE(SALES,MEAN,CAL4_ROLL,2026,45776,,,'')&lt;/Q&gt;&lt;R&gt;1&lt;/R&gt;&lt;C&gt;1&lt;/C&gt;&lt;D xsi:type="xsd:double"&gt;21564.582&lt;/D&gt;&lt;/FQL&gt;&lt;FQL&gt;&lt;Q&gt;Company1341^FE_ESTIMATE(SALES,MEAN,CAL4_ROLL,2025,45776,,,'')&lt;/Q&gt;&lt;R&gt;1&lt;/R&gt;&lt;C&gt;1&lt;/C&gt;&lt;D xsi:type="xsd:double"&gt;19283.613&lt;/D&gt;&lt;/FQL&gt;&lt;FQL&gt;&lt;Q&gt;Company1341^FE_ESTIMATE(SALES,MEAN,CAL4_ROLL,2024,45776,,,'')&lt;/Q&gt;&lt;R&gt;1&lt;/R&gt;&lt;C&gt;1&lt;/C&gt;&lt;D xsi:type="xsd:double"&gt;17167&lt;/D&gt;&lt;/FQL&gt;&lt;FQL&gt;&lt;Q&gt;Company1341^FE_ESTIMATE(SALES,MEAN,CAL4,2023,45776,,,'')&lt;/Q&gt;&lt;R&gt;1&lt;/R&gt;&lt;C&gt;1&lt;/C&gt;&lt;D xsi:type="xsd:double"&gt;15094&lt;/D&gt;&lt;/FQL&gt;&lt;FQL&gt;&lt;Q&gt;Company1341^FE_ESTIMATE(SALES,MEAN,NTM4_ROLL,,45776,,,'')&lt;/Q&gt;&lt;R&gt;1&lt;/R&gt;&lt;C&gt;1&lt;/C&gt;&lt;D xsi:type="xsd:double"&gt;19283.613&lt;/D&gt;&lt;/FQL&gt;&lt;FQL&gt;&lt;Q&gt;Company1341^FE_ESTIMATE(SALES,MEAN,LTM4_ROLL,,45776,,,'')&lt;/Q&gt;&lt;R&gt;1&lt;/R&gt;&lt;C&gt;1&lt;/C&gt;&lt;D xsi:type="xsd:double"&gt;17167&lt;/D&gt;&lt;/FQL&gt;&lt;FQL&gt;&lt;Q&gt;Company1341^FF_ENTRPR_VAL_DAILY(45776,,,,,"DIL")&lt;/Q&gt;&lt;R&gt;1&lt;/R&gt;&lt;C&gt;1&lt;/C&gt;&lt;D xsi:type="xsd:double"&gt;180224.11&lt;/D&gt;&lt;/FQL&gt;&lt;FQL&gt;&lt;Q&gt;Company1341^FREF_MARKET_VALUE_COMPANY(45776,,,,,0,,"LEGACY")&lt;/Q&gt;&lt;R&gt;1&lt;/R&gt;&lt;C&gt;1&lt;/C&gt;&lt;D xsi:type="xsd:double"&gt;174209.078125&lt;/D&gt;&lt;/FQL&gt;&lt;FQL&gt;&lt;Q&gt;Company0023^FE_ESTIMATE(SALES,MEAN,CAL4_ROLL,2026,45776,,,'')&lt;/Q&gt;&lt;R&gt;1&lt;/R&gt;&lt;C&gt;1&lt;/C&gt;&lt;D xsi:type="xsd:double"&gt;25692.145&lt;/D&gt;&lt;/FQL&gt;&lt;FQL&gt;&lt;Q&gt;Company0023^FE_ESTIMATE(SALES,MEAN,CAL4_ROLL,2025,45776,,,'')&lt;/Q&gt;&lt;R&gt;1&lt;/R&gt;&lt;C&gt;1&lt;/C&gt;&lt;D xsi:type="xsd:double"&gt;23472.754&lt;/D&gt;&lt;/FQL&gt;&lt;FQL&gt;&lt;Q&gt;Company0023^FE_ESTIMATE(SALES,MEAN,CAL4_ROLL,2024,45776,,,'')&lt;/Q&gt;&lt;R&gt;1&lt;/R&gt;&lt;C&gt;1&lt;/C&gt;&lt;D xsi:type="xsd:double"&gt;21505&lt;/D&gt;&lt;/FQL&gt;&lt;FQL&gt;&lt;Q&gt;Company0023^FE_ESTIMATE(SALES,MEAN,CAL4,2023,45776,,,'')&lt;/Q&gt;&lt;R&gt;1&lt;/R&gt;&lt;C&gt;1&lt;/C&gt;&lt;D xsi:type="xsd:double"&gt;19409&lt;/D&gt;&lt;/FQL&gt;&lt;FQL&gt;&lt;Q&gt;Company0023^FE_ESTIMATE(SALES,MEAN,NTM4_ROLL,,45776,,,'')&lt;/Q&gt;&lt;R&gt;1&lt;/R&gt;&lt;C&gt;1&lt;/C&gt;&lt;D xsi:type="xsd:double"&gt;23985.014&lt;/D&gt;&lt;/FQL&gt;&lt;FQL&gt;&lt;Q&gt;Company0023^FE_ESTIMATE(SALES,MEAN,LTM4_ROLL,,45776,,,'')&lt;/Q&gt;&lt;R&gt;1&lt;/R&gt;&lt;C&gt;1&lt;/C&gt;&lt;D xsi:type="xsd:double"&gt;22037&lt;/D&gt;&lt;/FQL&gt;&lt;FQL&gt;&lt;Q&gt;Company0023^FF_ENTRPR_VAL_DAILY(45776,,,,,"DIL")&lt;/Q&gt;&lt;R&gt;1&lt;/R&gt;&lt;C&gt;1&lt;/C&gt;&lt;D xsi:type="xsd:double"&gt;161512.12&lt;/D&gt;&lt;/FQL&gt;&lt;FQL&gt;&lt;Q&gt;Company0023^FREF_MARKET_VALUE_COMPANY(45776,,,,,0,,"LEGACY")&lt;/Q&gt;&lt;R&gt;1&lt;/R&gt;&lt;C&gt;1&lt;/C&gt;&lt;D xsi:type="xsd:double"&gt;158111.6875&lt;/D&gt;&lt;/FQL&gt;&lt;FQL&gt;&lt;Q&gt;Company1985^FE_ESTIMATE(SALES,MEAN,CAL4_ROLL,2026,45776,,,'')&lt;/Q&gt;&lt;R&gt;1&lt;/R&gt;&lt;C&gt;1&lt;/C&gt;&lt;D xsi:type="xsd:double"&gt;70068.18&lt;/D&gt;&lt;/FQL&gt;&lt;FQL&gt;&lt;Q&gt;Company1985^FE_ESTIMATE(SALES,MEAN,CAL4_ROLL,2025,45776,,,'')&lt;/Q&gt;&lt;R&gt;1&lt;/R&gt;&lt;C&gt;1&lt;/C&gt;&lt;D xsi:type="xsd:double"&gt;60506.574&lt;/D&gt;&lt;/FQL&gt;&lt;FQL&gt;&lt;Q&gt;Company1985^FE_ESTIMATE(SALES,MEAN,CAL4_ROLL,2024,45776,,,'')&lt;/Q&gt;&lt;R&gt;1&lt;/R&gt;&lt;C&gt;1&lt;/C&gt;&lt;D xsi:type="xsd:double"&gt;54933&lt;/D&gt;&lt;/FQL&gt;&lt;FQL&gt;&lt;Q&gt;Company1985^FE_ESTIMATE(SALES,MEAN,CAL4,2023,45776,,,'')&lt;/Q&gt;&lt;R&gt;1&lt;/R&gt;&lt;C&gt;1&lt;/C&gt;&lt;D xsi:type="xsd:double"&gt;51629&lt;/D&gt;&lt;/FQL&gt;&lt;FQL&gt;&lt;Q&gt;Company1985^FE_ESTIMATE(SALES,MEAN,NTM4_ROLL,,45776,,,'')&lt;/Q&gt;&lt;R&gt;1&lt;/R&gt;&lt;C&gt;1&lt;/C&gt;&lt;D xsi:type="xsd:double"&gt;62668.145&lt;/D&gt;&lt;/FQL&gt;&lt;FQL&gt;&lt;Q&gt;Company1985^FE_ESTIMATE(SALES,MEAN,LTM4_ROLL,,45776,,,'')&lt;/Q&gt;&lt;R&gt;1&lt;/R&gt;&lt;C&gt;1&lt;/C&gt;&lt;D xsi:type="xsd:double"&gt;55783&lt;/D&gt;&lt;/FQL&gt;&lt;FQL&gt;&lt;Q&gt;Company1985^FF_ENTRPR_VAL_DAILY(45776,,,,,"DIL")&lt;/Q&gt;&lt;R&gt;1&lt;/R&gt;&lt;C&gt;1&lt;/C&gt;&lt;D xsi:type="xsd:double"&gt;482292.42&lt;/D&gt;&lt;/FQL&gt;&lt;FQL&gt;&lt;Q&gt;Company1985^FREF_MARKET_VALUE_COMPANY(45776,,,,,0,,"LEGACY")&lt;/Q&gt;&lt;R&gt;1&lt;/R&gt;&lt;C&gt;1&lt;/C&gt;&lt;D xsi:type="xsd:double"&gt;394808.0625&lt;/D&gt;&lt;/FQL&gt;&lt;FQL&gt;&lt;Q&gt;Company2320^FE_ESTIMATE(SALES,MEAN,CAL4_ROLL,2026,45776,,,'')&lt;/Q&gt;&lt;R&gt;1&lt;/R&gt;&lt;C&gt;1&lt;/C&gt;&lt;D xsi:type="xsd:double"&gt;47112.727&lt;/D&gt;&lt;/FQL&gt;&lt;FQL&gt;&lt;Q&gt;Company2320^FE_ESTIMATE(SALES,MEAN,CAL4_ROLL,2025,45776,,,'')&lt;/Q&gt;&lt;R&gt;1&lt;/R&gt;&lt;C&gt;1&lt;/C&gt;&lt;D xsi:type="xsd:double"&gt;42220.68&lt;/D&gt;&lt;/FQL&gt;&lt;FQL&gt;&lt;Q&gt;Company2320^FE_ESTIMATE(SALES,MEAN,CAL4_ROLL,2024,45776,,,'')&lt;/Q&gt;&lt;R&gt;1&lt;/R&gt;&lt;C&gt;1&lt;/C&gt;&lt;D xsi:type="xsd:double"&gt;36522.137&lt;/D&gt;&lt;/FQL&gt;&lt;FQL&gt;&lt;Q&gt;Company2320^FE_ESTIMATE(SALES,MEAN,CAL4,2023,45776,,,'')&lt;/Q&gt;&lt;R&gt;1&lt;/R&gt;&lt;C&gt;1&lt;/C&gt;&lt;D xsi:type="xsd:double"&gt;34001.84&lt;/D&gt;&lt;/FQL&gt;&lt;FQL&gt;&lt;Q&gt;Company2320^FE_ESTIMATE(SALES,MEAN,NTM4_ROLL,,45776,,,'')&lt;/Q&gt;&lt;R&gt;1&lt;/R&gt;&lt;C&gt;1&lt;/C&gt;&lt;D xsi:type="xsd:double"&gt;43267.168&lt;/D&gt;&lt;/FQL&gt;&lt;FQL&gt;&lt;Q&gt;Company2320^FE_ESTIMATE(SALES,MEAN,LTM4_ROLL,,45776,,,'')&lt;/Q&gt;&lt;R&gt;1&lt;/R&gt;&lt;C&gt;1&lt;/C&gt;&lt;D xsi:type="xsd:double"&gt;38149.63&lt;/D&gt;&lt;/FQL&gt;&lt;FQL&gt;&lt;Q&gt;Company2320^FF_ENTRPR_VAL_DAILY(45776,,,,,"DIL")&lt;/Q&gt;&lt;R&gt;1&lt;/R&gt;&lt;C&gt;1&lt;/C&gt;&lt;D xsi:type="xsd:double"&gt;338418.989807895&lt;/D&gt;&lt;/FQL&gt;&lt;FQL&gt;&lt;Q&gt;Company2320^FREF_MARKET_VALUE_COMPANY(45776,,,,,0,,"LEGACY")&lt;/Q&gt;&lt;R&gt;1&lt;/R&gt;&lt;C&gt;1&lt;/C&gt;&lt;D xsi:type="xsd:double"&gt;356049.904815979&lt;/D&gt;&lt;/FQL&gt;&lt;FQL&gt;&lt;Q&gt;Company0103^FE_ESTIMATE(SALES,MEAN,CAL4_ROLL,2026,45776,,,'')&lt;/Q&gt;&lt;R&gt;1&lt;/R&gt;&lt;C&gt;1&lt;/C&gt;&lt;D xsi:type="xsd:double"&gt;757795.4&lt;/D&gt;&lt;/FQL&gt;&lt;FQL&gt;&lt;Q&gt;Company0103^FE_ESTIMATE(SALES,MEAN,CAL4_ROLL,2025,45776,,,'')&lt;/Q&gt;&lt;R&gt;1&lt;/R&gt;&lt;C&gt;1&lt;/C&gt;&lt;D xsi:type="xsd:double"&gt;692758.25&lt;/D&gt;&lt;/FQL&gt;&lt;FQL&gt;&lt;Q&gt;Company0103^FE_ESTIMATE(SALES,MEAN,CAL4_ROLL,2024,45776,,,'')&lt;/Q&gt;&lt;R&gt;1&lt;/R&gt;&lt;C&gt;1&lt;/C&gt;&lt;D xsi:type="xsd:double"&gt;637959&lt;/D&gt;&lt;/FQL&gt;&lt;FQL&gt;&lt;Q&gt;Company0103^FE_ESTIMATE(SALES,MEAN,CAL4,2023,45776,,,'')&lt;/Q&gt;&lt;R&gt;1&lt;/R&gt;&lt;C&gt;1&lt;/C&gt;&lt;D xsi:type="xsd:double"&gt;574785&lt;/D&gt;&lt;/FQL&gt;&lt;FQL&gt;&lt;Q&gt;Company0103^FE_ESTIMATE(SALES,MEAN,NTM4_ROLL,,45776,,,'')&lt;/Q&gt;&lt;R&gt;1&lt;/R&gt;&lt;C&gt;1&lt;/C&gt;&lt;D xsi:type="xsd:double"&gt;692758.25&lt;/D&gt;&lt;/FQL&gt;&lt;FQL&gt;&lt;Q&gt;Company0103^FE_ESTIMATE(SALES,MEAN,LTM4_ROLL,,45776,,,'')&lt;/Q&gt;&lt;R&gt;1&lt;/R&gt;&lt;C&gt;1&lt;/C&gt;&lt;D xsi:type="xsd:double"&gt;637959&lt;/D&gt;&lt;/FQL&gt;&lt;FQL&gt;&lt;Q&gt;Company0103^FF_ENTRPR_VAL_DAILY(45776,,,,,"DIL")&lt;/Q&gt;&lt;R&gt;1&lt;/R&gt;&lt;C&gt;1&lt;/C&gt;&lt;D xsi:type="xsd:double"&gt;2055434.7&lt;/D&gt;&lt;/FQL&gt;&lt;FQL&gt;&lt;Q&gt;Company0103^FREF_MARKET_VALUE_COMPANY(45776,,,,,0,,"LEGACY")&lt;/Q&gt;&lt;R&gt;1&lt;/R&gt;&lt;C&gt;1&lt;/C&gt;&lt;D xsi:type="xsd:double"&gt;1988650.875&lt;/D&gt;&lt;/FQL&gt;&lt;FQL&gt;&lt;Q&gt;Ticker0013^FE_ESTIMATE(SALES,MEAN,CAL4_ROLL,2026,45776,,,'')&lt;/Q&gt;&lt;R&gt;1&lt;/R&gt;&lt;C&gt;1&lt;/C&gt;&lt;D xsi:type="xsd:double"&gt;426294.16&lt;/D&gt;&lt;/FQL&gt;&lt;FQL&gt;&lt;Q&gt;Ticker0013^FE_ESTIMATE(SALES,MEAN,CAL4_ROLL,2025,45776,,,'')&lt;/Q&gt;&lt;R&gt;1&lt;/R&gt;&lt;C&gt;1&lt;/C&gt;&lt;D xsi:type="xsd:double"&gt;387640.06&lt;/D&gt;&lt;/FQL&gt;&lt;FQL&gt;&lt;Q&gt;Ticker0013^FE_ESTIMATE(SALES,MEAN,CAL4_ROLL,2024,45776,,,'')&lt;/Q&gt;&lt;R&gt;1&lt;/R&gt;&lt;C&gt;1&lt;/C&gt;&lt;D xsi:type="xsd:double"&gt;350018&lt;/D&gt;&lt;/FQL&gt;&lt;FQL&gt;&lt;Q&gt;Ticker0013^FE_ESTIMATE(SALES,MEAN,CAL4,2023,45776,,,'')&lt;/Q&gt;&lt;R&gt;1&lt;/R&gt;&lt;C&gt;1&lt;/C&gt;&lt;D xsi:type="xsd:double"&gt;307394&lt;/D&gt;&lt;/FQL&gt;&lt;FQL&gt;&lt;Q&gt;Ticker0013^FE_ESTIMATE(SALES,MEAN,NTM4_ROLL,,45776,,,'')&lt;/Q&gt;&lt;R&gt;1&lt;/R&gt;&lt;C&gt;1&lt;/C&gt;&lt;D xsi:type="xsd:double"&gt;396501.28&lt;/D&gt;&lt;/FQL&gt;&lt;FQL&gt;&lt;Q&gt;Ticker0013^FE_ESTIMATE(SALES,MEAN,LTM4_ROLL,,45776,,,'')&lt;/Q&gt;&lt;R&gt;1&lt;/R&gt;&lt;C&gt;1&lt;/C&gt;&lt;D xsi:type="xsd:double"&gt;359713&lt;/D&gt;&lt;/FQL&gt;&lt;FQL&gt;&lt;Q&gt;Ticker0013^FF_ENTRPR_VAL_DAILY(45776,,,,,"DIL")&lt;/Q&gt;&lt;R&gt;1&lt;/R&gt;&lt;C&gt;1&lt;/C&gt;&lt;D xsi:type="xsd:double"&gt;1879941.49&lt;/D&gt;&lt;/FQL&gt;&lt;FQL&gt;&lt;Q&gt;Ticker0013^FREF_MARKET_VALUE_COMPANY(45776,,,,,0,,"LEGACY")&lt;/Q&gt;&lt;R&gt;1&lt;/R&gt;&lt;C&gt;1&lt;/C&gt;&lt;D xsi:type="xsd:double"&gt;1825057.125&lt;/D&gt;&lt;/FQL&gt;&lt;FQL&gt;&lt;Q&gt;Ticker0024^FE_VALUATION(FFEV_FCF,MEAN,CAL4_ROLL,2026,45778,,,'')&lt;/Q&gt;&lt;R&gt;1&lt;/R&gt;&lt;C&gt;1&lt;/C&gt;&lt;D xsi:type="xsd:double"&gt;36.165833&lt;/D&gt;&lt;/FQL&gt;&lt;FQL&gt;&lt;Q&gt;Ticker0024^FE_VALUATION(FFEV_FCF,MEAN,CAL4_ROLL,2024,45778,,,'')&lt;/Q&gt;&lt;R&gt;1&lt;/R&gt;&lt;C&gt;1&lt;/C&gt;&lt;D xsi:type="xsd:double"&gt;43.640747&lt;/D&gt;&lt;/FQL&gt;&lt;FQL&gt;&lt;Q&gt;IBM^FE_VALUATION(PE,MEAN,NTM4_ROLL,,45778,,,'')&lt;/Q&gt;&lt;R&gt;1&lt;/R&gt;&lt;C&gt;1&lt;/C&gt;&lt;D xsi:type="xsd:double"&gt;21.746862&lt;/D&gt;&lt;/FQL&gt;&lt;FQL&gt;&lt;Q&gt;Ticker0024^FE_VALUATION(FFEV_FCF,MEAN,CAL4_ROLL,2025,45778,,,'')&lt;/Q&gt;&lt;R&gt;1&lt;/R&gt;&lt;C&gt;1&lt;/C&gt;&lt;D xsi:type="xsd:double"&gt;38.45967&lt;/D&gt;&lt;/FQL&gt;&lt;FQL&gt;&lt;Q&gt;Ticker0024^FE_VALUATION(FFEV_FCF,MEAN,NTM4_ROLL,,45778,,,'')&lt;/Q&gt;&lt;R&gt;1&lt;/R&gt;&lt;C&gt;1&lt;/C&gt;&lt;D xsi:type="xsd:double"&gt;39.10189&lt;/D&gt;&lt;/FQL&gt;&lt;FQL&gt;&lt;Q&gt;Ticker0024^FE_VALUATION(PE,MEAN,NTM4_ROLL,,45778,,,'')&lt;/Q&gt;&lt;R&gt;1&lt;/R&gt;&lt;C&gt;1&lt;/C&gt;&lt;D xsi:type="xsd:double"&gt;27.594866&lt;/D&gt;&lt;/FQL&gt;&lt;FQL&gt;&lt;Q&gt;IBM^FE_VALUATION(PE,MEAN,CAL4_ROLL,,45778,,,'')&lt;/Q&gt;&lt;R&gt;1&lt;/R&gt;&lt;C&gt;1&lt;/C&gt;&lt;D xsi:type="xsd:double"&gt;21.746862&lt;/D&gt;&lt;/FQL&gt;&lt;FQL&gt;&lt;Q&gt;Ticker0024^FE_VALUATION(PE,MEAN,CAL4_ROLL,,45778,,,'')&lt;/Q&gt;&lt;R&gt;1&lt;/R&gt;&lt;C&gt;1&lt;/C&gt;&lt;D xsi:type="xsd:double"&gt;29.060753&lt;/D&gt;&lt;/FQL&gt;&lt;FQL&gt;&lt;Q&gt;IBM^FE_VALUATION(FFEV_FCF,MEAN,CAL4_ROLL,2026,45778,,,'')&lt;/Q&gt;&lt;R&gt;1&lt;/R&gt;&lt;C&gt;1&lt;/C&gt;&lt;D xsi:type="xsd:double"&gt;19.374342&lt;/D&gt;&lt;/FQL&gt;&lt;FQL&gt;&lt;Q&gt;IBM^FE_VALUATION(FFEV_FCF,MEAN,CAL4_ROLL,2025,45778,,,'')&lt;/Q&gt;&lt;R&gt;1&lt;/R&gt;&lt;C&gt;1&lt;/C&gt;&lt;D xsi:type="xsd:double"&gt;20.21488&lt;/D&gt;&lt;/FQL&gt;&lt;FQL&gt;&lt;Q&gt;IBM^FE_VALUATION(FFEV_FCF,MEAN,CAL4_ROLL,2024,45778,,,'')&lt;/Q&gt;&lt;R&gt;1&lt;/R&gt;&lt;C&gt;1&lt;/C&gt;&lt;D xsi:type="xsd:double"&gt;21.799744&lt;/D&gt;&lt;/FQL&gt;&lt;FQL&gt;&lt;Q&gt;IBM^FE_VALUATION(FFEV_FCF,MEAN,NTM4_ROLL,,45778,,,'')&lt;/Q&gt;&lt;R&gt;1&lt;/R&gt;&lt;C&gt;1&lt;/C&gt;&lt;D xsi:type="xsd:double"&gt;19.800112&lt;/D&gt;&lt;/FQL&gt;&lt;FQL&gt;&lt;Q&gt;CRM^FE_VALUATION(PE,MEAN,CAL4_ROLL,,45778,,,'')&lt;/Q&gt;&lt;R&gt;1&lt;/R&gt;&lt;C&gt;1&lt;/C&gt;&lt;D xsi:type="xsd:double"&gt;24.105202&lt;/D&gt;&lt;/FQL&gt;&lt;FQL&gt;&lt;Q&gt;CRM^FE_VALUATION(PE,MEAN,NTM4_ROLL,,45778,,,'')&lt;/Q&gt;&lt;R&gt;1&lt;/R&gt;&lt;C&gt;1&lt;/C&gt;&lt;D xsi:type="xsd:double"&gt;24.105202&lt;/D&gt;&lt;/FQL&gt;&lt;FQL&gt;&lt;Q&gt;CRM^FE_VALUATION(FFEV_FCF,MEAN,CAL4_ROLL,2026,45778,,,'')&lt;/Q&gt;&lt;R&gt;1&lt;/R&gt;&lt;C&gt;1&lt;/C&gt;&lt;D xsi:type="xsd:double"&gt;17.285624&lt;/D&gt;&lt;/FQL&gt;&lt;FQL&gt;&lt;Q&gt;CRM^FE_VALUATION(FFEV_FCF,MEAN,CAL4_ROLL,2025,45778,,,'')&lt;/Q&gt;&lt;R&gt;1&lt;/R&gt;&lt;C&gt;1&lt;/C&gt;&lt;D xsi:type="xsd:double"&gt;18.96278&lt;/D&gt;&lt;/FQL&gt;&lt;FQL&gt;&lt;Q&gt;CRM^FE_VALUATION(FFEV_FCF,MEAN,CAL4_ROLL,2024,45778,,,'')&lt;/Q&gt;&lt;R&gt;1&lt;/R&gt;&lt;C&gt;1&lt;/C&gt;&lt;D xsi:type="xsd:double"&gt;20.89123&lt;/D&gt;&lt;/FQL&gt;&lt;FQL&gt;&lt;Q&gt;CRM^FE_VALUATION(FFEV_FCF,MEAN,NTM4_ROLL,,45778,,,'')&lt;/Q&gt;&lt;R&gt;1&lt;/R&gt;&lt;C&gt;1&lt;/C&gt;&lt;D xsi:type="xsd:double"&gt;18.96278&lt;/D&gt;&lt;/FQL&gt;&lt;FQL&gt;&lt;Q&gt;Company1341^FE_VALUATION(PE,MEAN,CAL4_ROLL,,45778,,,'')&lt;/Q&gt;&lt;R&gt;1&lt;/R&gt;&lt;C&gt;1&lt;/C&gt;&lt;D xsi:type="xsd:double"&gt;32.475742&lt;/D&gt;&lt;/FQL&gt;&lt;FQL&gt;&lt;Q&gt;Company1341^FE_VALUATION(PE,MEAN,NTM4_ROLL,,45778,,,'')&lt;/Q&gt;&lt;R&gt;1&lt;/R&gt;&lt;C&gt;1&lt;/C&gt;&lt;D xsi:type="xsd:double"&gt;30.809685&lt;/D&gt;&lt;/FQL&gt;&lt;FQL&gt;&lt;Q&gt;Company1341^FE_VALUATION(FFEV_FCF,MEAN,CAL4_ROLL,2026,45778,,,'')&lt;/Q&gt;&lt;R&gt;1&lt;/R&gt;&lt;C&gt;1&lt;/C&gt;&lt;D xsi:type="xsd:double"&gt;26.343212&lt;/D&gt;&lt;/FQL&gt;&lt;FQL&gt;&lt;Q&gt;Company1341^FE_VALUATION(FFEV_FCF,MEAN,CAL4_ROLL,2025,45778,,,'')&lt;/Q&gt;&lt;R&gt;1&lt;/R&gt;&lt;C&gt;1&lt;/C&gt;&lt;D xsi:type="xsd:double"&gt;28.832958&lt;/D&gt;&lt;/FQL&gt;&lt;FQL&gt;&lt;Q&gt;Company1341^FE_VALUATION(FFEV_FCF,MEAN,CAL4_ROLL,2024,45778,,,'')&lt;/Q&gt;&lt;R&gt;1&lt;/R&gt;&lt;C&gt;1&lt;/C&gt;&lt;D xsi:type="xsd:double"&gt;32.85861&lt;/D&gt;&lt;/FQL&gt;&lt;FQL&gt;&lt;Q&gt;Company1341^FE_VALUATION(FFEV_FCF,MEAN,NTM4_ROLL,,45778,,,'')&lt;/Q&gt;&lt;R&gt;1&lt;/R&gt;&lt;C&gt;1&lt;/C&gt;&lt;D xsi:type="xsd:double"&gt;28.832958&lt;/D&gt;&lt;/FQL&gt;&lt;FQL&gt;&lt;Q&gt;Company0023^FE_VALUATION(PE,MEAN,CAL4_ROLL,,45778,,,'')&lt;/Q&gt;&lt;R&gt;1&lt;/R&gt;&lt;C&gt;1&lt;/C&gt;&lt;D xsi:type="xsd:double"&gt;18.36406&lt;/D&gt;&lt;/FQL&gt;&lt;FQL&gt;&lt;Q&gt;Company0023^FE_VALUATION(PE,MEAN,NTM4_ROLL,,45778,,,'')&lt;/Q&gt;&lt;R&gt;1&lt;/R&gt;&lt;C&gt;1&lt;/C&gt;&lt;D xsi:type="xsd:double"&gt;17.936823&lt;/D&gt;&lt;/FQL&gt;&lt;FQL&gt;&lt;Q&gt;Company0023^FE_VALUATION(FFEV_FCF,MEAN,CAL4_ROLL,2026,45778,,,'')&lt;/Q&gt;&lt;R&gt;1&lt;/R&gt;&lt;C&gt;1&lt;/C&gt;&lt;D xsi:type="xsd:double"&gt;15.768009&lt;/D&gt;&lt;/FQL&gt;&lt;FQL&gt;&lt;Q&gt;Company0023^FE_VALUATION(FFEV_FCF,MEAN,CAL4_ROLL,2025,45778,,,'')&lt;/Q&gt;&lt;R&gt;1&lt;/R&gt;&lt;C&gt;1&lt;/C&gt;&lt;D xsi:type="xsd:double"&gt;17.346292&lt;/D&gt;&lt;/FQL&gt;&lt;FQL&gt;&lt;Q&gt;Company0023^FE_VALUATION(FFEV_FCF,MEAN,CAL4_ROLL,2024,45778,,,'')&lt;/Q&gt;&lt;R&gt;1&lt;/R&gt;&lt;C&gt;1&lt;/C&gt;&lt;D xsi:type="xsd:double"&gt;20.72791&lt;/D&gt;&lt;/FQL&gt;&lt;FQL&gt;&lt;Q&gt;Company0023^FE_VALUATION(FFEV_FCF,MEAN,NTM4_ROLL,,45778,,,'')&lt;/Q&gt;&lt;R&gt;1&lt;/R&gt;&lt;C&gt;1&lt;/C&gt;&lt;D xsi:type="xsd:double"&gt;17.759563&lt;/D&gt;&lt;/FQL&gt;&lt;FQL&gt;&lt;Q&gt;Company1985^FE_VALUATION(PE,MEAN,CAL4_ROLL,,45778,,,'')&lt;/Q&gt;&lt;R&gt;1&lt;/R&gt;&lt;C&gt;1&lt;/C&gt;&lt;D xsi:type="xsd:double"&gt;21.14275&lt;/D&gt;&lt;/FQL&gt;&lt;FQL&gt;&lt;Q&gt;Company1985^FE_VALUATION(PE,MEAN,NTM4_ROLL,,45778,,,'')&lt;/Q&gt;&lt;R&gt;1&lt;/R&gt;&lt;C&gt;1&lt;/C&gt;&lt;D xsi:type="xsd:double"&gt;22.009771&lt;/D&gt;&lt;/FQL&gt;&lt;FQL&gt;&lt;Q&gt;Company1985^FE_VALUATION(FFEV_FCF,MEAN,CAL4_ROLL,2026,45778,,,'')&lt;/Q&gt;&lt;R&gt;1&lt;/R&gt;&lt;C&gt;1&lt;/C&gt;&lt;D xsi:type="xsd:double"&gt;44.97608&lt;/D&gt;&lt;/FQL&gt;&lt;FQL&gt;&lt;Q&gt;Company1985^FE_VALUATION(FFEV_FCF,MEAN,CAL4_ROLL,2025,45778,,,'')&lt;/Q&gt;&lt;R&gt;1&lt;/R&gt;&lt;C&gt;1&lt;/C&gt;&lt;D xsi:type="xsd:double"&gt;76.5756&lt;/D&gt;&lt;/FQL&gt;&lt;FQL&gt;&lt;Q&gt;Company1985^FE_VALUATION(FFEV_FCF,MEAN,CAL4_ROLL,2024,45778,,,'')&lt;/Q&gt;&lt;R&gt;1&lt;/R&gt;&lt;C&gt;1&lt;/C&gt;&lt;D xsi:type="xsd:double"&gt;50.615448&lt;/D&gt;&lt;/FQL&gt;&lt;FQL&gt;&lt;Q&gt;Company1985^FE_VALUATION(FFEV_FCF,MEAN,NTM4_ROLL,,45778,,,'')&lt;/Q&gt;&lt;R&gt;1&lt;/R&gt;&lt;C&gt;1&lt;/C&gt;&lt;D xsi:type="xsd:double"&gt;65.16374&lt;/D&gt;&lt;/FQL&gt;&lt;FQL&gt;&lt;Q&gt;Company2320^FE_VALUATION(PE,MEAN,CAL4_ROLL,,45778,,,'')&lt;/Q&gt;&lt;R&gt;1&lt;/R&gt;&lt;C&gt;1&lt;/C&gt;&lt;D xsi:type="xsd:double"&gt;39.71973&lt;/D&gt;&lt;/FQL&gt;&lt;FQL&gt;&lt;Q&gt;Company2320^FE_VALUATION(PE,MEAN,NTM4_ROLL,,45778,,,'')&lt;/Q&gt;&lt;R&gt;1&lt;/R&gt;&lt;C&gt;1&lt;/C&gt;&lt;D xsi:type="xsd:double"&gt;39.71973&lt;/D&gt;&lt;/FQL&gt;&lt;FQL&gt;&lt;Q&gt;Company2320^FE_VALUATION(FFEV_FCF,MEAN,CAL4_ROLL,2026,45778,,,'')&lt;/Q&gt;&lt;R&gt;1&lt;/R&gt;&lt;C&gt;1&lt;/C&gt;&lt;D xsi:type="xsd:double"&gt;30.4901&lt;/D&gt;&lt;/FQL&gt;&lt;FQL&gt;&lt;Q&gt;Company2320^FE_VALUATION(FFEV_FCF,MEAN,CAL4_ROLL,2025,45778,,,'')&lt;/Q&gt;&lt;R&gt;1&lt;/R&gt;&lt;C&gt;1&lt;/C&gt;&lt;D xsi:type="xsd:double"&gt;36.580097&lt;/D&gt;&lt;/FQL&gt;&lt;FQL&gt;&lt;Q&gt;Company2320^FE_VALUATION(FFEV_FCF,MEAN,CAL4_ROLL,2024,45778,,,'')&lt;/Q&gt;&lt;R&gt;1&lt;/R&gt;&lt;C&gt;1&lt;/C&gt;&lt;D xsi:type="xsd:double"&gt;76.01161&lt;/D&gt;&lt;/FQL&gt;&lt;FQL&gt;&lt;Q&gt;Company2320^FE_VALUATION(FFEV_FCF,MEAN,NTM4_ROLL,,45778,,,'')&lt;/Q&gt;&lt;R&gt;1&lt;/R&gt;&lt;C&gt;1&lt;/C&gt;&lt;D xsi:type="xsd:double"&gt;37.45662&lt;/D&gt;&lt;/FQL&gt;&lt;FQL&gt;&lt;Q&gt;Company0103^FE_VALUATION(PE,MEAN,CAL4_ROLL,,45778,,,'')&lt;/Q&gt;&lt;R&gt;1&lt;/R&gt;&lt;C&gt;1&lt;/C&gt;&lt;D xsi:type="xsd:double"&gt;30.135584&lt;/D&gt;&lt;/FQL&gt;&lt;FQL&gt;&lt;Q&gt;Company0103^FE_VALUATION(PE,MEAN,NTM4_ROLL,,45778,,,'')&lt;/Q&gt;&lt;R&gt;1&lt;/R&gt;&lt;C&gt;1&lt;/C&gt;&lt;D xsi:type="xsd:double"&gt;30.135584&lt;/D&gt;&lt;/FQL&gt;&lt;FQL&gt;&lt;Q&gt;Company0103^FE_VALUATION(FFEV_FCF,MEAN,CAL4_ROLL,2026,45778,,,'')&lt;/Q&gt;&lt;R&gt;1&lt;/R&gt;&lt;C&gt;1&lt;/C&gt;&lt;D xsi:type="xsd:double"&gt;37.8824&lt;/D&gt;&lt;/FQL&gt;&lt;FQL&gt;&lt;Q&gt;Company0103^FE_VALUATION(FFEV_FCF,MEAN,CAL4_ROLL,2025,45778,,,'')&lt;/Q&gt;&lt;R&gt;1&lt;/R&gt;&lt;C&gt;1&lt;/C&gt;&lt;D xsi:type="xsd:double"&gt;49.072895&lt;/D&gt;&lt;/FQL&gt;&lt;FQL&gt;&lt;Q&gt;Company0103^FE_VALUATION(FFEV_FCF,MEAN,CAL4_ROLL,2024,45778,,,'')&lt;/Q&gt;&lt;R&gt;1&lt;/R&gt;&lt;C&gt;1&lt;/C&gt;&lt;D xsi:type="xsd:double"&gt;53.77423&lt;/D&gt;&lt;/FQL&gt;&lt;FQL&gt;&lt;Q&gt;Company0103^FE_VALUATION(FFEV_FCF,MEAN,NTM4_ROLL,,45778,,,'')&lt;/Q&gt;&lt;R&gt;1&lt;/R&gt;&lt;C&gt;1&lt;/C&gt;&lt;D xsi:type="xsd:double"&gt;49.072895&lt;/D&gt;&lt;/FQL&gt;&lt;FQL&gt;&lt;Q&gt;Ticker0013^FE_VALUATION(PE,MEAN,CAL4_ROLL,,45778,,,'')&lt;/Q&gt;&lt;R&gt;1&lt;/R&gt;&lt;C&gt;1&lt;/C&gt;&lt;D xsi:type="xsd:double"&gt;17.522724&lt;/D&gt;&lt;/FQL&gt;&lt;FQL&gt;&lt;Q&gt;Ticker0013^FE_VALUATION(PE,MEAN,NTM4_ROLL,,45778,,,'')&lt;/Q&gt;&lt;R&gt;1&lt;/R&gt;&lt;C&gt;1&lt;/C&gt;&lt;D xsi:type="xsd:double"&gt;17.522724&lt;/D&gt;&lt;/FQL&gt;&lt;FQL&gt;&lt;Q&gt;Ticker0013^FE_VALUATION(FFEV_FCF,MEAN,CAL4_ROLL,2026,45778,,,'')&lt;/Q&gt;&lt;R&gt;1&lt;/R&gt;&lt;C&gt;1&lt;/C&gt;&lt;D xsi:type="xsd:double"&gt;21.083498&lt;/D&gt;&lt;/FQL&gt;&lt;FQL&gt;&lt;Q&gt;Ticker0013^FE_VALUATION(FFEV_FCF,MEAN,CAL4_ROLL,2025,45778,,,'')&lt;/Q&gt;&lt;R&gt;1&lt;/R&gt;&lt;C&gt;1&lt;/C&gt;&lt;D xsi:type="xsd:double"&gt;25.454039&lt;/D&gt;&lt;/FQL&gt;&lt;FQL&gt;&lt;Q&gt;Ticker0013^FE_VALUATION(FFEV_FCF,MEAN,CAL4_ROLL,2024,45778,,,'')&lt;/Q&gt;&lt;R&gt;1&lt;/R&gt;&lt;C&gt;1&lt;/C&gt;&lt;D xsi:type="xsd:double"&gt;25.799742&lt;/D&gt;&lt;/FQL&gt;&lt;FQL&gt;&lt;Q&gt;Ticker0013^FE_VALUATION(FFEV_FCF,MEAN,NTM4_ROLL,,45778,,,'')&lt;/Q&gt;&lt;R&gt;1&lt;/R&gt;&lt;C&gt;1&lt;/C&gt;&lt;D xsi:type="xsd:double"&gt;24.693531&lt;/D&gt;&lt;/FQL&gt;&lt;FQL&gt;&lt;Q&gt;Ticker0024^FE_ESTIMATE(EPS,MEAN,CAL4_ROLL,2026,45778,,,'')&lt;/Q&gt;&lt;R&gt;1&lt;/R&gt;&lt;C&gt;1&lt;/C&gt;&lt;D xsi:type="xsd:double"&gt;15.950452&lt;/D&gt;&lt;/FQL&gt;&lt;FQL&gt;&lt;Q&gt;Ticker0024^FE_ESTIMATE(EPS,MEAN,CAL4_ROLL,2025,45778,,,'')&lt;/Q&gt;&lt;R&gt;1&lt;/R&gt;&lt;C&gt;1&lt;/C&gt;&lt;D xsi:type="xsd:double"&gt;14.091832&lt;/D&gt;&lt;/FQL&gt;&lt;FQL&gt;&lt;Q&gt;Ticker0024^FE_ESTIMATE(EPS,MEAN,CAL4_ROLL,2024,45778,,,'')&lt;/Q&gt;&lt;R&gt;1&lt;/R&gt;&lt;C&gt;1&lt;/C&gt;&lt;D xsi:type="xsd:double"&gt;12.42&lt;/D&gt;&lt;/FQL&gt;&lt;FQL&gt;&lt;Q&gt;Ticker0024^FE_ESTIMATE(EPS,MEAN,CAL4_ROLL,2023,45778,,,'')&lt;/Q&gt;&lt;R&gt;1&lt;/R&gt;&lt;C&gt;1&lt;/C&gt;&lt;D xsi:type="xsd:double"&gt;11.06&lt;/D&gt;&lt;/FQL&gt;&lt;FQL&gt;&lt;Q&gt;Ticker0024^FE_ESTIMATE(EPS,MEAN,NTM4_ROLL,,45778,,,'')&lt;/Q&gt;&lt;R&gt;1&lt;/R&gt;&lt;C&gt;1&lt;/C&gt;&lt;D xsi:type="xsd:double"&gt;14.323679&lt;/D&gt;&lt;/FQL&gt;&lt;FQL&gt;&lt;Q&gt;Ticker0024^FE_ESTIMATE(EPS,MEAN,LTM4_ROLL,,45778,,,'')&lt;/Q&gt;&lt;R&gt;1&lt;/R&gt;&lt;C&gt;1&lt;/C&gt;&lt;D xsi:type="xsd:double"&gt;12.94&lt;/D&gt;&lt;/FQL&gt;&lt;FQL&gt;&lt;Q&gt;IBM^FE_ESTIMATE(EPS,MEAN,CAL4_ROLL,2026,45778,,,'')&lt;/Q&gt;&lt;R&gt;1&lt;/R&gt;&lt;C&gt;1&lt;/C&gt;&lt;D xsi:type="xsd:double"&gt;11.550728&lt;/D&gt;&lt;/FQL&gt;&lt;FQL&gt;&lt;Q&gt;IBM^FE_ESTIMATE(EPS,MEAN,CAL4_ROLL,2025,45778,,,'')&lt;/Q&gt;&lt;R&gt;1&lt;/R&gt;&lt;C&gt;1&lt;/C&gt;&lt;D xsi:type="xsd:double"&gt;10.933711&lt;/D&gt;&lt;/FQL&gt;&lt;FQL&gt;&lt;Q&gt;IBM^FE_ESTIMATE(EPS,MEAN,CAL4_ROLL,2024,45778,,,'')&lt;/Q&gt;&lt;R&gt;1&lt;/R&gt;&lt;C&gt;1&lt;/C&gt;&lt;D xsi:type="xsd:double"&gt;10.33&lt;/D&gt;&lt;/FQL&gt;&lt;FQL&gt;&lt;Q&gt;IBM^FE_ESTIMATE(EPS,MEAN,CAL4_ROLL,2023,45778,,,'')&lt;/Q&gt;&lt;R&gt;1&lt;/R&gt;&lt;C&gt;1&lt;/C&gt;&lt;D xsi:type="xsd:double"&gt;9.61&lt;/D&gt;&lt;/FQL&gt;&lt;FQL&gt;&lt;Q&gt;IBM^FE_ESTIMATE(EPS,MEAN,NTM4_ROLL,,45778,,,'')&lt;/Q&gt;&lt;R&gt;1&lt;/R&gt;&lt;C&gt;1&lt;/C&gt;&lt;D xsi:type="xsd:double"&gt;11.119765&lt;/D&gt;&lt;/FQL&gt;&lt;FQL&gt;&lt;Q&gt;IBM^FE_ESTIMATE(EPS,MEAN,LTM4_ROLL,,45778,,,'')&lt;/Q&gt;&lt;R&gt;1&lt;/R&gt;&lt;C&gt;1&lt;/C&gt;&lt;D xsi:type="xsd:double"&gt;10.25&lt;/D&gt;&lt;/FQL&gt;&lt;FQL&gt;&lt;Q&gt;CRM^FE_ESTIMATE(EPS,MEAN,CAL4_ROLL,2026,45778,,,'')&lt;/Q&gt;&lt;R&gt;1&lt;/R&gt;&lt;C&gt;1&lt;/C&gt;&lt;D xsi:type="xsd:double"&gt;12.420324&lt;/D&gt;&lt;/FQL&gt;&lt;FQL&gt;&lt;Q&gt;CRM^FE_ESTIMATE(EPS,MEAN,CAL4_ROLL,2025,45778,,,'')&lt;/Q&gt;&lt;R&gt;1&lt;/R&gt;&lt;C&gt;1&lt;/C&gt;&lt;D xsi:type="xsd:double"&gt;11.147387&lt;/D&gt;&lt;/FQL&gt;&lt;FQL&gt;&lt;Q&gt;CRM^FE_ESTIMATE(EPS,MEAN,CAL4_ROLL,2024,45778,,,'')&lt;/Q&gt;&lt;R&gt;1&lt;/R&gt;&lt;C&gt;1&lt;/C&gt;&lt;D xsi:type="xsd:double"&gt;10.19&lt;/D&gt;&lt;/FQL&gt;&lt;FQL&gt;&lt;Q&gt;CRM^FE_ESTIMATE(EPS,MEAN,CAL4_ROLL,2023,45778,,,'')&lt;/Q&gt;&lt;R&gt;1&lt;/R&gt;&lt;C&gt;1&lt;/C&gt;&lt;D xsi:type="xsd:double"&gt;8.21&lt;/D&gt;&lt;/FQL&gt;&lt;FQL&gt;&lt;Q&gt;CRM^FE_ESTIMATE(EPS,MEAN,NTM4_ROLL,,45778,,,'')&lt;/Q&gt;&lt;R&gt;1&lt;/R&gt;&lt;C&gt;1&lt;/C&gt;&lt;D xsi:type="xsd:double"&gt;11.147387&lt;/D&gt;&lt;/FQL&gt;&lt;FQL&gt;&lt;Q&gt;CRM^FE_ESTIMATE(EPS,MEAN,LTM4_ROLL,,45778,,,'')&lt;/Q&gt;&lt;R&gt;1&lt;/R&gt;&lt;C&gt;1&lt;/C&gt;&lt;D xsi:type="xsd:double"&gt;10.19&lt;/D&gt;&lt;/FQL&gt;&lt;FQL&gt;&lt;Q&gt;Company1341^FE_ESTIMATE(EPS,MEAN,CAL4_ROLL,2026,45778,,,'')&lt;/Q&gt;&lt;R&gt;1&lt;/R&gt;&lt;C&gt;1&lt;/C&gt;&lt;D xsi:type="xsd:double"&gt;22.931976&lt;/D&gt;&lt;/FQL&gt;&lt;FQL&gt;&lt;Q&gt;Company1341^FE_ESTIMATE(EPS,MEAN,CAL4_ROLL,2025,45778,,,'')&lt;/Q&gt;&lt;R&gt;1&lt;/R&gt;&lt;C&gt;1&lt;/C&gt;&lt;D xsi:type="xsd:double"&gt;20.365997&lt;/D&gt;&lt;/FQL&gt;&lt;FQL&gt;&lt;Q&gt;Company1341^FE_ESTIMATE(EPS,MEAN,CAL4_ROLL,2024,45778,,,'')&lt;/Q&gt;&lt;R&gt;1&lt;/R&gt;&lt;C&gt;1&lt;/C&gt;&lt;D xsi:type="xsd:double"&gt;17.69&lt;/D&gt;&lt;/FQL&gt;&lt;FQL&gt;&lt;Q&gt;Company1341^FE_ESTIMATE(EPS,MEAN,CAL4_ROLL,2023,45778,,,'')&lt;/Q&gt;&lt;R&gt;1&lt;/R&gt;&lt;C&gt;1&lt;/C&gt;&lt;D xsi:type="xsd:double"&gt;15.67&lt;/D&gt;&lt;/FQL&gt;&lt;FQL&gt;&lt;Q&gt;Company1341^FE_ESTIM</t>
        </r>
      </text>
    </comment>
    <comment ref="A48" authorId="0" shapeId="0" xr:uid="{463D2D80-BD09-49A6-924E-F4E98E0090F4}">
      <text>
        <r>
          <rPr>
            <b/>
            <sz val="9"/>
            <color indexed="81"/>
            <rFont val="Tahoma"/>
            <family val="2"/>
          </rPr>
          <t>ATE(EPS,MEAN,NTM4_ROLL,,45778,,,'')&lt;/Q&gt;&lt;R&gt;1&lt;/R&gt;&lt;C&gt;1&lt;/C&gt;&lt;D xsi:type="xsd:double"&gt;20.365997&lt;/D&gt;&lt;/FQL&gt;&lt;FQL&gt;&lt;Q&gt;Company1341^FE_ESTIMATE(EPS,MEAN,LTM4_ROLL,,45778,,,'')&lt;/Q&gt;&lt;R&gt;1&lt;/R&gt;&lt;C&gt;1&lt;/C&gt;&lt;D xsi:type="xsd:double"&gt;17.69&lt;/D&gt;&lt;/FQL&gt;&lt;FQL&gt;&lt;Q&gt;Company0023^FE_ESTIMATE(EPS,MEAN,CAL4_ROLL,2026,45778,,,'')&lt;/Q&gt;&lt;R&gt;1&lt;/R&gt;&lt;C&gt;1&lt;/C&gt;&lt;D xsi:type="xsd:double"&gt;22.902164&lt;/D&gt;&lt;/FQL&gt;&lt;FQL&gt;&lt;Q&gt;Company0023^FE_ESTIMATE(EPS,MEAN,CAL4_ROLL,2025,45778,,,'')&lt;/Q&gt;&lt;R&gt;1&lt;/R&gt;&lt;C&gt;1&lt;/C&gt;&lt;D xsi:type="xsd:double"&gt;20.419233&lt;/D&gt;&lt;/FQL&gt;&lt;FQL&gt;&lt;Q&gt;Company0023^FE_ESTIMATE(EPS,MEAN,CAL4_ROLL,2024,45778,,,'')&lt;/Q&gt;&lt;R&gt;1&lt;/R&gt;&lt;C&gt;1&lt;/C&gt;&lt;D xsi:type="xsd:double"&gt;18.42&lt;/D&gt;&lt;/FQL&gt;&lt;FQL&gt;&lt;Q&gt;Company0023^FE_ESTIMATE(EPS,MEAN,CAL4_ROLL,2023,45778,,,'')&lt;/Q&gt;&lt;R&gt;1&lt;/R&gt;&lt;C&gt;1&lt;/C&gt;&lt;D xsi:type="xsd:double"&gt;16.07&lt;/D&gt;&lt;/FQL&gt;&lt;FQL&gt;&lt;Q&gt;Company0023^FE_ESTIMATE(EPS,MEAN,NTM4_ROLL,,45778,,,'')&lt;/Q&gt;&lt;R&gt;1&lt;/R&gt;&lt;C&gt;1&lt;/C&gt;&lt;D xsi:type="xsd:double"&gt;20.905598&lt;/D&gt;&lt;/FQL&gt;&lt;FQL&gt;&lt;Q&gt;Company0023^FE_ESTIMATE(EPS,MEAN,LTM4_ROLL,,45778,,,'')&lt;/Q&gt;&lt;R&gt;1&lt;/R&gt;&lt;C&gt;1&lt;/C&gt;&lt;D xsi:type="xsd:double"&gt;19.02&lt;/D&gt;&lt;/FQL&gt;&lt;FQL&gt;&lt;Q&gt;Company1985^FE_ESTIMATE(EPS,MEAN,CAL4_ROLL,2026,45778,,,'')&lt;/Q&gt;&lt;R&gt;1&lt;/R&gt;&lt;C&gt;1&lt;/C&gt;&lt;D xsi:type="xsd:double"&gt;7.309573&lt;/D&gt;&lt;/FQL&gt;&lt;FQL&gt;&lt;Q&gt;Company1985^FE_ESTIMATE(EPS,MEAN,CAL4_ROLL,2025,45778,,,'')&lt;/Q&gt;&lt;R&gt;1&lt;/R&gt;&lt;C&gt;1&lt;/C&gt;&lt;D xsi:type="xsd:double"&gt;6.1939034&lt;/D&gt;&lt;/FQL&gt;&lt;FQL&gt;&lt;Q&gt;Company1985^FE_ESTIMATE(EPS,MEAN,CAL4_ROLL,2024,45778,,,'')&lt;/Q&gt;&lt;R&gt;1&lt;/R&gt;&lt;C&gt;1&lt;/C&gt;&lt;D xsi:type="xsd:double"&gt;5.9&lt;/D&gt;&lt;/FQL&gt;&lt;FQL&gt;&lt;Q&gt;Company1985^FE_ESTIMATE(EPS,MEAN,CAL4_ROLL,2023,45778,,,'')&lt;/Q&gt;&lt;R&gt;1&lt;/R&gt;&lt;C&gt;1&lt;/C&gt;&lt;D xsi:type="xsd:double"&gt;5.42&lt;/D&gt;&lt;/FQL&gt;&lt;FQL&gt;&lt;Q&gt;Company1985^FE_ESTIMATE(EPS,MEAN,NTM4_ROLL,,45778,,,'')&lt;/Q&gt;&lt;R&gt;1&lt;/R&gt;&lt;C&gt;1&lt;/C&gt;&lt;D xsi:type="xsd:double"&gt;6.393524&lt;/D&gt;&lt;/FQL&gt;&lt;FQL&gt;&lt;Q&gt;Company1985^FE_ESTIMATE(EPS,MEAN,LTM4_ROLL,,45778,,,'')&lt;/Q&gt;&lt;R&gt;1&lt;/R&gt;&lt;C&gt;1&lt;/C&gt;&lt;D xsi:type="xsd:double"&gt;5.96&lt;/D&gt;&lt;/FQL&gt;&lt;FQL&gt;&lt;Q&gt;Company2320^FE_ESTIMATE(EPS,MEAN,CAL4_ROLL,2026,45778,,,'')&lt;/Q&gt;&lt;R&gt;1&lt;/R&gt;&lt;C&gt;1&lt;/C&gt;&lt;D xsi:type="xsd:double"&gt;8.191906&lt;/D&gt;&lt;/FQL&gt;&lt;FQL&gt;&lt;Q&gt;Company2320^FE_ESTIMATE(EPS,MEAN,CAL4_ROLL,2025,45778,,,'')&lt;/Q&gt;&lt;R&gt;1&lt;/R&gt;&lt;C&gt;1&lt;/C&gt;&lt;D xsi:type="xsd:double"&gt;7.113219&lt;/D&gt;&lt;/FQL&gt;&lt;FQL&gt;&lt;Q&gt;Company2320^FE_ESTIMATE(EPS,MEAN,CAL4_ROLL,2024,45778,,,'')&lt;/Q&gt;&lt;R&gt;1&lt;/R&gt;&lt;C&gt;1&lt;/C&gt;&lt;D xsi:type="xsd:double"&gt;4.848603&lt;/D&gt;&lt;/FQL&gt;&lt;FQL&gt;&lt;Q&gt;Company2320^FE_ESTIMATE(EPS,MEAN,CAL4_ROLL,2023,45778,,,'')&lt;/Q&gt;&lt;R&gt;1&lt;/R&gt;&lt;C&gt;1&lt;/C&gt;&lt;D xsi:type="xsd:double"&gt;5.655961&lt;/D&gt;&lt;/FQL&gt;&lt;FQL&gt;&lt;Q&gt;Company2320^FE_ESTIMATE(EPS,MEAN,NTM4_ROLL,,45778,,,'')&lt;/Q&gt;&lt;R&gt;1&lt;/R&gt;&lt;C&gt;1&lt;/C&gt;&lt;D xsi:type="xsd:double"&gt;7.3562937&lt;/D&gt;&lt;/FQL&gt;&lt;FQL&gt;&lt;Q&gt;Company2320^FE_ESTIMATE(EPS,MEAN,LTM4_ROLL,,45778,,,'')&lt;/Q&gt;&lt;R&gt;1&lt;/R&gt;&lt;C&gt;1&lt;/C&gt;&lt;D xsi:type="xsd:double"&gt;5.616465&lt;/D&gt;&lt;/FQL&gt;&lt;FQL&gt;&lt;Q&gt;Company0103^FE_ESTIMATE(EPS,MEAN,CAL4_ROLL,2026,45778,,,'')&lt;/Q&gt;&lt;R&gt;1&lt;/R&gt;&lt;C&gt;1&lt;/C&gt;&lt;D xsi:type="xsd:double"&gt;7.2286015&lt;/D&gt;&lt;/FQL&gt;&lt;FQL&gt;&lt;Q&gt;Company0103^FE_ESTIMATE(EPS,MEAN,CAL4_ROLL,2025,45778,,,'')&lt;/Q&gt;&lt;R&gt;1&lt;/R&gt;&lt;C&gt;1&lt;/C&gt;&lt;D xsi:type="xsd:double"&gt;6.1196756&lt;/D&gt;&lt;/FQL&gt;&lt;FQL&gt;&lt;Q&gt;Company0103^FE_ESTIMATE(EPS,MEAN,CAL4_ROLL,2024,45778,,,'')&lt;/Q&gt;&lt;R&gt;1&lt;/R&gt;&lt;C&gt;1&lt;/C&gt;&lt;D xsi:type="xsd:double"&gt;5.53&lt;/D&gt;&lt;/FQL&gt;&lt;FQL&gt;&lt;Q&gt;Company0103^FE_ESTIMATE(EPS,MEAN,CAL4_ROLL,2023,45778,,,'')&lt;/Q&gt;&lt;R&gt;1&lt;/R&gt;&lt;C&gt;1&lt;/C&gt;&lt;D xsi:type="xsd:double"&gt;2.9&lt;/D&gt;&lt;/FQL&gt;&lt;FQL&gt;&lt;Q&gt;Company0103^FE_ESTIMATE(EPS,MEAN,NTM4_ROLL,,45778,,,'')&lt;/Q&gt;&lt;R&gt;1&lt;/R&gt;&lt;C&gt;1&lt;/C&gt;&lt;D xsi:type="xsd:double"&gt;6.1196756&lt;/D&gt;&lt;/FQL&gt;&lt;FQL&gt;&lt;Q&gt;Company0103^FE_ESTIMATE(EPS,MEAN,LTM4_ROLL,,45778,,,'')&lt;/Q&gt;&lt;R&gt;1&lt;/R&gt;&lt;C&gt;1&lt;/C&gt;&lt;D xsi:type="xsd:double"&gt;5.53&lt;/D&gt;&lt;/FQL&gt;&lt;FQL&gt;&lt;Q&gt;Ticker0013^FE_ESTIMATE(EPS,MEAN,CAL4_ROLL,2026,45778,,,'')&lt;/Q&gt;&lt;R&gt;1&lt;/R&gt;&lt;C&gt;1&lt;/C&gt;&lt;D xsi:type="xsd:double"&gt;10.136127&lt;/D&gt;&lt;/FQL&gt;&lt;FQL&gt;&lt;Q&gt;Ticker0013^FE_ESTIMATE(EPS,MEAN,CAL4_ROLL,2025,45778,,,'')&lt;/Q&gt;&lt;R&gt;1&lt;/R&gt;&lt;C&gt;1&lt;/C&gt;&lt;D xsi:type="xsd:double"&gt;9.643577&lt;/D&gt;&lt;/FQL&gt;&lt;FQL&gt;&lt;Q&gt;Ticker0013^FE_ESTIMATE(EPS,MEAN,CAL4_ROLL,2024,45778,,,'')&lt;/Q&gt;&lt;R&gt;1&lt;/R&gt;&lt;C&gt;1&lt;/C&gt;&lt;D xsi:type="xsd:double"&gt;8.05&lt;/D&gt;&lt;/FQL&gt;&lt;FQL&gt;&lt;Q&gt;Ticker0013^FE_ESTIMATE(EPS,MEAN,CAL4_ROLL,2023,45778,,,'')&lt;/Q&gt;&lt;R&gt;1&lt;/R&gt;&lt;C&gt;1&lt;/C&gt;&lt;D xsi:type="xsd:double"&gt;5.8&lt;/D&gt;&lt;/FQL&gt;&lt;FQL&gt;&lt;Q&gt;Ticker0013^FE_ESTIMATE(EPS,MEAN,NTM4_ROLL,,45778,,,'')&lt;/Q&gt;&lt;R&gt;1&lt;/R&gt;&lt;C&gt;1&lt;/C&gt;&lt;D xsi:type="xsd:double"&gt;9.181791&lt;/D&gt;&lt;/FQL&gt;&lt;FQL&gt;&lt;Q&gt;Ticker0013^FE_ESTIMATE(EPS,MEAN,LTM4_ROLL,,45778,,,'')&lt;/Q&gt;&lt;R&gt;1&lt;/R&gt;&lt;C&gt;1&lt;/C&gt;&lt;D xsi:type="xsd:double"&gt;8.97&lt;/D&gt;&lt;/FQL&gt;&lt;FQL&gt;&lt;Q&gt;Ticker0024^FE_ESTIMATE(FCF,MEAN,CAL4_ROLL,2026,45778,,,'')&lt;/Q&gt;&lt;R&gt;1&lt;/R&gt;&lt;C&gt;1&lt;/C&gt;&lt;D xsi:type="xsd:double"&gt;82485.47&lt;/D&gt;&lt;/FQL&gt;&lt;FQL&gt;&lt;Q&gt;Ticker0024^FE_ESTIMATE(FCF,MEAN,CAL4_ROLL,2025,45778,,,'')&lt;/Q&gt;&lt;R&gt;1&lt;/R&gt;&lt;C&gt;1&lt;/C&gt;&lt;D xsi:type="xsd:double"&gt;77565.81&lt;/D&gt;&lt;/FQL&gt;&lt;FQL&gt;&lt;Q&gt;Ticker0024^FE_ESTIMATE(FCF,MEAN,CAL4_ROLL,2024,45778,,,'')&lt;/Q&gt;&lt;R&gt;1&lt;/R&gt;&lt;C&gt;1&lt;/C&gt;&lt;D xsi:type="xsd:double"&gt;68357.12&lt;/D&gt;&lt;/FQL&gt;&lt;FQL&gt;&lt;Q&gt;Ticker0024^FE_ESTIMATE(FCF,MEAN,CAL4_ROLL,2023,45778,,,'')&lt;/Q&gt;&lt;R&gt;1&lt;/R&gt;&lt;C&gt;1&lt;/C&gt;&lt;D xsi:type="xsd:double"&gt;64571.887&lt;/D&gt;&lt;/FQL&gt;&lt;FQL&gt;&lt;Q&gt;Ticker0024^FE_ESTIMATE(FCF,MEAN,NTM4_ROLL,,45778,,,'')&lt;/Q&gt;&lt;R&gt;1&lt;/R&gt;&lt;C&gt;1&lt;/C&gt;&lt;D xsi:type="xsd:double"&gt;76291.85&lt;/D&gt;&lt;/FQL&gt;&lt;FQL&gt;&lt;Q&gt;Ticker0024^FE_ESTIMATE(FCF,MEAN,LTM4_ROLL,,45778,,,'')&lt;/Q&gt;&lt;R&gt;1&lt;/R&gt;&lt;C&gt;1&lt;/C&gt;&lt;D xsi:type="xsd:double"&gt;65604.72&lt;/D&gt;&lt;/FQL&gt;&lt;FQL&gt;&lt;Q&gt;IBM^FE_ESTIMATE(FCF,MEAN,CAL4_ROLL,2026,45778,,,'')&lt;/Q&gt;&lt;R&gt;1&lt;/R&gt;&lt;C&gt;1&lt;/C&gt;&lt;D xsi:type="xsd:double"&gt;14345&lt;/D&gt;&lt;/FQL&gt;&lt;FQL&gt;&lt;Q&gt;IBM^FE_ESTIMATE(FCF,MEAN,CAL4_ROLL,2025,45778,,,'')&lt;/Q&gt;&lt;R&gt;1&lt;/R&gt;&lt;C&gt;1&lt;/C&gt;&lt;D xsi:type="xsd:double"&gt;13748.533&lt;/D&gt;&lt;/FQL&gt;&lt;FQL&gt;&lt;Q&gt;IBM^FE_ESTIMATE(FCF,MEAN,CAL4_ROLL,2024,45778,,,'')&lt;/Q&gt;&lt;R&gt;1&lt;/R&gt;&lt;C&gt;1&lt;/C&gt;&lt;D xsi:type="xsd:double"&gt;12749&lt;/D&gt;&lt;/FQL&gt;&lt;FQL&gt;&lt;Q&gt;IBM^FE_ESTIMATE(FCF,MEAN,CAL4_ROLL,2023,45778,,,'')&lt;/Q&gt;&lt;R&gt;1&lt;/R&gt;&lt;C&gt;1&lt;/C&gt;&lt;D xsi:type="xsd:double"&gt;11210&lt;/D&gt;&lt;/FQL&gt;&lt;FQL&gt;&lt;Q&gt;IBM^FE_ESTIMATE(FCF,MEAN,NTM4_ROLL,,45778,,,'')&lt;/Q&gt;&lt;R&gt;1&lt;/R&gt;&lt;C&gt;1&lt;/C&gt;&lt;D xsi:type="xsd:double"&gt;14036.533&lt;/D&gt;&lt;/FQL&gt;&lt;FQL&gt;&lt;Q&gt;IBM^FE_ESTIMATE(FCF,MEAN,LTM4_ROLL,,45778,,,'')&lt;/Q&gt;&lt;R&gt;1&lt;/R&gt;&lt;C&gt;1&lt;/C&gt;&lt;D xsi:type="xsd:double"&gt;12801&lt;/D&gt;&lt;/FQL&gt;&lt;FQL&gt;&lt;Q&gt;CRM^FE_ESTIMATE(FCF,MEAN,CAL4_ROLL,2026,45778,,,'')&lt;/Q&gt;&lt;R&gt;1&lt;/R&gt;&lt;C&gt;1&lt;/C&gt;&lt;D xsi:type="xsd:double"&gt;15027.606&lt;/D&gt;&lt;/FQL&gt;&lt;FQL&gt;&lt;Q&gt;CRM^FE_ESTIMATE(FCF,MEAN,CAL4_ROLL,2025,45778,,,'')&lt;/Q&gt;&lt;R&gt;1&lt;/R&gt;&lt;C&gt;1&lt;/C&gt;&lt;D xsi:type="xsd:double"&gt;13698.495&lt;/D&gt;&lt;/FQL&gt;&lt;FQL&gt;&lt;Q&gt;CRM^FE_ESTIMATE(FCF,MEAN,CAL4_ROLL,2024,45778,,,'')&lt;/Q&gt;&lt;R&gt;1&lt;/R&gt;&lt;C&gt;1&lt;/C&gt;&lt;D xsi:type="xsd:double"&gt;12434&lt;/D&gt;&lt;/FQL&gt;&lt;FQL&gt;&lt;Q&gt;CRM^FE_ESTIMATE(FCF,MEAN,CAL4_ROLL,2023,45778,,,'')&lt;/Q&gt;&lt;R&gt;1&lt;/R&gt;&lt;C&gt;1&lt;/C&gt;&lt;D xsi:type="xsd:double"&gt;9498&lt;/D&gt;&lt;/FQL&gt;&lt;FQL&gt;&lt;Q&gt;CRM^FE_ESTIMATE(FCF,MEAN,NTM4_ROLL,,45778,,,'')&lt;/Q&gt;&lt;R&gt;1&lt;/R&gt;&lt;C&gt;1&lt;/C&gt;&lt;D xsi:type="xsd:double"&gt;13698.495&lt;/D&gt;&lt;/FQL&gt;&lt;FQL&gt;&lt;Q&gt;CRM^FE_ESTIMATE(FCF,MEAN,LTM4_ROLL,,45778,,,'')&lt;/Q&gt;&lt;R&gt;1&lt;/R&gt;&lt;C&gt;1&lt;/C&gt;&lt;D xsi:type="xsd:double"&gt;12434&lt;/D&gt;&lt;/FQL&gt;&lt;FQL&gt;&lt;Q&gt;Company1341^FE_ESTIMATE(FCF,MEAN,CAL4_ROLL,2026,45778,,,'')&lt;/Q&gt;&lt;R&gt;1&lt;/R&gt;&lt;C&gt;1&lt;/C&gt;&lt;D xsi:type="xsd:double"&gt;6909.067&lt;/D&gt;&lt;/FQL&gt;&lt;FQL&gt;&lt;Q&gt;Company1341^FE_ESTIMATE(FCF,MEAN,CAL4_ROLL,2025,45778,,,'')&lt;/Q&gt;&lt;R&gt;1&lt;/R&gt;&lt;C&gt;1&lt;/C&gt;&lt;D xsi:type="xsd:double"&gt;6312.4644&lt;/D&gt;&lt;/FQL&gt;&lt;FQL&gt;&lt;Q&gt;Company1341^FE_ESTIMATE(FCF,MEAN,CAL4_ROLL,2024,45778,,,'')&lt;/Q&gt;&lt;R&gt;1&lt;/R&gt;&lt;C&gt;1&lt;/C&gt;&lt;D xsi:type="xsd:double"&gt;5539.0967&lt;/D&gt;&lt;/FQL&gt;&lt;FQL&gt;&lt;Q&gt;Company1341^FE_ESTIMATE(FCF,MEAN,CAL4_ROLL,2023,45778,,,'')&lt;/Q&gt;&lt;R&gt;1&lt;/R&gt;&lt;C&gt;1&lt;/C&gt;&lt;D xsi:type="xsd:double"&gt;4760.005&lt;/D&gt;&lt;/FQL&gt;&lt;FQL&gt;&lt;Q&gt;Company1341^FE_ESTIMATE(FCF,MEAN,NTM4_ROLL,,45778,,,'')&lt;/Q&gt;&lt;R&gt;1&lt;/R&gt;&lt;C&gt;1&lt;/C&gt;&lt;D xsi:type="xsd:double"&gt;6312.4644&lt;/D&gt;&lt;/FQL&gt;&lt;FQL&gt;&lt;Q&gt;Company1341^FE_ESTIMATE(FCF,MEAN,LTM4_ROLL,,45778,,,'')&lt;/Q&gt;&lt;R&gt;1&lt;/R&gt;&lt;C&gt;1&lt;/C&gt;&lt;D xsi:type="xsd:double"&gt;5539.0967&lt;/D&gt;&lt;/FQL&gt;&lt;FQL&gt;&lt;Q&gt;Company0023^FE_ESTIMATE(FCF,MEAN,CAL4_ROLL,2026,45778,,,'')&lt;/Q&gt;&lt;R&gt;1&lt;/R&gt;&lt;C&gt;1&lt;/C&gt;&lt;D xsi:type="xsd:double"&gt;10360.803&lt;/D&gt;&lt;/FQL&gt;&lt;FQL&gt;&lt;Q&gt;Company0023^FE_ESTIMATE(FCF,MEAN,CAL4_ROLL,2025,45778,,,'')&lt;/Q&gt;&lt;R&gt;1&lt;/R&gt;&lt;C&gt;1&lt;/C&gt;&lt;D xsi:type="xsd:double"&gt;9418.106&lt;/D&gt;&lt;/FQL&gt;&lt;FQL&gt;&lt;Q&gt;Company0023^FE_ESTIMATE(FCF,MEAN,CAL4_ROLL,2024,45778,,,'')&lt;/Q&gt;&lt;R&gt;1&lt;/R&gt;&lt;C&gt;1&lt;/C&gt;&lt;D xsi:type="xsd:double"&gt;7881.607&lt;/D&gt;&lt;/FQL&gt;&lt;FQL&gt;&lt;Q&gt;Company0023^FE_ESTIMATE(FCF,MEAN,CAL4_ROLL,2023,45778,,,'')&lt;/Q&gt;&lt;R&gt;1&lt;/R&gt;&lt;C&gt;1&lt;/C&gt;&lt;D xsi:type="xsd:double"&gt;7132.4546&lt;/D&gt;&lt;/FQL&gt;&lt;FQL&gt;&lt;Q&gt;Company0023^FE_ESTIMATE(FCF,MEAN,NTM4_ROLL,,45778,,,'')&lt;/Q&gt;&lt;R&gt;1&lt;/R&gt;&lt;C&gt;1&lt;/C&gt;&lt;D xsi:type="xsd:double"&gt;9198.944&lt;/D&gt;&lt;/FQL&gt;&lt;FQL&gt;&lt;Q&gt;Company0023^FE_ESTIMATE(FCF,MEAN,LTM4_ROLL,,45778,,,'')&lt;/Q&gt;&lt;R&gt;1&lt;/R&gt;&lt;C&gt;1&lt;/C&gt;&lt;D xsi:type="xsd:double"&gt;9193.25&lt;/D&gt;&lt;/FQL&gt;&lt;FQL&gt;&lt;Q&gt;Company1985^FE_ESTIMATE(FCF,MEAN,CAL4_ROLL,2026,45778,,,'')&lt;/Q&gt;&lt;R&gt;1&lt;/R&gt;&lt;C&gt;1&lt;/C&gt;&lt;D xsi:type="xsd:double"&gt;10748.23&lt;/D&gt;&lt;/FQL&gt;&lt;FQL&gt;&lt;Q&gt;Company1985^FE_ESTIMATE(FCF,MEAN,CAL4_ROLL,2025,45778,,,'')&lt;/Q&gt;&lt;R&gt;1&lt;/R&gt;&lt;C&gt;1&lt;/C&gt;&lt;D xsi:type="xsd:double"&gt;6312.889&lt;/D&gt;&lt;/FQL&gt;&lt;FQL&gt;&lt;Q&gt;Company1985^FE_ESTIMATE(FCF,MEAN,CAL4_ROLL,2024,45778,,,'')&lt;/Q&gt;&lt;R&gt;1&lt;/R&gt;&lt;C&gt;1&lt;/C&gt;&lt;D xsi:type="xsd:double"&gt;9550.706&lt;/D&gt;&lt;/FQL&gt;&lt;FQL&gt;&lt;Q&gt;Company1985^FE_ESTIMATE(FCF,MEAN,CAL4_ROLL,2023,45778,,,'')&lt;/Q&gt;&lt;R&gt;1&lt;/R&gt;&lt;C&gt;1&lt;/C&gt;&lt;D xsi:type="xsd:double"&gt;10035.492&lt;/D&gt;&lt;/FQL&gt;&lt;FQL&gt;&lt;Q&gt;Company1985^FE_ESTIMATE(FCF,MEAN,NTM4_ROLL,,45778,,,'')&lt;/Q&gt;&lt;R&gt;1&lt;/R&gt;&lt;C&gt;1&lt;/C&gt;&lt;D xsi:type="xsd:double"&gt;7418.4395&lt;/D&gt;&lt;/FQL&gt;&lt;FQL&gt;&lt;Q&gt;Company1985^FE_ESTIMATE(FCF,MEAN,LTM4_ROLL,,45778,,,'')&lt;/Q&gt;&lt;R&gt;1&lt;/R&gt;&lt;C&gt;1&lt;/C&gt;&lt;D xsi:type="xsd:double"&gt;5869.091&lt;/D&gt;&lt;/FQL&gt;&lt;FQL&gt;&lt;Q&gt;Company2320^FE_ESTIMATE(FCF,MEAN,CAL4_ROLL,2026,45778,,,'')&lt;/Q&gt;&lt;R&gt;1&lt;/R&gt;&lt;C&gt;1&lt;/C&gt;&lt;D xsi:type="xsd:double"&gt;11114.298&lt;/D&gt;&lt;/FQL&gt;&lt;FQL&gt;&lt;Q&gt;Company2320^FE_ESTIMATE(FCF,MEAN,CAL4_ROLL,2025,45778,,,'')&lt;/Q&gt;&lt;R&gt;1&lt;/R&gt;&lt;C&gt;1&lt;/C&gt;&lt;D xsi:type="xsd:double"&gt;9263.946&lt;/D&gt;&lt;/FQL&gt;&lt;FQL&gt;&lt;Q&gt;Company2320^FE_ESTIMATE(FCF,MEAN,CAL4_ROLL,2024,45778,,,'')&lt;/Q&gt;&lt;R&gt;1&lt;/R&gt;&lt;C&gt;1&lt;/C&gt;&lt;D xsi:type="xsd:double"&gt;4458.2144&lt;/D&gt;&lt;/FQL&gt;&lt;FQL&gt;&lt;Q&gt;Company2320^FE_ESTIMATE(FCF,MEAN,CAL4_ROLL,2023,45778,,,'')&lt;/Q&gt;&lt;R&gt;1&lt;/R&gt;&lt;C&gt;1&lt;/C&gt;&lt;D xsi:type="xsd:double"&gt;5599.309&lt;/D&gt;&lt;/FQL&gt;&lt;FQL&gt;&lt;Q&gt;Company2320^FE_ESTIMATE(FCF,MEAN,NTM4_ROLL,,45778,,,'')&lt;/Q&gt;&lt;R&gt;1&lt;/R&gt;&lt;C&gt;1&lt;/C&gt;&lt;D xsi:type="xsd:double"&gt;9047.161&lt;/D&gt;&lt;/FQL&gt;&lt;FQL&gt;&lt;Q&gt;Company2320^FE_ESTIMATE(FCF,MEAN,LTM4_ROLL,,45778,,,'')&lt;/Q&gt;&lt;R&gt;1&lt;/R&gt;&lt;C&gt;1&lt;/C&gt;&lt;D xsi:type="xsd:double"&gt;5858.978&lt;/D&gt;&lt;/FQL&gt;&lt;FQL&gt;&lt;Q&gt;Company0103^FE_ESTIMATE(FCF,MEAN,CAL4_ROLL,2026,45778,,,'')&lt;/Q&gt;&lt;R&gt;1&lt;/R&gt;&lt;C&gt;1&lt;/C&gt;&lt;D xsi:type="xsd:double"&gt;53330.04&lt;/D&gt;&lt;/FQL&gt;&lt;FQL&gt;&lt;Q&gt;Company0103^FE_ESTIMATE(FCF,MEAN,CAL4_ROLL,2025,45778,,,'')&lt;/Q&gt;&lt;R&gt;1&lt;/R&gt;&lt;C&gt;1&lt;/C&gt;&lt;D xsi:type="xsd:double"&gt;41168.754&lt;/D&gt;&lt;/FQL&gt;&lt;FQL&gt;&lt;Q&gt;Company0103^FE_ESTIMATE(FCF,MEAN,CAL4_ROLL,2024,45778,,,'')&lt;/Q&gt;&lt;R&gt;1&lt;/R&gt;&lt;C&gt;1&lt;/C&gt;&lt;D xsi:type="xsd:double"&gt;37569.48&lt;/D&gt;&lt;/FQL&gt;&lt;FQL&gt;&lt;Q&gt;Company0103^FE_ESTIMATE(FCF,MEAN,CAL4_ROLL,2023,45778,,,'')&lt;/Q&gt;&lt;R&gt;1&lt;/R&gt;&lt;C&gt;1&lt;/C&gt;&lt;D xsi:type="xsd:double"&gt;38765.21&lt;/D&gt;&lt;/FQL&gt;&lt;FQL&gt;&lt;Q&gt;Company0103^FE_ESTIMATE(FCF,MEAN,NTM4_ROLL,,45778,,,'')&lt;/Q&gt;&lt;R&gt;1&lt;/R&gt;&lt;C&gt;1&lt;/C&gt;&lt;D xsi:type="xsd:double"&gt;41168.754&lt;/D&gt;&lt;/FQL&gt;&lt;FQL&gt;&lt;Q&gt;Company0103^FE_ESTIMATE(FCF,MEAN,LTM4_ROLL,,45778,,,'')&lt;/Q&gt;&lt;R&gt;1&lt;/R&gt;&lt;C&gt;1&lt;/C&gt;&lt;D xsi:type="xsd:double"&gt;37569.48&lt;/D&gt;&lt;/FQL&gt;&lt;FQL&gt;&lt;Q&gt;Ticker0013^FE_ESTIMATE(FCF,MEAN,CAL4_ROLL,2026,45778,,,'')&lt;/Q&gt;&lt;R&gt;1&lt;/R&gt;&lt;C&gt;1&lt;/C&gt;&lt;D xsi:type="xsd:double"&gt;89405.5&lt;/D&gt;&lt;/FQL&gt;&lt;FQL&gt;&lt;Q&gt;Ticker0013^FE_ESTIMATE(FCF,MEAN,CAL4_ROLL,2025,45778,,,'')&lt;/Q&gt;&lt;R&gt;1&lt;/R&gt;&lt;C&gt;1&lt;/C&gt;&lt;D xsi:type="xsd:double"&gt;74054.29&lt;/D&gt;&lt;/FQL&gt;&lt;FQL&gt;&lt;Q&gt;Ticker0013^FE_ESTIMATE(FCF,MEAN,CAL4_ROLL,2024,45778,,,'')&lt;/Q&gt;&lt;R&gt;1&lt;/R&gt;&lt;C&gt;1&lt;/C&gt;&lt;D xsi:type="xsd:double"&gt;73062&lt;/D&gt;&lt;/FQL&gt;&lt;FQL&gt;&lt;Q&gt;Ticker0013^FE_ESTIMATE(FCF,MEAN,CAL4_ROLL,2023,45778,,,'')&lt;/Q&gt;&lt;R&gt;1&lt;/R&gt;&lt;C&gt;1&lt;/C&gt;&lt;D xsi:type="xsd:double"&gt;69970.21&lt;/D&gt;&lt;/FQL&gt;&lt;FQL&gt;&lt;Q&gt;Ticker0013^FE_ESTIMATE(FCF,MEAN,NTM4_ROLL,,45778,,,'')&lt;/Q&gt;&lt;R&gt;1&lt;/R&gt;&lt;C&gt;1&lt;/C&gt;&lt;D xsi:type="xsd:double"&gt;76335&lt;/D&gt;&lt;/FQL&gt;&lt;FQL&gt;&lt;Q&gt;Ticker0013^FE_ESTIMATE(FCF,MEAN,LTM4_ROLL,,45778,,,'')&lt;/Q&gt;&lt;R&gt;1&lt;/R&gt;&lt;C&gt;1&lt;/C&gt;&lt;D xsi:type="xsd:double"&gt;74881.46&lt;/D&gt;&lt;/FQL&gt;&lt;FQL&gt;&lt;Q&gt;Ticker0024^FE_ESTIMATE(EBIT_ADJ,MEAN,CAL4_ROLL,2026,45778,,,'')&lt;/Q&gt;&lt;R&gt;1&lt;/R&gt;&lt;C&gt;1&lt;/C&gt;&lt;D xsi:type="xsd:double"&gt;148430.25&lt;/D&gt;&lt;/FQL&gt;&lt;FQL&gt;&lt;Q&gt;Ticker0024^FE_ESTIMATE(EBIT_ADJ,MEAN,CAL4_ROLL,2025,45778,,,'')&lt;/Q&gt;&lt;R&gt;1&lt;/R&gt;&lt;C&gt;1&lt;/C&gt;&lt;D xsi:type="xsd:double"&gt;131489.7&lt;/D&gt;&lt;/FQL&gt;&lt;FQL&gt;&lt;Q&gt;Ticker0024^FE_ESTIMATE(EBIT_ADJ,MEAN,CAL4_ROLL,2024,45778,,,'')&lt;/Q&gt;&lt;R&gt;1&lt;/R&gt;&lt;C&gt;1&lt;/C&gt;&lt;D xsi:type="xsd:double"&gt;117711.1&lt;/D&gt;&lt;/FQL&gt;&lt;FQL&gt;&lt;Q&gt;Ticker0024^FE_ESTIMATE(EBIT_ADJ,MEAN,CAL4_ROLL,2023,45778,,,'')&lt;/Q&gt;&lt;R&gt;1&lt;/R&gt;&lt;C&gt;1&lt;/C&gt;&lt;D xsi:type="xsd:double"&gt;100641.9&lt;/D&gt;&lt;/FQL&gt;&lt;FQL&gt;&lt;Q&gt;Ticker0024^FE_ESTIMATE(EBIT_ADJ,MEAN,NTM4_ROLL,,45778,,,'')&lt;/Q&gt;&lt;R&gt;1&lt;/R&gt;&lt;C&gt;1&lt;/C&gt;&lt;D xsi:type="xsd:double"&gt;135327.06&lt;/D&gt;&lt;/FQL&gt;&lt;FQL&gt;&lt;Q&gt;Ticker0024^FE_ESTIMATE(EBIT_ADJ,MEAN,LTM4_ROLL,,45778,,,'')&lt;/Q&gt;&lt;R&gt;1&lt;/R&gt;&lt;C&gt;1&lt;/C&gt;&lt;D xsi:type="xsd:double"&gt;121017.19&lt;/D&gt;&lt;/FQL&gt;&lt;FQL&gt;&lt;Q&gt;IBM^FE_ESTIMATE(EBIT_ADJ,MEAN,CAL4_ROLL,2026,45778,,,'')&lt;/Q&gt;&lt;R&gt;1&lt;/R&gt;&lt;C&gt;1&lt;/C&gt;&lt;D xsi:type="xsd:double"&gt;13539.798&lt;/D&gt;&lt;/FQL&gt;&lt;FQL&gt;&lt;Q&gt;IBM^FE_ESTIMATE(EBIT_ADJ,MEAN,CAL4_ROLL,2025,45778,,,'')&lt;/Q&gt;&lt;R&gt;1&lt;/R&gt;&lt;C&gt;1&lt;/C&gt;&lt;D xsi:type="xsd:double"&gt;12491.017&lt;/D&gt;&lt;/FQL&gt;&lt;FQL&gt;&lt;Q&gt;IBM^FE_ESTIMATE(EBIT_ADJ,MEAN,CAL4_ROLL,2024,45778,,,'')&lt;/Q&gt;&lt;R&gt;1&lt;/R&gt;&lt;C&gt;1&lt;/C&gt;&lt;D xsi:type="xsd:double"&gt;11312.172&lt;/D&gt;&lt;/FQL&gt;&lt;FQL&gt;&lt;Q&gt;IBM^FE_ESTIMATE(EBIT_ADJ,MEAN,CAL4_ROLL,2023,45778,,,'')&lt;/Q&gt;&lt;R&gt;1&lt;/R&gt;&lt;C&gt;1&lt;/C&gt;&lt;D xsi:type="xsd:double"&gt;10434.986&lt;/D&gt;&lt;/FQL&gt;&lt;FQL&gt;&lt;Q&gt;IBM^FE_ESTIMATE(EBIT_ADJ,MEAN,NTM4_ROLL,,45778,,,'')&lt;/Q&gt;&lt;R&gt;1&lt;/R&gt;&lt;C&gt;1&lt;/C&gt;&lt;D xsi:type="xsd:double"&gt;12944.078&lt;/D&gt;&lt;/FQL&gt;&lt;FQL&gt;&lt;Q&gt;IBM^FE_ESTIMATE(EBIT_ADJ,MEAN,LTM4_ROLL,,45778,,,'')&lt;/Q&gt;&lt;R&gt;1&lt;/R&gt;&lt;C&gt;1&lt;/C&gt;&lt;D xsi:type="xsd:double"&gt;11561.45&lt;/D&gt;&lt;/FQL&gt;&lt;FQL&gt;&lt;Q&gt;CRM^FE_ESTIMATE(EBIT_ADJ,MEAN,CAL4_ROLL,2026,45778,,,'')&lt;/Q&gt;&lt;R&gt;1&lt;/R&gt;&lt;C&gt;1&lt;/C&gt;&lt;D xsi:type="xsd:double"&gt;15507.806&lt;/D&gt;&lt;/FQL&gt;&lt;FQL&gt;&lt;Q&gt;CRM^FE_ESTIMATE(EBIT_ADJ,MEAN,CAL4_ROLL,2025,45778,,,'')&lt;/Q&gt;&lt;R&gt;1&lt;/R&gt;&lt;C&gt;1&lt;/C&gt;&lt;D xsi:type="xsd:double"&gt;13861.458&lt;/D&gt;&lt;/FQL&gt;&lt;FQL&gt;&lt;Q&gt;CRM^FE_ESTIMATE(EBIT_ADJ,MEAN,CAL4_ROLL,2024,45778,,,'')&lt;/Q&gt;&lt;R&gt;1&lt;/R&gt;&lt;C&gt;1&lt;/C&gt;&lt;D xsi:type="xsd:double"&gt;12498&lt;/D&gt;&lt;/FQL&gt;&lt;FQL&gt;&lt;Q&gt;CRM^FE_ESTIMATE(EBIT_ADJ,MEAN,CAL4_ROLL,2023,45778,,,'')&lt;/Q&gt;&lt;R&gt;1&lt;/R&gt;&lt;C&gt;1&lt;/C&gt;&lt;D xsi:type="xsd:double"&gt;10632&lt;/D&gt;&lt;/FQL&gt;&lt;FQL&gt;&lt;Q&gt;CRM^FE_ESTIMATE(EBIT_ADJ,MEAN,NTM4_ROLL,,45778,,,'')&lt;/Q&gt;&lt;R&gt;1&lt;/R&gt;&lt;C&gt;1&lt;/C&gt;&lt;D xsi:type="xsd:double"&gt;13861.458&lt;/D&gt;&lt;/FQL&gt;&lt;FQL&gt;&lt;Q&gt;CRM^FE_ESTIMATE(EBIT_ADJ,MEAN,LTM4_ROLL,,45778,,,'')&lt;/Q&gt;&lt;R&gt;1&lt;/R&gt;&lt;C&gt;1&lt;/C&gt;&lt;D xsi:type="xsd:double"&gt;12498&lt;/D&gt;&lt;/FQL&gt;&lt;FQL&gt;&lt;Q&gt;Company1341^FE_ESTIMATE(EBIT_ADJ,MEAN,CAL4_ROLL,2026,45778,,,'')&lt;/Q&gt;&lt;R&gt;1&lt;/R&gt;&lt;C&gt;1&lt;/C&gt;&lt;D xsi:type="xsd:double"&gt;8727.898&lt;/D&gt;&lt;/FQL&gt;&lt;FQL&gt;&lt;Q&gt;Company1341^FE_ESTIMATE(EBIT_ADJ,MEAN,CAL4_ROLL,2025,45778,,,'')&lt;/Q&gt;&lt;R&gt;1&lt;/R&gt;&lt;C&gt;1&lt;/C&gt;&lt;D xsi:type="xsd:double"&gt;7695.742&lt;/D&gt;&lt;/FQL&gt;&lt;FQL&gt;&lt;Q&gt;Company1341^FE_ESTIMATE(EBIT_ADJ,MEAN,CAL4_ROLL,2024,45778,,,'')&lt;/Q&gt;&lt;R&gt;1&lt;/R&gt;&lt;C&gt;1&lt;/C&gt;&lt;D xsi:type="xsd:double"&gt;6655&lt;/D&gt;&lt;/FQL&gt;&lt;FQL&gt;&lt;Q&gt;Company1341^FE_ESTIMATE(EBIT_ADJ,MEAN,CAL4_ROLL,2023,45778,,,'')&lt;/Q&gt;&lt;R&gt;1&lt;/R&gt;&lt;C&gt;1&lt;/C&gt;&lt;D xsi:type="xsd:double"&gt;5945&lt;/D&gt;&lt;/FQL&gt;&lt;FQL&gt;&lt;Q&gt;Company1341^FE_ESTIMATE(EBIT_ADJ,MEAN,NTM4_ROLL,,45778,,,'')&lt;/Q&gt;&lt;R&gt;1&lt;/R&gt;&lt;C&gt;1&lt;/C&gt;&lt;D xsi:type="xsd:double"&gt;7695.742&lt;/D&gt;&lt;/FQL&gt;&lt;FQL&gt;&lt;Q&gt;Company1341^FE_ESTIMATE(EBIT_ADJ,MEAN,LTM4_ROLL,,45778,,,'')&lt;/Q&gt;&lt;R&gt;1&lt;/R&gt;&lt;C&gt;1&lt;/C&gt;&lt;D xsi:type="xsd:double"&gt;6655&lt;/D&gt;&lt;/FQL&gt;&lt;FQL&gt;&lt;Q&gt;Company0023^FE_ESTIMATE(EBIT_ADJ,MEAN,CAL4_ROLL,2026,45778,,,'')&lt;/Q&gt;&lt;R&gt;1&lt;/R&gt;&lt;C&gt;1&lt;/C&gt;&lt;D xsi:type="xsd:double"&gt;11879.626&lt;/D&gt;&lt;/FQL&gt;&lt;FQL&gt;&lt;Q&gt;Company0023^FE_ESTIMATE(EBIT_ADJ,MEAN,CAL4_ROLL,2025,45778,,,'')&lt;/Q&gt;&lt;R&gt;1&lt;/R&gt;&lt;C&gt;1&lt;/C&gt;&lt;D xsi:type="xsd:double"&gt;10802.084&lt;/D&gt;&lt;/FQL&gt;&lt;FQL&gt;&lt;Q&gt;Company0023^FE_ESTIMATE(EBIT_ADJ,MEAN,CAL4_ROLL,2024,45778,,,'')&lt;/Q&gt;&lt;R&gt;1&lt;/R&gt;&lt;C&gt;1&lt;/C&gt;&lt;D xsi:type="xsd:double"&gt;10017.416&lt;/D&gt;&lt;/FQL&gt;&lt;FQL&gt;&lt;Q&gt;Company0023^FE_ESTIMATE(EBIT_ADJ,MEAN,CAL4_ROLL,2023,45778,,,'')&lt;/Q&gt;&lt;R&gt;1&lt;/R&gt;&lt;C&gt;1&lt;/C&gt;&lt;D xsi:type="xsd:double"&gt;8917.313&lt;/D&gt;&lt;/FQL&gt;&lt;FQL&gt;&lt;Q&gt;Company0023^FE_ESTIMATE(EBIT_ADJ,MEAN,NTM4_ROLL,,45778,,,'')&lt;/Q&gt;&lt;R&gt;1&lt;/R&gt;&lt;C&gt;1&lt;/C&gt;&lt;D xsi:type="xsd:double"&gt;11001.661&lt;/D&gt;&lt;/FQL&gt;&lt;FQL&gt;&lt;Q&gt;Company0023^FE_ESTIMATE(EBIT_ADJ,MEAN,LTM4_ROLL,,45778,,,'')&lt;/Q&gt;&lt;R&gt;1&lt;/R&gt;&lt;C&gt;1&lt;/C&gt;&lt;D xsi:type="xsd:double"&gt;10265.695&lt;/D&gt;&lt;/FQL&gt;&lt;FQL&gt;&lt;Q&gt;Company1985^FE_ESTIMATE(EBIT_ADJ,MEAN,CAL4_ROLL,2026,45778,,,'')&lt;/Q&gt;&lt;R&gt;1&lt;/R&gt;&lt;C&gt;1&lt;/C&gt;&lt;D xsi:type="xsd:double"&gt;29664.574&lt;/D&gt;&lt;/FQL&gt;&lt;FQL&gt;&lt;Q&gt;Company1985^FE_ESTIMATE(EBIT_ADJ,MEAN,CAL4_ROLL,2025,45778,,,'')&lt;/Q&gt;&lt;R&gt;1&lt;/R&gt;&lt;C&gt;1&lt;/C&gt;&lt;D xsi:type="xsd:double"&gt;25825.52&lt;/D&gt;&lt;/FQL&gt;&lt;FQL&gt;&lt;Q&gt;Company1985^FE_ESTIMATE(EBIT_ADJ,MEAN,CAL4_ROLL,2024,45778,,,'')&lt;/Q&gt;&lt;R&gt;1&lt;/R&gt;&lt;C&gt;1&lt;/C&gt;&lt;D xsi:type="xsd:double"&gt;24264.834&lt;/D&gt;&lt;/FQL&gt;&lt;FQL&gt;&lt;Q&gt;Company1985^FE_ESTIMATE(EBIT_ADJ,MEAN,CAL4_ROLL,2023,45778,,,'')&lt;/Q&gt;&lt;R&gt;1&lt;/R&gt;&lt;C&gt;1&lt;/C&gt;&lt;D xsi:type="xsd:double"&gt;21933.8&lt;/D&gt;&lt;/FQL&gt;&lt;FQL&gt;&lt;Q&gt;Company1985^FE_ESTIMATE(EBIT_ADJ,MEAN,NTM4_ROLL,,45778,,,'')&lt;/Q&gt;&lt;R&gt;1&lt;/R&gt;&lt;C&gt;1&lt;/C&gt;&lt;D xsi:type="xsd:double"&gt;26456.012&lt;/D&gt;&lt;/FQL&gt;&lt;FQL&gt;&lt;Q&gt;Company1985^FE_ESTIMATE(EBIT_ADJ,MEAN,LTM4_ROLL,,45778,,,'')&lt;/Q&gt;&lt;R&gt;1&lt;/R&gt;&lt;C&gt;1&lt;/C&gt;&lt;D xsi:type="xsd:double"&gt;24667.857&lt;/D&gt;&lt;/FQL&gt;&lt;FQL&gt;&lt;Q&gt;Company2320^FE_ESTIMATE(EBIT_ADJ,MEAN,CAL4_ROLL,2026,45778,,,'')&lt;/Q&gt;&lt;R&gt;1&lt;/R&gt;&lt;C&gt;1&lt;/C&gt;&lt;D xsi:type="xsd:double"&gt;13632.215&lt;/D&gt;&lt;/FQL&gt;&lt;FQL&gt;&lt;Q&gt;Company2320^FE_ESTIMATE(EBIT_ADJ,MEAN,CAL4_ROLL,2025,45778,,,'')&lt;/Q&gt;&lt;R&gt;1&lt;/R&gt;&lt;C&gt;1&lt;/C&gt;&lt;D xsi:type="xsd:double"&gt;11879.674&lt;/D&gt;&lt;/FQL&gt;&lt;FQL&gt;&lt;Q&gt;Company2320^FE_ESTIMATE(EBIT_ADJ,MEAN,CAL4_ROLL,2024,45778,,,'')&lt;/Q&gt;&lt;R&gt;1&lt;/R&gt;&lt;C&gt;1&lt;/C&gt;&lt;D xsi:type="xsd:double"&gt;8709.202&lt;/D&gt;&lt;/FQL&gt;&lt;FQL&gt;&lt;Q&gt;Company2320^FE_ESTIMATE(EBIT_ADJ,MEAN,CAL4_ROLL,2023,45778,,,'')&lt;/Q&gt;&lt;R&gt;1&lt;/R&gt;&lt;C&gt;1&lt;/C&gt;&lt;D xsi:type="xsd:double"&gt;9495.468&lt;/D&gt;&lt;/FQL&gt;&lt;FQL&gt;&lt;Q&gt;Company2320^FE_ESTIMATE(EBIT_ADJ,MEAN,NTM4_ROLL,,45778,,,'')&lt;/Q&gt;&lt;R&gt;1&lt;/R&gt;&lt;C&gt;1&lt;/C&gt;&lt;D xsi:type="xsd:double"&gt;12198.938&lt;/D&gt;&lt;/FQL&gt;&lt;FQL&gt;&lt;Q&gt;Company2320^FE_ESTIMATE(EBIT_ADJ,MEAN,LTM4_ROLL,,45778,,,'')&lt;/Q&gt;&lt;R&gt;1&lt;/R&gt;&lt;C&gt;1&lt;/C&gt;&lt;D xsi:type="xsd:double"&gt;9855.624&lt;/D&gt;&lt;/FQL&gt;&lt;FQL&gt;&lt;Q&gt;Company0103^FE_ESTIMATE(EBIT_ADJ,MEAN,CAL4_ROLL,2026,45778,,,'')&lt;/Q&gt;&lt;R&gt;1&lt;/R&gt;&lt;C&gt;1&lt;/C&gt;&lt;D xsi:type="xsd:double"&gt;121125.41&lt;/D&gt;&lt;/FQL&gt;&lt;FQL&gt;&lt;Q&gt;Company0103^FE_ESTIMATE(EBIT_ADJ,MEAN,CAL4_ROLL,2025,45778,,,'')&lt;/Q&gt;&lt;R&gt;1&lt;/R&gt;&lt;C&gt;1&lt;/C&gt;&lt;D xsi:type="xsd:double"&gt;100916.96&lt;/D&gt;&lt;/FQL&gt;&lt;FQL&gt;&lt;Q&gt;Company0103^FE_ESTIMATE(EBIT_ADJ,MEAN,CAL4_ROLL,2024,45778,,,'')&lt;/Q&gt;&lt;R&gt;1&lt;/R&gt;&lt;C&gt;1&lt;/C&gt;&lt;D xsi:type="xsd:double"&gt;91124.61&lt;/D&gt;&lt;/FQL&gt;&lt;FQL&gt;&lt;Q&gt;Company0103^FE_ESTIMATE(EBIT_ADJ,MEAN,CAL4_ROLL,2023,45778,,,'')&lt;/Q&gt;&lt;R&gt;1&lt;/R&gt;&lt;C&gt;1&lt;/C&gt;&lt;D xsi:type="xsd:double"&gt;61021.926&lt;/D&gt;&lt;/FQL&gt;&lt;FQL&gt;&lt;Q&gt;Company0103^FE_ESTIMATE(EBIT_ADJ,MEAN,NTM4_ROLL,,45778,,,'')&lt;/Q&gt;&lt;R&gt;1&lt;/R&gt;&lt;C&gt;1&lt;/C&gt;&lt;D xsi:type="xsd:double"&gt;100916.96&lt;/D&gt;&lt;/FQL&gt;&lt;FQL&gt;&lt;Q&gt;Company0103^FE_ESTIMATE(EBIT_ADJ,MEAN,LTM4_ROLL,,45778,,,'')&lt;/Q&gt;&lt;R&gt;1&lt;/R&gt;&lt;C&gt;1&lt;/C&gt;&lt;D xsi:type="xsd:double"&gt;91124.61&lt;/D&gt;&lt;/FQL&gt;&lt;FQL&gt;&lt;Q&gt;Ticker0013^FE_ESTIMATE(EBIT_ADJ,MEAN,CAL4_ROLL,2026,45778,,,'')&lt;/Q&gt;&lt;R&gt;1&lt;/R&gt;&lt;C&gt;1&lt;/C&gt;&lt;D xsi:type="xsd:double"&gt;149202.64&lt;/D&gt;&lt;/FQL&gt;&lt;FQL&gt;&lt;Q&gt;Ticker0013^FE_ESTIMATE(EBIT_ADJ,MEAN,CAL4_ROLL,2025,45778,,,'')&lt;/Q&gt;&lt;R&gt;1&lt;/R&gt;&lt;C&gt;1&lt;/C&gt;&lt;D xsi:type="xsd:double"&gt;141639.44&lt;/D&gt;&lt;/FQL&gt;&lt;FQL&gt;&lt;Q&gt;Ticker0013^FE_ESTIMATE(EBIT_ADJ,MEAN,CAL4_ROLL,2024,45778,,,'')&lt;/Q&gt;&lt;R&gt;1&lt;/R&gt;&lt;C&gt;1&lt;/C&gt;&lt;D xsi:type="xsd:double"&gt;126366.8&lt;/D&gt;&lt;/FQL&gt;&lt;FQL&gt;&lt;Q&gt;Ticker0013^FE_ESTIMATE(EBIT_ADJ,MEAN,CAL4_ROLL,2023,45778,,,'')&lt;/Q&gt;&lt;R&gt;1&lt;/R&gt;&lt;C&gt;1&lt;/C&gt;&lt;D xsi:type="xsd:double"&gt;103431.97&lt;/D&gt;&lt;/FQL&gt;&lt;FQL&gt;&lt;Q&gt;Ticker0013^FE_ESTIMATE(EBIT_ADJ,MEAN,NTM4_ROLL,,45778,,,'')&lt;/Q&gt;&lt;R&gt;1&lt;/R&gt;&lt;C&gt;1&lt;/C&gt;&lt;D xsi:type="xsd:double"&gt;141933.38&lt;/D&gt;&lt;/FQL&gt;&lt;FQL&gt;&lt;Q&gt;Ticker0013^FE_ESTIMATE(EBIT_ADJ,MEAN,LTM4_ROLL,,45778,,,'')&lt;/Q&gt;&lt;R&gt;1&lt;/R&gt;&lt;C&gt;1&lt;/C&gt;&lt;D xsi:type="xsd:double"&gt;130675.664&lt;/D&gt;&lt;/FQL&gt;&lt;FQL&gt;&lt;Q&gt;Ticker0024^FE_ESTIMATE(GROSS_INC,MEAN,CAL4_ROLL,2026,45778,,,'')&lt;/Q&gt;&lt;R&gt;1&lt;/R&gt;&lt;C&gt;1&lt;/C&gt;&lt;D xsi:type="xsd:double"&gt;224573.1&lt;/D&gt;&lt;/FQL&gt;&lt;FQL&gt;&lt;Q&gt;Ticker0024^FE_ESTIMATE(GROSS_INC,MEAN,CAL4_ROLL,2025,45778,,,'')&lt;/Q&gt;&lt;R&gt;1&lt;/R&gt;&lt;C&gt;1&lt;/C&gt;&lt;D xsi:type="xsd:double"&gt;200151.06&lt;/D&gt;&lt;/FQL&gt;&lt;FQL&gt;&lt;Q&gt;Ticker0024^FE_ESTIMATE(GROSS_INC,MEAN,CAL4_ROLL,2024,45778,,,'')&lt;/Q&gt;&lt;R&gt;1&lt;/R&gt;&lt;C&gt;1&lt;/C&gt;&lt;D xsi:type="xsd:double"&gt;181703.53&lt;/D&gt;&lt;/FQL&gt;&lt;FQL&gt;&lt;Q&gt;Ticker0024^FE_ESTIMATE(GROSS_INC,MEAN,CAL4_ROLL,2023,45778,,,'')&lt;/Q&gt;&lt;R&gt;1&lt;/R&gt;&lt;C&gt;1&lt;/C&gt;&lt;D xsi:type="xsd:double"&gt;158729.31&lt;/D&gt;&lt;/FQL&gt;&lt;FQL&gt;&lt;Q&gt;Ticker0024^FE_ESTIMATE(GROSS_INC,MEAN,NTM4_ROLL,,45778,,,'')&lt;/Q&gt;&lt;R&gt;1&lt;/R&gt;&lt;C&gt;1&lt;/C&gt;&lt;D xsi:type="xsd:double"&gt;205785.7&lt;/D&gt;&lt;/FQL&gt;&lt;FQL&gt;&lt;Q&gt;Ticker0024^FE_ESTIMATE(GROSS_INC,MEAN,LTM4_ROLL,,45778,,,'')&lt;/Q&gt;&lt;R&gt;1&lt;/R&gt;&lt;C&gt;1&lt;/C&gt;&lt;D xsi:type="xsd:double"&gt;185679.64&lt;/D&gt;&lt;/FQL&gt;&lt;FQL&gt;&lt;Q&gt;IBM^FE_ESTIMATE(GROSS_INC,MEAN,CAL4_ROLL,2026,45778,,,'')&lt;/Q&gt;&lt;R&gt;1&lt;/R&gt;&lt;C&gt;1&lt;/C&gt;&lt;D xsi:type="xsd:double"&gt;40007.22&lt;/D&gt;&lt;/FQL&gt;&lt;FQL&gt;&lt;Q&gt;IBM^FE_ESTIMATE(GROSS_INC,MEAN,CAL4_ROLL,2025,45778,,,'')&lt;/Q&gt;&lt;R&gt;1&lt;/R&gt;&lt;C&gt;1&lt;/C&gt;&lt;D xsi:type="xsd:double"&gt;38832.246&lt;/D&gt;&lt;/FQL&gt;&lt;FQL&gt;&lt;Q&gt;IBM^FE_ESTIMATE(GROSS_INC,MEAN,CAL4_ROLL,2024,45778,,,'')&lt;/Q&gt;&lt;R&gt;1&lt;/R&gt;&lt;C&gt;1&lt;/C&gt;&lt;D xsi:type="xsd:double"&gt;36243.547&lt;/D&gt;&lt;/FQL&gt;&lt;FQL&gt;&lt;Q&gt;IBM^FE_ESTIMATE(GROSS_INC,MEAN,CAL4_ROLL,2023,45778,,,'')&lt;/Q&gt;&lt;R&gt;1&lt;/R&gt;&lt;C&gt;1&lt;/C&gt;&lt;D xsi:type="xsd:double"&gt;34833.254&lt;/D&gt;&lt;/FQL&gt;&lt;FQL&gt;&lt;Q&gt;IBM^FE_ESTIMATE(GROSS_INC,MEAN,NTM4_ROLL,,45778,,,'')&lt;/Q&gt;&lt;R&gt;1&lt;/R&gt;&lt;C&gt;1&lt;/C&gt;&lt;D xsi:type="xsd:double"&gt;39232.918&lt;/D&gt;&lt;/FQL&gt;&lt;FQL&gt;&lt;Q&gt;IBM^FE_ESTIMATE(GROSS_INC,MEAN,LTM4_ROLL,,45778,,,'')&lt;/Q&gt;&lt;R&gt;1&lt;/R&gt;&lt;C&gt;1&lt;/C&gt;&lt;D xsi:type="xsd:double"&gt;36571.668&lt;/D&gt;&lt;/FQL&gt;&lt;FQL&gt;&lt;Q&gt;CRM^FE_ESTIMATE(GROSS_INC,MEAN,CAL4_ROLL,2026,45778,,,'')&lt;/Q&gt;&lt;R&gt;1&lt;/R&gt;&lt;C&gt;1&lt;/C&gt;&lt;D xsi:type="xsd:double"&gt;35619.215&lt;/D&gt;&lt;/FQL&gt;&lt;FQL&gt;&lt;Q&gt;CRM^FE_ESTIMATE(GROSS_INC,MEAN,CAL4_ROLL,2025,45778,,,'')&lt;/Q&gt;&lt;R&gt;1&lt;/R&gt;&lt;C&gt;1&lt;/C&gt;&lt;D xsi:type="xsd:double"&gt;32787.863&lt;/D&gt;&lt;/FQL&gt;&lt;FQL&gt;&lt;Q&gt;CRM^FE_ESTIMATE(GROSS_INC,MEAN,CAL4_ROLL,2024,45778,,,'')&lt;/Q&gt;&lt;R&gt;1&lt;/R&gt;&lt;C&gt;1&lt;/C&gt;&lt;D xsi:type="xsd:double"&gt;30389.063&lt;/D&gt;&lt;/FQL&gt;&lt;FQL&gt;&lt;Q&gt;CRM^FE_ESTIMATE(GROSS_INC,MEAN,CAL4_ROLL,2023,45778,,,'')&lt;/Q&gt;&lt;R&gt;1&lt;/R&gt;&lt;C&gt;1&lt;/C&gt;&lt;D xsi:type="xsd:double"&gt;27602.195&lt;/D&gt;&lt;/FQL&gt;&lt;FQL&gt;&lt;Q&gt;CRM^FE_ESTIMATE(GROSS_INC,MEAN,NTM4_ROLL,,45778,,,'')&lt;/Q&gt;&lt;R&gt;1&lt;/R&gt;&lt;C&gt;1&lt;/C&gt;&lt;D xsi:type="xsd:double"&gt;32787.863&lt;/D&gt;&lt;/FQL&gt;&lt;FQL&gt;&lt;Q&gt;CRM^FE_ESTIMATE(GROSS_INC,MEAN,LTM4_ROLL,,45778,,,'')&lt;/Q&gt;&lt;R&gt;1&lt;/R&gt;&lt;C&gt;1&lt;/C&gt;&lt;D xsi:type="xsd:double"&gt;30389.063&lt;/D&gt;&lt;/FQL&gt;&lt;FQL&gt;&lt;Q&gt;Company1341^FE_ESTIMATE(GROSS_INC,MEAN,CAL4_ROLL,2026,45778,,,'')&lt;/Q&gt;&lt;R&gt;1&lt;/R&gt;&lt;C&gt;1&lt;/C&gt;&lt;D xsi:type="xsd:double"&gt;17756.25&lt;/D&gt;&lt;/FQL&gt;&lt;FQL&gt;&lt;Q&gt;Company1341^FE_ESTIMATE(GROSS_INC,MEAN,CAL4_ROLL,2025,45778,,,'')&lt;/Q&gt;&lt;R&gt;1&lt;/R&gt;&lt;C&gt;1&lt;/C&gt;&lt;D xsi:type="xsd:double"&gt;15893.676&lt;/D&gt;&lt;/FQL&gt;&lt;FQL&gt;&lt;Q&gt;Company1341^FE_ESTIMATE(GROSS_INC,MEAN,CAL4_ROLL,2024,45778,,,'')&lt;/Q&gt;&lt;R&gt;1&lt;/R&gt;&lt;C&gt;1&lt;/C&gt;&lt;D xsi:type="xsd:double"&gt;14063.704&lt;/D&gt;&lt;/FQL&gt;&lt;FQL&gt;&lt;Q&gt;Company1341^FE_ESTIMATE(GROSS_INC,MEAN,CAL4_ROLL,2023,45778,,,'')&lt;/Q&gt;&lt;R&gt;1&lt;/R&gt;&lt;C&gt;1&lt;/C&gt;&lt;D xsi:type="xsd:double"&gt;12198.407&lt;/D&gt;&lt;/FQL&gt;&lt;FQL&gt;&lt;Q&gt;Company1341^FE_ESTIMATE(GROSS_INC,MEAN,NTM4_ROLL,,45778,,,'')&lt;/Q&gt;&lt;R&gt;1&lt;/R&gt;&lt;C&gt;1&lt;/C&gt;&lt;D xsi:type="xsd:double"&gt;15893.676&lt;/D&gt;&lt;/FQL&gt;&lt;FQL&gt;&lt;Q&gt;Company1341^FE_ESTIMATE(GROSS_INC,MEAN,LTM4_ROLL,,45778,,,'')&lt;/Q&gt;&lt;R&gt;1&lt;/R&gt;&lt;C&gt;1&lt;/C&gt;&lt;D xsi:type="xsd:double"&gt;14063.704&lt;/D&gt;&lt;/FQL&gt;&lt;FQL&gt;&lt;Q&gt;Company0023^FE_ESTIMATE(GROSS_INC,MEAN,CAL4_ROLL,2026,45778,,,'')&lt;/Q&gt;&lt;R&gt;1&lt;/R&gt;&lt;C&gt;1&lt;/C&gt;&lt;D xsi:type="xsd:double"&gt;23096.424&lt;/D&gt;&lt;/FQL&gt;&lt;FQL&gt;&lt;Q&gt;Company0023^FE_ESTIMATE(GROSS_INC,MEAN,CAL4_ROLL,2025,45778,,,'')&lt;/Q&gt;&lt;R&gt;1&lt;/R&gt;&lt;C&gt;1&lt;/C&gt;&lt;D xsi:type="xsd:double"&gt;21113.3&lt;/D&gt;&lt;/FQL&gt;&lt;FQL&gt;&lt;Q&gt;Company0023^FE_ESTIMATE(GROSS_INC,MEAN,CAL4_ROLL,2024,45778,,,'')&lt;/Q&gt;&lt;R&gt;1&lt;/R&gt;&lt;C&gt;1&lt;/C&gt;&lt;D xsi:type="xsd:double"&gt;19295.053&lt;/D&gt;&lt;/FQL&gt;&lt;FQL&gt;&lt;Q&gt;Company0023^FE_ESTIMATE(GROSS_INC,MEAN,CAL4_ROLL,2023,45778,,,'')&lt;/Q&gt;&lt;R&gt;1&lt;/R&gt;&lt;C&gt;1&lt;/C&gt;&lt;D xsi:type="xsd:double"&gt;17310.389&lt;/D&gt;&lt;/FQL&gt;&lt;FQL&gt;&lt;Q&gt;Company0023^FE_ESTIMATE(GROSS_INC,MEAN,NTM4_ROLL,,45778,,,'')&lt;/Q&gt;&lt;R&gt;1&lt;/R&gt;&lt;C&gt;1&lt;/C&gt;&lt;D xsi:type="xsd:double"&gt;21550.135&lt;/D&gt;&lt;/FQL&gt;&lt;FQL&gt;&lt;Q&gt;Company0023^FE_ESTIMATE(GROSS_INC,MEAN,LTM4_ROLL,,45778,,,'')&lt;/Q&gt;&lt;R&gt;1&lt;/R&gt;&lt;C&gt;1&lt;/C&gt;&lt;D xsi:type="xsd:double"&gt;19848.838&lt;/D&gt;&lt;/FQL&gt;&lt;FQL&gt;&lt;Q&gt;Company1985^FE_ESTIMATE(GROSS_INC,MEAN,CAL4_ROLL,2026,45778,,,'')&lt;/Q&gt;&lt;R&gt;1&lt;/R&gt;&lt;C&gt;1&lt;/C&gt;&lt;D xsi:type="xsd:double"&gt;49353.563&lt;/D&gt;&lt;/FQL&gt;&lt;FQL&gt;&lt;Q&gt;Company1985^FE_ESTIMATE(GROSS_INC,MEAN,CAL4_ROLL,2025,45778,,,'')&lt;/Q&gt;&lt;R&gt;1&lt;/R&gt;&lt;C&gt;1&lt;/C&gt;&lt;D xsi:type="xsd:double"&gt;43064.066&lt;/D&gt;&lt;/FQL&gt;&lt;FQL&gt;&lt;Q&gt;Company1985^FE_ESTIMATE(GROSS_INC,MEAN,CAL4_ROLL,2024,45778,,,'')&lt;/Q&gt;&lt;R&gt;1&lt;/R&gt;&lt;C&gt;1&lt;/C&gt;&lt;D xsi:type="xsd:double"&gt;39915.637&lt;/D&gt;&lt;/FQL&gt;&lt;FQL&gt;&lt;Q&gt;Company1985^FE_ESTIMATE(GROSS_INC,MEAN,CAL4_ROLL,2023,45778,,,'')&lt;/Q&gt;&lt;R&gt;1&lt;/R&gt;&lt;C&gt;1&lt;/C&gt;&lt;D xsi:type="xsd:double"&gt;37717.715&lt;/D&gt;&lt;/FQL&gt;&lt;FQL&gt;&lt;Q&gt;Company1985^FE_ESTIMATE(GROSS_INC,MEAN,NTM4_ROLL,,45778,,,'')&lt;/Q&gt;&lt;R&gt;1&lt;/R&gt;&lt;C&gt;1&lt;/C&gt;&lt;D xsi:type="xsd:double"&gt;44321.25&lt;/D&gt;&lt;/FQL&gt;&lt;FQL&gt;&lt;Q&gt;Company1985^FE_ESTIMATE(GROSS_INC,MEAN,LTM4_ROLL,,45778,,,'')&lt;/Q&gt;&lt;R&gt;1&lt;/R&gt;&lt;C&gt;1&lt;/C&gt;&lt;D xsi:type="xsd:double"&gt;40494.85&lt;/D&gt;&lt;/FQL&gt;&lt;FQL&gt;&lt;Q&gt;Company2320^FE_ESTIMATE(GROSS_INC,MEAN,CAL4_ROLL,2026,45778,,,'')&lt;/Q&gt;&lt;R&gt;1&lt;/R&gt;&lt;C&gt;1&lt;/C&gt;&lt;D xsi:type="xsd:double"&gt;34855.48&lt;/D&gt;&lt;/FQL&gt;&lt;FQL&gt;&lt;Q&gt;Company2320^FE_ESTIMATE(GROSS_INC,MEAN,CAL4_ROLL,2025,45778,,,'')&lt;/Q&gt;&lt;R&gt;1&lt;/R&gt;&lt;C&gt;1&lt;/C&gt;&lt;D xsi:type="xsd:double"&gt;31015.303&lt;/D&gt;&lt;/FQL&gt;&lt;FQL&gt;&lt;Q&gt;Company2320^FE_ESTIMATE(GROSS_INC,MEAN,CAL4_ROLL,2024,45778,,,'')&lt;/Q&gt;&lt;R&gt;1&lt;/R&gt;&lt;C&gt;1&lt;/C&gt;&lt;D xsi:type="xsd:double"&gt;26742.303&lt;/D&gt;&lt;/FQL&gt;&lt;FQL&gt;&lt;Q&gt;Company2320^FE_ESTIMATE(GROSS_INC,MEAN,CAL4_ROLL,2023,45778,,,'')&lt;/Q&gt;&lt;R&gt;1&lt;/R&gt;&lt;C&gt;1&lt;/C&gt;&lt;D xsi:type="xsd:double"&gt;24928.896&lt;/D&gt;&lt;/FQL&gt;&lt;FQL&gt;&lt;Q&gt;Company2320^FE_ESTIMATE(GROSS_INC,MEAN,NTM4_ROLL,,45778,,,'')&lt;/Q&gt;&lt;R&gt;1&lt;/R&gt;&lt;C&gt;1&lt;/C&gt;&lt;D xsi:type="xsd:double"&gt;31784.785&lt;/D&gt;&lt;/FQL&gt;&lt;FQL&gt;&lt;Q&gt;Company2320^FE_ESTIMATE(GROSS_INC,MEAN,LTM4_ROLL,,45778,,,'')&lt;/Q&gt;&lt;R&gt;1&lt;/R&gt;&lt;C&gt;1&lt;/C&gt;&lt;D xsi:type="xsd:double"&gt;28051.256&lt;/D&gt;&lt;/FQL&gt;&lt;FQL&gt;&lt;Q&gt;Company0103^FE_ESTIMATE(GROSS_INC,MEAN,CAL4_ROLL,2026,45778,,,'')&lt;/Q&gt;&lt;R&gt;1&lt;/R&gt;&lt;C&gt;1&lt;/C&gt;&lt;D xsi:type="xsd:double"&gt;379503.56&lt;/D&gt;&lt;/FQL&gt;&lt;FQL&gt;&lt;Q&gt;Company0103^FE_ESTIMATE(GROSS_INC,MEAN,CAL4_ROLL,2025,45778,,,'')&lt;/Q&gt;&lt;R&gt;1&lt;/R&gt;&lt;C&gt;1&lt;/C&gt;&lt;D xsi:type="xsd:double"&gt;343110.34&lt;/D&gt;&lt;/FQL&gt;&lt;FQL&gt;&lt;Q&gt;Company0103^FE_ESTIMATE(GROSS_INC,MEAN,CAL4_ROLL,2024,45778,,,'')&lt;/Q&gt;&lt;R&gt;1&lt;/R&gt;&lt;C&gt;1&lt;/C&gt;&lt;D xsi:type="xsd:double"&gt;311922.3&lt;/D&gt;&lt;/FQL&gt;&lt;FQL&gt;&lt;Q&gt;Company0103^FE_ESTIMATE(GROSS_INC,MEAN,CAL4_ROLL,2023,45778,,,'')&lt;/Q&gt;&lt;R&gt;1&lt;/R&gt;&lt;C&gt;1&lt;/C&gt;&lt;D xsi:type="xsd:double"&gt;270395.66&lt;/D&gt;&lt;/FQL&gt;&lt;FQL&gt;&lt;Q&gt;Company0103^FE_ESTIMATE(GROSS_INC,MEAN,NTM4_ROLL,,45778,,,'')&lt;/Q&gt;&lt;R&gt;1&lt;/R&gt;&lt;C&gt;1&lt;/C&gt;&lt;D xsi:type="xsd:double"&gt;343110.34&lt;/D&gt;&lt;/FQL&gt;&lt;FQL&gt;&lt;Q&gt;Company0103^FE_ESTIMATE(GROSS_INC,MEAN,LTM4_ROLL,,45778,,,'')&lt;/Q&gt;&lt;R&gt;1&lt;/R&gt;&lt;C&gt;1&lt;/C&gt;&lt;D xsi:type="xsd:double"&gt;311922.3&lt;/D&gt;&lt;/FQL&gt;&lt;FQL&gt;&lt;Q&gt;Ticker0013^FE_ESTIMATE(GROSS_INC,MEAN,CAL4_ROLL,2026,45778,,,'')&lt;/Q&gt;&lt;R&gt;1&lt;/R&gt;&lt;C&gt;1&lt;/C&gt;&lt;D xsi:type="xsd:double"&gt;249057.16&lt;/D&gt;&lt;/FQL&gt;&lt;FQL&gt;&lt;Q&gt;Ticker0013^FE_ESTIMATE(GROSS_INC,MEAN,CAL4_ROLL,2025,45778,,,'')&lt;/Q&gt;&lt;R&gt;1&lt;/R&gt;&lt;C&gt;1&lt;/C&gt;&lt;D xsi:type="xsd:double"&gt;227605.22&lt;/D&gt;&lt;/FQL&gt;&lt;FQL&gt;&lt;Q&gt;Ticker0013^FE_ESTIMATE(GROSS_INC,MEAN,CAL4_ROLL,2024,45778,,,'')&lt;/Q&gt;&lt;R&gt;1&lt;/R&gt;&lt;C&gt;1&lt;/C&gt;&lt;D xsi:type="xsd:double"&gt;203895.58&lt;/D&gt;&lt;/FQL&gt;&lt;FQL&gt;&lt;Q&gt;Ticker0013^FE_ESTIMATE(GROSS_INC,MEAN,CAL4_ROLL,2023,45778,,,'')&lt;/Q&gt;&lt;R&gt;1&lt;/R&gt;&lt;C&gt;1&lt;/C&gt;&lt;D xsi:type="xsd:double"&gt;174387&lt;/D&gt;&lt;/FQL&gt;&lt;FQL&gt;&lt;Q&gt;Ticker0013^FE_ESTIMATE(GROSS_INC,MEAN,NTM4_ROLL,,45778,,,'')&lt;/Q&gt;&lt;R&gt;1&lt;/R&gt;&lt;C&gt;1&lt;/C&gt;&lt;D xsi:type="xsd:double"&gt;232073.52&lt;/D&gt;&lt;/FQL&gt;&lt;FQL&gt;&lt;Q&gt;Ticker0013^FE_ESTIMATE(GROSS_INC,MEAN,LTM4_ROLL,,45778,,,'')&lt;/Q&gt;&lt;R&gt;1&lt;/R&gt;&lt;C&gt;1&lt;/C&gt;&lt;D xsi:type="xsd:double"&gt;210919.33&lt;/D&gt;&lt;/FQL&gt;&lt;FQL&gt;&lt;Q&gt;Ticker0024^FE_ESTIMATE(SALES,MEAN,CAL4_ROLL,2026,45778,,,'')&lt;/Q&gt;&lt;R&gt;1&lt;/R&gt;&lt;C&gt;1&lt;/C&gt;&lt;D xsi:type="xsd:double"&gt;332499.28&lt;/D&gt;&lt;/FQL&gt;&lt;FQL&gt;&lt;Q&gt;Ticker0024^FE_ESTIMATE(SALES,MEAN,CAL4_ROLL,2025,45778,,,'')&lt;/Q&gt;&lt;R&gt;1&lt;/R&gt;&lt;C&gt;1&lt;/C&gt;&lt;D xsi:type="xsd:double"&gt;294862.6&lt;/D&gt;&lt;/FQL&gt;&lt;FQL&gt;&lt;Q&gt;Ticker0024^FE_ESTIMATE(SALES,MEAN,CAL4_ROLL,2024,45778,,,'')&lt;/Q&gt;&lt;R&gt;1&lt;/R&gt;&lt;C&gt;1&lt;/C&gt;&lt;D xsi:type="xsd:double"&gt;261802&lt;/D&gt;&lt;/FQL&gt;&lt;FQL&gt;&lt;Q&gt;Ticker0024^FE_ESTIMATE(SALES,MEAN,CAL4,2023,45778,,,'')&lt;/Q&gt;&lt;R&gt;1&lt;/R&gt;&lt;C&gt;1&lt;/C&gt;&lt;D xsi:type="xsd:double"&gt;227583&lt;/D&gt;&lt;/FQL&gt;&lt;FQL&gt;&lt;Q&gt;Ticker0024^FE_ESTIMATE(SALES,MEAN,NTM4_ROLL,,45778,,,'')&lt;/Q&gt;&lt;R&gt;1&lt;/R&gt;&lt;C&gt;1&lt;/C&gt;&lt;D xsi:type="xsd:double"&gt;303004.3&lt;/D&gt;&lt;/FQL&gt;&lt;FQL&gt;&lt;Q&gt;Ticker0024^FE_ESTIMATE(SALES,MEAN,LTM4_ROLL,,45778,,,'')&lt;/Q&gt;&lt;R&gt;1&lt;/R&gt;&lt;C&gt;1&lt;/C&gt;&lt;D xsi:type="xsd:double"&gt;270010&lt;/D&gt;&lt;/FQL&gt;&lt;FQL&gt;&lt;Q&gt;Ticker0024^FF_ENTRPR_VAL_DAILY(45778,,,,,"DIL")&lt;/Q&gt;&lt;R&gt;1&lt;/R&gt;&lt;C&gt;1&lt;/C&gt;&lt;D xsi:type="xsd:double"&gt;2983155.68&lt;/D&gt;&lt;/FQL&gt;&lt;FQL&gt;&lt;Q&gt;Ticker0024^FREF_MARKET_VALUE_COMPANY(45778,,,,,0,,"LEGACY")&lt;/Q&gt;&lt;R&gt;1&lt;/R&gt;&lt;C&gt;1&lt;/C&gt;&lt;D xsi:type="xsd:double"&gt;2938356&lt;/D&gt;&lt;/FQL&gt;&lt;FQL&gt;&lt;Q&gt;IBM^FE_ESTIMATE(SALES,MEAN,CAL4_ROLL,2026,45778,,,'')&lt;/Q&gt;&lt;R&gt;1&lt;/R&gt;&lt;C&gt;1&lt;/C&gt;&lt;D xsi:type="xsd:double"&gt;68526.02&lt;/D&gt;&lt;/FQL&gt;&lt;FQL&gt;&lt;Q&gt;IBM^FE_ESTIMATE(SALES,MEAN,CAL4_ROLL,2025,45778,,,'')&lt;/Q&gt;&lt;R&gt;1&lt;/R&gt;&lt;C&gt;1&lt;/C&gt;&lt;D xsi:type="xsd:double"&gt;66179.93&lt;/D&gt;&lt;/FQL&gt;&lt;FQL&gt;&lt;Q&gt;IBM^FE_ESTIMATE(SALES,MEAN,CAL4_ROLL,2024,45778,,,'')&lt;/Q&gt;&lt;R&gt;1&lt;/R&gt;&lt;C&gt;1&lt;/C&gt;&lt;D xsi:type="xsd:double"&gt;62753&lt;/D&gt;&lt;/FQL&gt;&lt;FQL&gt;&lt;Q&gt;IBM^FE_ESTIMATE(SALES,MEAN,CAL4,2023,45778,,,'')&lt;/Q&gt;&lt;R&gt;1&lt;/R&gt;&lt;C&gt;1&lt;/C&gt;&lt;D xsi:type="xsd:double"&gt;61860&lt;/D&gt;&lt;/FQL&gt;&lt;FQL&gt;&lt;Q&gt;IBM^FE_ESTIMATE(SALES,MEAN,NTM4_ROLL,,45778,,,'')&lt;/Q&gt;&lt;R&gt;1&lt;/R&gt;&lt;C&gt;1&lt;/C&gt;&lt;D xsi:type="xsd:double"&gt;66923.57&lt;/D&gt;&lt;/FQL&gt;&lt;FQL&gt;&lt;Q&gt;IBM^FE_ESTIMATE(SALES,MEAN,LTM4_ROLL,,45778,,,'')&lt;/Q&gt;&lt;R&gt;1&lt;/R&gt;&lt;C&gt;1&lt;/C&gt;&lt;D xsi:type="xsd:double"&gt;62832&lt;/D&gt;&lt;/FQL&gt;&lt;FQL&gt;&lt;Q&gt;IBM^FF_ENTRPR_VAL_DAILY(45778,,,,,"DIL")&lt;/Q&gt;&lt;R&gt;1&lt;/R&gt;&lt;C&gt;1&lt;/C&gt;&lt;D xsi:type="xsd:double"&gt;277924.94513678&lt;/D&gt;&lt;/FQL&gt;&lt;FQL&gt;&lt;Q&gt;IBM^FREF_MARKET_VALUE_COMPANY(45778,,,,,0,,"LEGACY")&lt;/Q&gt;&lt;R&gt;1&lt;/R&gt;&lt;C&gt;1&lt;/C&gt;&lt;D xsi:type="xsd:double"&gt;224746.671875&lt;/D&gt;&lt;/FQL&gt;&lt;FQL&gt;&lt;Q&gt;CRM^FE_ESTIMATE(SALES,MEAN,CAL4_ROLL,2026,45778,,,'')&lt;/Q&gt;&lt;R&gt;1&lt;/R&gt;&lt;C&gt;1&lt;/C&gt;&lt;D xsi:type="xsd:double"&gt;44301.97&lt;/D&gt;&lt;/FQL&gt;&lt;FQL&gt;&lt;Q&gt;CRM^FE_ESTIMATE(SALES,MEAN,CAL4_ROLL,2025,45778,,,'')&lt;/Q&gt;&lt;R&gt;1&lt;/R&gt;&lt;C&gt;1&lt;/C&gt;&lt;D xsi:type="xsd:double"&gt;40769.996&lt;/D&gt;&lt;/FQL&gt;&lt;FQL&gt;&lt;Q&gt;CRM^FE_ESTIMATE(SALES,MEAN,CAL4_ROLL,2024,45778,,,'')&lt;/Q&gt;&lt;R&gt;1&lt;/R&gt;&lt;C&gt;1&lt;/C&gt;&lt;D xsi:type="xsd:double"&gt;37895&lt;/D&gt;&lt;/FQL&gt;&lt;FQL&gt;&lt;Q&gt;CRM^FE_ESTIMATE(SALES,MEAN,CAL4,2023,45778,,,'')&lt;/Q&gt;&lt;R&gt;1&lt;/R&gt;&lt;C&gt;1&lt;/C&gt;&lt;D xsi:type="xsd:double"&gt;34857&lt;/D&gt;&lt;/FQL&gt;&lt;FQL&gt;&lt;Q&gt;CRM^FE_ESTIMATE(SALES,MEAN,NTM4_ROLL,,45778,,,'')&lt;/Q&gt;&lt;R&gt;1&lt;/R&gt;&lt;C&gt;1&lt;/C&gt;&lt;D xsi:type="xsd:double"&gt;40769.996&lt;/D&gt;&lt;/FQL&gt;&lt;FQL&gt;&lt;Q&gt;CRM^FE_ESTIMATE(SALES,MEAN,LTM4_ROLL,,45778,,,'')&lt;/Q&gt;&lt;R&gt;1&lt;/R&gt;&lt;C&gt;1&lt;/C&gt;&lt;D xsi:type="xsd:double"&gt;37895&lt;/D&gt;&lt;/FQL&gt;&lt;FQL&gt;&lt;Q&gt;CRM^FF_ENTRPR_VAL_DAILY(45778,,,,,"DIL")&lt;/Q&gt;&lt;R&gt;1&lt;/R&gt;&lt;C&gt;1&lt;/C&gt;&lt;D xsi:type="xsd:double"&gt;259761.54&lt;/D&gt;&lt;/FQL&gt;&lt;FQL&gt;&lt;Q&gt;CRM^FREF_MARKET_VALUE_COMPANY(45778,,,,,0,,"LEGACY")&lt;/Q&gt;&lt;R&gt;1&lt;/R&gt;&lt;C&gt;1&lt;/C&gt;&lt;D xsi:type="xsd:double"&gt;257820.140625&lt;/D&gt;&lt;/FQL&gt;&lt;FQL&gt;&lt;Q&gt;Company1341^FE_ESTIMATE(SALES,MEAN,CAL4_ROLL,2026,45778,,,'')&lt;/Q&gt;&lt;R&gt;1&lt;/R&gt;&lt;C&gt;1&lt;/C&gt;&lt;D xsi:type="xsd:double"&gt;21564.582&lt;/D&gt;&lt;/FQL&gt;&lt;FQL&gt;&lt;Q&gt;Company1341^FE_ESTIMATE(SALES,MEAN,CAL4_ROLL,2025,45778,,,'')&lt;/Q&gt;&lt;R&gt;1&lt;/R&gt;&lt;C&gt;1&lt;/C&gt;&lt;D xsi:type="xsd:double"&gt;19283.613&lt;/D&gt;&lt;/FQL&gt;&lt;FQL&gt;&lt;Q&gt;Company1341^FE_ESTIMATE(SALES,MEAN,CAL4_ROLL,2024,45778,,,'')&lt;/Q&gt;&lt;R&gt;1&lt;/R&gt;&lt;C&gt;1&lt;/C&gt;&lt;D xsi:type="xsd:double"&gt;17167&lt;/D&gt;&lt;/FQL&gt;&lt;FQL&gt;&lt;Q&gt;Company1341^FE_ESTIMATE(SALES,MEAN,CAL4,2023,45778,,,'')&lt;/Q&gt;&lt;R&gt;1&lt;/R&gt;&lt;C&gt;1&lt;/C&gt;&lt;D xsi:type="xsd:double"&gt;15094&lt;/D&gt;&lt;/FQL&gt;&lt;FQL&gt;&lt;Q&gt;Company1341^FE_ESTIMATE(SALES,MEAN,NTM4_ROLL,,45778,,,'')&lt;/Q&gt;&lt;R&gt;1&lt;/R&gt;&lt;C&gt;1&lt;/C&gt;&lt;D xsi:type="xsd:double"&gt;19283.613&lt;/D&gt;&lt;/FQL&gt;&lt;FQL&gt;&lt;Q&gt;Company1341^FE_ESTIMATE(SALES,MEAN,LTM4_ROLL,,45778,,,'')&lt;/Q&gt;&lt;R&gt;1&lt;/R&gt;&lt;C&gt;1&lt;/C&gt;&lt;D xsi:type="xsd:double"&gt;17167&lt;/D&gt;&lt;/FQL&gt;&lt;FQL&gt;&lt;Q&gt;Company1341^FF_ENTRPR_VAL_DAILY(45778,,,,,"DIL")&lt;/Q&gt;&lt;R&gt;1&lt;/R&gt;&lt;C&gt;1&lt;/C&gt;&lt;D xsi:type="xsd:double"&gt;182007.01&lt;/D&gt;&lt;/FQL&gt;&lt;FQL&gt;&lt;Q&gt;Company1341^FREF_MARKET_VALUE_COMPANY(45778,,,,,0,,"LEGACY")&lt;/Q&gt;&lt;R&gt;1&lt;/R&gt;&lt;C&gt;1&lt;/C&gt;&lt;D xsi:type="xsd:double"&gt;175416.765625&lt;/D&gt;&lt;/FQL&gt;&lt;FQL&gt;&lt;Q&gt;Company0023^FE_ESTIMATE(SALES,MEAN,CAL4_ROLL,2026,45778,,,'')&lt;/Q&gt;&lt;R&gt;1&lt;/R&gt;&lt;C&gt;1&lt;/C&gt;&lt;D xsi:type="xsd:double"&gt;25692.145&lt;/D&gt;&lt;/FQL&gt;&lt;FQL&gt;&lt;Q&gt;Company0023^FE_ESTIMATE(SALES,MEAN,CAL4_ROLL,2025,45778,,,'')&lt;/Q&gt;&lt;R&gt;1&lt;/R&gt;&lt;C&gt;1&lt;/C&gt;&lt;D xsi:type="xsd:double"&gt;23472.754&lt;/D&gt;&lt;/FQL&gt;&lt;FQL&gt;&lt;Q&gt;Company0023^FE_ESTIMATE(SALES,MEAN,CAL4_ROLL,2024,45778,,,'')&lt;/Q&gt;&lt;R&gt;1&lt;/R&gt;&lt;C&gt;1&lt;/C&gt;&lt;D xsi:type="xsd:double"&gt;21505&lt;/D&gt;&lt;/FQL&gt;&lt;FQL&gt;&lt;Q&gt;Company0023^FE_ESTIMATE(SALES,MEAN,CAL4,2023,45778,,,'')&lt;/Q&gt;&lt;R&gt;1&lt;/R&gt;&lt;C&gt;1&lt;/C&gt;&lt;D xsi:type="xsd:double"&gt;19409&lt;/D&gt;&lt;/FQL&gt;&lt;FQL&gt;&lt;Q&gt;Company0023^FE_ESTIMATE(SALES,MEAN,NTM4_ROLL,,45778,,,'')&lt;/Q&gt;&lt;R&gt;1&lt;/R&gt;&lt;C&gt;1&lt;/C&gt;&lt;D xsi:type="xsd:double"&gt;23985.014&lt;/D&gt;&lt;/FQL&gt;&lt;FQL&gt;&lt;Q&gt;Company0023^FE_ESTIMATE(SALES,MEAN,LTM4_ROLL,,45778,,,'')&lt;/Q&gt;&lt;R&gt;1&lt;/R&gt;&lt;C&gt;1&lt;/C&gt;&lt;D xsi:type="xsd:double"&gt;22037&lt;/D&gt;&lt;/FQL&gt;&lt;FQL&gt;&lt;Q&gt;Company0023^FF_ENTRPR_VAL_DAILY(45778,,,,,"DIL")&lt;/Q&gt;&lt;R&gt;1&lt;/R&gt;&lt;C&gt;1&lt;/C&gt;&lt;D xsi:type="xsd:double"&gt;163369.24&lt;/D&gt;&lt;/FQL&gt;&lt;FQL&gt;&lt;Q&gt;Company0023^FREF_MARKET_VALUE_COMPANY(45778,,,,,0,,"LEGACY")&lt;/Q&gt;&lt;R&gt;1&lt;/R&gt;&lt;C&gt;1&lt;/C&gt;&lt;D xsi:type="xsd:double"&gt;159816.484375&lt;/D&gt;&lt;/FQL&gt;&lt;FQL&gt;&lt;Q&gt;Company1985^FE_ESTIMATE(SALES,MEAN,CAL4_ROLL,2026,45778,,,'')&lt;/Q&gt;&lt;R&gt;1&lt;/R&gt;&lt;C&gt;1&lt;/C&gt;&lt;D xsi:type="xsd:double"&gt;70068.18&lt;/D&gt;&lt;/FQL&gt;&lt;FQL&gt;&lt;Q&gt;Company1985^FE_ESTIMATE(SALES,MEAN,CAL4_ROLL,2025,45778,,,'')&lt;/Q&gt;&lt;R&gt;1&lt;/R&gt;&lt;C&gt;1&lt;/C&gt;&lt;D xsi:type="xsd:double"&gt;60506.574&lt;/D&gt;&lt;/FQL&gt;&lt;FQL&gt;&lt;Q&gt;Company1985^FE_ESTIMATE(SALES,MEAN,CAL4_ROLL,2024,45778,,,'')&lt;/Q&gt;&lt;R&gt;1&lt;/R&gt;&lt;C&gt;1&lt;/C&gt;&lt;D xsi:type="xsd:double"&gt;54933&lt;/D&gt;&lt;/FQL&gt;&lt;FQL&gt;&lt;Q&gt;Company1985^FE_ESTIMATE(SALES,MEAN,CAL4,2023,45778,,,'')&lt;/Q&gt;&lt;R&gt;1&lt;/R&gt;&lt;C&gt;1&lt;/C&gt;&lt;D xsi:type="xsd:double"&gt;51629&lt;/D&gt;&lt;/FQL&gt;&lt;FQL&gt;&lt;Q&gt;Company1985^FE_ESTIMATE(SALES,MEAN,NTM4_ROLL,,45778,,,'')&lt;/Q&gt;&lt;R&gt;1&lt;/R&gt;&lt;C&gt;1&lt;/C&gt;&lt;D xsi:type="xsd:double"&gt;62668.145&lt;/D&gt;&lt;/FQL&gt;&lt;FQL&gt;&lt;Q&gt;Company1985^FE_ESTIMATE(SALES,MEAN,LTM4_ROLL,,45778,,,'')&lt;/Q&gt;&lt;R&gt;1&lt;/R&gt;&lt;C&gt;1&lt;/C&gt;&lt;D xsi:type="xsd:double"&gt;55783&lt;/D&gt;&lt;/FQL&gt;&lt;FQL&gt;&lt;Q&gt;Company1985^FF_ENTRPR_VAL_DAILY(45778,,,,,"DIL")&lt;/Q&gt;&lt;R&gt;1&lt;/R&gt;&lt;C&gt;1&lt;/C&gt;&lt;D xsi:type="xsd:double"&gt;483413.28&lt;/D&gt;&lt;/FQL&gt;&lt;FQL&gt;&lt;Q&gt;Company1985^FREF_MARKET_VALUE_COMPANY(45778,,,,,0,,"LEGACY")&lt;/Q&gt;&lt;R&gt;1&lt;/R&gt;&lt;C&gt;1&lt;/C&gt;&lt;D xsi:type="xsd:double"&gt;394611.78125&lt;/D&gt;&lt;/FQL&gt;&lt;FQL&gt;&lt;Q&gt;Company2320^FE_ESTIMATE(SALES,MEAN,CAL4_ROLL,2026,45778,,,'')&lt;/Q&gt;&lt;R&gt;1&lt;/R&gt;&lt;C&gt;1&lt;/C&gt;&lt;D xsi:type="xsd:double"&gt;47112.727&lt;/D&gt;&lt;/FQL&gt;&lt;FQL&gt;&lt;Q&gt;Company2320^FE_ESTIMATE(SALES,MEAN,CAL4_ROLL,2025,45778,,,'')&lt;/Q&gt;&lt;R&gt;1&lt;/R&gt;&lt;C&gt;1&lt;/C&gt;&lt;D xsi:type="xsd:double"&gt;42220.68&lt;/D&gt;&lt;/FQL&gt;&lt;FQL&gt;&lt;Q&gt;Company2320^FE_ESTIMATE(SALES,MEAN,CAL4_ROLL,2024,45778,,,'')&lt;/Q&gt;&lt;R&gt;1&lt;/R&gt;&lt;C&gt;1&lt;/C&gt;&lt;D xsi:type="xsd:double"&gt;36522.137&lt;/D&gt;&lt;/FQL&gt;&lt;FQL&gt;&lt;Q&gt;Company2320^FE_ESTIMATE(SALES,MEAN,CAL4,2023,45778,,,'')&lt;/Q&gt;&lt;R&gt;1&lt;/R&gt;&lt;C&gt;1&lt;/C&gt;&lt;D xsi:type="xsd:double"&gt;34001.84&lt;/D&gt;&lt;/FQL&gt;&lt;FQL&gt;&lt;Q&gt;Company2320^FE_ESTIMATE(SALES,MEAN,NTM4_ROLL,,45778,,,'')&lt;/Q&gt;&lt;R&gt;1&lt;/R&gt;&lt;C&gt;1&lt;/C&gt;&lt;D xsi:type="xsd:double"&gt;43267.168&lt;/D&gt;&lt;/FQL&gt;&lt;FQL&gt;&lt;Q&gt;Company2320^FE_ESTIMATE(SALES,MEAN,LTM4_ROLL,,45778,,,'')&lt;/Q&gt;&lt;R&gt;1&lt;/R&gt;&lt;C&gt;1&lt;/C&gt;&lt;D xsi:type="xsd:double"&gt;38149.63&lt;/D&gt;&lt;/FQL&gt;&lt;FQL&gt;&lt;Q&gt;Company2320^FF_ENTRPR_VAL_DAILY(45778,,,,,"DIL")&lt;/Q&gt;&lt;R&gt;1&lt;/R&gt;&lt;C&gt;1&lt;/C&gt;&lt;D xsi:type="xsd:double"&gt;338876.077757894&lt;/D&gt;&lt;/FQL&gt;&lt;FQL&gt;&lt;Q&gt;Company2320^FREF_MARKET_VALUE_COMPANY(45778,,,,,0,,"LEGACY")&lt;/Q&gt;&lt;R&gt;1&lt;/R&gt;&lt;C&gt;1&lt;/C&gt;&lt;D xsi:type="xsd:double"&gt;356527.03840847&lt;/D&gt;&lt;/FQL&gt;&lt;FQL&gt;&lt;Q&gt;Company0103^FE_ESTIMATE(SALES,MEAN,CAL4_ROLL,2026,45778,,,'')&lt;/Q&gt;&lt;R&gt;1&lt;/R&gt;&lt;C&gt;1&lt;/C&gt;&lt;D xsi:type="xsd:double"&gt;757795.4&lt;/D&gt;&lt;/FQL&gt;&lt;FQL&gt;&lt;Q&gt;Company0103^FE_ESTIMATE(SALES,MEAN,CAL4_ROLL,2025,45778,,,'')&lt;/Q&gt;&lt;R&gt;1&lt;/R&gt;&lt;C&gt;1&lt;/C&gt;&lt;D xsi:type="xsd:double"&gt;692775.94&lt;/D&gt;&lt;/FQL&gt;&lt;FQL&gt;&lt;Q&gt;Company0103^FE_ESTIMATE(SALES,MEAN,CAL4_ROLL,2024,45778,,,'')&lt;/Q&gt;&lt;R&gt;1&lt;/R&gt;&lt;C&gt;1&lt;/C&gt;&lt;D xsi:type="xsd:double"&gt;637959&lt;/D&gt;&lt;/FQL&gt;&lt;FQL&gt;&lt;Q&gt;Company0103^FE_ESTIMATE(SALES,MEAN,CAL4,2023,45778,,,'')&lt;/Q&gt;&lt;R&gt;1&lt;/R&gt;&lt;C&gt;1&lt;/C&gt;&lt;D xsi:type="xsd:double"&gt;574785&lt;/D&gt;&lt;/FQL&gt;&lt;FQL&gt;&lt;Q&gt;Company0103^FE_ESTIMATE(SALES,MEAN,NTM4_ROLL,,45778,,,'')&lt;/Q&gt;&lt;R&gt;1&lt;/R&gt;&lt;C&gt;1&lt;/C&gt;&lt;D xsi:type="xsd:double"&gt;692775.94&lt;/D&gt;&lt;/FQL&gt;&lt;FQL&gt;&lt;Q&gt;Company0103^FE_ESTIMATE(SALES,MEAN,LTM4_ROLL,,45778,,,'')&lt;/Q&gt;&lt;R&gt;1&lt;/R&gt;&lt;C&gt;1&lt;/C&gt;&lt;D xsi:type="xsd:double"&gt;637959&lt;/D&gt;&lt;/FQL&gt;&lt;FQL&gt;&lt;Q&gt;Company0103^FF_ENTRPR_VAL_DAILY(45778,,,,,"DIL")&lt;/Q&gt;&lt;R&gt;1&lt;/R&gt;&lt;C&gt;1&lt;/C&gt;&lt;D xsi:type="xsd:double"&gt;2020269.82&lt;/D&gt;&lt;/FQL&gt;&lt;FQL&gt;&lt;Q&gt;Company0103^FREF_MARKET_VALUE_COMPANY(45778,,,,,0,,"LEGACY")&lt;/Q&gt;&lt;R&gt;1&lt;/R&gt;&lt;C&gt;1&lt;/C&gt;&lt;D xsi:type="xsd:double"&gt;1957132.25&lt;/D&gt;&lt;/FQL&gt;&lt;FQL&gt;&lt;Q&gt;Ticker0013^FE_ESTIMATE(SALES,MEAN,CAL4_ROLL,2026,45778,,,'')&lt;/Q&gt;&lt;R&gt;1&lt;/R&gt;&lt;C&gt;1&lt;/C&gt;&lt;D xsi:type="xsd:double"&gt;426304.47&lt;/D&gt;&lt;/FQL&gt;&lt;FQL&gt;&lt;Q&gt;Ticker0013^FE_ESTIMATE(SALES,MEAN,CAL4_ROLL,2025,45778,,,'')&lt;/Q&gt;&lt;R&gt;1&lt;/R&gt;&lt;C&gt;1&lt;/C&gt;&lt;D xsi:type="xsd:double"&gt;387616.13&lt;/D&gt;&lt;/FQL&gt;&lt;FQL&gt;&lt;Q&gt;Ticker0013^FE_ESTIMATE(SALES,MEAN,CAL4_ROLL,2024,45778,,,'')&lt;/Q&gt;&lt;R&gt;1&lt;/R&gt;&lt;C&gt;1&lt;/C&gt;&lt;D xsi:type="xsd:double"&gt;350018&lt;/D&gt;&lt;/FQL&gt;&lt;FQL&gt;&lt;Q&gt;Ticker0013^FE_ESTIMATE(SALES,MEAN,CAL4,2023,45778,,,'')&lt;/Q&gt;&lt;R&gt;1&lt;/R&gt;&lt;C&gt;1&lt;/C&gt;&lt;D xsi:type="xsd:double"&gt;307394&lt;/D&gt;&lt;/FQL&gt;&lt;FQL&gt;&lt;Q&gt;Ticker0013^FE_ESTIMATE(SALES,MEAN,NTM4_ROLL,,45778,,,'')&lt;/Q&gt;&lt;R&gt;1&lt;/R&gt;&lt;C&gt;1&lt;/C&gt;&lt;D xsi:type="xsd:double"&gt;396487.63&lt;/D&gt;&lt;/FQL&gt;&lt;FQL&gt;&lt;Q&gt;Ticker0013^FE_ESTIMATE(SALES,MEAN,LTM4_ROLL,,45778,,,'')&lt;/Q&gt;&lt;R&gt;1&lt;/R&gt;&lt;C&gt;1&lt;/C&gt;&lt;D xsi:type="xsd:double"&gt;359713&lt;/D&gt;&lt;/FQL&gt;&lt;FQL&gt;&lt;Q&gt;Ticker0013^FF_ENTRPR_VAL_DAILY(45778,,,,,"DIL")&lt;/Q&gt;&lt;R&gt;1&lt;/R&gt;&lt;C&gt;1&lt;/C&gt;&lt;D xsi:type="xsd:double"&gt;1884980.8&lt;/D&gt;&lt;/FQL&gt;&lt;FQL&gt;&lt;Q&gt;Ticker0013^FREF_MARKET_VALUE_COMPA</t>
        </r>
      </text>
    </comment>
    <comment ref="A49" authorId="0" shapeId="0" xr:uid="{9E0A0328-9833-4999-917F-B38BCF6EEA75}">
      <text>
        <r>
          <rPr>
            <b/>
            <sz val="9"/>
            <color indexed="81"/>
            <rFont val="Tahoma"/>
            <family val="2"/>
          </rPr>
          <t>NY(45778,,,,,0,,"LEGACY")&lt;/Q&gt;&lt;R&gt;1&lt;/R&gt;&lt;C&gt;1&lt;/C&gt;&lt;D xsi:type="xsd:double"&gt;1802514.5&lt;/D&gt;&lt;/FQL&gt;&lt;FQL&gt;&lt;Q&gt;Ticker0024^FE_VALUATION(FFEV_FCF,MEAN,CAL4_ROLL,2026,45796,,,'')&lt;/Q&gt;&lt;R&gt;1&lt;/R&gt;&lt;C&gt;1&lt;/C&gt;&lt;D xsi:type="xsd:double"&gt;42.386124&lt;/D&gt;&lt;/FQL&gt;&lt;FQL&gt;&lt;Q&gt;Ticker0024^FE_VALUATION(FFEV_FCF,MEAN,CAL4_ROLL,2024,45796,,,'')&lt;/Q&gt;&lt;R&gt;1&lt;/R&gt;&lt;C&gt;1&lt;/C&gt;&lt;D xsi:type="xsd:double"&gt;50.184795&lt;/D&gt;&lt;/FQL&gt;&lt;FQL&gt;&lt;Q&gt;IBM^FE_VALUATION(PE,MEAN,NTM4_ROLL,,45796,,,'')&lt;/Q&gt;&lt;R&gt;1&lt;/R&gt;&lt;C&gt;1&lt;/C&gt;&lt;D xsi:type="xsd:double"&gt;24.078081&lt;/D&gt;&lt;/FQL&gt;&lt;FQL&gt;&lt;Q&gt;Ticker0024^FE_VALUATION(PE,MEAN,CAL4_ROLL,,45796,,,'')&lt;/Q&gt;&lt;R&gt;1&lt;/R&gt;&lt;C&gt;1&lt;/C&gt;&lt;D xsi:type="xsd:double"&gt;33.68417&lt;/D&gt;&lt;/FQL&gt;&lt;FQL&gt;&lt;Q&gt;Ticker0024^FE_VALUATION(FFEV_FCF,MEAN,CAL4_ROLL,2025,45796,,,'')&lt;/Q&gt;&lt;R&gt;1&lt;/R&gt;&lt;C&gt;1&lt;/C&gt;&lt;D xsi:type="xsd:double"&gt;45.04713&lt;/D&gt;&lt;/FQL&gt;&lt;FQL&gt;&lt;Q&gt;Ticker0024^FE_VALUATION(FFEV_FCF,MEAN,NTM4_ROLL,,45796,,,'')&lt;/Q&gt;&lt;R&gt;1&lt;/R&gt;&lt;C&gt;1&lt;/C&gt;&lt;D xsi:type="xsd:double"&gt;45.235725&lt;/D&gt;&lt;/FQL&gt;&lt;FQL&gt;&lt;Q&gt;Ticker0024^FE_VALUATION(PE,MEAN,NTM4_ROLL,,45796,,,'')&lt;/Q&gt;&lt;R&gt;1&lt;/R&gt;&lt;C&gt;1&lt;/C&gt;&lt;D xsi:type="xsd:double"&gt;31.780746&lt;/D&gt;&lt;/FQL&gt;&lt;FQL&gt;&lt;Q&gt;IBM^FE_VALUATION(PE,MEAN,CAL4_ROLL,,45796,,,'')&lt;/Q&gt;&lt;R&gt;1&lt;/R&gt;&lt;C&gt;1&lt;/C&gt;&lt;D xsi:type="xsd:double"&gt;24.078081&lt;/D&gt;&lt;/FQL&gt;&lt;FQL&gt;&lt;Q&gt;Ticker0024^FE_ESTIMATE(SPEC_NO_CHANGE_2,MEAN,ANNUAL_ROLL,2030,45778,,,'')&lt;/Q&gt;&lt;R&gt;0&lt;/R&gt;&lt;C&gt;0&lt;/C&gt;&lt;/FQL&gt;&lt;FQL&gt;&lt;Q&gt;Ticker0024^FE_ESTIMATE(SPEC_NO_CHANGE_2,MEAN,QUARTERLY_ROLL,2030/4F,45778,,,'')&lt;/Q&gt;&lt;R&gt;0&lt;/R&gt;&lt;C&gt;0&lt;/C&gt;&lt;/FQL&gt;&lt;FQL&gt;&lt;Q&gt;Ticker0024^FE_ESTIMATE(SPEC_NO_CHANGE_2,MEAN,QUARTERLY_ROLL,2030/3F,45778,,,'')&lt;/Q&gt;&lt;R&gt;0&lt;/R&gt;&lt;C&gt;0&lt;/C&gt;&lt;/FQL&gt;&lt;FQL&gt;&lt;Q&gt;Ticker0024^FE_ESTIMATE(SPEC_NO_CHANGE_2,MEAN,QUARTERLY_ROLL,2030/2F,45778,,,'')&lt;/Q&gt;&lt;R&gt;0&lt;/R&gt;&lt;C&gt;0&lt;/C&gt;&lt;/FQL&gt;&lt;FQL&gt;&lt;Q&gt;Ticker0024^FE_ESTIMATE(SPEC_NO_CHANGE_2,MEAN,QUARTERLY_ROLL,2030/1F,45778,,,'')&lt;/Q&gt;&lt;R&gt;0&lt;/R&gt;&lt;C&gt;0&lt;/C&gt;&lt;/FQL&gt;&lt;FQL&gt;&lt;Q&gt;Ticker0024^FE_ESTIMATE(SPEC_NO_CHANGE_2,MEAN,ANNUAL_ROLL,2029,45778,,,'')&lt;/Q&gt;&lt;R&gt;0&lt;/R&gt;&lt;C&gt;0&lt;/C&gt;&lt;/FQL&gt;&lt;FQL&gt;&lt;Q&gt;Ticker0024^FE_ESTIMATE(SPEC_NO_CHANGE_2,MEAN,QUARTERLY_ROLL,2029/4F,45778,,,'')&lt;/Q&gt;&lt;R&gt;0&lt;/R&gt;&lt;C&gt;0&lt;/C&gt;&lt;/FQL&gt;&lt;FQL&gt;&lt;Q&gt;Ticker0024^FE_ESTIMATE(SPEC_NO_CHANGE_2,MEAN,QUARTERLY_ROLL,2029/3F,45778,,,'')&lt;/Q&gt;&lt;R&gt;0&lt;/R&gt;&lt;C&gt;0&lt;/C&gt;&lt;/FQL&gt;&lt;FQL&gt;&lt;Q&gt;Ticker0024^FE_ESTIMATE(SPEC_NO_CHANGE_2,MEAN,QUARTERLY_ROLL,2029/2F,45778,,,'')&lt;/Q&gt;&lt;R&gt;0&lt;/R&gt;&lt;C&gt;0&lt;/C&gt;&lt;/FQL&gt;&lt;FQL&gt;&lt;Q&gt;Ticker0024^FE_ESTIMATE(SPEC_NO_CHANGE_2,MEAN,QUARTERLY_ROLL,2029/1F,45778,,,'')&lt;/Q&gt;&lt;R&gt;0&lt;/R&gt;&lt;C&gt;0&lt;/C&gt;&lt;/FQL&gt;&lt;FQL&gt;&lt;Q&gt;Ticker0024^FE_ESTIMATE(SPEC_NO_CHANGE_2,MEAN,ANNUAL_ROLL,2028,45778,,,'')&lt;/Q&gt;&lt;R&gt;1&lt;/R&gt;&lt;C&gt;1&lt;/C&gt;&lt;D xsi:type="xsd:double"&gt;24&lt;/D&gt;&lt;/FQL&gt;&lt;FQL&gt;&lt;Q&gt;Ticker0024^FE_ESTIMATE(SPEC_NO_CHANGE_2,MEAN,QUARTERLY_ROLL,2028/4F,45778,,,'')&lt;/Q&gt;&lt;R&gt;0&lt;/R&gt;&lt;C&gt;0&lt;/C&gt;&lt;/FQL&gt;&lt;FQL&gt;&lt;Q&gt;Ticker0024^FE_ESTIMATE(SPEC_NO_CHANGE_2,MEAN,QUARTERLY_ROLL,2028/3F,45778,,,'')&lt;/Q&gt;&lt;R&gt;0&lt;/R&gt;&lt;C&gt;0&lt;/C&gt;&lt;/FQL&gt;&lt;FQL&gt;&lt;Q&gt;Ticker0024^FE_ESTIMATE(SPEC_NO_CHANGE_2,MEAN,QUARTERLY_ROLL,2028/2F,45778,,,'')&lt;/Q&gt;&lt;R&gt;0&lt;/R&gt;&lt;C&gt;0&lt;/C&gt;&lt;/FQL&gt;&lt;FQL&gt;&lt;Q&gt;Ticker0024^FE_ESTIMATE(SPEC_NO_CHANGE_2,MEAN,QUARTERLY_ROLL,2028/1F,45778,,,'')&lt;/Q&gt;&lt;R&gt;0&lt;/R&gt;&lt;C&gt;0&lt;/C&gt;&lt;/FQL&gt;&lt;FQL&gt;&lt;Q&gt;Ticker0024^FE_ESTIMATE(SPEC_NO_CHANGE_2,MEAN,ANNUAL_ROLL,2027,45778,,,'')&lt;/Q&gt;&lt;R&gt;1&lt;/R&gt;&lt;C&gt;1&lt;/C&gt;&lt;D xsi:type="xsd:double"&gt;28.7&lt;/D&gt;&lt;/FQL&gt;&lt;FQL&gt;&lt;Q&gt;Ticker0024^FE_ESTIMATE(SPEC_NO_CHANGE_2,MEAN,QUARTERLY_ROLL,2027/4F,45778,,,'')&lt;/Q&gt;&lt;R&gt;0&lt;/R&gt;&lt;C&gt;0&lt;/C&gt;&lt;/FQL&gt;&lt;FQL&gt;&lt;Q&gt;Ticker0024^FE_ESTIMATE(SPEC_NO_CHANGE_2,MEAN,QUARTERLY_ROLL,2027/3F,45778,,,'')&lt;/Q&gt;&lt;R&gt;0&lt;/R&gt;&lt;C&gt;0&lt;/C&gt;&lt;/FQL&gt;&lt;FQL&gt;&lt;Q&gt;Ticker0024^FE_ESTIMATE(SPEC_NO_CHANGE_2,MEAN,QUARTERLY_ROLL,2027/2F,45778,,,'')&lt;/Q&gt;&lt;R&gt;0&lt;/R&gt;&lt;C&gt;0&lt;/C&gt;&lt;/FQL&gt;&lt;FQL&gt;&lt;Q&gt;Ticker0024^FE_ESTIMATE(SPEC_NO_CHANGE_2,MEAN,QUARTERLY_ROLL,2027/1F,45778,,,'')&lt;/Q&gt;&lt;R&gt;0&lt;/R&gt;&lt;C&gt;0&lt;/C&gt;&lt;/FQL&gt;&lt;FQL&gt;&lt;Q&gt;Ticker0024^FE_ESTIMATE(SPEC_NO_CHANGE_2,MEAN,ANNUAL_ROLL,2026,45778,,,'')&lt;/Q&gt;&lt;R&gt;1&lt;/R&gt;&lt;C&gt;1&lt;/C&gt;&lt;D xsi:type="xsd:double"&gt;31.483334&lt;/D&gt;&lt;/FQL&gt;&lt;FQL&gt;&lt;Q&gt;Ticker0024^FE_ESTIMATE(SPEC_NO_CHANGE_2,MEAN,QUARTERLY_ROLL,2026/4F,45778,,,'')&lt;/Q&gt;&lt;R&gt;1&lt;/R&gt;&lt;C&gt;1&lt;/C&gt;&lt;D xsi:type="xsd:double"&gt;30.933332&lt;/D&gt;&lt;/FQL&gt;&lt;FQL&gt;&lt;Q&gt;Ticker0024^FE_ESTIMATE(SPEC_NO_CHANGE_2,MEAN,QUARTERLY_ROLL,2026/3F,45778,,,'')&lt;/Q&gt;&lt;R&gt;1&lt;/R&gt;&lt;C&gt;1&lt;/C&gt;&lt;D xsi:type="xsd:double"&gt;31.833334&lt;/D&gt;&lt;/FQL&gt;&lt;FQL&gt;&lt;Q&gt;Ticker0024^FE_ESTIMATE(SPEC_NO_CHANGE_2,MEAN,QUARTERLY_ROLL,2026/2F,45778,,,'')&lt;/Q&gt;&lt;R&gt;1&lt;/R&gt;&lt;C&gt;1&lt;/C&gt;&lt;D xsi:type="xsd:double"&gt;31.125&lt;/D&gt;&lt;/FQL&gt;&lt;FQL&gt;&lt;Q&gt;Ticker0024^FE_ESTIMATE(SPEC_NO_CHANGE_2,MEAN,QUARTERLY_ROLL,2026/1F,45778,,,'')&lt;/Q&gt;&lt;R&gt;1&lt;/R&gt;&lt;C&gt;1&lt;/C&gt;&lt;D xsi:type="xsd:double"&gt;31.875&lt;/D&gt;&lt;/FQL&gt;&lt;FQL&gt;&lt;Q&gt;Ticker0024^FE_ESTIMATE(SPEC_NO_CHANGE_2,MEAN,ANNUAL_ROLL,2025,45778,,,'')&lt;/Q&gt;&lt;R&gt;1&lt;/R&gt;&lt;C&gt;1&lt;/C&gt;&lt;D xsi:type="xsd:double"&gt;31.85&lt;/D&gt;&lt;/FQL&gt;&lt;FQL&gt;&lt;Q&gt;Ticker0024^FE_ESTIMATE(SPEC_NO_CHANGE_2,MEAN,QUARTERLY_ROLL,2025/4F,45778,,,'')&lt;/Q&gt;&lt;R&gt;1&lt;/R&gt;&lt;C&gt;1&lt;/C&gt;&lt;D xsi:type="xsd:double"&gt;32.216667&lt;/D&gt;&lt;/FQL&gt;&lt;FQL&gt;&lt;Q&gt;Ticker0024^FE_ESTIMATE(SPEC_NO_CHANGE_2,MEAN,QUARTERLY_ROLL,2025/3F,45778,,,'')&lt;/Q&gt;&lt;R&gt;1&lt;/R&gt;&lt;C&gt;1&lt;/C&gt;&lt;D xsi:type="xsd:double"&gt;33&lt;/D&gt;&lt;/FQL&gt;&lt;FQL&gt;&lt;Q&gt;Ticker0024^FE_ESTIMATE(SPEC_NO_CHANGE_2,MEAN,QUARTERLY_ROLL,2025/2F,45778,,,'')&lt;/Q&gt;&lt;R&gt;1&lt;/R&gt;&lt;C&gt;1&lt;/C&gt;&lt;D xsi:type="xsd:double"&gt;31&lt;/D&gt;&lt;/FQL&gt;&lt;FQL&gt;&lt;Q&gt;Ticker0024^FE_ESTIMATE(SPEC_NO_CHANGE_2,MEAN,QUARTERLY_ROLL,2025/1F,45778,,,'')&lt;/Q&gt;&lt;R&gt;1&lt;/R&gt;&lt;C&gt;1&lt;/C&gt;&lt;D xsi:type="xsd:double"&gt;34&lt;/D&gt;&lt;/FQL&gt;&lt;FQL&gt;&lt;Q&gt;Ticker0024^FE_ESTIMATE(SPEC_NO_CHANGE_2,MEAN,ANNUAL_ROLL,2024,45778,,,'')&lt;/Q&gt;&lt;R&gt;1&lt;/R&gt;&lt;C&gt;1&lt;/C&gt;&lt;D xsi:type="xsd:double"&gt;29.14&lt;/D&gt;&lt;/FQL&gt;&lt;FQL&gt;&lt;Q&gt;Ticker0024^FE_ESTIMATE(SPEC_NO_CHANGE_2,MEAN,QUARTERLY_ROLL,2024/4F,45778,,,'')&lt;/Q&gt;&lt;R&gt;1&lt;/R&gt;&lt;C&gt;1&lt;/C&gt;&lt;D xsi:type="xsd:double"&gt;30&lt;/D&gt;&lt;/FQL&gt;&lt;FQL&gt;&lt;Q&gt;Ticker0024^FE_ESTIMATE(SPEC_NO_CHANGE_2,MEAN,QUARTERLY_ROLL,2024/3F,45778,,,'')&lt;/Q&gt;&lt;R&gt;1&lt;/R&gt;&lt;C&gt;1&lt;/C&gt;&lt;D xsi:type="xsd:double"&gt;31&lt;/D&gt;&lt;/FQL&gt;&lt;FQL&gt;&lt;Q&gt;Ticker0024^FE_ESTIMATE(SPEC_NO_CHANGE_2,MEAN,QUARTERLY_ROLL,2024/2F,45778,,,'')&lt;/Q&gt;&lt;R&gt;1&lt;/R&gt;&lt;C&gt;1&lt;/C&gt;&lt;D xsi:type="xsd:double"&gt;28&lt;/D&gt;&lt;/FQL&gt;&lt;FQL&gt;&lt;Q&gt;Ticker0024^FE_ESTIMATE(SPEC_NO_CHANGE_2,MEAN,QUARTERLY_ROLL,2024/1F,45778,,,'')&lt;/Q&gt;&lt;R&gt;1&lt;/R&gt;&lt;C&gt;1&lt;/C&gt;&lt;D xsi:type="xsd:double"&gt;28.1&lt;/D&gt;&lt;/FQL&gt;&lt;FQL&gt;&lt;Q&gt;Ticker0024^FE_ESTIMATE(SPEC_NO_CHANGE_2,MEAN,ANNUAL_ROLL,2023,45778,,,'')&lt;/Q&gt;&lt;R&gt;1&lt;/R&gt;&lt;C&gt;1&lt;/C&gt;&lt;D xsi:type="xsd:double"&gt;34&lt;/D&gt;&lt;/FQL&gt;&lt;FQL&gt;&lt;Q&gt;Ticker0024^FE_ESTIMATE(SPEC_NO_CHANGE_2,MEAN,QUARTERLY_ROLL,2023/4F,45778,,,'')&lt;/Q&gt;&lt;R&gt;1&lt;/R&gt;&lt;C&gt;1&lt;/C&gt;&lt;D xsi:type="xsd:double"&gt;27&lt;/D&gt;&lt;/FQL&gt;&lt;FQL&gt;&lt;Q&gt;Ticker0024^FE_ESTIMATE(SPEC_NO_CHANGE_2,MEAN,QUARTERLY_ROLL,2023/3F,45778,,,'')&lt;/Q&gt;&lt;R&gt;1&lt;/R&gt;&lt;C&gt;1&lt;/C&gt;&lt;D xsi:type="xsd:double"&gt;31&lt;/D&gt;&lt;/FQL&gt;&lt;FQL&gt;&lt;Q&gt;Ticker0024^FE_ESTIMATE(SPEC_NO_CHANGE_2,MEAN,QUARTERLY_ROLL,2023/2F,45778,,,'')&lt;/Q&gt;&lt;R&gt;1&lt;/R&gt;&lt;C&gt;1&lt;/C&gt;&lt;D xsi:type="xsd:double"&gt;38&lt;/D&gt;&lt;/FQL&gt;&lt;FQL&gt;&lt;Q&gt;Ticker0024^FE_ESTIMATE(SPEC_NO_CHANGE_2,MEAN,QUARTERLY_ROLL,2023/1F,45778,,,'')&lt;/Q&gt;&lt;R&gt;1&lt;/R&gt;&lt;C&gt;1&lt;/C&gt;&lt;D xsi:type="xsd:double"&gt;42&lt;/D&gt;&lt;/FQL&gt;&lt;FQL&gt;&lt;Q&gt;Ticker0024^FE_ESTIMATE(SPEC_NO_CHANGE_2,MEAN,ANNUAL_ROLL,2022,45778,,,'')&lt;/Q&gt;&lt;R&gt;1&lt;/R&gt;&lt;C&gt;1&lt;/C&gt;&lt;D xsi:type="xsd:double"&gt;47.05&lt;/D&gt;&lt;/FQL&gt;&lt;FQL&gt;&lt;Q&gt;Ticker0024^FE_ESTIMATE(SPEC_NO_CHANGE_2,MEAN,QUARTERLY_ROLL,2022/4F,45778,,,'')&lt;/Q&gt;&lt;R&gt;1&lt;/R&gt;&lt;C&gt;1&lt;/C&gt;&lt;D xsi:type="xsd:double"&gt;46&lt;/D&gt;&lt;/FQL&gt;&lt;FQL&gt;&lt;Q&gt;Ticker0024^FE_ESTIMATE(SPEC_NO_CHANGE_2,MEAN,QUARTERLY_ROLL,2022/3F,45778,,,'')&lt;/Q&gt;&lt;R&gt;0&lt;/R&gt;&lt;C&gt;0&lt;/C&gt;&lt;/FQL&gt;&lt;FQL&gt;&lt;Q&gt;Ticker0024^FE_ESTIMATE(SPEC_NO_CHANGE_2,MEAN,QUARTERLY_ROLL,2022/2F,45778,,,'')&lt;/Q&gt;&lt;R&gt;0&lt;/R&gt;&lt;C&gt;0&lt;/C&gt;&lt;/FQL&gt;&lt;FQL&gt;&lt;Q&gt;Ticker0024^FE_ESTIMATE(SPEC_NO_CHANGE_2,MEAN,QUARTERLY_ROLL,2022/1F,45778,,,'')&lt;/Q&gt;&lt;R&gt;0&lt;/R&gt;&lt;C&gt;0&lt;/C&gt;&lt;/FQL&gt;&lt;FQL&gt;&lt;Q&gt;Ticker0024^FE_ESTIMATE(SPEC_NO_CHANGE_2,MEAN,ANNUAL_ROLL,2021,45778,,,'')&lt;/Q&gt;&lt;R&gt;0&lt;/R&gt;&lt;C&gt;0&lt;/C&gt;&lt;/FQL&gt;&lt;FQL&gt;&lt;Q&gt;Ticker0024^FE_ESTIMATE(SPEC_NO_CHANGE_2,MEAN,QUARTERLY_ROLL,2021/4F,45778,,,'')&lt;/Q&gt;&lt;R&gt;0&lt;/R&gt;&lt;C&gt;0&lt;/C&gt;&lt;/FQL&gt;&lt;FQL&gt;&lt;Q&gt;Ticker0024^FE_ESTIMATE(SPEC_NO_CHANGE_2,MEAN,QUARTERLY_ROLL,2021/3F,45778,,,'')&lt;/Q&gt;&lt;R&gt;1&lt;/R&gt;&lt;C&gt;1&lt;/C&gt;&lt;D xsi:type="xsd:double"&gt;46&lt;/D&gt;&lt;/FQL&gt;&lt;FQL&gt;&lt;Q&gt;Ticker0024^FE_ESTIMATE(SPEC_NO_CHANGE_2,MEAN,QUARTERLY_ROLL,2021/2F,45778,,,'')&lt;/Q&gt;&lt;R&gt;0&lt;/R&gt;&lt;C&gt;0&lt;/C&gt;&lt;/FQL&gt;&lt;FQL&gt;&lt;Q&gt;Ticker0024^FE_ESTIMATE(SPEC_NO_CHANGE_2,MEAN,QUARTERLY_ROLL,2021/1F,45778,,,'')&lt;/Q&gt;&lt;R&gt;0&lt;/R&gt;&lt;C&gt;0&lt;/C&gt;&lt;/FQL&gt;&lt;FQL&gt;&lt;Q&gt;Ticker0024^FE_ESTIMATE(SPEC_NO_CHANGE_2,MEAN,ANNUAL_ROLL,2020,45778,,,'')&lt;/Q&gt;&lt;R&gt;0&lt;/R&gt;&lt;C&gt;0&lt;/C&gt;&lt;/FQL&gt;&lt;FQL&gt;&lt;Q&gt;Ticker0024^FE_ESTIMATE(SPEC_NO_CHANGE_2,MEAN,QUARTERLY_ROLL,2020/4F,45778,,,'')&lt;/Q&gt;&lt;R&gt;0&lt;/R&gt;&lt;C&gt;0&lt;/C&gt;&lt;/FQL&gt;&lt;FQL&gt;&lt;Q&gt;Ticker0024^FE_ESTIMATE(SPEC_NO_CHANGE_2,MEAN,QUARTERLY_ROLL,2020/3F,45778,,,'')&lt;/Q&gt;&lt;R&gt;0&lt;/R&gt;&lt;C&gt;0&lt;/C&gt;&lt;/FQL&gt;&lt;FQL&gt;&lt;Q&gt;Ticker0024^FE_ESTIMATE(SPEC_NO_CHANGE_2,MEAN,QUARTERLY_ROLL,2020/2F,45778,,,'')&lt;/Q&gt;&lt;R&gt;0&lt;/R&gt;&lt;C&gt;0&lt;/C&gt;&lt;/FQL&gt;&lt;FQL&gt;&lt;Q&gt;Ticker0024^FE_ESTIMATE(SPEC_NO_CHANGE_2,MEAN,QUARTERLY_ROLL,2020/1F,45778,,,'')&lt;/Q&gt;&lt;R&gt;0&lt;/R&gt;&lt;C&gt;0&lt;/C&gt;&lt;/FQL&gt;&lt;FQL&gt;&lt;Q&gt;Ticker0024^FE_ESTIMATE(SPEC_NO_CHANGE_2,MEAN,ANNUAL_ROLL,2019,45778,,,'')&lt;/Q&gt;&lt;R&gt;0&lt;/R&gt;&lt;C&gt;0&lt;/C&gt;&lt;/FQL&gt;&lt;FQL&gt;&lt;Q&gt;Ticker0024^FE_ESTIMATE(SPEC_NO_CHANGE_2,MEAN,QUARTERLY_ROLL,2019/4F,45778,,,'')&lt;/Q&gt;&lt;R&gt;0&lt;/R&gt;&lt;C&gt;0&lt;/C&gt;&lt;/FQL&gt;&lt;FQL&gt;&lt;Q&gt;Ticker0024^FE_ESTIMATE(SPEC_NO_CHANGE_2,MEAN,QUARTERLY_ROLL,2019/3F,45778,,,'')&lt;/Q&gt;&lt;R&gt;0&lt;/R&gt;&lt;C&gt;0&lt;/C&gt;&lt;/FQL&gt;&lt;FQL&gt;&lt;Q&gt;Ticker0024^FE_ESTIMATE(SPEC_NO_CHANGE_2,MEAN,QUARTERLY_ROLL,2019/2F,45778,,,'')&lt;/Q&gt;&lt;R&gt;0&lt;/R&gt;&lt;C&gt;0&lt;/C&gt;&lt;/FQL&gt;&lt;FQL&gt;&lt;Q&gt;Ticker0024^FE_ESTIMATE(SPEC_NO_CHANGE_2,MEAN,QUARTERLY_ROLL,2019/1F,45778,,,'')&lt;/Q&gt;&lt;R&gt;0&lt;/R&gt;&lt;C&gt;0&lt;/C&gt;&lt;/FQL&gt;&lt;FQL&gt;&lt;Q&gt;Ticker0024^FE_ESTIMATE(SPEC_NO_CHANGE_2,MEAN,ANNUAL_ROLL,2018,45778,,,'')&lt;/Q&gt;&lt;R&gt;0&lt;/R&gt;&lt;C&gt;0&lt;/C&gt;&lt;/FQL&gt;&lt;FQL&gt;&lt;Q&gt;Ticker0024^FE_ESTIMATE(SPEC_NO_CHANGE_2,MEAN,QUARTERLY_ROLL,2018/4F,45778,,,'')&lt;/Q&gt;&lt;R&gt;0&lt;/R&gt;&lt;C&gt;0&lt;/C&gt;&lt;/FQL&gt;&lt;FQL&gt;&lt;Q&gt;Ticker0024^FE_ESTIMATE(SPEC_NO_CHANGE_2,MEAN,QUARTERLY_ROLL,2018/3F,45778,,,'')&lt;/Q&gt;&lt;R&gt;0&lt;/R&gt;&lt;C&gt;0&lt;/C&gt;&lt;/FQL&gt;&lt;FQL&gt;&lt;Q&gt;Ticker0024^FE_ESTIMATE(SPEC_NO_CHANGE_2,MEAN,QUARTERLY_ROLL,2018/2F,45778,,,'')&lt;/Q&gt;&lt;R&gt;0&lt;/R&gt;&lt;C&gt;0&lt;/C&gt;&lt;/FQL&gt;&lt;FQL&gt;&lt;Q&gt;Ticker0024^FE_ESTIMATE(SPEC_NO_CHANGE_2,MEAN,QUARTERLY_ROLL,2018/1F,45778,,,'')&lt;/Q&gt;&lt;R&gt;0&lt;/R&gt;&lt;C&gt;0&lt;/C&gt;&lt;/FQL&gt;&lt;FQL&gt;&lt;Q&gt;Ticker0024^FE_ESTIMATE(SPEC_NO_CHANGE_2,MEAN,ANNUAL_ROLL,2017,45778,,,'')&lt;/Q&gt;&lt;R&gt;0&lt;/R&gt;&lt;C&gt;0&lt;/C&gt;&lt;/FQL&gt;&lt;FQL&gt;&lt;Q&gt;Ticker0024^FE_ESTIMATE(SPEC_NO_CHANGE_2,MEAN,QUARTERLY_ROLL,2017/4F,45778,,,'')&lt;/Q&gt;&lt;R&gt;0&lt;/R&gt;&lt;C&gt;0&lt;/C&gt;&lt;/FQL&gt;&lt;FQL&gt;&lt;Q&gt;Ticker0024^FE_ESTIMATE(SPEC_NO_CHANGE_2,MEAN,QUARTERLY_ROLL,2017/3F,45778,,,'')&lt;/Q&gt;&lt;R&gt;0&lt;/R&gt;&lt;C&gt;0&lt;/C&gt;&lt;/FQL&gt;&lt;FQL&gt;&lt;Q&gt;Ticker0024^FE_ESTIMATE(SPEC_NO_CHANGE_2,MEAN,QUARTERLY_ROLL,2017/2F,45778,,,'')&lt;/Q&gt;&lt;R&gt;0&lt;/R&gt;&lt;C&gt;0&lt;/C&gt;&lt;/FQL&gt;&lt;FQL&gt;&lt;Q&gt;Ticker0024^FE_ESTIMATE(SPEC_NO_CHANGE_2,MEAN,QUARTERLY_ROLL,2017/1F,45778,,,'')&lt;/Q&gt;&lt;R&gt;0&lt;/R&gt;&lt;C&gt;0&lt;/C&gt;&lt;/FQL&gt;&lt;FQL&gt;&lt;Q&gt;Ticker0024^FE_ESTIMATE(SPEC_NO_CHANGE_2,MEAN,ANNUAL_ROLL,2016,45778,,,'')&lt;/Q&gt;&lt;R&gt;0&lt;/R&gt;&lt;C&gt;0&lt;/C&gt;&lt;/FQL&gt;&lt;FQL&gt;&lt;Q&gt;Ticker0024^FE_ESTIMATE(SPEC_NO_CHANGE_2,MEAN,QUARTERLY_ROLL,2016/4F,45778,,,'')&lt;/Q&gt;&lt;R&gt;0&lt;/R&gt;&lt;C&gt;0&lt;/C&gt;&lt;/FQL&gt;&lt;FQL&gt;&lt;Q&gt;Ticker0024^FE_ESTIMATE(SPEC_NO_CHANGE_2,MEAN,QUARTERLY_ROLL,2016/3F,45778,,,'')&lt;/Q&gt;&lt;R&gt;0&lt;/R&gt;&lt;C&gt;0&lt;/C&gt;&lt;/FQL&gt;&lt;FQL&gt;&lt;Q&gt;Ticker0024^FE_ESTIMATE(SPEC_NO_CHANGE_2,MEAN,QUARTERLY_ROLL,2016/2F,45778,,,'')&lt;/Q&gt;&lt;R&gt;0&lt;/R&gt;&lt;C&gt;0&lt;/C&gt;&lt;/FQL&gt;&lt;FQL&gt;&lt;Q&gt;Ticker0024^FE_ESTIMATE(SPEC_NO_CHANGE_2,MEAN,QUARTERLY_ROLL,2016/1F,45778,,,'')&lt;/Q&gt;&lt;R&gt;0&lt;/R&gt;&lt;C&gt;0&lt;/C&gt;&lt;/FQL&gt;&lt;FQL&gt;&lt;Q&gt;Ticker0024^FE_ESTIMATE(SPEC_NO_CHANGE_2,MEAN,ANNUAL_ROLL,2015,45778,,,'')&lt;/Q&gt;&lt;R&gt;0&lt;/R&gt;&lt;C&gt;0&lt;/C&gt;&lt;/FQL&gt;&lt;FQL&gt;&lt;Q&gt;Ticker0024^FE_ESTIMATE(SPEC_NO_CHANGE_2,MEAN,QUARTERLY_ROLL,2015/4F,45778,,,'')&lt;/Q&gt;&lt;R&gt;0&lt;/R&gt;&lt;C&gt;0&lt;/C&gt;&lt;/FQL&gt;&lt;FQL&gt;&lt;Q&gt;Ticker0024^FE_ESTIMATE(SPEC_NO_CHANGE_2,MEAN,QUARTERLY_ROLL,2015/3F,45778,,,'')&lt;/Q&gt;&lt;R&gt;0&lt;/R&gt;&lt;C&gt;0&lt;/C&gt;&lt;/FQL&gt;&lt;FQL&gt;&lt;Q&gt;Ticker0024^FE_ESTIMATE(SPEC_NO_CHANGE_2,MEAN,QUARTERLY_ROLL,2015/2F,45778,,,'')&lt;/Q&gt;&lt;R&gt;0&lt;/R&gt;&lt;C&gt;0&lt;/C&gt;&lt;/FQL&gt;&lt;FQL&gt;&lt;Q&gt;Ticker0024^FE_ESTIMATE(SPEC_NO_CHANGE_2,MEAN,QUARTERLY_ROLL,2015/1F,45778,,,'')&lt;/Q&gt;&lt;R&gt;0&lt;/R&gt;&lt;C&gt;0&lt;/C&gt;&lt;/FQL&gt;&lt;FQL&gt;&lt;Q&gt;Ticker0024^FE_ESTIMATE(SPEC_NO_CHANGE_1,MEAN,ANNUAL_ROLL,2030,45778,,,'')&lt;/Q&gt;&lt;R&gt;0&lt;/R&gt;&lt;C&gt;0&lt;/C&gt;&lt;/FQL&gt;&lt;FQL&gt;&lt;Q&gt;Ticker0024^FE_ESTIMATE(SPEC_NO_CHANGE_1,MEAN,QUARTERLY_ROLL,2030/4F,45778,,,'')&lt;/Q&gt;&lt;R&gt;0&lt;/R&gt;&lt;C&gt;0&lt;/C&gt;&lt;/FQL&gt;&lt;FQL&gt;&lt;Q&gt;Ticker0024^FE_ESTIMATE(SPEC_NO_CHANGE_1,MEAN,QUARTERLY_ROLL,2030/3F,45778,,,'')&lt;/Q&gt;&lt;R&gt;0&lt;/R&gt;&lt;C&gt;0&lt;/C&gt;&lt;/FQL&gt;&lt;FQL&gt;&lt;Q&gt;Ticker0024^FE_ESTIMATE(SPEC_NO_CHANGE_1,MEAN,QUARTERLY_ROLL,2030/2F,45778,,,'')&lt;/Q&gt;&lt;R&gt;0&lt;/R&gt;&lt;C&gt;0&lt;/C&gt;&lt;/FQL&gt;&lt;FQL&gt;&lt;Q&gt;Ticker0024^FE_ESTIMATE(SPEC_NO_CHANGE_1,MEAN,QUARTERLY_ROLL,2030/1F,45778,,,'')&lt;/Q&gt;&lt;R&gt;0&lt;/R&gt;&lt;C&gt;0&lt;/C&gt;&lt;/FQL&gt;&lt;FQL&gt;&lt;Q&gt;Ticker0024^FE_ESTIMATE(SPEC_NO_CHANGE_1,MEAN,ANNUAL_ROLL,2029,45778,,,'')&lt;/Q&gt;&lt;R&gt;0&lt;/R&gt;&lt;C&gt;0&lt;/C&gt;&lt;/FQL&gt;&lt;FQL&gt;&lt;Q&gt;Ticker0024^FE_ESTIMATE(SPEC_NO_CHANGE_1,MEAN,QUARTERLY_ROLL,2029/4F,45778,,,'')&lt;/Q&gt;&lt;R&gt;0&lt;/R&gt;&lt;C&gt;0&lt;/C&gt;&lt;/FQL&gt;&lt;FQL&gt;&lt;Q&gt;Ticker0024^FE_ESTIMATE(SPEC_NO_CHANGE_1,MEAN,QUARTERLY_ROLL,2029/3F,45778,,,'')&lt;/Q&gt;&lt;R&gt;0&lt;/R&gt;&lt;C&gt;0&lt;/C&gt;&lt;/FQL&gt;&lt;FQL&gt;&lt;Q&gt;Ticker0024^FE_ESTIMATE(SPEC_NO_CHANGE_1,MEAN,QUARTERLY_ROLL,2029/2F,45778,,,'')&lt;/Q&gt;&lt;R&gt;0&lt;/R&gt;&lt;C&gt;0&lt;/C&gt;&lt;/FQL&gt;&lt;FQL&gt;&lt;Q&gt;Ticker0024^FE_ESTIMATE(SPEC_NO_CHANGE_1,MEAN,QUARTERLY_ROLL,2029/1F,45778,,,'')&lt;/Q&gt;&lt;R&gt;0&lt;/R&gt;&lt;C&gt;0&lt;/C&gt;&lt;/FQL&gt;&lt;FQL&gt;&lt;Q&gt;Ticker0024^FE_ESTIMATE(SPEC_NO_CHANGE_1,MEAN,ANNUAL_ROLL,2028,45778,,,'')&lt;/Q&gt;&lt;R&gt;0&lt;/R&gt;&lt;C&gt;0&lt;/C&gt;&lt;/FQL&gt;&lt;FQL&gt;&lt;Q&gt;Ticker0024^FE_ESTIMATE(SPEC_NO_CHANGE_1,MEAN,QUARTERLY_ROLL,2028/4F,45778,,,'')&lt;/Q&gt;&lt;R&gt;0&lt;/R&gt;&lt;C&gt;0&lt;/C&gt;&lt;/FQL&gt;&lt;FQL&gt;&lt;Q&gt;Ticker0024^FE_ESTIMATE(SPEC_NO_CHANGE_1,MEAN,QUARTERLY_ROLL,2028/3F,45778,,,'')&lt;/Q&gt;&lt;R&gt;0&lt;/R&gt;&lt;C&gt;0&lt;/C&gt;&lt;/FQL&gt;&lt;FQL&gt;&lt;Q&gt;Ticker0024^FE_ESTIMATE(SPEC_NO_CHANGE_1,MEAN,QUARTERLY_ROLL,2028/2F,45778,,,'')&lt;/Q&gt;&lt;R&gt;0&lt;/R&gt;&lt;C&gt;0&lt;/C&gt;&lt;/FQL&gt;&lt;FQL&gt;&lt;Q&gt;Ticker0024^FE_ESTIMATE(SPEC_NO_CHANGE_1,MEAN,QUARTERLY_ROLL,2028/1F,45778,,,'')&lt;/Q&gt;&lt;R&gt;0&lt;/R&gt;&lt;C&gt;0&lt;/C&gt;&lt;/FQL&gt;&lt;FQL&gt;&lt;Q&gt;Ticker0024^FE_ESTIMATE(SPEC_NO_CHANGE_1,MEAN,ANNUAL_ROLL,2027,45778,,,'')&lt;/Q&gt;&lt;R&gt;0&lt;/R&gt;&lt;C&gt;0&lt;/C&gt;&lt;/FQL&gt;&lt;FQL&gt;&lt;Q&gt;Ticker0024^FE_ESTIMATE(SPEC_NO_CHANGE_1,MEAN,QUARTERLY_ROLL,2027/4F,45778,,,'')&lt;/Q&gt;&lt;R&gt;0&lt;/R&gt;&lt;C&gt;0&lt;/C&gt;&lt;/FQL&gt;&lt;FQL&gt;&lt;Q&gt;Ticker0024^FE_ESTIMATE(SPEC_NO_CHANGE_1,MEAN,QUARTERLY_ROLL,2027/3F,45778,,,'')&lt;/Q&gt;&lt;R&gt;0&lt;/R&gt;&lt;C&gt;0&lt;/C&gt;&lt;/FQL&gt;&lt;FQL&gt;&lt;Q&gt;Ticker0024^FE_ESTIMATE(SPEC_NO_CHANGE_1,MEAN,QUARTERLY_ROLL,2027/2F,45778,,,'')&lt;/Q&gt;&lt;R&gt;0&lt;/R&gt;&lt;C&gt;0&lt;/C&gt;&lt;/FQL&gt;&lt;FQL&gt;&lt;Q&gt;Ticker0024^FE_ESTIMATE(SPEC_NO_CHANGE_1,MEAN,QUARTERLY_ROLL,2027/1F,45778,,,'')&lt;/Q&gt;&lt;R&gt;0&lt;/R&gt;&lt;C&gt;0&lt;/C&gt;&lt;/FQL&gt;&lt;FQL&gt;&lt;Q&gt;Ticker0024^FE_ESTIMATE(SPEC_NO_CHANGE_1,MEAN,ANNUAL_ROLL,2026,45778,,,'')&lt;/Q&gt;&lt;R&gt;1&lt;/R&gt;&lt;C&gt;1&lt;/C&gt;&lt;D xsi:type="xsd:double"&gt;31.866667&lt;/D&gt;&lt;/FQL&gt;&lt;FQL&gt;&lt;Q&gt;Ticker0024^FE_ESTIMATE(SPEC_NO_CHANGE_1,MEAN,QUARTERLY_ROLL,2026/4F,45778,,,'')&lt;/Q&gt;&lt;R&gt;1&lt;/R&gt;&lt;C&gt;1&lt;/C&gt;&lt;D xsi:type="xsd:double"&gt;30.933332&lt;/D&gt;&lt;/FQL&gt;&lt;FQL&gt;&lt;Q&gt;Ticker0024^FE_ESTIMATE(SPEC_NO_CHANGE_1,MEAN,QUARTERLY_ROLL,2026/3F,45778,,,'')&lt;/Q&gt;&lt;R&gt;1&lt;/R&gt;&lt;C&gt;1&lt;/C&gt;&lt;D xsi:type="xsd:double"&gt;31.566668&lt;/D&gt;&lt;/FQL&gt;&lt;FQL&gt;&lt;Q&gt;Ticker0024^FE_ESTIMATE(SPEC_NO_CHANGE_1,MEAN,QUARTERLY_ROLL,2026/2F,45778,,,'')&lt;/Q&gt;&lt;R&gt;1&lt;/R&gt;&lt;C&gt;1&lt;/C&gt;&lt;D xsi:type="xsd:double"&gt;31.566668&lt;/D&gt;&lt;/FQL&gt;&lt;FQL&gt;&lt;Q&gt;Ticker0024^FE_ESTIMATE(SPEC_NO_CHANGE_1,MEAN,QUARTERLY_ROLL,2026/1F,45778,,,'')&lt;/Q&gt;&lt;R&gt;1&lt;/R&gt;&lt;C&gt;1&lt;/C&gt;&lt;D xsi:type="xsd:double"&gt;32.966667&lt;/D&gt;&lt;/FQL&gt;&lt;FQL&gt;&lt;Q&gt;Ticker0024^FE_ESTIMATE(SPEC_NO_CHANGE_1,MEAN,ANNUAL_ROLL,2025,45778,,,'')&lt;/Q&gt;&lt;R&gt;1&lt;/R&gt;&lt;C&gt;1&lt;/C&gt;&lt;D xsi:type="xsd:double"&gt;31.833334&lt;/D&gt;&lt;/FQL&gt;&lt;FQL&gt;&lt;Q&gt;Ticker0024^FE_ESTIMATE(SPEC_NO_CHANGE_1,MEAN,QUARTERLY_ROLL,2025/4F,45778,,,'')&lt;/Q&gt;&lt;R&gt;1&lt;/R&gt;&lt;C&gt;1&lt;/C&gt;&lt;D xsi:type="xsd:double"&gt;33.266666&lt;/D&gt;&lt;/FQL&gt;&lt;FQL&gt;&lt;Q&gt;Ticker0024^FE_ESTIMATE(SPEC_NO_CHANGE_1,MEAN,QUARTERLY_ROLL,2025/3F,45778,,,'')&lt;/Q&gt;&lt;R&gt;0&lt;/R&gt;&lt;C&gt;0&lt;/C&gt;&lt;/FQL&gt;&lt;FQL&gt;&lt;Q&gt;Ticker0024^FE_ESTIMATE(SPEC_NO_CHANGE_1,MEAN,QUARTERLY_ROLL,2025/2F,45778,,,'')&lt;/Q&gt;&lt;R&gt;1&lt;/R&gt;&lt;C&gt;1&lt;/C&gt;&lt;D xsi:type="xsd:double"&gt;31&lt;/D&gt;&lt;/FQL&gt;&lt;FQL&gt;&lt;Q&gt;Ticker0024^FE_ESTIMATE(SPEC_NO_CHANGE_1,MEAN,QUARTERLY_ROLL,2025/1F,45778,,,'')&lt;/Q&gt;&lt;R&gt;1&lt;/R&gt;&lt;C&gt;1&lt;/C&gt;&lt;D xsi:type="xsd:double"&gt;31.05&lt;/D&gt;&lt;/FQL&gt;&lt;FQL&gt;&lt;Q&gt;Ticker0024^FE_ESTIMATE(SPEC_NO_CHANGE_1,MEAN,ANNUAL_ROLL,2024,45778,,,'')&lt;/Q&gt;&lt;R&gt;1&lt;/R&gt;&lt;C&gt;1&lt;/C&gt;&lt;D xsi:type="xsd:double"&gt;29.966667&lt;/D&gt;&lt;/FQL&gt;&lt;FQL&gt;&lt;Q&gt;Ticker0024^FE_ESTIMATE(SPEC_NO_CHANGE_1,MEAN,QUARTERLY_ROLL,2024/4F,45778,,,'')&lt;/Q&gt;&lt;R&gt;1&lt;/R&gt;&lt;C&gt;1&lt;/C&gt;&lt;D xsi:type="xsd:double"&gt;28.933332&lt;/D&gt;&lt;/FQL&gt;&lt;FQL&gt;&lt;Q&gt;Ticker0024^FE_ESTIMATE(SPEC_NO_CHANGE_1,MEAN,QUARTERLY_ROLL,2024/3F,45778,,,'')&lt;/Q&gt;&lt;R&gt;1&lt;/R&gt;&lt;C&gt;1&lt;/C&gt;&lt;D xsi:type="xsd:double"&gt;31.02&lt;/D&gt;&lt;/FQL&gt;&lt;FQL&gt;&lt;Q&gt;Ticker0024^FE_ESTIMATE(SPEC_NO_CHANGE_1,MEAN,QUARTERLY_ROLL,2024/2F,45778,,,'')&lt;/Q&gt;&lt;R&gt;1&lt;/R&gt;&lt;C&gt;1&lt;/C&gt;&lt;D xsi:type="xsd:double"&gt;30.06&lt;/D&gt;&lt;/FQL&gt;&lt;FQL&gt;&lt;Q&gt;Ticker0024^FE_ESTIMATE(SPEC_NO_CHANGE_1,MEAN,QUARTERLY_ROLL,2024/1F,45778,,,'')&lt;/Q&gt;&lt;R&gt;1&lt;/R&gt;&lt;C&gt;1&lt;/C&gt;&lt;D xsi:type="xsd:double"&gt;29.066668&lt;/D&gt;&lt;/FQL&gt;&lt;FQL&gt;&lt;Q&gt;Ticker0024^FE_ESTIMATE(SPEC_NO_CHANGE_1,MEAN,ANNUAL_ROLL,2023,45778,,,'')&lt;/Q&gt;&lt;R&gt;1&lt;/R&gt;&lt;C&gt;1&lt;/C&gt;&lt;D xsi:type="xsd:double"&gt;29.166666&lt;/D&gt;&lt;/FQL&gt;&lt;FQL&gt;&lt;Q&gt;Ticker0024^FE_ESTIMATE(SPEC_NO_CHANGE_1,MEAN,QUARTERLY_ROLL,2023/4F,45778,,,'')&lt;/Q&gt;&lt;R&gt;1&lt;/R&gt;&lt;C&gt;1&lt;/C&gt;&lt;D xsi:type="xsd:double"&gt;25.916666&lt;/D&gt;&lt;/FQL&gt;&lt;FQL&gt;&lt;Q&gt;Ticker0024^FE_ESTIMATE(SPEC_NO_CHANGE_1,MEAN,QUARTERLY_ROLL,2023/3F,45778,,,'')&lt;/Q&gt;&lt;R&gt;1&lt;/R&gt;&lt;C&gt;1&lt;/C&gt;&lt;D xsi:type="xsd:double"&gt;27.766666&lt;/D&gt;&lt;/FQL&gt;&lt;FQL&gt;&lt;Q&gt;Ticker0024^FE_ESTIMATE(SPEC_NO_CHANGE_1,MEAN,QUARTERLY_ROLL,2023/2F,45778,,,'')&lt;/Q&gt;&lt;R&gt;1&lt;/R&gt;&lt;C&gt;1&lt;/C&gt;&lt;D xsi:type="xsd:double"&gt;31&lt;/D&gt;&lt;/FQL&gt;&lt;FQL&gt;&lt;Q&gt;Ticker0024^FE_ESTIMATE(SPEC_NO_CHANGE_1,MEAN,QUARTERLY_ROLL,2023/1F,45778,,,'')&lt;/Q&gt;&lt;R&gt;1&lt;/R&gt;&lt;C&gt;1&lt;/C&gt;&lt;D xsi:type="xsd:double"&gt;35&lt;/D&gt;&lt;/FQL&gt;&lt;FQL&gt;&lt;Q&gt;Ticker0024^FE_ESTIMATE(SPEC_NO_CHANGE_1,MEAN,ANNUAL_ROLL,2022,45778,,,'')&lt;/Q&gt;&lt;R&gt;1&lt;/R&gt;&lt;C&gt;1&lt;/C&gt;&lt;D xsi:type="xsd:double"&gt;45.05&lt;/D&gt;&lt;/FQL&gt;&lt;FQL&gt;&lt;Q&gt;Ticker0024^FE_ESTIMATE(SPEC_NO_CHANGE_1,MEAN,QUARTERLY_ROLL,2022/4F,45778,,,'')&lt;/Q&gt;&lt;R&gt;1&lt;/R&gt;&lt;C&gt;1&lt;/C&gt;&lt;D xsi:type="xsd:double"&gt;40&lt;/D&gt;&lt;/FQL&gt;&lt;FQL&gt;&lt;Q&gt;Ticker0024^FE_ESTIMATE(SPEC_NO_CHANGE_1,MEAN,QUARTERLY_ROLL,2022/3F,45778,,,'')&lt;/Q&gt;&lt;R&gt;1&lt;/R&gt;&lt;C&gt;1&lt;/C&gt;&lt;D xsi:type="xsd:double"&gt;46&lt;/D&gt;&lt;/FQL&gt;&lt;FQL&gt;&lt;Q&gt;Ticker0024^FE_ESTIMATE(SPEC_NO_CHANGE_1,MEAN,QUARTERLY_ROLL,2022/2F,45778,,,'')&lt;/Q&gt;&lt;R&gt;1&lt;/R&gt;&lt;C&gt;1&lt;/C&gt;&lt;D xsi:type="xsd:double"&gt;46&lt;/D&gt;&lt;/FQL&gt;&lt;FQL&gt;&lt;Q&gt;Ticker0024^FE_ESTIMATE(SPEC_NO_CHANGE_1,MEAN,QUARTERLY_ROLL,2022/1F,45778,,,'')&lt;/Q&gt;&lt;R&gt;1&lt;/R&gt;&lt;C&gt;1&lt;/C&gt;&lt;D xsi:type="xsd:double"&gt;50&lt;/D&gt;&lt;/FQL&gt;&lt;FQL&gt;&lt;Q&gt;Ticker0024^FE_ESTIMATE(SPEC_NO_CHANGE_1,MEAN,ANNUAL_ROLL,2021,45778,,,'')&lt;/Q&gt;&lt;R&gt;1&lt;/R&gt;&lt;C&gt;1&lt;/C&gt;&lt;D xsi:type="xsd:double"&gt;49.8&lt;/D&gt;&lt;/FQL&gt;&lt;FQL&gt;&lt;Q&gt;Ticker0024^FE_ESTIMATE(SPEC_NO_CHANGE_1,MEAN,QUARTERLY_ROLL,2021/4F,45778,,,'')&lt;/Q&gt;&lt;R&gt;1&lt;/R&gt;&lt;C&gt;1&lt;/C&gt;&lt;D xsi:type="xsd:double"&gt;51&lt;/D&gt;&lt;/FQL&gt;&lt;FQL&gt;&lt;Q&gt;Ticker0024^FE_ESTIMATE(SPEC_NO_CHANGE_1,MEAN,QUARTERLY_ROLL,2021/3F,45778,,,'')&lt;/Q&gt;&lt;R&gt;1&lt;/R&gt;&lt;C&gt;1&lt;/C&gt;&lt;D xsi:type="xsd:double"&gt;50&lt;/D&gt;&lt;/FQL&gt;&lt;FQL&gt;&lt;Q&gt;Ticker0024^FE_ESTIMATE(SPEC_NO_CHANGE_1,MEAN,QUARTERLY_ROLL,2021/2F,45778,,,'')&lt;/Q&gt;&lt;R&gt;1&lt;/R&gt;&lt;C&gt;1&lt;/C&gt;&lt;D xsi:type="xsd:double"&gt;50&lt;/D&gt;&lt;/FQL&gt;&lt;FQL&gt;&lt;Q&gt;Ticker0024^FE_ESTIMATE(SPEC_NO_CHANGE_1,MEAN,QUARTERLY_ROLL,2021/1F,45778,,,'')&lt;/Q&gt;&lt;R&gt;1&lt;/R&gt;&lt;C&gt;1&lt;/C&gt;&lt;D xsi:type="xsd:double"&gt;48&lt;/D&gt;&lt;/FQL&gt;&lt;FQL&gt;&lt;Q&gt;Ticker0024^FE_ESTIMATE(SPEC_NO_CHANGE_1,MEAN,ANNUAL_ROLL,2020,45778,,,'')&lt;/Q&gt;&lt;R&gt;0&lt;/R&gt;&lt;C&gt;0&lt;/C&gt;&lt;/FQL&gt;&lt;FQL&gt;&lt;Q&gt;Ticker0024^FE_ESTIMATE(SPEC_NO_CHANGE_1,MEAN,QUARTERLY_ROLL,2020/4F,45778,,,'')&lt;/Q&gt;&lt;R&gt;0&lt;/R&gt;&lt;C&gt;0&lt;/C&gt;&lt;/FQL&gt;&lt;FQL&gt;&lt;Q&gt;Ticker0024^FE_ESTIMATE(SPEC_NO_CHANGE_1,MEAN,QUARTERLY_ROLL,2020/3F,45778,,,'')&lt;/Q&gt;&lt;R&gt;0&lt;/R&gt;&lt;C&gt;0&lt;/C&gt;&lt;/FQL&gt;&lt;FQL&gt;&lt;Q&gt;Ticker0024^FE_ESTIMATE(SPEC_NO_CHANGE_1,MEAN,QUARTERLY_ROLL,2020/2F,45778,,,'')&lt;/Q&gt;&lt;R&gt;0&lt;/R&gt;&lt;C&gt;0&lt;/C&gt;&lt;/FQL&gt;&lt;FQL&gt;&lt;Q&gt;Ticker0024^FE_ESTIMATE(SPEC_NO_CHANGE_1,MEAN,QUARTERLY_ROLL,2020/1F,45778,,,'')&lt;/Q&gt;&lt;R&gt;0&lt;/R&gt;&lt;C&gt;0&lt;/C&gt;&lt;/FQL&gt;&lt;FQL&gt;&lt;Q&gt;Ticker0024^FE_ESTIMATE(SPEC_NO_CHANGE_1,MEAN,ANNUAL_ROLL,2019,45778,,,'')&lt;/Q&gt;&lt;R&gt;0&lt;/R&gt;&lt;C&gt;0&lt;/C&gt;&lt;/FQL&gt;&lt;FQL&gt;&lt;Q&gt;Ticker0024^FE_ESTIMATE(SPEC_NO_CHANGE_1,MEAN,QUARTERLY_ROLL,2019/4F,45778,,,'')&lt;/Q&gt;&lt;R&gt;0&lt;/R&gt;&lt;C&gt;0&lt;/C&gt;&lt;/FQL&gt;&lt;FQL&gt;&lt;Q&gt;Ticker0024^FE_ESTIMATE(SPEC_NO_CHANGE_1,MEAN,QUARTERLY_ROLL,2019/3F,45778,,,'')&lt;/Q&gt;&lt;R&gt;0&lt;/R&gt;&lt;C&gt;0&lt;/C&gt;&lt;/FQL&gt;&lt;FQL&gt;&lt;Q&gt;Ticker0024^FE_ESTIMATE(SPEC_NO_CHANGE_1,MEAN,QUARTERLY_ROLL,2019/2F,45778,,,'')&lt;/Q&gt;&lt;R&gt;0&lt;/R&gt;&lt;C&gt;0&lt;/C&gt;&lt;/FQL&gt;&lt;FQL&gt;&lt;Q&gt;Ticker0024^FE_ESTIMATE(SPEC_NO_CHANGE_1,MEAN,QUARTERLY_ROLL,2019/1F,45778,,,'')&lt;/Q&gt;&lt;R&gt;0&lt;/R&gt;&lt;C&gt;0&lt;/C&gt;&lt;/FQL&gt;&lt;FQL&gt;&lt;Q&gt;Ticker0024^FE_ESTIMATE(SPEC_NO_CHANGE_1,MEAN,ANNUAL_ROLL,2018,45778,,,'')&lt;/Q&gt;&lt;R&gt;0&lt;/R&gt;&lt;C&gt;0&lt;/C&gt;&lt;/FQL&gt;&lt;FQL&gt;&lt;Q&gt;Ticker0024^FE_ESTIMATE(SPEC_NO_CHANGE_1,MEAN,QUARTERLY_ROLL,2018/4F,45778,,,'')&lt;/Q&gt;&lt;R&gt;0&lt;/R&gt;&lt;C&gt;0&lt;/C&gt;&lt;/FQL&gt;&lt;FQL&gt;&lt;Q&gt;Ticker0024^FE_ESTIMATE(SPEC_NO_CHANGE_1,MEAN,QUARTERLY_ROLL,2018/3F,45778,,,'')&lt;/Q&gt;&lt;R&gt;0&lt;/R&gt;&lt;C&gt;0&lt;/C&gt;&lt;/FQL&gt;&lt;FQL&gt;&lt;Q&gt;Ticker0024^FE_ESTIMATE(SPEC_NO_CHANGE_1,MEAN,QUARTERLY_ROLL,2018/2F,45778,,,'')&lt;/Q&gt;&lt;R&gt;0&lt;/R&gt;&lt;C&gt;0&lt;/C&gt;&lt;/FQL&gt;&lt;FQL&gt;&lt;Q&gt;Ticker0024^FE_ESTIMATE(SPEC_NO_CHANGE_1,MEAN,QUARTERLY_ROLL,2018/1F,45778,,,'')&lt;/Q&gt;&lt;R&gt;0&lt;/R&gt;&lt;C&gt;0&lt;/C&gt;&lt;/FQL&gt;&lt;FQL&gt;&lt;Q&gt;Ticker0024^FE_ESTIMATE(SPEC_NO_CHANGE_1,MEAN,ANNUAL_ROLL,2017,45778,,,'')&lt;/Q&gt;&lt;R&gt;0&lt;/R&gt;&lt;C&gt;0&lt;/C&gt;&lt;/FQL&gt;&lt;FQL&gt;&lt;Q&gt;Ticker0024^FE_ESTIMATE(SPEC_NO_CHANGE_1,MEAN,QUARTERLY_ROLL,2017/4F,45778,,,'')&lt;/Q&gt;&lt;R&gt;0&lt;/R&gt;&lt;C&gt;0&lt;/C&gt;&lt;/FQL&gt;&lt;FQL&gt;&lt;Q&gt;Ticker0024^FE_ESTIMATE(SPEC_NO_CHANGE_1,MEAN,QUARTERLY_ROLL,2017/3F,45778,,,'')&lt;/Q&gt;&lt;R&gt;0&lt;/R&gt;&lt;C&gt;0&lt;/C&gt;&lt;/FQL&gt;&lt;FQL&gt;&lt;Q&gt;Ticker0024^FE_ESTIMATE(SPEC_NO_CHANGE_1,MEAN,QUARTERLY_ROLL,2017/2F,45778,,,'')&lt;/Q&gt;&lt;R&gt;0&lt;/R&gt;&lt;C&gt;0&lt;/C&gt;&lt;/FQL&gt;&lt;FQL&gt;&lt;Q&gt;Ticker0024^FE_ESTIMATE(SPEC_NO_CHANGE_1,MEAN,QUARTERLY_ROLL,2017/1F,45778,,,'')&lt;/Q&gt;&lt;R&gt;0&lt;/R&gt;&lt;C&gt;0&lt;/C&gt;&lt;/FQL&gt;&lt;FQL&gt;&lt;Q&gt;Ticker0024^FE_ESTIMATE(SPEC_NO_CHANGE_1,MEAN,ANNUAL_ROLL,2016,45778,,,'')&lt;/Q&gt;&lt;R&gt;0&lt;/R&gt;&lt;C&gt;0&lt;/C&gt;&lt;/FQL&gt;&lt;FQL&gt;&lt;Q&gt;Ticker0024^FE_ESTIMATE(SPEC_NO_CHANGE_1,MEAN,QUARTERLY_ROLL,2016/4F,45778,,,'')&lt;/Q&gt;&lt;R&gt;0&lt;/R&gt;&lt;C&gt;0&lt;/C&gt;&lt;/FQL&gt;&lt;FQL&gt;&lt;Q&gt;Ticker0024^FE_ESTIMATE(SPEC_NO_CHANGE_1,MEAN,QUARTERLY_ROLL,2016/3F,45778,,,'')&lt;/Q&gt;&lt;R&gt;0&lt;/R&gt;&lt;C&gt;0&lt;/C&gt;&lt;/FQL&gt;&lt;FQL&gt;&lt;Q&gt;Ticker0024^FE_ESTIMATE(SPEC_NO_CHANGE_1,MEAN,QUARTERLY_ROLL,2016/2F,45778,,,'')&lt;/Q&gt;&lt;R&gt;0&lt;/R&gt;&lt;C&gt;0&lt;/C&gt;&lt;/FQL&gt;&lt;FQL&gt;&lt;Q&gt;Ticker0024^FE_ESTIMATE(SPEC_NO_CHANGE_1,MEAN,QUARTERLY_ROLL,2016/1F,45778,,,'')&lt;/Q&gt;&lt;R&gt;0&lt;/R&gt;&lt;C&gt;0&lt;/C&gt;&lt;/FQL&gt;&lt;FQL&gt;&lt;Q&gt;Ticker0024^FE_ESTIMATE(SPEC_NO_CHANGE_1,MEAN,ANNUAL_ROLL,2015,45778,,,'')&lt;/Q&gt;&lt;R&gt;0&lt;/R&gt;&lt;C&gt;0&lt;/C&gt;&lt;/FQL&gt;&lt;FQL&gt;&lt;Q&gt;Ticker0024^FE_ESTIMATE(SPEC_NO_CHANGE_1,MEAN,QUARTERLY_ROLL,2015/4F,45778,,,'')&lt;/Q&gt;&lt;R&gt;0&lt;/R&gt;&lt;C&gt;0&lt;/C&gt;&lt;/FQL&gt;&lt;FQL&gt;&lt;Q&gt;Ticker0024^FE_ESTIMATE(SPEC_NO_CHANGE_1,MEAN,QUARTERLY_ROLL,2015/3F,45778,,,'')&lt;/Q&gt;&lt;R&gt;0&lt;/R&gt;&lt;C&gt;0&lt;/C&gt;&lt;/FQL&gt;&lt;FQL&gt;&lt;Q&gt;Ticker0024^FE_ESTIMATE(SPEC_NO_CHANGE_1,MEAN,QUARTERLY_ROLL,2015/2F,45778,,,'')&lt;/Q&gt;&lt;R&gt;0&lt;/R&gt;&lt;C&gt;0&lt;/C&gt;&lt;/FQL&gt;&lt;FQL&gt;&lt;Q&gt;Ticker0024^FE_ESTIMATE(SPEC_NO_CHANGE_1,MEAN,QUARTERLY_ROLL,2015/1F,45778,,,'')&lt;/Q&gt;&lt;R&gt;0&lt;/R&gt;&lt;C&gt;0&lt;/C&gt;&lt;/FQL&gt;&lt;FQL&gt;&lt;Q&gt;Ticker0024^FE_ESTIMATE(NEW_ORDERS_VALUE,MEAN,ANNUAL_ROLL,2030,45778,,,'')&lt;/Q&gt;&lt;R&gt;0&lt;/R&gt;&lt;C&gt;0&lt;/C&gt;&lt;/FQL&gt;&lt;FQL&gt;&lt;Q&gt;Ticker0024^FE_ESTIMATE(NEW_ORDERS_VALUE,MEAN,QUARTERLY_ROLL,2030/4F,45778,,,'')&lt;/Q&gt;&lt;R&gt;0&lt;/R&gt;&lt;C&gt;0&lt;/C&gt;&lt;/FQL&gt;&lt;FQL&gt;&lt;Q&gt;Ticker0024^FE_ESTIMATE(NEW_ORDERS_VALUE,MEAN,QUARTERLY_ROLL,2030/3F,45778,,,'')&lt;/Q&gt;&lt;R&gt;0&lt;/R&gt;&lt;C&gt;0&lt;/C&gt;&lt;/FQL&gt;&lt;FQL&gt;&lt;Q&gt;Ticker0024^FE_ESTIMATE(NEW_ORDERS_VALUE,MEAN,QUARTERLY_ROLL,2030/2F,45778,,,'')&lt;/Q&gt;&lt;R&gt;0&lt;/R&gt;&lt;C&gt;0&lt;/C&gt;&lt;/FQL&gt;&lt;FQL&gt;&lt;Q&gt;Ticker0024^FE_ESTIMATE(NEW_ORDERS_VALUE,MEAN,QUARTERLY_ROLL,2030/1F,45778,,,'')&lt;/Q&gt;&lt;R&gt;0&lt;/R&gt;&lt;C&gt;0&lt;/C&gt;&lt;/FQL&gt;&lt;FQL&gt;&lt;Q&gt;Ticker0024^FE_ESTIMATE(NEW_ORDERS_VALUE,MEAN,ANNUAL_ROLL,2029,45778,,,'')&lt;/Q&gt;&lt;R&gt;0&lt;/R&gt;&lt;C&gt;0&lt;/C&gt;&lt;/FQL&gt;&lt;FQL&gt;&lt;Q&gt;Ticker0024^FE_ESTIMATE(NEW_ORDERS_VALUE,MEAN,QUARTERLY_ROLL,2029/4F,45778,,,'')&lt;/Q&gt;&lt;R&gt;0&lt;/R&gt;&lt;C&gt;0&lt;/C&gt;&lt;/FQL&gt;&lt;FQL&gt;&lt;Q&gt;Ticker0024^FE_ESTIMATE(NEW_ORDERS_VALUE,MEAN,QUARTERLY_ROLL,2029/3F,45778,,,'')&lt;/Q&gt;&lt;R&gt;0&lt;/R&gt;&lt;C&gt;0&lt;/C&gt;&lt;/FQL&gt;&lt;FQL&gt;&lt;Q&gt;Ticker0024^FE_ESTIMATE(NEW_ORDERS_VALUE,MEAN,QUARTERLY_ROLL,2029/2F,45778,,,'')&lt;/Q&gt;&lt;R&gt;0&lt;/R&gt;&lt;C&gt;0&lt;/C&gt;&lt;/FQL&gt;&lt;FQL&gt;&lt;Q&gt;Ticker0024^FE_ESTIMATE(NEW_ORDERS_VALUE,MEAN,QUARTERLY_ROLL,2029/1F,45778,,,'')&lt;/Q&gt;&lt;R&gt;0&lt;/R&gt;&lt;C&gt;0&lt;/C&gt;&lt;/FQL&gt;&lt;FQL&gt;&lt;Q&gt;Ticker0024^FE_ESTIMATE(NEW_ORDERS_VALUE,MEAN,ANNUAL_ROLL,2028,45778,,,'')&lt;/Q&gt;&lt;R&gt;0&lt;/R&gt;&lt;C&gt;0&lt;/C&gt;&lt;/FQL&gt;&lt;FQL&gt;&lt;Q&gt;Ticker0024^FE_ESTIMATE(NEW_ORDERS_VALUE,MEAN,QUARTERLY_ROLL,2028/4F,45778,,,'')&lt;/Q&gt;&lt;R&gt;0&lt;/R&gt;&lt;C&gt;0&lt;/C&gt;&lt;/FQL&gt;&lt;FQL&gt;&lt;Q&gt;Ticker0024^FE_ESTIMATE(NEW_ORDERS_VALUE,MEAN,QUARTERLY_ROLL,2028/3F,45778,,,'')&lt;/Q&gt;&lt;R&gt;0&lt;/R&gt;&lt;C&gt;0&lt;/C&gt;&lt;/FQL&gt;&lt;FQL&gt;&lt;Q&gt;Ticker0024^FE_ESTIMATE(NEW_ORDERS_VALUE,MEAN,QUARTERLY_ROLL,2028/2F,45778,,,'')&lt;/Q&gt;&lt;R&gt;0&lt;/R&gt;&lt;C&gt;0&lt;/C&gt;&lt;/FQL&gt;&lt;FQL&gt;&lt;Q&gt;Ticker0024^FE_ESTIMATE(NEW_ORDERS_VALUE,MEAN,QUARTERLY_ROLL,2028/1F,45778,,,'')&lt;/Q&gt;&lt;R&gt;0&lt;/R&gt;&lt;C&gt;0&lt;/C&gt;&lt;/FQL&gt;&lt;FQL&gt;&lt;Q&gt;Ticker0024^FE_ESTIMATE(NEW_ORDERS_VALUE,MEAN,ANNUAL_ROLL,2027,45778,,,'')&lt;/Q&gt;&lt;R&gt;0&lt;/R&gt;&lt;C&gt;0&lt;/C&gt;&lt;/FQL&gt;&lt;FQL&gt;&lt;Q&gt;Ticker0024^FE_ESTIMATE(NEW_ORDERS_VALUE,MEAN,QUARTERLY_ROLL,2027/4F,45778,,,'')&lt;/Q&gt;&lt;R&gt;0&lt;/R&gt;&lt;C&gt;0&lt;/C&gt;&lt;/FQL&gt;&lt;FQL&gt;&lt;Q&gt;Ticker0024^FE_ESTIMATE(NEW_ORDERS_VALUE,MEAN,QUARTERLY_ROLL,2027/3F,45778,,,'')&lt;/Q&gt;&lt;R&gt;0&lt;/R&gt;&lt;C&gt;0&lt;/C&gt;&lt;/FQL&gt;&lt;FQL&gt;&lt;Q&gt;Ticker0024^FE_ESTIMATE(NEW_ORDERS_VALUE,MEAN,QUARTERLY_ROLL,2027/2F,45778,,,'')&lt;/Q&gt;&lt;R&gt;0&lt;/R&gt;&lt;C&gt;0&lt;/C&gt;&lt;/FQL&gt;&lt;FQL&gt;&lt;Q&gt;Ticker0024^FE_ESTIMATE(NEW_ORDERS_VALUE,MEAN,QUARTERLY_ROLL,2027/1F,45778,,,'')&lt;/Q&gt;&lt;R&gt;0&lt;/R&gt;&lt;C&gt;0&lt;/C&gt;&lt;/FQL&gt;&lt;FQL&gt;&lt;Q&gt;Ticker0024^FE_ESTIMATE(NEW_ORDERS_VALUE,MEAN,ANNUAL_ROLL,2026,45778,,,'')&lt;/Q&gt;&lt;R&gt;1&lt;/R&gt;&lt;C&gt;1&lt;/C&gt;&lt;D xsi:type="xsd:double"&gt;319817&lt;/D&gt;&lt;/FQL&gt;&lt;FQL&gt;&lt;Q&gt;Ticker0024^FE_ESTIMATE(NEW_ORDERS_VALUE,MEAN,QUARTERLY_ROLL,2026/4F,45778,,,'')&lt;/Q&gt;&lt;R&gt;0&lt;/R&gt;&lt;C&gt;0&lt;/C&gt;&lt;/FQL&gt;&lt;FQL&gt;&lt;Q&gt;Ticker0024^FE_ESTIMATE(NEW_ORDERS_VALUE,MEAN,QUARTERLY_ROLL,2026/3F,45778,,,'')&lt;/Q&gt;&lt;R&gt;0&lt;/R&gt;&lt;C&gt;0&lt;/C&gt;&lt;/FQL&gt;&lt;FQL&gt;&lt;Q&gt;Ticker0024^FE_ESTIMATE(NEW_ORDERS_VALUE,MEAN,QUARTERLY_ROLL,2026/2F,45778,,,'')&lt;/Q&gt;&lt;R&gt;0&lt;/R&gt;&lt;C&gt;0&lt;/C&gt;&lt;/FQL&gt;&lt;FQL&gt;&lt;Q&gt;Ticker0024^FE_ESTIMATE(NEW_ORDERS_VALUE,MEAN,QUARTERLY_ROLL,2026/1F,45778,,,'')&lt;/Q&gt;&lt;R&gt;0&lt;/R&gt;&lt;C&gt;0&lt;/C&gt;&lt;/FQL&gt;&lt;FQL&gt;&lt;Q&gt;Ticker0024^FE_ESTIMATE(NEW_ORDERS_VALUE,MEAN,ANNUAL_ROLL,2025,45778,,,'')&lt;/Q&gt;&lt;R&gt;1&lt;/R&gt;&lt;C&gt;1&lt;/C&gt;&lt;D xsi:type="xsd:double"&gt;287592&lt;/D&gt;&lt;/FQL&gt;&lt;FQL&gt;&lt;Q&gt;Ticker0024^FE_ESTIMATE(NEW_ORDERS_VALUE,MEAN,QUARTERLY_ROLL,2025/4F,45778,,,'')&lt;/Q&gt;&lt;R&gt;1&lt;/R&gt;&lt;C&gt;1&lt;/C&gt;&lt;D xsi:type="xsd:double"&gt;95017&lt;/D&gt;&lt;/FQL&gt;&lt;FQL&gt;&lt;Q&gt;Ticker0024^FE_ESTIMATE(NEW_ORDERS_VALUE,MEAN,QUARTERLY_ROLL,2025/3F,45778,,,'')&lt;/Q&gt;&lt;R&gt;1&lt;/R&gt;&lt;C&gt;1&lt;/C&gt;&lt;D xsi:type="xsd:double"&gt;69497&lt;/D&gt;&lt;/FQL&gt;&lt;FQL&gt;&lt;Q&gt;Ticker0024^FE_ESTIMATE(NEW_ORDERS_VALUE,MEAN,QUARTERLY_ROLL,2025/2F,45778,,,'')&lt;/Q&gt;&lt;R&gt;1&lt;/R&gt;&lt;C&gt;1&lt;/C&gt;&lt;D xsi:type="xsd:double"&gt;61988&lt;/D&gt;&lt;/FQL&gt;&lt;FQL&gt;&lt;Q&gt;Ticker0024^FE_ESTIMATE(NEW_ORDERS_VALUE,MEAN,QUARTERLY_ROLL,2025/1F,45778,,,'')&lt;/Q&gt;&lt;R&gt;0&lt;/R&gt;&lt;C&gt;0&lt;/C&gt;&lt;/FQL&gt;&lt;FQL&gt;&lt;Q&gt;Ticker0024^FE_ESTIMATE(NEW_ORDERS_VALUE,MEAN,ANNUAL_ROLL,2024,45778,,,'')&lt;/Q&gt;&lt;R&gt;0&lt;/R&gt;&lt;C&gt;0&lt;/C&gt;&lt;/FQL&gt;&lt;FQL&gt;&lt;Q&gt;Ticker0024^FE_ESTIMATE(NEW_ORDERS_VALUE,MEAN,QUARTERLY_ROLL,2024/4F,45778,,,'')&lt;/Q&gt;&lt;R&gt;0&lt;/R&gt;&lt;C&gt;0&lt;/C&gt;&lt;/FQL&gt;&lt;FQL&gt;&lt;Q&gt;Ticker0024^FE_ESTIMATE(NEW_ORDERS_VALUE,MEAN,QUARTERLY_ROLL,2024/3F,45778,,,'')&lt;/Q&gt;&lt;R&gt;0&lt;/R&gt;&lt;C&gt;0&lt;/C&gt;&lt;/FQL&gt;&lt;FQL&gt;&lt;Q&gt;Ticker0024^FE_ESTIMATE(NEW_ORDERS_VALUE,MEAN,QUARTERLY_ROLL,2024/2F,45778,,,'')&lt;/Q&gt;&lt;R&gt;0&lt;/R&gt;&lt;C&gt;0&lt;/C&gt;&lt;/FQL&gt;&lt;FQL&gt;&lt;Q&gt;Ticker0024^FE_ESTIMATE(NEW_ORDERS_VALUE,MEAN,QUARTERLY_ROLL,2024/1F,45778,,,'')&lt;/Q&gt;&lt;R&gt;0&lt;/R&gt;&lt;C&gt;0&lt;/C&gt;&lt;/FQL&gt;&lt;FQL&gt;&lt;Q&gt;Ticker0024^FE_ESTIMATE(NEW_ORDERS_VALUE,MEAN,ANNUAL_ROLL,2023,45778,,,'')&lt;/Q&gt;&lt;R&gt;1&lt;/R&gt;&lt;C&gt;1&lt;/C&gt;&lt;D xsi:type="xsd:double"&gt;217320&lt;/D&gt;&lt;/FQL&gt;&lt;FQL&gt;&lt;Q&gt;Ticker0024^FE_ESTIMATE(NEW_ORDERS_VALUE,MEAN,QUARTERLY_ROLL,2023/4F,45778,,,'')&lt;/Q&gt;&lt;R&gt;1&lt;/R&gt;&lt;C&gt;1&lt;/C&gt;&lt;D xsi:type="xsd:double"&gt;70401&lt;/D&gt;&lt;/FQL&gt;&lt;FQL&gt;&lt;Q&gt;Ticker0024^FE_ESTIMATE(NEW_ORDERS_VALUE,MEAN,QUARTERLY_ROLL,2023/3F,45778,,,'')&lt;/Q&gt;&lt;R&gt;1&lt;/R&gt;&lt;C&gt;1&lt;/C&gt;&lt;D xsi:type="xsd:double"&gt;52832&lt;/D&gt;&lt;/FQL&gt;&lt;FQL&gt;&lt;Q&gt;Ticker0024^FE_ESTIMATE(NEW_ORDERS_VALUE,MEAN,QUARTERLY_ROLL,2023/2F,45778,,,'')&lt;/Q&gt;&lt;R&gt;1&lt;/R&gt;&lt;C&gt;1&lt;/C&gt;&lt;D xsi:type="xsd:double"&gt;48484&lt;/D&gt;&lt;/FQL&gt;&lt;FQL&gt;&lt;Q&gt;Ticker0024^FE_ESTIMATE(NEW_ORDERS_VALUE,MEAN,QUARTERLY_ROLL,2023/1F,45778,,,'')&lt;/Q&gt;&lt;R&gt;1&lt;/R&gt;&lt;C&gt;1&lt;/C&gt;&lt;D xsi:type="xsd:double"&gt;45603&lt;/D&gt;&lt;/FQL&gt;&lt;FQL&gt;&lt;Q&gt;Ticker0024^FE_ESTIMATE(NEW_ORDERS_VALUE,MEAN,ANNUAL_ROLL,2022,45778,,,'')&lt;/Q&gt;&lt;R&gt;1&lt;/R&gt;&lt;C&gt;1&lt;/C&gt;&lt;D xsi:type="xsd:double"&gt;202537&lt;/D&gt;&lt;/FQL&gt;&lt;FQL&gt;&lt;Q&gt;Ticker0024^FE_ESTIMATE(NEW_ORDERS_VALUE,MEAN,QUARTERLY_ROLL,2022/4F,45778,,,'')&lt;/Q&gt;&lt;R&gt;1&lt;/R&gt;&lt;C&gt;1&lt;/C&gt;&lt;D xsi:type="xsd:double"&gt;63477&lt;/D&gt;&lt;/FQL&gt;&lt;FQL&gt;&lt;Q&gt;Ticker0024^FE_ESTIMATE(NEW_ORDERS_VALUE,MEAN,QUARTERLY_ROLL,2022/3F,45778,,,'')&lt;/Q&gt;&lt;R&gt;1&lt;/R&gt;&lt;C&gt;1&lt;/C&gt;&lt;D xsi:type="xsd:double"&gt;49387&lt;/D&gt;&lt;/FQL&gt;&lt;FQL&gt;&lt;Q&gt;Ticker0024^FE_ESTIMATE(NEW_ORDERS_VALUE,MEAN,QUARTERLY_ROLL,2022/2F,45778,,,'')&lt;/Q&gt;&lt;R&gt;1&lt;/R&gt;&lt;C&gt;1&lt;/C&gt;&lt;D xsi:type="xsd:double"&gt;47482&lt;/D&gt;&lt;/FQL&gt;&lt;FQL&gt;&lt;Q&gt;Ticker0024^FE_ESTIMATE(NEW_ORDERS_VALUE,MEAN,QUARTERLY_ROLL,2022/1F,45778,,,'')&lt;/Q&gt;&lt;R&gt;1&lt;/R&gt;&lt;C&gt;1&lt;/C&gt;&lt;D xsi:type="xsd:double"&gt;42191&lt;/D&gt;&lt;/FQL&gt;&lt;FQL&gt;&lt;Q&gt;Ticker0024^FE_ESTIMATE(NEW_ORDERS_VALUE,MEAN,ANNUAL_ROLL,2021,45778,,,'')&lt;/Q&gt;&lt;R&gt;1&lt;/R&gt;&lt;C&gt;1&lt;/C&gt;&lt;D xsi:type="xsd:double"&gt;173049&lt;/D&gt;&lt;/FQL&gt;&lt;FQL&gt;&lt;Q&gt;Ticker0024^FE_ESTIMATE(NEW_ORDERS_VALUE,MEAN,QUARTERLY_ROLL,2021/4F,45778,,,'')&lt;/Q&gt;&lt;R&gt;1&lt;/R&gt;&lt;C&gt;1&lt;/C&gt;&lt;D xsi:type="xsd:double"&gt;57579&lt;/D&gt;&lt;/FQL&gt;&lt;FQL&gt;&lt;Q&gt;Ticker0024^FE_ESTIMATE(NEW_ORDERS_VALUE,MEAN,QUARTERLY_ROLL,2021/3F,45778,,,'')&lt;/Q&gt;&lt;R&gt;1&lt;/R&gt;&lt;C&gt;1&lt;/C&gt;&lt;D xsi:type="xsd:double"&gt;40710.5&lt;/D&gt;&lt;/FQL&gt;&lt;FQL&gt;&lt;Q&gt;Ticker0024^FE_ESTIMATE(NEW_ORDERS_VALUE,MEAN,QUARTERLY_ROLL,2021/2F,45778,,,'')&lt;/Q&gt;&lt;R&gt;1&lt;/R&gt;&lt;C&gt;1&lt;/C&gt;&lt;D xsi:type="xsd:double"&gt;40158&lt;/D&gt;&lt;/FQL&gt;&lt;FQL&gt;&lt;Q&gt;Ticker0024^FE_ESTIMATE(NEW_ORDERS_VALUE,MEAN,QUARTERLY_ROLL,2021/1F,45778,,,'')&lt;/Q&gt;&lt;R&gt;1&lt;/R&gt;&lt;C&gt;1&lt;/C&gt;&lt;D xsi:type="xsd:double"&gt;34160.5&lt;/D&gt;&lt;/FQL&gt;&lt;FQL&gt;&lt;Q&gt;Ticker0024^FE_ESTIMATE(NEW_ORDERS_VALUE,MEAN,ANNUAL_ROLL,2020,45778,,,'')&lt;/Q&gt;&lt;R&gt;0&lt;/R&gt;&lt;C&gt;0&lt;/C&gt;&lt;/FQL&gt;&lt;FQL&gt;&lt;Q&gt;Ticker0024^FE_ESTIMATE(NEW_ORDERS_VALUE,MEAN,QUARTERLY_ROLL,2020/4F,45778,,,'')&lt;/Q&gt;&lt;R&gt;0&lt;/R&gt;&lt;C&gt;0&lt;/C&gt;&lt;/FQL&gt;&lt;FQL&gt;&lt;Q&gt;Ticker0024^FE_ESTIMATE(NEW_ORDERS_VALUE,MEAN,QUARTERLY_ROLL,2020/3F,45778,,,'')&lt;/Q&gt;&lt;R&gt;0&lt;/R&gt;&lt;C&gt;0&lt;/C&gt;&lt;/FQL&gt;&lt;FQL&gt;&lt;Q&gt;Ticker0024^FE_ESTIMATE(NEW_ORDERS_VALUE,MEAN,QUARTERLY_ROLL,2020/2F,45778,,,'')&lt;/Q&gt;&lt;R&gt;1&lt;/R&gt;&lt;C&gt;1&lt;/C&gt;&lt;D xsi:type="xsd:double"&gt;34101&lt;/D&gt;&lt;/FQL&gt;&lt;FQL&gt;&lt;Q&gt;Ticker0024^FE_ESTIMATE(NEW_ORDERS_VALUE,MEAN,QUARTERLY_ROLL,2020/1F,45778,,,'')&lt;/Q&gt;&lt;R&gt;1&lt;/R&gt;&lt;C&gt;1&lt;/C&gt;&lt;D xsi:type="xsd:double"&gt;29875&lt;/D&gt;&lt;/FQL&gt;&lt;FQL&gt;&lt;Q&gt;Ticker0024^FE_ESTIMATE(NEW_ORDERS_VALUE,MEAN,ANNUAL_ROLL,2019,45778,,,'')&lt;/Q&gt;&lt;R&gt;1&lt;/R&gt;&lt;C&gt;1&lt;/C&gt;&lt;D xsi:type="xsd:double"&gt;130329&lt;/D&gt;&lt;/FQL&gt;&lt;FQL&gt;&lt;Q&gt;Ticker0024^FE_ESTIMATE(NEW_ORDERS_VALUE,MEAN,QUARTERLY_ROLL,2019/4F,45778,,,'')&lt;/Q&gt;&lt;R&gt;1&lt;/R&gt;&lt;C&gt;1&lt;/C&gt;&lt;D xsi:type="xsd:double"&gt;42788&lt;/D&gt;&lt;/FQL&gt;&lt;FQL&gt;&lt;Q&gt;Ticker0024^FE_ESTIMATE(NEW_ORDERS_VALUE,MEAN,QUARTERLY_ROLL,2019/3F,45778,,,'')&lt;/Q&gt;&lt;R&gt;1&lt;/R&gt;&lt;C&gt;1&lt;/C&gt;&lt;D xsi:type="xsd:double"&gt;30622&lt;/D&gt;&lt;/FQL&gt;&lt;FQL&gt;&lt;Q&gt;Ticker0024^FE_ESTIMATE(NEW_ORDERS_VALUE,MEAN,QUARTERLY_ROLL,2019/2F,45778,,,'')&lt;/Q&gt;&lt;R&gt;1&lt;/R&gt;&lt;C&gt;1&lt;/C&gt;&lt;D xsi:type="xsd:double"&gt;30313&lt;/D&gt;&lt;/FQL&gt;&lt;FQL&gt;&lt;Q&gt;Ticker0024^FE_ESTIMATE(NEW_ORDERS_VALUE,MEAN,QUARTERLY_ROLL,2019/1F,45778,,,'')&lt;/Q&gt;&lt;R&gt;1&lt;/R&gt;&lt;C&gt;1&lt;/C&gt;&lt;D xsi:type="xsd:double"&gt;26606&lt;/D&gt;&lt;/FQL&gt;&lt;FQL&gt;&lt;Q&gt;Ticker0024^FE_ESTIMATE(NEW_ORDERS_VALUE,MEAN,ANNUAL_ROLL,2018,45778,,,'')&lt;/Q&gt;&lt;R&gt;1&lt;/R&gt;&lt;C&gt;1&lt;/C&gt;&lt;D xsi:type="xsd:double"&gt;116424&lt;/D&gt;&lt;/FQL&gt;&lt;FQL&gt;&lt;Q&gt;Ticker0024^FE_ESTIMATE(NEW_ORDERS_VALUE,MEAN,QUARTERLY_ROLL,2018/4F,45778,,,'')&lt;/Q&gt;&lt;R&gt;1&lt;/R&gt;&lt;C&gt;1&lt;/C&gt;&lt;D xsi:type="xsd:double"&gt;38850&lt;/D&gt;&lt;/FQL&gt;&lt;FQL&gt;&lt;Q&gt;Ticker0024^FE_ESTIMATE(NEW_ORDERS_VALUE,MEAN,QUARTERLY_ROLL,2018/3F,45778,,,'')&lt;/Q&gt;&lt;R&gt;1&lt;/R&gt;&lt;C&gt;1&lt;/C&gt;&lt;D xsi:type="xsd:double"&gt;26965&lt;/D&gt;&lt;/FQL&gt;&lt;FQL&gt;&lt;Q&gt;Ticker0024^FE_ESTIMATE(NEW_ORDERS_VALUE,MEAN,QUARTERLY_ROLL,2018/2F,45778,,,'')&lt;/Q&gt;&lt;R&gt;1&lt;/R&gt;&lt;C&gt;1&lt;/C&gt;&lt;D xsi:type="xsd:double"&gt;27823&lt;/D&gt;&lt;/FQL&gt;&lt;FQL&gt;&lt;Q&gt;Ticker0024^FE_ESTIMATE(NEW_ORDERS_VALUE,MEAN,QUARTERLY_ROLL,2018/1F,45778,,,'')&lt;/Q&gt;&lt;R&gt;1&lt;/R&gt;&lt;C&gt;1&lt;/C&gt;&lt;D xsi:type="xsd:double"&gt;22786&lt;/D&gt;&lt;/FQL&gt;&lt;FQL&gt;&lt;Q&gt;Ticker0024^FE_ESTIMATE(NEW_ORDERS_VALUE,MEAN,ANNUAL_ROLL,2017,45778,,,'')&lt;/Q&gt;&lt;R&gt;1&lt;/R&gt;&lt;C&gt;1&lt;/C&gt;&lt;D xsi:type="xsd:double"&gt;99926&lt;/D&gt;&lt;/FQL&gt;&lt;FQL&gt;&lt;Q&gt;Ticker0024^FE_ESTIMATE(NEW_ORDERS_VALUE,MEAN,QUARTERLY_ROLL,2017/4F,45778,,,'')&lt;/Q&gt;&lt;R&gt;1&lt;/R&gt;&lt;C&gt;1&lt;/C&gt;&lt;D xsi:type="xsd:double"&gt;32063.5&lt;/D&gt;&lt;/FQL&gt;&lt;FQL&gt;&lt;Q&gt;Ticker0024^FE_ESTIMATE(NEW_ORDERS_VALUE,MEAN,QUARTERLY_ROLL,2017/3F,45778,,,'')&lt;/Q&gt;&lt;R&gt;1&lt;/R&gt;&lt;C&gt;1&lt;/C&gt;&lt;D xsi:type="xsd:double"&gt;23144&lt;/D&gt;&lt;/FQL&gt;&lt;FQL&gt;&lt;Q&gt;Ticker0024^FE_ESTIMATE(NEW_ORDERS_VALUE,MEAN,QUARTERLY_ROLL,2017/2F,45778,,,'')&lt;/Q&gt;&lt;R&gt;1&lt;/R&gt;&lt;C&gt;1&lt;/C&gt;&lt;D xsi:type="xsd:double"&gt;26300.666&lt;/D&gt;&lt;/FQL&gt;&lt;FQL&gt;&lt;Q&gt;Ticker0024^FE_ESTIMATE(NEW_ORDERS_VALUE,MEAN,QUARTERLY_ROLL,2017/1F,45778,,,'')&lt;/Q&gt;&lt;R&gt;1&lt;/R&gt;&lt;C&gt;1&lt;/C&gt;&lt;D xsi:type="xsd:double"&gt;21072.5&lt;/D&gt;&lt;/FQL&gt;&lt;FQL&gt;&lt;Q&gt;Ticker0024^FE_ESTIMATE(NEW_ORDERS_VALUE,MEAN,ANNUAL_ROLL,2016,45778,,,'')&lt;/Q&gt;&lt;R&gt;1&lt;/R&gt;&lt;C&gt;1&lt;/C&gt;&lt;D xsi:type="xsd:double"&gt;94769&lt;/D&gt;&lt;/FQL&gt;&lt;FQL&gt;&lt;Q&gt;Ticker0024^FE_ESTIMATE(NEW_ORDERS_VALUE,MEAN,QUARTERLY_ROLL,2016/4F,45778,,,'')&lt;/Q&gt;&lt;R&gt;1&lt;/R&gt;&lt;C&gt;1&lt;/C&gt;&lt;D xsi:type="xsd:double"&gt;29640.5&lt;/D&gt;&lt;/FQL&gt;&lt;FQL&gt;&lt;Q&gt;Ticker0024^FE_ESTIMATE(NEW_ORDERS_VALUE,MEAN,QUARTERLY_ROLL,2016/3F,45778,,,'')&lt;/Q&gt;&lt;R&gt;1&lt;/R&gt;&lt;C&gt;1&lt;/C&gt;&lt;D xsi:type="xsd:double"&gt;22938&lt;/D&gt;&lt;/FQL&gt;&lt;FQL&gt;&lt;Q&gt;Ticker0024^FE_ESTIMATE(NEW_ORDERS_VALUE,MEAN,QUARTERLY_ROLL,2016/2F,45778,,,'')&lt;/Q&gt;&lt;R&gt;0&lt;/R&gt;&lt;C&gt;0&lt;/C&gt;&lt;/FQL&gt;&lt;FQL&gt;&lt;Q&gt;Ticker0024^FE_ESTIMATE(NEW_ORDERS_VALUE,MEAN,QUARTERLY_ROLL,2016/1F,45778,,,'')&lt;/Q&gt;&lt;R&gt;0&lt;/R&gt;&lt;C&gt;0&lt;/C&gt;&lt;/FQL&gt;&lt;FQL&gt;&lt;Q&gt;Ticker0024^FE_ESTIMATE(NEW_ORDERS_VALUE,MEAN,ANNUAL_ROLL,2015,45778,,,'')&lt;/Q&gt;&lt;R&gt;0&lt;/R&gt;&lt;C&gt;0&lt;/C&gt;&lt;/FQL&gt;&lt;FQL&gt;&lt;Q&gt;Ticker0024^FE_ESTIMATE(NEW_ORDERS_VALUE,MEAN,QUARTERLY_ROLL,2015/4F,45778,,,'')&lt;/Q&gt;&lt;R&gt;0&lt;/R&gt;&lt;C&gt;0&lt;/C&gt;&lt;/FQL&gt;&lt;FQL&gt;&lt;Q&gt;Ticker0024^FE_ESTIMATE(NEW_ORDERS_VALUE,MEAN,QUARTERLY_ROLL,2015/3F,45778,,,'')&lt;/Q&gt;&lt;R&gt;0&lt;/R&gt;&lt;C&gt;0&lt;/C&gt;&lt;/FQL&gt;&lt;FQL&gt;&lt;Q&gt;Ticker0024^FE_ESTIMATE(NEW_ORDERS_VALUE,MEAN,QUARTERLY_ROLL,2015/2F,45778,,,'')&lt;/Q&gt;&lt;R&gt;0&lt;/R&gt;&lt;C&gt;0&lt;/C&gt;&lt;/FQL&gt;&lt;FQL&gt;&lt;Q&gt;Ticker0024^FE_ESTIMATE(NEW_ORDERS_VALUE,MEAN,QUARTERLY_ROLL,2015/1F,45778,,,'')&lt;/Q&gt;&lt;R&gt;0&lt;/R&gt;&lt;C&gt;0&lt;/C&gt;&lt;/FQL&gt;&lt;FQL&gt;&lt;Q&gt;Ticker0024^FE_ESTIMATE(DEFREVENUE,MEAN,ANNUAL_ROLL,2030,45778,,,'')&lt;/Q&gt;&lt;R&gt;0&lt;/R&gt;&lt;C&gt;0&lt;/C&gt;&lt;/FQL&gt;&lt;FQL&gt;&lt;Q&gt;Ticker0024^FE_ESTIMATE(DEFREVENUE,MEAN,QUARTERLY_ROLL,2030/4F,45778,,,'')&lt;/Q&gt;&lt;R&gt;0&lt;/R&gt;&lt;C&gt;0&lt;/C&gt;&lt;/FQL&gt;&lt;FQL&gt;&lt;Q&gt;Ticker0024^FE_ESTIMATE(DEFREVENUE,MEAN,QUARTERLY_ROLL,2030/3F,45778,,,'')&lt;/Q&gt;&lt;R&gt;0&lt;/R&gt;&lt;C&gt;0&lt;/C&gt;&lt;/FQL&gt;&lt;FQL&gt;&lt;Q&gt;Ticker0024^FE_ESTIMATE(DEFREVENUE,MEAN,QUARTERLY_ROLL,2030/2F,45778,,,'')&lt;/Q&gt;&lt;R&gt;0&lt;/R&gt;&lt;C&gt;0&lt;/C&gt;&lt;/FQL&gt;&lt;FQL&gt;&lt;Q&gt;Ticker0024^FE_ESTIMATE(DEFREVENUE,MEAN,QUARTERLY_ROLL,2030/1F,45778,,,'')&lt;/Q&gt;&lt;R&gt;0&lt;/R&gt;&lt;C&gt;0&lt;/C&gt;&lt;/FQL&gt;&lt;FQL&gt;&lt;Q&gt;Ticker0024^FE_ESTIMATE(DEFREVENUE,MEAN,ANNUAL_ROLL,2029,45778,,,'')&lt;/Q&gt;&lt;R&gt;0&lt;/R&gt;&lt;C&gt;0&lt;/C&gt;&lt;/FQL&gt;&lt;FQL&gt;&lt;Q&gt;Ticker0024^FE_ESTIMATE(DEFREVENUE,MEAN,QUARTERLY_ROLL,2029/4F,45778,,,'')&lt;/Q&gt;&lt;R&gt;0&lt;/R&gt;&lt;C&gt;0&lt;/C&gt;&lt;/FQL&gt;&lt;FQL&gt;&lt;Q&gt;Ticker0024^FE_ESTIMATE(DEFREVENUE,MEAN,QUARTERLY_ROLL,2029/3F,45778,,,'')&lt;/Q&gt;&lt;R&gt;0&lt;/R&gt;&lt;C&gt;0&lt;/C&gt;&lt;/FQL&gt;&lt;FQL&gt;&lt;Q&gt;Ticker0024^FE_ESTIMATE(DEFREVENUE,MEAN,QUARTERLY_ROLL,2029/2F,45778,,,'')&lt;/Q&gt;&lt;R&gt;0&lt;/R&gt;&lt;C&gt;0&lt;/C&gt;&lt;/FQL&gt;&lt;FQL&gt;&lt;Q&gt;Ticker0024^FE_ESTIMATE(DEFREVENUE,MEAN,QUARTERLY_ROLL,2029/1F,45778,,,'')&lt;/Q&gt;&lt;R&gt;0&lt;/R&gt;&lt;C&gt;0&lt;/C&gt;&lt;/FQL&gt;&lt;FQL&gt;&lt;Q&gt;Ticker0024^FE_ESTIMATE(DEFREVENUE,MEAN,ANNUAL_ROLL,2028,45778,,,'')&lt;/Q&gt;&lt;R&gt;0&lt;/R&gt;&lt;C&gt;0&lt;/C&gt;&lt;/FQL&gt;&lt;FQL&gt;&lt;Q&gt;Ticker0024^FE_ESTIMATE(DEFREVENUE,MEAN,QUARTERLY_ROLL,2028/4F,45778,,,'')&lt;/Q&gt;&lt;R&gt;0&lt;/R&gt;&lt;C&gt;0&lt;/C&gt;&lt;/FQL&gt;&lt;FQL&gt;&lt;Q&gt;Ticker0024^FE_ESTIMATE(DEFREVENUE,MEAN,QUARTERLY_ROLL,2028/3F,45778,,,'')&lt;/Q&gt;&lt;R&gt;0&lt;/R&gt;&lt;C&gt;0&lt;/C&gt;&lt;/FQL&gt;&lt;FQL&gt;&lt;Q&gt;Ticker0024^FE_ESTIMATE(DEFREVENUE,MEAN,QUARTERLY_ROLL,2028/2F,45778,,,'')&lt;/Q&gt;&lt;R&gt;0&lt;/R&gt;&lt;C&gt;0&lt;/C&gt;&lt;/FQL&gt;&lt;FQL&gt;&lt;Q&gt;Ticker0024^FE_ESTIMATE(DEFREVENUE,MEAN,QUARTERLY_ROLL,2028/1F,45778,,,'')&lt;/Q&gt;&lt;R&gt;0&lt;/R&gt;&lt;C&gt;0&lt;/C&gt;&lt;/FQL&gt;&lt;FQL&gt;&lt;Q&gt;Ticker0024^FE_ESTIMATE(DEFREVENUE,MEAN,ANNUAL_ROLL,2027,45778,,,'')&lt;/Q&gt;&lt;R&gt;1&lt;/R&gt;&lt;C&gt;1&lt;/C&gt;&lt;D xsi:type="xsd:double"&gt;67312.07&lt;/D&gt;&lt;/FQL&gt;&lt;FQL&gt;&lt;Q&gt;Ticker0024^FE_ESTIMATE(DEFREVENUE,MEAN,QUARTERLY_ROLL,2027/4F,45778,,,'')&lt;/Q&gt;&lt;R&gt;1&lt;/R&gt;&lt;C&gt;1&lt;/C&gt;&lt;D xsi:type="xsd:double"&gt;81381&lt;/D&gt;&lt;/FQL&gt;&lt;FQL&gt;&lt;Q&gt;Ticker0024^FE_ESTIMATE(DEFREVENUE,MEAN,QUARTERLY_ROLL,2027/3F,45778,,,'')&lt;/Q&gt;&lt;R&gt;1&lt;/R&gt;&lt;C&gt;1&lt;/C&gt;&lt;D xsi:type="xsd:double"&gt;60404&lt;/D&gt;&lt;/FQL&gt;&lt;FQL&gt;&lt;Q&gt;Ticker0024^FE_ESTIMATE(DEFREVENUE,MEAN,QUARTERLY_ROLL,2027/2F,45778,,,'')&lt;/Q&gt;&lt;R&gt;1&lt;/R&gt;&lt;C&gt;1&lt;/C&gt;&lt;D xsi:type="xsd:double"&gt;61575.5&lt;/D&gt;&lt;/FQL&gt;&lt;FQL&gt;&lt;Q&gt;Ticker0024^FE_ESTIMATE(DEFREVENUE,MEAN,QUARTERLY_ROLL,2027/1F,45778,,,'')&lt;/Q&gt;&lt;R&gt;1&lt;/R&gt;&lt;C&gt;1&lt;/C&gt;&lt;D xsi:type="xsd:double"&gt;68192.5&lt;/D&gt;&lt;/FQL&gt;&lt;FQL&gt;&lt;Q&gt;Ticker0024^FE_ESTIMATE(DEFREVENUE,MEAN,ANNUAL_ROLL,2026,45778,,,'')&lt;/Q&gt;&lt;R&gt;1&lt;/R&gt;&lt;C&gt;1&lt;/C&gt;&lt;D xsi:type="xsd:double"&gt;67889.65&lt;/D&gt;&lt;/FQL&gt;&lt;FQL&gt;&lt;Q&gt;Ticker0024^FE_ESTIMATE(DEFREVENUE,MEAN,QUARTERLY_ROLL,2026/4F,45778,,,'')&lt;/Q&gt;&lt;R&gt;1&lt;/R&gt;&lt;C&gt;1&lt;/C&gt;&lt;D xsi:type="xsd:double"&gt;69899.4&lt;/D&gt;&lt;/FQL&gt;&lt;FQL&gt;&lt;Q&gt;Ticker0024^FE_ESTIMATE(DEFREVENUE,MEAN,QUARTERLY_ROLL,2026/3F,45778,,,'')&lt;/Q&gt;&lt;R&gt;1&lt;/R&gt;&lt;C&gt;1&lt;/C&gt;&lt;D xsi:type="xsd:double"&gt;51749.2&lt;/D&gt;&lt;/FQL&gt;&lt;FQL&gt;&lt;Q&gt;Ticker0024^FE_ESTIMATE(DEFREVENUE,MEAN,QUARTERLY_ROLL,2026/2F,45778,,,'')&lt;/Q&gt;&lt;R&gt;1&lt;/R&gt;&lt;C&gt;1&lt;/C&gt;&lt;D xsi:type="xsd:double"&gt;52953&lt;/D&gt;&lt;/FQL&gt;&lt;FQL&gt;&lt;Q&gt;Ticker0024^FE_ESTIMATE(DEFREVENUE,MEAN,QUARTERLY_ROLL,2026/1F,45778,,,'')&lt;/Q&gt;&lt;R&gt;1&lt;/R&gt;&lt;C&gt;1&lt;/C&gt;&lt;D xsi:type="xsd:double"&gt;59523.6&lt;/D&gt;&lt;/FQL&gt;&lt;FQL&gt;&lt;Q&gt;Ticker0024^FE_ESTIMATE(DEFREVENUE,MEAN,ANNUAL_ROLL,2025,45778,,,'')&lt;/Q&gt;&lt;R&gt;1&lt;/R&gt;&lt;C&gt;1&lt;/C&gt;&lt;D xsi:type="xsd:double"&gt;63836.29&lt;/D&gt;&lt;/FQL&gt;&lt;FQL&gt;&lt;Q&gt;Ticker0024^FE_ESTIMATE(DEFREVENUE,MEAN,QUARTERLY_ROLL,2025/4F,45778,,,'')&lt;/Q&gt;&lt;R&gt;1&lt;/R&gt;&lt;C&gt;1&lt;/C&gt;&lt;D xsi</t>
        </r>
      </text>
    </comment>
    <comment ref="A50" authorId="0" shapeId="0" xr:uid="{62B23B53-9CB8-40C3-BD14-647B550C2FC1}">
      <text>
        <r>
          <rPr>
            <b/>
            <sz val="9"/>
            <color indexed="81"/>
            <rFont val="Tahoma"/>
            <family val="2"/>
          </rPr>
          <t>:type="xsd:double"&gt;63318.58&lt;/D&gt;&lt;/FQL&gt;&lt;FQL&gt;&lt;Q&gt;Ticker0024^FE_ESTIMATE(DEFREVENUE,MEAN,QUARTERLY_ROLL,2025/3F,45778,,,'')&lt;/Q&gt;&lt;R&gt;1&lt;/R&gt;&lt;C&gt;1&lt;/C&gt;&lt;D xsi:type="xsd:double"&gt;47476.57&lt;/D&gt;&lt;/FQL&gt;&lt;FQL&gt;&lt;Q&gt;Ticker0024^FE_ESTIMATE(DEFREVENUE,MEAN,QUARTERLY_ROLL,2025/2F,45778,,,'')&lt;/Q&gt;&lt;R&gt;1&lt;/R&gt;&lt;C&gt;1&lt;/C&gt;&lt;D xsi:type="xsd:double"&gt;48045.715&lt;/D&gt;&lt;/FQL&gt;&lt;FQL&gt;&lt;Q&gt;Ticker0024^FE_ESTIMATE(DEFREVENUE,MEAN,QUARTERLY_ROLL,2025/1F,45778,,,'')&lt;/Q&gt;&lt;R&gt;1&lt;/R&gt;&lt;C&gt;1&lt;/C&gt;&lt;D xsi:type="xsd:double"&gt;55689.125&lt;/D&gt;&lt;/FQL&gt;&lt;FQL&gt;&lt;Q&gt;Ticker0024^FE_ESTIMATE(DEFREVENUE,MEAN,ANNUAL_ROLL,2024,45778,,,'')&lt;/Q&gt;&lt;R&gt;1&lt;/R&gt;&lt;C&gt;1&lt;/C&gt;&lt;D xsi:type="xsd:double"&gt;60183.6&lt;/D&gt;&lt;/FQL&gt;&lt;FQL&gt;&lt;Q&gt;Ticker0024^FE_ESTIMATE(DEFREVENUE,MEAN,QUARTERLY_ROLL,2024/4F,45778,,,'')&lt;/Q&gt;&lt;R&gt;1&lt;/R&gt;&lt;C&gt;1&lt;/C&gt;&lt;D xsi:type="xsd:double"&gt;60183.555&lt;/D&gt;&lt;/FQL&gt;&lt;FQL&gt;&lt;Q&gt;Ticker0024^FE_ESTIMATE(DEFREVENUE,MEAN,QUARTERLY_ROLL,2024/3F,45778,,,'')&lt;/Q&gt;&lt;R&gt;1&lt;/R&gt;&lt;C&gt;1&lt;/C&gt;&lt;D xsi:type="xsd:double"&gt;44834&lt;/D&gt;&lt;/FQL&gt;&lt;FQL&gt;&lt;Q&gt;Ticker0024^FE_ESTIMATE(DEFREVENUE,MEAN,QUARTERLY_ROLL,2024/2F,45778,,,'')&lt;/Q&gt;&lt;R&gt;1&lt;/R&gt;&lt;C&gt;1&lt;/C&gt;&lt;D xsi:type="xsd:double"&gt;46034.855&lt;/D&gt;&lt;/FQL&gt;&lt;FQL&gt;&lt;Q&gt;Ticker0024^FE_ESTIMATE(DEFREVENUE,MEAN,QUARTERLY_ROLL,2024/1F,45778,,,'')&lt;/Q&gt;&lt;R&gt;1&lt;/R&gt;&lt;C&gt;1&lt;/C&gt;&lt;D xsi:type="xsd:double"&gt;49188.332&lt;/D&gt;&lt;/FQL&gt;&lt;FQL&gt;&lt;Q&gt;Ticker0024^FE_ESTIMATE(DEFREVENUE,MEAN,ANNUAL_ROLL,2023,45778,,,'')&lt;/Q&gt;&lt;R&gt;1&lt;/R&gt;&lt;C&gt;1&lt;/C&gt;&lt;D xsi:type="xsd:double"&gt;53548&lt;/D&gt;&lt;/FQL&gt;&lt;FQL&gt;&lt;Q&gt;Ticker0024^FE_ESTIMATE(DEFREVENUE,MEAN,QUARTERLY_ROLL,2023/4F,45778,,,'')&lt;/Q&gt;&lt;R&gt;1&lt;/R&gt;&lt;C&gt;1&lt;/C&gt;&lt;D xsi:type="xsd:double"&gt;53812.625&lt;/D&gt;&lt;/FQL&gt;&lt;FQL&gt;&lt;Q&gt;Ticker0024^FE_ESTIMATE(DEFREVENUE,MEAN,QUARTERLY_ROLL,2023/3F,45778,,,'')&lt;/Q&gt;&lt;R&gt;1&lt;/R&gt;&lt;C&gt;1&lt;/C&gt;&lt;D xsi:type="xsd:double"&gt;39600.832&lt;/D&gt;&lt;/FQL&gt;&lt;FQL&gt;&lt;Q&gt;Ticker0024^FE_ESTIMATE(DEFREVENUE,MEAN,QUARTERLY_ROLL,2023/2F,45778,,,'')&lt;/Q&gt;&lt;R&gt;1&lt;/R&gt;&lt;C&gt;1&lt;/C&gt;&lt;D xsi:type="xsd:double"&gt;39625&lt;/D&gt;&lt;/FQL&gt;&lt;FQL&gt;&lt;Q&gt;Ticker0024^FE_ESTIMATE(DEFREVENUE,MEAN,QUARTERLY_ROLL,2023/1F,45778,,,'')&lt;/Q&gt;&lt;R&gt;1&lt;/R&gt;&lt;C&gt;1&lt;/C&gt;&lt;D xsi:type="xsd:double"&gt;43889.145&lt;/D&gt;&lt;/FQL&gt;&lt;FQL&gt;&lt;Q&gt;Ticker0024^FE_ESTIMATE(DEFREVENUE,MEAN,ANNUAL_ROLL,2022,45778,,,'')&lt;/Q&gt;&lt;R&gt;1&lt;/R&gt;&lt;C&gt;1&lt;/C&gt;&lt;D xsi:type="xsd:double"&gt;48121&lt;/D&gt;&lt;/FQL&gt;&lt;FQL&gt;&lt;Q&gt;Ticker0024^FE_ESTIMATE(DEFREVENUE,MEAN,QUARTERLY_ROLL,2022/4F,45778,,,'')&lt;/Q&gt;&lt;R&gt;1&lt;/R&gt;&lt;C&gt;1&lt;/C&gt;&lt;D xsi:type="xsd:double"&gt;48408&lt;/D&gt;&lt;/FQL&gt;&lt;FQL&gt;&lt;Q&gt;Ticker0024^FE_ESTIMATE(DEFREVENUE,MEAN,QUARTERLY_ROLL,2022/3F,45778,,,'')&lt;/Q&gt;&lt;R&gt;1&lt;/R&gt;&lt;C&gt;1&lt;/C&gt;&lt;D xsi:type="xsd:double"&gt;36796&lt;/D&gt;&lt;/FQL&gt;&lt;FQL&gt;&lt;Q&gt;Ticker0024^FE_ESTIMATE(DEFREVENUE,MEAN,QUARTERLY_ROLL,2022/2F,45778,,,'')&lt;/Q&gt;&lt;R&gt;1&lt;/R&gt;&lt;C&gt;1&lt;/C&gt;&lt;D xsi:type="xsd:double"&gt;36769&lt;/D&gt;&lt;/FQL&gt;&lt;FQL&gt;&lt;Q&gt;Ticker0024^FE_ESTIMATE(DEFREVENUE,MEAN,QUARTERLY_ROLL,2022/1F,45778,,,'')&lt;/Q&gt;&lt;R&gt;1&lt;/R&gt;&lt;C&gt;1&lt;/C&gt;&lt;D xsi:type="xsd:double"&gt;41015&lt;/D&gt;&lt;/FQL&gt;&lt;FQL&gt;&lt;Q&gt;Ticker0024^FE_ESTIMATE(DEFREVENUE,MEAN,ANNUAL_ROLL,2021,45778,,,'')&lt;/Q&gt;&lt;R&gt;1&lt;/R&gt;&lt;C&gt;1&lt;/C&gt;&lt;D xsi:type="xsd:double"&gt;44141&lt;/D&gt;&lt;/FQL&gt;&lt;FQL&gt;&lt;Q&gt;Ticker0024^FE_ESTIMATE(DEFREVENUE,MEAN,QUARTERLY_ROLL,2021/4F,45778,,,'')&lt;/Q&gt;&lt;R&gt;1&lt;/R&gt;&lt;C&gt;1&lt;/C&gt;&lt;D xsi:type="xsd:double"&gt;44141&lt;/D&gt;&lt;/FQL&gt;&lt;FQL&gt;&lt;Q&gt;Ticker0024^FE_ESTIMATE(DEFREVENUE,MEAN,QUARTERLY_ROLL,2021/3F,45778,,,'')&lt;/Q&gt;&lt;R&gt;1&lt;/R&gt;&lt;C&gt;1&lt;/C&gt;&lt;D xsi:type="xsd:double"&gt;32714&lt;/D&gt;&lt;/FQL&gt;&lt;FQL&gt;&lt;Q&gt;Ticker0024^FE_ESTIMATE(DEFREVENUE,MEAN,QUARTERLY_ROLL,2021/2F,45778,,,'')&lt;/Q&gt;&lt;R&gt;1&lt;/R&gt;&lt;C&gt;1&lt;/C&gt;&lt;D xsi:type="xsd:double"&gt;33387&lt;/D&gt;&lt;/FQL&gt;&lt;FQL&gt;&lt;Q&gt;Ticker0024^FE_ESTIMATE(DEFREVENUE,MEAN,QUARTERLY_ROLL,2021/1F,45778,,,'')&lt;/Q&gt;&lt;R&gt;1&lt;/R&gt;&lt;C&gt;1&lt;/C&gt;&lt;D xsi:type="xsd:double"&gt;36305&lt;/D&gt;&lt;/FQL&gt;&lt;FQL&gt;&lt;Q&gt;Ticker0024^FE_ESTIMATE(DEFREVENUE,MEAN,ANNUAL_ROLL,2020,45778,,,'')&lt;/Q&gt;&lt;R&gt;1&lt;/R&gt;&lt;C&gt;1&lt;/C&gt;&lt;D xsi:type="xsd:double"&gt;39180&lt;/D&gt;&lt;/FQL&gt;&lt;FQL&gt;&lt;Q&gt;Ticker0024^FE_ESTIMATE(DEFREVENUE,MEAN,QUARTERLY_ROLL,2020/4F,45778,,,'')&lt;/Q&gt;&lt;R&gt;1&lt;/R&gt;&lt;C&gt;1&lt;/C&gt;&lt;D xsi:type="xsd:double"&gt;39180&lt;/D&gt;&lt;/FQL&gt;&lt;FQL&gt;&lt;Q&gt;Ticker0024^FE_ESTIMATE(DEFREVENUE,MEAN,QUARTERLY_ROLL,2020/3F,45778,,,'')&lt;/Q&gt;&lt;R&gt;1&lt;/R&gt;&lt;C&gt;1&lt;/C&gt;&lt;D xsi:type="xsd:double"&gt;30397&lt;/D&gt;&lt;/FQL&gt;&lt;FQL&gt;&lt;Q&gt;Ticker0024^FE_ESTIMATE(DEFREVENUE,MEAN,QUARTERLY_ROLL,2020/2F,45778,,,'')&lt;/Q&gt;&lt;R&gt;1&lt;/R&gt;&lt;C&gt;1&lt;/C&gt;&lt;D xsi:type="xsd:double"&gt;31221&lt;/D&gt;&lt;/FQL&gt;&lt;FQL&gt;&lt;Q&gt;Ticker0024^FE_ESTIMATE(DEFREVENUE,MEAN,QUARTERLY_ROLL,2020/1F,45778,,,'')&lt;/Q&gt;&lt;R&gt;1&lt;/R&gt;&lt;C&gt;1&lt;/C&gt;&lt;D xsi:type="xsd:double"&gt;34026&lt;/D&gt;&lt;/FQL&gt;&lt;FQL&gt;&lt;Q&gt;Ticker0024^FE_ESTIMATE(DEFREVENUE,MEAN,ANNUAL_ROLL,2019,45778,,,'')&lt;/Q&gt;&lt;R&gt;1&lt;/R&gt;&lt;C&gt;1&lt;/C&gt;&lt;D xsi:type="xsd:double"&gt;37206&lt;/D&gt;&lt;/FQL&gt;&lt;FQL&gt;&lt;Q&gt;Ticker0024^FE_ESTIMATE(DEFREVENUE,MEAN,QUARTERLY_ROLL,2019/4F,45778,,,'')&lt;/Q&gt;&lt;R&gt;1&lt;/R&gt;&lt;C&gt;1&lt;/C&gt;&lt;D xsi:type="xsd:double"&gt;37206&lt;/D&gt;&lt;/FQL&gt;&lt;FQL&gt;&lt;Q&gt;Ticker0024^FE_ESTIMATE(DEFREVENUE,MEAN,QUARTERLY_ROLL,2019/3F,45778,,,'')&lt;/Q&gt;&lt;R&gt;1&lt;/R&gt;&lt;C&gt;1&lt;/C&gt;&lt;D xsi:type="xsd:double"&gt;28135&lt;/D&gt;&lt;/FQL&gt;&lt;FQL&gt;&lt;Q&gt;Ticker0024^FE_ESTIMATE(DEFREVENUE,MEAN,QUARTERLY_ROLL,2019/2F,45778,,,'')&lt;/Q&gt;&lt;R&gt;1&lt;/R&gt;&lt;C&gt;1&lt;/C&gt;&lt;D xsi:type="xsd:double"&gt;28084&lt;/D&gt;&lt;/FQL&gt;&lt;FQL&gt;&lt;Q&gt;Ticker0024^FE_ESTIMATE(DEFREVENUE,MEAN,QUARTERLY_ROLL,2019/1F,45778,,,'')&lt;/Q&gt;&lt;R&gt;1&lt;/R&gt;&lt;C&gt;1&lt;/C&gt;&lt;D xsi:type="xsd:double"&gt;30242&lt;/D&gt;&lt;/FQL&gt;&lt;FQL&gt;&lt;Q&gt;Ticker0024^FE_ESTIMATE(DEFREVENUE,MEAN,ANNUAL_ROLL,2018,45778,,,'')&lt;/Q&gt;&lt;R&gt;1&lt;/R&gt;&lt;C&gt;1&lt;/C&gt;&lt;D xsi:type="xsd:double"&gt;32540.1&lt;/D&gt;&lt;/FQL&gt;&lt;FQL&gt;&lt;Q&gt;Ticker0024^FE_ESTIMATE(DEFREVENUE,MEAN,QUARTERLY_ROLL,2018/4F,45778,,,'')&lt;/Q&gt;&lt;R&gt;1&lt;/R&gt;&lt;C&gt;1&lt;/C&gt;&lt;D xsi:type="xsd:double"&gt;32540.1&lt;/D&gt;&lt;/FQL&gt;&lt;FQL&gt;&lt;Q&gt;Ticker0024^FE_ESTIMATE(DEFREVENUE,MEAN,QUARTERLY_ROLL,2018/3F,45778,,,'')&lt;/Q&gt;&lt;R&gt;1&lt;/R&gt;&lt;C&gt;1&lt;/C&gt;&lt;D xsi:type="xsd:double"&gt;23955&lt;/D&gt;&lt;/FQL&gt;&lt;FQL&gt;&lt;Q&gt;Ticker0024^FE_ESTIMATE(DEFREVENUE,MEAN,QUARTERLY_ROLL,2018/2F,45778,,,'')&lt;/Q&gt;&lt;R&gt;1&lt;/R&gt;&lt;C&gt;1&lt;/C&gt;&lt;D xsi:type="xsd:double"&gt;23809&lt;/D&gt;&lt;/FQL&gt;&lt;FQL&gt;&lt;Q&gt;Ticker0024^FE_ESTIMATE(DEFREVENUE,MEAN,QUARTERLY_ROLL,2018/1F,45778,,,'')&lt;/Q&gt;&lt;R&gt;1&lt;/R&gt;&lt;C&gt;1&lt;/C&gt;&lt;D xsi:type="xsd:double"&gt;24904&lt;/D&gt;&lt;/FQL&gt;&lt;FQL&gt;&lt;Q&gt;Ticker0024^FE_ESTIMATE(DEFREVENUE,MEAN,ANNUAL_ROLL,2017,45778,,,'')&lt;/Q&gt;&lt;R&gt;1&lt;/R&gt;&lt;C&gt;1&lt;/C&gt;&lt;D xsi:type="xsd:double"&gt;44479&lt;/D&gt;&lt;/FQL&gt;&lt;FQL&gt;&lt;Q&gt;Ticker0024^FE_ESTIMATE(DEFREVENUE,MEAN,QUARTERLY_ROLL,2017/4F,45778,,,'')&lt;/Q&gt;&lt;R&gt;1&lt;/R&gt;&lt;C&gt;1&lt;/C&gt;&lt;D xsi:type="xsd:double"&gt;44479&lt;/D&gt;&lt;/FQL&gt;&lt;FQL&gt;&lt;Q&gt;Ticker0024^FE_ESTIMATE(DEFREVENUE,MEAN,QUARTERLY_ROLL,2017/3F,45778,,,'')&lt;/Q&gt;&lt;R&gt;1&lt;/R&gt;&lt;C&gt;1&lt;/C&gt;&lt;D xsi:type="xsd:double"&gt;35733&lt;/D&gt;&lt;/FQL&gt;&lt;FQL&gt;&lt;Q&gt;Ticker0024^FE_ESTIMATE(DEFREVENUE,MEAN,QUARTERLY_ROLL,2017/2F,45778,,,'')&lt;/Q&gt;&lt;R&gt;1&lt;/R&gt;&lt;C&gt;1&lt;/C&gt;&lt;D xsi:type="xsd:double"&gt;34587.273&lt;/D&gt;&lt;/FQL&gt;&lt;FQL&gt;&lt;Q&gt;Ticker0024^FE_ESTIMATE(DEFREVENUE,MEAN,QUARTERLY_ROLL,2017/1F,45778,,,'')&lt;/Q&gt;&lt;R&gt;1&lt;/R&gt;&lt;C&gt;1&lt;/C&gt;&lt;D xsi:type="xsd:double"&gt;33588&lt;/D&gt;&lt;/FQL&gt;&lt;FQL&gt;&lt;Q&gt;Ticker0024^FE_ESTIMATE(DEFREVENUE,MEAN,ANNUAL_ROLL,2016,45778,,,'')&lt;/Q&gt;&lt;R&gt;1&lt;/R&gt;&lt;C&gt;1&lt;/C&gt;&lt;D xsi:type="xsd:double"&gt;33909&lt;/D&gt;&lt;/FQL&gt;&lt;FQL&gt;&lt;Q&gt;Ticker0024^FE_ESTIMATE(DEFREVENUE,MEAN,QUARTERLY_ROLL,2016/4F,45778,,,'')&lt;/Q&gt;&lt;R&gt;1&lt;/R&gt;&lt;C&gt;1&lt;/C&gt;&lt;D xsi:type="xsd:double"&gt;33909&lt;/D&gt;&lt;/FQL&gt;&lt;FQL&gt;&lt;Q&gt;Ticker0024^FE_ESTIMATE(DEFREVENUE,MEAN,QUARTERLY_ROLL,2016/3F,45778,,,'')&lt;/Q&gt;&lt;R&gt;1&lt;/R&gt;&lt;C&gt;1&lt;/C&gt;&lt;D xsi:type="xsd:double"&gt;25893&lt;/D&gt;&lt;/FQL&gt;&lt;FQL&gt;&lt;Q&gt;Ticker0024^FE_ESTIMATE(DEFREVENUE,MEAN,QUARTERLY_ROLL,2016/2F,45778,,,'')&lt;/Q&gt;&lt;R&gt;1&lt;/R&gt;&lt;C&gt;1&lt;/C&gt;&lt;D xsi:type="xsd:double"&gt;25031&lt;/D&gt;&lt;/FQL&gt;&lt;FQL&gt;&lt;Q&gt;Ticker0024^FE_ESTIMATE(DEFREVENUE,MEAN,QUARTERLY_ROLL,2016/1F,45778,,,'')&lt;/Q&gt;&lt;R&gt;0&lt;/R&gt;&lt;C&gt;0&lt;/C&gt;&lt;/FQL&gt;&lt;FQL&gt;&lt;Q&gt;Ticker0024^FE_ESTIMATE(DEFREVENUE,MEAN,ANNUAL_ROLL,2015,45778,,,'')&lt;/Q&gt;&lt;R&gt;0&lt;/R&gt;&lt;C&gt;0&lt;/C&gt;&lt;/FQL&gt;&lt;FQL&gt;&lt;Q&gt;Ticker0024^FE_ESTIMATE(DEFREVENUE,MEAN,QUARTERLY_ROLL,2015/4F,45778,,,'')&lt;/Q&gt;&lt;R&gt;0&lt;/R&gt;&lt;C&gt;0&lt;/C&gt;&lt;/FQL&gt;&lt;FQL&gt;&lt;Q&gt;Ticker0024^FE_ESTIMATE(DEFREVENUE,MEAN,QUARTERLY_ROLL,2015/3F,45778,,,'')&lt;/Q&gt;&lt;R&gt;0&lt;/R&gt;&lt;C&gt;0&lt;/C&gt;&lt;/FQL&gt;&lt;FQL&gt;&lt;Q&gt;Ticker0024^FE_ESTIMATE(DEFREVENUE,MEAN,QUARTERLY_ROLL,2015/2F,45778,,,'')&lt;/Q&gt;&lt;R&gt;0&lt;/R&gt;&lt;C&gt;0&lt;/C&gt;&lt;/FQL&gt;&lt;FQL&gt;&lt;Q&gt;Ticker0024^FE_ESTIMATE(DEFREVENUE,MEAN,QUARTERLY_ROLL,2015/1F,45778,,,'')&lt;/Q&gt;&lt;R&gt;0&lt;/R&gt;&lt;C&gt;0&lt;/C&gt;&lt;/FQL&gt;&lt;FQL&gt;&lt;Q&gt;Ticker0024^FE_ESTIMATE(DEFREVENUE_LT,MEAN,ANNUAL_ROLL,2030,45778,,,'')&lt;/Q&gt;&lt;R&gt;0&lt;/R&gt;&lt;C&gt;0&lt;/C&gt;&lt;/FQL&gt;&lt;FQL&gt;&lt;Q&gt;Ticker0024^FE_ESTIMATE(DEFREVENUE_LT,MEAN,QUARTERLY_ROLL,2030/4F,45778,,,'')&lt;/Q&gt;&lt;R&gt;0&lt;/R&gt;&lt;C&gt;0&lt;/C&gt;&lt;/FQL&gt;&lt;FQL&gt;&lt;Q&gt;Ticker0024^FE_ESTIMATE(DEFREVENUE_LT,MEAN,QUARTERLY_ROLL,2030/3F,45778,,,'')&lt;/Q&gt;&lt;R&gt;0&lt;/R&gt;&lt;C&gt;0&lt;/C&gt;&lt;/FQL&gt;&lt;FQL&gt;&lt;Q&gt;Ticker0024^FE_ESTIMATE(DEFREVENUE_LT,MEAN,QUARTERLY_ROLL,2030/2F,45778,,,'')&lt;/Q&gt;&lt;R&gt;0&lt;/R&gt;&lt;C&gt;0&lt;/C&gt;&lt;/FQL&gt;&lt;FQL&gt;&lt;Q&gt;Ticker0024^FE_ESTIMATE(DEFREVENUE_LT,MEAN,QUARTERLY_ROLL,2030/1F,45778,,,'')&lt;/Q&gt;&lt;R&gt;0&lt;/R&gt;&lt;C&gt;0&lt;/C&gt;&lt;/FQL&gt;&lt;FQL&gt;&lt;Q&gt;Ticker0024^FE_ESTIMATE(DEFREVENUE_LT,MEAN,ANNUAL_ROLL,2029,45778,,,'')&lt;/Q&gt;&lt;R&gt;0&lt;/R&gt;&lt;C&gt;0&lt;/C&gt;&lt;/FQL&gt;&lt;FQL&gt;&lt;Q&gt;Ticker0024^FE_ESTIMATE(DEFREVENUE_LT,MEAN,QUARTERLY_ROLL,2029/4F,45778,,,'')&lt;/Q&gt;&lt;R&gt;0&lt;/R&gt;&lt;C&gt;0&lt;/C&gt;&lt;/FQL&gt;&lt;FQL&gt;&lt;Q&gt;Ticker0024^FE_ESTIMATE(DEFREVENUE_LT,MEAN,QUARTERLY_ROLL,2029/3F,45778,,,'')&lt;/Q&gt;&lt;R&gt;0&lt;/R&gt;&lt;C&gt;0&lt;/C&gt;&lt;/FQL&gt;&lt;FQL&gt;&lt;Q&gt;Ticker0024^FE_ESTIMATE(DEFREVENUE_LT,MEAN,QUARTERLY_ROLL,2029/2F,45778,,,'')&lt;/Q&gt;&lt;R&gt;0&lt;/R&gt;&lt;C&gt;0&lt;/C&gt;&lt;/FQL&gt;&lt;FQL&gt;&lt;Q&gt;Ticker0024^FE_ESTIMATE(DEFREVENUE_LT,MEAN,QUARTERLY_ROLL,2029/1F,45778,,,'')&lt;/Q&gt;&lt;R&gt;0&lt;/R&gt;&lt;C&gt;0&lt;/C&gt;&lt;/FQL&gt;&lt;FQL&gt;&lt;Q&gt;Ticker0024^FE_ESTIMATE(DEFREVENUE_LT,MEAN,ANNUAL_ROLL,2028,45778,,,'')&lt;/Q&gt;&lt;R&gt;0&lt;/R&gt;&lt;C&gt;0&lt;/C&gt;&lt;/FQL&gt;&lt;FQL&gt;&lt;Q&gt;Ticker0024^FE_ESTIMATE(DEFREVENUE_LT,MEAN,QUARTERLY_ROLL,2028/4F,45778,,,'')&lt;/Q&gt;&lt;R&gt;0&lt;/R&gt;&lt;C&gt;0&lt;/C&gt;&lt;/FQL&gt;&lt;FQL&gt;&lt;Q&gt;Ticker0024^FE_ESTIMATE(DEFREVENUE_LT,MEAN,QUARTERLY_ROLL,2028/3F,45778,,,'')&lt;/Q&gt;&lt;R&gt;0&lt;/R&gt;&lt;C&gt;0&lt;/C&gt;&lt;/FQL&gt;&lt;FQL&gt;&lt;Q&gt;Ticker0024^FE_ESTIMATE(DEFREVENUE_LT,MEAN,QUARTERLY_ROLL,2028/2F,45778,,,'')&lt;/Q&gt;&lt;R&gt;0&lt;/R&gt;&lt;C&gt;0&lt;/C&gt;&lt;/FQL&gt;&lt;FQL&gt;&lt;Q&gt;Ticker0024^FE_ESTIMATE(DEFREVENUE_LT,MEAN,QUARTERLY_ROLL,2028/1F,45778,,,'')&lt;/Q&gt;&lt;R&gt;0&lt;/R&gt;&lt;C&gt;0&lt;/C&gt;&lt;/FQL&gt;&lt;FQL&gt;&lt;Q&gt;Ticker0024^FE_ESTIMATE(DEFREVENUE_LT,MEAN,ANNUAL_ROLL,2027,45778,,,'')&lt;/Q&gt;&lt;R&gt;1&lt;/R&gt;&lt;C&gt;1&lt;/C&gt;&lt;D xsi:type="xsd:double"&gt;2606.55&lt;/D&gt;&lt;/FQL&gt;&lt;FQL&gt;&lt;Q&gt;Ticker0024^FE_ESTIMATE(DEFREVENUE_LT,MEAN,QUARTERLY_ROLL,2027/4F,45778,,,'')&lt;/Q&gt;&lt;R&gt;1&lt;/R&gt;&lt;C&gt;1&lt;/C&gt;&lt;D xsi:type="xsd:double"&gt;3060&lt;/D&gt;&lt;/FQL&gt;&lt;FQL&gt;&lt;Q&gt;Ticker0024^FE_ESTIMATE(DEFREVENUE_LT,MEAN,QUARTERLY_ROLL,2027/3F,45778,,,'')&lt;/Q&gt;&lt;R&gt;1&lt;/R&gt;&lt;C&gt;1&lt;/C&gt;&lt;D xsi:type="xsd:double"&gt;2575.5&lt;/D&gt;&lt;/FQL&gt;&lt;FQL&gt;&lt;Q&gt;Ticker0024^FE_ESTIMATE(DEFREVENUE_LT,MEAN,QUARTERLY_ROLL,2027/2F,45778,,,'')&lt;/Q&gt;&lt;R&gt;1&lt;/R&gt;&lt;C&gt;1&lt;/C&gt;&lt;D xsi:type="xsd:double"&gt;2621.5&lt;/D&gt;&lt;/FQL&gt;&lt;FQL&gt;&lt;Q&gt;Ticker0024^FE_ESTIMATE(DEFREVENUE_LT,MEAN,QUARTERLY_ROLL,2027/1F,45778,,,'')&lt;/Q&gt;&lt;R&gt;1&lt;/R&gt;&lt;C&gt;1&lt;/C&gt;&lt;D xsi:type="xsd:double"&gt;2778.5&lt;/D&gt;&lt;/FQL&gt;&lt;FQL&gt;&lt;Q&gt;Ticker0024^FE_ESTIMATE(DEFREVENUE_LT,MEAN,ANNUAL_ROLL,2026,45778,,,'')&lt;/Q&gt;&lt;R&gt;1&lt;/R&gt;&lt;C&gt;1&lt;/C&gt;&lt;D xsi:type="xsd:double"&gt;2894.6667&lt;/D&gt;&lt;/FQL&gt;&lt;FQL&gt;&lt;Q&gt;Ticker0024^FE_ESTIMATE(DEFREVENUE_LT,MEAN,QUARTERLY_ROLL,2026/4F,45778,,,'')&lt;/Q&gt;&lt;R&gt;1&lt;/R&gt;&lt;C&gt;1&lt;/C&gt;&lt;D xsi:type="xsd:double"&gt;2817.4&lt;/D&gt;&lt;/FQL&gt;&lt;FQL&gt;&lt;Q&gt;Ticker0024^FE_ESTIMATE(DEFREVENUE_LT,MEAN,QUARTERLY_ROLL,2026/3F,45778,,,'')&lt;/Q&gt;&lt;R&gt;1&lt;/R&gt;&lt;C&gt;1&lt;/C&gt;&lt;D xsi:type="xsd:double"&gt;2874.8&lt;/D&gt;&lt;/FQL&gt;&lt;FQL&gt;&lt;Q&gt;Ticker0024^FE_ESTIMATE(DEFREVENUE_LT,MEAN,QUARTERLY_ROLL,2026/2F,45778,,,'')&lt;/Q&gt;&lt;R&gt;1&lt;/R&gt;&lt;C&gt;1&lt;/C&gt;&lt;D xsi:type="xsd:double"&gt;2781.4&lt;/D&gt;&lt;/FQL&gt;&lt;FQL&gt;&lt;Q&gt;Ticker0024^FE_ESTIMATE(DEFREVENUE_LT,MEAN,QUARTERLY_ROLL,2026/1F,45778,,,'')&lt;/Q&gt;&lt;R&gt;1&lt;/R&gt;&lt;C&gt;1&lt;/C&gt;&lt;D xsi:type="xsd:double"&gt;2724&lt;/D&gt;&lt;/FQL&gt;&lt;FQL&gt;&lt;Q&gt;Ticker0024^FE_ESTIMATE(DEFREVENUE_LT,MEAN,ANNUAL_ROLL,2025,45778,,,'')&lt;/Q&gt;&lt;R&gt;1&lt;/R&gt;&lt;C&gt;1&lt;/C&gt;&lt;D xsi:type="xsd:double"&gt;2892.3286&lt;/D&gt;&lt;/FQL&gt;&lt;FQL&gt;&lt;Q&gt;Ticker0024^FE_ESTIMATE(DEFREVENUE_LT,MEAN,QUARTERLY_ROLL,2025/4F,45778,,,'')&lt;/Q&gt;&lt;R&gt;1&lt;/R&gt;&lt;C&gt;1&lt;/C&gt;&lt;D xsi:type="xsd:double"&gt;2892.3286&lt;/D&gt;&lt;/FQL&gt;&lt;FQL&gt;&lt;Q&gt;Ticker0024^FE_ESTIMATE(DEFREVENUE_LT,MEAN,QUARTERLY_ROLL,2025/3F,45778,,,'')&lt;/Q&gt;&lt;R&gt;1&lt;/R&gt;&lt;C&gt;1&lt;/C&gt;&lt;D xsi:type="xsd:double"&gt;2840&lt;/D&gt;&lt;/FQL&gt;&lt;FQL&gt;&lt;Q&gt;Ticker0024^FE_ESTIMATE(DEFREVENUE_LT,MEAN,QUARTERLY_ROLL,2025/2F,45778,,,'')&lt;/Q&gt;&lt;R&gt;1&lt;/R&gt;&lt;C&gt;1&lt;/C&gt;&lt;D xsi:type="xsd:double"&gt;2537.4285&lt;/D&gt;&lt;/FQL&gt;&lt;FQL&gt;&lt;Q&gt;Ticker0024^FE_ESTIMATE(DEFREVENUE_LT,MEAN,QUARTERLY_ROLL,2025/1F,45778,,,'')&lt;/Q&gt;&lt;R&gt;1&lt;/R&gt;&lt;C&gt;1&lt;/C&gt;&lt;D xsi:type="xsd:double"&gt;2662.6667&lt;/D&gt;&lt;/FQL&gt;&lt;FQL&gt;&lt;Q&gt;Ticker0024^FE_ESTIMATE(DEFREVENUE_LT,MEAN,ANNUAL_ROLL,2024,45778,,,'')&lt;/Q&gt;&lt;R&gt;1&lt;/R&gt;&lt;C&gt;1&lt;/C&gt;&lt;D xsi:type="xsd:double"&gt;2601.75&lt;/D&gt;&lt;/FQL&gt;&lt;FQL&gt;&lt;Q&gt;Ticker0024^FE_ESTIMATE(DEFREVENUE_LT,MEAN,QUARTERLY_ROLL,2024/4F,45778,,,'')&lt;/Q&gt;&lt;R&gt;1&lt;/R&gt;&lt;C&gt;1&lt;/C&gt;&lt;D xsi:type="xsd:double"&gt;2601.75&lt;/D&gt;&lt;/FQL&gt;&lt;FQL&gt;&lt;Q&gt;Ticker0024^FE_ESTIMATE(DEFREVENUE_LT,MEAN,QUARTERLY_ROLL,2024/3F,45778,,,'')&lt;/Q&gt;&lt;R&gt;1&lt;/R&gt;&lt;C&gt;1&lt;/C&gt;&lt;D xsi:type="xsd:double"&gt;2945.7144&lt;/D&gt;&lt;/FQL&gt;&lt;FQL&gt;&lt;Q&gt;Ticker0024^FE_ESTIMATE(DEFREVENUE_LT,MEAN,QUARTERLY_ROLL,2024/2F,45778,,,'')&lt;/Q&gt;&lt;R&gt;1&lt;/R&gt;&lt;C&gt;1&lt;/C&gt;&lt;D xsi:type="xsd:double"&gt;2966.5715&lt;/D&gt;&lt;/FQL&gt;&lt;FQL&gt;&lt;Q&gt;Ticker0024^FE_ESTIMATE(DEFREVENUE_LT,MEAN,QUARTERLY_ROLL,2024/1F,45778,,,'')&lt;/Q&gt;&lt;R&gt;1&lt;/R&gt;&lt;C&gt;1&lt;/C&gt;&lt;D xsi:type="xsd:double"&gt;2759.1428&lt;/D&gt;&lt;/FQL&gt;&lt;FQL&gt;&lt;Q&gt;Ticker0024^FE_ESTIMATE(DEFREVENUE_LT,MEAN,ANNUAL_ROLL,2023,45778,,,'')&lt;/Q&gt;&lt;R&gt;1&lt;/R&gt;&lt;C&gt;1&lt;/C&gt;&lt;D xsi:type="xsd:double"&gt;2911.75&lt;/D&gt;&lt;/FQL&gt;&lt;FQL&gt;&lt;Q&gt;Ticker0024^FE_ESTIMATE(DEFREVENUE_LT,MEAN,QUARTERLY_ROLL,2023/4F,45778,,,'')&lt;/Q&gt;&lt;R&gt;1&lt;/R&gt;&lt;C&gt;1&lt;/C&gt;&lt;D xsi:type="xsd:double"&gt;2911.7144&lt;/D&gt;&lt;/FQL&gt;&lt;FQL&gt;&lt;Q&gt;Ticker0024^FE_ESTIMATE(DEFREVENUE_LT,MEAN,QUARTERLY_ROLL,2023/3F,45778,,,'')&lt;/Q&gt;&lt;R&gt;1&lt;/R&gt;&lt;C&gt;1&lt;/C&gt;&lt;D xsi:type="xsd:double"&gt;2698.3333&lt;/D&gt;&lt;/FQL&gt;&lt;FQL&gt;&lt;Q&gt;Ticker0024^FE_ESTIMATE(DEFREVENUE_LT,MEAN,QUARTERLY_ROLL,2023/2F,45778,,,'')&lt;/Q&gt;&lt;R&gt;1&lt;/R&gt;&lt;C&gt;1&lt;/C&gt;&lt;D xsi:type="xsd:double"&gt;2643.3333&lt;/D&gt;&lt;/FQL&gt;&lt;FQL&gt;&lt;Q&gt;Ticker0024^FE_ESTIMATE(DEFREVENUE_LT,MEAN,QUARTERLY_ROLL,2023/1F,45778,,,'')&lt;/Q&gt;&lt;R&gt;1&lt;/R&gt;&lt;C&gt;1&lt;/C&gt;&lt;D xsi:type="xsd:double"&gt;2549.1428&lt;/D&gt;&lt;/FQL&gt;&lt;FQL&gt;&lt;Q&gt;Ticker0024^FE_ESTIMATE(DEFREVENUE_LT,MEAN,ANNUAL_ROLL,2022,45778,,,'')&lt;/Q&gt;&lt;R&gt;1&lt;/R&gt;&lt;C&gt;1&lt;/C&gt;&lt;D xsi:type="xsd:double"&gt;2870&lt;/D&gt;&lt;/FQL&gt;&lt;FQL&gt;&lt;Q&gt;Ticker0024^FE_ESTIMATE(DEFREVENUE_LT,MEAN,QUARTERLY_ROLL,2022/4F,45778,,,'')&lt;/Q&gt;&lt;R&gt;1&lt;/R&gt;&lt;C&gt;1&lt;/C&gt;&lt;D xsi:type="xsd:double"&gt;2870&lt;/D&gt;&lt;/FQL&gt;&lt;FQL&gt;&lt;Q&gt;Ticker0024^FE_ESTIMATE(DEFREVENUE_LT,MEAN,QUARTERLY_ROLL,2022/3F,45778,,,'')&lt;/Q&gt;&lt;R&gt;1&lt;/R&gt;&lt;C&gt;1&lt;/C&gt;&lt;D xsi:type="xsd:double"&gt;2769&lt;/D&gt;&lt;/FQL&gt;&lt;FQL&gt;&lt;Q&gt;Ticker0024^FE_ESTIMATE(DEFREVENUE_LT,MEAN,QUARTERLY_ROLL,2022/2F,45778,,,'')&lt;/Q&gt;&lt;R&gt;1&lt;/R&gt;&lt;C&gt;1&lt;/C&gt;&lt;D xsi:type="xsd:double"&gt;2768&lt;/D&gt;&lt;/FQL&gt;&lt;FQL&gt;&lt;Q&gt;Ticker0024^FE_ESTIMATE(DEFREVENUE_LT,MEAN,QUARTERLY_ROLL,2022/1F,45778,,,'')&lt;/Q&gt;&lt;R&gt;1&lt;/R&gt;&lt;C&gt;1&lt;/C&gt;&lt;D xsi:type="xsd:double"&gt;2550&lt;/D&gt;&lt;/FQL&gt;&lt;FQL&gt;&lt;Q&gt;Ticker0024^FE_ESTIMATE(DEFREVENUE_LT,MEAN,ANNUAL_ROLL,2021,45778,,,'')&lt;/Q&gt;&lt;R&gt;1&lt;/R&gt;&lt;C&gt;1&lt;/C&gt;&lt;D xsi:type="xsd:double"&gt;2616&lt;/D&gt;&lt;/FQL&gt;&lt;FQL&gt;&lt;Q&gt;Ticker0024^FE_ESTIMATE(DEFREVENUE_LT,MEAN,QUARTERLY_ROLL,2021/4F,45778,,,'')&lt;/Q&gt;&lt;R&gt;1&lt;/R&gt;&lt;C&gt;1&lt;/C&gt;&lt;D xsi:type="xsd:double"&gt;2616&lt;/D&gt;&lt;/FQL&gt;&lt;FQL&gt;&lt;Q&gt;Ticker0024^FE_ESTIMATE(DEFREVENUE_LT,MEAN,QUARTERLY_ROLL,2021/3F,45778,,,'')&lt;/Q&gt;&lt;R&gt;1&lt;/R&gt;&lt;C&gt;1&lt;/C&gt;&lt;D xsi:type="xsd:double"&gt;2631&lt;/D&gt;&lt;/FQL&gt;&lt;FQL&gt;&lt;Q&gt;Ticker0024^FE_ESTIMATE(DEFREVENUE_LT,MEAN,QUARTERLY_ROLL,2021/2F,45778,,,'')&lt;/Q&gt;&lt;R&gt;1&lt;/R&gt;&lt;C&gt;1&lt;/C&gt;&lt;D xsi:type="xsd:double"&gt;2985&lt;/D&gt;&lt;/FQL&gt;&lt;FQL&gt;&lt;Q&gt;Ticker0024^FE_ESTIMATE(DEFREVENUE_LT,MEAN,QUARTERLY_ROLL,2021/1F,45778,,,'')&lt;/Q&gt;&lt;R&gt;1&lt;/R&gt;&lt;C&gt;1&lt;/C&gt;&lt;D xsi:type="xsd:double"&gt;2829&lt;/D&gt;&lt;/FQL&gt;&lt;FQL&gt;&lt;Q&gt;Ticker0024^FE_ESTIMATE(DEFREVENUE_LT,MEAN,ANNUAL_ROLL,2020,45778,,,'')&lt;/Q&gt;&lt;R&gt;1&lt;/R&gt;&lt;C&gt;1&lt;/C&gt;&lt;D xsi:type="xsd:double"&gt;3180&lt;/D&gt;&lt;/FQL&gt;&lt;FQL&gt;&lt;Q&gt;Ticker0024^FE_ESTIMATE(DEFREVENUE_LT,MEAN,QUARTERLY_ROLL,2020/4F,45778,,,'')&lt;/Q&gt;&lt;R&gt;1&lt;/R&gt;&lt;C&gt;1&lt;/C&gt;&lt;D xsi:type="xsd:double"&gt;3180&lt;/D&gt;&lt;/FQL&gt;&lt;FQL&gt;&lt;Q&gt;Ticker0024^FE_ESTIMATE(DEFREVENUE_LT,MEAN,QUARTERLY_ROLL,2020/3F,45778,,,'')&lt;/Q&gt;&lt;R&gt;1&lt;/R&gt;&lt;C&gt;1&lt;/C&gt;&lt;D xsi:type="xsd:double"&gt;3385&lt;/D&gt;&lt;/FQL&gt;&lt;FQL&gt;&lt;Q&gt;Ticker0024^FE_ESTIMATE(DEFREVENUE_LT,MEAN,QUARTERLY_ROLL,2020/2F,45778,,,'')&lt;/Q&gt;&lt;R&gt;1&lt;/R&gt;&lt;C&gt;1&lt;/C&gt;&lt;D xsi:type="xsd:double"&gt;3878&lt;/D&gt;&lt;/FQL&gt;&lt;FQL&gt;&lt;Q&gt;Ticker0024^FE_ESTIMATE(DEFREVENUE_LT,MEAN,QUARTERLY_ROLL,2020/1F,45778,,,'')&lt;/Q&gt;&lt;R&gt;1&lt;/R&gt;&lt;C&gt;1&lt;/C&gt;&lt;D xsi:type="xsd:double"&gt;4122&lt;/D&gt;&lt;/FQL&gt;&lt;FQL&gt;&lt;Q&gt;Ticker0024^FE_ESTIMATE(DEFREVENUE_LT,MEAN,ANNUAL_ROLL,2019,45778,,,'')&lt;/Q&gt;&lt;R&gt;1&lt;/R&gt;&lt;C&gt;1&lt;/C&gt;&lt;D xsi:type="xsd:double"&gt;4530&lt;/D&gt;&lt;/FQL&gt;&lt;FQL&gt;&lt;Q&gt;Ticker0024^FE_ESTIMATE(DEFREVENUE_LT,MEAN,QUARTERLY_ROLL,2019/4F,45778,,,'')&lt;/Q&gt;&lt;R&gt;1&lt;/R&gt;&lt;C&gt;1&lt;/C&gt;&lt;D xsi:type="xsd:double"&gt;4530&lt;/D&gt;&lt;/FQL&gt;&lt;FQL&gt;&lt;Q&gt;Ticker0024^FE_ESTIMATE(DEFREVENUE_LT,MEAN,QUARTERLY_ROLL,2019/3F,45778,,,'')&lt;/Q&gt;&lt;R&gt;1&lt;/R&gt;&lt;C&gt;1&lt;/C&gt;&lt;D xsi:type="xsd:double"&gt;3884&lt;/D&gt;&lt;/FQL&gt;&lt;FQL&gt;&lt;Q&gt;Ticker0024^FE_ESTIMATE(DEFREVENUE_LT,MEAN,QUARTERLY_ROLL,2019/2F,45778,,,'')&lt;/Q&gt;&lt;R&gt;1&lt;/R&gt;&lt;C&gt;1&lt;/C&gt;&lt;D xsi:type="xsd:double"&gt;3799&lt;/D&gt;&lt;/FQL&gt;&lt;FQL&gt;&lt;Q&gt;Ticker0024^FE_ESTIMATE(DEFREVENUE_LT,MEAN,QUARTERLY_ROLL,2019/1F,45778,,,'')&lt;/Q&gt;&lt;R&gt;1&lt;/R&gt;&lt;C&gt;1&lt;/C&gt;&lt;D xsi:type="xsd:double"&gt;3538&lt;/D&gt;&lt;/FQL&gt;&lt;FQL&gt;&lt;Q&gt;Ticker0024^FE_ESTIMATE(DEFREVENUE_LT,MEAN,ANNUAL_ROLL,2018,45778,,,'')&lt;/Q&gt;&lt;R&gt;1&lt;/R&gt;&lt;C&gt;1&lt;/C&gt;&lt;D xsi:type="xsd:double"&gt;3815&lt;/D&gt;&lt;/FQL&gt;&lt;FQL&gt;&lt;Q&gt;Ticker0024^FE_ESTIMATE(DEFREVENUE_LT,MEAN,QUARTERLY_ROLL,2018/4F,45778,,,'')&lt;/Q&gt;&lt;R&gt;1&lt;/R&gt;&lt;C&gt;1&lt;/C&gt;&lt;D xsi:type="xsd:double"&gt;3815&lt;/D&gt;&lt;/FQL&gt;&lt;FQL&gt;&lt;Q&gt;Ticker0024^FE_ESTIMATE(DEFREVENUE_LT,MEAN,QUARTERLY_ROLL,2018/3F,45778,,,'')&lt;/Q&gt;&lt;R&gt;1&lt;/R&gt;&lt;C&gt;1&lt;/C&gt;&lt;D xsi:type="xsd:double"&gt;2585&lt;/D&gt;&lt;/FQL&gt;&lt;FQL&gt;&lt;Q&gt;Ticker0024^FE_ESTIMATE(DEFREVENUE_LT,MEAN,QUARTERLY_ROLL,2018/2F,45778,,,'')&lt;/Q&gt;&lt;R&gt;1&lt;/R&gt;&lt;C&gt;1&lt;/C&gt;&lt;D xsi:type="xsd:double"&gt;2500&lt;/D&gt;&lt;/FQL&gt;&lt;FQL&gt;&lt;Q&gt;Ticker0024^FE_ESTIMATE(DEFREVENUE_LT,MEAN,QUARTERLY_ROLL,2018/1F,45778,,,'')&lt;/Q&gt;&lt;R&gt;1&lt;/R&gt;&lt;C&gt;1&lt;/C&gt;&lt;D xsi:type="xsd:double"&gt;2126&lt;/D&gt;&lt;/FQL&gt;&lt;FQL&gt;&lt;Q&gt;Ticker0024^FE_ESTIMATE(DEFREVENUE_LT,MEAN,ANNUAL_ROLL,2017,45778,,,'')&lt;/Q&gt;&lt;R&gt;1&lt;/R&gt;&lt;C&gt;1&lt;/C&gt;&lt;D xsi:type="xsd:double"&gt;10377&lt;/D&gt;&lt;/FQL&gt;&lt;FQL&gt;&lt;Q&gt;Ticker0024^FE_ESTIMATE(DEFREVENUE_LT,MEAN,QUARTERLY_ROLL,2017/4F,45778,,,'')&lt;/Q&gt;&lt;R&gt;1&lt;/R&gt;&lt;C&gt;1&lt;/C&gt;&lt;D xsi:type="xsd:double"&gt;10377&lt;/D&gt;&lt;/FQL&gt;&lt;FQL&gt;&lt;Q&gt;Ticker0024^FE_ESTIMATE(DEFREVENUE_LT,MEAN,QUARTERLY_ROLL,2017/3F,45778,,,'')&lt;/Q&gt;&lt;R&gt;1&lt;/R&gt;&lt;C&gt;1&lt;/C&gt;&lt;D xsi:type="xsd:double"&gt;9215&lt;/D&gt;&lt;/FQL&gt;&lt;FQL&gt;&lt;Q&gt;Ticker0024^FE_ESTIMATE(DEFREVENUE_LT,MEAN,QUARTERLY_ROLL,2017/2F,45778,,,'')&lt;/Q&gt;&lt;R&gt;1&lt;/R&gt;&lt;C&gt;1&lt;/C&gt;&lt;D xsi:type="xsd:double"&gt;8595&lt;/D&gt;&lt;/FQL&gt;&lt;FQL&gt;&lt;Q&gt;Ticker0024^FE_ESTIMATE(DEFREVENUE_LT,MEAN,QUARTERLY_ROLL,2017/1F,45778,,,'')&lt;/Q&gt;&lt;R&gt;1&lt;/R&gt;&lt;C&gt;1&lt;/C&gt;&lt;D xsi:type="xsd:double"&gt;7284&lt;/D&gt;&lt;/FQL&gt;&lt;FQL&gt;&lt;Q&gt;Ticker0024^FE_ESTIMATE(DEFREVENUE_LT,MEAN,ANNUAL_ROLL,2016,45778,,,'')&lt;/Q&gt;&lt;R&gt;1&lt;/R&gt;&lt;C&gt;1&lt;/C&gt;&lt;D xsi:type="xsd:double"&gt;6441&lt;/D&gt;&lt;/FQL&gt;&lt;FQL&gt;&lt;Q&gt;Ticker0024^FE_ESTIMATE(DEFREVENUE_LT,MEAN,QUARTERLY_ROLL,2016/4F,45778,,,'')&lt;/Q&gt;&lt;R&gt;1&lt;/R&gt;&lt;C&gt;1&lt;/C&gt;&lt;D xsi:type="xsd:double"&gt;6441&lt;/D&gt;&lt;/FQL&gt;&lt;FQL&gt;&lt;Q&gt;Ticker0024^FE_ESTIMATE(DEFREVENUE_LT,MEAN,QUARTERLY_ROLL,2016/3F,45778,,,'')&lt;/Q&gt;&lt;R&gt;1&lt;/R&gt;&lt;C&gt;1&lt;/C&gt;&lt;D xsi:type="xsd:double"&gt;5017&lt;/D&gt;&lt;/FQL&gt;&lt;FQL&gt;&lt;Q&gt;Ticker0024^FE_ESTIMATE(DEFREVENUE_LT,MEAN,QUARTERLY_ROLL,2016/2F,45778,,,'')&lt;/Q&gt;&lt;R&gt;1&lt;/R&gt;&lt;C&gt;1&lt;/C&gt;&lt;D xsi:type="xsd:double"&gt;4102&lt;/D&gt;&lt;/FQL&gt;&lt;FQL&gt;&lt;Q&gt;Ticker0024^FE_ESTIMATE(DEFREVENUE_LT,MEAN,QUARTERLY_ROLL,2016/1F,45778,,,'')&lt;/Q&gt;&lt;R&gt;1&lt;/R&gt;&lt;C&gt;1&lt;/C&gt;&lt;D xsi:type="xsd:double"&gt;2784&lt;/D&gt;&lt;/FQL&gt;&lt;FQL&gt;&lt;Q&gt;Ticker0024^FE_ESTIMATE(DEFREVENUE_LT,MEAN,ANNUAL_ROLL,2015,45778,,,'')&lt;/Q&gt;&lt;R&gt;1&lt;/R&gt;&lt;C&gt;1&lt;/C&gt;&lt;D xsi:type="xsd:double"&gt;2095&lt;/D&gt;&lt;/FQL&gt;&lt;FQL&gt;&lt;Q&gt;Ticker0024^FE_ESTIMATE(DEFREVENUE_LT,MEAN,QUARTERLY_ROLL,2015/4F,45778,,,'')&lt;/Q&gt;&lt;R&gt;1&lt;/R&gt;&lt;C&gt;1&lt;/C&gt;&lt;D xsi:type="xsd:double"&gt;2095&lt;/D&gt;&lt;/FQL&gt;&lt;FQL&gt;&lt;Q&gt;Ticker0024^FE_ESTIMATE(DEFREVENUE_LT,MEAN,QUARTERLY_ROLL,2015/3F,45778,,,'')&lt;/Q&gt;&lt;R&gt;1&lt;/R&gt;&lt;C&gt;1&lt;/C&gt;&lt;D xsi:type="xsd:double"&gt;1966&lt;/D&gt;&lt;/FQL&gt;&lt;FQL&gt;&lt;Q&gt;Ticker0024^FE_ESTIMATE(DEFREVENUE_LT,MEAN,QUARTERLY_ROLL,2015/2F,45778,,,'')&lt;/Q&gt;&lt;R&gt;1&lt;/R&gt;&lt;C&gt;1&lt;/C&gt;&lt;D xsi:type="xsd:double"&gt;2035.2727&lt;/D&gt;&lt;/FQL&gt;&lt;FQL&gt;&lt;Q&gt;Ticker0024^FE_ESTIMATE(DEFREVENUE_LT,MEAN,QUARTERLY_ROLL,2015/1F,45778,,,'')&lt;/Q&gt;&lt;R&gt;1&lt;/R&gt;&lt;C&gt;1&lt;/C&gt;&lt;D xsi:type="xsd:double"&gt;1825&lt;/D&gt;&lt;/FQL&gt;&lt;FQL&gt;&lt;Q&gt;Ticker0024^FE_ESTIMATE(DEFREVENUE_ST,MEAN,ANNUAL_ROLL,2030,45778,,,'')&lt;/Q&gt;&lt;R&gt;0&lt;/R&gt;&lt;C&gt;0&lt;/C&gt;&lt;/FQL&gt;&lt;FQL&gt;&lt;Q&gt;Ticker0024^FE_ESTIMATE(DEFREVENUE_ST,MEAN,QUARTERLY_ROLL,2030/4F,45778,,,'')&lt;/Q&gt;&lt;R&gt;0&lt;/R&gt;&lt;C&gt;0&lt;/C&gt;&lt;/FQL&gt;&lt;FQL&gt;&lt;Q&gt;Ticker0024^FE_ESTIMATE(DEFREVENUE_ST,MEAN,QUARTERLY_ROLL,2030/3F,45778,,,'')&lt;/Q&gt;&lt;R&gt;0&lt;/R&gt;&lt;C&gt;0&lt;/C&gt;&lt;/FQL&gt;&lt;FQL&gt;&lt;Q&gt;Ticker0024^FE_ESTIMATE(DEFREVENUE_ST,MEAN,QUARTERLY_ROLL,2030/2F,45778,,,'')&lt;/Q&gt;&lt;R&gt;0&lt;/R&gt;&lt;C&gt;0&lt;/C&gt;&lt;/FQL&gt;&lt;FQL&gt;&lt;Q&gt;Ticker0024^FE_ESTIMATE(DEFREVENUE_ST,MEAN,QUARTERLY_ROLL,2030/1F,45778,,,'')&lt;/Q&gt;&lt;R&gt;0&lt;/R&gt;&lt;C&gt;0&lt;/C&gt;&lt;/FQL&gt;&lt;FQL&gt;&lt;Q&gt;Ticker0024^FE_ESTIMATE(DEFREVENUE_ST,MEAN,ANNUAL_ROLL,2029,45778,,,'')&lt;/Q&gt;&lt;R&gt;0&lt;/R&gt;&lt;C&gt;0&lt;/C&gt;&lt;/FQL&gt;&lt;FQL&gt;&lt;Q&gt;Ticker0024^FE_ESTIMATE(DEFREVENUE_ST,MEAN,QUARTERLY_ROLL,2029/4F,45778,,,'')&lt;/Q&gt;&lt;R&gt;0&lt;/R&gt;&lt;C&gt;0&lt;/C&gt;&lt;/FQL&gt;&lt;FQL&gt;&lt;Q&gt;Ticker0024^FE_ESTIMATE(DEFREVENUE_ST,MEAN,QUARTERLY_ROLL,2029/3F,45778,,,'')&lt;/Q&gt;&lt;R&gt;0&lt;/R&gt;&lt;C&gt;0&lt;/C&gt;&lt;/FQL&gt;&lt;FQL&gt;&lt;Q&gt;Ticker0024^FE_ESTIMATE(DEFREVENUE_ST,MEAN,QUARTERLY_ROLL,2029/2F,45778,,,'')&lt;/Q&gt;&lt;R&gt;0&lt;/R&gt;&lt;C&gt;0&lt;/C&gt;&lt;/FQL&gt;&lt;FQL&gt;&lt;Q&gt;Ticker0024^FE_ESTIMATE(DEFREVENUE_ST,MEAN,QUARTERLY_ROLL,2029/1F,45778,,,'')&lt;/Q&gt;&lt;R&gt;0&lt;/R&gt;&lt;C&gt;0&lt;/C&gt;&lt;/FQL&gt;&lt;FQL&gt;&lt;Q&gt;Ticker0024^FE_ESTIMATE(DEFREVENUE_ST,MEAN,ANNUAL_ROLL,2028,45778,,,'')&lt;/Q&gt;&lt;R&gt;0&lt;/R&gt;&lt;C&gt;0&lt;/C&gt;&lt;/FQL&gt;&lt;FQL&gt;&lt;Q&gt;Ticker0024^FE_ESTIMATE(DEFREVENUE_ST,MEAN,QUARTERLY_ROLL,2028/4F,45778,,,'')&lt;/Q&gt;&lt;R&gt;0&lt;/R&gt;&lt;C&gt;0&lt;/C&gt;&lt;/FQL&gt;&lt;FQL&gt;&lt;Q&gt;Ticker0024^FE_ESTIMATE(DEFREVENUE_ST,MEAN,QUARTERLY_ROLL,2028/3F,45778,,,'')&lt;/Q&gt;&lt;R&gt;0&lt;/R&gt;&lt;C&gt;0&lt;/C&gt;&lt;/FQL&gt;&lt;FQL&gt;&lt;Q&gt;Ticker0024^FE_ESTIMATE(DEFREVENUE_ST,MEAN,QUARTERLY_ROLL,2028/2F,45778,,,'')&lt;/Q&gt;&lt;R&gt;0&lt;/R&gt;&lt;C&gt;0&lt;/C&gt;&lt;/FQL&gt;&lt;FQL&gt;&lt;Q&gt;Ticker0024^FE_ESTIMATE(DEFREVENUE_ST,MEAN,QUARTERLY_ROLL,2028/1F,45778,,,'')&lt;/Q&gt;&lt;R&gt;0&lt;/R&gt;&lt;C&gt;0&lt;/C&gt;&lt;/FQL&gt;&lt;FQL&gt;&lt;Q&gt;Ticker0024^FE_ESTIMATE(DEFREVENUE_ST,MEAN,ANNUAL_ROLL,2027,45778,,,'')&lt;/Q&gt;&lt;R&gt;1&lt;/R&gt;&lt;C&gt;1&lt;/C&gt;&lt;D xsi:type="xsd:double"&gt;66181.15&lt;/D&gt;&lt;/FQL&gt;&lt;FQL&gt;&lt;Q&gt;Ticker0024^FE_ESTIMATE(DEFREVENUE_ST,MEAN,QUARTERLY_ROLL,2027/4F,45778,,,'')&lt;/Q&gt;&lt;R&gt;1&lt;/R&gt;&lt;C&gt;1&lt;/C&gt;&lt;D xsi:type="xsd:double"&gt;78321&lt;/D&gt;&lt;/FQL&gt;&lt;FQL&gt;&lt;Q&gt;Ticker0024^FE_ESTIMATE(DEFREVENUE_ST,MEAN,QUARTERLY_ROLL,2027/3F,45778,,,'')&lt;/Q&gt;&lt;R&gt;1&lt;/R&gt;&lt;C&gt;1&lt;/C&gt;&lt;D xsi:type="xsd:double"&gt;57828.5&lt;/D&gt;&lt;/FQL&gt;&lt;FQL&gt;&lt;Q&gt;Ticker0024^FE_ESTIMATE(DEFREVENUE_ST,MEAN,QUARTERLY_ROLL,2027/2F,45778,,,'')&lt;/Q&gt;&lt;R&gt;1&lt;/R&gt;&lt;C&gt;1&lt;/C&gt;&lt;D xsi:type="xsd:double"&gt;58954&lt;/D&gt;&lt;/FQL&gt;&lt;FQL&gt;&lt;Q&gt;Ticker0024^FE_ESTIMATE(DEFREVENUE_ST,MEAN,QUARTERLY_ROLL,2027/1F,45778,,,'')&lt;/Q&gt;&lt;R&gt;1&lt;/R&gt;&lt;C&gt;1&lt;/C&gt;&lt;D xsi:type="xsd:double"&gt;65414&lt;/D&gt;&lt;/FQL&gt;&lt;FQL&gt;&lt;Q&gt;Ticker0024^FE_ESTIMATE(DEFREVENUE_ST,MEAN,ANNUAL_ROLL,2026,45778,,,'')&lt;/Q&gt;&lt;R&gt;1&lt;/R&gt;&lt;C&gt;1&lt;/C&gt;&lt;D xsi:type="xsd:double"&gt;63683.313&lt;/D&gt;&lt;/FQL&gt;&lt;FQL&gt;&lt;Q&gt;Ticker0024^FE_ESTIMATE(DEFREVENUE_ST,MEAN,QUARTERLY_ROLL,2026/4F,45778,,,'')&lt;/Q&gt;&lt;R&gt;1&lt;/R&gt;&lt;C&gt;1&lt;/C&gt;&lt;D xsi:type="xsd:double"&gt;67082&lt;/D&gt;&lt;/FQL&gt;&lt;FQL&gt;&lt;Q&gt;Ticker0024^FE_ESTIMATE(DEFREVENUE_ST,MEAN,QUARTERLY_ROLL,2026/3F,45778,,,'')&lt;/Q&gt;&lt;R&gt;1&lt;/R&gt;&lt;C&gt;1&lt;/C&gt;&lt;D xsi:type="xsd:double"&gt;48874.4&lt;/D&gt;&lt;/FQL&gt;&lt;FQL&gt;&lt;Q&gt;Ticker0024^FE_ESTIMATE(DEFREVENUE_ST,MEAN,QUARTERLY_ROLL,2026/2F,45778,,,'')&lt;/Q&gt;&lt;R&gt;1&lt;/R&gt;&lt;C&gt;1&lt;/C&gt;&lt;D xsi:type="xsd:double"&gt;50171.6&lt;/D&gt;&lt;/FQL&gt;&lt;FQL&gt;&lt;Q&gt;Ticker0024^FE_ESTIMATE(DEFREVENUE_ST,MEAN,QUARTERLY_ROLL,2026/1F,45778,,,'')&lt;/Q&gt;&lt;R&gt;1&lt;/R&gt;&lt;C&gt;1&lt;/C&gt;&lt;D xsi:type="xsd:double"&gt;56799.6&lt;/D&gt;&lt;/FQL&gt;&lt;FQL&gt;&lt;Q&gt;Ticker0024^FE_ESTIMATE(DEFREVENUE_ST,MEAN,ANNUAL_ROLL,2025,45778,,,'')&lt;/Q&gt;&lt;R&gt;1&lt;/R&gt;&lt;C&gt;1&lt;/C&gt;&lt;D xsi:type="xsd:double"&gt;60460.1&lt;/D&gt;&lt;/FQL&gt;&lt;FQL&gt;&lt;Q&gt;Ticker0024^FE_ESTIMATE(DEFREVENUE_ST,MEAN,QUARTERLY_ROLL,2025/4F,45778,,,'')&lt;/Q&gt;&lt;R&gt;1&lt;/R&gt;&lt;C&gt;1&lt;/C&gt;&lt;D xsi:type="xsd:double"&gt;59880.863&lt;/D&gt;&lt;/FQL&gt;&lt;FQL&gt;&lt;Q&gt;Ticker0024^FE_ESTIMATE(DEFREVENUE_ST,MEAN,QUARTERLY_ROLL,2025/3F,45778,,,'')&lt;/Q&gt;&lt;R&gt;1&lt;/R&gt;&lt;C&gt;1&lt;/C&gt;&lt;D xsi:type="xsd:double"&gt;44636.668&lt;/D&gt;&lt;/FQL&gt;&lt;FQL&gt;&lt;Q&gt;Ticker0024^FE_ESTIMATE(DEFREVENUE_ST,MEAN,QUARTERLY_ROLL,2025/2F,45778,,,'')&lt;/Q&gt;&lt;R&gt;1&lt;/R&gt;&lt;C&gt;1&lt;/C&gt;&lt;D xsi:type="xsd:double"&gt;45508.332&lt;/D&gt;&lt;/FQL&gt;&lt;FQL&gt;&lt;Q&gt;Ticker0024^FE_ESTIMATE(DEFREVENUE_ST,MEAN,QUARTERLY_ROLL,2025/1F,45778,,,'')&lt;/Q&gt;&lt;R&gt;1&lt;/R&gt;&lt;C&gt;1&lt;/C&gt;&lt;D xsi:type="xsd:double"&gt;53026.5&lt;/D&gt;&lt;/FQL&gt;&lt;FQL&gt;&lt;Q&gt;Ticker0024^FE_ESTIMATE(DEFREVENUE_ST,MEAN,ANNUAL_ROLL,2024,45778,,,'')&lt;/Q&gt;&lt;R&gt;1&lt;/R&gt;&lt;C&gt;1&lt;/C&gt;&lt;D xsi:type="xsd:double"&gt;57725&lt;/D&gt;&lt;/FQL&gt;&lt;FQL&gt;&lt;Q&gt;Ticker0024^FE_ESTIMATE(DEFREVENUE_ST,MEAN,QUARTERLY_ROLL,2024/4F,45778,,,'')&lt;/Q&gt;&lt;R&gt;1&lt;/R&gt;&lt;C&gt;1&lt;/C&gt;&lt;D xsi:type="xsd:double"&gt;57581.75&lt;/D&gt;&lt;/FQL&gt;&lt;FQL&gt;&lt;Q&gt;Ticker0024^FE_ESTIMATE(DEFREVENUE_ST,MEAN,QUARTERLY_ROLL,2024/3F,45778,,,'')&lt;/Q&gt;&lt;R&gt;1&lt;/R&gt;&lt;C&gt;1&lt;/C&gt;&lt;D xsi:type="xsd:double"&gt;41888.285&lt;/D&gt;&lt;/FQL&gt;&lt;FQL&gt;&lt;Q&gt;Ticker0024^FE_ESTIMATE(DEFREVENUE_ST,MEAN,QUARTERLY_ROLL,2024/2F,45778,,,'')&lt;/Q&gt;&lt;R&gt;1&lt;/R&gt;&lt;C&gt;1&lt;/C&gt;&lt;D xsi:type="xsd:double"&gt;43068.285&lt;/D&gt;&lt;/FQL&gt;&lt;FQL&gt;&lt;Q&gt;Ticker0024^FE_ESTIMATE(DEFREVENUE_ST,MEAN,QUARTERLY_ROLL,2024/1F,45778,,,'')&lt;/Q&gt;&lt;R&gt;1&lt;/R&gt;&lt;C&gt;1&lt;/C&gt;&lt;D xsi:type="xsd:double"&gt;46429.168&lt;/D&gt;&lt;/FQL&gt;&lt;FQL&gt;&lt;Q&gt;Ticker0024^FE_ESTIMATE(DEFREVENUE_ST,MEAN,ANNUAL_ROLL,2023,45778,,,'')&lt;/Q&gt;&lt;R&gt;1&lt;/R&gt;&lt;C&gt;1&lt;/C&gt;&lt;D xsi:type="xsd:double"&gt;50900.875&lt;/D&gt;&lt;/FQL&gt;&lt;FQL&gt;&lt;Q&gt;Ticker0024^FE_ESTIMATE(DEFREVENUE_ST,MEAN,QUARTERLY_ROLL,2023/4F,45778,,,'')&lt;/Q&gt;&lt;R&gt;1&lt;/R&gt;&lt;C&gt;1&lt;/C&gt;&lt;D xsi:type="xsd:double"&gt;50900.855&lt;/D&gt;&lt;/FQL&gt;&lt;FQL&gt;&lt;Q&gt;Ticker0024^FE_ESTIMATE(DEFREVENUE_ST,MEAN,QUARTERLY_ROLL,2023/3F,45778,,,'')&lt;/Q&gt;&lt;R&gt;1&lt;/R&gt;&lt;C&gt;1&lt;/C&gt;&lt;D xsi:type="xsd:double"&gt;36902.5&lt;/D&gt;&lt;/FQL&gt;&lt;FQL&gt;&lt;Q&gt;Ticker0024^FE_ESTIMATE(DEFREVENUE_ST,MEAN,QUARTERLY_ROLL,2023/2F,45778,,,'')&lt;/Q&gt;&lt;R&gt;1&lt;/R&gt;&lt;C&gt;1&lt;/C&gt;&lt;D xsi:type="xsd:double"&gt;36981.668&lt;/D&gt;&lt;/FQL&gt;&lt;FQL&gt;&lt;Q&gt;Ticker0024^FE_ESTIMATE(DEFREVENUE_ST,MEAN,QUARTERLY_ROLL,2023/1F,45778,,,'')&lt;/Q&gt;&lt;R&gt;1&lt;/R&gt;&lt;C&gt;1&lt;/C&gt;&lt;D xsi:type="xsd:double"&gt;41340&lt;/D&gt;&lt;/FQL&gt;&lt;FQL&gt;&lt;Q&gt;Ticker0024^FE_ESTIMATE(DEFREVENUE_ST,MEAN,ANNUAL_ROLL,2022,45778,,,'')&lt;/Q&gt;&lt;R&gt;1&lt;/R&gt;&lt;C&gt;1&lt;/C&gt;&lt;D xsi:type="xsd:double"&gt;45538&lt;/D&gt;&lt;/FQL&gt;&lt;FQL&gt;&lt;Q&gt;Ticker0024^FE_ESTIMATE(DEFREVENUE_ST,MEAN,QUARTERLY_ROLL,2022/4F,45778,,,'')&lt;/Q&gt;&lt;R&gt;1&lt;/R&gt;&lt;C&gt;1&lt;/C&gt;&lt;D xsi:type="xsd:double"&gt;45538&lt;/D&gt;&lt;/FQL&gt;&lt;FQL&gt;&lt;Q&gt;Ticker0024^FE_ESTIMATE(DEFREVENUE_ST,MEAN,QUARTERLY_ROLL,2022/3F,45778,,,'')&lt;/Q&gt;&lt;R&gt;1&lt;/R&gt;&lt;C&gt;1&lt;/C&gt;&lt;D xsi:type="xsd:double"&gt;34027&lt;/D&gt;&lt;/FQL&gt;&lt;FQL&gt;&lt;Q&gt;Ticker0024^FE_ESTIMATE(DEFREVENUE_ST,MEAN,QUARTERLY_ROLL,2022/2F,45778,,,'')&lt;/Q&gt;&lt;R&gt;1&lt;/R&gt;&lt;C&gt;1&lt;/C&gt;&lt;D xsi:type="xsd:double"&gt;34001&lt;/D&gt;&lt;/FQL&gt;&lt;FQL&gt;&lt;Q&gt;Ticker0024^FE_ESTIMATE(DEFREVENUE_ST,MEAN,QUARTERLY_ROLL,2022/1F,45778,,,'')&lt;/Q&gt;&lt;R&gt;1&lt;/R&gt;&lt;C&gt;1&lt;/C&gt;&lt;D xsi:type="xsd:double"&gt;38465&lt;/D&gt;&lt;/FQL&gt;&lt;FQL&gt;&lt;Q&gt;Ticker0024^FE_ESTIMATE(DEFREVENUE_ST,MEAN,ANNUAL_ROLL,2021,45778,,,'')&lt;/Q&gt;&lt;R&gt;1&lt;/R&gt;&lt;C&gt;1&lt;/C&gt;&lt;D xsi:type="xsd:double"&gt;41525&lt;/D&gt;&lt;/FQL&gt;&lt;FQL&gt;&lt;Q&gt;Ticker0024^FE_ESTIMATE(DEFREVENUE_ST,MEAN,QUARTERLY_ROLL,2021/4F,45778,,,'')&lt;/Q&gt;&lt;R&gt;1&lt;/R&gt;&lt;C&gt;1&lt;/C&gt;&lt;D xsi:type="xsd:double"&gt;41525&lt;/D&gt;&lt;/FQL&gt;&lt;FQL&gt;&lt;Q&gt;Ticker0024^FE_ESTIMATE(DEFREVENUE_ST,MEAN,QUARTERLY_ROLL,2021/3F,45778,,,'')&lt;/Q&gt;&lt;R&gt;1&lt;/R&gt;&lt;C&gt;1&lt;/C&gt;&lt;D xsi:type="xsd:double"&gt;30083&lt;/D&gt;&lt;/FQL&gt;&lt;FQL&gt;&lt;Q&gt;Ticker0024^FE_ESTIMATE(DEFREVENUE_ST,MEAN,QUARTERLY_ROLL,2021/2F,45778,,,'')&lt;/Q&gt;&lt;R&gt;1&lt;/R&gt;&lt;C&gt;1&lt;/C&gt;&lt;D xsi:type="xsd:double"&gt;30402&lt;/D&gt;&lt;/FQL&gt;&lt;FQL&gt;&lt;Q&gt;Ticker0024^FE_ESTIMATE(DEFREVENUE_ST,MEAN,QUARTERLY_ROLL,2021/1F,45778,,,'')&lt;/Q&gt;&lt;R&gt;1&lt;/R&gt;&lt;C&gt;1&lt;/C&gt;&lt;D xsi:type="xsd:double"&gt;33476&lt;/D&gt;&lt;/FQL&gt;&lt;FQL&gt;&lt;Q&gt;Ticker0024^FE_ESTIMATE(DEFREVENUE_ST,MEAN,ANNUAL_ROLL,2020,45778,,,'')&lt;/Q&gt;&lt;R&gt;1&lt;/R&gt;&lt;C&gt;1&lt;/C&gt;&lt;D xsi:type="xsd:double"&gt;36000&lt;/D&gt;&lt;/FQL&gt;&lt;FQL&gt;&lt;Q&gt;Ticker0024^FE_ESTIMATE(DEFREVENUE_ST,MEAN,QUARTERLY_ROLL,2020/4F,45778,,,'')&lt;/Q&gt;&lt;R&gt;1&lt;/R&gt;&lt;C&gt;1&lt;/C&gt;&lt;D xsi:type="xsd:double"&gt;36000&lt;/D&gt;&lt;/FQL&gt;&lt;FQL&gt;&lt;Q&gt;Ticker0024^FE_ESTIMATE(DEFREVENUE_ST,MEAN,QUARTERLY_ROLL,2020/3F,45778,,,'')&lt;/Q&gt;&lt;R&gt;1&lt;/R&gt;&lt;C&gt;1&lt;/C&gt;&lt;D xsi:type="xsd:double"&gt;27012&lt;/D&gt;&lt;/FQL&gt;&lt;FQL&gt;&lt;Q&gt;Ticker0024^FE_ESTIMATE(DEFREVENUE_ST,MEAN,QUARTERLY_ROLL,2020/2F,45778,,,'')&lt;/Q&gt;&lt;R&gt;1&lt;/R&gt;&lt;C&gt;1&lt;/C&gt;&lt;D xsi:type="xsd:double"&gt;27343&lt;/D&gt;&lt;/FQL&gt;&lt;FQL&gt;&lt;Q&gt;Ticker0024^FE_ESTIMATE(DEFREVENUE_ST,MEAN,QUARTERLY_ROLL,2020/1F,45778,,,'')&lt;/Q&gt;&lt;R&gt;1&lt;/R&gt;&lt;C&gt;1&lt;/C&gt;&lt;D xsi:type="xsd:double"&gt;29904&lt;/D&gt;&lt;/FQL&gt;&lt;FQL&gt;&lt;Q&gt;Ticker0024^FE_ESTIMATE(DEFREVENUE_ST,MEAN,ANNUAL_ROLL,2019,45778,,,'')&lt;/Q&gt;&lt;R&gt;1&lt;/R&gt;&lt;C&gt;1&lt;/C&gt;&lt;D xsi:type="xsd:double"&gt;32676&lt;/D&gt;&lt;/FQL&gt;&lt;FQL&gt;&lt;Q&gt;Ticker0024^FE_ESTIMATE(DEFREVENUE_ST,MEAN,QUARTERLY_ROLL,2019/4F,45778,,,'')&lt;/Q&gt;&lt;R&gt;1&lt;/R&gt;&lt;C&gt;1&lt;/C&gt;&lt;D xsi:type="xsd:double"&gt;32676&lt;/D&gt;&lt;/FQL&gt;&lt;FQL&gt;&lt;Q&gt;Ticker0024^FE_ESTIMATE(DEFREVENUE_ST,MEAN,QUARTERLY_ROLL,2019/3F,45778,,,'')&lt;/Q&gt;&lt;R&gt;1&lt;/R&gt;&lt;C&gt;1&lt;/C&gt;&lt;D xsi:type="xsd:double"&gt;24251&lt;/D&gt;&lt;/FQL&gt;&lt;FQL&gt;&lt;Q&gt;Ticker0024^FE_ESTIMATE(DEFREVENUE_ST,MEAN,QUARTERLY_ROLL,2019/2F,45778,,,'')&lt;/Q&gt;&lt;R&gt;1&lt;/R&gt;&lt;C&gt;1&lt;/C&gt;&lt;D xsi:type="xsd:double"&gt;24285&lt;/D&gt;&lt;/FQL&gt;&lt;FQL&gt;&lt;Q&gt;Ticker0024^FE_ESTIMATE(DEFREVENUE_ST,MEAN,QUARTERLY_ROLL,2019/1F,45778,,,'')&lt;/Q&gt;&lt;R&gt;1&lt;/R&gt;&lt;C&gt;1&lt;/C&gt;&lt;D xsi:type="xsd:double"&gt;26704&lt;/D&gt;&lt;/FQL&gt;&lt;FQL&gt;&lt;Q&gt;Ticker0024^FE_ESTIMATE(DEFREVENUE_ST,MEAN,ANNUAL_ROLL,2018,45778,,,'')&lt;/Q&gt;&lt;R&gt;1&lt;/R&gt;&lt;C&gt;1&lt;/C&gt;&lt;D xsi:type="xsd:double"&gt;28905&lt;/D&gt;&lt;/FQL&gt;&lt;FQL&gt;&lt;Q&gt;Ticker0024^FE_ESTIMATE(DEFREVENUE_ST,MEAN,QUARTERLY_ROLL,2018/4F,45778,,,'')&lt;/Q&gt;&lt;R&gt;1&lt;/R&gt;&lt;C&gt;1&lt;/C&gt;&lt;D xsi:type="xsd:double"&gt;28905&lt;/D&gt;&lt;/FQL&gt;&lt;FQL&gt;&lt;Q&gt;Ticker0024^FE_ESTIMATE(DEFREVENUE_ST,MEAN,QUARTERLY_ROLL,2018/3F,45778,,,'')&lt;/Q&gt;&lt;R&gt;1&lt;/R&gt;&lt;C&gt;1&lt;/C&gt;&lt;D xsi:type="xsd:double"&gt;21370&lt;/D&gt;&lt;/FQL&gt;&lt;FQL&gt;&lt;Q&gt;Ticker0024^FE_ESTIMATE(DEFREVENUE_ST,MEAN,QUARTERLY_ROLL,2018/2F,45778,,,'')&lt;/Q&gt;&lt;R&gt;1&lt;/R&gt;&lt;C&gt;1&lt;/C&gt;&lt;D xsi:type="xsd:double"&gt;21559&lt;/D&gt;&lt;/FQL&gt;&lt;FQL&gt;&lt;Q&gt;Ticker0024^FE_ESTIMATE(DEFREVENUE_ST,MEAN,QUARTERLY_ROLL,2018/1F,45778,,,'')&lt;/Q&gt;&lt;R&gt;1&lt;/R&gt;&lt;C&gt;1&lt;/C&gt;&lt;D xsi:type="xsd:double"&gt;22990.6&lt;/D&gt;&lt;/FQL&gt;&lt;FQL&gt;&lt;Q&gt;Ticker0024^FE_ESTIMATE(DEFREVENUE_ST,MEAN,ANNUAL_ROLL,2017,45778,,,'')&lt;/Q&gt;&lt;R&gt;1&lt;/R&gt;&lt;C&gt;1&lt;/C&gt;&lt;D xsi:type="xsd:double"&gt;34102&lt;/D&gt;&lt;/FQL&gt;&lt;FQL&gt;&lt;Q&gt;Ticker0024^FE_ESTIMATE(DEFREVENUE_ST,MEAN,QUARTERLY_ROLL,2017/4F,45778,,,'')&lt;/Q&gt;&lt;R&gt;1&lt;/R&gt;&lt;C&gt;1&lt;/C&gt;&lt;D xsi:type="xsd:double"&gt;34102&lt;/D&gt;&lt;/FQL&gt;&lt;FQL&gt;&lt;Q&gt;Ticker0024^FE_ESTIMATE(DEFREVENUE_ST,MEAN,QUARTERLY_ROLL,2017/3F,45778,,,'')&lt;/Q&gt;&lt;R&gt;1&lt;/R&gt;&lt;C&gt;1&lt;/C&gt;&lt;D xsi:type="xsd:double"&gt;26518&lt;/D&gt;&lt;/FQL&gt;&lt;FQL&gt;&lt;Q&gt;Ticker0024^FE_ESTIMATE(DEFREVENUE_ST,MEAN,QUARTERLY_ROLL,2017/2F,45778,,,'')&lt;/Q&gt;&lt;R&gt;1&lt;/R&gt;&lt;C&gt;1&lt;/C&gt;&lt;D xsi:type="xsd:double"&gt;25983&lt;/D&gt;&lt;/FQL&gt;&lt;FQL&gt;&lt;Q&gt;Ticker0024^FE_ESTIMATE(DEFREVENUE_ST,MEAN,QUARTERLY_ROLL,2017/1F,45778,,,'')&lt;/Q&gt;&lt;R&gt;1&lt;/R&gt;&lt;C&gt;1&lt;/C&gt;&lt;D xsi:type="xsd:double"&gt;26304&lt;/D&gt;&lt;/FQL&gt;&lt;FQL&gt;&lt;Q&gt;Ticker0024^FE_ESTIMATE(DEFREVENUE_ST,MEAN,ANNUAL_ROLL,2016,45778,,,'')&lt;/Q&gt;&lt;R&gt;1&lt;/R&gt;&lt;C&gt;1&lt;/C&gt;&lt;D xsi:type="xsd:double"&gt;27468&lt;/D&gt;&lt;/FQL&gt;&lt;FQL&gt;&lt;Q&gt;Ticker0024^FE_ESTIMATE(DEFREVENUE_ST,MEAN,QUARTERLY_ROLL,2016/4F,45778,,,'')&lt;/Q&gt;&lt;R&gt;1&lt;/R&gt;&lt;C&gt;1&lt;/C&gt;&lt;D xsi:type="xsd:double"&gt;27468&lt;/D&gt;&lt;/FQL&gt;&lt;FQL&gt;&lt;Q&gt;Ticker0024^FE_ESTIMATE(DEFREVENUE_ST,MEAN,QUARTERLY_ROLL,2016/3F,45778,,,'')&lt;/Q&gt;&lt;R&gt;1&lt;/R&gt;&lt;C&gt;1&lt;/C&gt;&lt;D xsi:type="xsd:double"&gt;20876&lt;/D&gt;&lt;/FQL&gt;&lt;FQL&gt;&lt;Q&gt;Ticker0024^FE_ESTIMATE(DEFREVENUE_ST,MEAN,QUARTERLY_ROLL,2016/2F,45778,,,'')&lt;/Q&gt;&lt;R&gt;1&lt;/R&gt;&lt;C&gt;1&lt;/C&gt;&lt;D xsi:type="xsd:double"&gt;20929&lt;/D&gt;&lt;/FQL&gt;&lt;FQL&gt;&lt;Q&gt;Ticker0024^FE_ESTIMATE(DEFREVENUE_ST,MEAN,QUARTERLY_ROLL,2016/1F,45778,,,'')&lt;/Q&gt;&lt;R&gt;1&lt;/R&gt;&lt;C&gt;1&lt;/C&gt;&lt;D xsi:type="xsd:double"&gt;21603&lt;/D&gt;&lt;/FQL&gt;&lt;FQL&gt;&lt;Q&gt;Ticker0024^FE_ESTIMATE(DEFREVENUE_ST,MEAN,ANNUAL_ROLL,2015,45778,,,'')&lt;/Q&gt;&lt;R&gt;1&lt;/R&gt;&lt;C&gt;1&lt;/C&gt;&lt;D xsi:type="xsd:double"&gt;23223&lt;/D&gt;&lt;/FQL&gt;&lt;FQL&gt;&lt;Q&gt;Ticker0024^FE_ESTIMATE(DEFREVENUE_ST,MEAN,QUARTERLY_ROLL,2015/4F,45778,,,'')&lt;/Q&gt;&lt;R&gt;1&lt;/R&gt;&lt;C&gt;1&lt;/C&gt;&lt;D xsi:type="xsd:double"&gt;23223&lt;/D&gt;&lt;/FQL&gt;&lt;FQL&gt;&lt;Q&gt;Ticker0024^FE_ESTIMATE(DEFREVENUE_ST,MEAN,QUARTERLY_ROLL,2015/3F,45778,,,'')&lt;/Q&gt;&lt;R&gt;1&lt;/R&gt;&lt;C&gt;1&lt;/C&gt;&lt;D xsi:type="xsd:double"&gt;18232&lt;/D&gt;&lt;/FQL&gt;&lt;FQL&gt;&lt;Q&gt;Ticker0024^FE_ESTIMATE(DEFREVENUE_ST,MEAN,QUARTERLY_ROLL,2015/2F,45778,,,'')&lt;/Q&gt;&lt;R&gt;1&lt;/R&gt;&lt;C&gt;1&lt;/C&gt;&lt;D xsi:type="xsd:double"&gt;19192&lt;/D&gt;&lt;/FQL&gt;&lt;FQL&gt;&lt;Q&gt;Ticker0024^FE_ESTIMATE(DEFREVENUE_ST,MEAN,QUARTERLY_ROLL,2015/1F,45778,,,'')&lt;/Q&gt;&lt;R&gt;1&lt;/R&gt;&lt;C&gt;1&lt;/C&gt;&lt;D xsi:type="xsd:double"&gt;20713&lt;/D&gt;&lt;/FQL&gt;&lt;FQL&gt;&lt;Q&gt;Ticker0024^FE_ESTIMATE(FCF,MEAN,ANNUAL_ROLL,2030,45778,,,'')&lt;/Q&gt;&lt;R&gt;0&lt;/R&gt;&lt;C&gt;0&lt;/C&gt;&lt;/FQL&gt;&lt;FQL&gt;&lt;Q&gt;Ticker0024^FE_ESTIMATE(FCF,MEAN,QUARTERLY_ROLL,2030/4F,45778,,,'')&lt;/Q&gt;&lt;R&gt;0&lt;/R&gt;&lt;C&gt;0&lt;/C&gt;&lt;/FQL&gt;&lt;FQL&gt;&lt;Q&gt;Ticker0024^FE_ESTIMATE(FCF,MEAN,QUARTERLY_ROLL,2030/3F,45778,,,'')&lt;/Q&gt;&lt;R&gt;0&lt;/R&gt;&lt;C&gt;0&lt;/C&gt;&lt;/FQL&gt;&lt;FQL&gt;&lt;Q&gt;Ticker0024^FE_ESTIMATE(FCF,MEAN,QUARTERLY_ROLL,2030/2F,45778,,,'')&lt;/Q&gt;&lt;R&gt;0&lt;/R&gt;&lt;C&gt;0&lt;/C&gt;&lt;/FQL&gt;&lt;FQL&gt;&lt;Q&gt;Ticker0024^FE_ESTIMATE(FCF,MEAN,QUARTERLY_ROLL,2030/1F,45778,,,'')&lt;/Q&gt;&lt;R&gt;0&lt;/R&gt;&lt;C&gt;0&lt;/C&gt;&lt;/FQL&gt;&lt;FQL&gt;&lt;Q&gt;Ticker0024^FE_ESTIMATE(FCF,MEAN,ANNUAL_ROLL,2029,45778,,,'')&lt;/Q&gt;&lt;R&gt;1&lt;/R&gt;&lt;C&gt;1&lt;/C&gt;&lt;D xsi:type="xsd:double"&gt;153725&lt;/D&gt;&lt;/FQL&gt;&lt;FQL&gt;&lt;Q&gt;Ticker0024^FE_ESTIMATE(FCF,MEAN,QUARTERLY_ROLL,2029/4F,45778,,,'')&lt;/Q&gt;&lt;R&gt;0&lt;/R&gt;&lt;C&gt;0&lt;/C&gt;&lt;/FQL&gt;&lt;FQL&gt;&lt;Q&gt;Ticker0024^FE_ESTIMATE(FCF,MEAN,QUARTERLY_ROLL,2029/3F,45778,,,'')&lt;/Q&gt;&lt;R&gt;0&lt;/R&gt;&lt;C&gt;0&lt;/C&gt;&lt;/FQL&gt;&lt;FQL&gt;&lt;Q&gt;Ticker0024^FE_ESTIMATE(FCF,MEAN,QUARTERLY_ROLL,2029/2F,45778,,,'')&lt;/Q&gt;&lt;R&gt;0&lt;/R&gt;&lt;C&gt;0&lt;/C&gt;&lt;/FQL&gt;&lt;FQL&gt;&lt;Q&gt;Ticker0024^FE_ESTIMATE(FCF,MEAN,QUARTERLY_ROLL,2029/1F,45778,,,'')&lt;/Q&gt;&lt;R&gt;0&lt;/R&gt;&lt;C&gt;0&lt;/C&gt;&lt;/FQL&gt;&lt;FQL&gt;&lt;Q&gt;Ticker0024^FE_ESTIMATE(FCF,MEAN,ANNUAL_ROLL,2028,45778,,,'')&lt;/Q&gt;&lt;R&gt;1&lt;/R&gt;&lt;C&gt;1&lt;/C&gt;&lt;D xsi:type="xsd:double"&gt;119306.03&lt;/D&gt;&lt;/FQL&gt;&lt;FQL&gt;&lt;Q&gt;Ticker0024^FE_ESTIMATE(FCF,MEAN,QUARTERLY_ROLL,2028/4F,45778,,,'')&lt;/Q&gt;&lt;R&gt;0&lt;/R&gt;&lt;C&gt;0&lt;/C&gt;&lt;/FQL&gt;&lt;FQL&gt;&lt;Q&gt;Ticker0024^FE_ESTIMATE(FCF,MEAN,QUARTERLY_ROLL,2028/3F,45778,,,'')&lt;/Q&gt;&lt;R&gt;0&lt;/R&gt;&lt;C&gt;0&lt;/C&gt;&lt;/FQL&gt;&lt;FQL&gt;&lt;Q&gt;Ticker0024^FE_ESTIMATE(FCF,MEAN,QUARTERLY_ROLL,2028/2F,45778,,,'')&lt;/Q&gt;&lt;R&gt;0&lt;/R&gt;&lt;C&gt;0&lt;/C&gt;&lt;/FQL&gt;&lt;FQL&gt;&lt;Q&gt;Ticker0024^FE_ESTIMATE(FCF,MEAN,QUARTERLY_ROLL,2028/1F,45778,,,'')&lt;/Q&gt;&lt;R&gt;0&lt;/R&gt;&lt;C&gt;0&lt;/C&gt;&lt;/FQL&gt;&lt;FQL&gt;&lt;Q&gt;Ticker0024^FE_ESTIMATE(FCF,MEAN,ANNUAL_ROLL,2027,45778,,,'')&lt;/Q&gt;&lt;R&gt;1&lt;/R&gt;&lt;C&gt;1&lt;/C&gt;&lt;D xsi:type="xsd:double"&gt;94387.47&lt;/D&gt;&lt;/FQL&gt;&lt;FQL&gt;&lt;Q&gt;Ticker0024^FE_ESTIMATE(FCF,MEAN,QUARTERLY_ROLL,2027/4F,45778,,,'')&lt;/Q&gt;&lt;R&gt;1&lt;/R&gt;&lt;C&gt;1&lt;/C&gt;&lt;D xsi:type="xsd:double"&gt;18217.666&lt;/D&gt;&lt;/FQL&gt;&lt;FQL&gt;&lt;Q&gt;Ticker0024^FE_ESTIMATE(FCF,MEAN,QUARTERLY_ROLL,2027/3F,45778,,,'')&lt;/Q&gt;&lt;R&gt;1&lt;/R&gt;&lt;C&gt;1&lt;/C&gt;&lt;D xsi:type="xsd:double"&gt;19331.666&lt;/D&gt;&lt;/FQL&gt;&lt;FQL&gt;&lt;Q&gt;Ticker0024^FE_ESTIMATE(FCF,MEAN,QUARTERLY_ROLL,2027/2F,45778,,,'')&lt;/Q&gt;&lt;R&gt;1&lt;/R&gt;&lt;C&gt;1&lt;/C&gt;&lt;D xsi:type="xsd:double"&gt;8462.667&lt;/D&gt;&lt;/FQL&gt;&lt;FQL&gt;&lt;Q&gt;Ticker0024^FE_ESTIMATE(FCF,MEAN,QUARTERLY_ROLL,2027/1F,45778,,,'')&lt;/Q&gt;&lt;R&gt;1&lt;/R&gt;&lt;C&gt;1&lt;/C&gt;&lt;D xsi:type="xsd:double"&gt;32751&lt;/D&gt;&lt;/FQL&gt;&lt;FQL&gt;&lt;Q&gt;Ticker0024^FE_ESTIMATE(FCF,MEAN,ANNUAL_ROLL,2026,45778,,,'')&lt;/Q&gt;&lt;R&gt;1&lt;/R&gt;&lt;C&gt;1&lt;/C&gt;&lt;D xsi:type="xsd:double"&gt;75480.17&lt;/D&gt;&lt;/FQL&gt;&lt;FQL&gt;&lt;Q&gt;Ticker0024^FE_ESTIMATE(FCF,MEAN,QUARTERLY_ROLL,2026/4F,45778,,,'')&lt;/Q&gt;&lt;R&gt;1&lt;/R&gt;&lt;C&gt;1&lt;/C&gt;&lt;D xsi:type="xsd:double"&gt;18507.06&lt;/D&gt;&lt;/FQL&gt;&lt;FQL&gt;&lt;Q&gt;Ticker0024^FE_ESTIMATE(FCF,MEAN,QUARTERLY_ROLL,2026/3F,45778,,,'')&lt;/Q&gt;&lt;R&gt;1&lt;/R&gt;&lt;C&gt;1&lt;/C&gt;&lt;D xsi:type="xsd:double"&gt;19066.496&lt;/D&gt;&lt;/FQL&gt;&lt;FQL&gt;&lt;Q&gt;Ticker0024^FE_ESTIMATE(FCF,MEAN,QUARTERLY_ROLL,2026/2F,45778,,,'')&lt;/Q&gt;&lt;R&gt;1&lt;/R&gt;&lt;C&gt;1&lt;/C&gt;&lt;D xsi:type="xsd:double"&gt;10144.603&lt;/D&gt;&lt;/FQL&gt;&lt;FQL&gt;&lt;Q&gt;Ticker0024^FE_ESTIMATE(FCF,MEAN,QUARTERLY_ROLL,2026/1F,45778,,,'')&lt;/Q&gt;&lt;R&gt;1&lt;/R&gt;&lt;C&gt;1&lt;/C&gt;&lt;D xsi:type="xsd:double"&gt;25774.414&lt;/D&gt;&lt;/FQL&gt;&lt;FQL&gt;&lt;Q&gt;Ticker0024^FE_ESTIMATE(FCF,MEAN,ANNUAL_ROLL,2025,45778,,,'')&lt;/Q&gt;&lt;R&gt;1&lt;/R&gt;&lt;C&gt;1&lt;/C&gt;&lt;D xsi:type="xsd:double"&gt;65892.83&lt;/D&gt;&lt;/FQL&gt;&lt;FQL&gt;&lt;Q&gt;Ticker0024^FE_ESTIMATE(FCF,MEAN,QUARTERLY_ROLL,2025/4F,45778,,,'')&lt;/Q&gt;&lt;R&gt;1&lt;/R&gt;&lt;C&gt;1&lt;/C&gt;&lt;D xsi:type="xsd:double"&gt;20694.723&lt;/D&gt;&lt;/FQL&gt;&lt;FQL&gt;&lt;Q&gt;Ticker0024^FE_ESTIMATE(FCF,MEAN,QUARTERLY_ROLL,2025/3F,45778,,,'')&lt;/Q&gt;&lt;R&gt;1&lt;/R&gt;&lt;C&gt;1&lt;/C&gt;&lt;D xsi:type="xsd:double"&gt;20251&lt;/D&gt;&lt;/FQL&gt;&lt;FQL&gt;&lt;Q&gt;Ticker0024^FE_ESTIMATE(FCF,MEAN,QUARTERLY_ROLL,2025/2F,45778,,,'')&lt;/Q&gt;&lt;R&gt;1&lt;/R&gt;&lt;C&gt;1&lt;/C&gt;&lt;D xsi:type="xsd:double"&gt;6707.9375&lt;/D&gt;&lt;/FQL&gt;&lt;FQL&gt;&lt;Q&gt;Ticker0024^FE_ESTIMATE(FCF,MEAN,QUARTERLY_ROLL,2025/1F,45778,,,'')&lt;/Q&gt;&lt;R&gt;1&lt;/R&gt;&lt;C&gt;1&lt;/C&gt;&lt;D xsi:type="xsd:double"&gt;18738.584&lt;/D&gt;&lt;/FQL&gt;&lt;FQL&gt;&lt;Q&gt;Ticker0024^FE_ESTIMATE(FCF,MEAN,ANNUAL_ROLL,2024,45778,,,'')&lt;/Q&gt;&lt;R&gt;1&lt;/R&gt;&lt;C&gt;1&lt;/C&gt;&lt;D xsi:type="xsd:double"&gt;72678.9&lt;/D&gt;&lt;/FQL&gt;&lt;FQL&gt;&lt;Q&gt;Ticker0024^FE_ESTIMATE(FCF,MEAN,QUARTERLY_ROLL,2024/4F,45778,,,'')&lt;/Q&gt;&lt;R&gt;1&lt;/R&gt;&lt;C&gt;1&lt;/C&gt;&lt;D xsi:type="xsd:double"&gt;22275.834&lt;/D&gt;&lt;/FQL&gt;&lt;FQL&gt;&lt;Q&gt;Ticker0024^FE_ESTIMATE(FCF,MEAN,QUARTERLY_ROLL,2024/3F,45778,,,'')&lt;/Q&gt;&lt;R&gt;1&lt;/R&gt;&lt;C&gt;1&lt;/C&gt;&lt;D xsi:type="xsd:double"&gt;20634.766&lt;/D&gt;&lt;/FQL&gt;&lt;FQL&gt;&lt;Q&gt;Ticker0024^FE_ESTIMATE(FCF,MEAN,QUARTERLY_ROLL,2024/2F,45778,,,'')&lt;/Q&gt;&lt;R&gt;1&lt;/R&gt;&lt;C&gt;1&lt;/C&gt;&lt;D xsi:type="xsd:double"&gt;6218.222&lt;/D&gt;&lt;/FQL&gt;&lt;FQL&gt;&lt;Q&gt;Ticker0024^FE_ESTIMATE(FCF,MEAN,QUARTERLY_ROLL,2024/1F,45778,,,'')&lt;/Q&gt;&lt;R&gt;1&lt;/R&gt;&lt;C&gt;1&lt;/C&gt;&lt;D xsi:type="xsd:double"&gt;21096.059&lt;/D&gt;&lt;/FQL&gt;&lt;FQL&gt;&lt;Q&gt;Ticker0024^FE_ESTIMATE(FCF,MEAN,ANNUAL_ROLL,2023,45778,,,'')&lt;/Q&gt;&lt;R&gt;1&lt;/R&gt;&lt;C&gt;1&lt;/C&gt;&lt;D xsi:type="xsd:double"&gt;60085.832&lt;/D&gt;&lt;/FQL&gt;&lt;FQL&gt;&lt;Q&gt;Ticker0024^FE_ESTIMATE(FCF,MEAN,QUARTERLY_ROLL,2023/4F,45778,,,'')&lt;/Q&gt;&lt;R&gt;1&lt;/R&gt;&lt;C&gt;1&lt;/C&gt;&lt;D xsi:type="xsd:double"&gt;19492.357&lt;/D&gt;&lt;/FQL&gt;&lt;FQL&gt;&lt;Q&gt;Ticker0024^FE_ESTIMATE(FCF,MEAN,QUARTERLY_ROLL,2023/3F,45778,,,'')&lt;/Q&gt;&lt;R&gt;1&lt;/R&gt;&lt;C&gt;1&lt;/C&gt;&lt;D xsi:type="xsd:double"&gt;17765.25&lt;/D&gt;&lt;/FQL&gt;&lt;FQL&gt;&lt;Q&gt;Ticker0024^FE_ESTIMATE(FCF,MEAN,QUARTERLY_ROLL,2023/2F,45778,,,'')&lt;/Q&gt;&lt;R&gt;1&lt;/R&gt;&lt;C&gt;1&lt;/C&gt;&lt;D xsi:type="xsd:double"&gt;5507.533&lt;/D&gt;&lt;/FQL&gt;&lt;FQL&gt;&lt;Q&gt;Ticker0024^FE_ESTIMATE(FCF,MEAN,QUARTERLY_ROLL,2023/1F,45778,,,'')&lt;/Q&gt;&lt;R&gt;1&lt;/R&gt;&lt;C&gt;1&lt;/C&gt;&lt;D xsi:type="xsd:double"&gt;17698&lt;/D&gt;&lt;/FQL&gt;&lt;FQL&gt;&lt;Q&gt;Ticker0024^FE_ESTIMATE(FCF,MEAN,ANNUAL_ROLL,2022,45778,,,'')&lt;/Q&gt;&lt;R&gt;1&lt;/R&gt;&lt;C&gt;1&lt;/C&gt;&lt;D xsi:type="xsd:double"&gt;65067.133&lt;/D&gt;&lt;/FQ</t>
        </r>
      </text>
    </comment>
    <comment ref="A51" authorId="0" shapeId="0" xr:uid="{00415740-1D3C-4DA5-98FE-7B9412181CC4}">
      <text>
        <r>
          <rPr>
            <b/>
            <sz val="9"/>
            <color indexed="81"/>
            <rFont val="Tahoma"/>
            <family val="2"/>
          </rPr>
          <t>L&gt;&lt;FQL&gt;&lt;Q&gt;Ticker0024^FE_ESTIMATE(FCF,MEAN,QUARTERLY_ROLL,2022/4F,45778,,,'')&lt;/Q&gt;&lt;R&gt;1&lt;/R&gt;&lt;C&gt;1&lt;/C&gt;&lt;D xsi:type="xsd:double"&gt;17158&lt;/D&gt;&lt;/FQL&gt;&lt;FQL&gt;&lt;Q&gt;Ticker0024^FE_ESTIMATE(FCF,MEAN,QUARTERLY_ROLL,2022/3F,45778,,,'')&lt;/Q&gt;&lt;R&gt;1&lt;/R&gt;&lt;C&gt;1&lt;/C&gt;&lt;D xsi:type="xsd:double"&gt;19608.334&lt;/D&gt;&lt;/FQL&gt;&lt;FQL&gt;&lt;Q&gt;Ticker0024^FE_ESTIMATE(FCF,MEAN,QUARTERLY_ROLL,2022/2F,45778,,,'')&lt;/Q&gt;&lt;R&gt;1&lt;/R&gt;&lt;C&gt;1&lt;/C&gt;&lt;D xsi:type="xsd:double"&gt;9409.818&lt;/D&gt;&lt;/FQL&gt;&lt;FQL&gt;&lt;Q&gt;Ticker0024^FE_ESTIMATE(FCF,MEAN,QUARTERLY_ROLL,2022/1F,45778,,,'')&lt;/Q&gt;&lt;R&gt;1&lt;/R&gt;&lt;C&gt;1&lt;/C&gt;&lt;D xsi:type="xsd:double"&gt;18285.334&lt;/D&gt;&lt;/FQL&gt;&lt;FQL&gt;&lt;Q&gt;Ticker0024^FE_ESTIMATE(FCF,MEAN,ANNUAL_ROLL,2021,45778,,,'')&lt;/Q&gt;&lt;R&gt;1&lt;/R&gt;&lt;C&gt;1&lt;/C&gt;&lt;D xsi:type="xsd:double"&gt;55483.777&lt;/D&gt;&lt;/FQL&gt;&lt;FQL&gt;&lt;Q&gt;Ticker0024^FE_ESTIMATE(FCF,MEAN,QUARTERLY_ROLL,2021/4F,45778,,,'')&lt;/Q&gt;&lt;R&gt;1&lt;/R&gt;&lt;C&gt;1&lt;/C&gt;&lt;D xsi:type="xsd:double"&gt;15893.833&lt;/D&gt;&lt;/FQL&gt;&lt;FQL&gt;&lt;Q&gt;Ticker0024^FE_ESTIMATE(FCF,MEAN,QUARTERLY_ROLL,2021/3F,45778,,,'')&lt;/Q&gt;&lt;R&gt;1&lt;/R&gt;&lt;C&gt;1&lt;/C&gt;&lt;D xsi:type="xsd:double"&gt;16693.5&lt;/D&gt;&lt;/FQL&gt;&lt;FQL&gt;&lt;Q&gt;Ticker0024^FE_ESTIMATE(FCF,MEAN,QUARTERLY_ROLL,2021/2F,45778,,,'')&lt;/Q&gt;&lt;R&gt;1&lt;/R&gt;&lt;C&gt;1&lt;/C&gt;&lt;D xsi:type="xsd:double"&gt;9098&lt;/D&gt;&lt;/FQL&gt;&lt;FQL&gt;&lt;Q&gt;Ticker0024^FE_ESTIMATE(FCF,MEAN,QUARTERLY_ROLL,2021/1F,45778,,,'')&lt;/Q&gt;&lt;R&gt;1&lt;/R&gt;&lt;C&gt;1&lt;/C&gt;&lt;D xsi:type="xsd:double"&gt;13974.333&lt;/D&gt;&lt;/FQL&gt;&lt;FQL&gt;&lt;Q&gt;Ticker0024^FE_ESTIMATE(FCF,MEAN,ANNUAL_ROLL,2020,45778,,,'')&lt;/Q&gt;&lt;R&gt;1&lt;/R&gt;&lt;C&gt;1&lt;/C&gt;&lt;D xsi:type="xsd:double"&gt;45095.453&lt;/D&gt;&lt;/FQL&gt;&lt;FQL&gt;&lt;Q&gt;Ticker0024^FE_ESTIMATE(FCF,MEAN,QUARTERLY_ROLL,2020/4F,45778,,,'')&lt;/Q&gt;&lt;R&gt;1&lt;/R&gt;&lt;C&gt;1&lt;/C&gt;&lt;D xsi:type="xsd:double"&gt;13391.667&lt;/D&gt;&lt;/FQL&gt;&lt;FQL&gt;&lt;Q&gt;Ticker0024^FE_ESTIMATE(FCF,MEAN,QUARTERLY_ROLL,2020/3F,45778,,,'')&lt;/Q&gt;&lt;R&gt;1&lt;/R&gt;&lt;C&gt;1&lt;/C&gt;&lt;D xsi:type="xsd:double"&gt;13437&lt;/D&gt;&lt;/FQL&gt;&lt;FQL&gt;&lt;Q&gt;Ticker0024^FE_ESTIMATE(FCF,MEAN,QUARTERLY_ROLL,2020/2F,45778,,,'')&lt;/Q&gt;&lt;R&gt;1&lt;/R&gt;&lt;C&gt;1&lt;/C&gt;&lt;D xsi:type="xsd:double"&gt;7641.3335&lt;/D&gt;&lt;/FQL&gt;&lt;FQL&gt;&lt;Q&gt;Ticker0024^FE_ESTIMATE(FCF,MEAN,QUARTERLY_ROLL,2020/1F,45778,,,'')&lt;/Q&gt;&lt;R&gt;1&lt;/R&gt;&lt;C&gt;1&lt;/C&gt;&lt;D xsi:type="xsd:double"&gt;10215.875&lt;/D&gt;&lt;/FQL&gt;&lt;FQL&gt;&lt;Q&gt;Ticker0024^FE_ESTIMATE(FCF,MEAN,ANNUAL_ROLL,2019,45778,,,'')&lt;/Q&gt;&lt;R&gt;1&lt;/R&gt;&lt;C&gt;1&lt;/C&gt;&lt;D xsi:type="xsd:double"&gt;38085.168&lt;/D&gt;&lt;/FQL&gt;&lt;FQL&gt;&lt;Q&gt;Ticker0024^FE_ESTIMATE(FCF,MEAN,QUARTERLY_ROLL,2019/4F,45778,,,'')&lt;/Q&gt;&lt;R&gt;1&lt;/R&gt;&lt;C&gt;1&lt;/C&gt;&lt;D xsi:type="xsd:double"&gt;11695.728&lt;/D&gt;&lt;/FQL&gt;&lt;FQL&gt;&lt;Q&gt;Ticker0024^FE_ESTIMATE(FCF,MEAN,QUARTERLY_ROLL,2019/3F,45778,,,'')&lt;/Q&gt;&lt;R&gt;1&lt;/R&gt;&lt;C&gt;1&lt;/C&gt;&lt;D xsi:type="xsd:double"&gt;10834.333&lt;/D&gt;&lt;/FQL&gt;&lt;FQL&gt;&lt;Q&gt;Ticker0024^FE_ESTIMATE(FCF,MEAN,QUARTERLY_ROLL,2019/2F,45778,,,'')&lt;/Q&gt;&lt;R&gt;1&lt;/R&gt;&lt;C&gt;1&lt;/C&gt;&lt;D xsi:type="xsd:double"&gt;5420.25&lt;/D&gt;&lt;/FQL&gt;&lt;FQL&gt;&lt;Q&gt;Ticker0024^FE_ESTIMATE(FCF,MEAN,QUARTERLY_ROLL,2019/1F,45778,,,'')&lt;/Q&gt;&lt;R&gt;1&lt;/R&gt;&lt;C&gt;1&lt;/C&gt;&lt;D xsi:type="xsd:double"&gt;9414.454&lt;/D&gt;&lt;/FQL&gt;&lt;FQL&gt;&lt;Q&gt;Ticker0024^FE_ESTIMATE(FCF,MEAN,ANNUAL_ROLL,2018,45778,,,'')&lt;/Q&gt;&lt;R&gt;1&lt;/R&gt;&lt;C&gt;1&lt;/C&gt;&lt;D xsi:type="xsd:double"&gt;32102.77&lt;/D&gt;&lt;/FQL&gt;&lt;FQL&gt;&lt;Q&gt;Ticker0024^FE_ESTIMATE(FCF,MEAN,QUARTERLY_ROLL,2018/4F,45778,,,'')&lt;/Q&gt;&lt;R&gt;1&lt;/R&gt;&lt;C&gt;1&lt;/C&gt;&lt;D xsi:type="xsd:double"&gt;7717.909&lt;/D&gt;&lt;/FQL&gt;&lt;FQL&gt;&lt;Q&gt;Ticker0024^FE_ESTIMATE(FCF,MEAN,QUARTERLY_ROLL,2018/3F,45778,,,'')&lt;/Q&gt;&lt;R&gt;1&lt;/R&gt;&lt;C&gt;1&lt;/C&gt;&lt;D xsi:type="xsd:double"&gt;8967.363&lt;/D&gt;&lt;/FQL&gt;&lt;FQL&gt;&lt;Q&gt;Ticker0024^FE_ESTIMATE(FCF,MEAN,QUARTERLY_ROLL,2018/2F,45778,,,'')&lt;/Q&gt;&lt;R&gt;1&lt;/R&gt;&lt;C&gt;1&lt;/C&gt;&lt;D xsi:type="xsd:double"&gt;5426.1665&lt;/D&gt;&lt;/FQL&gt;&lt;FQL&gt;&lt;Q&gt;Ticker0024^FE_ESTIMATE(FCF,MEAN,QUARTERLY_ROLL,2018/1F,45778,,,'')&lt;/Q&gt;&lt;R&gt;1&lt;/R&gt;&lt;C&gt;1&lt;/C&gt;&lt;D xsi:type="xsd:double"&gt;9866.75&lt;/D&gt;&lt;/FQL&gt;&lt;FQL&gt;&lt;Q&gt;Ticker0024^FE_ESTIMATE(FCF,MEAN,ANNUAL_ROLL,2017,45778,,,'')&lt;/Q&gt;&lt;R&gt;1&lt;/R&gt;&lt;C&gt;1&lt;/C&gt;&lt;D xsi:type="xsd:double"&gt;30380.875&lt;/D&gt;&lt;/FQL&gt;&lt;FQL&gt;&lt;Q&gt;Ticker0024^FE_ESTIMATE(FCF,MEAN,QUARTERLY_ROLL,2017/4F,45778,,,'')&lt;/Q&gt;&lt;R&gt;1&lt;/R&gt;&lt;C&gt;1&lt;/C&gt;&lt;D xsi:type="xsd:double"&gt;8029.2&lt;/D&gt;&lt;/FQL&gt;&lt;FQL&gt;&lt;Q&gt;Ticker0024^FE_ESTIMATE(FCF,MEAN,QUARTERLY_ROLL,2017/3F,45778,,,'')&lt;/Q&gt;&lt;R&gt;1&lt;/R&gt;&lt;C&gt;1&lt;/C&gt;&lt;D xsi:type="xsd:double"&gt;8506&lt;/D&gt;&lt;/FQL&gt;&lt;FQL&gt;&lt;Q&gt;Ticker0024^FE_ESTIMATE(FCF,MEAN,QUARTERLY_ROLL,2017/2F,45778,,,'')&lt;/Q&gt;&lt;R&gt;1&lt;/R&gt;&lt;C&gt;1&lt;/C&gt;&lt;D xsi:type="xsd:double"&gt;4305&lt;/D&gt;&lt;/FQL&gt;&lt;FQL&gt;&lt;Q&gt;Ticker0024^FE_ESTIMATE(FCF,MEAN,QUARTERLY_ROLL,2017/1F,45778,,,'')&lt;/Q&gt;&lt;R&gt;1&lt;/R&gt;&lt;C&gt;1&lt;/C&gt;&lt;D xsi:type="xsd:double"&gt;9382&lt;/D&gt;&lt;/FQL&gt;&lt;FQL&gt;&lt;Q&gt;Ticker0024^FE_ESTIMATE(FCF,MEAN,ANNUAL_ROLL,2016,45778,,,'')&lt;/Q&gt;&lt;R&gt;1&lt;/R&gt;&lt;C&gt;1&lt;/C&gt;&lt;D xsi:type="xsd:double"&gt;24212.758&lt;/D&gt;&lt;/FQL&gt;&lt;FQL&gt;&lt;Q&gt;Ticker0024^FE_ESTIMATE(FCF,MEAN,QUARTERLY_ROLL,2016/4F,45778,,,'')&lt;/Q&gt;&lt;R&gt;1&lt;/R&gt;&lt;C&gt;1&lt;/C&gt;&lt;D xsi:type="xsd:double"&gt;5742&lt;/D&gt;&lt;/FQL&gt;&lt;FQL&gt;&lt;Q&gt;Ticker0024^FE_ESTIMATE(FCF,MEAN,QUARTERLY_ROLL,2016/3F,45778,,,'')&lt;/Q&gt;&lt;R&gt;1&lt;/R&gt;&lt;C&gt;1&lt;/C&gt;&lt;D xsi:type="xsd:double"&gt;6915.5625&lt;/D&gt;&lt;/FQL&gt;&lt;FQL&gt;&lt;Q&gt;Ticker0024^FE_ESTIMATE(FCF,MEAN,QUARTERLY_ROLL,2016/2F,45778,,,'')&lt;/Q&gt;&lt;R&gt;1&lt;/R&gt;&lt;C&gt;1&lt;/C&gt;&lt;D xsi:type="xsd:double"&gt;3510.5&lt;/D&gt;&lt;/FQL&gt;&lt;FQL&gt;&lt;Q&gt;Ticker0024^FE_ESTIMATE(FCF,MEAN,QUARTERLY_ROLL,2016/1F,45778,,,'')&lt;/Q&gt;&lt;R&gt;1&lt;/R&gt;&lt;C&gt;1&lt;/C&gt;&lt;D xsi:type="xsd:double"&gt;7124&lt;/D&gt;&lt;/FQL&gt;&lt;FQL&gt;&lt;Q&gt;Ticker0024^FE_ESTIMATE(FCF,MEAN,ANNUAL_ROLL,2015,45778,,,'')&lt;/Q&gt;&lt;R&gt;1&lt;/R&gt;&lt;C&gt;1&lt;/C&gt;&lt;D xsi:type="xsd:double"&gt;22531.357&lt;/D&gt;&lt;/FQL&gt;&lt;FQL&gt;&lt;Q&gt;Ticker0024^FE_ESTIMATE(FCF,MEAN,QUARTERLY_ROLL,2015/4F,45778,,,'')&lt;/Q&gt;&lt;R&gt;1&lt;/R&gt;&lt;C&gt;1&lt;/C&gt;&lt;D xsi:type="xsd:double"&gt;4565.622&lt;/D&gt;&lt;/FQL&gt;&lt;FQL&gt;&lt;Q&gt;Ticker0024^FE_ESTIMATE(FCF,MEAN,QUARTERLY_ROLL,2015/3F,45778,,,'')&lt;/Q&gt;&lt;R&gt;1&lt;/R&gt;&lt;C&gt;1&lt;/C&gt;&lt;D xsi:type="xsd:double"&gt;8155.857&lt;/D&gt;&lt;/FQL&gt;&lt;FQL&gt;&lt;Q&gt;Ticker0024^FE_ESTIMATE(FCF,MEAN,QUARTERLY_ROLL,2015/2F,45778,,,'')&lt;/Q&gt;&lt;R&gt;1&lt;/R&gt;&lt;C&gt;1&lt;/C&gt;&lt;D xsi:type="xsd:double"&gt;2850&lt;/D&gt;&lt;/FQL&gt;&lt;FQL&gt;&lt;Q&gt;Ticker0024^FE_ESTIMATE(FCF,MEAN,QUARTERLY_ROLL,2015/1F,45778,,,'')&lt;/Q&gt;&lt;R&gt;1&lt;/R&gt;&lt;C&gt;1&lt;/C&gt;&lt;D xsi:type="xsd:double"&gt;6849.033&lt;/D&gt;&lt;/FQL&gt;&lt;FQL&gt;&lt;Q&gt;Ticker0024^FE_ESTIMATE(CAPEX,MEAN,ANNUAL_ROLL,2030,45778,,,'')&lt;/Q&gt;&lt;R&gt;0&lt;/R&gt;&lt;C&gt;0&lt;/C&gt;&lt;/FQL&gt;&lt;FQL&gt;&lt;Q&gt;Ticker0024^FE_ESTIMATE(CAPEX,MEAN,QUARTERLY_ROLL,2030/4F,45778,,,'')&lt;/Q&gt;&lt;R&gt;0&lt;/R&gt;&lt;C&gt;0&lt;/C&gt;&lt;/FQL&gt;&lt;FQL&gt;&lt;Q&gt;Ticker0024^FE_ESTIMATE(CAPEX,MEAN,QUARTERLY_ROLL,2030/3F,45778,,,'')&lt;/Q&gt;&lt;R&gt;0&lt;/R&gt;&lt;C&gt;0&lt;/C&gt;&lt;/FQL&gt;&lt;FQL&gt;&lt;Q&gt;Ticker0024^FE_ESTIMATE(CAPEX,MEAN,QUARTERLY_ROLL,2030/2F,45778,,,'')&lt;/Q&gt;&lt;R&gt;0&lt;/R&gt;&lt;C&gt;0&lt;/C&gt;&lt;/FQL&gt;&lt;FQL&gt;&lt;Q&gt;Ticker0024^FE_ESTIMATE(CAPEX,MEAN,QUARTERLY_ROLL,2030/1F,45778,,,'')&lt;/Q&gt;&lt;R&gt;0&lt;/R&gt;&lt;C&gt;0&lt;/C&gt;&lt;/FQL&gt;&lt;FQL&gt;&lt;Q&gt;Ticker0024^FE_ESTIMATE(CAPEX,MEAN,ANNUAL_ROLL,2029,45778,,,'')&lt;/Q&gt;&lt;R&gt;0&lt;/R&gt;&lt;C&gt;0&lt;/C&gt;&lt;/FQL&gt;&lt;FQL&gt;&lt;Q&gt;Ticker0024^FE_ESTIMATE(CAPEX,MEAN,QUARTERLY_ROLL,2029/4F,45778,,,'')&lt;/Q&gt;&lt;R&gt;0&lt;/R&gt;&lt;C&gt;0&lt;/C&gt;&lt;/FQL&gt;&lt;FQL&gt;&lt;Q&gt;Ticker0024^FE_ESTIMATE(CAPEX,MEAN,QUARTERLY_ROLL,2029/3F,45778,,,'')&lt;/Q&gt;&lt;R&gt;0&lt;/R&gt;&lt;C&gt;0&lt;/C&gt;&lt;/FQL&gt;&lt;FQL&gt;&lt;Q&gt;Ticker0024^FE_ESTIMATE(CAPEX,MEAN,QUARTERLY_ROLL,2029/2F,45778,,,'')&lt;/Q&gt;&lt;R&gt;0&lt;/R&gt;&lt;C&gt;0&lt;/C&gt;&lt;/FQL&gt;&lt;FQL&gt;&lt;Q&gt;Ticker0024^FE_ESTIMATE(CAPEX,MEAN,QUARTERLY_ROLL,2029/1F,45778,,,'')&lt;/Q&gt;&lt;R&gt;0&lt;/R&gt;&lt;C&gt;0&lt;/C&gt;&lt;/FQL&gt;&lt;FQL&gt;&lt;Q&gt;Ticker0024^FE_ESTIMATE(CAPEX,MEAN,ANNUAL_ROLL,2028,45778,,,'')&lt;/Q&gt;&lt;R&gt;1&lt;/R&gt;&lt;C&gt;1&lt;/C&gt;&lt;D xsi:type="xsd:double"&gt;75907.09&lt;/D&gt;&lt;/FQL&gt;&lt;FQL&gt;&lt;Q&gt;Ticker0024^FE_ESTIMATE(CAPEX,MEAN,QUARTERLY_ROLL,2028/4F,45778,,,'')&lt;/Q&gt;&lt;R&gt;0&lt;/R&gt;&lt;C&gt;0&lt;/C&gt;&lt;/FQL&gt;&lt;FQL&gt;&lt;Q&gt;Ticker0024^FE_ESTIMATE(CAPEX,MEAN,QUARTERLY_ROLL,2028/3F,45778,,,'')&lt;/Q&gt;&lt;R&gt;0&lt;/R&gt;&lt;C&gt;0&lt;/C&gt;&lt;/FQL&gt;&lt;FQL&gt;&lt;Q&gt;Ticker0024^FE_ESTIMATE(CAPEX,MEAN,QUARTERLY_ROLL,2028/2F,45778,,,'')&lt;/Q&gt;&lt;R&gt;0&lt;/R&gt;&lt;C&gt;0&lt;/C&gt;&lt;/FQL&gt;&lt;FQL&gt;&lt;Q&gt;Ticker0024^FE_ESTIMATE(CAPEX,MEAN,QUARTERLY_ROLL,2028/1F,45778,,,'')&lt;/Q&gt;&lt;R&gt;0&lt;/R&gt;&lt;C&gt;0&lt;/C&gt;&lt;/FQL&gt;&lt;FQL&gt;&lt;Q&gt;Ticker0024^FE_ESTIMATE(CAPEX,MEAN,ANNUAL_ROLL,2027,45778,,,'')&lt;/Q&gt;&lt;R&gt;1&lt;/R&gt;&lt;C&gt;1&lt;/C&gt;&lt;D xsi:type="xsd:double"&gt;78860.445&lt;/D&gt;&lt;/FQL&gt;&lt;FQL&gt;&lt;Q&gt;Ticker0024^FE_ESTIMATE(CAPEX,MEAN,QUARTERLY_ROLL,2027/4F,45778,,,'')&lt;/Q&gt;&lt;R&gt;1&lt;/R&gt;&lt;C&gt;1&lt;/C&gt;&lt;D xsi:type="xsd:double"&gt;23796.844&lt;/D&gt;&lt;/FQL&gt;&lt;FQL&gt;&lt;Q&gt;Ticker0024^FE_ESTIMATE(CAPEX,MEAN,QUARTERLY_ROLL,2027/3F,45778,,,'')&lt;/Q&gt;&lt;R&gt;1&lt;/R&gt;&lt;C&gt;1&lt;/C&gt;&lt;D xsi:type="xsd:double"&gt;21676.389&lt;/D&gt;&lt;/FQL&gt;&lt;FQL&gt;&lt;Q&gt;Ticker0024^FE_ESTIMATE(CAPEX,MEAN,QUARTERLY_ROLL,2027/2F,45778,,,'')&lt;/Q&gt;&lt;R&gt;1&lt;/R&gt;&lt;C&gt;1&lt;/C&gt;&lt;D xsi:type="xsd:double"&gt;20446.566&lt;/D&gt;&lt;/FQL&gt;&lt;FQL&gt;&lt;Q&gt;Ticker0024^FE_ESTIMATE(CAPEX,MEAN,QUARTERLY_ROLL,2027/1F,45778,,,'')&lt;/Q&gt;&lt;R&gt;1&lt;/R&gt;&lt;C&gt;1&lt;/C&gt;&lt;D xsi:type="xsd:double"&gt;19351.209&lt;/D&gt;&lt;/FQL&gt;&lt;FQL&gt;&lt;Q&gt;Ticker0024^FE_ESTIMATE(CAPEX,MEAN,ANNUAL_ROLL,2026,45778,,,'')&lt;/Q&gt;&lt;R&gt;1&lt;/R&gt;&lt;C&gt;1&lt;/C&gt;&lt;D xsi:type="xsd:double"&gt;72259.65&lt;/D&gt;&lt;/FQL&gt;&lt;FQL&gt;&lt;Q&gt;Ticker0024^FE_ESTIMATE(CAPEX,MEAN,QUARTERLY_ROLL,2026/4F,45778,,,'')&lt;/Q&gt;&lt;R&gt;1&lt;/R&gt;&lt;C&gt;1&lt;/C&gt;&lt;D xsi:type="xsd:double"&gt;20381.297&lt;/D&gt;&lt;/FQL&gt;&lt;FQL&gt;&lt;Q&gt;Ticker0024^FE_ESTIMATE(CAPEX,MEAN,QUARTERLY_ROLL,2026/3F,45778,,,'')&lt;/Q&gt;&lt;R&gt;1&lt;/R&gt;&lt;C&gt;1&lt;/C&gt;&lt;D xsi:type="xsd:double"&gt;19008.945&lt;/D&gt;&lt;/FQL&gt;&lt;FQL&gt;&lt;Q&gt;Ticker0024^FE_ESTIMATE(CAPEX,MEAN,QUARTERLY_ROLL,2026/2F,45778,,,'')&lt;/Q&gt;&lt;R&gt;1&lt;/R&gt;&lt;C&gt;1&lt;/C&gt;&lt;D xsi:type="xsd:double"&gt;18283.168&lt;/D&gt;&lt;/FQL&gt;&lt;FQL&gt;&lt;Q&gt;Ticker0024^FE_ESTIMATE(CAPEX,MEAN,QUARTERLY_ROLL,2026/1F,45778,,,'')&lt;/Q&gt;&lt;R&gt;1&lt;/R&gt;&lt;C&gt;1&lt;/C&gt;&lt;D xsi:type="xsd:double"&gt;17382.37&lt;/D&gt;&lt;/FQL&gt;&lt;FQL&gt;&lt;Q&gt;Ticker0024^FE_ESTIMATE(CAPEX,MEAN,ANNUAL_ROLL,2025,45778,,,'')&lt;/Q&gt;&lt;R&gt;1&lt;/R&gt;&lt;C&gt;1&lt;/C&gt;&lt;D xsi:type="xsd:double"&gt;66160.69&lt;/D&gt;&lt;/FQL&gt;&lt;FQL&gt;&lt;Q&gt;Ticker0024^FE_ESTIMATE(CAPEX,MEAN,QUARTERLY_ROLL,2025/4F,45778,,,'')&lt;/Q&gt;&lt;R&gt;1&lt;/R&gt;&lt;C&gt;1&lt;/C&gt;&lt;D xsi:type="xsd:double"&gt;17567.434&lt;/D&gt;&lt;/FQL&gt;&lt;FQL&gt;&lt;Q&gt;Ticker0024^FE_ESTIMATE(CAPEX,MEAN,QUARTERLY_ROLL,2025/3F,45778,,,'')&lt;/Q&gt;&lt;R&gt;1&lt;/R&gt;&lt;C&gt;1&lt;/C&gt;&lt;D xsi:type="xsd:double"&gt;16726.143&lt;/D&gt;&lt;/FQL&gt;&lt;FQL&gt;&lt;Q&gt;Ticker0024^FE_ESTIMATE(CAPEX,MEAN,QUARTERLY_ROLL,2025/2F,45778,,,'')&lt;/Q&gt;&lt;R&gt;1&lt;/R&gt;&lt;C&gt;1&lt;/C&gt;&lt;D xsi:type="xsd:double"&gt;15788.9375&lt;/D&gt;&lt;/FQL&gt;&lt;FQL&gt;&lt;Q&gt;Ticker0024^FE_ESTIMATE(CAPEX,MEAN,QUARTERLY_ROLL,2025/1F,45778,,,'')&lt;/Q&gt;&lt;R&gt;1&lt;/R&gt;&lt;C&gt;1&lt;/C&gt;&lt;D xsi:type="xsd:double"&gt;14922.786&lt;/D&gt;&lt;/FQL&gt;&lt;FQL&gt;&lt;Q&gt;Ticker0024^FE_ESTIMATE(CAPEX,MEAN,ANNUAL_ROLL,2024,45778,,,'')&lt;/Q&gt;&lt;R&gt;1&lt;/R&gt;&lt;C&gt;1&lt;/C&gt;&lt;D xsi:type="xsd:double"&gt;44477.12&lt;/D&gt;&lt;/FQL&gt;&lt;FQL&gt;&lt;Q&gt;Ticker0024^FE_ESTIMATE(CAPEX,MEAN,QUARTERLY_ROLL,2024/4F,45778,,,'')&lt;/Q&gt;&lt;R&gt;1&lt;/R&gt;&lt;C&gt;1&lt;/C&gt;&lt;D xsi:type="xsd:double"&gt;13874.714&lt;/D&gt;&lt;/FQL&gt;&lt;FQL&gt;&lt;Q&gt;Ticker0024^FE_ESTIMATE(CAPEX,MEAN,QUARTERLY_ROLL,2024/3F,45778,,,'')&lt;/Q&gt;&lt;R&gt;1&lt;/R&gt;&lt;C&gt;1&lt;/C&gt;&lt;D xsi:type="xsd:double"&gt;10951.875&lt;/D&gt;&lt;/FQL&gt;&lt;FQL&gt;&lt;Q&gt;Ticker0024^FE_ESTIMATE(CAPEX,MEAN,QUARTERLY_ROLL,2024/2F,45778,,,'')&lt;/Q&gt;&lt;R&gt;1&lt;/R&gt;&lt;C&gt;1&lt;/C&gt;&lt;D xsi:type="xsd:double"&gt;10013.947&lt;/D&gt;&lt;/FQL&gt;&lt;FQL&gt;&lt;Q&gt;Ticker0024^FE_ESTIMATE(CAPEX,MEAN,QUARTERLY_ROLL,2024/1F,45778,,,'')&lt;/Q&gt;&lt;R&gt;1&lt;/R&gt;&lt;C&gt;1&lt;/C&gt;&lt;D xsi:type="xsd:double"&gt;10002.733&lt;/D&gt;&lt;/FQL&gt;&lt;FQL&gt;&lt;Q&gt;Ticker0024^FE_ESTIMATE(CAPEX,MEAN,ANNUAL_ROLL,2023,45778,,,'')&lt;/Q&gt;&lt;R&gt;1&lt;/R&gt;&lt;C&gt;1&lt;/C&gt;&lt;D xsi:type="xsd:double"&gt;28107.125&lt;/D&gt;&lt;/FQL&gt;&lt;FQL&gt;&lt;Q&gt;Ticker0024^FE_ESTIMATE(CAPEX,MEAN,QUARTERLY_ROLL,2023/4F,45778,,,'')&lt;/Q&gt;&lt;R&gt;1&lt;/R&gt;&lt;C&gt;1&lt;/C&gt;&lt;D xsi:type="xsd:double"&gt;8942.77&lt;/D&gt;&lt;/FQL&gt;&lt;FQL&gt;&lt;Q&gt;Ticker0024^FE_ESTIMATE(CAPEX,MEAN,QUARTERLY_ROLL,2023/3F,45778,,,'')&lt;/Q&gt;&lt;R&gt;1&lt;/R&gt;&lt;C&gt;1&lt;/C&gt;&lt;D xsi:type="xsd:double"&gt;6607.25&lt;/D&gt;&lt;/FQL&gt;&lt;FQL&gt;&lt;Q&gt;Ticker0024^FE_ESTIMATE(CAPEX,MEAN,QUARTERLY_ROLL,2023/2F,45778,,,'')&lt;/Q&gt;&lt;R&gt;1&lt;/R&gt;&lt;C&gt;1&lt;/C&gt;&lt;D xsi:type="xsd:double"&gt;6273.636&lt;/D&gt;&lt;/FQL&gt;&lt;FQL&gt;&lt;Q&gt;Ticker0024^FE_ESTIMATE(CAPEX,MEAN,QUARTERLY_ROLL,2023/1F,45778,,,'')&lt;/Q&gt;&lt;R&gt;1&lt;/R&gt;&lt;C&gt;1&lt;/C&gt;&lt;D xsi:type="xsd:double"&gt;6283&lt;/D&gt;&lt;/FQL&gt;&lt;FQL&gt;&lt;Q&gt;Ticker0024^FE_ESTIMATE(CAPEX,MEAN,ANNUAL_ROLL,2022,45778,,,'')&lt;/Q&gt;&lt;R&gt;1&lt;/R&gt;&lt;C&gt;1&lt;/C&gt;&lt;D xsi:type="xsd:double"&gt;24090.385&lt;/D&gt;&lt;/FQL&gt;&lt;FQL&gt;&lt;Q&gt;Ticker0024^FE_ESTIMATE(CAPEX,MEAN,QUARTERLY_ROLL,2022/4F,45778,,,'')&lt;/Q&gt;&lt;R&gt;1&lt;/R&gt;&lt;C&gt;1&lt;/C&gt;&lt;D xsi:type="xsd:double"&gt;7023.4165&lt;/D&gt;&lt;/FQL&gt;&lt;FQL&gt;&lt;Q&gt;Ticker0024^FE_ESTIMATE(CAPEX,MEAN,QUARTERLY_ROLL,2022/3F,45778,,,'')&lt;/Q&gt;&lt;R&gt;1&lt;/R&gt;&lt;C&gt;1&lt;/C&gt;&lt;D xsi:type="xsd:double"&gt;5436&lt;/D&gt;&lt;/FQL&gt;&lt;FQL&gt;&lt;Q&gt;Ticker0024^FE_ESTIMATE(CAPEX,MEAN,QUARTERLY_ROLL,2022/2F,45778,,,'')&lt;/Q&gt;&lt;R&gt;1&lt;/R&gt;&lt;C&gt;1&lt;/C&gt;&lt;D xsi:type="xsd:double"&gt;5958.5&lt;/D&gt;&lt;/FQL&gt;&lt;FQL&gt;&lt;Q&gt;Ticker0024^FE_ESTIMATE(CAPEX,MEAN,QUARTERLY_ROLL,2022/1F,45778,,,'')&lt;/Q&gt;&lt;R&gt;1&lt;/R&gt;&lt;C&gt;1&lt;/C&gt;&lt;D xsi:type="xsd:double"&gt;5954.5454&lt;/D&gt;&lt;/FQL&gt;&lt;FQL&gt;&lt;Q&gt;Ticker0024^FE_ESTIMATE(CAPEX,MEAN,ANNUAL_ROLL,2021,45778,,,'')&lt;/Q&gt;&lt;R&gt;1&lt;/R&gt;&lt;C&gt;1&lt;/C&gt;&lt;D xsi:type="xsd:double"&gt;20901.076&lt;/D&gt;&lt;/FQL&gt;&lt;FQL&gt;&lt;Q&gt;Ticker0024^FE_ESTIMATE(CAPEX,MEAN,QUARTERLY_ROLL,2021/4F,45778,,,'')&lt;/Q&gt;&lt;R&gt;1&lt;/R&gt;&lt;C&gt;1&lt;/C&gt;&lt;D xsi:type="xsd:double"&gt;6558&lt;/D&gt;&lt;/FQL&gt;&lt;FQL&gt;&lt;Q&gt;Ticker0024^FE_ESTIMATE(CAPEX,MEAN,QUARTERLY_ROLL,2021/3F,45778,,,'')&lt;/Q&gt;&lt;R&gt;1&lt;/R&gt;&lt;C&gt;1&lt;/C&gt;&lt;D xsi:type="xsd:double"&gt;5190.222&lt;/D&gt;&lt;/FQL&gt;&lt;FQL&gt;&lt;Q&gt;Ticker0024^FE_ESTIMATE(CAPEX,MEAN,QUARTERLY_ROLL,2021/2F,45778,,,'')&lt;/Q&gt;&lt;R&gt;1&lt;/R&gt;&lt;C&gt;1&lt;/C&gt;&lt;D xsi:type="xsd:double"&gt;4310.222&lt;/D&gt;&lt;/FQL&gt;&lt;FQL&gt;&lt;Q&gt;Ticker0024^FE_ESTIMATE(CAPEX,MEAN,QUARTERLY_ROLL,2021/1F,45778,,,'')&lt;/Q&gt;&lt;R&gt;1&lt;/R&gt;&lt;C&gt;1&lt;/C&gt;&lt;D xsi:type="xsd:double"&gt;4951.2&lt;/D&gt;&lt;/FQL&gt;&lt;FQL&gt;&lt;Q&gt;Ticker0024^FE_ESTIMATE(CAPEX,MEAN,ANNUAL_ROLL,2020,45778,,,'')&lt;/Q&gt;&lt;R&gt;1&lt;/R&gt;&lt;C&gt;1&lt;/C&gt;&lt;D xsi:type="xsd:double"&gt;15737.583&lt;/D&gt;&lt;/FQL&gt;&lt;FQL&gt;&lt;Q&gt;Ticker0024^FE_ESTIMATE(CAPEX,MEAN,QUARTERLY_ROLL,2020/4F,45778,,,'')&lt;/Q&gt;&lt;R&gt;1&lt;/R&gt;&lt;C&gt;1&lt;/C&gt;&lt;D xsi:type="xsd:double"&gt;4876&lt;/D&gt;&lt;/FQL&gt;&lt;FQL&gt;&lt;Q&gt;Ticker0024^FE_ESTIMATE(CAPEX,MEAN,QUARTERLY_ROLL,2020/3F,45778,,,'')&lt;/Q&gt;&lt;R&gt;1&lt;/R&gt;&lt;C&gt;1&lt;/C&gt;&lt;D xsi:type="xsd:double"&gt;3781.7778&lt;/D&gt;&lt;/FQL&gt;&lt;FQL&gt;&lt;Q&gt;Ticker0024^FE_ESTIMATE(CAPEX,MEAN,QUARTERLY_ROLL,2020/2F,45778,,,'')&lt;/Q&gt;&lt;R&gt;1&lt;/R&gt;&lt;C&gt;1&lt;/C&gt;&lt;D xsi:type="xsd:double"&gt;3640.5&lt;/D&gt;&lt;/FQL&gt;&lt;FQL&gt;&lt;Q&gt;Ticker0024^FE_ESTIMATE(CAPEX,MEAN,QUARTERLY_ROLL,2020/1F,45778,,,'')&lt;/Q&gt;&lt;R&gt;1&lt;/R&gt;&lt;C&gt;1&lt;/C&gt;&lt;D xsi:type="xsd:double"&gt;3526.5&lt;/D&gt;&lt;/FQL&gt;&lt;FQL&gt;&lt;Q&gt;Ticker0024^FE_ESTIMATE(CAPEX,MEAN,ANNUAL_ROLL,2019,45778,,,'')&lt;/Q&gt;&lt;R&gt;1&lt;/R&gt;&lt;C&gt;1&lt;/C&gt;&lt;D xsi:type="xsd:double"&gt;14123.333&lt;/D&gt;&lt;/FQL&gt;&lt;FQL&gt;&lt;Q&gt;Ticker0024^FE_ESTIMATE(CAPEX,MEAN,QUARTERLY_ROLL,2019/4F,45778,,,'')&lt;/Q&gt;&lt;R&gt;1&lt;/R&gt;&lt;C&gt;1&lt;/C&gt;&lt;D xsi:type="xsd:double"&gt;4300.8&lt;/D&gt;&lt;/FQL&gt;&lt;FQL&gt;&lt;Q&gt;Ticker0024^FE_ESTIMATE(CAPEX,MEAN,QUARTERLY_ROLL,2019/3F,45778,,,'')&lt;/Q&gt;&lt;R&gt;1&lt;/R&gt;&lt;C&gt;1&lt;/C&gt;&lt;D xsi:type="xsd:double"&gt;2648.5&lt;/D&gt;&lt;/FQL&gt;&lt;FQL&gt;&lt;Q&gt;Ticker0024^FE_ESTIMATE(CAPEX,MEAN,QUARTERLY_ROLL,2019/2F,45778,,,'')&lt;/Q&gt;&lt;R&gt;1&lt;/R&gt;&lt;C&gt;1&lt;/C&gt;&lt;D xsi:type="xsd:double"&gt;3736.6924&lt;/D&gt;&lt;/FQL&gt;&lt;FQL&gt;&lt;Q&gt;Ticker0024^FE_ESTIMATE(CAPEX,MEAN,QUARTERLY_ROLL,2019/1F,45778,,,'')&lt;/Q&gt;&lt;R&gt;1&lt;/R&gt;&lt;C&gt;1&lt;/C&gt;&lt;D xsi:type="xsd:double"&gt;3728.9092&lt;/D&gt;&lt;/FQL&gt;&lt;FQL&gt;&lt;Q&gt;Ticker0024^FE_ESTIMATE(CAPEX,MEAN,ANNUAL_ROLL,2018,45778,,,'')&lt;/Q&gt;&lt;R&gt;1&lt;/R&gt;&lt;C&gt;1&lt;/C&gt;&lt;D xsi:type="xsd:double"&gt;11958.8&lt;/D&gt;&lt;/FQL&gt;&lt;FQL&gt;&lt;Q&gt;Ticker0024^FE_ESTIMATE(CAPEX,MEAN,QUARTERLY_ROLL,2018/4F,45778,,,'')&lt;/Q&gt;&lt;R&gt;1&lt;/R&gt;&lt;C&gt;1&lt;/C&gt;&lt;D xsi:type="xsd:double"&gt;3993.3333&lt;/D&gt;&lt;/FQL&gt;&lt;FQL&gt;&lt;Q&gt;Ticker0024^FE_ESTIMATE(CAPEX,MEAN,QUARTERLY_ROLL,2018/3F,45778,,,'')&lt;/Q&gt;&lt;R&gt;1&lt;/R&gt;&lt;C&gt;1&lt;/C&gt;&lt;D xsi:type="xsd:double"&gt;2934&lt;/D&gt;&lt;/FQL&gt;&lt;FQL&gt;&lt;Q&gt;Ticker0024^FE_ESTIMATE(CAPEX,MEAN,QUARTERLY_ROLL,2018/2F,45778,,,'')&lt;/Q&gt;&lt;R&gt;1&lt;/R&gt;&lt;C&gt;1&lt;/C&gt;&lt;D xsi:type="xsd:double"&gt;2650.9092&lt;/D&gt;&lt;/FQL&gt;&lt;FQL&gt;&lt;Q&gt;Ticker0024^FE_ESTIMATE(CAPEX,MEAN,QUARTERLY_ROLL,2018/1F,45778,,,'')&lt;/Q&gt;&lt;R&gt;1&lt;/R&gt;&lt;C&gt;1&lt;/C&gt;&lt;D xsi:type="xsd:double"&gt;2132&lt;/D&gt;&lt;/FQL&gt;&lt;FQL&gt;&lt;Q&gt;Ticker0024^FE_ESTIMATE(CAPEX,MEAN,ANNUAL_ROLL,2017,45778,,,'')&lt;/Q&gt;&lt;R&gt;1&lt;/R&gt;&lt;C&gt;1&lt;/C&gt;&lt;D xsi:type="xsd:double"&gt;8129&lt;/D&gt;&lt;/FQL&gt;&lt;FQL&gt;&lt;Q&gt;Ticker0024^FE_ESTIMATE(CAPEX,MEAN,QUARTERLY_ROLL,2017/4F,45778,,,'')&lt;/Q&gt;&lt;R&gt;1&lt;/R&gt;&lt;C&gt;1&lt;/C&gt;&lt;D xsi:type="xsd:double"&gt;2283&lt;/D&gt;&lt;/FQL&gt;&lt;FQL&gt;&lt;Q&gt;Ticker0024^FE_ESTIMATE(CAPEX,MEAN,QUARTERLY_ROLL,2017/3F,45778,,,'')&lt;/Q&gt;&lt;R&gt;1&lt;/R&gt;&lt;C&gt;1&lt;/C&gt;&lt;D xsi:type="xsd:double"&gt;1767.909&lt;/D&gt;&lt;/FQL&gt;&lt;FQL&gt;&lt;Q&gt;Ticker0024^FE_ESTIMATE(CAPEX,MEAN,QUARTERLY_ROLL,2017/2F,45778,,,'')&lt;/Q&gt;&lt;R&gt;1&lt;/R&gt;&lt;C&gt;1&lt;/C&gt;&lt;D xsi:type="xsd:double"&gt;1988&lt;/D&gt;&lt;/FQL&gt;&lt;FQL&gt;&lt;Q&gt;Ticker0024^FE_ESTIMATE(CAPEX,MEAN,QUARTERLY_ROLL,2017/1F,45778,,,'')&lt;/Q&gt;&lt;R&gt;1&lt;/R&gt;&lt;C&gt;1&lt;/C&gt;&lt;D xsi:type="xsd:double"&gt;2163&lt;/D&gt;&lt;/FQL&gt;&lt;FQL&gt;&lt;Q&gt;Ticker0024^FE_ESTIMATE(CAPEX,MEAN,ANNUAL_ROLL,2016,45778,,,'')&lt;/Q&gt;&lt;R&gt;1&lt;/R&gt;&lt;C&gt;1&lt;/C&gt;&lt;D xsi:type="xsd:double"&gt;8343&lt;/D&gt;&lt;/FQL&gt;&lt;FQL&gt;&lt;Q&gt;Ticker0024^FE_ESTIMATE(CAPEX,MEAN,QUARTERLY_ROLL,2016/4F,45778,,,'')&lt;/Q&gt;&lt;R&gt;1&lt;/R&gt;&lt;C&gt;1&lt;/C&gt;&lt;D xsi:type="xsd:double"&gt;2655&lt;/D&gt;&lt;/FQL&gt;&lt;FQL&gt;&lt;Q&gt;Ticker0024^FE_ESTIMATE(CAPEX,MEAN,QUARTERLY_ROLL,2016/3F,45778,,,'')&lt;/Q&gt;&lt;R&gt;1&lt;/R&gt;&lt;C&gt;1&lt;/C&gt;&lt;D xsi:type="xsd:double"&gt;2308&lt;/D&gt;&lt;/FQL&gt;&lt;FQL&gt;&lt;Q&gt;Ticker0024^FE_ESTIMATE(CAPEX,MEAN,QUARTERLY_ROLL,2016/2F,45778,,,'')&lt;/Q&gt;&lt;R&gt;1&lt;/R&gt;&lt;C&gt;1&lt;/C&gt;&lt;D xsi:type="xsd:double"&gt;2024&lt;/D&gt;&lt;/FQL&gt;&lt;FQL&gt;&lt;Q&gt;Ticker0024^FE_ESTIMATE(CAPEX,MEAN,QUARTERLY_ROLL,2016/1F,45778,,,'')&lt;/Q&gt;&lt;R&gt;1&lt;/R&gt;&lt;C&gt;1&lt;/C&gt;&lt;D xsi:type="xsd:double"&gt;1356&lt;/D&gt;&lt;/FQL&gt;&lt;FQL&gt;&lt;Q&gt;Ticker0024^FE_ESTIMATE(CAPEX,MEAN,ANNUAL_ROLL,2015,45778,,,'')&lt;/Q&gt;&lt;R&gt;1&lt;/R&gt;&lt;C&gt;1&lt;/C&gt;&lt;D xsi:type="xsd:double"&gt;5944&lt;/D&gt;&lt;/FQL&gt;&lt;FQL&gt;&lt;Q&gt;Ticker0024^FE_ESTIMATE(CAPEX,MEAN,QUARTERLY_ROLL,2015/4F,45778,,,'')&lt;/Q&gt;&lt;R&gt;1&lt;/R&gt;&lt;C&gt;1&lt;/C&gt;&lt;D xsi:type="xsd:double"&gt;1781&lt;/D&gt;&lt;/FQL&gt;&lt;FQL&gt;&lt;Q&gt;Ticker0024^FE_ESTIMATE(CAPEX,MEAN,QUARTERLY_ROLL,2015/3F,45778,,,'')&lt;/Q&gt;&lt;R&gt;1&lt;/R&gt;&lt;C&gt;1&lt;/C&gt;&lt;D xsi:type="xsd:double"&gt;1391&lt;/D&gt;&lt;/FQL&gt;&lt;FQL&gt;&lt;Q&gt;Ticker0024^FE_ESTIMATE(CAPEX,MEAN,QUARTERLY_ROLL,2015/2F,45778,,,'')&lt;/Q&gt;&lt;R&gt;1&lt;/R&gt;&lt;C&gt;1&lt;/C&gt;&lt;D xsi:type="xsd:double"&gt;1490&lt;/D&gt;&lt;/FQL&gt;&lt;FQL&gt;&lt;Q&gt;Ticker0024^FE_ESTIMATE(CAPEX,MEAN,QUARTERLY_ROLL,2015/1F,45778,,,'')&lt;/Q&gt;&lt;R&gt;1&lt;/R&gt;&lt;C&gt;1&lt;/C&gt;&lt;D xsi:type="xsd:double"&gt;1282&lt;/D&gt;&lt;/FQL&gt;&lt;FQL&gt;&lt;Q&gt;Ticker0024^FE_ESTIMATE(CFO,MEAN,ANNUAL_ROLL,2030,45778,,,'')&lt;/Q&gt;&lt;R&gt;0&lt;/R&gt;&lt;C&gt;0&lt;/C&gt;&lt;/FQL&gt;&lt;FQL&gt;&lt;Q&gt;Ticker0024^FE_ESTIMATE(CFO,MEAN,QUARTERLY_ROLL,2030/4F,45778,,,'')&lt;/Q&gt;&lt;R&gt;0&lt;/R&gt;&lt;C&gt;0&lt;/C&gt;&lt;/FQL&gt;&lt;FQL&gt;&lt;Q&gt;Ticker0024^FE_ESTIMATE(CFO,MEAN,QUARTERLY_ROLL,2030/3F,45778,,,'')&lt;/Q&gt;&lt;R&gt;0&lt;/R&gt;&lt;C&gt;0&lt;/C&gt;&lt;/FQL&gt;&lt;FQL&gt;&lt;Q&gt;Ticker0024^FE_ESTIMATE(CFO,MEAN,QUARTERLY_ROLL,2030/2F,45778,,,'')&lt;/Q&gt;&lt;R&gt;0&lt;/R&gt;&lt;C&gt;0&lt;/C&gt;&lt;/FQL&gt;&lt;FQL&gt;&lt;Q&gt;Ticker0024^FE_ESTIMATE(CFO,MEAN,QUARTERLY_ROLL,2030/1F,45778,,,'')&lt;/Q&gt;&lt;R&gt;0&lt;/R&gt;&lt;C&gt;0&lt;/C&gt;&lt;/FQL&gt;&lt;FQL&gt;&lt;Q&gt;Ticker0024^FE_ESTIMATE(CFO,MEAN,ANNUAL_ROLL,2029,45778,,,'')&lt;/Q&gt;&lt;R&gt;0&lt;/R&gt;&lt;C&gt;0&lt;/C&gt;&lt;/FQL&gt;&lt;FQL&gt;&lt;Q&gt;Ticker0024^FE_ESTIMATE(CFO,MEAN,QUARTERLY_ROLL,2029/4F,45778,,,'')&lt;/Q&gt;&lt;R&gt;0&lt;/R&gt;&lt;C&gt;0&lt;/C&gt;&lt;/FQL&gt;&lt;FQL&gt;&lt;Q&gt;Ticker0024^FE_ESTIMATE(CFO,MEAN,QUARTERLY_ROLL,2029/3F,45778,,,'')&lt;/Q&gt;&lt;R&gt;0&lt;/R&gt;&lt;C&gt;0&lt;/C&gt;&lt;/FQL&gt;&lt;FQL&gt;&lt;Q&gt;Ticker0024^FE_ESTIMATE(CFO,MEAN,QUARTERLY_ROLL,2029/2F,45778,,,'')&lt;/Q&gt;&lt;R&gt;0&lt;/R&gt;&lt;C&gt;0&lt;/C&gt;&lt;/FQL&gt;&lt;FQL&gt;&lt;Q&gt;Ticker0024^FE_ESTIMATE(CFO,MEAN,QUARTERLY_ROLL,2029/1F,45778,,,'')&lt;/Q&gt;&lt;R&gt;0&lt;/R&gt;&lt;C&gt;0&lt;/C&gt;&lt;/FQL&gt;&lt;FQL&gt;&lt;Q&gt;Ticker0024^FE_ESTIMATE(CFO,MEAN,ANNUAL_ROLL,2028,45778,,,'')&lt;/Q&gt;&lt;R&gt;1&lt;/R&gt;&lt;C&gt;1&lt;/C&gt;&lt;D xsi:type="xsd:double"&gt;226816&lt;/D&gt;&lt;/FQL&gt;&lt;FQL&gt;&lt;Q&gt;Ticker0024^FE_ESTIMATE(CFO,MEAN,QUARTERLY_ROLL,2028/4F,45778,,,'')&lt;/Q&gt;&lt;R&gt;0&lt;/R&gt;&lt;C&gt;0&lt;/C&gt;&lt;/FQL&gt;&lt;FQL&gt;&lt;Q&gt;Ticker0024^FE_ESTIMATE(CFO,MEAN,QUARTERLY_ROLL,2028/3F,45778,,,'')&lt;/Q&gt;&lt;R&gt;0&lt;/R&gt;&lt;C&gt;0&lt;/C&gt;&lt;/FQL&gt;&lt;FQL&gt;&lt;Q&gt;Ticker0024^FE_ESTIMATE(CFO,MEAN,QUARTERLY_ROLL,2028/2F,45778,,,'')&lt;/Q&gt;&lt;R&gt;0&lt;/R&gt;&lt;C&gt;0&lt;/C&gt;&lt;/FQL&gt;&lt;FQL&gt;&lt;Q&gt;Ticker0024^FE_ESTIMATE(CFO,MEAN,QUARTERLY_ROLL,2028/1F,45778,,,'')&lt;/Q&gt;&lt;R&gt;0&lt;/R&gt;&lt;C&gt;0&lt;/C&gt;&lt;/FQL&gt;&lt;FQL&gt;&lt;Q&gt;Ticker0024^FE_ESTIMATE(CFO,MEAN,ANNUAL_ROLL,2027,45778,,,'')&lt;/Q&gt;&lt;R&gt;1&lt;/R&gt;&lt;C&gt;1&lt;/C&gt;&lt;D xsi:type="xsd:double"&gt;171353.66&lt;/D&gt;&lt;/FQL&gt;&lt;FQL&gt;&lt;Q&gt;Ticker0024^FE_ESTIMATE(CFO,MEAN,QUARTERLY_ROLL,2027/4F,45778,,,'')&lt;/Q&gt;&lt;R&gt;1&lt;/R&gt;&lt;C&gt;1&lt;/C&gt;&lt;D xsi:type="xsd:double"&gt;45771.75&lt;/D&gt;&lt;/FQL&gt;&lt;FQL&gt;&lt;Q&gt;Ticker0024^FE_ESTIMATE(CFO,MEAN,QUARTERLY_ROLL,2027/3F,45778,,,'')&lt;/Q&gt;&lt;R&gt;1&lt;/R&gt;&lt;C&gt;1&lt;/C&gt;&lt;D xsi:type="xsd:double"&gt;42475&lt;/D&gt;&lt;/FQL&gt;&lt;FQL&gt;&lt;Q&gt;Ticker0024^FE_ESTIMATE(CFO,MEAN,QUARTERLY_ROLL,2027/2F,45778,,,'')&lt;/Q&gt;&lt;R&gt;1&lt;/R&gt;&lt;C&gt;1&lt;/C&gt;&lt;D xsi:type="xsd:double"&gt;30217.75&lt;/D&gt;&lt;/FQL&gt;&lt;FQL&gt;&lt;Q&gt;Ticker0024^FE_ESTIMATE(CFO,MEAN,QUARTERLY_ROLL,2027/1F,45778,,,'')&lt;/Q&gt;&lt;R&gt;1&lt;/R&gt;&lt;C&gt;1&lt;/C&gt;&lt;D xsi:type="xsd:double"&gt;51648.5&lt;/D&gt;&lt;/FQL&gt;&lt;FQL&gt;&lt;Q&gt;Ticker0024^FE_ESTIMATE(CFO,MEAN,ANNUAL_ROLL,2026,45778,,,'')&lt;/Q&gt;&lt;R&gt;1&lt;/R&gt;&lt;C&gt;1&lt;/C&gt;&lt;D xsi:type="xsd:double"&gt;149665.11&lt;/D&gt;&lt;/FQL&gt;&lt;FQL&gt;&lt;Q&gt;Ticker0024^FE_ESTIMATE(CFO,MEAN,QUARTERLY_ROLL,2026/4F,45778,,,'')&lt;/Q&gt;&lt;R&gt;1&lt;/R&gt;&lt;C&gt;1&lt;/C&gt;&lt;D xsi:type="xsd:double"&gt;43211&lt;/D&gt;&lt;/FQL&gt;&lt;FQL&gt;&lt;Q&gt;Ticker0024^FE_ESTIMATE(CFO,MEAN,QUARTERLY_ROLL,2026/3F,45778,,,'')&lt;/Q&gt;&lt;R&gt;1&lt;/R&gt;&lt;C&gt;1&lt;/C&gt;&lt;D xsi:type="xsd:double"&gt;38521.332&lt;/D&gt;&lt;/FQL&gt;&lt;FQL&gt;&lt;Q&gt;Ticker0024^FE_ESTIMATE(CFO,MEAN,QUARTERLY_ROLL,2026/2F,45778,,,'')&lt;/Q&gt;&lt;R&gt;1&lt;/R&gt;&lt;C&gt;1&lt;/C&gt;&lt;D xsi:type="xsd:double"&gt;27431.273&lt;/D&gt;&lt;/FQL&gt;&lt;FQL&gt;&lt;Q&gt;Ticker0024^FE_ESTIMATE(CFO,MEAN,QUARTERLY_ROLL,2026/1F,45778,,,'')&lt;/Q&gt;&lt;R&gt;1&lt;/R&gt;&lt;C&gt;1&lt;/C&gt;&lt;D xsi:type="xsd:double"&gt;41300.816&lt;/D&gt;&lt;/FQL&gt;&lt;FQL&gt;&lt;Q&gt;Ticker0024^FE_ESTIMATE(CFO,MEAN,ANNUAL_ROLL,2025,45778,,,'')&lt;/Q&gt;&lt;R&gt;1&lt;/R&gt;&lt;C&gt;1&lt;/C&gt;&lt;D xsi:type="xsd:double"&gt;131230.2&lt;/D&gt;&lt;/FQL&gt;&lt;FQL&gt;&lt;Q&gt;Ticker0024^FE_ESTIMATE(CFO,MEAN,QUARTERLY_ROLL,2025/4F,45778,,,'')&lt;/Q&gt;&lt;R&gt;1&lt;/R&gt;&lt;C&gt;1&lt;/C&gt;&lt;D xsi:type="xsd:double"&gt;38330.316&lt;/D&gt;&lt;/FQL&gt;&lt;FQL&gt;&lt;Q&gt;Ticker0024^FE_ESTIMATE(CFO,MEAN,QUARTERLY_ROLL,2025/3F,45778,,,'')&lt;/Q&gt;&lt;R&gt;1&lt;/R&gt;&lt;C&gt;1&lt;/C&gt;&lt;D xsi:type="xsd:double"&gt;37046.69&lt;/D&gt;&lt;/FQL&gt;&lt;FQL&gt;&lt;Q&gt;Ticker0024^FE_ESTIMATE(CFO,MEAN,QUARTERLY_ROLL,2025/2F,45778,,,'')&lt;/Q&gt;&lt;R&gt;1&lt;/R&gt;&lt;C&gt;1&lt;/C&gt;&lt;D xsi:type="xsd:double"&gt;22290.938&lt;/D&gt;&lt;/FQL&gt;&lt;FQL&gt;&lt;Q&gt;Ticker0024^FE_ESTIMATE(CFO,MEAN,QUARTERLY_ROLL,2025/1F,45778,,,'')&lt;/Q&gt;&lt;R&gt;1&lt;/R&gt;&lt;C&gt;1&lt;/C&gt;&lt;D xsi:type="xsd:double"&gt;34180&lt;/D&gt;&lt;/FQL&gt;&lt;FQL&gt;&lt;Q&gt;Ticker0024^FE_ESTIMATE(CFO,MEAN,ANNUAL_ROLL,2024,45778,,,'')&lt;/Q&gt;&lt;R&gt;1&lt;/R&gt;&lt;C&gt;1&lt;/C&gt;&lt;D xsi:type="xsd:double"&gt;119091&lt;/D&gt;&lt;/FQL&gt;&lt;FQL&gt;&lt;Q&gt;Ticker0024^FE_ESTIMATE(CFO,MEAN,QUARTERLY_ROLL,2024/4F,45778,,,'')&lt;/Q&gt;&lt;R&gt;1&lt;/R&gt;&lt;C&gt;1&lt;/C&gt;&lt;D xsi:type="xsd:double"&gt;37195.355&lt;/D&gt;&lt;/FQL&gt;&lt;FQL&gt;&lt;Q&gt;Ticker0024^FE_ESTIMATE(CFO,MEAN,QUARTERLY_ROLL,2024/3F,45778,,,'')&lt;/Q&gt;&lt;R&gt;1&lt;/R&gt;&lt;C&gt;1&lt;/C&gt;&lt;D xsi:type="xsd:double"&gt;31917.176&lt;/D&gt;&lt;/FQL&gt;&lt;FQL&gt;&lt;Q&gt;Ticker0024^FE_ESTIMATE(CFO,MEAN,QUARTERLY_ROLL,2024/2F,45778,,,'')&lt;/Q&gt;&lt;R&gt;1&lt;/R&gt;&lt;C&gt;1&lt;/C&gt;&lt;D xsi:type="xsd:double"&gt;18855.445&lt;/D&gt;&lt;/FQL&gt;&lt;FQL&gt;&lt;Q&gt;Ticker0024^FE_ESTIMATE(CFO,MEAN,QUARTERLY_ROLL,2024/1F,45778,,,'')&lt;/Q&gt;&lt;R&gt;1&lt;/R&gt;&lt;C&gt;1&lt;/C&gt;&lt;D xsi:type="xsd:double"&gt;30578.588&lt;/D&gt;&lt;/FQL&gt;&lt;FQL&gt;&lt;Q&gt;Ticker0024^FE_ESTIMATE(CFO,MEAN,ANNUAL_ROLL,2023,45778,,,'')&lt;/Q&gt;&lt;R&gt;1&lt;/R&gt;&lt;C&gt;1&lt;/C&gt;&lt;D xsi:type="xsd:double"&gt;87714&lt;/D&gt;&lt;/FQL&gt;&lt;FQL&gt;&lt;Q&gt;Ticker0024^FE_ESTIMATE(CFO,MEAN,QUARTERLY_ROLL,2023/4F,45778,,,'')&lt;/Q&gt;&lt;R&gt;1&lt;/R&gt;&lt;C&gt;1&lt;/C&gt;&lt;D xsi:type="xsd:double"&gt;28504.813&lt;/D&gt;&lt;/FQL&gt;&lt;FQL&gt;&lt;Q&gt;Ticker0024^FE_ESTIMATE(CFO,MEAN,QUARTERLY_ROLL,2023/3F,45778,,,'')&lt;/Q&gt;&lt;R&gt;1&lt;/R&gt;&lt;C&gt;1&lt;/C&gt;&lt;D xsi:type="xsd:double"&gt;24325.75&lt;/D&gt;&lt;/FQL&gt;&lt;FQL&gt;&lt;Q&gt;Ticker0024^FE_ESTIMATE(CFO,MEAN,QUARTERLY_ROLL,2023/2F,45778,,,'')&lt;/Q&gt;&lt;R&gt;1&lt;/R&gt;&lt;C&gt;1&lt;/C&gt;&lt;D xsi:type="xsd:double"&gt;11172.8&lt;/D&gt;&lt;/FQL&gt;&lt;FQL&gt;&lt;Q&gt;Ticker0024^FE_ESTIMATE(CFO,MEAN,QUARTERLY_ROLL,2023/1F,45778,,,'')&lt;/Q&gt;&lt;R&gt;1&lt;/R&gt;&lt;C&gt;1&lt;/C&gt;&lt;D xsi:type="xsd:double"&gt;23330.53&lt;/D&gt;&lt;/FQL&gt;&lt;FQL&gt;&lt;Q&gt;Ticker0024^FE_ESTIMATE(CFO,MEAN,ANNUAL_ROLL,2022,45778,,,'')&lt;/Q&gt;&lt;R&gt;1&lt;/R&gt;&lt;C&gt;1&lt;/C&gt;&lt;D xsi:type="xsd:double"&gt;89044.74&lt;/D&gt;&lt;/FQL&gt;&lt;FQL&gt;&lt;Q&gt;Ticker0024^FE_ESTIMATE(CFO,MEAN,QUARTERLY_ROLL,2022/4F,45778,,,'')&lt;/Q&gt;&lt;R&gt;1&lt;/R&gt;&lt;C&gt;1&lt;/C&gt;&lt;D xsi:type="xsd:double"&gt;24629&lt;/D&gt;&lt;/FQL&gt;&lt;FQL&gt;&lt;Q&gt;Ticker0024^FE_ESTIMATE(CFO,MEAN,QUARTERLY_ROLL,2022/3F,45778,,,'')&lt;/Q&gt;&lt;R&gt;1&lt;/R&gt;&lt;C&gt;1&lt;/C&gt;&lt;D xsi:type="xsd:double"&gt;25386&lt;/D&gt;&lt;/FQL&gt;&lt;FQL&gt;&lt;Q&gt;Ticker0024^FE_ESTIMATE(CFO,MEAN,QUARTERLY_ROLL,2022/2F,45778,,,'')&lt;/Q&gt;&lt;R&gt;1&lt;/R&gt;&lt;C&gt;1&lt;/C&gt;&lt;D xsi:type="xsd:double"&gt;14480&lt;/D&gt;&lt;/FQL&gt;&lt;FQL&gt;&lt;Q&gt;Ticker0024^FE_ESTIMATE(CFO,MEAN,QUARTERLY_ROLL,2022/1F,45778,,,'')&lt;/Q&gt;&lt;R&gt;1&lt;/R&gt;&lt;C&gt;1&lt;/C&gt;&lt;D xsi:type="xsd:double"&gt;24540&lt;/D&gt;&lt;/FQL&gt;&lt;FQL&gt;&lt;Q&gt;Ticker0024^FE_ESTIMATE(CFO,MEAN,ANNUAL_ROLL,2021,45778,,,'')&lt;/Q&gt;&lt;R&gt;1&lt;/R&gt;&lt;C&gt;1&lt;/C&gt;&lt;D xsi:type="xsd:double"&gt;77615.55&lt;/D&gt;&lt;/FQL&gt;&lt;FQL&gt;&lt;Q&gt;Ticker0024^FE_ESTIMATE(CFO,MEAN,QUARTERLY_ROLL,2021/4F,45778,,,'')&lt;/Q&gt;&lt;R&gt;1&lt;/R&gt;&lt;C&gt;1&lt;/C&gt;&lt;D xsi:type="xsd:double"&gt;22710&lt;/D&gt;&lt;/FQL&gt;&lt;FQL&gt;&lt;Q&gt;Ticker0024^FE_ESTIMATE(CFO,MEAN,QUARTERLY_ROLL,2021/3F,45778,,,'')&lt;/Q&gt;&lt;R&gt;1&lt;/R&gt;&lt;C&gt;1&lt;/C&gt;&lt;D xsi:type="xsd:double"&gt;21909&lt;/D&gt;&lt;/FQL&gt;&lt;FQL&gt;&lt;Q&gt;Ticker0024^FE_ESTIMATE(CFO,MEAN,QUARTERLY_ROLL,2021/2F,45778,,,'')&lt;/Q&gt;&lt;R&gt;1&lt;/R&gt;&lt;C&gt;1&lt;/C&gt;&lt;D xsi:type="xsd:double"&gt;12516&lt;/D&gt;&lt;/FQL&gt;&lt;FQL&gt;&lt;Q&gt;Ticker0024^FE_ESTIMATE(CFO,MEAN,QUARTERLY_ROLL,2021/1F,45778,,,'')&lt;/Q&gt;&lt;R&gt;1&lt;/R&gt;&lt;C&gt;1&lt;/C&gt;&lt;D xsi:type="xsd:double"&gt;19151.9&lt;/D&gt;&lt;/FQL&gt;&lt;FQL&gt;&lt;Q&gt;Ticker0024^FE_ESTIMATE(CFO,MEAN,ANNUAL_ROLL,2020,45778,,,'')&lt;/Q&gt;&lt;R&gt;1&lt;/R&gt;&lt;C&gt;1&lt;/C&gt;&lt;D xsi:type="xsd:double"&gt;60473.91&lt;/D&gt;&lt;/FQL&gt;&lt;FQL&gt;&lt;Q&gt;Ticker0024^FE_ESTIMATE(CFO,MEAN,QUARTERLY_ROLL,2020/4F,45778,,,'')&lt;/Q&gt;&lt;R&gt;1&lt;/R&gt;&lt;C&gt;1&lt;/C&gt;&lt;D xsi:type="xsd:double"&gt;18673&lt;/D&gt;&lt;/FQL&gt;&lt;FQL&gt;&lt;Q&gt;Ticker0024^FE_ESTIMATE(CFO,MEAN,QUARTERLY_ROLL,2020/3F,45778,,,'')&lt;/Q&gt;&lt;R&gt;1&lt;/R&gt;&lt;C&gt;1&lt;/C&gt;&lt;D xsi:type="xsd:double"&gt;17507.223&lt;/D&gt;&lt;/FQL&gt;&lt;FQL&gt;&lt;Q&gt;Ticker0024^FE_ESTIMATE(CFO,MEAN,QUARTERLY_ROLL,2020/2F,45778,,,'')&lt;/Q&gt;&lt;R&gt;1&lt;/R&gt;&lt;C&gt;1&lt;/C&gt;&lt;D xsi:type="xsd:double"&gt;10680&lt;/D&gt;&lt;/FQL&gt;&lt;FQL&gt;&lt;Q&gt;Ticker0024^FE_ESTIMATE(CFO,MEAN,QUARTERLY_ROLL,2020/1F,45778,,,'')&lt;/Q&gt;&lt;R&gt;1&lt;/R&gt;&lt;C&gt;1&lt;/C&gt;&lt;D xsi:type="xsd:double"&gt;13818&lt;/D&gt;&lt;/FQL&gt;&lt;FQL&gt;&lt;Q&gt;Ticker0024^FE_ESTIMATE(CFO,MEAN,ANNUAL_ROLL,2019,45778,,,'')&lt;/Q&gt;&lt;R&gt;1&lt;/R&gt;&lt;C&gt;1&lt;/C&gt;&lt;D xsi:type="xsd:double"&gt;51866.285&lt;/D&gt;&lt;/FQL&gt;&lt;FQL&gt;&lt;Q&gt;Ticker0024^FE_ESTIMATE(CFO,MEAN,QUARTERLY_ROLL,2019/4F,45778,,,'')&lt;/Q&gt;&lt;R&gt;1&lt;/R&gt;&lt;C&gt;1&lt;/C&gt;&lt;D xsi:type="xsd:double"&gt;16108&lt;/D&gt;&lt;/FQL&gt;&lt;FQL&gt;&lt;Q&gt;Ticker0024^FE_ESTIMATE(CFO,MEAN,QUARTERLY_ROLL,2019/3F,45778,,,'')&lt;/Q&gt;&lt;R&gt;1&lt;/R&gt;&lt;C&gt;1&lt;/C&gt;&lt;D xsi:type="xsd:double"&gt;13520&lt;/D&gt;&lt;/FQL&gt;&lt;FQL&gt;&lt;Q&gt;Ticker0024^FE_ESTIMATE(CFO,MEAN,QUARTERLY_ROLL,2019/2F,45778,,,'')&lt;/Q&gt;&lt;R&gt;1&lt;/R&gt;&lt;C&gt;1&lt;/C&gt;&lt;D xsi:type="xsd:double"&gt;8854.25&lt;/D&gt;&lt;/FQL&gt;&lt;FQL&gt;&lt;Q&gt;Ticker0024^FE_ESTIMATE(CFO,MEAN,QUARTERLY_ROLL,2019/1F,45778,,,'')&lt;/Q&gt;&lt;R&gt;1&lt;/R&gt;&lt;C&gt;1&lt;/C&gt;&lt;D xsi:type="xsd:double"&gt;13284.637&lt;/D&gt;&lt;/FQL&gt;&lt;FQL&gt;&lt;Q&gt;Ticker0024^FE_ESTIMATE(CFO,MEAN,ANNUAL_ROLL,2018,45778,,,'')&lt;/Q&gt;&lt;R&gt;1&lt;/R&gt;&lt;C&gt;1&lt;/C&gt;&lt;D xsi:type="xsd:double"&gt;43558.848&lt;/D&gt;&lt;/FQL&gt;&lt;FQL&gt;&lt;Q&gt;Ticker0024^FE_ESTIMATE(CFO,MEAN,QUARTERLY_ROLL,2018/4F,45778,,,'')&lt;/Q&gt;&lt;R&gt;1&lt;/R&gt;&lt;C&gt;1&lt;/C&gt;&lt;D xsi:type="xsd:double"&gt;11606.333&lt;/D&gt;&lt;/FQL&gt;&lt;FQL&gt;&lt;Q&gt;Ticker0024^FE_ESTIMATE(CFO,MEAN,QUARTERLY_ROLL,2018/3F,45778,,,'')&lt;/Q&gt;&lt;R&gt;1&lt;/R&gt;&lt;C&gt;1&lt;/C&gt;&lt;D xsi:type="xsd:double"&gt;12151&lt;/D&gt;&lt;/FQL&gt;&lt;FQL&gt;&lt;Q&gt;Ticker0024^FE_ESTIMATE(CFO,MEAN,QUARTERLY_ROLL,2018/2F,45778,,,'')&lt;/Q&gt;&lt;R&gt;1&lt;/R&gt;&lt;C&gt;1&lt;/C&gt;&lt;D xsi:type="xsd:double"&gt;7875&lt;/D&gt;&lt;/FQL&gt;&lt;FQL&gt;&lt;Q&gt;Ticker0024^FE_ESTIMATE(CFO,MEAN,QUARTERLY_ROLL,2018/1F,45778,,,'')&lt;/Q&gt;&lt;R&gt;1&lt;/R&gt;&lt;C&gt;1&lt;/C&gt;&lt;D xsi:type="xsd:double"&gt;12440&lt;/D&gt;&lt;/FQL&gt;&lt;FQL&gt;&lt;Q&gt;Ticker0024^FE_ESTIMATE(CFO,MEAN,ANNUAL_ROLL,2017,45778,,,'')&lt;/Q&gt;&lt;R&gt;1&lt;/R&gt;&lt;C&gt;1&lt;/C&gt;&lt;D xsi:type="xsd:double"&gt;39507&lt;/D&gt;&lt;/FQL&gt;&lt;FQL&gt;&lt;Q&gt;Ticker0024^FE_ESTIMATE(CFO,MEAN,QUARTERLY_ROLL,2017/4F,45778,,,'')&lt;/Q&gt;&lt;R&gt;1&lt;/R&gt;&lt;C&gt;1&lt;/C&gt;&lt;D xsi:type="xsd:double"&gt;11005&lt;/D&gt;&lt;/FQL&gt;&lt;FQL&gt;&lt;Q&gt;Ticker0024^FE_ESTIMATE(CFO,MEAN,QUARTERLY_ROLL,2017/3F,45778,,,'')&lt;/Q&gt;&lt;R&gt;1&lt;/R&gt;&lt;C&gt;1&lt;/C&gt;&lt;D xsi:type="xsd:double"&gt;10660&lt;/D&gt;&lt;/FQL&gt;&lt;FQL&gt;&lt;Q&gt;Ticker0024^FE_ESTIMATE(CFO,MEAN,QUARTERLY_ROLL,2017/2F,45778,,,'')&lt;/Q&gt;&lt;R&gt;1&lt;/R&gt;&lt;C&gt;1&lt;/C&gt;&lt;D xsi:type="xsd:double"&gt;6293&lt;/D&gt;&lt;/FQL&gt;&lt;FQL&gt;&lt;Q&gt;Ticker0024^FE_ESTIMATE(CFO,MEAN,QUARTERLY_ROLL,2017/1F,45778,,,'')&lt;/Q&gt;&lt;R&gt;1&lt;/R&gt;&lt;C&gt;1&lt;/C&gt;&lt;D xsi:type="xsd:double"&gt;11549&lt;/D&gt;&lt;/FQL&gt;&lt;FQL&gt;&lt;Q&gt;Ticker0024^FE_ESTIMATE(CFO,MEAN,ANNUAL_ROLL,2016,45778,,,'')&lt;/Q&gt;&lt;R&gt;1&lt;/R&gt;&lt;C&gt;1&lt;/C&gt;&lt;D xsi:type="xsd:double"&gt;32872.5&lt;/D&gt;&lt;/FQL&gt;&lt;FQL&gt;&lt;Q&gt;Ticker0024^FE_ESTIMATE(CFO,MEAN,QUARTERLY_ROLL,2016/4F,45778,,,'')&lt;/Q&gt;&lt;R&gt;1&lt;/R&gt;&lt;C&gt;1&lt;/C&gt;&lt;D xsi:type="xsd:double"&gt;8464&lt;/D&gt;&lt;/FQL&gt;&lt;FQL&gt;&lt;Q&gt;Ticker0024^FE_ESTIMATE(CFO,MEAN,QUARTERLY_ROLL,2016/3F,45778,,,'')&lt;/Q&gt;&lt;R&gt;1&lt;/R&gt;&lt;C&gt;1&lt;/C&gt;&lt;D xsi:type="xsd:double"&gt;10367&lt;/D&gt;&lt;/FQL&gt;&lt;FQL&gt;&lt;Q&gt;Ticker0024^FE_ESTIMATE(CFO,MEAN,QUARTERLY_ROLL,2016/2F,45778,,,'')&lt;/Q&gt;&lt;R&gt;1&lt;/R&gt;&lt;C&gt;1&lt;/C&gt;&lt;D xsi:type="xsd:double"&gt;5598&lt;/D&gt;&lt;/FQL&gt;&lt;FQL&gt;&lt;Q&gt;Ticker0024^FE_ESTIMATE(CFO,MEAN,QUARTERLY_ROLL,2016/1F,45778,,,'')&lt;/Q&gt;&lt;R&gt;1&lt;/R&gt;&lt;C&gt;1&lt;/C&gt;&lt;D xsi:type="xsd:double"&gt;8550.5&lt;/D&gt;&lt;/FQL&gt;&lt;FQL&gt;&lt;Q&gt;Ticker0024^FE_ESTIMATE(CFO,MEAN,ANNUAL_ROLL,2015,45778,,,'')&lt;/Q&gt;&lt;R&gt;1&lt;/R&gt;&lt;C&gt;1&lt;/C&gt;&lt;D xsi:type="xsd:double"&gt;29510.059&lt;/D&gt;&lt;/FQL&gt;&lt;FQL&gt;&lt;Q&gt;Ticker0024^FE_ESTIMATE(CFO,MEAN,QUARTERLY_ROLL,2015/4F,45778,,,'')&lt;/Q&gt;&lt;R&gt;1&lt;/R&gt;&lt;C&gt;1&lt;/C&gt;&lt;D xsi:type="xsd:double"&gt;7446.231&lt;/D&gt;&lt;/FQL&gt;&lt;FQL&gt;&lt;Q&gt;Ticker0024^FE_ESTIMATE(CFO,MEAN,QUARTERLY_ROLL,2015/3F,45778,,,'')&lt;/Q&gt;&lt;R&gt;1&lt;/R&gt;&lt;C&gt;1&lt;/C&gt;&lt;D xsi:type="xsd:double"&gt;9570&lt;/D&gt;&lt;/FQL&gt;&lt;FQL&gt;&lt;Q&gt;Ticker0024^FE_ESTIMATE(CFO,MEAN,QUARTERLY_ROLL,2015/2F,45778,,,'')&lt;/Q&gt;&lt;R&gt;1&lt;/R&gt;&lt;C&gt;1&lt;/C&gt;&lt;D xsi:type="xsd:double"&gt;4340&lt;/D&gt;&lt;/FQL&gt;&lt;FQL&gt;&lt;Q&gt;Ticker0024^FE_ESTIMATE(CFO,MEAN,QUARTERLY_ROLL,2015/1F,45778,,,'')&lt;/Q&gt;&lt;R&gt;1&lt;/R&gt;&lt;C&gt;1&lt;/C&gt;&lt;D xsi:type="xsd:double"&gt;8354&lt;/D&gt;&lt;/FQL&gt;&lt;FQL&gt;&lt;Q&gt;Ticker0024^FE_ESTIMATE(EPS,MEAN,ANNUAL_ROLL,2030,45778,,,'')&lt;/Q&gt;&lt;R&gt;0&lt;/R&gt;&lt;C&gt;0&lt;/C&gt;&lt;/FQL&gt;&lt;FQL&gt;&lt;Q&gt;Ticker0024^FE_ESTIMATE(EPS,MEAN,QUARTERLY_ROLL,2030/4F,45778,,,'')&lt;/Q&gt;&lt;R&gt;0&lt;/R&gt;&lt;C&gt;0&lt;/C&gt;&lt;/FQL&gt;&lt;FQL&gt;&lt;Q&gt;Ticker0024^FE_ESTIMATE(EPS,MEAN,QUARTERLY_ROLL,2030/3F,45778,,,'')&lt;/Q&gt;&lt;R&gt;0&lt;/R&gt;&lt;C&gt;0&lt;/C&gt;&lt;/FQL&gt;&lt;FQL&gt;&lt;Q&gt;Ticker0024^FE_ESTIMATE(EPS,MEAN,QUARTERLY_ROLL,2030/2F,45778,,,'')&lt;/Q&gt;&lt;R&gt;0&lt;/R&gt;&lt;C&gt;0&lt;/C&gt;&lt;/FQL&gt;&lt;FQL&gt;&lt;Q&gt;Ticker0024^FE_ESTIMATE(EPS,MEAN,QUARTERLY_ROLL,2030/1F,45778,,,'')&lt;/Q&gt;&lt;R&gt;0&lt;/R&gt;&lt;C&gt;0&lt;/C&gt;&lt;/FQL&gt;&lt;FQL&gt;&lt;Q&gt;Ticker0024^FE_ESTIMATE(EPS,MEAN,ANNUAL_ROLL,2029,45778,,,'')&lt;/Q&gt;&lt;R&gt;1&lt;/R&gt;&lt;C&gt;1&lt;/C&gt;&lt;D xsi:type="xsd:double"&gt;24.63&lt;/D&gt;&lt;/FQL&gt;&lt;FQL&gt;&lt;Q&gt;Ticker0024^FE_ESTIMATE(EPS,MEAN,QUARTERLY_ROLL,2029/4F,45778,,,'')&lt;/Q&gt;&lt;R&gt;0&lt;/R&gt;&lt;C&gt;0&lt;/C&gt;&lt;/FQL&gt;&lt;FQL&gt;&lt;Q&gt;Ticker0024^FE_ESTIMATE(EPS,MEAN,QUARTERLY_ROLL,2029/3F,45778,,,'')&lt;/Q&gt;&lt;R&gt;0&lt;/R&gt;&lt;C&gt;0&lt;/C&gt;&lt;/FQL&gt;&lt;FQL&gt;&lt;Q&gt;Ticker0024^FE_ESTIMATE(EPS,MEAN,QUARTERLY_ROLL,2029/2F,45778,,,'')&lt;/Q&gt;&lt;R&gt;0&lt;/R&gt;&lt;C&gt;0&lt;/C&gt;&lt;/FQL&gt;&lt;FQL&gt;&lt;Q&gt;Ticker0024^FE_ESTIMATE(EPS,MEAN,QUARTERLY_ROLL,2029/1F,45778,,,'')&lt;/Q&gt;&lt;R&gt;0&lt;/R&gt;&lt;C&gt;0&lt;/C&gt;&lt;/FQL&gt;&lt;FQL&gt;&lt;Q&gt;Ticker0024^FE_ESTIMATE(EPS,MEAN,ANNUAL_ROLL,2028,45778,,,'')&lt;/Q&gt;&lt;R&gt;1&lt;/R&gt;&lt;C&gt;1&lt;/C&gt;&lt;D xsi:type="xsd:double"&gt;20.110443&lt;/D&gt;&lt;/FQL&gt;&lt;FQL&gt;&lt;Q&gt;Ticker0024^FE_ESTIMATE(EPS,MEAN,QUARTERLY_ROLL,2028/4F,45778,,,'')&lt;/Q&gt;&lt;R&gt;0&lt;/R&gt;&lt;C&gt;0&lt;/C&gt;&lt;/FQL&gt;&lt;FQL&gt;&lt;Q&gt;Ticker0024^FE_ESTIMATE(EPS,MEAN,QUARTERLY_ROLL,2028/3F,45778,,,'')&lt;/Q&gt;&lt;R&gt;0&lt;/R&gt;&lt;C&gt;0&lt;/C&gt;&lt;/FQL&gt;&lt;FQL&gt;&lt;Q&gt;Ticker0024^FE_ESTIMATE(EPS,MEAN,QUARTERLY_ROLL,2028/2F,45778,,,'')&lt;/Q&gt;&lt;R&gt;0&lt;/R&gt;&lt;C&gt;0&lt;/C&gt;&lt;/FQL&gt;&lt;FQL&gt;&lt;Q&gt;Ticker0024^FE_ESTIMATE(EPS,MEAN,QUARTERLY_ROLL,2028/1F,45778,,,'')&lt;/Q&gt;&lt;R&gt;0&lt;/R&gt;&lt;C&gt;0&lt;/C&gt;&lt;/FQL&gt;&lt;FQL&gt;&lt;Q&gt;Ticker0024^FE_ESTIMATE(EPS,MEAN,ANNUAL_ROLL,2027,45778,,,'')&lt;/Q&gt;&lt;R&gt;1&lt;/R&gt;&lt;C&gt;1&lt;/C&gt;&lt;D xsi:type="xsd:double"&gt;17.678518&lt;/D&gt;&lt;/FQL&gt;&lt;FQL&gt;&lt;Q&gt;Ticker0024^FE_ESTIMATE(EPS,MEAN,QUARTERLY_ROLL,2027/4F,45778,,,'')&lt;/Q&gt;&lt;R&gt;1&lt;/R&gt;&lt;C&gt;1&lt;/C&gt;&lt;D xsi:type="xsd:double"&gt;4.4734135&lt;/D&gt;&lt;/FQL&gt;&lt;FQL&gt;&lt;Q&gt;Ticker0024^FE_ESTIMATE(EPS,MEAN,QUARTERLY_ROLL,2027/3F,45778,,,'')&lt;/Q&gt;&lt;R&gt;1&lt;/R&gt;&lt;C&gt;1&lt;/C&gt;&lt;D xsi:type="xsd:double"&gt;4.331343&lt;/D&gt;&lt;/FQL&gt;&lt;FQL&gt;&lt;Q&gt;Ticker0024^FE_ESTIMATE(EPS,MEAN,QUARTERLY_ROLL,2027/2F,45778,,,'')&lt;/Q&gt;&lt;R&gt;1&lt;/R&gt;&lt;C&gt;1&lt;/C&gt;&lt;D xsi:type="xsd:double"&gt;4.295057&lt;/D&gt;&lt;/FQL&gt;&lt;FQL&gt;&lt;Q&gt;Ticker0024^FE_ESTIMATE(EPS,MEAN,QUARTERLY_ROLL,2027/1F,45778,,,'')&lt;/Q&gt;&lt;R&gt;1&lt;/R&gt;&lt;C&gt;1&lt;/C&gt;&lt;D xsi:type="xsd:double"&gt;4.134623&lt;/D&gt;&lt;/FQL&gt;&lt;FQL&gt;&lt;Q&gt;Ticker0024^FE_ESTIMATE(EPS,MEAN,ANNUAL_ROLL,2026,45778,,,'')&lt;/Q&gt;&lt;R&gt;1&lt;/R&gt;&lt;C&gt;1&lt;/C&gt;&lt;D xsi:type="xsd:double"&gt;14.990433&lt;/D&gt;&lt;/FQL&gt;&lt;FQL&gt;&lt;Q&gt;Ticker0024^FE_ESTIMATE(EPS,MEAN,QUARTERLY_ROLL,2026/4F,45778,,,'')&lt;/Q&gt;&lt;R&gt;1&lt;/R&gt;&lt;C&gt;1&lt;/C&gt;&lt;D xsi:type="xsd:double"&gt;3.8739643&lt;/D&gt;&lt;/FQL&gt;&lt;FQL&gt;&lt;Q&gt;Ticker0024^FE_ESTIMATE(EPS,MEAN,QUARTERLY_ROLL,2026/3F,45778,,,'')&lt;/Q&gt;&lt;R&gt;1&lt;/R&gt;&lt;C&gt;1&lt;/C&gt;&lt;D xsi:type="xsd:double"&gt;3.7521594&lt;/D&gt;&lt;/FQL&gt;&lt;FQL&gt;&lt;Q&gt;Ticker0024^FE_ESTIMATE(EPS,MEAN,QUARTERLY_ROLL,2026/2F,45778,,,'')&lt;/Q&gt;&lt;R&gt;1&lt;/R&gt;&lt;C&gt;1&lt;/C&gt;&lt;D xsi:type="xsd:double"&gt;3.7177663&lt;/D&gt;&lt;/FQL&gt;&lt;FQL&gt;&lt;Q&gt;Ticker0024^FE_ESTIMATE(EPS,MEAN,QUARTERLY_ROLL,2026/1F,45778,,,'')&lt;/Q&gt;&lt;R&gt;1&lt;/R&gt;&lt;C&gt;1&lt;/C&gt;&lt;D xsi:type="xsd:double"&gt;3.553374&lt;/D&gt;&lt;/FQL&gt;&lt;FQL&gt;&lt;Q&gt;Ticker0024^FE_ESTIMATE(EPS,MEAN,ANNUAL_ROLL,2025,45778,,,'')&lt;/Q&gt;&lt;R&gt;1&lt;/R&gt;&lt;C&gt;1&lt;/C&gt;&lt;D xsi:type="xsd:double"&gt;13.30431&lt;/D&gt;&lt;/FQL&gt;&lt;FQL&gt;&lt;Q&gt;Ticker0024^FE_ESTIMATE(EPS,MEAN,QUARTERLY_ROLL,2025/4F,45778,,,'')&lt;/Q&gt;&lt;R&gt;1&lt;/R&gt;&lt;C&gt;1&lt;/C&gt;&lt;D xsi:type="xsd:double"&gt;3.3734653&lt;/D&gt;&lt;/FQL&gt;&lt;FQL&gt;&lt;Q&gt;Ticker0024^FE_ESTIMATE(EPS,MEAN,QUARTERLY_ROLL,2025/3F,45778,,,'')&lt;/Q&gt;&lt;R&gt;1&lt;/R&gt;&lt;C&gt;1&lt;/C&gt;&lt;D xsi:type="xsd:double"&gt;3.46&lt;/D&gt;&lt;/FQL&gt;&lt;FQL&gt;&lt;Q&gt;Ticker0024^FE_ESTIMATE(EPS,MEAN,QUARTERLY_ROLL,2025/2F,45778,,,'')&lt;/Q&gt;&lt;R&gt;1&lt;/R&gt;&lt;C&gt;1&lt;/C&gt;&lt;D xsi:type="xsd:double"&gt;3.23&lt;/D&gt;&lt;/FQL&gt;&lt;FQL&gt;&lt;Q&gt;Ticker0024^FE_ESTIMATE(EPS,MEAN,QUARTERLY_ROLL,2025/1F,45778,,,'')&lt;/Q&gt;&lt;R&gt;1&lt;/R&gt;&lt;C&gt;1&lt;/C&gt;&lt;D xsi:type="xsd:double"&gt;3.3&lt;/D&gt;&lt;/FQL&gt;&lt;FQL&gt;&lt;Q&gt;Ticker0024^FE_ESTIMATE(EPS,MEAN,ANNUAL_ROLL,2024,45778,,,'')&lt;/Q&gt;&lt;R&gt;1&lt;/R&gt;&lt;C&gt;1&lt;/C&gt;&lt;D xsi:type="xsd:double"&gt;11.8&lt;/D&gt;&lt;/FQL&gt;&lt;FQL&gt;&lt;Q&gt;Ticker0024^FE_ESTIMATE(EPS,MEAN,QUARTERLY_ROLL,2024/4F,45778,,,'')&lt;/Q&gt;&lt;R&gt;1&lt;/R&gt;&lt;C&gt;1&lt;/C&gt;&lt;D xsi:type="xsd:double"&gt;2.95&lt;/D&gt;&lt;/FQL&gt;&lt;FQL&gt;&lt;Q&gt;Ticker0024^FE_ESTIMATE(EPS,MEAN,QUARTERLY_ROLL,2024/3F,45778,,,'')&lt;/Q&gt;&lt;R&gt;1&lt;/R&gt;&lt;C&gt;1&lt;/C&gt;&lt;D xsi:type="xsd:double"&gt;2.94&lt;/D&gt;&lt;/FQL&gt;&lt;FQL&gt;&lt;Q&gt;Ticker0024^FE_ESTIMATE(EPS,MEAN,QUARTERLY_ROLL,2024/2F,45778,,,'')&lt;/Q&gt;&lt;R&gt;1&lt;/R&gt;&lt;C&gt;1&lt;/C&gt;&lt;D xsi:type="xsd:double"&gt;2.93&lt;/D&gt;&lt;/FQL&gt;&lt;FQL&gt;&lt;Q&gt;Ticker0024^FE_ESTIMATE(EPS,MEAN,QUARTERLY_ROLL,2024/1F,45778,,,'')&lt;/Q&gt;&lt;R&gt;1&lt;/R&gt;&lt;C&gt;1&lt;/C&gt;&lt;D xsi:type="xsd:double"&gt;2.99&lt;/D&gt;&lt;/FQL&gt;&lt;FQL&gt;&lt;Q&gt;Ticker0024^FE_ESTIMATE(EPS,MEAN,ANNUAL_ROLL,2023,45778,,,'')&lt;/Q&gt;&lt;R&gt;1&lt;/R&gt;&lt;C&gt;1&lt;/C&gt;&lt;D xsi:type="xsd:double"&gt;9.81&lt;/D&gt;&lt;/FQL&gt;&lt;FQL&gt;&lt;Q&gt;Ticker0024^FE_ESTIMATE(EPS,MEAN,QUARTERLY_ROLL,2023/4F,45778,,,'')&lt;/Q&gt;&lt;R&gt;1&lt;/R&gt;&lt;C&gt;1&lt;/C&gt;&lt;D xsi:type="xsd:double"&gt;2.69&lt;/D&gt;&lt;/FQL&gt;&lt;FQL&gt;&lt;Q&gt;Ticker0024^FE_ESTIMATE(EPS,MEAN,QUARTERLY_ROLL,2023/3F,45778,,,'')&lt;/Q&gt;&lt;R&gt;1&lt;/R&gt;&lt;C&gt;1&lt;/C&gt;&lt;D xsi:type="xsd:double"&gt;2.45&lt;/D&gt;&lt;/FQL&gt;&lt;FQL&gt;&lt;Q&gt;Ticker0024^FE_ESTIMATE(EPS,MEAN,QUARTERLY_ROLL,2023/2F,45778,,,'')&lt;/Q&gt;&lt;R&gt;1&lt;/R&gt;&lt;C&gt;1&lt;/C&gt;&lt;D xsi:type="xsd:double"&gt;2.32&lt;/D&gt;&lt;/FQL&gt;&lt;FQL&gt;&lt;Q&gt;Ticker0024^FE_ESTIMATE(EPS,MEAN,QUARTERLY_ROLL,2023/1F,45778,,,'')&lt;/Q&gt;&lt;R&gt;1&lt;/R&gt;&lt;C&gt;1&lt;/C&gt;&lt;D xsi:type="xsd:double"&gt;2.35&lt;/D&gt;&lt;/FQL&gt;&lt;FQL&gt;&lt;Q&gt;Ticker0024^FE_ESTIMATE(EPS,MEAN,ANNUAL_ROLL,2022,45778,,,'')&lt;/Q&gt;&lt;R&gt;1&lt;/R&gt;&lt;C&gt;1&lt;/C&gt;&lt;D xsi:type="xsd:double"&gt;9.21&lt;/D&gt;&lt;/FQL&gt;&lt;FQL&gt;&lt;Q&gt;Ticker0024^FE_ESTIMATE(EPS,MEAN,QUARTERLY_ROLL,2022/4F,45778,,,'')&lt;/Q&gt;&lt;R&gt;1&lt;/R&gt;&lt;C&gt;1&lt;/C&gt;&lt;D xsi:type="xsd:double"&gt;2.23&lt;/D&gt;&lt;/FQL&gt;&lt;FQL&gt;&lt;Q&gt;Ticker0024^FE_ESTIMATE(EPS,MEAN,QUARTERLY_ROLL,2022/3F,45778,,,'')&lt;/Q&gt;&lt;R&gt;1&lt;/R&gt;&lt;C&gt;1&lt;/C&gt;&lt;D xsi:type="xsd:double"&gt;2.22&lt;/D&gt;&lt;/FQL&gt;&lt;FQL&gt;&lt;Q&gt;Ticker0024^FE_ESTIMATE(EPS,MEAN,QUARTERLY_ROLL,2022/2F,45778,,,'')&lt;/Q&gt;&lt;R&gt;1&lt;/R&gt;&lt;C&gt;1&lt;/C&gt;&lt;D xsi:type="xsd:double"&gt;2.48&lt;/D&gt;&lt;/FQL&gt;&lt;FQL&gt;&lt;Q&gt;Ticker0024^FE_ESTIMATE(EPS,MEAN,QUARTERLY_ROLL,2022/1F,45778,,,'')&lt;/Q&gt;&lt;R&gt;1&lt;/R&gt;&lt;C&gt;1&lt;/C&gt;&lt;D xsi:type="xsd:double"&gt;2.27&lt;/D&gt;&lt;/FQL&gt;&lt;FQL&gt;&lt;Q&gt;Ticker0024^FE_ESTIMATE(EPS,MEAN,ANNUAL_ROLL,2021,45778,,,'')&lt;/Q&gt;&lt;R&gt;1&lt;/R&gt;&lt;C&gt;1&lt;/C&gt;&lt;D xsi:type="xsd:double"&gt;7.97&lt;/D&gt;&lt;/FQL&gt;&lt;FQL&gt;&lt;Q&gt;Ticker0024^FE_ESTIMATE(EPS,MEAN,QUARTERLY_ROLL,2021/4F,45778,,,'')&lt;/Q&gt;&lt;R&gt;1&lt;/R&gt;&lt;C&gt;1&lt;/C&gt;&lt;D xsi:type="xsd:double"&gt;2.17&lt;/D&gt;&lt;/FQL&gt;&lt;FQL&gt;&lt;Q&gt;Ticker0024^FE_ESTIMATE(EPS,MEAN,QUARTERLY_ROLL,2021/3F,45778,,,'')&lt;/Q&gt;&lt;R&gt;1&lt;/R&gt;&lt;C&gt;1&lt;/C&gt;&lt;D xsi:type="xsd:double"&gt;1.95&lt;/D&gt;&lt;/FQL&gt;&lt;FQL&gt;&lt;Q&gt;Ticker0024^FE_ESTIMATE(EPS,MEAN,QUARTERLY_ROLL,2021/2F,45778,,,'')&lt;/Q&gt;&lt;R&gt;1&lt;/R&gt;&lt;C&gt;1&lt;/C&gt;&lt;D xsi:type="xsd:double"&gt;2.03&lt;/D&gt;&lt;/FQL&gt;&lt;FQL&gt;&lt;Q&gt;Ticker0024^FE_ESTIMATE(EPS,MEAN,QUARTERLY_ROLL,2021/1F,45778,,,'')&lt;/Q&gt;&lt;R&gt;1&lt;/R&gt;&lt;C&gt;1&lt;/C&gt;&lt;D xsi:type="xsd:double"&gt;1.82&lt;/D&gt;&lt;/FQL&gt;&lt;FQL&gt;&lt;Q&gt;Ticker0024^FE_ESTIMATE(EPS,MEAN,ANNUAL_ROLL,2020,45778,,,'')&lt;/Q&gt;&lt;R&gt;1&lt;/R&gt;&lt;C&gt;1&lt;/C&gt;&lt;D xsi:type="xsd:double"&gt;5.76&lt;/D&gt;&lt;/FQL&gt;&lt;FQL&gt;&lt;Q&gt;Ticker0024^FE_ESTIMATE(EPS,MEAN,QUARTERLY_ROLL,2020/4F,45778,,,'')&lt;/Q&gt;&lt;R&gt;1&lt;/R&gt;&lt;C&gt;1&lt;/C&gt;&lt;D xsi:type="xsd:double"&gt;1.46&lt;/D&gt;&lt;/FQL&gt;&lt;FQL&gt;&lt;Q&gt;Ticker0024^FE_ESTIMATE(EPS,MEAN,QUARTERLY_ROLL,2020/3F,45778,,,'')&lt;/Q&gt;&lt;R&gt;1&lt;/R&gt;&lt;C&gt;1&lt;/C&gt;&lt;D xsi:type="xsd:double"&gt;1.4&lt;/D&gt;&lt;/FQL&gt;&lt;FQL&gt;&lt;Q&gt;Ticker0024^FE_ESTIMATE(EPS,MEAN,QUARTERLY_ROLL,2020/2F,45778,,,'')&lt;/Q&gt;&lt;R&gt;1&lt;/R&gt;&lt;C&gt;1&lt;/C&gt;&lt;D xsi:type="xsd:double"&gt;1.51&lt;/D&gt;&lt;/FQL&gt;&lt;FQL&gt;&lt;Q&gt;Ticker0024^FE_ESTIMATE(EPS,MEAN,QUARTERLY_ROLL,2020/1F,45778,,,'')&lt;/Q&gt;&lt;R&gt;1&lt;/R&gt;&lt;C&gt;1&lt;/C&gt;&lt;D xsi:type="xsd:double"&gt;1.38&lt;/D&gt;&lt;/FQL&gt;&lt;FQL&gt;&lt;Q&gt;Ticker0024^FE_ESTIMATE(EPS,MEAN,ANNUAL_ROLL,2019,45778,,,'')&lt;/Q&gt;&lt;R&gt;1&lt;/R&gt;&lt;C&gt;1&lt;/C&gt;&lt;D xsi:type="xsd:double"&gt;4.75&lt;/D&gt;&lt;/FQL&gt;&lt;FQL&gt;&lt;Q&gt;Ticker0024^FE_ESTIMATE(EPS,MEAN,QUARTERLY_ROLL,2019/4F,45778,,,'')&lt;/Q&gt;&lt;R&gt;1&lt;/R&gt;&lt;C&gt;1&lt;/C&gt;&lt;D xsi:type="xsd:double"&gt;1.37&lt;/D&gt;&lt;/FQL&gt;&lt;FQL&gt;&lt;Q&gt;Ticker0024^FE_ESTIMATE(EPS,MEAN,QUARTERLY_ROLL,2019/3F,45778,,,'')&lt;/Q&gt;&lt;R&gt;1&lt;/R&gt;&lt;C&gt;1&lt;/C&gt;&lt;D xsi:type="xsd:double"&gt;1.14&lt;/D&gt;&lt;/FQL&gt;&lt;FQL&gt;&lt;Q&gt;Ticker0024^FE_ESTIMATE(EPS,MEAN,QUARTERLY_ROLL,2019/2F,45778,,,'')&lt;/Q&gt;&lt;R&gt;1&lt;/R&gt;&lt;C&gt;1&lt;/C&gt;&lt;D xsi:type="xsd:double"&gt;1.1&lt;/D&gt;&lt;/FQL&gt;&lt;FQL&gt;&lt;Q&gt;Ticker0024^FE_ESTIMATE(EPS,MEAN,QUARTERLY_ROLL,2019/1F,45778,,,'')&lt;/Q&gt;&lt;R&gt;1&lt;/R&gt;&lt;C&gt;1&lt;/C&gt;&lt;D xsi:type="xsd:double"&gt;1.14&lt;/D&gt;&lt;/FQL&gt;&lt;FQL&gt;&lt;Q&gt;Ticker0024^FE_ESTIMATE(EPS,MEAN,ANNUAL_ROLL,2018,45778,,,'')&lt;/Q&gt;&lt;R&gt;1&lt;/R&gt;&lt;C&gt;1&lt;/C&gt;&lt;D xsi:type="xsd:double"&gt;3.88&lt;/D&gt;&lt;/FQL&gt;&lt;FQL&gt;&lt;Q&gt;Ticker0024^FE_ESTIMATE(EPS,MEAN,QUARTERLY_ROLL,2018/4F,45778,,,'')&lt;/Q&gt;&lt;R&gt;1&lt;/R&gt;&lt;C&gt;1&lt;/C&gt;&lt;D xsi:type="xsd:double"&gt;1.13&lt;/D&gt;&lt;/FQL&gt;&lt;FQL&gt;&lt;Q&gt;Ticker0024^FE_ESTIMATE(EPS,MEAN,QUARTERLY_ROLL,2018/3F,45778,,,'')&lt;/Q&gt;&lt;R&gt;1&lt;/R&gt;&lt;C&gt;1&lt;/C&gt;&lt;D xsi:type="xsd:double"&gt;0.95&lt;/D&gt;&lt;/FQL&gt;&lt;FQL&gt;&lt;Q&gt;Ticker0024^FE_ESTIMATE(EPS,MEAN,QUARTERLY_ROLL,2018/2F,45778,,,'')&lt;/Q&gt;&lt;R&gt;1&lt;/R&gt;&lt;C&gt;1&lt;/C&gt;&lt;D xsi:type="xsd:double"&gt;0.96&lt;/D&gt;&lt;/FQL&gt;&lt;FQL&gt;&lt;Q&gt;Ticker0024^FE_ESTIMATE(EPS,MEAN,QUARTERLY_ROLL,2018/1F,45778,,,'')&lt;/Q&gt;&lt;R&gt;1&lt;/R&gt;&lt;C&gt;1&lt;/C&gt;&lt;D xsi:type="xsd:double"&gt;0.84&lt;/D&gt;&lt;/FQL&gt;&lt;FQL&gt;&lt;Q&gt;Ticker0024^FE_ESTIMATE(EPS,MEAN,ANNUAL_ROLL,2017,45778,,,'')&lt;/Q&gt;&lt;R&gt;1&lt;/R&gt;&lt;C&gt;1&lt;/C&gt;&lt;D xsi:type="xsd:double"&gt;3.31&lt;/D&gt;&lt;/FQL&gt;&lt;FQL&gt;&lt;Q&gt;Ticker0024^FE_ESTIMATE(EPS,MEAN,QUARTERLY_ROLL,2017/4F,4</t>
        </r>
      </text>
    </comment>
    <comment ref="A52" authorId="0" shapeId="0" xr:uid="{9DD2356E-93C9-4E1B-8E95-A35977FC9D4F}">
      <text>
        <r>
          <rPr>
            <b/>
            <sz val="9"/>
            <color indexed="81"/>
            <rFont val="Tahoma"/>
            <family val="2"/>
          </rPr>
          <t>5778,,,'')&lt;/Q&gt;&lt;R&gt;1&lt;/R&gt;&lt;C&gt;1&lt;/C&gt;&lt;D xsi:type="xsd:double"&gt;0.98&lt;/D&gt;&lt;/FQL&gt;&lt;FQL&gt;&lt;Q&gt;Ticker0024^FE_ESTIMATE(EPS,MEAN,QUARTERLY_ROLL,2017/3F,45778,,,'')&lt;/Q&gt;&lt;R&gt;1&lt;/R&gt;&lt;C&gt;1&lt;/C&gt;&lt;D xsi:type="xsd:double"&gt;0.73&lt;/D&gt;&lt;/FQL&gt;&lt;FQL&gt;&lt;Q&gt;Ticker0024^FE_ESTIMATE(EPS,MEAN,QUARTERLY_ROLL,2017/2F,45778,,,'')&lt;/Q&gt;&lt;R&gt;1&lt;/R&gt;&lt;C&gt;1&lt;/C&gt;&lt;D xsi:type="xsd:double"&gt;0.83&lt;/D&gt;&lt;/FQL&gt;&lt;FQL&gt;&lt;Q&gt;Ticker0024^FE_ESTIMATE(EPS,MEAN,QUARTERLY_ROLL,2017/1F,45778,,,'')&lt;/Q&gt;&lt;R&gt;1&lt;/R&gt;&lt;C&gt;1&lt;/C&gt;&lt;D xsi:type="xsd:double"&gt;0.76&lt;/D&gt;&lt;/FQL&gt;&lt;FQL&gt;&lt;Q&gt;Ticker0024^FE_ESTIMATE(EPS,MEAN,ANNUAL_ROLL,2016,45778,,,'')&lt;/Q&gt;&lt;R&gt;1&lt;/R&gt;&lt;C&gt;1&lt;/C&gt;&lt;D xsi:type="xsd:double"&gt;2.79&lt;/D&gt;&lt;/FQL&gt;&lt;FQL&gt;&lt;Q&gt;Ticker0024^FE_ESTIMATE(EPS,MEAN,QUARTERLY_ROLL,2016/4F,45778,,,'')&lt;/Q&gt;&lt;R&gt;1&lt;/R&gt;&lt;C&gt;1&lt;/C&gt;&lt;D xsi:type="xsd:double"&gt;0.69&lt;/D&gt;&lt;/FQL&gt;&lt;FQL&gt;&lt;Q&gt;Ticker0024^FE_ESTIMATE(EPS,MEAN,QUARTERLY_ROLL,2016/3F,45778,,,'')&lt;/Q&gt;&lt;R&gt;1&lt;/R&gt;&lt;C&gt;1&lt;/C&gt;&lt;D xsi:type="xsd:double"&gt;0.62&lt;/D&gt;&lt;/FQL&gt;&lt;FQL&gt;&lt;Q&gt;Ticker0024^FE_ESTIMATE(EPS,MEAN,QUARTERLY_ROLL,2016/2F,45778,,,'')&lt;/Q&gt;&lt;R&gt;1&lt;/R&gt;&lt;C&gt;1&lt;/C&gt;&lt;D xsi:type="xsd:double"&gt;0.78&lt;/D&gt;&lt;/FQL&gt;&lt;FQL&gt;&lt;Q&gt;Ticker0024^FE_ESTIMATE(EPS,MEAN,QUARTERLY_ROLL,2016/1F,45778,,,'')&lt;/Q&gt;&lt;R&gt;1&lt;/R&gt;&lt;C&gt;1&lt;/C&gt;&lt;D xsi:type="xsd:double"&gt;0.67&lt;/D&gt;&lt;/FQL&gt;&lt;FQL&gt;&lt;Q&gt;Ticker0024^FE_ESTIMATE(EPS,MEAN,ANNUAL_ROLL,2015,45778,,,'')&lt;/Q&gt;&lt;R&gt;1&lt;/R&gt;&lt;C&gt;1&lt;/C&gt;&lt;D xsi:type="xsd:double"&gt;2.63&lt;/D&gt;&lt;/FQL&gt;&lt;FQL&gt;&lt;Q&gt;Ticker0024^FE_ESTIMATE(EPS,MEAN,QUARTERLY_ROLL,2015/4F,45778,,,'')&lt;/Q&gt;&lt;R&gt;1&lt;/R&gt;&lt;C&gt;1&lt;/C&gt;&lt;D xsi:type="xsd:double"&gt;0.62&lt;/D&gt;&lt;/FQL&gt;&lt;FQL&gt;&lt;Q&gt;Ticker0024^FE_ESTIMATE(EPS,MEAN,QUARTERLY_ROLL,2015/3F,45778,,,'')&lt;/Q&gt;&lt;R&gt;1&lt;/R&gt;&lt;C&gt;1&lt;/C&gt;&lt;D xsi:type="xsd:double"&gt;0.61&lt;/D&gt;&lt;/FQL&gt;&lt;FQL&gt;&lt;Q&gt;Ticker0024^FE_ESTIMATE(EPS,MEAN,QUARTERLY_ROLL,2015/2F,45778,,,'')&lt;/Q&gt;&lt;R&gt;1&lt;/R&gt;&lt;C&gt;1&lt;/C&gt;&lt;D xsi:type="xsd:double"&gt;0.71&lt;/D&gt;&lt;/FQL&gt;&lt;FQL&gt;&lt;Q&gt;Ticker0024^FE_ESTIMATE(EPS,MEAN,QUARTERLY_ROLL,2015/1F,45778,,,'')&lt;/Q&gt;&lt;R&gt;1&lt;/R&gt;&lt;C&gt;1&lt;/C&gt;&lt;D xsi:type="xsd:double"&gt;0.54&lt;/D&gt;&lt;/FQL&gt;&lt;FQL&gt;&lt;Q&gt;Ticker0024^FE_ESTIMATE(EAG,MEAN,ANNUAL_ROLL,2030,45778,,,'')&lt;/Q&gt;&lt;R&gt;0&lt;/R&gt;&lt;C&gt;0&lt;/C&gt;&lt;/FQL&gt;&lt;FQL&gt;&lt;Q&gt;Ticker0024^FE_ESTIMATE(EAG,MEAN,QUARTERLY_ROLL,2030/4F,45778,,,'')&lt;/Q&gt;&lt;R&gt;0&lt;/R&gt;&lt;C&gt;0&lt;/C&gt;&lt;/FQL&gt;&lt;FQL&gt;&lt;Q&gt;Ticker0024^FE_ESTIMATE(EAG,MEAN,QUARTERLY_ROLL,2030/3F,45778,,,'')&lt;/Q&gt;&lt;R&gt;0&lt;/R&gt;&lt;C&gt;0&lt;/C&gt;&lt;/FQL&gt;&lt;FQL&gt;&lt;Q&gt;Ticker0024^FE_ESTIMATE(EAG,MEAN,QUARTERLY_ROLL,2030/2F,45778,,,'')&lt;/Q&gt;&lt;R&gt;0&lt;/R&gt;&lt;C&gt;0&lt;/C&gt;&lt;/FQL&gt;&lt;FQL&gt;&lt;Q&gt;Ticker0024^FE_ESTIMATE(EAG,MEAN,QUARTERLY_ROLL,2030/1F,45778,,,'')&lt;/Q&gt;&lt;R&gt;0&lt;/R&gt;&lt;C&gt;0&lt;/C&gt;&lt;/FQL&gt;&lt;FQL&gt;&lt;Q&gt;Ticker0024^FE_ESTIMATE(EAG,MEAN,ANNUAL_ROLL,2029,45778,,,'')&lt;/Q&gt;&lt;R&gt;0&lt;/R&gt;&lt;C&gt;0&lt;/C&gt;&lt;/FQL&gt;&lt;FQL&gt;&lt;Q&gt;Ticker0024^FE_ESTIMATE(EAG,MEAN,QUARTERLY_ROLL,2029/4F,45778,,,'')&lt;/Q&gt;&lt;R&gt;0&lt;/R&gt;&lt;C&gt;0&lt;/C&gt;&lt;/FQL&gt;&lt;FQL&gt;&lt;Q&gt;Ticker0024^FE_ESTIMATE(EAG,MEAN,QUARTERLY_ROLL,2029/3F,45778,,,'')&lt;/Q&gt;&lt;R&gt;0&lt;/R&gt;&lt;C&gt;0&lt;/C&gt;&lt;/FQL&gt;&lt;FQL&gt;&lt;Q&gt;Ticker0024^FE_ESTIMATE(EAG,MEAN,QUARTERLY_ROLL,2029/2F,45778,,,'')&lt;/Q&gt;&lt;R&gt;0&lt;/R&gt;&lt;C&gt;0&lt;/C&gt;&lt;/FQL&gt;&lt;FQL&gt;&lt;Q&gt;Ticker0024^FE_ESTIMATE(EAG,MEAN,QUARTERLY_ROLL,2029/1F,45778,,,'')&lt;/Q&gt;&lt;R&gt;0&lt;/R&gt;&lt;C&gt;0&lt;/C&gt;&lt;/FQL&gt;&lt;FQL&gt;&lt;Q&gt;Ticker0024^FE_ESTIMATE(EAG,MEAN,ANNUAL_ROLL,2028,45778,,,'')&lt;/Q&gt;&lt;R&gt;1&lt;/R&gt;&lt;C&gt;1&lt;/C&gt;&lt;D xsi:type="xsd:double"&gt;20.1315&lt;/D&gt;&lt;/FQL&gt;&lt;FQL&gt;&lt;Q&gt;Ticker0024^FE_ESTIMATE(EAG,MEAN,QUARTERLY_ROLL,2028/4F,45778,,,'')&lt;/Q&gt;&lt;R&gt;0&lt;/R&gt;&lt;C&gt;0&lt;/C&gt;&lt;/FQL&gt;&lt;FQL&gt;&lt;Q&gt;Ticker0024^FE_ESTIMATE(EAG,MEAN,QUARTERLY_ROLL,2028/3F,45778,,,'')&lt;/Q&gt;&lt;R&gt;0&lt;/R&gt;&lt;C&gt;0&lt;/C&gt;&lt;/FQL&gt;&lt;FQL&gt;&lt;Q&gt;Ticker0024^FE_ESTIMATE(EAG,MEAN,QUARTERLY_ROLL,2028/2F,45778,,,'')&lt;/Q&gt;&lt;R&gt;0&lt;/R&gt;&lt;C&gt;0&lt;/C&gt;&lt;/FQL&gt;&lt;FQL&gt;&lt;Q&gt;Ticker0024^FE_ESTIMATE(EAG,MEAN,QUARTERLY_ROLL,2028/1F,45778,,,'')&lt;/Q&gt;&lt;R&gt;0&lt;/R&gt;&lt;C&gt;0&lt;/C&gt;&lt;/FQL&gt;&lt;FQL&gt;&lt;Q&gt;Ticker0024^FE_ESTIMATE(EAG,MEAN,ANNUAL_ROLL,2027,45778,,,'')&lt;/Q&gt;&lt;R&gt;1&lt;/R&gt;&lt;C&gt;1&lt;/C&gt;&lt;D xsi:type="xsd:double"&gt;17.699045&lt;/D&gt;&lt;/FQL&gt;&lt;FQL&gt;&lt;Q&gt;Ticker0024^FE_ESTIMATE(EAG,MEAN,QUARTERLY_ROLL,2027/4F,45778,,,'')&lt;/Q&gt;&lt;R&gt;1&lt;/R&gt;&lt;C&gt;1&lt;/C&gt;&lt;D xsi:type="xsd:double"&gt;4.4849133&lt;/D&gt;&lt;/FQL&gt;&lt;FQL&gt;&lt;Q&gt;Ticker0024^FE_ESTIMATE(EAG,MEAN,QUARTERLY_ROLL,2027/3F,45778,,,'')&lt;/Q&gt;&lt;R&gt;1&lt;/R&gt;&lt;C&gt;1&lt;/C&gt;&lt;D xsi:type="xsd:double"&gt;4.3811884&lt;/D&gt;&lt;/FQL&gt;&lt;FQL&gt;&lt;Q&gt;Ticker0024^FE_ESTIMATE(EAG,MEAN,QUARTERLY_ROLL,2027/2F,45778,,,'')&lt;/Q&gt;&lt;R&gt;1&lt;/R&gt;&lt;C&gt;1&lt;/C&gt;&lt;D xsi:type="xsd:double"&gt;4.3069506&lt;/D&gt;&lt;/FQL&gt;&lt;FQL&gt;&lt;Q&gt;Ticker0024^FE_ESTIMATE(EAG,MEAN,QUARTERLY_ROLL,2027/1F,45778,,,'')&lt;/Q&gt;&lt;R&gt;1&lt;/R&gt;&lt;C&gt;1&lt;/C&gt;&lt;D xsi:type="xsd:double"&gt;4.1127186&lt;/D&gt;&lt;/FQL&gt;&lt;FQL&gt;&lt;Q&gt;Ticker0024^FE_ESTIMATE(EAG,MEAN,ANNUAL_ROLL,2026,45778,,,'')&lt;/Q&gt;&lt;R&gt;1&lt;/R&gt;&lt;C&gt;1&lt;/C&gt;&lt;D xsi:type="xsd:double"&gt;15.146895&lt;/D&gt;&lt;/FQL&gt;&lt;FQL&gt;&lt;Q&gt;Ticker0024^FE_ESTIMATE(EAG,MEAN,QUARTERLY_ROLL,2026/4F,45778,,,'')&lt;/Q&gt;&lt;R&gt;1&lt;/R&gt;&lt;C&gt;1&lt;/C&gt;&lt;D xsi:type="xsd:double"&gt;3.8912947&lt;/D&gt;&lt;/FQL&gt;&lt;FQL&gt;&lt;Q&gt;Ticker0024^FE_ESTIMATE(EAG,MEAN,QUARTERLY_ROLL,2026/3F,45778,,,'')&lt;/Q&gt;&lt;R&gt;1&lt;/R&gt;&lt;C&gt;1&lt;/C&gt;&lt;D xsi:type="xsd:double"&gt;3.7794976&lt;/D&gt;&lt;/FQL&gt;&lt;FQL&gt;&lt;Q&gt;Ticker0024^FE_ESTIMATE(EAG,MEAN,QUARTERLY_ROLL,2026/2F,45778,,,'')&lt;/Q&gt;&lt;R&gt;1&lt;/R&gt;&lt;C&gt;1&lt;/C&gt;&lt;D xsi:type="xsd:double"&gt;3.7431517&lt;/D&gt;&lt;/FQL&gt;&lt;FQL&gt;&lt;Q&gt;Ticker0024^FE_ESTIMATE(EAG,MEAN,QUARTERLY_ROLL,2026/1F,45778,,,'')&lt;/Q&gt;&lt;R&gt;1&lt;/R&gt;&lt;C&gt;1&lt;/C&gt;&lt;D xsi:type="xsd:double"&gt;3.5361125&lt;/D&gt;&lt;/FQL&gt;&lt;FQL&gt;&lt;Q&gt;Ticker0024^FE_ESTIMATE(EAG,MEAN,ANNUAL_ROLL,2025,45778,,,'')&lt;/Q&gt;&lt;R&gt;1&lt;/R&gt;&lt;C&gt;1&lt;/C&gt;&lt;D xsi:type="xsd:double"&gt;13.294828&lt;/D&gt;&lt;/FQL&gt;&lt;FQL&gt;&lt;Q&gt;Ticker0024^FE_ESTIMATE(EAG,MEAN,QUARTERLY_ROLL,2025/4F,45778,,,'')&lt;/Q&gt;&lt;R&gt;1&lt;/R&gt;&lt;C&gt;1&lt;/C&gt;&lt;D xsi:type="xsd:double"&gt;3.3520148&lt;/D&gt;&lt;/FQL&gt;&lt;FQL&gt;&lt;Q&gt;Ticker0024^FE_ESTIMATE(EAG,MEAN,QUARTERLY_ROLL,2025/3F,45778,,,'')&lt;/Q&gt;&lt;R&gt;1&lt;/R&gt;&lt;C&gt;1&lt;/C&gt;&lt;D xsi:type="xsd:double"&gt;3.46&lt;/D&gt;&lt;/FQL&gt;&lt;FQL&gt;&lt;Q&gt;Ticker0024^FE_ESTIMATE(EAG,MEAN,QUARTERLY_ROLL,2025/2F,45778,,,'')&lt;/Q&gt;&lt;R&gt;1&lt;/R&gt;&lt;C&gt;1&lt;/C&gt;&lt;D xsi:type="xsd:double"&gt;3.23&lt;/D&gt;&lt;/FQL&gt;&lt;FQL&gt;&lt;Q&gt;Ticker0024^FE_ESTIMATE(EAG,MEAN,QUARTERLY_ROLL,2025/1F,45778,,,'')&lt;/Q&gt;&lt;R&gt;1&lt;/R&gt;&lt;C&gt;1&lt;/C&gt;&lt;D xsi:type="xsd:double"&gt;3.3&lt;/D&gt;&lt;/FQL&gt;&lt;FQL&gt;&lt;Q&gt;Ticker0024^FE_ESTIMATE(EAG,MEAN,ANNUAL_ROLL,2024,45778,,,'')&lt;/Q&gt;&lt;R&gt;1&lt;/R&gt;&lt;C&gt;1&lt;/C&gt;&lt;D xsi:type="xsd:double"&gt;11.8&lt;/D&gt;&lt;/FQL&gt;&lt;FQL&gt;&lt;Q&gt;Ticker0024^FE_ESTIMATE(EAG,MEAN,QUARTERLY_ROLL,2024/4F,45778,,,'')&lt;/Q&gt;&lt;R&gt;1&lt;/R&gt;&lt;C&gt;1&lt;/C&gt;&lt;D xsi:type="xsd:double"&gt;2.95&lt;/D&gt;&lt;/FQL&gt;&lt;FQL&gt;&lt;Q&gt;Ticker0024^FE_ESTIMATE(EAG,MEAN,QUARTERLY_ROLL,2024/3F,45778,,,'')&lt;/Q&gt;&lt;R&gt;1&lt;/R&gt;&lt;C&gt;1&lt;/C&gt;&lt;D xsi:type="xsd:double"&gt;2.94&lt;/D&gt;&lt;/FQL&gt;&lt;FQL&gt;&lt;Q&gt;Ticker0024^FE_ESTIMATE(EAG,MEAN,QUARTERLY_ROLL,2024/2F,45778,,,'')&lt;/Q&gt;&lt;R&gt;1&lt;/R&gt;&lt;C&gt;1&lt;/C&gt;&lt;D xsi:type="xsd:double"&gt;2.93&lt;/D&gt;&lt;/FQL&gt;&lt;FQL&gt;&lt;Q&gt;Ticker0024^FE_ESTIMATE(EAG,MEAN,QUARTERLY_ROLL,2024/1F,45778,,,'')&lt;/Q&gt;&lt;R&gt;1&lt;/R&gt;&lt;C&gt;1&lt;/C&gt;&lt;D xsi:type="xsd:double"&gt;2.99&lt;/D&gt;&lt;/FQL&gt;&lt;FQL&gt;&lt;Q&gt;Ticker0024^FE_ESTIMATE(EAG,MEAN,ANNUAL_ROLL,2023,45778,,,'')&lt;/Q&gt;&lt;R&gt;1&lt;/R&gt;&lt;C&gt;1&lt;/C&gt;&lt;D xsi:type="xsd:double"&gt;9.68&lt;/D&gt;&lt;/FQL&gt;&lt;FQL&gt;&lt;Q&gt;Ticker0024^FE_ESTIMATE(EAG,MEAN,QUARTERLY_ROLL,2023/4F,45778,,,'')&lt;/Q&gt;&lt;R&gt;1&lt;/R&gt;&lt;C&gt;1&lt;/C&gt;&lt;D xsi:type="xsd:double"&gt;2.69&lt;/D&gt;&lt;/FQL&gt;&lt;FQL&gt;&lt;Q&gt;Ticker0024^FE_ESTIMATE(EAG,MEAN,QUARTERLY_ROLL,2023/3F,45778,,,'')&lt;/Q&gt;&lt;R&gt;1&lt;/R&gt;&lt;C&gt;1&lt;/C&gt;&lt;D xsi:type="xsd:double"&gt;2.4501362&lt;/D&gt;&lt;/FQL&gt;&lt;FQL&gt;&lt;Q&gt;Ticker0024^FE_ESTIMATE(EAG,MEAN,QUARTERLY_ROLL,2023/2F,45778,,,'')&lt;/Q&gt;&lt;R&gt;1&lt;/R&gt;&lt;C&gt;1&lt;/C&gt;&lt;D xsi:type="xsd:double"&gt;2.2&lt;/D&gt;&lt;/FQL&gt;&lt;FQL&gt;&lt;Q&gt;Ticker0024^FE_ESTIMATE(EAG,MEAN,QUARTERLY_ROLL,2023/1F,45778,,,'')&lt;/Q&gt;&lt;R&gt;1&lt;/R&gt;&lt;C&gt;1&lt;/C&gt;&lt;D xsi:type="xsd:double"&gt;2.35&lt;/D&gt;&lt;/FQL&gt;&lt;FQL&gt;&lt;Q&gt;Ticker0024^FE_ESTIMATE(EAG,MEAN,ANNUAL_ROLL,2022,45778,,,'')&lt;/Q&gt;&lt;R&gt;1&lt;/R&gt;&lt;C&gt;1&lt;/C&gt;&lt;D xsi:type="xsd:double"&gt;9.65&lt;/D&gt;&lt;/FQL&gt;&lt;FQL&gt;&lt;Q&gt;Ticker0024^FE_ESTIMATE(EAG,MEAN,QUARTERLY_ROLL,2022/4F,45778,,,'')&lt;/Q&gt;&lt;R&gt;1&lt;/R&gt;&lt;C&gt;1&lt;/C&gt;&lt;D xsi:type="xsd:double"&gt;2.23&lt;/D&gt;&lt;/FQL&gt;&lt;FQL&gt;&lt;Q&gt;Ticker0024^FE_ESTIMATE(EAG,MEAN,QUARTERLY_ROLL,2022/3F,45778,,,'')&lt;/Q&gt;&lt;R&gt;1&lt;/R&gt;&lt;C&gt;1&lt;/C&gt;&lt;D xsi:type="xsd:double"&gt;2.22&lt;/D&gt;&lt;/FQL&gt;&lt;FQL&gt;&lt;Q&gt;Ticker0024^FE_ESTIMATE(EAG,MEAN,QUARTERLY_ROLL,2022/2F,45778,,,'')&lt;/Q&gt;&lt;R&gt;1&lt;/R&gt;&lt;C&gt;1&lt;/C&gt;&lt;D xsi:type="xsd:double"&gt;2.48&lt;/D&gt;&lt;/FQL&gt;&lt;FQL&gt;&lt;Q&gt;Ticker0024^FE_ESTIMATE(EAG,MEAN,QUARTERLY_ROLL,2022/1F,45778,,,'')&lt;/Q&gt;&lt;R&gt;1&lt;/R&gt;&lt;C&gt;1&lt;/C&gt;&lt;D xsi:type="xsd:double"&gt;2.71&lt;/D&gt;&lt;/FQL&gt;&lt;FQL&gt;&lt;Q&gt;Ticker0024^FE_ESTIMATE(EAG,MEAN,ANNUAL_ROLL,2021,45778,,,'')&lt;/Q&gt;&lt;R&gt;1&lt;/R&gt;&lt;C&gt;1&lt;/C&gt;&lt;D xsi:type="xsd:double"&gt;8.05&lt;/D&gt;&lt;/FQL&gt;&lt;FQL&gt;&lt;Q&gt;Ticker0024^FE_ESTIMATE(EAG,MEAN,QUARTERLY_ROLL,2021/4F,45778,,,'')&lt;/Q&gt;&lt;R&gt;1&lt;/R&gt;&lt;C&gt;1&lt;/C&gt;&lt;D xsi:type="xsd:double"&gt;2.17&lt;/D&gt;&lt;/FQL&gt;&lt;FQL&gt;&lt;Q&gt;Ticker0024^FE_ESTIMATE(EAG,MEAN,QUARTERLY_ROLL,2021/3F,45778,,,'')&lt;/Q&gt;&lt;R&gt;1&lt;/R&gt;&lt;C&gt;1&lt;/C&gt;&lt;D xsi:type="xsd:double"&gt;2.03&lt;/D&gt;&lt;/FQL&gt;&lt;FQL&gt;&lt;Q&gt;Ticker0024^FE_ESTIMATE(EAG,MEAN,QUARTERLY_ROLL,2021/2F,45778,,,'')&lt;/Q&gt;&lt;R&gt;1&lt;/R&gt;&lt;C&gt;1&lt;/C&gt;&lt;D xsi:type="xsd:double"&gt;2.03&lt;/D&gt;&lt;/FQL&gt;&lt;FQL&gt;&lt;Q&gt;Ticker0024^FE_ESTIMATE(EAG,MEAN,QUARTERLY_ROLL,2021/1F,45778,,,'')&lt;/Q&gt;&lt;R&gt;1&lt;/R&gt;&lt;C&gt;1&lt;/C&gt;&lt;D xsi:type="xsd:double"&gt;1.82&lt;/D&gt;&lt;/FQL&gt;&lt;FQL&gt;&lt;Q&gt;Ticker0024^FE_ESTIMATE(EAG,MEAN,ANNUAL_ROLL,2020,45778,,,'')&lt;/Q&gt;&lt;R&gt;1&lt;/R&gt;&lt;C&gt;1&lt;/C&gt;&lt;D xsi:type="xsd:double"&gt;5.76&lt;/D&gt;&lt;/FQL&gt;&lt;FQL&gt;&lt;Q&gt;Ticker0024^FE_ESTIMATE(EAG,MEAN,QUARTERLY_ROLL,2020/4F,45778,,,'')&lt;/Q&gt;&lt;R&gt;1&lt;/R&gt;&lt;C&gt;1&lt;/C&gt;&lt;D xsi:type="xsd:double"&gt;1.46&lt;/D&gt;&lt;/FQL&gt;&lt;FQL&gt;&lt;Q&gt;Ticker0024^FE_ESTIMATE(EAG,MEAN,QUARTERLY_ROLL,2020/3F,45778,,,'')&lt;/Q&gt;&lt;R&gt;1&lt;/R&gt;&lt;C&gt;1&lt;/C&gt;&lt;D xsi:type="xsd:double"&gt;1.4&lt;/D&gt;&lt;/FQL&gt;&lt;FQL&gt;&lt;Q&gt;Ticker0024^FE_ESTIMATE(EAG,MEAN,QUARTERLY_ROLL,2020/2F,45778,,,'')&lt;/Q&gt;&lt;R&gt;1&lt;/R&gt;&lt;C&gt;1&lt;/C&gt;&lt;D xsi:type="xsd:double"&gt;1.51&lt;/D&gt;&lt;/FQL&gt;&lt;FQL&gt;&lt;Q&gt;Ticker0024^FE_ESTIMATE(EAG,MEAN,QUARTERLY_ROLL,2020/1F,45778,,,'')&lt;/Q&gt;&lt;R&gt;1&lt;/R&gt;&lt;C&gt;1&lt;/C&gt;&lt;D xsi:type="xsd:double"&gt;1.38&lt;/D&gt;&lt;/FQL&gt;&lt;FQL&gt;&lt;Q&gt;Ticker0024^FE_ESTIMATE(EAG,MEAN,ANNUAL_ROLL,2019,45778,,,'')&lt;/Q&gt;&lt;R&gt;1&lt;/R&gt;&lt;C&gt;1&lt;/C&gt;&lt;D xsi:type="xsd:double"&gt;5.06&lt;/D&gt;&lt;/FQL&gt;&lt;FQL&gt;&lt;Q&gt;Ticker0024^FE_ESTIMATE(EAG,MEAN,QUARTERLY_ROLL,2019/4F,45778,,,'')&lt;/Q&gt;&lt;R&gt;1&lt;/R&gt;&lt;C&gt;1&lt;/C&gt;&lt;D xsi:type="xsd:double"&gt;1.71&lt;/D&gt;&lt;/FQL&gt;&lt;FQL&gt;&lt;Q&gt;Ticker0024^FE_ESTIMATE(EAG,MEAN,QUARTERLY_ROLL,2019/3F,45778,,,'')&lt;/Q&gt;&lt;R&gt;1&lt;/R&gt;&lt;C&gt;1&lt;/C&gt;&lt;D xsi:type="xsd:double"&gt;1.14&lt;/D&gt;&lt;/FQL&gt;&lt;FQL&gt;&lt;Q&gt;Ticker0024^FE_ESTIMATE(EAG,MEAN,QUARTERLY_ROLL,2019/2F,45778,,,'')&lt;/Q&gt;&lt;R&gt;1&lt;/R&gt;&lt;C&gt;1&lt;/C&gt;&lt;D xsi:type="xsd:double"&gt;1.08&lt;/D&gt;&lt;/FQL&gt;&lt;FQL&gt;&lt;Q&gt;Ticker0024^FE_ESTIMATE(EAG,MEAN,QUARTERLY_ROLL,2019/1F,45778,,,'')&lt;/Q&gt;&lt;R&gt;1&lt;/R&gt;&lt;C&gt;1&lt;/C&gt;&lt;D xsi:type="xsd:double"&gt;1.14&lt;/D&gt;&lt;/FQL&gt;&lt;FQL&gt;&lt;Q&gt;Ticker0024^FE_ESTIMATE(EAG,MEAN,ANNUAL_ROLL,2018,45778,,,'')&lt;/Q&gt;&lt;R&gt;1&lt;/R&gt;&lt;C&gt;1&lt;/C&gt;&lt;D xsi:type="xsd:double"&gt;2.13&lt;/D&gt;&lt;/FQL&gt;&lt;FQL&gt;&lt;Q&gt;Ticker0024^FE_ESTIMATE(EAG,MEAN,QUARTERLY_ROLL,2018/4F,45778,,,'')&lt;/Q&gt;&lt;R&gt;1&lt;/R&gt;&lt;C&gt;1&lt;/C&gt;&lt;D xsi:type="xsd:double"&gt;1.14&lt;/D&gt;&lt;/FQL&gt;&lt;FQL&gt;&lt;Q&gt;Ticker0024^FE_ESTIMATE(EAG,MEAN,QUARTERLY_ROLL,2018/3F,45778,,,'')&lt;/Q&gt;&lt;R&gt;1&lt;/R&gt;&lt;C&gt;1&lt;/C&gt;&lt;D xsi:type="xsd:double"&gt;0.9504607&lt;/D&gt;&lt;/FQL&gt;&lt;FQL&gt;&lt;Q&gt;Ticker0024^FE_ESTIMATE(EAG,MEAN,QUARTERLY_ROLL,2018/2F,45778,,,'')&lt;/Q&gt;&lt;R&gt;1&lt;/R&gt;&lt;C&gt;1&lt;/C&gt;&lt;D xsi:type="xsd:double"&gt;-0.82&lt;/D&gt;&lt;/FQL&gt;&lt;FQL&gt;&lt;Q&gt;Ticker0024^FE_ESTIMATE(EAG,MEAN,QUARTERLY_ROLL,2018/1F,45778,,,'')&lt;/Q&gt;&lt;R&gt;1&lt;/R&gt;&lt;C&gt;1&lt;/C&gt;&lt;D xsi:type="xsd:double"&gt;0.84&lt;/D&gt;&lt;/FQL&gt;&lt;FQL&gt;&lt;Q&gt;Ticker0024^FE_ESTIMATE(EAG,MEAN,ANNUAL_ROLL,2017,45778,,,'')&lt;/Q&gt;&lt;R&gt;1&lt;/R&gt;&lt;C&gt;1&lt;/C&gt;&lt;D xsi:type="xsd:double"&gt;2.71&lt;/D&gt;&lt;/FQL&gt;&lt;FQL&gt;&lt;Q&gt;Ticker0024^FE_ESTIMATE(EAG,MEAN,QUARTERLY_ROLL,2017/4F,45778,,,'')&lt;/Q&gt;&lt;R&gt;1&lt;/R&gt;&lt;C&gt;1&lt;/C&gt;&lt;D xsi:type="xsd:double"&gt;0.83&lt;/D&gt;&lt;/FQL&gt;&lt;FQL&gt;&lt;Q&gt;Ticker0024^FE_ESTIMATE(EAG,MEAN,QUARTERLY_ROLL,2017/3F,45778,,,'')&lt;/Q&gt;&lt;R&gt;1&lt;/R&gt;&lt;C&gt;1&lt;/C&gt;&lt;D xsi:type="xsd:double"&gt;0.61&lt;/D&gt;&lt;/FQL&gt;&lt;FQL&gt;&lt;Q&gt;Ticker0024^FE_ESTIMATE(EAG,MEAN,QUARTERLY_ROLL,2017/2F,45778,,,'')&lt;/Q&gt;&lt;R&gt;1&lt;/R&gt;&lt;C&gt;1&lt;/C&gt;&lt;D xsi:type="xsd:double"&gt;0.66&lt;/D&gt;&lt;/FQL&gt;&lt;FQL&gt;&lt;Q&gt;Ticker0024^FE_ESTIMATE(EAG,MEAN,QUARTERLY_ROLL,2017/1F,45778,,,'')&lt;/Q&gt;&lt;R&gt;1&lt;/R&gt;&lt;C&gt;1&lt;/C&gt;&lt;D xsi:type="xsd:double"&gt;0.6&lt;/D&gt;&lt;/FQL&gt;&lt;FQL&gt;&lt;Q&gt;Ticker0024^FE_ESTIMATE(EAG,MEAN,ANNUAL_ROLL,2016,45778,,,'')&lt;/Q&gt;&lt;R&gt;1&lt;/R&gt;&lt;C&gt;1&lt;/C&gt;&lt;D xsi:type="xsd:double"&gt;2.1&lt;/D&gt;&lt;/FQL&gt;&lt;FQL&gt;&lt;Q&gt;Ticker0024^FE_ESTIMATE(EAG,MEAN,QUARTERLY_ROLL,2016/4F,45778,,,'')&lt;/Q&gt;&lt;R&gt;1&lt;/R&gt;&lt;C&gt;1&lt;/C&gt;&lt;D xsi:type="xsd:double"&gt;0.39&lt;/D&gt;&lt;/FQL&gt;&lt;FQL&gt;&lt;Q&gt;Ticker0024^FE_ESTIMATE(EAG,MEAN,QUARTERLY_ROLL,2016/3F,45778,,,'')&lt;/Q&gt;&lt;R&gt;1&lt;/R&gt;&lt;C&gt;1&lt;/C&gt;&lt;D xsi:type="xsd:double"&gt;0.47&lt;/D&gt;&lt;/FQL&gt;&lt;FQL&gt;&lt;Q&gt;Ticker0024^FE_ESTIMATE(EAG,MEAN,QUARTERLY_ROLL,2016/2F,45778,,,'')&lt;/Q&gt;&lt;R&gt;1&lt;/R&gt;&lt;C&gt;1&lt;/C&gt;&lt;D xsi:type="xsd:double"&gt;0.62&lt;/D&gt;&lt;/FQL&gt;&lt;FQL&gt;&lt;Q&gt;Ticker0024^FE_ESTIMATE(EAG,MEAN,QUARTERLY_ROLL,2016/1F,45778,,,'')&lt;/Q&gt;&lt;R&gt;1&lt;/R&gt;&lt;C&gt;1&lt;/C&gt;&lt;D xsi:type="xsd:double"&gt;0.57&lt;/D&gt;&lt;/FQL&gt;&lt;FQL&gt;&lt;Q&gt;Ticker0024^FE_ESTIMATE(EAG,MEAN,ANNUAL_ROLL,2015,45778,,,'')&lt;/Q&gt;&lt;R&gt;1&lt;/R&gt;&lt;C&gt;1&lt;/C&gt;&lt;D xsi:type="xsd:double"&gt;1.48&lt;/D&gt;&lt;/FQL&gt;&lt;FQL&gt;&lt;Q&gt;Ticker0024^FE_ESTIMATE(EAG,MEAN,QUARTERLY_ROLL,2015/4F,45778,,,'')&lt;/Q&gt;&lt;R&gt;1&lt;/R&gt;&lt;C&gt;1&lt;/C&gt;&lt;D xsi:type="xsd:double"&gt;-0.4&lt;/D&gt;&lt;/FQL&gt;&lt;FQL&gt;&lt;Q&gt;Ticker0024^FE_ESTIMATE(EAG,MEAN,QUARTERLY_ROLL,2015/3F,45778,,,'')&lt;/Q&gt;&lt;R&gt;1&lt;/R&gt;&lt;C&gt;1&lt;/C&gt;&lt;D xsi:type="xsd:double"&gt;0.61&lt;/D&gt;&lt;/FQL&gt;&lt;FQL&gt;&lt;Q&gt;Ticker0024^FE_ESTIMATE(EAG,MEAN,QUARTERLY_ROLL,2015/2F,45778,,,'')&lt;/Q&gt;&lt;R&gt;1&lt;/R&gt;&lt;C&gt;1&lt;/C&gt;&lt;D xsi:type="xsd:double"&gt;0.71&lt;/D&gt;&lt;/FQL&gt;&lt;FQL&gt;&lt;Q&gt;Ticker0024^FE_ESTIMATE(EAG,MEAN,QUARTERLY_ROLL,2015/1F,45778,,,'')&lt;/Q&gt;&lt;R&gt;1&lt;/R&gt;&lt;C&gt;1&lt;/C&gt;&lt;D xsi:type="xsd:double"&gt;0.54&lt;/D&gt;&lt;/FQL&gt;&lt;FQL&gt;&lt;Q&gt;Ticker0024^FE_ESTIMATE(EBIT,MEAN,ANNUAL_ROLL,2030,45778,,,'')&lt;/Q&gt;&lt;R&gt;0&lt;/R&gt;&lt;C&gt;0&lt;/C&gt;&lt;/FQL&gt;&lt;FQL&gt;&lt;Q&gt;Ticker0024^FE_ESTIMATE(EBIT,MEAN,QUARTERLY_ROLL,2030/4F,45778,,,'')&lt;/Q&gt;&lt;R&gt;0&lt;/R&gt;&lt;C&gt;0&lt;/C&gt;&lt;/FQL&gt;&lt;FQL&gt;&lt;Q&gt;Ticker0024^FE_ESTIMATE(EBIT,MEAN,QUARTERLY_ROLL,2030/3F,45778,,,'')&lt;/Q&gt;&lt;R&gt;0&lt;/R&gt;&lt;C&gt;0&lt;/C&gt;&lt;/FQL&gt;&lt;FQL&gt;&lt;Q&gt;Ticker0024^FE_ESTIMATE(EBIT,MEAN,QUARTERLY_ROLL,2030/2F,45778,,,'')&lt;/Q&gt;&lt;R&gt;0&lt;/R&gt;&lt;C&gt;0&lt;/C&gt;&lt;/FQL&gt;&lt;FQL&gt;&lt;Q&gt;Ticker0024^FE_ESTIMATE(EBIT,MEAN,QUARTERLY_ROLL,2030/1F,45778,,,'')&lt;/Q&gt;&lt;R&gt;0&lt;/R&gt;&lt;C&gt;0&lt;/C&gt;&lt;/FQL&gt;&lt;FQL&gt;&lt;Q&gt;Ticker0024^FE_ESTIMATE(EBIT,MEAN,ANNUAL_ROLL,2029,45778,,,'')&lt;/Q&gt;&lt;R&gt;1&lt;/R&gt;&lt;C&gt;1&lt;/C&gt;&lt;D xsi:type="xsd:double"&gt;220406.5&lt;/D&gt;&lt;/FQL&gt;&lt;FQL&gt;&lt;Q&gt;Ticker0024^FE_ESTIMATE(EBIT,MEAN,QUARTERLY_ROLL,2029/4F,45778,,,'')&lt;/Q&gt;&lt;R&gt;0&lt;/R&gt;&lt;C&gt;0&lt;/C&gt;&lt;/FQL&gt;&lt;FQL&gt;&lt;Q&gt;Ticker0024^FE_ESTIMATE(EBIT,MEAN,QUARTERLY_ROLL,2029/3F,45778,,,'')&lt;/Q&gt;&lt;R&gt;0&lt;/R&gt;&lt;C&gt;0&lt;/C&gt;&lt;/FQL&gt;&lt;FQL&gt;&lt;Q&gt;Ticker0024^FE_ESTIMATE(EBIT,MEAN,QUARTERLY_ROLL,2029/2F,45778,,,'')&lt;/Q&gt;&lt;R&gt;0&lt;/R&gt;&lt;C&gt;0&lt;/C&gt;&lt;/FQL&gt;&lt;FQL&gt;&lt;Q&gt;Ticker0024^FE_ESTIMATE(EBIT,MEAN,QUARTERLY_ROLL,2029/1F,45778,,,'')&lt;/Q&gt;&lt;R&gt;0&lt;/R&gt;&lt;C&gt;0&lt;/C&gt;&lt;/FQL&gt;&lt;FQL&gt;&lt;Q&gt;Ticker0024^FE_ESTIMATE(EBIT,MEAN,ANNUAL_ROLL,2028,45778,,,'')&lt;/Q&gt;&lt;R&gt;1&lt;/R&gt;&lt;C&gt;1&lt;/C&gt;&lt;D xsi:type="xsd:double"&gt;183904.47&lt;/D&gt;&lt;/FQL&gt;&lt;FQL&gt;&lt;Q&gt;Ticker0024^FE_ESTIMATE(EBIT,MEAN,QUARTERLY_ROLL,2028/4F,45778,,,'')&lt;/Q&gt;&lt;R&gt;0&lt;/R&gt;&lt;C&gt;0&lt;/C&gt;&lt;/FQL&gt;&lt;FQL&gt;&lt;Q&gt;Ticker0024^FE_ESTIMATE(EBIT,MEAN,QUARTERLY_ROLL,2028/3F,45778,,,'')&lt;/Q&gt;&lt;R&gt;0&lt;/R&gt;&lt;C&gt;0&lt;/C&gt;&lt;/FQL&gt;&lt;FQL&gt;&lt;Q&gt;Ticker0024^FE_ESTIMATE(EBIT,MEAN,QUARTERLY_ROLL,2028/2F,45778,,,'')&lt;/Q&gt;&lt;R&gt;0&lt;/R&gt;&lt;C&gt;0&lt;/C&gt;&lt;/FQL&gt;&lt;FQL&gt;&lt;Q&gt;Ticker0024^FE_ESTIMATE(EBIT,MEAN,QUARTERLY_ROLL,2028/1F,45778,,,'')&lt;/Q&gt;&lt;R&gt;0&lt;/R&gt;&lt;C&gt;0&lt;/C&gt;&lt;/FQL&gt;&lt;FQL&gt;&lt;Q&gt;Ticker0024^FE_ESTIMATE(EBIT,MEAN,ANNUAL_ROLL,2027,45778,,,'')&lt;/Q&gt;&lt;R&gt;1&lt;/R&gt;&lt;C&gt;1&lt;/C&gt;&lt;D xsi:type="xsd:double"&gt;162852.94&lt;/D&gt;&lt;/FQL&gt;&lt;FQL&gt;&lt;Q&gt;Ticker0024^FE_ESTIMATE(EBIT,MEAN,QUARTERLY_ROLL,2027/4F,45778,,,'')&lt;/Q&gt;&lt;R&gt;1&lt;/R&gt;&lt;C&gt;1&lt;/C&gt;&lt;D xsi:type="xsd:double"&gt;41315&lt;/D&gt;&lt;/FQL&gt;&lt;FQL&gt;&lt;Q&gt;Ticker0024^FE_ESTIMATE(EBIT,MEAN,QUARTERLY_ROLL,2027/3F,45778,,,'')&lt;/Q&gt;&lt;R&gt;1&lt;/R&gt;&lt;C&gt;1&lt;/C&gt;&lt;D xsi:type="xsd:double"&gt;40162.395&lt;/D&gt;&lt;/FQL&gt;&lt;FQL&gt;&lt;Q&gt;Ticker0024^FE_ESTIMATE(EBIT,MEAN,QUARTERLY_ROLL,2027/2F,45778,,,'')&lt;/Q&gt;&lt;R&gt;1&lt;/R&gt;&lt;C&gt;1&lt;/C&gt;&lt;D xsi:type="xsd:double"&gt;39946.11&lt;/D&gt;&lt;/FQL&gt;&lt;FQL&gt;&lt;Q&gt;Ticker0024^FE_ESTIMATE(EBIT,MEAN,QUARTERLY_ROLL,2027/1F,45778,,,'')&lt;/Q&gt;&lt;R&gt;1&lt;/R&gt;&lt;C&gt;1&lt;/C&gt;&lt;D xsi:type="xsd:double"&gt;38402.848&lt;/D&gt;&lt;/FQL&gt;&lt;FQL&gt;&lt;Q&gt;Ticker0024^FE_ESTIMATE(EBIT,MEAN,ANNUAL_ROLL,2026,45778,,,'')&lt;/Q&gt;&lt;R&gt;1&lt;/R&gt;&lt;C&gt;1&lt;/C&gt;&lt;D xsi:type="xsd:double"&gt;141501.72&lt;/D&gt;&lt;/FQL&gt;&lt;FQL&gt;&lt;Q&gt;Ticker0024^FE_ESTIMATE(EBIT,MEAN,QUARTERLY_ROLL,2026/4F,45778,,,'')&lt;/Q&gt;&lt;R&gt;1&lt;/R&gt;&lt;C&gt;1&lt;/C&gt;&lt;D xsi:type="xsd:double"&gt;36617.086&lt;/D&gt;&lt;/FQL&gt;&lt;FQL&gt;&lt;Q&gt;Ticker0024^FE_ESTIMATE(EBIT,MEAN,QUARTERLY_ROLL,2026/3F,45778,,,'')&lt;/Q&gt;&lt;R&gt;1&lt;/R&gt;&lt;C&gt;1&lt;/C&gt;&lt;D xsi:type="xsd:double"&gt;35667.92&lt;/D&gt;&lt;/FQL&gt;&lt;FQL&gt;&lt;Q&gt;Ticker0024^FE_ESTIMATE(EBIT,MEAN,QUARTERLY_ROLL,2026/2F,45778,,,'')&lt;/Q&gt;&lt;R&gt;1&lt;/R&gt;&lt;C&gt;1&lt;/C&gt;&lt;D xsi:type="xsd:double"&gt;35249.2&lt;/D&gt;&lt;/FQL&gt;&lt;FQL&gt;&lt;Q&gt;Ticker0024^FE_ESTIMATE(EBIT,MEAN,QUARTERLY_ROLL,2026/1F,45778,,,'')&lt;/Q&gt;&lt;R&gt;1&lt;/R&gt;&lt;C&gt;1&lt;/C&gt;&lt;D xsi:type="xsd:double"&gt;33732.52&lt;/D&gt;&lt;/FQL&gt;&lt;FQL&gt;&lt;Q&gt;Ticker0024^FE_ESTIMATE(EBIT,MEAN,ANNUAL_ROLL,2025,45778,,,'')&lt;/Q&gt;&lt;R&gt;1&lt;/R&gt;&lt;C&gt;1&lt;/C&gt;&lt;D xsi:type="xsd:double"&gt;125339.46&lt;/D&gt;&lt;/FQL&gt;&lt;FQL&gt;&lt;Q&gt;Ticker0024^FE_ESTIMATE(EBIT,MEAN,QUARTERLY_ROLL,2025/4F,45778,,,'')&lt;/Q&gt;&lt;R&gt;1&lt;/R&gt;&lt;C&gt;1&lt;/C&gt;&lt;D xsi:type="xsd:double"&gt;32007.145&lt;/D&gt;&lt;/FQL&gt;&lt;FQL&gt;&lt;Q&gt;Ticker0024^FE_ESTIMATE(EBIT,MEAN,QUARTERLY_ROLL,2025/3F,45778,,,'')&lt;/Q&gt;&lt;R&gt;1&lt;/R&gt;&lt;C&gt;1&lt;/C&gt;&lt;D xsi:type="xsd:double"&gt;31603.838&lt;/D&gt;&lt;/FQL&gt;&lt;FQL&gt;&lt;Q&gt;Ticker0024^FE_ESTIMATE(EBIT,MEAN,QUARTERLY_ROLL,2025/2F,45778,,,'')&lt;/Q&gt;&lt;R&gt;1&lt;/R&gt;&lt;C&gt;1&lt;/C&gt;&lt;D xsi:type="xsd:double"&gt;31654.076&lt;/D&gt;&lt;/FQL&gt;&lt;FQL&gt;&lt;Q&gt;Ticker0024^FE_ESTIMATE(EBIT,MEAN,QUARTERLY_ROLL,2025/1F,45778,,,'')&lt;/Q&gt;&lt;R&gt;1&lt;/R&gt;&lt;C&gt;1&lt;/C&gt;&lt;D xsi:type="xsd:double"&gt;30535.146&lt;/D&gt;&lt;/FQL&gt;&lt;FQL&gt;&lt;Q&gt;Ticker0024^FE_ESTIMATE(EBIT,MEAN,ANNUAL_ROLL,2024,45778,,,'')&lt;/Q&gt;&lt;R&gt;1&lt;/R&gt;&lt;C&gt;1&lt;/C&gt;&lt;D xsi:type="xsd:double"&gt;109729.96&lt;/D&gt;&lt;/FQL&gt;&lt;FQL&gt;&lt;Q&gt;Ticker0024^FE_ESTIMATE(EBIT,MEAN,QUARTERLY_ROLL,2024/4F,45778,,,'')&lt;/Q&gt;&lt;R&gt;1&lt;/R&gt;&lt;C&gt;1&lt;/C&gt;&lt;D xsi:type="xsd:double"&gt;27926.969&lt;/D&gt;&lt;/FQL&gt;&lt;FQL&gt;&lt;Q&gt;Ticker0024^FE_ESTIMATE(EBIT,MEAN,QUARTERLY_ROLL,2024/3F,45778,,,'')&lt;/Q&gt;&lt;R&gt;1&lt;/R&gt;&lt;C&gt;1&lt;/C&gt;&lt;D xsi:type="xsd:double"&gt;27582.4&lt;/D&gt;&lt;/FQL&gt;&lt;FQL&gt;&lt;Q&gt;Ticker0024^FE_ESTIMATE(EBIT,MEAN,QUARTERLY_ROLL,2024/2F,45778,,,'')&lt;/Q&gt;&lt;R&gt;1&lt;/R&gt;&lt;C&gt;1&lt;/C&gt;&lt;D xsi:type="xsd:double"&gt;27031.055&lt;/D&gt;&lt;/FQL&gt;&lt;FQL&gt;&lt;Q&gt;Ticker0024^FE_ESTIMATE(EBIT,MEAN,QUARTERLY_ROLL,2024/1F,45778,,,'')&lt;/Q&gt;&lt;R&gt;1&lt;/R&gt;&lt;C&gt;1&lt;/C&gt;&lt;D xsi:type="xsd:double"&gt;26895.146&lt;/D&gt;&lt;/FQL&gt;&lt;FQL&gt;&lt;Q&gt;Ticker0024^FE_ESTIMATE(EBIT,MEAN,ANNUAL_ROLL,2023,45778,,,'')&lt;/Q&gt;&lt;R&gt;1&lt;/R&gt;&lt;C&gt;1&lt;/C&gt;&lt;D xsi:type="xsd:double"&gt;88600.766&lt;/D&gt;&lt;/FQL&gt;&lt;FQL&gt;&lt;Q&gt;Ticker0024^FE_ESTIMATE(EBIT,MEAN,QUARTERLY_ROLL,2023/4F,45778,,,'')&lt;/Q&gt;&lt;R&gt;1&lt;/R&gt;&lt;C&gt;1&lt;/C&gt;&lt;D xsi:type="xsd:double"&gt;24173.82&lt;/D&gt;&lt;/FQL&gt;&lt;FQL&gt;&lt;Q&gt;Ticker0024^FE_ESTIMATE(EBIT,MEAN,QUARTERLY_ROLL,2023/3F,45778,,,'')&lt;/Q&gt;&lt;R&gt;1&lt;/R&gt;&lt;C&gt;1&lt;/C&gt;&lt;D xsi:type="xsd:double"&gt;22351.936&lt;/D&gt;&lt;/FQL&gt;&lt;FQL&gt;&lt;Q&gt;Ticker0024^FE_ESTIMATE(EBIT,MEAN,QUARTERLY_ROLL,2023/2F,45778,,,'')&lt;/Q&gt;&lt;R&gt;1&lt;/R&gt;&lt;C&gt;1&lt;/C&gt;&lt;D xsi:type="xsd:double"&gt;20399.059&lt;/D&gt;&lt;/FQL&gt;&lt;FQL&gt;&lt;Q&gt;Ticker0024^FE_ESTIMATE(EBIT,MEAN,QUARTERLY_ROLL,2023/1F,45778,,,'')&lt;/Q&gt;&lt;R&gt;1&lt;/R&gt;&lt;C&gt;1&lt;/C&gt;&lt;D xsi:type="xsd:double"&gt;21518.063&lt;/D&gt;&lt;/FQL&gt;&lt;FQL&gt;&lt;Q&gt;Ticker0024^FE_ESTIMATE(EBIT,MEAN,ANNUAL_ROLL,2022,45778,,,'')&lt;/Q&gt;&lt;R&gt;1&lt;/R&gt;&lt;C&gt;1&lt;/C&gt;&lt;D xsi:type="xsd:double"&gt;83380.48&lt;/D&gt;&lt;/FQL&gt;&lt;FQL&gt;&lt;Q&gt;Ticker0024^FE_ESTIMATE(EBIT,MEAN,QUARTERLY_ROLL,2022/4F,45778,,,'')&lt;/Q&gt;&lt;R&gt;1&lt;/R&gt;&lt;C&gt;1&lt;/C&gt;&lt;D xsi:type="xsd:double"&gt;20531.785&lt;/D&gt;&lt;/FQL&gt;&lt;FQL&gt;&lt;Q&gt;Ticker0024^FE_ESTIMATE(EBIT,MEAN,QUARTERLY_ROLL,2022/3F,45778,,,'')&lt;/Q&gt;&lt;R&gt;1&lt;/R&gt;&lt;C&gt;1&lt;/C&gt;&lt;D xsi:type="xsd:double"&gt;20362.076&lt;/D&gt;&lt;/FQL&gt;&lt;FQL&gt;&lt;Q&gt;Ticker0024^FE_ESTIMATE(EBIT,MEAN,QUARTERLY_ROLL,2022/2F,45778,,,'')&lt;/Q&gt;&lt;R&gt;1&lt;/R&gt;&lt;C&gt;1&lt;/C&gt;&lt;D xsi:type="xsd:double"&gt;22246.809&lt;/D&gt;&lt;/FQL&gt;&lt;FQL&gt;&lt;Q&gt;Ticker0024^FE_ESTIMATE(EBIT,MEAN,QUARTERLY_ROLL,2022/1F,45778,,,'')&lt;/Q&gt;&lt;R&gt;1&lt;/R&gt;&lt;C&gt;1&lt;/C&gt;&lt;D xsi:type="xsd:double"&gt;20237.896&lt;/D&gt;&lt;/FQL&gt;&lt;FQL&gt;&lt;Q&gt;Ticker0024^FE_ESTIMATE(EBIT,MEAN,ANNUAL_ROLL,2021,45778,,,'')&lt;/Q&gt;&lt;R&gt;1&lt;/R&gt;&lt;C&gt;1&lt;/C&gt;&lt;D xsi:type="xsd:double"&gt;69916.43&lt;/D&gt;&lt;/FQL&gt;&lt;FQL&gt;&lt;Q&gt;Ticker0024^FE_ESTIMATE(EBIT,MEAN,QUARTERLY_ROLL,2021/4F,45778,,,'')&lt;/Q&gt;&lt;R&gt;1&lt;/R&gt;&lt;C&gt;1&lt;/C&gt;&lt;D xsi:type="xsd:double"&gt;19095&lt;/D&gt;&lt;/FQL&gt;&lt;FQL&gt;&lt;Q&gt;Ticker0024^FE_ESTIMATE(EBIT,MEAN,QUARTERLY_ROLL,2021/3F,45778,,,'')&lt;/Q&gt;&lt;R&gt;1&lt;/R&gt;&lt;C&gt;1&lt;/C&gt;&lt;D xsi:type="xsd:double"&gt;17048&lt;/D&gt;&lt;/FQL&gt;&lt;FQL&gt;&lt;Q&gt;Ticker0024^FE_ESTIMATE(EBIT,MEAN,QUARTERLY_ROLL,2021/2F,45778,,,'')&lt;/Q&gt;&lt;R&gt;1&lt;/R&gt;&lt;C&gt;1&lt;/C&gt;&lt;D xsi:type="xsd:double"&gt;17896.826&lt;/D&gt;&lt;/FQL&gt;&lt;FQL&gt;&lt;Q&gt;Ticker0024^FE_ESTIMATE(EBIT,MEAN,QUARTERLY_ROLL,2021/1F,45778,,,'')&lt;/Q&gt;&lt;R&gt;1&lt;/R&gt;&lt;C&gt;1&lt;/C&gt;&lt;D xsi:type="xsd:double"&gt;15875.739&lt;/D&gt;&lt;/FQL&gt;&lt;FQL&gt;&lt;Q&gt;Ticker0024^FE_ESTIMATE(EBIT,MEAN,ANNUAL_ROLL,2020,45778,,,'')&lt;/Q&gt;&lt;R&gt;1&lt;/R&gt;&lt;C&gt;1&lt;/C&gt;&lt;D xsi:type="xsd:double"&gt;52978.875&lt;/D&gt;&lt;/FQL&gt;&lt;FQL&gt;&lt;Q&gt;Ticker0024^FE_ESTIMATE(EBIT,MEAN,QUARTERLY_ROLL,2020/4F,45778,,,'')&lt;/Q&gt;&lt;R&gt;1&lt;/R&gt;&lt;C&gt;1&lt;/C&gt;&lt;D xsi:type="xsd:double"&gt;13432.45&lt;/D&gt;&lt;/FQL&gt;&lt;FQL&gt;&lt;Q&gt;Ticker0024^FE_ESTIMATE(EBIT,MEAN,QUARTERLY_ROLL,2020/3F,45778,,,'')&lt;/Q&gt;&lt;R&gt;1&lt;/R&gt;&lt;C&gt;1&lt;/C&gt;&lt;D xsi:type="xsd:double"&gt;12975&lt;/D&gt;&lt;/FQL&gt;&lt;FQL&gt;&lt;Q&gt;Ticker0024^FE_ESTIMATE(EBIT,MEAN,QUARTERLY_ROLL,2020/2F,45778,,,'')&lt;/Q&gt;&lt;R&gt;1&lt;/R&gt;&lt;C&gt;1&lt;/C&gt;&lt;D xsi:type="xsd:double"&gt;13891&lt;/D&gt;&lt;/FQL&gt;&lt;FQL&gt;&lt;Q&gt;Ticker0024^FE_ESTIMATE(EBIT,MEAN,QUARTERLY_ROLL,2020/1F,45778,,,'')&lt;/Q&gt;&lt;R&gt;1&lt;/R&gt;&lt;C&gt;1&lt;/C&gt;&lt;D xsi:type="xsd:double"&gt;12686&lt;/D&gt;&lt;/FQL&gt;&lt;FQL&gt;&lt;Q&gt;Ticker0024^FE_ESTIMATE(EBIT,MEAN,ANNUAL_ROLL,2019,45778,,,'')&lt;/Q&gt;&lt;R&gt;1&lt;/R&gt;&lt;C&gt;1&lt;/C&gt;&lt;D xsi:type="xsd:double"&gt;42964.805&lt;/D&gt;&lt;/FQL&gt;&lt;FQL&gt;&lt;Q&gt;Ticker0024^FE_ESTIMATE(EBIT,MEAN,QUARTERLY_ROLL,2019/4F,45778,,,'')&lt;/Q&gt;&lt;R&gt;1&lt;/R&gt;&lt;C&gt;1&lt;/C&gt;&lt;D xsi:type="xsd:double"&gt;12405&lt;/D&gt;&lt;/FQL&gt;&lt;FQL&gt;&lt;Q&gt;Ticker0024^FE_ESTIMATE(EBIT,MEAN,QUARTERLY_ROLL,2019/3F,45778,,,'')&lt;/Q&gt;&lt;R&gt;1&lt;/R&gt;&lt;C&gt;1&lt;/C&gt;&lt;D xsi:type="xsd:double"&gt;10341&lt;/D&gt;&lt;/FQL&gt;&lt;FQL&gt;&lt;Q&gt;Ticker0024^FE_ESTIMATE(EBIT,MEAN,QUARTERLY_ROLL,2019/2F,45778,,,'')&lt;/Q&gt;&lt;R&gt;1&lt;/R&gt;&lt;C&gt;1&lt;/C&gt;&lt;D xsi:type="xsd:double"&gt;10263.846&lt;/D&gt;&lt;/FQL&gt;&lt;FQL&gt;&lt;Q&gt;Ticker0024^FE_ESTIMATE(EBIT,MEAN,QUARTERLY_ROLL,2019/1F,45778,,,'')&lt;/Q&gt;&lt;R&gt;1&lt;/R&gt;&lt;C&gt;1&lt;/C&gt;&lt;D xsi:type="xsd:double"&gt;9955&lt;/D&gt;&lt;/FQL&gt;&lt;FQL&gt;&lt;Q&gt;Ticker0024^FE_ESTIMATE(EBIT,MEAN,ANNUAL_ROLL,2018,45778,,,'')&lt;/Q&gt;&lt;R&gt;1&lt;/R&gt;&lt;C&gt;1&lt;/C&gt;&lt;D xsi:type="xsd:double"&gt;35034.188&lt;/D&gt;&lt;/FQL&gt;&lt;FQL&gt;&lt;Q&gt;Ticker0024^FE_ESTIMATE(EBIT,MEAN,QUARTERLY_ROLL,2018/4F,45778,,,'')&lt;/Q&gt;&lt;R&gt;1&lt;/R&gt;&lt;C&gt;1&lt;/C&gt;&lt;D xsi:type="xsd:double"&gt;10349.692&lt;/D&gt;&lt;/FQL&gt;&lt;FQL&gt;&lt;Q&gt;Ticker0024^FE_ESTIMATE(EBIT,MEAN,QUARTERLY_ROLL,2018/3F,45778,,,'')&lt;/Q&gt;&lt;R&gt;1&lt;/R&gt;&lt;C&gt;1&lt;/C&gt;&lt;D xsi:type="xsd:double"&gt;8292&lt;/D&gt;&lt;/FQL&gt;&lt;FQL&gt;&lt;Q&gt;Ticker0024^FE_ESTIMATE(EBIT,MEAN,QUARTERLY_ROLL,2018/2F,45778,,,'')&lt;/Q&gt;&lt;R&gt;1&lt;/R&gt;&lt;C&gt;1&lt;/C&gt;&lt;D xsi:type="xsd:double"&gt;8679&lt;/D&gt;&lt;/FQL&gt;&lt;FQL&gt;&lt;Q&gt;Ticker0024^FE_ESTIMATE(EBIT,MEAN,QUARTERLY_ROLL,2018/1F,45778,,,'')&lt;/Q&gt;&lt;R&gt;1&lt;/R&gt;&lt;C&gt;1&lt;/C&gt;&lt;D xsi:type="xsd:double"&gt;7708&lt;/D&gt;&lt;/FQL&gt;&lt;FQL&gt;&lt;Q&gt;Ticker0024^FE_ESTIMATE(EBIT,MEAN,ANNUAL_ROLL,2017,45778,,,'')&lt;/Q&gt;&lt;R&gt;1&lt;/R&gt;&lt;C&gt;1&lt;/C&gt;&lt;D xsi:type="xsd:double"&gt;29326.25&lt;/D&gt;&lt;/FQL&gt;&lt;FQL&gt;&lt;Q&gt;Ticker0024^FE_ESTIMATE(EBIT,MEAN,QUARTERLY_ROLL,2017/4F,45778,,,'')&lt;/Q&gt;&lt;R&gt;1&lt;/R&gt;&lt;C&gt;1&lt;/C&gt;&lt;D xsi:type="xsd:double"&gt;7019&lt;/D&gt;&lt;/FQL&gt;&lt;FQL&gt;&lt;Q&gt;Ticker0024^FE_ESTIMATE(EBIT,MEAN,QUARTERLY_ROLL,2017/3F,45778,,,'')&lt;/Q&gt;&lt;R&gt;1&lt;/R&gt;&lt;C&gt;1&lt;/C&gt;&lt;D xsi:type="xsd:double"&gt;7061&lt;/D&gt;&lt;/FQL&gt;&lt;FQL&gt;&lt;Q&gt;Ticker0024^FE_ESTIMATE(EBIT,MEAN,QUARTERLY_ROLL,2017/2F,45778,,,'')&lt;/Q&gt;&lt;R&gt;1&lt;/R&gt;&lt;C&gt;1&lt;/C&gt;&lt;D xsi:type="xsd:double"&gt;8153&lt;/D&gt;&lt;/FQL&gt;&lt;FQL&gt;&lt;Q&gt;Ticker0024^FE_ESTIMATE(EBIT,MEAN,QUARTERLY_ROLL,2017/1F,45778,,,'')&lt;/Q&gt;&lt;R&gt;1&lt;/R&gt;&lt;C&gt;1&lt;/C&gt;&lt;D xsi:type="xsd:double"&gt;7106&lt;/D&gt;&lt;/FQL&gt;&lt;FQL&gt;&lt;Q&gt;Ticker0024^FE_ESTIMATE(EBIT,MEAN,ANNUAL_ROLL,2016,45778,,,'')&lt;/Q&gt;&lt;R&gt;1&lt;/R&gt;&lt;C&gt;1&lt;/C&gt;&lt;D xsi:type="xsd:double"&gt;28028.564&lt;/D&gt;&lt;/FQL&gt;&lt;FQL&gt;&lt;Q&gt;Ticker0024^FE_ESTIMATE(EBIT,MEAN,QUARTERLY_ROLL,2016/4F,45778,,,'')&lt;/Q&gt;&lt;R&gt;1&lt;/R&gt;&lt;C&gt;1&lt;/C&gt;&lt;D xsi:type="xsd:double"&gt;6218&lt;/D&gt;&lt;/FQL&gt;&lt;FQL&gt;&lt;Q&gt;Ticker0024^FE_ESTIMATE(EBIT,MEAN,QUARTERLY_ROLL,2016/3F,45778,,,'')&lt;/Q&gt;&lt;R&gt;1&lt;/R&gt;&lt;C&gt;1&lt;/C&gt;&lt;D xsi:type="xsd:double"&gt;6828&lt;/D&gt;&lt;/FQL&gt;&lt;FQL&gt;&lt;Q&gt;Ticker0024^FE_ESTIMATE(EBIT,MEAN,QUARTERLY_ROLL,2016/2F,45778,,,'')&lt;/Q&gt;&lt;R&gt;1&lt;/R&gt;&lt;C&gt;1&lt;/C&gt;&lt;D xsi:type="xsd:double"&gt;7923&lt;/D&gt;&lt;/FQL&gt;&lt;FQL&gt;&lt;Q&gt;Ticker0024^FE_ESTIMATE(EBIT,MEAN,QUARTERLY_ROLL,2016/1F,45778,,,'')&lt;/Q&gt;&lt;R&gt;1&lt;/R&gt;&lt;C&gt;1&lt;/C&gt;&lt;D xsi:type="xsd:double"&gt;7073.7896&lt;/D&gt;&lt;/FQL&gt;&lt;FQL&gt;&lt;Q&gt;Ticker0024^FE_ESTIMATE(EBIT,MEAN,ANNUAL_ROLL,2015,45778,,,'')&lt;/Q&gt;&lt;R&gt;1&lt;/R&gt;&lt;C&gt;1&lt;/C&gt;&lt;D xsi:type="xsd:double"&gt;27916.867&lt;/D&gt;&lt;/FQL&gt;&lt;FQL&gt;&lt;Q&gt;Ticker0024^FE_ESTIMATE(EBIT,MEAN,QUARTERLY_ROLL,2015/4F,45778,,,'')&lt;/Q&gt;&lt;R&gt;1&lt;/R&gt;&lt;C&gt;1&lt;/C&gt;&lt;D xsi:type="xsd:double"&gt;4513.1914&lt;/D&gt;&lt;/FQL&gt;&lt;FQL&gt;&lt;Q&gt;Ticker0024^FE_ESTIMATE(EBIT,MEAN,QUARTERLY_ROLL,2015/3F,45778,,,'')&lt;/Q&gt;&lt;R&gt;1&lt;/R&gt;&lt;C&gt;1&lt;/C&gt;&lt;D xsi:type="xsd:double"&gt;6598.875&lt;/D&gt;&lt;/FQL&gt;&lt;FQL&gt;&lt;Q&gt;Ticker0024^FE_ESTIMATE(EBIT,MEAN,QUARTERLY_ROLL,2015/2F,45778,,,'')&lt;/Q&gt;&lt;R&gt;1&lt;/R&gt;&lt;C&gt;1&lt;/C&gt;&lt;D xsi:type="xsd:double"&gt;7776&lt;/D&gt;&lt;/FQL&gt;&lt;FQL&gt;&lt;Q&gt;Ticker0024^FE_ESTIMATE(EBIT,MEAN,QUARTERLY_ROLL,2015/1F,45778,,,'')&lt;/Q&gt;&lt;R&gt;1&lt;/R&gt;&lt;C&gt;1&lt;/C&gt;&lt;D xsi:type="xsd:double"&gt;5844&lt;/D&gt;&lt;/FQL&gt;&lt;FQL&gt;&lt;Q&gt;Ticker0024^FE_ESTIMATE(PRODLINE_EBIT_17,MEAN,ANNUAL_ROLL,2030,45778,,,'')&lt;/Q&gt;&lt;R&gt;0&lt;/R&gt;&lt;C&gt;0&lt;/C&gt;&lt;/FQL&gt;&lt;FQL&gt;&lt;Q&gt;Ticker0024^FE_ESTIMATE(PRODLINE_EBIT_17,MEAN,QUARTERLY_ROLL,2030/4F,45778,,,'')&lt;/Q&gt;&lt;R&gt;0&lt;/R&gt;&lt;C&gt;0&lt;/C&gt;&lt;/FQL&gt;&lt;FQL&gt;&lt;Q&gt;Ticker0024^FE_ESTIMATE(PRODLINE_EBIT_17,MEAN,QUARTERLY_ROLL,2030/3F,45778,,,'')&lt;/Q&gt;&lt;R&gt;0&lt;/R&gt;&lt;C&gt;0&lt;/C&gt;&lt;/FQL&gt;&lt;FQL&gt;&lt;Q&gt;Ticker0024^FE_ESTIMATE(PRODLINE_EBIT_17,MEAN,QUARTERLY_ROLL,2030/2F,45778,,,'')&lt;/Q&gt;&lt;R&gt;0&lt;/R&gt;&lt;C&gt;0&lt;/C&gt;&lt;/FQL&gt;&lt;FQL&gt;&lt;Q&gt;Ticker0024^FE_ESTIMATE(PRODLINE_EBIT_17,MEAN,QUARTERLY_ROLL,2030/1F,45778,,,'')&lt;/Q&gt;&lt;R&gt;0&lt;/R&gt;&lt;C&gt;0&lt;/C&gt;&lt;/FQL&gt;&lt;FQL&gt;&lt;Q&gt;Ticker0024^FE_ESTIMATE(PRODLINE_EBIT_17,MEAN,ANNUAL_ROLL,2029,45778,,,'')&lt;/Q&gt;&lt;R&gt;0&lt;/R&gt;&lt;C&gt;0&lt;/C&gt;&lt;/FQL&gt;&lt;FQL&gt;&lt;Q&gt;Ticker0024^FE_ESTIMATE(PRODLINE_EBIT_17,MEAN,QUARTERLY_ROLL,2029/4F,45778,,,'')&lt;/Q&gt;&lt;R&gt;0&lt;/R&gt;&lt;C&gt;0&lt;/C&gt;&lt;/FQL&gt;&lt;FQL&gt;&lt;Q&gt;Ticker0024^FE_ESTIMATE(PRODLINE_EBIT_17,MEAN,QUARTERLY_ROLL,2029/3F,45778,,,'')&lt;/Q&gt;&lt;R&gt;0&lt;/R&gt;&lt;C&gt;0&lt;/C&gt;&lt;/FQL&gt;&lt;FQL&gt;&lt;Q&gt;Ticker0024^FE_ESTIMATE(PRODLINE_EBIT_17,MEAN,QUARTERLY_ROLL,2029/2F,45778,,,'')&lt;/Q&gt;&lt;R&gt;0&lt;/R&gt;&lt;C&gt;0&lt;/C&gt;&lt;/FQL&gt;&lt;FQL&gt;&lt;Q&gt;Ticker0024^FE_ESTIMATE(PRODLINE_EBIT_17,MEAN,QUARTERLY_ROLL,2029/1F,45778,,,'')&lt;/Q&gt;&lt;R&gt;0&lt;/R&gt;&lt;C&gt;0&lt;/C&gt;&lt;/FQL&gt;&lt;FQL&gt;&lt;Q&gt;Ticker0024^FE_ESTIMATE(PRODLINE_EBIT_17,MEAN,ANNUAL_ROLL,2028,45778,,,'')&lt;/Q&gt;&lt;R&gt;1&lt;/R&gt;&lt;C&gt;1&lt;/C&gt;&lt;D xsi:type="xsd:double"&gt;10723&lt;/D&gt;&lt;/FQL&gt;&lt;FQL&gt;&lt;Q&gt;Ticker0024^FE_ESTIMATE(PRODLINE_EBIT_17,MEAN,QUARTERLY_ROLL,2028/4F,45778,,,'')&lt;/Q&gt;&lt;R&gt;0&lt;/R&gt;&lt;C&gt;0&lt;/C&gt;&lt;/FQL&gt;&lt;FQL&gt;&lt;Q&gt;Ticker0024^FE_ESTIMATE(PRODLINE_EBIT_17,MEAN,QUARTERLY_ROLL,2028/3F,45778,,,'')&lt;/Q&gt;&lt;R&gt;0&lt;/R&gt;&lt;C&gt;0&lt;/C&gt;&lt;/FQL&gt;&lt;FQL&gt;&lt;Q&gt;Ticker0024^FE_ESTIMATE(PRODLINE_EBIT_17,MEAN,QUARTERLY_ROLL,2028/2F,45778,,,'')&lt;/Q&gt;&lt;R&gt;0&lt;/R&gt;&lt;C&gt;0&lt;/C&gt;&lt;/FQL&gt;&lt;FQL&gt;&lt;Q&gt;Ticker0024^FE_ESTIMATE(PRODLINE_EBIT_17,MEAN,QUARTERLY_ROLL,2028/1F,45778,,,'')&lt;/Q&gt;&lt;R&gt;0&lt;/R&gt;&lt;C&gt;0&lt;/C&gt;&lt;/FQL&gt;&lt;FQL&gt;&lt;Q&gt;Ticker0024^FE_ESTIMATE(PRODLINE_EBIT_17,MEAN,ANNUAL_ROLL,2027,45778,,,'')&lt;/Q&gt;&lt;R&gt;1&lt;/R&gt;&lt;C&gt;1&lt;/C&gt;&lt;D xsi:type="xsd:double"&gt;12046.667&lt;/D&gt;&lt;/FQL&gt;&lt;FQL&gt;&lt;Q&gt;Ticker0024^FE_ESTIMATE(PRODLINE_EBIT_17,MEAN,QUARTERLY_ROLL,2027/4F,45778,,,'')&lt;/Q&gt;&lt;R&gt;0&lt;/R&gt;&lt;C&gt;0&lt;/C&gt;&lt;/FQL&gt;&lt;FQL&gt;&lt;Q&gt;Ticker0024^FE_ESTIMATE(PRODLINE_EBIT_17,MEAN,QUARTERLY_ROLL,2027/3F,45778,,,'')&lt;/Q&gt;&lt;R&gt;0&lt;/R&gt;&lt;C&gt;0&lt;/C&gt;&lt;/FQL&gt;&lt;FQL&gt;&lt;Q&gt;Ticker0024^FE_ESTIMATE(PRODLINE_EBIT_17,MEAN,QUARTERLY_ROLL,2027/2F,45778,,,'')&lt;/Q&gt;&lt;R&gt;0&lt;/R&gt;&lt;C&gt;0&lt;/C&gt;&lt;/FQL&gt;&lt;FQL&gt;&lt;Q&gt;Ticker0024^FE_ESTIMATE(PRODLINE_EBIT_17,MEAN,QUARTERLY_ROLL,2027/1F,45778,,,'')&lt;/Q&gt;&lt;R&gt;0&lt;/R&gt;&lt;C&gt;0&lt;/C&gt;&lt;/FQL&gt;&lt;FQL&gt;&lt;Q&gt;Ticker0024^FE_ESTIMATE(PRODLINE_EBIT_17,MEAN,ANNUAL_ROLL,2026,45778,,,'')&lt;/Q&gt;&lt;R&gt;1&lt;/R&gt;&lt;C&gt;1&lt;/C&gt;&lt;D xsi:type="xsd:double"&gt;15087.75&lt;/D&gt;&lt;/FQL&gt;&lt;FQL&gt;&lt;Q&gt;Ticker0024^FE_ESTIMATE(PRODLINE_EBIT_17,MEAN,QUARTERLY_ROLL,2026/4F,45778,,,'')&lt;/Q&gt;&lt;R&gt;1&lt;/R&gt;&lt;C&gt;1&lt;/C&gt;&lt;D xsi:type="xsd:double"&gt;3629.3333&lt;/D&gt;&lt;/FQL&gt;&lt;FQL&gt;&lt;Q&gt;Ticker0024^FE_ESTIMATE(PRODLINE_EBIT_17,MEAN,QUARTERLY_ROLL,2026/3F,45778,,,'')&lt;/Q&gt;&lt;R&gt;1&lt;/R&gt;&lt;C&gt;1&lt;/C&gt;&lt;D xsi:type="xsd:double"&gt;3858.6667&lt;/D&gt;&lt;/FQL&gt;&lt;FQL&gt;&lt;Q&gt;Ticker0024^FE_ESTIMATE(PRODLINE_EBIT_17,MEAN,QUARTERLY_ROLL,2026/2F,45778,,,'')&lt;/Q&gt;&lt;R&gt;1&lt;/R&gt;&lt;C&gt;1&lt;/C&gt;&lt;D xsi:type="xsd:double"&gt;4146.6665&lt;/D&gt;&lt;/FQL&gt;&lt;FQL&gt;&lt;Q&gt;Ticker0024^FE_ESTIMATE(PRODLINE_EBIT_17,MEAN,QUARTERLY_ROLL,2026/1F,45778,,,'')&lt;/Q&gt;&lt;R&gt;1&lt;/R&gt;&lt;C&gt;1&lt;/C&gt;&lt;D xsi:type="xsd:double"&gt;3895&lt;/D&gt;&lt;/FQL&gt;&lt;FQL&gt;&lt;Q&gt;Ticker0024^FE_ESTIMATE(PRODLINE_EBIT_17,MEAN,ANNUAL_ROLL,2025,45778,,,'')&lt;/Q&gt;&lt;R&gt;1&lt;/R&gt;&lt;C&gt;1&lt;/C&gt;&lt;D xsi:type="xsd:double"&gt;15585.2&lt;/D&gt;&lt;/FQL&gt;&lt;FQL&gt;&lt;Q&gt;Ticker0024^FE_ESTIMATE(PRODLINE_EBIT_17,MEAN,QUARTERLY_ROLL,2025/4F,45778,,,'')&lt;/Q&gt;&lt;R&gt;1&lt;/R&gt;&lt;C&gt;1&lt;/C&gt;&lt;D xsi:type="xsd:double"&gt;3616.6&lt;/D&gt;&lt;/FQL&gt;&lt;FQL&gt;&lt;Q&gt;Ticker0024^FE_ESTIMATE(PRODLINE_EBIT_17,MEAN,QUARTERLY_ROLL,2025/3F,45778,,,'')&lt;/Q&gt;&lt;R&gt;1&lt;/R&gt;&lt;C&gt;1&lt;/C&gt;&lt;D xsi:type="xsd:double"&gt;3801.25&lt;/D&gt;&lt;/FQL&gt;&lt;FQL&gt;&lt;Q&gt;Ticker0024^FE_ESTIMATE(PRODLINE_EBIT_17,MEAN,QUARTERLY_ROLL,2025/2F,45778,,,'')&lt;/Q&gt;&lt;R&gt;1&lt;/R&gt;&lt;C&gt;1&lt;/C&gt;&lt;D xsi:type="xsd:double"&gt;4253.8&lt;/D&gt;&lt;/FQL&gt;&lt;FQL&gt;&lt;Q&gt;Ticker0024^FE_ESTIMATE(PRODLINE_EBIT_17,MEAN,QUARTERLY_ROLL,2025/1F,45778,,,'')&lt;/Q&gt;&lt;R&gt;1&lt;/R&gt;&lt;C&gt;1&lt;/C&gt;&lt;D xsi:type="xsd:double"&gt;3822.2&lt;/D&gt;&lt;/FQL&gt;&lt;FQL&gt;&lt;Q&gt;Ticker0024^FE_ESTIMATE(PRODLINE_EBIT_17,MEAN,ANNUAL_ROLL,2024,45778,,,'')&lt;/Q&gt;&lt;R&gt;1&lt;/R&gt;&lt;C&gt;1&lt;/C&gt;&lt;D xsi:type="xsd:double"&gt;19332.8&lt;/D&gt;&lt;/FQL&gt;&lt;FQL&gt;&lt;Q&gt;Ticker0024^FE_ESTIMATE(PRODLINE_EBIT_17,MEAN,QUARTERLY_ROLL,2024/4F,45778,,,'')&lt;/Q&gt;&lt;R&gt;1&lt;/R&gt;&lt;C&gt;1&lt;/C&gt;&lt;D xsi:type="xsd:double"&gt;4922.4&lt;/D&gt;&lt;/FQL&gt;&lt;FQL&gt;&lt;Q&gt;Ticker0024^FE_ESTIMATE(PRODLINE_EBIT_17,MEAN,QUARTERLY_ROLL,2024/3F,45778,,,'')&lt;/Q&gt;&lt;R&gt;1&lt;/R&gt;&lt;C&gt;1&lt;/C&gt;&lt;D xsi:type="xsd:double"&gt;4925.7144&lt;/D&gt;&lt;/FQL&gt;&lt;FQL&gt;&lt;Q&gt;Ticker0024^FE_ESTIMATE(PRODLINE_EBIT_17,MEAN,QUARTERLY_ROLL,2024/2F,45778,,,'')&lt;/Q&gt;&lt;R&gt;1&lt;/R&gt;&lt;C&gt;1&lt;/C&gt;&lt;D xsi:type="xsd:double"&gt;4308.3335&lt;/D&gt;&lt;/FQL&gt;&lt;FQL&gt;&lt;Q&gt;Ticker0024^FE_ESTIMATE(PRODLINE_EBIT_17,MEAN,QUARTERLY_ROLL,2024/1F,45778,,,'')&lt;/Q&gt;&lt;R&gt;1&lt;/R&gt;&lt;C&gt;1&lt;/C&gt;&lt;D xsi:type="xsd:double"&gt;5197&lt;/D&gt;&lt;/FQL&gt;&lt;FQL&gt;&lt;Q&gt;Ticker0024^FE_ESTIMATE(PRODLINE_EBIT_17,MEAN,ANNUAL_ROLL,2023,45778,,,'')&lt;/Q&gt;&lt;R&gt;1&lt;/R&gt;&lt;C&gt;1&lt;/C&gt;&lt;D xsi:type="xsd:double"&gt;16450&lt;/D&gt;&lt;/FQL&gt;&lt;FQL&gt;&lt;Q&gt;Ticker0024^FE_ESTIMATE(PRODLINE_EBIT_17,MEAN,QUARTERLY_ROLL,2023/4F,45778,,,'')&lt;/Q&gt;&lt;R&gt;1&lt;/R&gt;&lt;C&gt;1&lt;/C&gt;&lt;D xsi:type="xsd:double"&gt;4676.8&lt;/D&gt;&lt;/FQL&gt;&lt;FQL&gt;&lt;Q&gt;Ticker0024^FE_ESTIMATE(PRODLINE_EBIT_17,MEAN,QUARTERLY_ROLL,2023/3F,45778,,,'')&lt;/Q&gt;&lt;R&gt;1&lt;/R&gt;&lt;C&gt;1&lt;/C&gt;&lt;D xsi:type="xsd:double"&gt;4237.6&lt;/D&gt;&lt;/FQL&gt;&lt;FQL&gt;&lt;Q&gt;Ticker0024^FE_ESTIMATE(PRODLINE_EBIT_17,MEAN,QUARTERLY_ROLL,2023/2F,45778,,,'')&lt;/Q&gt;&lt;R&gt;1&lt;/R&gt;&lt;C&gt;1&lt;/C&gt;&lt;D xsi:type="xsd:double"&gt;3345&lt;/D&gt;&lt;/FQL&gt;&lt;FQL&gt;&lt;Q&gt;Ticker0024^FE_ESTIMATE(PRODLINE_EBIT_17,MEAN,QUARTERLY_ROLL,2023/1F,45778,,,'')&lt;/Q&gt;&lt;R&gt;1&lt;/R&gt;&lt;C&gt;1&lt;/C&gt;&lt;D xsi:type="xsd:double"&gt;4241.4&lt;/D&gt;&lt;/FQL&gt;&lt;FQL&gt;&lt;Q&gt;Ticker0024^FE_ESTIMATE(PRODLINE_EBIT_17,MEAN,ANNUAL_ROLL,2022,45778,,,'')&lt;/Q&gt;&lt;R&gt;1&lt;/R&gt;&lt;C&gt;1&lt;/C&gt;&lt;D xsi:type="xsd:double"&gt;20975.2&lt;/D&gt;&lt;/FQL&gt;&lt;FQL&gt;&lt;Q&gt;Ticker0024^FE_ESTIMATE(PRODLINE_EBIT_17,MEAN,QUARTERLY_ROLL,2022/4F,45778,,,'')&lt;/Q&gt;&lt;R&gt;1&lt;/R&gt;&lt;C&gt;1&lt;/C&gt;&lt;D xsi:type="xsd:double"&gt;4619.2&lt;/D&gt;&lt;/FQL&gt;&lt;FQL&gt;&lt;Q&gt;Ticker0024^FE_ESTIMATE(PRODLINE_EBIT_17,MEAN,QUARTERLY_ROLL,2022/3F,45778,,,'')&lt;/Q&gt;&lt;R&gt;1&lt;/R&gt;&lt;C&gt;1&lt;/C&gt;&lt;D xsi:type="xsd:double"&gt;4899&lt;/D&gt;&lt;/FQL&gt;&lt;FQL&gt;&lt;Q&gt;Ticker0024^FE_ESTIMATE(PRODLINE_EBIT_17,MEAN,QUARTERLY_ROLL,2022/2F,45778,,,'')&lt;/Q&gt;&lt;R&gt;1&lt;/R&gt;&lt;C&gt;1&lt;/C&gt;&lt;D xsi:type="xsd:double"&gt;6360&lt;/D&gt;&lt;/FQL&gt;&lt;FQL&gt;&lt;Q&gt;Ticker0024^FE_ESTIMATE(PRODLINE_EBIT_17,MEAN,QUARTERLY_ROLL,2022/1F,45778,,,'')&lt;/Q&gt;&lt;R&gt;1&lt;/R&gt;&lt;C&gt;1&lt;/C&gt;&lt;D xsi:type="xsd:double"&gt;5095&lt;/D&gt;&lt;/FQL&gt;&lt;FQL&gt;&lt;Q&gt;Ticker0024^FE_ESTIMATE(PRODLINE_EBIT_17,MEAN,ANNUAL_ROLL,2021,45778,,,'')&lt;/Q&gt;&lt;R&gt;1&lt;/R&gt;&lt;C&gt;1&lt;/C&gt;&lt;D xsi:type="xsd:double"&gt;19439.25&lt;/D&gt;&lt;/FQL&gt;&lt;FQL&gt;&lt;Q&gt;Ticker0024^FE_ESTIMATE(PRODLINE_EBIT_17,MEAN,QUARTERLY_ROLL,2021/4F,45778,,,'')&lt;/Q&gt;&lt;R&gt;1&lt;/R&gt;&lt;C&gt;1&lt;/C&gt;&lt;D xsi:type="xsd:double"&gt;4873&lt;/D&gt;&lt;/FQL&gt;&lt;FQL&gt;&lt;Q&gt;Ticker0024^FE_ESTIMATE(PRODLINE_EBIT_17,MEAN,QUARTERLY_ROLL,2021/3F,45778,,,'')&lt;/Q&gt;&lt;R&gt;1&lt;/R&gt;&lt;C&gt;1&lt;/C&gt;&lt;D xsi:type="xsd:double"&gt;4594&lt;/D&gt;&lt;/FQL&gt;&lt;FQL&gt;&lt;Q&gt;Ticker0024^FE_ESTIMATE(PRODLINE_EBIT_17,MEAN,QUARTERLY_ROLL,2021/2F,45778,,,'')&lt;/Q&gt;&lt;R&gt;1&lt;/R&gt;&lt;C&gt;1&lt;/C&gt;&lt;D xsi:type="xsd:double"&gt;5224&lt;/D&gt;&lt;/FQL&gt;&lt;FQL&gt;&lt;Q&gt;Ticker0024^FE_ESTIMATE(PRODLINE_EBIT_17,MEAN,QUARTERLY_ROLL,2021/1F,45778,,,'')&lt;/Q&gt;&lt;R&gt;1&lt;/R&gt;&lt;C&gt;1&lt;/C&gt;&lt;D xsi:type="xsd:double"&gt;4748&lt;/D&gt;&lt;/FQL&gt;&lt;FQL&gt;&lt;Q&gt;Ticker0024^FE_ESTIMATE(PRODLINE_EBIT_17,MEAN,ANNUAL_ROLL,2020,45778,,,'')&lt;/Q&gt;&lt;R&gt;1&lt;/R&gt;&lt;C&gt;1&lt;/C&gt;&lt;D xsi:type="xsd:double"&gt;15895.667&lt;/D&gt;&lt;/FQL&gt;&lt;FQL&gt;&lt;Q&gt;Ticker0024^FE_ESTIMATE(PRODLINE_EBIT_17,MEAN,QUARTERLY_ROLL,2020/4F,45778,,,'')&lt;/Q&gt;&lt;R&gt;1&lt;/R&gt;&lt;C&gt;1&lt;/C&gt;&lt;D xsi:type="xsd:double"&gt;4075.3333&lt;/D&gt;&lt;/FQL&gt;&lt;FQL&gt;&lt;Q&gt;Ticker0024^FE_ESTIMATE(PRODLINE_EBIT_17,MEAN,QUARTERLY_ROLL,2020/3F,45778,,,'')&lt;/Q&gt;&lt;R&gt;1&lt;/R&gt;&lt;C&gt;1&lt;/C&gt;&lt;D xsi:type="xsd:double"&gt;3627&lt;/D&gt;&lt;/FQL&gt;&lt;FQL&gt;&lt;Q&gt;Ticker0024^FE_ESTIMATE(PRODLINE_EBIT_17,MEAN,QUARTERLY_ROLL,2020/2F,45778,,,'')&lt;/Q&gt;&lt;R&gt;1&lt;/R&gt;&lt;C&gt;1&lt;/C&gt;&lt;D xsi:type="xsd:double"&gt;4178&lt;/D&gt;&lt;/FQL&gt;&lt;FQL&gt;&lt;Q&gt;Ticker0024^FE_ESTIMATE(PRODLINE_EBIT_17,MEAN,QUARTERLY_ROLL,2020/1F,45778,,,'')&lt;/Q&gt;&lt;R&gt;1&lt;/R&gt;&lt;C&gt;1&lt;/C&gt;&lt;D xsi:type="xsd:double"&gt;4015&lt;/D&gt;&lt;/FQL&gt;&lt;FQL&gt;&lt;Q&gt;Ticker0024^FE_ESTIMATE(PRODLINE_EBIT_17,MEAN,ANNUAL_ROLL,2019,45778,,,'')&lt;/Q&gt;&lt;R&gt;1&lt;/R&gt;&lt;C&gt;1&lt;/C&gt;&lt;D xsi:type="xsd:double"&gt;12820&lt;/D&gt;&lt;/FQL&gt;&lt;FQL&gt;&lt;Q&gt;Ticker0024^FE_ESTIMATE(PRODLINE_EBIT_17,MEAN,QUARTERLY_ROLL,2019/4F,45778,,,'')&lt;/Q&gt;&lt;R&gt;1&lt;/R&gt;&lt;C&gt;1&lt;/C&gt;&lt;D xsi:type="xsd:double"&gt;3559&lt;/D&gt;&lt;/FQL&gt;&lt;FQL&gt;&lt;Q&gt;Ticker0024^FE_ESTIMATE(PRODLINE_EBIT_17,MEAN,QUARTERLY_ROLL,2019/3F,45778,,,'')&lt;/Q&gt;&lt;R&gt;1&lt;/R&gt;&lt;C&gt;1&lt;/C&gt;&lt;D xsi:type="xsd:double"&gt;3154&lt;/D&gt;&lt;/FQL&gt;&lt;FQL&gt;&lt;Q&gt;Ticker0024^FE_ESTIMATE(PRODLINE_EBIT_17,MEAN,QUARTERLY_ROLL,2019/2F,45778,,,'')&lt;/Q&gt;&lt;R&gt;1&lt;/R&gt;&lt;C&gt;1&lt;/C&gt;&lt;D xsi:type="xsd:double"&gt;2964&lt;/D&gt;&lt;/FQL&gt;&lt;FQL&gt;&lt;Q&gt;Ticker0024^FE_ESTIMATE(PRODLINE_EBIT_17,MEAN,QUARTERLY_ROLL,2019/1F,45778,,,'')&lt;/Q&gt;&lt;R&gt;1&lt;/R&gt;&lt;C&gt;1&lt;/C&gt;&lt;D xsi:type="xsd:double"&gt;3143&lt;/D&gt;&lt;/FQL&gt;&lt;FQL&gt;&lt;Q&gt;Ticker0024^FE_ESTIMATE(PRODLINE_EBIT_17,MEAN,ANNUAL_ROLL,2018,45778,,,'')&lt;/Q&gt;&lt;R&gt;1&lt;/R&gt;&lt;C&gt;1&lt;/C&gt;&lt;D xsi:type="xsd:double"&gt;10610.25&lt;/D&gt;&lt;/FQL&gt;&lt;FQL&gt;&lt;Q&gt;Ticker0024^FE_ESTIMATE(PRODLINE_EBIT_17,MEAN,QUARTERLY_ROLL,2018/4F,45778,,,'')&lt;/Q&gt;&lt;R&gt;1&lt;/R&gt;&lt;C&gt;1&lt;/C&gt;&lt;D xsi:type="xsd:double"&gt;3012&lt;/D&gt;&lt;/FQL&gt;&lt;FQL&gt;&lt;Q&gt;Ticker0024^FE_ESTIMATE(PRODLINE_EBIT_17,MEAN,QUARTERLY_ROLL,2018/3F,45778,,,'')&lt;/Q&gt;&lt;R&gt;1&lt;/R&gt;&lt;C&gt;1&lt;/C&gt;&lt;D xsi:type="xsd:double"&gt;2523&lt;/D&gt;&lt;/FQL&gt;&lt;FQL&gt;&lt;Q&gt;Ticker0024^FE_ESTIMATE(PRODLINE_EBIT_17,MEAN,QUARTERLY_ROLL,2018/2F,45778,,,'')&lt;/Q&gt;&lt;R&gt;1&lt;/R&gt;&lt;C&gt;1&lt;/C&gt;&lt;D xsi:type="xsd:double"&gt;2510&lt;/D&gt;&lt;/FQL&gt;&lt;FQL&gt;&lt;Q&gt;Ticker0024^FE_ESTIMATE(PRODLINE_EBIT_17,MEAN,QUARTERLY_ROLL,2018/1F,45778,,,'')&lt;/Q&gt;&lt;R&gt;1&lt;/R&gt;&lt;C&gt;1&lt;/C&gt;&lt;D xsi:type="xsd:double"&gt;2565&lt;/D&gt;&lt;/FQL&gt;&lt;FQL&gt;&lt;Q&gt;Ticker0024^FE_ESTIMATE(PRODLINE_EBIT_17,MEAN,ANNUAL_ROLL,2017,45778,,,'')&lt;/Q&gt;&lt;R&gt;1&lt;/R&gt;&lt;C&gt;1&lt;/C&gt;&lt;D xsi:type="xsd:double"&gt;8288&lt;/D&gt;&lt;/FQL&gt;&lt;FQL&gt;&lt;Q&gt;Ticker0024^FE_ESTIMATE(PRODLINE_EBIT_17,MEAN,QUARTERLY_ROLL,2017/4F,45778,,,'')&lt;/Q&gt;&lt;R&gt;1&lt;/R&gt;&lt;C&gt;1&lt;/C&gt;&lt;D xsi:type="xsd:double"&gt;1764&lt;/D&gt;&lt;/FQL&gt;&lt;FQL&gt;&lt;Q&gt;Ticker0024^FE_ESTIMATE(PRODLINE_EBIT_17,MEAN,QUARTERLY_ROLL,2017/3F,45778,,,'')&lt;/Q&gt;&lt;R&gt;1&lt;/R&gt;&lt;C&gt;1&lt;/C&gt;&lt;D xsi:type="xsd:double"&gt;2097&lt;/D&gt;&lt;/FQL&gt;&lt;FQL&gt;&lt;Q&gt;Ticker0024^FE_ESTIMATE(PRODLINE_EBIT_17,MEAN,QUARTERLY_ROLL,2017/2F,45778,,,'')&lt;/Q&gt;&lt;R&gt;1&lt;/R&gt;&lt;C&gt;1&lt;/C&gt;&lt;D xsi:type="xsd:double"&gt;2499&lt;/D&gt;&lt;/FQL&gt;&lt;FQL&gt;&lt;Q&gt;Ticker0024^FE_ESTIMATE(PRODLINE_EBIT_17,MEAN,QUARTERLY_ROLL,2017/1F,45778,,,'')&lt;/Q&gt;&lt;R&gt;1&lt;/R&gt;&lt;C&gt;1&lt;/C&gt;&lt;D xsi:type="xsd:double"&gt;1928&lt;/D&gt;&lt;/FQL&gt;&lt;FQL&gt;&lt;Q&gt;Ticker0024^FE_ESTIMATE(PRODLINE_EBIT_17,MEAN,ANNUAL_ROLL,2016,45778,,,'')&lt;/Q&gt;&lt;R&gt;1&lt;/R&gt;&lt;C&gt;1&lt;/C&gt;&lt;D xsi:type="xsd:double"&gt;6167.3335&lt;/D&gt;&lt;/FQL&gt;&lt;FQL&gt;&lt;Q&gt;Ticker0024^FE_ESTIMATE(PRODLINE_EBIT_17,MEAN,QUARTERLY_ROLL,2016/4F,45778,,,'')&lt;/Q&gt;&lt;R&gt;1&lt;/R&gt;&lt;C&gt;1&lt;/C&gt;&lt;D xsi:type="xsd:double"&gt;964&lt;/D&gt;&lt;/FQL&gt;&lt;FQL&gt;&lt;Q&gt;Ticker0024^FE_ESTIMATE(PRODLINE_EBIT_17,MEAN,QUARTERLY_ROLL,2016/3F,45778,,,'')&lt;/Q&gt;&lt;R&gt;1&lt;/R&gt;&lt;C&gt;1&lt;/C&gt;&lt;D xsi:type="xsd:double"&gt;1645&lt;/D&gt;&lt;/FQL&gt;&lt;FQL&gt;&lt;Q&gt;Ticker0024^FE_ESTIMATE(PRODLINE_EBIT_17,MEAN,QUARTERLY_ROLL,2016/2F,45778,,,'')&lt;/Q&gt;&lt;R&gt;0&lt;/R&gt;&lt;C&gt;0&lt;/C&gt;&lt;/FQL&gt;&lt;FQL&gt;&lt;Q&gt;Ticker0024^FE_ESTIMATE(PRODLINE_EBIT_17,MEAN,QUARTERLY_ROLL,2016/1F,45778,,,'')&lt;/Q&gt;&lt;R&gt;0&lt;/R&gt;&lt;C&gt;0&lt;/C&gt;&lt;/FQL&gt;&lt;FQL&gt;&lt;Q&gt;Ticker0024^FE_ESTIMATE(PRODLINE_EBIT_17,MEAN,ANNUAL_ROLL,2015,45778,,,'')&lt;/Q&gt;&lt;R&gt;0&lt;/R&gt;&lt;C&gt;0&lt;/C&gt;&lt;/FQL&gt;&lt;FQL&gt;&lt;Q&gt;Ticker0024^FE_ESTIMATE(PRODLINE_EBIT_17,MEAN,QUARTERLY_ROLL,2015/4F,45778,,,'')&lt;/Q&gt;&lt;R&gt;0&lt;/R&gt;&lt;C&gt;0&lt;/C&gt;&lt;/FQL&gt;&lt;FQL&gt;&lt;Q&gt;Ticker0024^FE_ESTIMATE(PRODLINE_EBIT_17,MEAN,QUARTERLY_ROLL,2015/3F,45778,,,'')&lt;/Q&gt;&lt;R&gt;0&lt;/R&gt;&lt;C&gt;0&lt;/C&gt;&lt;/FQL&gt;&lt;FQL&gt;&lt;Q&gt;Ticker0024^FE_ESTIMATE(PRODLINE_EBIT_17,MEAN,QUARTERLY_ROLL,2015/2F,45778,,,'')&lt;/Q&gt;&lt;R&gt;0&lt;/R&gt;&lt;C&gt;0&lt;/C&gt;&lt;/FQL&gt;&lt;FQL&gt;&lt;Q&gt;Ticker0024^FE_ESTIMATE(PRODLINE_EBIT_17,MEAN,QUARTERLY_ROLL,2015/1F,45778,,,'')&lt;/Q&gt;&lt;R&gt;0&lt;/R&gt;&lt;C&gt;0&lt;/C&gt;&lt;/FQL&gt;&lt;FQL&gt;&lt;Q&gt;Ticker0024^FE_ESTIMATE(PRODLINE_EBIT_16,MEAN,ANNUAL_ROLL,2030,45778,,,'')&lt;/Q&gt;&lt;R&gt;0&lt;/R&gt;&lt;C&gt;0&lt;/C&gt;&lt;/FQL&gt;&lt;FQL&gt;&lt;Q&gt;Ticker0024^FE_ESTIMATE(PRODLINE_EBIT_16,MEAN,QUARTERLY_ROLL,2030/4F,45778,,,'')&lt;/Q&gt;&lt;R&gt;0&lt;/R&gt;&lt;C&gt;0&lt;/C&gt;&lt;/FQL&gt;&lt;FQL&gt;&lt;Q&gt;Ticker0024^FE_ESTIMATE(PRODLINE_EBIT_16,MEAN,QUARTERLY_ROLL,2030/3F,45778,,,'')&lt;/Q&gt;&lt;R&gt;0&lt;/R&gt;&lt;C&gt;0&lt;/C&gt;&lt;/FQL&gt;&lt;FQL&gt;&lt;Q&gt;Ticker0024^FE_ESTIMATE(PRODLINE_EBIT_16,MEAN,QUARTERLY_ROLL,2030/2F,45778,,,'')&lt;/Q&gt;&lt;R&gt;0&lt;/R&gt;&lt;C&gt;0&lt;/C&gt;&lt;/FQL&gt;&lt;FQL&gt;&lt;Q&gt;Ticker0024^FE_ESTIMATE(PRODLINE_EBIT_16,MEAN,QUARTERLY_ROLL,2030/1F,45778,,,'')&lt;/Q&gt;&lt;R&gt;0&lt;/R&gt;&lt;C&gt;0&lt;/C&gt;&lt;/FQL&gt;&lt;FQL&gt;&lt;Q&gt;Ticker0024^FE_ESTIMATE(PRODLINE_EBIT_16,MEAN,ANNUAL_ROLL,2029,45778,,,'')&lt;/Q&gt;&lt;R&gt;0&lt;/R&gt;&lt;C&gt;0&lt;/C&gt;&lt;/FQL&gt;&lt;FQL&gt;&lt;Q&gt;Ticker0024^FE_ESTIMATE(PRODLINE_EBIT_16,MEAN,QUARTERLY_ROLL,2029/4F,45778,,,'')&lt;/Q&gt;&lt;R&gt;0&lt;/R&gt;&lt;C&gt;0&lt;/C&gt;&lt;/FQL&gt;&lt;FQL&gt;&lt;Q&gt;Ticker0024^FE_ESTIMATE(PRODLINE_EBIT_16,MEAN,QUARTERLY_ROLL,2029/3F,45778,,,'')&lt;/Q&gt;&lt;R&gt;0&lt;/R&gt;&lt;C&gt;0&lt;/C&gt;&lt;/FQL&gt;&lt;FQL&gt;&lt;Q&gt;Ticker0024^FE_ESTIMATE(PRODLINE_EBIT_16,MEAN,QUARTERLY_ROLL,2029/2F,45778,,,'')&lt;/Q&gt;&lt;R&gt;0&lt;/R&gt;&lt;C&gt;0&lt;/C&gt;&lt;/FQL&gt;&lt;FQL&gt;&lt;Q&gt;Ticker0024^FE_ESTIMATE(PRODLINE_EBIT_16,MEAN,QUARTERLY_ROLL,2029/1F,45778,,,'')&lt;/Q&gt;&lt;R&gt;0&lt;/R&gt;&lt;C&gt;0&lt;/C&gt;&lt;/FQL&gt;&lt;FQL&gt;&lt;Q&gt;Ticker0024^FE_ESTIMATE</t>
        </r>
      </text>
    </comment>
    <comment ref="A53" authorId="0" shapeId="0" xr:uid="{3C694B95-C768-401E-B189-4655B3C66611}">
      <text>
        <r>
          <rPr>
            <b/>
            <sz val="9"/>
            <color indexed="81"/>
            <rFont val="Tahoma"/>
            <family val="2"/>
          </rPr>
          <t>(PRODLINE_EBIT_16,MEAN,ANNUAL_ROLL,2028,45778,,,'')&lt;/Q&gt;&lt;R&gt;1&lt;/R&gt;&lt;C&gt;1&lt;/C&gt;&lt;D xsi:type="xsd:double"&gt;88201&lt;/D&gt;&lt;/FQL&gt;&lt;FQL&gt;&lt;Q&gt;Ticker0024^FE_ESTIMATE(PRODLINE_EBIT_16,MEAN,QUARTERLY_ROLL,2028/4F,45778,,,'')&lt;/Q&gt;&lt;R&gt;0&lt;/R&gt;&lt;C&gt;0&lt;/C&gt;&lt;/FQL&gt;&lt;FQL&gt;&lt;Q&gt;Ticker0024^FE_ESTIMATE(PRODLINE_EBIT_16,MEAN,QUARTERLY_ROLL,2028/3F,45778,,,'')&lt;/Q&gt;&lt;R&gt;0&lt;/R&gt;&lt;C&gt;0&lt;/C&gt;&lt;/FQL&gt;&lt;FQL&gt;&lt;Q&gt;Ticker0024^FE_ESTIMATE(PRODLINE_EBIT_16,MEAN,QUARTERLY_ROLL,2028/2F,45778,,,'')&lt;/Q&gt;&lt;R&gt;0&lt;/R&gt;&lt;C&gt;0&lt;/C&gt;&lt;/FQL&gt;&lt;FQL&gt;&lt;Q&gt;Ticker0024^FE_ESTIMATE(PRODLINE_EBIT_16,MEAN,QUARTERLY_ROLL,2028/1F,45778,,,'')&lt;/Q&gt;&lt;R&gt;0&lt;/R&gt;&lt;C&gt;0&lt;/C&gt;&lt;/FQL&gt;&lt;FQL&gt;&lt;Q&gt;Ticker0024^FE_ESTIMATE(PRODLINE_EBIT_16,MEAN,ANNUAL_ROLL,2027,45778,,,'')&lt;/Q&gt;&lt;R&gt;1&lt;/R&gt;&lt;C&gt;1&lt;/C&gt;&lt;D xsi:type="xsd:double"&gt;66735.664&lt;/D&gt;&lt;/FQL&gt;&lt;FQL&gt;&lt;Q&gt;Ticker0024^FE_ESTIMATE(PRODLINE_EBIT_16,MEAN,QUARTERLY_ROLL,2027/4F,45778,,,'')&lt;/Q&gt;&lt;R&gt;0&lt;/R&gt;&lt;C&gt;0&lt;/C&gt;&lt;/FQL&gt;&lt;FQL&gt;&lt;Q&gt;Ticker0024^FE_ESTIMATE(PRODLINE_EBIT_16,MEAN,QUARTERLY_ROLL,2027/3F,45778,,,'')&lt;/Q&gt;&lt;R&gt;0&lt;/R&gt;&lt;C&gt;0&lt;/C&gt;&lt;/FQL&gt;&lt;FQL&gt;&lt;Q&gt;Ticker0024^FE_ESTIMATE(PRODLINE_EBIT_16,MEAN,QUARTERLY_ROLL,2027/2F,45778,,,'')&lt;/Q&gt;&lt;R&gt;0&lt;/R&gt;&lt;C&gt;0&lt;/C&gt;&lt;/FQL&gt;&lt;FQL&gt;&lt;Q&gt;Ticker0024^FE_ESTIMATE(PRODLINE_EBIT_16,MEAN,QUARTERLY_ROLL,2027/1F,45778,,,'')&lt;/Q&gt;&lt;R&gt;0&lt;/R&gt;&lt;C&gt;0&lt;/C&gt;&lt;/FQL&gt;&lt;FQL&gt;&lt;Q&gt;Ticker0024^FE_ESTIMATE(PRODLINE_EBIT_16,MEAN,ANNUAL_ROLL,2026,45778,,,'')&lt;/Q&gt;&lt;R&gt;1&lt;/R&gt;&lt;C&gt;1&lt;/C&gt;&lt;D xsi:type="xsd:double"&gt;56493.25&lt;/D&gt;&lt;/FQL&gt;&lt;FQL&gt;&lt;Q&gt;Ticker0024^FE_ESTIMATE(PRODLINE_EBIT_16,MEAN,QUARTERLY_ROLL,2026/4F,45778,,,'')&lt;/Q&gt;&lt;R&gt;1&lt;/R&gt;&lt;C&gt;1&lt;/C&gt;&lt;D xsi:type="xsd:double"&gt;14941.333&lt;/D&gt;&lt;/FQL&gt;&lt;FQL&gt;&lt;Q&gt;Ticker0024^FE_ESTIMATE(PRODLINE_EBIT_16,MEAN,QUARTERLY_ROLL,2026/3F,45778,,,'')&lt;/Q&gt;&lt;R&gt;1&lt;/R&gt;&lt;C&gt;1&lt;/C&gt;&lt;D xsi:type="xsd:double"&gt;14149&lt;/D&gt;&lt;/FQL&gt;&lt;FQL&gt;&lt;Q&gt;Ticker0024^FE_ESTIMATE(PRODLINE_EBIT_16,MEAN,QUARTERLY_ROLL,2026/2F,45778,,,'')&lt;/Q&gt;&lt;R&gt;1&lt;/R&gt;&lt;C&gt;1&lt;/C&gt;&lt;D xsi:type="xsd:double"&gt;13690.667&lt;/D&gt;&lt;/FQL&gt;&lt;FQL&gt;&lt;Q&gt;Ticker0024^FE_ESTIMATE(PRODLINE_EBIT_16,MEAN,QUARTERLY_ROLL,2026/1F,45778,,,'')&lt;/Q&gt;&lt;R&gt;1&lt;/R&gt;&lt;C&gt;1&lt;/C&gt;&lt;D xsi:type="xsd:double"&gt;13422&lt;/D&gt;&lt;/FQL&gt;&lt;FQL&gt;&lt;Q&gt;Ticker0024^FE_ESTIMATE(PRODLINE_EBIT_16,MEAN,ANNUAL_ROLL,2025,45778,,,'')&lt;/Q&gt;&lt;R&gt;1&lt;/R&gt;&lt;C&gt;1&lt;/C&gt;&lt;D xsi:type="xsd:double"&gt;46565.6&lt;/D&gt;&lt;/FQL&gt;&lt;FQL&gt;&lt;Q&gt;Ticker0024^FE_ESTIMATE(PRODLINE_EBIT_16,MEAN,QUARTERLY_ROLL,2025/4F,45778,,,'')&lt;/Q&gt;&lt;R&gt;1&lt;/R&gt;&lt;C&gt;1&lt;/C&gt;&lt;D xsi:type="xsd:double"&gt;12562.6&lt;/D&gt;&lt;/FQL&gt;&lt;FQL&gt;&lt;Q&gt;Ticker0024^FE_ESTIMATE(PRODLINE_EBIT_16,MEAN,QUARTERLY_ROLL,2025/3F,45778,,,'')&lt;/Q&gt;&lt;R&gt;1&lt;/R&gt;&lt;C&gt;1&lt;/C&gt;&lt;D xsi:type="xsd:double"&gt;11579.25&lt;/D&gt;&lt;/FQL&gt;&lt;FQL&gt;&lt;Q&gt;Ticker0024^FE_ESTIMATE(PRODLINE_EBIT_16,MEAN,QUARTERLY_ROLL,2025/2F,45778,,,'')&lt;/Q&gt;&lt;R&gt;1&lt;/R&gt;&lt;C&gt;1&lt;/C&gt;&lt;D xsi:type="xsd:double"&gt;11386.8&lt;/D&gt;&lt;/FQL&gt;&lt;FQL&gt;&lt;Q&gt;Ticker0024^FE_ESTIMATE(PRODLINE_EBIT_16,MEAN,QUARTERLY_ROLL,2025/1F,45778,,,'')&lt;/Q&gt;&lt;R&gt;1&lt;/R&gt;&lt;C&gt;1&lt;/C&gt;&lt;D xsi:type="xsd:double"&gt;11013&lt;/D&gt;&lt;/FQL&gt;&lt;FQL&gt;&lt;Q&gt;Ticker0024^FE_ESTIMATE(PRODLINE_EBIT_16,MEAN,ANNUAL_ROLL,2024,45778,,,'')&lt;/Q&gt;&lt;R&gt;1&lt;/R&gt;&lt;C&gt;1&lt;/C&gt;&lt;D xsi:type="xsd:double"&gt;49583.2&lt;/D&gt;&lt;/FQL&gt;&lt;FQL&gt;&lt;Q&gt;Ticker0024^FE_ESTIMATE(PRODLINE_EBIT_16,MEAN,QUARTERLY_ROLL,2024/4F,45778,,,'')&lt;/Q&gt;&lt;R&gt;1&lt;/R&gt;&lt;C&gt;1&lt;/C&gt;&lt;D xsi:type="xsd:double"&gt;12859.2&lt;/D&gt;&lt;/FQL&gt;&lt;FQL&gt;&lt;Q&gt;Ticker0024^FE_ESTIMATE(PRODLINE_EBIT_16,MEAN,QUARTERLY_ROLL,2024/3F,45778,,,'')&lt;/Q&gt;&lt;R&gt;1&lt;/R&gt;&lt;C&gt;1&lt;/C&gt;&lt;D xsi:type="xsd:double"&gt;12512.571&lt;/D&gt;&lt;/FQL&gt;&lt;FQL&gt;&lt;Q&gt;Ticker0024^FE_ESTIMATE(PRODLINE_EBIT_16,MEAN,QUARTERLY_ROLL,2024/2F,45778,,,'')&lt;/Q&gt;&lt;R&gt;1&lt;/R&gt;&lt;C&gt;1&lt;/C&gt;&lt;D xsi:type="xsd:double"&gt;12460.833&lt;/D&gt;&lt;/FQL&gt;&lt;FQL&gt;&lt;Q&gt;Ticker0024^FE_ESTIMATE(PRODLINE_EBIT_16,MEAN,QUARTERLY_ROLL,2024/1F,45778,,,'')&lt;/Q&gt;&lt;R&gt;1&lt;/R&gt;&lt;C&gt;1&lt;/C&gt;&lt;D xsi:type="xsd:double"&gt;11750.8&lt;/D&gt;&lt;/FQL&gt;&lt;FQL&gt;&lt;Q&gt;Ticker0024^FE_ESTIMATE(PRODLINE_EBIT_16,MEAN,ANNUAL_ROLL,2023,45778,,,'')&lt;/Q&gt;&lt;R&gt;1&lt;/R&gt;&lt;C&gt;1&lt;/C&gt;&lt;D xsi:type="xsd:double"&gt;37883.2&lt;/D&gt;&lt;/FQL&gt;&lt;FQL&gt;&lt;Q&gt;Ticker0024^FE_ESTIMATE(PRODLINE_EBIT_16,MEAN,QUARTERLY_ROLL,2023/4F,45778,,,'')&lt;/Q&gt;&lt;R&gt;1&lt;/R&gt;&lt;C&gt;1&lt;/C&gt;&lt;D xsi:type="xsd:double"&gt;10526.8&lt;/D&gt;&lt;/FQL&gt;&lt;FQL&gt;&lt;Q&gt;Ticker0024^FE_ESTIMATE(PRODLINE_EBIT_16,MEAN,QUARTERLY_ROLL,2023/3F,45778,,,'')&lt;/Q&gt;&lt;R&gt;1&lt;/R&gt;&lt;C&gt;1&lt;/C&gt;&lt;D xsi:type="xsd:double"&gt;9476.8&lt;/D&gt;&lt;/FQL&gt;&lt;FQL&gt;&lt;Q&gt;Ticker0024^FE_ESTIMATE(PRODLINE_EBIT_16,MEAN,QUARTERLY_ROLL,2023/2F,45778,,,'')&lt;/Q&gt;&lt;R&gt;1&lt;/R&gt;&lt;C&gt;1&lt;/C&gt;&lt;D xsi:type="xsd:double"&gt;8903.2&lt;/D&gt;&lt;/FQL&gt;&lt;FQL&gt;&lt;Q&gt;Ticker0024^FE_ESTIMATE(PRODLINE_EBIT_16,MEAN,QUARTERLY_ROLL,2023/1F,45778,,,'')&lt;/Q&gt;&lt;R&gt;1&lt;/R&gt;&lt;C&gt;1&lt;/C&gt;&lt;D xsi:type="xsd:double"&gt;8954.6&lt;/D&gt;&lt;/FQL&gt;&lt;FQL&gt;&lt;Q&gt;Ticker0024^FE_ESTIMATE(PRODLINE_EBIT_16,MEAN,ANNUAL_ROLL,2022,45778,,,'')&lt;/Q&gt;&lt;R&gt;1&lt;/R&gt;&lt;C&gt;1&lt;/C&gt;&lt;D xsi:type="xsd:double"&gt;32708.6&lt;/D&gt;&lt;/FQL&gt;&lt;FQL&gt;&lt;Q&gt;Ticker0024^FE_ESTIMATE(PRODLINE_EBIT_16,MEAN,QUARTERLY_ROLL,2022/4F,45778,,,'')&lt;/Q&gt;&lt;R&gt;1&lt;/R&gt;&lt;C&gt;1&lt;/C&gt;&lt;D xsi:type="xsd:double"&gt;8668.8&lt;/D&gt;&lt;/FQL&gt;&lt;FQL&gt;&lt;Q&gt;Ticker0024^FE_ESTIMATE(PRODLINE_EBIT_16,MEAN,QUARTERLY_ROLL,2022/3F,45778,,,'')&lt;/Q&gt;&lt;R&gt;1&lt;/R&gt;&lt;C&gt;1&lt;/C&gt;&lt;D xsi:type="xsd:double"&gt;8281&lt;/D&gt;&lt;/FQL&gt;&lt;FQL&gt;&lt;Q&gt;Ticker0024^FE_ESTIMATE(PRODLINE_EBIT_16,MEAN,QUARTERLY_ROLL,2022/2F,45778,,,'')&lt;/Q&gt;&lt;R&gt;1&lt;/R&gt;&lt;C&gt;1&lt;/C&gt;&lt;D xsi:type="xsd:double"&gt;8197&lt;/D&gt;&lt;/FQL&gt;&lt;FQL&gt;&lt;Q&gt;Ticker0024^FE_ESTIMATE(PRODLINE_EBIT_16,MEAN,QUARTERLY_ROLL,2022/1F,45778,,,'')&lt;/Q&gt;&lt;R&gt;1&lt;/R&gt;&lt;C&gt;1&lt;/C&gt;&lt;D xsi:type="xsd:double"&gt;7562&lt;/D&gt;&lt;/FQL&gt;&lt;FQL&gt;&lt;Q&gt;Ticker0024^FE_ESTIMATE(PRODLINE_EBIT_16,MEAN,ANNUAL_ROLL,2021,45778,,,'')&lt;/Q&gt;&lt;R&gt;1&lt;/R&gt;&lt;C&gt;1&lt;/C&gt;&lt;D xsi:type="xsd:double"&gt;26126&lt;/D&gt;&lt;/FQL&gt;&lt;FQL&gt;&lt;Q&gt;Ticker0024^FE_ESTIMATE(PRODLINE_EBIT_16,MEAN,QUARTERLY_ROLL,2021/4F,45778,,,'')&lt;/Q&gt;&lt;R&gt;1&lt;/R&gt;&lt;C&gt;1&lt;/C&gt;&lt;D xsi:type="xsd:double"&gt;7787&lt;/D&gt;&lt;/FQL&gt;&lt;FQL&gt;&lt;Q&gt;Ticker0024^FE_ESTIMATE(PRODLINE_EBIT_16,MEAN,QUARTERLY_ROLL,2021/3F,45778,,,'')&lt;/Q&gt;&lt;R&gt;1&lt;/R&gt;&lt;C&gt;1&lt;/C&gt;&lt;D xsi:type="xsd:double"&gt;6425&lt;/D&gt;&lt;/FQL&gt;&lt;FQL&gt;&lt;Q&gt;Ticker0024^FE_ESTIMATE(PRODLINE_EBIT_16,MEAN,QUARTERLY_ROLL,2021/2F,45778,,,'')&lt;/Q&gt;&lt;R&gt;1&lt;/R&gt;&lt;C&gt;1&lt;/C&gt;&lt;D xsi:type="xsd:double"&gt;6492&lt;/D&gt;&lt;/FQL&gt;&lt;FQL&gt;&lt;Q&gt;Ticker0024^FE_ESTIMATE(PRODLINE_EBIT_16,MEAN,QUARTERLY_ROLL,2021/1F,45778,,,'')&lt;/Q&gt;&lt;R&gt;1&lt;/R&gt;&lt;C&gt;1&lt;/C&gt;&lt;D xsi:type="xsd:double"&gt;5422&lt;/D&gt;&lt;/FQL&gt;&lt;FQL&gt;&lt;Q&gt;Ticker0024^FE_ESTIMATE(PRODLINE_EBIT_16,MEAN,ANNUAL_ROLL,2020,45778,,,'')&lt;/Q&gt;&lt;R&gt;1&lt;/R&gt;&lt;C&gt;1&lt;/C&gt;&lt;D xsi:type="xsd:double"&gt;18188.334&lt;/D&gt;&lt;/FQL&gt;&lt;FQL&gt;&lt;Q&gt;Ticker0024^FE_ESTIMATE(PRODLINE_EBIT_16,MEAN,QUARTERLY_ROLL,2020/4F,45778,,,'')&lt;/Q&gt;&lt;R&gt;1&lt;/R&gt;&lt;C&gt;1&lt;/C&gt;&lt;D xsi:type="xsd:double"&gt;5208.3335&lt;/D&gt;&lt;/FQL&gt;&lt;FQL&gt;&lt;Q&gt;Ticker0024^FE_ESTIMATE(PRODLINE_EBIT_16,MEAN,QUARTERLY_ROLL,2020/3F,45778,,,'')&lt;/Q&gt;&lt;R&gt;1&lt;/R&gt;&lt;C&gt;1&lt;/C&gt;&lt;D xsi:type="xsd:double"&gt;4560&lt;/D&gt;&lt;/FQL&gt;&lt;FQL&gt;&lt;Q&gt;Ticker0024^FE_ESTIMATE(PRODLINE_EBIT_16,MEAN,QUARTERLY_ROLL,2020/2F,45778,,,'')&lt;/Q&gt;&lt;R&gt;1&lt;/R&gt;&lt;C&gt;1&lt;/C&gt;&lt;D xsi:type="xsd:double"&gt;4531&lt;/D&gt;&lt;/FQL&gt;&lt;FQL&gt;&lt;Q&gt;Ticker0024^FE_ESTIMATE(PRODLINE_EBIT_16,MEAN,QUARTERLY_ROLL,2020/1F,45778,,,'')&lt;/Q&gt;&lt;R&gt;1&lt;/R&gt;&lt;C&gt;1&lt;/C&gt;&lt;D xsi:type="xsd:double"&gt;3889&lt;/D&gt;&lt;/FQL&gt;&lt;FQL&gt;&lt;Q&gt;Ticker0024^FE_ESTIMATE(PRODLINE_EBIT_16,MEAN,ANNUAL_ROLL,2019,45778,,,'')&lt;/Q&gt;&lt;R&gt;1&lt;/R&gt;&lt;C&gt;1&lt;/C&gt;&lt;D xsi:type="xsd:double"&gt;13920&lt;/D&gt;&lt;/FQL&gt;&lt;FQL&gt;&lt;Q&gt;Ticker0024^FE_ESTIMATE(PRODLINE_EBIT_16,MEAN,QUARTERLY_ROLL,2019/4F,45778,,,'')&lt;/Q&gt;&lt;R&gt;1&lt;/R&gt;&lt;C&gt;1&lt;/C&gt;&lt;D xsi:type="xsd:double"&gt;4502&lt;/D&gt;&lt;/FQL&gt;&lt;FQL&gt;&lt;Q&gt;Ticker0024^FE_ESTIMATE(PRODLINE_EBIT_16,MEAN,QUARTERLY_ROLL,2019/3F,45778,,,'')&lt;/Q&gt;&lt;R&gt;1&lt;/R&gt;&lt;C&gt;1&lt;/C&gt;&lt;D xsi:type="xsd:double"&gt;3208&lt;/D&gt;&lt;/FQL&gt;&lt;FQL&gt;&lt;Q&gt;Ticker0024^FE_ESTIMATE(PRODLINE_EBIT_16,MEAN,QUARTERLY_ROLL,2019/2F,45778,,,'')&lt;/Q&gt;&lt;R&gt;1&lt;/R&gt;&lt;C&gt;1&lt;/C&gt;&lt;D xsi:type="xsd:double"&gt;3278.75&lt;/D&gt;&lt;/FQL&gt;&lt;FQL&gt;&lt;Q&gt;Ticker0024^FE_ESTIMATE(PRODLINE_EBIT_16,MEAN,QUARTERLY_ROLL,2019/1F,45778,,,'')&lt;/Q&gt;&lt;R&gt;1&lt;/R&gt;&lt;C&gt;1&lt;/C&gt;&lt;D xsi:type="xsd:double"&gt;2931&lt;/D&gt;&lt;/FQL&gt;&lt;FQL&gt;&lt;Q&gt;Ticker0024^FE_ESTIMATE(PRODLINE_EBIT_16,MEAN,ANNUAL_ROLL,2018,45778,,,'')&lt;/Q&gt;&lt;R&gt;1&lt;/R&gt;&lt;C&gt;1&lt;/C&gt;&lt;D xsi:type="xsd:double"&gt;11524&lt;/D&gt;&lt;/FQL&gt;&lt;FQL&gt;&lt;Q&gt;Ticker0024^FE_ESTIMATE(PRODLINE_EBIT_16,MEAN,QUARTERLY_ROLL,2018/4F,45778,,,'')&lt;/Q&gt;&lt;R&gt;1&lt;/R&gt;&lt;C&gt;1&lt;/C&gt;&lt;D xsi:type="xsd:double"&gt;3901&lt;/D&gt;&lt;/FQL&gt;&lt;FQL&gt;&lt;Q&gt;Ticker0024^FE_ESTIMATE(PRODLINE_EBIT_16,MEAN,QUARTERLY_ROLL,2018/3F,45778,,,'')&lt;/Q&gt;&lt;R&gt;1&lt;/R&gt;&lt;C&gt;1&lt;/C&gt;&lt;D xsi:type="xsd:double"&gt;2654&lt;/D&gt;&lt;/FQL&gt;&lt;FQL&gt;&lt;Q&gt;Ticker0024^FE_ESTIMATE(PRODLINE_EBIT_16,MEAN,QUARTERLY_ROLL,2018/2F,45778,,,'')&lt;/Q&gt;&lt;R&gt;1&lt;/R&gt;&lt;C&gt;1&lt;/C&gt;&lt;D xsi:type="xsd:double"&gt;2832&lt;/D&gt;&lt;/FQL&gt;&lt;FQL&gt;&lt;Q&gt;Ticker0024^FE_ESTIMATE(PRODLINE_EBIT_16,MEAN,QUARTERLY_ROLL,2018/1F,45778,,,'')&lt;/Q&gt;&lt;R&gt;1&lt;/R&gt;&lt;C&gt;1&lt;/C&gt;&lt;D xsi:type="xsd:double"&gt;2137&lt;/D&gt;&lt;/FQL&gt;&lt;FQL&gt;&lt;Q&gt;Ticker0024^FE_ESTIMATE(PRODLINE_EBIT_16,MEAN,ANNUAL_ROLL,2017,45778,,,'')&lt;/Q&gt;&lt;R&gt;1&lt;/R&gt;&lt;C&gt;1&lt;/C&gt;&lt;D xsi:type="xsd:double"&gt;9138&lt;/D&gt;&lt;/FQL&gt;&lt;FQL&gt;&lt;Q&gt;Ticker0024^FE_ESTIMATE(PRODLINE_EBIT_16,MEAN,QUARTERLY_ROLL,2017/4F,45778,,,'')&lt;/Q&gt;&lt;R&gt;1&lt;/R&gt;&lt;C&gt;1&lt;/C&gt;&lt;D xsi:type="xsd:double"&gt;2501&lt;/D&gt;&lt;/FQL&gt;&lt;FQL&gt;&lt;Q&gt;Ticker0024^FE_ESTIMATE(PRODLINE_EBIT_16,MEAN,QUARTERLY_ROLL,2017/3F,45778,,,'')&lt;/Q&gt;&lt;R&gt;1&lt;/R&gt;&lt;C&gt;1&lt;/C&gt;&lt;D xsi:type="xsd:double"&gt;2181&lt;/D&gt;&lt;/FQL&gt;&lt;FQL&gt;&lt;Q&gt;Ticker0024^FE_ESTIMATE(PRODLINE_EBIT_16,MEAN,QUARTERLY_ROLL,2017/2F,45778,,,'')&lt;/Q&gt;&lt;R&gt;1&lt;/R&gt;&lt;C&gt;1&lt;/C&gt;&lt;D xsi:type="xsd:double"&gt;2398&lt;/D&gt;&lt;/FQL&gt;&lt;FQL&gt;&lt;Q&gt;Ticker0024^FE_ESTIMATE(PRODLINE_EBIT_16,MEAN,QUARTERLY_ROLL,2017/1F,45778,,,'')&lt;/Q&gt;&lt;R&gt;1&lt;/R&gt;&lt;C&gt;1&lt;/C&gt;&lt;D xsi:type="xsd:double"&gt;2058&lt;/D&gt;&lt;/FQL&gt;&lt;FQL&gt;&lt;Q&gt;Ticker0024^FE_ESTIMATE(PRODLINE_EBIT_16,MEAN,ANNUAL_ROLL,2016,45778,,,'')&lt;/Q&gt;&lt;R&gt;1&lt;/R&gt;&lt;C&gt;1&lt;/C&gt;&lt;D xsi:type="xsd:double"&gt;9357&lt;/D&gt;&lt;/FQL&gt;&lt;FQL&gt;&lt;Q&gt;Ticker0024^FE_ESTIMATE(PRODLINE_EBIT_16,MEAN,QUARTERLY_ROLL,2016/4F,45778,,,'')&lt;/Q&gt;&lt;R&gt;1&lt;/R&gt;&lt;C&gt;1&lt;/C&gt;&lt;D xsi:type="xsd:double"&gt;2190&lt;/D&gt;&lt;/FQL&gt;&lt;FQL&gt;&lt;Q&gt;Ticker0024^FE_ESTIMATE(PRODLINE_EBIT_16,MEAN,QUARTERLY_ROLL,2016/3F,45778,,,'')&lt;/Q&gt;&lt;R&gt;1&lt;/R&gt;&lt;C&gt;1&lt;/C&gt;&lt;D xsi:type="xsd:double"&gt;2188&lt;/D&gt;&lt;/FQL&gt;&lt;FQL&gt;&lt;Q&gt;Ticker0024^FE_ESTIMATE(PRODLINE_EBIT_16,MEAN,QUARTERLY_ROLL,2016/2F,45778,,,'')&lt;/Q&gt;&lt;R&gt;0&lt;/R&gt;&lt;C&gt;0&lt;/C&gt;&lt;/FQL&gt;&lt;FQL&gt;&lt;Q&gt;Ticker0024^FE_ESTIMATE(PRODLINE_EBIT_16,MEAN,QUARTERLY_ROLL,2016/1F,45778,,,'')&lt;/Q&gt;&lt;R&gt;0&lt;/R&gt;&lt;C&gt;0&lt;/C&gt;&lt;/FQL&gt;&lt;FQL&gt;&lt;Q&gt;Ticker0024^FE_ESTIMATE(PRODLINE_EBIT_16,MEAN,ANNUAL_ROLL,2015,45778,,,'')&lt;/Q&gt;&lt;R&gt;0&lt;/R&gt;&lt;C&gt;0&lt;/C&gt;&lt;/FQL&gt;&lt;FQL&gt;&lt;Q&gt;Ticker0024^FE_ESTIMATE(PRODLINE_EBIT_16,MEAN,QUARTERLY_ROLL,2015/4F,45778,,,'')&lt;/Q&gt;&lt;R&gt;0&lt;/R&gt;&lt;C&gt;0&lt;/C&gt;&lt;/FQL&gt;&lt;FQL&gt;&lt;Q&gt;Ticker0024^FE_ESTIMATE(PRODLINE_EBIT_16,MEAN,QUARTERLY_ROLL,2015/3F,45778,,,'')&lt;/Q&gt;&lt;R&gt;0&lt;/R&gt;&lt;C&gt;0&lt;/C&gt;&lt;/FQL&gt;&lt;FQL&gt;&lt;Q&gt;Ticker0024^FE_ESTIMATE(PRODLINE_EBIT_16,MEAN,QUARTERLY_ROLL,2015/2F,45778,,,'')&lt;/Q&gt;&lt;R&gt;0&lt;/R&gt;&lt;C&gt;0&lt;/C&gt;&lt;/FQL&gt;&lt;FQL&gt;&lt;Q&gt;Ticker0024^FE_ESTIMATE(PRODLINE_EBIT_16,MEAN,QUARTERLY_ROLL,2015/1F,45778,,,'')&lt;/Q&gt;&lt;R&gt;0&lt;/R&gt;&lt;C&gt;0&lt;/C&gt;&lt;/FQL&gt;&lt;FQL&gt;&lt;Q&gt;Ticker0024^FE_ESTIMATE(PRODLINE_EBIT_15,MEAN,ANNUAL_ROLL,2030,45778,,,'')&lt;/Q&gt;&lt;R&gt;0&lt;/R&gt;&lt;C&gt;0&lt;/C&gt;&lt;/FQL&gt;&lt;FQL&gt;&lt;Q&gt;Ticker0024^FE_ESTIMATE(PRODLINE_EBIT_15,MEAN,QUARTERLY_ROLL,2030/4F,45778,,,'')&lt;/Q&gt;&lt;R&gt;0&lt;/R&gt;&lt;C&gt;0&lt;/C&gt;&lt;/FQL&gt;&lt;FQL&gt;&lt;Q&gt;Ticker0024^FE_ESTIMATE(PRODLINE_EBIT_15,MEAN,QUARTERLY_ROLL,2030/3F,45778,,,'')&lt;/Q&gt;&lt;R&gt;0&lt;/R&gt;&lt;C&gt;0&lt;/C&gt;&lt;/FQL&gt;&lt;FQL&gt;&lt;Q&gt;Ticker0024^FE_ESTIMATE(PRODLINE_EBIT_15,MEAN,QUARTERLY_ROLL,2030/2F,45778,,,'')&lt;/Q&gt;&lt;R&gt;0&lt;/R&gt;&lt;C&gt;0&lt;/C&gt;&lt;/FQL&gt;&lt;FQL&gt;&lt;Q&gt;Ticker0024^FE_ESTIMATE(PRODLINE_EBIT_15,MEAN,QUARTERLY_ROLL,2030/1F,45778,,,'')&lt;/Q&gt;&lt;R&gt;0&lt;/R&gt;&lt;C&gt;0&lt;/C&gt;&lt;/FQL&gt;&lt;FQL&gt;&lt;Q&gt;Ticker0024^FE_ESTIMATE(PRODLINE_EBIT_15,MEAN,ANNUAL_ROLL,2029,45778,,,'')&lt;/Q&gt;&lt;R&gt;0&lt;/R&gt;&lt;C&gt;0&lt;/C&gt;&lt;/FQL&gt;&lt;FQL&gt;&lt;Q&gt;Ticker0024^FE_ESTIMATE(PRODLINE_EBIT_15,MEAN,QUARTERLY_ROLL,2029/4F,45778,,,'')&lt;/Q&gt;&lt;R&gt;0&lt;/R&gt;&lt;C&gt;0&lt;/C&gt;&lt;/FQL&gt;&lt;FQL&gt;&lt;Q&gt;Ticker0024^FE_ESTIMATE(PRODLINE_EBIT_15,MEAN,QUARTERLY_ROLL,2029/3F,45778,,,'')&lt;/Q&gt;&lt;R&gt;0&lt;/R&gt;&lt;C&gt;0&lt;/C&gt;&lt;/FQL&gt;&lt;FQL&gt;&lt;Q&gt;Ticker0024^FE_ESTIMATE(PRODLINE_EBIT_15,MEAN,QUARTERLY_ROLL,2029/2F,45778,,,'')&lt;/Q&gt;&lt;R&gt;0&lt;/R&gt;&lt;C&gt;0&lt;/C&gt;&lt;/FQL&gt;&lt;FQL&gt;&lt;Q&gt;Ticker0024^FE_ESTIMATE(PRODLINE_EBIT_15,MEAN,QUARTERLY_ROLL,2029/1F,45778,,,'')&lt;/Q&gt;&lt;R&gt;0&lt;/R&gt;&lt;C&gt;0&lt;/C&gt;&lt;/FQL&gt;&lt;FQL&gt;&lt;Q&gt;Ticker0024^FE_ESTIMATE(PRODLINE_EBIT_15,MEAN,ANNUAL_ROLL,2028,45778,,,'')&lt;/Q&gt;&lt;R&gt;1&lt;/R&gt;&lt;C&gt;1&lt;/C&gt;&lt;D xsi:type="xsd:double"&gt;75505&lt;/D&gt;&lt;/FQL&gt;&lt;FQL&gt;&lt;Q&gt;Ticker0024^FE_ESTIMATE(PRODLINE_EBIT_15,MEAN,QUARTERLY_ROLL,2028/4F,45778,,,'')&lt;/Q&gt;&lt;R&gt;0&lt;/R&gt;&lt;C&gt;0&lt;/C&gt;&lt;/FQL&gt;&lt;FQL&gt;&lt;Q&gt;Ticker0024^FE_ESTIMATE(PRODLINE_EBIT_15,MEAN,QUARTERLY_ROLL,2028/3F,45778,,,'')&lt;/Q&gt;&lt;R&gt;0&lt;/R&gt;&lt;C&gt;0&lt;/C&gt;&lt;/FQL&gt;&lt;FQL&gt;&lt;Q&gt;Ticker0024^FE_ESTIMATE(PRODLINE_EBIT_15,MEAN,QUARTERLY_ROLL,2028/2F,45778,,,'')&lt;/Q&gt;&lt;R&gt;0&lt;/R&gt;&lt;C&gt;0&lt;/C&gt;&lt;/FQL&gt;&lt;FQL&gt;&lt;Q&gt;Ticker0024^FE_ESTIMATE(PRODLINE_EBIT_15,MEAN,QUARTERLY_ROLL,2028/1F,45778,,,'')&lt;/Q&gt;&lt;R&gt;0&lt;/R&gt;&lt;C&gt;0&lt;/C&gt;&lt;/FQL&gt;&lt;FQL&gt;&lt;Q&gt;Ticker0024^FE_ESTIMATE(PRODLINE_EBIT_15,MEAN,ANNUAL_ROLL,2027,45778,,,'')&lt;/Q&gt;&lt;R&gt;1&lt;/R&gt;&lt;C&gt;1&lt;/C&gt;&lt;D xsi:type="xsd:double"&gt;79571&lt;/D&gt;&lt;/FQL&gt;&lt;FQL&gt;&lt;Q&gt;Ticker0024^FE_ESTIMATE(PRODLINE_EBIT_15,MEAN,QUARTERLY_ROLL,2027/4F,45778,,,'')&lt;/Q&gt;&lt;R&gt;0&lt;/R&gt;&lt;C&gt;0&lt;/C&gt;&lt;/FQL&gt;&lt;FQL&gt;&lt;Q&gt;Ticker0024^FE_ESTIMATE(PRODLINE_EBIT_15,MEAN,QUARTERLY_ROLL,2027/3F,45778,,,'')&lt;/Q&gt;&lt;R&gt;0&lt;/R&gt;&lt;C&gt;0&lt;/C&gt;&lt;/FQL&gt;&lt;FQL&gt;&lt;Q&gt;Ticker0024^FE_ESTIMATE(PRODLINE_EBIT_15,MEAN,QUARTERLY_ROLL,2027/2F,45778,,,'')&lt;/Q&gt;&lt;R&gt;0&lt;/R&gt;&lt;C&gt;0&lt;/C&gt;&lt;/FQL&gt;&lt;FQL&gt;&lt;Q&gt;Ticker0024^FE_ESTIMATE(PRODLINE_EBIT_15,MEAN,QUARTERLY_ROLL,2027/1F,45778,,,'')&lt;/Q&gt;&lt;R&gt;0&lt;/R&gt;&lt;C&gt;0&lt;/C&gt;&lt;/FQL&gt;&lt;FQL&gt;&lt;Q&gt;Ticker0024^FE_ESTIMATE(PRODLINE_EBIT_15,MEAN,ANNUAL_ROLL,2026,45778,,,'')&lt;/Q&gt;&lt;R&gt;1&lt;/R&gt;&lt;C&gt;1&lt;/C&gt;&lt;D xsi:type="xsd:double"&gt;66467.5&lt;/D&gt;&lt;/FQL&gt;&lt;FQL&gt;&lt;Q&gt;Ticker0024^FE_ESTIMATE(PRODLINE_EBIT_15,MEAN,QUARTERLY_ROLL,2026/4F,45778,,,'')&lt;/Q&gt;&lt;R&gt;1&lt;/R&gt;&lt;C&gt;1&lt;/C&gt;&lt;D xsi:type="xsd:double"&gt;17013.666&lt;/D&gt;&lt;/FQL&gt;&lt;FQL&gt;&lt;Q&gt;Ticker0024^FE_ESTIMATE(PRODLINE_EBIT_15,MEAN,QUARTERLY_ROLL,2026/3F,45778,,,'')&lt;/Q&gt;&lt;R&gt;1&lt;/R&gt;&lt;C&gt;1&lt;/C&gt;&lt;D xsi:type="xsd:double"&gt;16546.334&lt;/D&gt;&lt;/FQL&gt;&lt;FQL&gt;&lt;Q&gt;Ticker0024^FE_ESTIMATE(PRODLINE_EBIT_15,MEAN,QUARTERLY_ROLL,2026/2F,45778,,,'')&lt;/Q&gt;&lt;R&gt;1&lt;/R&gt;&lt;C&gt;1&lt;/C&gt;&lt;D xsi:type="xsd:double"&gt;16669&lt;/D&gt;&lt;/FQL&gt;&lt;FQL&gt;&lt;Q&gt;Ticker0024^FE_ESTIMATE(PRODLINE_EBIT_15,MEAN,QUARTERLY_ROLL,2026/1F,45778,,,'')&lt;/Q&gt;&lt;R&gt;1&lt;/R&gt;&lt;C&gt;1&lt;/C&gt;&lt;D xsi:type="xsd:double"&gt;16204&lt;/D&gt;&lt;/FQL&gt;&lt;FQL&gt;&lt;Q&gt;Ticker0024^FE_ESTIMATE(PRODLINE_EBIT_15,MEAN,ANNUAL_ROLL,2025,45778,,,'')&lt;/Q&gt;&lt;R&gt;1&lt;/R&gt;&lt;C&gt;1&lt;/C&gt;&lt;D xsi:type="xsd:double"&gt;62767.2&lt;/D&gt;&lt;/FQL&gt;&lt;FQL&gt;&lt;Q&gt;Ticker0024^FE_ESTIMATE(PRODLINE_EBIT_15,MEAN,QUARTERLY_ROLL,2025/4F,45778,,,'')&lt;/Q&gt;&lt;R&gt;1&lt;/R&gt;&lt;C&gt;1&lt;/C&gt;&lt;D xsi:type="xsd:double"&gt;15987.4&lt;/D&gt;&lt;/FQL&gt;&lt;FQL&gt;&lt;Q&gt;Ticker0024^FE_ESTIMATE(PRODLINE_EBIT_15,MEAN,QUARTERLY_ROLL,2025/3F,45778,,,'')&lt;/Q&gt;&lt;R&gt;1&lt;/R&gt;&lt;C&gt;1&lt;/C&gt;&lt;D xsi:type="xsd:double"&gt;15629.5&lt;/D&gt;&lt;/FQL&gt;&lt;FQL&gt;&lt;Q&gt;Ticker0024^FE_ESTIMATE(PRODLINE_EBIT_15,MEAN,QUARTERLY_ROLL,2025/2F,45778,,,'')&lt;/Q&gt;&lt;R&gt;1&lt;/R&gt;&lt;C&gt;1&lt;/C&gt;&lt;D xsi:type="xsd:double"&gt;15766.4&lt;/D&gt;&lt;/FQL&gt;&lt;FQL&gt;&lt;Q&gt;Ticker0024^FE_ESTIMATE(PRODLINE_EBIT_15,MEAN,QUARTERLY_ROLL,2025/1F,45778,,,'')&lt;/Q&gt;&lt;R&gt;1&lt;/R&gt;&lt;C&gt;1&lt;/C&gt;&lt;D xsi:type="xsd:double"&gt;15451.8&lt;/D&gt;&lt;/FQL&gt;&lt;FQL&gt;&lt;Q&gt;Ticker0024^FE_ESTIMATE(PRODLINE_EBIT_15,MEAN,ANNUAL_ROLL,2024,45778,,,'')&lt;/Q&gt;&lt;R&gt;1&lt;/R&gt;&lt;C&gt;1&lt;/C&gt;&lt;D xsi:type="xsd:double"&gt;40540&lt;/D&gt;&lt;/FQL&gt;&lt;FQL&gt;&lt;Q&gt;Ticker0024^FE_ESTIMATE(PRODLINE_EBIT_15,MEAN,QUARTERLY_ROLL,2024/4F,45778,,,'')&lt;/Q&gt;&lt;R&gt;1&lt;/R&gt;&lt;C&gt;1&lt;/C&gt;&lt;D xsi:type="xsd:double"&gt;10142.4&lt;/D&gt;&lt;/FQL&gt;&lt;FQL&gt;&lt;Q&gt;Ticker0024^FE_ESTIMATE(PRODLINE_EBIT_15,MEAN,QUARTERLY_ROLL,2024/3F,45778,,,'')&lt;/Q&gt;&lt;R&gt;1&lt;/R&gt;&lt;C&gt;1&lt;/C&gt;&lt;D xsi:type="xsd:double"&gt;10142.571&lt;/D&gt;&lt;/FQL&gt;&lt;FQL&gt;&lt;Q&gt;Ticker0024^FE_ESTIMATE(PRODLINE_EBIT_15,MEAN,QUARTERLY_ROLL,2024/2F,45778,,,'')&lt;/Q&gt;&lt;R&gt;1&lt;/R&gt;&lt;C&gt;1&lt;/C&gt;&lt;D xsi:type="xsd:double"&gt;10283.333&lt;/D&gt;&lt;/FQL&gt;&lt;FQL&gt;&lt;Q&gt;Ticker0024^FE_ESTIMATE(PRODLINE_EBIT_15,MEAN,QUARTERLY_ROLL,2024/1F,45778,,,'')&lt;/Q&gt;&lt;R&gt;1&lt;/R&gt;&lt;C&gt;1&lt;/C&gt;&lt;D xsi:type="xsd:double"&gt;9970&lt;/D&gt;&lt;/FQL&gt;&lt;FQL&gt;&lt;Q&gt;Ticker0024^FE_ESTIMATE(PRODLINE_EBIT_15,MEAN,ANNUAL_ROLL,2023,45778,,,'')&lt;/Q&gt;&lt;R&gt;1&lt;/R&gt;&lt;C&gt;1&lt;/C&gt;&lt;D xsi:type="xsd:double"&gt;34189.4&lt;/D&gt;&lt;/FQL&gt;&lt;FQL&gt;&lt;Q&gt;Ticker0024^FE_ESTIMATE(PRODLINE_EBIT_15,MEAN,QUARTERLY_ROLL,2023/4F,45778,,,'')&lt;/Q&gt;&lt;R&gt;1&lt;/R&gt;&lt;C&gt;1&lt;/C&gt;&lt;D xsi:type="xsd:double"&gt;9051.6&lt;/D&gt;&lt;/FQL&gt;&lt;FQL&gt;&lt;Q&gt;Ticker0024^FE_ESTIMATE(PRODLINE_EBIT_15,MEAN,QUARTERLY_ROLL,2023/3F,45778,,,'')&lt;/Q&gt;&lt;R&gt;1&lt;/R&gt;&lt;C&gt;1&lt;/C&gt;&lt;D xsi:type="xsd:double"&gt;8639.2&lt;/D&gt;&lt;/FQL&gt;&lt;FQL&gt;&lt;Q&gt;Ticker0024^FE_ESTIMATE(PRODLINE_EBIT_15,MEAN,QUARTERLY_ROLL,2023/2F,45778,,,'')&lt;/Q&gt;&lt;R&gt;1&lt;/R&gt;&lt;C&gt;1&lt;/C&gt;&lt;D xsi:type="xsd:double"&gt;8176&lt;/D&gt;&lt;/FQL&gt;&lt;FQL&gt;&lt;Q&gt;Ticker0024^FE_ESTIMATE(PRODLINE_EBIT_15,MEAN,QUARTERLY_ROLL,2023/1F,45778,,,'')&lt;/Q&gt;&lt;R&gt;1&lt;/R&gt;&lt;C&gt;1&lt;/C&gt;&lt;D xsi:type="xsd:double"&gt;8322.4&lt;/D&gt;&lt;/FQL&gt;&lt;FQL&gt;&lt;Q&gt;Ticker0024^FE_ESTIMATE(PRODLINE_EBIT_15,MEAN,ANNUAL_ROLL,2022,45778,,,'')&lt;/Q&gt;&lt;R&gt;1&lt;/R&gt;&lt;C&gt;1&lt;/C&gt;&lt;D xsi:type="xsd:double"&gt;29685&lt;/D&gt;&lt;/FQL&gt;&lt;FQL&gt;&lt;Q&gt;Ticker0024^FE_ESTIMATE(PRODLINE_EBIT_15,MEAN,QUARTERLY_ROLL,2022/4F,45778,,,'')&lt;/Q&gt;&lt;R&gt;1&lt;/R&gt;&lt;C&gt;1&lt;/C&gt;&lt;D xsi:type="xsd:double"&gt;7232&lt;/D&gt;&lt;/FQL&gt;&lt;FQL&gt;&lt;Q&gt;Ticker0024^FE_ESTIMATE(PRODLINE_EBIT_15,MEAN,QUARTERLY_ROLL,2022/3F,45778,,,'')&lt;/Q&gt;&lt;R&gt;1&lt;/R&gt;&lt;C&gt;1&lt;/C&gt;&lt;D xsi:type="xsd:double"&gt;7184&lt;/D&gt;&lt;/FQL&gt;&lt;FQL&gt;&lt;Q&gt;Ticker0024^FE_ESTIMATE(PRODLINE_EBIT_15,MEAN,QUARTERLY_ROLL,2022/2F,45778,,,'')&lt;/Q&gt;&lt;R&gt;1&lt;/R&gt;&lt;C&gt;1&lt;/C&gt;&lt;D xsi:type="xsd:double"&gt;7688&lt;/D&gt;&lt;/FQL&gt;&lt;FQL&gt;&lt;Q&gt;Ticker0024^FE_ESTIMATE(PRODLINE_EBIT_15,MEAN,QUARTERLY_ROLL,2022/1F,45778,,,'')&lt;/Q&gt;&lt;R&gt;1&lt;/R&gt;&lt;C&gt;1&lt;/C&gt;&lt;D xsi:type="xsd:double"&gt;7581&lt;/D&gt;&lt;/FQL&gt;&lt;FQL&gt;&lt;Q&gt;Ticker0024^FE_ESTIMATE(PRODLINE_EBIT_15,MEAN,ANNUAL_ROLL,2021,45778,,,'')&lt;/Q&gt;&lt;R&gt;1&lt;/R&gt;&lt;C&gt;1&lt;/C&gt;&lt;D xsi:type="xsd:double"&gt;24351&lt;/D&gt;&lt;/FQL&gt;&lt;FQL&gt;&lt;Q&gt;Ticker0024^FE_ESTIMATE(PRODLINE_EBIT_15,MEAN,QUARTERLY_ROLL,2021/4F,45778,,,'')&lt;/Q&gt;&lt;R&gt;1&lt;/R&gt;&lt;C&gt;1&lt;/C&gt;&lt;D xsi:type="xsd:double"&gt;6435&lt;/D&gt;&lt;/FQL&gt;&lt;FQL&gt;&lt;Q&gt;Ticker0024^FE_ESTIMATE(PRODLINE_EBIT_15,MEAN,QUARTERLY_ROLL,2021/3F,45778,,,'')&lt;/Q&gt;&lt;R&gt;1&lt;/R&gt;&lt;C&gt;1&lt;/C&gt;&lt;D xsi:type="xsd:double"&gt;6029&lt;/D&gt;&lt;/FQL&gt;&lt;FQL&gt;&lt;Q&gt;Ticker0024^FE_ESTIMATE(PRODLINE_EBIT_15,MEAN,QUARTERLY_ROLL,2021/2F,45778,,,'')&lt;/Q&gt;&lt;R&gt;1&lt;/R&gt;&lt;C&gt;1&lt;/C&gt;&lt;D xsi:type="xsd:double"&gt;6179.6665&lt;/D&gt;&lt;/FQL&gt;&lt;FQL&gt;&lt;Q&gt;Ticker0024^FE_ESTIMATE(PRODLINE_EBIT_15,MEAN,QUARTERLY_ROLL,2021/1F,45778,,,'')&lt;/Q&gt;&lt;R&gt;1&lt;/R&gt;&lt;C&gt;1&lt;/C&gt;&lt;D xsi:type="xsd:double"&gt;5706&lt;/D&gt;&lt;/FQL&gt;&lt;FQL&gt;&lt;Q&gt;Ticker0024^FE_ESTIMATE(PRODLINE_EBIT_15,MEAN,ANNUAL_ROLL,2020,45778,,,'')&lt;/Q&gt;&lt;R&gt;1&lt;/R&gt;&lt;C&gt;1&lt;/C&gt;&lt;D xsi:type="xsd:double"&gt;18781&lt;/D&gt;&lt;/FQL&gt;&lt;FQL&gt;&lt;Q&gt;Ticker0024^FE_ESTIMATE(PRODLINE_EBIT_15,MEAN,QUARTERLY_ROLL,2020/4F,45778,,,'')&lt;/Q&gt;&lt;R&gt;1&lt;/R&gt;&lt;C&gt;1&lt;/C&gt;&lt;D xsi:type="xsd:double"&gt;4029&lt;/D&gt;&lt;/FQL&gt;&lt;FQL&gt;&lt;Q&gt;Ticker0024^FE_ESTIMATE(PRODLINE_EBIT_15,MEAN,QUARTERLY_ROLL,2020/3F,45778,,,'')&lt;/Q&gt;&lt;R&gt;1&lt;/R&gt;&lt;C&gt;1&lt;/C&gt;&lt;D xsi:type="xsd:double"&gt;4788&lt;/D&gt;&lt;/FQL&gt;&lt;FQL&gt;&lt;Q&gt;Ticker0024^FE_ESTIMATE(PRODLINE_EBIT_15,MEAN,QUARTERLY_ROLL,2020/2F,45778,,,'')&lt;/Q&gt;&lt;R&gt;1&lt;/R&gt;&lt;C&gt;1&lt;/C&gt;&lt;D xsi:type="xsd:double"&gt;5182&lt;/D&gt;&lt;/FQL&gt;&lt;FQL&gt;&lt;Q&gt;Ticker0024^FE_ESTIMATE(PRODLINE_EBIT_15,MEAN,QUARTERLY_ROLL,2020/1F,45778,,,'')&lt;/Q&gt;&lt;R&gt;1&lt;/R&gt;&lt;C&gt;1&lt;/C&gt;&lt;D xsi:type="xsd:double"&gt;4782&lt;/D&gt;&lt;/FQL&gt;&lt;FQL&gt;&lt;Q&gt;Ticker0024^FE_ESTIMATE(PRODLINE_EBIT_15,MEAN,ANNUAL_ROLL,2019,45778,,,'')&lt;/Q&gt;&lt;R&gt;1&lt;/R&gt;&lt;C&gt;1&lt;/C&gt;&lt;D xsi:type="xsd:double"&gt;16219&lt;/D&gt;&lt;/FQL&gt;&lt;FQL&gt;&lt;Q&gt;Ticker0024^FE_ESTIMATE(PRODLINE_EBIT_15,MEAN,QUARTERLY_ROLL,2019/4F,45778,,,'')&lt;/Q&gt;&lt;R&gt;1&lt;/R&gt;&lt;C&gt;1&lt;/C&gt;&lt;D xsi:type="xsd:double"&gt;4344&lt;/D&gt;&lt;/FQL&gt;&lt;FQL&gt;&lt;Q&gt;Ticker0024^FE_ESTIMATE(PRODLINE_EBIT_15,MEAN,QUARTERLY_ROLL,2019/3F,45778,,,'')&lt;/Q&gt;&lt;R&gt;1&lt;/R&gt;&lt;C&gt;1&lt;/C&gt;&lt;D xsi:type="xsd:double"&gt;3979&lt;/D&gt;&lt;/FQL&gt;&lt;FQL&gt;&lt;Q&gt;Ticker0024^FE_ESTIMATE(PRODLINE_EBIT_15,MEAN,QUARTERLY_ROLL,2019/2F,45778,,,'')&lt;/Q&gt;&lt;R&gt;1&lt;/R&gt;&lt;C&gt;1&lt;/C&gt;&lt;D xsi:type="xsd:double"&gt;4013.75&lt;/D&gt;&lt;/FQL&gt;&lt;FQL&gt;&lt;Q&gt;Ticker0024^FE_ESTIMATE(PRODLINE_EBIT_15,MEAN,QUARTERLY_ROLL,2019/1F,45778,,,'')&lt;/Q&gt;&lt;R&gt;1&lt;/R&gt;&lt;C&gt;1&lt;/C&gt;&lt;D xsi:type="xsd:double"&gt;3881&lt;/D&gt;&lt;/FQL&gt;&lt;FQL&gt;&lt;Q&gt;Ticker0024^FE_ESTIMATE(PRODLINE_EBIT_15,MEAN,ANNUAL_ROLL,2018,45778,,,'')&lt;/Q&gt;&lt;R&gt;1&lt;/R&gt;&lt;C&gt;1&lt;/C&gt;&lt;D xsi:type="xsd:double"&gt;12924&lt;/D&gt;&lt;/FQL&gt;&lt;FQL&gt;&lt;Q&gt;Ticker0024^FE_ESTIMATE(PRODLINE_EBIT_15,MEAN,QUARTERLY_ROLL,2018/4F,45778,,,'')&lt;/Q&gt;&lt;R&gt;1&lt;/R&gt;&lt;C&gt;1&lt;/C&gt;&lt;D xsi:type="xsd:double"&gt;3466&lt;/D&gt;&lt;/FQL&gt;&lt;FQL&gt;&lt;Q&gt;Ticker0024^FE_ESTIMATE(PRODLINE_EBIT_15,MEAN,QUARTERLY_ROLL,2018/3F,45778,,,'')&lt;/Q&gt;&lt;R&gt;1&lt;/R&gt;&lt;C&gt;1&lt;/C&gt;&lt;D xsi:type="xsd:double"&gt;3115&lt;/D&gt;&lt;/FQL&gt;&lt;FQL&gt;&lt;Q&gt;Ticker0024^FE_ESTIMATE(PRODLINE_EBIT_15,MEAN,QUARTERLY_ROLL,2018/2F,45778,,,'')&lt;/Q&gt;&lt;R&gt;1&lt;/R&gt;&lt;C&gt;1&lt;/C&gt;&lt;D xsi:type="xsd:double"&gt;3337&lt;/D&gt;&lt;/FQL&gt;&lt;FQL&gt;&lt;Q&gt;Ticker0024^FE_ESTIMATE(PRODLINE_EBIT_15,MEAN,QUARTERLY_ROLL,2018/1F,45778,,,'')&lt;/Q&gt;&lt;R&gt;1&lt;/R&gt;&lt;C&gt;1&lt;/C&gt;&lt;D xsi:type="xsd:double"&gt;3006&lt;/D&gt;&lt;/FQL&gt;&lt;FQL&gt;&lt;Q&gt;Ticker0024^FE_ESTIMATE(PRODLINE_EBIT_15,MEAN,ANNUAL_ROLL,2017,45778,,,'')&lt;/Q&gt;&lt;R&gt;1&lt;/R&gt;&lt;C&gt;1&lt;/C&gt;&lt;D xsi:type="xsd:double"&gt;11913&lt;/D&gt;&lt;/FQL&gt;&lt;FQL&gt;&lt;Q&gt;Ticker0024^FE_ESTIMATE(PRODLINE_EBIT_15,MEAN,QUARTERLY_ROLL,2017/4F,45778,,,'')&lt;/Q&gt;&lt;R&gt;1&lt;/R&gt;&lt;C&gt;1&lt;/C&gt;&lt;D xsi:type="xsd:double"&gt;2754&lt;/D&gt;&lt;/FQL&gt;&lt;FQL&gt;&lt;Q&gt;Ticker0024^FE_ESTIMATE(PRODLINE_EBIT_15,MEAN,QUARTERLY_ROLL,2017/3F,45778,,,'')&lt;/Q&gt;&lt;R&gt;1&lt;/R&gt;&lt;C&gt;1&lt;/C&gt;&lt;D xsi:type="xsd:double"&gt;2783&lt;/D&gt;&lt;/FQL&gt;&lt;FQL&gt;&lt;Q&gt;Ticker0024^FE_ESTIMATE(PRODLINE_EBIT_15,MEAN,QUARTERLY_ROLL,2017/2F,45778,,,'')&lt;/Q&gt;&lt;R&gt;1&lt;/R&gt;&lt;C&gt;1&lt;/C&gt;&lt;D xsi:type="xsd:double"&gt;3256&lt;/D&gt;&lt;/FQL&gt;&lt;FQL&gt;&lt;Q&gt;Ticker0024^FE_ESTIMATE(PRODLINE_EBIT_15,MEAN,QUARTERLY_ROLL,2017/1F,45778,,,'')&lt;/Q&gt;&lt;R&gt;1&lt;/R&gt;&lt;C&gt;1&lt;/C&gt;&lt;D xsi:type="xsd:double"&gt;3120&lt;/D&gt;&lt;/FQL&gt;&lt;FQL&gt;&lt;Q&gt;Ticker0024^FE_ESTIMATE(PRODLINE_EBIT_15,MEAN,ANNUAL_ROLL,2016,45778,,,'')&lt;/Q&gt;&lt;R&gt;1&lt;/R&gt;&lt;C&gt;1&lt;/C&gt;&lt;D xsi:type="xsd:double"&gt;12429&lt;/D&gt;&lt;/FQL&gt;&lt;FQL&gt;&lt;Q&gt;Ticker0024^FE_ESTIMATE(PRODLINE_EBIT_15,MEAN,QUARTERLY_ROLL,2016/4F,45778,,,'')&lt;/Q&gt;&lt;R&gt;1&lt;/R&gt;&lt;C&gt;1&lt;/C&gt;&lt;D xsi:type="xsd:double"&gt;3000&lt;/D&gt;&lt;/FQL&gt;&lt;FQL&gt;&lt;Q&gt;Ticker0024^FE_ESTIMATE(PRODLINE_EBIT_15,MEAN,QUARTERLY_ROLL,2016/3F,45778,,,'')&lt;/Q&gt;&lt;R&gt;1&lt;/R&gt;&lt;C&gt;1&lt;/C&gt;&lt;D xsi:type="xsd:double"&gt;2994&lt;/D&gt;&lt;/FQL&gt;&lt;FQL&gt;&lt;Q&gt;Ticker0024^FE_ESTIMATE(PRODLINE_EBIT_15,MEAN,QUARTERLY_ROLL,2016/2F,45778,,,'')&lt;/Q&gt;&lt;R&gt;0&lt;/R&gt;&lt;C&gt;0&lt;/C&gt;&lt;/FQL&gt;&lt;FQL&gt;&lt;Q&gt;Ticker0024^FE_ESTIMATE(PRODLINE_EBIT_15,MEAN,QUARTERLY_ROLL,2016/1F,45778,,,'')&lt;/Q&gt;&lt;R&gt;0&lt;/R&gt;&lt;C&gt;0&lt;/C&gt;&lt;/FQL&gt;&lt;FQL&gt;&lt;Q&gt;Ticker0024^FE_ESTIMATE(PRODLINE_EBIT_15,MEAN,ANNUAL_ROLL,2015,45778,,,'')&lt;/Q&gt;&lt;R&gt;0&lt;/R&gt;&lt;C&gt;0&lt;/C&gt;&lt;/FQL&gt;&lt;FQL&gt;&lt;Q&gt;Ticker0024^FE_ESTIMATE(PRODLINE_EBIT_15,MEAN,QUARTERLY_ROLL,2015/4F,45778,,,'')&lt;/Q&gt;&lt;R&gt;0&lt;/R&gt;&lt;C&gt;0&lt;/C&gt;&lt;/FQL&gt;&lt;FQL&gt;&lt;Q&gt;Ticker0024^FE_ESTIMATE(PRODLINE_EBIT_15,MEAN,QUARTERLY_ROLL,2015/3F,45778,,,'')&lt;/Q&gt;&lt;R&gt;0&lt;/R&gt;&lt;C&gt;0&lt;/C&gt;&lt;/FQL&gt;&lt;FQL&gt;&lt;Q&gt;Ticker0024^FE_ESTIMATE(PRODLINE_EBIT_15,MEAN,QUARTERLY_ROLL,2015/2F,45778,,,'')&lt;/Q&gt;&lt;R&gt;0&lt;/R&gt;&lt;C&gt;0&lt;/C&gt;&lt;/FQL&gt;&lt;FQL&gt;&lt;Q&gt;Ticker0024^FE_ESTIMATE(PRODLINE_EBIT_15,MEAN,QUARTERLY_ROLL,2015/1F,45778,,,'')&lt;/Q&gt;&lt;R&gt;0&lt;/R&gt;&lt;C&gt;0&lt;/C&gt;&lt;/FQL&gt;&lt;FQL&gt;&lt;Q&gt;Ticker0024^FE_ESTIMATE(GROSSINCOME,MEAN,ANNUAL_ROLL,2030,45778,,,'')&lt;/Q&gt;&lt;R&gt;0&lt;/R&gt;&lt;C&gt;0&lt;/C&gt;&lt;/FQL&gt;&lt;FQL&gt;&lt;Q&gt;Ticker0024^FE_ESTIMATE(GROSSINCOME,MEAN,QUARTERLY_ROLL,2030/4F,45778,,,'')&lt;/Q&gt;&lt;R&gt;0&lt;/R&gt;&lt;C&gt;0&lt;/C&gt;&lt;/FQL&gt;&lt;FQL&gt;&lt;Q&gt;Ticker0024^FE_ESTIMATE(GROSSINCOME,MEAN,QUARTERLY_ROLL,2030/3F,45778,,,'')&lt;/Q&gt;&lt;R&gt;0&lt;/R&gt;&lt;C&gt;0&lt;/C&gt;&lt;/FQL&gt;&lt;FQL&gt;&lt;Q&gt;Ticker0024^FE_ESTIMATE(GROSSINCOME,MEAN,QUARTERLY_ROLL,2030/2F,45778,,,'')&lt;/Q&gt;&lt;R&gt;0&lt;/R&gt;&lt;C&gt;0&lt;/C&gt;&lt;/FQL&gt;&lt;FQL&gt;&lt;Q&gt;Ticker0024^FE_ESTIMATE(GROSSINCOME,MEAN,QUARTERLY_ROLL,2030/1F,45778,,,'')&lt;/Q&gt;&lt;R&gt;0&lt;/R&gt;&lt;C&gt;0&lt;/C&gt;&lt;/FQL&gt;&lt;FQL&gt;&lt;Q&gt;Ticker0024^FE_ESTIMATE(GROSSINCOME,MEAN,ANNUAL_ROLL,2029,45778,,,'')&lt;/Q&gt;&lt;R&gt;1&lt;/R&gt;&lt;C&gt;1&lt;/C&gt;&lt;D xsi:type="xsd:double"&gt;326967.1&lt;/D&gt;&lt;/FQL&gt;&lt;FQL&gt;&lt;Q&gt;Ticker0024^FE_ESTIMATE(GROSSINCOME,MEAN,QUARTERLY_ROLL,2029/4F,45778,,,'')&lt;/Q&gt;&lt;R&gt;0&lt;/R&gt;&lt;C&gt;0&lt;/C&gt;&lt;/FQL&gt;&lt;FQL&gt;&lt;Q&gt;Ticker0024^FE_ESTIMATE(GROSSINCOME,MEAN,QUARTERLY_ROLL,2029/3F,45778,,,'')&lt;/Q&gt;&lt;R&gt;0&lt;/R&gt;&lt;C&gt;0&lt;/C&gt;&lt;/FQL&gt;&lt;FQL&gt;&lt;Q&gt;Ticker0024^FE_ESTIMATE(GROSSINCOME,MEAN,QUARTERLY_ROLL,2029/2F,45778,,,'')&lt;/Q&gt;&lt;R&gt;0&lt;/R&gt;&lt;C&gt;0&lt;/C&gt;&lt;/FQL&gt;&lt;FQL&gt;&lt;Q&gt;Ticker0024^FE_ESTIMATE(GROSSINCOME,MEAN,QUARTERLY_ROLL,2029/1F,45778,,,'')&lt;/Q&gt;&lt;R&gt;0&lt;/R&gt;&lt;C&gt;0&lt;/C&gt;&lt;/FQL&gt;&lt;FQL&gt;&lt;Q&gt;Ticker0024^FE_ESTIMATE(GROSSINCOME,MEAN,ANNUAL_ROLL,2028,45778,,,'')&lt;/Q&gt;&lt;R&gt;1&lt;/R&gt;&lt;C&gt;1&lt;/C&gt;&lt;D xsi:type="xsd:double"&gt;276612.94&lt;/D&gt;&lt;/FQL&gt;&lt;FQL&gt;&lt;Q&gt;Ticker0024^FE_ESTIMATE(GROSSINCOME,MEAN,QUARTERLY_ROLL,2028/4F,45778,,,'')&lt;/Q&gt;&lt;R&gt;0&lt;/R&gt;&lt;C&gt;0&lt;/C&gt;&lt;/FQL&gt;&lt;FQL&gt;&lt;Q&gt;Ticker0024^FE_ESTIMATE(GROSSINCOME,MEAN,QUARTERLY_ROLL,2028/3F,45778,,,'')&lt;/Q&gt;&lt;R&gt;0&lt;/R&gt;&lt;C&gt;0&lt;/C&gt;&lt;/FQL&gt;&lt;FQL&gt;&lt;Q&gt;Ticker0024^FE_ESTIMATE(GROSSINCOME,MEAN,QUARTERLY_ROLL,2028/2F,45778,,,'')&lt;/Q&gt;&lt;R&gt;0&lt;/R&gt;&lt;C&gt;0&lt;/C&gt;&lt;/FQL&gt;&lt;FQL&gt;&lt;Q&gt;Ticker0024^FE_ESTIMATE(GROSSINCOME,MEAN,QUARTERLY_ROLL,2028/1F,45778,,,'')&lt;/Q&gt;&lt;R&gt;0&lt;/R&gt;&lt;C&gt;0&lt;/C&gt;&lt;/FQL&gt;&lt;FQL&gt;&lt;Q&gt;Ticker0024^FE_ESTIMATE(GROSSINCOME,MEAN,ANNUAL_ROLL,2027,45778,,,'')&lt;/Q&gt;&lt;R&gt;1&lt;/R&gt;&lt;C&gt;1&lt;/C&gt;&lt;D xsi:type="xsd:double"&gt;243438.75&lt;/D&gt;&lt;/FQL&gt;&lt;FQL&gt;&lt;Q&gt;Ticker0024^FE_ESTIMATE(GROSSINCOME,MEAN,QUARTERLY_ROLL,2027/4F,45778,,,'')&lt;/Q&gt;&lt;R&gt;1&lt;/R&gt;&lt;C&gt;1&lt;/C&gt;&lt;D xsi:type="xsd:double"&gt;63556&lt;/D&gt;&lt;/FQL&gt;&lt;FQL&gt;&lt;Q&gt;Ticker0024^FE_ESTIMATE(GROSSINCOME,MEAN,QUARTERLY_ROLL,2027/3F,45778,,,'')&lt;/Q&gt;&lt;R&gt;1&lt;/R&gt;&lt;C&gt;1&lt;/C&gt;&lt;D xsi:type="xsd:double"&gt;60512.5&lt;/D&gt;&lt;/FQL&gt;&lt;FQL&gt;&lt;Q&gt;Ticker0024^FE_ESTIMATE(GROSSINCOME,MEAN,QUARTERLY_ROLL,2027/2F,45778,,,'')&lt;/Q&gt;&lt;R&gt;1&lt;/R&gt;&lt;C&gt;1&lt;/C&gt;&lt;D xsi:type="xsd:double"&gt;59873.6&lt;/D&gt;&lt;/FQL&gt;&lt;FQL&gt;&lt;Q&gt;Ticker0024^FE_ESTIMATE(GROSSINCOME,MEAN,QUARTERLY_ROLL,2027/1F,45778,,,'')&lt;/Q&gt;&lt;R&gt;1&lt;/R&gt;&lt;C&gt;1&lt;/C&gt;&lt;D xsi:type="xsd:double"&gt;56925.2&lt;/D&gt;&lt;/FQL&gt;&lt;FQL&gt;&lt;Q&gt;Ticker0024^FE_ESTIMATE(GROSSINCOME,MEAN,ANNUAL_ROLL,2026,45778,,,'')&lt;/Q&gt;&lt;R&gt;1&lt;/R&gt;&lt;C&gt;1&lt;/C&gt;&lt;D xsi:type="xsd:double"&gt;213934.42&lt;/D&gt;&lt;/FQL&gt;&lt;FQL&gt;&lt;Q&gt;Ticker0024^FE_ESTIMATE(GROSSINCOME,MEAN,QUARTERLY_ROLL,2026/4F,45778,,,'')&lt;/Q&gt;&lt;R&gt;1&lt;/R&gt;&lt;C&gt;1&lt;/C&gt;&lt;D xsi:type="xsd:double"&gt;56190.273&lt;/D&gt;&lt;/FQL&gt;&lt;FQL&gt;&lt;Q&gt;Ticker0024^FE_ESTIMATE(GROSSINCOME,MEAN,QUARTERLY_ROLL,2026/3F,45778,,,'')&lt;/Q&gt;&lt;R&gt;1&lt;/R&gt;&lt;C&gt;1&lt;/C&gt;&lt;D xsi:type="xsd:double"&gt;53604.938&lt;/D&gt;&lt;/FQL&gt;&lt;FQL&gt;&lt;Q&gt;Ticker0024^FE_ESTIMATE(GROSSINCOME,MEAN,QUARTERLY_ROLL,2026/2F,45778,,,'')&lt;/Q&gt;&lt;R&gt;1&lt;/R&gt;&lt;C&gt;1&lt;/C&gt;&lt;D xsi:type="xsd:double"&gt;53140.81&lt;/D&gt;&lt;/FQL&gt;&lt;FQL&gt;&lt;Q&gt;Ticker0024^FE_ESTIMATE(GROSSINCOME,MEAN,QUARTERLY_ROLL,2026/1F,45778,,,'')&lt;/Q&gt;&lt;R&gt;1&lt;/R&gt;&lt;C&gt;1&lt;/C&gt;&lt;D xsi:type="xsd:double"&gt;50422.58&lt;/D&gt;&lt;/FQL&gt;&lt;FQL&gt;&lt;Q&gt;Ticker0024^FE_ESTIMATE(GROSSINCOME,MEAN,ANNUAL_ROLL,2025,45778,,,'')&lt;/Q&gt;&lt;R&gt;1&lt;/R&gt;&lt;C&gt;1&lt;/C&gt;&lt;D xsi:type="xsd:double"&gt;190940.92&lt;/D&gt;&lt;/FQL&gt;&lt;FQL&gt;&lt;Q&gt;Ticker0024^FE_ESTIMATE(GROSSINCOME,MEAN,QUARTERLY_ROLL,2025/4F,45778,,,'')&lt;/Q&gt;&lt;R&gt;1&lt;/R&gt;&lt;C&gt;1&lt;/C&gt;&lt;D xsi:type="xsd:double"&gt;49889.184&lt;/D&gt;&lt;/FQL&gt;&lt;FQL&gt;&lt;Q&gt;Ticker0024^FE_ESTIMATE(GROSSINCOME,MEAN,QUARTERLY_ROLL,2025/3F,45778,,,'')&lt;/Q&gt;&lt;R&gt;1&lt;/R&gt;&lt;C&gt;1&lt;/C&gt;&lt;D xsi:type="xsd:double"&gt;47841.57&lt;/D&gt;&lt;/FQL&gt;&lt;FQL&gt;&lt;Q&gt;Ticker0024^FE_ESTIMATE(GROSSINCOME,MEAN,QUARTERLY_ROLL,2025/2F,45778,,,'')&lt;/Q&gt;&lt;R&gt;1&lt;/R&gt;&lt;C&gt;1&lt;/C&gt;&lt;D xsi:type="xsd:double"&gt;47831.84&lt;/D&gt;&lt;/FQL&gt;&lt;FQL&gt;&lt;Q&gt;Ticker0024^FE_ESTIMATE(GROSSINCOME,MEAN,QUARTERLY_ROLL,2025/1F,45778,,,'')&lt;/Q&gt;&lt;R&gt;1&lt;/R&gt;&lt;C&gt;1&lt;/C&gt;&lt;D xsi:type="xsd:double"&gt;45476.035&lt;/D&gt;&lt;/FQL&gt;&lt;FQL&gt;&lt;Q&gt;Ticker0024^FE_ESTIMATE(GROSSINCOME,MEAN,ANNUAL_ROLL,2024,45778,,,'')&lt;/Q&gt;&lt;R&gt;1&lt;/R&gt;&lt;C&gt;1&lt;/C&gt;&lt;D xsi:type="xsd:double"&gt;171008.06&lt;/D&gt;&lt;/FQL&gt;&lt;FQL&gt;&lt;Q&gt;Ticker0024^FE_ESTIMATE(GROSSINCOME,MEAN,QUARTERLY_ROLL,2024/4F,45778,,,'')&lt;/Q&gt;&lt;R&gt;1&lt;/R&gt;&lt;C&gt;1&lt;/C&gt;&lt;D xsi:type="xsd:double"&gt;45041.355&lt;/D&gt;&lt;/FQL&gt;&lt;FQL&gt;&lt;Q&gt;Ticker0024^FE_ESTIMATE(GROSSINCOME,MEAN,QUARTERLY_ROLL,2024/3F,45778,,,'')&lt;/Q&gt;&lt;R&gt;1&lt;/R&gt;&lt;C&gt;1&lt;/C&gt;&lt;D xsi:type="xsd:double"&gt;43354.293&lt;/D&gt;&lt;/FQL&gt;&lt;FQL&gt;&lt;Q&gt;Ticker0024^FE_ESTIMATE(GROSSINCOME,MEAN,QUARTERLY_ROLL,2024/2F,45778,,,'')&lt;/Q&gt;&lt;R&gt;1&lt;/R&gt;&lt;C&gt;1&lt;/C&gt;&lt;D xsi:type="xsd:double"&gt;42397.1&lt;/D&gt;&lt;/FQL&gt;&lt;FQL&gt;&lt;Q&gt;Ticker0024^FE_ESTIMATE(GROSSINCOME,MEAN,QUARTERLY_ROLL,2024/1F,45778,,,'')&lt;/Q&gt;&lt;R&gt;1&lt;/R&gt;&lt;C&gt;1&lt;/C&gt;&lt;D xsi:type="xsd:double"&gt;40215.17&lt;/D&gt;&lt;/FQL&gt;&lt;FQL&gt;&lt;Q&gt;Ticker0024^FE_ESTIMATE(GROSSINCOME,MEAN,ANNUAL_ROLL,2023,45778,,,'')&lt;/Q&gt;&lt;R&gt;1&lt;/R&gt;&lt;C&gt;1&lt;/C&gt;&lt;D xsi:type="xsd:double"&gt;146082.89&lt;/D&gt;&lt;/FQL&gt;&lt;FQL&gt;&lt;Q&gt;Ticker0024^FE_ESTIMATE(GROSSINCOME,MEAN,QUARTERLY_ROLL,2023/4F,45778,,,'')&lt;/Q&gt;&lt;R&gt;1&lt;/R&gt;&lt;C&gt;1&lt;/C&gt;&lt;D xsi:type="xsd:double"&gt;39388&lt;/D&gt;&lt;/FQL&gt;&lt;FQL&gt;&lt;Q&gt;Ticker0024^FE_ESTIMATE(GROSSINCOME,MEAN,QUARTERLY_ROLL,2023/3F,45778,,,'')&lt;/Q&gt;&lt;R&gt;1&lt;/R&gt;&lt;C&gt;1&lt;/C&gt;&lt;D xsi:type="xsd:double"&gt;36729.035&lt;/D&gt;&lt;/FQL&gt;&lt;FQL&gt;&lt;Q&gt;Ticker0024^FE_ESTIMATE(GROSSINCOME,MEAN,QUARTERLY_ROLL,2023/2F,45778,,,'')&lt;/Q&gt;&lt;R&gt;1&lt;/R&gt;&lt;C&gt;1&lt;/C&gt;&lt;D xsi:type="xsd:double"&gt;35294.117&lt;/D&gt;&lt;/FQL&gt;&lt;FQL&gt;&lt;Q&gt;Ticker0024^FE_ESTIMATE(GROSSINCOME,MEAN,QUARTERLY_ROLL,2023/1F,45778,,,'')&lt;/Q&gt;&lt;R&gt;1&lt;/R&gt;&lt;C&gt;1&lt;/C&gt;&lt;D xsi:type="xsd:double"&gt;34670&lt;/D&gt;&lt;/FQL&gt;&lt;FQL&gt;&lt;Q&gt;Ticker0024^FE_ESTIMATE(GROSSINCOME,MEAN,ANNUAL_ROLL,2022,45778,,,'')&lt;/Q&gt;&lt;R&gt;1&lt;/R&gt;&lt;C&gt;1&lt;/C&gt;&lt;D xsi:type="xsd:double"&gt;135605.53&lt;/D&gt;&lt;/FQL&gt;&lt;FQL&gt;&lt;Q&gt;Ticker0024^FE_ESTIMATE(GROSSINCOME,MEAN,QUARTERLY_ROLL,2022/4F,45778,,,'')&lt;/Q&gt;&lt;R&gt;1&lt;/R&gt;&lt;C&gt;1&lt;/C&gt;&lt;D xsi:type="xsd:double"&gt;35436&lt;/D&gt;&lt;/FQL&gt;&lt;FQL&gt;&lt;Q&gt;Ticker0024^FE_ESTIMATE(GROSSINCOME,MEAN,QUARTERLY_ROLL,2022/3F,45778,,,'')&lt;/Q&gt;&lt;R&gt;1&lt;/R&gt;&lt;C&gt;1&lt;/C&gt;&lt;D xsi:type="xsd:double"&gt;33744.957&lt;/D&gt;&lt;/FQL&gt;&lt;FQL&gt;&lt;Q&gt;Ticker0024^FE_ESTIMATE(GROSSINCOME,MEAN,QUARTERLY_ROLL,2022/2F,45778,,,'')&lt;/Q&gt;&lt;R&gt;1&lt;/R&gt;&lt;C&gt;1&lt;/C&gt;&lt;D xsi:type="xsd:double"&gt;34768&lt;/D&gt;&lt;/FQL&gt;&lt;FQL&gt;&lt;Q&gt;Ticker0024^FE_ESTIMATE(GROSSINCOME,MEAN,QUARTERLY_ROLL,2022/1F,45778,,,'')&lt;/Q&gt;&lt;R&gt;1&lt;/R&gt;&lt;C&gt;1&lt;/C&gt;&lt;D xsi:type="xsd:double"&gt;31671&lt;/D&gt;&lt;/FQL&gt;&lt;FQL&gt;&lt;Q&gt;Ticker0024^FE_ESTIMATE(GROSSINCOME,MEAN,ANNUAL_ROLL,2021,45778,,,'')&lt;/Q&gt;&lt;R&gt;1&lt;/R&gt;&lt;C&gt;1&lt;/C&gt;&lt;D xsi:type="xsd:double"&gt;115856.59&lt;/D&gt;&lt;/FQL&gt;&lt;FQL&gt;&lt;Q&gt;Ticker0024^FE_ESTIMATE(GROSSINCOME,MEAN,QUARTERLY_ROLL,2021/4F,45778,,,'')&lt;/Q&gt;&lt;R&gt;1&lt;/R&gt;&lt;C&gt;1&lt;/C&gt;&lt;D xsi:type="xsd:double"&gt;32161&lt;/D&gt;&lt;/FQL&gt;&lt;FQL&gt;&lt;Q&gt;Ticker0024^FE_ESTIMATE(GROSSINCOME,MEAN,QUARTERLY_ROLL,2021/3F,45778,,,'')&lt;/Q&gt;&lt;R&gt;1&lt;/R&gt;&lt;C&gt;1&lt;/C&gt;&lt;D xsi:type="xsd:double"&gt;28661&lt;/D&gt;&lt;/FQL&gt;&lt;FQL&gt;&lt;Q&gt;Ticker0024^FE_ESTIMATE(GROSSINCOME,MEAN,QUARTERLY_ROLL,2021/2F,45778,,,'')&lt;/Q&gt;&lt;R&gt;1&lt;/R&gt;&lt;C&gt;1&lt;/C&gt;&lt;D xsi:type="xsd:double"&gt;28882&lt;/D&gt;&lt;/FQL&gt;&lt;FQL&gt;&lt;Q&gt;Ticker0024^FE_ESTIMATE(GROSSINCOME,MEAN,QUARTERLY_ROLL,2021/1F,45778,,,'')&lt;/Q&gt;&lt;R&gt;1&lt;/R&gt;&lt;C&gt;1&lt;/C&gt;&lt;D xsi:type="xsd:double"&gt;26152&lt;/D&gt;&lt;/FQL&gt;&lt;FQL&gt;&lt;Q&gt;Ticker0024^FE_ESTIMATE(GROSSINCOME,MEAN,ANNUAL_ROLL,2020,45778,,,'')&lt;/Q&gt;&lt;R&gt;1&lt;/R&gt;&lt;C&gt;1&lt;/C&gt;&lt;D xsi:type="xsd:double"&gt;96940.4&lt;/D&gt;&lt;/FQL&gt;&lt;FQL&gt;&lt;Q&gt;Ticker0024^FE_ESTIMATE(GROSSINCOME,MEAN,QUARTERLY_ROLL,2020/4F,45778,,,'')&lt;/Q&gt;&lt;R&gt;1&lt;/R&gt;&lt;C&gt;1&lt;/C&gt;&lt;D xsi:type="xsd:double"&gt;25698.295&lt;/D&gt;&lt;/FQL&gt;&lt;FQL&gt;&lt;Q&gt;Ticker0024^FE_ESTIMATE(GROSSINCOME,MEAN,QUARTERLY_ROLL,2020/3F,45778,,,'')&lt;/Q&gt;&lt;R&gt;1&lt;/R&gt;&lt;C&gt;1&lt;/C&gt;&lt;D xsi:type="xsd:double"&gt;24046&lt;/D&gt;&lt;/FQL&gt;&lt;FQL&gt;&lt;Q&gt;Ticker0024^FE_ESTIMATE(GROSSINCOME,MEAN,QUARTERLY_ROLL,2020/2F,45778,,,'')&lt;/Q&gt;&lt;R&gt;1&lt;/R&gt;&lt;C&gt;1&lt;/C&gt;&lt;D xsi:type="xsd:double"&gt;24548&lt;/D&gt;&lt;/FQL&gt;&lt;FQL&gt;&lt;Q&gt;Ticker0024^FE_ESTIMATE(GROSSINCOME,MEAN,QUARTERLY_ROLL,2020/1F,45778,,,'')&lt;/Q&gt;&lt;R&gt;1&lt;/R&gt;&lt;C&gt;1&lt;/C&gt;&lt;D xsi:type="xsd:double"&gt;22649&lt;/D&gt;&lt;/FQL&gt;&lt;FQL&gt;&lt;Q&gt;Ticker0024^FE_ESTIMATE(GROSSINCOME,MEAN,ANNUAL_ROLL,2019,45778,,,'')&lt;/Q&gt;&lt;R&gt;1&lt;/R&gt;&lt;C&gt;1&lt;/C&gt;&lt;D xsi:type="xsd:double"&gt;82959.15&lt;/D&gt;&lt;/FQL&gt;&lt;FQL&gt;&lt;Q&gt;Ticker0024^FE_ESTIMATE(GROSSINCOME,MEAN,QUARTERLY_ROLL,2019/4F,45778,,,'')&lt;/Q&gt;&lt;R&gt;1&lt;/R&gt;&lt;C&gt;1&lt;/C&gt;&lt;D xsi:type="xsd:double"&gt;23317.578&lt;/D&gt;&lt;/FQL&gt;&lt;FQL&gt;&lt;Q&gt;Ticker0024^FE_ESTIMATE(GROSSINCOME,MEAN,QUARTERLY_ROLL,2019/3F,45778,,,'')&lt;/Q&gt;&lt;R&gt;1&lt;/R&gt;&lt;C&gt;1&lt;/C&gt;&lt;D xsi:type="xsd:double"&gt;20416&lt;/D&gt;&lt;/FQL&gt;&lt;FQL&gt;&lt;Q&gt;Ticker0024^FE_ESTIMATE(GROSSINCOME,MEAN,QUARTERLY_ROLL,2019/2F,45778,,,'')&lt;/Q&gt;&lt;R&gt;1&lt;/R&gt;&lt;C&gt;1&lt;/C&gt;&lt;D xsi:type="xsd:double"&gt;20048&lt;/D&gt;&lt;/FQL&gt;&lt;FQL&gt;&lt;Q&gt;Ticker0024^FE_ESTIMATE(GROSSINCOME,MEAN,QUARTERLY_ROLL,2019/1F,45778,,,'')&lt;/Q&gt;&lt;R&gt;1&lt;/R&gt;&lt;C&gt;1&lt;/C&gt;&lt;D xsi:type="xsd:double"&gt;19179&lt;/D&gt;&lt;/FQL&gt;&lt;FQL&gt;&lt;Q&gt;Ticker0024^FE_ESTIMATE(GROSSINCOME,MEAN,ANNUAL_ROLL,2018,45778,,,'')&lt;/Q&gt;&lt;R&gt;1&lt;/R&gt;&lt;C&gt;1&lt;/C&gt;&lt;D xsi:type="xsd:double"&gt;71970.336&lt;/D&gt;&lt;/FQL&gt;&lt;FQL&gt;&lt;Q&gt;Ticker0024^FE_ESTIMATE(GROSSINCOME,MEAN,QUARTERLY_ROLL,2018/4F,45778,,,'')&lt;/Q&gt;&lt;R&gt;1&lt;/R&gt;&lt;C&gt;1&lt;/C&gt;&lt;D xsi:type="xsd:double"&gt;20296.684&lt;/D&gt;&lt;/FQL&gt;&lt;FQL&gt;&lt;Q&gt;Ticker0024^FE_ESTIMATE(GROSSINCOME,MEAN,QUARTERLY_ROLL,2018/3F,45778,,,'')&lt;/Q&gt;&lt;R&gt;1&lt;/R&gt;&lt;C&gt;1&lt;/C&gt;&lt;D xsi:type="xsd:double"&gt;17550&lt;/D&gt;&lt;/FQL&gt;&lt;FQL&gt;&lt;Q&gt;Ticker0024^FE_ESTIMATE(GROSSINCOME,MEAN,QUARTERLY_ROLL,2018/2F,45778,,,'')&lt;/Q&gt;&lt;R&gt;1&lt;/R&gt;&lt;C&gt;1&lt;/C&gt;&lt;D xsi:type="xsd:double"&gt;17854&lt;/D&gt;&lt;/FQL&gt;&lt;FQL&gt;&lt;Q&gt;Ticker0024^FE_ESTIMATE(GROSSINCOME,MEAN,QUARTERLY_ROLL,2018/1F,45778,,,'')&lt;/Q&gt;&lt;R&gt;1&lt;/R&gt;&lt;C&gt;1&lt;/C&gt;&lt;D xsi:type="xsd:double"&gt;16264.4&lt;/D&gt;&lt;/FQL&gt;&lt;FQL&gt;&lt;Q&gt;Ticker0024^FE_ESTIMATE(GROSSINCOME,MEAN,ANNUAL_ROLL,2017,45778,,,'')&lt;/Q&gt;&lt;R&gt;1&lt;/R&gt;&lt;C&gt;1&lt;/C&gt;&lt;D xsi:type="xsd:double"&gt;62400.3&lt;/D&gt;&lt;/FQL&gt;&lt;FQL&gt;&lt;Q&gt;Ticker0024^FE_ESTIMATE(GROSSINCOME,MEAN,QUARTERLY_ROLL,2017/4F,45778,,,'')&lt;/Q&gt;&lt;R&gt;1&lt;/R&gt;&lt;C&gt;1&lt;/C&gt;&lt;D xsi:type="xsd:double"&gt;16244&lt;/D&gt;&lt;/FQL&gt;&lt;FQL&gt;&lt;Q&gt;Ticker0024^FE_ESTIMATE(GROSSINCOME,MEAN,QUARTERLY_ROLL,2017/3F,45778,,,'')&lt;/Q&gt;&lt;R&gt;1&lt;/R&gt;&lt;C&gt;1&lt;/C&gt;&lt;D xsi:type="xsd:double"&gt;15497&lt;/D&gt;&lt;/FQL&gt;&lt;FQL&gt;&lt;Q&gt;Ticker0024^FE_ESTIMATE(GROSSINCOME,MEAN,QUARTERLY_ROLL,2017/2F,45778,,,'')&lt;/Q&gt;&lt;R&gt;1&lt;/R&gt;&lt;C&gt;1&lt;/C&gt;&lt;D xsi:type="xsd:double"&gt;15990.608&lt;/D&gt;&lt;/FQL&gt;&lt;FQL&gt;&lt;Q&gt;Ticker0024^FE_ESTIMATE(GROSSINCOME,MEAN,QUARTERLY_ROLL,2017/1F,45778,,,'')&lt;/Q&gt;&lt;R&gt;1&lt;/R&gt;&lt;C&gt;1&lt;/C&gt;&lt;D xsi:type="xsd:double"&gt;14317.286&lt;/D&gt;&lt;/FQL&gt;&lt;FQL&gt;&lt;Q&gt;Ticker0024^FE_ESTIMATE(GROSSINCOME,MEAN,ANNUAL_ROLL,2016,45778,,,'')&lt;/Q&gt;&lt;R&gt;1&lt;/R&gt;&lt;C&gt;1&lt;/C&gt;&lt;D xsi:type="xsd:double"&gt;59288.41&lt;/D&gt;&lt;/FQL&gt;&lt;FQL&gt;&lt;Q&gt;Ticker0024^FE_ESTIMATE(GROSSINCOME,MEAN,QUARTERLY_ROLL,2016/4F,45778,,,'')&lt;/Q&gt;&lt;R&gt;1&lt;/R&gt;&lt;C&gt;1&lt;/C&gt;&lt;D xsi:type="xsd:double"&gt;14663&lt;/D&gt;&lt;/FQL&gt;&lt;FQL&gt;&lt;Q&gt;Ticker0024^FE_ESTIMATE(GROSSINCOME,MEAN,QUARTERLY_ROLL,2016/3F,45778,,,'')&lt;/Q&gt;&lt;R&gt;1&lt;/R&gt;&lt;C&gt;1&lt;/C&gt;&lt;D xsi:type="xsd:double"&gt;14354&lt;/D&gt;&lt;/FQL&gt;&lt;FQL&gt;&lt;Q&gt;Ticker0024^FE_ESTIMATE(GROSSINCOME,MEAN,QUARTERLY_ROLL,2016/2F,45778,,,'')&lt;/Q&gt;&lt;R&gt;1&lt;/R&gt;&lt;C&gt;1&lt;/C&gt;&lt;D xsi:type="xsd:double"&gt;15821&lt;/D&gt;&lt;/FQL&gt;&lt;FQL&gt;&lt;Q&gt;Ticker0024^FE_ESTIMATE(GROSSINCOME,MEAN,QUARTERLY_ROLL,2016/1F,45778,,,'')&lt;/Q&gt;&lt;R&gt;1&lt;/R&gt;&lt;C&gt;1&lt;/C&gt;&lt;D xsi:type="xsd:double"&gt;14452.667&lt;/D&gt;&lt;/FQL&gt;&lt;FQL&gt;&lt;Q&gt;Ticker0024^FE_ESTIMATE(GROSSINCOME,MEAN,ANNUAL_ROLL,2015,45778,,,'')&lt;/Q&gt;&lt;R&gt;1&lt;/R&gt;&lt;C&gt;1&lt;/C&gt;&lt;D xsi:type="xsd:double"&gt;60542.086&lt;/D&gt;&lt;/FQL&gt;&lt;FQL&gt;&lt;Q&gt;Ticker0024^FE_ESTIMATE(GROSSINCOME,MEAN,QUARTERLY_ROLL,2015/4F,45778,,,'')&lt;/Q&gt;&lt;R&gt;1&lt;/R&gt;&lt;C&gt;1&lt;/C&gt;&lt;D xsi:type="xsd:double"&gt;14712&lt;/D&gt;&lt;/FQL&gt;&lt;FQL&gt;&lt;Q&gt;Ticker0024^FE_ESTIMATE(GROSSINCOME,MEAN,QUARTERLY_ROLL,2015/3F,45778,,,'')&lt;/Q&gt;&lt;R&gt;1&lt;/R&gt;&lt;C&gt;1&lt;/C&gt;&lt;D xsi:type="xsd:double"&gt;14571.714&lt;/D&gt;&lt;/FQL&gt;&lt;FQL&gt;&lt;Q&gt;Ticker0024^FE_ESTIMATE(GROSSINCOME,MEAN,QUARTERLY_ROLL,2015/2F,45778,,,'')&lt;/Q&gt;&lt;R&gt;1&lt;/R&gt;&lt;C&gt;1&lt;/C&gt;&lt;D xsi:type="xsd:double"&gt;16334&lt;/D&gt;&lt;/FQL&gt;&lt;FQL&gt;&lt;Q&gt;Ticker0024^FE_ESTIMATE(GROSSINCOME,MEAN,QUARTERLY_ROLL,2015/1F,45778,,,'')&lt;/Q&gt;&lt;R&gt;1&lt;/R&gt;&lt;C&gt;1&lt;/C&gt;&lt;D xsi:type="xsd:double"&gt;14928&lt;/D&gt;&lt;/FQL&gt;&lt;FQL&gt;&lt;Q&gt;Ticker0024^FE_ESTIMATE(SALES,MEAN,ANNUAL_ROLL,2030,45778,,,'')&lt;/Q&gt;&lt;R&gt;0&lt;/R&gt;&lt;C&gt;0&lt;/C&gt;&lt;/FQL&gt;&lt;FQL&gt;&lt;Q&gt;Ticker0024^FE_ESTIMATE(SALES,MEAN,QUARTERLY_ROLL,2030/4F,45778,,,'')&lt;/Q&gt;&lt;R&gt;0&lt;/R&gt;&lt;C&gt;0&lt;/C&gt;&lt;/FQL&gt;&lt;FQL&gt;&lt;Q&gt;Ticker0024^FE_ESTIMATE(SALES,MEAN,QUARTERLY_ROLL,2030/3F,45778,,,'')&lt;/Q&gt;&lt;R&gt;0&lt;/R&gt;&lt;C&gt;0&lt;/C&gt;&lt;/FQL&gt;&lt;FQL&gt;&lt;Q&gt;Ticker0024^FE_ESTIMATE(SALES,MEAN,QUARTERLY_ROLL,2030/2F,45778,,,'')&lt;/Q&gt;&lt;R&gt;0&lt;/R&gt;&lt;C&gt;0&lt;/C&gt;&lt;/FQL&gt;&lt;FQL&gt;&lt;Q&gt;Ticker0024^FE_ESTIMATE(SALES,MEAN,QUARTERLY_ROLL,2030/1F,45778,,,'')&lt;/Q&gt;&lt;R&gt;0&lt;/R&gt;&lt;C&gt;0&lt;/C&gt;&lt;/FQL&gt;&lt;FQL&gt;&lt;Q&gt;Ticker0024^FE_ESTIMATE(SALES,MEAN,ANNUAL_ROLL,2029,45778,,,'')&lt;/Q&gt;&lt;R&gt;1&lt;/R&gt;&lt;C&gt;1&lt;/C&gt;&lt;D xsi:type="xsd:double"&gt;477902.6&lt;/D&gt;&lt;/FQL&gt;&lt;FQL&gt;&lt;Q&gt;Ticker0024^FE_ESTIMATE(SALES,MEAN,QUARTERLY_ROLL,2029/4F,45778,,,'')&lt;/Q&gt;&lt;R&gt;0&lt;/R&gt;&lt;C&gt;0&lt;/C&gt;&lt;/FQL&gt;&lt;FQL&gt;&lt;Q&gt;Ticker0024^FE_ESTIMATE(SALES,MEAN,QUARTERLY_ROLL,2029/3F,45778,,,'')&lt;/Q&gt;&lt;R&gt;0&lt;/R&gt;&lt;C&gt;0&lt;/C&gt;&lt;/FQL&gt;&lt;FQL&gt;&lt;Q&gt;Ticker0024^FE_ESTIMATE(SALES,MEAN,QUARTERLY_ROLL,2029/2F,45778,,,'')&lt;/Q&gt;&lt;R&gt;0&lt;/R&gt;&lt;C&gt;0&lt;/C&gt;&lt;/FQL&gt;&lt;FQL&gt;&lt;Q&gt;Ticker0024^FE_ESTIMATE(SALES,MEAN,QUARTERLY_ROLL,2029/1F,45778,,,'')&lt;/Q&gt;&lt;R&gt;0&lt;/R&gt;&lt;C&gt;0&lt;/C&gt;&lt;/FQL&gt;&lt;FQL&gt;&lt;Q&gt;Ticker0024^FE_ESTIMATE(SALES,MEAN,ANNUAL_ROLL,2028,45778,,,'')&lt;/Q&gt;&lt;R&gt;1&lt;/R&gt;&lt;C&gt;1&lt;/C&gt;&lt;D xsi:type="xsd:double"&gt;415587.66&lt;/D&gt;&lt;/FQL&gt;&lt;FQL&gt;&lt;Q&gt;Ticker0024^FE_ESTIMATE(SALES,MEAN,QUARTERLY_ROLL,2028/4F,45778,,,'')&lt;/Q&gt;&lt;R&gt;0&lt;/R&gt;&lt;C&gt;0&lt;/C&gt;&lt;/FQL&gt;&lt;FQL&gt;&lt;Q&gt;Ticker0024^FE_ESTIMATE(SALES,MEAN,QUARTERLY_ROLL,2028/3F,45778,,,'')&lt;/Q&gt;&lt;R&gt;0&lt;/R&gt;&lt;C&gt;0&lt;/C&gt;&lt;/FQL&gt;&lt;FQL&gt;&lt;Q&gt;Ticker0024^FE_ESTIMATE(SALES,MEAN,QUARTERLY_ROLL,2028/2F,45778,,,'')&lt;/Q&gt;&lt;R&gt;0&lt;/R&gt;&lt;C&gt;0&lt;/C&gt;&lt;/FQL&gt;&lt;FQL&gt;&lt;Q&gt;Ticker0024^FE_ESTIMATE(SALES,MEAN,QUARTERLY_ROLL,2028/1F,45778,,,'')&lt;/Q&gt;&lt;R&gt;0&lt;/R&gt;&lt;C&gt;0&lt;/C&gt;&lt;/FQL&gt;&lt;FQL&gt;&lt;Q&gt;Ticker0024^FE_ESTIMATE(SALES,MEAN,ANNUAL_ROLL,2027,45778,,,'')&lt;/Q&gt;&lt;R&gt;1&lt;/R&gt;&lt;C&gt;1&lt;/C&gt;&lt;D xsi:type="xsd:double"&gt;361371.25&lt;/D&gt;&lt;/FQL&gt;&lt;FQL&gt;&lt;Q&gt;Ticker0024^FE_ESTIMATE(SALES,MEAN,QUARTERLY_ROLL,2027/4F,45778,,,'')&lt;/Q&gt;&lt;R&gt;1&lt;/R&gt;&lt;C&gt;1&lt;/C&gt;&lt;D xsi:type="xsd:double"&gt;94370.59&lt;/D&gt;&lt;/FQL&gt;&lt;FQL&gt;&lt;Q&gt;Ticker0024^FE_ESTIMATE(SALES,MEAN,QUARTERLY_ROLL,2027/3F,45778,,,'')&lt;/Q&gt;&lt;R&gt;1&lt;/R&gt;&lt;C&gt;1&lt;/C&gt;&lt;D xsi:type="xsd:double"&gt;89694.445&lt;/D&gt;&lt;/FQL&gt;&lt;FQL&gt;&lt;Q&gt;Ticker0024^FE_ESTIMATE(SALES,MEAN,QUARTERLY_ROLL,2027/2F,45778,,,'')&lt;/Q&gt;&lt;R&gt;1&lt;/R&gt;&lt;C&gt;1&lt;/C&gt;&lt;D xsi:type="xsd:double"&gt;88844.01&lt;/D&gt;&lt;/FQL&gt;&lt;FQL&gt;&lt;Q&gt;Ticker0024^FE_ESTIMATE(SALES,MEAN,QUARTERLY_ROLL,2027/1F,45778,,,'')&lt;/Q&gt;&lt;R&gt;1&lt;/R&gt;&lt;C&gt;1&lt;/C&gt;&lt;D xsi:type="xsd:double"&gt;84182.5&lt;/D&gt;&lt;/FQL&gt;&lt;FQL&gt;&lt;Q&gt;Ticker0024^FE_ESTIMATE(SALES,MEAN,ANNUAL_ROLL,2026,45778,,,'')&lt;/Q&gt;&lt;R&gt;1&lt;/R&gt;&lt;C&gt;1&lt;/C&gt;&lt;D xsi:type="xsd:double"&gt;315636.97&lt;/D&gt;&lt;/FQL&gt;&lt;FQL&gt;&lt;Q&gt;Ticker0024^FE_ESTIMATE(SALES,MEAN,QUARTERLY_ROLL,2026/4F,45778,,,'')&lt;/Q&gt;&lt;R&gt;1&lt;/R&gt;&lt;C&gt;1&lt;/C&gt;&lt;D xsi:type="xsd:double"&gt;82943.76&lt;/D&gt;&lt;/FQL&gt;&lt;FQL&gt;&lt;Q&gt;Ticker0024^FE_ESTIMATE(SALES,MEAN,QUARTERLY_ROLL,2026/3F,45778,,,'')&lt;/Q&gt;&lt;R&gt;1&lt;/R&gt;&lt;C&gt;1&lt;/C&gt;&lt;D xsi:type="xsd:double"&gt;78920.72&lt;/D&gt;&lt;/FQL&gt;&lt;FQL&gt;&lt;Q&gt;Ticker0024^FE_ESTIMATE(SALES,MEAN,QUARTERLY_ROLL,2026/2F,45778,,,'')&lt;/Q&gt;&lt;R&gt;1&lt;/R&gt;&lt;C&gt;1&lt;/C&gt;&lt;D xsi:</t>
        </r>
      </text>
    </comment>
    <comment ref="A54" authorId="0" shapeId="0" xr:uid="{BFBFB744-4106-4909-9B8D-B8D6CB25061B}">
      <text>
        <r>
          <rPr>
            <b/>
            <sz val="9"/>
            <color indexed="81"/>
            <rFont val="Tahoma"/>
            <family val="2"/>
          </rPr>
          <t>Author:double"&gt;78411.766&lt;/D&gt;&lt;/FQL&gt;&lt;FQL&gt;&lt;Q&gt;Ticker0024^FE_ESTIMATE(SALES,MEAN,QUARTERLY_ROLL,2026/1F,45778,,,'')&lt;/Q&gt;&lt;R&gt;1&lt;/R&gt;&lt;C&gt;1&lt;/C&gt;&lt;D xsi:type="xsd:double"&gt;73974.9&lt;/D&gt;&lt;/FQL&gt;&lt;FQL&gt;&lt;Q&gt;Ticker0024^FE_ESTIMATE(SALES,MEAN,ANNUAL_ROLL,2025,45778,,,'')&lt;/Q&gt;&lt;R&gt;1&lt;/R&gt;&lt;C&gt;1&lt;/C&gt;&lt;D xsi:type="xsd:double"&gt;278221&lt;/D&gt;&lt;/FQL&gt;&lt;FQL&gt;&lt;Q&gt;Ticker0024^FE_ESTIMATE(SALES,MEAN,QUARTERLY_ROLL,2025/4F,45778,,,'')&lt;/Q&gt;&lt;R&gt;1&lt;/R&gt;&lt;C&gt;1&lt;/C&gt;&lt;D xsi:type="xsd:double"&gt;73396.61&lt;/D&gt;&lt;/FQL&gt;&lt;FQL&gt;&lt;Q&gt;Ticker0024^FE_ESTIMATE(SALES,MEAN,QUARTERLY_ROLL,2025/3F,45778,,,'')&lt;/Q&gt;&lt;R&gt;1&lt;/R&gt;&lt;C&gt;1&lt;/C&gt;&lt;D xsi:type="xsd:double"&gt;70066&lt;/D&gt;&lt;/FQL&gt;&lt;FQL&gt;&lt;Q&gt;Ticker0024^FE_ESTIMATE(SALES,MEAN,QUARTERLY_ROLL,2025/2F,45778,,,'')&lt;/Q&gt;&lt;R&gt;1&lt;/R&gt;&lt;C&gt;1&lt;/C&gt;&lt;D xsi:type="xsd:double"&gt;69632&lt;/D&gt;&lt;/FQL&gt;&lt;FQL&gt;&lt;Q&gt;Ticker0024^FE_ESTIMATE(SALES,MEAN,QUARTERLY_ROLL,2025/1F,45778,,,'')&lt;/Q&gt;&lt;R&gt;1&lt;/R&gt;&lt;C&gt;1&lt;/C&gt;&lt;D xsi:type="xsd:double"&gt;65585&lt;/D&gt;&lt;/FQL&gt;&lt;FQL&gt;&lt;Q&gt;Ticker0024^FE_ESTIMATE(SALES,MEAN,ANNUAL_ROLL,2024,45778,,,'')&lt;/Q&gt;&lt;R&gt;1&lt;/R&gt;&lt;C&gt;1&lt;/C&gt;&lt;D xsi:type="xsd:double"&gt;245122&lt;/D&gt;&lt;/FQL&gt;&lt;FQL&gt;&lt;Q&gt;Ticker0024^FE_ESTIMATE(SALES,MEAN,QUARTERLY_ROLL,2024/4F,45778,,,'')&lt;/Q&gt;&lt;R&gt;1&lt;/R&gt;&lt;C&gt;1&lt;/C&gt;&lt;D xsi:type="xsd:double"&gt;64727&lt;/D&gt;&lt;/FQL&gt;&lt;FQL&gt;&lt;Q&gt;Ticker0024^FE_ESTIMATE(SALES,MEAN,QUARTERLY_ROLL,2024/3F,45778,,,'')&lt;/Q&gt;&lt;R&gt;1&lt;/R&gt;&lt;C&gt;1&lt;/C&gt;&lt;D xsi:type="xsd:double"&gt;61858&lt;/D&gt;&lt;/FQL&gt;&lt;FQL&gt;&lt;Q&gt;Ticker0024^FE_ESTIMATE(SALES,MEAN,QUARTERLY_ROLL,2024/2F,45778,,,'')&lt;/Q&gt;&lt;R&gt;1&lt;/R&gt;&lt;C&gt;1&lt;/C&gt;&lt;D xsi:type="xsd:double"&gt;62020&lt;/D&gt;&lt;/FQL&gt;&lt;FQL&gt;&lt;Q&gt;Ticker0024^FE_ESTIMATE(SALES,MEAN,QUARTERLY_ROLL,2024/1F,45778,,,'')&lt;/Q&gt;&lt;R&gt;1&lt;/R&gt;&lt;C&gt;1&lt;/C&gt;&lt;D xsi:type="xsd:double"&gt;56517&lt;/D&gt;&lt;/FQL&gt;&lt;FQL&gt;&lt;Q&gt;Ticker0024^FE_ESTIMATE(SALES,MEAN,ANNUAL_ROLL,2023,45778,,,'')&lt;/Q&gt;&lt;R&gt;1&lt;/R&gt;&lt;C&gt;1&lt;/C&gt;&lt;D xsi:type="xsd:double"&gt;211915&lt;/D&gt;&lt;/FQL&gt;&lt;FQL&gt;&lt;Q&gt;Ticker0024^FE_ESTIMATE(SALES,MEAN,QUARTERLY_ROLL,2023/4F,45778,,,'')&lt;/Q&gt;&lt;R&gt;1&lt;/R&gt;&lt;C&gt;1&lt;/C&gt;&lt;D xsi:type="xsd:double"&gt;56189&lt;/D&gt;&lt;/FQL&gt;&lt;FQL&gt;&lt;Q&gt;Ticker0024^FE_ESTIMATE(SALES,MEAN,QUARTERLY_ROLL,2023/3F,45778,,,'')&lt;/Q&gt;&lt;R&gt;1&lt;/R&gt;&lt;C&gt;1&lt;/C&gt;&lt;D xsi:type="xsd:double"&gt;52857&lt;/D&gt;&lt;/FQL&gt;&lt;FQL&gt;&lt;Q&gt;Ticker0024^FE_ESTIMATE(SALES,MEAN,QUARTERLY_ROLL,2023/2F,45778,,,'')&lt;/Q&gt;&lt;R&gt;1&lt;/R&gt;&lt;C&gt;1&lt;/C&gt;&lt;D xsi:type="xsd:double"&gt;52747&lt;/D&gt;&lt;/FQL&gt;&lt;FQL&gt;&lt;Q&gt;Ticker0024^FE_ESTIMATE(SALES,MEAN,QUARTERLY_ROLL,2023/1F,45778,,,'')&lt;/Q&gt;&lt;R&gt;1&lt;/R&gt;&lt;C&gt;1&lt;/C&gt;&lt;D xsi:type="xsd:double"&gt;50122&lt;/D&gt;&lt;/FQL&gt;&lt;FQL&gt;&lt;Q&gt;Ticker0024^FE_ESTIMATE(SALES,MEAN,ANNUAL_ROLL,2022,45778,,,'')&lt;/Q&gt;&lt;R&gt;1&lt;/R&gt;&lt;C&gt;1&lt;/C&gt;&lt;D xsi:type="xsd:double"&gt;198270&lt;/D&gt;&lt;/FQL&gt;&lt;FQL&gt;&lt;Q&gt;Ticker0024^FE_ESTIMATE(SALES,MEAN,QUARTERLY_ROLL,2022/4F,45778,,,'')&lt;/Q&gt;&lt;R&gt;1&lt;/R&gt;&lt;C&gt;1&lt;/C&gt;&lt;D xsi:type="xsd:double"&gt;51865&lt;/D&gt;&lt;/FQL&gt;&lt;FQL&gt;&lt;Q&gt;Ticker0024^FE_ESTIMATE(SALES,MEAN,QUARTERLY_ROLL,2022/3F,45778,,,'')&lt;/Q&gt;&lt;R&gt;1&lt;/R&gt;&lt;C&gt;1&lt;/C&gt;&lt;D xsi:type="xsd:double"&gt;49360&lt;/D&gt;&lt;/FQL&gt;&lt;FQL&gt;&lt;Q&gt;Ticker0024^FE_ESTIMATE(SALES,MEAN,QUARTERLY_ROLL,2022/2F,45778,,,'')&lt;/Q&gt;&lt;R&gt;1&lt;/R&gt;&lt;C&gt;1&lt;/C&gt;&lt;D xsi:type="xsd:double"&gt;51728&lt;/D&gt;&lt;/FQL&gt;&lt;FQL&gt;&lt;Q&gt;Ticker0024^FE_ESTIMATE(SALES,MEAN,QUARTERLY_ROLL,2022/1F,45778,,,'')&lt;/Q&gt;&lt;R&gt;1&lt;/R&gt;&lt;C&gt;1&lt;/C&gt;&lt;D xsi:type="xsd:double"&gt;45317&lt;/D&gt;&lt;/FQL&gt;&lt;FQL&gt;&lt;Q&gt;Ticker0024^FE_ESTIMATE(SALES,MEAN,ANNUAL_ROLL,2021,45778,,,'')&lt;/Q&gt;&lt;R&gt;1&lt;/R&gt;&lt;C&gt;1&lt;/C&gt;&lt;D xsi:type="xsd:double"&gt;168088&lt;/D&gt;&lt;/FQL&gt;&lt;FQL&gt;&lt;Q&gt;Ticker0024^FE_ESTIMATE(SALES,MEAN,QUARTERLY_ROLL,2021/4F,45778,,,'')&lt;/Q&gt;&lt;R&gt;1&lt;/R&gt;&lt;C&gt;1&lt;/C&gt;&lt;D xsi:type="xsd:double"&gt;46152&lt;/D&gt;&lt;/FQL&gt;&lt;FQL&gt;&lt;Q&gt;Ticker0024^FE_ESTIMATE(SALES,MEAN,QUARTERLY_ROLL,2021/3F,45778,,,'')&lt;/Q&gt;&lt;R&gt;1&lt;/R&gt;&lt;C&gt;1&lt;/C&gt;&lt;D xsi:type="xsd:double"&gt;41706&lt;/D&gt;&lt;/FQL&gt;&lt;FQL&gt;&lt;Q&gt;Ticker0024^FE_ESTIMATE(SALES,MEAN,QUARTERLY_ROLL,2021/2F,45778,,,'')&lt;/Q&gt;&lt;R&gt;1&lt;/R&gt;&lt;C&gt;1&lt;/C&gt;&lt;D xsi:type="xsd:double"&gt;43076&lt;/D&gt;&lt;/FQL&gt;&lt;FQL&gt;&lt;Q&gt;Ticker0024^FE_ESTIMATE(SALES,MEAN,QUARTERLY_ROLL,2021/1F,45778,,,'')&lt;/Q&gt;&lt;R&gt;1&lt;/R&gt;&lt;C&gt;1&lt;/C&gt;&lt;D xsi:type="xsd:double"&gt;37154&lt;/D&gt;&lt;/FQL&gt;&lt;FQL&gt;&lt;Q&gt;Ticker0024^FE_ESTIMATE(SALES,MEAN,ANNUAL_ROLL,2020,45778,,,'')&lt;/Q&gt;&lt;R&gt;1&lt;/R&gt;&lt;C&gt;1&lt;/C&gt;&lt;D xsi:type="xsd:double"&gt;143015&lt;/D&gt;&lt;/FQL&gt;&lt;FQL&gt;&lt;Q&gt;Ticker0024^FE_ESTIMATE(SALES,MEAN,QUARTERLY_ROLL,2020/4F,45778,,,'')&lt;/Q&gt;&lt;R&gt;1&lt;/R&gt;&lt;C&gt;1&lt;/C&gt;&lt;D xsi:type="xsd:double"&gt;38033&lt;/D&gt;&lt;/FQL&gt;&lt;FQL&gt;&lt;Q&gt;Ticker0024^FE_ESTIMATE(SALES,MEAN,QUARTERLY_ROLL,2020/3F,45778,,,'')&lt;/Q&gt;&lt;R&gt;1&lt;/R&gt;&lt;C&gt;1&lt;/C&gt;&lt;D xsi:type="xsd:double"&gt;35021&lt;/D&gt;&lt;/FQL&gt;&lt;FQL&gt;&lt;Q&gt;Ticker0024^FE_ESTIMATE(SALES,MEAN,QUARTERLY_ROLL,2020/2F,45778,,,'')&lt;/Q&gt;&lt;R&gt;1&lt;/R&gt;&lt;C&gt;1&lt;/C&gt;&lt;D xsi:type="xsd:double"&gt;36906&lt;/D&gt;&lt;/FQL&gt;&lt;FQL&gt;&lt;Q&gt;Ticker0024^FE_ESTIMATE(SALES,MEAN,QUARTERLY_ROLL,2020/1F,45778,,,'')&lt;/Q&gt;&lt;R&gt;1&lt;/R&gt;&lt;C&gt;1&lt;/C&gt;&lt;D xsi:type="xsd:double"&gt;33055&lt;/D&gt;&lt;/FQL&gt;&lt;FQL&gt;&lt;Q&gt;Ticker0024^FE_ESTIMATE(SALES,MEAN,ANNUAL_ROLL,2019,45778,,,'')&lt;/Q&gt;&lt;R&gt;1&lt;/R&gt;&lt;C&gt;1&lt;/C&gt;&lt;D xsi:type="xsd:double"&gt;125843&lt;/D&gt;&lt;/FQL&gt;&lt;FQL&gt;&lt;Q&gt;Ticker0024^FE_ESTIMATE(SALES,MEAN,QUARTERLY_ROLL,2019/4F,45778,,,'')&lt;/Q&gt;&lt;R&gt;1&lt;/R&gt;&lt;C&gt;1&lt;/C&gt;&lt;D xsi:type="xsd:double"&gt;33717&lt;/D&gt;&lt;/FQL&gt;&lt;FQL&gt;&lt;Q&gt;Ticker0024^FE_ESTIMATE(SALES,MEAN,QUARTERLY_ROLL,2019/3F,45778,,,'')&lt;/Q&gt;&lt;R&gt;1&lt;/R&gt;&lt;C&gt;1&lt;/C&gt;&lt;D xsi:type="xsd:double"&gt;30571&lt;/D&gt;&lt;/FQL&gt;&lt;FQL&gt;&lt;Q&gt;Ticker0024^FE_ESTIMATE(SALES,MEAN,QUARTERLY_ROLL,2019/2F,45778,,,'')&lt;/Q&gt;&lt;R&gt;1&lt;/R&gt;&lt;C&gt;1&lt;/C&gt;&lt;D xsi:type="xsd:double"&gt;32471&lt;/D&gt;&lt;/FQL&gt;&lt;FQL&gt;&lt;Q&gt;Ticker0024^FE_ESTIMATE(SALES,MEAN,QUARTERLY_ROLL,2019/1F,45778,,,'')&lt;/Q&gt;&lt;R&gt;1&lt;/R&gt;&lt;C&gt;1&lt;/C&gt;&lt;D xsi:type="xsd:double"&gt;29084&lt;/D&gt;&lt;/FQL&gt;&lt;FQL&gt;&lt;Q&gt;Ticker0024^FE_ESTIMATE(SALES,MEAN,ANNUAL_ROLL,2018,45778,,,'')&lt;/Q&gt;&lt;R&gt;1&lt;/R&gt;&lt;C&gt;1&lt;/C&gt;&lt;D xsi:type="xsd:double"&gt;110360&lt;/D&gt;&lt;/FQL&gt;&lt;FQL&gt;&lt;Q&gt;Ticker0024^FE_ESTIMATE(SALES,MEAN,QUARTERLY_ROLL,2018/4F,45778,,,'')&lt;/Q&gt;&lt;R&gt;1&lt;/R&gt;&lt;C&gt;1&lt;/C&gt;&lt;D xsi:type="xsd:double"&gt;30085&lt;/D&gt;&lt;/FQL&gt;&lt;FQL&gt;&lt;Q&gt;Ticker0024^FE_ESTIMATE(SALES,MEAN,QUARTERLY_ROLL,2018/3F,45778,,,'')&lt;/Q&gt;&lt;R&gt;1&lt;/R&gt;&lt;C&gt;1&lt;/C&gt;&lt;D xsi:type="xsd:double"&gt;26819&lt;/D&gt;&lt;/FQL&gt;&lt;FQL&gt;&lt;Q&gt;Ticker0024^FE_ESTIMATE(SALES,MEAN,QUARTERLY_ROLL,2018/2F,45778,,,'')&lt;/Q&gt;&lt;R&gt;1&lt;/R&gt;&lt;C&gt;1&lt;/C&gt;&lt;D xsi:type="xsd:double"&gt;28918&lt;/D&gt;&lt;/FQL&gt;&lt;FQL&gt;&lt;Q&gt;Ticker0024^FE_ESTIMATE(SALES,MEAN,QUARTERLY_ROLL,2018/1F,45778,,,'')&lt;/Q&gt;&lt;R&gt;1&lt;/R&gt;&lt;C&gt;1&lt;/C&gt;&lt;D xsi:type="xsd:double"&gt;24538&lt;/D&gt;&lt;/FQL&gt;&lt;FQL&gt;&lt;Q&gt;Ticker0024^FE_ESTIMATE(SALES,MEAN,ANNUAL_ROLL,2017,45778,,,'')&lt;/Q&gt;&lt;R&gt;1&lt;/R&gt;&lt;C&gt;1&lt;/C&gt;&lt;D xsi:type="xsd:double"&gt;96700&lt;/D&gt;&lt;/FQL&gt;&lt;FQL&gt;&lt;Q&gt;Ticker0024^FE_ESTIMATE(SALES,MEAN,QUARTERLY_ROLL,2017/4F,45778,,,'')&lt;/Q&gt;&lt;R&gt;1&lt;/R&gt;&lt;C&gt;1&lt;/C&gt;&lt;D xsi:type="xsd:double"&gt;24700&lt;/D&gt;&lt;/FQL&gt;&lt;FQL&gt;&lt;Q&gt;Ticker0024^FE_ESTIMATE(SALES,MEAN,QUARTERLY_ROLL,2017/3F,45778,,,'')&lt;/Q&gt;&lt;R&gt;1&lt;/R&gt;&lt;C&gt;1&lt;/C&gt;&lt;D xsi:type="xsd:double"&gt;23557&lt;/D&gt;&lt;/FQL&gt;&lt;FQL&gt;&lt;Q&gt;Ticker0024^FE_ESTIMATE(SALES,MEAN,QUARTERLY_ROLL,2017/2F,45778,,,'')&lt;/Q&gt;&lt;R&gt;1&lt;/R&gt;&lt;C&gt;1&lt;/C&gt;&lt;D xsi:type="xsd:double"&gt;26066&lt;/D&gt;&lt;/FQL&gt;&lt;FQL&gt;&lt;Q&gt;Ticker0024^FE_ESTIMATE(SALES,MEAN,QUARTERLY_ROLL,2017/1F,45778,,,'')&lt;/Q&gt;&lt;R&gt;1&lt;/R&gt;&lt;C&gt;1&lt;/C&gt;&lt;D xsi:type="xsd:double"&gt;22334&lt;/D&gt;&lt;/FQL&gt;&lt;FQL&gt;&lt;Q&gt;Ticker0024^FE_ESTIMATE(SALES,MEAN,ANNUAL_ROLL,2016,45778,,,'')&lt;/Q&gt;&lt;R&gt;1&lt;/R&gt;&lt;C&gt;1&lt;/C&gt;&lt;D xsi:type="xsd:double"&gt;92051.92&lt;/D&gt;&lt;/FQL&gt;&lt;FQL&gt;&lt;Q&gt;Ticker0024^FE_ESTIMATE(SALES,MEAN,QUARTERLY_ROLL,2016/4F,45778,,,'')&lt;/Q&gt;&lt;R&gt;1&lt;/R&gt;&lt;C&gt;1&lt;/C&gt;&lt;D xsi:type="xsd:double"&gt;22640.229&lt;/D&gt;&lt;/FQL&gt;&lt;FQL&gt;&lt;Q&gt;Ticker0024^FE_ESTIMATE(SALES,MEAN,QUARTERLY_ROLL,2016/3F,45778,,,'')&lt;/Q&gt;&lt;R&gt;1&lt;/R&gt;&lt;C&gt;1&lt;/C&gt;&lt;D xsi:type="xsd:double"&gt;22076&lt;/D&gt;&lt;/FQL&gt;&lt;FQL&gt;&lt;Q&gt;Ticker0024^FE_ESTIMATE(SALES,MEAN,QUARTERLY_ROLL,2016/2F,45778,,,'')&lt;/Q&gt;&lt;R&gt;1&lt;/R&gt;&lt;C&gt;1&lt;/C&gt;&lt;D xsi:type="xsd:double"&gt;25693&lt;/D&gt;&lt;/FQL&gt;&lt;FQL&gt;&lt;Q&gt;Ticker0024^FE_ESTIMATE(SALES,MEAN,QUARTERLY_ROLL,2016/1F,45778,,,'')&lt;/Q&gt;&lt;R&gt;1&lt;/R&gt;&lt;C&gt;1&lt;/C&gt;&lt;D xsi:type="xsd:double"&gt;21660&lt;/D&gt;&lt;/FQL&gt;&lt;FQL&gt;&lt;Q&gt;Ticker0024^FE_ESTIMATE(SALES,MEAN,ANNUAL_ROLL,2015,45778,,,'')&lt;/Q&gt;&lt;R&gt;1&lt;/R&gt;&lt;C&gt;1&lt;/C&gt;&lt;D xsi:type="xsd:double"&gt;93580&lt;/D&gt;&lt;/FQL&gt;&lt;FQL&gt;&lt;Q&gt;Ticker0024^FE_ESTIMATE(SALES,MEAN,QUARTERLY_ROLL,2015/4F,45778,,,'')&lt;/Q&gt;&lt;R&gt;1&lt;/R&gt;&lt;C&gt;1&lt;/C&gt;&lt;D xsi:type="xsd:double"&gt;22180&lt;/D&gt;&lt;/FQL&gt;&lt;FQL&gt;&lt;Q&gt;Ticker0024^FE_ESTIMATE(SALES,MEAN,QUARTERLY_ROLL,2015/3F,45778,,,'')&lt;/Q&gt;&lt;R&gt;1&lt;/R&gt;&lt;C&gt;1&lt;/C&gt;&lt;D xsi:type="xsd:double"&gt;21729&lt;/D&gt;&lt;/FQL&gt;&lt;FQL&gt;&lt;Q&gt;Ticker0024^FE_ESTIMATE(SALES,MEAN,QUARTERLY_ROLL,2015/2F,45778,,,'')&lt;/Q&gt;&lt;R&gt;1&lt;/R&gt;&lt;C&gt;1&lt;/C&gt;&lt;D xsi:type="xsd:double"&gt;26470&lt;/D&gt;&lt;/FQL&gt;&lt;FQL&gt;&lt;Q&gt;Ticker0024^FE_ESTIMATE(SALES,MEAN,QUARTERLY_ROLL,2015/1F,45778,,,'')&lt;/Q&gt;&lt;R&gt;1&lt;/R&gt;&lt;C&gt;1&lt;/C&gt;&lt;D xsi:type="xsd:double"&gt;23201&lt;/D&gt;&lt;/FQL&gt;&lt;FQL&gt;&lt;Q&gt;Ticker0024^FE_ESTIMATE(PRODLINE_SALES_17,MEAN,ANNUAL_ROLL,2030,45778,,,'')&lt;/Q&gt;&lt;R&gt;0&lt;/R&gt;&lt;C&gt;0&lt;/C&gt;&lt;/FQL&gt;&lt;FQL&gt;&lt;Q&gt;Ticker0024^FE_ESTIMATE(PRODLINE_SALES_17,MEAN,QUARTERLY_ROLL,2030/4F,45778,,,'')&lt;/Q&gt;&lt;R&gt;0&lt;/R&gt;&lt;C&gt;0&lt;/C&gt;&lt;/FQL&gt;&lt;FQL&gt;&lt;Q&gt;Ticker0024^FE_ESTIMATE(PRODLINE_SALES_17,MEAN,QUARTERLY_ROLL,2030/3F,45778,,,'')&lt;/Q&gt;&lt;R&gt;0&lt;/R&gt;&lt;C&gt;0&lt;/C&gt;&lt;/FQL&gt;&lt;FQL&gt;&lt;Q&gt;Ticker0024^FE_ESTIMATE(PRODLINE_SALES_17,MEAN,QUARTERLY_ROLL,2030/2F,45778,,,'')&lt;/Q&gt;&lt;R&gt;0&lt;/R&gt;&lt;C&gt;0&lt;/C&gt;&lt;/FQL&gt;&lt;FQL&gt;&lt;Q&gt;Ticker0024^FE_ESTIMATE(PRODLINE_SALES_17,MEAN,QUARTERLY_ROLL,2030/1F,45778,,,'')&lt;/Q&gt;&lt;R&gt;0&lt;/R&gt;&lt;C&gt;0&lt;/C&gt;&lt;/FQL&gt;&lt;FQL&gt;&lt;Q&gt;Ticker0024^FE_ESTIMATE(PRODLINE_SALES_17,MEAN,ANNUAL_ROLL,2029,45778,,,'')&lt;/Q&gt;&lt;R&gt;0&lt;/R&gt;&lt;C&gt;0&lt;/C&gt;&lt;/FQL&gt;&lt;FQL&gt;&lt;Q&gt;Ticker0024^FE_ESTIMATE(PRODLINE_SALES_17,MEAN,QUARTERLY_ROLL,2029/4F,45778,,,'')&lt;/Q&gt;&lt;R&gt;0&lt;/R&gt;&lt;C&gt;0&lt;/C&gt;&lt;/FQL&gt;&lt;FQL&gt;&lt;Q&gt;Ticker0024^FE_ESTIMATE(PRODLINE_SALES_17,MEAN,QUARTERLY_ROLL,2029/3F,45778,,,'')&lt;/Q&gt;&lt;R&gt;0&lt;/R&gt;&lt;C&gt;0&lt;/C&gt;&lt;/FQL&gt;&lt;FQL&gt;&lt;Q&gt;Ticker0024^FE_ESTIMATE(PRODLINE_SALES_17,MEAN,QUARTERLY_ROLL,2029/2F,45778,,,'')&lt;/Q&gt;&lt;R&gt;0&lt;/R&gt;&lt;C&gt;0&lt;/C&gt;&lt;/FQL&gt;&lt;FQL&gt;&lt;Q&gt;Ticker0024^FE_ESTIMATE(PRODLINE_SALES_17,MEAN,QUARTERLY_ROLL,2029/1F,45778,,,'')&lt;/Q&gt;&lt;R&gt;0&lt;/R&gt;&lt;C&gt;0&lt;/C&gt;&lt;/FQL&gt;&lt;FQL&gt;&lt;Q&gt;Ticker0024^FE_ESTIMATE(PRODLINE_SALES_17,MEAN,ANNUAL_ROLL,2028,45778,,,'')&lt;/Q&gt;&lt;R&gt;1&lt;/R&gt;&lt;C&gt;1&lt;/C&gt;&lt;D xsi:type="xsd:double"&gt;62543&lt;/D&gt;&lt;/FQL&gt;&lt;FQL&gt;&lt;Q&gt;Ticker0024^FE_ESTIMATE(PRODLINE_SALES_17,MEAN,QUARTERLY_ROLL,2028/4F,45778,,,'')&lt;/Q&gt;&lt;R&gt;0&lt;/R&gt;&lt;C&gt;0&lt;/C&gt;&lt;/FQL&gt;&lt;FQL&gt;&lt;Q&gt;Ticker0024^FE_ESTIMATE(PRODLINE_SALES_17,MEAN,QUARTERLY_ROLL,2028/3F,45778,,,'')&lt;/Q&gt;&lt;R&gt;0&lt;/R&gt;&lt;C&gt;0&lt;/C&gt;&lt;/FQL&gt;&lt;FQL&gt;&lt;Q&gt;Ticker0024^FE_ESTIMATE(PRODLINE_SALES_17,MEAN,QUARTERLY_ROLL,2028/2F,45778,,,'')&lt;/Q&gt;&lt;R&gt;0&lt;/R&gt;&lt;C&gt;0&lt;/C&gt;&lt;/FQL&gt;&lt;FQL&gt;&lt;Q&gt;Ticker0024^FE_ESTIMATE(PRODLINE_SALES_17,MEAN,QUARTERLY_ROLL,2028/1F,45778,,,'')&lt;/Q&gt;&lt;R&gt;0&lt;/R&gt;&lt;C&gt;0&lt;/C&gt;&lt;/FQL&gt;&lt;FQL&gt;&lt;Q&gt;Ticker0024^FE_ESTIMATE(PRODLINE_SALES_17,MEAN,ANNUAL_ROLL,2027,45778,,,'')&lt;/Q&gt;&lt;R&gt;1&lt;/R&gt;&lt;C&gt;1&lt;/C&gt;&lt;D xsi:type="xsd:double"&gt;58123.45&lt;/D&gt;&lt;/FQL&gt;&lt;FQL&gt;&lt;Q&gt;Ticker0024^FE_ESTIMATE(PRODLINE_SALES_17,MEAN,QUARTERLY_ROLL,2027/4F,45778,,,'')&lt;/Q&gt;&lt;R&gt;1&lt;/R&gt;&lt;C&gt;1&lt;/C&gt;&lt;D xsi:type="xsd:double"&gt;15021&lt;/D&gt;&lt;/FQL&gt;&lt;FQL&gt;&lt;Q&gt;Ticker0024^FE_ESTIMATE(PRODLINE_SALES_17,MEAN,QUARTERLY_ROLL,2027/3F,45778,,,'')&lt;/Q&gt;&lt;R&gt;1&lt;/R&gt;&lt;C&gt;1&lt;/C&gt;&lt;D xsi:type="xsd:double"&gt;15270.5&lt;/D&gt;&lt;/FQL&gt;&lt;FQL&gt;&lt;Q&gt;Ticker0024^FE_ESTIMATE(PRODLINE_SALES_17,MEAN,QUARTERLY_ROLL,2027/2F,45778,,,'')&lt;/Q&gt;&lt;R&gt;1&lt;/R&gt;&lt;C&gt;1&lt;/C&gt;&lt;D xsi:type="xsd:double"&gt;16549.666&lt;/D&gt;&lt;/FQL&gt;&lt;FQL&gt;&lt;Q&gt;Ticker0024^FE_ESTIMATE(PRODLINE_SALES_17,MEAN,QUARTERLY_ROLL,2027/1F,45778,,,'')&lt;/Q&gt;&lt;R&gt;1&lt;/R&gt;&lt;C&gt;1&lt;/C&gt;&lt;D xsi:type="xsd:double"&gt;14586.333&lt;/D&gt;&lt;/FQL&gt;&lt;FQL&gt;&lt;Q&gt;Ticker0024^FE_ESTIMATE(PRODLINE_SALES_17,MEAN,ANNUAL_ROLL,2026,45778,,,'')&lt;/Q&gt;&lt;R&gt;1&lt;/R&gt;&lt;C&gt;1&lt;/C&gt;&lt;D xsi:type="xsd:double"&gt;55624.992&lt;/D&gt;&lt;/FQL&gt;&lt;FQL&gt;&lt;Q&gt;Ticker0024^FE_ESTIMATE(PRODLINE_SALES_17,MEAN,QUARTERLY_ROLL,2026/4F,45778,,,'')&lt;/Q&gt;&lt;R&gt;1&lt;/R&gt;&lt;C&gt;1&lt;/C&gt;&lt;D xsi:type="xsd:double"&gt;13375.52&lt;/D&gt;&lt;/FQL&gt;&lt;FQL&gt;&lt;Q&gt;Ticker0024^FE_ESTIMATE(PRODLINE_SALES_17,MEAN,QUARTERLY_ROLL,2026/3F,45778,,,'')&lt;/Q&gt;&lt;R&gt;1&lt;/R&gt;&lt;C&gt;1&lt;/C&gt;&lt;D xsi:type="xsd:double"&gt;13968.08&lt;/D&gt;&lt;/FQL&gt;&lt;FQL&gt;&lt;Q&gt;Ticker0024^FE_ESTIMATE(PRODLINE_SALES_17,MEAN,QUARTERLY_ROLL,2026/2F,45778,,,'')&lt;/Q&gt;&lt;R&gt;1&lt;/R&gt;&lt;C&gt;1&lt;/C&gt;&lt;D xsi:type="xsd:double"&gt;15196.781&lt;/D&gt;&lt;/FQL&gt;&lt;FQL&gt;&lt;Q&gt;Ticker0024^FE_ESTIMATE(PRODLINE_SALES_17,MEAN,QUARTERLY_ROLL,2026/1F,45778,,,'')&lt;/Q&gt;&lt;R&gt;1&lt;/R&gt;&lt;C&gt;1&lt;/C&gt;&lt;D xsi:type="xsd:double"&gt;13474.125&lt;/D&gt;&lt;/FQL&gt;&lt;FQL&gt;&lt;Q&gt;Ticker0024^FE_ESTIMATE(PRODLINE_SALES_17,MEAN,ANNUAL_ROLL,2025,45778,,,'')&lt;/Q&gt;&lt;R&gt;1&lt;/R&gt;&lt;C&gt;1&lt;/C&gt;&lt;D xsi:type="xsd:double"&gt;53669.176&lt;/D&gt;&lt;/FQL&gt;&lt;FQL&gt;&lt;Q&gt;Ticker0024^FE_ESTIMATE(PRODLINE_SALES_17,MEAN,QUARTERLY_ROLL,2025/4F,45778,,,'')&lt;/Q&gt;&lt;R&gt;1&lt;/R&gt;&lt;C&gt;1&lt;/C&gt;&lt;D xsi:type="xsd:double"&gt;12721.846&lt;/D&gt;&lt;/FQL&gt;&lt;FQL&gt;&lt;Q&gt;Ticker0024^FE_ESTIMATE(PRODLINE_SALES_17,MEAN,QUARTERLY_ROLL,2025/3F,45778,,,'')&lt;/Q&gt;&lt;R&gt;1&lt;/R&gt;&lt;C&gt;1&lt;/C&gt;&lt;D xsi:type="xsd:double"&gt;13371&lt;/D&gt;&lt;/FQL&gt;&lt;FQL&gt;&lt;Q&gt;Ticker0024^FE_ESTIMATE(PRODLINE_SALES_17,MEAN,QUARTERLY_ROLL,2025/2F,45778,,,'')&lt;/Q&gt;&lt;R&gt;1&lt;/R&gt;&lt;C&gt;1&lt;/C&gt;&lt;D xsi:type="xsd:double"&gt;14651&lt;/D&gt;&lt;/FQL&gt;&lt;FQL&gt;&lt;Q&gt;Ticker0024^FE_ESTIMATE(PRODLINE_SALES_17,MEAN,QUARTERLY_ROLL,2025/1F,45778,,,'')&lt;/Q&gt;&lt;R&gt;1&lt;/R&gt;&lt;C&gt;1&lt;/C&gt;&lt;D xsi:type="xsd:double"&gt;13176&lt;/D&gt;&lt;/FQL&gt;&lt;FQL&gt;&lt;Q&gt;Ticker0024^FE_ESTIMATE(PRODLINE_SALES_17,MEAN,ANNUAL_ROLL,2024,45778,,,'')&lt;/Q&gt;&lt;R&gt;1&lt;/R&gt;&lt;C&gt;1&lt;/C&gt;&lt;D xsi:type="xsd:double"&gt;62032&lt;/D&gt;&lt;/FQL&gt;&lt;FQL&gt;&lt;Q&gt;Ticker0024^FE_ESTIMATE(PRODLINE_SALES_17,MEAN,QUARTERLY_ROLL,2024/4F,45778,,,'')&lt;/Q&gt;&lt;R&gt;1&lt;/R&gt;&lt;C&gt;1&lt;/C&gt;&lt;D xsi:type="xsd:double"&gt;15895&lt;/D&gt;&lt;/FQL&gt;&lt;FQL&gt;&lt;Q&gt;Ticker0024^FE_ESTIMATE(PRODLINE_SALES_17,MEAN,QUARTERLY_ROLL,2024/3F,45778,,,'')&lt;/Q&gt;&lt;R&gt;1&lt;/R&gt;&lt;C&gt;1&lt;/C&gt;&lt;D xsi:type="xsd:double"&gt;15580&lt;/D&gt;&lt;/FQL&gt;&lt;FQL&gt;&lt;Q&gt;Ticker0024^FE_ESTIMATE(PRODLINE_SALES_17,MEAN,QUARTERLY_ROLL,2024/2F,45778,,,'')&lt;/Q&gt;&lt;R&gt;1&lt;/R&gt;&lt;C&gt;1&lt;/C&gt;&lt;D xsi:type="xsd:double"&gt;16891&lt;/D&gt;&lt;/FQL&gt;&lt;FQL&gt;&lt;Q&gt;Ticker0024^FE_ESTIMATE(PRODLINE_SALES_17,MEAN,QUARTERLY_ROLL,2024/1F,45778,,,'')&lt;/Q&gt;&lt;R&gt;1&lt;/R&gt;&lt;C&gt;1&lt;/C&gt;&lt;D xsi:type="xsd:double"&gt;13666&lt;/D&gt;&lt;/FQL&gt;&lt;FQL&gt;&lt;Q&gt;Ticker0024^FE_ESTIMATE(PRODLINE_SALES_17,MEAN,ANNUAL_ROLL,2023,45778,,,'')&lt;/Q&gt;&lt;R&gt;1&lt;/R&gt;&lt;C&gt;1&lt;/C&gt;&lt;D xsi:type="xsd:double"&gt;54732.273&lt;/D&gt;&lt;/FQL&gt;&lt;FQL&gt;&lt;Q&gt;Ticker0024^FE_ESTIMATE(PRODLINE_SALES_17,MEAN,QUARTERLY_ROLL,2023/4F,45778,,,'')&lt;/Q&gt;&lt;R&gt;1&lt;/R&gt;&lt;C&gt;1&lt;/C&gt;&lt;D xsi:type="xsd:double"&gt;13905&lt;/D&gt;&lt;/FQL&gt;&lt;FQL&gt;&lt;Q&gt;Ticker0024^FE_ESTIMATE(PRODLINE_SALES_17,MEAN,QUARTERLY_ROLL,2023/3F,45778,,,'')&lt;/Q&gt;&lt;R&gt;1&lt;/R&gt;&lt;C&gt;1&lt;/C&gt;&lt;D xsi:type="xsd:double"&gt;13260&lt;/D&gt;&lt;/FQL&gt;&lt;FQL&gt;&lt;Q&gt;Ticker0024^FE_ESTIMATE(PRODLINE_SALES_17,MEAN,QUARTERLY_ROLL,2023/2F,45778,,,'')&lt;/Q&gt;&lt;R&gt;1&lt;/R&gt;&lt;C&gt;1&lt;/C&gt;&lt;D xsi:type="xsd:double"&gt;14237&lt;/D&gt;&lt;/FQL&gt;&lt;FQL&gt;&lt;Q&gt;Ticker0024^FE_ESTIMATE(PRODLINE_SALES_17,MEAN,QUARTERLY_ROLL,2023/1F,45778,,,'')&lt;/Q&gt;&lt;R&gt;1&lt;/R&gt;&lt;C&gt;1&lt;/C&gt;&lt;D xsi:type="xsd:double"&gt;13332&lt;/D&gt;&lt;/FQL&gt;&lt;FQL&gt;&lt;Q&gt;Ticker0024^FE_ESTIMATE(PRODLINE_SALES_17,MEAN,ANNUAL_ROLL,2022,45778,,,'')&lt;/Q&gt;&lt;R&gt;1&lt;/R&gt;&lt;C&gt;1&lt;/C&gt;&lt;D xsi:type="xsd:double"&gt;59655&lt;/D&gt;&lt;/FQL&gt;&lt;FQL&gt;&lt;Q&gt;Ticker0024^FE_ESTIMATE(PRODLINE_SALES_17,MEAN,QUARTERLY_ROLL,2022/4F,45778,,,'')&lt;/Q&gt;&lt;R&gt;1&lt;/R&gt;&lt;C&gt;1&lt;/C&gt;&lt;D xsi:type="xsd:double"&gt;14356&lt;/D&gt;&lt;/FQL&gt;&lt;FQL&gt;&lt;Q&gt;Ticker0024^FE_ESTIMATE(PRODLINE_SALES_17,MEAN,QUARTERLY_ROLL,2022/3F,45778,,,'')&lt;/Q&gt;&lt;R&gt;1&lt;/R&gt;&lt;C&gt;1&lt;/C&gt;&lt;D xsi:type="xsd:double"&gt;14520&lt;/D&gt;&lt;/FQL&gt;&lt;FQL&gt;&lt;Q&gt;Ticker0024^FE_ESTIMATE(PRODLINE_SALES_17,MEAN,QUARTERLY_ROLL,2022/2F,45778,,,'')&lt;/Q&gt;&lt;R&gt;1&lt;/R&gt;&lt;C&gt;1&lt;/C&gt;&lt;D xsi:type="xsd:double"&gt;17465&lt;/D&gt;&lt;/FQL&gt;&lt;FQL&gt;&lt;Q&gt;Ticker0024^FE_ESTIMATE(PRODLINE_SALES_17,MEAN,QUARTERLY_ROLL,2022/1F,45778,,,'')&lt;/Q&gt;&lt;R&gt;1&lt;/R&gt;&lt;C&gt;1&lt;/C&gt;&lt;D xsi:type="xsd:double"&gt;13314&lt;/D&gt;&lt;/FQL&gt;&lt;FQL&gt;&lt;Q&gt;Ticker0024^FE_ESTIMATE(PRODLINE_SALES_17,MEAN,ANNUAL_ROLL,2021,45778,,,'')&lt;/Q&gt;&lt;R&gt;1&lt;/R&gt;&lt;C&gt;1&lt;/C&gt;&lt;D xsi:type="xsd:double"&gt;54093&lt;/D&gt;&lt;/FQL&gt;&lt;FQL&gt;&lt;Q&gt;Ticker0024^FE_ESTIMATE(PRODLINE_SALES_17,MEAN,QUARTERLY_ROLL,2021/4F,45778,,,'')&lt;/Q&gt;&lt;R&gt;1&lt;/R&gt;&lt;C&gt;1&lt;/C&gt;&lt;D xsi:type="xsd:double"&gt;14086&lt;/D&gt;&lt;/FQL&gt;&lt;FQL&gt;&lt;Q&gt;Ticker0024^FE_ESTIMATE(PRODLINE_SALES_17,MEAN,QUARTERLY_ROLL,2021/3F,45778,,,'')&lt;/Q&gt;&lt;R&gt;1&lt;/R&gt;&lt;C&gt;1&lt;/C&gt;&lt;D xsi:type="xsd:double"&gt;13036&lt;/D&gt;&lt;/FQL&gt;&lt;FQL&gt;&lt;Q&gt;Ticker0024^FE_ESTIMATE(PRODLINE_SALES_17,MEAN,QUARTERLY_ROLL,2021/2F,45778,,,'')&lt;/Q&gt;&lt;R&gt;1&lt;/R&gt;&lt;C&gt;1&lt;/C&gt;&lt;D xsi:type="xsd:double"&gt;15122&lt;/D&gt;&lt;/FQL&gt;&lt;FQL&gt;&lt;Q&gt;Ticker0024^FE_ESTIMATE(PRODLINE_SALES_17,MEAN,QUARTERLY_ROLL,2021/1F,45778,,,'')&lt;/Q&gt;&lt;R&gt;1&lt;/R&gt;&lt;C&gt;1&lt;/C&gt;&lt;D xsi:type="xsd:double"&gt;11849&lt;/D&gt;&lt;/FQL&gt;&lt;FQL&gt;&lt;Q&gt;Ticker0024^FE_ESTIMATE(PRODLINE_SALES_17,MEAN,ANNUAL_ROLL,2020,45778,,,'')&lt;/Q&gt;&lt;R&gt;1&lt;/R&gt;&lt;C&gt;1&lt;/C&gt;&lt;D xsi:type="xsd:double"&gt;48251&lt;/D&gt;&lt;/FQL&gt;&lt;FQL&gt;&lt;Q&gt;Ticker0024^FE_ESTIMATE(PRODLINE_SALES_17,MEAN,QUARTERLY_ROLL,2020/4F,45778,,,'')&lt;/Q&gt;&lt;R&gt;1&lt;/R&gt;&lt;C&gt;1&lt;/C&gt;&lt;D xsi:type="xsd:double"&gt;12910&lt;/D&gt;&lt;/FQL&gt;&lt;FQL&gt;&lt;Q&gt;Ticker0024^FE_ESTIMATE(PRODLINE_SALES_17,MEAN,QUARTERLY_ROLL,2020/3F,45778,,,'')&lt;/Q&gt;&lt;R&gt;1&lt;/R&gt;&lt;C&gt;1&lt;/C&gt;&lt;D xsi:type="xsd:double"&gt;10997&lt;/D&gt;&lt;/FQL&gt;&lt;FQL&gt;&lt;Q&gt;Ticker0024^FE_ESTIMATE(PRODLINE_SALES_17,MEAN,QUARTERLY_ROLL,2020/2F,45778,,,'')&lt;/Q&gt;&lt;R&gt;1&lt;/R&gt;&lt;C&gt;1&lt;/C&gt;&lt;D xsi:type="xsd:double"&gt;13211&lt;/D&gt;&lt;/FQL&gt;&lt;FQL&gt;&lt;Q&gt;Ticker0024^FE_ESTIMATE(PRODLINE_SALES_17,MEAN,QUARTERLY_ROLL,2020/1F,45778,,,'')&lt;/Q&gt;&lt;R&gt;1&lt;/R&gt;&lt;C&gt;1&lt;/C&gt;&lt;D xsi:type="xsd:double"&gt;11133&lt;/D&gt;&lt;/FQL&gt;&lt;FQL&gt;&lt;Q&gt;Ticker0024^FE_ESTIMATE(PRODLINE_SALES_17,MEAN,ANNUAL_ROLL,2019,45778,,,'')&lt;/Q&gt;&lt;R&gt;1&lt;/R&gt;&lt;C&gt;1&lt;/C&gt;&lt;D xsi:type="xsd:double"&gt;45698&lt;/D&gt;&lt;/FQL&gt;&lt;FQL&gt;&lt;Q&gt;Ticker0024^FE_ESTIMATE(PRODLINE_SALES_17,MEAN,QUARTERLY_ROLL,2019/4F,45778,,,'')&lt;/Q&gt;&lt;R&gt;1&lt;/R&gt;&lt;C&gt;1&lt;/C&gt;&lt;D xsi:type="xsd:double"&gt;11279&lt;/D&gt;&lt;/FQL&gt;&lt;FQL&gt;&lt;Q&gt;Ticker0024^FE_ESTIMATE(PRODLINE_SALES_17,MEAN,QUARTERLY_ROLL,2019/3F,45778,,,'')&lt;/Q&gt;&lt;R&gt;1&lt;/R&gt;&lt;C&gt;1&lt;/C&gt;&lt;D xsi:type="xsd:double"&gt;10680&lt;/D&gt;&lt;/FQL&gt;&lt;FQL&gt;&lt;Q&gt;Ticker0024^FE_ESTIMATE(PRODLINE_SALES_17,MEAN,QUARTERLY_ROLL,2019/2F,45778,,,'')&lt;/Q&gt;&lt;R&gt;1&lt;/R&gt;&lt;C&gt;1&lt;/C&gt;&lt;D xsi:type="xsd:double"&gt;12993&lt;/D&gt;&lt;/FQL&gt;&lt;FQL&gt;&lt;Q&gt;Ticker0024^FE_ESTIMATE(PRODLINE_SALES_17,MEAN,QUARTERLY_ROLL,2019/1F,45778,,,'')&lt;/Q&gt;&lt;R&gt;1&lt;/R&gt;&lt;C&gt;1&lt;/C&gt;&lt;D xsi:type="xsd:double"&gt;10746&lt;/D&gt;&lt;/FQL&gt;&lt;FQL&gt;&lt;Q&gt;Ticker0024^FE_ESTIMATE(PRODLINE_SALES_17,MEAN,ANNUAL_ROLL,2018,45778,,,'')&lt;/Q&gt;&lt;R&gt;1&lt;/R&gt;&lt;C&gt;1&lt;/C&gt;&lt;D xsi:type="xsd:double"&gt;42276&lt;/D&gt;&lt;/FQL&gt;&lt;FQL&gt;&lt;Q&gt;Ticker0024^FE_ESTIMATE(PRODLINE_SALES_17,MEAN,QUARTERLY_ROLL,2018/4F,45778,,,'')&lt;/Q&gt;&lt;R&gt;1&lt;/R&gt;&lt;C&gt;1&lt;/C&gt;&lt;D xsi:type="xsd:double"&gt;10811&lt;/D&gt;&lt;/FQL&gt;&lt;FQL&gt;&lt;Q&gt;Ticker0024^FE_ESTIMATE(PRODLINE_SALES_17,MEAN,QUARTERLY_ROLL,2018/3F,45778,,,'')&lt;/Q&gt;&lt;R&gt;1&lt;/R&gt;&lt;C&gt;1&lt;/C&gt;&lt;D xsi:type="xsd:double"&gt;9917&lt;/D&gt;&lt;/FQL&gt;&lt;FQL&gt;&lt;Q&gt;Ticker0024^FE_ESTIMATE(PRODLINE_SALES_17,MEAN,QUARTERLY_ROLL,2018/2F,45778,,,'')&lt;/Q&gt;&lt;R&gt;1&lt;/R&gt;&lt;C&gt;1&lt;/C&gt;&lt;D xsi:type="xsd:double"&gt;12170&lt;/D&gt;&lt;/FQL&gt;&lt;FQL&gt;&lt;Q&gt;Ticker0024^FE_ESTIMATE(PRODLINE_SALES_17,MEAN,QUARTERLY_ROLL,2018/1F,45778,,,'')&lt;/Q&gt;&lt;R&gt;1&lt;/R&gt;&lt;C&gt;1&lt;/C&gt;&lt;D xsi:type="xsd:double"&gt;9378&lt;/D&gt;&lt;/FQL&gt;&lt;FQL&gt;&lt;Q&gt;Ticker0024^FE_ESTIMATE(PRODLINE_SALES_17,MEAN,ANNUAL_ROLL,2017,45778,,,'')&lt;/Q&gt;&lt;R&gt;1&lt;/R&gt;&lt;C&gt;1&lt;/C&gt;&lt;D xsi:type="xsd:double"&gt;38773&lt;/D&gt;&lt;/FQL&gt;&lt;FQL&gt;&lt;Q&gt;Ticker0024^FE_ESTIMATE(PRODLINE_SALES_17,MEAN,QUARTERLY_ROLL,2017/4F,45778,,,'')&lt;/Q&gt;&lt;R&gt;1&lt;/R&gt;&lt;C&gt;1&lt;/C&gt;&lt;D xsi:type="xsd:double"&gt;8820&lt;/D&gt;&lt;/FQL&gt;&lt;FQL&gt;&lt;Q&gt;Ticker0024^FE_ESTIMATE(PRODLINE_SALES_17,MEAN,QUARTERLY_ROLL,2017/3F,45778,,,'')&lt;/Q&gt;&lt;R&gt;1&lt;/R&gt;&lt;C&gt;1&lt;/C&gt;&lt;D xsi:type="xsd:double"&gt;8836&lt;/D&gt;&lt;/FQL&gt;&lt;FQL&gt;&lt;Q&gt;Ticker0024^FE_ESTIMATE(PRODLINE_SALES_17,MEAN,QUARTERLY_ROLL,2017/2F,45778,,,'')&lt;/Q&gt;&lt;R&gt;1&lt;/R&gt;&lt;C&gt;1&lt;/C&gt;&lt;D xsi:type="xsd:double"&gt;11823&lt;/D&gt;&lt;/FQL&gt;&lt;FQL&gt;&lt;Q&gt;Ticker0024^FE_ESTIMATE(PRODLINE_SALES_17,MEAN,QUARTERLY_ROLL,2017/1F,45778,,,'')&lt;/Q&gt;&lt;R&gt;1&lt;/R&gt;&lt;C&gt;1&lt;/C&gt;&lt;D xsi:type="xsd:double"&gt;9294&lt;/D&gt;&lt;/FQL&gt;&lt;FQL&gt;&lt;Q&gt;Ticker0024^FE_ESTIMATE(PRODLINE_SALES_17,MEAN,ANNUAL_ROLL,2016,45778,,,'')&lt;/Q&gt;&lt;R&gt;1&lt;/R&gt;&lt;C&gt;1&lt;/C&gt;&lt;D xsi:type="xsd:double"&gt;40460&lt;/D&gt;&lt;/FQL&gt;&lt;FQL&gt;&lt;Q&gt;Ticker0024^FE_ESTIMATE(PRODLINE_SALES_17,MEAN,QUARTERLY_ROLL,2016/4F,45778,,,'')&lt;/Q&gt;&lt;R&gt;1&lt;/R&gt;&lt;C&gt;1&lt;/C&gt;&lt;D xsi:type="xsd:double"&gt;8897&lt;/D&gt;&lt;/FQL&gt;&lt;FQL&gt;&lt;Q&gt;Ticker0024^FE_ESTIMATE(PRODLINE_SALES_17,MEAN,QUARTERLY_ROLL,2016/3F,45778,,,'')&lt;/Q&gt;&lt;R&gt;1&lt;/R&gt;&lt;C&gt;1&lt;/C&gt;&lt;D xsi:type="xsd:double"&gt;9458&lt;/D&gt;&lt;/FQL&gt;&lt;FQL&gt;&lt;Q&gt;Ticker0024^FE_ESTIMATE(PRODLINE_SALES_17,MEAN,QUARTERLY_ROLL,2016/2F,45778,,,'')&lt;/Q&gt;&lt;R&gt;1&lt;/R&gt;&lt;C&gt;1&lt;/C&gt;&lt;D xsi:type="xsd:double"&gt;12660&lt;/D&gt;&lt;/FQL&gt;&lt;FQL&gt;&lt;Q&gt;Ticker0024^FE_ESTIMATE(PRODLINE_SALES_17,MEAN,QUARTERLY_ROLL,2016/1F,45778,,,'')&lt;/Q&gt;&lt;R&gt;1&lt;/R&gt;&lt;C&gt;1&lt;/C&gt;&lt;D xsi:type="xsd:double"&gt;9381&lt;/D&gt;&lt;/FQL&gt;&lt;FQL&gt;&lt;Q&gt;Ticker0024^FE_ESTIMATE(PRODLINE_SALES_17,MEAN,ANNUAL_ROLL,2015,45778,,,'')&lt;/Q&gt;&lt;R&gt;0&lt;/R&gt;&lt;C&gt;0&lt;/C&gt;&lt;/FQL&gt;&lt;FQL&gt;&lt;Q&gt;Ticker0024^FE_ESTIMATE(PRODLINE_SALES_17,MEAN,QUARTERLY_ROLL,2015/4F,45778,,,'')&lt;/Q&gt;&lt;R&gt;0&lt;/R&gt;&lt;C&gt;0&lt;/C&gt;&lt;/FQL&gt;&lt;FQL&gt;&lt;Q&gt;Ticker0024^FE_ESTIMATE(PRODLINE_SALES_17,MEAN,QUARTERLY_ROLL,2015/3F,45778,,,'')&lt;/Q&gt;&lt;R&gt;0&lt;/R&gt;&lt;C&gt;0&lt;/C&gt;&lt;/FQL&gt;&lt;FQL&gt;&lt;Q&gt;Ticker0024^FE_ESTIMATE(PRODLINE_SALES_17,MEAN,QUARTERLY_ROLL,2015/2F,45778,,,'')&lt;/Q&gt;&lt;R&gt;0&lt;/R&gt;&lt;C&gt;0&lt;/C&gt;&lt;/FQL&gt;&lt;FQL&gt;&lt;Q&gt;Ticker0024^FE_ESTIMATE(PRODLINE_SALES_17,MEAN,QUARTERLY_ROLL,2015/1F,45778,,,'')&lt;/Q&gt;&lt;R&gt;0&lt;/R&gt;&lt;C&gt;0&lt;/C&gt;&lt;/FQL&gt;&lt;FQL&gt;&lt;Q&gt;Ticker0024^FE_ESTIMATE(PRODLINE_SALES_16,MEAN,ANNUAL_ROLL,2030,45778,,,'')&lt;/Q&gt;&lt;R&gt;0&lt;/R&gt;&lt;C&gt;0&lt;/C&gt;&lt;/FQL&gt;&lt;FQL&gt;&lt;Q&gt;Ticker0024^FE_ESTIMATE(PRODLINE_SALES_16,MEAN,QUARTERLY_ROLL,2030/4F,45778,,,'')&lt;/Q&gt;&lt;R&gt;0&lt;/R&gt;&lt;C&gt;0&lt;/C&gt;&lt;/FQL&gt;&lt;FQL&gt;&lt;Q&gt;Ticker0024^FE_ESTIMATE(PRODLINE_SALES_16,MEAN,QUARTERLY_ROLL,2030/3F,45778,,,'')&lt;/Q&gt;&lt;R&gt;0&lt;/R&gt;&lt;C&gt;0&lt;/C&gt;&lt;/FQL&gt;&lt;FQL&gt;&lt;Q&gt;Ticker0024^FE_ESTIMATE(PRODLINE_SALES_16,MEAN,QUARTERLY_ROLL,2030/2F,45778,,,'')&lt;/Q&gt;&lt;R&gt;0&lt;/R&gt;&lt;C&gt;0&lt;/C&gt;&lt;/FQL&gt;&lt;FQL&gt;&lt;Q&gt;Ticker0024^FE_ESTIMATE(PRODLINE_SALES_16,MEAN,QUARTERLY_ROLL,2030/1F,45778,,,'')&lt;/Q&gt;&lt;R&gt;0&lt;/R&gt;&lt;C&gt;0&lt;/C&gt;&lt;/FQL&gt;&lt;FQL&gt;&lt;Q&gt;Ticker0024^FE_ESTIMATE(PRODLINE_SALES_16,MEAN,ANNUAL_ROLL,2029,45778,,,'')&lt;/Q&gt;&lt;R&gt;0&lt;/R&gt;&lt;C&gt;0&lt;/C&gt;&lt;/FQL&gt;&lt;FQL&gt;&lt;Q&gt;Ticker0024^FE_ESTIMATE(PRODLINE_SALES_16,MEAN,QUARTERLY_ROLL,2029/4F,45778,,,'')&lt;/Q&gt;&lt;R&gt;0&lt;/R&gt;&lt;C&gt;0&lt;/C&gt;&lt;/FQL&gt;&lt;FQL&gt;&lt;Q&gt;Ticker0024^FE_ESTIMATE(PRODLINE_SALES_16,MEAN,QUARTERLY_ROLL,2029/3F,45778,,,'')&lt;/Q&gt;&lt;R&gt;0&lt;/R&gt;&lt;C&gt;0&lt;/C&gt;&lt;/FQL&gt;&lt;FQL&gt;&lt;Q&gt;Ticker0024^FE_ESTIMATE(PRODLINE_SALES_16,MEAN,QUARTERLY_ROLL,2029/2F,45778,,,'')&lt;/Q&gt;&lt;R&gt;0&lt;/R&gt;&lt;C&gt;0&lt;/C&gt;&lt;/FQL&gt;&lt;FQL&gt;&lt;Q&gt;Ticker0024^FE_ESTIMATE(PRODLINE_SALES_16,MEAN,QUARTERLY_ROLL,2029/1F,45778,,,'')&lt;/Q&gt;&lt;R&gt;0&lt;/R&gt;&lt;C&gt;0&lt;/C&gt;&lt;/FQL&gt;&lt;FQL&gt;&lt;Q&gt;Ticker0024^FE_ESTIMATE(PRODLINE_SALES_16,MEAN,ANNUAL_ROLL,2028,45778,,,'')&lt;/Q&gt;&lt;R&gt;0&lt;/R&gt;&lt;C&gt;0&lt;/C&gt;&lt;/FQL&gt;&lt;FQL&gt;&lt;Q&gt;Ticker0024^FE_ESTIMATE(PRODLINE_SALES_16,MEAN,QUARTERLY_ROLL,2028/4F,45778,,,'')&lt;/Q&gt;&lt;R&gt;0&lt;/R&gt;&lt;C&gt;0&lt;/C&gt;&lt;/FQL&gt;&lt;FQL&gt;&lt;Q&gt;Ticker0024^FE_ESTIMATE(PRODLINE_SALES_16,MEAN,QUARTERLY_ROLL,2028/3F,45778,,,'')&lt;/Q&gt;&lt;R&gt;0&lt;/R&gt;&lt;C&gt;0&lt;/C&gt;&lt;/FQL&gt;&lt;FQL&gt;&lt;Q&gt;Ticker0024^FE_ESTIMATE(PRODLINE_SALES_16,MEAN,QUARTERLY_ROLL,2028/2F,45778,,,'')&lt;/Q&gt;&lt;R&gt;0&lt;/R&gt;&lt;C&gt;0&lt;/C&gt;&lt;/FQL&gt;&lt;FQL&gt;&lt;Q&gt;Ticker0024^FE_ESTIMATE(PRODLINE_SALES_16,MEAN,QUARTERLY_ROLL,2028/1F,45778,,,'')&lt;/Q&gt;&lt;R&gt;0&lt;/R&gt;&lt;C&gt;0&lt;/C&gt;&lt;/FQL&gt;&lt;FQL&gt;&lt;Q&gt;Ticker0024^FE_ESTIMATE(PRODLINE_SALES_16,MEAN,ANNUAL_ROLL,2027,45778,,,'')&lt;/Q&gt;&lt;R&gt;1&lt;/R&gt;&lt;C&gt;1&lt;/C&gt;&lt;D xsi:type="xsd:double"&gt;156701.53&lt;/D&gt;&lt;/FQL&gt;&lt;FQL&gt;&lt;Q&gt;Ticker0024^FE_ESTIMATE(PRODLINE_SALES_16,MEAN,QUARTERLY_ROLL,2027/4F,45778,,,'')&lt;/Q&gt;&lt;R&gt;1&lt;/R&gt;&lt;C&gt;1&lt;/C&gt;&lt;D xsi:type="xsd:double"&gt;42980&lt;/D&gt;&lt;/FQL&gt;&lt;FQL&gt;&lt;Q&gt;Ticker0024^FE_ESTIMATE(PRODLINE_SALES_16,MEAN,QUARTERLY_ROLL,2027/3F,45778,,,'')&lt;/Q&gt;&lt;R&gt;1&lt;/R&gt;&lt;C&gt;1&lt;/C&gt;&lt;D xsi:type="xsd:double"&gt;39354.5&lt;/D&gt;&lt;/FQL&gt;&lt;FQL&gt;&lt;Q&gt;Ticker0024^FE_ESTIMATE(PRODLINE_SALES_16,MEAN,QUARTERLY_ROLL,2027/2F,45778,,,'')&lt;/Q&gt;&lt;R&gt;1&lt;/R&gt;&lt;C&gt;1&lt;/C&gt;&lt;D xsi:type="xsd:double"&gt;37708&lt;/D&gt;&lt;/FQL&gt;&lt;FQL&gt;&lt;Q&gt;Ticker0024^FE_ESTIMATE(PRODLINE_SALES_16,MEAN,QUARTERLY_ROLL,2027/1F,45778,,,'')&lt;/Q&gt;&lt;R&gt;1&lt;/R&gt;&lt;C&gt;1&lt;/C&gt;&lt;D xsi:type="xsd:double"&gt;35488.332&lt;/D&gt;&lt;/FQL&gt;&lt;FQL&gt;&lt;Q&gt;Ticker0024^FE_ESTIMATE(PRODLINE_SALES_16,MEAN,ANNUAL_ROLL,2026,45778,,,'')&lt;/Q&gt;&lt;R&gt;1&lt;/R&gt;&lt;C&gt;1&lt;/C&gt;&lt;D xsi:type="xsd:double"&gt;127429.234&lt;/D&gt;&lt;/FQL&gt;&lt;FQL&gt;&lt;Q&gt;Ticker0024^FE_ESTIMATE(PRODLINE_SALES_16,MEAN,QUARTERLY_ROLL,2026/4F,45778,,,'')&lt;/Q&gt;&lt;R&gt;1&lt;/R&gt;&lt;C&gt;1&lt;/C&gt;&lt;D xsi:type="xsd:double"&gt;34698.19&lt;/D&gt;&lt;/FQL&gt;&lt;FQL&gt;&lt;Q&gt;Ticker0024^FE_ESTIMATE(PRODLINE_SALES_16,MEAN,QUARTERLY_ROLL,2026/3F,45778,,,'')&lt;/Q&gt;&lt;R&gt;1&lt;/R&gt;&lt;C&gt;1&lt;/C&gt;&lt;D xsi:type="xsd:double"&gt;32171.1&lt;/D&gt;&lt;/FQL&gt;&lt;FQL&gt;&lt;Q&gt;Ticker0024^FE_ESTIMATE(PRODLINE_SALES_16,MEAN,QUARTERLY_ROLL,2026/2F,45778,,,'')&lt;/Q&gt;&lt;R&gt;1&lt;/R&gt;&lt;C&gt;1&lt;/C&gt;&lt;D xsi:type="xsd:double"&gt;30930.324&lt;/D&gt;&lt;/FQL&gt;&lt;FQL&gt;&lt;Q&gt;Ticker0024^FE_ESTIMATE(PRODLINE_SALES_16,MEAN,QUARTERLY_ROLL,2026/1F,45778,,,'')&lt;/Q&gt;&lt;R&gt;1&lt;/R&gt;&lt;C&gt;1&lt;/C&gt;&lt;D xsi:type="xsd:double"&gt;29178.7&lt;/D&gt;&lt;/FQL&gt;&lt;FQL&gt;&lt;Q&gt;Ticker0024^FE_ESTIMATE(PRODLINE_SALES_16,MEAN,ANNUAL_ROLL,2025,45778,,,'')&lt;/Q&gt;&lt;R&gt;1&lt;/R&gt;&lt;C&gt;1&lt;/C&gt;&lt;D xsi:type="xsd:double"&gt;104976.086&lt;/D&gt;&lt;/FQL&gt;&lt;FQL&gt;&lt;Q&gt;Ticker0024^FE_ESTIMATE(PRODLINE_SALES_16,MEAN,QUARTERLY_ROLL,2025/4F,45778,,,'')&lt;/Q&gt;&lt;R&gt;1&lt;/R&gt;&lt;C&gt;1&lt;/C&gt;&lt;D xsi:type="xsd:double"&gt;28737.54&lt;/D&gt;&lt;/FQL&gt;&lt;FQL&gt;&lt;Q&gt;Ticker0024^FE_ESTIMATE(PRODLINE_SALES_16,MEAN,QUARTERLY_ROLL,2025/3F,45778,,,'')&lt;/Q&gt;&lt;R&gt;1&lt;/R&gt;&lt;C&gt;1&lt;/C&gt;&lt;D xsi:type="xsd:double"&gt;26751&lt;/D&gt;&lt;/FQL&gt;&lt;FQL&gt;&lt;Q&gt;Ticker0024^FE_ESTIMATE(PRODLINE_SALES_16,MEAN,QUARTERLY_ROLL,2025/2F,45778,,,'')&lt;/Q&gt;&lt;R&gt;1&lt;/R&gt;&lt;C&gt;1&lt;/C&gt;&lt;D xsi:type="xsd:double"&gt;25544&lt;/D&gt;&lt;/FQL&gt;&lt;FQL&gt;&lt;Q&gt;Ticker0024^FE_ESTIMATE(PRODLINE_SALES_16,MEAN,QUARTERLY_ROLL,2025/1F,45778,,,'')&lt;/Q&gt;&lt;R&gt;1&lt;/R&gt;&lt;C&gt;1&lt;/C&gt;&lt;D xsi:type="xsd:double"&gt;24092&lt;/D&gt;&lt;/FQL&gt;&lt;FQL&gt;&lt;Q&gt;Ticker0024^FE_ESTIMATE(PRODLINE_SALES_16,MEAN,ANNUAL_ROLL,2024,45778,,,'')&lt;/Q&gt;&lt;R&gt;1&lt;/R&gt;&lt;C&gt;1&lt;/C&gt;&lt;D xsi:type="xsd:double"&gt;105362&lt;/D&gt;&lt;/FQL&gt;&lt;FQL&gt;&lt;Q&gt;Ticker0024^FE_ESTIMATE(PRODLINE_SALES_16,MEAN,QUARTERLY_ROLL,2024/4F,45778,,,'')&lt;/Q&gt;&lt;R&gt;1&lt;/R&gt;&lt;C&gt;1&lt;/C&gt;&lt;D xsi:type="xsd:double"&gt;28515&lt;/D&gt;&lt;/FQL&gt;&lt;FQL&gt;&lt;Q&gt;Ticker0024^FE_ESTIMATE(PRODLINE_SALES_16,MEAN,QUARTERLY_ROLL,2024/3F,45778,,,'')&lt;/Q&gt;&lt;R&gt;1&lt;/R&gt;&lt;C&gt;1&lt;/C&gt;&lt;D xsi:type="xsd:double"&gt;26708&lt;/D&gt;&lt;/FQL&gt;&lt;FQL&gt;&lt;Q&gt;Ticker0024^FE_ESTIMATE(PRODLINE_SALES_16,MEAN,QUARTERLY_ROLL,2024/2F,45778,,,'')&lt;/Q&gt;&lt;R&gt;1&lt;/R&gt;&lt;C&gt;1&lt;/C&gt;&lt;D xsi:type="xsd:double"&gt;25880&lt;/D&gt;&lt;/FQL&gt;&lt;FQL&gt;&lt;Q&gt;Ticker0024^FE_ESTIMATE(PRODLINE_SALES_16,MEAN,QUARTERLY_ROLL,2024/1F,45778,,,'')&lt;/Q&gt;&lt;R&gt;1&lt;/R&gt;&lt;C&gt;1&lt;/C&gt;&lt;D xsi:type="xsd:double"&gt;24259&lt;/D&gt;&lt;/FQL&gt;&lt;FQL&gt;&lt;Q&gt;Ticker0024^FE_ESTIMATE(PRODLINE_SALES_16,MEAN,ANNUAL_ROLL,2023,45778,,,'')&lt;/Q&gt;&lt;R&gt;1&lt;/R&gt;&lt;C&gt;1&lt;/C&gt;&lt;D xsi:type="xsd:double"&gt;87906.82&lt;/D&gt;&lt;/FQL&gt;&lt;FQL&gt;&lt;Q&gt;Ticker0024^FE_ESTIMATE(PRODLINE_SALES_16,MEAN,QUARTERLY_ROLL,2023/4F,45778,,,'')&lt;/Q&gt;&lt;R&gt;1&lt;/R&gt;&lt;C&gt;1&lt;/C&gt;&lt;D xsi:type="xsd:double"&gt;23993&lt;/D&gt;&lt;/FQL&gt;&lt;FQL&gt;&lt;Q&gt;Ticker0024^FE_ESTIMATE(PRODLINE_SALES_16,MEAN,QUARTERLY_ROLL,2023/3F,45778,,,'')&lt;/Q&gt;&lt;R&gt;1&lt;/R&gt;&lt;C&gt;1&lt;/C&gt;&lt;D xsi:type="xsd:double"&gt;22081&lt;/D&gt;&lt;/FQL&gt;&lt;FQL&gt;&lt;Q&gt;Ticker0024^FE_ESTIMATE(PRODLINE_SALES_16,MEAN,QUARTERLY_ROLL,2023/2F,45778,,,'')&lt;/Q&gt;&lt;R&gt;1&lt;/R&gt;&lt;C&gt;1&lt;/C&gt;&lt;D xsi:type="xsd:double"&gt;21508&lt;/D&gt;&lt;/FQL&gt;&lt;FQL&gt;&lt;Q&gt;Ticker0024^FE_ESTIMATE(PRODLINE_SALES_16,MEAN,QUARTERLY_ROLL,2023/1F,45778,,,'')&lt;/Q&gt;&lt;R&gt;1&lt;/R&gt;&lt;C&gt;1&lt;/C&gt;&lt;D xsi:type="xsd:double"&gt;20325&lt;/D&gt;&lt;/FQL&gt;&lt;FQL&gt;&lt;Q&gt;Ticker0024^FE_ESTIMATE(PRODLINE_SALES_16,MEAN,ANNUAL_ROLL,2022,45778,,,'')&lt;/Q&gt;&lt;R&gt;1&lt;/R&gt;&lt;C&gt;1&lt;/C&gt;&lt;D xsi:type="xsd:double"&gt;75251&lt;/D&gt;&lt;/FQL&gt;&lt;FQL&gt;&lt;Q&gt;Ticker0024^FE_ESTIMATE(PRODLINE_SALES_16,MEAN,QUARTERLY_ROLL,2022/4F,45778,,,'')&lt;/Q&gt;&lt;R&gt;1&lt;/R&gt;&lt;C&gt;1&lt;/C&gt;&lt;D xsi:type="xsd:double"&gt;20909&lt;/D&gt;&lt;/FQL&gt;&lt;FQL&gt;&lt;Q&gt;Ticker0024^FE_ESTIMATE(PRODLINE_SALES_16,MEAN,QUARTERLY_ROLL,2022/3F,45778,,,'')&lt;/Q&gt;&lt;R&gt;1&lt;/R&gt;&lt;C&gt;1&lt;/C&gt;&lt;D xsi:type="xsd:double"&gt;19051&lt;/D&gt;&lt;/FQL&gt;&lt;FQL&gt;&lt;Q&gt;Ticker0024^FE_ESTIMATE(PRODLINE_SALES_16,MEAN,QUARTERLY_ROLL,2022/2F,45778,,,'')&lt;/Q&gt;&lt;R&gt;1&lt;/R&gt;&lt;C&gt;1&lt;/C&gt;&lt;D xsi:type="xsd:double"&gt;18327&lt;/D&gt;&lt;/FQL&gt;&lt;FQL&gt;&lt;Q&gt;Ticker0024^FE_ESTIMATE(PRODLINE_SALES_16,MEAN,QUARTERLY_ROLL,2022/1F,45778,,,'')&lt;/Q&gt;&lt;R&gt;1&lt;/R&gt;&lt;C&gt;1&lt;/C&gt;&lt;D xsi:type="xsd:double"&gt;16964&lt;/D&gt;&lt;/FQL&gt;&lt;FQL&gt;&lt;Q&gt;Ticker0024^FE_ESTIMATE(PRODLINE_SALES_16,MEAN,ANNUAL_ROLL,2021,45778,,,'')&lt;/Q&gt;&lt;R&gt;1&lt;/R&gt;&lt;C&gt;1&lt;/C&gt;&lt;D xsi:type="xsd:double"&gt;60080&lt;/D&gt;&lt;/FQL&gt;&lt;FQL&gt;&lt;Q&gt;Ticker0024^FE_ESTIMATE(PRODLINE_SALES_16,MEAN,QUARTERLY_ROLL,2021/4F,45778,,,'')&lt;/Q&gt;&lt;R&gt;1&lt;/R&gt;&lt;C&gt;1&lt;/C&gt;&lt;D xsi:type="xsd:double"&gt;17375&lt;/D&gt;&lt;/FQL&gt;&lt;FQL&gt;&lt;Q&gt;Ticker0024^FE_ESTIMATE(PRODLINE_SALES_16,MEAN,QUARTERLY_ROLL,2021/3F,45778,,,'')&lt;/Q&gt;&lt;R&gt;1&lt;/R&gt;&lt;C&gt;1&lt;/C&gt;&lt;D xsi:type="xsd:double"&gt;15118&lt;/D&gt;&lt;/FQL&gt;&lt;FQL&gt;&lt;Q&gt;Ticker0024^FE_ESTIMATE(PRODLINE_SALES_16,MEAN,QUARTERLY_ROLL,2021/2F,45778,,,'')&lt;/Q&gt;&lt;R&gt;1&lt;/R&gt;&lt;C&gt;1&lt;/C&gt;&lt;D xsi:type="xsd:double"&gt;14601&lt;/D&gt;&lt;/FQL&gt;&lt;FQL&gt;&lt;Q&gt;Ticker0024^FE_ESTIMATE(PRODLINE_SALES_16,MEAN,QUARTERLY_ROLL,2021/1F,45778,,,'')&lt;/Q&gt;&lt;R&gt;1&lt;/R&gt;&lt;C&gt;1&lt;/C&gt;&lt;D xsi:type="xsd:double"&gt;12986&lt;/D&gt;&lt;/FQL&gt;&lt;FQL&gt;&lt;Q&gt;Ticker0024^FE_ESTIMATE(PRODLINE_SALES_16,MEAN,ANNUAL_ROLL,2020,45778,,,'')&lt;/Q&gt;&lt;R&gt;1&lt;/R&gt;&lt;C&gt;1&lt;/C&gt;&lt;D xsi:type="xsd:double"&gt;48366&lt;/D&gt;&lt;/FQL&gt;&lt;FQL&gt;&lt;Q&gt;Ticker0024^FE_ESTIMATE(PRODLINE_SALES_16,MEAN,QUARTERLY_ROLL,2020/4F,45778,,,'')&lt;/Q&gt;&lt;R&gt;1&lt;/R&gt;&lt;C&gt;1&lt;/C&gt;&lt;D xsi:type="xsd:double"&gt;13371&lt;/D&gt;&lt;/FQL&gt;&lt;FQL&gt;&lt;Q&gt;Ticker0024^FE_ESTIMATE(PRODLINE_SALES_16,MEAN,QUARTERLY_ROLL,2020/3F,45778,,,'')&lt;/Q&gt;&lt;R&gt;1&lt;/R&gt;&lt;C&gt;1&lt;/C&gt;&lt;D xsi:type="xsd:double"&gt;12281&lt;/D&gt;&lt;/FQL&gt;&lt;FQL&gt;&lt;Q&gt;Ticker0024^FE_ESTIMATE(PRODLINE_SALES_16,MEAN,QUARTERLY_ROLL,2020/2F,45778,,,'')&lt;/Q&gt;&lt;R&gt;1&lt;/R&gt;&lt;C&gt;1&lt;/C&gt;&lt;D xsi:type="xsd:double"&gt;11869&lt;/D&gt;&lt;/FQL&gt;&lt;FQL&gt;&lt;Q&gt;Ticker0024^FE_ESTIMATE(PRODLINE_SALES_16,MEAN,QUARTERLY_ROLL,2020/1F,45778,,,'')&lt;/Q&gt;&lt;R&gt;1&lt;/R&gt;&lt;C&gt;1&lt;/C&gt;&lt;D xsi:type="xsd:double"&gt;10845&lt;/D&gt;&lt;/FQL&gt;&lt;FQL&gt;&lt;Q&gt;Ticker0024^FE_ESTIMATE(PRODLINE_SALES_16,MEAN,ANNUAL_ROLL,2019,45778,,,'')&lt;/Q&gt;&lt;R&gt;1&lt;/R&gt;&lt;C&gt;1&lt;/C&gt;&lt;D xsi:type="xsd:double"&gt;38985&lt;/D&gt;&lt;/FQL&gt;&lt;FQL&gt;&lt;Q&gt;Ticker0024^FE_ESTIMATE(PRODLINE_SALES_16,MEAN,QUARTERLY_ROLL,2019/4F,45778,,,'')&lt;/Q&gt;&lt;R&gt;1&lt;/R&gt;&lt;C&gt;1&lt;/C&gt;&lt;D xsi:type="xsd:double"&gt;11391&lt;/D&gt;&lt;/FQL&gt;&lt;FQL&gt;&lt;Q&gt;Ticker0024^FE_ESTIMATE(PRODLINE_SALES_16,MEAN,QUARTERLY_ROLL,2019/3F,45778,,,'')&lt;/Q&gt;&lt;R&gt;1&lt;/R&gt;&lt;C&gt;1&lt;/C&gt;&lt;D xsi:type="xsd:double"&gt;9649&lt;/D&gt;&lt;/FQL&gt;&lt;FQL&gt;&lt;Q&gt;Ticker0024^FE_ESTIMATE(PRODLINE_SALES_16,MEAN,QUARTERLY_ROLL,2019/2F,45778,,,'')&lt;/Q&gt;&lt;R&gt;1&lt;/R&gt;&lt;C&gt;1&lt;/C&gt;&lt;D xsi:type="xsd:double"&gt;9378&lt;/D&gt;&lt;/FQL&gt;&lt;FQL&gt;&lt;Q&gt;Ticker0024^FE_ESTIMATE(PRODLINE_SALES_16,MEAN,QUARTERLY_ROLL,2019/1F,45778,,,'')&lt;/Q&gt;&lt;R&gt;1&lt;/R&gt;&lt;C&gt;1&lt;/C&gt;&lt;D xsi:type="xsd:double"&gt;8567&lt;/D&gt;&lt;/FQL&gt;&lt;FQL&gt;&lt;Q&gt;Ticker0024^FE_ESTIMATE(PRODLINE_SALES_16,MEAN,ANNUAL_ROLL,2018,45778,,,'')&lt;/Q&gt;&lt;R&gt;1&lt;/R&gt;&lt;C&gt;1&lt;/C&gt;&lt;D xsi:type="xsd:double"&gt;32219&lt;/D&gt;&lt;/FQL&gt;&lt;FQL&gt;&lt;Q&gt;Ticker0024^FE_ESTIMATE(PRODLINE_SALES_16,MEAN,QUARTERLY_ROLL,2018/4F,45778,,,'')&lt;/Q&gt;&lt;R&gt;1&lt;/R&gt;&lt;C&gt;1&lt;/C&gt;&lt;D xsi:type="xsd:double"&gt;9606&lt;/D&gt;&lt;/FQL&gt;&lt;FQL&gt;&lt;Q&gt;Ticker0024^FE_ESTIMATE(PRODLINE_SALES_16,MEAN,QUARTERLY_ROLL,2018/3F,45778,,,'')&lt;/Q&gt;&lt;R&gt;1&lt;/R&gt;&lt;C&gt;1&lt;/C&gt;&lt;D xsi:type="xsd:double"&gt;7896&lt;/D&gt;&lt;/FQL&gt;&lt;FQL&gt;&lt;Q&gt;Ticker0024^FE_ESTIMATE(PRODLINE_SALES_16,MEAN,QUARTERLY_ROLL,2018/2F,45778,,,'')&lt;/Q&gt;&lt;R&gt;1&lt;/R&gt;&lt;C&gt;1&lt;/C&gt;&lt;D xsi:type="xsd:double"&gt;7795&lt;/D&gt;&lt;/FQL&gt;&lt;FQL&gt;&lt;Q&gt;Ticker0024^FE_ESTIMATE(PRODLINE_SALES_16,MEAN,QUARTERLY_ROLL,2018/1F,45778,,,'')&lt;/Q&gt;&lt;R&gt;1&lt;/R&gt;&lt;C&gt;1&lt;/C&gt;&lt;D xsi:type="xsd:double"&gt;6922&lt;/D&gt;&lt;/FQL&gt;&lt;FQL&gt;&lt;Q&gt;Ticker0024^FE_ESTIMATE(PRODLINE_SALES_16,MEAN,ANNUAL_ROLL,2017,45778,,,'')&lt;/Q&gt;&lt;R&gt;1&lt;/R&gt;&lt;C&gt;1&lt;/C&gt;&lt;D xsi:type="xsd:double"&gt;27440&lt;/D&gt;&lt;/FQL&gt;&lt;FQL&gt;&lt;Q&gt;Ticker0024^FE_ESTIMATE(PRODLINE_SALES_16,MEAN,QUARTERLY_ROLL,2017/4F,45778,,,'')&lt;/Q&gt;&lt;R&gt;1&lt;/R&gt;&lt;C&gt;1&lt;/C&gt;&lt;D xsi:type="xsd:double"&gt;7434&lt;/D&gt;&lt;/FQL&gt;&lt;FQL&gt;&lt;Q&gt;Ticker0024^FE_ESTIMATE(PRODLINE_SALES_16,MEAN,QUARTERLY_ROLL,2017/3F,45778,,,'')&lt;/Q&gt;&lt;R&gt;1&lt;/R&gt;&lt;C&gt;1&lt;/C&gt;&lt;D xsi:type="xsd:double"&gt;6763&lt;/D&gt;&lt;/FQL&gt;&lt;FQL&gt;&lt;Q&gt;Ticker0024^FE_ESTIMATE(PRODLINE_SALES_16,MEAN,QUARTERLY_ROLL,2017/2F,45778,,,'')&lt;/Q&gt;&lt;R&gt;1&lt;/R&gt;&lt;C&gt;1&lt;/C&gt;&lt;D xsi:type="xsd:double"&gt;6861&lt;/D&gt;&lt;/FQL&gt;&lt;FQL&gt;&lt;Q&gt;Ticker0024^FE_ESTIMATE(PRODLINE_SALES_16,MEAN,QUARTERLY_ROLL,2017/1F,45778,,,'')&lt;/Q&gt;&lt;R&gt;1&lt;/R&gt;&lt;C&gt;1&lt;/C&gt;&lt;D xsi:type="xsd:double"&gt;6382&lt;/D&gt;&lt;/FQL&gt;&lt;FQL&gt;&lt;Q&gt;Ticker0024^FE_ESTIMATE(PRODLINE_SALES_16,MEAN,ANNUAL_ROLL,2016,45778,,,'')&lt;/Q&gt;&lt;R&gt;1&lt;/R&gt;&lt;C&gt;1&lt;/C&gt;&lt;D xsi:type="xsd:double"&gt;25042&lt;/D&gt;&lt;/FQL&gt;&lt;FQL&gt;&lt;Q&gt;Ticker0024^FE_ESTIMATE(PRODLINE_SALES_16,MEAN,QUARTERLY_ROLL,2016/4F,45778,,,'')&lt;/Q&gt;&lt;R&gt;1&lt;/R&gt;&lt;C&gt;1&lt;/C&gt;&lt;D xsi:type="xsd:double"&gt;6711&lt;/D&gt;&lt;/FQL&gt;&lt;FQL&gt;&lt;Q&gt;Ticker0024^FE_ESTIMATE(PRODLINE_SALES_16,MEAN,QUARTERLY_ROLL,2016/3F,45778,,,'')&lt;/Q&gt;&lt;R&gt;1&lt;/R&gt;&lt;C&gt;1&lt;/C&gt;&lt;D xsi:type="xsd:double"&gt;6096&lt;/D&gt;&lt;/FQL&gt;&lt;FQL&gt;&lt;Q&gt;Ticker0024^FE_ESTIMATE(PRODLINE_SALES_16,MEAN,QUARTERLY_ROLL,2016/2F,45778,,,'')&lt;/Q&gt;&lt;R&gt;1&lt;/R&gt;&lt;C&gt;1&lt;/C&gt;&lt;D xsi:type="xsd:double"&gt;6343&lt;/D&gt;&lt;/FQL&gt;&lt;FQL&gt;&lt;Q&gt;Ticker0024^FE_ESTIMATE(PRODLINE_SALES_16,MEAN,QUARTERLY_ROLL,2016/1F,45778,,,'')&lt;/Q&gt;&lt;R&gt;1&lt;/R&gt;&lt;C&gt;1&lt;/C&gt;&lt;D xsi:type="xsd:double"&gt;5892&lt;/D&gt;&lt;/FQL&gt;&lt;FQL&gt;&lt;Q&gt;Ticker0024^FE_ESTIMATE(PRODLINE_SALES_16,MEAN,ANNUAL_ROLL,2015,45778,,,'')&lt;/Q&gt;&lt;R&gt;0&lt;/R&gt;&lt;C&gt;0&lt;/C&gt;&lt;/FQL&gt;&lt;FQL&gt;&lt;Q&gt;Ticker0024^FE_ESTIMATE(PRODLINE_SALES_16,MEAN,QUARTERLY_ROLL,2015/4F,45778,,,'')&lt;/Q&gt;&lt;R&gt;0&lt;/R&gt;&lt;C&gt;0&lt;/C&gt;&lt;/FQL&gt;&lt;FQL&gt;&lt;Q&gt;Ticker0024^FE_ESTIMATE(PRODLINE_SALES_16,MEAN,QUARTERLY_ROLL,2015/3F,45778,,,'')&lt;/Q&gt;&lt;R&gt;0&lt;/R&gt;&lt;C&gt;0&lt;/C&gt;&lt;/FQL&gt;&lt;FQL&gt;&lt;Q&gt;Ticker0024^FE_ESTIMATE(PRODLINE_SALES_16,MEAN,QUARTERLY_ROLL,2015/2F,45778,,,'')&lt;/Q&gt;&lt;R&gt;0&lt;/R&gt;&lt;C&gt;0&lt;/C&gt;&lt;/FQL&gt;&lt;FQL&gt;&lt;Q&gt;Ticker0024^FE_ESTIMATE(PRODLINE_SALES_16,MEAN,QUARTERLY_ROLL,2015/1F,45778,,,'')&lt;/Q&gt;&lt;R&gt;0&lt;/R&gt;&lt;C&gt;0&lt;/C&gt;&lt;/FQL&gt;&lt;FQL&gt;&lt;Q&gt;Ticker0024^FE_ESTIMATE(PRODLINE_SALES_15,MEAN,ANNUAL_ROLL,2030,45778,,,'')&lt;/Q&gt;&lt;R&gt;0&lt;/R&gt;&lt;C&gt;0&lt;/C&gt;&lt;/FQL&gt;&lt;FQL&gt;&lt;Q&gt;Ticker0024^FE_ESTIMATE(PRODLINE_SALES_15,MEAN,QUARTERLY_ROLL,2030/4F,45778,,,'')&lt;/Q&gt;&lt;R&gt;0&lt;/R&gt;&lt;C&gt;0&lt;/C&gt;&lt;/FQL&gt;&lt;FQL&gt;&lt;Q&gt;Ticker0024^FE_ESTIMATE(PRODLINE_SALES_15,MEAN,QUARTERLY_ROLL,2030/3F,45778,,,'')&lt;/Q&gt;&lt;R&gt;0&lt;/R&gt;&lt;C&gt;0&lt;/C&gt;&lt;/FQL&gt;&lt;FQL&gt;&lt;Q&gt;Ticker0024^FE_ESTIMATE(PRODLINE_SALES_15,MEAN,QUARTERLY_ROLL,2030/2F,45778,,,'')&lt;/Q&gt;&lt;R&gt;0&lt;/R&gt;&lt;C&gt;0&lt;/C&gt;&lt;/FQL&gt;&lt;FQL&gt;&lt;Q&gt;Ticker0024^FE_ESTIMATE(PRODLINE_SALES_15,MEAN,QUARTERLY_ROLL,2030/1F,45778,,,'')&lt;/Q&gt;&lt;R&gt;0&lt;/R&gt;&lt;C&gt;0&lt;/C&gt;&lt;/FQL&gt;&lt;FQL&gt;&lt;Q&gt;Ticker0024^FE_ESTIMATE(PRODLINE_SALES_15,MEAN,ANNUAL_ROLL,2029,45778,,,'')&lt;/Q&gt;&lt;R&gt;0&lt;/R&gt;&lt;C&gt;0&lt;/C&gt;&lt;/FQL&gt;&lt;FQL&gt;&lt;Q&gt;Ticker0024^FE_ESTIMATE(PRODLINE_SALES_15,MEAN,QUARTERLY_ROLL,2029/4F,45778,,,'')&lt;/Q&gt;&lt;R&gt;0&lt;/R&gt;&lt;C&gt;0&lt;/C&gt;&lt;/FQL&gt;&lt;FQL&gt;&lt;Q&gt;Ticker0024^FE_ESTIMATE(PRODLINE_SALES_15,MEAN,QUARTERLY_ROLL,2029/3F,45778,,,'')&lt;/Q&gt;&lt;R&gt;0&lt;/R&gt;&lt;C&gt;0&lt;/C&gt;&lt;/FQL&gt;&lt;FQL&gt;&lt;Q&gt;Ticker0024^FE_ESTIMATE(PRODLINE_SALES_15,MEAN,QUARTERLY_ROLL,2029/2F,45778,,,'')&lt;/Q&gt;&lt;R&gt;0&lt;/R&gt;&lt;C&gt;0&lt;/C&gt;&lt;/FQL&gt;&lt;FQL&gt;&lt;Q&gt;Ticker0024^FE_ESTIMATE(PRODLINE_SALES_15,MEAN,QUARTERLY_ROLL,2029/1F,45778,,,'')&lt;/Q&gt;&lt;R&gt;0&lt;/R&gt;&lt;C&gt;0&lt;/C&gt;&lt;/FQL&gt;&lt;FQL&gt;&lt;Q&gt;Ticker0024^FE_ESTIMATE(PRODLINE_SALES_15,MEAN,ANNUAL_ROLL,2028,45778,,,'')&lt;/Q&gt;&lt;R&gt;0&lt;/R&gt;&lt;C&gt;0&lt;/C&gt;&lt;/FQL&gt;&lt;FQL&gt;&lt;Q&gt;Ticker0024^FE_ESTIMATE(PRODLINE_SALES_15,MEAN,QUARTERLY_ROLL,2028/4F,45778,,,'')&lt;/Q&gt;&lt;R&gt;0&lt;/R&gt;&lt;C&gt;0&lt;/C&gt;&lt;/FQL&gt;&lt;FQL&gt;&lt;Q&gt;Ticker0024^FE_ESTIMATE(PRODLINE_SALES_15,MEAN,QUARTERLY_ROLL,2028/3F,45778,,,'')&lt;/Q&gt;&lt;R&gt;0&lt;/R&gt;&lt;C&gt;0&lt;/C&gt;&lt;/FQL&gt;&lt;FQL&gt;&lt;Q&gt;Ticker0024^FE_ESTIMATE(PRODLINE_SALES_15,MEAN,QUARTERLY_ROLL,2028/2F,45778,,,'')&lt;/Q&gt;&lt;R&gt;0&lt;/R&gt;&lt;C&gt;0&lt;/C&gt;&lt;/FQL&gt;&lt;FQL&gt;&lt;Q&gt;Ticker0024^FE_ESTIMATE(PRODLINE_SALES_15,MEAN,QUARTERLY_ROLL,2028/1F,45778,,,'')&lt;/Q&gt;&lt;R&gt;0&lt;/R&gt;&lt;C&gt;0&lt;/C&gt;&lt;/FQL&gt;&lt;FQL&gt;&lt;Q&gt;Ticker0024^FE_ESTIMATE(PRODLINE_SALES_15,MEAN,ANNUAL_ROLL,2027,45778,,,'')&lt;/Q&gt;&lt;R&gt;1&lt;/R&gt;&lt;C&gt;1&lt;/C&gt;&lt;D xsi:type="xsd:double"&gt;144951.58&lt;/D&gt;&lt;/FQL&gt;&lt;FQL&gt;&lt;Q&gt;Ticker0024^FE_ESTIMATE(PRODLINE_SALES_15,MEAN,QUARTERLY_ROLL,2027/4F,45778,,,'')&lt;/Q&gt;&lt;R&gt;1&lt;/R&gt;&lt;C&gt;1&lt;/C&gt;&lt;D xsi:type="xsd:double"&gt;38008&lt;/D&gt;&lt;/FQL&gt;&lt;FQL&gt;&lt;Q&gt;Ticker0024^FE_ESTIMATE(PRODLINE_SALES_15,MEAN,QUARTERLY_ROLL,2027/3F,45778,,,'')&lt;/Q&gt;&lt;R&gt;1&lt;/R&gt;&lt;C&gt;1&lt;/C&gt;&lt;D xsi:type="xsd:double"&gt;36411.5&lt;/D&gt;&lt;/FQL&gt;&lt;FQL&gt;&lt;Q&gt;Ticker0024^FE_ESTIMATE(PRODLINE_SALES_15,MEAN,QUARTERLY_ROLL,2027/2F,45778,,,'')&lt;/Q&gt;&lt;R&gt;1&lt;/R&gt;&lt;C&gt;1&lt;/C&gt;&lt;D xsi:type="xsd:double"&gt;35268.332&lt;/D&gt;&lt;/FQL&gt;&lt;FQL&gt;&lt;Q&gt;Ticker0024^FE_ESTIMATE(PRODLINE_SALES_15,MEAN,QUARTERLY_ROLL,2027/1F,45778,,,'')&lt;/Q&gt;&lt;R&gt;1&lt;/R&gt;&lt;C&gt;1&lt;/C&gt;&lt;D xsi:type="xsd:double"&gt;34183.668&lt;/D&gt;&lt;/FQL&gt;&lt;FQL&gt;&lt;Q&gt;Ticker0024^FE_ESTIMATE(PRODLINE_SALES_15,MEAN,ANNUAL_ROLL,2026,45778,,,'')&lt;/Q&gt;&lt;R&gt;1&lt;/R&gt;&lt;C&gt;1&lt;/C&gt;&lt;D xsi:type="xsd:double"&gt;131004.99&lt;/D&gt;&lt;/FQL&gt;&lt;FQL&gt;&lt;Q&gt;Ticker0024^FE_ESTIMATE(PRODLINE_SALES_15,MEAN,QUARTERLY_ROLL,2026/4F,45778,,,'')&lt;/Q&gt;&lt;R&gt;1&lt;/R&gt;&lt;C&gt;1&lt;/C&gt;&lt;D xsi:type="xsd:double"&gt;34623.566&lt;/D&gt;&lt;/FQL&gt;&lt;FQL&gt;&lt;Q&gt;Ticker0024^FE_ESTIMATE(PRODLINE_SALES_15,MEAN,QUARTERLY_ROLL,2026/3F,45778,,,'')&lt;/Q&gt;&lt;R&gt;1&lt;/R&gt;&lt;C&gt;1&lt;/C&gt;&lt;D xsi:type="xsd:double"&gt;32646.094&lt;/D&gt;&lt;/FQL&gt;&lt;FQL&gt;&lt;Q&gt;Ticker0024^FE_ESTIMATE(PRODLINE_SALES_15,MEAN,QUARTERLY_ROLL,2026/2F,45778,,,'')&lt;/Q&gt;&lt;R&gt;1&lt;/R&gt;&lt;C&gt;1&lt;/C&gt;&lt;D xsi:type="xsd:double"&gt;32129.512&lt;/D&gt;&lt;/FQL&gt;&lt;FQL&gt;&lt;Q&gt;Ticker0024^FE_ESTIMATE(PRODLINE_SALES_15,MEAN,QUARTERLY_ROLL,2026/1F,45778,,,'')&lt;/Q&gt;&lt;R&gt;1&lt;/R&gt;&lt;C&gt;1&lt;/C&gt;&lt;D xsi:type="xsd:double"&gt;31089.225&lt;/D&gt;&lt;/FQL&gt;&lt;FQL&gt;&lt;Q&gt;Ticker0024^FE_ESTIMATE(PRODLINE_SALES_15,MEAN,ANNUAL_ROLL,2025,45778,,,'')&lt;/Q&gt;&lt;R&gt;1&lt;/R&gt;&lt;C&gt;1&lt;/C&gt;&lt;D xsi:type="xsd:double"&gt;119402&lt;/D&gt;&lt;/FQL&gt;&lt;FQL&gt;&lt;Q&gt;Ticker0024^FE_ESTIMATE(PRODLINE_SALES_15,MEAN,QUARTERLY_ROLL,2025/4F,45778,,,'')&lt;/Q&gt;&lt;R&gt;1&lt;/R&gt;&lt;C&gt;1&lt;/C&gt;&lt;D xsi:type="xsd:double"&gt;31690.846&lt;/D&gt;&lt;/FQL&gt;&lt;FQL&gt;&lt;Q&gt;Ticker0024^FE_ESTIMATE(PRODLINE_SALES_15,MEAN,QUARTERLY_ROLL,2025/3F,45778,,,'')&lt;/Q&gt;&lt;R&gt;1&lt;/R&gt;&lt;C&gt;1&lt;/C&gt;&lt;D xsi:type="xsd:double"&gt;29944&lt;/D&gt;&lt;/FQL&gt;&lt;FQL&gt;&lt;Q&gt;Ticker0024^FE_ESTIMATE(PRODLINE_SALES_15,MEAN,QUARTERLY_ROLL,2025/2F,45778,,,'')&lt;/Q&gt;&lt;R&gt;1&lt;/R&gt;&lt;C&gt;1&lt;/C&gt;&lt;D xsi:type="xsd:double"&gt;29437&lt;/D&gt;&lt;/FQL&gt;&lt;FQL&gt;&lt;Q&gt;Ticker0024^FE_ESTIMATE(PRODLINE_SALES_15,MEAN,QUARTERLY_ROLL,2025/1F,45778,,,'')&lt;/Q&gt;&lt;R&gt;1&lt;/R&gt;&lt;C&gt;1&lt;/C&gt;&lt;D xsi:type="xsd:double"&gt;28317&lt;/D&gt;&lt;/FQL&gt;&lt;FQL&gt;&lt;Q&gt;Ticker0024^FE_ESTIMATE(PRODLINE_SALES_15,MEAN,ANNUAL_ROLL,2024,45778,,,'')&lt;/Q&gt;&lt;R&gt;1&lt;/R&gt;&lt;C&gt;1&lt;/C&gt;&lt;D xsi:type="xsd:double"&gt;77728&lt;/D&gt;&lt;/FQL&gt;&lt;FQL&gt;&lt;Q&gt;Ticker0024^FE_ESTIMATE(PRODLINE_SALES_15,MEAN,QUARTERLY_ROLL,2024/4F,45778,,,'')&lt;/Q&gt;&lt;R&gt;1&lt;/R&gt;&lt;C&gt;1&lt;/C&gt;&lt;D xsi:type="xsd:double"&gt;20317&lt;/D&gt;&lt;/FQL&gt;&lt;FQL&gt;&lt;Q&gt;Ticker0024^FE_ESTIMATE(PRODLINE_SALES_15,MEAN,QUARTERLY_ROLL,2024/3F,45778,,,'')&lt;/Q&gt;&lt;R&gt;1&lt;/R&gt;&lt;C&gt;1&lt;/C&gt;&lt;D xsi:type="xsd:double"&gt;19570&lt;/D&gt;&lt;/FQL&gt;&lt;FQL&gt;&lt;Q&gt;Ticker0024^FE_ESTIMATE(PRODLINE_SALES_15,MEAN,QUARTERLY_ROLL</t>
        </r>
      </text>
    </comment>
    <comment ref="A55" authorId="0" shapeId="0" xr:uid="{60A820B8-4359-4B6A-860A-97A98F77C2D6}">
      <text>
        <r>
          <rPr>
            <b/>
            <sz val="9"/>
            <color indexed="81"/>
            <rFont val="Tahoma"/>
            <family val="2"/>
          </rPr>
          <t>,2024/2F,45778,,,'')&lt;/Q&gt;&lt;R&gt;1&lt;/R&gt;&lt;C&gt;1&lt;/C&gt;&lt;D xsi:type="xsd:double"&gt;19249&lt;/D&gt;&lt;/FQL&gt;&lt;FQL&gt;&lt;Q&gt;Ticker0024^FE_ESTIMATE(PRODLINE_SALES_15,MEAN,QUARTERLY_ROLL,2024/1F,45778,,,'')&lt;/Q&gt;&lt;R&gt;1&lt;/R&gt;&lt;C&gt;1&lt;/C&gt;&lt;D xsi:type="xsd:double"&gt;18592&lt;/D&gt;&lt;/FQL&gt;&lt;FQL&gt;&lt;Q&gt;Ticker0024^FE_ESTIMATE(PRODLINE_SALES_15,MEAN,ANNUAL_ROLL,2023,45778,,,'')&lt;/Q&gt;&lt;R&gt;1&lt;/R&gt;&lt;C&gt;1&lt;/C&gt;&lt;D xsi:type="xsd:double"&gt;69275&lt;/D&gt;&lt;/FQL&gt;&lt;FQL&gt;&lt;Q&gt;Ticker0024^FE_ESTIMATE(PRODLINE_SALES_15,MEAN,QUARTERLY_ROLL,2023/4F,45778,,,'')&lt;/Q&gt;&lt;R&gt;1&lt;/R&gt;&lt;C&gt;1&lt;/C&gt;&lt;D xsi:type="xsd:double"&gt;18291&lt;/D&gt;&lt;/FQL&gt;&lt;FQL&gt;&lt;Q&gt;Ticker0024^FE_ESTIMATE(PRODLINE_SALES_15,MEAN,QUARTERLY_ROLL,2023/3F,45778,,,'')&lt;/Q&gt;&lt;R&gt;1&lt;/R&gt;&lt;C&gt;1&lt;/C&gt;&lt;D xsi:type="xsd:double"&gt;17516&lt;/D&gt;&lt;/FQL&gt;&lt;FQL&gt;&lt;Q&gt;Ticker0024^FE_ESTIMATE(PRODLINE_SALES_15,MEAN,QUARTERLY_ROLL,2023/2F,45778,,,'')&lt;/Q&gt;&lt;R&gt;1&lt;/R&gt;&lt;C&gt;1&lt;/C&gt;&lt;D xsi:type="xsd:double"&gt;17002&lt;/D&gt;&lt;/FQL&gt;&lt;FQL&gt;&lt;Q&gt;Ticker0024^FE_ESTIMATE(PRODLINE_SALES_15,MEAN,QUARTERLY_ROLL,2023/1F,45778,,,'')&lt;/Q&gt;&lt;R&gt;1&lt;/R&gt;&lt;C&gt;1&lt;/C&gt;&lt;D xsi:type="xsd:double"&gt;16465&lt;/D&gt;&lt;/FQL&gt;&lt;FQL&gt;&lt;Q&gt;Ticker0024^FE_ESTIMATE(PRODLINE_SALES_15,MEAN,ANNUAL_ROLL,2022,45778,,,'')&lt;/Q&gt;&lt;R&gt;1&lt;/R&gt;&lt;C&gt;1&lt;/C&gt;&lt;D xsi:type="xsd:double"&gt;63364&lt;/D&gt;&lt;/FQL&gt;&lt;FQL&gt;&lt;Q&gt;Ticker0024^FE_ESTIMATE(PRODLINE_SALES_15,MEAN,QUARTERLY_ROLL,2022/4F,45778,,,'')&lt;/Q&gt;&lt;R&gt;1&lt;/R&gt;&lt;C&gt;1&lt;/C&gt;&lt;D xsi:type="xsd:double"&gt;16600&lt;/D&gt;&lt;/FQL&gt;&lt;FQL&gt;&lt;Q&gt;Ticker0024^FE_ESTIMATE(PRODLINE_SALES_15,MEAN,QUARTERLY_ROLL,2022/3F,45778,,,'')&lt;/Q&gt;&lt;R&gt;1&lt;/R&gt;&lt;C&gt;1&lt;/C&gt;&lt;D xsi:type="xsd:double"&gt;15789&lt;/D&gt;&lt;/FQL&gt;&lt;FQL&gt;&lt;Q&gt;Ticker0024^FE_ESTIMATE(PRODLINE_SALES_15,MEAN,QUARTERLY_ROLL,2022/2F,45778,,,'')&lt;/Q&gt;&lt;R&gt;1&lt;/R&gt;&lt;C&gt;1&lt;/C&gt;&lt;D xsi:type="xsd:double"&gt;15936&lt;/D&gt;&lt;/FQL&gt;&lt;FQL&gt;&lt;Q&gt;Ticker0024^FE_ESTIMATE(PRODLINE_SALES_15,MEAN,QUARTERLY_ROLL,2022/1F,45778,,,'')&lt;/Q&gt;&lt;R&gt;1&lt;/R&gt;&lt;C&gt;1&lt;/C&gt;&lt;D xsi:type="xsd:double"&gt;15039&lt;/D&gt;&lt;/FQL&gt;&lt;FQL&gt;&lt;Q&gt;Ticker0024^FE_ESTIMATE(PRODLINE_SALES_15,MEAN,ANNUAL_ROLL,2021,45778,,,'')&lt;/Q&gt;&lt;R&gt;1&lt;/R&gt;&lt;C&gt;1&lt;/C&gt;&lt;D xsi:type="xsd:double"&gt;53915&lt;/D&gt;&lt;/FQL&gt;&lt;FQL&gt;&lt;Q&gt;Ticker0024^FE_ESTIMATE(PRODLINE_SALES_15,MEAN,QUARTERLY_ROLL,2021/4F,45778,,,'')&lt;/Q&gt;&lt;R&gt;1&lt;/R&gt;&lt;C&gt;1&lt;/C&gt;&lt;D xsi:type="xsd:double"&gt;14691&lt;/D&gt;&lt;/FQL&gt;&lt;FQL&gt;&lt;Q&gt;Ticker0024^FE_ESTIMATE(PRODLINE_SALES_15,MEAN,QUARTERLY_ROLL,2021/3F,45778,,,'')&lt;/Q&gt;&lt;R&gt;1&lt;/R&gt;&lt;C&gt;1&lt;/C&gt;&lt;D xsi:type="xsd:double"&gt;13552&lt;/D&gt;&lt;/FQL&gt;&lt;FQL&gt;&lt;Q&gt;Ticker0024^FE_ESTIMATE(PRODLINE_SALES_15,MEAN,QUARTERLY_ROLL,2021/2F,45778,,,'')&lt;/Q&gt;&lt;R&gt;1&lt;/R&gt;&lt;C&gt;1&lt;/C&gt;&lt;D xsi:type="xsd:double"&gt;13353&lt;/D&gt;&lt;/FQL&gt;&lt;FQL&gt;&lt;Q&gt;Ticker0024^FE_ESTIMATE(PRODLINE_SALES_15,MEAN,QUARTERLY_ROLL,2021/1F,45778,,,'')&lt;/Q&gt;&lt;R&gt;1&lt;/R&gt;&lt;C&gt;1&lt;/C&gt;&lt;D xsi:type="xsd:double"&gt;12319&lt;/D&gt;&lt;/FQL&gt;&lt;FQL&gt;&lt;Q&gt;Ticker0024^FE_ESTIMATE(PRODLINE_SALES_15,MEAN,ANNUAL_ROLL,2020,45778,,,'')&lt;/Q&gt;&lt;R&gt;1&lt;/R&gt;&lt;C&gt;1&lt;/C&gt;&lt;D xsi:type="xsd:double"&gt;46398&lt;/D&gt;&lt;/FQL&gt;&lt;FQL&gt;&lt;Q&gt;Ticker0024^FE_ESTIMATE(PRODLINE_SALES_15,MEAN,QUARTERLY_ROLL,2020/4F,45778,,,'')&lt;/Q&gt;&lt;R&gt;1&lt;/R&gt;&lt;C&gt;1&lt;/C&gt;&lt;D xsi:type="xsd:double"&gt;11752&lt;/D&gt;&lt;/FQL&gt;&lt;FQL&gt;&lt;Q&gt;Ticker0024^FE_ESTIMATE(PRODLINE_SALES_15,MEAN,QUARTERLY_ROLL,2020/3F,45778,,,'')&lt;/Q&gt;&lt;R&gt;1&lt;/R&gt;&lt;C&gt;1&lt;/C&gt;&lt;D xsi:type="xsd:double"&gt;11743&lt;/D&gt;&lt;/FQL&gt;&lt;FQL&gt;&lt;Q&gt;Ticker0024^FE_ESTIMATE(PRODLINE_SALES_15,MEAN,QUARTERLY_ROLL,2020/2F,45778,,,'')&lt;/Q&gt;&lt;R&gt;1&lt;/R&gt;&lt;C&gt;1&lt;/C&gt;&lt;D xsi:type="xsd:double"&gt;11826&lt;/D&gt;&lt;/FQL&gt;&lt;FQL&gt;&lt;Q&gt;Ticker0024^FE_ESTIMATE(PRODLINE_SALES_15,MEAN,QUARTERLY_ROLL,2020/1F,45778,,,'')&lt;/Q&gt;&lt;R&gt;1&lt;/R&gt;&lt;C&gt;1&lt;/C&gt;&lt;D xsi:type="xsd:double"&gt;11077&lt;/D&gt;&lt;/FQL&gt;&lt;FQL&gt;&lt;Q&gt;Ticker0024^FE_ESTIMATE(PRODLINE_SALES_15,MEAN,ANNUAL_ROLL,2019,45778,,,'')&lt;/Q&gt;&lt;R&gt;1&lt;/R&gt;&lt;C&gt;1&lt;/C&gt;&lt;D xsi:type="xsd:double"&gt;41160&lt;/D&gt;&lt;/FQL&gt;&lt;FQL&gt;&lt;Q&gt;Ticker0024^FE_ESTIMATE(PRODLINE_SALES_15,MEAN,QUARTERLY_ROLL,2019/4F,45778,,,'')&lt;/Q&gt;&lt;R&gt;1&lt;/R&gt;&lt;C&gt;1&lt;/C&gt;&lt;D xsi:type="xsd:double"&gt;11047&lt;/D&gt;&lt;/FQL&gt;&lt;FQL&gt;&lt;Q&gt;Ticker0024^FE_ESTIMATE(PRODLINE_SALES_15,MEAN,QUARTERLY_ROLL,2019/3F,45778,,,'')&lt;/Q&gt;&lt;R&gt;1&lt;/R&gt;&lt;C&gt;1&lt;/C&gt;&lt;D xsi:type="xsd:double"&gt;10242&lt;/D&gt;&lt;/FQL&gt;&lt;FQL&gt;&lt;Q&gt;Ticker0024^FE_ESTIMATE(PRODLINE_SALES_15,MEAN,QUARTERLY_ROLL,2019/2F,45778,,,'')&lt;/Q&gt;&lt;R&gt;1&lt;/R&gt;&lt;C&gt;1&lt;/C&gt;&lt;D xsi:type="xsd:double"&gt;10100&lt;/D&gt;&lt;/FQL&gt;&lt;FQL&gt;&lt;Q&gt;Ticker0024^FE_ESTIMATE(PRODLINE_SALES_15,MEAN,QUARTERLY_ROLL,2019/1F,45778,,,'')&lt;/Q&gt;&lt;R&gt;1&lt;/R&gt;&lt;C&gt;1&lt;/C&gt;&lt;D xsi:type="xsd:double"&gt;9771&lt;/D&gt;&lt;/FQL&gt;&lt;FQL&gt;&lt;Q&gt;Ticker0024^FE_ESTIMATE(PRODLINE_SALES_15,MEAN,ANNUAL_ROLL,2018,45778,,,'')&lt;/Q&gt;&lt;R&gt;1&lt;/R&gt;&lt;C&gt;1&lt;/C&gt;&lt;D xsi:type="xsd:double"&gt;35865&lt;/D&gt;&lt;/FQL&gt;&lt;FQL&gt;&lt;Q&gt;Ticker0024^FE_ESTIMATE(PRODLINE_SALES_15,MEAN,QUARTERLY_ROLL,2018/4F,45778,,,'')&lt;/Q&gt;&lt;R&gt;1&lt;/R&gt;&lt;C&gt;1&lt;/C&gt;&lt;D xsi:type="xsd:double"&gt;9668&lt;/D&gt;&lt;/FQL&gt;&lt;FQL&gt;&lt;Q&gt;Ticker0024^FE_ESTIMATE(PRODLINE_SALES_15,MEAN,QUARTERLY_ROLL,2018/3F,45778,,,'')&lt;/Q&gt;&lt;R&gt;1&lt;/R&gt;&lt;C&gt;1&lt;/C&gt;&lt;D xsi:type="xsd:double"&gt;9006&lt;/D&gt;&lt;/FQL&gt;&lt;FQL&gt;&lt;Q&gt;Ticker0024^FE_ESTIMATE(PRODLINE_SALES_15,MEAN,QUARTERLY_ROLL,2018/2F,45778,,,'')&lt;/Q&gt;&lt;R&gt;1&lt;/R&gt;&lt;C&gt;1&lt;/C&gt;&lt;D xsi:type="xsd:double"&gt;8953&lt;/D&gt;&lt;/FQL&gt;&lt;FQL&gt;&lt;Q&gt;Ticker0024^FE_ESTIMATE(PRODLINE_SALES_15,MEAN,QUARTERLY_ROLL,2018/1F,45778,,,'')&lt;/Q&gt;&lt;R&gt;1&lt;/R&gt;&lt;C&gt;1&lt;/C&gt;&lt;D xsi:type="xsd:double"&gt;8238&lt;/D&gt;&lt;/FQL&gt;&lt;FQL&gt;&lt;Q&gt;Ticker0024^FE_ESTIMATE(PRODLINE_SALES_15,MEAN,ANNUAL_ROLL,2017,45778,,,'')&lt;/Q&gt;&lt;R&gt;1&lt;/R&gt;&lt;C&gt;1&lt;/C&gt;&lt;D xsi:type="xsd:double"&gt;30444&lt;/D&gt;&lt;/FQL&gt;&lt;FQL&gt;&lt;Q&gt;Ticker0024^FE_ESTIMATE(PRODLINE_SALES_15,MEAN,QUARTERLY_ROLL,2017/4F,45778,,,'')&lt;/Q&gt;&lt;R&gt;1&lt;/R&gt;&lt;C&gt;1&lt;/C&gt;&lt;D xsi:type="xsd:double"&gt;8446&lt;/D&gt;&lt;/FQL&gt;&lt;FQL&gt;&lt;Q&gt;Ticker0024^FE_ESTIMATE(PRODLINE_SALES_15,MEAN,QUARTERLY_ROLL,2017/3F,45778,,,'')&lt;/Q&gt;&lt;R&gt;1&lt;/R&gt;&lt;C&gt;1&lt;/C&gt;&lt;D xsi:type="xsd:double"&gt;7958&lt;/D&gt;&lt;/FQL&gt;&lt;FQL&gt;&lt;Q&gt;Ticker0024^FE_ESTIMATE(PRODLINE_SALES_15,MEAN,QUARTERLY_ROLL,2017/2F,45778,,,'')&lt;/Q&gt;&lt;R&gt;1&lt;/R&gt;&lt;C&gt;1&lt;/C&gt;&lt;D xsi:type="xsd:double"&gt;7382&lt;/D&gt;&lt;/FQL&gt;&lt;FQL&gt;&lt;Q&gt;Ticker0024^FE_ESTIMATE(PRODLINE_SALES_15,MEAN,QUARTERLY_ROLL,2017/1F,45778,,,'')&lt;/Q&gt;&lt;R&gt;1&lt;/R&gt;&lt;C&gt;1&lt;/C&gt;&lt;D xsi:type="xsd:double"&gt;6658&lt;/D&gt;&lt;/FQL&gt;&lt;FQL&gt;&lt;Q&gt;Ticker0024^FE_ESTIMATE(PRODLINE_SALES_15,MEAN,ANNUAL_ROLL,2016,45778,,,'')&lt;/Q&gt;&lt;R&gt;1&lt;/R&gt;&lt;C&gt;1&lt;/C&gt;&lt;D xsi:type="xsd:double"&gt;26487&lt;/D&gt;&lt;/FQL&gt;&lt;FQL&gt;&lt;Q&gt;Ticker0024^FE_ESTIMATE(PRODLINE_SALES_15,MEAN,QUARTERLY_ROLL,2016/4F,45778,,,'')&lt;/Q&gt;&lt;R&gt;1&lt;/R&gt;&lt;C&gt;1&lt;/C&gt;&lt;D xsi:type="xsd:double"&gt;6969&lt;/D&gt;&lt;/FQL&gt;&lt;FQL&gt;&lt;Q&gt;Ticker0024^FE_ESTIMATE(PRODLINE_SALES_15,MEAN,QUARTERLY_ROLL,2016/3F,45778,,,'')&lt;/Q&gt;&lt;R&gt;1&lt;/R&gt;&lt;C&gt;1&lt;/C&gt;&lt;D xsi:type="xsd:double"&gt;6522&lt;/D&gt;&lt;/FQL&gt;&lt;FQL&gt;&lt;Q&gt;Ticker0024^FE_ESTIMATE(PRODLINE_SALES_15,MEAN,QUARTERLY_ROLL,2016/2F,45778,,,'')&lt;/Q&gt;&lt;R&gt;1&lt;/R&gt;&lt;C&gt;1&lt;/C&gt;&lt;D xsi:type="xsd:double"&gt;6690&lt;/D&gt;&lt;/FQL&gt;&lt;FQL&gt;&lt;Q&gt;Ticker0024^FE_ESTIMATE(PRODLINE_SALES_15,MEAN,QUARTERLY_ROLL,2016/1F,45778,,,'')&lt;/Q&gt;&lt;R&gt;1&lt;/R&gt;&lt;C&gt;1&lt;/C&gt;&lt;D xsi:type="xsd:double"&gt;6306&lt;/D&gt;&lt;/FQL&gt;&lt;FQL&gt;&lt;Q&gt;Ticker0024^FE_ESTIMATE(PRODLINE_SALES_15,MEAN,ANNUAL_ROLL,2015,45778,,,'')&lt;/Q&gt;&lt;R&gt;0&lt;/R&gt;&lt;C&gt;0&lt;/C&gt;&lt;/FQL&gt;&lt;FQL&gt;&lt;Q&gt;Ticker0024^FE_ESTIMATE(PRODLINE_SALES_15,MEAN,QUARTERLY_ROLL,2015/4F,45778,,,'')&lt;/Q&gt;&lt;R&gt;0&lt;/R&gt;&lt;C&gt;0&lt;/C&gt;&lt;/FQL&gt;&lt;FQL&gt;&lt;Q&gt;Ticker0024^FE_ESTIMATE(PRODLINE_SALES_15,MEAN,QUARTERLY_ROLL,2015/3F,45778,,,'')&lt;/Q&gt;&lt;R&gt;0&lt;/R&gt;&lt;C&gt;0&lt;/C&gt;&lt;/FQL&gt;&lt;FQL&gt;&lt;Q&gt;Ticker0024^FE_ESTIMATE(PRODLINE_SALES_15,MEAN,QUARTERLY_ROLL,2015/2F,45778,,,'')&lt;/Q&gt;&lt;R&gt;0&lt;/R&gt;&lt;C&gt;0&lt;/C&gt;&lt;/FQL&gt;&lt;FQL&gt;&lt;Q&gt;Ticker0024^FE_ESTIMATE(PRODLINE_SALES_15,MEAN,QUARTERLY_ROLL,2015/1F,45778,,,'')&lt;/Q&gt;&lt;R&gt;0&lt;/R&gt;&lt;C&gt;0&lt;/C&gt;&lt;/FQL&gt;&lt;FQL&gt;&lt;Q&gt;IBM^FE_VALUATION(FFEV_FCF,MEAN,CAL4_ROLL,2026,45796,,,'')&lt;/Q&gt;&lt;R&gt;1&lt;/R&gt;&lt;C&gt;1&lt;/C&gt;&lt;D xsi:type="xsd:double"&gt;20.751055&lt;/D&gt;&lt;/FQL&gt;&lt;FQL&gt;&lt;Q&gt;IBM^FE_VALUATION(FFEV_FCF,MEAN,CAL4_ROLL,2025,45796,,,'')&lt;/Q&gt;&lt;R&gt;1&lt;/R&gt;&lt;C&gt;1&lt;/C&gt;&lt;D xsi:type="xsd:double"&gt;21.929789&lt;/D&gt;&lt;/FQL&gt;&lt;FQL&gt;&lt;Q&gt;IBM^FE_VALUATION(FFEV_FCF,MEAN,CAL4_ROLL,2024,45796,,,'')&lt;/Q&gt;&lt;R&gt;1&lt;/R&gt;&lt;C&gt;1&lt;/C&gt;&lt;D xsi:type="xsd:double"&gt;23.649105&lt;/D&gt;&lt;/FQL&gt;&lt;FQL&gt;&lt;Q&gt;IBM^FE_VALUATION(FFEV_FCF,MEAN,NTM4_ROLL,,45796,,,'')&lt;/Q&gt;&lt;R&gt;1&lt;/R&gt;&lt;C&gt;1&lt;/C&gt;&lt;D xsi:type="xsd:double"&gt;20.667791&lt;/D&gt;&lt;/FQL&gt;&lt;FQL&gt;&lt;Q&gt;CRM^FE_VALUATION(PE,MEAN,CAL4_ROLL,,45796,,,'')&lt;/Q&gt;&lt;R&gt;1&lt;/R&gt;&lt;C&gt;1&lt;/C&gt;&lt;D xsi:type="xsd:double"&gt;25.79165&lt;/D&gt;&lt;/FQL&gt;&lt;FQL&gt;&lt;Q&gt;CRM^FE_VALUATION(PE,MEAN,NTM4_ROLL,,45796,,,'')&lt;/Q&gt;&lt;R&gt;1&lt;/R&gt;&lt;C&gt;1&lt;/C&gt;&lt;D xsi:type="xsd:double"&gt;25.79165&lt;/D&gt;&lt;/FQL&gt;&lt;FQL&gt;&lt;Q&gt;CRM^FE_VALUATION(FFEV_FCF,MEAN,CAL4_ROLL,2026,45796,,,'')&lt;/Q&gt;&lt;R&gt;1&lt;/R&gt;&lt;C&gt;1&lt;/C&gt;&lt;D xsi:type="xsd:double"&gt;18.74005&lt;/D&gt;&lt;/FQL&gt;&lt;FQL&gt;&lt;Q&gt;CRM^FE_VALUATION(FFEV_FCF,MEAN,CAL4_ROLL,2025,45796,,,'')&lt;/Q&gt;&lt;R&gt;1&lt;/R&gt;&lt;C&gt;1&lt;/C&gt;&lt;D xsi:type="xsd:double"&gt;20.54945&lt;/D&gt;&lt;/FQL&gt;&lt;FQL&gt;&lt;Q&gt;CRM^FE_VALUATION(FFEV_FCF,MEAN,CAL4_ROLL,2024,45796,,,'')&lt;/Q&gt;&lt;R&gt;1&lt;/R&gt;&lt;C&gt;1&lt;/C&gt;&lt;D xsi:type="xsd:double"&gt;22.649035&lt;/D&gt;&lt;/FQL&gt;&lt;FQL&gt;&lt;Q&gt;CRM^FE_VALUATION(FFEV_FCF,MEAN,NTM4_ROLL,,45796,,,'')&lt;/Q&gt;&lt;R&gt;1&lt;/R&gt;&lt;C&gt;1&lt;/C&gt;&lt;D xsi:type="xsd:double"&gt;20.54945&lt;/D&gt;&lt;/FQL&gt;&lt;FQL&gt;&lt;Q&gt;Company1341^FE_VALUATION(PE,MEAN,CAL4_ROLL,,45796,,,'')&lt;/Q&gt;&lt;R&gt;1&lt;/R&gt;&lt;C&gt;1&lt;/C&gt;&lt;D xsi:type="xsd:double"&gt;34.64775&lt;/D&gt;&lt;/FQL&gt;&lt;FQL&gt;&lt;Q&gt;Company1341^FE_VALUATION(PE,MEAN,NTM4_ROLL,,45796,,,'')&lt;/Q&gt;&lt;R&gt;1&lt;/R&gt;&lt;C&gt;1&lt;/C&gt;&lt;D xsi:type="xsd:double"&gt;32.852562&lt;/D&gt;&lt;/FQL&gt;&lt;FQL&gt;&lt;Q&gt;Company1341^FE_VALUATION(FFEV_FCF,MEAN,CAL4_ROLL,2026,45796,,,'')&lt;/Q&gt;&lt;R&gt;1&lt;/R&gt;&lt;C&gt;1&lt;/C&gt;&lt;D xsi:type="xsd:double"&gt;27.375895&lt;/D&gt;&lt;/FQL&gt;&lt;FQL&gt;&lt;Q&gt;Company1341^FE_VALUATION(FFEV_FCF,MEAN,CAL4_ROLL,2025,45796,,,'')&lt;/Q&gt;&lt;R&gt;1&lt;/R&gt;&lt;C&gt;1&lt;/C&gt;&lt;D xsi:type="xsd:double"&gt;31.121937&lt;/D&gt;&lt;/FQL&gt;&lt;FQL&gt;&lt;Q&gt;Company1341^FE_VALUATION(FFEV_FCF,MEAN,CAL4_ROLL,2024,45796,,,'')&lt;/Q&gt;&lt;R&gt;1&lt;/R&gt;&lt;C&gt;1&lt;/C&gt;&lt;D xsi:type="xsd:double"&gt;35.04583&lt;/D&gt;&lt;/FQL&gt;&lt;FQL&gt;&lt;Q&gt;Company1341^FE_VALUATION(FFEV_FCF,MEAN,NTM4_ROLL,,45796,,,'')&lt;/Q&gt;&lt;R&gt;1&lt;/R&gt;&lt;C&gt;1&lt;/C&gt;&lt;D xsi:type="xsd:double"&gt;31.121937&lt;/D&gt;&lt;/FQL&gt;&lt;FQL&gt;&lt;Q&gt;Company0023^FE_VALUATION(PE,MEAN,CAL4_ROLL,,45796,,,'')&lt;/Q&gt;&lt;R&gt;1&lt;/R&gt;&lt;C&gt;1&lt;/C&gt;&lt;D xsi:type="xsd:double"&gt;20.602142&lt;/D&gt;&lt;/FQL&gt;&lt;FQL&gt;&lt;Q&gt;Company0023^FE_VALUATION(PE,MEAN,NTM4_ROLL,,45796,,,'')&lt;/Q&gt;&lt;R&gt;1&lt;/R&gt;&lt;C&gt;1&lt;/C&gt;&lt;D xsi:type="xsd:double"&gt;20.122837&lt;/D&gt;&lt;/FQL&gt;&lt;FQL&gt;&lt;Q&gt;Company0023^FE_VALUATION(FFEV_FCF,MEAN,CAL4_ROLL,2026,45796,,,'')&lt;/Q&gt;&lt;R&gt;1&lt;/R&gt;&lt;C&gt;1&lt;/C&gt;&lt;D xsi:type="xsd:double"&gt;17.549677&lt;/D&gt;&lt;/FQL&gt;&lt;FQL&gt;&lt;Q&gt;Company0023^FE_VALUATION(FFEV_FCF,MEAN,CAL4_ROLL,2025,45796,,,'')&lt;/Q&gt;&lt;R&gt;1&lt;/R&gt;&lt;C&gt;1&lt;/C&gt;&lt;D xsi:type="xsd:double"&gt;19.306295&lt;/D&gt;&lt;/FQL&gt;&lt;FQL&gt;&lt;Q&gt;Company0023^FE_VALUATION(FFEV_FCF,MEAN,CAL4_ROLL,2024,45796,,,'')&lt;/Q&gt;&lt;R&gt;1&lt;/R&gt;&lt;C&gt;1&lt;/C&gt;&lt;D xsi:type="xsd:double"&gt;23.07001&lt;/D&gt;&lt;/FQL&gt;&lt;FQL&gt;&lt;Q&gt;Company0023^FE_VALUATION(FFEV_FCF,MEAN,NTM4_ROLL,,45796,,,'')&lt;/Q&gt;&lt;R&gt;1&lt;/R&gt;&lt;C&gt;1&lt;/C&gt;&lt;D xsi:type="xsd:double"&gt;19.766262&lt;/D&gt;&lt;/FQL&gt;&lt;FQL&gt;&lt;Q&gt;Company1985^FE_VALUATION(PE,MEAN,CAL4_ROLL,,45796,,,'')&lt;/Q&gt;&lt;R&gt;1&lt;/R&gt;&lt;C&gt;1&lt;/C&gt;&lt;D xsi:type="xsd:double"&gt;24.03715&lt;/D&gt;&lt;/FQL&gt;&lt;FQL&gt;&lt;Q&gt;Company1985^FE_VALUATION(PE,MEAN,NTM4_ROLL,,45796,,,'')&lt;/Q&gt;&lt;R&gt;1&lt;/R&gt;&lt;C&gt;1&lt;/C&gt;&lt;D xsi:type="xsd:double"&gt;25.024233&lt;/D&gt;&lt;/FQL&gt;&lt;FQL&gt;&lt;Q&gt;Company1985^FE_VALUATION(FFEV_FCF,MEAN,CAL4_ROLL,2026,45796,,,'')&lt;/Q&gt;&lt;R&gt;1&lt;/R&gt;&lt;C&gt;1&lt;/C&gt;&lt;D xsi:type="xsd:double"&gt;50.262436&lt;/D&gt;&lt;/FQL&gt;&lt;FQL&gt;&lt;Q&gt;Company1985^FE_VALUATION(FFEV_FCF,MEAN,CAL4_ROLL,2025,45796,,,'')&lt;/Q&gt;&lt;R&gt;1&lt;/R&gt;&lt;C&gt;1&lt;/C&gt;&lt;D xsi:type="xsd:double"&gt;85.57607&lt;/D&gt;&lt;/FQL&gt;&lt;FQL&gt;&lt;Q&gt;Company1985^FE_VALUATION(FFEV_FCF,MEAN,CAL4_ROLL,2024,45796,,,'')&lt;/Q&gt;&lt;R&gt;1&lt;/R&gt;&lt;C&gt;1&lt;/C&gt;&lt;D xsi:type="xsd:double"&gt;56.56464&lt;/D&gt;&lt;/FQL&gt;&lt;FQL&gt;&lt;Q&gt;Company1985^FE_VALUATION(FFEV_FCF,MEAN,NTM4_ROLL,,45796,,,'')&lt;/Q&gt;&lt;R&gt;1&lt;/R&gt;&lt;C&gt;1&lt;/C&gt;&lt;D xsi:type="xsd:double"&gt;72.8229&lt;/D&gt;&lt;/FQL&gt;&lt;FQL&gt;&lt;Q&gt;Company2320^FE_VALUATION(PE,MEAN,CAL4_ROLL,,45796,,,'')&lt;/Q&gt;&lt;R&gt;1&lt;/R&gt;&lt;C&gt;1&lt;/C&gt;&lt;D xsi:type="xsd:double"&gt;40.57499&lt;/D&gt;&lt;/FQL&gt;&lt;FQL&gt;&lt;Q&gt;Company2320^FE_VALUATION(PE,MEAN,NTM4_ROLL,,45796,,,'')&lt;/Q&gt;&lt;R&gt;1&lt;/R&gt;&lt;C&gt;1&lt;/C&gt;&lt;D xsi:type="xsd:double"&gt;40.57499&lt;/D&gt;&lt;/FQL&gt;&lt;FQL&gt;&lt;Q&gt;Company2320^FE_VALUATION(FFEV_FCF,MEAN,CAL4_ROLL,2026,45796,,,'')&lt;/Q&gt;&lt;R&gt;1&lt;/R&gt;&lt;C&gt;1&lt;/C&gt;&lt;D xsi:type="xsd:double"&gt;31.210533&lt;/D&gt;&lt;/FQL&gt;&lt;FQL&gt;&lt;Q&gt;Company2320^FE_VALUATION(FFEV_FCF,MEAN,CAL4_ROLL,2025,45796,,,'')&lt;/Q&gt;&lt;R&gt;1&lt;/R&gt;&lt;C&gt;1&lt;/C&gt;&lt;D xsi:type="xsd:double"&gt;37.444427&lt;/D&gt;&lt;/FQL&gt;&lt;FQL&gt;&lt;Q&gt;Company2320^FE_VALUATION(FFEV_FCF,MEAN,CAL4_ROLL,2024,45796,,,'')&lt;/Q&gt;&lt;R&gt;1&lt;/R&gt;&lt;C&gt;1&lt;/C&gt;&lt;D xsi:type="xsd:double"&gt;77.80765&lt;/D&gt;&lt;/FQL&gt;&lt;FQL&gt;&lt;Q&gt;Company2320^FE_VALUATION(FFEV_FCF,MEAN,NTM4_ROLL,,45796,,,'')&lt;/Q&gt;&lt;R&gt;1&lt;/R&gt;&lt;C&gt;1&lt;/C&gt;&lt;D xsi:type="xsd:double"&gt;38.34166&lt;/D&gt;&lt;/FQL&gt;&lt;FQL&gt;&lt;Q&gt;Company0103^FE_VALUATION(PE,MEAN,CAL4_ROLL,,45796,,,'')&lt;/Q&gt;&lt;R&gt;1&lt;/R&gt;&lt;C&gt;1&lt;/C&gt;&lt;D xsi:type="xsd:double"&gt;32.8376&lt;/D&gt;&lt;/FQL&gt;&lt;FQL&gt;&lt;Q&gt;Company0103^FE_VALUATION(PE,MEAN,NTM4_ROLL,,45796,,,'')&lt;/Q&gt;&lt;R&gt;1&lt;/R&gt;&lt;C&gt;1&lt;/C&gt;&lt;D xsi:type="xsd:double"&gt;32.8376&lt;/D&gt;&lt;/FQL&gt;&lt;FQL&gt;&lt;Q&gt;Company0103^FE_VALUATION(FFEV_FCF,MEAN,CAL4_ROLL,2026,45796,,,'')&lt;/Q&gt;&lt;R&gt;1&lt;/R&gt;&lt;C&gt;1&lt;/C&gt;&lt;D xsi:type="xsd:double"&gt;44.428444&lt;/D&gt;&lt;/FQL&gt;&lt;FQL&gt;&lt;Q&gt;Company0103^FE_VALUATION(FFEV_FCF,MEAN,CAL4_ROLL,2025,45796,,,'')&lt;/Q&gt;&lt;R&gt;1&lt;/R&gt;&lt;C&gt;1&lt;/C&gt;&lt;D xsi:type="xsd:double"&gt;65.10709&lt;/D&gt;&lt;/FQL&gt;&lt;FQL&gt;&lt;Q&gt;Company0103^FE_VALUATION(FFEV_FCF,MEAN,CAL4_ROLL,2024,45796,,,'')&lt;/Q&gt;&lt;R&gt;1&lt;/R&gt;&lt;C&gt;1&lt;/C&gt;&lt;D xsi:type="xsd:double"&gt;60.452892&lt;/D&gt;&lt;/FQL&gt;&lt;FQL&gt;&lt;Q&gt;Company0103^FE_VALUATION(FFEV_FCF,MEAN,NTM4_ROLL,,45796,,,'')&lt;/Q&gt;&lt;R&gt;1&lt;/R&gt;&lt;C&gt;1&lt;/C&gt;&lt;D xsi:type="xsd:double"&gt;58.102985&lt;/D&gt;&lt;/FQL&gt;&lt;FQL&gt;&lt;Q&gt;Ticker0013^FE_VALUATION(PE,MEAN,CAL4_ROLL,,45796,,,'')&lt;/Q&gt;&lt;R&gt;1&lt;/R&gt;&lt;C&gt;1&lt;/C&gt;&lt;D xsi:type="xsd:double"&gt;18.294035&lt;/D&gt;&lt;/FQL&gt;&lt;FQL&gt;&lt;Q&gt;Ticker0013^FE_VALUATION(PE,MEAN,NTM4_ROLL,,45796,,,'')&lt;/Q&gt;&lt;R&gt;1&lt;/R&gt;&lt;C&gt;1&lt;/C&gt;&lt;D xsi:type="xsd:double"&gt;18.294035&lt;/D&gt;&lt;/FQL&gt;&lt;FQL&gt;&lt;Q&gt;Ticker0013^FE_VALUATION(FFEV_FCF,MEAN,CAL4_ROLL,2026,45796,,,'')&lt;/Q&gt;&lt;R&gt;1&lt;/R&gt;&lt;C&gt;1&lt;/C&gt;&lt;D xsi:type="xsd:double"&gt;22.408443&lt;/D&gt;&lt;/FQL&gt;&lt;FQL&gt;&lt;Q&gt;Ticker0013^FE_VALUATION(FFEV_FCF,MEAN,CAL4_ROLL,2025,45796,,,'')&lt;/Q&gt;&lt;R&gt;1&lt;/R&gt;&lt;C&gt;1&lt;/C&gt;&lt;D xsi:type="xsd:double"&gt;26.738586&lt;/D&gt;&lt;/FQL&gt;&lt;FQL&gt;&lt;Q&gt;Ticker0013^FE_VALUATION(FFEV_FCF,MEAN,CAL4_ROLL,2024,45796,,,'')&lt;/Q&gt;&lt;R&gt;1&lt;/R&gt;&lt;C&gt;1&lt;/C&gt;&lt;D xsi:type="xsd:double"&gt;27.10182&lt;/D&gt;&lt;/FQL&gt;&lt;FQL&gt;&lt;Q&gt;Ticker0013^FE_VALUATION(FFEV_FCF,MEAN,NTM4_ROLL,,45796,,,'')&lt;/Q&gt;&lt;R&gt;1&lt;/R&gt;&lt;C&gt;1&lt;/C&gt;&lt;D xsi:type="xsd:double"&gt;25.86846&lt;/D&gt;&lt;/FQL&gt;&lt;FQL&gt;&lt;Q&gt;Ticker0024^FE_ESTIMATE(EPS,MEAN,CAL4_ROLL,2026,45796,,,'')&lt;/Q&gt;&lt;R&gt;1&lt;/R&gt;&lt;C&gt;1&lt;/C&gt;&lt;D xsi:type="xsd:double"&gt;16.114618&lt;/D&gt;&lt;/FQL&gt;&lt;FQL&gt;&lt;Q&gt;Ticker0024^FE_ESTIMATE(EPS,MEAN,CAL4_ROLL,2025,45796,,,'')&lt;/Q&gt;&lt;R&gt;1&lt;/R&gt;&lt;C&gt;1&lt;/C&gt;&lt;D xsi:type="xsd:double"&gt;14.113242&lt;/D&gt;&lt;/FQL&gt;&lt;FQL&gt;&lt;Q&gt;Ticker0024^FE_ESTIMATE(EPS,MEAN,CAL4_ROLL,2024,45796,,,'')&lt;/Q&gt;&lt;R&gt;1&lt;/R&gt;&lt;C&gt;1&lt;/C&gt;&lt;D xsi:type="xsd:double"&gt;12.42&lt;/D&gt;&lt;/FQL&gt;&lt;FQL&gt;&lt;Q&gt;Ticker0024^FE_ESTIMATE(EPS,MEAN,CAL4_ROLL,2023,45796,,,'')&lt;/Q&gt;&lt;R&gt;1&lt;/R&gt;&lt;C&gt;1&lt;/C&gt;&lt;D xsi:type="xsd:double"&gt;11.06&lt;/D&gt;&lt;/FQL&gt;&lt;FQL&gt;&lt;Q&gt;Ticker0024^FE_ESTIMATE(EPS,MEAN,NTM4_ROLL,,45796,,,'')&lt;/Q&gt;&lt;R&gt;1&lt;/R&gt;&lt;C&gt;1&lt;/C&gt;&lt;D xsi:type="xsd:double"&gt;14.438616&lt;/D&gt;&lt;/FQL&gt;&lt;FQL&gt;&lt;Q&gt;Ticker0024^FE_ESTIMATE(EPS,MEAN,LTM4_ROLL,,45796,,,'')&lt;/Q&gt;&lt;R&gt;1&lt;/R&gt;&lt;C&gt;1&lt;/C&gt;&lt;D xsi:type="xsd:double"&gt;12.94&lt;/D&gt;&lt;/FQL&gt;&lt;FQL&gt;&lt;Q&gt;IBM^FE_ESTIMATE(EPS,MEAN,CAL4_ROLL,2026,45796,,,'')&lt;/Q&gt;&lt;R&gt;1&lt;/R&gt;&lt;C&gt;1&lt;/C&gt;&lt;D xsi:type="xsd:double"&gt;11.635194&lt;/D&gt;&lt;/FQL&gt;&lt;FQL&gt;&lt;Q&gt;IBM^FE_ESTIMATE(EPS,MEAN,CAL4_ROLL,2025,45796,,,'')&lt;/Q&gt;&lt;R&gt;1&lt;/R&gt;&lt;C&gt;1&lt;/C&gt;&lt;D xsi:type="xsd:double"&gt;10.946525&lt;/D&gt;&lt;/FQL&gt;&lt;FQL&gt;&lt;Q&gt;IBM^FE_ESTIMATE(EPS,MEAN,CAL4_ROLL,2024,45796,,,'')&lt;/Q&gt;&lt;R&gt;1&lt;/R&gt;&lt;C&gt;1&lt;/C&gt;&lt;D xsi:type="xsd:double"&gt;10.33&lt;/D&gt;&lt;/FQL&gt;&lt;FQL&gt;&lt;Q&gt;IBM^FE_ESTIMATE(EPS,MEAN,CAL4_ROLL,2023,45796,,,'')&lt;/Q&gt;&lt;R&gt;1&lt;/R&gt;&lt;C&gt;1&lt;/C&gt;&lt;D xsi:type="xsd:double"&gt;9.61&lt;/D&gt;&lt;/FQL&gt;&lt;FQL&gt;&lt;Q&gt;IBM^FE_ESTIMATE(EPS,MEAN,NTM4_ROLL,,45796,,,'')&lt;/Q&gt;&lt;R&gt;1&lt;/R&gt;&lt;C&gt;1&lt;/C&gt;&lt;D xsi:type="xsd:double"&gt;11.147483&lt;/D&gt;&lt;/FQL&gt;&lt;FQL&gt;&lt;Q&gt;IBM^FE_ESTIMATE(EPS,MEAN,LTM4_ROLL,,45796,,,'')&lt;/Q&gt;&lt;R&gt;1&lt;/R&gt;&lt;C&gt;1&lt;/C&gt;&lt;D xsi:type="xsd:double"&gt;10.25&lt;/D&gt;&lt;/FQL&gt;&lt;FQL&gt;&lt;Q&gt;CRM^FE_ESTIMATE(EPS,MEAN,CAL4_ROLL,2026,45796,,,'')&lt;/Q&gt;&lt;R&gt;1&lt;/R&gt;&lt;C&gt;1&lt;/C&gt;&lt;D xsi:type="xsd:double"&gt;12.423855&lt;/D&gt;&lt;/FQL&gt;&lt;FQL&gt;&lt;Q&gt;CRM^FE_ESTIMATE(EPS,MEAN,CAL4_ROLL,2025,45796,,,'')&lt;/Q&gt;&lt;R&gt;1&lt;/R&gt;&lt;C&gt;1&lt;/C&gt;&lt;D xsi:type="xsd:double"&gt;11.152059&lt;/D&gt;&lt;/FQL&gt;&lt;FQL&gt;&lt;Q&gt;CRM^FE_ESTIMATE(EPS,MEAN,CAL4_ROLL,2024,45796,,,'')&lt;/Q&gt;&lt;R&gt;1&lt;/R&gt;&lt;C&gt;1&lt;/C&gt;&lt;D xsi:type="xsd:double"&gt;10.19&lt;/D&gt;&lt;/FQL&gt;&lt;FQL&gt;&lt;Q&gt;CRM^FE_ESTIMATE(EPS,MEAN,CAL4_ROLL,2023,45796,,,'')&lt;/Q&gt;&lt;R&gt;1&lt;/R&gt;&lt;C&gt;1&lt;/C&gt;&lt;D xsi:type="xsd:double"&gt;8.21&lt;/D&gt;&lt;/FQL&gt;&lt;FQL&gt;&lt;Q&gt;CRM^FE_ESTIMATE(EPS,MEAN,NTM4_ROLL,,45796,,,'')&lt;/Q&gt;&lt;R&gt;1&lt;/R&gt;&lt;C&gt;1&lt;/C&gt;&lt;D xsi:type="xsd:double"&gt;11.152059&lt;/D&gt;&lt;/FQL&gt;&lt;FQL&gt;&lt;Q&gt;CRM^FE_ESTIMATE(EPS,MEAN,LTM4_ROLL,,45796,,,'')&lt;/Q&gt;&lt;R&gt;1&lt;/R&gt;&lt;C&gt;1&lt;/C&gt;&lt;D xsi:type="xsd:double"&gt;10.19&lt;/D&gt;&lt;/FQL&gt;&lt;FQL&gt;&lt;Q&gt;Company1341^FE_ESTIMATE(EPS,MEAN,CAL4_ROLL,2026,45796,,,'')&lt;/Q&gt;&lt;R&gt;1&lt;/R&gt;&lt;C&gt;1&lt;/C&gt;&lt;D xsi:type="xsd:double"&gt;22.954603&lt;/D&gt;&lt;/FQL&gt;&lt;FQL&gt;&lt;Q&gt;Company1341^FE_ESTIMATE(EPS,MEAN,CAL4_ROLL,2025,45796,,,'')&lt;/Q&gt;&lt;R&gt;1&lt;/R&gt;&lt;C&gt;1&lt;/C&gt;&lt;D xsi:type="xsd:double"&gt;20.420324&lt;/D&gt;&lt;/FQL&gt;&lt;FQL&gt;&lt;Q&gt;Company1341^FE_ESTIMATE(EPS,MEAN,CAL4_ROLL,2024,45796,,,'')&lt;/Q&gt;&lt;R&gt;1&lt;/R&gt;&lt;C&gt;1&lt;/C&gt;&lt;D xsi:type="xsd:double"&gt;17.69&lt;/D&gt;&lt;/FQL&gt;&lt;FQL&gt;&lt;Q&gt;Company1341^FE_ESTIMATE(EPS,MEAN,CAL4_ROLL,2023,45796,,,'')&lt;/Q&gt;&lt;R&gt;1&lt;/R&gt;&lt;C&gt;1&lt;/C&gt;&lt;D xsi:type="xsd:double"&gt;15.67&lt;/D&gt;&lt;/FQL&gt;&lt;FQL&gt;&lt;Q&gt;Company1341^FE_ESTIMATE(EPS,MEAN,NTM4_ROLL,,45796,,,'')&lt;/Q&gt;&lt;R&gt;1&lt;/R&gt;&lt;C&gt;1&lt;/C&gt;&lt;D xsi:type="xsd:double"&gt;20.420324&lt;/D&gt;&lt;/FQL&gt;&lt;FQL&gt;&lt;Q&gt;Company1341^FE_ESTIMATE(EPS,MEAN,LTM4_ROLL,,45796,,,'')&lt;/Q&gt;&lt;R&gt;1&lt;/R&gt;&lt;C&gt;1&lt;/C&gt;&lt;D xsi:type="xsd:double"&gt;17.69&lt;/D&gt;&lt;/FQL&gt;&lt;FQL&gt;&lt;Q&gt;Company0023^FE_ESTIMATE(EPS,MEAN,CAL4_ROLL,2026,45796,,,'')&lt;/Q&gt;&lt;R&gt;1&lt;/R&gt;&lt;C&gt;1&lt;/C&gt;&lt;D xsi:type="xsd:double"&gt;22.902168&lt;/D&gt;&lt;/FQL&gt;&lt;FQL&gt;&lt;Q&gt;Company0023^FE_ESTIMATE(EPS,MEAN,CAL4_ROLL,2025,45796,,,'')&lt;/Q&gt;&lt;R&gt;1&lt;/R&gt;&lt;C&gt;1&lt;/C&gt;&lt;D xsi:type="xsd:double"&gt;20.419235&lt;/D&gt;&lt;/FQL&gt;&lt;FQL&gt;&lt;Q&gt;Company0023^FE_ESTIMATE(EPS,MEAN,CAL4_ROLL,2024,45796,,,'')&lt;/Q&gt;&lt;R&gt;1&lt;/R&gt;&lt;C&gt;1&lt;/C&gt;&lt;D xsi:type="xsd:double"&gt;18.42&lt;/D&gt;&lt;/FQL&gt;&lt;FQL&gt;&lt;Q&gt;Company0023^FE_ESTIMATE(EPS,MEAN,CAL4_ROLL,2023,45796,,,'')&lt;/Q&gt;&lt;R&gt;1&lt;/R&gt;&lt;C&gt;1&lt;/C&gt;&lt;D xsi:type="xsd:double"&gt;16.07&lt;/D&gt;&lt;/FQL&gt;&lt;FQL&gt;&lt;Q&gt;Company0023^FE_ESTIMATE(EPS,MEAN,NTM4_ROLL,,45796,,,'')&lt;/Q&gt;&lt;R&gt;1&lt;/R&gt;&lt;C&gt;1&lt;/C&gt;&lt;D xsi:type="xsd:double"&gt;20.9056&lt;/D&gt;&lt;/FQL&gt;&lt;FQL&gt;&lt;Q&gt;Company0023^FE_ESTIMATE(EPS,MEAN,LTM4_ROLL,,45796,,,'')&lt;/Q&gt;&lt;R&gt;1&lt;/R&gt;&lt;C&gt;1&lt;/C&gt;&lt;D xsi:type="xsd:double"&gt;19.02&lt;/D&gt;&lt;/FQL&gt;&lt;FQL&gt;&lt;Q&gt;Company1985^FE_ESTIMATE(EPS,MEAN,CAL4_ROLL,2026,45796,,,'')&lt;/Q&gt;&lt;R&gt;1&lt;/R&gt;&lt;C&gt;1&lt;/C&gt;&lt;D xsi:type="xsd:double"&gt;7.2993956&lt;/D&gt;&lt;/FQL&gt;&lt;FQL&gt;&lt;Q&gt;Company1985^FE_ESTIMATE(EPS,MEAN,CAL4_ROLL,2025,45796,,,'')&lt;/Q&gt;&lt;R&gt;1&lt;/R&gt;&lt;C&gt;1&lt;/C&gt;&lt;D xsi:type="xsd:double"&gt;6.185931&lt;/D&gt;&lt;/FQL&gt;&lt;FQL&gt;&lt;Q&gt;Company1985^FE_ESTIMATE(EPS,MEAN,CAL4_ROLL,2024,45796,,,'')&lt;/Q&gt;&lt;R&gt;1&lt;/R&gt;&lt;C&gt;1&lt;/C&gt;&lt;D xsi:type="xsd:double"&gt;5.9&lt;/D&gt;&lt;/FQL&gt;&lt;FQL&gt;&lt;Q&gt;Company1985^FE_ESTIMATE(EPS,MEAN,CAL4_ROLL,2023,45796,,,'')&lt;/Q&gt;&lt;R&gt;1&lt;/R&gt;&lt;C&gt;1&lt;/C&gt;&lt;D xsi:type="xsd:double"&gt;5.42&lt;/D&gt;&lt;/FQL&gt;&lt;FQL&gt;&lt;Q&gt;Company1985^FE_ESTIMATE(EPS,MEAN,NTM4_ROLL,,45796,,,'')&lt;/Q&gt;&lt;R&gt;1&lt;/R&gt;&lt;C&gt;1&lt;/C&gt;&lt;D xsi:type="xsd:double"&gt;6.3794165&lt;/D&gt;&lt;/FQL&gt;&lt;FQL&gt;&lt;Q&gt;Company1985^FE_ESTIMATE(EPS,MEAN,LTM4_ROLL,,45796,,,'')&lt;/Q&gt;&lt;R&gt;1&lt;/R&gt;&lt;C&gt;1&lt;/C&gt;&lt;D xsi:type="xsd:double"&gt;5.96&lt;/D&gt;&lt;/FQL&gt;&lt;FQL&gt;&lt;Q&gt;Company2320^FE_ESTIMATE(EPS,MEAN,CAL4_ROLL,2026,45796,,,'')&lt;/Q&gt;&lt;R&gt;1&lt;/R&gt;&lt;C&gt;1&lt;/C&gt;&lt;D xsi:type="xsd:double"&gt;8.191906&lt;/D&gt;&lt;/FQL&gt;&lt;FQL&gt;&lt;Q&gt;Company2320^FE_ESTIMATE(EPS,MEAN,CAL4_ROLL,2025,45796,,,'')&lt;/Q&gt;&lt;R&gt;1&lt;/R&gt;&lt;C&gt;1&lt;/C&gt;&lt;D xsi:type="xsd:double"&gt;7.119589&lt;/D&gt;&lt;/FQL&gt;&lt;FQL&gt;&lt;Q&gt;Company2320^FE_ESTIMATE(EPS,MEAN,CAL4_ROLL,2024,45796,,,'')&lt;/Q&gt;&lt;R&gt;1&lt;/R&gt;&lt;C&gt;1&lt;/C&gt;&lt;D xsi:type="xsd:double"&gt;4.848603&lt;/D&gt;&lt;/FQL&gt;&lt;FQL&gt;&lt;Q&gt;Company2320^FE_ESTIMATE(EPS,MEAN,CAL4_ROLL,2023,45796,,,'')&lt;/Q&gt;&lt;R&gt;1&lt;/R&gt;&lt;C&gt;1&lt;/C&gt;&lt;D xsi:type="xsd:double"&gt;5.655961&lt;/D&gt;&lt;/FQL&gt;&lt;FQL&gt;&lt;Q&gt;Company2320^FE_ESTIMATE(EPS,MEAN,NTM4_ROLL,,45796,,,'')&lt;/Q&gt;&lt;R&gt;1&lt;/R&gt;&lt;C&gt;1&lt;/C&gt;&lt;D xsi:type="xsd:double"&gt;7.3626637&lt;/D&gt;&lt;/FQL&gt;&lt;FQL&gt;&lt;Q&gt;Company2320^FE_ESTIMATE(EPS,MEAN,LTM4_ROLL,,45796,,,'')&lt;/Q&gt;&lt;R&gt;1&lt;/R&gt;&lt;C&gt;1&lt;/C&gt;&lt;D xsi:type="xsd:double"&gt;5.616465&lt;/D&gt;&lt;/FQL&gt;&lt;FQL&gt;&lt;Q&gt;Company0103^FE_ESTIMATE(EPS,MEAN,CAL4_ROLL,2026,45796,,,'')&lt;/Q&gt;&lt;R&gt;1&lt;/R&gt;&lt;C&gt;1&lt;/C&gt;&lt;D xsi:type="xsd:double"&gt;7.2761545&lt;/D&gt;&lt;/FQL&gt;&lt;FQL&gt;&lt;Q&gt;Company0103^FE_ESTIMATE(EPS,MEAN,CAL4_ROLL,2025,45796,,,'')&lt;/Q&gt;&lt;R&gt;1&lt;/R&gt;&lt;C&gt;1&lt;/C&gt;&lt;D xsi:type="xsd:double"&gt;6.1970367&lt;/D&gt;&lt;/FQL&gt;&lt;FQL&gt;&lt;Q&gt;Company0103^FE_ESTIMATE(EPS,MEAN,CAL4_ROLL,2024,45796,,,'')&lt;/Q&gt;&lt;R&gt;1&lt;/R&gt;&lt;C&gt;1&lt;/C&gt;&lt;D xsi:type="xsd:double"&gt;5.53&lt;/D&gt;&lt;/FQL&gt;&lt;FQL&gt;&lt;Q&gt;Company0103^FE_ESTIMATE(EPS,MEAN,CAL4_ROLL,2023,45796,,,'')&lt;/Q&gt;&lt;R&gt;1&lt;/R&gt;&lt;C&gt;1&lt;/C&gt;&lt;D xsi:type="xsd:double"&gt;2.9&lt;/D&gt;&lt;/FQL&gt;&lt;FQL&gt;&lt;Q&gt;Company0103^FE_ESTIMATE(EPS,MEAN,NTM4_ROLL,,45796,,,'')&lt;/Q&gt;&lt;R&gt;1&lt;/R&gt;&lt;C&gt;1&lt;/C&gt;&lt;D xsi:type="xsd:double"&gt;6.278169&lt;/D&gt;&lt;/FQL&gt;&lt;FQL&gt;&lt;Q&gt;Company0103^FE_ESTIMATE(EPS,MEAN,LTM4_ROLL,,45796,,,'')&lt;/Q&gt;&lt;R&gt;1&lt;/R&gt;&lt;C&gt;1&lt;/C&gt;&lt;D xsi:type="xsd:double"&gt;6.14&lt;/D&gt;&lt;/FQL&gt;&lt;FQL&gt;&lt;Q&gt;Ticker0013^FE_ESTIMATE(EPS,MEAN,CAL4_ROLL,2026,45796,,,'')&lt;/Q&gt;&lt;R&gt;1&lt;/R&gt;&lt;C&gt;1&lt;/C&gt;&lt;D xsi:type="xsd:double"&gt;10.032436&lt;/D&gt;&lt;/FQL&gt;&lt;FQL&gt;&lt;Q&gt;Ticker0013^FE_ESTIMATE(EPS,MEAN,CAL4_ROLL,2025,45796,,,'')&lt;/Q&gt;&lt;R&gt;1&lt;/R&gt;&lt;C&gt;1&lt;/C&gt;&lt;D xsi:type="xsd:double"&gt;9.642969&lt;/D&gt;&lt;/FQL&gt;&lt;FQL&gt;&lt;Q&gt;Ticker0013^FE_ESTIMATE(EPS,MEAN,CAL4_ROLL,2024,45796,,,'')&lt;/Q&gt;&lt;R&gt;1&lt;/R&gt;&lt;C&gt;1&lt;/C&gt;&lt;D xsi:type="xsd:double"&gt;8.05&lt;/D&gt;&lt;/FQL&gt;&lt;FQL&gt;&lt;Q&gt;Ticker0013^FE_ESTIMATE(EPS,MEAN,CAL4_ROLL,2023,45796,,,'')&lt;/Q&gt;&lt;R&gt;1&lt;/R&gt;&lt;C&gt;1&lt;/C&gt;&lt;D xsi:type="xsd:double"&gt;5.8&lt;/D&gt;&lt;/FQL&gt;&lt;FQL&gt;&lt;Q&gt;Ticker0013^FE_ESTIMATE(EPS,MEAN,NTM4_ROLL,,45796,,,'')&lt;/Q&gt;&lt;R&gt;1&lt;/R&gt;&lt;C&gt;1&lt;/C&gt;&lt;D xsi:type="xsd:double"&gt;9.176215&lt;/D&gt;&lt;/FQL&gt;&lt;FQL&gt;&lt;Q&gt;Ticker0013^FE_ESTIMATE(EPS,MEAN,LTM4_ROLL,,45796,,,'')&lt;/Q&gt;&lt;R&gt;1&lt;/R&gt;&lt;C&gt;1&lt;/C&gt;&lt;D xsi:type="xsd:double"&gt;8.97&lt;/D&gt;&lt;/FQL&gt;&lt;FQL&gt;&lt;Q&gt;Ticker0024^FE_ESTIMATE(FCF,MEAN,CAL4_ROLL,2026,45796,,,'')&lt;/Q&gt;&lt;R&gt;1&lt;/R&gt;&lt;C&gt;1&lt;/C&gt;&lt;D xsi:type="xsd:double"&gt;80561.97&lt;/D&gt;&lt;/FQL&gt;&lt;FQL&gt;&lt;Q&gt;Ticker0024^FE_ESTIMATE(FCF,MEAN,CAL4_ROLL,2025,45796,,,'')&lt;/Q&gt;&lt;R&gt;1&lt;/R&gt;&lt;C&gt;1&lt;/C&gt;&lt;D xsi:type="xsd:double"&gt;75803.04&lt;/D&gt;&lt;/FQL&gt;&lt;FQL&gt;&lt;Q&gt;Ticker0024^FE_ESTIMATE(FCF,MEAN,CAL4_ROLL,2024,45796,,,'')&lt;/Q&gt;&lt;R&gt;1&lt;/R&gt;&lt;C&gt;1&lt;/C&gt;&lt;D xsi:type="xsd:double"&gt;68042.71&lt;/D&gt;&lt;/FQL&gt;&lt;FQL&gt;&lt;Q&gt;Ticker0024^FE_ESTIMATE(FCF,MEAN,CAL4_ROLL,2023,45796,,,'')&lt;/Q&gt;&lt;R&gt;1&lt;/R&gt;&lt;C&gt;1&lt;/C&gt;&lt;D xsi:type="xsd:double"&gt;64571.887&lt;/D&gt;&lt;/FQL&gt;&lt;FQL&gt;&lt;Q&gt;Ticker0024^FE_ESTIMATE(FCF,MEAN,NTM4_ROLL,,45796,,,'')&lt;/Q&gt;&lt;R&gt;1&lt;/R&gt;&lt;C&gt;1&lt;/C&gt;&lt;D xsi:type="xsd:double"&gt;75487.01&lt;/D&gt;&lt;/FQL&gt;&lt;FQL&gt;&lt;Q&gt;Ticker0024^FE_ESTIMATE(FCF,MEAN,LTM4_ROLL,,45796,,,'')&lt;/Q&gt;&lt;R&gt;1&lt;/R&gt;&lt;C&gt;1&lt;/C&gt;&lt;D xsi:type="xsd:double"&gt;67645.7&lt;/D&gt;&lt;/FQL&gt;&lt;FQL&gt;&lt;Q&gt;IBM^FE_ESTIMATE(FCF,MEAN,CAL4_ROLL,2026,45796,,,'')&lt;/Q&gt;&lt;R&gt;1&lt;/R&gt;&lt;C&gt;1&lt;/C&gt;&lt;D xsi:type="xsd:double"&gt;14529.5&lt;/D&gt;&lt;/FQL&gt;&lt;FQL&gt;&lt;Q&gt;IBM^FE_ESTIMATE(FCF,MEAN,CAL4_ROLL,2025,45796,,,'')&lt;/Q&gt;&lt;R&gt;1&lt;/R&gt;&lt;C&gt;1&lt;/C&gt;&lt;D xsi:type="xsd:double"&gt;13748.533&lt;/D&gt;&lt;/FQL&gt;&lt;FQL&gt;&lt;Q&gt;IBM^FE_ESTIMATE(FCF,MEAN,CAL4_ROLL,2024,45796,,,'')&lt;/Q&gt;&lt;R&gt;1&lt;/R&gt;&lt;C&gt;1&lt;/C&gt;&lt;D xsi:type="xsd:double"&gt;12749&lt;/D&gt;&lt;/FQL&gt;&lt;FQL&gt;&lt;Q&gt;IBM^FE_ESTIMATE(FCF,MEAN,CAL4_ROLL,2023,45796,,,'')&lt;/Q&gt;&lt;R&gt;1&lt;/R&gt;&lt;C&gt;1&lt;/C&gt;&lt;D xsi:type="xsd:double"&gt;11210&lt;/D&gt;&lt;/FQL&gt;&lt;FQL&gt;&lt;Q&gt;IBM^FE_ESTIMATE(FCF,MEAN,NTM4_ROLL,,45796,,,'')&lt;/Q&gt;&lt;R&gt;1&lt;/R&gt;&lt;C&gt;1&lt;/C&gt;&lt;D xsi:type="xsd:double"&gt;14588.033&lt;/D&gt;&lt;/FQL&gt;&lt;FQL&gt;&lt;Q&gt;IBM^FE_ESTIMATE(FCF,MEAN,LTM4_ROLL,,45796,,,'')&lt;/Q&gt;&lt;R&gt;1&lt;/R&gt;&lt;C&gt;1&lt;/C&gt;&lt;D xsi:type="xsd:double"&gt;12801&lt;/D&gt;&lt;/FQL&gt;&lt;FQL&gt;&lt;Q&gt;CRM^FE_ESTIMATE(FCF,MEAN,CAL4_ROLL,2026,45796,,,'')&lt;/Q&gt;&lt;R&gt;1&lt;/R&gt;&lt;C&gt;1&lt;/C&gt;&lt;D xsi:type="xsd:double"&gt;15027.606&lt;/D&gt;&lt;/FQL&gt;&lt;FQL&gt;&lt;Q&gt;CRM^FE_ESTIMATE(FCF,MEAN,CAL4_ROLL,2025,45796,,,'')&lt;/Q&gt;&lt;R&gt;1&lt;/R&gt;&lt;C&gt;1&lt;/C&gt;&lt;D xsi:type="xsd:double"&gt;13704.41&lt;/D&gt;&lt;/FQL&gt;&lt;FQL&gt;&lt;Q&gt;CRM^FE_ESTIMATE(FCF,MEAN,CAL4_ROLL,2024,45796,,,'')&lt;/Q&gt;&lt;R&gt;1&lt;/R&gt;&lt;C&gt;1&lt;/C&gt;&lt;D xsi:type="xsd:double"&gt;12434&lt;/D&gt;&lt;/FQL&gt;&lt;FQL&gt;&lt;Q&gt;CRM^FE_ESTIMATE(FCF,MEAN,CAL4_ROLL,2023,45796,,,'')&lt;/Q&gt;&lt;R&gt;1&lt;/R&gt;&lt;C&gt;1&lt;/C&gt;&lt;D xsi:type="xsd:double"&gt;9498&lt;/D&gt;&lt;/FQL&gt;&lt;FQL&gt;&lt;Q&gt;CRM^FE_ESTIMATE(FCF,MEAN,NTM4_ROLL,,45796,,,'')&lt;/Q&gt;&lt;R&gt;1&lt;/R&gt;&lt;C&gt;1&lt;/C&gt;&lt;D xsi:type="xsd:double"&gt;13704.41&lt;/D&gt;&lt;/FQL&gt;&lt;FQL&gt;&lt;Q&gt;CRM^FE_ESTIMATE(FCF,MEAN,LTM4_ROLL,,45796,,,'')&lt;/Q&gt;&lt;R&gt;1&lt;/R&gt;&lt;C&gt;1&lt;/C&gt;&lt;D xsi:type="xsd:double"&gt;12434&lt;/D&gt;&lt;/FQL&gt;&lt;FQL&gt;&lt;Q&gt;Company1341^FE_ESTIMATE(FCF,MEAN,CAL4_ROLL,2026,45796,,,'')&lt;/Q&gt;&lt;R&gt;1&lt;/R&gt;&lt;C&gt;1&lt;/C&gt;&lt;D xsi:type="xsd:double"&gt;7090.9917&lt;/D&gt;&lt;/FQL&gt;&lt;FQL&gt;&lt;Q&gt;Company1341^FE_ESTIMATE(FCF,MEAN,CAL4_ROLL,2025,45796,,,'')&lt;/Q&gt;&lt;R&gt;1&lt;/R&gt;&lt;C&gt;1&lt;/C&gt;&lt;D xsi:type="xsd:double"&gt;6237.4727&lt;/D&gt;&lt;/FQL&gt;&lt;FQL&gt;&lt;Q&gt;Company1341^FE_ESTIMATE(FCF,MEAN,CAL4_ROLL,2024,45796,,,'')&lt;/Q&gt;&lt;R&gt;1&lt;/R&gt;&lt;C&gt;1&lt;/C&gt;&lt;D xsi:type="xsd:double"&gt;5539.0967&lt;/D&gt;&lt;/FQL&gt;&lt;FQL&gt;&lt;Q&gt;Company1341^FE_ESTIMATE(FCF,MEAN,CAL4_ROLL,2023,45796,,,'')&lt;/Q&gt;&lt;R&gt;1&lt;/R&gt;&lt;C&gt;1&lt;/C&gt;&lt;D xsi:type="xsd:double"&gt;4760.005&lt;/D&gt;&lt;/FQL&gt;&lt;FQL&gt;&lt;Q&gt;Company1341^FE_ESTIMATE(FCF,MEAN,NTM4_ROLL,,45796,,,'')&lt;/Q&gt;&lt;R&gt;1&lt;/R&gt;&lt;C&gt;1&lt;/C&gt;&lt;D xsi:type="xsd:double"&gt;6237.4727&lt;/D&gt;&lt;/FQL&gt;&lt;FQL&gt;&lt;Q&gt;Company1341^FE_ESTIMATE(FCF,MEAN,LTM4_ROLL,,45796,,,'')&lt;/Q&gt;&lt;R&gt;1&lt;/R&gt;&lt;C&gt;1&lt;/C&gt;&lt;D xsi:type="xsd:double"&gt;5539.0967&lt;/D&gt;&lt;/FQL&gt;&lt;FQL&gt;&lt;Q&gt;Company0023^FE_ESTIMATE(FCF,MEAN,CAL4_ROLL,2026,45796,,,'')&lt;/Q&gt;&lt;R&gt;1&lt;/R&gt;&lt;C&gt;1&lt;/C&gt;&lt;D xsi:type="xsd:double"&gt;10360.803&lt;/D&gt;&lt;/FQL&gt;&lt;FQL&gt;&lt;Q&gt;Company0023^FE_ESTIMATE(FCF,MEAN,CAL4_ROLL,2025,45796,,,'')&lt;/Q&gt;&lt;R&gt;1&lt;/R&gt;&lt;C&gt;1&lt;/C&gt;&lt;D xsi:type="xsd:double"&gt;9418.106&lt;/D&gt;&lt;/FQL&gt;&lt;FQL&gt;&lt;Q&gt;Company0023^FE_ESTIMATE(FCF,MEAN,CAL4_ROLL,2024,45796,,,'')&lt;/Q&gt;&lt;R&gt;1&lt;/R&gt;&lt;C&gt;1&lt;/C&gt;&lt;D xsi:type="xsd:double"&gt;7881.607&lt;/D&gt;&lt;/FQL&gt;&lt;FQL&gt;&lt;Q&gt;Company0023^FE_ESTIMATE(FCF,MEAN,CAL4_ROLL,2023,45796,,,'')&lt;/Q&gt;&lt;R&gt;1&lt;/R&gt;&lt;C&gt;1&lt;/C&gt;&lt;D xsi:type="xsd:double"&gt;7132.4546&lt;/D&gt;&lt;/FQL&gt;&lt;FQL&gt;&lt;Q&gt;Company0023^FE_ESTIMATE(FCF,MEAN,NTM4_ROLL,,45796,,,'')&lt;/Q&gt;&lt;R&gt;1&lt;/R&gt;&lt;C&gt;1&lt;/C&gt;&lt;D xsi:type="xsd:double"&gt;9198.944&lt;/D&gt;&lt;/FQL&gt;&lt;FQL&gt;&lt;Q&gt;Company0023^FE_ESTIMATE(FCF,MEAN,LTM4_ROLL,,45796,,,'')&lt;/Q&gt;&lt;R&gt;1&lt;/R&gt;&lt;C&gt;1&lt;/C&gt;&lt;D xsi:type="xsd:double"&gt;9193.25&lt;/D&gt;&lt;/FQL&gt;&lt;FQL&gt;&lt;Q&gt;Company1985^FE_ESTIMATE(FCF,MEAN,CAL4_ROLL,2026,45796,,,'')&lt;/Q&gt;&lt;R&gt;1&lt;/R&gt;&lt;C&gt;1&lt;/C&gt;&lt;D xsi:type="xsd:double"&gt;10748.23&lt;/D&gt;&lt;/FQL&gt;&lt;FQL&gt;&lt;Q&gt;Company1985^FE_ESTIMATE(FCF,MEAN,CAL4_ROLL,2025,45796,,,'')&lt;/Q&gt;&lt;R&gt;1&lt;/R&gt;&lt;C&gt;1&lt;/C&gt;&lt;D xsi:type="xsd:double"&gt;6312.889&lt;/D&gt;&lt;/FQL&gt;&lt;FQL&gt;&lt;Q&gt;Company1985^FE_ESTIMATE(FCF,MEAN,CAL4_ROLL,2024,45796,,,'')&lt;/Q&gt;&lt;R&gt;1&lt;/R&gt;&lt;C&gt;1&lt;/C&gt;&lt;D xsi:type="xsd:double"&gt;9550.706&lt;/D&gt;&lt;/FQL&gt;&lt;FQL&gt;&lt;Q&gt;Company1985^FE_ESTIMATE(FCF,MEAN,CAL4_ROLL,2023,45796,,,'')&lt;/Q&gt;&lt;R&gt;1&lt;/R&gt;&lt;C&gt;1&lt;/C&gt;&lt;D xsi:type="xsd:double"&gt;10035.492&lt;/D&gt;&lt;/FQL&gt;&lt;FQL&gt;&lt;Q&gt;Company1985^FE_ESTIMATE(FCF,MEAN,NTM4_ROLL,,45796,,,'')&lt;/Q&gt;&lt;R&gt;1&lt;/R&gt;&lt;C&gt;1&lt;/C&gt;&lt;D xsi:type="xsd:double"&gt;7418.4395&lt;/D&gt;&lt;/FQL&gt;&lt;FQL&gt;&lt;Q&gt;Company1985^FE_ESTIMATE(FCF,MEAN,LTM4_ROLL,,45796,,,'')&lt;/Q&gt;&lt;R&gt;1&lt;/R&gt;&lt;C&gt;1&lt;/C&gt;&lt;D xsi:type="xsd:double"&gt;5869.091&lt;/D&gt;&lt;/FQL&gt;&lt;FQL&gt;&lt;Q&gt;Company2320^FE_ESTIMATE(FCF,MEAN,CAL4_ROLL,2026,45796,,,'')&lt;/Q&gt;&lt;R&gt;1&lt;/R&gt;&lt;C&gt;1&lt;/C&gt;&lt;D xsi:type="xsd:double"&gt;11114.298&lt;/D&gt;&lt;/FQL&gt;&lt;FQL&gt;&lt;Q&gt;Company2320^FE_ESTIMATE(FCF,MEAN,CAL4_ROLL,2025,45796,,,'')&lt;/Q&gt;&lt;R&gt;1&lt;/R&gt;&lt;C&gt;1&lt;/C&gt;&lt;D xsi:type="xsd:double"&gt;9263.946&lt;/D&gt;&lt;/FQL&gt;&lt;FQL&gt;&lt;Q&gt;Company2320^FE_ESTIMATE(FCF,MEAN,CAL4_ROLL,2024,45796,,,'')&lt;/Q&gt;&lt;R&gt;1&lt;/R&gt;&lt;C&gt;1&lt;/C&gt;&lt;D xsi:type="xsd:double"&gt;4458.2144&lt;/D&gt;&lt;/FQL&gt;&lt;FQL&gt;&lt;Q&gt;Company2320^FE_ESTIMATE(FCF,MEAN,CAL4_ROLL,2023,45796,,,'')&lt;/Q&gt;&lt;R&gt;1&lt;/R&gt;&lt;C&gt;1&lt;/C&gt;&lt;D xsi:type="xsd:double"&gt;5599.309&lt;/D&gt;&lt;/FQL&gt;&lt;FQL&gt;&lt;Q&gt;Company2320^FE_ESTIMATE(FCF,MEAN,NTM4_ROLL,,45796,,,'')&lt;/Q&gt;&lt;R&gt;1&lt;/R&gt;&lt;C&gt;1&lt;/C&gt;&lt;D xsi:type="xsd:double"&gt;9047.161&lt;/D&gt;&lt;/FQL&gt;&lt;FQL&gt;&lt;Q&gt;Company2320^FE_ESTIMATE(FCF,MEAN,LTM4_ROLL,,45796,,,'')&lt;/Q&gt;&lt;R&gt;1&lt;/R&gt;&lt;C&gt;1&lt;/C&gt;&lt;D xsi:type="xsd:double"&gt;5858.978&lt;/D&gt;&lt;/FQL&gt;&lt;FQL&gt;&lt;Q&gt;Company0103^FE_ESTIMATE(FCF,MEAN,CAL4_ROLL,2026,45796,,,'')&lt;/Q&gt;&lt;R&gt;1&lt;/R&gt;&lt;C&gt;1&lt;/C&gt;&lt;D xsi:type="xsd:double"&gt;51120.04&lt;/D&gt;&lt;/FQL&gt;&lt;FQL&gt;&lt;Q&gt;Company0103^FE_ESTIMATE(FCF,MEAN,CAL4_ROLL,2025,45796,,,'')&lt;/Q&gt;&lt;R&gt;1&lt;/R&gt;&lt;C&gt;1&lt;/C&gt;&lt;D xsi:type="xsd:double"&gt;34883.813&lt;/D&gt;&lt;/FQL&gt;&lt;FQL&gt;&lt;Q&gt;Company0103^FE_ESTIMATE(FCF,MEAN,CAL4_ROLL,2024,45796,,,'')&lt;/Q&gt;&lt;R&gt;1&lt;/R&gt;&lt;C&gt;1&lt;/C&gt;&lt;D xsi:type="xsd:double"&gt;37569.48&lt;/D&gt;&lt;/FQL&gt;&lt;FQL&gt;&lt;Q&gt;Company0103^FE_ESTIMATE(FCF,MEAN,CAL4_ROLL,2023,45796,,,'')&lt;/Q&gt;&lt;R&gt;1&lt;/R&gt;&lt;C&gt;1&lt;/C&gt;&lt;D xsi:type="xsd:double"&gt;38765.21&lt;/D&gt;&lt;/FQL&gt;&lt;FQL&gt;&lt;Q&gt;Company0103^FE_ESTIMATE(FCF,MEAN,NTM4_ROLL,,45796,,,'')&lt;/Q&gt;&lt;R&gt;1&lt;/R&gt;&lt;C&gt;1&lt;/C&gt;&lt;D xsi:type="xsd:double"&gt;39088.934&lt;/D&gt;&lt;/FQL&gt;&lt;FQL&gt;&lt;Q&gt;Company0103^FE_ESTIMATE(FCF,MEAN,LTM4_ROLL,,45796,,,'')&lt;/Q&gt;&lt;R&gt;1&lt;/R&gt;&lt;C&gt;1&lt;/C&gt;&lt;D xsi:type="xsd:double"&gt;26185.16&lt;/D&gt;&lt;/FQL&gt;&lt;FQL&gt;&lt;Q&gt;Ticker0013^FE_ESTIMATE(FCF,MEAN,CAL4_ROLL,2026,45796,,,'')&lt;/Q&gt;&lt;R&gt;1&lt;/R&gt;&lt;C&gt;1&lt;/C&gt;&lt;D xsi:type="xsd:double"&gt;88364.6&lt;/D&gt;&lt;/FQL&gt;&lt;FQL&gt;&lt;Q&gt;Ticker0013^FE_ESTIMATE(FCF,MEAN,CAL4_ROLL,2025,45796,,,'')&lt;/Q&gt;&lt;R&gt;1&lt;/R&gt;&lt;C&gt;1&lt;/C&gt;&lt;D xsi:type="xsd:double"&gt;74054.516&lt;/D&gt;&lt;/FQL&gt;&lt;FQL&gt;&lt;Q&gt;Ticker0013^FE_ESTIMATE(FCF,MEAN,CAL4_ROLL,2024,45796,,,'')&lt;/Q&gt;&lt;R&gt;1&lt;/R&gt;&lt;C&gt;1&lt;/C&gt;&lt;D xsi:type="xsd:double"&gt;73062&lt;/D&gt;&lt;/FQL&gt;&lt;FQL&gt;&lt;Q&gt;Ticker0013^FE_ESTIMATE(FCF,MEAN,CAL4_ROLL,2023,45796,,,'')&lt;/Q&gt;&lt;R&gt;1&lt;/R&gt;&lt;C&gt;1&lt;/C&gt;&lt;D xsi:type="xsd:double"&gt;69970.21&lt;/D&gt;&lt;/FQL&gt;&lt;FQL&gt;&lt;Q&gt;Ticker0013^FE_ESTIMATE(FCF,MEAN,NTM4_ROLL,,45796,,,'')&lt;/Q&gt;&lt;R&gt;1&lt;/R&gt;&lt;C&gt;1&lt;/C&gt;&lt;D xsi:type="xsd:double"&gt;76545.46&lt;/D&gt;&lt;/FQL&gt;&lt;FQL&gt;&lt;Q&gt;Ticker0013^FE_ESTIMATE(FCF,MEAN,LTM4_ROLL,,45796,,,'')&lt;/Q&gt;&lt;R&gt;1&lt;/R&gt;&lt;C&gt;1&lt;/C&gt;&lt;D xsi:type="xsd:double"&gt;74881.46&lt;/D&gt;&lt;/FQL&gt;&lt;FQL&gt;&lt;Q&gt;Ticker0024^FE_ESTIMATE(EBIT_ADJ,MEAN,CAL4_ROLL,2026,45796,,,'')&lt;/Q&gt;&lt;R&gt;1&lt;/R&gt;&lt;C&gt;1&lt;/C&gt;&lt;D xsi:type="xsd:double"&gt;150680.36&lt;/D&gt;&lt;/FQL&gt;&lt;FQL&gt;&lt;Q&gt;Ticker0024^FE_ESTIMATE(EBIT_ADJ,MEAN,CAL4_ROLL,2025,45796,,,'')&lt;/Q&gt;&lt;R&gt;1&lt;/R&gt;&lt;C&gt;1&lt;/C&gt;&lt;D xsi:type="xsd:double"&gt;133468.33&lt;/D&gt;&lt;/FQL&gt;&lt;FQL&gt;&lt;Q&gt;Ticker0024^FE_ESTIMATE(EBIT_ADJ,MEAN,CAL4_ROLL,2024,45796,,,'')&lt;/Q&gt;&lt;R&gt;1&lt;/R&gt;&lt;C&gt;1&lt;/C&gt;&lt;D xsi:type="xsd:double"&gt;117711.1&lt;/D&gt;&lt;/FQL&gt;&lt;FQL&gt;&lt;Q&gt;Ticker0024^FE_ESTIMATE(EBIT_ADJ,MEAN,CAL4_ROLL,2023,45796,,,'')&lt;/Q&gt;&lt;R&gt;1&lt;/R&gt;&lt;C&gt;1&lt;/C&gt;&lt;D xsi:type="xsd:double"&gt;100641.9&lt;/D&gt;&lt;/FQL&gt;&lt;FQL&gt;&lt;Q&gt;Ticker0024^FE_ESTIMATE(EBIT_ADJ,MEAN,NTM4_ROLL,,45796,,,'')&lt;/Q&gt;&lt;R&gt;1&lt;/R&gt;&lt;C&gt;1&lt;/C&gt;&lt;D xsi:type="xsd:double"&gt;137123.11&lt;/D&gt;&lt;/FQL&gt;&lt;FQL&gt;&lt;Q&gt;Ticker0024^FE_ESTIMATE(EBIT_ADJ,MEAN,LTM4_ROLL,,45796,,,'')&lt;/Q&gt;&lt;R&gt;1&lt;/R&gt;&lt;C&gt;1&lt;/C&gt;&lt;D xsi:type="xsd:double"&gt;122130.1&lt;/D&gt;&lt;/FQL&gt;&lt;FQL&gt;&lt;Q&gt;IBM^FE_ESTIMATE(EBIT_ADJ,MEAN,CAL4_ROLL,2026,45796,,,'')&lt;/Q&gt;&lt;R&gt;1&lt;/R&gt;&lt;C&gt;1&lt;/C&gt;&lt;D xsi:type="xsd:double"&gt;13518.99&lt;/D&gt;&lt;/FQL&gt;&lt;FQL&gt;&lt;Q&gt;IBM^FE_ESTIMATE(EBIT_ADJ,MEAN,CAL4_ROLL,2025,45796,,,'')&lt;/Q&gt;&lt;R&gt;1&lt;/R&gt;&lt;C&gt;1&lt;/C&gt;&lt;D xsi:type="xsd:double"&gt;12490.616&lt;/D&gt;&lt;/FQL&gt;&lt;FQL&gt;&lt;Q&gt;IBM^FE_ESTIMATE(EBIT_ADJ,MEAN,CAL4_ROLL,2024,45796,,,'')&lt;/Q&gt;&lt;R&gt;1&lt;/R&gt;&lt;C&gt;1&lt;/C&gt;&lt;D xsi:type="xsd:double"&gt;11312.172&lt;/D&gt;&lt;/FQL&gt;&lt;FQL&gt;&lt;Q&gt;IBM^FE_ESTIMATE(EBIT_ADJ,MEAN,CAL4_ROLL,2023,45796,,,'')&lt;/Q&gt;&lt;R&gt;1&lt;/R&gt;&lt;C&gt;1&lt;/C&gt;&lt;D xsi:type="xsd:double"&gt;10434.986&lt;/D&gt;&lt;/FQL&gt;&lt;FQL&gt;&lt;Q&gt;IBM^FE_ESTIMATE(EBIT_ADJ,MEAN,NTM4_ROLL,,45796,,,'')&lt;/Q&gt;&lt;R&gt;1&lt;/R&gt;&lt;C&gt;1&lt;/C&gt;&lt;D xsi:type="xsd:double"&gt;12941.918&lt;/D&gt;&lt;/FQL&gt;&lt;FQL&gt;&lt;Q&gt;IBM^FE_ESTIMATE(EBIT_ADJ,MEAN,LTM4_ROLL,,45796,,,'')&lt;/Q&gt;&lt;R&gt;1&lt;/R&gt;&lt;C&gt;1&lt;/C&gt;&lt;D xsi:type="xsd:double"&gt;11561.45&lt;/D&gt;&lt;/FQL&gt;&lt;FQL&gt;&lt;Q&gt;CRM^FE_ESTIMATE(EBIT_ADJ,MEAN,CAL4_ROLL,2026,45796,,,'')&lt;/Q&gt;&lt;R&gt;1&lt;/R&gt;&lt;C&gt;1&lt;/C&gt;&lt;D xsi:type="xsd:double"&gt;15515.987&lt;/D&gt;&lt;/FQL&gt;&lt;FQL&gt;&lt;Q&gt;CRM^FE_ESTIMATE(EBIT_ADJ,MEAN,CAL4_ROLL,2025,45796,,,'')&lt;/Q&gt;&lt;R&gt;1&lt;/R&gt;&lt;C&gt;1&lt;/C&gt;&lt;D xsi:type="xsd:double"&gt;13868.483&lt;/D&gt;&lt;/FQL&gt;&lt;FQL&gt;&lt;Q&gt;CRM^FE_ESTIMATE(EBIT_ADJ,MEAN,CAL4_ROLL,2024,45796,,,'')&lt;/Q&gt;&lt;R&gt;1&lt;/R&gt;&lt;C&gt;1&lt;/C&gt;&lt;D xsi:type="xsd:double"&gt;12498&lt;/D&gt;&lt;/FQL&gt;&lt;FQL&gt;&lt;Q&gt;CRM^FE_ESTIMATE(EBIT_ADJ,MEAN,CAL4_ROLL,2023,45796,,,'')&lt;/Q&gt;&lt;R&gt;1&lt;/R&gt;&lt;C&gt;1&lt;/C&gt;&lt;D xsi:type="xsd:double"&gt;10632&lt;/D&gt;&lt;/FQL&gt;&lt;FQL&gt;&lt;Q&gt;CRM^FE_ESTIMATE(EBIT_ADJ,MEAN,NTM4_ROLL,,45796,,,'')&lt;/Q&gt;&lt;R&gt;1&lt;/R&gt;&lt;C&gt;1&lt;/C&gt;&lt;D xsi:type="xsd:double"&gt;13868.483&lt;/D&gt;&lt;/FQL&gt;&lt;FQL&gt;&lt;Q&gt;CRM^FE_ESTIMATE(EBIT_ADJ,MEAN,LTM4_ROLL,,45796,,,'')&lt;/Q&gt;&lt;R&gt;1&lt;/R&gt;&lt;C&gt;1&lt;/C&gt;&lt;D xsi:type="xsd:double"&gt;12498&lt;/D&gt;&lt;/FQL&gt;&lt;FQL&gt;&lt;Q&gt;Company1341^FE_ESTIMATE(EBIT_ADJ,MEAN,CAL4_ROLL,2026,45796,,,'')&lt;/Q&gt;&lt;R&gt;1&lt;/R&gt;&lt;C&gt;1&lt;/C&gt;&lt;D xsi:type="xsd:double"&gt;8736.963&lt;/D&gt;&lt;/FQL&gt;&lt;FQL&gt;&lt;Q&gt;Company1341^FE_ESTIMATE(EBIT_ADJ,MEAN,CAL4_ROLL,2025,45796,,,'')&lt;/Q&gt;&lt;R&gt;1&lt;/R&gt;&lt;C&gt;1&lt;/C&gt;&lt;D xsi:type="xsd:double"&gt;7710.652&lt;/D&gt;&lt;/FQL&gt;&lt;FQL&gt;&lt;Q&gt;Company1341^FE_ESTIMATE(EBIT_ADJ,MEAN,CAL4_ROLL,2024,45796,,,'')&lt;/Q&gt;&lt;R&gt;1&lt;/R&gt;&lt;C&gt;1&lt;/C&gt;&lt;D xsi:type="xsd:double"&gt;6655&lt;/D&gt;&lt;/FQL&gt;&lt;FQL&gt;&lt;Q&gt;Company1341^FE_ESTIMATE(EBIT_ADJ,MEAN,CAL4_ROLL,2023,45796,,,'')&lt;/Q&gt;&lt;R&gt;1&lt;/R&gt;&lt;C&gt;1&lt;/C&gt;&lt;D xsi:type="xsd:double"&gt;5945&lt;/D&gt;&lt;/FQL&gt;&lt;FQL&gt;&lt;Q&gt;Company1341^FE_ESTIMATE(EBIT_ADJ,MEAN,NTM4_ROLL,,45796,,,'')&lt;/Q&gt;&lt;R&gt;1&lt;/R&gt;&lt;C&gt;1&lt;/C&gt;&lt;D xsi:type="xsd:double"&gt;7710.652&lt;/D&gt;&lt;/FQL&gt;&lt;FQL&gt;&lt;Q&gt;Company1341^FE_ESTIMATE(EBIT_ADJ,MEAN,LTM4_ROLL,,45796,,,'')&lt;/Q&gt;&lt;R&gt;1&lt;/R&gt;&lt;C&gt;1&lt;/C&gt;&lt;D xsi:type="xsd:double"&gt;6655&lt;/D&gt;&lt;/FQL&gt;&lt;FQL&gt;&lt;Q&gt;Company0023^FE_ESTIMATE(EBIT_ADJ,MEAN,CAL4_ROLL,2026,45796,,,'')&lt;/Q&gt;&lt;R&gt;1&lt;/R&gt;&lt;C&gt;1&lt;/C&gt;&lt;D xsi:type="xsd:double"&gt;11879.626&lt;/D&gt;&lt;/FQL&gt;&lt;FQL&gt;&lt;Q&gt;Company0023^FE_ESTIMATE(EBIT_ADJ,MEAN,CAL4_ROLL,2025,45796,,,'')&lt;/Q&gt;&lt;R&gt;1&lt;/R&gt;&lt;C&gt;1&lt;/C&gt;&lt;D xsi:type="xsd:double"&gt;10802.084&lt;/D&gt;&lt;/FQL&gt;&lt;FQL&gt;&lt;Q&gt;Company0023^FE_ESTIMATE(EBIT_ADJ,MEAN,CAL4_ROLL,2024,45796,,,'')&lt;/Q&gt;&lt;R&gt;1&lt;/R&gt;&lt;C&gt;1&lt;/C&gt;&lt;D xsi:type="xsd:double"&gt;10017.416&lt;/D&gt;&lt;/FQL&gt;&lt;FQL&gt;&lt;Q&gt;Company0023^FE_ESTIMATE(EBIT_ADJ,MEAN,CAL4_ROLL,2023,45796,,,'')&lt;/Q&gt;&lt;R&gt;1&lt;/R&gt;&lt;C&gt;1&lt;/C&gt;&lt;D xsi:type="xsd:double"&gt;8917.313&lt;/D&gt;&lt;/FQL&gt;&lt;FQL&gt;&lt;Q&gt;Company0023^FE_ESTIMATE(EBIT_ADJ,MEAN,NTM4_ROLL,,45796,,,'')&lt;/Q&gt;&lt;R&gt;1&lt;/R&gt;&lt;C&gt;1&lt;/C&gt;&lt;D xsi:type="xsd:double"&gt;11001.661&lt;/D&gt;&lt;/FQL&gt;&lt;FQL&gt;&lt;Q&gt;Company0023^FE_ESTIMATE(EBIT_ADJ,MEAN,LTM4_ROLL,,45796,,,'')&lt;/Q&gt;&lt;R&gt;1&lt;/R&gt;&lt;C&gt;1&lt;/C&gt;&lt;D xsi:type="xsd:double"&gt;10265.695&lt;/D&gt;&lt;/FQL&gt;&lt;FQL&gt;&lt;Q&gt;Company1985^FE_ESTIMATE(EBIT_ADJ,MEAN,CAL4_ROLL,2026,45796,,,'')&lt;/Q&gt;&lt;R&gt;1&lt;/R&gt;&lt;C&gt;1&lt;/C&gt;&lt;D xsi:type="xsd:double"&gt;29675.34&lt;/D&gt;&lt;/FQL&gt;&lt;FQL&gt;&lt;Q&gt;Company1985^FE_ESTIMATE(EBIT_ADJ,MEAN,CAL4_ROLL,2025,45796,,,'')&lt;/Q&gt;&lt;R&gt;1&lt;/R&gt;&lt;C&gt;1&lt;/C&gt;&lt;D xsi:type="xsd:double"&gt;25841.053&lt;/D&gt;&lt;/FQL&gt;&lt;FQL&gt;&lt;Q&gt;Company1985^FE_ESTIMATE(EBIT_ADJ,MEAN,CAL4_ROLL,2024,45796,,,'')&lt;/Q&gt;&lt;R&gt;1&lt;/R&gt;&lt;C&gt;1&lt;/C&gt;&lt;D xsi:type="xsd:double"&gt;24264.834&lt;/D&gt;&lt;/FQL&gt;&lt;FQL&gt;&lt;Q&gt;Company1985^FE_ESTIMATE(EBIT_ADJ,MEAN,CAL4_ROLL,2023,45796,,,'')&lt;/Q&gt;&lt;R&gt;1&lt;/R&gt;&lt;C&gt;1&lt;/C&gt;&lt;D xsi:type="xsd:double"&gt;21933.8&lt;/D&gt;&lt;/FQL&gt;&lt;FQL&gt;&lt;Q&gt;Company1985^FE_ESTIMATE(EBIT_ADJ,MEAN,NTM4_ROLL,,45796,,,'')&lt;/Q&gt;&lt;R&gt;1&lt;/R&gt;&lt;C&gt;1&lt;/C&gt;&lt;D xsi:type="xsd:double"&gt;26475.945&lt;/D&gt;&lt;/FQL&gt;&lt;FQL&gt;&lt;Q&gt;Company1985^FE_ESTIMATE(EBIT_ADJ,MEAN,LTM4_ROLL,,45796,,,'')&lt;/Q&gt;&lt;R&gt;1&lt;/R&gt;&lt;C&gt;1&lt;/C&gt;&lt;D xsi:type="xsd:double"&gt;24667.857&lt;/D&gt;&lt;/FQL&gt;&lt;FQL&gt;&lt;Q&gt;Company2320^FE_ESTIMATE(EBIT_ADJ,MEAN,CAL4_ROLL,2026,45796,,,'')&lt;/Q&gt;&lt;R&gt;1&lt;/R&gt;&lt;C&gt;1&lt;/C&gt;&lt;D xsi:type="xsd:double"&gt;13632.215&lt;/D&gt;&lt;/FQL&gt;&lt;FQL&gt;&lt;Q&gt;Company2320^FE_ESTIMATE(EBIT_ADJ,MEAN,CAL4_ROLL,2025,45796,,,'')&lt;/Q&gt;&lt;R&gt;1&lt;/R&gt;&lt;C&gt;1&lt;/C&gt;&lt;D xsi:type="xsd:double"&gt;11868.03&lt;/D&gt;&lt;/FQL&gt;&lt;FQL&gt;&lt;Q&gt;Company2320^FE_ESTIMATE(EBIT_ADJ,MEAN,CAL4_ROLL,2024,45796,,,'')&lt;/Q&gt;&lt;R&gt;1&lt;/R&gt;&lt;C&gt;1&lt;/C&gt;&lt;D xsi:type="xsd:double"&gt;8709.202&lt;/D&gt;&lt;/FQL&gt;&lt;FQL&gt;&lt;Q&gt;Company2320^FE_ESTIMATE(EBIT_ADJ,MEAN,CAL4_ROLL,2023,45796,,,'')&lt;/Q&gt;&lt;R&gt;1&lt;/R&gt;&lt;C&gt;1&lt;/C&gt;&lt;D xsi:type="xsd:double"&gt;9495.468&lt;/D&gt;&lt;/FQL&gt;&lt;FQL&gt;&lt;Q&gt;Company2320^FE_ESTIMATE(EBIT_ADJ,MEAN,NTM4_ROLL,,45796,,,'')&lt;/Q&gt;&lt;R&gt;1&lt;/R&gt;&lt;C&gt;1&lt;/C&gt;&lt;D xsi:type="xsd:double"&gt;12187.295&lt;/D&gt;&lt;/FQL&gt;&lt;FQL&gt;&lt;Q&gt;Company2320^FE_ESTIMATE(EBIT_ADJ,MEAN,LTM4_ROLL,,45796,,,'')&lt;/Q&gt;&lt;R&gt;1&lt;/R&gt;&lt;C&gt;1&lt;/C&gt;&lt;D xsi:type="xsd:double"&gt;9855.624&lt;/D&gt;&lt;/FQL&gt;&lt;FQL&gt;&lt;Q&gt;Company0103^FE_ESTIMATE(EBIT_ADJ,MEAN,CAL4_ROLL,2026,45796,,,'')&lt;/Q&gt;&lt;R&gt;1&lt;/R&gt;&lt;C&gt;1&lt;/C&gt;&lt;D xsi:type="xsd:double"&gt;120267.766&lt;/D&gt;&lt;/FQL&gt;&lt;FQL&gt;&lt;Q&gt;Company0103^FE_ESTIMATE(EBIT_ADJ,MEAN,CAL4_ROLL,2025,45796,,,'')&lt;/Q&gt;&lt;R&gt;1&lt;/R&gt;&lt;C&gt;1&lt;/C&gt;&lt;D xsi:type="xsd:double"&gt;98879.03&lt;/D&gt;&lt;/FQL&gt;&lt;FQL&gt;&lt;Q&gt;Company0103^FE_ESTIMATE(EBIT_ADJ,MEAN,CAL4_ROLL,2024,45796,,,'')&lt;/Q&gt;&lt;R&gt;1&lt;/R&gt;&lt;C&gt;1&lt;/C&gt;&lt;D xsi:type="xsd:double"&gt;91121.836&lt;/D&gt;&lt;/FQL&gt;&lt;FQL&gt;&lt;Q&gt;Company0103^FE_ESTIMATE(EBIT_ADJ,MEAN,CAL4_ROLL,2023,45796,,,'')&lt;/Q&gt;&lt;R&gt;1&lt;/R&gt;&lt;C&gt;1&lt;/C&gt;&lt;D xsi:type="xsd:double"&gt;61021.926&lt;/D&gt;&lt;/FQL&gt;&lt;FQL&gt;&lt;Q&gt;Company0103^FE_ESTIMATE(EBIT_ADJ,MEAN,NTM4_ROLL,,45796,,,'')&lt;/Q&gt;&lt;R&gt;1&lt;/R&gt;&lt;C&gt;1&lt;/C&gt;&lt;D xsi:type="xsd:double"&gt;103082.36&lt;/D&gt;&lt;/FQL&gt;&lt;FQL&gt;&lt;Q&gt;Company0103^FE_ESTIMATE(EBIT_ADJ,MEAN,LTM4_ROLL,,45796,,,'')&lt;/Q&gt;&lt;R&gt;1&lt;/R&gt;&lt;C&gt;1&lt;/C&gt;&lt;D xsi:type="xsd:double"&gt;93114.46&lt;/D&gt;&lt;/FQL&gt;&lt;FQL&gt;&lt;Q&gt;Ticker0013^FE_ESTIMATE(EBIT_ADJ,MEAN,CAL4_ROLL,2026,45796,,,'')&lt;/Q&gt;&lt;R&gt;1&lt;/R&gt;&lt;C&gt;1&lt;/C&gt;&lt;D xsi:type="xsd:double"&gt;150536.97&lt;/D&gt;&lt;/FQL&gt;&lt;FQL&gt;&lt;Q&gt;Ticker0013^FE_ESTIMATE(EBIT_ADJ,MEAN,CAL4_ROLL,2025,45796,,,'')&lt;/Q&gt;&lt;R&gt;1&lt;/R&gt;&lt;C&gt;1&lt;/C&gt;&lt;D xsi:type="xsd:double"&gt;141558.44&lt;/D&gt;&lt;/FQL&gt;&lt;FQL&gt;&lt;Q&gt;Ticker0013^FE_ESTIMATE(EBIT_ADJ,MEAN,CAL4_ROLL,2024,45796,,,'')&lt;/Q&gt;&lt;R&gt;1&lt;/R&gt;&lt;C&gt;1&lt;/C&gt;&lt;D xsi:type="xsd:double"&gt;126366.8&lt;/D&gt;&lt;/FQL&gt;&lt;FQL&gt;&lt;Q&gt;Ticker0013^FE_ESTIMATE(EBIT_ADJ,MEAN,CAL4_ROLL,2023,45796,,,'')&lt;/Q&gt;&lt;R&gt;1&lt;/R&gt;&lt;C&gt;1&lt;/C&gt;&lt;D xsi:type="xsd:double"&gt;103431.97&lt;/D&gt;&lt;/FQL&gt;&lt;FQL&gt;&lt;Q&gt;Ticker0013^FE_ESTIMATE(EBIT_ADJ,MEAN,NTM4_ROLL,,45796,,,'')&lt;/Q&gt;&lt;R&gt;1&lt;/R&gt;&lt;C&gt;1&lt;/C&gt;&lt;D xsi:type="xsd:double"&gt;142419.69&lt;/D&gt;&lt;/FQL&gt;&lt;FQL&gt;&lt;Q&gt;Ticker0013^FE_ESTIMATE(EBIT_ADJ,MEAN,LTM4_ROLL,,45796,,,'')&lt;/Q&gt;&lt;R&gt;1&lt;/R&gt;&lt;C&gt;1&lt;/C&gt;&lt;D xsi:type="xsd:double"&gt;130675.664&lt;/D&gt;&lt;/FQL&gt;&lt;FQL&gt;&lt;Q&gt;Ticker0024^FE_ESTIMATE(GROSS_INC,MEAN,CAL4_ROLL,2026,45796,,,'')&lt;/Q&gt;&lt;R&gt;1&lt;/R&gt;&lt;C&gt;1&lt;/C&gt;&lt;D xsi:type="xsd:double"&gt;227085.42&lt;/D&gt;&lt;/FQL&gt;&lt;FQL&gt;&lt;Q&gt;Ticker0024^FE_ESTIMATE(GROSS_INC,MEAN,CAL4_ROLL,2025,45796,,,'')&lt;/Q&gt;&lt;R&gt;1&lt;/R&gt;&lt;C&gt;1&lt;/C&gt;&lt;D xsi:type="xsd:double"&gt;202009.88&lt;/D&gt;&lt;/FQL&gt;&lt;FQL&gt;&lt;Q&gt;Ticker0024^FE_ESTIMATE(GROSS_INC,MEAN,CAL4_ROLL,2024,45796,,,'')&lt;/Q&gt;&lt;R&gt;1&lt;/R&gt;&lt;C&gt;1&lt;/C&gt;&lt;D xsi:type="xsd:double"&gt;181703.53&lt;/D&gt;&lt;/FQL&gt;&lt;FQL&gt;&lt;Q&gt;Ticker0024^FE_ESTIMATE(GROSS_INC,MEAN,CAL4_ROLL,2023,45796,,,'')&lt;/Q&gt;&lt;R&gt;1&lt;/R&gt;&lt;C&gt;1&lt;/C&gt;&lt;D xsi:type="xsd:double"&gt;158729.31&lt;/D&gt;&lt;/FQL&gt;&lt;FQL&gt;&lt;Q&gt;Ticker0024^FE_ESTIMATE(GROSS_INC,MEAN,NTM4_ROLL,,45796,,,'')&lt;/Q&gt;&lt;R&gt;1&lt;/R&gt;&lt;C&gt;1&lt;/C&gt;&lt;D xsi:type="xsd:double"&gt;207739.72&lt;/D&gt;&lt;/FQL&gt;&lt;FQL&gt;&lt;Q&gt;Ticker0024^FE_ESTIMATE(GROSS_INC,MEAN,LTM4_ROLL,,45796,,,'')&lt;/Q&gt;&lt;R&gt;1&lt;/R&gt;&lt;C&gt;1&lt;/C&gt;&lt;D xsi:type="xsd:double"&gt;186494.84</t>
        </r>
      </text>
    </comment>
    <comment ref="A56" authorId="0" shapeId="0" xr:uid="{FD938EC0-D0C9-462B-9AC0-0A4F4B3653AD}">
      <text>
        <r>
          <rPr>
            <b/>
            <sz val="9"/>
            <color indexed="81"/>
            <rFont val="Tahoma"/>
            <family val="2"/>
          </rPr>
          <t>&lt;/D&gt;&lt;/FQL&gt;&lt;FQL&gt;&lt;Q&gt;IBM^FE_ESTIMATE(GROSS_INC,MEAN,CAL4_ROLL,2026,45796,,,'')&lt;/Q&gt;&lt;R&gt;1&lt;/R&gt;&lt;C&gt;1&lt;/C&gt;&lt;D xsi:type="xsd:double"&gt;40336.684&lt;/D&gt;&lt;/FQL&gt;&lt;FQL&gt;&lt;Q&gt;IBM^FE_ESTIMATE(GROSS_INC,MEAN,CAL4_ROLL,2025,45796,,,'')&lt;/Q&gt;&lt;R&gt;1&lt;/R&gt;&lt;C&gt;1&lt;/C&gt;&lt;D xsi:type="xsd:double"&gt;38831.91&lt;/D&gt;&lt;/FQL&gt;&lt;FQL&gt;&lt;Q&gt;IBM^FE_ESTIMATE(GROSS_INC,MEAN,CAL4_ROLL,2024,45796,,,'')&lt;/Q&gt;&lt;R&gt;1&lt;/R&gt;&lt;C&gt;1&lt;/C&gt;&lt;D xsi:type="xsd:double"&gt;36243.547&lt;/D&gt;&lt;/FQL&gt;&lt;FQL&gt;&lt;Q&gt;IBM^FE_ESTIMATE(GROSS_INC,MEAN,CAL4_ROLL,2023,45796,,,'')&lt;/Q&gt;&lt;R&gt;1&lt;/R&gt;&lt;C&gt;1&lt;/C&gt;&lt;D xsi:type="xsd:double"&gt;34833.254&lt;/D&gt;&lt;/FQL&gt;&lt;FQL&gt;&lt;Q&gt;IBM^FE_ESTIMATE(GROSS_INC,MEAN,NTM4_ROLL,,45796,,,'')&lt;/Q&gt;&lt;R&gt;1&lt;/R&gt;&lt;C&gt;1&lt;/C&gt;&lt;D xsi:type="xsd:double"&gt;39305.195&lt;/D&gt;&lt;/FQL&gt;&lt;FQL&gt;&lt;Q&gt;IBM^FE_ESTIMATE(GROSS_INC,MEAN,LTM4_ROLL,,45796,,,'')&lt;/Q&gt;&lt;R&gt;1&lt;/R&gt;&lt;C&gt;1&lt;/C&gt;&lt;D xsi:type="xsd:double"&gt;36571.668&lt;/D&gt;&lt;/FQL&gt;&lt;FQL&gt;&lt;Q&gt;CRM^FE_ESTIMATE(GROSS_INC,MEAN,CAL4_ROLL,2026,45796,,,'')&lt;/Q&gt;&lt;R&gt;1&lt;/R&gt;&lt;C&gt;1&lt;/C&gt;&lt;D xsi:type="xsd:double"&gt;35641.742&lt;/D&gt;&lt;/FQL&gt;&lt;FQL&gt;&lt;Q&gt;CRM^FE_ESTIMATE(GROSS_INC,MEAN,CAL4_ROLL,2025,45796,,,'')&lt;/Q&gt;&lt;R&gt;1&lt;/R&gt;&lt;C&gt;1&lt;/C&gt;&lt;D xsi:type="xsd:double"&gt;32807.016&lt;/D&gt;&lt;/FQL&gt;&lt;FQL&gt;&lt;Q&gt;CRM^FE_ESTIMATE(GROSS_INC,MEAN,CAL4_ROLL,2024,45796,,,'')&lt;/Q&gt;&lt;R&gt;1&lt;/R&gt;&lt;C&gt;1&lt;/C&gt;&lt;D xsi:type="xsd:double"&gt;30389.63&lt;/D&gt;&lt;/FQL&gt;&lt;FQL&gt;&lt;Q&gt;CRM^FE_ESTIMATE(GROSS_INC,MEAN,CAL4_ROLL,2023,45796,,,'')&lt;/Q&gt;&lt;R&gt;1&lt;/R&gt;&lt;C&gt;1&lt;/C&gt;&lt;D xsi:type="xsd:double"&gt;27602.195&lt;/D&gt;&lt;/FQL&gt;&lt;FQL&gt;&lt;Q&gt;CRM^FE_ESTIMATE(GROSS_INC,MEAN,NTM4_ROLL,,45796,,,'')&lt;/Q&gt;&lt;R&gt;1&lt;/R&gt;&lt;C&gt;1&lt;/C&gt;&lt;D xsi:type="xsd:double"&gt;32807.016&lt;/D&gt;&lt;/FQL&gt;&lt;FQL&gt;&lt;Q&gt;CRM^FE_ESTIMATE(GROSS_INC,MEAN,LTM4_ROLL,,45796,,,'')&lt;/Q&gt;&lt;R&gt;1&lt;/R&gt;&lt;C&gt;1&lt;/C&gt;&lt;D xsi:type="xsd:double"&gt;30389.63&lt;/D&gt;&lt;/FQL&gt;&lt;FQL&gt;&lt;Q&gt;Company1341^FE_ESTIMATE(GROSS_INC,MEAN,CAL4_ROLL,2026,45796,,,'')&lt;/Q&gt;&lt;R&gt;1&lt;/R&gt;&lt;C&gt;1&lt;/C&gt;&lt;D xsi:type="xsd:double"&gt;17756.25&lt;/D&gt;&lt;/FQL&gt;&lt;FQL&gt;&lt;Q&gt;Company1341^FE_ESTIMATE(GROSS_INC,MEAN,CAL4_ROLL,2025,45796,,,'')&lt;/Q&gt;&lt;R&gt;1&lt;/R&gt;&lt;C&gt;1&lt;/C&gt;&lt;D xsi:type="xsd:double"&gt;15911.718&lt;/D&gt;&lt;/FQL&gt;&lt;FQL&gt;&lt;Q&gt;Company1341^FE_ESTIMATE(GROSS_INC,MEAN,CAL4_ROLL,2024,45796,,,'')&lt;/Q&gt;&lt;R&gt;1&lt;/R&gt;&lt;C&gt;1&lt;/C&gt;&lt;D xsi:type="xsd:double"&gt;14063.704&lt;/D&gt;&lt;/FQL&gt;&lt;FQL&gt;&lt;Q&gt;Company1341^FE_ESTIMATE(GROSS_INC,MEAN,CAL4_ROLL,2023,45796,,,'')&lt;/Q&gt;&lt;R&gt;1&lt;/R&gt;&lt;C&gt;1&lt;/C&gt;&lt;D xsi:type="xsd:double"&gt;12198.407&lt;/D&gt;&lt;/FQL&gt;&lt;FQL&gt;&lt;Q&gt;Company1341^FE_ESTIMATE(GROSS_INC,MEAN,NTM4_ROLL,,45796,,,'')&lt;/Q&gt;&lt;R&gt;1&lt;/R&gt;&lt;C&gt;1&lt;/C&gt;&lt;D xsi:type="xsd:double"&gt;15911.718&lt;/D&gt;&lt;/FQL&gt;&lt;FQL&gt;&lt;Q&gt;Company1341^FE_ESTIMATE(GROSS_INC,MEAN,LTM4_ROLL,,45796,,,'')&lt;/Q&gt;&lt;R&gt;1&lt;/R&gt;&lt;C&gt;1&lt;/C&gt;&lt;D xsi:type="xsd:double"&gt;14063.704&lt;/D&gt;&lt;/FQL&gt;&lt;FQL&gt;&lt;Q&gt;Company0023^FE_ESTIMATE(GROSS_INC,MEAN,CAL4_ROLL,2026,45796,,,'')&lt;/Q&gt;&lt;R&gt;1&lt;/R&gt;&lt;C&gt;1&lt;/C&gt;&lt;D xsi:type="xsd:double"&gt;23096.424&lt;/D&gt;&lt;/FQL&gt;&lt;FQL&gt;&lt;Q&gt;Company0023^FE_ESTIMATE(GROSS_INC,MEAN,CAL4_ROLL,2025,45796,,,'')&lt;/Q&gt;&lt;R&gt;1&lt;/R&gt;&lt;C&gt;1&lt;/C&gt;&lt;D xsi:type="xsd:double"&gt;21113.3&lt;/D&gt;&lt;/FQL&gt;&lt;FQL&gt;&lt;Q&gt;Company0023^FE_ESTIMATE(GROSS_INC,MEAN,CAL4_ROLL,2024,45796,,,'')&lt;/Q&gt;&lt;R&gt;1&lt;/R&gt;&lt;C&gt;1&lt;/C&gt;&lt;D xsi:type="xsd:double"&gt;19295.053&lt;/D&gt;&lt;/FQL&gt;&lt;FQL&gt;&lt;Q&gt;Company0023^FE_ESTIMATE(GROSS_INC,MEAN,CAL4_ROLL,2023,45796,,,'')&lt;/Q&gt;&lt;R&gt;1&lt;/R&gt;&lt;C&gt;1&lt;/C&gt;&lt;D xsi:type="xsd:double"&gt;17310.389&lt;/D&gt;&lt;/FQL&gt;&lt;FQL&gt;&lt;Q&gt;Company0023^FE_ESTIMATE(GROSS_INC,MEAN,NTM4_ROLL,,45796,,,'')&lt;/Q&gt;&lt;R&gt;1&lt;/R&gt;&lt;C&gt;1&lt;/C&gt;&lt;D xsi:type="xsd:double"&gt;21550.135&lt;/D&gt;&lt;/FQL&gt;&lt;FQL&gt;&lt;Q&gt;Company0023^FE_ESTIMATE(GROSS_INC,MEAN,LTM4_ROLL,,45796,,,'')&lt;/Q&gt;&lt;R&gt;1&lt;/R&gt;&lt;C&gt;1&lt;/C&gt;&lt;D xsi:type="xsd:double"&gt;19848.838&lt;/D&gt;&lt;/FQL&gt;&lt;FQL&gt;&lt;Q&gt;Company1985^FE_ESTIMATE(GROSS_INC,MEAN,CAL4_ROLL,2026,45796,,,'')&lt;/Q&gt;&lt;R&gt;1&lt;/R&gt;&lt;C&gt;1&lt;/C&gt;&lt;D xsi:type="xsd:double"&gt;49365.3&lt;/D&gt;&lt;/FQL&gt;&lt;FQL&gt;&lt;Q&gt;Company1985^FE_ESTIMATE(GROSS_INC,MEAN,CAL4_ROLL,2025,45796,,,'')&lt;/Q&gt;&lt;R&gt;1&lt;/R&gt;&lt;C&gt;1&lt;/C&gt;&lt;D xsi:type="xsd:double"&gt;43079.3&lt;/D&gt;&lt;/FQL&gt;&lt;FQL&gt;&lt;Q&gt;Company1985^FE_ESTIMATE(GROSS_INC,MEAN,CAL4_ROLL,2024,45796,,,'')&lt;/Q&gt;&lt;R&gt;1&lt;/R&gt;&lt;C&gt;1&lt;/C&gt;&lt;D xsi:type="xsd:double"&gt;39915.637&lt;/D&gt;&lt;/FQL&gt;&lt;FQL&gt;&lt;Q&gt;Company1985^FE_ESTIMATE(GROSS_INC,MEAN,CAL4_ROLL,2023,45796,,,'')&lt;/Q&gt;&lt;R&gt;1&lt;/R&gt;&lt;C&gt;1&lt;/C&gt;&lt;D xsi:type="xsd:double"&gt;37717.715&lt;/D&gt;&lt;/FQL&gt;&lt;FQL&gt;&lt;Q&gt;Company1985^FE_ESTIMATE(GROSS_INC,MEAN,NTM4_ROLL,,45796,,,'')&lt;/Q&gt;&lt;R&gt;1&lt;/R&gt;&lt;C&gt;1&lt;/C&gt;&lt;D xsi:type="xsd:double"&gt;44341.54&lt;/D&gt;&lt;/FQL&gt;&lt;FQL&gt;&lt;Q&gt;Company1985^FE_ESTIMATE(GROSS_INC,MEAN,LTM4_ROLL,,45796,,,'')&lt;/Q&gt;&lt;R&gt;1&lt;/R&gt;&lt;C&gt;1&lt;/C&gt;&lt;D xsi:type="xsd:double"&gt;40494.85&lt;/D&gt;&lt;/FQL&gt;&lt;FQL&gt;&lt;Q&gt;Company2320^FE_ESTIMATE(GROSS_INC,MEAN,CAL4_ROLL,2026,45796,,,'')&lt;/Q&gt;&lt;R&gt;1&lt;/R&gt;&lt;C&gt;1&lt;/C&gt;&lt;D xsi:type="xsd:double"&gt;34855.48&lt;/D&gt;&lt;/FQL&gt;&lt;FQL&gt;&lt;Q&gt;Company2320^FE_ESTIMATE(GROSS_INC,MEAN,CAL4_ROLL,2025,45796,,,'')&lt;/Q&gt;&lt;R&gt;1&lt;/R&gt;&lt;C&gt;1&lt;/C&gt;&lt;D xsi:type="xsd:double"&gt;31060.072&lt;/D&gt;&lt;/FQL&gt;&lt;FQL&gt;&lt;Q&gt;Company2320^FE_ESTIMATE(GROSS_INC,MEAN,CAL4_ROLL,2024,45796,,,'')&lt;/Q&gt;&lt;R&gt;1&lt;/R&gt;&lt;C&gt;1&lt;/C&gt;&lt;D xsi:type="xsd:double"&gt;26742.303&lt;/D&gt;&lt;/FQL&gt;&lt;FQL&gt;&lt;Q&gt;Company2320^FE_ESTIMATE(GROSS_INC,MEAN,CAL4_ROLL,2023,45796,,,'')&lt;/Q&gt;&lt;R&gt;1&lt;/R&gt;&lt;C&gt;1&lt;/C&gt;&lt;D xsi:type="xsd:double"&gt;24928.896&lt;/D&gt;&lt;/FQL&gt;&lt;FQL&gt;&lt;Q&gt;Company2320^FE_ESTIMATE(GROSS_INC,MEAN,NTM4_ROLL,,45796,,,'')&lt;/Q&gt;&lt;R&gt;1&lt;/R&gt;&lt;C&gt;1&lt;/C&gt;&lt;D xsi:type="xsd:double"&gt;31829.555&lt;/D&gt;&lt;/FQL&gt;&lt;FQL&gt;&lt;Q&gt;Company2320^FE_ESTIMATE(GROSS_INC,MEAN,LTM4_ROLL,,45796,,,'')&lt;/Q&gt;&lt;R&gt;1&lt;/R&gt;&lt;C&gt;1&lt;/C&gt;&lt;D xsi:type="xsd:double"&gt;28051.256&lt;/D&gt;&lt;/FQL&gt;&lt;FQL&gt;&lt;Q&gt;Company0103^FE_ESTIMATE(GROSS_INC,MEAN,CAL4_ROLL,2026,45796,,,'')&lt;/Q&gt;&lt;R&gt;1&lt;/R&gt;&lt;C&gt;1&lt;/C&gt;&lt;D xsi:type="xsd:double"&gt;378675.3&lt;/D&gt;&lt;/FQL&gt;&lt;FQL&gt;&lt;Q&gt;Company0103^FE_ESTIMATE(GROSS_INC,MEAN,CAL4_ROLL,2025,45796,,,'')&lt;/Q&gt;&lt;R&gt;1&lt;/R&gt;&lt;C&gt;1&lt;/C&gt;&lt;D xsi:type="xsd:double"&gt;343209.56&lt;/D&gt;&lt;/FQL&gt;&lt;FQL&gt;&lt;Q&gt;Company0103^FE_ESTIMATE(GROSS_INC,MEAN,CAL4_ROLL,2024,45796,,,'')&lt;/Q&gt;&lt;R&gt;1&lt;/R&gt;&lt;C&gt;1&lt;/C&gt;&lt;D xsi:type="xsd:double"&gt;311922.3&lt;/D&gt;&lt;/FQL&gt;&lt;FQL&gt;&lt;Q&gt;Company0103^FE_ESTIMATE(GROSS_INC,MEAN,CAL4_ROLL,2023,45796,,,'')&lt;/Q&gt;&lt;R&gt;1&lt;/R&gt;&lt;C&gt;1&lt;/C&gt;&lt;D xsi:type="xsd:double"&gt;270395.66&lt;/D&gt;&lt;/FQL&gt;&lt;FQL&gt;&lt;Q&gt;Company0103^FE_ESTIMATE(GROSS_INC,MEAN,NTM4_ROLL,,45796,,,'')&lt;/Q&gt;&lt;R&gt;1&lt;/R&gt;&lt;C&gt;1&lt;/C&gt;&lt;D xsi:type="xsd:double"&gt;350954.16&lt;/D&gt;&lt;/FQL&gt;&lt;FQL&gt;&lt;Q&gt;Company0103^FE_ESTIMATE(GROSS_INC,MEAN,LTM4_ROLL,,45796,,,'')&lt;/Q&gt;&lt;R&gt;1&lt;/R&gt;&lt;C&gt;1&lt;/C&gt;&lt;D xsi:type="xsd:double"&gt;319926.88&lt;/D&gt;&lt;/FQL&gt;&lt;FQL&gt;&lt;Q&gt;Ticker0013^FE_ESTIMATE(GROSS_INC,MEAN,CAL4_ROLL,2026,45796,,,'')&lt;/Q&gt;&lt;R&gt;1&lt;/R&gt;&lt;C&gt;1&lt;/C&gt;&lt;D xsi:type="xsd:double"&gt;248840.88&lt;/D&gt;&lt;/FQL&gt;&lt;FQL&gt;&lt;Q&gt;Ticker0013^FE_ESTIMATE(GROSS_INC,MEAN,CAL4_ROLL,2025,45796,,,'')&lt;/Q&gt;&lt;R&gt;1&lt;/R&gt;&lt;C&gt;1&lt;/C&gt;&lt;D xsi:type="xsd:double"&gt;227666.53&lt;/D&gt;&lt;/FQL&gt;&lt;FQL&gt;&lt;Q&gt;Ticker0013^FE_ESTIMATE(GROSS_INC,MEAN,CAL4_ROLL,2024,45796,,,'')&lt;/Q&gt;&lt;R&gt;1&lt;/R&gt;&lt;C&gt;1&lt;/C&gt;&lt;D xsi:type="xsd:double"&gt;203895.58&lt;/D&gt;&lt;/FQL&gt;&lt;FQL&gt;&lt;Q&gt;Ticker0013^FE_ESTIMATE(GROSS_INC,MEAN,CAL4_ROLL,2023,45796,,,'')&lt;/Q&gt;&lt;R&gt;1&lt;/R&gt;&lt;C&gt;1&lt;/C&gt;&lt;D xsi:type="xsd:double"&gt;174387&lt;/D&gt;&lt;/FQL&gt;&lt;FQL&gt;&lt;Q&gt;Ticker0013^FE_ESTIMATE(GROSS_INC,MEAN,NTM4_ROLL,,45796,,,'')&lt;/Q&gt;&lt;R&gt;1&lt;/R&gt;&lt;C&gt;1&lt;/C&gt;&lt;D xsi:type="xsd:double"&gt;232271.4&lt;/D&gt;&lt;/FQL&gt;&lt;FQL&gt;&lt;Q&gt;Ticker0013^FE_ESTIMATE(GROSS_INC,MEAN,LTM4_ROLL,,45796,,,'')&lt;/Q&gt;&lt;R&gt;1&lt;/R&gt;&lt;C&gt;1&lt;/C&gt;&lt;D xsi:type="xsd:double"&gt;210919.33&lt;/D&gt;&lt;/FQL&gt;&lt;FQL&gt;&lt;Q&gt;Ticker0024^FE_ESTIMATE(SALES,MEAN,CAL4_ROLL,2026,45796,,,'')&lt;/Q&gt;&lt;R&gt;1&lt;/R&gt;&lt;C&gt;1&lt;/C&gt;&lt;D xsi:type="xsd:double"&gt;335869.7&lt;/D&gt;&lt;/FQL&gt;&lt;FQL&gt;&lt;Q&gt;Ticker0024^FE_ESTIMATE(SALES,MEAN,CAL4_ROLL,2025,45796,,,'')&lt;/Q&gt;&lt;R&gt;1&lt;/R&gt;&lt;C&gt;1&lt;/C&gt;&lt;D xsi:type="xsd:double"&gt;296493.2&lt;/D&gt;&lt;/FQL&gt;&lt;FQL&gt;&lt;Q&gt;Ticker0024^FE_ESTIMATE(SALES,MEAN,CAL4_ROLL,2024,45796,,,'')&lt;/Q&gt;&lt;R&gt;1&lt;/R&gt;&lt;C&gt;1&lt;/C&gt;&lt;D xsi:type="xsd:double"&gt;261802&lt;/D&gt;&lt;/FQL&gt;&lt;FQL&gt;&lt;Q&gt;Ticker0024^FE_ESTIMATE(SALES,MEAN,CAL4,2023,45796,,,'')&lt;/Q&gt;&lt;R&gt;1&lt;/R&gt;&lt;C&gt;1&lt;/C&gt;&lt;D xsi:type="xsd:double"&gt;227583&lt;/D&gt;&lt;/FQL&gt;&lt;FQL&gt;&lt;Q&gt;Ticker0024^FE_ESTIMATE(SALES,MEAN,NTM4_ROLL,,45796,,,'')&lt;/Q&gt;&lt;R&gt;1&lt;/R&gt;&lt;C&gt;1&lt;/C&gt;&lt;D xsi:type="xsd:double"&gt;305737.16&lt;/D&gt;&lt;/FQL&gt;&lt;FQL&gt;&lt;Q&gt;Ticker0024^FE_ESTIMATE(SALES,MEAN,LTM4_ROLL,,45796,,,'')&lt;/Q&gt;&lt;R&gt;1&lt;/R&gt;&lt;C&gt;1&lt;/C&gt;&lt;D xsi:type="xsd:double"&gt;270010&lt;/D&gt;&lt;/FQL&gt;&lt;FQL&gt;&lt;Q&gt;Ticker0024^FF_ENTRPR_VAL_DAILY(45796,,,,,"DIL")&lt;/Q&gt;&lt;R&gt;1&lt;/R&gt;&lt;C&gt;1&lt;/C&gt;&lt;D xsi:type="xsd:double"&gt;3414709.47&lt;/D&gt;&lt;/FQL&gt;&lt;FQL&gt;&lt;Q&gt;Ticker0024^FREF_MARKET_VALUE_COMPANY(45796,,,,,0,,"LEGACY")&lt;/Q&gt;&lt;R&gt;1&lt;/R&gt;&lt;C&gt;1&lt;/C&gt;&lt;D xsi:type="xsd:double"&gt;3410571.5&lt;/D&gt;&lt;/FQL&gt;&lt;FQL&gt;&lt;Q&gt;IBM^FE_ESTIMATE(SALES,MEAN,CAL4_ROLL,2026,45796,,,'')&lt;/Q&gt;&lt;R&gt;1&lt;/R&gt;&lt;C&gt;1&lt;/C&gt;&lt;D xsi:type="xsd:double"&gt;68758.86&lt;/D&gt;&lt;/FQL&gt;&lt;FQL&gt;&lt;Q&gt;IBM^FE_ESTIMATE(SALES,MEAN,CAL4_ROLL,2025,45796,,,'')&lt;/Q&gt;&lt;R&gt;1&lt;/R&gt;&lt;C&gt;1&lt;/C&gt;&lt;D xsi:type="xsd:double"&gt;66175.36&lt;/D&gt;&lt;/FQL&gt;&lt;FQL&gt;&lt;Q&gt;IBM^FE_ESTIMATE(SALES,MEAN,CAL4_ROLL,2024,45796,,,'')&lt;/Q&gt;&lt;R&gt;1&lt;/R&gt;&lt;C&gt;1&lt;/C&gt;&lt;D xsi:type="xsd:double"&gt;62753&lt;/D&gt;&lt;/FQL&gt;&lt;FQL&gt;&lt;Q&gt;IBM^FE_ESTIMATE(SALES,MEAN,CAL4,2023,45796,,,'')&lt;/Q&gt;&lt;R&gt;1&lt;/R&gt;&lt;C&gt;1&lt;/C&gt;&lt;D xsi:type="xsd:double"&gt;61860&lt;/D&gt;&lt;/FQL&gt;&lt;FQL&gt;&lt;Q&gt;IBM^FE_ESTIMATE(SALES,MEAN,NTM4_ROLL,,45796,,,'')&lt;/Q&gt;&lt;R&gt;1&lt;/R&gt;&lt;C&gt;1&lt;/C&gt;&lt;D xsi:type="xsd:double"&gt;66970.266&lt;/D&gt;&lt;/FQL&gt;&lt;FQL&gt;&lt;Q&gt;IBM^FE_ESTIMATE(SALES,MEAN,LTM4_ROLL,,45796,,,'')&lt;/Q&gt;&lt;R&gt;1&lt;/R&gt;&lt;C&gt;1&lt;/C&gt;&lt;D xsi:type="xsd:double"&gt;62832&lt;/D&gt;&lt;/FQL&gt;&lt;FQL&gt;&lt;Q&gt;IBM^FF_ENTRPR_VAL_DAILY(45796,,,,,"DIL")&lt;/Q&gt;&lt;R&gt;1&lt;/R&gt;&lt;C&gt;1&lt;/C&gt;&lt;D xsi:type="xsd:double"&gt;301502.42876804&lt;/D&gt;&lt;/FQL&gt;&lt;FQL&gt;&lt;Q&gt;IBM^FREF_MARKET_VALUE_COMPANY(45796,,,,,0,,"LEGACY")&lt;/Q&gt;&lt;R&gt;1&lt;/R&gt;&lt;C&gt;1&lt;/C&gt;&lt;D xsi:type="xsd:double"&gt;249459.328125&lt;/D&gt;&lt;/FQL&gt;&lt;FQL&gt;&lt;Q&gt;CRM^FE_ESTIMATE(SALES,MEAN,CAL4_ROLL,2026,45796,,,'')&lt;/Q&gt;&lt;R&gt;1&lt;/R&gt;&lt;C&gt;1&lt;/C&gt;&lt;D xsi:type="xsd:double"&gt;44301.938&lt;/D&gt;&lt;/FQL&gt;&lt;FQL&gt;&lt;Q&gt;CRM^FE_ESTIMATE(SALES,MEAN,CAL4_ROLL,2025,45796,,,'')&lt;/Q&gt;&lt;R&gt;1&lt;/R&gt;&lt;C&gt;1&lt;/C&gt;&lt;D xsi:type="xsd:double"&gt;40779.3&lt;/D&gt;&lt;/FQL&gt;&lt;FQL&gt;&lt;Q&gt;CRM^FE_ESTIMATE(SALES,MEAN,CAL4_ROLL,2024,45796,,,'')&lt;/Q&gt;&lt;R&gt;1&lt;/R&gt;&lt;C&gt;1&lt;/C&gt;&lt;D xsi:type="xsd:double"&gt;37895&lt;/D&gt;&lt;/FQL&gt;&lt;FQL&gt;&lt;Q&gt;CRM^FE_ESTIMATE(SALES,MEAN,CAL4,2023,45796,,,'')&lt;/Q&gt;&lt;R&gt;1&lt;/R&gt;&lt;C&gt;1&lt;/C&gt;&lt;D xsi:type="xsd:double"&gt;34857&lt;/D&gt;&lt;/FQL&gt;&lt;FQL&gt;&lt;Q&gt;CRM^FE_ESTIMATE(SALES,MEAN,NTM4_ROLL,,45796,,,'')&lt;/Q&gt;&lt;R&gt;1&lt;/R&gt;&lt;C&gt;1&lt;/C&gt;&lt;D xsi:type="xsd:double"&gt;40779.3&lt;/D&gt;&lt;/FQL&gt;&lt;FQL&gt;&lt;Q&gt;CRM^FE_ESTIMATE(SALES,MEAN,LTM4_ROLL,,45796,,,'')&lt;/Q&gt;&lt;R&gt;1&lt;/R&gt;&lt;C&gt;1&lt;/C&gt;&lt;D xsi:type="xsd:double"&gt;37895&lt;/D&gt;&lt;/FQL&gt;&lt;FQL&gt;&lt;Q&gt;CRM^FF_ENTRPR_VAL_DAILY(45796,,,,,"DIL")&lt;/Q&gt;&lt;R&gt;1&lt;/R&gt;&lt;C&gt;1&lt;/C&gt;&lt;D xsi:type="xsd:double"&gt;278189.62&lt;/D&gt;&lt;/FQL&gt;&lt;FQL&gt;&lt;Q&gt;CRM^FREF_MARKET_VALUE_COMPANY(45796,,,,,0,,"LEGACY")&lt;/Q&gt;&lt;R&gt;1&lt;/R&gt;&lt;C&gt;1&lt;/C&gt;&lt;D xsi:type="xsd:double"&gt;275973.375&lt;/D&gt;&lt;/FQL&gt;&lt;FQL&gt;&lt;Q&gt;Company1341^FE_ESTIMATE(SALES,MEAN,CAL4_ROLL,2026,45796,,,'')&lt;/Q&gt;&lt;R&gt;1&lt;/R&gt;&lt;C&gt;1&lt;/C&gt;&lt;D xsi:type="xsd:double"&gt;21590.104&lt;/D&gt;&lt;/FQL&gt;&lt;FQL&gt;&lt;Q&gt;Company1341^FE_ESTIMATE(SALES,MEAN,CAL4_ROLL,2025,45796,,,'')&lt;/Q&gt;&lt;R&gt;1&lt;/R&gt;&lt;C&gt;1&lt;/C&gt;&lt;D xsi:type="xsd:double"&gt;19312.633&lt;/D&gt;&lt;/FQL&gt;&lt;FQL&gt;&lt;Q&gt;Company1341^FE_ESTIMATE(SALES,MEAN,CAL4_ROLL,2024,45796,,,'')&lt;/Q&gt;&lt;R&gt;1&lt;/R&gt;&lt;C&gt;1&lt;/C&gt;&lt;D xsi:type="xsd:double"&gt;17167&lt;/D&gt;&lt;/FQL&gt;&lt;FQL&gt;&lt;Q&gt;Company1341^FE_ESTIMATE(SALES,MEAN,CAL4,2023,45796,,,'')&lt;/Q&gt;&lt;R&gt;1&lt;/R&gt;&lt;C&gt;1&lt;/C&gt;&lt;D xsi:type="xsd:double"&gt;15094&lt;/D&gt;&lt;/FQL&gt;&lt;FQL&gt;&lt;Q&gt;Company1341^FE_ESTIMATE(SALES,MEAN,NTM4_ROLL,,45796,,,'')&lt;/Q&gt;&lt;R&gt;1&lt;/R&gt;&lt;C&gt;1&lt;/C&gt;&lt;D xsi:type="xsd:double"&gt;19312.633&lt;/D&gt;&lt;/FQL&gt;&lt;FQL&gt;&lt;Q&gt;Company1341^FE_ESTIMATE(SALES,MEAN,LTM4_ROLL,,45796,,,'')&lt;/Q&gt;&lt;R&gt;1&lt;/R&gt;&lt;C&gt;1&lt;/C&gt;&lt;D xsi:type="xsd:double"&gt;17167&lt;/D&gt;&lt;/FQL&gt;&lt;FQL&gt;&lt;Q&gt;Company1341^FF_ENTRPR_VAL_DAILY(45796,,,,,"DIL")&lt;/Q&gt;&lt;R&gt;1&lt;/R&gt;&lt;C&gt;1&lt;/C&gt;&lt;D xsi:type="xsd:double"&gt;194122.24&lt;/D&gt;&lt;/FQL&gt;&lt;FQL&gt;&lt;Q&gt;Company1341^FREF_MARKET_VALUE_COMPANY(45796,,,,,0,,"LEGACY")&lt;/Q&gt;&lt;R&gt;1&lt;/R&gt;&lt;C&gt;1&lt;/C&gt;&lt;D xsi:type="xsd:double"&gt;187546.96875&lt;/D&gt;&lt;/FQL&gt;&lt;FQL&gt;&lt;Q&gt;Company0023^FE_ESTIMATE(SALES,MEAN,CAL4_ROLL,2026,45796,,,'')&lt;/Q&gt;&lt;R&gt;1&lt;/R&gt;&lt;C&gt;1&lt;/C&gt;&lt;D xsi:type="xsd:double"&gt;25692.145&lt;/D&gt;&lt;/FQL&gt;&lt;FQL&gt;&lt;Q&gt;Company0023^FE_ESTIMATE(SALES,MEAN,CAL4_ROLL,2025,45796,,,'')&lt;/Q&gt;&lt;R&gt;1&lt;/R&gt;&lt;C&gt;1&lt;/C&gt;&lt;D xsi:type="xsd:double"&gt;23472.754&lt;/D&gt;&lt;/FQL&gt;&lt;FQL&gt;&lt;Q&gt;Company0023^FE_ESTIMATE(SALES,MEAN,CAL4_ROLL,2024,45796,,,'')&lt;/Q&gt;&lt;R&gt;1&lt;/R&gt;&lt;C&gt;1&lt;/C&gt;&lt;D xsi:type="xsd:double"&gt;21505&lt;/D&gt;&lt;/FQL&gt;&lt;FQL&gt;&lt;Q&gt;Company0023^FE_ESTIMATE(SALES,MEAN,CAL4,2023,45796,,,'')&lt;/Q&gt;&lt;R&gt;1&lt;/R&gt;&lt;C&gt;1&lt;/C&gt;&lt;D xsi:type="xsd:double"&gt;19409&lt;/D&gt;&lt;/FQL&gt;&lt;FQL&gt;&lt;Q&gt;Company0023^FE_ESTIMATE(SALES,MEAN,NTM4_ROLL,,45796,,,'')&lt;/Q&gt;&lt;R&gt;1&lt;/R&gt;&lt;C&gt;1&lt;/C&gt;&lt;D xsi:type="xsd:double"&gt;23985.014&lt;/D&gt;&lt;/FQL&gt;&lt;FQL&gt;&lt;Q&gt;Company0023^FE_ESTIMATE(SALES,MEAN,LTM4_ROLL,,45796,,,'')&lt;/Q&gt;&lt;R&gt;1&lt;/R&gt;&lt;C&gt;1&lt;/C&gt;&lt;D xsi:type="xsd:double"&gt;22037&lt;/D&gt;&lt;/FQL&gt;&lt;FQL&gt;&lt;Q&gt;Company0023^FF_ENTRPR_VAL_DAILY(45796,,,,,"DIL")&lt;/Q&gt;&lt;R&gt;1&lt;/R&gt;&lt;C&gt;1&lt;/C&gt;&lt;D xsi:type="xsd:double"&gt;183385.84&lt;/D&gt;&lt;/FQL&gt;&lt;FQL&gt;&lt;Q&gt;Company0023^FREF_MARKET_VALUE_COMPANY(45796,,,,,0,,"LEGACY")&lt;/Q&gt;&lt;R&gt;1&lt;/R&gt;&lt;C&gt;1&lt;/C&gt;&lt;D xsi:type="xsd:double"&gt;179293.8125&lt;/D&gt;&lt;/FQL&gt;&lt;FQL&gt;&lt;Q&gt;Company1985^FE_ESTIMATE(SALES,MEAN,CAL4_ROLL,2026,45796,,,'')&lt;/Q&gt;&lt;R&gt;1&lt;/R&gt;&lt;C&gt;1&lt;/C&gt;&lt;D xsi:type="xsd:double"&gt;70487.44&lt;/D&gt;&lt;/FQL&gt;&lt;FQL&gt;&lt;Q&gt;Company1985^FE_ESTIMATE(SALES,MEAN,CAL4_ROLL,2025,45796,,,'')&lt;/Q&gt;&lt;R&gt;1&lt;/R&gt;&lt;C&gt;1&lt;/C&gt;&lt;D xsi:type="xsd:double"&gt;60551.387&lt;/D&gt;&lt;/FQL&gt;&lt;FQL&gt;&lt;Q&gt;Company1985^FE_ESTIMATE(SALES,MEAN,CAL4_ROLL,2024,45796,,,'')&lt;/Q&gt;&lt;R&gt;1&lt;/R&gt;&lt;C&gt;1&lt;/C&gt;&lt;D xsi:type="xsd:double"&gt;54933&lt;/D&gt;&lt;/FQL&gt;&lt;FQL&gt;&lt;Q&gt;Company1985^FE_ESTIMATE(SALES,MEAN,CAL4,2023,45796,,,'')&lt;/Q&gt;&lt;R&gt;1&lt;/R&gt;&lt;C&gt;1&lt;/C&gt;&lt;D xsi:type="xsd:double"&gt;51629&lt;/D&gt;&lt;/FQL&gt;&lt;FQL&gt;&lt;Q&gt;Company1985^FE_ESTIMATE(SALES,MEAN,NTM4_ROLL,,45796,,,'')&lt;/Q&gt;&lt;R&gt;1&lt;/R&gt;&lt;C&gt;1&lt;/C&gt;&lt;D xsi:type="xsd:double"&gt;62721.25&lt;/D&gt;&lt;/FQL&gt;&lt;FQL&gt;&lt;Q&gt;Company1985^FE_ESTIMATE(SALES,MEAN,LTM4_ROLL,,45796,,,'')&lt;/Q&gt;&lt;R&gt;1&lt;/R&gt;&lt;C&gt;1&lt;/C&gt;&lt;D xsi:type="xsd:double"&gt;55783&lt;/D&gt;&lt;/FQL&gt;&lt;FQL&gt;&lt;Q&gt;Company1985^FF_ENTRPR_VAL_DAILY(45796,,,,,"DIL")&lt;/Q&gt;&lt;R&gt;1&lt;/R&gt;&lt;C&gt;1&lt;/C&gt;&lt;D xsi:type="xsd:double"&gt;540232.26&lt;/D&gt;&lt;/FQL&gt;&lt;FQL&gt;&lt;Q&gt;Company1985^FREF_MARKET_VALUE_COMPANY(45796,,,,,0,,"LEGACY")&lt;/Q&gt;&lt;R&gt;1&lt;/R&gt;&lt;C&gt;1&lt;/C&gt;&lt;D xsi:type="xsd:double"&gt;447667.90625&lt;/D&gt;&lt;/FQL&gt;&lt;FQL&gt;&lt;Q&gt;Company2320^FE_ESTIMATE(SALES,MEAN,CAL4_ROLL,2026,45796,,,'')&lt;/Q&gt;&lt;R&gt;1&lt;/R&gt;&lt;C&gt;1&lt;/C&gt;&lt;D xsi:type="xsd:double"&gt;47112.727&lt;/D&gt;&lt;/FQL&gt;&lt;FQL&gt;&lt;Q&gt;Company2320^FE_ESTIMATE(SALES,MEAN,CAL4_ROLL,2025,45796,,,'')&lt;/Q&gt;&lt;R&gt;1&lt;/R&gt;&lt;C&gt;1&lt;/C&gt;&lt;D xsi:type="xsd:double"&gt;42253.71&lt;/D&gt;&lt;/FQL&gt;&lt;FQL&gt;&lt;Q&gt;Company2320^FE_ESTIMATE(SALES,MEAN,CAL4_ROLL,2024,45796,,,'')&lt;/Q&gt;&lt;R&gt;1&lt;/R&gt;&lt;C&gt;1&lt;/C&gt;&lt;D xsi:type="xsd:double"&gt;36522.137&lt;/D&gt;&lt;/FQL&gt;&lt;FQL&gt;&lt;Q&gt;Company2320^FE_ESTIMATE(SALES,MEAN,CAL4,2023,45796,,,'')&lt;/Q&gt;&lt;R&gt;1&lt;/R&gt;&lt;C&gt;1&lt;/C&gt;&lt;D xsi:type="xsd:double"&gt;34001.84&lt;/D&gt;&lt;/FQL&gt;&lt;FQL&gt;&lt;Q&gt;Company2320^FE_ESTIMATE(SALES,MEAN,NTM4_ROLL,,45796,,,'')&lt;/Q&gt;&lt;R&gt;1&lt;/R&gt;&lt;C&gt;1&lt;/C&gt;&lt;D xsi:type="xsd:double"&gt;43300.2&lt;/D&gt;&lt;/FQL&gt;&lt;FQL&gt;&lt;Q&gt;Company2320^FE_ESTIMATE(SALES,MEAN,LTM4_ROLL,,45796,,,'')&lt;/Q&gt;&lt;R&gt;1&lt;/R&gt;&lt;C&gt;1&lt;/C&gt;&lt;D xsi:type="xsd:double"&gt;38149.63&lt;/D&gt;&lt;/FQL&gt;&lt;FQL&gt;&lt;Q&gt;Company2320^FF_ENTRPR_VAL_DAILY(45796,,,,,"DIL")&lt;/Q&gt;&lt;R&gt;1&lt;/R&gt;&lt;C&gt;1&lt;/C&gt;&lt;D xsi:type="xsd:double"&gt;348894.584057895&lt;/D&gt;&lt;/FQL&gt;&lt;FQL&gt;&lt;Q&gt;Company2320^FREF_MARKET_VALUE_COMPANY(45796,,,,,0,,"LEGACY")&lt;/Q&gt;&lt;R&gt;1&lt;/R&gt;&lt;C&gt;1&lt;/C&gt;&lt;D xsi:type="xsd:double"&gt;366983.907388317&lt;/D&gt;&lt;/FQL&gt;&lt;FQL&gt;&lt;Q&gt;Company0103^FE_ESTIMATE(SALES,MEAN,CAL4_ROLL,2026,45796,,,'')&lt;/Q&gt;&lt;R&gt;1&lt;/R&gt;&lt;C&gt;1&lt;/C&gt;&lt;D xsi:type="xsd:double"&gt;758862.8&lt;/D&gt;&lt;/FQL&gt;&lt;FQL&gt;&lt;Q&gt;Company0103^FE_ESTIMATE(SALES,MEAN,CAL4_ROLL,2025,45796,,,'')&lt;/Q&gt;&lt;R&gt;1&lt;/R&gt;&lt;C&gt;1&lt;/C&gt;&lt;D xsi:type="xsd:double"&gt;694194.2&lt;/D&gt;&lt;/FQL&gt;&lt;FQL&gt;&lt;Q&gt;Company0103^FE_ESTIMATE(SALES,MEAN,CAL4_ROLL,2024,45796,,,'')&lt;/Q&gt;&lt;R&gt;1&lt;/R&gt;&lt;C&gt;1&lt;/C&gt;&lt;D xsi:type="xsd:double"&gt;637959&lt;/D&gt;&lt;/FQL&gt;&lt;FQL&gt;&lt;Q&gt;Company0103^FE_ESTIMATE(SALES,MEAN,CAL4,2023,45796,,,'')&lt;/Q&gt;&lt;R&gt;1&lt;/R&gt;&lt;C&gt;1&lt;/C&gt;&lt;D xsi:type="xsd:double"&gt;574785&lt;/D&gt;&lt;/FQL&gt;&lt;FQL&gt;&lt;Q&gt;Company0103^FE_ESTIMATE(SALES,MEAN,NTM4_ROLL,,45796,,,'')&lt;/Q&gt;&lt;R&gt;1&lt;/R&gt;&lt;C&gt;1&lt;/C&gt;&lt;D xsi:type="xsd:double"&gt;709278.7&lt;/D&gt;&lt;/FQL&gt;&lt;FQL&gt;&lt;Q&gt;Company0103^FE_ESTIMATE(SALES,MEAN,LTM4_ROLL,,45796,,,'')&lt;/Q&gt;&lt;R&gt;1&lt;/R&gt;&lt;C&gt;1&lt;/C&gt;&lt;D xsi:type="xsd:double"&gt;650313&lt;/D&gt;&lt;/FQL&gt;&lt;FQL&gt;&lt;Q&gt;Company0103^FF_ENTRPR_VAL_DAILY(45796,,,,,"DIL")&lt;/Q&gt;&lt;R&gt;1&lt;/R&gt;&lt;C&gt;1&lt;/C&gt;&lt;D xsi:type="xsd:double"&gt;2277335.88&lt;/D&gt;&lt;/FQL&gt;&lt;FQL&gt;&lt;Q&gt;Company0103^FREF_MARKET_VALUE_COMPANY(45796,,,,,0,,"LEGACY")&lt;/Q&gt;&lt;R&gt;1&lt;/R&gt;&lt;C&gt;1&lt;/C&gt;&lt;D xsi:type="xsd:double"&gt;2188667.25&lt;/D&gt;&lt;/FQL&gt;&lt;FQL&gt;&lt;Q&gt;Ticker0013^FE_ESTIMATE(SALES,MEAN,CAL4_ROLL,2026,45796,,,'')&lt;/Q&gt;&lt;R&gt;1&lt;/R&gt;&lt;C&gt;1&lt;/C&gt;&lt;D xsi:type="xsd:double"&gt;426159.9&lt;/D&gt;&lt;/FQL&gt;&lt;FQL&gt;&lt;Q&gt;Ticker0013^FE_ESTIMATE(SALES,MEAN,CAL4_ROLL,2025,45796,,,'')&lt;/Q&gt;&lt;R&gt;1&lt;/R&gt;&lt;C&gt;1&lt;/C&gt;&lt;D xsi:type="xsd:double"&gt;387601.1&lt;/D&gt;&lt;/FQL&gt;&lt;FQL&gt;&lt;Q&gt;Ticker0013^FE_ESTIMATE(SALES,MEAN,CAL4_ROLL,2024,45796,,,'')&lt;/Q&gt;&lt;R&gt;1&lt;/R&gt;&lt;C&gt;1&lt;/C&gt;&lt;D xsi:type="xsd:double"&gt;350018&lt;/D&gt;&lt;/FQL&gt;&lt;FQL&gt;&lt;Q&gt;Ticker0013^FE_ESTIMATE(SALES,MEAN,CAL4,2023,45796,,,'')&lt;/Q&gt;&lt;R&gt;1&lt;/R&gt;&lt;C&gt;1&lt;/C&gt;&lt;D xsi:type="xsd:double"&gt;307394&lt;/D&gt;&lt;/FQL&gt;&lt;FQL&gt;&lt;Q&gt;Ticker0013^FE_ESTIMATE(SALES,MEAN,NTM4_ROLL,,45796,,,'')&lt;/Q&gt;&lt;R&gt;1&lt;/R&gt;&lt;C&gt;1&lt;/C&gt;&lt;D xsi:type="xsd:double"&gt;396478.53&lt;/D&gt;&lt;/FQL&gt;&lt;FQL&gt;&lt;Q&gt;Ticker0013^FE_ESTIMATE(SALES,MEAN,LTM4_ROLL,,45796,,,'')&lt;/Q&gt;&lt;R&gt;1&lt;/R&gt;&lt;C&gt;1&lt;/C&gt;&lt;D xsi:type="xsd:double"&gt;359713&lt;/D&gt;&lt;/FQL&gt;&lt;FQL&gt;&lt;Q&gt;Ticker0013^FF_ENTRPR_VAL_DAILY(45796,,,,,"DIL")&lt;/Q&gt;&lt;R&gt;1&lt;/R&gt;&lt;C&gt;1&lt;/C&gt;&lt;D xsi:type="xsd:double"&gt;1975811.29&lt;/D&gt;&lt;/FQL&gt;&lt;FQL&gt;&lt;Q&gt;Ticker0013^FREF_MARKET_VALUE_COMPANY(45796,,,,,0,,"LEGACY")&lt;/Q&gt;&lt;R&gt;1&lt;/R&gt;&lt;C&gt;1&lt;/C&gt;&lt;D xsi:type="xsd:double"&gt;1885665.0625&lt;/D&gt;&lt;/FQL&gt;&lt;FQL&gt;&lt;Q&gt;Ticker0024^FE_VALUATION(FFEV_FCF,MEAN,CAL4_ROLL,2026,45868,,,'')&lt;/Q&gt;&lt;R&gt;1&lt;/R&gt;&lt;C&gt;1&lt;/C&gt;&lt;D xsi:type="xsd:double"&gt;49.775375&lt;/D&gt;&lt;/FQL&gt;&lt;FQL&gt;&lt;Q&gt;Ticker0024^FE_VALUATION(FFEV_FCF,MEAN,CAL4_ROLL,2024,45868,,,'')&lt;/Q&gt;&lt;R&gt;1&lt;/R&gt;&lt;C&gt;1&lt;/C&gt;&lt;D xsi:type="xsd:double"&gt;55.808468&lt;/D&gt;&lt;/FQL&gt;&lt;FQL&gt;&lt;Q&gt;IBM^FE_VALUATION(PE,MEAN,NTM4_ROLL,,45868,,,'')&lt;/Q&gt;&lt;R&gt;1&lt;/R&gt;&lt;C&gt;1&lt;/C&gt;&lt;D xsi:type="xsd:double"&gt;22.371555&lt;/D&gt;&lt;/FQL&gt;&lt;FQL&gt;&lt;Q&gt;Ticker0024^FE_VALUATION(FFEV_FCF,MEAN,CAL4_ROLL,2025,45868,,,'')&lt;/Q&gt;&lt;R&gt;1&lt;/R&gt;&lt;C&gt;1&lt;/C&gt;&lt;D xsi:type="xsd:double"&gt;50.70378&lt;/D&gt;&lt;/FQL&gt;&lt;FQL&gt;&lt;Q&gt;Ticker0024^FE_VALUATION(FFEV_FCF,MEAN,NTM4_ROLL,,45868,,,'')&lt;/Q&gt;&lt;R&gt;1&lt;/R&gt;&lt;C&gt;1&lt;/C&gt;&lt;D xsi:type="xsd:double"&gt;52.161587&lt;/D&gt;&lt;/FQL&gt;&lt;FQL&gt;&lt;Q&gt;IBM^FE_VALUATION(PE,MEAN,CAL4_ROLL,,45868,,,'')&lt;/Q&gt;&lt;R&gt;1&lt;/R&gt;&lt;C&gt;1&lt;/C&gt;&lt;D xsi:type="xsd:double"&gt;22.371555&lt;/D&gt;&lt;/FQL&gt;&lt;FQL&gt;&lt;Q&gt;Ticker0024^FE_VALUATION(PE,MEAN,CAL4_ROLL,,45868,,,'')&lt;/Q&gt;&lt;R&gt;1&lt;/R&gt;&lt;C&gt;1&lt;/C&gt;&lt;D xsi:type="xsd:double"&gt;36.364475&lt;/D&gt;&lt;/FQL&gt;&lt;FQL&gt;&lt;Q&gt;Ticker0024^FE_VALUATION(PE,MEAN,NTM4_ROLL,,45868,,,'')&lt;/Q&gt;&lt;R&gt;1&lt;/R&gt;&lt;C&gt;1&lt;/C&gt;&lt;D xsi:type="xsd:double"&gt;34.27454&lt;/D&gt;&lt;/FQL&gt;&lt;FQL&gt;&lt;Q&gt;Ticker0024^FE_ESTIMATE(SPEC_NO_CHANGE_2,MEAN,ANNUAL_ROLL,2030,45813,,,'')&lt;/Q&gt;&lt;R&gt;0&lt;/R&gt;&lt;C&gt;0&lt;/C&gt;&lt;/FQL&gt;&lt;FQL&gt;&lt;Q&gt;Ticker0024^FE_ESTIMATE(SPEC_NO_CHANGE_2,MEAN,QUARTERLY_ROLL,2030/4F,45813,,,'')&lt;/Q&gt;&lt;R&gt;0&lt;/R&gt;&lt;C&gt;0&lt;/C&gt;&lt;/FQL&gt;&lt;FQL&gt;&lt;Q&gt;Ticker0024^FE_ESTIMATE(SPEC_NO_CHANGE_2,MEAN,QUARTERLY_ROLL,2030/3F,45813,,,'')&lt;/Q&gt;&lt;R&gt;0&lt;/R&gt;&lt;C&gt;0&lt;/C&gt;&lt;/FQL&gt;&lt;FQL&gt;&lt;Q&gt;Ticker0024^FE_ESTIMATE(SPEC_NO_CHANGE_2,MEAN,QUARTERLY_ROLL,2030/2F,45813,,,'')&lt;/Q&gt;&lt;R&gt;0&lt;/R&gt;&lt;C&gt;0&lt;/C&gt;&lt;/FQL&gt;&lt;FQL&gt;&lt;Q&gt;Ticker0024^FE_ESTIMATE(SPEC_NO_CHANGE_2,MEAN,QUARTERLY_ROLL,2030/1F,45813,,,'')&lt;/Q&gt;&lt;R&gt;0&lt;/R&gt;&lt;C&gt;0&lt;/C&gt;&lt;/FQL&gt;&lt;FQL&gt;&lt;Q&gt;Ticker0024^FE_ESTIMATE(SPEC_NO_CHANGE_2,MEAN,ANNUAL_ROLL,2029,45813,,,'')&lt;/Q&gt;&lt;R&gt;0&lt;/R&gt;&lt;C&gt;0&lt;/C&gt;&lt;/FQL&gt;&lt;FQL&gt;&lt;Q&gt;Ticker0024^FE_ESTIMATE(SPEC_NO_CHANGE_2,MEAN,QUARTERLY_ROLL,2029/4F,45813,,,'')&lt;/Q&gt;&lt;R&gt;0&lt;/R&gt;&lt;C&gt;0&lt;/C&gt;&lt;/FQL&gt;&lt;FQL&gt;&lt;Q&gt;Ticker0024^FE_ESTIMATE(SPEC_NO_CHANGE_2,MEAN,QUARTERLY_ROLL,2029/3F,45813,,,'')&lt;/Q&gt;&lt;R&gt;0&lt;/R&gt;&lt;C&gt;0&lt;/C&gt;&lt;/FQL&gt;&lt;FQL&gt;&lt;Q&gt;Ticker0024^FE_ESTIMATE(SPEC_NO_CHANGE_2,MEAN,QUARTERLY_ROLL,2029/2F,45813,,,'')&lt;/Q&gt;&lt;R&gt;0&lt;/R&gt;&lt;C&gt;0&lt;/C&gt;&lt;/FQL&gt;&lt;FQL&gt;&lt;Q&gt;Ticker0024^FE_ESTIMATE(SPEC_NO_CHANGE_2,MEAN,QUARTERLY_ROLL,2029/1F,45813,,,'')&lt;/Q&gt;&lt;R&gt;0&lt;/R&gt;&lt;C&gt;0&lt;/C&gt;&lt;/FQL&gt;&lt;FQL&gt;&lt;Q&gt;Ticker0024^FE_ESTIMATE(SPEC_NO_CHANGE_2,MEAN,ANNUAL_ROLL,2028,45813,,,'')&lt;/Q&gt;&lt;R&gt;0&lt;/R&gt;&lt;C&gt;0&lt;/C&gt;&lt;/FQL&gt;&lt;FQL&gt;&lt;Q&gt;Ticker0024^FE_ESTIMATE(SPEC_NO_CHANGE_2,MEAN,QUARTERLY_ROLL,2028/4F,45813,,,'')&lt;/Q&gt;&lt;R&gt;0&lt;/R&gt;&lt;C&gt;0&lt;/C&gt;&lt;/FQL&gt;&lt;FQL&gt;&lt;Q&gt;Ticker0024^FE_ESTIMATE(SPEC_NO_CHANGE_2,MEAN,QUARTERLY_ROLL,2028/3F,45813,,,'')&lt;/Q&gt;&lt;R&gt;0&lt;/R&gt;&lt;C&gt;0&lt;/C&gt;&lt;/FQL&gt;&lt;FQL&gt;&lt;Q&gt;Ticker0024^FE_ESTIMATE(SPEC_NO_CHANGE_2,MEAN,QUARTERLY_ROLL,2028/2F,45813,,,'')&lt;/Q&gt;&lt;R&gt;0&lt;/R&gt;&lt;C&gt;0&lt;/C&gt;&lt;/FQL&gt;&lt;FQL&gt;&lt;Q&gt;Ticker0024^FE_ESTIMATE(SPEC_NO_CHANGE_2,MEAN,QUARTERLY_ROLL,2028/1F,45813,,,'')&lt;/Q&gt;&lt;R&gt;0&lt;/R&gt;&lt;C&gt;0&lt;/C&gt;&lt;/FQL&gt;&lt;FQL&gt;&lt;Q&gt;Ticker0024^FE_ESTIMATE(SPEC_NO_CHANGE_2,MEAN,ANNUAL_ROLL,2027,45813,,,'')&lt;/Q&gt;&lt;R&gt;1&lt;/R&gt;&lt;C&gt;1&lt;/C&gt;&lt;D xsi:type="xsd:double"&gt;31.366667&lt;/D&gt;&lt;/FQL&gt;&lt;FQL&gt;&lt;Q&gt;Ticker0024^FE_ESTIMATE(SPEC_NO_CHANGE_2,MEAN,QUARTERLY_ROLL,2027/4F,45813,,,'')&lt;/Q&gt;&lt;R&gt;0&lt;/R&gt;&lt;C&gt;0&lt;/C&gt;&lt;/FQL&gt;&lt;FQL&gt;&lt;Q&gt;Ticker0024^FE_ESTIMATE(SPEC_NO_CHANGE_2,MEAN,QUARTERLY_ROLL,2027/3F,45813,,,'')&lt;/Q&gt;&lt;R&gt;0&lt;/R&gt;&lt;C&gt;0&lt;/C&gt;&lt;/FQL&gt;&lt;FQL&gt;&lt;Q&gt;Ticker0024^FE_ESTIMATE(SPEC_NO_CHANGE_2,MEAN,QUARTERLY_ROLL,2027/2F,45813,,,'')&lt;/Q&gt;&lt;R&gt;0&lt;/R&gt;&lt;C&gt;0&lt;/C&gt;&lt;/FQL&gt;&lt;FQL&gt;&lt;Q&gt;Ticker0024^FE_ESTIMATE(SPEC_NO_CHANGE_2,MEAN,QUARTERLY_ROLL,2027/1F,45813,,,'')&lt;/Q&gt;&lt;R&gt;0&lt;/R&gt;&lt;C&gt;0&lt;/C&gt;&lt;/FQL&gt;&lt;FQL&gt;&lt;Q&gt;Ticker0024^FE_ESTIMATE(SPEC_NO_CHANGE_2,MEAN,ANNUAL_ROLL,2026,45813,,,'')&lt;/Q&gt;&lt;R&gt;1&lt;/R&gt;&lt;C&gt;1&lt;/C&gt;&lt;D xsi:type="xsd:double"&gt;32.9&lt;/D&gt;&lt;/FQL&gt;&lt;FQL&gt;&lt;Q&gt;Ticker0024^FE_ESTIMATE(SPEC_NO_CHANGE_2,MEAN,QUARTERLY_ROLL,2026/4F,45813,,,'')&lt;/Q&gt;&lt;R&gt;1&lt;/R&gt;&lt;C&gt;1&lt;/C&gt;&lt;D xsi:type="xsd:double"&gt;31.266666&lt;/D&gt;&lt;/FQL&gt;&lt;FQL&gt;&lt;Q&gt;Ticker0024^FE_ESTIMATE(SPEC_NO_CHANGE_2,MEAN,QUARTERLY_ROLL,2026/3F,45813,,,'')&lt;/Q&gt;&lt;R&gt;1&lt;/R&gt;&lt;C&gt;1&lt;/C&gt;&lt;D xsi:type="xsd:double"&gt;32.166668&lt;/D&gt;&lt;/FQL&gt;&lt;FQL&gt;&lt;Q&gt;Ticker0024^FE_ESTIMATE(SPEC_NO_CHANGE_2,MEAN,QUARTERLY_ROLL,2026/2F,45813,,,'')&lt;/Q&gt;&lt;R&gt;1&lt;/R&gt;&lt;C&gt;1&lt;/C&gt;&lt;D xsi:type="xsd:double"&gt;33.475&lt;/D&gt;&lt;/FQL&gt;&lt;FQL&gt;&lt;Q&gt;Ticker0024^FE_ESTIMATE(SPEC_NO_CHANGE_2,MEAN,QUARTERLY_ROLL,2026/1F,45813,,,'')&lt;/Q&gt;&lt;R&gt;1&lt;/R&gt;&lt;C&gt;1&lt;/C&gt;&lt;D xsi:type="xsd:double"&gt;33.525&lt;/D&gt;&lt;/FQL&gt;&lt;FQL&gt;&lt;Q&gt;Ticker0024^FE_ESTIMATE(SPEC_NO_CHANGE_2,MEAN,ANNUAL_ROLL,2025,45813,,,'')&lt;/Q&gt;&lt;R&gt;1&lt;/R&gt;&lt;C&gt;1&lt;/C&gt;&lt;D xsi:type="xsd:double"&gt;33.16&lt;/D&gt;&lt;/FQL&gt;&lt;FQL&gt;&lt;Q&gt;Ticker0024^FE_ESTIMATE(SPEC_NO_CHANGE_2,MEAN,QUARTERLY_ROLL,2025/4F,45813,,,'')&lt;/Q&gt;&lt;R&gt;1&lt;/R&gt;&lt;C&gt;1&lt;/C&gt;&lt;D xsi:type="xsd:double"&gt;34.28&lt;/D&gt;&lt;/FQL&gt;&lt;FQL&gt;&lt;Q&gt;Ticker0024^FE_ESTIMATE(SPEC_NO_CHANGE_2,MEAN,QUARTERLY_ROLL,2025/3F,45813,,,'')&lt;/Q&gt;&lt;R&gt;1&lt;/R&gt;&lt;C&gt;1&lt;/C&gt;&lt;D xsi:type="xsd:double"&gt;34&lt;/D&gt;&lt;/FQL&gt;&lt;FQL&gt;&lt;Q&gt;Ticker0024^FE_ESTIMATE(SPEC_NO_CHANGE_2,MEAN,QUARTERLY_ROLL,2025/2F,45813,,,'')&lt;/Q&gt;&lt;R&gt;1&lt;/R&gt;&lt;C&gt;1&lt;/C&gt;&lt;D xsi:type="xsd:double"&gt;31&lt;/D&gt;&lt;/FQL&gt;&lt;FQL&gt;&lt;Q&gt;Ticker0024^FE_ESTIMATE(SPEC_NO_CHANGE_2,MEAN,QUARTERLY_ROLL,2025/1F,45813,,,'')&lt;/Q&gt;&lt;R&gt;1&lt;/R&gt;&lt;C&gt;1&lt;/C&gt;&lt;D xsi:type="xsd:double"&gt;34&lt;/D&gt;&lt;/FQL&gt;&lt;FQL&gt;&lt;Q&gt;Ticker0024^FE_ESTIMATE(SPEC_NO_CHANGE_2,MEAN,ANNUAL_ROLL,2024,45813,,,'')&lt;/Q&gt;&lt;R&gt;1&lt;/R&gt;&lt;C&gt;1&lt;/C&gt;&lt;D xsi:type="xsd:double"&gt;29.14&lt;/D&gt;&lt;/FQL&gt;&lt;FQL&gt;&lt;Q&gt;Ticker0024^FE_ESTIMATE(SPEC_NO_CHANGE_2,MEAN,QUARTERLY_ROLL,2024/4F,45813,,,'')&lt;/Q&gt;&lt;R&gt;1&lt;/R&gt;&lt;C&gt;1&lt;/C&gt;&lt;D xsi:type="xsd:double"&gt;30&lt;/D&gt;&lt;/FQL&gt;&lt;FQL&gt;&lt;Q&gt;Ticker0024^FE_ESTIMATE(SPEC_NO_CHANGE_2,MEAN,QUARTERLY_ROLL,2024/3F,45813,,,'')&lt;/Q&gt;&lt;R&gt;1&lt;/R&gt;&lt;C&gt;1&lt;/C&gt;&lt;D xsi:type="xsd:double"&gt;31&lt;/D&gt;&lt;/FQL&gt;&lt;FQL&gt;&lt;Q&gt;Ticker0024^FE_ESTIMATE(SPEC_NO_CHANGE_2,MEAN,QUARTERLY_ROLL,2024/2F,45813,,,'')&lt;/Q&gt;&lt;R&gt;1&lt;/R&gt;&lt;C&gt;1&lt;/C&gt;&lt;D xsi:type="xsd:double"&gt;28&lt;/D&gt;&lt;/FQL&gt;&lt;FQL&gt;&lt;Q&gt;Ticker0024^FE_ESTIMATE(SPEC_NO_CHANGE_2,MEAN,QUARTERLY_ROLL,2024/1F,45813,,,'')&lt;/Q&gt;&lt;R&gt;1&lt;/R&gt;&lt;C&gt;1&lt;/C&gt;&lt;D xsi:type="xsd:double"&gt;28.1&lt;/D&gt;&lt;/FQL&gt;&lt;FQL&gt;&lt;Q&gt;Ticker0024^FE_ESTIMATE(SPEC_NO_CHANGE_2,MEAN,ANNUAL_ROLL,2023,45813,,,'')&lt;/Q&gt;&lt;R&gt;1&lt;/R&gt;&lt;C&gt;1&lt;/C&gt;&lt;D xsi:type="xsd:double"&gt;34&lt;/D&gt;&lt;/FQL&gt;&lt;FQL&gt;&lt;Q&gt;Ticker0024^FE_ESTIMATE(SPEC_NO_CHANGE_2,MEAN,QUARTERLY_ROLL,2023/4F,45813,,,'')&lt;/Q&gt;&lt;R&gt;1&lt;/R&gt;&lt;C&gt;1&lt;/C&gt;&lt;D xsi:type="xsd:double"&gt;27&lt;/D&gt;&lt;/FQL&gt;&lt;FQL&gt;&lt;Q&gt;Ticker0024^FE_ESTIMATE(SPEC_NO_CHANGE_2,MEAN,QUARTERLY_ROLL,2023/3F,45813,,,'')&lt;/Q&gt;&lt;R&gt;1&lt;/R&gt;&lt;C&gt;1&lt;/C&gt;&lt;D xsi:type="xsd:double"&gt;31&lt;/D&gt;&lt;/FQL&gt;&lt;FQL&gt;&lt;Q&gt;Ticker0024^FE_ESTIMATE(SPEC_NO_CHANGE_2,MEAN,QUARTERLY_ROLL,2023/2F,45813,,,'')&lt;/Q&gt;&lt;R&gt;1&lt;/R&gt;&lt;C&gt;1&lt;/C&gt;&lt;D xsi:type="xsd:double"&gt;38&lt;/D&gt;&lt;/FQL&gt;&lt;FQL&gt;&lt;Q&gt;Ticker0024^FE_ESTIMATE(SPEC_NO_CHANGE_2,MEAN,QUARTERLY_ROLL,2023/1F,45813,,,'')&lt;/Q&gt;&lt;R&gt;1&lt;/R&gt;&lt;C&gt;1&lt;/C&gt;&lt;D xsi:type="xsd:double"&gt;42&lt;/D&gt;&lt;/FQL&gt;&lt;FQL&gt;&lt;Q&gt;Ticker0024^FE_ESTIMATE(SPEC_NO_CHANGE_2,MEAN,ANNUAL_ROLL,2022,45813,,,'')&lt;/Q&gt;&lt;R&gt;1&lt;/R&gt;&lt;C&gt;1&lt;/C&gt;&lt;D xsi:type="xsd:double"&gt;47.05&lt;/D&gt;&lt;/FQL&gt;&lt;FQL&gt;&lt;Q&gt;Ticker0024^FE_ESTIMATE(SPEC_NO_CHANGE_2,MEAN,QUARTERLY_ROLL,2022/4F,45813,,,'')&lt;/Q&gt;&lt;R&gt;1&lt;/R&gt;&lt;C&gt;1&lt;/C&gt;&lt;D xsi:type="xsd:double"&gt;46&lt;/D&gt;&lt;/FQL&gt;&lt;FQL&gt;&lt;Q&gt;Ticker0024^FE_ESTIMATE(SPEC_NO_CHANGE_2,MEAN,QUARTERLY_ROLL,2022/3F,45813,,,'')&lt;/Q&gt;&lt;R&gt;0&lt;/R&gt;&lt;C&gt;0&lt;/C&gt;&lt;/FQL&gt;&lt;FQL&gt;&lt;Q&gt;Ticker0024^FE_ESTIMATE(SPEC_NO_CHANGE_2,MEAN,QUARTERLY_ROLL,2022/2F,45813,,,'')&lt;/Q&gt;&lt;R&gt;0&lt;/R&gt;&lt;C&gt;0&lt;/C&gt;&lt;/FQL&gt;&lt;FQL&gt;&lt;Q&gt;Ticker0024^FE_ESTIMATE(SPEC_NO_CHANGE_2,MEAN,QUARTERLY_ROLL,2022/1F,45813,,,'')&lt;/Q&gt;&lt;R&gt;0&lt;/R&gt;&lt;C&gt;0&lt;/C&gt;&lt;/FQL&gt;&lt;FQL&gt;&lt;Q&gt;Ticker0024^FE_ESTIMATE(SPEC_NO_CHANGE_2,MEAN,ANNUAL_ROLL,2021,45813,,,'')&lt;/Q&gt;&lt;R&gt;0&lt;/R&gt;&lt;C&gt;0&lt;/C&gt;&lt;/FQL&gt;&lt;FQL&gt;&lt;Q&gt;Ticker0024^FE_ESTIMATE(SPEC_NO_CHANGE_2,MEAN,QUARTERLY_ROLL,2021/4F,45813,,,'')&lt;/Q&gt;&lt;R&gt;0&lt;/R&gt;&lt;C&gt;0&lt;/C&gt;&lt;/FQL&gt;&lt;FQL&gt;&lt;Q&gt;Ticker0024^FE_ESTIMATE(SPEC_NO_CHANGE_2,MEAN,QUARTERLY_ROLL,2021/3F,45813,,,'')&lt;/Q&gt;&lt;R&gt;1&lt;/R&gt;&lt;C&gt;1&lt;/C&gt;&lt;D xsi:type="xsd:double"&gt;46&lt;/D&gt;&lt;/FQL&gt;&lt;FQL&gt;&lt;Q&gt;Ticker0024^FE_ESTIMATE(SPEC_NO_CHANGE_2,MEAN,QUARTERLY_ROLL,2021/2F,45813,,,'')&lt;/Q&gt;&lt;R&gt;0&lt;/R&gt;&lt;C&gt;0&lt;/C&gt;&lt;/FQL&gt;&lt;FQL&gt;&lt;Q&gt;Ticker0024^FE_ESTIMATE(SPEC_NO_CHANGE_2,MEAN,QUARTERLY_ROLL,2021/1F,45813,,,'')&lt;/Q&gt;&lt;R&gt;0&lt;/R&gt;&lt;C&gt;0&lt;/C&gt;&lt;/FQL&gt;&lt;FQL&gt;&lt;Q&gt;Ticker0024^FE_ESTIMATE(SPEC_NO_CHANGE_2,MEAN,ANNUAL_ROLL,2020,45813,,,'')&lt;/Q&gt;&lt;R&gt;0&lt;/R&gt;&lt;C&gt;0&lt;/C&gt;&lt;/FQL&gt;&lt;FQL&gt;&lt;Q&gt;Ticker0024^FE_ESTIMATE(SPEC_NO_CHANGE_2,MEAN,QUARTERLY_ROLL,2020/4F,45813,,,'')&lt;/Q&gt;&lt;R&gt;0&lt;/R&gt;&lt;C&gt;0&lt;/C&gt;&lt;/FQL&gt;&lt;FQL&gt;&lt;Q&gt;Ticker0024^FE_ESTIMATE(SPEC_NO_CHANGE_2,MEAN,QUARTERLY_ROLL,2020/3F,45813,,,'')&lt;/Q&gt;&lt;R&gt;0&lt;/R&gt;&lt;C&gt;0&lt;/C&gt;&lt;/FQL&gt;&lt;FQL&gt;&lt;Q&gt;Ticker0024^FE_ESTIMATE(SPEC_NO_CHANGE_2,MEAN,QUARTERLY_ROLL,2020/2F,45813,,,'')&lt;/Q&gt;&lt;R&gt;0&lt;/R&gt;&lt;C&gt;0&lt;/C&gt;&lt;/FQL&gt;&lt;FQL&gt;&lt;Q&gt;Ticker0024^FE_ESTIMATE(SPEC_NO_CHANGE_2,MEAN,QUARTERLY_ROLL,2020/1F,45813,,,'')&lt;/Q&gt;&lt;R&gt;0&lt;/R&gt;&lt;C&gt;0&lt;/C&gt;&lt;/FQL&gt;&lt;FQL&gt;&lt;Q&gt;Ticker0024^FE_ESTIMATE(SPEC_NO_CHANGE_2,MEAN,ANNUAL_ROLL,2019,45813,,,'')&lt;/Q&gt;&lt;R&gt;0&lt;/R&gt;&lt;C&gt;0&lt;/C&gt;&lt;/FQL&gt;&lt;FQL&gt;&lt;Q&gt;Ticker0024^FE_ESTIMATE(SPEC_NO_CHANGE_2,MEAN,QUARTERLY_ROLL,2019/4F,45813,,,'')&lt;/Q&gt;&lt;R&gt;0&lt;/R&gt;&lt;C&gt;0&lt;/C&gt;&lt;/FQL&gt;&lt;FQL&gt;&lt;Q&gt;Ticker0024^FE_ESTIMATE(SPEC_NO_CHANGE_2,MEAN,QUARTERLY_ROLL,2019/3F,45813,,,'')&lt;/Q&gt;&lt;R&gt;0&lt;/R&gt;&lt;C&gt;0&lt;/C&gt;&lt;/FQL&gt;&lt;FQL&gt;&lt;Q&gt;Ticker0024^FE_ESTIMATE(SPEC_NO_CHANGE_2,MEAN,QUARTERLY_ROLL,2019/2F,45813,,,'')&lt;/Q&gt;&lt;R&gt;0&lt;/R&gt;&lt;C&gt;0&lt;/C&gt;&lt;/FQL&gt;&lt;FQL&gt;&lt;Q&gt;Ticker0024^FE_ESTIMATE(SPEC_NO_CHANGE_2,MEAN,QUARTERLY_ROLL,2019/1F,45813,,,'')&lt;/Q&gt;&lt;R&gt;0&lt;/R&gt;&lt;C&gt;0&lt;/C&gt;&lt;/FQL&gt;&lt;FQL&gt;&lt;Q&gt;Ticker0024^FE_ESTIMATE(SPEC_NO_CHANGE_2,MEAN,ANNUAL_ROLL,2018,45813,,,'')&lt;/Q&gt;&lt;R&gt;0&lt;/R&gt;&lt;C&gt;0&lt;/C&gt;&lt;/FQL&gt;&lt;FQL&gt;&lt;Q&gt;Ticker0024^FE_ESTIMATE(SPEC_NO_CHANGE_2,MEAN,QUARTERLY_ROLL,2018/4F,45813,,,'')&lt;/Q&gt;&lt;R&gt;0&lt;/R&gt;&lt;C&gt;0&lt;/C&gt;&lt;/FQL&gt;&lt;FQL&gt;&lt;Q&gt;Ticker0024^FE_ESTIMATE(SPEC_NO_CHANGE_2,MEAN,QUARTERLY_ROLL,2018/3F,45813,,,'')&lt;/Q&gt;&lt;R&gt;0&lt;/R&gt;&lt;C&gt;0&lt;/C&gt;&lt;/FQL&gt;&lt;FQL&gt;&lt;Q&gt;Ticker0024^FE_ESTIMATE(SPEC_NO_CHANGE_2,MEAN,QUARTERLY_ROLL,2018/2F,45813,,,'')&lt;/Q&gt;&lt;R&gt;0&lt;/R&gt;&lt;C&gt;0&lt;/C&gt;&lt;/FQL&gt;&lt;FQL&gt;&lt;Q&gt;Ticker0024^FE_ESTIMATE(SPEC_NO_CHANGE_2,MEAN,QUARTERLY_ROLL,2018/1F,45813,,,'')&lt;/Q&gt;&lt;R&gt;0&lt;/R&gt;&lt;C&gt;0&lt;/C&gt;&lt;/FQL&gt;&lt;FQL&gt;&lt;Q&gt;Ticker0024^FE_ESTIMATE(SPEC_NO_CHANGE_2,MEAN,ANNUAL_ROLL,2017,45813,,,'')&lt;/Q&gt;&lt;R&gt;0&lt;/R&gt;&lt;C&gt;0&lt;/C&gt;&lt;/FQL&gt;&lt;FQL&gt;&lt;Q&gt;Ticker0024^FE_ESTIMATE(SPEC_NO_CHANGE_2,MEAN,QUARTERLY_ROLL,2017/4F,45813,,,'')&lt;/Q&gt;&lt;R&gt;0&lt;/R&gt;&lt;C&gt;0&lt;/C&gt;&lt;/FQL&gt;&lt;FQL&gt;&lt;Q&gt;Ticker0024^FE_ESTIMATE(SPEC_NO_CHANGE_2,MEAN,QUARTERLY_ROLL,2017/3F,45813,,,'')&lt;/Q&gt;&lt;R&gt;0&lt;/R&gt;&lt;C&gt;0&lt;/C&gt;&lt;/FQL&gt;&lt;FQL&gt;&lt;Q&gt;Ticker0024^FE_ESTIMATE(SPEC_NO_CHANGE_2,MEAN,QUARTERLY_ROLL,2017/2F,45813,,,'')&lt;/Q&gt;&lt;R&gt;0&lt;/R&gt;&lt;C&gt;0&lt;/C&gt;&lt;/FQL&gt;&lt;FQL&gt;&lt;Q&gt;Ticker0024^FE_ESTIMATE(SPEC_NO_CHANGE_2,MEAN,QUARTERLY_ROLL,2017/1F,45813,,,'')&lt;/Q&gt;&lt;R&gt;0&lt;/R&gt;&lt;C&gt;0&lt;/C&gt;&lt;/FQL&gt;&lt;FQL&gt;&lt;Q&gt;Ticker0024^FE_ESTIMATE(SPEC_NO_CHANGE_2,MEAN,ANNUAL_ROLL,2016,45813,,,'')&lt;/Q&gt;&lt;R&gt;0&lt;/R&gt;&lt;C&gt;0&lt;/C&gt;&lt;/FQL&gt;&lt;FQL&gt;&lt;Q&gt;Ticker0024^FE_ESTIMATE(SPEC_NO_CHANGE_2,MEAN,QUARTERLY_ROLL,2016/4F,45813,,,'')&lt;/Q&gt;&lt;R&gt;0&lt;/R&gt;&lt;C&gt;0&lt;/C&gt;&lt;/FQL&gt;&lt;FQL&gt;&lt;Q&gt;Ticker0024^FE_ESTIMATE(SPEC_NO_CHANGE_2,MEAN,QUARTERLY_ROLL,2016/3F,45813,,,'')&lt;/Q&gt;&lt;R&gt;0&lt;/R&gt;&lt;C&gt;0&lt;/C&gt;&lt;/FQL&gt;&lt;FQL&gt;&lt;Q&gt;Ticker0024^FE_ESTIMATE(SPEC_NO_CHANGE_2,MEAN,QUARTERLY_ROLL,2016/2F,45813,,,'')&lt;/Q&gt;&lt;R&gt;0&lt;/R&gt;&lt;C&gt;0&lt;/C&gt;&lt;/FQL&gt;&lt;FQL&gt;&lt;Q&gt;Ticker0024^FE_ESTIMATE(SPEC_NO_CHANGE_2,MEAN,QUARTERLY_ROLL,2016/1F,45813,,,'')&lt;/Q&gt;&lt;R&gt;0&lt;/R&gt;&lt;C&gt;0&lt;/C&gt;&lt;/FQL&gt;&lt;FQL&gt;&lt;Q&gt;Ticker0024^FE_ESTIMATE(SPEC_NO_CHANGE_2,MEAN,ANNUAL_ROLL,2015,45813,,,'')&lt;/Q&gt;&lt;R&gt;0&lt;/R&gt;&lt;C&gt;0&lt;/C&gt;&lt;/FQL&gt;&lt;FQL&gt;&lt;Q&gt;Ticker0024^FE_ESTIMATE(SPEC_NO_CHANGE_2,MEAN,QUARTERLY_ROLL,2015/4F,45813,,,'')&lt;/Q&gt;&lt;R&gt;0&lt;/R&gt;&lt;C&gt;0&lt;/C&gt;&lt;/FQL&gt;&lt;FQL&gt;&lt;Q&gt;Ticker0024^FE_ESTIMATE(SPEC_NO_CHANGE_2,MEAN,QUARTERLY_ROLL,2015/3F,45813,,,'')&lt;/Q&gt;&lt;R&gt;0&lt;/R&gt;&lt;C&gt;0&lt;/C&gt;&lt;/FQL&gt;&lt;FQL&gt;&lt;Q&gt;Ticker0024^FE_ESTIMATE(SPEC_NO_CHANGE_2,MEAN,QUARTERLY_ROLL,2015/2F,45813,,,'')&lt;/Q&gt;&lt;R&gt;0&lt;/R&gt;&lt;C&gt;0&lt;/C&gt;&lt;/FQL&gt;&lt;FQL&gt;&lt;Q&gt;Ticker0024^FE_ESTIMATE(SPEC_NO_CHANGE_2,MEAN,QUARTERLY_ROLL,2015/1F,45813,,,'')&lt;/Q&gt;&lt;R&gt;0&lt;/R&gt;&lt;C&gt;0&lt;/C&gt;&lt;/FQL&gt;&lt;FQL&gt;&lt;Q&gt;Ticker0024^FE_ESTIMATE(SPEC_NO_CHANGE_1,MEAN,ANNUAL_ROLL,2030,45813,,,'')&lt;/Q&gt;&lt;R&gt;0&lt;/R&gt;&lt;C&gt;0&lt;/C&gt;&lt;/FQL&gt;&lt;FQL&gt;&lt;Q&gt;Ticker0024^FE_ESTIMATE(SPEC_NO_CHANGE_1,MEAN,QUARTERLY_ROLL,2030/4F,45813,,,'')&lt;/Q&gt;&lt;R&gt;0&lt;/R&gt;&lt;C&gt;0&lt;/C&gt;&lt;/FQL&gt;&lt;FQL&gt;&lt;Q&gt;Ticker0024^FE_ESTIMATE(SPEC_NO_CHANGE_1,MEAN,QUARTERLY_ROLL,2030/3F,45813,,,'')&lt;/Q&gt;&lt;R&gt;0&lt;/R&gt;&lt;C&gt;0&lt;/C&gt;&lt;/FQL&gt;&lt;FQL&gt;&lt;Q&gt;Ticker0024^FE_ESTIMATE(SPEC_NO_CHANGE_1,MEAN,QUARTERLY_ROLL,2030/2F,45813,,,'')&lt;/Q&gt;&lt;R&gt;0&lt;/R&gt;&lt;C&gt;0&lt;/C&gt;&lt;/FQL&gt;&lt;FQL&gt;&lt;Q&gt;Ticker0024^FE_ESTIMATE(SPEC_NO_CHANGE_1,MEAN,QUARTERLY_ROLL,2030/1F,45813,,,'')&lt;/Q&gt;&lt;R&gt;0&lt;/R&gt;&lt;C&gt;0&lt;/C&gt;&lt;/FQL&gt;&lt;FQL&gt;&lt;Q&gt;Ticker0024^FE_ESTIMATE(SPEC_NO_CHANGE_1,MEAN,ANNUAL_ROLL,2029,45813,,,'')&lt;/Q&gt;&lt;R&gt;0&lt;/R&gt;&lt;C&gt;0&lt;/C&gt;&lt;/FQL&gt;&lt;FQL&gt;&lt;Q&gt;Ticker0024^FE_ESTIMATE(SPEC_NO_CHANGE_1,MEAN,QUARTERLY_ROLL,2029/4F,45813,,,'')&lt;/Q&gt;&lt;R&gt;0&lt;/R&gt;&lt;C&gt;0&lt;/C&gt;&lt;/FQL&gt;&lt;FQL&gt;&lt;Q&gt;Ticker0024^FE_ESTIMATE(SPEC_NO_CHANGE_1,MEAN,QUARTERLY_ROLL,2029/3F,45813,,,'')&lt;/Q&gt;&lt;R&gt;0&lt;/R&gt;&lt;C&gt;0&lt;/C&gt;&lt;/FQL&gt;&lt;FQL&gt;&lt;Q&gt;Ticker0024^FE_ESTIMATE(SPEC_NO_CHANGE_1,MEAN,QUARTERLY_ROLL,2029/2F,45813,,,'')&lt;/Q&gt;&lt;R&gt;0&lt;/R&gt;&lt;C&gt;0&lt;/C&gt;&lt;/FQL&gt;&lt;FQL&gt;&lt;Q&gt;Ticker0024^FE_ESTIMATE(SPEC_NO_CHANGE_1,MEAN,QUARTERLY_ROLL,2029/1F,45813,,,'')&lt;/Q&gt;&lt;R&gt;0&lt;/R&gt;&lt;C&gt;0&lt;/C&gt;&lt;/FQL&gt;&lt;FQL&gt;&lt;Q&gt;Ticker0024^FE_ESTIMATE(SPEC_NO_CHANGE_1,MEAN,ANNUAL_ROLL,2028,45813,,,'')&lt;/Q&gt;&lt;R&gt;0&lt;/R&gt;&lt;C&gt;0&lt;/C&gt;&lt;/FQL&gt;&lt;FQL&gt;&lt;Q&gt;Ticker0024^FE_ESTIMATE(SPEC_NO_CHANGE_1,MEAN,QUARTERLY_ROLL,2028/4F,45813,,,'')&lt;/Q&gt;&lt;R&gt;0&lt;/R&gt;&lt;C&gt;0&lt;/C&gt;&lt;/FQL&gt;&lt;FQL&gt;&lt;Q&gt;Ticker0024^FE_ESTIMATE(SPEC_NO_CHANGE_1,MEAN,QUARTERLY_ROLL,2028/3F,45813,,,'')&lt;/Q&gt;&lt;R&gt;0&lt;/R&gt;&lt;C&gt;0&lt;/C&gt;&lt;/FQL&gt;&lt;FQL&gt;&lt;Q&gt;Ticker0024^FE_ESTIMATE(SPEC_NO_CHANGE_1,MEAN,QUARTERLY_ROLL,2028/2F,45813,,,'')&lt;/Q&gt;&lt;R&gt;0&lt;/R&gt;&lt;C&gt;0&lt;/C&gt;&lt;/FQL&gt;&lt;FQL&gt;&lt;Q&gt;Ticker0024^FE_ESTIMATE(SPEC_NO_CHANGE_1,MEAN,QUARTERLY_ROLL,2028/1F,45813,,,'')&lt;/Q&gt;&lt;R&gt;0&lt;/R&gt;&lt;C&gt;0&lt;/C&gt;&lt;/FQL&gt;&lt;FQL&gt;&lt;Q&gt;Ticker0024^FE_ESTIMATE(SPEC_NO_CHANGE_1,MEAN,ANNUAL_ROLL,2027,45813,,,'')&lt;/Q&gt;&lt;R&gt;1&lt;/R&gt;&lt;C&gt;1&lt;/C&gt;&lt;D xsi:type="xsd:double"&gt;33&lt;/D&gt;&lt;/FQL&gt;&lt;FQL&gt;&lt;Q&gt;Ticker0024^FE_ESTIMATE(SPEC_NO_CHANGE_1,MEAN,QUARTERLY_ROLL,2027/4F,45813,,,'')&lt;/Q&gt;&lt;R&gt;0&lt;/R&gt;&lt;C&gt;0&lt;/C&gt;&lt;/FQL&gt;&lt;FQL&gt;&lt;Q&gt;Ticker0024^FE_ESTIMATE(SPEC_NO_CHANGE_1,MEAN,QUARTERLY_ROLL,2027/3F,45813,,,'')&lt;/Q&gt;&lt;R&gt;0&lt;/R&gt;&lt;C&gt;0&lt;/C&gt;&lt;/FQL&gt;&lt;FQL&gt;&lt;Q&gt;Ticker0024^FE_ESTIMATE(SPEC_NO_CHANGE_1,MEAN,QUARTERLY_ROLL,2027/2F,45813,,,'')&lt;/Q&gt;&lt;R&gt;0&lt;/R&gt;&lt;C&gt;0&lt;/C&gt;&lt;/FQL&gt;&lt;FQL&gt;&lt;Q&gt;Ticker0024^FE_ESTIMATE(SPEC_NO_CHANGE_1,MEAN,QUARTERLY_ROLL,2027/1F,45813,,,'')&lt;/Q&gt;&lt;R&gt;0&lt;/R&gt;&lt;C&gt;0&lt;/C&gt;&lt;/FQL&gt;&lt;FQL&gt;&lt;Q&gt;Ticker0024^FE_ESTIMATE(SPEC_NO_CHANGE_1,MEAN,ANNUAL_ROLL,2026,45813,,,'')&lt;/Q&gt;&lt;R&gt;1&lt;/R&gt;&lt;C&gt;1&lt;/C&gt;&lt;D xsi:type="xsd:double"&gt;32.2&lt;/D&gt;&lt;/FQL&gt;&lt;FQL&gt;&lt;Q&gt;Ticker0024^FE_ESTIMATE(SPEC_NO_CHANGE_1,MEAN,QUARTERLY_ROLL,2026/4F,45813,,,'')&lt;/Q&gt;&lt;R&gt;1&lt;/R&gt;&lt;C&gt;1&lt;/C&gt;&lt;D xsi:type="xsd:double"&gt;31.266666&lt;/D&gt;&lt;/FQL&gt;&lt;FQL&gt;&lt;Q&gt;Ticker0024^FE_ESTIMATE(SPEC_NO_CHANGE_1,MEAN,QUARTERLY_ROLL,2026/3F,45813,,,'')&lt;/Q&gt;&lt;R&gt;1&lt;/R&gt;&lt;C&gt;1&lt;/C&gt;&lt;D xsi:type="xsd:double"&gt;31.9&lt;/D&gt;&lt;/FQL&gt;&lt;FQL&gt;&lt;Q&gt;Ticker0024^FE_ESTIMATE(SPEC_NO_CHANGE_1,MEAN,QUARTERLY_ROLL,2026/2F,45813,,,'')&lt;/Q&gt;&lt;R&gt;1&lt;/R&gt;&lt;C&gt;1&lt;/C&gt;&lt;D xsi:type="xsd:double"&gt;32.566666&lt;/D&gt;&lt;/FQL&gt;&lt;FQL&gt;&lt;Q&gt;Ticker0024^FE_ESTIMATE(SPEC_NO_CHANGE_1,MEAN,QUARTERLY_ROLL,2026/1F,45813,,,'')&lt;/Q&gt;&lt;R&gt;1&lt;/R&gt;&lt;C&gt;1&lt;/C&gt;&lt;D xsi:type="xsd:double"&gt;33.3&lt;/D&gt;&lt;/FQL&gt;&lt;FQL&gt;&lt;Q&gt;Ticker0024^FE_ESTIMATE(SPEC_NO_CHANGE_1,MEAN,ANNUAL_ROLL,2025,45813,,,'')&lt;/Q&gt;&lt;R&gt;1&lt;/R&gt;&lt;C&gt;1&lt;/C&gt;&lt;D xsi:type="xsd:double"&gt;32.833332&lt;/D&gt;&lt;/FQL&gt;&lt;FQL&gt;&lt;Q&gt;Ticker0024^FE_ESTIMATE(SPEC_NO_CHANGE_1,MEAN,QUARTERLY_ROLL,2025/4F,45813,,,'')&lt;/Q&gt;&lt;R&gt;1&lt;/R&gt;&lt;C&gt;1&lt;/C&gt;&lt;D xsi:type="xsd:double"&gt;34.6&lt;/D&gt;&lt;/FQL&gt;&lt;FQL&gt;&lt;Q&gt;Ticker0024^FE_ESTIMATE(SPEC_NO_CHANGE_1,MEAN,QUARTERLY_ROLL,2025/3F,45813,,,'')&lt;/Q&gt;&lt;R&gt;0&lt;/R&gt;&lt;C&gt;0&lt;/C&gt;&lt;/FQL&gt;&lt;FQL&gt;&lt;Q&gt;Ticker0024^FE_ESTIMATE(SPEC_NO_CHANGE_1,MEAN,QUARTERLY_ROLL,2025/2F,45813,,,'')&lt;/Q&gt;&lt;R&gt;1&lt;/R&gt;&lt;C&gt;1&lt;/C&gt;&lt;D xsi:type="xsd:double"&gt;31&lt;/D&gt;&lt;/FQL&gt;&lt;FQL&gt;&lt;Q&gt;Ticker0024^FE_ESTIMATE(SPEC_NO_CHANGE_1,MEAN,QUARTERLY_ROLL,2025/1F,45813,,,'')&lt;/Q&gt;&lt;R&gt;1&lt;/R&gt;&lt;C&gt;1&lt;/C&gt;&lt;D xsi:type="xsd:double"&gt;31.05&lt;/D&gt;&lt;/FQL&gt;&lt;FQL&gt;&lt;Q&gt;Ticker0024^FE_ESTIMATE(SPEC_NO_CHANGE_1,MEAN,ANNUAL_ROLL,2024,45813,,,'')&lt;/Q&gt;&lt;R&gt;1&lt;/R&gt;&lt;C&gt;1&lt;/C&gt;&lt;D xsi:type="xsd:double"&gt;29.966667&lt;/D&gt;&lt;/FQL&gt;&lt;FQL&gt;&lt;Q&gt;Ticker0024^FE_ESTIMATE(SPEC_NO_CHANGE_1,MEAN,QUARTERLY_ROLL,2024/4F,45813,,,'')&lt;/Q&gt;&lt;R&gt;1&lt;/R&gt;&lt;C&gt;1&lt;/C&gt;&lt;D xsi:type="xsd:double"&gt;28.933332&lt;/D&gt;&lt;/FQL&gt;&lt;FQL&gt;&lt;Q&gt;Ticker0024^FE_ESTIMATE(SPEC_NO_CHANGE_1,MEAN,QUARTERLY_ROLL,2024/3F,45813,,,'')&lt;/Q&gt;&lt;R&gt;1&lt;/R&gt;&lt;C&gt;1&lt;/C&gt;&lt;D xsi:type="xsd:double"&gt;31.02&lt;/D&gt;&lt;/FQL&gt;&lt;FQL&gt;&lt;Q&gt;Ticker0024^FE_ESTIMATE(SPEC_NO_CHANGE_1,MEAN,QUARTERLY_ROLL,2024/2F,45813,,,'')&lt;/Q&gt;&lt;R&gt;1&lt;/R&gt;&lt;C&gt;1&lt;/C&gt;&lt;D xsi:type="xsd:double"&gt;30.06&lt;/D&gt;&lt;/FQL&gt;&lt;FQL&gt;&lt;Q&gt;Ticker0024^FE_ESTIMATE(SPEC_NO_CHANGE_1,MEAN,QUARTERLY_ROLL,2024/1F,45813,,,'')&lt;/Q&gt;&lt;R&gt;1&lt;/R&gt;&lt;C&gt;1&lt;/C&gt;&lt;D xsi:type="xsd:double"&gt;29.066668&lt;/D&gt;&lt;/FQL&gt;&lt;FQL&gt;&lt;Q&gt;Ticker0024^FE_ESTIMATE(SPEC_NO_CHANGE_1,MEAN,ANNUAL_ROLL,2023,45813,,,'')&lt;/Q&gt;&lt;R&gt;1&lt;/R&gt;&lt;C&gt;1&lt;/C&gt;&lt;D xsi:type="xsd:double"&gt;29.166666&lt;/D&gt;&lt;/FQL&gt;&lt;FQL&gt;&lt;Q&gt;Ticker0024^FE_ESTIMATE(SPEC_NO_CHANGE_1,MEAN,QUARTERLY_ROLL,2023/4F,45813,,,'')&lt;/Q&gt;&lt;R&gt;1&lt;/R&gt;&lt;C&gt;1&lt;/C&gt;&lt;D xsi:type="xsd:double"&gt;25.916666&lt;/D&gt;&lt;/FQL&gt;&lt;FQL&gt;&lt;Q&gt;Ticker0024^FE_ESTIMATE(SPEC_NO_CHANGE_1,MEAN,QUARTERLY_ROLL,2023/3F,45813,,,'')&lt;/Q&gt;&lt;R&gt;1&lt;/R&gt;&lt;C&gt;1&lt;/C&gt;&lt;D xsi:type="xsd:double"&gt;27.766666&lt;/D&gt;&lt;/FQL&gt;&lt;FQL&gt;&lt;Q&gt;Ticker0024^FE_ESTIMATE(SPEC_NO_CHANGE_1,MEAN,QUARTERLY_ROLL,2023/2F,45813,,,'')&lt;/Q&gt;&lt;R&gt;1&lt;/R&gt;&lt;C&gt;1&lt;/C&gt;&lt;D xsi:type="xsd:double"&gt;31&lt;/D&gt;&lt;/FQL&gt;&lt;FQL&gt;&lt;Q&gt;Ticker0024^FE_ESTIMATE(SPEC_NO_CHANGE_1,MEAN,QUARTERLY_ROLL,2023/1F,45813,,,'')&lt;/Q&gt;&lt;R&gt;1&lt;/R&gt;&lt;C&gt;1&lt;/C&gt;&lt;D xsi:type="xsd:double"&gt;35&lt;/D&gt;&lt;/FQL&gt;&lt;FQL&gt;&lt;Q&gt;Ticker0024^FE_ESTIMATE(SPEC_NO_CHANGE_1,MEAN,ANNUAL_ROLL,2022,45813,,,'')&lt;/Q&gt;&lt;R&gt;1&lt;/R&gt;&lt;C&gt;1&lt;/C&gt;&lt;D xsi:type="xsd:double"&gt;45.05&lt;/D&gt;&lt;/FQL&gt;&lt;FQL&gt;&lt;Q&gt;Ticker0024^FE_ESTIMATE(SPEC_NO_CHANGE_1,MEAN,QUARTERLY_ROLL,2022/4F,45813,,,'')&lt;/Q&gt;&lt;R&gt;1&lt;/R&gt;&lt;C&gt;1&lt;/C&gt;&lt;D xsi:type="xsd:double"&gt;40&lt;/D&gt;&lt;/FQL&gt;&lt;FQL&gt;&lt;Q&gt;Ticker0024^FE_ESTIMATE(SPEC_NO_CHANGE_1,MEAN,QUARTERLY_ROLL,2022/3F,45813,,,'')&lt;/Q&gt;&lt;R&gt;1&lt;/R&gt;&lt;C&gt;1&lt;/C&gt;&lt;D xsi:type="xsd:double"&gt;46&lt;/D&gt;&lt;/FQL&gt;&lt;FQL&gt;&lt;Q&gt;Ticker0024^FE_ESTIMATE(SPEC_NO_CHANGE_1,MEAN,QUARTERLY_ROLL,2022/2F,45813,,,'')&lt;/Q&gt;&lt;R&gt;1&lt;/R&gt;&lt;C&gt;1&lt;/C&gt;&lt;D xsi:type="xsd:double"&gt;46&lt;/D&gt;&lt;/FQL&gt;&lt;FQL&gt;&lt;Q&gt;Ticker0024^FE_ESTIMATE(SPEC_NO_CHANGE_1,MEAN,QUARTERLY_ROLL,2022/1F,45813,,,'')&lt;/Q&gt;&lt;R&gt;1&lt;/R&gt;&lt;C&gt;1&lt;/C&gt;&lt;D xsi:type="xsd:double"&gt;50&lt;/D&gt;&lt;/FQL&gt;&lt;FQL&gt;&lt;Q&gt;Ticker0024^FE_ESTIMATE(SPEC_NO_CHANGE_1,MEAN,ANNUAL_ROLL,2021,45813,,,'')&lt;/Q&gt;&lt;R&gt;1&lt;/R&gt;&lt;C&gt;1&lt;/C&gt;&lt;D xsi:type="xsd:double"&gt;49.8&lt;/D&gt;&lt;/FQL&gt;&lt;FQL&gt;&lt;Q&gt;Ticker0024^FE_ESTIMATE(SPEC_NO_CHANGE_1,MEAN,QUARTERLY_ROLL,2021/4F,45813,,,'')&lt;/Q&gt;&lt;R&gt;1&lt;/R&gt;&lt;C&gt;1&lt;/C&gt;&lt;D xsi:type="xsd:double"&gt;51&lt;/D&gt;&lt;/FQL&gt;&lt;FQL&gt;&lt;Q&gt;Ticker0024^FE_ESTIMATE(SPEC_NO_CHANGE_1,MEAN,QUARTERLY_ROLL,2021/3F,45813,,,'')&lt;/Q&gt;&lt;R&gt;1&lt;/R&gt;&lt;C&gt;1&lt;/C&gt;&lt;D xsi:type="xsd:double"&gt;50&lt;/D&gt;&lt;/FQL&gt;&lt;FQL&gt;&lt;Q&gt;Ticker0024^FE_ESTIMATE(SPEC_NO_CHANGE_1,MEAN,QUARTERLY_ROLL,2021/2F,45813,,,'')&lt;/Q&gt;&lt;R&gt;1&lt;/R&gt;&lt;C&gt;1&lt;/C&gt;&lt;D xsi:type="xsd:double"&gt;50&lt;/D&gt;&lt;/FQL&gt;&lt;FQL&gt;&lt;Q&gt;Ticker0024^FE_ESTIMATE(SPEC_NO_CHANGE_1,MEAN,QUARTERLY_ROLL,2021/1F,45813,,,'')&lt;/Q&gt;&lt;R&gt;1&lt;/R&gt;&lt;C&gt;1&lt;/C&gt;&lt;D xsi:type="xsd:double"&gt;48&lt;/D&gt;&lt;/FQL&gt;&lt;FQL&gt;&lt;Q&gt;Ticker0024^FE_ESTIMATE(SPEC_NO_CHANGE_1,MEAN,ANNUAL_ROLL,2020,45813,,,'')&lt;/Q&gt;&lt;R&gt;0&lt;/R&gt;&lt;C&gt;0&lt;/C&gt;&lt;/FQL&gt;&lt;FQL&gt;&lt;Q&gt;Ticker0024^FE_ESTIMATE(SPEC_NO_CHANGE_1,MEAN,QUARTERLY_ROLL,2020/4F,45813,,,'')&lt;/Q&gt;&lt;R&gt;0&lt;/R&gt;&lt;C&gt;0&lt;/C&gt;&lt;/FQL&gt;&lt;FQL&gt;&lt;Q&gt;Ticker0024^FE_ESTIMATE(SPEC_NO_CHANGE_1,MEAN,QUARTERLY_ROLL,2020/3F,45813,,,'')&lt;/Q&gt;&lt;R&gt;0&lt;/R&gt;&lt;C&gt;0&lt;/C&gt;&lt;/FQL&gt;&lt;FQL&gt;&lt;Q&gt;Ticker0024^FE_ESTIMATE(SPEC_NO_CHANGE_1,MEAN,QUARTERLY_ROLL,2020/2F,45813,,,'')&lt;/Q&gt;&lt;R&gt;0&lt;/R&gt;&lt;C&gt;0&lt;/C&gt;&lt;/FQL&gt;&lt;FQL&gt;&lt;Q&gt;Ticker0024^FE_ESTIMATE(SPEC_NO_CHANGE_1,MEAN,QUARTERLY_ROLL,2020/1F,45813,,,'')&lt;/Q&gt;&lt;R&gt;0&lt;/R&gt;&lt;C&gt;0&lt;/C&gt;&lt;/FQL&gt;&lt;FQL&gt;&lt;Q&gt;Ticker0024^FE_ESTIMATE(SPEC_NO_CHANGE_1,MEAN,ANNUAL_ROLL,2019,45813,,,'')&lt;/Q&gt;&lt;R&gt;0&lt;/R&gt;&lt;C&gt;0&lt;/C&gt;&lt;/FQL&gt;&lt;FQL&gt;&lt;Q&gt;Ticker0024^FE_ESTIMATE(SPEC_NO_CHANGE_1,MEAN,QUARTERLY_ROLL,2019/4F,45813,,,'')&lt;/Q&gt;&lt;R&gt;0&lt;/R&gt;&lt;C&gt;0&lt;/C&gt;&lt;/FQL&gt;&lt;FQL&gt;&lt;Q&gt;Ticker0024^FE_ESTIMATE(SPEC_NO_CHANGE_1,MEAN,QUARTERLY_ROLL,2019/3F,45813,,,'')&lt;/Q&gt;&lt;R&gt;0&lt;/R&gt;&lt;C&gt;0&lt;/C&gt;&lt;/FQL&gt;&lt;FQL&gt;&lt;Q&gt;Ticker0024^FE_ESTIMATE(SPEC_NO_CHANGE_1,MEAN,QUARTERLY_ROLL,2019/2F,45813,,,'')&lt;/Q&gt;&lt;R&gt;0&lt;/R&gt;&lt;C&gt;0&lt;/C&gt;&lt;/FQL&gt;&lt;FQL&gt;&lt;Q&gt;Ticker0024^FE_ESTIMATE(SPEC_NO_CHANGE_1,MEAN,QUARTERLY_ROLL,2019/1F,45813,,,'')&lt;/Q&gt;&lt;R&gt;0&lt;/R&gt;&lt;C&gt;0&lt;/C&gt;&lt;/FQL&gt;&lt;FQL&gt;&lt;Q&gt;Ticker0024^FE_ESTIMATE(SPEC_NO_CHANGE_1,MEAN,ANNUAL_ROLL,2018,45813,,,'')&lt;/Q&gt;&lt;R&gt;0&lt;/R&gt;&lt;C&gt;0&lt;/C&gt;&lt;/FQL&gt;&lt;FQL&gt;&lt;Q&gt;Ticker0024^FE_ESTIMATE(SPEC_NO_CHANGE_1,MEAN,QUARTERLY_ROLL,2018/4F,45813,,,'')&lt;/Q&gt;&lt;R&gt;0&lt;/R&gt;&lt;C&gt;0&lt;/C&gt;&lt;/FQL&gt;&lt;FQL&gt;&lt;Q&gt;Ticker0024^FE_ESTIMATE(SPEC_NO_CHANGE_1,MEAN,QUARTERLY_ROLL,2</t>
        </r>
      </text>
    </comment>
    <comment ref="A57" authorId="0" shapeId="0" xr:uid="{DBD8431F-E4FB-4403-83E7-39B07EAB290A}">
      <text>
        <r>
          <rPr>
            <b/>
            <sz val="9"/>
            <color indexed="81"/>
            <rFont val="Tahoma"/>
            <family val="2"/>
          </rPr>
          <t>018/3F,45813,,,'')&lt;/Q&gt;&lt;R&gt;0&lt;/R&gt;&lt;C&gt;0&lt;/C&gt;&lt;/FQL&gt;&lt;FQL&gt;&lt;Q&gt;Ticker0024^FE_ESTIMATE(SPEC_NO_CHANGE_1,MEAN,QUARTERLY_ROLL,2018/2F,45813,,,'')&lt;/Q&gt;&lt;R&gt;0&lt;/R&gt;&lt;C&gt;0&lt;/C&gt;&lt;/FQL&gt;&lt;FQL&gt;&lt;Q&gt;Ticker0024^FE_ESTIMATE(SPEC_NO_CHANGE_1,MEAN,QUARTERLY_ROLL,2018/1F,45813,,,'')&lt;/Q&gt;&lt;R&gt;0&lt;/R&gt;&lt;C&gt;0&lt;/C&gt;&lt;/FQL&gt;&lt;FQL&gt;&lt;Q&gt;Ticker0024^FE_ESTIMATE(SPEC_NO_CHANGE_1,MEAN,ANNUAL_ROLL,2017,45813,,,'')&lt;/Q&gt;&lt;R&gt;0&lt;/R&gt;&lt;C&gt;0&lt;/C&gt;&lt;/FQL&gt;&lt;FQL&gt;&lt;Q&gt;Ticker0024^FE_ESTIMATE(SPEC_NO_CHANGE_1,MEAN,QUARTERLY_ROLL,2017/4F,45813,,,'')&lt;/Q&gt;&lt;R&gt;0&lt;/R&gt;&lt;C&gt;0&lt;/C&gt;&lt;/FQL&gt;&lt;FQL&gt;&lt;Q&gt;Ticker0024^FE_ESTIMATE(SPEC_NO_CHANGE_1,MEAN,QUARTERLY_ROLL,2017/3F,45813,,,'')&lt;/Q&gt;&lt;R&gt;0&lt;/R&gt;&lt;C&gt;0&lt;/C&gt;&lt;/FQL&gt;&lt;FQL&gt;&lt;Q&gt;Ticker0024^FE_ESTIMATE(SPEC_NO_CHANGE_1,MEAN,QUARTERLY_ROLL,2017/2F,45813,,,'')&lt;/Q&gt;&lt;R&gt;0&lt;/R&gt;&lt;C&gt;0&lt;/C&gt;&lt;/FQL&gt;&lt;FQL&gt;&lt;Q&gt;Ticker0024^FE_ESTIMATE(SPEC_NO_CHANGE_1,MEAN,QUARTERLY_ROLL,2017/1F,45813,,,'')&lt;/Q&gt;&lt;R&gt;0&lt;/R&gt;&lt;C&gt;0&lt;/C&gt;&lt;/FQL&gt;&lt;FQL&gt;&lt;Q&gt;Ticker0024^FE_ESTIMATE(SPEC_NO_CHANGE_1,MEAN,ANNUAL_ROLL,2016,45813,,,'')&lt;/Q&gt;&lt;R&gt;0&lt;/R&gt;&lt;C&gt;0&lt;/C&gt;&lt;/FQL&gt;&lt;FQL&gt;&lt;Q&gt;Ticker0024^FE_ESTIMATE(SPEC_NO_CHANGE_1,MEAN,QUARTERLY_ROLL,2016/4F,45813,,,'')&lt;/Q&gt;&lt;R&gt;0&lt;/R&gt;&lt;C&gt;0&lt;/C&gt;&lt;/FQL&gt;&lt;FQL&gt;&lt;Q&gt;Ticker0024^FE_ESTIMATE(SPEC_NO_CHANGE_1,MEAN,QUARTERLY_ROLL,2016/3F,45813,,,'')&lt;/Q&gt;&lt;R&gt;0&lt;/R&gt;&lt;C&gt;0&lt;/C&gt;&lt;/FQL&gt;&lt;FQL&gt;&lt;Q&gt;Ticker0024^FE_ESTIMATE(SPEC_NO_CHANGE_1,MEAN,QUARTERLY_ROLL,2016/2F,45813,,,'')&lt;/Q&gt;&lt;R&gt;0&lt;/R&gt;&lt;C&gt;0&lt;/C&gt;&lt;/FQL&gt;&lt;FQL&gt;&lt;Q&gt;Ticker0024^FE_ESTIMATE(SPEC_NO_CHANGE_1,MEAN,QUARTERLY_ROLL,2016/1F,45813,,,'')&lt;/Q&gt;&lt;R&gt;0&lt;/R&gt;&lt;C&gt;0&lt;/C&gt;&lt;/FQL&gt;&lt;FQL&gt;&lt;Q&gt;Ticker0024^FE_ESTIMATE(SPEC_NO_CHANGE_1,MEAN,ANNUAL_ROLL,2015,45813,,,'')&lt;/Q&gt;&lt;R&gt;0&lt;/R&gt;&lt;C&gt;0&lt;/C&gt;&lt;/FQL&gt;&lt;FQL&gt;&lt;Q&gt;Ticker0024^FE_ESTIMATE(SPEC_NO_CHANGE_1,MEAN,QUARTERLY_ROLL,2015/4F,45813,,,'')&lt;/Q&gt;&lt;R&gt;0&lt;/R&gt;&lt;C&gt;0&lt;/C&gt;&lt;/FQL&gt;&lt;FQL&gt;&lt;Q&gt;Ticker0024^FE_ESTIMATE(SPEC_NO_CHANGE_1,MEAN,QUARTERLY_ROLL,2015/3F,45813,,,'')&lt;/Q&gt;&lt;R&gt;0&lt;/R&gt;&lt;C&gt;0&lt;/C&gt;&lt;/FQL&gt;&lt;FQL&gt;&lt;Q&gt;Ticker0024^FE_ESTIMATE(SPEC_NO_CHANGE_1,MEAN,QUARTERLY_ROLL,2015/2F,45813,,,'')&lt;/Q&gt;&lt;R&gt;0&lt;/R&gt;&lt;C&gt;0&lt;/C&gt;&lt;/FQL&gt;&lt;FQL&gt;&lt;Q&gt;Ticker0024^FE_ESTIMATE(SPEC_NO_CHANGE_1,MEAN,QUARTERLY_ROLL,2015/1F,45813,,,'')&lt;/Q&gt;&lt;R&gt;0&lt;/R&gt;&lt;C&gt;0&lt;/C&gt;&lt;/FQL&gt;&lt;FQL&gt;&lt;Q&gt;Ticker0024^FE_ESTIMATE(NEW_ORDERS_VALUE,MEAN,ANNUAL_ROLL,2030,45813,,,'')&lt;/Q&gt;&lt;R&gt;0&lt;/R&gt;&lt;C&gt;0&lt;/C&gt;&lt;/FQL&gt;&lt;FQL&gt;&lt;Q&gt;Ticker0024^FE_ESTIMATE(NEW_ORDERS_VALUE,MEAN,QUARTERLY_ROLL,2030/4F,45813,,,'')&lt;/Q&gt;&lt;R&gt;0&lt;/R&gt;&lt;C&gt;0&lt;/C&gt;&lt;/FQL&gt;&lt;FQL&gt;&lt;Q&gt;Ticker0024^FE_ESTIMATE(NEW_ORDERS_VALUE,MEAN,QUARTERLY_ROLL,2030/3F,45813,,,'')&lt;/Q&gt;&lt;R&gt;0&lt;/R&gt;&lt;C&gt;0&lt;/C&gt;&lt;/FQL&gt;&lt;FQL&gt;&lt;Q&gt;Ticker0024^FE_ESTIMATE(NEW_ORDERS_VALUE,MEAN,QUARTERLY_ROLL,2030/2F,45813,,,'')&lt;/Q&gt;&lt;R&gt;0&lt;/R&gt;&lt;C&gt;0&lt;/C&gt;&lt;/FQL&gt;&lt;FQL&gt;&lt;Q&gt;Ticker0024^FE_ESTIMATE(NEW_ORDERS_VALUE,MEAN,QUARTERLY_ROLL,2030/1F,45813,,,'')&lt;/Q&gt;&lt;R&gt;0&lt;/R&gt;&lt;C&gt;0&lt;/C&gt;&lt;/FQL&gt;&lt;FQL&gt;&lt;Q&gt;Ticker0024^FE_ESTIMATE(NEW_ORDERS_VALUE,MEAN,ANNUAL_ROLL,2029,45813,,,'')&lt;/Q&gt;&lt;R&gt;0&lt;/R&gt;&lt;C&gt;0&lt;/C&gt;&lt;/FQL&gt;&lt;FQL&gt;&lt;Q&gt;Ticker0024^FE_ESTIMATE(NEW_ORDERS_VALUE,MEAN,QUARTERLY_ROLL,2029/4F,45813,,,'')&lt;/Q&gt;&lt;R&gt;0&lt;/R&gt;&lt;C&gt;0&lt;/C&gt;&lt;/FQL&gt;&lt;FQL&gt;&lt;Q&gt;Ticker0024^FE_ESTIMATE(NEW_ORDERS_VALUE,MEAN,QUARTERLY_ROLL,2029/3F,45813,,,'')&lt;/Q&gt;&lt;R&gt;0&lt;/R&gt;&lt;C&gt;0&lt;/C&gt;&lt;/FQL&gt;&lt;FQL&gt;&lt;Q&gt;Ticker0024^FE_ESTIMATE(NEW_ORDERS_VALUE,MEAN,QUARTERLY_ROLL,2029/2F,45813,,,'')&lt;/Q&gt;&lt;R&gt;0&lt;/R&gt;&lt;C&gt;0&lt;/C&gt;&lt;/FQL&gt;&lt;FQL&gt;&lt;Q&gt;Ticker0024^FE_ESTIMATE(NEW_ORDERS_VALUE,MEAN,QUARTERLY_ROLL,2029/1F,45813,,,'')&lt;/Q&gt;&lt;R&gt;0&lt;/R&gt;&lt;C&gt;0&lt;/C&gt;&lt;/FQL&gt;&lt;FQL&gt;&lt;Q&gt;Ticker0024^FE_ESTIMATE(NEW_ORDERS_VALUE,MEAN,ANNUAL_ROLL,2028,45813,,,'')&lt;/Q&gt;&lt;R&gt;0&lt;/R&gt;&lt;C&gt;0&lt;/C&gt;&lt;/FQL&gt;&lt;FQL&gt;&lt;Q&gt;Ticker0024^FE_ESTIMATE(NEW_ORDERS_VALUE,MEAN,QUARTERLY_ROLL,2028/4F,45813,,,'')&lt;/Q&gt;&lt;R&gt;0&lt;/R&gt;&lt;C&gt;0&lt;/C&gt;&lt;/FQL&gt;&lt;FQL&gt;&lt;Q&gt;Ticker0024^FE_ESTIMATE(NEW_ORDERS_VALUE,MEAN,QUARTERLY_ROLL,2028/3F,45813,,,'')&lt;/Q&gt;&lt;R&gt;0&lt;/R&gt;&lt;C&gt;0&lt;/C&gt;&lt;/FQL&gt;&lt;FQL&gt;&lt;Q&gt;Ticker0024^FE_ESTIMATE(NEW_ORDERS_VALUE,MEAN,QUARTERLY_ROLL,2028/2F,45813,,,'')&lt;/Q&gt;&lt;R&gt;0&lt;/R&gt;&lt;C&gt;0&lt;/C&gt;&lt;/FQL&gt;&lt;FQL&gt;&lt;Q&gt;Ticker0024^FE_ESTIMATE(NEW_ORDERS_VALUE,MEAN,QUARTERLY_ROLL,2028/1F,45813,,,'')&lt;/Q&gt;&lt;R&gt;0&lt;/R&gt;&lt;C&gt;0&lt;/C&gt;&lt;/FQL&gt;&lt;FQL&gt;&lt;Q&gt;Ticker0024^FE_ESTIMATE(NEW_ORDERS_VALUE,MEAN,ANNUAL_ROLL,2027,45813,,,'')&lt;/Q&gt;&lt;R&gt;0&lt;/R&gt;&lt;C&gt;0&lt;/C&gt;&lt;/FQL&gt;&lt;FQL&gt;&lt;Q&gt;Ticker0024^FE_ESTIMATE(NEW_ORDERS_VALUE,MEAN,QUARTERLY_ROLL,2027/4F,45813,,,'')&lt;/Q&gt;&lt;R&gt;0&lt;/R&gt;&lt;C&gt;0&lt;/C&gt;&lt;/FQL&gt;&lt;FQL&gt;&lt;Q&gt;Ticker0024^FE_ESTIMATE(NEW_ORDERS_VALUE,MEAN,QUARTERLY_ROLL,2027/3F,45813,,,'')&lt;/Q&gt;&lt;R&gt;0&lt;/R&gt;&lt;C&gt;0&lt;/C&gt;&lt;/FQL&gt;&lt;FQL&gt;&lt;Q&gt;Ticker0024^FE_ESTIMATE(NEW_ORDERS_VALUE,MEAN,QUARTERLY_ROLL,2027/2F,45813,,,'')&lt;/Q&gt;&lt;R&gt;0&lt;/R&gt;&lt;C&gt;0&lt;/C&gt;&lt;/FQL&gt;&lt;FQL&gt;&lt;Q&gt;Ticker0024^FE_ESTIMATE(NEW_ORDERS_VALUE,MEAN,QUARTERLY_ROLL,2027/1F,45813,,,'')&lt;/Q&gt;&lt;R&gt;0&lt;/R&gt;&lt;C&gt;0&lt;/C&gt;&lt;/FQL&gt;&lt;FQL&gt;&lt;Q&gt;Ticker0024^FE_ESTIMATE(NEW_ORDERS_VALUE,MEAN,ANNUAL_ROLL,2026,45813,,,'')&lt;/Q&gt;&lt;R&gt;1&lt;/R&gt;&lt;C&gt;1&lt;/C&gt;&lt;D xsi:type="xsd:double"&gt;319817&lt;/D&gt;&lt;/FQL&gt;&lt;FQL&gt;&lt;Q&gt;Ticker0024^FE_ESTIMATE(NEW_ORDERS_VALUE,MEAN,QUARTERLY_ROLL,2026/4F,45813,,,'')&lt;/Q&gt;&lt;R&gt;0&lt;/R&gt;&lt;C&gt;0&lt;/C&gt;&lt;/FQL&gt;&lt;FQL&gt;&lt;Q&gt;Ticker0024^FE_ESTIMATE(NEW_ORDERS_VALUE,MEAN,QUARTERLY_ROLL,2026/3F,45813,,,'')&lt;/Q&gt;&lt;R&gt;0&lt;/R&gt;&lt;C&gt;0&lt;/C&gt;&lt;/FQL&gt;&lt;FQL&gt;&lt;Q&gt;Ticker0024^FE_ESTIMATE(NEW_ORDERS_VALUE,MEAN,QUARTERLY_ROLL,2026/2F,45813,,,'')&lt;/Q&gt;&lt;R&gt;0&lt;/R&gt;&lt;C&gt;0&lt;/C&gt;&lt;/FQL&gt;&lt;FQL&gt;&lt;Q&gt;Ticker0024^FE_ESTIMATE(NEW_ORDERS_VALUE,MEAN,QUARTERLY_ROLL,2026/1F,45813,,,'')&lt;/Q&gt;&lt;R&gt;0&lt;/R&gt;&lt;C&gt;0&lt;/C&gt;&lt;/FQL&gt;&lt;FQL&gt;&lt;Q&gt;Ticker0024^FE_ESTIMATE(NEW_ORDERS_VALUE,MEAN,ANNUAL_ROLL,2025,45813,,,'')&lt;/Q&gt;&lt;R&gt;1&lt;/R&gt;&lt;C&gt;1&lt;/C&gt;&lt;D xsi:type="xsd:double"&gt;287592&lt;/D&gt;&lt;/FQL&gt;&lt;FQL&gt;&lt;Q&gt;Ticker0024^FE_ESTIMATE(NEW_ORDERS_VALUE,MEAN,QUARTERLY_ROLL,2025/4F,45813,,,'')&lt;/Q&gt;&lt;R&gt;1&lt;/R&gt;&lt;C&gt;1&lt;/C&gt;&lt;D xsi:type="xsd:double"&gt;95017&lt;/D&gt;&lt;/FQL&gt;&lt;FQL&gt;&lt;Q&gt;Ticker0024^FE_ESTIMATE(NEW_ORDERS_VALUE,MEAN,QUARTERLY_ROLL,2025/3F,45813,,,'')&lt;/Q&gt;&lt;R&gt;1&lt;/R&gt;&lt;C&gt;1&lt;/C&gt;&lt;D xsi:type="xsd:double"&gt;69497&lt;/D&gt;&lt;/FQL&gt;&lt;FQL&gt;&lt;Q&gt;Ticker0024^FE_ESTIMATE(NEW_ORDERS_VALUE,MEAN,QUARTERLY_ROLL,2025/2F,45813,,,'')&lt;/Q&gt;&lt;R&gt;1&lt;/R&gt;&lt;C&gt;1&lt;/C&gt;&lt;D xsi:type="xsd:double"&gt;61988&lt;/D&gt;&lt;/FQL&gt;&lt;FQL&gt;&lt;Q&gt;Ticker0024^FE_ESTIMATE(NEW_ORDERS_VALUE,MEAN,QUARTERLY_ROLL,2025/1F,45813,,,'')&lt;/Q&gt;&lt;R&gt;0&lt;/R&gt;&lt;C&gt;0&lt;/C&gt;&lt;/FQL&gt;&lt;FQL&gt;&lt;Q&gt;Ticker0024^FE_ESTIMATE(NEW_ORDERS_VALUE,MEAN,ANNUAL_ROLL,2024,45813,,,'')&lt;/Q&gt;&lt;R&gt;0&lt;/R&gt;&lt;C&gt;0&lt;/C&gt;&lt;/FQL&gt;&lt;FQL&gt;&lt;Q&gt;Ticker0024^FE_ESTIMATE(NEW_ORDERS_VALUE,MEAN,QUARTERLY_ROLL,2024/4F,45813,,,'')&lt;/Q&gt;&lt;R&gt;0&lt;/R&gt;&lt;C&gt;0&lt;/C&gt;&lt;/FQL&gt;&lt;FQL&gt;&lt;Q&gt;Ticker0024^FE_ESTIMATE(NEW_ORDERS_VALUE,MEAN,QUARTERLY_ROLL,2024/3F,45813,,,'')&lt;/Q&gt;&lt;R&gt;0&lt;/R&gt;&lt;C&gt;0&lt;/C&gt;&lt;/FQL&gt;&lt;FQL&gt;&lt;Q&gt;Ticker0024^FE_ESTIMATE(NEW_ORDERS_VALUE,MEAN,QUARTERLY_ROLL,2024/2F,45813,,,'')&lt;/Q&gt;&lt;R&gt;0&lt;/R&gt;&lt;C&gt;0&lt;/C&gt;&lt;/FQL&gt;&lt;FQL&gt;&lt;Q&gt;Ticker0024^FE_ESTIMATE(NEW_ORDERS_VALUE,MEAN,QUARTERLY_ROLL,2024/1F,45813,,,'')&lt;/Q&gt;&lt;R&gt;0&lt;/R&gt;&lt;C&gt;0&lt;/C&gt;&lt;/FQL&gt;&lt;FQL&gt;&lt;Q&gt;Ticker0024^FE_ESTIMATE(NEW_ORDERS_VALUE,MEAN,ANNUAL_ROLL,2023,45813,,,'')&lt;/Q&gt;&lt;R&gt;1&lt;/R&gt;&lt;C&gt;1&lt;/C&gt;&lt;D xsi:type="xsd:double"&gt;217320&lt;/D&gt;&lt;/FQL&gt;&lt;FQL&gt;&lt;Q&gt;Ticker0024^FE_ESTIMATE(NEW_ORDERS_VALUE,MEAN,QUARTERLY_ROLL,2023/4F,45813,,,'')&lt;/Q&gt;&lt;R&gt;1&lt;/R&gt;&lt;C&gt;1&lt;/C&gt;&lt;D xsi:type="xsd:double"&gt;70401&lt;/D&gt;&lt;/FQL&gt;&lt;FQL&gt;&lt;Q&gt;Ticker0024^FE_ESTIMATE(NEW_ORDERS_VALUE,MEAN,QUARTERLY_ROLL,2023/3F,45813,,,'')&lt;/Q&gt;&lt;R&gt;1&lt;/R&gt;&lt;C&gt;1&lt;/C&gt;&lt;D xsi:type="xsd:double"&gt;52832&lt;/D&gt;&lt;/FQL&gt;&lt;FQL&gt;&lt;Q&gt;Ticker0024^FE_ESTIMATE(NEW_ORDERS_VALUE,MEAN,QUARTERLY_ROLL,2023/2F,45813,,,'')&lt;/Q&gt;&lt;R&gt;1&lt;/R&gt;&lt;C&gt;1&lt;/C&gt;&lt;D xsi:type="xsd:double"&gt;48484&lt;/D&gt;&lt;/FQL&gt;&lt;FQL&gt;&lt;Q&gt;Ticker0024^FE_ESTIMATE(NEW_ORDERS_VALUE,MEAN,QUARTERLY_ROLL,2023/1F,45813,,,'')&lt;/Q&gt;&lt;R&gt;1&lt;/R&gt;&lt;C&gt;1&lt;/C&gt;&lt;D xsi:type="xsd:double"&gt;45603&lt;/D&gt;&lt;/FQL&gt;&lt;FQL&gt;&lt;Q&gt;Ticker0024^FE_ESTIMATE(NEW_ORDERS_VALUE,MEAN,ANNUAL_ROLL,2022,45813,,,'')&lt;/Q&gt;&lt;R&gt;1&lt;/R&gt;&lt;C&gt;1&lt;/C&gt;&lt;D xsi:type="xsd:double"&gt;202537&lt;/D&gt;&lt;/FQL&gt;&lt;FQL&gt;&lt;Q&gt;Ticker0024^FE_ESTIMATE(NEW_ORDERS_VALUE,MEAN,QUARTERLY_ROLL,2022/4F,45813,,,'')&lt;/Q&gt;&lt;R&gt;1&lt;/R&gt;&lt;C&gt;1&lt;/C&gt;&lt;D xsi:type="xsd:double"&gt;63477&lt;/D&gt;&lt;/FQL&gt;&lt;FQL&gt;&lt;Q&gt;Ticker0024^FE_ESTIMATE(NEW_ORDERS_VALUE,MEAN,QUARTERLY_ROLL,2022/3F,45813,,,'')&lt;/Q&gt;&lt;R&gt;1&lt;/R&gt;&lt;C&gt;1&lt;/C&gt;&lt;D xsi:type="xsd:double"&gt;49387&lt;/D&gt;&lt;/FQL&gt;&lt;FQL&gt;&lt;Q&gt;Ticker0024^FE_ESTIMATE(NEW_ORDERS_VALUE,MEAN,QUARTERLY_ROLL,2022/2F,45813,,,'')&lt;/Q&gt;&lt;R&gt;1&lt;/R&gt;&lt;C&gt;1&lt;/C&gt;&lt;D xsi:type="xsd:double"&gt;47482&lt;/D&gt;&lt;/FQL&gt;&lt;FQL&gt;&lt;Q&gt;Ticker0024^FE_ESTIMATE(NEW_ORDERS_VALUE,MEAN,QUARTERLY_ROLL,2022/1F,45813,,,'')&lt;/Q&gt;&lt;R&gt;1&lt;/R&gt;&lt;C&gt;1&lt;/C&gt;&lt;D xsi:type="xsd:double"&gt;42191&lt;/D&gt;&lt;/FQL&gt;&lt;FQL&gt;&lt;Q&gt;Ticker0024^FE_ESTIMATE(NEW_ORDERS_VALUE,MEAN,ANNUAL_ROLL,2021,45813,,,'')&lt;/Q&gt;&lt;R&gt;1&lt;/R&gt;&lt;C&gt;1&lt;/C&gt;&lt;D xsi:type="xsd:double"&gt;173049&lt;/D&gt;&lt;/FQL&gt;&lt;FQL&gt;&lt;Q&gt;Ticker0024^FE_ESTIMATE(NEW_ORDERS_VALUE,MEAN,QUARTERLY_ROLL,2021/4F,45813,,,'')&lt;/Q&gt;&lt;R&gt;1&lt;/R&gt;&lt;C&gt;1&lt;/C&gt;&lt;D xsi:type="xsd:double"&gt;57579&lt;/D&gt;&lt;/FQL&gt;&lt;FQL&gt;&lt;Q&gt;Ticker0024^FE_ESTIMATE(NEW_ORDERS_VALUE,MEAN,QUARTERLY_ROLL,2021/3F,45813,,,'')&lt;/Q&gt;&lt;R&gt;1&lt;/R&gt;&lt;C&gt;1&lt;/C&gt;&lt;D xsi:type="xsd:double"&gt;40710.5&lt;/D&gt;&lt;/FQL&gt;&lt;FQL&gt;&lt;Q&gt;Ticker0024^FE_ESTIMATE(NEW_ORDERS_VALUE,MEAN,QUARTERLY_ROLL,2021/2F,45813,,,'')&lt;/Q&gt;&lt;R&gt;1&lt;/R&gt;&lt;C&gt;1&lt;/C&gt;&lt;D xsi:type="xsd:double"&gt;40158&lt;/D&gt;&lt;/FQL&gt;&lt;FQL&gt;&lt;Q&gt;Ticker0024^FE_ESTIMATE(NEW_ORDERS_VALUE,MEAN,QUARTERLY_ROLL,2021/1F,45813,,,'')&lt;/Q&gt;&lt;R&gt;1&lt;/R&gt;&lt;C&gt;1&lt;/C&gt;&lt;D xsi:type="xsd:double"&gt;34160.5&lt;/D&gt;&lt;/FQL&gt;&lt;FQL&gt;&lt;Q&gt;Ticker0024^FE_ESTIMATE(NEW_ORDERS_VALUE,MEAN,ANNUAL_ROLL,2020,45813,,,'')&lt;/Q&gt;&lt;R&gt;0&lt;/R&gt;&lt;C&gt;0&lt;/C&gt;&lt;/FQL&gt;&lt;FQL&gt;&lt;Q&gt;Ticker0024^FE_ESTIMATE(NEW_ORDERS_VALUE,MEAN,QUARTERLY_ROLL,2020/4F,45813,,,'')&lt;/Q&gt;&lt;R&gt;0&lt;/R&gt;&lt;C&gt;0&lt;/C&gt;&lt;/FQL&gt;&lt;FQL&gt;&lt;Q&gt;Ticker0024^FE_ESTIMATE(NEW_ORDERS_VALUE,MEAN,QUARTERLY_ROLL,2020/3F,45813,,,'')&lt;/Q&gt;&lt;R&gt;0&lt;/R&gt;&lt;C&gt;0&lt;/C&gt;&lt;/FQL&gt;&lt;FQL&gt;&lt;Q&gt;Ticker0024^FE_ESTIMATE(NEW_ORDERS_VALUE,MEAN,QUARTERLY_ROLL,2020/2F,45813,,,'')&lt;/Q&gt;&lt;R&gt;1&lt;/R&gt;&lt;C&gt;1&lt;/C&gt;&lt;D xsi:type="xsd:double"&gt;34101&lt;/D&gt;&lt;/FQL&gt;&lt;FQL&gt;&lt;Q&gt;Ticker0024^FE_ESTIMATE(NEW_ORDERS_VALUE,MEAN,QUARTERLY_ROLL,2020/1F,45813,,,'')&lt;/Q&gt;&lt;R&gt;1&lt;/R&gt;&lt;C&gt;1&lt;/C&gt;&lt;D xsi:type="xsd:double"&gt;29875&lt;/D&gt;&lt;/FQL&gt;&lt;FQL&gt;&lt;Q&gt;Ticker0024^FE_ESTIMATE(NEW_ORDERS_VALUE,MEAN,ANNUAL_ROLL,2019,45813,,,'')&lt;/Q&gt;&lt;R&gt;1&lt;/R&gt;&lt;C&gt;1&lt;/C&gt;&lt;D xsi:type="xsd:double"&gt;130329&lt;/D&gt;&lt;/FQL&gt;&lt;FQL&gt;&lt;Q&gt;Ticker0024^FE_ESTIMATE(NEW_ORDERS_VALUE,MEAN,QUARTERLY_ROLL,2019/4F,45813,,,'')&lt;/Q&gt;&lt;R&gt;1&lt;/R&gt;&lt;C&gt;1&lt;/C&gt;&lt;D xsi:type="xsd:double"&gt;42788&lt;/D&gt;&lt;/FQL&gt;&lt;FQL&gt;&lt;Q&gt;Ticker0024^FE_ESTIMATE(NEW_ORDERS_VALUE,MEAN,QUARTERLY_ROLL,2019/3F,45813,,,'')&lt;/Q&gt;&lt;R&gt;1&lt;/R&gt;&lt;C&gt;1&lt;/C&gt;&lt;D xsi:type="xsd:double"&gt;30622&lt;/D&gt;&lt;/FQL&gt;&lt;FQL&gt;&lt;Q&gt;Ticker0024^FE_ESTIMATE(NEW_ORDERS_VALUE,MEAN,QUARTERLY_ROLL,2019/2F,45813,,,'')&lt;/Q&gt;&lt;R&gt;1&lt;/R&gt;&lt;C&gt;1&lt;/C&gt;&lt;D xsi:type="xsd:double"&gt;30313&lt;/D&gt;&lt;/FQL&gt;&lt;FQL&gt;&lt;Q&gt;Ticker0024^FE_ESTIMATE(NEW_ORDERS_VALUE,MEAN,QUARTERLY_ROLL,2019/1F,45813,,,'')&lt;/Q&gt;&lt;R&gt;1&lt;/R&gt;&lt;C&gt;1&lt;/C&gt;&lt;D xsi:type="xsd:double"&gt;26606&lt;/D&gt;&lt;/FQL&gt;&lt;FQL&gt;&lt;Q&gt;Ticker0024^FE_ESTIMATE(NEW_ORDERS_VALUE,MEAN,ANNUAL_ROLL,2018,45813,,,'')&lt;/Q&gt;&lt;R&gt;1&lt;/R&gt;&lt;C&gt;1&lt;/C&gt;&lt;D xsi:type="xsd:double"&gt;116424&lt;/D&gt;&lt;/FQL&gt;&lt;FQL&gt;&lt;Q&gt;Ticker0024^FE_ESTIMATE(NEW_ORDERS_VALUE,MEAN,QUARTERLY_ROLL,2018/4F,45813,,,'')&lt;/Q&gt;&lt;R&gt;1&lt;/R&gt;&lt;C&gt;1&lt;/C&gt;&lt;D xsi:type="xsd:double"&gt;38850&lt;/D&gt;&lt;/FQL&gt;&lt;FQL&gt;&lt;Q&gt;Ticker0024^FE_ESTIMATE(NEW_ORDERS_VALUE,MEAN,QUARTERLY_ROLL,2018/3F,45813,,,'')&lt;/Q&gt;&lt;R&gt;1&lt;/R&gt;&lt;C&gt;1&lt;/C&gt;&lt;D xsi:type="xsd:double"&gt;26965&lt;/D&gt;&lt;/FQL&gt;&lt;FQL&gt;&lt;Q&gt;Ticker0024^FE_ESTIMATE(NEW_ORDERS_VALUE,MEAN,QUARTERLY_ROLL,2018/2F,45813,,,'')&lt;/Q&gt;&lt;R&gt;1&lt;/R&gt;&lt;C&gt;1&lt;/C&gt;&lt;D xsi:type="xsd:double"&gt;27823&lt;/D&gt;&lt;/FQL&gt;&lt;FQL&gt;&lt;Q&gt;Ticker0024^FE_ESTIMATE(NEW_ORDERS_VALUE,MEAN,QUARTERLY_ROLL,2018/1F,45813,,,'')&lt;/Q&gt;&lt;R&gt;1&lt;/R&gt;&lt;C&gt;1&lt;/C&gt;&lt;D xsi:type="xsd:double"&gt;22786&lt;/D&gt;&lt;/FQL&gt;&lt;FQL&gt;&lt;Q&gt;Ticker0024^FE_ESTIMATE(NEW_ORDERS_VALUE,MEAN,ANNUAL_ROLL,2017,45813,,,'')&lt;/Q&gt;&lt;R&gt;1&lt;/R&gt;&lt;C&gt;1&lt;/C&gt;&lt;D xsi:type="xsd:double"&gt;99926&lt;/D&gt;&lt;/FQL&gt;&lt;FQL&gt;&lt;Q&gt;Ticker0024^FE_ESTIMATE(NEW_ORDERS_VALUE,MEAN,QUARTERLY_ROLL,2017/4F,45813,,,'')&lt;/Q&gt;&lt;R&gt;1&lt;/R&gt;&lt;C&gt;1&lt;/C&gt;&lt;D xsi:type="xsd:double"&gt;32063.5&lt;/D&gt;&lt;/FQL&gt;&lt;FQL&gt;&lt;Q&gt;Ticker0024^FE_ESTIMATE(NEW_ORDERS_VALUE,MEAN,QUARTERLY_ROLL,2017/3F,45813,,,'')&lt;/Q&gt;&lt;R&gt;1&lt;/R&gt;&lt;C&gt;1&lt;/C&gt;&lt;D xsi:type="xsd:double"&gt;23144&lt;/D&gt;&lt;/FQL&gt;&lt;FQL&gt;&lt;Q&gt;Ticker0024^FE_ESTIMATE(NEW_ORDERS_VALUE,MEAN,QUARTERLY_ROLL,2017/2F,45813,,,'')&lt;/Q&gt;&lt;R&gt;1&lt;/R&gt;&lt;C&gt;1&lt;/C&gt;&lt;D xsi:type="xsd:double"&gt;26300.666&lt;/D&gt;&lt;/FQL&gt;&lt;FQL&gt;&lt;Q&gt;Ticker0024^FE_ESTIMATE(NEW_ORDERS_VALUE,MEAN,QUARTERLY_ROLL,2017/1F,45813,,,'')&lt;/Q&gt;&lt;R&gt;1&lt;/R&gt;&lt;C&gt;1&lt;/C&gt;&lt;D xsi:type="xsd:double"&gt;21072.5&lt;/D&gt;&lt;/FQL&gt;&lt;FQL&gt;&lt;Q&gt;Ticker0024^FE_ESTIMATE(NEW_ORDERS_VALUE,MEAN,ANNUAL_ROLL,2016,45813,,,'')&lt;/Q&gt;&lt;R&gt;1&lt;/R&gt;&lt;C&gt;1&lt;/C&gt;&lt;D xsi:type="xsd:double"&gt;94769&lt;/D&gt;&lt;/FQL&gt;&lt;FQL&gt;&lt;Q&gt;Ticker0024^FE_ESTIMATE(NEW_ORDERS_VALUE,MEAN,QUARTERLY_ROLL,2016/4F,45813,,,'')&lt;/Q&gt;&lt;R&gt;1&lt;/R&gt;&lt;C&gt;1&lt;/C&gt;&lt;D xsi:type="xsd:double"&gt;29640.5&lt;/D&gt;&lt;/FQL&gt;&lt;FQL&gt;&lt;Q&gt;Ticker0024^FE_ESTIMATE(NEW_ORDERS_VALUE,MEAN,QUARTERLY_ROLL,2016/3F,45813,,,'')&lt;/Q&gt;&lt;R&gt;1&lt;/R&gt;&lt;C&gt;1&lt;/C&gt;&lt;D xsi:type="xsd:double"&gt;22938&lt;/D&gt;&lt;/FQL&gt;&lt;FQL&gt;&lt;Q&gt;Ticker0024^FE_ESTIMATE(NEW_ORDERS_VALUE,MEAN,QUARTERLY_ROLL,2016/2F,45813,,,'')&lt;/Q&gt;&lt;R&gt;0&lt;/R&gt;&lt;C&gt;0&lt;/C&gt;&lt;/FQL&gt;&lt;FQL&gt;&lt;Q&gt;Ticker0024^FE_ESTIMATE(NEW_ORDERS_VALUE,MEAN,QUARTERLY_ROLL,2016/1F,45813,,,'')&lt;/Q&gt;&lt;R&gt;0&lt;/R&gt;&lt;C&gt;0&lt;/C&gt;&lt;/FQL&gt;&lt;FQL&gt;&lt;Q&gt;Ticker0024^FE_ESTIMATE(NEW_ORDERS_VALUE,MEAN,ANNUAL_ROLL,2015,45813,,,'')&lt;/Q&gt;&lt;R&gt;0&lt;/R&gt;&lt;C&gt;0&lt;/C&gt;&lt;/FQL&gt;&lt;FQL&gt;&lt;Q&gt;Ticker0024^FE_ESTIMATE(NEW_ORDERS_VALUE,MEAN,QUARTERLY_ROLL,2015/4F,45813,,,'')&lt;/Q&gt;&lt;R&gt;0&lt;/R&gt;&lt;C&gt;0&lt;/C&gt;&lt;/FQL&gt;&lt;FQL&gt;&lt;Q&gt;Ticker0024^FE_ESTIMATE(NEW_ORDERS_VALUE,MEAN,QUARTERLY_ROLL,2015/3F,45813,,,'')&lt;/Q&gt;&lt;R&gt;0&lt;/R&gt;&lt;C&gt;0&lt;/C&gt;&lt;/FQL&gt;&lt;FQL&gt;&lt;Q&gt;Ticker0024^FE_ESTIMATE(NEW_ORDERS_VALUE,MEAN,QUARTERLY_ROLL,2015/2F,45813,,,'')&lt;/Q&gt;&lt;R&gt;0&lt;/R&gt;&lt;C&gt;0&lt;/C&gt;&lt;/FQL&gt;&lt;FQL&gt;&lt;Q&gt;Ticker0024^FE_ESTIMATE(NEW_ORDERS_VALUE,MEAN,QUARTERLY_ROLL,2015/1F,45813,,,'')&lt;/Q&gt;&lt;R&gt;0&lt;/R&gt;&lt;C&gt;0&lt;/C&gt;&lt;/FQL&gt;&lt;FQL&gt;&lt;Q&gt;Ticker0024^FE_ESTIMATE(DEFREVENUE,MEAN,ANNUAL_ROLL,2030,45813,,,'')&lt;/Q&gt;&lt;R&gt;0&lt;/R&gt;&lt;C&gt;0&lt;/C&gt;&lt;/FQL&gt;&lt;FQL&gt;&lt;Q&gt;Ticker0024^FE_ESTIMATE(DEFREVENUE,MEAN,QUARTERLY_ROLL,2030/4F,45813,,,'')&lt;/Q&gt;&lt;R&gt;0&lt;/R&gt;&lt;C&gt;0&lt;/C&gt;&lt;/FQL&gt;&lt;FQL&gt;&lt;Q&gt;Ticker0024^FE_ESTIMATE(DEFREVENUE,MEAN,QUARTERLY_ROLL,2030/3F,45813,,,'')&lt;/Q&gt;&lt;R&gt;0&lt;/R&gt;&lt;C&gt;0&lt;/C&gt;&lt;/FQL&gt;&lt;FQL&gt;&lt;Q&gt;Ticker0024^FE_ESTIMATE(DEFREVENUE,MEAN,QUARTERLY_ROLL,2030/2F,45813,,,'')&lt;/Q&gt;&lt;R&gt;0&lt;/R&gt;&lt;C&gt;0&lt;/C&gt;&lt;/FQL&gt;&lt;FQL&gt;&lt;Q&gt;Ticker0024^FE_ESTIMATE(DEFREVENUE,MEAN,QUARTERLY_ROLL,2030/1F,45813,,,'')&lt;/Q&gt;&lt;R&gt;0&lt;/R&gt;&lt;C&gt;0&lt;/C&gt;&lt;/FQL&gt;&lt;FQL&gt;&lt;Q&gt;Ticker0024^FE_ESTIMATE(DEFREVENUE,MEAN,ANNUAL_ROLL,2029,45813,,,'')&lt;/Q&gt;&lt;R&gt;0&lt;/R&gt;&lt;C&gt;0&lt;/C&gt;&lt;/FQL&gt;&lt;FQL&gt;&lt;Q&gt;Ticker0024^FE_ESTIMATE(DEFREVENUE,MEAN,QUARTERLY_ROLL,2029/4F,45813,,,'')&lt;/Q&gt;&lt;R&gt;0&lt;/R&gt;&lt;C&gt;0&lt;/C&gt;&lt;/FQL&gt;&lt;FQL&gt;&lt;Q&gt;Ticker0024^FE_ESTIMATE(DEFREVENUE,MEAN,QUARTERLY_ROLL,2029/3F,45813,,,'')&lt;/Q&gt;&lt;R&gt;0&lt;/R&gt;&lt;C&gt;0&lt;/C&gt;&lt;/FQL&gt;&lt;FQL&gt;&lt;Q&gt;Ticker0024^FE_ESTIMATE(DEFREVENUE,MEAN,QUARTERLY_ROLL,2029/2F,45813,,,'')&lt;/Q&gt;&lt;R&gt;0&lt;/R&gt;&lt;C&gt;0&lt;/C&gt;&lt;/FQL&gt;&lt;FQL&gt;&lt;Q&gt;Ticker0024^FE_ESTIMATE(DEFREVENUE,MEAN,QUARTERLY_ROLL,2029/1F,45813,,,'')&lt;/Q&gt;&lt;R&gt;0&lt;/R&gt;&lt;C&gt;0&lt;/C&gt;&lt;/FQL&gt;&lt;FQL&gt;&lt;Q&gt;Ticker0024^FE_ESTIMATE(DEFREVENUE,MEAN,ANNUAL_ROLL,2028,45813,,,'')&lt;/Q&gt;&lt;R&gt;0&lt;/R&gt;&lt;C&gt;0&lt;/C&gt;&lt;/FQL&gt;&lt;FQL&gt;&lt;Q&gt;Ticker0024^FE_ESTIMATE(DEFREVENUE,MEAN,QUARTERLY_ROLL,2028/4F,45813,,,'')&lt;/Q&gt;&lt;R&gt;0&lt;/R&gt;&lt;C&gt;0&lt;/C&gt;&lt;/FQL&gt;&lt;FQL&gt;&lt;Q&gt;Ticker0024^FE_ESTIMATE(DEFREVENUE,MEAN,QUARTERLY_ROLL,2028/3F,45813,,,'')&lt;/Q&gt;&lt;R&gt;0&lt;/R&gt;&lt;C&gt;0&lt;/C&gt;&lt;/FQL&gt;&lt;FQL&gt;&lt;Q&gt;Ticker0024^FE_ESTIMATE(DEFREVENUE,MEAN,QUARTERLY_ROLL,2028/2F,45813,,,'')&lt;/Q&gt;&lt;R&gt;0&lt;/R&gt;&lt;C&gt;0&lt;/C&gt;&lt;/FQL&gt;&lt;FQL&gt;&lt;Q&gt;Ticker0024^FE_ESTIMATE(DEFREVENUE,MEAN,QUARTERLY_ROLL,2028/1F,45813,,,'')&lt;/Q&gt;&lt;R&gt;0&lt;/R&gt;&lt;C&gt;0&lt;/C&gt;&lt;/FQL&gt;&lt;FQL&gt;&lt;Q&gt;Ticker0024^FE_ESTIMATE(DEFREVENUE,MEAN,ANNUAL_ROLL,2027,45813,,,'')&lt;/Q&gt;&lt;R&gt;1&lt;/R&gt;&lt;C&gt;1&lt;/C&gt;&lt;D xsi:type="xsd:double"&gt;66116.3&lt;/D&gt;&lt;/FQL&gt;&lt;FQL&gt;&lt;Q&gt;Ticker0024^FE_ESTIMATE(DEFREVENUE,MEAN,QUARTERLY_ROLL,2027/4F,45813,,,'')&lt;/Q&gt;&lt;R&gt;1&lt;/R&gt;&lt;C&gt;1&lt;/C&gt;&lt;D xsi:type="xsd:double"&gt;81381&lt;/D&gt;&lt;/FQL&gt;&lt;FQL&gt;&lt;Q&gt;Ticker0024^FE_ESTIMATE(DEFREVENUE,MEAN,QUARTERLY_ROLL,2027/3F,45813,,,'')&lt;/Q&gt;&lt;R&gt;1&lt;/R&gt;&lt;C&gt;1&lt;/C&gt;&lt;D xsi:type="xsd:double"&gt;60404&lt;/D&gt;&lt;/FQL&gt;&lt;FQL&gt;&lt;Q&gt;Ticker0024^FE_ESTIMATE(DEFREVENUE,MEAN,QUARTERLY_ROLL,2027/2F,45813,,,'')&lt;/Q&gt;&lt;R&gt;1&lt;/R&gt;&lt;C&gt;1&lt;/C&gt;&lt;D xsi:type="xsd:double"&gt;61575.5&lt;/D&gt;&lt;/FQL&gt;&lt;FQL&gt;&lt;Q&gt;Ticker0024^FE_ESTIMATE(DEFREVENUE,MEAN,QUARTERLY_ROLL,2027/1F,45813,,,'')&lt;/Q&gt;&lt;R&gt;1&lt;/R&gt;&lt;C&gt;1&lt;/C&gt;&lt;D xsi:type="xsd:double"&gt;68192.5&lt;/D&gt;&lt;/FQL&gt;&lt;FQL&gt;&lt;Q&gt;Ticker0024^FE_ESTIMATE(DEFREVENUE,MEAN,ANNUAL_ROLL,2026,45813,,,'')&lt;/Q&gt;&lt;R&gt;1&lt;/R&gt;&lt;C&gt;1&lt;/C&gt;&lt;D xsi:type="xsd:double"&gt;68331.69&lt;/D&gt;&lt;/FQL&gt;&lt;FQL&gt;&lt;Q&gt;Ticker0024^FE_ESTIMATE(DEFREVENUE,MEAN,QUARTERLY_ROLL,2026/4F,45813,,,'')&lt;/Q&gt;&lt;R&gt;1&lt;/R&gt;&lt;C&gt;1&lt;/C&gt;&lt;D xsi:type="xsd:double"&gt;70726.75&lt;/D&gt;&lt;/FQL&gt;&lt;FQL&gt;&lt;Q&gt;Ticker0024^FE_ESTIMATE(DEFREVENUE,MEAN,QUARTERLY_ROLL,2026/3F,45813,,,'')&lt;/Q&gt;&lt;R&gt;1&lt;/R&gt;&lt;C&gt;1&lt;/C&gt;&lt;D xsi:type="xsd:double"&gt;52133&lt;/D&gt;&lt;/FQL&gt;&lt;FQL&gt;&lt;Q&gt;Ticker0024^FE_ESTIMATE(DEFREVENUE,MEAN,QUARTERLY_ROLL,2026/2F,45813,,,'')&lt;/Q&gt;&lt;R&gt;1&lt;/R&gt;&lt;C&gt;1&lt;/C&gt;&lt;D xsi:type="xsd:double"&gt;53255&lt;/D&gt;&lt;/FQL&gt;&lt;FQL&gt;&lt;Q&gt;Ticker0024^FE_ESTIMATE(DEFREVENUE,MEAN,QUARTERLY_ROLL,2026/1F,45813,,,'')&lt;/Q&gt;&lt;R&gt;1&lt;/R&gt;&lt;C&gt;1&lt;/C&gt;&lt;D xsi:type="xsd:double"&gt;59711.25&lt;/D&gt;&lt;/FQL&gt;&lt;FQL&gt;&lt;Q&gt;Ticker0024^FE_ESTIMATE(DEFREVENUE,MEAN,ANNUAL_ROLL,2025,45813,,,'')&lt;/Q&gt;&lt;R&gt;1&lt;/R&gt;&lt;C&gt;1&lt;/C&gt;&lt;D xsi:type="xsd:double"&gt;64140.355&lt;/D&gt;&lt;/FQL&gt;&lt;FQL&gt;&lt;Q&gt;Ticker0024^FE_ESTIMATE(DEFREVENUE,MEAN,QUARTERLY_ROLL,2025/4F,45813,,,'')&lt;/Q&gt;&lt;R&gt;1&lt;/R&gt;&lt;C&gt;1&lt;/C&gt;&lt;D xsi:type="xsd:double"&gt;63561.6&lt;/D&gt;&lt;/FQL&gt;&lt;FQL&gt;&lt;Q&gt;Ticker0024^FE_ESTIMATE(DEFREVENUE,MEAN,QUARTERLY_ROLL,2025/3F,45813,,,'')&lt;/Q&gt;&lt;R&gt;1&lt;/R&gt;&lt;C&gt;1&lt;/C&gt;&lt;D xsi:type="xsd:double"&gt;47476.57&lt;/D&gt;&lt;/FQL&gt;&lt;FQL&gt;&lt;Q&gt;Ticker0024^FE_ESTIMATE(DEFREVENUE,MEAN,QUARTERLY_ROLL,2025/2F,45813,,,'')&lt;/Q&gt;&lt;R&gt;1&lt;/R&gt;&lt;C&gt;1&lt;/C&gt;&lt;D xsi:type="xsd:double"&gt;48045.715&lt;/D&gt;&lt;/FQL&gt;&lt;FQL&gt;&lt;Q&gt;Ticker0024^FE_ESTIMATE(DEFREVENUE,MEAN,QUARTERLY_ROLL,2025/1F,45813,,,'')&lt;/Q&gt;&lt;R&gt;1&lt;/R&gt;&lt;C&gt;1&lt;/C&gt;&lt;D xsi:type="xsd:double"&gt;55689.125&lt;/D&gt;&lt;/FQL&gt;&lt;FQL&gt;&lt;Q&gt;Ticker0024^FE_ESTIMATE(DEFREVENUE,MEAN,ANNUAL_ROLL,2024,45813,,,'')&lt;/Q&gt;&lt;R&gt;1&lt;/R&gt;&lt;C&gt;1&lt;/C&gt;&lt;D xsi:type="xsd:double"&gt;60183.6&lt;/D&gt;&lt;/FQL&gt;&lt;FQL&gt;&lt;Q&gt;Ticker0024^FE_ESTIMATE(DEFREVENUE,MEAN,QUARTERLY_ROLL,2024/4F,45813,,,'')&lt;/Q&gt;&lt;R&gt;1&lt;/R&gt;&lt;C&gt;1&lt;/C&gt;&lt;D xsi:type="xsd:double"&gt;60183.555&lt;/D&gt;&lt;/FQL&gt;&lt;FQL&gt;&lt;Q&gt;Ticker0024^FE_ESTIMATE(DEFREVENUE,MEAN,QUARTERLY_ROLL,2024/3F,45813,,,'')&lt;/Q&gt;&lt;R&gt;1&lt;/R&gt;&lt;C&gt;1&lt;/C&gt;&lt;D xsi:type="xsd:double"&gt;44834&lt;/D&gt;&lt;/FQL&gt;&lt;FQL&gt;&lt;Q&gt;Ticker0024^FE_ESTIMATE(DEFREVENUE,MEAN,QUARTERLY_ROLL,2024/2F,45813,,,'')&lt;/Q&gt;&lt;R&gt;1&lt;/R&gt;&lt;C&gt;1&lt;/C&gt;&lt;D xsi:type="xsd:double"&gt;46034.855&lt;/D&gt;&lt;/FQL&gt;&lt;FQL&gt;&lt;Q&gt;Ticker0024^FE_ESTIMATE(DEFREVENUE,MEAN,QUARTERLY_ROLL,2024/1F,45813,,,'')&lt;/Q&gt;&lt;R&gt;1&lt;/R&gt;&lt;C&gt;1&lt;/C&gt;&lt;D xsi:type="xsd:double"&gt;49188.332&lt;/D&gt;&lt;/FQL&gt;&lt;FQL&gt;&lt;Q&gt;Ticker0024^FE_ESTIMATE(DEFREVENUE,MEAN,ANNUAL_ROLL,2023,45813,,,'')&lt;/Q&gt;&lt;R&gt;1&lt;/R&gt;&lt;C&gt;1&lt;/C&gt;&lt;D xsi:type="xsd:double"&gt;53548&lt;/D&gt;&lt;/FQL&gt;&lt;FQL&gt;&lt;Q&gt;Ticker0024^FE_ESTIMATE(DEFREVENUE,MEAN,QUARTERLY_ROLL,2023/4F,45813,,,'')&lt;/Q&gt;&lt;R&gt;1&lt;/R&gt;&lt;C&gt;1&lt;/C&gt;&lt;D xsi:type="xsd:double"&gt;53812.625&lt;/D&gt;&lt;/FQL&gt;&lt;FQL&gt;&lt;Q&gt;Ticker0024^FE_ESTIMATE(DEFREVENUE,MEAN,QUARTERLY_ROLL,2023/3F,45813,,,'')&lt;/Q&gt;&lt;R&gt;1&lt;/R&gt;&lt;C&gt;1&lt;/C&gt;&lt;D xsi:type="xsd:double"&gt;39600.832&lt;/D&gt;&lt;/FQL&gt;&lt;FQL&gt;&lt;Q&gt;Ticker0024^FE_ESTIMATE(DEFREVENUE,MEAN,QUARTERLY_ROLL,2023/2F,45813,,,'')&lt;/Q&gt;&lt;R&gt;1&lt;/R&gt;&lt;C&gt;1&lt;/C&gt;&lt;D xsi:type="xsd:double"&gt;39625&lt;/D&gt;&lt;/FQL&gt;&lt;FQL&gt;&lt;Q&gt;Ticker0024^FE_ESTIMATE(DEFREVENUE,MEAN,QUARTERLY_ROLL,2023/1F,45813,,,'')&lt;/Q&gt;&lt;R&gt;1&lt;/R&gt;&lt;C&gt;1&lt;/C&gt;&lt;D xsi:type="xsd:double"&gt;43889.145&lt;/D&gt;&lt;/FQL&gt;&lt;FQL&gt;&lt;Q&gt;Ticker0024^FE_ESTIMATE(DEFREVENUE,MEAN,ANNUAL_ROLL,2022,45813,,,'')&lt;/Q&gt;&lt;R&gt;1&lt;/R&gt;&lt;C&gt;1&lt;/C&gt;&lt;D xsi:type="xsd:double"&gt;48121&lt;/D&gt;&lt;/FQL&gt;&lt;FQL&gt;&lt;Q&gt;Ticker0024^FE_ESTIMATE(DEFREVENUE,MEAN,QUARTERLY_ROLL,2022/4F,45813,,,'')&lt;/Q&gt;&lt;R&gt;1&lt;/R&gt;&lt;C&gt;1&lt;/C&gt;&lt;D xsi:type="xsd:double"&gt;48408&lt;/D&gt;&lt;/FQL&gt;&lt;FQL&gt;&lt;Q&gt;Ticker0024^FE_ESTIMATE(DEFREVENUE,MEAN,QUARTERLY_ROLL,2022/3F,45813,,,'')&lt;/Q&gt;&lt;R&gt;1&lt;/R&gt;&lt;C&gt;1&lt;/C&gt;&lt;D xsi:type="xsd:double"&gt;36796&lt;/D&gt;&lt;/FQL&gt;&lt;FQL&gt;&lt;Q&gt;Ticker0024^FE_ESTIMATE(DEFREVENUE,MEAN,QUARTERLY_ROLL,2022/2F,45813,,,'')&lt;/Q&gt;&lt;R&gt;1&lt;/R&gt;&lt;C&gt;1&lt;/C&gt;&lt;D xsi:type="xsd:double"&gt;36769&lt;/D&gt;&lt;/FQL&gt;&lt;FQL&gt;&lt;Q&gt;Ticker0024^FE_ESTIMATE(DEFREVENUE,MEAN,QUARTERLY_ROLL,2022/1F,45813,,,'')&lt;/Q&gt;&lt;R&gt;1&lt;/R&gt;&lt;C&gt;1&lt;/C&gt;&lt;D xsi:type="xsd:double"&gt;41015&lt;/D&gt;&lt;/FQL&gt;&lt;FQL&gt;&lt;Q&gt;Ticker0024^FE_ESTIMATE(DEFREVENUE,MEAN,ANNUAL_ROLL,2021,45813,,,'')&lt;/Q&gt;&lt;R&gt;1&lt;/R&gt;&lt;C&gt;1&lt;/C&gt;&lt;D xsi:type="xsd:double"&gt;44141&lt;/D&gt;&lt;/FQL&gt;&lt;FQL&gt;&lt;Q&gt;Ticker0024^FE_ESTIMATE(DEFREVENUE,MEAN,QUARTERLY_ROLL,2021/4F,45813,,,'')&lt;/Q&gt;&lt;R&gt;1&lt;/R&gt;&lt;C&gt;1&lt;/C&gt;&lt;D xsi:type="xsd:double"&gt;44141&lt;/D&gt;&lt;/FQL&gt;&lt;FQL&gt;&lt;Q&gt;Ticker0024^FE_ESTIMATE(DEFREVENUE,MEAN,QUARTERLY_ROLL,2021/3F,45813,,,'')&lt;/Q&gt;&lt;R&gt;1&lt;/R&gt;&lt;C&gt;1&lt;/C&gt;&lt;D xsi:type="xsd:double"&gt;32714&lt;/D&gt;&lt;/FQL&gt;&lt;FQL&gt;&lt;Q&gt;Ticker0024^FE_ESTIMATE(DEFREVENUE,MEAN,QUARTERLY_ROLL,2021/2F,45813,,,'')&lt;/Q&gt;&lt;R&gt;1&lt;/R&gt;&lt;C&gt;1&lt;/C&gt;&lt;D xsi:type="xsd:double"&gt;33387&lt;/D&gt;&lt;/FQL&gt;&lt;FQL&gt;&lt;Q&gt;Ticker0024^FE_ESTIMATE(DEFREVENUE,MEAN,QUARTERLY_ROLL,2021/1F,45813,,,'')&lt;/Q&gt;&lt;R&gt;1&lt;/R&gt;&lt;C&gt;1&lt;/C&gt;&lt;D xsi:type="xsd:double"&gt;36305&lt;/D&gt;&lt;/FQL&gt;&lt;FQL&gt;&lt;Q&gt;Ticker0024^FE_ESTIMATE(DEFREVENUE,MEAN,ANNUAL_ROLL,2020,45813,,,'')&lt;/Q&gt;&lt;R&gt;1&lt;/R&gt;&lt;C&gt;1&lt;/C&gt;&lt;D xsi:type="xsd:double"&gt;39180&lt;/D&gt;&lt;/FQL&gt;&lt;FQL&gt;&lt;Q&gt;Ticker0024^FE_ESTIMATE(DEFREVENUE,MEAN,QUARTERLY_ROLL,2020/4F,45813,,,'')&lt;/Q&gt;&lt;R&gt;1&lt;/R&gt;&lt;C&gt;1&lt;/C&gt;&lt;D xsi:type="xsd:double"&gt;39180&lt;/D&gt;&lt;/FQL&gt;&lt;FQL&gt;&lt;Q&gt;Ticker0024^FE_ESTIMATE(DEFREVENUE,MEAN,QUARTERLY_ROLL,2020/3F,45813,,,'')&lt;/Q&gt;&lt;R&gt;1&lt;/R&gt;&lt;C&gt;1&lt;/C&gt;&lt;D xsi:type="xsd:double"&gt;30397&lt;/D&gt;&lt;/FQL&gt;&lt;FQL&gt;&lt;Q&gt;Ticker0024^FE_ESTIMATE(DEFREVENUE,MEAN,QUARTERLY_ROLL,2020/2F,45813,,,'')&lt;/Q&gt;&lt;R&gt;1&lt;/R&gt;&lt;C&gt;1&lt;/C&gt;&lt;D xsi:type="xsd:double"&gt;31221&lt;/D&gt;&lt;/FQL&gt;&lt;FQL&gt;&lt;Q&gt;Ticker0024^FE_ESTIMATE(DEFREVENUE,MEAN,QUARTERLY_ROLL,2020/1F,45813,,,'')&lt;/Q&gt;&lt;R&gt;1&lt;/R&gt;&lt;C&gt;1&lt;/C&gt;&lt;D xsi:type="xsd:double"&gt;34026&lt;/D&gt;&lt;/FQL&gt;&lt;FQL&gt;&lt;Q&gt;Ticker0024^FE_ESTIMATE(DEFREVENUE,MEAN,ANNUAL_ROLL,2019,45813,,,'')&lt;/Q&gt;&lt;R&gt;1&lt;/R&gt;&lt;C&gt;1&lt;/C&gt;&lt;D xsi:type="xsd:double"&gt;37206&lt;/D&gt;&lt;/FQL&gt;&lt;FQL&gt;&lt;Q&gt;Ticker0024^FE_ESTIMATE(DEFREVENUE,MEAN,QUARTERLY_ROLL,2019/4F,45813,,,'')&lt;/Q&gt;&lt;R&gt;1&lt;/R&gt;&lt;C&gt;1&lt;/C&gt;&lt;D xsi:type="xsd:double"&gt;37206&lt;/D&gt;&lt;/FQL&gt;&lt;FQL&gt;&lt;Q&gt;Ticker0024^FE_ESTIMATE(DEFREVENUE,MEAN,QUARTERLY_ROLL,2019/3F,45813,,,'')&lt;/Q&gt;&lt;R&gt;1&lt;/R&gt;&lt;C&gt;1&lt;/C&gt;&lt;D xsi:type="xsd:double"&gt;28135&lt;/D&gt;&lt;/FQL&gt;&lt;FQL&gt;&lt;Q&gt;Ticker0024^FE_ESTIMATE(DEFREVENUE,MEAN,QUARTERLY_ROLL,2019/2F,45813,,,'')&lt;/Q&gt;&lt;R&gt;1&lt;/R&gt;&lt;C&gt;1&lt;/C&gt;&lt;D xsi:type="xsd:double"&gt;28084&lt;/D&gt;&lt;/FQL&gt;&lt;FQL&gt;&lt;Q&gt;Ticker0024^FE_ESTIMATE(DEFREVENUE,MEAN,QUARTERLY_ROLL,2019/1F,45813,,,'')&lt;/Q&gt;&lt;R&gt;1&lt;/R&gt;&lt;C&gt;1&lt;/C&gt;&lt;D xsi:type="xsd:double"&gt;30242&lt;/D&gt;&lt;/FQL&gt;&lt;FQL&gt;&lt;Q&gt;Ticker0024^FE_ESTIMATE(DEFREVENUE,MEAN,ANNUAL_ROLL,2018,45813,,,'')&lt;/Q&gt;&lt;R&gt;1&lt;/R&gt;&lt;C&gt;1&lt;/C&gt;&lt;D xsi:type="xsd:double"&gt;32540.1&lt;/D&gt;&lt;/FQL&gt;&lt;FQL&gt;&lt;Q&gt;Ticker0024^FE_ESTIMATE(DEFREVENUE,MEAN,QUARTERLY_ROLL,2018/4F,45813,,,'')&lt;/Q&gt;&lt;R&gt;1&lt;/R&gt;&lt;C&gt;1&lt;/C&gt;&lt;D xsi:type="xsd:double"&gt;32540.1&lt;/D&gt;&lt;/FQL&gt;&lt;FQL&gt;&lt;Q&gt;Ticker0024^FE_ESTIMATE(DEFREVENUE,MEAN,QUARTERLY_ROLL,2018/3F,45813,,,'')&lt;/Q&gt;&lt;R&gt;1&lt;/R&gt;&lt;C&gt;1&lt;/C&gt;&lt;D xsi:type="xsd:double"&gt;23955&lt;/D&gt;&lt;/FQL&gt;&lt;FQL&gt;&lt;Q&gt;Ticker0024^FE_ESTIMATE(DEFREVENUE,MEAN,QUARTERLY_ROLL,2018/2F,45813,,,'')&lt;/Q&gt;&lt;R&gt;1&lt;/R&gt;&lt;C&gt;1&lt;/C&gt;&lt;D xsi:type="xsd:double"&gt;23809&lt;/D&gt;&lt;/FQL&gt;&lt;FQL&gt;&lt;Q&gt;Ticker0024^FE_ESTIMATE(DEFREVENUE,MEAN,QUARTERLY_ROLL,2018/1F,45813,,,'')&lt;/Q&gt;&lt;R&gt;1&lt;/R&gt;&lt;C&gt;1&lt;/C&gt;&lt;D xsi:type="xsd:double"&gt;24904&lt;/D&gt;&lt;/FQL&gt;&lt;FQL&gt;&lt;Q&gt;Ticker0024^FE_ESTIMATE(DEFREVENUE,MEAN,ANNUAL_ROLL,2017,45813,,,'')&lt;/Q&gt;&lt;R&gt;1&lt;/R&gt;&lt;C&gt;1&lt;/C&gt;&lt;D xsi:type="xsd:double"&gt;44479&lt;/D&gt;&lt;/FQL&gt;&lt;FQL&gt;&lt;Q&gt;Ticker0024^FE_ESTIMATE(DEFREVENUE,MEAN,QUARTERLY_ROLL,2017/4F,45813,,,'')&lt;/Q&gt;&lt;R&gt;1&lt;/R&gt;&lt;C&gt;1&lt;/C&gt;&lt;D xsi:type="xsd:double"&gt;44479&lt;/D&gt;&lt;/FQL&gt;&lt;FQL&gt;&lt;Q&gt;Ticker0024^FE_ESTIMATE(DEFREVENUE,MEAN,QUARTERLY_ROLL,2017/3F,45813,,,'')&lt;/Q&gt;&lt;R&gt;1&lt;/R&gt;&lt;C&gt;1&lt;/C&gt;&lt;D xsi:type="xsd:double"&gt;35733&lt;/D&gt;&lt;/FQL&gt;&lt;FQL&gt;&lt;Q&gt;Ticker0024^FE_ESTIMATE(DEFREVENUE,MEAN,QUARTERLY_ROLL,2017/2F,45813,,,'')&lt;/Q&gt;&lt;R&gt;1&lt;/R&gt;&lt;C&gt;1&lt;/C&gt;&lt;D xsi:type="xsd:double"&gt;34587.273&lt;/D&gt;&lt;/FQL&gt;&lt;FQL&gt;&lt;Q&gt;Ticker0024^FE_ESTIMATE(DEFREVENUE,MEAN,QUARTERLY_ROLL,2017/1F,45813,,,'')&lt;/Q&gt;&lt;R&gt;1&lt;/R&gt;&lt;C&gt;1&lt;/C&gt;&lt;D xsi:type="xsd:double"&gt;33588&lt;/D&gt;&lt;/FQL&gt;&lt;FQL&gt;&lt;Q&gt;Ticker0024^FE_ESTIMATE(DEFREVENUE,MEAN,ANNUAL_ROLL,2016,45813,,,'')&lt;/Q&gt;&lt;R&gt;1&lt;/R&gt;&lt;C&gt;1&lt;/C&gt;&lt;D xsi:type="xsd:double"&gt;33909&lt;/D&gt;&lt;/FQL&gt;&lt;FQL&gt;&lt;Q&gt;Ticker0024^FE_ESTIMATE(DEFREVENUE,MEAN,QUARTERLY_ROLL,2016/4F,45813,,,'')&lt;/Q&gt;&lt;R&gt;1&lt;/R&gt;&lt;C&gt;1&lt;/C&gt;&lt;D xsi:type="xsd:double"&gt;33909&lt;/D&gt;&lt;/FQL&gt;&lt;FQL&gt;&lt;Q&gt;Ticker0024^FE_ESTIMATE(DEFREVENUE,MEAN,QUARTERLY_ROLL,2016/3F,45813,,,'')&lt;/Q&gt;&lt;R&gt;1&lt;/R&gt;&lt;C&gt;1&lt;/C&gt;&lt;D xsi:type="xsd:double"&gt;25893&lt;/D&gt;&lt;/FQL&gt;&lt;FQL&gt;&lt;Q&gt;Ticker0024^FE_ESTIMATE(DEFREVENUE,MEAN,QUARTERLY_ROLL,2016/2F,45813,,,'')&lt;/Q&gt;&lt;R&gt;1&lt;/R&gt;&lt;C&gt;1&lt;/C&gt;&lt;D xsi:type="xsd:double"&gt;25031&lt;/D&gt;&lt;/FQL&gt;&lt;FQL&gt;&lt;Q&gt;Ticker0024^FE_ESTIMATE(DEFREVENUE,MEAN,QUARTERLY_ROLL,2016/1F,45813,,,'')&lt;/Q&gt;&lt;R&gt;0&lt;/R&gt;&lt;C&gt;0&lt;/C&gt;&lt;/FQL&gt;&lt;FQL&gt;&lt;Q&gt;Ticker0024^FE_ESTIMATE(DEFREVENUE,MEAN,ANNUAL_ROLL,2015,45813,,,'')&lt;/Q&gt;&lt;R&gt;0&lt;/R&gt;&lt;C&gt;0&lt;/C&gt;&lt;/FQL&gt;&lt;FQL&gt;&lt;Q&gt;Ticker0024^FE_ESTIMATE(DEFREVENUE,MEAN,QUARTERLY_ROLL,2015/4F,45813,,,'')&lt;/Q&gt;&lt;R&gt;0&lt;/R&gt;&lt;C&gt;0&lt;/C&gt;&lt;/FQL&gt;&lt;FQL&gt;&lt;Q&gt;Ticker0024^FE_ESTIMATE(DEFREVENUE,MEAN,QUARTERLY_ROLL,2015/3F,45813,,,'')&lt;/Q&gt;&lt;R&gt;0&lt;/R&gt;&lt;C&gt;0&lt;/C&gt;&lt;/FQL&gt;&lt;FQL&gt;&lt;Q&gt;Ticker0024^FE_ESTIMATE(DEFREVENUE,MEAN,QUARTERLY_ROLL,2015/2F,45813,,,'')&lt;/Q&gt;&lt;R&gt;0&lt;/R&gt;&lt;C&gt;0&lt;/C&gt;&lt;/FQL&gt;&lt;FQL&gt;&lt;Q&gt;Ticker0024^FE_ESTIMATE(DEFREVENUE,MEAN,QUARTERLY_ROLL,2015/1F,45813,,,'')&lt;/Q&gt;&lt;R&gt;0&lt;/R&gt;&lt;C&gt;0&lt;/C&gt;&lt;/FQL&gt;&lt;FQL&gt;&lt;Q&gt;Ticker0024^FE_ESTIMATE(DEFREVENUE_LT,MEAN,ANNUAL_ROLL,2030,45813,,,'')&lt;/Q&gt;&lt;R&gt;0&lt;/R&gt;&lt;C&gt;0&lt;/C&gt;&lt;/FQL&gt;&lt;FQL&gt;&lt;Q&gt;Ticker0024^FE_ESTIMATE(DEFREVENUE_LT,MEAN,QUARTERLY_ROLL,2030/4F,45813,,,'')&lt;/Q&gt;&lt;R&gt;0&lt;/R&gt;&lt;C&gt;0&lt;/C&gt;&lt;/FQL&gt;&lt;FQL&gt;&lt;Q&gt;Ticker0024^FE_ESTIMATE(DEFREVENUE_LT,MEAN,QUARTERLY_ROLL,2030/3F,45813,,,'')&lt;/Q&gt;&lt;R&gt;0&lt;/R&gt;&lt;C&gt;0&lt;/C&gt;&lt;/FQL&gt;&lt;FQL&gt;&lt;Q&gt;Ticker0024^FE_ESTIMATE(DEFREVENUE_LT,MEAN,QUARTERLY_ROLL,2030/2F,45813,,,'')&lt;/Q&gt;&lt;R&gt;0&lt;/R&gt;&lt;C&gt;0&lt;/C&gt;&lt;/FQL&gt;&lt;FQL&gt;&lt;Q&gt;Ticker0024^FE_ESTIMATE(DEFREVENUE_LT,MEAN,QUARTERLY_ROLL,2030/1F,45813,,,'')&lt;/Q&gt;&lt;R&gt;0&lt;/R&gt;&lt;C&gt;0&lt;/C&gt;&lt;/FQL&gt;&lt;FQL&gt;&lt;Q&gt;Ticker0024^FE_ESTIMATE(DEFREVENUE_LT,MEAN,ANNUAL_ROLL,2029,45813,,,'')&lt;/Q&gt;&lt;R&gt;0&lt;/R&gt;&lt;C&gt;0&lt;/C&gt;&lt;/FQL&gt;&lt;FQL&gt;&lt;Q&gt;Ticker0024^FE_ESTIMATE(DEFREVENUE_LT,MEAN,QUARTERLY_ROLL,2029/4F,45813,,,'')&lt;/Q&gt;&lt;R&gt;0&lt;/R&gt;&lt;C&gt;0&lt;/C&gt;&lt;/FQL&gt;&lt;FQL&gt;&lt;Q&gt;Ticker0024^FE_ESTIMATE(DEFREVENUE_LT,MEAN,QUARTERLY_ROLL,2029/3F,45813,,,'')&lt;/Q&gt;&lt;R&gt;0&lt;/R&gt;&lt;C&gt;0&lt;/C&gt;&lt;/FQL&gt;&lt;FQL&gt;&lt;Q&gt;Ticker0024^FE_ESTIMATE(DEFREVENUE_LT,MEAN,QUARTERLY_ROLL,2029/2F,45813,,,'')&lt;/Q&gt;&lt;R&gt;0&lt;/R&gt;&lt;C&gt;0&lt;/C&gt;&lt;/FQL&gt;&lt;FQL&gt;&lt;Q&gt;Ticker0024^FE_ESTIMATE(DEFREVENUE_LT,MEAN,QUARTERLY_ROLL,2029/1F,45813,,,'')&lt;/Q&gt;&lt;R&gt;0&lt;/R&gt;&lt;C&gt;0&lt;/C&gt;&lt;/FQL&gt;&lt;FQL&gt;&lt;Q&gt;Ticker0024^FE_ESTIMATE(DEFREVENUE_LT,MEAN,ANNUAL_ROLL,2028,45813,,,'')&lt;/Q&gt;&lt;R&gt;0&lt;/R&gt;&lt;C&gt;0&lt;/C&gt;&lt;/FQL&gt;&lt;FQL&gt;&lt;Q&gt;Ticker0024^FE_ESTIMATE(DEFREVENUE_LT,MEAN,QUARTERLY_ROLL,2028/4F,45813,,,'')&lt;/Q&gt;&lt;R&gt;0&lt;/R&gt;&lt;C&gt;0&lt;/C&gt;&lt;/FQL&gt;&lt;FQL&gt;&lt;Q&gt;Ticker0024^FE_ESTIMATE(DEFREVENUE_LT,MEAN,QUARTERLY_ROLL,2028/3F,45813,,,'')&lt;/Q&gt;&lt;R&gt;0&lt;/R&gt;&lt;C&gt;0&lt;/C&gt;&lt;/FQL&gt;&lt;FQL&gt;&lt;Q&gt;Ticker0024^FE_ESTIMATE(DEFREVENUE_LT,MEAN,QUARTERLY_ROLL,2028/2F,45813,,,'')&lt;/Q&gt;&lt;R&gt;0&lt;/R&gt;&lt;C&gt;0&lt;/C&gt;&lt;/FQL&gt;&lt;FQL&gt;&lt;Q&gt;Ticker0024^FE_ESTIMATE(DEFREVENUE_LT,MEAN,QUARTERLY_ROLL,2028/1F,45813,,,'')&lt;/Q&gt;&lt;R&gt;0&lt;/R&gt;&lt;C&gt;0&lt;/C&gt;&lt;/FQL&gt;&lt;FQL&gt;&lt;Q&gt;Ticker0024^FE_ESTIMATE(DEFREVENUE_LT,MEAN,ANNUAL_ROLL,2027,45813,,,'')&lt;/Q&gt;&lt;R&gt;1&lt;/R&gt;&lt;C&gt;1&lt;/C&gt;&lt;D xsi:type="xsd:double"&gt;2527.66&lt;/D&gt;&lt;/FQL&gt;&lt;FQL&gt;&lt;Q&gt;Ticker0024^FE_ESTIMATE(DEFREVENUE_LT,MEAN,QUARTERLY_ROLL,2027/4F,45813,,,'')&lt;/Q&gt;&lt;R&gt;1&lt;/R&gt;&lt;C&gt;1&lt;/C&gt;&lt;D xsi:type="xsd:double"&gt;3060&lt;/D&gt;&lt;/FQL&gt;&lt;FQL&gt;&lt;Q&gt;Ticker0024^FE_ESTIMATE(DEFREVENUE_LT,MEAN,QUARTERLY_ROLL,2027/3F,45813,,,'')&lt;/Q&gt;&lt;R&gt;1&lt;/R&gt;&lt;C&gt;1&lt;/C&gt;&lt;D xsi:type="xsd:double"&gt;2575.5&lt;/D&gt;&lt;/FQL&gt;&lt;FQL&gt;&lt;Q&gt;Ticker0024^FE_ESTIMATE(DEFREVENUE_LT,MEAN,QUARTERLY_ROLL,2027/2F,45813,,,'')&lt;/Q&gt;&lt;R&gt;1&lt;/R&gt;&lt;C&gt;1&lt;/C&gt;&lt;D xsi:type="xsd:double"&gt;2621.5&lt;/D&gt;&lt;/FQL&gt;&lt;FQL&gt;&lt;Q&gt;Ticker0024^FE_ESTIMATE(DEFREVENUE_LT,MEAN,QUARTERLY_ROLL,2027/1F,45813,,,'')&lt;/Q&gt;&lt;R&gt;1&lt;/R&gt;&lt;C&gt;1&lt;/C&gt;&lt;D xsi:type="xsd:double"&gt;2778.5&lt;/D&gt;&lt;/FQL&gt;&lt;FQL&gt;&lt;Q&gt;Ticker0024^FE_ESTIMATE(DEFREVENUE_LT,MEAN,ANNUAL_ROLL,2026,45813,,,'')&lt;/Q&gt;&lt;R&gt;1&lt;/R&gt;&lt;C&gt;1&lt;/C&gt;&lt;D xsi:type="xsd:double"&gt;2897.8&lt;/D&gt;&lt;/FQL&gt;&lt;FQL&gt;&lt;Q&gt;Ticker0024^FE_ESTIMATE(DEFREVENUE_LT,MEAN,QUARTERLY_ROLL,2026/4F,45813,,,'')&lt;/Q&gt;&lt;R&gt;1&lt;/R&gt;&lt;C&gt;1&lt;/C&gt;&lt;D xsi:type="xsd:double"&gt;2802&lt;/D&gt;&lt;/FQL&gt;&lt;FQL&gt;&lt;Q&gt;Ticker0024^FE_ESTIMATE(DEFREVENUE_LT,MEAN,QUARTERLY_ROLL,2026/3F,45813,,,'')&lt;/Q&gt;&lt;R&gt;1&lt;/R&gt;&lt;C&gt;1&lt;/C&gt;&lt;D xsi:type="xsd:double"&gt;2769&lt;/D&gt;&lt;/FQL&gt;&lt;FQL&gt;&lt;Q&gt;Ticker0024^FE_ESTIMATE(DEFREVENUE_LT,MEAN,QUARTERLY_ROLL,2026/2F,45813,,,'')&lt;/Q&gt;&lt;R&gt;1&lt;/R&gt;&lt;C&gt;1&lt;/C&gt;&lt;D xsi:type="xsd:double"&gt;2643.25&lt;/D&gt;&lt;/FQL&gt;&lt;FQL&gt;&lt;Q&gt;Ticker0024^FE_ESTIMATE(DEFREVENUE_LT,MEAN,QUARTERLY_ROLL,2026/1F,45813,,,'')&lt;/Q&gt;&lt;R&gt;1&lt;/R&gt;&lt;C&gt;1&lt;/C&gt;&lt;D xsi:type="xsd:double"&gt;2702.5&lt;/D&gt;&lt;/FQL&gt;&lt;FQL&gt;&lt;Q&gt;Ticker0024^FE_ESTIMATE(DEFREVENUE_LT,MEAN,ANNUAL_ROLL,2025,45813,,,'')&lt;/Q&gt;&lt;R&gt;1&lt;/R&gt;&lt;C&gt;1&lt;/C&gt;&lt;D xsi:type="xsd:double"&gt;2912.3833&lt;/D&gt;&lt;/FQL&gt;&lt;FQL&gt;&lt;Q&gt;Ticker0024^FE_ESTIMATE(DEFREVENUE_LT,MEAN,QUARTERLY_ROLL,2025/4F,45813,,,'')&lt;/Q&gt;&lt;R&gt;1&lt;/R&gt;&lt;C&gt;1&lt;/C&gt;&lt;D xsi:type="xsd:double"&gt;2912.3833&lt;/D&gt;&lt;/FQL&gt;&lt;FQL&gt;&lt;Q&gt;Ticker0024^FE_ESTIMATE(DEFREVENUE_LT,MEAN,QUARTERLY_ROLL,2025/3F,45813,,,'')&lt;/Q&gt;&lt;R&gt;1&lt;/R&gt;&lt;C&gt;1&lt;/C&gt;&lt;D xsi:type="xsd:double"&gt;2840&lt;/D&gt;&lt;/FQL&gt;&lt;FQL&gt;&lt;Q&gt;Ticker0024^FE_ESTIMATE(DEFREVENUE_LT,MEAN,QUARTERLY_ROLL,2025/2F,45813,,,'')&lt;/Q&gt;&lt;R&gt;1&lt;/R&gt;&lt;C&gt;1&lt;/C&gt;&lt;D xsi:type="xsd:double"&gt;2537.4285&lt;/D&gt;&lt;/FQL&gt;&lt;FQL&gt;&lt;Q&gt;Ticker0024^FE_ESTIMATE(DEFREVENUE_LT,MEAN,QUARTERLY_ROLL,2025/1F,45813,,,'')&lt;/Q&gt;&lt;R&gt;1&lt;/R&gt;&lt;C&gt;1&lt;/C&gt;&lt;D xsi:type="xsd:double"&gt;2662.6667&lt;/D&gt;&lt;/FQL&gt;&lt;FQL&gt;&lt;Q&gt;Ticker0024^FE_ESTIMATE(DEFREVENUE_LT,MEAN,ANNUAL_ROLL,2024,45813,,,'')&lt;/Q&gt;&lt;R&gt;1&lt;/R&gt;&lt;C&gt;1&lt;/C&gt;&lt;D xsi:type="xsd:double"&gt;2601.75&lt;/D&gt;&lt;/FQL&gt;&lt;FQL&gt;&lt;Q&gt;Ticker0024^FE_ESTIMATE(DEFREVENUE_LT,MEAN,QUARTERLY_ROLL,2024/4F,45813,,,'')&lt;/Q&gt;&lt;R&gt;1&lt;/R&gt;&lt;C&gt;1&lt;/C&gt;&lt;D xsi:type="xsd:double"&gt;2601.75&lt;/D&gt;&lt;/FQL&gt;&lt;FQL&gt;&lt;Q&gt;Ticker0024^FE_ESTIMATE(DEFREVENUE_LT,MEAN,QUARTERLY_ROLL,2024/3F,45813,,,'')&lt;/Q&gt;&lt;R&gt;1&lt;/R&gt;&lt;C&gt;1&lt;/C&gt;&lt;D xsi:type="xsd:double"&gt;2945.7144&lt;/D&gt;&lt;/FQL&gt;&lt;FQL&gt;&lt;Q&gt;Ticker0024^FE_ESTIMATE(DEFREVENUE_LT,MEAN,QUARTERLY_ROLL,2024/2F,45813,,,'')&lt;/Q&gt;&lt;R&gt;1&lt;/R&gt;&lt;C&gt;1&lt;/C&gt;&lt;D xsi:type="xsd:double"&gt;2966.5715&lt;/D&gt;&lt;/FQL&gt;&lt;FQL&gt;&lt;Q&gt;Ticker0024^FE_ESTIMATE(DEFREVENUE_LT,MEAN,QUARTERLY_ROLL,2024/1F,45813,,,'')&lt;/Q&gt;&lt;R&gt;1&lt;/R&gt;&lt;C&gt;1&lt;/C&gt;&lt;D xsi:type="xsd:double"&gt;2759.1428&lt;/D&gt;&lt;/FQL&gt;&lt;FQL&gt;&lt;Q&gt;Ticker0024^FE_ESTIMATE(DEFREVENUE_LT,MEAN,ANNUAL_ROLL,2023,45813,,,'')&lt;/Q&gt;&lt;R&gt;1&lt;/R&gt;&lt;C&gt;1&lt;/C&gt;&lt;D xsi:type="xsd:double"&gt;2911.75&lt;/D&gt;&lt;/FQL&gt;&lt;FQL&gt;&lt;Q&gt;Ticker0024^FE_ESTIMATE(DEFREVENUE_LT,MEAN,QUARTERLY_ROLL,2023/4F,45813,,,'')&lt;/Q&gt;&lt;R&gt;1&lt;/R&gt;&lt;C&gt;1&lt;/C&gt;&lt;D xsi:type="xsd:double"&gt;2911.7144&lt;/D&gt;&lt;/FQL&gt;&lt;FQL&gt;&lt;Q&gt;Ticker0024^FE_ESTIMATE(DEFREVENUE_LT,MEAN,QUARTERLY_ROLL,2023/3F,45813,,,'')&lt;/Q&gt;&lt;R&gt;1&lt;/R&gt;&lt;C&gt;1&lt;/C&gt;&lt;D xsi:type="xsd:double"&gt;2698.3333&lt;/D&gt;&lt;/FQL&gt;&lt;FQL&gt;&lt;Q&gt;Ticker0024^FE_ESTIMATE(DEFREVENUE_LT,MEAN,QUARTERLY_ROLL,2023/2F,45813,,,'')&lt;/Q&gt;&lt;R&gt;1&lt;/R&gt;&lt;C&gt;1&lt;/C&gt;&lt;D xsi:type="xsd:double"&gt;2643.3333&lt;/D&gt;&lt;/FQL&gt;&lt;FQL&gt;&lt;Q&gt;Ticker0024^FE_ESTIMATE(DEFREVENUE_LT,MEAN,QUARTERLY_ROLL,2023/1F,45813,,,'')&lt;/Q&gt;&lt;R&gt;1&lt;/R&gt;&lt;C&gt;1&lt;/C&gt;&lt;D xsi:type="xsd:double"&gt;2549.1428&lt;/D&gt;&lt;/FQL&gt;&lt;FQL&gt;&lt;Q&gt;Ticker0024^FE_ESTIMATE(DEFREVENUE_LT,MEAN,ANNUAL_ROLL,2022,45813,,,'')&lt;/Q&gt;&lt;R&gt;1&lt;/R&gt;&lt;C&gt;1&lt;/C&gt;&lt;D xsi:type="xsd:double"&gt;2870&lt;/D&gt;&lt;/FQL&gt;&lt;FQL&gt;&lt;Q&gt;Ticker0024^FE_ESTIMATE(DEFREVENUE_LT,MEAN,QUARTERLY_ROLL,2022/4F,45813,,,'')&lt;/Q&gt;&lt;R&gt;1&lt;/R&gt;&lt;C&gt;1&lt;/C&gt;&lt;D xsi:type="xsd:double"&gt;2870&lt;/D&gt;&lt;/FQL&gt;&lt;FQL&gt;&lt;Q&gt;Ticker0024^FE_ESTIMATE(DEFREVENUE_LT,MEAN,QUARTERLY_ROLL,2022/3F,45813,,,'')&lt;/Q&gt;&lt;R&gt;1&lt;/R&gt;&lt;C&gt;1&lt;/C&gt;&lt;D xsi:type="xsd:double"&gt;2769&lt;/D&gt;&lt;/FQL&gt;&lt;FQL&gt;&lt;Q&gt;Ticker0024^FE_ESTIMATE(DEFREVENUE_LT,MEAN,QUARTERLY_ROLL,2022/2F,45813,,,'')&lt;/Q&gt;&lt;R&gt;1&lt;/R&gt;&lt;C&gt;1&lt;/C&gt;&lt;D xsi:type="xsd:double"&gt;2768&lt;/D&gt;&lt;/FQL&gt;&lt;FQL&gt;&lt;Q&gt;Ticker0024^FE_ESTIMATE(DEFREVENUE_LT,MEAN,QUARTERLY_ROLL,2022/1F,45813,,,'')&lt;/Q&gt;&lt;R&gt;1&lt;/R&gt;&lt;C&gt;1&lt;/C&gt;&lt;D xsi:type="xsd:double"&gt;2550&lt;/D&gt;&lt;/FQL&gt;&lt;FQL&gt;&lt;Q&gt;Ticker0024^FE_ESTIMATE(DEFREVENUE_LT,MEAN,ANNUAL_ROLL,2021,45813,,,'')&lt;/Q&gt;&lt;R&gt;1&lt;/R&gt;&lt;C&gt;1&lt;/C&gt;&lt;D xsi:type="xsd:double"&gt;2616&lt;/D&gt;&lt;/FQL&gt;&lt;FQL&gt;&lt;Q&gt;Ticker0024^FE_ESTIMATE(DEFREVENUE_LT,MEAN,QUARTERLY_ROLL,2021/4F,45813,,,'')&lt;/Q&gt;&lt;R&gt;1&lt;/R&gt;&lt;C&gt;1&lt;/C&gt;&lt;D xsi:type="xsd:double"&gt;2616&lt;/D&gt;&lt;/FQL&gt;&lt;FQL&gt;&lt;Q&gt;Ticker0024^FE_ESTIMATE(DEFREVENUE_LT,MEAN,QUARTERLY_ROLL,2021/3F,45813,,,'')&lt;/Q&gt;&lt;R&gt;1&lt;/R&gt;&lt;C&gt;1&lt;/C&gt;&lt;D xsi:type="xsd:double"&gt;2631&lt;/D&gt;&lt;/FQL&gt;&lt;FQL&gt;&lt;Q&gt;Ticker0024^FE_ESTIMATE(DEFREVENUE_LT,MEAN,QUARTERLY_ROLL,2021/2F,45813,,,'')&lt;/Q&gt;&lt;R&gt;1&lt;/R&gt;&lt;C&gt;1&lt;/C&gt;&lt;D xsi:type="xsd:double"&gt;2985&lt;/D&gt;&lt;/FQL&gt;&lt;FQL&gt;&lt;Q&gt;Ticker0024^FE_ESTIMATE(DEFREVENUE_LT,MEAN,QUARTERLY_ROLL,2021/1F,45813,,,'')&lt;/Q&gt;&lt;R&gt;1&lt;/R&gt;&lt;C&gt;1&lt;/C&gt;&lt;D xsi:type="xsd:double"&gt;2829&lt;/D&gt;&lt;/FQL&gt;&lt;FQL&gt;&lt;Q&gt;Ticker0024^FE_ESTIMATE(DEFREVENUE_LT,MEAN,ANNUAL_ROLL,2020,45813,,,'')&lt;/Q&gt;&lt;R&gt;1&lt;/R&gt;&lt;C&gt;1&lt;/C&gt;&lt;D xsi:type="xsd:double"&gt;3180&lt;/D&gt;&lt;/FQL&gt;&lt;FQL&gt;&lt;Q&gt;Ticker0024^FE_ESTIMATE(DEFREVENUE_LT,MEAN,QUARTERLY_ROLL,2020/4F,45813,,,'')&lt;/Q&gt;&lt;R&gt;1&lt;/R&gt;&lt;C&gt;1&lt;/C&gt;&lt;D xsi:type="xsd:double"&gt;3180&lt;/D&gt;&lt;/FQL&gt;&lt;FQL&gt;&lt;Q&gt;Ticker0024^FE_ESTIMATE(DEFREVENUE_LT,MEAN,QUARTERLY_ROLL,2020/3F,45813,,,'')&lt;/Q&gt;&lt;R&gt;1&lt;/R&gt;&lt;C&gt;1&lt;/C&gt;&lt;D xsi:type="xsd:double"&gt;3385&lt;/D&gt;&lt;/FQL&gt;&lt;FQL&gt;&lt;Q&gt;Ticker0024^FE_ESTIMATE(DEFREVENUE_LT,MEAN,QUARTERLY_ROLL,2020/2F,45813,,,'')&lt;/Q&gt;&lt;R&gt;1&lt;/R&gt;&lt;C&gt;1&lt;/C&gt;&lt;D xsi:type="xsd:double"&gt;3878&lt;/D&gt;&lt;/FQL&gt;&lt;FQL&gt;&lt;Q&gt;Ticker0024^FE_ESTIMATE(DEFREVENUE_LT,MEAN,QUARTERLY_ROLL,2020/1F,45813,,,'')&lt;/Q&gt;&lt;R&gt;1&lt;/R&gt;&lt;C&gt;1&lt;/C&gt;&lt;D xsi:type="xsd:double"&gt;4122&lt;/D&gt;&lt;/FQL&gt;&lt;FQL&gt;&lt;Q&gt;Ticker0024^FE_ESTIMATE(DEFREVENUE_LT,MEAN,ANNUAL_ROLL,2019,45813,,,'')&lt;/Q&gt;&lt;R&gt;1&lt;/R&gt;&lt;C&gt;1&lt;/C&gt;&lt;D xsi:type="xsd:double"&gt;4530&lt;/D&gt;&lt;/FQL&gt;&lt;FQL&gt;&lt;Q&gt;Ticker0024^FE_ESTIMATE(DEFREVENUE_LT,MEAN,QUARTERLY_ROLL,2019/4F,45813,,,'')&lt;/Q&gt;&lt;R&gt;1&lt;/R&gt;&lt;C&gt;1&lt;/C&gt;&lt;D xsi:type="xsd:double"&gt;4530&lt;/D&gt;&lt;/FQL&gt;&lt;FQL&gt;&lt;Q&gt;Ticker0024^FE_ESTIMATE(DEFREVENUE_LT,MEAN,QUARTERLY_ROLL,2019/3F,45813,,,'')&lt;/Q&gt;&lt;R&gt;1&lt;/R&gt;&lt;C&gt;1&lt;/C&gt;&lt;D xsi:type="xsd:double"&gt;3884&lt;/D&gt;&lt;/FQL&gt;&lt;FQL&gt;&lt;Q&gt;Ticker0024^FE_ESTIMATE(DEFREVENUE_LT,MEAN,QUARTERLY_ROLL,2019/2F,45813,,,'')&lt;/Q&gt;&lt;R&gt;1&lt;/R&gt;&lt;C&gt;1&lt;/C&gt;&lt;D xsi:type="xsd:double"&gt;3799&lt;/D&gt;&lt;/FQL&gt;&lt;FQL&gt;&lt;Q&gt;Ticker0024^FE_ESTIMATE(DEFREVENUE_LT,MEAN,QUARTERLY_ROLL,2019/1F,45813,,,'')&lt;/Q&gt;&lt;R&gt;1&lt;/R&gt;&lt;C&gt;1&lt;/C&gt;&lt;D xsi:type="xsd:double"&gt;3538&lt;/D&gt;&lt;/FQL&gt;&lt;FQL&gt;&lt;Q&gt;Ticker0024^FE_ESTIMATE(DEFREVENUE_LT,MEAN,ANNUAL_ROLL,2018,45813,,,'')&lt;/Q&gt;&lt;R&gt;1&lt;/R&gt;&lt;C&gt;1&lt;/C&gt;&lt;D xsi:type="xsd:double"&gt;3815&lt;/D&gt;&lt;/FQL&gt;&lt;FQL&gt;&lt;Q&gt;Ticker0024^FE_ESTIMATE(DEFREVENUE_LT,MEAN,QUARTERLY_ROLL,2018/4F,45813,,,'')&lt;/Q&gt;&lt;R&gt;1&lt;/R&gt;&lt;C&gt;1&lt;/C&gt;&lt;D xsi:type="xsd:double"&gt;3815&lt;/D&gt;&lt;/FQL&gt;&lt;FQL&gt;&lt;Q&gt;Ticker0024^FE_ESTIMATE(DEFREVENUE_LT,MEAN,QUARTERLY_ROLL,2018/3F,45813,,,'')&lt;/Q&gt;&lt;R&gt;1&lt;/R&gt;&lt;C&gt;1&lt;/C&gt;&lt;D xsi:type="xsd:double"&gt;2585&lt;/D&gt;&lt;/FQL&gt;&lt;FQL&gt;&lt;Q&gt;Ticker0024^FE_ESTIMATE(DEFREVENUE_LT,MEAN,QUARTERLY_ROLL,2018/2F,45813,,,'')&lt;/Q&gt;&lt;R&gt;1&lt;/R&gt;&lt;C&gt;1&lt;/C&gt;&lt;D xsi:type="xsd:double"&gt;2500&lt;/D&gt;&lt;/FQL&gt;&lt;FQL&gt;&lt;Q&gt;Ticker0024^FE_ESTIMATE(DEFREVENUE_LT,MEAN,QUARTERLY_ROLL,2018/1F,45813,,,'')&lt;/Q&gt;&lt;R&gt;1&lt;/R&gt;&lt;C&gt;1&lt;/C&gt;&lt;D xsi:type="xsd:double"&gt;2126&lt;/D&gt;&lt;/FQL&gt;&lt;FQL&gt;&lt;Q&gt;Ticker0024^FE_ESTIMATE(DEFREVENUE_LT,MEAN,ANNUAL_ROLL,2017,45813,,,'')&lt;/Q&gt;&lt;R&gt;1&lt;/R&gt;&lt;C&gt;1&lt;/C&gt;&lt;D xsi:type="xsd:double"&gt;10377&lt;/D&gt;&lt;/FQL&gt;&lt;FQL&gt;&lt;Q&gt;Ticker0024^FE_ESTIMATE(DEFREVENUE_LT,MEAN,QUARTERLY_ROLL,2017/4F,45813,,,'')&lt;/Q&gt;&lt;R&gt;1&lt;/R&gt;&lt;C&gt;1&lt;/C&gt;&lt;D xsi:type="xsd:double"&gt;10377&lt;/D&gt;&lt;/FQL&gt;&lt;FQL&gt;&lt;Q&gt;Ticker0024^FE_ESTIMATE(DEFREVENUE_LT,MEAN,QUARTERLY_ROLL,2017/3F,45813,,,'')&lt;/Q&gt;&lt;R&gt;1&lt;/R&gt;&lt;C&gt;1&lt;/C&gt;&lt;D xsi:type="xsd:double"&gt;9215&lt;/D&gt;&lt;/FQL&gt;&lt;FQL&gt;&lt;Q&gt;Ticker0024^FE_ESTIMATE(DEFREVENUE_LT,MEAN,QUARTERLY_ROLL,2017/2F,45813,,,'')&lt;/Q&gt;&lt;R&gt;1&lt;/R&gt;&lt;C&gt;1&lt;/C&gt;&lt;D xsi:type="xsd:double"&gt;8595&lt;/D&gt;&lt;/FQL&gt;&lt;FQL&gt;&lt;Q&gt;Ticker0024^FE_ESTIMATE(DEFREVENUE_LT,MEAN,QUARTERLY_ROLL,2017/1F,45813,,,'')&lt;/Q&gt;&lt;R&gt;1&lt;/R&gt;&lt;C&gt;1&lt;/C&gt;&lt;D xsi:type="xsd:double"&gt;7284&lt;/D&gt;&lt;/FQL&gt;&lt;FQL&gt;&lt;Q&gt;Ticker0024^FE_ESTIMATE(DEFREVENUE_LT,MEAN,ANNUAL_ROLL,2016,45813,,,'')&lt;/Q&gt;&lt;R&gt;1&lt;/R&gt;&lt;C&gt;1&lt;/C&gt;&lt;D xsi:type="xsd:double"&gt;6441&lt;/D&gt;&lt;/FQL&gt;&lt;FQL&gt;&lt;Q&gt;Ticker0024^FE_ESTIMATE(DEFREVENUE_LT,MEAN,QUARTERLY_ROLL,2016/4F,45813,,,'')&lt;/Q&gt;&lt;R&gt;1&lt;/R&gt;&lt;C&gt;1&lt;/C&gt;&lt;D xsi:type="xsd:double"&gt;6441&lt;/D&gt;&lt;/FQL&gt;&lt;FQL&gt;&lt;Q&gt;Ticker0024^FE_ESTIMATE(DEFREVENUE_LT,MEAN,QUARTERLY_ROLL,2016/3F,45813,,,'')&lt;/Q&gt;&lt;R&gt;1&lt;/R&gt;&lt;C&gt;1&lt;/C&gt;&lt;D xsi:type="xsd:double"&gt;5017&lt;/D&gt;&lt;/FQL&gt;&lt;FQL&gt;&lt;Q&gt;Ticker0024^FE_ESTIMATE(DEFREVENUE_LT,MEAN,QUARTERLY_ROLL,2016/2F,45813,,,'')&lt;/Q&gt;&lt;R&gt;1&lt;/R&gt;&lt;C&gt;1&lt;/C&gt;&lt;D xsi:type="xsd:double"&gt;4102&lt;/D&gt;&lt;/FQL&gt;&lt;FQL&gt;&lt;Q&gt;Ticker0024^FE_ESTIMATE(DEFREVENUE_LT,MEAN,QUARTERLY_ROLL,2016/1F,45813,,,'')&lt;/Q&gt;&lt;R&gt;1&lt;/R&gt;&lt;C&gt;1&lt;/C&gt;&lt;D xsi:type="xsd:double"&gt;2784&lt;/D&gt;&lt;/FQL&gt;&lt;FQL&gt;&lt;Q&gt;Ticker0024^FE_ESTIMATE(DEFREVENUE_LT,MEAN,ANNUAL_ROLL,2015,45813,,,'')&lt;/Q&gt;&lt;R&gt;1&lt;/R&gt;&lt;C&gt;1&lt;/C&gt;&lt;D xsi:type="xsd:double"&gt;2095&lt;/D&gt;&lt;/FQL&gt;&lt;FQL&gt;&lt;Q&gt;Ticker0024^FE_ESTIMATE(DEFREVENUE_LT,MEAN,QUARTERLY_ROLL,2015/4F,45813,,,'')&lt;/Q&gt;&lt;R&gt;1&lt;/R&gt;&lt;C&gt;1&lt;/C&gt;&lt;D xsi:type="xsd:double"&gt;2095&lt;/D&gt;&lt;/FQL&gt;&lt;FQL&gt;&lt;Q&gt;Ticker0024^FE_ESTIMATE(DEFREVENUE_LT,MEAN,QUARTERLY_ROLL,2015/3F,45813,,,'')&lt;/Q&gt;&lt;R&gt;1&lt;/R&gt;&lt;C&gt;1&lt;/C&gt;&lt;D xsi:type="xsd:double"&gt;1966&lt;/D&gt;&lt;/FQL&gt;&lt;FQL&gt;&lt;Q&gt;Ticker0024^FE_ESTIMATE(DEFREVENUE_LT,MEAN,QUARTERLY_ROLL,2015/2F,45813,,,'')&lt;/Q&gt;&lt;R&gt;1&lt;/R&gt;&lt;C&gt;1&lt;/C&gt;&lt;D xsi:type="xsd:double"&gt;2035.2727&lt;/D&gt;&lt;/FQL&gt;&lt;FQL&gt;&lt;Q&gt;Ticker0024^FE_ESTIMATE(DEFREVENUE_LT,MEAN,QUARTERLY_ROLL,2015/1F,45813,,,'')&lt;/Q&gt;&lt;R&gt;1&lt;/R&gt;&lt;C&gt;1&lt;/C&gt;&lt;D xsi:type="xsd:double"&gt;1825&lt;/D&gt;&lt;/FQL&gt;&lt;FQL&gt;&lt;Q&gt;Ticker0024^FE_ESTIMATE(DEFREVENUE_ST,MEAN,ANNUAL_ROLL,2030,45813,,,'')&lt;/Q&gt;&lt;R&gt;0&lt;/R&gt;&lt;C&gt;0&lt;/C&gt;&lt;/FQL&gt;&lt;FQL&gt;&lt;Q&gt;Ticker0024^FE_ESTIMATE(DEFREVENUE_ST,MEAN,QUARTERLY_ROLL,2030/4F,45813,,,'')&lt;/Q&gt;&lt;R&gt;0&lt;/R&gt;&lt;C&gt;0&lt;/C&gt;&lt;/FQL&gt;&lt;FQL&gt;&lt;Q&gt;Ticker0024^FE_ESTIMATE(DEFREVENUE_ST,MEAN,QUARTERLY_ROLL,2030/3F,45813,,,'')&lt;/Q&gt;&lt;R&gt;0&lt;/R&gt;&lt;C&gt;0&lt;/C&gt;&lt;/FQL&gt;&lt;FQL&gt;&lt;Q&gt;Ticker0024^FE_ESTIMATE(DEFREVENUE_ST,MEAN,QUARTERLY_ROLL,2030/2F,45813,,,'')&lt;/Q&gt;&lt;R&gt;0&lt;/R&gt;&lt;C&gt;0&lt;/C&gt;&lt;/FQL&gt;&lt;FQL&gt;&lt;Q&gt;Ticker0024^FE_ESTIMATE(DEFREVENUE_ST,MEAN,QUARTERLY_ROLL,2030/1F,45813,,,'')&lt;/Q&gt;&lt;R&gt;0&lt;/R&gt;&lt;C&gt;0&lt;/C&gt;&lt;/FQL&gt;&lt;FQL&gt;&lt;Q&gt;Ticker0024^FE_ESTIMATE(DEFREVENUE_ST,MEAN,ANNUAL</t>
        </r>
      </text>
    </comment>
    <comment ref="A58" authorId="0" shapeId="0" xr:uid="{C51B02D6-58CA-49E0-BE21-C5295E5B97F4}">
      <text>
        <r>
          <rPr>
            <b/>
            <sz val="9"/>
            <color indexed="81"/>
            <rFont val="Tahoma"/>
            <family val="2"/>
          </rPr>
          <t>_ROLL,2029,45813,,,'')&lt;/Q&gt;&lt;R&gt;0&lt;/R&gt;&lt;C&gt;0&lt;/C&gt;&lt;/FQL&gt;&lt;FQL&gt;&lt;Q&gt;Ticker0024^FE_ESTIMATE(DEFREVENUE_ST,MEAN,QUARTERLY_ROLL,2029/4F,45813,,,'')&lt;/Q&gt;&lt;R&gt;0&lt;/R&gt;&lt;C&gt;0&lt;/C&gt;&lt;/FQL&gt;&lt;FQL&gt;&lt;Q&gt;Ticker0024^FE_ESTIMATE(DEFREVENUE_ST,MEAN,QUARTERLY_ROLL,2029/3F,45813,,,'')&lt;/Q&gt;&lt;R&gt;0&lt;/R&gt;&lt;C&gt;0&lt;/C&gt;&lt;/FQL&gt;&lt;FQL&gt;&lt;Q&gt;Ticker0024^FE_ESTIMATE(DEFREVENUE_ST,MEAN,QUARTERLY_ROLL,2029/2F,45813,,,'')&lt;/Q&gt;&lt;R&gt;0&lt;/R&gt;&lt;C&gt;0&lt;/C&gt;&lt;/FQL&gt;&lt;FQL&gt;&lt;Q&gt;Ticker0024^FE_ESTIMATE(DEFREVENUE_ST,MEAN,QUARTERLY_ROLL,2029/1F,45813,,,'')&lt;/Q&gt;&lt;R&gt;0&lt;/R&gt;&lt;C&gt;0&lt;/C&gt;&lt;/FQL&gt;&lt;FQL&gt;&lt;Q&gt;Ticker0024^FE_ESTIMATE(DEFREVENUE_ST,MEAN,ANNUAL_ROLL,2028,45813,,,'')&lt;/Q&gt;&lt;R&gt;0&lt;/R&gt;&lt;C&gt;0&lt;/C&gt;&lt;/FQL&gt;&lt;FQL&gt;&lt;Q&gt;Ticker0024^FE_ESTIMATE(DEFREVENUE_ST,MEAN,QUARTERLY_ROLL,2028/4F,45813,,,'')&lt;/Q&gt;&lt;R&gt;0&lt;/R&gt;&lt;C&gt;0&lt;/C&gt;&lt;/FQL&gt;&lt;FQL&gt;&lt;Q&gt;Ticker0024^FE_ESTIMATE(DEFREVENUE_ST,MEAN,QUARTERLY_ROLL,2028/3F,45813,,,'')&lt;/Q&gt;&lt;R&gt;0&lt;/R&gt;&lt;C&gt;0&lt;/C&gt;&lt;/FQL&gt;&lt;FQL&gt;&lt;Q&gt;Ticker0024^FE_ESTIMATE(DEFREVENUE_ST,MEAN,QUARTERLY_ROLL,2028/2F,45813,,,'')&lt;/Q&gt;&lt;R&gt;0&lt;/R&gt;&lt;C&gt;0&lt;/C&gt;&lt;/FQL&gt;&lt;FQL&gt;&lt;Q&gt;Ticker0024^FE_ESTIMATE(DEFREVENUE_ST,MEAN,QUARTERLY_ROLL,2028/1F,45813,,,'')&lt;/Q&gt;&lt;R&gt;0&lt;/R&gt;&lt;C&gt;0&lt;/C&gt;&lt;/FQL&gt;&lt;FQL&gt;&lt;Q&gt;Ticker0024^FE_ESTIMATE(DEFREVENUE_ST,MEAN,ANNUAL_ROLL,2027,45813,,,'')&lt;/Q&gt;&lt;R&gt;1&lt;/R&gt;&lt;C&gt;1&lt;/C&gt;&lt;D xsi:type="xsd:double"&gt;66990.2&lt;/D&gt;&lt;/FQL&gt;&lt;FQL&gt;&lt;Q&gt;Ticker0024^FE_ESTIMATE(DEFREVENUE_ST,MEAN,QUARTERLY_ROLL,2027/4F,45813,,,'')&lt;/Q&gt;&lt;R&gt;1&lt;/R&gt;&lt;C&gt;1&lt;/C&gt;&lt;D xsi:type="xsd:double"&gt;78321&lt;/D&gt;&lt;/FQL&gt;&lt;FQL&gt;&lt;Q&gt;Ticker0024^FE_ESTIMATE(DEFREVENUE_ST,MEAN,QUARTERLY_ROLL,2027/3F,45813,,,'')&lt;/Q&gt;&lt;R&gt;1&lt;/R&gt;&lt;C&gt;1&lt;/C&gt;&lt;D xsi:type="xsd:double"&gt;57828.5&lt;/D&gt;&lt;/FQL&gt;&lt;FQL&gt;&lt;Q&gt;Ticker0024^FE_ESTIMATE(DEFREVENUE_ST,MEAN,QUARTERLY_ROLL,2027/2F,45813,,,'')&lt;/Q&gt;&lt;R&gt;1&lt;/R&gt;&lt;C&gt;1&lt;/C&gt;&lt;D xsi:type="xsd:double"&gt;58954&lt;/D&gt;&lt;/FQL&gt;&lt;FQL&gt;&lt;Q&gt;Ticker0024^FE_ESTIMATE(DEFREVENUE_ST,MEAN,QUARTERLY_ROLL,2027/1F,45813,,,'')&lt;/Q&gt;&lt;R&gt;1&lt;/R&gt;&lt;C&gt;1&lt;/C&gt;&lt;D xsi:type="xsd:double"&gt;65414&lt;/D&gt;&lt;/FQL&gt;&lt;FQL&gt;&lt;Q&gt;Ticker0024^FE_ESTIMATE(DEFREVENUE_ST,MEAN,ANNUAL_ROLL,2026,45813,,,'')&lt;/Q&gt;&lt;R&gt;1&lt;/R&gt;&lt;C&gt;1&lt;/C&gt;&lt;D xsi:type="xsd:double"&gt;64884.918&lt;/D&gt;&lt;/FQL&gt;&lt;FQL&gt;&lt;Q&gt;Ticker0024^FE_ESTIMATE(DEFREVENUE_ST,MEAN,QUARTERLY_ROLL,2026/4F,45813,,,'')&lt;/Q&gt;&lt;R&gt;1&lt;/R&gt;&lt;C&gt;1&lt;/C&gt;&lt;D xsi:type="xsd:double"&gt;67924.75&lt;/D&gt;&lt;/FQL&gt;&lt;FQL&gt;&lt;Q&gt;Ticker0024^FE_ESTIMATE(DEFREVENUE_ST,MEAN,QUARTERLY_ROLL,2026/3F,45813,,,'')&lt;/Q&gt;&lt;R&gt;1&lt;/R&gt;&lt;C&gt;1&lt;/C&gt;&lt;D xsi:type="xsd:double"&gt;49364&lt;/D&gt;&lt;/FQL&gt;&lt;FQL&gt;&lt;Q&gt;Ticker0024^FE_ESTIMATE(DEFREVENUE_ST,MEAN,QUARTERLY_ROLL,2026/2F,45813,,,'')&lt;/Q&gt;&lt;R&gt;1&lt;/R&gt;&lt;C&gt;1&lt;/C&gt;&lt;D xsi:type="xsd:double"&gt;50611.75&lt;/D&gt;&lt;/FQL&gt;&lt;FQL&gt;&lt;Q&gt;Ticker0024^FE_ESTIMATE(DEFREVENUE_ST,MEAN,QUARTERLY_ROLL,2026/1F,45813,,,'')&lt;/Q&gt;&lt;R&gt;1&lt;/R&gt;&lt;C&gt;1&lt;/C&gt;&lt;D xsi:type="xsd:double"&gt;57008.75&lt;/D&gt;&lt;/FQL&gt;&lt;FQL&gt;&lt;Q&gt;Ticker0024^FE_ESTIMATE(DEFREVENUE_ST,MEAN,ANNUAL_ROLL,2025,45813,,,'')&lt;/Q&gt;&lt;R&gt;1&lt;/R&gt;&lt;C&gt;1&lt;/C&gt;&lt;D xsi:type="xsd:double"&gt;61476.27&lt;/D&gt;&lt;/FQL&gt;&lt;FQL&gt;&lt;Q&gt;Ticker0024^FE_ESTIMATE(DEFREVENUE_ST,MEAN,QUARTERLY_ROLL,2025/4F,45813,,,'')&lt;/Q&gt;&lt;R&gt;1&lt;/R&gt;&lt;C&gt;1&lt;/C&gt;&lt;D xsi:type="xsd:double"&gt;60798.15&lt;/D&gt;&lt;/FQL&gt;&lt;FQL&gt;&lt;Q&gt;Ticker0024^FE_ESTIMATE(DEFREVENUE_ST,MEAN,QUARTERLY_ROLL,2025/3F,45813,,,'')&lt;/Q&gt;&lt;R&gt;1&lt;/R&gt;&lt;C&gt;1&lt;/C&gt;&lt;D xsi:type="xsd:double"&gt;44636.668&lt;/D&gt;&lt;/FQL&gt;&lt;FQL&gt;&lt;Q&gt;Ticker0024^FE_ESTIMATE(DEFREVENUE_ST,MEAN,QUARTERLY_ROLL,2025/2F,45813,,,'')&lt;/Q&gt;&lt;R&gt;1&lt;/R&gt;&lt;C&gt;1&lt;/C&gt;&lt;D xsi:type="xsd:double"&gt;45508.332&lt;/D&gt;&lt;/FQL&gt;&lt;FQL&gt;&lt;Q&gt;Ticker0024^FE_ESTIMATE(DEFREVENUE_ST,MEAN,QUARTERLY_ROLL,2025/1F,45813,,,'')&lt;/Q&gt;&lt;R&gt;1&lt;/R&gt;&lt;C&gt;1&lt;/C&gt;&lt;D xsi:type="xsd:double"&gt;53026.5&lt;/D&gt;&lt;/FQL&gt;&lt;FQL&gt;&lt;Q&gt;Ticker0024^FE_ESTIMATE(DEFREVENUE_ST,MEAN,ANNUAL_ROLL,2024,45813,,,'')&lt;/Q&gt;&lt;R&gt;1&lt;/R&gt;&lt;C&gt;1&lt;/C&gt;&lt;D xsi:type="xsd:double"&gt;57725&lt;/D&gt;&lt;/FQL&gt;&lt;FQL&gt;&lt;Q&gt;Ticker0024^FE_ESTIMATE(DEFREVENUE_ST,MEAN,QUARTERLY_ROLL,2024/4F,45813,,,'')&lt;/Q&gt;&lt;R&gt;1&lt;/R&gt;&lt;C&gt;1&lt;/C&gt;&lt;D xsi:type="xsd:double"&gt;57581.75&lt;/D&gt;&lt;/FQL&gt;&lt;FQL&gt;&lt;Q&gt;Ticker0024^FE_ESTIMATE(DEFREVENUE_ST,MEAN,QUARTERLY_ROLL,2024/3F,45813,,,'')&lt;/Q&gt;&lt;R&gt;1&lt;/R&gt;&lt;C&gt;1&lt;/C&gt;&lt;D xsi:type="xsd:double"&gt;41888.285&lt;/D&gt;&lt;/FQL&gt;&lt;FQL&gt;&lt;Q&gt;Ticker0024^FE_ESTIMATE(DEFREVENUE_ST,MEAN,QUARTERLY_ROLL,2024/2F,45813,,,'')&lt;/Q&gt;&lt;R&gt;1&lt;/R&gt;&lt;C&gt;1&lt;/C&gt;&lt;D xsi:type="xsd:double"&gt;43068.285&lt;/D&gt;&lt;/FQL&gt;&lt;FQL&gt;&lt;Q&gt;Ticker0024^FE_ESTIMATE(DEFREVENUE_ST,MEAN,QUARTERLY_ROLL,2024/1F,45813,,,'')&lt;/Q&gt;&lt;R&gt;1&lt;/R&gt;&lt;C&gt;1&lt;/C&gt;&lt;D xsi:type="xsd:double"&gt;46429.168&lt;/D&gt;&lt;/FQL&gt;&lt;FQL&gt;&lt;Q&gt;Ticker0024^FE_ESTIMATE(DEFREVENUE_ST,MEAN,ANNUAL_ROLL,2023,45813,,,'')&lt;/Q&gt;&lt;R&gt;1&lt;/R&gt;&lt;C&gt;1&lt;/C&gt;&lt;D xsi:type="xsd:double"&gt;50900.875&lt;/D&gt;&lt;/FQL&gt;&lt;FQL&gt;&lt;Q&gt;Ticker0024^FE_ESTIMATE(DEFREVENUE_ST,MEAN,QUARTERLY_ROLL,2023/4F,45813,,,'')&lt;/Q&gt;&lt;R&gt;1&lt;/R&gt;&lt;C&gt;1&lt;/C&gt;&lt;D xsi:type="xsd:double"&gt;50900.855&lt;/D&gt;&lt;/FQL&gt;&lt;FQL&gt;&lt;Q&gt;Ticker0024^FE_ESTIMATE(DEFREVENUE_ST,MEAN,QUARTERLY_ROLL,2023/3F,45813,,,'')&lt;/Q&gt;&lt;R&gt;1&lt;/R&gt;&lt;C&gt;1&lt;/C&gt;&lt;D xsi:type="xsd:double"&gt;36902.5&lt;/D&gt;&lt;/FQL&gt;&lt;FQL&gt;&lt;Q&gt;Ticker0024^FE_ESTIMATE(DEFREVENUE_ST,MEAN,QUARTERLY_ROLL,2023/2F,45813,,,'')&lt;/Q&gt;&lt;R&gt;1&lt;/R&gt;&lt;C&gt;1&lt;/C&gt;&lt;D xsi:type="xsd:double"&gt;36981.668&lt;/D&gt;&lt;/FQL&gt;&lt;FQL&gt;&lt;Q&gt;Ticker0024^FE_ESTIMATE(DEFREVENUE_ST,MEAN,QUARTERLY_ROLL,2023/1F,45813,,,'')&lt;/Q&gt;&lt;R&gt;1&lt;/R&gt;&lt;C&gt;1&lt;/C&gt;&lt;D xsi:type="xsd:double"&gt;41340&lt;/D&gt;&lt;/FQL&gt;&lt;FQL&gt;&lt;Q&gt;Ticker0024^FE_ESTIMATE(DEFREVENUE_ST,MEAN,ANNUAL_ROLL,2022,45813,,,'')&lt;/Q&gt;&lt;R&gt;1&lt;/R&gt;&lt;C&gt;1&lt;/C&gt;&lt;D xsi:type="xsd:double"&gt;45538&lt;/D&gt;&lt;/FQL&gt;&lt;FQL&gt;&lt;Q&gt;Ticker0024^FE_ESTIMATE(DEFREVENUE_ST,MEAN,QUARTERLY_ROLL,2022/4F,45813,,,'')&lt;/Q&gt;&lt;R&gt;1&lt;/R&gt;&lt;C&gt;1&lt;/C&gt;&lt;D xsi:type="xsd:double"&gt;45538&lt;/D&gt;&lt;/FQL&gt;&lt;FQL&gt;&lt;Q&gt;Ticker0024^FE_ESTIMATE(DEFREVENUE_ST,MEAN,QUARTERLY_ROLL,2022/3F,45813,,,'')&lt;/Q&gt;&lt;R&gt;1&lt;/R&gt;&lt;C&gt;1&lt;/C&gt;&lt;D xsi:type="xsd:double"&gt;34027&lt;/D&gt;&lt;/FQL&gt;&lt;FQL&gt;&lt;Q&gt;Ticker0024^FE_ESTIMATE(DEFREVENUE_ST,MEAN,QUARTERLY_ROLL,2022/2F,45813,,,'')&lt;/Q&gt;&lt;R&gt;1&lt;/R&gt;&lt;C&gt;1&lt;/C&gt;&lt;D xsi:type="xsd:double"&gt;34001&lt;/D&gt;&lt;/FQL&gt;&lt;FQL&gt;&lt;Q&gt;Ticker0024^FE_ESTIMATE(DEFREVENUE_ST,MEAN,QUARTERLY_ROLL,2022/1F,45813,,,'')&lt;/Q&gt;&lt;R&gt;1&lt;/R&gt;&lt;C&gt;1&lt;/C&gt;&lt;D xsi:type="xsd:double"&gt;38465&lt;/D&gt;&lt;/FQL&gt;&lt;FQL&gt;&lt;Q&gt;Ticker0024^FE_ESTIMATE(DEFREVENUE_ST,MEAN,ANNUAL_ROLL,2021,45813,,,'')&lt;/Q&gt;&lt;R&gt;1&lt;/R&gt;&lt;C&gt;1&lt;/C&gt;&lt;D xsi:type="xsd:double"&gt;41525&lt;/D&gt;&lt;/FQL&gt;&lt;FQL&gt;&lt;Q&gt;Ticker0024^FE_ESTIMATE(DEFREVENUE_ST,MEAN,QUARTERLY_ROLL,2021/4F,45813,,,'')&lt;/Q&gt;&lt;R&gt;1&lt;/R&gt;&lt;C&gt;1&lt;/C&gt;&lt;D xsi:type="xsd:double"&gt;41525&lt;/D&gt;&lt;/FQL&gt;&lt;FQL&gt;&lt;Q&gt;Ticker0024^FE_ESTIMATE(DEFREVENUE_ST,MEAN,QUARTERLY_ROLL,2021/3F,45813,,,'')&lt;/Q&gt;&lt;R&gt;1&lt;/R&gt;&lt;C&gt;1&lt;/C&gt;&lt;D xsi:type="xsd:double"&gt;30083&lt;/D&gt;&lt;/FQL&gt;&lt;FQL&gt;&lt;Q&gt;Ticker0024^FE_ESTIMATE(DEFREVENUE_ST,MEAN,QUARTERLY_ROLL,2021/2F,45813,,,'')&lt;/Q&gt;&lt;R&gt;1&lt;/R&gt;&lt;C&gt;1&lt;/C&gt;&lt;D xsi:type="xsd:double"&gt;30402&lt;/D&gt;&lt;/FQL&gt;&lt;FQL&gt;&lt;Q&gt;Ticker0024^FE_ESTIMATE(DEFREVENUE_ST,MEAN,QUARTERLY_ROLL,2021/1F,45813,,,'')&lt;/Q&gt;&lt;R&gt;1&lt;/R&gt;&lt;C&gt;1&lt;/C&gt;&lt;D xsi:type="xsd:double"&gt;33476&lt;/D&gt;&lt;/FQL&gt;&lt;FQL&gt;&lt;Q&gt;Ticker0024^FE_ESTIMATE(DEFREVENUE_ST,MEAN,ANNUAL_ROLL,2020,45813,,,'')&lt;/Q&gt;&lt;R&gt;1&lt;/R&gt;&lt;C&gt;1&lt;/C&gt;&lt;D xsi:type="xsd:double"&gt;36000&lt;/D&gt;&lt;/FQL&gt;&lt;FQL&gt;&lt;Q&gt;Ticker0024^FE_ESTIMATE(DEFREVENUE_ST,MEAN,QUARTERLY_ROLL,2020/4F,45813,,,'')&lt;/Q&gt;&lt;R&gt;1&lt;/R&gt;&lt;C&gt;1&lt;/C&gt;&lt;D xsi:type="xsd:double"&gt;36000&lt;/D&gt;&lt;/FQL&gt;&lt;FQL&gt;&lt;Q&gt;Ticker0024^FE_ESTIMATE(DEFREVENUE_ST,MEAN,QUARTERLY_ROLL,2020/3F,45813,,,'')&lt;/Q&gt;&lt;R&gt;1&lt;/R&gt;&lt;C&gt;1&lt;/C&gt;&lt;D xsi:type="xsd:double"&gt;27012&lt;/D&gt;&lt;/FQL&gt;&lt;FQL&gt;&lt;Q&gt;Ticker0024^FE_ESTIMATE(DEFREVENUE_ST,MEAN,QUARTERLY_ROLL,2020/2F,45813,,,'')&lt;/Q&gt;&lt;R&gt;1&lt;/R&gt;&lt;C&gt;1&lt;/C&gt;&lt;D xsi:type="xsd:double"&gt;27343&lt;/D&gt;&lt;/FQL&gt;&lt;FQL&gt;&lt;Q&gt;Ticker0024^FE_ESTIMATE(DEFREVENUE_ST,MEAN,QUARTERLY_ROLL,2020/1F,45813,,,'')&lt;/Q&gt;&lt;R&gt;1&lt;/R&gt;&lt;C&gt;1&lt;/C&gt;&lt;D xsi:type="xsd:double"&gt;29904&lt;/D&gt;&lt;/FQL&gt;&lt;FQL&gt;&lt;Q&gt;Ticker0024^FE_ESTIMATE(DEFREVENUE_ST,MEAN,ANNUAL_ROLL,2019,45813,,,'')&lt;/Q&gt;&lt;R&gt;1&lt;/R&gt;&lt;C&gt;1&lt;/C&gt;&lt;D xsi:type="xsd:double"&gt;32676&lt;/D&gt;&lt;/FQL&gt;&lt;FQL&gt;&lt;Q&gt;Ticker0024^FE_ESTIMATE(DEFREVENUE_ST,MEAN,QUARTERLY_ROLL,2019/4F,45813,,,'')&lt;/Q&gt;&lt;R&gt;1&lt;/R&gt;&lt;C&gt;1&lt;/C&gt;&lt;D xsi:type="xsd:double"&gt;32676&lt;/D&gt;&lt;/FQL&gt;&lt;FQL&gt;&lt;Q&gt;Ticker0024^FE_ESTIMATE(DEFREVENUE_ST,MEAN,QUARTERLY_ROLL,2019/3F,45813,,,'')&lt;/Q&gt;&lt;R&gt;1&lt;/R&gt;&lt;C&gt;1&lt;/C&gt;&lt;D xsi:type="xsd:double"&gt;24251&lt;/D&gt;&lt;/FQL&gt;&lt;FQL&gt;&lt;Q&gt;Ticker0024^FE_ESTIMATE(DEFREVENUE_ST,MEAN,QUARTERLY_ROLL,2019/2F,45813,,,'')&lt;/Q&gt;&lt;R&gt;1&lt;/R&gt;&lt;C&gt;1&lt;/C&gt;&lt;D xsi:type="xsd:double"&gt;24285&lt;/D&gt;&lt;/FQL&gt;&lt;FQL&gt;&lt;Q&gt;Ticker0024^FE_ESTIMATE(DEFREVENUE_ST,MEAN,QUARTERLY_ROLL,2019/1F,45813,,,'')&lt;/Q&gt;&lt;R&gt;1&lt;/R&gt;&lt;C&gt;1&lt;/C&gt;&lt;D xsi:type="xsd:double"&gt;26704&lt;/D&gt;&lt;/FQL&gt;&lt;FQL&gt;&lt;Q&gt;Ticker0024^FE_ESTIMATE(DEFREVENUE_ST,MEAN,ANNUAL_ROLL,2018,45813,,,'')&lt;/Q&gt;&lt;R&gt;1&lt;/R&gt;&lt;C&gt;1&lt;/C&gt;&lt;D xsi:type="xsd:double"&gt;28905&lt;/D&gt;&lt;/FQL&gt;&lt;FQL&gt;&lt;Q&gt;Ticker0024^FE_ESTIMATE(DEFREVENUE_ST,MEAN,QUARTERLY_ROLL,2018/4F,45813,,,'')&lt;/Q&gt;&lt;R&gt;1&lt;/R&gt;&lt;C&gt;1&lt;/C&gt;&lt;D xsi:type="xsd:double"&gt;28905&lt;/D&gt;&lt;/FQL&gt;&lt;FQL&gt;&lt;Q&gt;Ticker0024^FE_ESTIMATE(DEFREVENUE_ST,MEAN,QUARTERLY_ROLL,2018/3F,45813,,,'')&lt;/Q&gt;&lt;R&gt;1&lt;/R&gt;&lt;C&gt;1&lt;/C&gt;&lt;D xsi:type="xsd:double"&gt;21370&lt;/D&gt;&lt;/FQL&gt;&lt;FQL&gt;&lt;Q&gt;Ticker0024^FE_ESTIMATE(DEFREVENUE_ST,MEAN,QUARTERLY_ROLL,2018/2F,45813,,,'')&lt;/Q&gt;&lt;R&gt;1&lt;/R&gt;&lt;C&gt;1&lt;/C&gt;&lt;D xsi:type="xsd:double"&gt;21559&lt;/D&gt;&lt;/FQL&gt;&lt;FQL&gt;&lt;Q&gt;Ticker0024^FE_ESTIMATE(DEFREVENUE_ST,MEAN,QUARTERLY_ROLL,2018/1F,45813,,,'')&lt;/Q&gt;&lt;R&gt;1&lt;/R&gt;&lt;C&gt;1&lt;/C&gt;&lt;D xsi:type="xsd:double"&gt;22990.6&lt;/D&gt;&lt;/FQL&gt;&lt;FQL&gt;&lt;Q&gt;Ticker0024^FE_ESTIMATE(DEFREVENUE_ST,MEAN,ANNUAL_ROLL,2017,45813,,,'')&lt;/Q&gt;&lt;R&gt;1&lt;/R&gt;&lt;C&gt;1&lt;/C&gt;&lt;D xsi:type="xsd:double"&gt;34102&lt;/D&gt;&lt;/FQL&gt;&lt;FQL&gt;&lt;Q&gt;Ticker0024^FE_ESTIMATE(DEFREVENUE_ST,MEAN,QUARTERLY_ROLL,2017/4F,45813,,,'')&lt;/Q&gt;&lt;R&gt;1&lt;/R&gt;&lt;C&gt;1&lt;/C&gt;&lt;D xsi:type="xsd:double"&gt;34102&lt;/D&gt;&lt;/FQL&gt;&lt;FQL&gt;&lt;Q&gt;Ticker0024^FE_ESTIMATE(DEFREVENUE_ST,MEAN,QUARTERLY_ROLL,2017/3F,45813,,,'')&lt;/Q&gt;&lt;R&gt;1&lt;/R&gt;&lt;C&gt;1&lt;/C&gt;&lt;D xsi:type="xsd:double"&gt;26518&lt;/D&gt;&lt;/FQL&gt;&lt;FQL&gt;&lt;Q&gt;Ticker0024^FE_ESTIMATE(DEFREVENUE_ST,MEAN,QUARTERLY_ROLL,2017/2F,45813,,,'')&lt;/Q&gt;&lt;R&gt;1&lt;/R&gt;&lt;C&gt;1&lt;/C&gt;&lt;D xsi:type="xsd:double"&gt;25983&lt;/D&gt;&lt;/FQL&gt;&lt;FQL&gt;&lt;Q&gt;Ticker0024^FE_ESTIMATE(DEFREVENUE_ST,MEAN,QUARTERLY_ROLL,2017/1F,45813,,,'')&lt;/Q&gt;&lt;R&gt;1&lt;/R&gt;&lt;C&gt;1&lt;/C&gt;&lt;D xsi:type="xsd:double"&gt;26304&lt;/D&gt;&lt;/FQL&gt;&lt;FQL&gt;&lt;Q&gt;Ticker0024^FE_ESTIMATE(DEFREVENUE_ST,MEAN,ANNUAL_ROLL,2016,45813,,,'')&lt;/Q&gt;&lt;R&gt;1&lt;/R&gt;&lt;C&gt;1&lt;/C&gt;&lt;D xsi:type="xsd:double"&gt;27468&lt;/D&gt;&lt;/FQL&gt;&lt;FQL&gt;&lt;Q&gt;Ticker0024^FE_ESTIMATE(DEFREVENUE_ST,MEAN,QUARTERLY_ROLL,2016/4F,45813,,,'')&lt;/Q&gt;&lt;R&gt;1&lt;/R&gt;&lt;C&gt;1&lt;/C&gt;&lt;D xsi:type="xsd:double"&gt;27468&lt;/D&gt;&lt;/FQL&gt;&lt;FQL&gt;&lt;Q&gt;Ticker0024^FE_ESTIMATE(DEFREVENUE_ST,MEAN,QUARTERLY_ROLL,2016/3F,45813,,,'')&lt;/Q&gt;&lt;R&gt;1&lt;/R&gt;&lt;C&gt;1&lt;/C&gt;&lt;D xsi:type="xsd:double"&gt;20876&lt;/D&gt;&lt;/FQL&gt;&lt;FQL&gt;&lt;Q&gt;Ticker0024^FE_ESTIMATE(DEFREVENUE_ST,MEAN,QUARTERLY_ROLL,2016/2F,45813,,,'')&lt;/Q&gt;&lt;R&gt;1&lt;/R&gt;&lt;C&gt;1&lt;/C&gt;&lt;D xsi:type="xsd:double"&gt;20929&lt;/D&gt;&lt;/FQL&gt;&lt;FQL&gt;&lt;Q&gt;Ticker0024^FE_ESTIMATE(DEFREVENUE_ST,MEAN,QUARTERLY_ROLL,2016/1F,45813,,,'')&lt;/Q&gt;&lt;R&gt;1&lt;/R&gt;&lt;C&gt;1&lt;/C&gt;&lt;D xsi:type="xsd:double"&gt;21603&lt;/D&gt;&lt;/FQL&gt;&lt;FQL&gt;&lt;Q&gt;Ticker0024^FE_ESTIMATE(DEFREVENUE_ST,MEAN,ANNUAL_ROLL,2015,45813,,,'')&lt;/Q&gt;&lt;R&gt;1&lt;/R&gt;&lt;C&gt;1&lt;/C&gt;&lt;D xsi:type="xsd:double"&gt;23223&lt;/D&gt;&lt;/FQL&gt;&lt;FQL&gt;&lt;Q&gt;Ticker0024^FE_ESTIMATE(DEFREVENUE_ST,MEAN,QUARTERLY_ROLL,2015/4F,45813,,,'')&lt;/Q&gt;&lt;R&gt;1&lt;/R&gt;&lt;C&gt;1&lt;/C&gt;&lt;D xsi:type="xsd:double"&gt;23223&lt;/D&gt;&lt;/FQL&gt;&lt;FQL&gt;&lt;Q&gt;Ticker0024^FE_ESTIMATE(DEFREVENUE_ST,MEAN,QUARTERLY_ROLL,2015/3F,45813,,,'')&lt;/Q&gt;&lt;R&gt;1&lt;/R&gt;&lt;C&gt;1&lt;/C&gt;&lt;D xsi:type="xsd:double"&gt;18232&lt;/D&gt;&lt;/FQL&gt;&lt;FQL&gt;&lt;Q&gt;Ticker0024^FE_ESTIMATE(DEFREVENUE_ST,MEAN,QUARTERLY_ROLL,2015/2F,45813,,,'')&lt;/Q&gt;&lt;R&gt;1&lt;/R&gt;&lt;C&gt;1&lt;/C&gt;&lt;D xsi:type="xsd:double"&gt;19192&lt;/D&gt;&lt;/FQL&gt;&lt;FQL&gt;&lt;Q&gt;Ticker0024^FE_ESTIMATE(DEFREVENUE_ST,MEAN,QUARTERLY_ROLL,2015/1F,45813,,,'')&lt;/Q&gt;&lt;R&gt;1&lt;/R&gt;&lt;C&gt;1&lt;/C&gt;&lt;D xsi:type="xsd:double"&gt;20713&lt;/D&gt;&lt;/FQL&gt;&lt;FQL&gt;&lt;Q&gt;Ticker0024^FE_ESTIMATE(FCF,MEAN,ANNUAL_ROLL,2030,45813,,,'')&lt;/Q&gt;&lt;R&gt;0&lt;/R&gt;&lt;C&gt;0&lt;/C&gt;&lt;/FQL&gt;&lt;FQL&gt;&lt;Q&gt;Ticker0024^FE_ESTIMATE(FCF,MEAN,QUARTERLY_ROLL,2030/4F,45813,,,'')&lt;/Q&gt;&lt;R&gt;0&lt;/R&gt;&lt;C&gt;0&lt;/C&gt;&lt;/FQL&gt;&lt;FQL&gt;&lt;Q&gt;Ticker0024^FE_ESTIMATE(FCF,MEAN,QUARTERLY_ROLL,2030/3F,45813,,,'')&lt;/Q&gt;&lt;R&gt;0&lt;/R&gt;&lt;C&gt;0&lt;/C&gt;&lt;/FQL&gt;&lt;FQL&gt;&lt;Q&gt;Ticker0024^FE_ESTIMATE(FCF,MEAN,QUARTERLY_ROLL,2030/2F,45813,,,'')&lt;/Q&gt;&lt;R&gt;0&lt;/R&gt;&lt;C&gt;0&lt;/C&gt;&lt;/FQL&gt;&lt;FQL&gt;&lt;Q&gt;Ticker0024^FE_ESTIMATE(FCF,MEAN,QUARTERLY_ROLL,2030/1F,45813,,,'')&lt;/Q&gt;&lt;R&gt;0&lt;/R&gt;&lt;C&gt;0&lt;/C&gt;&lt;/FQL&gt;&lt;FQL&gt;&lt;Q&gt;Ticker0024^FE_ESTIMATE(FCF,MEAN,ANNUAL_ROLL,2029,45813,,,'')&lt;/Q&gt;&lt;R&gt;1&lt;/R&gt;&lt;C&gt;1&lt;/C&gt;&lt;D xsi:type="xsd:double"&gt;153725&lt;/D&gt;&lt;/FQL&gt;&lt;FQL&gt;&lt;Q&gt;Ticker0024^FE_ESTIMATE(FCF,MEAN,QUARTERLY_ROLL,2029/4F,45813,,,'')&lt;/Q&gt;&lt;R&gt;0&lt;/R&gt;&lt;C&gt;0&lt;/C&gt;&lt;/FQL&gt;&lt;FQL&gt;&lt;Q&gt;Ticker0024^FE_ESTIMATE(FCF,MEAN,QUARTERLY_ROLL,2029/3F,45813,,,'')&lt;/Q&gt;&lt;R&gt;0&lt;/R&gt;&lt;C&gt;0&lt;/C&gt;&lt;/FQL&gt;&lt;FQL&gt;&lt;Q&gt;Ticker0024^FE_ESTIMATE(FCF,MEAN,QUARTERLY_ROLL,2029/2F,45813,,,'')&lt;/Q&gt;&lt;R&gt;0&lt;/R&gt;&lt;C&gt;0&lt;/C&gt;&lt;/FQL&gt;&lt;FQL&gt;&lt;Q&gt;Ticker0024^FE_ESTIMATE(FCF,MEAN,QUARTERLY_ROLL,2029/1F,45813,,,'')&lt;/Q&gt;&lt;R&gt;0&lt;/R&gt;&lt;C&gt;0&lt;/C&gt;&lt;/FQL&gt;&lt;FQL&gt;&lt;Q&gt;Ticker0024^FE_ESTIMATE(FCF,MEAN,ANNUAL_ROLL,2028,45813,,,'')&lt;/Q&gt;&lt;R&gt;1&lt;/R&gt;&lt;C&gt;1&lt;/C&gt;&lt;D xsi:type="xsd:double"&gt;132745.7&lt;/D&gt;&lt;/FQL&gt;&lt;FQL&gt;&lt;Q&gt;Ticker0024^FE_ESTIMATE(FCF,MEAN,QUARTERLY_ROLL,2028/4F,45813,,,'')&lt;/Q&gt;&lt;R&gt;0&lt;/R&gt;&lt;C&gt;0&lt;/C&gt;&lt;/FQL&gt;&lt;FQL&gt;&lt;Q&gt;Ticker0024^FE_ESTIMATE(FCF,MEAN,QUARTERLY_ROLL,2028/3F,45813,,,'')&lt;/Q&gt;&lt;R&gt;0&lt;/R&gt;&lt;C&gt;0&lt;/C&gt;&lt;/FQL&gt;&lt;FQL&gt;&lt;Q&gt;Ticker0024^FE_ESTIMATE(FCF,MEAN,QUARTERLY_ROLL,2028/2F,45813,,,'')&lt;/Q&gt;&lt;R&gt;0&lt;/R&gt;&lt;C&gt;0&lt;/C&gt;&lt;/FQL&gt;&lt;FQL&gt;&lt;Q&gt;Ticker0024^FE_ESTIMATE(FCF,MEAN,QUARTERLY_ROLL,2028/1F,45813,,,'')&lt;/Q&gt;&lt;R&gt;0&lt;/R&gt;&lt;C&gt;0&lt;/C&gt;&lt;/FQL&gt;&lt;FQL&gt;&lt;Q&gt;Ticker0024^FE_ESTIMATE(FCF,MEAN,ANNUAL_ROLL,2027,45813,,,'')&lt;/Q&gt;&lt;R&gt;1&lt;/R&gt;&lt;C&gt;1&lt;/C&gt;&lt;D xsi:type="xsd:double"&gt;97702.945&lt;/D&gt;&lt;/FQL&gt;&lt;FQL&gt;&lt;Q&gt;Ticker0024^FE_ESTIMATE(FCF,MEAN,QUARTERLY_ROLL,2027/4F,45813,,,'')&lt;/Q&gt;&lt;R&gt;1&lt;/R&gt;&lt;C&gt;1&lt;/C&gt;&lt;D xsi:type="xsd:double"&gt;18217.666&lt;/D&gt;&lt;/FQL&gt;&lt;FQL&gt;&lt;Q&gt;Ticker0024^FE_ESTIMATE(FCF,MEAN,QUARTERLY_ROLL,2027/3F,45813,,,'')&lt;/Q&gt;&lt;R&gt;1&lt;/R&gt;&lt;C&gt;1&lt;/C&gt;&lt;D xsi:type="xsd:double"&gt;19331.666&lt;/D&gt;&lt;/FQL&gt;&lt;FQL&gt;&lt;Q&gt;Ticker0024^FE_ESTIMATE(FCF,MEAN,QUARTERLY_ROLL,2027/2F,45813,,,'')&lt;/Q&gt;&lt;R&gt;1&lt;/R&gt;&lt;C&gt;1&lt;/C&gt;&lt;D xsi:type="xsd:double"&gt;8462.667&lt;/D&gt;&lt;/FQL&gt;&lt;FQL&gt;&lt;Q&gt;Ticker0024^FE_ESTIMATE(FCF,MEAN,QUARTERLY_ROLL,2027/1F,45813,,,'')&lt;/Q&gt;&lt;R&gt;1&lt;/R&gt;&lt;C&gt;1&lt;/C&gt;&lt;D xsi:type="xsd:double"&gt;32751&lt;/D&gt;&lt;/FQL&gt;&lt;FQL&gt;&lt;Q&gt;Ticker0024^FE_ESTIMATE(FCF,MEAN,ANNUAL_ROLL,2026,45813,,,'')&lt;/Q&gt;&lt;R&gt;1&lt;/R&gt;&lt;C&gt;1&lt;/C&gt;&lt;D xsi:type="xsd:double"&gt;76359.31&lt;/D&gt;&lt;/FQL&gt;&lt;FQL&gt;&lt;Q&gt;Ticker0024^FE_ESTIMATE(FCF,MEAN,QUARTERLY_ROLL,2026/4F,45813,,,'')&lt;/Q&gt;&lt;R&gt;1&lt;/R&gt;&lt;C&gt;1&lt;/C&gt;&lt;D xsi:type="xsd:double"&gt;19426.576&lt;/D&gt;&lt;/FQL&gt;&lt;FQL&gt;&lt;Q&gt;Ticker0024^FE_ESTIMATE(FCF,MEAN,QUARTERLY_ROLL,2026/3F,45813,,,'')&lt;/Q&gt;&lt;R&gt;1&lt;/R&gt;&lt;C&gt;1&lt;/C&gt;&lt;D xsi:type="xsd:double"&gt;19921.723&lt;/D&gt;&lt;/FQL&gt;&lt;FQL&gt;&lt;Q&gt;Ticker0024^FE_ESTIMATE(FCF,MEAN,QUARTERLY_ROLL,2026/2F,45813,,,'')&lt;/Q&gt;&lt;R&gt;1&lt;/R&gt;&lt;C&gt;1&lt;/C&gt;&lt;D xsi:type="xsd:double"&gt;9030.423&lt;/D&gt;&lt;/FQL&gt;&lt;FQL&gt;&lt;Q&gt;Ticker0024^FE_ESTIMATE(FCF,MEAN,QUARTERLY_ROLL,2026/1F,45813,,,'')&lt;/Q&gt;&lt;R&gt;1&lt;/R&gt;&lt;C&gt;1&lt;/C&gt;&lt;D xsi:type="xsd:double"&gt;26128.092&lt;/D&gt;&lt;/FQL&gt;&lt;FQL&gt;&lt;Q&gt;Ticker0024^FE_ESTIMATE(FCF,MEAN,ANNUAL_ROLL,2025,45813,,,'')&lt;/Q&gt;&lt;R&gt;1&lt;/R&gt;&lt;C&gt;1&lt;/C&gt;&lt;D xsi:type="xsd:double"&gt;66728.03&lt;/D&gt;&lt;/FQL&gt;&lt;FQL&gt;&lt;Q&gt;Ticker0024^FE_ESTIMATE(FCF,MEAN,QUARTERLY_ROLL,2025/4F,45813,,,'')&lt;/Q&gt;&lt;R&gt;1&lt;/R&gt;&lt;C&gt;1&lt;/C&gt;&lt;D xsi:type="xsd:double"&gt;20410.66&lt;/D&gt;&lt;/FQL&gt;&lt;FQL&gt;&lt;Q&gt;Ticker0024^FE_ESTIMATE(FCF,MEAN,QUARTERLY_ROLL,2025/3F,45813,,,'')&lt;/Q&gt;&lt;R&gt;1&lt;/R&gt;&lt;C&gt;1&lt;/C&gt;&lt;D xsi:type="xsd:double"&gt;20237.75&lt;/D&gt;&lt;/FQL&gt;&lt;FQL&gt;&lt;Q&gt;Ticker0024^FE_ESTIMATE(FCF,MEAN,QUARTERLY_ROLL,2025/2F,45813,,,'')&lt;/Q&gt;&lt;R&gt;1&lt;/R&gt;&lt;C&gt;1&lt;/C&gt;&lt;D xsi:type="xsd:double"&gt;6393.533&lt;/D&gt;&lt;/FQL&gt;&lt;FQL&gt;&lt;Q&gt;Ticker0024^FE_ESTIMATE(FCF,MEAN,QUARTERLY_ROLL,2025/1F,45813,,,'')&lt;/Q&gt;&lt;R&gt;1&lt;/R&gt;&lt;C&gt;1&lt;/C&gt;&lt;D xsi:type="xsd:double"&gt;18738.584&lt;/D&gt;&lt;/FQL&gt;&lt;FQL&gt;&lt;Q&gt;Ticker0024^FE_ESTIMATE(FCF,MEAN,ANNUAL_ROLL,2024,45813,,,'')&lt;/Q&gt;&lt;R&gt;1&lt;/R&gt;&lt;C&gt;1&lt;/C&gt;&lt;D xsi:type="xsd:double"&gt;72678.9&lt;/D&gt;&lt;/FQL&gt;&lt;FQL&gt;&lt;Q&gt;Ticker0024^FE_ESTIMATE(FCF,MEAN,QUARTERLY_ROLL,2024/4F,45813,,,'')&lt;/Q&gt;&lt;R&gt;1&lt;/R&gt;&lt;C&gt;1&lt;/C&gt;&lt;D xsi:type="xsd:double"&gt;22275.834&lt;/D&gt;&lt;/FQL&gt;&lt;FQL&gt;&lt;Q&gt;Ticker0024^FE_ESTIMATE(FCF,MEAN,QUARTERLY_ROLL,2024/3F,45813,,,'')&lt;/Q&gt;&lt;R&gt;1&lt;/R&gt;&lt;C&gt;1&lt;/C&gt;&lt;D xsi:type="xsd:double"&gt;20634.766&lt;/D&gt;&lt;/FQL&gt;&lt;FQL&gt;&lt;Q&gt;Ticker0024^FE_ESTIMATE(FCF,MEAN,QUARTERLY_ROLL,2024/2F,45813,,,'')&lt;/Q&gt;&lt;R&gt;1&lt;/R&gt;&lt;C&gt;1&lt;/C&gt;&lt;D xsi:type="xsd:double"&gt;6218.222&lt;/D&gt;&lt;/FQL&gt;&lt;FQL&gt;&lt;Q&gt;Ticker0024^FE_ESTIMATE(FCF,MEAN,QUARTERLY_ROLL,2024/1F,45813,,,'')&lt;/Q&gt;&lt;R&gt;1&lt;/R&gt;&lt;C&gt;1&lt;/C&gt;&lt;D xsi:type="xsd:double"&gt;21096.059&lt;/D&gt;&lt;/FQL&gt;&lt;FQL&gt;&lt;Q&gt;Ticker0024^FE_ESTIMATE(FCF,MEAN,ANNUAL_ROLL,2023,45813,,,'')&lt;/Q&gt;&lt;R&gt;1&lt;/R&gt;&lt;C&gt;1&lt;/C&gt;&lt;D xsi:type="xsd:double"&gt;60085.832&lt;/D&gt;&lt;/FQL&gt;&lt;FQL&gt;&lt;Q&gt;Ticker0024^FE_ESTIMATE(FCF,MEAN,QUARTERLY_ROLL,2023/4F,45813,,,'')&lt;/Q&gt;&lt;R&gt;1&lt;/R&gt;&lt;C&gt;1&lt;/C&gt;&lt;D xsi:type="xsd:double"&gt;19492.357&lt;/D&gt;&lt;/FQL&gt;&lt;FQL&gt;&lt;Q&gt;Ticker0024^FE_ESTIMATE(FCF,MEAN,QUARTERLY_ROLL,2023/3F,45813,,,'')&lt;/Q&gt;&lt;R&gt;1&lt;/R&gt;&lt;C&gt;1&lt;/C&gt;&lt;D xsi:type="xsd:double"&gt;17765.25&lt;/D&gt;&lt;/FQL&gt;&lt;FQL&gt;&lt;Q&gt;Ticker0024^FE_ESTIMATE(FCF,MEAN,QUARTERLY_ROLL,2023/2F,45813,,,'')&lt;/Q&gt;&lt;R&gt;1&lt;/R&gt;&lt;C&gt;1&lt;/C&gt;&lt;D xsi:type="xsd:double"&gt;5507.533&lt;/D&gt;&lt;/FQL&gt;&lt;FQL&gt;&lt;Q&gt;Ticker0024^FE_ESTIMATE(FCF,MEAN,QUARTERLY_ROLL,2023/1F,45813,,,'')&lt;/Q&gt;&lt;R&gt;1&lt;/R&gt;&lt;C&gt;1&lt;/C&gt;&lt;D xsi:type="xsd:double"&gt;17698&lt;/D&gt;&lt;/FQL&gt;&lt;FQL&gt;&lt;Q&gt;Ticker0024^FE_ESTIMATE(FCF,MEAN,ANNUAL_ROLL,2022,45813,,,'')&lt;/Q&gt;&lt;R&gt;1&lt;/R&gt;&lt;C&gt;1&lt;/C&gt;&lt;D xsi:type="xsd:double"&gt;65067.133&lt;/D&gt;&lt;/FQL&gt;&lt;FQL&gt;&lt;Q&gt;Ticker0024^FE_ESTIMATE(FCF,MEAN,QUARTERLY_ROLL,2022/4F,45813,,,'')&lt;/Q&gt;&lt;R&gt;1&lt;/R&gt;&lt;C&gt;1&lt;/C&gt;&lt;D xsi:type="xsd:double"&gt;17158&lt;/D&gt;&lt;/FQL&gt;&lt;FQL&gt;&lt;Q&gt;Ticker0024^FE_ESTIMATE(FCF,MEAN,QUARTERLY_ROLL,2022/3F,45813,,,'')&lt;/Q&gt;&lt;R&gt;1&lt;/R&gt;&lt;C&gt;1&lt;/C&gt;&lt;D xsi:type="xsd:double"&gt;19608.334&lt;/D&gt;&lt;/FQL&gt;&lt;FQL&gt;&lt;Q&gt;Ticker0024^FE_ESTIMATE(FCF,MEAN,QUARTERLY_ROLL,2022/2F,45813,,,'')&lt;/Q&gt;&lt;R&gt;1&lt;/R&gt;&lt;C&gt;1&lt;/C&gt;&lt;D xsi:type="xsd:double"&gt;9409.818&lt;/D&gt;&lt;/FQL&gt;&lt;FQL&gt;&lt;Q&gt;Ticker0024^FE_ESTIMATE(FCF,MEAN,QUARTERLY_ROLL,2022/1F,45813,,,'')&lt;/Q&gt;&lt;R&gt;1&lt;/R&gt;&lt;C&gt;1&lt;/C&gt;&lt;D xsi:type="xsd:double"&gt;18285.334&lt;/D&gt;&lt;/FQL&gt;&lt;FQL&gt;&lt;Q&gt;Ticker0024^FE_ESTIMATE(FCF,MEAN,ANNUAL_ROLL,2021,45813,,,'')&lt;/Q&gt;&lt;R&gt;1&lt;/R&gt;&lt;C&gt;1&lt;/C&gt;&lt;D xsi:type="xsd:double"&gt;55483.777&lt;/D&gt;&lt;/FQL&gt;&lt;FQL&gt;&lt;Q&gt;Ticker0024^FE_ESTIMATE(FCF,MEAN,QUARTERLY_ROLL,2021/4F,45813,,,'')&lt;/Q&gt;&lt;R&gt;1&lt;/R&gt;&lt;C&gt;1&lt;/C&gt;&lt;D xsi:type="xsd:double"&gt;15893.833&lt;/D&gt;&lt;/FQL&gt;&lt;FQL&gt;&lt;Q&gt;Ticker0024^FE_ESTIMATE(FCF,MEAN,QUARTERLY_ROLL,2021/3F,45813,,,'')&lt;/Q&gt;&lt;R&gt;1&lt;/R&gt;&lt;C&gt;1&lt;/C&gt;&lt;D xsi:type="xsd:double"&gt;16693.5&lt;/D&gt;&lt;/FQL&gt;&lt;FQL&gt;&lt;Q&gt;Ticker0024^FE_ESTIMATE(FCF,MEAN,QUARTERLY_ROLL,2021/2F,45813,,,'')&lt;/Q&gt;&lt;R&gt;1&lt;/R&gt;&lt;C&gt;1&lt;/C&gt;&lt;D xsi:type="xsd:double"&gt;9098&lt;/D&gt;&lt;/FQL&gt;&lt;FQL&gt;&lt;Q&gt;Ticker0024^FE_ESTIMATE(FCF,MEAN,QUARTERLY_ROLL,2021/1F,45813,,,'')&lt;/Q&gt;&lt;R&gt;1&lt;/R&gt;&lt;C&gt;1&lt;/C&gt;&lt;D xsi:type="xsd:double"&gt;13974.333&lt;/D&gt;&lt;/FQL&gt;&lt;FQL&gt;&lt;Q&gt;Ticker0024^FE_ESTIMATE(FCF,MEAN,ANNUAL_ROLL,2020,45813,,,'')&lt;/Q&gt;&lt;R&gt;1&lt;/R&gt;&lt;C&gt;1&lt;/C&gt;&lt;D xsi:type="xsd:double"&gt;45095.453&lt;/D&gt;&lt;/FQL&gt;&lt;FQL&gt;&lt;Q&gt;Ticker0024^FE_ESTIMATE(FCF,MEAN,QUARTERLY_ROLL,2020/4F,45813,,,'')&lt;/Q&gt;&lt;R&gt;1&lt;/R&gt;&lt;C&gt;1&lt;/C&gt;&lt;D xsi:type="xsd:double"&gt;13391.667&lt;/D&gt;&lt;/FQL&gt;&lt;FQL&gt;&lt;Q&gt;Ticker0024^FE_ESTIMATE(FCF,MEAN,QUARTERLY_ROLL,2020/3F,45813,,,'')&lt;/Q&gt;&lt;R&gt;1&lt;/R&gt;&lt;C&gt;1&lt;/C&gt;&lt;D xsi:type="xsd:double"&gt;13437&lt;/D&gt;&lt;/FQL&gt;&lt;FQL&gt;&lt;Q&gt;Ticker0024^FE_ESTIMATE(FCF,MEAN,QUARTERLY_ROLL,2020/2F,45813,,,'')&lt;/Q&gt;&lt;R&gt;1&lt;/R&gt;&lt;C&gt;1&lt;/C&gt;&lt;D xsi:type="xsd:double"&gt;7641.3335&lt;/D&gt;&lt;/FQL&gt;&lt;FQL&gt;&lt;Q&gt;Ticker0024^FE_ESTIMATE(FCF,MEAN,QUARTERLY_ROLL,2020/1F,45813,,,'')&lt;/Q&gt;&lt;R&gt;1&lt;/R&gt;&lt;C&gt;1&lt;/C&gt;&lt;D xsi:type="xsd:double"&gt;10215.875&lt;/D&gt;&lt;/FQL&gt;&lt;FQL&gt;&lt;Q&gt;Ticker0024^FE_ESTIMATE(FCF,MEAN,ANNUAL_ROLL,2019,45813,,,'')&lt;/Q&gt;&lt;R&gt;1&lt;/R&gt;&lt;C&gt;1&lt;/C&gt;&lt;D xsi:type="xsd:double"&gt;38085.168&lt;/D&gt;&lt;/FQL&gt;&lt;FQL&gt;&lt;Q&gt;Ticker0024^FE_ESTIMATE(FCF,MEAN,QUARTERLY_ROLL,2019/4F,45813,,,'')&lt;/Q&gt;&lt;R&gt;1&lt;/R&gt;&lt;C&gt;1&lt;/C&gt;&lt;D xsi:type="xsd:double"&gt;11695.728&lt;/D&gt;&lt;/FQL&gt;&lt;FQL&gt;&lt;Q&gt;Ticker0024^FE_ESTIMATE(FCF,MEAN,QUARTERLY_ROLL,2019/3F,45813,,,'')&lt;/Q&gt;&lt;R&gt;1&lt;/R&gt;&lt;C&gt;1&lt;/C&gt;&lt;D xsi:type="xsd:double"&gt;10834.333&lt;/D&gt;&lt;/FQL&gt;&lt;FQL&gt;&lt;Q&gt;Ticker0024^FE_ESTIMATE(FCF,MEAN,QUARTERLY_ROLL,2019/2F,45813,,,'')&lt;/Q&gt;&lt;R&gt;1&lt;/R&gt;&lt;C&gt;1&lt;/C&gt;&lt;D xsi:type="xsd:double"&gt;5420.25&lt;/D&gt;&lt;/FQL&gt;&lt;FQL&gt;&lt;Q&gt;Ticker0024^FE_ESTIMATE(FCF,MEAN,QUARTERLY_ROLL,2019/1F,45813,,,'')&lt;/Q&gt;&lt;R&gt;1&lt;/R&gt;&lt;C&gt;1&lt;/C&gt;&lt;D xsi:type="xsd:double"&gt;9414.454&lt;/D&gt;&lt;/FQL&gt;&lt;FQL&gt;&lt;Q&gt;Ticker0024^FE_ESTIMATE(FCF,MEAN,ANNUAL_ROLL,2018,45813,,,'')&lt;/Q&gt;&lt;R&gt;1&lt;/R&gt;&lt;C&gt;1&lt;/C&gt;&lt;D xsi:type="xsd:double"&gt;32102.77&lt;/D&gt;&lt;/FQL&gt;&lt;FQL&gt;&lt;Q&gt;Ticker0024^FE_ESTIMATE(FCF,MEAN,QUARTERLY_ROLL,2018/4F,45813,,,'')&lt;/Q&gt;&lt;R&gt;1&lt;/R&gt;&lt;C&gt;1&lt;/C&gt;&lt;D xsi:type="xsd:double"&gt;7717.909&lt;/D&gt;&lt;/FQL&gt;&lt;FQL&gt;&lt;Q&gt;Ticker0024^FE_ESTIMATE(FCF,MEAN,QUARTERLY_ROLL,2018/3F,45813,,,'')&lt;/Q&gt;&lt;R&gt;1&lt;/R&gt;&lt;C&gt;1&lt;/C&gt;&lt;D xsi:type="xsd:double"&gt;8967.363&lt;/D&gt;&lt;/FQL&gt;&lt;FQL&gt;&lt;Q&gt;Ticker0024^FE_ESTIMATE(FCF,MEAN,QUARTERLY_ROLL,2018/2F,45813,,,'')&lt;/Q&gt;&lt;R&gt;1&lt;/R&gt;&lt;C&gt;1&lt;/C&gt;&lt;D xsi:type="xsd:double"&gt;5426.1665&lt;/D&gt;&lt;/FQL&gt;&lt;FQL&gt;&lt;Q&gt;Ticker0024^FE_ESTIMATE(FCF,MEAN,QUARTERLY_ROLL,2018/1F,45813,,,'')&lt;/Q&gt;&lt;R&gt;1&lt;/R&gt;&lt;C&gt;1&lt;/C&gt;&lt;D xsi:type="xsd:double"&gt;9866.75&lt;/D&gt;&lt;/FQL&gt;&lt;FQL&gt;&lt;Q&gt;Ticker0024^FE_ESTIMATE(FCF,MEAN,ANNUAL_ROLL,2017,45813,,,'')&lt;/Q&gt;&lt;R&gt;1&lt;/R&gt;&lt;C&gt;1&lt;/C&gt;&lt;D xsi:type="xsd:double"&gt;30380.875&lt;/D&gt;&lt;/FQL&gt;&lt;FQL&gt;&lt;Q&gt;Ticker0024^FE_ESTIMATE(FCF,MEAN,QUARTERLY_ROLL,2017/4F,45813,,,'')&lt;/Q&gt;&lt;R&gt;1&lt;/R&gt;&lt;C&gt;1&lt;/C&gt;&lt;D xsi:type="xsd:double"&gt;8029.2&lt;/D&gt;&lt;/FQL&gt;&lt;FQL&gt;&lt;Q&gt;Ticker0024^FE_ESTIMATE(FCF,MEAN,QUARTERLY_ROLL,2017/3F,45813,,,'')&lt;/Q&gt;&lt;R&gt;1&lt;/R&gt;&lt;C&gt;1&lt;/C&gt;&lt;D xsi:type="xsd:double"&gt;8506&lt;/D&gt;&lt;/FQL&gt;&lt;FQL&gt;&lt;Q&gt;Ticker0024^FE_ESTIMATE(FCF,MEAN,QUARTERLY_ROLL,2017/2F,45813,,,'')&lt;/Q&gt;&lt;R&gt;1&lt;/R&gt;&lt;C&gt;1&lt;/C&gt;&lt;D xsi:type="xsd:double"&gt;4305&lt;/D&gt;&lt;/FQL&gt;&lt;FQL&gt;&lt;Q&gt;Ticker0024^FE_ESTIMATE(FCF,MEAN,QUARTERLY_ROLL,2017/1F,45813,,,'')&lt;/Q&gt;&lt;R&gt;1&lt;/R&gt;&lt;C&gt;1&lt;/C&gt;&lt;D xsi:type="xsd:double"&gt;9382&lt;/D&gt;&lt;/FQL&gt;&lt;FQL&gt;&lt;Q&gt;Ticker0024^FE_ESTIMATE(FCF,MEAN,ANNUAL_ROLL,2016,45813,,,'')&lt;/Q&gt;&lt;R&gt;1&lt;/R&gt;&lt;C&gt;1&lt;/C&gt;&lt;D xsi:type="xsd:double"&gt;24212.758&lt;/D&gt;&lt;/FQL&gt;&lt;FQL&gt;&lt;Q&gt;Ticker0024^FE_ESTIMATE(FCF,MEAN,QUARTERLY_ROLL,2016/4F,45813,,,'')&lt;/Q&gt;&lt;R&gt;1&lt;/R&gt;&lt;C&gt;1&lt;/C&gt;&lt;D xsi:type="xsd:double"&gt;5742&lt;/D&gt;&lt;/FQL&gt;&lt;FQL&gt;&lt;Q&gt;Ticker0024^FE_ESTIMATE(FCF,MEAN,QUARTERLY_ROLL,2016/3F,45813,,,'')&lt;/Q&gt;&lt;R&gt;1&lt;/R&gt;&lt;C&gt;1&lt;/C&gt;&lt;D xsi:type="xsd:double"&gt;6915.5625&lt;/D&gt;&lt;/FQL&gt;&lt;FQL&gt;&lt;Q&gt;Ticker0024^FE_ESTIMATE(FCF,MEAN,QUARTERLY_ROLL,2016/2F,45813,,,'')&lt;/Q&gt;&lt;R&gt;1&lt;/R&gt;&lt;C&gt;1&lt;/C&gt;&lt;D xsi:type="xsd:double"&gt;3510.5&lt;/D&gt;&lt;/FQL&gt;&lt;FQL&gt;&lt;Q&gt;Ticker0024^FE_ESTIMATE(FCF,MEAN,QUARTERLY_ROLL,2016/1F,45813,,,'')&lt;/Q&gt;&lt;R&gt;1&lt;/R&gt;&lt;C&gt;1&lt;/C&gt;&lt;D xsi:type="xsd:double"&gt;7124&lt;/D&gt;&lt;/FQL&gt;&lt;FQL&gt;&lt;Q&gt;Ticker0024^FE_ESTIMATE(FCF,MEAN,ANNUAL_ROLL,2015,45813,,,'')&lt;/Q&gt;&lt;R&gt;1&lt;/R&gt;&lt;C&gt;1&lt;/C&gt;&lt;D xsi:type="xsd:double"&gt;22531.357&lt;/D&gt;&lt;/FQL&gt;&lt;FQL&gt;&lt;Q&gt;Ticker0024^FE_ESTIMATE(FCF,MEAN,QUARTERLY_ROLL,2015/4F,45813,,,'')&lt;/Q&gt;&lt;R&gt;1&lt;/R&gt;&lt;C&gt;1&lt;/C&gt;&lt;D xsi:type="xsd:double"&gt;4565.622&lt;/D&gt;&lt;/FQL&gt;&lt;FQL&gt;&lt;Q&gt;Ticker0024^FE_ESTIMATE(FCF,MEAN,QUARTERLY_ROLL,2015/3F,45813,,,'')&lt;/Q&gt;&lt;R&gt;1&lt;/R&gt;&lt;C&gt;1&lt;/C&gt;&lt;D xsi:type="xsd:double"&gt;8155.857&lt;/D&gt;&lt;/FQL&gt;&lt;FQL&gt;&lt;Q&gt;Ticker0024^FE_ESTIMATE(FCF,MEAN,QUARTERLY_ROLL,2015/2F,45813,,,'')&lt;/Q&gt;&lt;R&gt;1&lt;/R&gt;&lt;C&gt;1&lt;/C&gt;&lt;D xsi:type="xsd:double"&gt;2850&lt;/D&gt;&lt;/FQL&gt;&lt;FQL&gt;&lt;Q&gt;Ticker0024^FE_ESTIMATE(FCF,MEAN,QUARTERLY_ROLL,2015/1F,45813,,,'')&lt;/Q&gt;&lt;R&gt;1&lt;/R&gt;&lt;C&gt;1&lt;/C&gt;&lt;D xsi:type="xsd:double"&gt;6849.033&lt;/D&gt;&lt;/FQL&gt;&lt;FQL&gt;&lt;Q&gt;Ticker0024^FE_ESTIMATE(CAPEX,MEAN,ANNUAL_ROLL,2030,45813,,,'')&lt;/Q&gt;&lt;R&gt;0&lt;/R&gt;&lt;C&gt;0&lt;/C&gt;&lt;/FQL&gt;&lt;FQL&gt;&lt;Q&gt;Ticker0024^FE_ESTIMATE(CAPEX,MEAN,QUARTERLY_ROLL,2030/4F,45813,,,'')&lt;/Q&gt;&lt;R&gt;0&lt;/R&gt;&lt;C&gt;0&lt;/C&gt;&lt;/FQL&gt;&lt;FQL&gt;&lt;Q&gt;Ticker0024^FE_ESTIMATE(CAPEX,MEAN,QUARTERLY_ROLL,2030/3F,45813,,,'')&lt;/Q&gt;&lt;R&gt;0&lt;/R&gt;&lt;C&gt;0&lt;/C&gt;&lt;/FQL&gt;&lt;FQL&gt;&lt;Q&gt;Ticker0024^FE_ESTIMATE(CAPEX,MEAN,QUARTERLY_ROLL,2030/2F,45813,,,'')&lt;/Q&gt;&lt;R&gt;0&lt;/R&gt;&lt;C&gt;0&lt;/C&gt;&lt;/FQL&gt;&lt;FQL&gt;&lt;Q&gt;Ticker0024^FE_ESTIMATE(CAPEX,MEAN,QUARTERLY_ROLL,2030/1F,45813,,,'')&lt;/Q&gt;&lt;R&gt;0&lt;/R&gt;&lt;C&gt;0&lt;/C&gt;&lt;/FQL&gt;&lt;FQL&gt;&lt;Q&gt;Ticker0024^FE_ESTIMATE(CAPEX,MEAN,ANNUAL_ROLL,2029,45813,,,'')&lt;/Q&gt;&lt;R&gt;0&lt;/R&gt;&lt;C&gt;0&lt;/C&gt;&lt;/FQL&gt;&lt;FQL&gt;&lt;Q&gt;Ticker0024^FE_ESTIMATE(CAPEX,MEAN,QUARTERLY_ROLL,2029/4F,45813,,,'')&lt;/Q&gt;&lt;R&gt;0&lt;/R&gt;&lt;C&gt;0&lt;/C&gt;&lt;/FQL&gt;&lt;FQL&gt;&lt;Q&gt;Ticker0024^FE_ESTIMATE(CAPEX,MEAN,QUARTERLY_ROLL,2029/3F,45813,,,'')&lt;/Q&gt;&lt;R&gt;0&lt;/R&gt;&lt;C&gt;0&lt;/C&gt;&lt;/FQL&gt;&lt;FQL&gt;&lt;Q&gt;Ticker0024^FE_ESTIMATE(CAPEX,MEAN,QUARTERLY_ROLL,2029/2F,45813,,,'')&lt;/Q&gt;&lt;R&gt;0&lt;/R&gt;&lt;C&gt;0&lt;/C&gt;&lt;/FQL&gt;&lt;FQL&gt;&lt;Q&gt;Ticker0024^FE_ESTIMATE(CAPEX,MEAN,QUARTERLY_ROLL,2029/1F,45813,,,'')&lt;/Q&gt;&lt;R&gt;0&lt;/R&gt;&lt;C&gt;0&lt;/C&gt;&lt;/FQL&gt;&lt;FQL&gt;&lt;Q&gt;Ticker0024^FE_ESTIMATE(CAPEX,MEAN,ANNUAL_ROLL,2028,45813,,,'')&lt;/Q&gt;&lt;R&gt;1&lt;/R&gt;&lt;C&gt;1&lt;/C&gt;&lt;D xsi:type="xsd:double"&gt;71814.64&lt;/D&gt;&lt;/FQL&gt;&lt;FQL&gt;&lt;Q&gt;Ticker0024^FE_ESTIMATE(CAPEX,MEAN,QUARTERLY_ROLL,2028/4F,45813,,,'')&lt;/Q&gt;&lt;R&gt;0&lt;/R&gt;&lt;C&gt;0&lt;/C&gt;&lt;/FQL&gt;&lt;FQL&gt;&lt;Q&gt;Ticker0024^FE_ESTIMATE(CAPEX,MEAN,QUARTERLY_ROLL,2028/3F,45813,,,'')&lt;/Q&gt;&lt;R&gt;0&lt;/R&gt;&lt;C&gt;0&lt;/C&gt;&lt;/FQL&gt;&lt;FQL&gt;&lt;Q&gt;Ticker0024^FE_ESTIMATE(CAPEX,MEAN,QUARTERLY_ROLL,2028/2F,45813,,,'')&lt;/Q&gt;&lt;R&gt;0&lt;/R&gt;&lt;C&gt;0&lt;/C&gt;&lt;/FQL&gt;&lt;FQL&gt;&lt;Q&gt;Ticker0024^FE_ESTIMATE(CAPEX,MEAN,QUARTERLY_ROLL,2028/1F,45813,,,'')&lt;/Q&gt;&lt;R&gt;0&lt;/R&gt;&lt;C&gt;0&lt;/C&gt;&lt;/FQL&gt;&lt;FQL&gt;&lt;Q&gt;Ticker0024^FE_ESTIMATE(CAPEX,MEAN,ANNUAL_ROLL,2027,45813,,,'')&lt;/Q&gt;&lt;R&gt;1&lt;/R&gt;&lt;C&gt;1&lt;/C&gt;&lt;D xsi:type="xsd:double"&gt;79343.72&lt;/D&gt;&lt;/FQL&gt;&lt;FQL&gt;&lt;Q&gt;Ticker0024^FE_ESTIMATE(CAPEX,MEAN,QUARTERLY_ROLL,2027/4F,45813,,,'')&lt;/Q&gt;&lt;R&gt;1&lt;/R&gt;&lt;C&gt;1&lt;/C&gt;&lt;D xsi:type="xsd:double"&gt;23796.844&lt;/D&gt;&lt;/FQL&gt;&lt;FQL&gt;&lt;Q&gt;Ticker0024^FE_ESTIMATE(CAPEX,MEAN,QUARTERLY_ROLL,2027/3F,45813,,,'')&lt;/Q&gt;&lt;R&gt;1&lt;/R&gt;&lt;C&gt;1&lt;/C&gt;&lt;D xsi:type="xsd:double"&gt;21676.389&lt;/D&gt;&lt;/FQL&gt;&lt;FQL&gt;&lt;Q&gt;Ticker0024^FE_ESTIMATE(CAPEX,MEAN,QUARTERLY_ROLL,2027/2F,45813,,,'')&lt;/Q&gt;&lt;R&gt;1&lt;/R&gt;&lt;C&gt;1&lt;/C&gt;&lt;D xsi:type="xsd:double"&gt;20446.566&lt;/D&gt;&lt;/FQL&gt;&lt;FQL&gt;&lt;Q&gt;Ticker0024^FE_ESTIMATE(CAPEX,MEAN,QUARTERLY_ROLL,2027/1F,45813,,,'')&lt;/Q&gt;&lt;R&gt;1&lt;/R&gt;&lt;C&gt;1&lt;/C&gt;&lt;D xsi:type="xsd:double"&gt;19351.209&lt;/D&gt;&lt;/FQL&gt;&lt;FQL&gt;&lt;Q&gt;Ticker0024^FE_ESTIMATE(CAPEX,MEAN,ANNUAL_ROLL,2026,45813,,,'')&lt;/Q&gt;&lt;R&gt;1&lt;/R&gt;&lt;C&gt;1&lt;/C&gt;&lt;D xsi:type="xsd:double"&gt;73135.48&lt;/D&gt;&lt;/FQL&gt;&lt;FQL&gt;&lt;Q&gt;Ticker0024^FE_ESTIMATE(CAPEX,MEAN,QUARTERLY_ROLL,2026/4F,45813,,,'')&lt;/Q&gt;&lt;R&gt;1&lt;/R&gt;&lt;C&gt;1&lt;/C&gt;&lt;D xsi:type="xsd:double"&gt;20765.926&lt;/D&gt;&lt;/FQL&gt;&lt;FQL&gt;&lt;Q&gt;Ticker0024^FE_ESTIMATE(CAPEX,MEAN,QUARTERLY_ROLL,2026/3F,45813,,,'')&lt;/Q&gt;&lt;R&gt;1&lt;/R&gt;&lt;C&gt;1&lt;/C&gt;&lt;D xsi:type="xsd:double"&gt;19001.246&lt;/D&gt;&lt;/FQL&gt;&lt;FQL&gt;&lt;Q&gt;Ticker0024^FE_ESTIMATE(CAPEX,MEAN,QUARTERLY_ROLL,2026/2F,45813,,,'')&lt;/Q&gt;&lt;R&gt;1&lt;/R&gt;&lt;C&gt;1&lt;/C&gt;&lt;D xsi:type="xsd:double"&gt;18564.984&lt;/D&gt;&lt;/FQL&gt;&lt;FQL&gt;&lt;Q&gt;Ticker0024^FE_ESTIMATE(CAPEX,MEAN,QUARTERLY_ROLL,2026/1F,45813,,,'')&lt;/Q&gt;&lt;R&gt;1&lt;/R&gt;&lt;C&gt;1&lt;/C&gt;&lt;D xsi:type="xsd:double"&gt;17617.92&lt;/D&gt;&lt;/FQL&gt;&lt;FQL&gt;&lt;Q&gt;Ticker0024^FE_ESTIMATE(CAPEX,MEAN,ANNUAL_ROLL,2025,45813,,,'')&lt;/Q&gt;&lt;R&gt;1&lt;/R&gt;&lt;C&gt;1&lt;/C&gt;&lt;D xsi:type="xsd:double"&gt;66314.28&lt;/D&gt;&lt;/FQL&gt;&lt;FQL&gt;&lt;Q&gt;Ticker0024^FE_ESTIMATE(CAPEX,MEAN,QUARTERLY_ROLL,2025/4F,45813,,,'')&lt;/Q&gt;&lt;R&gt;1&lt;/R&gt;&lt;C&gt;1&lt;/C&gt;&lt;D xsi:type="xsd:double"&gt;17750.89&lt;/D&gt;&lt;/FQL&gt;&lt;FQL&gt;&lt;Q&gt;Ticker0024^FE_ESTIMATE(CAPEX,MEAN,QUARTERLY_ROLL,2025/3F,45813,,,'')&lt;/Q&gt;&lt;R&gt;1&lt;/R&gt;&lt;C&gt;1&lt;/C&gt;&lt;D xsi:type="xsd:double"&gt;16745.313&lt;/D&gt;&lt;/FQL&gt;&lt;FQL&gt;&lt;Q&gt;Ticker0024^FE_ESTIMATE(CAPEX,MEAN,QUARTERLY_ROLL,2025/2F,45813,,,'')&lt;/Q&gt;&lt;R&gt;1&lt;/R&gt;&lt;C&gt;1&lt;/C&gt;&lt;D xsi:type="xsd:double"&gt;15788.9375&lt;/D&gt;&lt;/FQL&gt;&lt;FQL&gt;&lt;Q&gt;Ticker0024^FE_ESTIMATE(CAPEX,MEAN,QUARTERLY_ROLL,2025/1F,45813,,,'')&lt;/Q&gt;&lt;R&gt;1&lt;/R&gt;&lt;C&gt;1&lt;/C&gt;&lt;D xsi:type="xsd:double"&gt;14922.786&lt;/D&gt;&lt;/FQL&gt;&lt;FQL&gt;&lt;Q&gt;Ticker0024^FE_ESTIMATE(CAPEX,MEAN,ANNUAL_ROLL,2024,45813,,,'')&lt;/Q&gt;&lt;R&gt;1&lt;/R&gt;&lt;C&gt;1&lt;/C&gt;&lt;D xsi:type="xsd:double"&gt;44477.12&lt;/D&gt;&lt;/FQL&gt;&lt;FQL&gt;&lt;Q&gt;Ticker0024^FE_ESTIMATE(CAPEX,MEAN,QUARTERLY_ROLL,2024/4F,45813,,,'')&lt;/Q&gt;&lt;R&gt;1&lt;/R&gt;&lt;C&gt;1&lt;/C&gt;&lt;D xsi:type="xsd:double"&gt;13874.714&lt;/D&gt;&lt;/FQL&gt;&lt;FQL&gt;&lt;Q&gt;Ticker0024^FE_ESTIMATE(CAPEX,MEAN,QUARTERLY_ROLL,2024/3F,45813,,,'')&lt;/Q&gt;&lt;R&gt;1&lt;/R&gt;&lt;C&gt;1&lt;/C&gt;&lt;D xsi:type="xsd:double"&gt;10951.875&lt;/D&gt;&lt;/FQL&gt;&lt;FQL&gt;&lt;Q&gt;Ticker0024^FE_ESTIMATE(CAPEX,MEAN,QUARTERLY_ROLL,2024/2F,45813,,,'')&lt;/Q&gt;&lt;R&gt;1&lt;/R&gt;&lt;C&gt;1&lt;/C&gt;&lt;D xsi:type="xsd:double"&gt;10013.947&lt;/D&gt;&lt;/FQL&gt;&lt;FQL&gt;&lt;Q&gt;Ticker0024^FE_ESTIMATE(CAPEX,MEAN,QUARTERLY_ROLL,2024/1F,45813,,,'')&lt;/Q&gt;&lt;R&gt;1&lt;/R&gt;&lt;C&gt;1&lt;/C&gt;&lt;D xsi:type="xsd:double"&gt;10002.733&lt;/D&gt;&lt;/FQL&gt;&lt;FQL&gt;&lt;Q&gt;Ticker0024^FE_ESTIMATE(CAPEX,MEAN,ANNUAL_ROLL,2023,45813,,,'')&lt;/Q&gt;&lt;R&gt;1&lt;/R&gt;&lt;C&gt;1&lt;/C&gt;&lt;D xsi:type="xsd:double"&gt;28107.125&lt;/D&gt;&lt;/FQL&gt;&lt;FQL&gt;&lt;Q&gt;Ticker0024^FE_ESTIMATE(CAPEX,MEAN,QUARTERLY_ROLL,2023/4F,45813,,,'')&lt;/Q&gt;&lt;R&gt;1&lt;/R&gt;&lt;C&gt;1&lt;/C&gt;&lt;D xsi:type="xsd:double"&gt;8942.77&lt;/D&gt;&lt;/FQL&gt;&lt;FQL&gt;&lt;Q&gt;Ticker0024^FE_ESTIMATE(CAPEX,MEAN,QUARTERLY_ROLL,2023/3F,45813,,,'')&lt;/Q&gt;&lt;R&gt;1&lt;/R&gt;&lt;C&gt;1&lt;/C&gt;&lt;D xsi:type="xsd:double"&gt;6607.25&lt;/D&gt;&lt;/FQL&gt;&lt;FQL&gt;&lt;Q&gt;Ticker0024^FE_ESTIMATE(CAPEX,MEAN,QUARTERLY_ROLL,2023/2F,45813,,,'')&lt;/Q&gt;&lt;R&gt;1&lt;/R&gt;&lt;C&gt;1&lt;/C&gt;&lt;D xsi:type="xsd:double"&gt;6273.636&lt;/D&gt;&lt;/FQL&gt;&lt;FQL&gt;&lt;Q&gt;Ticker0024^FE_ESTIMATE(CAPEX,MEAN,QUARTERLY_ROLL,2023/1F,45813,,,'')&lt;/Q&gt;&lt;R&gt;1&lt;/R&gt;&lt;C&gt;1&lt;/C&gt;&lt;D xsi:type="xsd:double"&gt;6283&lt;/D&gt;&lt;/FQL&gt;&lt;FQL&gt;&lt;Q&gt;Ticker0024^FE_ESTIMATE(CAPEX,MEAN,ANNUAL_ROLL,2022,45813,,,'')&lt;/Q&gt;&lt;R&gt;1&lt;/R&gt;&lt;C&gt;1&lt;/C&gt;&lt;D xsi:type="xsd:double"&gt;24090.385&lt;/D&gt;&lt;/FQL&gt;&lt;FQL&gt;&lt;Q&gt;Ticker0024^FE_ESTIMATE(CAPEX,MEAN,QUARTERLY_ROLL,2022/4F,45813,,,'')&lt;/Q&gt;&lt;R&gt;1&lt;/R&gt;&lt;C&gt;1&lt;/C&gt;&lt;D xsi:type="xsd:double"&gt;7023.4165&lt;/D&gt;&lt;/FQL&gt;&lt;FQL&gt;&lt;Q&gt;Ticker0024^FE_ESTIMATE(CAPEX,MEAN,QUARTERLY_ROLL,2022/3F,45813,,,'')&lt;/Q&gt;&lt;R&gt;1&lt;/R&gt;&lt;C&gt;1&lt;/C&gt;&lt;D xsi:type="xsd:double"&gt;5436&lt;/D&gt;&lt;/FQL&gt;&lt;FQL&gt;&lt;Q&gt;Ticker0024^FE_ESTIMATE(CAPEX,MEAN,QUARTERLY_ROLL,2022/2F,45813,,,'')&lt;/Q&gt;&lt;R&gt;1&lt;/R&gt;&lt;C&gt;1&lt;/C&gt;&lt;D xsi:type="xsd:double"&gt;5958.5&lt;/D&gt;&lt;/FQL&gt;&lt;FQL&gt;&lt;Q&gt;Ticker0024^FE_ESTIMATE(CAPEX,MEAN,QUARTERLY_ROLL,2022/1F,45813,,,'')&lt;/Q&gt;&lt;R&gt;1&lt;/R&gt;&lt;C&gt;1&lt;/C&gt;&lt;D xsi:type="xsd:double"&gt;5954.5454&lt;/D&gt;&lt;/FQL&gt;&lt;FQL&gt;&lt;Q&gt;Ticker0024^FE_ESTIMATE(CAPEX,MEAN,ANNUAL_ROLL,2021,45813,,,'')&lt;/Q&gt;&lt;R&gt;1&lt;/R&gt;&lt;C&gt;1&lt;/C&gt;&lt;D xsi:type="xsd:double"&gt;20901.076&lt;/D&gt;&lt;/FQL&gt;&lt;FQL&gt;&lt;Q&gt;Ticker0024^FE_ESTIMATE(CAPEX,MEAN,QUARTERLY_ROLL,2021/4F,45813,,,'')&lt;/Q&gt;&lt;R&gt;1&lt;/R&gt;&lt;C&gt;1&lt;/C&gt;&lt;D xsi:type="xsd:double"&gt;6558&lt;/D&gt;&lt;/FQL&gt;&lt;FQL&gt;&lt;Q&gt;Ticker0024^FE_ESTIMATE(CAPEX,MEAN,QUARTERLY_ROLL,2021/3F,45813,,,'')&lt;/Q&gt;&lt;R&gt;1&lt;/R&gt;&lt;C&gt;1&lt;/C&gt;&lt;D xsi:type="xsd:double"&gt;5190.222&lt;/D&gt;&lt;/FQL&gt;&lt;FQL&gt;&lt;Q&gt;Ticker0024^FE_ESTIMATE(CAPEX,MEAN,QUARTERLY_ROLL,2021/2F,45813,,,'')&lt;/Q&gt;&lt;R&gt;1&lt;/R&gt;&lt;C&gt;1&lt;/C&gt;&lt;D xsi:type="xsd:double"&gt;4310.222&lt;/D&gt;&lt;/FQL&gt;&lt;FQL&gt;&lt;Q&gt;Ticker0024^FE_ESTIMATE(CAPEX,MEAN,QUARTERLY_ROLL,2021/1F,45813,,,'')&lt;/Q&gt;&lt;R&gt;1&lt;/R&gt;&lt;C&gt;1&lt;/C&gt;&lt;D xsi:type="xsd:double"&gt;4951.2&lt;/D&gt;&lt;/FQL&gt;&lt;FQL&gt;&lt;Q&gt;Ticker0024^FE_ESTIMATE(CAPEX,MEAN,ANNUAL_ROLL,2020,45813,,,'')&lt;/Q&gt;&lt;R&gt;1&lt;/R&gt;&lt;C&gt;1&lt;/C&gt;&lt;D xsi:type="xsd:double"&gt;15737.583&lt;/D&gt;&lt;/FQL&gt;&lt;FQL&gt;&lt;Q&gt;Ticker0024^FE_ESTIMATE(CAPEX,MEAN,QUARTERLY_ROLL,2020/4F,45813,,,'')&lt;/Q&gt;&lt;R&gt;1&lt;/R&gt;&lt;C&gt;1&lt;/C&gt;&lt;D xsi:type="xsd:double"&gt;4876&lt;/D&gt;&lt;/FQL&gt;&lt;FQL&gt;&lt;Q&gt;Ticker0024^FE_ESTIMATE(CAPEX,MEAN,QUARTERLY_ROLL,2020/3F,45813,,,'')&lt;/Q&gt;&lt;R&gt;1&lt;/R&gt;&lt;C&gt;1&lt;/C&gt;&lt;D xsi:type="xsd:double"&gt;3781.7778&lt;/D&gt;&lt;/FQL&gt;&lt;FQL&gt;&lt;Q&gt;Ticker0024^FE_ESTIMATE(CAPEX,MEAN,QUARTERLY_ROLL,2020/2F,45813,,,'')&lt;/Q&gt;&lt;R&gt;1&lt;/R&gt;&lt;C&gt;1&lt;/C&gt;&lt;D xsi:type="xsd:double"&gt;3640.5&lt;/D&gt;&lt;/FQL&gt;&lt;FQL&gt;&lt;Q&gt;Ticker0024^FE_ESTIMATE(CAPEX,MEAN,QUARTERLY_ROLL,2020/1F,45813,,,'')&lt;/Q&gt;&lt;R&gt;1&lt;/R&gt;&lt;C&gt;1&lt;/C&gt;&lt;D xsi:type="xsd:double"&gt;3526.5&lt;/D&gt;&lt;/FQL&gt;&lt;FQL&gt;&lt;Q&gt;Ticker0024^FE_ESTIMATE(CAPEX,MEAN,ANNUAL_ROLL,2019,45813,,,'')&lt;/Q&gt;&lt;R&gt;1&lt;/R&gt;&lt;C&gt;1&lt;/C&gt;&lt;D xsi:type="xsd:double"&gt;14123.333&lt;/D&gt;&lt;/FQL&gt;&lt;FQL&gt;&lt;Q&gt;Ticker0024^FE_ESTIMATE(CAPEX,MEAN,QUARTERLY_ROLL,2019/4F,45813,,,'')&lt;/Q&gt;&lt;R&gt;1&lt;/R&gt;&lt;C&gt;1&lt;/C&gt;&lt;D xsi:type="xsd:double"&gt;4300.8&lt;/D&gt;&lt;/FQL&gt;&lt;FQL&gt;&lt;Q&gt;Ticker0024^FE_ESTIMATE(CAPEX,MEAN,QUARTERLY_ROLL,2019/3F,45813,,,'')&lt;/Q&gt;&lt;R&gt;1&lt;/R&gt;&lt;C&gt;1&lt;/C&gt;&lt;D xsi:type="xsd:double"&gt;2648.5&lt;/D&gt;&lt;/FQL&gt;&lt;FQL&gt;&lt;Q&gt;Ticker0024^FE_ESTIMATE(CAPEX,MEAN,QUARTERLY_ROLL,2019/2F,45813,,,'')&lt;/Q&gt;&lt;R&gt;1&lt;/R&gt;&lt;C&gt;1&lt;/C&gt;&lt;D xsi:type="xsd:double"&gt;3736.6924&lt;/D&gt;&lt;/FQL&gt;&lt;FQL&gt;&lt;Q&gt;Ticker0024^FE_ESTIMATE(CAPEX,MEAN,QUARTERLY_ROLL,2019/1F,45813,,,'')&lt;/Q&gt;&lt;R&gt;1&lt;/R&gt;&lt;C&gt;1&lt;/C&gt;&lt;D xsi:type="xsd:double"&gt;3728.9092&lt;/D&gt;&lt;/FQL&gt;&lt;FQL&gt;&lt;Q&gt;Ticker0024^FE_ESTIMATE(CAPEX,MEAN,ANNUAL_ROLL,2018,45813,,,'')&lt;/Q&gt;&lt;R&gt;1&lt;/R&gt;&lt;C&gt;1&lt;/C&gt;&lt;D xsi:type="xsd:double"&gt;11958.8&lt;/D&gt;&lt;/FQL&gt;&lt;FQL&gt;&lt;Q&gt;Ticker0024^FE_ESTIMATE(CAPEX,MEAN,QUARTERLY_ROLL,2018/4F,45813,,,'')&lt;/Q&gt;&lt;R&gt;1&lt;/R&gt;&lt;C&gt;1&lt;/C&gt;&lt;D xsi:type="xsd:double"&gt;3993.3333&lt;/D&gt;&lt;/FQL&gt;&lt;FQL&gt;&lt;Q&gt;Ticker0024^FE_ESTIMATE(CAPEX,MEAN,QUARTERLY_ROLL,2018/3F,45813,,,'')&lt;/Q&gt;&lt;R&gt;1&lt;/R&gt;&lt;C&gt;1&lt;/C&gt;&lt;D xsi:type="xsd:double"&gt;2934&lt;/D&gt;&lt;/FQL&gt;&lt;FQL&gt;&lt;Q&gt;Ticker0024^FE_ESTIMATE(CAPEX,MEAN,QUARTERLY_ROLL,2018/2F,45813,,,'')&lt;/Q&gt;&lt;R&gt;1&lt;/R&gt;&lt;C&gt;1&lt;/C&gt;&lt;D xsi:type="xsd:double"&gt;2650.9092&lt;/D&gt;&lt;/FQL&gt;&lt;FQL&gt;&lt;Q&gt;Ticker0024^FE_ESTIMATE(CAPEX,MEAN,QUARTERLY_ROLL,2018/1F,45813,,,'')&lt;/Q&gt;&lt;R&gt;1&lt;/R&gt;&lt;C&gt;1&lt;/C&gt;&lt;D xsi:type="xsd:double"&gt;2132&lt;/D&gt;&lt;/FQL&gt;&lt;FQL&gt;&lt;Q&gt;Ticker0024^FE_ESTIMATE(CAPEX,MEAN,ANNUAL_ROLL,2017,45813,,,'')&lt;/Q&gt;&lt;R&gt;1&lt;/R&gt;&lt;C&gt;1&lt;/C&gt;&lt;D xsi:type="xsd:double"&gt;8129&lt;/D&gt;&lt;/FQL&gt;&lt;FQL&gt;&lt;Q&gt;Ticker0024^FE_ESTIMATE(CAPEX,MEAN,QUARTERLY_ROLL,2017/4F,45813,,,'')&lt;/Q&gt;&lt;R&gt;1&lt;/R&gt;&lt;C&gt;1&lt;/C&gt;&lt;D xsi:type="xsd:double"&gt;2283&lt;/D&gt;&lt;/FQL&gt;&lt;FQL&gt;&lt;Q&gt;Ticker0024^FE_ESTIMATE(CAPEX,MEAN,QUARTERLY_ROLL,2017/3F,45813,,,'')&lt;/Q&gt;&lt;R&gt;1&lt;/R&gt;&lt;C&gt;1&lt;/C&gt;&lt;D xsi:type="xsd:double"&gt;1767.909&lt;/D&gt;&lt;/FQL&gt;&lt;FQL&gt;&lt;Q&gt;Ticker0024^FE_ESTIMATE(CAPEX,MEAN,QUARTERLY_ROLL,2017/2F,45813,,,'')&lt;/Q&gt;&lt;R&gt;1&lt;/R&gt;&lt;C&gt;1&lt;/C&gt;&lt;D xsi:type="xsd:double"&gt;1988&lt;/D&gt;&lt;/FQL&gt;&lt;FQL&gt;&lt;Q&gt;Ticker0024^FE_ESTIMATE(CAPEX,MEAN,QUARTERLY_ROLL,2017/1F,45813,,,'')&lt;/Q&gt;&lt;R&gt;1&lt;/R&gt;&lt;C&gt;1&lt;/C&gt;&lt;D xsi:type="xsd:double"&gt;2163&lt;/D&gt;&lt;/FQL&gt;&lt;FQL&gt;&lt;Q&gt;Ticker0024^FE_ESTIMATE(CAPEX,MEAN,ANNUAL_ROLL,2016,45813,,,'')&lt;/Q&gt;&lt;R&gt;1&lt;/R&gt;&lt;C&gt;1&lt;/C&gt;&lt;D xsi:type="xsd:double"&gt;8343&lt;/D&gt;&lt;/FQL&gt;&lt;FQL&gt;&lt;Q&gt;Ticker0024^FE_ESTIMATE(CAPEX,MEAN,QUARTERLY_ROLL,2016/4F,45813,,,'')&lt;/Q&gt;&lt;R&gt;1&lt;/R&gt;&lt;C&gt;1&lt;/C&gt;&lt;D xsi:type="xsd:double"&gt;2655&lt;/D&gt;&lt;/FQL&gt;&lt;FQL&gt;&lt;Q&gt;Ticker0024^FE_ESTIMATE(CAPEX,MEAN,QUARTERLY_ROLL,2016/3F,45813,,,'')&lt;/Q&gt;&lt;R&gt;1&lt;/R&gt;&lt;C&gt;1&lt;/C&gt;&lt;D xsi:type="xsd:double"&gt;2308&lt;/D&gt;&lt;/FQL&gt;&lt;FQL&gt;&lt;Q&gt;Ticker0024^FE_ESTIMATE(CAPEX,MEAN,QUARTERLY_ROLL,2016/2F,45813,,,'')&lt;/Q&gt;&lt;R&gt;1&lt;/R&gt;&lt;C&gt;1&lt;/C&gt;&lt;D xsi:type="xsd:double"&gt;2024&lt;/D&gt;&lt;/FQL&gt;&lt;FQL&gt;&lt;Q&gt;Ticker0024^FE_ESTIMATE(CAPEX,MEAN,QUARTERLY_ROLL,2016/1F,45813,,,'')&lt;/Q&gt;&lt;R&gt;1&lt;/R&gt;&lt;C&gt;1&lt;/C&gt;&lt;D xsi:type="xsd:double"&gt;1356&lt;/D&gt;&lt;/FQL&gt;&lt;FQL&gt;&lt;Q&gt;Ticker0024^FE_ESTIMATE(CAPEX,MEAN,ANNUAL_ROLL,2015,45813,,,'')&lt;/Q&gt;&lt;R&gt;1&lt;/R&gt;&lt;C&gt;1&lt;/C&gt;&lt;D xsi:type="xsd:double"&gt;5944&lt;/D&gt;&lt;/FQL&gt;&lt;FQL&gt;&lt;Q&gt;Ticker0024^FE_ESTIMATE(CAPEX,MEAN,QUARTERLY_ROLL,2015/4F,45813,,,'')&lt;/Q&gt;&lt;R&gt;1&lt;/R&gt;&lt;C&gt;1&lt;/C&gt;&lt;D xsi:type="xsd:double"&gt;1781&lt;/D&gt;&lt;/FQL&gt;&lt;FQL&gt;&lt;Q&gt;Ticker0024^FE_ESTIMATE(CAPEX,MEAN,QUARTERLY_ROLL,2015/3F,45813,,,'')&lt;/Q&gt;&lt;R&gt;1&lt;/R&gt;&lt;C&gt;1&lt;/C&gt;&lt;D xsi:type="xsd:double"&gt;1391&lt;/D&gt;&lt;/FQL&gt;&lt;FQL&gt;&lt;Q&gt;Ticker0024^FE_ESTIMATE(CAPEX,MEAN,QUARTERLY_ROLL,2015/2F,45813,,,'')&lt;/Q&gt;&lt;R&gt;1&lt;/R&gt;&lt;C&gt;1&lt;/C&gt;&lt;D xsi:type="xsd:double"&gt;1490&lt;/D&gt;&lt;/FQL&gt;&lt;FQL&gt;&lt;Q&gt;Ticker0024^FE_ESTIMATE(CAPEX,MEAN,QUARTERLY_ROLL,2015/1F,45813,,,'')&lt;/Q&gt;&lt;R&gt;1&lt;/R&gt;&lt;C&gt;1&lt;/C&gt;&lt;D xsi:type="xsd:double"&gt;1282&lt;/D&gt;&lt;/FQL&gt;&lt;FQL&gt;&lt;Q&gt;Ticker0024^FE_ESTIMATE(CFO,MEAN,ANNUAL_ROLL,2030,45813,,,'')&lt;/Q&gt;&lt;R&gt;0&lt;/R&gt;&lt;C&gt;0&lt;/C&gt;&lt;/FQL&gt;&lt;FQL&gt;&lt;Q&gt;Ticker0024^FE_ESTIMATE(CFO,MEAN,QUARTERLY_ROLL,2030/4F,45813,,,'')&lt;/Q&gt;&lt;R&gt;0&lt;/R&gt;&lt;C&gt;0&lt;/C&gt;&lt;/FQL&gt;&lt;FQL&gt;&lt;Q&gt;Ticker0024^FE_ESTIMATE(CFO,MEAN,QUARTERLY_ROLL,2030/3F,45813,,,'')&lt;/Q&gt;&lt;R&gt;0&lt;/R&gt;&lt;C&gt;0&lt;/C&gt;&lt;/FQL&gt;&lt;FQL&gt;&lt;Q&gt;Ticker0024^FE_ESTIMATE(CFO,MEAN,QUARTERLY_ROLL,2030/2F,45813,,,'')&lt;/Q&gt;&lt;R&gt;0&lt;/R&gt;&lt;C&gt;0&lt;/C&gt;&lt;/FQL&gt;&lt;FQL&gt;&lt;Q&gt;Ticker0024^FE_ESTIMATE(CFO,MEAN,QUARTERLY_ROLL,2030/1F,45813,,,'')&lt;/Q&gt;&lt;R&gt;0&lt;/R&gt;&lt;C&gt;0&lt;/C&gt;&lt;/FQL&gt;&lt;FQL&gt;&lt;Q&gt;Ticker0024^FE_ESTIMATE(CFO,MEAN,ANNUAL_ROLL,2029,45813,,,'')&lt;/Q&gt;&lt;R&gt;0&lt;/R&gt;&lt;C&gt;0&lt;/C&gt;&lt;/FQL&gt;&lt;FQL&gt;&lt;Q&gt;Ticker0024^FE_ESTIMATE(CFO,MEAN,QUARTERLY_ROLL,2029/4F,45813,,,'')&lt;/Q&gt;&lt;R&gt;0&lt;/R&gt;&lt;C&gt;0&lt;/C&gt;&lt;/FQL&gt;&lt;FQL&gt;&lt;Q&gt;Ticker0024^FE_ESTIMATE(CFO,MEAN,QUARTERLY_ROLL,2029/3F,45813,,,'')&lt;/Q&gt;&lt;R&gt;0&lt;/R&gt;&lt;C&gt;0&lt;/C&gt;&lt;/FQL&gt;&lt;FQL&gt;&lt;Q&gt;Ticker0024^FE_ESTIMATE(CFO,MEAN,QUARTERLY_ROLL,2029/2F,45813,,,'')&lt;/Q&gt;&lt;R&gt;0&lt;/R&gt;&lt;C&gt;0&lt;/C&gt;&lt;/FQL&gt;&lt;FQL&gt;&lt;Q&gt;Ticker0024^FE_ESTIMATE(CFO,MEAN,QUARTERLY_ROLL,2029/1F,45813,,,'')&lt;/Q&gt;&lt;R&gt;0&lt;/R&gt;&lt;C&gt;0&lt;/C&gt;&lt;/FQL&gt;&lt;FQL&gt;&lt;Q&gt;Ticker0024^FE_ESTIMATE(CFO,MEAN,ANNUAL_ROLL,2028,45813,,,'')&lt;/Q&gt;&lt;R&gt;1&lt;/R&gt;&lt;C&gt;1&lt;/C&gt;&lt;D xsi:type="xsd:double"&gt;245370&lt;/D&gt;&lt;/FQL&gt;&lt;FQL&gt;&lt;Q&gt;Ticker0024^FE_ESTIMATE(CFO,MEAN,QUARTERLY_ROLL,2028/4F,45813,,,'')&lt;/Q&gt;&lt;R&gt;0&lt;/R&gt;&lt;C&gt;0&lt;/C&gt;&lt;/FQL&gt;&lt;FQL&gt;&lt;Q&gt;Ticker0024^FE_ESTIMATE(CFO,MEAN,QUARTERLY_ROLL,2028/3F,45813,,,'')&lt;/Q&gt;&lt;R&gt;0&lt;/R&gt;&lt;C&gt;0&lt;/C&gt;&lt;/FQL&gt;&lt;FQL&gt;&lt;Q&gt;Ticker0024^FE_ESTIMATE(CFO,MEAN,QUARTERLY_ROLL,2028/2F,45813,,,'')&lt;/Q&gt;&lt;R&gt;0&lt;/R&gt;&lt;C&gt;0&lt;/C&gt;&lt;/FQL&gt;&lt;FQL&gt;&lt;Q&gt;Ticker0024^FE_ESTIMATE(CFO,MEAN,QUARTERLY_ROLL,2028/1F,45813,,,'')&lt;/Q&gt;&lt;R&gt;0&lt;/R&gt;&lt;C&gt;0&lt;/C&gt;&lt;/FQL&gt;&lt;FQL&gt;&lt;Q&gt;Ticker0024^FE_ESTIMATE(CFO,MEAN,ANNUAL_ROLL,2027,45813,,,'')&lt;/Q&gt;&lt;R&gt;1&lt;/R&gt;&lt;C&gt;1&lt;/C&gt;&lt;D xsi:type="xsd:double"&gt;176948.83&lt;/D&gt;&lt;/FQL&gt;&lt;FQL&gt;&lt;Q&gt;Ticker0024^FE_ESTIMATE(CFO,MEAN,QUARTERLY_ROLL,2027/4F,45813,,,'')&lt;/Q&gt;&lt;R&gt;1&lt;/R&gt;&lt;C&gt;1&lt;/C&gt;&lt;D xsi:type="xsd:double"&gt;45771.75&lt;/D&gt;&lt;/FQL&gt;&lt;FQL&gt;&lt;Q&gt;Ticker0024^FE_ESTIMATE(CFO,MEAN,QUARTERLY_ROLL,2027/3F,45813,,,'')&lt;/Q&gt;&lt;R&gt;1&lt;/R&gt;&lt;C&gt;1&lt;/C&gt;&lt;D xsi:type="xsd:double"&gt;42475&lt;/D&gt;&lt;/FQL&gt;&lt;FQL&gt;&lt;Q&gt;Ticker0024^FE_ESTIMATE(CFO,MEAN,QUARTERLY_ROLL,2027/2F,45813,,,'')&lt;/Q&gt;&lt;R&gt;1&lt;/R&gt;&lt;C&gt;1&lt;/C&gt;&lt;D xsi:type="xsd:double"&gt;30217.75&lt;/D&gt;&lt;/FQL&gt;&lt;FQL&gt;&lt;Q&gt;Ticker0024^FE_ESTIMATE(CFO,MEAN,QUARTERLY_ROLL,2027/1F,45813,,,'')&lt;/Q&gt;&lt;R&gt;1&lt;/R&gt;&lt;C&gt;1&lt;/C&gt;&lt;D xsi:type="xsd:double"&gt;51648.5&lt;/D&gt;&lt;/FQL&gt;&lt;FQL&gt;&lt;Q&gt;Ticker0024^FE_ESTIMATE(CFO,MEAN,ANNUAL_ROLL,2026,45813,,,'')&lt;/Q&gt;&lt;R&gt;1&lt;/R&gt;&lt;C&gt;1&lt;/C&gt;&lt;D xsi:type="xsd:double"&gt;152622.03&lt;/D&gt;&lt;/FQL&gt;&lt;FQL&gt;&lt;Q&gt;Ticker0024^FE_ESTIMATE(CFO,MEAN,QUARTERLY_ROLL,2026/4F,45813,,,'')&lt;/Q&gt;&lt;R&gt;1&lt;/R&gt;&lt;C&gt;1&lt;/C&gt;&lt;D xsi:type="xsd:double"&gt;43244.832&lt;/D&gt;&lt;/FQL&gt;&lt;FQL&gt;&lt;Q&gt;Ticker0024^FE_ESTIMATE(CFO,MEAN,QUARTERLY_ROLL,2026/3F,45813,,,'')&lt;/Q&gt;&lt;R&gt;1&lt;/R&gt;&lt;C&gt;1&lt;/C&gt;&lt;D xsi:type="xsd:double"&gt;39053.813&lt;/D&gt;&lt;/FQL&gt;&lt;FQL&gt;&lt;Q&gt;Ticker0024^FE_ESTIMATE(CFO,MEAN,QUARTERLY_ROLL,2026/2F,45813,,,'')&lt;/Q&gt;&lt;R&gt;1&lt;/R&gt;&lt;C&gt;1&lt;/C&gt;&lt;D xsi:type="xsd:double"&gt;26508.691&lt;/D&gt;&lt;/FQL&gt;&lt;FQL&gt;&lt;Q&gt;Ticker0024^FE_ESTIMATE(CFO,MEAN,QUARTERLY_ROLL,2026/1F,45813,,,'')&lt;/Q&gt;&lt;R&gt;1&lt;/R&gt;&lt;C&gt;1&lt;/C&gt;&lt;D xsi:type="xsd:double"&gt;42347.254&lt;/D&gt;&lt;/FQL&gt;&lt;FQL&gt;&lt;Q&gt;Ticker0024^FE_ESTIMATE(CFO,MEAN,ANNUAL_ROLL,2025,45813,,,'')&lt;/Q&gt;&lt;R&gt;1&lt;/R&gt;&lt;C&gt;1&lt;/C&gt;&lt;D xsi:type="xsd:double"&gt;133348.27&lt;/D&gt;&lt;/FQL&gt;&lt;FQL&gt;&lt;Q&gt;Ticker0024^FE_ESTIMATE(CFO,MEAN,QUARTERLY_ROLL,2025/4F,45813,,,'')&lt;/Q&gt;&lt;R&gt;1&lt;/R&gt;&lt;C&gt;1&lt;/C&gt;&lt;D xsi:type="xsd:double"&gt;37966.363&lt;/D&gt;&lt;/FQL&gt;&lt;FQL&gt;&lt;</t>
        </r>
      </text>
    </comment>
    <comment ref="A59" authorId="0" shapeId="0" xr:uid="{FA0787BD-73F9-4D30-9748-2A2DAB695D81}">
      <text>
        <r>
          <rPr>
            <b/>
            <sz val="9"/>
            <color indexed="81"/>
            <rFont val="Tahoma"/>
            <family val="2"/>
          </rPr>
          <t>Q&gt;Ticker0024^FE_ESTIMATE(CFO,MEAN,QUARTERLY_ROLL,2025/3F,45813,,,'')&lt;/Q&gt;&lt;R&gt;1&lt;/R&gt;&lt;C&gt;1&lt;/C&gt;&lt;D xsi:type="xsd:double"&gt;37043.734&lt;/D&gt;&lt;/FQL&gt;&lt;FQL&gt;&lt;Q&gt;Ticker0024^FE_ESTIMATE(CFO,MEAN,QUARTERLY_ROLL,2025/2F,45813,,,'')&lt;/Q&gt;&lt;R&gt;1&lt;/R&gt;&lt;C&gt;1&lt;/C&gt;&lt;D xsi:type="xsd:double"&gt;22290.938&lt;/D&gt;&lt;/FQL&gt;&lt;FQL&gt;&lt;Q&gt;Ticker0024^FE_ESTIMATE(CFO,MEAN,QUARTERLY_ROLL,2025/1F,45813,,,'')&lt;/Q&gt;&lt;R&gt;1&lt;/R&gt;&lt;C&gt;1&lt;/C&gt;&lt;D xsi:type="xsd:double"&gt;34180&lt;/D&gt;&lt;/FQL&gt;&lt;FQL&gt;&lt;Q&gt;Ticker0024^FE_ESTIMATE(CFO,MEAN,ANNUAL_ROLL,2024,45813,,,'')&lt;/Q&gt;&lt;R&gt;1&lt;/R&gt;&lt;C&gt;1&lt;/C&gt;&lt;D xsi:type="xsd:double"&gt;119091&lt;/D&gt;&lt;/FQL&gt;&lt;FQL&gt;&lt;Q&gt;Ticker0024^FE_ESTIMATE(CFO,MEAN,QUARTERLY_ROLL,2024/4F,45813,,,'')&lt;/Q&gt;&lt;R&gt;1&lt;/R&gt;&lt;C&gt;1&lt;/C&gt;&lt;D xsi:type="xsd:double"&gt;37195.355&lt;/D&gt;&lt;/FQL&gt;&lt;FQL&gt;&lt;Q&gt;Ticker0024^FE_ESTIMATE(CFO,MEAN,QUARTERLY_ROLL,2024/3F,45813,,,'')&lt;/Q&gt;&lt;R&gt;1&lt;/R&gt;&lt;C&gt;1&lt;/C&gt;&lt;D xsi:type="xsd:double"&gt;31917.176&lt;/D&gt;&lt;/FQL&gt;&lt;FQL&gt;&lt;Q&gt;Ticker0024^FE_ESTIMATE(CFO,MEAN,QUARTERLY_ROLL,2024/2F,45813,,,'')&lt;/Q&gt;&lt;R&gt;1&lt;/R&gt;&lt;C&gt;1&lt;/C&gt;&lt;D xsi:type="xsd:double"&gt;18855.445&lt;/D&gt;&lt;/FQL&gt;&lt;FQL&gt;&lt;Q&gt;Ticker0024^FE_ESTIMATE(CFO,MEAN,QUARTERLY_ROLL,2024/1F,45813,,,'')&lt;/Q&gt;&lt;R&gt;1&lt;/R&gt;&lt;C&gt;1&lt;/C&gt;&lt;D xsi:type="xsd:double"&gt;30578.588&lt;/D&gt;&lt;/FQL&gt;&lt;FQL&gt;&lt;Q&gt;Ticker0024^FE_ESTIMATE(CFO,MEAN,ANNUAL_ROLL,2023,45813,,,'')&lt;/Q&gt;&lt;R&gt;1&lt;/R&gt;&lt;C&gt;1&lt;/C&gt;&lt;D xsi:type="xsd:double"&gt;87714&lt;/D&gt;&lt;/FQL&gt;&lt;FQL&gt;&lt;Q&gt;Ticker0024^FE_ESTIMATE(CFO,MEAN,QUARTERLY_ROLL,2023/4F,45813,,,'')&lt;/Q&gt;&lt;R&gt;1&lt;/R&gt;&lt;C&gt;1&lt;/C&gt;&lt;D xsi:type="xsd:double"&gt;28504.813&lt;/D&gt;&lt;/FQL&gt;&lt;FQL&gt;&lt;Q&gt;Ticker0024^FE_ESTIMATE(CFO,MEAN,QUARTERLY_ROLL,2023/3F,45813,,,'')&lt;/Q&gt;&lt;R&gt;1&lt;/R&gt;&lt;C&gt;1&lt;/C&gt;&lt;D xsi:type="xsd:double"&gt;24325.75&lt;/D&gt;&lt;/FQL&gt;&lt;FQL&gt;&lt;Q&gt;Ticker0024^FE_ESTIMATE(CFO,MEAN,QUARTERLY_ROLL,2023/2F,45813,,,'')&lt;/Q&gt;&lt;R&gt;1&lt;/R&gt;&lt;C&gt;1&lt;/C&gt;&lt;D xsi:type="xsd:double"&gt;11172.8&lt;/D&gt;&lt;/FQL&gt;&lt;FQL&gt;&lt;Q&gt;Ticker0024^FE_ESTIMATE(CFO,MEAN,QUARTERLY_ROLL,2023/1F,45813,,,'')&lt;/Q&gt;&lt;R&gt;1&lt;/R&gt;&lt;C&gt;1&lt;/C&gt;&lt;D xsi:type="xsd:double"&gt;23330.53&lt;/D&gt;&lt;/FQL&gt;&lt;FQL&gt;&lt;Q&gt;Ticker0024^FE_ESTIMATE(CFO,MEAN,ANNUAL_ROLL,2022,45813,,,'')&lt;/Q&gt;&lt;R&gt;1&lt;/R&gt;&lt;C&gt;1&lt;/C&gt;&lt;D xsi:type="xsd:double"&gt;89044.74&lt;/D&gt;&lt;/FQL&gt;&lt;FQL&gt;&lt;Q&gt;Ticker0024^FE_ESTIMATE(CFO,MEAN,QUARTERLY_ROLL,2022/4F,45813,,,'')&lt;/Q&gt;&lt;R&gt;1&lt;/R&gt;&lt;C&gt;1&lt;/C&gt;&lt;D xsi:type="xsd:double"&gt;24629&lt;/D&gt;&lt;/FQL&gt;&lt;FQL&gt;&lt;Q&gt;Ticker0024^FE_ESTIMATE(CFO,MEAN,QUARTERLY_ROLL,2022/3F,45813,,,'')&lt;/Q&gt;&lt;R&gt;1&lt;/R&gt;&lt;C&gt;1&lt;/C&gt;&lt;D xsi:type="xsd:double"&gt;25386&lt;/D&gt;&lt;/FQL&gt;&lt;FQL&gt;&lt;Q&gt;Ticker0024^FE_ESTIMATE(CFO,MEAN,QUARTERLY_ROLL,2022/2F,45813,,,'')&lt;/Q&gt;&lt;R&gt;1&lt;/R&gt;&lt;C&gt;1&lt;/C&gt;&lt;D xsi:type="xsd:double"&gt;14480&lt;/D&gt;&lt;/FQL&gt;&lt;FQL&gt;&lt;Q&gt;Ticker0024^FE_ESTIMATE(CFO,MEAN,QUARTERLY_ROLL,2022/1F,45813,,,'')&lt;/Q&gt;&lt;R&gt;1&lt;/R&gt;&lt;C&gt;1&lt;/C&gt;&lt;D xsi:type="xsd:double"&gt;24540&lt;/D&gt;&lt;/FQL&gt;&lt;FQL&gt;&lt;Q&gt;Ticker0024^FE_ESTIMATE(CFO,MEAN,ANNUAL_ROLL,2021,45813,,,'')&lt;/Q&gt;&lt;R&gt;1&lt;/R&gt;&lt;C&gt;1&lt;/C&gt;&lt;D xsi:type="xsd:double"&gt;77615.55&lt;/D&gt;&lt;/FQL&gt;&lt;FQL&gt;&lt;Q&gt;Ticker0024^FE_ESTIMATE(CFO,MEAN,QUARTERLY_ROLL,2021/4F,45813,,,'')&lt;/Q&gt;&lt;R&gt;1&lt;/R&gt;&lt;C&gt;1&lt;/C&gt;&lt;D xsi:type="xsd:double"&gt;22710&lt;/D&gt;&lt;/FQL&gt;&lt;FQL&gt;&lt;Q&gt;Ticker0024^FE_ESTIMATE(CFO,MEAN,QUARTERLY_ROLL,2021/3F,45813,,,'')&lt;/Q&gt;&lt;R&gt;1&lt;/R&gt;&lt;C&gt;1&lt;/C&gt;&lt;D xsi:type="xsd:double"&gt;21909&lt;/D&gt;&lt;/FQL&gt;&lt;FQL&gt;&lt;Q&gt;Ticker0024^FE_ESTIMATE(CFO,MEAN,QUARTERLY_ROLL,2021/2F,45813,,,'')&lt;/Q&gt;&lt;R&gt;1&lt;/R&gt;&lt;C&gt;1&lt;/C&gt;&lt;D xsi:type="xsd:double"&gt;12516&lt;/D&gt;&lt;/FQL&gt;&lt;FQL&gt;&lt;Q&gt;Ticker0024^FE_ESTIMATE(CFO,MEAN,QUARTERLY_ROLL,2021/1F,45813,,,'')&lt;/Q&gt;&lt;R&gt;1&lt;/R&gt;&lt;C&gt;1&lt;/C&gt;&lt;D xsi:type="xsd:double"&gt;19151.9&lt;/D&gt;&lt;/FQL&gt;&lt;FQL&gt;&lt;Q&gt;Ticker0024^FE_ESTIMATE(CFO,MEAN,ANNUAL_ROLL,2020,45813,,,'')&lt;/Q&gt;&lt;R&gt;1&lt;/R&gt;&lt;C&gt;1&lt;/C&gt;&lt;D xsi:type="xsd:double"&gt;60473.91&lt;/D&gt;&lt;/FQL&gt;&lt;FQL&gt;&lt;Q&gt;Ticker0024^FE_ESTIMATE(CFO,MEAN,QUARTERLY_ROLL,2020/4F,45813,,,'')&lt;/Q&gt;&lt;R&gt;1&lt;/R&gt;&lt;C&gt;1&lt;/C&gt;&lt;D xsi:type="xsd:double"&gt;18673&lt;/D&gt;&lt;/FQL&gt;&lt;FQL&gt;&lt;Q&gt;Ticker0024^FE_ESTIMATE(CFO,MEAN,QUARTERLY_ROLL,2020/3F,45813,,,'')&lt;/Q&gt;&lt;R&gt;1&lt;/R&gt;&lt;C&gt;1&lt;/C&gt;&lt;D xsi:type="xsd:double"&gt;17507.223&lt;/D&gt;&lt;/FQL&gt;&lt;FQL&gt;&lt;Q&gt;Ticker0024^FE_ESTIMATE(CFO,MEAN,QUARTERLY_ROLL,2020/2F,45813,,,'')&lt;/Q&gt;&lt;R&gt;1&lt;/R&gt;&lt;C&gt;1&lt;/C&gt;&lt;D xsi:type="xsd:double"&gt;10680&lt;/D&gt;&lt;/FQL&gt;&lt;FQL&gt;&lt;Q&gt;Ticker0024^FE_ESTIMATE(CFO,MEAN,QUARTERLY_ROLL,2020/1F,45813,,,'')&lt;/Q&gt;&lt;R&gt;1&lt;/R&gt;&lt;C&gt;1&lt;/C&gt;&lt;D xsi:type="xsd:double"&gt;13818&lt;/D&gt;&lt;/FQL&gt;&lt;FQL&gt;&lt;Q&gt;Ticker0024^FE_ESTIMATE(CFO,MEAN,ANNUAL_ROLL,2019,45813,,,'')&lt;/Q&gt;&lt;R&gt;1&lt;/R&gt;&lt;C&gt;1&lt;/C&gt;&lt;D xsi:type="xsd:double"&gt;51866.285&lt;/D&gt;&lt;/FQL&gt;&lt;FQL&gt;&lt;Q&gt;Ticker0024^FE_ESTIMATE(CFO,MEAN,QUARTERLY_ROLL,2019/4F,45813,,,'')&lt;/Q&gt;&lt;R&gt;1&lt;/R&gt;&lt;C&gt;1&lt;/C&gt;&lt;D xsi:type="xsd:double"&gt;16108&lt;/D&gt;&lt;/FQL&gt;&lt;FQL&gt;&lt;Q&gt;Ticker0024^FE_ESTIMATE(CFO,MEAN,QUARTERLY_ROLL,2019/3F,45813,,,'')&lt;/Q&gt;&lt;R&gt;1&lt;/R&gt;&lt;C&gt;1&lt;/C&gt;&lt;D xsi:type="xsd:double"&gt;13520&lt;/D&gt;&lt;/FQL&gt;&lt;FQL&gt;&lt;Q&gt;Ticker0024^FE_ESTIMATE(CFO,MEAN,QUARTERLY_ROLL,2019/2F,45813,,,'')&lt;/Q&gt;&lt;R&gt;1&lt;/R&gt;&lt;C&gt;1&lt;/C&gt;&lt;D xsi:type="xsd:double"&gt;8854.25&lt;/D&gt;&lt;/FQL&gt;&lt;FQL&gt;&lt;Q&gt;Ticker0024^FE_ESTIMATE(CFO,MEAN,QUARTERLY_ROLL,2019/1F,45813,,,'')&lt;/Q&gt;&lt;R&gt;1&lt;/R&gt;&lt;C&gt;1&lt;/C&gt;&lt;D xsi:type="xsd:double"&gt;13284.637&lt;/D&gt;&lt;/FQL&gt;&lt;FQL&gt;&lt;Q&gt;Ticker0024^FE_ESTIMATE(CFO,MEAN,ANNUAL_ROLL,2018,45813,,,'')&lt;/Q&gt;&lt;R&gt;1&lt;/R&gt;&lt;C&gt;1&lt;/C&gt;&lt;D xsi:type="xsd:double"&gt;43558.848&lt;/D&gt;&lt;/FQL&gt;&lt;FQL&gt;&lt;Q&gt;Ticker0024^FE_ESTIMATE(CFO,MEAN,QUARTERLY_ROLL,2018/4F,45813,,,'')&lt;/Q&gt;&lt;R&gt;1&lt;/R&gt;&lt;C&gt;1&lt;/C&gt;&lt;D xsi:type="xsd:double"&gt;11606.333&lt;/D&gt;&lt;/FQL&gt;&lt;FQL&gt;&lt;Q&gt;Ticker0024^FE_ESTIMATE(CFO,MEAN,QUARTERLY_ROLL,2018/3F,45813,,,'')&lt;/Q&gt;&lt;R&gt;1&lt;/R&gt;&lt;C&gt;1&lt;/C&gt;&lt;D xsi:type="xsd:double"&gt;12151&lt;/D&gt;&lt;/FQL&gt;&lt;FQL&gt;&lt;Q&gt;Ticker0024^FE_ESTIMATE(CFO,MEAN,QUARTERLY_ROLL,2018/2F,45813,,,'')&lt;/Q&gt;&lt;R&gt;1&lt;/R&gt;&lt;C&gt;1&lt;/C&gt;&lt;D xsi:type="xsd:double"&gt;7875&lt;/D&gt;&lt;/FQL&gt;&lt;FQL&gt;&lt;Q&gt;Ticker0024^FE_ESTIMATE(CFO,MEAN,QUARTERLY_ROLL,2018/1F,45813,,,'')&lt;/Q&gt;&lt;R&gt;1&lt;/R&gt;&lt;C&gt;1&lt;/C&gt;&lt;D xsi:type="xsd:double"&gt;12440&lt;/D&gt;&lt;/FQL&gt;&lt;FQL&gt;&lt;Q&gt;Ticker0024^FE_ESTIMATE(CFO,MEAN,ANNUAL_ROLL,2017,45813,,,'')&lt;/Q&gt;&lt;R&gt;1&lt;/R&gt;&lt;C&gt;1&lt;/C&gt;&lt;D xsi:type="xsd:double"&gt;39507&lt;/D&gt;&lt;/FQL&gt;&lt;FQL&gt;&lt;Q&gt;Ticker0024^FE_ESTIMATE(CFO,MEAN,QUARTERLY_ROLL,2017/4F,45813,,,'')&lt;/Q&gt;&lt;R&gt;1&lt;/R&gt;&lt;C&gt;1&lt;/C&gt;&lt;D xsi:type="xsd:double"&gt;11005&lt;/D&gt;&lt;/FQL&gt;&lt;FQL&gt;&lt;Q&gt;Ticker0024^FE_ESTIMATE(CFO,MEAN,QUARTERLY_ROLL,2017/3F,45813,,,'')&lt;/Q&gt;&lt;R&gt;1&lt;/R&gt;&lt;C&gt;1&lt;/C&gt;&lt;D xsi:type="xsd:double"&gt;10660&lt;/D&gt;&lt;/FQL&gt;&lt;FQL&gt;&lt;Q&gt;Ticker0024^FE_ESTIMATE(CFO,MEAN,QUARTERLY_ROLL,2017/2F,45813,,,'')&lt;/Q&gt;&lt;R&gt;1&lt;/R&gt;&lt;C&gt;1&lt;/C&gt;&lt;D xsi:type="xsd:double"&gt;6293&lt;/D&gt;&lt;/FQL&gt;&lt;FQL&gt;&lt;Q&gt;Ticker0024^FE_ESTIMATE(CFO,MEAN,QUARTERLY_ROLL,2017/1F,45813,,,'')&lt;/Q&gt;&lt;R&gt;1&lt;/R&gt;&lt;C&gt;1&lt;/C&gt;&lt;D xsi:type="xsd:double"&gt;11549&lt;/D&gt;&lt;/FQL&gt;&lt;FQL&gt;&lt;Q&gt;Ticker0024^FE_ESTIMATE(CFO,MEAN,ANNUAL_ROLL,2016,45813,,,'')&lt;/Q&gt;&lt;R&gt;1&lt;/R&gt;&lt;C&gt;1&lt;/C&gt;&lt;D xsi:type="xsd:double"&gt;32872.5&lt;/D&gt;&lt;/FQL&gt;&lt;FQL&gt;&lt;Q&gt;Ticker0024^FE_ESTIMATE(CFO,MEAN,QUARTERLY_ROLL,2016/4F,45813,,,'')&lt;/Q&gt;&lt;R&gt;1&lt;/R&gt;&lt;C&gt;1&lt;/C&gt;&lt;D xsi:type="xsd:double"&gt;8464&lt;/D&gt;&lt;/FQL&gt;&lt;FQL&gt;&lt;Q&gt;Ticker0024^FE_ESTIMATE(CFO,MEAN,QUARTERLY_ROLL,2016/3F,45813,,,'')&lt;/Q&gt;&lt;R&gt;1&lt;/R&gt;&lt;C&gt;1&lt;/C&gt;&lt;D xsi:type="xsd:double"&gt;10367&lt;/D&gt;&lt;/FQL&gt;&lt;FQL&gt;&lt;Q&gt;Ticker0024^FE_ESTIMATE(CFO,MEAN,QUARTERLY_ROLL,2016/2F,45813,,,'')&lt;/Q&gt;&lt;R&gt;1&lt;/R&gt;&lt;C&gt;1&lt;/C&gt;&lt;D xsi:type="xsd:double"&gt;5598&lt;/D&gt;&lt;/FQL&gt;&lt;FQL&gt;&lt;Q&gt;Ticker0024^FE_ESTIMATE(CFO,MEAN,QUARTERLY_ROLL,2016/1F,45813,,,'')&lt;/Q&gt;&lt;R&gt;1&lt;/R&gt;&lt;C&gt;1&lt;/C&gt;&lt;D xsi:type="xsd:double"&gt;8550.5&lt;/D&gt;&lt;/FQL&gt;&lt;FQL&gt;&lt;Q&gt;Ticker0024^FE_ESTIMATE(CFO,MEAN,ANNUAL_ROLL,2015,45813,,,'')&lt;/Q&gt;&lt;R&gt;1&lt;/R&gt;&lt;C&gt;1&lt;/C&gt;&lt;D xsi:type="xsd:double"&gt;29510.059&lt;/D&gt;&lt;/FQL&gt;&lt;FQL&gt;&lt;Q&gt;Ticker0024^FE_ESTIMATE(CFO,MEAN,QUARTERLY_ROLL,2015/4F,45813,,,'')&lt;/Q&gt;&lt;R&gt;1&lt;/R&gt;&lt;C&gt;1&lt;/C&gt;&lt;D xsi:type="xsd:double"&gt;7446.231&lt;/D&gt;&lt;/FQL&gt;&lt;FQL&gt;&lt;Q&gt;Ticker0024^FE_ESTIMATE(CFO,MEAN,QUARTERLY_ROLL,2015/3F,45813,,,'')&lt;/Q&gt;&lt;R&gt;1&lt;/R&gt;&lt;C&gt;1&lt;/C&gt;&lt;D xsi:type="xsd:double"&gt;9570&lt;/D&gt;&lt;/FQL&gt;&lt;FQL&gt;&lt;Q&gt;Ticker0024^FE_ESTIMATE(CFO,MEAN,QUARTERLY_ROLL,2015/2F,45813,,,'')&lt;/Q&gt;&lt;R&gt;1&lt;/R&gt;&lt;C&gt;1&lt;/C&gt;&lt;D xsi:type="xsd:double"&gt;4340&lt;/D&gt;&lt;/FQL&gt;&lt;FQL&gt;&lt;Q&gt;Ticker0024^FE_ESTIMATE(CFO,MEAN,QUARTERLY_ROLL,2015/1F,45813,,,'')&lt;/Q&gt;&lt;R&gt;1&lt;/R&gt;&lt;C&gt;1&lt;/C&gt;&lt;D xsi:type="xsd:double"&gt;8354&lt;/D&gt;&lt;/FQL&gt;&lt;FQL&gt;&lt;Q&gt;Ticker0024^FE_ESTIMATE(EPS,MEAN,ANNUAL_ROLL,2030,45813,,,'')&lt;/Q&gt;&lt;R&gt;0&lt;/R&gt;&lt;C&gt;0&lt;/C&gt;&lt;/FQL&gt;&lt;FQL&gt;&lt;Q&gt;Ticker0024^FE_ESTIMATE(EPS,MEAN,QUARTERLY_ROLL,2030/4F,45813,,,'')&lt;/Q&gt;&lt;R&gt;0&lt;/R&gt;&lt;C&gt;0&lt;/C&gt;&lt;/FQL&gt;&lt;FQL&gt;&lt;Q&gt;Ticker0024^FE_ESTIMATE(EPS,MEAN,QUARTERLY_ROLL,2030/3F,45813,,,'')&lt;/Q&gt;&lt;R&gt;0&lt;/R&gt;&lt;C&gt;0&lt;/C&gt;&lt;/FQL&gt;&lt;FQL&gt;&lt;Q&gt;Ticker0024^FE_ESTIMATE(EPS,MEAN,QUARTERLY_ROLL,2030/2F,45813,,,'')&lt;/Q&gt;&lt;R&gt;0&lt;/R&gt;&lt;C&gt;0&lt;/C&gt;&lt;/FQL&gt;&lt;FQL&gt;&lt;Q&gt;Ticker0024^FE_ESTIMATE(EPS,MEAN,QUARTERLY_ROLL,2030/1F,45813,,,'')&lt;/Q&gt;&lt;R&gt;0&lt;/R&gt;&lt;C&gt;0&lt;/C&gt;&lt;/FQL&gt;&lt;FQL&gt;&lt;Q&gt;Ticker0024^FE_ESTIMATE(EPS,MEAN,ANNUAL_ROLL,2029,45813,,,'')&lt;/Q&gt;&lt;R&gt;1&lt;/R&gt;&lt;C&gt;1&lt;/C&gt;&lt;D xsi:type="xsd:double"&gt;24.63&lt;/D&gt;&lt;/FQL&gt;&lt;FQL&gt;&lt;Q&gt;Ticker0024^FE_ESTIMATE(EPS,MEAN,QUARTERLY_ROLL,2029/4F,45813,,,'')&lt;/Q&gt;&lt;R&gt;0&lt;/R&gt;&lt;C&gt;0&lt;/C&gt;&lt;/FQL&gt;&lt;FQL&gt;&lt;Q&gt;Ticker0024^FE_ESTIMATE(EPS,MEAN,QUARTERLY_ROLL,2029/3F,45813,,,'')&lt;/Q&gt;&lt;R&gt;0&lt;/R&gt;&lt;C&gt;0&lt;/C&gt;&lt;/FQL&gt;&lt;FQL&gt;&lt;Q&gt;Ticker0024^FE_ESTIMATE(EPS,MEAN,QUARTERLY_ROLL,2029/2F,45813,,,'')&lt;/Q&gt;&lt;R&gt;0&lt;/R&gt;&lt;C&gt;0&lt;/C&gt;&lt;/FQL&gt;&lt;FQL&gt;&lt;Q&gt;Ticker0024^FE_ESTIMATE(EPS,MEAN,QUARTERLY_ROLL,2029/1F,45813,,,'')&lt;/Q&gt;&lt;R&gt;0&lt;/R&gt;&lt;C&gt;0&lt;/C&gt;&lt;/FQL&gt;&lt;FQL&gt;&lt;Q&gt;Ticker0024^FE_ESTIMATE(EPS,MEAN,ANNUAL_ROLL,2028,45813,,,'')&lt;/Q&gt;&lt;R&gt;1&lt;/R&gt;&lt;C&gt;1&lt;/C&gt;&lt;D xsi:type="xsd:double"&gt;20.813923&lt;/D&gt;&lt;/FQL&gt;&lt;FQL&gt;&lt;Q&gt;Ticker0024^FE_ESTIMATE(EPS,MEAN,QUARTERLY_ROLL,2028/4F,45813,,,'')&lt;/Q&gt;&lt;R&gt;0&lt;/R&gt;&lt;C&gt;0&lt;/C&gt;&lt;/FQL&gt;&lt;FQL&gt;&lt;Q&gt;Ticker0024^FE_ESTIMATE(EPS,MEAN,QUARTERLY_ROLL,2028/3F,45813,,,'')&lt;/Q&gt;&lt;R&gt;0&lt;/R&gt;&lt;C&gt;0&lt;/C&gt;&lt;/FQL&gt;&lt;FQL&gt;&lt;Q&gt;Ticker0024^FE_ESTIMATE(EPS,MEAN,QUARTERLY_ROLL,2028/2F,45813,,,'')&lt;/Q&gt;&lt;R&gt;0&lt;/R&gt;&lt;C&gt;0&lt;/C&gt;&lt;/FQL&gt;&lt;FQL&gt;&lt;Q&gt;Ticker0024^FE_ESTIMATE(EPS,MEAN,QUARTERLY_ROLL,2028/1F,45813,,,'')&lt;/Q&gt;&lt;R&gt;0&lt;/R&gt;&lt;C&gt;0&lt;/C&gt;&lt;/FQL&gt;&lt;FQL&gt;&lt;Q&gt;Ticker0024^FE_ESTIMATE(EPS,MEAN,ANNUAL_ROLL,2027,45813,,,'')&lt;/Q&gt;&lt;R&gt;1&lt;/R&gt;&lt;C&gt;1&lt;/C&gt;&lt;D xsi:type="xsd:double"&gt;17.719992&lt;/D&gt;&lt;/FQL&gt;&lt;FQL&gt;&lt;Q&gt;Ticker0024^FE_ESTIMATE(EPS,MEAN,QUARTERLY_ROLL,2027/4F,45813,,,'')&lt;/Q&gt;&lt;R&gt;1&lt;/R&gt;&lt;C&gt;1&lt;/C&gt;&lt;D xsi:type="xsd:double"&gt;4.4970393&lt;/D&gt;&lt;/FQL&gt;&lt;FQL&gt;&lt;Q&gt;Ticker0024^FE_ESTIMATE(EPS,MEAN,QUARTERLY_ROLL,2027/3F,45813,,,'')&lt;/Q&gt;&lt;R&gt;1&lt;/R&gt;&lt;C&gt;1&lt;/C&gt;&lt;D xsi:type="xsd:double"&gt;4.3585305&lt;/D&gt;&lt;/FQL&gt;&lt;FQL&gt;&lt;Q&gt;Ticker0024^FE_ESTIMATE(EPS,MEAN,QUARTERLY_ROLL,2027/2F,45813,,,'')&lt;/Q&gt;&lt;R&gt;1&lt;/R&gt;&lt;C&gt;1&lt;/C&gt;&lt;D xsi:type="xsd:double"&gt;4.2936015&lt;/D&gt;&lt;/FQL&gt;&lt;FQL&gt;&lt;Q&gt;Ticker0024^FE_ESTIMATE(EPS,MEAN,QUARTERLY_ROLL,2027/1F,45813,,,'')&lt;/Q&gt;&lt;R&gt;1&lt;/R&gt;&lt;C&gt;1&lt;/C&gt;&lt;D xsi:type="xsd:double"&gt;4.134064&lt;/D&gt;&lt;/FQL&gt;&lt;FQL&gt;&lt;Q&gt;Ticker0024^FE_ESTIMATE(EPS,MEAN,ANNUAL_ROLL,2026,45813,,,'')&lt;/Q&gt;&lt;R&gt;1&lt;/R&gt;&lt;C&gt;1&lt;/C&gt;&lt;D xsi:type="xsd:double"&gt;15.147413&lt;/D&gt;&lt;/FQL&gt;&lt;FQL&gt;&lt;Q&gt;Ticker0024^FE_ESTIMATE(EPS,MEAN,QUARTERLY_ROLL,2026/4F,45813,,,'')&lt;/Q&gt;&lt;R&gt;1&lt;/R&gt;&lt;C&gt;1&lt;/C&gt;&lt;D xsi:type="xsd:double"&gt;3.9042962&lt;/D&gt;&lt;/FQL&gt;&lt;FQL&gt;&lt;Q&gt;Ticker0024^FE_ESTIMATE(EPS,MEAN,QUARTERLY_ROLL,2026/3F,45813,,,'')&lt;/Q&gt;&lt;R&gt;1&lt;/R&gt;&lt;C&gt;1&lt;/C&gt;&lt;D xsi:type="xsd:double"&gt;3.7857487&lt;/D&gt;&lt;/FQL&gt;&lt;FQL&gt;&lt;Q&gt;Ticker0024^FE_ESTIMATE(EPS,MEAN,QUARTERLY_ROLL,2026/2F,45813,,,'')&lt;/Q&gt;&lt;R&gt;1&lt;/R&gt;&lt;C&gt;1&lt;/C&gt;&lt;D xsi:type="xsd:double"&gt;3.7207894&lt;/D&gt;&lt;/FQL&gt;&lt;FQL&gt;&lt;Q&gt;Ticker0024^FE_ESTIMATE(EPS,MEAN,QUARTERLY_ROLL,2026/1F,45813,,,'')&lt;/Q&gt;&lt;R&gt;1&lt;/R&gt;&lt;C&gt;1&lt;/C&gt;&lt;D xsi:type="xsd:double"&gt;3.5602088&lt;/D&gt;&lt;/FQL&gt;&lt;FQL&gt;&lt;Q&gt;Ticker0024^FE_ESTIMATE(EPS,MEAN,ANNUAL_ROLL,2025,45813,,,'')&lt;/Q&gt;&lt;R&gt;1&lt;/R&gt;&lt;C&gt;1&lt;/C&gt;&lt;D xsi:type="xsd:double"&gt;13.388845&lt;/D&gt;&lt;/FQL&gt;&lt;FQL&gt;&lt;Q&gt;Ticker0024^FE_ESTIMATE(EPS,MEAN,QUARTERLY_ROLL,2025/4F,45813,,,'')&lt;/Q&gt;&lt;R&gt;1&lt;/R&gt;&lt;C&gt;1&lt;/C&gt;&lt;D xsi:type="xsd:double"&gt;3.3725312&lt;/D&gt;&lt;/FQL&gt;&lt;FQL&gt;&lt;Q&gt;Ticker0024^FE_ESTIMATE(EPS,MEAN,QUARTERLY_ROLL,2025/3F,45813,,,'')&lt;/Q&gt;&lt;R&gt;1&lt;/R&gt;&lt;C&gt;1&lt;/C&gt;&lt;D xsi:type="xsd:double"&gt;3.46&lt;/D&gt;&lt;/FQL&gt;&lt;FQL&gt;&lt;Q&gt;Ticker0024^FE_ESTIMATE(EPS,MEAN,QUARTERLY_ROLL,2025/2F,45813,,,'')&lt;/Q&gt;&lt;R&gt;1&lt;/R&gt;&lt;C&gt;1&lt;/C&gt;&lt;D xsi:type="xsd:double"&gt;3.23&lt;/D&gt;&lt;/FQL&gt;&lt;FQL&gt;&lt;Q&gt;Ticker0024^FE_ESTIMATE(EPS,MEAN,QUARTERLY_ROLL,2025/1F,45813,,,'')&lt;/Q&gt;&lt;R&gt;1&lt;/R&gt;&lt;C&gt;1&lt;/C&gt;&lt;D xsi:type="xsd:double"&gt;3.3&lt;/D&gt;&lt;/FQL&gt;&lt;FQL&gt;&lt;Q&gt;Ticker0024^FE_ESTIMATE(EPS,MEAN,ANNUAL_ROLL,2024,45813,,,'')&lt;/Q&gt;&lt;R&gt;1&lt;/R&gt;&lt;C&gt;1&lt;/C&gt;&lt;D xsi:type="xsd:double"&gt;11.8&lt;/D&gt;&lt;/FQL&gt;&lt;FQL&gt;&lt;Q&gt;Ticker0024^FE_ESTIMATE(EPS,MEAN,QUARTERLY_ROLL,2024/4F,45813,,,'')&lt;/Q&gt;&lt;R&gt;1&lt;/R&gt;&lt;C&gt;1&lt;/C&gt;&lt;D xsi:type="xsd:double"&gt;2.95&lt;/D&gt;&lt;/FQL&gt;&lt;FQL&gt;&lt;Q&gt;Ticker0024^FE_ESTIMATE(EPS,MEAN,QUARTERLY_ROLL,2024/3F,45813,,,'')&lt;/Q&gt;&lt;R&gt;1&lt;/R&gt;&lt;C&gt;1&lt;/C&gt;&lt;D xsi:type="xsd:double"&gt;2.94&lt;/D&gt;&lt;/FQL&gt;&lt;FQL&gt;&lt;Q&gt;Ticker0024^FE_ESTIMATE(EPS,MEAN,QUARTERLY_ROLL,2024/2F,45813,,,'')&lt;/Q&gt;&lt;R&gt;1&lt;/R&gt;&lt;C&gt;1&lt;/C&gt;&lt;D xsi:type="xsd:double"&gt;2.93&lt;/D&gt;&lt;/FQL&gt;&lt;FQL&gt;&lt;Q&gt;Ticker0024^FE_ESTIMATE(EPS,MEAN,QUARTERLY_ROLL,2024/1F,45813,,,'')&lt;/Q&gt;&lt;R&gt;1&lt;/R&gt;&lt;C&gt;1&lt;/C&gt;&lt;D xsi:type="xsd:double"&gt;2.99&lt;/D&gt;&lt;/FQL&gt;&lt;FQL&gt;&lt;Q&gt;Ticker0024^FE_ESTIMATE(EPS,MEAN,ANNUAL_ROLL,2023,45813,,,'')&lt;/Q&gt;&lt;R&gt;1&lt;/R&gt;&lt;C&gt;1&lt;/C&gt;&lt;D xsi:type="xsd:double"&gt;9.81&lt;/D&gt;&lt;/FQL&gt;&lt;FQL&gt;&lt;Q&gt;Ticker0024^FE_ESTIMATE(EPS,MEAN,QUARTERLY_ROLL,2023/4F,45813,,,'')&lt;/Q&gt;&lt;R&gt;1&lt;/R&gt;&lt;C&gt;1&lt;/C&gt;&lt;D xsi:type="xsd:double"&gt;2.69&lt;/D&gt;&lt;/FQL&gt;&lt;FQL&gt;&lt;Q&gt;Ticker0024^FE_ESTIMATE(EPS,MEAN,QUARTERLY_ROLL,2023/3F,45813,,,'')&lt;/Q&gt;&lt;R&gt;1&lt;/R&gt;&lt;C&gt;1&lt;/C&gt;&lt;D xsi:type="xsd:double"&gt;2.45&lt;/D&gt;&lt;/FQL&gt;&lt;FQL&gt;&lt;Q&gt;Ticker0024^FE_ESTIMATE(EPS,MEAN,QUARTERLY_ROLL,2023/2F,45813,,,'')&lt;/Q&gt;&lt;R&gt;1&lt;/R&gt;&lt;C&gt;1&lt;/C&gt;&lt;D xsi:type="xsd:double"&gt;2.32&lt;/D&gt;&lt;/FQL&gt;&lt;FQL&gt;&lt;Q&gt;Ticker0024^FE_ESTIMATE(EPS,MEAN,QUARTERLY_ROLL,2023/1F,45813,,,'')&lt;/Q&gt;&lt;R&gt;1&lt;/R&gt;&lt;C&gt;1&lt;/C&gt;&lt;D xsi:type="xsd:double"&gt;2.35&lt;/D&gt;&lt;/FQL&gt;&lt;FQL&gt;&lt;Q&gt;Ticker0024^FE_ESTIMATE(EPS,MEAN,ANNUAL_ROLL,2022,45813,,,'')&lt;/Q&gt;&lt;R&gt;1&lt;/R&gt;&lt;C&gt;1&lt;/C&gt;&lt;D xsi:type="xsd:double"&gt;9.21&lt;/D&gt;&lt;/FQL&gt;&lt;FQL&gt;&lt;Q&gt;Ticker0024^FE_ESTIMATE(EPS,MEAN,QUARTERLY_ROLL,2022/4F,45813,,,'')&lt;/Q&gt;&lt;R&gt;1&lt;/R&gt;&lt;C&gt;1&lt;/C&gt;&lt;D xsi:type="xsd:double"&gt;2.23&lt;/D&gt;&lt;/FQL&gt;&lt;FQL&gt;&lt;Q&gt;Ticker0024^FE_ESTIMATE(EPS,MEAN,QUARTERLY_ROLL,2022/3F,45813,,,'')&lt;/Q&gt;&lt;R&gt;1&lt;/R&gt;&lt;C&gt;1&lt;/C&gt;&lt;D xsi:type="xsd:double"&gt;2.22&lt;/D&gt;&lt;/FQL&gt;&lt;FQL&gt;&lt;Q&gt;Ticker0024^FE_ESTIMATE(EPS,MEAN,QUARTERLY_ROLL,2022/2F,45813,,,'')&lt;/Q&gt;&lt;R&gt;1&lt;/R&gt;&lt;C&gt;1&lt;/C&gt;&lt;D xsi:type="xsd:double"&gt;2.48&lt;/D&gt;&lt;/FQL&gt;&lt;FQL&gt;&lt;Q&gt;Ticker0024^FE_ESTIMATE(EPS,MEAN,QUARTERLY_ROLL,2022/1F,45813,,,'')&lt;/Q&gt;&lt;R&gt;1&lt;/R&gt;&lt;C&gt;1&lt;/C&gt;&lt;D xsi:type="xsd:double"&gt;2.27&lt;/D&gt;&lt;/FQL&gt;&lt;FQL&gt;&lt;Q&gt;Ticker0024^FE_ESTIMATE(EPS,MEAN,ANNUAL_ROLL,2021,45813,,,'')&lt;/Q&gt;&lt;R&gt;1&lt;/R&gt;&lt;C&gt;1&lt;/C&gt;&lt;D xsi:type="xsd:double"&gt;7.97&lt;/D&gt;&lt;/FQL&gt;&lt;FQL&gt;&lt;Q&gt;Ticker0024^FE_ESTIMATE(EPS,MEAN,QUARTERLY_ROLL,2021/4F,45813,,,'')&lt;/Q&gt;&lt;R&gt;1&lt;/R&gt;&lt;C&gt;1&lt;/C&gt;&lt;D xsi:type="xsd:double"&gt;2.17&lt;/D&gt;&lt;/FQL&gt;&lt;FQL&gt;&lt;Q&gt;Ticker0024^FE_ESTIMATE(EPS,MEAN,QUARTERLY_ROLL,2021/3F,45813,,,'')&lt;/Q&gt;&lt;R&gt;1&lt;/R&gt;&lt;C&gt;1&lt;/C&gt;&lt;D xsi:type="xsd:double"&gt;1.95&lt;/D&gt;&lt;/FQL&gt;&lt;FQL&gt;&lt;Q&gt;Ticker0024^FE_ESTIMATE(EPS,MEAN,QUARTERLY_ROLL,2021/2F,45813,,,'')&lt;/Q&gt;&lt;R&gt;1&lt;/R&gt;&lt;C&gt;1&lt;/C&gt;&lt;D xsi:type="xsd:double"&gt;2.03&lt;/D&gt;&lt;/FQL&gt;&lt;FQL&gt;&lt;Q&gt;Ticker0024^FE_ESTIMATE(EPS,MEAN,QUARTERLY_ROLL,2021/1F,45813,,,'')&lt;/Q&gt;&lt;R&gt;1&lt;/R&gt;&lt;C&gt;1&lt;/C&gt;&lt;D xsi:type="xsd:double"&gt;1.82&lt;/D&gt;&lt;/FQL&gt;&lt;FQL&gt;&lt;Q&gt;Ticker0024^FE_ESTIMATE(EPS,MEAN,ANNUAL_ROLL,2020,45813,,,'')&lt;/Q&gt;&lt;R&gt;1&lt;/R&gt;&lt;C&gt;1&lt;/C&gt;&lt;D xsi:type="xsd:double"&gt;5.76&lt;/D&gt;&lt;/FQL&gt;&lt;FQL&gt;&lt;Q&gt;Ticker0024^FE_ESTIMATE(EPS,MEAN,QUARTERLY_ROLL,2020/4F,45813,,,'')&lt;/Q&gt;&lt;R&gt;1&lt;/R&gt;&lt;C&gt;1&lt;/C&gt;&lt;D xsi:type="xsd:double"&gt;1.46&lt;/D&gt;&lt;/FQL&gt;&lt;FQL&gt;&lt;Q&gt;Ticker0024^FE_ESTIMATE(EPS,MEAN,QUARTERLY_ROLL,2020/3F,45813,,,'')&lt;/Q&gt;&lt;R&gt;1&lt;/R&gt;&lt;C&gt;1&lt;/C&gt;&lt;D xsi:type="xsd:double"&gt;1.4&lt;/D&gt;&lt;/FQL&gt;&lt;FQL&gt;&lt;Q&gt;Ticker0024^FE_ESTIMATE(EPS,MEAN,QUARTERLY_ROLL,2020/2F,45813,,,'')&lt;/Q&gt;&lt;R&gt;1&lt;/R&gt;&lt;C&gt;1&lt;/C&gt;&lt;D xsi:type="xsd:double"&gt;1.51&lt;/D&gt;&lt;/FQL&gt;&lt;FQL&gt;&lt;Q&gt;Ticker0024^FE_ESTIMATE(EPS,MEAN,QUARTERLY_ROLL,2020/1F,45813,,,'')&lt;/Q&gt;&lt;R&gt;1&lt;/R&gt;&lt;C&gt;1&lt;/C&gt;&lt;D xsi:type="xsd:double"&gt;1.38&lt;/D&gt;&lt;/FQL&gt;&lt;FQL&gt;&lt;Q&gt;Ticker0024^FE_ESTIMATE(EPS,MEAN,ANNUAL_ROLL,2019,45813,,,'')&lt;/Q&gt;&lt;R&gt;1&lt;/R&gt;&lt;C&gt;1&lt;/C&gt;&lt;D xsi:type="xsd:double"&gt;4.75&lt;/D&gt;&lt;/FQL&gt;&lt;FQL&gt;&lt;Q&gt;Ticker0024^FE_ESTIMATE(EPS,MEAN,QUARTERLY_ROLL,2019/4F,45813,,,'')&lt;/Q&gt;&lt;R&gt;1&lt;/R&gt;&lt;C&gt;1&lt;/C&gt;&lt;D xsi:type="xsd:double"&gt;1.37&lt;/D&gt;&lt;/FQL&gt;&lt;FQL&gt;&lt;Q&gt;Ticker0024^FE_ESTIMATE(EPS,MEAN,QUARTERLY_ROLL,2019/3F,45813,,,'')&lt;/Q&gt;&lt;R&gt;1&lt;/R&gt;&lt;C&gt;1&lt;/C&gt;&lt;D xsi:type="xsd:double"&gt;1.14&lt;/D&gt;&lt;/FQL&gt;&lt;FQL&gt;&lt;Q&gt;Ticker0024^FE_ESTIMATE(EPS,MEAN,QUARTERLY_ROLL,2019/2F,45813,,,'')&lt;/Q&gt;&lt;R&gt;1&lt;/R&gt;&lt;C&gt;1&lt;/C&gt;&lt;D xsi:type="xsd:double"&gt;1.1&lt;/D&gt;&lt;/FQL&gt;&lt;FQL&gt;&lt;Q&gt;Ticker0024^FE_ESTIMATE(EPS,MEAN,QUARTERLY_ROLL,2019/1F,45813,,,'')&lt;/Q&gt;&lt;R&gt;1&lt;/R&gt;&lt;C&gt;1&lt;/C&gt;&lt;D xsi:type="xsd:double"&gt;1.14&lt;/D&gt;&lt;/FQL&gt;&lt;FQL&gt;&lt;Q&gt;Ticker0024^FE_ESTIMATE(EPS,MEAN,ANNUAL_ROLL,2018,45813,,,'')&lt;/Q&gt;&lt;R&gt;1&lt;/R&gt;&lt;C&gt;1&lt;/C&gt;&lt;D xsi:type="xsd:double"&gt;3.88&lt;/D&gt;&lt;/FQL&gt;&lt;FQL&gt;&lt;Q&gt;Ticker0024^FE_ESTIMATE(EPS,MEAN,QUARTERLY_ROLL,2018/4F,45813,,,'')&lt;/Q&gt;&lt;R&gt;1&lt;/R&gt;&lt;C&gt;1&lt;/C&gt;&lt;D xsi:type="xsd:double"&gt;1.13&lt;/D&gt;&lt;/FQL&gt;&lt;FQL&gt;&lt;Q&gt;Ticker0024^FE_ESTIMATE(EPS,MEAN,QUARTERLY_ROLL,2018/3F,45813,,,'')&lt;/Q&gt;&lt;R&gt;1&lt;/R&gt;&lt;C&gt;1&lt;/C&gt;&lt;D xsi:type="xsd:double"&gt;0.95&lt;/D&gt;&lt;/FQL&gt;&lt;FQL&gt;&lt;Q&gt;Ticker0024^FE_ESTIMATE(EPS,MEAN,QUARTERLY_ROLL,2018/2F,45813,,,'')&lt;/Q&gt;&lt;R&gt;1&lt;/R&gt;&lt;C&gt;1&lt;/C&gt;&lt;D xsi:type="xsd:double"&gt;0.96&lt;/D&gt;&lt;/FQL&gt;&lt;FQL&gt;&lt;Q&gt;Ticker0024^FE_ESTIMATE(EPS,MEAN,QUARTERLY_ROLL,2018/1F,45813,,,'')&lt;/Q&gt;&lt;R&gt;1&lt;/R&gt;&lt;C&gt;1&lt;/C&gt;&lt;D xsi:type="xsd:double"&gt;0.84&lt;/D&gt;&lt;/FQL&gt;&lt;FQL&gt;&lt;Q&gt;Ticker0024^FE_ESTIMATE(EPS,MEAN,ANNUAL_ROLL,2017,45813,,,'')&lt;/Q&gt;&lt;R&gt;1&lt;/R&gt;&lt;C&gt;1&lt;/C&gt;&lt;D xsi:type="xsd:double"&gt;3.31&lt;/D&gt;&lt;/FQL&gt;&lt;FQL&gt;&lt;Q&gt;Ticker0024^FE_ESTIMATE(EPS,MEAN,QUARTERLY_ROLL,2017/4F,45813,,,'')&lt;/Q&gt;&lt;R&gt;1&lt;/R&gt;&lt;C&gt;1&lt;/C&gt;&lt;D xsi:type="xsd:double"&gt;0.98&lt;/D&gt;&lt;/FQL&gt;&lt;FQL&gt;&lt;Q&gt;Ticker0024^FE_ESTIMATE(EPS,MEAN,QUARTERLY_ROLL,2017/3F,45813,,,'')&lt;/Q&gt;&lt;R&gt;1&lt;/R&gt;&lt;C&gt;1&lt;/C&gt;&lt;D xsi:type="xsd:double"&gt;0.73&lt;/D&gt;&lt;/FQL&gt;&lt;FQL&gt;&lt;Q&gt;Ticker0024^FE_ESTIMATE(EPS,MEAN,QUARTERLY_ROLL,2017/2F,45813,,,'')&lt;/Q&gt;&lt;R&gt;1&lt;/R&gt;&lt;C&gt;1&lt;/C&gt;&lt;D xsi:type="xsd:double"&gt;0.83&lt;/D&gt;&lt;/FQL&gt;&lt;FQL&gt;&lt;Q&gt;Ticker0024^FE_ESTIMATE(EPS,MEAN,QUARTERLY_ROLL,2017/1F,45813,,,'')&lt;/Q&gt;&lt;R&gt;1&lt;/R&gt;&lt;C&gt;1&lt;/C&gt;&lt;D xsi:type="xsd:double"&gt;0.76&lt;/D&gt;&lt;/FQL&gt;&lt;FQL&gt;&lt;Q&gt;Ticker0024^FE_ESTIMATE(EPS,MEAN,ANNUAL_ROLL,2016,45813,,,'')&lt;/Q&gt;&lt;R&gt;1&lt;/R&gt;&lt;C&gt;1&lt;/C&gt;&lt;D xsi:type="xsd:double"&gt;2.79&lt;/D&gt;&lt;/FQL&gt;&lt;FQL&gt;&lt;Q&gt;Ticker0024^FE_ESTIMATE(EPS,MEAN,QUARTERLY_ROLL,2016/4F,45813,,,'')&lt;/Q&gt;&lt;R&gt;1&lt;/R&gt;&lt;C&gt;1&lt;/C&gt;&lt;D xsi:type="xsd:double"&gt;0.69&lt;/D&gt;&lt;/FQL&gt;&lt;FQL&gt;&lt;Q&gt;Ticker0024^FE_ESTIMATE(EPS,MEAN,QUARTERLY_ROLL,2016/3F,45813,,,'')&lt;/Q&gt;&lt;R&gt;1&lt;/R&gt;&lt;C&gt;1&lt;/C&gt;&lt;D xsi:type="xsd:double"&gt;0.62&lt;/D&gt;&lt;/FQL&gt;&lt;FQL&gt;&lt;Q&gt;Ticker0024^FE_ESTIMATE(EPS,MEAN,QUARTERLY_ROLL,2016/2F,45813,,,'')&lt;/Q&gt;&lt;R&gt;1&lt;/R&gt;&lt;C&gt;1&lt;/C&gt;&lt;D xsi:type="xsd:double"&gt;0.78&lt;/D&gt;&lt;/FQL&gt;&lt;FQL&gt;&lt;Q&gt;Ticker0024^FE_ESTIMATE(EPS,MEAN,QUARTERLY_ROLL,2016/1F,45813,,,'')&lt;/Q&gt;&lt;R&gt;1&lt;/R&gt;&lt;C&gt;1&lt;/C&gt;&lt;D xsi:type="xsd:double"&gt;0.67&lt;/D&gt;&lt;/FQL&gt;&lt;FQL&gt;&lt;Q&gt;Ticker0024^FE_ESTIMATE(EPS,MEAN,ANNUAL_ROLL,2015,45813,,,'')&lt;/Q&gt;&lt;R&gt;1&lt;/R&gt;&lt;C&gt;1&lt;/C&gt;&lt;D xsi:type="xsd:double"&gt;2.63&lt;/D&gt;&lt;/FQL&gt;&lt;FQL&gt;&lt;Q&gt;Ticker0024^FE_ESTIMATE(EPS,MEAN,QUARTERLY_ROLL,2015/4F,45813,,,'')&lt;/Q&gt;&lt;R&gt;1&lt;/R&gt;&lt;C&gt;1&lt;/C&gt;&lt;D xsi:type="xsd:double"&gt;0.62&lt;/D&gt;&lt;/FQL&gt;&lt;FQL&gt;&lt;Q&gt;Ticker0024^FE_ESTIMATE(EPS,MEAN,QUARTERLY_ROLL,2015/3F,45813,,,'')&lt;/Q&gt;&lt;R&gt;1&lt;/R&gt;&lt;C&gt;1&lt;/C&gt;&lt;D xsi:type="xsd:double"&gt;0.61&lt;/D&gt;&lt;/FQL&gt;&lt;FQL&gt;&lt;Q&gt;Ticker0024^FE_ESTIMATE(EPS,MEAN,QUARTERLY_ROLL,2015/2F,45813,,,'')&lt;/Q&gt;&lt;R&gt;1&lt;/R&gt;&lt;C&gt;1&lt;/C&gt;&lt;D xsi:type="xsd:double"&gt;0.71&lt;/D&gt;&lt;/FQL&gt;&lt;FQL&gt;&lt;Q&gt;Ticker0024^FE_ESTIMATE(EPS,MEAN,QUARTERLY_ROLL,2015/1F,45813,,,'')&lt;/Q&gt;&lt;R&gt;1&lt;/R&gt;&lt;C&gt;1&lt;/C&gt;&lt;D xsi:type="xsd:double"&gt;0.54&lt;/D&gt;&lt;/FQL&gt;&lt;FQL&gt;&lt;Q&gt;Ticker0024^FE_ESTIMATE(EAG,MEAN,ANNUAL_ROLL,2030,45813,,,'')&lt;/Q&gt;&lt;R&gt;0&lt;/R&gt;&lt;C&gt;0&lt;/C&gt;&lt;/FQL&gt;&lt;FQL&gt;&lt;Q&gt;Ticker0024^FE_ESTIMATE(EAG,MEAN,QUARTERLY_ROLL,2030/4F,45813,,,'')&lt;/Q&gt;&lt;R&gt;0&lt;/R&gt;&lt;C&gt;0&lt;/C&gt;&lt;/FQL&gt;&lt;FQL&gt;&lt;Q&gt;Ticker0024^FE_ESTIMATE(EAG,MEAN,QUARTERLY_ROLL,2030/3F,45813,,,'')&lt;/Q&gt;&lt;R&gt;0&lt;/R&gt;&lt;C&gt;0&lt;/C&gt;&lt;/FQL&gt;&lt;FQL&gt;&lt;Q&gt;Ticker0024^FE_ESTIMATE(EAG,MEAN,QUARTERLY_ROLL,2030/2F,45813,,,'')&lt;/Q&gt;&lt;R&gt;0&lt;/R&gt;&lt;C&gt;0&lt;/C&gt;&lt;/FQL&gt;&lt;FQL&gt;&lt;Q&gt;Ticker0024^FE_ESTIMATE(EAG,MEAN,QUARTERLY_ROLL,2030/1F,45813,,,'')&lt;/Q&gt;&lt;R&gt;0&lt;/R&gt;&lt;C&gt;0&lt;/C&gt;&lt;/FQL&gt;&lt;FQL&gt;&lt;Q&gt;Ticker0024^FE_ESTIMATE(EAG,MEAN,ANNUAL_ROLL,2029,45813,,,'')&lt;/Q&gt;&lt;R&gt;0&lt;/R&gt;&lt;C&gt;0&lt;/C&gt;&lt;/FQL&gt;&lt;FQL&gt;&lt;Q&gt;Ticker0024^FE_ESTIMATE(EAG,MEAN,QUARTERLY_ROLL,2029/4F,45813,,,'')&lt;/Q&gt;&lt;R&gt;0&lt;/R&gt;&lt;C&gt;0&lt;/C&gt;&lt;/FQL&gt;&lt;FQL&gt;&lt;Q&gt;Ticker0024^FE_ESTIMATE(EAG,MEAN,QUARTERLY_ROLL,2029/3F,45813,,,'')&lt;/Q&gt;&lt;R&gt;0&lt;/R&gt;&lt;C&gt;0&lt;/C&gt;&lt;/FQL&gt;&lt;FQL&gt;&lt;Q&gt;Ticker0024^FE_ESTIMATE(EAG,MEAN,QUARTERLY_ROLL,2029/2F,45813,,,'')&lt;/Q&gt;&lt;R&gt;0&lt;/R&gt;&lt;C&gt;0&lt;/C&gt;&lt;/FQL&gt;&lt;FQL&gt;&lt;Q&gt;Ticker0024^FE_ESTIMATE(EAG,MEAN,QUARTERLY_ROLL,2029/1F,45813,,,'')&lt;/Q&gt;&lt;R&gt;0&lt;/R&gt;&lt;C&gt;0&lt;/C&gt;&lt;/FQL&gt;&lt;FQL&gt;&lt;Q&gt;Ticker0024^FE_ESTIMATE(EAG,MEAN,ANNUAL_ROLL,2028,45813,,,'')&lt;/Q&gt;&lt;R&gt;1&lt;/R&gt;&lt;C&gt;1&lt;/C&gt;&lt;D xsi:type="xsd:double"&gt;21.262249&lt;/D&gt;&lt;/FQL&gt;&lt;FQL&gt;&lt;Q&gt;Ticker0024^FE_ESTIMATE(EAG,MEAN,QUARTERLY_ROLL,2028/4F,45813,,,'')&lt;/Q&gt;&lt;R&gt;0&lt;/R&gt;&lt;C&gt;0&lt;/C&gt;&lt;/FQL&gt;&lt;FQL&gt;&lt;Q&gt;Ticker0024^FE_ESTIMATE(EAG,MEAN,QUARTERLY_ROLL,2028/3F,45813,,,'')&lt;/Q&gt;&lt;R&gt;0&lt;/R&gt;&lt;C&gt;0&lt;/C&gt;&lt;/FQL&gt;&lt;FQL&gt;&lt;Q&gt;Ticker0024^FE_ESTIMATE(EAG,MEAN,QUARTERLY_ROLL,2028/2F,45813,,,'')&lt;/Q&gt;&lt;R&gt;0&lt;/R&gt;&lt;C&gt;0&lt;/C&gt;&lt;/FQL&gt;&lt;FQL&gt;&lt;Q&gt;Ticker0024^FE_ESTIMATE(EAG,MEAN,QUARTERLY_ROLL,2028/1F,45813,,,'')&lt;/Q&gt;&lt;R&gt;0&lt;/R&gt;&lt;C&gt;0&lt;/C&gt;&lt;/FQL&gt;&lt;FQL&gt;&lt;Q&gt;Ticker0024^FE_ESTIMATE(EAG,MEAN,ANNUAL_ROLL,2027,45813,,,'')&lt;/Q&gt;&lt;R&gt;1&lt;/R&gt;&lt;C&gt;1&lt;/C&gt;&lt;D xsi:type="xsd:double"&gt;17.712902&lt;/D&gt;&lt;/FQL&gt;&lt;FQL&gt;&lt;Q&gt;Ticker0024^FE_ESTIMATE(EAG,MEAN,QUARTERLY_ROLL,2027/4F,45813,,,'')&lt;/Q&gt;&lt;R&gt;1&lt;/R&gt;&lt;C&gt;1&lt;/C&gt;&lt;D xsi:type="xsd:double"&gt;4.484913&lt;/D&gt;&lt;/FQL&gt;&lt;FQL&gt;&lt;Q&gt;Ticker0024^FE_ESTIMATE(EAG,MEAN,QUARTERLY_ROLL,2027/3F,45813,,,'')&lt;/Q&gt;&lt;R&gt;1&lt;/R&gt;&lt;C&gt;1&lt;/C&gt;&lt;D xsi:type="xsd:double"&gt;4.381194&lt;/D&gt;&lt;/FQL&gt;&lt;FQL&gt;&lt;Q&gt;Ticker0024^FE_ESTIMATE(EAG,MEAN,QUARTERLY_ROLL,2027/2F,45813,,,'')&lt;/Q&gt;&lt;R&gt;1&lt;/R&gt;&lt;C&gt;1&lt;/C&gt;&lt;D xsi:type="xsd:double"&gt;4.3069434&lt;/D&gt;&lt;/FQL&gt;&lt;FQL&gt;&lt;Q&gt;Ticker0024^FE_ESTIMATE(EAG,MEAN,QUARTERLY_ROLL,2027/1F,45813,,,'')&lt;/Q&gt;&lt;R&gt;1&lt;/R&gt;&lt;C&gt;1&lt;/C&gt;&lt;D xsi:type="xsd:double"&gt;4.112713&lt;/D&gt;&lt;/FQL&gt;&lt;FQL&gt;&lt;Q&gt;Ticker0024^FE_ESTIMATE(EAG,MEAN,ANNUAL_ROLL,2026,45813,,,'')&lt;/Q&gt;&lt;R&gt;1&lt;/R&gt;&lt;C&gt;1&lt;/C&gt;&lt;D xsi:type="xsd:double"&gt;15.204544&lt;/D&gt;&lt;/FQL&gt;&lt;FQL&gt;&lt;Q&gt;Ticker0024^FE_ESTIMATE(EAG,MEAN,QUARTERLY_ROLL,2026/4F,45813,,,'')&lt;/Q&gt;&lt;R&gt;1&lt;/R&gt;&lt;C&gt;1&lt;/C&gt;&lt;D xsi:type="xsd:double"&gt;3.8960261&lt;/D&gt;&lt;/FQL&gt;&lt;FQL&gt;&lt;Q&gt;Ticker0024^FE_ESTIMATE(EAG,MEAN,QUARTERLY_ROLL,2026/3F,45813,,,'')&lt;/Q&gt;&lt;R&gt;1&lt;/R&gt;&lt;C&gt;1&lt;/C&gt;&lt;D xsi:type="xsd:double"&gt;3.8009953&lt;/D&gt;&lt;/FQL&gt;&lt;FQL&gt;&lt;Q&gt;Ticker0024^FE_ESTIMATE(EAG,MEAN,QUARTERLY_ROLL,2026/2F,45813,,,'')&lt;/Q&gt;&lt;R&gt;1&lt;/R&gt;&lt;C&gt;1&lt;/C&gt;&lt;D xsi:type="xsd:double"&gt;3.75945&lt;/D&gt;&lt;/FQL&gt;&lt;FQL&gt;&lt;Q&gt;Ticker0024^FE_ESTIMATE(EAG,MEAN,QUARTERLY_ROLL,2026/1F,45813,,,'')&lt;/Q&gt;&lt;R&gt;1&lt;/R&gt;&lt;C&gt;1&lt;/C&gt;&lt;D xsi:type="xsd:double"&gt;3.5385313&lt;/D&gt;&lt;/FQL&gt;&lt;FQL&gt;&lt;Q&gt;Ticker0024^FE_ESTIMATE(EAG,MEAN,ANNUAL_ROLL,2025,45813,,,'')&lt;/Q&gt;&lt;R&gt;1&lt;/R&gt;&lt;C&gt;1&lt;/C&gt;&lt;D xsi:type="xsd:double"&gt;13.3756275&lt;/D&gt;&lt;/FQL&gt;&lt;FQL&gt;&lt;Q&gt;Ticker0024^FE_ESTIMATE(EAG,MEAN,QUARTERLY_ROLL,2025/4F,45813,,,'')&lt;/Q&gt;&lt;R&gt;1&lt;/R&gt;&lt;C&gt;1&lt;/C&gt;&lt;D xsi:type="xsd:double"&gt;3.3700273&lt;/D&gt;&lt;/FQL&gt;&lt;FQL&gt;&lt;Q&gt;Ticker0024^FE_ESTIMATE(EAG,MEAN,QUARTERLY_ROLL,2025/3F,45813,,,'')&lt;/Q&gt;&lt;R&gt;1&lt;/R&gt;&lt;C&gt;1&lt;/C&gt;&lt;D xsi:type="xsd:double"&gt;3.46&lt;/D&gt;&lt;/FQL&gt;&lt;FQL&gt;&lt;Q&gt;Ticker0024^FE_ESTIMATE(EAG,MEAN,QUARTERLY_ROLL,2025/2F,45813,,,'')&lt;/Q&gt;&lt;R&gt;1&lt;/R&gt;&lt;C&gt;1&lt;/C&gt;&lt;D xsi:type="xsd:double"&gt;3.23&lt;/D&gt;&lt;/FQL&gt;&lt;FQL&gt;&lt;Q&gt;Ticker0024^FE_ESTIMATE(EAG,MEAN,QUARTERLY_ROLL,2025/1F,45813,,,'')&lt;/Q&gt;&lt;R&gt;1&lt;/R&gt;&lt;C&gt;1&lt;/C&gt;&lt;D xsi:type="xsd:double"&gt;3.3&lt;/D&gt;&lt;/FQL&gt;&lt;FQL&gt;&lt;Q&gt;Ticker0024^FE_ESTIMATE(EAG,MEAN,ANNUAL_ROLL,2024,45813,,,'')&lt;/Q&gt;&lt;R&gt;1&lt;/R&gt;&lt;C&gt;1&lt;/C&gt;&lt;D xsi:type="xsd:double"&gt;11.8&lt;/D&gt;&lt;/FQL&gt;&lt;FQL&gt;&lt;Q&gt;Ticker0024^FE_ESTIMATE(EAG,MEAN,QUARTERLY_ROLL,2024/4F,45813,,,'')&lt;/Q&gt;&lt;R&gt;1&lt;/R&gt;&lt;C&gt;1&lt;/C&gt;&lt;D xsi:type="xsd:double"&gt;2.95&lt;/D&gt;&lt;/FQL&gt;&lt;FQL&gt;&lt;Q&gt;Ticker0024^FE_ESTIMATE(EAG,MEAN,QUARTERLY_ROLL,2024/3F,45813,,,'')&lt;/Q&gt;&lt;R&gt;1&lt;/R&gt;&lt;C&gt;1&lt;/C&gt;&lt;D xsi:type="xsd:double"&gt;2.94&lt;/D&gt;&lt;/FQL&gt;&lt;FQL&gt;&lt;Q&gt;Ticker0024^FE_ESTIMATE(EAG,MEAN,QUARTERLY_ROLL,2024/2F,45813,,,'')&lt;/Q&gt;&lt;R&gt;1&lt;/R&gt;&lt;C&gt;1&lt;/C&gt;&lt;D xsi:type="xsd:double"&gt;2.93&lt;/D&gt;&lt;/FQL&gt;&lt;FQL&gt;&lt;Q&gt;Ticker0024^FE_ESTIMATE(EAG,MEAN,QUARTERLY_ROLL,2024/1F,45813,,,'')&lt;/Q&gt;&lt;R&gt;1&lt;/R&gt;&lt;C&gt;1&lt;/C&gt;&lt;D xsi:type="xsd:double"&gt;2.99&lt;/D&gt;&lt;/FQL&gt;&lt;FQL&gt;&lt;Q&gt;Ticker0024^FE_ESTIMATE(EAG,MEAN,ANNUAL_ROLL,2023,45813,,,'')&lt;/Q&gt;&lt;R&gt;1&lt;/R&gt;&lt;C&gt;1&lt;/C&gt;&lt;D xsi:type="xsd:double"&gt;9.68&lt;/D&gt;&lt;/FQL&gt;&lt;FQL&gt;&lt;Q&gt;Ticker0024^FE_ESTIMATE(EAG,MEAN,QUARTERLY_ROLL,2023/4F,45813,,,'')&lt;/Q&gt;&lt;R&gt;1&lt;/R&gt;&lt;C&gt;1&lt;/C&gt;&lt;D xsi:type="xsd:double"&gt;2.69&lt;/D&gt;&lt;/FQL&gt;&lt;FQL&gt;&lt;Q&gt;Ticker0024^FE_ESTIMATE(EAG,MEAN,QUARTERLY_ROLL,2023/3F,45813,,,'')&lt;/Q&gt;&lt;R&gt;1&lt;/R&gt;&lt;C&gt;1&lt;/C&gt;&lt;D xsi:type="xsd:double"&gt;2.4501362&lt;/D&gt;&lt;/FQL&gt;&lt;FQL&gt;&lt;Q&gt;Ticker0024^FE_ESTIMATE(EAG,MEAN,QUARTERLY_ROLL,2023/2F,45813,,,'')&lt;/Q&gt;&lt;R&gt;1&lt;/R&gt;&lt;C&gt;1&lt;/C&gt;&lt;D xsi:type="xsd:double"&gt;2.2&lt;/D&gt;&lt;/FQL&gt;&lt;FQL&gt;&lt;Q&gt;Ticker0024^FE_ESTIMATE(EAG,MEAN,QUARTERLY_ROLL,2023/1F,45813,,,'')&lt;/Q&gt;&lt;R&gt;1&lt;/R&gt;&lt;C&gt;1&lt;/C&gt;&lt;D xsi:type="xsd:double"&gt;2.35&lt;/D&gt;&lt;/FQL&gt;&lt;FQL&gt;&lt;Q&gt;Ticker0024^FE_ESTIMATE(EAG,MEAN,ANNUAL_ROLL,2022,45813,,,'')&lt;/Q&gt;&lt;R&gt;1&lt;/R&gt;&lt;C&gt;1&lt;/C&gt;&lt;D xsi:type="xsd:double"&gt;9.65&lt;/D&gt;&lt;/FQL&gt;&lt;FQL&gt;&lt;Q&gt;Ticker0024^FE_ESTIMATE(EAG,MEAN,QUARTERLY_ROLL,2022/4F,45813,,,'')&lt;/Q&gt;&lt;R&gt;1&lt;/R&gt;&lt;C&gt;1&lt;/C&gt;&lt;D xsi:type="xsd:double"&gt;2.23&lt;/D&gt;&lt;/FQL&gt;&lt;FQL&gt;&lt;Q&gt;Ticker0024^FE_ESTIMATE(EAG,MEAN,QUARTERLY_ROLL,2022/3F,45813,,,'')&lt;/Q&gt;&lt;R&gt;1&lt;/R&gt;&lt;C&gt;1&lt;/C&gt;&lt;D xsi:type="xsd:double"&gt;2.22&lt;/D&gt;&lt;/FQL&gt;&lt;FQL&gt;&lt;Q&gt;Ticker0024^FE_ESTIMATE(EAG,MEAN,QUARTERLY_ROLL,2022/2F,45813,,,'')&lt;/Q&gt;&lt;R&gt;1&lt;/R&gt;&lt;C&gt;1&lt;/C&gt;&lt;D xsi:type="xsd:double"&gt;2.48&lt;/D&gt;&lt;/FQL&gt;&lt;FQL&gt;&lt;Q&gt;Ticker0024^FE_ESTIMATE(EAG,MEAN,QUARTERLY_ROLL,2022/1F,45813,,,'')&lt;/Q&gt;&lt;R&gt;1&lt;/R&gt;&lt;C&gt;1&lt;/C&gt;&lt;D xsi:type="xsd:double"&gt;2.71&lt;/D&gt;&lt;/FQL&gt;&lt;FQL&gt;&lt;Q&gt;Ticker0024^FE_ESTIMATE(EAG,MEAN,ANNUAL_ROLL,2021,45813,,,'')&lt;/Q&gt;&lt;R&gt;1&lt;/R&gt;&lt;C&gt;1&lt;/C&gt;&lt;D xsi:type="xsd:double"&gt;8.05&lt;/D&gt;&lt;/FQL&gt;&lt;FQL&gt;&lt;Q&gt;Ticker0024^FE_ESTIMATE(EAG,MEAN,QUARTERLY_ROLL,2021/4F,45813,,,'')&lt;/Q&gt;&lt;R&gt;1&lt;/R&gt;&lt;C&gt;1&lt;/C&gt;&lt;D xsi:type="xsd:double"&gt;2.17&lt;/D&gt;&lt;/FQL&gt;&lt;FQL&gt;&lt;Q&gt;Ticker0024^FE_ESTIMATE(EAG,MEAN,QUARTERLY_ROLL,2021/3F,45813,,,'')&lt;/Q&gt;&lt;R&gt;1&lt;/R&gt;&lt;C&gt;1&lt;/C&gt;&lt;D xsi:type="xsd:double"&gt;2.03&lt;/D&gt;&lt;/FQL&gt;&lt;FQL&gt;&lt;Q&gt;Ticker0024^FE_ESTIMATE(EAG,MEAN,QUARTERLY_ROLL,2021/2F,45813,,,'')&lt;/Q&gt;&lt;R&gt;1&lt;/R&gt;&lt;C&gt;1&lt;/C&gt;&lt;D xsi:type="xsd:double"&gt;2.03&lt;/D&gt;&lt;/FQL&gt;&lt;FQL&gt;&lt;Q&gt;Ticker0024^FE_ESTIMATE(EAG,MEAN,QUARTERLY_ROLL,2021/1F,45813,,,'')&lt;/Q&gt;&lt;R&gt;1&lt;/R&gt;&lt;C&gt;1&lt;/C&gt;&lt;D xsi:type="xsd:double"&gt;1.82&lt;/D&gt;&lt;/FQL&gt;&lt;FQL&gt;&lt;Q&gt;Ticker0024^FE_ESTIMATE(EAG,MEAN,ANNUAL_ROLL,2020,45813,,,'')&lt;/Q&gt;&lt;R&gt;1&lt;/R&gt;&lt;C&gt;1&lt;/C&gt;&lt;D xsi:type="xsd:double"&gt;5.76&lt;/D&gt;&lt;/FQL&gt;&lt;FQL&gt;&lt;Q&gt;Ticker0024^FE_ESTIMATE(EAG,MEAN,QUARTERLY_ROLL,2020/4F,45813,,,'')&lt;/Q&gt;&lt;R&gt;1&lt;/R&gt;&lt;C&gt;1&lt;/C&gt;&lt;D xsi:type="xsd:double"&gt;1.46&lt;/D&gt;&lt;/FQL&gt;&lt;FQL&gt;&lt;Q&gt;Ticker0024^FE_ESTIMATE(EAG,MEAN,QUARTERLY_ROLL,2020/3F,45813,,,'')&lt;/Q&gt;&lt;R&gt;1&lt;/R&gt;&lt;C&gt;1&lt;/C&gt;&lt;D xsi:type="xsd:double"&gt;1.4&lt;/D&gt;&lt;/FQL&gt;&lt;FQL&gt;&lt;Q&gt;Ticker0024^FE_ESTIMATE(EAG,MEAN,QUARTERLY_ROLL,2020/2F,45813,,,'')&lt;/Q&gt;&lt;R&gt;1&lt;/R&gt;&lt;C&gt;1&lt;/C&gt;&lt;D xsi:type="xsd:double"&gt;1.51&lt;/D&gt;&lt;/FQL&gt;&lt;FQL&gt;&lt;Q&gt;Ticker0024^FE_ESTIMATE(EAG,MEAN,QUARTERLY_ROLL,2020/1F,45813,,,'')&lt;/Q&gt;&lt;R&gt;1&lt;/R&gt;&lt;C&gt;1&lt;/C&gt;&lt;D xsi:type="xsd:double"&gt;1.38&lt;/D&gt;&lt;/FQL&gt;&lt;FQL&gt;&lt;Q&gt;Ticker0024^FE_ESTIMATE(EAG,MEAN,ANNUAL_ROLL,2019,45813,,,'')&lt;/Q&gt;&lt;R&gt;1&lt;/R&gt;&lt;C&gt;1&lt;/C&gt;&lt;D xsi:type="xsd:double"&gt;5.06&lt;/D&gt;&lt;/FQL&gt;&lt;FQL&gt;&lt;Q&gt;Ticker0024^FE_ESTIMATE(EAG,MEAN,QUARTERLY_ROLL,2019/4F,45813,,,'')&lt;/Q&gt;&lt;R&gt;1&lt;/R&gt;&lt;C&gt;1&lt;/C&gt;&lt;D xsi:type="xsd:double"&gt;1.71&lt;/D&gt;&lt;/FQL&gt;&lt;FQL&gt;&lt;Q&gt;Ticker0024^FE_ESTIMATE(EAG,MEAN,QUARTERLY_ROLL,2019/3F,45813,,,'')&lt;/Q&gt;&lt;R&gt;1&lt;/R&gt;&lt;C&gt;1&lt;/C&gt;&lt;D xsi:type="xsd:double"&gt;1.14&lt;/D&gt;&lt;/FQL&gt;&lt;FQL&gt;&lt;Q&gt;Ticker0024^FE_ESTIMATE(EAG,MEAN,QUARTERLY_ROLL,2019/2F,45813,,,'')&lt;/Q&gt;&lt;R&gt;1&lt;/R&gt;&lt;C&gt;1&lt;/C&gt;&lt;D xsi:type="xsd:double"&gt;1.08&lt;/D&gt;&lt;/FQL&gt;&lt;FQL&gt;&lt;Q&gt;Ticker0024^FE_ESTIMATE(EAG,MEAN,QUARTERLY_ROLL,2019/1F,45813,,,'')&lt;/Q&gt;&lt;R&gt;1&lt;/R&gt;&lt;C&gt;1&lt;/C&gt;&lt;D xsi:type="xsd:double"&gt;1.14&lt;/D&gt;&lt;/FQL&gt;&lt;FQL&gt;&lt;Q&gt;Ticker0024^FE_ESTIMATE(EAG,MEAN,ANNUAL_ROLL,2018,45813,,,'')&lt;/Q&gt;&lt;R&gt;1&lt;/R&gt;&lt;C&gt;1&lt;/C&gt;&lt;D xsi:type="xsd:double"&gt;2.13&lt;/D&gt;&lt;/FQL&gt;&lt;FQL&gt;&lt;Q&gt;Ticker0024^FE_ESTIMATE(EAG,MEAN,QUARTERLY_ROLL,2018/4F,45813,,,'')&lt;/Q&gt;&lt;R&gt;1&lt;/R&gt;&lt;C&gt;1&lt;/C&gt;&lt;D xsi:type="xsd:double"&gt;1.14&lt;/D&gt;&lt;/FQL&gt;&lt;FQL&gt;&lt;Q&gt;Ticker0024^FE_ESTIMATE(EAG,MEAN,QUARTERLY_ROLL,2018/3F,45813,,,'')&lt;/Q&gt;&lt;R&gt;1&lt;/R&gt;&lt;C&gt;1&lt;/C&gt;&lt;D xsi:type="xsd:double"&gt;0.9504607&lt;/D&gt;&lt;/FQL&gt;&lt;FQL&gt;&lt;Q&gt;Ticker0024^FE_ESTIMATE(EAG,MEAN,QUARTERLY_ROLL,2018/2F,45813,,,'')&lt;/Q&gt;&lt;R&gt;1&lt;/R&gt;&lt;C&gt;1&lt;/C&gt;&lt;D xsi:type="xsd:double"&gt;-0.82&lt;/D&gt;&lt;/FQL&gt;&lt;FQL&gt;&lt;Q&gt;Ticker0024^FE_ESTIMATE(EAG,MEAN,QUARTERLY_ROLL,2018/1F,45813,,,'')&lt;/Q&gt;&lt;R&gt;1&lt;/R&gt;&lt;C&gt;1&lt;/C&gt;&lt;D xsi:type="xsd:double"&gt;0.84&lt;/D&gt;&lt;/FQL&gt;&lt;FQL&gt;&lt;Q&gt;Ticker0024^FE_ESTIMATE(EAG,MEAN,ANNUAL_ROLL,2017,45813,,,'')&lt;/Q&gt;&lt;R&gt;1&lt;/R&gt;&lt;C&gt;1&lt;/C&gt;&lt;D xsi:type="xsd:double"&gt;2.71&lt;/D&gt;&lt;/FQL&gt;&lt;FQL&gt;&lt;Q&gt;Ticker0024^FE_ESTIMATE(EAG,MEAN,QUARTERLY_ROLL,2017/4F,45813,,,'')&lt;/Q&gt;&lt;R&gt;1&lt;/R&gt;&lt;C&gt;1&lt;/C&gt;&lt;D xsi:type="xsd:double"&gt;0.83&lt;/D&gt;&lt;/FQL&gt;&lt;FQL&gt;&lt;Q&gt;Ticker0024^FE_ESTIMATE(EAG,MEAN,QUARTERLY_ROLL,2017/3F,45813,,,'')&lt;/Q&gt;&lt;R&gt;1&lt;/R&gt;&lt;C&gt;1&lt;/C&gt;&lt;D xsi:type="xsd:double"&gt;0.61&lt;/D&gt;&lt;/FQL&gt;&lt;FQL&gt;&lt;Q&gt;Ticker0024^FE_ESTIMATE(EAG,MEAN,QUARTERLY_ROLL,2017/2F,45813,,,'')&lt;/Q&gt;&lt;R&gt;1&lt;/R&gt;&lt;C&gt;1&lt;/C&gt;&lt;D xsi:type="xsd:double"&gt;0.66&lt;/D&gt;&lt;/FQL&gt;&lt;FQL&gt;&lt;Q&gt;Ticker0024^FE_ESTIMATE(EAG,MEAN,QUARTERLY_ROLL,2017/1F,45813,,,'')&lt;/Q&gt;&lt;R&gt;1&lt;/R&gt;&lt;C&gt;1&lt;/C&gt;&lt;D xsi:type="xsd:double"&gt;0.6&lt;/D&gt;&lt;/FQL&gt;&lt;FQL&gt;&lt;Q&gt;Ticker0024^FE_ESTIMATE(EAG,MEAN,ANNUAL_ROLL,2016,45813,,,'')&lt;/Q&gt;&lt;R&gt;1&lt;/R&gt;&lt;C&gt;1&lt;/C&gt;&lt;D xsi:type="xsd:double"&gt;2.1&lt;/D&gt;&lt;/FQL&gt;&lt;FQL&gt;&lt;Q&gt;Ticker0024^FE_ESTIMATE(EAG,MEAN,QUARTERLY_ROLL,2016/4F,45813,,,'')&lt;/Q&gt;&lt;R&gt;1&lt;/R&gt;&lt;C&gt;1&lt;/C&gt;&lt;D xsi:type="xsd:double"&gt;0.39&lt;/D&gt;&lt;/FQL&gt;&lt;FQL&gt;&lt;Q&gt;Ticker0024^FE_ESTIMATE(EAG,MEAN,QUARTERLY_ROLL,2016/3F,45813,,,'')&lt;/Q&gt;&lt;R&gt;1&lt;/R&gt;&lt;C&gt;1&lt;/C&gt;&lt;D xsi:type="xsd:double"&gt;0.47&lt;/D&gt;&lt;/FQL&gt;&lt;FQL&gt;&lt;Q&gt;Ticker0024^FE_ESTIMATE(EAG,MEAN,QUARTERLY_ROLL,2016/2F,45813,,,'')&lt;/Q&gt;&lt;R&gt;1&lt;/R&gt;&lt;C&gt;1&lt;/C&gt;&lt;D xsi:type="xsd:double"&gt;0.62&lt;/D&gt;&lt;/FQL&gt;&lt;FQL&gt;&lt;Q&gt;Ticker0024^FE_ESTIMATE(EAG,MEAN,QUARTERLY_ROLL,2016/1F,45813,,,'')&lt;/Q&gt;&lt;R&gt;1&lt;/R&gt;&lt;C&gt;1&lt;/C&gt;&lt;D xsi:type="xsd:double"&gt;0.57&lt;/D&gt;&lt;/FQL&gt;&lt;FQL&gt;&lt;Q&gt;Ticker0024^FE_ESTIMATE(EAG,MEAN,ANNUAL_ROLL,2015,45813,,,'')&lt;/Q&gt;&lt;R&gt;1&lt;/R&gt;&lt;C&gt;1&lt;/C&gt;&lt;D xsi:type="xsd:double"&gt;1.48&lt;/D&gt;&lt;/FQL&gt;&lt;FQL&gt;&lt;Q&gt;Ticker0024^FE_ESTIMATE(EAG,MEAN,QUARTERLY_ROLL,2015/4F,45813,,,'')&lt;/Q&gt;&lt;R&gt;1&lt;/R&gt;&lt;C&gt;1&lt;/C&gt;&lt;D xsi:type="xsd:double"&gt;-0.4&lt;/D&gt;&lt;/FQL&gt;&lt;FQL&gt;&lt;Q&gt;Ticker0024^FE_ESTIMATE(EAG,MEAN,QUARTERLY_ROLL,2015/3F,45813,,,'')&lt;/Q&gt;&lt;R&gt;1&lt;/R&gt;&lt;C&gt;1&lt;/C&gt;&lt;D xsi:type="xsd:double"&gt;0.61&lt;/D&gt;&lt;/FQL&gt;&lt;FQL&gt;&lt;Q&gt;Ticker0024^FE_ESTIMATE(EAG,MEAN,QUARTERLY_ROLL,2015/2F,45813,,,'')&lt;/Q&gt;&lt;R&gt;1&lt;/R&gt;&lt;C&gt;1&lt;/C&gt;&lt;D xsi:type="xsd:double"&gt;0.71&lt;/D&gt;&lt;/FQL&gt;&lt;FQL&gt;&lt;Q&gt;Ticker0024^FE_ESTIMATE(EAG,MEAN,QUARTERLY_ROLL,2015/1F,45813,,,'')&lt;/Q&gt;&lt;R&gt;1&lt;/R&gt;&lt;C&gt;1&lt;/C&gt;&lt;D xsi:type="xsd:double"&gt;0.54&lt;/D&gt;&lt;/FQL&gt;&lt;FQL&gt;&lt;Q&gt;Ticker0024^FE_ESTIMATE(EBIT,MEAN,ANNUAL_ROLL,2030,45813,,,'')&lt;/Q&gt;&lt;R&gt;0&lt;/R&gt;&lt;C&gt;0&lt;/C&gt;&lt;/FQL&gt;&lt;FQL&gt;&lt;Q&gt;Ticker0024^FE_ESTIMATE(EBIT,MEAN,QUARTERLY_ROLL,2030/4F,45813,,,'')&lt;/Q&gt;&lt;R&gt;0&lt;/R&gt;&lt;C&gt;0&lt;/C&gt;&lt;/FQL&gt;&lt;FQL&gt;&lt;Q&gt;Ticker0024^FE_ESTIMATE(EBIT,MEAN,QUARTERLY_ROLL,2030/3F,45813,,,'')&lt;/Q&gt;&lt;R&gt;0&lt;/R&gt;&lt;C&gt;0&lt;/C&gt;&lt;/FQL&gt;&lt;FQL&gt;&lt;Q&gt;Ticker0024^FE_ESTIMATE(EBIT,MEAN,QUARTERLY_ROLL,2030/2F,45813,,,'')&lt;/Q&gt;&lt;R&gt;0&lt;/R&gt;&lt;C&gt;0&lt;/C&gt;&lt;/FQL&gt;&lt;FQL&gt;&lt;Q&gt;Ticker0024^FE_ESTIMATE(EBIT,MEAN,QUARTERLY_ROLL,2030/1F,45813,,,'')&lt;/Q&gt;&lt;R&gt;0&lt;/R&gt;&lt;C&gt;0&lt;/C&gt;&lt;/FQL&gt;&lt;FQL&gt;&lt;Q&gt;Ticker0024^FE_ESTIMATE(EBIT,MEAN,ANNUAL_ROLL,2029,45813,,,'')&lt;/Q&gt;&lt;R&gt;1&lt;/R&gt;&lt;C&gt;1&lt;/C&gt;&lt;D xsi:type="xsd:double"&gt;220406.5&lt;/D&gt;&lt;/FQL&gt;&lt;FQL&gt;&lt;Q&gt;Ticker0024^FE_ESTIMATE(EBIT,MEAN,QUARTERLY_ROLL,2029/4F,45813,,,'')&lt;/Q&gt;&lt;R&gt;0&lt;/R&gt;&lt;C&gt;0&lt;/C&gt;&lt;/FQL&gt;&lt;FQL&gt;&lt;Q&gt;Ticker0024^FE_ESTIMATE(EBIT,MEAN,QUARTERLY_ROLL,2029/3F,45813,,,'')&lt;/Q&gt;&lt;R&gt;0&lt;/R&gt;&lt;C&gt;0&lt;/C&gt;&lt;/FQL&gt;&lt;FQL&gt;&lt;Q&gt;Ticker0024^FE_ESTIMATE(EBIT,MEAN,QUARTERLY_ROLL,2029/2F,45813,,,'')&lt;/Q&gt;&lt;R&gt;0&lt;/R&gt;&lt;C&gt;0&lt;/C&gt;&lt;/FQL&gt;&lt;FQL&gt;&lt;Q&gt;Ticker0024^FE_ESTIMATE(EBIT,MEAN,QUARTERLY_ROLL,2029/1F,45813,,,'')&lt;/Q&gt;&lt;R&gt;0&lt;/R&gt;&lt;C&gt;0&lt;/C&gt;&lt;/FQL&gt;&lt;FQL&gt;&lt;Q&gt;Ticker0024^FE_ESTIMATE(EBIT,MEAN,ANNUAL_ROLL,2028,45813,,,'')&lt;/Q&gt;&lt;R&gt;1&lt;/R&gt;&lt;C&gt;1&lt;/C&gt;&lt;D xsi:type="xsd:double"&gt;187950.84&lt;/D&gt;&lt;/FQL&gt;&lt;FQL&gt;&lt;Q&gt;Ticker0024^FE_ESTIMATE(EBIT,MEAN,QUARTERLY_ROLL,2028/4F,45813,,,'')&lt;/Q&gt;&lt;R&gt;0&lt;/R&gt;&lt;C&gt;0&lt;/C&gt;&lt;/FQL&gt;&lt;FQL&gt;&lt;Q&gt;Ticker0024^FE_ESTIMATE(EBIT,MEAN,QUARTERLY_ROLL,2028/3F,45813,,,'')&lt;/Q&gt;&lt;R&gt;0&lt;/R&gt;&lt;C&gt;0&lt;/C&gt;&lt;/FQL&gt;&lt;FQL&gt;&lt;Q&gt;Ticker0024^FE_ESTIMATE(EBIT,MEAN,QUARTERLY_ROLL,2028/2F,45813,,,'')&lt;/Q&gt;&lt;R&gt;0&lt;/R&gt;&lt;C&gt;0&lt;/C&gt;&lt;/FQL&gt;&lt;FQL&gt;&lt;Q&gt;Ticker0024^FE_ESTIMATE(EBIT,MEAN,QUARTERLY_ROLL,2028/1F,45813,,,'')&lt;/Q&gt;&lt;R&gt;0&lt;/R&gt;&lt;C&gt;0&lt;/C&gt;&lt;/FQL&gt;&lt;FQL&gt;&lt;Q&gt;Ticker0024^FE_ESTIMATE(EBIT,MEAN,ANNUAL_ROLL,2027,45813,,,'')&lt;/Q&gt;&lt;R&gt;1&lt;/R&gt;&lt;C&gt;1&lt;/C&gt;&lt;D xsi:type="xsd:double"&gt;164338.25&lt;/D&gt;&lt;/FQL&gt;&lt;FQL&gt;&lt;Q&gt;Ticker0024^FE_ESTIMATE(EBIT,MEAN,QUARTERLY_ROLL,2027/4F,45813,,,'')&lt;/Q&gt;&lt;R&gt;1&lt;/R&gt;&lt;C&gt;1&lt;/C&gt;&lt;D xsi:type="xsd:double"&gt;41315&lt;/D&gt;&lt;/FQL&gt;&lt;FQL&gt;&lt;Q&gt;Ticker0024^FE_ESTIMATE(EBIT,MEAN,QUARTERLY_ROLL,2027/3F,45813,,,'')&lt;/Q&gt;&lt;R&gt;1&lt;/R&gt;&lt;C&gt;1&lt;/C&gt;&lt;D xsi:type="xsd:double"&gt;40162.395&lt;/D&gt;&lt;/FQL&gt;&lt;FQL&gt;&lt;Q&gt;Ticker0024^FE_ESTIMATE(EBIT,MEAN,QUARTERLY_ROLL,2027/2F,45813,,,'')&lt;/Q&gt;&lt;R&gt;1&lt;/R&gt;&lt;C&gt;1&lt;/C&gt;&lt;D xsi:type="xsd:double"&gt;39946.11&lt;/D&gt;&lt;/FQL&gt;&lt;FQL&gt;&lt;Q&gt;Ticker0024^FE_ESTIMATE(EBIT,MEAN,QUARTERLY_ROLL,2027/1F,45813,,,'')&lt;/Q&gt;&lt;R&gt;1&lt;/R&gt;&lt;C&gt;1&lt;/C&gt;&lt;D xsi:type="xsd:double"&gt;38402.848&lt;/D&gt;&lt;/FQL&gt;&lt;FQL&gt;&lt;Q&gt;Ticker0024^FE_ESTIMATE(EBIT,MEAN,ANNUAL_ROLL,2026,45813,,,'')&lt;/Q&gt;&lt;R&gt;1&lt;/R&gt;&lt;C&gt;1&lt;/C&gt;&lt;D xsi:type="xsd:double"&gt;142677.03&lt;/D&gt;&lt;/FQL&gt;&lt;FQL&gt;&lt;Q&gt;Ticker0024^FE_ESTIMATE(EBIT,MEAN,QUARTERLY_ROLL,2026/4F,45813,,,'')&lt;/Q&gt;&lt;R&gt;1&lt;/R&gt;&lt;C&gt;1&lt;/C&gt;&lt;D xsi:type="xsd:double"&gt;36857.48&lt;/D&gt;&lt;/FQL&gt;&lt;FQL&gt;&lt;Q&gt;Ticker0024^FE_ESTIMATE(EBIT,MEAN,QUARTERLY_ROLL,2026/3F,45813,,,'')&lt;/Q&gt;&lt;R&gt;1&lt;/R&gt;&lt;C&gt;1&lt;/C&gt;&lt;D xsi:type="xsd:double"&gt;36033.387&lt;/D&gt;&lt;/FQL&gt;&lt;FQL&gt;&lt;Q&gt;Ticker0024^FE_ESTIMATE(EBIT,MEAN,QUARTERLY_ROLL,2026/2F,45813,,,'')&lt;/Q&gt;&lt;R&gt;1&lt;/R&gt;&lt;C&gt;1&lt;/C&gt;&lt;D xsi:type="xsd:double"&gt;35427.695&lt;/D&gt;&lt;/FQL&gt;&lt;FQL&gt;&lt;Q&gt;Ticker0024^FE_ESTIMATE(EBIT,MEAN,QUARTERLY_ROLL,2026/1F,45813,,,'')&lt;/Q&gt;&lt;R&gt;1&lt;/R&gt;&lt;C&gt;1&lt;/C&gt;&lt;D xsi:type="xsd:double"&gt;33870.35&lt;/D&gt;&lt;/FQL&gt;&lt;FQL&gt;&lt;Q&gt;Ticker0024^FE_ESTIMATE(EBIT,MEAN,ANNUAL_ROLL,2025,45813,,,'')&lt;/Q&gt;&lt;R&gt;1&lt;/R&gt;&lt;C&gt;1&lt;/C&gt;&lt;D xsi:type="xsd:double"&gt;126110.43&lt;/D&gt;&lt;/FQL&gt;&lt;FQL&gt;&lt;Q&gt;Ticker0024^FE_ESTIMATE(EBIT,MEAN,QUARTERLY_ROLL,2025/4F,45813,,,'')&lt;/Q&gt;&lt;R&gt;1&lt;/R&gt;&lt;C&gt;1&lt;/C&gt;&lt;D xsi:type="xsd:double"&gt;32140.094&lt;/D&gt;&lt;/FQL&gt;&lt;FQL&gt;&lt;Q&gt;Ticker0024^FE_ESTIMATE(EBIT,MEAN,QUARTERLY_ROLL,2025/3F,45813,,,'')&lt;/Q&gt;&lt;R&gt;1&lt;/R&gt;&lt;C&gt;1&lt;/C&gt;&lt;D xsi:type="xsd:double"&gt;32000&lt;/D&gt;&lt;/FQL&gt;&lt;FQL&gt;&lt;Q&gt;Ticker0024^FE_ESTIMATE(EBIT,MEAN,QUARTERLY_ROLL,2025/2F,45813,,,'')&lt;/Q&gt;&lt;R&gt;1&lt;/R&gt;&lt;C&gt;1&lt;/C&gt;&lt;D xsi:type="xsd:double"&gt;31654.076&lt;/D&gt;&lt;/FQL&gt;&lt;FQL&gt;&lt;Q&gt;Ticker0024^FE_ESTIMATE(EBIT,MEAN,QUARTERLY_ROLL,2025/1F,45813,,,'')&lt;/Q&gt;&lt;R&gt;1&lt;/R&gt;&lt;C&gt;1&lt;/C&gt;&lt;D xsi:type="xsd:double"&gt;30535.146&lt;/D&gt;&lt;/FQL&gt;&lt;FQL&gt;&lt;Q&gt;Ticker0024^FE_ESTIMATE(EBIT,MEAN,ANNUAL_ROLL,2024,45813,,,'')&lt;/Q&gt;&lt;R&gt;1&lt;/R&gt;&lt;C&gt;1&lt;/C&gt;&lt;D xsi:type="xsd:double"&gt;109729.96&lt;/D&gt;&lt;/FQL&gt;&lt;FQL&gt;&lt;Q&gt;Ticker0024^FE_ESTIMATE(EBIT,MEAN,QUARTERLY_ROLL,2024/4F,45813,,,'')&lt;/Q&gt;&lt;R&gt;1&lt;/R&gt;&lt;C&gt;1&lt;/C&gt;&lt;D xsi:type="xsd:double"&gt;27926.969&lt;/D&gt;&lt;/FQL&gt;&lt;FQL&gt;&lt;Q&gt;Ticker0024^FE_ESTIMATE(EBIT,MEAN,QUARTERLY_ROLL,2024/3F,45813,,,'')&lt;/Q&gt;&lt;R&gt;1&lt;/R&gt;&lt;C&gt;1&lt;/C&gt;&lt;D xsi:type="xsd:double"&gt;27582.4&lt;/D&gt;&lt;/FQL&gt;&lt;FQL&gt;&lt;Q&gt;Ticker0024^FE_ESTIMATE(EBIT,MEAN,QUARTERLY_ROLL,2024/2F,45813,,,'')&lt;/Q&gt;&lt;R&gt;1&lt;/R&gt;&lt;C&gt;1&lt;/C&gt;&lt;D xsi:type="xsd:double"&gt;27031.055&lt;/D&gt;&lt;/FQL&gt;&lt;FQL&gt;&lt;Q&gt;Ticker0024^FE_ESTIMATE(EBIT,MEAN,QUARTERLY_ROLL,2024/1F,45813,,,'')&lt;/Q&gt;&lt;R&gt;1&lt;/R&gt;&lt;C&gt;1&lt;/C&gt;&lt;D xsi:type="xsd:double"&gt;26895.146&lt;/D&gt;&lt;/FQL&gt;&lt;FQL&gt;&lt;Q&gt;Ticker0024^FE_ESTIMATE(EBIT,MEAN,ANNUAL_ROLL,2023,45813,,,'')&lt;/Q&gt;&lt;R&gt;1&lt;/R&gt;&lt;C&gt;1&lt;/C&gt;&lt;D xsi:type="xsd:double"&gt;88600.766&lt;/D&gt;&lt;/FQL&gt;&lt;FQL&gt;&lt;Q&gt;Ticker0024^FE_ESTIMATE(EBIT,MEAN,QUARTERLY_ROLL,2023/4F,45813,,,'')&lt;/Q&gt;&lt;R&gt;1&lt;/R&gt;&lt;C&gt;1&lt;/C&gt;&lt;D xsi:type="xsd:double"&gt;24173.82&lt;/D&gt;&lt;/FQL&gt;&lt;FQL&gt;&lt;Q&gt;Ticker0024^FE_ESTIMATE(EBIT,MEAN,QUARTERLY_ROLL,2023/3F,45813,,,'')&lt;/Q&gt;&lt;R&gt;1&lt;/R&gt;&lt;C&gt;1&lt;/C&gt;&lt;D xsi:type="xsd:double"&gt;22351.936&lt;/D&gt;&lt;/FQL&gt;&lt;FQL&gt;&lt;Q&gt;Ticker0024^FE_ESTIMATE(EBIT,MEAN,QUARTERLY_ROLL,2023/2F,45813,,,'')&lt;/Q&gt;&lt;R&gt;1&lt;/R&gt;&lt;C&gt;1&lt;/C&gt;&lt;D xsi:type="xsd:double"&gt;20399.059&lt;/D&gt;&lt;/FQL&gt;&lt;FQL&gt;&lt;Q&gt;Ticker0024^FE_ESTIMATE(EBIT,MEAN,QUARTERLY_ROLL,2023/1F,45813,,,'')&lt;/Q&gt;&lt;R&gt;1&lt;/R&gt;&lt;C&gt;1&lt;/C&gt;&lt;D xsi:type="xsd:double"&gt;21518.063&lt;/D&gt;&lt;/FQL&gt;&lt;FQL&gt;&lt;Q&gt;Ticker0024^FE_ESTIMATE(EBIT,MEAN,ANNUAL_ROLL,2022,45813,,,'')&lt;/Q&gt;&lt;R&gt;1&lt;/R&gt;&lt;C&gt;1&lt;/C&gt;&lt;D xsi:type="xsd:double"&gt;83380.48&lt;/D&gt;&lt;/FQL&gt;&lt;FQL&gt;&lt;Q&gt;Ticker0024^FE_ESTIMATE(EBIT,MEAN,QUARTERLY_ROLL,2022/4F,45813,,,'')&lt;/Q&gt;&lt;R&gt;1&lt;/R&gt;&lt;C&gt;1&lt;/C&gt;&lt;D xsi:type="xsd:double"&gt;20531.785&lt;/D&gt;&lt;/FQL&gt;&lt;FQL&gt;&lt;Q&gt;Ticker0024^FE_ESTIMATE(EBIT,MEAN,QUARTERLY_ROLL,2022/3F,45813,,,'')&lt;/Q&gt;&lt;R&gt;1&lt;/R&gt;&lt;C&gt;1&lt;/C&gt;&lt;D xsi:type="xsd:double"&gt;20362.076&lt;/D&gt;&lt;/FQL&gt;&lt;FQL&gt;&lt;Q&gt;Ticker0024^FE_ESTIMATE(EBIT,MEAN,QUARTERLY_ROLL,2022/2F,45813,,,'')&lt;/Q&gt;&lt;R&gt;1&lt;/R&gt;&lt;C&gt;1&lt;/C&gt;&lt;D xsi:type="xsd:double"&gt;22246.809&lt;/D&gt;&lt;/FQL&gt;&lt;FQL&gt;&lt;Q&gt;Ticker0024^FE_ESTIMATE(EBIT,MEAN,QUARTERLY_ROLL,2022/1F,45813,,,'')&lt;/Q&gt;&lt;R&gt;1&lt;/R&gt;&lt;C&gt;1&lt;/C&gt;&lt;D xsi:type="xsd:double"&gt;20237.896&lt;/D&gt;&lt;/FQL&gt;&lt;FQL&gt;&lt;Q&gt;Ticker0024^FE_ESTIMATE(EBIT,MEAN,ANNUAL_ROLL,2021,45813,,,'')&lt;/Q&gt;&lt;R&gt;1&lt;/R&gt;&lt;C&gt;1&lt;/C&gt;&lt;D xsi:type="xsd:double"&gt;69916.43&lt;/D&gt;&lt;/FQL&gt;&lt;FQL&gt;&lt;Q&gt;Ticker0024^FE_ESTIMATE(EBIT,MEAN,QUARTERLY_ROLL,2021/4F,45813,,,'')&lt;/Q&gt;&lt;R&gt;1&lt;/R&gt;&lt;C&gt;1&lt;/C&gt;&lt;D xsi:type="xsd:double"&gt;19095&lt;/D&gt;&lt;/FQL&gt;&lt;FQL&gt;&lt;Q&gt;Ticker0024^FE_ESTIMATE(EBIT,MEAN,QUARTERLY_ROLL,2021/3F,45813,,,'')&lt;/Q&gt;&lt;R&gt;1&lt;/R&gt;&lt;C&gt;1&lt;/C&gt;&lt;D xsi:type="xsd:double"&gt;17048&lt;/D&gt;&lt;/FQL&gt;&lt;FQL&gt;&lt;Q&gt;Ticker0024^FE_ESTIMATE(EBIT,MEAN,QUARTERLY_ROLL,2021/2F,45813,,,'')&lt;/Q&gt;&lt;R&gt;1&lt;/R&gt;&lt;C&gt;1&lt;/C&gt;&lt;D xsi:type="xsd:double"&gt;17896.826&lt;/D&gt;&lt;/FQL&gt;&lt;FQL&gt;&lt;Q&gt;Ticker0024^FE_ESTIMATE(EBIT,MEAN,QUARTERLY_ROLL,2021/1F,45813,,,'')&lt;/Q&gt;&lt;R&gt;1&lt;/R&gt;&lt;C&gt;1&lt;/C&gt;&lt;D xsi:type="xsd:double"&gt;15875.739&lt;/D&gt;&lt;/FQL&gt;&lt;FQL&gt;&lt;Q&gt;Ticker0024^FE_ESTIMATE(EBIT,MEAN,ANNUAL_ROLL,2020,45813,,,'')&lt;/Q&gt;&lt;R&gt;1&lt;/R&gt;&lt;C&gt;1&lt;/C&gt;&lt;D xsi:type="xsd:double"&gt;52978.875&lt;/D&gt;&lt;/FQL&gt;&lt;FQL&gt;&lt;Q&gt;Ticker0024^FE_ESTIMATE(EBIT,MEAN,QUARTERLY_ROLL,2020/4F,45813,,,'')&lt;/Q&gt;&lt;R&gt;1&lt;/R&gt;&lt;C&gt;1&lt;/C&gt;&lt;D xsi:type="xsd:double"&gt;13432.45&lt;/D&gt;&lt;/FQL&gt;&lt;FQL&gt;&lt;Q&gt;Ticker0024^FE_ESTIMATE(EBIT,MEAN,QUARTERLY_ROLL,2020/3F,45813,,,'')&lt;/Q&gt;&lt;R&gt;1&lt;/R&gt;&lt;C&gt;1&lt;/C&gt;&lt;D xsi:type="xsd:double"&gt;12975&lt;/D&gt;&lt;/FQL&gt;&lt;FQL&gt;&lt;Q&gt;Ticker0024^FE_ESTIMATE(EBIT,MEAN,QUARTERLY_ROLL,2020/2F,45813,,,'')&lt;/Q&gt;&lt;R&gt;1&lt;/R&gt;&lt;C&gt;1&lt;/C&gt;&lt;D xsi:type="xsd:double"&gt;13891&lt;/D&gt;&lt;/FQL&gt;&lt;FQL&gt;&lt;Q&gt;Ticker0024^FE_ESTIM</t>
        </r>
      </text>
    </comment>
    <comment ref="A60" authorId="0" shapeId="0" xr:uid="{A90FB189-8001-4CD2-B3C9-B61F89912A05}">
      <text>
        <r>
          <rPr>
            <b/>
            <sz val="9"/>
            <color indexed="81"/>
            <rFont val="Tahoma"/>
            <family val="2"/>
          </rPr>
          <t>ATE(EBIT,MEAN,QUARTERLY_ROLL,2020/1F,45813,,,'')&lt;/Q&gt;&lt;R&gt;1&lt;/R&gt;&lt;C&gt;1&lt;/C&gt;&lt;D xsi:type="xsd:double"&gt;12686&lt;/D&gt;&lt;/FQL&gt;&lt;FQL&gt;&lt;Q&gt;Ticker0024^FE_ESTIMATE(EBIT,MEAN,ANNUAL_ROLL,2019,45813,,,'')&lt;/Q&gt;&lt;R&gt;1&lt;/R&gt;&lt;C&gt;1&lt;/C&gt;&lt;D xsi:type="xsd:double"&gt;42964.805&lt;/D&gt;&lt;/FQL&gt;&lt;FQL&gt;&lt;Q&gt;Ticker0024^FE_ESTIMATE(EBIT,MEAN,QUARTERLY_ROLL,2019/4F,45813,,,'')&lt;/Q&gt;&lt;R&gt;1&lt;/R&gt;&lt;C&gt;1&lt;/C&gt;&lt;D xsi:type="xsd:double"&gt;12405&lt;/D&gt;&lt;/FQL&gt;&lt;FQL&gt;&lt;Q&gt;Ticker0024^FE_ESTIMATE(EBIT,MEAN,QUARTERLY_ROLL,2019/3F,45813,,,'')&lt;/Q&gt;&lt;R&gt;1&lt;/R&gt;&lt;C&gt;1&lt;/C&gt;&lt;D xsi:type="xsd:double"&gt;10341&lt;/D&gt;&lt;/FQL&gt;&lt;FQL&gt;&lt;Q&gt;Ticker0024^FE_ESTIMATE(EBIT,MEAN,QUARTERLY_ROLL,2019/2F,45813,,,'')&lt;/Q&gt;&lt;R&gt;1&lt;/R&gt;&lt;C&gt;1&lt;/C&gt;&lt;D xsi:type="xsd:double"&gt;10263.846&lt;/D&gt;&lt;/FQL&gt;&lt;FQL&gt;&lt;Q&gt;Ticker0024^FE_ESTIMATE(EBIT,MEAN,QUARTERLY_ROLL,2019/1F,45813,,,'')&lt;/Q&gt;&lt;R&gt;1&lt;/R&gt;&lt;C&gt;1&lt;/C&gt;&lt;D xsi:type="xsd:double"&gt;9955&lt;/D&gt;&lt;/FQL&gt;&lt;FQL&gt;&lt;Q&gt;Ticker0024^FE_ESTIMATE(EBIT,MEAN,ANNUAL_ROLL,2018,45813,,,'')&lt;/Q&gt;&lt;R&gt;1&lt;/R&gt;&lt;C&gt;1&lt;/C&gt;&lt;D xsi:type="xsd:double"&gt;35034.188&lt;/D&gt;&lt;/FQL&gt;&lt;FQL&gt;&lt;Q&gt;Ticker0024^FE_ESTIMATE(EBIT,MEAN,QUARTERLY_ROLL,2018/4F,45813,,,'')&lt;/Q&gt;&lt;R&gt;1&lt;/R&gt;&lt;C&gt;1&lt;/C&gt;&lt;D xsi:type="xsd:double"&gt;10349.692&lt;/D&gt;&lt;/FQL&gt;&lt;FQL&gt;&lt;Q&gt;Ticker0024^FE_ESTIMATE(EBIT,MEAN,QUARTERLY_ROLL,2018/3F,45813,,,'')&lt;/Q&gt;&lt;R&gt;1&lt;/R&gt;&lt;C&gt;1&lt;/C&gt;&lt;D xsi:type="xsd:double"&gt;8292&lt;/D&gt;&lt;/FQL&gt;&lt;FQL&gt;&lt;Q&gt;Ticker0024^FE_ESTIMATE(EBIT,MEAN,QUARTERLY_ROLL,2018/2F,45813,,,'')&lt;/Q&gt;&lt;R&gt;1&lt;/R&gt;&lt;C&gt;1&lt;/C&gt;&lt;D xsi:type="xsd:double"&gt;8679&lt;/D&gt;&lt;/FQL&gt;&lt;FQL&gt;&lt;Q&gt;Ticker0024^FE_ESTIMATE(EBIT,MEAN,QUARTERLY_ROLL,2018/1F,45813,,,'')&lt;/Q&gt;&lt;R&gt;1&lt;/R&gt;&lt;C&gt;1&lt;/C&gt;&lt;D xsi:type="xsd:double"&gt;7708&lt;/D&gt;&lt;/FQL&gt;&lt;FQL&gt;&lt;Q&gt;Ticker0024^FE_ESTIMATE(EBIT,MEAN,ANNUAL_ROLL,2017,45813,,,'')&lt;/Q&gt;&lt;R&gt;1&lt;/R&gt;&lt;C&gt;1&lt;/C&gt;&lt;D xsi:type="xsd:double"&gt;29326.25&lt;/D&gt;&lt;/FQL&gt;&lt;FQL&gt;&lt;Q&gt;Ticker0024^FE_ESTIMATE(EBIT,MEAN,QUARTERLY_ROLL,2017/4F,45813,,,'')&lt;/Q&gt;&lt;R&gt;1&lt;/R&gt;&lt;C&gt;1&lt;/C&gt;&lt;D xsi:type="xsd:double"&gt;7019&lt;/D&gt;&lt;/FQL&gt;&lt;FQL&gt;&lt;Q&gt;Ticker0024^FE_ESTIMATE(EBIT,MEAN,QUARTERLY_ROLL,2017/3F,45813,,,'')&lt;/Q&gt;&lt;R&gt;1&lt;/R&gt;&lt;C&gt;1&lt;/C&gt;&lt;D xsi:type="xsd:double"&gt;7061&lt;/D&gt;&lt;/FQL&gt;&lt;FQL&gt;&lt;Q&gt;Ticker0024^FE_ESTIMATE(EBIT,MEAN,QUARTERLY_ROLL,2017/2F,45813,,,'')&lt;/Q&gt;&lt;R&gt;1&lt;/R&gt;&lt;C&gt;1&lt;/C&gt;&lt;D xsi:type="xsd:double"&gt;8153&lt;/D&gt;&lt;/FQL&gt;&lt;FQL&gt;&lt;Q&gt;Ticker0024^FE_ESTIMATE(EBIT,MEAN,QUARTERLY_ROLL,2017/1F,45813,,,'')&lt;/Q&gt;&lt;R&gt;1&lt;/R&gt;&lt;C&gt;1&lt;/C&gt;&lt;D xsi:type="xsd:double"&gt;7106&lt;/D&gt;&lt;/FQL&gt;&lt;FQL&gt;&lt;Q&gt;Ticker0024^FE_ESTIMATE(EBIT,MEAN,ANNUAL_ROLL,2016,45813,,,'')&lt;/Q&gt;&lt;R&gt;1&lt;/R&gt;&lt;C&gt;1&lt;/C&gt;&lt;D xsi:type="xsd:double"&gt;28028.564&lt;/D&gt;&lt;/FQL&gt;&lt;FQL&gt;&lt;Q&gt;Ticker0024^FE_ESTIMATE(EBIT,MEAN,QUARTERLY_ROLL,2016/4F,45813,,,'')&lt;/Q&gt;&lt;R&gt;1&lt;/R&gt;&lt;C&gt;1&lt;/C&gt;&lt;D xsi:type="xsd:double"&gt;6218&lt;/D&gt;&lt;/FQL&gt;&lt;FQL&gt;&lt;Q&gt;Ticker0024^FE_ESTIMATE(EBIT,MEAN,QUARTERLY_ROLL,2016/3F,45813,,,'')&lt;/Q&gt;&lt;R&gt;1&lt;/R&gt;&lt;C&gt;1&lt;/C&gt;&lt;D xsi:type="xsd:double"&gt;6828&lt;/D&gt;&lt;/FQL&gt;&lt;FQL&gt;&lt;Q&gt;Ticker0024^FE_ESTIMATE(EBIT,MEAN,QUARTERLY_ROLL,2016/2F,45813,,,'')&lt;/Q&gt;&lt;R&gt;1&lt;/R&gt;&lt;C&gt;1&lt;/C&gt;&lt;D xsi:type="xsd:double"&gt;7923&lt;/D&gt;&lt;/FQL&gt;&lt;FQL&gt;&lt;Q&gt;Ticker0024^FE_ESTIMATE(EBIT,MEAN,QUARTERLY_ROLL,2016/1F,45813,,,'')&lt;/Q&gt;&lt;R&gt;1&lt;/R&gt;&lt;C&gt;1&lt;/C&gt;&lt;D xsi:type="xsd:double"&gt;7073.7896&lt;/D&gt;&lt;/FQL&gt;&lt;FQL&gt;&lt;Q&gt;Ticker0024^FE_ESTIMATE(EBIT,MEAN,ANNUAL_ROLL,2015,45813,,,'')&lt;/Q&gt;&lt;R&gt;1&lt;/R&gt;&lt;C&gt;1&lt;/C&gt;&lt;D xsi:type="xsd:double"&gt;27916.867&lt;/D&gt;&lt;/FQL&gt;&lt;FQL&gt;&lt;Q&gt;Ticker0024^FE_ESTIMATE(EBIT,MEAN,QUARTERLY_ROLL,2015/4F,45813,,,'')&lt;/Q&gt;&lt;R&gt;1&lt;/R&gt;&lt;C&gt;1&lt;/C&gt;&lt;D xsi:type="xsd:double"&gt;4513.1914&lt;/D&gt;&lt;/FQL&gt;&lt;FQL&gt;&lt;Q&gt;Ticker0024^FE_ESTIMATE(EBIT,MEAN,QUARTERLY_ROLL,2015/3F,45813,,,'')&lt;/Q&gt;&lt;R&gt;1&lt;/R&gt;&lt;C&gt;1&lt;/C&gt;&lt;D xsi:type="xsd:double"&gt;6598.875&lt;/D&gt;&lt;/FQL&gt;&lt;FQL&gt;&lt;Q&gt;Ticker0024^FE_ESTIMATE(EBIT,MEAN,QUARTERLY_ROLL,2015/2F,45813,,,'')&lt;/Q&gt;&lt;R&gt;1&lt;/R&gt;&lt;C&gt;1&lt;/C&gt;&lt;D xsi:type="xsd:double"&gt;7776&lt;/D&gt;&lt;/FQL&gt;&lt;FQL&gt;&lt;Q&gt;Ticker0024^FE_ESTIMATE(EBIT,MEAN,QUARTERLY_ROLL,2015/1F,45813,,,'')&lt;/Q&gt;&lt;R&gt;1&lt;/R&gt;&lt;C&gt;1&lt;/C&gt;&lt;D xsi:type="xsd:double"&gt;5844&lt;/D&gt;&lt;/FQL&gt;&lt;FQL&gt;&lt;Q&gt;Ticker0024^FE_ESTIMATE(PRODLINE_EBIT_17,MEAN,ANNUAL_ROLL,2030,45813,,,'')&lt;/Q&gt;&lt;R&gt;0&lt;/R&gt;&lt;C&gt;0&lt;/C&gt;&lt;/FQL&gt;&lt;FQL&gt;&lt;Q&gt;Ticker0024^FE_ESTIMATE(PRODLINE_EBIT_17,MEAN,QUARTERLY_ROLL,2030/4F,45813,,,'')&lt;/Q&gt;&lt;R&gt;0&lt;/R&gt;&lt;C&gt;0&lt;/C&gt;&lt;/FQL&gt;&lt;FQL&gt;&lt;Q&gt;Ticker0024^FE_ESTIMATE(PRODLINE_EBIT_17,MEAN,QUARTERLY_ROLL,2030/3F,45813,,,'')&lt;/Q&gt;&lt;R&gt;0&lt;/R&gt;&lt;C&gt;0&lt;/C&gt;&lt;/FQL&gt;&lt;FQL&gt;&lt;Q&gt;Ticker0024^FE_ESTIMATE(PRODLINE_EBIT_17,MEAN,QUARTERLY_ROLL,2030/2F,45813,,,'')&lt;/Q&gt;&lt;R&gt;0&lt;/R&gt;&lt;C&gt;0&lt;/C&gt;&lt;/FQL&gt;&lt;FQL&gt;&lt;Q&gt;Ticker0024^FE_ESTIMATE(PRODLINE_EBIT_17,MEAN,QUARTERLY_ROLL,2030/1F,45813,,,'')&lt;/Q&gt;&lt;R&gt;0&lt;/R&gt;&lt;C&gt;0&lt;/C&gt;&lt;/FQL&gt;&lt;FQL&gt;&lt;Q&gt;Ticker0024^FE_ESTIMATE(PRODLINE_EBIT_17,MEAN,ANNUAL_ROLL,2029,45813,,,'')&lt;/Q&gt;&lt;R&gt;0&lt;/R&gt;&lt;C&gt;0&lt;/C&gt;&lt;/FQL&gt;&lt;FQL&gt;&lt;Q&gt;Ticker0024^FE_ESTIMATE(PRODLINE_EBIT_17,MEAN,QUARTERLY_ROLL,2029/4F,45813,,,'')&lt;/Q&gt;&lt;R&gt;0&lt;/R&gt;&lt;C&gt;0&lt;/C&gt;&lt;/FQL&gt;&lt;FQL&gt;&lt;Q&gt;Ticker0024^FE_ESTIMATE(PRODLINE_EBIT_17,MEAN,QUARTERLY_ROLL,2029/3F,45813,,,'')&lt;/Q&gt;&lt;R&gt;0&lt;/R&gt;&lt;C&gt;0&lt;/C&gt;&lt;/FQL&gt;&lt;FQL&gt;&lt;Q&gt;Ticker0024^FE_ESTIMATE(PRODLINE_EBIT_17,MEAN,QUARTERLY_ROLL,2029/2F,45813,,,'')&lt;/Q&gt;&lt;R&gt;0&lt;/R&gt;&lt;C&gt;0&lt;/C&gt;&lt;/FQL&gt;&lt;FQL&gt;&lt;Q&gt;Ticker0024^FE_ESTIMATE(PRODLINE_EBIT_17,MEAN,QUARTERLY_ROLL,2029/1F,45813,,,'')&lt;/Q&gt;&lt;R&gt;0&lt;/R&gt;&lt;C&gt;0&lt;/C&gt;&lt;/FQL&gt;&lt;FQL&gt;&lt;Q&gt;Ticker0024^FE_ESTIMATE(PRODLINE_EBIT_17,MEAN,ANNUAL_ROLL,2028,45813,,,'')&lt;/Q&gt;&lt;R&gt;0&lt;/R&gt;&lt;C&gt;0&lt;/C&gt;&lt;/FQL&gt;&lt;FQL&gt;&lt;Q&gt;Ticker0024^FE_ESTIMATE(PRODLINE_EBIT_17,MEAN,QUARTERLY_ROLL,2028/4F,45813,,,'')&lt;/Q&gt;&lt;R&gt;0&lt;/R&gt;&lt;C&gt;0&lt;/C&gt;&lt;/FQL&gt;&lt;FQL&gt;&lt;Q&gt;Ticker0024^FE_ESTIMATE(PRODLINE_EBIT_17,MEAN,QUARTERLY_ROLL,2028/3F,45813,,,'')&lt;/Q&gt;&lt;R&gt;0&lt;/R&gt;&lt;C&gt;0&lt;/C&gt;&lt;/FQL&gt;&lt;FQL&gt;&lt;Q&gt;Ticker0024^FE_ESTIMATE(PRODLINE_EBIT_17,MEAN,QUARTERLY_ROLL,2028/2F,45813,,,'')&lt;/Q&gt;&lt;R&gt;0&lt;/R&gt;&lt;C&gt;0&lt;/C&gt;&lt;/FQL&gt;&lt;FQL&gt;&lt;Q&gt;Ticker0024^FE_ESTIMATE(PRODLINE_EBIT_17,MEAN,QUARTERLY_ROLL,2028/1F,45813,,,'')&lt;/Q&gt;&lt;R&gt;0&lt;/R&gt;&lt;C&gt;0&lt;/C&gt;&lt;/FQL&gt;&lt;FQL&gt;&lt;Q&gt;Ticker0024^FE_ESTIMATE(PRODLINE_EBIT_17,MEAN,ANNUAL_ROLL,2027,45813,,,'')&lt;/Q&gt;&lt;R&gt;1&lt;/R&gt;&lt;C&gt;1&lt;/C&gt;&lt;D xsi:type="xsd:double"&gt;13038.5&lt;/D&gt;&lt;/FQL&gt;&lt;FQL&gt;&lt;Q&gt;Ticker0024^FE_ESTIMATE(PRODLINE_EBIT_17,MEAN,QUARTERLY_ROLL,2027/4F,45813,,,'')&lt;/Q&gt;&lt;R&gt;0&lt;/R&gt;&lt;C&gt;0&lt;/C&gt;&lt;/FQL&gt;&lt;FQL&gt;&lt;Q&gt;Ticker0024^FE_ESTIMATE(PRODLINE_EBIT_17,MEAN,QUARTERLY_ROLL,2027/3F,45813,,,'')&lt;/Q&gt;&lt;R&gt;0&lt;/R&gt;&lt;C&gt;0&lt;/C&gt;&lt;/FQL&gt;&lt;FQL&gt;&lt;Q&gt;Ticker0024^FE_ESTIMATE(PRODLINE_EBIT_17,MEAN,QUARTERLY_ROLL,2027/2F,45813,,,'')&lt;/Q&gt;&lt;R&gt;0&lt;/R&gt;&lt;C&gt;0&lt;/C&gt;&lt;/FQL&gt;&lt;FQL&gt;&lt;Q&gt;Ticker0024^FE_ESTIMATE(PRODLINE_EBIT_17,MEAN,QUARTERLY_ROLL,2027/1F,45813,,,'')&lt;/Q&gt;&lt;R&gt;0&lt;/R&gt;&lt;C&gt;0&lt;/C&gt;&lt;/FQL&gt;&lt;FQL&gt;&lt;Q&gt;Ticker0024^FE_ESTIMATE(PRODLINE_EBIT_17,MEAN,ANNUAL_ROLL,2026,45813,,,'')&lt;/Q&gt;&lt;R&gt;1&lt;/R&gt;&lt;C&gt;1&lt;/C&gt;&lt;D xsi:type="xsd:double"&gt;15754.667&lt;/D&gt;&lt;/FQL&gt;&lt;FQL&gt;&lt;Q&gt;Ticker0024^FE_ESTIMATE(PRODLINE_EBIT_17,MEAN,QUARTERLY_ROLL,2026/4F,45813,,,'')&lt;/Q&gt;&lt;R&gt;1&lt;/R&gt;&lt;C&gt;1&lt;/C&gt;&lt;D xsi:type="xsd:double"&gt;3547.6667&lt;/D&gt;&lt;/FQL&gt;&lt;FQL&gt;&lt;Q&gt;Ticker0024^FE_ESTIMATE(PRODLINE_EBIT_17,MEAN,QUARTERLY_ROLL,2026/3F,45813,,,'')&lt;/Q&gt;&lt;R&gt;1&lt;/R&gt;&lt;C&gt;1&lt;/C&gt;&lt;D xsi:type="xsd:double"&gt;3977.6667&lt;/D&gt;&lt;/FQL&gt;&lt;FQL&gt;&lt;Q&gt;Ticker0024^FE_ESTIMATE(PRODLINE_EBIT_17,MEAN,QUARTERLY_ROLL,2026/2F,45813,,,'')&lt;/Q&gt;&lt;R&gt;1&lt;/R&gt;&lt;C&gt;1&lt;/C&gt;&lt;D xsi:type="xsd:double"&gt;4342&lt;/D&gt;&lt;/FQL&gt;&lt;FQL&gt;&lt;Q&gt;Ticker0024^FE_ESTIMATE(PRODLINE_EBIT_17,MEAN,QUARTERLY_ROLL,2026/1F,45813,,,'')&lt;/Q&gt;&lt;R&gt;1&lt;/R&gt;&lt;C&gt;1&lt;/C&gt;&lt;D xsi:type="xsd:double"&gt;3887&lt;/D&gt;&lt;/FQL&gt;&lt;FQL&gt;&lt;Q&gt;Ticker0024^FE_ESTIMATE(PRODLINE_EBIT_17,MEAN,ANNUAL_ROLL,2025,45813,,,'')&lt;/Q&gt;&lt;R&gt;1&lt;/R&gt;&lt;C&gt;1&lt;/C&gt;&lt;D xsi:type="xsd:double"&gt;15750.5&lt;/D&gt;&lt;/FQL&gt;&lt;FQL&gt;&lt;Q&gt;Ticker0024^FE_ESTIMATE(PRODLINE_EBIT_17,MEAN,QUARTERLY_ROLL,2025/4F,45813,,,'')&lt;/Q&gt;&lt;R&gt;1&lt;/R&gt;&lt;C&gt;1&lt;/C&gt;&lt;D xsi:type="xsd:double"&gt;3458.75&lt;/D&gt;&lt;/FQL&gt;&lt;FQL&gt;&lt;Q&gt;Ticker0024^FE_ESTIMATE(PRODLINE_EBIT_17,MEAN,QUARTERLY_ROLL,2025/3F,45813,,,'')&lt;/Q&gt;&lt;R&gt;1&lt;/R&gt;&lt;C&gt;1&lt;/C&gt;&lt;D xsi:type="xsd:double"&gt;4058.75&lt;/D&gt;&lt;/FQL&gt;&lt;FQL&gt;&lt;Q&gt;Ticker0024^FE_ESTIMATE(PRODLINE_EBIT_17,MEAN,QUARTERLY_ROLL,2025/2F,45813,,,'')&lt;/Q&gt;&lt;R&gt;1&lt;/R&gt;&lt;C&gt;1&lt;/C&gt;&lt;D xsi:type="xsd:double"&gt;4253.8&lt;/D&gt;&lt;/FQL&gt;&lt;FQL&gt;&lt;Q&gt;Ticker0024^FE_ESTIMATE(PRODLINE_EBIT_17,MEAN,QUARTERLY_ROLL,2025/1F,45813,,,'')&lt;/Q&gt;&lt;R&gt;1&lt;/R&gt;&lt;C&gt;1&lt;/C&gt;&lt;D xsi:type="xsd:double"&gt;3822.2&lt;/D&gt;&lt;/FQL&gt;&lt;FQL&gt;&lt;Q&gt;Ticker0024^FE_ESTIMATE(PRODLINE_EBIT_17,MEAN,ANNUAL_ROLL,2024,45813,,,'')&lt;/Q&gt;&lt;R&gt;1&lt;/R&gt;&lt;C&gt;1&lt;/C&gt;&lt;D xsi:type="xsd:double"&gt;19332.8&lt;/D&gt;&lt;/FQL&gt;&lt;FQL&gt;&lt;Q&gt;Ticker0024^FE_ESTIMATE(PRODLINE_EBIT_17,MEAN,QUARTERLY_ROLL,2024/4F,45813,,,'')&lt;/Q&gt;&lt;R&gt;1&lt;/R&gt;&lt;C&gt;1&lt;/C&gt;&lt;D xsi:type="xsd:double"&gt;4922.4&lt;/D&gt;&lt;/FQL&gt;&lt;FQL&gt;&lt;Q&gt;Ticker0024^FE_ESTIMATE(PRODLINE_EBIT_17,MEAN,QUARTERLY_ROLL,2024/3F,45813,,,'')&lt;/Q&gt;&lt;R&gt;1&lt;/R&gt;&lt;C&gt;1&lt;/C&gt;&lt;D xsi:type="xsd:double"&gt;4925.7144&lt;/D&gt;&lt;/FQL&gt;&lt;FQL&gt;&lt;Q&gt;Ticker0024^FE_ESTIMATE(PRODLINE_EBIT_17,MEAN,QUARTERLY_ROLL,2024/2F,45813,,,'')&lt;/Q&gt;&lt;R&gt;1&lt;/R&gt;&lt;C&gt;1&lt;/C&gt;&lt;D xsi:type="xsd:double"&gt;4308.3335&lt;/D&gt;&lt;/FQL&gt;&lt;FQL&gt;&lt;Q&gt;Ticker0024^FE_ESTIMATE(PRODLINE_EBIT_17,MEAN,QUARTERLY_ROLL,2024/1F,45813,,,'')&lt;/Q&gt;&lt;R&gt;1&lt;/R&gt;&lt;C&gt;1&lt;/C&gt;&lt;D xsi:type="xsd:double"&gt;5197&lt;/D&gt;&lt;/FQL&gt;&lt;FQL&gt;&lt;Q&gt;Ticker0024^FE_ESTIMATE(PRODLINE_EBIT_17,MEAN,ANNUAL_ROLL,2023,45813,,,'')&lt;/Q&gt;&lt;R&gt;1&lt;/R&gt;&lt;C&gt;1&lt;/C&gt;&lt;D xsi:type="xsd:double"&gt;16450&lt;/D&gt;&lt;/FQL&gt;&lt;FQL&gt;&lt;Q&gt;Ticker0024^FE_ESTIMATE(PRODLINE_EBIT_17,MEAN,QUARTERLY_ROLL,2023/4F,45813,,,'')&lt;/Q&gt;&lt;R&gt;1&lt;/R&gt;&lt;C&gt;1&lt;/C&gt;&lt;D xsi:type="xsd:double"&gt;4676.8&lt;/D&gt;&lt;/FQL&gt;&lt;FQL&gt;&lt;Q&gt;Ticker0024^FE_ESTIMATE(PRODLINE_EBIT_17,MEAN,QUARTERLY_ROLL,2023/3F,45813,,,'')&lt;/Q&gt;&lt;R&gt;1&lt;/R&gt;&lt;C&gt;1&lt;/C&gt;&lt;D xsi:type="xsd:double"&gt;4237.6&lt;/D&gt;&lt;/FQL&gt;&lt;FQL&gt;&lt;Q&gt;Ticker0024^FE_ESTIMATE(PRODLINE_EBIT_17,MEAN,QUARTERLY_ROLL,2023/2F,45813,,,'')&lt;/Q&gt;&lt;R&gt;1&lt;/R&gt;&lt;C&gt;1&lt;/C&gt;&lt;D xsi:type="xsd:double"&gt;3345&lt;/D&gt;&lt;/FQL&gt;&lt;FQL&gt;&lt;Q&gt;Ticker0024^FE_ESTIMATE(PRODLINE_EBIT_17,MEAN,QUARTERLY_ROLL,2023/1F,45813,,,'')&lt;/Q&gt;&lt;R&gt;1&lt;/R&gt;&lt;C&gt;1&lt;/C&gt;&lt;D xsi:type="xsd:double"&gt;4241.4&lt;/D&gt;&lt;/FQL&gt;&lt;FQL&gt;&lt;Q&gt;Ticker0024^FE_ESTIMATE(PRODLINE_EBIT_17,MEAN,ANNUAL_ROLL,2022,45813,,,'')&lt;/Q&gt;&lt;R&gt;1&lt;/R&gt;&lt;C&gt;1&lt;/C&gt;&lt;D xsi:type="xsd:double"&gt;20975.2&lt;/D&gt;&lt;/FQL&gt;&lt;FQL&gt;&lt;Q&gt;Ticker0024^FE_ESTIMATE(PRODLINE_EBIT_17,MEAN,QUARTERLY_ROLL,2022/4F,45813,,,'')&lt;/Q&gt;&lt;R&gt;1&lt;/R&gt;&lt;C&gt;1&lt;/C&gt;&lt;D xsi:type="xsd:double"&gt;4619.2&lt;/D&gt;&lt;/FQL&gt;&lt;FQL&gt;&lt;Q&gt;Ticker0024^FE_ESTIMATE(PRODLINE_EBIT_17,MEAN,QUARTERLY_ROLL,2022/3F,45813,,,'')&lt;/Q&gt;&lt;R&gt;1&lt;/R&gt;&lt;C&gt;1&lt;/C&gt;&lt;D xsi:type="xsd:double"&gt;4899&lt;/D&gt;&lt;/FQL&gt;&lt;FQL&gt;&lt;Q&gt;Ticker0024^FE_ESTIMATE(PRODLINE_EBIT_17,MEAN,QUARTERLY_ROLL,2022/2F,45813,,,'')&lt;/Q&gt;&lt;R&gt;1&lt;/R&gt;&lt;C&gt;1&lt;/C&gt;&lt;D xsi:type="xsd:double"&gt;6360&lt;/D&gt;&lt;/FQL&gt;&lt;FQL&gt;&lt;Q&gt;Ticker0024^FE_ESTIMATE(PRODLINE_EBIT_17,MEAN,QUARTERLY_ROLL,2022/1F,45813,,,'')&lt;/Q&gt;&lt;R&gt;1&lt;/R&gt;&lt;C&gt;1&lt;/C&gt;&lt;D xsi:type="xsd:double"&gt;5095&lt;/D&gt;&lt;/FQL&gt;&lt;FQL&gt;&lt;Q&gt;Ticker0024^FE_ESTIMATE(PRODLINE_EBIT_17,MEAN,ANNUAL_ROLL,2021,45813,,,'')&lt;/Q&gt;&lt;R&gt;1&lt;/R&gt;&lt;C&gt;1&lt;/C&gt;&lt;D xsi:type="xsd:double"&gt;19439.25&lt;/D&gt;&lt;/FQL&gt;&lt;FQL&gt;&lt;Q&gt;Ticker0024^FE_ESTIMATE(PRODLINE_EBIT_17,MEAN,QUARTERLY_ROLL,2021/4F,45813,,,'')&lt;/Q&gt;&lt;R&gt;1&lt;/R&gt;&lt;C&gt;1&lt;/C&gt;&lt;D xsi:type="xsd:double"&gt;4873&lt;/D&gt;&lt;/FQL&gt;&lt;FQL&gt;&lt;Q&gt;Ticker0024^FE_ESTIMATE(PRODLINE_EBIT_17,MEAN,QUARTERLY_ROLL,2021/3F,45813,,,'')&lt;/Q&gt;&lt;R&gt;1&lt;/R&gt;&lt;C&gt;1&lt;/C&gt;&lt;D xsi:type="xsd:double"&gt;4594&lt;/D&gt;&lt;/FQL&gt;&lt;FQL&gt;&lt;Q&gt;Ticker0024^FE_ESTIMATE(PRODLINE_EBIT_17,MEAN,QUARTERLY_ROLL,2021/2F,45813,,,'')&lt;/Q&gt;&lt;R&gt;1&lt;/R&gt;&lt;C&gt;1&lt;/C&gt;&lt;D xsi:type="xsd:double"&gt;5224&lt;/D&gt;&lt;/FQL&gt;&lt;FQL&gt;&lt;Q&gt;Ticker0024^FE_ESTIMATE(PRODLINE_EBIT_17,MEAN,QUARTERLY_ROLL,2021/1F,45813,,,'')&lt;/Q&gt;&lt;R&gt;1&lt;/R&gt;&lt;C&gt;1&lt;/C&gt;&lt;D xsi:type="xsd:double"&gt;4748&lt;/D&gt;&lt;/FQL&gt;&lt;FQL&gt;&lt;Q&gt;Ticker0024^FE_ESTIMATE(PRODLINE_EBIT_17,MEAN,ANNUAL_ROLL,2020,45813,,,'')&lt;/Q&gt;&lt;R&gt;1&lt;/R&gt;&lt;C&gt;1&lt;/C&gt;&lt;D xsi:type="xsd:double"&gt;15895.667&lt;/D&gt;&lt;/FQL&gt;&lt;FQL&gt;&lt;Q&gt;Ticker0024^FE_ESTIMATE(PRODLINE_EBIT_17,MEAN,QUARTERLY_ROLL,2020/4F,45813,,,'')&lt;/Q&gt;&lt;R&gt;1&lt;/R&gt;&lt;C&gt;1&lt;/C&gt;&lt;D xsi:type="xsd:double"&gt;4075.3333&lt;/D&gt;&lt;/FQL&gt;&lt;FQL&gt;&lt;Q&gt;Ticker0024^FE_ESTIMATE(PRODLINE_EBIT_17,MEAN,QUARTERLY_ROLL,2020/3F,45813,,,'')&lt;/Q&gt;&lt;R&gt;1&lt;/R&gt;&lt;C&gt;1&lt;/C&gt;&lt;D xsi:type="xsd:double"&gt;3627&lt;/D&gt;&lt;/FQL&gt;&lt;FQL&gt;&lt;Q&gt;Ticker0024^FE_ESTIMATE(PRODLINE_EBIT_17,MEAN,QUARTERLY_ROLL,2020/2F,45813,,,'')&lt;/Q&gt;&lt;R&gt;1&lt;/R&gt;&lt;C&gt;1&lt;/C&gt;&lt;D xsi:type="xsd:double"&gt;4178&lt;/D&gt;&lt;/FQL&gt;&lt;FQL&gt;&lt;Q&gt;Ticker0024^FE_ESTIMATE(PRODLINE_EBIT_17,MEAN,QUARTERLY_ROLL,2020/1F,45813,,,'')&lt;/Q&gt;&lt;R&gt;1&lt;/R&gt;&lt;C&gt;1&lt;/C&gt;&lt;D xsi:type="xsd:double"&gt;4015&lt;/D&gt;&lt;/FQL&gt;&lt;FQL&gt;&lt;Q&gt;Ticker0024^FE_ESTIMATE(PRODLINE_EBIT_17,MEAN,ANNUAL_ROLL,2019,45813,,,'')&lt;/Q&gt;&lt;R&gt;1&lt;/R&gt;&lt;C&gt;1&lt;/C&gt;&lt;D xsi:type="xsd:double"&gt;12820&lt;/D&gt;&lt;/FQL&gt;&lt;FQL&gt;&lt;Q&gt;Ticker0024^FE_ESTIMATE(PRODLINE_EBIT_17,MEAN,QUARTERLY_ROLL,2019/4F,45813,,,'')&lt;/Q&gt;&lt;R&gt;1&lt;/R&gt;&lt;C&gt;1&lt;/C&gt;&lt;D xsi:type="xsd:double"&gt;3559&lt;/D&gt;&lt;/FQL&gt;&lt;FQL&gt;&lt;Q&gt;Ticker0024^FE_ESTIMATE(PRODLINE_EBIT_17,MEAN,QUARTERLY_ROLL,2019/3F,45813,,,'')&lt;/Q&gt;&lt;R&gt;1&lt;/R&gt;&lt;C&gt;1&lt;/C&gt;&lt;D xsi:type="xsd:double"&gt;3154&lt;/D&gt;&lt;/FQL&gt;&lt;FQL&gt;&lt;Q&gt;Ticker0024^FE_ESTIMATE(PRODLINE_EBIT_17,MEAN,QUARTERLY_ROLL,2019/2F,45813,,,'')&lt;/Q&gt;&lt;R&gt;1&lt;/R&gt;&lt;C&gt;1&lt;/C&gt;&lt;D xsi:type="xsd:double"&gt;2964&lt;/D&gt;&lt;/FQL&gt;&lt;FQL&gt;&lt;Q&gt;Ticker0024^FE_ESTIMATE(PRODLINE_EBIT_17,MEAN,QUARTERLY_ROLL,2019/1F,45813,,,'')&lt;/Q&gt;&lt;R&gt;1&lt;/R&gt;&lt;C&gt;1&lt;/C&gt;&lt;D xsi:type="xsd:double"&gt;3143&lt;/D&gt;&lt;/FQL&gt;&lt;FQL&gt;&lt;Q&gt;Ticker0024^FE_ESTIMATE(PRODLINE_EBIT_17,MEAN,ANNUAL_ROLL,2018,45813,,,'')&lt;/Q&gt;&lt;R&gt;1&lt;/R&gt;&lt;C&gt;1&lt;/C&gt;&lt;D xsi:type="xsd:double"&gt;10610.25&lt;/D&gt;&lt;/FQL&gt;&lt;FQL&gt;&lt;Q&gt;Ticker0024^FE_ESTIMATE(PRODLINE_EBIT_17,MEAN,QUARTERLY_ROLL,2018/4F,45813,,,'')&lt;/Q&gt;&lt;R&gt;1&lt;/R&gt;&lt;C&gt;1&lt;/C&gt;&lt;D xsi:type="xsd:double"&gt;3012&lt;/D&gt;&lt;/FQL&gt;&lt;FQL&gt;&lt;Q&gt;Ticker0024^FE_ESTIMATE(PRODLINE_EBIT_17,MEAN,QUARTERLY_ROLL,2018/3F,45813,,,'')&lt;/Q&gt;&lt;R&gt;1&lt;/R&gt;&lt;C&gt;1&lt;/C&gt;&lt;D xsi:type="xsd:double"&gt;2523&lt;/D&gt;&lt;/FQL&gt;&lt;FQL&gt;&lt;Q&gt;Ticker0024^FE_ESTIMATE(PRODLINE_EBIT_17,MEAN,QUARTERLY_ROLL,2018/2F,45813,,,'')&lt;/Q&gt;&lt;R&gt;1&lt;/R&gt;&lt;C&gt;1&lt;/C&gt;&lt;D xsi:type="xsd:double"&gt;2510&lt;/D&gt;&lt;/FQL&gt;&lt;FQL&gt;&lt;Q&gt;Ticker0024^FE_ESTIMATE(PRODLINE_EBIT_17,MEAN,QUARTERLY_ROLL,2018/1F,45813,,,'')&lt;/Q&gt;&lt;R&gt;1&lt;/R&gt;&lt;C&gt;1&lt;/C&gt;&lt;D xsi:type="xsd:double"&gt;2565&lt;/D&gt;&lt;/FQL&gt;&lt;FQL&gt;&lt;Q&gt;Ticker0024^FE_ESTIMATE(PRODLINE_EBIT_17,MEAN,ANNUAL_ROLL,2017,45813,,,'')&lt;/Q&gt;&lt;R&gt;1&lt;/R&gt;&lt;C&gt;1&lt;/C&gt;&lt;D xsi:type="xsd:double"&gt;8288&lt;/D&gt;&lt;/FQL&gt;&lt;FQL&gt;&lt;Q&gt;Ticker0024^FE_ESTIMATE(PRODLINE_EBIT_17,MEAN,QUARTERLY_ROLL,2017/4F,45813,,,'')&lt;/Q&gt;&lt;R&gt;1&lt;/R&gt;&lt;C&gt;1&lt;/C&gt;&lt;D xsi:type="xsd:double"&gt;1764&lt;/D&gt;&lt;/FQL&gt;&lt;FQL&gt;&lt;Q&gt;Ticker0024^FE_ESTIMATE(PRODLINE_EBIT_17,MEAN,QUARTERLY_ROLL,2017/3F,45813,,,'')&lt;/Q&gt;&lt;R&gt;1&lt;/R&gt;&lt;C&gt;1&lt;/C&gt;&lt;D xsi:type="xsd:double"&gt;2097&lt;/D&gt;&lt;/FQL&gt;&lt;FQL&gt;&lt;Q&gt;Ticker0024^FE_ESTIMATE(PRODLINE_EBIT_17,MEAN,QUARTERLY_ROLL,2017/2F,45813,,,'')&lt;/Q&gt;&lt;R&gt;1&lt;/R&gt;&lt;C&gt;1&lt;/C&gt;&lt;D xsi:type="xsd:double"&gt;2499&lt;/D&gt;&lt;/FQL&gt;&lt;FQL&gt;&lt;Q&gt;Ticker0024^FE_ESTIMATE(PRODLINE_EBIT_17,MEAN,QUARTERLY_ROLL,2017/1F,45813,,,'')&lt;/Q&gt;&lt;R&gt;1&lt;/R&gt;&lt;C&gt;1&lt;/C&gt;&lt;D xsi:type="xsd:double"&gt;1928&lt;/D&gt;&lt;/FQL&gt;&lt;FQL&gt;&lt;Q&gt;Ticker0024^FE_ESTIMATE(PRODLINE_EBIT_17,MEAN,ANNUAL_ROLL,2016,45813,,,'')&lt;/Q&gt;&lt;R&gt;1&lt;/R&gt;&lt;C&gt;1&lt;/C&gt;&lt;D xsi:type="xsd:double"&gt;6167.3335&lt;/D&gt;&lt;/FQL&gt;&lt;FQL&gt;&lt;Q&gt;Ticker0024^FE_ESTIMATE(PRODLINE_EBIT_17,MEAN,QUARTERLY_ROLL,2016/4F,45813,,,'')&lt;/Q&gt;&lt;R&gt;1&lt;/R&gt;&lt;C&gt;1&lt;/C&gt;&lt;D xsi:type="xsd:double"&gt;964&lt;/D&gt;&lt;/FQL&gt;&lt;FQL&gt;&lt;Q&gt;Ticker0024^FE_ESTIMATE(PRODLINE_EBIT_17,MEAN,QUARTERLY_ROLL,2016/3F,45813,,,'')&lt;/Q&gt;&lt;R&gt;1&lt;/R&gt;&lt;C&gt;1&lt;/C&gt;&lt;D xsi:type="xsd:double"&gt;1645&lt;/D&gt;&lt;/FQL&gt;&lt;FQL&gt;&lt;Q&gt;Ticker0024^FE_ESTIMATE(PRODLINE_EBIT_17,MEAN,QUARTERLY_ROLL,2016/2F,45813,,,'')&lt;/Q&gt;&lt;R&gt;0&lt;/R&gt;&lt;C&gt;0&lt;/C&gt;&lt;/FQL&gt;&lt;FQL&gt;&lt;Q&gt;Ticker0024^FE_ESTIMATE(PRODLINE_EBIT_17,MEAN,QUARTERLY_ROLL,2016/1F,45813,,,'')&lt;/Q&gt;&lt;R&gt;0&lt;/R&gt;&lt;C&gt;0&lt;/C&gt;&lt;/FQL&gt;&lt;FQL&gt;&lt;Q&gt;Ticker0024^FE_ESTIMATE(PRODLINE_EBIT_17,MEAN,ANNUAL_ROLL,2015,45813,,,'')&lt;/Q&gt;&lt;R&gt;0&lt;/R&gt;&lt;C&gt;0&lt;/C&gt;&lt;/FQL&gt;&lt;FQL&gt;&lt;Q&gt;Ticker0024^FE_ESTIMATE(PRODLINE_EBIT_17,MEAN,QUARTERLY_ROLL,2015/4F,45813,,,'')&lt;/Q&gt;&lt;R&gt;0&lt;/R&gt;&lt;C&gt;0&lt;/C&gt;&lt;/FQL&gt;&lt;FQL&gt;&lt;Q&gt;Ticker0024^FE_ESTIMATE(PRODLINE_EBIT_17,MEAN,QUARTERLY_ROLL,2015/3F,45813,,,'')&lt;/Q&gt;&lt;R&gt;0&lt;/R&gt;&lt;C&gt;0&lt;/C&gt;&lt;/FQL&gt;&lt;FQL&gt;&lt;Q&gt;Ticker0024^FE_ESTIMATE(PRODLINE_EBIT_17,MEAN,QUARTERLY_ROLL,2015/2F,45813,,,'')&lt;/Q&gt;&lt;R&gt;0&lt;/R&gt;&lt;C&gt;0&lt;/C&gt;&lt;/FQL&gt;&lt;FQL&gt;&lt;Q&gt;Ticker0024^FE_ESTIMATE(PRODLINE_EBIT_17,MEAN,QUARTERLY_ROLL,2015/1F,45813,,,'')&lt;/Q&gt;&lt;R&gt;0&lt;/R&gt;&lt;C&gt;0&lt;/C&gt;&lt;/FQL&gt;&lt;FQL&gt;&lt;Q&gt;Ticker0024^FE_ESTIMATE(PRODLINE_EBIT_16,MEAN,ANNUAL_ROLL,2030,45813,,,'')&lt;/Q&gt;&lt;R&gt;0&lt;/R&gt;&lt;C&gt;0&lt;/C&gt;&lt;/FQL&gt;&lt;FQL&gt;&lt;Q&gt;Ticker0024^FE_ESTIMATE(PRODLINE_EBIT_16,MEAN,QUARTERLY_ROLL,2030/4F,45813,,,'')&lt;/Q&gt;&lt;R&gt;0&lt;/R&gt;&lt;C&gt;0&lt;/C&gt;&lt;/FQL&gt;&lt;FQL&gt;&lt;Q&gt;Ticker0024^FE_ESTIMATE(PRODLINE_EBIT_16,MEAN,QUARTERLY_ROLL,2030/3F,45813,,,'')&lt;/Q&gt;&lt;R&gt;0&lt;/R&gt;&lt;C&gt;0&lt;/C&gt;&lt;/FQL&gt;&lt;FQL&gt;&lt;Q&gt;Ticker0024^FE_ESTIMATE(PRODLINE_EBIT_16,MEAN,QUARTERLY_ROLL,2030/2F,45813,,,'')&lt;/Q&gt;&lt;R&gt;0&lt;/R&gt;&lt;C&gt;0&lt;/C&gt;&lt;/FQL&gt;&lt;FQL&gt;&lt;Q&gt;Ticker0024^FE_ESTIMATE(PRODLINE_EBIT_16,MEAN,QUARTERLY_ROLL,2030/1F,45813,,,'')&lt;/Q&gt;&lt;R&gt;0&lt;/R&gt;&lt;C&gt;0&lt;/C&gt;&lt;/FQL&gt;&lt;FQL&gt;&lt;Q&gt;Ticker0024^FE_ESTIMATE(PRODLINE_EBIT_16,MEAN,ANNUAL_ROLL,2029,45813,,,'')&lt;/Q&gt;&lt;R&gt;0&lt;/R&gt;&lt;C&gt;0&lt;/C&gt;&lt;/FQL&gt;&lt;FQL&gt;&lt;Q&gt;Ticker0024^FE_ESTIMATE(PRODLINE_EBIT_16,MEAN,QUARTERLY_ROLL,2029/4F,45813,,,'')&lt;/Q&gt;&lt;R&gt;0&lt;/R&gt;&lt;C&gt;0&lt;/C&gt;&lt;/FQL&gt;&lt;FQL&gt;&lt;Q&gt;Ticker0024^FE_ESTIMATE(PRODLINE_EBIT_16,MEAN,QUARTERLY_ROLL,2029/3F,45813,,,'')&lt;/Q&gt;&lt;R&gt;0&lt;/R&gt;&lt;C&gt;0&lt;/C&gt;&lt;/FQL&gt;&lt;FQL&gt;&lt;Q&gt;Ticker0024^FE_ESTIMATE(PRODLINE_EBIT_16,MEAN,QUARTERLY_ROLL,2029/2F,45813,,,'')&lt;/Q&gt;&lt;R&gt;0&lt;/R&gt;&lt;C&gt;0&lt;/C&gt;&lt;/FQL&gt;&lt;FQL&gt;&lt;Q&gt;Ticker0024^FE_ESTIMATE(PRODLINE_EBIT_16,MEAN,QUARTERLY_ROLL,2029/1F,45813,,,'')&lt;/Q&gt;&lt;R&gt;0&lt;/R&gt;&lt;C&gt;0&lt;/C&gt;&lt;/FQL&gt;&lt;FQL&gt;&lt;Q&gt;Ticker0024^FE_ESTIMATE(PRODLINE_EBIT_16,MEAN,ANNUAL_ROLL,2028,45813,,,'')&lt;/Q&gt;&lt;R&gt;0&lt;/R&gt;&lt;C&gt;0&lt;/C&gt;&lt;/FQL&gt;&lt;FQL&gt;&lt;Q&gt;Ticker0024^FE_ESTIMATE(PRODLINE_EBIT_16,MEAN,QUARTERLY_ROLL,2028/4F,45813,,,'')&lt;/Q&gt;&lt;R&gt;0&lt;/R&gt;&lt;C&gt;0&lt;/C&gt;&lt;/FQL&gt;&lt;FQL&gt;&lt;Q&gt;Ticker0024^FE_ESTIMATE(PRODLINE_EBIT_16,MEAN,QUARTERLY_ROLL,2028/3F,45813,,,'')&lt;/Q&gt;&lt;R&gt;0&lt;/R&gt;&lt;C&gt;0&lt;/C&gt;&lt;/FQL&gt;&lt;FQL&gt;&lt;Q&gt;Ticker0024^FE_ESTIMATE(PRODLINE_EBIT_16,MEAN,QUARTERLY_ROLL,2028/2F,45813,,,'')&lt;/Q&gt;&lt;R&gt;0&lt;/R&gt;&lt;C&gt;0&lt;/C&gt;&lt;/FQL&gt;&lt;FQL&gt;&lt;Q&gt;Ticker0024^FE_ESTIMATE(PRODLINE_EBIT_16,MEAN,QUARTERLY_ROLL,2028/1F,45813,,,'')&lt;/Q&gt;&lt;R&gt;0&lt;/R&gt;&lt;C&gt;0&lt;/C&gt;&lt;/FQL&gt;&lt;FQL&gt;&lt;Q&gt;Ticker0024^FE_ESTIMATE(PRODLINE_EBIT_16,MEAN,ANNUAL_ROLL,2027,45813,,,'')&lt;/Q&gt;&lt;R&gt;1&lt;/R&gt;&lt;C&gt;1&lt;/C&gt;&lt;D xsi:type="xsd:double"&gt;62938.5&lt;/D&gt;&lt;/FQL&gt;&lt;FQL&gt;&lt;Q&gt;Ticker0024^FE_ESTIMATE(PRODLINE_EBIT_16,MEAN,QUARTERLY_ROLL,2027/4F,45813,,,'')&lt;/Q&gt;&lt;R&gt;0&lt;/R&gt;&lt;C&gt;0&lt;/C&gt;&lt;/FQL&gt;&lt;FQL&gt;&lt;Q&gt;Ticker0024^FE_ESTIMATE(PRODLINE_EBIT_16,MEAN,QUARTERLY_ROLL,2027/3F,45813,,,'')&lt;/Q&gt;&lt;R&gt;0&lt;/R&gt;&lt;C&gt;0&lt;/C&gt;&lt;/FQL&gt;&lt;FQL&gt;&lt;Q&gt;Ticker0024^FE_ESTIMATE(PRODLINE_EBIT_16,MEAN,QUARTERLY_ROLL,2027/2F,45813,,,'')&lt;/Q&gt;&lt;R&gt;0&lt;/R&gt;&lt;C&gt;0&lt;/C&gt;&lt;/FQL&gt;&lt;FQL&gt;&lt;Q&gt;Ticker0024^FE_ESTIMATE(PRODLINE_EBIT_16,MEAN,QUARTERLY_ROLL,2027/1F,45813,,,'')&lt;/Q&gt;&lt;R&gt;0&lt;/R&gt;&lt;C&gt;0&lt;/C&gt;&lt;/FQL&gt;&lt;FQL&gt;&lt;Q&gt;Ticker0024^FE_ESTIMATE(PRODLINE_EBIT_16,MEAN,ANNUAL_ROLL,2026,45813,,,'')&lt;/Q&gt;&lt;R&gt;1&lt;/R&gt;&lt;C&gt;1&lt;/C&gt;&lt;D xsi:type="xsd:double"&gt;55861.668&lt;/D&gt;&lt;/FQL&gt;&lt;FQL&gt;&lt;Q&gt;Ticker0024^FE_ESTIMATE(PRODLINE_EBIT_16,MEAN,QUARTERLY_ROLL,2026/4F,45813,,,'')&lt;/Q&gt;&lt;R&gt;1&lt;/R&gt;&lt;C&gt;1&lt;/C&gt;&lt;D xsi:type="xsd:double"&gt;14828&lt;/D&gt;&lt;/FQL&gt;&lt;FQL&gt;&lt;Q&gt;Ticker0024^FE_ESTIMATE(PRODLINE_EBIT_16,MEAN,QUARTERLY_ROLL,2026/3F,45813,,,'')&lt;/Q&gt;&lt;R&gt;1&lt;/R&gt;&lt;C&gt;1&lt;/C&gt;&lt;D xsi:type="xsd:double"&gt;14074&lt;/D&gt;&lt;/FQL&gt;&lt;FQL&gt;&lt;Q&gt;Ticker0024^FE_ESTIMATE(PRODLINE_EBIT_16,MEAN,QUARTERLY_ROLL,2026/2F,45813,,,'')&lt;/Q&gt;&lt;R&gt;1&lt;/R&gt;&lt;C&gt;1&lt;/C&gt;&lt;D xsi:type="xsd:double"&gt;13547.333&lt;/D&gt;&lt;/FQL&gt;&lt;FQL&gt;&lt;Q&gt;Ticker0024^FE_ESTIMATE(PRODLINE_EBIT_16,MEAN,QUARTERLY_ROLL,2026/1F,45813,,,'')&lt;/Q&gt;&lt;R&gt;1&lt;/R&gt;&lt;C&gt;1&lt;/C&gt;&lt;D xsi:type="xsd:double"&gt;13412&lt;/D&gt;&lt;/FQL&gt;&lt;FQL&gt;&lt;Q&gt;Ticker0024^FE_ESTIMATE(PRODLINE_EBIT_16,MEAN,ANNUAL_ROLL,2025,45813,,,'')&lt;/Q&gt;&lt;R&gt;1&lt;/R&gt;&lt;C&gt;1&lt;/C&gt;&lt;D xsi:type="xsd:double"&gt;46848&lt;/D&gt;&lt;/FQL&gt;&lt;FQL&gt;&lt;Q&gt;Ticker0024^FE_ESTIMATE(PRODLINE_EBIT_16,MEAN,QUARTERLY_ROLL,2025/4F,45813,,,'')&lt;/Q&gt;&lt;R&gt;1&lt;/R&gt;&lt;C&gt;1&lt;/C&gt;&lt;D xsi:type="xsd:double"&gt;12553.25&lt;/D&gt;&lt;/FQL&gt;&lt;FQL&gt;&lt;Q&gt;Ticker0024^FE_ESTIMATE(PRODLINE_EBIT_16,MEAN,QUARTERLY_ROLL,2025/3F,45813,,,'')&lt;/Q&gt;&lt;R&gt;1&lt;/R&gt;&lt;C&gt;1&lt;/C&gt;&lt;D xsi:type="xsd:double"&gt;11635.25&lt;/D&gt;&lt;/FQL&gt;&lt;FQL&gt;&lt;Q&gt;Ticker0024^FE_ESTIMATE(PRODLINE_EBIT_16,MEAN,QUARTERLY_ROLL,2025/2F,45813,,,'')&lt;/Q&gt;&lt;R&gt;1&lt;/R&gt;&lt;C&gt;1&lt;/C&gt;&lt;D xsi:type="xsd:double"&gt;11386.8&lt;/D&gt;&lt;/FQL&gt;&lt;FQL&gt;&lt;Q&gt;Ticker0024^FE_ESTIMATE(PRODLINE_EBIT_16,MEAN,QUARTERLY_ROLL,2025/1F,45813,,,'')&lt;/Q&gt;&lt;R&gt;1&lt;/R&gt;&lt;C&gt;1&lt;/C&gt;&lt;D xsi:type="xsd:double"&gt;11013&lt;/D&gt;&lt;/FQL&gt;&lt;FQL&gt;&lt;Q&gt;Ticker0024^FE_ESTIMATE(PRODLINE_EBIT_16,MEAN,ANNUAL_ROLL,2024,45813,,,'')&lt;/Q&gt;&lt;R&gt;1&lt;/R&gt;&lt;C&gt;1&lt;/C&gt;&lt;D xsi:type="xsd:double"&gt;49583.2&lt;/D&gt;&lt;/FQL&gt;&lt;FQL&gt;&lt;Q&gt;Ticker0024^FE_ESTIMATE(PRODLINE_EBIT_16,MEAN,QUARTERLY_ROLL,2024/4F,45813,,,'')&lt;/Q&gt;&lt;R&gt;1&lt;/R&gt;&lt;C&gt;1&lt;/C&gt;&lt;D xsi:type="xsd:double"&gt;12859.2&lt;/D&gt;&lt;/FQL&gt;&lt;FQL&gt;&lt;Q&gt;Ticker0024^FE_ESTIMATE(PRODLINE_EBIT_16,MEAN,QUARTERLY_ROLL,2024/3F,45813,,,'')&lt;/Q&gt;&lt;R&gt;1&lt;/R&gt;&lt;C&gt;1&lt;/C&gt;&lt;D xsi:type="xsd:double"&gt;12512.571&lt;/D&gt;&lt;/FQL&gt;&lt;FQL&gt;&lt;Q&gt;Ticker0024^FE_ESTIMATE(PRODLINE_EBIT_16,MEAN,QUARTERLY_ROLL,2024/2F,45813,,,'')&lt;/Q&gt;&lt;R&gt;1&lt;/R&gt;&lt;C&gt;1&lt;/C&gt;&lt;D xsi:type="xsd:double"&gt;12460.833&lt;/D&gt;&lt;/FQL&gt;&lt;FQL&gt;&lt;Q&gt;Ticker0024^FE_ESTIMATE(PRODLINE_EBIT_16,MEAN,QUARTERLY_ROLL,2024/1F,45813,,,'')&lt;/Q&gt;&lt;R&gt;1&lt;/R&gt;&lt;C&gt;1&lt;/C&gt;&lt;D xsi:type="xsd:double"&gt;11750.8&lt;/D&gt;&lt;/FQL&gt;&lt;FQL&gt;&lt;Q&gt;Ticker0024^FE_ESTIMATE(PRODLINE_EBIT_16,MEAN,ANNUAL_ROLL,2023,45813,,,'')&lt;/Q&gt;&lt;R&gt;1&lt;/R&gt;&lt;C&gt;1&lt;/C&gt;&lt;D xsi:type="xsd:double"&gt;37883.2&lt;/D&gt;&lt;/FQL&gt;&lt;FQL&gt;&lt;Q&gt;Ticker0024^FE_ESTIMATE(PRODLINE_EBIT_16,MEAN,QUARTERLY_ROLL,2023/4F,45813,,,'')&lt;/Q&gt;&lt;R&gt;1&lt;/R&gt;&lt;C&gt;1&lt;/C&gt;&lt;D xsi:type="xsd:double"&gt;10526.8&lt;/D&gt;&lt;/FQL&gt;&lt;FQL&gt;&lt;Q&gt;Ticker0024^FE_ESTIMATE(PRODLINE_EBIT_16,MEAN,QUARTERLY_ROLL,2023/3F,45813,,,'')&lt;/Q&gt;&lt;R&gt;1&lt;/R&gt;&lt;C&gt;1&lt;/C&gt;&lt;D xsi:type="xsd:double"&gt;9476.8&lt;/D&gt;&lt;/FQL&gt;&lt;FQL&gt;&lt;Q&gt;Ticker0024^FE_ESTIMATE(PRODLINE_EBIT_16,MEAN,QUARTERLY_ROLL,2023/2F,45813,,,'')&lt;/Q&gt;&lt;R&gt;1&lt;/R&gt;&lt;C&gt;1&lt;/C&gt;&lt;D xsi:type="xsd:double"&gt;8903.2&lt;/D&gt;&lt;/FQL&gt;&lt;FQL&gt;&lt;Q&gt;Ticker0024^FE_ESTIMATE(PRODLINE_EBIT_16,MEAN,QUARTERLY_ROLL,2023/1F,45813,,,'')&lt;/Q&gt;&lt;R&gt;1&lt;/R&gt;&lt;C&gt;1&lt;/C&gt;&lt;D xsi:type="xsd:double"&gt;8954.6&lt;/D&gt;&lt;/FQL&gt;&lt;FQL&gt;&lt;Q&gt;Ticker0024^FE_ESTIMATE(PRODLINE_EBIT_16,MEAN,ANNUAL_ROLL,2022,45813,,,'')&lt;/Q&gt;&lt;R&gt;1&lt;/R&gt;&lt;C&gt;1&lt;/C&gt;&lt;D xsi:type="xsd:double"&gt;32708.6&lt;/D&gt;&lt;/FQL&gt;&lt;FQL&gt;&lt;Q&gt;Ticker0024^FE_ESTIMATE(PRODLINE_EBIT_16,MEAN,QUARTERLY_ROLL,2022/4F,45813,,,'')&lt;/Q&gt;&lt;R&gt;1&lt;/R&gt;&lt;C&gt;1&lt;/C&gt;&lt;D xsi:type="xsd:double"&gt;8668.8&lt;/D&gt;&lt;/FQL&gt;&lt;FQL&gt;&lt;Q&gt;Ticker0024^FE_ESTIMATE(PRODLINE_EBIT_16,MEAN,QUARTERLY_ROLL,2022/3F,45813,,,'')&lt;/Q&gt;&lt;R&gt;1&lt;/R&gt;&lt;C&gt;1&lt;/C&gt;&lt;D xsi:type="xsd:double"&gt;8281&lt;/D&gt;&lt;/FQL&gt;&lt;FQL&gt;&lt;Q&gt;Ticker0024^FE_ESTIMATE(PRODLINE_EBIT_16,MEAN,QUARTERLY_ROLL,2022/2F,45813,,,'')&lt;/Q&gt;&lt;R&gt;1&lt;/R&gt;&lt;C&gt;1&lt;/C&gt;&lt;D xsi:type="xsd:double"&gt;8197&lt;/D&gt;&lt;/FQL&gt;&lt;FQL&gt;&lt;Q&gt;Ticker0024^FE_ESTIMATE(PRODLINE_EBIT_16,MEAN,QUARTERLY_ROLL,2022/1F,45813,,,'')&lt;/Q&gt;&lt;R&gt;1&lt;/R&gt;&lt;C&gt;1&lt;/C&gt;&lt;D xsi:type="xsd:double"&gt;7562&lt;/D&gt;&lt;/FQL&gt;&lt;FQL&gt;&lt;Q&gt;Ticker0024^FE_ESTIMATE(PRODLINE_EBIT_16,MEAN,ANNUAL_ROLL,2021,45813,,,'')&lt;/Q&gt;&lt;R&gt;1&lt;/R&gt;&lt;C&gt;1&lt;/C&gt;&lt;D xsi:type="xsd:double"&gt;26126&lt;/D&gt;&lt;/FQL&gt;&lt;FQL&gt;&lt;Q&gt;Ticker0024^FE_ESTIMATE(PRODLINE_EBIT_16,MEAN,QUARTERLY_ROLL,2021/4F,45813,,,'')&lt;/Q&gt;&lt;R&gt;1&lt;/R&gt;&lt;C&gt;1&lt;/C&gt;&lt;D xsi:type="xsd:double"&gt;7787&lt;/D&gt;&lt;/FQL&gt;&lt;FQL&gt;&lt;Q&gt;Ticker0024^FE_ESTIMATE(PRODLINE_EBIT_16,MEAN,QUARTERLY_ROLL,2021/3F,45813,,,'')&lt;/Q&gt;&lt;R&gt;1&lt;/R&gt;&lt;C&gt;1&lt;/C&gt;&lt;D xsi:type="xsd:double"&gt;6425&lt;/D&gt;&lt;/FQL&gt;&lt;FQL&gt;&lt;Q&gt;Ticker0024^FE_ESTIMATE(PRODLINE_EBIT_16,MEAN,QUARTERLY_ROLL,2021/2F,45813,,,'')&lt;/Q&gt;&lt;R&gt;1&lt;/R&gt;&lt;C&gt;1&lt;/C&gt;&lt;D xsi:type="xsd:double"&gt;6492&lt;/D&gt;&lt;/FQL&gt;&lt;FQL&gt;&lt;Q&gt;Ticker0024^FE_ESTIMATE(PRODLINE_EBIT_16,MEAN,QUARTERLY_ROLL,2021/1F,45813,,,'')&lt;/Q&gt;&lt;R&gt;1&lt;/R&gt;&lt;C&gt;1&lt;/C&gt;&lt;D xsi:type="xsd:double"&gt;5422&lt;/D&gt;&lt;/FQL&gt;&lt;FQL&gt;&lt;Q&gt;Ticker0024^FE_ESTIMATE(PRODLINE_EBIT_16,MEAN,ANNUAL_ROLL,2020,45813,,,'')&lt;/Q&gt;&lt;R&gt;1&lt;/R&gt;&lt;C&gt;1&lt;/C&gt;&lt;D xsi:type="xsd:double"&gt;18188.334&lt;/D&gt;&lt;/FQL&gt;&lt;FQL&gt;&lt;Q&gt;Ticker0024^FE_ESTIMATE(PRODLINE_EBIT_16,MEAN,QUARTERLY_ROLL,2020/4F,45813,,,'')&lt;/Q&gt;&lt;R&gt;1&lt;/R&gt;&lt;C&gt;1&lt;/C&gt;&lt;D xsi:type="xsd:double"&gt;5208.3335&lt;/D&gt;&lt;/FQL&gt;&lt;FQL&gt;&lt;Q&gt;Ticker0024^FE_ESTIMATE(PRODLINE_EBIT_16,MEAN,QUARTERLY_ROLL,2020/3F,45813,,,'')&lt;/Q&gt;&lt;R&gt;1&lt;/R&gt;&lt;C&gt;1&lt;/C&gt;&lt;D xsi:type="xsd:double"&gt;4560&lt;/D&gt;&lt;/FQL&gt;&lt;FQL&gt;&lt;Q&gt;Ticker0024^FE_ESTIMATE(PRODLINE_EBIT_16,MEAN,QUARTERLY_ROLL,2020/2F,45813,,,'')&lt;/Q&gt;&lt;R&gt;1&lt;/R&gt;&lt;C&gt;1&lt;/C&gt;&lt;D xsi:type="xsd:double"&gt;4531&lt;/D&gt;&lt;/FQL&gt;&lt;FQL&gt;&lt;Q&gt;Ticker0024^FE_ESTIMATE(PRODLINE_EBIT_16,MEAN,QUARTERLY_ROLL,2020/1F,45813,,,'')&lt;/Q&gt;&lt;R&gt;1&lt;/R&gt;&lt;C&gt;1&lt;/C&gt;&lt;D xsi:type="xsd:double"&gt;3889&lt;/D&gt;&lt;/FQL&gt;&lt;FQL&gt;&lt;Q&gt;Ticker0024^FE_ESTIMATE(PRODLINE_EBIT_16,MEAN,ANNUAL_ROLL,2019,45813,,,'')&lt;/Q&gt;&lt;R&gt;1&lt;/R&gt;&lt;C&gt;1&lt;/C&gt;&lt;D xsi:type="xsd:double"&gt;13920&lt;/D&gt;&lt;/FQL&gt;&lt;FQL&gt;&lt;Q&gt;Ticker0024^FE_ESTIMATE(PRODLINE_EBIT_16,MEAN,QUARTERLY_ROLL,2019/4F,45813,,,'')&lt;/Q&gt;&lt;R&gt;1&lt;/R&gt;&lt;C&gt;1&lt;/C&gt;&lt;D xsi:type="xsd:double"&gt;4502&lt;/D&gt;&lt;/FQL&gt;&lt;FQL&gt;&lt;Q&gt;Ticker0024^FE_ESTIMATE(PRODLINE_EBIT_16,MEAN,QUARTERLY_ROLL,2019/3F,45813,,,'')&lt;/Q&gt;&lt;R&gt;1&lt;/R&gt;&lt;C&gt;1&lt;/C&gt;&lt;D xsi:type="xsd:double"&gt;3208&lt;/D&gt;&lt;/FQL&gt;&lt;FQL&gt;&lt;Q&gt;Ticker0024^FE_ESTIMATE(PRODLINE_EBIT_16,MEAN,QUARTERLY_ROLL,2019/2F,45813,,,'')&lt;/Q&gt;&lt;R&gt;1&lt;/R&gt;&lt;C&gt;1&lt;/C&gt;&lt;D xsi:type="xsd:double"&gt;3278.75&lt;/D&gt;&lt;/FQL&gt;&lt;FQL&gt;&lt;Q&gt;Ticker0024^FE_ESTIMATE(PRODLINE_EBIT_16,MEAN,QUARTERLY_ROLL,2019/1F,45813,,,'')&lt;/Q&gt;&lt;R&gt;1&lt;/R&gt;&lt;C&gt;1&lt;/C&gt;&lt;D xsi:type="xsd:double"&gt;2931&lt;/D&gt;&lt;/FQL&gt;&lt;FQL&gt;&lt;Q&gt;Ticker0024^FE_ESTIMATE(PRODLINE_EBIT_16,MEAN,ANNUAL_ROLL,2018,45813,,,'')&lt;/Q&gt;&lt;R&gt;1&lt;/R&gt;&lt;C&gt;1&lt;/C&gt;&lt;D xsi:type="xsd:double"&gt;11524&lt;/D&gt;&lt;/FQL&gt;&lt;FQL&gt;&lt;Q&gt;Ticker0024^FE_ESTIMATE(PRODLINE_EBIT_16,MEAN,QUARTERLY_ROLL,2018/4F,45813,,,'')&lt;/Q&gt;&lt;R&gt;1&lt;/R&gt;&lt;C&gt;1&lt;/C&gt;&lt;D xsi:type="xsd:double"&gt;3901&lt;/D&gt;&lt;/FQL&gt;&lt;FQL&gt;&lt;Q&gt;Ticker0024^FE_ESTIMATE(PRODLINE_EBIT_16,MEAN,QUARTERLY_ROLL,2018/3F,45813,,,'')&lt;/Q&gt;&lt;R&gt;1&lt;/R&gt;&lt;C&gt;1&lt;/C&gt;&lt;D xsi:type="xsd:double"&gt;2654&lt;/D&gt;&lt;/FQL&gt;&lt;FQL&gt;&lt;Q&gt;Ticker0024^FE_ESTIMATE(PRODLINE_EBIT_16,MEAN,QUARTERLY_ROLL,2018/2F,45813,,,'')&lt;/Q&gt;&lt;R&gt;1&lt;/R&gt;&lt;C&gt;1&lt;/C&gt;&lt;D xsi:type="xsd:double"&gt;2832&lt;/D&gt;&lt;/FQL&gt;&lt;FQL&gt;&lt;Q&gt;Ticker0024^FE_ESTIMATE(PRODLINE_EBIT_16,MEAN,QUARTERLY_ROLL,2018/1F,45813,,,'')&lt;/Q&gt;&lt;R&gt;1&lt;/R&gt;&lt;C&gt;1&lt;/C&gt;&lt;D xsi:type="xsd:double"&gt;2137&lt;/D&gt;&lt;/FQL&gt;&lt;FQL&gt;&lt;Q&gt;Ticker0024^FE_ESTIMATE(PRODLINE_EBIT_16,MEAN,ANNUAL_ROLL,2017,45813,,,'')&lt;/Q&gt;&lt;R&gt;1&lt;/R&gt;&lt;C&gt;1&lt;/C&gt;&lt;D xsi:type="xsd:double"&gt;9138&lt;/D&gt;&lt;/FQL&gt;&lt;FQL&gt;&lt;Q&gt;Ticker0024^FE_ESTIMATE(PRODLINE_EBIT_16,MEAN,QUARTERLY_ROLL,2017/4F,45813,,,'')&lt;/Q&gt;&lt;R&gt;1&lt;/R&gt;&lt;C&gt;1&lt;/C&gt;&lt;D xsi:type="xsd:double"&gt;2501&lt;/D&gt;&lt;/FQL&gt;&lt;FQL&gt;&lt;Q&gt;Ticker0024^FE_ESTIMATE(PRODLINE_EBIT_16,MEAN,QUARTERLY_ROLL,2017/3F,45813,,,'')&lt;/Q&gt;&lt;R&gt;1&lt;/R&gt;&lt;C&gt;1&lt;/C&gt;&lt;D xsi:type="xsd:double"&gt;2181&lt;/D&gt;&lt;/FQL&gt;&lt;FQL&gt;&lt;Q&gt;Ticker0024^FE_ESTIMATE(PRODLINE_EBIT_16,MEAN,QUARTERLY_ROLL,2017/2F,45813,,,'')&lt;/Q&gt;&lt;R&gt;1&lt;/R&gt;&lt;C&gt;1&lt;/C&gt;&lt;D xsi:type="xsd:double"&gt;2398&lt;/D&gt;&lt;/FQL&gt;&lt;FQL&gt;&lt;Q&gt;Ticker0024^FE_ESTIMATE(PRODLINE_EBIT_16,MEAN,QUARTERLY_ROLL,2017/1F,45813,,,'')&lt;/Q&gt;&lt;R&gt;1&lt;/R&gt;&lt;C&gt;1&lt;/C&gt;&lt;D xsi:type="xsd:double"&gt;2058&lt;/D&gt;&lt;/FQL&gt;&lt;FQL&gt;&lt;Q&gt;Ticker0024^FE_ESTIMATE(PRODLINE_EBIT_16,MEAN,ANNUAL_ROLL,2016,45813,,,'')&lt;/Q&gt;&lt;R&gt;1&lt;/R&gt;&lt;C&gt;1&lt;/C&gt;&lt;D xsi:type="xsd:double"&gt;9357&lt;/D&gt;&lt;/FQL&gt;&lt;FQL&gt;&lt;Q&gt;Ticker0024^FE_ESTIMATE(PRODLINE_EBIT_16,MEAN,QUARTERLY_ROLL,2016/4F,45813,,,'')&lt;/Q&gt;&lt;R&gt;1&lt;/R&gt;&lt;C&gt;1&lt;/C&gt;&lt;D xsi:type="xsd:double"&gt;2190&lt;/D&gt;&lt;/FQL&gt;&lt;FQL&gt;&lt;Q&gt;Ticker0024^FE_ESTIMATE(PRODLINE_EBIT_16,MEAN,QUARTERLY_ROLL,2016/3F,45813,,,'')&lt;/Q&gt;&lt;R&gt;1&lt;/R&gt;&lt;C&gt;1&lt;/C&gt;&lt;D xsi:type="xsd:double"&gt;2188&lt;/D&gt;&lt;/FQL&gt;&lt;FQL&gt;&lt;Q&gt;Ticker0024^FE_ESTIMATE(PRODLINE_EBIT_16,MEAN,QUARTERLY_ROLL,2016/2F,45813,,,'')&lt;/Q&gt;&lt;R&gt;0&lt;/R&gt;&lt;C&gt;0&lt;/C&gt;&lt;/FQL&gt;&lt;FQL&gt;&lt;Q&gt;Ticker0024^FE_ESTIMATE(PRODLINE_EBIT_16,MEAN,QUARTERLY_ROLL,2016/1F,45813,,,'')&lt;/Q&gt;&lt;R&gt;0&lt;/R&gt;&lt;C&gt;0&lt;/C&gt;&lt;/FQL&gt;&lt;FQL&gt;&lt;Q&gt;Ticker0024^FE_ESTIMATE(PRODLINE_EBIT_16,MEAN,ANNUAL_ROLL,2015,45813,,,'')&lt;/Q&gt;&lt;R&gt;0&lt;/R&gt;&lt;C&gt;0&lt;/C&gt;&lt;/FQL&gt;&lt;FQL&gt;&lt;Q&gt;Ticker0024^FE_ESTIMATE(PRODLINE_EBIT_16,MEAN,QUARTERLY_ROLL,2015/4F,45813,,,'')&lt;/Q&gt;&lt;R&gt;0&lt;/R&gt;&lt;C&gt;0&lt;/C&gt;&lt;/FQL&gt;&lt;FQL&gt;&lt;Q&gt;Ticker0024^FE_ESTIMATE(PRODLINE_EBIT_16,MEAN,QUARTERLY_ROLL,2015/3F,45813,,,'')&lt;/Q&gt;&lt;R&gt;0&lt;/R&gt;&lt;C&gt;0&lt;/C&gt;&lt;/FQL&gt;&lt;FQL&gt;&lt;Q&gt;Ticker0024^FE_ESTIMATE(PRODLINE_EBIT_16,MEAN,QUARTERLY_ROLL,2015/2F,45813,,,'')&lt;/Q&gt;&lt;R&gt;0&lt;/R&gt;&lt;C&gt;0&lt;/C&gt;&lt;/FQL&gt;&lt;FQL&gt;&lt;Q&gt;Ticker0024^FE_ESTIMATE(PRODLINE_EBIT_16,MEAN,QUARTERLY_ROLL,2015/1F,45813,,,'')&lt;/Q&gt;&lt;R&gt;0&lt;/R&gt;&lt;C&gt;0&lt;/C&gt;&lt;/FQL&gt;&lt;FQL&gt;&lt;Q&gt;Ticker0024^FE_ESTIMATE(PRODLINE_EBIT_15,MEAN,ANNUAL_ROLL,2030,45813,,,'')&lt;/Q&gt;&lt;R&gt;0&lt;/R&gt;&lt;C&gt;0&lt;/C&gt;&lt;/FQL&gt;&lt;FQL&gt;&lt;Q&gt;Ticker0024^FE_ESTIMATE(PRODLINE_EBIT_15,MEAN,QUARTERLY_ROLL,2030/4F,45813,,,'')&lt;/Q&gt;&lt;R&gt;0&lt;/R&gt;&lt;C&gt;0&lt;/C&gt;&lt;/FQL&gt;&lt;FQL&gt;&lt;Q&gt;Ticker0024^FE_ESTIMATE(PRODLINE_EBIT_15,MEAN,QUARTERLY_ROLL,2030/3F,45813,,,'')&lt;/Q&gt;&lt;R&gt;0&lt;/R&gt;&lt;C&gt;0&lt;/C&gt;&lt;/FQL&gt;&lt;FQL&gt;&lt;Q&gt;Ticker0024^FE_ESTIMATE(PRODLINE_EBIT_15,MEAN,QUARTERLY_ROLL,2030/2F,45813,,,'')&lt;/Q&gt;&lt;R&gt;0&lt;/R&gt;&lt;C&gt;0&lt;/C&gt;&lt;/FQL&gt;&lt;FQL&gt;&lt;Q&gt;Ticker0024^FE_ESTIMATE(PRODLINE_EBIT_15,MEAN,QUARTERLY_ROLL,2030/1F,45813,,,'')&lt;/Q&gt;&lt;R&gt;0&lt;/R&gt;&lt;C&gt;0&lt;/C&gt;&lt;/FQL&gt;&lt;FQL&gt;&lt;Q&gt;Ticker0024^FE_ESTIMATE(PRODLINE_EBIT_15,MEAN,ANNUAL_ROLL,2029,45813,,,'')&lt;/Q&gt;&lt;R&gt;0&lt;/R&gt;&lt;C&gt;0&lt;/C&gt;&lt;/FQL&gt;&lt;FQL&gt;&lt;Q&gt;Ticker0024^FE_ESTIMATE(PRODLINE_EBIT_15,MEAN,QUARTERLY_ROLL,2029/4F,45813,,,'')&lt;/Q&gt;&lt;R&gt;0&lt;/R&gt;&lt;C&gt;0&lt;/C&gt;&lt;/FQL&gt;&lt;FQL&gt;&lt;Q&gt;Ticker0024^FE_ESTIMATE(PRODLINE_EBIT_15,MEAN,QUARTERLY_ROLL,2029/3F,45813,,,'')&lt;/Q&gt;&lt;R&gt;0&lt;/R&gt;&lt;C&gt;0&lt;/C&gt;&lt;/FQL&gt;&lt;FQL&gt;&lt;Q&gt;Ticker0024^FE_ESTIMATE(PRODLINE_EBIT_15,MEAN,QUARTERLY_ROLL,2029/2F,45813,,,'')&lt;/Q&gt;&lt;R&gt;0&lt;/R&gt;&lt;C&gt;0&lt;/C&gt;&lt;/FQL&gt;&lt;FQL&gt;&lt;Q&gt;Ticker0024^FE_ESTIMATE(PRODLINE_EBIT_15,MEAN,QUARTERLY_ROLL,2029/1F,45813,,,'')&lt;/Q&gt;&lt;R&gt;0&lt;/R&gt;&lt;C&gt;0&lt;/C&gt;&lt;/FQL&gt;&lt;FQL&gt;&lt;Q&gt;Ticker0024^FE_ESTIMATE(PRODLINE_EBIT_15,MEAN,ANNUAL_ROLL,2028,45813,,,'')&lt;/Q&gt;&lt;R&gt;0&lt;/R&gt;&lt;C&gt;0&lt;/C&gt;&lt;/FQL&gt;&lt;FQL&gt;&lt;Q&gt;Ticker0024^FE_ESTIMATE(PRODLINE_EBIT_15,MEAN,QUARTERLY_ROLL,2028/4F,45813,,,'')&lt;/Q&gt;&lt;R&gt;0&lt;/R&gt;&lt;C&gt;0&lt;/C&gt;&lt;/FQL&gt;&lt;FQL&gt;&lt;Q&gt;Ticker0024^FE_ESTIMATE(PRODLINE_EBIT_15,MEAN,QUARTERLY_ROLL,2028/3F,45813,,,'')&lt;/Q&gt;&lt;R&gt;0&lt;/R&gt;&lt;C&gt;0&lt;/C&gt;&lt;/FQL&gt;&lt;FQL&gt;&lt;Q&gt;Ticker0024^FE_ESTIMATE(PRODLINE_EBIT_15,MEAN,QUARTERLY_ROLL,2028/2F,45813,,,'')&lt;/Q&gt;&lt;R&gt;0&lt;/R&gt;&lt;C&gt;0&lt;/C&gt;&lt;/FQL&gt;&lt;FQL&gt;&lt;Q&gt;Ticker0024^FE_ESTIMATE(PRODLINE_EBIT_15,MEAN,QUARTERLY_ROLL,2028/1F,45813,,,'')&lt;/Q&gt;&lt;R&gt;0&lt;/R&gt;&lt;C&gt;0&lt;/C&gt;&lt;/FQL&gt;&lt;FQL&gt;&lt;Q&gt;Ticker0024^FE_ESTIMATE(PRODLINE_EBIT_15,MEAN,ANNUAL_ROLL,2027,45813,,,'')&lt;/Q&gt;&lt;R&gt;1&lt;/R&gt;&lt;C&gt;1&lt;/C&gt;&lt;D xsi:type="xsd:double"&gt;84241&lt;/D&gt;&lt;/FQL&gt;&lt;FQL&gt;&lt;Q&gt;Ticker0024^FE_ESTIMATE(PRODLINE_EBIT_15,MEAN,QUARTERLY_ROLL,2027/4F,45813,,,'')&lt;/Q&gt;&lt;R&gt;0&lt;/R&gt;&lt;C&gt;0&lt;/C&gt;&lt;/FQL&gt;&lt;FQL&gt;&lt;Q&gt;Ticker0024^FE_ESTIMATE(PRODLINE_EBIT_15,MEAN,QUARTERLY_ROLL,2027/3F,45813,,,'')&lt;/Q&gt;&lt;R&gt;0&lt;/R&gt;&lt;C&gt;0&lt;/C&gt;&lt;/FQL&gt;&lt;FQL&gt;&lt;Q&gt;Ticker0024^FE_ESTIMATE(PRODLINE_EBIT_15,MEAN,QUARTERLY_ROLL,2027/2F,45813,,,'')&lt;/Q&gt;&lt;R&gt;0&lt;/R&gt;&lt;C&gt;0&lt;/C&gt;&lt;/FQL&gt;&lt;FQL&gt;&lt;Q&gt;Ticker0024^FE_ESTIMATE(PRODLINE_EBIT_15,MEAN,QUARTERLY_ROLL,2027/1F,45813,,,'')&lt;/Q&gt;&lt;R&gt;0&lt;/R&gt;&lt;C&gt;0&lt;/C&gt;&lt;/FQL&gt;&lt;FQL&gt;&lt;Q&gt;Ticker0024^FE_ESTIMATE(PRODLINE_EBIT_15,MEAN,ANNUAL_ROLL,2026,45813,,,'')&lt;/Q&gt;&lt;R&gt;1&lt;/R&gt;&lt;C&gt;1&lt;/C&gt;&lt;D xsi:type="xsd:double"&gt;67187.336&lt;/D&gt;&lt;/FQL&gt;&lt;FQL&gt;&lt;Q&gt;Ticker0024^FE_ESTIMATE(PRODLINE_EBIT_15,MEAN,QUARTERLY_ROLL,2026/4F,45813,,,'')&lt;/Q&gt;&lt;R&gt;1&lt;/R&gt;&lt;C&gt;1&lt;/C&gt;&lt;D xsi:type="xsd:double"&gt;17374.334&lt;/D&gt;&lt;/FQL&gt;&lt;FQL&gt;&lt;Q&gt;Ticker0024^FE_ESTIMATE(PRODLINE_EBIT_15,MEAN,QUARTERLY_ROLL,2026/3F,45813,,,'')&lt;/Q&gt;&lt;R&gt;1&lt;/R&gt;&lt;C&gt;1&lt;/C&gt;&lt;D xsi:type="xsd:double"&gt;16880.666&lt;/D&gt;&lt;/FQL&gt;&lt;FQL&gt;&lt;Q&gt;Ticker0024^FE_ESTIMATE(PRODLINE_EBIT_15,MEAN,QUARTERLY_ROLL,2026/2F,45813,,,'')&lt;/Q&gt;&lt;R&gt;1&lt;/R&gt;&lt;C&gt;1&lt;/C&gt;&lt;D xsi:type="xsd:double"&gt;16695.334&lt;/D&gt;&lt;/FQL&gt;&lt;FQL&gt;&lt;Q&gt;Ticker0024^FE_ESTIMATE(PRODLINE_EBIT_15,MEAN,QUARTERLY_ROLL,2026/1F,45813,,,'')&lt;/Q&gt;&lt;R&gt;1&lt;/R&gt;&lt;C&gt;1&lt;/C&gt;&lt;D xsi:type="xsd:double"&gt;16236.667&lt;/D&gt;&lt;/FQL&gt;&lt;FQL&gt;&lt;Q&gt;Ticker0024^FE_ESTIMATE(PRODLINE_EBIT_15,MEAN,ANNUAL_ROLL,2025,45813,,,'')&lt;/Q&gt;&lt;R&gt;1&lt;/R&gt;&lt;C&gt;1&lt;/C&gt;&lt;D xsi:type="xsd:double"&gt;62592.25&lt;/D&gt;&lt;/FQL&gt;&lt;FQL&gt;&lt;Q&gt;Ticker0024^FE_ESTIMATE(PRODLINE_EBIT_15,MEAN,QUARTERLY_ROLL,2025/4F,45813,,,'')&lt;/Q&gt;&lt;R&gt;1&lt;/R&gt;&lt;C&gt;1&lt;/C&gt;&lt;D xsi:type="xsd:double"&gt;16099&lt;/D&gt;&lt;/FQL&gt;&lt;FQL&gt;&lt;Q&gt;Ticker0024^FE_ESTIMATE(PRODLINE_EBIT_15,MEAN,QUARTERLY_ROLL,2025/3F,45813,,,'')&lt;/Q&gt;&lt;R&gt;1&lt;/R&gt;&lt;C&gt;1&lt;/C&gt;&lt;D xsi:type="xsd:double"&gt;15823.25&lt;/D&gt;&lt;/FQL&gt;&lt;FQL&gt;&lt;Q&gt;Ticker0024^FE_ESTIMATE(PRODLINE_EBIT_15,MEAN,QUARTERLY_ROLL,2025/2F,45813,,,'')&lt;/Q&gt;&lt;R&gt;1&lt;/R&gt;&lt;C&gt;1&lt;/C&gt;&lt;D xsi:type="xsd:double"&gt;15766.4&lt;/D&gt;&lt;/FQL&gt;&lt;FQL&gt;&lt;Q&gt;Ticker0024^FE_ESTIMATE(PRODLINE_EBIT_15,MEAN,QUARTERLY_ROLL,2025/1F,45813,,,'')&lt;/Q&gt;&lt;R&gt;1&lt;/R&gt;&lt;C&gt;1&lt;/C&gt;&lt;D xsi:type="xsd:double"&gt;15451.8&lt;/D&gt;&lt;/FQL&gt;&lt;FQL&gt;&lt;Q&gt;Ticker0024^FE_ESTIMATE(PRODLINE_EBIT_15,MEAN,ANNUAL_ROLL,2024,45813,,,'')&lt;/Q&gt;&lt;R&gt;1&lt;/R&gt;&lt;C&gt;1&lt;/C&gt;&lt;D xsi:type="xsd:double"&gt;40540&lt;/D&gt;&lt;/FQL&gt;&lt;FQL&gt;&lt;Q&gt;Ticker0024^FE_ESTIMATE(PRODLINE_EBIT_15,MEAN,QUARTERLY_ROLL,2024/4F,45813,,,'')&lt;/Q&gt;&lt;R&gt;1&lt;/R&gt;&lt;C&gt;1&lt;/C&gt;&lt;D xsi:type="xsd:double"&gt;10142.4&lt;/D&gt;&lt;/FQL&gt;&lt;FQL&gt;&lt;Q&gt;Ticker0024^FE_ESTIMATE(PRODLINE_EBIT_15,MEAN,QUARTERLY_ROLL,2024/3F,45813,,,'')&lt;/Q&gt;&lt;R&gt;1&lt;/R&gt;&lt;C&gt;1&lt;/C&gt;&lt;D xsi:type="xsd:double"&gt;10142.571&lt;/D&gt;&lt;/FQL&gt;&lt;FQL&gt;&lt;Q&gt;Ticker0024^FE_ESTIMATE(PRODLINE_EBIT_15,MEAN,QUARTERLY_ROLL,2024/2F,45813,,,'')&lt;/Q&gt;&lt;R&gt;1&lt;/R&gt;&lt;C&gt;1&lt;/C&gt;&lt;D xsi:type="xsd:double"&gt;10283.333&lt;/D&gt;&lt;/FQL&gt;&lt;FQL&gt;&lt;Q&gt;Ticker0024^FE_ESTIMATE(PRODLINE_EBIT_15,MEAN,QUARTERLY_ROLL,2024/1F,45813,,,'')&lt;/Q&gt;&lt;R&gt;1&lt;/R&gt;&lt;C&gt;1&lt;/C&gt;&lt;D xsi:type="xsd:double"&gt;9970&lt;/D&gt;&lt;/FQL&gt;&lt;FQL&gt;&lt;Q&gt;Ticker0024^FE_ESTIMATE(PRODLINE_EBIT_15,MEAN,ANNUAL_ROLL,2023,45813,,,'')&lt;/Q&gt;&lt;R&gt;1&lt;/R&gt;&lt;C&gt;1&lt;/C&gt;&lt;D xsi:type="xsd:double"&gt;34189.4&lt;/D&gt;&lt;/FQL&gt;&lt;FQL&gt;&lt;Q&gt;Ticker0024^FE_ESTIMATE(PRODLINE_EBIT_15,MEAN,QUARTERLY_ROLL,2023/4F,45813,,,'')&lt;/Q&gt;&lt;R&gt;1&lt;/R&gt;&lt;C&gt;1&lt;/C&gt;&lt;D xsi:type="xsd:double"&gt;9051.6&lt;/D&gt;&lt;/FQL&gt;&lt;FQL&gt;&lt;Q&gt;Ticker0024^FE_ESTIMATE(PRODLINE_EBIT_15,MEAN,QUARTERLY_ROLL,2023/3F,45813,,,'')&lt;/Q&gt;&lt;R&gt;1&lt;/R&gt;&lt;C&gt;1&lt;/C&gt;&lt;D xsi:type="xsd:double"&gt;8639.2&lt;/D&gt;&lt;/FQL&gt;&lt;FQL&gt;&lt;Q&gt;Ticker0024^FE_ESTIMATE(PRODLINE_EBIT_15,MEAN,QUARTERLY_ROLL,2023/2F,45813,,,'')&lt;/Q&gt;&lt;R&gt;1&lt;/R&gt;&lt;C&gt;1&lt;/C&gt;&lt;D xsi:type="xsd:double"&gt;8176&lt;/D&gt;&lt;/FQL&gt;&lt;FQL&gt;&lt;Q&gt;Ticker0024^FE_ESTIMATE(PRODLINE_EBIT_15,MEAN,QUARTERLY_ROLL,2023/1F,45813,,,'')&lt;/Q&gt;&lt;R&gt;1&lt;/R&gt;&lt;C&gt;1&lt;/C&gt;&lt;D xsi:type="xsd:double"&gt;8322.4&lt;/D&gt;&lt;/FQL&gt;&lt;FQL&gt;&lt;Q&gt;Ticker0024^FE_ESTIMATE(PRODLINE_EBIT_15,MEAN,ANNUAL_ROLL,2022,45813,,,'')&lt;/Q&gt;&lt;R&gt;1&lt;/R&gt;&lt;C&gt;1&lt;/C&gt;&lt;D xsi:type="xsd:double"&gt;29685&lt;/D&gt;&lt;/FQL&gt;&lt;FQL&gt;&lt;Q&gt;Ticker0024^FE_ESTIMATE(PRODLINE_EBIT_15,MEAN,QUARTERLY_ROLL,2022/4F,45813,,,'')&lt;/Q&gt;&lt;R&gt;1&lt;/R&gt;&lt;C&gt;1&lt;/C&gt;&lt;D xsi:type="xsd:double"&gt;7232&lt;/D&gt;&lt;/FQL&gt;&lt;FQL&gt;&lt;Q&gt;Ticker0024^FE_ESTIMATE(PRODLINE_EBIT_15,MEAN,QUARTERLY_ROLL,2022/3F,45813,,,'')&lt;/Q&gt;&lt;R&gt;1&lt;/R&gt;&lt;C&gt;1&lt;/C&gt;&lt;D xsi:type="xsd:double"&gt;7184&lt;/D&gt;&lt;/FQL&gt;&lt;FQL&gt;&lt;Q&gt;Ticker0024^FE_ESTIMATE(PRODLINE_EBIT_15,MEAN,QUARTERLY_ROLL,2022/2F,45813,,,'')&lt;/Q&gt;&lt;R&gt;1&lt;/R&gt;&lt;C&gt;1&lt;/C&gt;&lt;D xsi:type="xsd:double"&gt;7688&lt;/D&gt;&lt;/FQL&gt;&lt;FQL&gt;&lt;Q&gt;Ticker0024^FE_ESTIMATE(PRODLINE_EBIT_15,MEAN,QUARTERLY_ROLL,2022/1F,45813,,,'')&lt;/Q&gt;&lt;R&gt;1&lt;/R&gt;&lt;C&gt;1&lt;/C&gt;&lt;D xsi:type="xsd:double"&gt;7581&lt;/D&gt;&lt;/FQL&gt;&lt;FQL&gt;&lt;Q&gt;Ticker0024^FE_ESTIMATE(PRODLINE_EBIT_15,MEAN,ANNUAL_ROLL,2021,45813,,,'')&lt;/Q&gt;&lt;R&gt;1&lt;/R&gt;&lt;C&gt;1&lt;/C&gt;&lt;D xsi:type="xsd:double"&gt;24351&lt;/D&gt;&lt;/FQL&gt;&lt;FQL&gt;&lt;Q&gt;Ticker0024^FE_ESTIMATE(PRODLINE_EBIT_15,MEAN,QUARTERLY_ROLL,2021/4F,45813,,,'')&lt;/Q&gt;&lt;R&gt;1&lt;/R&gt;&lt;C&gt;1&lt;/C&gt;&lt;D xsi:type="xsd:double"&gt;6435&lt;/D&gt;&lt;/FQL&gt;&lt;FQL&gt;&lt;Q&gt;Ticker0024^FE_ESTIMATE(PRODLINE_EBIT_15,MEAN,QUARTERLY_ROLL,2021/3F,45813,,,'')&lt;/Q&gt;&lt;R&gt;1&lt;/R&gt;&lt;C&gt;1&lt;/C&gt;&lt;D xsi:type="xsd:double"&gt;6029&lt;/D&gt;&lt;/FQL&gt;&lt;FQL&gt;&lt;Q&gt;Ticker0024^FE_ESTIMATE(PRODLINE_EBIT_15,MEAN,QUARTERLY_ROLL,2021/2F,45813,,,'')&lt;/Q&gt;&lt;R&gt;1&lt;/R&gt;&lt;C&gt;1&lt;/C&gt;&lt;D xsi:type="xsd:double"&gt;6179.6665&lt;/D&gt;&lt;/FQL&gt;&lt;FQL&gt;&lt;Q&gt;Ticker0024^FE_ESTIMATE(PRODLINE_EBIT_15,MEAN,QUARTERLY_ROLL,2021/1F,45813,,,'')&lt;/Q&gt;&lt;R&gt;1&lt;/R&gt;&lt;C&gt;1&lt;/C&gt;&lt;D xsi:type="xsd:double"&gt;5706&lt;/D&gt;&lt;/FQL&gt;&lt;FQL&gt;&lt;Q&gt;Ticker0024^FE_ESTIMATE(PRODLINE_EBIT_15,MEAN,ANNUAL_ROLL,2020,45813,,,'')&lt;/Q&gt;&lt;R&gt;1&lt;/R&gt;&lt;C&gt;1&lt;/C&gt;&lt;D xsi:type="xsd:double"&gt;18781&lt;/D&gt;&lt;/FQL&gt;&lt;FQL&gt;&lt;Q&gt;Ticker0024^FE_ESTIMATE(PRODLINE_EBIT_15,MEAN,QUARTERLY_ROLL,2020/4F,45813,,,'')&lt;/Q&gt;&lt;R&gt;1&lt;/R&gt;&lt;C&gt;1&lt;/C&gt;&lt;D xsi:type="xsd:double"&gt;4029&lt;/D&gt;&lt;/FQL&gt;&lt;FQL&gt;&lt;Q&gt;Ticker0024^FE_ESTIMATE(PRODLINE_EBIT_15,MEAN,QUARTERLY_ROLL,2020/3F,45813,,,'')&lt;/Q&gt;&lt;R&gt;1&lt;/R&gt;&lt;C&gt;1&lt;/C&gt;&lt;D xsi:type="xsd:double"&gt;4788&lt;/D&gt;&lt;/FQL&gt;&lt;FQL&gt;&lt;Q&gt;Ticker0024^FE_ESTIMATE(PRODLINE_EBIT_15,MEAN,QUARTERLY_ROLL,2020/2F,45813,,,'')&lt;/Q&gt;&lt;R&gt;1&lt;/R&gt;&lt;C&gt;1&lt;/C&gt;&lt;D xsi:type="xsd:double"&gt;5182&lt;/D&gt;&lt;/FQL&gt;&lt;FQL&gt;&lt;Q&gt;Ticker0024^FE_ESTIMATE(PRODLINE_EBIT_15,MEAN,QUARTERLY_ROLL,2020/1F,45813,,,'')&lt;/Q&gt;&lt;R&gt;1&lt;/R&gt;&lt;C&gt;1&lt;/C&gt;&lt;D xsi:type="xsd:double"&gt;4782&lt;/D&gt;&lt;/FQL&gt;&lt;FQL&gt;&lt;Q&gt;Ticker0024^FE_ESTIMATE(PRODLINE_EBIT_15,MEAN,ANNUAL_ROLL,2019,45813,,,'')&lt;/Q&gt;&lt;R&gt;1&lt;/R&gt;&lt;C&gt;1&lt;/C&gt;&lt;D xsi:type="xsd:double"&gt;16219&lt;/D&gt;&lt;/FQL&gt;&lt;FQL&gt;&lt;Q&gt;Ticker0024^FE_ESTIMATE(PRODLINE_EBIT_15,MEAN,QUARTERLY_ROLL,2019/4F,45813,,,'')&lt;/Q&gt;&lt;R&gt;1&lt;/R&gt;&lt;C&gt;1&lt;/C&gt;&lt;D xsi:type="xsd:double"&gt;4344&lt;/D&gt;&lt;/FQL&gt;&lt;FQL&gt;&lt;Q&gt;Ticker0024^FE_ESTIMATE(PRODLINE_EBIT_15,MEAN,QUARTERLY_ROLL,2019/3F,45813,,,'')&lt;/Q&gt;&lt;R&gt;1&lt;/R&gt;&lt;C&gt;1&lt;/C&gt;&lt;D xsi:type="xsd:double"&gt;3979&lt;/D&gt;&lt;/FQL&gt;&lt;FQL&gt;&lt;Q&gt;Ticker0024^FE_ESTIMATE(PRODLINE_EBIT_15,MEAN,QUARTERLY_ROLL,2019/2F,45813,,,'')&lt;/Q&gt;&lt;R&gt;1&lt;/R&gt;&lt;C&gt;1&lt;/C&gt;&lt;D xsi:type="xsd:double"&gt;4013.75&lt;/D&gt;&lt;/FQL&gt;&lt;FQL&gt;&lt;Q&gt;Ticker0024^FE_ESTIMATE(PRODLINE_EBIT_15,MEAN,QUARTERLY_ROLL,2019/1F,45813,,,'')&lt;/Q&gt;&lt;R&gt;1&lt;/R&gt;&lt;C&gt;1&lt;/C&gt;&lt;D xsi:type="xsd:double"&gt;3881&lt;/D&gt;&lt;/FQL&gt;&lt;FQL&gt;&lt;Q&gt;Ticker0024^FE_ESTIMATE(PRODLINE_EBIT_15,MEAN,ANNUAL_ROLL,2018,45813,,,'')&lt;/Q&gt;&lt;R&gt;1&lt;/R&gt;&lt;C&gt;1&lt;/C&gt;&lt;D xsi:type="xsd:double"&gt;12924&lt;/D&gt;&lt;/FQL&gt;&lt;FQL&gt;&lt;Q&gt;Ticker0024^FE_ESTIMATE(PRODLINE_EBIT_15,MEAN,QUARTERLY_ROLL,2018/4F,45813,,,'')&lt;/Q&gt;&lt;R&gt;1&lt;/R&gt;&lt;C&gt;1&lt;/C&gt;&lt;D xsi:type="xsd:double"&gt;3466&lt;/D&gt;&lt;/FQL&gt;&lt;FQL&gt;&lt;Q&gt;Ticker0024^FE_ESTIMATE(PRODLINE_EBIT_15,MEAN,QUARTERLY_ROLL,2018/3F,45813,,,'')&lt;/Q&gt;&lt;R&gt;1&lt;/R&gt;&lt;C&gt;1&lt;/C&gt;&lt;D xsi:type="xsd:double"&gt;3115&lt;/D&gt;&lt;/FQL&gt;&lt;FQL&gt;&lt;Q&gt;Ticker0024^FE_ESTIMATE(PRODLINE_EBIT_15,MEAN,QUARTERLY_ROLL,2018/2F,45813,,,'')&lt;/Q&gt;&lt;R&gt;1&lt;/R&gt;&lt;C&gt;1&lt;/C&gt;&lt;D xsi:type="xsd:double"&gt;3337&lt;/D&gt;&lt;/FQL&gt;&lt;FQL&gt;&lt;Q&gt;Ticker0024^FE_ESTIMATE(PRODLINE_EBIT_15,MEAN,QUARTERLY_ROLL,2018/1F,45813,,,'')&lt;/Q&gt;&lt;R&gt;1&lt;/R&gt;&lt;C&gt;1&lt;/C&gt;&lt;D xsi:type="xsd:double"&gt;3006&lt;/D&gt;&lt;/FQL&gt;&lt;FQL&gt;&lt;Q&gt;Ticker0024^FE_ESTIMATE(PRODLINE_EBIT_15,MEAN,ANNUAL_ROLL,2017,45813,,,'')&lt;/Q&gt;&lt;R&gt;1&lt;/R&gt;&lt;C&gt;1&lt;/C&gt;&lt;D xsi:type="xsd:double"&gt;11913&lt;/D&gt;&lt;/FQL&gt;&lt;FQL&gt;&lt;Q&gt;Ticker0024^FE_ESTIMATE(PRODLINE_EBIT_15,MEAN,QUARTERLY_ROLL,2017/4F,45813,,,'')&lt;/Q&gt;&lt;R&gt;1&lt;/R&gt;&lt;C&gt;1&lt;/C&gt;&lt;D xsi:type="xsd:double"&gt;2754&lt;/D&gt;&lt;/FQL&gt;&lt;FQL&gt;&lt;Q&gt;Ticker0024^FE_ESTIMATE(PRODLINE_EBI</t>
        </r>
      </text>
    </comment>
    <comment ref="A61" authorId="0" shapeId="0" xr:uid="{C8DBD27B-4DB9-4707-8AC5-D42AE1B33400}">
      <text>
        <r>
          <rPr>
            <b/>
            <sz val="9"/>
            <color indexed="81"/>
            <rFont val="Tahoma"/>
            <family val="2"/>
          </rPr>
          <t>T_15,MEAN,QUARTERLY_ROLL,2017/3F,45813,,,'')&lt;/Q&gt;&lt;R&gt;1&lt;/R&gt;&lt;C&gt;1&lt;/C&gt;&lt;D xsi:type="xsd:double"&gt;2783&lt;/D&gt;&lt;/FQL&gt;&lt;FQL&gt;&lt;Q&gt;Ticker0024^FE_ESTIMATE(PRODLINE_EBIT_15,MEAN,QUARTERLY_ROLL,2017/2F,45813,,,'')&lt;/Q&gt;&lt;R&gt;1&lt;/R&gt;&lt;C&gt;1&lt;/C&gt;&lt;D xsi:type="xsd:double"&gt;3256&lt;/D&gt;&lt;/FQL&gt;&lt;FQL&gt;&lt;Q&gt;Ticker0024^FE_ESTIMATE(PRODLINE_EBIT_15,MEAN,QUARTERLY_ROLL,2017/1F,45813,,,'')&lt;/Q&gt;&lt;R&gt;1&lt;/R&gt;&lt;C&gt;1&lt;/C&gt;&lt;D xsi:type="xsd:double"&gt;3120&lt;/D&gt;&lt;/FQL&gt;&lt;FQL&gt;&lt;Q&gt;Ticker0024^FE_ESTIMATE(PRODLINE_EBIT_15,MEAN,ANNUAL_ROLL,2016,45813,,,'')&lt;/Q&gt;&lt;R&gt;1&lt;/R&gt;&lt;C&gt;1&lt;/C&gt;&lt;D xsi:type="xsd:double"&gt;12429&lt;/D&gt;&lt;/FQL&gt;&lt;FQL&gt;&lt;Q&gt;Ticker0024^FE_ESTIMATE(PRODLINE_EBIT_15,MEAN,QUARTERLY_ROLL,2016/4F,45813,,,'')&lt;/Q&gt;&lt;R&gt;1&lt;/R&gt;&lt;C&gt;1&lt;/C&gt;&lt;D xsi:type="xsd:double"&gt;3000&lt;/D&gt;&lt;/FQL&gt;&lt;FQL&gt;&lt;Q&gt;Ticker0024^FE_ESTIMATE(PRODLINE_EBIT_15,MEAN,QUARTERLY_ROLL,2016/3F,45813,,,'')&lt;/Q&gt;&lt;R&gt;1&lt;/R&gt;&lt;C&gt;1&lt;/C&gt;&lt;D xsi:type="xsd:double"&gt;2994&lt;/D&gt;&lt;/FQL&gt;&lt;FQL&gt;&lt;Q&gt;Ticker0024^FE_ESTIMATE(PRODLINE_EBIT_15,MEAN,QUARTERLY_ROLL,2016/2F,45813,,,'')&lt;/Q&gt;&lt;R&gt;0&lt;/R&gt;&lt;C&gt;0&lt;/C&gt;&lt;/FQL&gt;&lt;FQL&gt;&lt;Q&gt;Ticker0024^FE_ESTIMATE(PRODLINE_EBIT_15,MEAN,QUARTERLY_ROLL,2016/1F,45813,,,'')&lt;/Q&gt;&lt;R&gt;0&lt;/R&gt;&lt;C&gt;0&lt;/C&gt;&lt;/FQL&gt;&lt;FQL&gt;&lt;Q&gt;Ticker0024^FE_ESTIMATE(PRODLINE_EBIT_15,MEAN,ANNUAL_ROLL,2015,45813,,,'')&lt;/Q&gt;&lt;R&gt;0&lt;/R&gt;&lt;C&gt;0&lt;/C&gt;&lt;/FQL&gt;&lt;FQL&gt;&lt;Q&gt;Ticker0024^FE_ESTIMATE(PRODLINE_EBIT_15,MEAN,QUARTERLY_ROLL,2015/4F,45813,,,'')&lt;/Q&gt;&lt;R&gt;0&lt;/R&gt;&lt;C&gt;0&lt;/C&gt;&lt;/FQL&gt;&lt;FQL&gt;&lt;Q&gt;Ticker0024^FE_ESTIMATE(PRODLINE_EBIT_15,MEAN,QUARTERLY_ROLL,2015/3F,45813,,,'')&lt;/Q&gt;&lt;R&gt;0&lt;/R&gt;&lt;C&gt;0&lt;/C&gt;&lt;/FQL&gt;&lt;FQL&gt;&lt;Q&gt;Ticker0024^FE_ESTIMATE(PRODLINE_EBIT_15,MEAN,QUARTERLY_ROLL,2015/2F,45813,,,'')&lt;/Q&gt;&lt;R&gt;0&lt;/R&gt;&lt;C&gt;0&lt;/C&gt;&lt;/FQL&gt;&lt;FQL&gt;&lt;Q&gt;Ticker0024^FE_ESTIMATE(PRODLINE_EBIT_15,MEAN,QUARTERLY_ROLL,2015/1F,45813,,,'')&lt;/Q&gt;&lt;R&gt;0&lt;/R&gt;&lt;C&gt;0&lt;/C&gt;&lt;/FQL&gt;&lt;FQL&gt;&lt;Q&gt;Ticker0024^FE_ESTIMATE(GROSSINCOME,MEAN,ANNUAL_ROLL,2030,45813,,,'')&lt;/Q&gt;&lt;R&gt;0&lt;/R&gt;&lt;C&gt;0&lt;/C&gt;&lt;/FQL&gt;&lt;FQL&gt;&lt;Q&gt;Ticker0024^FE_ESTIMATE(GROSSINCOME,MEAN,QUARTERLY_ROLL,2030/4F,45813,,,'')&lt;/Q&gt;&lt;R&gt;0&lt;/R&gt;&lt;C&gt;0&lt;/C&gt;&lt;/FQL&gt;&lt;FQL&gt;&lt;Q&gt;Ticker0024^FE_ESTIMATE(GROSSINCOME,MEAN,QUARTERLY_ROLL,2030/3F,45813,,,'')&lt;/Q&gt;&lt;R&gt;0&lt;/R&gt;&lt;C&gt;0&lt;/C&gt;&lt;/FQL&gt;&lt;FQL&gt;&lt;Q&gt;Ticker0024^FE_ESTIMATE(GROSSINCOME,MEAN,QUARTERLY_ROLL,2030/2F,45813,,,'')&lt;/Q&gt;&lt;R&gt;0&lt;/R&gt;&lt;C&gt;0&lt;/C&gt;&lt;/FQL&gt;&lt;FQL&gt;&lt;Q&gt;Ticker0024^FE_ESTIMATE(GROSSINCOME,MEAN,QUARTERLY_ROLL,2030/1F,45813,,,'')&lt;/Q&gt;&lt;R&gt;0&lt;/R&gt;&lt;C&gt;0&lt;/C&gt;&lt;/FQL&gt;&lt;FQL&gt;&lt;Q&gt;Ticker0024^FE_ESTIMATE(GROSSINCOME,MEAN,ANNUAL_ROLL,2029,45813,,,'')&lt;/Q&gt;&lt;R&gt;1&lt;/R&gt;&lt;C&gt;1&lt;/C&gt;&lt;D xsi:type="xsd:double"&gt;326967.1&lt;/D&gt;&lt;/FQL&gt;&lt;FQL&gt;&lt;Q&gt;Ticker0024^FE_ESTIMATE(GROSSINCOME,MEAN,QUARTERLY_ROLL,2029/4F,45813,,,'')&lt;/Q&gt;&lt;R&gt;0&lt;/R&gt;&lt;C&gt;0&lt;/C&gt;&lt;/FQL&gt;&lt;FQL&gt;&lt;Q&gt;Ticker0024^FE_ESTIMATE(GROSSINCOME,MEAN,QUARTERLY_ROLL,2029/3F,45813,,,'')&lt;/Q&gt;&lt;R&gt;0&lt;/R&gt;&lt;C&gt;0&lt;/C&gt;&lt;/FQL&gt;&lt;FQL&gt;&lt;Q&gt;Ticker0024^FE_ESTIMATE(GROSSINCOME,MEAN,QUARTERLY_ROLL,2029/2F,45813,,,'')&lt;/Q&gt;&lt;R&gt;0&lt;/R&gt;&lt;C&gt;0&lt;/C&gt;&lt;/FQL&gt;&lt;FQL&gt;&lt;Q&gt;Ticker0024^FE_ESTIMATE(GROSSINCOME,MEAN,QUARTERLY_ROLL,2029/1F,45813,,,'')&lt;/Q&gt;&lt;R&gt;0&lt;/R&gt;&lt;C&gt;0&lt;/C&gt;&lt;/FQL&gt;&lt;FQL&gt;&lt;Q&gt;Ticker0024^FE_ESTIMATE(GROSSINCOME,MEAN,ANNUAL_ROLL,2028,45813,,,'')&lt;/Q&gt;&lt;R&gt;1&lt;/R&gt;&lt;C&gt;1&lt;/C&gt;&lt;D xsi:type="xsd:double"&gt;280807.9&lt;/D&gt;&lt;/FQL&gt;&lt;FQL&gt;&lt;Q&gt;Ticker0024^FE_ESTIMATE(GROSSINCOME,MEAN,QUARTERLY_ROLL,2028/4F,45813,,,'')&lt;/Q&gt;&lt;R&gt;0&lt;/R&gt;&lt;C&gt;0&lt;/C&gt;&lt;/FQL&gt;&lt;FQL&gt;&lt;Q&gt;Ticker0024^FE_ESTIMATE(GROSSINCOME,MEAN,QUARTERLY_ROLL,2028/3F,45813,,,'')&lt;/Q&gt;&lt;R&gt;0&lt;/R&gt;&lt;C&gt;0&lt;/C&gt;&lt;/FQL&gt;&lt;FQL&gt;&lt;Q&gt;Ticker0024^FE_ESTIMATE(GROSSINCOME,MEAN,QUARTERLY_ROLL,2028/2F,45813,,,'')&lt;/Q&gt;&lt;R&gt;0&lt;/R&gt;&lt;C&gt;0&lt;/C&gt;&lt;/FQL&gt;&lt;FQL&gt;&lt;Q&gt;Ticker0024^FE_ESTIMATE(GROSSINCOME,MEAN,QUARTERLY_ROLL,2028/1F,45813,,,'')&lt;/Q&gt;&lt;R&gt;0&lt;/R&gt;&lt;C&gt;0&lt;/C&gt;&lt;/FQL&gt;&lt;FQL&gt;&lt;Q&gt;Ticker0024^FE_ESTIMATE(GROSSINCOME,MEAN,ANNUAL_ROLL,2027,45813,,,'')&lt;/Q&gt;&lt;R&gt;1&lt;/R&gt;&lt;C&gt;1&lt;/C&gt;&lt;D xsi:type="xsd:double"&gt;244281.63&lt;/D&gt;&lt;/FQL&gt;&lt;FQL&gt;&lt;Q&gt;Ticker0024^FE_ESTIMATE(GROSSINCOME,MEAN,QUARTERLY_ROLL,2027/4F,45813,,,'')&lt;/Q&gt;&lt;R&gt;1&lt;/R&gt;&lt;C&gt;1&lt;/C&gt;&lt;D xsi:type="xsd:double"&gt;63556&lt;/D&gt;&lt;/FQL&gt;&lt;FQL&gt;&lt;Q&gt;Ticker0024^FE_ESTIMATE(GROSSINCOME,MEAN,QUARTERLY_ROLL,2027/3F,45813,,,'')&lt;/Q&gt;&lt;R&gt;1&lt;/R&gt;&lt;C&gt;1&lt;/C&gt;&lt;D xsi:type="xsd:double"&gt;60512.5&lt;/D&gt;&lt;/FQL&gt;&lt;FQL&gt;&lt;Q&gt;Ticker0024^FE_ESTIMATE(GROSSINCOME,MEAN,QUARTERLY_ROLL,2027/2F,45813,,,'')&lt;/Q&gt;&lt;R&gt;1&lt;/R&gt;&lt;C&gt;1&lt;/C&gt;&lt;D xsi:type="xsd:double"&gt;59873.6&lt;/D&gt;&lt;/FQL&gt;&lt;FQL&gt;&lt;Q&gt;Ticker0024^FE_ESTIMATE(GROSSINCOME,MEAN,QUARTERLY_ROLL,2027/1F,45813,,,'')&lt;/Q&gt;&lt;R&gt;1&lt;/R&gt;&lt;C&gt;1&lt;/C&gt;&lt;D xsi:type="xsd:double"&gt;56925.2&lt;/D&gt;&lt;/FQL&gt;&lt;FQL&gt;&lt;Q&gt;Ticker0024^FE_ESTIMATE(GROSSINCOME,MEAN,ANNUAL_ROLL,2026,45813,,,'')&lt;/Q&gt;&lt;R&gt;1&lt;/R&gt;&lt;C&gt;1&lt;/C&gt;&lt;D xsi:type="xsd:double"&gt;214854.33&lt;/D&gt;&lt;/FQL&gt;&lt;FQL&gt;&lt;Q&gt;Ticker0024^FE_ESTIMATE(GROSSINCOME,MEAN,QUARTERLY_ROLL,2026/4F,45813,,,'')&lt;/Q&gt;&lt;R&gt;1&lt;/R&gt;&lt;C&gt;1&lt;/C&gt;&lt;D xsi:type="xsd:double"&gt;56411.18&lt;/D&gt;&lt;/FQL&gt;&lt;FQL&gt;&lt;Q&gt;Ticker0024^FE_ESTIMATE(GROSSINCOME,MEAN,QUARTERLY_ROLL,2026/3F,45813,,,'')&lt;/Q&gt;&lt;R&gt;1&lt;/R&gt;&lt;C&gt;1&lt;/C&gt;&lt;D xsi:type="xsd:double"&gt;53875.45&lt;/D&gt;&lt;/FQL&gt;&lt;FQL&gt;&lt;Q&gt;Ticker0024^FE_ESTIMATE(GROSSINCOME,MEAN,QUARTERLY_ROLL,2026/2F,45813,,,'')&lt;/Q&gt;&lt;R&gt;1&lt;/R&gt;&lt;C&gt;1&lt;/C&gt;&lt;D xsi:type="xsd:double"&gt;53293.313&lt;/D&gt;&lt;/FQL&gt;&lt;FQL&gt;&lt;Q&gt;Ticker0024^FE_ESTIMATE(GROSSINCOME,MEAN,QUARTERLY_ROLL,2026/1F,45813,,,'')&lt;/Q&gt;&lt;R&gt;1&lt;/R&gt;&lt;C&gt;1&lt;/C&gt;&lt;D xsi:type="xsd:double"&gt;50492.94&lt;/D&gt;&lt;/FQL&gt;&lt;FQL&gt;&lt;Q&gt;Ticker0024^FE_ESTIMATE(GROSSINCOME,MEAN,ANNUAL_ROLL,2025,45813,,,'')&lt;/Q&gt;&lt;R&gt;1&lt;/R&gt;&lt;C&gt;1&lt;/C&gt;&lt;D xsi:type="xsd:double"&gt;191598.77&lt;/D&gt;&lt;/FQL&gt;&lt;FQL&gt;&lt;Q&gt;Ticker0024^FE_ESTIMATE(GROSSINCOME,MEAN,QUARTERLY_ROLL,2025/4F,45813,,,'')&lt;/Q&gt;&lt;R&gt;1&lt;/R&gt;&lt;C&gt;1&lt;/C&gt;&lt;D xsi:type="xsd:double"&gt;50081.93&lt;/D&gt;&lt;/FQL&gt;&lt;FQL&gt;&lt;Q&gt;Ticker0024^FE_ESTIMATE(GROSSINCOME,MEAN,QUARTERLY_ROLL,2025/3F,45813,,,'')&lt;/Q&gt;&lt;R&gt;1&lt;/R&gt;&lt;C&gt;1&lt;/C&gt;&lt;D xsi:type="xsd:double"&gt;48145.613&lt;/D&gt;&lt;/FQL&gt;&lt;FQL&gt;&lt;Q&gt;Ticker0024^FE_ESTIMATE(GROSSINCOME,MEAN,QUARTERLY_ROLL,2025/2F,45813,,,'')&lt;/Q&gt;&lt;R&gt;1&lt;/R&gt;&lt;C&gt;1&lt;/C&gt;&lt;D xsi:type="xsd:double"&gt;47831.84&lt;/D&gt;&lt;/FQL&gt;&lt;FQL&gt;&lt;Q&gt;Ticker0024^FE_ESTIMATE(GROSSINCOME,MEAN,QUARTERLY_ROLL,2025/1F,45813,,,'')&lt;/Q&gt;&lt;R&gt;1&lt;/R&gt;&lt;C&gt;1&lt;/C&gt;&lt;D xsi:type="xsd:double"&gt;45476.035&lt;/D&gt;&lt;/FQL&gt;&lt;FQL&gt;&lt;Q&gt;Ticker0024^FE_ESTIMATE(GROSSINCOME,MEAN,ANNUAL_ROLL,2024,45813,,,'')&lt;/Q&gt;&lt;R&gt;1&lt;/R&gt;&lt;C&gt;1&lt;/C&gt;&lt;D xsi:type="xsd:double"&gt;171008.06&lt;/D&gt;&lt;/FQL&gt;&lt;FQL&gt;&lt;Q&gt;Ticker0024^FE_ESTIMATE(GROSSINCOME,MEAN,QUARTERLY_ROLL,2024/4F,45813,,,'')&lt;/Q&gt;&lt;R&gt;1&lt;/R&gt;&lt;C&gt;1&lt;/C&gt;&lt;D xsi:type="xsd:double"&gt;45041.355&lt;/D&gt;&lt;/FQL&gt;&lt;FQL&gt;&lt;Q&gt;Ticker0024^FE_ESTIMATE(GROSSINCOME,MEAN,QUARTERLY_ROLL,2024/3F,45813,,,'')&lt;/Q&gt;&lt;R&gt;1&lt;/R&gt;&lt;C&gt;1&lt;/C&gt;&lt;D xsi:type="xsd:double"&gt;43354.293&lt;/D&gt;&lt;/FQL&gt;&lt;FQL&gt;&lt;Q&gt;Ticker0024^FE_ESTIMATE(GROSSINCOME,MEAN,QUARTERLY_ROLL,2024/2F,45813,,,'')&lt;/Q&gt;&lt;R&gt;1&lt;/R&gt;&lt;C&gt;1&lt;/C&gt;&lt;D xsi:type="xsd:double"&gt;42397.1&lt;/D&gt;&lt;/FQL&gt;&lt;FQL&gt;&lt;Q&gt;Ticker0024^FE_ESTIMATE(GROSSINCOME,MEAN,QUARTERLY_ROLL,2024/1F,45813,,,'')&lt;/Q&gt;&lt;R&gt;1&lt;/R&gt;&lt;C&gt;1&lt;/C&gt;&lt;D xsi:type="xsd:double"&gt;40215.17&lt;/D&gt;&lt;/FQL&gt;&lt;FQL&gt;&lt;Q&gt;Ticker0024^FE_ESTIMATE(GROSSINCOME,MEAN,ANNUAL_ROLL,2023,45813,,,'')&lt;/Q&gt;&lt;R&gt;1&lt;/R&gt;&lt;C&gt;1&lt;/C&gt;&lt;D xsi:type="xsd:double"&gt;146082.89&lt;/D&gt;&lt;/FQL&gt;&lt;FQL&gt;&lt;Q&gt;Ticker0024^FE_ESTIMATE(GROSSINCOME,MEAN,QUARTERLY_ROLL,2023/4F,45813,,,'')&lt;/Q&gt;&lt;R&gt;1&lt;/R&gt;&lt;C&gt;1&lt;/C&gt;&lt;D xsi:type="xsd:double"&gt;39388&lt;/D&gt;&lt;/FQL&gt;&lt;FQL&gt;&lt;Q&gt;Ticker0024^FE_ESTIMATE(GROSSINCOME,MEAN,QUARTERLY_ROLL,2023/3F,45813,,,'')&lt;/Q&gt;&lt;R&gt;1&lt;/R&gt;&lt;C&gt;1&lt;/C&gt;&lt;D xsi:type="xsd:double"&gt;36729.035&lt;/D&gt;&lt;/FQL&gt;&lt;FQL&gt;&lt;Q&gt;Ticker0024^FE_ESTIMATE(GROSSINCOME,MEAN,QUARTERLY_ROLL,2023/2F,45813,,,'')&lt;/Q&gt;&lt;R&gt;1&lt;/R&gt;&lt;C&gt;1&lt;/C&gt;&lt;D xsi:type="xsd:double"&gt;35294.117&lt;/D&gt;&lt;/FQL&gt;&lt;FQL&gt;&lt;Q&gt;Ticker0024^FE_ESTIMATE(GROSSINCOME,MEAN,QUARTERLY_ROLL,2023/1F,45813,,,'')&lt;/Q&gt;&lt;R&gt;1&lt;/R&gt;&lt;C&gt;1&lt;/C&gt;&lt;D xsi:type="xsd:double"&gt;34670&lt;/D&gt;&lt;/FQL&gt;&lt;FQL&gt;&lt;Q&gt;Ticker0024^FE_ESTIMATE(GROSSINCOME,MEAN,ANNUAL_ROLL,2022,45813,,,'')&lt;/Q&gt;&lt;R&gt;1&lt;/R&gt;&lt;C&gt;1&lt;/C&gt;&lt;D xsi:type="xsd:double"&gt;135605.53&lt;/D&gt;&lt;/FQL&gt;&lt;FQL&gt;&lt;Q&gt;Ticker0024^FE_ESTIMATE(GROSSINCOME,MEAN,QUARTERLY_ROLL,2022/4F,45813,,,'')&lt;/Q&gt;&lt;R&gt;1&lt;/R&gt;&lt;C&gt;1&lt;/C&gt;&lt;D xsi:type="xsd:double"&gt;35436&lt;/D&gt;&lt;/FQL&gt;&lt;FQL&gt;&lt;Q&gt;Ticker0024^FE_ESTIMATE(GROSSINCOME,MEAN,QUARTERLY_ROLL,2022/3F,45813,,,'')&lt;/Q&gt;&lt;R&gt;1&lt;/R&gt;&lt;C&gt;1&lt;/C&gt;&lt;D xsi:type="xsd:double"&gt;33744.957&lt;/D&gt;&lt;/FQL&gt;&lt;FQL&gt;&lt;Q&gt;Ticker0024^FE_ESTIMATE(GROSSINCOME,MEAN,QUARTERLY_ROLL,2022/2F,45813,,,'')&lt;/Q&gt;&lt;R&gt;1&lt;/R&gt;&lt;C&gt;1&lt;/C&gt;&lt;D xsi:type="xsd:double"&gt;34768&lt;/D&gt;&lt;/FQL&gt;&lt;FQL&gt;&lt;Q&gt;Ticker0024^FE_ESTIMATE(GROSSINCOME,MEAN,QUARTERLY_ROLL,2022/1F,45813,,,'')&lt;/Q&gt;&lt;R&gt;1&lt;/R&gt;&lt;C&gt;1&lt;/C&gt;&lt;D xsi:type="xsd:double"&gt;31671&lt;/D&gt;&lt;/FQL&gt;&lt;FQL&gt;&lt;Q&gt;Ticker0024^FE_ESTIMATE(GROSSINCOME,MEAN,ANNUAL_ROLL,2021,45813,,,'')&lt;/Q&gt;&lt;R&gt;1&lt;/R&gt;&lt;C&gt;1&lt;/C&gt;&lt;D xsi:type="xsd:double"&gt;115856.59&lt;/D&gt;&lt;/FQL&gt;&lt;FQL&gt;&lt;Q&gt;Ticker0024^FE_ESTIMATE(GROSSINCOME,MEAN,QUARTERLY_ROLL,2021/4F,45813,,,'')&lt;/Q&gt;&lt;R&gt;1&lt;/R&gt;&lt;C&gt;1&lt;/C&gt;&lt;D xsi:type="xsd:double"&gt;32161&lt;/D&gt;&lt;/FQL&gt;&lt;FQL&gt;&lt;Q&gt;Ticker0024^FE_ESTIMATE(GROSSINCOME,MEAN,QUARTERLY_ROLL,2021/3F,45813,,,'')&lt;/Q&gt;&lt;R&gt;1&lt;/R&gt;&lt;C&gt;1&lt;/C&gt;&lt;D xsi:type="xsd:double"&gt;28661&lt;/D&gt;&lt;/FQL&gt;&lt;FQL&gt;&lt;Q&gt;Ticker0024^FE_ESTIMATE(GROSSINCOME,MEAN,QUARTERLY_ROLL,2021/2F,45813,,,'')&lt;/Q&gt;&lt;R&gt;1&lt;/R&gt;&lt;C&gt;1&lt;/C&gt;&lt;D xsi:type="xsd:double"&gt;28882&lt;/D&gt;&lt;/FQL&gt;&lt;FQL&gt;&lt;Q&gt;Ticker0024^FE_ESTIMATE(GROSSINCOME,MEAN,QUARTERLY_ROLL,2021/1F,45813,,,'')&lt;/Q&gt;&lt;R&gt;1&lt;/R&gt;&lt;C&gt;1&lt;/C&gt;&lt;D xsi:type="xsd:double"&gt;26152&lt;/D&gt;&lt;/FQL&gt;&lt;FQL&gt;&lt;Q&gt;Ticker0024^FE_ESTIMATE(GROSSINCOME,MEAN,ANNUAL_ROLL,2020,45813,,,'')&lt;/Q&gt;&lt;R&gt;1&lt;/R&gt;&lt;C&gt;1&lt;/C&gt;&lt;D xsi:type="xsd:double"&gt;96940.4&lt;/D&gt;&lt;/FQL&gt;&lt;FQL&gt;&lt;Q&gt;Ticker0024^FE_ESTIMATE(GROSSINCOME,MEAN,QUARTERLY_ROLL,2020/4F,45813,,,'')&lt;/Q&gt;&lt;R&gt;1&lt;/R&gt;&lt;C&gt;1&lt;/C&gt;&lt;D xsi:type="xsd:double"&gt;25698.295&lt;/D&gt;&lt;/FQL&gt;&lt;FQL&gt;&lt;Q&gt;Ticker0024^FE_ESTIMATE(GROSSINCOME,MEAN,QUARTERLY_ROLL,2020/3F,45813,,,'')&lt;/Q&gt;&lt;R&gt;1&lt;/R&gt;&lt;C&gt;1&lt;/C&gt;&lt;D xsi:type="xsd:double"&gt;24046&lt;/D&gt;&lt;/FQL&gt;&lt;FQL&gt;&lt;Q&gt;Ticker0024^FE_ESTIMATE(GROSSINCOME,MEAN,QUARTERLY_ROLL,2020/2F,45813,,,'')&lt;/Q&gt;&lt;R&gt;1&lt;/R&gt;&lt;C&gt;1&lt;/C&gt;&lt;D xsi:type="xsd:double"&gt;24548&lt;/D&gt;&lt;/FQL&gt;&lt;FQL&gt;&lt;Q&gt;Ticker0024^FE_ESTIMATE(GROSSINCOME,MEAN,QUARTERLY_ROLL,2020/1F,45813,,,'')&lt;/Q&gt;&lt;R&gt;1&lt;/R&gt;&lt;C&gt;1&lt;/C&gt;&lt;D xsi:type="xsd:double"&gt;22649&lt;/D&gt;&lt;/FQL&gt;&lt;FQL&gt;&lt;Q&gt;Ticker0024^FE_ESTIMATE(GROSSINCOME,MEAN,ANNUAL_ROLL,2019,45813,,,'')&lt;/Q&gt;&lt;R&gt;1&lt;/R&gt;&lt;C&gt;1&lt;/C&gt;&lt;D xsi:type="xsd:double"&gt;82959.15&lt;/D&gt;&lt;/FQL&gt;&lt;FQL&gt;&lt;Q&gt;Ticker0024^FE_ESTIMATE(GROSSINCOME,MEAN,QUARTERLY_ROLL,2019/4F,45813,,,'')&lt;/Q&gt;&lt;R&gt;1&lt;/R&gt;&lt;C&gt;1&lt;/C&gt;&lt;D xsi:type="xsd:double"&gt;23317.578&lt;/D&gt;&lt;/FQL&gt;&lt;FQL&gt;&lt;Q&gt;Ticker0024^FE_ESTIMATE(GROSSINCOME,MEAN,QUARTERLY_ROLL,2019/3F,45813,,,'')&lt;/Q&gt;&lt;R&gt;1&lt;/R&gt;&lt;C&gt;1&lt;/C&gt;&lt;D xsi:type="xsd:double"&gt;20416&lt;/D&gt;&lt;/FQL&gt;&lt;FQL&gt;&lt;Q&gt;Ticker0024^FE_ESTIMATE(GROSSINCOME,MEAN,QUARTERLY_ROLL,2019/2F,45813,,,'')&lt;/Q&gt;&lt;R&gt;1&lt;/R&gt;&lt;C&gt;1&lt;/C&gt;&lt;D xsi:type="xsd:double"&gt;20048&lt;/D&gt;&lt;/FQL&gt;&lt;FQL&gt;&lt;Q&gt;Ticker0024^FE_ESTIMATE(GROSSINCOME,MEAN,QUARTERLY_ROLL,2019/1F,45813,,,'')&lt;/Q&gt;&lt;R&gt;1&lt;/R&gt;&lt;C&gt;1&lt;/C&gt;&lt;D xsi:type="xsd:double"&gt;19179&lt;/D&gt;&lt;/FQL&gt;&lt;FQL&gt;&lt;Q&gt;Ticker0024^FE_ESTIMATE(GROSSINCOME,MEAN,ANNUAL_ROLL,2018,45813,,,'')&lt;/Q&gt;&lt;R&gt;1&lt;/R&gt;&lt;C&gt;1&lt;/C&gt;&lt;D xsi:type="xsd:double"&gt;71970.336&lt;/D&gt;&lt;/FQL&gt;&lt;FQL&gt;&lt;Q&gt;Ticker0024^FE_ESTIMATE(GROSSINCOME,MEAN,QUARTERLY_ROLL,2018/4F,45813,,,'')&lt;/Q&gt;&lt;R&gt;1&lt;/R&gt;&lt;C&gt;1&lt;/C&gt;&lt;D xsi:type="xsd:double"&gt;20296.684&lt;/D&gt;&lt;/FQL&gt;&lt;FQL&gt;&lt;Q&gt;Ticker0024^FE_ESTIMATE(GROSSINCOME,MEAN,QUARTERLY_ROLL,2018/3F,45813,,,'')&lt;/Q&gt;&lt;R&gt;1&lt;/R&gt;&lt;C&gt;1&lt;/C&gt;&lt;D xsi:type="xsd:double"&gt;17550&lt;/D&gt;&lt;/FQL&gt;&lt;FQL&gt;&lt;Q&gt;Ticker0024^FE_ESTIMATE(GROSSINCOME,MEAN,QUARTERLY_ROLL,2018/2F,45813,,,'')&lt;/Q&gt;&lt;R&gt;1&lt;/R&gt;&lt;C&gt;1&lt;/C&gt;&lt;D xsi:type="xsd:double"&gt;17854&lt;/D&gt;&lt;/FQL&gt;&lt;FQL&gt;&lt;Q&gt;Ticker0024^FE_ESTIMATE(GROSSINCOME,MEAN,QUARTERLY_ROLL,2018/1F,45813,,,'')&lt;/Q&gt;&lt;R&gt;1&lt;/R&gt;&lt;C&gt;1&lt;/C&gt;&lt;D xsi:type="xsd:double"&gt;16264.4&lt;/D&gt;&lt;/FQL&gt;&lt;FQL&gt;&lt;Q&gt;Ticker0024^FE_ESTIMATE(GROSSINCOME,MEAN,ANNUAL_ROLL,2017,45813,,,'')&lt;/Q&gt;&lt;R&gt;1&lt;/R&gt;&lt;C&gt;1&lt;/C&gt;&lt;D xsi:type="xsd:double"&gt;62400.3&lt;/D&gt;&lt;/FQL&gt;&lt;FQL&gt;&lt;Q&gt;Ticker0024^FE_ESTIMATE(GROSSINCOME,MEAN,QUARTERLY_ROLL,2017/4F,45813,,,'')&lt;/Q&gt;&lt;R&gt;1&lt;/R&gt;&lt;C&gt;1&lt;/C&gt;&lt;D xsi:type="xsd:double"&gt;16244&lt;/D&gt;&lt;/FQL&gt;&lt;FQL&gt;&lt;Q&gt;Ticker0024^FE_ESTIMATE(GROSSINCOME,MEAN,QUARTERLY_ROLL,2017/3F,45813,,,'')&lt;/Q&gt;&lt;R&gt;1&lt;/R&gt;&lt;C&gt;1&lt;/C&gt;&lt;D xsi:type="xsd:double"&gt;15497&lt;/D&gt;&lt;/FQL&gt;&lt;FQL&gt;&lt;Q&gt;Ticker0024^FE_ESTIMATE(GROSSINCOME,MEAN,QUARTERLY_ROLL,2017/2F,45813,,,'')&lt;/Q&gt;&lt;R&gt;1&lt;/R&gt;&lt;C&gt;1&lt;/C&gt;&lt;D xsi:type="xsd:double"&gt;15990.608&lt;/D&gt;&lt;/FQL&gt;&lt;FQL&gt;&lt;Q&gt;Ticker0024^FE_ESTIMATE(GROSSINCOME,MEAN,QUARTERLY_ROLL,2017/1F,45813,,,'')&lt;/Q&gt;&lt;R&gt;1&lt;/R&gt;&lt;C&gt;1&lt;/C&gt;&lt;D xsi:type="xsd:double"&gt;14317.286&lt;/D&gt;&lt;/FQL&gt;&lt;FQL&gt;&lt;Q&gt;Ticker0024^FE_ESTIMATE(GROSSINCOME,MEAN,ANNUAL_ROLL,2016,45813,,,'')&lt;/Q&gt;&lt;R&gt;1&lt;/R&gt;&lt;C&gt;1&lt;/C&gt;&lt;D xsi:type="xsd:double"&gt;59288.41&lt;/D&gt;&lt;/FQL&gt;&lt;FQL&gt;&lt;Q&gt;Ticker0024^FE_ESTIMATE(GROSSINCOME,MEAN,QUARTERLY_ROLL,2016/4F,45813,,,'')&lt;/Q&gt;&lt;R&gt;1&lt;/R&gt;&lt;C&gt;1&lt;/C&gt;&lt;D xsi:type="xsd:double"&gt;14663&lt;/D&gt;&lt;/FQL&gt;&lt;FQL&gt;&lt;Q&gt;Ticker0024^FE_ESTIMATE(GROSSINCOME,MEAN,QUARTERLY_ROLL,2016/3F,45813,,,'')&lt;/Q&gt;&lt;R&gt;1&lt;/R&gt;&lt;C&gt;1&lt;/C&gt;&lt;D xsi:type="xsd:double"&gt;14354&lt;/D&gt;&lt;/FQL&gt;&lt;FQL&gt;&lt;Q&gt;Ticker0024^FE_ESTIMATE(GROSSINCOME,MEAN,QUARTERLY_ROLL,2016/2F,45813,,,'')&lt;/Q&gt;&lt;R&gt;1&lt;/R&gt;&lt;C&gt;1&lt;/C&gt;&lt;D xsi:type="xsd:double"&gt;15821&lt;/D&gt;&lt;/FQL&gt;&lt;FQL&gt;&lt;Q&gt;Ticker0024^FE_ESTIMATE(GROSSINCOME,MEAN,QUARTERLY_ROLL,2016/1F,45813,,,'')&lt;/Q&gt;&lt;R&gt;1&lt;/R&gt;&lt;C&gt;1&lt;/C&gt;&lt;D xsi:type="xsd:double"&gt;14452.667&lt;/D&gt;&lt;/FQL&gt;&lt;FQL&gt;&lt;Q&gt;Ticker0024^FE_ESTIMATE(GROSSINCOME,MEAN,ANNUAL_ROLL,2015,45813,,,'')&lt;/Q&gt;&lt;R&gt;1&lt;/R&gt;&lt;C&gt;1&lt;/C&gt;&lt;D xsi:type="xsd:double"&gt;60542.086&lt;/D&gt;&lt;/FQL&gt;&lt;FQL&gt;&lt;Q&gt;Ticker0024^FE_ESTIMATE(GROSSINCOME,MEAN,QUARTERLY_ROLL,2015/4F,45813,,,'')&lt;/Q&gt;&lt;R&gt;1&lt;/R&gt;&lt;C&gt;1&lt;/C&gt;&lt;D xsi:type="xsd:double"&gt;14712&lt;/D&gt;&lt;/FQL&gt;&lt;FQL&gt;&lt;Q&gt;Ticker0024^FE_ESTIMATE(GROSSINCOME,MEAN,QUARTERLY_ROLL,2015/3F,45813,,,'')&lt;/Q&gt;&lt;R&gt;1&lt;/R&gt;&lt;C&gt;1&lt;/C&gt;&lt;D xsi:type="xsd:double"&gt;14571.714&lt;/D&gt;&lt;/FQL&gt;&lt;FQL&gt;&lt;Q&gt;Ticker0024^FE_ESTIMATE(GROSSINCOME,MEAN,QUARTERLY_ROLL,2015/2F,45813,,,'')&lt;/Q&gt;&lt;R&gt;1&lt;/R&gt;&lt;C&gt;1&lt;/C&gt;&lt;D xsi:type="xsd:double"&gt;16334&lt;/D&gt;&lt;/FQL&gt;&lt;FQL&gt;&lt;Q&gt;Ticker0024^FE_ESTIMATE(GROSSINCOME,MEAN,QUARTERLY_ROLL,2015/1F,45813,,,'')&lt;/Q&gt;&lt;R&gt;1&lt;/R&gt;&lt;C&gt;1&lt;/C&gt;&lt;D xsi:type="xsd:double"&gt;14928&lt;/D&gt;&lt;/FQL&gt;&lt;FQL&gt;&lt;Q&gt;Ticker0024^FE_ESTIMATE(SALES,MEAN,ANNUAL_ROLL,2030,45813,,,'')&lt;/Q&gt;&lt;R&gt;0&lt;/R&gt;&lt;C&gt;0&lt;/C&gt;&lt;/FQL&gt;&lt;FQL&gt;&lt;Q&gt;Ticker0024^FE_ESTIMATE(SALES,MEAN,QUARTERLY_ROLL,2030/4F,45813,,,'')&lt;/Q&gt;&lt;R&gt;0&lt;/R&gt;&lt;C&gt;0&lt;/C&gt;&lt;/FQL&gt;&lt;FQL&gt;&lt;Q&gt;Ticker0024^FE_ESTIMATE(SALES,MEAN,QUARTERLY_ROLL,2030/3F,45813,,,'')&lt;/Q&gt;&lt;R&gt;0&lt;/R&gt;&lt;C&gt;0&lt;/C&gt;&lt;/FQL&gt;&lt;FQL&gt;&lt;Q&gt;Ticker0024^FE_ESTIMATE(SALES,MEAN,QUARTERLY_ROLL,2030/2F,45813,,,'')&lt;/Q&gt;&lt;R&gt;0&lt;/R&gt;&lt;C&gt;0&lt;/C&gt;&lt;/FQL&gt;&lt;FQL&gt;&lt;Q&gt;Ticker0024^FE_ESTIMATE(SALES,MEAN,QUARTERLY_ROLL,2030/1F,45813,,,'')&lt;/Q&gt;&lt;R&gt;0&lt;/R&gt;&lt;C&gt;0&lt;/C&gt;&lt;/FQL&gt;&lt;FQL&gt;&lt;Q&gt;Ticker0024^FE_ESTIMATE(SALES,MEAN,ANNUAL_ROLL,2029,45813,,,'')&lt;/Q&gt;&lt;R&gt;1&lt;/R&gt;&lt;C&gt;1&lt;/C&gt;&lt;D xsi:type="xsd:double"&gt;477902.6&lt;/D&gt;&lt;/FQL&gt;&lt;FQL&gt;&lt;Q&gt;Ticker0024^FE_ESTIMATE(SALES,MEAN,QUARTERLY_ROLL,2029/4F,45813,,,'')&lt;/Q&gt;&lt;R&gt;0&lt;/R&gt;&lt;C&gt;0&lt;/C&gt;&lt;/FQL&gt;&lt;FQL&gt;&lt;Q&gt;Ticker0024^FE_ESTIMATE(SALES,MEAN,QUARTERLY_ROLL,2029/3F,45813,,,'')&lt;/Q&gt;&lt;R&gt;0&lt;/R&gt;&lt;C&gt;0&lt;/C&gt;&lt;/FQL&gt;&lt;FQL&gt;&lt;Q&gt;Ticker0024^FE_ESTIMATE(SALES,MEAN,QUARTERLY_ROLL,2029/2F,45813,,,'')&lt;/Q&gt;&lt;R&gt;0&lt;/R&gt;&lt;C&gt;0&lt;/C&gt;&lt;/FQL&gt;&lt;FQL&gt;&lt;Q&gt;Ticker0024^FE_ESTIMATE(SALES,MEAN,QUARTERLY_ROLL,2029/1F,45813,,,'')&lt;/Q&gt;&lt;R&gt;0&lt;/R&gt;&lt;C&gt;0&lt;/C&gt;&lt;/FQL&gt;&lt;FQL&gt;&lt;Q&gt;Ticker0024^FE_ESTIMATE(SALES,MEAN,ANNUAL_ROLL,2028,45813,,,'')&lt;/Q&gt;&lt;R&gt;1&lt;/R&gt;&lt;C&gt;1&lt;/C&gt;&lt;D xsi:type="xsd:double"&gt;421383.56&lt;/D&gt;&lt;/FQL&gt;&lt;FQL&gt;&lt;Q&gt;Ticker0024^FE_ESTIMATE(SALES,MEAN,QUARTERLY_ROLL,2028/4F,45813,,,'')&lt;/Q&gt;&lt;R&gt;0&lt;/R&gt;&lt;C&gt;0&lt;/C&gt;&lt;/FQL&gt;&lt;FQL&gt;&lt;Q&gt;Ticker0024^FE_ESTIMATE(SALES,MEAN,QUARTERLY_ROLL,2028/3F,45813,,,'')&lt;/Q&gt;&lt;R&gt;0&lt;/R&gt;&lt;C&gt;0&lt;/C&gt;&lt;/FQL&gt;&lt;FQL&gt;&lt;Q&gt;Ticker0024^FE_ESTIMATE(SALES,MEAN,QUARTERLY_ROLL,2028/2F,45813,,,'')&lt;/Q&gt;&lt;R&gt;0&lt;/R&gt;&lt;C&gt;0&lt;/C&gt;&lt;/FQL&gt;&lt;FQL&gt;&lt;Q&gt;Ticker0024^FE_ESTIMATE(SALES,MEAN,QUARTERLY_ROLL,2028/1F,45813,,,'')&lt;/Q&gt;&lt;R&gt;0&lt;/R&gt;&lt;C&gt;0&lt;/C&gt;&lt;/FQL&gt;&lt;FQL&gt;&lt;Q&gt;Ticker0024^FE_ESTIMATE(SALES,MEAN,ANNUAL_ROLL,2027,45813,,,'')&lt;/Q&gt;&lt;R&gt;1&lt;/R&gt;&lt;C&gt;1&lt;/C&gt;&lt;D xsi:type="xsd:double"&gt;362509.47&lt;/D&gt;&lt;/FQL&gt;&lt;FQL&gt;&lt;Q&gt;Ticker0024^FE_ESTIMATE(SALES,MEAN,QUARTERLY_ROLL,2027/4F,45813,,,'')&lt;/Q&gt;&lt;R&gt;1&lt;/R&gt;&lt;C&gt;1&lt;/C&gt;&lt;D xsi:type="xsd:double"&gt;94717.12&lt;/D&gt;&lt;/FQL&gt;&lt;FQL&gt;&lt;Q&gt;Ticker0024^FE_ESTIMATE(SALES,MEAN,QUARTERLY_ROLL,2027/3F,45813,,,'')&lt;/Q&gt;&lt;R&gt;1&lt;/R&gt;&lt;C&gt;1&lt;/C&gt;&lt;D xsi:type="xsd:double"&gt;90020.77&lt;/D&gt;&lt;/FQL&gt;&lt;FQL&gt;&lt;Q&gt;Ticker0024^FE_ESTIMATE(SALES,MEAN,QUARTERLY_ROLL,2027/2F,45813,,,'')&lt;/Q&gt;&lt;R&gt;1&lt;/R&gt;&lt;C&gt;1&lt;/C&gt;&lt;D xsi:type="xsd:double"&gt;88909.57&lt;/D&gt;&lt;/FQL&gt;&lt;FQL&gt;&lt;Q&gt;Ticker0024^FE_ESTIMATE(SALES,MEAN,QUARTERLY_ROLL,2027/1F,45813,,,'')&lt;/Q&gt;&lt;R&gt;1&lt;/R&gt;&lt;C&gt;1&lt;/C&gt;&lt;D xsi:type="xsd:double"&gt;84256.07&lt;/D&gt;&lt;/FQL&gt;&lt;FQL&gt;&lt;Q&gt;Ticker0024^FE_ESTIMATE(SALES,MEAN,ANNUAL_ROLL,2026,45813,,,'')&lt;/Q&gt;&lt;R&gt;1&lt;/R&gt;&lt;C&gt;1&lt;/C&gt;&lt;D xsi:type="xsd:double"&gt;316858&lt;/D&gt;&lt;/FQL&gt;&lt;FQL&gt;&lt;Q&gt;Ticker0024^FE_ESTIMATE(SALES,MEAN,QUARTERLY_ROLL,2026/4F,45813,,,'')&lt;/Q&gt;&lt;R&gt;1&lt;/R&gt;&lt;C&gt;1&lt;/C&gt;&lt;D xsi:type="xsd:double"&gt;83394.99&lt;/D&gt;&lt;/FQL&gt;&lt;FQL&gt;&lt;Q&gt;Ticker0024^FE_ESTIMATE(SALES,MEAN,QUARTERLY_ROLL,2026/3F,45813,,,'')&lt;/Q&gt;&lt;R&gt;1&lt;/R&gt;&lt;C&gt;1&lt;/C&gt;&lt;D xsi:type="xsd:double"&gt;79309.97&lt;/D&gt;&lt;/FQL&gt;&lt;FQL&gt;&lt;Q&gt;Ticker0024^FE_ESTIMATE(SALES,MEAN,QUARTERLY_ROLL,2026/2F,45813,,,'')&lt;/Q&gt;&lt;R&gt;1&lt;/R&gt;&lt;C&gt;1&lt;/C&gt;&lt;D xsi:type="xsd:double"&gt;78633.94&lt;/D&gt;&lt;/FQL&gt;&lt;FQL&gt;&lt;Q&gt;Ticker0024^FE_ESTIMATE(SALES,MEAN,QUARTERLY_ROLL,2026/1F,45813,,,'')&lt;/Q&gt;&lt;R&gt;1&lt;/R&gt;&lt;C&gt;1&lt;/C&gt;&lt;D xsi:type="xsd:double"&gt;74040.03&lt;/D&gt;&lt;/FQL&gt;&lt;FQL&gt;&lt;Q&gt;Ticker0024^FE_ESTIMATE(SALES,MEAN,ANNUAL_ROLL,2025,45813,,,'')&lt;/Q&gt;&lt;R&gt;1&lt;/R&gt;&lt;C&gt;1&lt;/C&gt;&lt;D xsi:type="xsd:double"&gt;279103.2&lt;/D&gt;&lt;/FQL&gt;&lt;FQL&gt;&lt;Q&gt;Ticker0024^FE_ESTIMATE(SALES,MEAN,QUARTERLY_ROLL,2025/4F,45813,,,'')&lt;/Q&gt;&lt;R&gt;1&lt;/R&gt;&lt;C&gt;1&lt;/C&gt;&lt;D xsi:type="xsd:double"&gt;73770.97&lt;/D&gt;&lt;/FQL&gt;&lt;FQL&gt;&lt;Q&gt;Ticker0024^FE_ESTIMATE(SALES,MEAN,QUARTERLY_ROLL,2025/3F,45813,,,'')&lt;/Q&gt;&lt;R&gt;1&lt;/R&gt;&lt;C&gt;1&lt;/C&gt;&lt;D xsi:type="xsd:double"&gt;70066&lt;/D&gt;&lt;/FQL&gt;&lt;FQL&gt;&lt;Q&gt;Ticker0024^FE_ESTIMATE(SALES,MEAN,QUARTERLY_ROLL,2025/2F,45813,,,'')&lt;/Q&gt;&lt;R&gt;1&lt;/R&gt;&lt;C&gt;1&lt;/C&gt;&lt;D xsi:type="xsd:double"&gt;69632&lt;/D&gt;&lt;/FQL&gt;&lt;FQL&gt;&lt;Q&gt;Ticker0024^FE_ESTIMATE(SALES,MEAN,QUARTERLY_ROLL,2025/1F,45813,,,'')&lt;/Q&gt;&lt;R&gt;1&lt;/R&gt;&lt;C&gt;1&lt;/C&gt;&lt;D xsi:type="xsd:double"&gt;65585&lt;/D&gt;&lt;/FQL&gt;&lt;FQL&gt;&lt;Q&gt;Ticker0024^FE_ESTIMATE(SALES,MEAN,ANNUAL_ROLL,2024,45813,,,'')&lt;/Q&gt;&lt;R&gt;1&lt;/R&gt;&lt;C&gt;1&lt;/C&gt;&lt;D xsi:type="xsd:double"&gt;245122&lt;/D&gt;&lt;/FQL&gt;&lt;FQL&gt;&lt;Q&gt;Ticker0024^FE_ESTIMATE(SALES,MEAN,QUARTERLY_ROLL,2024/4F,45813,,,'')&lt;/Q&gt;&lt;R&gt;1&lt;/R&gt;&lt;C&gt;1&lt;/C&gt;&lt;D xsi:type="xsd:double"&gt;64727&lt;/D&gt;&lt;/FQL&gt;&lt;FQL&gt;&lt;Q&gt;Ticker0024^FE_ESTIMATE(SALES,MEAN,QUARTERLY_ROLL,2024/3F,45813,,,'')&lt;/Q&gt;&lt;R&gt;1&lt;/R&gt;&lt;C&gt;1&lt;/C&gt;&lt;D xsi:type="xsd:double"&gt;61858&lt;/D&gt;&lt;/FQL&gt;&lt;FQL&gt;&lt;Q&gt;Ticker0024^FE_ESTIMATE(SALES,MEAN,QUARTERLY_ROLL,2024/2F,45813,,,'')&lt;/Q&gt;&lt;R&gt;1&lt;/R&gt;&lt;C&gt;1&lt;/C&gt;&lt;D xsi:type="xsd:double"&gt;62020&lt;/D&gt;&lt;/FQL&gt;&lt;FQL&gt;&lt;Q&gt;Ticker0024^FE_ESTIMATE(SALES,MEAN,QUARTERLY_ROLL,2024/1F,45813,,,'')&lt;/Q&gt;&lt;R&gt;1&lt;/R&gt;&lt;C&gt;1&lt;/C&gt;&lt;D xsi:type="xsd:double"&gt;56517&lt;/D&gt;&lt;/FQL&gt;&lt;FQL&gt;&lt;Q&gt;Ticker0024^FE_ESTIMATE(SALES,MEAN,ANNUAL_ROLL,2023,45813,,,'')&lt;/Q&gt;&lt;R&gt;1&lt;/R&gt;&lt;C&gt;1&lt;/C&gt;&lt;D xsi:type="xsd:double"&gt;211915&lt;/D&gt;&lt;/FQL&gt;&lt;FQL&gt;&lt;Q&gt;Ticker0024^FE_ESTIMATE(SALES,MEAN,QUARTERLY_ROLL,2023/4F,45813,,,'')&lt;/Q&gt;&lt;R&gt;1&lt;/R&gt;&lt;C&gt;1&lt;/C&gt;&lt;D xsi:type="xsd:double"&gt;56189&lt;/D&gt;&lt;/FQL&gt;&lt;FQL&gt;&lt;Q&gt;Ticker0024^FE_ESTIMATE(SALES,MEAN,QUARTERLY_ROLL,2023/3F,45813,,,'')&lt;/Q&gt;&lt;R&gt;1&lt;/R&gt;&lt;C&gt;1&lt;/C&gt;&lt;D xsi:type="xsd:double"&gt;52857&lt;/D&gt;&lt;/FQL&gt;&lt;FQL&gt;&lt;Q&gt;Ticker0024^FE_ESTIMATE(SALES,MEAN,QUARTERLY_ROLL,2023/2F,45813,,,'')&lt;/Q&gt;&lt;R&gt;1&lt;/R&gt;&lt;C&gt;1&lt;/C&gt;&lt;D xsi:type="xsd:double"&gt;52747&lt;/D&gt;&lt;/FQL&gt;&lt;FQL&gt;&lt;Q&gt;Ticker0024^FE_ESTIMATE(SALES,MEAN,QUARTERLY_ROLL,2023/1F,45813,,,'')&lt;/Q&gt;&lt;R&gt;1&lt;/R&gt;&lt;C&gt;1&lt;/C&gt;&lt;D xsi:type="xsd:double"&gt;50122&lt;/D&gt;&lt;/FQL&gt;&lt;FQL&gt;&lt;Q&gt;Ticker0024^FE_ESTIMATE(SALES,MEAN,ANNUAL_ROLL,2022,45813,,,'')&lt;/Q&gt;&lt;R&gt;1&lt;/R&gt;&lt;C&gt;1&lt;/C&gt;&lt;D xsi:type="xsd:double"&gt;198270&lt;/D&gt;&lt;/FQL&gt;&lt;FQL&gt;&lt;Q&gt;Ticker0024^FE_ESTIMATE(SALES,MEAN,QUARTERLY_ROLL,2022/4F,45813,,,'')&lt;/Q&gt;&lt;R&gt;1&lt;/R&gt;&lt;C&gt;1&lt;/C&gt;&lt;D xsi:type="xsd:double"&gt;51865&lt;/D&gt;&lt;/FQL&gt;&lt;FQL&gt;&lt;Q&gt;Ticker0024^FE_ESTIMATE(SALES,MEAN,QUARTERLY_ROLL,2022/3F,45813,,,'')&lt;/Q&gt;&lt;R&gt;1&lt;/R&gt;&lt;C&gt;1&lt;/C&gt;&lt;D xsi:type="xsd:double"&gt;49360&lt;/D&gt;&lt;/FQL&gt;&lt;FQL&gt;&lt;Q&gt;Ticker0024^FE_ESTIMATE(SALES,MEAN,QUARTERLY_ROLL,2022/2F,45813,,,'')&lt;/Q&gt;&lt;R&gt;1&lt;/R&gt;&lt;C&gt;1&lt;/C&gt;&lt;D xsi:type="xsd:double"&gt;51728&lt;/D&gt;&lt;/FQL&gt;&lt;FQL&gt;&lt;Q&gt;Ticker0024^FE_ESTIMATE(SALES,MEAN,QUARTERLY_ROLL,2022/1F,45813,,,'')&lt;/Q&gt;&lt;R&gt;1&lt;/R&gt;&lt;C&gt;1&lt;/C&gt;&lt;D xsi:type="xsd:double"&gt;45317&lt;/D&gt;&lt;/FQL&gt;&lt;FQL&gt;&lt;Q&gt;Ticker0024^FE_ESTIMATE(SALES,MEAN,ANNUAL_ROLL,2021,45813,,,'')&lt;/Q&gt;&lt;R&gt;1&lt;/R&gt;&lt;C&gt;1&lt;/C&gt;&lt;D xsi:type="xsd:double"&gt;168088&lt;/D&gt;&lt;/FQL&gt;&lt;FQL&gt;&lt;Q&gt;Ticker0024^FE_ESTIMATE(SALES,MEAN,QUARTERLY_ROLL,2021/4F,45813,,,'')&lt;/Q&gt;&lt;R&gt;1&lt;/R&gt;&lt;C&gt;1&lt;/C&gt;&lt;D xsi:type="xsd:double"&gt;46152&lt;/D&gt;&lt;/FQL&gt;&lt;FQL&gt;&lt;Q&gt;Ticker0024^FE_ESTIMATE(SALES,MEAN,QUARTERLY_ROLL,2021/3F,45813,,,'')&lt;/Q&gt;&lt;R&gt;1&lt;/R&gt;&lt;C&gt;1&lt;/C&gt;&lt;D xsi:type="xsd:double"&gt;41706&lt;/D&gt;&lt;/FQL&gt;&lt;FQL&gt;&lt;Q&gt;Ticker0024^FE_ESTIMATE(SALES,MEAN,QUARTERLY_ROLL,2021/2F,45813,,,'')&lt;/Q&gt;&lt;R&gt;1&lt;/R&gt;&lt;C&gt;1&lt;/C&gt;&lt;D xsi:type="xsd:double"&gt;43076&lt;/D&gt;&lt;/FQL&gt;&lt;FQL&gt;&lt;Q&gt;Ticker0024^FE_ESTIMATE(SALES,MEAN,QUARTERLY_ROLL,2021/1F,45813,,,'')&lt;/Q&gt;&lt;R&gt;1&lt;/R&gt;&lt;C&gt;1&lt;/C&gt;&lt;D xsi:type="xsd:double"&gt;37154&lt;/D&gt;&lt;/FQL&gt;&lt;FQL&gt;&lt;Q&gt;Ticker0024^FE_ESTIMATE(SALES,MEAN,ANNUAL_ROLL,2020,45813,,,'')&lt;/Q&gt;&lt;R&gt;1&lt;/R&gt;&lt;C&gt;1&lt;/C&gt;&lt;D xsi:type="xsd:double"&gt;143015&lt;/D&gt;&lt;/FQL&gt;&lt;FQL&gt;&lt;Q&gt;Ticker0024^FE_ESTIMATE(SALES,MEAN,QUARTERLY_ROLL,2020/4F,45813,,,'')&lt;/Q&gt;&lt;R&gt;1&lt;/R&gt;&lt;C&gt;1&lt;/C&gt;&lt;D xsi:type="xsd:double"&gt;38033&lt;/D&gt;&lt;/FQL&gt;&lt;FQL&gt;&lt;Q&gt;Ticker0024^FE_ESTIMATE(SALES,MEAN,QUARTERLY_ROLL,2020/3F,45813,,,'')&lt;/Q&gt;&lt;R&gt;1&lt;/R&gt;&lt;C&gt;1&lt;/C&gt;&lt;D xsi:type="xsd:double"&gt;35021&lt;/D&gt;&lt;/FQL&gt;&lt;FQL&gt;&lt;Q&gt;Ticker0024^FE_ESTIMATE(SALES,MEAN,QUARTERLY_ROLL,2020/2F,45813,,,'')&lt;/Q&gt;&lt;R&gt;1&lt;/R&gt;&lt;C&gt;1&lt;/C&gt;&lt;D xsi:type="xsd:double"&gt;36906&lt;/D&gt;&lt;/FQL&gt;&lt;FQL&gt;&lt;Q&gt;Ticker0024^FE_ESTIMATE(SALES,MEAN,QUARTERLY_ROLL,2020/1F,45813,,,'')&lt;/Q&gt;&lt;R&gt;1&lt;/R&gt;&lt;C&gt;1&lt;/C&gt;&lt;D xsi:type="xsd:double"&gt;33055&lt;/D&gt;&lt;/FQL&gt;&lt;FQL&gt;&lt;Q&gt;Ticker0024^FE_ESTIMATE(SALES,MEAN,ANNUAL_ROLL,2019,45813,,,'')&lt;/Q&gt;&lt;R&gt;1&lt;/R&gt;&lt;C&gt;1&lt;/C&gt;&lt;D xsi:type="xsd:double"&gt;125843&lt;/D&gt;&lt;/FQL&gt;&lt;FQL&gt;&lt;Q&gt;Ticker0024^FE_ESTIMATE(SALES,MEAN,QUARTERLY_ROLL,2019/4F,45813,,,'')&lt;/Q&gt;&lt;R&gt;1&lt;/R&gt;&lt;C&gt;1&lt;/C&gt;&lt;D xsi:type="xsd:double"&gt;33717&lt;/D&gt;&lt;/FQL&gt;&lt;FQL&gt;&lt;Q&gt;Ticker0024^FE_ESTIMATE(SALES,MEAN,QUARTERLY_ROLL,2019/3F,45813,,,'')&lt;/Q&gt;&lt;R&gt;1&lt;/R&gt;&lt;C&gt;1&lt;/C&gt;&lt;D xsi:type="xsd:double"&gt;30571&lt;/D&gt;&lt;/FQL&gt;&lt;FQL&gt;&lt;Q&gt;Ticker0024^FE_ESTIMATE(SALES,MEAN,QUARTERLY_ROLL,2019/2F,45813,,,'')&lt;/Q&gt;&lt;R&gt;1&lt;/R&gt;&lt;C&gt;1&lt;/C&gt;&lt;D xsi:type="xsd:double"&gt;32471&lt;/D&gt;&lt;/FQL&gt;&lt;FQL&gt;&lt;Q&gt;Ticker0024^FE_ESTIMATE(SALES,MEAN,QUARTERLY_ROLL,2019/1F,45813,,,'')&lt;/Q&gt;&lt;R&gt;1&lt;/R&gt;&lt;C&gt;1&lt;/C&gt;&lt;D xsi:type="xsd:double"&gt;29084&lt;/D&gt;&lt;/FQL&gt;&lt;FQL&gt;&lt;Q&gt;Ticker0024^FE_ESTIMATE(SALES,MEAN,ANNUAL_ROLL,2018,45813,,,'')&lt;/Q&gt;&lt;R&gt;1&lt;/R&gt;&lt;C&gt;1&lt;/C&gt;&lt;D xsi:type="xsd:double"&gt;110360&lt;/D&gt;&lt;/FQL&gt;&lt;FQL&gt;&lt;Q&gt;Ticker0024^FE_ESTIMATE(SALES,MEAN,QUARTERLY_ROLL,2018/4F,45813,,,'')&lt;/Q&gt;&lt;R&gt;1&lt;/R&gt;&lt;C&gt;1&lt;/C&gt;&lt;D xsi:type="xsd:double"&gt;30085&lt;/D&gt;&lt;/FQL&gt;&lt;FQL&gt;&lt;Q&gt;Ticker0024^FE_ESTIMATE(SALES,MEAN,QUARTERLY_ROLL,2018/3F,45813,,,'')&lt;/Q&gt;&lt;R&gt;1&lt;/R&gt;&lt;C&gt;1&lt;/C&gt;&lt;D xsi:type="xsd:double"&gt;26819&lt;/D&gt;&lt;/FQL&gt;&lt;FQL&gt;&lt;Q&gt;Ticker0024^FE_ESTIMATE(SALES,MEAN,QUARTERLY_ROLL,2018/2F,45813,,,'')&lt;/Q&gt;&lt;R&gt;1&lt;/R&gt;&lt;C&gt;1&lt;/C&gt;&lt;D xsi:type="xsd:double"&gt;28918&lt;/D&gt;&lt;/FQL&gt;&lt;FQL&gt;&lt;Q&gt;Ticker0024^FE_ESTIMATE(SALES,MEAN,QUARTERLY_ROLL,2018/1F,45813,,,'')&lt;/Q&gt;&lt;R&gt;1&lt;/R&gt;&lt;C&gt;1&lt;/C&gt;&lt;D xsi:type="xsd:double"&gt;24538&lt;/D&gt;&lt;/FQL&gt;&lt;FQL&gt;&lt;Q&gt;Ticker0024^FE_ESTIMATE(SALES,MEAN,ANNUAL_ROLL,2017,45813,,,'')&lt;/Q&gt;&lt;R&gt;1&lt;/R&gt;&lt;C&gt;1&lt;/C&gt;&lt;D xsi:type="xsd:double"&gt;96700&lt;/D&gt;&lt;/FQL&gt;&lt;FQL&gt;&lt;Q&gt;Ticker0024^FE_ESTIMATE(SALES,MEAN,QUARTERLY_ROLL,2017/4F,45813,,,'')&lt;/Q&gt;&lt;R&gt;1&lt;/R&gt;&lt;C&gt;1&lt;/C&gt;&lt;D xsi:type="xsd:double"&gt;24700&lt;/D&gt;&lt;/FQL&gt;&lt;FQL&gt;&lt;Q&gt;Ticker0024^FE_ESTIMATE(SALES,MEAN,QUARTERLY_ROLL,2017/3F,45813,,,'')&lt;/Q&gt;&lt;R&gt;1&lt;/R&gt;&lt;C&gt;1&lt;/C&gt;&lt;D xsi:type="xsd:double"&gt;23557&lt;/D&gt;&lt;/FQL&gt;&lt;FQL&gt;&lt;Q&gt;Ticker0024^FE_ESTIMATE(SALES,MEAN,QUARTERLY_ROLL,2017/2F,45813,,,'')&lt;/Q&gt;&lt;R&gt;1&lt;/R&gt;&lt;C&gt;1&lt;/C&gt;&lt;D xsi:type="xsd:double"&gt;26066&lt;/D&gt;&lt;/FQL&gt;&lt;FQL&gt;&lt;Q&gt;Ticker0024^FE_ESTIMATE(SALES,MEAN,QUARTERLY_ROLL,2017/1F,45813,,,'')&lt;/Q&gt;&lt;R&gt;1&lt;/R&gt;&lt;C&gt;1&lt;/C&gt;&lt;D xsi:type="xsd:double"&gt;22334&lt;/D&gt;&lt;/FQL&gt;&lt;FQL&gt;&lt;Q&gt;Ticker0024^FE_ESTIMATE(SALES,MEAN,ANNUAL_ROLL,2016,45813,,,'')&lt;/Q&gt;&lt;R&gt;1&lt;/R&gt;&lt;C&gt;1&lt;/C&gt;&lt;D xsi:type="xsd:double"&gt;92051.92&lt;/D&gt;&lt;/FQL&gt;&lt;FQL&gt;&lt;Q&gt;Ticker0024^FE_ESTIMATE(SALES,MEAN,QUARTERLY_ROLL,2016/4F,45813,,,'')&lt;/Q&gt;&lt;R&gt;1&lt;/R&gt;&lt;C&gt;1&lt;/C&gt;&lt;D xsi:type="xsd:double"&gt;22640.229&lt;/D&gt;&lt;/FQL&gt;&lt;FQL&gt;&lt;Q&gt;Ticker0024^FE_ESTIMATE(SALES,MEAN,QUARTERLY_ROLL,2016/3F,45813,,,'')&lt;/Q&gt;&lt;R&gt;1&lt;/R&gt;&lt;C&gt;1&lt;/C&gt;&lt;D xsi:type="xsd:double"&gt;22076&lt;/D&gt;&lt;/FQL&gt;&lt;FQL&gt;&lt;Q&gt;Ticker0024^FE_ESTIMATE(SALES,MEAN,QUARTERLY_ROLL,2016/2F,45813,,,'')&lt;/Q&gt;&lt;R&gt;1&lt;/R&gt;&lt;C&gt;1&lt;/C&gt;&lt;D xsi:type="xsd:double"&gt;25693&lt;/D&gt;&lt;/FQL&gt;&lt;FQL&gt;&lt;Q&gt;Ticker0024^FE_ESTIMATE(SALES,MEAN,QUARTERLY_ROLL,2016/1F,45813,,,'')&lt;/Q&gt;&lt;R&gt;1&lt;/R&gt;&lt;C&gt;1&lt;/C&gt;&lt;D xsi:type="xsd:double"&gt;21660&lt;/D&gt;&lt;/FQL&gt;&lt;FQL&gt;&lt;Q&gt;Ticker0024^FE_ESTIMATE(SALES,MEAN,ANNUAL_ROLL,2015,45813,,,'')&lt;/Q&gt;&lt;R&gt;1&lt;/R&gt;&lt;C&gt;1&lt;/C&gt;&lt;D xsi:type="xsd:double"&gt;93580&lt;/D&gt;&lt;/FQL&gt;&lt;FQL&gt;&lt;Q&gt;Ticker0024^FE_ESTIMATE(SALES,MEAN,QUARTERLY_ROLL,2015/4F,45813,,,'')&lt;/Q&gt;&lt;R&gt;1&lt;/R&gt;&lt;C&gt;1&lt;/C&gt;&lt;D xsi:type="xsd:double"&gt;22180&lt;/D&gt;&lt;/FQL&gt;&lt;FQL&gt;&lt;Q&gt;Ticker0024^FE_ESTIMATE(SALES,MEAN,QUARTERLY_ROLL,2015/3F,45813,,,'')&lt;/Q&gt;&lt;R&gt;1&lt;/R&gt;&lt;C&gt;1&lt;/C&gt;&lt;D xsi:type="xsd:double"&gt;21729&lt;/D&gt;&lt;/FQL&gt;&lt;FQL&gt;&lt;Q&gt;Ticker0024^FE_ESTIMATE(SALES,MEAN,QUARTERLY_ROLL,2015/2F,45813,,,'')&lt;/Q&gt;&lt;R&gt;1&lt;/R&gt;&lt;C&gt;1&lt;/C&gt;&lt;D xsi:type="xsd:double"&gt;26470&lt;/D&gt;&lt;/FQL&gt;&lt;FQL&gt;&lt;Q&gt;Ticker0024^FE_ESTIMATE(SALES,MEAN,QUARTERLY_ROLL,2015/1F,45813,,,'')&lt;/Q&gt;&lt;R&gt;1&lt;/R&gt;&lt;C&gt;1&lt;/C&gt;&lt;D xsi:type="xsd:double"&gt;23201&lt;/D&gt;&lt;/FQL&gt;&lt;FQL&gt;&lt;Q&gt;Ticker0024^FE_ESTIMATE(PRODLINE_SALES_17,MEAN,ANNUAL_ROLL,2030,45813,,,'')&lt;/Q&gt;&lt;R&gt;0&lt;/R&gt;&lt;C&gt;0&lt;/C&gt;&lt;/FQL&gt;&lt;FQL&gt;&lt;Q&gt;Ticker0024^FE_ESTIMATE(PRODLINE_SALES_17,MEAN,QUARTERLY_ROLL,2030/4F,45813,,,'')&lt;/Q&gt;&lt;R&gt;0&lt;/R&gt;&lt;C&gt;0&lt;/C&gt;&lt;/FQL&gt;&lt;FQL&gt;&lt;Q&gt;Ticker0024^FE_ESTIMATE(PRODLINE_SALES_17,MEAN,QUARTERLY_ROLL,2030/3F,45813,,,'')&lt;/Q&gt;&lt;R&gt;0&lt;/R&gt;&lt;C&gt;0&lt;/C&gt;&lt;/FQL&gt;&lt;FQL&gt;&lt;Q&gt;Ticker0024^FE_ESTIMATE(PRODLINE_SALES_17,MEAN,QUARTERLY_ROLL,2030/2F,45813,,,'')&lt;/Q&gt;&lt;R&gt;0&lt;/R&gt;&lt;C&gt;0&lt;/C&gt;&lt;/FQL&gt;&lt;FQL&gt;&lt;Q&gt;Ticker0024^FE_ESTIMATE(PRODLINE_SALES_17,MEAN,QUARTERLY_ROLL,2030/1F,45813,,,'')&lt;/Q&gt;&lt;R&gt;0&lt;/R&gt;&lt;C&gt;0&lt;/C&gt;&lt;/FQL&gt;&lt;FQL&gt;&lt;Q&gt;Ticker0024^FE_ESTIMATE(PRODLINE_SALES_17,MEAN,ANNUAL_ROLL,2029,45813,,,'')&lt;/Q&gt;&lt;R&gt;0&lt;/R&gt;&lt;C&gt;0&lt;/C&gt;&lt;/FQL&gt;&lt;FQL&gt;&lt;Q&gt;Ticker0024^FE_ESTIMATE(PRODLINE_SALES_17,MEAN,QUARTERLY_ROLL,2029/4F,45813,,,'')&lt;/Q&gt;&lt;R&gt;0&lt;/R&gt;&lt;C&gt;0&lt;/C&gt;&lt;/FQL&gt;&lt;FQL&gt;&lt;Q&gt;Ticker0024^FE_ESTIMATE(PRODLINE_SALES_17,MEAN,QUARTERLY_ROLL,2029/3F,45813,,,'')&lt;/Q&gt;&lt;R&gt;0&lt;/R&gt;&lt;C&gt;0&lt;/C&gt;&lt;/FQL&gt;&lt;FQL&gt;&lt;Q&gt;Ticker0024^FE_ESTIMATE(PRODLINE_SALES_17,MEAN,QUARTERLY_ROLL,2029/2F,45813,,,'')&lt;/Q&gt;&lt;R&gt;0&lt;/R&gt;&lt;C&gt;0&lt;/C&gt;&lt;/FQL&gt;&lt;FQL&gt;&lt;Q&gt;Ticker0024^FE_ESTIMATE(PRODLINE_SALES_17,MEAN,QUARTERLY_ROLL,2029/1F,45813,,,'')&lt;/Q&gt;&lt;R&gt;0&lt;/R&gt;&lt;C&gt;0&lt;/C&gt;&lt;/FQL&gt;&lt;FQL&gt;&lt;Q&gt;Ticker0024^FE_ESTIMATE(PRODLINE_SALES_17,MEAN,ANNUAL_ROLL,2028,45813,,,'')&lt;/Q&gt;&lt;R&gt;0&lt;/R&gt;&lt;C&gt;0&lt;/C&gt;&lt;/FQL&gt;&lt;FQL&gt;&lt;Q&gt;Ticker0024^FE_ESTIMATE(PRODLINE_SALES_17,MEAN,QUARTERLY_ROLL,2028/4F,45813,,,'')&lt;/Q&gt;&lt;R&gt;0&lt;/R&gt;&lt;C&gt;0&lt;/C&gt;&lt;/FQL&gt;&lt;FQL&gt;&lt;Q&gt;Ticker0024^FE_ESTIMATE(PRODLINE_SALES_17,MEAN,QUARTERLY_ROLL,2028/3F,45813,,,'')&lt;/Q&gt;&lt;R&gt;0&lt;/R&gt;&lt;C&gt;0&lt;/C&gt;&lt;/FQL&gt;&lt;FQL&gt;&lt;Q&gt;Ticker0024^FE_ESTIMATE(PRODLINE_SALES_17,MEAN,QUARTERLY_ROLL,2028/2F,45813,,,'')&lt;/Q&gt;&lt;R&gt;0&lt;/R&gt;&lt;C&gt;0&lt;/C&gt;&lt;/FQL&gt;&lt;FQL&gt;&lt;Q&gt;Ticker0024^FE_ESTIMATE(PRODLINE_SALES_17,MEAN,QUARTERLY_ROLL,2028/1F,45813,,,'')&lt;/Q&gt;&lt;R&gt;0&lt;/R&gt;&lt;C&gt;0&lt;/C&gt;&lt;/FQL&gt;&lt;FQL&gt;&lt;Q&gt;Ticker0024^FE_ESTIMATE(PRODLINE_SALES_17,MEAN,ANNUAL_ROLL,2027,45813,,,'')&lt;/Q&gt;&lt;R&gt;1&lt;/R&gt;&lt;C&gt;1&lt;/C&gt;&lt;D xsi:type="xsd:double"&gt;58491.164&lt;/D&gt;&lt;/FQL&gt;&lt;FQL&gt;&lt;Q&gt;Ticker0024^FE_ESTIMATE(PRODLINE_SALES_17,MEAN,QUARTERLY_ROLL,2027/4F,45813,,,'')&lt;/Q&gt;&lt;R&gt;1&lt;/R&gt;&lt;C&gt;1&lt;/C&gt;&lt;D xsi:type="xsd:double"&gt;14741.333&lt;/D&gt;&lt;/FQL&gt;&lt;FQL&gt;&lt;Q&gt;Ticker0024^FE_ESTIMATE(PRODLINE_SALES_17,MEAN,QUARTERLY_ROLL,2027/3F,45813,,,'')&lt;/Q&gt;&lt;R&gt;1&lt;/R&gt;&lt;C&gt;1&lt;/C&gt;&lt;D xsi:type="xsd:double"&gt;15151.333&lt;/D&gt;&lt;/FQL&gt;&lt;FQL&gt;&lt;Q&gt;Ticker0024^FE_ESTIMATE(PRODLINE_SALES_17,MEAN,QUARTERLY_ROLL,2027/2F,45813,,,'')&lt;/Q&gt;&lt;R&gt;1&lt;/R&gt;&lt;C&gt;1&lt;/C&gt;&lt;D xsi:type="xsd:double"&gt;16374.75&lt;/D&gt;&lt;/FQL&gt;&lt;FQL&gt;&lt;Q&gt;Ticker0024^FE_ESTIMATE(PRODLINE_SALES_17,MEAN,QUARTERLY_ROLL,2027/1F,45813,,,'')&lt;/Q&gt;&lt;R&gt;1&lt;/R&gt;&lt;C&gt;1&lt;/C&gt;&lt;D xsi:type="xsd:double"&gt;14580.5&lt;/D&gt;&lt;/FQL&gt;&lt;FQL&gt;&lt;Q&gt;Ticker0024^FE_ESTIMATE(PRODLINE_SALES_17,MEAN,ANNUAL_ROLL,2026,45813,,,'')&lt;/Q&gt;&lt;R&gt;1&lt;/R&gt;&lt;C&gt;1&lt;/C&gt;&lt;D xsi:type="xsd:double"&gt;55881.133&lt;/D&gt;&lt;/FQL&gt;&lt;FQL&gt;&lt;Q&gt;Ticker0024^FE_ESTIMATE(PRODLINE_SALES_17,MEAN,QUARTERLY_ROLL,2026/4F,45813,,,'')&lt;/Q&gt;&lt;R&gt;1&lt;/R&gt;&lt;C&gt;1&lt;/C&gt;&lt;D xsi:type="xsd:double"&gt;13364.8&lt;/D&gt;&lt;/FQL&gt;&lt;FQL&gt;&lt;Q&gt;Ticker0024^FE_ESTIMATE(PRODLINE_SALES_17,MEAN,QUARTERLY_ROLL,2026/3F,45813,,,'')&lt;/Q&gt;&lt;R&gt;1&lt;/R&gt;&lt;C&gt;1&lt;/C&gt;&lt;D xsi:type="xsd:double"&gt;14029.467&lt;/D&gt;&lt;/FQL&gt;&lt;FQL&gt;&lt;Q&gt;Ticker0024^FE_ESTIMATE(PRODLINE_SALES_17,MEAN,QUARTERLY_ROLL,2026/2F,45813,,,'')&lt;/Q&gt;&lt;R&gt;1&lt;/R&gt;&lt;C&gt;1&lt;/C&gt;&lt;D xsi:type="xsd:double"&gt;15211.1875&lt;/D&gt;&lt;/FQL&gt;&lt;FQL&gt;&lt;Q&gt;Ticker0024^FE_ESTIMATE(PRODLINE_SALES_17,MEAN,QUARTERLY_ROLL,2026/1F,45813,,,'')&lt;/Q&gt;&lt;R&gt;1&lt;/R&gt;&lt;C&gt;1&lt;/C&gt;&lt;D xsi:type="xsd:double"&gt;13440.167&lt;/D&gt;&lt;/FQL&gt;&lt;FQL&gt;&lt;Q&gt;Ticker0024^FE_ESTIMATE(PRODLINE_SALES_17,MEAN,ANNUAL_ROLL,2025,45813,,,'')&lt;/Q&gt;&lt;R&gt;1&lt;/R&gt;&lt;C&gt;1&lt;/C&gt;&lt;D xsi:type="xsd:double"&gt;53862.434&lt;/D&gt;&lt;/FQL&gt;&lt;FQL&gt;&lt;Q&gt;Ticker0024^FE_ESTIMATE(PRODLINE_SALES_17,MEAN,QUARTERLY_ROLL,2025/4F,45813,,,'')&lt;/Q&gt;&lt;R&gt;1&lt;/R&gt;&lt;C&gt;1&lt;/C&gt;&lt;D xsi:type="xsd:double"&gt;12666.885&lt;/D&gt;&lt;/FQL&gt;&lt;FQL&gt;&lt;Q&gt;Ticker0024^FE_ESTIMATE(PRODLINE_SALES_17,MEAN,QUARTERLY_ROLL,2025/3F,45813,,,'')&lt;/Q&gt;&lt;R&gt;1&lt;/R&gt;&lt;C&gt;1&lt;/C&gt;&lt;D xsi:type="xsd:double"&gt;13371&lt;/D&gt;&lt;/FQL&gt;&lt;FQL&gt;&lt;Q&gt;Ticker0024^FE_ESTIMATE(PRODLINE_SALES_17,MEAN,QUARTERLY_ROLL,2025/2F,45813,,,'')&lt;/Q&gt;&lt;R&gt;1&lt;/R&gt;&lt;C&gt;1&lt;/C&gt;&lt;D xsi:type="xsd:double"&gt;14651&lt;/D&gt;&lt;/FQL&gt;&lt;FQL&gt;&lt;Q&gt;Ticker0024^FE_ESTIMATE(PRODLINE_SALES_17,MEAN,QUARTERLY_ROLL,2025/1F,45813,,,'')&lt;/Q&gt;&lt;R&gt;1&lt;/R&gt;&lt;C&gt;1&lt;/C&gt;&lt;D xsi:type="xsd:double"&gt;13176&lt;/D&gt;&lt;/FQL&gt;&lt;FQL&gt;&lt;Q&gt;Ticker0024^FE_ESTIMATE(PRODLINE_SALES_17,MEAN,ANNUAL_ROLL,2024,45813,,,'')&lt;/Q&gt;&lt;R&gt;1&lt;/R&gt;&lt;C&gt;1&lt;/C&gt;&lt;D xsi:type="xsd:double"&gt;62032&lt;/D&gt;&lt;/FQL&gt;&lt;FQL&gt;&lt;Q&gt;Ticker0024^FE_ESTIMATE(PRODLINE_SALES_17,MEAN,QUARTERLY_ROLL,2024/4F,45813,,,'')&lt;/Q&gt;&lt;R&gt;1&lt;/R&gt;&lt;C&gt;1&lt;/C&gt;&lt;D xsi:type="xsd:double"&gt;15895&lt;/D&gt;&lt;/FQL&gt;&lt;FQL&gt;&lt;Q&gt;Ticker0024^FE_ESTIMATE(PRODLINE_SALES_17,MEAN,QUARTERLY_ROLL,2024/3F,45813,,,'')&lt;/Q&gt;&lt;R&gt;1&lt;/R&gt;&lt;C&gt;1&lt;/C&gt;&lt;D xsi:type="xsd:double"&gt;15580&lt;/D&gt;&lt;/FQL&gt;&lt;FQL&gt;&lt;Q&gt;Ticker0024^FE_ESTIMATE(PRODLINE_SALES_17,MEAN,QUARTERLY_ROLL,2024/2F,45813,,,'')&lt;/Q&gt;&lt;R&gt;1&lt;/R&gt;&lt;C&gt;1&lt;/C&gt;&lt;D xsi:type="xsd:double"&gt;16891&lt;/D&gt;&lt;/FQL&gt;&lt;FQL&gt;&lt;Q&gt;Ticker0024^FE_ESTIMATE(PRODLINE_SALES_17,MEAN,QUARTERLY_ROLL,2024/1F,45813,,,'')&lt;/Q&gt;&lt;R&gt;1&lt;/R&gt;&lt;C&gt;1&lt;/C&gt;&lt;D xsi:type="xsd:double"&gt;13666&lt;/D&gt;&lt;/FQL&gt;&lt;FQL&gt;&lt;Q&gt;Ticker0024^FE_ESTIMATE(PRODLINE_SALES_17,MEAN,ANNUAL_ROLL,2023,45813,,,'')&lt;/Q&gt;&lt;R&gt;1&lt;/R&gt;&lt;C&gt;1&lt;/C&gt;&lt;D xsi:type="xsd:double"&gt;54732.273&lt;/D&gt;&lt;/FQL&gt;&lt;FQL&gt;&lt;Q&gt;Ticker0024^FE_ESTIMATE(PRODLINE_SALES_17,MEAN,QUARTERLY_ROLL,2023/4F,45813,,,'')&lt;/Q&gt;&lt;R&gt;1&lt;/R&gt;&lt;C&gt;1&lt;/C&gt;&lt;D xsi:type="xsd:double"&gt;13905&lt;/D&gt;&lt;/FQL&gt;&lt;FQL&gt;&lt;Q&gt;Ticker0024^FE_ESTIMATE(PRODLINE_SALES_17,MEAN,QUARTERLY_ROLL,2023/3F,45813,,,'')&lt;/Q&gt;&lt;R&gt;1&lt;/R&gt;&lt;C&gt;1&lt;/C&gt;&lt;D xsi:type="xsd:double"&gt;13260&lt;/D&gt;&lt;/FQL&gt;&lt;FQL&gt;&lt;Q&gt;Ticker0024^FE_ESTIMATE(PRODLINE_SALES_17,MEAN,QUARTERLY_ROLL,2023/2F,45813,,,'')&lt;/Q&gt;&lt;R&gt;1&lt;/R&gt;&lt;C&gt;1&lt;/C&gt;&lt;D xsi:type="xsd:double"&gt;14237&lt;/D&gt;&lt;/FQL&gt;&lt;FQL&gt;&lt;Q&gt;Ticker0024^FE_ESTIMATE(PRODLINE_SALES_17,MEAN,QUARTERLY_ROLL,2023/1F,45813,,,'')&lt;/Q&gt;&lt;R&gt;1&lt;/R&gt;&lt;C&gt;1&lt;/C&gt;&lt;D xsi:type="xsd:double"&gt;13332&lt;/D&gt;&lt;/FQL&gt;&lt;FQL&gt;&lt;Q&gt;Ticker0024^FE_ESTIMATE(PRODLINE_SALES_17,MEAN,ANNUAL_ROLL,2022,45813,,,'')&lt;/Q&gt;&lt;R&gt;1&lt;/R&gt;&lt;C&gt;1&lt;/C&gt;&lt;D xsi:type="xsd:double"&gt;59655&lt;/D&gt;&lt;/FQL&gt;&lt;FQL&gt;&lt;Q&gt;Ticker0024^FE_ESTIMATE(PRODLINE_SALES_17,MEAN,QUARTERLY_ROLL,2022/4F,45813,,,'')&lt;/Q&gt;&lt;R&gt;1&lt;/R&gt;&lt;C&gt;1&lt;/C&gt;&lt;D xsi:type="xsd:double"&gt;14356&lt;/D&gt;&lt;/FQL&gt;&lt;FQL&gt;&lt;Q&gt;Ticker0024^FE_ESTIMATE(PRODLINE_SALES_17,MEAN,QUARTERLY_ROLL,2022/3F,45813,,,'')&lt;/Q&gt;&lt;R&gt;1&lt;/R&gt;&lt;C&gt;1&lt;/C&gt;&lt;D xsi:type="xsd:double"&gt;14520&lt;/D&gt;&lt;/FQL&gt;&lt;FQL&gt;&lt;Q&gt;Ticker0024^FE_ESTIMATE(PRODLINE_SALES_17,MEAN,QUARTERLY_ROLL,2022/2F,45813,,,'')&lt;/Q&gt;&lt;R&gt;1&lt;/R&gt;&lt;C&gt;1&lt;/C&gt;&lt;D xsi:type="xsd:double"&gt;17465&lt;/D&gt;&lt;/FQL&gt;&lt;FQL&gt;&lt;Q&gt;Ticker0024^FE_ESTIMATE(PRODLINE_SALES_17,MEAN,QUARTERLY_ROLL,2022/1F,45813,,,'')&lt;/Q&gt;&lt;R&gt;1&lt;/R&gt;&lt;C&gt;1&lt;/C&gt;&lt;D xsi:type="xsd:double"&gt;13314&lt;/D&gt;&lt;/FQL&gt;&lt;FQL&gt;&lt;Q&gt;Ticker0024^FE_ESTIMATE(PRODLINE_SALES_17,MEAN,ANNUAL_ROLL,2021,45813,,,'')&lt;/Q&gt;&lt;R&gt;1&lt;/R&gt;&lt;C&gt;1&lt;/C&gt;&lt;D xsi:type="xsd:double"&gt;54093&lt;/D&gt;&lt;/FQL&gt;&lt;FQL&gt;&lt;Q&gt;Ticker0024^FE_ESTIMATE(PRODLINE_SALES_17,MEAN,QUARTERLY_ROLL,2021/4F,45813,,,'')&lt;/Q&gt;&lt;R&gt;1&lt;/R&gt;&lt;C&gt;1&lt;/C&gt;&lt;D xsi:type="xsd:double"&gt;14086&lt;/D&gt;&lt;/FQL&gt;&lt;FQL&gt;&lt;Q&gt;Ticker0024^FE_ESTIMATE(PRODLINE_SALES_17,MEAN,QUARTERLY_ROLL,2021/3F,45813,,,'')&lt;/Q&gt;&lt;R&gt;1&lt;/R&gt;&lt;C&gt;1&lt;/C&gt;&lt;D xsi:type="xsd:double"&gt;13036&lt;/D&gt;&lt;/FQL&gt;&lt;FQL&gt;&lt;Q&gt;Ticker0024^FE_ESTIMATE(PRODLINE_SALES_17,MEAN,QUARTERLY_ROLL,2021/2F,45813,,,'')&lt;/Q&gt;&lt;R&gt;1&lt;/R&gt;&lt;C&gt;1&lt;/C&gt;&lt;D xsi:type="xsd:double"&gt;15122&lt;/D&gt;&lt;/FQL&gt;&lt;FQL&gt;&lt;Q&gt;Ticker0024^FE_ESTIMATE(PRODLINE_SALES_17,MEAN,QUARTERLY_ROLL,2021/1F,45813,,,'')&lt;/Q&gt;&lt;R&gt;1&lt;/R&gt;&lt;C&gt;1&lt;/C&gt;&lt;D xsi:type="xsd:double"&gt;11849&lt;/D&gt;&lt;/FQL&gt;&lt;FQL&gt;&lt;Q&gt;Ticker0024^FE_ESTIMATE(PRODLINE_SALES_17,MEAN,ANNUAL_ROLL,2020,45813,,,'')&lt;/Q&gt;&lt;R&gt;1&lt;/R&gt;&lt;C&gt;1&lt;/C&gt;&lt;D xsi:type="xsd:double"&gt;48251&lt;/D&gt;&lt;/FQL&gt;&lt;FQL&gt;&lt;Q&gt;Ticker0024^FE_ESTIMATE(PRODLINE_SALES_17,MEAN,QUARTERLY_ROLL,2020/4F,45813,,,'')&lt;/Q&gt;&lt;R&gt;1&lt;/R&gt;&lt;C&gt;1&lt;/C&gt;&lt;D xsi:type="xsd:double"&gt;12910&lt;/D&gt;&lt;/FQL&gt;&lt;FQL&gt;&lt;Q&gt;Ticker0024^FE_ESTIMATE(PRODLINE_SALES_17,MEAN,QUARTERLY_ROLL,2020/3F,45813,,,'')&lt;/Q&gt;&lt;R&gt;1&lt;/R&gt;&lt;C&gt;1&lt;/C&gt;&lt;D xsi:type="xsd:double"&gt;10997&lt;/D&gt;&lt;/FQL&gt;&lt;FQL&gt;&lt;Q&gt;Ticker0024^FE_ESTIMATE(PRODLINE_SALES_17,MEAN,QUARTERLY_ROLL,2020/2F,45813,,,'')&lt;/Q&gt;&lt;R&gt;1&lt;/R&gt;&lt;C&gt;1&lt;/C&gt;&lt;D xsi:type="xsd:double"&gt;13211&lt;/D&gt;&lt;/FQL&gt;&lt;FQL&gt;&lt;Q&gt;Ticker0024^FE_ESTIMATE(PRODLINE_SALES_17,MEAN,QUARTERLY_ROLL,2020/1F,45813,,,'')&lt;/Q&gt;&lt;R&gt;1&lt;/R&gt;&lt;C&gt;1&lt;/C&gt;&lt;D xsi:type="xsd:double"&gt;11133&lt;/D&gt;&lt;/FQL&gt;&lt;FQL&gt;&lt;Q&gt;Ticker0024^FE_ESTIMATE(PRODLINE_SALES_17,MEAN,ANNUAL_ROLL,2019,45813,,,'')&lt;/Q&gt;&lt;R&gt;1&lt;/R&gt;&lt;C&gt;1&lt;/C&gt;&lt;D xsi:type="xsd:double"&gt;45698&lt;/D&gt;&lt;/FQL&gt;&lt;FQL&gt;&lt;Q&gt;Ticker0024^FE_ESTIMATE(PRODLINE_SALES_17,MEAN,QUARTERLY_ROLL,2019/4F,45813,,,'')&lt;/Q&gt;&lt;R&gt;1&lt;/R&gt;&lt;C&gt;1&lt;/C&gt;&lt;D xsi:type="xsd:double"&gt;11279&lt;/D&gt;&lt;/FQL&gt;&lt;FQL&gt;&lt;Q&gt;Ticker0024^FE_ESTIMATE(PRODLINE_SALES_17,MEAN,QUARTERLY_ROLL,2019/3F,45813,,,'')&lt;/Q&gt;&lt;R&gt;1&lt;/R&gt;&lt;C&gt;1&lt;/C&gt;&lt;D xsi:type="xsd:double"&gt;10680&lt;/D&gt;&lt;/FQL&gt;&lt;FQL&gt;&lt;Q&gt;Ticker0024^FE_ESTIMATE(PRODLINE_SALES_17,MEAN,QUARTERLY_ROLL,2019/2F,45813,,,'')&lt;/Q&gt;&lt;R&gt;1&lt;/R&gt;&lt;C&gt;1&lt;/C&gt;&lt;D xsi:type="xsd:double"&gt;12993&lt;/D&gt;&lt;/FQL&gt;&lt;FQL&gt;&lt;Q&gt;Ticker0024^FE_ESTIMATE(PRODLINE_SALES_17,MEAN,QUARTERLY_ROLL,2019/1F,45813,,,'')&lt;/Q&gt;&lt;R&gt;1&lt;/R&gt;&lt;C&gt;1&lt;/C&gt;&lt;D xsi:type="xsd:double"&gt;10746&lt;/D&gt;&lt;/FQL&gt;&lt;FQL&gt;&lt;Q&gt;Ticker0024^FE_ESTIMATE(PRODLINE_SALES_17,MEAN,ANNUAL_ROLL,2018,45813,,,'')&lt;/Q&gt;&lt;R&gt;1&lt;/R&gt;&lt;C&gt;1&lt;/C&gt;&lt;D xsi:type="xsd:double"&gt;42276&lt;/D&gt;&lt;/FQL&gt;&lt;FQL&gt;&lt;Q&gt;Ticker0024^FE_ESTIMATE(PRODLINE_SALES_17,MEAN,QUARTERLY_ROLL,2018/4F,45813,,,'')&lt;/Q&gt;&lt;R&gt;1&lt;/R&gt;&lt;C&gt;1&lt;/C&gt;&lt;D xsi:type="xsd:double"&gt;10811&lt;/D&gt;&lt;/FQL&gt;&lt;FQL&gt;&lt;Q&gt;Ticker0024^FE_ESTIMATE(PRODLINE_SALES_17,MEAN,QUARTERLY_ROLL,2018/3F,45813,,,'')&lt;/Q&gt;&lt;R&gt;1&lt;/R&gt;&lt;C&gt;1&lt;/C&gt;&lt;D xsi:type="xsd:double"&gt;9917&lt;/D&gt;&lt;/FQL&gt;&lt;FQL&gt;&lt;Q&gt;Ticker0024^FE_ESTIMATE(PRODLINE_SALES_17,MEAN,QUARTERLY_ROLL,2018/2F,45813,,,'')&lt;/Q&gt;&lt;R&gt;1&lt;/R&gt;&lt;C&gt;1&lt;/C&gt;&lt;D xsi:type="xsd:double"&gt;12170&lt;/D&gt;&lt;/FQL&gt;&lt;FQL&gt;&lt;Q&gt;Ticker0024^FE_ESTIMATE(PRODLINE_SALES_17,MEAN,QUARTERLY_ROLL,2018/1F,45813,,,'')&lt;/Q&gt;&lt;R&gt;1&lt;/R&gt;&lt;C&gt;1&lt;/C&gt;&lt;D xsi:type="xsd:double"&gt;9378&lt;/D&gt;&lt;/FQL&gt;&lt;FQL&gt;&lt;Q&gt;Ticker0024^FE_ESTIMATE(PRODLINE_SALES_17,MEAN,ANNUAL_ROLL,2017,45813,,,'')&lt;/Q&gt;&lt;R&gt;1&lt;/R&gt;&lt;C&gt;1&lt;/C&gt;&lt;D xsi:type="xsd:double"&gt;38773&lt;/D&gt;&lt;/FQL&gt;&lt;FQL&gt;&lt;Q&gt;Ticker0024^FE_ESTIMATE(PRODLINE_SALES_17,MEAN,QUARTERLY_ROLL,2017/4F,45813,,,'')&lt;/Q&gt;&lt;R&gt;1&lt;/R&gt;&lt;C&gt;1&lt;/C&gt;&lt;D xsi:type="xsd:double"&gt;8820&lt;/D&gt;&lt;/FQL&gt;&lt;FQL&gt;&lt;Q&gt;Ticker0024^FE_ESTIMATE(PRODLINE_SALES_17,MEAN,QUARTERLY_ROLL,2017/3F,45813,,,'')&lt;/Q&gt;&lt;R&gt;1&lt;/R&gt;&lt;C&gt;1&lt;/C&gt;&lt;D xsi:type="xsd:double"&gt;8836&lt;/D&gt;&lt;/FQL&gt;&lt;FQL&gt;&lt;Q&gt;Ticker0024^FE_ESTIMATE(PRODLINE_SALES_17,MEAN,QUARTERLY_ROLL,2017/2F,45813,,,'')&lt;/Q&gt;&lt;R&gt;1&lt;/R&gt;&lt;C&gt;1&lt;/C&gt;&lt;D xsi:type="xsd:double"&gt;11823&lt;/D&gt;&lt;/FQL&gt;&lt;FQL&gt;&lt;Q&gt;Ticker0024^FE_ESTIMATE(PRODLINE_SALES_17,MEAN,QUARTERLY_ROLL,2017/1F,45813,,,'')&lt;/Q&gt;&lt;R&gt;1&lt;/R&gt;&lt;C&gt;1&lt;/C&gt;&lt;D xsi:type="xsd:double"&gt;9294&lt;/D&gt;&lt;/FQL&gt;&lt;FQL&gt;&lt;Q&gt;Ticker0024^FE_ESTIMATE(PRODLINE_SALES_17,MEAN,ANNUAL_ROLL,2016,45813,,,'')&lt;/Q&gt;&lt;R&gt;1&lt;/R&gt;&lt;C&gt;1&lt;/C&gt;&lt;D xsi:type="xsd:double"&gt;40460&lt;/D&gt;&lt;/FQL&gt;&lt;FQL&gt;&lt;Q&gt;Ticker0024^FE_ESTIMATE(PRODLINE_SALES_17,MEAN,QUARTERLY_ROLL,2016/4F,45813,,,'')&lt;/Q&gt;&lt;R&gt;1&lt;/R&gt;&lt;C&gt;1&lt;/C&gt;&lt;D xsi:type="xsd:double"&gt;8897&lt;/D&gt;&lt;/FQL&gt;&lt;FQL&gt;&lt;Q&gt;Ticker0024^FE_ESTIMATE(PRODLINE_SALES_17,MEAN,QUARTERLY_ROLL,2016/3F,45813,,,'')&lt;/Q&gt;&lt;R&gt;1&lt;/R&gt;&lt;C&gt;1&lt;/C&gt;&lt;D xsi:type="xsd:double"&gt;9458&lt;/D&gt;&lt;/FQL&gt;&lt;FQL&gt;&lt;Q&gt;Ticker0024^FE_ESTIMATE(PRODLINE_SALES_17,MEAN,QUARTERLY_ROLL,2016/2F,45813,,,'')&lt;/Q&gt;&lt;R&gt;1&lt;/R&gt;&lt;C&gt;1&lt;/C&gt;&lt;D xsi:type="xsd:double"&gt;12660&lt;/D&gt;&lt;/FQL&gt;&lt;FQL&gt;&lt;Q&gt;Ticker0024^FE_ESTIMATE(PRODLINE_SALES_17,MEAN,QUARTERLY_ROLL,2016/1F,45813,,,'')&lt;/Q&gt;&lt;R&gt;1&lt;/R&gt;&lt;C&gt;1&lt;/C&gt;&lt;D xsi:type="xsd:double"&gt;9381&lt;/D&gt;&lt;/FQL&gt;&lt;FQL&gt;&lt;Q&gt;Ticker0024^FE_ESTIMATE(PRODLINE_SALES_17,MEAN,ANNUAL_ROLL,2015,45813,,,'')&lt;/Q&gt;&lt;R&gt;0&lt;/R&gt;&lt;C&gt;0&lt;/C&gt;&lt;/FQL&gt;&lt;FQL&gt;&lt;Q&gt;Ticker0024^FE_ESTIMATE(PRODLINE_SALES_17,MEAN,QUARTERLY_ROLL,2015/4F,45813,,,'')&lt;/Q&gt;&lt;R&gt;0&lt;/R&gt;&lt;C&gt;0&lt;/C&gt;&lt;/FQL&gt;&lt;FQL&gt;&lt;Q&gt;Ticker0024^FE_ESTIMATE(PRODLINE_SALES_17,MEAN,QUARTERLY_ROLL,2015/3F,45813,,,'')&lt;/Q&gt;&lt;R&gt;0&lt;/R&gt;&lt;C&gt;0&lt;/C&gt;&lt;/FQL&gt;&lt;FQL&gt;&lt;Q&gt;Ticker0024^FE_ESTIMATE(PRODLINE_SALES_17,MEAN,QUARTERLY_ROLL,2015/2F,45813,,,'')&lt;/Q&gt;&lt;R&gt;0&lt;/R&gt;&lt;C&gt;0&lt;/C&gt;&lt;/FQL&gt;&lt;FQL&gt;&lt;Q&gt;Ticker0024^FE_ESTIMATE(PRODLINE_SALES_17,MEAN,QUARTERLY_ROLL,2015/1F,45813,,,'')&lt;/Q&gt;&lt;R&gt;0&lt;/R&gt;&lt;C&gt;0&lt;/C&gt;&lt;/FQL&gt;&lt;FQL&gt;&lt;Q&gt;Ticker0024^FE_ESTIMATE(PRODLINE_SALES_16,MEAN,ANNUAL_ROLL,2030,45813,,,'')&lt;/Q&gt;&lt;R&gt;0&lt;/R&gt;&lt;C&gt;0&lt;/C&gt;&lt;/FQL&gt;&lt;FQL&gt;&lt;Q&gt;Ticker0024^FE_ESTIMATE(PRODLINE_SALES_16,MEAN,QUARTERLY_ROLL,2030/4F,45813,,,'')&lt;/Q&gt;&lt;R&gt;0&lt;/R&gt;&lt;C&gt;0&lt;</t>
        </r>
      </text>
    </comment>
    <comment ref="A62" authorId="0" shapeId="0" xr:uid="{89652D05-3FED-4D47-8EEC-6B8ECDA379AE}">
      <text>
        <r>
          <rPr>
            <b/>
            <sz val="9"/>
            <color indexed="81"/>
            <rFont val="Tahoma"/>
            <family val="2"/>
          </rPr>
          <t>/C&gt;&lt;/FQL&gt;&lt;FQL&gt;&lt;Q&gt;Ticker0024^FE_ESTIMATE(PRODLINE_SALES_16,MEAN,QUARTERLY_ROLL,2030/3F,45813,,,'')&lt;/Q&gt;&lt;R&gt;0&lt;/R&gt;&lt;C&gt;0&lt;/C&gt;&lt;/FQL&gt;&lt;FQL&gt;&lt;Q&gt;Ticker0024^FE_ESTIMATE(PRODLINE_SALES_16,MEAN,QUARTERLY_ROLL,2030/2F,45813,,,'')&lt;/Q&gt;&lt;R&gt;0&lt;/R&gt;&lt;C&gt;0&lt;/C&gt;&lt;/FQL&gt;&lt;FQL&gt;&lt;Q&gt;Ticker0024^FE_ESTIMATE(PRODLINE_SALES_16,MEAN,QUARTERLY_ROLL,2030/1F,45813,,,'')&lt;/Q&gt;&lt;R&gt;0&lt;/R&gt;&lt;C&gt;0&lt;/C&gt;&lt;/FQL&gt;&lt;FQL&gt;&lt;Q&gt;Ticker0024^FE_ESTIMATE(PRODLINE_SALES_16,MEAN,ANNUAL_ROLL,2029,45813,,,'')&lt;/Q&gt;&lt;R&gt;0&lt;/R&gt;&lt;C&gt;0&lt;/C&gt;&lt;/FQL&gt;&lt;FQL&gt;&lt;Q&gt;Ticker0024^FE_ESTIMATE(PRODLINE_SALES_16,MEAN,QUARTERLY_ROLL,2029/4F,45813,,,'')&lt;/Q&gt;&lt;R&gt;0&lt;/R&gt;&lt;C&gt;0&lt;/C&gt;&lt;/FQL&gt;&lt;FQL&gt;&lt;Q&gt;Ticker0024^FE_ESTIMATE(PRODLINE_SALES_16,MEAN,QUARTERLY_ROLL,2029/3F,45813,,,'')&lt;/Q&gt;&lt;R&gt;0&lt;/R&gt;&lt;C&gt;0&lt;/C&gt;&lt;/FQL&gt;&lt;FQL&gt;&lt;Q&gt;Ticker0024^FE_ESTIMATE(PRODLINE_SALES_16,MEAN,QUARTERLY_ROLL,2029/2F,45813,,,'')&lt;/Q&gt;&lt;R&gt;0&lt;/R&gt;&lt;C&gt;0&lt;/C&gt;&lt;/FQL&gt;&lt;FQL&gt;&lt;Q&gt;Ticker0024^FE_ESTIMATE(PRODLINE_SALES_16,MEAN,QUARTERLY_ROLL,2029/1F,45813,,,'')&lt;/Q&gt;&lt;R&gt;0&lt;/R&gt;&lt;C&gt;0&lt;/C&gt;&lt;/FQL&gt;&lt;FQL&gt;&lt;Q&gt;Ticker0024^FE_ESTIMATE(PRODLINE_SALES_16,MEAN,ANNUAL_ROLL,2028,45813,,,'')&lt;/Q&gt;&lt;R&gt;0&lt;/R&gt;&lt;C&gt;0&lt;/C&gt;&lt;/FQL&gt;&lt;FQL&gt;&lt;Q&gt;Ticker0024^FE_ESTIMATE(PRODLINE_SALES_16,MEAN,QUARTERLY_ROLL,2028/4F,45813,,,'')&lt;/Q&gt;&lt;R&gt;0&lt;/R&gt;&lt;C&gt;0&lt;/C&gt;&lt;/FQL&gt;&lt;FQL&gt;&lt;Q&gt;Ticker0024^FE_ESTIMATE(PRODLINE_SALES_16,MEAN,QUARTERLY_ROLL,2028/3F,45813,,,'')&lt;/Q&gt;&lt;R&gt;0&lt;/R&gt;&lt;C&gt;0&lt;/C&gt;&lt;/FQL&gt;&lt;FQL&gt;&lt;Q&gt;Ticker0024^FE_ESTIMATE(PRODLINE_SALES_16,MEAN,QUARTERLY_ROLL,2028/2F,45813,,,'')&lt;/Q&gt;&lt;R&gt;0&lt;/R&gt;&lt;C&gt;0&lt;/C&gt;&lt;/FQL&gt;&lt;FQL&gt;&lt;Q&gt;Ticker0024^FE_ESTIMATE(PRODLINE_SALES_16,MEAN,QUARTERLY_ROLL,2028/1F,45813,,,'')&lt;/Q&gt;&lt;R&gt;0&lt;/R&gt;&lt;C&gt;0&lt;/C&gt;&lt;/FQL&gt;&lt;FQL&gt;&lt;Q&gt;Ticker0024^FE_ESTIMATE(PRODLINE_SALES_16,MEAN,ANNUAL_ROLL,2027,45813,,,'')&lt;/Q&gt;&lt;R&gt;1&lt;/R&gt;&lt;C&gt;1&lt;/C&gt;&lt;D xsi:type="xsd:double"&gt;157119.03&lt;/D&gt;&lt;/FQL&gt;&lt;FQL&gt;&lt;Q&gt;Ticker0024^FE_ESTIMATE(PRODLINE_SALES_16,MEAN,QUARTERLY_ROLL,2027/4F,45813,,,'')&lt;/Q&gt;&lt;R&gt;1&lt;/R&gt;&lt;C&gt;1&lt;/C&gt;&lt;D xsi:type="xsd:double"&gt;43616.332&lt;/D&gt;&lt;/FQL&gt;&lt;FQL&gt;&lt;Q&gt;Ticker0024^FE_ESTIMATE(PRODLINE_SALES_16,MEAN,QUARTERLY_ROLL,2027/3F,45813,,,'')&lt;/Q&gt;&lt;R&gt;1&lt;/R&gt;&lt;C&gt;1&lt;/C&gt;&lt;D xsi:type="xsd:double"&gt;39880&lt;/D&gt;&lt;/FQL&gt;&lt;FQL&gt;&lt;Q&gt;Ticker0024^FE_ESTIMATE(PRODLINE_SALES_16,MEAN,QUARTERLY_ROLL,2027/2F,45813,,,'')&lt;/Q&gt;&lt;R&gt;1&lt;/R&gt;&lt;C&gt;1&lt;/C&gt;&lt;D xsi:type="xsd:double"&gt;38095.25&lt;/D&gt;&lt;/FQL&gt;&lt;FQL&gt;&lt;Q&gt;Ticker0024^FE_ESTIMATE(PRODLINE_SALES_16,MEAN,QUARTERLY_ROLL,2027/1F,45813,,,'')&lt;/Q&gt;&lt;R&gt;1&lt;/R&gt;&lt;C&gt;1&lt;/C&gt;&lt;D xsi:type="xsd:double"&gt;35781.25&lt;/D&gt;&lt;/FQL&gt;&lt;FQL&gt;&lt;Q&gt;Ticker0024^FE_ESTIMATE(PRODLINE_SALES_16,MEAN,ANNUAL_ROLL,2026,45813,,,'')&lt;/Q&gt;&lt;R&gt;1&lt;/R&gt;&lt;C&gt;1&lt;/C&gt;&lt;D xsi:type="xsd:double"&gt;127963.71&lt;/D&gt;&lt;/FQL&gt;&lt;FQL&gt;&lt;Q&gt;Ticker0024^FE_ESTIMATE(PRODLINE_SALES_16,MEAN,QUARTERLY_ROLL,2026/4F,45813,,,'')&lt;/Q&gt;&lt;R&gt;1&lt;/R&gt;&lt;C&gt;1&lt;/C&gt;&lt;D xsi:type="xsd:double"&gt;34905.668&lt;/D&gt;&lt;/FQL&gt;&lt;FQL&gt;&lt;Q&gt;Ticker0024^FE_ESTIMATE(PRODLINE_SALES_16,MEAN,QUARTERLY_ROLL,2026/3F,45813,,,'')&lt;/Q&gt;&lt;R&gt;1&lt;/R&gt;&lt;C&gt;1&lt;/C&gt;&lt;D xsi:type="xsd:double"&gt;32364.066&lt;/D&gt;&lt;/FQL&gt;&lt;FQL&gt;&lt;Q&gt;Ticker0024^FE_ESTIMATE(PRODLINE_SALES_16,MEAN,QUARTERLY_ROLL,2026/2F,45813,,,'')&lt;/Q&gt;&lt;R&gt;1&lt;/R&gt;&lt;C&gt;1&lt;/C&gt;&lt;D xsi:type="xsd:double"&gt;31108.813&lt;/D&gt;&lt;/FQL&gt;&lt;FQL&gt;&lt;Q&gt;Ticker0024^FE_ESTIMATE(PRODLINE_SALES_16,MEAN,QUARTERLY_ROLL,2026/1F,45813,,,'')&lt;/Q&gt;&lt;R&gt;1&lt;/R&gt;&lt;C&gt;1&lt;/C&gt;&lt;D xsi:type="xsd:double"&gt;29320.666&lt;/D&gt;&lt;/FQL&gt;&lt;FQL&gt;&lt;Q&gt;Ticker0024^FE_ESTIMATE(PRODLINE_SALES_16,MEAN,ANNUAL_ROLL,2025,45813,,,'')&lt;/Q&gt;&lt;R&gt;1&lt;/R&gt;&lt;C&gt;1&lt;/C&gt;&lt;D xsi:type="xsd:double"&gt;105280.17&lt;/D&gt;&lt;/FQL&gt;&lt;FQL&gt;&lt;Q&gt;Ticker0024^FE_ESTIMATE(PRODLINE_SALES_16,MEAN,QUARTERLY_ROLL,2025/4F,45813,,,'')&lt;/Q&gt;&lt;R&gt;1&lt;/R&gt;&lt;C&gt;1&lt;/C&gt;&lt;D xsi:type="xsd:double"&gt;28860.654&lt;/D&gt;&lt;/FQL&gt;&lt;FQL&gt;&lt;Q&gt;Ticker0024^FE_ESTIMATE(PRODLINE_SALES_16,MEAN,QUARTERLY_ROLL,2025/3F,45813,,,'')&lt;/Q&gt;&lt;R&gt;1&lt;/R&gt;&lt;C&gt;1&lt;/C&gt;&lt;D xsi:type="xsd:double"&gt;26751&lt;/D&gt;&lt;/FQL&gt;&lt;FQL&gt;&lt;Q&gt;Ticker0024^FE_ESTIMATE(PRODLINE_SALES_16,MEAN,QUARTERLY_ROLL,2025/2F,45813,,,'')&lt;/Q&gt;&lt;R&gt;1&lt;/R&gt;&lt;C&gt;1&lt;/C&gt;&lt;D xsi:type="xsd:double"&gt;25544&lt;/D&gt;&lt;/FQL&gt;&lt;FQL&gt;&lt;Q&gt;Ticker0024^FE_ESTIMATE(PRODLINE_SALES_16,MEAN,QUARTERLY_ROLL,2025/1F,45813,,,'')&lt;/Q&gt;&lt;R&gt;1&lt;/R&gt;&lt;C&gt;1&lt;/C&gt;&lt;D xsi:type="xsd:double"&gt;24092&lt;/D&gt;&lt;/FQL&gt;&lt;FQL&gt;&lt;Q&gt;Ticker0024^FE_ESTIMATE(PRODLINE_SALES_16,MEAN,ANNUAL_ROLL,2024,45813,,,'')&lt;/Q&gt;&lt;R&gt;1&lt;/R&gt;&lt;C&gt;1&lt;/C&gt;&lt;D xsi:type="xsd:double"&gt;105362&lt;/D&gt;&lt;/FQL&gt;&lt;FQL&gt;&lt;Q&gt;Ticker0024^FE_ESTIMATE(PRODLINE_SALES_16,MEAN,QUARTERLY_ROLL,2024/4F,45813,,,'')&lt;/Q&gt;&lt;R&gt;1&lt;/R&gt;&lt;C&gt;1&lt;/C&gt;&lt;D xsi:type="xsd:double"&gt;28515&lt;/D&gt;&lt;/FQL&gt;&lt;FQL&gt;&lt;Q&gt;Ticker0024^FE_ESTIMATE(PRODLINE_SALES_16,MEAN,QUARTERLY_ROLL,2024/3F,45813,,,'')&lt;/Q&gt;&lt;R&gt;1&lt;/R&gt;&lt;C&gt;1&lt;/C&gt;&lt;D xsi:type="xsd:double"&gt;26708&lt;/D&gt;&lt;/FQL&gt;&lt;FQL&gt;&lt;Q&gt;Ticker0024^FE_ESTIMATE(PRODLINE_SALES_16,MEAN,QUARTERLY_ROLL,2024/2F,45813,,,'')&lt;/Q&gt;&lt;R&gt;1&lt;/R&gt;&lt;C&gt;1&lt;/C&gt;&lt;D xsi:type="xsd:double"&gt;25880&lt;/D&gt;&lt;/FQL&gt;&lt;FQL&gt;&lt;Q&gt;Ticker0024^FE_ESTIMATE(PRODLINE_SALES_16,MEAN,QUARTERLY_ROLL,2024/1F,45813,,,'')&lt;/Q&gt;&lt;R&gt;1&lt;/R&gt;&lt;C&gt;1&lt;/C&gt;&lt;D xsi:type="xsd:double"&gt;24259&lt;/D&gt;&lt;/FQL&gt;&lt;FQL&gt;&lt;Q&gt;Ticker0024^FE_ESTIMATE(PRODLINE_SALES_16,MEAN,ANNUAL_ROLL,2023,45813,,,'')&lt;/Q&gt;&lt;R&gt;1&lt;/R&gt;&lt;C&gt;1&lt;/C&gt;&lt;D xsi:type="xsd:double"&gt;87906.82&lt;/D&gt;&lt;/FQL&gt;&lt;FQL&gt;&lt;Q&gt;Ticker0024^FE_ESTIMATE(PRODLINE_SALES_16,MEAN,QUARTERLY_ROLL,2023/4F,45813,,,'')&lt;/Q&gt;&lt;R&gt;1&lt;/R&gt;&lt;C&gt;1&lt;/C&gt;&lt;D xsi:type="xsd:double"&gt;23993&lt;/D&gt;&lt;/FQL&gt;&lt;FQL&gt;&lt;Q&gt;Ticker0024^FE_ESTIMATE(PRODLINE_SALES_16,MEAN,QUARTERLY_ROLL,2023/3F,45813,,,'')&lt;/Q&gt;&lt;R&gt;1&lt;/R&gt;&lt;C&gt;1&lt;/C&gt;&lt;D xsi:type="xsd:double"&gt;22081&lt;/D&gt;&lt;/FQL&gt;&lt;FQL&gt;&lt;Q&gt;Ticker0024^FE_ESTIMATE(PRODLINE_SALES_16,MEAN,QUARTERLY_ROLL,2023/2F,45813,,,'')&lt;/Q&gt;&lt;R&gt;1&lt;/R&gt;&lt;C&gt;1&lt;/C&gt;&lt;D xsi:type="xsd:double"&gt;21508&lt;/D&gt;&lt;/FQL&gt;&lt;FQL&gt;&lt;Q&gt;Ticker0024^FE_ESTIMATE(PRODLINE_SALES_16,MEAN,QUARTERLY_ROLL,2023/1F,45813,,,'')&lt;/Q&gt;&lt;R&gt;1&lt;/R&gt;&lt;C&gt;1&lt;/C&gt;&lt;D xsi:type="xsd:double"&gt;20325&lt;/D&gt;&lt;/FQL&gt;&lt;FQL&gt;&lt;Q&gt;Ticker0024^FE_ESTIMATE(PRODLINE_SALES_16,MEAN,ANNUAL_ROLL,2022,45813,,,'')&lt;/Q&gt;&lt;R&gt;1&lt;/R&gt;&lt;C&gt;1&lt;/C&gt;&lt;D xsi:type="xsd:double"&gt;75251&lt;/D&gt;&lt;/FQL&gt;&lt;FQL&gt;&lt;Q&gt;Ticker0024^FE_ESTIMATE(PRODLINE_SALES_16,MEAN,QUARTERLY_ROLL,2022/4F,45813,,,'')&lt;/Q&gt;&lt;R&gt;1&lt;/R&gt;&lt;C&gt;1&lt;/C&gt;&lt;D xsi:type="xsd:double"&gt;20909&lt;/D&gt;&lt;/FQL&gt;&lt;FQL&gt;&lt;Q&gt;Ticker0024^FE_ESTIMATE(PRODLINE_SALES_16,MEAN,QUARTERLY_ROLL,2022/3F,45813,,,'')&lt;/Q&gt;&lt;R&gt;1&lt;/R&gt;&lt;C&gt;1&lt;/C&gt;&lt;D xsi:type="xsd:double"&gt;19051&lt;/D&gt;&lt;/FQL&gt;&lt;FQL&gt;&lt;Q&gt;Ticker0024^FE_ESTIMATE(PRODLINE_SALES_16,MEAN,QUARTERLY_ROLL,2022/2F,45813,,,'')&lt;/Q&gt;&lt;R&gt;1&lt;/R&gt;&lt;C&gt;1&lt;/C&gt;&lt;D xsi:type="xsd:double"&gt;18327&lt;/D&gt;&lt;/FQL&gt;&lt;FQL&gt;&lt;Q&gt;Ticker0024^FE_ESTIMATE(PRODLINE_SALES_16,MEAN,QUARTERLY_ROLL,2022/1F,45813,,,'')&lt;/Q&gt;&lt;R&gt;1&lt;/R&gt;&lt;C&gt;1&lt;/C&gt;&lt;D xsi:type="xsd:double"&gt;16964&lt;/D&gt;&lt;/FQL&gt;&lt;FQL&gt;&lt;Q&gt;Ticker0024^FE_ESTIMATE(PRODLINE_SALES_16,MEAN,ANNUAL_ROLL,2021,45813,,,'')&lt;/Q&gt;&lt;R&gt;1&lt;/R&gt;&lt;C&gt;1&lt;/C&gt;&lt;D xsi:type="xsd:double"&gt;60080&lt;/D&gt;&lt;/FQL&gt;&lt;FQL&gt;&lt;Q&gt;Ticker0024^FE_ESTIMATE(PRODLINE_SALES_16,MEAN,QUARTERLY_ROLL,2021/4F,45813,,,'')&lt;/Q&gt;&lt;R&gt;1&lt;/R&gt;&lt;C&gt;1&lt;/C&gt;&lt;D xsi:type="xsd:double"&gt;17375&lt;/D&gt;&lt;/FQL&gt;&lt;FQL&gt;&lt;Q&gt;Ticker0024^FE_ESTIMATE(PRODLINE_SALES_16,MEAN,QUARTERLY_ROLL,2021/3F,45813,,,'')&lt;/Q&gt;&lt;R&gt;1&lt;/R&gt;&lt;C&gt;1&lt;/C&gt;&lt;D xsi:type="xsd:double"&gt;15118&lt;/D&gt;&lt;/FQL&gt;&lt;FQL&gt;&lt;Q&gt;Ticker0024^FE_ESTIMATE(PRODLINE_SALES_16,MEAN,QUARTERLY_ROLL,2021/2F,45813,,,'')&lt;/Q&gt;&lt;R&gt;1&lt;/R&gt;&lt;C&gt;1&lt;/C&gt;&lt;D xsi:type="xsd:double"&gt;14601&lt;/D&gt;&lt;/FQL&gt;&lt;FQL&gt;&lt;Q&gt;Ticker0024^FE_ESTIMATE(PRODLINE_SALES_16,MEAN,QUARTERLY_ROLL,2021/1F,45813,,,'')&lt;/Q&gt;&lt;R&gt;1&lt;/R&gt;&lt;C&gt;1&lt;/C&gt;&lt;D xsi:type="xsd:double"&gt;12986&lt;/D&gt;&lt;/FQL&gt;&lt;FQL&gt;&lt;Q&gt;Ticker0024^FE_ESTIMATE(PRODLINE_SALES_16,MEAN,ANNUAL_ROLL,2020,45813,,,'')&lt;/Q&gt;&lt;R&gt;1&lt;/R&gt;&lt;C&gt;1&lt;/C&gt;&lt;D xsi:type="xsd:double"&gt;48366&lt;/D&gt;&lt;/FQL&gt;&lt;FQL&gt;&lt;Q&gt;Ticker0024^FE_ESTIMATE(PRODLINE_SALES_16,MEAN,QUARTERLY_ROLL,2020/4F,45813,,,'')&lt;/Q&gt;&lt;R&gt;1&lt;/R&gt;&lt;C&gt;1&lt;/C&gt;&lt;D xsi:type="xsd:double"&gt;13371&lt;/D&gt;&lt;/FQL&gt;&lt;FQL&gt;&lt;Q&gt;Ticker0024^FE_ESTIMATE(PRODLINE_SALES_16,MEAN,QUARTERLY_ROLL,2020/3F,45813,,,'')&lt;/Q&gt;&lt;R&gt;1&lt;/R&gt;&lt;C&gt;1&lt;/C&gt;&lt;D xsi:type="xsd:double"&gt;12281&lt;/D&gt;&lt;/FQL&gt;&lt;FQL&gt;&lt;Q&gt;Ticker0024^FE_ESTIMATE(PRODLINE_SALES_16,MEAN,QUARTERLY_ROLL,2020/2F,45813,,,'')&lt;/Q&gt;&lt;R&gt;1&lt;/R&gt;&lt;C&gt;1&lt;/C&gt;&lt;D xsi:type="xsd:double"&gt;11869&lt;/D&gt;&lt;/FQL&gt;&lt;FQL&gt;&lt;Q&gt;Ticker0024^FE_ESTIMATE(PRODLINE_SALES_16,MEAN,QUARTERLY_ROLL,2020/1F,45813,,,'')&lt;/Q&gt;&lt;R&gt;1&lt;/R&gt;&lt;C&gt;1&lt;/C&gt;&lt;D xsi:type="xsd:double"&gt;10845&lt;/D&gt;&lt;/FQL&gt;&lt;FQL&gt;&lt;Q&gt;Ticker0024^FE_ESTIMATE(PRODLINE_SALES_16,MEAN,ANNUAL_ROLL,2019,45813,,,'')&lt;/Q&gt;&lt;R&gt;1&lt;/R&gt;&lt;C&gt;1&lt;/C&gt;&lt;D xsi:type="xsd:double"&gt;38985&lt;/D&gt;&lt;/FQL&gt;&lt;FQL&gt;&lt;Q&gt;Ticker0024^FE_ESTIMATE(PRODLINE_SALES_16,MEAN,QUARTERLY_ROLL,2019/4F,45813,,,'')&lt;/Q&gt;&lt;R&gt;1&lt;/R&gt;&lt;C&gt;1&lt;/C&gt;&lt;D xsi:type="xsd:double"&gt;11391&lt;/D&gt;&lt;/FQL&gt;&lt;FQL&gt;&lt;Q&gt;Ticker0024^FE_ESTIMATE(PRODLINE_SALES_16,MEAN,QUARTERLY_ROLL,2019/3F,45813,,,'')&lt;/Q&gt;&lt;R&gt;1&lt;/R&gt;&lt;C&gt;1&lt;/C&gt;&lt;D xsi:type="xsd:double"&gt;9649&lt;/D&gt;&lt;/FQL&gt;&lt;FQL&gt;&lt;Q&gt;Ticker0024^FE_ESTIMATE(PRODLINE_SALES_16,MEAN,QUARTERLY_ROLL,2019/2F,45813,,,'')&lt;/Q&gt;&lt;R&gt;1&lt;/R&gt;&lt;C&gt;1&lt;/C&gt;&lt;D xsi:type="xsd:double"&gt;9378&lt;/D&gt;&lt;/FQL&gt;&lt;FQL&gt;&lt;Q&gt;Ticker0024^FE_ESTIMATE(PRODLINE_SALES_16,MEAN,QUARTERLY_ROLL,2019/1F,45813,,,'')&lt;/Q&gt;&lt;R&gt;1&lt;/R&gt;&lt;C&gt;1&lt;/C&gt;&lt;D xsi:type="xsd:double"&gt;8567&lt;/D&gt;&lt;/FQL&gt;&lt;FQL&gt;&lt;Q&gt;Ticker0024^FE_ESTIMATE(PRODLINE_SALES_16,MEAN,ANNUAL_ROLL,2018,45813,,,'')&lt;/Q&gt;&lt;R&gt;1&lt;/R&gt;&lt;C&gt;1&lt;/C&gt;&lt;D xsi:type="xsd:double"&gt;32219&lt;/D&gt;&lt;/FQL&gt;&lt;FQL&gt;&lt;Q&gt;Ticker0024^FE_ESTIMATE(PRODLINE_SALES_16,MEAN,QUARTERLY_ROLL,2018/4F,45813,,,'')&lt;/Q&gt;&lt;R&gt;1&lt;/R&gt;&lt;C&gt;1&lt;/C&gt;&lt;D xsi:type="xsd:double"&gt;9606&lt;/D&gt;&lt;/FQL&gt;&lt;FQL&gt;&lt;Q&gt;Ticker0024^FE_ESTIMATE(PRODLINE_SALES_16,MEAN,QUARTERLY_ROLL,2018/3F,45813,,,'')&lt;/Q&gt;&lt;R&gt;1&lt;/R&gt;&lt;C&gt;1&lt;/C&gt;&lt;D xsi:type="xsd:double"&gt;7896&lt;/D&gt;&lt;/FQL&gt;&lt;FQL&gt;&lt;Q&gt;Ticker0024^FE_ESTIMATE(PRODLINE_SALES_16,MEAN,QUARTERLY_ROLL,2018/2F,45813,,,'')&lt;/Q&gt;&lt;R&gt;1&lt;/R&gt;&lt;C&gt;1&lt;/C&gt;&lt;D xsi:type="xsd:double"&gt;7795&lt;/D&gt;&lt;/FQL&gt;&lt;FQL&gt;&lt;Q&gt;Ticker0024^FE_ESTIMATE(PRODLINE_SALES_16,MEAN,QUARTERLY_ROLL,2018/1F,45813,,,'')&lt;/Q&gt;&lt;R&gt;1&lt;/R&gt;&lt;C&gt;1&lt;/C&gt;&lt;D xsi:type="xsd:double"&gt;6922&lt;/D&gt;&lt;/FQL&gt;&lt;FQL&gt;&lt;Q&gt;Ticker0024^FE_ESTIMATE(PRODLINE_SALES_16,MEAN,ANNUAL_ROLL,2017,45813,,,'')&lt;/Q&gt;&lt;R&gt;1&lt;/R&gt;&lt;C&gt;1&lt;/C&gt;&lt;D xsi:type="xsd:double"&gt;27440&lt;/D&gt;&lt;/FQL&gt;&lt;FQL&gt;&lt;Q&gt;Ticker0024^FE_ESTIMATE(PRODLINE_SALES_16,MEAN,QUARTERLY_ROLL,2017/4F,45813,,,'')&lt;/Q&gt;&lt;R&gt;1&lt;/R&gt;&lt;C&gt;1&lt;/C&gt;&lt;D xsi:type="xsd:double"&gt;7434&lt;/D&gt;&lt;/FQL&gt;&lt;FQL&gt;&lt;Q&gt;Ticker0024^FE_ESTIMATE(PRODLINE_SALES_16,MEAN,QUARTERLY_ROLL,2017/3F,45813,,,'')&lt;/Q&gt;&lt;R&gt;1&lt;/R&gt;&lt;C&gt;1&lt;/C&gt;&lt;D xsi:type="xsd:double"&gt;6763&lt;/D&gt;&lt;/FQL&gt;&lt;FQL&gt;&lt;Q&gt;Ticker0024^FE_ESTIMATE(PRODLINE_SALES_16,MEAN,QUARTERLY_ROLL,2017/2F,45813,,,'')&lt;/Q&gt;&lt;R&gt;1&lt;/R&gt;&lt;C&gt;1&lt;/C&gt;&lt;D xsi:type="xsd:double"&gt;6861&lt;/D&gt;&lt;/FQL&gt;&lt;FQL&gt;&lt;Q&gt;Ticker0024^FE_ESTIMATE(PRODLINE_SALES_16,MEAN,QUARTERLY_ROLL,2017/1F,45813,,,'')&lt;/Q&gt;&lt;R&gt;1&lt;/R&gt;&lt;C&gt;1&lt;/C&gt;&lt;D xsi:type="xsd:double"&gt;6382&lt;/D&gt;&lt;/FQL&gt;&lt;FQL&gt;&lt;Q&gt;Ticker0024^FE_ESTIMATE(PRODLINE_SALES_16,MEAN,ANNUAL_ROLL,2016,45813,,,'')&lt;/Q&gt;&lt;R&gt;1&lt;/R&gt;&lt;C&gt;1&lt;/C&gt;&lt;D xsi:type="xsd:double"&gt;25042&lt;/D&gt;&lt;/FQL&gt;&lt;FQL&gt;&lt;Q&gt;Ticker0024^FE_ESTIMATE(PRODLINE_SALES_16,MEAN,QUARTERLY_ROLL,2016/4F,45813,,,'')&lt;/Q&gt;&lt;R&gt;1&lt;/R&gt;&lt;C&gt;1&lt;/C&gt;&lt;D xsi:type="xsd:double"&gt;6711&lt;/D&gt;&lt;/FQL&gt;&lt;FQL&gt;&lt;Q&gt;Ticker0024^FE_ESTIMATE(PRODLINE_SALES_16,MEAN,QUARTERLY_ROLL,2016/3F,45813,,,'')&lt;/Q&gt;&lt;R&gt;1&lt;/R&gt;&lt;C&gt;1&lt;/C&gt;&lt;D xsi:type="xsd:double"&gt;6096&lt;/D&gt;&lt;/FQL&gt;&lt;FQL&gt;&lt;Q&gt;Ticker0024^FE_ESTIMATE(PRODLINE_SALES_16,MEAN,QUARTERLY_ROLL,2016/2F,45813,,,'')&lt;/Q&gt;&lt;R&gt;1&lt;/R&gt;&lt;C&gt;1&lt;/C&gt;&lt;D xsi:type="xsd:double"&gt;6343&lt;/D&gt;&lt;/FQL&gt;&lt;FQL&gt;&lt;Q&gt;Ticker0024^FE_ESTIMATE(PRODLINE_SALES_16,MEAN,QUARTERLY_ROLL,2016/1F,45813,,,'')&lt;/Q&gt;&lt;R&gt;1&lt;/R&gt;&lt;C&gt;1&lt;/C&gt;&lt;D xsi:type="xsd:double"&gt;5892&lt;/D&gt;&lt;/FQL&gt;&lt;FQL&gt;&lt;Q&gt;Ticker0024^FE_ESTIMATE(PRODLINE_SALES_16,MEAN,ANNUAL_ROLL,2015,45813,,,'')&lt;/Q&gt;&lt;R&gt;0&lt;/R&gt;&lt;C&gt;0&lt;/C&gt;&lt;/FQL&gt;&lt;FQL&gt;&lt;Q&gt;Ticker0024^FE_ESTIMATE(PRODLINE_SALES_16,MEAN,QUARTERLY_ROLL,2015/4F,45813,,,'')&lt;/Q&gt;&lt;R&gt;0&lt;/R&gt;&lt;C&gt;0&lt;/C&gt;&lt;/FQL&gt;&lt;FQL&gt;&lt;Q&gt;Ticker0024^FE_ESTIMATE(PRODLINE_SALES_16,MEAN,QUARTERLY_ROLL,2015/3F,45813,,,'')&lt;/Q&gt;&lt;R&gt;0&lt;/R&gt;&lt;C&gt;0&lt;/C&gt;&lt;/FQL&gt;&lt;FQL&gt;&lt;Q&gt;Ticker0024^FE_ESTIMATE(PRODLINE_SALES_16,MEAN,QUARTERLY_ROLL,2015/2F,45813,,,'')&lt;/Q&gt;&lt;R&gt;0&lt;/R&gt;&lt;C&gt;0&lt;/C&gt;&lt;/FQL&gt;&lt;FQL&gt;&lt;Q&gt;Ticker0024^FE_ESTIMATE(PRODLINE_SALES_16,MEAN,QUARTERLY_ROLL,2015/1F,45813,,,'')&lt;/Q&gt;&lt;R&gt;0&lt;/R&gt;&lt;C&gt;0&lt;/C&gt;&lt;/FQL&gt;&lt;FQL&gt;&lt;Q&gt;Ticker0024^FE_ESTIMATE(PRODLINE_SALES_15,MEAN,ANNUAL_ROLL,2030,45813,,,'')&lt;/Q&gt;&lt;R&gt;0&lt;/R&gt;&lt;C&gt;0&lt;/C&gt;&lt;/FQL&gt;&lt;FQL&gt;&lt;Q&gt;Ticker0024^FE_ESTIMATE(PRODLINE_SALES_15,MEAN,QUARTERLY_ROLL,2030/4F,45813,,,'')&lt;/Q&gt;&lt;R&gt;0&lt;/R&gt;&lt;C&gt;0&lt;/C&gt;&lt;/FQL&gt;&lt;FQL&gt;&lt;Q&gt;Ticker0024^FE_ESTIMATE(PRODLINE_SALES_15,MEAN,QUARTERLY_ROLL,2030/3F,45813,,,'')&lt;/Q&gt;&lt;R&gt;0&lt;/R&gt;&lt;C&gt;0&lt;/C&gt;&lt;/FQL&gt;&lt;FQL&gt;&lt;Q&gt;Ticker0024^FE_ESTIMATE(PRODLINE_SALES_15,MEAN,QUARTERLY_ROLL,2030/2F,45813,,,'')&lt;/Q&gt;&lt;R&gt;0&lt;/R&gt;&lt;C&gt;0&lt;/C&gt;&lt;/FQL&gt;&lt;FQL&gt;&lt;Q&gt;Ticker0024^FE_ESTIMATE(PRODLINE_SALES_15,MEAN,QUARTERLY_ROLL,2030/1F,45813,,,'')&lt;/Q&gt;&lt;R&gt;0&lt;/R&gt;&lt;C&gt;0&lt;/C&gt;&lt;/FQL&gt;&lt;FQL&gt;&lt;Q&gt;Ticker0024^FE_ESTIMATE(PRODLINE_SALES_15,MEAN,ANNUAL_ROLL,2029,45813,,,'')&lt;/Q&gt;&lt;R&gt;0&lt;/R&gt;&lt;C&gt;0&lt;/C&gt;&lt;/FQL&gt;&lt;FQL&gt;&lt;Q&gt;Ticker0024^FE_ESTIMATE(PRODLINE_SALES_15,MEAN,QUARTERLY_ROLL,2029/4F,45813,,,'')&lt;/Q&gt;&lt;R&gt;0&lt;/R&gt;&lt;C&gt;0&lt;/C&gt;&lt;/FQL&gt;&lt;FQL&gt;&lt;Q&gt;Ticker0024^FE_ESTIMATE(PRODLINE_SALES_15,MEAN,QUARTERLY_ROLL,2029/3F,45813,,,'')&lt;/Q&gt;&lt;R&gt;0&lt;/R&gt;&lt;C&gt;0&lt;/C&gt;&lt;/FQL&gt;&lt;FQL&gt;&lt;Q&gt;Ticker0024^FE_ESTIMATE(PRODLINE_SALES_15,MEAN,QUARTERLY_ROLL,2029/2F,45813,,,'')&lt;/Q&gt;&lt;R&gt;0&lt;/R&gt;&lt;C&gt;0&lt;/C&gt;&lt;/FQL&gt;&lt;FQL&gt;&lt;Q&gt;Ticker0024^FE_ESTIMATE(PRODLINE_SALES_15,MEAN,QUARTERLY_ROLL,2029/1F,45813,,,'')&lt;/Q&gt;&lt;R&gt;0&lt;/R&gt;&lt;C&gt;0&lt;/C&gt;&lt;/FQL&gt;&lt;FQL&gt;&lt;Q&gt;Ticker0024^FE_ESTIMATE(PRODLINE_SALES_15,MEAN,ANNUAL_ROLL,2028,45813,,,'')&lt;/Q&gt;&lt;R&gt;0&lt;/R&gt;&lt;C&gt;0&lt;/C&gt;&lt;/FQL&gt;&lt;FQL&gt;&lt;Q&gt;Ticker0024^FE_ESTIMATE(PRODLINE_SALES_15,MEAN,QUARTERLY_ROLL,2028/4F,45813,,,'')&lt;/Q&gt;&lt;R&gt;0&lt;/R&gt;&lt;C&gt;0&lt;/C&gt;&lt;/FQL&gt;&lt;FQL&gt;&lt;Q&gt;Ticker0024^FE_ESTIMATE(PRODLINE_SALES_15,MEAN,QUARTERLY_ROLL,2028/3F,45813,,,'')&lt;/Q&gt;&lt;R&gt;0&lt;/R&gt;&lt;C&gt;0&lt;/C&gt;&lt;/FQL&gt;&lt;FQL&gt;&lt;Q&gt;Ticker0024^FE_ESTIMATE(PRODLINE_SALES_15,MEAN,QUARTERLY_ROLL,2028/2F,45813,,,'')&lt;/Q&gt;&lt;R&gt;0&lt;/R&gt;&lt;C&gt;0&lt;/C&gt;&lt;/FQL&gt;&lt;FQL&gt;&lt;Q&gt;Ticker0024^FE_ESTIMATE(PRODLINE_SALES_15,MEAN,QUARTERLY_ROLL,2028/1F,45813,,,'')&lt;/Q&gt;&lt;R&gt;0&lt;/R&gt;&lt;C&gt;0&lt;/C&gt;&lt;/FQL&gt;&lt;FQL&gt;&lt;Q&gt;Ticker0024^FE_ESTIMATE(PRODLINE_SALES_15,MEAN,ANNUAL_ROLL,2027,45813,,,'')&lt;/Q&gt;&lt;R&gt;1&lt;/R&gt;&lt;C&gt;1&lt;/C&gt;&lt;D xsi:type="xsd:double"&gt;145471.66&lt;/D&gt;&lt;/FQL&gt;&lt;FQL&gt;&lt;Q&gt;Ticker0024^FE_ESTIMATE(PRODLINE_SALES_15,MEAN,QUARTERLY_ROLL,2027/4F,45813,,,'')&lt;/Q&gt;&lt;R&gt;1&lt;/R&gt;&lt;C&gt;1&lt;/C&gt;&lt;D xsi:type="xsd:double"&gt;38714&lt;/D&gt;&lt;/FQL&gt;&lt;FQL&gt;&lt;Q&gt;Ticker0024^FE_ESTIMATE(PRODLINE_SALES_15,MEAN,QUARTERLY_ROLL,2027/3F,45813,,,'')&lt;/Q&gt;&lt;R&gt;1&lt;/R&gt;&lt;C&gt;1&lt;/C&gt;&lt;D xsi:type="xsd:double"&gt;36705.332&lt;/D&gt;&lt;/FQL&gt;&lt;FQL&gt;&lt;Q&gt;Ticker0024^FE_ESTIMATE(PRODLINE_SALES_15,MEAN,QUARTERLY_ROLL,2027/2F,45813,,,'')&lt;/Q&gt;&lt;R&gt;1&lt;/R&gt;&lt;C&gt;1&lt;/C&gt;&lt;D xsi:type="xsd:double"&gt;35598.5&lt;/D&gt;&lt;/FQL&gt;&lt;FQL&gt;&lt;Q&gt;Ticker0024^FE_ESTIMATE(PRODLINE_SALES_15,MEAN,QUARTERLY_ROLL,2027/1F,45813,,,'')&lt;/Q&gt;&lt;R&gt;1&lt;/R&gt;&lt;C&gt;1&lt;/C&gt;&lt;D xsi:type="xsd:double"&gt;34546.75&lt;/D&gt;&lt;/FQL&gt;&lt;FQL&gt;&lt;Q&gt;Ticker0024^FE_ESTIMATE(PRODLINE_SALES_15,MEAN,ANNUAL_ROLL,2026,45813,,,'')&lt;/Q&gt;&lt;R&gt;1&lt;/R&gt;&lt;C&gt;1&lt;/C&gt;&lt;D xsi:type="xsd:double"&gt;131636.08&lt;/D&gt;&lt;/FQL&gt;&lt;FQL&gt;&lt;Q&gt;Ticker0024^FE_ESTIMATE(PRODLINE_SALES_15,MEAN,QUARTERLY_ROLL,2026/4F,45813,,,'')&lt;/Q&gt;&lt;R&gt;1&lt;/R&gt;&lt;C&gt;1&lt;/C&gt;&lt;D xsi:type="xsd:double"&gt;35014.332&lt;/D&gt;&lt;/FQL&gt;&lt;FQL&gt;&lt;Q&gt;Ticker0024^FE_ESTIMATE(PRODLINE_SALES_15,MEAN,QUARTERLY_ROLL,2026/3F,45813,,,'')&lt;/Q&gt;&lt;R&gt;1&lt;/R&gt;&lt;C&gt;1&lt;/C&gt;&lt;D xsi:type="xsd:double"&gt;32858.8&lt;/D&gt;&lt;/FQL&gt;&lt;FQL&gt;&lt;Q&gt;Ticker0024^FE_ESTIMATE(PRODLINE_SALES_15,MEAN,QUARTERLY_ROLL,2026/2F,45813,,,'')&lt;/Q&gt;&lt;R&gt;1&lt;/R&gt;&lt;C&gt;1&lt;/C&gt;&lt;D xsi:type="xsd:double"&gt;32288.25&lt;/D&gt;&lt;/FQL&gt;&lt;FQL&gt;&lt;Q&gt;Ticker0024^FE_ESTIMATE(PRODLINE_SALES_15,MEAN,QUARTERLY_ROLL,2026/1F,45813,,,'')&lt;/Q&gt;&lt;R&gt;1&lt;/R&gt;&lt;C&gt;1&lt;/C&gt;&lt;D xsi:type="xsd:double"&gt;31227.389&lt;/D&gt;&lt;/FQL&gt;&lt;FQL&gt;&lt;Q&gt;Ticker0024^FE_ESTIMATE(PRODLINE_SALES_15,MEAN,ANNUAL_ROLL,2025,45813,,,'')&lt;/Q&gt;&lt;R&gt;1&lt;/R&gt;&lt;C&gt;1&lt;/C&gt;&lt;D xsi:type="xsd:double"&gt;119819.26&lt;/D&gt;&lt;/FQL&gt;&lt;FQL&gt;&lt;Q&gt;Ticker0024^FE_ESTIMATE(PRODLINE_SALES_15,MEAN,QUARTERLY_ROLL,2025/4F,45813,,,'')&lt;/Q&gt;&lt;R&gt;1&lt;/R&gt;&lt;C&gt;1&lt;/C&gt;&lt;D xsi:type="xsd:double"&gt;32083&lt;/D&gt;&lt;/FQL&gt;&lt;FQL&gt;&lt;Q&gt;Ticker0024^FE_ESTIMATE(PRODLINE_SALES_15,MEAN,QUARTERLY_ROLL,2025/3F,45813,,,'')&lt;/Q&gt;&lt;R&gt;1&lt;/R&gt;&lt;C&gt;1&lt;/C&gt;&lt;D xsi:type="xsd:double"&gt;29944&lt;/D&gt;&lt;/FQL&gt;&lt;FQL&gt;&lt;Q&gt;Ticker0024^FE_ESTIMATE(PRODLINE_SALES_15,MEAN,QUARTERLY_ROLL,2025/2F,45813,,,'')&lt;/Q&gt;&lt;R&gt;1&lt;/R&gt;&lt;C&gt;1&lt;/C&gt;&lt;D xsi:type="xsd:double"&gt;29437&lt;/D&gt;&lt;/FQL&gt;&lt;FQL&gt;&lt;Q&gt;Ticker0024^FE_ESTIMATE(PRODLINE_SALES_15,MEAN,QUARTERLY_ROLL,2025/1F,45813,,,'')&lt;/Q&gt;&lt;R&gt;1&lt;/R&gt;&lt;C&gt;1&lt;/C&gt;&lt;D xsi:type="xsd:double"&gt;28317&lt;/D&gt;&lt;/FQL&gt;&lt;FQL&gt;&lt;Q&gt;Ticker0024^FE_ESTIMATE(PRODLINE_SALES_15,MEAN,ANNUAL_ROLL,2024,45813,,,'')&lt;/Q&gt;&lt;R&gt;1&lt;/R&gt;&lt;C&gt;1&lt;/C&gt;&lt;D xsi:type="xsd:double"&gt;77728&lt;/D&gt;&lt;/FQL&gt;&lt;FQL&gt;&lt;Q&gt;Ticker0024^FE_ESTIMATE(PRODLINE_SALES_15,MEAN,QUARTERLY_ROLL,2024/4F,45813,,,'')&lt;/Q&gt;&lt;R&gt;1&lt;/R&gt;&lt;C&gt;1&lt;/C&gt;&lt;D xsi:type="xsd:double"&gt;20317&lt;/D&gt;&lt;/FQL&gt;&lt;FQL&gt;&lt;Q&gt;Ticker0024^FE_ESTIMATE(PRODLINE_SALES_15,MEAN,QUARTERLY_ROLL,2024/3F,45813,,,'')&lt;/Q&gt;&lt;R&gt;1&lt;/R&gt;&lt;C&gt;1&lt;/C&gt;&lt;D xsi:type="xsd:double"&gt;19570&lt;/D&gt;&lt;/FQL&gt;&lt;FQL&gt;&lt;Q&gt;Ticker0024^FE_ESTIMATE(PRODLINE_SALES_15,MEAN,QUARTERLY_ROLL,2024/2F,45813,,,'')&lt;/Q&gt;&lt;R&gt;1&lt;/R&gt;&lt;C&gt;1&lt;/C&gt;&lt;D xsi:type="xsd:double"&gt;19249&lt;/D&gt;&lt;/FQL&gt;&lt;FQL&gt;&lt;Q&gt;Ticker0024^FE_ESTIMATE(PRODLINE_SALES_15,MEAN,QUARTERLY_ROLL,2024/1F,45813,,,'')&lt;/Q&gt;&lt;R&gt;1&lt;/R&gt;&lt;C&gt;1&lt;/C&gt;&lt;D xsi:type="xsd:double"&gt;18592&lt;/D&gt;&lt;/FQL&gt;&lt;FQL&gt;&lt;Q&gt;Ticker0024^FE_ESTIMATE(PRODLINE_SALES_15,MEAN,ANNUAL_ROLL,2023,45813,,,'')&lt;/Q&gt;&lt;R&gt;1&lt;/R&gt;&lt;C&gt;1&lt;/C&gt;&lt;D xsi:type="xsd:double"&gt;69275&lt;/D&gt;&lt;/FQL&gt;&lt;FQL&gt;&lt;Q&gt;Ticker0024^FE_ESTIMATE(PRODLINE_SALES_15,MEAN,QUARTERLY_ROLL,2023/4F,45813,,,'')&lt;/Q&gt;&lt;R&gt;1&lt;/R&gt;&lt;C&gt;1&lt;/C&gt;&lt;D xsi:type="xsd:double"&gt;18291&lt;/D&gt;&lt;/FQL&gt;&lt;FQL&gt;&lt;Q&gt;Ticker0024^FE_ESTIMATE(PRODLINE_SALES_15,MEAN,QUARTERLY_ROLL,2023/3F,45813,,,'')&lt;/Q&gt;&lt;R&gt;1&lt;/R&gt;&lt;C&gt;1&lt;/C&gt;&lt;D xsi:type="xsd:double"&gt;17516&lt;/D&gt;&lt;/FQL&gt;&lt;FQL&gt;&lt;Q&gt;Ticker0024^FE_ESTIMATE(PRODLINE_SALES_15,MEAN,QUARTERLY_ROLL,2023/2F,45813,,,'')&lt;/Q&gt;&lt;R&gt;1&lt;/R&gt;&lt;C&gt;1&lt;/C&gt;&lt;D xsi:type="xsd:double"&gt;17002&lt;/D&gt;&lt;/FQL&gt;&lt;FQL&gt;&lt;Q&gt;Ticker0024^FE_ESTIMATE(PRODLINE_SALES_15,MEAN,QUARTERLY_ROLL,2023/1F,45813,,,'')&lt;/Q&gt;&lt;R&gt;1&lt;/R&gt;&lt;C&gt;1&lt;/C&gt;&lt;D xsi:type="xsd:double"&gt;16465&lt;/D&gt;&lt;/FQL&gt;&lt;FQL&gt;&lt;Q&gt;Ticker0024^FE_ESTIMATE(PRODLINE_SALES_15,MEAN,ANNUAL_ROLL,2022,45813,,,'')&lt;/Q&gt;&lt;R&gt;1&lt;/R&gt;&lt;C&gt;1&lt;/C&gt;&lt;D xsi:type="xsd:double"&gt;63364&lt;/D&gt;&lt;/FQL&gt;&lt;FQL&gt;&lt;Q&gt;Ticker0024^FE_ESTIMATE(PRODLINE_SALES_15,MEAN,QUARTERLY_ROLL,2022/4F,45813,,,'')&lt;/Q&gt;&lt;R&gt;1&lt;/R&gt;&lt;C&gt;1&lt;/C&gt;&lt;D xsi:type="xsd:double"&gt;16600&lt;/D&gt;&lt;/FQL&gt;&lt;FQL&gt;&lt;Q&gt;Ticker0024^FE_ESTIMATE(PRODLINE_SALES_15,MEAN,QUARTERLY_ROLL,2022/3F,45813,,,'')&lt;/Q&gt;&lt;R&gt;1&lt;/R&gt;&lt;C&gt;1&lt;/C&gt;&lt;D xsi:type="xsd:double"&gt;15789&lt;/D&gt;&lt;/FQL&gt;&lt;FQL&gt;&lt;Q&gt;Ticker0024^FE_ESTIMATE(PRODLINE_SALES_15,MEAN,QUARTERLY_ROLL,2022/2F,45813,,,'')&lt;/Q&gt;&lt;R&gt;1&lt;/R&gt;&lt;C&gt;1&lt;/C&gt;&lt;D xsi:type="xsd:double"&gt;15936&lt;/D&gt;&lt;/FQL&gt;&lt;FQL&gt;&lt;Q&gt;Ticker0024^FE_ESTIMATE(PRODLINE_SALES_15,MEAN,QUARTERLY_ROLL,2022/1F,45813,,,'')&lt;/Q&gt;&lt;R&gt;1&lt;/R&gt;&lt;C&gt;1&lt;/C&gt;&lt;D xsi:type="xsd:double"&gt;15039&lt;/D&gt;&lt;/FQL&gt;&lt;FQL&gt;&lt;Q&gt;Ticker0024^FE_ESTIMATE(PRODLINE_SALES_15,MEAN,ANNUAL_ROLL,2021,45813,,,'')&lt;/Q&gt;&lt;R&gt;1&lt;/R&gt;&lt;C&gt;1&lt;/C&gt;&lt;D xsi:type="xsd:double"&gt;53915&lt;/D&gt;&lt;/FQL&gt;&lt;FQL&gt;&lt;Q&gt;Ticker0024^FE_ESTIMATE(PRODLINE_SALES_15,MEAN,QUARTERLY_ROLL,2021/4F,45813,,,'')&lt;/Q&gt;&lt;R&gt;1&lt;/R&gt;&lt;C&gt;1&lt;/C&gt;&lt;D xsi:type="xsd:double"&gt;14691&lt;/D&gt;&lt;/FQL&gt;&lt;FQL&gt;&lt;Q&gt;Ticker0024^FE_ESTIMATE(PRODLINE_SALES_15,MEAN,QUARTERLY_ROLL,2021/3F,45813,,,'')&lt;/Q&gt;&lt;R&gt;1&lt;/R&gt;&lt;C&gt;1&lt;/C&gt;&lt;D xsi:type="xsd:double"&gt;13552&lt;/D&gt;&lt;/FQL&gt;&lt;FQL&gt;&lt;Q&gt;Ticker0024^FE_ESTIMATE(PRODLINE_SALES_15,MEAN,QUARTERLY_ROLL,2021/2F,45813,,,'')&lt;/Q&gt;&lt;R&gt;1&lt;/R&gt;&lt;C&gt;1&lt;/C&gt;&lt;D xsi:type="xsd:double"&gt;13353&lt;/D&gt;&lt;/FQL&gt;&lt;FQL&gt;&lt;Q&gt;Ticker0024^FE_ESTIMATE(PRODLINE_SALES_15,MEAN,QUARTERLY_ROLL,2021/1F,45813,,,'')&lt;/Q&gt;&lt;R&gt;1&lt;/R&gt;&lt;C&gt;1&lt;/C&gt;&lt;D xsi:type="xsd:double"&gt;12319&lt;/D&gt;&lt;/FQL&gt;&lt;FQL&gt;&lt;Q&gt;Ticker0024^FE_ESTIMATE(PRODLINE_SALES_15,MEAN,ANNUAL_ROLL,2020,45813,,,'')&lt;/Q&gt;&lt;R&gt;1&lt;/R&gt;&lt;C&gt;1&lt;/C&gt;&lt;D xsi:type="xsd:double"&gt;46398&lt;/D&gt;&lt;/FQL&gt;&lt;FQL&gt;&lt;Q&gt;Ticker0024^FE_ESTIMATE(PRODLINE_SALES_15,MEAN,QUARTERLY_ROLL,2020/4F,45813,,,'')&lt;/Q&gt;&lt;R&gt;1&lt;/R&gt;&lt;C&gt;1&lt;/C&gt;&lt;D xsi:type="xsd:double"&gt;11752&lt;/D&gt;&lt;/FQL&gt;&lt;FQL&gt;&lt;Q&gt;Ticker0024^FE_ESTIMATE(PRODLINE_SALES_15,MEAN,QUARTERLY_ROLL,2020/3F,45813,,,'')&lt;/Q&gt;&lt;R&gt;1&lt;/R&gt;&lt;C&gt;1&lt;/C&gt;&lt;D xsi:type="xsd:double"&gt;11743&lt;/D&gt;&lt;/FQL&gt;&lt;FQL&gt;&lt;Q&gt;Ticker0024^FE_ESTIMATE(PRODLINE_SALES_15,MEAN,QUARTERLY_ROLL,2020/2F,45813,,,'')&lt;/Q&gt;&lt;R&gt;1&lt;/R&gt;&lt;C&gt;1&lt;/C&gt;&lt;D xsi:type="xsd:double"&gt;11826&lt;/D&gt;&lt;/FQL&gt;&lt;FQL&gt;&lt;Q&gt;Ticker0024^FE_ESTIMATE(PRODLINE_SALES_15,MEAN,QUARTERLY_ROLL,2020/1F,45813,,,'')&lt;/Q&gt;&lt;R&gt;1&lt;/R&gt;&lt;C&gt;1&lt;/C&gt;&lt;D xsi:type="xsd:double"&gt;11077&lt;/D&gt;&lt;/FQL&gt;&lt;FQL&gt;&lt;Q&gt;Ticker0024^FE_ESTIMATE(PRODLINE_SALES_15,MEAN,ANNUAL_ROLL,2019,45813,,,'')&lt;/Q&gt;&lt;R&gt;1&lt;/R&gt;&lt;C&gt;1&lt;/C&gt;&lt;D xsi:type="xsd:double"&gt;41160&lt;/D&gt;&lt;/FQL&gt;&lt;FQL&gt;&lt;Q&gt;Ticker0024^FE_ESTIMATE(PRODLINE_SALES_15,MEAN,QUARTERLY_ROLL,2019/4F,45813,,,'')&lt;/Q&gt;&lt;R&gt;1&lt;/R&gt;&lt;C&gt;1&lt;/C&gt;&lt;D xsi:type="xsd:double"&gt;11047&lt;/D&gt;&lt;/FQL&gt;&lt;FQL&gt;&lt;Q&gt;Ticker0024^FE_ESTIMATE(PRODLINE_SALES_15,MEAN,QUARTERLY_ROLL,2019/3F,45813,,,'')&lt;/Q&gt;&lt;R&gt;1&lt;/R&gt;&lt;C&gt;1&lt;/C&gt;&lt;D xsi:type="xsd:double"&gt;10242&lt;/D&gt;&lt;/FQL&gt;&lt;FQL&gt;&lt;Q&gt;Ticker0024^FE_ESTIMATE(PRODLINE_SALES_15,MEAN,QUARTERLY_ROLL,2019/2F,45813,,,'')&lt;/Q&gt;&lt;R&gt;1&lt;/R&gt;&lt;C&gt;1&lt;/C&gt;&lt;D xsi:type="xsd:double"&gt;10100&lt;/D&gt;&lt;/FQL&gt;&lt;FQL&gt;&lt;Q&gt;Ticker0024^FE_ESTIMATE(PRODLINE_SALES_15,MEAN,QUARTERLY_ROLL,2019/1F,45813,,,'')&lt;/Q&gt;&lt;R&gt;1&lt;/R&gt;&lt;C&gt;1&lt;/C&gt;&lt;D xsi:type="xsd:double"&gt;9771&lt;/D&gt;&lt;/FQL&gt;&lt;FQL&gt;&lt;Q&gt;Ticker0024^FE_ESTIMATE(PRODLINE_SALES_15,MEAN,ANNUAL_ROLL,2018,45813,,,'')&lt;/Q&gt;&lt;R&gt;1&lt;/R&gt;&lt;C&gt;1&lt;/C&gt;&lt;D xsi:type="xsd:double"&gt;35865&lt;/D&gt;&lt;/FQL&gt;&lt;FQL&gt;&lt;Q&gt;Ticker0024^FE_ESTIMATE(PRODLINE_SALES_15,MEAN,QUARTERLY_ROLL,2018/4F,45813,,,'')&lt;/Q&gt;&lt;R&gt;1&lt;/R&gt;&lt;C&gt;1&lt;/C&gt;&lt;D xsi:type="xsd:double"&gt;9668&lt;/D&gt;&lt;/FQL&gt;&lt;FQL&gt;&lt;Q&gt;Ticker0024^FE_ESTIMATE(PRODLINE_SALES_15,MEAN,QUARTERLY_ROLL,2018/3F,45813,,,'')&lt;/Q&gt;&lt;R&gt;1&lt;/R&gt;&lt;C&gt;1&lt;/C&gt;&lt;D xsi:type="xsd:double"&gt;9006&lt;/D&gt;&lt;/FQL&gt;&lt;FQL&gt;&lt;Q&gt;Ticker0024^FE_ESTIMATE(PRODLINE_SALES_15,MEAN,QUARTERLY_ROLL,2018/2F,45813,,,'')&lt;/Q&gt;&lt;R&gt;1&lt;/R&gt;&lt;C&gt;1&lt;/C&gt;&lt;D xsi:type="xsd:double"&gt;8953&lt;/D&gt;&lt;/FQL&gt;&lt;FQL&gt;&lt;Q&gt;Ticker0024^FE_ESTIMATE(PRODLINE_SALES_15,MEAN,QUARTERLY_ROLL,2018/1F,45813,,,'')&lt;/Q&gt;&lt;R&gt;1&lt;/R&gt;&lt;C&gt;1&lt;/C&gt;&lt;D xsi:type="xsd:double"&gt;8238&lt;/D&gt;&lt;/FQL&gt;&lt;FQL&gt;&lt;Q&gt;Ticker0024^FE_ESTIMATE(PRODLINE_SALES_15,MEAN,ANNUAL_ROLL,2017,45813,,,'')&lt;/Q&gt;&lt;R&gt;1&lt;/R&gt;&lt;C&gt;1&lt;/C&gt;&lt;D xsi:type="xsd:double"&gt;30444&lt;/D&gt;&lt;/FQL&gt;&lt;FQL&gt;&lt;Q&gt;Ticker0024^FE_ESTIMATE(PRODLINE_SALES_15,MEAN,QUARTERLY_ROLL,2017/4F,45813,,,'')&lt;/Q&gt;&lt;R&gt;1&lt;/R&gt;&lt;C&gt;1&lt;/C&gt;&lt;D xsi:type="xsd:double"&gt;8446&lt;/D&gt;&lt;/FQL&gt;&lt;FQL&gt;&lt;Q&gt;Ticker0024^FE_ESTIMATE(PRODLINE_SALES_15,MEAN,QUARTERLY_ROLL,2017/3F,45813,,,'')&lt;/Q&gt;&lt;R&gt;1&lt;/R&gt;&lt;C&gt;1&lt;/C&gt;&lt;D xsi:type="xsd:double"&gt;7958&lt;/D&gt;&lt;/FQL&gt;&lt;FQL&gt;&lt;Q&gt;Ticker0024^FE_ESTIMATE(PRODLINE_SALES_15,MEAN,QUARTERLY_ROLL,2017/2F,45813,,,'')&lt;/Q&gt;&lt;R&gt;1&lt;/R&gt;&lt;C&gt;1&lt;/C&gt;&lt;D xsi:type="xsd:double"&gt;7382&lt;/D&gt;&lt;/FQL&gt;&lt;FQL&gt;&lt;Q&gt;Ticker0024^FE_ESTIMATE(PRODLINE_SALES_15,MEAN,QUARTERLY_ROLL,2017/1F,45813,,,'')&lt;/Q&gt;&lt;R&gt;1&lt;/R&gt;&lt;C&gt;1&lt;/C&gt;&lt;D xsi:type="xsd:double"&gt;6658&lt;/D&gt;&lt;/FQL&gt;&lt;FQL&gt;&lt;Q&gt;Ticker0024^FE_ESTIMATE(PRODLINE_SALES_15,MEAN,ANNUAL_ROLL,2016,45813,,,'')&lt;/Q&gt;&lt;R&gt;1&lt;/R&gt;&lt;C&gt;1&lt;/C&gt;&lt;D xsi:type="xsd:double"&gt;26487&lt;/D&gt;&lt;/FQL&gt;&lt;FQL&gt;&lt;Q&gt;Ticker0024^FE_ESTIMATE(PRODLINE_SALES_15,MEAN,QUARTERLY_ROLL,2016/4F,45813,,,'')&lt;/Q&gt;&lt;R&gt;1&lt;/R&gt;&lt;C&gt;1&lt;/C&gt;&lt;D xsi:type="xsd:double"&gt;6969&lt;/D&gt;&lt;/FQL&gt;&lt;FQL&gt;&lt;Q&gt;Ticker0024^FE_ESTIMATE(PRODLINE_SALES_15,MEAN,QUARTERLY_ROLL,2016/3F,45813,,,'')&lt;/Q&gt;&lt;R&gt;1&lt;/R&gt;&lt;C&gt;1&lt;/C&gt;&lt;D xsi:type="xsd:double"&gt;6522&lt;/D&gt;&lt;/FQL&gt;&lt;FQL&gt;&lt;Q&gt;Ticker0024^FE_ESTIMATE(PRODLINE_SALES_15,MEAN,QUARTERLY_ROLL,2016/2F,45813,,,'')&lt;/Q&gt;&lt;R&gt;1&lt;/R&gt;&lt;C&gt;1&lt;/C&gt;&lt;D xsi:type="xsd:double"&gt;6690&lt;/D&gt;&lt;/FQL&gt;&lt;FQL&gt;&lt;Q&gt;Ticker0024^FE_ESTIMATE(PRODLINE_SALES_15,MEAN,QUARTERLY_ROLL,2016/1F,45813,,,'')&lt;/Q&gt;&lt;R&gt;1&lt;/R&gt;&lt;C&gt;1&lt;/C&gt;&lt;D xsi:type="xsd:double"&gt;6306&lt;/D&gt;&lt;/FQL&gt;&lt;FQL&gt;&lt;Q&gt;Ticker0024^FE_ESTIMATE(PRODLINE_SALES_15,MEAN,ANNUAL_ROLL,2015,45813,,,'')&lt;/Q&gt;&lt;R&gt;0&lt;/R&gt;&lt;C&gt;0&lt;/C&gt;&lt;/FQL&gt;&lt;FQL&gt;&lt;Q&gt;Ticker0024^FE_ESTIMATE(PRODLINE_SALES_15,MEAN,QUARTERLY_ROLL,2015/4F,45813,,,'')&lt;/Q&gt;&lt;R&gt;0&lt;/R&gt;&lt;C&gt;0&lt;/C&gt;&lt;/FQL&gt;&lt;FQL&gt;&lt;Q&gt;Ticker0024^FE_ESTIMATE(PRODLINE_SALES_15,MEAN,QUARTERLY_ROLL,2015/3F,45813,,,'')&lt;/Q&gt;&lt;R&gt;0&lt;/R&gt;&lt;C&gt;0&lt;/C&gt;&lt;/FQL&gt;&lt;FQL&gt;&lt;Q&gt;Ticker0024^FE_ESTIMATE(PRODLINE_SALES_15,MEAN,QUARTERLY_ROLL,2015/2F,45813,,,'')&lt;/Q&gt;&lt;R&gt;0&lt;/R&gt;&lt;C&gt;0&lt;/C&gt;&lt;/FQL&gt;&lt;FQL&gt;&lt;Q&gt;Ticker0024^FE_ESTIMATE(PRODLINE_SALES_15,MEAN,QUARTERLY_ROLL,2015/1F,45813,,,'')&lt;/Q&gt;&lt;R&gt;0&lt;/R&gt;&lt;C&gt;0&lt;/C&gt;&lt;/FQL&gt;&lt;FQL&gt;&lt;Q&gt;Ticker0024^FE_ESTIMATE(SPEC_NO_CHANGE_2,MEAN,ANNUAL_ROLL,2030,45860,,,'')&lt;/Q&gt;&lt;R&gt;0&lt;/R&gt;&lt;C&gt;0&lt;/C&gt;&lt;/FQL&gt;&lt;FQL&gt;&lt;Q&gt;Ticker0024^FE_ESTIMATE(SPEC_NO_CHANGE_2,MEAN,QUARTERLY_ROLL,2030/4F,45860,,,'')&lt;/Q&gt;&lt;R&gt;0&lt;/R&gt;&lt;C&gt;0&lt;/C&gt;&lt;/FQL&gt;&lt;FQL&gt;&lt;Q&gt;Ticker0024^FE_ESTIMATE(SPEC_NO_CHANGE_2,MEAN,QUARTERLY_ROLL,2030/3F,45860,,,'')&lt;/Q&gt;&lt;R&gt;0&lt;/R&gt;&lt;C&gt;0&lt;/C&gt;&lt;/FQL&gt;&lt;FQL&gt;&lt;Q&gt;Ticker0024^FE_ESTIMATE(SPEC_NO_CHANGE_2,MEAN,QUARTERLY_ROLL,2030/2F,45860,,,'')&lt;/Q&gt;&lt;R&gt;0&lt;/R&gt;&lt;C&gt;0&lt;/C&gt;&lt;/FQL&gt;&lt;FQL&gt;&lt;Q&gt;Ticker0024^FE_ESTIMATE(SPEC_NO_CHANGE_2,MEAN,QUARTERLY_ROLL,2030/1F,45860,,,'')&lt;/Q&gt;&lt;R&gt;0&lt;/R&gt;&lt;C&gt;0&lt;/C&gt;&lt;/FQL&gt;&lt;FQL&gt;&lt;Q&gt;Ticker0024^FE_ESTIMATE(SPEC_NO_CHANGE_2,MEAN,ANNUAL_ROLL,2029,45860,,,'')&lt;/Q&gt;&lt;R&gt;0&lt;/R&gt;&lt;C&gt;0&lt;/C&gt;&lt;/FQL&gt;&lt;FQL&gt;&lt;Q&gt;Ticker0024^FE_ESTIMATE(SPEC_NO_CHANGE_2,MEAN,QUARTERLY_ROLL,2029/4F,45860,,,'')&lt;/Q&gt;&lt;R&gt;0&lt;/R&gt;&lt;C&gt;0&lt;/C&gt;&lt;/FQL&gt;&lt;FQL&gt;&lt;Q&gt;Ticker0024^FE_ESTIMATE(SPEC_NO_CHANGE_2,MEAN,QUARTERLY_ROLL,2029/3F,45860,,,'')&lt;/Q&gt;&lt;R&gt;0&lt;/R&gt;&lt;C&gt;0&lt;/C&gt;&lt;/FQL&gt;&lt;FQL&gt;&lt;Q&gt;Ticker0024^FE_ESTIMATE(SPEC_NO_CHANGE_2,MEAN,QUARTERLY_ROLL,2029/2F,45860,,,'')&lt;/Q&gt;&lt;R&gt;0&lt;/R&gt;&lt;C&gt;0&lt;/C&gt;&lt;/FQL&gt;&lt;FQL&gt;&lt;Q&gt;Ticker0024^FE_ESTIMATE(SPEC_NO_CHANGE_2,MEAN,QUARTERLY_ROLL,2029/1F,45860,,,'')&lt;/Q&gt;&lt;R&gt;0&lt;/R&gt;&lt;C&gt;0&lt;/C&gt;&lt;/FQL&gt;&lt;FQL&gt;&lt;Q&gt;Ticker0024^FE_ESTIMATE(SPEC_NO_CHANGE_2,MEAN,ANNUAL_ROLL,2028,45860,,,'')&lt;/Q&gt;&lt;R&gt;0&lt;/R&gt;&lt;C&gt;0&lt;/C&gt;&lt;/FQL&gt;&lt;FQL&gt;&lt;Q&gt;Ticker0024^FE_ESTIMATE(SPEC_NO_CHANGE_2,MEAN,QUARTERLY_ROLL,2028/4F,45860,,,'')&lt;/Q&gt;&lt;R&gt;0&lt;/R&gt;&lt;C&gt;0&lt;/C&gt;&lt;/FQL&gt;&lt;FQL&gt;&lt;Q&gt;Ticker0024^FE_ESTIMATE(SPEC_NO_CHANGE_2,MEAN,QUARTERLY_ROLL,2028/3F,45860,,,'')&lt;/Q&gt;&lt;R&gt;0&lt;/R&gt;&lt;C&gt;0&lt;/C&gt;&lt;/FQL&gt;&lt;FQL&gt;&lt;Q&gt;Ticker0024^FE_ESTIMATE(SPEC_NO_CHANGE_2,MEAN,QUARTERLY_ROLL,2028/2F,45860,,,'')&lt;/Q&gt;&lt;R&gt;0&lt;/R&gt;&lt;C&gt;0&lt;/C&gt;&lt;/FQL&gt;&lt;FQL&gt;&lt;Q&gt;Ticker0024^FE_ESTIMATE(SPEC_NO_CHANGE_2,MEAN,QUARTERLY_ROLL,2028/1F,45860,,,'')&lt;/Q&gt;&lt;R&gt;0&lt;/R&gt;&lt;C&gt;0&lt;/C&gt;&lt;/FQL&gt;&lt;FQL&gt;&lt;Q&gt;Ticker0024^FE_ESTIMATE(SPEC_NO_CHANGE_2,MEAN,ANNUAL_ROLL,2027,45860,,,'')&lt;/Q&gt;&lt;R&gt;1&lt;/R&gt;&lt;C&gt;1&lt;/C&gt;&lt;D xsi:type="xsd:double"&gt;31.366667&lt;/D&gt;&lt;/FQL&gt;&lt;FQL&gt;&lt;Q&gt;Ticker0024^FE_ESTIMATE(SPEC_NO_CHANGE_2,MEAN,QUARTERLY_ROLL,2027/4F,45860,,,'')&lt;/Q&gt;&lt;R&gt;0&lt;/R&gt;&lt;C&gt;0&lt;/C&gt;&lt;/FQL&gt;&lt;FQL&gt;&lt;Q&gt;Ticker0024^FE_ESTIMATE(SPEC_NO_CHANGE_2,MEAN,QUARTERLY_ROLL,2027/3F,45860,,,'')&lt;/Q&gt;&lt;R&gt;0&lt;/R&gt;&lt;C&gt;0&lt;/C&gt;&lt;/FQL&gt;&lt;FQL&gt;&lt;Q&gt;Ticker0024^FE_ESTIMATE(SPEC_NO_CHANGE_2,MEAN,QUARTERLY_ROLL,2027/2F,45860,,,'')&lt;/Q&gt;&lt;R&gt;0&lt;/R&gt;&lt;C&gt;0&lt;/C&gt;&lt;/FQL&gt;&lt;FQL&gt;&lt;Q&gt;Ticker0024^FE_ESTIMATE(SPEC_NO_CHANGE_2,MEAN,QUARTERLY_ROLL,2027/1F,45860,,,'')&lt;/Q&gt;&lt;R&gt;0&lt;/R&gt;&lt;C&gt;0&lt;/C&gt;&lt;/FQL&gt;&lt;FQL&gt;&lt;Q&gt;Ticker0024^FE_ESTIMATE(SPEC_NO_CHANGE_2,MEAN,ANNUAL_ROLL,2026,45860,,,'')&lt;/Q&gt;&lt;R&gt;1&lt;/R&gt;&lt;C&gt;1&lt;/C&gt;&lt;D xsi:type="xsd:double"&gt;33.125&lt;/D&gt;&lt;/FQL&gt;&lt;FQL&gt;&lt;Q&gt;Ticker0024^FE_ESTIMATE(SPEC_NO_CHANGE_2,MEAN,QUARTERLY_ROLL,2026/4F,45860,,,'')&lt;/Q&gt;&lt;R&gt;1&lt;/R&gt;&lt;C&gt;1&lt;/C&gt;&lt;D xsi:type="xsd:double"&gt;32&lt;/D&gt;&lt;/FQL&gt;&lt;FQL&gt;&lt;Q&gt;Ticker0024^FE_ESTIMATE(SPEC_NO_CHANGE_2,MEAN,QUARTERLY_ROLL,2026/3F,45860,,,'')&lt;/Q&gt;&lt;R&gt;1&lt;/R&gt;&lt;C&gt;1&lt;/C&gt;&lt;D xsi:type="xsd:double"&gt;32&lt;/D&gt;&lt;/FQL&gt;&lt;FQL&gt;&lt;Q&gt;Ticker0024^FE_ESTIMATE(SPEC_NO_CHANGE_2,MEAN,QUARTERLY_ROLL,2026/2F,45860,,,'')&lt;/Q&gt;&lt;R&gt;1&lt;/R&gt;&lt;C&gt;1&lt;/C&gt;&lt;D xsi:type="xsd:double"&gt;33.833332&lt;/D&gt;&lt;/FQL&gt;&lt;FQL&gt;&lt;Q&gt;Ticker0024^FE_ESTIMATE(SPEC_NO_CHANGE_2,MEAN,QUARTERLY_ROLL,2026/1F,45860,,,'')&lt;/Q&gt;&lt;R&gt;1&lt;/R&gt;&lt;C&gt;1&lt;/C&gt;&lt;D xsi:type="xsd:double"&gt;33.433334&lt;/D&gt;&lt;/FQL&gt;&lt;FQL&gt;&lt;Q&gt;Ticker0024^FE_ESTIMATE(SPEC_NO_CHANGE_2,MEAN,ANNUAL_ROLL,2025,45860,,,'')&lt;/Q&gt;&lt;R&gt;1&lt;/R&gt;&lt;C&gt;1&lt;/C&gt;&lt;D xsi:type="xsd:double"&gt;33.16&lt;/D&gt;&lt;/FQL&gt;&lt;FQL&gt;&lt;Q&gt;Ticker0024^FE_ESTIMATE(SPEC_NO_CHANGE_2,MEAN,QUARTERLY_ROLL,2025/4F,45860,,,'')&lt;/Q&gt;&lt;R&gt;1&lt;/R&gt;&lt;C&gt;1&lt;/C&gt;&lt;D xsi:type="xsd:double"&gt;34.28&lt;/D&gt;&lt;/FQL&gt;&lt;FQL&gt;&lt;Q&gt;Ticker0024^FE_ESTIMATE(SPEC_NO_CHANGE_2,MEAN,QUARTERLY_ROLL,2025/3F,45860,,,'')&lt;/Q&gt;&lt;R&gt;1&lt;/R&gt;&lt;C&gt;1&lt;/C&gt;&lt;D xsi:type="xsd:double"&gt;34&lt;/D&gt;&lt;/FQL&gt;&lt;FQL&gt;&lt;Q&gt;Ticker0024^FE_ESTIMATE(SPEC_NO_CHANGE_2,MEAN,QUARTERLY_ROLL,2025/2F,45860,,,'')&lt;/Q&gt;&lt;R&gt;1&lt;/R&gt;&lt;C&gt;1&lt;/C&gt;&lt;D xsi:type="xsd:double"&gt;31&lt;/D&gt;&lt;/FQL&gt;&lt;FQL&gt;&lt;Q&gt;Ticker0024^FE_ESTIMATE(SPEC_NO_CHANGE_2,MEAN,QUARTERLY_ROLL,2025/1F,45860,,,'')&lt;/Q&gt;&lt;R&gt;1&lt;/R&gt;&lt;C&gt;1&lt;/C&gt;&lt;D xsi:type="xsd:double"&gt;34&lt;/D&gt;&lt;/FQL&gt;&lt;FQL&gt;&lt;Q&gt;Ticker0024^FE_ESTIMATE(SPEC_NO_CHANGE_2,MEAN,ANNUAL_ROLL,2024,45860,,,'')&lt;/Q&gt;&lt;R&gt;1&lt;/R&gt;&lt;C&gt;1&lt;/C&gt;&lt;D xsi:type="xsd:double"&gt;29.14&lt;/D&gt;&lt;/FQL&gt;&lt;FQL&gt;&lt;Q&gt;Ticker0024^FE_ESTIMATE(SPEC_NO_CHANGE_2,MEAN,QUARTERLY_ROLL,2024/4F,45860,,,'')&lt;/Q&gt;&lt;R&gt;1&lt;/R&gt;&lt;C&gt;1&lt;/C&gt;&lt;D xsi:type="xsd:double"&gt;30&lt;/D&gt;&lt;/FQL&gt;&lt;FQL&gt;&lt;Q&gt;Ticker0024^FE_ESTIMATE(SPEC_NO_CHANGE_2,MEAN,QUARTERLY_ROLL,2024/3F,45860,,,'')&lt;/Q&gt;&lt;R&gt;1&lt;/R&gt;&lt;C&gt;1&lt;/C&gt;&lt;D xsi:type="xsd:double"&gt;31&lt;/D&gt;&lt;/FQL&gt;&lt;FQL&gt;&lt;Q&gt;Ticker0024^FE_ESTIMATE(SPEC_NO_CHANGE_2,MEAN,QUARTERLY_ROLL,2024/2F,45860,,,'')&lt;/Q&gt;&lt;R&gt;1&lt;/R&gt;&lt;C&gt;1&lt;/C&gt;&lt;D xsi:type="xsd:double"&gt;28&lt;/D&gt;&lt;/FQL&gt;&lt;FQL&gt;&lt;Q&gt;Ticker0024^FE_ESTIMATE(SPEC_NO_CHANGE_2,MEAN,QUARTERLY_ROLL,2024/1F,45860,,,'')&lt;/Q&gt;&lt;R&gt;1&lt;/R&gt;&lt;C&gt;1&lt;/C&gt;&lt;D xsi:type="xsd:double"&gt;28.1&lt;/D&gt;&lt;/FQL&gt;&lt;FQL&gt;&lt;Q&gt;Ticker0024^FE_ESTIMATE(SPEC_NO_CHANGE_2,MEAN,ANNUAL_ROLL,2023,45860,,,'')&lt;/Q&gt;&lt;R&gt;1&lt;/R&gt;&lt;C&gt;1&lt;/C&gt;&lt;D xsi:type="xsd:double"&gt;34&lt;/D&gt;&lt;/FQL&gt;&lt;FQL&gt;&lt;Q&gt;Ticker0024^FE_ESTIMATE(SPEC_NO_CHANGE_2,MEAN,QUARTERLY_ROLL,2023/4F,45860,,,'')&lt;/Q&gt;&lt;R&gt;1&lt;/R&gt;&lt;C&gt;1&lt;/C&gt;&lt;D xsi:type="xsd:double"&gt;27&lt;/D&gt;&lt;/FQL&gt;&lt;FQL&gt;&lt;Q&gt;Ticker0024^FE_ESTIMATE(SPEC_NO_CHANGE_2,MEAN,QUARTERLY_ROLL,2023/3F,45860,,,'')&lt;/Q&gt;&lt;R&gt;1&lt;/R&gt;&lt;C&gt;1&lt;/C&gt;&lt;D xsi:type="xsd:double"&gt;31&lt;/D&gt;&lt;/FQL&gt;&lt;FQL&gt;&lt;Q&gt;Ticker0024^FE_ESTIMATE(SPEC_NO_CHANGE_2,MEAN,QUARTERLY_ROLL,2023/2F,45860,,,'')&lt;/Q&gt;&lt;R&gt;1&lt;/R&gt;&lt;C&gt;1&lt;/C&gt;&lt;D xsi:type="xsd:double"&gt;38&lt;/D&gt;&lt;/FQL&gt;&lt;FQL&gt;&lt;Q&gt;Ticker0024^FE_ESTIMATE(SPEC_NO_CHANGE_2,MEAN,QUARTERLY_ROLL,2023/1F,45860,,,'')&lt;/Q&gt;&lt;R&gt;1&lt;/R&gt;&lt;C&gt;1&lt;/C&gt;&lt;D xsi:type="xsd:double"&gt;42&lt;/D&gt;&lt;/FQL&gt;&lt;FQL&gt;&lt;Q&gt;Ticker0024^FE_ESTIMATE(SPEC_NO_CHANGE_2,MEAN,ANNUAL_ROLL,2022,45860,,,'')&lt;/Q&gt;&lt;R&gt;1&lt;/R&gt;&lt;C&gt;1&lt;/C&gt;&lt;D xsi:type="xsd:double"&gt;47.05&lt;/D&gt;&lt;/FQL&gt;&lt;FQL&gt;&lt;Q&gt;Ticker0024^FE_ESTIMATE(SPEC_NO_CHANGE_2,MEAN,QUARTERLY_ROLL,2022/4F,45860,,,'')&lt;/Q&gt;&lt;R&gt;1&lt;/R&gt;&lt;C&gt;1&lt;/C&gt;&lt;D xsi:type="xsd:double"&gt;46&lt;/D&gt;&lt;/FQL&gt;&lt;FQL&gt;&lt;Q&gt;Ticker0024^FE_ESTIMATE(SPEC_NO_CHANGE_2,MEAN,QUARTERLY_ROLL,2022/3F,45860,,,'')&lt;/Q&gt;&lt;R&gt;0&lt;/R&gt;&lt;C&gt;0&lt;/C&gt;&lt;/FQL&gt;&lt;FQL&gt;&lt;Q&gt;Ticker0024^FE_ESTIMATE(SPEC_NO_CHANGE_2,MEAN,QUARTERLY_ROLL,2022/2F,45860,,,'')&lt;/Q&gt;&lt;R&gt;0&lt;/R&gt;&lt;C&gt;0&lt;/C&gt;&lt;/FQL&gt;&lt;FQL&gt;&lt;Q&gt;Ticker0024^FE_ESTIMATE(SPEC_NO_CHANGE_2,MEAN,QUARTERLY_ROLL,2022/1F,45860,,,'')&lt;/Q&gt;&lt;R&gt;0&lt;/R&gt;&lt;C&gt;0&lt;/C&gt;&lt;/FQL&gt;&lt;FQL&gt;&lt;Q&gt;Ticker0024^FE_ESTIMATE(SPEC_NO_CHANGE_2,MEAN,ANNUAL_ROLL,2021,45860,,,'')&lt;/Q&gt;&lt;R&gt;0&lt;/R&gt;&lt;C&gt;0&lt;/C&gt;&lt;/FQL&gt;&lt;FQL&gt;&lt;Q&gt;Ticker0024^FE_ESTIMATE(SPEC_NO_CHANGE_2,MEAN,QUARTERLY_ROLL,2021/4F,45860,,,'')&lt;/Q&gt;&lt;R&gt;0&lt;/R&gt;&lt;C&gt;0&lt;/C&gt;&lt;/FQL&gt;&lt;FQL&gt;&lt;Q&gt;Ticker0024^FE_ESTIMATE(SPEC_NO_CHANGE_2,MEAN,QUARTERLY_ROLL,2021/3F,45860,,,'')&lt;/Q&gt;&lt;R&gt;1&lt;/R&gt;&lt;C&gt;1&lt;/C&gt;&lt;D xsi:type="xsd:double"&gt;46&lt;/D&gt;&lt;/FQL&gt;&lt;FQL&gt;&lt;Q&gt;Ticker0024^FE_ESTIMATE(SPEC_NO_CHANGE_2,MEAN,QUARTERLY_ROLL,2021/2F,45860,,,'')&lt;/Q&gt;&lt;R&gt;0&lt;/R&gt;&lt;C&gt;0&lt;/C&gt;&lt;/FQL&gt;&lt;FQL&gt;&lt;Q&gt;Ticker0024^FE_ESTIMATE(SPEC_NO_CHANGE_2,MEAN,QUARTERLY_ROLL,2021/1F,45860,,,'')&lt;/Q&gt;&lt;R&gt;0&lt;/R&gt;&lt;C&gt;0&lt;/C&gt;&lt;/FQL&gt;&lt;FQL&gt;&lt;Q&gt;Ticker0024^FE_ESTIMATE(SPEC_NO_CHANGE_2,MEAN,ANNUAL_ROLL,2020,45860,,,'')&lt;/Q&gt;&lt;R&gt;0&lt;/R&gt;&lt;C&gt;0&lt;/C&gt;&lt;/FQL&gt;&lt;FQL&gt;&lt;Q&gt;Ticker0024^FE_ESTIMATE(SPEC_NO_CHANGE_2,MEAN,QUARTERLY_ROLL,2020/4F,45860,,,'')&lt;/Q&gt;&lt;R&gt;0&lt;/R&gt;&lt;C&gt;0&lt;/C&gt;&lt;/FQL&gt;&lt;FQL&gt;&lt;Q&gt;Ticker0024^FE_ESTIMATE(SPEC_NO_CHANGE_2,MEAN,QUARTERLY_ROLL,2020/3F,45860,,,'')&lt;/Q&gt;&lt;R&gt;0&lt;/R&gt;&lt;C&gt;0&lt;/C&gt;&lt;/FQL&gt;&lt;FQL&gt;&lt;Q&gt;Ticker0024^FE_ESTIMATE(SPEC_NO_CHANGE_2,MEAN,QUARTERLY_ROLL,2020/2F,45860,,,'')&lt;/Q&gt;&lt;R&gt;0&lt;/R&gt;&lt;C&gt;0&lt;/C&gt;&lt;/FQL&gt;&lt;FQL&gt;&lt;Q&gt;Ticker0024^FE_ESTIMATE(SPEC_NO_CHANGE_2,MEAN,QUARTERLY_ROLL,2020/1F,45860,,,'')&lt;/Q&gt;&lt;R&gt;0&lt;/R&gt;&lt;C&gt;0&lt;/C&gt;&lt;/FQL&gt;&lt;FQL&gt;&lt;Q&gt;Ticker0024^FE_ESTIMATE(SPEC_NO_CHANGE_2,MEAN,ANNUAL_ROLL,2019,45860,,,'')&lt;/Q&gt;&lt;R&gt;0&lt;/R&gt;&lt;C&gt;0&lt;/C&gt;&lt;/FQL&gt;&lt;FQL&gt;&lt;Q&gt;Ticker0024^FE_ESTIMATE(SPEC_NO_CHANGE_2,MEAN,QUARTERLY_ROLL,2019/4F,45860,,,'')&lt;/Q&gt;&lt;R&gt;0&lt;/R&gt;&lt;C&gt;0&lt;/C&gt;&lt;/FQL&gt;&lt;FQL&gt;&lt;Q&gt;Ticker0024^FE_ESTIMATE(SPEC_NO_CHANGE_2,MEAN,QUARTERLY_ROLL,2019/3F,45860,,,'')&lt;/Q&gt;&lt;R&gt;0&lt;/R&gt;&lt;C&gt;0&lt;/C&gt;&lt;/FQL&gt;&lt;FQL&gt;&lt;Q&gt;Ticker0024^FE_ESTIMATE(SPEC_NO_CHANGE_2,MEAN,QUARTERLY_ROLL,2019/2F,45860,,,'')&lt;/Q&gt;&lt;R&gt;0&lt;/R&gt;&lt;C&gt;0&lt;/C&gt;&lt;/FQL&gt;&lt;FQL&gt;&lt;Q&gt;Ticker0024^FE_ESTIMATE(SPEC_NO_CHANGE_2,MEAN,QUARTERLY_ROLL,2019/1F,45860,,,'')&lt;/Q&gt;&lt;R&gt;0&lt;/R&gt;&lt;C&gt;0&lt;/C&gt;&lt;/FQL&gt;&lt;FQL&gt;&lt;Q&gt;Ticker0024^FE_ESTIMATE(SPEC_NO_CHANGE_2,MEAN,ANNUAL_ROLL,2018,45860,,,'')&lt;/Q&gt;&lt;R&gt;0&lt;/R&gt;&lt;C&gt;0&lt;/C&gt;&lt;/FQL&gt;&lt;FQL&gt;&lt;Q&gt;Ticker0024^FE_ESTIMATE(SPEC_NO_CHANGE_2,MEAN,QUARTERLY_ROLL,2018/4F,45860,,,'')&lt;/Q&gt;&lt;R&gt;0&lt;/R&gt;&lt;C&gt;0&lt;/C&gt;&lt;/FQL&gt;&lt;FQL&gt;&lt;Q&gt;Ticker0024^FE_ESTIMATE(SPEC_NO_CHANGE_2,MEAN,QUARTERLY_ROLL,2018/3F,45860,,,'')&lt;/Q&gt;&lt;R&gt;0&lt;/R&gt;&lt;C&gt;0&lt;/C&gt;&lt;/FQL&gt;&lt;FQL&gt;&lt;Q&gt;Ticker0024^FE_ESTIMATE(SPEC_NO_CHANGE_2,MEAN,QUARTERLY_ROLL,2018/2F,45860,,,'')&lt;/Q&gt;&lt;R&gt;0&lt;/R&gt;&lt;C&gt;0&lt;/C&gt;&lt;/FQL&gt;&lt;FQL&gt;&lt;Q&gt;Ticker0024^FE_ESTIMATE(SPEC_NO_CHANGE_2,MEAN,QUARTERLY_ROLL,2018/1F,45860,,,'')&lt;/Q&gt;&lt;R&gt;0&lt;/R&gt;&lt;C&gt;0&lt;/C&gt;&lt;/FQL&gt;&lt;FQL&gt;&lt;Q&gt;Ticker0024^FE_ESTIMATE(SPEC_NO_CHANGE_2,MEAN,ANNUAL_ROLL,2017,45860,,,'')&lt;/Q&gt;&lt;R&gt;0&lt;/R&gt;&lt;C&gt;0&lt;/C&gt;&lt;/FQL&gt;&lt;FQL&gt;&lt;Q&gt;Ticker0024^FE_ESTIMATE(SPEC_NO_CHANGE_2,MEAN,QUARTERLY_ROLL,2017/4F,45860,,,'')&lt;/Q&gt;&lt;R&gt;0&lt;/R&gt;&lt;C&gt;0&lt;/C&gt;&lt;/FQL&gt;&lt;FQL&gt;&lt;Q&gt;Ticker0024^FE_ESTIMATE(SPEC_NO_CHANGE_2,MEAN,QUARTERLY_ROLL,2017/3F,45860,,,'')&lt;/Q&gt;&lt;R&gt;0&lt;/R&gt;&lt;C&gt;0&lt;/C&gt;&lt;/FQL&gt;&lt;FQL&gt;&lt;Q&gt;Ticker0024^FE_ESTIMATE(SPEC_NO_CHANGE_2,MEAN,QUARTERLY_ROLL,2017/2F,45860,,,'')&lt;/Q&gt;&lt;R&gt;0&lt;/R&gt;&lt;C&gt;0&lt;/C&gt;&lt;/FQL&gt;&lt;FQL&gt;&lt;Q&gt;Ticker0024^FE_ESTIMATE(SPEC_NO_CHANGE_2,MEAN,QUARTERLY_ROLL,2017/1F,45860,,,'')&lt;/Q&gt;&lt;R&gt;0&lt;/R&gt;&lt;C&gt;0&lt;/C&gt;&lt;/FQL&gt;&lt;FQL&gt;&lt;Q&gt;Ticker0024^FE_ESTIMATE(SPEC_NO_CHANGE_2,MEAN,ANNUAL_ROLL,2016,45860,,,'')&lt;/Q&gt;&lt;R&gt;0&lt;/R&gt;&lt;C&gt;0&lt;/C&gt;&lt;/FQL&gt;&lt;FQL&gt;&lt;Q&gt;Ticker0024^FE_ESTIMATE(SPEC_NO_CHANGE_2,MEAN,QUARTERLY_ROLL,2016/4F,45860,,,'')&lt;/Q&gt;&lt;R&gt;0&lt;/R&gt;&lt;C&gt;0&lt;/C&gt;&lt;/FQL&gt;&lt;FQL&gt;&lt;Q&gt;Ticker0024^FE_ESTIMATE(SPEC_NO_CHANGE_2,MEAN,QUARTERLY_ROLL,2016/3F,45860,,,'')&lt;/Q&gt;&lt;R&gt;0&lt;/R&gt;&lt;C&gt;0&lt;/C&gt;&lt;/FQL&gt;&lt;FQL&gt;&lt;Q&gt;Ticker0024^FE_ESTIMATE(SPEC_NO_CHANGE_2,MEAN,QUARTERLY_ROLL,2016/2F,45860,,,'')&lt;/Q&gt;&lt;R&gt;0&lt;/R&gt;&lt;C&gt;0&lt;/C&gt;&lt;/FQL&gt;&lt;FQL&gt;&lt;Q&gt;Ticker0024^FE_ESTIMATE(SPEC_NO_CHANGE_2,MEAN,QUARTERLY_ROLL,2016/1F,45860,,,'')&lt;/Q&gt;&lt;R&gt;0&lt;/R&gt;&lt;C&gt;0&lt;/C&gt;&lt;/FQL&gt;&lt;FQL&gt;&lt;Q&gt;Ticker0024^FE_ESTIMATE(SPEC_NO_CHANGE_2,MEAN,ANNUAL_ROLL,2015,45860,,,'')&lt;/Q&gt;&lt;R&gt;0&lt;/R&gt;&lt;C&gt;0&lt;/C&gt;&lt;/FQL&gt;&lt;FQL&gt;&lt;Q&gt;Ticker0024^FE_ESTIMATE(SPEC_NO_CHANGE_2,MEAN,QUARTERLY_ROLL,2015/4F,45860,,,'')&lt;/Q&gt;&lt;R&gt;0&lt;/R&gt;&lt;C&gt;0&lt;/C&gt;&lt;/FQL&gt;&lt;FQL&gt;&lt;Q&gt;Ticker0024^FE_ESTIMATE(SPEC_NO_CHANGE_2,MEAN,QUARTERLY_ROLL,2015/3F,45860,,,'')&lt;/Q&gt;&lt;R&gt;0&lt;/R&gt;&lt;C&gt;0&lt;/C&gt;&lt;/FQL&gt;&lt;FQL&gt;&lt;Q&gt;Ticker0024^FE_ESTIMATE(SPEC_NO_CHANGE_2,MEAN,QUARTERLY_ROLL,2015/2F,45860,,,'')&lt;/Q&gt;&lt;R&gt;0&lt;/R&gt;&lt;C&gt;0&lt;/C&gt;&lt;/FQL&gt;&lt;FQL&gt;&lt;Q&gt;Ticker0024^FE_ESTIMATE(SPEC_NO_CHANGE_2,MEAN,QUARTERLY_ROLL,2015/1F,45860,,,'')&lt;/Q&gt;&lt;R&gt;0&lt;/R&gt;&lt;C&gt;0&lt;/C&gt;&lt;/FQL&gt;&lt;FQL&gt;&lt;Q&gt;Ticker0024^FE_ESTIMATE(SPEC_NO_CHANGE_1,MEAN,ANNUAL_ROLL,2030,45860,,,'')&lt;/Q&gt;&lt;R&gt;0&lt;/R&gt;&lt;C&gt;0&lt;/C&gt;&lt;/FQL&gt;&lt;FQL&gt;&lt;Q&gt;Ticker0024^FE_ESTIMATE(SPEC_NO_CHANGE_1,MEAN,QUARTERLY_ROLL,2030/4F,45860,,,'')&lt;/Q&gt;&lt;R&gt;0&lt;/R&gt;&lt;C&gt;0&lt;/C&gt;&lt;/FQL&gt;&lt;FQL&gt;&lt;Q&gt;Ticker0024^FE_ESTIMATE(SPEC_NO_CHANGE_1,MEAN,QUARTERLY_ROLL,2030/3F,45860,,,'')&lt;/Q&gt;&lt;R&gt;0&lt;/R&gt;&lt;C&gt;0&lt;/C&gt;&lt;/FQL&gt;&lt;FQL&gt;&lt;Q&gt;Ticker0024^FE_ESTIMATE(SPEC_NO_CHANGE_1,MEAN,QUARTERLY_ROLL,2030/2F,45860,,,'')&lt;/Q&gt;&lt;R&gt;0&lt;/R&gt;&lt;C&gt;0&lt;/C&gt;&lt;/FQL&gt;&lt;FQL&gt;&lt;Q&gt;Ticker0024^FE_ESTIMATE(SPEC_NO_CHANGE_1,MEAN,QUARTERLY_ROLL,2030/1F,45860,,,'')&lt;/Q&gt;&lt;R&gt;0&lt;/R&gt;&lt;C&gt;0&lt;/C&gt;&lt;/FQL&gt;&lt;FQL&gt;&lt;Q&gt;Ticker0024^FE_ESTIMATE(SPEC_NO_CHANGE_1,MEAN,ANNUAL_ROLL,2029,45860,,,'')&lt;/Q&gt;&lt;R&gt;0&lt;/R&gt;&lt;C&gt;0&lt;/C&gt;&lt;/FQL&gt;&lt;FQL&gt;&lt;Q&gt;Ticker0024^FE_ESTIMATE(SPEC_NO_CHANGE_1,MEAN,QUARTERLY_ROLL,2029/4F,45860,,,'')&lt;/Q&gt;&lt;R&gt;0&lt;/R&gt;&lt;C&gt;0&lt;/C&gt;&lt;/FQL&gt;&lt;FQL&gt;&lt;Q&gt;Ticker0024^FE_ESTIMATE(SPEC_NO_CHANGE_1,MEAN,QUARTERLY_ROLL,2029/3F,45860,,,'')&lt;/Q&gt;&lt;R&gt;0&lt;/R&gt;&lt;C&gt;0&lt;/C&gt;&lt;/FQL&gt;&lt;FQL&gt;&lt;Q&gt;Ticker0024^FE_ESTIMATE(SPEC_NO_CHANGE_1,MEAN,QUARTERLY_ROLL,2029/2F,45860,,,'')&lt;/Q&gt;&lt;R&gt;0&lt;/R&gt;&lt;C&gt;0&lt;/C&gt;&lt;/FQL&gt;&lt;FQL&gt;&lt;Q&gt;Ticker0024^FE_ESTIMATE(SPEC_NO_CHANGE_1,MEAN,QUARTERLY_ROLL,2029/1F,45860,,,'')&lt;/Q&gt;&lt;R&gt;0&lt;/R&gt;&lt;C&gt;0&lt;/C&gt;&lt;/FQL&gt;&lt;FQL&gt;&lt;Q&gt;Ticker0024^FE_ESTIMATE(SPEC_NO_CHANGE_1,MEAN,ANNUAL_ROLL,2028,45860,,,'')&lt;/Q&gt;&lt;R&gt;0&lt;/R&gt;&lt;C&gt;0&lt;/C&gt;&lt;/FQL&gt;&lt;FQL&gt;&lt;Q&gt;Ticker0024^FE_ESTIMATE(SPEC_NO_CHANGE_1,MEAN,QUARTERLY_ROLL,2028/4F,45860,,,'')&lt;/Q&gt;&lt;R&gt;0&lt;/R&gt;&lt;C&gt;0&lt;/C&gt;&lt;/FQL&gt;&lt;FQL&gt;&lt;Q&gt;Ticker0024^FE_ESTIMATE(SPEC_NO_CHANGE_1,MEAN,QUARTERLY_ROLL,2028/3F,45860,,,'')&lt;/Q&gt;&lt;R&gt;0&lt;/R&gt;&lt;C&gt;0&lt;/C&gt;&lt;/FQL&gt;&lt;FQL&gt;&lt;Q&gt;Ticker0024^FE_ESTIMATE(SPEC_NO_CHANGE_1,MEAN,QUARTERLY_ROLL,2028/2F,45860,,,'')&lt;/Q&gt;&lt;R&gt;0&lt;/R&gt;&lt;C&gt;0&lt;/C&gt;&lt;/FQL&gt;&lt;FQL&gt;&lt;Q&gt;Ticker0024^FE_ESTIMATE(SPEC_NO_CHANGE_1,MEAN,QUARTERLY_ROLL,2028/1F,45860,,,'')&lt;/Q&gt;&lt;R&gt;0&lt;/R&gt;&lt;C&gt;0&lt;/C&gt;&lt;/FQL&gt;&lt;FQL&gt;&lt;Q&gt;Ticker0024^FE_ESTIMATE(SPEC_NO_CHANGE_1,MEAN,ANNUAL_ROLL,2027,45860,,,'')&lt;/Q&gt;&lt;R&gt;1&lt;/R&gt;&lt;C&gt;1&lt;/C&gt;&lt;D xsi:type="xsd:double"&gt;33&lt;/D&gt;&lt;/FQL&gt;&lt;FQL&gt;&lt;Q&gt;Ticker0024^FE_ESTIMATE(SPEC_NO_CHANGE_1,MEAN,QUARTERLY_ROLL,2027/4F,45860,,,'')&lt;/Q&gt;&lt;R&gt;0&lt;/R&gt;&lt;C&gt;0&lt;/C&gt;&lt;/FQL&gt;&lt;FQL&gt;&lt;Q&gt;Ticker0024^FE_ESTIMATE(SPEC_NO_CHANGE_1,MEAN,QUARTERLY_ROLL,2027/3F,45860,,,'')&lt;/Q&gt;&lt;R&gt;0&lt;/R&gt;&lt;C&gt;0&lt;/C&gt;&lt;/FQL&gt;&lt;FQL&gt;&lt;Q&gt;Ticker0024^FE_ESTIMATE(SPEC_NO_CHANGE_1,MEAN,QUARTERLY_ROLL,2027/2F,45860,,,'')&lt;/Q&gt;&lt;R&gt;0&lt;/R&gt;&lt;C&gt;0&lt;/C&gt;&lt;/FQL&gt;&lt;FQL&gt;&lt;Q&gt;Ticker0024^FE_ESTIMATE(SPEC_NO_CHANGE_1,MEAN,QUARTERLY_ROLL,2027/1F,45860,,,'')&lt;/Q&gt;&lt;R&gt;0&lt;/R&gt;&lt;C&gt;0&lt;/C&gt;&lt;/FQL&gt;&lt;FQL&gt;&lt;Q&gt;Ticker0024^FE_ESTIMATE(SPEC_NO_CHANGE_1,MEAN,ANNUAL_ROLL,2026,45860,,,'')&lt;/Q&gt;&lt;R&gt;1&lt;/R&gt;&lt;C&gt;1&lt;/C&gt;&lt;D xsi:type="xsd:double"&gt;32.5&lt;/D&gt;&lt;/FQL&gt;&lt;FQL&gt;&lt;Q&gt;Ticker0024^FE_ESTIMATE(SPEC_NO_CHANGE_1,MEAN,QUARTERLY_ROLL,2026/4F,45860,,,'')&lt;/Q&gt;&lt;R&gt;1&lt;/R&gt;&lt;C&gt;1&lt;/C&gt;&lt;D xsi:type="xsd:double"&gt;32&lt;/D&gt;&lt;/FQL&gt;&lt;FQL&gt;&lt;Q&gt;Ticker0024^FE_ESTIMATE(SPEC_NO_CHANGE_1,MEAN,QUARTERLY_ROLL,2026/3F,45860,,,'')</t>
        </r>
      </text>
    </comment>
    <comment ref="A63" authorId="0" shapeId="0" xr:uid="{1032C81D-9FF1-4E20-BAC0-DDA18B5E9C22}">
      <text>
        <r>
          <rPr>
            <b/>
            <sz val="9"/>
            <color indexed="81"/>
            <rFont val="Tahoma"/>
            <family val="2"/>
          </rPr>
          <t>Author:type="xsd:double"&gt;32&lt;/D&gt;&lt;/FQL&gt;&lt;FQL&gt;&lt;Q&gt;Ticker0024^FE_ESTIMATE(SPEC_NO_CHANGE_1,MEAN,QUARTERLY_ROLL,2026/2F,45860,,,'')&lt;/Q&gt;&lt;R&gt;1&lt;/R&gt;&lt;C&gt;1&lt;/C&gt;&lt;D xsi:type="xsd:double"&gt;33&lt;/D&gt;&lt;/FQL&gt;&lt;FQL&gt;&lt;Q&gt;Ticker0024^FE_ESTIMATE(SPEC_NO_CHANGE_1,MEAN,QUARTERLY_ROLL,2026/1F,45860,,,'')&lt;/Q&gt;&lt;R&gt;1&lt;/R&gt;&lt;C&gt;1&lt;/C&gt;&lt;D xsi:type="xsd:double"&gt;33&lt;/D&gt;&lt;/FQL&gt;&lt;FQL&gt;&lt;Q&gt;Ticker0024^FE_ESTIMATE(SPEC_NO_CHANGE_1,MEAN,ANNUAL_ROLL,2025,45860,,,'')&lt;/Q&gt;&lt;R&gt;1&lt;/R&gt;&lt;C&gt;1&lt;/C&gt;&lt;D xsi:type="xsd:double"&gt;32.833332&lt;/D&gt;&lt;/FQL&gt;&lt;FQL&gt;&lt;Q&gt;Ticker0024^FE_ESTIMATE(SPEC_NO_CHANGE_1,MEAN,QUARTERLY_ROLL,2025/4F,45860,,,'')&lt;/Q&gt;&lt;R&gt;1&lt;/R&gt;&lt;C&gt;1&lt;/C&gt;&lt;D xsi:type="xsd:double"&gt;34.6&lt;/D&gt;&lt;/FQL&gt;&lt;FQL&gt;&lt;Q&gt;Ticker0024^FE_ESTIMATE(SPEC_NO_CHANGE_1,MEAN,QUARTERLY_ROLL,2025/3F,45860,,,'')&lt;/Q&gt;&lt;R&gt;0&lt;/R&gt;&lt;C&gt;0&lt;/C&gt;&lt;/FQL&gt;&lt;FQL&gt;&lt;Q&gt;Ticker0024^FE_ESTIMATE(SPEC_NO_CHANGE_1,MEAN,QUARTERLY_ROLL,2025/2F,45860,,,'')&lt;/Q&gt;&lt;R&gt;1&lt;/R&gt;&lt;C&gt;1&lt;/C&gt;&lt;D xsi:type="xsd:double"&gt;31&lt;/D&gt;&lt;/FQL&gt;&lt;FQL&gt;&lt;Q&gt;Ticker0024^FE_ESTIMATE(SPEC_NO_CHANGE_1,MEAN,QUARTERLY_ROLL,2025/1F,45860,,,'')&lt;/Q&gt;&lt;R&gt;1&lt;/R&gt;&lt;C&gt;1&lt;/C&gt;&lt;D xsi:type="xsd:double"&gt;31.05&lt;/D&gt;&lt;/FQL&gt;&lt;FQL&gt;&lt;Q&gt;Ticker0024^FE_ESTIMATE(SPEC_NO_CHANGE_1,MEAN,ANNUAL_ROLL,2024,45860,,,'')&lt;/Q&gt;&lt;R&gt;1&lt;/R&gt;&lt;C&gt;1&lt;/C&gt;&lt;D xsi:type="xsd:double"&gt;29.966667&lt;/D&gt;&lt;/FQL&gt;&lt;FQL&gt;&lt;Q&gt;Ticker0024^FE_ESTIMATE(SPEC_NO_CHANGE_1,MEAN,QUARTERLY_ROLL,2024/4F,45860,,,'')&lt;/Q&gt;&lt;R&gt;1&lt;/R&gt;&lt;C&gt;1&lt;/C&gt;&lt;D xsi:type="xsd:double"&gt;28.933332&lt;/D&gt;&lt;/FQL&gt;&lt;FQL&gt;&lt;Q&gt;Ticker0024^FE_ESTIMATE(SPEC_NO_CHANGE_1,MEAN,QUARTERLY_ROLL,2024/3F,45860,,,'')&lt;/Q&gt;&lt;R&gt;1&lt;/R&gt;&lt;C&gt;1&lt;/C&gt;&lt;D xsi:type="xsd:double"&gt;31.02&lt;/D&gt;&lt;/FQL&gt;&lt;FQL&gt;&lt;Q&gt;Ticker0024^FE_ESTIMATE(SPEC_NO_CHANGE_1,MEAN,QUARTERLY_ROLL,2024/2F,45860,,,'')&lt;/Q&gt;&lt;R&gt;1&lt;/R&gt;&lt;C&gt;1&lt;/C&gt;&lt;D xsi:type="xsd:double"&gt;30.06&lt;/D&gt;&lt;/FQL&gt;&lt;FQL&gt;&lt;Q&gt;Ticker0024^FE_ESTIMATE(SPEC_NO_CHANGE_1,MEAN,QUARTERLY_ROLL,2024/1F,45860,,,'')&lt;/Q&gt;&lt;R&gt;1&lt;/R&gt;&lt;C&gt;1&lt;/C&gt;&lt;D xsi:type="xsd:double"&gt;29.066668&lt;/D&gt;&lt;/FQL&gt;&lt;FQL&gt;&lt;Q&gt;Ticker0024^FE_ESTIMATE(SPEC_NO_CHANGE_1,MEAN,ANNUAL_ROLL,2023,45860,,,'')&lt;/Q&gt;&lt;R&gt;1&lt;/R&gt;&lt;C&gt;1&lt;/C&gt;&lt;D xsi:type="xsd:double"&gt;29.166666&lt;/D&gt;&lt;/FQL&gt;&lt;FQL&gt;&lt;Q&gt;Ticker0024^FE_ESTIMATE(SPEC_NO_CHANGE_1,MEAN,QUARTERLY_ROLL,2023/4F,45860,,,'')&lt;/Q&gt;&lt;R&gt;1&lt;/R&gt;&lt;C&gt;1&lt;/C&gt;&lt;D xsi:type="xsd:double"&gt;25.916666&lt;/D&gt;&lt;/FQL&gt;&lt;FQL&gt;&lt;Q&gt;Ticker0024^FE_ESTIMATE(SPEC_NO_CHANGE_1,MEAN,QUARTERLY_ROLL,2023/3F,45860,,,'')&lt;/Q&gt;&lt;R&gt;1&lt;/R&gt;&lt;C&gt;1&lt;/C&gt;&lt;D xsi:type="xsd:double"&gt;27.766666&lt;/D&gt;&lt;/FQL&gt;&lt;FQL&gt;&lt;Q&gt;Ticker0024^FE_ESTIMATE(SPEC_NO_CHANGE_1,MEAN,QUARTERLY_ROLL,2023/2F,45860,,,'')&lt;/Q&gt;&lt;R&gt;1&lt;/R&gt;&lt;C&gt;1&lt;/C&gt;&lt;D xsi:type="xsd:double"&gt;31&lt;/D&gt;&lt;/FQL&gt;&lt;FQL&gt;&lt;Q&gt;Ticker0024^FE_ESTIMATE(SPEC_NO_CHANGE_1,MEAN,QUARTERLY_ROLL,2023/1F,45860,,,'')&lt;/Q&gt;&lt;R&gt;1&lt;/R&gt;&lt;C&gt;1&lt;/C&gt;&lt;D xsi:type="xsd:double"&gt;35&lt;/D&gt;&lt;/FQL&gt;&lt;FQL&gt;&lt;Q&gt;Ticker0024^FE_ESTIMATE(SPEC_NO_CHANGE_1,MEAN,ANNUAL_ROLL,2022,45860,,,'')&lt;/Q&gt;&lt;R&gt;1&lt;/R&gt;&lt;C&gt;1&lt;/C&gt;&lt;D xsi:type="xsd:double"&gt;45.05&lt;/D&gt;&lt;/FQL&gt;&lt;FQL&gt;&lt;Q&gt;Ticker0024^FE_ESTIMATE(SPEC_NO_CHANGE_1,MEAN,QUARTERLY_ROLL,2022/4F,45860,,,'')&lt;/Q&gt;&lt;R&gt;1&lt;/R&gt;&lt;C&gt;1&lt;/C&gt;&lt;D xsi:type="xsd:double"&gt;40&lt;/D&gt;&lt;/FQL&gt;&lt;FQL&gt;&lt;Q&gt;Ticker0024^FE_ESTIMATE(SPEC_NO_CHANGE_1,MEAN,QUARTERLY_ROLL,2022/3F,45860,,,'')&lt;/Q&gt;&lt;R&gt;1&lt;/R&gt;&lt;C&gt;1&lt;/C&gt;&lt;D xsi:type="xsd:double"&gt;46&lt;/D&gt;&lt;/FQL&gt;&lt;FQL&gt;&lt;Q&gt;Ticker0024^FE_ESTIMATE(SPEC_NO_CHANGE_1,MEAN,QUARTERLY_ROLL,2022/2F,45860,,,'')&lt;/Q&gt;&lt;R&gt;1&lt;/R&gt;&lt;C&gt;1&lt;/C&gt;&lt;D xsi:type="xsd:double"&gt;46&lt;/D&gt;&lt;/FQL&gt;&lt;FQL&gt;&lt;Q&gt;Ticker0024^FE_ESTIMATE(SPEC_NO_CHANGE_1,MEAN,QUARTERLY_ROLL,2022/1F,45860,,,'')&lt;/Q&gt;&lt;R&gt;1&lt;/R&gt;&lt;C&gt;1&lt;/C&gt;&lt;D xsi:type="xsd:double"&gt;50&lt;/D&gt;&lt;/FQL&gt;&lt;FQL&gt;&lt;Q&gt;Ticker0024^FE_ESTIMATE(SPEC_NO_CHANGE_1,MEAN,ANNUAL_ROLL,2021,45860,,,'')&lt;/Q&gt;&lt;R&gt;1&lt;/R&gt;&lt;C&gt;1&lt;/C&gt;&lt;D xsi:type="xsd:double"&gt;49.8&lt;/D&gt;&lt;/FQL&gt;&lt;FQL&gt;&lt;Q&gt;Ticker0024^FE_ESTIMATE(SPEC_NO_CHANGE_1,MEAN,QUARTERLY_ROLL,2021/4F,45860,,,'')&lt;/Q&gt;&lt;R&gt;1&lt;/R&gt;&lt;C&gt;1&lt;/C&gt;&lt;D xsi:type="xsd:double"&gt;51&lt;/D&gt;&lt;/FQL&gt;&lt;FQL&gt;&lt;Q&gt;Ticker0024^FE_ESTIMATE(SPEC_NO_CHANGE_1,MEAN,QUARTERLY_ROLL,2021/3F,45860,,,'')&lt;/Q&gt;&lt;R&gt;1&lt;/R&gt;&lt;C&gt;1&lt;/C&gt;&lt;D xsi:type="xsd:double"&gt;50&lt;/D&gt;&lt;/FQL&gt;&lt;FQL&gt;&lt;Q&gt;Ticker0024^FE_ESTIMATE(SPEC_NO_CHANGE_1,MEAN,QUARTERLY_ROLL,2021/2F,45860,,,'')&lt;/Q&gt;&lt;R&gt;1&lt;/R&gt;&lt;C&gt;1&lt;/C&gt;&lt;D xsi:type="xsd:double"&gt;50&lt;/D&gt;&lt;/FQL&gt;&lt;FQL&gt;&lt;Q&gt;Ticker0024^FE_ESTIMATE(SPEC_NO_CHANGE_1,MEAN,QUARTERLY_ROLL,2021/1F,45860,,,'')&lt;/Q&gt;&lt;R&gt;1&lt;/R&gt;&lt;C&gt;1&lt;/C&gt;&lt;D xsi:type="xsd:double"&gt;48&lt;/D&gt;&lt;/FQL&gt;&lt;FQL&gt;&lt;Q&gt;Ticker0024^FE_ESTIMATE(SPEC_NO_CHANGE_1,MEAN,ANNUAL_ROLL,2020,45860,,,'')&lt;/Q&gt;&lt;R&gt;0&lt;/R&gt;&lt;C&gt;0&lt;/C&gt;&lt;/FQL&gt;&lt;FQL&gt;&lt;Q&gt;Ticker0024^FE_ESTIMATE(SPEC_NO_CHANGE_1,MEAN,QUARTERLY_ROLL,2020/4F,45860,,,'')&lt;/Q&gt;&lt;R&gt;0&lt;/R&gt;&lt;C&gt;0&lt;/C&gt;&lt;/FQL&gt;&lt;FQL&gt;&lt;Q&gt;Ticker0024^FE_ESTIMATE(SPEC_NO_CHANGE_1,MEAN,QUARTERLY_ROLL,2020/3F,45860,,,'')&lt;/Q&gt;&lt;R&gt;0&lt;/R&gt;&lt;C&gt;0&lt;/C&gt;&lt;/FQL&gt;&lt;FQL&gt;&lt;Q&gt;Ticker0024^FE_ESTIMATE(SPEC_NO_CHANGE_1,MEAN,QUARTERLY_ROLL,2020/2F,45860,,,'')&lt;/Q&gt;&lt;R&gt;0&lt;/R&gt;&lt;C&gt;0&lt;/C&gt;&lt;/FQL&gt;&lt;FQL&gt;&lt;Q&gt;Ticker0024^FE_ESTIMATE(SPEC_NO_CHANGE_1,MEAN,QUARTERLY_ROLL,2020/1F,45860,,,'')&lt;/Q&gt;&lt;R&gt;0&lt;/R&gt;&lt;C&gt;0&lt;/C&gt;&lt;/FQL&gt;&lt;FQL&gt;&lt;Q&gt;Ticker0024^FE_ESTIMATE(SPEC_NO_CHANGE_1,MEAN,ANNUAL_ROLL,2019,45860,,,'')&lt;/Q&gt;&lt;R&gt;0&lt;/R&gt;&lt;C&gt;0&lt;/C&gt;&lt;/FQL&gt;&lt;FQL&gt;&lt;Q&gt;Ticker0024^FE_ESTIMATE(SPEC_NO_CHANGE_1,MEAN,QUARTERLY_ROLL,2019/4F,45860,,,'')&lt;/Q&gt;&lt;R&gt;0&lt;/R&gt;&lt;C&gt;0&lt;/C&gt;&lt;/FQL&gt;&lt;FQL&gt;&lt;Q&gt;Ticker0024^FE_ESTIMATE(SPEC_NO_CHANGE_1,MEAN,QUARTERLY_ROLL,2019/3F,45860,,,'')&lt;/Q&gt;&lt;R&gt;0&lt;/R&gt;&lt;C&gt;0&lt;/C&gt;&lt;/FQL&gt;&lt;FQL&gt;&lt;Q&gt;Ticker0024^FE_ESTIMATE(SPEC_NO_CHANGE_1,MEAN,QUARTERLY_ROLL,2019/2F,45860,,,'')&lt;/Q&gt;&lt;R&gt;0&lt;/R&gt;&lt;C&gt;0&lt;/C&gt;&lt;/FQL&gt;&lt;FQL&gt;&lt;Q&gt;Ticker0024^FE_ESTIMATE(SPEC_NO_CHANGE_1,MEAN,QUARTERLY_ROLL,2019/1F,45860,,,'')&lt;/Q&gt;&lt;R&gt;0&lt;/R&gt;&lt;C&gt;0&lt;/C&gt;&lt;/FQL&gt;&lt;FQL&gt;&lt;Q&gt;Ticker0024^FE_ESTIMATE(SPEC_NO_CHANGE_1,MEAN,ANNUAL_ROLL,2018,45860,,,'')&lt;/Q&gt;&lt;R&gt;0&lt;/R&gt;&lt;C&gt;0&lt;/C&gt;&lt;/FQL&gt;&lt;FQL&gt;&lt;Q&gt;Ticker0024^FE_ESTIMATE(SPEC_NO_CHANGE_1,MEAN,QUARTERLY_ROLL,2018/4F,45860,,,'')&lt;/Q&gt;&lt;R&gt;0&lt;/R&gt;&lt;C&gt;0&lt;/C&gt;&lt;/FQL&gt;&lt;FQL&gt;&lt;Q&gt;Ticker0024^FE_ESTIMATE(SPEC_NO_CHANGE_1,MEAN,QUARTERLY_ROLL,2018/3F,45860,,,'')&lt;/Q&gt;&lt;R&gt;0&lt;/R&gt;&lt;C&gt;0&lt;/C&gt;&lt;/FQL&gt;&lt;FQL&gt;&lt;Q&gt;Ticker0024^FE_ESTIMATE(SPEC_NO_CHANGE_1,MEAN,QUARTERLY_ROLL,2018/2F,45860,,,'')&lt;/Q&gt;&lt;R&gt;0&lt;/R&gt;&lt;C&gt;0&lt;/C&gt;&lt;/FQL&gt;&lt;FQL&gt;&lt;Q&gt;Ticker0024^FE_ESTIMATE(SPEC_NO_CHANGE_1,MEAN,QUARTERLY_ROLL,2018/1F,45860,,,'')&lt;/Q&gt;&lt;R&gt;0&lt;/R&gt;&lt;C&gt;0&lt;/C&gt;&lt;/FQL&gt;&lt;FQL&gt;&lt;Q&gt;Ticker0024^FE_ESTIMATE(SPEC_NO_CHANGE_1,MEAN,ANNUAL_ROLL,2017,45860,,,'')&lt;/Q&gt;&lt;R&gt;0&lt;/R&gt;&lt;C&gt;0&lt;/C&gt;&lt;/FQL&gt;&lt;FQL&gt;&lt;Q&gt;Ticker0024^FE_ESTIMATE(SPEC_NO_CHANGE_1,MEAN,QUARTERLY_ROLL,2017/4F,45860,,,'')&lt;/Q&gt;&lt;R&gt;0&lt;/R&gt;&lt;C&gt;0&lt;/C&gt;&lt;/FQL&gt;&lt;FQL&gt;&lt;Q&gt;Ticker0024^FE_ESTIMATE(SPEC_NO_CHANGE_1,MEAN,QUARTERLY_ROLL,2017/3F,45860,,,'')&lt;/Q&gt;&lt;R&gt;0&lt;/R&gt;&lt;C&gt;0&lt;/C&gt;&lt;/FQL&gt;&lt;FQL&gt;&lt;Q&gt;Ticker0024^FE_ESTIMATE(SPEC_NO_CHANGE_1,MEAN,QUARTERLY_ROLL,2017/2F,45860,,,'')&lt;/Q&gt;&lt;R&gt;0&lt;/R&gt;&lt;C&gt;0&lt;/C&gt;&lt;/FQL&gt;&lt;FQL&gt;&lt;Q&gt;Ticker0024^FE_ESTIMATE(SPEC_NO_CHANGE_1,MEAN,QUARTERLY_ROLL,2017/1F,45860,,,'')&lt;/Q&gt;&lt;R&gt;0&lt;/R&gt;&lt;C&gt;0&lt;/C&gt;&lt;/FQL&gt;&lt;FQL&gt;&lt;Q&gt;Ticker0024^FE_ESTIMATE(SPEC_NO_CHANGE_1,MEAN,ANNUAL_ROLL,2016,45860,,,'')&lt;/Q&gt;&lt;R&gt;0&lt;/R&gt;&lt;C&gt;0&lt;/C&gt;&lt;/FQL&gt;&lt;FQL&gt;&lt;Q&gt;Ticker0024^FE_ESTIMATE(SPEC_NO_CHANGE_1,MEAN,QUARTERLY_ROLL,2016/4F,45860,,,'')&lt;/Q&gt;&lt;R&gt;0&lt;/R&gt;&lt;C&gt;0&lt;/C&gt;&lt;/FQL&gt;&lt;FQL&gt;&lt;Q&gt;Ticker0024^FE_ESTIMATE(SPEC_NO_CHANGE_1,MEAN,QUARTERLY_ROLL,2016/3F,45860,,,'')&lt;/Q&gt;&lt;R&gt;0&lt;/R&gt;&lt;C&gt;0&lt;/C&gt;&lt;/FQL&gt;&lt;FQL&gt;&lt;Q&gt;Ticker0024^FE_ESTIMATE(SPEC_NO_CHANGE_1,MEAN,QUARTERLY_ROLL,2016/2F,45860,,,'')&lt;/Q&gt;&lt;R&gt;0&lt;/R&gt;&lt;C&gt;0&lt;/C&gt;&lt;/FQL&gt;&lt;FQL&gt;&lt;Q&gt;Ticker0024^FE_ESTIMATE(SPEC_NO_CHANGE_1,MEAN,QUARTERLY_ROLL,2016/1F,45860,,,'')&lt;/Q&gt;&lt;R&gt;0&lt;/R&gt;&lt;C&gt;0&lt;/C&gt;&lt;/FQL&gt;&lt;FQL&gt;&lt;Q&gt;Ticker0024^FE_ESTIMATE(SPEC_NO_CHANGE_1,MEAN,ANNUAL_ROLL,2015,45860,,,'')&lt;/Q&gt;&lt;R&gt;0&lt;/R&gt;&lt;C&gt;0&lt;/C&gt;&lt;/FQL&gt;&lt;FQL&gt;&lt;Q&gt;Ticker0024^FE_ESTIMATE(SPEC_NO_CHANGE_1,MEAN,QUARTERLY_ROLL,2015/4F,45860,,,'')&lt;/Q&gt;&lt;R&gt;0&lt;/R&gt;&lt;C&gt;0&lt;/C&gt;&lt;/FQL&gt;&lt;FQL&gt;&lt;Q&gt;Ticker0024^FE_ESTIMATE(SPEC_NO_CHANGE_1,MEAN,QUARTERLY_ROLL,2015/3F,45860,,,'')&lt;/Q&gt;&lt;R&gt;0&lt;/R&gt;&lt;C&gt;0&lt;/C&gt;&lt;/FQL&gt;&lt;FQL&gt;&lt;Q&gt;Ticker0024^FE_ESTIMATE(SPEC_NO_CHANGE_1,MEAN,QUARTERLY_ROLL,2015/2F,45860,,,'')&lt;/Q&gt;&lt;R&gt;0&lt;/R&gt;&lt;C&gt;0&lt;/C&gt;&lt;/FQL&gt;&lt;FQL&gt;&lt;Q&gt;Ticker0024^FE_ESTIMATE(SPEC_NO_CHANGE_1,MEAN,QUARTERLY_ROLL,2015/1F,45860,,,'')&lt;/Q&gt;&lt;R&gt;0&lt;/R&gt;&lt;C&gt;0&lt;/C&gt;&lt;/FQL&gt;&lt;FQL&gt;&lt;Q&gt;Ticker0024^FE_ESTIMATE(NEW_ORDERS_VALUE,MEAN,ANNUAL_ROLL,2030,45860,,,'')&lt;/Q&gt;&lt;R&gt;0&lt;/R&gt;&lt;C&gt;0&lt;/C&gt;&lt;/FQL&gt;&lt;FQL&gt;&lt;Q&gt;Ticker0024^FE_ESTIMATE(NEW_ORDERS_VALUE,MEAN,QUARTERLY_ROLL,2030/4F,45860,,,'')&lt;/Q&gt;&lt;R&gt;0&lt;/R&gt;&lt;C&gt;0&lt;/C&gt;&lt;/FQL&gt;&lt;FQL&gt;&lt;Q&gt;Ticker0024^FE_ESTIMATE(NEW_ORDERS_VALUE,MEAN,QUARTERLY_ROLL,2030/3F,45860,,,'')&lt;/Q&gt;&lt;R&gt;0&lt;/R&gt;&lt;C&gt;0&lt;/C&gt;&lt;/FQL&gt;&lt;FQL&gt;&lt;Q&gt;Ticker0024^FE_ESTIMATE(NEW_ORDERS_VALUE,MEAN,QUARTERLY_ROLL,2030/2F,45860,,,'')&lt;/Q&gt;&lt;R&gt;0&lt;/R&gt;&lt;C&gt;0&lt;/C&gt;&lt;/FQL&gt;&lt;FQL&gt;&lt;Q&gt;Ticker0024^FE_ESTIMATE(NEW_ORDERS_VALUE,MEAN,QUARTERLY_ROLL,2030/1F,45860,,,'')&lt;/Q&gt;&lt;R&gt;0&lt;/R&gt;&lt;C&gt;0&lt;/C&gt;&lt;/FQL&gt;&lt;FQL&gt;&lt;Q&gt;Ticker0024^FE_ESTIMATE(NEW_ORDERS_VALUE,MEAN,ANNUAL_ROLL,2029,45860,,,'')&lt;/Q&gt;&lt;R&gt;0&lt;/R&gt;&lt;C&gt;0&lt;/C&gt;&lt;/FQL&gt;&lt;FQL&gt;&lt;Q&gt;Ticker0024^FE_ESTIMATE(NEW_ORDERS_VALUE,MEAN,QUARTERLY_ROLL,2029/4F,45860,,,'')&lt;/Q&gt;&lt;R&gt;0&lt;/R&gt;&lt;C&gt;0&lt;/C&gt;&lt;/FQL&gt;&lt;FQL&gt;&lt;Q&gt;Ticker0024^FE_ESTIMATE(NEW_ORDERS_VALUE,MEAN,QUARTERLY_ROLL,2029/3F,45860,,,'')&lt;/Q&gt;&lt;R&gt;0&lt;/R&gt;&lt;C&gt;0&lt;/C&gt;&lt;/FQL&gt;&lt;FQL&gt;&lt;Q&gt;Ticker0024^FE_ESTIMATE(NEW_ORDERS_VALUE,MEAN,QUARTERLY_ROLL,2029/2F,45860,,,'')&lt;/Q&gt;&lt;R&gt;0&lt;/R&gt;&lt;C&gt;0&lt;/C&gt;&lt;/FQL&gt;&lt;FQL&gt;&lt;Q&gt;Ticker0024^FE_ESTIMATE(NEW_ORDERS_VALUE,MEAN,QUARTERLY_ROLL,2029/1F,45860,,,'')&lt;/Q&gt;&lt;R&gt;0&lt;/R&gt;&lt;C&gt;0&lt;/C&gt;&lt;/FQL&gt;&lt;FQL&gt;&lt;Q&gt;Ticker0024^FE_ESTIMATE(NEW_ORDERS_VALUE,MEAN,ANNUAL_ROLL,2028,45860,,,'')&lt;/Q&gt;&lt;R&gt;0&lt;/R&gt;&lt;C&gt;0&lt;/C&gt;&lt;/FQL&gt;&lt;FQL&gt;&lt;Q&gt;Ticker0024^FE_ESTIMATE(NEW_ORDERS_VALUE,MEAN,QUARTERLY_ROLL,2028/4F,45860,,,'')&lt;/Q&gt;&lt;R&gt;0&lt;/R&gt;&lt;C&gt;0&lt;/C&gt;&lt;/FQL&gt;&lt;FQL&gt;&lt;Q&gt;Ticker0024^FE_ESTIMATE(NEW_ORDERS_VALUE,MEAN,QUARTERLY_ROLL,2028/3F,45860,,,'')&lt;/Q&gt;&lt;R&gt;0&lt;/R&gt;&lt;C&gt;0&lt;/C&gt;&lt;/FQL&gt;&lt;FQL&gt;&lt;Q&gt;Ticker0024^FE_ESTIMATE(NEW_ORDERS_VALUE,MEAN,QUARTERLY_ROLL,2028/2F,45860,,,'')&lt;/Q&gt;&lt;R&gt;0&lt;/R&gt;&lt;C&gt;0&lt;/C&gt;&lt;/FQL&gt;&lt;FQL&gt;&lt;Q&gt;Ticker0024^FE_ESTIMATE(NEW_ORDERS_VALUE,MEAN,QUARTERLY_ROLL,2028/1F,45860,,,'')&lt;/Q&gt;&lt;R&gt;0&lt;/R&gt;&lt;C&gt;0&lt;/C&gt;&lt;/FQL&gt;&lt;FQL&gt;&lt;Q&gt;Ticker0024^FE_ESTIMATE(NEW_ORDERS_VALUE,MEAN,ANNUAL_ROLL,2027,45860,,,'')&lt;/Q&gt;&lt;R&gt;0&lt;/R&gt;&lt;C&gt;0&lt;/C&gt;&lt;/FQL&gt;&lt;FQL&gt;&lt;Q&gt;Ticker0024^FE_ESTIMATE(NEW_ORDERS_VALUE,MEAN,QUARTERLY_ROLL,2027/4F,45860,,,'')&lt;/Q&gt;&lt;R&gt;0&lt;/R&gt;&lt;C&gt;0&lt;/C&gt;&lt;/FQL&gt;&lt;FQL&gt;&lt;Q&gt;Ticker0024^FE_ESTIMATE(NEW_ORDERS_VALUE,MEAN,QUARTERLY_ROLL,2027/3F,45860,,,'')&lt;/Q&gt;&lt;R&gt;0&lt;/R&gt;&lt;C&gt;0&lt;/C&gt;&lt;/FQL&gt;&lt;FQL&gt;&lt;Q&gt;Ticker0024^FE_ESTIMATE(NEW_ORDERS_VALUE,MEAN,QUARTERLY_ROLL,2027/2F,45860,,,'')&lt;/Q&gt;&lt;R&gt;0&lt;/R&gt;&lt;C&gt;0&lt;/C&gt;&lt;/FQL&gt;&lt;FQL&gt;&lt;Q&gt;Ticker0024^FE_ESTIMATE(NEW_ORDERS_VALUE,MEAN,QUARTERLY_ROLL,2027/1F,45860,,,'')&lt;/Q&gt;&lt;R&gt;0&lt;/R&gt;&lt;C&gt;0&lt;/C&gt;&lt;/FQL&gt;&lt;FQL&gt;&lt;Q&gt;Ticker0024^FE_ESTIMATE(NEW_ORDERS_VALUE,MEAN,ANNUAL_ROLL,2026,45860,,,'')&lt;/Q&gt;&lt;R&gt;1&lt;/R&gt;&lt;C&gt;1&lt;/C&gt;&lt;D xsi:type="xsd:double"&gt;319817&lt;/D&gt;&lt;/FQL&gt;&lt;FQL&gt;&lt;Q&gt;Ticker0024^FE_ESTIMATE(NEW_ORDERS_VALUE,MEAN,QUARTERLY_ROLL,2026/4F,45860,,,'')&lt;/Q&gt;&lt;R&gt;0&lt;/R&gt;&lt;C&gt;0&lt;/C&gt;&lt;/FQL&gt;&lt;FQL&gt;&lt;Q&gt;Ticker0024^FE_ESTIMATE(NEW_ORDERS_VALUE,MEAN,QUARTERLY_ROLL,2026/3F,45860,,,'')&lt;/Q&gt;&lt;R&gt;0&lt;/R&gt;&lt;C&gt;0&lt;/C&gt;&lt;/FQL&gt;&lt;FQL&gt;&lt;Q&gt;Ticker0024^FE_ESTIMATE(NEW_ORDERS_VALUE,MEAN,QUARTERLY_ROLL,2026/2F,45860,,,'')&lt;/Q&gt;&lt;R&gt;0&lt;/R&gt;&lt;C&gt;0&lt;/C&gt;&lt;/FQL&gt;&lt;FQL&gt;&lt;Q&gt;Ticker0024^FE_ESTIMATE(NEW_ORDERS_VALUE,MEAN,QUARTERLY_ROLL,2026/1F,45860,,,'')&lt;/Q&gt;&lt;R&gt;0&lt;/R&gt;&lt;C&gt;0&lt;/C&gt;&lt;/FQL&gt;&lt;FQL&gt;&lt;Q&gt;Ticker0024^FE_ESTIMATE(NEW_ORDERS_VALUE,MEAN,ANNUAL_ROLL,2025,45860,,,'')&lt;/Q&gt;&lt;R&gt;1&lt;/R&gt;&lt;C&gt;1&lt;/C&gt;&lt;D xsi:type="xsd:double"&gt;287592&lt;/D&gt;&lt;/FQL&gt;&lt;FQL&gt;&lt;Q&gt;Ticker0024^FE_ESTIMATE(NEW_ORDERS_VALUE,MEAN,QUARTERLY_ROLL,2025/4F,45860,,,'')&lt;/Q&gt;&lt;R&gt;1&lt;/R&gt;&lt;C&gt;1&lt;/C&gt;&lt;D xsi:type="xsd:double"&gt;95017&lt;/D&gt;&lt;/FQL&gt;&lt;FQL&gt;&lt;Q&gt;Ticker0024^FE_ESTIMATE(NEW_ORDERS_VALUE,MEAN,QUARTERLY_ROLL,2025/3F,45860,,,'')&lt;/Q&gt;&lt;R&gt;1&lt;/R&gt;&lt;C&gt;1&lt;/C&gt;&lt;D xsi:type="xsd:double"&gt;69497&lt;/D&gt;&lt;/FQL&gt;&lt;FQL&gt;&lt;Q&gt;Ticker0024^FE_ESTIMATE(NEW_ORDERS_VALUE,MEAN,QUARTERLY_ROLL,2025/2F,45860,,,'')&lt;/Q&gt;&lt;R&gt;1&lt;/R&gt;&lt;C&gt;1&lt;/C&gt;&lt;D xsi:type="xsd:double"&gt;61988&lt;/D&gt;&lt;/FQL&gt;&lt;FQL&gt;&lt;Q&gt;Ticker0024^FE_ESTIMATE(NEW_ORDERS_VALUE,MEAN,QUARTERLY_ROLL,2025/1F,45860,,,'')&lt;/Q&gt;&lt;R&gt;0&lt;/R&gt;&lt;C&gt;0&lt;/C&gt;&lt;/FQL&gt;&lt;FQL&gt;&lt;Q&gt;Ticker0024^FE_ESTIMATE(NEW_ORDERS_VALUE,MEAN,ANNUAL_ROLL,2024,45860,,,'')&lt;/Q&gt;&lt;R&gt;0&lt;/R&gt;&lt;C&gt;0&lt;/C&gt;&lt;/FQL&gt;&lt;FQL&gt;&lt;Q&gt;Ticker0024^FE_ESTIMATE(NEW_ORDERS_VALUE,MEAN,QUARTERLY_ROLL,2024/4F,45860,,,'')&lt;/Q&gt;&lt;R&gt;0&lt;/R&gt;&lt;C&gt;0&lt;/C&gt;&lt;/FQL&gt;&lt;FQL&gt;&lt;Q&gt;Ticker0024^FE_ESTIMATE(NEW_ORDERS_VALUE,MEAN,QUARTERLY_ROLL,2024/3F,45860,,,'')&lt;/Q&gt;&lt;R&gt;0&lt;/R&gt;&lt;C&gt;0&lt;/C&gt;&lt;/FQL&gt;&lt;FQL&gt;&lt;Q&gt;Ticker0024^FE_ESTIMATE(NEW_ORDERS_VALUE,MEAN,QUARTERLY_ROLL,2024/2F,45860,,,'')&lt;/Q&gt;&lt;R&gt;0&lt;/R&gt;&lt;C&gt;0&lt;/C&gt;&lt;/FQL&gt;&lt;FQL&gt;&lt;Q&gt;Ticker0024^FE_ESTIMATE(NEW_ORDERS_VALUE,MEAN,QUARTERLY_ROLL,2024/1F,45860,,,'')&lt;/Q&gt;&lt;R&gt;0&lt;/R&gt;&lt;C&gt;0&lt;/C&gt;&lt;/FQL&gt;&lt;FQL&gt;&lt;Q&gt;Ticker0024^FE_ESTIMATE(NEW_ORDERS_VALUE,MEAN,ANNUAL_ROLL,2023,45860,,,'')&lt;/Q&gt;&lt;R&gt;1&lt;/R&gt;&lt;C&gt;1&lt;/C&gt;&lt;D xsi:type="xsd:double"&gt;217320&lt;/D&gt;&lt;/FQL&gt;&lt;FQL&gt;&lt;Q&gt;Ticker0024^FE_ESTIMATE(NEW_ORDERS_VALUE,MEAN,QUARTERLY_ROLL,2023/4F,45860,,,'')&lt;/Q&gt;&lt;R&gt;1&lt;/R&gt;&lt;C&gt;1&lt;/C&gt;&lt;D xsi:type="xsd:double"&gt;70401&lt;/D&gt;&lt;/FQL&gt;&lt;FQL&gt;&lt;Q&gt;Ticker0024^FE_ESTIMATE(NEW_ORDERS_VALUE,MEAN,QUARTERLY_ROLL,2023/3F,45860,,,'')&lt;/Q&gt;&lt;R&gt;1&lt;/R&gt;&lt;C&gt;1&lt;/C&gt;&lt;D xsi:type="xsd:double"&gt;52832&lt;/D&gt;&lt;/FQL&gt;&lt;FQL&gt;&lt;Q&gt;Ticker0024^FE_ESTIMATE(NEW_ORDERS_VALUE,MEAN,QUARTERLY_ROLL,2023/2F,45860,,,'')&lt;/Q&gt;&lt;R&gt;1&lt;/R&gt;&lt;C&gt;1&lt;/C&gt;&lt;D xsi:type="xsd:double"&gt;48484&lt;/D&gt;&lt;/FQL&gt;&lt;FQL&gt;&lt;Q&gt;Ticker0024^FE_ESTIMATE(NEW_ORDERS_VALUE,MEAN,QUARTERLY_ROLL,2023/1F,45860,,,'')&lt;/Q&gt;&lt;R&gt;1&lt;/R&gt;&lt;C&gt;1&lt;/C&gt;&lt;D xsi:type="xsd:double"&gt;45603&lt;/D&gt;&lt;/FQL&gt;&lt;FQL&gt;&lt;Q&gt;Ticker0024^FE_ESTIMATE(NEW_ORDERS_VALUE,MEAN,ANNUAL_ROLL,2022,45860,,,'')&lt;/Q&gt;&lt;R&gt;1&lt;/R&gt;&lt;C&gt;1&lt;/C&gt;&lt;D xsi:type="xsd:double"&gt;202537&lt;/D&gt;&lt;/FQL&gt;&lt;FQL&gt;&lt;Q&gt;Ticker0024^FE_ESTIMATE(NEW_ORDERS_VALUE,MEAN,QUARTERLY_ROLL,2022/4F,45860,,,'')&lt;/Q&gt;&lt;R&gt;1&lt;/R&gt;&lt;C&gt;1&lt;/C&gt;&lt;D xsi:type="xsd:double"&gt;63477&lt;/D&gt;&lt;/FQL&gt;&lt;FQL&gt;&lt;Q&gt;Ticker0024^FE_ESTIMATE(NEW_ORDERS_VALUE,MEAN,QUARTERLY_ROLL,2022/3F,45860,,,'')&lt;/Q&gt;&lt;R&gt;1&lt;/R&gt;&lt;C&gt;1&lt;/C&gt;&lt;D xsi:type="xsd:double"&gt;49387&lt;/D&gt;&lt;/FQL&gt;&lt;FQL&gt;&lt;Q&gt;Ticker0024^FE_ESTIMATE(NEW_ORDERS_VALUE,MEAN,QUARTERLY_ROLL,2022/2F,45860,,,'')&lt;/Q&gt;&lt;R&gt;1&lt;/R&gt;&lt;C&gt;1&lt;/C&gt;&lt;D xsi:type="xsd:double"&gt;47482&lt;/D&gt;&lt;/FQL&gt;&lt;FQL&gt;&lt;Q&gt;Ticker0024^FE_ESTIMATE(NEW_ORDERS_VALUE,MEAN,QUARTERLY_ROLL,2022/1F,45860,,,'')&lt;/Q&gt;&lt;R&gt;1&lt;/R&gt;&lt;C&gt;1&lt;/C&gt;&lt;D xsi:type="xsd:double"&gt;42191&lt;/D&gt;&lt;/FQL&gt;&lt;FQL&gt;&lt;Q&gt;Ticker0024^FE_ESTIMATE(NEW_ORDERS_VALUE,MEAN,ANNUAL_ROLL,2021,45860,,,'')&lt;/Q&gt;&lt;R&gt;1&lt;/R&gt;&lt;C&gt;1&lt;/C&gt;&lt;D xsi:type="xsd:double"&gt;173049&lt;/D&gt;&lt;/FQL&gt;&lt;FQL&gt;&lt;Q&gt;Ticker0024^FE_ESTIMATE(NEW_ORDERS_VALUE,MEAN,QUARTERLY_ROLL,2021/4F,45860,,,'')&lt;/Q&gt;&lt;R&gt;1&lt;/R&gt;&lt;C&gt;1&lt;/C&gt;&lt;D xsi:type="xsd:double"&gt;57579&lt;/D&gt;&lt;/FQL&gt;&lt;FQL&gt;&lt;Q&gt;Ticker0024^FE_ESTIMATE(NEW_ORDERS_VALUE,MEAN,QUARTERLY_ROLL,2021/3F,45860,,,'')&lt;/Q&gt;&lt;R&gt;1&lt;/R&gt;&lt;C&gt;1&lt;/C&gt;&lt;D xsi:type="xsd:double"&gt;40710.5&lt;/D&gt;&lt;/FQL&gt;&lt;FQL&gt;&lt;Q&gt;Ticker0024^FE_ESTIMATE(NEW_ORDERS_VALUE,MEAN,QUARTERLY_ROLL,2021/2F,45860,,,'')&lt;/Q&gt;&lt;R&gt;1&lt;/R&gt;&lt;C&gt;1&lt;/C&gt;&lt;D xsi:type="xsd:double"&gt;40158&lt;/D&gt;&lt;/FQL&gt;&lt;FQL&gt;&lt;Q&gt;Ticker0024^FE_ESTIMATE(NEW_ORDERS_VALUE,MEAN,QUARTERLY_ROLL,2021/1F,45860,,,'')&lt;/Q&gt;&lt;R&gt;1&lt;/R&gt;&lt;C&gt;1&lt;/C&gt;&lt;D xsi:type="xsd:double"&gt;34160.5&lt;/D&gt;&lt;/FQL&gt;&lt;FQL&gt;&lt;Q&gt;Ticker0024^FE_ESTIMATE(NEW_ORDERS_VALUE,MEAN,ANNUAL_ROLL,2020,45860,,,'')&lt;/Q&gt;&lt;R&gt;0&lt;/R&gt;&lt;C&gt;0&lt;/C&gt;&lt;/FQL&gt;&lt;FQL&gt;&lt;Q&gt;Ticker0024^FE_ESTIMATE(NEW_ORDERS_VALUE,MEAN,QUARTERLY_ROLL,2020/4F,45860,,,'')&lt;/Q&gt;&lt;R&gt;0&lt;/R&gt;&lt;C&gt;0&lt;/C&gt;&lt;/FQL&gt;&lt;FQL&gt;&lt;Q&gt;Ticker0024^FE_ESTIMATE(NEW_ORDERS_VALUE,MEAN,QUARTERLY_ROLL,2020/3F,45860,,,'')&lt;/Q&gt;&lt;R&gt;0&lt;/R&gt;&lt;C&gt;0&lt;/C&gt;&lt;/FQL&gt;&lt;FQL&gt;&lt;Q&gt;Ticker0024^FE_ESTIMATE(NEW_ORDERS_VALUE,MEAN,QUARTERLY_ROLL,2020/2F,45860,,,'')&lt;/Q&gt;&lt;R&gt;1&lt;/R&gt;&lt;C&gt;1&lt;/C&gt;&lt;D xsi:type="xsd:double"&gt;34101&lt;/D&gt;&lt;/FQL&gt;&lt;FQL&gt;&lt;Q&gt;Ticker0024^FE_ESTIMATE(NEW_ORDERS_VALUE,MEAN,QUARTERLY_ROLL,2020/1F,45860,,,'')&lt;/Q&gt;&lt;R&gt;1&lt;/R&gt;&lt;C&gt;1&lt;/C&gt;&lt;D xsi:type="xsd:double"&gt;29875&lt;/D&gt;&lt;/FQL&gt;&lt;FQL&gt;&lt;Q&gt;Ticker0024^FE_ESTIMATE(NEW_ORDERS_VALUE,MEAN,ANNUAL_ROLL,2019,45860,,,'')&lt;/Q&gt;&lt;R&gt;1&lt;/R&gt;&lt;C&gt;1&lt;/C&gt;&lt;D xsi:type="xsd:double"&gt;130329&lt;/D&gt;&lt;/FQL&gt;&lt;FQL&gt;&lt;Q&gt;Ticker0024^FE_ESTIMATE(NEW_ORDERS_VALUE,MEAN,QUARTERLY_ROLL,2019/4F,45860,,,'')&lt;/Q&gt;&lt;R&gt;1&lt;/R&gt;&lt;C&gt;1&lt;/C&gt;&lt;D xsi:type="xsd:double"&gt;42788&lt;/D&gt;&lt;/FQL&gt;&lt;FQL&gt;&lt;Q&gt;Ticker0024^FE_ESTIMATE(NEW_ORDERS_VALUE,MEAN,QUARTERLY_ROLL,2019/3F,45860,,,'')&lt;/Q&gt;&lt;R&gt;1&lt;/R&gt;&lt;C&gt;1&lt;/C&gt;&lt;D xsi:type="xsd:double"&gt;30622&lt;/D&gt;&lt;/FQL&gt;&lt;FQL&gt;&lt;Q&gt;Ticker0024^FE_ESTIMATE(NEW_ORDERS_VALUE,MEAN,QUARTERLY_ROLL,2019/2F,45860,,,'')&lt;/Q&gt;&lt;R&gt;1&lt;/R&gt;&lt;C&gt;1&lt;/C&gt;&lt;D xsi:type="xsd:double"&gt;30313&lt;/D&gt;&lt;/FQL&gt;&lt;FQL&gt;&lt;Q&gt;Ticker0024^FE_ESTIMATE(NEW_ORDERS_VALUE,MEAN,QUARTERLY_ROLL,2019/1F,45860,,,'')&lt;/Q&gt;&lt;R&gt;1&lt;/R&gt;&lt;C&gt;1&lt;/C&gt;&lt;D xsi:type="xsd:double"&gt;26606&lt;/D&gt;&lt;/FQL&gt;&lt;FQL&gt;&lt;Q&gt;Ticker0024^FE_ESTIMATE(NEW_ORDERS_VALUE,MEAN,ANNUAL_ROLL,2018,45860,,,'')&lt;/Q&gt;&lt;R&gt;1&lt;/R&gt;&lt;C&gt;1&lt;/C&gt;&lt;D xsi:type="xsd:double"&gt;116424&lt;/D&gt;&lt;/FQL&gt;&lt;FQL&gt;&lt;Q&gt;Ticker0024^FE_ESTIMATE(NEW_ORDERS_VALUE,MEAN,QUARTERLY_ROLL,2018/4F,45860,,,'')&lt;/Q&gt;&lt;R&gt;1&lt;/R&gt;&lt;C&gt;1&lt;/C&gt;&lt;D xsi:type="xsd:double"&gt;38850&lt;/D&gt;&lt;/FQL&gt;&lt;FQL&gt;&lt;Q&gt;Ticker0024^FE_ESTIMATE(NEW_ORDERS_VALUE,MEAN,QUARTERLY_ROLL,2018/3F,45860,,,'')&lt;/Q&gt;&lt;R&gt;1&lt;/R&gt;&lt;C&gt;1&lt;/C&gt;&lt;D xsi:type="xsd:double"&gt;26965&lt;/D&gt;&lt;/FQL&gt;&lt;FQL&gt;&lt;Q&gt;Ticker0024^FE_ESTIMATE(NEW_ORDERS_VALUE,MEAN,QUARTERLY_ROLL,2018/2F,45860,,,'')&lt;/Q&gt;&lt;R&gt;1&lt;/R&gt;&lt;C&gt;1&lt;/C&gt;&lt;D xsi:type="xsd:double"&gt;27823&lt;/D&gt;&lt;/FQL&gt;&lt;FQL&gt;&lt;Q&gt;Ticker0024^FE_ESTIMATE(NEW_ORDERS_VALUE,MEAN,QUARTERLY_ROLL,2018/1F,45860,,,'')&lt;/Q&gt;&lt;R&gt;1&lt;/R&gt;&lt;C&gt;1&lt;/C&gt;&lt;D xsi:type="xsd:double"&gt;22786&lt;/D&gt;&lt;/FQL&gt;&lt;FQL&gt;&lt;Q&gt;Ticker0024^FE_ESTIMATE(NEW_ORDERS_VALUE,MEAN,ANNUAL_ROLL,2017,45860,,,'')&lt;/Q&gt;&lt;R&gt;1&lt;/R&gt;&lt;C&gt;1&lt;/C&gt;&lt;D xsi:type="xsd:double"&gt;99926&lt;/D&gt;&lt;/FQL&gt;&lt;FQL&gt;&lt;Q&gt;Ticker0024^FE_ESTIMATE(NEW_ORDERS_VALUE,MEAN,QUARTERLY_ROLL,2017/4F,45860,,,'')&lt;/Q&gt;&lt;R&gt;1&lt;/R&gt;&lt;C&gt;1&lt;/C&gt;&lt;D xsi:type="xsd:double"&gt;32063.5&lt;/D&gt;&lt;/FQL&gt;&lt;FQL&gt;&lt;Q&gt;Ticker0024^FE_ESTIMATE(NEW_ORDERS_VALUE,MEAN,QUARTERLY_ROLL,2017/3F,45860,,,'')&lt;/Q&gt;&lt;R&gt;1&lt;/R&gt;&lt;C&gt;1&lt;/C&gt;&lt;D xsi:type="xsd:double"&gt;23144&lt;/D&gt;&lt;/FQL&gt;&lt;FQL&gt;&lt;Q&gt;Ticker0024^FE_ESTIMATE(NEW_ORDERS_VALUE,MEAN,QUARTERLY_ROLL,2017/2F,45860,,,'')&lt;/Q&gt;&lt;R&gt;1&lt;/R&gt;&lt;C&gt;1&lt;/C&gt;&lt;D xsi:type="xsd:double"&gt;26300.666&lt;/D&gt;&lt;/FQL&gt;&lt;FQL&gt;&lt;Q&gt;Ticker0024^FE_ESTIMATE(NEW_ORDERS_VALUE,MEAN,QUARTERLY_ROLL,2017/1F,45860,,,'')&lt;/Q&gt;&lt;R&gt;1&lt;/R&gt;&lt;C&gt;1&lt;/C&gt;&lt;D xsi:type="xsd:double"&gt;21072.5&lt;/D&gt;&lt;/FQL&gt;&lt;FQL&gt;&lt;Q&gt;Ticker0024^FE_ESTIMATE(NEW_ORDERS_VALUE,MEAN,ANNUAL_ROLL,2016,45860,,,'')&lt;/Q&gt;&lt;R&gt;1&lt;/R&gt;&lt;C&gt;1&lt;/C&gt;&lt;D xsi:type="xsd:double"&gt;94769&lt;/D&gt;&lt;/FQL&gt;&lt;FQL&gt;&lt;Q&gt;Ticker0024^FE_ESTIMATE(NEW_ORDERS_VALUE,MEAN,QUARTERLY_ROLL,2016/4F,45860,,,'')&lt;/Q&gt;&lt;R&gt;1&lt;/R&gt;&lt;C&gt;1&lt;/C&gt;&lt;D xsi:type="xsd:double"&gt;29640.5&lt;/D&gt;&lt;/FQL&gt;&lt;FQL&gt;&lt;Q&gt;Ticker0024^FE_ESTIMATE(NEW_ORDERS_VALUE,MEAN,QUARTERLY_ROLL,2016/3F,45860,,,'')&lt;/Q&gt;&lt;R&gt;1&lt;/R&gt;&lt;C&gt;1&lt;/C&gt;&lt;D xsi:type="xsd:double"&gt;22938&lt;/D&gt;&lt;/FQL&gt;&lt;FQL&gt;&lt;Q&gt;Ticker0024^FE_ESTIMATE(NEW_ORDERS_VALUE,MEAN,QUARTERLY_ROLL,2016/2F,45860,,,'')&lt;/Q&gt;&lt;R&gt;0&lt;/R&gt;&lt;C&gt;0&lt;/C&gt;&lt;/FQL&gt;&lt;FQL&gt;&lt;Q&gt;Ticker0024^FE_ESTIMATE(NEW_ORDERS_VALUE,MEAN,QUARTERLY_ROLL,2016/1F,45860,,,'')&lt;/Q&gt;&lt;R&gt;0&lt;/R&gt;&lt;C&gt;0&lt;/C&gt;&lt;/FQL&gt;&lt;FQL&gt;&lt;Q&gt;Ticker0024^FE_ESTIMATE(NEW_ORDERS_VALUE,MEAN,ANNUAL_ROLL,2015,45860,,,'')&lt;/Q&gt;&lt;R&gt;0&lt;/R&gt;&lt;C&gt;0&lt;/C&gt;&lt;/FQL&gt;&lt;FQL&gt;&lt;Q&gt;Ticker0024^FE_ESTIMATE(NEW_ORDERS_VALUE,MEAN,QUARTERLY_ROLL,2015/4F,45860,,,'')&lt;/Q&gt;&lt;R&gt;0&lt;/R&gt;&lt;C&gt;0&lt;/C&gt;&lt;/FQL&gt;&lt;FQL&gt;&lt;Q&gt;Ticker0024^FE_ESTIMATE(NEW_ORDERS_VALUE,MEAN,QUARTERLY_ROLL,2015/3F,45860,,,'')&lt;/Q&gt;&lt;R&gt;0&lt;/R&gt;&lt;C&gt;0&lt;/C&gt;&lt;/FQL&gt;&lt;FQL&gt;&lt;Q&gt;Ticker0024^FE_ESTIMATE(NEW_ORDERS_VALUE,MEAN,QUARTERLY_ROLL,2015/2F,45860,,,'')&lt;/Q&gt;&lt;R&gt;0&lt;/R&gt;&lt;C&gt;0&lt;/C&gt;&lt;/FQL&gt;&lt;FQL&gt;&lt;Q&gt;Ticker0024^FE_ESTIMATE(NEW_ORDERS_VALUE,MEAN,QUARTERLY_ROLL,2015/1F,45860,,,'')&lt;/Q&gt;&lt;R&gt;0&lt;/R&gt;&lt;C&gt;0&lt;/C&gt;&lt;/FQL&gt;&lt;FQL&gt;&lt;Q&gt;Ticker0024^FE_ESTIMATE(DEFREVENUE,MEAN,ANNUAL_ROLL,2030,45860,,,'')&lt;/Q&gt;&lt;R&gt;0&lt;/R&gt;&lt;C&gt;0&lt;/C&gt;&lt;/FQL&gt;&lt;FQL&gt;&lt;Q&gt;Ticker0024^FE_ESTIMATE(DEFREVENUE,MEAN,QUARTERLY_ROLL,2030/4F,45860,,,'')&lt;/Q&gt;&lt;R&gt;0&lt;/R&gt;&lt;C&gt;0&lt;/C&gt;&lt;/FQL&gt;&lt;FQL&gt;&lt;Q&gt;Ticker0024^FE_ESTIMATE(DEFREVENUE,MEAN,QUARTERLY_ROLL,2030/3F,45860,,,'')&lt;/Q&gt;&lt;R&gt;0&lt;/R&gt;&lt;C&gt;0&lt;/C&gt;&lt;/FQL&gt;&lt;FQL&gt;&lt;Q&gt;Ticker0024^FE_ESTIMATE(DEFREVENUE,MEAN,QUARTERLY_ROLL,2030/2F,45860,,,'')&lt;/Q&gt;&lt;R&gt;0&lt;/R&gt;&lt;C&gt;0&lt;/C&gt;&lt;/FQL&gt;&lt;FQL&gt;&lt;Q&gt;Ticker0024^FE_ESTIMATE(DEFREVENUE,MEAN,QUARTERLY_ROLL,2030/1F,45860,,,'')&lt;/Q&gt;&lt;R&gt;0&lt;/R&gt;&lt;C&gt;0&lt;/C&gt;&lt;/FQL&gt;&lt;FQL&gt;&lt;Q&gt;Ticker0024^FE_ESTIMATE(DEFREVENUE,MEAN,ANNUAL_ROLL,2029,45860,,,'')&lt;/Q&gt;&lt;R&gt;0&lt;/R&gt;&lt;C&gt;0&lt;/C&gt;&lt;/FQL&gt;&lt;FQL&gt;&lt;Q&gt;Ticker0024^FE_ESTIMATE(DEFREVENUE,MEAN,QUARTERLY_ROLL,2029/4F,45860,,,'')&lt;/Q&gt;&lt;R&gt;0&lt;/R&gt;&lt;C&gt;0&lt;/C&gt;&lt;/FQL&gt;&lt;FQL&gt;&lt;Q&gt;Ticker0024^FE_ESTIMATE(DEFREVENUE,MEAN,QUARTERLY_ROLL,2029/3F,45860,,,'')&lt;/Q&gt;&lt;R&gt;0&lt;/R&gt;&lt;C&gt;0&lt;/C&gt;&lt;/FQL&gt;&lt;FQL&gt;&lt;Q&gt;Ticker0024^FE_ESTIMATE(DEFREVENUE,MEAN,QUARTERLY_ROLL,2029/2F,45860,,,'')&lt;/Q&gt;&lt;R&gt;0&lt;/R&gt;&lt;C&gt;0&lt;/C&gt;&lt;/FQL&gt;&lt;FQL&gt;&lt;Q&gt;Ticker0024^FE_ESTIMATE(DEFREVENUE,MEAN,QUARTERLY_ROLL,2029/1F,45860,,,'')&lt;/Q&gt;&lt;R&gt;0&lt;/R&gt;&lt;C&gt;0&lt;/C&gt;&lt;/FQL&gt;&lt;FQL&gt;&lt;Q&gt;Ticker0024^FE_ESTIMATE(DEFREVENUE,MEAN,ANNUAL_ROLL,2028,45860,,,'')&lt;/Q&gt;&lt;R&gt;0&lt;/R&gt;&lt;C&gt;0&lt;/C&gt;&lt;/FQL&gt;&lt;FQL&gt;&lt;Q&gt;Ticker0024^FE_ESTIMATE(DEFREVENUE,MEAN,QUARTERLY_ROLL,2028/4F,45860,,,'')&lt;/Q&gt;&lt;R&gt;0&lt;/R&gt;&lt;C&gt;0&lt;/C&gt;&lt;/FQL&gt;&lt;FQL&gt;&lt;Q&gt;Ticker0024^FE_ESTIMATE(DEFREVENUE,MEAN,QUARTERLY_ROLL,2028/3F,45860,,,'')&lt;/Q&gt;&lt;R&gt;0&lt;/R&gt;&lt;C&gt;0&lt;/C&gt;&lt;/FQL&gt;&lt;FQL&gt;&lt;Q&gt;Ticker0024^FE_ESTIMATE(DEFREVENUE,MEAN,QUARTERLY_ROLL,2028/2F,45860,,,'')&lt;/Q&gt;&lt;R&gt;0&lt;/R&gt;&lt;C&gt;0&lt;/C&gt;&lt;/FQL&gt;&lt;FQL&gt;&lt;Q&gt;Ticker0024^FE_ESTIMATE(DEFREVENUE,MEAN,QUARTERLY_ROLL,2028/1F,45860,,,'')&lt;/Q&gt;&lt;R&gt;0&lt;/R&gt;&lt;C&gt;0&lt;/C&gt;&lt;/FQL&gt;&lt;FQL&gt;&lt;Q&gt;Ticker0024^FE_ESTIMATE(DEFREVENUE,MEAN,ANNUAL_ROLL,2027,45860,,,'')&lt;/Q&gt;&lt;R&gt;1&lt;/R&gt;&lt;C&gt;1&lt;/C&gt;&lt;D xsi:type="xsd:double"&gt;66609.3&lt;/D&gt;&lt;/FQL&gt;&lt;FQL&gt;&lt;Q&gt;Ticker0024^FE_ESTIMATE(DEFREVENUE,MEAN,QUARTERLY_ROLL,2027/4F,45860,,,'')&lt;/Q&gt;&lt;R&gt;1&lt;/R&gt;&lt;C&gt;1&lt;/C&gt;&lt;D xsi:type="xsd:double"&gt;81381&lt;/D&gt;&lt;/FQL&gt;&lt;FQL&gt;&lt;Q&gt;Ticker0024^FE_ESTIMATE(DEFREVENUE,MEAN,QUARTERLY_ROLL,2027/3F,45860,,,'')&lt;/Q&gt;&lt;R&gt;1&lt;/R&gt;&lt;C&gt;1&lt;/C&gt;&lt;D xsi:type="xsd:double"&gt;60404&lt;/D&gt;&lt;/FQL&gt;&lt;FQL&gt;&lt;Q&gt;Ticker0024^FE_ESTIMATE(DEFREVENUE,MEAN,QUARTERLY_ROLL,2027/2F,45860,,,'')&lt;/Q&gt;&lt;R&gt;1&lt;/R&gt;&lt;C&gt;1&lt;/C&gt;&lt;D xsi:type="xsd:double"&gt;61575.5&lt;/D&gt;&lt;/FQL&gt;&lt;FQL&gt;&lt;Q&gt;Ticker0024^FE_ESTIMATE(DEFREVENUE,MEAN,QUARTERLY_ROLL,2027/1F,45860,,,'')&lt;/Q&gt;&lt;R&gt;1&lt;/R&gt;&lt;C&gt;1&lt;/C&gt;&lt;D xsi:type="xsd:double"&gt;68192.5&lt;/D&gt;&lt;/FQL&gt;&lt;FQL&gt;&lt;Q&gt;Ticker0024^FE_ESTIMATE(DEFREVENUE,MEAN,ANNUAL_ROLL,2026,45860,,,'')&lt;/Q&gt;&lt;R&gt;1&lt;/R&gt;&lt;C&gt;1&lt;/C&gt;&lt;D xsi:type="xsd:double"&gt;68426.5&lt;/D&gt;&lt;/FQL&gt;&lt;FQL&gt;&lt;Q&gt;Ticker0024^FE_ESTIMATE(DEFREVENUE,MEAN,QUARTERLY_ROLL,2026/4F,45860,,,'')&lt;/Q&gt;&lt;R&gt;1&lt;/R&gt;&lt;C&gt;1&lt;/C&gt;&lt;D xsi:type="xsd:double"&gt;71119.25&lt;/D&gt;&lt;/FQL&gt;&lt;FQL&gt;&lt;Q&gt;Ticker0024^FE_ESTIMATE(DEFREVENUE,MEAN,QUARTERLY_ROLL,2026/3F,45860,,,'')&lt;/Q&gt;&lt;R&gt;1&lt;/R&gt;&lt;C&gt;1&lt;/C&gt;&lt;D xsi:type="xsd:double"&gt;52546.5&lt;/D&gt;&lt;/FQL&gt;&lt;FQL&gt;&lt;Q&gt;Ticker0024^FE_ESTIMATE(DEFREVENUE,MEAN,QUARTERLY_ROLL,2026/2F,45860,,,'')&lt;/Q&gt;&lt;R&gt;1&lt;/R&gt;&lt;C&gt;1&lt;/C&gt;&lt;D xsi:type="xsd:double"&gt;53443.25&lt;/D&gt;&lt;/FQL&gt;&lt;FQL&gt;&lt;Q&gt;Ticker0024^FE_ESTIMATE(DEFREVENUE,MEAN,QUARTERLY_ROLL,2026/1F,45860,,,'')&lt;/Q&gt;&lt;R&gt;1&lt;/R&gt;&lt;C&gt;1&lt;/C&gt;&lt;D xsi:type="xsd:double"&gt;59902&lt;/D&gt;&lt;/FQL&gt;&lt;FQL&gt;&lt;Q&gt;Ticker0024^FE_ESTIMATE(DEFREVENUE,MEAN,ANNUAL_ROLL,2025,45860,,,'')&lt;/Q&gt;&lt;R&gt;1&lt;/R&gt;&lt;C&gt;1&lt;/C&gt;&lt;D xsi:type="xsd:double"&gt;64225.465&lt;/D&gt;&lt;/FQL&gt;&lt;FQL&gt;&lt;Q&gt;Ticker0024^FE_ESTIMATE(DEFREVENUE,MEAN,QUARTERLY_ROLL,2025/4F,45860,,,'')&lt;/Q&gt;&lt;R&gt;1&lt;/R&gt;&lt;C&gt;1&lt;/C&gt;&lt;D xsi:type="xsd:double"&gt;63671.027&lt;/D&gt;&lt;/FQL&gt;&lt;FQL&gt;&lt;Q&gt;Ticker0024^FE_ESTIMATE(DEFREVENUE,MEAN,QUARTERLY_ROLL,2025/3F,45860,,,'')&lt;/Q&gt;&lt;R&gt;1&lt;/R&gt;&lt;C&gt;1&lt;/C&gt;&lt;D xsi:type="xsd:double"&gt;47476.57&lt;/D&gt;&lt;/FQL&gt;&lt;FQL&gt;&lt;Q&gt;Ticker0024^FE_ESTIMATE(DEFREVENUE,MEAN,QUARTERLY_ROLL,2025/2F,45860,,,'')&lt;/Q&gt;&lt;R&gt;1&lt;/R&gt;&lt;C&gt;1&lt;/C&gt;&lt;D xsi:type="xsd:double"&gt;48045.715&lt;/D&gt;&lt;/FQL&gt;&lt;FQL&gt;&lt;Q&gt;Ticker0024^FE_ESTIMATE(DEFREVENUE,MEAN,QUARTERLY_ROLL,2025/1F,45860,,,'')&lt;/Q&gt;&lt;R&gt;1&lt;/R&gt;&lt;C&gt;1&lt;/C&gt;&lt;D xsi:type="xsd:double"&gt;55689.125&lt;/D&gt;&lt;/FQL&gt;&lt;FQL&gt;&lt;Q&gt;Ticker0024^FE_ESTIMATE(DEFREVENUE,MEAN,ANNUAL_ROLL,2024,45860,,,'')&lt;/Q&gt;&lt;R&gt;1&lt;/R&gt;&lt;C&gt;1&lt;/C&gt;&lt;D xsi:type="xsd:double"&gt;60183.6&lt;/D&gt;&lt;/FQL&gt;&lt;FQL&gt;&lt;Q&gt;Ticker0024^FE_ESTIMATE(DEFREVENUE,MEAN,QUARTERLY_ROLL,2024/4F,45860,,,'')&lt;/Q&gt;&lt;R&gt;1&lt;/R&gt;&lt;C&gt;1&lt;/C&gt;&lt;D xsi:type="xsd:double"&gt;60183.555&lt;/D&gt;&lt;/FQL&gt;&lt;FQL&gt;&lt;Q&gt;Ticker0024^FE_ESTIMATE(DEFREVENUE,MEAN,QUARTERLY_ROLL,2024/3F,45860,,,'')&lt;/Q&gt;&lt;R&gt;1&lt;/R&gt;&lt;C&gt;1&lt;/C&gt;&lt;D xsi:type="xsd:double"&gt;44834&lt;/D&gt;&lt;/FQL&gt;&lt;FQL&gt;&lt;Q&gt;Ticker0024^FE_ESTIMATE(DEFREVENUE,MEAN,QUARTERLY_ROLL,2024/2F,45860,,,'')&lt;/Q&gt;&lt;R&gt;1&lt;/R&gt;&lt;C&gt;1&lt;/C&gt;&lt;D xsi:type="xsd:double"&gt;46034.855&lt;/D&gt;&lt;/FQL&gt;&lt;FQL&gt;&lt;Q&gt;Ticker0024^FE_ESTIMATE(DEFREVENUE,MEAN,QUARTERLY_ROLL,2024/1F,45860,,,'')&lt;/Q&gt;&lt;R&gt;1&lt;/R&gt;&lt;C&gt;1&lt;/C&gt;&lt;D xsi:type="xsd:double"&gt;49188.332&lt;/D&gt;&lt;/FQL&gt;&lt;FQL&gt;&lt;Q&gt;Ticker0024^FE_ESTIMATE(DEFREVENUE,MEAN,ANNUAL_ROLL,2023,45860,,,'')&lt;/Q&gt;&lt;R&gt;1&lt;/R&gt;&lt;C&gt;1&lt;/C&gt;&lt;D xsi:type="xsd:double"&gt;53548&lt;/D&gt;&lt;/FQL&gt;&lt;FQL&gt;&lt;Q&gt;Ticker0024^FE_ESTIMATE(DEFREVENUE,MEAN,QUARTERLY_ROLL,2023/4F,45860,,,'')&lt;/Q&gt;&lt;R&gt;1&lt;/R&gt;&lt;C&gt;1&lt;/C&gt;&lt;D xsi:type="xsd:double"&gt;53812.625&lt;/D&gt;&lt;/FQL&gt;&lt;FQL&gt;&lt;Q&gt;Ticker0024^FE_ESTIMATE(DEFREVENUE,MEAN,QUARTERLY_ROLL,2023/3F,45860,,,'')&lt;/Q&gt;&lt;R&gt;1&lt;/R&gt;&lt;C&gt;1&lt;/C&gt;&lt;D xsi:type="xsd:double"&gt;39600.832&lt;/D&gt;&lt;/FQL&gt;&lt;FQL&gt;&lt;Q&gt;Ticker0024^FE_ESTIMATE(DEFREVENUE,MEAN,QUARTERLY_ROLL,2023/2F,45860,,,'')&lt;/Q&gt;&lt;R&gt;1&lt;/R&gt;&lt;C&gt;1&lt;/C&gt;&lt;D xsi:type="xsd:double"&gt;39625&lt;/D&gt;&lt;/FQL&gt;&lt;FQL&gt;&lt;Q&gt;Ticker0024^FE_ESTIMATE(DEFREVENUE,MEAN,QUARTERLY_ROLL,2023/1F,45860,,,'')&lt;/Q&gt;&lt;R&gt;1&lt;/R&gt;&lt;C&gt;1&lt;/C&gt;&lt;D xsi:type="xsd:double"&gt;43889.145&lt;/D&gt;&lt;/FQL&gt;&lt;FQL&gt;&lt;Q&gt;Ticker0024^FE_ESTIMATE(DEFREVENUE,MEAN,ANNUAL_ROLL,2022,45860,,,'')&lt;/Q&gt;&lt;R&gt;1&lt;/R&gt;&lt;C&gt;1&lt;/C&gt;&lt;D xsi:type="xsd:double"&gt;48121&lt;/D&gt;&lt;/FQL&gt;&lt;FQL&gt;&lt;Q&gt;Ticker0024^FE_ESTIMATE(DEFREVENUE,MEAN,QUARTERLY_ROLL,2022/4F,45860,,,'')&lt;/Q&gt;&lt;R&gt;1&lt;/R&gt;&lt;C&gt;1&lt;/C&gt;&lt;D xsi:type="xsd:double"&gt;48408&lt;/D&gt;&lt;/FQL&gt;&lt;FQL&gt;&lt;Q&gt;Ticker0024^FE_ESTIMATE(DEFREVENUE,MEAN,QUARTERLY_ROLL,2022/3F,45860,,,'')&lt;/Q&gt;&lt;R&gt;1&lt;/R&gt;&lt;C&gt;1&lt;/C&gt;&lt;D xsi:type="xsd:double"&gt;36796&lt;/D&gt;&lt;/FQL&gt;&lt;FQL&gt;&lt;Q&gt;Ticker0024^FE_ESTIMATE(DEFREVENUE,MEAN,QUARTERLY_ROLL,2022/2F,45860,,,'')&lt;/Q&gt;&lt;R&gt;1&lt;/R&gt;&lt;C&gt;1&lt;/C&gt;&lt;D xsi:type="xsd:double"&gt;36769&lt;/D&gt;&lt;/FQL&gt;&lt;FQL&gt;&lt;Q&gt;Ticker0024^FE_ESTIMATE(DEFREVENUE,MEAN,QUARTERLY_ROLL,2022/1F,45860,,,'')&lt;/Q&gt;&lt;R&gt;1&lt;/R&gt;&lt;C&gt;1&lt;/C&gt;&lt;D xsi:type="xsd:double"&gt;41015&lt;/D&gt;&lt;/FQL&gt;&lt;FQL&gt;&lt;Q&gt;Ticker0024^FE_ESTIMATE(DEFREVENUE,MEAN,ANNUAL_ROLL,2021,45860,,,'')&lt;/Q&gt;&lt;R&gt;1&lt;/R&gt;&lt;C&gt;1&lt;/C&gt;&lt;D xsi:type="xsd:double"&gt;44141&lt;/D&gt;&lt;/FQL&gt;&lt;FQL&gt;&lt;Q&gt;Ticker0024^FE_ESTIMATE(DEFREVENUE,MEAN,QUARTERLY_ROLL,2021/4F,45860,,,'')&lt;/Q&gt;&lt;R&gt;1&lt;/R&gt;&lt;C&gt;1&lt;/C&gt;&lt;D xsi:type="xsd:double"&gt;44141&lt;/D&gt;&lt;/FQL&gt;&lt;FQL&gt;&lt;Q&gt;Ticker0024^FE_ESTIMATE(DEFREVENUE,MEAN,QUARTERLY_ROLL,2021/3F,45860,,,'')&lt;/Q&gt;&lt;R&gt;1&lt;/R&gt;&lt;C&gt;1&lt;/C&gt;&lt;D xsi:type="xsd:double"&gt;32714&lt;/D&gt;&lt;/FQL&gt;&lt;FQL&gt;&lt;Q&gt;Ticker0024^FE_ESTIMATE(DEFREVENUE,MEAN,QUARTERLY_ROLL,2021/2F,45860,,,'')&lt;/Q&gt;&lt;R&gt;1&lt;/R&gt;&lt;C&gt;1&lt;/C&gt;&lt;D xsi:type="xsd:double"&gt;33387&lt;/D&gt;&lt;/FQL&gt;&lt;FQL&gt;&lt;Q&gt;Ticker0024^FE_ESTIMATE(DEFREVENUE,MEAN,QUARTERLY_ROLL,2021/1F,45860,,,'')&lt;/Q&gt;&lt;R&gt;1&lt;/R&gt;&lt;C&gt;1&lt;/C&gt;&lt;D xsi:type="xsd:double"&gt;36305&lt;/D&gt;&lt;/FQL&gt;&lt;FQL&gt;&lt;Q&gt;Ticker0024^FE_ESTIMATE(DEFREVENUE,MEAN,ANNUAL_ROLL,2020,45860,,,'')&lt;/Q&gt;&lt;R&gt;1&lt;/R&gt;&lt;C&gt;1&lt;/C&gt;&lt;D xsi:type="xsd:double"&gt;39180&lt;/D&gt;&lt;/FQL&gt;&lt;FQL&gt;&lt;Q&gt;Ticker0024^FE_ESTIMATE(DEFREVENUE,MEAN,QUARTERLY_ROLL,2020/4F,45860,,,'')&lt;/Q&gt;&lt;R&gt;1&lt;/R&gt;&lt;C&gt;1&lt;/C&gt;&lt;D xsi:type="xsd:double"&gt;39180&lt;/D&gt;&lt;/FQL&gt;&lt;FQL&gt;&lt;Q&gt;Ticker0024^FE_ESTIMATE(DEFREVENUE,MEAN,QUARTERLY_ROLL,2020/3F,45860,,,'')&lt;/Q&gt;&lt;R&gt;1&lt;/R&gt;&lt;C&gt;1&lt;/C&gt;&lt;D xsi:type="xsd:double"&gt;30397&lt;/D&gt;&lt;/FQL&gt;&lt;FQL&gt;&lt;Q&gt;Ticker0024^FE_ESTIMATE(DEFREVENUE,MEAN,QUARTERLY_ROLL,2020/2F,45860,,,'')&lt;/Q&gt;&lt;R&gt;1&lt;/R&gt;&lt;C&gt;1&lt;/C&gt;&lt;D xsi:type="xsd:double"&gt;31221&lt;/D&gt;&lt;/FQL&gt;&lt;FQL&gt;&lt;Q&gt;Ticker0024^FE_ESTIMATE(DEFREVENUE,MEAN,QUARTERLY_ROLL,2020/1F,45860,,,'')&lt;/Q&gt;&lt;R&gt;1&lt;/R&gt;&lt;C&gt;1&lt;/C&gt;&lt;D xsi:type="xsd:double"&gt;34026&lt;/D&gt;&lt;/FQL&gt;&lt;FQL&gt;&lt;Q&gt;Ticker0024^FE_ESTIMATE(DEFREVENUE,MEAN,ANNUAL_ROLL,2019,45860,,,'')&lt;/Q&gt;&lt;R&gt;1&lt;/R&gt;&lt;C&gt;1&lt;/C&gt;&lt;D xsi:type="xsd:double"&gt;37206&lt;/D&gt;&lt;/FQL&gt;&lt;FQL&gt;&lt;Q&gt;Ticker0024^FE_ESTIMATE(DEFREVENUE,MEAN,QUARTERLY_ROLL,2019/4F,45860,,,'')&lt;/Q&gt;&lt;R&gt;1&lt;/R&gt;&lt;C&gt;1&lt;/C&gt;&lt;D xsi:type="xsd:double"&gt;37206&lt;/D&gt;&lt;/FQL&gt;&lt;FQL&gt;&lt;Q&gt;Ticker0024^FE_ESTIMATE(DEFREVENUE,MEAN,QUARTERLY_ROLL,2019/3F,45860,,,'')&lt;/Q&gt;&lt;R&gt;1&lt;/R&gt;&lt;C&gt;1&lt;/C&gt;&lt;D xsi:type="xsd:double"&gt;28135&lt;/D&gt;&lt;/FQL&gt;&lt;FQL&gt;&lt;Q&gt;Ticker0024^FE_ESTIMATE(DEFREVENUE,MEAN,QUARTERLY_ROLL,2019/2F,45860,,,'')&lt;/Q&gt;&lt;R&gt;1&lt;/R&gt;&lt;C&gt;1&lt;/C&gt;&lt;D xsi:type="xsd:double"&gt;28084&lt;/D&gt;&lt;/FQL&gt;&lt;FQL&gt;&lt;Q&gt;Ticker0024^FE_ESTIMATE(DEFREVENUE,MEAN,QUARTERLY_ROLL,2019/1F,45860,,,'')&lt;/Q&gt;&lt;R&gt;1&lt;/R&gt;&lt;C&gt;1&lt;/C&gt;&lt;D xsi:type="xsd:double"&gt;30242&lt;/D&gt;&lt;/FQL&gt;&lt;FQL&gt;&lt;Q&gt;Ticker0024^FE_ESTIMATE(DEFREVENUE,MEAN,ANNUAL_ROLL,2018,45860,,,'')&lt;/Q&gt;&lt;R&gt;1&lt;/R&gt;&lt;C&gt;1&lt;/C&gt;&lt;D xsi:type="xsd:double"&gt;32540.1&lt;/D&gt;&lt;/FQL&gt;&lt;FQL&gt;&lt;Q&gt;Ticker0024^FE_ESTIMATE(DEFREVENUE,MEAN,QUARTERLY_ROLL,2018/4F,45860,,,'')&lt;/Q&gt;&lt;R&gt;1&lt;/R&gt;&lt;C&gt;1&lt;/C&gt;&lt;D xsi:type="xsd:double"&gt;32540.1&lt;/D&gt;&lt;/FQL&gt;&lt;FQL&gt;&lt;Q&gt;Ticker0024^FE_ESTIMATE(DEFREVENUE,MEAN,QUARTERLY_ROLL,2018/3F,45860,,,'')&lt;/Q&gt;&lt;R&gt;1&lt;/R&gt;&lt;C&gt;1&lt;/C&gt;&lt;D xsi:type="xsd:double"&gt;23955&lt;/D&gt;&lt;/FQL&gt;&lt;FQL&gt;&lt;Q&gt;Ticker0024^FE_ESTIMATE(DEFREVENUE,MEAN,QUARTERLY_ROLL,2018/2F,45860,,,'')&lt;/Q&gt;&lt;R&gt;1&lt;/R&gt;&lt;C&gt;1&lt;/C&gt;&lt;D xsi:type="xsd:double"&gt;23809&lt;/D&gt;&lt;/FQL&gt;&lt;FQL&gt;&lt;Q&gt;Ticker0024^FE_ESTIMATE(DEFREVENUE,MEAN,QUARTERLY_ROLL,2018/1F,45860,,,'')&lt;/Q&gt;&lt;R&gt;1&lt;/R&gt;&lt;C&gt;1&lt;/C&gt;&lt;D xsi:type="xsd:double"&gt;24904&lt;/D&gt;&lt;/FQL&gt;&lt;FQL&gt;&lt;Q&gt;Ticker0024^FE_ESTIMATE(DEFREVENUE,MEAN,ANNUAL_ROLL,2017,45860,,,'')&lt;/Q&gt;&lt;R&gt;1&lt;/R&gt;&lt;C&gt;1&lt;/C&gt;&lt;D xsi:type="xsd:double"&gt;44479&lt;/D&gt;&lt;/FQL&gt;&lt;FQL&gt;&lt;Q&gt;Ticker0024^FE_ESTIMATE(DEFREVENUE,MEAN,QUARTERLY_ROLL,2017/4F,45860,,,'')&lt;/Q&gt;&lt;R&gt;1&lt;/R&gt;&lt;C&gt;1&lt;/C&gt;&lt;D xsi:type="xsd:double"&gt;44479&lt;/D&gt;&lt;/FQL&gt;&lt;FQL&gt;&lt;Q&gt;Ticker0024^FE_ESTIMATE(DEFREVENUE,MEAN,QUARTERLY_ROLL,2017/3F,45860,,,'')&lt;/Q&gt;&lt;R&gt;1&lt;/R&gt;&lt;C&gt;1&lt;/C&gt;&lt;D xsi:type="xsd:double"&gt;35733&lt;/D&gt;&lt;/FQL&gt;&lt;FQL&gt;&lt;Q&gt;Ticker0024^FE_ESTIMATE(DEFREVENUE,MEAN,QUARTERLY_ROLL,2017/2F,45860,,,'')&lt;/Q&gt;&lt;R&gt;1&lt;/R&gt;&lt;C&gt;1&lt;/C&gt;&lt;D xsi:type="xsd:double"&gt;34587.273&lt;/D&gt;&lt;/FQL&gt;&lt;FQL&gt;&lt;Q&gt;Ticker0024^FE_ESTIMATE(DEFREVENUE,MEAN,QUARTERLY_ROLL,2017/1F,45860,,,'')&lt;/Q&gt;&lt;R&gt;1&lt;/R&gt;&lt;C&gt;1&lt;/C&gt;&lt;D xsi:type="xsd:double"&gt;33588&lt;/D&gt;&lt;/FQL&gt;&lt;FQL&gt;&lt;Q&gt;Ticker0024^FE_ESTIMATE(DEFREVENUE,MEAN,ANNUAL_ROLL,2016,45860,,,'')&lt;/Q&gt;&lt;R&gt;1&lt;/R&gt;&lt;C&gt;1&lt;/C&gt;&lt;D xsi:type="xsd:double"&gt;33909&lt;/D&gt;&lt;/FQL&gt;&lt;FQL&gt;&lt;Q&gt;Ticker0024^FE_ESTIMATE(DEFREVENUE,MEAN,QUARTERLY_ROLL,2016/4F,45860,,,'')&lt;/Q&gt;&lt;R&gt;1&lt;/R&gt;&lt;C&gt;1&lt;/C&gt;&lt;D xsi:type="xsd:double"&gt;33909&lt;/D&gt;&lt;/FQL&gt;&lt;FQL&gt;&lt;Q&gt;Ticker0024^FE_ESTIMATE(DEFREVENUE,MEAN,QUARTERLY_ROLL,2016/3F,45860,,,'')&lt;/Q&gt;&lt;R&gt;1&lt;/R&gt;&lt;C&gt;1&lt;/C&gt;&lt;D xsi:type="xsd:double"&gt;25893&lt;/D&gt;&lt;/FQL&gt;&lt;FQL&gt;&lt;Q&gt;Ticker0024^FE_ESTIMATE(DEFREVENUE,MEAN,QUARTERLY_ROLL,2016/2F,45860,,,'')&lt;/Q&gt;&lt;R&gt;1&lt;/R&gt;&lt;C&gt;1&lt;/C&gt;&lt;D xsi:type="xsd:double"&gt;25031&lt;/D&gt;&lt;/FQL&gt;&lt;FQL&gt;&lt;Q&gt;Ticker0024^FE_ESTIMATE(DEFREVENUE,MEAN,QUARTERLY_ROLL,2016/1F,45860,,,'')&lt;/Q&gt;&lt;R&gt;0&lt;/R&gt;&lt;C&gt;0&lt;/C&gt;&lt;/FQL&gt;&lt;FQL&gt;&lt;Q&gt;Ticker0024^FE_ESTIMATE(DEFREVENUE,MEAN,ANNUAL_ROLL,2015,45860,,,'')&lt;/Q&gt;&lt;R&gt;0&lt;/R&gt;&lt;C&gt;0&lt;/C&gt;&lt;/FQL&gt;&lt;FQL&gt;&lt;Q&gt;Ticker0024^FE_ESTIMATE(DEFREVENUE,MEAN,QUARTERLY_ROLL,2015/4F,45860,,,'')&lt;/Q&gt;&lt;R&gt;0&lt;/R&gt;&lt;C&gt;0&lt;/C&gt;&lt;/FQL&gt;&lt;FQL&gt;&lt;Q&gt;Ticker0024^FE_ESTIMATE(DEFREVENUE,MEAN,QUARTERLY_ROLL,2015/3F,45860,,,'')&lt;/Q&gt;&lt;R&gt;0&lt;/R&gt;&lt;C&gt;0&lt;/C&gt;&lt;/FQL&gt;&lt;FQL&gt;&lt;Q&gt;Ticker0024^FE_ESTIMATE(DEFREVENUE,MEAN,QUARTERLY_ROLL,2015/2F,45860,,,'')&lt;/Q&gt;&lt;R&gt;0&lt;/R&gt;&lt;C&gt;0&lt;/C&gt;&lt;/FQL&gt;&lt;FQL&gt;&lt;Q&gt;Ticker0024^FE_ESTIMATE(DEFREVENUE,MEAN,QUARTERLY_ROLL,2015/1F,45860,,,'')&lt;/Q&gt;&lt;R&gt;0&lt;/R&gt;&lt;C&gt;0&lt;/C&gt;&lt;/FQL&gt;&lt;FQL&gt;&lt;Q&gt;Ticker0024^FE_ESTIMATE(DEFREVENUE_LT,MEAN,ANNUAL_ROLL,2030,45860,,,'')&lt;/Q&gt;&lt;R&gt;0&lt;/R&gt;&lt;C&gt;0&lt;/C&gt;&lt;/FQL&gt;&lt;FQL&gt;&lt;Q&gt;Ticker0024^FE_ESTIMATE(DEFREVENUE_LT,MEAN,QUARTERLY_ROLL,2030/4F,45860,,,'')&lt;/Q&gt;&lt;R&gt;0&lt;/R&gt;&lt;C&gt;0&lt;/C&gt;&lt;/FQL&gt;&lt;FQL&gt;&lt;Q&gt;Ticker0024^FE_ESTIMATE(DEFREVENUE_LT,MEAN,QUARTERLY_ROLL,2030/3F,45860,,,'')&lt;/Q&gt;&lt;R&gt;0&lt;/R&gt;&lt;C&gt;0&lt;/C&gt;&lt;/FQL&gt;&lt;FQL&gt;&lt;Q&gt;Ticker0024^FE_ESTIMATE(DEFREVENUE_LT,MEAN,QUARTERLY_ROLL,2030/2F,45860,,,'')&lt;/Q&gt;&lt;R&gt;0&lt;/R&gt;&lt;C&gt;0&lt;/C&gt;&lt;/FQL&gt;&lt;FQL&gt;&lt;Q&gt;Ticker0024^FE_ESTIMATE(DEFREVENUE_LT,MEAN,QUARTERLY_ROLL,2030/1F,45860,,,'')&lt;/Q&gt;&lt;R&gt;0&lt;/R&gt;&lt;C&gt;0&lt;/C&gt;&lt;/FQL&gt;&lt;FQL&gt;&lt;Q&gt;Ticker0024^FE_ESTIMATE(DEFREVENUE_LT,MEAN,ANNUAL_ROLL,2029,45860,,,'')&lt;/Q&gt;&lt;R&gt;0&lt;/R&gt;&lt;C&gt;0&lt;/C&gt;&lt;/FQL&gt;&lt;FQL&gt;&lt;Q&gt;Ticker0024^FE_ESTIMATE(DEFREVENUE_LT,MEAN,QUARTERLY_ROLL,2029/4F,45860,,,'')&lt;/Q&gt;&lt;R&gt;0&lt;/R&gt;&lt;C&gt;0&lt;/C&gt;&lt;/FQL&gt;&lt;FQL&gt;&lt;Q&gt;Ticker0024^FE_ESTIMATE(DEFREVENUE_LT,MEAN,QUARTERLY_ROLL,2029/3F,45860,,,'')&lt;/Q&gt;&lt;R&gt;0&lt;/R&gt;&lt;C&gt;0&lt;/C&gt;&lt;/FQL&gt;&lt;FQL&gt;&lt;Q&gt;Ticker0024^FE_ESTIMATE(DEFREVENUE_LT,MEAN,QUARTERLY_ROLL,2029/2F,45860,,,'')&lt;/Q&gt;&lt;R&gt;0&lt;/R&gt;&lt;C&gt;0&lt;/C&gt;&lt;/FQL&gt;&lt;FQL&gt;&lt;Q&gt;Ticker0024^FE_ESTIMATE(DEFREVENUE_LT,MEAN,QUARTERLY_ROLL,2029/1F,45860,,,'')&lt;/Q&gt;&lt;R&gt;0&lt;/R&gt;&lt;C&gt;0&lt;/C&gt;&lt;/FQL&gt;&lt;FQL&gt;&lt;Q&gt;Ticker0024^FE_ESTIMATE(DEFREVENUE_LT,MEAN,ANNUAL_ROLL,2028,45860,,,'')&lt;/Q&gt;&lt;R&gt;0&lt;/R&gt;&lt;C&gt;0&lt;/C&gt;&lt;/FQL&gt;&lt;FQL&gt;&lt;Q&gt;Ticker0024^FE_ESTIMATE(DEFREVENUE_LT,MEAN,QUARTERLY_ROLL,2028/4F,45860,,,'')&lt;/Q&gt;&lt;R&gt;0&lt;/R&gt;&lt;C&gt;0&lt;/C&gt;&lt;/FQL&gt;&lt;FQL&gt;&lt;Q&gt;Ticker0024^FE_ESTIMATE(DEFREVENUE_LT,MEAN,QUARTERLY_ROLL,2028/3F,45860,,,'')&lt;/Q&gt;&lt;R&gt;0&lt;/R&gt;&lt;C&gt;0&lt;/C&gt;&lt;/FQL&gt;&lt;FQL&gt;&lt;Q&gt;Ticker0024^FE_ESTIMATE(DEFREVENUE_LT,MEAN,QUARTERLY_ROLL,2028/2F,45860,,,'')&lt;/Q&gt;&lt;R&gt;0&lt;/R&gt;&lt;C&gt;0&lt;/C&gt;&lt;/FQL&gt;&lt;FQL&gt;&lt;Q&gt;Ticker0024^FE_ESTIMATE(DEFREVENUE_LT,MEAN,QUARTERLY_ROLL,2028/1F,45860,,,'')&lt;/Q&gt;&lt;R&gt;0&lt;/R&gt;&lt;C&gt;0&lt;/C&gt;&lt;/FQL&gt;&lt;FQL&gt;&lt;Q&gt;Ticker0024^FE_ESTIMATE(DEFREVENUE_LT,MEAN,ANNUAL_ROLL,2027,45860,,,'')&lt;/Q&gt;&lt;R&gt;1&lt;/R&gt;&lt;C&gt;1&lt;/C&gt;&lt;D xsi:type="xsd:double"&gt;2660.26&lt;/D&gt;&lt;/FQL&gt;&lt;FQL&gt;&lt;Q&gt;Ticker0024^FE_ESTIMATE(DEFREVENUE_LT,MEAN,QUARTERLY_ROLL,2027/4F,45860,,,'')&lt;/Q&gt;&lt;R&gt;1&lt;/R&gt;&lt;C&gt;1&lt;/C&gt;&lt;D xsi:type="xsd:double"&gt;3060&lt;/D&gt;&lt;/FQL&gt;&lt;FQL&gt;&lt;Q&gt;Ticker0024^FE_ESTIMATE(DEFREVENUE_LT,MEAN,QUARTERLY_ROLL,2027/3F,45860,,,'')&lt;/Q&gt;&lt;R&gt;1&lt;/R&gt;&lt;C&gt;1&lt;/C&gt;&lt;D xsi:type="xsd:double"&gt;2575.5&lt;/D&gt;&lt;/FQL&gt;&lt;FQL&gt;&lt;Q&gt;Ticker0024^FE_ESTIMATE(DEFREVENUE_LT,MEAN,QUARTERLY_ROLL,2027/2F,45860,,,'')&lt;/Q&gt;&lt;R&gt;1&lt;/R&gt;&lt;C&gt;1&lt;/C&gt;&lt;D xsi:type="xsd:double"&gt;2621.5&lt;/D&gt;&lt;/FQL&gt;&lt;FQL&gt;&lt;Q&gt;Ticker0024^FE_ESTIMATE(DEFREVENUE_LT,MEAN,QUARTERLY_ROLL,2027/1F,45860,,,'')&lt;/Q&gt;&lt;R&gt;1&lt;/R&gt;&lt;C&gt;1&lt;/C&gt;&lt;D xsi:type="xsd:double"&gt;2778.5&lt;/D&gt;&lt;/FQL&gt;&lt;FQL&gt;&lt;Q&gt;Ticker0024^FE_ESTIMATE(DEFREVENUE_LT,MEAN,ANNUAL_ROLL,2026,45860,,,'')&lt;/Q&gt;&lt;R&gt;1&lt;/R&gt;&lt;C&gt;1&lt;/C&gt;&lt;D xsi:type="xsd:double"&gt;3012.8&lt;/D&gt;&lt;/FQL&gt;&lt;FQL&gt;&lt;Q&gt;Ticker0024^FE_ESTIMATE(DEFREVENUE_LT,MEAN,QUARTERLY_ROLL,2026/4F,45860,,,'')&lt;/Q&gt;&lt;R&gt;1&lt;/R&gt;&lt;C&gt;1&lt;/C&gt;&lt;D xsi:type="xsd:double"&gt;2945.75&lt;/D&gt;&lt;/FQL&gt;&lt;FQL&gt;&lt;Q&gt;Ticker0024^FE_ESTIMATE(DEFREVENUE_LT,MEAN,QUARTERLY_ROLL,2026/3F,45860,,,'')&lt;/Q&gt;&lt;R&gt;1&lt;/R&gt;&lt;C&gt;1&lt;/C&gt;&lt;D xsi:type="xsd:double"&gt;2879.5&lt;/D&gt;&lt;/FQL&gt;&lt;FQL&gt;&lt;Q&gt;Ticker0024^FE_ESTIMATE(DEFREVENUE_LT,MEAN,QUARTERLY_ROLL,2026/2F,45860,,,'')&lt;/Q&gt;&lt;R&gt;1&lt;/R&gt;&lt;C&gt;1&lt;/C&gt;&lt;D xsi:type="xsd:double"&gt;2743&lt;/D&gt;&lt;/FQL&gt;&lt;FQL&gt;&lt;Q&gt;Ticker0024^FE_ESTIMATE(DEFREVENUE_LT,MEAN,QUARTERLY_ROLL,2026/1F,45860,,,'')&lt;/Q&gt;&lt;R&gt;1&lt;/R&gt;&lt;C&gt;1&lt;/C&gt;&lt;D xsi:type="xsd:double"&gt;2817.75&lt;/D&gt;&lt;/FQL&gt;&lt;FQL&gt;&lt;Q&gt;Ticker0024^FE_ESTIMATE(DEFREVENUE_LT,MEAN,ANNUAL_ROLL,2025,45860,,,'')&lt;/Q&gt;&lt;R&gt;1&lt;/R&gt;&lt;C&gt;1&lt;/C&gt;&lt;D xsi:type="xsd:double"&gt;2995.2166&lt;/D&gt;&lt;/FQL&gt;&lt;FQL&gt;&lt;Q&gt;Ticker0024^FE_ESTIMATE(DEFREVENUE_LT,MEAN,QUARTERLY_ROLL,2025/4F,45860,,,'')&lt;/Q&gt;&lt;R&gt;1&lt;/R&gt;&lt;C&gt;1&lt;/C&gt;&lt;D xsi:type="xsd:double"&gt;2995.2166&lt;/D&gt;&lt;/FQL&gt;&lt;FQL&gt;&lt;Q&gt;Ticker0024^FE_ESTIMATE(DEFREVENUE_LT,MEAN,QUARTERLY_ROLL,2025/3F,45860,,,'')&lt;/Q&gt;&lt;R&gt;1&lt;/R&gt;&lt;C&gt;1&lt;/C&gt;&lt;D xsi:type="xsd:double"&gt;2840&lt;/D&gt;&lt;/FQL&gt;&lt;FQL&gt;&lt;Q&gt;Ticker0024^FE_ESTIMATE(DEFREVENUE_LT,MEAN,QUARTERLY_ROLL,2025/2F,45860,,,'')&lt;/Q&gt;&lt;R&gt;1&lt;/R&gt;&lt;C&gt;1&lt;/C&gt;&lt;D xsi:type="xsd:double"&gt;2537.4285&lt;/D&gt;&lt;/FQL&gt;&lt;FQL&gt;&lt;Q&gt;Ticker0024^FE_ESTIMATE(DEFREVENUE_LT,MEAN,QUARTERLY_ROLL,2025/1F,45860,,,'')&lt;/Q&gt;&lt;R&gt;1&lt;/R&gt;&lt;C&gt;1&lt;/C&gt;&lt;D xsi:type="xsd:double"&gt;2662.6667&lt;/D&gt;&lt;/FQL&gt;&lt;FQL&gt;&lt;Q&gt;Ticker0024^FE_ESTIMATE(DEFREVENUE_LT,MEAN,ANNUAL_ROLL,2024,45860,,,'')&lt;/Q&gt;&lt;R&gt;1&lt;/R&gt;&lt;C&gt;1&lt;/C&gt;&lt;D xsi:type="xsd:double"&gt;2601.75&lt;/D&gt;&lt;/FQL&gt;&lt;FQL&gt;&lt;Q&gt;Ticker0024^FE_ESTIMATE(DEFREVENUE_LT,MEAN,QUARTERLY_ROLL,2024/4F,45860,,,'')&lt;/Q&gt;&lt;R&gt;1&lt;/R&gt;&lt;C&gt;1&lt;/C&gt;&lt;D xsi:type="xsd:double"&gt;2601.75&lt;/D&gt;&lt;/FQL&gt;&lt;FQL&gt;&lt;Q&gt;Ticker0024^FE_ESTIMATE(DEFREVENUE_LT,MEAN,QUARTERLY_ROLL,2024/3F,45860,,,'')&lt;/Q&gt;&lt;R&gt;1&lt;/R&gt;&lt;C&gt;1&lt;/C&gt;&lt;D xsi:type="xsd:double"&gt;2945.7144&lt;/D&gt;&lt;/FQL&gt;&lt;FQL&gt;&lt;Q&gt;Ticker0024^FE_ESTIMATE(DEFREVENUE_LT,MEAN,QUARTERLY_ROLL,2024/2F,45860,,,'')&lt;/Q&gt;&lt;R&gt;1&lt;/R&gt;&lt;C&gt;1&lt;/C&gt;&lt;D xsi:type="xsd:double"&gt;2966.5715&lt;/D&gt;&lt;/FQL&gt;&lt;FQL&gt;&lt;Q&gt;Ticker0024^FE_ESTIMATE(DEFREVENUE_LT,MEAN,QUARTERLY_ROLL,2024/1F,45860,,,'')&lt;/Q&gt;&lt;R&gt;1&lt;/R&gt;&lt;C&gt;1&lt;/C&gt;&lt;D xsi:type="xsd:double"&gt;2759.1428&lt;/D&gt;&lt;/FQL&gt;&lt;FQL&gt;&lt;Q&gt;Ticker0024^FE_ESTIMATE(DEFREVENUE_LT,MEAN,ANNUAL_ROLL,2023,45860,,,'')&lt;/Q&gt;&lt;R&gt;1&lt;/R&gt;&lt;C&gt;1&lt;/C&gt;&lt;D xsi:type="xsd:double"&gt;2911.75&lt;/D&gt;&lt;/FQL&gt;&lt;FQL&gt;&lt;Q&gt;Ticker0024^FE_ESTIMATE(DEFREVENUE_LT,MEAN,QUARTERLY_ROLL,2023/4F,45860,,,'')&lt;/Q&gt;&lt;R&gt;1&lt;/R&gt;&lt;C&gt;1&lt;/C&gt;&lt;D xsi:type="xsd:double"&gt;2911.7144&lt;/D&gt;&lt;/FQL&gt;&lt;FQL&gt;&lt;Q&gt;Ticker0024^FE_ESTIMATE(DEFREVENUE_LT,MEAN,QUARTERLY_ROLL,2023/3F,45860,,,'')&lt;/Q&gt;&lt;R&gt;1&lt;/R&gt;&lt;C&gt;1&lt;/C&gt;&lt;D xsi:type="xsd:double"&gt;2698.3333&lt;/D&gt;&lt;/FQL&gt;&lt;FQL&gt;&lt;Q&gt;Ticker0024^FE_ESTIMATE(DEFREVENUE_LT,MEAN,QUARTERLY_ROLL,2023/2F,45860,,,'')&lt;/Q&gt;&lt;R&gt;1&lt;/R&gt;&lt;C&gt;1&lt;/C&gt;&lt;D xsi:type="xsd:double"&gt;2643.3333&lt;/D&gt;&lt;/FQL&gt;&lt;FQL&gt;&lt;Q&gt;Ticker0024^FE_ESTIMATE(DEFREVENUE_LT,MEAN,QUARTERLY_ROLL,2023/1F,45860,,,'')&lt;/Q&gt;&lt;R&gt;1&lt;/R&gt;&lt;C&gt;1&lt;/C&gt;&lt;D xsi:type="xsd:double"&gt;2549.1428&lt;/D&gt;&lt;/FQL&gt;&lt;FQL&gt;&lt;Q&gt;Ticker0024^FE_ESTIMATE(DEFREVENUE_LT,MEAN,ANNUAL_ROLL,2022,45860,,,'')&lt;/Q&gt;&lt;R&gt;1&lt;/R&gt;&lt;C&gt;1&lt;/C&gt;&lt;D xsi:type="xsd:double"&gt;2870&lt;/D&gt;&lt;/FQL&gt;&lt;FQL&gt;&lt;Q&gt;Ticker0024^FE_ESTIMATE(DEFREVENUE_LT,MEAN,QUARTERLY_ROLL,2022/4F,45860,,,'')&lt;/Q&gt;&lt;R&gt;1&lt;/R&gt;&lt;C&gt;1&lt;/C&gt;&lt;D xsi:type="xsd:double"&gt;2870&lt;/D&gt;&lt;/FQL&gt;&lt;FQL&gt;&lt;Q&gt;Ticker0024^FE_ESTIMATE(DEFREVENUE_LT,MEAN,QUARTERLY_ROLL,2022/3F,45860,,,'')&lt;/Q&gt;&lt;R&gt;1&lt;/R&gt;&lt;C&gt;1&lt;/C&gt;&lt;D xsi:type="xsd:double"&gt;2769&lt;/D&gt;&lt;/FQL&gt;&lt;FQL&gt;&lt;Q&gt;Ticker0024^FE_ESTIMATE(DEFREVENUE_LT,MEAN,QUARTERLY_ROLL,2022/2F,45860,,,'')&lt;/Q&gt;&lt;R&gt;1&lt;/R&gt;&lt;C&gt;1&lt;/C&gt;&lt;D xsi:type="xsd:double"&gt;2768&lt;/D&gt;&lt;/FQL&gt;&lt;FQL&gt;&lt;Q&gt;Ticker0024^FE_ESTIMATE(DEFREVENUE_LT,MEAN,QUARTERLY_ROLL,2022/1F,45860,,,'')&lt;/Q&gt;&lt;R&gt;1&lt;/R&gt;&lt;C&gt;1&lt;/C&gt;&lt;D xsi:type="xsd:double"&gt;2550&lt;/D&gt;&lt;/FQL&gt;&lt;FQL&gt;&lt;Q&gt;Ticker0024^FE_ESTIMATE(DEFREVENUE_LT,MEAN,ANNUAL_ROLL,2021,45860,,,'')&lt;/Q&gt;&lt;R&gt;1&lt;/R&gt;&lt;C&gt;1&lt;/C&gt;&lt;D xsi:type="xsd:double"&gt;2616&lt;/D&gt;&lt;/FQL&gt;&lt;FQL&gt;&lt;Q&gt;Ticker0024^FE_ESTIMATE(DEFREVENUE_LT,MEAN,QUARTERLY_ROLL,2021/4F,4586</t>
        </r>
      </text>
    </comment>
    <comment ref="A64" authorId="0" shapeId="0" xr:uid="{EC44414D-D125-4062-A7A5-0D5184F216EB}">
      <text>
        <r>
          <rPr>
            <b/>
            <sz val="9"/>
            <color indexed="81"/>
            <rFont val="Tahoma"/>
            <family val="2"/>
          </rPr>
          <t>0,,,'')&lt;/Q&gt;&lt;R&gt;1&lt;/R&gt;&lt;C&gt;1&lt;/C&gt;&lt;D xsi:type="xsd:double"&gt;2616&lt;/D&gt;&lt;/FQL&gt;&lt;FQL&gt;&lt;Q&gt;Ticker0024^FE_ESTIMATE(DEFREVENUE_LT,MEAN,QUARTERLY_ROLL,2021/3F,45860,,,'')&lt;/Q&gt;&lt;R&gt;1&lt;/R&gt;&lt;C&gt;1&lt;/C&gt;&lt;D xsi:type="xsd:double"&gt;2631&lt;/D&gt;&lt;/FQL&gt;&lt;FQL&gt;&lt;Q&gt;Ticker0024^FE_ESTIMATE(DEFREVENUE_LT,MEAN,QUARTERLY_ROLL,2021/2F,45860,,,'')&lt;/Q&gt;&lt;R&gt;1&lt;/R&gt;&lt;C&gt;1&lt;/C&gt;&lt;D xsi:type="xsd:double"&gt;2985&lt;/D&gt;&lt;/FQL&gt;&lt;FQL&gt;&lt;Q&gt;Ticker0024^FE_ESTIMATE(DEFREVENUE_LT,MEAN,QUARTERLY_ROLL,2021/1F,45860,,,'')&lt;/Q&gt;&lt;R&gt;1&lt;/R&gt;&lt;C&gt;1&lt;/C&gt;&lt;D xsi:type="xsd:double"&gt;2829&lt;/D&gt;&lt;/FQL&gt;&lt;FQL&gt;&lt;Q&gt;Ticker0024^FE_ESTIMATE(DEFREVENUE_LT,MEAN,ANNUAL_ROLL,2020,45860,,,'')&lt;/Q&gt;&lt;R&gt;1&lt;/R&gt;&lt;C&gt;1&lt;/C&gt;&lt;D xsi:type="xsd:double"&gt;3180&lt;/D&gt;&lt;/FQL&gt;&lt;FQL&gt;&lt;Q&gt;Ticker0024^FE_ESTIMATE(DEFREVENUE_LT,MEAN,QUARTERLY_ROLL,2020/4F,45860,,,'')&lt;/Q&gt;&lt;R&gt;1&lt;/R&gt;&lt;C&gt;1&lt;/C&gt;&lt;D xsi:type="xsd:double"&gt;3180&lt;/D&gt;&lt;/FQL&gt;&lt;FQL&gt;&lt;Q&gt;Ticker0024^FE_ESTIMATE(DEFREVENUE_LT,MEAN,QUARTERLY_ROLL,2020/3F,45860,,,'')&lt;/Q&gt;&lt;R&gt;1&lt;/R&gt;&lt;C&gt;1&lt;/C&gt;&lt;D xsi:type="xsd:double"&gt;3385&lt;/D&gt;&lt;/FQL&gt;&lt;FQL&gt;&lt;Q&gt;Ticker0024^FE_ESTIMATE(DEFREVENUE_LT,MEAN,QUARTERLY_ROLL,2020/2F,45860,,,'')&lt;/Q&gt;&lt;R&gt;1&lt;/R&gt;&lt;C&gt;1&lt;/C&gt;&lt;D xsi:type="xsd:double"&gt;3878&lt;/D&gt;&lt;/FQL&gt;&lt;FQL&gt;&lt;Q&gt;Ticker0024^FE_ESTIMATE(DEFREVENUE_LT,MEAN,QUARTERLY_ROLL,2020/1F,45860,,,'')&lt;/Q&gt;&lt;R&gt;1&lt;/R&gt;&lt;C&gt;1&lt;/C&gt;&lt;D xsi:type="xsd:double"&gt;4122&lt;/D&gt;&lt;/FQL&gt;&lt;FQL&gt;&lt;Q&gt;Ticker0024^FE_ESTIMATE(DEFREVENUE_LT,MEAN,ANNUAL_ROLL,2019,45860,,,'')&lt;/Q&gt;&lt;R&gt;1&lt;/R&gt;&lt;C&gt;1&lt;/C&gt;&lt;D xsi:type="xsd:double"&gt;4530&lt;/D&gt;&lt;/FQL&gt;&lt;FQL&gt;&lt;Q&gt;Ticker0024^FE_ESTIMATE(DEFREVENUE_LT,MEAN,QUARTERLY_ROLL,2019/4F,45860,,,'')&lt;/Q&gt;&lt;R&gt;1&lt;/R&gt;&lt;C&gt;1&lt;/C&gt;&lt;D xsi:type="xsd:double"&gt;4530&lt;/D&gt;&lt;/FQL&gt;&lt;FQL&gt;&lt;Q&gt;Ticker0024^FE_ESTIMATE(DEFREVENUE_LT,MEAN,QUARTERLY_ROLL,2019/3F,45860,,,'')&lt;/Q&gt;&lt;R&gt;1&lt;/R&gt;&lt;C&gt;1&lt;/C&gt;&lt;D xsi:type="xsd:double"&gt;3884&lt;/D&gt;&lt;/FQL&gt;&lt;FQL&gt;&lt;Q&gt;Ticker0024^FE_ESTIMATE(DEFREVENUE_LT,MEAN,QUARTERLY_ROLL,2019/2F,45860,,,'')&lt;/Q&gt;&lt;R&gt;1&lt;/R&gt;&lt;C&gt;1&lt;/C&gt;&lt;D xsi:type="xsd:double"&gt;3799&lt;/D&gt;&lt;/FQL&gt;&lt;FQL&gt;&lt;Q&gt;Ticker0024^FE_ESTIMATE(DEFREVENUE_LT,MEAN,QUARTERLY_ROLL,2019/1F,45860,,,'')&lt;/Q&gt;&lt;R&gt;1&lt;/R&gt;&lt;C&gt;1&lt;/C&gt;&lt;D xsi:type="xsd:double"&gt;3538&lt;/D&gt;&lt;/FQL&gt;&lt;FQL&gt;&lt;Q&gt;Ticker0024^FE_ESTIMATE(DEFREVENUE_LT,MEAN,ANNUAL_ROLL,2018,45860,,,'')&lt;/Q&gt;&lt;R&gt;1&lt;/R&gt;&lt;C&gt;1&lt;/C&gt;&lt;D xsi:type="xsd:double"&gt;3815&lt;/D&gt;&lt;/FQL&gt;&lt;FQL&gt;&lt;Q&gt;Ticker0024^FE_ESTIMATE(DEFREVENUE_LT,MEAN,QUARTERLY_ROLL,2018/4F,45860,,,'')&lt;/Q&gt;&lt;R&gt;1&lt;/R&gt;&lt;C&gt;1&lt;/C&gt;&lt;D xsi:type="xsd:double"&gt;3815&lt;/D&gt;&lt;/FQL&gt;&lt;FQL&gt;&lt;Q&gt;Ticker0024^FE_ESTIMATE(DEFREVENUE_LT,MEAN,QUARTERLY_ROLL,2018/3F,45860,,,'')&lt;/Q&gt;&lt;R&gt;1&lt;/R&gt;&lt;C&gt;1&lt;/C&gt;&lt;D xsi:type="xsd:double"&gt;2585&lt;/D&gt;&lt;/FQL&gt;&lt;FQL&gt;&lt;Q&gt;Ticker0024^FE_ESTIMATE(DEFREVENUE_LT,MEAN,QUARTERLY_ROLL,2018/2F,45860,,,'')&lt;/Q&gt;&lt;R&gt;1&lt;/R&gt;&lt;C&gt;1&lt;/C&gt;&lt;D xsi:type="xsd:double"&gt;2500&lt;/D&gt;&lt;/FQL&gt;&lt;FQL&gt;&lt;Q&gt;Ticker0024^FE_ESTIMATE(DEFREVENUE_LT,MEAN,QUARTERLY_ROLL,2018/1F,45860,,,'')&lt;/Q&gt;&lt;R&gt;1&lt;/R&gt;&lt;C&gt;1&lt;/C&gt;&lt;D xsi:type="xsd:double"&gt;2126&lt;/D&gt;&lt;/FQL&gt;&lt;FQL&gt;&lt;Q&gt;Ticker0024^FE_ESTIMATE(DEFREVENUE_LT,MEAN,ANNUAL_ROLL,2017,45860,,,'')&lt;/Q&gt;&lt;R&gt;1&lt;/R&gt;&lt;C&gt;1&lt;/C&gt;&lt;D xsi:type="xsd:double"&gt;10377&lt;/D&gt;&lt;/FQL&gt;&lt;FQL&gt;&lt;Q&gt;Ticker0024^FE_ESTIMATE(DEFREVENUE_LT,MEAN,QUARTERLY_ROLL,2017/4F,45860,,,'')&lt;/Q&gt;&lt;R&gt;1&lt;/R&gt;&lt;C&gt;1&lt;/C&gt;&lt;D xsi:type="xsd:double"&gt;10377&lt;/D&gt;&lt;/FQL&gt;&lt;FQL&gt;&lt;Q&gt;Ticker0024^FE_ESTIMATE(DEFREVENUE_LT,MEAN,QUARTERLY_ROLL,2017/3F,45860,,,'')&lt;/Q&gt;&lt;R&gt;1&lt;/R&gt;&lt;C&gt;1&lt;/C&gt;&lt;D xsi:type="xsd:double"&gt;9215&lt;/D&gt;&lt;/FQL&gt;&lt;FQL&gt;&lt;Q&gt;Ticker0024^FE_ESTIMATE(DEFREVENUE_LT,MEAN,QUARTERLY_ROLL,2017/2F,45860,,,'')&lt;/Q&gt;&lt;R&gt;1&lt;/R&gt;&lt;C&gt;1&lt;/C&gt;&lt;D xsi:type="xsd:double"&gt;8595&lt;/D&gt;&lt;/FQL&gt;&lt;FQL&gt;&lt;Q&gt;Ticker0024^FE_ESTIMATE(DEFREVENUE_LT,MEAN,QUARTERLY_ROLL,2017/1F,45860,,,'')&lt;/Q&gt;&lt;R&gt;1&lt;/R&gt;&lt;C&gt;1&lt;/C&gt;&lt;D xsi:type="xsd:double"&gt;7284&lt;/D&gt;&lt;/FQL&gt;&lt;FQL&gt;&lt;Q&gt;Ticker0024^FE_ESTIMATE(DEFREVENUE_LT,MEAN,ANNUAL_ROLL,2016,45860,,,'')&lt;/Q&gt;&lt;R&gt;1&lt;/R&gt;&lt;C&gt;1&lt;/C&gt;&lt;D xsi:type="xsd:double"&gt;6441&lt;/D&gt;&lt;/FQL&gt;&lt;FQL&gt;&lt;Q&gt;Ticker0024^FE_ESTIMATE(DEFREVENUE_LT,MEAN,QUARTERLY_ROLL,2016/4F,45860,,,'')&lt;/Q&gt;&lt;R&gt;1&lt;/R&gt;&lt;C&gt;1&lt;/C&gt;&lt;D xsi:type="xsd:double"&gt;6441&lt;/D&gt;&lt;/FQL&gt;&lt;FQL&gt;&lt;Q&gt;Ticker0024^FE_ESTIMATE(DEFREVENUE_LT,MEAN,QUARTERLY_ROLL,2016/3F,45860,,,'')&lt;/Q&gt;&lt;R&gt;1&lt;/R&gt;&lt;C&gt;1&lt;/C&gt;&lt;D xsi:type="xsd:double"&gt;5017&lt;/D&gt;&lt;/FQL&gt;&lt;FQL&gt;&lt;Q&gt;Ticker0024^FE_ESTIMATE(DEFREVENUE_LT,MEAN,QUARTERLY_ROLL,2016/2F,45860,,,'')&lt;/Q&gt;&lt;R&gt;1&lt;/R&gt;&lt;C&gt;1&lt;/C&gt;&lt;D xsi:type="xsd:double"&gt;4102&lt;/D&gt;&lt;/FQL&gt;&lt;FQL&gt;&lt;Q&gt;Ticker0024^FE_ESTIMATE(DEFREVENUE_LT,MEAN,QUARTERLY_ROLL,2016/1F,45860,,,'')&lt;/Q&gt;&lt;R&gt;1&lt;/R&gt;&lt;C&gt;1&lt;/C&gt;&lt;D xsi:type="xsd:double"&gt;2784&lt;/D&gt;&lt;/FQL&gt;&lt;FQL&gt;&lt;Q&gt;Ticker0024^FE_ESTIMATE(DEFREVENUE_LT,MEAN,ANNUAL_ROLL,2015,45860,,,'')&lt;/Q&gt;&lt;R&gt;1&lt;/R&gt;&lt;C&gt;1&lt;/C&gt;&lt;D xsi:type="xsd:double"&gt;2095&lt;/D&gt;&lt;/FQL&gt;&lt;FQL&gt;&lt;Q&gt;Ticker0024^FE_ESTIMATE(DEFREVENUE_LT,MEAN,QUARTERLY_ROLL,2015/4F,45860,,,'')&lt;/Q&gt;&lt;R&gt;1&lt;/R&gt;&lt;C&gt;1&lt;/C&gt;&lt;D xsi:type="xsd:double"&gt;2095&lt;/D&gt;&lt;/FQL&gt;&lt;FQL&gt;&lt;Q&gt;Ticker0024^FE_ESTIMATE(DEFREVENUE_LT,MEAN,QUARTERLY_ROLL,2015/3F,45860,,,'')&lt;/Q&gt;&lt;R&gt;1&lt;/R&gt;&lt;C&gt;1&lt;/C&gt;&lt;D xsi:type="xsd:double"&gt;1966&lt;/D&gt;&lt;/FQL&gt;&lt;FQL&gt;&lt;Q&gt;Ticker0024^FE_ESTIMATE(DEFREVENUE_LT,MEAN,QUARTERLY_ROLL,2015/2F,45860,,,'')&lt;/Q&gt;&lt;R&gt;1&lt;/R&gt;&lt;C&gt;1&lt;/C&gt;&lt;D xsi:type="xsd:double"&gt;2035.2727&lt;/D&gt;&lt;/FQL&gt;&lt;FQL&gt;&lt;Q&gt;Ticker0024^FE_ESTIMATE(DEFREVENUE_LT,MEAN,QUARTERLY_ROLL,2015/1F,45860,,,'')&lt;/Q&gt;&lt;R&gt;1&lt;/R&gt;&lt;C&gt;1&lt;/C&gt;&lt;D xsi:type="xsd:double"&gt;1825&lt;/D&gt;&lt;/FQL&gt;&lt;FQL&gt;&lt;Q&gt;Ticker0024^FE_ESTIMATE(DEFREVENUE_ST,MEAN,ANNUAL_ROLL,2030,45860,,,'')&lt;/Q&gt;&lt;R&gt;0&lt;/R&gt;&lt;C&gt;0&lt;/C&gt;&lt;/FQL&gt;&lt;FQL&gt;&lt;Q&gt;Ticker0024^FE_ESTIMATE(DEFREVENUE_ST,MEAN,QUARTERLY_ROLL,2030/4F,45860,,,'')&lt;/Q&gt;&lt;R&gt;0&lt;/R&gt;&lt;C&gt;0&lt;/C&gt;&lt;/FQL&gt;&lt;FQL&gt;&lt;Q&gt;Ticker0024^FE_ESTIMATE(DEFREVENUE_ST,MEAN,QUARTERLY_ROLL,2030/3F,45860,,,'')&lt;/Q&gt;&lt;R&gt;0&lt;/R&gt;&lt;C&gt;0&lt;/C&gt;&lt;/FQL&gt;&lt;FQL&gt;&lt;Q&gt;Ticker0024^FE_ESTIMATE(DEFREVENUE_ST,MEAN,QUARTERLY_ROLL,2030/2F,45860,,,'')&lt;/Q&gt;&lt;R&gt;0&lt;/R&gt;&lt;C&gt;0&lt;/C&gt;&lt;/FQL&gt;&lt;FQL&gt;&lt;Q&gt;Ticker0024^FE_ESTIMATE(DEFREVENUE_ST,MEAN,QUARTERLY_ROLL,2030/1F,45860,,,'')&lt;/Q&gt;&lt;R&gt;0&lt;/R&gt;&lt;C&gt;0&lt;/C&gt;&lt;/FQL&gt;&lt;FQL&gt;&lt;Q&gt;Ticker0024^FE_ESTIMATE(DEFREVENUE_ST,MEAN,ANNUAL_ROLL,2029,45860,,,'')&lt;/Q&gt;&lt;R&gt;0&lt;/R&gt;&lt;C&gt;0&lt;/C&gt;&lt;/FQL&gt;&lt;FQL&gt;&lt;Q&gt;Ticker0024^FE_ESTIMATE(DEFREVENUE_ST,MEAN,QUARTERLY_ROLL,2029/4F,45860,,,'')&lt;/Q&gt;&lt;R&gt;0&lt;/R&gt;&lt;C&gt;0&lt;/C&gt;&lt;/FQL&gt;&lt;FQL&gt;&lt;Q&gt;Ticker0024^FE_ESTIMATE(DEFREVENUE_ST,MEAN,QUARTERLY_ROLL,2029/3F,45860,,,'')&lt;/Q&gt;&lt;R&gt;0&lt;/R&gt;&lt;C&gt;0&lt;/C&gt;&lt;/FQL&gt;&lt;FQL&gt;&lt;Q&gt;Ticker0024^FE_ESTIMATE(DEFREVENUE_ST,MEAN,QUARTERLY_ROLL,2029/2F,45860,,,'')&lt;/Q&gt;&lt;R&gt;0&lt;/R&gt;&lt;C&gt;0&lt;/C&gt;&lt;/FQL&gt;&lt;FQL&gt;&lt;Q&gt;Ticker0024^FE_ESTIMATE(DEFREVENUE_ST,MEAN,QUARTERLY_ROLL,2029/1F,45860,,,'')&lt;/Q&gt;&lt;R&gt;0&lt;/R&gt;&lt;C&gt;0&lt;/C&gt;&lt;/FQL&gt;&lt;FQL&gt;&lt;Q&gt;Ticker0024^FE_ESTIMATE(DEFREVENUE_ST,MEAN,ANNUAL_ROLL,2028,45860,,,'')&lt;/Q&gt;&lt;R&gt;0&lt;/R&gt;&lt;C&gt;0&lt;/C&gt;&lt;/FQL&gt;&lt;FQL&gt;&lt;Q&gt;Ticker0024^FE_ESTIMATE(DEFREVENUE_ST,MEAN,QUARTERLY_ROLL,2028/4F,45860,,,'')&lt;/Q&gt;&lt;R&gt;0&lt;/R&gt;&lt;C&gt;0&lt;/C&gt;&lt;/FQL&gt;&lt;FQL&gt;&lt;Q&gt;Ticker0024^FE_ESTIMATE(DEFREVENUE_ST,MEAN,QUARTERLY_ROLL,2028/3F,45860,,,'')&lt;/Q&gt;&lt;R&gt;0&lt;/R&gt;&lt;C&gt;0&lt;/C&gt;&lt;/FQL&gt;&lt;FQL&gt;&lt;Q&gt;Ticker0024^FE_ESTIMATE(DEFREVENUE_ST,MEAN,QUARTERLY_ROLL,2028/2F,45860,,,'')&lt;/Q&gt;&lt;R&gt;0&lt;/R&gt;&lt;C&gt;0&lt;/C&gt;&lt;/FQL&gt;&lt;FQL&gt;&lt;Q&gt;Ticker0024^FE_ESTIMATE(DEFREVENUE_ST,MEAN,QUARTERLY_ROLL,2028/1F,45860,,,'')&lt;/Q&gt;&lt;R&gt;0&lt;/R&gt;&lt;C&gt;0&lt;/C&gt;&lt;/FQL&gt;&lt;FQL&gt;&lt;Q&gt;Ticker0024^FE_ESTIMATE(DEFREVENUE_ST,MEAN,ANNUAL_ROLL,2027,45860,,,'')&lt;/Q&gt;&lt;R&gt;1&lt;/R&gt;&lt;C&gt;1&lt;/C&gt;&lt;D xsi:type="xsd:double"&gt;67290.53&lt;/D&gt;&lt;/FQL&gt;&lt;FQL&gt;&lt;Q&gt;Ticker0024^FE_ESTIMATE(DEFREVENUE_ST,MEAN,QUARTERLY_ROLL,2027/4F,45860,,,'')&lt;/Q&gt;&lt;R&gt;1&lt;/R&gt;&lt;C&gt;1&lt;/C&gt;&lt;D xsi:type="xsd:double"&gt;78321&lt;/D&gt;&lt;/FQL&gt;&lt;FQL&gt;&lt;Q&gt;Ticker0024^FE_ESTIMATE(DEFREVENUE_ST,MEAN,QUARTERLY_ROLL,2027/3F,45860,,,'')&lt;/Q&gt;&lt;R&gt;1&lt;/R&gt;&lt;C&gt;1&lt;/C&gt;&lt;D xsi:type="xsd:double"&gt;57828.5&lt;/D&gt;&lt;/FQL&gt;&lt;FQL&gt;&lt;Q&gt;Ticker0024^FE_ESTIMATE(DEFREVENUE_ST,MEAN,QUARTERLY_ROLL,2027/2F,45860,,,'')&lt;/Q&gt;&lt;R&gt;1&lt;/R&gt;&lt;C&gt;1&lt;/C&gt;&lt;D xsi:type="xsd:double"&gt;58954&lt;/D&gt;&lt;/FQL&gt;&lt;FQL&gt;&lt;Q&gt;Ticker0024^FE_ESTIMATE(DEFREVENUE_ST,MEAN,QUARTERLY_ROLL,2027/1F,45860,,,'')&lt;/Q&gt;&lt;R&gt;1&lt;/R&gt;&lt;C&gt;1&lt;/C&gt;&lt;D xsi:type="xsd:double"&gt;65414&lt;/D&gt;&lt;/FQL&gt;&lt;FQL&gt;&lt;Q&gt;Ticker0024^FE_ESTIMATE(DEFREVENUE_ST,MEAN,ANNUAL_ROLL,2026,45860,,,'')&lt;/Q&gt;&lt;R&gt;1&lt;/R&gt;&lt;C&gt;1&lt;/C&gt;&lt;D xsi:type="xsd:double"&gt;65050.75&lt;/D&gt;&lt;/FQL&gt;&lt;FQL&gt;&lt;Q&gt;Ticker0024^FE_ESTIMATE(DEFREVENUE_ST,MEAN,QUARTERLY_ROLL,2026/4F,45860,,,'')&lt;/Q&gt;&lt;R&gt;1&lt;/R&gt;&lt;C&gt;1&lt;/C&gt;&lt;D xsi:type="xsd:double"&gt;68173.5&lt;/D&gt;&lt;/FQL&gt;&lt;FQL&gt;&lt;Q&gt;Ticker0024^FE_ESTIMATE(DEFREVENUE_ST,MEAN,QUARTERLY_ROLL,2026/3F,45860,,,'')&lt;/Q&gt;&lt;R&gt;1&lt;/R&gt;&lt;C&gt;1&lt;/C&gt;&lt;D xsi:type="xsd:double"&gt;49667&lt;/D&gt;&lt;/FQL&gt;&lt;FQL&gt;&lt;Q&gt;Ticker0024^FE_ESTIMATE(DEFREVENUE_ST,MEAN,QUARTERLY_ROLL,2026/2F,45860,,,'')&lt;/Q&gt;&lt;R&gt;1&lt;/R&gt;&lt;C&gt;1&lt;/C&gt;&lt;D xsi:type="xsd:double"&gt;50700.25&lt;/D&gt;&lt;/FQL&gt;&lt;FQL&gt;&lt;Q&gt;Ticker0024^FE_ESTIMATE(DEFREVENUE_ST,MEAN,QUARTERLY_ROLL,2026/1F,45860,,,'')&lt;/Q&gt;&lt;R&gt;1&lt;/R&gt;&lt;C&gt;1&lt;/C&gt;&lt;D xsi:type="xsd:double"&gt;57084.25&lt;/D&gt;&lt;/FQL&gt;&lt;FQL&gt;&lt;Q&gt;Ticker0024^FE_ESTIMATE(DEFREVENUE_ST,MEAN,ANNUAL_ROLL,2025,45860,,,'')&lt;/Q&gt;&lt;R&gt;1&lt;/R&gt;&lt;C&gt;1&lt;/C&gt;&lt;D xsi:type="xsd:double"&gt;61514.7&lt;/D&gt;&lt;/FQL&gt;&lt;FQL&gt;&lt;Q&gt;Ticker0024^FE_ESTIMATE(DEFREVENUE_ST,MEAN,QUARTERLY_ROLL,2025/4F,45860,,,'')&lt;/Q&gt;&lt;R&gt;1&lt;/R&gt;&lt;C&gt;1&lt;/C&gt;&lt;D xsi:type="xsd:double"&gt;60842.984&lt;/D&gt;&lt;/FQL&gt;&lt;FQL&gt;&lt;Q&gt;Ticker0024^FE_ESTIMATE(DEFREVENUE_ST,MEAN,QUARTERLY_ROLL,2025/3F,45860,,,'')&lt;/Q&gt;&lt;R&gt;1&lt;/R&gt;&lt;C&gt;1&lt;/C&gt;&lt;D xsi:type="xsd:double"&gt;44636.668&lt;/D&gt;&lt;/FQL&gt;&lt;FQL&gt;&lt;Q&gt;Ticker0024^FE_ESTIMATE(DEFREVENUE_ST,MEAN,QUARTERLY_ROLL,2025/2F,45860,,,'')&lt;/Q&gt;&lt;R&gt;1&lt;/R&gt;&lt;C&gt;1&lt;/C&gt;&lt;D xsi:type="xsd:double"&gt;45508.332&lt;/D&gt;&lt;/FQL&gt;&lt;FQL&gt;&lt;Q&gt;Ticker0024^FE_ESTIMATE(DEFREVENUE_ST,MEAN,QUARTERLY_ROLL,2025/1F,45860,,,'')&lt;/Q&gt;&lt;R&gt;1&lt;/R&gt;&lt;C&gt;1&lt;/C&gt;&lt;D xsi:type="xsd:double"&gt;53026.5&lt;/D&gt;&lt;/FQL&gt;&lt;FQL&gt;&lt;Q&gt;Ticker0024^FE_ESTIMATE(DEFREVENUE_ST,MEAN,ANNUAL_ROLL,2024,45860,,,'')&lt;/Q&gt;&lt;R&gt;1&lt;/R&gt;&lt;C&gt;1&lt;/C&gt;&lt;D xsi:type="xsd:double"&gt;57725&lt;/D&gt;&lt;/FQL&gt;&lt;FQL&gt;&lt;Q&gt;Ticker0024^FE_ESTIMATE(DEFREVENUE_ST,MEAN,QUARTERLY_ROLL,2024/4F,45860,,,'')&lt;/Q&gt;&lt;R&gt;1&lt;/R&gt;&lt;C&gt;1&lt;/C&gt;&lt;D xsi:type="xsd:double"&gt;57581.75&lt;/D&gt;&lt;/FQL&gt;&lt;FQL&gt;&lt;Q&gt;Ticker0024^FE_ESTIMATE(DEFREVENUE_ST,MEAN,QUARTERLY_ROLL,2024/3F,45860,,,'')&lt;/Q&gt;&lt;R&gt;1&lt;/R&gt;&lt;C&gt;1&lt;/C&gt;&lt;D xsi:type="xsd:double"&gt;41888.285&lt;/D&gt;&lt;/FQL&gt;&lt;FQL&gt;&lt;Q&gt;Ticker0024^FE_ESTIMATE(DEFREVENUE_ST,MEAN,QUARTERLY_ROLL,2024/2F,45860,,,'')&lt;/Q&gt;&lt;R&gt;1&lt;/R&gt;&lt;C&gt;1&lt;/C&gt;&lt;D xsi:type="xsd:double"&gt;43068.285&lt;/D&gt;&lt;/FQL&gt;&lt;FQL&gt;&lt;Q&gt;Ticker0024^FE_ESTIMATE(DEFREVENUE_ST,MEAN,QUARTERLY_ROLL,2024/1F,45860,,,'')&lt;/Q&gt;&lt;R&gt;1&lt;/R&gt;&lt;C&gt;1&lt;/C&gt;&lt;D xsi:type="xsd:double"&gt;46429.168&lt;/D&gt;&lt;/FQL&gt;&lt;FQL&gt;&lt;Q&gt;Ticker0024^FE_ESTIMATE(DEFREVENUE_ST,MEAN,ANNUAL_ROLL,2023,45860,,,'')&lt;/Q&gt;&lt;R&gt;1&lt;/R&gt;&lt;C&gt;1&lt;/C&gt;&lt;D xsi:type="xsd:double"&gt;50900.875&lt;/D&gt;&lt;/FQL&gt;&lt;FQL&gt;&lt;Q&gt;Ticker0024^FE_ESTIMATE(DEFREVENUE_ST,MEAN,QUARTERLY_ROLL,2023/4F,45860,,,'')&lt;/Q&gt;&lt;R&gt;1&lt;/R&gt;&lt;C&gt;1&lt;/C&gt;&lt;D xsi:type="xsd:double"&gt;50900.855&lt;/D&gt;&lt;/FQL&gt;&lt;FQL&gt;&lt;Q&gt;Ticker0024^FE_ESTIMATE(DEFREVENUE_ST,MEAN,QUARTERLY_ROLL,2023/3F,45860,,,'')&lt;/Q&gt;&lt;R&gt;1&lt;/R&gt;&lt;C&gt;1&lt;/C&gt;&lt;D xsi:type="xsd:double"&gt;36902.5&lt;/D&gt;&lt;/FQL&gt;&lt;FQL&gt;&lt;Q&gt;Ticker0024^FE_ESTIMATE(DEFREVENUE_ST,MEAN,QUARTERLY_ROLL,2023/2F,45860,,,'')&lt;/Q&gt;&lt;R&gt;1&lt;/R&gt;&lt;C&gt;1&lt;/C&gt;&lt;D xsi:type="xsd:double"&gt;36981.668&lt;/D&gt;&lt;/FQL&gt;&lt;FQL&gt;&lt;Q&gt;Ticker0024^FE_ESTIMATE(DEFREVENUE_ST,MEAN,QUARTERLY_ROLL,2023/1F,45860,,,'')&lt;/Q&gt;&lt;R&gt;1&lt;/R&gt;&lt;C&gt;1&lt;/C&gt;&lt;D xsi:type="xsd:double"&gt;41340&lt;/D&gt;&lt;/FQL&gt;&lt;FQL&gt;&lt;Q&gt;Ticker0024^FE_ESTIMATE(DEFREVENUE_ST,MEAN,ANNUAL_ROLL,2022,45860,,,'')&lt;/Q&gt;&lt;R&gt;1&lt;/R&gt;&lt;C&gt;1&lt;/C&gt;&lt;D xsi:type="xsd:double"&gt;45538&lt;/D&gt;&lt;/FQL&gt;&lt;FQL&gt;&lt;Q&gt;Ticker0024^FE_ESTIMATE(DEFREVENUE_ST,MEAN,QUARTERLY_ROLL,2022/4F,45860,,,'')&lt;/Q&gt;&lt;R&gt;1&lt;/R&gt;&lt;C&gt;1&lt;/C&gt;&lt;D xsi:type="xsd:double"&gt;45538&lt;/D&gt;&lt;/FQL&gt;&lt;FQL&gt;&lt;Q&gt;Ticker0024^FE_ESTIMATE(DEFREVENUE_ST,MEAN,QUARTERLY_ROLL,2022/3F,45860,,,'')&lt;/Q&gt;&lt;R&gt;1&lt;/R&gt;&lt;C&gt;1&lt;/C&gt;&lt;D xsi:type="xsd:double"&gt;34027&lt;/D&gt;&lt;/FQL&gt;&lt;FQL&gt;&lt;Q&gt;Ticker0024^FE_ESTIMATE(DEFREVENUE_ST,MEAN,QUARTERLY_ROLL,2022/2F,45860,,,'')&lt;/Q&gt;&lt;R&gt;1&lt;/R&gt;&lt;C&gt;1&lt;/C&gt;&lt;D xsi:type="xsd:double"&gt;34001&lt;/D&gt;&lt;/FQL&gt;&lt;FQL&gt;&lt;Q&gt;Ticker0024^FE_ESTIMATE(DEFREVENUE_ST,MEAN,QUARTERLY_ROLL,2022/1F,45860,,,'')&lt;/Q&gt;&lt;R&gt;1&lt;/R&gt;&lt;C&gt;1&lt;/C&gt;&lt;D xsi:type="xsd:double"&gt;38465&lt;/D&gt;&lt;/FQL&gt;&lt;FQL&gt;&lt;Q&gt;Ticker0024^FE_ESTIMATE(DEFREVENUE_ST,MEAN,ANNUAL_ROLL,2021,45860,,,'')&lt;/Q&gt;&lt;R&gt;1&lt;/R&gt;&lt;C&gt;1&lt;/C&gt;&lt;D xsi:type="xsd:double"&gt;41525&lt;/D&gt;&lt;/FQL&gt;&lt;FQL&gt;&lt;Q&gt;Ticker0024^FE_ESTIMATE(DEFREVENUE_ST,MEAN,QUARTERLY_ROLL,2021/4F,45860,,,'')&lt;/Q&gt;&lt;R&gt;1&lt;/R&gt;&lt;C&gt;1&lt;/C&gt;&lt;D xsi:type="xsd:double"&gt;41525&lt;/D&gt;&lt;/FQL&gt;&lt;FQL&gt;&lt;Q&gt;Ticker0024^FE_ESTIMATE(DEFREVENUE_ST,MEAN,QUARTERLY_ROLL,2021/3F,45860,,,'')&lt;/Q&gt;&lt;R&gt;1&lt;/R&gt;&lt;C&gt;1&lt;/C&gt;&lt;D xsi:type="xsd:double"&gt;30083&lt;/D&gt;&lt;/FQL&gt;&lt;FQL&gt;&lt;Q&gt;Ticker0024^FE_ESTIMATE(DEFREVENUE_ST,MEAN,QUARTERLY_ROLL,2021/2F,45860,,,'')&lt;/Q&gt;&lt;R&gt;1&lt;/R&gt;&lt;C&gt;1&lt;/C&gt;&lt;D xsi:type="xsd:double"&gt;30402&lt;/D&gt;&lt;/FQL&gt;&lt;FQL&gt;&lt;Q&gt;Ticker0024^FE_ESTIMATE(DEFREVENUE_ST,MEAN,QUARTERLY_ROLL,2021/1F,45860,,,'')&lt;/Q&gt;&lt;R&gt;1&lt;/R&gt;&lt;C&gt;1&lt;/C&gt;&lt;D xsi:type="xsd:double"&gt;33476&lt;/D&gt;&lt;/FQL&gt;&lt;FQL&gt;&lt;Q&gt;Ticker0024^FE_ESTIMATE(DEFREVENUE_ST,MEAN,ANNUAL_ROLL,2020,45860,,,'')&lt;/Q&gt;&lt;R&gt;1&lt;/R&gt;&lt;C&gt;1&lt;/C&gt;&lt;D xsi:type="xsd:double"&gt;36000&lt;/D&gt;&lt;/FQL&gt;&lt;FQL&gt;&lt;Q&gt;Ticker0024^FE_ESTIMATE(DEFREVENUE_ST,MEAN,QUARTERLY_ROLL,2020/4F,45860,,,'')&lt;/Q&gt;&lt;R&gt;1&lt;/R&gt;&lt;C&gt;1&lt;/C&gt;&lt;D xsi:type="xsd:double"&gt;36000&lt;/D&gt;&lt;/FQL&gt;&lt;FQL&gt;&lt;Q&gt;Ticker0024^FE_ESTIMATE(DEFREVENUE_ST,MEAN,QUARTERLY_ROLL,2020/3F,45860,,,'')&lt;/Q&gt;&lt;R&gt;1&lt;/R&gt;&lt;C&gt;1&lt;/C&gt;&lt;D xsi:type="xsd:double"&gt;27012&lt;/D&gt;&lt;/FQL&gt;&lt;FQL&gt;&lt;Q&gt;Ticker0024^FE_ESTIMATE(DEFREVENUE_ST,MEAN,QUARTERLY_ROLL,2020/2F,45860,,,'')&lt;/Q&gt;&lt;R&gt;1&lt;/R&gt;&lt;C&gt;1&lt;/C&gt;&lt;D xsi:type="xsd:double"&gt;27343&lt;/D&gt;&lt;/FQL&gt;&lt;FQL&gt;&lt;Q&gt;Ticker0024^FE_ESTIMATE(DEFREVENUE_ST,MEAN,QUARTERLY_ROLL,2020/1F,45860,,,'')&lt;/Q&gt;&lt;R&gt;1&lt;/R&gt;&lt;C&gt;1&lt;/C&gt;&lt;D xsi:type="xsd:double"&gt;29904&lt;/D&gt;&lt;/FQL&gt;&lt;FQL&gt;&lt;Q&gt;Ticker0024^FE_ESTIMATE(DEFREVENUE_ST,MEAN,ANNUAL_ROLL,2019,45860,,,'')&lt;/Q&gt;&lt;R&gt;1&lt;/R&gt;&lt;C&gt;1&lt;/C&gt;&lt;D xsi:type="xsd:double"&gt;32676&lt;/D&gt;&lt;/FQL&gt;&lt;FQL&gt;&lt;Q&gt;Ticker0024^FE_ESTIMATE(DEFREVENUE_ST,MEAN,QUARTERLY_ROLL,2019/4F,45860,,,'')&lt;/Q&gt;&lt;R&gt;1&lt;/R&gt;&lt;C&gt;1&lt;/C&gt;&lt;D xsi:type="xsd:double"&gt;32676&lt;/D&gt;&lt;/FQL&gt;&lt;FQL&gt;&lt;Q&gt;Ticker0024^FE_ESTIMATE(DEFREVENUE_ST,MEAN,QUARTERLY_ROLL,2019/3F,45860,,,'')&lt;/Q&gt;&lt;R&gt;1&lt;/R&gt;&lt;C&gt;1&lt;/C&gt;&lt;D xsi:type="xsd:double"&gt;24251&lt;/D&gt;&lt;/FQL&gt;&lt;FQL&gt;&lt;Q&gt;Ticker0024^FE_ESTIMATE(DEFREVENUE_ST,MEAN,QUARTERLY_ROLL,2019/2F,45860,,,'')&lt;/Q&gt;&lt;R&gt;1&lt;/R&gt;&lt;C&gt;1&lt;/C&gt;&lt;D xsi:type="xsd:double"&gt;24285&lt;/D&gt;&lt;/FQL&gt;&lt;FQL&gt;&lt;Q&gt;Ticker0024^FE_ESTIMATE(DEFREVENUE_ST,MEAN,QUARTERLY_ROLL,2019/1F,45860,,,'')&lt;/Q&gt;&lt;R&gt;1&lt;/R&gt;&lt;C&gt;1&lt;/C&gt;&lt;D xsi:type="xsd:double"&gt;26704&lt;/D&gt;&lt;/FQL&gt;&lt;FQL&gt;&lt;Q&gt;Ticker0024^FE_ESTIMATE(DEFREVENUE_ST,MEAN,ANNUAL_ROLL,2018,45860,,,'')&lt;/Q&gt;&lt;R&gt;1&lt;/R&gt;&lt;C&gt;1&lt;/C&gt;&lt;D xsi:type="xsd:double"&gt;28905&lt;/D&gt;&lt;/FQL&gt;&lt;FQL&gt;&lt;Q&gt;Ticker0024^FE_ESTIMATE(DEFREVENUE_ST,MEAN,QUARTERLY_ROLL,2018/4F,45860,,,'')&lt;/Q&gt;&lt;R&gt;1&lt;/R&gt;&lt;C&gt;1&lt;/C&gt;&lt;D xsi:type="xsd:double"&gt;28905&lt;/D&gt;&lt;/FQL&gt;&lt;FQL&gt;&lt;Q&gt;Ticker0024^FE_ESTIMATE(DEFREVENUE_ST,MEAN,QUARTERLY_ROLL,2018/3F,45860,,,'')&lt;/Q&gt;&lt;R&gt;1&lt;/R&gt;&lt;C&gt;1&lt;/C&gt;&lt;D xsi:type="xsd:double"&gt;21370&lt;/D&gt;&lt;/FQL&gt;&lt;FQL&gt;&lt;Q&gt;Ticker0024^FE_ESTIMATE(DEFREVENUE_ST,MEAN,QUARTERLY_ROLL,2018/2F,45860,,,'')&lt;/Q&gt;&lt;R&gt;1&lt;/R&gt;&lt;C&gt;1&lt;/C&gt;&lt;D xsi:type="xsd:double"&gt;21559&lt;/D&gt;&lt;/FQL&gt;&lt;FQL&gt;&lt;Q&gt;Ticker0024^FE_ESTIMATE(DEFREVENUE_ST,MEAN,QUARTERLY_ROLL,2018/1F,45860,,,'')&lt;/Q&gt;&lt;R&gt;1&lt;/R&gt;&lt;C&gt;1&lt;/C&gt;&lt;D xsi:type="xsd:double"&gt;22990.6&lt;/D&gt;&lt;/FQL&gt;&lt;FQL&gt;&lt;Q&gt;Ticker0024^FE_ESTIMATE(DEFREVENUE_ST,MEAN,ANNUAL_ROLL,2017,45860,,,'')&lt;/Q&gt;&lt;R&gt;1&lt;/R&gt;&lt;C&gt;1&lt;/C&gt;&lt;D xsi:type="xsd:double"&gt;34102&lt;/D&gt;&lt;/FQL&gt;&lt;FQL&gt;&lt;Q&gt;Ticker0024^FE_ESTIMATE(DEFREVENUE_ST,MEAN,QUARTERLY_ROLL,2017/4F,45860,,,'')&lt;/Q&gt;&lt;R&gt;1&lt;/R&gt;&lt;C&gt;1&lt;/C&gt;&lt;D xsi:type="xsd:double"&gt;34102&lt;/D&gt;&lt;/FQL&gt;&lt;FQL&gt;&lt;Q&gt;Ticker0024^FE_ESTIMATE(DEFREVENUE_ST,MEAN,QUARTERLY_ROLL,2017/3F,45860,,,'')&lt;/Q&gt;&lt;R&gt;1&lt;/R&gt;&lt;C&gt;1&lt;/C&gt;&lt;D xsi:type="xsd:double"&gt;26518&lt;/D&gt;&lt;/FQL&gt;&lt;FQL&gt;&lt;Q&gt;Ticker0024^FE_ESTIMATE(DEFREVENUE_ST,MEAN,QUARTERLY_ROLL,2017/2F,45860,,,'')&lt;/Q&gt;&lt;R&gt;1&lt;/R&gt;&lt;C&gt;1&lt;/C&gt;&lt;D xsi:type="xsd:double"&gt;25983&lt;/D&gt;&lt;/FQL&gt;&lt;FQL&gt;&lt;Q&gt;Ticker0024^FE_ESTIMATE(DEFREVENUE_ST,MEAN,QUARTERLY_ROLL,2017/1F,45860,,,'')&lt;/Q&gt;&lt;R&gt;1&lt;/R&gt;&lt;C&gt;1&lt;/C&gt;&lt;D xsi:type="xsd:double"&gt;26304&lt;/D&gt;&lt;/FQL&gt;&lt;FQL&gt;&lt;Q&gt;Ticker0024^FE_ESTIMATE(DEFREVENUE_ST,MEAN,ANNUAL_ROLL,2016,45860,,,'')&lt;/Q&gt;&lt;R&gt;1&lt;/R&gt;&lt;C&gt;1&lt;/C&gt;&lt;D xsi:type="xsd:double"&gt;27468&lt;/D&gt;&lt;/FQL&gt;&lt;FQL&gt;&lt;Q&gt;Ticker0024^FE_ESTIMATE(DEFREVENUE_ST,MEAN,QUARTERLY_ROLL,2016/4F,45860,,,'')&lt;/Q&gt;&lt;R&gt;1&lt;/R&gt;&lt;C&gt;1&lt;/C&gt;&lt;D xsi:type="xsd:double"&gt;27468&lt;/D&gt;&lt;/FQL&gt;&lt;FQL&gt;&lt;Q&gt;Ticker0024^FE_ESTIMATE(DEFREVENUE_ST,MEAN,QUARTERLY_ROLL,2016/3F,45860,,,'')&lt;/Q&gt;&lt;R&gt;1&lt;/R&gt;&lt;C&gt;1&lt;/C&gt;&lt;D xsi:type="xsd:double"&gt;20876&lt;/D&gt;&lt;/FQL&gt;&lt;FQL&gt;&lt;Q&gt;Ticker0024^FE_ESTIMATE(DEFREVENUE_ST,MEAN,QUARTERLY_ROLL,2016/2F,45860,,,'')&lt;/Q&gt;&lt;R&gt;1&lt;/R&gt;&lt;C&gt;1&lt;/C&gt;&lt;D xsi:type="xsd:double"&gt;20929&lt;/D&gt;&lt;/FQL&gt;&lt;FQL&gt;&lt;Q&gt;Ticker0024^FE_ESTIMATE(DEFREVENUE_ST,MEAN,QUARTERLY_ROLL,2016/1F,45860,,,'')&lt;/Q&gt;&lt;R&gt;1&lt;/R&gt;&lt;C&gt;1&lt;/C&gt;&lt;D xsi:type="xsd:double"&gt;21603&lt;/D&gt;&lt;/FQL&gt;&lt;FQL&gt;&lt;Q&gt;Ticker0024^FE_ESTIMATE(DEFREVENUE_ST,MEAN,ANNUAL_ROLL,2015,45860,,,'')&lt;/Q&gt;&lt;R&gt;1&lt;/R&gt;&lt;C&gt;1&lt;/C&gt;&lt;D xsi:type="xsd:double"&gt;23223&lt;/D&gt;&lt;/FQL&gt;&lt;FQL&gt;&lt;Q&gt;Ticker0024^FE_ESTIMATE(DEFREVENUE_ST,MEAN,QUARTERLY_ROLL,2015/4F,45860,,,'')&lt;/Q&gt;&lt;R&gt;1&lt;/R&gt;&lt;C&gt;1&lt;/C&gt;&lt;D xsi:type="xsd:double"&gt;23223&lt;/D&gt;&lt;/FQL&gt;&lt;FQL&gt;&lt;Q&gt;Ticker0024^FE_ESTIMATE(DEFREVENUE_ST,MEAN,QUARTERLY_ROLL,2015/3F,45860,,,'')&lt;/Q&gt;&lt;R&gt;1&lt;/R&gt;&lt;C&gt;1&lt;/C&gt;&lt;D xsi:type="xsd:double"&gt;18232&lt;/D&gt;&lt;/FQL&gt;&lt;FQL&gt;&lt;Q&gt;Ticker0024^FE_ESTIMATE(DEFREVENUE_ST,MEAN,QUARTERLY_ROLL,2015/2F,45860,,,'')&lt;/Q&gt;&lt;R&gt;1&lt;/R&gt;&lt;C&gt;1&lt;/C&gt;&lt;D xsi:type="xsd:double"&gt;19192&lt;/D&gt;&lt;/FQL&gt;&lt;FQL&gt;&lt;Q&gt;Ticker0024^FE_ESTIMATE(DEFREVENUE_ST,MEAN,QUARTERLY_ROLL,2015/1F,45860,,,'')&lt;/Q&gt;&lt;R&gt;1&lt;/R&gt;&lt;C&gt;1&lt;/C&gt;&lt;D xsi:type="xsd:double"&gt;20713&lt;/D&gt;&lt;/FQL&gt;&lt;FQL&gt;&lt;Q&gt;Ticker0024^FE_ESTIMATE(FCF,MEAN,ANNUAL_ROLL,2030,45860,,,'')&lt;/Q&gt;&lt;R&gt;1&lt;/R&gt;&lt;C&gt;1&lt;/C&gt;&lt;D xsi:type="xsd:double"&gt;164430&lt;/D&gt;&lt;/FQL&gt;&lt;FQL&gt;&lt;Q&gt;Ticker0024^FE_ESTIMATE(FCF,MEAN,QUARTERLY_ROLL,2030/4F,45860,,,'')&lt;/Q&gt;&lt;R&gt;0&lt;/R&gt;&lt;C&gt;0&lt;/C&gt;&lt;/FQL&gt;&lt;FQL&gt;&lt;Q&gt;Ticker0024^FE_ESTIMATE(FCF,MEAN,QUARTERLY_ROLL,2030/3F,45860,,,'')&lt;/Q&gt;&lt;R&gt;0&lt;/R&gt;&lt;C&gt;0&lt;/C&gt;&lt;/FQL&gt;&lt;FQL&gt;&lt;Q&gt;Ticker0024^FE_ESTIMATE(FCF,MEAN,QUARTERLY_ROLL,2030/2F,45860,,,'')&lt;/Q&gt;&lt;R&gt;0&lt;/R&gt;&lt;C&gt;0&lt;/C&gt;&lt;/FQL&gt;&lt;FQL&gt;&lt;Q&gt;Ticker0024^FE_ESTIMATE(FCF,MEAN,QUARTERLY_ROLL,2030/1F,45860,,,'')&lt;/Q&gt;&lt;R&gt;0&lt;/R&gt;&lt;C&gt;0&lt;/C&gt;&lt;/FQL&gt;&lt;FQL&gt;&lt;Q&gt;Ticker0024^FE_ESTIMATE(FCF,MEAN,ANNUAL_ROLL,2029,45860,,,'')&lt;/Q&gt;&lt;R&gt;1&lt;/R&gt;&lt;C&gt;1&lt;/C&gt;&lt;D xsi:type="xsd:double"&gt;144549.5&lt;/D&gt;&lt;/FQL&gt;&lt;FQL&gt;&lt;Q&gt;Ticker0024^FE_ESTIMATE(FCF,MEAN,QUARTERLY_ROLL,2029/4F,45860,,,'')&lt;/Q&gt;&lt;R&gt;0&lt;/R&gt;&lt;C&gt;0&lt;/C&gt;&lt;/FQL&gt;&lt;FQL&gt;&lt;Q&gt;Ticker0024^FE_ESTIMATE(FCF,MEAN,QUARTERLY_ROLL,2029/3F,45860,,,'')&lt;/Q&gt;&lt;R&gt;0&lt;/R&gt;&lt;C&gt;0&lt;/C&gt;&lt;/FQL&gt;&lt;FQL&gt;&lt;Q&gt;Ticker0024^FE_ESTIMATE(FCF,MEAN,QUARTERLY_ROLL,2029/2F,45860,,,'')&lt;/Q&gt;&lt;R&gt;0&lt;/R&gt;&lt;C&gt;0&lt;/C&gt;&lt;/FQL&gt;&lt;FQL&gt;&lt;Q&gt;Ticker0024^FE_ESTIMATE(FCF,MEAN,QUARTERLY_ROLL,2029/1F,45860,,,'')&lt;/Q&gt;&lt;R&gt;0&lt;/R&gt;&lt;C&gt;0&lt;/C&gt;&lt;/FQL&gt;&lt;FQL&gt;&lt;Q&gt;Ticker0024^FE_ESTIMATE(FCF,MEAN,ANNUAL_ROLL,2028,45860,,,'')&lt;/Q&gt;&lt;R&gt;1&lt;/R&gt;&lt;C&gt;1&lt;/C&gt;&lt;D xsi:type="xsd:double"&gt;132649.92&lt;/D&gt;&lt;/FQL&gt;&lt;FQL&gt;&lt;Q&gt;Ticker0024^FE_ESTIMATE(FCF,MEAN,QUARTERLY_ROLL,2028/4F,45860,,,'')&lt;/Q&gt;&lt;R&gt;0&lt;/R&gt;&lt;C&gt;0&lt;/C&gt;&lt;/FQL&gt;&lt;FQL&gt;&lt;Q&gt;Ticker0024^FE_ESTIMATE(FCF,MEAN,QUARTERLY_ROLL,2028/3F,45860,,,'')&lt;/Q&gt;&lt;R&gt;0&lt;/R&gt;&lt;C&gt;0&lt;/C&gt;&lt;/FQL&gt;&lt;FQL&gt;&lt;Q&gt;Ticker0024^FE_ESTIMATE(FCF,MEAN,QUARTERLY_ROLL,2028/2F,45860,,,'')&lt;/Q&gt;&lt;R&gt;0&lt;/R&gt;&lt;C&gt;0&lt;/C&gt;&lt;/FQL&gt;&lt;FQL&gt;&lt;Q&gt;Ticker0024^FE_ESTIMATE(FCF,MEAN,QUARTERLY_ROLL,2028/1F,45860,,,'')&lt;/Q&gt;&lt;R&gt;0&lt;/R&gt;&lt;C&gt;0&lt;/C&gt;&lt;/FQL&gt;&lt;FQL&gt;&lt;Q&gt;Ticker0024^FE_ESTIMATE(FCF,MEAN,ANNUAL_ROLL,2027,45860,,,'')&lt;/Q&gt;&lt;R&gt;1&lt;/R&gt;&lt;C&gt;1&lt;/C&gt;&lt;D xsi:type="xsd:double"&gt;98588.76&lt;/D&gt;&lt;/FQL&gt;&lt;FQL&gt;&lt;Q&gt;Ticker0024^FE_ESTIMATE(FCF,MEAN,QUARTERLY_ROLL,2027/4F,45860,,,'')&lt;/Q&gt;&lt;R&gt;1&lt;/R&gt;&lt;C&gt;1&lt;/C&gt;&lt;D xsi:type="xsd:double"&gt;27945&lt;/D&gt;&lt;/FQL&gt;&lt;FQL&gt;&lt;Q&gt;Ticker0024^FE_ESTIMATE(FCF,MEAN,QUARTERLY_ROLL,2027/3F,45860,,,'')&lt;/Q&gt;&lt;R&gt;1&lt;/R&gt;&lt;C&gt;1&lt;/C&gt;&lt;D xsi:type="xsd:double"&gt;25369&lt;/D&gt;&lt;/FQL&gt;&lt;FQL&gt;&lt;Q&gt;Ticker0024^FE_ESTIMATE(FCF,MEAN,QUARTERLY_ROLL,2027/2F,45860,,,'')&lt;/Q&gt;&lt;R&gt;1&lt;/R&gt;&lt;C&gt;1&lt;/C&gt;&lt;D xsi:type="xsd:double"&gt;10321&lt;/D&gt;&lt;/FQL&gt;&lt;FQL&gt;&lt;Q&gt;Ticker0024^FE_ESTIMATE(FCF,MEAN,QUARTERLY_ROLL,2027/1F,45860,,,'')&lt;/Q&gt;&lt;R&gt;1&lt;/R&gt;&lt;C&gt;1&lt;/C&gt;&lt;D xsi:type="xsd:double"&gt;27258.5&lt;/D&gt;&lt;/FQL&gt;&lt;FQL&gt;&lt;Q&gt;Ticker0024^FE_ESTIMATE(FCF,MEAN,ANNUAL_ROLL,2026,45860,,,'')&lt;/Q&gt;&lt;R&gt;1&lt;/R&gt;&lt;C&gt;1&lt;/C&gt;&lt;D xsi:type="xsd:double"&gt;76818.79&lt;/D&gt;&lt;/FQL&gt;&lt;FQL&gt;&lt;Q&gt;Ticker0024^FE_ESTIMATE(FCF,MEAN,QUARTERLY_ROLL,2026/4F,45860,,,'')&lt;/Q&gt;&lt;R&gt;1&lt;/R&gt;&lt;C&gt;1&lt;/C&gt;&lt;D xsi:type="xsd:double"&gt;19086.076&lt;/D&gt;&lt;/FQL&gt;&lt;FQL&gt;&lt;Q&gt;Ticker0024^FE_ESTIMATE(FCF,MEAN,QUARTERLY_ROLL,2026/3F,45860,,,'')&lt;/Q&gt;&lt;R&gt;1&lt;/R&gt;&lt;C&gt;1&lt;/C&gt;&lt;D xsi:type="xsd:double"&gt;19656.098&lt;/D&gt;&lt;/FQL&gt;&lt;FQL&gt;&lt;Q&gt;Ticker0024^FE_ESTIMATE(FCF,MEAN,QUARTERLY_ROLL,2026/2F,45860,,,'')&lt;/Q&gt;&lt;R&gt;1&lt;/R&gt;&lt;C&gt;1&lt;/C&gt;&lt;D xsi:type="xsd:double"&gt;8732.923&lt;/D&gt;&lt;/FQL&gt;&lt;FQL&gt;&lt;Q&gt;Ticker0024^FE_ESTIMATE(FCF,MEAN,QUARTERLY_ROLL,2026/1F,45860,,,'')&lt;/Q&gt;&lt;R&gt;1&lt;/R&gt;&lt;C&gt;1&lt;/C&gt;&lt;D xsi:type="xsd:double"&gt;25547.447&lt;/D&gt;&lt;/FQL&gt;&lt;FQL&gt;&lt;Q&gt;Ticker0024^FE_ESTIMATE(FCF,MEAN,ANNUAL_ROLL,2025,45860,,,'')&lt;/Q&gt;&lt;R&gt;1&lt;/R&gt;&lt;C&gt;1&lt;/C&gt;&lt;D xsi:type="xsd:double"&gt;67083.086&lt;/D&gt;&lt;/FQL&gt;&lt;FQL&gt;&lt;Q&gt;Ticker0024^FE_ESTIMATE(FCF,MEAN,QUARTERLY_ROLL,2025/4F,45860,,,'')&lt;/Q&gt;&lt;R&gt;1&lt;/R&gt;&lt;C&gt;1&lt;/C&gt;&lt;D xsi:type="xsd:double"&gt;20332.186&lt;/D&gt;&lt;/FQL&gt;&lt;FQL&gt;&lt;Q&gt;Ticker0024^FE_ESTIMATE(FCF,MEAN,QUARTERLY_ROLL,2025/3F,45860,,,'')&lt;/Q&gt;&lt;R&gt;1&lt;/R&gt;&lt;C&gt;1&lt;/C&gt;&lt;D xsi:type="xsd:double"&gt;20237.75&lt;/D&gt;&lt;/FQL&gt;&lt;FQL&gt;&lt;Q&gt;Ticker0024^FE_ESTIMATE(FCF,MEAN,QUARTERLY_ROLL,2025/2F,45860,,,'')&lt;/Q&gt;&lt;R&gt;1&lt;/R&gt;&lt;C&gt;1&lt;/C&gt;&lt;D xsi:type="xsd:double"&gt;6393.533&lt;/D&gt;&lt;/FQL&gt;&lt;FQL&gt;&lt;Q&gt;Ticker0024^FE_ESTIMATE(FCF,MEAN,QUARTERLY_ROLL,2025/1F,45860,,,'')&lt;/Q&gt;&lt;R&gt;1&lt;/R&gt;&lt;C&gt;1&lt;/C&gt;&lt;D xsi:type="xsd:double"&gt;18738.584&lt;/D&gt;&lt;/FQL&gt;&lt;FQL&gt;&lt;Q&gt;Ticker0024^FE_ESTIMATE(FCF,MEAN,ANNUAL_ROLL,2024,45860,,,'')&lt;/Q&gt;&lt;R&gt;1&lt;/R&gt;&lt;C&gt;1&lt;/C&gt;&lt;D xsi:type="xsd:double"&gt;72678.9&lt;/D&gt;&lt;/FQL&gt;&lt;FQL&gt;&lt;Q&gt;Ticker0024^FE_ESTIMATE(FCF,MEAN,QUARTERLY_ROLL,2024/4F,45860,,,'')&lt;/Q&gt;&lt;R&gt;1&lt;/R&gt;&lt;C&gt;1&lt;/C&gt;&lt;D xsi:type="xsd:double"&gt;22275.834&lt;/D&gt;&lt;/FQL&gt;&lt;FQL&gt;&lt;Q&gt;Ticker0024^FE_ESTIMATE(FCF,MEAN,QUARTERLY_ROLL,2024/3F,45860,,,'')&lt;/Q&gt;&lt;R&gt;1&lt;/R&gt;&lt;C&gt;1&lt;/C&gt;&lt;D xsi:type="xsd:double"&gt;20634.766&lt;/D&gt;&lt;/FQL&gt;&lt;FQL&gt;&lt;Q&gt;Ticker0024^FE_ESTIMATE(FCF,MEAN,QUARTERLY_ROLL,2024/2F,45860,,,'')&lt;/Q&gt;&lt;R&gt;1&lt;/R&gt;&lt;C&gt;1&lt;/C&gt;&lt;D xsi:type="xsd:double"&gt;6218.222&lt;/D&gt;&lt;/FQL&gt;&lt;FQL&gt;&lt;Q&gt;Ticker0024^FE_ESTIMATE(FCF,MEAN,QUARTERLY_ROLL,2024/1F,45860,,,'')&lt;/Q&gt;&lt;R&gt;1&lt;/R&gt;&lt;C&gt;1&lt;/C&gt;&lt;D xsi:type="xsd:double"&gt;21096.059&lt;/D&gt;&lt;/FQL&gt;&lt;FQL&gt;&lt;Q&gt;Ticker0024^FE_ESTIMATE(FCF,MEAN,ANNUAL_ROLL,2023,45860,,,'')&lt;/Q&gt;&lt;R&gt;1&lt;/R&gt;&lt;C&gt;1&lt;/C&gt;&lt;D xsi:type="xsd:double"&gt;60085.832&lt;/D&gt;&lt;/FQL&gt;&lt;FQL&gt;&lt;Q&gt;Ticker0024^FE_ESTIMATE(FCF,MEAN,QUARTERLY_ROLL,2023/4F,45860,,,'')&lt;/Q&gt;&lt;R&gt;1&lt;/R&gt;&lt;C&gt;1&lt;/C&gt;&lt;D xsi:type="xsd:double"&gt;19492.357&lt;/D&gt;&lt;/FQL&gt;&lt;FQL&gt;&lt;Q&gt;Ticker0024^FE_ESTIMATE(FCF,MEAN,QUARTERLY_ROLL,2023/3F,45860,,,'')&lt;/Q&gt;&lt;R&gt;1&lt;/R&gt;&lt;C&gt;1&lt;/C&gt;&lt;D xsi:type="xsd:double"&gt;17765.25&lt;/D&gt;&lt;/FQL&gt;&lt;FQL&gt;&lt;Q&gt;Ticker0024^FE_ESTIMATE(FCF,MEAN,QUARTERLY_ROLL,2023/2F,45860,,,'')&lt;/Q&gt;&lt;R&gt;1&lt;/R&gt;&lt;C&gt;1&lt;/C&gt;&lt;D xsi:type="xsd:double"&gt;5507.533&lt;/D&gt;&lt;/FQL&gt;&lt;FQL&gt;&lt;Q&gt;Ticker0024^FE_ESTIMATE(FCF,MEAN,QUARTERLY_ROLL,2023/1F,45860,,,'')&lt;/Q&gt;&lt;R&gt;1&lt;/R&gt;&lt;C&gt;1&lt;/C&gt;&lt;D xsi:type="xsd:double"&gt;17698&lt;/D&gt;&lt;/FQL&gt;&lt;FQL&gt;&lt;Q&gt;Ticker0024^FE_ESTIMATE(FCF,MEAN,ANNUAL_ROLL,2022,45860,,,'')&lt;/Q&gt;&lt;R&gt;1&lt;/R&gt;&lt;C&gt;1&lt;/C&gt;&lt;D xsi:type="xsd:double"&gt;65067.133&lt;/D&gt;&lt;/FQL&gt;&lt;FQL&gt;&lt;Q&gt;Ticker0024^FE_ESTIMATE(FCF,MEAN,QUARTERLY_ROLL,2022/4F,45860,,,'')&lt;/Q&gt;&lt;R&gt;1&lt;/R&gt;&lt;C&gt;1&lt;/C&gt;&lt;D xsi:type="xsd:double"&gt;17158&lt;/D&gt;&lt;/FQL&gt;&lt;FQL&gt;&lt;Q&gt;Ticker0024^FE_ESTIMATE(FCF,MEAN,QUARTERLY_ROLL,2022/3F,45860,,,'')&lt;/Q&gt;&lt;R&gt;1&lt;/R&gt;&lt;C&gt;1&lt;/C&gt;&lt;D xsi:type="xsd:double"&gt;19608.334&lt;/D&gt;&lt;/FQL&gt;&lt;FQL&gt;&lt;Q&gt;Ticker0024^FE_ESTIMATE(FCF,MEAN,QUARTERLY_ROLL,2022/2F,45860,,,'')&lt;/Q&gt;&lt;R&gt;1&lt;/R&gt;&lt;C&gt;1&lt;/C&gt;&lt;D xsi:type="xsd:double"&gt;9409.818&lt;/D&gt;&lt;/FQL&gt;&lt;FQL&gt;&lt;Q&gt;Ticker0024^FE_ESTIMATE(FCF,MEAN,QUARTERLY_ROLL,2022/1F,45860,,,'')&lt;/Q&gt;&lt;R&gt;1&lt;/R&gt;&lt;C&gt;1&lt;/C&gt;&lt;D xsi:type="xsd:double"&gt;18285.334&lt;/D&gt;&lt;/FQL&gt;&lt;FQL&gt;&lt;Q&gt;Ticker0024^FE_ESTIMATE(FCF,MEAN,ANNUAL_ROLL,2021,45860,,,'')&lt;/Q&gt;&lt;R&gt;1&lt;/R&gt;&lt;C&gt;1&lt;/C&gt;&lt;D xsi:type="xsd:double"&gt;55483.777&lt;/D&gt;&lt;/FQL&gt;&lt;FQL&gt;&lt;Q&gt;Ticker0024^FE_ESTIMATE(FCF,MEAN,QUARTERLY_ROLL,2021/4F,45860,,,'')&lt;/Q&gt;&lt;R&gt;1&lt;/R&gt;&lt;C&gt;1&lt;/C&gt;&lt;D xsi:type="xsd:double"&gt;15893.833&lt;/D&gt;&lt;/FQL&gt;&lt;FQL&gt;&lt;Q&gt;Ticker0024^FE_ESTIMATE(FCF,MEAN,QUARTERLY_ROLL,2021/3F,45860,,,'')&lt;/Q&gt;&lt;R&gt;1&lt;/R&gt;&lt;C&gt;1&lt;/C&gt;&lt;D xsi:type="xsd:double"&gt;16693.5&lt;/D&gt;&lt;/FQL&gt;&lt;FQL&gt;&lt;Q&gt;Ticker0024^FE_ESTIMATE(FCF,MEAN,QUARTERLY_ROLL,2021/2F,45860,,,'')&lt;/Q&gt;&lt;R&gt;1&lt;/R&gt;&lt;C&gt;1&lt;/C&gt;&lt;D xsi:type="xsd:double"&gt;9098&lt;/D&gt;&lt;/FQL&gt;&lt;FQL&gt;&lt;Q&gt;Ticker0024^FE_ESTIMATE(FCF,MEAN,QUARTERLY_ROLL,2021/1F,45860,,,'')&lt;/Q&gt;&lt;R&gt;1&lt;/R&gt;&lt;C&gt;1&lt;/C&gt;&lt;D xsi:type="xsd:double"&gt;13974.333&lt;/D&gt;&lt;/FQL&gt;&lt;FQL&gt;&lt;Q&gt;Ticker0024^FE_ESTIMATE(FCF,MEAN,ANNUAL_ROLL,2020,45860,,,'')&lt;/Q&gt;&lt;R&gt;1&lt;/R&gt;&lt;C&gt;1&lt;/C&gt;&lt;D xsi:type="xsd:double"&gt;45095.453&lt;/D&gt;&lt;/FQL&gt;&lt;FQL&gt;&lt;Q&gt;Ticker0024^FE_ESTIMATE(FCF,MEAN,QUARTERLY_ROLL,2020/4F,45860,,,'')&lt;/Q&gt;&lt;R&gt;1&lt;/R&gt;&lt;C&gt;1&lt;/C&gt;&lt;D xsi:type="xsd:double"&gt;13391.667&lt;/D&gt;&lt;/FQL&gt;&lt;FQL&gt;&lt;Q&gt;Ticker0024^FE_ESTIMATE(FCF,MEAN,QUARTERLY_ROLL,2020/3F,45860,,,'')&lt;/Q&gt;&lt;R&gt;1&lt;/R&gt;&lt;C&gt;1&lt;/C&gt;&lt;D xsi:type="xsd:double"&gt;13437&lt;/D&gt;&lt;/FQL&gt;&lt;FQL&gt;&lt;Q&gt;Ticker0024^FE_ESTIMATE(FCF,MEAN,QUARTERLY_ROLL,2020/2F,45860,,,'')&lt;/Q&gt;&lt;R&gt;1&lt;/R&gt;&lt;C&gt;1&lt;/C&gt;&lt;D xsi:type="xsd:double"&gt;7641.3335&lt;/D&gt;&lt;/FQL&gt;&lt;FQL&gt;&lt;Q&gt;Ticker0024^FE_ESTIMATE(FCF,MEAN,QUARTERLY_ROLL,2020/1F,45860,,,'')&lt;/Q&gt;&lt;R&gt;1&lt;/R&gt;&lt;C&gt;1&lt;/C&gt;&lt;D xsi:type="xsd:double"&gt;10215.875&lt;/D&gt;&lt;/FQL&gt;&lt;FQL&gt;&lt;Q&gt;Ticker0024^FE_ESTIMATE(FCF,MEAN,ANNUAL_ROLL,2019,45860,,,'')&lt;/Q&gt;&lt;R&gt;1&lt;/R&gt;&lt;C&gt;1&lt;/C&gt;&lt;D xsi:type="xsd:double"&gt;38085.168&lt;/D&gt;&lt;/FQL&gt;&lt;FQL&gt;&lt;Q&gt;Ticker0024^FE_ESTIMATE(FCF,MEAN,QUARTERLY_ROLL,2019/4F,45860,,,'')&lt;/Q&gt;&lt;R&gt;1&lt;/R&gt;&lt;C&gt;1&lt;/C&gt;&lt;D xsi:type="xsd:double"&gt;11695.728&lt;/D&gt;&lt;/FQL&gt;&lt;FQL&gt;&lt;Q&gt;Ticker0024^FE_ESTIMATE(FCF,MEAN,QUARTERLY_ROLL,2019/3F,45860,,,'')&lt;/Q&gt;&lt;R&gt;1&lt;/R&gt;&lt;C&gt;1&lt;/C&gt;&lt;D xsi:type="xsd:double"&gt;10834.333&lt;/D&gt;&lt;/FQL&gt;&lt;FQL&gt;&lt;Q&gt;Ticker0024^FE_ESTIMATE(FCF,MEAN,QUARTERLY_ROLL,2019/2F,45860,,,'')&lt;/Q&gt;&lt;R&gt;1&lt;/R&gt;&lt;C&gt;1&lt;/C&gt;&lt;D xsi:type="xsd:double"&gt;5420.25&lt;/D&gt;&lt;/FQL&gt;&lt;FQL&gt;&lt;Q&gt;Ticker0024^FE_ESTIMATE(FCF,MEAN,QUARTERLY_ROLL,2019/1F,45860,,,'')&lt;/Q&gt;&lt;R&gt;1&lt;/R&gt;&lt;C&gt;1&lt;/C&gt;&lt;D xsi:type="xsd:double"&gt;9414.454&lt;/D&gt;&lt;/FQL&gt;&lt;FQL&gt;&lt;Q&gt;Ticker0024^FE_ESTIMATE(FCF,MEAN,ANNUAL_ROLL,2018,45860,,,'')&lt;/Q&gt;&lt;R&gt;1&lt;/R&gt;&lt;C&gt;1&lt;/C&gt;&lt;D xsi:type="xsd:double"&gt;32102.77&lt;/D&gt;&lt;/FQL&gt;&lt;FQL&gt;&lt;Q&gt;Ticker0024^FE_ESTIMATE(FCF,MEAN,QUARTERLY_ROLL,2018/4F,45860,,,'')&lt;/Q&gt;&lt;R&gt;1&lt;/R&gt;&lt;C&gt;1&lt;/C&gt;&lt;D xsi:type="xsd:double"&gt;7717.909&lt;/D&gt;&lt;/FQL&gt;&lt;FQL&gt;&lt;Q&gt;Ticker0024^FE_ESTIMATE(FCF,MEAN,QUARTERLY_ROLL,2018/3F,45860,,,'')&lt;/Q&gt;&lt;R&gt;1&lt;/R&gt;&lt;C&gt;1&lt;/C&gt;&lt;D xsi:type="xsd:double"&gt;8967.363&lt;/D&gt;&lt;/FQL&gt;&lt;FQL&gt;&lt;Q&gt;Ticker0024^FE_ESTIMATE(FCF,MEAN,QUARTERLY_ROLL,2018/2F,45860,,,'')&lt;/Q&gt;&lt;R&gt;1&lt;/R&gt;&lt;C&gt;1&lt;/C&gt;&lt;D xsi:type="xsd:double"&gt;5426.1665&lt;/D&gt;&lt;/FQL&gt;&lt;FQL&gt;&lt;Q&gt;Ticker0024^FE_ESTIMATE(FCF,MEAN,QUARTERLY_ROLL,2018/1F,45860,,,'')&lt;/Q&gt;&lt;R&gt;1&lt;/R&gt;&lt;C&gt;1&lt;/C&gt;&lt;D xsi:type="xsd:double"&gt;9866.75&lt;/D&gt;&lt;/FQL&gt;&lt;FQL&gt;&lt;Q&gt;Ticker0024^FE_ESTIMATE(FCF,MEAN,ANNUAL_ROLL,2017,45860,,,'')&lt;/Q&gt;&lt;R&gt;1&lt;/R&gt;&lt;C&gt;1&lt;/C&gt;&lt;D xsi:type="xsd:double"&gt;30380.875&lt;/D&gt;&lt;/FQL&gt;&lt;FQL&gt;&lt;Q&gt;Ticker0024^FE_ESTIMATE(FCF,MEAN,QUARTERLY_ROLL,2017/4F,45860,,,'')&lt;/Q&gt;&lt;R&gt;1&lt;/R&gt;&lt;C&gt;1&lt;/C&gt;&lt;D xsi:type="xsd:double"&gt;8029.2&lt;/D&gt;&lt;/FQL&gt;&lt;FQL&gt;&lt;Q&gt;Ticker0024^FE_ESTIMATE(FCF,MEAN,QUARTERLY_ROLL,2017/3F,45860,,,'')&lt;/Q&gt;&lt;R&gt;1&lt;/R&gt;&lt;C&gt;1&lt;/C&gt;&lt;D xsi:type="xsd:double"&gt;8506&lt;/D&gt;&lt;/FQL&gt;&lt;FQL&gt;&lt;Q&gt;Ticker0024^FE_ESTIMATE(FCF,MEAN,QUARTERLY_ROLL,2017/2F,45860,,,'')&lt;/Q&gt;&lt;R&gt;1&lt;/R&gt;&lt;C&gt;1&lt;/C&gt;&lt;D xsi:type="xsd:double"&gt;4305&lt;/D&gt;&lt;/FQL&gt;&lt;FQL&gt;&lt;Q&gt;Ticker0024^FE_ESTIMATE(FCF,MEAN,QUARTERLY_ROLL,2017/1F,45860,,,'')&lt;/Q&gt;&lt;R&gt;1&lt;/R&gt;&lt;C&gt;1&lt;/C&gt;&lt;D xsi:type="xsd:double"&gt;9382&lt;/D&gt;&lt;/FQL&gt;&lt;FQL&gt;&lt;Q&gt;Ticker0024^FE_ESTIMATE(FCF,MEAN,ANNUAL_ROLL,2016,45860,,,'')&lt;/Q&gt;&lt;R&gt;1&lt;/R&gt;&lt;C&gt;1&lt;/C&gt;&lt;D xsi:type="xsd:double"&gt;24212.758&lt;/D&gt;&lt;/FQL&gt;&lt;FQL&gt;&lt;Q&gt;Ticker0024^FE_ESTIMATE(FCF,MEAN,QUARTERLY_ROLL,2016/4F,45860,,,'')&lt;/Q&gt;&lt;R&gt;1&lt;/R&gt;&lt;C&gt;1&lt;/C&gt;&lt;D xsi:type="xsd:double"&gt;5742&lt;/D&gt;&lt;/FQL&gt;&lt;FQL&gt;&lt;Q&gt;Ticker0024^FE_ESTIMATE(FCF,MEAN,QUARTERLY_ROLL,2016/3F,45860,,,'')&lt;/Q&gt;&lt;R&gt;1&lt;/R&gt;&lt;C&gt;1&lt;/C&gt;&lt;D xsi:type="xsd:double"&gt;6915.5625&lt;/D&gt;&lt;/FQL&gt;&lt;FQL&gt;&lt;Q&gt;Ticker0024^FE_ESTIMATE(FCF,MEAN,QUARTERLY_ROLL,2016/2F,45860,,,'')&lt;/Q&gt;&lt;R&gt;1&lt;/R&gt;&lt;C&gt;1&lt;/C&gt;&lt;D xsi:type="xsd:double"&gt;3510.5&lt;/D&gt;&lt;/FQL&gt;&lt;FQL&gt;&lt;Q&gt;Ticker0024^FE_ESTIMATE(FCF,MEAN,QUARTERLY_ROLL,2016/1F,45860,,,'')&lt;/Q&gt;&lt;R&gt;1&lt;/R&gt;&lt;C&gt;1&lt;/C&gt;&lt;D xsi:type="xsd:double"&gt;7124&lt;/D&gt;&lt;/FQL&gt;&lt;FQL&gt;&lt;Q&gt;Ticker0024^FE_ESTIMATE(FCF,MEAN,ANNUAL_ROLL,2015,45860,,,'')&lt;/Q&gt;&lt;R&gt;1&lt;/R&gt;&lt;C&gt;1&lt;/C&gt;&lt;D xsi:type="xsd:double"&gt;22531.357&lt;/D&gt;&lt;/FQL&gt;&lt;FQL&gt;&lt;Q&gt;Ticker0024^FE_ESTIMATE(FCF,MEAN,QUARTERLY_ROLL,2015/4F,45860,,,'')&lt;/Q&gt;&lt;R&gt;1&lt;/R&gt;&lt;C&gt;1&lt;/C&gt;&lt;D xsi:type="xsd:double"&gt;4565.622&lt;/D&gt;&lt;/FQL&gt;&lt;FQL&gt;&lt;Q&gt;Ticker0024^FE_ESTIMATE(FCF,MEAN,QUARTERLY_ROLL,2015/3F,45860,,,'')&lt;/Q&gt;&lt;R&gt;1&lt;/R&gt;&lt;C&gt;1&lt;/C&gt;&lt;D xsi:type="xsd:double"&gt;8155.857&lt;/D&gt;&lt;/FQL&gt;&lt;FQL&gt;&lt;Q&gt;Ticker0024^FE_ESTIMATE(FCF,MEAN,QUARTERLY_ROLL,2015/2F,45860,,,'')&lt;/Q&gt;&lt;R&gt;1&lt;/R&gt;&lt;C&gt;1&lt;/C&gt;&lt;D xsi:type="xsd:double"&gt;2850&lt;/D&gt;&lt;/FQL&gt;&lt;FQL&gt;&lt;Q&gt;Ticker0024^FE_ESTIMATE(FCF,MEAN,QUARTERLY_ROLL,2015/1F,45860,,,'')&lt;/Q&gt;&lt;R&gt;1&lt;/R&gt;&lt;C&gt;1&lt;/C&gt;&lt;D xsi:type="xsd:double"&gt;6849.033&lt;/D&gt;&lt;/FQL&gt;&lt;FQL&gt;&lt;Q&gt;Ticker0024^FE_ESTIMATE(CAPEX,MEAN,ANNUAL_ROLL,2030,45860,,,'')&lt;/Q&gt;&lt;R&gt;1&lt;/R&gt;&lt;C&gt;1&lt;/C&gt;&lt;D xsi:type="xsd:double"&gt;110059&lt;/D&gt;&lt;/FQL&gt;&lt;FQL&gt;&lt;Q&gt;Ticker0024^FE_ESTIMATE(CAPEX,MEAN,QUARTERLY_ROLL,2030/4F,45860,,,'')&lt;/Q&gt;&lt;R&gt;0&lt;/R&gt;&lt;C&gt;0&lt;/C&gt;&lt;/FQL&gt;&lt;FQL&gt;&lt;Q&gt;Ticker0024^FE_ESTIMATE(CAPEX,MEAN,QUARTERLY_ROLL,2030/3F,45860,,,'')&lt;/Q&gt;&lt;R&gt;0&lt;/R&gt;&lt;C&gt;0&lt;/C&gt;&lt;/FQL&gt;&lt;FQL&gt;&lt;Q&gt;Ticker0024^FE_ESTIMATE(CAPEX,MEAN,QUARTERLY_ROLL,2030/2F,45860,,,'')&lt;/Q&gt;&lt;R&gt;0&lt;/R&gt;&lt;C&gt;0&lt;/C&gt;&lt;/FQL&gt;&lt;FQL&gt;&lt;Q&gt;Ticker0024^FE_ESTIMATE(CAPEX,MEAN,QUARTERLY_ROLL,2030/1F,45860,,,'')&lt;/Q&gt;&lt;R&gt;0&lt;/R&gt;&lt;C&gt;0&lt;/C&gt;&lt;/FQL&gt;&lt;FQL&gt;&lt;Q&gt;Ticker0024^FE_ESTIMATE(CAPEX,MEAN,ANNUAL_ROLL,2029,45860,,,'')&lt;/Q&gt;&lt;R&gt;1&lt;/R&gt;&lt;C&gt;1&lt;/C&gt;&lt;D xsi:type="xsd:double"&gt;100054&lt;/D&gt;&lt;/FQL&gt;&lt;FQL&gt;&lt;Q&gt;Ticker0024^FE_ESTIMATE(CAPEX,MEAN,QUARTERLY_ROLL,2029/4F,45860,,,'')&lt;/Q&gt;&lt;R&gt;0&lt;/R&gt;&lt;C&gt;0&lt;/C&gt;&lt;/FQL&gt;&lt;FQL&gt;&lt;Q&gt;Ticker0024^FE_ESTIMATE(CAPEX,MEAN,QUARTERLY_ROLL,2029/3F,45860,,,'')&lt;/Q&gt;&lt;R&gt;0&lt;/R&gt;&lt;C&gt;0&lt;/C&gt;&lt;/FQL&gt;&lt;FQL&gt;&lt;Q&gt;Ticker0024^FE_ESTIMATE(CAPEX,MEAN,QUARTERLY_ROLL,2029/2F,45860,,,'')&lt;/Q&gt;&lt;R&gt;0&lt;/R&gt;&lt;C&gt;0&lt;/C&gt;&lt;/FQL&gt;&lt;FQL&gt;&lt;Q&gt;Ticker0024^FE_ESTIMATE(CAPEX,MEAN,QUARTERLY_ROLL,2029/1F,45860,,,'')&lt;/Q&gt;&lt;R&gt;0&lt;/R&gt;&lt;C&gt;0&lt;/C&gt;&lt;/FQL&gt;&lt;FQL&gt;&lt;Q&gt;Ticker0024^FE_ESTIMATE(CAPEX,MEAN,ANNUAL_ROLL,2028,45860,,,'')&lt;/Q&gt;&lt;R&gt;1&lt;/R&gt;&lt;C&gt;1&lt;/C&gt;&lt;D xsi:type="xsd:double"&gt;82371.31&lt;/D&gt;&lt;/FQL&gt;&lt;FQL&gt;&lt;Q&gt;Ticker0024^FE_ESTIMATE(CAPEX,MEAN,QUARTERLY_ROLL,2028/4F,45860,,,'')&lt;/Q&gt;&lt;R&gt;0&lt;/R&gt;&lt;C&gt;0&lt;/C&gt;&lt;/FQL&gt;&lt;FQL&gt;&lt;Q&gt;Ticker0024^FE_ESTIMATE(CAPEX,MEAN,QUARTERLY_ROLL,2028/3F,45860,,,'')&lt;/Q&gt;&lt;R&gt;0&lt;/R&gt;&lt;C&gt;0&lt;/C&gt;&lt;/FQL&gt;&lt;FQL&gt;&lt;Q&gt;Ticker0024^FE_ESTIMATE(CAPEX,MEAN,QUARTERLY_ROLL,2028/2F,45860,,,'')&lt;/Q&gt;&lt;R&gt;0&lt;/R&gt;&lt;C&gt;0&lt;/C&gt;&lt;/FQL&gt;&lt;FQL&gt;&lt;Q&gt;Ticker0024^FE_ESTIMATE(CAPEX,MEAN,QUARTERLY_ROLL,2028/1F,45860,,,'')&lt;/Q&gt;&lt;R&gt;0&lt;/R&gt;&lt;C&gt;0&lt;/C&gt;&lt;/FQL&gt;&lt;FQL&gt;&lt;Q&gt;Ticker0024^FE_ESTIMATE(CAPEX,MEAN,ANNUAL_ROLL,2027,45860,,,'')&lt;/Q&gt;&lt;R&gt;1&lt;/R&gt;&lt;C&gt;1&lt;/C&gt;&lt;D xsi:type="xsd:double"&gt;79655.27&lt;/D&gt;&lt;/FQL&gt;&lt;FQL&gt;&lt;Q&gt;Ticker0024^FE_ESTIMATE(CAPEX,MEAN,QUARTERLY_ROLL,2027/4F,45860,,,'')&lt;/Q&gt;&lt;R&gt;1&lt;/R&gt;&lt;C&gt;1&lt;/C&gt;&lt;D xsi:type="xsd:double"&gt;21006.055&lt;/D&gt;&lt;/FQL&gt;&lt;FQL&gt;&lt;Q&gt;Ticker0024^FE_ESTIMATE(CAPEX,MEAN,QUARTERLY_ROLL,2027/3F,45860,,,'')&lt;/Q&gt;&lt;R&gt;1&lt;/R&gt;&lt;C&gt;1&lt;/C&gt;&lt;D xsi:type="xsd:double"&gt;20195.736&lt;/D&gt;&lt;/FQL&gt;&lt;FQL&gt;&lt;Q&gt;Ticker0024^FE_ESTIMATE(CAPEX,MEAN,QUARTERLY_ROLL,2027/2F,45860,,,'')&lt;/Q&gt;&lt;R&gt;1&lt;/R&gt;&lt;C&gt;1&lt;/C&gt;&lt;D xsi:type="xsd:double"&gt;19868.709&lt;/D&gt;&lt;/FQL&gt;&lt;FQL&gt;&lt;Q&gt;Ticker0024^FE_ESTIMATE(CAPEX,MEAN,QUARTERLY_ROLL,2027/1F,45860,,,'')&lt;/Q&gt;&lt;R&gt;1&lt;/R&gt;&lt;C&gt;1&lt;/C&gt;&lt;D xsi:type="xsd:double"&gt;18816.762&lt;/D&gt;&lt;/FQL&gt;&lt;FQL&gt;&lt;Q&gt;Ticker0024^FE_ESTIMATE(CAPEX,MEAN,ANNUAL_ROLL,2026,45860,,,'')&lt;/Q&gt;&lt;R&gt;1&lt;/R&gt;&lt;C&gt;1&lt;/C&gt;&lt;D xsi:type="xsd:double"&gt;73740.85&lt;/D&gt;&lt;/FQL&gt;&lt;FQL&gt;&lt;Q&gt;Ticker0024^FE_ESTIMATE(CAPEX,MEAN,QUARTERLY_ROLL,2026/4F,45860,,,'')&lt;/Q&gt;&lt;R&gt;1&lt;/R&gt;&lt;C&gt;1&lt;/C&gt;&lt;D xsi:type="xsd:double"&gt;21073.127&lt;/D&gt;&lt;/FQL&gt;&lt;FQL&gt;&lt;Q&gt;Ticker0024^FE_ESTIMATE(CAPEX,MEAN,QUARTERLY_ROLL,2026/3F,45860,,,'')&lt;/Q&gt;&lt;R&gt;1&lt;/R&gt;&lt;C&gt;1&lt;/C&gt;&lt;D xsi:type="xsd:double"&gt;19307.945&lt;/D&gt;&lt;/FQL&gt;&lt;FQL&gt;&lt;Q&gt;Ticker0024^FE_ESTIMATE(CAPEX,MEAN,QUARTERLY_ROLL,2026/2F,45860,,,'')&lt;/Q&gt;&lt;R&gt;1&lt;/R&gt;&lt;C&gt;1&lt;/C&gt;&lt;D xsi:type="xsd:double"&gt;18812.234&lt;/D&gt;&lt;/FQL&gt;&lt;FQL&gt;&lt;Q&gt;Ticker0024^FE_ESTIMATE(CAPEX,MEAN,QUARTERLY_ROLL,2026/1F,45860,,,'')&lt;/Q&gt;&lt;R&gt;1&lt;/R&gt;&lt;C&gt;1&lt;/C&gt;&lt;D xsi:type="xsd:double"&gt;17826.541&lt;/D&gt;&lt;/FQL&gt;&lt;FQL&gt;&lt;Q&gt;Ticker0024^FE_ESTIMATE(CAPEX,MEAN,ANNUAL_ROLL,2025,45860,,,'')&lt;/Q&gt;&lt;R&gt;1&lt;/R&gt;&lt;C&gt;1&lt;/C&gt;&lt;D xsi:type="xsd:double"&gt;66326.586&lt;/D&gt;&lt;/FQL&gt;&lt;FQL&gt;&lt;Q&gt;Ticker0024^FE_ESTIMATE(CAPEX,MEAN,QUARTERLY_ROLL,2025/4F,45860,,,'')&lt;/Q&gt;&lt;R&gt;1&lt;/R&gt;&lt;C&gt;1&lt;/C&gt;&lt;D xsi:type="xsd:double"&gt;17834.62&lt;/D&gt;&lt;/FQL&gt;&lt;FQL&gt;&lt;Q&gt;Ticker0024^FE_ESTIMATE(CAPEX,MEAN,QUARTERLY_ROLL,2025/3F,45860,,,'')&lt;/Q&gt;&lt;R&gt;1&lt;/R&gt;&lt;C&gt;1&lt;/C&gt;&lt;D xsi:type="xsd:double"&gt;16745.313&lt;/D&gt;&lt;/FQL&gt;&lt;FQL&gt;&lt;Q&gt;Ticker0024^FE_ESTIMATE(CAPEX,MEAN,QUARTERLY_ROLL,2025/2F,45860,,,'')&lt;/Q&gt;&lt;R&gt;1&lt;/R&gt;&lt;C&gt;1&lt;/C&gt;&lt;D xsi:type="xsd:double"&gt;15788.9375&lt;/D&gt;&lt;/FQL&gt;&lt;FQL&gt;&lt;Q&gt;Ticker0024^FE_ESTIMATE(CAPEX,MEAN,QUARTERLY_ROLL,2025/1F,45860,,,'')&lt;/Q&gt;&lt;R&gt;1&lt;/R&gt;&lt;C&gt;1&lt;/C&gt;&lt;D xsi:type="xsd:double"&gt;14922.786&lt;/D&gt;&lt;/FQL&gt;&lt;FQL&gt;&lt;Q&gt;Ticker0024^FE_ESTIMATE(CAPEX,MEAN,ANNUAL_ROLL,2024,45860,,,'')&lt;/Q&gt;&lt;R&gt;1&lt;/R&gt;&lt;C&gt;1&lt;/C&gt;&lt;D xsi:type="xsd:double"&gt;44477.12&lt;/D&gt;&lt;/FQL&gt;&lt;FQL&gt;&lt;Q&gt;Ticker0024^FE_ESTIMATE(CAPEX,MEAN,QUARTERLY_ROLL,2024/4F,45860,,,'')&lt;/Q&gt;&lt;R&gt;1&lt;/R&gt;&lt;C&gt;1&lt;/C&gt;&lt;D xsi:type="xsd:double"&gt;13874.714&lt;/D&gt;&lt;/FQL&gt;&lt;FQL&gt;&lt;Q&gt;Ticker0024^FE_ESTIMATE(CAPEX,MEAN,QUARTERLY_ROLL,2024/3F,45860,,,'')&lt;/Q&gt;&lt;R&gt;1&lt;/R&gt;&lt;C&gt;1&lt;/C&gt;&lt;D xsi:type="xsd:double"&gt;10951.875&lt;/D&gt;&lt;/FQL&gt;&lt;FQL&gt;&lt;Q&gt;Ticker0024^FE_ESTIMATE(CAPEX,MEAN,QUARTERLY_ROLL,2024/2F,45860,,,'')&lt;/Q&gt;&lt;R&gt;1&lt;/R&gt;&lt;C&gt;1&lt;/C&gt;&lt;D xsi:type="xsd:double"&gt;10013.947&lt;/D&gt;&lt;/FQL&gt;&lt;FQL&gt;&lt;Q&gt;Ticker0024^FE_ESTIMATE(CAPEX,MEAN,QUARTERLY_ROLL,2024/1F,45860,,,'')&lt;/Q&gt;&lt;R&gt;1&lt;/R&gt;&lt;C&gt;1&lt;/C&gt;&lt;D xsi:type="xsd:double"&gt;10002.733&lt;/D&gt;&lt;/FQL&gt;&lt;FQL&gt;&lt;Q&gt;Ticker0024^FE_ESTIMATE(CAPEX,MEAN,ANNUAL_ROLL,2023,45860,,,'')&lt;/Q&gt;&lt;R&gt;1&lt;/R&gt;&lt;C&gt;1&lt;/C&gt;&lt;D xsi:type="xsd:double"&gt;28107.125&lt;/D&gt;&lt;/FQL&gt;&lt;FQL&gt;&lt;Q&gt;Ticker0024^FE_ESTIMATE(CAPEX,MEAN,QUARTERLY_ROLL,2023/4F,45860,,,'')&lt;/Q&gt;&lt;R&gt;1&lt;/R&gt;&lt;C&gt;1&lt;/C&gt;&lt;D xsi:type="xsd:double"&gt;8942.77&lt;/D&gt;&lt;/FQL&gt;&lt;FQL&gt;&lt;Q&gt;Ticker0024^FE_ESTIMATE(CAPEX,MEAN,QUARTERLY_ROLL,2023/3F,45860,,,'')&lt;/Q&gt;&lt;R&gt;1&lt;/R&gt;&lt;C&gt;1&lt;/C&gt;&lt;D xsi:type="xsd:double"&gt;6607.25&lt;/D&gt;&lt;/FQL&gt;&lt;FQL&gt;&lt;Q&gt;Ticker0024^FE_ESTIMATE(CAPEX,MEAN,QUARTERLY_ROLL,2023/2F,45860,,,'')&lt;/Q&gt;&lt;R&gt;1&lt;/R&gt;&lt;C&gt;1&lt;/C&gt;&lt;D xsi:type="xsd:double"&gt;6273.636&lt;/D&gt;&lt;/FQL&gt;&lt;FQL&gt;&lt;Q&gt;Ticker0024^FE_ESTIMATE(CAPEX,MEAN,QUARTERLY_ROLL,2023/1F,45860,,,'')&lt;/Q&gt;&lt;R&gt;1&lt;/R&gt;&lt;C&gt;1&lt;/C&gt;&lt;D xsi:type="xsd:double"&gt;6283&lt;/D&gt;&lt;/FQL&gt;&lt;FQL&gt;&lt;Q&gt;Ticker0024^FE_ESTIMATE(CAPEX,MEAN,ANNUAL_ROLL,2022,45860,,,'')&lt;/Q&gt;&lt;R&gt;1&lt;/R&gt;&lt;C&gt;1&lt;/C&gt;&lt;D xsi:type="xsd:double"&gt;24090.385&lt;/D&gt;&lt;/FQL&gt;&lt;FQL&gt;&lt;Q&gt;Ticker0024^FE_ESTIMATE(CAPEX,MEAN,QUARTERLY_ROLL,2022/4F,45860,,,'')&lt;/Q&gt;&lt;R&gt;1&lt;/R&gt;&lt;C&gt;1&lt;/C&gt;&lt;D xsi:type="xsd:double"&gt;7023.4165&lt;/D&gt;&lt;/FQL&gt;&lt;FQL&gt;&lt;Q&gt;Ticker0024^FE_ESTIMATE(CAPEX,MEAN,QUARTERLY_ROLL,2022/3F,45860,,,'')&lt;/Q&gt;&lt;R&gt;1&lt;/R&gt;&lt;C&gt;1&lt;/C&gt;&lt;D xsi:type="xsd:double"&gt;5436&lt;/D&gt;&lt;/FQL&gt;&lt;FQL&gt;&lt;Q&gt;Ticker0024^FE_ESTIMATE(CAPEX,MEAN,QUARTERLY_ROLL,2022/2F,45860,,,'')&lt;/Q&gt;&lt;R&gt;1&lt;/R&gt;&lt;C&gt;1&lt;/C&gt;&lt;D xsi:type="xsd:double"&gt;5958.5&lt;/D&gt;&lt;/FQL&gt;&lt;FQL&gt;&lt;Q&gt;Ticker0024^FE_ESTIMATE(CAPEX,MEAN,QUARTERLY_ROLL,2022/1F,45860,,,'')&lt;/Q&gt;&lt;R&gt;1&lt;/R&gt;&lt;C&gt;1&lt;/C&gt;&lt;D xsi:type="xsd:double"&gt;5954.5454&lt;/D&gt;&lt;/FQL&gt;&lt;FQL&gt;&lt;Q&gt;Ticker0024^FE_ESTIMATE(CAPEX,MEAN,ANNUAL_ROLL,2021,45860,,,'')&lt;/Q&gt;&lt;R&gt;1&lt;/R&gt;&lt;C&gt;1&lt;/C&gt;&lt;D xsi:type="xsd:double"&gt;20901.076&lt;/D&gt;&lt;/FQL&gt;&lt;FQL&gt;&lt;Q&gt;Ticker0024^FE_ESTIMATE(CAPEX,MEAN,QUARTERLY_ROLL,2021/4F,45860,,,'')&lt;/Q&gt;&lt;R&gt;1&lt;/R&gt;&lt;C&gt;1&lt;/C&gt;&lt;D xsi:type="xsd:double"&gt;6558&lt;/D&gt;&lt;/FQL&gt;&lt;FQL&gt;&lt;Q&gt;Ticker0024^FE_ESTIMATE(CAPEX,MEAN,QUARTERLY_ROLL,2021/3F,45860,,,'')&lt;/Q&gt;&lt;R&gt;1&lt;/R&gt;&lt;C&gt;1&lt;/C&gt;&lt;D xsi:type="xsd:double"&gt;5190.222&lt;/D&gt;&lt;/FQL&gt;&lt;FQL&gt;&lt;Q&gt;Ticker0024^FE_ESTIMATE(CAPEX,MEAN,QUARTERLY_ROLL,2021/2F,45860,,,'')&lt;/Q&gt;&lt;R&gt;1&lt;/R&gt;&lt;C&gt;1&lt;/C&gt;&lt;D xsi:type="xsd:double"&gt;4310.222&lt;/D&gt;&lt;/FQL&gt;&lt;FQL&gt;&lt;Q&gt;Ticker0024^FE_ESTIMATE(CAPEX,MEAN,QUARTERLY_ROLL,2021/1F,45860,,,'')&lt;/Q&gt;&lt;R&gt;1&lt;/R&gt;&lt;C&gt;1&lt;/C&gt;&lt;D xsi:type="xsd:double"&gt;4951.2&lt;/D&gt;&lt;/FQL&gt;&lt;FQL&gt;&lt;Q&gt;Ticker0024^FE_ESTIMATE(CAPEX,MEAN,ANNUAL_ROLL,2020,45860,,,'')&lt;/Q&gt;&lt;R&gt;1&lt;/R&gt;&lt;C&gt;1&lt;/C&gt;&lt;D xsi:type="xsd:double"&gt;15737.583&lt;/D&gt;&lt;/FQL&gt;&lt;FQL&gt;&lt;Q&gt;Ticker0024^FE_ESTIMATE(CAPEX,MEAN,QUARTERLY_ROLL,2020/4F,45860,,,'')&lt;/Q&gt;&lt;R&gt;1&lt;/R&gt;&lt;C&gt;1&lt;/C&gt;&lt;D xsi:type="xsd:double"&gt;4876&lt;/D&gt;&lt;/FQL&gt;&lt;FQL&gt;&lt;Q&gt;Ticker0024^FE_ESTIMATE(CAPEX,MEAN,QUARTERLY_ROLL,2020/3F,45860,,,'')&lt;/Q&gt;&lt;R&gt;1&lt;/R&gt;&lt;C&gt;1&lt;/C&gt;&lt;D xsi:type="xsd:double"&gt;3781.7778&lt;/D&gt;&lt;/FQL&gt;&lt;FQL&gt;&lt;Q&gt;Ticker0024^FE_ESTIMATE(CAPEX,MEAN,QUARTERLY_ROLL,2020/2F,45860,,,'')&lt;/Q&gt;&lt;R&gt;1&lt;/R&gt;&lt;C&gt;1&lt;/C&gt;&lt;D xsi:type="xsd:double"&gt;3640.5&lt;/D&gt;&lt;/FQL&gt;&lt;FQL&gt;&lt;Q&gt;Ticker0024^FE_ESTIMATE(CAPEX,MEAN,QUARTERLY_ROLL,2020/1F,45860,,,'')&lt;/Q&gt;&lt;R&gt;1&lt;/R&gt;&lt;C&gt;1&lt;/C&gt;&lt;D xsi:type="xsd:double"&gt;3526.5&lt;/D&gt;&lt;/FQL&gt;&lt;FQL&gt;&lt;Q&gt;Ticker0024^FE_ESTIMATE(CAPEX,MEAN,ANNUAL_ROLL,2019,45860,,,'')&lt;/Q&gt;&lt;R&gt;1&lt;/R&gt;&lt;C&gt;1&lt;/C&gt;&lt;D xsi:type="xsd:double"&gt;14123.333&lt;/D&gt;&lt;/FQL&gt;&lt;FQL&gt;&lt;Q&gt;Ticker0024^FE_ESTIMATE(CAPEX,MEAN,QUARTERLY_ROLL,2019/4F,45860,,,'')&lt;/Q&gt;&lt;R&gt;1&lt;/R&gt;&lt;C&gt;1&lt;/C&gt;&lt;D xsi:type="xsd:double"&gt;4300.8&lt;/D&gt;&lt;/FQL&gt;&lt;FQL&gt;&lt;Q&gt;Ticker0024^FE_ESTIMATE(CAPEX,MEAN,QUARTERLY_ROLL,2019/3F,45860,,,'')&lt;/Q&gt;&lt;R&gt;1&lt;/R&gt;&lt;C&gt;1&lt;/C&gt;&lt;D xsi:type="xsd:double"&gt;2648.5&lt;/D&gt;&lt;/FQL&gt;&lt;FQL&gt;&lt;Q&gt;Ticker0024^FE_ESTIMATE(CAPEX,MEAN,QUARTERLY_ROLL,2019/2F,45860,,,'')&lt;/Q&gt;&lt;R&gt;1&lt;/R&gt;&lt;C&gt;1&lt;/C&gt;&lt;D xsi:type="xsd:double"&gt;3736.6924&lt;/D&gt;&lt;/FQL&gt;&lt;FQL&gt;&lt;Q&gt;Ticker0024^FE_ESTIMATE(CAPEX,MEAN,QUARTERLY_ROLL,2019/1F,45860,,,'')&lt;/Q&gt;&lt;R&gt;1&lt;/R&gt;&lt;C&gt;1&lt;/C&gt;&lt;D xsi:type="xsd:double"&gt;3728.9092&lt;/D&gt;&lt;/FQL&gt;&lt;FQL&gt;&lt;Q&gt;Ticker0024^FE_ESTIMATE(CAPEX,MEAN,ANNUAL_ROLL,2018,45860,,,'')&lt;/Q&gt;&lt;R&gt;1&lt;/R&gt;&lt;C&gt;1&lt;/C&gt;&lt;D xsi:type="xsd:double"&gt;11958.8&lt;/D&gt;&lt;/FQL&gt;&lt;FQL&gt;&lt;Q&gt;Ticker0024^FE_ESTIMATE(CAPEX,MEAN,QUARTERLY_ROLL,2018/4F,45860,,,'')&lt;/Q&gt;&lt;R&gt;1&lt;/R&gt;&lt;C&gt;1&lt;/C&gt;&lt;D xsi:type="xsd:double"&gt;3993.3333&lt;/D&gt;&lt;/FQL&gt;&lt;FQL&gt;&lt;Q&gt;Ticker0024^FE_ESTIMATE(CAPEX,MEAN,QUARTERLY_ROLL,2018/3F,45860,,,'')&lt;/Q&gt;&lt;R&gt;1&lt;/R</t>
        </r>
      </text>
    </comment>
    <comment ref="A65" authorId="0" shapeId="0" xr:uid="{F01B968C-A15C-487F-808B-C0C6B1300AB3}">
      <text>
        <r>
          <rPr>
            <b/>
            <sz val="9"/>
            <color indexed="81"/>
            <rFont val="Tahoma"/>
            <family val="2"/>
          </rPr>
          <t>Author:type="xsd:double"&gt;2934&lt;/D&gt;&lt;/FQL&gt;&lt;FQL&gt;&lt;Q&gt;Ticker0024^FE_ESTIMATE(CAPEX,MEAN,QUARTERLY_ROLL,2018/2F,45860,,,'')&lt;/Q&gt;&lt;R&gt;1&lt;/R&gt;&lt;C&gt;1&lt;/C&gt;&lt;D xsi:type="xsd:double"&gt;2650.9092&lt;/D&gt;&lt;/FQL&gt;&lt;FQL&gt;&lt;Q&gt;Ticker0024^FE_ESTIMATE(CAPEX,MEAN,QUARTERLY_ROLL,2018/1F,45860,,,'')&lt;/Q&gt;&lt;R&gt;1&lt;/R&gt;&lt;C&gt;1&lt;/C&gt;&lt;D xsi:type="xsd:double"&gt;2132&lt;/D&gt;&lt;/FQL&gt;&lt;FQL&gt;&lt;Q&gt;Ticker0024^FE_ESTIMATE(CAPEX,MEAN,ANNUAL_ROLL,2017,45860,,,'')&lt;/Q&gt;&lt;R&gt;1&lt;/R&gt;&lt;C&gt;1&lt;/C&gt;&lt;D xsi:type="xsd:double"&gt;8129&lt;/D&gt;&lt;/FQL&gt;&lt;FQL&gt;&lt;Q&gt;Ticker0024^FE_ESTIMATE(CAPEX,MEAN,QUARTERLY_ROLL,2017/4F,45860,,,'')&lt;/Q&gt;&lt;R&gt;1&lt;/R&gt;&lt;C&gt;1&lt;/C&gt;&lt;D xsi:type="xsd:double"&gt;2283&lt;/D&gt;&lt;/FQL&gt;&lt;FQL&gt;&lt;Q&gt;Ticker0024^FE_ESTIMATE(CAPEX,MEAN,QUARTERLY_ROLL,2017/3F,45860,,,'')&lt;/Q&gt;&lt;R&gt;1&lt;/R&gt;&lt;C&gt;1&lt;/C&gt;&lt;D xsi:type="xsd:double"&gt;1767.909&lt;/D&gt;&lt;/FQL&gt;&lt;FQL&gt;&lt;Q&gt;Ticker0024^FE_ESTIMATE(CAPEX,MEAN,QUARTERLY_ROLL,2017/2F,45860,,,'')&lt;/Q&gt;&lt;R&gt;1&lt;/R&gt;&lt;C&gt;1&lt;/C&gt;&lt;D xsi:type="xsd:double"&gt;1988&lt;/D&gt;&lt;/FQL&gt;&lt;FQL&gt;&lt;Q&gt;Ticker0024^FE_ESTIMATE(CAPEX,MEAN,QUARTERLY_ROLL,2017/1F,45860,,,'')&lt;/Q&gt;&lt;R&gt;1&lt;/R&gt;&lt;C&gt;1&lt;/C&gt;&lt;D xsi:type="xsd:double"&gt;2163&lt;/D&gt;&lt;/FQL&gt;&lt;FQL&gt;&lt;Q&gt;Ticker0024^FE_ESTIMATE(CAPEX,MEAN,ANNUAL_ROLL,2016,45860,,,'')&lt;/Q&gt;&lt;R&gt;1&lt;/R&gt;&lt;C&gt;1&lt;/C&gt;&lt;D xsi:type="xsd:double"&gt;8343&lt;/D&gt;&lt;/FQL&gt;&lt;FQL&gt;&lt;Q&gt;Ticker0024^FE_ESTIMATE(CAPEX,MEAN,QUARTERLY_ROLL,2016/4F,45860,,,'')&lt;/Q&gt;&lt;R&gt;1&lt;/R&gt;&lt;C&gt;1&lt;/C&gt;&lt;D xsi:type="xsd:double"&gt;2655&lt;/D&gt;&lt;/FQL&gt;&lt;FQL&gt;&lt;Q&gt;Ticker0024^FE_ESTIMATE(CAPEX,MEAN,QUARTERLY_ROLL,2016/3F,45860,,,'')&lt;/Q&gt;&lt;R&gt;1&lt;/R&gt;&lt;C&gt;1&lt;/C&gt;&lt;D xsi:type="xsd:double"&gt;2308&lt;/D&gt;&lt;/FQL&gt;&lt;FQL&gt;&lt;Q&gt;Ticker0024^FE_ESTIMATE(CAPEX,MEAN,QUARTERLY_ROLL,2016/2F,45860,,,'')&lt;/Q&gt;&lt;R&gt;1&lt;/R&gt;&lt;C&gt;1&lt;/C&gt;&lt;D xsi:type="xsd:double"&gt;2024&lt;/D&gt;&lt;/FQL&gt;&lt;FQL&gt;&lt;Q&gt;Ticker0024^FE_ESTIMATE(CAPEX,MEAN,QUARTERLY_ROLL,2016/1F,45860,,,'')&lt;/Q&gt;&lt;R&gt;1&lt;/R&gt;&lt;C&gt;1&lt;/C&gt;&lt;D xsi:type="xsd:double"&gt;1356&lt;/D&gt;&lt;/FQL&gt;&lt;FQL&gt;&lt;Q&gt;Ticker0024^FE_ESTIMATE(CAPEX,MEAN,ANNUAL_ROLL,2015,45860,,,'')&lt;/Q&gt;&lt;R&gt;1&lt;/R&gt;&lt;C&gt;1&lt;/C&gt;&lt;D xsi:type="xsd:double"&gt;5944&lt;/D&gt;&lt;/FQL&gt;&lt;FQL&gt;&lt;Q&gt;Ticker0024^FE_ESTIMATE(CAPEX,MEAN,QUARTERLY_ROLL,2015/4F,45860,,,'')&lt;/Q&gt;&lt;R&gt;1&lt;/R&gt;&lt;C&gt;1&lt;/C&gt;&lt;D xsi:type="xsd:double"&gt;1781&lt;/D&gt;&lt;/FQL&gt;&lt;FQL&gt;&lt;Q&gt;Ticker0024^FE_ESTIMATE(CAPEX,MEAN,QUARTERLY_ROLL,2015/3F,45860,,,'')&lt;/Q&gt;&lt;R&gt;1&lt;/R&gt;&lt;C&gt;1&lt;/C&gt;&lt;D xsi:type="xsd:double"&gt;1391&lt;/D&gt;&lt;/FQL&gt;&lt;FQL&gt;&lt;Q&gt;Ticker0024^FE_ESTIMATE(CAPEX,MEAN,QUARTERLY_ROLL,2015/2F,45860,,,'')&lt;/Q&gt;&lt;R&gt;1&lt;/R&gt;&lt;C&gt;1&lt;/C&gt;&lt;D xsi:type="xsd:double"&gt;1490&lt;/D&gt;&lt;/FQL&gt;&lt;FQL&gt;&lt;Q&gt;Ticker0024^FE_ESTIMATE(CAPEX,MEAN,QUARTERLY_ROLL,2015/1F,45860,,,'')&lt;/Q&gt;&lt;R&gt;1&lt;/R&gt;&lt;C&gt;1&lt;/C&gt;&lt;D xsi:type="xsd:double"&gt;1282&lt;/D&gt;&lt;/FQL&gt;&lt;FQL&gt;&lt;Q&gt;Ticker0024^FE_ESTIMATE(CFO,MEAN,ANNUAL_ROLL,2030,45860,,,'')&lt;/Q&gt;&lt;R&gt;1&lt;/R&gt;&lt;C&gt;1&lt;/C&gt;&lt;D xsi:type="xsd:double"&gt;274490&lt;/D&gt;&lt;/FQL&gt;&lt;FQL&gt;&lt;Q&gt;Ticker0024^FE_ESTIMATE(CFO,MEAN,QUARTERLY_ROLL,2030/4F,45860,,,'')&lt;/Q&gt;&lt;R&gt;0&lt;/R&gt;&lt;C&gt;0&lt;/C&gt;&lt;/FQL&gt;&lt;FQL&gt;&lt;Q&gt;Ticker0024^FE_ESTIMATE(CFO,MEAN,QUARTERLY_ROLL,2030/3F,45860,,,'')&lt;/Q&gt;&lt;R&gt;0&lt;/R&gt;&lt;C&gt;0&lt;/C&gt;&lt;/FQL&gt;&lt;FQL&gt;&lt;Q&gt;Ticker0024^FE_ESTIMATE(CFO,MEAN,QUARTERLY_ROLL,2030/2F,45860,,,'')&lt;/Q&gt;&lt;R&gt;0&lt;/R&gt;&lt;C&gt;0&lt;/C&gt;&lt;/FQL&gt;&lt;FQL&gt;&lt;Q&gt;Ticker0024^FE_ESTIMATE(CFO,MEAN,QUARTERLY_ROLL,2030/1F,45860,,,'')&lt;/Q&gt;&lt;R&gt;0&lt;/R&gt;&lt;C&gt;0&lt;/C&gt;&lt;/FQL&gt;&lt;FQL&gt;&lt;Q&gt;Ticker0024^FE_ESTIMATE(CFO,MEAN,ANNUAL_ROLL,2029,45860,,,'')&lt;/Q&gt;&lt;R&gt;1&lt;/R&gt;&lt;C&gt;1&lt;/C&gt;&lt;D xsi:type="xsd:double"&gt;235428&lt;/D&gt;&lt;/FQL&gt;&lt;FQL&gt;&lt;Q&gt;Ticker0024^FE_ESTIMATE(CFO,MEAN,QUARTERLY_ROLL,2029/4F,45860,,,'')&lt;/Q&gt;&lt;R&gt;0&lt;/R&gt;&lt;C&gt;0&lt;/C&gt;&lt;/FQL&gt;&lt;FQL&gt;&lt;Q&gt;Ticker0024^FE_ESTIMATE(CFO,MEAN,QUARTERLY_ROLL,2029/3F,45860,,,'')&lt;/Q&gt;&lt;R&gt;0&lt;/R&gt;&lt;C&gt;0&lt;/C&gt;&lt;/FQL&gt;&lt;FQL&gt;&lt;Q&gt;Ticker0024^FE_ESTIMATE(CFO,MEAN,QUARTERLY_ROLL,2029/2F,45860,,,'')&lt;/Q&gt;&lt;R&gt;0&lt;/R&gt;&lt;C&gt;0&lt;/C&gt;&lt;/FQL&gt;&lt;FQL&gt;&lt;Q&gt;Ticker0024^FE_ESTIMATE(CFO,MEAN,QUARTERLY_ROLL,2029/1F,45860,,,'')&lt;/Q&gt;&lt;R&gt;0&lt;/R&gt;&lt;C&gt;0&lt;/C&gt;&lt;/FQL&gt;&lt;FQL&gt;&lt;Q&gt;Ticker0024^FE_ESTIMATE(CFO,MEAN,ANNUAL_ROLL,2028,45860,,,'')&lt;/Q&gt;&lt;R&gt;1&lt;/R&gt;&lt;C&gt;1&lt;/C&gt;&lt;D xsi:type="xsd:double"&gt;229926.67&lt;/D&gt;&lt;/FQL&gt;&lt;FQL&gt;&lt;Q&gt;Ticker0024^FE_ESTIMATE(CFO,MEAN,QUARTERLY_ROLL,2028/4F,45860,,,'')&lt;/Q&gt;&lt;R&gt;0&lt;/R&gt;&lt;C&gt;0&lt;/C&gt;&lt;/FQL&gt;&lt;FQL&gt;&lt;Q&gt;Ticker0024^FE_ESTIMATE(CFO,MEAN,QUARTERLY_ROLL,2028/3F,45860,,,'')&lt;/Q&gt;&lt;R&gt;0&lt;/R&gt;&lt;C&gt;0&lt;/C&gt;&lt;/FQL&gt;&lt;FQL&gt;&lt;Q&gt;Ticker0024^FE_ESTIMATE(CFO,MEAN,QUARTERLY_ROLL,2028/2F,45860,,,'')&lt;/Q&gt;&lt;R&gt;0&lt;/R&gt;&lt;C&gt;0&lt;/C&gt;&lt;/FQL&gt;&lt;FQL&gt;&lt;Q&gt;Ticker0024^FE_ESTIMATE(CFO,MEAN,QUARTERLY_ROLL,2028/1F,45860,,,'')&lt;/Q&gt;&lt;R&gt;0&lt;/R&gt;&lt;C&gt;0&lt;/C&gt;&lt;/FQL&gt;&lt;FQL&gt;&lt;Q&gt;Ticker0024^FE_ESTIMATE(CFO,MEAN,ANNUAL_ROLL,2027,45860,,,'')&lt;/Q&gt;&lt;R&gt;1&lt;/R&gt;&lt;C&gt;1&lt;/C&gt;&lt;D xsi:type="xsd:double"&gt;178554.66&lt;/D&gt;&lt;/FQL&gt;&lt;FQL&gt;&lt;Q&gt;Ticker0024^FE_ESTIMATE(CFO,MEAN,QUARTERLY_ROLL,2027/4F,45860,,,'')&lt;/Q&gt;&lt;R&gt;1&lt;/R&gt;&lt;C&gt;1&lt;/C&gt;&lt;D xsi:type="xsd:double"&gt;49788&lt;/D&gt;&lt;/FQL&gt;&lt;FQL&gt;&lt;Q&gt;Ticker0024^FE_ESTIMATE(CFO,MEAN,QUARTERLY_ROLL,2027/3F,45860,,,'')&lt;/Q&gt;&lt;R&gt;1&lt;/R&gt;&lt;C&gt;1&lt;/C&gt;&lt;D xsi:type="xsd:double"&gt;45014.668&lt;/D&gt;&lt;/FQL&gt;&lt;FQL&gt;&lt;Q&gt;Ticker0024^FE_ESTIMATE(CFO,MEAN,QUARTERLY_ROLL,2027/2F,45860,,,'')&lt;/Q&gt;&lt;R&gt;1&lt;/R&gt;&lt;C&gt;1&lt;/C&gt;&lt;D xsi:type="xsd:double"&gt;31122.666&lt;/D&gt;&lt;/FQL&gt;&lt;FQL&gt;&lt;Q&gt;Ticker0024^FE_ESTIMATE(CFO,MEAN,QUARTERLY_ROLL,2027/1F,45860,,,'')&lt;/Q&gt;&lt;R&gt;1&lt;/R&gt;&lt;C&gt;1&lt;/C&gt;&lt;D xsi:type="xsd:double"&gt;47123&lt;/D&gt;&lt;/FQL&gt;&lt;FQL&gt;&lt;Q&gt;Ticker0024^FE_ESTIMATE(CFO,MEAN,ANNUAL_ROLL,2026,45860,,,'')&lt;/Q&gt;&lt;R&gt;1&lt;/R&gt;&lt;C&gt;1&lt;/C&gt;&lt;D xsi:type="xsd:double"&gt;153547.38&lt;/D&gt;&lt;/FQL&gt;&lt;FQL&gt;&lt;Q&gt;Ticker0024^FE_ESTIMATE(CFO,MEAN,QUARTERLY_ROLL,2026/4F,45860,,,'')&lt;/Q&gt;&lt;R&gt;1&lt;/R&gt;&lt;C&gt;1&lt;/C&gt;&lt;D xsi:type="xsd:double"&gt;43338.168&lt;/D&gt;&lt;/FQL&gt;&lt;FQL&gt;&lt;Q&gt;Ticker0024^FE_ESTIMATE(CFO,MEAN,QUARTERLY_ROLL,2026/3F,45860,,,'')&lt;/Q&gt;&lt;R&gt;1&lt;/R&gt;&lt;C&gt;1&lt;/C&gt;&lt;D xsi:type="xsd:double"&gt;39170.367&lt;/D&gt;&lt;/FQL&gt;&lt;FQL&gt;&lt;Q&gt;Ticker0024^FE_ESTIMATE(CFO,MEAN,QUARTERLY_ROLL,2026/2F,45860,,,'')&lt;/Q&gt;&lt;R&gt;1&lt;/R&gt;&lt;C&gt;1&lt;/C&gt;&lt;D xsi:type="xsd:double"&gt;26511.51&lt;/D&gt;&lt;/FQL&gt;&lt;FQL&gt;&lt;Q&gt;Ticker0024^FE_ESTIMATE(CFO,MEAN,QUARTERLY_ROLL,2026/1F,45860,,,'')&lt;/Q&gt;&lt;R&gt;1&lt;/R&gt;&lt;C&gt;1&lt;/C&gt;&lt;D xsi:type="xsd:double"&gt;42334.344&lt;/D&gt;&lt;/FQL&gt;&lt;FQL&gt;&lt;Q&gt;Ticker0024^FE_ESTIMATE(CFO,MEAN,ANNUAL_ROLL,2025,45860,,,'')&lt;/Q&gt;&lt;R&gt;1&lt;/R&gt;&lt;C&gt;1&lt;/C&gt;&lt;D xsi:type="xsd:double"&gt;133746.05&lt;/D&gt;&lt;/FQL&gt;&lt;FQL&gt;&lt;Q&gt;Ticker0024^FE_ESTIMATE(CFO,MEAN,QUARTERLY_ROLL,2025/4F,45860,,,'')&lt;/Q&gt;&lt;R&gt;1&lt;/R&gt;&lt;C&gt;1&lt;/C&gt;&lt;D xsi:type="xsd:double"&gt;38030.13&lt;/D&gt;&lt;/FQL&gt;&lt;FQL&gt;&lt;Q&gt;Ticker0024^FE_ESTIMATE(CFO,MEAN,QUARTERLY_ROLL,2025/3F,45860,,,'')&lt;/Q&gt;&lt;R&gt;1&lt;/R&gt;&lt;C&gt;1&lt;/C&gt;&lt;D xsi:type="xsd:double"&gt;37043.734&lt;/D&gt;&lt;/FQL&gt;&lt;FQL&gt;&lt;Q&gt;Ticker0024^FE_ESTIMATE(CFO,MEAN,QUARTERLY_ROLL,2025/2F,45860,,,'')&lt;/Q&gt;&lt;R&gt;1&lt;/R&gt;&lt;C&gt;1&lt;/C&gt;&lt;D xsi:type="xsd:double"&gt;22290.938&lt;/D&gt;&lt;/FQL&gt;&lt;FQL&gt;&lt;Q&gt;Ticker0024^FE_ESTIMATE(CFO,MEAN,QUARTERLY_ROLL,2025/1F,45860,,,'')&lt;/Q&gt;&lt;R&gt;1&lt;/R&gt;&lt;C&gt;1&lt;/C&gt;&lt;D xsi:type="xsd:double"&gt;34180&lt;/D&gt;&lt;/FQL&gt;&lt;FQL&gt;&lt;Q&gt;Ticker0024^FE_ESTIMATE(CFO,MEAN,ANNUAL_ROLL,2024,45860,,,'')&lt;/Q&gt;&lt;R&gt;1&lt;/R&gt;&lt;C&gt;1&lt;/C&gt;&lt;D xsi:type="xsd:double"&gt;119091&lt;/D&gt;&lt;/FQL&gt;&lt;FQL&gt;&lt;Q&gt;Ticker0024^FE_ESTIMATE(CFO,MEAN,QUARTERLY_ROLL,2024/4F,45860,,,'')&lt;/Q&gt;&lt;R&gt;1&lt;/R&gt;&lt;C&gt;1&lt;/C&gt;&lt;D xsi:type="xsd:double"&gt;37195.355&lt;/D&gt;&lt;/FQL&gt;&lt;FQL&gt;&lt;Q&gt;Ticker0024^FE_ESTIMATE(CFO,MEAN,QUARTERLY_ROLL,2024/3F,45860,,,'')&lt;/Q&gt;&lt;R&gt;1&lt;/R&gt;&lt;C&gt;1&lt;/C&gt;&lt;D xsi:type="xsd:double"&gt;31917.176&lt;/D&gt;&lt;/FQL&gt;&lt;FQL&gt;&lt;Q&gt;Ticker0024^FE_ESTIMATE(CFO,MEAN,QUARTERLY_ROLL,2024/2F,45860,,,'')&lt;/Q&gt;&lt;R&gt;1&lt;/R&gt;&lt;C&gt;1&lt;/C&gt;&lt;D xsi:type="xsd:double"&gt;18855.445&lt;/D&gt;&lt;/FQL&gt;&lt;FQL&gt;&lt;Q&gt;Ticker0024^FE_ESTIMATE(CFO,MEAN,QUARTERLY_ROLL,2024/1F,45860,,,'')&lt;/Q&gt;&lt;R&gt;1&lt;/R&gt;&lt;C&gt;1&lt;/C&gt;&lt;D xsi:type="xsd:double"&gt;30578.588&lt;/D&gt;&lt;/FQL&gt;&lt;FQL&gt;&lt;Q&gt;Ticker0024^FE_ESTIMATE(CFO,MEAN,ANNUAL_ROLL,2023,45860,,,'')&lt;/Q&gt;&lt;R&gt;1&lt;/R&gt;&lt;C&gt;1&lt;/C&gt;&lt;D xsi:type="xsd:double"&gt;87714&lt;/D&gt;&lt;/FQL&gt;&lt;FQL&gt;&lt;Q&gt;Ticker0024^FE_ESTIMATE(CFO,MEAN,QUARTERLY_ROLL,2023/4F,45860,,,'')&lt;/Q&gt;&lt;R&gt;1&lt;/R&gt;&lt;C&gt;1&lt;/C&gt;&lt;D xsi:type="xsd:double"&gt;28504.813&lt;/D&gt;&lt;/FQL&gt;&lt;FQL&gt;&lt;Q&gt;Ticker0024^FE_ESTIMATE(CFO,MEAN,QUARTERLY_ROLL,2023/3F,45860,,,'')&lt;/Q&gt;&lt;R&gt;1&lt;/R&gt;&lt;C&gt;1&lt;/C&gt;&lt;D xsi:type="xsd:double"&gt;24325.75&lt;/D&gt;&lt;/FQL&gt;&lt;FQL&gt;&lt;Q&gt;Ticker0024^FE_ESTIMATE(CFO,MEAN,QUARTERLY_ROLL,2023/2F,45860,,,'')&lt;/Q&gt;&lt;R&gt;1&lt;/R&gt;&lt;C&gt;1&lt;/C&gt;&lt;D xsi:type="xsd:double"&gt;11172.8&lt;/D&gt;&lt;/FQL&gt;&lt;FQL&gt;&lt;Q&gt;Ticker0024^FE_ESTIMATE(CFO,MEAN,QUARTERLY_ROLL,2023/1F,45860,,,'')&lt;/Q&gt;&lt;R&gt;1&lt;/R&gt;&lt;C&gt;1&lt;/C&gt;&lt;D xsi:type="xsd:double"&gt;23330.53&lt;/D&gt;&lt;/FQL&gt;&lt;FQL&gt;&lt;Q&gt;Ticker0024^FE_ESTIMATE(CFO,MEAN,ANNUAL_ROLL,2022,45860,,,'')&lt;/Q&gt;&lt;R&gt;1&lt;/R&gt;&lt;C&gt;1&lt;/C&gt;&lt;D xsi:type="xsd:double"&gt;89044.74&lt;/D&gt;&lt;/FQL&gt;&lt;FQL&gt;&lt;Q&gt;Ticker0024^FE_ESTIMATE(CFO,MEAN,QUARTERLY_ROLL,2022/4F,45860,,,'')&lt;/Q&gt;&lt;R&gt;1&lt;/R&gt;&lt;C&gt;1&lt;/C&gt;&lt;D xsi:type="xsd:double"&gt;24629&lt;/D&gt;&lt;/FQL&gt;&lt;FQL&gt;&lt;Q&gt;Ticker0024^FE_ESTIMATE(CFO,MEAN,QUARTERLY_ROLL,2022/3F,45860,,,'')&lt;/Q&gt;&lt;R&gt;1&lt;/R&gt;&lt;C&gt;1&lt;/C&gt;&lt;D xsi:type="xsd:double"&gt;25386&lt;/D&gt;&lt;/FQL&gt;&lt;FQL&gt;&lt;Q&gt;Ticker0024^FE_ESTIMATE(CFO,MEAN,QUARTERLY_ROLL,2022/2F,45860,,,'')&lt;/Q&gt;&lt;R&gt;1&lt;/R&gt;&lt;C&gt;1&lt;/C&gt;&lt;D xsi:type="xsd:double"&gt;14480&lt;/D&gt;&lt;/FQL&gt;&lt;FQL&gt;&lt;Q&gt;Ticker0024^FE_ESTIMATE(CFO,MEAN,QUARTERLY_ROLL,2022/1F,45860,,,'')&lt;/Q&gt;&lt;R&gt;1&lt;/R&gt;&lt;C&gt;1&lt;/C&gt;&lt;D xsi:type="xsd:double"&gt;24540&lt;/D&gt;&lt;/FQL&gt;&lt;FQL&gt;&lt;Q&gt;Ticker0024^FE_ESTIMATE(CFO,MEAN,ANNUAL_ROLL,2021,45860,,,'')&lt;/Q&gt;&lt;R&gt;1&lt;/R&gt;&lt;C&gt;1&lt;/C&gt;&lt;D xsi:type="xsd:double"&gt;77615.55&lt;/D&gt;&lt;/FQL&gt;&lt;FQL&gt;&lt;Q&gt;Ticker0024^FE_ESTIMATE(CFO,MEAN,QUARTERLY_ROLL,2021/4F,45860,,,'')&lt;/Q&gt;&lt;R&gt;1&lt;/R&gt;&lt;C&gt;1&lt;/C&gt;&lt;D xsi:type="xsd:double"&gt;22710&lt;/D&gt;&lt;/FQL&gt;&lt;FQL&gt;&lt;Q&gt;Ticker0024^FE_ESTIMATE(CFO,MEAN,QUARTERLY_ROLL,2021/3F,45860,,,'')&lt;/Q&gt;&lt;R&gt;1&lt;/R&gt;&lt;C&gt;1&lt;/C&gt;&lt;D xsi:type="xsd:double"&gt;21909&lt;/D&gt;&lt;/FQL&gt;&lt;FQL&gt;&lt;Q&gt;Ticker0024^FE_ESTIMATE(CFO,MEAN,QUARTERLY_ROLL,2021/2F,45860,,,'')&lt;/Q&gt;&lt;R&gt;1&lt;/R&gt;&lt;C&gt;1&lt;/C&gt;&lt;D xsi:type="xsd:double"&gt;12516&lt;/D&gt;&lt;/FQL&gt;&lt;FQL&gt;&lt;Q&gt;Ticker0024^FE_ESTIMATE(CFO,MEAN,QUARTERLY_ROLL,2021/1F,45860,,,'')&lt;/Q&gt;&lt;R&gt;1&lt;/R&gt;&lt;C&gt;1&lt;/C&gt;&lt;D xsi:type="xsd:double"&gt;19151.9&lt;/D&gt;&lt;/FQL&gt;&lt;FQL&gt;&lt;Q&gt;Ticker0024^FE_ESTIMATE(CFO,MEAN,ANNUAL_ROLL,2020,45860,,,'')&lt;/Q&gt;&lt;R&gt;1&lt;/R&gt;&lt;C&gt;1&lt;/C&gt;&lt;D xsi:type="xsd:double"&gt;60473.91&lt;/D&gt;&lt;/FQL&gt;&lt;FQL&gt;&lt;Q&gt;Ticker0024^FE_ESTIMATE(CFO,MEAN,QUARTERLY_ROLL,2020/4F,45860,,,'')&lt;/Q&gt;&lt;R&gt;1&lt;/R&gt;&lt;C&gt;1&lt;/C&gt;&lt;D xsi:type="xsd:double"&gt;18673&lt;/D&gt;&lt;/FQL&gt;&lt;FQL&gt;&lt;Q&gt;Ticker0024^FE_ESTIMATE(CFO,MEAN,QUARTERLY_ROLL,2020/3F,45860,,,'')&lt;/Q&gt;&lt;R&gt;1&lt;/R&gt;&lt;C&gt;1&lt;/C&gt;&lt;D xsi:type="xsd:double"&gt;17507.223&lt;/D&gt;&lt;/FQL&gt;&lt;FQL&gt;&lt;Q&gt;Ticker0024^FE_ESTIMATE(CFO,MEAN,QUARTERLY_ROLL,2020/2F,45860,,,'')&lt;/Q&gt;&lt;R&gt;1&lt;/R&gt;&lt;C&gt;1&lt;/C&gt;&lt;D xsi:type="xsd:double"&gt;10680&lt;/D&gt;&lt;/FQL&gt;&lt;FQL&gt;&lt;Q&gt;Ticker0024^FE_ESTIMATE(CFO,MEAN,QUARTERLY_ROLL,2020/1F,45860,,,'')&lt;/Q&gt;&lt;R&gt;1&lt;/R&gt;&lt;C&gt;1&lt;/C&gt;&lt;D xsi:type="xsd:double"&gt;13818&lt;/D&gt;&lt;/FQL&gt;&lt;FQL&gt;&lt;Q&gt;Ticker0024^FE_ESTIMATE(CFO,MEAN,ANNUAL_ROLL,2019,45860,,,'')&lt;/Q&gt;&lt;R&gt;1&lt;/R&gt;&lt;C&gt;1&lt;/C&gt;&lt;D xsi:type="xsd:double"&gt;51866.285&lt;/D&gt;&lt;/FQL&gt;&lt;FQL&gt;&lt;Q&gt;Ticker0024^FE_ESTIMATE(CFO,MEAN,QUARTERLY_ROLL,2019/4F,45860,,,'')&lt;/Q&gt;&lt;R&gt;1&lt;/R&gt;&lt;C&gt;1&lt;/C&gt;&lt;D xsi:type="xsd:double"&gt;16108&lt;/D&gt;&lt;/FQL&gt;&lt;FQL&gt;&lt;Q&gt;Ticker0024^FE_ESTIMATE(CFO,MEAN,QUARTERLY_ROLL,2019/3F,45860,,,'')&lt;/Q&gt;&lt;R&gt;1&lt;/R&gt;&lt;C&gt;1&lt;/C&gt;&lt;D xsi:type="xsd:double"&gt;13520&lt;/D&gt;&lt;/FQL&gt;&lt;FQL&gt;&lt;Q&gt;Ticker0024^FE_ESTIMATE(CFO,MEAN,QUARTERLY_ROLL,2019/2F,45860,,,'')&lt;/Q&gt;&lt;R&gt;1&lt;/R&gt;&lt;C&gt;1&lt;/C&gt;&lt;D xsi:type="xsd:double"&gt;8854.25&lt;/D&gt;&lt;/FQL&gt;&lt;FQL&gt;&lt;Q&gt;Ticker0024^FE_ESTIMATE(CFO,MEAN,QUARTERLY_ROLL,2019/1F,45860,,,'')&lt;/Q&gt;&lt;R&gt;1&lt;/R&gt;&lt;C&gt;1&lt;/C&gt;&lt;D xsi:type="xsd:double"&gt;13284.637&lt;/D&gt;&lt;/FQL&gt;&lt;FQL&gt;&lt;Q&gt;Ticker0024^FE_ESTIMATE(CFO,MEAN,ANNUAL_ROLL,2018,45860,,,'')&lt;/Q&gt;&lt;R&gt;1&lt;/R&gt;&lt;C&gt;1&lt;/C&gt;&lt;D xsi:type="xsd:double"&gt;43558.848&lt;/D&gt;&lt;/FQL&gt;&lt;FQL&gt;&lt;Q&gt;Ticker0024^FE_ESTIMATE(CFO,MEAN,QUARTERLY_ROLL,2018/4F,45860,,,'')&lt;/Q&gt;&lt;R&gt;1&lt;/R&gt;&lt;C&gt;1&lt;/C&gt;&lt;D xsi:type="xsd:double"&gt;11606.333&lt;/D&gt;&lt;/FQL&gt;&lt;FQL&gt;&lt;Q&gt;Ticker0024^FE_ESTIMATE(CFO,MEAN,QUARTERLY_ROLL,2018/3F,45860,,,'')&lt;/Q&gt;&lt;R&gt;1&lt;/R&gt;&lt;C&gt;1&lt;/C&gt;&lt;D xsi:type="xsd:double"&gt;12151&lt;/D&gt;&lt;/FQL&gt;&lt;FQL&gt;&lt;Q&gt;Ticker0024^FE_ESTIMATE(CFO,MEAN,QUARTERLY_ROLL,2018/2F,45860,,,'')&lt;/Q&gt;&lt;R&gt;1&lt;/R&gt;&lt;C&gt;1&lt;/C&gt;&lt;D xsi:type="xsd:double"&gt;7875&lt;/D&gt;&lt;/FQL&gt;&lt;FQL&gt;&lt;Q&gt;Ticker0024^FE_ESTIMATE(CFO,MEAN,QUARTERLY_ROLL,2018/1F,45860,,,'')&lt;/Q&gt;&lt;R&gt;1&lt;/R&gt;&lt;C&gt;1&lt;/C&gt;&lt;D xsi:type="xsd:double"&gt;12440&lt;/D&gt;&lt;/FQL&gt;&lt;FQL&gt;&lt;Q&gt;Ticker0024^FE_ESTIMATE(CFO,MEAN,ANNUAL_ROLL,2017,45860,,,'')&lt;/Q&gt;&lt;R&gt;1&lt;/R&gt;&lt;C&gt;1&lt;/C&gt;&lt;D xsi:type="xsd:double"&gt;39507&lt;/D&gt;&lt;/FQL&gt;&lt;FQL&gt;&lt;Q&gt;Ticker0024^FE_ESTIMATE(CFO,MEAN,QUARTERLY_ROLL,2017/4F,45860,,,'')&lt;/Q&gt;&lt;R&gt;1&lt;/R&gt;&lt;C&gt;1&lt;/C&gt;&lt;D xsi:type="xsd:double"&gt;11005&lt;/D&gt;&lt;/FQL&gt;&lt;FQL&gt;&lt;Q&gt;Ticker0024^FE_ESTIMATE(CFO,MEAN,QUARTERLY_ROLL,2017/3F,45860,,,'')&lt;/Q&gt;&lt;R&gt;1&lt;/R&gt;&lt;C&gt;1&lt;/C&gt;&lt;D xsi:type="xsd:double"&gt;10660&lt;/D&gt;&lt;/FQL&gt;&lt;FQL&gt;&lt;Q&gt;Ticker0024^FE_ESTIMATE(CFO,MEAN,QUARTERLY_ROLL,2017/2F,45860,,,'')&lt;/Q&gt;&lt;R&gt;1&lt;/R&gt;&lt;C&gt;1&lt;/C&gt;&lt;D xsi:type="xsd:double"&gt;6293&lt;/D&gt;&lt;/FQL&gt;&lt;FQL&gt;&lt;Q&gt;Ticker0024^FE_ESTIMATE(CFO,MEAN,QUARTERLY_ROLL,2017/1F,45860,,,'')&lt;/Q&gt;&lt;R&gt;1&lt;/R&gt;&lt;C&gt;1&lt;/C&gt;&lt;D xsi:type="xsd:double"&gt;11549&lt;/D&gt;&lt;/FQL&gt;&lt;FQL&gt;&lt;Q&gt;Ticker0024^FE_ESTIMATE(CFO,MEAN,ANNUAL_ROLL,2016,45860,,,'')&lt;/Q&gt;&lt;R&gt;1&lt;/R&gt;&lt;C&gt;1&lt;/C&gt;&lt;D xsi:type="xsd:double"&gt;32872.5&lt;/D&gt;&lt;/FQL&gt;&lt;FQL&gt;&lt;Q&gt;Ticker0024^FE_ESTIMATE(CFO,MEAN,QUARTERLY_ROLL,2016/4F,45860,,,'')&lt;/Q&gt;&lt;R&gt;1&lt;/R&gt;&lt;C&gt;1&lt;/C&gt;&lt;D xsi:type="xsd:double"&gt;8464&lt;/D&gt;&lt;/FQL&gt;&lt;FQL&gt;&lt;Q&gt;Ticker0024^FE_ESTIMATE(CFO,MEAN,QUARTERLY_ROLL,2016/3F,45860,,,'')&lt;/Q&gt;&lt;R&gt;1&lt;/R&gt;&lt;C&gt;1&lt;/C&gt;&lt;D xsi:type="xsd:double"&gt;10367&lt;/D&gt;&lt;/FQL&gt;&lt;FQL&gt;&lt;Q&gt;Ticker0024^FE_ESTIMATE(CFO,MEAN,QUARTERLY_ROLL,2016/2F,45860,,,'')&lt;/Q&gt;&lt;R&gt;1&lt;/R&gt;&lt;C&gt;1&lt;/C&gt;&lt;D xsi:type="xsd:double"&gt;5598&lt;/D&gt;&lt;/FQL&gt;&lt;FQL&gt;&lt;Q&gt;Ticker0024^FE_ESTIMATE(CFO,MEAN,QUARTERLY_ROLL,2016/1F,45860,,,'')&lt;/Q&gt;&lt;R&gt;1&lt;/R&gt;&lt;C&gt;1&lt;/C&gt;&lt;D xsi:type="xsd:double"&gt;8550.5&lt;/D&gt;&lt;/FQL&gt;&lt;FQL&gt;&lt;Q&gt;Ticker0024^FE_ESTIMATE(CFO,MEAN,ANNUAL_ROLL,2015,45860,,,'')&lt;/Q&gt;&lt;R&gt;1&lt;/R&gt;&lt;C&gt;1&lt;/C&gt;&lt;D xsi:type="xsd:double"&gt;29510.059&lt;/D&gt;&lt;/FQL&gt;&lt;FQL&gt;&lt;Q&gt;Ticker0024^FE_ESTIMATE(CFO,MEAN,QUARTERLY_ROLL,2015/4F,45860,,,'')&lt;/Q&gt;&lt;R&gt;1&lt;/R&gt;&lt;C&gt;1&lt;/C&gt;&lt;D xsi:type="xsd:double"&gt;7446.231&lt;/D&gt;&lt;/FQL&gt;&lt;FQL&gt;&lt;Q&gt;Ticker0024^FE_ESTIMATE(CFO,MEAN,QUARTERLY_ROLL,2015/3F,45860,,,'')&lt;/Q&gt;&lt;R&gt;1&lt;/R&gt;&lt;C&gt;1&lt;/C&gt;&lt;D xsi:type="xsd:double"&gt;9570&lt;/D&gt;&lt;/FQL&gt;&lt;FQL&gt;&lt;Q&gt;Ticker0024^FE_ESTIMATE(CFO,MEAN,QUARTERLY_ROLL,2015/2F,45860,,,'')&lt;/Q&gt;&lt;R&gt;1&lt;/R&gt;&lt;C&gt;1&lt;/C&gt;&lt;D xsi:type="xsd:double"&gt;4340&lt;/D&gt;&lt;/FQL&gt;&lt;FQL&gt;&lt;Q&gt;Ticker0024^FE_ESTIMATE(CFO,MEAN,QUARTERLY_ROLL,2015/1F,45860,,,'')&lt;/Q&gt;&lt;R&gt;1&lt;/R&gt;&lt;C&gt;1&lt;/C&gt;&lt;D xsi:type="xsd:double"&gt;8354&lt;/D&gt;&lt;/FQL&gt;&lt;FQL&gt;&lt;Q&gt;Ticker0024^FE_ESTIMATE(EPS,MEAN,ANNUAL_ROLL,2030,45860,,,'')&lt;/Q&gt;&lt;R&gt;0&lt;/R&gt;&lt;C&gt;0&lt;/C&gt;&lt;/FQL&gt;&lt;FQL&gt;&lt;Q&gt;Ticker0024^FE_ESTIMATE(EPS,MEAN,QUARTERLY_ROLL,2030/4F,45860,,,'')&lt;/Q&gt;&lt;R&gt;0&lt;/R&gt;&lt;C&gt;0&lt;/C&gt;&lt;/FQL&gt;&lt;FQL&gt;&lt;Q&gt;Ticker0024^FE_ESTIMATE(EPS,MEAN,QUARTERLY_ROLL,2030/3F,45860,,,'')&lt;/Q&gt;&lt;R&gt;0&lt;/R&gt;&lt;C&gt;0&lt;/C&gt;&lt;/FQL&gt;&lt;FQL&gt;&lt;Q&gt;Ticker0024^FE_ESTIMATE(EPS,MEAN,QUARTERLY_ROLL,2030/2F,45860,,,'')&lt;/Q&gt;&lt;R&gt;0&lt;/R&gt;&lt;C&gt;0&lt;/C&gt;&lt;/FQL&gt;&lt;FQL&gt;&lt;Q&gt;Ticker0024^FE_ESTIMATE(EPS,MEAN,QUARTERLY_ROLL,2030/1F,45860,,,'')&lt;/Q&gt;&lt;R&gt;0&lt;/R&gt;&lt;C&gt;0&lt;/C&gt;&lt;/FQL&gt;&lt;FQL&gt;&lt;Q&gt;Ticker0024^FE_ESTIMATE(EPS,MEAN,ANNUAL_ROLL,2029,45860,,,'')&lt;/Q&gt;&lt;R&gt;1&lt;/R&gt;&lt;C&gt;1&lt;/C&gt;&lt;D xsi:type="xsd:double"&gt;24.63&lt;/D&gt;&lt;/FQL&gt;&lt;FQL&gt;&lt;Q&gt;Ticker0024^FE_ESTIMATE(EPS,MEAN,QUARTERLY_ROLL,2029/4F,45860,,,'')&lt;/Q&gt;&lt;R&gt;0&lt;/R&gt;&lt;C&gt;0&lt;/C&gt;&lt;/FQL&gt;&lt;FQL&gt;&lt;Q&gt;Ticker0024^FE_ESTIMATE(EPS,MEAN,QUARTERLY_ROLL,2029/3F,45860,,,'')&lt;/Q&gt;&lt;R&gt;0&lt;/R&gt;&lt;C&gt;0&lt;/C&gt;&lt;/FQL&gt;&lt;FQL&gt;&lt;Q&gt;Ticker0024^FE_ESTIMATE(EPS,MEAN,QUARTERLY_ROLL,2029/2F,45860,,,'')&lt;/Q&gt;&lt;R&gt;0&lt;/R&gt;&lt;C&gt;0&lt;/C&gt;&lt;/FQL&gt;&lt;FQL&gt;&lt;Q&gt;Ticker0024^FE_ESTIMATE(EPS,MEAN,QUARTERLY_ROLL,2029/1F,45860,,,'')&lt;/Q&gt;&lt;R&gt;0&lt;/R&gt;&lt;C&gt;0&lt;/C&gt;&lt;/FQL&gt;&lt;FQL&gt;&lt;Q&gt;Ticker0024^FE_ESTIMATE(EPS,MEAN,ANNUAL_ROLL,2028,45860,,,'')&lt;/Q&gt;&lt;R&gt;1&lt;/R&gt;&lt;C&gt;1&lt;/C&gt;&lt;D xsi:type="xsd:double"&gt;20.893534&lt;/D&gt;&lt;/FQL&gt;&lt;FQL&gt;&lt;Q&gt;Ticker0024^FE_ESTIMATE(EPS,MEAN,QUARTERLY_ROLL,2028/4F,45860,,,'')&lt;/Q&gt;&lt;R&gt;0&lt;/R&gt;&lt;C&gt;0&lt;/C&gt;&lt;/FQL&gt;&lt;FQL&gt;&lt;Q&gt;Ticker0024^FE_ESTIMATE(EPS,MEAN,QUARTERLY_ROLL,2028/3F,45860,,,'')&lt;/Q&gt;&lt;R&gt;0&lt;/R&gt;&lt;C&gt;0&lt;/C&gt;&lt;/FQL&gt;&lt;FQL&gt;&lt;Q&gt;Ticker0024^FE_ESTIMATE(EPS,MEAN,QUARTERLY_ROLL,2028/2F,45860,,,'')&lt;/Q&gt;&lt;R&gt;0&lt;/R&gt;&lt;C&gt;0&lt;/C&gt;&lt;/FQL&gt;&lt;FQL&gt;&lt;Q&gt;Ticker0024^FE_ESTIMATE(EPS,MEAN,QUARTERLY_ROLL,2028/1F,45860,,,'')&lt;/Q&gt;&lt;R&gt;0&lt;/R&gt;&lt;C&gt;0&lt;/C&gt;&lt;/FQL&gt;&lt;FQL&gt;&lt;Q&gt;Ticker0024^FE_ESTIMATE(EPS,MEAN,ANNUAL_ROLL,2027,45860,,,'')&lt;/Q&gt;&lt;R&gt;1&lt;/R&gt;&lt;C&gt;1&lt;/C&gt;&lt;D xsi:type="xsd:double"&gt;17.900658&lt;/D&gt;&lt;/FQL&gt;&lt;FQL&gt;&lt;Q&gt;Ticker0024^FE_ESTIMATE(EPS,MEAN,QUARTERLY_ROLL,2027/4F,45860,,,'')&lt;/Q&gt;&lt;R&gt;1&lt;/R&gt;&lt;C&gt;1&lt;/C&gt;&lt;D xsi:type="xsd:double"&gt;4.5347123&lt;/D&gt;&lt;/FQL&gt;&lt;FQL&gt;&lt;Q&gt;Ticker0024^FE_ESTIMATE(EPS,MEAN,QUARTERLY_ROLL,2027/3F,45860,,,'')&lt;/Q&gt;&lt;R&gt;1&lt;/R&gt;&lt;C&gt;1&lt;/C&gt;&lt;D xsi:type="xsd:double"&gt;4.4072857&lt;/D&gt;&lt;/FQL&gt;&lt;FQL&gt;&lt;Q&gt;Ticker0024^FE_ESTIMATE(EPS,MEAN,QUARTERLY_ROLL,2027/2F,45860,,,'')&lt;/Q&gt;&lt;R&gt;1&lt;/R&gt;&lt;C&gt;1&lt;/C&gt;&lt;D xsi:type="xsd:double"&gt;4.3200445&lt;/D&gt;&lt;/FQL&gt;&lt;FQL&gt;&lt;Q&gt;Ticker0024^FE_ESTIMATE(EPS,MEAN,QUARTERLY_ROLL,2027/1F,45860,,,'')&lt;/Q&gt;&lt;R&gt;1&lt;/R&gt;&lt;C&gt;1&lt;/C&gt;&lt;D xsi:type="xsd:double"&gt;4.1405306&lt;/D&gt;&lt;/FQL&gt;&lt;FQL&gt;&lt;Q&gt;Ticker0024^FE_ESTIMATE(EPS,MEAN,ANNUAL_ROLL,2026,45860,,,'')&lt;/Q&gt;&lt;R&gt;1&lt;/R&gt;&lt;C&gt;1&lt;/C&gt;&lt;D xsi:type="xsd:double"&gt;15.192031&lt;/D&gt;&lt;/FQL&gt;&lt;FQL&gt;&lt;Q&gt;Ticker0024^FE_ESTIMATE(EPS,MEAN,QUARTERLY_ROLL,2026/4F,45860,,,'')&lt;/Q&gt;&lt;R&gt;1&lt;/R&gt;&lt;C&gt;1&lt;/C&gt;&lt;D xsi:type="xsd:double"&gt;3.9092848&lt;/D&gt;&lt;/FQL&gt;&lt;FQL&gt;&lt;Q&gt;Ticker0024^FE_ESTIMATE(EPS,MEAN,QUARTERLY_ROLL,2026/3F,45860,,,'')&lt;/Q&gt;&lt;R&gt;1&lt;/R&gt;&lt;C&gt;1&lt;/C&gt;&lt;D xsi:type="xsd:double"&gt;3.7902212&lt;/D&gt;&lt;/FQL&gt;&lt;FQL&gt;&lt;Q&gt;Ticker0024^FE_ESTIMATE(EPS,MEAN,QUARTERLY_ROLL,2026/2F,45860,,,'')&lt;/Q&gt;&lt;R&gt;1&lt;/R&gt;&lt;C&gt;1&lt;/C&gt;&lt;D xsi:type="xsd:double"&gt;3.720677&lt;/D&gt;&lt;/FQL&gt;&lt;FQL&gt;&lt;Q&gt;Ticker0024^FE_ESTIMATE(EPS,MEAN,QUARTERLY_ROLL,2026/1F,45860,,,'')&lt;/Q&gt;&lt;R&gt;1&lt;/R&gt;&lt;C&gt;1&lt;/C&gt;&lt;D xsi:type="xsd:double"&gt;3.563503&lt;/D&gt;&lt;/FQL&gt;&lt;FQL&gt;&lt;Q&gt;Ticker0024^FE_ESTIMATE(EPS,MEAN,ANNUAL_ROLL,2025,45860,,,'')&lt;/Q&gt;&lt;R&gt;1&lt;/R&gt;&lt;C&gt;1&lt;/C&gt;&lt;D xsi:type="xsd:double"&gt;13.405472&lt;/D&gt;&lt;/FQL&gt;&lt;FQL&gt;&lt;Q&gt;Ticker0024^FE_ESTIMATE(EPS,MEAN,QUARTERLY_ROLL,2025/4F,45860,,,'')&lt;/Q&gt;&lt;R&gt;1&lt;/R&gt;&lt;C&gt;1&lt;/C&gt;&lt;D xsi:type="xsd:double"&gt;3.3734803&lt;/D&gt;&lt;/FQL&gt;&lt;FQL&gt;&lt;Q&gt;Ticker0024^FE_ESTIMATE(EPS,MEAN,QUARTERLY_ROLL,2025/3F,45860,,,'')&lt;/Q&gt;&lt;R&gt;1&lt;/R&gt;&lt;C&gt;1&lt;/C&gt;&lt;D xsi:type="xsd:double"&gt;3.46&lt;/D&gt;&lt;/FQL&gt;&lt;FQL&gt;&lt;Q&gt;Ticker0024^FE_ESTIMATE(EPS,MEAN,QUARTERLY_ROLL,2025/2F,45860,,,'')&lt;/Q&gt;&lt;R&gt;1&lt;/R&gt;&lt;C&gt;1&lt;/C&gt;&lt;D xsi:type="xsd:double"&gt;3.23&lt;/D&gt;&lt;/FQL&gt;&lt;FQL&gt;&lt;Q&gt;Ticker0024^FE_ESTIMATE(EPS,MEAN,QUARTERLY_ROLL,2025/1F,45860,,,'')&lt;/Q&gt;&lt;R&gt;1&lt;/R&gt;&lt;C&gt;1&lt;/C&gt;&lt;D xsi:type="xsd:double"&gt;3.3&lt;/D&gt;&lt;/FQL&gt;&lt;FQL&gt;&lt;Q&gt;Ticker0024^FE_ESTIMATE(EPS,MEAN,ANNUAL_ROLL,2024,45860,,,'')&lt;/Q&gt;&lt;R&gt;1&lt;/R&gt;&lt;C&gt;1&lt;/C&gt;&lt;D xsi:type="xsd:double"&gt;11.8&lt;/D&gt;&lt;/FQL&gt;&lt;FQL&gt;&lt;Q&gt;Ticker0024^FE_ESTIMATE(EPS,MEAN,QUARTERLY_ROLL,2024/4F,45860,,,'')&lt;/Q&gt;&lt;R&gt;1&lt;/R&gt;&lt;C&gt;1&lt;/C&gt;&lt;D xsi:type="xsd:double"&gt;2.95&lt;/D&gt;&lt;/FQL&gt;&lt;FQL&gt;&lt;Q&gt;Ticker0024^FE_ESTIMATE(EPS,MEAN,QUARTERLY_ROLL,2024/3F,45860,,,'')&lt;/Q&gt;&lt;R&gt;1&lt;/R&gt;&lt;C&gt;1&lt;/C&gt;&lt;D xsi:type="xsd:double"&gt;2.94&lt;/D&gt;&lt;/FQL&gt;&lt;FQL&gt;&lt;Q&gt;Ticker0024^FE_ESTIMATE(EPS,MEAN,QUARTERLY_ROLL,2024/2F,45860,,,'')&lt;/Q&gt;&lt;R&gt;1&lt;/R&gt;&lt;C&gt;1&lt;/C&gt;&lt;D xsi:type="xsd:double"&gt;2.93&lt;/D&gt;&lt;/FQL&gt;&lt;FQL&gt;&lt;Q&gt;Ticker0024^FE_ESTIMATE(EPS,MEAN,QUARTERLY_ROLL,2024/1F,45860,,,'')&lt;/Q&gt;&lt;R&gt;1&lt;/R&gt;&lt;C&gt;1&lt;/C&gt;&lt;D xsi:type="xsd:double"&gt;2.99&lt;/D&gt;&lt;/FQL&gt;&lt;FQL&gt;&lt;Q&gt;Ticker0024^FE_ESTIMATE(EPS,MEAN,ANNUAL_ROLL,2023,45860,,,'')&lt;/Q&gt;&lt;R&gt;1&lt;/R&gt;&lt;C&gt;1&lt;/C&gt;&lt;D xsi:type="xsd:double"&gt;9.81&lt;/D&gt;&lt;/FQL&gt;&lt;FQL&gt;&lt;Q&gt;Ticker0024^FE_ESTIMATE(EPS,MEAN,QUARTERLY_ROLL,2023/4F,45860,,,'')&lt;/Q&gt;&lt;R&gt;1&lt;/R&gt;&lt;C&gt;1&lt;/C&gt;&lt;D xsi:type="xsd:double"&gt;2.69&lt;/D&gt;&lt;/FQL&gt;&lt;FQL&gt;&lt;Q&gt;Ticker0024^FE_ESTIMATE(EPS,MEAN,QUARTERLY_ROLL,2023/3F,45860,,,'')&lt;/Q&gt;&lt;R&gt;1&lt;/R&gt;&lt;C&gt;1&lt;/C&gt;&lt;D xsi:type="xsd:double"&gt;2.45&lt;/D&gt;&lt;/FQL&gt;&lt;FQL&gt;&lt;Q&gt;Ticker0024^FE_ESTIMATE(EPS,MEAN,QUARTERLY_ROLL,2023/2F,45860,,,'')&lt;/Q&gt;&lt;R&gt;1&lt;/R&gt;&lt;C&gt;1&lt;/C&gt;&lt;D xsi:type="xsd:double"&gt;2.32&lt;/D&gt;&lt;/FQL&gt;&lt;FQL&gt;&lt;Q&gt;Ticker0024^FE_ESTIMATE(EPS,MEAN,QUARTERLY_ROLL,2023/1F,45860,,,'')&lt;/Q&gt;&lt;R&gt;1&lt;/R&gt;&lt;C&gt;1&lt;/C&gt;&lt;D xsi:type="xsd:double"&gt;2.35&lt;/D&gt;&lt;/FQL&gt;&lt;FQL&gt;&lt;Q&gt;Ticker0024^FE_ESTIMATE(EPS,MEAN,ANNUAL_ROLL,2022,45860,,,'')&lt;/Q&gt;&lt;R&gt;1&lt;/R&gt;&lt;C&gt;1&lt;/C&gt;&lt;D xsi:type="xsd:double"&gt;9.21&lt;/D&gt;&lt;/FQL&gt;&lt;FQL&gt;&lt;Q&gt;Ticker0024^FE_ESTIMATE(EPS,MEAN,QUARTERLY_ROLL,2022/4F,45860,,,'')&lt;/Q&gt;&lt;R&gt;1&lt;/R&gt;&lt;C&gt;1&lt;/C&gt;&lt;D xsi:type="xsd:double"&gt;2.23&lt;/D&gt;&lt;/FQL&gt;&lt;FQL&gt;&lt;Q&gt;Ticker0024^FE_ESTIMATE(EPS,MEAN,QUARTERLY_ROLL,2022/3F,45860,,,'')&lt;/Q&gt;&lt;R&gt;1&lt;/R&gt;&lt;C&gt;1&lt;/C&gt;&lt;D xsi:type="xsd:double"&gt;2.22&lt;/D&gt;&lt;/FQL&gt;&lt;FQL&gt;&lt;Q&gt;Ticker0024^FE_ESTIMATE(EPS,MEAN,QUARTERLY_ROLL,2022/2F,45860,,,'')&lt;/Q&gt;&lt;R&gt;1&lt;/R&gt;&lt;C&gt;1&lt;/C&gt;&lt;D xsi:type="xsd:double"&gt;2.48&lt;/D&gt;&lt;/FQL&gt;&lt;FQL&gt;&lt;Q&gt;Ticker0024^FE_ESTIMATE(EPS,MEAN,QUARTERLY_ROLL,2022/1F,45860,,,'')&lt;/Q&gt;&lt;R&gt;1&lt;/R&gt;&lt;C&gt;1&lt;/C&gt;&lt;D xsi:type="xsd:double"&gt;2.27&lt;/D&gt;&lt;/FQL&gt;&lt;FQL&gt;&lt;Q&gt;Ticker0024^FE_ESTIMATE(EPS,MEAN,ANNUAL_ROLL,2021,45860,,,'')&lt;/Q&gt;&lt;R&gt;1&lt;/R&gt;&lt;C&gt;1&lt;/C&gt;&lt;D xsi:type="xsd:double"&gt;7.97&lt;/D&gt;&lt;/FQL&gt;&lt;FQL&gt;&lt;Q&gt;Ticker0024^FE_ESTIMATE(EPS,MEAN,QUARTERLY_ROLL,2021/4F,45860,,,'')&lt;/Q&gt;&lt;R&gt;1&lt;/R&gt;&lt;C&gt;1&lt;/C&gt;&lt;D xsi:type="xsd:double"&gt;2.17&lt;/D&gt;&lt;/FQL&gt;&lt;FQL&gt;&lt;Q&gt;Ticker0024^FE_ESTIMATE(EPS,MEAN,QUARTERLY_ROLL,2021/3F,45860,,,'')&lt;/Q&gt;&lt;R&gt;1&lt;/R&gt;&lt;C&gt;1&lt;/C&gt;&lt;D xsi:type="xsd:double"&gt;1.95&lt;/D&gt;&lt;/FQL&gt;&lt;FQL&gt;&lt;Q&gt;Ticker0024^FE_ESTIMATE(EPS,MEAN,QUARTERLY_ROLL,2021/2F,45860,,,'')&lt;/Q&gt;&lt;R&gt;1&lt;/R&gt;&lt;C&gt;1&lt;/C&gt;&lt;D xsi:type="xsd:double"&gt;2.03&lt;/D&gt;&lt;/FQL&gt;&lt;FQL&gt;&lt;Q&gt;Ticker0024^FE_ESTIMATE(EPS,MEAN,QUARTERLY_ROLL,2021/1F,45860,,,'')&lt;/Q&gt;&lt;R&gt;1&lt;/R&gt;&lt;C&gt;1&lt;/C&gt;&lt;D xsi:type="xsd:double"&gt;1.82&lt;/D&gt;&lt;/FQL&gt;&lt;FQL&gt;&lt;Q&gt;Ticker0024^FE_ESTIMATE(EPS,MEAN,ANNUAL_ROLL,2020,45860,,,'')&lt;/Q&gt;&lt;R&gt;1&lt;/R&gt;&lt;C&gt;1&lt;/C&gt;&lt;D xsi:type="xsd:double"&gt;5.76&lt;/D&gt;&lt;/FQL&gt;&lt;FQL&gt;&lt;Q&gt;Ticker0024^FE_ESTIMATE(EPS,MEAN,QUARTERLY_ROLL,2020/4F,45860,,,'')&lt;/Q&gt;&lt;R&gt;1&lt;/R&gt;&lt;C&gt;1&lt;/C&gt;&lt;D xsi:type="xsd:double"&gt;1.46&lt;/D&gt;&lt;/FQL&gt;&lt;FQL&gt;&lt;Q&gt;Ticker0024^FE_ESTIMATE(EPS,MEAN,QUARTERLY_ROLL,2020/3F,45860,,,'')&lt;/Q&gt;&lt;R&gt;1&lt;/R&gt;&lt;C&gt;1&lt;/C&gt;&lt;D xsi:type="xsd:double"&gt;1.4&lt;/D&gt;&lt;/FQL&gt;&lt;FQL&gt;&lt;Q&gt;Ticker0024^FE_ESTIMATE(EPS,MEAN,QUARTERLY_ROLL,2020/2F,45860,,,'')&lt;/Q&gt;&lt;R&gt;1&lt;/R&gt;&lt;C&gt;1&lt;/C&gt;&lt;D xsi:type="xsd:double"&gt;1.51&lt;/D&gt;&lt;/FQL&gt;&lt;FQL&gt;&lt;Q&gt;Ticker0024^FE_ESTIMATE(EPS,MEAN,QUARTERLY_ROLL,2020/1F,45860,,,'')&lt;/Q&gt;&lt;R&gt;1&lt;/R&gt;&lt;C&gt;1&lt;/C&gt;&lt;D xsi:type="xsd:double"&gt;1.38&lt;/D&gt;&lt;/FQL&gt;&lt;FQL&gt;&lt;Q&gt;Ticker0024^FE_ESTIMATE(EPS,MEAN,ANNUAL_ROLL,2019,45860,,,'')&lt;/Q&gt;&lt;R&gt;1&lt;/R&gt;&lt;C&gt;1&lt;/C&gt;&lt;D xsi:type="xsd:double"&gt;4.75&lt;/D&gt;&lt;/FQL&gt;&lt;FQL&gt;&lt;Q&gt;Ticker0024^FE_ESTIMATE(EPS,MEAN,QUARTERLY_ROLL,2019/4F,45860,,,'')&lt;/Q&gt;&lt;R&gt;1&lt;/R&gt;&lt;C&gt;1&lt;/C&gt;&lt;D xsi:type="xsd:double"&gt;1.37&lt;/D&gt;&lt;/FQL&gt;&lt;FQL&gt;&lt;Q&gt;Ticker0024^FE_ESTIMATE(EPS,MEAN,QUARTERLY_ROLL,2019/3F,45860,,,'')&lt;/Q&gt;&lt;R&gt;1&lt;/R&gt;&lt;C&gt;1&lt;/C&gt;&lt;D xsi:type="xsd:double"&gt;1.14&lt;/D&gt;&lt;/FQL&gt;&lt;FQL&gt;&lt;Q&gt;Ticker0024^FE_ESTIMATE(EPS,MEAN,QUARTERLY_ROLL,2019/2F,45860,,,'')&lt;/Q&gt;&lt;R&gt;1&lt;/R&gt;&lt;C&gt;1&lt;/C&gt;&lt;D xsi:type="xsd:double"&gt;1.1&lt;/D&gt;&lt;/FQL&gt;&lt;FQL&gt;&lt;Q&gt;Ticker0024^FE_ESTIMATE(EPS,MEAN,QUARTERLY_ROLL,2019/1F,45860,,,'')&lt;/Q&gt;&lt;R&gt;1&lt;/R&gt;&lt;C&gt;1&lt;/C&gt;&lt;D xsi:type="xsd:double"&gt;1.14&lt;/D&gt;&lt;/FQL&gt;&lt;FQL&gt;&lt;Q&gt;Ticker0024^FE_ESTIMATE(EPS,MEAN,ANNUAL_ROLL,2018,45860,,,'')&lt;/Q&gt;&lt;R&gt;1&lt;/R&gt;&lt;C&gt;1&lt;/C&gt;&lt;D xsi:type="xsd:double"&gt;3.88&lt;/D&gt;&lt;/FQL&gt;&lt;FQL&gt;&lt;Q&gt;Ticker0024^FE_ESTIMATE(EPS,MEAN,QUARTERLY_ROLL,2018/4F,45860,,,'')&lt;/Q&gt;&lt;R&gt;1&lt;/R&gt;&lt;C&gt;1&lt;/C&gt;&lt;D xsi:type="xsd:double"&gt;1.13&lt;/D&gt;&lt;/FQL&gt;&lt;FQL&gt;&lt;Q&gt;Ticker0024^FE_ESTIMATE(EPS,MEAN,QUARTERLY_ROLL,2018/3F,45860,,,'')&lt;/Q&gt;&lt;R&gt;1&lt;/R&gt;&lt;C&gt;1&lt;/C&gt;&lt;D xsi:type="xsd:double"&gt;0.95&lt;/D&gt;&lt;/FQL&gt;&lt;FQL&gt;&lt;Q&gt;Ticker0024^FE_ESTIMATE(EPS,MEAN,QUARTERLY_ROLL,2018/2F,45860,,,'')&lt;/Q&gt;&lt;R&gt;1&lt;/R&gt;&lt;C&gt;1&lt;/C&gt;&lt;D xsi:type="xsd:double"&gt;0.96&lt;/D&gt;&lt;/FQL&gt;&lt;FQL&gt;&lt;Q&gt;Ticker0024^FE_ESTIMATE(EPS,MEAN,QUARTERLY_ROLL,2018/1F,45860,,,'')&lt;/Q&gt;&lt;R&gt;1&lt;/R&gt;&lt;C&gt;1&lt;/C&gt;&lt;D xsi:type="xsd:double"&gt;0.84&lt;/D&gt;&lt;/FQL&gt;&lt;FQL&gt;&lt;Q&gt;Ticker0024^FE_ESTIMATE(EPS,MEAN,ANNUAL_ROLL,2017,45860,,,'')&lt;/Q&gt;&lt;R&gt;1&lt;/R&gt;&lt;C&gt;1&lt;/C&gt;&lt;D xsi:type="xsd:double"&gt;3.31&lt;/D&gt;&lt;/FQL&gt;&lt;FQL&gt;&lt;Q&gt;Ticker0024^FE_ESTIMATE(EPS,MEAN,QUARTERLY_ROLL,2017/4F,45860,,,'')&lt;/Q&gt;&lt;R&gt;1&lt;/R&gt;&lt;C&gt;1&lt;/C&gt;&lt;D xsi:type="xsd:double"&gt;0.98&lt;/D&gt;&lt;/FQL&gt;&lt;FQL&gt;&lt;Q&gt;Ticker0024^FE_ESTIMATE(EPS,MEAN,QUARTERLY_ROLL,2017/3F,45860,,,'')&lt;/Q&gt;&lt;R&gt;1&lt;/R&gt;&lt;C&gt;1&lt;/C&gt;&lt;D xsi:type="xsd:double"&gt;0.73&lt;/D&gt;&lt;/FQL&gt;&lt;FQL&gt;&lt;Q&gt;Ticker0024^FE_ESTIMATE(EPS,MEAN,QUARTERLY_ROLL,2017/2F,45860,,,'')&lt;/Q&gt;&lt;R&gt;1&lt;/R&gt;&lt;C&gt;1&lt;/C&gt;&lt;D xsi:type="xsd:double"&gt;0.83&lt;/D&gt;&lt;/FQL&gt;&lt;FQL&gt;&lt;Q&gt;Ticker0024^FE_ESTIMATE(EPS,MEAN,QUARTERLY_ROLL,2017/1F,45860,,,'')&lt;/Q&gt;&lt;R&gt;1&lt;/R&gt;&lt;C&gt;1&lt;/C&gt;&lt;D xsi:type="xsd:double"&gt;0.76&lt;/D&gt;&lt;/FQL&gt;&lt;FQL&gt;&lt;Q&gt;Ticker0024^FE_ESTIMATE(EPS,MEAN,ANNUAL_ROLL,2016,45860,,,'')&lt;/Q&gt;&lt;R&gt;1&lt;/R&gt;&lt;C&gt;1&lt;/C&gt;&lt;D xsi:type="xsd:double"&gt;2.79&lt;/D&gt;&lt;/FQL&gt;&lt;FQL&gt;&lt;Q&gt;Ticker0024^FE_ESTIMATE(EPS,MEAN,QUARTERLY_ROLL,2016/4F,45860,,,'')&lt;/Q&gt;&lt;R&gt;1&lt;/R&gt;&lt;C&gt;1&lt;/C&gt;&lt;D xsi:type="xsd:double"&gt;0.69&lt;/D&gt;&lt;/FQL&gt;&lt;FQL&gt;&lt;Q&gt;Ticker0024^FE_ESTIMATE(EPS,MEAN,QUARTERLY_ROLL,2016/3F,45860,,,'')&lt;/Q&gt;&lt;R&gt;1&lt;/R&gt;&lt;C&gt;1&lt;/C&gt;&lt;D xsi:type="xsd:double"&gt;0.62&lt;/D&gt;&lt;/FQL&gt;&lt;FQL&gt;&lt;Q&gt;Ticker0024^FE_ESTIMATE(EPS,MEAN,QUARTERLY_ROLL,2016/2F,45860,,,'')&lt;/Q&gt;&lt;R&gt;1&lt;/R&gt;&lt;C&gt;1&lt;/C&gt;&lt;D xsi:type="xsd:double"&gt;0.78&lt;/D&gt;&lt;/FQL&gt;&lt;FQL&gt;&lt;Q&gt;Ticker0024^FE_ESTIMATE(EPS,MEAN,QUARTERLY_ROLL,2016/1F,45860,,,'')&lt;/Q&gt;&lt;R&gt;1&lt;/R&gt;&lt;C&gt;1&lt;/C&gt;&lt;D xsi:type="xsd:double"&gt;0.67&lt;/D&gt;&lt;/FQL&gt;&lt;FQL&gt;&lt;Q&gt;Ticker0024^FE_ESTIMATE(EPS,MEAN,ANNUAL_ROLL,2015,45860,,,'')&lt;/Q&gt;&lt;R&gt;1&lt;/R&gt;&lt;C&gt;1&lt;/C&gt;&lt;D xsi:type="xsd:double"&gt;2.63&lt;/D&gt;&lt;/FQL&gt;&lt;FQL&gt;&lt;Q&gt;Ticker0024^FE_ESTIMATE(EPS,MEAN,QUARTERLY_ROLL,2015/4F,45860,,,'')&lt;/Q&gt;&lt;R&gt;1&lt;/R&gt;&lt;C&gt;1&lt;/C&gt;&lt;D xsi:type="xsd:double"&gt;0.62&lt;/D&gt;&lt;/FQL&gt;&lt;FQL&gt;&lt;Q&gt;Ticker0024^FE_ESTIMATE(EPS,MEAN,QUARTERLY_ROLL,2015/3F,45860,,,'')&lt;/Q&gt;&lt;R&gt;1&lt;/R&gt;&lt;C&gt;1&lt;/C&gt;&lt;D xsi:type="xsd:double"&gt;0.61&lt;/D&gt;&lt;/FQL&gt;&lt;FQL&gt;&lt;Q&gt;Ticker0024^FE_ESTIMATE(EPS,MEAN,QUARTERLY_ROLL,2015/2F,45860,,,'')&lt;/Q&gt;&lt;R&gt;1&lt;/R&gt;&lt;C&gt;1&lt;/C&gt;&lt;D xsi:type="xsd:double"&gt;0.71&lt;/D&gt;&lt;/FQL&gt;&lt;FQL&gt;&lt;Q&gt;Ticker0024^FE_ESTIMATE(EPS,MEAN,QUARTERLY_ROLL,2015/1F,45860,,,'')&lt;/Q&gt;&lt;R&gt;1&lt;/R&gt;&lt;C&gt;1&lt;/C&gt;&lt;D xsi:type="xsd:double"&gt;0.54&lt;/D&gt;&lt;/FQL&gt;&lt;FQL&gt;&lt;Q&gt;Ticker0024^FE_ESTIMATE(EAG,MEAN,ANNUAL_ROLL,2030,45860,,,'')&lt;/Q&gt;&lt;R&gt;1&lt;/R&gt;&lt;C&gt;1&lt;/C&gt;&lt;D xsi:type="xsd:double"&gt;27.53&lt;/D&gt;&lt;/FQL&gt;&lt;FQL&gt;&lt;Q&gt;Ticker0024^FE_ESTIMATE(EAG,MEAN,QUARTERLY_ROLL,2030/4F,45860,,,'')&lt;/Q&gt;&lt;R&gt;0&lt;/R&gt;&lt;C&gt;0&lt;/C&gt;&lt;/FQL&gt;&lt;FQL&gt;&lt;Q&gt;Ticker0024^FE_ESTIMATE(EAG,MEAN,QUARTERLY_ROLL,2030/3F,45860,,,'')&lt;/Q&gt;&lt;R&gt;0&lt;/R&gt;&lt;C&gt;0&lt;/C&gt;&lt;/FQL&gt;&lt;FQL&gt;&lt;Q&gt;Ticker0024^FE_ESTIMATE(EAG,MEAN,QUARTERLY_ROLL,2030/2F,45860,,,'')&lt;/Q&gt;&lt;R&gt;0&lt;/R&gt;&lt;C&gt;0&lt;/C&gt;&lt;/FQL&gt;&lt;FQL&gt;&lt;Q&gt;Ticker0024^FE_ESTIMATE(EAG,MEAN,QUARTERLY_ROLL,2030/1F,45860,,,'')&lt;/Q&gt;&lt;R&gt;0&lt;/R&gt;&lt;C&gt;0&lt;/C&gt;&lt;/FQL&gt;&lt;FQL&gt;&lt;Q&gt;Ticker0024^FE_ESTIMATE(EAG,MEAN,ANNUAL_ROLL,2029,45860,,,'')&lt;/Q&gt;&lt;R&gt;1&lt;/R&gt;&lt;C&gt;1&lt;/C&gt;&lt;D xsi:type="xsd:double"&gt;23.75&lt;/D&gt;&lt;/FQL&gt;&lt;FQL&gt;&lt;Q&gt;Ticker0024^FE_ESTIMATE(EAG,MEAN,QUARTERLY_ROLL,2029/4F,45860,,,'')&lt;/Q&gt;&lt;R&gt;0&lt;/R&gt;&lt;C&gt;0&lt;/C&gt;&lt;/FQL&gt;&lt;FQL&gt;&lt;Q&gt;Ticker0024^FE_ESTIMATE(EAG,MEAN,QUARTERLY_ROLL,2029/3F,45860,,,'')&lt;/Q&gt;&lt;R&gt;0&lt;/R&gt;&lt;C&gt;0&lt;/C&gt;&lt;/FQL&gt;&lt;FQL&gt;&lt;Q&gt;Ticker0024^FE_ESTIMATE(EAG,MEAN,QUARTERLY_ROLL,2029/2F,45860,,,'')&lt;/Q&gt;&lt;R&gt;0&lt;/R&gt;&lt;C&gt;0&lt;/C&gt;&lt;/FQL&gt;&lt;FQL&gt;&lt;Q&gt;Ticker0024^FE_ESTIMATE(EAG,MEAN,QUARTERLY_ROLL,2029/1F,45860,,,'')&lt;/Q&gt;&lt;R&gt;0&lt;/R&gt;&lt;C&gt;0&lt;/C&gt;&lt;/FQL&gt;&lt;FQL&gt;&lt;Q&gt;Ticker0024^FE_ESTIMATE(EAG,MEAN,ANNUAL_ROLL,2028,45860,,,'')&lt;/Q&gt;&lt;R&gt;1&lt;/R&gt;&lt;C&gt;1&lt;/C&gt;&lt;D xsi:type="xsd:double"&gt;21.139156&lt;/D&gt;&lt;/FQL&gt;&lt;FQL&gt;&lt;Q&gt;Ticker0024^FE_ESTIMATE(EAG,MEAN,QUARTERLY_ROLL,2028/4F,45860,,,'')&lt;/Q&gt;&lt;R&gt;0&lt;/R&gt;&lt;C&gt;0&lt;/C&gt;&lt;/FQL&gt;&lt;FQL&gt;&lt;Q&gt;Ticker0024^FE_ESTIMATE(EAG,MEAN,QUARTERLY_ROLL,2028/3F,45860,,,'')&lt;/Q&gt;&lt;R&gt;0&lt;/R&gt;&lt;C&gt;0&lt;/C&gt;&lt;/FQL&gt;&lt;FQL&gt;&lt;Q&gt;Ticker0024^FE_ESTIMATE(EAG,MEAN,QUARTERLY_ROLL,2028/2F,45860,,,'')&lt;/Q&gt;&lt;R&gt;0&lt;/R&gt;&lt;C&gt;0&lt;/C&gt;&lt;/FQL&gt;&lt;FQL&gt;&lt;Q&gt;Ticker0024^FE_ESTIMATE(EAG,MEAN,QUARTERLY_ROLL,2028/1F,45860,,,'')&lt;/Q&gt;&lt;R&gt;0&lt;/R&gt;&lt;C&gt;0&lt;/C&gt;&lt;/FQL&gt;&lt;FQL&gt;&lt;Q&gt;Ticker0024^FE_ESTIMATE(EAG,MEAN,ANNUAL_ROLL,2027,45860,,,'')&lt;/Q&gt;&lt;R&gt;1&lt;/R&gt;&lt;C&gt;1&lt;/C&gt;&lt;D xsi:type="xsd:double"&gt;17.75751&lt;/D&gt;&lt;/FQL&gt;&lt;FQL&gt;&lt;Q&gt;Ticker0024^FE_ESTIMATE(EAG,MEAN,QUARTERLY_ROLL,2027/4F,45860,,,'')&lt;/Q&gt;&lt;R&gt;1&lt;/R&gt;&lt;C&gt;1&lt;/C&gt;&lt;D xsi:type="xsd:double"&gt;4.4975934&lt;/D&gt;&lt;/FQL&gt;&lt;FQL&gt;&lt;Q&gt;Ticker0024^FE_ESTIMATE(EAG,MEAN,QUARTERLY_ROLL,2027/3F,45860,,,'')&lt;/Q&gt;&lt;R&gt;1&lt;/R&gt;&lt;C&gt;1&lt;/C&gt;&lt;D xsi:type="xsd:double"&gt;4.3840885&lt;/D&gt;&lt;/FQL&gt;&lt;FQL&gt;&lt;Q&gt;Ticker0024^FE_ESTIMATE(EAG,MEAN,QUARTERLY_ROLL,2027/2F,45860,,,'')&lt;/Q&gt;&lt;R&gt;1&lt;/R&gt;&lt;C&gt;1&lt;/C&gt;&lt;D xsi:type="xsd:double"&gt;4.315931&lt;/D&gt;&lt;/FQL&gt;&lt;FQL&gt;&lt;Q&gt;Ticker0024^FE_ESTIMATE(EAG,MEAN,QUARTERLY_ROLL,2027/1F,45860,,,'')&lt;/Q&gt;&lt;R&gt;1&lt;/R&gt;&lt;C&gt;1&lt;/C&gt;&lt;D xsi:type="xsd:double"&gt;4.1254387&lt;/D&gt;&lt;/FQL&gt;&lt;FQL&gt;&lt;Q&gt;Ticker0024^FE_ESTIMATE(EAG,MEAN,ANNUAL_ROLL,2026,45860,,,'')&lt;/Q&gt;&lt;R&gt;1&lt;/R&gt;&lt;C&gt;1&lt;/C&gt;&lt;D xsi:type="xsd:double"&gt;15.239629&lt;/D&gt;&lt;/FQL&gt;&lt;FQL&gt;&lt;Q&gt;Ticker0024^FE_ESTIMATE(EAG,MEAN,QUARTERLY_ROLL,2026/4F,45860,,,'')&lt;/Q&gt;&lt;R&gt;1&lt;/R&gt;&lt;C&gt;1&lt;/C&gt;&lt;D xsi:type="xsd:double"&gt;3.906758&lt;/D&gt;&lt;/FQL&gt;&lt;FQL&gt;&lt;Q&gt;Ticker0024^FE_ESTIMATE(EAG,MEAN,QUARTERLY_ROLL,2026/3F,45860,,,'')&lt;/Q&gt;&lt;R&gt;1&lt;/R&gt;&lt;C&gt;1&lt;/C&gt;&lt;D xsi:type="xsd:double"&gt;3.8074722&lt;/D&gt;&lt;/FQL&gt;&lt;FQL&gt;&lt;Q&gt;Ticker0024^FE_ESTIMATE(EAG,MEAN,QUARTERLY_ROLL,2026/2F,45860,,,'')&lt;/Q&gt;&lt;R&gt;1&lt;/R&gt;&lt;C&gt;1&lt;/C&gt;&lt;D xsi:type="xsd:double"&gt;3.7620249&lt;/D&gt;&lt;/FQL&gt;&lt;FQL&gt;&lt;Q&gt;Ticker0024^FE_ESTIMATE(EAG,MEAN,QUARTERLY_ROLL,2026/1F,45860,,,'')&lt;/Q&gt;&lt;R&gt;1&lt;/R&gt;&lt;C&gt;1&lt;/C&gt;&lt;D xsi:type="xsd:double"&gt;3.5449054&lt;/D&gt;&lt;/FQL&gt;&lt;FQL&gt;&lt;Q&gt;Ticker0024^FE_ESTIMATE(EAG,MEAN,ANNUAL_ROLL,2025,45860,,,'')&lt;/Q&gt;&lt;R&gt;1&lt;/R&gt;&lt;C&gt;1&lt;/C&gt;&lt;D xsi:type="xsd:double"&gt;13.39225&lt;/D&gt;&lt;/FQL&gt;&lt;FQL&gt;&lt;Q&gt;Ticker0024^FE_ESTIMATE(EAG,MEAN,QUARTERLY_ROLL,2025/4F,45860,,,'')&lt;/Q&gt;&lt;R&gt;1&lt;/R&gt;&lt;C&gt;1&lt;/C&gt;&lt;D xsi:type="xsd:double"&gt;3.372238&lt;/D&gt;&lt;/FQL&gt;&lt;FQL&gt;&lt;Q&gt;Ticker0024^FE_ESTIMATE(EAG,MEAN,QUARTERLY_ROLL,2025/3F,45860,,,'')&lt;/Q&gt;&lt;R&gt;1&lt;/R&gt;&lt;C&gt;1&lt;/C&gt;&lt;D xsi:type="xsd:double"&gt;3.46&lt;/D&gt;&lt;/FQL&gt;&lt;FQL&gt;&lt;Q&gt;Ticker0024^FE_ESTIMATE(EAG,MEAN,QUARTERLY_ROLL,2025/2F,45860,,,'')&lt;/Q&gt;&lt;R&gt;1&lt;/R&gt;&lt;C&gt;1&lt;/C&gt;&lt;D xsi:type="xsd:double"&gt;3.23&lt;/D&gt;&lt;/FQL&gt;&lt;FQL&gt;&lt;Q&gt;Ticker0024^FE_ESTIMATE(EAG,MEAN,QUARTERLY_ROLL,2025/1F,45860,,,'')&lt;/Q&gt;&lt;R&gt;1&lt;/R&gt;&lt;C&gt;1&lt;/C&gt;&lt;D xsi:type="xsd:double"&gt;3.3&lt;/D&gt;&lt;/FQL&gt;&lt;FQL&gt;&lt;Q&gt;Ticker0024^FE_ESTIMATE(EAG,MEAN,ANNUAL_ROLL,2024,45860,,,'')&lt;/Q&gt;&lt;R&gt;1&lt;/R&gt;&lt;C&gt;1&lt;/C&gt;&lt;D xsi:type="xsd:double"&gt;11.8&lt;/D&gt;&lt;/FQL&gt;&lt;FQL&gt;&lt;Q&gt;Ticker0024^FE_ESTIMATE(EAG,MEAN,QUARTERLY_ROLL,2024/4F,45860,,,'')&lt;/Q&gt;&lt;R&gt;1&lt;/R&gt;&lt;C&gt;1&lt;/C&gt;&lt;D xsi:type="xsd:double"&gt;2.95&lt;/D&gt;&lt;/FQL&gt;&lt;FQL&gt;&lt;Q&gt;Ticker0024^FE_ESTIMATE(EAG,MEAN,QUARTERLY_ROLL,2024/3F,45860,,,'')&lt;/Q&gt;&lt;R&gt;1&lt;/R&gt;&lt;C&gt;1&lt;/C&gt;&lt;D xsi:type="xsd:double"&gt;2.94&lt;/D&gt;&lt;/FQL&gt;&lt;FQL&gt;&lt;Q&gt;Ticker0024^FE_ESTIMATE(EAG,MEAN,QUARTERLY_ROLL,2024/2F,45860,,,'')&lt;/Q&gt;&lt;R&gt;1&lt;/R&gt;&lt;C&gt;1&lt;/C&gt;&lt;D xsi:type="xsd:double"&gt;2.93&lt;/D&gt;&lt;/FQL&gt;&lt;FQL&gt;&lt;Q&gt;Ticker0024^FE_ESTIMATE(EAG,MEAN,QUARTERLY_ROLL,2024/1F,45860,,,'')&lt;/Q&gt;&lt;R&gt;1&lt;/R&gt;&lt;C&gt;1&lt;/C&gt;&lt;D xsi:type="xsd:double"&gt;2.99&lt;/D&gt;&lt;/FQL&gt;&lt;FQL&gt;&lt;Q&gt;Ticker0024^FE_ESTIMATE(EAG,MEAN,ANNUAL_ROLL,2023,45860,,,'')&lt;/Q&gt;&lt;R&gt;1&lt;/R&gt;&lt;C&gt;1&lt;/C&gt;&lt;D xsi:type="xsd:double"&gt;9.68&lt;/D&gt;&lt;/FQL&gt;&lt;FQL&gt;&lt;Q&gt;Ticker0024^FE_ESTIMATE(EAG,MEAN,QUARTERLY_ROLL,2023/4F,45860,,,'')&lt;/Q&gt;&lt;R&gt;1&lt;/R&gt;&lt;C&gt;1&lt;/C&gt;&lt;D xsi:type="xsd:double"&gt;2.69&lt;/D&gt;&lt;/FQL&gt;&lt;FQL&gt;&lt;Q&gt;Ticker0024^FE_ESTIMATE(EAG,MEAN,QUARTERLY_ROLL,2023/3F,45860,,,'')&lt;/Q&gt;&lt;R&gt;1&lt;/R&gt;&lt;C&gt;1&lt;/C&gt;&lt;D xsi:type="xsd:double"&gt;2.4501362&lt;/D&gt;&lt;/FQL&gt;&lt;FQL&gt;&lt;Q&gt;Ticker0024^FE_ESTIMATE(EAG,MEAN,QUARTERLY_ROLL,2023/2F,45860,,,'')&lt;/Q&gt;&lt;R&gt;1&lt;/R&gt;&lt;C&gt;1&lt;/C&gt;&lt;D xsi:type="xsd:double"&gt;2.2&lt;/D&gt;&lt;/FQL&gt;&lt;FQL&gt;&lt;Q&gt;Ticker0024^FE_ESTIMATE(EAG,MEAN,QUARTERLY_ROLL,2023/1F,45860,,,'')&lt;/Q&gt;&lt;R&gt;1&lt;/R&gt;&lt;C&gt;1&lt;/C&gt;&lt;D xsi:type="xsd:double"&gt;2.35&lt;/D&gt;&lt;/FQL&gt;&lt;FQL&gt;&lt;Q&gt;Ticker0024^FE_ESTIMATE(EAG,MEAN,ANNUAL_ROLL,2022,45860,,,'')&lt;/Q&gt;&lt;R&gt;1&lt;/R&gt;&lt;C&gt;1&lt;/C&gt;&lt;D xsi:type="xsd:double"&gt;9.65&lt;/D&gt;&lt;/FQL&gt;&lt;FQL&gt;&lt;Q&gt;Ticker0024^FE_ESTIMATE(EAG,MEAN,QUARTERLY_ROLL,2022/4F,45860,,,'')&lt;/Q&gt;&lt;R&gt;1&lt;/R&gt;&lt;C&gt;1&lt;/C&gt;&lt;D xsi:type="xsd:double"&gt;2.23&lt;/D&gt;&lt;/FQL&gt;&lt;FQL&gt;&lt;Q&gt;Ticker0024^FE_ESTIMATE(EAG,MEAN,QUARTERLY_ROLL,2022/3F,45860,,,'')&lt;/Q&gt;&lt;R&gt;1&lt;/R&gt;&lt;C&gt;1&lt;/C&gt;&lt;D xsi:type="xsd:double"&gt;2.22&lt;/D&gt;&lt;/FQL&gt;&lt;FQL&gt;&lt;Q&gt;Ticker0024^FE_ESTIMATE(EAG,MEAN,QUARTERLY_ROLL,2022/2F,45860,,,'')&lt;/Q&gt;&lt;R&gt;1&lt;/R&gt;&lt;C&gt;1&lt;/C&gt;&lt;D xsi:type="xsd:double"&gt;2.48&lt;/D&gt;&lt;/FQL&gt;&lt;FQL&gt;&lt;Q&gt;Ticker0024^FE_ESTIMATE(EAG,MEAN,QUARTERLY_ROLL,2022/1F,45860,,,'')&lt;/Q&gt;&lt;R&gt;1&lt;/R&gt;&lt;C&gt;1&lt;/C&gt;&lt;D xsi:type="xsd:double"&gt;2.71&lt;/D&gt;&lt;/FQL&gt;&lt;FQL&gt;&lt;Q&gt;Ticker0024^FE_ESTIMATE(EAG,MEAN,ANNUAL_ROLL,2021,45860,,,'')&lt;/Q&gt;&lt;R&gt;1&lt;/R&gt;&lt;C&gt;1&lt;/C&gt;&lt;D xsi:type="xsd:double"&gt;8.05&lt;/D&gt;&lt;/FQL&gt;&lt;FQL&gt;&lt;Q&gt;Ticker0024^FE_ESTIMATE(EAG,MEAN,QUARTERLY_ROLL,2021/4F,45860,,,'')&lt;/Q&gt;&lt;R&gt;1&lt;/R&gt;&lt;C&gt;1&lt;/C&gt;&lt;D xsi:type="xsd:double"&gt;2.17&lt;/D&gt;&lt;/FQL&gt;&lt;FQL&gt;&lt;Q&gt;Ticker0024^FE_ESTIMATE(EAG,MEAN,QUARTERLY_ROLL,2021/3F,45860,,,'')&lt;/Q&gt;&lt;R&gt;1&lt;/R&gt;&lt;C&gt;1&lt;/C&gt;&lt;D xsi:type="xsd:double"&gt;2.03&lt;/D&gt;&lt;/FQL&gt;&lt;FQL&gt;&lt;Q&gt;Ticker0024^FE_ESTIMATE(EAG,MEAN,QUARTERLY_ROLL,2021/2F,45860,,,'')&lt;/Q&gt;&lt;R&gt;1&lt;/R&gt;&lt;C&gt;1&lt;/C&gt;&lt;D xsi:type="xsd:double"&gt;2.03&lt;/D&gt;&lt;/FQL&gt;&lt;FQL&gt;&lt;Q&gt;Ticker0024^FE_ESTIMATE(EAG,MEAN,QUARTERLY_ROLL,2021/1F,45860,,,'')&lt;/Q&gt;&lt;R&gt;1&lt;/R&gt;&lt;C&gt;1&lt;/C&gt;&lt;D xsi:type="xsd:double"&gt;1.82&lt;/D&gt;&lt;/FQL&gt;&lt;FQL&gt;&lt;Q&gt;Ticker0024^FE_ESTIMATE(EAG,MEAN,ANNUAL_ROLL,2020,45860,,,'')&lt;/Q&gt;&lt;R&gt;1&lt;/R&gt;&lt;C&gt;1&lt;/C&gt;&lt;D xsi:type="xsd:double"&gt;5.76&lt;/D&gt;&lt;/FQL&gt;&lt;FQL&gt;&lt;Q&gt;Ticker0024^FE_ESTIMATE(EAG,MEAN,QUARTERLY_ROLL,2020/4F,45860,,,'')&lt;/Q&gt;&lt;R&gt;1&lt;/R&gt;&lt;C&gt;1&lt;/C&gt;&lt;D xsi:type="xsd:double"&gt;1.46&lt;/D&gt;&lt;/FQL&gt;&lt;FQL&gt;&lt;Q&gt;Ticker0024^FE_ESTIMATE(EAG,MEAN,QUARTERLY_ROLL,2020/3F,45860,,,'')&lt;/Q&gt;&lt;R&gt;1&lt;/R&gt;&lt;C&gt;1&lt;/C&gt;&lt;D xsi:type="xsd:double"&gt;1.4&lt;/D&gt;&lt;/FQL&gt;&lt;FQL&gt;&lt;Q&gt;Ticker0024^FE_ESTIMATE(EAG,MEAN,QUARTERLY_ROLL,2020/2F,45860,,,'')&lt;/Q&gt;&lt;R&gt;1&lt;/R&gt;&lt;C&gt;1&lt;/C&gt;&lt;D xsi:type="xsd:double"&gt;1.51&lt;/D&gt;&lt;/FQL&gt;&lt;FQL&gt;&lt;Q&gt;Ticker0024^FE_ESTIMATE(EAG,MEAN,QUARTERLY_ROLL,2020/1F,45860,,,'')&lt;/Q&gt;&lt;R&gt;1&lt;/R&gt;&lt;C&gt;1&lt;/C&gt;&lt;D xsi:type="xsd:double"&gt;1.38&lt;/D&gt;&lt;/FQL&gt;&lt;FQL&gt;&lt;Q&gt;Ticker0024^FE_ESTIMATE(EAG,MEAN,ANNUAL_ROLL,2019,45860,,,'')&lt;/Q&gt;&lt;R&gt;1&lt;/R&gt;&lt;C&gt;1&lt;/C&gt;&lt;D xsi:type="xsd:double"&gt;5.06&lt;/D&gt;&lt;/FQL&gt;&lt;FQL&gt;&lt;Q&gt;Ticker0024^FE_ESTIMATE(EAG,MEAN,QUARTERLY_ROLL,2019/4F,45860,,,'')&lt;/Q&gt;&lt;R&gt;1&lt;/R&gt;&lt;C&gt;1&lt;/C&gt;&lt;D xsi:type="xsd:double"&gt;1.71&lt;/D&gt;&lt;/FQL&gt;&lt;FQL&gt;&lt;Q&gt;Ticker0024^FE_ESTIMATE(EAG,MEAN,QUARTERLY_ROLL,2019/3F,45860,,,'')&lt;/Q&gt;&lt;R&gt;1&lt;/R&gt;&lt;C&gt;1&lt;/C&gt;&lt;D xsi:type="xsd:double"&gt;1.14&lt;/D&gt;&lt;/FQL&gt;&lt;FQL&gt;&lt;Q&gt;Ticker0024^FE_ESTIMATE(EAG,MEAN,QUARTERLY_ROLL,2019/2F,45860,,,'')&lt;/Q&gt;&lt;R&gt;1&lt;/R&gt;&lt;C&gt;1&lt;/C&gt;&lt;D xsi:type="xsd:double"&gt;1.08&lt;/D&gt;&lt;/FQL&gt;&lt;FQL&gt;&lt;Q&gt;Ticker0024^FE_ESTIMATE(EAG,MEAN,QUARTERLY_ROLL,2019/1F,45860,,,'')&lt;/Q&gt;&lt;R&gt;1&lt;/R&gt;&lt;C&gt;1&lt;/C&gt;&lt;D xsi:type="xsd:double"&gt;1.14&lt;/D&gt;&lt;/FQL&gt;&lt;FQL&gt;&lt;Q&gt;Ticker0024^FE_ESTIMATE(EAG,MEAN,ANNUAL_ROLL,2018,45860,,,'')&lt;/Q&gt;&lt;R&gt;1&lt;/R&gt;&lt;C&gt;1&lt;/C&gt;&lt;D xsi:type="xsd:double"&gt;2.13&lt;/D&gt;&lt;/FQL&gt;&lt;FQL&gt;&lt;Q&gt;Ticker0024^FE_ESTIMATE(EAG,MEAN,QUARTERLY_ROLL,2018/4F,45860,,,'')&lt;/Q&gt;&lt;R&gt;1&lt;/R&gt;&lt;C&gt;1&lt;/C&gt;&lt;D xsi:type="xsd:double"&gt;1.14&lt;/D&gt;&lt;/FQL&gt;&lt;FQL&gt;&lt;Q&gt;Ticker0024^FE_ESTIMATE(EAG,MEAN,QUARTERLY_ROLL,2018/3F,45860,,,'')&lt;/Q&gt;&lt;R&gt;1&lt;/R&gt;&lt;C&gt;1&lt;/C&gt;&lt;D xsi:type="xsd:double"&gt;0.9504607&lt;/D&gt;&lt;/FQL&gt;&lt;FQL&gt;&lt;Q&gt;Ticker0024^FE_ESTIMATE(EAG,MEAN,QUARTERLY_ROLL,2018/2F,45860,,,'')&lt;/Q&gt;&lt;R&gt;1&lt;/R&gt;&lt;C&gt;1&lt;/C&gt;&lt;D xsi:type="xsd:double"&gt;-0.82&lt;/D&gt;&lt;/FQL&gt;&lt;FQL&gt;&lt;Q&gt;Ticker0024^FE_ESTIMATE(EAG,MEAN,QUARTERLY_ROLL,2018/1F,45860,,,'')&lt;/Q&gt;&lt;R&gt;1&lt;/R&gt;&lt;C&gt;1&lt;/C&gt;&lt;D xsi:type="xsd:double"&gt;0.84&lt;/D&gt;&lt;/FQL&gt;&lt;FQL&gt;&lt;Q&gt;Ticker0024^FE_ESTIMATE(EAG,MEAN,ANNUAL_ROLL,2017,45860,,,'')&lt;/Q&gt;&lt;R&gt;1&lt;/R&gt;&lt;C&gt;1&lt;/C&gt;&lt;D xsi:type="xsd:double"&gt;2.71&lt;/D&gt;&lt;/FQL&gt;&lt;FQL&gt;&lt;Q&gt;Ticker0024^FE_ESTIMATE(EAG,MEAN,QUARTERLY_ROLL,2017/4F,45860,,,'')&lt;/Q&gt;&lt;R&gt;1&lt;/R&gt;&lt;C&gt;1&lt;/C&gt;&lt;D xsi:type="xsd:double"&gt;0.83&lt;/D&gt;&lt;/FQL&gt;&lt;FQL&gt;&lt;Q&gt;Ticker0024^FE_ESTIMATE(EAG,MEAN,QUARTERLY_ROLL,2017/3F,45860,,,'')&lt;/Q&gt;&lt;R&gt;1&lt;/R&gt;&lt;C&gt;1&lt;/C&gt;&lt;D xsi:type="xsd:double"&gt;0.61&lt;/D&gt;&lt;/FQL&gt;&lt;FQL&gt;&lt;Q&gt;Ticker0024^FE_ESTIMATE(EAG,MEAN,QUARTERLY_ROLL,2017/2F,45860,,,'')&lt;/Q&gt;&lt;R&gt;1&lt;/R&gt;&lt;C&gt;1&lt;/C&gt;&lt;D xsi:type="xsd:double"&gt;0.66&lt;/D&gt;&lt;/FQL&gt;&lt;FQL&gt;&lt;Q&gt;Ticker0024^FE_ESTIMATE(EAG,MEAN,QUARTERLY_ROLL,2017/1F,45860,,,'')&lt;/Q&gt;&lt;R&gt;1&lt;/R&gt;&lt;C&gt;1&lt;/C&gt;&lt;D xsi:type="xsd:double"&gt;0.6&lt;/D&gt;&lt;/FQL&gt;&lt;FQL&gt;&lt;Q&gt;Ticker0024^FE_ESTIMATE(EAG,MEAN,ANNUAL_ROLL,2016,45860,,,'')&lt;/Q&gt;&lt;R&gt;1&lt;/R&gt;&lt;C&gt;1&lt;/C&gt;&lt;D xsi:type="xsd:double"&gt;2.1&lt;/D&gt;&lt;/FQL&gt;&lt;FQL&gt;&lt;Q&gt;Ticker0024^FE_ESTIMATE(EAG,MEAN,QUARTERLY_ROLL,2016/4F,45860,,,'')&lt;/Q&gt;&lt;R&gt;1&lt;/R&gt;&lt;C&gt;1&lt;/C&gt;&lt;D xsi:type="xsd:double"&gt;0.39&lt;/D&gt;&lt;/FQL&gt;&lt;FQL&gt;&lt;Q&gt;Ticker0024^FE_ESTIMATE(EAG,MEAN,QUARTERLY_ROLL,2016/3F,45860,,,'')&lt;/Q&gt;&lt;R&gt;1&lt;/R&gt;&lt;C&gt;1&lt;/C&gt;&lt;D xsi:type="xsd:double"&gt;0.47&lt;/D&gt;&lt;/FQL&gt;&lt;FQL&gt;&lt;Q&gt;Ticker0024^FE_ESTIMATE(EAG,MEAN,QUARTERLY_ROLL,2016/2F,45860,,,'')&lt;/Q&gt;&lt;R&gt;1&lt;/R&gt;&lt;C&gt;1&lt;/C&gt;&lt;D xsi:type="xsd:double"&gt;0.62&lt;/D&gt;&lt;/FQL&gt;&lt;FQL&gt;&lt;Q&gt;Ticker0024^FE_ESTIMATE(EAG,MEAN,QUARTERLY_ROLL,2016/1F,45860,,,'')&lt;/Q&gt;&lt;R&gt;1&lt;/R&gt;&lt;C&gt;1&lt;/C&gt;&lt;D xsi:type="xsd:double"&gt;0.57&lt;/D&gt;&lt;/FQL&gt;&lt;FQL&gt;&lt;Q&gt;Ticker0024^FE_ESTIMATE(EAG,MEAN,ANNUAL_ROLL,2015,45860,,,'')&lt;/Q&gt;&lt;R&gt;1&lt;/R&gt;&lt;C&gt;1&lt;/C&gt;&lt;D xsi:type="xsd:double"&gt;1.48&lt;/D&gt;&lt;/FQL&gt;&lt;FQL&gt;&lt;Q&gt;Ticker0024^FE_ESTIMATE(EAG,MEAN,QUARTERLY_ROLL,2015/4F,45860,,,'')&lt;/Q&gt;&lt;R&gt;1&lt;/R&gt;&lt;C&gt;1&lt;/C&gt;&lt;D xsi:type="xsd:double"&gt;-0.4&lt;/D&gt;&lt;/FQL&gt;&lt;FQL&gt;&lt;Q&gt;Ticker0024^FE_ESTIMATE(EAG,MEAN,QUARTERLY_ROLL,2015/3F,45860,,,'')&lt;/Q&gt;&lt;R&gt;1&lt;/R&gt;&lt;C&gt;1&lt;/C&gt;&lt;D xsi:type="xsd:double"&gt;0.61&lt;/D&gt;&lt;/FQL&gt;&lt;FQL&gt;&lt;Q&gt;Ticker0024^FE_ESTIMATE(EAG,MEAN,QUARTERLY_ROLL,2015/2F,45860,,,'')&lt;/Q&gt;&lt;R&gt;1&lt;/R&gt;&lt;C&gt;1&lt;/C&gt;&lt;D xsi:type="xsd:double"&gt;0.71&lt;/D&gt;&lt;/FQL&gt;&lt;FQL&gt;&lt;Q&gt;Ticker0024^FE_ESTIMATE(EAG,MEAN,QUARTERLY_ROLL,2015/1F,45860,,,'')&lt;/Q&gt;&lt;R&gt;1&lt;/R&gt;&lt;C&gt;1&lt;/C&gt;&lt;D xsi:type="xsd:double"&gt;0.54&lt;/D&gt;&lt;/FQL&gt;&lt;FQL&gt;&lt;Q&gt;Ticker0024^FE_ESTIMATE(EBIT,MEAN,ANNUAL_ROLL,2030,45860,,,'')&lt;/Q&gt;&lt;R&gt;0&lt;/R&gt;&lt;C&gt;0&lt;/C&gt;&lt;/FQL&gt;&lt;FQL&gt;&lt;Q&gt;Ticker0024^FE_ESTIMATE(EBIT,MEAN,QUARTERLY_ROLL,2030/4F,45860,,,'')&lt;/Q&gt;&lt;R&gt;0&lt;/R&gt;&lt;C&gt;0&lt;/C&gt;&lt;/FQL&gt;&lt;FQL&gt;&lt;Q&gt;Ticker0024^FE_ESTIMATE(EBIT,MEAN,QUARTERLY_ROLL,2030/3F,45860,,,'')&lt;/Q&gt;&lt;R&gt;0&lt;/R&gt;&lt;C&gt;0&lt;/C&gt;&lt;/FQL&gt;&lt;FQL&gt;&lt;Q&gt;Ticker0024^FE_ESTIMATE(EBIT,MEAN,QUARTERLY_ROLL,2030/2F,45860,,,'')&lt;/Q&gt;&lt;R&gt;0&lt;/R&gt;&lt;C&gt;0&lt;/C&gt;&lt;/FQL&gt;&lt;FQL&gt;&lt;Q&gt;Ticker0024^FE_ESTIMATE(EBIT,MEAN,QUARTERLY_ROLL,2030/1F,45860,,,'')&lt;/Q&gt;&lt;R&gt;0&lt;/R&gt;&lt;C&gt;0&lt;/C&gt;&lt;/FQL&gt;&lt;FQL&gt;&lt;Q&gt;Ticker0024^FE_ESTIMATE(EBIT,MEAN,ANNUAL_ROLL,2029,45860,,,'')&lt;/Q&gt;&lt;R&gt;1&lt;/R&gt;&lt;C&gt;1&lt;/C&gt;&lt;D xsi:type="xsd:double"&gt;220406.5&lt;/D&gt;&lt;/FQL&gt;&lt;FQL&gt;&lt;Q&gt;Ticker0024^FE_ESTIMATE(EBIT,MEAN,QUARTERLY_ROLL,2029/4F,45860,,,'')&lt;/Q&gt;&lt;R&gt;0&lt;/R&gt;&lt;C&gt;0&lt;/C&gt;&lt;/FQL&gt;&lt;FQL&gt;&lt;Q&gt;Ticker0024^FE_ESTIMATE(EBIT,MEAN,QUARTERLY_ROLL,2029/3F,45860,,,'')&lt;/Q&gt;&lt;R&gt;0&lt;/R&gt;&lt;C&gt;0&lt;/C&gt;&lt;/FQL&gt;&lt;FQL&gt;&lt;Q&gt;Ticker0024^FE_ESTIMATE(EBIT,MEAN,QUARTERLY_ROLL,2029/2F,45860,,,'')&lt;/Q&gt;&lt;R&gt;0&lt;/R&gt;&lt;C&gt;0&lt;/C&gt;&lt;/FQL&gt;&lt;FQL&gt;&lt;Q&gt;Ticker0024^FE_ESTIMATE(EBIT,MEAN,QUARTERLY_ROLL,2029/1F,45860,,,'')&lt;/Q&gt;&lt;R&gt;0&lt;/R&gt;&lt;C&gt;0&lt;/C&gt;&lt;/FQL&gt;&lt;FQL&gt;&lt;Q&gt;Ticker0024^FE_ESTIMATE(EBIT,MEAN,ANNUAL_ROLL,2028,45860,,,'')&lt;/Q&gt;&lt;R&gt;1&lt;/R&gt;&lt;C&gt;1&lt;/C&gt;&lt;D xsi:type="xsd:double"&gt;190139.19&lt;/D&gt;&lt;/FQL&gt;&lt;FQL&gt;&lt;Q&gt;Ticker0024^FE_ESTIMATE(EBIT,MEAN,QUARTERLY_ROLL,2028/4F,45860,,,'')&lt;/Q&gt;&lt;R&gt;0&lt;/R&gt;&lt;C&gt;0&lt;/C&gt;&lt;/FQL&gt;&lt;FQL&gt;&lt;Q&gt;Ticker0024^FE_ESTIMATE(EBIT,MEAN,QUARTERLY_ROLL,20</t>
        </r>
      </text>
    </comment>
    <comment ref="A66" authorId="0" shapeId="0" xr:uid="{4236D55A-58BC-42F4-8178-0F3CDB6728FD}">
      <text>
        <r>
          <rPr>
            <b/>
            <sz val="9"/>
            <color indexed="81"/>
            <rFont val="Tahoma"/>
            <family val="2"/>
          </rPr>
          <t>28/3F,45860,,,'')&lt;/Q&gt;&lt;R&gt;0&lt;/R&gt;&lt;C&gt;0&lt;/C&gt;&lt;/FQL&gt;&lt;FQL&gt;&lt;Q&gt;Ticker0024^FE_ESTIMATE(EBIT,MEAN,QUARTERLY_ROLL,2028/2F,45860,,,'')&lt;/Q&gt;&lt;R&gt;0&lt;/R&gt;&lt;C&gt;0&lt;/C&gt;&lt;/FQL&gt;&lt;FQL&gt;&lt;Q&gt;Ticker0024^FE_ESTIMATE(EBIT,MEAN,QUARTERLY_ROLL,2028/1F,45860,,,'')&lt;/Q&gt;&lt;R&gt;0&lt;/R&gt;&lt;C&gt;0&lt;/C&gt;&lt;/FQL&gt;&lt;FQL&gt;&lt;Q&gt;Ticker0024^FE_ESTIMATE(EBIT,MEAN,ANNUAL_ROLL,2027,45860,,,'')&lt;/Q&gt;&lt;R&gt;1&lt;/R&gt;&lt;C&gt;1&lt;/C&gt;&lt;D xsi:type="xsd:double"&gt;164930.84&lt;/D&gt;&lt;/FQL&gt;&lt;FQL&gt;&lt;Q&gt;Ticker0024^FE_ESTIMATE(EBIT,MEAN,QUARTERLY_ROLL,2027/4F,45860,,,'')&lt;/Q&gt;&lt;R&gt;1&lt;/R&gt;&lt;C&gt;1&lt;/C&gt;&lt;D xsi:type="xsd:double"&gt;41737.75&lt;/D&gt;&lt;/FQL&gt;&lt;FQL&gt;&lt;Q&gt;Ticker0024^FE_ESTIMATE(EBIT,MEAN,QUARTERLY_ROLL,2027/3F,45860,,,'')&lt;/Q&gt;&lt;R&gt;1&lt;/R&gt;&lt;C&gt;1&lt;/C&gt;&lt;D xsi:type="xsd:double"&gt;40721.742&lt;/D&gt;&lt;/FQL&gt;&lt;FQL&gt;&lt;Q&gt;Ticker0024^FE_ESTIMATE(EBIT,MEAN,QUARTERLY_ROLL,2027/2F,45860,,,'')&lt;/Q&gt;&lt;R&gt;1&lt;/R&gt;&lt;C&gt;1&lt;/C&gt;&lt;D xsi:type="xsd:double"&gt;40256.53&lt;/D&gt;&lt;/FQL&gt;&lt;FQL&gt;&lt;Q&gt;Ticker0024^FE_ESTIMATE(EBIT,MEAN,QUARTERLY_ROLL,2027/1F,45860,,,'')&lt;/Q&gt;&lt;R&gt;1&lt;/R&gt;&lt;C&gt;1&lt;/C&gt;&lt;D xsi:type="xsd:double"&gt;38463.418&lt;/D&gt;&lt;/FQL&gt;&lt;FQL&gt;&lt;Q&gt;Ticker0024^FE_ESTIMATE(EBIT,MEAN,ANNUAL_ROLL,2026,45860,,,'')&lt;/Q&gt;&lt;R&gt;1&lt;/R&gt;&lt;C&gt;1&lt;/C&gt;&lt;D xsi:type="xsd:double"&gt;142912.27&lt;/D&gt;&lt;/FQL&gt;&lt;FQL&gt;&lt;Q&gt;Ticker0024^FE_ESTIMATE(EBIT,MEAN,QUARTERLY_ROLL,2026/4F,45860,,,'')&lt;/Q&gt;&lt;R&gt;1&lt;/R&gt;&lt;C&gt;1&lt;/C&gt;&lt;D xsi:type="xsd:double"&gt;37008.004&lt;/D&gt;&lt;/FQL&gt;&lt;FQL&gt;&lt;Q&gt;Ticker0024^FE_ESTIMATE(EBIT,MEAN,QUARTERLY_ROLL,2026/3F,45860,,,'')&lt;/Q&gt;&lt;R&gt;1&lt;/R&gt;&lt;C&gt;1&lt;/C&gt;&lt;D xsi:type="xsd:double"&gt;36101.008&lt;/D&gt;&lt;/FQL&gt;&lt;FQL&gt;&lt;Q&gt;Ticker0024^FE_ESTIMATE(EBIT,MEAN,QUARTERLY_ROLL,2026/2F,45860,,,'')&lt;/Q&gt;&lt;R&gt;1&lt;/R&gt;&lt;C&gt;1&lt;/C&gt;&lt;D xsi:type="xsd:double"&gt;35467.23&lt;/D&gt;&lt;/FQL&gt;&lt;FQL&gt;&lt;Q&gt;Ticker0024^FE_ESTIMATE(EBIT,MEAN,QUARTERLY_ROLL,2026/1F,45860,,,'')&lt;/Q&gt;&lt;R&gt;1&lt;/R&gt;&lt;C&gt;1&lt;/C&gt;&lt;D xsi:type="xsd:double"&gt;33917.99&lt;/D&gt;&lt;/FQL&gt;&lt;FQL&gt;&lt;Q&gt;Ticker0024^FE_ESTIMATE(EBIT,MEAN,ANNUAL_ROLL,2025,45860,,,'')&lt;/Q&gt;&lt;R&gt;1&lt;/R&gt;&lt;C&gt;1&lt;/C&gt;&lt;D xsi:type="xsd:double"&gt;126222.61&lt;/D&gt;&lt;/FQL&gt;&lt;FQL&gt;&lt;Q&gt;Ticker0024^FE_ESTIMATE(EBIT,MEAN,QUARTERLY_ROLL,2025/4F,45860,,,'')&lt;/Q&gt;&lt;R&gt;1&lt;/R&gt;&lt;C&gt;1&lt;/C&gt;&lt;D xsi:type="xsd:double"&gt;32195.61&lt;/D&gt;&lt;/FQL&gt;&lt;FQL&gt;&lt;Q&gt;Ticker0024^FE_ESTIMATE(EBIT,MEAN,QUARTERLY_ROLL,2025/3F,45860,,,'')&lt;/Q&gt;&lt;R&gt;1&lt;/R&gt;&lt;C&gt;1&lt;/C&gt;&lt;D xsi:type="xsd:double"&gt;32000&lt;/D&gt;&lt;/FQL&gt;&lt;FQL&gt;&lt;Q&gt;Ticker0024^FE_ESTIMATE(EBIT,MEAN,QUARTERLY_ROLL,2025/2F,45860,,,'')&lt;/Q&gt;&lt;R&gt;1&lt;/R&gt;&lt;C&gt;1&lt;/C&gt;&lt;D xsi:type="xsd:double"&gt;31654.076&lt;/D&gt;&lt;/FQL&gt;&lt;FQL&gt;&lt;Q&gt;Ticker0024^FE_ESTIMATE(EBIT,MEAN,QUARTERLY_ROLL,2025/1F,45860,,,'')&lt;/Q&gt;&lt;R&gt;1&lt;/R&gt;&lt;C&gt;1&lt;/C&gt;&lt;D xsi:type="xsd:double"&gt;30535.146&lt;/D&gt;&lt;/FQL&gt;&lt;FQL&gt;&lt;Q&gt;Ticker0024^FE_ESTIMATE(EBIT,MEAN,ANNUAL_ROLL,2024,45860,,,'')&lt;/Q&gt;&lt;R&gt;1&lt;/R&gt;&lt;C&gt;1&lt;/C&gt;&lt;D xsi:type="xsd:double"&gt;109729.96&lt;/D&gt;&lt;/FQL&gt;&lt;FQL&gt;&lt;Q&gt;Ticker0024^FE_ESTIMATE(EBIT,MEAN,QUARTERLY_ROLL,2024/4F,45860,,,'')&lt;/Q&gt;&lt;R&gt;1&lt;/R&gt;&lt;C&gt;1&lt;/C&gt;&lt;D xsi:type="xsd:double"&gt;27926.969&lt;/D&gt;&lt;/FQL&gt;&lt;FQL&gt;&lt;Q&gt;Ticker0024^FE_ESTIMATE(EBIT,MEAN,QUARTERLY_ROLL,2024/3F,45860,,,'')&lt;/Q&gt;&lt;R&gt;1&lt;/R&gt;&lt;C&gt;1&lt;/C&gt;&lt;D xsi:type="xsd:double"&gt;27582.4&lt;/D&gt;&lt;/FQL&gt;&lt;FQL&gt;&lt;Q&gt;Ticker0024^FE_ESTIMATE(EBIT,MEAN,QUARTERLY_ROLL,2024/2F,45860,,,'')&lt;/Q&gt;&lt;R&gt;1&lt;/R&gt;&lt;C&gt;1&lt;/C&gt;&lt;D xsi:type="xsd:double"&gt;27031.055&lt;/D&gt;&lt;/FQL&gt;&lt;FQL&gt;&lt;Q&gt;Ticker0024^FE_ESTIMATE(EBIT,MEAN,QUARTERLY_ROLL,2024/1F,45860,,,'')&lt;/Q&gt;&lt;R&gt;1&lt;/R&gt;&lt;C&gt;1&lt;/C&gt;&lt;D xsi:type="xsd:double"&gt;26895.146&lt;/D&gt;&lt;/FQL&gt;&lt;FQL&gt;&lt;Q&gt;Ticker0024^FE_ESTIMATE(EBIT,MEAN,ANNUAL_ROLL,2023,45860,,,'')&lt;/Q&gt;&lt;R&gt;1&lt;/R&gt;&lt;C&gt;1&lt;/C&gt;&lt;D xsi:type="xsd:double"&gt;88600.766&lt;/D&gt;&lt;/FQL&gt;&lt;FQL&gt;&lt;Q&gt;Ticker0024^FE_ESTIMATE(EBIT,MEAN,QUARTERLY_ROLL,2023/4F,45860,,,'')&lt;/Q&gt;&lt;R&gt;1&lt;/R&gt;&lt;C&gt;1&lt;/C&gt;&lt;D xsi:type="xsd:double"&gt;24173.82&lt;/D&gt;&lt;/FQL&gt;&lt;FQL&gt;&lt;Q&gt;Ticker0024^FE_ESTIMATE(EBIT,MEAN,QUARTERLY_ROLL,2023/3F,45860,,,'')&lt;/Q&gt;&lt;R&gt;1&lt;/R&gt;&lt;C&gt;1&lt;/C&gt;&lt;D xsi:type="xsd:double"&gt;22351.936&lt;/D&gt;&lt;/FQL&gt;&lt;FQL&gt;&lt;Q&gt;Ticker0024^FE_ESTIMATE(EBIT,MEAN,QUARTERLY_ROLL,2023/2F,45860,,,'')&lt;/Q&gt;&lt;R&gt;1&lt;/R&gt;&lt;C&gt;1&lt;/C&gt;&lt;D xsi:type="xsd:double"&gt;20399.059&lt;/D&gt;&lt;/FQL&gt;&lt;FQL&gt;&lt;Q&gt;Ticker0024^FE_ESTIMATE(EBIT,MEAN,QUARTERLY_ROLL,2023/1F,45860,,,'')&lt;/Q&gt;&lt;R&gt;1&lt;/R&gt;&lt;C&gt;1&lt;/C&gt;&lt;D xsi:type="xsd:double"&gt;21518.063&lt;/D&gt;&lt;/FQL&gt;&lt;FQL&gt;&lt;Q&gt;Ticker0024^FE_ESTIMATE(EBIT,MEAN,ANNUAL_ROLL,2022,45860,,,'')&lt;/Q&gt;&lt;R&gt;1&lt;/R&gt;&lt;C&gt;1&lt;/C&gt;&lt;D xsi:type="xsd:double"&gt;83380.48&lt;/D&gt;&lt;/FQL&gt;&lt;FQL&gt;&lt;Q&gt;Ticker0024^FE_ESTIMATE(EBIT,MEAN,QUARTERLY_ROLL,2022/4F,45860,,,'')&lt;/Q&gt;&lt;R&gt;1&lt;/R&gt;&lt;C&gt;1&lt;/C&gt;&lt;D xsi:type="xsd:double"&gt;20531.785&lt;/D&gt;&lt;/FQL&gt;&lt;FQL&gt;&lt;Q&gt;Ticker0024^FE_ESTIMATE(EBIT,MEAN,QUARTERLY_ROLL,2022/3F,45860,,,'')&lt;/Q&gt;&lt;R&gt;1&lt;/R&gt;&lt;C&gt;1&lt;/C&gt;&lt;D xsi:type="xsd:double"&gt;20362.076&lt;/D&gt;&lt;/FQL&gt;&lt;FQL&gt;&lt;Q&gt;Ticker0024^FE_ESTIMATE(EBIT,MEAN,QUARTERLY_ROLL,2022/2F,45860,,,'')&lt;/Q&gt;&lt;R&gt;1&lt;/R&gt;&lt;C&gt;1&lt;/C&gt;&lt;D xsi:type="xsd:double"&gt;22246.809&lt;/D&gt;&lt;/FQL&gt;&lt;FQL&gt;&lt;Q&gt;Ticker0024^FE_ESTIMATE(EBIT,MEAN,QUARTERLY_ROLL,2022/1F,45860,,,'')&lt;/Q&gt;&lt;R&gt;1&lt;/R&gt;&lt;C&gt;1&lt;/C&gt;&lt;D xsi:type="xsd:double"&gt;20237.896&lt;/D&gt;&lt;/FQL&gt;&lt;FQL&gt;&lt;Q&gt;Ticker0024^FE_ESTIMATE(EBIT,MEAN,ANNUAL_ROLL,2021,45860,,,'')&lt;/Q&gt;&lt;R&gt;1&lt;/R&gt;&lt;C&gt;1&lt;/C&gt;&lt;D xsi:type="xsd:double"&gt;69916.43&lt;/D&gt;&lt;/FQL&gt;&lt;FQL&gt;&lt;Q&gt;Ticker0024^FE_ESTIMATE(EBIT,MEAN,QUARTERLY_ROLL,2021/4F,45860,,,'')&lt;/Q&gt;&lt;R&gt;1&lt;/R&gt;&lt;C&gt;1&lt;/C&gt;&lt;D xsi:type="xsd:double"&gt;19095&lt;/D&gt;&lt;/FQL&gt;&lt;FQL&gt;&lt;Q&gt;Ticker0024^FE_ESTIMATE(EBIT,MEAN,QUARTERLY_ROLL,2021/3F,45860,,,'')&lt;/Q&gt;&lt;R&gt;1&lt;/R&gt;&lt;C&gt;1&lt;/C&gt;&lt;D xsi:type="xsd:double"&gt;17048&lt;/D&gt;&lt;/FQL&gt;&lt;FQL&gt;&lt;Q&gt;Ticker0024^FE_ESTIMATE(EBIT,MEAN,QUARTERLY_ROLL,2021/2F,45860,,,'')&lt;/Q&gt;&lt;R&gt;1&lt;/R&gt;&lt;C&gt;1&lt;/C&gt;&lt;D xsi:type="xsd:double"&gt;17896.826&lt;/D&gt;&lt;/FQL&gt;&lt;FQL&gt;&lt;Q&gt;Ticker0024^FE_ESTIMATE(EBIT,MEAN,QUARTERLY_ROLL,2021/1F,45860,,,'')&lt;/Q&gt;&lt;R&gt;1&lt;/R&gt;&lt;C&gt;1&lt;/C&gt;&lt;D xsi:type="xsd:double"&gt;15875.739&lt;/D&gt;&lt;/FQL&gt;&lt;FQL&gt;&lt;Q&gt;Ticker0024^FE_ESTIMATE(EBIT,MEAN,ANNUAL_ROLL,2020,45860,,,'')&lt;/Q&gt;&lt;R&gt;1&lt;/R&gt;&lt;C&gt;1&lt;/C&gt;&lt;D xsi:type="xsd:double"&gt;52978.875&lt;/D&gt;&lt;/FQL&gt;&lt;FQL&gt;&lt;Q&gt;Ticker0024^FE_ESTIMATE(EBIT,MEAN,QUARTERLY_ROLL,2020/4F,45860,,,'')&lt;/Q&gt;&lt;R&gt;1&lt;/R&gt;&lt;C&gt;1&lt;/C&gt;&lt;D xsi:type="xsd:double"&gt;13432.45&lt;/D&gt;&lt;/FQL&gt;&lt;FQL&gt;&lt;Q&gt;Ticker0024^FE_ESTIMATE(EBIT,MEAN,QUARTERLY_ROLL,2020/3F,45860,,,'')&lt;/Q&gt;&lt;R&gt;1&lt;/R&gt;&lt;C&gt;1&lt;/C&gt;&lt;D xsi:type="xsd:double"&gt;12975&lt;/D&gt;&lt;/FQL&gt;&lt;FQL&gt;&lt;Q&gt;Ticker0024^FE_ESTIMATE(EBIT,MEAN,QUARTERLY_ROLL,2020/2F,45860,,,'')&lt;/Q&gt;&lt;R&gt;1&lt;/R&gt;&lt;C&gt;1&lt;/C&gt;&lt;D xsi:type="xsd:double"&gt;13891&lt;/D&gt;&lt;/FQL&gt;&lt;FQL&gt;&lt;Q&gt;Ticker0024^FE_ESTIMATE(EBIT,MEAN,QUARTERLY_ROLL,2020/1F,45860,,,'')&lt;/Q&gt;&lt;R&gt;1&lt;/R&gt;&lt;C&gt;1&lt;/C&gt;&lt;D xsi:type="xsd:double"&gt;12686&lt;/D&gt;&lt;/FQL&gt;&lt;FQL&gt;&lt;Q&gt;Ticker0024^FE_ESTIMATE(EBIT,MEAN,ANNUAL_ROLL,2019,45860,,,'')&lt;/Q&gt;&lt;R&gt;1&lt;/R&gt;&lt;C&gt;1&lt;/C&gt;&lt;D xsi:type="xsd:double"&gt;42964.805&lt;/D&gt;&lt;/FQL&gt;&lt;FQL&gt;&lt;Q&gt;Ticker0024^FE_ESTIMATE(EBIT,MEAN,QUARTERLY_ROLL,2019/4F,45860,,,'')&lt;/Q&gt;&lt;R&gt;1&lt;/R&gt;&lt;C&gt;1&lt;/C&gt;&lt;D xsi:type="xsd:double"&gt;12405&lt;/D&gt;&lt;/FQL&gt;&lt;FQL&gt;&lt;Q&gt;Ticker0024^FE_ESTIMATE(EBIT,MEAN,QUARTERLY_ROLL,2019/3F,45860,,,'')&lt;/Q&gt;&lt;R&gt;1&lt;/R&gt;&lt;C&gt;1&lt;/C&gt;&lt;D xsi:type="xsd:double"&gt;10341&lt;/D&gt;&lt;/FQL&gt;&lt;FQL&gt;&lt;Q&gt;Ticker0024^FE_ESTIMATE(EBIT,MEAN,QUARTERLY_ROLL,2019/2F,45860,,,'')&lt;/Q&gt;&lt;R&gt;1&lt;/R&gt;&lt;C&gt;1&lt;/C&gt;&lt;D xsi:type="xsd:double"&gt;10263.846&lt;/D&gt;&lt;/FQL&gt;&lt;FQL&gt;&lt;Q&gt;Ticker0024^FE_ESTIMATE(EBIT,MEAN,QUARTERLY_ROLL,2019/1F,45860,,,'')&lt;/Q&gt;&lt;R&gt;1&lt;/R&gt;&lt;C&gt;1&lt;/C&gt;&lt;D xsi:type="xsd:double"&gt;9955&lt;/D&gt;&lt;/FQL&gt;&lt;FQL&gt;&lt;Q&gt;Ticker0024^FE_ESTIMATE(EBIT,MEAN,ANNUAL_ROLL,2018,45860,,,'')&lt;/Q&gt;&lt;R&gt;1&lt;/R&gt;&lt;C&gt;1&lt;/C&gt;&lt;D xsi:type="xsd:double"&gt;35034.188&lt;/D&gt;&lt;/FQL&gt;&lt;FQL&gt;&lt;Q&gt;Ticker0024^FE_ESTIMATE(EBIT,MEAN,QUARTERLY_ROLL,2018/4F,45860,,,'')&lt;/Q&gt;&lt;R&gt;1&lt;/R&gt;&lt;C&gt;1&lt;/C&gt;&lt;D xsi:type="xsd:double"&gt;10349.692&lt;/D&gt;&lt;/FQL&gt;&lt;FQL&gt;&lt;Q&gt;Ticker0024^FE_ESTIMATE(EBIT,MEAN,QUARTERLY_ROLL,2018/3F,45860,,,'')&lt;/Q&gt;&lt;R&gt;1&lt;/R&gt;&lt;C&gt;1&lt;/C&gt;&lt;D xsi:type="xsd:double"&gt;8292&lt;/D&gt;&lt;/FQL&gt;&lt;FQL&gt;&lt;Q&gt;Ticker0024^FE_ESTIMATE(EBIT,MEAN,QUARTERLY_ROLL,2018/2F,45860,,,'')&lt;/Q&gt;&lt;R&gt;1&lt;/R&gt;&lt;C&gt;1&lt;/C&gt;&lt;D xsi:type="xsd:double"&gt;8679&lt;/D&gt;&lt;/FQL&gt;&lt;FQL&gt;&lt;Q&gt;Ticker0024^FE_ESTIMATE(EBIT,MEAN,QUARTERLY_ROLL,2018/1F,45860,,,'')&lt;/Q&gt;&lt;R&gt;1&lt;/R&gt;&lt;C&gt;1&lt;/C&gt;&lt;D xsi:type="xsd:double"&gt;7708&lt;/D&gt;&lt;/FQL&gt;&lt;FQL&gt;&lt;Q&gt;Ticker0024^FE_ESTIMATE(EBIT,MEAN,ANNUAL_ROLL,2017,45860,,,'')&lt;/Q&gt;&lt;R&gt;1&lt;/R&gt;&lt;C&gt;1&lt;/C&gt;&lt;D xsi:type="xsd:double"&gt;29326.25&lt;/D&gt;&lt;/FQL&gt;&lt;FQL&gt;&lt;Q&gt;Ticker0024^FE_ESTIMATE(EBIT,MEAN,QUARTERLY_ROLL,2017/4F,45860,,,'')&lt;/Q&gt;&lt;R&gt;1&lt;/R&gt;&lt;C&gt;1&lt;/C&gt;&lt;D xsi:type="xsd:double"&gt;7019&lt;/D&gt;&lt;/FQL&gt;&lt;FQL&gt;&lt;Q&gt;Ticker0024^FE_ESTIMATE(EBIT,MEAN,QUARTERLY_ROLL,2017/3F,45860,,,'')&lt;/Q&gt;&lt;R&gt;1&lt;/R&gt;&lt;C&gt;1&lt;/C&gt;&lt;D xsi:type="xsd:double"&gt;7061&lt;/D&gt;&lt;/FQL&gt;&lt;FQL&gt;&lt;Q&gt;Ticker0024^FE_ESTIMATE(EBIT,MEAN,QUARTERLY_ROLL,2017/2F,45860,,,'')&lt;/Q&gt;&lt;R&gt;1&lt;/R&gt;&lt;C&gt;1&lt;/C&gt;&lt;D xsi:type="xsd:double"&gt;8153&lt;/D&gt;&lt;/FQL&gt;&lt;FQL&gt;&lt;Q&gt;Ticker0024^FE_ESTIMATE(EBIT,MEAN,QUARTERLY_ROLL,2017/1F,45860,,,'')&lt;/Q&gt;&lt;R&gt;1&lt;/R&gt;&lt;C&gt;1&lt;/C&gt;&lt;D xsi:type="xsd:double"&gt;7106&lt;/D&gt;&lt;/FQL&gt;&lt;FQL&gt;&lt;Q&gt;Ticker0024^FE_ESTIMATE(EBIT,MEAN,ANNUAL_ROLL,2016,45860,,,'')&lt;/Q&gt;&lt;R&gt;1&lt;/R&gt;&lt;C&gt;1&lt;/C&gt;&lt;D xsi:type="xsd:double"&gt;28028.564&lt;/D&gt;&lt;/FQL&gt;&lt;FQL&gt;&lt;Q&gt;Ticker0024^FE_ESTIMATE(EBIT,MEAN,QUARTERLY_ROLL,2016/4F,45860,,,'')&lt;/Q&gt;&lt;R&gt;1&lt;/R&gt;&lt;C&gt;1&lt;/C&gt;&lt;D xsi:type="xsd:double"&gt;6218&lt;/D&gt;&lt;/FQL&gt;&lt;FQL&gt;&lt;Q&gt;Ticker0024^FE_ESTIMATE(EBIT,MEAN,QUARTERLY_ROLL,2016/3F,45860,,,'')&lt;/Q&gt;&lt;R&gt;1&lt;/R&gt;&lt;C&gt;1&lt;/C&gt;&lt;D xsi:type="xsd:double"&gt;6828&lt;/D&gt;&lt;/FQL&gt;&lt;FQL&gt;&lt;Q&gt;Ticker0024^FE_ESTIMATE(EBIT,MEAN,QUARTERLY_ROLL,2016/2F,45860,,,'')&lt;/Q&gt;&lt;R&gt;1&lt;/R&gt;&lt;C&gt;1&lt;/C&gt;&lt;D xsi:type="xsd:double"&gt;7923&lt;/D&gt;&lt;/FQL&gt;&lt;FQL&gt;&lt;Q&gt;Ticker0024^FE_ESTIMATE(EBIT,MEAN,QUARTERLY_ROLL,2016/1F,45860,,,'')&lt;/Q&gt;&lt;R&gt;1&lt;/R&gt;&lt;C&gt;1&lt;/C&gt;&lt;D xsi:type="xsd:double"&gt;7073.7896&lt;/D&gt;&lt;/FQL&gt;&lt;FQL&gt;&lt;Q&gt;Ticker0024^FE_ESTIMATE(EBIT,MEAN,ANNUAL_ROLL,2015,45860,,,'')&lt;/Q&gt;&lt;R&gt;1&lt;/R&gt;&lt;C&gt;1&lt;/C&gt;&lt;D xsi:type="xsd:double"&gt;27916.867&lt;/D&gt;&lt;/FQL&gt;&lt;FQL&gt;&lt;Q&gt;Ticker0024^FE_ESTIMATE(EBIT,MEAN,QUARTERLY_ROLL,2015/4F,45860,,,'')&lt;/Q&gt;&lt;R&gt;1&lt;/R&gt;&lt;C&gt;1&lt;/C&gt;&lt;D xsi:type="xsd:double"&gt;4513.1914&lt;/D&gt;&lt;/FQL&gt;&lt;FQL&gt;&lt;Q&gt;Ticker0024^FE_ESTIMATE(EBIT,MEAN,QUARTERLY_ROLL,2015/3F,45860,,,'')&lt;/Q&gt;&lt;R&gt;1&lt;/R&gt;&lt;C&gt;1&lt;/C&gt;&lt;D xsi:type="xsd:double"&gt;6598.875&lt;/D&gt;&lt;/FQL&gt;&lt;FQL&gt;&lt;Q&gt;Ticker0024^FE_ESTIMATE(EBIT,MEAN,QUARTERLY_ROLL,2015/2F,45860,,,'')&lt;/Q&gt;&lt;R&gt;1&lt;/R&gt;&lt;C&gt;1&lt;/C&gt;&lt;D xsi:type="xsd:double"&gt;7776&lt;/D&gt;&lt;/FQL&gt;&lt;FQL&gt;&lt;Q&gt;Ticker0024^FE_ESTIMATE(EBIT,MEAN,QUARTERLY_ROLL,2015/1F,45860,,,'')&lt;/Q&gt;&lt;R&gt;1&lt;/R&gt;&lt;C&gt;1&lt;/C&gt;&lt;D xsi:type="xsd:double"&gt;5844&lt;/D&gt;&lt;/FQL&gt;&lt;FQL&gt;&lt;Q&gt;Ticker0024^FE_ESTIMATE(PRODLINE_EBIT_17,MEAN,ANNUAL_ROLL,2030,45860,,,'')&lt;/Q&gt;&lt;R&gt;0&lt;/R&gt;&lt;C&gt;0&lt;/C&gt;&lt;/FQL&gt;&lt;FQL&gt;&lt;Q&gt;Ticker0024^FE_ESTIMATE(PRODLINE_EBIT_17,MEAN,QUARTERLY_ROLL,2030/4F,45860,,,'')&lt;/Q&gt;&lt;R&gt;0&lt;/R&gt;&lt;C&gt;0&lt;/C&gt;&lt;/FQL&gt;&lt;FQL&gt;&lt;Q&gt;Ticker0024^FE_ESTIMATE(PRODLINE_EBIT_17,MEAN,QUARTERLY_ROLL,2030/3F,45860,,,'')&lt;/Q&gt;&lt;R&gt;0&lt;/R&gt;&lt;C&gt;0&lt;/C&gt;&lt;/FQL&gt;&lt;FQL&gt;&lt;Q&gt;Ticker0024^FE_ESTIMATE(PRODLINE_EBIT_17,MEAN,QUARTERLY_ROLL,2030/2F,45860,,,'')&lt;/Q&gt;&lt;R&gt;0&lt;/R&gt;&lt;C&gt;0&lt;/C&gt;&lt;/FQL&gt;&lt;FQL&gt;&lt;Q&gt;Ticker0024^FE_ESTIMATE(PRODLINE_EBIT_17,MEAN,QUARTERLY_ROLL,2030/1F,45860,,,'')&lt;/Q&gt;&lt;R&gt;0&lt;/R&gt;&lt;C&gt;0&lt;/C&gt;&lt;/FQL&gt;&lt;FQL&gt;&lt;Q&gt;Ticker0024^FE_ESTIMATE(PRODLINE_EBIT_17,MEAN,ANNUAL_ROLL,2029,45860,,,'')&lt;/Q&gt;&lt;R&gt;0&lt;/R&gt;&lt;C&gt;0&lt;/C&gt;&lt;/FQL&gt;&lt;FQL&gt;&lt;Q&gt;Ticker0024^FE_ESTIMATE(PRODLINE_EBIT_17,MEAN,QUARTERLY_ROLL,2029/4F,45860,,,'')&lt;/Q&gt;&lt;R&gt;0&lt;/R&gt;&lt;C&gt;0&lt;/C&gt;&lt;/FQL&gt;&lt;FQL&gt;&lt;Q&gt;Ticker0024^FE_ESTIMATE(PRODLINE_EBIT_17,MEAN,QUARTERLY_ROLL,2029/3F,45860,,,'')&lt;/Q&gt;&lt;R&gt;0&lt;/R&gt;&lt;C&gt;0&lt;/C&gt;&lt;/FQL&gt;&lt;FQL&gt;&lt;Q&gt;Ticker0024^FE_ESTIMATE(PRODLINE_EBIT_17,MEAN,QUARTERLY_ROLL,2029/2F,45860,,,'')&lt;/Q&gt;&lt;R&gt;0&lt;/R&gt;&lt;C&gt;0&lt;/C&gt;&lt;/FQL&gt;&lt;FQL&gt;&lt;Q&gt;Ticker0024^FE_ESTIMATE(PRODLINE_EBIT_17,MEAN,QUARTERLY_ROLL,2029/1F,45860,,,'')&lt;/Q&gt;&lt;R&gt;0&lt;/R&gt;&lt;C&gt;0&lt;/C&gt;&lt;/FQL&gt;&lt;FQL&gt;&lt;Q&gt;Ticker0024^FE_ESTIMATE(PRODLINE_EBIT_17,MEAN,ANNUAL_ROLL,2028,45860,,,'')&lt;/Q&gt;&lt;R&gt;0&lt;/R&gt;&lt;C&gt;0&lt;/C&gt;&lt;/FQL&gt;&lt;FQL&gt;&lt;Q&gt;Ticker0024^FE_ESTIMATE(PRODLINE_EBIT_17,MEAN,QUARTERLY_ROLL,2028/4F,45860,,,'')&lt;/Q&gt;&lt;R&gt;0&lt;/R&gt;&lt;C&gt;0&lt;/C&gt;&lt;/FQL&gt;&lt;FQL&gt;&lt;Q&gt;Ticker0024^FE_ESTIMATE(PRODLINE_EBIT_17,MEAN,QUARTERLY_ROLL,2028/3F,45860,,,'')&lt;/Q&gt;&lt;R&gt;0&lt;/R&gt;&lt;C&gt;0&lt;/C&gt;&lt;/FQL&gt;&lt;FQL&gt;&lt;Q&gt;Ticker0024^FE_ESTIMATE(PRODLINE_EBIT_17,MEAN,QUARTERLY_ROLL,2028/2F,45860,,,'')&lt;/Q&gt;&lt;R&gt;0&lt;/R&gt;&lt;C&gt;0&lt;/C&gt;&lt;/FQL&gt;&lt;FQL&gt;&lt;Q&gt;Ticker0024^FE_ESTIMATE(PRODLINE_EBIT_17,MEAN,QUARTERLY_ROLL,2028/1F,45860,,,'')&lt;/Q&gt;&lt;R&gt;0&lt;/R&gt;&lt;C&gt;0&lt;/C&gt;&lt;/FQL&gt;&lt;FQL&gt;&lt;Q&gt;Ticker0024^FE_ESTIMATE(PRODLINE_EBIT_17,MEAN,ANNUAL_ROLL,2027,45860,,,'')&lt;/Q&gt;&lt;R&gt;1&lt;/R&gt;&lt;C&gt;1&lt;/C&gt;&lt;D xsi:type="xsd:double"&gt;13646.667&lt;/D&gt;&lt;/FQL&gt;&lt;FQL&gt;&lt;Q&gt;Ticker0024^FE_ESTIMATE(PRODLINE_EBIT_17,MEAN,QUARTERLY_ROLL,2027/4F,45860,,,'')&lt;/Q&gt;&lt;R&gt;0&lt;/R&gt;&lt;C&gt;0&lt;/C&gt;&lt;/FQL&gt;&lt;FQL&gt;&lt;Q&gt;Ticker0024^FE_ESTIMATE(PRODLINE_EBIT_17,MEAN,QUARTERLY_ROLL,2027/3F,45860,,,'')&lt;/Q&gt;&lt;R&gt;0&lt;/R&gt;&lt;C&gt;0&lt;/C&gt;&lt;/FQL&gt;&lt;FQL&gt;&lt;Q&gt;Ticker0024^FE_ESTIMATE(PRODLINE_EBIT_17,MEAN,QUARTERLY_ROLL,2027/2F,45860,,,'')&lt;/Q&gt;&lt;R&gt;0&lt;/R&gt;&lt;C&gt;0&lt;/C&gt;&lt;/FQL&gt;&lt;FQL&gt;&lt;Q&gt;Ticker0024^FE_ESTIMATE(PRODLINE_EBIT_17,MEAN,QUARTERLY_ROLL,2027/1F,45860,,,'')&lt;/Q&gt;&lt;R&gt;0&lt;/R&gt;&lt;C&gt;0&lt;/C&gt;&lt;/FQL&gt;&lt;FQL&gt;&lt;Q&gt;Ticker0024^FE_ESTIMATE(PRODLINE_EBIT_17,MEAN,ANNUAL_ROLL,2026,45860,,,'')&lt;/Q&gt;&lt;R&gt;1&lt;/R&gt;&lt;C&gt;1&lt;/C&gt;&lt;D xsi:type="xsd:double"&gt;15423.5&lt;/D&gt;&lt;/FQL&gt;&lt;FQL&gt;&lt;Q&gt;Ticker0024^FE_ESTIMATE(PRODLINE_EBIT_17,MEAN,QUARTERLY_ROLL,2026/4F,45860,,,'')&lt;/Q&gt;&lt;R&gt;1&lt;/R&gt;&lt;C&gt;1&lt;/C&gt;&lt;D xsi:type="xsd:double"&gt;3510&lt;/D&gt;&lt;/FQL&gt;&lt;FQL&gt;&lt;Q&gt;Ticker0024^FE_ESTIMATE(PRODLINE_EBIT_17,MEAN,QUARTERLY_ROLL,2026/3F,45860,,,'')&lt;/Q&gt;&lt;R&gt;1&lt;/R&gt;&lt;C&gt;1&lt;/C&gt;&lt;D xsi:type="xsd:double"&gt;3878.5&lt;/D&gt;&lt;/FQL&gt;&lt;FQL&gt;&lt;Q&gt;Ticker0024^FE_ESTIMATE(PRODLINE_EBIT_17,MEAN,QUARTERLY_ROLL,2026/2F,45860,,,'')&lt;/Q&gt;&lt;R&gt;1&lt;/R&gt;&lt;C&gt;1&lt;/C&gt;&lt;D xsi:type="xsd:double"&gt;4237.5&lt;/D&gt;&lt;/FQL&gt;&lt;FQL&gt;&lt;Q&gt;Ticker0024^FE_ESTIMATE(PRODLINE_EBIT_17,MEAN,QUARTERLY_ROLL,2026/1F,45860,,,'')&lt;/Q&gt;&lt;R&gt;1&lt;/R&gt;&lt;C&gt;1&lt;/C&gt;&lt;D xsi:type="xsd:double"&gt;3797.5&lt;/D&gt;&lt;/FQL&gt;&lt;FQL&gt;&lt;Q&gt;Ticker0024^FE_ESTIMATE(PRODLINE_EBIT_17,MEAN,ANNUAL_ROLL,2025,45860,,,'')&lt;/Q&gt;&lt;R&gt;1&lt;/R&gt;&lt;C&gt;1&lt;/C&gt;&lt;D xsi:type="xsd:double"&gt;15455.2&lt;/D&gt;&lt;/FQL&gt;&lt;FQL&gt;&lt;Q&gt;Ticker0024^FE_ESTIMATE(PRODLINE_EBIT_17,MEAN,QUARTERLY_ROLL,2025/4F,45860,,,'')&lt;/Q&gt;&lt;R&gt;1&lt;/R&gt;&lt;C&gt;1&lt;/C&gt;&lt;D xsi:type="xsd:double"&gt;3426.6&lt;/D&gt;&lt;/FQL&gt;&lt;FQL&gt;&lt;Q&gt;Ticker0024^FE_ESTIMATE(PRODLINE_EBIT_17,MEAN,QUARTERLY_ROLL,2025/3F,45860,,,'')&lt;/Q&gt;&lt;R&gt;1&lt;/R&gt;&lt;C&gt;1&lt;/C&gt;&lt;D xsi:type="xsd:double"&gt;4058.75&lt;/D&gt;&lt;/FQL&gt;&lt;FQL&gt;&lt;Q&gt;Ticker0024^FE_ESTIMATE(PRODLINE_EBIT_17,MEAN,QUARTERLY_ROLL,2025/2F,45860,,,'')&lt;/Q&gt;&lt;R&gt;1&lt;/R&gt;&lt;C&gt;1&lt;/C&gt;&lt;D xsi:type="xsd:double"&gt;4253.8&lt;/D&gt;&lt;/FQL&gt;&lt;FQL&gt;&lt;Q&gt;Ticker0024^FE_ESTIMATE(PRODLINE_EBIT_17,MEAN,QUARTERLY_ROLL,2025/1F,45860,,,'')&lt;/Q&gt;&lt;R&gt;1&lt;/R&gt;&lt;C&gt;1&lt;/C&gt;&lt;D xsi:type="xsd:double"&gt;3822.2&lt;/D&gt;&lt;/FQL&gt;&lt;FQL&gt;&lt;Q&gt;Ticker0024^FE_ESTIMATE(PRODLINE_EBIT_17,MEAN,ANNUAL_ROLL,2024,45860,,,'')&lt;/Q&gt;&lt;R&gt;1&lt;/R&gt;&lt;C&gt;1&lt;/C&gt;&lt;D xsi:type="xsd:double"&gt;19332.8&lt;/D&gt;&lt;/FQL&gt;&lt;FQL&gt;&lt;Q&gt;Ticker0024^FE_ESTIMATE(PRODLINE_EBIT_17,MEAN,QUARTERLY_ROLL,2024/4F,45860,,,'')&lt;/Q&gt;&lt;R&gt;1&lt;/R&gt;&lt;C&gt;1&lt;/C&gt;&lt;D xsi:type="xsd:double"&gt;4922.4&lt;/D&gt;&lt;/FQL&gt;&lt;FQL&gt;&lt;Q&gt;Ticker0024^FE_ESTIMATE(PRODLINE_EBIT_17,MEAN,QUARTERLY_ROLL,2024/3F,45860,,,'')&lt;/Q&gt;&lt;R&gt;1&lt;/R&gt;&lt;C&gt;1&lt;/C&gt;&lt;D xsi:type="xsd:double"&gt;4925.7144&lt;/D&gt;&lt;/FQL&gt;&lt;FQL&gt;&lt;Q&gt;Ticker0024^FE_ESTIMATE(PRODLINE_EBIT_17,MEAN,QUARTERLY_ROLL,2024/2F,45860,,,'')&lt;/Q&gt;&lt;R&gt;1&lt;/R&gt;&lt;C&gt;1&lt;/C&gt;&lt;D xsi:type="xsd:double"&gt;4308.3335&lt;/D&gt;&lt;/FQL&gt;&lt;FQL&gt;&lt;Q&gt;Ticker0024^FE_ESTIMATE(PRODLINE_EBIT_17,MEAN,QUARTERLY_ROLL,2024/1F,45860,,,'')&lt;/Q&gt;&lt;R&gt;1&lt;/R&gt;&lt;C&gt;1&lt;/C&gt;&lt;D xsi:type="xsd:double"&gt;5197&lt;/D&gt;&lt;/FQL&gt;&lt;FQL&gt;&lt;Q&gt;Ticker0024^FE_ESTIMATE(PRODLINE_EBIT_17,MEAN,ANNUAL_ROLL,2023,45860,,,'')&lt;/Q&gt;&lt;R&gt;1&lt;/R&gt;&lt;C&gt;1&lt;/C&gt;&lt;D xsi:type="xsd:double"&gt;16450&lt;/D&gt;&lt;/FQL&gt;&lt;FQL&gt;&lt;Q&gt;Ticker0024^FE_ESTIMATE(PRODLINE_EBIT_17,MEAN,QUARTERLY_ROLL,2023/4F,45860,,,'')&lt;/Q&gt;&lt;R&gt;1&lt;/R&gt;&lt;C&gt;1&lt;/C&gt;&lt;D xsi:type="xsd:double"&gt;4676.8&lt;/D&gt;&lt;/FQL&gt;&lt;FQL&gt;&lt;Q&gt;Ticker0024^FE_ESTIMATE(PRODLINE_EBIT_17,MEAN,QUARTERLY_ROLL,2023/3F,45860,,,'')&lt;/Q&gt;&lt;R&gt;1&lt;/R&gt;&lt;C&gt;1&lt;/C&gt;&lt;D xsi:type="xsd:double"&gt;4237.6&lt;/D&gt;&lt;/FQL&gt;&lt;FQL&gt;&lt;Q&gt;Ticker0024^FE_ESTIMATE(PRODLINE_EBIT_17,MEAN,QUARTERLY_ROLL,2023/2F,45860,,,'')&lt;/Q&gt;&lt;R&gt;1&lt;/R&gt;&lt;C&gt;1&lt;/C&gt;&lt;D xsi:type="xsd:double"&gt;3345&lt;/D&gt;&lt;/FQL&gt;&lt;FQL&gt;&lt;Q&gt;Ticker0024^FE_ESTIMATE(PRODLINE_EBIT_17,MEAN,QUARTERLY_ROLL,2023/1F,45860,,,'')&lt;/Q&gt;&lt;R&gt;1&lt;/R&gt;&lt;C&gt;1&lt;/C&gt;&lt;D xsi:type="xsd:double"&gt;4241.4&lt;/D&gt;&lt;/FQL&gt;&lt;FQL&gt;&lt;Q&gt;Ticker0024^FE_ESTIMATE(PRODLINE_EBIT_17,MEAN,ANNUAL_ROLL,2022,45860,,,'')&lt;/Q&gt;&lt;R&gt;1&lt;/R&gt;&lt;C&gt;1&lt;/C&gt;&lt;D xsi:type="xsd:double"&gt;20975.2&lt;/D&gt;&lt;/FQL&gt;&lt;FQL&gt;&lt;Q&gt;Ticker0024^FE_ESTIMATE(PRODLINE_EBIT_17,MEAN,QUARTERLY_ROLL,2022/4F,45860,,,'')&lt;/Q&gt;&lt;R&gt;1&lt;/R&gt;&lt;C&gt;1&lt;/C&gt;&lt;D xsi:type="xsd:double"&gt;4619.2&lt;/D&gt;&lt;/FQL&gt;&lt;FQL&gt;&lt;Q&gt;Ticker0024^FE_ESTIMATE(PRODLINE_EBIT_17,MEAN,QUARTERLY_ROLL,2022/3F,45860,,,'')&lt;/Q&gt;&lt;R&gt;1&lt;/R&gt;&lt;C&gt;1&lt;/C&gt;&lt;D xsi:type="xsd:double"&gt;4899&lt;/D&gt;&lt;/FQL&gt;&lt;FQL&gt;&lt;Q&gt;Ticker0024^FE_ESTIMATE(PRODLINE_EBIT_17,MEAN,QUARTERLY_ROLL,2022/2F,45860,,,'')&lt;/Q&gt;&lt;R&gt;1&lt;/R&gt;&lt;C&gt;1&lt;/C&gt;&lt;D xsi:type="xsd:double"&gt;6360&lt;/D&gt;&lt;/FQL&gt;&lt;FQL&gt;&lt;Q&gt;Ticker0024^FE_ESTIMATE(PRODLINE_EBIT_17,MEAN,QUARTERLY_ROLL,2022/1F,45860,,,'')&lt;/Q&gt;&lt;R&gt;1&lt;/R&gt;&lt;C&gt;1&lt;/C&gt;&lt;D xsi:type="xsd:double"&gt;5095&lt;/D&gt;&lt;/FQL&gt;&lt;FQL&gt;&lt;Q&gt;Ticker0024^FE_ESTIMATE(PRODLINE_EBIT_17,MEAN,ANNUAL_ROLL,2021,45860,,,'')&lt;/Q&gt;&lt;R&gt;1&lt;/R&gt;&lt;C&gt;1&lt;/C&gt;&lt;D xsi:type="xsd:double"&gt;19439.25&lt;/D&gt;&lt;/FQL&gt;&lt;FQL&gt;&lt;Q&gt;Ticker0024^FE_ESTIMATE(PRODLINE_EBIT_17,MEAN,QUARTERLY_ROLL,2021/4F,45860,,,'')&lt;/Q&gt;&lt;R&gt;1&lt;/R&gt;&lt;C&gt;1&lt;/C&gt;&lt;D xsi:type="xsd:double"&gt;4873&lt;/D&gt;&lt;/FQL&gt;&lt;FQL&gt;&lt;Q&gt;Ticker0024^FE_ESTIMATE(PRODLINE_EBIT_17,MEAN,QUARTERLY_ROLL,2021/3F,45860,,,'')&lt;/Q&gt;&lt;R&gt;1&lt;/R&gt;&lt;C&gt;1&lt;/C&gt;&lt;D xsi:type="xsd:double"&gt;4594&lt;/D&gt;&lt;/FQL&gt;&lt;FQL&gt;&lt;Q&gt;Ticker0024^FE_ESTIMATE(PRODLINE_EBIT_17,MEAN,QUARTERLY_ROLL,2021/2F,45860,,,'')&lt;/Q&gt;&lt;R&gt;1&lt;/R&gt;&lt;C&gt;1&lt;/C&gt;&lt;D xsi:type="xsd:double"&gt;5224&lt;/D&gt;&lt;/FQL&gt;&lt;FQL&gt;&lt;Q&gt;Ticker0024^FE_ESTIMATE(PRODLINE_EBIT_17,MEAN,QUARTERLY_ROLL,2021/1F,45860,,,'')&lt;/Q&gt;&lt;R&gt;1&lt;/R&gt;&lt;C&gt;1&lt;/C&gt;&lt;D xsi:type="xsd:double"&gt;4748&lt;/D&gt;&lt;/FQL&gt;&lt;FQL&gt;&lt;Q&gt;Ticker0024^FE_ESTIMATE(PRODLINE_EBIT_17,MEAN,ANNUAL_ROLL,2020,45860,,,'')&lt;/Q&gt;&lt;R&gt;1&lt;/R&gt;&lt;C&gt;1&lt;/C&gt;&lt;D xsi:type="xsd:double"&gt;15895.667&lt;/D&gt;&lt;/FQL&gt;&lt;FQL&gt;&lt;Q&gt;Ticker0024^FE_ESTIMATE(PRODLINE_EBIT_17,MEAN,QUARTERLY_ROLL,2020/4F,45860,,,'')&lt;/Q&gt;&lt;R&gt;1&lt;/R&gt;&lt;C&gt;1&lt;/C&gt;&lt;D xsi:type="xsd:double"&gt;4075.3333&lt;/D&gt;&lt;/FQL&gt;&lt;FQL&gt;&lt;Q&gt;Ticker0024^FE_ESTIMATE(PRODLINE_EBIT_17,MEAN,QUARTERLY_ROLL,2020/3F,45860,,,'')&lt;/Q&gt;&lt;R&gt;1&lt;/R&gt;&lt;C&gt;1&lt;/C&gt;&lt;D xsi:type="xsd:double"&gt;3627&lt;/D&gt;&lt;/FQL&gt;&lt;FQL&gt;&lt;Q&gt;Ticker0024^FE_ESTIMATE(PRODLINE_EBIT_17,MEAN,QUARTERLY_ROLL,2020/2F,45860,,,'')&lt;/Q&gt;&lt;R&gt;1&lt;/R&gt;&lt;C&gt;1&lt;/C&gt;&lt;D xsi:type="xsd:double"&gt;4178&lt;/D&gt;&lt;/FQL&gt;&lt;FQL&gt;&lt;Q&gt;Ticker0024^FE_ESTIMATE(PRODLINE_EBIT_17,MEAN,QUARTERLY_ROLL,2020/1F,45860,,,'')&lt;/Q&gt;&lt;R&gt;1&lt;/R&gt;&lt;C&gt;1&lt;/C&gt;&lt;D xsi:type="xsd:double"&gt;4015&lt;/D&gt;&lt;/FQL&gt;&lt;FQL&gt;&lt;Q&gt;Ticker0024^FE_ESTIMATE(PRODLINE_EBIT_17,MEAN,ANNUAL_ROLL,2019,45860,,,'')&lt;/Q&gt;&lt;R&gt;1&lt;/R&gt;&lt;C&gt;1&lt;/C&gt;&lt;D xsi:type="xsd:double"&gt;12820&lt;/D&gt;&lt;/FQL&gt;&lt;FQL&gt;&lt;Q&gt;Ticker0024^FE_ESTIMATE(PRODLINE_EBIT_17,MEAN,QUARTERLY_ROLL,2019/4F,45860,,,'')&lt;/Q&gt;&lt;R&gt;1&lt;/R&gt;&lt;C&gt;1&lt;/C&gt;&lt;D xsi:type="xsd:double"&gt;3559&lt;/D&gt;&lt;/FQL&gt;&lt;FQL&gt;&lt;Q&gt;Ticker0024^FE_ESTIMATE(PRODLINE_EBIT_17,MEAN,QUARTERLY_ROLL,2019/3F,45860,,,'')&lt;/Q&gt;&lt;R&gt;1&lt;/R&gt;&lt;C&gt;1&lt;/C&gt;&lt;D xsi:type="xsd:double"&gt;3154&lt;/D&gt;&lt;/FQL&gt;&lt;FQL&gt;&lt;Q&gt;Ticker0024^FE_ESTIMATE(PRODLINE_EBIT_17,MEAN,QUARTERLY_ROLL,2019/2F,45860,,,'')&lt;/Q&gt;&lt;R&gt;1&lt;/R&gt;&lt;C&gt;1&lt;/C&gt;&lt;D xsi:type="xsd:double"&gt;2964&lt;/D&gt;&lt;/FQL&gt;&lt;FQL&gt;&lt;Q&gt;Ticker0024^FE_ESTIMATE(PRODLINE_EBIT_17,MEAN,QUARTERLY_ROLL,2019/1F,45860,,,'')&lt;/Q&gt;&lt;R&gt;1&lt;/R&gt;&lt;C&gt;1&lt;/C&gt;&lt;D xsi:type="xsd:double"&gt;3143&lt;/D&gt;&lt;/FQL&gt;&lt;FQL&gt;&lt;Q&gt;Ticker0024^FE_ESTIMATE(PRODLINE_EBIT_17,MEAN,ANNUAL_ROLL,2018,45860,,,'')&lt;/Q&gt;&lt;R&gt;1&lt;/R&gt;&lt;C&gt;1&lt;/C&gt;&lt;D xsi:type="xsd:double"&gt;10610.25&lt;/D&gt;&lt;/FQL&gt;&lt;FQL&gt;&lt;Q&gt;Ticker0024^FE_ESTIMATE(PRODLINE_EBIT_17,MEAN,QUARTERLY_ROLL,2018/4F,45860,,,'')&lt;/Q&gt;&lt;R&gt;1&lt;/R&gt;&lt;C&gt;1&lt;/C&gt;&lt;D xsi:type="xsd:double"&gt;3012&lt;/D&gt;&lt;/FQL&gt;&lt;FQL&gt;&lt;Q&gt;Ticker0024^FE_ESTIMATE(PRODLINE_EBIT_17,MEAN,QUARTERLY_ROLL,2018/3F,45860,,,'')&lt;/Q&gt;&lt;R&gt;1&lt;/R&gt;&lt;C&gt;1&lt;/C&gt;&lt;D xsi:type="xsd:double"&gt;2523&lt;/D&gt;&lt;/FQL&gt;&lt;FQL&gt;&lt;Q&gt;Ticker0024^FE_ESTIMATE(PRODLINE_EBIT_17,MEAN,QUARTERLY_ROLL,2018/2F,45860,,,'')&lt;/Q&gt;&lt;R&gt;1&lt;/R&gt;&lt;C&gt;1&lt;/C&gt;&lt;D xsi:type="xsd:double"&gt;2510&lt;/D&gt;&lt;/FQL&gt;&lt;FQL&gt;&lt;Q&gt;Ticker0024^FE_ESTIMATE(PRODLINE_EBIT_17,MEAN,QUARTERLY_ROLL,2018/1F,45860,,,'')&lt;/Q&gt;&lt;R&gt;1&lt;/R&gt;&lt;C&gt;1&lt;/C&gt;&lt;D xsi:type="xsd:double"&gt;2565&lt;/D&gt;&lt;/FQL&gt;&lt;FQL&gt;&lt;Q&gt;Ticker0024^FE_ESTIMATE(PRODLINE_EBIT_17,MEAN,ANNUAL_ROLL,2017,45860,,,'')&lt;/Q&gt;&lt;R&gt;1&lt;/R&gt;&lt;C&gt;1&lt;/C&gt;&lt;D xsi:type="xsd:double"&gt;8288&lt;/D&gt;&lt;/FQL&gt;&lt;FQL&gt;&lt;Q&gt;Ticker0024^FE_ESTIMATE(PRODLINE_EBIT_17,MEAN,QUARTERLY_ROLL,2017/4F,45860,,,'')&lt;/Q&gt;&lt;R&gt;1&lt;/R&gt;&lt;C&gt;1&lt;/C&gt;&lt;D xsi:type="xsd:double"&gt;1764&lt;/D&gt;&lt;/FQL&gt;&lt;FQL&gt;&lt;Q&gt;Ticker0024^FE_ESTIMATE(PRODLINE_EBIT_17,MEAN,QUARTERLY_ROLL,2017/3F,45860,,,'')&lt;/Q&gt;&lt;R&gt;1&lt;/R&gt;&lt;C&gt;1&lt;/C&gt;&lt;D xsi:type="xsd:double"&gt;2097&lt;/D&gt;&lt;/FQL&gt;&lt;FQL&gt;&lt;Q&gt;Ticker0024^FE_ESTIMATE(PRODLINE_EBIT_17,MEAN,QUARTERLY_ROLL,2017/2F,45860,,,'')&lt;/Q&gt;&lt;R&gt;1&lt;/R&gt;&lt;C&gt;1&lt;/C&gt;&lt;D xsi:type="xsd:double"&gt;2499&lt;/D&gt;&lt;/FQL&gt;&lt;FQL&gt;&lt;Q&gt;Ticker0024^FE_ESTIMATE(PRODLINE_EBIT_17,MEAN,QUARTERLY_ROLL,2017/1F,45860,,,'')&lt;/Q&gt;&lt;R&gt;1&lt;/R&gt;&lt;C&gt;1&lt;/C&gt;&lt;D xsi:type="xsd:double"&gt;1928&lt;/D&gt;&lt;/FQL&gt;&lt;FQL&gt;&lt;Q&gt;Ticker0024^FE_ESTIMATE(PRODLINE_EBIT_17,MEAN,ANNUAL_ROLL,2016,45860,,,'')&lt;/Q&gt;&lt;R&gt;1&lt;/R&gt;&lt;C&gt;1&lt;/C&gt;&lt;D xsi:type="xsd:double"&gt;6167.3335&lt;/D&gt;&lt;/FQL&gt;&lt;FQL&gt;&lt;Q&gt;Ticker0024^FE_ESTIMATE(PRODLINE_EBIT_17,MEAN,QUARTERLY_ROLL,2016/4F,45860,,,'')&lt;/Q&gt;&lt;R&gt;1&lt;/R&gt;&lt;C&gt;1&lt;/C&gt;&lt;D xsi:type="xsd:double"&gt;964&lt;/D&gt;&lt;/FQL&gt;&lt;FQL&gt;&lt;Q&gt;Ticker0024^FE_ESTIMATE(PRODLINE_EBIT_17,MEAN,QUARTERLY_ROLL,2016/3F,45860,,,'')&lt;/Q&gt;&lt;R&gt;1&lt;/R&gt;&lt;C&gt;1&lt;/C&gt;&lt;D xsi:type="xsd:double"&gt;1645&lt;/D&gt;&lt;/FQL&gt;&lt;FQL&gt;&lt;Q&gt;Ticker0024^FE_ESTIMATE(PRODLINE_EBIT_17,MEAN,QUARTERLY_ROLL,2016/2F,45860,,,'')&lt;/Q&gt;&lt;R&gt;0&lt;/R&gt;&lt;C&gt;0&lt;/C&gt;&lt;/FQL&gt;&lt;FQL&gt;&lt;Q&gt;Ticker0024^FE_ESTIMATE(PRODLINE_EBIT_17,MEAN,QUARTERLY_ROLL,2016/1F,45860,,,'')&lt;/Q&gt;&lt;R&gt;0&lt;/R&gt;&lt;C&gt;0&lt;/C&gt;&lt;/FQL&gt;&lt;FQL&gt;&lt;Q&gt;Ticker0024^FE_ESTIMATE(PRODLINE_EBIT_17,MEAN,ANNUAL_ROLL,2015,45860,,,'')&lt;/Q&gt;&lt;R&gt;0&lt;/R&gt;&lt;C&gt;0&lt;/C&gt;&lt;/FQL&gt;&lt;FQL&gt;&lt;Q&gt;Ticker0024^FE_ESTIMATE(PRODLINE_EBIT_17,MEAN,QUARTERLY_ROLL,2015/4F,45860,,,'')&lt;/Q&gt;&lt;R&gt;0&lt;/R&gt;&lt;C&gt;0&lt;/C&gt;&lt;/FQL&gt;&lt;FQL&gt;&lt;Q&gt;Ticker0024^FE_ESTIMATE(PRODLINE_EBIT_17,MEAN,QUARTERLY_ROLL,2015/3F,45860,,,'')&lt;/Q&gt;&lt;R&gt;0&lt;/R&gt;&lt;C&gt;0&lt;/C&gt;&lt;/FQL&gt;&lt;FQL&gt;&lt;Q&gt;Ticker0024^FE_ESTIMATE(PRODLINE_EBIT_17,MEAN,QUARTERLY_ROLL,2015/2F,45860,,,'')&lt;/Q&gt;&lt;R&gt;0&lt;/R&gt;&lt;C&gt;0&lt;/C&gt;&lt;/FQL&gt;&lt;FQL&gt;&lt;Q&gt;Ticker0024^FE_ESTIMATE(PRODLINE_EBIT_17,MEAN,QUARTERLY_ROLL,2015/1F,45860,,,'')&lt;/Q&gt;&lt;R&gt;0&lt;/R&gt;&lt;C&gt;0&lt;/C&gt;&lt;/FQL&gt;&lt;FQL&gt;&lt;Q&gt;Ticker0024^FE_ESTIMATE(PRODLINE_EBIT_16,MEAN,ANNUAL_ROLL,2030,45860,,,'')&lt;/Q&gt;&lt;R&gt;0&lt;/R&gt;&lt;C&gt;0&lt;/C&gt;&lt;/FQL&gt;&lt;FQL&gt;&lt;Q&gt;Ticker0024^FE_ESTIMATE(PRODLINE_EBIT_16,MEAN,QUARTERLY_ROLL,2030/4F,45860,,,'')&lt;/Q&gt;&lt;R&gt;0&lt;/R&gt;&lt;C&gt;0&lt;/C&gt;&lt;/FQL&gt;&lt;FQL&gt;&lt;Q&gt;Ticker0024^FE_ESTIMATE(PRODLINE_EBIT_16,MEAN,QUARTERLY_ROLL,2030/3F,45860,,,'')&lt;/Q&gt;&lt;R&gt;0&lt;/R&gt;&lt;C&gt;0&lt;/C&gt;&lt;/FQL&gt;&lt;FQL&gt;&lt;Q&gt;Ticker0024^FE_ESTIMATE(PRODLINE_EBIT_16,MEAN,QUARTERLY_ROLL,2030/2F,45860,,,'')&lt;/Q&gt;&lt;R&gt;0&lt;/R&gt;&lt;C&gt;0&lt;/C&gt;&lt;/FQL&gt;&lt;FQL&gt;&lt;Q&gt;Ticker0024^FE_ESTIMATE(PRODLINE_EBIT_16,MEAN,QUARTERLY_ROLL,2030/1F,45860,,,'')&lt;/Q&gt;&lt;R&gt;0&lt;/R&gt;&lt;C&gt;0&lt;/C&gt;&lt;/FQL&gt;&lt;FQL&gt;&lt;Q&gt;Ticker0024^FE_ESTIMATE(PRODLINE_EBIT_16,MEAN,ANNUAL_ROLL,2029,45860,,,'')&lt;/Q&gt;&lt;R&gt;0&lt;/R&gt;&lt;C&gt;0&lt;/C&gt;&lt;/FQL&gt;&lt;FQL&gt;&lt;Q&gt;Ticker0024^FE_ESTIMATE(PRODLINE_EBIT_16,MEAN,QUARTERLY_ROLL,2029/4F,45860,,,'')&lt;/Q&gt;&lt;R&gt;0&lt;/R&gt;&lt;C&gt;0&lt;/C&gt;&lt;/FQL&gt;&lt;FQL&gt;&lt;Q&gt;Ticker0024^FE_ESTIMATE(PRODLINE_EBIT_16,MEAN,QUARTERLY_ROLL,2029/3F,45860,,,'')&lt;/Q&gt;&lt;R&gt;0&lt;/R&gt;&lt;C&gt;0&lt;/C&gt;&lt;/FQL&gt;&lt;FQL&gt;&lt;Q&gt;Ticker0024^FE_ESTIMATE(PRODLINE_EBIT_16,MEAN,QUARTERLY_ROLL,2029/2F,45860,,,'')&lt;/Q&gt;&lt;R&gt;0&lt;/R&gt;&lt;C&gt;0&lt;/C&gt;&lt;/FQL&gt;&lt;FQL&gt;&lt;Q&gt;Ticker0024^FE_ESTIMATE(PRODLINE_EBIT_16,MEAN,QUARTERLY_ROLL,2029/1F,45860,,,'')&lt;/Q&gt;&lt;R&gt;0&lt;/R&gt;&lt;C&gt;0&lt;/C&gt;&lt;/FQL&gt;&lt;FQL&gt;&lt;Q&gt;Ticker0024^FE_ESTIMATE(PRODLINE_EBIT_16,MEAN,ANNUAL_ROLL,2028,45860,,,'')&lt;/Q&gt;&lt;R&gt;0&lt;/R&gt;&lt;C&gt;0&lt;/C&gt;&lt;/FQL&gt;&lt;FQL&gt;&lt;Q&gt;Ticker0024^FE_ESTIMATE(PRODLINE_EBIT_16,MEAN,QUARTERLY_ROLL,2028/4F,45860,,,'')&lt;/Q&gt;&lt;R&gt;0&lt;/R&gt;&lt;C&gt;0&lt;/C&gt;&lt;/FQL&gt;&lt;FQL&gt;&lt;Q&gt;Ticker0024^FE_ESTIMATE(PRODLINE_EBIT_16,MEAN,QUARTERLY_ROLL,2028/3F,45860,,,'')&lt;/Q&gt;&lt;R&gt;0&lt;/R&gt;&lt;C&gt;0&lt;/C&gt;&lt;/FQL&gt;&lt;FQL&gt;&lt;Q&gt;Ticker0024^FE_ESTIMATE(PRODLINE_EBIT_16,MEAN,QUARTERLY_ROLL,2028/2F,45860,,,'')&lt;/Q&gt;&lt;R&gt;0&lt;/R&gt;&lt;C&gt;0&lt;/C&gt;&lt;/FQL&gt;&lt;FQL&gt;&lt;Q&gt;Ticker0024^FE_ESTIMATE(PRODLINE_EBIT_16,MEAN,QUARTERLY_ROLL,2028/1F,45860,,,'')&lt;/Q&gt;&lt;R&gt;0&lt;/R&gt;&lt;C&gt;0&lt;/C&gt;&lt;/FQL&gt;&lt;FQL&gt;&lt;Q&gt;Ticker0024^FE_ESTIMATE(PRODLINE_EBIT_16,MEAN,ANNUAL_ROLL,2027,45860,,,'')&lt;/Q&gt;&lt;R&gt;1&lt;/R&gt;&lt;C&gt;1&lt;/C&gt;&lt;D xsi:type="xsd:double"&gt;65097&lt;/D&gt;&lt;/FQL&gt;&lt;FQL&gt;&lt;Q&gt;Ticker0024^FE_ESTIMATE(PRODLINE_EBIT_16,MEAN,QUARTERLY_ROLL,2027/4F,45860,,,'')&lt;/Q&gt;&lt;R&gt;0&lt;/R&gt;&lt;C&gt;0&lt;/C&gt;&lt;/FQL&gt;&lt;FQL&gt;&lt;Q&gt;Ticker0024^FE_ESTIMATE(PRODLINE_EBIT_16,MEAN,QUARTERLY_ROLL,2027/3F,45860,,,'')&lt;/Q&gt;&lt;R&gt;0&lt;/R&gt;&lt;C&gt;0&lt;/C&gt;&lt;/FQL&gt;&lt;FQL&gt;&lt;Q&gt;Ticker0024^FE_ESTIMATE(PRODLINE_EBIT_16,MEAN,QUARTERLY_ROLL,2027/2F,45860,,,'')&lt;/Q&gt;&lt;R&gt;0&lt;/R&gt;&lt;C&gt;0&lt;/C&gt;&lt;/FQL&gt;&lt;FQL&gt;&lt;Q&gt;Ticker0024^FE_ESTIMATE(PRODLINE_EBIT_16,MEAN,QUARTERLY_ROLL,2027/1F,45860,,,'')&lt;/Q&gt;&lt;R&gt;0&lt;/R&gt;&lt;C&gt;0&lt;/C&gt;&lt;/FQL&gt;&lt;FQL&gt;&lt;Q&gt;Ticker0024^FE_ESTIMATE(PRODLINE_EBIT_16,MEAN,ANNUAL_ROLL,2026,45860,,,'')&lt;/Q&gt;&lt;R&gt;1&lt;/R&gt;&lt;C&gt;1&lt;/C&gt;&lt;D xsi:type="xsd:double"&gt;55680.75&lt;/D&gt;&lt;/FQL&gt;&lt;FQL&gt;&lt;Q&gt;Ticker0024^FE_ESTIMATE(PRODLINE_EBIT_16,MEAN,QUARTERLY_ROLL,2026/4F,45860,,,'')&lt;/Q&gt;&lt;R&gt;1&lt;/R&gt;&lt;C&gt;1&lt;/C&gt;&lt;D xsi:type="xsd:double"&gt;14957.75&lt;/D&gt;&lt;/FQL&gt;&lt;FQL&gt;&lt;Q&gt;Ticker0024^FE_ESTIMATE(PRODLINE_EBIT_16,MEAN,QUARTERLY_ROLL,2026/3F,45860,,,'')&lt;/Q&gt;&lt;R&gt;1&lt;/R&gt;&lt;C&gt;1&lt;/C&gt;&lt;D xsi:type="xsd:double"&gt;14092.75&lt;/D&gt;&lt;/FQL&gt;&lt;FQL&gt;&lt;Q&gt;Ticker0024^FE_ESTIMATE(PRODLINE_EBIT_16,MEAN,QUARTERLY_ROLL,2026/2F,45860,,,'')&lt;/Q&gt;&lt;R&gt;1&lt;/R&gt;&lt;C&gt;1&lt;/C&gt;&lt;D xsi:type="xsd:double"&gt;13459.5&lt;/D&gt;&lt;/FQL&gt;&lt;FQL&gt;&lt;Q&gt;Ticker0024^FE_ESTIMATE(PRODLINE_EBIT_16,MEAN,QUARTERLY_ROLL,2026/1F,45860,,,'')&lt;/Q&gt;&lt;R&gt;1&lt;/R&gt;&lt;C&gt;1&lt;/C&gt;&lt;D xsi:type="xsd:double"&gt;13170.5&lt;/D&gt;&lt;/FQL&gt;&lt;FQL&gt;&lt;Q&gt;Ticker0024^FE_ESTIMATE(PRODLINE_EBIT_16,MEAN,ANNUAL_ROLL,2025,45860,,,'')&lt;/Q&gt;&lt;R&gt;1&lt;/R&gt;&lt;C&gt;1&lt;/C&gt;&lt;D xsi:type="xsd:double"&gt;46405.6&lt;/D&gt;&lt;/FQL&gt;&lt;FQL&gt;&lt;Q&gt;Ticker0024^FE_ESTIMATE(PRODLINE_EBIT_16,MEAN,QUARTERLY_ROLL,2025/4F,45860,,,'')&lt;/Q&gt;&lt;R&gt;1&lt;/R&gt;&lt;C&gt;1&lt;/C&gt;&lt;D xsi:type="xsd:double"&gt;12480&lt;/D&gt;&lt;/FQL&gt;&lt;FQL&gt;&lt;Q&gt;Ticker0024^FE_ESTIMATE(PRODLINE_EBIT_16,MEAN,QUARTERLY_ROLL,2025/3F,45860,,,'')&lt;/Q&gt;&lt;R&gt;1&lt;/R&gt;&lt;C&gt;1&lt;/C&gt;&lt;D xsi:type="xsd:double"&gt;11635.25&lt;/D&gt;&lt;/FQL&gt;&lt;FQL&gt;&lt;Q&gt;Ticker0024^FE_ESTIMATE(PRODLINE_EBIT_16,MEAN,QUARTERLY_ROLL,2025/2F,45860,,,'')&lt;/Q&gt;&lt;R&gt;1&lt;/R&gt;&lt;C&gt;1&lt;/C&gt;&lt;D xsi:type="xsd:double"&gt;11386.8&lt;/D&gt;&lt;/FQL&gt;&lt;FQL&gt;&lt;Q&gt;Ticker0024^FE_ESTIMATE(PRODLINE_EBIT_16,MEAN,QUARTERLY_ROLL,2025/1F,45860,,,'')&lt;/Q&gt;&lt;R&gt;1&lt;/R&gt;&lt;C&gt;1&lt;/C&gt;&lt;D xsi:type="xsd:double"&gt;11013&lt;/D&gt;&lt;/FQL&gt;&lt;FQL&gt;&lt;Q&gt;Ticker0024^FE_ESTIMATE(PRODLINE_EBIT_16,MEAN,ANNUAL_ROLL,2024,45860,,,'')&lt;/Q&gt;&lt;R&gt;1&lt;/R&gt;&lt;C&gt;1&lt;/C&gt;&lt;D xsi:type="xsd:double"&gt;49583.2&lt;/D&gt;&lt;/FQL&gt;&lt;FQL&gt;&lt;Q&gt;Ticker0024^FE_ESTIMATE(PRODLINE_EBIT_16,MEAN,QUARTERLY_ROLL,2024/4F,45860,,,'')&lt;/Q&gt;&lt;R&gt;1&lt;/R&gt;&lt;C&gt;1&lt;/C&gt;&lt;D xsi:type="xsd:double"&gt;12859.2&lt;/D&gt;&lt;/FQL&gt;&lt;FQL&gt;&lt;Q&gt;Ticker0024^FE_ESTIMATE(PRODLINE_EBIT_16,MEAN,QUARTERLY_ROLL,2024/3F,45860,,,'')&lt;/Q&gt;&lt;R&gt;1&lt;/R&gt;&lt;C&gt;1&lt;/C&gt;&lt;D xsi:type="xsd:double"&gt;12512.571&lt;/D&gt;&lt;/FQL&gt;&lt;FQL&gt;&lt;Q&gt;Ticker0024^FE_ESTIMATE(PRODLINE_EBIT_16,MEAN,QUARTERLY_ROLL,2024/2F,45860,,,'')&lt;/Q&gt;&lt;R&gt;1&lt;/R&gt;&lt;C&gt;1&lt;/C&gt;&lt;D xsi:type="xsd:double"&gt;12460.833&lt;/D&gt;&lt;/FQL&gt;&lt;FQL&gt;&lt;Q&gt;Ticker0024^FE_ESTIMATE(PRODLINE_EBIT_16,MEAN,QUARTERLY_ROLL,2024/1F,45860,,,'')&lt;/Q&gt;&lt;R&gt;1&lt;/R&gt;&lt;C&gt;1&lt;/C&gt;&lt;D xsi:type="xsd:double"&gt;11750.8&lt;/D&gt;&lt;/FQL&gt;&lt;FQL&gt;&lt;Q&gt;Ticker0024^FE_ESTIMATE(PRODLINE_EBIT_16,MEAN,ANNUAL_ROLL,2023,45860,,,'')&lt;/Q&gt;&lt;R&gt;1&lt;/R&gt;&lt;C&gt;1&lt;/C&gt;&lt;D xsi:type="xsd:double"&gt;37883.2&lt;/D&gt;&lt;/FQL&gt;&lt;FQL&gt;&lt;Q&gt;Ticker0024^FE_ESTIMATE(PRODLINE_EBIT_16,MEAN,QUARTERLY_ROLL,2023/4F,45860,,,'')&lt;/Q&gt;&lt;R&gt;1&lt;/R&gt;&lt;C&gt;1&lt;/C&gt;&lt;D xsi:type="xsd:double"&gt;10526.8&lt;/D&gt;&lt;/FQL&gt;&lt;FQL&gt;&lt;Q&gt;Ticker0024^FE_ESTIMATE(PRODLINE_EBIT_16,MEAN,QUARTERLY_ROLL,2023/3F,45860,,,'')&lt;/Q&gt;&lt;R&gt;1&lt;/R&gt;&lt;C&gt;1&lt;/C&gt;&lt;D xsi:type="xsd:double"&gt;9476.8&lt;/D&gt;&lt;/FQL&gt;&lt;FQL&gt;&lt;Q&gt;Ticker0024^FE_ESTIMATE(PRODLINE_EBIT_16,MEAN,QUARTERLY_ROLL,2023/2F,45860,,,'')&lt;/Q&gt;&lt;R&gt;1&lt;/R&gt;&lt;C&gt;1&lt;/C&gt;&lt;D xsi:type="xsd:double"&gt;8903.2&lt;/D&gt;&lt;/FQL&gt;&lt;FQL&gt;&lt;Q&gt;Ticker0024^FE_ESTIMATE(PRODLINE_EBIT_16,MEAN,QUARTERLY_ROLL,2023/1F,45860,,,'')&lt;/Q&gt;&lt;R&gt;1&lt;/R&gt;&lt;C&gt;1&lt;/C&gt;&lt;D xsi:type="xsd:double"&gt;8954.6&lt;/D&gt;&lt;/FQL&gt;&lt;FQL&gt;&lt;Q&gt;Ticker0024^FE_ESTIMATE(PRODLINE_EBIT_16,MEAN,ANNUAL_ROLL,2022,45860,,,'')&lt;/Q&gt;&lt;R&gt;1&lt;/R&gt;&lt;C&gt;1&lt;/C&gt;&lt;D xsi:type="xsd:double"&gt;32708.6&lt;/D&gt;&lt;/FQL&gt;&lt;FQL&gt;&lt;Q&gt;Ticker0024^FE_ESTIMATE(PRODLINE_EBIT_16,MEAN,QUARTERLY_ROLL,2022/4F,45860,,,'')&lt;/Q&gt;&lt;R&gt;1&lt;/R&gt;&lt;C&gt;1&lt;/C&gt;&lt;D xsi:type="xsd:double"&gt;8668.8&lt;/D&gt;&lt;/FQL&gt;&lt;FQL&gt;&lt;Q&gt;Ticker0024^FE_ESTIMATE(PRODLINE_EBIT_16,MEAN,QUARTERLY_ROLL,2022/3F,45860,,,'')&lt;/Q&gt;&lt;R&gt;1&lt;/R&gt;&lt;C&gt;1&lt;/C&gt;&lt;D xsi:type="xsd:double"&gt;8281&lt;/D&gt;&lt;/FQL&gt;&lt;FQL&gt;&lt;Q&gt;Ticker0024^FE_ESTIMATE(PRODLINE_EBIT_16,MEAN,QUARTERLY_ROLL,2022/2F,45860,,,'')&lt;/Q&gt;&lt;R&gt;1&lt;/R&gt;&lt;C&gt;1&lt;/C&gt;&lt;D xsi:type="xsd:double"&gt;8197&lt;/D&gt;&lt;/FQL&gt;&lt;FQL&gt;&lt;Q&gt;Ticker0024^FE_ESTIMATE(PRODLINE_EBIT_16,MEAN,QUARTERLY_ROLL,2022/1F,45860,,,'')&lt;/Q&gt;&lt;R&gt;1&lt;/R&gt;&lt;C&gt;1&lt;/C&gt;&lt;D xsi:type="xsd:double"&gt;7562&lt;/D&gt;&lt;/FQL&gt;&lt;FQL&gt;&lt;Q&gt;Ticker0024^FE_ESTIMATE(PRODLINE_EBIT_16,MEAN,ANNUAL_ROLL,2021,45860,,,'')&lt;/Q&gt;&lt;R&gt;1&lt;/R&gt;&lt;C&gt;1&lt;/C&gt;&lt;D xsi:type="xsd:double"&gt;26126&lt;/D&gt;&lt;/FQL&gt;&lt;FQL&gt;&lt;Q&gt;Ticker0024^FE_ESTIMATE(PRODLINE_EBIT_16,MEAN,QUARTERLY_ROLL,2021/4F,45860,,,'')&lt;/Q&gt;&lt;R&gt;1&lt;/R&gt;&lt;C&gt;1&lt;/C&gt;&lt;D xsi:type="xsd:double"&gt;7787&lt;/D&gt;&lt;/FQL&gt;&lt;FQL&gt;&lt;Q&gt;Ticker0024^FE_ESTIMATE(PRODLINE_EBIT_16,MEAN,QUARTERLY_ROLL,2021/3F,45860,,,'')&lt;/Q&gt;&lt;R&gt;1&lt;/R&gt;&lt;C&gt;1&lt;/C&gt;&lt;D xsi:type="xsd:double"&gt;6425&lt;/D&gt;&lt;/FQL&gt;&lt;FQL&gt;&lt;Q&gt;Ticker0024^FE_ESTIMATE(PRODLINE_EBIT_16,MEAN,QUARTERLY_ROLL,2021/2F,45860,,,'')&lt;/Q&gt;&lt;R&gt;1&lt;/R&gt;&lt;C&gt;1&lt;/C&gt;&lt;D xsi:type="xsd:double"&gt;6492&lt;/D&gt;&lt;/FQL&gt;&lt;FQL&gt;&lt;Q&gt;Ticker0024^FE_ESTIMATE(PRODLINE_EBIT_16,MEAN,QUARTERLY_ROLL,2021/1F,45860,,,'')&lt;/Q&gt;&lt;R&gt;1&lt;/R&gt;&lt;C&gt;1&lt;/C&gt;&lt;D xsi:type="xsd:double"&gt;5422&lt;/D&gt;&lt;/FQL&gt;&lt;FQL&gt;&lt;Q&gt;Ticker0024^FE_ESTIMATE(PRODLINE_EBIT_16,MEAN,ANNUAL_ROLL,2020,45860,,,'')&lt;/Q&gt;&lt;R&gt;1&lt;/R&gt;&lt;C&gt;1&lt;/C&gt;&lt;D xsi:type="xsd:double"&gt;18188.334&lt;/D&gt;&lt;/FQL&gt;&lt;FQL&gt;&lt;Q&gt;Ticker0024^FE_ESTIMATE(PRODLINE_EBIT_16,MEAN,QUARTERLY_ROLL,2020/4F,45860,,,'')&lt;/Q&gt;&lt;R&gt;1&lt;/R&gt;&lt;C&gt;1&lt;/C&gt;&lt;D xsi:type="xsd:double"&gt;5208.3335&lt;/D&gt;&lt;/FQL&gt;&lt;FQL&gt;&lt;Q&gt;Ticker0024^FE_ESTIMATE(PRODLINE_EBIT_16,MEAN,QUARTERLY_ROLL,2020/3F,45860,,,'')&lt;/Q&gt;&lt;R&gt;1&lt;/R&gt;&lt;C&gt;1&lt;/C&gt;&lt;D xsi:type="xsd:double"&gt;4560&lt;/D&gt;&lt;/FQL&gt;&lt;FQL&gt;&lt;Q&gt;Ticker0024^FE_ESTIMATE(PRODLINE_EBIT_16,MEAN,QUARTERLY_ROLL,2020/2F,45860,,,'')&lt;/Q&gt;&lt;R&gt;1&lt;/R&gt;&lt;C&gt;1&lt;/C&gt;&lt;D xsi:type="xsd:double"&gt;4531&lt;/D&gt;&lt;/FQL&gt;&lt;FQL&gt;&lt;Q&gt;Ticker0024^FE_ESTIMATE(PRODLINE_EBIT_16,MEAN,QUARTERLY_ROLL,2020/1F,45860,,,'')&lt;/Q&gt;&lt;R&gt;1&lt;/R&gt;&lt;C&gt;1&lt;/C&gt;&lt;D xsi:type="xsd:double"&gt;3889&lt;/D&gt;&lt;/FQL&gt;&lt;FQL&gt;&lt;Q&gt;Ticker0024^FE_ESTIMATE(PRODLINE_EBIT_16,MEAN,ANNUAL_ROLL,2019,45860,,,'')&lt;/Q&gt;&lt;R&gt;1&lt;/R&gt;&lt;C&gt;1&lt;/C&gt;&lt;D xsi:type="xsd:double"&gt;13920&lt;/D&gt;&lt;/FQL&gt;&lt;FQL&gt;&lt;Q&gt;Ticker0024^FE_ESTIMATE(PRODLINE_EBIT_16,MEAN,QUARTERLY_ROLL,2019/4F,45860,,,'')&lt;/Q&gt;&lt;R&gt;1&lt;/R&gt;&lt;C&gt;1&lt;/C&gt;&lt;D xsi:type="xsd:double"&gt;4502&lt;/D&gt;&lt;/FQL&gt;&lt;FQL&gt;&lt;Q&gt;Ticker0024^FE_ESTIMATE(PRODLINE_EBIT_16,MEAN,QUARTERLY_ROLL,2019/3F,45860,,,'')&lt;/Q&gt;&lt;R&gt;1&lt;/R&gt;&lt;C&gt;1&lt;/C&gt;&lt;D xsi:type="xsd:double"&gt;3208&lt;/D&gt;&lt;/FQL&gt;&lt;FQL&gt;&lt;Q&gt;Ticker0024^FE_ESTIMATE(PRODLINE_EBIT_16,MEAN,QUARTERLY_ROLL,2019/2F,45860,,,'')&lt;/Q&gt;&lt;R&gt;1&lt;/R&gt;&lt;C&gt;1&lt;/C&gt;&lt;D xsi:type="xsd:double"&gt;3278.75&lt;/D&gt;&lt;/FQL&gt;&lt;FQL&gt;&lt;Q&gt;Ticker0024^FE_ESTIMATE(PRODLINE_EBIT_16,MEAN,QUARTERLY_ROLL,2019/1F,45860,,,'')&lt;/Q&gt;&lt;R&gt;1&lt;/R&gt;&lt;C&gt;1&lt;/C&gt;&lt;D xsi:type="xsd:double"&gt;2931&lt;/D&gt;&lt;/FQL&gt;&lt;FQL&gt;&lt;Q&gt;Ticker0024^FE_ESTIMATE(PRODLINE_EBIT_16,MEAN,ANNUAL_ROLL,2018,45860,,,'')&lt;/Q&gt;&lt;R&gt;1&lt;/R&gt;&lt;C&gt;1&lt;/C&gt;&lt;D xsi:type="xsd:double"&gt;11524&lt;/D&gt;&lt;/FQL&gt;&lt;FQL&gt;&lt;Q&gt;Ticker0024^FE_ESTIMATE(PRODLINE_EBIT_16,MEAN,QUARTERLY_ROLL,2018/4F,45860,,,'')&lt;/Q&gt;&lt;R&gt;1&lt;/R&gt;&lt;C&gt;1&lt;/C&gt;&lt;D xsi:type="xsd:double"&gt;3901&lt;/D&gt;&lt;/FQL&gt;&lt;FQL&gt;&lt;Q&gt;Ticker0024^FE_ESTIMATE(PRODLINE_EBIT_16,MEAN,QUARTERLY_ROLL,2018/3F,45860,,,'')&lt;/Q&gt;&lt;R&gt;1&lt;/R&gt;&lt;C&gt;1&lt;/C&gt;&lt;D xsi:type="xsd:double"&gt;2654&lt;/D&gt;&lt;/FQL&gt;&lt;FQL&gt;&lt;Q&gt;Ticker0024^FE_ESTIMATE(PRODLINE_EBIT_16,MEAN,QUARTERLY_ROLL,2018/2F,45860,,,'')&lt;/Q&gt;&lt;R&gt;1&lt;/R&gt;&lt;C&gt;1&lt;/C&gt;&lt;D xsi:type="xsd:double"&gt;2832&lt;/D&gt;&lt;/FQL&gt;&lt;FQL&gt;&lt;Q&gt;Ticker0024^FE_ESTIMATE(PRODLINE_EBIT_16,MEAN,QUARTERLY_ROLL,2018/1F,45860,,,'')&lt;/Q&gt;&lt;R&gt;1&lt;/R&gt;&lt;C&gt;1&lt;/C&gt;&lt;D xsi:type="xsd:double"&gt;2137&lt;/D&gt;&lt;/FQL&gt;&lt;FQL&gt;&lt;Q&gt;Ticker0024^FE_ESTIMATE(PRODLINE_EBIT_16,MEAN,ANNUAL_ROLL,2017,45860,,,'')&lt;/Q&gt;&lt;R&gt;1&lt;/R&gt;&lt;C&gt;1&lt;/C&gt;&lt;D xsi:type="xsd:double"&gt;9138&lt;/D&gt;&lt;/FQL&gt;&lt;FQL&gt;&lt;Q&gt;Ticker0024^FE_ESTIMATE(PRODLINE_EBIT_16,MEAN,QUARTERLY_ROLL,2017/4F,45860,,,'')&lt;/Q&gt;&lt;R&gt;1&lt;/R&gt;&lt;C&gt;1&lt;/C&gt;&lt;D xsi:type="xsd:double"&gt;2501&lt;/D&gt;&lt;/FQL&gt;&lt;FQL&gt;&lt;Q&gt;Ticker0024^FE_ESTIMATE(PRODLINE_EBIT_16,MEAN,QUARTERLY_ROLL,2017/3F,45860,,,'')&lt;/Q&gt;&lt;R&gt;1&lt;/R&gt;&lt;C&gt;1&lt;/C&gt;&lt;D xsi:type="xsd:double"&gt;2181&lt;/D&gt;&lt;/FQL&gt;&lt;FQL&gt;&lt;Q&gt;Ticker0024^FE_ESTIMATE(PRODLINE_EBIT_16,MEAN,QUARTERLY_ROLL,2017/2F,45860,,,'')&lt;/Q&gt;&lt;R&gt;1&lt;/R&gt;&lt;C&gt;1&lt;/C&gt;&lt;D xsi:type="xsd:double"&gt;2398&lt;/D&gt;&lt;/FQL&gt;&lt;FQL&gt;&lt;Q&gt;Ticker0024^FE_ESTIMATE(PRODLINE_EBIT_16,MEAN,QUARTERLY_ROLL,2017/1F,45860,,,'')&lt;/Q&gt;&lt;R&gt;1&lt;/R&gt;&lt;C&gt;1&lt;/C&gt;&lt;D xsi:type="xsd:double"&gt;2058&lt;/D&gt;&lt;/FQL&gt;&lt;FQL&gt;&lt;Q&gt;Ticker0024^FE_ESTIMATE(PRODLINE_EBIT_16,MEAN,ANNUAL_ROLL,2016,45860,,,'')&lt;/Q&gt;&lt;R&gt;1&lt;/R&gt;&lt;C&gt;1&lt;/C&gt;&lt;D xsi:type="xsd:double"&gt;9357&lt;/D&gt;&lt;/FQL&gt;&lt;FQL&gt;&lt;Q&gt;Ticker0024^FE_ESTIMATE(PRODLINE_EBIT_16,MEAN,QUARTERLY_ROLL,2016/4F,45860,,,'')&lt;/Q&gt;&lt;R&gt;1&lt;/R&gt;&lt;C&gt;1&lt;/C&gt;&lt;D xsi:type="xsd:double"&gt;2190&lt;/D&gt;&lt;/FQL&gt;&lt;FQL&gt;&lt;Q&gt;Ticker0024^FE_ESTIMATE(PRODLINE_EBIT_16,MEAN,QUARTERLY_ROLL,2016/3F,45860,,,'')&lt;/Q&gt;&lt;R&gt;1&lt;/R&gt;&lt;C&gt;1&lt;/C&gt;&lt;D xsi:type="xsd:double"&gt;2188&lt;/D&gt;&lt;/FQL&gt;&lt;FQL&gt;&lt;Q&gt;Ticker0024^FE_ESTIMATE(PRODLINE_EBIT_16,MEAN,QUARTERLY_ROLL,2016/2F,45860,,,'')&lt;/Q&gt;&lt;R&gt;0&lt;/R&gt;&lt;C&gt;0&lt;/C&gt;&lt;/FQL&gt;&lt;FQL&gt;&lt;Q&gt;Ticker0024^FE_ESTIMATE(PRODLINE_EBIT_16,MEAN,QUARTERLY_ROLL,2016/1F,45860,,,'')&lt;/Q&gt;&lt;R&gt;0&lt;/R&gt;&lt;C&gt;0&lt;/C&gt;&lt;/FQL&gt;&lt;FQL&gt;&lt;Q&gt;Ticker0024^FE_ESTIMATE(PRODLINE_EBIT_16,MEAN,ANNUAL_ROLL,2015,45860,,,'')&lt;/Q&gt;&lt;R&gt;0&lt;/R&gt;&lt;C&gt;0&lt;/C&gt;&lt;/FQL&gt;&lt;FQL&gt;&lt;Q&gt;Ticker0024^FE_ESTIMATE(PRODLINE_EBIT_16,MEAN,QUARTERLY_ROLL,2015/4F,45860,,,'')&lt;/Q&gt;&lt;R&gt;0&lt;/R&gt;&lt;C&gt;0&lt;/C&gt;&lt;/FQL&gt;&lt;FQL&gt;&lt;Q&gt;Ticker0024^FE_ESTIMATE(PRODLINE_EBIT_16,MEAN,QUARTERLY_ROLL,2015/3F,45860,,,'')&lt;/Q&gt;&lt;R&gt;0&lt;/R&gt;&lt;C&gt;0&lt;/C&gt;&lt;/FQL&gt;&lt;FQL&gt;&lt;Q&gt;Ticker0024^FE_ESTIMATE(PRODLINE_EBIT_16,MEAN,QUARTERLY_ROLL,2015/2F,45860,,,'')&lt;/Q&gt;&lt;R&gt;0&lt;/R&gt;&lt;C&gt;0&lt;/C&gt;&lt;/FQL&gt;&lt;FQL&gt;&lt;Q&gt;Ticker0024^FE_ESTIMATE(PRODLINE_EBIT_16,MEAN,QUARTERLY_ROLL,2015/1F,45860,,,'')&lt;/Q&gt;&lt;R&gt;0&lt;/R&gt;&lt;C&gt;0&lt;/C&gt;&lt;/FQL&gt;&lt;FQL&gt;&lt;Q&gt;Ticker0024^FE_ESTIMATE(PRODLINE_EBIT_15,MEAN,ANNUAL_ROLL,2030,45860,,,'')&lt;/Q&gt;&lt;R&gt;0&lt;/R&gt;&lt;C&gt;0&lt;/C&gt;&lt;/FQL&gt;&lt;FQL&gt;&lt;Q&gt;Ticker0024^FE_ESTIMATE(PRODLINE_EBIT_15,MEAN,QUARTERLY_ROLL,2030/4F,45860,,,'')&lt;/Q&gt;&lt;R&gt;0&lt;/R&gt;&lt;C&gt;0&lt;/C&gt;&lt;/FQL&gt;&lt;FQL&gt;&lt;Q&gt;Ticker0024^FE_ESTIMATE(PRODLINE_EBIT_15,MEAN,QUARTERLY_ROLL,2030/3F,45860,,,'')&lt;/Q&gt;&lt;R&gt;0&lt;/R&gt;&lt;C&gt;0&lt;/C&gt;&lt;/FQL&gt;&lt;FQL&gt;&lt;Q&gt;Ticker0024^FE_ESTIMATE(PRODLINE_EBIT_15,MEAN,QUARTERLY_ROLL,2030/2F,45860,,,'')&lt;/Q&gt;&lt;R&gt;0&lt;/R&gt;&lt;C&gt;0&lt;/C&gt;&lt;/FQL&gt;&lt;FQL&gt;&lt;Q&gt;Ticker0024^FE_ESTIMATE(PRODLINE_EBIT_15,MEAN,QUARTERLY_ROLL,2030/1F,45860,,,'')&lt;/Q&gt;&lt;R&gt;0&lt;/R&gt;&lt;C&gt;0&lt;/C&gt;&lt;/FQL&gt;&lt;FQL&gt;&lt;Q&gt;Ticker0024^FE_ESTIMATE(PRODLINE_EBIT_15,MEAN,ANNUAL_ROLL,2029,45860,,,'')&lt;/Q&gt;&lt;R&gt;0&lt;/R&gt;&lt;C&gt;0&lt;/C&gt;&lt;/FQL&gt;&lt;FQL&gt;&lt;Q&gt;Ticker0024^FE_ESTIMATE(PRODLINE_EBIT_15,MEAN,QUARTERLY_ROLL,2029/4F,45860,,,'')&lt;/Q&gt;&lt;R&gt;0&lt;/R&gt;&lt;C&gt;0&lt;/C&gt;&lt;/FQL&gt;&lt;FQL&gt;&lt;Q&gt;Ticker0024^FE_ESTIMATE(PRODLINE_EBIT_15,MEAN,QUARTERLY_ROLL,2029/3F,45860,,,'')&lt;/Q&gt;&lt;R&gt;0&lt;/R&gt;&lt;C&gt;0&lt;/C&gt;&lt;/FQL&gt;&lt;FQL&gt;&lt;Q&gt;Ticker0024^FE_ESTIMATE(PRODLINE_EBIT_15,MEAN,QUARTERLY_ROLL,2029/2F,45860,,,'')&lt;/Q&gt;&lt;R&gt;0&lt;/R&gt;&lt;C&gt;0&lt;/C&gt;&lt;/FQL&gt;&lt;FQL&gt;&lt;Q&gt;Ticker0024^FE_ESTIMATE(PRODLINE_EBIT_15,MEAN,QUARTERLY_ROLL,2029/1F,45860,,,'')&lt;/Q&gt;&lt;R&gt;0&lt;/R&gt;&lt;C&gt;0&lt;/C&gt;&lt;/FQL&gt;&lt;FQL&gt;&lt;Q&gt;Ticker0024^FE_ESTIMATE(PRODLINE_EBIT_15,MEAN,ANNUAL_ROLL,2028,45860,,,'')&lt;/Q&gt;&lt;R&gt;0&lt;/R&gt;&lt;C&gt;0&lt;/C&gt;&lt;/FQL&gt;&lt;FQL&gt;&lt;Q&gt;Ticker0024^FE_ESTIMATE(PRODLINE_EBIT_15,MEAN,QUARTERLY_ROLL,2028/4F,45860,,,'')&lt;/Q&gt;&lt;R&gt;0&lt;/R&gt;&lt;C&gt;0&lt;/C&gt;&lt;/FQL&gt;&lt;FQL&gt;&lt;Q&gt;Ticker0024^FE_ESTIMATE(PRODLINE_EBIT_15,MEAN,QUARTERLY_ROLL,2028/3F,45860,,,'')&lt;/Q&gt;&lt;R&gt;0&lt;/R&gt;&lt;C&gt;0&lt;/C&gt;&lt;/FQL&gt;&lt;FQL&gt;&lt;Q&gt;Ticker0024^FE_ESTIMATE(PRODLINE_EBIT_15,MEAN,QUARTERLY_ROLL,2028/2F,45860,,,'')&lt;/Q&gt;&lt;R&gt;0&lt;/R&gt;&lt;C&gt;0&lt;/C&gt;&lt;/FQL&gt;&lt;FQL&gt;&lt;Q&gt;Ticker0024^FE_ESTIMATE(PRODLINE_EBIT_15,MEAN,QUARTERLY_ROLL,2028/1F,45860,,,'')&lt;/Q&gt;&lt;R&gt;0&lt;/R&gt;&lt;C&gt;0&lt;/C&gt;&lt;/FQL&gt;&lt;FQL&gt;&lt;Q&gt;Ticker0024^FE_ESTIMATE(PRODLINE_EBIT_15,MEAN,ANNUAL_ROLL,2027,45860,,,'')&lt;/Q&gt;&lt;R&gt;1&lt;/R&gt;&lt;C&gt;1&lt;/C&gt;&lt;D xsi:type="xsd:double"&gt;85813.336&lt;/D&gt;&lt;/FQL&gt;&lt;FQL&gt;&lt;Q&gt;Ticker0024^FE_ESTIMATE(PRODLINE_EBIT_15,MEAN,QUARTERLY_ROLL,2027/4F,45860,,,'')&lt;/Q&gt;&lt;R&gt;0&lt;/R&gt;&lt;C&gt;0&lt;/C&gt;&lt;/FQL&gt;&lt;FQL&gt;&lt;Q&gt;Ticker0024^FE_ESTIMATE(PRODLINE_EBIT_15,MEAN,QUARTERLY_ROLL,2027/3F,45860,,,'')&lt;/Q&gt;&lt;R&gt;0&lt;/R&gt;&lt;C&gt;0&lt;/C&gt;&lt;/FQL&gt;&lt;FQL&gt;&lt;Q&gt;Ticker0024^FE_ESTIMATE(PRODLINE_EBIT_15,MEAN,QUARTERLY_ROLL,2027/2F,45860,,,'')&lt;/Q&gt;&lt;R&gt;0&lt;/R&gt;&lt;C&gt;0&lt;/C&gt;&lt;/FQL&gt;&lt;FQL&gt;&lt;Q&gt;Ticker0024^FE_ESTIMATE(PRODLINE_EBIT_15,MEAN,QUARTERLY_ROLL,2027/1F,45860,,,'')&lt;/Q&gt;&lt;R&gt;0&lt;/R&gt;&lt;C&gt;0&lt;/C&gt;&lt;/FQL&gt;&lt;FQL&gt;&lt;Q&gt;Ticker0024^FE_ESTIMATE(PRODLINE_EBIT_15,MEAN,ANNUAL_ROLL,2026,45860,,,'')&lt;/Q&gt;&lt;R&gt;1&lt;/R&gt;&lt;C&gt;1&lt;/C&gt;&lt;D xsi:type="xsd:double"&gt;69634.5&lt;/D&gt;&lt;/FQL&gt;&lt;FQL&gt;&lt;Q&gt;Ticker0024^FE_ESTIMATE(PRODLINE_EBIT_15,MEAN,QUARTERLY_ROLL,2026/4F,45860,,,'')&lt;/Q&gt;&lt;R&gt;1&lt;/R&gt;&lt;C&gt;1&lt;/C&gt;&lt;D xsi:type="xsd:double"&gt;18193.5&lt;/D&gt;&lt;/FQL&gt;&lt;FQL&gt;&lt;Q&gt;Ticker0024^FE_ESTIMATE(PRODLINE_EBIT_15,MEAN,QUARTERLY_ROLL,2026/3F,45860,,,'')&lt;/Q&gt;&lt;R&gt;1&lt;/R&gt;&lt;C&gt;1&lt;/C&gt;&lt;D xsi:type="xsd:double"&gt;17482.25&lt;/D&gt;&lt;/FQL&gt;&lt;FQL&gt;&lt;Q&gt;Ticker0024^FE_ESTIMATE(PRODLINE_EBIT_15,MEAN,QUARTERLY_ROLL,2026/2F,45860,,,'')&lt;/Q&gt;&lt;R&gt;1&lt;/R&gt;&lt;C&gt;1&lt;/C&gt;&lt;D xsi:type="xsd:double"&gt;17261.5&lt;/D&gt;&lt;/FQL&gt;&lt;FQL&gt;&lt;Q&gt;Ticker0024^FE_ESTIMATE(PRODLINE_EBIT_15,MEAN,QUARTERLY_ROLL,2026/1F,45860,,,'')&lt;/Q&gt;&lt;R&gt;1&lt;/R&gt;&lt;C&gt;1&lt;/C&gt;&lt;D xsi:type="xsd:double"&gt;16697&lt;/D&gt;&lt;/FQL&gt;&lt;FQL&gt;&lt;Q&gt;Ticker0024^FE_ESTIMATE(PRODLINE_EBIT_15,MEAN,ANNUAL_ROLL,2025,45860,,,'')&lt;/Q&gt;&lt;R&gt;1&lt;/R&gt;&lt;C&gt;1&lt;/C&gt;&lt;D xsi:type="xsd:double"&gt;63884.8&lt;/D&gt;&lt;/FQL&gt;&lt;FQL&gt;&lt;Q&gt;Ticker0024^FE_ESTIMATE(PRODLINE_EBIT_15,MEAN,QUARTERLY_ROLL,2025/4F,45860,,,'')&lt;/Q&gt;&lt;R&gt;1&lt;/R&gt;&lt;C&gt;1&lt;/C&gt;&lt;D xsi:type="xsd:double"&gt;16534.2&lt;/D&gt;&lt;/FQL&gt;&lt;FQL&gt;&lt;Q&gt;Ticker0024^FE_ESTIMATE(PRODLINE_EBIT_15,MEAN,QUARTERLY_ROLL,2025/3F,45860,,,'')&lt;/Q&gt;&lt;R&gt;1&lt;/R&gt;&lt;C&gt;1&lt;/C&gt;&lt;D xsi:type="xsd:double"&gt;15823.25&lt;/D&gt;&lt;/FQL&gt;&lt;FQL&gt;&lt;Q&gt;Ticker0024^FE_ESTIMATE(PRODLINE_EBIT_15,MEAN,QUARTERLY_ROLL,2025/2F,45860,,,'')&lt;/Q&gt;&lt;R&gt;1&lt;/R&gt;&lt;C&gt;1&lt;/C&gt;&lt;D xsi:type="xsd:double"&gt;15766.4&lt;/D&gt;&lt;/</t>
        </r>
      </text>
    </comment>
    <comment ref="A67" authorId="0" shapeId="0" xr:uid="{2A82583A-450A-491F-8CFA-2EE30F59002E}">
      <text>
        <r>
          <rPr>
            <b/>
            <sz val="9"/>
            <color indexed="81"/>
            <rFont val="Tahoma"/>
            <family val="2"/>
          </rPr>
          <t>FQL&gt;&lt;FQL&gt;&lt;Q&gt;Ticker0024^FE_ESTIMATE(PRODLINE_EBIT_15,MEAN,QUARTERLY_ROLL,2025/1F,45860,,,'')&lt;/Q&gt;&lt;R&gt;1&lt;/R&gt;&lt;C&gt;1&lt;/C&gt;&lt;D xsi:type="xsd:double"&gt;15451.8&lt;/D&gt;&lt;/FQL&gt;&lt;FQL&gt;&lt;Q&gt;Ticker0024^FE_ESTIMATE(PRODLINE_EBIT_15,MEAN,ANNUAL_ROLL,2024,45860,,,'')&lt;/Q&gt;&lt;R&gt;1&lt;/R&gt;&lt;C&gt;1&lt;/C&gt;&lt;D xsi:type="xsd:double"&gt;40540&lt;/D&gt;&lt;/FQL&gt;&lt;FQL&gt;&lt;Q&gt;Ticker0024^FE_ESTIMATE(PRODLINE_EBIT_15,MEAN,QUARTERLY_ROLL,2024/4F,45860,,,'')&lt;/Q&gt;&lt;R&gt;1&lt;/R&gt;&lt;C&gt;1&lt;/C&gt;&lt;D xsi:type="xsd:double"&gt;10142.4&lt;/D&gt;&lt;/FQL&gt;&lt;FQL&gt;&lt;Q&gt;Ticker0024^FE_ESTIMATE(PRODLINE_EBIT_15,MEAN,QUARTERLY_ROLL,2024/3F,45860,,,'')&lt;/Q&gt;&lt;R&gt;1&lt;/R&gt;&lt;C&gt;1&lt;/C&gt;&lt;D xsi:type="xsd:double"&gt;10142.571&lt;/D&gt;&lt;/FQL&gt;&lt;FQL&gt;&lt;Q&gt;Ticker0024^FE_ESTIMATE(PRODLINE_EBIT_15,MEAN,QUARTERLY_ROLL,2024/2F,45860,,,'')&lt;/Q&gt;&lt;R&gt;1&lt;/R&gt;&lt;C&gt;1&lt;/C&gt;&lt;D xsi:type="xsd:double"&gt;10283.333&lt;/D&gt;&lt;/FQL&gt;&lt;FQL&gt;&lt;Q&gt;Ticker0024^FE_ESTIMATE(PRODLINE_EBIT_15,MEAN,QUARTERLY_ROLL,2024/1F,45860,,,'')&lt;/Q&gt;&lt;R&gt;1&lt;/R&gt;&lt;C&gt;1&lt;/C&gt;&lt;D xsi:type="xsd:double"&gt;9970&lt;/D&gt;&lt;/FQL&gt;&lt;FQL&gt;&lt;Q&gt;Ticker0024^FE_ESTIMATE(PRODLINE_EBIT_15,MEAN,ANNUAL_ROLL,2023,45860,,,'')&lt;/Q&gt;&lt;R&gt;1&lt;/R&gt;&lt;C&gt;1&lt;/C&gt;&lt;D xsi:type="xsd:double"&gt;34189.4&lt;/D&gt;&lt;/FQL&gt;&lt;FQL&gt;&lt;Q&gt;Ticker0024^FE_ESTIMATE(PRODLINE_EBIT_15,MEAN,QUARTERLY_ROLL,2023/4F,45860,,,'')&lt;/Q&gt;&lt;R&gt;1&lt;/R&gt;&lt;C&gt;1&lt;/C&gt;&lt;D xsi:type="xsd:double"&gt;9051.6&lt;/D&gt;&lt;/FQL&gt;&lt;FQL&gt;&lt;Q&gt;Ticker0024^FE_ESTIMATE(PRODLINE_EBIT_15,MEAN,QUARTERLY_ROLL,2023/3F,45860,,,'')&lt;/Q&gt;&lt;R&gt;1&lt;/R&gt;&lt;C&gt;1&lt;/C&gt;&lt;D xsi:type="xsd:double"&gt;8639.2&lt;/D&gt;&lt;/FQL&gt;&lt;FQL&gt;&lt;Q&gt;Ticker0024^FE_ESTIMATE(PRODLINE_EBIT_15,MEAN,QUARTERLY_ROLL,2023/2F,45860,,,'')&lt;/Q&gt;&lt;R&gt;1&lt;/R&gt;&lt;C&gt;1&lt;/C&gt;&lt;D xsi:type="xsd:double"&gt;8176&lt;/D&gt;&lt;/FQL&gt;&lt;FQL&gt;&lt;Q&gt;Ticker0024^FE_ESTIMATE(PRODLINE_EBIT_15,MEAN,QUARTERLY_ROLL,2023/1F,45860,,,'')&lt;/Q&gt;&lt;R&gt;1&lt;/R&gt;&lt;C&gt;1&lt;/C&gt;&lt;D xsi:type="xsd:double"&gt;8322.4&lt;/D&gt;&lt;/FQL&gt;&lt;FQL&gt;&lt;Q&gt;Ticker0024^FE_ESTIMATE(PRODLINE_EBIT_15,MEAN,ANNUAL_ROLL,2022,45860,,,'')&lt;/Q&gt;&lt;R&gt;1&lt;/R&gt;&lt;C&gt;1&lt;/C&gt;&lt;D xsi:type="xsd:double"&gt;29685&lt;/D&gt;&lt;/FQL&gt;&lt;FQL&gt;&lt;Q&gt;Ticker0024^FE_ESTIMATE(PRODLINE_EBIT_15,MEAN,QUARTERLY_ROLL,2022/4F,45860,,,'')&lt;/Q&gt;&lt;R&gt;1&lt;/R&gt;&lt;C&gt;1&lt;/C&gt;&lt;D xsi:type="xsd:double"&gt;7232&lt;/D&gt;&lt;/FQL&gt;&lt;FQL&gt;&lt;Q&gt;Ticker0024^FE_ESTIMATE(PRODLINE_EBIT_15,MEAN,QUARTERLY_ROLL,2022/3F,45860,,,'')&lt;/Q&gt;&lt;R&gt;1&lt;/R&gt;&lt;C&gt;1&lt;/C&gt;&lt;D xsi:type="xsd:double"&gt;7184&lt;/D&gt;&lt;/FQL&gt;&lt;FQL&gt;&lt;Q&gt;Ticker0024^FE_ESTIMATE(PRODLINE_EBIT_15,MEAN,QUARTERLY_ROLL,2022/2F,45860,,,'')&lt;/Q&gt;&lt;R&gt;1&lt;/R&gt;&lt;C&gt;1&lt;/C&gt;&lt;D xsi:type="xsd:double"&gt;7688&lt;/D&gt;&lt;/FQL&gt;&lt;FQL&gt;&lt;Q&gt;Ticker0024^FE_ESTIMATE(PRODLINE_EBIT_15,MEAN,QUARTERLY_ROLL,2022/1F,45860,,,'')&lt;/Q&gt;&lt;R&gt;1&lt;/R&gt;&lt;C&gt;1&lt;/C&gt;&lt;D xsi:type="xsd:double"&gt;7581&lt;/D&gt;&lt;/FQL&gt;&lt;FQL&gt;&lt;Q&gt;Ticker0024^FE_ESTIMATE(PRODLINE_EBIT_15,MEAN,ANNUAL_ROLL,2021,45860,,,'')&lt;/Q&gt;&lt;R&gt;1&lt;/R&gt;&lt;C&gt;1&lt;/C&gt;&lt;D xsi:type="xsd:double"&gt;24351&lt;/D&gt;&lt;/FQL&gt;&lt;FQL&gt;&lt;Q&gt;Ticker0024^FE_ESTIMATE(PRODLINE_EBIT_15,MEAN,QUARTERLY_ROLL,2021/4F,45860,,,'')&lt;/Q&gt;&lt;R&gt;1&lt;/R&gt;&lt;C&gt;1&lt;/C&gt;&lt;D xsi:type="xsd:double"&gt;6435&lt;/D&gt;&lt;/FQL&gt;&lt;FQL&gt;&lt;Q&gt;Ticker0024^FE_ESTIMATE(PRODLINE_EBIT_15,MEAN,QUARTERLY_ROLL,2021/3F,45860,,,'')&lt;/Q&gt;&lt;R&gt;1&lt;/R&gt;&lt;C&gt;1&lt;/C&gt;&lt;D xsi:type="xsd:double"&gt;6029&lt;/D&gt;&lt;/FQL&gt;&lt;FQL&gt;&lt;Q&gt;Ticker0024^FE_ESTIMATE(PRODLINE_EBIT_15,MEAN,QUARTERLY_ROLL,2021/2F,45860,,,'')&lt;/Q&gt;&lt;R&gt;1&lt;/R&gt;&lt;C&gt;1&lt;/C&gt;&lt;D xsi:type="xsd:double"&gt;6179.6665&lt;/D&gt;&lt;/FQL&gt;&lt;FQL&gt;&lt;Q&gt;Ticker0024^FE_ESTIMATE(PRODLINE_EBIT_15,MEAN,QUARTERLY_ROLL,2021/1F,45860,,,'')&lt;/Q&gt;&lt;R&gt;1&lt;/R&gt;&lt;C&gt;1&lt;/C&gt;&lt;D xsi:type="xsd:double"&gt;5706&lt;/D&gt;&lt;/FQL&gt;&lt;FQL&gt;&lt;Q&gt;Ticker0024^FE_ESTIMATE(PRODLINE_EBIT_15,MEAN,ANNUAL_ROLL,2020,45860,,,'')&lt;/Q&gt;&lt;R&gt;1&lt;/R&gt;&lt;C&gt;1&lt;/C&gt;&lt;D xsi:type="xsd:double"&gt;18781&lt;/D&gt;&lt;/FQL&gt;&lt;FQL&gt;&lt;Q&gt;Ticker0024^FE_ESTIMATE(PRODLINE_EBIT_15,MEAN,QUARTERLY_ROLL,2020/4F,45860,,,'')&lt;/Q&gt;&lt;R&gt;1&lt;/R&gt;&lt;C&gt;1&lt;/C&gt;&lt;D xsi:type="xsd:double"&gt;4029&lt;/D&gt;&lt;/FQL&gt;&lt;FQL&gt;&lt;Q&gt;Ticker0024^FE_ESTIMATE(PRODLINE_EBIT_15,MEAN,QUARTERLY_ROLL,2020/3F,45860,,,'')&lt;/Q&gt;&lt;R&gt;1&lt;/R&gt;&lt;C&gt;1&lt;/C&gt;&lt;D xsi:type="xsd:double"&gt;4788&lt;/D&gt;&lt;/FQL&gt;&lt;FQL&gt;&lt;Q&gt;Ticker0024^FE_ESTIMATE(PRODLINE_EBIT_15,MEAN,QUARTERLY_ROLL,2020/2F,45860,,,'')&lt;/Q&gt;&lt;R&gt;1&lt;/R&gt;&lt;C&gt;1&lt;/C&gt;&lt;D xsi:type="xsd:double"&gt;5182&lt;/D&gt;&lt;/FQL&gt;&lt;FQL&gt;&lt;Q&gt;Ticker0024^FE_ESTIMATE(PRODLINE_EBIT_15,MEAN,QUARTERLY_ROLL,2020/1F,45860,,,'')&lt;/Q&gt;&lt;R&gt;1&lt;/R&gt;&lt;C&gt;1&lt;/C&gt;&lt;D xsi:type="xsd:double"&gt;4782&lt;/D&gt;&lt;/FQL&gt;&lt;FQL&gt;&lt;Q&gt;Ticker0024^FE_ESTIMATE(PRODLINE_EBIT_15,MEAN,ANNUAL_ROLL,2019,45860,,,'')&lt;/Q&gt;&lt;R&gt;1&lt;/R&gt;&lt;C&gt;1&lt;/C&gt;&lt;D xsi:type="xsd:double"&gt;16219&lt;/D&gt;&lt;/FQL&gt;&lt;FQL&gt;&lt;Q&gt;Ticker0024^FE_ESTIMATE(PRODLINE_EBIT_15,MEAN,QUARTERLY_ROLL,2019/4F,45860,,,'')&lt;/Q&gt;&lt;R&gt;1&lt;/R&gt;&lt;C&gt;1&lt;/C&gt;&lt;D xsi:type="xsd:double"&gt;4344&lt;/D&gt;&lt;/FQL&gt;&lt;FQL&gt;&lt;Q&gt;Ticker0024^FE_ESTIMATE(PRODLINE_EBIT_15,MEAN,QUARTERLY_ROLL,2019/3F,45860,,,'')&lt;/Q&gt;&lt;R&gt;1&lt;/R&gt;&lt;C&gt;1&lt;/C&gt;&lt;D xsi:type="xsd:double"&gt;3979&lt;/D&gt;&lt;/FQL&gt;&lt;FQL&gt;&lt;Q&gt;Ticker0024^FE_ESTIMATE(PRODLINE_EBIT_15,MEAN,QUARTERLY_ROLL,2019/2F,45860,,,'')&lt;/Q&gt;&lt;R&gt;1&lt;/R&gt;&lt;C&gt;1&lt;/C&gt;&lt;D xsi:type="xsd:double"&gt;4013.75&lt;/D&gt;&lt;/FQL&gt;&lt;FQL&gt;&lt;Q&gt;Ticker0024^FE_ESTIMATE(PRODLINE_EBIT_15,MEAN,QUARTERLY_ROLL,2019/1F,45860,,,'')&lt;/Q&gt;&lt;R&gt;1&lt;/R&gt;&lt;C&gt;1&lt;/C&gt;&lt;D xsi:type="xsd:double"&gt;3881&lt;/D&gt;&lt;/FQL&gt;&lt;FQL&gt;&lt;Q&gt;Ticker0024^FE_ESTIMATE(PRODLINE_EBIT_15,MEAN,ANNUAL_ROLL,2018,45860,,,'')&lt;/Q&gt;&lt;R&gt;1&lt;/R&gt;&lt;C&gt;1&lt;/C&gt;&lt;D xsi:type="xsd:double"&gt;12924&lt;/D&gt;&lt;/FQL&gt;&lt;FQL&gt;&lt;Q&gt;Ticker0024^FE_ESTIMATE(PRODLINE_EBIT_15,MEAN,QUARTERLY_ROLL,2018/4F,45860,,,'')&lt;/Q&gt;&lt;R&gt;1&lt;/R&gt;&lt;C&gt;1&lt;/C&gt;&lt;D xsi:type="xsd:double"&gt;3466&lt;/D&gt;&lt;/FQL&gt;&lt;FQL&gt;&lt;Q&gt;Ticker0024^FE_ESTIMATE(PRODLINE_EBIT_15,MEAN,QUARTERLY_ROLL,2018/3F,45860,,,'')&lt;/Q&gt;&lt;R&gt;1&lt;/R&gt;&lt;C&gt;1&lt;/C&gt;&lt;D xsi:type="xsd:double"&gt;3115&lt;/D&gt;&lt;/FQL&gt;&lt;FQL&gt;&lt;Q&gt;Ticker0024^FE_ESTIMATE(PRODLINE_EBIT_15,MEAN,QUARTERLY_ROLL,2018/2F,45860,,,'')&lt;/Q&gt;&lt;R&gt;1&lt;/R&gt;&lt;C&gt;1&lt;/C&gt;&lt;D xsi:type="xsd:double"&gt;3337&lt;/D&gt;&lt;/FQL&gt;&lt;FQL&gt;&lt;Q&gt;Ticker0024^FE_ESTIMATE(PRODLINE_EBIT_15,MEAN,QUARTERLY_ROLL,2018/1F,45860,,,'')&lt;/Q&gt;&lt;R&gt;1&lt;/R&gt;&lt;C&gt;1&lt;/C&gt;&lt;D xsi:type="xsd:double"&gt;3006&lt;/D&gt;&lt;/FQL&gt;&lt;FQL&gt;&lt;Q&gt;Ticker0024^FE_ESTIMATE(PRODLINE_EBIT_15,MEAN,ANNUAL_ROLL,2017,45860,,,'')&lt;/Q&gt;&lt;R&gt;1&lt;/R&gt;&lt;C&gt;1&lt;/C&gt;&lt;D xsi:type="xsd:double"&gt;11913&lt;/D&gt;&lt;/FQL&gt;&lt;FQL&gt;&lt;Q&gt;Ticker0024^FE_ESTIMATE(PRODLINE_EBIT_15,MEAN,QUARTERLY_ROLL,2017/4F,45860,,,'')&lt;/Q&gt;&lt;R&gt;1&lt;/R&gt;&lt;C&gt;1&lt;/C&gt;&lt;D xsi:type="xsd:double"&gt;2754&lt;/D&gt;&lt;/FQL&gt;&lt;FQL&gt;&lt;Q&gt;Ticker0024^FE_ESTIMATE(PRODLINE_EBIT_15,MEAN,QUARTERLY_ROLL,2017/3F,45860,,,'')&lt;/Q&gt;&lt;R&gt;1&lt;/R&gt;&lt;C&gt;1&lt;/C&gt;&lt;D xsi:type="xsd:double"&gt;2783&lt;/D&gt;&lt;/FQL&gt;&lt;FQL&gt;&lt;Q&gt;Ticker0024^FE_ESTIMATE(PRODLINE_EBIT_15,MEAN,QUARTERLY_ROLL,2017/2F,45860,,,'')&lt;/Q&gt;&lt;R&gt;1&lt;/R&gt;&lt;C&gt;1&lt;/C&gt;&lt;D xsi:type="xsd:double"&gt;3256&lt;/D&gt;&lt;/FQL&gt;&lt;FQL&gt;&lt;Q&gt;Ticker0024^FE_ESTIMATE(PRODLINE_EBIT_15,MEAN,QUARTERLY_ROLL,2017/1F,45860,,,'')&lt;/Q&gt;&lt;R&gt;1&lt;/R&gt;&lt;C&gt;1&lt;/C&gt;&lt;D xsi:type="xsd:double"&gt;3120&lt;/D&gt;&lt;/FQL&gt;&lt;FQL&gt;&lt;Q&gt;Ticker0024^FE_ESTIMATE(PRODLINE_EBIT_15,MEAN,ANNUAL_ROLL,2016,45860,,,'')&lt;/Q&gt;&lt;R&gt;1&lt;/R&gt;&lt;C&gt;1&lt;/C&gt;&lt;D xsi:type="xsd:double"&gt;12429&lt;/D&gt;&lt;/FQL&gt;&lt;FQL&gt;&lt;Q&gt;Ticker0024^FE_ESTIMATE(PRODLINE_EBIT_15,MEAN,QUARTERLY_ROLL,2016/4F,45860,,,'')&lt;/Q&gt;&lt;R&gt;1&lt;/R&gt;&lt;C&gt;1&lt;/C&gt;&lt;D xsi:type="xsd:double"&gt;3000&lt;/D&gt;&lt;/FQL&gt;&lt;FQL&gt;&lt;Q&gt;Ticker0024^FE_ESTIMATE(PRODLINE_EBIT_15,MEAN,QUARTERLY_ROLL,2016/3F,45860,,,'')&lt;/Q&gt;&lt;R&gt;1&lt;/R&gt;&lt;C&gt;1&lt;/C&gt;&lt;D xsi:type="xsd:double"&gt;2994&lt;/D&gt;&lt;/FQL&gt;&lt;FQL&gt;&lt;Q&gt;Ticker0024^FE_ESTIMATE(PRODLINE_EBIT_15,MEAN,QUARTERLY_ROLL,2016/2F,45860,,,'')&lt;/Q&gt;&lt;R&gt;0&lt;/R&gt;&lt;C&gt;0&lt;/C&gt;&lt;/FQL&gt;&lt;FQL&gt;&lt;Q&gt;Ticker0024^FE_ESTIMATE(PRODLINE_EBIT_15,MEAN,QUARTERLY_ROLL,2016/1F,45860,,,'')&lt;/Q&gt;&lt;R&gt;0&lt;/R&gt;&lt;C&gt;0&lt;/C&gt;&lt;/FQL&gt;&lt;FQL&gt;&lt;Q&gt;Ticker0024^FE_ESTIMATE(PRODLINE_EBIT_15,MEAN,ANNUAL_ROLL,2015,45860,,,'')&lt;/Q&gt;&lt;R&gt;0&lt;/R&gt;&lt;C&gt;0&lt;/C&gt;&lt;/FQL&gt;&lt;FQL&gt;&lt;Q&gt;Ticker0024^FE_ESTIMATE(PRODLINE_EBIT_15,MEAN,QUARTERLY_ROLL,2015/4F,45860,,,'')&lt;/Q&gt;&lt;R&gt;0&lt;/R&gt;&lt;C&gt;0&lt;/C&gt;&lt;/FQL&gt;&lt;FQL&gt;&lt;Q&gt;Ticker0024^FE_ESTIMATE(PRODLINE_EBIT_15,MEAN,QUARTERLY_ROLL,2015/3F,45860,,,'')&lt;/Q&gt;&lt;R&gt;0&lt;/R&gt;&lt;C&gt;0&lt;/C&gt;&lt;/FQL&gt;&lt;FQL&gt;&lt;Q&gt;Ticker0024^FE_ESTIMATE(PRODLINE_EBIT_15,MEAN,QUARTERLY_ROLL,2015/2F,45860,,,'')&lt;/Q&gt;&lt;R&gt;0&lt;/R&gt;&lt;C&gt;0&lt;/C&gt;&lt;/FQL&gt;&lt;FQL&gt;&lt;Q&gt;Ticker0024^FE_ESTIMATE(PRODLINE_EBIT_15,MEAN,QUARTERLY_ROLL,2015/1F,45860,,,'')&lt;/Q&gt;&lt;R&gt;0&lt;/R&gt;&lt;C&gt;0&lt;/C&gt;&lt;/FQL&gt;&lt;FQL&gt;&lt;Q&gt;Ticker0024^FE_ESTIMATE(GROSSINCOME,MEAN,ANNUAL_ROLL,2030,45860,,,'')&lt;/Q&gt;&lt;R&gt;0&lt;/R&gt;&lt;C&gt;0&lt;/C&gt;&lt;/FQL&gt;&lt;FQL&gt;&lt;Q&gt;Ticker0024^FE_ESTIMATE(GROSSINCOME,MEAN,QUARTERLY_ROLL,2030/4F,45860,,,'')&lt;/Q&gt;&lt;R&gt;0&lt;/R&gt;&lt;C&gt;0&lt;/C&gt;&lt;/FQL&gt;&lt;FQL&gt;&lt;Q&gt;Ticker0024^FE_ESTIMATE(GROSSINCOME,MEAN,QUARTERLY_ROLL,2030/3F,45860,,,'')&lt;/Q&gt;&lt;R&gt;0&lt;/R&gt;&lt;C&gt;0&lt;/C&gt;&lt;/FQL&gt;&lt;FQL&gt;&lt;Q&gt;Ticker0024^FE_ESTIMATE(GROSSINCOME,MEAN,QUARTERLY_ROLL,2030/2F,45860,,,'')&lt;/Q&gt;&lt;R&gt;0&lt;/R&gt;&lt;C&gt;0&lt;/C&gt;&lt;/FQL&gt;&lt;FQL&gt;&lt;Q&gt;Ticker0024^FE_ESTIMATE(GROSSINCOME,MEAN,QUARTERLY_ROLL,2030/1F,45860,,,'')&lt;/Q&gt;&lt;R&gt;0&lt;/R&gt;&lt;C&gt;0&lt;/C&gt;&lt;/FQL&gt;&lt;FQL&gt;&lt;Q&gt;Ticker0024^FE_ESTIMATE(GROSSINCOME,MEAN,ANNUAL_ROLL,2029,45860,,,'')&lt;/Q&gt;&lt;R&gt;1&lt;/R&gt;&lt;C&gt;1&lt;/C&gt;&lt;D xsi:type="xsd:double"&gt;326967.1&lt;/D&gt;&lt;/FQL&gt;&lt;FQL&gt;&lt;Q&gt;Ticker0024^FE_ESTIMATE(GROSSINCOME,MEAN,QUARTERLY_ROLL,2029/4F,45860,,,'')&lt;/Q&gt;&lt;R&gt;0&lt;/R&gt;&lt;C&gt;0&lt;/C&gt;&lt;/FQL&gt;&lt;FQL&gt;&lt;Q&gt;Ticker0024^FE_ESTIMATE(GROSSINCOME,MEAN,QUARTERLY_ROLL,2029/3F,45860,,,'')&lt;/Q&gt;&lt;R&gt;0&lt;/R&gt;&lt;C&gt;0&lt;/C&gt;&lt;/FQL&gt;&lt;FQL&gt;&lt;Q&gt;Ticker0024^FE_ESTIMATE(GROSSINCOME,MEAN,QUARTERLY_ROLL,2029/2F,45860,,,'')&lt;/Q&gt;&lt;R&gt;0&lt;/R&gt;&lt;C&gt;0&lt;/C&gt;&lt;/FQL&gt;&lt;FQL&gt;&lt;Q&gt;Ticker0024^FE_ESTIMATE(GROSSINCOME,MEAN,QUARTERLY_ROLL,2029/1F,45860,,,'')&lt;/Q&gt;&lt;R&gt;0&lt;/R&gt;&lt;C&gt;0&lt;/C&gt;&lt;/FQL&gt;&lt;FQL&gt;&lt;Q&gt;Ticker0024^FE_ESTIMATE(GROSSINCOME,MEAN,ANNUAL_ROLL,2028,45860,,,'')&lt;/Q&gt;&lt;R&gt;1&lt;/R&gt;&lt;C&gt;1&lt;/C&gt;&lt;D xsi:type="xsd:double"&gt;281291.94&lt;/D&gt;&lt;/FQL&gt;&lt;FQL&gt;&lt;Q&gt;Ticker0024^FE_ESTIMATE(GROSSINCOME,MEAN,QUARTERLY_ROLL,2028/4F,45860,,,'')&lt;/Q&gt;&lt;R&gt;0&lt;/R&gt;&lt;C&gt;0&lt;/C&gt;&lt;/FQL&gt;&lt;FQL&gt;&lt;Q&gt;Ticker0024^FE_ESTIMATE(GROSSINCOME,MEAN,QUARTERLY_ROLL,2028/3F,45860,,,'')&lt;/Q&gt;&lt;R&gt;0&lt;/R&gt;&lt;C&gt;0&lt;/C&gt;&lt;/FQL&gt;&lt;FQL&gt;&lt;Q&gt;Ticker0024^FE_ESTIMATE(GROSSINCOME,MEAN,QUARTERLY_ROLL,2028/2F,45860,,,'')&lt;/Q&gt;&lt;R&gt;0&lt;/R&gt;&lt;C&gt;0&lt;/C&gt;&lt;/FQL&gt;&lt;FQL&gt;&lt;Q&gt;Ticker0024^FE_ESTIMATE(GROSSINCOME,MEAN,QUARTERLY_ROLL,2028/1F,45860,,,'')&lt;/Q&gt;&lt;R&gt;0&lt;/R&gt;&lt;C&gt;0&lt;/C&gt;&lt;/FQL&gt;&lt;FQL&gt;&lt;Q&gt;Ticker0024^FE_ESTIMATE(GROSSINCOME,MEAN,ANNUAL_ROLL,2027,45860,,,'')&lt;/Q&gt;&lt;R&gt;1&lt;/R&gt;&lt;C&gt;1&lt;/C&gt;&lt;D xsi:type="xsd:double"&gt;244460.72&lt;/D&gt;&lt;/FQL&gt;&lt;FQL&gt;&lt;Q&gt;Ticker0024^FE_ESTIMATE(GROSSINCOME,MEAN,QUARTERLY_ROLL,2027/4F,45860,,,'')&lt;/Q&gt;&lt;R&gt;1&lt;/R&gt;&lt;C&gt;1&lt;/C&gt;&lt;D xsi:type="xsd:double"&gt;64165.332&lt;/D&gt;&lt;/FQL&gt;&lt;FQL&gt;&lt;Q&gt;Ticker0024^FE_ESTIMATE(GROSSINCOME,MEAN,QUARTERLY_ROLL,2027/3F,45860,,,'')&lt;/Q&gt;&lt;R&gt;1&lt;/R&gt;&lt;C&gt;1&lt;/C&gt;&lt;D xsi:type="xsd:double"&gt;61471&lt;/D&gt;&lt;/FQL&gt;&lt;FQL&gt;&lt;Q&gt;Ticker0024^FE_ESTIMATE(GROSSINCOME,MEAN,QUARTERLY_ROLL,2027/2F,45860,,,'')&lt;/Q&gt;&lt;R&gt;1&lt;/R&gt;&lt;C&gt;1&lt;/C&gt;&lt;D xsi:type="xsd:double"&gt;60398&lt;/D&gt;&lt;/FQL&gt;&lt;FQL&gt;&lt;Q&gt;Ticker0024^FE_ESTIMATE(GROSSINCOME,MEAN,QUARTERLY_ROLL,2027/1F,45860,,,'')&lt;/Q&gt;&lt;R&gt;1&lt;/R&gt;&lt;C&gt;1&lt;/C&gt;&lt;D xsi:type="xsd:double"&gt;57150.75&lt;/D&gt;&lt;/FQL&gt;&lt;FQL&gt;&lt;Q&gt;Ticker0024^FE_ESTIMATE(GROSSINCOME,MEAN,ANNUAL_ROLL,2026,45860,,,'')&lt;/Q&gt;&lt;R&gt;1&lt;/R&gt;&lt;C&gt;1&lt;/C&gt;&lt;D xsi:type="xsd:double"&gt;214926.27&lt;/D&gt;&lt;/FQL&gt;&lt;FQL&gt;&lt;Q&gt;Ticker0024^FE_ESTIMATE(GROSSINCOME,MEAN,QUARTERLY_ROLL,2026/4F,45860,,,'')&lt;/Q&gt;&lt;R&gt;1&lt;/R&gt;&lt;C&gt;1&lt;/C&gt;&lt;D xsi:type="xsd:double"&gt;56499&lt;/D&gt;&lt;/FQL&gt;&lt;FQL&gt;&lt;Q&gt;Ticker0024^FE_ESTIMATE(GROSSINCOME,MEAN,QUARTERLY_ROLL,2026/3F,45860,,,'')&lt;/Q&gt;&lt;R&gt;1&lt;/R&gt;&lt;C&gt;1&lt;/C&gt;&lt;D xsi:type="xsd:double"&gt;53944.086&lt;/D&gt;&lt;/FQL&gt;&lt;FQL&gt;&lt;Q&gt;Ticker0024^FE_ESTIMATE(GROSSINCOME,MEAN,QUARTERLY_ROLL,2026/2F,45860,,,'')&lt;/Q&gt;&lt;R&gt;1&lt;/R&gt;&lt;C&gt;1&lt;/C&gt;&lt;D xsi:type="xsd:double"&gt;53325.66&lt;/D&gt;&lt;/FQL&gt;&lt;FQL&gt;&lt;Q&gt;Ticker0024^FE_ESTIMATE(GROSSINCOME,MEAN,QUARTERLY_ROLL,2026/1F,45860,,,'')&lt;/Q&gt;&lt;R&gt;1&lt;/R&gt;&lt;C&gt;1&lt;/C&gt;&lt;D xsi:type="xsd:double"&gt;50559.855&lt;/D&gt;&lt;/FQL&gt;&lt;FQL&gt;&lt;Q&gt;Ticker0024^FE_ESTIMATE(GROSSINCOME,MEAN,ANNUAL_ROLL,2025,45860,,,'')&lt;/Q&gt;&lt;R&gt;1&lt;/R&gt;&lt;C&gt;1&lt;/C&gt;&lt;D xsi:type="xsd:double"&gt;191684.78&lt;/D&gt;&lt;/FQL&gt;&lt;FQL&gt;&lt;Q&gt;Ticker0024^FE_ESTIMATE(GROSSINCOME,MEAN,QUARTERLY_ROLL,2025/4F,45860,,,'')&lt;/Q&gt;&lt;R&gt;1&lt;/R&gt;&lt;C&gt;1&lt;/C&gt;&lt;D xsi:type="xsd:double"&gt;50124.65&lt;/D&gt;&lt;/FQL&gt;&lt;FQL&gt;&lt;Q&gt;Ticker0024^FE_ESTIMATE(GROSSINCOME,MEAN,QUARTERLY_ROLL,2025/3F,45860,,,'')&lt;/Q&gt;&lt;R&gt;1&lt;/R&gt;&lt;C&gt;1&lt;/C&gt;&lt;D xsi:type="xsd:double"&gt;48145.613&lt;/D&gt;&lt;/FQL&gt;&lt;FQL&gt;&lt;Q&gt;Ticker0024^FE_ESTIMATE(GROSSINCOME,MEAN,QUARTERLY_ROLL,2025/2F,45860,,,'')&lt;/Q&gt;&lt;R&gt;1&lt;/R&gt;&lt;C&gt;1&lt;/C&gt;&lt;D xsi:type="xsd:double"&gt;47831.84&lt;/D&gt;&lt;/FQL&gt;&lt;FQL&gt;&lt;Q&gt;Ticker0024^FE_ESTIMATE(GROSSINCOME,MEAN,QUARTERLY_ROLL,2025/1F,45860,,,'')&lt;/Q&gt;&lt;R&gt;1&lt;/R&gt;&lt;C&gt;1&lt;/C&gt;&lt;D xsi:type="xsd:double"&gt;45476.035&lt;/D&gt;&lt;/FQL&gt;&lt;FQL&gt;&lt;Q&gt;Ticker0024^FE_ESTIMATE(GROSSINCOME,MEAN,ANNUAL_ROLL,2024,45860,,,'')&lt;/Q&gt;&lt;R&gt;1&lt;/R&gt;&lt;C&gt;1&lt;/C&gt;&lt;D xsi:type="xsd:double"&gt;171008.06&lt;/D&gt;&lt;/FQL&gt;&lt;FQL&gt;&lt;Q&gt;Ticker0024^FE_ESTIMATE(GROSSINCOME,MEAN,QUARTERLY_ROLL,2024/4F,45860,,,'')&lt;/Q&gt;&lt;R&gt;1&lt;/R&gt;&lt;C&gt;1&lt;/C&gt;&lt;D xsi:type="xsd:double"&gt;45041.355&lt;/D&gt;&lt;/FQL&gt;&lt;FQL&gt;&lt;Q&gt;Ticker0024^FE_ESTIMATE(GROSSINCOME,MEAN,QUARTERLY_ROLL,2024/3F,45860,,,'')&lt;/Q&gt;&lt;R&gt;1&lt;/R&gt;&lt;C&gt;1&lt;/C&gt;&lt;D xsi:type="xsd:double"&gt;43354.293&lt;/D&gt;&lt;/FQL&gt;&lt;FQL&gt;&lt;Q&gt;Ticker0024^FE_ESTIMATE(GROSSINCOME,MEAN,QUARTERLY_ROLL,2024/2F,45860,,,'')&lt;/Q&gt;&lt;R&gt;1&lt;/R&gt;&lt;C&gt;1&lt;/C&gt;&lt;D xsi:type="xsd:double"&gt;42397.1&lt;/D&gt;&lt;/FQL&gt;&lt;FQL&gt;&lt;Q&gt;Ticker0024^FE_ESTIMATE(GROSSINCOME,MEAN,QUARTERLY_ROLL,2024/1F,45860,,,'')&lt;/Q&gt;&lt;R&gt;1&lt;/R&gt;&lt;C&gt;1&lt;/C&gt;&lt;D xsi:type="xsd:double"&gt;40215.17&lt;/D&gt;&lt;/FQL&gt;&lt;FQL&gt;&lt;Q&gt;Ticker0024^FE_ESTIMATE(GROSSINCOME,MEAN,ANNUAL_ROLL,2023,45860,,,'')&lt;/Q&gt;&lt;R&gt;1&lt;/R&gt;&lt;C&gt;1&lt;/C&gt;&lt;D xsi:type="xsd:double"&gt;146082.89&lt;/D&gt;&lt;/FQL&gt;&lt;FQL&gt;&lt;Q&gt;Ticker0024^FE_ESTIMATE(GROSSINCOME,MEAN,QUARTERLY_ROLL,2023/4F,45860,,,'')&lt;/Q&gt;&lt;R&gt;1&lt;/R&gt;&lt;C&gt;1&lt;/C&gt;&lt;D xsi:type="xsd:double"&gt;39388&lt;/D&gt;&lt;/FQL&gt;&lt;FQL&gt;&lt;Q&gt;Ticker0024^FE_ESTIMATE(GROSSINCOME,MEAN,QUARTERLY_ROLL,2023/3F,45860,,,'')&lt;/Q&gt;&lt;R&gt;1&lt;/R&gt;&lt;C&gt;1&lt;/C&gt;&lt;D xsi:type="xsd:double"&gt;36729.035&lt;/D&gt;&lt;/FQL&gt;&lt;FQL&gt;&lt;Q&gt;Ticker0024^FE_ESTIMATE(GROSSINCOME,MEAN,QUARTERLY_ROLL,2023/2F,45860,,,'')&lt;/Q&gt;&lt;R&gt;1&lt;/R&gt;&lt;C&gt;1&lt;/C&gt;&lt;D xsi:type="xsd:double"&gt;35294.117&lt;/D&gt;&lt;/FQL&gt;&lt;FQL&gt;&lt;Q&gt;Ticker0024^FE_ESTIMATE(GROSSINCOME,MEAN,QUARTERLY_ROLL,2023/1F,45860,,,'')&lt;/Q&gt;&lt;R&gt;1&lt;/R&gt;&lt;C&gt;1&lt;/C&gt;&lt;D xsi:type="xsd:double"&gt;34670&lt;/D&gt;&lt;/FQL&gt;&lt;FQL&gt;&lt;Q&gt;Ticker0024^FE_ESTIMATE(GROSSINCOME,MEAN,ANNUAL_ROLL,2022,45860,,,'')&lt;/Q&gt;&lt;R&gt;1&lt;/R&gt;&lt;C&gt;1&lt;/C&gt;&lt;D xsi:type="xsd:double"&gt;135605.53&lt;/D&gt;&lt;/FQL&gt;&lt;FQL&gt;&lt;Q&gt;Ticker0024^FE_ESTIMATE(GROSSINCOME,MEAN,QUARTERLY_ROLL,2022/4F,45860,,,'')&lt;/Q&gt;&lt;R&gt;1&lt;/R&gt;&lt;C&gt;1&lt;/C&gt;&lt;D xsi:type="xsd:double"&gt;35436&lt;/D&gt;&lt;/FQL&gt;&lt;FQL&gt;&lt;Q&gt;Ticker0024^FE_ESTIMATE(GROSSINCOME,MEAN,QUARTERLY_ROLL,2022/3F,45860,,,'')&lt;/Q&gt;&lt;R&gt;1&lt;/R&gt;&lt;C&gt;1&lt;/C&gt;&lt;D xsi:type="xsd:double"&gt;33744.957&lt;/D&gt;&lt;/FQL&gt;&lt;FQL&gt;&lt;Q&gt;Ticker0024^FE_ESTIMATE(GROSSINCOME,MEAN,QUARTERLY_ROLL,2022/2F,45860,,,'')&lt;/Q&gt;&lt;R&gt;1&lt;/R&gt;&lt;C&gt;1&lt;/C&gt;&lt;D xsi:type="xsd:double"&gt;34768&lt;/D&gt;&lt;/FQL&gt;&lt;FQL&gt;&lt;Q&gt;Ticker0024^FE_ESTIMATE(GROSSINCOME,MEAN,QUARTERLY_ROLL,2022/1F,45860,,,'')&lt;/Q&gt;&lt;R&gt;1&lt;/R&gt;&lt;C&gt;1&lt;/C&gt;&lt;D xsi:type="xsd:double"&gt;31671&lt;/D&gt;&lt;/FQL&gt;&lt;FQL&gt;&lt;Q&gt;Ticker0024^FE_ESTIMATE(GROSSINCOME,MEAN,ANNUAL_ROLL,2021,45860,,,'')&lt;/Q&gt;&lt;R&gt;1&lt;/R&gt;&lt;C&gt;1&lt;/C&gt;&lt;D xsi:type="xsd:double"&gt;115856.59&lt;/D&gt;&lt;/FQL&gt;&lt;FQL&gt;&lt;Q&gt;Ticker0024^FE_ESTIMATE(GROSSINCOME,MEAN,QUARTERLY_ROLL,2021/4F,45860,,,'')&lt;/Q&gt;&lt;R&gt;1&lt;/R&gt;&lt;C&gt;1&lt;/C&gt;&lt;D xsi:type="xsd:double"&gt;32161&lt;/D&gt;&lt;/FQL&gt;&lt;FQL&gt;&lt;Q&gt;Ticker0024^FE_ESTIMATE(GROSSINCOME,MEAN,QUARTERLY_ROLL,2021/3F,45860,,,'')&lt;/Q&gt;&lt;R&gt;1&lt;/R&gt;&lt;C&gt;1&lt;/C&gt;&lt;D xsi:type="xsd:double"&gt;28661&lt;/D&gt;&lt;/FQL&gt;&lt;FQL&gt;&lt;Q&gt;Ticker0024^FE_ESTIMATE(GROSSINCOME,MEAN,QUARTERLY_ROLL,2021/2F,45860,,,'')&lt;/Q&gt;&lt;R&gt;1&lt;/R&gt;&lt;C&gt;1&lt;/C&gt;&lt;D xsi:type="xsd:double"&gt;28882&lt;/D&gt;&lt;/FQL&gt;&lt;FQL&gt;&lt;Q&gt;Ticker0024^FE_ESTIMATE(GROSSINCOME,MEAN,QUARTERLY_ROLL,2021/1F,45860,,,'')&lt;/Q&gt;&lt;R&gt;1&lt;/R&gt;&lt;C&gt;1&lt;/C&gt;&lt;D xsi:type="xsd:double"&gt;26152&lt;/D&gt;&lt;/FQL&gt;&lt;FQL&gt;&lt;Q&gt;Ticker0024^FE_ESTIMATE(GROSSINCOME,MEAN,ANNUAL_ROLL,2020,45860,,,'')&lt;/Q&gt;&lt;R&gt;1&lt;/R&gt;&lt;C&gt;1&lt;/C&gt;&lt;D xsi:type="xsd:double"&gt;96940.4&lt;/D&gt;&lt;/FQL&gt;&lt;FQL&gt;&lt;Q&gt;Ticker0024^FE_ESTIMATE(GROSSINCOME,MEAN,QUARTERLY_ROLL,2020/4F,45860,,,'')&lt;/Q&gt;&lt;R&gt;1&lt;/R&gt;&lt;C&gt;1&lt;/C&gt;&lt;D xsi:type="xsd:double"&gt;25698.295&lt;/D&gt;&lt;/FQL&gt;&lt;FQL&gt;&lt;Q&gt;Ticker0024^FE_ESTIMATE(GROSSINCOME,MEAN,QUARTERLY_ROLL,2020/3F,45860,,,'')&lt;/Q&gt;&lt;R&gt;1&lt;/R&gt;&lt;C&gt;1&lt;/C&gt;&lt;D xsi:type="xsd:double"&gt;24046&lt;/D&gt;&lt;/FQL&gt;&lt;FQL&gt;&lt;Q&gt;Ticker0024^FE_ESTIMATE(GROSSINCOME,MEAN,QUARTERLY_ROLL,2020/2F,45860,,,'')&lt;/Q&gt;&lt;R&gt;1&lt;/R&gt;&lt;C&gt;1&lt;/C&gt;&lt;D xsi:type="xsd:double"&gt;24548&lt;/D&gt;&lt;/FQL&gt;&lt;FQL&gt;&lt;Q&gt;Ticker0024^FE_ESTIMATE(GROSSINCOME,MEAN,QUARTERLY_ROLL,2020/1F,45860,,,'')&lt;/Q&gt;&lt;R&gt;1&lt;/R&gt;&lt;C&gt;1&lt;/C&gt;&lt;D xsi:type="xsd:double"&gt;22649&lt;/D&gt;&lt;/FQL&gt;&lt;FQL&gt;&lt;Q&gt;Ticker0024^FE_ESTIMATE(GROSSINCOME,MEAN,ANNUAL_ROLL,2019,45860,,,'')&lt;/Q&gt;&lt;R&gt;1&lt;/R&gt;&lt;C&gt;1&lt;/C&gt;&lt;D xsi:type="xsd:double"&gt;82959.15&lt;/D&gt;&lt;/FQL&gt;&lt;FQL&gt;&lt;Q&gt;Ticker0024^FE_ESTIMATE(GROSSINCOME,MEAN,QUARTERLY_ROLL,2019/4F,45860,,,'')&lt;/Q&gt;&lt;R&gt;1&lt;/R&gt;&lt;C&gt;1&lt;/C&gt;&lt;D xsi:type="xsd:double"&gt;23317.578&lt;/D&gt;&lt;/FQL&gt;&lt;FQL&gt;&lt;Q&gt;Ticker0024^FE_ESTIMATE(GROSSINCOME,MEAN,QUARTERLY_ROLL,2019/3F,45860,,,'')&lt;/Q&gt;&lt;R&gt;1&lt;/R&gt;&lt;C&gt;1&lt;/C&gt;&lt;D xsi:type="xsd:double"&gt;20416&lt;/D&gt;&lt;/FQL&gt;&lt;FQL&gt;&lt;Q&gt;Ticker0024^FE_ESTIMATE(GROSSINCOME,MEAN,QUARTERLY_ROLL,2019/2F,45860,,,'')&lt;/Q&gt;&lt;R&gt;1&lt;/R&gt;&lt;C&gt;1&lt;/C&gt;&lt;D xsi:type="xsd:double"&gt;20048&lt;/D&gt;&lt;/FQL&gt;&lt;FQL&gt;&lt;Q&gt;Ticker0024^FE_ESTIMATE(GROSSINCOME,MEAN,QUARTERLY_ROLL,2019/1F,45860,,,'')&lt;/Q&gt;&lt;R&gt;1&lt;/R&gt;&lt;C&gt;1&lt;/C&gt;&lt;D xsi:type="xsd:double"&gt;19179&lt;/D&gt;&lt;/FQL&gt;&lt;FQL&gt;&lt;Q&gt;Ticker0024^FE_ESTIMATE(GROSSINCOME,MEAN,ANNUAL_ROLL,2018,45860,,,'')&lt;/Q&gt;&lt;R&gt;1&lt;/R&gt;&lt;C&gt;1&lt;/C&gt;&lt;D xsi:type="xsd:double"&gt;71970.336&lt;/D&gt;&lt;/FQL&gt;&lt;FQL&gt;&lt;Q&gt;Ticker0024^FE_ESTIMATE(GROSSINCOME,MEAN,QUARTERLY_ROLL,2018/4F,45860,,,'')&lt;/Q&gt;&lt;R&gt;1&lt;/R&gt;&lt;C&gt;1&lt;/C&gt;&lt;D xsi:type="xsd:double"&gt;20296.684&lt;/D&gt;&lt;/FQL&gt;&lt;FQL&gt;&lt;Q&gt;Ticker0024^FE_ESTIMATE(GROSSINCOME,MEAN,QUARTERLY_ROLL,2018/3F,45860,,,'')&lt;/Q&gt;&lt;R&gt;1&lt;/R&gt;&lt;C&gt;1&lt;/C&gt;&lt;D xsi:type="xsd:double"&gt;17550&lt;/D&gt;&lt;/FQL&gt;&lt;FQL&gt;&lt;Q&gt;Ticker0024^FE_ESTIMATE(GROSSINCOME,MEAN,QUARTERLY_ROLL,2018/2F,45860,,,'')&lt;/Q&gt;&lt;R&gt;1&lt;/R&gt;&lt;C&gt;1&lt;/C&gt;&lt;D xsi:type="xsd:double"&gt;17854&lt;/D&gt;&lt;/FQL&gt;&lt;FQL&gt;&lt;Q&gt;Ticker0024^FE_ESTIMATE(GROSSINCOME,MEAN,QUARTERLY_ROLL,2018/1F,45860,,,'')&lt;/Q&gt;&lt;R&gt;1&lt;/R&gt;&lt;C&gt;1&lt;/C&gt;&lt;D xsi:type="xsd:double"&gt;16264.4&lt;/D&gt;&lt;/FQL&gt;&lt;FQL&gt;&lt;Q&gt;Ticker0024^FE_ESTIMATE(GROSSINCOME,MEAN,ANNUAL_ROLL,2017,45860,,,'')&lt;/Q&gt;&lt;R&gt;1&lt;/R&gt;&lt;C&gt;1&lt;/C&gt;&lt;D xsi:type="xsd:double"&gt;62400.3&lt;/D&gt;&lt;/FQL&gt;&lt;FQL&gt;&lt;Q&gt;Ticker0024^FE_ESTIMATE(GROSSINCOME,MEAN,QUARTERLY_ROLL,2017/4F,45860,,,'')&lt;/Q&gt;&lt;R&gt;1&lt;/R&gt;&lt;C&gt;1&lt;/C&gt;&lt;D xsi:type="xsd:double"&gt;16244&lt;/D&gt;&lt;/FQL&gt;&lt;FQL&gt;&lt;Q&gt;Ticker0024^FE_ESTIMATE(GROSSINCOME,MEAN,QUARTERLY_ROLL,2017/3F,45860,,,'')&lt;/Q&gt;&lt;R&gt;1&lt;/R&gt;&lt;C&gt;1&lt;/C&gt;&lt;D xsi:type="xsd:double"&gt;15497&lt;/D&gt;&lt;/FQL&gt;&lt;FQL&gt;&lt;Q&gt;Ticker0024^FE_ESTIMATE(GROSSINCOME,MEAN,QUARTERLY_ROLL,2017/2F,45860,,,'')&lt;/Q&gt;&lt;R&gt;1&lt;/R&gt;&lt;C&gt;1&lt;/C&gt;&lt;D xsi:type="xsd:double"&gt;15990.608&lt;/D&gt;&lt;/FQL&gt;&lt;FQL&gt;&lt;Q&gt;Ticker0024^FE_ESTIMATE(GROSSINCOME,MEAN,QUARTERLY_ROLL,2017/1F,45860,,,'')&lt;/Q&gt;&lt;R&gt;1&lt;/R&gt;&lt;C&gt;1&lt;/C&gt;&lt;D xsi:type="xsd:double"&gt;14317.286&lt;/D&gt;&lt;/FQL&gt;&lt;FQL&gt;&lt;Q&gt;Ticker0024^FE_ESTIMATE(GROSSINCOME,MEAN,ANNUAL_ROLL,2016,45860,,,'')&lt;/Q&gt;&lt;R&gt;1&lt;/R&gt;&lt;C&gt;1&lt;/C&gt;&lt;D xsi:type="xsd:double"&gt;59288.41&lt;/D&gt;&lt;/FQL&gt;&lt;FQL&gt;&lt;Q&gt;Ticker0024^FE_ESTIMATE(GROSSINCOME,MEAN,QUARTERLY_ROLL,2016/4F,45860,,,'')&lt;/Q&gt;&lt;R&gt;1&lt;/R&gt;&lt;C&gt;1&lt;/C&gt;&lt;D xsi:type="xsd:double"&gt;14663&lt;/D&gt;&lt;/FQL&gt;&lt;FQL&gt;&lt;Q&gt;Ticker0024^FE_ESTIMATE(GROSSINCOME,MEAN,QUARTERLY_ROLL,2016/3F,45860,,,'')&lt;/Q&gt;&lt;R&gt;1&lt;/R&gt;&lt;C&gt;1&lt;/C&gt;&lt;D xsi:type="xsd:double"&gt;14354&lt;/D&gt;&lt;/FQL&gt;&lt;FQL&gt;&lt;Q&gt;Ticker0024^FE_ESTIMATE(GROSSINCOME,MEAN,QUARTERLY_ROLL,2016/2F,45860,,,'')&lt;/Q&gt;&lt;R&gt;1&lt;/R&gt;&lt;C&gt;1&lt;/C&gt;&lt;D xsi:type="xsd:double"&gt;15821&lt;/D&gt;&lt;/FQL&gt;&lt;FQL&gt;&lt;Q&gt;Ticker0024^FE_ESTIMATE(GROSSINCOME,MEAN,QUARTERLY_ROLL,2016/1F,45860,,,'')&lt;/Q&gt;&lt;R&gt;1&lt;/R&gt;&lt;C&gt;1&lt;/C&gt;&lt;D xsi:type="xsd:double"&gt;14452.667&lt;/D&gt;&lt;/FQL&gt;&lt;FQL&gt;&lt;Q&gt;Ticker0024^FE_ESTIMATE(GROSSINCOME,MEAN,ANNUAL_ROLL,2015,45860,,,'')&lt;/Q&gt;&lt;R&gt;1&lt;/R&gt;&lt;C&gt;1&lt;/C&gt;&lt;D xsi:type="xsd:double"&gt;60542.086&lt;/D&gt;&lt;/FQL&gt;&lt;FQL&gt;&lt;Q&gt;Ticker0024^FE_ESTIMATE(GROSSINCOME,MEAN,QUARTERLY_ROLL,2015/4F,45860,,,'')&lt;/Q&gt;&lt;R&gt;1&lt;/R&gt;&lt;C&gt;1&lt;/C&gt;&lt;D xsi:type="xsd:double"&gt;14712&lt;/D&gt;&lt;/FQL&gt;&lt;FQL&gt;&lt;Q&gt;Ticker0024^FE_ESTIMATE(GROSSINCOME,MEAN,QUARTERLY_ROLL,2015/3F,45860,,,'')&lt;/Q&gt;&lt;R&gt;1&lt;/R&gt;&lt;C&gt;1&lt;/C&gt;&lt;D xsi:type="xsd:double"&gt;14571.714&lt;/D&gt;&lt;/FQL&gt;&lt;FQL&gt;&lt;Q&gt;Ticker0024^FE_ESTIMATE(GROSSINCOME,MEAN,QUARTERLY_ROLL,2015/2F,45860,,,'')&lt;/Q&gt;&lt;R&gt;1&lt;/R&gt;&lt;C&gt;1&lt;/C&gt;&lt;D xsi:type="xsd:double"&gt;16334&lt;/D&gt;&lt;/FQL&gt;&lt;FQL&gt;&lt;Q&gt;Ticker0024^FE_ESTIMATE(GROSSINCOME,MEAN,QUARTERLY_ROLL,2015/1F,45860,,,'')&lt;/Q&gt;&lt;R&gt;1&lt;/R&gt;&lt;C&gt;1&lt;/C&gt;&lt;D xsi:type="xsd:double"&gt;14928&lt;/D&gt;&lt;/FQL&gt;&lt;FQL&gt;&lt;Q&gt;Ticker0024^FE_ESTIMATE(SALES,MEAN,ANNUAL_ROLL,2030,45860,,,'')&lt;/Q&gt;&lt;R&gt;1&lt;/R&gt;&lt;C&gt;1&lt;/C&gt;&lt;D xsi:type="xsd:double"&gt;557339&lt;/D&gt;&lt;/FQL&gt;&lt;FQL&gt;&lt;Q&gt;Ticker0024^FE_ESTIMATE(SALES,MEAN,QUARTERLY_ROLL,2030/4F,45860,,,'')&lt;/Q&gt;&lt;R&gt;0&lt;/R&gt;&lt;C&gt;0&lt;/C&gt;&lt;/FQL&gt;&lt;FQL&gt;&lt;Q&gt;Ticker0024^FE_ESTIMATE(SALES,MEAN,QUARTERLY_ROLL,2030/3F,45860,,,'')&lt;/Q&gt;&lt;R&gt;0&lt;/R&gt;&lt;C&gt;0&lt;/C&gt;&lt;/FQL&gt;&lt;FQL&gt;&lt;Q&gt;Ticker0024^FE_ESTIMATE(SALES,MEAN,QUARTERLY_ROLL,2030/2F,45860,,,'')&lt;/Q&gt;&lt;R&gt;0&lt;/R&gt;&lt;C&gt;0&lt;/C&gt;&lt;/FQL&gt;&lt;FQL&gt;&lt;Q&gt;Ticker0024^FE_ESTIMATE(SALES,MEAN,QUARTERLY_ROLL,2030/1F,45860,,,'')&lt;/Q&gt;&lt;R&gt;0&lt;/R&gt;&lt;C&gt;0&lt;/C&gt;&lt;/FQL&gt;&lt;FQL&gt;&lt;Q&gt;Ticker0024^FE_ESTIMATE(SALES,MEAN,ANNUAL_ROLL,2029,45860,,,'')&lt;/Q&gt;&lt;R&gt;1&lt;/R&gt;&lt;C&gt;1&lt;/C&gt;&lt;D xsi:type="xsd:double"&gt;479183.8&lt;/D&gt;&lt;/FQL&gt;&lt;FQL&gt;&lt;Q&gt;Ticker0024^FE_ESTIMATE(SALES,MEAN,QUARTERLY_ROLL,2029/4F,45860,,,'')&lt;/Q&gt;&lt;R&gt;0&lt;/R&gt;&lt;C&gt;0&lt;/C&gt;&lt;/FQL&gt;&lt;FQL&gt;&lt;Q&gt;Ticker0024^FE_ESTIMATE(SALES,MEAN,QUARTERLY_ROLL,2029/3F,45860,,,'')&lt;/Q&gt;&lt;R&gt;0&lt;/R&gt;&lt;C&gt;0&lt;/C&gt;&lt;/FQL&gt;&lt;FQL&gt;&lt;Q&gt;Ticker0024^FE_ESTIMATE(SALES,MEAN,QUARTERLY_ROLL,2029/2F,45860,,,'')&lt;/Q&gt;&lt;R&gt;0&lt;/R&gt;&lt;C&gt;0&lt;/C&gt;&lt;/FQL&gt;&lt;FQL&gt;&lt;Q&gt;Ticker0024^FE_ESTIMATE(SALES,MEAN,QUARTERLY_ROLL,2029/1F,45860,,,'')&lt;/Q&gt;&lt;R&gt;0&lt;/R&gt;&lt;C&gt;0&lt;/C&gt;&lt;/FQL&gt;&lt;FQL&gt;&lt;Q&gt;Ticker0024^FE_ESTIMATE(SALES,MEAN,ANNUAL_ROLL,2028,45860,,,'')&lt;/Q&gt;&lt;R&gt;1&lt;/R&gt;&lt;C&gt;1&lt;/C&gt;&lt;D xsi:type="xsd:double"&gt;421054.63&lt;/D&gt;&lt;/FQL&gt;&lt;FQL&gt;&lt;Q&gt;Ticker0024^FE_ESTIMATE(SALES,MEAN,QUARTERLY_ROLL,2028/4F,45860,,,'')&lt;/Q&gt;&lt;R&gt;0&lt;/R&gt;&lt;C&gt;0&lt;/C&gt;&lt;/FQL&gt;&lt;FQL&gt;&lt;Q&gt;Ticker0024^FE_ESTIMATE(SALES,MEAN,QUARTERLY_ROLL,2028/3F,45860,,,'')&lt;/Q&gt;&lt;R&gt;0&lt;/R&gt;&lt;C&gt;0&lt;/C&gt;&lt;/FQL&gt;&lt;FQL&gt;&lt;Q&gt;Ticker0024^FE_ESTIMATE(SALES,MEAN,QUARTERLY_ROLL,2028/2F,45860,,,'')&lt;/Q&gt;&lt;R&gt;0&lt;/R&gt;&lt;C&gt;0&lt;/C&gt;&lt;/FQL&gt;&lt;FQL&gt;&lt;Q&gt;Ticker0024^FE_ESTIMATE(SALES,MEAN,QUARTERLY_ROLL,2028/1F,45860,,,'')&lt;/Q&gt;&lt;R&gt;0&lt;/R&gt;&lt;C&gt;0&lt;/C&gt;&lt;/FQL&gt;&lt;FQL&gt;&lt;Q&gt;Ticker0024^FE_ESTIMATE(SALES,MEAN,ANNUAL_ROLL,2027,45860,,,'')&lt;/Q&gt;&lt;R&gt;1&lt;/R&gt;&lt;C&gt;1&lt;/C&gt;&lt;D xsi:type="xsd:double"&gt;363019.1&lt;/D&gt;&lt;/FQL&gt;&lt;FQL&gt;&lt;Q&gt;Ticker0024^FE_ESTIMATE(SALES,MEAN,QUARTERLY_ROLL,2027/4F,45860,,,'')&lt;/Q&gt;&lt;R&gt;1&lt;/R&gt;&lt;C&gt;1&lt;/C&gt;&lt;D xsi:type="xsd:double"&gt;95324.63&lt;/D&gt;&lt;/FQL&gt;&lt;FQL&gt;&lt;Q&gt;Ticker0024^FE_ESTIMATE(SALES,MEAN,QUARTERLY_ROLL,2027/3F,45860,,,'')&lt;/Q&gt;&lt;R&gt;1&lt;/R&gt;&lt;C&gt;1&lt;/C&gt;&lt;D xsi:type="xsd:double"&gt;90763.49&lt;/D&gt;&lt;/FQL&gt;&lt;FQL&gt;&lt;Q&gt;Ticker0024^FE_ESTIMATE(SALES,MEAN,QUARTERLY_ROLL,2027/2F,45860,,,'')&lt;/Q&gt;&lt;R&gt;1&lt;/R&gt;&lt;C&gt;1&lt;/C&gt;&lt;D xsi:type="xsd:double"&gt;89454.266&lt;/D&gt;&lt;/FQL&gt;&lt;FQL&gt;&lt;Q&gt;Ticker0024^FE_ESTIMATE(SALES,MEAN,QUARTERLY_ROLL,2027/1F,45860,,,'')&lt;/Q&gt;&lt;R&gt;1&lt;/R&gt;&lt;C&gt;1&lt;/C&gt;&lt;D xsi:type="xsd:double"&gt;84521.69&lt;/D&gt;&lt;/FQL&gt;&lt;FQL&gt;&lt;Q&gt;Ticker0024^FE_ESTIMATE(SALES,MEAN,ANNUAL_ROLL,2026,45860,,,'')&lt;/Q&gt;&lt;R&gt;1&lt;/R&gt;&lt;C&gt;1&lt;/C&gt;&lt;D xsi:type="xsd:double"&gt;316976&lt;/D&gt;&lt;/FQL&gt;&lt;FQL&gt;&lt;Q&gt;Ticker0024^FE_ESTIMATE(SALES,MEAN,QUARTERLY_ROLL,2026/4F,45860,,,'')&lt;/Q&gt;&lt;R&gt;1&lt;/R&gt;&lt;C&gt;1&lt;/C&gt;&lt;D xsi:type="xsd:double"&gt;83461.74&lt;/D&gt;&lt;/FQL&gt;&lt;FQL&gt;&lt;Q&gt;Ticker0024^FE_ESTIMATE(SALES,MEAN,QUARTERLY_ROLL,2026/3F,45860,,,'')&lt;/Q&gt;&lt;R&gt;1&lt;/R&gt;&lt;C&gt;1&lt;/C&gt;&lt;D xsi:type="xsd:double"&gt;79366.06&lt;/D&gt;&lt;/FQL&gt;&lt;FQL&gt;&lt;Q&gt;Ticker0024^FE_ESTIMATE(SALES,MEAN,QUARTERLY_ROLL,2026/2F,45860,,,'')&lt;/Q&gt;&lt;R&gt;1&lt;/R&gt;&lt;C&gt;1&lt;/C&gt;&lt;D xsi:type="xsd:double"&gt;78681.914&lt;/D&gt;&lt;/FQL&gt;&lt;FQL&gt;&lt;Q&gt;Ticker0024^FE_ESTIMATE(SALES,MEAN,QUARTERLY_ROLL,2026/1F,45860,,,'')&lt;/Q&gt;&lt;R&gt;1&lt;/R&gt;&lt;C&gt;1&lt;/C&gt;&lt;D xsi:type="xsd:double"&gt;74107.8&lt;/D&gt;&lt;/FQL&gt;&lt;FQL&gt;&lt;Q&gt;Ticker0024^FE_ESTIMATE(SALES,MEAN,ANNUAL_ROLL,2025,45860,,,'')&lt;/Q&gt;&lt;R&gt;1&lt;/R&gt;&lt;C&gt;1&lt;/C&gt;&lt;D xsi:type="xsd:double"&gt;279186.47&lt;/D&gt;&lt;/FQL&gt;&lt;FQL&gt;&lt;Q&gt;Ticker0024^FE_ESTIMATE(SALES,MEAN,QUARTERLY_ROLL,2025/4F,45860,,,'')&lt;/Q&gt;&lt;R&gt;1&lt;/R&gt;&lt;C&gt;1&lt;/C&gt;&lt;D xsi:type="xsd:double"&gt;73791.9&lt;/D&gt;&lt;/FQL&gt;&lt;FQL&gt;&lt;Q&gt;Ticker0024^FE_ESTIMATE(SALES,MEAN,QUARTERLY_ROLL,2025/3F,45860,,,'')&lt;/Q&gt;&lt;R&gt;1&lt;/R&gt;&lt;C&gt;1&lt;/C&gt;&lt;D xsi:type="xsd:double"&gt;70066&lt;/D&gt;&lt;/FQL&gt;&lt;FQL&gt;&lt;Q&gt;Ticker0024^FE_ESTIMATE(SALES,MEAN,QUARTERLY_ROLL,2025/2F,45860,,,'')&lt;/Q&gt;&lt;R&gt;1&lt;/R&gt;&lt;C&gt;1&lt;/C&gt;&lt;D xsi:type="xsd:double"&gt;69632&lt;/D&gt;&lt;/FQL&gt;&lt;FQL&gt;&lt;Q&gt;Ticker0024^FE_ESTIMATE(SALES,MEAN,QUARTERLY_ROLL,2025/1F,45860,,,'')&lt;/Q&gt;&lt;R&gt;1&lt;/R&gt;&lt;C&gt;1&lt;/C&gt;&lt;D xsi:type="xsd:double"&gt;65585&lt;/D&gt;&lt;/FQL&gt;&lt;FQL&gt;&lt;Q&gt;Ticker0024^FE_ESTIMATE(SALES,MEAN,ANNUAL_ROLL,2024,45860,,,'')&lt;/Q&gt;&lt;R&gt;1&lt;/R&gt;&lt;C&gt;1&lt;/C&gt;&lt;D xsi:type="xsd:double"&gt;245122&lt;/D&gt;&lt;/FQL&gt;&lt;FQL&gt;&lt;Q&gt;Ticker0024^FE_ESTIMATE(SALES,MEAN,QUARTERLY_ROLL,2024/4F,45860,,,'')&lt;/Q&gt;&lt;R&gt;1&lt;/R&gt;&lt;C&gt;1&lt;/C&gt;&lt;D xsi:type="xsd:double"&gt;64727&lt;/D&gt;&lt;/FQL&gt;&lt;FQL&gt;&lt;Q&gt;Ticker0024^FE_ESTIMATE(SALES,MEAN,QUARTERLY_ROLL,2024/3F,45860,,,'')&lt;/Q&gt;&lt;R&gt;1&lt;/R&gt;&lt;C&gt;1&lt;/C&gt;&lt;D xsi:type="xsd:double"&gt;61858&lt;/D&gt;&lt;/FQL&gt;&lt;FQL&gt;&lt;Q&gt;Ticker0024^FE_ESTIMATE(SALES,MEAN,QUARTERLY_ROLL,2024/2F,45860,,,'')&lt;/Q&gt;&lt;R&gt;1&lt;/R&gt;&lt;C&gt;1&lt;/C&gt;&lt;D xsi:type="xsd:double"&gt;62020&lt;/D&gt;&lt;/FQL&gt;&lt;FQL&gt;&lt;Q&gt;Ticker0024^FE_ESTIMATE(SALES,MEAN,QUARTERLY_ROLL,2024/1F,45860,,,'')&lt;/Q&gt;&lt;R&gt;1&lt;/R&gt;&lt;C&gt;1&lt;/C&gt;&lt;D xsi:type="xsd:double"&gt;56517&lt;/D&gt;&lt;/FQL&gt;&lt;FQL&gt;&lt;Q&gt;Ticker0024^FE_ESTIMATE(SALES,MEAN,ANNUAL_ROLL,2023,45860,,,'')&lt;/Q&gt;&lt;R&gt;1&lt;/R&gt;&lt;C&gt;1&lt;/C&gt;&lt;D xsi:type="xsd:double"&gt;211915&lt;/D&gt;&lt;/FQL&gt;&lt;FQL&gt;&lt;Q&gt;Ticker0024^FE_ESTIMATE(SALES,MEAN,QUARTERLY_ROLL,2023/4F,45860,,,'')&lt;/Q&gt;&lt;R&gt;1&lt;/R&gt;&lt;C&gt;1&lt;/C&gt;&lt;D xsi:type="xsd:double"&gt;56189&lt;/D&gt;&lt;/FQL&gt;&lt;FQL&gt;&lt;Q&gt;Ticker0024^FE_ESTIMATE(SALES,MEAN,QUARTERLY_ROLL,2023/3F,45860,,,'')&lt;/Q&gt;&lt;R&gt;1&lt;/R&gt;&lt;C&gt;1&lt;/C&gt;&lt;D xsi:type="xsd:double"&gt;52857&lt;/D&gt;&lt;/FQL&gt;&lt;FQL&gt;&lt;Q&gt;Ticker0024^FE_ESTIMATE(SALES,MEAN,QUARTERLY_ROLL,2023/2F,45860,,,'')&lt;/Q&gt;&lt;R&gt;1&lt;/R&gt;&lt;C&gt;1&lt;/C&gt;&lt;D xsi:type="xsd:double"&gt;52747&lt;/D&gt;&lt;/FQL&gt;&lt;FQL&gt;&lt;Q&gt;Ticker0024^FE_ESTIMATE(SALES,MEAN,QUARTERLY_ROLL,2023/1F,45860,,,'')&lt;/Q&gt;&lt;R&gt;1&lt;/R&gt;&lt;C&gt;1&lt;/C&gt;&lt;D xsi:type="xsd:double"&gt;50122&lt;/D&gt;&lt;/FQL&gt;&lt;FQL&gt;&lt;Q&gt;Ticker0024^FE_ESTIMATE(SALES,MEAN,ANNUAL_ROLL,2022,45860,,,'')&lt;/Q&gt;&lt;R&gt;1&lt;/R&gt;&lt;C&gt;1&lt;/C&gt;&lt;D xsi:type="xsd:double"&gt;198270&lt;/D&gt;&lt;/FQL&gt;&lt;FQL&gt;&lt;Q&gt;Ticker0024^FE_ESTIMATE(SALES,MEAN,QUARTERLY_ROLL,2022/4F,45860,,,'')&lt;/Q&gt;&lt;R&gt;1&lt;/R&gt;&lt;C&gt;1&lt;/C&gt;&lt;D xsi:type="xsd:double"&gt;51865&lt;/D&gt;&lt;/FQL&gt;&lt;FQL&gt;&lt;Q&gt;Ticker0024^FE_ESTIMATE(SALES,MEAN,QUARTERLY_ROLL,2022/3F,45860,,,'')&lt;/Q&gt;&lt;R&gt;1&lt;/R&gt;&lt;C&gt;1&lt;/C&gt;&lt;D xsi:type="xsd:double"&gt;49360&lt;/D&gt;&lt;/FQL&gt;&lt;FQL&gt;&lt;Q&gt;Ticker0024^FE_ESTIMATE(SALES,MEAN,QUARTERLY_ROLL,2022/2F,45860,,,'')&lt;/Q&gt;&lt;R&gt;1&lt;/R&gt;&lt;C&gt;1&lt;/C&gt;&lt;D xsi:type="xsd:double"&gt;51728&lt;/D&gt;&lt;/FQL&gt;&lt;FQL&gt;&lt;Q&gt;Ticker0024^FE_ESTIMATE(SALES,MEAN,QUARTERLY_ROLL,2022/1F,45860,,,'')&lt;/Q&gt;&lt;R&gt;1&lt;/R&gt;&lt;C&gt;1&lt;/C&gt;&lt;D xsi:type="xsd:double"&gt;45317&lt;/D&gt;&lt;/FQL&gt;&lt;FQL&gt;&lt;Q&gt;Ticker0024^FE_ESTIMATE(SALES,MEAN,ANNUAL_ROLL,2021,45860,,,'')&lt;/Q&gt;&lt;R&gt;1&lt;/R&gt;&lt;C&gt;1&lt;/C&gt;&lt;D xsi:type="xsd:double"&gt;168088&lt;/D&gt;&lt;/FQL&gt;&lt;FQL&gt;&lt;Q&gt;Ticker0024^FE_ESTIMATE(SALES,MEAN,QUARTERLY_ROLL,2021/4F,45860,,,'')&lt;/Q&gt;&lt;R&gt;1&lt;/R&gt;&lt;C&gt;1&lt;/C&gt;&lt;D xsi:type="xsd:double"&gt;46152&lt;/D&gt;&lt;/FQL&gt;&lt;FQL&gt;&lt;Q&gt;Ticker0024^FE_ESTIMATE(SALES,MEAN,QUARTERLY_ROLL,2021/3F,45860,,,'')&lt;/Q&gt;&lt;R&gt;1&lt;/R&gt;&lt;C&gt;1&lt;/C&gt;&lt;D xsi:type="xsd:double"&gt;41706&lt;/D&gt;&lt;/FQL&gt;&lt;FQL&gt;&lt;Q&gt;Ticker0024^FE_ESTIMATE(SALES,MEAN,QUARTERLY_ROLL,2021/2F,45860,,,'')&lt;/Q&gt;&lt;R&gt;1&lt;/R&gt;&lt;C&gt;1&lt;/C&gt;&lt;D xsi:type="xsd:double"&gt;43076&lt;/D&gt;&lt;/FQL&gt;&lt;FQL&gt;&lt;Q&gt;Ticker0024^FE_ESTIMATE(SALES,MEAN,QUARTERLY_ROLL,2021/1F,45860,,,'')&lt;/Q&gt;&lt;R&gt;1&lt;/R&gt;&lt;C&gt;1&lt;/C&gt;&lt;D xsi:type="xsd:double"&gt;37154&lt;/D&gt;&lt;/FQL&gt;&lt;FQL&gt;&lt;Q&gt;Ticker0024^FE_ESTIMATE(SALES,MEAN,ANNUAL_ROLL,2020,45860,,,'')&lt;/Q&gt;&lt;R&gt;1&lt;/R&gt;&lt;C&gt;1&lt;/C&gt;&lt;D xsi:type="xsd:double"&gt;143015&lt;/D&gt;&lt;/FQL&gt;&lt;FQL&gt;&lt;Q&gt;Ticker0024^FE_ESTIMATE(SALES,MEAN,QUARTERLY_ROLL,2020/4F,45860,,,'')&lt;/Q&gt;&lt;R&gt;1&lt;/R&gt;&lt;C&gt;1&lt;/C&gt;&lt;D xsi:type="xsd:double"&gt;38033&lt;/D&gt;&lt;/FQL&gt;&lt;FQL&gt;&lt;Q&gt;Ticker0024^FE_ESTIMATE(SALES,MEAN,QUARTERLY_ROLL,2020/3F,45860,,,'')&lt;/Q&gt;&lt;R&gt;1&lt;/R&gt;&lt;C&gt;1&lt;/C&gt;&lt;D xsi:type="xsd:double"&gt;35021&lt;/D&gt;&lt;/FQL&gt;&lt;FQL&gt;&lt;Q&gt;Ticker0024^FE_ESTIMATE(SALES,MEAN,QUARTERLY_ROLL,2020/2F,45860,,,'')&lt;/Q&gt;&lt;R&gt;1&lt;/R&gt;&lt;C&gt;1&lt;/C&gt;&lt;D xsi:type="xsd:double"&gt;36906&lt;/D&gt;&lt;/FQL&gt;&lt;FQL&gt;&lt;Q&gt;Ticker0024^FE_ESTIMATE(SALES,MEAN,QUARTERLY_ROLL,2020/1F,45860,,,'')&lt;/Q&gt;&lt;R&gt;1&lt;/R&gt;&lt;C&gt;1&lt;/C&gt;&lt;D xsi:type="xsd:double"&gt;33055&lt;/D&gt;&lt;/FQL&gt;&lt;FQL&gt;&lt;Q&gt;Ticker0024^FE_ESTIMATE(SALES,MEAN,ANNUAL_ROLL,2019,45860,,,'')&lt;/Q&gt;&lt;R&gt;1&lt;/R&gt;&lt;C&gt;1&lt;/C&gt;&lt;D xsi:type="xsd:double"&gt;125843&lt;/D&gt;&lt;/FQL&gt;&lt;FQL&gt;&lt;Q&gt;Ticker0024^FE_ESTIMATE(SALES,MEAN,QUARTERLY_ROLL,2019/4F,45860,,,'')&lt;/Q&gt;&lt;R&gt;1&lt;/R&gt;&lt;C&gt;1&lt;/C&gt;&lt;D xsi:type="xsd:double"&gt;33717&lt;/D&gt;&lt;/FQL&gt;&lt;FQL&gt;&lt;Q&gt;Ticker0024^FE_ESTIMATE(SALES,MEAN,QUARTERLY_ROLL,2019/3F,45860,,,'')&lt;/Q&gt;&lt;R&gt;1&lt;/R&gt;&lt;C&gt;1&lt;/C&gt;&lt;D xsi:type="xsd:double"&gt;30571&lt;/D&gt;&lt;/FQL&gt;&lt;FQL&gt;&lt;Q&gt;Ticker0024^FE_ESTIMATE(SALES,MEAN,QUARTERLY_ROLL,2019/2F,45860,,,'')&lt;/Q&gt;&lt;R&gt;1&lt;/R&gt;&lt;C&gt;1&lt;/C&gt;&lt;D xsi:type="xsd:double"&gt;32471&lt;/D&gt;&lt;/FQL&gt;&lt;FQL&gt;&lt;Q&gt;Ticker0024^FE_ESTIMATE(SALES,MEAN,QUARTERLY_ROLL,2019/1F,45860,,,'')&lt;/Q&gt;&lt;R&gt;1&lt;/R&gt;&lt;C&gt;1&lt;/C&gt;&lt;D xsi:type="xsd:double"&gt;29084&lt;/D&gt;&lt;/FQL&gt;&lt;FQL&gt;&lt;Q&gt;Ticker0024^FE_ESTIMATE(SALES,MEAN,ANNUAL_ROLL,2018,45860,,,'')&lt;/Q&gt;&lt;R&gt;1&lt;/R&gt;&lt;C&gt;1&lt;/C&gt;&lt;D xsi:type="xsd:double"&gt;110360&lt;/D&gt;&lt;/FQL&gt;&lt;FQL&gt;&lt;Q&gt;Ticker0024^FE_ESTIMATE(SALES,MEAN,QUARTERLY_ROLL,2018/4F,45860,,,'')&lt;/Q&gt;&lt;R&gt;1&lt;/R&gt;&lt;C&gt;1&lt;/C&gt;&lt;D xsi:type="xsd:double"&gt;30085&lt;/D&gt;&lt;/FQL&gt;&lt;FQL&gt;&lt;Q&gt;Ticker0024^FE_ESTIMATE(SALES,MEAN,QUARTERLY_ROLL,2018/3F,45860,,,'')&lt;/Q&gt;&lt;R&gt;1&lt;/R&gt;&lt;C&gt;1&lt;/C&gt;&lt;D xsi:type="xsd:double"&gt;26819&lt;/D&gt;&lt;/FQL&gt;&lt;FQL&gt;&lt;Q&gt;Ticker0024^FE_ESTIMATE(SALES,MEAN,QUARTERLY_ROLL,2018/2F,45860,,,'')&lt;/Q&gt;&lt;R&gt;1&lt;/R&gt;&lt;C&gt;1&lt;/C&gt;&lt;D xsi:type="xsd:double"&gt;28918&lt;/D&gt;&lt;/FQL&gt;&lt;FQL&gt;&lt;Q&gt;Ticker0024^FE_ESTIMATE(SALES,MEAN,QUARTERLY_ROLL,2018/1F,45860,,,'')&lt;/Q&gt;&lt;R&gt;1&lt;/R&gt;&lt;C&gt;1&lt;/C&gt;&lt;D xsi:type="xsd:double"&gt;24538&lt;/D&gt;&lt;/FQL&gt;&lt;FQL&gt;&lt;Q&gt;Ticker0024^FE_ESTIMATE(SALES,MEAN,ANNUAL_ROLL,2017,45860,,,'')&lt;/Q&gt;&lt;R&gt;1&lt;/R&gt;&lt;C&gt;1&lt;/C&gt;&lt;D xsi:type="xsd:double"&gt;96700&lt;/D&gt;&lt;/FQL&gt;&lt;FQL&gt;&lt;Q&gt;Ticker0024^FE_ESTIMATE(SALES,MEAN,QUARTERLY_ROLL,2017/4F,45860,,,'')&lt;/Q&gt;&lt;R&gt;1&lt;/R&gt;&lt;C&gt;1&lt;/C&gt;&lt;D xsi:type="xsd:double"&gt;24700&lt;/D&gt;&lt;/FQL&gt;&lt;FQL&gt;&lt;Q&gt;Ticker0024^FE_ESTIMATE(SALES,MEAN,QUARTERLY_ROLL,2017/3F,45860,,,'')&lt;/Q&gt;&lt;R&gt;1&lt;/R&gt;&lt;C&gt;1&lt;/C&gt;&lt;D xsi:type="xsd:double"&gt;23557&lt;/D&gt;&lt;/FQL&gt;&lt;FQL&gt;&lt;Q&gt;Ticker0024^FE_ESTIMATE(SALES,MEAN,QUARTERLY_ROLL,2017/2F,45860,,,'')&lt;/Q&gt;&lt;R&gt;1&lt;/R&gt;&lt;C&gt;1&lt;/C&gt;&lt;D xsi:type="xsd:double"&gt;26066&lt;/D&gt;&lt;/FQL&gt;&lt;FQL&gt;&lt;Q&gt;Ticker0024^FE_ESTIMATE(SALES,MEAN,QUARTERLY_ROLL,2017/1F,45860,,,'')&lt;/Q&gt;&lt;R&gt;1&lt;/R&gt;&lt;C&gt;1&lt;/C&gt;&lt;D xsi:type="xsd:double"&gt;22334&lt;/D&gt;&lt;/FQL&gt;&lt;FQL&gt;&lt;Q&gt;Ticker0024^FE_ESTIMATE(SALES,MEAN,ANNUAL_ROLL,2016,45860,,,'')&lt;/Q&gt;&lt;R&gt;1&lt;/R&gt;&lt;C&gt;1&lt;/C&gt;&lt;D xsi:type="xsd:double"&gt;92051.92&lt;/D&gt;&lt;/FQL&gt;&lt;FQL&gt;&lt;Q&gt;Ticker0024^FE_ESTIMATE(SALES,MEAN,QUARTERLY_ROLL,2016/4F,45860,,,'')&lt;/Q&gt;&lt;R&gt;1&lt;/R&gt;&lt;C&gt;1&lt;/C&gt;&lt;D xsi:type="xsd:double"&gt;22640.229&lt;/D&gt;&lt;/FQL&gt;&lt;FQL&gt;&lt;Q&gt;Ticker0024^FE_ESTIMATE(SALES,MEAN,QUARTERLY_ROLL,2016/3F,45860,,,'')&lt;/Q&gt;&lt;R&gt;1&lt;/R&gt;&lt;C&gt;1&lt;/C&gt;&lt;D xsi:type="xsd:double"&gt;22076&lt;/D&gt;&lt;/FQL&gt;&lt;FQL&gt;&lt;Q&gt;Ticker0024^FE_ESTIMATE(SALES,MEAN,QUARTERLY_ROLL,2016/2F,45860,,,'')&lt;/Q&gt;&lt;R&gt;1&lt;/R&gt;&lt;C&gt;1&lt;/C&gt;&lt;D xsi:type="xsd:double"&gt;25693&lt;/D&gt;&lt;/FQL&gt;&lt;FQL&gt;&lt;Q&gt;Ticker0024^FE_ESTIMATE(SALES,MEAN,QUARTERLY_ROLL,2016/1F,45860,,,'')&lt;/Q&gt;&lt;R&gt;1&lt;/R&gt;&lt;C&gt;1&lt;/C&gt;&lt;D xsi:type="xsd:double"&gt;21660&lt;/D&gt;&lt;/FQL&gt;&lt;FQL&gt;&lt;Q&gt;Ticker0024^FE_ESTIMATE(SALES,MEAN,ANNUAL_ROLL,2015,45860,,,'')&lt;/Q&gt;&lt;R&gt;1&lt;/R&gt;&lt;C&gt;1&lt;/C&gt;&lt;D xsi:type="xsd:double"&gt;93580&lt;/D&gt;&lt;/FQL&gt;&lt;FQL&gt;&lt;Q&gt;Ticker0024^FE_ESTIMATE(SALES,MEAN,QUARTERLY_ROLL,2015/4F,45860,,,'')&lt;/Q&gt;&lt;R&gt;1&lt;/R&gt;&lt;C&gt;1&lt;/C&gt;&lt;D xsi:type="xsd:double"&gt;22180&lt;/D&gt;&lt;/FQL&gt;&lt;FQL&gt;&lt;Q&gt;Ticker0024^FE_ESTIMATE(SALES,MEAN,QUARTERLY_ROLL,2015/3F,45860,,,'')&lt;/Q&gt;&lt;R&gt;1&lt;/R&gt;&lt;C&gt;1&lt;/C&gt;&lt;D xsi:type="xsd:double"&gt;21729&lt;/D&gt;&lt;/FQL&gt;&lt;FQL&gt;&lt;Q&gt;Ticker0024^FE_ESTIMATE(SALES,MEAN,QUARTERLY_ROLL,2015/2F,45860,,,'')&lt;/Q&gt;&lt;R&gt;1&lt;/R&gt;&lt;C&gt;1&lt;/C&gt;&lt;D xsi:type="xsd:double"&gt;26470&lt;/D&gt;&lt;/FQL&gt;&lt;FQL&gt;&lt;Q&gt;Ticker0024^FE_ESTIMATE(SALES,MEAN,QUARTERLY_ROLL,2015/1F,45860,,,'')&lt;/Q&gt;&lt;R&gt;1&lt;/R&gt;&lt;C&gt;1&lt;/C&gt;&lt;D xsi:type="xsd:double"&gt;23201&lt;/D&gt;&lt;/FQL&gt;&lt;FQL&gt;&lt;Q&gt;Ticker0024^FE_ESTIMATE(PRODLINE_SALES_17,MEAN,ANNUAL_ROLL,2030,45860,,,'')&lt;/Q&gt;&lt;R&gt;0&lt;/R&gt;&lt;C&gt;0&lt;/C&gt;&lt;/FQL&gt;&lt;FQL&gt;&lt;Q&gt;Ticker0024^FE_ESTIMATE(PRODLINE_SALES_17,MEAN,QUARTERLY_ROLL,2030/4F,45860,,,'')&lt;/Q&gt;&lt;R&gt;0&lt;/R&gt;&lt;C&gt;0&lt;/C&gt;&lt;/FQL&gt;&lt;FQL&gt;&lt;Q&gt;Ticker0024^FE_ESTIMATE(PRODLINE_SALES_17,MEAN,QUARTERLY_ROLL,2030/3F,45860,,,'')&lt;/Q&gt;&lt;R&gt;0&lt;/R&gt;&lt;C&gt;0&lt;/C&gt;&lt;/FQL&gt;&lt;FQL&gt;&lt;Q&gt;Ticker0024^FE_ESTIMATE(PRODLINE_SALES_17,MEAN,QUARTERLY_ROLL,2030/2F,45860,,,'')&lt;/Q&gt;&lt;R&gt;0&lt;/R&gt;&lt;C&gt;0&lt;/C&gt;&lt;/FQL&gt;&lt;FQL&gt;&lt;Q&gt;Ticker0024^FE_ESTIMATE(PRODLINE_SALES_17,MEAN,QUARTERLY_ROLL,2030/1F,45860,,,'')&lt;/Q&gt;&lt;R&gt;0&lt;/R&gt;&lt;C&gt;0&lt;/C&gt;&lt;/FQL&gt;&lt;FQL&gt;&lt;Q&gt;Ticker0024^FE_ESTIMATE(PRODLINE_SALES_17,MEAN,ANNUAL_ROLL,2029,45860,,,'')&lt;/Q&gt;&lt;R&gt;0&lt;/R&gt;&lt;C&gt;0&lt;/C&gt;&lt;/FQL&gt;&lt;FQL&gt;&lt;Q&gt;Ticker0024^FE_ESTIMATE(PRODLINE_SALES_17,MEAN,QUARTERLY_ROLL,2029/4F,45860,,,'')&lt;/Q&gt;&lt;R&gt;0&lt;/R&gt;&lt;C&gt;0&lt;/C&gt;&lt;/FQL&gt;&lt;FQL&gt;&lt;Q&gt;Ticker0024^FE_ESTIMATE(PRODLINE_SALES_17,MEAN,QUARTERLY_ROLL,2029/3F,45860,,,'')&lt;/Q&gt;&lt;R&gt;0&lt;/R&gt;&lt;C&gt;0&lt;/C&gt;&lt;/FQL&gt;&lt;FQL&gt;&lt;Q&gt;Ticker0024^FE_ESTIMATE(PRODLINE_SALES_17,MEAN,QUARTERLY_ROLL,2029/2F,45860,,,'')&lt;/Q&gt;&lt;R&gt;0&lt;/R&gt;&lt;C&gt;0&lt;/C&gt;&lt;/FQL&gt;&lt;FQL&gt;&lt;Q&gt;Ticker0024^FE_ESTIMATE(PRODLINE_SALES_17,MEAN,QUARTERLY_ROLL,2029/1F,45860,,,'')&lt;/Q&gt;&lt;R&gt;0&lt;/R&gt;&lt;C&gt;0&lt;/C&gt;&lt;/FQL&gt;&lt;FQL&gt;&lt;Q&gt;Ticker0024^FE_ESTIMATE(PRODLINE_SALES_17,MEAN,ANNUAL_ROLL,2028,45860,,,'')&lt;/Q&gt;&lt;R&gt;1&lt;/R&gt;&lt;C&gt;1&lt;/C&gt;&lt;D xsi:type="xsd:double"&gt;60609&lt;/D&gt;&lt;/FQL&gt;&lt;FQL&gt;&lt;Q&gt;Ticker0024^FE_ESTIMATE(PRODLINE_SALES_17,MEAN,QUARTERLY_ROLL,2028/4F,45860,,,'')&lt;/Q&gt;&lt;R&gt;0&lt;/R&gt;&lt;C&gt;0&lt;/C&gt;&lt;/FQL&gt;&lt;FQL&gt;&lt;Q&gt;Ticker0024^FE_ESTIMATE(PRODLINE_SALES_17,MEAN,QUARTERLY_ROLL,2028/3F,45860,,,'')&lt;/Q&gt;&lt;R&gt;0&lt;/R&gt;&lt;C&gt;0&lt;/C&gt;&lt;/FQL&gt;&lt;FQL&gt;&lt;Q&gt;Ticker0024^FE_ESTIMATE(PRODLINE_SALES_17,MEAN,QUARTERLY_ROLL,2028/2F,45860,,,'')&lt;/Q&gt;&lt;R&gt;0&lt;/R&gt;&lt;C&gt;0&lt;/C&gt;&lt;/FQL&gt;&lt;FQL&gt;&lt;Q&gt;Ticker0024^FE_ESTIMATE(PRODLINE_SALES_17,MEAN,QUARTERLY_ROLL,2028/1F,45860,,,'')&lt;/Q&gt;&lt;R&gt;0&lt;/R&gt;&lt;C&gt;0&lt;/C&gt;&lt;/FQL&gt;&lt;FQL&gt;&lt;Q&gt;Ticker0024^FE_ESTIMATE(PRODLINE_SALES_17,MEAN,ANNUAL_ROLL,2027,45860,,,'')&lt;/Q&gt;&lt;R&gt;1&lt;/R&gt;&lt;C&gt;1&lt;/C&gt;&lt;D xsi:type="xsd:double"&gt;58402.688&lt;/D&gt;&lt;/FQL&gt;&lt;FQL&gt;&lt;Q&gt;Ticker0024^FE_ESTIMATE(PRODLINE_SALES_17,MEAN,QUARTERLY_ROLL,2027/4F,45860,,,'')&lt;/Q&gt;&lt;R&gt;1&lt;/R&gt;&lt;C&gt;1&lt;/C&gt;&lt;D xsi:type="xsd:double"&gt;14741.333&lt;/D&gt;&lt;/FQL&gt;&lt;FQL&gt;&lt;Q&gt;Ticker0024^FE_ESTIMATE(PRODLINE_SALES_17,MEAN,QUARTERLY_ROLL,2027/3F,45860,,,'')&lt;/Q&gt;&lt;R&gt;1&lt;/R&gt;&lt;C&gt;1&lt;/C&gt;&lt;D xsi:type="xsd:double"&gt;15151.333&lt;/D&gt;&lt;/FQL&gt;&lt;FQL&gt;&lt;Q&gt;Ticker0024^FE_ESTIMATE(PRODLINE_SALES_17,MEAN,QUARTERLY_ROLL,2027/2F,45860,,,'')&lt;/Q&gt;&lt;R&gt;1&lt;/R&gt;&lt;C&gt;1&lt;/C&gt;&lt;D xsi:type="xsd:double"&gt;16374.75&lt;/D&gt;&lt;/FQL&gt;&lt;FQL&gt;&lt;Q&gt;Ticker0024^FE_ESTIMATE(PRODLINE_SALES_17,MEAN,QUARTERLY_ROLL,2027/1F,45860,,,'')&lt;/Q&gt;&lt;R&gt;1&lt;/R&gt;&lt;C&gt;1&lt;/C&gt;&lt;D xsi:type="xsd:double"&gt;14580.5&lt;/D&gt;&lt;/FQL&gt;&lt;FQL&gt;&lt;Q&gt;Ticker0024^FE_ESTIMATE(PRODLINE_SALES_17,MEAN,ANNUAL_ROLL,2026,45860,,,'')&lt;/Q&gt;&lt;R&gt;1&lt;/R&gt;&lt;C&gt;1&lt;/C&gt;&lt;D xsi:type="xsd:double"&gt;55907.535&lt;/D&gt;&lt;/FQL&gt;&lt;FQL&gt;&lt;Q&gt;Ticker0024^FE_ESTIMATE(PRODLINE_SALES_17,MEAN,QUARTERLY_ROLL,2026/4F,45860,,,'')&lt;/Q&gt;&lt;R&gt;1&lt;/R&gt;&lt;C&gt;1&lt;/C&gt;&lt;D xsi:type="xsd:double"&gt;13377.267&lt;/D&gt;&lt;/FQL&gt;&lt;FQL&gt;&lt;Q&gt;Ticker0024^FE_ESTIMATE(PRODLINE_SALES_17,MEAN,QUARTERLY_ROLL,2026/3F,45860,,,'')&lt;/Q&gt;&lt;R&gt;1&lt;/R&gt;&lt;C&gt;1&lt;/C&gt;&lt;D xsi:type="xsd:double"&gt;14017.866&lt;/D&gt;&lt;/FQL&gt;&lt;FQL&gt;&lt;Q&gt;Ticker0024^FE_ESTIMATE(PRODLINE_SALES_17,MEAN,QUARTERLY_ROLL,2026/2F,45860,,,'')&lt;/Q&gt;&lt;R&gt;1&lt;/R&gt;&lt;C&gt;1&lt;/C&gt;&lt;D xsi:type="xsd:double"&gt;15170.1875&lt;/D&gt;&lt;/FQL&gt;&lt;FQL&gt;&lt;Q&gt;Ticker0024^FE_ESTIMATE(PRODLINE_SALES_17,MEAN,QUARTERLY_ROLL,2026/1F,45860,,,'')&lt;/Q&gt;&lt;R&gt;1&lt;/R&gt;&lt;C&gt;1&lt;/C&gt;&lt;D xsi:type="xsd:double"&gt;13483.526&lt;/D&gt;&lt;/FQL&gt;&lt;FQL&gt;&lt;Q&gt;Ticker0024^FE_ESTIMATE(PRODLINE_SALES_17,MEAN,ANNUAL_ROLL,2025,45860,,,'')&lt;/Q&gt;&lt;R&gt;1&lt;/R&gt;&lt;C&gt;1&lt;/C&gt;&lt;D xsi:type="xsd:double"&gt;53864.6&lt;/D&gt;&lt;/FQL&gt;&lt;FQL&gt;&lt;Q&gt;Ticker0024^FE_ESTIMATE(PRODLINE_SALES_17,MEAN,QUARTERLY_ROLL,2025/4F,45860,,,'')&lt;/Q&gt;&lt;R&gt;1&lt;/R&gt;&lt;C&gt;1&lt;/C&gt;&lt;D xsi:type="xsd:double"&gt;12669.814&lt;/D&gt;&lt;/FQL&gt;&lt;FQL&gt;&lt;Q&gt;Ticker0024^FE_ESTIMATE(PRODLINE_SALES_17,MEAN,QUARTERLY_ROLL,2025/3F,45860,,,'')&lt;/Q&gt;&lt;R&gt;1&lt;/R&gt;&lt;C&gt;1&lt;/C&gt;&lt;D xsi:type="xsd:double"&gt;13371&lt;/D&gt;&lt;/FQL&gt;&lt;FQL&gt;&lt;Q&gt;Ticker0024^FE_ESTIMATE(PRODLINE_SALES_17,MEAN,QUARTERLY_ROLL,2025/2F,45860,,,'')&lt;/Q&gt;&lt;R&gt;1&lt;/R&gt;&lt;C&gt;1&lt;/C&gt;&lt;D xsi:type="xsd:double"&gt;14651&lt;/D&gt;&lt;/FQL&gt;&lt;FQL&gt;&lt;Q&gt;Ticker0024^FE_ESTIMATE(PRODLINE_SALES_17,MEAN,QUARTERLY_ROLL,2025/1F,45860,,,'')&lt;/Q&gt;&lt;R&gt;1&lt;/R&gt;&lt;C&gt;1&lt;/C&gt;&lt;D xsi:type="xsd:double"&gt;13176&lt;/D&gt;&lt;/FQL&gt;&lt;FQL&gt;&lt;Q&gt;Ticker0024^FE_ESTIMATE(PRODLINE_SALES_17,MEAN,ANNUAL_ROLL,2024,45860,,,'')&lt;/Q&gt;&lt;R&gt;1&lt;/R&gt;&lt;C&gt;1&lt;/C&gt;&lt;D xsi:type="xsd:double"&gt;62032&lt;/D&gt;&lt;/FQL&gt;&lt;FQL&gt;&lt;Q&gt;Ticker0024^FE_ESTIMATE(PRODLINE_SALES_17,MEAN,QUARTERLY_ROLL,2024/4F,45860,,,'')&lt;/Q&gt;&lt;R&gt;1&lt;/R&gt;&lt;C&gt;1&lt;/C&gt;&lt;D xsi:type="xsd:double"&gt;15895&lt;/D&gt;&lt;/FQL&gt;&lt;FQL&gt;&lt;Q&gt;Ticker0024^FE_ESTIMATE(PRODLINE_SALES_17,MEAN,QUARTERLY_ROLL,2024/3F,45860,,,'')&lt;/Q&gt;&lt;R&gt;1&lt;/R&gt;&lt;C&gt;1&lt;/C&gt;&lt;D xsi:type="xsd:double"&gt;15580&lt;/D&gt;&lt;/FQL&gt;&lt;FQL&gt;&lt;Q&gt;Ticker0024^FE_ESTIMATE(PRODLINE_SALES_17,MEAN,QUARTERLY_ROLL,2024/2F,45860,,,'')&lt;/Q&gt;&lt;R&gt;1&lt;/R&gt;&lt;C&gt;1&lt;/C&gt;&lt;D xsi:type="xsd:double"&gt;16891&lt;/D&gt;&lt;/FQL&gt;&lt;FQL&gt;&lt;Q&gt;Ticker0024^FE_ESTIMATE(PRODLINE_SALES_17,MEAN,QUARTERLY_ROLL,2024/1F,45860,,,'')&lt;/Q&gt;&lt;R&gt;1&lt;/R&gt;&lt;C&gt;1&lt;/C&gt;&lt;D xsi:type="xsd:double"&gt;13666&lt;/D&gt;&lt;/FQL&gt;&lt;FQL&gt;&lt;Q&gt;Ticker0024^FE_ESTIMATE(PRODLINE_SALES_17,MEAN,ANNUAL_ROLL,2023,45860,,,'')&lt;/Q&gt;&lt;R&gt;1&lt;/R&gt;&lt;C&gt;1&lt;/C&gt;&lt;D xsi:type="xsd:double"&gt;54732.273&lt;/D&gt;&lt;/FQL&gt;&lt;FQL&gt;&lt;Q&gt;Ticker0024^FE_ESTIMATE(PRODLINE_SALES_17,MEAN,QUARTERLY_ROLL,2023/4F,45860,,,'')&lt;/Q&gt;&lt;R&gt;1&lt;/R&gt;&lt;C&gt;1&lt;/C&gt;&lt;D xsi:type="xsd:double"&gt;13905&lt;/D&gt;&lt;/FQL&gt;&lt;FQL&gt;&lt;Q&gt;Ticker0024^FE_ESTIMATE(PRODLINE_SALES_17,MEAN,QUARTERLY_ROLL,2023/3F,45860,,,'')&lt;/Q&gt;&lt;R&gt;1&lt;/R&gt;&lt;C&gt;1&lt;/C&gt;&lt;D xsi:type="xsd:double"&gt;13260&lt;/D&gt;&lt;/FQL&gt;&lt;FQL&gt;&lt;Q&gt;Ticker0024^FE_ESTIMATE(PRODLINE_SALES_17,MEAN,QUARTERLY_ROLL,2023/2F,45860,,,'')&lt;/Q&gt;&lt;R&gt;1&lt;/R&gt;&lt;C&gt;1&lt;/C&gt;&lt;D xsi:type="xsd:double"&gt;14237&lt;/D&gt;&lt;/FQL&gt;&lt;FQL&gt;&lt;Q&gt;Ticker0024^FE_ESTIMATE(PRODLINE_SALES_17,MEAN,QUARTERLY_ROLL,2023/1F,45860,,,'')&lt;/Q&gt;&lt;R&gt;1&lt;/R&gt;&lt;C&gt;1&lt;/C&gt;&lt;D xsi:type="xsd:double"&gt;13332&lt;/D&gt;&lt;/FQL&gt;&lt;FQL&gt;&lt;Q&gt;Ticker0024^FE_ESTIMATE(PRODLINE_SALES_17,MEAN,ANNUAL_ROLL,2022,45860,,,'')&lt;/Q&gt;&lt;R&gt;1&lt;/R&gt;&lt;C&gt;1&lt;/C&gt;&lt;D xsi:type="xsd:double"&gt;59655&lt;/D&gt;&lt;/FQL&gt;&lt;FQL&gt;&lt;Q&gt;Ticker0024^FE_ESTIMATE(PRODLINE_SALES_17,MEAN,QUARTERLY_ROLL,2022/4F,45860,,,'')&lt;/Q&gt;&lt;R&gt;1&lt;/R&gt;&lt;C&gt;</t>
        </r>
      </text>
    </comment>
    <comment ref="A68" authorId="0" shapeId="0" xr:uid="{66441149-8A8B-4811-9C38-FCE2DC35DE5D}">
      <text>
        <r>
          <rPr>
            <b/>
            <sz val="9"/>
            <color indexed="81"/>
            <rFont val="Tahoma"/>
            <family val="2"/>
          </rPr>
          <t>Author:type="xsd:double"&gt;14356&lt;/D&gt;&lt;/FQL&gt;&lt;FQL&gt;&lt;Q&gt;Ticker0024^FE_ESTIMATE(PRODLINE_SALES_17,MEAN,QUARTERLY_ROLL,2022/3F,45860,,,'')&lt;/Q&gt;&lt;R&gt;1&lt;/R&gt;&lt;C&gt;1&lt;/C&gt;&lt;D xsi:type="xsd:double"&gt;14520&lt;/D&gt;&lt;/FQL&gt;&lt;FQL&gt;&lt;Q&gt;Ticker0024^FE_ESTIMATE(PRODLINE_SALES_17,MEAN,QUARTERLY_ROLL,2022/2F,45860,,,'')&lt;/Q&gt;&lt;R&gt;1&lt;/R&gt;&lt;C&gt;1&lt;/C&gt;&lt;D xsi:type="xsd:double"&gt;17465&lt;/D&gt;&lt;/FQL&gt;&lt;FQL&gt;&lt;Q&gt;Ticker0024^FE_ESTIMATE(PRODLINE_SALES_17,MEAN,QUARTERLY_ROLL,2022/1F,45860,,,'')&lt;/Q&gt;&lt;R&gt;1&lt;/R&gt;&lt;C&gt;1&lt;/C&gt;&lt;D xsi:type="xsd:double"&gt;13314&lt;/D&gt;&lt;/FQL&gt;&lt;FQL&gt;&lt;Q&gt;Ticker0024^FE_ESTIMATE(PRODLINE_SALES_17,MEAN,ANNUAL_ROLL,2021,45860,,,'')&lt;/Q&gt;&lt;R&gt;1&lt;/R&gt;&lt;C&gt;1&lt;/C&gt;&lt;D xsi:type="xsd:double"&gt;54093&lt;/D&gt;&lt;/FQL&gt;&lt;FQL&gt;&lt;Q&gt;Ticker0024^FE_ESTIMATE(PRODLINE_SALES_17,MEAN,QUARTERLY_ROLL,2021/4F,45860,,,'')&lt;/Q&gt;&lt;R&gt;1&lt;/R&gt;&lt;C&gt;1&lt;/C&gt;&lt;D xsi:type="xsd:double"&gt;14086&lt;/D&gt;&lt;/FQL&gt;&lt;FQL&gt;&lt;Q&gt;Ticker0024^FE_ESTIMATE(PRODLINE_SALES_17,MEAN,QUARTERLY_ROLL,2021/3F,45860,,,'')&lt;/Q&gt;&lt;R&gt;1&lt;/R&gt;&lt;C&gt;1&lt;/C&gt;&lt;D xsi:type="xsd:double"&gt;13036&lt;/D&gt;&lt;/FQL&gt;&lt;FQL&gt;&lt;Q&gt;Ticker0024^FE_ESTIMATE(PRODLINE_SALES_17,MEAN,QUARTERLY_ROLL,2021/2F,45860,,,'')&lt;/Q&gt;&lt;R&gt;1&lt;/R&gt;&lt;C&gt;1&lt;/C&gt;&lt;D xsi:type="xsd:double"&gt;15122&lt;/D&gt;&lt;/FQL&gt;&lt;FQL&gt;&lt;Q&gt;Ticker0024^FE_ESTIMATE(PRODLINE_SALES_17,MEAN,QUARTERLY_ROLL,2021/1F,45860,,,'')&lt;/Q&gt;&lt;R&gt;1&lt;/R&gt;&lt;C&gt;1&lt;/C&gt;&lt;D xsi:type="xsd:double"&gt;11849&lt;/D&gt;&lt;/FQL&gt;&lt;FQL&gt;&lt;Q&gt;Ticker0024^FE_ESTIMATE(PRODLINE_SALES_17,MEAN,ANNUAL_ROLL,2020,45860,,,'')&lt;/Q&gt;&lt;R&gt;1&lt;/R&gt;&lt;C&gt;1&lt;/C&gt;&lt;D xsi:type="xsd:double"&gt;48251&lt;/D&gt;&lt;/FQL&gt;&lt;FQL&gt;&lt;Q&gt;Ticker0024^FE_ESTIMATE(PRODLINE_SALES_17,MEAN,QUARTERLY_ROLL,2020/4F,45860,,,'')&lt;/Q&gt;&lt;R&gt;1&lt;/R&gt;&lt;C&gt;1&lt;/C&gt;&lt;D xsi:type="xsd:double"&gt;12910&lt;/D&gt;&lt;/FQL&gt;&lt;FQL&gt;&lt;Q&gt;Ticker0024^FE_ESTIMATE(PRODLINE_SALES_17,MEAN,QUARTERLY_ROLL,2020/3F,45860,,,'')&lt;/Q&gt;&lt;R&gt;1&lt;/R&gt;&lt;C&gt;1&lt;/C&gt;&lt;D xsi:type="xsd:double"&gt;10997&lt;/D&gt;&lt;/FQL&gt;&lt;FQL&gt;&lt;Q&gt;Ticker0024^FE_ESTIMATE(PRODLINE_SALES_17,MEAN,QUARTERLY_ROLL,2020/2F,45860,,,'')&lt;/Q&gt;&lt;R&gt;1&lt;/R&gt;&lt;C&gt;1&lt;/C&gt;&lt;D xsi:type="xsd:double"&gt;13211&lt;/D&gt;&lt;/FQL&gt;&lt;FQL&gt;&lt;Q&gt;Ticker0024^FE_ESTIMATE(PRODLINE_SALES_17,MEAN,QUARTERLY_ROLL,2020/1F,45860,,,'')&lt;/Q&gt;&lt;R&gt;1&lt;/R&gt;&lt;C&gt;1&lt;/C&gt;&lt;D xsi:type="xsd:double"&gt;11133&lt;/D&gt;&lt;/FQL&gt;&lt;FQL&gt;&lt;Q&gt;Ticker0024^FE_ESTIMATE(PRODLINE_SALES_17,MEAN,ANNUAL_ROLL,2019,45860,,,'')&lt;/Q&gt;&lt;R&gt;1&lt;/R&gt;&lt;C&gt;1&lt;/C&gt;&lt;D xsi:type="xsd:double"&gt;45698&lt;/D&gt;&lt;/FQL&gt;&lt;FQL&gt;&lt;Q&gt;Ticker0024^FE_ESTIMATE(PRODLINE_SALES_17,MEAN,QUARTERLY_ROLL,2019/4F,45860,,,'')&lt;/Q&gt;&lt;R&gt;1&lt;/R&gt;&lt;C&gt;1&lt;/C&gt;&lt;D xsi:type="xsd:double"&gt;11279&lt;/D&gt;&lt;/FQL&gt;&lt;FQL&gt;&lt;Q&gt;Ticker0024^FE_ESTIMATE(PRODLINE_SALES_17,MEAN,QUARTERLY_ROLL,2019/3F,45860,,,'')&lt;/Q&gt;&lt;R&gt;1&lt;/R&gt;&lt;C&gt;1&lt;/C&gt;&lt;D xsi:type="xsd:double"&gt;10680&lt;/D&gt;&lt;/FQL&gt;&lt;FQL&gt;&lt;Q&gt;Ticker0024^FE_ESTIMATE(PRODLINE_SALES_17,MEAN,QUARTERLY_ROLL,2019/2F,45860,,,'')&lt;/Q&gt;&lt;R&gt;1&lt;/R&gt;&lt;C&gt;1&lt;/C&gt;&lt;D xsi:type="xsd:double"&gt;12993&lt;/D&gt;&lt;/FQL&gt;&lt;FQL&gt;&lt;Q&gt;Ticker0024^FE_ESTIMATE(PRODLINE_SALES_17,MEAN,QUARTERLY_ROLL,2019/1F,45860,,,'')&lt;/Q&gt;&lt;R&gt;1&lt;/R&gt;&lt;C&gt;1&lt;/C&gt;&lt;D xsi:type="xsd:double"&gt;10746&lt;/D&gt;&lt;/FQL&gt;&lt;FQL&gt;&lt;Q&gt;Ticker0024^FE_ESTIMATE(PRODLINE_SALES_17,MEAN,ANNUAL_ROLL,2018,45860,,,'')&lt;/Q&gt;&lt;R&gt;1&lt;/R&gt;&lt;C&gt;1&lt;/C&gt;&lt;D xsi:type="xsd:double"&gt;42276&lt;/D&gt;&lt;/FQL&gt;&lt;FQL&gt;&lt;Q&gt;Ticker0024^FE_ESTIMATE(PRODLINE_SALES_17,MEAN,QUARTERLY_ROLL,2018/4F,45860,,,'')&lt;/Q&gt;&lt;R&gt;1&lt;/R&gt;&lt;C&gt;1&lt;/C&gt;&lt;D xsi:type="xsd:double"&gt;10811&lt;/D&gt;&lt;/FQL&gt;&lt;FQL&gt;&lt;Q&gt;Ticker0024^FE_ESTIMATE(PRODLINE_SALES_17,MEAN,QUARTERLY_ROLL,2018/3F,45860,,,'')&lt;/Q&gt;&lt;R&gt;1&lt;/R&gt;&lt;C&gt;1&lt;/C&gt;&lt;D xsi:type="xsd:double"&gt;9917&lt;/D&gt;&lt;/FQL&gt;&lt;FQL&gt;&lt;Q&gt;Ticker0024^FE_ESTIMATE(PRODLINE_SALES_17,MEAN,QUARTERLY_ROLL,2018/2F,45860,,,'')&lt;/Q&gt;&lt;R&gt;1&lt;/R&gt;&lt;C&gt;1&lt;/C&gt;&lt;D xsi:type="xsd:double"&gt;12170&lt;/D&gt;&lt;/FQL&gt;&lt;FQL&gt;&lt;Q&gt;Ticker0024^FE_ESTIMATE(PRODLINE_SALES_17,MEAN,QUARTERLY_ROLL,2018/1F,45860,,,'')&lt;/Q&gt;&lt;R&gt;1&lt;/R&gt;&lt;C&gt;1&lt;/C&gt;&lt;D xsi:type="xsd:double"&gt;9378&lt;/D&gt;&lt;/FQL&gt;&lt;FQL&gt;&lt;Q&gt;Ticker0024^FE_ESTIMATE(PRODLINE_SALES_17,MEAN,ANNUAL_ROLL,2017,45860,,,'')&lt;/Q&gt;&lt;R&gt;1&lt;/R&gt;&lt;C&gt;1&lt;/C&gt;&lt;D xsi:type="xsd:double"&gt;38773&lt;/D&gt;&lt;/FQL&gt;&lt;FQL&gt;&lt;Q&gt;Ticker0024^FE_ESTIMATE(PRODLINE_SALES_17,MEAN,QUARTERLY_ROLL,2017/4F,45860,,,'')&lt;/Q&gt;&lt;R&gt;1&lt;/R&gt;&lt;C&gt;1&lt;/C&gt;&lt;D xsi:type="xsd:double"&gt;8820&lt;/D&gt;&lt;/FQL&gt;&lt;FQL&gt;&lt;Q&gt;Ticker0024^FE_ESTIMATE(PRODLINE_SALES_17,MEAN,QUARTERLY_ROLL,2017/3F,45860,,,'')&lt;/Q&gt;&lt;R&gt;1&lt;/R&gt;&lt;C&gt;1&lt;/C&gt;&lt;D xsi:type="xsd:double"&gt;8836&lt;/D&gt;&lt;/FQL&gt;&lt;FQL&gt;&lt;Q&gt;Ticker0024^FE_ESTIMATE(PRODLINE_SALES_17,MEAN,QUARTERLY_ROLL,2017/2F,45860,,,'')&lt;/Q&gt;&lt;R&gt;1&lt;/R&gt;&lt;C&gt;1&lt;/C&gt;&lt;D xsi:type="xsd:double"&gt;11823&lt;/D&gt;&lt;/FQL&gt;&lt;FQL&gt;&lt;Q&gt;Ticker0024^FE_ESTIMATE(PRODLINE_SALES_17,MEAN,QUARTERLY_ROLL,2017/1F,45860,,,'')&lt;/Q&gt;&lt;R&gt;1&lt;/R&gt;&lt;C&gt;1&lt;/C&gt;&lt;D xsi:type="xsd:double"&gt;9294&lt;/D&gt;&lt;/FQL&gt;&lt;FQL&gt;&lt;Q&gt;Ticker0024^FE_ESTIMATE(PRODLINE_SALES_17,MEAN,ANNUAL_ROLL,2016,45860,,,'')&lt;/Q&gt;&lt;R&gt;1&lt;/R&gt;&lt;C&gt;1&lt;/C&gt;&lt;D xsi:type="xsd:double"&gt;40460&lt;/D&gt;&lt;/FQL&gt;&lt;FQL&gt;&lt;Q&gt;Ticker0024^FE_ESTIMATE(PRODLINE_SALES_17,MEAN,QUARTERLY_ROLL,2016/4F,45860,,,'')&lt;/Q&gt;&lt;R&gt;1&lt;/R&gt;&lt;C&gt;1&lt;/C&gt;&lt;D xsi:type="xsd:double"&gt;8897&lt;/D&gt;&lt;/FQL&gt;&lt;FQL&gt;&lt;Q&gt;Ticker0024^FE_ESTIMATE(PRODLINE_SALES_17,MEAN,QUARTERLY_ROLL,2016/3F,45860,,,'')&lt;/Q&gt;&lt;R&gt;1&lt;/R&gt;&lt;C&gt;1&lt;/C&gt;&lt;D xsi:type="xsd:double"&gt;9458&lt;/D&gt;&lt;/FQL&gt;&lt;FQL&gt;&lt;Q&gt;Ticker0024^FE_ESTIMATE(PRODLINE_SALES_17,MEAN,QUARTERLY_ROLL,2016/2F,45860,,,'')&lt;/Q&gt;&lt;R&gt;1&lt;/R&gt;&lt;C&gt;1&lt;/C&gt;&lt;D xsi:type="xsd:double"&gt;12660&lt;/D&gt;&lt;/FQL&gt;&lt;FQL&gt;&lt;Q&gt;Ticker0024^FE_ESTIMATE(PRODLINE_SALES_17,MEAN,QUARTERLY_ROLL,2016/1F,45860,,,'')&lt;/Q&gt;&lt;R&gt;1&lt;/R&gt;&lt;C&gt;1&lt;/C&gt;&lt;D xsi:type="xsd:double"&gt;9381&lt;/D&gt;&lt;/FQL&gt;&lt;FQL&gt;&lt;Q&gt;Ticker0024^FE_ESTIMATE(PRODLINE_SALES_17,MEAN,ANNUAL_ROLL,2015,45860,,,'')&lt;/Q&gt;&lt;R&gt;0&lt;/R&gt;&lt;C&gt;0&lt;/C&gt;&lt;/FQL&gt;&lt;FQL&gt;&lt;Q&gt;Ticker0024^FE_ESTIMATE(PRODLINE_SALES_17,MEAN,QUARTERLY_ROLL,2015/4F,45860,,,'')&lt;/Q&gt;&lt;R&gt;0&lt;/R&gt;&lt;C&gt;0&lt;/C&gt;&lt;/FQL&gt;&lt;FQL&gt;&lt;Q&gt;Ticker0024^FE_ESTIMATE(PRODLINE_SALES_17,MEAN,QUARTERLY_ROLL,2015/3F,45860,,,'')&lt;/Q&gt;&lt;R&gt;0&lt;/R&gt;&lt;C&gt;0&lt;/C&gt;&lt;/FQL&gt;&lt;FQL&gt;&lt;Q&gt;Ticker0024^FE_ESTIMATE(PRODLINE_SALES_17,MEAN,QUARTERLY_ROLL,2015/2F,45860,,,'')&lt;/Q&gt;&lt;R&gt;0&lt;/R&gt;&lt;C&gt;0&lt;/C&gt;&lt;/FQL&gt;&lt;FQL&gt;&lt;Q&gt;Ticker0024^FE_ESTIMATE(PRODLINE_SALES_17,MEAN,QUARTERLY_ROLL,2015/1F,45860,,,'')&lt;/Q&gt;&lt;R&gt;0&lt;/R&gt;&lt;C&gt;0&lt;/C&gt;&lt;/FQL&gt;&lt;FQL&gt;&lt;Q&gt;Ticker0024^FE_ESTIMATE(PRODLINE_SALES_16,MEAN,ANNUAL_ROLL,2030,45860,,,'')&lt;/Q&gt;&lt;R&gt;0&lt;/R&gt;&lt;C&gt;0&lt;/C&gt;&lt;/FQL&gt;&lt;FQL&gt;&lt;Q&gt;Ticker0024^FE_ESTIMATE(PRODLINE_SALES_16,MEAN,QUARTERLY_ROLL,2030/4F,45860,,,'')&lt;/Q&gt;&lt;R&gt;0&lt;/R&gt;&lt;C&gt;0&lt;/C&gt;&lt;/FQL&gt;&lt;FQL&gt;&lt;Q&gt;Ticker0024^FE_ESTIMATE(PRODLINE_SALES_16,MEAN,QUARTERLY_ROLL,2030/3F,45860,,,'')&lt;/Q&gt;&lt;R&gt;0&lt;/R&gt;&lt;C&gt;0&lt;/C&gt;&lt;/FQL&gt;&lt;FQL&gt;&lt;Q&gt;Ticker0024^FE_ESTIMATE(PRODLINE_SALES_16,MEAN,QUARTERLY_ROLL,2030/2F,45860,,,'')&lt;/Q&gt;&lt;R&gt;0&lt;/R&gt;&lt;C&gt;0&lt;/C&gt;&lt;/FQL&gt;&lt;FQL&gt;&lt;Q&gt;Ticker0024^FE_ESTIMATE(PRODLINE_SALES_16,MEAN,QUARTERLY_ROLL,2030/1F,45860,,,'')&lt;/Q&gt;&lt;R&gt;0&lt;/R&gt;&lt;C&gt;0&lt;/C&gt;&lt;/FQL&gt;&lt;FQL&gt;&lt;Q&gt;Ticker0024^FE_ESTIMATE(PRODLINE_SALES_16,MEAN,ANNUAL_ROLL,2029,45860,,,'')&lt;/Q&gt;&lt;R&gt;0&lt;/R&gt;&lt;C&gt;0&lt;/C&gt;&lt;/FQL&gt;&lt;FQL&gt;&lt;Q&gt;Ticker0024^FE_ESTIMATE(PRODLINE_SALES_16,MEAN,QUARTERLY_ROLL,2029/4F,45860,,,'')&lt;/Q&gt;&lt;R&gt;0&lt;/R&gt;&lt;C&gt;0&lt;/C&gt;&lt;/FQL&gt;&lt;FQL&gt;&lt;Q&gt;Ticker0024^FE_ESTIMATE(PRODLINE_SALES_16,MEAN,QUARTERLY_ROLL,2029/3F,45860,,,'')&lt;/Q&gt;&lt;R&gt;0&lt;/R&gt;&lt;C&gt;0&lt;/C&gt;&lt;/FQL&gt;&lt;FQL&gt;&lt;Q&gt;Ticker0024^FE_ESTIMATE(PRODLINE_SALES_16,MEAN,QUARTERLY_ROLL,2029/2F,45860,,,'')&lt;/Q&gt;&lt;R&gt;0&lt;/R&gt;&lt;C&gt;0&lt;/C&gt;&lt;/FQL&gt;&lt;FQL&gt;&lt;Q&gt;Ticker0024^FE_ESTIMATE(PRODLINE_SALES_16,MEAN,QUARTERLY_ROLL,2029/1F,45860,,,'')&lt;/Q&gt;&lt;R&gt;0&lt;/R&gt;&lt;C&gt;0&lt;/C&gt;&lt;/FQL&gt;&lt;FQL&gt;&lt;Q&gt;Ticker0024^FE_ESTIMATE(PRODLINE_SALES_16,MEAN,ANNUAL_ROLL,2028,45860,,,'')&lt;/Q&gt;&lt;R&gt;1&lt;/R&gt;&lt;C&gt;1&lt;/C&gt;&lt;D xsi:type="xsd:double"&gt;196151&lt;/D&gt;&lt;/FQL&gt;&lt;FQL&gt;&lt;Q&gt;Ticker0024^FE_ESTIMATE(PRODLINE_SALES_16,MEAN,QUARTERLY_ROLL,2028/4F,45860,,,'')&lt;/Q&gt;&lt;R&gt;0&lt;/R&gt;&lt;C&gt;0&lt;/C&gt;&lt;/FQL&gt;&lt;FQL&gt;&lt;Q&gt;Ticker0024^FE_ESTIMATE(PRODLINE_SALES_16,MEAN,QUARTERLY_ROLL,2028/3F,45860,,,'')&lt;/Q&gt;&lt;R&gt;0&lt;/R&gt;&lt;C&gt;0&lt;/C&gt;&lt;/FQL&gt;&lt;FQL&gt;&lt;Q&gt;Ticker0024^FE_ESTIMATE(PRODLINE_SALES_16,MEAN,QUARTERLY_ROLL,2028/2F,45860,,,'')&lt;/Q&gt;&lt;R&gt;0&lt;/R&gt;&lt;C&gt;0&lt;/C&gt;&lt;/FQL&gt;&lt;FQL&gt;&lt;Q&gt;Ticker0024^FE_ESTIMATE(PRODLINE_SALES_16,MEAN,QUARTERLY_ROLL,2028/1F,45860,,,'')&lt;/Q&gt;&lt;R&gt;0&lt;/R&gt;&lt;C&gt;0&lt;/C&gt;&lt;/FQL&gt;&lt;FQL&gt;&lt;Q&gt;Ticker0024^FE_ESTIMATE(PRODLINE_SALES_16,MEAN,ANNUAL_ROLL,2027,45860,,,'')&lt;/Q&gt;&lt;R&gt;1&lt;/R&gt;&lt;C&gt;1&lt;/C&gt;&lt;D xsi:type="xsd:double"&gt;157324.9&lt;/D&gt;&lt;/FQL&gt;&lt;FQL&gt;&lt;Q&gt;Ticker0024^FE_ESTIMATE(PRODLINE_SALES_16,MEAN,QUARTERLY_ROLL,2027/4F,45860,,,'')&lt;/Q&gt;&lt;R&gt;1&lt;/R&gt;&lt;C&gt;1&lt;/C&gt;&lt;D xsi:type="xsd:double"&gt;43616.332&lt;/D&gt;&lt;/FQL&gt;&lt;FQL&gt;&lt;Q&gt;Ticker0024^FE_ESTIMATE(PRODLINE_SALES_16,MEAN,QUARTERLY_ROLL,2027/3F,45860,,,'')&lt;/Q&gt;&lt;R&gt;1&lt;/R&gt;&lt;C&gt;1&lt;/C&gt;&lt;D xsi:type="xsd:double"&gt;39880&lt;/D&gt;&lt;/FQL&gt;&lt;FQL&gt;&lt;Q&gt;Ticker0024^FE_ESTIMATE(PRODLINE_SALES_16,MEAN,QUARTERLY_ROLL,2027/2F,45860,,,'')&lt;/Q&gt;&lt;R&gt;1&lt;/R&gt;&lt;C&gt;1&lt;/C&gt;&lt;D xsi:type="xsd:double"&gt;38095.25&lt;/D&gt;&lt;/FQL&gt;&lt;FQL&gt;&lt;Q&gt;Ticker0024^FE_ESTIMATE(PRODLINE_SALES_16,MEAN,QUARTERLY_ROLL,2027/1F,45860,,,'')&lt;/Q&gt;&lt;R&gt;1&lt;/R&gt;&lt;C&gt;1&lt;/C&gt;&lt;D xsi:type="xsd:double"&gt;35781.25&lt;/D&gt;&lt;/FQL&gt;&lt;FQL&gt;&lt;Q&gt;Ticker0024^FE_ESTIMATE(PRODLINE_SALES_16,MEAN,ANNUAL_ROLL,2026,45860,,,'')&lt;/Q&gt;&lt;R&gt;1&lt;/R&gt;&lt;C&gt;1&lt;/C&gt;&lt;D xsi:type="xsd:double"&gt;128135.87&lt;/D&gt;&lt;/FQL&gt;&lt;FQL&gt;&lt;Q&gt;Ticker0024^FE_ESTIMATE(PRODLINE_SALES_16,MEAN,QUARTERLY_ROLL,2026/4F,45860,,,'')&lt;/Q&gt;&lt;R&gt;1&lt;/R&gt;&lt;C&gt;1&lt;/C&gt;&lt;D xsi:type="xsd:double"&gt;34925.2&lt;/D&gt;&lt;/FQL&gt;&lt;FQL&gt;&lt;Q&gt;Ticker0024^FE_ESTIMATE(PRODLINE_SALES_16,MEAN,QUARTERLY_ROLL,2026/3F,45860,,,'')&lt;/Q&gt;&lt;R&gt;1&lt;/R&gt;&lt;C&gt;1&lt;/C&gt;&lt;D xsi:type="xsd:double"&gt;32380.867&lt;/D&gt;&lt;/FQL&gt;&lt;FQL&gt;&lt;Q&gt;Ticker0024^FE_ESTIMATE(PRODLINE_SALES_16,MEAN,QUARTERLY_ROLL,2026/2F,45860,,,'')&lt;/Q&gt;&lt;R&gt;1&lt;/R&gt;&lt;C&gt;1&lt;/C&gt;&lt;D xsi:type="xsd:double"&gt;31096.063&lt;/D&gt;&lt;/FQL&gt;&lt;FQL&gt;&lt;Q&gt;Ticker0024^FE_ESTIMATE(PRODLINE_SALES_16,MEAN,QUARTERLY_ROLL,2026/1F,45860,,,'')&lt;/Q&gt;&lt;R&gt;1&lt;/R&gt;&lt;C&gt;1&lt;/C&gt;&lt;D xsi:type="xsd:double"&gt;29385.422&lt;/D&gt;&lt;/FQL&gt;&lt;FQL&gt;&lt;Q&gt;Ticker0024^FE_ESTIMATE(PRODLINE_SALES_16,MEAN,ANNUAL_ROLL,2025,45860,,,'')&lt;/Q&gt;&lt;R&gt;1&lt;/R&gt;&lt;C&gt;1&lt;/C&gt;&lt;D xsi:type="xsd:double"&gt;105297.76&lt;/D&gt;&lt;/FQL&gt;&lt;FQL&gt;&lt;Q&gt;Ticker0024^FE_ESTIMATE(PRODLINE_SALES_16,MEAN,QUARTERLY_ROLL,2025/4F,45860,,,'')&lt;/Q&gt;&lt;R&gt;1&lt;/R&gt;&lt;C&gt;1&lt;/C&gt;&lt;D xsi:type="xsd:double"&gt;28905.814&lt;/D&gt;&lt;/FQL&gt;&lt;FQL&gt;&lt;Q&gt;Ticker0024^FE_ESTIMATE(PRODLINE_SALES_16,MEAN,QUARTERLY_ROLL,2025/3F,45860,,,'')&lt;/Q&gt;&lt;R&gt;1&lt;/R&gt;&lt;C&gt;1&lt;/C&gt;&lt;D xsi:type="xsd:double"&gt;26751&lt;/D&gt;&lt;/FQL&gt;&lt;FQL&gt;&lt;Q&gt;Ticker0024^FE_ESTIMATE(PRODLINE_SALES_16,MEAN,QUARTERLY_ROLL,2025/2F,45860,,,'')&lt;/Q&gt;&lt;R&gt;1&lt;/R&gt;&lt;C&gt;1&lt;/C&gt;&lt;D xsi:type="xsd:double"&gt;25544&lt;/D&gt;&lt;/FQL&gt;&lt;FQL&gt;&lt;Q&gt;Ticker0024^FE_ESTIMATE(PRODLINE_SALES_16,MEAN,QUARTERLY_ROLL,2025/1F,45860,,,'')&lt;/Q&gt;&lt;R&gt;1&lt;/R&gt;&lt;C&gt;1&lt;/C&gt;&lt;D xsi:type="xsd:double"&gt;24092&lt;/D&gt;&lt;/FQL&gt;&lt;FQL&gt;&lt;Q&gt;Ticker0024^FE_ESTIMATE(PRODLINE_SALES_16,MEAN,ANNUAL_ROLL,2024,45860,,,'')&lt;/Q&gt;&lt;R&gt;1&lt;/R&gt;&lt;C&gt;1&lt;/C&gt;&lt;D xsi:type="xsd:double"&gt;105362&lt;/D&gt;&lt;/FQL&gt;&lt;FQL&gt;&lt;Q&gt;Ticker0024^FE_ESTIMATE(PRODLINE_SALES_16,MEAN,QUARTERLY_ROLL,2024/4F,45860,,,'')&lt;/Q&gt;&lt;R&gt;1&lt;/R&gt;&lt;C&gt;1&lt;/C&gt;&lt;D xsi:type="xsd:double"&gt;28515&lt;/D&gt;&lt;/FQL&gt;&lt;FQL&gt;&lt;Q&gt;Ticker0024^FE_ESTIMATE(PRODLINE_SALES_16,MEAN,QUARTERLY_ROLL,2024/3F,45860,,,'')&lt;/Q&gt;&lt;R&gt;1&lt;/R&gt;&lt;C&gt;1&lt;/C&gt;&lt;D xsi:type="xsd:double"&gt;26708&lt;/D&gt;&lt;/FQL&gt;&lt;FQL&gt;&lt;Q&gt;Ticker0024^FE_ESTIMATE(PRODLINE_SALES_16,MEAN,QUARTERLY_ROLL,2024/2F,45860,,,'')&lt;/Q&gt;&lt;R&gt;1&lt;/R&gt;&lt;C&gt;1&lt;/C&gt;&lt;D xsi:type="xsd:double"&gt;25880&lt;/D&gt;&lt;/FQL&gt;&lt;FQL&gt;&lt;Q&gt;Ticker0024^FE_ESTIMATE(PRODLINE_SALES_16,MEAN,QUARTERLY_ROLL,2024/1F,45860,,,'')&lt;/Q&gt;&lt;R&gt;1&lt;/R&gt;&lt;C&gt;1&lt;/C&gt;&lt;D xsi:type="xsd:double"&gt;24259&lt;/D&gt;&lt;/FQL&gt;&lt;FQL&gt;&lt;Q&gt;Ticker0024^FE_ESTIMATE(PRODLINE_SALES_16,MEAN,ANNUAL_ROLL,2023,45860,,,'')&lt;/Q&gt;&lt;R&gt;1&lt;/R&gt;&lt;C&gt;1&lt;/C&gt;&lt;D xsi:type="xsd:double"&gt;87906.82&lt;/D&gt;&lt;/FQL&gt;&lt;FQL&gt;&lt;Q&gt;Ticker0024^FE_ESTIMATE(PRODLINE_SALES_16,MEAN,QUARTERLY_ROLL,2023/4F,45860,,,'')&lt;/Q&gt;&lt;R&gt;1&lt;/R&gt;&lt;C&gt;1&lt;/C&gt;&lt;D xsi:type="xsd:double"&gt;23993&lt;/D&gt;&lt;/FQL&gt;&lt;FQL&gt;&lt;Q&gt;Ticker0024^FE_ESTIMATE(PRODLINE_SALES_16,MEAN,QUARTERLY_ROLL,2023/3F,45860,,,'')&lt;/Q&gt;&lt;R&gt;1&lt;/R&gt;&lt;C&gt;1&lt;/C&gt;&lt;D xsi:type="xsd:double"&gt;22081&lt;/D&gt;&lt;/FQL&gt;&lt;FQL&gt;&lt;Q&gt;Ticker0024^FE_ESTIMATE(PRODLINE_SALES_16,MEAN,QUARTERLY_ROLL,2023/2F,45860,,,'')&lt;/Q&gt;&lt;R&gt;1&lt;/R&gt;&lt;C&gt;1&lt;/C&gt;&lt;D xsi:type="xsd:double"&gt;21508&lt;/D&gt;&lt;/FQL&gt;&lt;FQL&gt;&lt;Q&gt;Ticker0024^FE_ESTIMATE(PRODLINE_SALES_16,MEAN,QUARTERLY_ROLL,2023/1F,45860,,,'')&lt;/Q&gt;&lt;R&gt;1&lt;/R&gt;&lt;C&gt;1&lt;/C&gt;&lt;D xsi:type="xsd:double"&gt;20325&lt;/D&gt;&lt;/FQL&gt;&lt;FQL&gt;&lt;Q&gt;Ticker0024^FE_ESTIMATE(PRODLINE_SALES_16,MEAN,ANNUAL_ROLL,2022,45860,,,'')&lt;/Q&gt;&lt;R&gt;1&lt;/R&gt;&lt;C&gt;1&lt;/C&gt;&lt;D xsi:type="xsd:double"&gt;75251&lt;/D&gt;&lt;/FQL&gt;&lt;FQL&gt;&lt;Q&gt;Ticker0024^FE_ESTIMATE(PRODLINE_SALES_16,MEAN,QUARTERLY_ROLL,2022/4F,45860,,,'')&lt;/Q&gt;&lt;R&gt;1&lt;/R&gt;&lt;C&gt;1&lt;/C&gt;&lt;D xsi:type="xsd:double"&gt;20909&lt;/D&gt;&lt;/FQL&gt;&lt;FQL&gt;&lt;Q&gt;Ticker0024^FE_ESTIMATE(PRODLINE_SALES_16,MEAN,QUARTERLY_ROLL,2022/3F,45860,,,'')&lt;/Q&gt;&lt;R&gt;1&lt;/R&gt;&lt;C&gt;1&lt;/C&gt;&lt;D xsi:type="xsd:double"&gt;19051&lt;/D&gt;&lt;/FQL&gt;&lt;FQL&gt;&lt;Q&gt;Ticker0024^FE_ESTIMATE(PRODLINE_SALES_16,MEAN,QUARTERLY_ROLL,2022/2F,45860,,,'')&lt;/Q&gt;&lt;R&gt;1&lt;/R&gt;&lt;C&gt;1&lt;/C&gt;&lt;D xsi:type="xsd:double"&gt;18327&lt;/D&gt;&lt;/FQL&gt;&lt;FQL&gt;&lt;Q&gt;Ticker0024^FE_ESTIMATE(PRODLINE_SALES_16,MEAN,QUARTERLY_ROLL,2022/1F,45860,,,'')&lt;/Q&gt;&lt;R&gt;1&lt;/R&gt;&lt;C&gt;1&lt;/C&gt;&lt;D xsi:type="xsd:double"&gt;16964&lt;/D&gt;&lt;/FQL&gt;&lt;FQL&gt;&lt;Q&gt;Ticker0024^FE_ESTIMATE(PRODLINE_SALES_16,MEAN,ANNUAL_ROLL,2021,45860,,,'')&lt;/Q&gt;&lt;R&gt;1&lt;/R&gt;&lt;C&gt;1&lt;/C&gt;&lt;D xsi:type="xsd:double"&gt;60080&lt;/D&gt;&lt;/FQL&gt;&lt;FQL&gt;&lt;Q&gt;Ticker0024^FE_ESTIMATE(PRODLINE_SALES_16,MEAN,QUARTERLY_ROLL,2021/4F,45860,,,'')&lt;/Q&gt;&lt;R&gt;1&lt;/R&gt;&lt;C&gt;1&lt;/C&gt;&lt;D xsi:type="xsd:double"&gt;17375&lt;/D&gt;&lt;/FQL&gt;&lt;FQL&gt;&lt;Q&gt;Ticker0024^FE_ESTIMATE(PRODLINE_SALES_16,MEAN,QUARTERLY_ROLL,2021/3F,45860,,,'')&lt;/Q&gt;&lt;R&gt;1&lt;/R&gt;&lt;C&gt;1&lt;/C&gt;&lt;D xsi:type="xsd:double"&gt;15118&lt;/D&gt;&lt;/FQL&gt;&lt;FQL&gt;&lt;Q&gt;Ticker0024^FE_ESTIMATE(PRODLINE_SALES_16,MEAN,QUARTERLY_ROLL,2021/2F,45860,,,'')&lt;/Q&gt;&lt;R&gt;1&lt;/R&gt;&lt;C&gt;1&lt;/C&gt;&lt;D xsi:type="xsd:double"&gt;14601&lt;/D&gt;&lt;/FQL&gt;&lt;FQL&gt;&lt;Q&gt;Ticker0024^FE_ESTIMATE(PRODLINE_SALES_16,MEAN,QUARTERLY_ROLL,2021/1F,45860,,,'')&lt;/Q&gt;&lt;R&gt;1&lt;/R&gt;&lt;C&gt;1&lt;/C&gt;&lt;D xsi:type="xsd:double"&gt;12986&lt;/D&gt;&lt;/FQL&gt;&lt;FQL&gt;&lt;Q&gt;Ticker0024^FE_ESTIMATE(PRODLINE_SALES_16,MEAN,ANNUAL_ROLL,2020,45860,,,'')&lt;/Q&gt;&lt;R&gt;1&lt;/R&gt;&lt;C&gt;1&lt;/C&gt;&lt;D xsi:type="xsd:double"&gt;48366&lt;/D&gt;&lt;/FQL&gt;&lt;FQL&gt;&lt;Q&gt;Ticker0024^FE_ESTIMATE(PRODLINE_SALES_16,MEAN,QUARTERLY_ROLL,2020/4F,45860,,,'')&lt;/Q&gt;&lt;R&gt;1&lt;/R&gt;&lt;C&gt;1&lt;/C&gt;&lt;D xsi:type="xsd:double"&gt;13371&lt;/D&gt;&lt;/FQL&gt;&lt;FQL&gt;&lt;Q&gt;Ticker0024^FE_ESTIMATE(PRODLINE_SALES_16,MEAN,QUARTERLY_ROLL,2020/3F,45860,,,'')&lt;/Q&gt;&lt;R&gt;1&lt;/R&gt;&lt;C&gt;1&lt;/C&gt;&lt;D xsi:type="xsd:double"&gt;12281&lt;/D&gt;&lt;/FQL&gt;&lt;FQL&gt;&lt;Q&gt;Ticker0024^FE_ESTIMATE(PRODLINE_SALES_16,MEAN,QUARTERLY_ROLL,2020/2F,45860,,,'')&lt;/Q&gt;&lt;R&gt;1&lt;/R&gt;&lt;C&gt;1&lt;/C&gt;&lt;D xsi:type="xsd:double"&gt;11869&lt;/D&gt;&lt;/FQL&gt;&lt;FQL&gt;&lt;Q&gt;Ticker0024^FE_ESTIMATE(PRODLINE_SALES_16,MEAN,QUARTERLY_ROLL,2020/1F,45860,,,'')&lt;/Q&gt;&lt;R&gt;1&lt;/R&gt;&lt;C&gt;1&lt;/C&gt;&lt;D xsi:type="xsd:double"&gt;10845&lt;/D&gt;&lt;/FQL&gt;&lt;FQL&gt;&lt;Q&gt;Ticker0024^FE_ESTIMATE(PRODLINE_SALES_16,MEAN,ANNUAL_ROLL,2019,45860,,,'')&lt;/Q&gt;&lt;R&gt;1&lt;/R&gt;&lt;C&gt;1&lt;/C&gt;&lt;D xsi:type="xsd:double"&gt;38985&lt;/D&gt;&lt;/FQL&gt;&lt;FQL&gt;&lt;Q&gt;Ticker0024^FE_ESTIMATE(PRODLINE_SALES_16,MEAN,QUARTERLY_ROLL,2019/4F,45860,,,'')&lt;/Q&gt;&lt;R&gt;1&lt;/R&gt;&lt;C&gt;1&lt;/C&gt;&lt;D xsi:type="xsd:double"&gt;11391&lt;/D&gt;&lt;/FQL&gt;&lt;FQL&gt;&lt;Q&gt;Ticker0024^FE_ESTIMATE(PRODLINE_SALES_16,MEAN,QUARTERLY_ROLL,2019/3F,45860,,,'')&lt;/Q&gt;&lt;R&gt;1&lt;/R&gt;&lt;C&gt;1&lt;/C&gt;&lt;D xsi:type="xsd:double"&gt;9649&lt;/D&gt;&lt;/FQL&gt;&lt;FQL&gt;&lt;Q&gt;Ticker0024^FE_ESTIMATE(PRODLINE_SALES_16,MEAN,QUARTERLY_ROLL,2019/2F,45860,,,'')&lt;/Q&gt;&lt;R&gt;1&lt;/R&gt;&lt;C&gt;1&lt;/C&gt;&lt;D xsi:type="xsd:double"&gt;9378&lt;/D&gt;&lt;/FQL&gt;&lt;FQL&gt;&lt;Q&gt;Ticker0024^FE_ESTIMATE(PRODLINE_SALES_16,MEAN,QUARTERLY_ROLL,2019/1F,45860,,,'')&lt;/Q&gt;&lt;R&gt;1&lt;/R&gt;&lt;C&gt;1&lt;/C&gt;&lt;D xsi:type="xsd:double"&gt;8567&lt;/D&gt;&lt;/FQL&gt;&lt;FQL&gt;&lt;Q&gt;Ticker0024^FE_ESTIMATE(PRODLINE_SALES_16,MEAN,ANNUAL_ROLL,2018,45860,,,'')&lt;/Q&gt;&lt;R&gt;1&lt;/R&gt;&lt;C&gt;1&lt;/C&gt;&lt;D xsi:type="xsd:double"&gt;32219&lt;/D&gt;&lt;/FQL&gt;&lt;FQL&gt;&lt;Q&gt;Ticker0024^FE_ESTIMATE(PRODLINE_SALES_16,MEAN,QUARTERLY_ROLL,2018/4F,45860,,,'')&lt;/Q&gt;&lt;R&gt;1&lt;/R&gt;&lt;C&gt;1&lt;/C&gt;&lt;D xsi:type="xsd:double"&gt;9606&lt;/D&gt;&lt;/FQL&gt;&lt;FQL&gt;&lt;Q&gt;Ticker0024^FE_ESTIMATE(PRODLINE_SALES_16,MEAN,QUARTERLY_ROLL,2018/3F,45860,,,'')&lt;/Q&gt;&lt;R&gt;1&lt;/R&gt;&lt;C&gt;1&lt;/C&gt;&lt;D xsi:type="xsd:double"&gt;7896&lt;/D&gt;&lt;/FQL&gt;&lt;FQL&gt;&lt;Q&gt;Ticker0024^FE_ESTIMATE(PRODLINE_SALES_16,MEAN,QUARTERLY_ROLL,2018/2F,45860,,,'')&lt;/Q&gt;&lt;R&gt;1&lt;/R&gt;&lt;C&gt;1&lt;/C&gt;&lt;D xsi:type="xsd:double"&gt;7795&lt;/D&gt;&lt;/FQL&gt;&lt;FQL&gt;&lt;Q&gt;Ticker0024^FE_ESTIMATE(PRODLINE_SALES_16,MEAN,QUARTERLY_ROLL,2018/1F,45860,,,'')&lt;/Q&gt;&lt;R&gt;1&lt;/R&gt;&lt;C&gt;1&lt;/C&gt;&lt;D xsi:type="xsd:double"&gt;6922&lt;/D&gt;&lt;/FQL&gt;&lt;FQL&gt;&lt;Q&gt;Ticker0024^FE_ESTIMATE(PRODLINE_SALES_16,MEAN,ANNUAL_ROLL,2017,45860,,,'')&lt;/Q&gt;&lt;R&gt;1&lt;/R&gt;&lt;C&gt;1&lt;/C&gt;&lt;D xsi:type="xsd:double"&gt;27440&lt;/D&gt;&lt;/FQL&gt;&lt;FQL&gt;&lt;Q&gt;Ticker0024^FE_ESTIMATE(PRODLINE_SALES_16,MEAN,QUARTERLY_ROLL,2017/4F,45860,,,'')&lt;/Q&gt;&lt;R&gt;1&lt;/R&gt;&lt;C&gt;1&lt;/C&gt;&lt;D xsi:type="xsd:double"&gt;7434&lt;/D&gt;&lt;/FQL&gt;&lt;FQL&gt;&lt;Q&gt;Ticker0024^FE_ESTIMATE(PRODLINE_SALES_16,MEAN,QUARTERLY_ROLL,2017/3F,45860,,,'')&lt;/Q&gt;&lt;R&gt;1&lt;/R&gt;&lt;C&gt;1&lt;/C&gt;&lt;D xsi:type="xsd:double"&gt;6763&lt;/D&gt;&lt;/FQL&gt;&lt;FQL&gt;&lt;Q&gt;Ticker0024^FE_ESTIMATE(PRODLINE_SALES_16,MEAN,QUARTERLY_ROLL,2017/2F,45860,,,'')&lt;/Q&gt;&lt;R&gt;1&lt;/R&gt;&lt;C&gt;1&lt;/C&gt;&lt;D xsi:type="xsd:double"&gt;6861&lt;/D&gt;&lt;/FQL&gt;&lt;FQL&gt;&lt;Q&gt;Ticker0024^FE_ESTIMATE(PRODLINE_SALES_16,MEAN,QUARTERLY_ROLL,2017/1F,45860,,,'')&lt;/Q&gt;&lt;R&gt;1&lt;/R&gt;&lt;C&gt;1&lt;/C&gt;&lt;D xsi:type="xsd:double"&gt;6382&lt;/D&gt;&lt;/FQL&gt;&lt;FQL&gt;&lt;Q&gt;Ticker0024^FE_ESTIMATE(PRODLINE_SALES_16,MEAN,ANNUAL_ROLL,2016,45860,,,'')&lt;/Q&gt;&lt;R&gt;1&lt;/R&gt;&lt;C&gt;1&lt;/C&gt;&lt;D xsi:type="xsd:double"&gt;25042&lt;/D&gt;&lt;/FQL&gt;&lt;FQL&gt;&lt;Q&gt;Ticker0024^FE_ESTIMATE(PRODLINE_SALES_16,MEAN,QUARTERLY_ROLL,2016/4F,45860,,,'')&lt;/Q&gt;&lt;R&gt;1&lt;/R&gt;&lt;C&gt;1&lt;/C&gt;&lt;D xsi:type="xsd:double"&gt;6711&lt;/D&gt;&lt;/FQL&gt;&lt;FQL&gt;&lt;Q&gt;Ticker0024^FE_ESTIMATE(PRODLINE_SALES_16,MEAN,QUARTERLY_ROLL,2016/3F,45860,,,'')&lt;/Q&gt;&lt;R&gt;1&lt;/R&gt;&lt;C&gt;1&lt;/C&gt;&lt;D xsi:type="xsd:double"&gt;6096&lt;/D&gt;&lt;/FQL&gt;&lt;FQL&gt;&lt;Q&gt;Ticker0024^FE_ESTIMATE(PRODLINE_SALES_16,MEAN,QUARTERLY_ROLL,2016/2F,45860,,,'')&lt;/Q&gt;&lt;R&gt;1&lt;/R&gt;&lt;C&gt;1&lt;/C&gt;&lt;D xsi:type="xsd:double"&gt;6343&lt;/D&gt;&lt;/FQL&gt;&lt;FQL&gt;&lt;Q&gt;Ticker0024^FE_ESTIMATE(PRODLINE_SALES_16,MEAN,QUARTERLY_ROLL,2016/1F,45860,,,'')&lt;/Q&gt;&lt;R&gt;1&lt;/R&gt;&lt;C&gt;1&lt;/C&gt;&lt;D xsi:type="xsd:double"&gt;5892&lt;/D&gt;&lt;/FQL&gt;&lt;FQL&gt;&lt;Q&gt;Ticker0024^FE_ESTIMATE(PRODLINE_SALES_16,MEAN,ANNUAL_ROLL,2015,45860,,,'')&lt;/Q&gt;&lt;R&gt;0&lt;/R&gt;&lt;C&gt;0&lt;/C&gt;&lt;/FQL&gt;&lt;FQL&gt;&lt;Q&gt;Ticker0024^FE_ESTIMATE(PRODLINE_SALES_16,MEAN,QUARTERLY_ROLL,2015/4F,45860,,,'')&lt;/Q&gt;&lt;R&gt;0&lt;/R&gt;&lt;C&gt;0&lt;/C&gt;&lt;/FQL&gt;&lt;FQL&gt;&lt;Q&gt;Ticker0024^FE_ESTIMATE(PRODLINE_SALES_16,MEAN,QUARTERLY_ROLL,2015/3F,45860,,,'')&lt;/Q&gt;&lt;R&gt;0&lt;/R&gt;&lt;C&gt;0&lt;/C&gt;&lt;/FQL&gt;&lt;FQL&gt;&lt;Q&gt;Ticker0024^FE_ESTIMATE(PRODLINE_SALES_16,MEAN,QUARTERLY_ROLL,2015/2F,45860,,,'')&lt;/Q&gt;&lt;R&gt;0&lt;/R&gt;&lt;C&gt;0&lt;/C&gt;&lt;/FQL&gt;&lt;FQL&gt;&lt;Q&gt;Ticker0024^FE_ESTIMATE(PRODLINE_SALES_16,MEAN,QUARTERLY_ROLL,2015/1F,45860,,,'')&lt;/Q&gt;&lt;R&gt;0&lt;/R&gt;&lt;C&gt;0&lt;/C&gt;&lt;/FQL&gt;&lt;FQL&gt;&lt;Q&gt;Ticker0024^FE_ESTIMATE(PRODLINE_SALES_15,MEAN,ANNUAL_ROLL,2030,45860,,,'')&lt;/Q&gt;&lt;R&gt;0&lt;/R&gt;&lt;C&gt;0&lt;/C&gt;&lt;/FQL&gt;&lt;FQL&gt;&lt;Q&gt;Ticker0024^FE_ESTIMATE(PRODLINE_SALES_15,MEAN,QUARTERLY_ROLL,2030/4F,45860,,,'')&lt;/Q&gt;&lt;R&gt;0&lt;/R&gt;&lt;C&gt;0&lt;/C&gt;&lt;/FQL&gt;&lt;FQL&gt;&lt;Q&gt;Ticker0024^FE_ESTIMATE(PRODLINE_SALES_15,MEAN,QUARTERLY_ROLL,2030/3F,45860,,,'')&lt;/Q&gt;&lt;R&gt;0&lt;/R&gt;&lt;C&gt;0&lt;/C&gt;&lt;/FQL&gt;&lt;FQL&gt;&lt;Q&gt;Ticker0024^FE_ESTIMATE(PRODLINE_SALES_15,MEAN,QUARTERLY_ROLL,2030/2F,45860,,,'')&lt;/Q&gt;&lt;R&gt;0&lt;/R&gt;&lt;C&gt;0&lt;/C&gt;&lt;/FQL&gt;&lt;FQL&gt;&lt;Q&gt;Ticker0024^FE_ESTIMATE(PRODLINE_SALES_15,MEAN,QUARTERLY_ROLL,2030/1F,45860,,,'')&lt;/Q&gt;&lt;R&gt;0&lt;/R&gt;&lt;C&gt;0&lt;/C&gt;&lt;/FQL&gt;&lt;FQL&gt;&lt;Q&gt;Ticker0024^FE_ESTIMATE(PRODLINE_SALES_15,MEAN,ANNUAL_ROLL,2029,45860,,,'')&lt;/Q&gt;&lt;R&gt;0&lt;/R&gt;&lt;C&gt;0&lt;/C&gt;&lt;/FQL&gt;&lt;FQL&gt;&lt;Q&gt;Ticker0024^FE_ESTIMATE(PRODLINE_SALES_15,MEAN,QUARTERLY_ROLL,2029/4F,45860,,,'')&lt;/Q&gt;&lt;R&gt;0&lt;/R&gt;&lt;C&gt;0&lt;/C&gt;&lt;/FQL&gt;&lt;FQL&gt;&lt;Q&gt;Ticker0024^FE_ESTIMATE(PRODLINE_SALES_15,MEAN,QUARTERLY_ROLL,2029/3F,45860,,,'')&lt;/Q&gt;&lt;R&gt;0&lt;/R&gt;&lt;C&gt;0&lt;/C&gt;&lt;/FQL&gt;&lt;FQL&gt;&lt;Q&gt;Ticker0024^FE_ESTIMATE(PRODLINE_SALES_15,MEAN,QUARTERLY_ROLL,2029/2F,45860,,,'')&lt;/Q&gt;&lt;R&gt;0&lt;/R&gt;&lt;C&gt;0&lt;/C&gt;&lt;/FQL&gt;&lt;FQL&gt;&lt;Q&gt;Ticker0024^FE_ESTIMATE(PRODLINE_SALES_15,MEAN,QUARTERLY_ROLL,2029/1F,45860,,,'')&lt;/Q&gt;&lt;R&gt;0&lt;/R&gt;&lt;C&gt;0&lt;/C&gt;&lt;/FQL&gt;&lt;FQL&gt;&lt;Q&gt;Ticker0024^FE_ESTIMATE(PRODLINE_SALES_15,MEAN,ANNUAL_ROLL,2028,45860,,,'')&lt;/Q&gt;&lt;R&gt;1&lt;/R&gt;&lt;C&gt;1&lt;/C&gt;&lt;D xsi:type="xsd:double"&gt;161292&lt;/D&gt;&lt;/FQL&gt;&lt;FQL&gt;&lt;Q&gt;Ticker0024^FE_ESTIMATE(PRODLINE_SALES_15,MEAN,QUARTERLY_ROLL,2028/4F,45860,,,'')&lt;/Q&gt;&lt;R&gt;0&lt;/R&gt;&lt;C&gt;0&lt;/C&gt;&lt;/FQL&gt;&lt;FQL&gt;&lt;Q&gt;Ticker0024^FE_ESTIMATE(PRODLINE_SALES_15,MEAN,QUARTERLY_ROLL,2028/3F,45860,,,'')&lt;/Q&gt;&lt;R&gt;0&lt;/R&gt;&lt;C&gt;0&lt;/C&gt;&lt;/FQL&gt;&lt;FQL&gt;&lt;Q&gt;Ticker0024^FE_ESTIMATE(PRODLINE_SALES_15,MEAN,QUARTERLY_ROLL,2028/2F,45860,,,'')&lt;/Q&gt;&lt;R&gt;0&lt;/R&gt;&lt;C&gt;0&lt;/C&gt;&lt;/FQL&gt;&lt;FQL&gt;&lt;Q&gt;Ticker0024^FE_ESTIMATE(PRODLINE_SALES_15,MEAN,QUARTERLY_ROLL,2028/1F,45860,,,'')&lt;/Q&gt;&lt;R&gt;0&lt;/R&gt;&lt;C&gt;0&lt;/C&gt;&lt;/FQL&gt;&lt;FQL&gt;&lt;Q&gt;Ticker0024^FE_ESTIMATE(PRODLINE_SALES_15,MEAN,ANNUAL_ROLL,2027,45860,,,'')&lt;/Q&gt;&lt;R&gt;1&lt;/R&gt;&lt;C&gt;1&lt;/C&gt;&lt;D xsi:type="xsd:double"&gt;146083.75&lt;/D&gt;&lt;/FQL&gt;&lt;FQL&gt;&lt;Q&gt;Ticker0024^FE_ESTIMATE(PRODLINE_SALES_15,MEAN,QUARTERLY_ROLL,2027/4F,45860,,,'')&lt;/Q&gt;&lt;R&gt;1&lt;/R&gt;&lt;C&gt;1&lt;/C&gt;&lt;D xsi:type="xsd:double"&gt;38714&lt;/D&gt;&lt;/FQL&gt;&lt;FQL&gt;&lt;Q&gt;Ticker0024^FE_ESTIMATE(PRODLINE_SALES_15,MEAN,QUARTERLY_ROLL,2027/3F,45860,,,'')&lt;/Q&gt;&lt;R&gt;1&lt;/R&gt;&lt;C&gt;1&lt;/C&gt;&lt;D xsi:type="xsd:double"&gt;36705.332&lt;/D&gt;&lt;/FQL&gt;&lt;FQL&gt;&lt;Q&gt;Ticker0024^FE_ESTIMATE(PRODLINE_SALES_15,MEAN,QUARTERLY_ROLL,2027/2F,45860,,,'')&lt;/Q&gt;&lt;R&gt;1&lt;/R&gt;&lt;C&gt;1&lt;/C&gt;&lt;D xsi:type="xsd:double"&gt;35598.5&lt;/D&gt;&lt;/FQL&gt;&lt;FQL&gt;&lt;Q&gt;Ticker0024^FE_ESTIMATE(PRODLINE_SALES_15,MEAN,QUARTERLY_ROLL,2027/1F,45860,,,'')&lt;/Q&gt;&lt;R&gt;1&lt;/R&gt;&lt;C&gt;1&lt;/C&gt;&lt;D xsi:type="xsd:double"&gt;34546.75&lt;/D&gt;&lt;/FQL&gt;&lt;FQL&gt;&lt;Q&gt;Ticker0024^FE_ESTIMATE(PRODLINE_SALES_15,MEAN,ANNUAL_ROLL,2026,45860,,,'')&lt;/Q&gt;&lt;R&gt;1&lt;/R&gt;&lt;C&gt;1&lt;/C&gt;&lt;D xsi:type="xsd:double"&gt;131924.58&lt;/D&gt;&lt;/FQL&gt;&lt;FQL&gt;&lt;Q&gt;Ticker0024^FE_ESTIMATE(PRODLINE_SALES_15,MEAN,QUARTERLY_ROLL,2026/4F,45860,,,'')&lt;/Q&gt;&lt;R&gt;1&lt;/R&gt;&lt;C&gt;1&lt;/C&gt;&lt;D xsi:type="xsd:double"&gt;35168.066&lt;/D&gt;&lt;/FQL&gt;&lt;FQL&gt;&lt;Q&gt;Ticker0024^FE_ESTIMATE(PRODLINE_SALES_15,MEAN,QUARTERLY_ROLL,2026/3F,45860,,,'')&lt;/Q&gt;&lt;R&gt;1&lt;/R&gt;&lt;C&gt;1&lt;/C&gt;&lt;D xsi:type="xsd:double"&gt;32961.332&lt;/D&gt;&lt;/FQL&gt;&lt;FQL&gt;&lt;Q&gt;Ticker0024^FE_ESTIMATE(PRODLINE_SALES_15,MEAN,QUARTERLY_ROLL,2026/2F,45860,,,'')&lt;/Q&gt;&lt;R&gt;1&lt;/R&gt;&lt;C&gt;1&lt;/C&gt;&lt;D xsi:type="xsd:double"&gt;32370.063&lt;/D&gt;&lt;/FQL&gt;&lt;FQL&gt;&lt;Q&gt;Ticker0024^FE_ESTIMATE(PRODLINE_SALES_15,MEAN,QUARTERLY_ROLL,2026/1F,45860,,,'')&lt;/Q&gt;&lt;R&gt;1&lt;/R&gt;&lt;C&gt;1&lt;/C&gt;&lt;D xsi:type="xsd:double"&gt;31311.475&lt;/D&gt;&lt;/FQL&gt;&lt;FQL&gt;&lt;Q&gt;Ticker0024^FE_ESTIMATE(PRODLINE_SALES_15,MEAN,ANNUAL_ROLL,2025,45860,,,'')&lt;/Q&gt;&lt;R&gt;1&lt;/R&gt;&lt;C&gt;1&lt;/C&gt;&lt;D xsi:type="xsd:double"&gt;119825.88&lt;/D&gt;&lt;/FQL&gt;&lt;FQL&gt;&lt;Q&gt;Ticker0024^FE_ESTIMATE(PRODLINE_SALES_15,MEAN,QUARTERLY_ROLL,2025/4F,45860,,,'')&lt;/Q&gt;&lt;R&gt;1&lt;/R&gt;&lt;C&gt;1&lt;/C&gt;&lt;D xsi:type="xsd:double"&gt;32112.926&lt;/D&gt;&lt;/FQL&gt;&lt;FQL&gt;&lt;Q&gt;Ticker0024^FE_ESTIMATE(PRODLINE_SALES_15,MEAN,QUARTERLY_ROLL,2025/3F,45860,,,'')&lt;/Q&gt;&lt;R&gt;1&lt;/R&gt;&lt;C&gt;1&lt;/C&gt;&lt;D xsi:type="xsd:double"&gt;29944&lt;/D&gt;&lt;/FQL&gt;&lt;FQL&gt;&lt;Q&gt;Ticker0024^FE_ESTIMATE(PRODLINE_SALES_15,MEAN,QUARTERLY_ROLL,2025/2F,45860,,,'')&lt;/Q&gt;&lt;R&gt;1&lt;/R&gt;&lt;C&gt;1&lt;/C&gt;&lt;D xsi:type="xsd:double"&gt;29437&lt;/D&gt;&lt;/FQL&gt;&lt;FQL&gt;&lt;Q&gt;Ticker0024^FE_ESTIMATE(PRODLINE_SALES_15,MEAN,QUARTERLY_ROLL,2025/1F,45860,,,'')&lt;/Q&gt;&lt;R&gt;1&lt;/R&gt;&lt;C&gt;1&lt;/C&gt;&lt;D xsi:type="xsd:double"&gt;28317&lt;/D&gt;&lt;/FQL&gt;&lt;FQL&gt;&lt;Q&gt;Ticker0024^FE_ESTIMATE(PRODLINE_SALES_15,MEAN,ANNUAL_ROLL,2024,45860,,,'')&lt;/Q&gt;&lt;R&gt;1&lt;/R&gt;&lt;C&gt;1&lt;/C&gt;&lt;D xsi:type="xsd:double"&gt;77728&lt;/D&gt;&lt;/FQL&gt;&lt;FQL&gt;&lt;Q&gt;Ticker0024^FE_ESTIMATE(PRODLINE_SALES_15,MEAN,QUARTERLY_ROLL,2024/4F,45860,,,'')&lt;/Q&gt;&lt;R&gt;1&lt;/R&gt;&lt;C&gt;1&lt;/C&gt;&lt;D xsi:type="xsd:double"&gt;20317&lt;/D&gt;&lt;/FQL&gt;&lt;FQL&gt;&lt;Q&gt;Ticker0024^FE_ESTIMATE(PRODLINE_SALES_15,MEAN,QUARTERLY_ROLL,2024/3F,45860,,,'')&lt;/Q&gt;&lt;R&gt;1&lt;/R&gt;&lt;C&gt;1&lt;/C&gt;&lt;D xsi:type="xsd:double"&gt;19570&lt;/D&gt;&lt;/FQL&gt;&lt;FQL&gt;&lt;Q&gt;Ticker0024^FE_ESTIMATE(PRODLINE_SALES_15,MEAN,QUARTERLY_ROLL,2024/2F,45860,,,'')&lt;/Q&gt;&lt;R&gt;1&lt;/R&gt;&lt;C&gt;1&lt;/C&gt;&lt;D xsi:type="xsd:double"&gt;19249&lt;/D&gt;&lt;/FQL&gt;&lt;FQL&gt;&lt;Q&gt;Ticker0024^FE_ESTIMATE(PRODLINE_SALES_15,MEAN,QUARTERLY_ROLL,2024/1F,45860,,,'')&lt;/Q&gt;&lt;R&gt;1&lt;/R&gt;&lt;C&gt;1&lt;/C&gt;&lt;D xsi:type="xsd:double"&gt;18592&lt;/D&gt;&lt;/FQL&gt;&lt;FQL&gt;&lt;Q&gt;Ticker0024^FE_ESTIMATE(PRODLINE_SALES_15,MEAN,ANNUAL_ROLL,2023,45860,,,'')&lt;/Q&gt;&lt;R&gt;1&lt;/R&gt;&lt;C&gt;1&lt;/C&gt;&lt;D xsi:type="xsd:double"&gt;69275&lt;/D&gt;&lt;/FQL&gt;&lt;FQL&gt;&lt;Q&gt;Ticker0024^FE_ESTIMATE(PRODLINE_SALES_15,MEAN,QUARTERLY_ROLL,2023/4F,45860,,,'')&lt;/Q&gt;&lt;R&gt;1&lt;/R&gt;&lt;C&gt;1&lt;/C&gt;&lt;D xsi:type="xsd:double"&gt;18291&lt;/D&gt;&lt;/FQL&gt;&lt;FQL&gt;&lt;Q&gt;Ticker0024^FE_ESTIMATE(PRODLINE_SALES_15,MEAN,QUARTERLY_ROLL,2023/3F,45860,,,'')&lt;/Q&gt;&lt;R&gt;1&lt;/R&gt;&lt;C&gt;1&lt;/C&gt;&lt;D xsi:type="xsd:double"&gt;17516&lt;/D&gt;&lt;/FQL&gt;&lt;FQL&gt;&lt;Q&gt;Ticker0024^FE_ESTIMATE(PRODLINE_SALES_15,MEAN,QUARTERLY_ROLL,2023/2F,45860,,,'')&lt;/Q&gt;&lt;R&gt;1&lt;/R&gt;&lt;C&gt;1&lt;/C&gt;&lt;D xsi:type="xsd:double"&gt;17002&lt;/D&gt;&lt;/FQL&gt;&lt;FQL&gt;&lt;Q&gt;Ticker0024^FE_ESTIMATE(PRODLINE_SALES_15,MEAN,QUARTERLY_ROLL,2023/1F,45860,,,'')&lt;/Q&gt;&lt;R&gt;1&lt;/R&gt;&lt;C&gt;1&lt;/C&gt;&lt;D xsi:type="xsd:double"&gt;16465&lt;/D&gt;&lt;/FQL&gt;&lt;FQL&gt;&lt;Q&gt;Ticker0024^FE_ESTIMATE(PRODLINE_SALES_15,MEAN,ANNUAL_ROLL,2022,45860,,,'')&lt;/Q&gt;&lt;R&gt;1&lt;/R&gt;&lt;C&gt;1&lt;/C&gt;&lt;D xsi:type="xsd:double"&gt;63364&lt;/D&gt;&lt;/FQL&gt;&lt;FQL&gt;&lt;Q&gt;Ticker0024^FE_ESTIMATE(PRODLINE_SALES_15,MEAN,QUARTERLY_ROLL,2022/4F,45860,,,'')&lt;/Q&gt;&lt;R&gt;1&lt;/R&gt;&lt;C&gt;1&lt;/C&gt;&lt;D xsi:type="xsd:double"&gt;16600&lt;/D&gt;&lt;/FQL&gt;&lt;FQL&gt;&lt;Q&gt;Ticker0024^FE_ESTIMATE(PRODLINE_SALES_15,MEAN,QUARTERLY_ROLL,2022/3F,45860,,,'')&lt;/Q&gt;&lt;R&gt;1&lt;/R&gt;&lt;C&gt;1&lt;/C&gt;&lt;D xsi:type="xsd:double"&gt;15789&lt;/D&gt;&lt;/FQL&gt;&lt;FQL&gt;&lt;Q&gt;Ticker0024^FE_ESTIMATE(PRODLINE_SALES_15,MEAN,QUARTERLY_ROLL,2022/2F,45860,,,'')&lt;/Q&gt;&lt;R&gt;1&lt;/R&gt;&lt;C&gt;1&lt;/C&gt;&lt;D xsi:type="xsd:double"&gt;15936&lt;/D&gt;&lt;/FQL&gt;&lt;FQL&gt;&lt;Q&gt;Ticker0024^FE_ESTIMATE(PRODLINE_SALES_15,MEAN,QUARTERLY_ROLL,2022/1F,45860,,,'')&lt;/Q&gt;&lt;R&gt;1&lt;/R&gt;&lt;C&gt;1&lt;/C&gt;&lt;D xsi:type="xsd:double"&gt;15039&lt;/D&gt;&lt;/FQL&gt;&lt;FQL&gt;&lt;Q&gt;Ticker0024^FE_ESTIMATE(PRODLINE_SALES_15,MEAN,ANNUAL_ROLL,2021,45860,,,'')&lt;/Q&gt;&lt;R&gt;1&lt;/R&gt;&lt;C&gt;1&lt;/C&gt;&lt;D xsi:type="xsd:double"&gt;53915&lt;/D&gt;&lt;/FQL&gt;&lt;FQL&gt;&lt;Q&gt;Ticker0024^FE_ESTIMATE(PRODLINE_SALES_15,MEAN,QUARTERLY_ROLL,2021/4F,45860,,,'')&lt;/Q&gt;&lt;R&gt;1&lt;/R&gt;&lt;C&gt;1&lt;/C&gt;&lt;D xsi:type="xsd:double"&gt;14691&lt;/D&gt;&lt;/FQL&gt;&lt;FQL&gt;&lt;Q&gt;Ticker0024^FE_ESTIMATE(PRODLINE_SALES_15,MEAN,QUARTERLY_ROLL,2021/3F,45860,,,'')&lt;/Q&gt;&lt;R&gt;1&lt;/R&gt;&lt;C&gt;1&lt;/C&gt;&lt;D xsi:type="xsd:double"&gt;13552&lt;/D&gt;&lt;/FQL&gt;&lt;FQL&gt;&lt;Q&gt;Ticker0024^FE_ESTIMATE(PRODLINE_SALES_15,MEAN,QUARTERLY_ROLL,2021/2F,45860,,,'')&lt;/Q&gt;&lt;R&gt;1&lt;/R&gt;&lt;C&gt;1&lt;/C&gt;&lt;D xsi:type="xsd:double"&gt;13353&lt;/D&gt;&lt;/FQL&gt;&lt;FQL&gt;&lt;Q&gt;Ticker0024^FE_ESTIMATE(PRODLINE_SALES_15,MEAN,QUARTERLY_ROLL,2021/1F,45860,,,'')&lt;/Q&gt;&lt;R&gt;1&lt;/R&gt;&lt;C&gt;1&lt;/C&gt;&lt;D xsi:type="xsd:double"&gt;12319&lt;/D&gt;&lt;/FQL&gt;&lt;FQL&gt;&lt;Q&gt;Ticker0024^FE_ESTIMATE(PRODLINE_SALES_15,MEAN,ANNUAL_ROLL,2020,45860,,,'')&lt;/Q&gt;&lt;R&gt;1&lt;/R&gt;&lt;C&gt;1&lt;/C&gt;&lt;D xsi:type="xsd:double"&gt;46398&lt;/D&gt;&lt;/FQL&gt;&lt;FQL&gt;&lt;Q&gt;Ticker0024^FE_ESTIMATE(PRODLINE_SALES_15,MEAN,QUARTERLY_ROLL,2020/4F,45860,,,'')&lt;/Q&gt;&lt;R&gt;1&lt;/R&gt;&lt;C&gt;1&lt;/C&gt;&lt;D xsi:type="xsd:double"&gt;11752&lt;/D&gt;&lt;/FQL&gt;&lt;FQL&gt;&lt;Q&gt;Ticker0024^FE_ESTIMATE(PRODLINE_SALES_15,MEAN,QUARTERLY_ROLL,2020/3F,45860,,,'')&lt;/Q&gt;&lt;R&gt;1&lt;/R&gt;&lt;C&gt;1&lt;/C&gt;&lt;D xsi:type="xsd:double"&gt;11743&lt;/D&gt;&lt;/FQL&gt;&lt;FQL&gt;&lt;Q&gt;Ticker0024^FE_ESTIMATE(PRODLINE_SALES_15,MEAN,QUARTERLY_ROLL,2020/2F,45860,,,'')&lt;/Q&gt;&lt;R&gt;1&lt;/R&gt;&lt;C&gt;1&lt;/C&gt;&lt;D xsi:type="xsd:double"&gt;11826&lt;/D&gt;&lt;/FQL&gt;&lt;FQL&gt;&lt;Q&gt;Ticker0024^FE_ESTIMATE(PRODLINE_SALES_15,MEAN,QUARTERLY_ROLL,2020/1F,45860,,,'')&lt;/Q&gt;&lt;R&gt;1&lt;/R&gt;&lt;C&gt;1&lt;/C&gt;&lt;D xsi:type="xsd:double"&gt;11077&lt;/D&gt;&lt;/FQL&gt;&lt;FQL&gt;&lt;Q&gt;Ticker0024^FE_ESTIMATE(PRODLINE_SALES_15,MEAN,ANNUAL_ROLL,2019,45860,,,'')&lt;/Q&gt;&lt;R&gt;1&lt;/R&gt;&lt;C&gt;1&lt;/C&gt;&lt;D xsi:type="xsd:double"&gt;41160&lt;/D&gt;&lt;/FQL&gt;&lt;FQL&gt;&lt;Q&gt;Ticker0024^FE_ESTIMATE(PRODLINE_SALES_15,MEAN,QUARTERLY_ROLL,2019/4F,45860,,,'')&lt;/Q&gt;&lt;R&gt;1&lt;/R&gt;&lt;C&gt;1&lt;/C&gt;&lt;D xsi:type="xsd:double"&gt;11047&lt;/D&gt;&lt;/FQL&gt;&lt;FQL&gt;&lt;Q&gt;Ticker0024^FE_ESTIMATE(PRODLINE_SALES_15,MEAN,QUARTERLY_ROLL,2019/3F,45860,,,'')&lt;/Q&gt;&lt;R&gt;1&lt;/R&gt;&lt;C&gt;1&lt;/C&gt;&lt;D xsi:type="xsd:double"&gt;10242&lt;/D&gt;&lt;/FQL&gt;&lt;FQL&gt;&lt;Q&gt;Ticker0024^FE_ESTIMATE(PRODLINE_SALES_15,MEAN,QUARTERLY_ROLL,2019/2F,45860,,,'')&lt;/Q&gt;&lt;R&gt;1&lt;/R&gt;&lt;C&gt;1&lt;/C&gt;&lt;D xsi:type="xsd:double"&gt;10100&lt;/D&gt;&lt;/FQL&gt;&lt;FQL&gt;&lt;Q&gt;Ticker0024^FE_ESTIMATE(PRODLINE_SALES_15,MEAN,QUARTERLY_ROLL,2019/1F,45860,,,'')&lt;/Q&gt;&lt;R&gt;1&lt;/R&gt;&lt;C&gt;1&lt;/C&gt;&lt;D xsi:type="xsd:double"&gt;9771&lt;/D&gt;&lt;/FQL&gt;&lt;FQL&gt;&lt;Q&gt;Ticker0024^FE_ESTIMATE(PRODLINE_SALES_15,MEAN,ANNUAL_ROLL,2018,45860,,,'')&lt;/Q&gt;&lt;R&gt;1&lt;/R&gt;&lt;C&gt;1&lt;/C&gt;&lt;D xsi:type="xsd:double"&gt;35865&lt;/D&gt;&lt;/FQL&gt;&lt;FQL&gt;&lt;Q&gt;Ticker0024^FE_ESTIMATE(PRODLINE_SALES_15,MEAN,QUARTERLY_ROLL,2018/4F,45860,,,'')&lt;/Q&gt;&lt;R&gt;1&lt;/R&gt;&lt;C&gt;1&lt;/C&gt;&lt;D xsi:type="xsd:double"&gt;9668&lt;/D&gt;&lt;/FQL&gt;&lt;FQL&gt;&lt;Q&gt;Ticker0024^FE_ESTIMATE(PRODLINE_SALES_15,MEAN,QUARTERLY_ROLL,2018/3F,45860,,,'')&lt;/Q&gt;&lt;R&gt;1&lt;/R&gt;&lt;C&gt;1&lt;/C&gt;&lt;D xsi:type="xsd:double"&gt;9006&lt;/D&gt;&lt;/FQL&gt;&lt;FQL&gt;&lt;Q&gt;Ticker0024^FE_ESTIMATE(PRODLINE_SALES_15,MEAN,QUARTERLY_ROLL,2018/2F,45860,,,'')&lt;/Q&gt;&lt;R&gt;1&lt;/R&gt;&lt;C&gt;1&lt;/C&gt;&lt;D xsi:type="xsd:double"&gt;8953&lt;/D&gt;&lt;/FQL&gt;&lt;FQL&gt;&lt;Q&gt;Ticker0024^FE_ESTIMATE(PRODLINE_SALES_15,MEAN,QUARTERLY_ROLL,2018/1F,45860,,,'')&lt;/Q&gt;&lt;R&gt;1&lt;/R&gt;&lt;C&gt;1&lt;/C&gt;&lt;D xsi:type="xsd:double"&gt;8238&lt;/D&gt;&lt;/FQL&gt;&lt;FQL&gt;&lt;Q&gt;Ticker0024^FE_ESTIMATE(PRODLINE_SALES_15,MEAN,ANNUAL_ROLL,2017,45860,,,'')&lt;/Q&gt;&lt;R&gt;1&lt;/R&gt;&lt;C&gt;1&lt;/C&gt;&lt;D xsi:type="xsd:double"&gt;30444&lt;/D&gt;&lt;/FQL&gt;&lt;FQL&gt;&lt;Q&gt;Ticker0024^FE_ESTIMATE(PRODLINE_SALES_15,MEAN,QUARTERLY_ROLL,2017/4F,45860,,,'')&lt;/Q&gt;&lt;R&gt;1&lt;/R&gt;&lt;C&gt;1&lt;/C&gt;&lt;D xsi:type="xsd:double"&gt;8446&lt;/D&gt;&lt;/FQL&gt;&lt;FQL&gt;&lt;Q&gt;Ticker0024^FE_ESTIMATE(PRODLINE_SALES_15,MEAN,QUARTERLY_ROLL,2017/3F,45860,,,'')&lt;/Q&gt;&lt;R&gt;1&lt;/R&gt;&lt;C&gt;1&lt;/C&gt;&lt;D xsi:type="xsd:double"&gt;7958&lt;/D&gt;&lt;/FQL&gt;&lt;FQL&gt;&lt;Q&gt;Ticker0024^FE_ESTIMATE(PRODLINE_SALES_15,MEAN,QUARTERLY_ROLL,2017/2F,45860,,,'')&lt;/Q&gt;&lt;R&gt;1&lt;/R&gt;&lt;C&gt;1&lt;/C&gt;&lt;D xsi:type="xsd:double"&gt;7382&lt;/D&gt;&lt;/FQL&gt;&lt;FQL&gt;&lt;Q&gt;Ticker0024^FE_ESTIMATE(PRODLINE_SALES_15,MEAN,QUARTERLY_ROLL,2017/1F,45860,,,'')&lt;/Q&gt;&lt;R&gt;1&lt;/R&gt;&lt;C&gt;1&lt;/C&gt;&lt;D xsi:type="xsd:double"&gt;6658&lt;/D&gt;&lt;/FQL&gt;&lt;FQL&gt;&lt;Q&gt;Ticker0024^FE_ESTIMATE(PRODLINE_SALES_15,MEAN,ANNUAL_ROLL,2016,45860,,,'')&lt;/Q&gt;&lt;R&gt;1&lt;/R&gt;&lt;C&gt;1&lt;/C&gt;&lt;D xsi:type="xsd:double"&gt;26487&lt;/D&gt;&lt;/FQL&gt;&lt;FQL&gt;&lt;Q&gt;Ticker0024^FE_ESTIMATE(PRODLINE_SALES_15,MEAN,QUARTERLY_ROLL,2016/4F,45860,,,'')&lt;/Q&gt;&lt;R&gt;1&lt;/R&gt;&lt;C&gt;1&lt;/C&gt;&lt;D xsi:type="xsd:double"&gt;6969&lt;/D&gt;&lt;/FQL&gt;&lt;FQL&gt;&lt;Q&gt;Ticker0024^FE_ESTIMATE(PRODLINE_SALES_15,MEAN,QUARTERLY_ROLL,2016/3F,45860,,,'')&lt;/Q&gt;&lt;R&gt;1&lt;/R&gt;&lt;C&gt;1&lt;/C&gt;&lt;D xsi:type="xsd:double"&gt;6522&lt;/D&gt;&lt;/FQL&gt;&lt;FQL&gt;&lt;Q&gt;Ticker0024^FE_ESTIMATE(PRODLINE_SALES_15,MEAN,QUARTERLY_ROLL,2016/2F,45860,,,'')&lt;/Q&gt;&lt;R&gt;1&lt;/R&gt;&lt;C&gt;1&lt;/C&gt;&lt;D xsi:type="xsd:double"&gt;6690&lt;/D&gt;&lt;/FQL&gt;&lt;FQL&gt;&lt;Q&gt;Ticker0024^FE_ESTIMATE(PRODLINE_SALES_15,MEAN,QUARTERLY_ROLL,2016/1F,45860,,,'')&lt;/Q&gt;&lt;R&gt;1&lt;/R&gt;&lt;C&gt;1&lt;/C&gt;&lt;D xsi:type="xsd:double"&gt;6306&lt;/D&gt;&lt;/FQL&gt;&lt;FQL&gt;&lt;Q&gt;Ticker0024^FE_ESTIMATE(PRODLINE_SALES_15,MEAN,ANNUAL_ROLL,2015,45860,,,'')&lt;/Q&gt;&lt;R&gt;0&lt;/R&gt;&lt;C&gt;0&lt;/C&gt;&lt;/FQL&gt;&lt;FQL&gt;&lt;Q&gt;Ticker0024^FE_ESTIMATE(PRODLINE_SALES_15,MEAN,QUARTERLY_ROLL,2015/4F,45860,,,'')&lt;/Q&gt;&lt;R&gt;0&lt;/R&gt;&lt;C&gt;0&lt;/C&gt;&lt;/FQL&gt;&lt;FQL&gt;&lt;Q&gt;Ticker0024^FE_ESTIMATE(PRODLINE_SALES_15,MEAN,QUARTERLY_ROLL,2015/3F,45860,,,'')&lt;/Q&gt;&lt;R&gt;0&lt;/R&gt;&lt;C&gt;0&lt;/C&gt;&lt;/FQL&gt;&lt;FQL&gt;&lt;Q&gt;Ticker0024^FE_ESTIMATE(PRODLINE_SALES_15,MEAN,QUARTERLY_ROLL,2015/2F,45860,,,'')&lt;/Q&gt;&lt;R&gt;0&lt;/R&gt;&lt;C&gt;0&lt;/C&gt;&lt;/FQL&gt;&lt;FQL&gt;&lt;Q&gt;Ticker0024^FE_ESTIMATE(PRODLINE_SALES_15,MEAN,QUARTERLY_ROLL,2015/1F,45860,,,'')&lt;/Q&gt;&lt;R&gt;0&lt;/R&gt;&lt;C&gt;0&lt;/C&gt;&lt;/FQL&gt;&lt;FQL&gt;&lt;Q&gt;Ticker0024^FE_ESTIMATE(SPEC_NO_CHANGE_2,MEAN,ANNUAL_ROLL,2030,45868,,,'')&lt;/Q&gt;&lt;R&gt;0&lt;/R&gt;&lt;C&gt;0&lt;/C&gt;&lt;/FQL&gt;&lt;FQL&gt;&lt;Q&gt;Ticker0024^FE_ESTIMATE(SPEC_NO_CHANGE_2,MEAN,QUARTERLY_ROLL,2030/4F,45868,,,'')&lt;/Q&gt;&lt;R&gt;0&lt;/R&gt;&lt;C&gt;0&lt;/C&gt;&lt;/FQL&gt;&lt;FQL&gt;&lt;Q&gt;Ticker0024^FE_ESTIMATE(SPEC_NO_CHANGE_2,MEAN,QUARTERLY_ROLL,2030/3F,45868,,,'')&lt;/Q&gt;&lt;R&gt;0&lt;/R&gt;&lt;C&gt;0&lt;/C&gt;&lt;/FQL&gt;&lt;FQL&gt;&lt;Q&gt;Ticker0024^FE_ESTIMATE(SPEC_NO_CHANGE_2,MEAN,QUARTERLY_ROLL,2030/2F,45868,,,'')&lt;/Q&gt;&lt;R&gt;0&lt;/R&gt;&lt;C&gt;0&lt;/C&gt;&lt;/FQL&gt;&lt;FQL&gt;&lt;Q&gt;Ticker0024^FE_ESTIMATE(SPEC_NO_CHANGE_2,MEAN,QUARTERLY_ROLL,2030/1F,45868,,,'')&lt;/Q&gt;&lt;R&gt;0&lt;/R&gt;&lt;C&gt;0&lt;/C&gt;&lt;/FQL&gt;&lt;FQL&gt;&lt;Q&gt;Ticker0024^FE_ESTIMATE(SPEC_NO_CHANGE_2,MEAN,ANNUAL_ROLL,2029,45868,,,'')&lt;/Q&gt;&lt;R&gt;0&lt;/R&gt;&lt;C&gt;0&lt;/C&gt;&lt;/FQL&gt;&lt;FQL&gt;&lt;Q&gt;Ticker0024^FE_ESTIMATE(SPEC_NO_CHANGE_2,MEAN,QUARTERLY_ROLL,2029/4F,45868,,,'')&lt;/Q&gt;&lt;R&gt;0&lt;/R&gt;&lt;C&gt;0&lt;/C&gt;&lt;/FQL&gt;&lt;FQL&gt;&lt;Q&gt;Ticker0024^FE_ESTIMATE(SPEC_NO_CHANGE_2,MEAN,QUARTERLY_ROLL,2029/3F,45868,,,'')&lt;/Q&gt;&lt;R&gt;0&lt;/R&gt;&lt;C&gt;0&lt;/C&gt;&lt;/FQL&gt;&lt;FQL&gt;&lt;Q&gt;Ticker0024^FE_ESTIMATE(SPEC_NO_CHANGE_2,MEAN,QUARTERLY_ROLL,2029/2F,45868,,,'')&lt;/Q&gt;&lt;R&gt;0&lt;/R&gt;&lt;C&gt;0&lt;/C&gt;&lt;/FQL&gt;&lt;FQL&gt;&lt;Q&gt;Ticker0024^FE_ESTIMATE(SPEC_NO_CHANGE_2,MEAN,QUARTERLY_ROLL,2029/1F,45868,,,'')&lt;/Q&gt;&lt;R&gt;0&lt;/R&gt;&lt;C&gt;0&lt;/C&gt;&lt;/FQL&gt;&lt;FQL&gt;&lt;Q&gt;Ticker0024^FE_ESTIMATE(SPEC_NO_CHANGE_2,MEAN,ANNUAL_ROLL,2028,45868,,,'')&lt;/Q&gt;&lt;R&gt;0&lt;/R&gt;&lt;C&gt;0&lt;/C&gt;&lt;/FQL&gt;&lt;FQL&gt;&lt;Q&gt;Ticker0024^FE_ESTIMATE(SPEC_NO_CHANGE_2,MEAN,QUARTERLY_ROLL,2028/4F,45868,,,'')&lt;/Q&gt;&lt;R&gt;0&lt;/R&gt;&lt;C&gt;0&lt;/C&gt;&lt;/FQL&gt;&lt;FQL&gt;&lt;Q&gt;Ticker0024^FE_ESTIMATE(SPEC_NO_CHANGE_2,MEAN,QUARTERLY_ROLL,2028/3F,45868,,,'')&lt;/Q&gt;&lt;R&gt;0&lt;/R&gt;&lt;C&gt;0&lt;/C&gt;&lt;/FQL&gt;&lt;FQL&gt;&lt;Q&gt;Ticker0024^FE_ESTIMATE(SPEC_NO_CHANGE_2,MEAN,QUARTERLY_ROLL,2028/2F,45868,,,'')&lt;/Q&gt;&lt;R&gt;0&lt;/R&gt;&lt;C&gt;0&lt;/C&gt;&lt;/FQL&gt;&lt;FQL&gt;&lt;Q&gt;Ticker0024^FE_ESTIMATE(SPEC_NO_CHANGE_2,MEAN,QUARTERLY_ROLL,2028/1F,45868,,,'')&lt;/Q&gt;&lt;R&gt;0&lt;/R&gt;&lt;C&gt;0&lt;/C&gt;&lt;/FQL&gt;&lt;FQL&gt;&lt;Q&gt;Ticker0024^FE_ESTIMATE(SPEC_NO_CHANGE_2,MEAN,ANNUAL_ROLL,2027,45868,,,'')&lt;/Q&gt;&lt;R&gt;1&lt;/R&gt;&lt;C&gt;1&lt;/C&gt;&lt;D xsi:type="xsd:double"&gt;31.333334&lt;/D&gt;&lt;/FQL&gt;&lt;FQL&gt;&lt;Q&gt;Ticker0024^FE_ESTIMATE(SPEC_NO_CHANGE_2,MEAN,QUARTERLY_ROLL,2027/4F,45868,,,'')&lt;/Q&gt;&lt;R&gt;0&lt;/R&gt;&lt;C&gt;0&lt;/C&gt;&lt;/FQL&gt;&lt;FQL&gt;&lt;Q&gt;Ticker0024^FE_ESTIMATE(SPEC_NO_CHANGE_2,MEAN,QUARTERLY_ROLL,2027/3F,45868,,,'')&lt;/Q&gt;&lt;R&gt;0&lt;/R&gt;&lt;C&gt;0&lt;/C&gt;&lt;/FQL&gt;&lt;FQL&gt;&lt;Q&gt;Ticker0024^FE_ESTIMATE(SPEC_NO_CHANGE_2,MEAN,QUARTERLY_ROLL,2027/2F,45868,,,'')&lt;/Q&gt;&lt;R&gt;0&lt;/R&gt;&lt;C&gt;0&lt;/C&gt;&lt;/FQL&gt;&lt;FQL&gt;&lt;Q&gt;Ticker0024^FE_ESTIMATE(SPEC_NO_CHANGE_2,MEAN,QUARTERLY_ROLL,2027/1F,45868,,,'')&lt;/Q&gt;&lt;R&gt;0&lt;/R&gt;&lt;C&gt;0&lt;/C&gt;&lt;/FQL&gt;&lt;FQL&gt;&lt;Q&gt;Ticker0024^FE_ESTIMATE(SPEC_NO_CHANGE_2,MEAN,ANNUAL_ROLL,2026,45868,,,'')&lt;/Q&gt;&lt;R&gt;1&lt;/R&gt;&lt;C&gt;1&lt;/C&gt;&lt;D xsi:type="xsd:double"&gt;33.1&lt;/D&gt;&lt;/FQL&gt;&lt;FQL&gt;&lt;Q&gt;Ticker0024^FE_ESTIMATE(SPEC_NO_CHANGE_2,MEAN,QUARTERLY_ROLL,2026/4F,45868,,,'')&lt;/Q&gt;&lt;R&gt;1&lt;/R&gt;&lt;C&gt;1&lt;/C&gt;&lt;D xsi:type="xsd:double"&gt;32&lt;/D&gt;&lt;/FQL&gt;&lt;FQL&gt;&lt;Q&gt;Ticker0024^FE_ESTIMATE(SPEC_NO_CHANGE_2,MEAN,QUARTERLY_ROLL,2026/3F,45868,,,'')&lt;/Q&gt;&lt;R&gt;1&lt;/R&gt;&lt;C&gt;1&lt;/C&gt;&lt;D xsi:type="xsd:double"&gt;32&lt;/D&gt;&lt;/FQL&gt;&lt;FQL&gt;&lt;Q&gt;Ticker0024^FE_ESTIMATE(SPEC_NO_CHANGE_2,MEAN,QUARTERLY_ROLL,2026/2F,45868,,,'')&lt;/Q&gt;&lt;R&gt;1&lt;/R&gt;&lt;C&gt;1&lt;/C&gt;&lt;D xsi:type="xsd:double"&gt;33.6&lt;/D&gt;&lt;/FQL&gt;&lt;FQL&gt;&lt;Q&gt;Ticker0024^FE_ESTIMATE(SPEC_NO_CHANGE_2,MEAN,QUARTERLY_ROLL,2026/1F,45868,,,'')&lt;/Q&gt;&lt;R&gt;1&lt;/R&gt;&lt;C&gt;1&lt;/C&gt;&lt;D xsi:type="xsd:double"&gt;33.7&lt;/D&gt;&lt;/FQL&gt;&lt;FQL&gt;&lt;Q&gt;Ticker0024^FE_ESTIMATE(SPEC_NO_CHANGE_2,MEAN,ANNUAL_ROLL,2025,45868,,,'')&lt;/Q&gt;&lt;R&gt;1&lt;/R&gt;&lt;C&gt;1&lt;/C&gt;&lt;D xsi:type="xsd:double"&gt;33.18&lt;/D&gt;&lt;/FQL&gt;&lt;FQL&gt;&lt;Q&gt;Ticker0024^FE_ESTIMATE(SPEC_NO_CHANGE_2,MEAN,QUARTERLY_ROLL,2025/4F,45868,,,'')&lt;/Q&gt;&lt;R&gt;1&lt;/R&gt;&lt;C&gt;1&lt;/C&gt;&lt;D xsi:type="xsd:double"&gt;34.4&lt;/D&gt;&lt;/FQL&gt;&lt;FQL&gt;&lt;Q&gt;Ticker0024^FE_ESTIMATE(SPEC_NO_CHANGE_2,MEAN,QUARTERLY_ROLL,2025/3F,45868,,,'')&lt;/Q&gt;&lt;R&gt;1&lt;/R&gt;&lt;C&gt;1&lt;/C&gt;&lt;D xsi:type="xsd:double"&gt;34&lt;/D&gt;&lt;/FQL&gt;&lt;FQL&gt;&lt;Q&gt;Ticker0024^FE_ESTIMATE(SPEC_NO_CHANGE_2,MEAN,QUARTERLY_ROLL,2025/2F,45868,,,'')&lt;/Q&gt;&lt;R&gt;1&lt;/R&gt;&lt;C&gt;1&lt;/C&gt;&lt;D xsi:type="xsd:double"&gt;31&lt;/D&gt;&lt;/FQL&gt;&lt;FQL&gt;&lt;Q&gt;Ticker0024^FE_ESTIMATE(SPEC_NO_CHANGE_2,MEAN,QUARTERLY_ROLL,2025/1F,45868,,,'')&lt;/Q&gt;&lt;R&gt;1&lt;/R&gt;&lt;C&gt;1&lt;/C&gt;&lt;D xsi:type="xsd:double"&gt;34&lt;/D&gt;&lt;/FQL&gt;&lt;FQL&gt;&lt;Q&gt;Ticker0024^FE_ESTIMATE(SPEC_NO_CHANGE_2,MEAN,ANNUAL_ROLL,2024,45868,,,'')&lt;/Q&gt;&lt;R&gt;1&lt;/R&gt;&lt;C&gt;1&lt;/C&gt;&lt;D xsi:type="xsd:double"&gt;29.14&lt;/D&gt;&lt;/FQL&gt;&lt;FQL&gt;&lt;Q&gt;Ticker0024^FE_ESTIMATE(SPEC_NO_CHANGE_2,MEAN,QUARTERLY_ROLL,2024/4F,45868,,,'')&lt;/Q&gt;&lt;R&gt;1&lt;/R&gt;&lt;C&gt;1&lt;/C&gt;&lt;D xsi:type="xsd:double"&gt;30&lt;/D&gt;&lt;/FQL&gt;&lt;FQL&gt;&lt;Q&gt;Ticker0024^FE_ESTIMATE(SPEC_NO_CHANGE_2,MEAN,QUARTERLY_ROLL,2024/3F,45868,,,'')&lt;/Q&gt;&lt;R&gt;1&lt;/R&gt;&lt;C&gt;1&lt;/C&gt;&lt;D xsi:type="xsd:double"&gt;31&lt;/D&gt;&lt;/FQL&gt;&lt;FQL&gt;&lt;Q&gt;Ticker0024^FE_ESTIMATE(SPEC_NO_CHANGE_2,MEAN,QUARTERLY_ROLL,2024/2F,45868,,,'')&lt;/Q&gt;&lt;R&gt;1&lt;/R&gt;&lt;C&gt;1&lt;/C&gt;&lt;D xsi:type="xsd:double"&gt;28&lt;/D&gt;&lt;/FQL&gt;&lt;FQL&gt;&lt;Q&gt;Ticker0024^FE_ESTIMATE(SPEC_NO_CHANGE_2,MEAN,QUARTERLY_ROLL,2024/1F,45868,,,'')&lt;/Q&gt;&lt;R&gt;1&lt;/R&gt;&lt;C&gt;1&lt;/C&gt;&lt;D xsi:type="xsd:double"&gt;28.1&lt;/D&gt;&lt;/FQL&gt;&lt;FQL&gt;&lt;Q&gt;Ticker0024^FE_ESTIMATE(SPEC_NO_CHANGE_2,MEAN,ANNUAL_ROLL,2023,45868,,,'')&lt;/Q&gt;&lt;R&gt;1&lt;/R&gt;&lt;C&gt;1&lt;/C&gt;&lt;D xsi:type="xsd:double"&gt;34&lt;/D&gt;&lt;/FQL&gt;&lt;FQL&gt;&lt;Q&gt;Ticker0024^FE_ESTIMATE(SPEC_NO_CHANGE_2,MEAN,QUARTERLY_ROLL,2023/4F,45868,,,'')&lt;/Q&gt;&lt;R&gt;1&lt;/R&gt;&lt;C&gt;1&lt;/C&gt;&lt;D xsi:type="xsd:double"&gt;27&lt;/D&gt;&lt;/FQL&gt;&lt;FQL&gt;&lt;Q&gt;Ticker0024^FE_ESTIMATE(SPEC_NO_CHANGE_2,MEAN,QUARTERLY_ROLL,2023/3F,45868,,,'')&lt;/Q&gt;&lt;R&gt;1&lt;/R&gt;&lt;C&gt;1&lt;/C&gt;&lt;D xsi:type="xsd:double"&gt;31&lt;/D&gt;&lt;/FQL&gt;&lt;FQL&gt;&lt;Q&gt;Ticker0024^FE_ESTIMATE(SPEC_NO_CHANGE_2,MEAN,QUARTERLY_ROLL,2023/2F,45868,,,'')&lt;/Q&gt;&lt;R&gt;1&lt;/R&gt;&lt;C&gt;1&lt;/C&gt;&lt;D xsi:type="xsd:double"&gt;38&lt;/D&gt;&lt;/FQL&gt;&lt;FQL&gt;&lt;Q&gt;Ticker0024^FE_ESTIMATE(SPEC_NO_CHANGE_2,MEAN,QUARTERLY_ROLL,2023/1F,45868,,,'')&lt;/Q&gt;&lt;R&gt;1&lt;/R&gt;&lt;C&gt;1&lt;/C&gt;&lt;D xsi:type="xsd:double"&gt;42&lt;/D&gt;&lt;/FQL&gt;&lt;FQL&gt;&lt;Q&gt;Ticker0024^FE_ESTIMATE(SPEC_NO_CHANGE_2,MEAN,ANNUAL_ROLL,2022,45868,,,'')&lt;/Q&gt;&lt;R&gt;1&lt;/R&gt;&lt;C&gt;1&lt;/C&gt;&lt;D xsi:type="xsd:double"&gt;47.05&lt;/D&gt;&lt;/FQL&gt;&lt;FQL&gt;&lt;Q&gt;Ticker0024^FE_ESTIMATE(SPEC_NO_CHANGE_2,MEAN,QUARTERLY_ROLL,2022/4F,45868,,,'')&lt;/Q&gt;&lt;R&gt;1&lt;/R&gt;&lt;C&gt;1&lt;/C&gt;&lt;D xsi:type="xsd:double"&gt;46&lt;/D&gt;&lt;/FQL&gt;&lt;FQL&gt;&lt;Q&gt;Ticker0024^FE_ESTIMATE(SPEC_NO_CHANGE_2,MEAN,QUARTERLY_ROLL,2022/3F,45868,,,'')&lt;/Q&gt;&lt;R&gt;0&lt;/R&gt;&lt;C&gt;0&lt;/C&gt;&lt;/FQL&gt;&lt;FQL&gt;&lt;Q&gt;Ticker0024^FE_ESTIMATE(SPEC_NO_CHANGE_2,MEAN,QUARTERLY_ROLL,2022/2F,45868,,,'')&lt;/Q&gt;&lt;R&gt;0&lt;/R&gt;&lt;C&gt;0&lt;/C&gt;&lt;/FQL&gt;&lt;FQL&gt;&lt;Q&gt;Ticker0024^FE_ESTIMATE(SPEC_NO_CHANGE_2,MEAN,QUARTERLY_ROLL,2022/1F,45868,,,'')&lt;/Q&gt;&lt;R&gt;0&lt;/R&gt;&lt;C&gt;0&lt;/C&gt;&lt;/FQL&gt;&lt;FQL&gt;&lt;Q&gt;Ticker0024^FE_ESTIMATE(SPEC_NO_CHANGE_2,MEAN,ANNUAL_ROLL,2021,45868,,,'')&lt;/Q&gt;&lt;R&gt;0&lt;/R&gt;&lt;C&gt;0&lt;/C&gt;&lt;/FQL&gt;&lt;FQL&gt;&lt;Q&gt;Ticker0024^FE_ESTIMATE(SPEC_NO_CHANGE_2,MEAN,QUARTERLY_ROLL,2021/4F,45868,,,'')&lt;/Q&gt;&lt;R&gt;0&lt;/R&gt;&lt;C&gt;0&lt;/C&gt;&lt;/FQL&gt;&lt;FQL&gt;&lt;Q&gt;Ticker0024^FE_ESTIMATE(SPEC_NO_CHANGE_2,MEAN,QUARTERLY_ROLL,2021/3F,45868,,,'')&lt;/Q&gt;&lt;R&gt;1&lt;/R&gt;&lt;C&gt;1&lt;/C&gt;&lt;D xsi:type="xsd:double"&gt;46&lt;/D&gt;&lt;/FQL&gt;&lt;FQL&gt;&lt;Q&gt;Ticker0024^FE_ESTIMATE(SPEC_NO_CHANGE_2,MEAN,QUARTERLY_ROLL,2021/2F,45868,,,'')&lt;/Q&gt;&lt;R&gt;0&lt;/R&gt;&lt;C&gt;0&lt;/C&gt;&lt;/FQL&gt;&lt;FQL&gt;&lt;Q&gt;Ticker0024^FE_ESTIMATE(SPEC_NO_CHANGE_2,MEAN,QUARTERLY_ROLL,2021/1F,45868,,,'')&lt;/Q&gt;&lt;R&gt;0&lt;/R&gt;&lt;C&gt;0&lt;/C&gt;&lt;/FQL&gt;&lt;FQL&gt;&lt;Q&gt;Ticker0024^FE_ESTIMATE(SPEC_NO_CHANGE_2,MEAN,ANNUAL_ROLL,2020,45868,,,'')&lt;/Q&gt;&lt;R&gt;0&lt;/R&gt;&lt;C&gt;0&lt;/C&gt;&lt;/FQL&gt;&lt;FQL&gt;&lt;Q&gt;Ticker0024^FE_ESTIMATE(SPEC_NO_CHANGE_2,MEAN,QUARTERLY_ROLL,2020/4F,45868,,,'')&lt;/Q&gt;&lt;R&gt;0&lt;</t>
        </r>
      </text>
    </comment>
    <comment ref="A69" authorId="0" shapeId="0" xr:uid="{7E100E36-5498-49F3-B790-4C822BB8C176}">
      <text>
        <r>
          <rPr>
            <b/>
            <sz val="9"/>
            <color indexed="81"/>
            <rFont val="Tahoma"/>
            <family val="2"/>
          </rPr>
          <t>/R&gt;&lt;C&gt;0&lt;/C&gt;&lt;/FQL&gt;&lt;FQL&gt;&lt;Q&gt;Ticker0024^FE_ESTIMATE(SPEC_NO_CHANGE_2,MEAN,QUARTERLY_ROLL,2020/3F,45868,,,'')&lt;/Q&gt;&lt;R&gt;0&lt;/R&gt;&lt;C&gt;0&lt;/C&gt;&lt;/FQL&gt;&lt;FQL&gt;&lt;Q&gt;Ticker0024^FE_ESTIMATE(SPEC_NO_CHANGE_2,MEAN,QUARTERLY_ROLL,2020/2F,45868,,,'')&lt;/Q&gt;&lt;R&gt;0&lt;/R&gt;&lt;C&gt;0&lt;/C&gt;&lt;/FQL&gt;&lt;FQL&gt;&lt;Q&gt;Ticker0024^FE_ESTIMATE(SPEC_NO_CHANGE_2,MEAN,QUARTERLY_ROLL,2020/1F,45868,,,'')&lt;/Q&gt;&lt;R&gt;0&lt;/R&gt;&lt;C&gt;0&lt;/C&gt;&lt;/FQL&gt;&lt;FQL&gt;&lt;Q&gt;Ticker0024^FE_ESTIMATE(SPEC_NO_CHANGE_1,MEAN,ANNUAL_ROLL,2030,45868,,,'')&lt;/Q&gt;&lt;R&gt;0&lt;/R&gt;&lt;C&gt;0&lt;/C&gt;&lt;/FQL&gt;&lt;FQL&gt;&lt;Q&gt;Ticker0024^FE_ESTIMATE(SPEC_NO_CHANGE_1,MEAN,QUARTERLY_ROLL,2030/4F,45868,,,'')&lt;/Q&gt;&lt;R&gt;0&lt;/R&gt;&lt;C&gt;0&lt;/C&gt;&lt;/FQL&gt;&lt;FQL&gt;&lt;Q&gt;Ticker0024^FE_ESTIMATE(SPEC_NO_CHANGE_1,MEAN,QUARTERLY_ROLL,2030/3F,45868,,,'')&lt;/Q&gt;&lt;R&gt;0&lt;/R&gt;&lt;C&gt;0&lt;/C&gt;&lt;/FQL&gt;&lt;FQL&gt;&lt;Q&gt;Ticker0024^FE_ESTIMATE(SPEC_NO_CHANGE_1,MEAN,QUARTERLY_ROLL,2030/2F,45868,,,'')&lt;/Q&gt;&lt;R&gt;0&lt;/R&gt;&lt;C&gt;0&lt;/C&gt;&lt;/FQL&gt;&lt;FQL&gt;&lt;Q&gt;Ticker0024^FE_ESTIMATE(SPEC_NO_CHANGE_1,MEAN,QUARTERLY_ROLL,2030/1F,45868,,,'')&lt;/Q&gt;&lt;R&gt;0&lt;/R&gt;&lt;C&gt;0&lt;/C&gt;&lt;/FQL&gt;&lt;FQL&gt;&lt;Q&gt;Ticker0024^FE_ESTIMATE(SPEC_NO_CHANGE_1,MEAN,ANNUAL_ROLL,2029,45868,,,'')&lt;/Q&gt;&lt;R&gt;0&lt;/R&gt;&lt;C&gt;0&lt;/C&gt;&lt;/FQL&gt;&lt;FQL&gt;&lt;Q&gt;Ticker0024^FE_ESTIMATE(SPEC_NO_CHANGE_1,MEAN,QUARTERLY_ROLL,2029/4F,45868,,,'')&lt;/Q&gt;&lt;R&gt;0&lt;/R&gt;&lt;C&gt;0&lt;/C&gt;&lt;/FQL&gt;&lt;FQL&gt;&lt;Q&gt;Ticker0024^FE_ESTIMATE(SPEC_NO_CHANGE_1,MEAN,QUARTERLY_ROLL,2029/3F,45868,,,'')&lt;/Q&gt;&lt;R&gt;0&lt;/R&gt;&lt;C&gt;0&lt;/C&gt;&lt;/FQL&gt;&lt;FQL&gt;&lt;Q&gt;Ticker0024^FE_ESTIMATE(SPEC_NO_CHANGE_1,MEAN,QUARTERLY_ROLL,2029/2F,45868,,,'')&lt;/Q&gt;&lt;R&gt;0&lt;/R&gt;&lt;C&gt;0&lt;/C&gt;&lt;/FQL&gt;&lt;FQL&gt;&lt;Q&gt;Ticker0024^FE_ESTIMATE(SPEC_NO_CHANGE_1,MEAN,QUARTERLY_ROLL,2029/1F,45868,,,'')&lt;/Q&gt;&lt;R&gt;0&lt;/R&gt;&lt;C&gt;0&lt;/C&gt;&lt;/FQL&gt;&lt;FQL&gt;&lt;Q&gt;Ticker0024^FE_ESTIMATE(SPEC_NO_CHANGE_1,MEAN,ANNUAL_ROLL,2028,45868,,,'')&lt;/Q&gt;&lt;R&gt;0&lt;/R&gt;&lt;C&gt;0&lt;/C&gt;&lt;/FQL&gt;&lt;FQL&gt;&lt;Q&gt;Ticker0024^FE_ESTIMATE(SPEC_NO_CHANGE_1,MEAN,QUARTERLY_ROLL,2028/4F,45868,,,'')&lt;/Q&gt;&lt;R&gt;0&lt;/R&gt;&lt;C&gt;0&lt;/C&gt;&lt;/FQL&gt;&lt;FQL&gt;&lt;Q&gt;Ticker0024^FE_ESTIMATE(SPEC_NO_CHANGE_1,MEAN,QUARTERLY_ROLL,2028/3F,45868,,,'')&lt;/Q&gt;&lt;R&gt;0&lt;/R&gt;&lt;C&gt;0&lt;/C&gt;&lt;/FQL&gt;&lt;FQL&gt;&lt;Q&gt;Ticker0024^FE_ESTIMATE(SPEC_NO_CHANGE_1,MEAN,QUARTERLY_ROLL,2028/2F,45868,,,'')&lt;/Q&gt;&lt;R&gt;0&lt;/R&gt;&lt;C&gt;0&lt;/C&gt;&lt;/FQL&gt;&lt;FQL&gt;&lt;Q&gt;Ticker0024^FE_ESTIMATE(SPEC_NO_CHANGE_1,MEAN,QUARTERLY_ROLL,2028/1F,45868,,,'')&lt;/Q&gt;&lt;R&gt;0&lt;/R&gt;&lt;C&gt;0&lt;/C&gt;&lt;/FQL&gt;&lt;FQL&gt;&lt;Q&gt;Ticker0024^FE_ESTIMATE(SPEC_NO_CHANGE_1,MEAN,ANNUAL_ROLL,2027,45868,,,'')&lt;/Q&gt;&lt;R&gt;1&lt;/R&gt;&lt;C&gt;1&lt;/C&gt;&lt;D xsi:type="xsd:double"&gt;33&lt;/D&gt;&lt;/FQL&gt;&lt;FQL&gt;&lt;Q&gt;Ticker0024^FE_ESTIMATE(SPEC_NO_CHANGE_1,MEAN,QUARTERLY_ROLL,2027/4F,45868,,,'')&lt;/Q&gt;&lt;R&gt;0&lt;/R&gt;&lt;C&gt;0&lt;/C&gt;&lt;/FQL&gt;&lt;FQL&gt;&lt;Q&gt;Ticker0024^FE_ESTIMATE(SPEC_NO_CHANGE_1,MEAN,QUARTERLY_ROLL,2027/3F,45868,,,'')&lt;/Q&gt;&lt;R&gt;0&lt;/R&gt;&lt;C&gt;0&lt;/C&gt;&lt;/FQL&gt;&lt;FQL&gt;&lt;Q&gt;Ticker0024^FE_ESTIMATE(SPEC_NO_CHANGE_1,MEAN,QUARTERLY_ROLL,2027/2F,45868,,,'')&lt;/Q&gt;&lt;R&gt;0&lt;/R&gt;&lt;C&gt;0&lt;/C&gt;&lt;/FQL&gt;&lt;FQL&gt;&lt;Q&gt;Ticker0024^FE_ESTIMATE(SPEC_NO_CHANGE_1,MEAN,QUARTERLY_ROLL,2027/1F,45868,,,'')&lt;/Q&gt;&lt;R&gt;0&lt;/R&gt;&lt;C&gt;0&lt;/C&gt;&lt;/FQL&gt;&lt;FQL&gt;&lt;Q&gt;Ticker0024^FE_ESTIMATE(SPEC_NO_CHANGE_1,MEAN,ANNUAL_ROLL,2026,45868,,,'')&lt;/Q&gt;&lt;R&gt;1&lt;/R&gt;&lt;C&gt;1&lt;/C&gt;&lt;D xsi:type="xsd:double"&gt;32.5&lt;/D&gt;&lt;/FQL&gt;&lt;FQL&gt;&lt;Q&gt;Ticker0024^FE_ESTIMATE(SPEC_NO_CHANGE_1,MEAN,QUARTERLY_ROLL,2026/4F,45868,,,'')&lt;/Q&gt;&lt;R&gt;1&lt;/R&gt;&lt;C&gt;1&lt;/C&gt;&lt;D xsi:type="xsd:double"&gt;32&lt;/D&gt;&lt;/FQL&gt;&lt;FQL&gt;&lt;Q&gt;Ticker0024^FE_ESTIMATE(SPEC_NO_CHANGE_1,MEAN,QUARTERLY_ROLL,2026/3F,45868,,,'')&lt;/Q&gt;&lt;R&gt;1&lt;/R&gt;&lt;C&gt;1&lt;/C&gt;&lt;D xsi:type="xsd:double"&gt;32&lt;/D&gt;&lt;/FQL&gt;&lt;FQL&gt;&lt;Q&gt;Ticker0024^FE_ESTIMATE(SPEC_NO_CHANGE_1,MEAN,QUARTERLY_ROLL,2026/2F,45868,,,'')&lt;/Q&gt;&lt;R&gt;1&lt;/R&gt;&lt;C&gt;1&lt;/C&gt;&lt;D xsi:type="xsd:double"&gt;33&lt;/D&gt;&lt;/FQL&gt;&lt;FQL&gt;&lt;Q&gt;Ticker0024^FE_ESTIMATE(SPEC_NO_CHANGE_1,MEAN,QUARTERLY_ROLL,2026/1F,45868,,,'')&lt;/Q&gt;&lt;R&gt;1&lt;/R&gt;&lt;C&gt;1&lt;/C&gt;&lt;D xsi:type="xsd:double"&gt;33&lt;/D&gt;&lt;/FQL&gt;&lt;FQL&gt;&lt;Q&gt;Ticker0024^FE_ESTIMATE(SPEC_NO_CHANGE_1,MEAN,ANNUAL_ROLL,2025,45868,,,'')&lt;/Q&gt;&lt;R&gt;1&lt;/R&gt;&lt;C&gt;1&lt;/C&gt;&lt;D xsi:type="xsd:double"&gt;32.833332&lt;/D&gt;&lt;/FQL&gt;&lt;FQL&gt;&lt;Q&gt;Ticker0024^FE_ESTIMATE(SPEC_NO_CHANGE_1,MEAN,QUARTERLY_ROLL,2025/4F,45868,,,'')&lt;/Q&gt;&lt;R&gt;1&lt;/R&gt;&lt;C&gt;1&lt;/C&gt;&lt;D xsi:type="xsd:double"&gt;34.6&lt;/D&gt;&lt;/FQL&gt;&lt;FQL&gt;&lt;Q&gt;Ticker0024^FE_ESTIMATE(SPEC_NO_CHANGE_1,MEAN,QUARTERLY_ROLL,2025/3F,45868,,,'')&lt;/Q&gt;&lt;R&gt;0&lt;/R&gt;&lt;C&gt;0&lt;/C&gt;&lt;/FQL&gt;&lt;FQL&gt;&lt;Q&gt;Ticker0024^FE_ESTIMATE(SPEC_NO_CHANGE_1,MEAN,QUARTERLY_ROLL,2025/2F,45868,,,'')&lt;/Q&gt;&lt;R&gt;1&lt;/R&gt;&lt;C&gt;1&lt;/C&gt;&lt;D xsi:type="xsd:double"&gt;31&lt;/D&gt;&lt;/FQL&gt;&lt;FQL&gt;&lt;Q&gt;Ticker0024^FE_ESTIMATE(SPEC_NO_CHANGE_1,MEAN,QUARTERLY_ROLL,2025/1F,45868,,,'')&lt;/Q&gt;&lt;R&gt;1&lt;/R&gt;&lt;C&gt;1&lt;/C&gt;&lt;D xsi:type="xsd:double"&gt;31.05&lt;/D&gt;&lt;/FQL&gt;&lt;FQL&gt;&lt;Q&gt;Ticker0024^FE_ESTIMATE(SPEC_NO_CHANGE_1,MEAN,ANNUAL_ROLL,2024,45868,,,'')&lt;/Q&gt;&lt;R&gt;1&lt;/R&gt;&lt;C&gt;1&lt;/C&gt;&lt;D xsi:type="xsd:double"&gt;29.966667&lt;/D&gt;&lt;/FQL&gt;&lt;FQL&gt;&lt;Q&gt;Ticker0024^FE_ESTIMATE(SPEC_NO_CHANGE_1,MEAN,QUARTERLY_ROLL,2024/4F,45868,,,'')&lt;/Q&gt;&lt;R&gt;1&lt;/R&gt;&lt;C&gt;1&lt;/C&gt;&lt;D xsi:type="xsd:double"&gt;28.933332&lt;/D&gt;&lt;/FQL&gt;&lt;FQL&gt;&lt;Q&gt;Ticker0024^FE_ESTIMATE(SPEC_NO_CHANGE_1,MEAN,QUARTERLY_ROLL,2024/3F,45868,,,'')&lt;/Q&gt;&lt;R&gt;1&lt;/R&gt;&lt;C&gt;1&lt;/C&gt;&lt;D xsi:type="xsd:double"&gt;31.02&lt;/D&gt;&lt;/FQL&gt;&lt;FQL&gt;&lt;Q&gt;Ticker0024^FE_ESTIMATE(SPEC_NO_CHANGE_1,MEAN,QUARTERLY_ROLL,2024/2F,45868,,,'')&lt;/Q&gt;&lt;R&gt;1&lt;/R&gt;&lt;C&gt;1&lt;/C&gt;&lt;D xsi:type="xsd:double"&gt;30.06&lt;/D&gt;&lt;/FQL&gt;&lt;FQL&gt;&lt;Q&gt;Ticker0024^FE_ESTIMATE(SPEC_NO_CHANGE_1,MEAN,QUARTERLY_ROLL,2024/1F,45868,,,'')&lt;/Q&gt;&lt;R&gt;1&lt;/R&gt;&lt;C&gt;1&lt;/C&gt;&lt;D xsi:type="xsd:double"&gt;29.066668&lt;/D&gt;&lt;/FQL&gt;&lt;FQL&gt;&lt;Q&gt;Ticker0024^FE_ESTIMATE(SPEC_NO_CHANGE_1,MEAN,ANNUAL_ROLL,2023,45868,,,'')&lt;/Q&gt;&lt;R&gt;1&lt;/R&gt;&lt;C&gt;1&lt;/C&gt;&lt;D xsi:type="xsd:double"&gt;29.166666&lt;/D&gt;&lt;/FQL&gt;&lt;FQL&gt;&lt;Q&gt;Ticker0024^FE_ESTIMATE(SPEC_NO_CHANGE_1,MEAN,QUARTERLY_ROLL,2023/4F,45868,,,'')&lt;/Q&gt;&lt;R&gt;1&lt;/R&gt;&lt;C&gt;1&lt;/C&gt;&lt;D xsi:type="xsd:double"&gt;25.916666&lt;/D&gt;&lt;/FQL&gt;&lt;FQL&gt;&lt;Q&gt;Ticker0024^FE_ESTIMATE(SPEC_NO_CHANGE_1,MEAN,QUARTERLY_ROLL,2023/3F,45868,,,'')&lt;/Q&gt;&lt;R&gt;1&lt;/R&gt;&lt;C&gt;1&lt;/C&gt;&lt;D xsi:type="xsd:double"&gt;27.766666&lt;/D&gt;&lt;/FQL&gt;&lt;FQL&gt;&lt;Q&gt;Ticker0024^FE_ESTIMATE(SPEC_NO_CHANGE_1,MEAN,QUARTERLY_ROLL,2023/2F,45868,,,'')&lt;/Q&gt;&lt;R&gt;1&lt;/R&gt;&lt;C&gt;1&lt;/C&gt;&lt;D xsi:type="xsd:double"&gt;31&lt;/D&gt;&lt;/FQL&gt;&lt;FQL&gt;&lt;Q&gt;Ticker0024^FE_ESTIMATE(SPEC_NO_CHANGE_1,MEAN,QUARTERLY_ROLL,2023/1F,45868,,,'')&lt;/Q&gt;&lt;R&gt;1&lt;/R&gt;&lt;C&gt;1&lt;/C&gt;&lt;D xsi:type="xsd:double"&gt;35&lt;/D&gt;&lt;/FQL&gt;&lt;FQL&gt;&lt;Q&gt;Ticker0024^FE_ESTIMATE(SPEC_NO_CHANGE_1,MEAN,ANNUAL_ROLL,2022,45868,,,'')&lt;/Q&gt;&lt;R&gt;1&lt;/R&gt;&lt;C&gt;1&lt;/C&gt;&lt;D xsi:type="xsd:double"&gt;45.05&lt;/D&gt;&lt;/FQL&gt;&lt;FQL&gt;&lt;Q&gt;Ticker0024^FE_ESTIMATE(SPEC_NO_CHANGE_1,MEAN,QUARTERLY_ROLL,2022/4F,45868,,,'')&lt;/Q&gt;&lt;R&gt;1&lt;/R&gt;&lt;C&gt;1&lt;/C&gt;&lt;D xsi:type="xsd:double"&gt;40&lt;/D&gt;&lt;/FQL&gt;&lt;FQL&gt;&lt;Q&gt;Ticker0024^FE_ESTIMATE(SPEC_NO_CHANGE_1,MEAN,QUARTERLY_ROLL,2022/3F,45868,,,'')&lt;/Q&gt;&lt;R&gt;1&lt;/R&gt;&lt;C&gt;1&lt;/C&gt;&lt;D xsi:type="xsd:double"&gt;46&lt;/D&gt;&lt;/FQL&gt;&lt;FQL&gt;&lt;Q&gt;Ticker0024^FE_ESTIMATE(SPEC_NO_CHANGE_1,MEAN,QUARTERLY_ROLL,2022/2F,45868,,,'')&lt;/Q&gt;&lt;R&gt;1&lt;/R&gt;&lt;C&gt;1&lt;/C&gt;&lt;D xsi:type="xsd:double"&gt;46&lt;/D&gt;&lt;/FQL&gt;&lt;FQL&gt;&lt;Q&gt;Ticker0024^FE_ESTIMATE(SPEC_NO_CHANGE_1,MEAN,QUARTERLY_ROLL,2022/1F,45868,,,'')&lt;/Q&gt;&lt;R&gt;1&lt;/R&gt;&lt;C&gt;1&lt;/C&gt;&lt;D xsi:type="xsd:double"&gt;50&lt;/D&gt;&lt;/FQL&gt;&lt;FQL&gt;&lt;Q&gt;Ticker0024^FE_ESTIMATE(SPEC_NO_CHANGE_1,MEAN,ANNUAL_ROLL,2021,45868,,,'')&lt;/Q&gt;&lt;R&gt;1&lt;/R&gt;&lt;C&gt;1&lt;/C&gt;&lt;D xsi:type="xsd:double"&gt;49.8&lt;/D&gt;&lt;/FQL&gt;&lt;FQL&gt;&lt;Q&gt;Ticker0024^FE_ESTIMATE(SPEC_NO_CHANGE_1,MEAN,QUARTERLY_ROLL,2021/4F,45868,,,'')&lt;/Q&gt;&lt;R&gt;1&lt;/R&gt;&lt;C&gt;1&lt;/C&gt;&lt;D xsi:type="xsd:double"&gt;51&lt;/D&gt;&lt;/FQL&gt;&lt;FQL&gt;&lt;Q&gt;Ticker0024^FE_ESTIMATE(SPEC_NO_CHANGE_1,MEAN,QUARTERLY_ROLL,2021/3F,45868,,,'')&lt;/Q&gt;&lt;R&gt;1&lt;/R&gt;&lt;C&gt;1&lt;/C&gt;&lt;D xsi:type="xsd:double"&gt;50&lt;/D&gt;&lt;/FQL&gt;&lt;FQL&gt;&lt;Q&gt;Ticker0024^FE_ESTIMATE(SPEC_NO_CHANGE_1,MEAN,QUARTERLY_ROLL,2021/2F,45868,,,'')&lt;/Q&gt;&lt;R&gt;1&lt;/R&gt;&lt;C&gt;1&lt;/C&gt;&lt;D xsi:type="xsd:double"&gt;50&lt;/D&gt;&lt;/FQL&gt;&lt;FQL&gt;&lt;Q&gt;Ticker0024^FE_ESTIMATE(SPEC_NO_CHANGE_1,MEAN,QUARTERLY_ROLL,2021/1F,45868,,,'')&lt;/Q&gt;&lt;R&gt;1&lt;/R&gt;&lt;C&gt;1&lt;/C&gt;&lt;D xsi:type="xsd:double"&gt;48&lt;/D&gt;&lt;/FQL&gt;&lt;FQL&gt;&lt;Q&gt;Ticker0024^FE_ESTIMATE(SPEC_NO_CHANGE_1,MEAN,ANNUAL_ROLL,2020,45868,,,'')&lt;/Q&gt;&lt;R&gt;0&lt;/R&gt;&lt;C&gt;0&lt;/C&gt;&lt;/FQL&gt;&lt;FQL&gt;&lt;Q&gt;Ticker0024^FE_ESTIMATE(SPEC_NO_CHANGE_1,MEAN,QUARTERLY_ROLL,2020/4F,45868,,,'')&lt;/Q&gt;&lt;R&gt;0&lt;/R&gt;&lt;C&gt;0&lt;/C&gt;&lt;/FQL&gt;&lt;FQL&gt;&lt;Q&gt;Ticker0024^FE_ESTIMATE(SPEC_NO_CHANGE_1,MEAN,QUARTERLY_ROLL,2020/3F,45868,,,'')&lt;/Q&gt;&lt;R&gt;0&lt;/R&gt;&lt;C&gt;0&lt;/C&gt;&lt;/FQL&gt;&lt;FQL&gt;&lt;Q&gt;Ticker0024^FE_ESTIMATE(SPEC_NO_CHANGE_1,MEAN,QUARTERLY_ROLL,2020/2F,45868,,,'')&lt;/Q&gt;&lt;R&gt;0&lt;/R&gt;&lt;C&gt;0&lt;/C&gt;&lt;/FQL&gt;&lt;FQL&gt;&lt;Q&gt;Ticker0024^FE_ESTIMATE(SPEC_NO_CHANGE_1,MEAN,QUARTERLY_ROLL,2020/1F,45868,,,'')&lt;/Q&gt;&lt;R&gt;0&lt;/R&gt;&lt;C&gt;0&lt;/C&gt;&lt;/FQL&gt;&lt;FQL&gt;&lt;Q&gt;Ticker0024^FE_ESTIMATE(SPEC_GROSS_1,MEAN,ANNUAL_ROLL,2030,45868,,,'')&lt;/Q&gt;&lt;R&gt;0&lt;/R&gt;&lt;C&gt;0&lt;/C&gt;&lt;/FQL&gt;&lt;FQL&gt;&lt;Q&gt;Ticker0024^FE_ESTIMATE(SPEC_GROSS_1,MEAN,QUARTERLY_ROLL,2030/4F,45868,,,'')&lt;/Q&gt;&lt;R&gt;0&lt;/R&gt;&lt;C&gt;0&lt;/C&gt;&lt;/FQL&gt;&lt;FQL&gt;&lt;Q&gt;Ticker0024^FE_ESTIMATE(SPEC_GROSS_1,MEAN,QUARTERLY_ROLL,2030/3F,45868,,,'')&lt;/Q&gt;&lt;R&gt;0&lt;/R&gt;&lt;C&gt;0&lt;/C&gt;&lt;/FQL&gt;&lt;FQL&gt;&lt;Q&gt;Ticker0024^FE_ESTIMATE(SPEC_GROSS_1,MEAN,QUARTERLY_ROLL,2030/2F,45868,,,'')&lt;/Q&gt;&lt;R&gt;0&lt;/R&gt;&lt;C&gt;0&lt;/C&gt;&lt;/FQL&gt;&lt;FQL&gt;&lt;Q&gt;Ticker0024^FE_ESTIMATE(SPEC_GROSS_1,MEAN,QUARTERLY_ROLL,2030/1F,45868,,,'')&lt;/Q&gt;&lt;R&gt;0&lt;/R&gt;&lt;C&gt;0&lt;/C&gt;&lt;/FQL&gt;&lt;FQL&gt;&lt;Q&gt;Ticker0024^FE_ESTIMATE(SPEC_GROSS_1,MEAN,ANNUAL_ROLL,2029,45868,,,'')&lt;/Q&gt;&lt;R&gt;0&lt;/R&gt;&lt;C&gt;0&lt;/C&gt;&lt;/FQL&gt;&lt;FQL&gt;&lt;Q&gt;Ticker0024^FE_ESTIMATE(SPEC_GROSS_1,MEAN,QUARTERLY_ROLL,2029/4F,45868,,,'')&lt;/Q&gt;&lt;R&gt;0&lt;/R&gt;&lt;C&gt;0&lt;/C&gt;&lt;/FQL&gt;&lt;FQL&gt;&lt;Q&gt;Ticker0024^FE_ESTIMATE(SPEC_GROSS_1,MEAN,QUARTERLY_ROLL,2029/3F,45868,,,'')&lt;/Q&gt;&lt;R&gt;0&lt;/R&gt;&lt;C&gt;0&lt;/C&gt;&lt;/FQL&gt;&lt;FQL&gt;&lt;Q&gt;Ticker0024^FE_ESTIMATE(SPEC_GROSS_1,MEAN,QUARTERLY_ROLL,2029/2F,45868,,,'')&lt;/Q&gt;&lt;R&gt;0&lt;/R&gt;&lt;C&gt;0&lt;/C&gt;&lt;/FQL&gt;&lt;FQL&gt;&lt;Q&gt;Ticker0024^FE_ESTIMATE(SPEC_GROSS_1,MEAN,QUARTERLY_ROLL,2029/1F,45868,,,'')&lt;/Q&gt;&lt;R&gt;0&lt;/R&gt;&lt;C&gt;0&lt;/C&gt;&lt;/FQL&gt;&lt;FQL&gt;&lt;Q&gt;Ticker0024^FE_ESTIMATE(SPEC_GROSS_1,MEAN,ANNUAL_ROLL,2028,45868,,,'')&lt;/Q&gt;&lt;R&gt;0&lt;/R&gt;&lt;C&gt;0&lt;/C&gt;&lt;/FQL&gt;&lt;FQL&gt;&lt;Q&gt;Ticker0024^FE_ESTIMATE(SPEC_GROSS_1,MEAN,QUARTERLY_ROLL,2028/4F,45868,,,'')&lt;/Q&gt;&lt;R&gt;0&lt;/R&gt;&lt;C&gt;0&lt;/C&gt;&lt;/FQL&gt;&lt;FQL&gt;&lt;Q&gt;Ticker0024^FE_ESTIMATE(SPEC_GROSS_1,MEAN,QUARTERLY_ROLL,2028/3F,45868,,,'')&lt;/Q&gt;&lt;R&gt;0&lt;/R&gt;&lt;C&gt;0&lt;/C&gt;&lt;/FQL&gt;&lt;FQL&gt;&lt;Q&gt;Ticker0024^FE_ESTIMATE(SPEC_GROSS_1,MEAN,QUARTERLY_ROLL,2028/2F,45868,,,'')&lt;/Q&gt;&lt;R&gt;0&lt;/R&gt;&lt;C&gt;0&lt;/C&gt;&lt;/FQL&gt;&lt;FQL&gt;&lt;Q&gt;Ticker0024^FE_ESTIMATE(SPEC_GROSS_1,MEAN,QUARTERLY_ROLL,2028/1F,45868,,,'')&lt;/Q&gt;&lt;R&gt;0&lt;/R&gt;&lt;C&gt;0&lt;/C&gt;&lt;/FQL&gt;&lt;FQL&gt;&lt;Q&gt;Ticker0024^FE_ESTIMATE(SPEC_GROSS_1,MEAN,ANNUAL_ROLL,2027,45868,,,'')&lt;/Q&gt;&lt;R&gt;1&lt;/R&gt;&lt;C&gt;1&lt;/C&gt;&lt;D xsi:type="xsd:double"&gt;80594&lt;/D&gt;&lt;/FQL&gt;&lt;FQL&gt;&lt;Q&gt;Ticker0024^FE_ESTIMATE(SPEC_GROSS_1,MEAN,QUARTERLY_ROLL,2027/4F,45868,,,'')&lt;/Q&gt;&lt;R&gt;0&lt;/R&gt;&lt;C&gt;0&lt;/C&gt;&lt;/FQL&gt;&lt;FQL&gt;&lt;Q&gt;Ticker0024^FE_ESTIMATE(SPEC_GROSS_1,MEAN,QUARTERLY_ROLL,2027/3F,45868,,,'')&lt;/Q&gt;&lt;R&gt;0&lt;/R&gt;&lt;C&gt;0&lt;/C&gt;&lt;/FQL&gt;&lt;FQL&gt;&lt;Q&gt;Ticker0024^FE_ESTIMATE(SPEC_GROSS_1,MEAN,QUARTERLY_ROLL,2027/2F,45868,,,'')&lt;/Q&gt;&lt;R&gt;0&lt;/R&gt;&lt;C&gt;0&lt;/C&gt;&lt;/FQL&gt;&lt;FQL&gt;&lt;Q&gt;Ticker0024^FE_ESTIMATE(SPEC_GROSS_1,MEAN,QUARTERLY_ROLL,2027/1F,45868,,,'')&lt;/Q&gt;&lt;R&gt;0&lt;/R&gt;&lt;C&gt;0&lt;/C&gt;&lt;/FQL&gt;&lt;FQL&gt;&lt;Q&gt;Ticker0024^FE_ESTIMATE(SPEC_GROSS_1,MEAN,ANNUAL_ROLL,2026,45868,,,'')&lt;/Q&gt;&lt;R&gt;1&lt;/R&gt;&lt;C&gt;1&lt;/C&gt;&lt;D xsi:type="xsd:double"&gt;90698&lt;/D&gt;&lt;/FQL&gt;&lt;FQL&gt;&lt;Q&gt;Ticker0024^FE_ESTIMATE(SPEC_GROSS_1,MEAN,QUARTERLY_ROLL,2026/4F,45868,,,'')&lt;/Q&gt;&lt;R&gt;0&lt;/R&gt;&lt;C&gt;0&lt;/C&gt;&lt;/FQL&gt;&lt;FQL&gt;&lt;Q&gt;Ticker0024^FE_ESTIMATE(SPEC_GROSS_1,MEAN,QUARTERLY_ROLL,2026/3F,45868,,,'')&lt;/Q&gt;&lt;R&gt;0&lt;/R&gt;&lt;C&gt;0&lt;/C&gt;&lt;/FQL&gt;&lt;FQL&gt;&lt;Q&gt;Ticker0024^FE_ESTIMATE(SPEC_GROSS_1,MEAN,QUARTERLY_ROLL,2026/2F,45868,,,'')&lt;/Q&gt;&lt;R&gt;0&lt;/R&gt;&lt;C&gt;0&lt;/C&gt;&lt;/FQL&gt;&lt;FQL&gt;&lt;Q&gt;Ticker0024^FE_ESTIMATE(SPEC_GROSS_1,MEAN,QUARTERLY_ROLL,2026/1F,45868,,,'')&lt;/Q&gt;&lt;R&gt;0&lt;/R&gt;&lt;C&gt;0&lt;/C&gt;&lt;/FQL&gt;&lt;FQL&gt;&lt;Q&gt;Ticker0024^FE_ESTIMATE(SPEC_GROSS_1,MEAN,ANNUAL_ROLL,2025,45868,,,'')&lt;/Q&gt;&lt;R&gt;1&lt;/R&gt;&lt;C&gt;1&lt;/C&gt;&lt;D xsi:type="xsd:double"&gt;85635&lt;/D&gt;&lt;/FQL&gt;&lt;FQL&gt;&lt;Q&gt;Ticker0024^FE_ESTIMATE(SPEC_GROSS_1,MEAN,QUARTERLY_ROLL,2025/4F,45868,,,'')&lt;/Q&gt;&lt;R&gt;1&lt;/R&gt;&lt;C&gt;1&lt;/C&gt;&lt;D xsi:type="xsd:double"&gt;21355&lt;/D&gt;&lt;/FQL&gt;&lt;FQL&gt;&lt;Q&gt;Ticker0024^FE_ESTIMATE(SPEC_GROSS_1,MEAN,QUARTERLY_ROLL,2025/3F,45868,,,'')&lt;/Q&gt;&lt;R&gt;1&lt;/R&gt;&lt;C&gt;1&lt;/C&gt;&lt;D xsi:type="xsd:double"&gt;21400&lt;/D&gt;&lt;/FQL&gt;&lt;FQL&gt;&lt;Q&gt;Ticker0024^FE_ESTIMATE(SPEC_GROSS_1,MEAN,QUARTERLY_ROLL,2025/2F,45868,,,'')&lt;/Q&gt;&lt;R&gt;1&lt;/R&gt;&lt;C&gt;1&lt;/C&gt;&lt;D xsi:type="xsd:double"&gt;22600&lt;/D&gt;&lt;/FQL&gt;&lt;FQL&gt;&lt;Q&gt;Ticker0024^FE_ESTIMATE(SPEC_GROSS_1,MEAN,QUARTERLY_ROLL,2025/1F,45868,,,'')&lt;/Q&gt;&lt;R&gt;1&lt;/R&gt;&lt;C&gt;1&lt;/C&gt;&lt;D xsi:type="xsd:double"&gt;20000&lt;/D&gt;&lt;/FQL&gt;&lt;FQL&gt;&lt;Q&gt;Ticker0024^FE_ESTIMATE(SPEC_GROSS_1,MEAN,ANNUAL_ROLL,2024,45868,,,'')&lt;/Q&gt;&lt;R&gt;1&lt;/R&gt;&lt;C&gt;1&lt;/C&gt;&lt;D xsi:type="xsd:double"&gt;57879&lt;/D&gt;&lt;/FQL&gt;&lt;FQL&gt;&lt;Q&gt;Ticker0024^FE_ESTIMATE(SPEC_GROSS_1,MEAN,QUARTERLY_ROLL,2024/4F,45868,,,'')&lt;/Q&gt;&lt;R&gt;1&lt;/R&gt;&lt;C&gt;1&lt;/C&gt;&lt;D xsi:type="xsd:double"&gt;19000&lt;/D&gt;&lt;/FQL&gt;&lt;FQL&gt;&lt;Q&gt;Ticker0024^FE_ESTIMATE(SPEC_GROSS_1,MEAN,QUARTERLY_ROLL,2024/3F,45868,,,'')&lt;/Q&gt;&lt;R&gt;1&lt;/R&gt;&lt;C&gt;1&lt;/C&gt;&lt;D xsi:type="xsd:double"&gt;14000&lt;/D&gt;&lt;/FQL&gt;&lt;FQL&gt;&lt;Q&gt;Ticker0024^FE_ESTIMATE(SPEC_GROSS_1,MEAN,QUARTERLY_ROLL,2024/2F,45868,,,'')&lt;/Q&gt;&lt;R&gt;1&lt;/R&gt;&lt;C&gt;1&lt;/C&gt;&lt;D xsi:type="xsd:double"&gt;11500&lt;/D&gt;&lt;/FQL&gt;&lt;FQL&gt;&lt;Q&gt;Ticker0024^FE_ESTIMATE(SPEC_GROSS_1,MEAN,QUARTERLY_ROLL,2024/1F,45868,,,'')&lt;/Q&gt;&lt;R&gt;1&lt;/R&gt;&lt;C&gt;1&lt;/C&gt;&lt;D xsi:type="xsd:double"&gt;11200&lt;/D&gt;&lt;/FQL&gt;&lt;FQL&gt;&lt;Q&gt;Ticker0024^FE_ESTIMATE(SPEC_GROSS_1,MEAN,ANNUAL_ROLL,2023,45868,,,'')&lt;/Q&gt;&lt;R&gt;1&lt;/R&gt;&lt;C&gt;1&lt;/C&gt;&lt;D xsi:type="xsd:double"&gt;31900&lt;/D&gt;&lt;/FQL&gt;&lt;FQL&gt;&lt;Q&gt;Ticker0024^FE_ESTIMATE(SPEC_GROSS_1,MEAN,QUARTERLY_ROLL,2023/4F,45868,,,'')&lt;/Q&gt;&lt;R&gt;1&lt;/R&gt;&lt;C&gt;1&lt;/C&gt;&lt;D xsi:type="xsd:double"&gt;10700&lt;/D&gt;&lt;/FQL&gt;&lt;FQL&gt;&lt;Q&gt;Ticker0024^FE_ESTIMATE(SPEC_GROSS_1,MEAN,QUARTERLY_ROLL,2023/3F,45868,,,'')&lt;/Q&gt;&lt;R&gt;1&lt;/R&gt;&lt;C&gt;1&lt;/C&gt;&lt;D xsi:type="xsd:double"&gt;7800&lt;/D&gt;&lt;/FQL&gt;&lt;FQL&gt;&lt;Q&gt;Ticker0024^FE_ESTIMATE(SPEC_GROSS_1,MEAN,QUARTERLY_ROLL,2023/2F,45868,,,'')&lt;/Q&gt;&lt;R&gt;1&lt;/R&gt;&lt;C&gt;1&lt;/C&gt;&lt;D xsi:type="xsd:double"&gt;6800&lt;/D&gt;&lt;/FQL&gt;&lt;FQL&gt;&lt;Q&gt;Ticker0024^FE_ESTIMATE(SPEC_GROSS_1,MEAN,QUARTERLY_ROLL,2023/1F,45868,,,'')&lt;/Q&gt;&lt;R&gt;0&lt;/R&gt;&lt;C&gt;0&lt;/C&gt;&lt;/FQL&gt;&lt;FQL&gt;&lt;Q&gt;Ticker0024^FE_ESTIMATE(SPEC_GROSS_1,MEAN,ANNUAL_ROLL,2022,45868,,,'')&lt;/Q&gt;&lt;R&gt;0&lt;/R&gt;&lt;C&gt;0&lt;/C&gt;&lt;/FQL&gt;&lt;FQL&gt;&lt;Q&gt;Ticker0024^FE_ESTIMATE(SPEC_GROSS_1,MEAN,QUARTERLY_ROLL,2022/4F,45868,,,'')&lt;/Q&gt;&lt;R&gt;0&lt;/R&gt;&lt;C&gt;0&lt;/C&gt;&lt;/FQL&gt;&lt;FQL&gt;&lt;Q&gt;Ticker0024^FE_ESTIMATE(SPEC_GROSS_1,MEAN,QUARTERLY_ROLL,2022/3F,45868,,,'')&lt;/Q&gt;&lt;R&gt;0&lt;/R&gt;&lt;C&gt;0&lt;/C&gt;&lt;/FQL&gt;&lt;FQL&gt;&lt;Q&gt;Ticker0024^FE_ESTIMATE(SPEC_GROSS_1,MEAN,QUARTERLY_ROLL,2022/2F,45868,,,'')&lt;/Q&gt;&lt;R&gt;0&lt;/R&gt;&lt;C&gt;0&lt;/C&gt;&lt;/FQL&gt;&lt;FQL&gt;&lt;Q&gt;Ticker0024^FE_ESTIMATE(SPEC_GROSS_1,MEAN,QUARTERLY_ROLL,2022/1F,45868,,,'')&lt;/Q&gt;&lt;R&gt;0&lt;/R&gt;&lt;C&gt;0&lt;/C&gt;&lt;/FQL&gt;&lt;FQL&gt;&lt;Q&gt;Ticker0024^FE_ESTIMATE(SPEC_GROSS_1,MEAN,ANNUAL_ROLL,2021,45868,,,'')&lt;/Q&gt;&lt;R&gt;0&lt;/R&gt;&lt;C&gt;0&lt;/C&gt;&lt;/FQL&gt;&lt;FQL&gt;&lt;Q&gt;Ticker0024^FE_ESTIMATE(SPEC_GROSS_1,MEAN,QUARTERLY_ROLL,2021/4F,45868,,,'')&lt;/Q&gt;&lt;R&gt;0&lt;/R&gt;&lt;C&gt;0&lt;/C&gt;&lt;/FQL&gt;&lt;FQL&gt;&lt;Q&gt;Ticker0024^FE_ESTIMATE(SPEC_GROSS_1,MEAN,QUARTERLY_ROLL,2021/3F,45868,,,'')&lt;/Q&gt;&lt;R&gt;0&lt;/R&gt;&lt;C&gt;0&lt;/C&gt;&lt;/FQL&gt;&lt;FQL&gt;&lt;Q&gt;Ticker0024^FE_ESTIMATE(SPEC_GROSS_1,MEAN,QUARTERLY_ROLL,2021/2F,45868,,,'')&lt;/Q&gt;&lt;R&gt;0&lt;/R&gt;&lt;C&gt;0&lt;/C&gt;&lt;/FQL&gt;&lt;FQL&gt;&lt;Q&gt;Ticker0024^FE_ESTIMATE(SPEC_GROSS_1,MEAN,QUARTERLY_ROLL,2021/1F,45868,,,'')&lt;/Q&gt;&lt;R&gt;0&lt;/R&gt;&lt;C&gt;0&lt;/C&gt;&lt;/FQL&gt;&lt;FQL&gt;&lt;Q&gt;Ticker0024^FE_ESTIMATE(SPEC_GROSS_1,MEAN,ANNUAL_ROLL,2020,45868,,,'')&lt;/Q&gt;&lt;R&gt;0&lt;/R&gt;&lt;C&gt;0&lt;/C&gt;&lt;/FQL&gt;&lt;FQL&gt;&lt;Q&gt;Ticker0024^FE_ESTIMATE(SPEC_GROSS_1,MEAN,QUARTERLY_ROLL,2020/4F,45868,,,'')&lt;/Q&gt;&lt;R&gt;0&lt;/R&gt;&lt;C&gt;0&lt;/C&gt;&lt;/FQL&gt;&lt;FQL&gt;&lt;Q&gt;Ticker0024^FE_ESTIMATE(SPEC_GROSS_1,MEAN,QUARTERLY_ROLL,2020/3F,45868,,,'')&lt;/Q&gt;&lt;R&gt;0&lt;/R&gt;&lt;C&gt;0&lt;/C&gt;&lt;/FQL&gt;&lt;FQL&gt;&lt;Q&gt;Ticker0024^FE_ESTIMATE(SPEC_GROSS_1,MEAN,QUARTERLY_ROLL,2020/2F,45868,,,'')&lt;/Q&gt;&lt;R&gt;0&lt;/R&gt;&lt;C&gt;0&lt;/C&gt;&lt;/FQL&gt;&lt;FQL&gt;&lt;Q&gt;Ticker0024^FE_ESTIMATE(SPEC_GROSS_1,MEAN,QUARTERLY_ROLL,2020/1F,45868,,,'')&lt;/Q&gt;&lt;R&gt;0&lt;/R&gt;&lt;C&gt;0&lt;/C&gt;&lt;/FQL&gt;&lt;FQL&gt;&lt;Q&gt;Ticker0024^FE_ESTIMATE(NEW_ORDERS_VALUE,MEAN,ANNUAL_ROLL,2030,45868,,,'')&lt;/Q&gt;&lt;R&gt;0&lt;/R&gt;&lt;C&gt;0&lt;/C&gt;&lt;/FQL&gt;&lt;FQL&gt;&lt;Q&gt;Ticker0024^FE_ESTIMATE(NEW_ORDERS_VALUE,MEAN,QUARTERLY_ROLL,2030/4F,45868,,,'')&lt;/Q&gt;&lt;R&gt;0&lt;/R&gt;&lt;C&gt;0&lt;/C&gt;&lt;/FQL&gt;&lt;FQL&gt;&lt;Q&gt;Ticker0024^FE_ESTIMATE(NEW_ORDERS_VALUE,MEAN,QUARTERLY_ROLL,2030/3F,45868,,,'')&lt;/Q&gt;&lt;R&gt;0&lt;/R&gt;&lt;C&gt;0&lt;/C&gt;&lt;/FQL&gt;&lt;FQL&gt;&lt;Q&gt;Ticker0024^FE_ESTIMATE(NEW_ORDERS_VALUE,MEAN,QUARTERLY_ROLL,2030/2F,45868,,,'')&lt;/Q&gt;&lt;R&gt;0&lt;/R&gt;&lt;C&gt;0&lt;/C&gt;&lt;/FQL&gt;&lt;FQL&gt;&lt;Q&gt;Ticker0024^FE_ESTIMATE(NEW_ORDERS_VALUE,MEAN,QUARTERLY_ROLL,2030/1F,45868,,,'')&lt;/Q&gt;&lt;R&gt;0&lt;/R&gt;&lt;C&gt;0&lt;/C&gt;&lt;/FQL&gt;&lt;FQL&gt;&lt;Q&gt;Ticker0024^FE_ESTIMATE(NEW_ORDERS_VALUE,MEAN,ANNUAL_ROLL,2029,45868,,,'')&lt;/Q&gt;&lt;R&gt;0&lt;/R&gt;&lt;C&gt;0&lt;/C&gt;&lt;/FQL&gt;&lt;FQL&gt;&lt;Q&gt;Ticker0024^FE_ESTIMATE(NEW_ORDERS_VALUE,MEAN,QUARTERLY_ROLL,2029/4F,45868,,,'')&lt;/Q&gt;&lt;R&gt;0&lt;/R&gt;&lt;C&gt;0&lt;/C&gt;&lt;/FQL&gt;&lt;FQL&gt;&lt;Q&gt;Ticker0024^FE_ESTIMATE(NEW_ORDERS_VALUE,MEAN,QUARTERLY_ROLL,2029/3F,45868,,,'')&lt;/Q&gt;&lt;R&gt;0&lt;/R&gt;&lt;C&gt;0&lt;/C&gt;&lt;/FQL&gt;&lt;FQL&gt;&lt;Q&gt;Ticker0024^FE_ESTIMATE(NEW_ORDERS_VALUE,MEAN,QUARTERLY_ROLL,2029/2F,45868,,,'')&lt;/Q&gt;&lt;R&gt;0&lt;/R&gt;&lt;C&gt;0&lt;/C&gt;&lt;/FQL&gt;&lt;FQL&gt;&lt;Q&gt;Ticker0024^FE_ESTIMATE(NEW_ORDERS_VALUE,MEAN,QUARTERLY_ROLL,2029/1F,45868,,,'')&lt;/Q&gt;&lt;R&gt;0&lt;/R&gt;&lt;C&gt;0&lt;/C&gt;&lt;/FQL&gt;&lt;FQL&gt;&lt;Q&gt;Ticker0024^FE_ESTIMATE(NEW_ORDERS_VALUE,MEAN,ANNUAL_ROLL,2028,45868,,,'')&lt;/Q&gt;&lt;R&gt;0&lt;/R&gt;&lt;C&gt;0&lt;/C&gt;&lt;/FQL&gt;&lt;FQL&gt;&lt;Q&gt;Ticker0024^FE_ESTIMATE(NEW_ORDERS_VALUE,MEAN,QUARTERLY_ROLL,2028/4F,45868,,,'')&lt;/Q&gt;&lt;R&gt;0&lt;/R&gt;&lt;C&gt;0&lt;/C&gt;&lt;/FQL&gt;&lt;FQL&gt;&lt;Q&gt;Ticker0024^FE_ESTIMATE(NEW_ORDERS_VALUE,MEAN,QUARTERLY_ROLL,2028/3F,45868,,,'')&lt;/Q&gt;&lt;R&gt;0&lt;/R&gt;&lt;C&gt;0&lt;/C&gt;&lt;/FQL&gt;&lt;FQL&gt;&lt;Q&gt;Ticker0024^FE_ESTIMATE(NEW_ORDERS_VALUE,MEAN,QUARTERLY_ROLL,2028/2F,45868,,,'')&lt;/Q&gt;&lt;R&gt;0&lt;/R&gt;&lt;C&gt;0&lt;/C&gt;&lt;/FQL&gt;&lt;FQL&gt;&lt;Q&gt;Ticker0024^FE_ESTIMATE(NEW_ORDERS_VALUE,MEAN,QUARTERLY_ROLL,2028/1F,45868,,,'')&lt;/Q&gt;&lt;R&gt;0&lt;/R&gt;&lt;C&gt;0&lt;/C&gt;&lt;/FQL&gt;&lt;FQL&gt;&lt;Q&gt;Ticker0024^FE_ESTIMATE(NEW_ORDERS_VALUE,MEAN,ANNUAL_ROLL,2027,45868,,,'')&lt;/Q&gt;&lt;R&gt;0&lt;/R&gt;&lt;C&gt;0&lt;/C&gt;&lt;/FQL&gt;&lt;FQL&gt;&lt;Q&gt;Ticker0024^FE_ESTIMATE(NEW_ORDERS_VALUE,MEAN,QUARTERLY_ROLL,2027/4F,45868,,,'')&lt;/Q&gt;&lt;R&gt;0&lt;/R&gt;&lt;C&gt;0&lt;/C&gt;&lt;/FQL&gt;&lt;FQL&gt;&lt;Q&gt;Ticker0024^FE_ESTIMATE(NEW_ORDERS_VALUE,MEAN,QUARTERLY_ROLL,2027/3F,45868,,,'')&lt;/Q&gt;&lt;R&gt;0&lt;/R&gt;&lt;C&gt;0&lt;/C&gt;&lt;/FQL&gt;&lt;FQL&gt;&lt;Q&gt;Ticker0024^FE_ESTIMATE(NEW_ORDERS_VALUE,MEAN,QUARTERLY_ROLL,2027/2F,45868,,,'')&lt;/Q&gt;&lt;R&gt;0&lt;/R&gt;&lt;C&gt;0&lt;/C&gt;&lt;/FQL&gt;&lt;FQL&gt;&lt;Q&gt;Ticker0024^FE_ESTIMATE(NEW_ORDERS_VALUE,MEAN,QUARTERLY_ROLL,2027/1F,45868,,,'')&lt;/Q&gt;&lt;R&gt;0&lt;/R&gt;&lt;C&gt;0&lt;/C&gt;&lt;/FQL&gt;&lt;FQL&gt;&lt;Q&gt;Ticker0024^FE_ESTIMATE(NEW_ORDERS_VALUE,MEAN,ANNUAL_ROLL,2026,45868,,,'')&lt;/Q&gt;&lt;R&gt;1&lt;/R&gt;&lt;C&gt;1&lt;/C&gt;&lt;D xsi:type="xsd:double"&gt;319817&lt;/D&gt;&lt;/FQL&gt;&lt;FQL&gt;&lt;Q&gt;Ticker0024^FE_ESTIMATE(NEW_ORDERS_VALUE,MEAN,QUARTERLY_ROLL,2026/4F,45868,,,'')&lt;/Q&gt;&lt;R&gt;0&lt;/R&gt;&lt;C&gt;0&lt;/C&gt;&lt;/FQL&gt;&lt;FQL&gt;&lt;Q&gt;Ticker0024^FE_ESTIMATE(NEW_ORDERS_VALUE,MEAN,QUARTERLY_ROLL,2026/3F,45868,,,'')&lt;/Q&gt;&lt;R&gt;0&lt;/R&gt;&lt;C&gt;0&lt;/C&gt;&lt;/FQL&gt;&lt;FQL&gt;&lt;Q&gt;Ticker0024^FE_ESTIMATE(NEW_ORDERS_VALUE,MEAN,QUARTERLY_ROLL,2026/2F,45868,,,'')&lt;/Q&gt;&lt;R&gt;0&lt;/R&gt;&lt;C&gt;0&lt;/C&gt;&lt;/FQL&gt;&lt;FQL&gt;&lt;Q&gt;Ticker0024^FE_ESTIMATE(NEW_ORDERS_VALUE,MEAN,QUARTERLY_ROLL,2026/1F,45868,,,'')&lt;/Q&gt;&lt;R&gt;0&lt;/R&gt;&lt;C&gt;0&lt;/C&gt;&lt;/FQL&gt;&lt;FQL&gt;&lt;Q&gt;Ticker0024^FE_ESTIMATE(NEW_ORDERS_VALUE,MEAN,ANNUAL_ROLL,2025,45868,,,'')&lt;/Q&gt;&lt;R&gt;1&lt;/R&gt;&lt;C&gt;1&lt;/C&gt;&lt;D xsi:type="xsd:double"&gt;287592&lt;/D&gt;&lt;/FQL&gt;&lt;FQL&gt;&lt;Q&gt;Ticker0024^FE_ESTIMATE(NEW_ORDERS_VALUE,MEAN,QUARTERLY_ROLL,2025/4F,45868,,,'')&lt;/Q&gt;&lt;R&gt;1&lt;/R&gt;&lt;C&gt;1&lt;/C&gt;&lt;D xsi:type="xsd:double"&gt;95017&lt;/D&gt;&lt;/FQL&gt;&lt;FQL&gt;&lt;Q&gt;Ticker0024^FE_ESTIMATE(NEW_ORDERS_VALUE,MEAN,QUARTERLY_ROLL,2025/3F,45868,,,'')&lt;/Q&gt;&lt;R&gt;1&lt;/R&gt;&lt;C&gt;1&lt;/C&gt;&lt;D xsi:type="xsd:double"&gt;69497&lt;/D&gt;&lt;/FQL&gt;&lt;FQL&gt;&lt;Q&gt;Ticker0024^FE_ESTIMATE(NEW_ORDERS_VALUE,MEAN,QUARTERLY_ROLL,2025/2F,45868,,,'')&lt;/Q&gt;&lt;R&gt;1&lt;/R&gt;&lt;C&gt;1&lt;/C&gt;&lt;D xsi:type="xsd:double"&gt;61988&lt;/D&gt;&lt;/FQL&gt;&lt;FQL&gt;&lt;Q&gt;Ticker0024^FE_ESTIMATE(NEW_ORDERS_VALUE,MEAN,QUARTERLY_ROLL,2025/1F,45868,,,'')&lt;/Q&gt;&lt;R&gt;0&lt;/R&gt;&lt;C&gt;0&lt;/C&gt;&lt;/FQL&gt;&lt;FQL&gt;&lt;Q&gt;Ticker0024^FE_ESTIMATE(NEW_ORDERS_VALUE,MEAN,ANNUAL_ROLL,2024,45868,,,'')&lt;/Q&gt;&lt;R&gt;0&lt;/R&gt;&lt;C&gt;0&lt;/C&gt;&lt;/FQL&gt;&lt;FQL&gt;&lt;Q&gt;Ticker0024^FE_ESTIMATE(NEW_ORDERS_VALUE,MEAN,QUARTERLY_ROLL,2024/4F,45868,,,'')&lt;/Q&gt;&lt;R&gt;0&lt;/R&gt;&lt;C&gt;0&lt;/C&gt;&lt;/FQL&gt;&lt;FQL&gt;&lt;Q&gt;Ticker0024^FE_ESTIMATE(NEW_ORDERS_VALUE,MEAN,QUARTERLY_ROLL,2024/3F,45868,,,'')&lt;/Q&gt;&lt;R&gt;0&lt;/R&gt;&lt;C&gt;0&lt;/C&gt;&lt;/FQL&gt;&lt;FQL&gt;&lt;Q&gt;Ticker0024^FE_ESTIMATE(NEW_ORDERS_VALUE,MEAN,QUARTERLY_ROLL,2024/2F,45868,,,'')&lt;/Q&gt;&lt;R&gt;0&lt;/R&gt;&lt;C&gt;0&lt;/C&gt;&lt;/FQL&gt;&lt;FQL&gt;&lt;Q&gt;Ticker0024^FE_ESTIMATE(NEW_ORDERS_VALUE,MEAN,QUARTERLY_ROLL,2024/1F,45868,,,'')&lt;/Q&gt;&lt;R&gt;0&lt;/R&gt;&lt;C&gt;0&lt;/C&gt;&lt;/FQL&gt;&lt;FQL&gt;&lt;Q&gt;Ticker0024^FE_ESTIMATE(NEW_ORDERS_VALUE,MEAN,ANNUAL_ROLL,2023,45868,,,'')&lt;/Q&gt;&lt;R&gt;1&lt;/R&gt;&lt;C&gt;1&lt;/C&gt;&lt;D xsi:type="xsd:double"&gt;217320&lt;/D&gt;&lt;/FQL&gt;&lt;FQL&gt;&lt;Q&gt;Ticker0024^FE_ESTIMATE(NEW_ORDERS_VALUE,MEAN,QUARTERLY_ROLL,2023/4F,45868,,,'')&lt;/Q&gt;&lt;R&gt;1&lt;/R&gt;&lt;C&gt;1&lt;/C&gt;&lt;D xsi:type="xsd:double"&gt;70401&lt;/D&gt;&lt;/FQL&gt;&lt;FQL&gt;&lt;Q&gt;Ticker0024^FE_ESTIMATE(NEW_ORDERS_VALUE,MEAN,QUARTERLY_ROLL,2023/3F,45868,,,'')&lt;/Q&gt;&lt;R&gt;1&lt;/R&gt;&lt;C&gt;1&lt;/C&gt;&lt;D xsi:type="xsd:double"&gt;52832&lt;/D&gt;&lt;/FQL&gt;&lt;FQL&gt;&lt;Q&gt;Ticker0024^FE_ESTIMATE(NEW_ORDERS_VALUE,MEAN,QUARTERLY_ROLL,2023/2F,45868,,,'')&lt;/Q&gt;&lt;R&gt;1&lt;/R&gt;&lt;C&gt;1&lt;/C&gt;&lt;D xsi:type="xsd:double"&gt;48484&lt;/D&gt;&lt;/FQL&gt;&lt;FQL&gt;&lt;Q&gt;Ticker0024^FE_ESTIMATE(NEW_ORDERS_VALUE,MEAN,QUARTERLY_ROLL,2023/1F,45868,,,'')&lt;/Q&gt;&lt;R&gt;1&lt;/R&gt;&lt;C&gt;1&lt;/C&gt;&lt;D xsi:type="xsd:double"&gt;45603&lt;/D&gt;&lt;/FQL&gt;&lt;FQL&gt;&lt;Q&gt;Ticker0024^FE_ESTIMATE(NEW_ORDERS_VALUE,MEAN,ANNUAL_ROLL,2022,45868,,,'')&lt;/Q&gt;&lt;R&gt;1&lt;/R&gt;&lt;C&gt;1&lt;/C&gt;&lt;D xsi:type="xsd:double"&gt;202537&lt;/D&gt;&lt;/FQL&gt;&lt;FQL&gt;&lt;Q&gt;Ticker0024^FE_ESTIMATE(NEW_ORDERS_VALUE,MEAN,QUARTERLY_ROLL,2022/4F,45868,,,'')&lt;/Q&gt;&lt;R&gt;1&lt;/R&gt;&lt;C&gt;1&lt;/C&gt;&lt;D xsi:type="xsd:double"&gt;63477&lt;/D&gt;&lt;/FQL&gt;&lt;FQL&gt;&lt;Q&gt;Ticker0024^FE_ESTIMATE(NEW_ORDERS_VALUE,MEAN,QUARTERLY_ROLL,2022/3F,45868,,,'')&lt;/Q&gt;&lt;R&gt;1&lt;/R&gt;&lt;C&gt;1&lt;/C&gt;&lt;D xsi:type="xsd:double"&gt;49387&lt;/D&gt;&lt;/FQL&gt;&lt;FQL&gt;&lt;Q&gt;Ticker0024^FE_ESTIMATE(NEW_ORDERS_VALUE,MEAN,QUARTERLY_ROLL,2022/2F,45868,,,'')&lt;/Q&gt;&lt;R&gt;1&lt;/R&gt;&lt;C&gt;1&lt;/C&gt;&lt;D xsi:type="xsd:double"&gt;47482&lt;/D&gt;&lt;/FQL&gt;&lt;FQL&gt;&lt;Q&gt;Ticker0024^FE_ESTIMATE(NEW_ORDERS_VALUE,MEAN,QUARTERLY_ROLL,2022/1F,45868,,,'')&lt;/Q&gt;&lt;R&gt;1&lt;/R&gt;&lt;C&gt;1&lt;/C&gt;&lt;D xsi:type="xsd:double"&gt;42191&lt;/D&gt;&lt;/FQL&gt;&lt;FQL&gt;&lt;Q&gt;Ticker0024^FE_ESTIMATE(NEW_ORDERS_VALUE,MEAN,ANNUAL_ROLL,2021,45868,,,'')&lt;/Q&gt;&lt;R&gt;1&lt;/R&gt;&lt;C&gt;1&lt;/C&gt;&lt;D xsi:type="xsd:double"&gt;173049&lt;/D&gt;&lt;/FQL&gt;&lt;FQL&gt;&lt;Q&gt;Ticker0024^FE_ESTIMATE(NEW_ORDERS_VALUE,MEAN,QUARTERLY_ROLL,2021/4F,45868,,,'')&lt;/Q&gt;&lt;R&gt;1&lt;/R&gt;&lt;C&gt;1&lt;/C&gt;&lt;D xsi:type="xsd:double"&gt;57579&lt;/D&gt;&lt;/FQL&gt;&lt;FQL&gt;&lt;Q&gt;Ticker0024^FE_ESTIMATE(NEW_ORDERS_VALUE,MEAN,QUARTERLY_ROLL,2021/3F,45868,,,'')&lt;/Q&gt;&lt;R&gt;1&lt;/R&gt;&lt;C&gt;1&lt;/C&gt;&lt;D xsi:type="xsd:double"&gt;40710.5&lt;/D&gt;&lt;/FQL&gt;&lt;FQL&gt;&lt;Q&gt;Ticker0024^FE_ESTIMATE(NEW_ORDERS_VALUE,MEAN,QUARTERLY_ROLL,2021/2F,45868,,,'')&lt;/Q&gt;&lt;R&gt;1&lt;/R&gt;&lt;C&gt;1&lt;/C&gt;&lt;D xsi:type="xsd:double"&gt;40158&lt;/D&gt;&lt;/FQL&gt;&lt;FQL&gt;&lt;Q&gt;Ticker0024^FE_ESTIMATE(NEW_ORDERS_VALUE,MEAN,QUARTERLY_ROLL,2021/1F,45868,,,'')&lt;/Q&gt;&lt;R&gt;1&lt;/R&gt;&lt;C&gt;1&lt;/C&gt;&lt;D xsi:type="xsd:double"&gt;34160.5&lt;/D&gt;&lt;/FQL&gt;&lt;FQL&gt;&lt;Q&gt;Ticker0024^FE_ESTIMATE(NEW_ORDERS_VALUE,MEAN,ANNUAL_ROLL,2020,45868,,,'')&lt;/Q&gt;&lt;R&gt;0&lt;/R&gt;&lt;C&gt;0&lt;/C&gt;&lt;/FQL&gt;&lt;FQL&gt;&lt;Q&gt;Ticker0024^FE_ESTIMATE(NEW_ORDERS_VALUE,MEAN,QUARTERLY_ROLL,2020/4F,45868,,,'')&lt;/Q&gt;&lt;R&gt;0&lt;/R&gt;&lt;C&gt;0&lt;/C&gt;&lt;/FQL&gt;&lt;FQL&gt;&lt;Q&gt;Ticker0024^FE_ESTIMATE(NEW_ORDERS_VALUE,MEAN,QUARTERLY_ROLL,2020/3F,45868,,,'')&lt;/Q&gt;&lt;R&gt;0&lt;/R&gt;&lt;C&gt;0&lt;/C&gt;&lt;/FQL&gt;&lt;FQL&gt;&lt;Q&gt;Ticker0024^FE_ESTIMATE(NEW_ORDERS_VALUE,MEAN,QUARTERLY_ROLL,2020/2F,45868,,,'')&lt;/Q&gt;&lt;R&gt;1&lt;/R&gt;&lt;C&gt;1&lt;/C&gt;&lt;D xsi:type="xsd:double"&gt;34101&lt;/D&gt;&lt;/FQL&gt;&lt;FQL&gt;&lt;Q&gt;Ticker0024^FE_ESTIMATE(NEW_ORDERS_VALUE,MEAN,QUARTERLY_ROLL,2020/1F,45868,,,'')&lt;/Q&gt;&lt;R&gt;1&lt;/R&gt;&lt;C&gt;1&lt;/C&gt;&lt;D xsi:type="xsd:double"&gt;29875&lt;/D&gt;&lt;/FQL&gt;&lt;FQL&gt;&lt;Q&gt;Ticker0024^FE_ESTIMATE(DEFREVENUE,MEAN,ANNUAL_ROLL,2030,45868,,,'')&lt;/Q&gt;&lt;R&gt;0&lt;/R&gt;&lt;C&gt;0&lt;/C&gt;&lt;/FQL&gt;&lt;FQL&gt;&lt;Q&gt;Ticker0024^FE_ESTIMATE(DEFREVENUE,MEAN,QUARTERLY_ROLL,2030/4F,45868,,,'')&lt;/Q&gt;&lt;R&gt;0&lt;/R&gt;&lt;C&gt;0&lt;/C&gt;&lt;/FQL&gt;&lt;FQL&gt;&lt;Q&gt;Ticker0024^FE_ESTIMATE(DEFREVENUE,MEAN,QUARTERLY_ROLL,2030/3F,45868,,,'')&lt;/Q&gt;&lt;R&gt;0&lt;/R&gt;&lt;C&gt;0&lt;/C&gt;&lt;/FQL&gt;&lt;FQL&gt;&lt;Q&gt;Ticker0024^FE_ESTIMATE(DEFREVENUE,MEAN,QUARTERLY_ROLL,2030/2F,45868,,,'')&lt;/Q&gt;&lt;R&gt;0&lt;/R&gt;&lt;C&gt;0&lt;/C&gt;&lt;/FQL&gt;&lt;FQL&gt;&lt;Q&gt;Ticker0024^FE_ESTIMATE(DEFREVENUE,MEAN,QUARTERLY_ROLL,2030/1F,45868,,,'')&lt;/Q&gt;&lt;R&gt;0&lt;/R&gt;&lt;C&gt;0&lt;/C&gt;&lt;/FQL&gt;&lt;FQL&gt;&lt;Q&gt;Ticker0024^FE_ESTIMATE(DEFREVENUE,MEAN,ANNUAL_ROLL,2029,45868,,,'')&lt;/Q&gt;&lt;R&gt;0&lt;/R&gt;&lt;C&gt;0&lt;/C&gt;&lt;/FQL&gt;&lt;FQL&gt;&lt;Q&gt;Ticker0024^FE_ESTIMATE(DEFREVENUE,MEAN,QUARTERLY_ROLL,2029/4F,45868,,,'')&lt;/Q&gt;&lt;R&gt;0&lt;/R&gt;&lt;C&gt;0&lt;/C&gt;&lt;/FQL&gt;&lt;FQL&gt;&lt;Q&gt;Ticker0024^FE_ESTIMATE(DEFREVENUE,MEAN,QUARTERLY_ROLL,2029/3F,45868,,,'')&lt;/Q&gt;&lt;R&gt;0&lt;/R&gt;&lt;C&gt;0&lt;/C&gt;&lt;/FQL&gt;&lt;FQL&gt;&lt;Q&gt;Ticker0024^FE_ESTIMATE(DEFREVENUE,MEAN,QUARTERLY_ROLL,2029/2F,45868,,,'')&lt;/Q&gt;&lt;R&gt;0&lt;/R&gt;&lt;C&gt;0&lt;/C&gt;&lt;/FQL&gt;&lt;FQL&gt;&lt;Q&gt;Ticker0024^FE_ESTIMATE(DEFREVENUE,MEAN,QUARTERLY_ROLL,2029/1F,45868,,,'')&lt;/Q&gt;&lt;R&gt;0&lt;/R&gt;&lt;C&gt;0&lt;/C&gt;&lt;/FQL&gt;&lt;FQL&gt;&lt;Q&gt;Ticker0024^FE_ESTIMATE(DEFREVENUE,MEAN,ANNUAL_ROLL,2028,45868,,,'')&lt;/Q&gt;&lt;R&gt;0&lt;/R&gt;&lt;C&gt;0&lt;/C&gt;&lt;/FQL&gt;&lt;FQL&gt;&lt;Q&gt;Ticker0024^FE_ESTIMATE(DEFREVENUE,MEAN,QUARTERLY_ROLL,2028/4F,45868,,,'')&lt;/Q&gt;&lt;R&gt;0&lt;/R&gt;&lt;C&gt;0&lt;/C&gt;&lt;/FQL&gt;&lt;FQL&gt;&lt;Q&gt;Ticker0024^FE_ESTIMATE(DEFREVENUE,MEAN,QUARTERLY_ROLL,2028/3F,45868,,,'')&lt;/Q&gt;&lt;R&gt;0&lt;/R&gt;&lt;C&gt;0&lt;/C&gt;&lt;/FQL&gt;&lt;FQL&gt;&lt;Q&gt;Ticker0024^FE_ESTIMATE(DEFREVENUE,MEAN,QUARTERLY_ROLL,2028/2F,45868,,,'')&lt;/Q&gt;&lt;R&gt;0&lt;/R&gt;&lt;C&gt;0&lt;/C&gt;&lt;/FQL&gt;&lt;FQL&gt;&lt;Q&gt;Ticker0024^FE_ESTIMATE(DEFREVENUE,MEAN,QUARTERLY_ROLL,2028/1F,45868,,,'')&lt;/Q&gt;&lt;R&gt;0&lt;/R&gt;&lt;C&gt;0&lt;/C&gt;&lt;/FQL&gt;&lt;FQL&gt;&lt;Q&gt;Ticker0024^FE_ESTIMATE(DEFREVENUE,MEAN,ANNUAL_ROLL,2027,45868,,,'')&lt;/Q&gt;&lt;R&gt;1&lt;/R&gt;&lt;C&gt;1&lt;/C&gt;&lt;D xsi:type="xsd:double"&gt;66609.3&lt;/D&gt;&lt;/FQL&gt;&lt;FQL&gt;&lt;Q&gt;Ticker0024^FE_ESTIMATE(DEFREVENUE,MEAN,QUARTERLY_ROLL,2027/4F,45868,,,'')&lt;/Q&gt;&lt;R&gt;1&lt;/R&gt;&lt;C&gt;1&lt;/C&gt;&lt;D xsi:type="xsd:double"&gt;81381&lt;/D&gt;&lt;/FQL&gt;&lt;FQL&gt;&lt;Q&gt;Ticker0024^FE_ESTIMATE(DEFREVENUE,MEAN,QUARTERLY_ROLL,2027/3F,45868,,,'')&lt;/Q&gt;&lt;R&gt;1&lt;/R&gt;&lt;C&gt;1&lt;/C&gt;&lt;D xsi:type="xsd:double"&gt;60404&lt;/D&gt;&lt;/FQL&gt;&lt;FQL&gt;&lt;Q&gt;Ticker0024^FE_ESTIMATE(DEFREVENUE,MEAN,QUARTERLY_ROLL,2027/2F,45868,,,'')&lt;/Q&gt;&lt;R&gt;1&lt;/R&gt;&lt;C&gt;1&lt;/C&gt;&lt;D xsi:type="xsd:double"&gt;61575.5&lt;/D&gt;&lt;/FQL&gt;&lt;FQL&gt;&lt;Q&gt;Ticker0024^FE_ESTIMATE(DEFREVENUE,MEAN,QUARTERLY_ROLL,2027/1F,45868,,,'')&lt;/Q&gt;&lt;R&gt;1&lt;/R&gt;&lt;C&gt;1&lt;/C&gt;&lt;D xsi:type="xsd:double"&gt;68192.5&lt;/D&gt;&lt;/FQL&gt;&lt;FQL&gt;&lt;Q&gt;Ticker0024^FE_ESTIMATE(DEFREVENUE,MEAN,ANNUAL_ROLL,2026,45868,,,'')&lt;/Q&gt;&lt;R&gt;1&lt;/R&gt;&lt;C&gt;1&lt;/C&gt;&lt;D xsi:type="xsd:double"&gt;68426.5&lt;/D&gt;&lt;/FQL&gt;&lt;FQL&gt;&lt;Q&gt;Ticker0024^FE_ESTIMATE(DEFREVENUE,MEAN,QUARTERLY_ROLL,2026/4F,45868,,,'')&lt;/Q&gt;&lt;R&gt;1&lt;/R&gt;&lt;C&gt;1&lt;/C&gt;&lt;D xsi:type="xsd:double"&gt;71119.25&lt;/D&gt;&lt;/FQL&gt;&lt;FQL&gt;&lt;Q&gt;Ticker0024^FE_ESTIMATE(DEFREVENUE,MEAN,QUARTERLY_ROLL,2026/3F,45868,,,'')&lt;/Q&gt;&lt;R&gt;1&lt;/R&gt;&lt;C&gt;1&lt;/C&gt;&lt;D xsi:type="xsd:double"&gt;52546.5&lt;/D&gt;&lt;/FQL&gt;&lt;FQL&gt;&lt;Q&gt;Ticker0024^FE_ESTIMATE(DEFREVENUE,MEAN,QUARTERLY_ROLL,2026/2F,45868,,,'')&lt;/Q&gt;&lt;R&gt;1&lt;/R&gt;&lt;C&gt;1&lt;/C&gt;&lt;D xsi:type="xsd:double"&gt;53443.25&lt;/D&gt;&lt;/FQL&gt;&lt;FQL&gt;&lt;Q&gt;Ticker0024^FE_ESTIMATE(DEFREVENUE,MEAN,QUARTERLY_ROLL,2026/1F,45868,,,'')&lt;/Q&gt;&lt;R&gt;1&lt;/R&gt;&lt;C&gt;1&lt;/C&gt;&lt;D xsi:type="xsd:double"&gt;59902&lt;/D&gt;&lt;/FQL&gt;&lt;FQL&gt;&lt;Q&gt;Ticker0024^FE_ESTIMATE(DEFREVENUE,MEAN,ANNUAL_ROLL,2025,45868,,,'')&lt;/Q&gt;&lt;R&gt;1&lt;/R&gt;&lt;C&gt;1&lt;/C&gt;&lt;D xsi:type="xsd:double"&gt;64225.465&lt;/D&gt;&lt;/FQL&gt;&lt;FQL&gt;&lt;Q&gt;Ticker0024^FE_ESTIMATE(DEFREVENUE,MEAN,QUARTERLY_ROLL,2025/4F,45868,,,'')&lt;/Q&gt;&lt;R&gt;1&lt;/R&gt;&lt;C&gt;1&lt;/C&gt;&lt;D xsi:type="xsd:double"&gt;63671.027&lt;/D&gt;&lt;/FQL&gt;&lt;FQL&gt;&lt;Q&gt;Ticker0024^FE_ESTIMATE(DEFREVENUE,MEAN,QUARTERLY_ROLL,2025/3F,45868,,,'')&lt;/Q&gt;&lt;R&gt;1&lt;/R&gt;&lt;C&gt;1&lt;/C&gt;&lt;D xsi:type="xsd:double"&gt;47476.57&lt;/D&gt;&lt;/FQL&gt;&lt;FQL&gt;&lt;Q&gt;Ticker0024^FE_ESTIMATE(DEFREVENUE,MEAN,QUARTERLY_ROLL,2025/2F,45868,,,'')&lt;/Q&gt;&lt;R&gt;1&lt;/R&gt;&lt;C&gt;1&lt;/C&gt;&lt;D xsi:type="xsd:double"&gt;48045.715&lt;/D&gt;&lt;/FQL&gt;&lt;FQL&gt;&lt;Q&gt;Ticker0024^FE_ESTIMATE(DEFREVENUE,MEAN,QUARTERLY_ROLL,2025/1F,45868,,,'')&lt;/Q&gt;&lt;R&gt;1&lt;/R&gt;&lt;C&gt;1&lt;/C&gt;&lt;D xsi:type="xsd:double"&gt;55689.125&lt;/D&gt;&lt;/FQL&gt;&lt;FQL&gt;&lt;Q&gt;Ticker0024^FE_ESTIMATE(DEFREVENUE,MEAN,ANNUAL_ROLL,2024,45868,,,'')&lt;/Q&gt;&lt;R&gt;1&lt;/R&gt;&lt;C&gt;1&lt;/C&gt;&lt;D xsi:type="xsd:double"&gt;60183.6&lt;/D&gt;&lt;/FQL&gt;&lt;FQL&gt;&lt;Q&gt;Ticker0024^FE_ESTIMATE(DEFREVENUE,MEAN,QUARTERLY_ROLL,2024/4F,45868,,,'')&lt;/Q&gt;&lt;R&gt;1&lt;/R&gt;&lt;C&gt;1&lt;/C&gt;&lt;D xsi:type="xsd:double"&gt;60183.555&lt;/D&gt;&lt;/FQL&gt;&lt;FQL&gt;&lt;Q&gt;Ticker0024^FE_ESTIMATE(DEFREVENUE,MEAN,QUARTERLY_ROLL,2024/3F,45868,,,'')&lt;/Q&gt;&lt;R&gt;1&lt;/R&gt;&lt;C&gt;1&lt;/C&gt;&lt;D xsi:type="xsd:double"&gt;44834&lt;/D&gt;&lt;/FQL&gt;&lt;FQL&gt;&lt;Q&gt;Ticker0024^FE_ESTIMATE(DEFREVENUE,MEAN,QUARTERLY_ROLL,2024/2F,45868,,,'')&lt;/Q&gt;&lt;R&gt;1&lt;/R&gt;&lt;C&gt;1&lt;/C&gt;&lt;D xsi:type="xsd:double"&gt;46034.855&lt;/D&gt;&lt;/FQL&gt;&lt;FQL&gt;&lt;Q&gt;Ticker0024^FE_ESTIMATE(DEFREVENUE,MEAN,QUARTERLY_ROLL,2024/1F,45868,,,'')&lt;/Q&gt;&lt;R&gt;1&lt;/R&gt;&lt;C&gt;1&lt;/C&gt;&lt;D xsi:type="xsd:double"&gt;49188.332&lt;/D&gt;&lt;/FQL&gt;&lt;FQL&gt;&lt;Q&gt;Ticker0024^FE_ESTIMATE(DEFREVENUE,MEAN,ANNUAL_ROLL,2023,45868,,,'')&lt;/Q&gt;&lt;R&gt;1&lt;/R&gt;&lt;C&gt;1&lt;/C&gt;&lt;D xsi:type="xsd:double"&gt;53548&lt;/D&gt;&lt;/FQL&gt;&lt;FQL&gt;&lt;Q&gt;Ticker0024^FE_ESTIMATE(DEFREVENUE,MEAN,QUARTERLY_ROLL,2023/4F,45868,,,'')&lt;/Q&gt;&lt;R&gt;1&lt;/R&gt;&lt;C&gt;1&lt;/C&gt;&lt;D xsi:type="xsd:double"&gt;53812.625&lt;/D&gt;&lt;/FQL&gt;&lt;FQL&gt;&lt;Q&gt;Ticker0024^FE_ESTIMATE(DEFREVENUE,MEAN,QUARTERLY_ROLL,2023/3F,45868,,,'')&lt;/Q&gt;&lt;R&gt;1&lt;/R&gt;&lt;C&gt;1&lt;/C&gt;&lt;D xsi:type="xsd:double"&gt;39600.832&lt;/D&gt;&lt;/FQL&gt;&lt;FQL&gt;&lt;Q&gt;Ticker0024^FE_ESTIMATE(DEFREVENUE,MEAN,QUARTERLY_ROLL,2023/2F,45868,,,'')&lt;/Q&gt;&lt;R&gt;1&lt;/R&gt;&lt;C&gt;1&lt;/C&gt;&lt;D xsi:type="xsd:double"&gt;39625&lt;/D&gt;&lt;/FQL&gt;&lt;FQL&gt;&lt;Q&gt;Ticker0024^FE_ESTIMATE(DEFREVENUE,MEAN,QUARTERLY_ROLL,2023/1F,45868,,,'')&lt;/Q&gt;&lt;R&gt;1&lt;/R&gt;&lt;C&gt;1&lt;/C&gt;&lt;D xsi:type="xsd:double"&gt;43889.145&lt;/D&gt;&lt;/FQL&gt;&lt;FQL&gt;&lt;Q&gt;Ticker0024^FE_ESTIMATE(DEFREVENUE,MEAN,ANNUAL_ROLL,2022,45868,,,'')&lt;/Q&gt;&lt;R&gt;1&lt;/R&gt;&lt;C&gt;1&lt;/C&gt;&lt;D xsi:type="xsd:double"&gt;48121&lt;/D&gt;&lt;/FQL&gt;&lt;FQL&gt;&lt;Q&gt;Ticker0024^FE_ESTIMATE(DEFREVENUE,MEAN,QUARTERLY_ROLL,2022/4F,45868,,,'')&lt;/Q&gt;&lt;R&gt;1&lt;/R&gt;&lt;C&gt;1&lt;/C&gt;&lt;D xsi:type="xsd:double"&gt;48408&lt;/D&gt;&lt;/FQL&gt;&lt;FQL&gt;&lt;Q&gt;Ticker0024^FE_ESTIMATE(DEFREVENUE,MEAN,QUARTERLY_ROLL,2022/3F,45868,,,'')&lt;/Q&gt;&lt;R&gt;1&lt;/R&gt;&lt;C&gt;1&lt;/C&gt;&lt;D xsi:type="xsd:double"&gt;36796&lt;/D&gt;&lt;/FQL&gt;&lt;FQL&gt;&lt;Q&gt;Ticker0024^FE_ESTIMATE(DEFREVENUE,MEAN,QUARTERLY_ROLL,2022/2F,45868,,,'')&lt;/Q&gt;&lt;R&gt;1&lt;/R&gt;&lt;C&gt;1&lt;/C&gt;&lt;D xsi:type="xsd:double"&gt;36769&lt;/D&gt;&lt;/FQL&gt;&lt;FQL&gt;&lt;Q&gt;Ticker0024^FE_ESTIMATE(DEFREVENUE,MEAN,QUARTERLY_ROLL,2022/1F,45868,,,'')&lt;/Q&gt;&lt;R&gt;1&lt;/R&gt;&lt;C&gt;1&lt;/C&gt;&lt;D xsi:type="xsd:double"&gt;41015&lt;/D&gt;&lt;/FQL&gt;&lt;FQL&gt;&lt;Q&gt;Ticker0024^FE_ESTIMATE(DEFREVENUE,MEAN,ANNUAL_ROLL,2021,45868,,,'')&lt;/Q&gt;&lt;R&gt;1&lt;/R&gt;&lt;C&gt;1&lt;/C&gt;&lt;D xsi:type="xsd:double"&gt;44141&lt;/D&gt;&lt;/FQL&gt;&lt;FQL&gt;&lt;Q&gt;Ticker0024^FE_ESTIMATE(DEFREVENUE,MEAN,QUARTERLY_ROLL,2021/4F,45868,,,'')&lt;/Q&gt;&lt;R&gt;1&lt;/R&gt;&lt;C&gt;1&lt;/C&gt;&lt;D xsi:type="xsd:double"&gt;44141&lt;/D&gt;&lt;/FQL&gt;&lt;FQL&gt;&lt;Q&gt;Ticker0024^FE_ESTIMATE(DEFREVENUE,MEAN,QUARTERLY_ROLL,2021/3F,45868,,,'')&lt;/Q&gt;&lt;R&gt;1&lt;/R&gt;&lt;C&gt;1&lt;/C&gt;&lt;D xsi:type="xsd:double"&gt;32714&lt;/D&gt;&lt;/FQL&gt;&lt;FQL&gt;&lt;Q&gt;Ticker0024^FE_ESTIMATE(DEFREVENUE,MEAN,QUARTERLY_ROLL,2021/2F,45868,,,'')&lt;/Q&gt;&lt;R&gt;1&lt;/R&gt;&lt;C&gt;1&lt;/C&gt;&lt;D xsi:type="xsd:double"&gt;33387&lt;/D&gt;&lt;/FQL&gt;&lt;FQL&gt;&lt;Q&gt;Ticker0024^FE_ESTIMATE(DEFREVENUE,MEAN,QUARTERLY_ROLL,2021/1F,45868,,,'')&lt;/Q&gt;&lt;R&gt;1&lt;/R&gt;&lt;C&gt;1&lt;/C&gt;&lt;D xsi:type="xsd:double"&gt;36305&lt;/D&gt;&lt;/FQL&gt;&lt;FQL&gt;&lt;Q&gt;Ticker0024^FE_ESTIMATE(DEFREVENUE,MEAN,ANNUAL_ROLL,2020,45868,,,'')&lt;/Q&gt;&lt;R&gt;1&lt;/R&gt;&lt;C&gt;1&lt;/C&gt;&lt;D xsi:type="xsd:double"&gt;39180&lt;/D&gt;&lt;/FQL&gt;&lt;FQL&gt;&lt;Q&gt;Ticker0024^FE_ESTIMATE(DEFREVENUE,MEAN,QUARTERLY_ROLL,2020/4F,45868,,,'')&lt;/Q&gt;&lt;R&gt;1&lt;/R&gt;&lt;C&gt;1&lt;/C&gt;&lt;D xsi:type="xsd:double"&gt;39180&lt;/D&gt;&lt;/FQL&gt;&lt;FQL&gt;&lt;Q&gt;Ticker0024^FE_ESTIMATE(DEFREVENUE,MEAN,QUARTERLY_ROLL,2020/3F,45868,,,'')&lt;/Q&gt;&lt;R&gt;1&lt;/R&gt;&lt;C&gt;1&lt;/C&gt;&lt;D xsi:type="xsd:double"&gt;30397&lt;/D&gt;&lt;/FQL&gt;&lt;FQL&gt;&lt;Q&gt;Ticker0024^FE_ESTIMATE(DEFREVENUE,MEAN,QUARTERLY_ROLL,2020/2F,45868,,,'')&lt;/Q&gt;&lt;R&gt;1&lt;/R&gt;&lt;C&gt;1&lt;/C&gt;&lt;D xsi:type="xsd:double"&gt;31221&lt;/D&gt;&lt;/FQL&gt;&lt;FQL&gt;&lt;Q&gt;Ticker0024^FE_ESTIMATE(DEFREVENUE,MEAN,QUARTERLY_ROLL,2020/1F,45868,,,'')&lt;/Q&gt;&lt;R&gt;1&lt;/R&gt;&lt;C&gt;1&lt;/C&gt;&lt;D xsi:type="xsd:double"&gt;34026&lt;/D&gt;&lt;/FQL&gt;&lt;FQL&gt;&lt;Q&gt;Ticker0024^FE_ESTIMATE(DEFREVENUE_LT,MEAN,ANNUAL_ROLL,2030,45868,,,'')&lt;/Q&gt;&lt;R&gt;0&lt;/R&gt;&lt;C&gt;0&lt;/C&gt;&lt;/FQL&gt;&lt;FQL&gt;&lt;Q&gt;Ticker0024^FE_ESTIMATE(DEFREVENUE_LT,MEAN,QUARTERLY_ROLL,2030/4F,45868,,,'')&lt;/Q&gt;&lt;R&gt;0&lt;/R&gt;&lt;C&gt;0&lt;/C&gt;&lt;/FQL&gt;&lt;FQL&gt;&lt;Q&gt;Ticker0024^FE_ESTIMATE(DEFREVENUE_LT,MEAN,QUARTERLY_ROLL,2030/3F,45868,,,'')&lt;/Q&gt;&lt;R&gt;0&lt;/R&gt;&lt;C&gt;0&lt;/C&gt;&lt;/FQL&gt;&lt;FQL&gt;&lt;Q&gt;Ticker0024^FE_ESTIMATE(DEFREVENUE_LT,MEAN,QUARTERLY_ROLL,2030/2F,45868,,,'')&lt;/Q&gt;&lt;R&gt;0&lt;/R&gt;&lt;C&gt;0&lt;/C&gt;&lt;/FQL&gt;&lt;FQL&gt;&lt;Q&gt;Ticker0024^FE_ESTIMATE(DEFREVENUE_LT,MEAN,QUARTERLY_ROLL,2030/1F,45868,,,'')&lt;/Q&gt;&lt;R&gt;0&lt;/R&gt;&lt;C&gt;0&lt;/C&gt;&lt;/FQL&gt;&lt;FQL&gt;&lt;Q&gt;Ticker0024^FE_ESTIMATE(DEFREVENUE_LT,MEAN,ANNUAL_ROLL,2029,45868,,,'')&lt;/Q&gt;&lt;R&gt;0&lt;/R&gt;&lt;C&gt;0&lt;/C&gt;&lt;/FQL&gt;&lt;FQL&gt;&lt;Q&gt;Ticker0024^FE_ESTIMATE(DEFREVENUE_LT,MEAN,QUARTERLY_ROLL,2029/4F,45868,,,'')&lt;/Q&gt;&lt;R&gt;0&lt;/R&gt;&lt;C&gt;0&lt;/C&gt;&lt;/FQL&gt;&lt;FQL&gt;&lt;Q&gt;Ticker0024^FE_ESTIMATE(DEFREVENUE_LT,MEAN,QUARTERLY_ROLL,2029/3F,45868,,,'')&lt;/Q&gt;&lt;R&gt;0&lt;/R&gt;&lt;C&gt;0&lt;/C&gt;&lt;/FQL&gt;&lt;FQL&gt;&lt;Q&gt;Ticker0024^FE_ESTIMATE(DEFREVENUE_LT,MEAN,QUARTERLY_ROLL,2029/2F,45868,,,'')&lt;/Q&gt;&lt;R&gt;0&lt;/R&gt;&lt;C&gt;0&lt;/C&gt;&lt;/FQL&gt;&lt;FQL&gt;&lt;Q&gt;Ticker0024^FE_ESTIMATE(DEFREVENUE_LT,MEAN,QUARTERLY_ROLL,2029/1F,45868,,,'')&lt;/Q&gt;&lt;R&gt;0&lt;/R&gt;&lt;C&gt;0&lt;/C&gt;&lt;/FQL&gt;&lt;FQL&gt;&lt;Q&gt;Ticker0024^FE_ESTIMATE(DEFREVENUE_LT,MEAN,ANNUAL_ROLL,2028,45868,,,'')&lt;/Q&gt;&lt;R&gt;0&lt;/R&gt;&lt;C&gt;0&lt;/C&gt;&lt;/FQL&gt;&lt;FQL&gt;&lt;Q&gt;Ticker0024^FE_ESTIMATE(DEFREVENUE_LT,MEAN,QUARTERLY_ROLL,2028/4F,45868,,,'')&lt;/Q&gt;&lt;R&gt;0&lt;/R&gt;&lt;C&gt;0&lt;/C&gt;&lt;/FQL&gt;&lt;FQL&gt;&lt;Q&gt;Ticker0024^FE_ESTIMATE(DEFREVENUE_LT,MEAN,QUARTERLY_ROLL,2028/3F,45868,,,'')&lt;/Q&gt;&lt;R&gt;0&lt;/R&gt;&lt;C&gt;0&lt;/C&gt;&lt;/FQL&gt;&lt;FQL&gt;&lt;Q&gt;Ticker0024^FE_ESTIMATE(DEFREVENUE_LT,MEAN,QUARTERLY_ROLL,2028/2F,45868,,,'')&lt;/Q&gt;&lt;R&gt;0&lt;/R&gt;&lt;C&gt;0&lt;/C&gt;&lt;/FQL&gt;&lt;FQL&gt;&lt;Q&gt;Ticker0024^FE_ESTIMATE(DEFREVENUE_LT,MEAN,QUARTERLY_ROLL,2028/1F,45868,,,'')&lt;/Q&gt;&lt;R&gt;0&lt;/R&gt;&lt;C&gt;0&lt;/C&gt;&lt;/FQL&gt;&lt;FQL&gt;&lt;Q&gt;Ticker0024^FE_ESTIMATE(DEFREVENUE_LT,MEAN,ANNUAL_ROLL,2027,45868,,,'')&lt;/Q&gt;&lt;R&gt;1&lt;/R&gt;&lt;C&gt;1&lt;/C&gt;&lt;D xsi:type="xsd:double"&gt;2651.86&lt;/D&gt;&lt;/FQL&gt;&lt;FQL&gt;&lt;Q&gt;Ticker0024^FE_ESTIMATE(DEFREVENUE_LT,MEAN,QUARTERLY_ROLL,2027/4F,45868,,,'')&lt;/Q&gt;&lt;R&gt;1&lt;/R&gt;&lt;C&gt;1&lt;/C&gt;&lt;D xsi:type="xsd:double"&gt;3060&lt;/D&gt;&lt;/FQL&gt;&lt;FQL&gt;&lt;Q&gt;Ticker0024^FE_ESTIMATE(DEFREVENUE_LT,MEAN,QUARTERLY_ROLL,2027/3F,45868,,,'')&lt;/Q&gt;&lt;R&gt;1&lt;/R&gt;&lt;C&gt;1&lt;/C&gt;&lt;D xsi:type="xsd:double"&gt;2575.5&lt;/D&gt;&lt;/FQL&gt;&lt;FQL&gt;&lt;Q&gt;Ticker0024^FE_ESTIMATE(DEFREVENUE_LT,MEAN,QUARTERLY_ROLL,2027/2F,45868,,,'')&lt;/Q&gt;&lt;R&gt;1&lt;/R&gt;&lt;C&gt;1&lt;/C&gt;&lt;D xsi:type="xsd:double"&gt;2621.5&lt;/D&gt;&lt;/FQL&gt;&lt;FQL&gt;&lt;Q&gt;Ticker0024^FE_ESTIMATE(DEFREVENUE_LT,MEAN,QUARTERLY_ROLL,2027/1F,45868,,,'')&lt;/Q&gt;&lt;R&gt;1&lt;/R&gt;&lt;C&gt;1&lt;/C&gt;&lt;D xsi:type="xsd:double"&gt;2778.5&lt;/D&gt;&lt;/FQL&gt;&lt;FQL&gt;&lt;Q&gt;Ticker0024^FE_ESTIMATE(DEFREVENUE_LT,MEAN,ANNUAL_ROLL,2026,45868,,,'')&lt;/Q&gt;&lt;R&gt;1&lt;/R&gt;&lt;C&gt;1&lt;/C&gt;&lt;D xsi:type="xsd:double"&gt;3005.8&lt;/D&gt;&lt;/FQL&gt;&lt;FQL&gt;&lt;Q&gt;Ticker0024^FE_ESTIMATE(DEFREVENUE_LT,MEAN,QUARTERLY_ROLL,2026/4F,45868,,,'')&lt;/Q&gt;&lt;R&gt;1&lt;/R&gt;&lt;C&gt;1&lt;/C&gt;&lt;D xsi:type="xsd:double"&gt;2937&lt;/D&gt;&lt;/FQL&gt;&lt;FQL&gt;&lt;Q&gt;Ticker0024^FE_ESTIMATE(DEFREVENUE_LT,MEAN,QUARTERLY_ROLL,2026/3F,45868,,,'')&lt;/Q&gt;&lt;R&gt;1&lt;/R&gt;&lt;C&gt;1&lt;/C&gt;&lt;D xsi:type="xsd:double"&gt;2868.75&lt;/D&gt;&lt;/FQL&gt;&lt;FQL&gt;&lt;Q&gt;Ticker0024^FE_ESTIMATE(DEFREVENUE_LT,MEAN,QUARTERLY_ROLL,2026/2F,45868,,,'')&lt;/Q&gt;&lt;R&gt;1&lt;/R&gt;&lt;C&gt;1&lt;/C&gt;&lt;D xsi:type="xsd:double"&gt;2735.5&lt;/D&gt;&lt;/FQL&gt;&lt;FQL&gt;&lt;Q&gt;Ticker0024^FE_ESTIMATE(DEFREVENUE_LT,MEAN,QUARTERLY_ROLL,2026/1F,45868,,,'')&lt;/Q&gt;&lt;R&gt;1&lt;/R&gt;&lt;C&gt;1&lt;/C&gt;&lt;D xsi:type="xsd:double"&gt;2813.25&lt;/D&gt;&lt;/FQL&gt;&lt;FQL&gt;&lt;Q&gt;Ticker0024^FE_ESTIMATE(DEFREVENUE_LT,MEAN,ANNUAL_ROLL,2025,45868,,,'')&lt;/Q&gt;&lt;R&gt;1&lt;/R&gt;&lt;C&gt;1&lt;/C&gt;&lt;D xsi:type="xsd:double"&gt;2994.05&lt;/D&gt;&lt;/FQL&gt;&lt;FQL&gt;&lt;Q&gt;Ticker0024^FE_ESTIMATE(DEFREVENUE_LT,MEAN,QUARTERLY_ROLL,2025/4F,45868,,,'')&lt;/Q&gt;&lt;R&gt;1&lt;/R&gt;&lt;C&gt;1&lt;/C&gt;&lt;D xsi:type="xsd:double"&gt;2994.05&lt;/D&gt;&lt;/FQL&gt;&lt;FQL&gt;&lt;Q&gt;Ticker0024^FE_ESTIMATE(DEFREVENUE_LT,MEAN,QUARTERLY_ROLL,2025/3F,45868,,,'')&lt;/Q&gt;&lt;R&gt;1&lt;/R&gt;&lt;C&gt;1&lt;/C&gt;&lt;D xsi:type="xsd:double"&gt;2840&lt;/D&gt;&lt;/FQL&gt;&lt;FQL&gt;&lt;Q&gt;Ticker0024^FE_ESTIMATE(DEFREVENUE_LT,MEAN,QUARTERLY_ROLL,2025/2F,45868,,,'')&lt;/Q&gt;&lt;R&gt;1&lt;/R&gt;&lt;C&gt;1&lt;/C&gt;&lt;D xsi:type="xsd:double"&gt;2537.4285&lt;/D&gt;&lt;/FQL&gt;&lt;FQL&gt;&lt;Q&gt;Ticker0024^FE_ESTIMATE(DEFREVENUE_LT,MEAN,QUARTERLY_ROLL,2025/1F,45868,,,'')&lt;/Q&gt;&lt;R&gt;1&lt;/R&gt;&lt;C&gt;1&lt;/C&gt;&lt;D xsi:type="xsd:double"&gt;2662.6667&lt;/D&gt;&lt;/FQL&gt;&lt;FQL&gt;&lt;Q&gt;Ticker0024^FE_ESTIMATE(DEFREVENUE_LT,MEAN,ANNUAL_ROLL,2024,45868,,,'')&lt;/Q&gt;&lt;R&gt;1&lt;/R&gt;&lt;C&gt;1&lt;/C&gt;&lt;D xsi:type="xsd:double"&gt;2601.75&lt;/D&gt;&lt;/FQL&gt;&lt;FQL&gt;&lt;Q&gt;Ticker0024^FE_ESTIMATE(DEFREVENUE_LT,MEAN,QUARTERLY_ROLL,2024/4F,45868,,,'')&lt;/Q&gt;&lt;R&gt;1&lt;/R&gt;&lt;C&gt;1&lt;/C&gt;&lt;D xsi:type="xsd:double"&gt;2601.75&lt;/D&gt;&lt;/FQL&gt;&lt;FQL&gt;&lt;Q&gt;Ticker0024^FE_ESTIMATE(DEFREVENUE_LT,MEAN,QUARTERLY_ROLL,2024/3F,45868,,,'')&lt;/Q&gt;&lt;R&gt;1&lt;/R&gt;&lt;C&gt;1&lt;/C&gt;&lt;D xsi:type="xsd:double"&gt;2945.7144&lt;/D&gt;&lt;/FQL&gt;&lt;FQL&gt;&lt;Q&gt;Ticker0024^FE_ESTIMATE(DEFREVENUE_LT,MEAN,QUARTERLY_ROLL,2024/2F,45868,,,'')&lt;/Q&gt;&lt;R&gt;1&lt;/R&gt;&lt;C&gt;1&lt;/C&gt;&lt;D xsi:type="xsd:double"&gt;2966.5715&lt;/D&gt;&lt;/FQL&gt;&lt;FQL&gt;&lt;Q&gt;Ticker0024^FE_ESTIMATE(DEFREVENUE_LT,MEAN,QUARTERLY_ROLL,2024/1F,45868,,,'')&lt;/Q&gt;&lt;R&gt;1&lt;/R&gt;&lt;C&gt;1&lt;/C&gt;&lt;D xsi:type="xsd:double"&gt;2759.1428&lt;/D&gt;&lt;/FQL&gt;&lt;FQL&gt;&lt;Q&gt;Ticker0024^FE_ESTIMATE(DEFREVENUE_LT,MEAN,ANNUAL_ROLL,2023,45868,,,'')&lt;/Q&gt;&lt;R&gt;1&lt;/R&gt;&lt;C&gt;1&lt;/C&gt;&lt;D xsi:type="xsd:double"&gt;2911.75&lt;/D&gt;&lt;/FQL&gt;&lt;FQL&gt;&lt;Q&gt;Ticker0024^FE_ESTIMATE(DEFREVENUE_LT,MEAN,QUARTERLY_ROLL,2023/4F,45868,,,'')&lt;/Q&gt;&lt;R&gt;1&lt;/R&gt;&lt;C&gt;1&lt;/C&gt;&lt;D xsi:type="xsd:double"&gt;2911.7144&lt;/D&gt;&lt;/FQL&gt;&lt;FQL&gt;&lt;Q&gt;Ticker0024^FE_ESTIMATE(DEFREVENUE_LT,MEAN,QUARTERLY_ROLL,2023/3F,45868,,,'')&lt;/Q&gt;&lt;R&gt;1&lt;/R&gt;&lt;C&gt;1&lt;/C&gt;&lt;D xsi:type="xsd:double"&gt;2698.3333&lt;/D&gt;&lt;/FQL&gt;&lt;FQL&gt;&lt;Q&gt;Ticker0024^FE_ESTIMATE(DEFREVENUE_LT,MEAN,QUARTERLY_ROLL,2023/2F,45868,,,'')&lt;/Q&gt;&lt;R&gt;1&lt;/R&gt;&lt;C&gt;1&lt;/C&gt;&lt;D xsi:type="xsd:double"&gt;2643.3333&lt;/D&gt;&lt;/FQL&gt;&lt;FQL&gt;&lt;Q&gt;Ticker0024^FE_ESTIMATE(DEFREVENUE_LT,MEAN,QUARTERLY_ROLL,2023/1F,45868,,,'')&lt;/Q&gt;&lt;R&gt;1&lt;/R&gt;&lt;C&gt;1&lt;/C&gt;&lt;D xsi:type="xsd:double"&gt;2549.1428&lt;/D&gt;&lt;/FQL&gt;&lt;FQL&gt;&lt;Q&gt;Ticker0024^FE_ESTIMATE(DEFREVENUE_LT,MEAN,ANNUAL_ROLL,2022,45868,,,'')&lt;/Q&gt;&lt;R&gt;1&lt;/R&gt;&lt;C&gt;1&lt;/C&gt;&lt;D xsi:type="xsd:double"&gt;2870&lt;/D&gt;&lt;/FQL&gt;&lt;FQL&gt;&lt;Q&gt;Ticker0024^FE_ESTIMATE(DEFREVENUE_LT,MEAN,QUARTERLY_ROLL,2022/4F,45868,,,'')&lt;/Q&gt;&lt;R&gt;1&lt;/R&gt;&lt;C&gt;1&lt;/C&gt;&lt;D xsi:type="xsd:double"&gt;2870&lt;/D&gt;&lt;/FQL&gt;&lt;FQL&gt;&lt;Q&gt;Ticker0024^FE_ESTIMATE(DEFREVENUE_LT,MEAN,QUARTERLY_ROLL,2022/3F,45868,,,'')&lt;/Q&gt;&lt;R&gt;1&lt;/R&gt;&lt;C&gt;1&lt;/C&gt;&lt;D xsi:type="xsd:double"&gt;2769&lt;/D&gt;&lt;/FQL&gt;&lt;FQL&gt;&lt;Q&gt;Ticker0024^FE_ESTIMATE(DEFREVENUE_LT,MEAN,QUARTERLY_ROLL,2022/2F,45868,,,'')&lt;/Q&gt;&lt;R&gt;1&lt;/R&gt;&lt;C&gt;1&lt;/C&gt;&lt;D xsi:type="xsd:double"&gt;2768&lt;/D&gt;&lt;/FQL&gt;&lt;FQL&gt;&lt;Q&gt;Ticker0024^FE_ESTIMATE(DEFREVENUE_LT,MEAN,QUARTERLY_ROLL,2022/1F,45868,,,'')&lt;/Q&gt;&lt;R&gt;1&lt;/R&gt;&lt;C&gt;1&lt;/C&gt;&lt;D xsi:type="xsd:double"&gt;2550&lt;/D&gt;&lt;/FQL&gt;&lt;FQL&gt;&lt;Q&gt;Ticker0024^FE_ESTIMATE(DEFREVENUE_LT,MEAN,ANNUAL_ROLL,2021,45868,,,'')&lt;/Q&gt;&lt;R&gt;1&lt;/R&gt;&lt;C&gt;1&lt;/C&gt;&lt;D xsi:type="xsd:double"&gt;2616&lt;/D&gt;&lt;/FQL&gt;&lt;FQL&gt;&lt;Q&gt;Ticker0024^FE_ESTIMATE(DEFREVENUE_LT,MEAN,QUARTERLY_ROLL,2021/4F,45868,,,'')&lt;/Q&gt;&lt;R&gt;1&lt;/R&gt;&lt;C&gt;1&lt;/C&gt;&lt;D xsi:type="xsd:double"&gt;2616&lt;/D&gt;&lt;/FQL&gt;&lt;FQL&gt;&lt;Q&gt;Ticker0024^FE_ESTIMA</t>
        </r>
      </text>
    </comment>
    <comment ref="A70" authorId="0" shapeId="0" xr:uid="{FC2A2761-71BF-415E-9051-114E7987EC27}">
      <text>
        <r>
          <rPr>
            <b/>
            <sz val="9"/>
            <color indexed="81"/>
            <rFont val="Tahoma"/>
            <family val="2"/>
          </rPr>
          <t>TE(DEFREVENUE_LT,MEAN,QUARTERLY_ROLL,2021/3F,45868,,,'')&lt;/Q&gt;&lt;R&gt;1&lt;/R&gt;&lt;C&gt;1&lt;/C&gt;&lt;D xsi:type="xsd:double"&gt;2631&lt;/D&gt;&lt;/FQL&gt;&lt;FQL&gt;&lt;Q&gt;Ticker0024^FE_ESTIMATE(DEFREVENUE_LT,MEAN,QUARTERLY_ROLL,2021/2F,45868,,,'')&lt;/Q&gt;&lt;R&gt;1&lt;/R&gt;&lt;C&gt;1&lt;/C&gt;&lt;D xsi:type="xsd:double"&gt;2985&lt;/D&gt;&lt;/FQL&gt;&lt;FQL&gt;&lt;Q&gt;Ticker0024^FE_ESTIMATE(DEFREVENUE_LT,MEAN,QUARTERLY_ROLL,2021/1F,45868,,,'')&lt;/Q&gt;&lt;R&gt;1&lt;/R&gt;&lt;C&gt;1&lt;/C&gt;&lt;D xsi:type="xsd:double"&gt;2829&lt;/D&gt;&lt;/FQL&gt;&lt;FQL&gt;&lt;Q&gt;Ticker0024^FE_ESTIMATE(DEFREVENUE_LT,MEAN,ANNUAL_ROLL,2020,45868,,,'')&lt;/Q&gt;&lt;R&gt;1&lt;/R&gt;&lt;C&gt;1&lt;/C&gt;&lt;D xsi:type="xsd:double"&gt;3180&lt;/D&gt;&lt;/FQL&gt;&lt;FQL&gt;&lt;Q&gt;Ticker0024^FE_ESTIMATE(DEFREVENUE_LT,MEAN,QUARTERLY_ROLL,2020/4F,45868,,,'')&lt;/Q&gt;&lt;R&gt;1&lt;/R&gt;&lt;C&gt;1&lt;/C&gt;&lt;D xsi:type="xsd:double"&gt;3180&lt;/D&gt;&lt;/FQL&gt;&lt;FQL&gt;&lt;Q&gt;Ticker0024^FE_ESTIMATE(DEFREVENUE_LT,MEAN,QUARTERLY_ROLL,2020/3F,45868,,,'')&lt;/Q&gt;&lt;R&gt;1&lt;/R&gt;&lt;C&gt;1&lt;/C&gt;&lt;D xsi:type="xsd:double"&gt;3385&lt;/D&gt;&lt;/FQL&gt;&lt;FQL&gt;&lt;Q&gt;Ticker0024^FE_ESTIMATE(DEFREVENUE_LT,MEAN,QUARTERLY_ROLL,2020/2F,45868,,,'')&lt;/Q&gt;&lt;R&gt;1&lt;/R&gt;&lt;C&gt;1&lt;/C&gt;&lt;D xsi:type="xsd:double"&gt;3878&lt;/D&gt;&lt;/FQL&gt;&lt;FQL&gt;&lt;Q&gt;Ticker0024^FE_ESTIMATE(DEFREVENUE_LT,MEAN,QUARTERLY_ROLL,2020/1F,45868,,,'')&lt;/Q&gt;&lt;R&gt;1&lt;/R&gt;&lt;C&gt;1&lt;/C&gt;&lt;D xsi:type="xsd:double"&gt;4122&lt;/D&gt;&lt;/FQL&gt;&lt;FQL&gt;&lt;Q&gt;Ticker0024^FE_ESTIMATE(DEFREVENUE_ST,MEAN,ANNUAL_ROLL,2030,45868,,,'')&lt;/Q&gt;&lt;R&gt;0&lt;/R&gt;&lt;C&gt;0&lt;/C&gt;&lt;/FQL&gt;&lt;FQL&gt;&lt;Q&gt;Ticker0024^FE_ESTIMATE(DEFREVENUE_ST,MEAN,QUARTERLY_ROLL,2030/4F,45868,,,'')&lt;/Q&gt;&lt;R&gt;0&lt;/R&gt;&lt;C&gt;0&lt;/C&gt;&lt;/FQL&gt;&lt;FQL&gt;&lt;Q&gt;Ticker0024^FE_ESTIMATE(DEFREVENUE_ST,MEAN,QUARTERLY_ROLL,2030/3F,45868,,,'')&lt;/Q&gt;&lt;R&gt;0&lt;/R&gt;&lt;C&gt;0&lt;/C&gt;&lt;/FQL&gt;&lt;FQL&gt;&lt;Q&gt;Ticker0024^FE_ESTIMATE(DEFREVENUE_ST,MEAN,QUARTERLY_ROLL,2030/2F,45868,,,'')&lt;/Q&gt;&lt;R&gt;0&lt;/R&gt;&lt;C&gt;0&lt;/C&gt;&lt;/FQL&gt;&lt;FQL&gt;&lt;Q&gt;Ticker0024^FE_ESTIMATE(DEFREVENUE_ST,MEAN,QUARTERLY_ROLL,2030/1F,45868,,,'')&lt;/Q&gt;&lt;R&gt;0&lt;/R&gt;&lt;C&gt;0&lt;/C&gt;&lt;/FQL&gt;&lt;FQL&gt;&lt;Q&gt;Ticker0024^FE_ESTIMATE(DEFREVENUE_ST,MEAN,ANNUAL_ROLL,2029,45868,,,'')&lt;/Q&gt;&lt;R&gt;0&lt;/R&gt;&lt;C&gt;0&lt;/C&gt;&lt;/FQL&gt;&lt;FQL&gt;&lt;Q&gt;Ticker0024^FE_ESTIMATE(DEFREVENUE_ST,MEAN,QUARTERLY_ROLL,2029/4F,45868,,,'')&lt;/Q&gt;&lt;R&gt;0&lt;/R&gt;&lt;C&gt;0&lt;/C&gt;&lt;/FQL&gt;&lt;FQL&gt;&lt;Q&gt;Ticker0024^FE_ESTIMATE(DEFREVENUE_ST,MEAN,QUARTERLY_ROLL,2029/3F,45868,,,'')&lt;/Q&gt;&lt;R&gt;0&lt;/R&gt;&lt;C&gt;0&lt;/C&gt;&lt;/FQL&gt;&lt;FQL&gt;&lt;Q&gt;Ticker0024^FE_ESTIMATE(DEFREVENUE_ST,MEAN,QUARTERLY_ROLL,2029/2F,45868,,,'')&lt;/Q&gt;&lt;R&gt;0&lt;/R&gt;&lt;C&gt;0&lt;/C&gt;&lt;/FQL&gt;&lt;FQL&gt;&lt;Q&gt;Ticker0024^FE_ESTIMATE(DEFREVENUE_ST,MEAN,QUARTERLY_ROLL,2029/1F,45868,,,'')&lt;/Q&gt;&lt;R&gt;0&lt;/R&gt;&lt;C&gt;0&lt;/C&gt;&lt;/FQL&gt;&lt;FQL&gt;&lt;Q&gt;Ticker0024^FE_ESTIMATE(DEFREVENUE_ST,MEAN,ANNUAL_ROLL,2028,45868,,,'')&lt;/Q&gt;&lt;R&gt;0&lt;/R&gt;&lt;C&gt;0&lt;/C&gt;&lt;/FQL&gt;&lt;FQL&gt;&lt;Q&gt;Ticker0024^FE_ESTIMATE(DEFREVENUE_ST,MEAN,QUARTERLY_ROLL,2028/4F,45868,,,'')&lt;/Q&gt;&lt;R&gt;0&lt;/R&gt;&lt;C&gt;0&lt;/C&gt;&lt;/FQL&gt;&lt;FQL&gt;&lt;Q&gt;Ticker0024^FE_ESTIMATE(DEFREVENUE_ST,MEAN,QUARTERLY_ROLL,2028/3F,45868,,,'')&lt;/Q&gt;&lt;R&gt;0&lt;/R&gt;&lt;C&gt;0&lt;/C&gt;&lt;/FQL&gt;&lt;FQL&gt;&lt;Q&gt;Ticker0024^FE_ESTIMATE(DEFREVENUE_ST,MEAN,QUARTERLY_ROLL,2028/2F,45868,,,'')&lt;/Q&gt;&lt;R&gt;0&lt;/R&gt;&lt;C&gt;0&lt;/C&gt;&lt;/FQL&gt;&lt;FQL&gt;&lt;Q&gt;Ticker0024^FE_ESTIMATE(DEFREVENUE_ST,MEAN,QUARTERLY_ROLL,2028/1F,45868,,,'')&lt;/Q&gt;&lt;R&gt;0&lt;/R&gt;&lt;C&gt;0&lt;/C&gt;&lt;/FQL&gt;&lt;FQL&gt;&lt;Q&gt;Ticker0024^FE_ESTIMATE(DEFREVENUE_ST,MEAN,ANNUAL_ROLL,2027,45868,,,'')&lt;/Q&gt;&lt;R&gt;1&lt;/R&gt;&lt;C&gt;1&lt;/C&gt;&lt;D xsi:type="xsd:double"&gt;67290.53&lt;/D&gt;&lt;/FQL&gt;&lt;FQL&gt;&lt;Q&gt;Ticker0024^FE_ESTIMATE(DEFREVENUE_ST,MEAN,QUARTERLY_ROLL,2027/4F,45868,,,'')&lt;/Q&gt;&lt;R&gt;1&lt;/R&gt;&lt;C&gt;1&lt;/C&gt;&lt;D xsi:type="xsd:double"&gt;78321&lt;/D&gt;&lt;/FQL&gt;&lt;FQL&gt;&lt;Q&gt;Ticker0024^FE_ESTIMATE(DEFREVENUE_ST,MEAN,QUARTERLY_ROLL,2027/3F,45868,,,'')&lt;/Q&gt;&lt;R&gt;1&lt;/R&gt;&lt;C&gt;1&lt;/C&gt;&lt;D xsi:type="xsd:double"&gt;57828.5&lt;/D&gt;&lt;/FQL&gt;&lt;FQL&gt;&lt;Q&gt;Ticker0024^FE_ESTIMATE(DEFREVENUE_ST,MEAN,QUARTERLY_ROLL,2027/2F,45868,,,'')&lt;/Q&gt;&lt;R&gt;1&lt;/R&gt;&lt;C&gt;1&lt;/C&gt;&lt;D xsi:type="xsd:double"&gt;58954&lt;/D&gt;&lt;/FQL&gt;&lt;FQL&gt;&lt;Q&gt;Ticker0024^FE_ESTIMATE(DEFREVENUE_ST,MEAN,QUARTERLY_ROLL,2027/1F,45868,,,'')&lt;/Q&gt;&lt;R&gt;1&lt;/R&gt;&lt;C&gt;1&lt;/C&gt;&lt;D xsi:type="xsd:double"&gt;65414&lt;/D&gt;&lt;/FQL&gt;&lt;FQL&gt;&lt;Q&gt;Ticker0024^FE_ESTIMATE(DEFREVENUE_ST,MEAN,ANNUAL_ROLL,2026,45868,,,'')&lt;/Q&gt;&lt;R&gt;1&lt;/R&gt;&lt;C&gt;1&lt;/C&gt;&lt;D xsi:type="xsd:double"&gt;65050.75&lt;/D&gt;&lt;/FQL&gt;&lt;FQL&gt;&lt;Q&gt;Ticker0024^FE_ESTIMATE(DEFREVENUE_ST,MEAN,QUARTERLY_ROLL,2026/4F,45868,,,'')&lt;/Q&gt;&lt;R&gt;1&lt;/R&gt;&lt;C&gt;1&lt;/C&gt;&lt;D xsi:type="xsd:double"&gt;68173.5&lt;/D&gt;&lt;/FQL&gt;&lt;FQL&gt;&lt;Q&gt;Ticker0024^FE_ESTIMATE(DEFREVENUE_ST,MEAN,QUARTERLY_ROLL,2026/3F,45868,,,'')&lt;/Q&gt;&lt;R&gt;1&lt;/R&gt;&lt;C&gt;1&lt;/C&gt;&lt;D xsi:type="xsd:double"&gt;49667&lt;/D&gt;&lt;/FQL&gt;&lt;FQL&gt;&lt;Q&gt;Ticker0024^FE_ESTIMATE(DEFREVENUE_ST,MEAN,QUARTERLY_ROLL,2026/2F,45868,,,'')&lt;/Q&gt;&lt;R&gt;1&lt;/R&gt;&lt;C&gt;1&lt;/C&gt;&lt;D xsi:type="xsd:double"&gt;50700.25&lt;/D&gt;&lt;/FQL&gt;&lt;FQL&gt;&lt;Q&gt;Ticker0024^FE_ESTIMATE(DEFREVENUE_ST,MEAN,QUARTERLY_ROLL,2026/1F,45868,,,'')&lt;/Q&gt;&lt;R&gt;1&lt;/R&gt;&lt;C&gt;1&lt;/C&gt;&lt;D xsi:type="xsd:double"&gt;57084.25&lt;/D&gt;&lt;/FQL&gt;&lt;FQL&gt;&lt;Q&gt;Ticker0024^FE_ESTIMATE(DEFREVENUE_ST,MEAN,ANNUAL_ROLL,2025,45868,,,'')&lt;/Q&gt;&lt;R&gt;1&lt;/R&gt;&lt;C&gt;1&lt;/C&gt;&lt;D xsi:type="xsd:double"&gt;61514.7&lt;/D&gt;&lt;/FQL&gt;&lt;FQL&gt;&lt;Q&gt;Ticker0024^FE_ESTIMATE(DEFREVENUE_ST,MEAN,QUARTERLY_ROLL,2025/4F,45868,,,'')&lt;/Q&gt;&lt;R&gt;1&lt;/R&gt;&lt;C&gt;1&lt;/C&gt;&lt;D xsi:type="xsd:double"&gt;60842.984&lt;/D&gt;&lt;/FQL&gt;&lt;FQL&gt;&lt;Q&gt;Ticker0024^FE_ESTIMATE(DEFREVENUE_ST,MEAN,QUARTERLY_ROLL,2025/3F,45868,,,'')&lt;/Q&gt;&lt;R&gt;1&lt;/R&gt;&lt;C&gt;1&lt;/C&gt;&lt;D xsi:type="xsd:double"&gt;44636.668&lt;/D&gt;&lt;/FQL&gt;&lt;FQL&gt;&lt;Q&gt;Ticker0024^FE_ESTIMATE(DEFREVENUE_ST,MEAN,QUARTERLY_ROLL,2025/2F,45868,,,'')&lt;/Q&gt;&lt;R&gt;1&lt;/R&gt;&lt;C&gt;1&lt;/C&gt;&lt;D xsi:type="xsd:double"&gt;45508.332&lt;/D&gt;&lt;/FQL&gt;&lt;FQL&gt;&lt;Q&gt;Ticker0024^FE_ESTIMATE(DEFREVENUE_ST,MEAN,QUARTERLY_ROLL,2025/1F,45868,,,'')&lt;/Q&gt;&lt;R&gt;1&lt;/R&gt;&lt;C&gt;1&lt;/C&gt;&lt;D xsi:type="xsd:double"&gt;53026.5&lt;/D&gt;&lt;/FQL&gt;&lt;FQL&gt;&lt;Q&gt;Ticker0024^FE_ESTIMATE(DEFREVENUE_ST,MEAN,ANNUAL_ROLL,2024,45868,,,'')&lt;/Q&gt;&lt;R&gt;1&lt;/R&gt;&lt;C&gt;1&lt;/C&gt;&lt;D xsi:type="xsd:double"&gt;57725&lt;/D&gt;&lt;/FQL&gt;&lt;FQL&gt;&lt;Q&gt;Ticker0024^FE_ESTIMATE(DEFREVENUE_ST,MEAN,QUARTERLY_ROLL,2024/4F,45868,,,'')&lt;/Q&gt;&lt;R&gt;1&lt;/R&gt;&lt;C&gt;1&lt;/C&gt;&lt;D xsi:type="xsd:double"&gt;57581.75&lt;/D&gt;&lt;/FQL&gt;&lt;FQL&gt;&lt;Q&gt;Ticker0024^FE_ESTIMATE(DEFREVENUE_ST,MEAN,QUARTERLY_ROLL,2024/3F,45868,,,'')&lt;/Q&gt;&lt;R&gt;1&lt;/R&gt;&lt;C&gt;1&lt;/C&gt;&lt;D xsi:type="xsd:double"&gt;41888.285&lt;/D&gt;&lt;/FQL&gt;&lt;FQL&gt;&lt;Q&gt;Ticker0024^FE_ESTIMATE(DEFREVENUE_ST,MEAN,QUARTERLY_ROLL,2024/2F,45868,,,'')&lt;/Q&gt;&lt;R&gt;1&lt;/R&gt;&lt;C&gt;1&lt;/C&gt;&lt;D xsi:type="xsd:double"&gt;43068.285&lt;/D&gt;&lt;/FQL&gt;&lt;FQL&gt;&lt;Q&gt;Ticker0024^FE_ESTIMATE(DEFREVENUE_ST,MEAN,QUARTERLY_ROLL,2024/1F,45868,,,'')&lt;/Q&gt;&lt;R&gt;1&lt;/R&gt;&lt;C&gt;1&lt;/C&gt;&lt;D xsi:type="xsd:double"&gt;46429.168&lt;/D&gt;&lt;/FQL&gt;&lt;FQL&gt;&lt;Q&gt;Ticker0024^FE_ESTIMATE(DEFREVENUE_ST,MEAN,ANNUAL_ROLL,2023,45868,,,'')&lt;/Q&gt;&lt;R&gt;1&lt;/R&gt;&lt;C&gt;1&lt;/C&gt;&lt;D xsi:type="xsd:double"&gt;50900.875&lt;/D&gt;&lt;/FQL&gt;&lt;FQL&gt;&lt;Q&gt;Ticker0024^FE_ESTIMATE(DEFREVENUE_ST,MEAN,QUARTERLY_ROLL,2023/4F,45868,,,'')&lt;/Q&gt;&lt;R&gt;1&lt;/R&gt;&lt;C&gt;1&lt;/C&gt;&lt;D xsi:type="xsd:double"&gt;50900.855&lt;/D&gt;&lt;/FQL&gt;&lt;FQL&gt;&lt;Q&gt;Ticker0024^FE_ESTIMATE(DEFREVENUE_ST,MEAN,QUARTERLY_ROLL,2023/3F,45868,,,'')&lt;/Q&gt;&lt;R&gt;1&lt;/R&gt;&lt;C&gt;1&lt;/C&gt;&lt;D xsi:type="xsd:double"&gt;36902.5&lt;/D&gt;&lt;/FQL&gt;&lt;FQL&gt;&lt;Q&gt;Ticker0024^FE_ESTIMATE(DEFREVENUE_ST,MEAN,QUARTERLY_ROLL,2023/2F,45868,,,'')&lt;/Q&gt;&lt;R&gt;1&lt;/R&gt;&lt;C&gt;1&lt;/C&gt;&lt;D xsi:type="xsd:double"&gt;36981.668&lt;/D&gt;&lt;/FQL&gt;&lt;FQL&gt;&lt;Q&gt;Ticker0024^FE_ESTIMATE(DEFREVENUE_ST,MEAN,QUARTERLY_ROLL,2023/1F,45868,,,'')&lt;/Q&gt;&lt;R&gt;1&lt;/R&gt;&lt;C&gt;1&lt;/C&gt;&lt;D xsi:type="xsd:double"&gt;41340&lt;/D&gt;&lt;/FQL&gt;&lt;FQL&gt;&lt;Q&gt;Ticker0024^FE_ESTIMATE(DEFREVENUE_ST,MEAN,ANNUAL_ROLL,2022,45868,,,'')&lt;/Q&gt;&lt;R&gt;1&lt;/R&gt;&lt;C&gt;1&lt;/C&gt;&lt;D xsi:type="xsd:double"&gt;45538&lt;/D&gt;&lt;/FQL&gt;&lt;FQL&gt;&lt;Q&gt;Ticker0024^FE_ESTIMATE(DEFREVENUE_ST,MEAN,QUARTERLY_ROLL,2022/4F,45868,,,'')&lt;/Q&gt;&lt;R&gt;1&lt;/R&gt;&lt;C&gt;1&lt;/C&gt;&lt;D xsi:type="xsd:double"&gt;45538&lt;/D&gt;&lt;/FQL&gt;&lt;FQL&gt;&lt;Q&gt;Ticker0024^FE_ESTIMATE(DEFREVENUE_ST,MEAN,QUARTERLY_ROLL,2022/3F,45868,,,'')&lt;/Q&gt;&lt;R&gt;1&lt;/R&gt;&lt;C&gt;1&lt;/C&gt;&lt;D xsi:type="xsd:double"&gt;34027&lt;/D&gt;&lt;/FQL&gt;&lt;FQL&gt;&lt;Q&gt;Ticker0024^FE_ESTIMATE(DEFREVENUE_ST,MEAN,QUARTERLY_ROLL,2022/2F,45868,,,'')&lt;/Q&gt;&lt;R&gt;1&lt;/R&gt;&lt;C&gt;1&lt;/C&gt;&lt;D xsi:type="xsd:double"&gt;34001&lt;/D&gt;&lt;/FQL&gt;&lt;FQL&gt;&lt;Q&gt;Ticker0024^FE_ESTIMATE(DEFREVENUE_ST,MEAN,QUARTERLY_ROLL,2022/1F,45868,,,'')&lt;/Q&gt;&lt;R&gt;1&lt;/R&gt;&lt;C&gt;1&lt;/C&gt;&lt;D xsi:type="xsd:double"&gt;38465&lt;/D&gt;&lt;/FQL&gt;&lt;FQL&gt;&lt;Q&gt;Ticker0024^FE_ESTIMATE(DEFREVENUE_ST,MEAN,ANNUAL_ROLL,2021,45868,,,'')&lt;/Q&gt;&lt;R&gt;1&lt;/R&gt;&lt;C&gt;1&lt;/C&gt;&lt;D xsi:type="xsd:double"&gt;41525&lt;/D&gt;&lt;/FQL&gt;&lt;FQL&gt;&lt;Q&gt;Ticker0024^FE_ESTIMATE(DEFREVENUE_ST,MEAN,QUARTERLY_ROLL,2021/4F,45868,,,'')&lt;/Q&gt;&lt;R&gt;1&lt;/R&gt;&lt;C&gt;1&lt;/C&gt;&lt;D xsi:type="xsd:double"&gt;41525&lt;/D&gt;&lt;/FQL&gt;&lt;FQL&gt;&lt;Q&gt;Ticker0024^FE_ESTIMATE(DEFREVENUE_ST,MEAN,QUARTERLY_ROLL,2021/3F,45868,,,'')&lt;/Q&gt;&lt;R&gt;1&lt;/R&gt;&lt;C&gt;1&lt;/C&gt;&lt;D xsi:type="xsd:double"&gt;30083&lt;/D&gt;&lt;/FQL&gt;&lt;FQL&gt;&lt;Q&gt;Ticker0024^FE_ESTIMATE(DEFREVENUE_ST,MEAN,QUARTERLY_ROLL,2021/2F,45868,,,'')&lt;/Q&gt;&lt;R&gt;1&lt;/R&gt;&lt;C&gt;1&lt;/C&gt;&lt;D xsi:type="xsd:double"&gt;30402&lt;/D&gt;&lt;/FQL&gt;&lt;FQL&gt;&lt;Q&gt;Ticker0024^FE_ESTIMATE(DEFREVENUE_ST,MEAN,QUARTERLY_ROLL,2021/1F,45868,,,'')&lt;/Q&gt;&lt;R&gt;1&lt;/R&gt;&lt;C&gt;1&lt;/C&gt;&lt;D xsi:type="xsd:double"&gt;33476&lt;/D&gt;&lt;/FQL&gt;&lt;FQL&gt;&lt;Q&gt;Ticker0024^FE_ESTIMATE(DEFREVENUE_ST,MEAN,ANNUAL_ROLL,2020,45868,,,'')&lt;/Q&gt;&lt;R&gt;1&lt;/R&gt;&lt;C&gt;1&lt;/C&gt;&lt;D xsi:type="xsd:double"&gt;36000&lt;/D&gt;&lt;/FQL&gt;&lt;FQL&gt;&lt;Q&gt;Ticker0024^FE_ESTIMATE(DEFREVENUE_ST,MEAN,QUARTERLY_ROLL,2020/4F,45868,,,'')&lt;/Q&gt;&lt;R&gt;1&lt;/R&gt;&lt;C&gt;1&lt;/C&gt;&lt;D xsi:type="xsd:double"&gt;36000&lt;/D&gt;&lt;/FQL&gt;&lt;FQL&gt;&lt;Q&gt;Ticker0024^FE_ESTIMATE(DEFREVENUE_ST,MEAN,QUARTERLY_ROLL,2020/3F,45868,,,'')&lt;/Q&gt;&lt;R&gt;1&lt;/R&gt;&lt;C&gt;1&lt;/C&gt;&lt;D xsi:type="xsd:double"&gt;27012&lt;/D&gt;&lt;/FQL&gt;&lt;FQL&gt;&lt;Q&gt;Ticker0024^FE_ESTIMATE(DEFREVENUE_ST,MEAN,QUARTERLY_ROLL,2020/2F,45868,,,'')&lt;/Q&gt;&lt;R&gt;1&lt;/R&gt;&lt;C&gt;1&lt;/C&gt;&lt;D xsi:type="xsd:double"&gt;27343&lt;/D&gt;&lt;/FQL&gt;&lt;FQL&gt;&lt;Q&gt;Ticker0024^FE_ESTIMATE(DEFREVENUE_ST,MEAN,QUARTERLY_ROLL,2020/1F,45868,,,'')&lt;/Q&gt;&lt;R&gt;1&lt;/R&gt;&lt;C&gt;1&lt;/C&gt;&lt;D xsi:type="xsd:double"&gt;29904&lt;/D&gt;&lt;/FQL&gt;&lt;FQL&gt;&lt;Q&gt;Ticker0024^FE_ESTIMATE(FCF,MEAN,ANNUAL_ROLL,2030,45868,,,'')&lt;/Q&gt;&lt;R&gt;1&lt;/R&gt;&lt;C&gt;1&lt;/C&gt;&lt;D xsi:type="xsd:double"&gt;164430&lt;/D&gt;&lt;/FQL&gt;&lt;FQL&gt;&lt;Q&gt;Ticker0024^FE_ESTIMATE(FCF,MEAN,QUARTERLY_ROLL,2030/4F,45868,,,'')&lt;/Q&gt;&lt;R&gt;0&lt;/R&gt;&lt;C&gt;0&lt;/C&gt;&lt;/FQL&gt;&lt;FQL&gt;&lt;Q&gt;Ticker0024^FE_ESTIMATE(FCF,MEAN,QUARTERLY_ROLL,2030/3F,45868,,,'')&lt;/Q&gt;&lt;R&gt;0&lt;/R&gt;&lt;C&gt;0&lt;/C&gt;&lt;/FQL&gt;&lt;FQL&gt;&lt;Q&gt;Ticker0024^FE_ESTIMATE(FCF,MEAN,QUARTERLY_ROLL,2030/2F,45868,,,'')&lt;/Q&gt;&lt;R&gt;0&lt;/R&gt;&lt;C&gt;0&lt;/C&gt;&lt;/FQL&gt;&lt;FQL&gt;&lt;Q&gt;Ticker0024^FE_ESTIMATE(FCF,MEAN,QUARTERLY_ROLL,2030/1F,45868,,,'')&lt;/Q&gt;&lt;R&gt;0&lt;/R&gt;&lt;C&gt;0&lt;/C&gt;&lt;/FQL&gt;&lt;FQL&gt;&lt;Q&gt;Ticker0024^FE_ESTIMATE(FCF,MEAN,ANNUAL_ROLL,2029,45868,,,'')&lt;/Q&gt;&lt;R&gt;1&lt;/R&gt;&lt;C&gt;1&lt;/C&gt;&lt;D xsi:type="xsd:double"&gt;135374&lt;/D&gt;&lt;/FQL&gt;&lt;FQL&gt;&lt;Q&gt;Ticker0024^FE_ESTIMATE(FCF,MEAN,QUARTERLY_ROLL,2029/4F,45868,,,'')&lt;/Q&gt;&lt;R&gt;0&lt;/R&gt;&lt;C&gt;0&lt;/C&gt;&lt;/FQL&gt;&lt;FQL&gt;&lt;Q&gt;Ticker0024^FE_ESTIMATE(FCF,MEAN,QUARTERLY_ROLL,2029/3F,45868,,,'')&lt;/Q&gt;&lt;R&gt;0&lt;/R&gt;&lt;C&gt;0&lt;/C&gt;&lt;/FQL&gt;&lt;FQL&gt;&lt;Q&gt;Ticker0024^FE_ESTIMATE(FCF,MEAN,QUARTERLY_ROLL,2029/2F,45868,,,'')&lt;/Q&gt;&lt;R&gt;0&lt;/R&gt;&lt;C&gt;0&lt;/C&gt;&lt;/FQL&gt;&lt;FQL&gt;&lt;Q&gt;Ticker0024^FE_ESTIMATE(FCF,MEAN,QUARTERLY_ROLL,2029/1F,45868,,,'')&lt;/Q&gt;&lt;R&gt;0&lt;/R&gt;&lt;C&gt;0&lt;/C&gt;&lt;/FQL&gt;&lt;FQL&gt;&lt;Q&gt;Ticker0024^FE_ESTIMATE(FCF,MEAN,ANNUAL_ROLL,2028,45868,,,'')&lt;/Q&gt;&lt;R&gt;1&lt;/R&gt;&lt;C&gt;1&lt;/C&gt;&lt;D xsi:type="xsd:double"&gt;135562.9&lt;/D&gt;&lt;/FQL&gt;&lt;FQL&gt;&lt;Q&gt;Ticker0024^FE_ESTIMATE(FCF,MEAN,QUARTERLY_ROLL,2028/4F,45868,,,'')&lt;/Q&gt;&lt;R&gt;0&lt;/R&gt;&lt;C&gt;0&lt;/C&gt;&lt;/FQL&gt;&lt;FQL&gt;&lt;Q&gt;Ticker0024^FE_ESTIMATE(FCF,MEAN,QUARTERLY_ROLL,2028/3F,45868,,,'')&lt;/Q&gt;&lt;R&gt;0&lt;/R&gt;&lt;C&gt;0&lt;/C&gt;&lt;/FQL&gt;&lt;FQL&gt;&lt;Q&gt;Ticker0024^FE_ESTIMATE(FCF,MEAN,QUARTERLY_ROLL,2028/2F,45868,,,'')&lt;/Q&gt;&lt;R&gt;0&lt;/R&gt;&lt;C&gt;0&lt;/C&gt;&lt;/FQL&gt;&lt;FQL&gt;&lt;Q&gt;Ticker0024^FE_ESTIMATE(FCF,MEAN,QUARTERLY_ROLL,2028/1F,45868,,,'')&lt;/Q&gt;&lt;R&gt;0&lt;/R&gt;&lt;C&gt;0&lt;/C&gt;&lt;/FQL&gt;&lt;FQL&gt;&lt;Q&gt;Ticker0024^FE_ESTIMATE(FCF,MEAN,ANNUAL_ROLL,2027,45868,,,'')&lt;/Q&gt;&lt;R&gt;1&lt;/R&gt;&lt;C&gt;1&lt;/C&gt;&lt;D xsi:type="xsd:double"&gt;97117.695&lt;/D&gt;&lt;/FQL&gt;&lt;FQL&gt;&lt;Q&gt;Ticker0024^FE_ESTIMATE(FCF,MEAN,QUARTERLY_ROLL,2027/4F,45868,,,'')&lt;/Q&gt;&lt;R&gt;1&lt;/R&gt;&lt;C&gt;1&lt;/C&gt;&lt;D xsi:type="xsd:double"&gt;27945&lt;/D&gt;&lt;/FQL&gt;&lt;FQL&gt;&lt;Q&gt;Ticker0024^FE_ESTIMATE(FCF,MEAN,QUARTERLY_ROLL,2027/3F,45868,,,'')&lt;/Q&gt;&lt;R&gt;1&lt;/R&gt;&lt;C&gt;1&lt;/C&gt;&lt;D xsi:type="xsd:double"&gt;25369&lt;/D&gt;&lt;/FQL&gt;&lt;FQL&gt;&lt;Q&gt;Ticker0024^FE_ESTIMATE(FCF,MEAN,QUARTERLY_ROLL,2027/2F,45868,,,'')&lt;/Q&gt;&lt;R&gt;1&lt;/R&gt;&lt;C&gt;1&lt;/C&gt;&lt;D xsi:type="xsd:double"&gt;10321&lt;/D&gt;&lt;/FQL&gt;&lt;FQL&gt;&lt;Q&gt;Ticker0024^FE_ESTIMATE(FCF,MEAN,QUARTERLY_ROLL,2027/1F,45868,,,'')&lt;/Q&gt;&lt;R&gt;1&lt;/R&gt;&lt;C&gt;1&lt;/C&gt;&lt;D xsi:type="xsd:double"&gt;27258.5&lt;/D&gt;&lt;/FQL&gt;&lt;FQL&gt;&lt;Q&gt;Ticker0024^FE_ESTIMATE(FCF,MEAN,ANNUAL_ROLL,2026,45868,,,'')&lt;/Q&gt;&lt;R&gt;1&lt;/R&gt;&lt;C&gt;1&lt;/C&gt;&lt;D xsi:type="xsd:double"&gt;76553.74&lt;/D&gt;&lt;/FQL&gt;&lt;FQL&gt;&lt;Q&gt;Ticker0024^FE_ESTIMATE(FCF,MEAN,QUARTERLY_ROLL,2026/4F,45868,,,'')&lt;/Q&gt;&lt;R&gt;1&lt;/R&gt;&lt;C&gt;1&lt;/C&gt;&lt;D xsi:type="xsd:double"&gt;19064.201&lt;/D&gt;&lt;/FQL&gt;&lt;FQL&gt;&lt;Q&gt;Ticker0024^FE_ESTIMATE(FCF,MEAN,QUARTERLY_ROLL,2026/3F,45868,,,'')&lt;/Q&gt;&lt;R&gt;1&lt;/R&gt;&lt;C&gt;1&lt;/C&gt;&lt;D xsi:type="xsd:double"&gt;19646.223&lt;/D&gt;&lt;/FQL&gt;&lt;FQL&gt;&lt;Q&gt;Ticker0024^FE_ESTIMATE(FCF,MEAN,QUARTERLY_ROLL,2026/2F,45868,,,'')&lt;/Q&gt;&lt;R&gt;1&lt;/R&gt;&lt;C&gt;1&lt;/C&gt;&lt;D xsi:type="xsd:double"&gt;9030.923&lt;/D&gt;&lt;/FQL&gt;&lt;FQL&gt;&lt;Q&gt;Ticker0024^FE_ESTIMATE(FCF,MEAN,QUARTERLY_ROLL,2026/1F,45868,,,'')&lt;/Q&gt;&lt;R&gt;1&lt;/R&gt;&lt;C&gt;1&lt;/C&gt;&lt;D xsi:type="xsd:double"&gt;25058.578&lt;/D&gt;&lt;/FQL&gt;&lt;FQL&gt;&lt;Q&gt;Ticker0024^FE_ESTIMATE(FCF,MEAN,ANNUAL_ROLL,2025,45868,,,'')&lt;/Q&gt;&lt;R&gt;1&lt;/R&gt;&lt;C&gt;1&lt;/C&gt;&lt;D xsi:type="xsd:double"&gt;66958.25&lt;/D&gt;&lt;/FQL&gt;&lt;FQL&gt;&lt;Q&gt;Ticker0024^FE_ESTIMATE(FCF,MEAN,QUARTERLY_ROLL,2025/4F,45868,,,'')&lt;/Q&gt;&lt;R&gt;1&lt;/R&gt;&lt;C&gt;1&lt;/C&gt;&lt;D xsi:type="xsd:double"&gt;20565.775&lt;/D&gt;&lt;/FQL&gt;&lt;FQL&gt;&lt;Q&gt;Ticker0024^FE_ESTIMATE(FCF,MEAN,QUARTERLY_ROLL,2025/3F,45868,,,'')&lt;/Q&gt;&lt;R&gt;1&lt;/R&gt;&lt;C&gt;1&lt;/C&gt;&lt;D xsi:type="xsd:double"&gt;20237.75&lt;/D&gt;&lt;/FQL&gt;&lt;FQL&gt;&lt;Q&gt;Ticker0024^FE_ESTIMATE(FCF,MEAN,QUARTERLY_ROLL,2025/2F,45868,,,'')&lt;/Q&gt;&lt;R&gt;1&lt;/R&gt;&lt;C&gt;1&lt;/C&gt;&lt;D xsi:type="xsd:double"&gt;6393.533&lt;/D&gt;&lt;/FQL&gt;&lt;FQL&gt;&lt;Q&gt;Ticker0024^FE_ESTIMATE(FCF,MEAN,QUARTERLY_ROLL,2025/1F,45868,,,'')&lt;/Q&gt;&lt;R&gt;1&lt;/R&gt;&lt;C&gt;1&lt;/C&gt;&lt;D xsi:type="xsd:double"&gt;18738.584&lt;/D&gt;&lt;/FQL&gt;&lt;FQL&gt;&lt;Q&gt;Ticker0024^FE_ESTIMATE(FCF,MEAN,ANNUAL_ROLL,2024,45868,,,'')&lt;/Q&gt;&lt;R&gt;1&lt;/R&gt;&lt;C&gt;1&lt;/C&gt;&lt;D xsi:type="xsd:double"&gt;72678.9&lt;/D&gt;&lt;/FQL&gt;&lt;FQL&gt;&lt;Q&gt;Ticker0024^FE_ESTIMATE(FCF,MEAN,QUARTERLY_ROLL,2024/4F,45868,,,'')&lt;/Q&gt;&lt;R&gt;1&lt;/R&gt;&lt;C&gt;1&lt;/C&gt;&lt;D xsi:type="xsd:double"&gt;22275.834&lt;/D&gt;&lt;/FQL&gt;&lt;FQL&gt;&lt;Q&gt;Ticker0024^FE_ESTIMATE(FCF,MEAN,QUARTERLY_ROLL,2024/3F,45868,,,'')&lt;/Q&gt;&lt;R&gt;1&lt;/R&gt;&lt;C&gt;1&lt;/C&gt;&lt;D xsi:type="xsd:double"&gt;20634.766&lt;/D&gt;&lt;/FQL&gt;&lt;FQL&gt;&lt;Q&gt;Ticker0024^FE_ESTIMATE(FCF,MEAN,QUARTERLY_ROLL,2024/2F,45868,,,'')&lt;/Q&gt;&lt;R&gt;1&lt;/R&gt;&lt;C&gt;1&lt;/C&gt;&lt;D xsi:type="xsd:double"&gt;6218.222&lt;/D&gt;&lt;/FQL&gt;&lt;FQL&gt;&lt;Q&gt;Ticker0024^FE_ESTIMATE(FCF,MEAN,QUARTERLY_ROLL,2024/1F,45868,,,'')&lt;/Q&gt;&lt;R&gt;1&lt;/R&gt;&lt;C&gt;1&lt;/C&gt;&lt;D xsi:type="xsd:double"&gt;21096.059&lt;/D&gt;&lt;/FQL&gt;&lt;FQL&gt;&lt;Q&gt;Ticker0024^FE_ESTIMATE(FCF,MEAN,ANNUAL_ROLL,2023,45868,,,'')&lt;/Q&gt;&lt;R&gt;1&lt;/R&gt;&lt;C&gt;1&lt;/C&gt;&lt;D xsi:type="xsd:double"&gt;60085.832&lt;/D&gt;&lt;/FQL&gt;&lt;FQL&gt;&lt;Q&gt;Ticker0024^FE_ESTIMATE(FCF,MEAN,QUARTERLY_ROLL,2023/4F,45868,,,'')&lt;/Q&gt;&lt;R&gt;1&lt;/R&gt;&lt;C&gt;1&lt;/C&gt;&lt;D xsi:type="xsd:double"&gt;19492.357&lt;/D&gt;&lt;/FQL&gt;&lt;FQL&gt;&lt;Q&gt;Ticker0024^FE_ESTIMATE(FCF,MEAN,QUARTERLY_ROLL,2023/3F,45868,,,'')&lt;/Q&gt;&lt;R&gt;1&lt;/R&gt;&lt;C&gt;1&lt;/C&gt;&lt;D xsi:type="xsd:double"&gt;17765.25&lt;/D&gt;&lt;/FQL&gt;&lt;FQL&gt;&lt;Q&gt;Ticker0024^FE_ESTIMATE(FCF,MEAN,QUARTERLY_ROLL,2023/2F,45868,,,'')&lt;/Q&gt;&lt;R&gt;1&lt;/R&gt;&lt;C&gt;1&lt;/C&gt;&lt;D xsi:type="xsd:double"&gt;5507.533&lt;/D&gt;&lt;/FQL&gt;&lt;FQL&gt;&lt;Q&gt;Ticker0024^FE_ESTIMATE(FCF,MEAN,QUARTERLY_ROLL,2023/1F,45868,,,'')&lt;/Q&gt;&lt;R&gt;1&lt;/R&gt;&lt;C&gt;1&lt;/C&gt;&lt;D xsi:type="xsd:double"&gt;17698&lt;/D&gt;&lt;/FQL&gt;&lt;FQL&gt;&lt;Q&gt;Ticker0024^FE_ESTIMATE(FCF,MEAN,ANNUAL_ROLL,2022,45868,,,'')&lt;/Q&gt;&lt;R&gt;1&lt;/R&gt;&lt;C&gt;1&lt;/C&gt;&lt;D xsi:type="xsd:double"&gt;65067.133&lt;/D&gt;&lt;/FQL&gt;&lt;FQL&gt;&lt;Q&gt;Ticker0024^FE_ESTIMATE(FCF,MEAN,QUARTERLY_ROLL,2022/4F,45868,,,'')&lt;/Q&gt;&lt;R&gt;1&lt;/R&gt;&lt;C&gt;1&lt;/C&gt;&lt;D xsi:type="xsd:double"&gt;17158&lt;/D&gt;&lt;/FQL&gt;&lt;FQL&gt;&lt;Q&gt;Ticker0024^FE_ESTIMATE(FCF,MEAN,QUARTERLY_ROLL,2022/3F,45868,,,'')&lt;/Q&gt;&lt;R&gt;1&lt;/R&gt;&lt;C&gt;1&lt;/C&gt;&lt;D xsi:type="xsd:double"&gt;19608.334&lt;/D&gt;&lt;/FQL&gt;&lt;FQL&gt;&lt;Q&gt;Ticker0024^FE_ESTIMATE(FCF,MEAN,QUARTERLY_ROLL,2022/2F,45868,,,'')&lt;/Q&gt;&lt;R&gt;1&lt;/R&gt;&lt;C&gt;1&lt;/C&gt;&lt;D xsi:type="xsd:double"&gt;9409.818&lt;/D&gt;&lt;/FQL&gt;&lt;FQL&gt;&lt;Q&gt;Ticker0024^FE_ESTIMATE(FCF,MEAN,QUARTERLY_ROLL,2022/1F,45868,,,'')&lt;/Q&gt;&lt;R&gt;1&lt;/R&gt;&lt;C&gt;1&lt;/C&gt;&lt;D xsi:type="xsd:double"&gt;18285.334&lt;/D&gt;&lt;/FQL&gt;&lt;FQL&gt;&lt;Q&gt;Ticker0024^FE_ESTIMATE(FCF,MEAN,ANNUAL_ROLL,2021,45868,,,'')&lt;/Q&gt;&lt;R&gt;1&lt;/R&gt;&lt;C&gt;1&lt;/C&gt;&lt;D xsi:type="xsd:double"&gt;55483.777&lt;/D&gt;&lt;/FQL&gt;&lt;FQL&gt;&lt;Q&gt;Ticker0024^FE_ESTIMATE(FCF,MEAN,QUARTERLY_ROLL,2021/4F,45868,,,'')&lt;/Q&gt;&lt;R&gt;1&lt;/R&gt;&lt;C&gt;1&lt;/C&gt;&lt;D xsi:type="xsd:double"&gt;15893.833&lt;/D&gt;&lt;/FQL&gt;&lt;FQL&gt;&lt;Q&gt;Ticker0024^FE_ESTIMATE(FCF,MEAN,QUARTERLY_ROLL,2021/3F,45868,,,'')&lt;/Q&gt;&lt;R&gt;1&lt;/R&gt;&lt;C&gt;1&lt;/C&gt;&lt;D xsi:type="xsd:double"&gt;16693.5&lt;/D&gt;&lt;/FQL&gt;&lt;FQL&gt;&lt;Q&gt;Ticker0024^FE_ESTIMATE(FCF,MEAN,QUARTERLY_ROLL,2021/2F,45868,,,'')&lt;/Q&gt;&lt;R&gt;1&lt;/R&gt;&lt;C&gt;1&lt;/C&gt;&lt;D xsi:type="xsd:double"&gt;9098&lt;/D&gt;&lt;/FQL&gt;&lt;FQL&gt;&lt;Q&gt;Ticker0024^FE_ESTIMATE(FCF,MEAN,QUARTERLY_ROLL,2021/1F,45868,,,'')&lt;/Q&gt;&lt;R&gt;1&lt;/R&gt;&lt;C&gt;1&lt;/C&gt;&lt;D xsi:type="xsd:double"&gt;13974.333&lt;/D&gt;&lt;/FQL&gt;&lt;FQL&gt;&lt;Q&gt;Ticker0024^FE_ESTIMATE(FCF,MEAN,ANNUAL_ROLL,2020,45868,,,'')&lt;/Q&gt;&lt;R&gt;1&lt;/R&gt;&lt;C&gt;1&lt;/C&gt;&lt;D xsi:type="xsd:double"&gt;45095.453&lt;/D&gt;&lt;/FQL&gt;&lt;FQL&gt;&lt;Q&gt;Ticker0024^FE_ESTIMATE(FCF,MEAN,QUARTERLY_ROLL,2020/4F,45868,,,'')&lt;/Q&gt;&lt;R&gt;1&lt;/R&gt;&lt;C&gt;1&lt;/C&gt;&lt;D xsi:type="xsd:double"&gt;13391.667&lt;/D&gt;&lt;/FQL&gt;&lt;FQL&gt;&lt;Q&gt;Ticker0024^FE_ESTIMATE(FCF,MEAN,QUARTERLY_ROLL,2020/3F,45868,,,'')&lt;/Q&gt;&lt;R&gt;1&lt;/R&gt;&lt;C&gt;1&lt;/C&gt;&lt;D xsi:type="xsd:double"&gt;13437&lt;/D&gt;&lt;/FQL&gt;&lt;FQL&gt;&lt;Q&gt;Ticker0024^FE_ESTIMATE(FCF,MEAN,QUARTERLY_ROLL,2020/2F,45868,,,'')&lt;/Q&gt;&lt;R&gt;1&lt;/R&gt;&lt;C&gt;1&lt;/C&gt;&lt;D xsi:type="xsd:double"&gt;7641.3335&lt;/D&gt;&lt;/FQL&gt;&lt;FQL&gt;&lt;Q&gt;Ticker0024^FE_ESTIMATE(FCF,MEAN,QUARTERLY_ROLL,2020/1F,45868,,,'')&lt;/Q&gt;&lt;R&gt;1&lt;/R&gt;&lt;C&gt;1&lt;/C&gt;&lt;D xsi:type="xsd:double"&gt;10215.875&lt;/D&gt;&lt;/FQL&gt;&lt;FQL&gt;&lt;Q&gt;Ticker0024^FE_ESTIMATE(CAPEX,MEAN,ANNUAL_ROLL,2030,45868,,,'')&lt;/Q&gt;&lt;R&gt;1&lt;/R&gt;&lt;C&gt;1&lt;/C&gt;&lt;D xsi:type="xsd:double"&gt;110059&lt;/D&gt;&lt;/FQL&gt;&lt;FQL&gt;&lt;Q&gt;Ticker0024^FE_ESTIMATE(CAPEX,MEAN,QUARTERLY_ROLL,2030/4F,45868,,,'')&lt;/Q&gt;&lt;R&gt;0&lt;/R&gt;&lt;C&gt;0&lt;/C&gt;&lt;/FQL&gt;&lt;FQL&gt;&lt;Q&gt;Ticker0024^FE_ESTIMATE(CAPEX,MEAN,QUARTERLY_ROLL,2030/3F,45868,,,'')&lt;/Q&gt;&lt;R&gt;0&lt;/R&gt;&lt;C&gt;0&lt;/C&gt;&lt;/FQL&gt;&lt;FQL&gt;&lt;Q&gt;Ticker0024^FE_ESTIMATE(CAPEX,MEAN,QUARTERLY_ROLL,2030/2F,45868,,,'')&lt;/Q&gt;&lt;R&gt;0&lt;/R&gt;&lt;C&gt;0&lt;/C&gt;&lt;/FQL&gt;&lt;FQL&gt;&lt;Q&gt;Ticker0024^FE_ESTIMATE(CAPEX,MEAN,QUARTERLY_ROLL,2030/1F,45868,,,'')&lt;/Q&gt;&lt;R&gt;0&lt;/R&gt;&lt;C&gt;0&lt;/C&gt;&lt;/FQL&gt;&lt;FQL&gt;&lt;Q&gt;Ticker0024^FE_ESTIMATE(CAPEX,MEAN,ANNUAL_ROLL,2029,45868,,,'')&lt;/Q&gt;&lt;R&gt;1&lt;/R&gt;&lt;C&gt;1&lt;/C&gt;&lt;D xsi:type="xsd:double"&gt;100054&lt;/D&gt;&lt;/FQL&gt;&lt;FQL&gt;&lt;Q&gt;Ticker0024^FE_ESTIMATE(CAPEX,MEAN,QUARTERLY_ROLL,2029/4F,45868,,,'')&lt;/Q&gt;&lt;R&gt;0&lt;/R&gt;&lt;C&gt;0&lt;/C&gt;&lt;/FQL&gt;&lt;FQL&gt;&lt;Q&gt;Ticker0024^FE_ESTIMATE(CAPEX,MEAN,QUARTERLY_ROLL,2029/3F,45868,,,'')&lt;/Q&gt;&lt;R&gt;0&lt;/R&gt;&lt;C&gt;0&lt;/C&gt;&lt;/FQL&gt;&lt;FQL&gt;&lt;Q&gt;Ticker0024^FE_ESTIMATE(CAPEX,MEAN,QUARTERLY_ROLL,2029/2F,45868,,,'')&lt;/Q&gt;&lt;R&gt;0&lt;/R&gt;&lt;C&gt;0&lt;/C&gt;&lt;/FQL&gt;&lt;FQL&gt;&lt;Q&gt;Ticker0024^FE_ESTIMATE(CAPEX,MEAN,QUARTERLY_ROLL,2029/1F,45868,,,'')&lt;/Q&gt;&lt;R&gt;0&lt;/R&gt;&lt;C&gt;0&lt;/C&gt;&lt;/FQL&gt;&lt;FQL&gt;&lt;Q&gt;Ticker0024^FE_ESTIMATE(CAPEX,MEAN,ANNUAL_ROLL,2028,45868,,,'')&lt;/Q&gt;&lt;R&gt;1&lt;/R&gt;&lt;C&gt;1&lt;/C&gt;&lt;D xsi:type="xsd:double"&gt;82544.56&lt;/D&gt;&lt;/FQL&gt;&lt;FQL&gt;&lt;Q&gt;Ticker0024^FE_ESTIMATE(CAPEX,MEAN,QUARTERLY_ROLL,2028/4F,45868,,,'')&lt;/Q&gt;&lt;R&gt;0&lt;/R&gt;&lt;C&gt;0&lt;/C&gt;&lt;/FQL&gt;&lt;FQL&gt;&lt;Q&gt;Ticker0024^FE_ESTIMATE(CAPEX,MEAN,QUARTERLY_ROLL,2028/3F,45868,,,'')&lt;/Q&gt;&lt;R&gt;0&lt;/R&gt;&lt;C&gt;0&lt;/C&gt;&lt;/FQL&gt;&lt;FQL&gt;&lt;Q&gt;Ticker0024^FE_ESTIMATE(CAPEX,MEAN,QUARTERLY_ROLL,2028/2F,45868,,,'')&lt;/Q&gt;&lt;R&gt;0&lt;/R&gt;&lt;C&gt;0&lt;/C&gt;&lt;/FQL&gt;&lt;FQL&gt;&lt;Q&gt;Ticker0024^FE_ESTIMATE(CAPEX,MEAN,QUARTERLY_ROLL,2028/1F,45868,,,'')&lt;/Q&gt;&lt;R&gt;0&lt;/R&gt;&lt;C&gt;0&lt;/C&gt;&lt;/FQL&gt;&lt;FQL&gt;&lt;Q&gt;Ticker0024^FE_ESTIMATE(CAPEX,MEAN,ANNUAL_ROLL,2027,45868,,,'')&lt;/Q&gt;&lt;R&gt;1&lt;/R&gt;&lt;C&gt;1&lt;/C&gt;&lt;D xsi:type="xsd:double"&gt;79713.21&lt;/D&gt;&lt;/FQL&gt;&lt;FQL&gt;&lt;Q&gt;Ticker0024^FE_ESTIMATE(CAPEX,MEAN,QUARTERLY_ROLL,2027/4F,45868,,,'')&lt;/Q&gt;&lt;R&gt;1&lt;/R&gt;&lt;C&gt;1&lt;/C&gt;&lt;D xsi:type="xsd:double"&gt;21006.055&lt;/D&gt;&lt;/FQL&gt;&lt;FQL&gt;&lt;Q&gt;Ticker0024^FE_ESTIMATE(CAPEX,MEAN,QUARTERLY_ROLL,2027/3F,45868,,,'')&lt;/Q&gt;&lt;R&gt;1&lt;/R&gt;&lt;C&gt;1&lt;/C&gt;&lt;D xsi:type="xsd:double"&gt;20195.736&lt;/D&gt;&lt;/FQL&gt;&lt;FQL&gt;&lt;Q&gt;Ticker0024^FE_ESTIMATE(CAPEX,MEAN,QUARTERLY_ROLL,2027/2F,45868,,,'')&lt;/Q&gt;&lt;R&gt;1&lt;/R&gt;&lt;C&gt;1&lt;/C&gt;&lt;D xsi:type="xsd:double"&gt;19868.709&lt;/D&gt;&lt;/FQL&gt;&lt;FQL&gt;&lt;Q&gt;Ticker0024^FE_ESTIMATE(CAPEX,MEAN,QUARTERLY_ROLL,2027/1F,45868,,,'')&lt;/Q&gt;&lt;R&gt;1&lt;/R&gt;&lt;C&gt;1&lt;/C&gt;&lt;D xsi:type="xsd:double"&gt;18816.762&lt;/D&gt;&lt;/FQL&gt;&lt;FQL&gt;&lt;Q&gt;Ticker0024^FE_ESTIMATE(CAPEX,MEAN,ANNUAL_ROLL,2026,45868,,,'')&lt;/Q&gt;&lt;R&gt;1&lt;/R&gt;&lt;C&gt;1&lt;/C&gt;&lt;D xsi:type="xsd:double"&gt;73921.73&lt;/D&gt;&lt;/FQL&gt;&lt;FQL&gt;&lt;Q&gt;Ticker0024^FE_ESTIMATE(CAPEX,MEAN,QUARTERLY_ROLL,2026/4F,45868,,,'')&lt;/Q&gt;&lt;R&gt;1&lt;/R&gt;&lt;C&gt;1&lt;/C&gt;&lt;D xsi:type="xsd:double"&gt;21073.127&lt;/D&gt;&lt;/FQL&gt;&lt;FQL&gt;&lt;Q&gt;Ticker0024^FE_ESTIMATE(CAPEX,MEAN,QUARTERLY_ROLL,2026/3F,45868,,,'')&lt;/Q&gt;&lt;R&gt;1&lt;/R&gt;&lt;C&gt;1&lt;/C&gt;&lt;D xsi:type="xsd:double"&gt;19307.945&lt;/D&gt;&lt;/FQL&gt;&lt;FQL&gt;&lt;Q&gt;Ticker0024^FE_ESTIMATE(CAPEX,MEAN,QUARTERLY_ROLL,2026/2F,45868,,,'')&lt;/Q&gt;&lt;R&gt;1&lt;/R&gt;&lt;C&gt;1&lt;/C&gt;&lt;D xsi:type="xsd:double"&gt;18920.734&lt;/D&gt;&lt;/FQL&gt;&lt;FQL&gt;&lt;Q&gt;Ticker0024^FE_ESTIMATE(CAPEX,MEAN,QUARTERLY_ROLL,2026/1F,45868,,,'')&lt;/Q&gt;&lt;R&gt;1&lt;/R&gt;&lt;C&gt;1&lt;/C&gt;&lt;D xsi:type="xsd:double"&gt;17955.926&lt;/D&gt;&lt;/FQL&gt;&lt;FQL&gt;&lt;Q&gt;Ticker0024^FE_ESTIMATE(CAPEX,MEAN,ANNUAL_ROLL,2025,45868,,,'')&lt;/Q&gt;&lt;R&gt;1&lt;/R&gt;&lt;C&gt;1&lt;/C&gt;&lt;D xsi:type="xsd:double"&gt;66330.44&lt;/D&gt;&lt;/FQL&gt;&lt;FQL&gt;&lt;Q&gt;Ticker0024^FE_ESTIMATE(CAPEX,MEAN,QUARTERLY_ROLL,2025/4F,45868,,,'')&lt;/Q&gt;&lt;R&gt;1&lt;/R&gt;&lt;C&gt;1&lt;/C&gt;&lt;D xsi:type="xsd:double"&gt;17841.842&lt;/D&gt;&lt;/FQL&gt;&lt;FQL&gt;&lt;Q&gt;Ticker0024^FE_ESTIMATE(CAPEX,MEAN,QUARTERLY_ROLL,2025/3F,45868,,,'')&lt;/Q&gt;&lt;R&gt;1&lt;/R&gt;&lt;C&gt;1&lt;/C&gt;&lt;D xsi:type="xsd:double"&gt;16745.313&lt;/D&gt;&lt;/FQL&gt;&lt;FQL&gt;&lt;Q&gt;Ticker0024^FE_ESTIMATE(CAPEX,MEAN,QUARTERLY_ROLL,2025/2F,45868,,,'')&lt;/Q&gt;&lt;R&gt;1&lt;/R&gt;&lt;C&gt;1&lt;/C&gt;&lt;D xsi:type="xsd:double"&gt;15788.9375&lt;/D&gt;&lt;/FQL&gt;&lt;FQL&gt;&lt;Q&gt;Ticker0024^FE_ESTIMATE(CAPEX,MEAN,QUARTERLY_ROLL,2025/1F,45868,,,'')&lt;/Q&gt;&lt;R&gt;1&lt;/R&gt;&lt;C&gt;1&lt;/C&gt;&lt;D xsi:type="xsd:double"&gt;14922.786&lt;/D&gt;&lt;/FQL&gt;&lt;FQL&gt;&lt;Q&gt;Ticker0024^FE_ESTIMATE(CAPEX,MEAN,ANNUAL_ROLL,2024,45868,,,'')&lt;/Q&gt;&lt;R&gt;1&lt;/R&gt;&lt;C&gt;1&lt;/C&gt;&lt;D xsi:type="xsd:double"&gt;44477.12&lt;/D&gt;&lt;/FQL&gt;&lt;FQL&gt;&lt;Q&gt;Ticker0024^FE_ESTIMATE(CAPEX,MEAN,QUARTERLY_ROLL,2024/4F,45868,,,'')&lt;/Q&gt;&lt;R&gt;1&lt;/R&gt;&lt;C&gt;1&lt;/C&gt;&lt;D xsi:type="xsd:double"&gt;13874.714&lt;/D&gt;&lt;/FQL&gt;&lt;FQL&gt;&lt;Q&gt;Ticker0024^FE_ESTIMATE(CAPEX,MEAN,QUARTERLY_ROLL,2024/3F,45868,,,'')&lt;/Q&gt;&lt;R&gt;1&lt;/R&gt;&lt;C&gt;1&lt;/C&gt;&lt;D xsi:type="xsd:double"&gt;10951.875&lt;/D&gt;&lt;/FQL&gt;&lt;FQL&gt;&lt;Q&gt;Ticker0024^FE_ESTIMATE(CAPEX,MEAN,QUARTERLY_ROLL,2024/2F,45868,,,'')&lt;/Q&gt;&lt;R&gt;1&lt;/R&gt;&lt;C&gt;1&lt;/C&gt;&lt;D xsi:type="xsd:double"&gt;10013.947&lt;/D&gt;&lt;/FQL&gt;&lt;FQL&gt;&lt;Q&gt;Ticker0024^FE_ESTIMATE(CAPEX,MEAN,QUARTERLY_ROLL,2024/1F,45868,,,'')&lt;/Q&gt;&lt;R&gt;1&lt;/R&gt;&lt;C&gt;1&lt;/C&gt;&lt;D xsi:type="xsd:double"&gt;10002.733&lt;/D&gt;&lt;/FQL&gt;&lt;FQL&gt;&lt;Q&gt;Ticker0024^FE_ESTIMATE(CAPEX,MEAN,ANNUAL_ROLL,2023,45868,,,'')&lt;/Q&gt;&lt;R&gt;1&lt;/R&gt;&lt;C&gt;1&lt;/C&gt;&lt;D xsi:type="xsd:double"&gt;28107.125&lt;/D&gt;&lt;/FQL&gt;&lt;FQL&gt;&lt;Q&gt;Ticker0024^FE_ESTIMATE(CAPEX,MEAN,QUARTERLY_ROLL,2023/4F,45868,,,'')&lt;/Q&gt;&lt;R&gt;1&lt;/R&gt;&lt;C&gt;1&lt;/C&gt;&lt;D xsi:type="xsd:double"&gt;8942.77&lt;/D&gt;&lt;/FQL&gt;&lt;FQL&gt;&lt;Q&gt;Ticker0024^FE_ESTIMATE(CAPEX,MEAN,QUARTERLY_ROLL,2023/3F,45868,,,'')&lt;/Q&gt;&lt;R&gt;1&lt;/R&gt;&lt;C&gt;1&lt;/C&gt;&lt;D xsi:type="xsd:double"&gt;6607.25&lt;/D&gt;&lt;/FQL&gt;&lt;FQL&gt;&lt;Q&gt;Ticker0024^FE_ESTIMATE(CAPEX,MEAN,QUARTERLY_ROLL,2023/2F,45868,,,'')&lt;/Q&gt;&lt;R&gt;1&lt;/R&gt;&lt;C&gt;1&lt;/C&gt;&lt;D xsi:type="xsd:double"&gt;6273.636&lt;/D&gt;&lt;/FQL&gt;&lt;FQL&gt;&lt;Q&gt;Ticker0024^FE_ESTIMATE(CAPEX,MEAN,QUARTERLY_ROLL,2023/1F,45868,,,'')&lt;/Q&gt;&lt;R&gt;1&lt;/R&gt;&lt;C&gt;1&lt;/C&gt;&lt;D xsi:type="xsd:double"&gt;6283&lt;/D&gt;&lt;/FQL&gt;&lt;FQL&gt;&lt;Q&gt;Ticker0024^FE_ESTIMATE(CAPEX,MEAN,ANNUAL_ROLL,2022,45868,,,'')&lt;/Q&gt;&lt;R&gt;1&lt;/R&gt;&lt;C&gt;1&lt;/C&gt;&lt;D xsi:type="xsd:double"&gt;24090.385&lt;/D&gt;&lt;/FQL&gt;&lt;FQL&gt;&lt;Q&gt;Ticker0024^FE_ESTIMATE(CAPEX,MEAN,QUARTERLY_ROLL,2022/4F,45868,,,'')&lt;/Q&gt;&lt;R&gt;1&lt;/R&gt;&lt;C&gt;1&lt;/C&gt;&lt;D xsi:type="xsd:double"&gt;7023.4165&lt;/D&gt;&lt;/FQL&gt;&lt;FQL&gt;&lt;Q&gt;Ticker0024^FE_ESTIMATE(CAPEX,MEAN,QUARTERLY_ROLL,2022/3F,45868,,,'')&lt;/Q&gt;&lt;R&gt;1&lt;/R&gt;&lt;C&gt;1&lt;/C&gt;&lt;D xsi:type="xsd:double"&gt;5436&lt;/D&gt;&lt;/FQL&gt;&lt;FQL&gt;&lt;Q&gt;Ticker0024^FE_ESTIMATE(CAPEX,MEAN,QUARTERLY_ROLL,2022/2F,45868,,,'')&lt;/Q&gt;&lt;R&gt;1&lt;/R&gt;&lt;C&gt;1&lt;/C&gt;&lt;D xsi:type="xsd:double"&gt;5958.5&lt;/D&gt;&lt;/FQL&gt;&lt;FQL&gt;&lt;Q&gt;Ticker0024^FE_ESTIMATE(CAPEX,MEAN,QUARTERLY_ROLL,2022/1F,45868,,,'')&lt;/Q&gt;&lt;R&gt;1&lt;/R&gt;&lt;C&gt;1&lt;/C&gt;&lt;D xsi:type="xsd:double"&gt;5954.5454&lt;/D&gt;&lt;/FQL&gt;&lt;FQL&gt;&lt;Q&gt;Ticker0024^FE_ESTIMATE(CAPEX,MEAN,ANNUAL_ROLL,2021,45868,,,'')&lt;/Q&gt;&lt;R&gt;1&lt;/R&gt;&lt;C&gt;1&lt;/C&gt;&lt;D xsi:type="xsd:double"&gt;20901.076&lt;/D&gt;&lt;/FQL&gt;&lt;FQL&gt;&lt;Q&gt;Ticker0024^FE_ESTIMATE(CAPEX,MEAN,QUARTERLY_ROLL,2021/4F,45868,,,'')&lt;/Q&gt;&lt;R&gt;1&lt;/R&gt;&lt;C&gt;1&lt;/C&gt;&lt;D xsi:type="xsd:double"&gt;6558&lt;/D&gt;&lt;/FQL&gt;&lt;FQL&gt;&lt;Q&gt;Ticker0024^FE_ESTIMATE(CAPEX,MEAN,QUARTERLY_ROLL,2021/3F,45868,,,'')&lt;/Q&gt;&lt;R&gt;1&lt;/R&gt;&lt;C&gt;1&lt;/C&gt;&lt;D xsi:type="xsd:double"&gt;5190.222&lt;/D&gt;&lt;/FQL&gt;&lt;FQL&gt;&lt;Q&gt;Ticker0024^FE_ESTIMATE(CAPEX,MEAN,QUARTERLY_ROLL,2021/2F,45868,,,'')&lt;/Q&gt;&lt;R&gt;1&lt;/R&gt;&lt;C&gt;1&lt;/C&gt;&lt;D xsi:type="xsd:double"&gt;4310.222&lt;/D&gt;&lt;/FQL&gt;&lt;FQL&gt;&lt;Q&gt;Ticker0024^FE_ESTIMATE(CAPEX,MEAN,QUARTERLY_ROLL,2021/1F,45868,,,'')&lt;/Q&gt;&lt;R&gt;1&lt;/R&gt;&lt;C&gt;1&lt;/C&gt;&lt;D xsi:type="xsd:double"&gt;4951.2&lt;/D&gt;&lt;/FQL&gt;&lt;FQL&gt;&lt;Q&gt;Ticker0024^FE_ESTIMATE(CAPEX,MEAN,ANNUAL_ROLL,2020,45868,,,'')&lt;/Q&gt;&lt;R&gt;1&lt;/R&gt;&lt;C&gt;1&lt;/C&gt;&lt;D xsi:type="xsd:double"&gt;15737.583&lt;/D&gt;&lt;/FQL&gt;&lt;FQL&gt;&lt;Q&gt;Ticker0024^FE_ESTIMATE(CAPEX,MEAN,QUARTERLY_ROLL,2020/4F,45868,,,'')&lt;/Q&gt;&lt;R&gt;1&lt;/R&gt;&lt;C&gt;1&lt;/C&gt;&lt;D xsi:type="xsd:double"&gt;4876&lt;/D&gt;&lt;/FQL&gt;&lt;FQL&gt;&lt;Q&gt;Ticker0024^FE_ESTIMATE(CAPEX,MEAN,QUARTERLY_ROLL,2020/3F,45868,,,'')&lt;/Q&gt;&lt;R&gt;1&lt;/R&gt;&lt;C&gt;1&lt;/C&gt;&lt;D xsi:type="xsd:double"&gt;3781.7778&lt;/D&gt;&lt;/FQL&gt;&lt;FQL&gt;&lt;Q&gt;Ticker0024^FE_ESTIMATE(CAPEX,MEAN,QUARTERLY_ROLL,2020/2F,45868,,,'')&lt;/Q&gt;&lt;R&gt;1&lt;/R&gt;&lt;C&gt;1&lt;/C&gt;&lt;D xsi:type="xsd:double"&gt;3640.5&lt;/D&gt;&lt;/FQL&gt;&lt;FQL&gt;&lt;Q&gt;Ticker0024^FE_ESTIMATE(CAPEX,MEAN,QUARTERLY_ROLL,2020/1F,45868,,,'')&lt;/Q&gt;&lt;R&gt;1&lt;/R&gt;&lt;C&gt;1&lt;/C&gt;&lt;D xsi:type="xsd:double"&gt;3526.5&lt;/D&gt;&lt;/FQL&gt;&lt;FQL&gt;&lt;Q&gt;Ticker0024^FE_ESTIMATE(CFO,MEAN,ANNUAL_ROLL,2030,45868,,,'')&lt;/Q&gt;&lt;R&gt;1&lt;/R&gt;&lt;C&gt;1&lt;/C&gt;&lt;D xsi:type="xsd:double"&gt;274490&lt;/D&gt;&lt;/FQL&gt;&lt;FQL&gt;&lt;Q&gt;Ticker0024^FE_ESTIMATE(CFO,MEAN,QUARTERLY_ROLL,2030/4F,45868,,,'')&lt;/Q&gt;&lt;R&gt;0&lt;/R&gt;&lt;C&gt;0&lt;/C&gt;&lt;/FQL&gt;&lt;FQL&gt;&lt;Q&gt;Ticker0024^FE_ESTIMATE(CFO,MEAN,QUARTERLY_ROLL,2030/3F,45868,,,'')&lt;/Q&gt;&lt;R&gt;0&lt;/R&gt;&lt;C&gt;0&lt;/C&gt;&lt;/FQL&gt;&lt;FQL&gt;&lt;Q&gt;Ticker0024^FE_ESTIMATE(CFO,MEAN,QUARTERLY_ROLL,2030/2F,45868,,,'')&lt;/Q&gt;&lt;R&gt;0&lt;/R&gt;&lt;C&gt;0&lt;/C&gt;&lt;/FQL&gt;&lt;FQL&gt;&lt;Q&gt;Ticker0024^FE_ESTIMATE(CFO,MEAN,QUARTERLY_ROLL,2030/1F,45868,,,'')&lt;/Q&gt;&lt;R&gt;0&lt;/R&gt;&lt;C&gt;0&lt;/C&gt;&lt;/FQL&gt;&lt;FQL&gt;&lt;Q&gt;Ticker0024^FE_ESTIMATE(CFO,MEAN,ANNUAL_ROLL,2029,45868,,,'')&lt;/Q&gt;&lt;R&gt;1&lt;/R&gt;&lt;C&gt;1&lt;/C&gt;&lt;D xsi:type="xsd:double"&gt;235428&lt;/D&gt;&lt;/FQL&gt;&lt;FQL&gt;&lt;Q&gt;Ticker0024^FE_ESTIMATE(CFO,MEAN,QUARTERLY_ROLL,2029/4F,45868,,,'')&lt;/Q&gt;&lt;R&gt;0&lt;/R&gt;&lt;C&gt;0&lt;/C&gt;&lt;/FQL&gt;&lt;FQL&gt;&lt;Q&gt;Ticker0024^FE_ESTIMATE(CFO,MEAN,QUARTERLY_ROLL,2029/3F,45868,,,'')&lt;/Q&gt;&lt;R&gt;0&lt;/R&gt;&lt;C&gt;0&lt;/C&gt;&lt;/FQL&gt;&lt;FQL&gt;&lt;Q&gt;Ticker0024^FE_ESTIMATE(CFO,MEAN,QUARTERLY_ROLL,2029/2F,45868,,,'')&lt;/Q&gt;&lt;R&gt;0&lt;/R&gt;&lt;C&gt;0&lt;/C&gt;&lt;/FQL&gt;&lt;FQL&gt;&lt;Q&gt;Ticker0024^FE_ESTIMATE(CFO,MEAN,QUARTERLY_ROLL,2029/1F,45868,,,'')&lt;/Q&gt;&lt;R&gt;0&lt;/R&gt;&lt;C&gt;0&lt;/C&gt;&lt;/FQL&gt;&lt;FQL&gt;&lt;Q&gt;Ticker0024^FE_ESTIMATE(CFO,MEAN,ANNUAL_ROLL,2028,45868,,,'')&lt;/Q&gt;&lt;R&gt;1&lt;/R&gt;&lt;C&gt;1&lt;/C&gt;&lt;D xsi:type="xsd:double"&gt;232022.33&lt;/D&gt;&lt;/FQL&gt;&lt;FQL&gt;&lt;Q&gt;Ticker0024^FE_ESTIMATE(CFO,MEAN,QUARTERLY_ROLL,2028/4F,45868,,,'')&lt;/Q&gt;&lt;R&gt;0&lt;/R&gt;&lt;C&gt;0&lt;/C&gt;&lt;/FQL&gt;&lt;FQL&gt;&lt;Q&gt;Ticker0024^FE_ESTIMATE(CFO,MEAN,QUARTERLY_ROLL,2028/3F,45868,,,'')&lt;/Q&gt;&lt;R&gt;0&lt;/R&gt;&lt;C&gt;0&lt;/C&gt;&lt;/FQL&gt;&lt;FQL&gt;&lt;Q&gt;Ticker0024^FE_ESTIMATE(CFO,MEAN,QUARTERLY_ROLL,2028/2F,45868,,,'')&lt;/Q&gt;&lt;R&gt;0&lt;/R&gt;&lt;C&gt;0&lt;/C&gt;&lt;/FQL&gt;&lt;FQL&gt;&lt;Q&gt;Ticker0024^FE_ESTIMATE(CFO,MEAN,QUARTERLY_ROLL,2028/1F,45868,,,'')&lt;/Q&gt;&lt;R&gt;0&lt;/R&gt;&lt;C&gt;0&lt;/C&gt;&lt;/FQL&gt;&lt;FQL&gt;&lt;Q&gt;Ticker0024^FE_ESTIMATE(CFO,MEAN,ANNUAL_ROLL,2027,45868,,,'')&lt;/Q&gt;&lt;R&gt;1&lt;/R&gt;&lt;C&gt;1&lt;/C&gt;&lt;D xsi:type="xsd:double"&gt;177910.64&lt;/D&gt;&lt;/FQL&gt;&lt;FQL&gt;&lt;Q&gt;Ticker0024^FE_ESTIMATE(CFO,MEAN,QUARTERLY_ROLL,2027/4F,45868,,,'')&lt;/Q&gt;&lt;R&gt;1&lt;/R&gt;&lt;C&gt;1&lt;/C&gt;&lt;D xsi:type="xsd:double"&gt;49788&lt;/D&gt;&lt;/FQL&gt;&lt;FQL&gt;&lt;Q&gt;Ticker0024^FE_ESTIMATE(CFO,MEAN,QUARTERLY_ROLL,2027/3F,45868,,,'')&lt;/Q&gt;&lt;R&gt;1&lt;/R&gt;&lt;C&gt;1&lt;/C&gt;&lt;D xsi:type="xsd:double"&gt;45014.668&lt;/D&gt;&lt;/FQL&gt;&lt;FQL&gt;&lt;Q&gt;Ticker0024^FE_ESTIMATE(CFO,MEAN,QUARTERLY_ROLL,2027/2F,45868,,,'')&lt;/Q&gt;&lt;R&gt;1&lt;/R&gt;&lt;C&gt;1&lt;/C&gt;&lt;D xsi:type="xsd:double"&gt;31122.666&lt;/D&gt;&lt;/FQL&gt;&lt;FQL&gt;&lt;Q&gt;Ticker0024^FE_ESTIMATE(CFO,MEAN,QUARTERLY_ROLL,2027/1F,45868,,,'')&lt;/Q&gt;&lt;R&gt;1&lt;/R&gt;&lt;C&gt;1&lt;/C&gt;&lt;D xsi:type="xsd:double"&gt;47123&lt;/D&gt;&lt;/FQL&gt;&lt;FQL&gt;&lt;Q&gt;Ticker0024^FE_ESTIMATE(CFO,MEAN,ANNUAL_ROLL,2026,45868,,,'')&lt;/Q&gt;&lt;R&gt;1&lt;/R&gt;&lt;C&gt;1&lt;/C&gt;&lt;D xsi:type="xsd:double"&gt;152835.13&lt;/D&gt;&lt;/FQL&gt;&lt;FQL&gt;&lt;Q&gt;Ticker0024^FE_ESTIMATE(CFO,MEAN,QUARTERLY_ROLL,2026/4F,45868,,,'')&lt;/Q&gt;&lt;R&gt;1&lt;/R&gt;&lt;C&gt;1&lt;/C&gt;&lt;D xsi:type="xsd:double"&gt;43318.723&lt;/D&gt;&lt;/FQL&gt;&lt;FQL&gt;&lt;Q&gt;Ticker0024^FE_ESTIMATE(CFO,MEAN,QUARTERLY_ROLL,2026/3F,45868,,,'')&lt;/Q&gt;&lt;R&gt;1&lt;/R&gt;&lt;C&gt;1&lt;/C&gt;&lt;D xsi:type="xsd:double"&gt;39161.477&lt;/D&gt;&lt;/FQL&gt;&lt;FQL&gt;&lt;Q&gt;Ticker0024^FE_ESTIMATE(CFO,MEAN,QUARTERLY_ROLL,2026/2F,45868,,,'')&lt;/Q&gt;&lt;R&gt;1&lt;/R&gt;&lt;C&gt;1&lt;/C&gt;&lt;D xsi:type="xsd:double"&gt;26900.691&lt;/D&gt;&lt;/FQL&gt;&lt;FQL&gt;&lt;Q&gt;Ticker0024^FE_ESTIMATE(CFO,MEAN,QUARTERLY_ROLL,2026/1F,45868,,,'')&lt;/Q&gt;&lt;R&gt;1&lt;/R&gt;&lt;C&gt;1&lt;/C&gt;&lt;D xsi:type="xsd:double"&gt;41894.4&lt;/D&gt;&lt;/FQL&gt;&lt;FQL&gt;&lt;Q&gt;Ticker0024^FE_ESTIMATE(CFO,MEAN,ANNUAL_ROLL,2025,45868,,,'')&lt;/Q&gt;&lt;R&gt;1&lt;/R&gt;&lt;C&gt;1&lt;/C&gt;&lt;D xsi:type="xsd:double"&gt;133119.89&lt;/D&gt;&lt;/FQL&gt;&lt;FQL&gt;&lt;Q&gt;Ticker0024^FE_ESTIMATE(CFO,MEAN,QUARTERLY_ROLL,2025/4F,45868,,,'')&lt;/Q&gt;&lt;R&gt;1&lt;/R&gt;&lt;C&gt;1&lt;/C&gt;&lt;D xsi:type="xsd:double"&gt;38300.246&lt;/D&gt;&lt;/FQL&gt;&lt;FQL&gt;&lt;Q&gt;Ticker0024^FE_ESTIMATE(CFO,MEAN,QUARTERLY_ROLL,2025/3F,45868,,,'')&lt;/Q&gt;&lt;R&gt;1&lt;/R&gt;&lt;C&gt;1&lt;/C&gt;&lt;D xsi:type="xsd:double"&gt;37043.734&lt;/D&gt;&lt;/FQL&gt;&lt;FQL&gt;&lt;Q&gt;Ticker0024^FE_ESTIMATE(CFO,MEAN,QUARTERLY_ROLL,2025/2F,45868,,,'')&lt;/Q&gt;&lt;R&gt;1&lt;/R&gt;&lt;C&gt;1&lt;/C&gt;&lt;D xsi:type="xsd:double"&gt;22290.938&lt;/D&gt;&lt;/FQL&gt;&lt;FQL&gt;&lt;Q&gt;Ticker0024^FE_ESTIMATE(CFO,MEAN,QUARTERLY_ROLL,2025/1F,45868,,,'')&lt;/Q&gt;&lt;R&gt;1&lt;/R&gt;&lt;C&gt;1&lt;/C&gt;&lt;D xsi:type="xsd:double"&gt;34180&lt;/D&gt;&lt;/FQL&gt;&lt;FQL&gt;&lt;Q&gt;Ticker0024^FE_ESTIMATE(CFO,MEAN,ANNUAL_ROLL,2024,45868,,,'')&lt;/Q&gt;&lt;R&gt;1&lt;/R&gt;&lt;C&gt;1&lt;/C&gt;&lt;D xsi:type="xsd:double"&gt;119091&lt;/D&gt;&lt;/FQL&gt;&lt;FQL&gt;&lt;Q&gt;Ticker0024^FE_ESTIMATE(CFO,MEAN,QUARTERLY_ROLL,2024/4F,45868,,,'')&lt;/Q&gt;&lt;R&gt;1&lt;/R&gt;&lt;C&gt;1&lt;/C&gt;&lt;D xsi:type="xsd:double"&gt;37195.355&lt;/D&gt;&lt;/FQL&gt;&lt;FQL&gt;&lt;Q&gt;Ticker0024^FE_ESTIMATE(CFO,MEAN,QUARTERLY_ROLL,2024/3F,45868,,,'')&lt;/Q&gt;&lt;R&gt;1&lt;/R&gt;&lt;C&gt;1&lt;/C&gt;&lt;D xsi:type="xsd:double"&gt;31917.176&lt;/D&gt;&lt;/FQL&gt;&lt;FQL&gt;&lt;Q&gt;Ticker0024^FE_ESTIMATE(CFO,MEAN,QUARTERLY_ROLL,2024/2F,45868,,,'')&lt;/Q&gt;&lt;R&gt;1&lt;/R&gt;&lt;C&gt;1&lt;/C&gt;&lt;D xsi:type="xsd:double"&gt;18855.445&lt;/D&gt;&lt;/FQL&gt;&lt;FQL&gt;&lt;Q&gt;Ticker0024^FE_ESTIMATE(CFO,MEAN,QUARTERLY_ROLL,2024/1F,45868,,,'')&lt;/Q&gt;&lt;R&gt;1&lt;/R&gt;&lt;C&gt;1&lt;/C&gt;&lt;D xsi:type="xsd:double"&gt;30578.588&lt;/D&gt;&lt;/FQL&gt;&lt;FQL&gt;&lt;Q&gt;Ticker0024^FE_ESTIMATE(CFO,MEAN,ANNUAL_ROLL,2023,45868,,,'')&lt;/Q&gt;&lt;R&gt;1&lt;/R&gt;&lt;C&gt;1&lt;/C&gt;&lt;D xsi:type="xsd:double"&gt;87714&lt;/D&gt;&lt;/FQL&gt;&lt;FQL&gt;&lt;Q&gt;Ticker0024^FE_ESTIMATE(CFO,MEAN,QUARTERLY_ROLL,2023/4F,45868,,,'')&lt;/Q&gt;&lt;R&gt;1&lt;/R&gt;&lt;C&gt;1&lt;/C&gt;&lt;D xsi:type="xsd:double"&gt;28504.813&lt;/D&gt;&lt;/FQL&gt;&lt;FQL&gt;&lt;Q&gt;Ticker0024^FE_ESTIMATE(CFO,MEAN,QUARTERLY_ROLL,2023/3F,45868,,,'')&lt;/Q&gt;&lt;R&gt;1&lt;/R&gt;&lt;C&gt;1&lt;/C&gt;&lt;D xsi:type="xsd:double"&gt;24325.75&lt;/D&gt;&lt;/FQL&gt;&lt;FQL&gt;&lt;Q&gt;Ticker0024^FE_ESTIMATE(CFO,MEAN,QUARTERLY_ROLL,2023/2F,45868,,,'')&lt;/Q&gt;&lt;R&gt;1&lt;/R&gt;&lt;C&gt;1&lt;/C&gt;&lt;D xsi:type="xsd:double"&gt;11172.8&lt;/D&gt;&lt;/FQL&gt;&lt;FQL&gt;&lt;Q&gt;Ticker0024^FE_ESTIMATE(CFO,MEAN,QUARTERLY_ROLL,2023/1F,45868,,,'')&lt;/Q&gt;&lt;R&gt;1&lt;/R&gt;&lt;C&gt;1&lt;/C&gt;&lt;D xsi:type="xsd:double"&gt;23330.53&lt;/D&gt;&lt;/FQL&gt;&lt;FQL&gt;&lt;Q&gt;Ticker0024^FE_ESTIMATE(CFO,MEAN,ANNUAL_ROLL,2022,45868,,,'')&lt;/Q&gt;&lt;R&gt;1&lt;/R&gt;&lt;C&gt;1&lt;/C&gt;&lt;D xsi:type="xsd:double"&gt;89044.74&lt;/D&gt;&lt;/FQL&gt;&lt;FQL&gt;&lt;Q&gt;Ticker0024^FE_ESTIMATE(CFO,MEAN,QUARTERLY_ROLL,2022/4F,45868,,,'')&lt;/Q&gt;&lt;R&gt;1&lt;/R&gt;&lt;C&gt;1&lt;/C&gt;&lt;D xsi:type="xsd:double"&gt;24629&lt;/D&gt;&lt;/FQL&gt;&lt;FQL&gt;&lt;Q&gt;Ticker0024^FE_ESTIMATE(CFO,MEAN,QUARTERLY_ROLL,2022/3F,45868,,,'')&lt;/Q&gt;&lt;R&gt;1&lt;/R&gt;&lt;C&gt;1&lt;/C&gt;&lt;D xsi:type="xsd:double"&gt;25386&lt;/D&gt;&lt;/FQL&gt;&lt;FQL&gt;&lt;Q&gt;Ticker0024^FE_ESTIMATE(CFO,MEAN,QUARTERLY_ROLL,2022/2F,45868,,,'')&lt;/Q&gt;&lt;R&gt;1&lt;/R&gt;&lt;C&gt;1&lt;/C&gt;&lt;D xsi:type="xsd:double"&gt;14480&lt;/D&gt;&lt;/FQL&gt;&lt;FQL&gt;&lt;Q&gt;Ticker0024^FE_ESTIMATE(CFO,MEAN,QUARTERLY_ROLL,2022/1F,45868,,,'')&lt;/Q&gt;&lt;R&gt;1&lt;/R&gt;&lt;C&gt;1&lt;/C&gt;&lt;D xsi:type="xsd:double"&gt;24540&lt;/D&gt;&lt;/FQL&gt;&lt;FQL&gt;&lt;Q&gt;Ticker0024^FE_ESTIMATE(CFO,MEAN,ANNUAL_ROLL,2021,45868,,,'')&lt;/Q&gt;&lt;R&gt;1&lt;/R&gt;&lt;C&gt;1&lt;/C&gt;&lt;D xsi:type="xsd:double"&gt;77615.55&lt;/D&gt;&lt;/FQL&gt;&lt;FQL&gt;&lt;Q&gt;Ticker0024^FE_ESTIMATE(CFO,MEAN,QUARTERLY_ROLL,2021/4F,45868,,,'')&lt;/Q&gt;&lt;R&gt;1&lt;/R&gt;&lt;C&gt;1&lt;/C&gt;&lt;D xsi:type="xsd:double"&gt;22710&lt;/D&gt;&lt;/FQL&gt;&lt;FQL&gt;&lt;Q&gt;Ticker0024^FE_ESTIMATE(CFO,MEAN,QUARTERLY_ROLL,2021/3F,45868,,,'')&lt;/Q&gt;&lt;R&gt;1&lt;/R&gt;&lt;C&gt;1&lt;/C&gt;&lt;D xsi:type="xsd:double"&gt;21909&lt;/D&gt;&lt;/FQL&gt;&lt;FQL&gt;&lt;Q&gt;Ticker0024^FE_ESTIMATE(CFO,MEAN,QUARTERLY_ROLL,2021/2F,45868,,,'')&lt;/Q&gt;&lt;R&gt;1&lt;/R&gt;&lt;C&gt;1&lt;/C&gt;&lt;D xsi:type="xsd:double"&gt;12516&lt;/D&gt;&lt;/FQL&gt;&lt;FQL&gt;&lt;Q&gt;Ticker0024^FE_ESTIMATE(CFO,MEAN,QUARTERLY_ROLL,2021/1F,45868,,,'')&lt;/Q&gt;&lt;R&gt;1&lt;/R&gt;&lt;C&gt;1&lt;/C&gt;&lt;D xsi:type="xsd:double"&gt;19151.9&lt;/D&gt;&lt;/FQL&gt;&lt;FQL&gt;&lt;Q&gt;Ticker0024^FE_ESTIMATE(CFO,MEAN,ANNUAL_ROLL,2020,45868,,,'')&lt;/Q&gt;&lt;R&gt;1&lt;/R&gt;&lt;C&gt;1&lt;/C&gt;&lt;D xsi:type="xsd:double"&gt;60473.91&lt;/D&gt;&lt;/FQL&gt;&lt;FQL&gt;&lt;Q&gt;Ticker0024^FE_ESTIMATE(CFO,MEAN,QUARTERLY_ROLL,2020/4F,45868,,,'')&lt;/Q&gt;&lt;R&gt;1&lt;/R&gt;&lt;C&gt;1&lt;/C&gt;&lt;D xsi:type="xsd:double"&gt;18673&lt;/D&gt;&lt;/FQL&gt;&lt;FQL&gt;&lt;Q&gt;Ticker0024^FE_ESTIMATE(CFO,MEAN,QUARTERLY_ROLL,2020/3F,45868,,,'')&lt;/Q&gt;&lt;R&gt;1&lt;/R&gt;&lt;C&gt;1&lt;/C&gt;&lt;D xsi:type="xsd:double"&gt;17507.223&lt;/D&gt;&lt;/FQL&gt;&lt;FQL&gt;&lt;Q&gt;Ticker0024^FE_ESTIMATE(CFO,MEAN,QUARTERLY_ROLL,2020/2F,45868,,,'')&lt;/Q&gt;&lt;R&gt;1&lt;/R&gt;&lt;C&gt;1&lt;/C&gt;&lt;D xsi:type="xsd:double"&gt;10680&lt;/D&gt;&lt;/FQL&gt;&lt;FQL&gt;&lt;Q&gt;Ticker0024^FE_ESTIMATE(CFO,MEAN,QUARTERLY_ROLL,2020/1F,45868,,,'')&lt;/Q&gt;&lt;R&gt;1&lt;/R&gt;&lt;C&gt;1&lt;/C&gt;&lt;D xsi:type="xsd:double"&gt;13818&lt;/D&gt;&lt;/FQL&gt;&lt;FQL&gt;&lt;Q&gt;Ticker0024^FE_ESTIMATE(EPS,MEAN,ANNUAL_ROLL,2030,45868,,,'')&lt;/Q&gt;&lt;R&gt;0&lt;/R&gt;&lt;C&gt;0&lt;/C&gt;&lt;/FQL&gt;&lt;FQL&gt;&lt;Q&gt;Ticker0024^FE_ESTIMATE(EPS,MEAN,QUARTERLY_ROLL,2030/4F,45868,,,'')&lt;/Q&gt;&lt;R&gt;0&lt;/R&gt;&lt;C&gt;0&lt;/C&gt;&lt;/FQL&gt;&lt;FQL&gt;&lt;Q&gt;Ticker0024^FE_ESTIMATE(EPS,MEAN,QUARTERLY_ROLL,2030/3F,45868,,,'')&lt;/Q&gt;&lt;R&gt;0&lt;/R&gt;&lt;C&gt;0&lt;/C&gt;&lt;/FQL&gt;&lt;FQL&gt;&lt;Q&gt;Ticker0024^FE_ESTIMATE(EPS,MEAN,QUARTERLY_ROLL,2030/2F,45868,,,'')&lt;/Q&gt;&lt;R&gt;0&lt;/R&gt;&lt;C&gt;0&lt;/C&gt;&lt;/FQL&gt;&lt;FQL&gt;&lt;Q&gt;Ticker0024^FE_ESTIMATE(EPS,MEAN,QUARTERLY_ROLL,2030/1F,45868,,,'')&lt;/Q&gt;&lt;R&gt;0&lt;/R&gt;&lt;C&gt;0&lt;/C&gt;&lt;/FQL&gt;&lt;FQL&gt;&lt;Q&gt;Ticker0024^FE_ESTIMATE(EPS,MEAN,ANNUAL_ROLL,2029,45868,,,'')&lt;/Q&gt;&lt;R&gt;1&lt;/R&gt;&lt;C&gt;1&lt;/C&gt;&lt;D xsi:type="xsd:double"&gt;24.42&lt;/D&gt;&lt;/FQL&gt;&lt;FQL&gt;&lt;Q&gt;Ticker0024^FE_ESTIMATE(EPS,MEAN,QUARTERLY_ROLL,2029/4F,45868,,,'')&lt;/Q&gt;&lt;R&gt;0&lt;/R&gt;&lt;C&gt;0&lt;/C&gt;&lt;/FQL&gt;&lt;FQL&gt;&lt;Q&gt;Ticker0024^FE_ESTIMATE(EPS,MEAN,QUARTERLY_ROLL,2029/3F,45868,,,'')&lt;/Q&gt;&lt;R&gt;0&lt;/R&gt;&lt;C&gt;0&lt;/C&gt;&lt;/FQL&gt;&lt;FQL&gt;&lt;Q&gt;Ticker0024^FE_ESTIMATE(EPS,MEAN,QUARTERLY_ROLL,2029/2F,45868,,,'')&lt;/Q&gt;&lt;R&gt;0&lt;/R&gt;&lt;C&gt;0&lt;/C&gt;&lt;/FQL&gt;&lt;FQL&gt;&lt;Q&gt;Ticker0024^FE_ESTIMATE(EPS,MEAN,QUARTERLY_ROLL,2029/1F,45868,,,'')&lt;/Q&gt;&lt;R&gt;0&lt;/R&gt;&lt;C&gt;0&lt;/C&gt;&lt;/FQL&gt;&lt;FQL&gt;&lt;Q&gt;Ticker0024^FE_ESTIMATE(EPS,MEAN,ANNUAL_ROLL,2028,45868,,,'')&lt;/Q&gt;&lt;R&gt;1&lt;/R&gt;&lt;C&gt;1&lt;/C&gt;&lt;D xsi:type="xsd:double"&gt;21.073534&lt;/D&gt;&lt;/FQL&gt;&lt;FQL&gt;&lt;Q&gt;Ticker0024^FE_ESTIMATE(EPS,MEAN,QUARTERLY_ROLL,2028/4F,45868,,,'')&lt;/Q&gt;&lt;R&gt;0&lt;/R&gt;&lt;C&gt;0&lt;/C&gt;&lt;/FQL&gt;&lt;FQL&gt;&lt;Q&gt;Ticker0024^FE_ESTIMATE(EPS,MEAN,QUARTERLY_ROLL,2028/3F,45868,,,'')&lt;/Q&gt;&lt;R&gt;0&lt;/R&gt;&lt;C&gt;0&lt;/C&gt;&lt;/FQL&gt;&lt;FQL&gt;&lt;Q&gt;Ticker0024^FE_ESTIMATE(EPS,MEAN,QUARTERLY_ROLL,2028/2F,45868,,,'')&lt;/Q&gt;&lt;R&gt;0&lt;/R&gt;&lt;C&gt;0&lt;/C&gt;&lt;/FQL&gt;&lt;FQL&gt;&lt;Q&gt;Ticker0024^FE_ESTIMATE(EPS,MEAN,QUARTERLY_ROLL,2028/1F,45868,,,'')&lt;/Q&gt;&lt;R&gt;0&lt;/R&gt;&lt;C&gt;0&lt;/C&gt;&lt;/FQL&gt;&lt;FQL&gt;&lt;Q&gt;Ticker0024^FE_ESTIMATE(EPS,MEAN,ANNUAL_ROLL,2027,45868,,,'')&lt;/Q&gt;&lt;R&gt;1&lt;/R&gt;&lt;C&gt;1&lt;/C&gt;&lt;D xsi:type="xsd:double"&gt;17.92865&lt;/D&gt;&lt;/FQL&gt;&lt;FQL&gt;&lt;Q&gt;Ticker0024^FE_ESTIMATE(EPS,MEAN,QUARTERLY_ROLL,2027/4F,45868,,,'')&lt;/Q&gt;&lt;R&gt;1&lt;/R&gt;&lt;C&gt;1&lt;/C&gt;&lt;D xsi:type="xsd:double"&gt;4.5458636&lt;/D&gt;&lt;/FQL&gt;&lt;FQL&gt;&lt;Q&gt;Ticker0024^FE_ESTIMATE(EPS,MEAN,QUARTERLY_ROLL,2027/3F,45868,,,'')&lt;/Q&gt;&lt;R&gt;1&lt;/R&gt;&lt;C&gt;1&lt;/C&gt;&lt;D xsi:type="xsd:double"&gt;4.419477&lt;/D&gt;&lt;/FQL&gt;&lt;FQL&gt;&lt;Q&gt;Ticker0024^FE_ESTIMATE(EPS,MEAN,QUARTERLY_ROLL,2027/2F,45868,,,'')&lt;/Q&gt;&lt;R&gt;1&lt;/R&gt;&lt;C&gt;1&lt;/C&gt;&lt;D xsi:type="xsd:double"&gt;4.330387&lt;/D&gt;&lt;/FQL&gt;&lt;FQL&gt;&lt;Q&gt;Ticker0024^FE_ESTIMATE(EPS,MEAN,QUARTERLY_ROLL,2027/1F,45868,,,'')&lt;/Q&gt;&lt;R&gt;1&lt;/R&gt;&lt;C&gt;1&lt;/C&gt;&lt;D xsi:type="xsd:double"&gt;4.151658&lt;/D&gt;&lt;/FQL&gt;&lt;FQL&gt;&lt;Q&gt;Ticker0024^FE_ESTIMATE(EPS,MEAN,ANNUAL_ROLL,2026,45868,,,'')&lt;/Q&gt;&lt;R&gt;1&lt;/R&gt;&lt;C&gt;1&lt;/C&gt;&lt;D xsi:type="xsd:double"&gt;15.211989&lt;/D&gt;&lt;/FQL&gt;&lt;FQL&gt;&lt;Q&gt;Ticker0024^FE_ESTIMATE(EPS,MEAN,QUARTERLY_ROLL,2026/4F,45868,,,'')&lt;/Q&gt;&lt;R&gt;1&lt;/R&gt;&lt;C&gt;1&lt;/C&gt;&lt;D xsi:type="xsd:double"&gt;3.9094346&lt;/D&gt;&lt;/FQL&gt;&lt;FQL&gt;&lt;Q&gt;Ticker0024^FE_ESTIMATE(EPS,MEAN,QUARTERLY_ROLL,2026/3F,45868,,,'')&lt;/Q&gt;&lt;R&gt;1&lt;/R&gt;&lt;C&gt;1&lt;/C&gt;&lt;D xsi:type="xsd:double"&gt;3.7858808&lt;/D&gt;&lt;/FQL&gt;&lt;FQL&gt;&lt;Q&gt;Ticker0024^FE_ESTIMATE(EPS,MEAN,QUARTERLY_ROLL,2026/2F,45868,,,'')&lt;/Q&gt;&lt;R&gt;1&lt;/R&gt;&lt;C&gt;1&lt;/C&gt;&lt;D xsi:type="xsd:double"&gt;3.71897&lt;/D&gt;&lt;/FQL&gt;&lt;FQL&gt;&lt;Q&gt;Ticker0024^FE_ESTIMATE(EPS,MEAN,QUARTERLY_ROLL,2026/1F,45868,,,'')&lt;/Q&gt;&lt;R&gt;1&lt;/R&gt;&lt;C&gt;1&lt;/C&gt;&lt;D xsi:type="xsd:double"&gt;3.5600944&lt;/D&gt;&lt;/FQL&gt;&lt;FQL&gt;&lt;Q&gt;Ticker0024^FE_ESTIMATE(EPS,MEAN,ANNUAL_ROLL,2025,45868,,,'')&lt;/Q&gt;&lt;R&gt;1&lt;/R&gt;&lt;C&gt;1&lt;/C&gt;&lt;D xsi:type="xsd:double"&gt;13.419156&lt;/D&gt;&lt;/FQL&gt;&lt;FQL&gt;&lt;Q&gt;Ticker0024^FE_ESTIMATE(EPS,MEAN,QUARTERLY_ROLL,2025/4F,45868,,,'')&lt;/Q&gt;&lt;R&gt;1&lt;/R&gt;&lt;C&gt;1&lt;/C&gt;&lt;D xsi:type="xsd:double"&gt;3.3747098&lt;/D&gt;&lt;/FQL&gt;&lt;FQL&gt;&lt;Q&gt;Ticker0024^FE_ESTIMATE(EPS,MEAN,QUARTERLY_ROLL,2025/3F,45868,,,'')&lt;/Q&gt;&lt;R&gt;1&lt;/R&gt;&lt;C&gt;1&lt;/C&gt;&lt;D xsi:type="xsd:double"&gt;3.46&lt;/D&gt;&lt;/FQL&gt;&lt;FQL&gt;&lt;Q&gt;Ticker0024^FE_ESTIMATE(EPS,MEAN,QUARTERLY_ROLL,2025/2F,45868,,,'')&lt;/Q&gt;&lt;R&gt;1&lt;/R&gt;&lt;C&gt;1&lt;/C&gt;&lt;D xsi:type="xsd:double"&gt;3.23&lt;/D&gt;&lt;/FQL&gt;&lt;FQL&gt;&lt;Q&gt;Ticker0024^FE_ESTIMATE(EPS,MEAN,QUARTERLY_ROLL,2025/1F,45868,,,'')&lt;/Q&gt;&lt;R&gt;1&lt;/R&gt;&lt;C&gt;1&lt;/C&gt;&lt;D xsi:type="xsd:double"&gt;3.3&lt;/D&gt;&lt;/FQL&gt;&lt;FQL&gt;&lt;Q&gt;Ticker0024^FE_ESTIMATE(EPS,MEAN,ANNUAL_ROLL,2024,45868,,,'')&lt;/Q&gt;&lt;R&gt;1&lt;/R&gt;&lt;C&gt;1&lt;/C&gt;&lt;D xsi:type="xsd:double"&gt;11.8&lt;/D&gt;&lt;/FQL&gt;&lt;FQL&gt;&lt;Q&gt;Ticker0024^FE_ESTIMATE(EPS,MEAN,QUARTERLY_ROLL,2024/4F,45868,,,'')&lt;/Q&gt;&lt;R&gt;1&lt;/R&gt;&lt;C&gt;1&lt;/C&gt;&lt;D xsi:type="xsd:double"&gt;2.95&lt;/D&gt;&lt;/FQL&gt;&lt;FQL&gt;&lt;Q&gt;Ticker0024^FE_ESTIMATE(EPS,MEAN,QUARTERLY_ROLL,2024/3F,45868,,,'')&lt;/Q&gt;&lt;R&gt;1&lt;/R&gt;&lt;C&gt;1&lt;/C&gt;&lt;D xsi:type="xsd:double"&gt;2.94&lt;/D&gt;&lt;/FQL&gt;&lt;FQL&gt;&lt;Q&gt;Ticker0024^FE_ESTIMATE(EPS,MEAN,QUARTERLY_ROLL,2024/2F,45868,,,'')&lt;/Q&gt;&lt;R&gt;1&lt;/R&gt;&lt;C&gt;1&lt;/C&gt;&lt;D xsi:type="xsd:double"&gt;2.93&lt;/D&gt;&lt;/FQL&gt;&lt;FQL&gt;&lt;Q&gt;Ticker0024^FE_ESTIMATE(EPS,MEAN,QUARTERLY_ROLL,2024/1F,45868,,,'')&lt;/Q&gt;&lt;R&gt;1&lt;/R&gt;&lt;C&gt;1&lt;/C&gt;&lt;D xsi:type="xsd:double"&gt;2.99&lt;/D&gt;&lt;/FQL&gt;&lt;FQL&gt;&lt;Q&gt;Ticker0024^FE_ESTIMATE(EPS,MEAN,ANNUAL_ROLL,2023,45868,,,'')&lt;/Q&gt;&lt;R&gt;1&lt;/R&gt;&lt;C&gt;1&lt;/C&gt;&lt;D xsi:type="xsd:double"&gt;9.81&lt;/D&gt;&lt;/FQL&gt;&lt;FQL&gt;&lt;Q&gt;Ticker0024^FE_ESTIMATE(EPS,MEAN,QUARTERLY_ROLL,2023/4F,45868,,,'')&lt;/Q&gt;&lt;R&gt;1&lt;/R&gt;&lt;C&gt;1&lt;/C&gt;&lt;D xsi:type="xsd:double"&gt;2.69&lt;/D&gt;&lt;/FQL&gt;&lt;FQL&gt;&lt;Q&gt;Ticker0024^FE_ESTIMATE(EPS,MEAN,QUARTERLY_ROLL,2023/3F,45868,,,'')&lt;/Q&gt;&lt;R&gt;1&lt;/R&gt;&lt;C&gt;1&lt;/C&gt;&lt;D xsi:type="xsd:double"&gt;2.45&lt;/D&gt;&lt;/FQL&gt;&lt;FQL&gt;&lt;Q&gt;Ticker0024^FE_ESTIMATE(EPS,MEAN,QUARTERLY_ROLL,2023/2F,45868,,,''</t>
        </r>
      </text>
    </comment>
    <comment ref="A71" authorId="0" shapeId="0" xr:uid="{321A66ED-3D9E-4E5D-AE67-CFAC44179674}">
      <text>
        <r>
          <rPr>
            <b/>
            <sz val="9"/>
            <color indexed="81"/>
            <rFont val="Tahoma"/>
            <family val="2"/>
          </rPr>
          <t>Author:type="xsd:double"&gt;2.32&lt;/D&gt;&lt;/FQL&gt;&lt;FQL&gt;&lt;Q&gt;Ticker0024^FE_ESTIMATE(EPS,MEAN,QUARTERLY_ROLL,2023/1F,45868,,,'')&lt;/Q&gt;&lt;R&gt;1&lt;/R&gt;&lt;C&gt;1&lt;/C&gt;&lt;D xsi:type="xsd:double"&gt;2.35&lt;/D&gt;&lt;/FQL&gt;&lt;FQL&gt;&lt;Q&gt;Ticker0024^FE_ESTIMATE(EPS,MEAN,ANNUAL_ROLL,2022,45868,,,'')&lt;/Q&gt;&lt;R&gt;1&lt;/R&gt;&lt;C&gt;1&lt;/C&gt;&lt;D xsi:type="xsd:double"&gt;9.21&lt;/D&gt;&lt;/FQL&gt;&lt;FQL&gt;&lt;Q&gt;Ticker0024^FE_ESTIMATE(EPS,MEAN,QUARTERLY_ROLL,2022/4F,45868,,,'')&lt;/Q&gt;&lt;R&gt;1&lt;/R&gt;&lt;C&gt;1&lt;/C&gt;&lt;D xsi:type="xsd:double"&gt;2.23&lt;/D&gt;&lt;/FQL&gt;&lt;FQL&gt;&lt;Q&gt;Ticker0024^FE_ESTIMATE(EPS,MEAN,QUARTERLY_ROLL,2022/3F,45868,,,'')&lt;/Q&gt;&lt;R&gt;1&lt;/R&gt;&lt;C&gt;1&lt;/C&gt;&lt;D xsi:type="xsd:double"&gt;2.22&lt;/D&gt;&lt;/FQL&gt;&lt;FQL&gt;&lt;Q&gt;Ticker0024^FE_ESTIMATE(EPS,MEAN,QUARTERLY_ROLL,2022/2F,45868,,,'')&lt;/Q&gt;&lt;R&gt;1&lt;/R&gt;&lt;C&gt;1&lt;/C&gt;&lt;D xsi:type="xsd:double"&gt;2.48&lt;/D&gt;&lt;/FQL&gt;&lt;FQL&gt;&lt;Q&gt;Ticker0024^FE_ESTIMATE(EPS,MEAN,QUARTERLY_ROLL,2022/1F,45868,,,'')&lt;/Q&gt;&lt;R&gt;1&lt;/R&gt;&lt;C&gt;1&lt;/C&gt;&lt;D xsi:type="xsd:double"&gt;2.27&lt;/D&gt;&lt;/FQL&gt;&lt;FQL&gt;&lt;Q&gt;Ticker0024^FE_ESTIMATE(EPS,MEAN,ANNUAL_ROLL,2021,45868,,,'')&lt;/Q&gt;&lt;R&gt;1&lt;/R&gt;&lt;C&gt;1&lt;/C&gt;&lt;D xsi:type="xsd:double"&gt;7.97&lt;/D&gt;&lt;/FQL&gt;&lt;FQL&gt;&lt;Q&gt;Ticker0024^FE_ESTIMATE(EPS,MEAN,QUARTERLY_ROLL,2021/4F,45868,,,'')&lt;/Q&gt;&lt;R&gt;1&lt;/R&gt;&lt;C&gt;1&lt;/C&gt;&lt;D xsi:type="xsd:double"&gt;2.17&lt;/D&gt;&lt;/FQL&gt;&lt;FQL&gt;&lt;Q&gt;Ticker0024^FE_ESTIMATE(EPS,MEAN,QUARTERLY_ROLL,2021/3F,45868,,,'')&lt;/Q&gt;&lt;R&gt;1&lt;/R&gt;&lt;C&gt;1&lt;/C&gt;&lt;D xsi:type="xsd:double"&gt;1.95&lt;/D&gt;&lt;/FQL&gt;&lt;FQL&gt;&lt;Q&gt;Ticker0024^FE_ESTIMATE(EPS,MEAN,QUARTERLY_ROLL,2021/2F,45868,,,'')&lt;/Q&gt;&lt;R&gt;1&lt;/R&gt;&lt;C&gt;1&lt;/C&gt;&lt;D xsi:type="xsd:double"&gt;2.03&lt;/D&gt;&lt;/FQL&gt;&lt;FQL&gt;&lt;Q&gt;Ticker0024^FE_ESTIMATE(EPS,MEAN,QUARTERLY_ROLL,2021/1F,45868,,,'')&lt;/Q&gt;&lt;R&gt;1&lt;/R&gt;&lt;C&gt;1&lt;/C&gt;&lt;D xsi:type="xsd:double"&gt;1.82&lt;/D&gt;&lt;/FQL&gt;&lt;FQL&gt;&lt;Q&gt;Ticker0024^FE_ESTIMATE(EPS,MEAN,ANNUAL_ROLL,2020,45868,,,'')&lt;/Q&gt;&lt;R&gt;1&lt;/R&gt;&lt;C&gt;1&lt;/C&gt;&lt;D xsi:type="xsd:double"&gt;5.76&lt;/D&gt;&lt;/FQL&gt;&lt;FQL&gt;&lt;Q&gt;Ticker0024^FE_ESTIMATE(EPS,MEAN,QUARTERLY_ROLL,2020/4F,45868,,,'')&lt;/Q&gt;&lt;R&gt;1&lt;/R&gt;&lt;C&gt;1&lt;/C&gt;&lt;D xsi:type="xsd:double"&gt;1.46&lt;/D&gt;&lt;/FQL&gt;&lt;FQL&gt;&lt;Q&gt;Ticker0024^FE_ESTIMATE(EPS,MEAN,QUARTERLY_ROLL,2020/3F,45868,,,'')&lt;/Q&gt;&lt;R&gt;1&lt;/R&gt;&lt;C&gt;1&lt;/C&gt;&lt;D xsi:type="xsd:double"&gt;1.4&lt;/D&gt;&lt;/FQL&gt;&lt;FQL&gt;&lt;Q&gt;Ticker0024^FE_ESTIMATE(EPS,MEAN,QUARTERLY_ROLL,2020/2F,45868,,,'')&lt;/Q&gt;&lt;R&gt;1&lt;/R&gt;&lt;C&gt;1&lt;/C&gt;&lt;D xsi:type="xsd:double"&gt;1.51&lt;/D&gt;&lt;/FQL&gt;&lt;FQL&gt;&lt;Q&gt;Ticker0024^FE_ESTIMATE(EPS,MEAN,QUARTERLY_ROLL,2020/1F,45868,,,'')&lt;/Q&gt;&lt;R&gt;1&lt;/R&gt;&lt;C&gt;1&lt;/C&gt;&lt;D xsi:type="xsd:double"&gt;1.38&lt;/D&gt;&lt;/FQL&gt;&lt;FQL&gt;&lt;Q&gt;Ticker0024^FE_ESTIMATE(EAG,MEAN,ANNUAL_ROLL,2030,45868,,,'')&lt;/Q&gt;&lt;R&gt;1&lt;/R&gt;&lt;C&gt;1&lt;/C&gt;&lt;D xsi:type="xsd:double"&gt;27.53&lt;/D&gt;&lt;/FQL&gt;&lt;FQL&gt;&lt;Q&gt;Ticker0024^FE_ESTIMATE(EAG,MEAN,QUARTERLY_ROLL,2030/4F,45868,,,'')&lt;/Q&gt;&lt;R&gt;0&lt;/R&gt;&lt;C&gt;0&lt;/C&gt;&lt;/FQL&gt;&lt;FQL&gt;&lt;Q&gt;Ticker0024^FE_ESTIMATE(EAG,MEAN,QUARTERLY_ROLL,2030/3F,45868,,,'')&lt;/Q&gt;&lt;R&gt;0&lt;/R&gt;&lt;C&gt;0&lt;/C&gt;&lt;/FQL&gt;&lt;FQL&gt;&lt;Q&gt;Ticker0024^FE_ESTIMATE(EAG,MEAN,QUARTERLY_ROLL,2030/2F,45868,,,'')&lt;/Q&gt;&lt;R&gt;0&lt;/R&gt;&lt;C&gt;0&lt;/C&gt;&lt;/FQL&gt;&lt;FQL&gt;&lt;Q&gt;Ticker0024^FE_ESTIMATE(EAG,MEAN,QUARTERLY_ROLL,2030/1F,45868,,,'')&lt;/Q&gt;&lt;R&gt;0&lt;/R&gt;&lt;C&gt;0&lt;/C&gt;&lt;/FQL&gt;&lt;FQL&gt;&lt;Q&gt;Ticker0024^FE_ESTIMATE(EAG,MEAN,ANNUAL_ROLL,2029,45868,,,'')&lt;/Q&gt;&lt;R&gt;1&lt;/R&gt;&lt;C&gt;1&lt;/C&gt;&lt;D xsi:type="xsd:double"&gt;23.75&lt;/D&gt;&lt;/FQL&gt;&lt;FQL&gt;&lt;Q&gt;Ticker0024^FE_ESTIMATE(EAG,MEAN,QUARTERLY_ROLL,2029/4F,45868,,,'')&lt;/Q&gt;&lt;R&gt;0&lt;/R&gt;&lt;C&gt;0&lt;/C&gt;&lt;/FQL&gt;&lt;FQL&gt;&lt;Q&gt;Ticker0024^FE_ESTIMATE(EAG,MEAN,QUARTERLY_ROLL,2029/3F,45868,,,'')&lt;/Q&gt;&lt;R&gt;0&lt;/R&gt;&lt;C&gt;0&lt;/C&gt;&lt;/FQL&gt;&lt;FQL&gt;&lt;Q&gt;Ticker0024^FE_ESTIMATE(EAG,MEAN,QUARTERLY_ROLL,2029/2F,45868,,,'')&lt;/Q&gt;&lt;R&gt;0&lt;/R&gt;&lt;C&gt;0&lt;/C&gt;&lt;/FQL&gt;&lt;FQL&gt;&lt;Q&gt;Ticker0024^FE_ESTIMATE(EAG,MEAN,QUARTERLY_ROLL,2029/1F,45868,,,'')&lt;/Q&gt;&lt;R&gt;0&lt;/R&gt;&lt;C&gt;0&lt;/C&gt;&lt;/FQL&gt;&lt;FQL&gt;&lt;Q&gt;Ticker0024^FE_ESTIMATE(EAG,MEAN,ANNUAL_ROLL,2028,45868,,,'')&lt;/Q&gt;&lt;R&gt;1&lt;/R&gt;&lt;C&gt;1&lt;/C&gt;&lt;D xsi:type="xsd:double"&gt;21.365824&lt;/D&gt;&lt;/FQL&gt;&lt;FQL&gt;&lt;Q&gt;Ticker0024^FE_ESTIMATE(EAG,MEAN,QUARTERLY_ROLL,2028/4F,45868,,,'')&lt;/Q&gt;&lt;R&gt;0&lt;/R&gt;&lt;C&gt;0&lt;/C&gt;&lt;/FQL&gt;&lt;FQL&gt;&lt;Q&gt;Ticker0024^FE_ESTIMATE(EAG,MEAN,QUARTERLY_ROLL,2028/3F,45868,,,'')&lt;/Q&gt;&lt;R&gt;0&lt;/R&gt;&lt;C&gt;0&lt;/C&gt;&lt;/FQL&gt;&lt;FQL&gt;&lt;Q&gt;Ticker0024^FE_ESTIMATE(EAG,MEAN,QUARTERLY_ROLL,2028/2F,45868,,,'')&lt;/Q&gt;&lt;R&gt;0&lt;/R&gt;&lt;C&gt;0&lt;/C&gt;&lt;/FQL&gt;&lt;FQL&gt;&lt;Q&gt;Ticker0024^FE_ESTIMATE(EAG,MEAN,QUARTERLY_ROLL,2028/1F,45868,,,'')&lt;/Q&gt;&lt;R&gt;0&lt;/R&gt;&lt;C&gt;0&lt;/C&gt;&lt;/FQL&gt;&lt;FQL&gt;&lt;Q&gt;Ticker0024^FE_ESTIMATE(EAG,MEAN,ANNUAL_ROLL,2027,45868,,,'')&lt;/Q&gt;&lt;R&gt;1&lt;/R&gt;&lt;C&gt;1&lt;/C&gt;&lt;D xsi:type="xsd:double"&gt;17.808706&lt;/D&gt;&lt;/FQL&gt;&lt;FQL&gt;&lt;Q&gt;Ticker0024^FE_ESTIMATE(EAG,MEAN,QUARTERLY_ROLL,2027/4F,45868,,,'')&lt;/Q&gt;&lt;R&gt;1&lt;/R&gt;&lt;C&gt;1&lt;/C&gt;&lt;D xsi:type="xsd:double"&gt;4.510975&lt;/D&gt;&lt;/FQL&gt;&lt;FQL&gt;&lt;Q&gt;Ticker0024^FE_ESTIMATE(EAG,MEAN,QUARTERLY_ROLL,2027/3F,45868,,,'')&lt;/Q&gt;&lt;R&gt;1&lt;/R&gt;&lt;C&gt;1&lt;/C&gt;&lt;D xsi:type="xsd:double"&gt;4.3987184&lt;/D&gt;&lt;/FQL&gt;&lt;FQL&gt;&lt;Q&gt;Ticker0024^FE_ESTIMATE(EAG,MEAN,QUARTERLY_ROLL,2027/2F,45868,,,'')&lt;/Q&gt;&lt;R&gt;1&lt;/R&gt;&lt;C&gt;1&lt;/C&gt;&lt;D xsi:type="xsd:double"&gt;4.3304105&lt;/D&gt;&lt;/FQL&gt;&lt;FQL&gt;&lt;Q&gt;Ticker0024^FE_ESTIMATE(EAG,MEAN,QUARTERLY_ROLL,2027/1F,45868,,,'')&lt;/Q&gt;&lt;R&gt;1&lt;/R&gt;&lt;C&gt;1&lt;/C&gt;&lt;D xsi:type="xsd:double"&gt;4.141017&lt;/D&gt;&lt;/FQL&gt;&lt;FQL&gt;&lt;Q&gt;Ticker0024^FE_ESTIMATE(EAG,MEAN,ANNUAL_ROLL,2026,45868,,,'')&lt;/Q&gt;&lt;R&gt;1&lt;/R&gt;&lt;C&gt;1&lt;/C&gt;&lt;D xsi:type="xsd:double"&gt;15.266956&lt;/D&gt;&lt;/FQL&gt;&lt;FQL&gt;&lt;Q&gt;Ticker0024^FE_ESTIMATE(EAG,MEAN,QUARTERLY_ROLL,2026/4F,45868,,,'')&lt;/Q&gt;&lt;R&gt;1&lt;/R&gt;&lt;C&gt;1&lt;/C&gt;&lt;D xsi:type="xsd:double"&gt;3.9100695&lt;/D&gt;&lt;/FQL&gt;&lt;FQL&gt;&lt;Q&gt;Ticker0024^FE_ESTIMATE(EAG,MEAN,QUARTERLY_ROLL,2026/3F,45868,,,'')&lt;/Q&gt;&lt;R&gt;1&lt;/R&gt;&lt;C&gt;1&lt;/C&gt;&lt;D xsi:type="xsd:double"&gt;3.8110728&lt;/D&gt;&lt;/FQL&gt;&lt;FQL&gt;&lt;Q&gt;Ticker0024^FE_ESTIMATE(EAG,MEAN,QUARTERLY_ROLL,2026/2F,45868,,,'')&lt;/Q&gt;&lt;R&gt;1&lt;/R&gt;&lt;C&gt;1&lt;/C&gt;&lt;D xsi:type="xsd:double"&gt;3.776864&lt;/D&gt;&lt;/FQL&gt;&lt;FQL&gt;&lt;Q&gt;Ticker0024^FE_ESTIMATE(EAG,MEAN,QUARTERLY_ROLL,2026/1F,45868,,,'')&lt;/Q&gt;&lt;R&gt;1&lt;/R&gt;&lt;C&gt;1&lt;/C&gt;&lt;D xsi:type="xsd:double"&gt;3.562666&lt;/D&gt;&lt;/FQL&gt;&lt;FQL&gt;&lt;Q&gt;Ticker0024^FE_ESTIMATE(EAG,MEAN,ANNUAL_ROLL,2025,45868,,,'')&lt;/Q&gt;&lt;R&gt;1&lt;/R&gt;&lt;C&gt;1&lt;/C&gt;&lt;D xsi:type="xsd:double"&gt;13.395293&lt;/D&gt;&lt;/FQL&gt;&lt;FQL&gt;&lt;Q&gt;Ticker0024^FE_ESTIMATE(EAG,MEAN,QUARTERLY_ROLL,2025/4F,45868,,,'')&lt;/Q&gt;&lt;R&gt;1&lt;/R&gt;&lt;C&gt;1&lt;/C&gt;&lt;D xsi:type="xsd:double"&gt;3.3761268&lt;/D&gt;&lt;/FQL&gt;&lt;FQL&gt;&lt;Q&gt;Ticker0024^FE_ESTIMATE(EAG,MEAN,QUARTERLY_ROLL,2025/3F,45868,,,'')&lt;/Q&gt;&lt;R&gt;1&lt;/R&gt;&lt;C&gt;1&lt;/C&gt;&lt;D xsi:type="xsd:double"&gt;3.46&lt;/D&gt;&lt;/FQL&gt;&lt;FQL&gt;&lt;Q&gt;Ticker0024^FE_ESTIMATE(EAG,MEAN,QUARTERLY_ROLL,2025/2F,45868,,,'')&lt;/Q&gt;&lt;R&gt;1&lt;/R&gt;&lt;C&gt;1&lt;/C&gt;&lt;D xsi:type="xsd:double"&gt;3.23&lt;/D&gt;&lt;/FQL&gt;&lt;FQL&gt;&lt;Q&gt;Ticker0024^FE_ESTIMATE(EAG,MEAN,QUARTERLY_ROLL,2025/1F,45868,,,'')&lt;/Q&gt;&lt;R&gt;1&lt;/R&gt;&lt;C&gt;1&lt;/C&gt;&lt;D xsi:type="xsd:double"&gt;3.3&lt;/D&gt;&lt;/FQL&gt;&lt;FQL&gt;&lt;Q&gt;Ticker0024^FE_ESTIMATE(EAG,MEAN,ANNUAL_ROLL,2024,45868,,,'')&lt;/Q&gt;&lt;R&gt;1&lt;/R&gt;&lt;C&gt;1&lt;/C&gt;&lt;D xsi:type="xsd:double"&gt;11.8&lt;/D&gt;&lt;/FQL&gt;&lt;FQL&gt;&lt;Q&gt;Ticker0024^FE_ESTIMATE(EAG,MEAN,QUARTERLY_ROLL,2024/4F,45868,,,'')&lt;/Q&gt;&lt;R&gt;1&lt;/R&gt;&lt;C&gt;1&lt;/C&gt;&lt;D xsi:type="xsd:double"&gt;2.95&lt;/D&gt;&lt;/FQL&gt;&lt;FQL&gt;&lt;Q&gt;Ticker0024^FE_ESTIMATE(EAG,MEAN,QUARTERLY_ROLL,2024/3F,45868,,,'')&lt;/Q&gt;&lt;R&gt;1&lt;/R&gt;&lt;C&gt;1&lt;/C&gt;&lt;D xsi:type="xsd:double"&gt;2.94&lt;/D&gt;&lt;/FQL&gt;&lt;FQL&gt;&lt;Q&gt;Ticker0024^FE_ESTIMATE(EAG,MEAN,QUARTERLY_ROLL,2024/2F,45868,,,'')&lt;/Q&gt;&lt;R&gt;1&lt;/R&gt;&lt;C&gt;1&lt;/C&gt;&lt;D xsi:type="xsd:double"&gt;2.93&lt;/D&gt;&lt;/FQL&gt;&lt;FQL&gt;&lt;Q&gt;Ticker0024^FE_ESTIMATE(EAG,MEAN,QUARTERLY_ROLL,2024/1F,45868,,,'')&lt;/Q&gt;&lt;R&gt;1&lt;/R&gt;&lt;C&gt;1&lt;/C&gt;&lt;D xsi:type="xsd:double"&gt;2.99&lt;/D&gt;&lt;/FQL&gt;&lt;FQL&gt;&lt;Q&gt;Ticker0024^FE_ESTIMATE(EAG,MEAN,ANNUAL_ROLL,2023,45868,,,'')&lt;/Q&gt;&lt;R&gt;1&lt;/R&gt;&lt;C&gt;1&lt;/C&gt;&lt;D xsi:type="xsd:double"&gt;9.68&lt;/D&gt;&lt;/FQL&gt;&lt;FQL&gt;&lt;Q&gt;Ticker0024^FE_ESTIMATE(EAG,MEAN,QUARTERLY_ROLL,2023/4F,45868,,,'')&lt;/Q&gt;&lt;R&gt;1&lt;/R&gt;&lt;C&gt;1&lt;/C&gt;&lt;D xsi:type="xsd:double"&gt;2.69&lt;/D&gt;&lt;/FQL&gt;&lt;FQL&gt;&lt;Q&gt;Ticker0024^FE_ESTIMATE(EAG,MEAN,QUARTERLY_ROLL,2023/3F,45868,,,'')&lt;/Q&gt;&lt;R&gt;1&lt;/R&gt;&lt;C&gt;1&lt;/C&gt;&lt;D xsi:type="xsd:double"&gt;2.4501362&lt;/D&gt;&lt;/FQL&gt;&lt;FQL&gt;&lt;Q&gt;Ticker0024^FE_ESTIMATE(EAG,MEAN,QUARTERLY_ROLL,2023/2F,45868,,,'')&lt;/Q&gt;&lt;R&gt;1&lt;/R&gt;&lt;C&gt;1&lt;/C&gt;&lt;D xsi:type="xsd:double"&gt;2.2&lt;/D&gt;&lt;/FQL&gt;&lt;FQL&gt;&lt;Q&gt;Ticker0024^FE_ESTIMATE(EAG,MEAN,QUARTERLY_ROLL,2023/1F,45868,,,'')&lt;/Q&gt;&lt;R&gt;1&lt;/R&gt;&lt;C&gt;1&lt;/C&gt;&lt;D xsi:type="xsd:double"&gt;2.35&lt;/D&gt;&lt;/FQL&gt;&lt;FQL&gt;&lt;Q&gt;Ticker0024^FE_ESTIMATE(EAG,MEAN,ANNUAL_ROLL,2022,45868,,,'')&lt;/Q&gt;&lt;R&gt;1&lt;/R&gt;&lt;C&gt;1&lt;/C&gt;&lt;D xsi:type="xsd:double"&gt;9.65&lt;/D&gt;&lt;/FQL&gt;&lt;FQL&gt;&lt;Q&gt;Ticker0024^FE_ESTIMATE(EAG,MEAN,QUARTERLY_ROLL,2022/4F,45868,,,'')&lt;/Q&gt;&lt;R&gt;1&lt;/R&gt;&lt;C&gt;1&lt;/C&gt;&lt;D xsi:type="xsd:double"&gt;2.23&lt;/D&gt;&lt;/FQL&gt;&lt;FQL&gt;&lt;Q&gt;Ticker0024^FE_ESTIMATE(EAG,MEAN,QUARTERLY_ROLL,2022/3F,45868,,,'')&lt;/Q&gt;&lt;R&gt;1&lt;/R&gt;&lt;C&gt;1&lt;/C&gt;&lt;D xsi:type="xsd:double"&gt;2.22&lt;/D&gt;&lt;/FQL&gt;&lt;FQL&gt;&lt;Q&gt;Ticker0024^FE_ESTIMATE(EAG,MEAN,QUARTERLY_ROLL,2022/2F,45868,,,'')&lt;/Q&gt;&lt;R&gt;1&lt;/R&gt;&lt;C&gt;1&lt;/C&gt;&lt;D xsi:type="xsd:double"&gt;2.48&lt;/D&gt;&lt;/FQL&gt;&lt;FQL&gt;&lt;Q&gt;Ticker0024^FE_ESTIMATE(EAG,MEAN,QUARTERLY_ROLL,2022/1F,45868,,,'')&lt;/Q&gt;&lt;R&gt;1&lt;/R&gt;&lt;C&gt;1&lt;/C&gt;&lt;D xsi:type="xsd:double"&gt;2.71&lt;/D&gt;&lt;/FQL&gt;&lt;FQL&gt;&lt;Q&gt;Ticker0024^FE_ESTIMATE(EAG,MEAN,ANNUAL_ROLL,2021,45868,,,'')&lt;/Q&gt;&lt;R&gt;1&lt;/R&gt;&lt;C&gt;1&lt;/C&gt;&lt;D xsi:type="xsd:double"&gt;8.05&lt;/D&gt;&lt;/FQL&gt;&lt;FQL&gt;&lt;Q&gt;Ticker0024^FE_ESTIMATE(EAG,MEAN,QUARTERLY_ROLL,2021/4F,45868,,,'')&lt;/Q&gt;&lt;R&gt;1&lt;/R&gt;&lt;C&gt;1&lt;/C&gt;&lt;D xsi:type="xsd:double"&gt;2.17&lt;/D&gt;&lt;/FQL&gt;&lt;FQL&gt;&lt;Q&gt;Ticker0024^FE_ESTIMATE(EAG,MEAN,QUARTERLY_ROLL,2021/3F,45868,,,'')&lt;/Q&gt;&lt;R&gt;1&lt;/R&gt;&lt;C&gt;1&lt;/C&gt;&lt;D xsi:type="xsd:double"&gt;2.03&lt;/D&gt;&lt;/FQL&gt;&lt;FQL&gt;&lt;Q&gt;Ticker0024^FE_ESTIMATE(EAG,MEAN,QUARTERLY_ROLL,2021/2F,45868,,,'')&lt;/Q&gt;&lt;R&gt;1&lt;/R&gt;&lt;C&gt;1&lt;/C&gt;&lt;D xsi:type="xsd:double"&gt;2.03&lt;/D&gt;&lt;/FQL&gt;&lt;FQL&gt;&lt;Q&gt;Ticker0024^FE_ESTIMATE(EAG,MEAN,QUARTERLY_ROLL,2021/1F,45868,,,'')&lt;/Q&gt;&lt;R&gt;1&lt;/R&gt;&lt;C&gt;1&lt;/C&gt;&lt;D xsi:type="xsd:double"&gt;1.82&lt;/D&gt;&lt;/FQL&gt;&lt;FQL&gt;&lt;Q&gt;Ticker0024^FE_ESTIMATE(EAG,MEAN,ANNUAL_ROLL,2020,45868,,,'')&lt;/Q&gt;&lt;R&gt;1&lt;/R&gt;&lt;C&gt;1&lt;/C&gt;&lt;D xsi:type="xsd:double"&gt;5.76&lt;/D&gt;&lt;/FQL&gt;&lt;FQL&gt;&lt;Q&gt;Ticker0024^FE_ESTIMATE(EAG,MEAN,QUARTERLY_ROLL,2020/4F,45868,,,'')&lt;/Q&gt;&lt;R&gt;1&lt;/R&gt;&lt;C&gt;1&lt;/C&gt;&lt;D xsi:type="xsd:double"&gt;1.46&lt;/D&gt;&lt;/FQL&gt;&lt;FQL&gt;&lt;Q&gt;Ticker0024^FE_ESTIMATE(EAG,MEAN,QUARTERLY_ROLL,2020/3F,45868,,,'')&lt;/Q&gt;&lt;R&gt;1&lt;/R&gt;&lt;C&gt;1&lt;/C&gt;&lt;D xsi:type="xsd:double"&gt;1.4&lt;/D&gt;&lt;/FQL&gt;&lt;FQL&gt;&lt;Q&gt;Ticker0024^FE_ESTIMATE(EAG,MEAN,QUARTERLY_ROLL,2020/2F,45868,,,'')&lt;/Q&gt;&lt;R&gt;1&lt;/R&gt;&lt;C&gt;1&lt;/C&gt;&lt;D xsi:type="xsd:double"&gt;1.51&lt;/D&gt;&lt;/FQL&gt;&lt;FQL&gt;&lt;Q&gt;Ticker0024^FE_ESTIMATE(EAG,MEAN,QUARTERLY_ROLL,2020/1F,45868,,,'')&lt;/Q&gt;&lt;R&gt;1&lt;/R&gt;&lt;C&gt;1&lt;/C&gt;&lt;D xsi:type="xsd:double"&gt;1.38&lt;/D&gt;&lt;/FQL&gt;&lt;FQL&gt;&lt;Q&gt;Ticker0024^FE_ESTIMATE(EBIT,MEAN,ANNUAL_ROLL,2030,45868,,,'')&lt;/Q&gt;&lt;R&gt;0&lt;/R&gt;&lt;C&gt;0&lt;/C&gt;&lt;/FQL&gt;&lt;FQL&gt;&lt;Q&gt;Ticker0024^FE_ESTIMATE(EBIT,MEAN,QUARTERLY_ROLL,2030/4F,45868,,,'')&lt;/Q&gt;&lt;R&gt;0&lt;/R&gt;&lt;C&gt;0&lt;/C&gt;&lt;/FQL&gt;&lt;FQL&gt;&lt;Q&gt;Ticker0024^FE_ESTIMATE(EBIT,MEAN,QUARTERLY_ROLL,2030/3F,45868,,,'')&lt;/Q&gt;&lt;R&gt;0&lt;/R&gt;&lt;C&gt;0&lt;/C&gt;&lt;/FQL&gt;&lt;FQL&gt;&lt;Q&gt;Ticker0024^FE_ESTIMATE(EBIT,MEAN,QUARTERLY_ROLL,2030/2F,45868,,,'')&lt;/Q&gt;&lt;R&gt;0&lt;/R&gt;&lt;C&gt;0&lt;/C&gt;&lt;/FQL&gt;&lt;FQL&gt;&lt;Q&gt;Ticker0024^FE_ESTIMATE(EBIT,MEAN,QUARTERLY_ROLL,2030/1F,45868,,,'')&lt;/Q&gt;&lt;R&gt;0&lt;/R&gt;&lt;C&gt;0&lt;/C&gt;&lt;/FQL&gt;&lt;FQL&gt;&lt;Q&gt;Ticker0024^FE_ESTIMATE(EBIT,MEAN,ANNUAL_ROLL,2029,45868,,,'')&lt;/Q&gt;&lt;R&gt;1&lt;/R&gt;&lt;C&gt;1&lt;/C&gt;&lt;D xsi:type="xsd:double"&gt;218432.2&lt;/D&gt;&lt;/FQL&gt;&lt;FQL&gt;&lt;Q&gt;Ticker0024^FE_ESTIMATE(EBIT,MEAN,QUARTERLY_ROLL,2029/4F,45868,,,'')&lt;/Q&gt;&lt;R&gt;0&lt;/R&gt;&lt;C&gt;0&lt;/C&gt;&lt;/FQL&gt;&lt;FQL&gt;&lt;Q&gt;Ticker0024^FE_ESTIMATE(EBIT,MEAN,QUARTERLY_ROLL,2029/3F,45868,,,'')&lt;/Q&gt;&lt;R&gt;0&lt;/R&gt;&lt;C&gt;0&lt;/C&gt;&lt;/FQL&gt;&lt;FQL&gt;&lt;Q&gt;Ticker0024^FE_ESTIMATE(EBIT,MEAN,QUARTERLY_ROLL,2029/2F,45868,,,'')&lt;/Q&gt;&lt;R&gt;0&lt;/R&gt;&lt;C&gt;0&lt;/C&gt;&lt;/FQL&gt;&lt;FQL&gt;&lt;Q&gt;Ticker0024^FE_ESTIMATE(EBIT,MEAN,QUARTERLY_ROLL,2029/1F,45868,,,'')&lt;/Q&gt;&lt;R&gt;0&lt;/R&gt;&lt;C&gt;0&lt;/C&gt;&lt;/FQL&gt;&lt;FQL&gt;&lt;Q&gt;Ticker0024^FE_ESTIMATE(EBIT,MEAN,ANNUAL_ROLL,2028,45868,,,'')&lt;/Q&gt;&lt;R&gt;1&lt;/R&gt;&lt;C&gt;1&lt;/C&gt;&lt;D xsi:type="xsd:double"&gt;191255.89&lt;/D&gt;&lt;/FQL&gt;&lt;FQL&gt;&lt;Q&gt;Ticker0024^FE_ESTIMATE(EBIT,MEAN,QUARTERLY_ROLL,2028/4F,45868,,,'')&lt;/Q&gt;&lt;R&gt;0&lt;/R&gt;&lt;C&gt;0&lt;/C&gt;&lt;/FQL&gt;&lt;FQL&gt;&lt;Q&gt;Ticker0024^FE_ESTIMATE(EBIT,MEAN,QUARTERLY_ROLL,2028/3F,45868,,,'')&lt;/Q&gt;&lt;R&gt;0&lt;/R&gt;&lt;C&gt;0&lt;/C&gt;&lt;/FQL&gt;&lt;FQL&gt;&lt;Q&gt;Ticker0024^FE_ESTIMATE(EBIT,MEAN,QUARTERLY_ROLL,2028/2F,45868,,,'')&lt;/Q&gt;&lt;R&gt;0&lt;/R&gt;&lt;C&gt;0&lt;/C&gt;&lt;/FQL&gt;&lt;FQL&gt;&lt;Q&gt;Ticker0024^FE_ESTIMATE(EBIT,MEAN,QUARTERLY_ROLL,2028/1F,45868,,,'')&lt;/Q&gt;&lt;R&gt;0&lt;/R&gt;&lt;C&gt;0&lt;/C&gt;&lt;/FQL&gt;&lt;FQL&gt;&lt;Q&gt;Ticker0024^FE_ESTIMATE(EBIT,MEAN,ANNUAL_ROLL,2027,45868,,,'')&lt;/Q&gt;&lt;R&gt;1&lt;/R&gt;&lt;C&gt;1&lt;/C&gt;&lt;D xsi:type="xsd:double"&gt;165159.67&lt;/D&gt;&lt;/FQL&gt;&lt;FQL&gt;&lt;Q&gt;Ticker0024^FE_ESTIMATE(EBIT,MEAN,QUARTERLY_ROLL,2027/4F,45868,,,'')&lt;/Q&gt;&lt;R&gt;1&lt;/R&gt;&lt;C&gt;1&lt;/C&gt;&lt;D xsi:type="xsd:double"&gt;41888.656&lt;/D&gt;&lt;/FQL&gt;&lt;FQL&gt;&lt;Q&gt;Ticker0024^FE_ESTIMATE(EBIT,MEAN,QUARTERLY_ROLL,2027/3F,45868,,,'')&lt;/Q&gt;&lt;R&gt;1&lt;/R&gt;&lt;C&gt;1&lt;/C&gt;&lt;D xsi:type="xsd:double"&gt;40887.4&lt;/D&gt;&lt;/FQL&gt;&lt;FQL&gt;&lt;Q&gt;Ticker0024^FE_ESTIMATE(EBIT,MEAN,QUARTERLY_ROLL,2027/2F,45868,,,'')&lt;/Q&gt;&lt;R&gt;1&lt;/R&gt;&lt;C&gt;1&lt;/C&gt;&lt;D xsi:type="xsd:double"&gt;40388.08&lt;/D&gt;&lt;/FQL&gt;&lt;FQL&gt;&lt;Q&gt;Ticker0024^FE_ESTIMATE(EBIT,MEAN,QUARTERLY_ROLL,2027/1F,45868,,,'')&lt;/Q&gt;&lt;R&gt;1&lt;/R&gt;&lt;C&gt;1&lt;/C&gt;&lt;D xsi:type="xsd:double"&gt;38605.445&lt;/D&gt;&lt;/FQL&gt;&lt;FQL&gt;&lt;Q&gt;Ticker0024^FE_ESTIMATE(EBIT,MEAN,ANNUAL_ROLL,2026,45868,,,'')&lt;/Q&gt;&lt;R&gt;1&lt;/R&gt;&lt;C&gt;1&lt;/C&gt;&lt;D xsi:type="xsd:double"&gt;143005.08&lt;/D&gt;&lt;/FQL&gt;&lt;FQL&gt;&lt;Q&gt;Ticker0024^FE_ESTIMATE(EBIT,MEAN,QUARTERLY_ROLL,2026/4F,45868,,,'')&lt;/Q&gt;&lt;R&gt;1&lt;/R&gt;&lt;C&gt;1&lt;/C&gt;&lt;D xsi:type="xsd:double"&gt;36968.777&lt;/D&gt;&lt;/FQL&gt;&lt;FQL&gt;&lt;Q&gt;Ticker0024^FE_ESTIMATE(EBIT,MEAN,QUARTERLY_ROLL,2026/3F,45868,,,'')&lt;/Q&gt;&lt;R&gt;1&lt;/R&gt;&lt;C&gt;1&lt;/C&gt;&lt;D xsi:type="xsd:double"&gt;36046.516&lt;/D&gt;&lt;/FQL&gt;&lt;FQL&gt;&lt;Q&gt;Ticker0024^FE_ESTIMATE(EBIT,MEAN,QUARTERLY_ROLL,2026/2F,45868,,,'')&lt;/Q&gt;&lt;R&gt;1&lt;/R&gt;&lt;C&gt;1&lt;/C&gt;&lt;D xsi:type="xsd:double"&gt;35475.48&lt;/D&gt;&lt;/FQL&gt;&lt;FQL&gt;&lt;Q&gt;Ticker0024^FE_ESTIMATE(EBIT,MEAN,QUARTERLY_ROLL,2026/1F,45868,,,'')&lt;/Q&gt;&lt;R&gt;1&lt;/R&gt;&lt;C&gt;1&lt;/C&gt;&lt;D xsi:type="xsd:double"&gt;33925.168&lt;/D&gt;&lt;/FQL&gt;&lt;FQL&gt;&lt;Q&gt;Ticker0024^FE_ESTIMATE(EBIT,MEAN,ANNUAL_ROLL,2025,45868,,,'')&lt;/Q&gt;&lt;R&gt;1&lt;/R&gt;&lt;C&gt;1&lt;/C&gt;&lt;D xsi:type="xsd:double"&gt;126246.586&lt;/D&gt;&lt;/FQL&gt;&lt;FQL&gt;&lt;Q&gt;Ticker0024^FE_ESTIMATE(EBIT,MEAN,QUARTERLY_ROLL,2025/4F,45868,,,'')&lt;/Q&gt;&lt;R&gt;1&lt;/R&gt;&lt;C&gt;1&lt;/C&gt;&lt;D xsi:type="xsd:double"&gt;32220.092&lt;/D&gt;&lt;/FQL&gt;&lt;FQL&gt;&lt;Q&gt;Ticker0024^FE_ESTIMATE(EBIT,MEAN,QUARTERLY_ROLL,2025/3F,45868,,,'')&lt;/Q&gt;&lt;R&gt;1&lt;/R&gt;&lt;C&gt;1&lt;/C&gt;&lt;D xsi:type="xsd:double"&gt;32000&lt;/D&gt;&lt;/FQL&gt;&lt;FQL&gt;&lt;Q&gt;Ticker0024^FE_ESTIMATE(EBIT,MEAN,QUARTERLY_ROLL,2025/2F,45868,,,'')&lt;/Q&gt;&lt;R&gt;1&lt;/R&gt;&lt;C&gt;1&lt;/C&gt;&lt;D xsi:type="xsd:double"&gt;31654.076&lt;/D&gt;&lt;/FQL&gt;&lt;FQL&gt;&lt;Q&gt;Ticker0024^FE_ESTIMATE(EBIT,MEAN,QUARTERLY_ROLL,2025/1F,45868,,,'')&lt;/Q&gt;&lt;R&gt;1&lt;/R&gt;&lt;C&gt;1&lt;/C&gt;&lt;D xsi:type="xsd:double"&gt;30535.146&lt;/D&gt;&lt;/FQL&gt;&lt;FQL&gt;&lt;Q&gt;Ticker0024^FE_ESTIMATE(EBIT,MEAN,ANNUAL_ROLL,2024,45868,,,'')&lt;/Q&gt;&lt;R&gt;1&lt;/R&gt;&lt;C&gt;1&lt;/C&gt;&lt;D xsi:type="xsd:double"&gt;109729.96&lt;/D&gt;&lt;/FQL&gt;&lt;FQL&gt;&lt;Q&gt;Ticker0024^FE_ESTIMATE(EBIT,MEAN,QUARTERLY_ROLL,2024/4F,45868,,,'')&lt;/Q&gt;&lt;R&gt;1&lt;/R&gt;&lt;C&gt;1&lt;/C&gt;&lt;D xsi:type="xsd:double"&gt;27926.969&lt;/D&gt;&lt;/FQL&gt;&lt;FQL&gt;&lt;Q&gt;Ticker0024^FE_ESTIMATE(EBIT,MEAN,QUARTERLY_ROLL,2024/3F,45868,,,'')&lt;/Q&gt;&lt;R&gt;1&lt;/R&gt;&lt;C&gt;1&lt;/C&gt;&lt;D xsi:type="xsd:double"&gt;27582.4&lt;/D&gt;&lt;/FQL&gt;&lt;FQL&gt;&lt;Q&gt;Ticker0024^FE_ESTIMATE(EBIT,MEAN,QUARTERLY_ROLL,2024/2F,45868,,,'')&lt;/Q&gt;&lt;R&gt;1&lt;/R&gt;&lt;C&gt;1&lt;/C&gt;&lt;D xsi:type="xsd:double"&gt;27031.055&lt;/D&gt;&lt;/FQL&gt;&lt;FQL&gt;&lt;Q&gt;Ticker0024^FE_ESTIMATE(EBIT,MEAN,QUARTERLY_ROLL,2024/1F,45868,,,'')&lt;/Q&gt;&lt;R&gt;1&lt;/R&gt;&lt;C&gt;1&lt;/C&gt;&lt;D xsi:type="xsd:double"&gt;26895.146&lt;/D&gt;&lt;/FQL&gt;&lt;FQL&gt;&lt;Q&gt;Ticker0024^FE_ESTIMATE(EBIT,MEAN,ANNUAL_ROLL,2023,45868,,,'')&lt;/Q&gt;&lt;R&gt;1&lt;/R&gt;&lt;C&gt;1&lt;/C&gt;&lt;D xsi:type="xsd:double"&gt;88600.766&lt;/D&gt;&lt;/FQL&gt;&lt;FQL&gt;&lt;Q&gt;Ticker0024^FE_ESTIMATE(EBIT,MEAN,QUARTERLY_ROLL,2023/4F,45868,,,'')&lt;/Q&gt;&lt;R&gt;1&lt;/R&gt;&lt;C&gt;1&lt;/C&gt;&lt;D xsi:type="xsd:double"&gt;24173.82&lt;/D&gt;&lt;/FQL&gt;&lt;FQL&gt;&lt;Q&gt;Ticker0024^FE_ESTIMATE(EBIT,MEAN,QUARTERLY_ROLL,2023/3F,45868,,,'')&lt;/Q&gt;&lt;R&gt;1&lt;/R&gt;&lt;C&gt;1&lt;/C&gt;&lt;D xsi:type="xsd:double"&gt;22351.936&lt;/D&gt;&lt;/FQL&gt;&lt;FQL&gt;&lt;Q&gt;Ticker0024^FE_ESTIMATE(EBIT,MEAN,QUARTERLY_ROLL,2023/2F,45868,,,'')&lt;/Q&gt;&lt;R&gt;1&lt;/R&gt;&lt;C&gt;1&lt;/C&gt;&lt;D xsi:type="xsd:double"&gt;20399.059&lt;/D&gt;&lt;/FQL&gt;&lt;FQL&gt;&lt;Q&gt;Ticker0024^FE_ESTIMATE(EBIT,MEAN,QUARTERLY_ROLL,2023/1F,45868,,,'')&lt;/Q&gt;&lt;R&gt;1&lt;/R&gt;&lt;C&gt;1&lt;/C&gt;&lt;D xsi:type="xsd:double"&gt;21518.063&lt;/D&gt;&lt;/FQL&gt;&lt;FQL&gt;&lt;Q&gt;Ticker0024^FE_ESTIMATE(EBIT,MEAN,ANNUAL_ROLL,2022,45868,,,'')&lt;/Q&gt;&lt;R&gt;1&lt;/R&gt;&lt;C&gt;1&lt;/C&gt;&lt;D xsi:type="xsd:double"&gt;83380.48&lt;/D&gt;&lt;/FQL&gt;&lt;FQL&gt;&lt;Q&gt;Ticker0024^FE_ESTIMATE(EBIT,MEAN,QUARTERLY_ROLL,2022/4F,45868,,,'')&lt;/Q&gt;&lt;R&gt;1&lt;/R&gt;&lt;C&gt;1&lt;/C&gt;&lt;D xsi:type="xsd:double"&gt;20531.785&lt;/D&gt;&lt;/FQL&gt;&lt;FQL&gt;&lt;Q&gt;Ticker0024^FE_ESTIMATE(EBIT,MEAN,QUARTERLY_ROLL,2022/3F,45868,,,'')&lt;/Q&gt;&lt;R&gt;1&lt;/R&gt;&lt;C&gt;1&lt;/C&gt;&lt;D xsi:type="xsd:double"&gt;20362.076&lt;/D&gt;&lt;/FQL&gt;&lt;FQL&gt;&lt;Q&gt;Ticker0024^FE_ESTIMATE(EBIT,MEAN,QUARTERLY_ROLL,2022/2F,45868,,,'')&lt;/Q&gt;&lt;R&gt;1&lt;/R&gt;&lt;C&gt;1&lt;/C&gt;&lt;D xsi:type="xsd:double"&gt;22246.809&lt;/D&gt;&lt;/FQL&gt;&lt;FQL&gt;&lt;Q&gt;Ticker0024^FE_ESTIMATE(EBIT,MEAN,QUARTERLY_ROLL,2022/1F,45868,,,'')&lt;/Q&gt;&lt;R&gt;1&lt;/R&gt;&lt;C&gt;1&lt;/C&gt;&lt;D xsi:type="xsd:double"&gt;20237.896&lt;/D&gt;&lt;/FQL&gt;&lt;FQL&gt;&lt;Q&gt;Ticker0024^FE_ESTIMATE(EBIT,MEAN,ANNUAL_ROLL,2021,45868,,,'')&lt;/Q&gt;&lt;R&gt;1&lt;/R&gt;&lt;C&gt;1&lt;/C&gt;&lt;D xsi:type="xsd:double"&gt;69916.43&lt;/D&gt;&lt;/FQL&gt;&lt;FQL&gt;&lt;Q&gt;Ticker0024^FE_ESTIMATE(EBIT,MEAN,QUARTERLY_ROLL,2021/4F,45868,,,'')&lt;/Q&gt;&lt;R&gt;1&lt;/R&gt;&lt;C&gt;1&lt;/C&gt;&lt;D xsi:type="xsd:double"&gt;19095&lt;/D&gt;&lt;/FQL&gt;&lt;FQL&gt;&lt;Q&gt;Ticker0024^FE_ESTIMATE(EBIT,MEAN,QUARTERLY_ROLL,2021/3F,45868,,,'')&lt;/Q&gt;&lt;R&gt;1&lt;/R&gt;&lt;C&gt;1&lt;/C&gt;&lt;D xsi:type="xsd:double"&gt;17048&lt;/D&gt;&lt;/FQL&gt;&lt;FQL&gt;&lt;Q&gt;Ticker0024^FE_ESTIMATE(EBIT,MEAN,QUARTERLY_ROLL,2021/2F,45868,,,'')&lt;/Q&gt;&lt;R&gt;1&lt;/R&gt;&lt;C&gt;1&lt;/C&gt;&lt;D xsi:type="xsd:double"&gt;17896.826&lt;/D&gt;&lt;/FQL&gt;&lt;FQL&gt;&lt;Q&gt;Ticker0024^FE_ESTIMATE(EBIT,MEAN,QUARTERLY_ROLL,2021/1F,45868,,,'')&lt;/Q&gt;&lt;R&gt;1&lt;/R&gt;&lt;C&gt;1&lt;/C&gt;&lt;D xsi:type="xsd:double"&gt;15875.739&lt;/D&gt;&lt;/FQL&gt;&lt;FQL&gt;&lt;Q&gt;Ticker0024^FE_ESTIMATE(EBIT,MEAN,ANNUAL_ROLL,2020,45868,,,'')&lt;/Q&gt;&lt;R&gt;1&lt;/R&gt;&lt;C&gt;1&lt;/C&gt;&lt;D xsi:type="xsd:double"&gt;52978.875&lt;/D&gt;&lt;/FQL&gt;&lt;FQL&gt;&lt;Q&gt;Ticker0024^FE_ESTIMATE(EBIT,MEAN,QUARTERLY_ROLL,2020/4F,45868,,,'')&lt;/Q&gt;&lt;R&gt;1&lt;/R&gt;&lt;C&gt;1&lt;/C&gt;&lt;D xsi:type="xsd:double"&gt;13432.45&lt;/D&gt;&lt;/FQL&gt;&lt;FQL&gt;&lt;Q&gt;Ticker0024^FE_ESTIMATE(EBIT,MEAN,QUARTERLY_ROLL,2020/3F,45868,,,'')&lt;/Q&gt;&lt;R&gt;1&lt;/R&gt;&lt;C&gt;1&lt;/C&gt;&lt;D xsi:type="xsd:double"&gt;12975&lt;/D&gt;&lt;/FQL&gt;&lt;FQL&gt;&lt;Q&gt;Ticker0024^FE_ESTIMATE(EBIT,MEAN,QUARTERLY_ROLL,2020/2F,45868,,,'')&lt;/Q&gt;&lt;R&gt;1&lt;/R&gt;&lt;C&gt;1&lt;/C&gt;&lt;D xsi:type="xsd:double"&gt;13891&lt;/D&gt;&lt;/FQL&gt;&lt;FQL&gt;&lt;Q&gt;Ticker0024^FE_ESTIMATE(EBIT,MEAN,QUARTERLY_ROLL,2020/1F,45868,,,'')&lt;/Q&gt;&lt;R&gt;1&lt;/R&gt;&lt;C&gt;1&lt;/C&gt;&lt;D xsi:type="xsd:double"&gt;12686&lt;/D&gt;&lt;/FQL&gt;&lt;FQL&gt;&lt;Q&gt;Ticker0024^FE_ESTIMATE(PRODLINE_EBIT_17,MEAN,ANNUAL_ROLL,2030,45868,,,'')&lt;/Q&gt;&lt;R&gt;0&lt;/R&gt;&lt;C&gt;0&lt;/C&gt;&lt;/FQL&gt;&lt;FQL&gt;&lt;Q&gt;Ticker0024^FE_ESTIMATE(PRODLINE_EBIT_17,MEAN,QUARTERLY_ROLL,2030/4F,45868,,,'')&lt;/Q&gt;&lt;R&gt;0&lt;/R&gt;&lt;C&gt;0&lt;/C&gt;&lt;/FQL&gt;&lt;FQL&gt;&lt;Q&gt;Ticker0024^FE_ESTIMATE(PRODLINE_EBIT_17,MEAN,QUARTERLY_ROLL,2030/3F,45868,,,'')&lt;/Q&gt;&lt;R&gt;0&lt;/R&gt;&lt;C&gt;0&lt;/C&gt;&lt;/FQL&gt;&lt;FQL&gt;&lt;Q&gt;Ticker0024^FE_ESTIMATE(PRODLINE_EBIT_17,MEAN,QUARTERLY_ROLL,2030/2F,45868,,,'')&lt;/Q&gt;&lt;R&gt;0&lt;/R&gt;&lt;C&gt;0&lt;/C&gt;&lt;/FQL&gt;&lt;FQL&gt;&lt;Q&gt;Ticker0024^FE_ESTIMATE(PRODLINE_EBIT_17,MEAN,QUARTERLY_ROLL,2030/1F,45868,,,'')&lt;/Q&gt;&lt;R&gt;0&lt;/R&gt;&lt;C&gt;0&lt;/C&gt;&lt;/FQL&gt;&lt;FQL&gt;&lt;Q&gt;Ticker0024^FE_ESTIMATE(PRODLINE_EBIT_17,MEAN,ANNUAL_ROLL,2029,45868,,,'')&lt;/Q&gt;&lt;R&gt;0&lt;/R&gt;&lt;C&gt;0&lt;/C&gt;&lt;/FQL&gt;&lt;FQL&gt;&lt;Q&gt;Ticker0024^FE_ESTIMATE(PRODLINE_EBIT_17,MEAN,QUARTERLY_ROLL,2029/4F,45868,,,'')&lt;/Q&gt;&lt;R&gt;0&lt;/R&gt;&lt;C&gt;0&lt;/C&gt;&lt;/FQL&gt;&lt;FQL&gt;&lt;Q&gt;Ticker0024^FE_ESTIMATE(PRODLINE_EBIT_17,MEAN,QUARTERLY_ROLL,2029/3F,45868,,,'')&lt;/Q&gt;&lt;R&gt;0&lt;/R&gt;&lt;C&gt;0&lt;/C&gt;&lt;/FQL&gt;&lt;FQL&gt;&lt;Q&gt;Ticker0024^FE_ESTIMATE(PRODLINE_EBIT_17,MEAN,QUARTERLY_ROLL,2029/2F,45868,,,'')&lt;/Q&gt;&lt;R&gt;0&lt;/R&gt;&lt;C&gt;0&lt;/C&gt;&lt;/FQL&gt;&lt;FQL&gt;&lt;Q&gt;Ticker0024^FE_ESTIMATE(PRODLINE_EBIT_17,MEAN,QUARTERLY_ROLL,2029/1F,45868,,,'')&lt;/Q&gt;&lt;R&gt;0&lt;/R&gt;&lt;C&gt;0&lt;/C&gt;&lt;/FQL&gt;&lt;FQL&gt;&lt;Q&gt;Ticker0024^FE_ESTIMATE(PRODLINE_EBIT_17,MEAN,ANNUAL_ROLL,2028,45868,,,'')&lt;/Q&gt;&lt;R&gt;0&lt;/R&gt;&lt;C&gt;0&lt;/C&gt;&lt;/FQL&gt;&lt;FQL&gt;&lt;Q&gt;Ticker0024^FE_ESTIMATE(PRODLINE_EBIT_17,MEAN,QUARTERLY_ROLL,2028/4F,45868,,,'')&lt;/Q&gt;&lt;R&gt;0&lt;/R&gt;&lt;C&gt;0&lt;/C&gt;&lt;/FQL&gt;&lt;FQL&gt;&lt;Q&gt;Ticker0024^FE_ESTIMATE(PRODLINE_EBIT_17,MEAN,QUARTERLY_ROLL,2028/3F,45868,,,'')&lt;/Q&gt;&lt;R&gt;0&lt;/R&gt;&lt;C&gt;0&lt;/C&gt;&lt;/FQL&gt;&lt;FQL&gt;&lt;Q&gt;Ticker0024^FE_ESTIMATE(PRODLINE_EBIT_17,MEAN,QUARTERLY_ROLL,2028/2F,45868,,,'')&lt;/Q&gt;&lt;R&gt;0&lt;/R&gt;&lt;C&gt;0&lt;/C&gt;&lt;/FQL&gt;&lt;FQL&gt;&lt;Q&gt;Ticker0024^FE_ESTIMATE(PRODLINE_EBIT_17,MEAN,QUARTERLY_ROLL,2028/1F,45868,,,'')&lt;/Q&gt;&lt;R&gt;0&lt;/R&gt;&lt;C&gt;0&lt;/C&gt;&lt;/FQL&gt;&lt;FQL&gt;&lt;Q&gt;Ticker0024^FE_ESTIMATE(PRODLINE_EBIT_17,MEAN,ANNUAL_ROLL,2027,45868,,,'')&lt;/Q&gt;&lt;R&gt;1&lt;/R&gt;&lt;C&gt;1&lt;/C&gt;&lt;D xsi:type="xsd:double"&gt;13646.667&lt;/D&gt;&lt;/FQL&gt;&lt;FQL&gt;&lt;Q&gt;Ticker0024^FE_ESTIMATE(PRODLINE_EBIT_17,MEAN,QUARTERLY_ROLL,2027/4F,45868,,,'')&lt;/Q&gt;&lt;R&gt;0&lt;/R&gt;&lt;C&gt;0&lt;/C&gt;&lt;/FQL&gt;&lt;FQL&gt;&lt;Q&gt;Ticker0024^FE_ESTIMATE(PRODLINE_EBIT_17,MEAN,QUARTERLY_ROLL,2027/3F,45868,,,'')&lt;/Q&gt;&lt;R&gt;0&lt;/R&gt;&lt;C&gt;0&lt;/C&gt;&lt;/FQL&gt;&lt;FQL&gt;&lt;Q&gt;Ticker0024^FE_ESTIMATE(PRODLINE_EBIT_17,MEAN,QUARTERLY_ROLL,2027/2F,45868,,,'')&lt;/Q&gt;&lt;R&gt;0&lt;/R&gt;&lt;C&gt;0&lt;/C&gt;&lt;/FQL&gt;&lt;FQL&gt;&lt;Q&gt;Ticker0024^FE_ESTIMATE(PRODLINE_EBIT_17,MEAN,QUARTERLY_ROLL,2027/1F,45868,,,'')&lt;/Q&gt;&lt;R&gt;0&lt;/R&gt;&lt;C&gt;0&lt;/C&gt;&lt;/FQL&gt;&lt;FQL&gt;&lt;Q&gt;Ticker0024^FE_ESTIMATE(PRODLINE_EBIT_17,MEAN,ANNUAL_ROLL,2026,45868,,,'')&lt;/Q&gt;&lt;R&gt;1&lt;/R&gt;&lt;C&gt;1&lt;/C&gt;&lt;D xsi:type="xsd:double"&gt;15423.5&lt;/D&gt;&lt;/FQL&gt;&lt;FQL&gt;&lt;Q&gt;Ticker0024^FE_ESTIMATE(PRODLINE_EBIT_17,MEAN,QUARTERLY_ROLL,2026/4F,45868,,,'')&lt;/Q&gt;&lt;R&gt;1&lt;/R&gt;&lt;C&gt;1&lt;/C&gt;&lt;D xsi:type="xsd:double"&gt;3510&lt;/D&gt;&lt;/FQL&gt;&lt;FQL&gt;&lt;Q&gt;Ticker0024^FE_ESTIMATE(PRODLINE_EBIT_17,MEAN,QUARTERLY_ROLL,2026/3F,45868,,,'')&lt;/Q&gt;&lt;R&gt;1&lt;/R&gt;&lt;C&gt;1&lt;/C&gt;&lt;D xsi:type="xsd:double"&gt;3878.5&lt;/D&gt;&lt;/FQL&gt;&lt;FQL&gt;&lt;Q&gt;Ticker0024^FE_ESTIMATE(PRODLINE_EBIT_17,MEAN,QUARTERLY_ROLL,2026/2F,45868,,,'')&lt;/Q&gt;&lt;R&gt;1&lt;/R&gt;&lt;C&gt;1&lt;/C&gt;&lt;D xsi:type="xsd:double"&gt;4237.5&lt;/D&gt;&lt;/FQL&gt;&lt;FQL&gt;&lt;Q&gt;Ticker0024^FE_ESTIMATE(PRODLINE_EBIT_17,MEAN,QUARTERLY_ROLL,2026/1F,45868,,,'')&lt;/Q&gt;&lt;R&gt;1&lt;/R&gt;&lt;C&gt;1&lt;/C&gt;&lt;D xsi:type="xsd:double"&gt;3797.5&lt;/D&gt;&lt;/FQL&gt;&lt;FQL&gt;&lt;Q&gt;Ticker0024^FE_ESTIMATE(PRODLINE_EBIT_17,MEAN,ANNUAL_ROLL,2025,45868,,,'')&lt;/Q&gt;&lt;R&gt;1&lt;/R&gt;&lt;C&gt;1&lt;/C&gt;&lt;D xsi:type="xsd:double"&gt;15455.2&lt;/D&gt;&lt;/FQL&gt;&lt;FQL&gt;&lt;Q&gt;Ticker0024^FE_ESTIMATE(PRODLINE_EBIT_17,MEAN,QUARTERLY_ROLL,2025/4F,45868,,,'')&lt;/Q&gt;&lt;R&gt;1&lt;/R&gt;&lt;C&gt;1&lt;/C&gt;&lt;D xsi:type="xsd:double"&gt;3426.6&lt;/D&gt;&lt;/FQL&gt;&lt;FQL&gt;&lt;Q&gt;Ticker0024^FE_ESTIMATE(PRODLINE_EBIT_17,MEAN,QUARTERLY_ROLL,2025/3F,45868,,,'')&lt;/Q&gt;&lt;R&gt;1&lt;/R&gt;&lt;C&gt;1&lt;/C&gt;&lt;D xsi:type="xsd:double"&gt;4058.75&lt;/D&gt;&lt;/FQL&gt;&lt;FQL&gt;&lt;Q&gt;Ticker0024^FE_ESTIMATE(PRODLINE_EBIT_17,MEAN,QUARTERLY_ROLL,2025/2F,45868,,,'')&lt;/Q&gt;&lt;R&gt;1&lt;/R&gt;&lt;C&gt;1&lt;/C&gt;&lt;D xsi:type="xsd:double"&gt;4253.8&lt;/D&gt;&lt;/FQL&gt;&lt;FQL&gt;&lt;Q&gt;Ticker0024^FE_ESTIMATE(PRODLINE_EBIT_17,MEAN,QUARTERLY_ROLL,2025/1F,45868,,,'')&lt;/Q&gt;&lt;R&gt;1&lt;/R&gt;&lt;C&gt;1&lt;/C&gt;&lt;D xsi:type="xsd:double"&gt;3822.2&lt;/D&gt;&lt;/FQL&gt;&lt;FQL&gt;&lt;Q&gt;Ticker0024^FE_ESTIMATE(PRODLINE_EBIT_17,MEAN,ANNUAL_ROLL,2024,45868,,,'')&lt;/Q&gt;&lt;R&gt;1&lt;/R&gt;&lt;C&gt;1&lt;/C&gt;&lt;D xsi:type="xsd:double"&gt;19332.8&lt;/D&gt;&lt;/FQL&gt;&lt;FQL&gt;&lt;Q&gt;Ticker0024^FE_ESTIMATE(PRODLINE_EBIT_17,MEAN,QUARTERLY_ROLL,2024/4F,45868,,,'')&lt;/Q&gt;&lt;R&gt;1&lt;/R&gt;&lt;C&gt;1&lt;/C&gt;&lt;D xsi:type="xsd:double"&gt;4922.4&lt;/D&gt;&lt;/FQL&gt;&lt;FQL&gt;&lt;Q&gt;Ticker0024^FE_ESTIMATE(PRODLINE_EBIT_17,MEAN,QUARTERLY_ROLL,2024/3F,45868,,,'')&lt;/Q&gt;&lt;R&gt;1&lt;/R&gt;&lt;C&gt;1&lt;/C&gt;&lt;D xsi:type="xsd:double"&gt;4925.7144&lt;/D&gt;&lt;/FQL&gt;&lt;FQL&gt;&lt;Q&gt;Ticker0024^FE_ESTIMATE(PRODLINE_EBIT_17,MEAN,QUARTERLY_ROLL,2024/2F,45868,,,'')&lt;/Q&gt;&lt;R&gt;1&lt;/R&gt;&lt;C&gt;1&lt;/C&gt;&lt;D xsi:type="xsd:double"&gt;4308.3335&lt;/D&gt;&lt;/FQL&gt;&lt;FQL&gt;&lt;Q&gt;Ticker0024^FE_ESTIMATE(PRODLINE_EBIT_17,MEAN,QUARTERLY_ROLL,2024/1F,45868,,,'')&lt;/Q&gt;&lt;R&gt;1&lt;/R&gt;&lt;C&gt;1&lt;/C&gt;&lt;D xsi:type="xsd:double"&gt;5197&lt;/D&gt;&lt;/FQL&gt;&lt;FQL&gt;&lt;Q&gt;Ticker0024^FE_ESTIMATE(PRODLINE_EBIT_17,MEAN,ANNUAL_ROLL,2023,45868,,,'')&lt;/Q&gt;&lt;R&gt;1&lt;/R&gt;&lt;C&gt;1&lt;/C&gt;&lt;D xsi:type="xsd:double"&gt;16450&lt;/D&gt;&lt;/FQL&gt;&lt;FQL&gt;&lt;Q&gt;Ticker0024^FE_ESTIMATE(PRODLINE_EBIT_17,MEAN,QUARTERLY_ROLL,2023/4F,45868,,,'')&lt;/Q&gt;&lt;R&gt;1&lt;/R&gt;&lt;C&gt;1&lt;/C&gt;&lt;D xsi:type="xsd:double"&gt;4676.8&lt;/D&gt;&lt;/FQL&gt;&lt;FQL&gt;&lt;Q&gt;Ticker0024^FE_ESTIMATE(PRODLINE_EBIT_17,MEAN,QUARTERLY_ROLL,2023/3F,45868,,,'')&lt;/Q&gt;&lt;R&gt;1&lt;/R&gt;&lt;C&gt;1&lt;/C&gt;&lt;D xsi:type="xsd:double"&gt;4237.6&lt;/D&gt;&lt;/FQL&gt;&lt;FQL&gt;&lt;Q&gt;Ticker0024^FE_ESTIMATE(PRODLINE_EBIT_17,MEAN,QUARTERLY_ROLL,2023/2F,45868,,,'')&lt;/Q&gt;&lt;R&gt;1&lt;/R&gt;&lt;C&gt;1&lt;/C&gt;&lt;D xsi:type="xsd:double"&gt;3345&lt;/D&gt;&lt;/FQL&gt;&lt;FQL&gt;&lt;Q&gt;Ticker0024^FE_ESTIMATE(PRODLINE_EBIT_17,MEAN,QUARTERLY_ROLL,2023/1F,45868,,,'')&lt;/Q&gt;&lt;R&gt;1&lt;/R&gt;&lt;C&gt;1&lt;/C&gt;&lt;D xsi:type="xsd:double"&gt;4241.4&lt;/D&gt;&lt;/FQL&gt;&lt;FQL&gt;&lt;Q&gt;Ticker0024^FE_ESTIMATE(PRODLINE_EBIT_17,MEAN,ANNUAL_ROLL,2022,45868,,,'')&lt;/Q&gt;&lt;R&gt;1&lt;/R&gt;&lt;C&gt;1&lt;/C&gt;&lt;D xsi:type="xsd:double"&gt;20975.2&lt;/D&gt;&lt;/FQL&gt;&lt;FQL&gt;&lt;Q&gt;Ticker0024^FE_ESTIMATE(PRODLINE_EBIT_17,MEAN,QUARTERLY_ROLL,2022/4F,45868,,,'')&lt;/Q&gt;&lt;R&gt;1&lt;/R&gt;&lt;C&gt;1&lt;/C&gt;&lt;D xsi:type="xsd:double"&gt;4619.2&lt;/D&gt;&lt;/FQL&gt;&lt;FQL&gt;&lt;Q&gt;Ticker0024^FE_ESTIMATE(PRODLINE_EBIT_17,MEAN,QUARTERLY_ROLL,2022/3F,45868,,,'')&lt;/Q&gt;&lt;R&gt;1&lt;/R&gt;&lt;C&gt;1&lt;/C&gt;&lt;D xsi:type="xsd:double"&gt;4899&lt;/D&gt;&lt;/FQL&gt;&lt;FQL&gt;&lt;Q&gt;Ticker0024^FE_ESTIMATE(PRODLINE_EBIT_17,MEAN,QUARTERLY_ROLL,2022/2F,45868,,,'')&lt;/Q&gt;&lt;R&gt;1&lt;/R&gt;&lt;C&gt;1&lt;/C&gt;&lt;D xsi:type="xsd:double"&gt;6360&lt;/D&gt;&lt;/FQL&gt;&lt;FQL&gt;&lt;Q&gt;Ticker0024^FE_ESTIMATE(PRODLINE_EBIT_17,MEAN,QUARTERLY_ROLL,2022/1F,45868,,,'')&lt;/Q&gt;&lt;R&gt;1&lt;/R&gt;&lt;C&gt;1&lt;/C&gt;&lt;D xsi:type="xsd:double"&gt;5095&lt;/D&gt;&lt;/FQL&gt;&lt;FQL&gt;&lt;Q&gt;Ticker0024^FE_ESTIMATE(PRODLINE_EBIT_17,MEAN,ANNUAL_ROLL,2021,45868,,,'')&lt;/Q&gt;&lt;R&gt;1&lt;/R&gt;&lt;C&gt;1&lt;/C&gt;&lt;D xsi:type="xsd:double"&gt;19439.25&lt;/D&gt;&lt;/FQL&gt;&lt;FQL&gt;&lt;Q&gt;Ticker0024^FE_ESTIMATE(PRODLINE_EBIT_17,MEAN,QUARTERLY_ROLL,2021/4F,45868,,,'')&lt;/Q&gt;&lt;R&gt;1&lt;/R&gt;&lt;C&gt;1&lt;/C&gt;&lt;D xsi:type="xsd:double"&gt;4873&lt;/D&gt;&lt;/FQL&gt;&lt;FQL&gt;&lt;Q&gt;Ticker0024^FE_ESTIMATE(PRODLINE_EBIT_17,MEAN,QUARTERLY_ROLL,2021/3F,45868,,,'')&lt;/Q&gt;&lt;R&gt;1&lt;/R&gt;&lt;C&gt;1&lt;/C&gt;&lt;D xsi:type="xsd:double"&gt;4594&lt;/D&gt;&lt;/FQL&gt;&lt;FQL&gt;&lt;Q&gt;Ticker0024^FE_ESTIMATE(PRODLINE_EBIT_17,MEAN,QUARTERLY_ROLL,2021/2F,45868,,,'')&lt;/Q&gt;&lt;R&gt;1&lt;/R&gt;&lt;C&gt;1&lt;/C&gt;&lt;D xsi:type="xsd:double"&gt;5224&lt;/D&gt;&lt;/FQL&gt;&lt;FQL&gt;&lt;Q&gt;Ticker0024^FE_ESTIMATE(PRODLINE_EBIT_17,MEAN,QUARTERLY_ROLL,2021/1F,45868,,,'')&lt;/Q&gt;&lt;R&gt;1&lt;/R&gt;&lt;C&gt;1&lt;/C&gt;&lt;D xsi:type="xsd:double"&gt;4748&lt;/D&gt;&lt;/FQL&gt;&lt;FQL&gt;&lt;Q&gt;Ticker0024^FE_ESTIMATE(PRODLINE_EBIT_17,MEAN,ANNUAL_ROLL,2020,45868,,,'')&lt;/Q&gt;&lt;R&gt;1&lt;/R&gt;&lt;C&gt;1&lt;/C&gt;&lt;D xsi:type="xsd:double"&gt;15895.667&lt;/D&gt;&lt;/FQL&gt;&lt;FQL&gt;&lt;Q&gt;Ticker0024^FE_ESTIMATE(PRODLINE_EBIT_17,MEAN,QUARTERLY_ROLL,2020/4F,45868,,,'')&lt;/Q&gt;&lt;R&gt;1&lt;/R&gt;&lt;C&gt;1&lt;/C&gt;&lt;D xsi:type="xsd:double"&gt;4075.3333&lt;/D&gt;&lt;/FQL&gt;&lt;FQL&gt;&lt;Q&gt;Ticker0024^FE_ESTIMATE(PRODLINE_EBIT_17,MEAN,QUARTERLY_ROLL,2020/3F,45868,,,'')&lt;/Q&gt;&lt;R&gt;1&lt;/R&gt;&lt;C&gt;1&lt;/C&gt;&lt;D xsi:type="xsd:double"&gt;3627&lt;/D&gt;&lt;/FQL&gt;&lt;FQL&gt;&lt;Q&gt;Ticker0024^FE_ESTIMATE(PRODLINE_EBIT_17,MEAN,QUARTERLY_ROLL,2020/2F,45868,,,'')&lt;/Q&gt;&lt;R&gt;1&lt;/R&gt;&lt;C&gt;1&lt;/C&gt;&lt;D xsi:type="xsd:double"&gt;4178&lt;/D&gt;&lt;/FQL&gt;&lt;FQL&gt;&lt;Q&gt;Ticker0024^FE_ESTIMATE(PRODLINE_EBIT_17,MEAN,QUARTERLY_ROLL,2020/1F,45868,,,'')&lt;/Q&gt;&lt;R&gt;1&lt;/R&gt;&lt;C&gt;1&lt;/C&gt;&lt;D xsi:type="xsd:double"&gt;4015&lt;/D&gt;&lt;/FQL&gt;&lt;FQL&gt;&lt;Q&gt;Ticker0024^FE_ESTIMATE(PRODLINE_EBIT_16,MEAN,ANNUAL_ROLL,2030,45868,,,'')&lt;/Q&gt;&lt;R&gt;0&lt;/R&gt;&lt;C&gt;0&lt;/C&gt;&lt;/FQL&gt;&lt;FQL&gt;&lt;Q&gt;Ticker0024^FE_ESTIMATE(PRODLINE_EBIT_16,MEAN,QUARTERLY_ROLL,2030/4F,45868,,,'')&lt;/Q&gt;&lt;R&gt;0&lt;/R&gt;&lt;C&gt;0&lt;/C&gt;&lt;/FQL&gt;&lt;FQL&gt;&lt;Q&gt;Ticker0024^FE_ESTIMATE(PRODLINE_EBIT_16,MEAN,QUARTERLY_ROLL,2030/3F,45868,,,'')&lt;/Q&gt;&lt;R&gt;0&lt;/R&gt;&lt;C&gt;0&lt;/C&gt;&lt;/FQL&gt;&lt;FQL&gt;&lt;Q&gt;Ticker0024^FE_ESTIMATE(PRODLINE_EBIT_16,MEAN,QUARTERLY_ROLL,2030/2F,45868,,,'')&lt;/Q&gt;&lt;R&gt;0&lt;/R&gt;&lt;C&gt;0&lt;/C&gt;&lt;/FQL&gt;&lt;FQL&gt;&lt;Q&gt;Ticker0024^FE_ESTIMATE(PRODLINE_EBIT_16,MEAN,QUARTERLY_ROLL,2030/1F,45868,,,'')&lt;/Q&gt;&lt;R&gt;0&lt;/R&gt;&lt;C&gt;0&lt;/C&gt;&lt;/FQL&gt;&lt;FQL&gt;&lt;Q&gt;Ticker0024^FE_ESTIMATE(PRODLINE_EBIT_16,MEAN,ANNUAL_ROLL,2029,45868,,,'')&lt;/Q&gt;&lt;R&gt;0&lt;/R&gt;&lt;C&gt;0&lt;/C&gt;&lt;/FQL&gt;&lt;FQL&gt;&lt;Q&gt;Ticker0024^FE_ESTIMATE(PRODLINE_EBIT_16,MEAN,QUARTERLY_ROLL,2029/4F,45868,,,'')&lt;/Q&gt;&lt;R&gt;0&lt;/R&gt;&lt;C&gt;0&lt;/C&gt;&lt;/FQL&gt;&lt;FQL&gt;&lt;Q&gt;Ticker0024^FE_ESTIMATE(PRODLINE_EBIT_16,MEAN,QUARTERLY_ROLL,2029/3F,45868,,,'')&lt;/Q&gt;&lt;R&gt;0&lt;/R&gt;&lt;C&gt;0&lt;/C&gt;&lt;/FQL&gt;&lt;FQL&gt;&lt;Q&gt;Ticker0024^FE_ESTIMATE(PRODLINE_EBIT_16,MEAN,QUARTERLY_ROLL,2029/2F,45868,,,'')&lt;/Q&gt;&lt;R&gt;0&lt;/R&gt;&lt;C&gt;0&lt;/C&gt;&lt;/FQL&gt;&lt;FQL&gt;&lt;Q&gt;Ticker0024^FE_ESTIMATE(PRODLINE_EBIT_16,MEAN,QUARTERLY_ROLL,2029/1F,45868,,,'')&lt;/Q&gt;&lt;R&gt;0&lt;/R&gt;&lt;C&gt;0&lt;/C&gt;&lt;/FQL&gt;&lt;FQL&gt;&lt;Q&gt;Ticker0024^FE_ESTIMATE(PRODLINE_EBIT_16,MEAN,ANNUAL_ROLL,2028,45868,,,'')&lt;/Q&gt;&lt;R&gt;0&lt;/R&gt;&lt;C&gt;0&lt;/C&gt;&lt;/FQL&gt;&lt;FQL&gt;&lt;Q&gt;Ticker0024^FE_ESTIMATE(PRODLINE_EBIT_16,MEAN,QUARTERLY_ROLL,2028/4F,45868,,,'')&lt;/Q&gt;&lt;R&gt;0&lt;/R&gt;&lt;C&gt;0&lt;/C&gt;&lt;/FQL&gt;&lt;FQL&gt;&lt;Q&gt;Ticker0024^FE_ESTIMATE(PRODLINE_EBIT_16,MEAN,QUARTERLY_ROLL,2028/3F,45868,,,'')&lt;/Q&gt;&lt;R&gt;0&lt;/R&gt;&lt;C&gt;0&lt;/C&gt;&lt;/FQL&gt;&lt;FQL&gt;&lt;Q&gt;Ticker0024^FE_ESTIMATE(PRODLINE_EBIT_16,MEAN,QUARTERLY_ROLL,2028/2F,45868,,,'')&lt;/Q&gt;&lt;R&gt;0&lt;/R&gt;&lt;C&gt;0&lt;/C&gt;&lt;/FQL&gt;&lt;FQL&gt;&lt;Q&gt;Ticker0024^FE_ESTIMATE(PRODLINE_EBIT_16,MEAN,QUARTERLY_ROLL,2028/1F,45868,,,'')&lt;/Q&gt;&lt;R&gt;0&lt;/R&gt;&lt;C&gt;0&lt;/C&gt;&lt;/FQL&gt;&lt;FQL&gt;&lt;Q&gt;Ticker0024^FE_ESTIMATE(PRODLINE_EBIT_16,MEAN,ANNUAL_ROLL,2027,45868,,,'')&lt;/Q&gt;&lt;R&gt;1&lt;/R&gt;&lt;C&gt;1&lt;/C&gt;&lt;D xsi:type="xsd:double"&gt;65097&lt;/D&gt;&lt;/FQL&gt;&lt;FQL&gt;&lt;Q&gt;Ticker0024^FE_ESTIMATE(PRODLINE_EBIT_16,MEAN,QUARTERLY_ROLL,2027/4F,45868,,,'')&lt;/Q&gt;&lt;R&gt;0&lt;/R&gt;&lt;C&gt;0&lt;/C&gt;&lt;/FQL&gt;&lt;FQL&gt;&lt;Q&gt;Ticker0024^FE_ESTIMATE(PRODLINE_EBIT_16,MEAN,QUARTERLY_ROLL,2027/3F,45868,,,'')&lt;/Q&gt;&lt;R&gt;0&lt;/R&gt;&lt;C&gt;0&lt;/C&gt;&lt;/FQL&gt;&lt;FQL&gt;&lt;Q&gt;Ticker0024^FE_ESTIMATE(PRODLINE_EBIT_16,MEAN,QUARTERLY_ROLL,2027/2F,45868,,,'')&lt;/Q&gt;&lt;R&gt;0&lt;/R&gt;&lt;C&gt;0&lt;/C&gt;&lt;/FQL&gt;&lt;FQL&gt;&lt;Q&gt;Ticker0024^FE_ESTIMATE(PRODLINE_EBIT_16,MEAN,QUARTERLY_ROLL,2027/1F,45868,,,'')&lt;/Q&gt;&lt;R&gt;0&lt;/R&gt;&lt;C&gt;0&lt;/C&gt;&lt;/FQL&gt;&lt;FQL&gt;&lt;Q&gt;Ticker0024^FE_ESTIMATE(PRODLINE_EBIT_16,MEAN,ANNUAL_ROLL,2026,45868,,,'')&lt;/Q&gt;&lt;R&gt;1&lt;/R&gt;&lt;C&gt;1&lt;/C&gt;&lt;D xsi:type="xsd:double"&gt;55680.75&lt;/D&gt;&lt;/FQL&gt;&lt;FQL&gt;&lt;Q&gt;Ticker0024^FE_ESTIMATE(PRODLINE_EBIT_16,MEAN,QUARTERLY_ROLL,2026/4F,45868,,,'')&lt;/Q&gt;&lt;R&gt;1&lt;/R&gt;&lt;C&gt;1&lt;/C&gt;&lt;D xsi:type="xsd:double"&gt;14957.75&lt;/D&gt;&lt;/FQL&gt;&lt;FQL&gt;&lt;Q&gt;Ticker0024^FE_ESTIMATE(PRODLINE_EBIT_16,MEAN,QUARTERLY_ROLL,2026/3F,45868,,,'')&lt;/Q&gt;&lt;R&gt;1&lt;/R&gt;&lt;C&gt;1&lt;/C&gt;&lt;D xsi:type="xsd:double"&gt;14092.75&lt;/D&gt;&lt;/FQL&gt;&lt;FQL&gt;&lt;Q&gt;Ticker0024^FE_ESTIMATE(PRODLINE_EBIT_16,MEAN,QUARTERLY_ROLL,2026/2F,45868,,,'')&lt;/Q&gt;&lt;R&gt;1&lt;/R&gt;&lt;C&gt;1&lt;/C&gt;&lt;D xsi:type="xsd:double"&gt;13459.5&lt;/D&gt;&lt;/FQL&gt;&lt;FQL&gt;&lt;Q&gt;Ticker0024^FE_ESTIMATE(PRODLINE_EBIT_16,MEAN,QUARTERLY_ROLL,2026/1F,45868,,,'')&lt;/Q&gt;&lt;R&gt;1&lt;/R&gt;&lt;C&gt;1&lt;/C&gt;&lt;D xsi:type="xsd:double"&gt;13170.5&lt;/D&gt;&lt;/FQL&gt;&lt;FQL&gt;&lt;Q&gt;Ticker0024^FE_ESTIMATE(PRODLINE_EBIT_16,MEAN,ANNUAL_ROLL,2025,45868,,,'')&lt;/Q&gt;&lt;R&gt;1&lt;/R&gt;&lt;C&gt;1&lt;/C&gt;&lt;D xsi:type="xsd:double"&gt;46405.6&lt;/D&gt;&lt;/FQL&gt;&lt;FQL&gt;&lt;Q&gt;Ticker0024^FE_ESTIMATE(PRODLINE_EBIT_16,MEAN,QUARTERLY_ROLL,2025/4F,45868,,,'')&lt;/Q&gt;&lt;R&gt;1&lt;/R&gt;&lt;C&gt;1&lt;/C&gt;&lt;D xsi:type="xsd:double"&gt;12480&lt;/D&gt;&lt;/FQL&gt;&lt;FQL&gt;&lt;Q&gt;Ticker0024^FE_ESTIMATE(PRODLINE_EBIT_16,MEAN,QUARTERLY_ROLL,2025/3F,45868,,,'')&lt;/Q&gt;&lt;R&gt;1&lt;/R&gt;&lt;C&gt;1&lt;/C&gt;&lt;D xsi:type="xsd:double"&gt;11635.25&lt;/D&gt;&lt;/FQL&gt;&lt;FQL&gt;&lt;Q&gt;Ticker0024^FE_ESTIMATE(PRODLINE_EBIT_16,MEAN,QUARTERLY_ROLL,2025/2F,45868,,,'')&lt;/Q&gt;&lt;R&gt;1&lt;/R&gt;&lt;C&gt;1&lt;/C&gt;&lt;D xsi:type="xsd:double"&gt;11386.8&lt;/D&gt;&lt;/FQL&gt;&lt;FQL&gt;&lt;Q&gt;Ticker0024^FE_ESTIMATE(PRODLINE_EBIT_16,MEAN,QUARTERLY_ROLL,2025/1F,45868,,,'')&lt;/Q&gt;&lt;R&gt;1&lt;/R&gt;&lt;C&gt;1&lt;/C&gt;&lt;D xsi:type="xsd:double"&gt;11013&lt;/D&gt;&lt;/FQL&gt;&lt;FQL&gt;&lt;Q&gt;Ticker0024^FE_ESTIMATE(PRODLINE_EBIT_16,MEAN,ANNUAL_ROLL,2024,45868,,,'')&lt;/Q&gt;&lt;R&gt;1&lt;/R&gt;&lt;C&gt;1&lt;/C&gt;&lt;D xsi:type="xsd:double"&gt;49583.2&lt;/D&gt;&lt;/FQL&gt;&lt;FQL&gt;&lt;Q&gt;Ticker0024^FE_ESTIMATE(PRODLINE_EBIT_16,MEAN,QUARTERLY_ROLL,2024/4F,45868,,,'')&lt;/Q&gt;&lt;R&gt;1&lt;/R&gt;&lt;C&gt;1&lt;/C&gt;&lt;D xsi:type="xsd:double"&gt;12859.2&lt;/D&gt;&lt;/FQL&gt;&lt;FQL&gt;&lt;Q&gt;Ticker0024^FE_ESTIMATE(PRODLINE_EBIT_16,MEAN,QUARTERLY_ROLL,2024/3F,45868,,,'')&lt;/Q&gt;&lt;R&gt;1&lt;/R&gt;&lt;C&gt;1&lt;/C&gt;&lt;D xsi:type="xsd:double"&gt;12512.571&lt;/D&gt;&lt;/FQL&gt;&lt;FQL&gt;&lt;Q&gt;Ticker0024^FE_ESTIMATE(PRODLINE_EBIT_16,MEAN,QUARTERLY_ROLL,2024/2F,45868,,,'')&lt;/Q&gt;&lt;R&gt;1&lt;/R&gt;&lt;C&gt;1&lt;/C&gt;&lt;D xsi:type="xsd:double"&gt;12460.833&lt;/D&gt;&lt;/FQL&gt;&lt;FQL&gt;&lt;Q&gt;Ticker0024^FE_ESTIMATE(PRODLINE_EBIT_16,MEAN,QUARTERLY_ROLL,2024/1F,45868,,,'')&lt;/Q&gt;&lt;R&gt;1&lt;/R&gt;&lt;C&gt;1&lt;/C&gt;&lt;D xsi:type="xsd:double"&gt;11750.8&lt;/D&gt;&lt;/FQL&gt;&lt;FQL&gt;&lt;Q&gt;Ticker0024^FE_ESTIMATE(PRODLINE_EBIT_16,MEAN,ANNUAL_ROLL,2023,45868,,,'')&lt;/Q&gt;&lt;R&gt;1&lt;/R&gt;&lt;C&gt;1&lt;/C&gt;&lt;D xsi:type="xsd:double"&gt;37883.2&lt;/D&gt;&lt;/FQL&gt;&lt;FQL&gt;&lt;Q&gt;Ticker0024^FE_ESTIMATE(PRODLINE_EBIT_16,MEAN,QUARTERLY_ROLL,2023/4F,45868,,,'')&lt;/Q&gt;&lt;R&gt;1&lt;/R&gt;&lt;C&gt;1&lt;/C&gt;&lt;D xsi:type="xsd:double"&gt;10526.8&lt;/D&gt;&lt;/FQL&gt;&lt;FQL&gt;&lt;Q&gt;Ticker0024^FE_ESTIMATE(PRODLINE_EBIT_16,MEAN,QUARTERLY_ROLL,2023/3F,45868,,,'')&lt;/Q&gt;&lt;R&gt;1&lt;/R&gt;&lt;C&gt;1&lt;/C&gt;&lt;D xsi:type="xsd:double"&gt;9476.8&lt;/D&gt;&lt;/FQL&gt;&lt;FQL&gt;&lt;Q&gt;Ticker0024^FE_ESTIMATE(PRODLINE_EBIT_16,MEAN,QUARTERLY_ROLL,2023/2F,45868,,,'')&lt;/Q&gt;&lt;R&gt;1&lt;/R&gt;&lt;C&gt;1&lt;/C&gt;&lt;D xsi:type="xsd:double"&gt;8903.2&lt;/D&gt;&lt;/FQL&gt;&lt;FQL&gt;&lt;Q&gt;Ticker0024^FE_ESTIMATE(PRODLINE_EBIT_16,MEAN,QUARTERLY_ROLL,2023/1F,45868,,,'')&lt;/Q&gt;&lt;R&gt;1&lt;/R&gt;&lt;C&gt;1&lt;/C&gt;&lt;D xsi:type="xsd:double"&gt;8954.6&lt;/D&gt;&lt;/FQL&gt;&lt;FQL&gt;&lt;Q&gt;Ticker0024^FE_ESTIMATE(PRODLINE_EBIT_16,MEAN,ANNUAL_ROLL,2022,45868,,,'')&lt;/Q&gt;&lt;R&gt;1&lt;/R&gt;&lt;C&gt;1&lt;/C&gt;&lt;D xsi:type="xsd:double"&gt;32708.6&lt;/D&gt;&lt;/FQL&gt;&lt;FQL&gt;&lt;Q&gt;Ticker0024^FE_ESTIMATE(PRODLINE_EBIT_16,MEAN,QUARTERLY_ROLL,2022/4F,45868,,,'')&lt;/Q&gt;&lt;R&gt;1&lt;/R&gt;&lt;C&gt;1&lt;/C&gt;&lt;D xsi:type="xsd:double"&gt;8668.8&lt;/D&gt;&lt;/FQL&gt;&lt;FQL&gt;&lt;Q&gt;Ticker0024^FE_ESTIMATE(PRODLINE_EBIT_16,MEAN,QUARTERLY_ROLL,2022/3F,45868,,,'')&lt;/Q&gt;&lt;R&gt;1&lt;/R&gt;&lt;C&gt;1&lt;/C&gt;&lt;D xsi:type="xsd:double"&gt;8281&lt;/D&gt;&lt;/FQL&gt;&lt;FQL&gt;&lt;Q&gt;Ticker0024^FE_ESTIMATE(PRODLINE_EBIT_16,MEAN,QUARTERLY_ROLL,2022/2F,45868,,,'')&lt;/Q&gt;&lt;R&gt;1&lt;/R&gt;&lt;C&gt;1&lt;/C&gt;&lt;D xsi:type="xsd:double"&gt;8197&lt;/D&gt;&lt;/FQL&gt;&lt;FQL&gt;&lt;Q&gt;Ticker0024^FE_ESTIMATE(PRODLINE_EBIT_16,MEAN,QUARTERLY_ROLL,2022/1F,45868,,,'')&lt;/Q&gt;&lt;R&gt;1&lt;/R&gt;&lt;C&gt;1&lt;/C&gt;&lt;D xsi:type="xsd:double"&gt;7562&lt;/D&gt;&lt;/FQL&gt;&lt;FQL&gt;&lt;Q&gt;Ticker0024^FE_ESTIMATE(PRODLINE_EBIT_16,MEAN,ANNUAL_ROLL,2021,45868,,,'')&lt;/Q&gt;&lt;R&gt;1&lt;/R&gt;&lt;C&gt;1&lt;/C&gt;&lt;D xsi:type="xsd:double"&gt;26126&lt;/D&gt;&lt;/FQL&gt;&lt;FQL&gt;&lt;Q&gt;Ticker0024^FE_ESTIMATE(PRODLINE_EBIT_16,MEAN,QUARTERLY_ROLL,2021/4F,45868,,,'')&lt;/Q&gt;&lt;R&gt;1&lt;/R&gt;&lt;C&gt;1&lt;/C&gt;&lt;D xsi:type="xsd:double"&gt;7787&lt;/D&gt;&lt;/FQL&gt;&lt;FQL&gt;&lt;Q&gt;Ticker0024^FE_ESTIMATE(PRODLINE_EBIT_16,MEAN,QUARTERLY_ROLL,2021/3F,45868,,,'')&lt;/Q&gt;&lt;R&gt;1&lt;/R&gt;&lt;C&gt;1&lt;/C&gt;&lt;D xsi:type="xsd:double"&gt;6425&lt;/D&gt;&lt;/FQL&gt;&lt;FQL&gt;&lt;Q&gt;Ticker0024^FE_ESTIMATE(PRODLINE_EBIT_16,MEAN,QUARTERLY_ROLL,2021/2F,45868,,,'')&lt;/Q&gt;&lt;R&gt;1&lt;/R&gt;&lt;C&gt;1&lt;/C&gt;&lt;D xsi:type="xsd:double"&gt;6492&lt;/D&gt;&lt;/FQL&gt;&lt;FQL&gt;&lt;Q&gt;Ticker0024^FE_ESTIMATE(PRODLINE_EBIT_16,MEAN,QUARTERLY_ROLL,2021/1F,45868,,,'')&lt;/Q&gt;&lt;R&gt;1&lt;/R&gt;&lt;C&gt;1&lt;/C&gt;&lt;D xsi:type="xsd:double"&gt;5422&lt;/D&gt;&lt;/FQL&gt;&lt;FQL&gt;&lt;Q&gt;Ticker0024^FE_ESTIMATE(PRODLINE_EBIT_16,MEAN,ANNUAL_ROLL,2020,45868,,,'')&lt;/Q&gt;&lt;R&gt;1&lt;/R&gt;&lt;C&gt;1&lt;/C&gt;&lt;D xsi:type="xsd:double"&gt;18188.334&lt;/D&gt;&lt;/FQL&gt;&lt;FQL&gt;&lt;Q&gt;Ticker0024^FE_ESTIMATE(PRODLINE_EBIT_16,MEAN,QUARTERLY_ROLL,2020/4F,45868,,,'')&lt;/Q&gt;&lt;R&gt;1&lt;/R&gt;&lt;C&gt;1&lt;/C&gt;&lt;D xsi:type="xsd:double"&gt;5208.3335&lt;/D&gt;&lt;/FQL&gt;&lt;FQL&gt;&lt;Q&gt;Ticker0024^FE_ESTIMATE(PRODLINE_EBIT_16,MEAN,QUARTERLY_ROLL,2020/3F,45868,,,'')&lt;/Q&gt;&lt;R&gt;1&lt;/R&gt;&lt;C&gt;1&lt;/C&gt;&lt;D xsi:type="xsd:double"&gt;4560&lt;/D&gt;&lt;/FQL&gt;&lt;FQL&gt;&lt;Q&gt;Ticker0024^FE_ESTIMATE(PRODLINE_EBIT_16,MEAN,QUARTERLY_ROLL,2020/2F,45868,,,'')&lt;/Q&gt;&lt;R&gt;1&lt;/R&gt;&lt;C&gt;1&lt;/C&gt;&lt;D xsi:type="xsd:double"&gt;4531&lt;/D&gt;&lt;/FQL&gt;&lt;FQL&gt;&lt;Q&gt;Ticker0024^FE_ESTIMATE(PRODLINE_EBIT_16,MEAN,QUARTERLY_ROLL,2020/1F,45868,,,'')&lt;/Q&gt;&lt;R&gt;1&lt;/R&gt;&lt;C&gt;1&lt;/C&gt;&lt;D xsi:type="xsd:double"&gt;3889&lt;/D&gt;&lt;/FQL&gt;&lt;FQL&gt;&lt;Q&gt;Ticker0024^FE_ESTIMATE(PRODLINE_EBIT_15,MEAN,ANNUAL_ROLL,2030,45868,,,'')&lt;/Q&gt;&lt;R&gt;0&lt;/R&gt;&lt;C&gt;0&lt;/C&gt;&lt;/FQL&gt;&lt;FQL&gt;&lt;Q&gt;Ticker0024^FE_ESTIMATE(PRODLINE_EBIT_15,MEAN,QUARTERLY_ROLL,2030/4F,45868,,,'')&lt;/Q&gt;&lt;R&gt;0&lt;/R&gt;&lt;C&gt;0&lt;/C&gt;&lt;/FQL&gt;&lt;FQL&gt;&lt;Q&gt;Ticker0024^FE_ESTIMATE(PRODLINE_EBIT_15,MEAN,QUARTERLY_ROLL,2030/3F,45868,,,'')&lt;/Q&gt;&lt;R&gt;0&lt;/R&gt;&lt;C&gt;0&lt;/C&gt;&lt;/FQL&gt;&lt;FQL&gt;&lt;Q&gt;Ticker0024^FE_ESTIMATE(PRODLINE_EBIT_15,MEAN,QUARTERLY_ROLL,2030/2F,45868,,,'')&lt;/Q&gt;&lt;R&gt;0&lt;/R&gt;&lt;C&gt;0&lt;/C&gt;&lt;/FQL&gt;&lt;FQL&gt;&lt;Q&gt;Ticker0024^FE_ESTIMATE(PRODLINE_EBIT_15,MEAN,QUARTERLY_ROLL,2030/1F,45868,,,'')&lt;/Q&gt;&lt;R&gt;0&lt;/R&gt;&lt;C&gt;0&lt;/C&gt;&lt;/FQL&gt;&lt;FQL&gt;&lt;Q&gt;Ticker0024^FE_ESTIMATE(PRODLINE_EBIT_15,MEAN,ANNUAL_ROLL,2029,45868,,,'')&lt;/Q&gt;&lt;R&gt;0&lt;/R&gt;&lt;C&gt;0&lt;/C&gt;&lt;/FQL&gt;&lt;FQL&gt;&lt;Q&gt;Ticker0024^FE_ESTIMATE(PRODLINE_EBIT_15,MEAN,QUARTERLY_ROLL,2029/4F,45868,,,'')&lt;/Q&gt;&lt;R&gt;0&lt;/R&gt;&lt;C&gt;0&lt;/C&gt;&lt;/FQL&gt;&lt;FQL&gt;&lt;Q&gt;Ticker0024^FE_ESTIMATE(PRODLINE_EBIT_15,MEAN,QUARTERLY_ROLL,2029/3F,45868,,,'')&lt;/Q&gt;&lt;R&gt;0&lt;/R&gt;&lt;C&gt;0&lt;/C&gt;&lt;/FQL&gt;&lt;FQL&gt;&lt;Q&gt;Ticker0024^FE_ESTIMATE(PRODLINE_EBIT_15,MEAN,QUARTERLY_ROLL,2029/2F,45868,,,'')&lt;/Q&gt;&lt;R&gt;0&lt;/R&gt;&lt;C&gt;0&lt;/C&gt;&lt;/FQL&gt;&lt;FQL&gt;&lt;Q&gt;Ticker0024^FE_ESTIMATE(PRODLINE_EBIT_15,MEAN,QUARTERLY_ROLL,2029/1F,45868,,,'')&lt;/Q&gt;&lt;R&gt;0&lt;/R&gt;&lt;C&gt;0&lt;/C&gt;&lt;/FQL&gt;&lt;FQL&gt;&lt;Q&gt;Ticker0024^FE_ESTIMATE(PRODLINE_EBIT_15,MEAN,ANNUAL_ROLL,2028,45868,,,'')&lt;/Q&gt;&lt;R&gt;0&lt;/R&gt;&lt;C&gt;0&lt;/C&gt;&lt;/FQL&gt;&lt;FQL&gt;&lt;Q&gt;Ticker0024^FE_ESTIMATE(PRODLINE_EBIT_15,MEAN,QUARTERLY_ROLL,2028/4F,45868,,,'')&lt;/Q&gt;&lt;R&gt;0&lt;/R&gt;&lt;C&gt;0&lt;/C&gt;&lt;/FQL&gt;&lt;FQL&gt;&lt;Q&gt;Ticker0024^FE_ESTIMATE(PRODLINE_EBIT_15,MEAN,QUARTERLY_ROLL,2028/3F,45868,,,'')&lt;/Q&gt;&lt;R&gt;0&lt;/R&gt;&lt;C&gt;0&lt;/C&gt;&lt;/FQL&gt;&lt;FQL&gt;&lt;Q&gt;Ticker0024^FE_ESTIMATE(PRODLINE_EBIT_15,MEAN,QUARTERLY_ROLL,2028/2F,45868,,,'')&lt;/Q&gt;&lt;R&gt;0&lt;/R&gt;&lt;C&gt;0&lt;/C&gt;&lt;/FQL&gt;&lt;FQL&gt;&lt;Q&gt;Ticker0024^FE_ESTIMATE(PRODLINE_EBIT_15,MEAN,QUARTERLY_ROLL,2028/1F,45868,,,'')&lt;/Q&gt;&lt;R&gt;0&lt;/R&gt;&lt;C&gt;0&lt;/C&gt;&lt;/FQL&gt;&lt;FQL&gt;&lt;Q&gt;Ticker0024^FE_ESTIMATE(PRODLINE_EBIT_15,MEAN,ANNUAL_ROLL,2027,45868,,,'')&lt;/Q&gt;&lt;R&gt;1&lt;/R&gt;&lt;C&gt;1&lt;/C&gt;&lt;D xsi:type="xsd:double"&gt;85813.336&lt;/D&gt;&lt;/FQL&gt;&lt;FQL&gt;&lt;Q&gt;Ticker0024^FE_ESTIMATE(PRODLINE_EBIT_15,MEAN,QUARTERLY_ROLL,2027/4F,45868,,,'')&lt;/Q&gt;&lt;R&gt;0&lt;/R&gt;&lt;C&gt;0&lt;/C&gt;&lt;/FQL&gt;&lt;FQL&gt;&lt;Q&gt;Ticker0024^FE_ESTIMATE(PRODLINE_EBIT_15,MEAN,QUARTERLY_ROLL,2027/3F,45868,,,'')&lt;/Q&gt;&lt;R&gt;0&lt;/R&gt;&lt;C&gt;0&lt;/C&gt;&lt;/FQL&gt;&lt;FQL&gt;&lt;Q&gt;Ticker0024^FE_ESTIMATE(PRODLINE_EBIT_15,MEAN,QUARTERLY_ROLL,2027/2F,45868,,,'')&lt;/Q&gt;&lt;R&gt;0&lt;/R&gt;&lt;C&gt;0&lt;/C&gt;&lt;/FQL&gt;&lt;FQL&gt;&lt;Q&gt;Ticker0024^FE_ESTIMATE(PRODLINE_EBIT_15,MEAN,QUARTERLY_ROLL,2027/1F,45868,,,'')&lt;/Q&gt;&lt;R&gt;0&lt;/R&gt;&lt;C&gt;0&lt;/C&gt;&lt;/FQL&gt;&lt;FQL&gt;&lt;Q&gt;Ticker0024^FE_ESTIMATE(PRODLINE_EBIT_15,MEAN,ANNUAL_ROLL,2026,45868,,,'')&lt;/Q&gt;&lt;R&gt;1&lt;/R&gt;&lt;C&gt;1&lt;/C&gt;&lt;D xsi:type="xsd:double"&gt;69634.5&lt;/D&gt;&lt;/FQL&gt;&lt;FQL&gt;&lt;Q&gt;Ticker0024^FE_ESTIMATE(PRODLINE_EBIT_15,MEAN,QUARTERLY_ROLL,2026/4F,45868,,,'')&lt;/Q&gt;&lt;R&gt;1&lt;/R&gt;&lt;C&gt;1&lt;/C&gt;&lt;D xsi:type="xsd:double"&gt;18193.5&lt;/D&gt;&lt;/FQL&gt;&lt;FQL&gt;&lt;Q&gt;Ticker0024^FE_ESTIMATE(PRODLINE_EBIT_15,MEAN,QUARTERLY_ROLL,2026/3F,45868,,,'')&lt;/Q&gt;&lt;R&gt;1&lt;/R&gt;&lt;C&gt;1&lt;/C&gt;&lt;D xsi:type="xsd:double"&gt;17482.25&lt;/D&gt;&lt;/FQL&gt;&lt;FQL&gt;&lt;Q&gt;Ticker0024^FE_ESTIMATE(PRODLINE_EBIT_15,MEAN,QUARTERLY_ROLL,2026/2F,45868,,,'')&lt;/Q&gt;&lt;R&gt;1&lt;/R&gt;&lt;C&gt;1&lt;/C&gt;&lt;D xsi:type="xsd:double"&gt;17261.5&lt;/D&gt;&lt;/FQL&gt;&lt;FQL&gt;&lt;Q&gt;Ticker0024^FE_ESTIMATE(PRODLINE_EBIT_15,MEAN,QUARTERLY_ROLL,2026/1F,45868,,,'')&lt;/Q&gt;&lt;R&gt;1&lt;/R&gt;&lt;C&gt;1&lt;/C&gt;&lt;D xsi:type="xsd:double"&gt;16697&lt;/D&gt;&lt;/FQL&gt;&lt;FQL&gt;&lt;Q&gt;Ticker0024^FE_ESTIMATE(PRODLINE_EBIT_15,MEAN,ANNUAL_ROLL,2025,45868,,,'')&lt;/Q&gt;&lt;R&gt;1&lt;/R&gt;&lt;C&gt;1&lt;/C&gt;&lt;D xsi:type="xsd:double"&gt;63884.8&lt;/D&gt;&lt;/FQL&gt;&lt;FQL&gt;&lt;Q&gt;Ticker0024^FE_ESTIMATE(PRODLINE_EBIT_15,MEAN,QUARTERLY_ROLL,2025/4F,45868,,,'')&lt;/Q&gt;&lt;R&gt;1&lt;/R&gt;&lt;C&gt;1&lt;/C&gt;&lt;D xsi:type="xsd:double"&gt;16534.2&lt;/D&gt;&lt;/FQL&gt;&lt;FQL&gt;&lt;Q&gt;Ticker0024^FE_ESTIMATE(PRODLINE_EBIT_15,MEAN,QUARTERLY_ROLL,2025/3F,45868,,,'')&lt;/</t>
        </r>
      </text>
    </comment>
    <comment ref="A72" authorId="0" shapeId="0" xr:uid="{F17C9CA2-F865-42A1-A3B3-04FC8BDBD2A9}">
      <text>
        <r>
          <rPr>
            <b/>
            <sz val="9"/>
            <color indexed="81"/>
            <rFont val="Tahoma"/>
            <family val="2"/>
          </rPr>
          <t>Author:type="xsd:double"&gt;15823.25&lt;/D&gt;&lt;/FQL&gt;&lt;FQL&gt;&lt;Q&gt;Ticker0024^FE_ESTIMATE(PRODLINE_EBIT_15,MEAN,QUARTERLY_ROLL,2025/2F,45868,,,'')&lt;/Q&gt;&lt;R&gt;1&lt;/R&gt;&lt;C&gt;1&lt;/C&gt;&lt;D xsi:type="xsd:double"&gt;15766.4&lt;/D&gt;&lt;/FQL&gt;&lt;FQL&gt;&lt;Q&gt;Ticker0024^FE_ESTIMATE(PRODLINE_EBIT_15,MEAN,QUARTERLY_ROLL,2025/1F,45868,,,'')&lt;/Q&gt;&lt;R&gt;1&lt;/R&gt;&lt;C&gt;1&lt;/C&gt;&lt;D xsi:type="xsd:double"&gt;15451.8&lt;/D&gt;&lt;/FQL&gt;&lt;FQL&gt;&lt;Q&gt;Ticker0024^FE_ESTIMATE(PRODLINE_EBIT_15,MEAN,ANNUAL_ROLL,2024,45868,,,'')&lt;/Q&gt;&lt;R&gt;1&lt;/R&gt;&lt;C&gt;1&lt;/C&gt;&lt;D xsi:type="xsd:double"&gt;40540&lt;/D&gt;&lt;/FQL&gt;&lt;FQL&gt;&lt;Q&gt;Ticker0024^FE_ESTIMATE(PRODLINE_EBIT_15,MEAN,QUARTERLY_ROLL,2024/4F,45868,,,'')&lt;/Q&gt;&lt;R&gt;1&lt;/R&gt;&lt;C&gt;1&lt;/C&gt;&lt;D xsi:type="xsd:double"&gt;10142.4&lt;/D&gt;&lt;/FQL&gt;&lt;FQL&gt;&lt;Q&gt;Ticker0024^FE_ESTIMATE(PRODLINE_EBIT_15,MEAN,QUARTERLY_ROLL,2024/3F,45868,,,'')&lt;/Q&gt;&lt;R&gt;1&lt;/R&gt;&lt;C&gt;1&lt;/C&gt;&lt;D xsi:type="xsd:double"&gt;10142.571&lt;/D&gt;&lt;/FQL&gt;&lt;FQL&gt;&lt;Q&gt;Ticker0024^FE_ESTIMATE(PRODLINE_EBIT_15,MEAN,QUARTERLY_ROLL,2024/2F,45868,,,'')&lt;/Q&gt;&lt;R&gt;1&lt;/R&gt;&lt;C&gt;1&lt;/C&gt;&lt;D xsi:type="xsd:double"&gt;10283.333&lt;/D&gt;&lt;/FQL&gt;&lt;FQL&gt;&lt;Q&gt;Ticker0024^FE_ESTIMATE(PRODLINE_EBIT_15,MEAN,QUARTERLY_ROLL,2024/1F,45868,,,'')&lt;/Q&gt;&lt;R&gt;1&lt;/R&gt;&lt;C&gt;1&lt;/C&gt;&lt;D xsi:type="xsd:double"&gt;9970&lt;/D&gt;&lt;/FQL&gt;&lt;FQL&gt;&lt;Q&gt;Ticker0024^FE_ESTIMATE(PRODLINE_EBIT_15,MEAN,ANNUAL_ROLL,2023,45868,,,'')&lt;/Q&gt;&lt;R&gt;1&lt;/R&gt;&lt;C&gt;1&lt;/C&gt;&lt;D xsi:type="xsd:double"&gt;34189.4&lt;/D&gt;&lt;/FQL&gt;&lt;FQL&gt;&lt;Q&gt;Ticker0024^FE_ESTIMATE(PRODLINE_EBIT_15,MEAN,QUARTERLY_ROLL,2023/4F,45868,,,'')&lt;/Q&gt;&lt;R&gt;1&lt;/R&gt;&lt;C&gt;1&lt;/C&gt;&lt;D xsi:type="xsd:double"&gt;9051.6&lt;/D&gt;&lt;/FQL&gt;&lt;FQL&gt;&lt;Q&gt;Ticker0024^FE_ESTIMATE(PRODLINE_EBIT_15,MEAN,QUARTERLY_ROLL,2023/3F,45868,,,'')&lt;/Q&gt;&lt;R&gt;1&lt;/R&gt;&lt;C&gt;1&lt;/C&gt;&lt;D xsi:type="xsd:double"&gt;8639.2&lt;/D&gt;&lt;/FQL&gt;&lt;FQL&gt;&lt;Q&gt;Ticker0024^FE_ESTIMATE(PRODLINE_EBIT_15,MEAN,QUARTERLY_ROLL,2023/2F,45868,,,'')&lt;/Q&gt;&lt;R&gt;1&lt;/R&gt;&lt;C&gt;1&lt;/C&gt;&lt;D xsi:type="xsd:double"&gt;8176&lt;/D&gt;&lt;/FQL&gt;&lt;FQL&gt;&lt;Q&gt;Ticker0024^FE_ESTIMATE(PRODLINE_EBIT_15,MEAN,QUARTERLY_ROLL,2023/1F,45868,,,'')&lt;/Q&gt;&lt;R&gt;1&lt;/R&gt;&lt;C&gt;1&lt;/C&gt;&lt;D xsi:type="xsd:double"&gt;8322.4&lt;/D&gt;&lt;/FQL&gt;&lt;FQL&gt;&lt;Q&gt;Ticker0024^FE_ESTIMATE(PRODLINE_EBIT_15,MEAN,ANNUAL_ROLL,2022,45868,,,'')&lt;/Q&gt;&lt;R&gt;1&lt;/R&gt;&lt;C&gt;1&lt;/C&gt;&lt;D xsi:type="xsd:double"&gt;29685&lt;/D&gt;&lt;/FQL&gt;&lt;FQL&gt;&lt;Q&gt;Ticker0024^FE_ESTIMATE(PRODLINE_EBIT_15,MEAN,QUARTERLY_ROLL,2022/4F,45868,,,'')&lt;/Q&gt;&lt;R&gt;1&lt;/R&gt;&lt;C&gt;1&lt;/C&gt;&lt;D xsi:type="xsd:double"&gt;7232&lt;/D&gt;&lt;/FQL&gt;&lt;FQL&gt;&lt;Q&gt;Ticker0024^FE_ESTIMATE(PRODLINE_EBIT_15,MEAN,QUARTERLY_ROLL,2022/3F,45868,,,'')&lt;/Q&gt;&lt;R&gt;1&lt;/R&gt;&lt;C&gt;1&lt;/C&gt;&lt;D xsi:type="xsd:double"&gt;7184&lt;/D&gt;&lt;/FQL&gt;&lt;FQL&gt;&lt;Q&gt;Ticker0024^FE_ESTIMATE(PRODLINE_EBIT_15,MEAN,QUARTERLY_ROLL,2022/2F,45868,,,'')&lt;/Q&gt;&lt;R&gt;1&lt;/R&gt;&lt;C&gt;1&lt;/C&gt;&lt;D xsi:type="xsd:double"&gt;7688&lt;/D&gt;&lt;/FQL&gt;&lt;FQL&gt;&lt;Q&gt;Ticker0024^FE_ESTIMATE(PRODLINE_EBIT_15,MEAN,QUARTERLY_ROLL,2022/1F,45868,,,'')&lt;/Q&gt;&lt;R&gt;1&lt;/R&gt;&lt;C&gt;1&lt;/C&gt;&lt;D xsi:type="xsd:double"&gt;7581&lt;/D&gt;&lt;/FQL&gt;&lt;FQL&gt;&lt;Q&gt;Ticker0024^FE_ESTIMATE(PRODLINE_EBIT_15,MEAN,ANNUAL_ROLL,2021,45868,,,'')&lt;/Q&gt;&lt;R&gt;1&lt;/R&gt;&lt;C&gt;1&lt;/C&gt;&lt;D xsi:type="xsd:double"&gt;24351&lt;/D&gt;&lt;/FQL&gt;&lt;FQL&gt;&lt;Q&gt;Ticker0024^FE_ESTIMATE(PRODLINE_EBIT_15,MEAN,QUARTERLY_ROLL,2021/4F,45868,,,'')&lt;/Q&gt;&lt;R&gt;1&lt;/R&gt;&lt;C&gt;1&lt;/C&gt;&lt;D xsi:type="xsd:double"&gt;6435&lt;/D&gt;&lt;/FQL&gt;&lt;FQL&gt;&lt;Q&gt;Ticker0024^FE_ESTIMATE(PRODLINE_EBIT_15,MEAN,QUARTERLY_ROLL,2021/3F,45868,,,'')&lt;/Q&gt;&lt;R&gt;1&lt;/R&gt;&lt;C&gt;1&lt;/C&gt;&lt;D xsi:type="xsd:double"&gt;6029&lt;/D&gt;&lt;/FQL&gt;&lt;FQL&gt;&lt;Q&gt;Ticker0024^FE_ESTIMATE(PRODLINE_EBIT_15,MEAN,QUARTERLY_ROLL,2021/2F,45868,,,'')&lt;/Q&gt;&lt;R&gt;1&lt;/R&gt;&lt;C&gt;1&lt;/C&gt;&lt;D xsi:type="xsd:double"&gt;6179.6665&lt;/D&gt;&lt;/FQL&gt;&lt;FQL&gt;&lt;Q&gt;Ticker0024^FE_ESTIMATE(PRODLINE_EBIT_15,MEAN,QUARTERLY_ROLL,2021/1F,45868,,,'')&lt;/Q&gt;&lt;R&gt;1&lt;/R&gt;&lt;C&gt;1&lt;/C&gt;&lt;D xsi:type="xsd:double"&gt;5706&lt;/D&gt;&lt;/FQL&gt;&lt;FQL&gt;&lt;Q&gt;Ticker0024^FE_ESTIMATE(PRODLINE_EBIT_15,MEAN,ANNUAL_ROLL,2020,45868,,,'')&lt;/Q&gt;&lt;R&gt;1&lt;/R&gt;&lt;C&gt;1&lt;/C&gt;&lt;D xsi:type="xsd:double"&gt;18781&lt;/D&gt;&lt;/FQL&gt;&lt;FQL&gt;&lt;Q&gt;Ticker0024^FE_ESTIMATE(PRODLINE_EBIT_15,MEAN,QUARTERLY_ROLL,2020/4F,45868,,,'')&lt;/Q&gt;&lt;R&gt;1&lt;/R&gt;&lt;C&gt;1&lt;/C&gt;&lt;D xsi:type="xsd:double"&gt;4029&lt;/D&gt;&lt;/FQL&gt;&lt;FQL&gt;&lt;Q&gt;Ticker0024^FE_ESTIMATE(PRODLINE_EBIT_15,MEAN,QUARTERLY_ROLL,2020/3F,45868,,,'')&lt;/Q&gt;&lt;R&gt;1&lt;/R&gt;&lt;C&gt;1&lt;/C&gt;&lt;D xsi:type="xsd:double"&gt;4788&lt;/D&gt;&lt;/FQL&gt;&lt;FQL&gt;&lt;Q&gt;Ticker0024^FE_ESTIMATE(PRODLINE_EBIT_15,MEAN,QUARTERLY_ROLL,2020/2F,45868,,,'')&lt;/Q&gt;&lt;R&gt;1&lt;/R&gt;&lt;C&gt;1&lt;/C&gt;&lt;D xsi:type="xsd:double"&gt;5182&lt;/D&gt;&lt;/FQL&gt;&lt;FQL&gt;&lt;Q&gt;Ticker0024^FE_ESTIMATE(PRODLINE_EBIT_15,MEAN,QUARTERLY_ROLL,2020/1F,45868,,,'')&lt;/Q&gt;&lt;R&gt;1&lt;/R&gt;&lt;C&gt;1&lt;/C&gt;&lt;D xsi:type="xsd:double"&gt;4782&lt;/D&gt;&lt;/FQL&gt;&lt;FQL&gt;&lt;Q&gt;Ticker0024^FE_ESTIMATE(GROSSINCOME,MEAN,ANNUAL_ROLL,2030,45868,,,'')&lt;/Q&gt;&lt;R&gt;0&lt;/R&gt;&lt;C&gt;0&lt;/C&gt;&lt;/FQL&gt;&lt;FQL&gt;&lt;Q&gt;Ticker0024^FE_ESTIMATE(GROSSINCOME,MEAN,QUARTERLY_ROLL,2030/4F,45868,,,'')&lt;/Q&gt;&lt;R&gt;0&lt;/R&gt;&lt;C&gt;0&lt;/C&gt;&lt;/FQL&gt;&lt;FQL&gt;&lt;Q&gt;Ticker0024^FE_ESTIMATE(GROSSINCOME,MEAN,QUARTERLY_ROLL,2030/3F,45868,,,'')&lt;/Q&gt;&lt;R&gt;0&lt;/R&gt;&lt;C&gt;0&lt;/C&gt;&lt;/FQL&gt;&lt;FQL&gt;&lt;Q&gt;Ticker0024^FE_ESTIMATE(GROSSINCOME,MEAN,QUARTERLY_ROLL,2030/2F,45868,,,'')&lt;/Q&gt;&lt;R&gt;0&lt;/R&gt;&lt;C&gt;0&lt;/C&gt;&lt;/FQL&gt;&lt;FQL&gt;&lt;Q&gt;Ticker0024^FE_ESTIMATE(GROSSINCOME,MEAN,QUARTERLY_ROLL,2030/1F,45868,,,'')&lt;/Q&gt;&lt;R&gt;0&lt;/R&gt;&lt;C&gt;0&lt;/C&gt;&lt;/FQL&gt;&lt;FQL&gt;&lt;Q&gt;Ticker0024^FE_ESTIMATE(GROSSINCOME,MEAN,ANNUAL_ROLL,2029,45868,,,'')&lt;/Q&gt;&lt;R&gt;1&lt;/R&gt;&lt;C&gt;1&lt;/C&gt;&lt;D xsi:type="xsd:double"&gt;324045.2&lt;/D&gt;&lt;/FQL&gt;&lt;FQL&gt;&lt;Q&gt;Ticker0024^FE_ESTIMATE(GROSSINCOME,MEAN,QUARTERLY_ROLL,2029/4F,45868,,,'')&lt;/Q&gt;&lt;R&gt;0&lt;/R&gt;&lt;C&gt;0&lt;/C&gt;&lt;/FQL&gt;&lt;FQL&gt;&lt;Q&gt;Ticker0024^FE_ESTIMATE(GROSSINCOME,MEAN,QUARTERLY_ROLL,2029/3F,45868,,,'')&lt;/Q&gt;&lt;R&gt;0&lt;/R&gt;&lt;C&gt;0&lt;/C&gt;&lt;/FQL&gt;&lt;FQL&gt;&lt;Q&gt;Ticker0024^FE_ESTIMATE(GROSSINCOME,MEAN,QUARTERLY_ROLL,2029/2F,45868,,,'')&lt;/Q&gt;&lt;R&gt;0&lt;/R&gt;&lt;C&gt;0&lt;/C&gt;&lt;/FQL&gt;&lt;FQL&gt;&lt;Q&gt;Ticker0024^FE_ESTIMATE(GROSSINCOME,MEAN,QUARTERLY_ROLL,2029/1F,45868,,,'')&lt;/Q&gt;&lt;R&gt;0&lt;/R&gt;&lt;C&gt;0&lt;/C&gt;&lt;/FQL&gt;&lt;FQL&gt;&lt;Q&gt;Ticker0024^FE_ESTIMATE(GROSSINCOME,MEAN,ANNUAL_ROLL,2028,45868,,,'')&lt;/Q&gt;&lt;R&gt;1&lt;/R&gt;&lt;C&gt;1&lt;/C&gt;&lt;D xsi:type="xsd:double"&gt;280220.84&lt;/D&gt;&lt;/FQL&gt;&lt;FQL&gt;&lt;Q&gt;Ticker0024^FE_ESTIMATE(GROSSINCOME,MEAN,QUARTERLY_ROLL,2028/4F,45868,,,'')&lt;/Q&gt;&lt;R&gt;0&lt;/R&gt;&lt;C&gt;0&lt;/C&gt;&lt;/FQL&gt;&lt;FQL&gt;&lt;Q&gt;Ticker0024^FE_ESTIMATE(GROSSINCOME,MEAN,QUARTERLY_ROLL,2028/3F,45868,,,'')&lt;/Q&gt;&lt;R&gt;0&lt;/R&gt;&lt;C&gt;0&lt;/C&gt;&lt;/FQL&gt;&lt;FQL&gt;&lt;Q&gt;Ticker0024^FE_ESTIMATE(GROSSINCOME,MEAN,QUARTERLY_ROLL,2028/2F,45868,,,'')&lt;/Q&gt;&lt;R&gt;0&lt;/R&gt;&lt;C&gt;0&lt;/C&gt;&lt;/FQL&gt;&lt;FQL&gt;&lt;Q&gt;Ticker0024^FE_ESTIMATE(GROSSINCOME,MEAN,QUARTERLY_ROLL,2028/1F,45868,,,'')&lt;/Q&gt;&lt;R&gt;0&lt;/R&gt;&lt;C&gt;0&lt;/C&gt;&lt;/FQL&gt;&lt;FQL&gt;&lt;Q&gt;Ticker0024^FE_ESTIMATE(GROSSINCOME,MEAN,ANNUAL_ROLL,2027,45868,,,'')&lt;/Q&gt;&lt;R&gt;1&lt;/R&gt;&lt;C&gt;1&lt;/C&gt;&lt;D xsi:type="xsd:double"&gt;244485.27&lt;/D&gt;&lt;/FQL&gt;&lt;FQL&gt;&lt;Q&gt;Ticker0024^FE_ESTIMATE(GROSSINCOME,MEAN,QUARTERLY_ROLL,2027/4F,45868,,,'')&lt;/Q&gt;&lt;R&gt;1&lt;/R&gt;&lt;C&gt;1&lt;/C&gt;&lt;D xsi:type="xsd:double"&gt;64165.332&lt;/D&gt;&lt;/FQL&gt;&lt;FQL&gt;&lt;Q&gt;Ticker0024^FE_ESTIMATE(GROSSINCOME,MEAN,QUARTERLY_ROLL,2027/3F,45868,,,'')&lt;/Q&gt;&lt;R&gt;1&lt;/R&gt;&lt;C&gt;1&lt;/C&gt;&lt;D xsi:type="xsd:double"&gt;61471&lt;/D&gt;&lt;/FQL&gt;&lt;FQL&gt;&lt;Q&gt;Ticker0024^FE_ESTIMATE(GROSSINCOME,MEAN,QUARTERLY_ROLL,2027/2F,45868,,,'')&lt;/Q&gt;&lt;R&gt;1&lt;/R&gt;&lt;C&gt;1&lt;/C&gt;&lt;D xsi:type="xsd:double"&gt;60398&lt;/D&gt;&lt;/FQL&gt;&lt;FQL&gt;&lt;Q&gt;Ticker0024^FE_ESTIMATE(GROSSINCOME,MEAN,QUARTERLY_ROLL,2027/1F,45868,,,'')&lt;/Q&gt;&lt;R&gt;1&lt;/R&gt;&lt;C&gt;1&lt;/C&gt;&lt;D xsi:type="xsd:double"&gt;57150.75&lt;/D&gt;&lt;/FQL&gt;&lt;FQL&gt;&lt;Q&gt;Ticker0024^FE_ESTIMATE(GROSSINCOME,MEAN,ANNUAL_ROLL,2026,45868,,,'')&lt;/Q&gt;&lt;R&gt;1&lt;/R&gt;&lt;C&gt;1&lt;/C&gt;&lt;D xsi:type="xsd:double"&gt;214904.66&lt;/D&gt;&lt;/FQL&gt;&lt;FQL&gt;&lt;Q&gt;Ticker0024^FE_ESTIMATE(GROSSINCOME,MEAN,QUARTERLY_ROLL,2026/4F,45868,,,'')&lt;/Q&gt;&lt;R&gt;1&lt;/R&gt;&lt;C&gt;1&lt;/C&gt;&lt;D xsi:type="xsd:double"&gt;56466.82&lt;/D&gt;&lt;/FQL&gt;&lt;FQL&gt;&lt;Q&gt;Ticker0024^FE_ESTIMATE(GROSSINCOME,MEAN,QUARTERLY_ROLL,2026/3F,45868,,,'')&lt;/Q&gt;&lt;R&gt;1&lt;/R&gt;&lt;C&gt;1&lt;/C&gt;&lt;D xsi:type="xsd:double"&gt;53905.58&lt;/D&gt;&lt;/FQL&gt;&lt;FQL&gt;&lt;Q&gt;Ticker0024^FE_ESTIMATE(GROSSINCOME,MEAN,QUARTERLY_ROLL,2026/2F,45868,,,'')&lt;/Q&gt;&lt;R&gt;1&lt;/R&gt;&lt;C&gt;1&lt;/C&gt;&lt;D xsi:type="xsd:double"&gt;53281.62&lt;/D&gt;&lt;/FQL&gt;&lt;FQL&gt;&lt;Q&gt;Ticker0024^FE_ESTIMATE(GROSSINCOME,MEAN,QUARTERLY_ROLL,2026/1F,45868,,,'')&lt;/Q&gt;&lt;R&gt;1&lt;/R&gt;&lt;C&gt;1&lt;/C&gt;&lt;D xsi:type="xsd:double"&gt;50527.715&lt;/D&gt;&lt;/FQL&gt;&lt;FQL&gt;&lt;Q&gt;Ticker0024^FE_ESTIMATE(GROSSINCOME,MEAN,ANNUAL_ROLL,2025,45868,,,'')&lt;/Q&gt;&lt;R&gt;1&lt;/R&gt;&lt;C&gt;1&lt;/C&gt;&lt;D xsi:type="xsd:double"&gt;191694.14&lt;/D&gt;&lt;/FQL&gt;&lt;FQL&gt;&lt;Q&gt;Ticker0024^FE_ESTIMATE(GROSSINCOME,MEAN,QUARTERLY_ROLL,2025/4F,45868,,,'')&lt;/Q&gt;&lt;R&gt;1&lt;/R&gt;&lt;C&gt;1&lt;/C&gt;&lt;D xsi:type="xsd:double"&gt;50135.992&lt;/D&gt;&lt;/FQL&gt;&lt;FQL&gt;&lt;Q&gt;Ticker0024^FE_ESTIMATE(GROSSINCOME,MEAN,QUARTERLY_ROLL,2025/3F,45868,,,'')&lt;/Q&gt;&lt;R&gt;1&lt;/R&gt;&lt;C&gt;1&lt;/C&gt;&lt;D xsi:type="xsd:double"&gt;48145.613&lt;/D&gt;&lt;/FQL&gt;&lt;FQL&gt;&lt;Q&gt;Ticker0024^FE_ESTIMATE(GROSSINCOME,MEAN,QUARTERLY_ROLL,2025/2F,45868,,,'')&lt;/Q&gt;&lt;R&gt;1&lt;/R&gt;&lt;C&gt;1&lt;/C&gt;&lt;D xsi:type="xsd:double"&gt;47831.84&lt;/D&gt;&lt;/FQL&gt;&lt;FQL&gt;&lt;Q&gt;Ticker0024^FE_ESTIMATE(GROSSINCOME,MEAN,QUARTERLY_ROLL,2025/1F,45868,,,'')&lt;/Q&gt;&lt;R&gt;1&lt;/R&gt;&lt;C&gt;1&lt;/C&gt;&lt;D xsi:type="xsd:double"&gt;45476.035&lt;/D&gt;&lt;/FQL&gt;&lt;FQL&gt;&lt;Q&gt;Ticker0024^FE_ESTIMATE(GROSSINCOME,MEAN,ANNUAL_ROLL,2024,45868,,,'')&lt;/Q&gt;&lt;R&gt;1&lt;/R&gt;&lt;C&gt;1&lt;/C&gt;&lt;D xsi:type="xsd:double"&gt;171008.06&lt;/D&gt;&lt;/FQL&gt;&lt;FQL&gt;&lt;Q&gt;Ticker0024^FE_ESTIMATE(GROSSINCOME,MEAN,QUARTERLY_ROLL,2024/4F,45868,,,'')&lt;/Q&gt;&lt;R&gt;1&lt;/R&gt;&lt;C&gt;1&lt;/C&gt;&lt;D xsi:type="xsd:double"&gt;45041.355&lt;/D&gt;&lt;/FQL&gt;&lt;FQL&gt;&lt;Q&gt;Ticker0024^FE_ESTIMATE(GROSSINCOME,MEAN,QUARTERLY_ROLL,2024/3F,45868,,,'')&lt;/Q&gt;&lt;R&gt;1&lt;/R&gt;&lt;C&gt;1&lt;/C&gt;&lt;D xsi:type="xsd:double"&gt;43354.293&lt;/D&gt;&lt;/FQL&gt;&lt;FQL&gt;&lt;Q&gt;Ticker0024^FE_ESTIMATE(GROSSINCOME,MEAN,QUARTERLY_ROLL,2024/2F,45868,,,'')&lt;/Q&gt;&lt;R&gt;1&lt;/R&gt;&lt;C&gt;1&lt;/C&gt;&lt;D xsi:type="xsd:double"&gt;42397.1&lt;/D&gt;&lt;/FQL&gt;&lt;FQL&gt;&lt;Q&gt;Ticker0024^FE_ESTIMATE(GROSSINCOME,MEAN,QUARTERLY_ROLL,2024/1F,45868,,,'')&lt;/Q&gt;&lt;R&gt;1&lt;/R&gt;&lt;C&gt;1&lt;/C&gt;&lt;D xsi:type="xsd:double"&gt;40215.17&lt;/D&gt;&lt;/FQL&gt;&lt;FQL&gt;&lt;Q&gt;Ticker0024^FE_ESTIMATE(GROSSINCOME,MEAN,ANNUAL_ROLL,2023,45868,,,'')&lt;/Q&gt;&lt;R&gt;1&lt;/R&gt;&lt;C&gt;1&lt;/C&gt;&lt;D xsi:type="xsd:double"&gt;146082.89&lt;/D&gt;&lt;/FQL&gt;&lt;FQL&gt;&lt;Q&gt;Ticker0024^FE_ESTIMATE(GROSSINCOME,MEAN,QUARTERLY_ROLL,2023/4F,45868,,,'')&lt;/Q&gt;&lt;R&gt;1&lt;/R&gt;&lt;C&gt;1&lt;/C&gt;&lt;D xsi:type="xsd:double"&gt;39388&lt;/D&gt;&lt;/FQL&gt;&lt;FQL&gt;&lt;Q&gt;Ticker0024^FE_ESTIMATE(GROSSINCOME,MEAN,QUARTERLY_ROLL,2023/3F,45868,,,'')&lt;/Q&gt;&lt;R&gt;1&lt;/R&gt;&lt;C&gt;1&lt;/C&gt;&lt;D xsi:type="xsd:double"&gt;36729.035&lt;/D&gt;&lt;/FQL&gt;&lt;FQL&gt;&lt;Q&gt;Ticker0024^FE_ESTIMATE(GROSSINCOME,MEAN,QUARTERLY_ROLL,2023/2F,45868,,,'')&lt;/Q&gt;&lt;R&gt;1&lt;/R&gt;&lt;C&gt;1&lt;/C&gt;&lt;D xsi:type="xsd:double"&gt;35294.117&lt;/D&gt;&lt;/FQL&gt;&lt;FQL&gt;&lt;Q&gt;Ticker0024^FE_ESTIMATE(GROSSINCOME,MEAN,QUARTERLY_ROLL,2023/1F,45868,,,'')&lt;/Q&gt;&lt;R&gt;1&lt;/R&gt;&lt;C&gt;1&lt;/C&gt;&lt;D xsi:type="xsd:double"&gt;34670&lt;/D&gt;&lt;/FQL&gt;&lt;FQL&gt;&lt;Q&gt;Ticker0024^FE_ESTIMATE(GROSSINCOME,MEAN,ANNUAL_ROLL,2022,45868,,,'')&lt;/Q&gt;&lt;R&gt;1&lt;/R&gt;&lt;C&gt;1&lt;/C&gt;&lt;D xsi:type="xsd:double"&gt;135605.53&lt;/D&gt;&lt;/FQL&gt;&lt;FQL&gt;&lt;Q&gt;Ticker0024^FE_ESTIMATE(GROSSINCOME,MEAN,QUARTERLY_ROLL,2022/4F,45868,,,'')&lt;/Q&gt;&lt;R&gt;1&lt;/R&gt;&lt;C&gt;1&lt;/C&gt;&lt;D xsi:type="xsd:double"&gt;35436&lt;/D&gt;&lt;/FQL&gt;&lt;FQL&gt;&lt;Q&gt;Ticker0024^FE_ESTIMATE(GROSSINCOME,MEAN,QUARTERLY_ROLL,2022/3F,45868,,,'')&lt;/Q&gt;&lt;R&gt;1&lt;/R&gt;&lt;C&gt;1&lt;/C&gt;&lt;D xsi:type="xsd:double"&gt;33744.957&lt;/D&gt;&lt;/FQL&gt;&lt;FQL&gt;&lt;Q&gt;Ticker0024^FE_ESTIMATE(GROSSINCOME,MEAN,QUARTERLY_ROLL,2022/2F,45868,,,'')&lt;/Q&gt;&lt;R&gt;1&lt;/R&gt;&lt;C&gt;1&lt;/C&gt;&lt;D xsi:type="xsd:double"&gt;34768&lt;/D&gt;&lt;/FQL&gt;&lt;FQL&gt;&lt;Q&gt;Ticker0024^FE_ESTIMATE(GROSSINCOME,MEAN,QUARTERLY_ROLL,2022/1F,45868,,,'')&lt;/Q&gt;&lt;R&gt;1&lt;/R&gt;&lt;C&gt;1&lt;/C&gt;&lt;D xsi:type="xsd:double"&gt;31671&lt;/D&gt;&lt;/FQL&gt;&lt;FQL&gt;&lt;Q&gt;Ticker0024^FE_ESTIMATE(GROSSINCOME,MEAN,ANNUAL_ROLL,2021,45868,,,'')&lt;/Q&gt;&lt;R&gt;1&lt;/R&gt;&lt;C&gt;1&lt;/C&gt;&lt;D xsi:type="xsd:double"&gt;115856.59&lt;/D&gt;&lt;/FQL&gt;&lt;FQL&gt;&lt;Q&gt;Ticker0024^FE_ESTIMATE(GROSSINCOME,MEAN,QUARTERLY_ROLL,2021/4F,45868,,,'')&lt;/Q&gt;&lt;R&gt;1&lt;/R&gt;&lt;C&gt;1&lt;/C&gt;&lt;D xsi:type="xsd:double"&gt;32161&lt;/D&gt;&lt;/FQL&gt;&lt;FQL&gt;&lt;Q&gt;Ticker0024^FE_ESTIMATE(GROSSINCOME,MEAN,QUARTERLY_ROLL,2021/3F,45868,,,'')&lt;/Q&gt;&lt;R&gt;1&lt;/R&gt;&lt;C&gt;1&lt;/C&gt;&lt;D xsi:type="xsd:double"&gt;28661&lt;/D&gt;&lt;/FQL&gt;&lt;FQL&gt;&lt;Q&gt;Ticker0024^FE_ESTIMATE(GROSSINCOME,MEAN,QUARTERLY_ROLL,2021/2F,45868,,,'')&lt;/Q&gt;&lt;R&gt;1&lt;/R&gt;&lt;C&gt;1&lt;/C&gt;&lt;D xsi:type="xsd:double"&gt;28882&lt;/D&gt;&lt;/FQL&gt;&lt;FQL&gt;&lt;Q&gt;Ticker0024^FE_ESTIMATE(GROSSINCOME,MEAN,QUARTERLY_ROLL,2021/1F,45868,,,'')&lt;/Q&gt;&lt;R&gt;1&lt;/R&gt;&lt;C&gt;1&lt;/C&gt;&lt;D xsi:type="xsd:double"&gt;26152&lt;/D&gt;&lt;/FQL&gt;&lt;FQL&gt;&lt;Q&gt;Ticker0024^FE_ESTIMATE(GROSSINCOME,MEAN,ANNUAL_ROLL,2020,45868,,,'')&lt;/Q&gt;&lt;R&gt;1&lt;/R&gt;&lt;C&gt;1&lt;/C&gt;&lt;D xsi:type="xsd:double"&gt;96940.4&lt;/D&gt;&lt;/FQL&gt;&lt;FQL&gt;&lt;Q&gt;Ticker0024^FE_ESTIMATE(GROSSINCOME,MEAN,QUARTERLY_ROLL,2020/4F,45868,,,'')&lt;/Q&gt;&lt;R&gt;1&lt;/R&gt;&lt;C&gt;1&lt;/C&gt;&lt;D xsi:type="xsd:double"&gt;25698.295&lt;/D&gt;&lt;/FQL&gt;&lt;FQL&gt;&lt;Q&gt;Ticker0024^FE_ESTIMATE(GROSSINCOME,MEAN,QUARTERLY_ROLL,2020/3F,45868,,,'')&lt;/Q&gt;&lt;R&gt;1&lt;/R&gt;&lt;C&gt;1&lt;/C&gt;&lt;D xsi:type="xsd:double"&gt;24046&lt;/D&gt;&lt;/FQL&gt;&lt;FQL&gt;&lt;Q&gt;Ticker0024^FE_ESTIMATE(GROSSINCOME,MEAN,QUARTERLY_ROLL,2020/2F,45868,,,'')&lt;/Q&gt;&lt;R&gt;1&lt;/R&gt;&lt;C&gt;1&lt;/C&gt;&lt;D xsi:type="xsd:double"&gt;24548&lt;/D&gt;&lt;/FQL&gt;&lt;FQL&gt;&lt;Q&gt;Ticker0024^FE_ESTIMATE(GROSSINCOME,MEAN,QUARTERLY_ROLL,2020/1F,45868,,,'')&lt;/Q&gt;&lt;R&gt;1&lt;/R&gt;&lt;C&gt;1&lt;/C&gt;&lt;D xsi:type="xsd:double"&gt;22649&lt;/D&gt;&lt;/FQL&gt;&lt;FQL&gt;&lt;Q&gt;Ticker0024^FE_ESTIMATE(SALES,MEAN,ANNUAL_ROLL,2030,45868,,,'')&lt;/Q&gt;&lt;R&gt;1&lt;/R&gt;&lt;C&gt;1&lt;/C&gt;&lt;D xsi:type="xsd:double"&gt;557339&lt;/D&gt;&lt;/FQL&gt;&lt;FQL&gt;&lt;Q&gt;Ticker0024^FE_ESTIMATE(SALES,MEAN,QUARTERLY_ROLL,2030/4F,45868,,,'')&lt;/Q&gt;&lt;R&gt;0&lt;/R&gt;&lt;C&gt;0&lt;/C&gt;&lt;/FQL&gt;&lt;FQL&gt;&lt;Q&gt;Ticker0024^FE_ESTIMATE(SALES,MEAN,QUARTERLY_ROLL,2030/3F,45868,,,'')&lt;/Q&gt;&lt;R&gt;0&lt;/R&gt;&lt;C&gt;0&lt;/C&gt;&lt;/FQL&gt;&lt;FQL&gt;&lt;Q&gt;Ticker0024^FE_ESTIMATE(SALES,MEAN,QUARTERLY_ROLL,2030/2F,45868,,,'')&lt;/Q&gt;&lt;R&gt;0&lt;/R&gt;&lt;C&gt;0&lt;/C&gt;&lt;/FQL&gt;&lt;FQL&gt;&lt;Q&gt;Ticker0024^FE_ESTIMATE(SALES,MEAN,QUARTERLY_ROLL,2030/1F,45868,,,'')&lt;/Q&gt;&lt;R&gt;0&lt;/R&gt;&lt;C&gt;0&lt;/C&gt;&lt;/FQL&gt;&lt;FQL&gt;&lt;Q&gt;Ticker0024^FE_ESTIMATE(SALES,MEAN,ANNUAL_ROLL,2029,45868,,,'')&lt;/Q&gt;&lt;R&gt;1&lt;/R&gt;&lt;C&gt;1&lt;/C&gt;&lt;D xsi:type="xsd:double"&gt;477048.3&lt;/D&gt;&lt;/FQL&gt;&lt;FQL&gt;&lt;Q&gt;Ticker0024^FE_ESTIMATE(SALES,MEAN,QUARTERLY_ROLL,2029/4F,45868,,,'')&lt;/Q&gt;&lt;R&gt;0&lt;/R&gt;&lt;C&gt;0&lt;/C&gt;&lt;/FQL&gt;&lt;FQL&gt;&lt;Q&gt;Ticker0024^FE_ESTIMATE(SALES,MEAN,QUARTERLY_ROLL,2029/3F,45868,,,'')&lt;/Q&gt;&lt;R&gt;0&lt;/R&gt;&lt;C&gt;0&lt;/C&gt;&lt;/FQL&gt;&lt;FQL&gt;&lt;Q&gt;Ticker0024^FE_ESTIMATE(SALES,MEAN,QUARTERLY_ROLL,2029/2F,45868,,,'')&lt;/Q&gt;&lt;R&gt;0&lt;/R&gt;&lt;C&gt;0&lt;/C&gt;&lt;/FQL&gt;&lt;FQL&gt;&lt;Q&gt;Ticker0024^FE_ESTIMATE(SALES,MEAN,QUARTERLY_ROLL,2029/1F,45868,,,'')&lt;/Q&gt;&lt;R&gt;0&lt;/R&gt;&lt;C&gt;0&lt;/C&gt;&lt;/FQL&gt;&lt;FQL&gt;&lt;Q&gt;Ticker0024^FE_ESTIMATE(SALES,MEAN,ANNUAL_ROLL,2028,45868,,,'')&lt;/Q&gt;&lt;R&gt;1&lt;/R&gt;&lt;C&gt;1&lt;/C&gt;&lt;D xsi:type="xsd:double"&gt;419495.75&lt;/D&gt;&lt;/FQL&gt;&lt;FQL&gt;&lt;Q&gt;Ticker0024^FE_ESTIMATE(SALES,MEAN,QUARTERLY_ROLL,2028/4F,45868,,,'')&lt;/Q&gt;&lt;R&gt;1&lt;/R&gt;&lt;C&gt;1&lt;/C&gt;&lt;D xsi:type="xsd:double"&gt;108800.07&lt;/D&gt;&lt;/FQL&gt;&lt;FQL&gt;&lt;Q&gt;Ticker0024^FE_ESTIMATE(SALES,MEAN,QUARTERLY_ROLL,2028/3F,45868,,,'')&lt;/Q&gt;&lt;R&gt;1&lt;/R&gt;&lt;C&gt;1&lt;/C&gt;&lt;D xsi:type="xsd:double"&gt;104511.42&lt;/D&gt;&lt;/FQL&gt;&lt;FQL&gt;&lt;Q&gt;Ticker0024^FE_ESTIMATE(SALES,MEAN,QUARTERLY_ROLL,2028/2F,45868,,,'')&lt;/Q&gt;&lt;R&gt;1&lt;/R&gt;&lt;C&gt;1&lt;/C&gt;&lt;D xsi:type="xsd:double"&gt;101948.69&lt;/D&gt;&lt;/FQL&gt;&lt;FQL&gt;&lt;Q&gt;Ticker0024^FE_ESTIMATE(SALES,MEAN,QUARTERLY_ROLL,2028/1F,45868,,,'')&lt;/Q&gt;&lt;R&gt;1&lt;/R&gt;&lt;C&gt;1&lt;/C&gt;&lt;D xsi:type="xsd:double"&gt;96445.89&lt;/D&gt;&lt;/FQL&gt;&lt;FQL&gt;&lt;Q&gt;Ticker0024^FE_ESTIMATE(SALES,MEAN,ANNUAL_ROLL,2027,45868,,,'')&lt;/Q&gt;&lt;R&gt;1&lt;/R&gt;&lt;C&gt;1&lt;/C&gt;&lt;D xsi:type="xsd:double"&gt;362865.25&lt;/D&gt;&lt;/FQL&gt;&lt;FQL&gt;&lt;Q&gt;Ticker0024^FE_ESTIMATE(SALES,MEAN,QUARTERLY_ROLL,2027/4F,45868,,,'')&lt;/Q&gt;&lt;R&gt;1&lt;/R&gt;&lt;C&gt;1&lt;/C&gt;&lt;D xsi:type="xsd:double"&gt;95324.63&lt;/D&gt;&lt;/FQL&gt;&lt;FQL&gt;&lt;Q&gt;Ticker0024^FE_ESTIMATE(SALES,MEAN,QUARTERLY_ROLL,2027/3F,45868,,,'')&lt;/Q&gt;&lt;R&gt;1&lt;/R&gt;&lt;C&gt;1&lt;/C&gt;&lt;D xsi:type="xsd:double"&gt;90763.49&lt;/D&gt;&lt;/FQL&gt;&lt;FQL&gt;&lt;Q&gt;Ticker0024^FE_ESTIMATE(SALES,MEAN,QUARTERLY_ROLL,2027/2F,45868,,,'')&lt;/Q&gt;&lt;R&gt;1&lt;/R&gt;&lt;C&gt;1&lt;/C&gt;&lt;D xsi:type="xsd:double"&gt;89454.266&lt;/D&gt;&lt;/FQL&gt;&lt;FQL&gt;&lt;Q&gt;Ticker0024^FE_ESTIMATE(SALES,MEAN,QUARTERLY_ROLL,2027/1F,45868,,,'')&lt;/Q&gt;&lt;R&gt;1&lt;/R&gt;&lt;C&gt;1&lt;/C&gt;&lt;D xsi:type="xsd:double"&gt;84521.69&lt;/D&gt;&lt;/FQL&gt;&lt;FQL&gt;&lt;Q&gt;Ticker0024^FE_ESTIMATE(SALES,MEAN,ANNUAL_ROLL,2026,45868,,,'')&lt;/Q&gt;&lt;R&gt;1&lt;/R&gt;&lt;C&gt;1&lt;/C&gt;&lt;D xsi:type="xsd:double"&gt;317047.75&lt;/D&gt;&lt;/FQL&gt;&lt;FQL&gt;&lt;Q&gt;Ticker0024^FE_ESTIMATE(SALES,MEAN,QUARTERLY_ROLL,2026/4F,45868,,,'')&lt;/Q&gt;&lt;R&gt;1&lt;/R&gt;&lt;C&gt;1&lt;/C&gt;&lt;D xsi:type="xsd:double"&gt;83477.93&lt;/D&gt;&lt;/FQL&gt;&lt;FQL&gt;&lt;Q&gt;Ticker0024^FE_ESTIMATE(SALES,MEAN,QUARTERLY_ROLL,2026/3F,45868,,,'')&lt;/Q&gt;&lt;R&gt;1&lt;/R&gt;&lt;C&gt;1&lt;/C&gt;&lt;D xsi:type="xsd:double"&gt;79395.445&lt;/D&gt;&lt;/FQL&gt;&lt;FQL&gt;&lt;Q&gt;Ticker0024^FE_ESTIMATE(SALES,MEAN,QUARTERLY_ROLL,2026/2F,45868,,,'')&lt;/Q&gt;&lt;R&gt;1&lt;/R&gt;&lt;C&gt;1&lt;/C&gt;&lt;D xsi:type="xsd:double"&gt;78720.555&lt;/D&gt;&lt;/FQL&gt;&lt;FQL&gt;&lt;Q&gt;Ticker0024^FE_ESTIMATE(SALES,MEAN,QUARTERLY_ROLL,2026/1F,45868,,,'')&lt;/Q&gt;&lt;R&gt;1&lt;/R&gt;&lt;C&gt;1&lt;/C&gt;&lt;D xsi:type="xsd:double"&gt;74146.44&lt;/D&gt;&lt;/FQL&gt;&lt;FQL&gt;&lt;Q&gt;Ticker0024^FE_ESTIMATE(SALES,MEAN,ANNUAL_ROLL,2025,45868,,,'')&lt;/Q&gt;&lt;R&gt;1&lt;/R&gt;&lt;C&gt;1&lt;/C&gt;&lt;D xsi:type="xsd:double"&gt;279211.2&lt;/D&gt;&lt;/FQL&gt;&lt;FQL&gt;&lt;Q&gt;Ticker0024^FE_ESTIMATE(SALES,MEAN,QUARTERLY_ROLL,2025/4F,45868,,,'')&lt;/Q&gt;&lt;R&gt;1&lt;/R&gt;&lt;C&gt;1&lt;/C&gt;&lt;D xsi:type="xsd:double"&gt;73858.31&lt;/D&gt;&lt;/FQL&gt;&lt;FQL&gt;&lt;Q&gt;Ticker0024^FE_ESTIMATE(SALES,MEAN,QUARTERLY_ROLL,2025/3F,45868,,,'')&lt;/Q&gt;&lt;R&gt;1&lt;/R&gt;&lt;C&gt;1&lt;/C&gt;&lt;D xsi:type="xsd:double"&gt;70066&lt;/D&gt;&lt;/FQL&gt;&lt;FQL&gt;&lt;Q&gt;Ticker0024^FE_ESTIMATE(SALES,MEAN,QUARTERLY_ROLL,2025/2F,45868,,,'')&lt;/Q&gt;&lt;R&gt;1&lt;/R&gt;&lt;C&gt;1&lt;/C&gt;&lt;D xsi:type="xsd:double"&gt;69632&lt;/D&gt;&lt;/FQL&gt;&lt;FQL&gt;&lt;Q&gt;Ticker0024^FE_ESTIMATE(SALES,MEAN,QUARTERLY_ROLL,2025/1F,45868,,,'')&lt;/Q&gt;&lt;R&gt;1&lt;/R&gt;&lt;C&gt;1&lt;/C&gt;&lt;D xsi:type="xsd:double"&gt;65585&lt;/D&gt;&lt;/FQL&gt;&lt;FQL&gt;&lt;Q&gt;Ticker0024^FE_ESTIMATE(SALES,MEAN,ANNUAL_ROLL,2024,45868,,,'')&lt;/Q&gt;&lt;R&gt;1&lt;/R&gt;&lt;C&gt;1&lt;/C&gt;&lt;D xsi:type="xsd:double"&gt;245122&lt;/D&gt;&lt;/FQL&gt;&lt;FQL&gt;&lt;Q&gt;Ticker0024^FE_ESTIMATE(SALES,MEAN,QUARTERLY_ROLL,2024/4F,45868,,,'')&lt;/Q&gt;&lt;R&gt;1&lt;/R&gt;&lt;C&gt;1&lt;/C&gt;&lt;D xsi:type="xsd:double"&gt;64727&lt;/D&gt;&lt;/FQL&gt;&lt;FQL&gt;&lt;Q&gt;Ticker0024^FE_ESTIMATE(SALES,MEAN,QUARTERLY_ROLL,2024/3F,45868,,,'')&lt;/Q&gt;&lt;R&gt;1&lt;/R&gt;&lt;C&gt;1&lt;/C&gt;&lt;D xsi:type="xsd:double"&gt;61858&lt;/D&gt;&lt;/FQL&gt;&lt;FQL&gt;&lt;Q&gt;Ticker0024^FE_ESTIMATE(SALES,MEAN,QUARTERLY_ROLL,2024/2F,45868,,,'')&lt;/Q&gt;&lt;R&gt;1&lt;/R&gt;&lt;C&gt;1&lt;/C&gt;&lt;D xsi:type="xsd:double"&gt;62020&lt;/D&gt;&lt;/FQL&gt;&lt;FQL&gt;&lt;Q&gt;Ticker0024^FE_ESTIMATE(SALES,MEAN,QUARTERLY_ROLL,2024/1F,45868,,,'')&lt;/Q&gt;&lt;R&gt;1&lt;/R&gt;&lt;C&gt;1&lt;/C&gt;&lt;D xsi:type="xsd:double"&gt;56517&lt;/D&gt;&lt;/FQL&gt;&lt;FQL&gt;&lt;Q&gt;Ticker0024^FE_ESTIMATE(SALES,MEAN,ANNUAL_ROLL,2023,45868,,,'')&lt;/Q&gt;&lt;R&gt;1&lt;/R&gt;&lt;C&gt;1&lt;/C&gt;&lt;D xsi:type="xsd:double"&gt;211915&lt;/D&gt;&lt;/FQL&gt;&lt;FQL&gt;&lt;Q&gt;Ticker0024^FE_ESTIMATE(SALES,MEAN,QUARTERLY_ROLL,2023/4F,45868,,,'')&lt;/Q&gt;&lt;R&gt;1&lt;/R&gt;&lt;C&gt;1&lt;/C&gt;&lt;D xsi:type="xsd:double"&gt;56189&lt;/D&gt;&lt;/FQL&gt;&lt;FQL&gt;&lt;Q&gt;Ticker0024^FE_ESTIMATE(SALES,MEAN,QUARTERLY_ROLL,2023/3F,45868,,,'')&lt;/Q&gt;&lt;R&gt;1&lt;/R&gt;&lt;C&gt;1&lt;/C&gt;&lt;D xsi:type="xsd:double"&gt;52857&lt;/D&gt;&lt;/FQL&gt;&lt;FQL&gt;&lt;Q&gt;Ticker0024^FE_ESTIMATE(SALES,MEAN,QUARTERLY_ROLL,2023/2F,45868,,,'')&lt;/Q&gt;&lt;R&gt;1&lt;/R&gt;&lt;C&gt;1&lt;/C&gt;&lt;D xsi:type="xsd:double"&gt;52747&lt;/D&gt;&lt;/FQL&gt;&lt;FQL&gt;&lt;Q&gt;Ticker0024^FE_ESTIMATE(SALES,MEAN,QUARTERLY_ROLL,2023/1F,45868,,,'')&lt;/Q&gt;&lt;R&gt;1&lt;/R&gt;&lt;C&gt;1&lt;/C&gt;&lt;D xsi:type="xsd:double"&gt;50122&lt;/D&gt;&lt;/FQL&gt;&lt;FQL&gt;&lt;Q&gt;Ticker0024^FE_ESTIMATE(SALES,MEAN,ANNUAL_ROLL,2022,45868,,,'')&lt;/Q&gt;&lt;R&gt;1&lt;/R&gt;&lt;C&gt;1&lt;/C&gt;&lt;D xsi:type="xsd:double"&gt;198270&lt;/D&gt;&lt;/FQL&gt;&lt;FQL&gt;&lt;Q&gt;Ticker0024^FE_ESTIMATE(SALES,MEAN,QUARTERLY_ROLL,2022/4F,45868,,,'')&lt;/Q&gt;&lt;R&gt;1&lt;/R&gt;&lt;C&gt;1&lt;/C&gt;&lt;D xsi:type="xsd:double"&gt;51865&lt;/D&gt;&lt;/FQL&gt;&lt;FQL&gt;&lt;Q&gt;Ticker0024^FE_ESTIMATE(SALES,MEAN,QUARTERLY_ROLL,2022/3F,45868,,,'')&lt;/Q&gt;&lt;R&gt;1&lt;/R&gt;&lt;C&gt;1&lt;/C&gt;&lt;D xsi:type="xsd:double"&gt;49360&lt;/D&gt;&lt;/FQL&gt;&lt;FQL&gt;&lt;Q&gt;Ticker0024^FE_ESTIMATE(SALES,MEAN,QUARTERLY_ROLL,2022/2F,45868,,,'')&lt;/Q&gt;&lt;R&gt;1&lt;/R&gt;&lt;C&gt;1&lt;/C&gt;&lt;D xsi:type="xsd:double"&gt;51728&lt;/D&gt;&lt;/FQL&gt;&lt;FQL&gt;&lt;Q&gt;Ticker0024^FE_ESTIMATE(SALES,MEAN,QUARTERLY_ROLL,2022/1F,45868,,,'')&lt;/Q&gt;&lt;R&gt;1&lt;/R&gt;&lt;C&gt;1&lt;/C&gt;&lt;D xsi:type="xsd:double"&gt;45317&lt;/D&gt;&lt;/FQL&gt;&lt;FQL&gt;&lt;Q&gt;Ticker0024^FE_ESTIMATE(SALES,MEAN,ANNUAL_ROLL,2021,45868,,,'')&lt;/Q&gt;&lt;R&gt;1&lt;/R&gt;&lt;C&gt;1&lt;/C&gt;&lt;D xsi:type="xsd:double"&gt;168088&lt;/D&gt;&lt;/FQL&gt;&lt;FQL&gt;&lt;Q&gt;Ticker0024^FE_ESTIMATE(SALES,MEAN,QUARTERLY_ROLL,2021/4F,45868,,,'')&lt;/Q&gt;&lt;R&gt;1&lt;/R&gt;&lt;C&gt;1&lt;/C&gt;&lt;D xsi:type="xsd:double"&gt;46152&lt;/D&gt;&lt;/FQL&gt;&lt;FQL&gt;&lt;Q&gt;Ticker0024^FE_ESTIMATE(SALES,MEAN,QUARTERLY_ROLL,2021/3F,45868,,,'')&lt;/Q&gt;&lt;R&gt;1&lt;/R&gt;&lt;C&gt;1&lt;/C&gt;&lt;D xsi:type="xsd:double"&gt;41706&lt;/D&gt;&lt;/FQL&gt;&lt;FQL&gt;&lt;Q&gt;Ticker0024^FE_ESTIMATE(SALES,MEAN,QUARTERLY_ROLL,2021/2F,45868,,,'')&lt;/Q&gt;&lt;R&gt;1&lt;/R&gt;&lt;C&gt;1&lt;/C&gt;&lt;D xsi:type="xsd:double"&gt;43076&lt;/D&gt;&lt;/FQL&gt;&lt;FQL&gt;&lt;Q&gt;Ticker0024^FE_ESTIMATE(SALES,MEAN,QUARTERLY_ROLL,2021/1F,45868,,,'')&lt;/Q&gt;&lt;R&gt;1&lt;/R&gt;&lt;C&gt;1&lt;/C&gt;&lt;D xsi:type="xsd:double"&gt;37154&lt;/D&gt;&lt;/FQL&gt;&lt;FQL&gt;&lt;Q&gt;Ticker0024^FE_ESTIMATE(SALES,MEAN,ANNUAL_ROLL,2020,45868,,,'')&lt;/Q&gt;&lt;R&gt;1&lt;/R&gt;&lt;C&gt;1&lt;/C&gt;&lt;D xsi:type="xsd:double"&gt;143015&lt;/D&gt;&lt;/FQL&gt;&lt;FQL&gt;&lt;Q&gt;Ticker0024^FE_ESTIMATE(SALES,MEAN,QUARTERLY_ROLL,2020/4F,45868,,,'')&lt;/Q&gt;&lt;R&gt;1&lt;/R&gt;&lt;C&gt;1&lt;/C&gt;&lt;D xsi:type="xsd:double"&gt;38033&lt;/D&gt;&lt;/FQL&gt;&lt;FQL&gt;&lt;Q&gt;Ticker0024^FE_ESTIMATE(SALES,MEAN,QUARTERLY_ROLL,2020/3F,45868,,,'')&lt;/Q&gt;&lt;R&gt;1&lt;/R&gt;&lt;C&gt;1&lt;/C&gt;&lt;D xsi:type="xsd:double"&gt;35021&lt;/D&gt;&lt;/FQL&gt;&lt;FQL&gt;&lt;Q&gt;Ticker0024^FE_ESTIMATE(SALES,MEAN,QUARTERLY_ROLL,2020/2F,45868,,,'')&lt;/Q&gt;&lt;R&gt;1&lt;/R&gt;&lt;C&gt;1&lt;/C&gt;&lt;D xsi:type="xsd:double"&gt;36906&lt;/D&gt;&lt;/FQL&gt;&lt;FQL&gt;&lt;Q&gt;Ticker0024^FE_ESTIMATE(SALES,MEAN,QUARTERLY_ROLL,2020/1F,45868,,,'')&lt;/Q&gt;&lt;R&gt;1&lt;/R&gt;&lt;C&gt;1&lt;/C&gt;&lt;D xsi:type="xsd:double"&gt;33055&lt;/D&gt;&lt;/FQL&gt;&lt;FQL&gt;&lt;Q&gt;Ticker0024^FE_ESTIMATE(PRODLINE_SALES_17,MEAN,ANNUAL_ROLL,2030,45868,,,'')&lt;/Q&gt;&lt;R&gt;0&lt;/R&gt;&lt;C&gt;0&lt;/C&gt;&lt;/FQL&gt;&lt;FQL&gt;&lt;Q&gt;Ticker0024^FE_ESTIMATE(PRODLINE_SALES_17,MEAN,QUARTERLY_ROLL,2030/4F,45868,,,'')&lt;/Q&gt;&lt;R&gt;0&lt;/R&gt;&lt;C&gt;0&lt;/C&gt;&lt;/FQL&gt;&lt;FQL&gt;&lt;Q&gt;Ticker0024^FE_ESTIMATE(PRODLINE_SALES_17,MEAN,QUARTERLY_ROLL,2030/3F,45868,,,'')&lt;/Q&gt;&lt;R&gt;0&lt;/R&gt;&lt;C&gt;0&lt;/C&gt;&lt;/FQL&gt;&lt;FQL&gt;&lt;Q&gt;Ticker0024^FE_ESTIMATE(PRODLINE_SALES_17,MEAN,QUARTERLY_ROLL,2030/2F,45868,,,'')&lt;/Q&gt;&lt;R&gt;0&lt;/R&gt;&lt;C&gt;0&lt;/C&gt;&lt;/FQL&gt;&lt;FQL&gt;&lt;Q&gt;Ticker0024^FE_ESTIMATE(PRODLINE_SALES_17,MEAN,QUARTERLY_ROLL,2030/1F,45868,,,'')&lt;/Q&gt;&lt;R&gt;0&lt;/R&gt;&lt;C&gt;0&lt;/C&gt;&lt;/FQL&gt;&lt;FQL&gt;&lt;Q&gt;Ticker0024^FE_ESTIMATE(PRODLINE_SALES_17,MEAN,ANNUAL_ROLL,2029,45868,,,'')&lt;/Q&gt;&lt;R&gt;0&lt;/R&gt;&lt;C&gt;0&lt;/C&gt;&lt;/FQL&gt;&lt;FQL&gt;&lt;Q&gt;Ticker0024^FE_ESTIMATE(PRODLINE_SALES_17,MEAN,QUARTERLY_ROLL,2029/4F,45868,,,'')&lt;/Q&gt;&lt;R&gt;0&lt;/R&gt;&lt;C&gt;0&lt;/C&gt;&lt;/FQL&gt;&lt;FQL&gt;&lt;Q&gt;Ticker0024^FE_ESTIMATE(PRODLINE_SALES_17,MEAN,QUARTERLY_ROLL,2029/3F,45868,,,'')&lt;/Q&gt;&lt;R&gt;0&lt;/R&gt;&lt;C&gt;0&lt;/C&gt;&lt;/FQL&gt;&lt;FQL&gt;&lt;Q&gt;Ticker0024^FE_ESTIMATE(PRODLINE_SALES_17,MEAN,QUARTERLY_ROLL,2029/2F,45868,,,'')&lt;/Q&gt;&lt;R&gt;0&lt;/R&gt;&lt;C&gt;0&lt;/C&gt;&lt;/FQL&gt;&lt;FQL&gt;&lt;Q&gt;Ticker0024^FE_ESTIMATE(PRODLINE_SALES_17,MEAN,QUARTERLY_ROLL,2029/1F,45868,,,'')&lt;/Q&gt;&lt;R&gt;0&lt;/R&gt;&lt;C&gt;0&lt;/C&gt;&lt;/FQL&gt;&lt;FQL&gt;&lt;Q&gt;Ticker0024^FE_ESTIMATE(PRODLINE_SALES_17,MEAN,ANNUAL_ROLL,2028,45868,,,'')&lt;/Q&gt;&lt;R&gt;1&lt;/R&gt;&lt;C&gt;1&lt;/C&gt;&lt;D xsi:type="xsd:double"&gt;60609&lt;/D&gt;&lt;/FQL&gt;&lt;FQL&gt;&lt;Q&gt;Ticker0024^FE_ESTIMATE(PRODLINE_SALES_17,MEAN,QUARTERLY_ROLL,2028/4F,45868,,,'')&lt;/Q&gt;&lt;R&gt;0&lt;/R&gt;&lt;C&gt;0&lt;/C&gt;&lt;/FQL&gt;&lt;FQL&gt;&lt;Q&gt;Ticker0024^FE_ESTIMATE(PRODLINE_SALES_17,MEAN,QUARTERLY_ROLL,2028/3F,45868,,,'')&lt;/Q&gt;&lt;R&gt;0&lt;/R&gt;&lt;C&gt;0&lt;/C&gt;&lt;/FQL&gt;&lt;FQL&gt;&lt;Q&gt;Ticker0024^FE_ESTIMATE(PRODLINE_SALES_17,MEAN,QUARTERLY_ROLL,2028/2F,45868,,,'')&lt;/Q&gt;&lt;R&gt;0&lt;/R&gt;&lt;C&gt;0&lt;/C&gt;&lt;/FQL&gt;&lt;FQL&gt;&lt;Q&gt;Ticker0024^FE_ESTIMATE(PRODLINE_SALES_17,MEAN,QUARTERLY_ROLL,2028/1F,45868,,,'')&lt;/Q&gt;&lt;R&gt;0&lt;/R&gt;&lt;C&gt;0&lt;/C&gt;&lt;/FQL&gt;&lt;FQL&gt;&lt;Q&gt;Ticker0024^FE_ESTIMATE(PRODLINE_SALES_17,MEAN,ANNUAL_ROLL,2027,45868,,,'')&lt;/Q&gt;&lt;R&gt;1&lt;/R&gt;&lt;C&gt;1&lt;/C&gt;&lt;D xsi:type="xsd:double"&gt;58441.285&lt;/D&gt;&lt;/FQL&gt;&lt;FQL&gt;&lt;Q&gt;Ticker0024^FE_ESTIMATE(PRODLINE_SALES_17,MEAN,QUARTERLY_ROLL,2027/4F,45868,,,'')&lt;/Q&gt;&lt;R&gt;1&lt;/R&gt;&lt;C&gt;1&lt;/C&gt;&lt;D xsi:type="xsd:double"&gt;14741.333&lt;/D&gt;&lt;/FQL&gt;&lt;FQL&gt;&lt;Q&gt;Ticker0024^FE_ESTIMATE(PRODLINE_SALES_17,MEAN,QUARTERLY_ROLL,2027/3F,45868,,,'')&lt;/Q&gt;&lt;R&gt;1&lt;/R&gt;&lt;C&gt;1&lt;/C&gt;&lt;D xsi:type="xsd:double"&gt;15151.333&lt;/D&gt;&lt;/FQL&gt;&lt;FQL&gt;&lt;Q&gt;Ticker0024^FE_ESTIMATE(PRODLINE_SALES_17,MEAN,QUARTERLY_ROLL,2027/2F,45868,,,'')&lt;/Q&gt;&lt;R&gt;1&lt;/R&gt;&lt;C&gt;1&lt;/C&gt;&lt;D xsi:type="xsd:double"&gt;16374.75&lt;/D&gt;&lt;/FQL&gt;&lt;FQL&gt;&lt;Q&gt;Ticker0024^FE_ESTIMATE(PRODLINE_SALES_17,MEAN,QUARTERLY_ROLL,2027/1F,45868,,,'')&lt;/Q&gt;&lt;R&gt;1&lt;/R&gt;&lt;C&gt;1&lt;/C&gt;&lt;D xsi:type="xsd:double"&gt;14580.5&lt;/D&gt;&lt;/FQL&gt;&lt;FQL&gt;&lt;Q&gt;Ticker0024^FE_ESTIMATE(PRODLINE_SALES_17,MEAN,ANNUAL_ROLL,2026,45868,,,'')&lt;/Q&gt;&lt;R&gt;1&lt;/R&gt;&lt;C&gt;1&lt;/C&gt;&lt;D xsi:type="xsd:double"&gt;55902.824&lt;/D&gt;&lt;/FQL&gt;&lt;FQL&gt;&lt;Q&gt;Ticker0024^FE_ESTIMATE(PRODLINE_SALES_17,MEAN,QUARTERLY_ROLL,2026/4F,45868,,,'')&lt;/Q&gt;&lt;R&gt;1&lt;/R&gt;&lt;C&gt;1&lt;/C&gt;&lt;D xsi:type="xsd:double"&gt;13377.4&lt;/D&gt;&lt;/FQL&gt;&lt;FQL&gt;&lt;Q&gt;Ticker0024^FE_ESTIMATE(PRODLINE_SALES_17,MEAN,QUARTERLY_ROLL,2026/3F,45868,,,'')&lt;/Q&gt;&lt;R&gt;1&lt;/R&gt;&lt;C&gt;1&lt;/C&gt;&lt;D xsi:type="xsd:double"&gt;14019.066&lt;/D&gt;&lt;/FQL&gt;&lt;FQL&gt;&lt;Q&gt;Ticker0024^FE_ESTIMATE(PRODLINE_SALES_17,MEAN,QUARTERLY_ROLL,2026/2F,45868,,,'')&lt;/Q&gt;&lt;R&gt;1&lt;/R&gt;&lt;C&gt;1&lt;/C&gt;&lt;D xsi:type="xsd:double"&gt;15179.8125&lt;/D&gt;&lt;/FQL&gt;&lt;FQL&gt;&lt;Q&gt;Ticker0024^FE_ESTIMATE(PRODLINE_SALES_17,MEAN,QUARTERLY_ROLL,2026/1F,45868,,,'')&lt;/Q&gt;&lt;R&gt;1&lt;/R&gt;&lt;C&gt;1&lt;/C&gt;&lt;D xsi:type="xsd:double"&gt;13450.595&lt;/D&gt;&lt;/FQL&gt;&lt;FQL&gt;&lt;Q&gt;Ticker0024^FE_ESTIMATE(PRODLINE_SALES_17,MEAN,ANNUAL_ROLL,2025,45868,,,'')&lt;/Q&gt;&lt;R&gt;1&lt;/R&gt;&lt;C&gt;1&lt;/C&gt;&lt;D xsi:type="xsd:double"&gt;53883.957&lt;/D&gt;&lt;/FQL&gt;&lt;FQL&gt;&lt;Q&gt;Ticker0024^FE_ESTIMATE(PRODLINE_SALES_17,MEAN,QUARTERLY_ROLL,2025/4F,45868,,,'')&lt;/Q&gt;&lt;R&gt;1&lt;/R&gt;&lt;C&gt;1&lt;/C&gt;&lt;D xsi:type="xsd:double"&gt;12678.425&lt;/D&gt;&lt;/FQL&gt;&lt;FQL&gt;&lt;Q&gt;Ticker0024^FE_ESTIMATE(PRODLINE_SALES_17,MEAN,QUARTERLY_ROLL,2025/3F,45868,,,'')&lt;/Q&gt;&lt;R&gt;1&lt;/R&gt;&lt;C&gt;1&lt;/C&gt;&lt;D xsi:type="xsd:double"&gt;13371&lt;/D&gt;&lt;/FQL&gt;&lt;FQL&gt;&lt;Q&gt;Ticker0024^FE_ESTIMATE(PRODLINE_SALES_17,MEAN,QUARTERLY_ROLL,2025/2F,45868,,,'')&lt;/Q&gt;&lt;R&gt;1&lt;/R&gt;&lt;C&gt;1&lt;/C&gt;&lt;D xsi:type="xsd:double"&gt;14651&lt;/D&gt;&lt;/FQL&gt;&lt;FQL&gt;&lt;Q&gt;Ticker0024^FE_ESTIMATE(PRODLINE_SALES_17,MEAN,QUARTERLY_ROLL,2025/1F,45868,,,'')&lt;/Q&gt;&lt;R&gt;1&lt;/R&gt;&lt;C&gt;1&lt;/C&gt;&lt;D xsi:type="xsd:double"&gt;13176&lt;/D&gt;&lt;/FQL&gt;&lt;FQL&gt;&lt;Q&gt;Ticker0024^FE_ESTIMATE(PRODLINE_SALES_17,MEAN,ANNUAL_ROLL,2024,45868,,,'')&lt;/Q&gt;&lt;R&gt;1&lt;/R&gt;&lt;C&gt;1&lt;/C&gt;&lt;D xsi:type="xsd:double"&gt;62032&lt;/D&gt;&lt;/FQL&gt;&lt;FQL&gt;&lt;Q&gt;Ticker0024^FE_ESTIMATE(PRODLINE_SALES_17,MEAN,QUARTERLY_ROLL,2024/4F,45868,,,'')&lt;/Q&gt;&lt;R&gt;1&lt;/R&gt;&lt;C&gt;1&lt;/C&gt;&lt;D xsi:type="xsd:double"&gt;15895&lt;/D&gt;&lt;/FQL&gt;&lt;FQL&gt;&lt;Q&gt;Ticker0024^FE_ESTIMATE(PRODLINE_SALES_17,MEAN,QUARTERLY_ROLL,2024/3F,45868,,,'')&lt;/Q&gt;&lt;R&gt;1&lt;/R&gt;&lt;C&gt;1&lt;/C&gt;&lt;D xsi:type="xsd:double"&gt;15580&lt;/D&gt;&lt;/FQL&gt;&lt;FQL&gt;&lt;Q&gt;Ticker0024^FE_ESTIMATE(PRODLINE_SALES_17,MEAN,QUARTERLY_ROLL,2024/2F,45868,,,'')&lt;/Q&gt;&lt;R&gt;1&lt;/R&gt;&lt;C&gt;1&lt;/C&gt;&lt;D xsi:type="xsd:double"&gt;16891&lt;/D&gt;&lt;/FQL&gt;&lt;FQL&gt;&lt;Q&gt;Ticker0024^FE_ESTIMATE(PRODLINE_SALES_17,MEAN,QUARTERLY_ROLL,2024/1F,45868,,,'')&lt;/Q&gt;&lt;R&gt;1&lt;/R&gt;&lt;C&gt;1&lt;/C&gt;&lt;D xsi:type="xsd:double"&gt;13666&lt;/D&gt;&lt;/FQL&gt;&lt;FQL&gt;&lt;Q&gt;Ticker0024^FE_ESTIMATE(PRODLINE_SALES_17,MEAN,ANNUAL_ROLL,2023,45868,,,'')&lt;/Q&gt;&lt;R&gt;1&lt;/R&gt;&lt;C&gt;1&lt;/C&gt;&lt;D xsi:type="xsd:double"&gt;54732.273&lt;/D&gt;&lt;/FQL&gt;&lt;FQL&gt;&lt;Q&gt;Ticker0024^FE_ESTIMATE(PRODLINE_SALES_17,MEAN,QUARTERLY_ROLL,2023/4F,45868,,,'')&lt;/Q&gt;&lt;R&gt;1&lt;/R&gt;&lt;C&gt;1&lt;/C&gt;&lt;D xsi:type="xsd:double"&gt;13905&lt;/D&gt;&lt;/FQL&gt;&lt;FQL&gt;&lt;Q&gt;Ticker0024^FE_ESTIMATE(PRODLINE_SALES_17,MEAN,QUARTERLY_ROLL,2023/3F,45868,,,'')&lt;/Q&gt;&lt;R&gt;1&lt;/R&gt;&lt;C&gt;1&lt;/C&gt;&lt;D xsi:type="xsd:double"&gt;13260&lt;/D&gt;&lt;/FQL&gt;&lt;FQL&gt;&lt;Q&gt;Ticker0024^FE_ESTIMATE(PRODLINE_SALES_17,MEAN,QUARTERLY_ROLL,2023/2F,45868,,,'')&lt;/Q&gt;&lt;R&gt;1&lt;/R&gt;&lt;C&gt;1&lt;/C&gt;&lt;D xsi:type="xsd:double"&gt;14237&lt;/D&gt;&lt;/FQL&gt;&lt;FQL&gt;&lt;Q&gt;Ticker0024^FE_ESTIMATE(PRODLINE_SALES_17,MEAN,QUARTERLY_ROLL,2023/1F,45868,,,'')&lt;/Q&gt;&lt;R&gt;1&lt;/R&gt;&lt;C&gt;1&lt;/C&gt;&lt;D xsi:type="xsd:double"&gt;13332&lt;/D&gt;&lt;/FQL&gt;&lt;FQL&gt;&lt;Q&gt;Ticker0024^FE_ESTIMATE(PRODLINE_SALES_17,MEAN,ANNUAL_ROLL,2022,45868,,,'')&lt;/Q&gt;&lt;R&gt;1&lt;/R&gt;&lt;C&gt;1&lt;/C&gt;&lt;D xsi:type="xsd:double"&gt;59655&lt;/D&gt;&lt;/FQL&gt;&lt;FQL&gt;&lt;Q&gt;Ticker0024^FE_ESTIMATE(PRODLINE_SALES_17,MEAN,QUARTERLY_ROLL,2022/4F,45868,,,'')&lt;/Q&gt;&lt;R&gt;1&lt;/R&gt;&lt;C&gt;1&lt;/C&gt;&lt;D xsi:type="xsd:double"&gt;14356&lt;/D&gt;&lt;/FQL&gt;&lt;FQL&gt;&lt;Q&gt;Ticker0024^FE_ESTIMATE(PRODLINE_SALES_17,MEAN,QUARTERLY_ROLL,2022/3F,45868,,,'')&lt;/Q&gt;&lt;R&gt;1&lt;/R&gt;&lt;C&gt;1&lt;/C&gt;&lt;D xsi:type="xsd:double"&gt;14520&lt;/D&gt;&lt;/FQL&gt;&lt;FQL&gt;&lt;Q&gt;Ticker0024^FE_ESTIMATE(PRODLINE_SALES_17,MEAN,QUARTERLY_ROLL,2022/2F,45868,,,'')&lt;/Q&gt;&lt;R&gt;1&lt;/R&gt;&lt;C&gt;1&lt;/C&gt;&lt;D xsi:type="xsd:double"&gt;17465&lt;/D&gt;&lt;/FQL&gt;&lt;FQL&gt;&lt;Q&gt;Ticker0024^FE_ESTIMATE(PRODLINE_SALES_17,MEAN,QUARTERLY_ROLL,2022/1F,45868,,,'')&lt;/Q&gt;&lt;R&gt;1&lt;/R&gt;&lt;C&gt;1&lt;/C&gt;&lt;D xsi:type="xsd:double"&gt;13314&lt;/D&gt;&lt;/FQL&gt;&lt;FQL&gt;&lt;Q&gt;Ticker0024^FE_ESTIMATE(PRODLINE_SALES_17,MEAN,ANNUAL_ROLL,2021,45868,,,'')&lt;/Q&gt;&lt;R&gt;1&lt;/R&gt;&lt;C&gt;1&lt;/C&gt;&lt;D xsi:type="xsd:double"&gt;54093&lt;/D&gt;&lt;/FQL&gt;&lt;FQL&gt;&lt;Q&gt;Ticker0024^FE_ESTIMATE(PRODLINE_SALES_17,MEAN,QUARTERLY_ROLL,2021/4F,45868,,,'')&lt;/Q&gt;&lt;R&gt;1&lt;/R&gt;&lt;C&gt;1&lt;/C&gt;&lt;D xsi:type="xsd:double"&gt;14086&lt;/D&gt;&lt;/FQL&gt;&lt;FQL&gt;&lt;Q&gt;Ticker0024^FE_ESTIMATE(PRODLINE_SALES_17,MEAN,QUARTERLY_ROLL,2021/3F,45868,,,'')&lt;/Q&gt;&lt;R&gt;1&lt;/R&gt;&lt;C&gt;1&lt;/C&gt;&lt;D xsi:type="xsd:double"&gt;13036&lt;/D&gt;&lt;/FQL&gt;&lt;FQL&gt;&lt;Q&gt;Ticker0024^FE_ESTIMATE(PRODLINE_SALES_17,MEAN,QUARTERLY_ROLL,2021/2F,45868,,,'')&lt;/Q&gt;&lt;R&gt;1&lt;/R&gt;&lt;C&gt;1&lt;/C&gt;&lt;D xsi:type="xsd:double"&gt;15122&lt;/D&gt;&lt;/FQL&gt;&lt;FQL&gt;&lt;Q&gt;Ticker0024^FE_ESTIMATE(PRODLINE_SALES_17,MEAN,QUARTERLY_ROLL,2021/1F,45868,,,'')&lt;/Q&gt;&lt;R&gt;1&lt;/R&gt;&lt;C&gt;1&lt;/C&gt;&lt;D xsi:type="xsd:double"&gt;11849&lt;/D&gt;&lt;/FQL&gt;&lt;FQL&gt;&lt;Q&gt;Ticker0024^FE_ESTIMATE(PRODLINE_SALES_17,MEAN,ANNUAL_ROLL,2020,45868,,,'')&lt;/Q&gt;&lt;R&gt;1&lt;/R&gt;&lt;C&gt;1&lt;/C&gt;&lt;D xsi:type="xsd:double"&gt;48251&lt;/D&gt;&lt;/FQL&gt;&lt;FQL&gt;&lt;Q&gt;Ticker0024^FE_ESTIMATE(PRODLINE_SALES_17,MEAN,QUARTERLY_ROLL,2020/4F,45868,,,'')&lt;/Q&gt;&lt;R&gt;1&lt;/R&gt;&lt;C&gt;1&lt;/C&gt;&lt;D xsi:type="xsd:double"&gt;12910&lt;/D&gt;&lt;/FQL&gt;&lt;FQL&gt;&lt;Q&gt;Ticker0024^FE_ESTIMATE(PRODLINE_SALES_17,MEAN,QUARTERLY_ROLL,2020/3F,45868,,,'')&lt;/Q&gt;&lt;R&gt;1&lt;/R&gt;&lt;C&gt;1&lt;/C&gt;&lt;D xsi:type="xsd:double"&gt;10997&lt;/D&gt;&lt;/FQL&gt;&lt;FQL&gt;&lt;Q&gt;Ticker0024^FE_ESTIMATE(PRODLINE_SALES_17,MEAN,QUARTERLY_ROLL,2020/2F,45868,,,'')&lt;/Q&gt;&lt;R&gt;1&lt;/R&gt;&lt;C&gt;1&lt;/C&gt;&lt;D xsi:type="xsd:double"&gt;13211&lt;/D&gt;&lt;/FQL&gt;&lt;FQL&gt;&lt;Q&gt;Ticker0024^FE_ESTIMATE(PRODLINE_SALES_17,MEAN,QUARTERLY_ROLL,2020/1F,45868,,,'')&lt;/Q&gt;&lt;R&gt;1&lt;/R&gt;&lt;C&gt;1&lt;/C&gt;&lt;D xsi:type="xsd:double"&gt;11133&lt;/D&gt;&lt;/FQL&gt;&lt;FQL&gt;&lt;Q&gt;Ticker0024^FE_ESTIMATE(PRODLINE_SALES_16,MEAN,ANNUAL_ROLL,2030,45868,,,'')&lt;/Q&gt;&lt;R&gt;0&lt;/R&gt;&lt;C&gt;0&lt;/C&gt;&lt;/FQL&gt;&lt;FQL&gt;&lt;Q&gt;Ticker0024^FE_ESTIMATE(PRODLINE_SALES_16,MEAN,QUARTERLY_ROLL,2030/4F,45868,,,'')&lt;/Q&gt;&lt;R&gt;0&lt;/R&gt;&lt;C&gt;0&lt;/C&gt;&lt;/FQL&gt;&lt;FQL&gt;&lt;Q&gt;Ticker0024^FE_ESTIMATE(PRODLINE_SALES_16,MEAN,QUARTERLY_ROLL,2030/3F,45868,,,'')&lt;/Q&gt;&lt;R&gt;0&lt;/R&gt;&lt;C&gt;0&lt;/C&gt;&lt;/FQL&gt;&lt;FQL&gt;&lt;Q&gt;Ticker0024^FE_ESTIMATE(PRODLINE_SALES_16,MEAN,QUARTERLY_ROLL,2030/2F,45868,,,'')&lt;/Q&gt;&lt;R&gt;0&lt;/R&gt;&lt;C&gt;0&lt;/C&gt;&lt;/FQL&gt;&lt;FQL&gt;&lt;Q&gt;Ticker0024^FE_ESTIMATE(PRODLINE_SALES_16,MEAN,QUARTERLY_ROLL,2030/1F,45868,,,'')&lt;/Q&gt;&lt;R&gt;0&lt;/R&gt;&lt;C&gt;0&lt;/C&gt;&lt;/FQL&gt;&lt;FQL&gt;&lt;Q&gt;Ticker0024^FE_ESTIMATE(PRODLINE_SALES_16,MEAN,ANNUAL_ROLL,2029,45868,,,'')&lt;/Q&gt;&lt;R&gt;0&lt;/R&gt;&lt;C&gt;0&lt;/C&gt;&lt;/FQL&gt;&lt;FQL&gt;&lt;Q&gt;Ticker0024^FE_ESTIMATE(PRODLINE_SALES_16,MEAN,QUARTERLY_ROLL,2029/4F,45868,,,'')&lt;/Q&gt;&lt;R&gt;0&lt;/R&gt;&lt;C&gt;0&lt;/C&gt;&lt;/FQL&gt;&lt;FQL&gt;&lt;Q&gt;Ticker0024^FE_ESTIMATE(PRODLINE_SALES_16,MEAN,QUARTERLY_ROLL,2029/3F,45868,,,'')&lt;/Q&gt;&lt;R&gt;0&lt;/R&gt;&lt;C&gt;0&lt;/C&gt;&lt;/FQL&gt;&lt;FQL&gt;&lt;Q&gt;Ticker0024^FE_ESTIMATE(PRODLINE_SALES_16,MEAN,QUARTERLY_ROLL,2029/2F,45868,,,'')&lt;/Q&gt;&lt;R&gt;0&lt;/R&gt;&lt;C&gt;0&lt;/C&gt;&lt;/FQL&gt;&lt;FQL&gt;&lt;Q&gt;Ticker0024^FE_ESTIMATE(PRODLINE_SALES_16,MEAN,QUARTERLY_ROLL,2029/1F,45868,,,'')&lt;/Q&gt;&lt;R&gt;0&lt;/R&gt;&lt;C&gt;0&lt;/C&gt;&lt;/FQL&gt;&lt;FQL&gt;&lt;Q&gt;Ticker0024^FE_ESTIMATE(PRODLINE_SALES_16,MEAN,ANNUAL_ROLL,2028,45868,,,'')&lt;/Q&gt;&lt;R&gt;1&lt;/R&gt;&lt;C&gt;1&lt;/C&gt;&lt;D xsi:type="xsd:double"&gt;196151&lt;/D&gt;&lt;/FQL&gt;&lt;FQL&gt;&lt;Q&gt;Ticker0024^FE_ESTIMATE(PRODLINE_SALES_16,MEAN,QUARTERLY_ROLL,2028/4F,45868,,,'')&lt;/Q&gt;&lt;R&gt;0&lt;/R&gt;&lt;C&gt;0&lt;/C&gt;&lt;/FQL&gt;&lt;FQL&gt;&lt;Q&gt;Ticker0024^FE_ESTIMATE(PRODLINE_SALES_16,MEAN,QUARTERLY_ROLL,2028/3F,45868,,,'')&lt;/Q&gt;&lt;R&gt;0&lt;/R&gt;&lt;C&gt;0&lt;/C&gt;&lt;/FQL&gt;&lt;FQL&gt;&lt;Q&gt;Ticker0024^FE_ESTIMATE(PRODLINE_SALES_16,MEAN,QUARTERLY_ROLL,2028/2F,45868,,,'')&lt;/Q&gt;&lt;R&gt;0&lt;/R&gt;&lt;C&gt;0&lt;/C&gt;&lt;/FQL&gt;&lt;FQL&gt;&lt;Q&gt;Ticker0024^FE_ESTIMATE(PRODLINE_SALES_16,MEAN,QUARTERLY_ROLL,2028/1F,45868,,,'')&lt;/Q&gt;&lt;R&gt;0&lt;/R&gt;&lt;C&gt;0&lt;/C&gt;&lt;/FQL&gt;&lt;FQL&gt;&lt;Q&gt;Ticker0024^FE_ESTIMATE(PRODLINE_SALES_16,MEAN,ANNUAL_ROLL,2027,45868,,,'')&lt;/Q&gt;&lt;R&gt;1&lt;/R&gt;&lt;C&gt;1&lt;/C&gt;&lt;D xsi:type="xsd:double"&gt;157598.17&lt;/D&gt;&lt;/FQL&gt;&lt;FQL&gt;&lt;Q&gt;Ticker0024^FE_ESTIMATE(PRODLINE_SALES_16,MEAN,QUARTERLY_ROLL,2027/4F,45868,,,'')&lt;/Q&gt;&lt;R&gt;1&lt;/R&gt;&lt;C&gt;1&lt;/C&gt;&lt;D xsi:type="xsd:double"&gt;43616.332&lt;/D&gt;&lt;/FQL&gt;&lt;FQL&gt;&lt;Q&gt;Ticker0024^FE_ESTIMATE(PRODLINE_SALES_16,MEAN,QUARTERLY_ROLL,2027/3F,45868,,,'')&lt;/Q&gt;&lt;R&gt;1&lt;/R&gt;&lt;C&gt;1&lt;/C&gt;&lt;D xsi:type="xsd:double"&gt;39880&lt;/D&gt;&lt;/FQL&gt;&lt;FQL&gt;&lt;Q&gt;Ticker0024^FE_ESTIMATE(PRODLINE_SALES_16,MEAN,QUARTERLY_ROLL,2027/2F,45868,,,'')&lt;/Q&gt;&lt;R&gt;1&lt;/R&gt;&lt;C&gt;1&lt;/C&gt;&lt;D xsi:type="xsd:double"&gt;38095.25&lt;/D&gt;&lt;/FQL&gt;&lt;FQL&gt;&lt;Q&gt;Ticker0024^FE_ESTIMATE(PRODLINE_SALES_16,MEAN,QUARTERLY_ROLL,2027/1F,45868,,,'')&lt;/Q&gt;&lt;R&gt;1&lt;/R&gt;&lt;C&gt;1&lt;/C&gt;&lt;D xsi:type="xsd:double"&gt;35781.25&lt;/D&gt;&lt;/FQL&gt;&lt;FQL&gt;&lt;Q&gt;Ticker0024^FE_ESTIMATE(PRODLINE_SALES_16,MEAN,ANNUAL_ROLL,2026,45868,,,'')&lt;/Q&gt;&lt;R&gt;1&lt;/R&gt;&lt;C&gt;1&lt;/C&gt;&lt;D xsi:type="xsd:double"&gt;128259.85&lt;/D&gt;&lt;/FQL&gt;&lt;FQL&gt;&lt;Q&gt;Ticker0024^FE_ESTIMATE(PRODLINE_SALES_16,MEAN,QUARTERLY_ROLL,2026/4F,45868,,,'')&lt;/Q&gt;&lt;R&gt;1&lt;/R&gt;&lt;C&gt;1&lt;/C&gt;&lt;D xsi:type="xsd:double"&gt;34945.332&lt;/D&gt;&lt;/FQL&gt;&lt;FQL&gt;&lt;Q&gt;Ticker0024^FE_ESTIMATE(PRODLINE_SALES_16,MEAN,QUARTERLY_ROLL,2026/3F,45868,,,'')&lt;/Q&gt;&lt;R&gt;1&lt;/R&gt;&lt;C&gt;1&lt;/C&gt;&lt;D xsi:type="xsd:double"&gt;32394.6&lt;/D&gt;&lt;/FQL&gt;&lt;FQL&gt;&lt;Q&gt;Ticker0024^FE_ESTIMATE(PRODLINE_SALES_16,MEAN,QUARTERLY_ROLL,2026/2F,45868,,,'')&lt;/Q&gt;&lt;R&gt;1&lt;/R&gt;&lt;C&gt;1&lt;/C&gt;&lt;D xsi:type="xsd:double"&gt;31119.813&lt;/D&gt;&lt;/FQL&gt;&lt;FQL&gt;&lt;Q&gt;Ticker0024^FE_ESTIMATE(PRODLINE_SALES_16,MEAN,QUARTERLY_ROLL,2026/1F,45868,,,'')&lt;/Q&gt;&lt;R&gt;1&lt;/R&gt;&lt;C&gt;1&lt;/C&gt;&lt;D xsi:type="xsd:double"&gt;29391.244&lt;/D&gt;&lt;/FQL&gt;&lt;FQL&gt;&lt;Q&gt;Ticker0024^FE_ESTIMATE(PRODLINE_SALES_16,MEAN,ANNUAL_ROLL,2025,45868,,,'')&lt;/Q&gt;&lt;R&gt;1&lt;/R&gt;&lt;C&gt;1&lt;/C&gt;&lt;D xsi:type="xsd:double"&gt;105362.69&lt;/D&gt;&lt;/FQL&gt;&lt;FQL&gt;&lt;Q&gt;Ticker0024^FE_ESTIMATE(PRODLINE_SALES_16,MEAN,QUARTERLY_ROLL,2025/4F,45868,,,'')&lt;/Q&gt;&lt;R&gt;1&lt;/R&gt;&lt;C&gt;1&lt;/C&gt;&lt;D xsi:type="xsd:double"&gt;28944.281&lt;/D&gt;&lt;/FQL&gt;&lt;FQL&gt;&lt;Q&gt;Ticker0024^FE_ESTIMATE(PRODLINE_SALES_16,MEAN,QUARTERLY_ROLL,2025/3F,45868,,,'')&lt;/Q&gt;&lt;R&gt;1&lt;/R&gt;&lt;C&gt;1&lt;/C&gt;&lt;D xsi:type="xsd:double"&gt;26751&lt;/D&gt;&lt;/FQL&gt;&lt;FQL&gt;&lt;Q&gt;Ticker0024^FE_ESTIMATE(PRODLINE_SALES_16,MEAN,QUARTERLY_ROLL,2025/2F,45868,,,'')&lt;/Q&gt;&lt;R&gt;1&lt;/R&gt;&lt;C&gt;1&lt;/C&gt;&lt;D xsi:type="xsd:double"&gt;25544&lt;/D&gt;&lt;/FQL&gt;&lt;FQL&gt;&lt;Q&gt;Ticker0024^FE_ESTIMATE(PRODLINE_SALES_16,MEAN,QUARTERLY_ROLL,2025/1F,45868,,,'')&lt;/Q&gt;&lt;R&gt;1&lt;/R&gt;&lt;C&gt;1&lt;/C&gt;&lt;D xsi:type="xsd:double"&gt;24092&lt;/D&gt;&lt;/FQL&gt;&lt;FQL&gt;&lt;Q&gt;Ticker0024^FE_ESTIMATE(PRODLINE_SALES_16,MEAN,ANNUAL_ROLL,2024,45868,,,'')&lt;/Q&gt;&lt;R&gt;1&lt;/R&gt;&lt;C&gt;1&lt;/C&gt;&lt;D xsi:type="xsd:double"&gt;105362&lt;/D&gt;&lt;/FQL&gt;&lt;FQL&gt;&lt;Q&gt;Ticker0024^FE_ESTIMATE(PRODLINE_SALES_16,MEAN,QUARTERLY_ROLL,2024/4F,45868,,,'')&lt;/Q&gt;&lt;R&gt;1&lt;/R&gt;&lt;C&gt;1&lt;/C&gt;&lt;D xsi:type="xsd:double"&gt;28515&lt;/D&gt;&lt;/FQL&gt;&lt;FQL&gt;&lt;Q&gt;Ticker0024^FE_ESTIMATE(PRODLINE_SALES_16,MEAN,QUARTERLY_ROLL,2024/3F,45868,,,'')&lt;/Q&gt;&lt;R&gt;1&lt;/R&gt;&lt;C&gt;1&lt;/C&gt;&lt;D xsi:type="xsd:double"&gt;26708&lt;/D&gt;&lt;/FQL&gt;&lt;FQL&gt;&lt;Q&gt;Ticker0024^FE_ESTIMATE(PRODLINE_SALES_16,MEAN,QUARTERLY_ROLL,2024/2F,45868,,,'')&lt;/Q&gt;&lt;R&gt;1&lt;/R&gt;&lt;C&gt;1&lt;/C&gt;&lt;D xsi:type="xsd:double"&gt;25880&lt;/D&gt;&lt;/FQL&gt;&lt;FQL&gt;&lt;Q&gt;Ticker0024^FE_ESTIMATE(PRODLINE_SALES_16,MEAN,QUARTERLY_ROLL,2024/1F,45868,,,'')&lt;/Q&gt;&lt;R&gt;1&lt;/R&gt;&lt;C&gt;1&lt;/C&gt;&lt;D xsi:type="xsd:double"&gt;24259&lt;/D&gt;&lt;/FQL&gt;&lt;FQL&gt;&lt;Q&gt;Ticker0024^FE_ESTIMATE(PRODLINE_SALES_16,MEAN,ANNUAL_ROLL,2023,45868,,,'')&lt;/Q&gt;&lt;R&gt;1&lt;/R&gt;&lt;C&gt;1&lt;/C&gt;&lt;D xsi:type="xsd:double"&gt;87906.82&lt;/D&gt;&lt;/FQL&gt;&lt;FQL&gt;&lt;Q&gt;Ticker0024^FE_ESTIMATE(PRODLINE_SALES_16,MEAN,QUARTERLY_ROLL,2023/4F,45868,,,'')&lt;/Q&gt;&lt;R&gt;1&lt;/R&gt;&lt;C&gt;1&lt;/C&gt;&lt;D xsi:type="xsd:double"&gt;23993&lt;/D&gt;&lt;/FQL&gt;&lt;FQL&gt;&lt;Q&gt;Ticker0024^FE_ESTIMATE(PRODLINE_SALES_16,MEAN,QUARTERLY_ROLL,2023/3F,45868,,,'')&lt;/Q&gt;&lt;R&gt;1&lt;/R&gt;&lt;C&gt;1&lt;/C&gt;&lt;D xsi:type="xsd:double"&gt;22081&lt;/D&gt;&lt;/FQL&gt;&lt;FQL&gt;&lt;Q&gt;Ticker0024^FE_ESTIMATE(PRODLINE_SALES_16,MEAN,QUARTERLY_ROLL,2023/2F,45868,,,'')&lt;/Q&gt;&lt;R&gt;1&lt;/R&gt;&lt;C&gt;1&lt;/C&gt;&lt;D xsi:type="xsd:double"&gt;21508&lt;/D&gt;&lt;/FQL&gt;&lt;FQL&gt;&lt;Q&gt;Ticker0024^FE_ESTIMATE(PRODLINE_SALES_16,MEAN,QUARTERLY_ROLL,2023/1F,45868,,,'')&lt;/Q&gt;&lt;R&gt;1&lt;/R&gt;&lt;C&gt;1&lt;/C&gt;&lt;D xsi:type="xsd:double"&gt;20325&lt;/D&gt;&lt;/FQL&gt;&lt;FQL&gt;&lt;Q&gt;Ticker0024^FE_ESTIMATE(PRODLINE_SALES_16,MEAN,ANNUAL_ROLL,2022,45868,,,'')&lt;/Q&gt;&lt;R&gt;1&lt;/R&gt;&lt;C&gt;1&lt;/C&gt;&lt;D xsi:type="xsd:double"&gt;75251&lt;/D&gt;&lt;/FQL&gt;&lt;FQL&gt;&lt;Q&gt;Ticker0024^FE_ESTIMATE(PRODLINE_SALES_16,MEAN,QUARTERLY_ROLL,2022/4F,45868,,,'')&lt;/Q&gt;&lt;R&gt;1&lt;/R&gt;&lt;C&gt;1&lt;/C&gt;&lt;D xsi:type="xsd:double"&gt;20909&lt;/D&gt;&lt;/FQL&gt;&lt;FQL&gt;&lt;Q&gt;Ticker0024^FE_ESTIMATE(PRODLINE_SALES_16,MEAN,QUARTERLY_ROLL,2022/3F,45868,,,'')&lt;/Q&gt;&lt;R&gt;1&lt;/R&gt;&lt;C&gt;1&lt;/C&gt;&lt;D xsi:type="xsd:double"&gt;19051&lt;/D&gt;&lt;/FQL&gt;&lt;FQL&gt;&lt;Q&gt;Ticker0024^FE_ESTIMATE(PRODLINE_SALES_16,MEAN,QUARTERLY_ROLL,2022/2F,45868,,,'')&lt;/Q&gt;&lt;R&gt;1&lt;/R&gt;&lt;C&gt;1&lt;/C&gt;&lt;D xsi:type="xsd:double"&gt;18327&lt;/D&gt;&lt;/FQL&gt;&lt;FQL&gt;&lt;Q&gt;Ticker0024^FE_ESTIMATE(PRODLINE_SALES_16,MEAN,QUARTERLY_ROLL,2022/1F,45868,,,'')&lt;/Q&gt;&lt;R&gt;1&lt;/R&gt;&lt;C&gt;1&lt;/C&gt;&lt;D xsi:type="xsd:double"&gt;16964&lt;/D&gt;&lt;/FQL&gt;&lt;FQL&gt;&lt;Q&gt;Ticker0024^FE_ESTIMATE(PRODLINE_SALES_16,MEAN,ANNUAL_ROLL,2021,45868,,,'')&lt;/Q&gt;&lt;R&gt;1&lt;/R&gt;&lt;C&gt;1&lt;/C&gt;&lt;D xsi:type="xsd:double"&gt;60080&lt;/D&gt;&lt;/FQL&gt;&lt;FQL&gt;&lt;Q&gt;Ticker0024^FE_ESTIMATE(PRODLINE_SALES_16,MEAN,QUARTERLY_ROLL,2021/4F,45868,,,'')&lt;/Q&gt;&lt;R&gt;1&lt;/R&gt;&lt;C&gt;1&lt;/C&gt;&lt;D xsi:type="xsd:double"&gt;17375&lt;/D&gt;&lt;/FQL&gt;&lt;FQL&gt;&lt;Q&gt;Ticker0024^FE_ESTIMATE(PRODLINE_SALES_16,MEAN,QUARTERLY_ROLL,2021/3F,45868,,,'')&lt;/Q&gt;&lt;R&gt;1&lt;/R&gt;&lt;C&gt;1&lt;/C&gt;&lt;D xsi:type="xsd:double"&gt;15118&lt;/D&gt;&lt;/FQL&gt;&lt;FQL&gt;&lt;Q&gt;Ticker0024^FE_ESTIMATE(PRODLINE_SALES_16,MEAN,QUARTERLY_ROLL,2021/2F,45868,,,'')&lt;/Q&gt;&lt;R&gt;1&lt;/R&gt;&lt;C&gt;1&lt;/C&gt;&lt;D xsi:type="xsd:double"&gt;14601&lt;/D&gt;&lt;/FQL&gt;&lt;FQL&gt;&lt;Q&gt;Ticker0024^FE_ESTIMATE(PRODLINE_SALES_16,MEAN,QUARTERLY_ROLL,2021/1F,45868,,,'')&lt;/Q&gt;&lt;R&gt;1&lt;/R&gt;&lt;C&gt;1&lt;/C&gt;&lt;D xsi:type="xsd:double"&gt;12986&lt;/D&gt;&lt;/FQL&gt;&lt;FQL&gt;&lt;Q&gt;Ticker0024^FE_ESTIMATE(PRODLINE_SALES_16,MEAN,ANNUAL_ROLL,2020,45868,,,'')&lt;/Q&gt;&lt;R&gt;1&lt;/R&gt;&lt;C&gt;1&lt;/C&gt;&lt;D xsi:type="xsd:double"&gt;48366&lt;/D&gt;&lt;/FQL&gt;&lt;FQL&gt;&lt;Q&gt;Ticker0024^FE_ESTIMATE(PRODLINE_SALES_16,MEAN,QUARTERLY_ROLL,2020/4F,45868,,,'')&lt;/Q&gt;&lt;R&gt;1&lt;/R&gt;&lt;C&gt;1&lt;/C&gt;&lt;D xsi:type="xsd:double"&gt;13371&lt;/D&gt;&lt;/FQL&gt;&lt;FQL&gt;&lt;Q&gt;Ticker0024^FE_ESTIMATE(PRODLINE_SALES_16,MEAN,QUARTERLY_ROLL,2020/3F,45868,,,'')&lt;/Q&gt;&lt;R&gt;1&lt;/R&gt;&lt;C&gt;1&lt;/C&gt;&lt;D xsi:type="xsd:double"&gt;12281&lt;/D&gt;&lt;/FQL&gt;&lt;FQL&gt;&lt;Q&gt;Ticker0024^FE_ESTIMATE(PRODLINE_SALES_16,MEAN,QUARTERLY_ROLL,2020/2F,45868,,,'')&lt;/Q&gt;&lt;R&gt;1&lt;/R&gt;&lt;C&gt;1&lt;/C&gt;&lt;D xsi:type="xsd:double"&gt;11869&lt;/D&gt;&lt;/FQL&gt;&lt;FQL&gt;&lt;Q&gt;Ticker0024^FE_ESTIMATE(PRODLINE_SALES_16,MEAN,QUARTERLY_ROLL,2020/1F,45868,,,'')&lt;/Q&gt;&lt;R&gt;1&lt;/R&gt;&lt;C&gt;1&lt;/C&gt;&lt;D xsi:type="xsd:double"&gt;10845&lt;/D&gt;&lt;/FQL&gt;&lt;FQL&gt;&lt;Q&gt;Ticker0024^FE_ESTIMATE(PRODLINE_SALES_15,MEAN,ANNUAL_ROLL,2030,45868,,,'')&lt;/Q&gt;&lt;R&gt;0&lt;/R&gt;&lt;C&gt;0&lt;/C&gt;&lt;/FQL&gt;&lt;FQL&gt;&lt;Q&gt;Ticker0024^FE_ESTIMATE(PRODLINE_SALES_15,MEAN,QUARTERLY_ROLL,2030/4F,45868,,,'')&lt;/Q&gt;&lt;R&gt;0&lt;/R&gt;&lt;C&gt;0&lt;/C&gt;&lt;/FQL&gt;&lt;FQL&gt;&lt;Q&gt;Ticker0024^FE_ESTIMATE(PRODLINE_SALES_15,MEAN,QUARTERLY_ROLL,2030/3F,45868,,,'')&lt;/Q&gt;&lt;R&gt;0&lt;/R&gt;&lt;C&gt;0&lt;/C&gt;&lt;/FQL&gt;&lt;FQL&gt;&lt;Q&gt;Ticker0024^FE_E</t>
        </r>
      </text>
    </comment>
    <comment ref="A73" authorId="0" shapeId="0" xr:uid="{90FE72E4-E8C9-4BC9-9EFA-8AB327F9154E}">
      <text>
        <r>
          <rPr>
            <b/>
            <sz val="9"/>
            <color indexed="81"/>
            <rFont val="Tahoma"/>
            <family val="2"/>
          </rPr>
          <t>STIMATE(PRODLINE_SALES_15,MEAN,QUARTERLY_ROLL,2030/2F,45868,,,'')&lt;/Q&gt;&lt;R&gt;0&lt;/R&gt;&lt;C&gt;0&lt;/C&gt;&lt;/FQL&gt;&lt;FQL&gt;&lt;Q&gt;Ticker0024^FE_ESTIMATE(PRODLINE_SALES_15,MEAN,QUARTERLY_ROLL,2030/1F,45868,,,'')&lt;/Q&gt;&lt;R&gt;0&lt;/R&gt;&lt;C&gt;0&lt;/C&gt;&lt;/FQL&gt;&lt;FQL&gt;&lt;Q&gt;Ticker0024^FE_ESTIMATE(PRODLINE_SALES_15,MEAN,ANNUAL_ROLL,2029,45868,,,'')&lt;/Q&gt;&lt;R&gt;0&lt;/R&gt;&lt;C&gt;0&lt;/C&gt;&lt;/FQL&gt;&lt;FQL&gt;&lt;Q&gt;Ticker0024^FE_ESTIMATE(PRODLINE_SALES_15,MEAN,QUARTERLY_ROLL,2029/4F,45868,,,'')&lt;/Q&gt;&lt;R&gt;0&lt;/R&gt;&lt;C&gt;0&lt;/C&gt;&lt;/FQL&gt;&lt;FQL&gt;&lt;Q&gt;Ticker0024^FE_ESTIMATE(PRODLINE_SALES_15,MEAN,QUARTERLY_ROLL,2029/3F,45868,,,'')&lt;/Q&gt;&lt;R&gt;0&lt;/R&gt;&lt;C&gt;0&lt;/C&gt;&lt;/FQL&gt;&lt;FQL&gt;&lt;Q&gt;Ticker0024^FE_ESTIMATE(PRODLINE_SALES_15,MEAN,QUARTERLY_ROLL,2029/2F,45868,,,'')&lt;/Q&gt;&lt;R&gt;0&lt;/R&gt;&lt;C&gt;0&lt;/C&gt;&lt;/FQL&gt;&lt;FQL&gt;&lt;Q&gt;Ticker0024^FE_ESTIMATE(PRODLINE_SALES_15,MEAN,QUARTERLY_ROLL,2029/1F,45868,,,'')&lt;/Q&gt;&lt;R&gt;0&lt;/R&gt;&lt;C&gt;0&lt;/C&gt;&lt;/FQL&gt;&lt;FQL&gt;&lt;Q&gt;Ticker0024^FE_ESTIMATE(PRODLINE_SALES_15,MEAN,ANNUAL_ROLL,2028,45868,,,'')&lt;/Q&gt;&lt;R&gt;1&lt;/R&gt;&lt;C&gt;1&lt;/C&gt;&lt;D xsi:type="xsd:double"&gt;161292&lt;/D&gt;&lt;/FQL&gt;&lt;FQL&gt;&lt;Q&gt;Ticker0024^FE_ESTIMATE(PRODLINE_SALES_15,MEAN,QUARTERLY_ROLL,2028/4F,45868,,,'')&lt;/Q&gt;&lt;R&gt;0&lt;/R&gt;&lt;C&gt;0&lt;/C&gt;&lt;/FQL&gt;&lt;FQL&gt;&lt;Q&gt;Ticker0024^FE_ESTIMATE(PRODLINE_SALES_15,MEAN,QUARTERLY_ROLL,2028/3F,45868,,,'')&lt;/Q&gt;&lt;R&gt;0&lt;/R&gt;&lt;C&gt;0&lt;/C&gt;&lt;/FQL&gt;&lt;FQL&gt;&lt;Q&gt;Ticker0024^FE_ESTIMATE(PRODLINE_SALES_15,MEAN,QUARTERLY_ROLL,2028/2F,45868,,,'')&lt;/Q&gt;&lt;R&gt;0&lt;/R&gt;&lt;C&gt;0&lt;/C&gt;&lt;/FQL&gt;&lt;FQL&gt;&lt;Q&gt;Ticker0024^FE_ESTIMATE(PRODLINE_SALES_15,MEAN,QUARTERLY_ROLL,2028/1F,45868,,,'')&lt;/Q&gt;&lt;R&gt;0&lt;/R&gt;&lt;C&gt;0&lt;/C&gt;&lt;/FQL&gt;&lt;FQL&gt;&lt;Q&gt;Ticker0024^FE_ESTIMATE(PRODLINE_SALES_15,MEAN,ANNUAL_ROLL,2027,45868,,,'')&lt;/Q&gt;&lt;R&gt;1&lt;/R&gt;&lt;C&gt;1&lt;/C&gt;&lt;D xsi:type="xsd:double"&gt;146102.14&lt;/D&gt;&lt;/FQL&gt;&lt;FQL&gt;&lt;Q&gt;Ticker0024^FE_ESTIMATE(PRODLINE_SALES_15,MEAN,QUARTERLY_ROLL,2027/4F,45868,,,'')&lt;/Q&gt;&lt;R&gt;1&lt;/R&gt;&lt;C&gt;1&lt;/C&gt;&lt;D xsi:type="xsd:double"&gt;38714&lt;/D&gt;&lt;/FQL&gt;&lt;FQL&gt;&lt;Q&gt;Ticker0024^FE_ESTIMATE(PRODLINE_SALES_15,MEAN,QUARTERLY_ROLL,2027/3F,45868,,,'')&lt;/Q&gt;&lt;R&gt;1&lt;/R&gt;&lt;C&gt;1&lt;/C&gt;&lt;D xsi:type="xsd:double"&gt;36705.332&lt;/D&gt;&lt;/FQL&gt;&lt;FQL&gt;&lt;Q&gt;Ticker0024^FE_ESTIMATE(PRODLINE_SALES_15,MEAN,QUARTERLY_ROLL,2027/2F,45868,,,'')&lt;/Q&gt;&lt;R&gt;1&lt;/R&gt;&lt;C&gt;1&lt;/C&gt;&lt;D xsi:type="xsd:double"&gt;35598.5&lt;/D&gt;&lt;/FQL&gt;&lt;FQL&gt;&lt;Q&gt;Ticker0024^FE_ESTIMATE(PRODLINE_SALES_15,MEAN,QUARTERLY_ROLL,2027/1F,45868,,,'')&lt;/Q&gt;&lt;R&gt;1&lt;/R&gt;&lt;C&gt;1&lt;/C&gt;&lt;D xsi:type="xsd:double"&gt;34546.75&lt;/D&gt;&lt;/FQL&gt;&lt;FQL&gt;&lt;Q&gt;Ticker0024^FE_ESTIMATE(PRODLINE_SALES_15,MEAN,ANNUAL_ROLL,2026,45868,,,'')&lt;/Q&gt;&lt;R&gt;1&lt;/R&gt;&lt;C&gt;1&lt;/C&gt;&lt;D xsi:type="xsd:double"&gt;131986.4&lt;/D&gt;&lt;/FQL&gt;&lt;FQL&gt;&lt;Q&gt;Ticker0024^FE_ESTIMATE(PRODLINE_SALES_15,MEAN,QUARTERLY_ROLL,2026/4F,45868,,,'')&lt;/Q&gt;&lt;R&gt;1&lt;/R&gt;&lt;C&gt;1&lt;/C&gt;&lt;D xsi:type="xsd:double"&gt;35161.332&lt;/D&gt;&lt;/FQL&gt;&lt;FQL&gt;&lt;Q&gt;Ticker0024^FE_ESTIMATE(PRODLINE_SALES_15,MEAN,QUARTERLY_ROLL,2026/3F,45868,,,'')&lt;/Q&gt;&lt;R&gt;1&lt;/R&gt;&lt;C&gt;1&lt;/C&gt;&lt;D xsi:type="xsd:double"&gt;32956.867&lt;/D&gt;&lt;/FQL&gt;&lt;FQL&gt;&lt;Q&gt;Ticker0024^FE_ESTIMATE(PRODLINE_SALES_15,MEAN,QUARTERLY_ROLL,2026/2F,45868,,,'')&lt;/Q&gt;&lt;R&gt;1&lt;/R&gt;&lt;C&gt;1&lt;/C&gt;&lt;D xsi:type="xsd:double"&gt;32380.438&lt;/D&gt;&lt;/FQL&gt;&lt;FQL&gt;&lt;Q&gt;Ticker0024^FE_ESTIMATE(PRODLINE_SALES_15,MEAN,QUARTERLY_ROLL,2026/1F,45868,,,'')&lt;/Q&gt;&lt;R&gt;1&lt;/R&gt;&lt;C&gt;1&lt;/C&gt;&lt;D xsi:type="xsd:double"&gt;31332.63&lt;/D&gt;&lt;/FQL&gt;&lt;FQL&gt;&lt;Q&gt;Ticker0024^FE_ESTIMATE(PRODLINE_SALES_15,MEAN,ANNUAL_ROLL,2025,45868,,,'')&lt;/Q&gt;&lt;R&gt;1&lt;/R&gt;&lt;C&gt;1&lt;/C&gt;&lt;D xsi:type="xsd:double"&gt;119886.734&lt;/D&gt;&lt;/FQL&gt;&lt;FQL&gt;&lt;Q&gt;Ticker0024^FE_ESTIMATE(PRODLINE_SALES_15,MEAN,QUARTERLY_ROLL,2025/4F,45868,,,'')&lt;/Q&gt;&lt;R&gt;1&lt;/R&gt;&lt;C&gt;1&lt;/C&gt;&lt;D xsi:type="xsd:double"&gt;32158.111&lt;/D&gt;&lt;/FQL&gt;&lt;FQL&gt;&lt;Q&gt;Ticker0024^FE_ESTIMATE(PRODLINE_SALES_15,MEAN,QUARTERLY_ROLL,2025/3F,45868,,,'')&lt;/Q&gt;&lt;R&gt;1&lt;/R&gt;&lt;C&gt;1&lt;/C&gt;&lt;D xsi:type="xsd:double"&gt;29944&lt;/D&gt;&lt;/FQL&gt;&lt;FQL&gt;&lt;Q&gt;Ticker0024^FE_ESTIMATE(PRODLINE_SALES_15,MEAN,QUARTERLY_ROLL,2025/2F,45868,,,'')&lt;/Q&gt;&lt;R&gt;1&lt;/R&gt;&lt;C&gt;1&lt;/C&gt;&lt;D xsi:type="xsd:double"&gt;29437&lt;/D&gt;&lt;/FQL&gt;&lt;FQL&gt;&lt;Q&gt;Ticker0024^FE_ESTIMATE(PRODLINE_SALES_15,MEAN,QUARTERLY_ROLL,2025/1F,45868,,,'')&lt;/Q&gt;&lt;R&gt;1&lt;/R&gt;&lt;C&gt;1&lt;/C&gt;&lt;D xsi:type="xsd:double"&gt;28317&lt;/D&gt;&lt;/FQL&gt;&lt;FQL&gt;&lt;Q&gt;Ticker0024^FE_ESTIMATE(PRODLINE_SALES_15,MEAN,ANNUAL_ROLL,2024,45868,,,'')&lt;/Q&gt;&lt;R&gt;1&lt;/R&gt;&lt;C&gt;1&lt;/C&gt;&lt;D xsi:type="xsd:double"&gt;77728&lt;/D&gt;&lt;/FQL&gt;&lt;FQL&gt;&lt;Q&gt;Ticker0024^FE_ESTIMATE(PRODLINE_SALES_15,MEAN,QUARTERLY_ROLL,2024/4F,45868,,,'')&lt;/Q&gt;&lt;R&gt;1&lt;/R&gt;&lt;C&gt;1&lt;/C&gt;&lt;D xsi:type="xsd:double"&gt;20317&lt;/D&gt;&lt;/FQL&gt;&lt;FQL&gt;&lt;Q&gt;Ticker0024^FE_ESTIMATE(PRODLINE_SALES_15,MEAN,QUARTERLY_ROLL,2024/3F,45868,,,'')&lt;/Q&gt;&lt;R&gt;1&lt;/R&gt;&lt;C&gt;1&lt;/C&gt;&lt;D xsi:type="xsd:double"&gt;19570&lt;/D&gt;&lt;/FQL&gt;&lt;FQL&gt;&lt;Q&gt;Ticker0024^FE_ESTIMATE(PRODLINE_SALES_15,MEAN,QUARTERLY_ROLL,2024/2F,45868,,,'')&lt;/Q&gt;&lt;R&gt;1&lt;/R&gt;&lt;C&gt;1&lt;/C&gt;&lt;D xsi:type="xsd:double"&gt;19249&lt;/D&gt;&lt;/FQL&gt;&lt;FQL&gt;&lt;Q&gt;Ticker0024^FE_ESTIMATE(PRODLINE_SALES_15,MEAN,QUARTERLY_ROLL,2024/1F,45868,,,'')&lt;/Q&gt;&lt;R&gt;1&lt;/R&gt;&lt;C&gt;1&lt;/C&gt;&lt;D xsi:type="xsd:double"&gt;18592&lt;/D&gt;&lt;/FQL&gt;&lt;FQL&gt;&lt;Q&gt;Ticker0024^FE_ESTIMATE(PRODLINE_SALES_15,MEAN,ANNUAL_ROLL,2023,45868,,,'')&lt;/Q&gt;&lt;R&gt;1&lt;/R&gt;&lt;C&gt;1&lt;/C&gt;&lt;D xsi:type="xsd:double"&gt;69275&lt;/D&gt;&lt;/FQL&gt;&lt;FQL&gt;&lt;Q&gt;Ticker0024^FE_ESTIMATE(PRODLINE_SALES_15,MEAN,QUARTERLY_ROLL,2023/4F,45868,,,'')&lt;/Q&gt;&lt;R&gt;1&lt;/R&gt;&lt;C&gt;1&lt;/C&gt;&lt;D xsi:type="xsd:double"&gt;18291&lt;/D&gt;&lt;/FQL&gt;&lt;FQL&gt;&lt;Q&gt;Ticker0024^FE_ESTIMATE(PRODLINE_SALES_15,MEAN,QUARTERLY_ROLL,2023/3F,45868,,,'')&lt;/Q&gt;&lt;R&gt;1&lt;/R&gt;&lt;C&gt;1&lt;/C&gt;&lt;D xsi:type="xsd:double"&gt;17516&lt;/D&gt;&lt;/FQL&gt;&lt;FQL&gt;&lt;Q&gt;Ticker0024^FE_ESTIMATE(PRODLINE_SALES_15,MEAN,QUARTERLY_ROLL,2023/2F,45868,,,'')&lt;/Q&gt;&lt;R&gt;1&lt;/R&gt;&lt;C&gt;1&lt;/C&gt;&lt;D xsi:type="xsd:double"&gt;17002&lt;/D&gt;&lt;/FQL&gt;&lt;FQL&gt;&lt;Q&gt;Ticker0024^FE_ESTIMATE(PRODLINE_SALES_15,MEAN,QUARTERLY_ROLL,2023/1F,45868,,,'')&lt;/Q&gt;&lt;R&gt;1&lt;/R&gt;&lt;C&gt;1&lt;/C&gt;&lt;D xsi:type="xsd:double"&gt;16465&lt;/D&gt;&lt;/FQL&gt;&lt;FQL&gt;&lt;Q&gt;Ticker0024^FE_ESTIMATE(PRODLINE_SALES_15,MEAN,ANNUAL_ROLL,2022,45868,,,'')&lt;/Q&gt;&lt;R&gt;1&lt;/R&gt;&lt;C&gt;1&lt;/C&gt;&lt;D xsi:type="xsd:double"&gt;63364&lt;/D&gt;&lt;/FQL&gt;&lt;FQL&gt;&lt;Q&gt;Ticker0024^FE_ESTIMATE(PRODLINE_SALES_15,MEAN,QUARTERLY_ROLL,2022/4F,45868,,,'')&lt;/Q&gt;&lt;R&gt;1&lt;/R&gt;&lt;C&gt;1&lt;/C&gt;&lt;D xsi:type="xsd:double"&gt;16600&lt;/D&gt;&lt;/FQL&gt;&lt;FQL&gt;&lt;Q&gt;Ticker0024^FE_ESTIMATE(PRODLINE_SALES_15,MEAN,QUARTERLY_ROLL,2022/3F,45868,,,'')&lt;/Q&gt;&lt;R&gt;1&lt;/R&gt;&lt;C&gt;1&lt;/C&gt;&lt;D xsi:type="xsd:double"&gt;15789&lt;/D&gt;&lt;/FQL&gt;&lt;FQL&gt;&lt;Q&gt;Ticker0024^FE_ESTIMATE(PRODLINE_SALES_15,MEAN,QUARTERLY_ROLL,2022/2F,45868,,,'')&lt;/Q&gt;&lt;R&gt;1&lt;/R&gt;&lt;C&gt;1&lt;/C&gt;&lt;D xsi:type="xsd:double"&gt;15936&lt;/D&gt;&lt;/FQL&gt;&lt;FQL&gt;&lt;Q&gt;Ticker0024^FE_ESTIMATE(PRODLINE_SALES_15,MEAN,QUARTERLY_ROLL,2022/1F,45868,,,'')&lt;/Q&gt;&lt;R&gt;1&lt;/R&gt;&lt;C&gt;1&lt;/C&gt;&lt;D xsi:type="xsd:double"&gt;15039&lt;/D&gt;&lt;/FQL&gt;&lt;FQL&gt;&lt;Q&gt;Ticker0024^FE_ESTIMATE(PRODLINE_SALES_15,MEAN,ANNUAL_ROLL,2021,45868,,,'')&lt;/Q&gt;&lt;R&gt;1&lt;/R&gt;&lt;C&gt;1&lt;/C&gt;&lt;D xsi:type="xsd:double"&gt;53915&lt;/D&gt;&lt;/FQL&gt;&lt;FQL&gt;&lt;Q&gt;Ticker0024^FE_ESTIMATE(PRODLINE_SALES_15,MEAN,QUARTERLY_ROLL,2021/4F,45868,,,'')&lt;/Q&gt;&lt;R&gt;1&lt;/R&gt;&lt;C&gt;1&lt;/C&gt;&lt;D xsi:type="xsd:double"&gt;14691&lt;/D&gt;&lt;/FQL&gt;&lt;FQL&gt;&lt;Q&gt;Ticker0024^FE_ESTIMATE(PRODLINE_SALES_15,MEAN,QUARTERLY_ROLL,2021/3F,45868,,,'')&lt;/Q&gt;&lt;R&gt;1&lt;/R&gt;&lt;C&gt;1&lt;/C&gt;&lt;D xsi:type="xsd:double"&gt;13552&lt;/D&gt;&lt;/FQL&gt;&lt;FQL&gt;&lt;Q&gt;Ticker0024^FE_ESTIMATE(PRODLINE_SALES_15,MEAN,QUARTERLY_ROLL,2021/2F,45868,,,'')&lt;/Q&gt;&lt;R&gt;1&lt;/R&gt;&lt;C&gt;1&lt;/C&gt;&lt;D xsi:type="xsd:double"&gt;13353&lt;/D&gt;&lt;/FQL&gt;&lt;FQL&gt;&lt;Q&gt;Ticker0024^FE_ESTIMATE(PRODLINE_SALES_15,MEAN,QUARTERLY_ROLL,2021/1F,45868,,,'')&lt;/Q&gt;&lt;R&gt;1&lt;/R&gt;&lt;C&gt;1&lt;/C&gt;&lt;D xsi:type="xsd:double"&gt;12319&lt;/D&gt;&lt;/FQL&gt;&lt;FQL&gt;&lt;Q&gt;Ticker0024^FE_ESTIMATE(PRODLINE_SALES_15,MEAN,ANNUAL_ROLL,2020,45868,,,'')&lt;/Q&gt;&lt;R&gt;1&lt;/R&gt;&lt;C&gt;1&lt;/C&gt;&lt;D xsi:type="xsd:double"&gt;46398&lt;/D&gt;&lt;/FQL&gt;&lt;FQL&gt;&lt;Q&gt;Ticker0024^FE_ESTIMATE(PRODLINE_SALES_15,MEAN,QUARTERLY_ROLL,2020/4F,45868,,,'')&lt;/Q&gt;&lt;R&gt;1&lt;/R&gt;&lt;C&gt;1&lt;/C&gt;&lt;D xsi:type="xsd:double"&gt;11752&lt;/D&gt;&lt;/FQL&gt;&lt;FQL&gt;&lt;Q&gt;Ticker0024^FE_ESTIMATE(PRODLINE_SALES_15,MEAN,QUARTERLY_ROLL,2020/3F,45868,,,'')&lt;/Q&gt;&lt;R&gt;1&lt;/R&gt;&lt;C&gt;1&lt;/C&gt;&lt;D xsi:type="xsd:double"&gt;11743&lt;/D&gt;&lt;/FQL&gt;&lt;FQL&gt;&lt;Q&gt;Ticker0024^FE_ESTIMATE(PRODLINE_SALES_15,MEAN,QUARTERLY_ROLL,2020/2F,45868,,,'')&lt;/Q&gt;&lt;R&gt;1&lt;/R&gt;&lt;C&gt;1&lt;/C&gt;&lt;D xsi:type="xsd:double"&gt;11826&lt;/D&gt;&lt;/FQL&gt;&lt;FQL&gt;&lt;Q&gt;Ticker0024^FE_ESTIMATE(PRODLINE_SALES_15,MEAN,QUARTERLY_ROLL,2020/1F,45868,,,'')&lt;/Q&gt;&lt;R&gt;1&lt;/R&gt;&lt;C&gt;1&lt;/C&gt;&lt;D xsi:type="xsd:double"&gt;11077&lt;/D&gt;&lt;/FQL&gt;&lt;FQL&gt;&lt;Q&gt;IBM^FE_VALUATION(FFEV_FCF,MEAN,CAL4_ROLL,2026,45868,,,'')&lt;/Q&gt;&lt;R&gt;1&lt;/R&gt;&lt;C&gt;1&lt;/C&gt;&lt;D xsi:type="xsd:double"&gt;20.515633&lt;/D&gt;&lt;/FQL&gt;&lt;FQL&gt;&lt;Q&gt;IBM^FE_VALUATION(FFEV_FCF,MEAN,CAL4_ROLL,2025,45868,,,'')&lt;/Q&gt;&lt;R&gt;1&lt;/R&gt;&lt;C&gt;1&lt;/C&gt;&lt;D xsi:type="xsd:double"&gt;21.340162&lt;/D&gt;&lt;/FQL&gt;&lt;FQL&gt;&lt;Q&gt;IBM^FE_VALUATION(FFEV_FCF,MEAN,CAL4_ROLL,2024,45868,,,'')&lt;/Q&gt;&lt;R&gt;1&lt;/R&gt;&lt;C&gt;1&lt;/C&gt;&lt;D xsi:type="xsd:double"&gt;23.451609&lt;/D&gt;&lt;/FQL&gt;&lt;FQL&gt;&lt;Q&gt;IBM^FE_VALUATION(FFEV_FCF,MEAN,NTM4_ROLL,,45868,,,'')&lt;/Q&gt;&lt;R&gt;1&lt;/R&gt;&lt;C&gt;1&lt;/C&gt;&lt;D xsi:type="xsd:double"&gt;20.148678&lt;/D&gt;&lt;/FQL&gt;&lt;FQL&gt;&lt;Q&gt;CRM^FE_VALUATION(PE,MEAN,CAL4_ROLL,,45868,,,'')&lt;/Q&gt;&lt;R&gt;1&lt;/R&gt;&lt;C&gt;1&lt;/C&gt;&lt;D xsi:type="xsd:double"&gt;22.711233&lt;/D&gt;&lt;/FQL&gt;&lt;FQL&gt;&lt;Q&gt;CRM^FE_VALUATION(PE,MEAN,NTM4_ROLL,,45868,,,'')&lt;/Q&gt;&lt;R&gt;1&lt;/R&gt;&lt;C&gt;1&lt;/C&gt;&lt;D xsi:type="xsd:double"&gt;22.711233&lt;/D&gt;&lt;/FQL&gt;&lt;FQL&gt;&lt;Q&gt;CRM^FE_VALUATION(FFEV_FCF,MEAN,CAL4_ROLL,2026,45868,,,'')&lt;/Q&gt;&lt;R&gt;1&lt;/R&gt;&lt;C&gt;1&lt;/C&gt;&lt;D xsi:type="xsd:double"&gt;16.513733&lt;/D&gt;&lt;/FQL&gt;&lt;FQL&gt;&lt;Q&gt;CRM^FE_VALUATION(FFEV_FCF,MEAN,CAL4_ROLL,2025,45868,,,'')&lt;/Q&gt;&lt;R&gt;1&lt;/R&gt;&lt;C&gt;1&lt;/C&gt;&lt;D xsi:type="xsd:double"&gt;18.318348&lt;/D&gt;&lt;/FQL&gt;&lt;FQL&gt;&lt;Q&gt;CRM^FE_VALUATION(FFEV_FCF,MEAN,CAL4_ROLL,2024,45868,,,'')&lt;/Q&gt;&lt;R&gt;1&lt;/R&gt;&lt;C&gt;1&lt;/C&gt;&lt;D xsi:type="xsd:double"&gt;20.225004&lt;/D&gt;&lt;/FQL&gt;&lt;FQL&gt;&lt;Q&gt;CRM^FE_VALUATION(FFEV_FCF,MEAN,NTM4_ROLL,,45868,,,'')&lt;/Q&gt;&lt;R&gt;1&lt;/R&gt;&lt;C&gt;1&lt;/C&gt;&lt;D xsi:type="xsd:double"&gt;17.399143&lt;/D&gt;&lt;/FQL&gt;&lt;FQL&gt;&lt;Q&gt;Company1341^FE_VALUATION(PE,MEAN,CAL4_ROLL,,45868,,,'')&lt;/Q&gt;&lt;R&gt;1&lt;/R&gt;&lt;C&gt;1&lt;/C&gt;&lt;D xsi:type="xsd:double"&gt;39.018906&lt;/D&gt;&lt;/FQL&gt;&lt;FQL&gt;&lt;Q&gt;Company1341^FE_VALUATION(PE,MEAN,NTM4_ROLL,,45868,,,'')&lt;/Q&gt;&lt;R&gt;1&lt;/R&gt;&lt;C&gt;1&lt;/C&gt;&lt;D xsi:type="xsd:double"&gt;35.851803&lt;/D&gt;&lt;/FQL&gt;&lt;FQL&gt;&lt;Q&gt;Company1341^FE_VALUATION(FFEV_FCF,MEAN,CAL4_ROLL,2026,45868,,,'')&lt;/Q&gt;&lt;R&gt;1&lt;/R&gt;&lt;C&gt;1&lt;/C&gt;&lt;D xsi:type="xsd:double"&gt;32.55036&lt;/D&gt;&lt;/FQL&gt;&lt;FQL&gt;&lt;Q&gt;Company1341^FE_VALUATION(FFEV_FCF,MEAN,CAL4_ROLL,2025,45868,,,'')&lt;/Q&gt;&lt;R&gt;1&lt;/R&gt;&lt;C&gt;1&lt;/C&gt;&lt;D xsi:type="xsd:double"&gt;35.30085&lt;/D&gt;&lt;/FQL&gt;&lt;FQL&gt;&lt;Q&gt;Company1341^FE_VALUATION(FFEV_FCF,MEAN,CAL4_ROLL,2024,45868,,,'')&lt;/Q&gt;&lt;R&gt;1&lt;/R&gt;&lt;C&gt;1&lt;/C&gt;&lt;D xsi:type="xsd:double"&gt;41.269722&lt;/D&gt;&lt;/FQL&gt;&lt;FQL&gt;&lt;Q&gt;Company1341^FE_VALUATION(FFEV_FCF,MEAN,NTM4_ROLL,,45868,,,'')&lt;/Q&gt;&lt;R&gt;1&lt;/R&gt;&lt;C&gt;1&lt;/C&gt;&lt;D xsi:type="xsd:double"&gt;37.071293&lt;/D&gt;&lt;/FQL&gt;&lt;FQL&gt;&lt;Q&gt;Company0023^FE_VALUATION(PE,MEAN,CAL4_ROLL,,45868,,,'')&lt;/Q&gt;&lt;R&gt;1&lt;/R&gt;&lt;C&gt;1&lt;/C&gt;&lt;D xsi:type="xsd:double"&gt;17.142962&lt;/D&gt;&lt;/FQL&gt;&lt;FQL&gt;&lt;Q&gt;Company0023^FE_VALUATION(PE,MEAN,NTM4_ROLL,,45868,,,'')&lt;/Q&gt;&lt;R&gt;1&lt;/R&gt;&lt;C&gt;1&lt;/C&gt;&lt;D xsi:type="xsd:double"&gt;16.63327&lt;/D&gt;&lt;/FQL&gt;&lt;FQL&gt;&lt;Q&gt;Company0023^FE_VALUATION(FFEV_FCF,MEAN,CAL4_ROLL,2026,45868,,,'')&lt;/Q&gt;&lt;R&gt;1&lt;/R&gt;&lt;C&gt;1&lt;/C&gt;&lt;D xsi:type="xsd:double"&gt;15.20874&lt;/D&gt;&lt;/FQL&gt;&lt;FQL&gt;&lt;Q&gt;Company0023^FE_VALUATION(FFEV_FCF,MEAN,CAL4_ROLL,2025,45868,,,'')&lt;/Q&gt;&lt;R&gt;1&lt;/R&gt;&lt;C&gt;1&lt;/C&gt;&lt;D xsi:type="xsd:double"&gt;16.723045&lt;/D&gt;&lt;/FQL&gt;&lt;FQL&gt;&lt;Q&gt;Company0023^FE_VALUATION(FFEV_FCF,MEAN,CAL4_ROLL,2024,45868,,,'')&lt;/Q&gt;&lt;R&gt;1&lt;/R&gt;&lt;C&gt;1&lt;/C&gt;&lt;D xsi:type="xsd:double"&gt;19.920557&lt;/D&gt;&lt;/FQL&gt;&lt;FQL&gt;&lt;Q&gt;Company0023^FE_VALUATION(FFEV_FCF,MEAN,NTM4_ROLL,,45868,,,'')&lt;/Q&gt;&lt;R&gt;1&lt;/R&gt;&lt;C&gt;1&lt;/C&gt;&lt;D xsi:type="xsd:double"&gt;16.256464&lt;/D&gt;&lt;/FQL&gt;&lt;FQL&gt;&lt;Q&gt;Company1985^FE_VALUATION(PE,MEAN,CAL4_ROLL,,45868,,,'')&lt;/Q&gt;&lt;R&gt;1&lt;/R&gt;&lt;C&gt;1&lt;/C&gt;&lt;D xsi:type="xsd:double"&gt;35.431698&lt;/D&gt;&lt;/FQL&gt;&lt;FQL&gt;&lt;Q&gt;Company1985^FE_VALUATION(PE,MEAN,NTM4_ROLL,,45868,,,'')&lt;/Q&gt;&lt;R&gt;1&lt;/R&gt;&lt;C&gt;1&lt;/C&gt;&lt;D xsi:type="xsd:double"&gt;36.945995&lt;/D&gt;&lt;/FQL&gt;&lt;FQL&gt;&lt;Q&gt;Company1985^FE_VALUATION(FFEV_FCF,MEAN,CAL4_ROLL,2026,45868,,,'')&lt;/Q&gt;&lt;R&gt;1&lt;/R&gt;&lt;C&gt;1&lt;/C&gt;&lt;D xsi:type="xsd:double"&gt;2242.2017&lt;/D&gt;&lt;/FQL&gt;&lt;FQL&gt;&lt;Q&gt;Company1985^FE_VALUATION(FFEV_FCF,MEAN,CAL4_ROLL,2025,45868,,,'')&lt;/Q&gt;&lt;R&gt;0&lt;/R&gt;&lt;C&gt;0&lt;/C&gt;&lt;/FQL&gt;&lt;FQL&gt;&lt;Q&gt;Company1985^FE_VALUATION(FFEV_FCF,MEAN,CAL4_ROLL,2024,45868,,,'')&lt;/Q&gt;&lt;R&gt;1&lt;/R&gt;&lt;C&gt;1&lt;/C&gt;&lt;D xsi:type="xsd:double"&gt;85.48966&lt;/D&gt;&lt;/FQL&gt;&lt;FQL&gt;&lt;Q&gt;Company1985^FE_VALUATION(FFEV_FCF,MEAN,NTM4_ROLL,,45868,,,'')&lt;/Q&gt;&lt;R&gt;0&lt;/R&gt;&lt;C&gt;0&lt;/C&gt;&lt;/FQL&gt;&lt;FQL&gt;&lt;Q&gt;Company2320^FE_VALUATION(PE,MEAN,CAL4_ROLL,,45868,,,'')&lt;/Q&gt;&lt;R&gt;1&lt;/R&gt;&lt;C&gt;1&lt;/C&gt;&lt;D xsi:type="xsd:double"&gt;38.140266&lt;/D&gt;&lt;/FQL&gt;&lt;FQL&gt;&lt;Q&gt;Company2320^FE_VALUATION(PE,MEAN,NTM4_ROLL,,45868,,,'')&lt;/Q&gt;&lt;R&gt;1&lt;/R&gt;&lt;C&gt;1&lt;/C&gt;&lt;D xsi:type="xsd:double"&gt;38.140266&lt;/D&gt;&lt;/FQL&gt;&lt;FQL&gt;&lt;Q&gt;Company2320^FE_VALUATION(FFEV_FCF,MEAN,CAL4_ROLL,2026,45868,,,'')&lt;/Q&gt;&lt;R&gt;1&lt;/R&gt;&lt;C&gt;1&lt;/C&gt;&lt;D xsi:type="xsd:double"&gt;30.005714&lt;/D&gt;&lt;/FQL&gt;&lt;FQL&gt;&lt;Q&gt;Company2320^FE_VALUATION(FFEV_FCF,MEAN,CAL4_ROLL,2025,45868,,,'')&lt;/Q&gt;&lt;R&gt;1&lt;/R&gt;&lt;C&gt;1&lt;/C&gt;&lt;D xsi:type="xsd:double"&gt;35.17137&lt;/D&gt;&lt;/FQL&gt;&lt;FQL&gt;&lt;Q&gt;Company2320^FE_VALUATION(FFEV_FCF,MEAN,CAL4_ROLL,2024,45868,,,'')&lt;/Q&gt;&lt;R&gt;1&lt;/R&gt;&lt;C&gt;1&lt;/C&gt;&lt;D xsi:type="xsd:double"&gt;76.73004&lt;/D&gt;&lt;/FQL&gt;&lt;FQL&gt;&lt;Q&gt;Company2320^FE_VALUATION(FFEV_FCF,MEAN,NTM4_ROLL,,45868,,,'')&lt;/Q&gt;&lt;R&gt;1&lt;/R&gt;&lt;C&gt;1&lt;/C&gt;&lt;D xsi:type="xsd:double"&gt;35.76683&lt;/D&gt;&lt;/FQL&gt;&lt;FQL&gt;&lt;Q&gt;Company0103^FE_VALUATION(PE,MEAN,CAL4_ROLL,,45868,,,'')&lt;/Q&gt;&lt;R&gt;1&lt;/R&gt;&lt;C&gt;1&lt;/C&gt;&lt;D xsi:type="xsd:double"&gt;36.295486&lt;/D&gt;&lt;/FQL&gt;&lt;FQL&gt;&lt;Q&gt;Company0103^FE_VALUATION(PE,MEAN,NTM4_ROLL,,45868,,,'')&lt;/Q&gt;&lt;R&gt;1&lt;/R&gt;&lt;C&gt;1&lt;/C&gt;&lt;D xsi:type="xsd:double"&gt;36.295486&lt;/D&gt;&lt;/FQL&gt;&lt;FQL&gt;&lt;Q&gt;Company0103^FE_VALUATION(FFEV_FCF,MEAN,CAL4_ROLL,2026,45868,,,'')&lt;/Q&gt;&lt;R&gt;1&lt;/R&gt;&lt;C&gt;1&lt;/C&gt;&lt;D xsi:type="xsd:double"&gt;60.29911&lt;/D&gt;&lt;/FQL&gt;&lt;FQL&gt;&lt;Q&gt;Company0103^FE_VALUATION(FFEV_FCF,MEAN,CAL4_ROLL,2025,45868,,,'')&lt;/Q&gt;&lt;R&gt;1&lt;/R&gt;&lt;C&gt;1&lt;/C&gt;&lt;D xsi:type="xsd:double"&gt;74.49831&lt;/D&gt;&lt;/FQL&gt;&lt;FQL&gt;&lt;Q&gt;Company0103^FE_VALUATION(FFEV_FCF,MEAN,CAL4_ROLL,2024,45868,,,'')&lt;/Q&gt;&lt;R&gt;1&lt;/R&gt;&lt;C&gt;1&lt;/C&gt;&lt;D xsi:type="xsd:double"&gt;67.52001&lt;/D&gt;&lt;/FQL&gt;&lt;FQL&gt;&lt;Q&gt;Company0103^FE_VALUATION(FFEV_FCF,MEAN,NTM4_ROLL,,45868,,,'')&lt;/Q&gt;&lt;R&gt;1&lt;/R&gt;&lt;C&gt;1&lt;/C&gt;&lt;D xsi:type="xsd:double"&gt;66.78036&lt;/D&gt;&lt;/FQL&gt;&lt;FQL&gt;&lt;Q&gt;Ticker0013^FE_VALUATION(PE,MEAN,CAL4_ROLL,,45868,,,'')&lt;/Q&gt;&lt;R&gt;1&lt;/R&gt;&lt;C&gt;1&lt;/C&gt;&lt;D xsi:type="xsd:double"&gt;19.98874&lt;/D&gt;&lt;/FQL&gt;&lt;FQL&gt;&lt;Q&gt;Ticker0013^FE_VALUATION(PE,MEAN,NTM4_ROLL,,45868,,,'')&lt;/Q&gt;&lt;R&gt;1&lt;/R&gt;&lt;C&gt;1&lt;/C&gt;&lt;D xsi:type="xsd:double"&gt;19.98874&lt;/D&gt;&lt;/FQL&gt;&lt;FQL&gt;&lt;Q&gt;Ticker0013^FE_VALUATION(FFEV_FCF,MEAN,CAL4_ROLL,2026,45868,,,'')&lt;/Q&gt;&lt;R&gt;1&lt;/R&gt;&lt;C&gt;1&lt;/C&gt;&lt;D xsi:type="xsd:double"&gt;29.654972&lt;/D&gt;&lt;/FQL&gt;&lt;FQL&gt;&lt;Q&gt;Ticker0013^FE_VALUATION(FFEV_FCF,MEAN,CAL4_ROLL,2025,45868,,,'')&lt;/Q&gt;&lt;R&gt;1&lt;/R&gt;&lt;C&gt;1&lt;/C&gt;&lt;D xsi:type="xsd:double"&gt;36.91229&lt;/D&gt;&lt;/FQL&gt;&lt;FQL&gt;&lt;Q&gt;Ticker0013^FE_VALUATION(FFEV_FCF,MEAN,CAL4_ROLL,2024,45868,,,'')&lt;/Q&gt;&lt;R&gt;1&lt;/R&gt;&lt;C&gt;1&lt;/C&gt;&lt;D xsi:type="xsd:double"&gt;32.079506&lt;/D&gt;&lt;/FQL&gt;&lt;FQL&gt;&lt;Q&gt;Ticker0013^FE_VALUATION(FFEV_FCF,MEAN,NTM4_ROLL,,45868,,,'')&lt;/Q&gt;&lt;R&gt;1&lt;/R&gt;&lt;C&gt;1&lt;/C&gt;&lt;D xsi:type="xsd:double"&gt;30.473028&lt;/D&gt;&lt;/FQL&gt;&lt;FQL&gt;&lt;Q&gt;Ticker0024^FE_ESTIMATE(EPS,MEAN,CAL4_ROLL,2026,45868,,,'')&lt;/Q&gt;&lt;R&gt;1&lt;/R&gt;&lt;C&gt;1&lt;/C&gt;&lt;D xsi:type="xsd:double"&gt;16.17736&lt;/D&gt;&lt;/FQL&gt;&lt;FQL&gt;&lt;Q&gt;Ticker0024^FE_ESTIMATE(EPS,MEAN,CAL4_ROLL,2025,45868,,,'')&lt;/Q&gt;&lt;R&gt;1&lt;/R&gt;&lt;C&gt;1&lt;/C&gt;&lt;D xsi:type="xsd:double"&gt;14.113774&lt;/D&gt;&lt;/FQL&gt;&lt;FQL&gt;&lt;Q&gt;Ticker0024^FE_ESTIMATE(EPS,MEAN,CAL4_ROLL,2024,45868,,,'')&lt;/Q&gt;&lt;R&gt;1&lt;/R&gt;&lt;C&gt;1&lt;/C&gt;&lt;D xsi:type="xsd:double"&gt;12.42&lt;/D&gt;&lt;/FQL&gt;&lt;FQL&gt;&lt;Q&gt;Ticker0024^FE_ESTIMATE(EPS,MEAN,CAL4_ROLL,2023,45868,,,'')&lt;/Q&gt;&lt;R&gt;1&lt;/R&gt;&lt;C&gt;1&lt;/C&gt;&lt;D xsi:type="xsd:double"&gt;11.06&lt;/D&gt;&lt;/FQL&gt;&lt;FQL&gt;&lt;Q&gt;Ticker0024^FE_ESTIMATE(EPS,MEAN,NTM4_ROLL,,45868,,,'')&lt;/Q&gt;&lt;R&gt;1&lt;/R&gt;&lt;C&gt;1&lt;/C&gt;&lt;D xsi:type="xsd:double"&gt;14.97438&lt;/D&gt;&lt;/FQL&gt;&lt;FQL&gt;&lt;Q&gt;Ticker0024^FE_ESTIMATE(EPS,MEAN,LTM4_ROLL,,45868,,,'')&lt;/Q&gt;&lt;R&gt;1&lt;/R&gt;&lt;C&gt;1&lt;/C&gt;&lt;D xsi:type="xsd:double"&gt;13.36471&lt;/D&gt;&lt;/FQL&gt;&lt;FQL&gt;&lt;Q&gt;IBM^FE_ESTIMATE(EPS,MEAN,CAL4_ROLL,2026,45868,,,'')&lt;/Q&gt;&lt;R&gt;1&lt;/R&gt;&lt;C&gt;1&lt;/C&gt;&lt;D xsi:type="xsd:double"&gt;11.99092&lt;/D&gt;&lt;/FQL&gt;&lt;FQL&gt;&lt;Q&gt;IBM^FE_ESTIMATE(EPS,MEAN,CAL4_ROLL,2025,45868,,,'')&lt;/Q&gt;&lt;R&gt;1&lt;/R&gt;&lt;C&gt;1&lt;/C&gt;&lt;D xsi:type="xsd:double"&gt;11.18489&lt;/D&gt;&lt;/FQL&gt;&lt;FQL&gt;&lt;Q&gt;IBM^FE_ESTIMATE(EPS,MEAN,CAL4_ROLL,2024,45868,,,'')&lt;/Q&gt;&lt;R&gt;1&lt;/R&gt;&lt;C&gt;1&lt;/C&gt;&lt;D xsi:type="xsd:double"&gt;10.33&lt;/D&gt;&lt;/FQL&gt;&lt;FQL&gt;&lt;Q&gt;IBM^FE_ESTIMATE(EPS,MEAN,CAL4_ROLL,2023,45868,,,'')&lt;/Q&gt;&lt;R&gt;1&lt;/R&gt;&lt;C&gt;1&lt;/C&gt;&lt;D xsi:type="xsd:double"&gt;9.61&lt;/D&gt;&lt;/FQL&gt;&lt;FQL&gt;&lt;Q&gt;IBM^FE_ESTIMATE(EPS,MEAN,NTM4_ROLL,,45868,,,'')&lt;/Q&gt;&lt;R&gt;1&lt;/R&gt;&lt;C&gt;1&lt;/C&gt;&lt;D xsi:type="xsd:double"&gt;11.633523&lt;/D&gt;&lt;/FQL&gt;&lt;FQL&gt;&lt;Q&gt;IBM^FE_ESTIMATE(EPS,MEAN,LTM4_ROLL,,45868,,,'')&lt;/Q&gt;&lt;R&gt;1&lt;/R&gt;&lt;C&gt;1&lt;/C&gt;&lt;D xsi:type="xsd:double"&gt;10.62&lt;/D&gt;&lt;/FQL&gt;&lt;FQL&gt;&lt;Q&gt;CRM^FE_ESTIMATE(EPS,MEAN,CAL4_ROLL,2026,45868,,,'')&lt;/Q&gt;&lt;R&gt;1&lt;/R&gt;&lt;C&gt;1&lt;/C&gt;&lt;D xsi:type="xsd:double"&gt;12.595582&lt;/D&gt;&lt;/FQL&gt;&lt;FQL&gt;&lt;Q&gt;CRM^FE_ESTIMATE(EPS,MEAN,CAL4_ROLL,2025,45868,,,'')&lt;/Q&gt;&lt;R&gt;1&lt;/R&gt;&lt;C&gt;1&lt;/C&gt;&lt;D xsi:type="xsd:double"&gt;11.317779&lt;/D&gt;&lt;/FQL&gt;&lt;FQL&gt;&lt;Q&gt;CRM^FE_ESTIMATE(EPS,MEAN,CAL4_ROLL,2024,45868,,,'')&lt;/Q&gt;&lt;R&gt;1&lt;/R&gt;&lt;C&gt;1&lt;/C&gt;&lt;D xsi:type="xsd:double"&gt;10.19&lt;/D&gt;&lt;/FQL&gt;&lt;FQL&gt;&lt;Q&gt;CRM^FE_ESTIMATE(EPS,MEAN,CAL4_ROLL,2023,45868,,,'')&lt;/Q&gt;&lt;R&gt;1&lt;/R&gt;&lt;C&gt;1&lt;/C&gt;&lt;D xsi:type="xsd:double"&gt;8.21&lt;/D&gt;&lt;/FQL&gt;&lt;FQL&gt;&lt;Q&gt;CRM^FE_ESTIMATE(EPS,MEAN,NTM4_ROLL,,45868,,,'')&lt;/Q&gt;&lt;R&gt;1&lt;/R&gt;&lt;C&gt;1&lt;/C&gt;&lt;D xsi:type="xsd:double"&gt;11.659869&lt;/D&gt;&lt;/FQL&gt;&lt;FQL&gt;&lt;Q&gt;CRM^FE_ESTIMATE(EPS,MEAN,LTM4_ROLL,,45868,,,'')&lt;/Q&gt;&lt;R&gt;1&lt;/R&gt;&lt;C&gt;1&lt;/C&gt;&lt;D xsi:type="xsd:double"&gt;10.33&lt;/D&gt;&lt;/FQL&gt;&lt;FQL&gt;&lt;Q&gt;Company1341^FE_ESTIMATE(EPS,MEAN,CAL4_ROLL,2026,45868,,,'')&lt;/Q&gt;&lt;R&gt;1&lt;/R&gt;&lt;C&gt;1&lt;/C&gt;&lt;D xsi:type="xsd:double"&gt;23.900347&lt;/D&gt;&lt;/FQL&gt;&lt;FQL&gt;&lt;Q&gt;Company1341^FE_ESTIMATE(EPS,MEAN,CAL4_ROLL,2025,45868,,,'')&lt;/Q&gt;&lt;R&gt;1&lt;/R&gt;&lt;C&gt;1&lt;/C&gt;&lt;D xsi:type="xsd:double"&gt;21.332663&lt;/D&gt;&lt;/FQL&gt;&lt;FQL&gt;&lt;Q&gt;Company1341^FE_ESTIMATE(EPS,MEAN,CAL4_ROLL,2024,45868,,,'')&lt;/Q&gt;&lt;R&gt;1&lt;/R&gt;&lt;C&gt;1&lt;/C&gt;&lt;D xsi:type="xsd:double"&gt;17.69&lt;/D&gt;&lt;/FQL&gt;&lt;FQL&gt;&lt;Q&gt;Company1341^FE_ESTIMATE(EPS,MEAN,CAL4_ROLL,2023,45868,,,'')&lt;/Q&gt;&lt;R&gt;1&lt;/R&gt;&lt;C&gt;1&lt;/C&gt;&lt;D xsi:type="xsd:double"&gt;15.67&lt;/D&gt;&lt;/FQL&gt;&lt;FQL&gt;&lt;Q&gt;Company1341^FE_ESTIMATE(EPS,MEAN,NTM4_ROLL,,45868,,,'')&lt;/Q&gt;&lt;R&gt;1&lt;/R&gt;&lt;C&gt;1&lt;/C&gt;&lt;D xsi:type="xsd:double"&gt;22.520206&lt;/D&gt;&lt;/FQL&gt;&lt;FQL&gt;&lt;Q&gt;Company1341^FE_ESTIMATE(EPS,MEAN,LTM4_ROLL,,45868,,,'')&lt;/Q&gt;&lt;R&gt;1&lt;/R&gt;&lt;C&gt;1&lt;/C&gt;&lt;D xsi:type="xsd:double"&gt;19.46&lt;/D&gt;&lt;/FQL&gt;&lt;FQL&gt;&lt;Q&gt;Company0023^FE_ESTIMATE(EPS,MEAN,CAL4_ROLL,2026,45868,,,'')&lt;/Q&gt;&lt;R&gt;1&lt;/R&gt;&lt;C&gt;1&lt;/C&gt;&lt;D xsi:type="xsd:double"&gt;23.22807&lt;/D&gt;&lt;/FQL&gt;&lt;FQL&gt;&lt;Q&gt;Company0023^FE_ESTIMATE(EPS,MEAN,CAL4_ROLL,2025,45868,,,'')&lt;/Q&gt;&lt;R&gt;1&lt;/R&gt;&lt;C&gt;1&lt;/C&gt;&lt;D xsi:type="xsd:double"&gt;20.660833&lt;/D&gt;&lt;/FQL&gt;&lt;FQL&gt;&lt;Q&gt;Company0023^FE_ESTIMATE(EPS,MEAN,CAL4_ROLL,2024,45868,,,'')&lt;/Q&gt;&lt;R&gt;1&lt;/R&gt;&lt;C&gt;1&lt;/C&gt;&lt;D xsi:type="xsd:double"&gt;18.42&lt;/D&gt;&lt;/FQL&gt;&lt;FQL&gt;&lt;Q&gt;Company0023^FE_ESTIMATE(EPS,MEAN,CAL4_ROLL,2023,45868,,,'')&lt;/Q&gt;&lt;R&gt;1&lt;/R&gt;&lt;C&gt;1&lt;/C&gt;&lt;D xsi:type="xsd:double"&gt;16.07&lt;/D&gt;&lt;/FQL&gt;&lt;FQL&gt;&lt;Q&gt;Company0023^FE_ESTIMATE(EPS,MEAN,NTM4_ROLL,,45868,,,'')&lt;/Q&gt;&lt;R&gt;1&lt;/R&gt;&lt;C&gt;1&lt;/C&gt;&lt;D xsi:type="xsd:double"&gt;21.88385&lt;/D&gt;&lt;/FQL&gt;&lt;FQL&gt;&lt;Q&gt;Company0023^FE_ESTIMATE(EPS,MEAN,LTM4_ROLL,,45868,,,'')&lt;/Q&gt;&lt;R&gt;1&lt;/R&gt;&lt;C&gt;1&lt;/C&gt;&lt;D xsi:type="xsd:double"&gt;19.6&lt;/D&gt;&lt;/FQL&gt;&lt;FQL&gt;&lt;Q&gt;Company1985^FE_ESTIMATE(EPS,MEAN,CAL4_ROLL,2026,45868,,,'')&lt;/Q&gt;&lt;R&gt;1&lt;/R&gt;&lt;C&gt;1&lt;/C&gt;&lt;D xsi:type="xsd:double"&gt;7.3991737&lt;/D&gt;&lt;/FQL&gt;&lt;FQL&gt;&lt;Q&gt;Company1985^FE_ESTIMATE(EPS,MEAN,CAL4_ROLL,2025,45868,,,'')&lt;/Q&gt;&lt;R&gt;1&lt;/R&gt;&lt;C&gt;1&lt;/C&gt;&lt;D xsi:type="xsd:double"&gt;6.272716&lt;/D&gt;&lt;/FQL&gt;&lt;FQL&gt;&lt;Q&gt;Company1985^FE_ESTIMATE(EPS,MEAN,CAL4_ROLL,2024,45868,,,'')&lt;/Q&gt;&lt;R&gt;1&lt;/R&gt;&lt;C&gt;1&lt;/C&gt;&lt;D xsi:type="xsd:double"&gt;5.9&lt;/D&gt;&lt;/FQL&gt;&lt;FQL&gt;&lt;Q&gt;Company1985^FE_ESTIMATE(EPS,MEAN,CAL4_ROLL,2023,45868,,,'')&lt;/Q&gt;&lt;R&gt;1&lt;/R&gt;&lt;C&gt;1&lt;/C&gt;&lt;D xsi:type="xsd:double"&gt;5.42&lt;/D&gt;&lt;/FQL&gt;&lt;FQL&gt;&lt;Q&gt;Company1985^FE_ESTIMATE(EPS,MEAN,NTM4_ROLL,,45868,,,'')&lt;/Q&gt;&lt;R&gt;1&lt;/R&gt;&lt;C&gt;1&lt;/C&gt;&lt;D xsi:type="xsd:double"&gt;6.7828736&lt;/D&gt;&lt;/FQL&gt;&lt;FQL&gt;&lt;Q&gt;Company1985^FE_ESTIMATE(EPS,MEAN,LTM4_ROLL,,45868,,,'')&lt;/Q&gt;&lt;R&gt;1&lt;/R&gt;&lt;C&gt;1&lt;/C&gt;&lt;D xsi:type="xsd:double"&gt;6.03&lt;/D&gt;&lt;/FQL&gt;&lt;FQL&gt;&lt;Q&gt;Company2320^FE_ESTIMATE(EPS,MEAN,CAL4_ROLL,2026,45868,,,'')&lt;/Q&gt;&lt;R&gt;1&lt;/R&gt;&lt;C&gt;1&lt;/C&gt;&lt;D xsi:type="xsd:double"&gt;8.222358&lt;/D&gt;&lt;/FQL&gt;&lt;FQL&gt;&lt;Q&gt;Company2320^FE_ESTIMATE(EPS,MEAN,CAL4_ROLL,2025,45868,,,'')&lt;/Q&gt;&lt;R&gt;1&lt;/R&gt;&lt;C&gt;1&lt;/C&gt;&lt;D xsi:type="xsd:double"&gt;7.1048675&lt;/D&gt;&lt;/FQL&gt;&lt;FQL&gt;&lt;Q&gt;Company2320^FE_ESTIMATE(EPS,MEAN,CAL4_ROLL,2024,45868,,,'')&lt;/Q&gt;&lt;R&gt;1&lt;/R&gt;&lt;C&gt;1&lt;/C&gt;&lt;D xsi:type="xsd:double"&gt;4.848603&lt;/D&gt;&lt;/FQL&gt;&lt;FQL&gt;&lt;Q&gt;Company2320^FE_ESTIMATE(EPS,MEAN,CAL4_ROLL,2023,45868,,,'')&lt;/Q&gt;&lt;R&gt;1&lt;/R&gt;&lt;C&gt;1&lt;/C&gt;&lt;D xsi:type="xsd:double"&gt;5.655961&lt;/D&gt;&lt;/FQL&gt;&lt;FQL&gt;&lt;Q&gt;Company2320^FE_ESTIMATE(EPS,MEAN,NTM4_ROLL,,45868,,,'')&lt;/Q&gt;&lt;R&gt;1&lt;/R&gt;&lt;C&gt;1&lt;/C&gt;&lt;D xsi:type="xsd:double"&gt;7.616622&lt;/D&gt;&lt;/FQL&gt;&lt;FQL&gt;&lt;Q&gt;Company2320^FE_ESTIMATE(EPS,MEAN,LTM4_ROLL,,45868,,,'')&lt;/Q&gt;&lt;R&gt;1&lt;/R&gt;&lt;C&gt;1&lt;/C&gt;&lt;D xsi:type="xsd:double"&gt;6.18356&lt;/D&gt;&lt;/FQL&gt;&lt;FQL&gt;&lt;Q&gt;Company0103^FE_ESTIMATE(EPS,MEAN,CAL4_ROLL,2026,45868,,,'')&lt;/Q&gt;&lt;R&gt;1&lt;/R&gt;&lt;C&gt;1&lt;/C&gt;&lt;D xsi:type="xsd:double"&gt;7.3433485&lt;/D&gt;&lt;/FQL&gt;&lt;FQL&gt;&lt;Q&gt;Company0103^FE_ESTIMATE(EPS,MEAN,CAL4_ROLL,2025,45868,,,'')&lt;/Q&gt;&lt;R&gt;1&lt;/R&gt;&lt;C&gt;1&lt;/C&gt;&lt;D xsi:type="xsd:double"&gt;6.244166&lt;/D&gt;&lt;/FQL&gt;&lt;FQL&gt;&lt;Q&gt;Company0103^FE_ESTIMATE(EPS,MEAN,CAL4_ROLL,2024,45868,,,'')&lt;/Q&gt;&lt;R&gt;1&lt;/R&gt;&lt;C&gt;1&lt;/C&gt;&lt;D xsi:type="xsd:double"&gt;5.53&lt;/D&gt;&lt;/FQL&gt;&lt;FQL&gt;&lt;Q&gt;Company0103^FE_ESTIMATE(EPS,MEAN,CAL4_ROLL,2023,45868,,,'')&lt;/Q&gt;&lt;R&gt;1&lt;/R&gt;&lt;C&gt;1&lt;/C&gt;&lt;D xsi:type="xsd:double"&gt;2.9&lt;/D&gt;&lt;/FQL&gt;&lt;FQL&gt;&lt;Q&gt;Company0103^FE_ESTIMATE(EPS,MEAN,NTM4_ROLL,,45868,,,'')&lt;/Q&gt;&lt;R&gt;1&lt;/R&gt;&lt;C&gt;1&lt;/C&gt;&lt;D xsi:type="xsd:double"&gt;6.3421106&lt;/D&gt;&lt;/FQL&gt;&lt;FQL&gt;&lt;Q&gt;Company0103^FE_ESTIMATE(EPS,MEAN,LTM4_ROLL,,45868,,,'')&lt;/Q&gt;&lt;R&gt;1&lt;/R&gt;&lt;C&gt;1&lt;/C&gt;&lt;D xsi:type="xsd:double"&gt;6.14&lt;/D&gt;&lt;/FQL&gt;&lt;FQL&gt;&lt;Q&gt;Ticker0013^FE_ESTIMATE(EPS,MEAN,CAL4_ROLL,2026,45868,,,'')&lt;/Q&gt;&lt;R&gt;1&lt;/R&gt;&lt;C&gt;1&lt;/C&gt;&lt;D xsi:type="xsd:double"&gt;10.561074&lt;/D&gt;&lt;/FQL&gt;&lt;FQL&gt;&lt;Q&gt;Ticker0013^FE_ESTIMATE(EPS,MEAN,CAL4_ROLL,2025,45868,,,'')&lt;/Q&gt;&lt;R&gt;1&lt;/R&gt;&lt;C&gt;1&lt;/C&gt;&lt;D xsi:type="xsd:double"&gt;9.98788&lt;/D&gt;&lt;/FQL&gt;&lt;FQL&gt;&lt;Q&gt;Ticker0013^FE_ESTIMATE(EPS,MEAN,CAL4_ROLL,2024,45868,,,'')&lt;/Q&gt;&lt;R&gt;1&lt;/R&gt;&lt;C&gt;1&lt;/C&gt;&lt;D xsi:type="xsd:double"&gt;8.05&lt;/D&gt;&lt;/FQL&gt;&lt;FQL&gt;&lt;Q&gt;Ticker0013^FE_ESTIMATE(EPS,MEAN,CAL4_ROLL,2023,45868,,,'')&lt;/Q&gt;&lt;R&gt;1&lt;/R&gt;&lt;C&gt;1&lt;/C&gt;&lt;D xsi:type="xsd:double"&gt;5.8&lt;/D&gt;&lt;/FQL&gt;&lt;FQL&gt;&lt;Q&gt;Ticker0013^FE_ESTIMATE(EPS,MEAN,NTM4_ROLL,,45868,,,'')&lt;/Q&gt;&lt;R&gt;1&lt;/R&gt;&lt;C&gt;1&lt;/C&gt;&lt;D xsi:type="xsd:double"&gt;9.877561&lt;/D&gt;&lt;/FQL&gt;&lt;FQL&gt;&lt;Q&gt;Ticker0013^FE_ESTIMATE(EPS,MEAN,LTM4_ROLL,,45868,,,'')&lt;/Q&gt;&lt;R&gt;1&lt;/R&gt;&lt;C&gt;1&lt;/C&gt;&lt;D xsi:type="xsd:double"&gt;9.39&lt;/D&gt;&lt;/FQL&gt;&lt;FQL&gt;&lt;Q&gt;Ticker0024^FE_ESTIMATE(FCF,MEAN,CAL4_ROLL,2026,45868,,,'')&lt;/Q&gt;&lt;R&gt;1&lt;/R&gt;&lt;C&gt;1&lt;/C&gt;&lt;D xsi:type="xsd:double"&gt;76289.92&lt;/D&gt;&lt;/FQL&gt;&lt;FQL&gt;&lt;Q&gt;Ticker0024^FE_ESTIMATE(FCF,MEAN,CAL4_ROLL,2025,45868,,,'')&lt;/Q&gt;&lt;R&gt;1&lt;/R&gt;&lt;C&gt;1&lt;/C&gt;&lt;D xsi:type="xsd:double"&gt;74893.02&lt;/D&gt;&lt;/FQL&gt;&lt;FQL&gt;&lt;Q&gt;Ticker0024^FE_ESTIMATE(FCF,MEAN,CAL4_ROLL,2024,45868,,,'')&lt;/Q&gt;&lt;R&gt;1&lt;/R&gt;&lt;C&gt;1&lt;/C&gt;&lt;D xsi:type="xsd:double"&gt;68042.71&lt;/D&gt;&lt;/FQL&gt;&lt;FQL&gt;&lt;Q&gt;Ticker0024^FE_ESTIMATE(FCF,MEAN,CAL4_ROLL,2023,45868,,,'')&lt;/Q&gt;&lt;R&gt;1&lt;/R&gt;&lt;C&gt;1&lt;/C&gt;&lt;D xsi:type="xsd:double"&gt;64571.887&lt;/D&gt;&lt;/FQL&gt;&lt;FQL&gt;&lt;Q&gt;Ticker0024^FE_ESTIMATE(FCF,MEAN,NTM4_ROLL,,45868,,,'')&lt;/Q&gt;&lt;R&gt;1&lt;/R&gt;&lt;C&gt;1&lt;/C&gt;&lt;D xsi:type="xsd:double"&gt;72799.92&lt;/D&gt;&lt;/FQL&gt;&lt;FQL&gt;&lt;Q&gt;Ticker0024^FE_ESTIMATE(FCF,MEAN,LTM4_ROLL,,45868,,,'')&lt;/Q&gt;&lt;R&gt;1&lt;/R&gt;&lt;C&gt;1&lt;/C&gt;&lt;D xsi:type="xsd:double"&gt;65935.64&lt;/D&gt;&lt;/FQL&gt;&lt;FQL&gt;&lt;Q&gt;IBM^FE_ESTIMATE(FCF,MEAN,CAL4_ROLL,2026,45868,,,'')&lt;/Q&gt;&lt;R&gt;1&lt;/R&gt;&lt;C&gt;1&lt;/C&gt;&lt;D xsi:type="xsd:double"&gt;14573.5&lt;/D&gt;&lt;/FQL&gt;&lt;FQL&gt;&lt;Q&gt;IBM^FE_ESTIMATE(FCF,MEAN,CAL4_ROLL,2025,45868,,,'')&lt;/Q&gt;&lt;R&gt;1&lt;/R&gt;&lt;C&gt;1&lt;/C&gt;&lt;D xsi:type="xsd:double"&gt;14010.417&lt;/D&gt;&lt;/FQL&gt;&lt;FQL&gt;&lt;Q&gt;IBM^FE_ESTIMATE(FCF,MEAN,CAL4_ROLL,2024,45868,,,'')&lt;/Q&gt;&lt;R&gt;1&lt;/R&gt;&lt;C&gt;1&lt;/C&gt;&lt;D xsi:type="xsd:double"&gt;12749&lt;/D&gt;&lt;/FQL&gt;&lt;FQL&gt;&lt;Q&gt;IBM^FE_ESTIMATE(FCF,MEAN,CAL4_ROLL,2023,45868,,,'')&lt;/Q&gt;&lt;R&gt;1&lt;/R&gt;&lt;C&gt;1&lt;/C&gt;&lt;D xsi:type="xsd:double"&gt;11210&lt;/D&gt;&lt;/FQL&gt;&lt;FQL&gt;&lt;Q&gt;IBM^FE_ESTIMATE(FCF,MEAN,NTM4_ROLL,,45868,,,'')&lt;/Q&gt;&lt;R&gt;1&lt;/R&gt;&lt;C&gt;1&lt;/C&gt;&lt;D xsi:type="xsd:double"&gt;14838.917&lt;/D&gt;&lt;/FQL&gt;&lt;FQL&gt;&lt;Q&gt;IBM^FE_ESTIMATE(FCF,MEAN,LTM4_ROLL,,45868,,,'')&lt;/Q&gt;&lt;R&gt;1&lt;/R&gt;&lt;C&gt;1&lt;/C&gt;&lt;D xsi:type="xsd:double"&gt;13034&lt;/D&gt;&lt;/FQL&gt;&lt;FQL&gt;&lt;Q&gt;CRM^FE_ESTIMATE(FCF,MEAN,CAL4_ROLL,2026,45868,,,'')&lt;/Q&gt;&lt;R&gt;1&lt;/R&gt;&lt;C&gt;1&lt;/C&gt;&lt;D xsi:type="xsd:double"&gt;15228.398&lt;/D&gt;&lt;/FQL&gt;&lt;FQL&gt;&lt;Q&gt;CRM^FE_ESTIMATE(FCF,MEAN,CAL4_ROLL,2025,45868,,,'')&lt;/Q&gt;&lt;R&gt;1&lt;/R&gt;&lt;C&gt;1&lt;/C&gt;&lt;D xsi:type="xsd:double"&gt;13728.1875&lt;/D&gt;&lt;/FQL&gt;&lt;FQL&gt;&lt;Q&gt;CRM^FE_ESTIMATE(FCF,MEAN,CAL4_ROLL,2024,45868,,,'')&lt;/Q&gt;&lt;R&gt;1&lt;/R&gt;&lt;C&gt;1&lt;/C&gt;&lt;D xsi:type="xsd:double"&gt;12434&lt;/D&gt;&lt;/FQL&gt;&lt;FQL&gt;&lt;Q&gt;CRM^FE_ESTIMATE(FCF,MEAN,CAL4_ROLL,2023,45868,,,'')&lt;/Q&gt;&lt;R&gt;1&lt;/R&gt;&lt;C&gt;1&lt;/C&gt;&lt;D xsi:type="xsd:double"&gt;9498&lt;/D&gt;&lt;/FQL&gt;&lt;FQL&gt;&lt;Q&gt;CRM^FE_ESTIMATE(FCF,MEAN,NTM4_ROLL,,45868,,,'')&lt;/Q&gt;&lt;R&gt;1&lt;/R&gt;&lt;C&gt;1&lt;/C&gt;&lt;D xsi:type="xsd:double"&gt;14453.453&lt;/D&gt;&lt;/FQL&gt;&lt;FQL&gt;&lt;Q&gt;CRM^FE_ESTIMATE(FCF,MEAN,LTM4_ROLL,,45868,,,'')&lt;/Q&gt;&lt;R&gt;1&lt;/R&gt;&lt;C&gt;1&lt;/C&gt;&lt;D xsi:type="xsd:double"&gt;12647&lt;/D&gt;&lt;/FQL&gt;&lt;FQL&gt;&lt;Q&gt;Company1341^FE_ESTIMATE(FCF,MEAN,CAL4_ROLL,2026,45868,,,'')&lt;/Q&gt;&lt;R&gt;1&lt;/R&gt;&lt;C&gt;1&lt;/C&gt;&lt;D xsi:type="xsd:double"&gt;7022.871&lt;/D&gt;&lt;/FQL&gt;&lt;FQL&gt;&lt;Q&gt;Company1341^FE_ESTIMATE(FCF,MEAN,CAL4_ROLL,2025,45868,,,'')&lt;/Q&gt;&lt;R&gt;1&lt;/R&gt;&lt;C&gt;1&lt;/C&gt;&lt;D xsi:type="xsd:double"&gt;6475.679&lt;/D&gt;&lt;/FQL&gt;&lt;FQL&gt;&lt;Q&gt;Company1341^FE_ESTIMATE(FCF,MEAN,CAL4_ROLL,2024,45868,,,'')&lt;/Q&gt;&lt;R&gt;1&lt;/R&gt;&lt;C&gt;1&lt;/C&gt;&lt;D xsi:type="xsd:double"&gt;5539.0967&lt;/D&gt;&lt;/FQL&gt;&lt;FQL&gt;&lt;Q&gt;Company1341^FE_ESTIMATE(FCF,MEAN,CAL4_ROLL,2023,45868,,,'')&lt;/Q&gt;&lt;R&gt;1&lt;/R&gt;&lt;C&gt;1&lt;/C&gt;&lt;D xsi:type="xsd:double"&gt;4760.005&lt;/D&gt;&lt;/FQL&gt;&lt;FQL&gt;&lt;Q&gt;Company1341^FE_ESTIMATE(FCF,MEAN,NTM4_ROLL,,45868,,,'')&lt;/Q&gt;&lt;R&gt;1&lt;/R&gt;&lt;C&gt;1&lt;/C&gt;&lt;D xsi:type="xsd:double"&gt;6166.4155&lt;/D&gt;&lt;/FQL&gt;&lt;FQL&gt;&lt;Q&gt;Company1341^FE_ESTIMATE(FCF,MEAN,LTM4_ROLL,,45868,,,'')&lt;/Q&gt;&lt;R&gt;1&lt;/R&gt;&lt;C&gt;1&lt;/C&gt;&lt;D xsi:type="xsd:double"&gt;6023.3823&lt;/D&gt;&lt;/FQL&gt;&lt;FQL&gt;&lt;Q&gt;Company0023^FE_ESTIMATE(FCF,MEAN,CAL4_ROLL,2026,45868,,,'')&lt;/Q&gt;&lt;R&gt;1&lt;/R&gt;&lt;C&gt;1&lt;/C&gt;&lt;D xsi:type="xsd:double"&gt;10323.406&lt;/D&gt;&lt;/FQL&gt;&lt;FQL&gt;&lt;Q&gt;Company0023^FE_ESTIMATE(FCF,MEAN,CAL4_ROLL,2025,45868,,,'')&lt;/Q&gt;&lt;R&gt;1&lt;/R&gt;&lt;C&gt;1&lt;/C&gt;&lt;D xsi:type="xsd:double"&gt;9388.601&lt;/D&gt;&lt;/FQL&gt;&lt;FQL&gt;&lt;Q&gt;Company0023^FE_ESTIMATE(FCF,MEAN,CAL4_ROLL,2024,45868,,,'')&lt;/Q&gt;&lt;R&gt;1&lt;/R&gt;&lt;C&gt;1&lt;/C&gt;&lt;D xsi:type="xsd:double"&gt;7881.607&lt;/D&gt;&lt;/FQL&gt;&lt;FQL&gt;&lt;Q&gt;Company0023^FE_ESTIMATE(FCF,MEAN,CAL4_ROLL,2023,45868,,,'')&lt;/Q&gt;&lt;R&gt;1&lt;/R&gt;&lt;C&gt;1&lt;/C&gt;&lt;D xsi:type="xsd:double"&gt;7132.4546&lt;/D&gt;&lt;/FQL&gt;&lt;FQL&gt;&lt;Q&gt;Company0023^FE_ESTIMATE(FCF,MEAN,NTM4_ROLL,,45868,,,'')&lt;/Q&gt;&lt;R&gt;1&lt;/R&gt;&lt;C&gt;1&lt;/C&gt;&lt;D xsi:type="xsd:double"&gt;9658.066&lt;/D&gt;&lt;/FQL&gt;&lt;FQL&gt;&lt;Q&gt;Company0023^FE_ESTIMATE(FCF,MEAN,LTM4_ROLL,,45868,,,'')&lt;/Q&gt;&lt;R&gt;1&lt;/R&gt;&lt;C&gt;1&lt;/C&gt;&lt;D xsi:type="xsd:double"&gt;9438.25&lt;/D&gt;&lt;/FQL&gt;&lt;FQL&gt;&lt;Q&gt;Company1985^FE_ESTIMATE(FCF,MEAN,CAL4_ROLL,2026,45868,,,'')&lt;/Q&gt;&lt;R&gt;1&lt;/R&gt;&lt;C&gt;1&lt;/C&gt;&lt;D xsi:type="xsd:double"&gt;364.14505&lt;/D&gt;&lt;/FQL&gt;&lt;FQL&gt;&lt;Q&gt;Company1985^FE_ESTIMATE(FCF,MEAN,CAL4_ROLL,2025,45868,,,'')&lt;/Q&gt;&lt;R&gt;1&lt;/R&gt;&lt;C&gt;1&lt;/C&gt;&lt;D xsi:type="xsd:double"&gt;-3742.365&lt;/D&gt;&lt;/FQL&gt;&lt;FQL&gt;&lt;Q&gt;Company1985^FE_ESTIMATE(FCF,MEAN,CAL4_ROLL,2024,45868,,,'')&lt;/Q&gt;&lt;R&gt;1&lt;/R&gt;&lt;C&gt;1&lt;/C&gt;&lt;D xsi:type="xsd:double"&gt;9550.706&lt;/D&gt;&lt;/FQL&gt;&lt;FQL&gt;&lt;Q&gt;Company1985^FE_ESTIMATE(FCF,MEAN,CAL4_ROLL,2023,45868,,,'')&lt;/Q&gt;&lt;R&gt;1&lt;/R&gt;&lt;C&gt;1&lt;/C&gt;&lt;D xsi:type="xsd:double"&gt;10035.492&lt;/D&gt;&lt;/FQL&gt;&lt;FQL&gt;&lt;Q&gt;Company1985^FE_ESTIMATE(FCF,MEAN,NTM4_ROLL,,45868,,,'')&lt;/Q&gt;&lt;R&gt;1&lt;/R&gt;&lt;C&gt;1&lt;/C&gt;&lt;D xsi:type="xsd:double"&gt;-1168.7218&lt;/D&gt;&lt;/FQL&gt;&lt;FQL&gt;&lt;Q&gt;Company1985^FE_ESTIMATE(FCF,MEAN,LTM4_ROLL,,45868,,,'')&lt;/Q&gt;&lt;R&gt;1&lt;/R&gt;&lt;C&gt;1&lt;/C&gt;&lt;D xsi:type="xsd:double"&gt;-394&lt;/D&gt;&lt;/FQL&gt;&lt;FQL&gt;&lt;Q&gt;Company2320^FE_ESTIMATE(FCF,MEAN,CAL4_ROLL,2026,45868,,,'')&lt;/Q&gt;&lt;R&gt;1&lt;/R&gt;&lt;C&gt;1&lt;/C&gt;&lt;D xsi:type="xsd:double"&gt;11400.461&lt;/D&gt;&lt;/FQL&gt;&lt;FQL&gt;&lt;Q&gt;Company2320^FE_ESTIMATE(FCF,MEAN,CAL4_ROLL,2025,45868,,,'')&lt;/Q&gt;&lt;R&gt;1&lt;/R&gt;&lt;C&gt;1&lt;/C&gt;&lt;D xsi:type="xsd:double"&gt;9726.0625&lt;/D&gt;&lt;/FQL&gt;&lt;FQL&gt;&lt;Q&gt;Company2320^FE_ESTIMATE(FCF,MEAN,CAL4_ROLL,2024,45868,,,'')&lt;/Q&gt;&lt;R&gt;1&lt;/R&gt;&lt;C&gt;1&lt;/C&gt;&lt;D xsi:type="xsd:double"&gt;4458.2144&lt;/D&gt;&lt;/FQL&gt;&lt;FQL&gt;&lt;Q&gt;Company2320^FE_ESTIMATE(FCF,MEAN,CAL4_ROLL,2023,45868,,,'')&lt;/Q&gt;&lt;R&gt;1&lt;/R&gt;&lt;C&gt;1&lt;/C&gt;&lt;D xsi:type="xsd:double"&gt;5599.309&lt;/D&gt;&lt;/FQL&gt;&lt;FQL&gt;&lt;Q&gt;Company2320^FE_ESTIMATE(FCF,MEAN,NTM4_ROLL,,45868,,,'')&lt;/Q&gt;&lt;R&gt;1&lt;/R&gt;&lt;C&gt;1&lt;/C&gt;&lt;D xsi:type="xsd:double"&gt;9564.14&lt;/D&gt;&lt;/FQL&gt;&lt;FQL&gt;&lt;Q&gt;Company2320^FE_ESTIMATE(FCF,MEAN,LTM4_ROLL,,45868,,,'')&lt;/Q&gt;&lt;R&gt;1&lt;/R&gt;&lt;C&gt;1&lt;/C&gt;&lt;D xsi:type="xsd:double"&gt;7224.528&lt;/D&gt;&lt;/FQL&gt;&lt;FQL&gt;&lt;Q&gt;Company0103^FE_ESTIMATE(FCF,MEAN,CAL4_ROLL,2026,45868,,,'')&lt;/Q&gt;&lt;R&gt;1&lt;/R&gt;&lt;C&gt;1&lt;/C&gt;&lt;D xsi:type="xsd:double"&gt;42068.477&lt;/D&gt;&lt;/FQL&gt;&lt;FQL&gt;&lt;Q&gt;Company0103^FE_ESTIMATE(FCF,MEAN,CAL4_ROLL,2025,45868,,,'')&lt;/Q&gt;&lt;R&gt;1&lt;/R&gt;&lt;C&gt;1&lt;/C&gt;&lt;D xsi:type="xsd:double"&gt;34050.33&lt;/D&gt;&lt;/FQL&gt;&lt;FQL&gt;&lt;Q&gt;Company0103^FE_ESTIMATE(FCF,MEAN,CAL4_ROLL,2024,45868,,,'')&lt;/Q&gt;&lt;R&gt;1&lt;/R&gt;&lt;C&gt;1&lt;/C&gt;&lt;D xsi:type="xsd:double"&gt;37569.48&lt;/D&gt;&lt;/FQL&gt;&lt;FQL&gt;&lt;Q&gt;Company0103^FE_ESTIMATE(FCF,MEAN,CAL4_ROLL,2023,45868,,,'')&lt;/Q&gt;&lt;R&gt;1&lt;/R&gt;&lt;C&gt;1&lt;/C&gt;&lt;D xsi:type="xsd:double"&gt;38765.21&lt;/D&gt;&lt;/FQL&gt;&lt;FQL&gt;&lt;Q&gt;Company0103^FE_ESTIMATE(FCF,MEAN,NTM4_ROLL,,45868,,,'')&lt;/Q&gt;&lt;R&gt;1&lt;/R&gt;&lt;C&gt;1&lt;/C&gt;&lt;D xsi:type="xsd:double"&gt;37985.598&lt;/D&gt;&lt;/FQL&gt;&lt;FQL&gt;&lt;Q&gt;Company0103^FE_ESTIMATE(FCF,MEAN,LTM4_ROLL,,45868,,,'')&lt;/Q&gt;&lt;R&gt;1&lt;/R&gt;&lt;C&gt;1&lt;/C&gt;&lt;D xsi:type="xsd:double"&gt;26185.16&lt;/D&gt;&lt;/FQL&gt;&lt;FQL&gt;&lt;Q&gt;Ticker0013^FE_ESTIMATE(FCF,MEAN,CAL4_ROLL,2026,45868,,,'')&lt;/Q&gt;&lt;R&gt;1&lt;/R&gt;&lt;C&gt;1&lt;/C&gt;&lt;D xsi:type="xsd:double"&gt;79035.414&lt;/D&gt;&lt;/FQL&gt;&lt;FQL&gt;&lt;Q&gt;Ticker0013^FE_ESTIMATE(FCF,MEAN,CAL4_ROLL,2025,45868,,,'')&lt;/Q&gt;&lt;R&gt;1&lt;/R&gt;&lt;C&gt;1&lt;/C&gt;&lt;D xsi:type="xsd:double"&gt;63496.277&lt;/D&gt;&lt;/FQL&gt;&lt;FQL&gt;&lt;Q&gt;Ticker0013^FE_ESTIMATE(FCF,MEAN,CAL4_ROLL,2024,45868,,,'')&lt;/Q&gt;&lt;R&gt;1&lt;/R&gt;&lt;C&gt;1&lt;/C&gt;&lt;D xsi:type="xsd:double"&gt;73062&lt;/D&gt;&lt;/FQL&gt;&lt;FQL&gt;&lt;Q&gt;Ticker0013^FE_ESTIMATE(FCF,MEAN,CAL4_ROLL,2023,45868,,,'')&lt;/Q&gt;&lt;R&gt;1&lt;/R&gt;&lt;C&gt;1&lt;/C&gt;&lt;D xsi:type="xsd:double"&gt;69970.21&lt;/D&gt;&lt;/FQL&gt;&lt;FQL&gt;&lt;Q&gt;Ticker0013^FE_ESTIMATE(FCF,MEAN,NTM4_ROLL,,45868,,,'')&lt;/Q&gt;&lt;R&gt;1&lt;/R&gt;&lt;C&gt;1&lt;/C&gt;&lt;D xsi:type="xsd:double"&gt;76913.69&lt;/D&gt;&lt;/FQL&gt;&lt;FQL&gt;&lt;Q&gt;Ticker0013^FE_ESTIMATE(FCF,MEAN,LTM4_ROLL,,45868,,,'')&lt;/Q&gt;&lt;R&gt;1&lt;/R&gt;&lt;C&gt;1&lt;/C&gt;&lt;D xsi:type="xsd:double"&gt;66766.18&lt;/D&gt;&lt;/FQL&gt;&lt;FQL&gt;&lt;Q&gt;Ticker0024^FE_ESTIMATE(EBIT_ADJ,MEAN,CAL4_ROLL,2026,45868,,,'')&lt;/Q&gt;&lt;R&gt;1&lt;/R&gt;&lt;C&gt;1&lt;/C&gt;&lt;D xsi:type="xsd:double"&gt;151543.1&lt;/D&gt;&lt;/FQL&gt;&lt;FQL&gt;&lt;Q&gt;Ticker0024^FE_ESTIMATE(EBIT_ADJ,MEAN,CAL4_ROLL,2025,45868,,,'')&lt;/Q&gt;&lt;R&gt;1&lt;/R&gt;&lt;C&gt;1&lt;/C&gt;&lt;D xsi:type="xsd:double"&gt;134096.3&lt;/D&gt;&lt;/FQL&gt;&lt;FQL&gt;&lt;Q&gt;Ticker0024^FE_ESTIMATE(EBIT_ADJ,MEAN,CAL4_ROLL,2024,45868,,,'')&lt;/Q&gt;&lt;R&gt;1&lt;/R&gt;&lt;C&gt;1&lt;/C&gt;&lt;D xsi:type="xsd:double"&gt;117711.1&lt;/D&gt;&lt;/FQL&gt;&lt;FQL&gt;&lt;Q&gt;Ticker0024^FE_ESTIMATE(EBIT_ADJ,MEAN,CAL4_ROLL,2023,45868,,,'')&lt;/Q&gt;&lt;R&gt;1&lt;/R&gt;&lt;C&gt;1&lt;/C&gt;&lt;D xsi:type="xsd:double"&gt;100641.9&lt;/D&gt;&lt;/FQL&gt;&lt;FQL&gt;&lt;Q&gt;Ticker0024^FE_ESTIMATE(EBIT_ADJ,MEAN,NTM4_ROLL,,45868,,,'')&lt;/Q&gt;&lt;R&gt;1&lt;/R&gt;&lt;C&gt;1&lt;/C&gt;&lt;D xsi:type="xsd:double"&gt;142512.75&lt;/D&gt;&lt;/FQL&gt;&lt;FQL&gt;&lt;Q&gt;Ticker0024^FE_ESTIMATE(EBIT_ADJ,MEAN,LTM4_ROLL,,45868,,,'')&lt;/Q&gt;&lt;R&gt;1&lt;/R&gt;&lt;C&gt;1&lt;/C&gt;&lt;D xsi:type="xsd:double"&gt;126429.836&lt;/D&gt;&lt;/FQL&gt;&lt;FQL&gt;&lt;Q&gt;IBM^FE_ESTIMATE(EBIT_ADJ,MEAN,CAL4_ROLL,2026,45868,,,'')&lt;/Q&gt;&lt;R&gt;1&lt;/R&gt;&lt;C&gt;1&lt;/C&gt;&lt;D xsi:type="xsd:double"&gt;13981.202&lt;/D&gt;&lt;/FQL&gt;&lt;FQL&gt;&lt;Q&gt;IBM^FE_ESTIMATE(EBIT_ADJ,MEAN,CAL4_ROLL,2025,45868,,,'')&lt;/Q&gt;&lt;R&gt;1&lt;/R&gt;&lt;C&gt;1&lt;/C&gt;&lt;D xsi:type="xsd:double"&gt;12921.503&lt;/D&gt;&lt;/FQL&gt;&lt;FQL&gt;&lt;Q&gt;IBM^FE_ESTIMATE(EBIT_ADJ,MEAN,CAL4_ROLL,2024,45868,,,'')&lt;/Q&gt;&lt;R&gt;1&lt;/R&gt;&lt;C&gt;1&lt;/C&gt;&lt;D xsi:type="xsd:double"&gt;11312.172&lt;/D&gt;&lt;/FQL&gt;&lt;FQL&gt;&lt;Q&gt;IBM^FE_ESTIMATE(EBIT_ADJ,MEAN,CAL4_ROLL,2023,45868,,,'')&lt;/Q&gt;&lt;R&gt;1&lt;/R&gt;&lt;C&gt;1&lt;/C&gt;&lt;D xsi:type="xsd:double"&gt;10434.986&lt;/D&gt;&lt;/FQL&gt;&lt;FQL&gt;&lt;Q&gt;IBM^FE_ESTIMATE(EBIT_ADJ,MEAN,NTM4_ROLL,,45868,,,'')&lt;/Q&gt;&lt;R&gt;1&lt;/R&gt;&lt;C&gt;1&lt;/C&gt;&lt;D xsi:type="xsd:double"&gt;13522.903&lt;/D&gt;&lt;/FQL&gt;&lt;FQL&gt;&lt;Q&gt;IBM^FE_ESTIMATE(EBIT_ADJ,MEAN,LTM4_ROLL,,45868,,,'')&lt;/Q&gt;&lt;R&gt;1&lt;/R&gt;&lt;C&gt;1&lt;/C&gt;&lt;D xsi:type="xsd:double"&gt;12063.65&lt;/D&gt;&lt;/FQL&gt;&lt;FQL&gt;&lt;Q&gt;CRM^FE_ESTIMATE(EBIT_ADJ,MEAN,CAL4_ROLL,2026,45868,,,'')&lt;/Q&gt;&lt;R&gt;1&lt;/R&gt;&lt;C&gt;1&lt;/C&gt;&lt;D xsi:type="xsd:double"&gt;15634.95&lt;/D&gt;&lt;/FQL&gt;&lt;FQL&gt;&lt;Q&gt;CRM^FE_ESTIMATE(EBIT_ADJ,MEAN,CAL4_ROLL,2025,45868,,,'')&lt;/Q&gt;&lt;R&gt;1&lt;/R&gt;&lt;C&gt;1&lt;/C&gt;&lt;D xsi:type="xsd:double"&gt;13980.196&lt;/D&gt;&lt;/FQL&gt;&lt;FQL&gt;&lt;Q&gt;CRM^FE_ESTIMATE(EBIT_ADJ,MEAN,CAL4_ROLL,2024,45868,,,'')&lt;/Q&gt;&lt;R&gt;1&lt;/R&gt;&lt;C&gt;1&lt;/C&gt;&lt;D xsi:type="xsd:double"&gt;12498&lt;/D&gt;&lt;/FQL&gt;&lt;FQL&gt;&lt;Q&gt;CRM^FE_ESTIMATE(EBIT_ADJ,MEAN,CAL4_ROLL,2023,45868,,,'')&lt;/Q&gt;&lt;R&gt;1&lt;/R&gt;&lt;C&gt;1&lt;/C&gt;&lt;D xsi:type="xsd:double"&gt;10632&lt;/D&gt;&lt;/FQL&gt;&lt;FQL&gt;&lt;Q&gt;CRM^FE_ESTIMATE(EBIT_ADJ,MEAN,NTM4_ROLL,,45868,,,'')&lt;/Q&gt;&lt;R&gt;1&lt;/R&gt;&lt;C&gt;1&lt;/C&gt;&lt;D xsi:type="xsd:double"&gt;14427.4&lt;/D&gt;&lt;/FQL&gt;&lt;FQL&gt;&lt;Q&gt;CRM^FE_ESTIMATE(EBIT_ADJ,MEAN,LTM4_ROLL,,45868,,,'')&lt;/Q&gt;&lt;R&gt;1&lt;/R&gt;&lt;C&gt;1&lt;/C&gt;&lt;D xsi:type="xsd:double"&gt;12742&lt;/D&gt;&lt;/FQL&gt;&lt;FQL&gt;&lt;Q&gt;Company1341^FE_ESTIMATE(EBIT_ADJ,MEAN,CAL4_ROLL,2026,45868,,,'')&lt;/Q&gt;&lt;R&gt;1&lt;/R&gt;&lt;C&gt;1&lt;/C&gt;&lt;D xsi:type="xsd:double"&gt;8942.11&lt;/D&gt;&lt;/FQL&gt;&lt;FQL&gt;&lt;Q&gt;Company1341^FE_ESTIMATE(EBIT_ADJ,MEAN,CAL4_ROLL,2025,45868,,,'')&lt;/Q&gt;&lt;R&gt;1&lt;/R&gt;&lt;C&gt;1&lt;/C&gt;&lt;D xsi:type="xsd:double"&gt;8021.4097&lt;/D&gt;&lt;/FQL&gt;&lt;FQL&gt;&lt;Q&gt;Company1341^FE_ESTIMATE(EBIT_ADJ,MEAN,CAL4_ROLL,2024,45868,,,'')&lt;/Q&gt;&lt;R&gt;1&lt;/R&gt;&lt;C&gt;1&lt;/C&gt;&lt;D xsi:type="xsd:double"&gt;6655&lt;/D&gt;&lt;/FQL&gt;&lt;FQL&gt;&lt;Q&gt;Company1341^FE_ESTIMATE(EBIT_ADJ,MEAN,CAL4_ROLL,2023,45868,,,'')&lt;/Q&gt;&lt;R&gt;1&lt;/R&gt;&lt;C&gt;1&lt;/C&gt;&lt;D xsi:type="xsd:double"&gt;5945&lt;/D&gt;&lt;/FQL&gt;&lt;FQL&gt;&lt;Q&gt;Company1341^FE_ESTIMATE(EBIT_ADJ,MEAN,NTM4_ROLL,,45868,,,'')&lt;/Q&gt;&lt;R&gt;1&lt;/R&gt;&lt;C&gt;1&lt;/C&gt;&lt;D xsi:type="xsd:double"&gt;8470.529&lt;/D&gt;&lt;/FQL&gt;&lt;FQL&gt;&lt;Q&gt;Company1341^FE_ESTIMATE(EBIT_ADJ,MEAN,LTM4_ROLL,,45868,,,'')&lt;/Q&gt;&lt;R&gt;1&lt;/R&gt;&lt;C&gt;1&lt;/C&gt;&lt;D xsi:type="xsd:double"&gt;7286&lt;/D&gt;&lt;/FQL&gt;&lt;FQL&gt;&lt;Q&gt;Company0023^FE_ESTIMATE(EBIT_ADJ,MEAN,CAL4_ROLL,2026,45868,,,'')&lt;/Q&gt;&lt;R&gt;1&lt;/R&gt;&lt;C&gt;1&lt;/C&gt;&lt;D xsi:type="xsd:double"&gt;11886.997&lt;/D&gt;&lt;/FQL&gt;&lt;FQL&gt;&lt;Q&gt;Company0023^FE_ESTIMATE(EBIT_ADJ,MEAN,CAL4_ROLL,2025,45868,,,'')&lt;/Q&gt;&lt;R&gt;1&lt;/R&gt;&lt;C&gt;1&lt;/C&gt;&lt;D xsi:type="xsd:double"&gt;10852.979&lt;/D&gt;&lt;/FQL&gt;&lt;FQL&gt;&lt;Q&gt;Company0023^FE_ESTIMATE(EBIT_ADJ,MEAN,CAL4_ROLL,2024,45868,,,'')&lt;/Q&gt;&lt;R&gt;1&lt;/R&gt;&lt;C&gt;1&lt;/C&gt;&lt;D xsi:type="xsd:double"&gt;10017.416&lt;/D&gt;&lt;/FQL&gt;&lt;FQL&gt;&lt;Q&gt;Company0023^FE_ESTIMATE(EBIT_ADJ,MEAN,CAL4_ROLL,2023,45868,,,'')&lt;/Q&gt;&lt;R&gt;1&lt;/R&gt;&lt;C&gt;1&lt;/C&gt;&lt;D xsi:type="xsd:double"&gt;8917.313&lt;/D&gt;&lt;/FQL&gt;&lt;FQL&gt;&lt;Q&gt;Company0023^FE_ESTIMATE(EBIT_ADJ,MEAN,NTM4_ROLL,,45868,,,'')&lt;/Q&gt;&lt;R&gt;1&lt;/R&gt;&lt;C&gt;1&lt;/C&gt;&lt;D xsi:type="xsd:double"&gt;11315.054&lt;/D&gt;&lt;/FQL&gt;&lt;FQL&gt;&lt;Q&gt;Company0023^FE_ESTIMATE(EBIT_ADJ,MEAN,LTM4_ROLL,,45868,,,'')&lt;/Q&gt;&lt;R&gt;1&lt;/R&gt;&lt;C&gt;1&lt;/C&gt;&lt;D xsi:type="xsd:double"&gt;10500&lt;/D&gt;&lt;/FQL&gt;&lt;FQL&gt;&lt;Q&gt;Company1985^FE_ESTIMATE(EBIT_ADJ,MEAN,CAL4_ROLL,2026,45868,,,'')&lt;/Q&gt;&lt;R&gt;1&lt;/R&gt;&lt;C&gt;1&lt;/C&gt;&lt;D xsi:type="xsd:double"&gt;30550.707&lt;/D&gt;&lt;/FQL&gt;&lt;FQL&gt;&lt;Q&gt;Company1985^FE_ESTIMATE(EBIT_ADJ,MEAN,CAL4_ROLL,2025,45868,,,'')&lt;/Q&gt;&lt;R&gt;1&lt;/R&gt;&lt;C&gt;1&lt;/C&gt;&lt;D xsi:type="xsd:double"&gt;26148.252&lt;/D&gt;&lt;/FQL&gt;&lt;FQL&gt;&lt;Q&gt;Company1985^FE_ESTIMATE(EBIT_ADJ,MEAN,CAL4_ROLL,2024,45868,,,'')&lt;/Q&gt;&lt;R&gt;1&lt;/R&gt;&lt;C&gt;1&lt;/C&gt;&lt;D xsi:type="xsd:double"&gt;24264.834&lt;/D&gt;&lt;/FQL&gt;&lt;FQL&gt;&lt;Q&gt;Company1985^FE_ESTIMATE(EBIT_ADJ,MEAN,CAL4_ROLL,2023,45868,,,'')&lt;/Q&gt;&lt;R&gt;1&lt;/R&gt;&lt;C&gt;1&lt;/C&gt;&lt;D xsi:type="xsd:double"&gt;21933.8&lt;/D&gt;&lt;/FQL&gt;&lt;FQL&gt;&lt;Q&gt;Company1985^FE_ESTIMATE(EBIT_ADJ,MEAN,NTM4_ROLL,,45868,,,'')&lt;/Q&gt;&lt;R&gt;1&lt;/R&gt;&lt;C&gt;1&lt;/C&gt;&lt;D xsi:type="xsd:double"&gt;28036.168&lt;/D&gt;&lt;/FQL&gt;&lt;FQL&gt;&lt;Q&gt;Company1985^FE_ESTIMATE(EBIT_ADJ,MEAN,LTM4_ROLL,,45868,,,'')&lt;/Q&gt;&lt;R&gt;1&lt;/R&gt;&lt;C&gt;1&lt;/C&gt;&lt;D xsi:type="xsd:double"&gt;25033.885&lt;/D&gt;&lt;/FQL&gt;&lt;FQL&gt;&lt;Q&gt;Company2320^FE_ESTIMATE(EBIT_ADJ,MEAN,CAL4_ROLL,2026,45868,,,'')&lt;/Q&gt;&lt;R&gt;1&lt;/R&gt;&lt;C&gt;1&lt;/C&gt;&lt;D xsi:type="xsd:double"&gt;13837.328&lt;/D&gt;&lt;/FQL&gt;&lt;FQL&gt;&lt;Q&gt;Company2320^FE_ESTIMATE(EBIT_ADJ,MEAN,CAL4_ROLL,2025,45868,,,'')&lt;/Q&gt;&lt;R&gt;1&lt;/R&gt;&lt;C&gt;1&lt;/C&gt;&lt;D xsi:type="xsd:double"&gt;12111.822&lt;/D&gt;&lt;/FQL&gt;&lt;FQL&gt;&lt;Q&gt;Company2320^FE_ESTIMATE(EBIT_ADJ,MEAN,CAL4_ROLL,2024,45868,,,'')&lt;/Q&gt;&lt;R&gt;1&lt;/R&gt;&lt;C&gt;1&lt;/C&gt;&lt;D xsi:type="xsd:double"&gt;8709.202&lt;/D&gt;&lt;/FQL&gt;&lt;FQL&gt;&lt;Q&gt;Company2320^FE_ESTIMATE(EBIT_ADJ,MEAN,CAL4_ROLL,2023,45868,,,'')&lt;/Q&gt;&lt;R&gt;1&lt;/R&gt;&lt;C&gt;1&lt;/C&gt;&lt;D xsi:type="xsd:double"&gt;9495.468&lt;/D&gt;&lt;/FQL&gt;&lt;FQL&gt;&lt;Q&gt;Company2320^FE_ESTIMATE(EBIT_ADJ,MEAN,NTM4_ROLL,,45868,,,'')&lt;/Q&gt;&lt;R&gt;1&lt;/R&gt;&lt;C&gt;1&lt;/C&gt;&lt;D xsi:type="xsd:double"&gt;12850.26&lt;/D&gt;&lt;/FQL&gt;&lt;FQL&gt;&lt;Q&gt;Company2320^FE_ESTIMATE(EBIT_ADJ,MEAN,LTM4_ROLL,,45868,,,'')&lt;/Q&gt;&lt;R&gt;1&lt;/R&gt;&lt;C&gt;1&lt;/C&gt;&lt;D xsi:type="xsd:double"&gt;10764.889&lt;/D&gt;&lt;/FQL&gt;&lt;FQL&gt;&lt;Q&gt;Company0103^FE_ESTIMATE(EBIT_ADJ,MEAN,CAL4_ROLL,2026,45868,,,'')&lt;/Q&gt;&lt;R&gt;1&lt;/R&gt;&lt;C&gt;1&lt;/C&gt;&lt;D xsi:type="xsd:double"&gt;119465.73&lt;/D&gt;&lt;/FQL&gt;&lt;FQL&gt;&lt;Q&gt;Company0103^FE_ESTIMATE(EBIT_ADJ,MEAN,CAL4_ROLL,2025,45868,,,'')&lt;/Q&gt;&lt;R&gt;1&lt;/R&gt;&lt;C&gt;1&lt;/C&gt;&lt;D xsi:type="xsd:double"&gt;99385.94&lt;/D&gt;&lt;/FQL&gt;&lt;FQL&gt;&lt;Q&gt;Company0103^FE_ESTIMATE(EBIT_ADJ,MEAN,CAL4_ROLL,2024,45868,,,'')&lt;/Q&gt;&lt;R&gt;1&lt;/R&gt;&lt;C&gt;1&lt;/C&gt;&lt;D xsi:type="xsd:double"&gt;91121.836&lt;/D&gt;&lt;/FQL&gt;&lt;FQL&gt;&lt;Q&gt;Company0103^FE_ESTIMATE(EBIT_ADJ,MEAN,CAL4_ROLL,2023,45868,,,'')&lt;/Q&gt;&lt;R&gt;1&lt;/R&gt;&lt;C&gt;1&lt;/C&gt;&lt;D xsi:type="xsd:double"&gt;61021.926&lt;/D&gt;&lt;/FQL&gt;&lt;FQL&gt;&lt;Q&gt;Company0103^FE_ESTIMATE(EBIT_ADJ,MEAN,NTM4_ROLL,,45868,,,'')&lt;/Q&gt;&lt;R&gt;1&lt;/R&gt;&lt;C&gt;1&lt;/C&gt;&lt;D xsi:type="xsd:double"&gt;103575.52&lt;/D&gt;&lt;/FQL&gt;&lt;FQL&gt;&lt;Q&gt;Company0103^FE_ESTIMATE(EBIT_ADJ,MEAN,LTM4_ROLL,,45868,,,'')&lt;/Q&gt;&lt;R&gt;1&lt;/R&gt;&lt;C&gt;1&lt;/C&gt;&lt;D xsi:type="xsd:double"&gt;93114.46&lt;/D&gt;&lt;/FQL&gt;&lt;FQL&gt;&lt;Q&gt;Ticker0013^FE_ESTIMATE(EBIT_ADJ,MEAN,CAL4_ROLL,2026,45868,,,'')&lt;/Q&gt;&lt;R&gt;1&lt;/R&gt;&lt;C&gt;1&lt;/C&gt;&lt;D xsi:type="xsd:double"&gt;154922.39&lt;/D&gt;&lt;/FQL&gt;&lt;FQL&gt;&lt;Q&gt;Ticker0013^FE_ESTIMATE(EBIT_ADJ,MEAN,CAL4_ROLL,2025,45868,,,'')&lt;/Q&gt;&lt;R&gt;1&lt;/R&gt;&lt;C&gt;1&lt;/C&gt;&lt;D xsi:type="xsd:double"&gt;143996.25&lt;/D&gt;&lt;/FQL&gt;&lt;FQL&gt;&lt;Q&gt;Ticker0013^FE_ESTIMATE(EBIT_ADJ,MEAN,CAL4_ROLL,2024,45868,,,'')&lt;/Q&gt;&lt;R&gt;1&lt;/R&gt;&lt;C&gt;1&lt;/C&gt;&lt;D xsi:type="xsd:double"&gt;126366.8&lt;/D&gt;&lt;/FQL&gt;&lt;FQL&gt;&lt;Q&gt;Ticker0013^FE_ESTIMATE(EBIT_ADJ,MEAN,CAL4_ROLL,2023,45868,,,'')&lt;/Q&gt;&lt;R&gt;1&lt;/R&gt;&lt;C&gt;1&lt;/C&gt;&lt;D xsi:type="xsd:double"&gt;103431.97&lt;/D&gt;&lt;/FQL&gt;&lt;FQL&gt;&lt;Q&gt;Ticker0013^FE_ESTIMATE(EBIT_ADJ,MEAN,NTM4_ROLL,,45868,,,'')&lt;/Q&gt;&lt;R&gt;1&lt;/R&gt;&lt;C&gt;1&lt;/C&gt;&lt;D xsi:type="xsd:double"&gt;149037.03&lt;/D&gt;&lt;/FQL&gt;&lt;FQL&gt;&lt;Q&gt;Ticker0013^FE_ESTIMATE(EBIT_ADJ,MEAN,LTM4_ROLL,,45868,,,'')&lt;/Q&gt;&lt;R&gt;1&lt;/R&gt;&lt;C&gt;1&lt;/C&gt;&lt;D xsi:type="xsd:double"&gt;134031.77&lt;/D&gt;&lt;/FQL&gt;&lt;FQL&gt;&lt;Q&gt;Ticker0024^FE_ESTIMATE(GROSS_INC,MEAN,CAL4_ROLL,2026,45868,,,'')&lt;/Q&gt;&lt;R&gt;1&lt;/R&gt;&lt;C&gt;1&lt;/C&gt;&lt;D xsi:type="xsd:double"&gt;227921.14&lt;/D&gt;&lt;/FQL&gt;&lt;FQL&gt;&lt;Q&gt;Ticker0024^FE_ESTIMATE(GROSS_INC,MEAN,CAL4_ROLL,2025,45868,,,'')&lt;/Q&gt;&lt;R&gt;1&lt;/R&gt;&lt;C&gt;1&lt;/C&gt;&lt;D xsi:type="xsd:doub</t>
        </r>
      </text>
    </comment>
    <comment ref="A74" authorId="0" shapeId="0" xr:uid="{9C09020C-C8ED-4A25-B68F-47E78268D4DF}">
      <text>
        <r>
          <rPr>
            <b/>
            <sz val="9"/>
            <color indexed="81"/>
            <rFont val="Tahoma"/>
            <family val="2"/>
          </rPr>
          <t>le"&gt;202090.94&lt;/D&gt;&lt;/FQL&gt;&lt;FQL&gt;&lt;Q&gt;Ticker0024^FE_ESTIMATE(GROSS_INC,MEAN,CAL4_ROLL,2024,45868,,,'')&lt;/Q&gt;&lt;R&gt;1&lt;/R&gt;&lt;C&gt;1&lt;/C&gt;&lt;D xsi:type="xsd:double"&gt;181703.53&lt;/D&gt;&lt;/FQL&gt;&lt;FQL&gt;&lt;Q&gt;Ticker0024^FE_ESTIMATE(GROSS_INC,MEAN,CAL4_ROLL,2023,45868,,,'')&lt;/Q&gt;&lt;R&gt;1&lt;/R&gt;&lt;C&gt;1&lt;/C&gt;&lt;D xsi:type="xsd:double"&gt;158729.31&lt;/D&gt;&lt;/FQL&gt;&lt;FQL&gt;&lt;Q&gt;Ticker0024^FE_ESTIMATE(GROSS_INC,MEAN,NTM4_ROLL,,45868,,,'')&lt;/Q&gt;&lt;R&gt;1&lt;/R&gt;&lt;C&gt;1&lt;/C&gt;&lt;D xsi:type="xsd:double"&gt;214181.73&lt;/D&gt;&lt;/FQL&gt;&lt;FQL&gt;&lt;Q&gt;Ticker0024^FE_ESTIMATE(GROSS_INC,MEAN,LTM4_ROLL,,45868,,,'')&lt;/Q&gt;&lt;R&gt;1&lt;/R&gt;&lt;C&gt;1&lt;/C&gt;&lt;D xsi:type="xsd:double"&gt;191589.48&lt;/D&gt;&lt;/FQL&gt;&lt;FQL&gt;&lt;Q&gt;IBM^FE_ESTIMATE(GROSS_INC,MEAN,CAL4_ROLL,2026,45868,,,'')&lt;/Q&gt;&lt;R&gt;1&lt;/R&gt;&lt;C&gt;1&lt;/C&gt;&lt;D xsi:type="xsd:double"&gt;41686.55&lt;/D&gt;&lt;/FQL&gt;&lt;FQL&gt;&lt;Q&gt;IBM^FE_ESTIMATE(GROSS_INC,MEAN,CAL4_ROLL,2025,45868,,,'')&lt;/Q&gt;&lt;R&gt;1&lt;/R&gt;&lt;C&gt;1&lt;/C&gt;&lt;D xsi:type="xsd:double"&gt;39614.742&lt;/D&gt;&lt;/FQL&gt;&lt;FQL&gt;&lt;Q&gt;IBM^FE_ESTIMATE(GROSS_INC,MEAN,CAL4_ROLL,2024,45868,,,'')&lt;/Q&gt;&lt;R&gt;1&lt;/R&gt;&lt;C&gt;1&lt;/C&gt;&lt;D xsi:type="xsd:double"&gt;36243.547&lt;/D&gt;&lt;/FQL&gt;&lt;FQL&gt;&lt;Q&gt;IBM^FE_ESTIMATE(GROSS_INC,MEAN,CAL4_ROLL,2023,45868,,,'')&lt;/Q&gt;&lt;R&gt;1&lt;/R&gt;&lt;C&gt;1&lt;/C&gt;&lt;D xsi:type="xsd:double"&gt;34833.254&lt;/D&gt;&lt;/FQL&gt;&lt;FQL&gt;&lt;Q&gt;IBM^FE_ESTIMATE(GROSS_INC,MEAN,NTM4_ROLL,,45868,,,'')&lt;/Q&gt;&lt;R&gt;1&lt;/R&gt;&lt;C&gt;1&lt;/C&gt;&lt;D xsi:type="xsd:double"&gt;40490.31&lt;/D&gt;&lt;/FQL&gt;&lt;FQL&gt;&lt;Q&gt;IBM^FE_ESTIMATE(GROSS_INC,MEAN,LTM4_ROLL,,45868,,,'')&lt;/Q&gt;&lt;R&gt;1&lt;/R&gt;&lt;C&gt;1&lt;/C&gt;&lt;D xsi:type="xsd:double"&gt;37625.543&lt;/D&gt;&lt;/FQL&gt;&lt;FQL&gt;&lt;Q&gt;CRM^FE_ESTIMATE(GROSS_INC,MEAN,CAL4_ROLL,2026,45868,,,'')&lt;/Q&gt;&lt;R&gt;1&lt;/R&gt;&lt;C&gt;1&lt;/C&gt;&lt;D xsi:type="xsd:double"&gt;36201.555&lt;/D&gt;&lt;/FQL&gt;&lt;FQL&gt;&lt;Q&gt;CRM^FE_ESTIMATE(GROSS_INC,MEAN,CAL4_ROLL,2025,45868,,,'')&lt;/Q&gt;&lt;R&gt;1&lt;/R&gt;&lt;C&gt;1&lt;/C&gt;&lt;D xsi:type="xsd:double"&gt;33130.258&lt;/D&gt;&lt;/FQL&gt;&lt;FQL&gt;&lt;Q&gt;CRM^FE_ESTIMATE(GROSS_INC,MEAN,CAL4_ROLL,2024,45868,,,'')&lt;/Q&gt;&lt;R&gt;1&lt;/R&gt;&lt;C&gt;1&lt;/C&gt;&lt;D xsi:type="xsd:double"&gt;30389.63&lt;/D&gt;&lt;/FQL&gt;&lt;FQL&gt;&lt;Q&gt;CRM^FE_ESTIMATE(GROSS_INC,MEAN,CAL4_ROLL,2023,45868,,,'')&lt;/Q&gt;&lt;R&gt;1&lt;/R&gt;&lt;C&gt;1&lt;/C&gt;&lt;D xsi:type="xsd:double"&gt;27602.195&lt;/D&gt;&lt;/FQL&gt;&lt;FQL&gt;&lt;Q&gt;CRM^FE_ESTIMATE(GROSS_INC,MEAN,NTM4_ROLL,,45868,,,'')&lt;/Q&gt;&lt;R&gt;1&lt;/R&gt;&lt;C&gt;1&lt;/C&gt;&lt;D xsi:type="xsd:double"&gt;33907.984&lt;/D&gt;&lt;/FQL&gt;&lt;FQL&gt;&lt;Q&gt;CRM^FE_ESTIMATE(GROSS_INC,MEAN,LTM4_ROLL,,45868,,,'')&lt;/Q&gt;&lt;R&gt;1&lt;/R&gt;&lt;C&gt;1&lt;/C&gt;&lt;D xsi:type="xsd:double"&gt;30953.85&lt;/D&gt;&lt;/FQL&gt;&lt;FQL&gt;&lt;Q&gt;Company1341^FE_ESTIMATE(GROSS_INC,MEAN,CAL4_ROLL,2026,45868,,,'')&lt;/Q&gt;&lt;R&gt;1&lt;/R&gt;&lt;C&gt;1&lt;/C&gt;&lt;D xsi:type="xsd:double"&gt;18127.305&lt;/D&gt;&lt;/FQL&gt;&lt;FQL&gt;&lt;Q&gt;Company1341^FE_ESTIMATE(GROSS_INC,MEAN,CAL4_ROLL,2025,45868,,,'')&lt;/Q&gt;&lt;R&gt;1&lt;/R&gt;&lt;C&gt;1&lt;/C&gt;&lt;D xsi:type="xsd:double"&gt;16381.588&lt;/D&gt;&lt;/FQL&gt;&lt;FQL&gt;&lt;Q&gt;Company1341^FE_ESTIMATE(GROSS_INC,MEAN,CAL4_ROLL,2024,45868,,,'')&lt;/Q&gt;&lt;R&gt;1&lt;/R&gt;&lt;C&gt;1&lt;/C&gt;&lt;D xsi:type="xsd:double"&gt;14063.704&lt;/D&gt;&lt;/FQL&gt;&lt;FQL&gt;&lt;Q&gt;Company1341^FE_ESTIMATE(GROSS_INC,MEAN,CAL4_ROLL,2023,45868,,,'')&lt;/Q&gt;&lt;R&gt;1&lt;/R&gt;&lt;C&gt;1&lt;/C&gt;&lt;D xsi:type="xsd:double"&gt;12198.407&lt;/D&gt;&lt;/FQL&gt;&lt;FQL&gt;&lt;Q&gt;Company1341^FE_ESTIMATE(GROSS_INC,MEAN,NTM4_ROLL,,45868,,,'')&lt;/Q&gt;&lt;R&gt;1&lt;/R&gt;&lt;C&gt;1&lt;/C&gt;&lt;D xsi:type="xsd:double"&gt;16985.512&lt;/D&gt;&lt;/FQL&gt;&lt;FQL&gt;&lt;Q&gt;Company1341^FE_ESTIMATE(GROSS_INC,MEAN,LTM4_ROLL,,45868,,,'')&lt;/Q&gt;&lt;R&gt;1&lt;/R&gt;&lt;C&gt;1&lt;/C&gt;&lt;D xsi:type="xsd:double"&gt;14971.353&lt;/D&gt;&lt;/FQL&gt;&lt;FQL&gt;&lt;Q&gt;Company0023^FE_ESTIMATE(GROSS_INC,MEAN,CAL4_ROLL,2026,45868,,,'')&lt;/Q&gt;&lt;R&gt;1&lt;/R&gt;&lt;C&gt;1&lt;/C&gt;&lt;D xsi:type="xsd:double"&gt;23126.139&lt;/D&gt;&lt;/FQL&gt;&lt;FQL&gt;&lt;Q&gt;Company0023^FE_ESTIMATE(GROSS_INC,MEAN,CAL4_ROLL,2025,45868,,,'')&lt;/Q&gt;&lt;R&gt;1&lt;/R&gt;&lt;C&gt;1&lt;/C&gt;&lt;D xsi:type="xsd:double"&gt;21219.32&lt;/D&gt;&lt;/FQL&gt;&lt;FQL&gt;&lt;Q&gt;Company0023^FE_ESTIMATE(GROSS_INC,MEAN,CAL4_ROLL,2024,45868,,,'')&lt;/Q&gt;&lt;R&gt;1&lt;/R&gt;&lt;C&gt;1&lt;/C&gt;&lt;D xsi:type="xsd:double"&gt;19295.053&lt;/D&gt;&lt;/FQL&gt;&lt;FQL&gt;&lt;Q&gt;Company0023^FE_ESTIMATE(GROSS_INC,MEAN,CAL4_ROLL,2023,45868,,,'')&lt;/Q&gt;&lt;R&gt;1&lt;/R&gt;&lt;C&gt;1&lt;/C&gt;&lt;D xsi:type="xsd:double"&gt;17310.389&lt;/D&gt;&lt;/FQL&gt;&lt;FQL&gt;&lt;Q&gt;Company0023^FE_ESTIMATE(GROSS_INC,MEAN,NTM4_ROLL,,45868,,,'')&lt;/Q&gt;&lt;R&gt;1&lt;/R&gt;&lt;C&gt;1&lt;/C&gt;&lt;D xsi:type="xsd:double"&gt;22109.176&lt;/D&gt;&lt;/FQL&gt;&lt;FQL&gt;&lt;Q&gt;Company0023^FE_ESTIMATE(GROSS_INC,MEAN,LTM4_ROLL,,45868,,,'')&lt;/Q&gt;&lt;R&gt;1&lt;/R&gt;&lt;C&gt;1&lt;/C&gt;&lt;D xsi:type="xsd:double"&gt;20374.879&lt;/D&gt;&lt;/FQL&gt;&lt;FQL&gt;&lt;Q&gt;Company1985^FE_ESTIMATE(GROSS_INC,MEAN,CAL4_ROLL,2026,45868,,,'')&lt;/Q&gt;&lt;R&gt;1&lt;/R&gt;&lt;C&gt;1&lt;/C&gt;&lt;D xsi:type="xsd:double"&gt;50518.43&lt;/D&gt;&lt;/FQL&gt;&lt;FQL&gt;&lt;Q&gt;Company1985^FE_ESTIMATE(GROSS_INC,MEAN,CAL4_ROLL,2025,45868,,,'')&lt;/Q&gt;&lt;R&gt;1&lt;/R&gt;&lt;C&gt;1&lt;/C&gt;&lt;D xsi:type="xsd:double"&gt;43404.613&lt;/D&gt;&lt;/FQL&gt;&lt;FQL&gt;&lt;Q&gt;Company1985^FE_ESTIMATE(GROSS_INC,MEAN,CAL4_ROLL,2024,45868,,,'')&lt;/Q&gt;&lt;R&gt;1&lt;/R&gt;&lt;C&gt;1&lt;/C&gt;&lt;D xsi:type="xsd:double"&gt;39915.637&lt;/D&gt;&lt;/FQL&gt;&lt;FQL&gt;&lt;Q&gt;Company1985^FE_ESTIMATE(GROSS_INC,MEAN,CAL4_ROLL,2023,45868,,,'')&lt;/Q&gt;&lt;R&gt;1&lt;/R&gt;&lt;C&gt;1&lt;/C&gt;&lt;D xsi:type="xsd:double"&gt;37717.715&lt;/D&gt;&lt;/FQL&gt;&lt;FQL&gt;&lt;Q&gt;Company1985^FE_ESTIMATE(GROSS_INC,MEAN,NTM4_ROLL,,45868,,,'')&lt;/Q&gt;&lt;R&gt;1&lt;/R&gt;&lt;C&gt;1&lt;/C&gt;&lt;D xsi:type="xsd:double"&gt;46675.68&lt;/D&gt;&lt;/FQL&gt;&lt;FQL&gt;&lt;Q&gt;Company1985^FE_ESTIMATE(GROSS_INC,MEAN,LTM4_ROLL,,45868,,,'')&lt;/Q&gt;&lt;R&gt;1&lt;/R&gt;&lt;C&gt;1&lt;/C&gt;&lt;D xsi:type="xsd:double"&gt;41301.223&lt;/D&gt;&lt;/FQL&gt;&lt;FQL&gt;&lt;Q&gt;Company2320^FE_ESTIMATE(GROSS_INC,MEAN,CAL4_ROLL,2026,45868,,,'')&lt;/Q&gt;&lt;R&gt;1&lt;/R&gt;&lt;C&gt;1&lt;/C&gt;&lt;D xsi:type="xsd:double"&gt;35249.453&lt;/D&gt;&lt;/FQL&gt;&lt;FQL&gt;&lt;Q&gt;Company2320^FE_ESTIMATE(GROSS_INC,MEAN,CAL4_ROLL,2025,45868,,,'')&lt;/Q&gt;&lt;R&gt;1&lt;/R&gt;&lt;C&gt;1&lt;/C&gt;&lt;D xsi:type="xsd:double"&gt;31690.916&lt;/D&gt;&lt;/FQL&gt;&lt;FQL&gt;&lt;Q&gt;Company2320^FE_ESTIMATE(GROSS_INC,MEAN,CAL4_ROLL,2024,45868,,,'')&lt;/Q&gt;&lt;R&gt;1&lt;/R&gt;&lt;C&gt;1&lt;/C&gt;&lt;D xsi:type="xsd:double"&gt;26742.303&lt;/D&gt;&lt;/FQL&gt;&lt;FQL&gt;&lt;Q&gt;Company2320^FE_ESTIMATE(GROSS_INC,MEAN,CAL4_ROLL,2023,45868,,,'')&lt;/Q&gt;&lt;R&gt;1&lt;/R&gt;&lt;C&gt;1&lt;/C&gt;&lt;D xsi:type="xsd:double"&gt;24928.896&lt;/D&gt;&lt;/FQL&gt;&lt;FQL&gt;&lt;Q&gt;Company2320^FE_ESTIMATE(GROSS_INC,MEAN,NTM4_ROLL,,45868,,,'')&lt;/Q&gt;&lt;R&gt;1&lt;/R&gt;&lt;C&gt;1&lt;/C&gt;&lt;D xsi:type="xsd:double"&gt;33374.754&lt;/D&gt;&lt;/FQL&gt;&lt;FQL&gt;&lt;Q&gt;Company2320^FE_ESTIMATE(GROSS_INC,MEAN,LTM4_ROLL,,45868,,,'')&lt;/Q&gt;&lt;R&gt;1&lt;/R&gt;&lt;C&gt;1&lt;/C&gt;&lt;D xsi:type="xsd:double"&gt;29329.574&lt;/D&gt;&lt;/FQL&gt;&lt;FQL&gt;&lt;Q&gt;Company0103^FE_ESTIMATE(GROSS_INC,MEAN,CAL4_ROLL,2026,45868,,,'')&lt;/Q&gt;&lt;R&gt;1&lt;/R&gt;&lt;C&gt;1&lt;/C&gt;&lt;D xsi:type="xsd:double"&gt;382309.6&lt;/D&gt;&lt;/FQL&gt;&lt;FQL&gt;&lt;Q&gt;Company0103^FE_ESTIMATE(GROSS_INC,MEAN,CAL4_ROLL,2025,45868,,,'')&lt;/Q&gt;&lt;R&gt;1&lt;/R&gt;&lt;C&gt;1&lt;/C&gt;&lt;D xsi:type="xsd:double"&gt;344768.13&lt;/D&gt;&lt;/FQL&gt;&lt;FQL&gt;&lt;Q&gt;Company0103^FE_ESTIMATE(GROSS_INC,MEAN,CAL4_ROLL,2024,45868,,,'')&lt;/Q&gt;&lt;R&gt;1&lt;/R&gt;&lt;C&gt;1&lt;/C&gt;&lt;D xsi:type="xsd:double"&gt;311922.3&lt;/D&gt;&lt;/FQL&gt;&lt;FQL&gt;&lt;Q&gt;Company0103^FE_ESTIMATE(GROSS_INC,MEAN,CAL4_ROLL,2023,45868,,,'')&lt;/Q&gt;&lt;R&gt;1&lt;/R&gt;&lt;C&gt;1&lt;/C&gt;&lt;D xsi:type="xsd:double"&gt;270395.66&lt;/D&gt;&lt;/FQL&gt;&lt;FQL&gt;&lt;Q&gt;Company0103^FE_ESTIMATE(GROSS_INC,MEAN,NTM4_ROLL,,45868,,,'')&lt;/Q&gt;&lt;R&gt;1&lt;/R&gt;&lt;C&gt;1&lt;/C&gt;&lt;D xsi:type="xsd:double"&gt;353561.94&lt;/D&gt;&lt;/FQL&gt;&lt;FQL&gt;&lt;Q&gt;Company0103^FE_ESTIMATE(GROSS_INC,MEAN,LTM4_ROLL,,45868,,,'')&lt;/Q&gt;&lt;R&gt;1&lt;/R&gt;&lt;C&gt;1&lt;/C&gt;&lt;D xsi:type="xsd:double"&gt;319926.88&lt;/D&gt;&lt;/FQL&gt;&lt;FQL&gt;&lt;Q&gt;Ticker0013^FE_ESTIMATE(GROSS_INC,MEAN,CAL4_ROLL,2026,45868,,,'')&lt;/Q&gt;&lt;R&gt;1&lt;/R&gt;&lt;C&gt;1&lt;/C&gt;&lt;D xsi:type="xsd:double"&gt;257946.83&lt;/D&gt;&lt;/FQL&gt;&lt;FQL&gt;&lt;Q&gt;Ticker0013^FE_ESTIMATE(GROSS_INC,MEAN,CAL4_ROLL,2025,45868,,,'')&lt;/Q&gt;&lt;R&gt;1&lt;/R&gt;&lt;C&gt;1&lt;/C&gt;&lt;D xsi:type="xsd:double"&gt;233400.98&lt;/D&gt;&lt;/FQL&gt;&lt;FQL&gt;&lt;Q&gt;Ticker0013^FE_ESTIMATE(GROSS_INC,MEAN,CAL4_ROLL,2024,45868,,,'')&lt;/Q&gt;&lt;R&gt;1&lt;/R&gt;&lt;C&gt;1&lt;/C&gt;&lt;D xsi:type="xsd:double"&gt;203895.58&lt;/D&gt;&lt;/FQL&gt;&lt;FQL&gt;&lt;Q&gt;Ticker0013^FE_ESTIMATE(GROSS_INC,MEAN,CAL4_ROLL,2023,45868,,,'')&lt;/Q&gt;&lt;R&gt;1&lt;/R&gt;&lt;C&gt;1&lt;/C&gt;&lt;D xsi:type="xsd:double"&gt;174387&lt;/D&gt;&lt;/FQL&gt;&lt;FQL&gt;&lt;Q&gt;Ticker0013^FE_ESTIMATE(GROSS_INC,MEAN,NTM4_ROLL,,45868,,,'')&lt;/Q&gt;&lt;R&gt;1&lt;/R&gt;&lt;C&gt;1&lt;/C&gt;&lt;D xsi:type="xsd:double"&gt;244937.73&lt;/D&gt;&lt;/FQL&gt;&lt;FQL&gt;&lt;Q&gt;Ticker0013^FE_ESTIMATE(GROSS_INC,MEAN,LTM4_ROLL,,45868,,,'')&lt;/Q&gt;&lt;R&gt;1&lt;/R&gt;&lt;C&gt;1&lt;/C&gt;&lt;D xsi:type="xsd:double"&gt;219084.03&lt;/D&gt;&lt;/FQL&gt;&lt;FQL&gt;&lt;Q&gt;Ticker0024^FE_ESTIMATE(SALES,MEAN,CAL4_ROLL,2026,45868,,,'')&lt;/Q&gt;&lt;R&gt;1&lt;/R&gt;&lt;C&gt;1&lt;/C&gt;&lt;D xsi:type="xsd:double"&gt;336849.3&lt;/D&gt;&lt;/FQL&gt;&lt;FQL&gt;&lt;Q&gt;Ticker0024^FE_ESTIMATE(SALES,MEAN,CAL4_ROLL,2025,45868,,,'')&lt;/Q&gt;&lt;R&gt;1&lt;/R&gt;&lt;C&gt;1&lt;/C&gt;&lt;D xsi:type="xsd:double"&gt;296859.75&lt;/D&gt;&lt;/FQL&gt;&lt;FQL&gt;&lt;Q&gt;Ticker0024^FE_ESTIMATE(SALES,MEAN,CAL4_ROLL,2024,45868,,,'')&lt;/Q&gt;&lt;R&gt;1&lt;/R&gt;&lt;C&gt;1&lt;/C&gt;&lt;D xsi:type="xsd:double"&gt;261802&lt;/D&gt;&lt;/FQL&gt;&lt;FQL&gt;&lt;Q&gt;Ticker0024^FE_ESTIMATE(SALES,MEAN,CAL4,2023,45868,,,'')&lt;/Q&gt;&lt;R&gt;1&lt;/R&gt;&lt;C&gt;1&lt;/C&gt;&lt;D xsi:type="xsd:double"&gt;227583&lt;/D&gt;&lt;/FQL&gt;&lt;FQL&gt;&lt;Q&gt;Ticker0024^FE_ESTIMATE(SALES,MEAN,NTM4_ROLL,,45868,,,'')&lt;/Q&gt;&lt;R&gt;1&lt;/R&gt;&lt;C&gt;1&lt;/C&gt;&lt;D xsi:type="xsd:double"&gt;315740.38&lt;/D&gt;&lt;/FQL&gt;&lt;FQL&gt;&lt;Q&gt;Ticker0024^FE_ESTIMATE(SALES,MEAN,LTM4_ROLL,,45868,,,'')&lt;/Q&gt;&lt;R&gt;1&lt;/R&gt;&lt;C&gt;1&lt;/C&gt;&lt;D xsi:type="xsd:double"&gt;279209.78&lt;/D&gt;&lt;/FQL&gt;&lt;FQL&gt;&lt;Q&gt;Ticker0024^FF_ENTRPR_VAL_DAILY(45868,,,,,"DIL")&lt;/Q&gt;&lt;R&gt;1&lt;/R&gt;&lt;C&gt;1&lt;/C&gt;&lt;D xsi:type="xsd:double"&gt;3797359.6&lt;/D&gt;&lt;/FQL&gt;&lt;FQL&gt;&lt;Q&gt;Ticker0024^FREF_MARKET_VALUE_COMPANY(45868,,,,,0,,"LEGACY")&lt;/Q&gt;&lt;R&gt;1&lt;/R&gt;&lt;C&gt;1&lt;/C&gt;&lt;D xsi:type="xsd:double"&gt;3814678.75&lt;/D&gt;&lt;/FQL&gt;&lt;FQL&gt;&lt;Q&gt;IBM^FE_ESTIMATE(SALES,MEAN,CAL4_ROLL,2026,45868,,,'')&lt;/Q&gt;&lt;R&gt;1&lt;/R&gt;&lt;C&gt;1&lt;/C&gt;&lt;D xsi:type="xsd:double"&gt;69611.695&lt;/D&gt;&lt;/FQL&gt;&lt;FQL&gt;&lt;Q&gt;IBM^FE_ESTIMATE(SALES,MEAN,CAL4_ROLL,2025,45868,,,'')&lt;/Q&gt;&lt;R&gt;1&lt;/R&gt;&lt;C&gt;1&lt;/C&gt;&lt;D xsi:type="xsd:double"&gt;66811.99&lt;/D&gt;&lt;/FQL&gt;&lt;FQL&gt;&lt;Q&gt;IBM^FE_ESTIMATE(SALES,MEAN,CAL4_ROLL,2024,45868,,,'')&lt;/Q&gt;&lt;R&gt;1&lt;/R&gt;&lt;C&gt;1&lt;/C&gt;&lt;D xsi:type="xsd:double"&gt;62753&lt;/D&gt;&lt;/FQL&gt;&lt;FQL&gt;&lt;Q&gt;IBM^FE_ESTIMATE(SALES,MEAN,CAL4,2023,45868,,,'')&lt;/Q&gt;&lt;R&gt;1&lt;/R&gt;&lt;C&gt;1&lt;/C&gt;&lt;D xsi:type="xsd:double"&gt;61860&lt;/D&gt;&lt;/FQL&gt;&lt;FQL&gt;&lt;Q&gt;IBM^FE_ESTIMATE(SALES,MEAN,NTM4_ROLL,,45868,,,'')&lt;/Q&gt;&lt;R&gt;1&lt;/R&gt;&lt;C&gt;1&lt;/C&gt;&lt;D xsi:type="xsd:double"&gt;68313.31&lt;/D&gt;&lt;/FQL&gt;&lt;FQL&gt;&lt;Q&gt;IBM^FE_ESTIMATE(SALES,MEAN,LTM4_ROLL,,45868,,,'')&lt;/Q&gt;&lt;R&gt;1&lt;/R&gt;&lt;C&gt;1&lt;/C&gt;&lt;D xsi:type="xsd:double"&gt;64039&lt;/D&gt;&lt;/FQL&gt;&lt;FQL&gt;&lt;Q&gt;IBM^FF_ENTRPR_VAL_DAILY(45868,,,,,"DIL")&lt;/Q&gt;&lt;R&gt;1&lt;/R&gt;&lt;C&gt;1&lt;/C&gt;&lt;D xsi:type="xsd:double"&gt;298984.56851842&lt;/D&gt;&lt;/FQL&gt;&lt;FQL&gt;&lt;Q&gt;IBM^FREF_MARKET_VALUE_COMPANY(45868,,,,,0,,"LEGACY")&lt;/Q&gt;&lt;R&gt;1&lt;/R&gt;&lt;C&gt;1&lt;/C&gt;&lt;D xsi:type="xsd:double"&gt;242437.203125&lt;/D&gt;&lt;/FQL&gt;&lt;FQL&gt;&lt;Q&gt;CRM^FE_ESTIMATE(SALES,MEAN,CAL4_ROLL,2026,45868,,,'')&lt;/Q&gt;&lt;R&gt;1&lt;/R&gt;&lt;C&gt;1&lt;/C&gt;&lt;D xsi:type="xsd:double"&gt;44786.695&lt;/D&gt;&lt;/FQL&gt;&lt;FQL&gt;&lt;Q&gt;CRM^FE_ESTIMATE(SALES,MEAN,CAL4_ROLL,2025,45868,,,'')&lt;/Q&gt;&lt;R&gt;1&lt;/R&gt;&lt;C&gt;1&lt;/C&gt;&lt;D xsi:type="xsd:double"&gt;41193.64&lt;/D&gt;&lt;/FQL&gt;&lt;FQL&gt;&lt;Q&gt;CRM^FE_ESTIMATE(SALES,MEAN,CAL4_ROLL,2024,45868,,,'')&lt;/Q&gt;&lt;R&gt;1&lt;/R&gt;&lt;C&gt;1&lt;/C&gt;&lt;D xsi:type="xsd:double"&gt;37895&lt;/D&gt;&lt;/FQL&gt;&lt;FQL&gt;&lt;Q&gt;CRM^FE_ESTIMATE(SALES,MEAN,CAL4,2023,45868,,,'')&lt;/Q&gt;&lt;R&gt;1&lt;/R&gt;&lt;C&gt;1&lt;/C&gt;&lt;D xsi:type="xsd:double"&gt;34857&lt;/D&gt;&lt;/FQL&gt;&lt;FQL&gt;&lt;Q&gt;CRM^FE_ESTIMATE(SALES,MEAN,NTM4_ROLL,,45868,,,'')&lt;/Q&gt;&lt;R&gt;1&lt;/R&gt;&lt;C&gt;1&lt;/C&gt;&lt;D xsi:type="xsd:double"&gt;42087.23&lt;/D&gt;&lt;/FQL&gt;&lt;FQL&gt;&lt;Q&gt;CRM^FE_ESTIMATE(SALES,MEAN,LTM4_ROLL,,45868,,,'')&lt;/Q&gt;&lt;R&gt;1&lt;/R&gt;&lt;C&gt;1&lt;/C&gt;&lt;D xsi:type="xsd:double"&gt;38591&lt;/D&gt;&lt;/FQL&gt;&lt;FQL&gt;&lt;Q&gt;CRM^FF_ENTRPR_VAL_DAILY(45868,,,,,"DIL")&lt;/Q&gt;&lt;R&gt;1&lt;/R&gt;&lt;C&gt;1&lt;/C&gt;&lt;D xsi:type="xsd:double"&gt;251477.7&lt;/D&gt;&lt;/FQL&gt;&lt;FQL&gt;&lt;Q&gt;CRM^FREF_MARKET_VALUE_COMPANY(45868,,,,,0,,"LEGACY")&lt;/Q&gt;&lt;R&gt;1&lt;/R&gt;&lt;C&gt;1&lt;/C&gt;&lt;D xsi:type="xsd:double"&gt;253158.359375&lt;/D&gt;&lt;/FQL&gt;&lt;FQL&gt;&lt;Q&gt;Company1341^FE_ESTIMATE(SALES,MEAN,CAL4_ROLL,2026,45868,,,'')&lt;/Q&gt;&lt;R&gt;1&lt;/R&gt;&lt;C&gt;1&lt;/C&gt;&lt;D xsi:type="xsd:double"&gt;22111.451&lt;/D&gt;&lt;/FQL&gt;&lt;FQL&gt;&lt;Q&gt;Company1341^FE_ESTIMATE(SALES,MEAN,CAL4_ROLL,2025,45868,,,'')&lt;/Q&gt;&lt;R&gt;1&lt;/R&gt;&lt;C&gt;1&lt;/C&gt;&lt;D xsi:type="xsd:double"&gt;19835.168&lt;/D&gt;&lt;/FQL&gt;&lt;FQL&gt;&lt;Q&gt;Company1341^FE_ESTIMATE(SALES,MEAN,CAL4_ROLL,2024,45868,,,'')&lt;/Q&gt;&lt;R&gt;1&lt;/R&gt;&lt;C&gt;1&lt;/C&gt;&lt;D xsi:type="xsd:double"&gt;17167&lt;/D&gt;&lt;/FQL&gt;&lt;FQL&gt;&lt;Q&gt;Company1341^FE_ESTIMATE(SALES,MEAN,CAL4,2023,45868,,,'')&lt;/Q&gt;&lt;R&gt;1&lt;/R&gt;&lt;C&gt;1&lt;/C&gt;&lt;D xsi:type="xsd:double"&gt;15094&lt;/D&gt;&lt;/FQL&gt;&lt;FQL&gt;&lt;Q&gt;Company1341^FE_ESTIMATE(SALES,MEAN,NTM4_ROLL,,45868,,,'')&lt;/Q&gt;&lt;R&gt;1&lt;/R&gt;&lt;C&gt;1&lt;/C&gt;&lt;D xsi:type="xsd:double"&gt;20595.941&lt;/D&gt;&lt;/FQL&gt;&lt;FQL&gt;&lt;Q&gt;Company1341^FE_ESTIMATE(SALES,MEAN,LTM4_ROLL,,45868,,,'')&lt;/Q&gt;&lt;R&gt;1&lt;/R&gt;&lt;C&gt;1&lt;/C&gt;&lt;D xsi:type="xsd:double"&gt;18184&lt;/D&gt;&lt;/FQL&gt;&lt;FQL&gt;&lt;Q&gt;Company1341^FF_ENTRPR_VAL_DAILY(45868,,,,,"DIL")&lt;/Q&gt;&lt;R&gt;1&lt;/R&gt;&lt;C&gt;1&lt;/C&gt;&lt;D xsi:type="xsd:double"&gt;228596.98&lt;/D&gt;&lt;/FQL&gt;&lt;FQL&gt;&lt;Q&gt;Company1341^FREF_MARKET_VALUE_COMPANY(45868,,,,,0,,"LEGACY")&lt;/Q&gt;&lt;R&gt;1&lt;/R&gt;&lt;C&gt;1&lt;/C&gt;&lt;D xsi:type="xsd:double"&gt;225219.015625&lt;/D&gt;&lt;/FQL&gt;&lt;FQL&gt;&lt;Q&gt;Company0023^FE_ESTIMATE(SALES,MEAN,CAL4_ROLL,2026,45868,,,'')&lt;/Q&gt;&lt;R&gt;1&lt;/R&gt;&lt;C&gt;1&lt;/C&gt;&lt;D xsi:type="xsd:double"&gt;25742.535&lt;/D&gt;&lt;/FQL&gt;&lt;FQL&gt;&lt;Q&gt;Company0023^FE_ESTIMATE(SALES,MEAN,CAL4_ROLL,2025,45868,,,'')&lt;/Q&gt;&lt;R&gt;1&lt;/R&gt;&lt;C&gt;1&lt;/C&gt;&lt;D xsi:type="xsd:double"&gt;23578.441&lt;/D&gt;&lt;/FQL&gt;&lt;FQL&gt;&lt;Q&gt;Company0023^FE_ESTIMATE(SALES,MEAN,CAL4_ROLL,2024,45868,,,'')&lt;/Q&gt;&lt;R&gt;1&lt;/R&gt;&lt;C&gt;1&lt;/C&gt;&lt;D xsi:type="xsd:double"&gt;21505&lt;/D&gt;&lt;/FQL&gt;&lt;FQL&gt;&lt;Q&gt;Company0023^FE_ESTIMATE(SALES,MEAN,CAL4,2023,45868,,,'')&lt;/Q&gt;&lt;R&gt;1&lt;/R&gt;&lt;C&gt;1&lt;/C&gt;&lt;D xsi:type="xsd:double"&gt;19409&lt;/D&gt;&lt;/FQL&gt;&lt;FQL&gt;&lt;Q&gt;Company0023^FE_ESTIMATE(SALES,MEAN,NTM4_ROLL,,45868,,,'')&lt;/Q&gt;&lt;R&gt;1&lt;/R&gt;&lt;C&gt;1&lt;/C&gt;&lt;D xsi:type="xsd:double"&gt;24612.893&lt;/D&gt;&lt;/FQL&gt;&lt;FQL&gt;&lt;Q&gt;Company0023^FE_ESTIMATE(SALES,MEAN,LTM4_ROLL,,45868,,,'')&lt;/Q&gt;&lt;R&gt;1&lt;/R&gt;&lt;C&gt;1&lt;/C&gt;&lt;D xsi:type="xsd:double"&gt;22601&lt;/D&gt;&lt;/FQL&gt;&lt;FQL&gt;&lt;Q&gt;Company0023^FF_ENTRPR_VAL_DAILY(45868,,,,,"DIL")&lt;/Q&gt;&lt;R&gt;1&lt;/R&gt;&lt;C&gt;1&lt;/C&gt;&lt;D xsi:type="xsd:double"&gt;157006&lt;/D&gt;&lt;/FQL&gt;&lt;FQL&gt;&lt;Q&gt;Company0023^FREF_MARKET_VALUE_COMPANY(45868,,,,,0,,"LEGACY")&lt;/Q&gt;&lt;R&gt;1&lt;/R&gt;&lt;C&gt;1&lt;/C&gt;&lt;D xsi:type="xsd:double"&gt;154408.796875&lt;/D&gt;&lt;/FQL&gt;&lt;FQL&gt;&lt;Q&gt;Company1985^FE_ESTIMATE(SALES,MEAN,CAL4_ROLL,2026,45868,,,'')&lt;/Q&gt;&lt;R&gt;1&lt;/R&gt;&lt;C&gt;1&lt;/C&gt;&lt;D xsi:type="xsd:double"&gt;73069.58&lt;/D&gt;&lt;/FQL&gt;&lt;FQL&gt;&lt;Q&gt;Company1985^FE_ESTIMATE(SALES,MEAN,CAL4_ROLL,2025,45868,,,'')&lt;/Q&gt;&lt;R&gt;1&lt;/R&gt;&lt;C&gt;1&lt;/C&gt;&lt;D xsi:type="xsd:double"&gt;61273.92&lt;/D&gt;&lt;/FQL&gt;&lt;FQL&gt;&lt;Q&gt;Company1985^FE_ESTIMATE(SALES,MEAN,CAL4_ROLL,2024,45868,,,'')&lt;/Q&gt;&lt;R&gt;1&lt;/R&gt;&lt;C&gt;1&lt;/C&gt;&lt;D xsi:type="xsd:double"&gt;54933&lt;/D&gt;&lt;/FQL&gt;&lt;FQL&gt;&lt;Q&gt;Company1985^FE_ESTIMATE(SALES,MEAN,CAL4,2023,45868,,,'')&lt;/Q&gt;&lt;R&gt;1&lt;/R&gt;&lt;C&gt;1&lt;/C&gt;&lt;D xsi:type="xsd:double"&gt;51629&lt;/D&gt;&lt;/FQL&gt;&lt;FQL&gt;&lt;Q&gt;Company1985^FE_ESTIMATE(SALES,MEAN,NTM4_ROLL,,45868,,,'')&lt;/Q&gt;&lt;R&gt;1&lt;/R&gt;&lt;C&gt;1&lt;/C&gt;&lt;D xsi:type="xsd:double"&gt;66822.875&lt;/D&gt;&lt;/FQL&gt;&lt;FQL&gt;&lt;Q&gt;Company1985^FE_ESTIMATE(SALES,MEAN,LTM4_ROLL,,45868,,,'')&lt;/Q&gt;&lt;R&gt;1&lt;/R&gt;&lt;C&gt;1&lt;/C&gt;&lt;D xsi:type="xsd:double"&gt;57399&lt;/D&gt;&lt;/FQL&gt;&lt;FQL&gt;&lt;Q&gt;Company1985^FF_ENTRPR_VAL_DAILY(45868,,,,,"DIL")&lt;/Q&gt;&lt;R&gt;1&lt;/R&gt;&lt;C&gt;1&lt;/C&gt;&lt;D xsi:type="xsd:double"&gt;816486.6&lt;/D&gt;&lt;/FQL&gt;&lt;FQL&gt;&lt;Q&gt;Company1985^FREF_MARKET_VALUE_COMPANY(45868,,,,,0,,"LEGACY")&lt;/Q&gt;&lt;R&gt;1&lt;/R&gt;&lt;C&gt;1&lt;/C&gt;&lt;D xsi:type="xsd:double"&gt;703893.5625&lt;/D&gt;&lt;/FQL&gt;&lt;FQL&gt;&lt;Q&gt;Company2320^FE_ESTIMATE(SALES,MEAN,CAL4_ROLL,2026,45868,,,'')&lt;/Q&gt;&lt;R&gt;1&lt;/R&gt;&lt;C&gt;1&lt;/C&gt;&lt;D xsi:type="xsd:double"&gt;47947.62&lt;/D&gt;&lt;/FQL&gt;&lt;FQL&gt;&lt;Q&gt;Company2320^FE_ESTIMATE(SALES,MEAN,CAL4_ROLL,2025,45868,,,'')&lt;/Q&gt;&lt;R&gt;1&lt;/R&gt;&lt;C&gt;1&lt;/C&gt;&lt;D xsi:type="xsd:double"&gt;43038.836&lt;/D&gt;&lt;/FQL&gt;&lt;FQL&gt;&lt;Q&gt;Company2320^FE_ESTIMATE(SALES,MEAN,CAL4_ROLL,2024,45868,,,'')&lt;/Q&gt;&lt;R&gt;1&lt;/R&gt;&lt;C&gt;1&lt;/C&gt;&lt;D xsi:type="xsd:double"&gt;36522.137&lt;/D&gt;&lt;/FQL&gt;&lt;FQL&gt;&lt;Q&gt;Company2320^FE_ESTIMATE(SALES,MEAN,CAL4,2023,45868,,,'')&lt;/Q&gt;&lt;R&gt;1&lt;/R&gt;&lt;C&gt;1&lt;/C&gt;&lt;D xsi:type="xsd:double"&gt;34001.84&lt;/D&gt;&lt;/FQL&gt;&lt;FQL&gt;&lt;Q&gt;Company2320^FE_ESTIMATE(SALES,MEAN,NTM4_ROLL,,45868,,,'')&lt;/Q&gt;&lt;R&gt;1&lt;/R&gt;&lt;C&gt;1&lt;/C&gt;&lt;D xsi:type="xsd:double"&gt;45450.645&lt;/D&gt;&lt;/FQL&gt;&lt;FQL&gt;&lt;Q&gt;Company2320^FE_ESTIMATE(SALES,MEAN,LTM4_ROLL,,45868,,,'')&lt;/Q&gt;&lt;R&gt;1&lt;/R&gt;&lt;C&gt;1&lt;/C&gt;&lt;D xsi:type="xsd:double"&gt;39753.16&lt;/D&gt;&lt;/FQL&gt;&lt;FQL&gt;&lt;Q&gt;Company2320^FF_ENTRPR_VAL_DAILY(45868,,,,,"DIL")&lt;/Q&gt;&lt;R&gt;1&lt;/R&gt;&lt;C&gt;1&lt;/C&gt;&lt;D xsi:type="xsd:double"&gt;342078.972544274&lt;/D&gt;&lt;/FQL&gt;&lt;FQL&gt;&lt;Q&gt;Company2320^FREF_MARKET_VALUE_COMPANY(45868,,,,,0,,"LEGACY")&lt;/Q&gt;&lt;R&gt;1&lt;/R&gt;&lt;C&gt;1&lt;/C&gt;&lt;D xsi:type="xsd:double"&gt;356811.686403591&lt;/D&gt;&lt;/FQL&gt;&lt;FQL&gt;&lt;Q&gt;Company0103^FE_ESTIMATE(SALES,MEAN,CAL4_ROLL,2026,45868,,,'')&lt;/Q&gt;&lt;R&gt;1&lt;/R&gt;&lt;C&gt;1&lt;/C&gt;&lt;D xsi:type="xsd:double"&gt;762623.1&lt;/D&gt;&lt;/FQL&gt;&lt;FQL&gt;&lt;Q&gt;Company0103^FE_ESTIMATE(SALES,MEAN,CAL4_ROLL,2025,45868,,,'')&lt;/Q&gt;&lt;R&gt;1&lt;/R&gt;&lt;C&gt;1&lt;/C&gt;&lt;D xsi:type="xsd:double"&gt;695966.94&lt;/D&gt;&lt;/FQL&gt;&lt;FQL&gt;&lt;Q&gt;Company0103^FE_ESTIMATE(SALES,MEAN,CAL4_ROLL,2024,45868,,,'')&lt;/Q&gt;&lt;R&gt;1&lt;/R&gt;&lt;C&gt;1&lt;/C&gt;&lt;D xsi:type="xsd:double"&gt;637959&lt;/D&gt;&lt;/FQL&gt;&lt;FQL&gt;&lt;Q&gt;Company0103^FE_ESTIMATE(SALES,MEAN,CAL4,2023,45868,,,'')&lt;/Q&gt;&lt;R&gt;1&lt;/R&gt;&lt;C&gt;1&lt;/C&gt;&lt;D xsi:type="xsd:double"&gt;574785&lt;/D&gt;&lt;/FQL&gt;&lt;FQL&gt;&lt;Q&gt;Company0103^FE_ESTIMATE(SALES,MEAN,NTM4_ROLL,,45868,,,'')&lt;/Q&gt;&lt;R&gt;1&lt;/R&gt;&lt;C&gt;1&lt;/C&gt;&lt;D xsi:type="xsd:double"&gt;711689.6&lt;/D&gt;&lt;/FQL&gt;&lt;FQL&gt;&lt;Q&gt;Company0103^FE_ESTIMATE(SALES,MEAN,LTM4_ROLL,,45868,,,'')&lt;/Q&gt;&lt;R&gt;1&lt;/R&gt;&lt;C&gt;1&lt;/C&gt;&lt;D xsi:type="xsd:double"&gt;650313&lt;/D&gt;&lt;/FQL&gt;&lt;FQL&gt;&lt;Q&gt;Company0103^FF_ENTRPR_VAL_DAILY(45868,,,,,"DIL")&lt;/Q&gt;&lt;R&gt;1&lt;/R&gt;&lt;C&gt;1&lt;/C&gt;&lt;D xsi:type="xsd:double"&gt;2536691.67&lt;/D&gt;&lt;/FQL&gt;&lt;FQL&gt;&lt;Q&gt;Company0103^FREF_MARKET_VALUE_COMPANY(45868,,,,,0,,"LEGACY")&lt;/Q&gt;&lt;R&gt;1&lt;/R&gt;&lt;C&gt;1&lt;/C&gt;&lt;D xsi:type="xsd:double"&gt;2443778.25&lt;/D&gt;&lt;/FQL&gt;&lt;FQL&gt;&lt;Q&gt;Ticker0013^FE_ESTIMATE(SALES,MEAN,CAL4_ROLL,2026,45868,,,'')&lt;/Q&gt;&lt;R&gt;1&lt;/R&gt;&lt;C&gt;1&lt;/C&gt;&lt;D xsi:type="xsd:double"&gt;439411.47&lt;/D&gt;&lt;/FQL&gt;&lt;FQL&gt;&lt;Q&gt;Ticker0013^FE_ESTIMATE(SALES,MEAN,CAL4_ROLL,2025,45868,,,'')&lt;/Q&gt;&lt;R&gt;1&lt;/R&gt;&lt;C&gt;1&lt;/C&gt;&lt;D xsi:type="xsd:double"&gt;394656.34&lt;/D&gt;&lt;/FQL&gt;&lt;FQL&gt;&lt;Q&gt;Ticker0013^FE_ESTIMATE(SALES,MEAN,CAL4_ROLL,2024,45868,,,'')&lt;/Q&gt;&lt;R&gt;1&lt;/R&gt;&lt;C&gt;1&lt;/C&gt;&lt;D xsi:type="xsd:double"&gt;350018&lt;/D&gt;&lt;/FQL&gt;&lt;FQL&gt;&lt;Q&gt;Ticker0013^FE_ESTIMATE(SALES,MEAN,CAL4,2023,45868,,,'')&lt;/Q&gt;&lt;R&gt;1&lt;/R&gt;&lt;C&gt;1&lt;/C&gt;&lt;D xsi:type="xsd:double"&gt;307394&lt;/D&gt;&lt;/FQL&gt;&lt;FQL&gt;&lt;Q&gt;Ticker0013^FE_ESTIMATE(SALES,MEAN,NTM4_ROLL,,45868,,,'')&lt;/Q&gt;&lt;R&gt;1&lt;/R&gt;&lt;C&gt;1&lt;/C&gt;&lt;D xsi:type="xsd:double"&gt;416166.78&lt;/D&gt;&lt;/FQL&gt;&lt;FQL&gt;&lt;Q&gt;Ticker0013^FE_ESTIMATE(SALES,MEAN,LTM4_ROLL,,45868,,,'')&lt;/Q&gt;&lt;R&gt;1&lt;/R&gt;&lt;C&gt;1&lt;/C&gt;&lt;D xsi:type="xsd:double"&gt;371399&lt;/D&gt;&lt;/FQL&gt;&lt;FQL&gt;&lt;Q&gt;Ticker0013^FF_ENTRPR_VAL_DAILY(45868,,,,,"DIL")&lt;/Q&gt;&lt;R&gt;1&lt;/R&gt;&lt;C&gt;1&lt;/C&gt;&lt;D xsi:type="xsd:double"&gt;2343792.94&lt;/D&gt;&lt;/FQL&gt;&lt;FQL&gt;&lt;Q&gt;Ticker0013^FREF_MARKET_VALUE_COMPANY(45868,,,,,0,,"LEGACY")&lt;/Q&gt;&lt;R&gt;1&lt;/R&gt;&lt;C&gt;1&lt;/C&gt;&lt;D xsi:type="xsd:double"&gt;2215314.25&lt;/D&gt;&lt;/FQL&gt;&lt;FQL&gt;&lt;Q&gt;Company1341^FG_COMPANY_NAME&lt;/Q&gt;&lt;R&gt;1&lt;/R&gt;&lt;C&gt;1&lt;/C&gt;&lt;D xsi:type="xsd:string"&gt;Company1386 Inc.&lt;/D&gt;&lt;/FQL&gt;&lt;FQL&gt;&lt;Q&gt;Company2320^FG_COMPANY_NAME&lt;/Q&gt;&lt;R&gt;1&lt;/R&gt;&lt;C&gt;1&lt;/C&gt;&lt;D xsi:type="xsd:string"&gt;Company2320 SE Sponsored ADR&lt;/D&gt;&lt;/FQL&gt;&lt;FQL&gt;&lt;Q&gt;Ticker0013^FG_COMPANY_NAME&lt;/Q&gt;&lt;R&gt;1&lt;/R&gt;&lt;C&gt;1&lt;/C&gt;&lt;D xsi:type="xsd:string"&gt;Company0215 Inc. Class C&lt;/D&gt;&lt;/FQL&gt;&lt;FQL&gt;&lt;Q&gt;CRM^FG_COMPANY_NAME&lt;/Q&gt;&lt;R&gt;1&lt;/R&gt;&lt;C&gt;1&lt;/C&gt;&lt;D xsi:type="xsd:string"&gt;Company2526, Inc.&lt;/D&gt;&lt;/FQL&gt;&lt;FQL&gt;&lt;Q&gt;Company0103^FG_COMPANY_NAME&lt;/Q&gt;&lt;R&gt;1&lt;/R&gt;&lt;C&gt;1&lt;/C&gt;&lt;D xsi:type="xsd:string"&gt;Company0222, Inc.&lt;/D&gt;&lt;/FQL&gt;&lt;FQL&gt;&lt;Q&gt;IBM^FG_COMPANY_NAME&lt;/Q&gt;&lt;R&gt;1&lt;/R&gt;&lt;C&gt;1&lt;/C&gt;&lt;D xsi:type="xsd:string"&gt;International Business Machines Company0697&lt;/D&gt;&lt;/FQL&gt;&lt;FQL&gt;&lt;Q&gt;Company0023^FG_COMPANY_NAME&lt;/Q&gt;&lt;R&gt;1&lt;/R&gt;&lt;C&gt;1&lt;/C&gt;&lt;D xsi:type="xsd:string"&gt;Company0196 Inc.&lt;/D&gt;&lt;/FQL&gt;&lt;FQL&gt;&lt;Q&gt;Company1985^FG_COMPANY_NAME&lt;/Q&gt;&lt;R&gt;1&lt;/R&gt;&lt;C&gt;1&lt;/C&gt;&lt;D xsi:type="xsd:string"&gt;Company2018 Company0697&lt;/D&gt;&lt;/FQL&gt;&lt;/Schema&gt;</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Person0288, Person1240 M </author>
  </authors>
  <commentList>
    <comment ref="BC60" authorId="0" shapeId="0" xr:uid="{21C7484D-A4C1-4912-9DEF-9BBB3FA661FA}">
      <text>
        <r>
          <rPr>
            <b/>
            <sz val="9"/>
            <color indexed="81"/>
            <rFont val="Tahoma"/>
            <family val="2"/>
          </rPr>
          <t>Author:</t>
        </r>
        <r>
          <rPr>
            <sz val="9"/>
            <color indexed="81"/>
            <rFont val="Tahoma"/>
            <family val="2"/>
          </rPr>
          <t xml:space="preserve">
Restated</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Person0288, Person1240 M </author>
  </authors>
  <commentList>
    <comment ref="B113" authorId="0" shapeId="0" xr:uid="{EE421B98-7378-4CBA-86DF-386537C50D8A}">
      <text>
        <r>
          <rPr>
            <b/>
            <sz val="9"/>
            <color indexed="81"/>
            <rFont val="Tahoma"/>
            <family val="2"/>
          </rPr>
          <t>Author:</t>
        </r>
        <r>
          <rPr>
            <sz val="9"/>
            <color indexed="81"/>
            <rFont val="Tahoma"/>
            <family val="2"/>
          </rPr>
          <t xml:space="preserve">
CF, right?</t>
        </r>
      </text>
    </comment>
  </commentList>
</comments>
</file>

<file path=xl/sharedStrings.xml><?xml version="1.0" encoding="utf-8"?>
<sst xmlns="http://schemas.openxmlformats.org/spreadsheetml/2006/main" count="6558" uniqueCount="2453">
  <si>
    <t xml:space="preserve">Ticker: </t>
  </si>
  <si>
    <t>Date:</t>
  </si>
  <si>
    <t>Person0591</t>
  </si>
  <si>
    <t>(415) 249-7318</t>
  </si>
  <si>
    <t>person@example.com</t>
  </si>
  <si>
    <t>Person0749 Person0744</t>
  </si>
  <si>
    <t>(212) 902-0695</t>
  </si>
  <si>
    <t>person@example.com</t>
  </si>
  <si>
    <t>Microsoft Analyst Model</t>
  </si>
  <si>
    <t>Ticker0024</t>
  </si>
  <si>
    <t>Person0462</t>
  </si>
  <si>
    <t>(212) 357-6378</t>
  </si>
  <si>
    <t>Most recent quarter</t>
  </si>
  <si>
    <t>x</t>
  </si>
  <si>
    <t>Most recent fiscal year</t>
  </si>
  <si>
    <t>Most recent calendar year</t>
  </si>
  <si>
    <t>Quarter</t>
  </si>
  <si>
    <t>1Q</t>
  </si>
  <si>
    <t>2Q</t>
  </si>
  <si>
    <t>3Q</t>
  </si>
  <si>
    <t>4Q</t>
  </si>
  <si>
    <t>FY</t>
  </si>
  <si>
    <t>Number of days in period</t>
  </si>
  <si>
    <t>Number of days in year</t>
  </si>
  <si>
    <t>Date of earnings report</t>
  </si>
  <si>
    <t>Date prior to earnings report</t>
  </si>
  <si>
    <t>Numerical Year</t>
  </si>
  <si>
    <t>($ millions, except per share amounts)</t>
  </si>
  <si>
    <t>Consensus As Of:</t>
  </si>
  <si>
    <t>Factset date format</t>
  </si>
  <si>
    <t>Income Statement</t>
  </si>
  <si>
    <t>TREV</t>
  </si>
  <si>
    <t>Total Revenue</t>
  </si>
  <si>
    <t>TREVYY</t>
  </si>
  <si>
    <t>% yoy</t>
  </si>
  <si>
    <t>TREVQQ</t>
  </si>
  <si>
    <t>% qoq</t>
  </si>
  <si>
    <t>Cost of Revenue</t>
  </si>
  <si>
    <t>Gross Profit</t>
  </si>
  <si>
    <t>% gross margin</t>
  </si>
  <si>
    <t>Operating Expenses</t>
  </si>
  <si>
    <t>Operating Income</t>
  </si>
  <si>
    <t>% operating margin</t>
  </si>
  <si>
    <t>Cash Flow Statement</t>
  </si>
  <si>
    <t>OCF</t>
  </si>
  <si>
    <t>Cash Flow from Operations</t>
  </si>
  <si>
    <t>FCF</t>
  </si>
  <si>
    <t>Balance Sheet</t>
  </si>
  <si>
    <t>Deferred Revenue (Short-Term)</t>
  </si>
  <si>
    <t xml:space="preserve">    % yoy</t>
  </si>
  <si>
    <t xml:space="preserve">    % qoq</t>
  </si>
  <si>
    <t>Deferred Revenue (Long-Term)</t>
  </si>
  <si>
    <t>TDEFREV</t>
  </si>
  <si>
    <t>Deferred Revenue (Total)</t>
  </si>
  <si>
    <t>TDEFREVYY</t>
  </si>
  <si>
    <t>TDEFREVQQ</t>
  </si>
  <si>
    <t>Miscellaneous</t>
  </si>
  <si>
    <t>Deferred Revenue Δ (Short Term, Balance Sheet)</t>
  </si>
  <si>
    <t>Deferred Revenue Δ (Implied)</t>
  </si>
  <si>
    <t>Deferred Revenue Δ (Balance Sheet)</t>
  </si>
  <si>
    <t>Billings</t>
  </si>
  <si>
    <t>Billings (Implied, Balance Sheet)</t>
  </si>
  <si>
    <t>Billings (Short Term, Balance Sheet)</t>
  </si>
  <si>
    <t>Microsoft, Inc.</t>
  </si>
  <si>
    <t>Fiscal Year Ends Jun. 30</t>
  </si>
  <si>
    <t>Productivity &amp; Business Practices (PBP)</t>
  </si>
  <si>
    <t>% total revenue</t>
  </si>
  <si>
    <t>Intelligent Cloud (IC)</t>
  </si>
  <si>
    <t>More Personal Computing (Company1738)</t>
  </si>
  <si>
    <t>This sheet contains FactSet XML data for use with this workbook's =FDS codes.  Modifying the worksheet's contents may damage the workbook's =FDS functionality.</t>
  </si>
  <si>
    <t>Current Assets</t>
  </si>
  <si>
    <t>Cash &amp; Cash Equivalents</t>
  </si>
  <si>
    <t>Short-Term Investments</t>
  </si>
  <si>
    <t>Accounts Receivable, Net</t>
  </si>
  <si>
    <t>Other Current Assets</t>
  </si>
  <si>
    <t>Total Current Assets</t>
  </si>
  <si>
    <t>Property &amp; Equipment, Net</t>
  </si>
  <si>
    <t>Goodwill</t>
  </si>
  <si>
    <t>Intangible Assets, Net</t>
  </si>
  <si>
    <t>Total Assets</t>
  </si>
  <si>
    <t>Current Liabilities</t>
  </si>
  <si>
    <t>Accounts Payable</t>
  </si>
  <si>
    <t>Other Current Liabilities</t>
  </si>
  <si>
    <t>Total Current Liabilities</t>
  </si>
  <si>
    <t>Other Long-Term Liabilities</t>
  </si>
  <si>
    <t>Stockholders' Equity</t>
  </si>
  <si>
    <t>Total Stockholders' Equity</t>
  </si>
  <si>
    <t>Total Liabilities &amp; Stockholders' Equity</t>
  </si>
  <si>
    <t>Check</t>
  </si>
  <si>
    <t>Inventories</t>
  </si>
  <si>
    <t>Operating Lease Right-of-Use Assets</t>
  </si>
  <si>
    <t>Equity Investments</t>
  </si>
  <si>
    <t>Other Long-Term Assets</t>
  </si>
  <si>
    <t>Short-Term Debt</t>
  </si>
  <si>
    <t>Current Portion of Long-Term Debt</t>
  </si>
  <si>
    <t>Accrued Compensation</t>
  </si>
  <si>
    <t>Short-Term Income Taxes</t>
  </si>
  <si>
    <t>Short-Term Unearned Revenue</t>
  </si>
  <si>
    <t>Long-Term Debt</t>
  </si>
  <si>
    <t>Long-Term Income Taxes</t>
  </si>
  <si>
    <t>Long-Term Unearned Revenue</t>
  </si>
  <si>
    <t>Deferred Income Taxes</t>
  </si>
  <si>
    <t>Operating Lease Liabilities</t>
  </si>
  <si>
    <t>Common Stock &amp; Paid-In Capital</t>
  </si>
  <si>
    <t>Retained Earnings</t>
  </si>
  <si>
    <t>Accumulted Other Comprehensive Loss</t>
  </si>
  <si>
    <t>Securities Lending Payable</t>
  </si>
  <si>
    <t>Operating Activities</t>
  </si>
  <si>
    <t>Net Income</t>
  </si>
  <si>
    <t>Stock-Based Compensation</t>
  </si>
  <si>
    <t>Changes in Assets &amp; Liabilities</t>
  </si>
  <si>
    <t>Accounts Receivable</t>
  </si>
  <si>
    <t>Investing Activities</t>
  </si>
  <si>
    <t>Cash Flow from Investments</t>
  </si>
  <si>
    <t>Financing Activities</t>
  </si>
  <si>
    <t>Cash Flow from Financing</t>
  </si>
  <si>
    <t>Effect of Exchange Rate on Cash, Cash Equivalents, and Restricted Cash</t>
  </si>
  <si>
    <t>Net Change in Cash</t>
  </si>
  <si>
    <t>Cash &amp; Cash Equivalents - Beginning of Period</t>
  </si>
  <si>
    <t>Cash &amp; Cash Equivalents - End of Period</t>
  </si>
  <si>
    <t>Cash Flow From Operations</t>
  </si>
  <si>
    <t>Depreciation, Amortization, &amp; Other</t>
  </si>
  <si>
    <t>Net Recognized (Gains) Losses on Investments &amp; Derivatives</t>
  </si>
  <si>
    <t>Unearned Revenue</t>
  </si>
  <si>
    <t>Income Taxes</t>
  </si>
  <si>
    <t>Additions to Property &amp; Equipment</t>
  </si>
  <si>
    <t>Purchases of Investments</t>
  </si>
  <si>
    <t>Maturities of Investments</t>
  </si>
  <si>
    <t>Sales of Investments</t>
  </si>
  <si>
    <t>Other, Net</t>
  </si>
  <si>
    <t>Repayments of Debt</t>
  </si>
  <si>
    <t>Common Stock Repurchased</t>
  </si>
  <si>
    <t>Common Stock Cash Dividends Paid</t>
  </si>
  <si>
    <t>Proceeds from Issuance of Debt, Maturities of 90 Days or Less, Net</t>
  </si>
  <si>
    <t xml:space="preserve">Proceeds from Issuance of Debt  </t>
  </si>
  <si>
    <t>Common Stock Issued</t>
  </si>
  <si>
    <t>Acquisitions of Companies, Net of Cash Acquired, &amp; Purchase of Intangible &amp; Other Assets</t>
  </si>
  <si>
    <t>Cash Premium on Debt Exchange</t>
  </si>
  <si>
    <t>Repayments of Short-Term Debt, Maturities of 90 Days or Less, Net</t>
  </si>
  <si>
    <t>Proceeds from Issuance (Repayments) of Short-Term Debt, Maturities of 90 Days or Less, Net</t>
  </si>
  <si>
    <t>Deferral of Unearned Revenue</t>
  </si>
  <si>
    <t>Recognition of Unearned Revenue</t>
  </si>
  <si>
    <t>Goodwill and Long-Lived Asset Impairment</t>
  </si>
  <si>
    <t>Excess Tax Benefits from Stock-Based Compensation</t>
  </si>
  <si>
    <t>Total Cost of Revenue</t>
  </si>
  <si>
    <t>Research &amp; Development</t>
  </si>
  <si>
    <t>Sales &amp; Marketing</t>
  </si>
  <si>
    <t>General &amp; Administrative</t>
  </si>
  <si>
    <t>Total Operating Expenses</t>
  </si>
  <si>
    <t>GAAP Operating Income</t>
  </si>
  <si>
    <t>GAAP Income Before Taxes</t>
  </si>
  <si>
    <t>GAAP Net Income</t>
  </si>
  <si>
    <t>Other Comprehensive Income (Loss)</t>
  </si>
  <si>
    <t>GAAP EPS (Basic)</t>
  </si>
  <si>
    <t>GAAP EPS (Diluted)</t>
  </si>
  <si>
    <t>Weighted Average Basic Shares Outstanding</t>
  </si>
  <si>
    <t>Weighted Average Diluted Shares Outstanding</t>
  </si>
  <si>
    <t>Product Revenue</t>
  </si>
  <si>
    <t>Service and Other Revenue</t>
  </si>
  <si>
    <t>Product Cost of Revenue</t>
  </si>
  <si>
    <t>Service and Other Cost of Revenue</t>
  </si>
  <si>
    <t>Net Change Related to Derivatives</t>
  </si>
  <si>
    <t>Net Change Related to Investments</t>
  </si>
  <si>
    <t>Translation Adjustments and Other</t>
  </si>
  <si>
    <t>Other Income (Expense), Net</t>
  </si>
  <si>
    <t>Other Comprehensive Income (Loss), Net of Tax</t>
  </si>
  <si>
    <t>Impairment &amp; Restructuring</t>
  </si>
  <si>
    <t>Key Metrics</t>
  </si>
  <si>
    <t>Total Cash &amp; Cash Equivalents</t>
  </si>
  <si>
    <t>Total Debt</t>
  </si>
  <si>
    <t>Net Debt</t>
  </si>
  <si>
    <t>DSOs</t>
  </si>
  <si>
    <t>Days in Period</t>
  </si>
  <si>
    <t>$ Change</t>
  </si>
  <si>
    <t>DPOs</t>
  </si>
  <si>
    <t>% Margin</t>
  </si>
  <si>
    <t>Property and Equipment, Net</t>
  </si>
  <si>
    <t>Accumulated Amortization &amp; Depreciation</t>
  </si>
  <si>
    <t>Depreciation &amp; Amortization</t>
  </si>
  <si>
    <t>Amortization</t>
  </si>
  <si>
    <t>Implied Depreciation</t>
  </si>
  <si>
    <t>P&amp;E, Net</t>
  </si>
  <si>
    <t>Depreciation - % of Fixed Assets</t>
  </si>
  <si>
    <t>Depreciation - % of Revenue</t>
  </si>
  <si>
    <t>Total Liabilities</t>
  </si>
  <si>
    <t>Accumulated Amortization</t>
  </si>
  <si>
    <t>Accumulated Depreciation</t>
  </si>
  <si>
    <t>IC Revenue</t>
  </si>
  <si>
    <t>IC Operating Income</t>
  </si>
  <si>
    <t>Effective Tax Rate</t>
  </si>
  <si>
    <t>Company1738 Revenue</t>
  </si>
  <si>
    <t>Company1738 Operating Income</t>
  </si>
  <si>
    <t>Corportate and Other Revenue</t>
  </si>
  <si>
    <t>Corportate and Other Operating Income</t>
  </si>
  <si>
    <t>IC Unearned Revenue</t>
  </si>
  <si>
    <t>Company1738 Unearned Revenue</t>
  </si>
  <si>
    <t>% Total Unearned Revenue</t>
  </si>
  <si>
    <t>% yoy CC</t>
  </si>
  <si>
    <t>Dynamics</t>
  </si>
  <si>
    <t>Product0219</t>
  </si>
  <si>
    <t>Dynamics 365</t>
  </si>
  <si>
    <t>Total Office</t>
  </si>
  <si>
    <t>Other</t>
  </si>
  <si>
    <t>Total Product0219</t>
  </si>
  <si>
    <t>Server Products and Cloud Services</t>
  </si>
  <si>
    <t>Product0058</t>
  </si>
  <si>
    <t>Server Products</t>
  </si>
  <si>
    <t>% of IC Revenue</t>
  </si>
  <si>
    <t>Windows</t>
  </si>
  <si>
    <t>Gaming</t>
  </si>
  <si>
    <t>Search and Advertising</t>
  </si>
  <si>
    <t>Total Windows</t>
  </si>
  <si>
    <t>% Windows Revenue</t>
  </si>
  <si>
    <t>% of Company1738 Revenue</t>
  </si>
  <si>
    <t>Total Gaming</t>
  </si>
  <si>
    <t>Enterprise Services and Other</t>
  </si>
  <si>
    <t>Windows OEM</t>
  </si>
  <si>
    <t>PBP Revenue</t>
  </si>
  <si>
    <t>PBP Operating Income</t>
  </si>
  <si>
    <t>PBP Unearned Revenue</t>
  </si>
  <si>
    <t>Members</t>
  </si>
  <si>
    <t>Commercial Office 365</t>
  </si>
  <si>
    <t>% of Base</t>
  </si>
  <si>
    <t>Total Dynamics (Dynamics Products and Cloud Services)</t>
  </si>
  <si>
    <t>Talent Solutions</t>
  </si>
  <si>
    <t>Marketing Solutions</t>
  </si>
  <si>
    <t>.</t>
  </si>
  <si>
    <t>Sales Solutions</t>
  </si>
  <si>
    <t>Product0058 and Other Cloud Services</t>
  </si>
  <si>
    <t>IC Operating Expense</t>
  </si>
  <si>
    <t>Windows Commerical Products and Cloud Services</t>
  </si>
  <si>
    <t>Acquisitions</t>
  </si>
  <si>
    <t>Organic Gaming</t>
  </si>
  <si>
    <t>Search and News Advertizing (ex. TAC)</t>
  </si>
  <si>
    <t>Company1738 Operating Expense</t>
  </si>
  <si>
    <t>PBP Operating Expenses</t>
  </si>
  <si>
    <t>Subscribers (mm)</t>
  </si>
  <si>
    <t>Enterprise Mobility Seats (mm)</t>
  </si>
  <si>
    <t>Sessions</t>
  </si>
  <si>
    <t>ARPU</t>
  </si>
  <si>
    <t>Office Commercial Products (BA + BT)</t>
  </si>
  <si>
    <t>Office Commercial Products and Cloud Services</t>
  </si>
  <si>
    <t>Enterprise and Partner Services</t>
  </si>
  <si>
    <t>Net New Revenue (yoy)</t>
  </si>
  <si>
    <t>Net New Revenue (qoq)</t>
  </si>
  <si>
    <t>Net Adds (qoq, mm)</t>
  </si>
  <si>
    <t>Net Adds (yoy, mm)</t>
  </si>
  <si>
    <t>% of Server Products and Cloud Services</t>
  </si>
  <si>
    <t>Devices (Product0391, Product0184, and PC Accessories)</t>
  </si>
  <si>
    <t>% of Total Gaming</t>
  </si>
  <si>
    <t>Microsoft Cloud Revenue</t>
  </si>
  <si>
    <t>Commercial Bookings</t>
  </si>
  <si>
    <t>Commerical Revenue Annuity Mix</t>
  </si>
  <si>
    <t>% of Microsoft Cloud</t>
  </si>
  <si>
    <t>% of Total Office</t>
  </si>
  <si>
    <t>Net New Operating Expense (yoy)</t>
  </si>
  <si>
    <t>Net New Operating Income (yoy)</t>
  </si>
  <si>
    <t>% of Total Revenue</t>
  </si>
  <si>
    <t>% of Microsoft Cloud Revenue</t>
  </si>
  <si>
    <t>Gross Margin</t>
  </si>
  <si>
    <t>Other Windows (Includes Patent Licensing and Windows IoT)</t>
  </si>
  <si>
    <t>MAU (mm)</t>
  </si>
  <si>
    <t>% of Office Commercial</t>
  </si>
  <si>
    <t>Operating Margin</t>
  </si>
  <si>
    <t>IC Gross Profit</t>
  </si>
  <si>
    <t>Net New Gross Profit (yoy)</t>
  </si>
  <si>
    <t>Company1738 Gross Profit</t>
  </si>
  <si>
    <t>Costs of Goods Sold</t>
  </si>
  <si>
    <t xml:space="preserve">Total Revenue </t>
  </si>
  <si>
    <t>Deferred Revenue</t>
  </si>
  <si>
    <t>Short-Term Deferred Revenue</t>
  </si>
  <si>
    <t>Long-Term Deferred Revenue</t>
  </si>
  <si>
    <t>Total Deferred Revenue</t>
  </si>
  <si>
    <t>Total Billings (via Cash Flow Statement)</t>
  </si>
  <si>
    <t>Total Billings (via Balance Sheet)</t>
  </si>
  <si>
    <t>Change in Short-Term Deferred Revenue</t>
  </si>
  <si>
    <t>Short-Term Billings</t>
  </si>
  <si>
    <t>Change in Long-Term Deferred Revenue</t>
  </si>
  <si>
    <t>Long-Term Billings</t>
  </si>
  <si>
    <t>% of Total Deferred Revenue</t>
  </si>
  <si>
    <t>Change in Deferred Revenue (C/F)</t>
  </si>
  <si>
    <t>Income Tax a a % of Revenue</t>
  </si>
  <si>
    <t>Other Current Liabilities as a % of Revenue</t>
  </si>
  <si>
    <t>Other Long-Term Liabilties as a % of Revenue</t>
  </si>
  <si>
    <t>Other Current Assets as a % of Revenue</t>
  </si>
  <si>
    <t>Other Long-Term Assets as a % of Revenue</t>
  </si>
  <si>
    <t>Expansion/(Contraction) (bps)</t>
  </si>
  <si>
    <t>% of GAAP Net Margin</t>
  </si>
  <si>
    <t>% of Product Revenue</t>
  </si>
  <si>
    <t>% of Service Revenue</t>
  </si>
  <si>
    <t>Comprehensive Income</t>
  </si>
  <si>
    <t>(Provision for) / Benefit from Income Taxes</t>
  </si>
  <si>
    <t>Beginning Balance - Basic (Actual)</t>
  </si>
  <si>
    <t>Shares Issued for Options</t>
  </si>
  <si>
    <t>Share Repurchased</t>
  </si>
  <si>
    <t>Ending Balance - Basic (Actual)</t>
  </si>
  <si>
    <t>Effect of Dilutive Securities</t>
  </si>
  <si>
    <t>Weighted Average Shares Outstanding - Diluted</t>
  </si>
  <si>
    <t xml:space="preserve">Buyback Authorization Remaining </t>
  </si>
  <si>
    <t>Implied Avg. Stock Price</t>
  </si>
  <si>
    <t>% Increase (qoq)</t>
  </si>
  <si>
    <t>Dividend per Share</t>
  </si>
  <si>
    <t>Dividend Yield</t>
  </si>
  <si>
    <t>Days Change (yoy)</t>
  </si>
  <si>
    <t>Days Change (% yoy)</t>
  </si>
  <si>
    <t>% of Total Income Tax</t>
  </si>
  <si>
    <t>Short-Term Income Tax as a % of Revenue</t>
  </si>
  <si>
    <t>Long-Term Income Tax as a % of Revenue</t>
  </si>
  <si>
    <t>% of Revenue</t>
  </si>
  <si>
    <t>Net New Short-Term Deferred Revenue (yoy)</t>
  </si>
  <si>
    <t>Net New Short-Term Deferred Revenue (qoq)</t>
  </si>
  <si>
    <t>Net New Long-Term Deferred Revenue (yoy)</t>
  </si>
  <si>
    <t>Net New Long-Term Deferred Revenue (qoq)</t>
  </si>
  <si>
    <t>Net New Deferred Revenue (yoy)</t>
  </si>
  <si>
    <t>Net New Deferred Revenue (qoq)</t>
  </si>
  <si>
    <t>Drivers</t>
  </si>
  <si>
    <t xml:space="preserve"> </t>
  </si>
  <si>
    <t>Actual</t>
  </si>
  <si>
    <t>FCFM</t>
  </si>
  <si>
    <t>EPS</t>
  </si>
  <si>
    <t>PBPREV</t>
  </si>
  <si>
    <t>PBPREVYY</t>
  </si>
  <si>
    <t>PBPREVCC</t>
  </si>
  <si>
    <t>ICREV</t>
  </si>
  <si>
    <t>ICREVYY</t>
  </si>
  <si>
    <t>ICREVCC</t>
  </si>
  <si>
    <t>ICREVQQ</t>
  </si>
  <si>
    <t>MPCREV</t>
  </si>
  <si>
    <t>MPCREVYY</t>
  </si>
  <si>
    <t>MPCREVQQ</t>
  </si>
  <si>
    <t>MPCREVCC</t>
  </si>
  <si>
    <t>TREVCC</t>
  </si>
  <si>
    <t>MCLOUDREV</t>
  </si>
  <si>
    <t>MCLOUDREVYY</t>
  </si>
  <si>
    <t>MCLOUDGM</t>
  </si>
  <si>
    <t>MCLOUDREVQQ</t>
  </si>
  <si>
    <t>Product0017</t>
  </si>
  <si>
    <t>Product0018</t>
  </si>
  <si>
    <t>BILLCF</t>
  </si>
  <si>
    <t>BILLCFYY</t>
  </si>
  <si>
    <t>BILLCFQQ</t>
  </si>
  <si>
    <t>OCFYY</t>
  </si>
  <si>
    <t>FCFYY</t>
  </si>
  <si>
    <t>PBPREVQQ</t>
  </si>
  <si>
    <t>GP</t>
  </si>
  <si>
    <t>GPYY</t>
  </si>
  <si>
    <t>GPQQ</t>
  </si>
  <si>
    <t>OI</t>
  </si>
  <si>
    <t>OIQQ</t>
  </si>
  <si>
    <t>OIYY</t>
  </si>
  <si>
    <t>GPM</t>
  </si>
  <si>
    <t>OPM</t>
  </si>
  <si>
    <t>EPSYY</t>
  </si>
  <si>
    <t>OCFM</t>
  </si>
  <si>
    <t>% OCF Margin</t>
  </si>
  <si>
    <t>% FCF Margin</t>
  </si>
  <si>
    <t>MCLOUDREVCC</t>
  </si>
  <si>
    <t>EPSQQ</t>
  </si>
  <si>
    <t>OCFQQ</t>
  </si>
  <si>
    <t>FCFQQ</t>
  </si>
  <si>
    <t>O365YY</t>
  </si>
  <si>
    <t>O365CC</t>
  </si>
  <si>
    <t>CAPEX</t>
  </si>
  <si>
    <t>CAPEXYY</t>
  </si>
  <si>
    <t>CAPEXQQ</t>
  </si>
  <si>
    <t>OPEX</t>
  </si>
  <si>
    <t>OPEXQQ</t>
  </si>
  <si>
    <t>OPEXYY</t>
  </si>
  <si>
    <t>SALES</t>
  </si>
  <si>
    <t>EPS_PUB</t>
  </si>
  <si>
    <t>NETDEBT</t>
  </si>
  <si>
    <t>WADSO</t>
  </si>
  <si>
    <t>TCASH</t>
  </si>
  <si>
    <t>TDEBT</t>
  </si>
  <si>
    <t>Beta</t>
  </si>
  <si>
    <t>TAXES</t>
  </si>
  <si>
    <t>OTHI</t>
  </si>
  <si>
    <t>Low</t>
  </si>
  <si>
    <t>High</t>
  </si>
  <si>
    <t>USD</t>
  </si>
  <si>
    <t>% Total Revenue</t>
  </si>
  <si>
    <t>COGS</t>
  </si>
  <si>
    <t>COGSYY</t>
  </si>
  <si>
    <t>COGSQQ</t>
  </si>
  <si>
    <t>EPSB</t>
  </si>
  <si>
    <t>EPSBYY</t>
  </si>
  <si>
    <t>WADSOB</t>
  </si>
  <si>
    <t>Windows Pro</t>
  </si>
  <si>
    <t>% of Windows OEM</t>
  </si>
  <si>
    <t>Windows non-Pro</t>
  </si>
  <si>
    <t>Rate of Acceleration/Deceleration (qoq)</t>
  </si>
  <si>
    <t>Rate of Acceleration/Deceleration CC (qoq)</t>
  </si>
  <si>
    <t>AI Contribution to yoy Growth (%)</t>
  </si>
  <si>
    <t>% of Total Dynamics</t>
  </si>
  <si>
    <t>% of Total Consumer</t>
  </si>
  <si>
    <t>% of Commercial Office</t>
  </si>
  <si>
    <t>Company2173 Microsoft Cloud</t>
  </si>
  <si>
    <t>% of Total Product0219</t>
  </si>
  <si>
    <t>% of Total Microsoft Cloud</t>
  </si>
  <si>
    <t>Product0464 Content and Services</t>
  </si>
  <si>
    <t>Product0464 Hardware</t>
  </si>
  <si>
    <t>Average</t>
  </si>
  <si>
    <t>Beat/Miss (%)</t>
  </si>
  <si>
    <t>Beat/Miss ($)</t>
  </si>
  <si>
    <t>Other Income and Expense</t>
  </si>
  <si>
    <t>Beat/Miss (bps)</t>
  </si>
  <si>
    <t>Actual Revenue</t>
  </si>
  <si>
    <t>Actual FX</t>
  </si>
  <si>
    <t>PBP Revenue Guide</t>
  </si>
  <si>
    <t>FX Tailwind/(Headwind) Guide</t>
  </si>
  <si>
    <t>Search and News Advertizing</t>
  </si>
  <si>
    <t>% RPO recognized over the next 12 months</t>
  </si>
  <si>
    <t>Commercial Current Remaining Performance Obligations (cRPO)</t>
  </si>
  <si>
    <t>Commercial Remaining Performance Obligations (RPO)</t>
  </si>
  <si>
    <t>Microsoft Cloud Gross Profit</t>
  </si>
  <si>
    <t>Employee Severance</t>
  </si>
  <si>
    <t>Other Expenses</t>
  </si>
  <si>
    <t>Cumulative Effect of Accounting Change, Net of Tax</t>
  </si>
  <si>
    <t>SFAS 123 Adoption - Restated</t>
  </si>
  <si>
    <t>ASC 606 - Restated</t>
  </si>
  <si>
    <t>Company0935 Merchant Revenue Accounting Change - Restated</t>
  </si>
  <si>
    <t>ASC 606 - Restated, Excludes Product0219</t>
  </si>
  <si>
    <t>E5 Revenue</t>
  </si>
  <si>
    <t>Total Unearned Revenue</t>
  </si>
  <si>
    <t>Product0058 Revenue</t>
  </si>
  <si>
    <t>Inputs</t>
  </si>
  <si>
    <t>Total RPO</t>
  </si>
  <si>
    <t>Commercial cRPO</t>
  </si>
  <si>
    <t>Commerical Total RPO</t>
  </si>
  <si>
    <t>NTM Revenue</t>
  </si>
  <si>
    <t>RPO</t>
  </si>
  <si>
    <t>PBP NTM Revenue</t>
  </si>
  <si>
    <t>IC NTM Revenue</t>
  </si>
  <si>
    <t>Company1738 NTM Revenue</t>
  </si>
  <si>
    <t>LT Unearned Revenue (B/S)</t>
  </si>
  <si>
    <t>ST Unearned Revenue (B/S)</t>
  </si>
  <si>
    <t>Total Billings</t>
  </si>
  <si>
    <t>% of PBP NTM Revenue</t>
  </si>
  <si>
    <t>% of PBP Total Revenue</t>
  </si>
  <si>
    <t>% of Company1738 NTM Revenue</t>
  </si>
  <si>
    <t>% of Company1738 Total Revenue</t>
  </si>
  <si>
    <t>% of IC NTM Revenue</t>
  </si>
  <si>
    <t>% of IC Total Revenue</t>
  </si>
  <si>
    <t>% of NTM Revenue</t>
  </si>
  <si>
    <t>% Recognized in the NTM</t>
  </si>
  <si>
    <t>Total cRPO</t>
  </si>
  <si>
    <t>Net New RPO (yoy)</t>
  </si>
  <si>
    <t>Net New RPO (qoq)</t>
  </si>
  <si>
    <t>Net New cRPO (yoy)</t>
  </si>
  <si>
    <t>Net New cRPO (qoq)</t>
  </si>
  <si>
    <t>% of Total RPO</t>
  </si>
  <si>
    <t>Commercial RPO</t>
  </si>
  <si>
    <t>Commercial cRPO (estimate)</t>
  </si>
  <si>
    <t>Microsoft Cloud NTM Revenue</t>
  </si>
  <si>
    <t>% of Microsoft Cloud NTM Revenue</t>
  </si>
  <si>
    <t>Capital Expenditures, Including Finance Leases</t>
  </si>
  <si>
    <t>Finance Leases</t>
  </si>
  <si>
    <t>CapEx (Including Finance Leases)</t>
  </si>
  <si>
    <t>CapEx (Property and Equipment)</t>
  </si>
  <si>
    <t>CapEx as % of Product0058 Revenue</t>
  </si>
  <si>
    <t>CapEx as % of Product0058 Revenue (T+1)</t>
  </si>
  <si>
    <t>CapEx (inc. Finance Leases) as % of Product0058 Revenue</t>
  </si>
  <si>
    <t>CapEx (inc. Finance Leases) as % of Product0058 Revenue (T+1)</t>
  </si>
  <si>
    <t>Segments</t>
  </si>
  <si>
    <t>PBPREVGUIDE</t>
  </si>
  <si>
    <t>ICREVGUIDE</t>
  </si>
  <si>
    <t>MPCREVGUIDE</t>
  </si>
  <si>
    <t>TREVGUIDE</t>
  </si>
  <si>
    <t>OPEXREVGUIDE</t>
  </si>
  <si>
    <t>OTHIGUIDE</t>
  </si>
  <si>
    <t>TAXGUIDE</t>
  </si>
  <si>
    <t>Misc.</t>
  </si>
  <si>
    <t>OTI</t>
  </si>
  <si>
    <t>TAX</t>
  </si>
  <si>
    <t>Product0058 Growth (CC)</t>
  </si>
  <si>
    <t>Product0019</t>
  </si>
  <si>
    <t>O365YYGUIDE</t>
  </si>
  <si>
    <t>COGSGUIDE</t>
  </si>
  <si>
    <t>% Seasonality</t>
  </si>
  <si>
    <t>Shares Repurchaes to Settle Employee Tax Witholding</t>
  </si>
  <si>
    <t>Shares Repurchased Under Buyback Authorization</t>
  </si>
  <si>
    <t>Shares Repurcahsed to Settle Employee Tax Witholding</t>
  </si>
  <si>
    <t>Total Share Repurchases (Shares)</t>
  </si>
  <si>
    <t>Total Share Repurchases ($)</t>
  </si>
  <si>
    <t>Net New Cost (yoy)</t>
  </si>
  <si>
    <t>Net New Cost (qoq)</t>
  </si>
  <si>
    <t>Net New Profit (yoy)</t>
  </si>
  <si>
    <t>Net New Profit (qoq)</t>
  </si>
  <si>
    <t>PBP Gross Profit</t>
  </si>
  <si>
    <t>Product0058 Arc Customers (thousands)</t>
  </si>
  <si>
    <t>% of Total Windows</t>
  </si>
  <si>
    <t>Commercial Portion of Product0219 (Estimate)</t>
  </si>
  <si>
    <t>Issuer: Microsoft Corp.</t>
  </si>
  <si>
    <t>2003 Q1</t>
  </si>
  <si>
    <t>2003 Q2</t>
  </si>
  <si>
    <t>2003 Q3</t>
  </si>
  <si>
    <t>2003 Q4</t>
  </si>
  <si>
    <t>2004 Q1</t>
  </si>
  <si>
    <t>2004 Q2</t>
  </si>
  <si>
    <t>2004 Q3</t>
  </si>
  <si>
    <t>2004 Q4</t>
  </si>
  <si>
    <t>2005 Q1</t>
  </si>
  <si>
    <t>2005 Q2</t>
  </si>
  <si>
    <t>2005 Q3</t>
  </si>
  <si>
    <t>2005 Q4</t>
  </si>
  <si>
    <t>2006 Q1</t>
  </si>
  <si>
    <t>2006 Q2</t>
  </si>
  <si>
    <t>2006 Q3</t>
  </si>
  <si>
    <t>2006 Q4</t>
  </si>
  <si>
    <t>2007 Q1</t>
  </si>
  <si>
    <t>2007 Q2</t>
  </si>
  <si>
    <t>2007 Q3</t>
  </si>
  <si>
    <t>2007 Q4</t>
  </si>
  <si>
    <t>2008 Q1</t>
  </si>
  <si>
    <t>2008 Q2</t>
  </si>
  <si>
    <t>2008 Q3</t>
  </si>
  <si>
    <t>2008 Q4</t>
  </si>
  <si>
    <t>2009 Q1</t>
  </si>
  <si>
    <t>2009 Q2</t>
  </si>
  <si>
    <t>2009 Q3</t>
  </si>
  <si>
    <t>2009 Q4</t>
  </si>
  <si>
    <t>2010 Q1</t>
  </si>
  <si>
    <t>2010 Q2</t>
  </si>
  <si>
    <t>2010 Q3</t>
  </si>
  <si>
    <t>2010 Q4</t>
  </si>
  <si>
    <t>2011 Q1</t>
  </si>
  <si>
    <t>2011 Q2</t>
  </si>
  <si>
    <t>2011 Q3</t>
  </si>
  <si>
    <t>2011 Q4</t>
  </si>
  <si>
    <t>2012 Q1</t>
  </si>
  <si>
    <t>2012 Q2</t>
  </si>
  <si>
    <t>2012 Q3</t>
  </si>
  <si>
    <t>2012 Q4</t>
  </si>
  <si>
    <t>2013 Q1</t>
  </si>
  <si>
    <t>2013 Q2</t>
  </si>
  <si>
    <t>2013 Q3</t>
  </si>
  <si>
    <t>2013 Q4</t>
  </si>
  <si>
    <t>2014 Q1</t>
  </si>
  <si>
    <t>2014 Q2</t>
  </si>
  <si>
    <t>2014 Q3</t>
  </si>
  <si>
    <t>2014 Q4</t>
  </si>
  <si>
    <t>2015 Q1</t>
  </si>
  <si>
    <t>2015 Q2</t>
  </si>
  <si>
    <t>2015 Q3</t>
  </si>
  <si>
    <t>2015 Q4</t>
  </si>
  <si>
    <t>2016 Q1</t>
  </si>
  <si>
    <t>2016 Q2</t>
  </si>
  <si>
    <t>2016 Q3</t>
  </si>
  <si>
    <t>2016 Q4</t>
  </si>
  <si>
    <t>2017 Q1</t>
  </si>
  <si>
    <t>2017 Q2</t>
  </si>
  <si>
    <t>2017 Q3</t>
  </si>
  <si>
    <t>2017 Q4</t>
  </si>
  <si>
    <t>2018 Q1</t>
  </si>
  <si>
    <t>2018 Q2</t>
  </si>
  <si>
    <t>2018 Q3</t>
  </si>
  <si>
    <t>2018 Q4</t>
  </si>
  <si>
    <t>2019 Q1</t>
  </si>
  <si>
    <t>2019 Q2</t>
  </si>
  <si>
    <t>2019 Q3</t>
  </si>
  <si>
    <t>2019 Q4</t>
  </si>
  <si>
    <t>2020 Q1</t>
  </si>
  <si>
    <t>2020 Q2</t>
  </si>
  <si>
    <t>2020 Q3</t>
  </si>
  <si>
    <t>2020 Q4</t>
  </si>
  <si>
    <t>2021 Q1</t>
  </si>
  <si>
    <t>2021 Q2</t>
  </si>
  <si>
    <t>2021 Q3</t>
  </si>
  <si>
    <t>2021 Q4</t>
  </si>
  <si>
    <t>2022 Q1</t>
  </si>
  <si>
    <t>2022 Q2</t>
  </si>
  <si>
    <t>2022 Q3</t>
  </si>
  <si>
    <t>2022 Q4</t>
  </si>
  <si>
    <t>2023 Q1</t>
  </si>
  <si>
    <t>2023 Q2</t>
  </si>
  <si>
    <t>2023 Q3</t>
  </si>
  <si>
    <t>2023 Q4</t>
  </si>
  <si>
    <t>2024 Q1</t>
  </si>
  <si>
    <t>2024 Q2</t>
  </si>
  <si>
    <t>2024 Q3</t>
  </si>
  <si>
    <t>2024 Q4</t>
  </si>
  <si>
    <t>2025 Q1</t>
  </si>
  <si>
    <t>2025 Q2</t>
  </si>
  <si>
    <t>2025 Q3</t>
  </si>
  <si>
    <t>2025 Q4</t>
  </si>
  <si>
    <t>2026 Q1</t>
  </si>
  <si>
    <t>2026 Q2</t>
  </si>
  <si>
    <t>2026 Q3</t>
  </si>
  <si>
    <t>2026 Q4</t>
  </si>
  <si>
    <t>Reference Data</t>
  </si>
  <si>
    <t>Issuer Name</t>
  </si>
  <si>
    <t>Microsoft Corp.</t>
  </si>
  <si>
    <t>Reporting Currency</t>
  </si>
  <si>
    <t>CURRENCY_ISO</t>
  </si>
  <si>
    <t>General Information</t>
  </si>
  <si>
    <t>M&amp;A probability (1 = high, 3 = low)</t>
  </si>
  <si>
    <t>MA_PROB</t>
  </si>
  <si>
    <t>Sales, net revenue</t>
  </si>
  <si>
    <t>Cost of goods sold, COGS</t>
  </si>
  <si>
    <t>COST_GD_SD</t>
  </si>
  <si>
    <t>SG&amp;A, selling, general and admin. expense</t>
  </si>
  <si>
    <t>SEL_GL_AD</t>
  </si>
  <si>
    <t>Total operating expense</t>
  </si>
  <si>
    <t>OP_COST</t>
  </si>
  <si>
    <t>R&amp;D expense</t>
  </si>
  <si>
    <t>RD_EXP</t>
  </si>
  <si>
    <t>ESO expense (pre-tax)</t>
  </si>
  <si>
    <t>ESO_PRE_TAX</t>
  </si>
  <si>
    <t>Other operating income/(expense) (incl. leases)</t>
  </si>
  <si>
    <t>OTH_OP_INC_EXP</t>
  </si>
  <si>
    <t>Total operating expense (incl. D&amp;A)</t>
  </si>
  <si>
    <t>TOT_OPS_EXP_DDA</t>
  </si>
  <si>
    <t>Total operating expense (excl. D&amp;A)</t>
  </si>
  <si>
    <t>TOT_OPS_EXP</t>
  </si>
  <si>
    <t>EBITDA</t>
  </si>
  <si>
    <t>EBITDA_CALC</t>
  </si>
  <si>
    <t>Depreciation</t>
  </si>
  <si>
    <t>DEPREC</t>
  </si>
  <si>
    <t>GOODWILL_AMORT</t>
  </si>
  <si>
    <t>EBIT, operating profit</t>
  </si>
  <si>
    <t>EBIT</t>
  </si>
  <si>
    <t>Interest income</t>
  </si>
  <si>
    <t>INT_INC_IND</t>
  </si>
  <si>
    <t>Interest expense</t>
  </si>
  <si>
    <t>INT_EXP_IND</t>
  </si>
  <si>
    <t>Net interest income/(expense)</t>
  </si>
  <si>
    <t>NET_INT_EXP</t>
  </si>
  <si>
    <t>Income/(loss) from unconsolidated subs &amp; associates</t>
  </si>
  <si>
    <t>ASSOCIATE</t>
  </si>
  <si>
    <t>Profit/(loss) on disposals of assets, pre-tax</t>
  </si>
  <si>
    <t>PROFIT_ON_DISP</t>
  </si>
  <si>
    <t>Other non-ops income/(expense)</t>
  </si>
  <si>
    <t>OTH_COST_INC</t>
  </si>
  <si>
    <t>Pre-tax profit</t>
  </si>
  <si>
    <t>PT_PROF</t>
  </si>
  <si>
    <t>Additional Income Statement Items</t>
  </si>
  <si>
    <t>Operating lease cost</t>
  </si>
  <si>
    <t>LEASE_PAY</t>
  </si>
  <si>
    <t>Lease payments (deemed interest portion)</t>
  </si>
  <si>
    <t>LEASE_DEEM_INT</t>
  </si>
  <si>
    <t>Lease payments (deemed depreciation portion)</t>
  </si>
  <si>
    <t>LEASE_DEEM_DEPR</t>
  </si>
  <si>
    <t>Gross interest charge</t>
  </si>
  <si>
    <t>NET_INT_CH</t>
  </si>
  <si>
    <t>Income from associates (operating)</t>
  </si>
  <si>
    <t>ASSOCIATE_OP</t>
  </si>
  <si>
    <t>Depreciation ROU assets   (applicable to IFRS cos.)</t>
  </si>
  <si>
    <t>DEPR_ROU_ASSETS</t>
  </si>
  <si>
    <t>Lease interest charge  (applicable to IFRS cos.)</t>
  </si>
  <si>
    <t>LEASE_INT_CHG</t>
  </si>
  <si>
    <t>Lease standard adopted (US GAAP ASC 842/ IFRS 16)</t>
  </si>
  <si>
    <t>LEASE_ADOPT</t>
  </si>
  <si>
    <t>Stock-based compensation related to cost of goods sold (Americas software)</t>
  </si>
  <si>
    <t>SBC_COST_OF_GOODS_SOLD</t>
  </si>
  <si>
    <t>Stock-based compensation related to sales &amp; marketing (Americas software)</t>
  </si>
  <si>
    <t>SBC_SALES_MARKETING</t>
  </si>
  <si>
    <t>Stock-based compensation related to research &amp; development (Americas software)</t>
  </si>
  <si>
    <t>SBC_RESEARCH_DEVELOPMENT</t>
  </si>
  <si>
    <t>Stock-based compensation related to general &amp; administrative (Americas software)</t>
  </si>
  <si>
    <t>SBC_GEN_ADMINISTRATIVE</t>
  </si>
  <si>
    <t>Total stock-based compensation (Americas software)</t>
  </si>
  <si>
    <t>SBC_TOTAL</t>
  </si>
  <si>
    <t>Non-GAAP cost of goods sold</t>
  </si>
  <si>
    <t>COGS_N_GAAP</t>
  </si>
  <si>
    <t>Non-GAAP gross profit</t>
  </si>
  <si>
    <t>GROSS_PROFIT_N_GAAP</t>
  </si>
  <si>
    <t>Non-GAAP general and administrative expenses</t>
  </si>
  <si>
    <t>GEN_ADMIN_N_GAAP</t>
  </si>
  <si>
    <t>Non-GAAP sales &amp; marketing</t>
  </si>
  <si>
    <t>SALES_MARKETING_N_GAAP</t>
  </si>
  <si>
    <t>Non-GAAP research &amp; development</t>
  </si>
  <si>
    <t>RD_N_GAAP</t>
  </si>
  <si>
    <t>Non-GAAP operating expenses</t>
  </si>
  <si>
    <t>OPS_EXP_N_GAAP</t>
  </si>
  <si>
    <t>Non-GAAP operating income</t>
  </si>
  <si>
    <t>OP_INC_N_GAAP</t>
  </si>
  <si>
    <t>Non-GAAP net income</t>
  </si>
  <si>
    <t>NET_INC_N_GAAP</t>
  </si>
  <si>
    <t>Cash &amp; cash equivalents</t>
  </si>
  <si>
    <t>CASH_EQ</t>
  </si>
  <si>
    <t>Accounts receivable</t>
  </si>
  <si>
    <t>DEBTORS</t>
  </si>
  <si>
    <t>Inventory</t>
  </si>
  <si>
    <t>STOCKS</t>
  </si>
  <si>
    <t>Other current assets</t>
  </si>
  <si>
    <t>OTH_CUR_ASS</t>
  </si>
  <si>
    <t>Total current assets</t>
  </si>
  <si>
    <t>CUR_ASS</t>
  </si>
  <si>
    <t>Gross fixed assets, PP&amp;E</t>
  </si>
  <si>
    <t>GR_FIX_ASS</t>
  </si>
  <si>
    <t>Accumulated depreciation</t>
  </si>
  <si>
    <t>ACC_DDA</t>
  </si>
  <si>
    <t>Net PP&amp;E</t>
  </si>
  <si>
    <t>NET_FIX_ASS</t>
  </si>
  <si>
    <t>Gross intangibles</t>
  </si>
  <si>
    <t>GR_INTANG</t>
  </si>
  <si>
    <t>Accumulated amortization</t>
  </si>
  <si>
    <t>ACC_AMORT</t>
  </si>
  <si>
    <t>Net intangible assets</t>
  </si>
  <si>
    <t>NET_INTANG</t>
  </si>
  <si>
    <t>Equity method investments</t>
  </si>
  <si>
    <t>FIX_ASS_INV</t>
  </si>
  <si>
    <t>Investments in securities</t>
  </si>
  <si>
    <t>INV_SECUR</t>
  </si>
  <si>
    <t>Other long-term assets</t>
  </si>
  <si>
    <t>OTH_LT_ASS</t>
  </si>
  <si>
    <t>Total assets</t>
  </si>
  <si>
    <t>TOT_ASSET</t>
  </si>
  <si>
    <t>Accounts payable</t>
  </si>
  <si>
    <t>ACC_PAY_GQ</t>
  </si>
  <si>
    <t>Short-term debt</t>
  </si>
  <si>
    <t>SHORT_T_DEBT</t>
  </si>
  <si>
    <t>Current lease liabilities (op lease: US GAAP)</t>
  </si>
  <si>
    <t>ST_LEASE_LIAB</t>
  </si>
  <si>
    <t>Other current liabilities</t>
  </si>
  <si>
    <t>OTH_CUR_LIABS</t>
  </si>
  <si>
    <t>Total current liabilities</t>
  </si>
  <si>
    <t>SHORT_TERM_LIABS</t>
  </si>
  <si>
    <t>Deferred revenue</t>
  </si>
  <si>
    <t>TOT_DEF_REV</t>
  </si>
  <si>
    <t>Long-term  debt</t>
  </si>
  <si>
    <t>LT_DEBT</t>
  </si>
  <si>
    <t>Non-current lease liabilities (op lease: US GAAP)</t>
  </si>
  <si>
    <t>LT_LEASE_LIAB</t>
  </si>
  <si>
    <t>Other long-term liabilities</t>
  </si>
  <si>
    <t>OTH_LT_CRED_GQ</t>
  </si>
  <si>
    <t>Total long-term liabilities</t>
  </si>
  <si>
    <t>TOT_LT_LIAB</t>
  </si>
  <si>
    <t>Total liabilities</t>
  </si>
  <si>
    <t>TOT_LIAB</t>
  </si>
  <si>
    <t>Preferred shares</t>
  </si>
  <si>
    <t>PREF_SH</t>
  </si>
  <si>
    <t>Total common equity</t>
  </si>
  <si>
    <t>ORD_SH_FUND</t>
  </si>
  <si>
    <t>Minority interest</t>
  </si>
  <si>
    <t>MINORITIES</t>
  </si>
  <si>
    <t>Total shareholders' equity</t>
  </si>
  <si>
    <t>EQ</t>
  </si>
  <si>
    <t>Total liabilities and equity</t>
  </si>
  <si>
    <t>TOT_LIAB_EQ</t>
  </si>
  <si>
    <t>Additional Balance Sheet Items</t>
  </si>
  <si>
    <t>Total US$ debt (in US$)</t>
  </si>
  <si>
    <t>TOT_USD_DEBT</t>
  </si>
  <si>
    <t>% US$ debt hedged (principal)</t>
  </si>
  <si>
    <t>TOT_PCT_USD_DEBT_HEDGED</t>
  </si>
  <si>
    <t>% Floating debt (local currency debt)</t>
  </si>
  <si>
    <t>FLOATING_PCT_LOCAL_DEBT</t>
  </si>
  <si>
    <t>% floating debt hedged (rates)</t>
  </si>
  <si>
    <t>FLOATING_PCT_LOCAL_DEBT_HEDGED</t>
  </si>
  <si>
    <t>Net debt</t>
  </si>
  <si>
    <t>NET_DEBT</t>
  </si>
  <si>
    <t>Capitalized operating leases (off-balance sheet)</t>
  </si>
  <si>
    <t>CAP_LEASES</t>
  </si>
  <si>
    <t>Deferred income taxes</t>
  </si>
  <si>
    <t>DEF_INC_TAX</t>
  </si>
  <si>
    <t>Net operating loss carryforwards (NOLs)</t>
  </si>
  <si>
    <t>NET_OP_LOSS_CFWD</t>
  </si>
  <si>
    <t>Associates (mkt value) used in EV calculation</t>
  </si>
  <si>
    <t>MV_ASSOCIATES</t>
  </si>
  <si>
    <t>Net debt adjustment</t>
  </si>
  <si>
    <t>NET_DEBT_ADJ</t>
  </si>
  <si>
    <t>Company borrowing margin</t>
  </si>
  <si>
    <t>CO_BOR_MARGIN</t>
  </si>
  <si>
    <t>Unfunded pensions &amp; other provisions</t>
  </si>
  <si>
    <t>UNF_PENS</t>
  </si>
  <si>
    <t>Unfunded pension liabilities (off balance sheet)</t>
  </si>
  <si>
    <t>UNF_PENS_OFF</t>
  </si>
  <si>
    <t>Unfunded pension liabilities &amp; other, used in EV</t>
  </si>
  <si>
    <t>UNF_PENS_LIAB_OTH</t>
  </si>
  <si>
    <t>Adjustment for unfunded pensions &amp; goodwill</t>
  </si>
  <si>
    <t>ADJ_UNF_PENS_GOOD</t>
  </si>
  <si>
    <t>Other GCI adjustments</t>
  </si>
  <si>
    <t>OTH_GCI_ADJ</t>
  </si>
  <si>
    <t>GCI inflator</t>
  </si>
  <si>
    <t>GCI_INFL</t>
  </si>
  <si>
    <t>BAL_MINO_INT</t>
  </si>
  <si>
    <t>Right-of-use assets (op lease assets under US GAAP)</t>
  </si>
  <si>
    <t>ROU_ASSET</t>
  </si>
  <si>
    <t>Minority interest add-back</t>
  </si>
  <si>
    <t>CF_INC_MINORITY</t>
  </si>
  <si>
    <t>Depreciation &amp; amortization add-back</t>
  </si>
  <si>
    <t>DEPR_AMORT</t>
  </si>
  <si>
    <t>(Increase)/decrease in working capital</t>
  </si>
  <si>
    <t>WORK_CAP</t>
  </si>
  <si>
    <t>Other operating cash flow items</t>
  </si>
  <si>
    <t>OTH_OP_CF</t>
  </si>
  <si>
    <t>Cash flow from operating activities</t>
  </si>
  <si>
    <t>CF_OPS</t>
  </si>
  <si>
    <t>Capital expenditures, Capex</t>
  </si>
  <si>
    <t>ACQ</t>
  </si>
  <si>
    <t>Divestitures</t>
  </si>
  <si>
    <t>DIVEST</t>
  </si>
  <si>
    <t>Other investing cash flow items</t>
  </si>
  <si>
    <t>OTH_INV_CF</t>
  </si>
  <si>
    <t>Cash flow from investing</t>
  </si>
  <si>
    <t>CF_INV</t>
  </si>
  <si>
    <t>Dividends paid</t>
  </si>
  <si>
    <t>DIV_PAID</t>
  </si>
  <si>
    <t>Common stock issuance/(repurchase)</t>
  </si>
  <si>
    <t>SH_REPUR</t>
  </si>
  <si>
    <t>Increase/(decrease) in total debt</t>
  </si>
  <si>
    <t>CHG_LT_DEBT</t>
  </si>
  <si>
    <t>Lease principal payments  (applicable to IFRS cos.)</t>
  </si>
  <si>
    <t>LEASE_PRINCIPAL_CASH</t>
  </si>
  <si>
    <t>Other financing cash flow items</t>
  </si>
  <si>
    <t>OTH_FIN_CF</t>
  </si>
  <si>
    <t>Cash flow from financing</t>
  </si>
  <si>
    <t>CF_FIN</t>
  </si>
  <si>
    <t>Total cash flow</t>
  </si>
  <si>
    <t>TOT_CF</t>
  </si>
  <si>
    <t>Additional Cash Flow Items</t>
  </si>
  <si>
    <t>Associate and JV add-back</t>
  </si>
  <si>
    <t>ASSOC_JV_ADDBK</t>
  </si>
  <si>
    <t>Profit/(loss) on sale of assets</t>
  </si>
  <si>
    <t>PL_SALE_ASSETS</t>
  </si>
  <si>
    <t>Other non-cash adjustments</t>
  </si>
  <si>
    <t>OTH_NONCASH_ADJ</t>
  </si>
  <si>
    <t>Other DACF adjustments</t>
  </si>
  <si>
    <t>OTH_DACF_ADJ</t>
  </si>
  <si>
    <t>Change in LT deferred income taxes (Cash flow)</t>
  </si>
  <si>
    <t>CHG_DEF_TAX_CF</t>
  </si>
  <si>
    <t>Other items/adjustments for computing cash tax rate (except def taxes)</t>
  </si>
  <si>
    <t>OTH_ADJ_CASH_TAX</t>
  </si>
  <si>
    <t>Cash interest expense</t>
  </si>
  <si>
    <t>CASH_INT_EXP</t>
  </si>
  <si>
    <t>Cash tax expense</t>
  </si>
  <si>
    <t>CASH_TAX_EXP</t>
  </si>
  <si>
    <t>Dividends received from associates/JVs</t>
  </si>
  <si>
    <t>DIVDS_ASSOC_JV</t>
  </si>
  <si>
    <t>Capex maintenance</t>
  </si>
  <si>
    <t>CAPEX_MAINTENANCE</t>
  </si>
  <si>
    <t>Capex expansion</t>
  </si>
  <si>
    <t>CAPEX_EXPANSION</t>
  </si>
  <si>
    <t>Non-PP&amp;E capex</t>
  </si>
  <si>
    <t>NONPPE_CAPEX</t>
  </si>
  <si>
    <t>Dividends paid to minorities</t>
  </si>
  <si>
    <t>DIVDS_PD_MINORITIES</t>
  </si>
  <si>
    <t>Free cash flow (unlevered)</t>
  </si>
  <si>
    <t>FCF_UNLEVERED</t>
  </si>
  <si>
    <t>Other Items</t>
  </si>
  <si>
    <t>License revenue</t>
  </si>
  <si>
    <t>LICENSE_REV</t>
  </si>
  <si>
    <t>Maintenance revenue</t>
  </si>
  <si>
    <t>MAINTEN_REV</t>
  </si>
  <si>
    <t>Number of employees</t>
  </si>
  <si>
    <t>EMPLOYEES</t>
  </si>
  <si>
    <t>Total billings (revenue plus change in deferred revenue)</t>
  </si>
  <si>
    <t>TOT_BILLINGS</t>
  </si>
  <si>
    <t>Short term billings (revenue plus change in short term deferred revenue)</t>
  </si>
  <si>
    <t>ST_BILLINGS</t>
  </si>
  <si>
    <t>Remaining performance obligations</t>
  </si>
  <si>
    <t>REM_PERF_OBLIG</t>
  </si>
  <si>
    <t>Current remaining performance obligations</t>
  </si>
  <si>
    <t>CUR_REM_PERF_OBLIG</t>
  </si>
  <si>
    <t>Segment revenue name 1</t>
  </si>
  <si>
    <t>SEGMENT1_REV_NAME</t>
  </si>
  <si>
    <t>Segment revenue value 1</t>
  </si>
  <si>
    <t>SEGMENT1_REV_VALUE</t>
  </si>
  <si>
    <t>Segment revenue name 2</t>
  </si>
  <si>
    <t>SEGMENT2_REV_NAME</t>
  </si>
  <si>
    <t>Segment revenue value 2</t>
  </si>
  <si>
    <t>SEGMENT2_REV_VALUE</t>
  </si>
  <si>
    <t>Segment revenue name 3</t>
  </si>
  <si>
    <t>SEGMENT3_REV_NAME</t>
  </si>
  <si>
    <t>Segment revenue value 3</t>
  </si>
  <si>
    <t>SEGMENT3_REV_VALUE</t>
  </si>
  <si>
    <t>Segment revenue name 4</t>
  </si>
  <si>
    <t>SEGMENT4_REV_NAME</t>
  </si>
  <si>
    <t>Segment revenue value 4</t>
  </si>
  <si>
    <t>SEGMENT4_REV_VALUE</t>
  </si>
  <si>
    <t>Segment revenue name 5</t>
  </si>
  <si>
    <t>SEGMENT5_REV_NAME</t>
  </si>
  <si>
    <t>Segment revenue value 5</t>
  </si>
  <si>
    <t>SEGMENT5_REV_VALUE</t>
  </si>
  <si>
    <t>Segment revenue name 6</t>
  </si>
  <si>
    <t>SEGMENT6_REV_NAME</t>
  </si>
  <si>
    <t>Segment revenue value 6</t>
  </si>
  <si>
    <t>SEGMENT6_REV_VALUE</t>
  </si>
  <si>
    <t>Segment revenue name 7</t>
  </si>
  <si>
    <t>SEGMENT7_REV_NAME</t>
  </si>
  <si>
    <t>Segment revenue value 7</t>
  </si>
  <si>
    <t>SEGMENT7_REV_VALUE</t>
  </si>
  <si>
    <t>Segment revenue name 8</t>
  </si>
  <si>
    <t>SEGMENT8_REV_NAME</t>
  </si>
  <si>
    <t>Segment revenue value 8</t>
  </si>
  <si>
    <t>SEGMENT8_REV_VALUE</t>
  </si>
  <si>
    <t>Segment revenue name 9</t>
  </si>
  <si>
    <t>SEGMENT9_REV_NAME</t>
  </si>
  <si>
    <t>Segment revenue value 9</t>
  </si>
  <si>
    <t>SEGMENT9_REV_VALUE</t>
  </si>
  <si>
    <t>Segment revenue name 10</t>
  </si>
  <si>
    <t>SEGMENT10_REV_NAME</t>
  </si>
  <si>
    <t>Segment revenue value 10</t>
  </si>
  <si>
    <t>SEGMENT10_REV_VALUE</t>
  </si>
  <si>
    <t>Geographical Breakdown</t>
  </si>
  <si>
    <t>Sales - % Canada</t>
  </si>
  <si>
    <t>SALES_CANADA</t>
  </si>
  <si>
    <t>Sales - % United States</t>
  </si>
  <si>
    <t>SALES_US</t>
  </si>
  <si>
    <t>Sales - % Other North Americas</t>
  </si>
  <si>
    <t>SALES_OTH_NO_AMER</t>
  </si>
  <si>
    <t>Sales - % Argentina</t>
  </si>
  <si>
    <t>SALES_ARGENTINA</t>
  </si>
  <si>
    <t>Sales - % Brazil</t>
  </si>
  <si>
    <t>SALES_BRAZIL</t>
  </si>
  <si>
    <t>Sales - % Chile</t>
  </si>
  <si>
    <t>SALES_CHILE</t>
  </si>
  <si>
    <t>Sales - % Colombia</t>
  </si>
  <si>
    <t>SALES_COLOMBIA</t>
  </si>
  <si>
    <t>Sales - % Mexico</t>
  </si>
  <si>
    <t>SALES_MEXICO</t>
  </si>
  <si>
    <t>Sales - % Venezuela</t>
  </si>
  <si>
    <t>SALES_VENEZUELA</t>
  </si>
  <si>
    <t>Sales - % Other Latin Americas</t>
  </si>
  <si>
    <t>SALES_OTH_LATAM</t>
  </si>
  <si>
    <t>Sales - % Austria</t>
  </si>
  <si>
    <t>SALES_AUSTRIA</t>
  </si>
  <si>
    <t>Sales - % Belgium</t>
  </si>
  <si>
    <t>SALES_COMPANY0377</t>
  </si>
  <si>
    <t>Sales - % France</t>
  </si>
  <si>
    <t>SALES_FRA</t>
  </si>
  <si>
    <t>Sales - % Germany</t>
  </si>
  <si>
    <t>SALES_GER</t>
  </si>
  <si>
    <t>Sales - % Greece</t>
  </si>
  <si>
    <t>SALES_GRE</t>
  </si>
  <si>
    <t>Sales - % Ireland</t>
  </si>
  <si>
    <t>SALES_IRE</t>
  </si>
  <si>
    <t>Sales - % Italy</t>
  </si>
  <si>
    <t>SALES_ITA</t>
  </si>
  <si>
    <t>Sales - % Netherlands</t>
  </si>
  <si>
    <t>SALES_NETH</t>
  </si>
  <si>
    <t>Sales - % Norway</t>
  </si>
  <si>
    <t>SALES_NOR</t>
  </si>
  <si>
    <t>Sales - % Portugal</t>
  </si>
  <si>
    <t>SALES_POR</t>
  </si>
  <si>
    <t>Sales - % Spain</t>
  </si>
  <si>
    <t>SALES_SPA</t>
  </si>
  <si>
    <t>Sales - % Sweden</t>
  </si>
  <si>
    <t>SALES_SWE</t>
  </si>
  <si>
    <t>Sales - % Switzerland</t>
  </si>
  <si>
    <t>SALES_SWIT</t>
  </si>
  <si>
    <t>Sales - % UK</t>
  </si>
  <si>
    <t>SALES_UK</t>
  </si>
  <si>
    <t>Sales - % Other Western Europe</t>
  </si>
  <si>
    <t>SALES_OTH_WEST_EURO</t>
  </si>
  <si>
    <t>Sales - % Poland</t>
  </si>
  <si>
    <t>SALES_POLAND</t>
  </si>
  <si>
    <t>Sales - % Russia</t>
  </si>
  <si>
    <t>SALES_RUSSIA</t>
  </si>
  <si>
    <t>Sales - % Turkey</t>
  </si>
  <si>
    <t>SALES_TURKEY</t>
  </si>
  <si>
    <t>Sales - % Other CEE</t>
  </si>
  <si>
    <t>SALES_OTH_CEE</t>
  </si>
  <si>
    <t>Sales - % Saudi Arabia</t>
  </si>
  <si>
    <t>SALES_SAUDI_ARABIA</t>
  </si>
  <si>
    <t>Sales - % United Arab Emirates</t>
  </si>
  <si>
    <t>SALES_UAE</t>
  </si>
  <si>
    <t>Sales - % Other Middle East</t>
  </si>
  <si>
    <t>SALES_OTH_ME</t>
  </si>
  <si>
    <t>Sales - % Nigeria</t>
  </si>
  <si>
    <t>SALES_NIGERIA</t>
  </si>
  <si>
    <t>Sales - % South Africa</t>
  </si>
  <si>
    <t>SALES_SO_AFRICA</t>
  </si>
  <si>
    <t>Sales - % Other Africa</t>
  </si>
  <si>
    <t>SALES_OTH_AFRICA</t>
  </si>
  <si>
    <t>Sales - % Hong Kong</t>
  </si>
  <si>
    <t>SALES_HONG_KONG</t>
  </si>
  <si>
    <t>Sales - % Japan</t>
  </si>
  <si>
    <t>SALES_JAPAN</t>
  </si>
  <si>
    <t>Sales - % Singapore</t>
  </si>
  <si>
    <t>SALES_SINGAPORE</t>
  </si>
  <si>
    <t>Sales - % South Korea</t>
  </si>
  <si>
    <t>SALES_SK</t>
  </si>
  <si>
    <t>Sales - % Taiwan</t>
  </si>
  <si>
    <t>SALES_TAIWAN</t>
  </si>
  <si>
    <t>Sales - % Other Developed Asia</t>
  </si>
  <si>
    <t>SALES_OTH_DEV_ASIA</t>
  </si>
  <si>
    <t>Sales - % China</t>
  </si>
  <si>
    <t>SALES_CHINA</t>
  </si>
  <si>
    <t>Sales - % India</t>
  </si>
  <si>
    <t>SALES_INDIA</t>
  </si>
  <si>
    <t>Sales - % Indonesia</t>
  </si>
  <si>
    <t>SALES_INDONESIA</t>
  </si>
  <si>
    <t>Sales - % Thailand</t>
  </si>
  <si>
    <t>SALES_THAILAND</t>
  </si>
  <si>
    <t>Sales - % Other Emerging Asia</t>
  </si>
  <si>
    <t>SALES_OTH_EMERG_ASIA</t>
  </si>
  <si>
    <t>Sales - % Australia</t>
  </si>
  <si>
    <t>SALES_AUSTRA</t>
  </si>
  <si>
    <t>Sales - % New Zealand</t>
  </si>
  <si>
    <t>SALES_NZ</t>
  </si>
  <si>
    <t>Sales - % Others</t>
  </si>
  <si>
    <t>SALES_OTHER</t>
  </si>
  <si>
    <t>% of CoGS from U.S. (Ticker0015 estimate)</t>
  </si>
  <si>
    <t>COGS_PCT_US</t>
  </si>
  <si>
    <t>% of CoGS from non-U.S. (Ticker0015 estimate)</t>
  </si>
  <si>
    <t>COGS_PCT_ROW</t>
  </si>
  <si>
    <t>% of SG&amp;A from U.S. (Ticker0015 estimate)</t>
  </si>
  <si>
    <t>SGA_PCT_US</t>
  </si>
  <si>
    <t>% of SG&amp;A from non-U.S. (Ticker0015 estimate)</t>
  </si>
  <si>
    <t>SGA_PCT_ROW</t>
  </si>
  <si>
    <t>Sales -% Consumer (C)</t>
  </si>
  <si>
    <t>SALES_CONS</t>
  </si>
  <si>
    <t>Sales -% Industry (I)</t>
  </si>
  <si>
    <t>SALES_IND</t>
  </si>
  <si>
    <t>Sales -% Government (G)</t>
  </si>
  <si>
    <t>SALES_GOV</t>
  </si>
  <si>
    <t>Sales - % Industry Sub-Segment: Financial Services</t>
  </si>
  <si>
    <t>SALES_FINAN</t>
  </si>
  <si>
    <t>Sales - % Industry Sub-Segment: Oil &amp; Gas</t>
  </si>
  <si>
    <t>SALES_OIL_GAS</t>
  </si>
  <si>
    <t>Sales (%) SMB</t>
  </si>
  <si>
    <t>SALES_SMB</t>
  </si>
  <si>
    <t>% of total cash balance held overseas (outside the US)</t>
  </si>
  <si>
    <t>CASH_PCT_OS_US</t>
  </si>
  <si>
    <t>Sales - % from Captive Financing Business</t>
  </si>
  <si>
    <t>REV_FIN_SEGMENT</t>
  </si>
  <si>
    <t>Operating Earnings - % from Captive Financing Business</t>
  </si>
  <si>
    <t>EBIT_FIN_SEGMENT</t>
  </si>
  <si>
    <t>Commodities Exposure - Expense</t>
  </si>
  <si>
    <t>Expense - % Oil/Petrol/Fuel</t>
  </si>
  <si>
    <t>EXP_OIL_PETRO_FUEL</t>
  </si>
  <si>
    <t>Expense - % Oil derivatives/NGLs/plastics</t>
  </si>
  <si>
    <t>EXP_OIL_DERIV_NGLS_PLASTICS</t>
  </si>
  <si>
    <t>FX Exposure - Sales</t>
  </si>
  <si>
    <t>Sales - % FX: British Pounds/Pence</t>
  </si>
  <si>
    <t>SALES_FX_GPB</t>
  </si>
  <si>
    <t>Sales - % FX: Euro</t>
  </si>
  <si>
    <t>SALES_FX_EUR</t>
  </si>
  <si>
    <t>Sales - % FX: New Russian Ruble</t>
  </si>
  <si>
    <t>SALES_FX_RUB</t>
  </si>
  <si>
    <t>Sales - % FX: U.S. Dollar</t>
  </si>
  <si>
    <t>SALES_FX_USD</t>
  </si>
  <si>
    <t>Sales - % FX: Brazilian Real</t>
  </si>
  <si>
    <t>SALES_FX_BRL</t>
  </si>
  <si>
    <t>Sales - % FX: Japanese Yen</t>
  </si>
  <si>
    <t>SALES_FX_YEN</t>
  </si>
  <si>
    <t>Sales - % FX: Chinese Renminbi</t>
  </si>
  <si>
    <t>SALES_FX_CNY</t>
  </si>
  <si>
    <t>Sales - % FX: Indian Rupee</t>
  </si>
  <si>
    <t>SALES_FX_INR</t>
  </si>
  <si>
    <t>Sales - % FX: Canadian Dollar</t>
  </si>
  <si>
    <t>SALES_FX_CAD</t>
  </si>
  <si>
    <t>Sales - % FX: Mexican Peso</t>
  </si>
  <si>
    <t>SALES_FX_MXN</t>
  </si>
  <si>
    <t>Sales - % FX: Colombian Peso</t>
  </si>
  <si>
    <t>SALES_FX_COP</t>
  </si>
  <si>
    <t>Sales - % FX: Argentine Peso</t>
  </si>
  <si>
    <t>SALES_FX_ARS</t>
  </si>
  <si>
    <t>Sales - % FX: Chilean Peso</t>
  </si>
  <si>
    <t>SALES_FX_CLP</t>
  </si>
  <si>
    <t>Sales - % FX: Venezuelan bolivar</t>
  </si>
  <si>
    <t>SALES_FX_VEF</t>
  </si>
  <si>
    <t>Sales - % FX: Other Currency</t>
  </si>
  <si>
    <t>SALES_FX_OTH</t>
  </si>
  <si>
    <t>Items to be removed</t>
  </si>
  <si>
    <t>Sales - Total % Americas</t>
  </si>
  <si>
    <t>SALES_TOT_AM</t>
  </si>
  <si>
    <t>Sales - % Other Americas</t>
  </si>
  <si>
    <t>SALES_OTH_AM</t>
  </si>
  <si>
    <t>Sales - Total % EMEA</t>
  </si>
  <si>
    <t>SALES_TOT_EMEA</t>
  </si>
  <si>
    <t>Sales - % Western Europe-Ex UK</t>
  </si>
  <si>
    <t>SALES_EU_EX_UK</t>
  </si>
  <si>
    <t>Sales - % Central &amp; Eastern Europe</t>
  </si>
  <si>
    <t>SALES_CEE</t>
  </si>
  <si>
    <t>Sales - % Middle East</t>
  </si>
  <si>
    <t>SALES_ME</t>
  </si>
  <si>
    <t>Sales - % Total Africa</t>
  </si>
  <si>
    <t>SALES_TOT_AFRICA</t>
  </si>
  <si>
    <t>Sales - % Other EMEA</t>
  </si>
  <si>
    <t>SALES_OTH_EMEA</t>
  </si>
  <si>
    <t>Sales - Total % Asia (incl Australia &amp; New Zealand)</t>
  </si>
  <si>
    <t>SALES_TOT_ASIA</t>
  </si>
  <si>
    <t>Sales - % Other Asia</t>
  </si>
  <si>
    <t>SALES_OTH_AEJ</t>
  </si>
  <si>
    <t>Security: Microsoft Corp.</t>
  </si>
  <si>
    <t>Ticker</t>
  </si>
  <si>
    <t>Security Name</t>
  </si>
  <si>
    <t>Interim Type</t>
  </si>
  <si>
    <t>Q</t>
  </si>
  <si>
    <t>Publishing Currency</t>
  </si>
  <si>
    <t>PUB_CURRENCY_ISO</t>
  </si>
  <si>
    <t>Pricing Currency</t>
  </si>
  <si>
    <t>PRICE_CURRENCY_ISO</t>
  </si>
  <si>
    <t>Americas Investment List</t>
  </si>
  <si>
    <t>AMER_LIST</t>
  </si>
  <si>
    <t>Americas Conviction List</t>
  </si>
  <si>
    <t>NOT IN USE</t>
  </si>
  <si>
    <t>Legal rating</t>
  </si>
  <si>
    <t>LEGAL_RATING</t>
  </si>
  <si>
    <t>Target price</t>
  </si>
  <si>
    <t>TARGET_PRICE</t>
  </si>
  <si>
    <t>Target price period</t>
  </si>
  <si>
    <t>TP_PERIOD</t>
  </si>
  <si>
    <t>Fundamental value</t>
  </si>
  <si>
    <t>TARGET_PRICE_FUNDAMENTAL</t>
  </si>
  <si>
    <t>M&amp;A value</t>
  </si>
  <si>
    <t>TARGET_PRICE_MA</t>
  </si>
  <si>
    <t>Current shares outstanding (mn)</t>
  </si>
  <si>
    <t>NUM_SH</t>
  </si>
  <si>
    <t>Free float</t>
  </si>
  <si>
    <t>FREE_FLOAT</t>
  </si>
  <si>
    <t>Publishing Items</t>
  </si>
  <si>
    <t>Book value per share, BVPS (Pub)</t>
  </si>
  <si>
    <t>BVPS_PUB</t>
  </si>
  <si>
    <t>DPS, dividend per share (Pub)</t>
  </si>
  <si>
    <t>DPS_PUB</t>
  </si>
  <si>
    <t>Special dividend per share</t>
  </si>
  <si>
    <t>DPS_SPECIAL_PUB</t>
  </si>
  <si>
    <t>EBITDA (Pub)</t>
  </si>
  <si>
    <t>EBITDA_PUB</t>
  </si>
  <si>
    <t>EPS (Pub)</t>
  </si>
  <si>
    <t>Consensus earnings equivalent estimate</t>
  </si>
  <si>
    <t>CEEE_EPS</t>
  </si>
  <si>
    <t>EPS (excl. ESO) (Pub)</t>
  </si>
  <si>
    <t>EPS_PUB_EX_ESO</t>
  </si>
  <si>
    <t>EV adjustment (Pub)</t>
  </si>
  <si>
    <t>EV_ADJ_PUB</t>
  </si>
  <si>
    <t>Net debt (Pub)</t>
  </si>
  <si>
    <t>NET_DEBT_PUB</t>
  </si>
  <si>
    <t>Net Debt (ex leases) (Pub)</t>
  </si>
  <si>
    <t>NET_DEBT_EX_LEASES_PUB</t>
  </si>
  <si>
    <t>Consensus equivalent net debt</t>
  </si>
  <si>
    <t>CEEE_NDEBT</t>
  </si>
  <si>
    <t>Net income (Pub)</t>
  </si>
  <si>
    <t>NI_PUB</t>
  </si>
  <si>
    <t>EBIT, operating profit (Pub)</t>
  </si>
  <si>
    <t>EBIT_PUB</t>
  </si>
  <si>
    <t>Pre-tax profit (Pub)</t>
  </si>
  <si>
    <t>PTP_PUB</t>
  </si>
  <si>
    <t>Sales, revenue (Pub)</t>
  </si>
  <si>
    <t>REVS_PUB</t>
  </si>
  <si>
    <t>Total shareholders' equity (Pub)</t>
  </si>
  <si>
    <t>EQ_PUB</t>
  </si>
  <si>
    <t>Provision for income tax</t>
  </si>
  <si>
    <t>PROV_INC_TAX</t>
  </si>
  <si>
    <t>INC_MINORITY</t>
  </si>
  <si>
    <t>Net income (pre-preferred dividends)</t>
  </si>
  <si>
    <t>NI_PRE_PREF</t>
  </si>
  <si>
    <t>Preferred dividends</t>
  </si>
  <si>
    <t>PREF_DIV</t>
  </si>
  <si>
    <t>Net income (pre-exceptionals)</t>
  </si>
  <si>
    <t>NET_EARNING</t>
  </si>
  <si>
    <t>Post-tax exceptionals</t>
  </si>
  <si>
    <t>TAX_EXC</t>
  </si>
  <si>
    <t>Net income (post-exceptionals)</t>
  </si>
  <si>
    <t>NET_INC</t>
  </si>
  <si>
    <t>EPS (pre-exceptionals, basic)</t>
  </si>
  <si>
    <t>EPS (pre-exceptionals, diluted)</t>
  </si>
  <si>
    <t>EPS_FUL_DIL</t>
  </si>
  <si>
    <t>EPS (post-exceptionals, basic)</t>
  </si>
  <si>
    <t>EPS_POST_BASIC</t>
  </si>
  <si>
    <t>EPS (post-exceptionals, diluted)</t>
  </si>
  <si>
    <t>FULLY_DIL_EPS</t>
  </si>
  <si>
    <t>Common dividends paid</t>
  </si>
  <si>
    <t>COMMON_DIV_PAID</t>
  </si>
  <si>
    <t>DPS, dividend per share</t>
  </si>
  <si>
    <t>DPS</t>
  </si>
  <si>
    <t>Weighted average shares outstanding, basic</t>
  </si>
  <si>
    <t>SH</t>
  </si>
  <si>
    <t>Diluted average shares outstanding (mn)</t>
  </si>
  <si>
    <t>DILUTE_SHARES</t>
  </si>
  <si>
    <t>Period-end shares outstanding</t>
  </si>
  <si>
    <t>NON_OP_ADD</t>
  </si>
  <si>
    <t>Marginal tax rate</t>
  </si>
  <si>
    <t>MARGIN_TAX_RATE</t>
  </si>
  <si>
    <t>ESO</t>
  </si>
  <si>
    <t>Fair value of grant</t>
  </si>
  <si>
    <t>FV_GRANT</t>
  </si>
  <si>
    <t>ESO expense (post-tax)</t>
  </si>
  <si>
    <t>ESO_POST_TAX</t>
  </si>
  <si>
    <t>EPS (excl. ESO expense, basic)</t>
  </si>
  <si>
    <t>EPS_EX_ESO_B</t>
  </si>
  <si>
    <t>EPS (excl. ESO expense, diluted)</t>
  </si>
  <si>
    <t>EPS_EX_ESO_D</t>
  </si>
  <si>
    <t>Year that ESO expense takes effect</t>
  </si>
  <si>
    <t>ESO_YEAR</t>
  </si>
  <si>
    <t>BVPS, book value per share</t>
  </si>
  <si>
    <t>BVPS</t>
  </si>
  <si>
    <t>Total repurchase authorization</t>
  </si>
  <si>
    <t>REPUR_TOT_AUTH</t>
  </si>
  <si>
    <t>Remaining repurchase authorization</t>
  </si>
  <si>
    <t>REPUR_REMAINING</t>
  </si>
  <si>
    <t>Suspended repurchase authorization</t>
  </si>
  <si>
    <t>REPUR_SUSPENDED</t>
  </si>
  <si>
    <t>Shares repurchased during period</t>
  </si>
  <si>
    <t>REPUR_ACTUAL</t>
  </si>
  <si>
    <t>CF_NI_PRE_PREF</t>
  </si>
  <si>
    <t>BETA_ANALYST</t>
  </si>
  <si>
    <t>Market equity risk premium</t>
  </si>
  <si>
    <t>MKT_EQ_RISK_PREM</t>
  </si>
  <si>
    <t>Risk-free rate</t>
  </si>
  <si>
    <t>RISK_FR_RATE</t>
  </si>
  <si>
    <t>Estimate</t>
  </si>
  <si>
    <t>Y</t>
  </si>
  <si>
    <t>Buy</t>
  </si>
  <si>
    <t>12 months</t>
  </si>
  <si>
    <t>Scalar|||208000430|||ISSR|||CURRENCY_ISO|||False|||</t>
  </si>
  <si>
    <t>V_KEYWORD_ISSR_208000430_CURRENCY_ISO</t>
  </si>
  <si>
    <t>Scalar|||208000430|||ISSR|||MA_PROB|||False|||</t>
  </si>
  <si>
    <t>V_KEYWORD_ISSR_208000430_MA_PROB</t>
  </si>
  <si>
    <t>Vector|||208000430|||ISSR|||SALES|||False|||</t>
  </si>
  <si>
    <t>V_KEYWORD_ISSR_208000430_SALES</t>
  </si>
  <si>
    <t>Vector|||208000430|||ISSR|||COST_GD_SD|||False|||</t>
  </si>
  <si>
    <t>V_KEYWORD_ISSR_208000430_COST_GD_SD</t>
  </si>
  <si>
    <t>Vector|||208000430|||ISSR|||SEL_GL_AD|||False|||</t>
  </si>
  <si>
    <t>V_KEYWORD_ISSR_208000430_SEL_GL_AD</t>
  </si>
  <si>
    <t>Vector|||208000430|||ISSR|||OP_COST|||False|||</t>
  </si>
  <si>
    <t>V_KEYWORD_ISSR_208000430_OP_COST</t>
  </si>
  <si>
    <t>Vector|||208000430|||ISSR|||RD_EXP|||False|||</t>
  </si>
  <si>
    <t>V_KEYWORD_ISSR_208000430_RD_EXP</t>
  </si>
  <si>
    <t>Vector|||208000430|||ISSR|||ESO_PRE_TAX|||False|||</t>
  </si>
  <si>
    <t>V_KEYWORD_ISSR_208000430_ESO_PRE_TAX</t>
  </si>
  <si>
    <t>Vector|||208000430|||ISSR|||OTH_OP_INC_EXP|||False|||</t>
  </si>
  <si>
    <t>V_KEYWORD_ISSR_208000430_OTH_OP_INC_EXP</t>
  </si>
  <si>
    <t>Vector|||208000430|||ISSR|||TOT_OPS_EXP_DDA|||False|||</t>
  </si>
  <si>
    <t>V_KEYWORD_ISSR_208000430_TOT_OPS_EXP_DDA</t>
  </si>
  <si>
    <t>Vector|||208000430|||ISSR|||TOT_OPS_EXP|||False|||</t>
  </si>
  <si>
    <t>V_KEYWORD_ISSR_208000430_TOT_OPS_EXP</t>
  </si>
  <si>
    <t>Vector|||208000430|||ISSR|||EBITDA_CALC|||False|||</t>
  </si>
  <si>
    <t>V_KEYWORD_ISSR_208000430_EBITDA_CALC</t>
  </si>
  <si>
    <t>Vector|||208000430|||ISSR|||DEPREC|||False|||</t>
  </si>
  <si>
    <t>V_KEYWORD_ISSR_208000430_DEPREC</t>
  </si>
  <si>
    <t>Vector|||208000430|||ISSR|||GOODWILL_AMORT|||False|||</t>
  </si>
  <si>
    <t>V_KEYWORD_ISSR_208000430_GOODWILL_AMORT</t>
  </si>
  <si>
    <t>Vector|||208000430|||ISSR|||EBIT|||False|||</t>
  </si>
  <si>
    <t>V_KEYWORD_ISSR_208000430_EBIT</t>
  </si>
  <si>
    <t>Vector|||208000430|||ISSR|||INT_INC_IND|||False|||</t>
  </si>
  <si>
    <t>V_KEYWORD_ISSR_208000430_INT_INC_IND</t>
  </si>
  <si>
    <t>Vector|||208000430|||ISSR|||INT_EXP_IND|||False|||</t>
  </si>
  <si>
    <t>V_KEYWORD_ISSR_208000430_INT_EXP_IND</t>
  </si>
  <si>
    <t>Vector|||208000430|||ISSR|||NET_INT_EXP|||False|||</t>
  </si>
  <si>
    <t>V_KEYWORD_ISSR_208000430_NET_INT_EXP</t>
  </si>
  <si>
    <t>Vector|||208000430|||ISSR|||ASSOCIATE|||False|||</t>
  </si>
  <si>
    <t>V_KEYWORD_ISSR_208000430_ASSOCIATE</t>
  </si>
  <si>
    <t>Vector|||208000430|||ISSR|||PROFIT_ON_DISP|||False|||</t>
  </si>
  <si>
    <t>V_KEYWORD_ISSR_208000430_PROFIT_ON_DISP</t>
  </si>
  <si>
    <t>Vector|||208000430|||ISSR|||OTH_COST_INC|||False|||</t>
  </si>
  <si>
    <t>V_KEYWORD_ISSR_208000430_OTH_COST_INC</t>
  </si>
  <si>
    <t>Vector|||208000430|||ISSR|||PT_PROF|||False|||</t>
  </si>
  <si>
    <t>V_KEYWORD_ISSR_208000430_PT_PROF</t>
  </si>
  <si>
    <t>Vector|||208000430|||ISSR|||LEASE_PAY|||False|||</t>
  </si>
  <si>
    <t>V_KEYWORD_ISSR_208000430_LEASE_PAY</t>
  </si>
  <si>
    <t>Vector|||208000430|||ISSR|||LEASE_DEEM_INT|||False|||</t>
  </si>
  <si>
    <t>V_KEYWORD_ISSR_208000430_LEASE_DEEM_INT</t>
  </si>
  <si>
    <t>Vector|||208000430|||ISSR|||LEASE_DEEM_DEPR|||False|||</t>
  </si>
  <si>
    <t>V_KEYWORD_ISSR_208000430_LEASE_DEEM_DEPR</t>
  </si>
  <si>
    <t>Vector|||208000430|||ISSR|||NET_INT_CH|||False|||</t>
  </si>
  <si>
    <t>V_KEYWORD_ISSR_208000430_NET_INT_CH</t>
  </si>
  <si>
    <t>Vector|||208000430|||ISSR|||ASSOCIATE_OP|||False|||</t>
  </si>
  <si>
    <t>V_KEYWORD_ISSR_208000430_ASSOCIATE_OP</t>
  </si>
  <si>
    <t>Vector|||208000430|||ISSR|||DEPR_ROU_ASSETS|||False|||</t>
  </si>
  <si>
    <t>V_KEYWORD_ISSR_208000430_DEPR_ROU_ASSETS</t>
  </si>
  <si>
    <t>Vector|||208000430|||ISSR|||LEASE_INT_CHG|||False|||</t>
  </si>
  <si>
    <t>V_KEYWORD_ISSR_208000430_LEASE_INT_CHG</t>
  </si>
  <si>
    <t>Scalar|||208000430|||ISSR|||LEASE_ADOPT|||False|||</t>
  </si>
  <si>
    <t>V_KEYWORD_ISSR_208000430_LEASE_ADOPT</t>
  </si>
  <si>
    <t>Vector|||208000430|||ISSR|||SBC_COST_OF_GOODS_SOLD|||False|||</t>
  </si>
  <si>
    <t>V_KEYWORD_ISSR_208000430_SBC_COST_OF_GOODS_SOLD</t>
  </si>
  <si>
    <t>Vector|||208000430|||ISSR|||SBC_SALES_MARKETING|||False|||</t>
  </si>
  <si>
    <t>V_KEYWORD_ISSR_208000430_SBC_SALES_MARKETING</t>
  </si>
  <si>
    <t>Vector|||208000430|||ISSR|||SBC_RESEARCH_DEVELOPMENT|||False|||</t>
  </si>
  <si>
    <t>V_KEYWORD_ISSR_208000430_SBC_RESEARCH_DEVELOPMENT</t>
  </si>
  <si>
    <t>Vector|||208000430|||ISSR|||SBC_GEN_ADMINISTRATIVE|||False|||</t>
  </si>
  <si>
    <t>V_KEYWORD_ISSR_208000430_SBC_GEN_ADMINISTRATIVE</t>
  </si>
  <si>
    <t>Vector|||208000430|||ISSR|||SBC_TOTAL|||False|||</t>
  </si>
  <si>
    <t>V_KEYWORD_ISSR_208000430_SBC_TOTAL</t>
  </si>
  <si>
    <t>Vector|||208000430|||ISSR|||COGS_N_GAAP|||False|||</t>
  </si>
  <si>
    <t>V_KEYWORD_ISSR_208000430_COGS_N_GAAP</t>
  </si>
  <si>
    <t>Vector|||208000430|||ISSR|||GROSS_PROFIT_N_GAAP|||False|||</t>
  </si>
  <si>
    <t>V_KEYWORD_ISSR_208000430_GROSS_PROFIT_N_GAAP</t>
  </si>
  <si>
    <t>Vector|||208000430|||ISSR|||GEN_ADMIN_N_GAAP|||False|||</t>
  </si>
  <si>
    <t>V_KEYWORD_ISSR_208000430_GEN_ADMIN_N_GAAP</t>
  </si>
  <si>
    <t>Vector|||208000430|||ISSR|||SALES_MARKETING_N_GAAP|||False|||</t>
  </si>
  <si>
    <t>V_KEYWORD_ISSR_208000430_SALES_MARKETING_N_GAAP</t>
  </si>
  <si>
    <t>Vector|||208000430|||ISSR|||RD_N_GAAP|||False|||</t>
  </si>
  <si>
    <t>V_KEYWORD_ISSR_208000430_RD_N_GAAP</t>
  </si>
  <si>
    <t>Vector|||208000430|||ISSR|||OPS_EXP_N_GAAP|||False|||</t>
  </si>
  <si>
    <t>V_KEYWORD_ISSR_208000430_OPS_EXP_N_GAAP</t>
  </si>
  <si>
    <t>Vector|||208000430|||ISSR|||OP_INC_N_GAAP|||False|||</t>
  </si>
  <si>
    <t>V_KEYWORD_ISSR_208000430_OP_INC_N_GAAP</t>
  </si>
  <si>
    <t>Vector|||208000430|||ISSR|||NET_INC_N_GAAP|||False|||</t>
  </si>
  <si>
    <t>V_KEYWORD_ISSR_208000430_NET_INC_N_GAAP</t>
  </si>
  <si>
    <t>Vector|||208000430|||ISSR|||CASH_EQ|||False|||</t>
  </si>
  <si>
    <t>V_KEYWORD_ISSR_208000430_CASH_EQ</t>
  </si>
  <si>
    <t>Vector|||208000430|||ISSR|||DEBTORS|||False|||</t>
  </si>
  <si>
    <t>V_KEYWORD_ISSR_208000430_DEBTORS</t>
  </si>
  <si>
    <t>Vector|||208000430|||ISSR|||STOCKS|||False|||</t>
  </si>
  <si>
    <t>V_KEYWORD_ISSR_208000430_STOCKS</t>
  </si>
  <si>
    <t>Vector|||208000430|||ISSR|||OTH_CUR_ASS|||False|||</t>
  </si>
  <si>
    <t>V_KEYWORD_ISSR_208000430_OTH_CUR_ASS</t>
  </si>
  <si>
    <t>Vector|||208000430|||ISSR|||CUR_ASS|||False|||</t>
  </si>
  <si>
    <t>V_KEYWORD_ISSR_208000430_CUR_ASS</t>
  </si>
  <si>
    <t>Vector|||208000430|||ISSR|||GR_FIX_ASS|||False|||</t>
  </si>
  <si>
    <t>V_KEYWORD_ISSR_208000430_GR_FIX_ASS</t>
  </si>
  <si>
    <t>Vector|||208000430|||ISSR|||ACC_DDA|||False|||</t>
  </si>
  <si>
    <t>V_KEYWORD_ISSR_208000430_ACC_DDA</t>
  </si>
  <si>
    <t>Vector|||208000430|||ISSR|||NET_FIX_ASS|||False|||</t>
  </si>
  <si>
    <t>V_KEYWORD_ISSR_208000430_NET_FIX_ASS</t>
  </si>
  <si>
    <t>Vector|||208000430|||ISSR|||GR_INTANG|||False|||</t>
  </si>
  <si>
    <t>V_KEYWORD_ISSR_208000430_GR_INTANG</t>
  </si>
  <si>
    <t>Vector|||208000430|||ISSR|||ACC_AMORT|||False|||</t>
  </si>
  <si>
    <t>V_KEYWORD_ISSR_208000430_ACC_AMORT</t>
  </si>
  <si>
    <t>Vector|||208000430|||ISSR|||NET_INTANG|||False|||</t>
  </si>
  <si>
    <t>V_KEYWORD_ISSR_208000430_NET_INTANG</t>
  </si>
  <si>
    <t>Vector|||208000430|||ISSR|||FIX_ASS_INV|||False|||</t>
  </si>
  <si>
    <t>V_KEYWORD_ISSR_208000430_FIX_ASS_INV</t>
  </si>
  <si>
    <t>Vector|||208000430|||ISSR|||INV_SECUR|||False|||</t>
  </si>
  <si>
    <t>V_KEYWORD_ISSR_208000430_INV_SECUR</t>
  </si>
  <si>
    <t>Vector|||208000430|||ISSR|||OTH_LT_ASS|||False|||</t>
  </si>
  <si>
    <t>V_KEYWORD_ISSR_208000430_OTH_LT_ASS</t>
  </si>
  <si>
    <t>Vector|||208000430|||ISSR|||TOT_ASSET|||False|||</t>
  </si>
  <si>
    <t>V_KEYWORD_ISSR_208000430_TOT_ASSET</t>
  </si>
  <si>
    <t>Vector|||208000430|||ISSR|||ACC_PAY_GQ|||False|||</t>
  </si>
  <si>
    <t>V_KEYWORD_ISSR_208000430_ACC_PAY_GQ</t>
  </si>
  <si>
    <t>Vector|||208000430|||ISSR|||SHORT_T_DEBT|||False|||</t>
  </si>
  <si>
    <t>V_KEYWORD_ISSR_208000430_SHORT_T_DEBT</t>
  </si>
  <si>
    <t>Vector|||208000430|||ISSR|||ST_LEASE_LIAB|||False|||</t>
  </si>
  <si>
    <t>V_KEYWORD_ISSR_208000430_ST_LEASE_LIAB</t>
  </si>
  <si>
    <t>Vector|||208000430|||ISSR|||OTH_CUR_LIABS|||False|||</t>
  </si>
  <si>
    <t>V_KEYWORD_ISSR_208000430_OTH_CUR_LIABS</t>
  </si>
  <si>
    <t>Vector|||208000430|||ISSR|||SHORT_TERM_LIABS|||False|||</t>
  </si>
  <si>
    <t>V_KEYWORD_ISSR_208000430_SHORT_TERM_LIABS</t>
  </si>
  <si>
    <t>Vector|||208000430|||ISSR|||TOT_DEF_REV|||False|||</t>
  </si>
  <si>
    <t>V_KEYWORD_ISSR_208000430_TOT_DEF_REV</t>
  </si>
  <si>
    <t>Vector|||208000430|||ISSR|||LT_DEBT|||False|||</t>
  </si>
  <si>
    <t>V_KEYWORD_ISSR_208000430_LT_DEBT</t>
  </si>
  <si>
    <t>Vector|||208000430|||ISSR|||LT_LEASE_LIAB|||False|||</t>
  </si>
  <si>
    <t>V_KEYWORD_ISSR_208000430_LT_LEASE_LIAB</t>
  </si>
  <si>
    <t>Vector|||208000430|||ISSR|||OTH_LT_CRED_GQ|||False|||</t>
  </si>
  <si>
    <t>V_KEYWORD_ISSR_208000430_OTH_LT_CRED_GQ</t>
  </si>
  <si>
    <t>Vector|||208000430|||ISSR|||TOT_LT_LIAB|||False|||</t>
  </si>
  <si>
    <t>V_KEYWORD_ISSR_208000430_TOT_LT_LIAB</t>
  </si>
  <si>
    <t>Vector|||208000430|||ISSR|||TOT_LIAB|||False|||</t>
  </si>
  <si>
    <t>V_KEYWORD_ISSR_208000430_TOT_LIAB</t>
  </si>
  <si>
    <t>Vector|||208000430|||ISSR|||PREF_SH|||False|||</t>
  </si>
  <si>
    <t>V_KEYWORD_ISSR_208000430_PREF_SH</t>
  </si>
  <si>
    <t>Vector|||208000430|||ISSR|||ORD_SH_FUND|||False|||</t>
  </si>
  <si>
    <t>V_KEYWORD_ISSR_208000430_ORD_SH_FUND</t>
  </si>
  <si>
    <t>Vector|||208000430|||ISSR|||MINORITIES|||False|||</t>
  </si>
  <si>
    <t>V_KEYWORD_ISSR_208000430_MINORITIES</t>
  </si>
  <si>
    <t>Vector|||208000430|||ISSR|||EQ|||False|||</t>
  </si>
  <si>
    <t>V_KEYWORD_ISSR_208000430_EQ</t>
  </si>
  <si>
    <t>Vector|||208000430|||ISSR|||TOT_LIAB_EQ|||False|||</t>
  </si>
  <si>
    <t>V_KEYWORD_ISSR_208000430_TOT_LIAB_EQ</t>
  </si>
  <si>
    <t>Vector|||208000430|||ISSR|||TOT_USD_DEBT|||False|||</t>
  </si>
  <si>
    <t>V_KEYWORD_ISSR_208000430_TOT_USD_DEBT</t>
  </si>
  <si>
    <t>Vector|||208000430|||ISSR|||TOT_PCT_USD_DEBT_HEDGED|||False|||</t>
  </si>
  <si>
    <t>V_KEYWORD_ISSR_208000430_TOT_PCT_USD_DEBT_HEDGED</t>
  </si>
  <si>
    <t>Vector|||208000430|||ISSR|||FLOATING_PCT_LOCAL_DEBT|||False|||</t>
  </si>
  <si>
    <t>V_KEYWORD_ISSR_208000430_FLOATING_PCT_LOCAL_DEBT</t>
  </si>
  <si>
    <t>Vector|||208000430|||ISSR|||FLOATING_PCT_LOCAL_DEBT_HEDGED|||False|||</t>
  </si>
  <si>
    <t>V_KEYWORD_ISSR_208000430_FLOATING_PCT_LOCAL_DEBT_HEDGED</t>
  </si>
  <si>
    <t>Vector|||208000430|||ISSR|||NET_DEBT|||False|||</t>
  </si>
  <si>
    <t>V_KEYWORD_ISSR_208000430_NET_DEBT</t>
  </si>
  <si>
    <t>Vector|||208000430|||ISSR|||CAP_LEASES|||False|||</t>
  </si>
  <si>
    <t>V_KEYWORD_ISSR_208000430_CAP_LEASES</t>
  </si>
  <si>
    <t>Vector|||208000430|||ISSR|||DEF_INC_TAX|||False|||</t>
  </si>
  <si>
    <t>V_KEYWORD_ISSR_208000430_DEF_INC_TAX</t>
  </si>
  <si>
    <t>Vector|||208000430|||ISSR|||NET_OP_LOSS_CFWD|||False|||</t>
  </si>
  <si>
    <t>V_KEYWORD_ISSR_208000430_NET_OP_LOSS_CFWD</t>
  </si>
  <si>
    <t>Vector|||208000430|||ISSR|||MV_ASSOCIATES|||False|||</t>
  </si>
  <si>
    <t>V_KEYWORD_ISSR_208000430_MV_ASSOCIATES</t>
  </si>
  <si>
    <t>Vector|||208000430|||ISSR|||NET_DEBT_ADJ|||False|||</t>
  </si>
  <si>
    <t>V_KEYWORD_ISSR_208000430_NET_DEBT_ADJ</t>
  </si>
  <si>
    <t>Vector|||208000430|||ISSR|||CO_BOR_MARGIN|||False|||</t>
  </si>
  <si>
    <t>V_KEYWORD_ISSR_208000430_CO_BOR_MARGIN</t>
  </si>
  <si>
    <t>Vector|||208000430|||ISSR|||UNF_PENS|||False|||</t>
  </si>
  <si>
    <t>V_KEYWORD_ISSR_208000430_UNF_PENS</t>
  </si>
  <si>
    <t>Vector|||208000430|||ISSR|||UNF_PENS_OFF|||False|||</t>
  </si>
  <si>
    <t>V_KEYWORD_ISSR_208000430_UNF_PENS_OFF</t>
  </si>
  <si>
    <t>Vector|||208000430|||ISSR|||UNF_PENS_LIAB_OTH|||False|||</t>
  </si>
  <si>
    <t>V_KEYWORD_ISSR_208000430_UNF_PENS_LIAB_OTH</t>
  </si>
  <si>
    <t>Vector|||208000430|||ISSR|||ADJ_UNF_PENS_GOOD|||False|||</t>
  </si>
  <si>
    <t>V_KEYWORD_ISSR_208000430_ADJ_UNF_PENS_GOOD</t>
  </si>
  <si>
    <t>Vector|||208000430|||ISSR|||OTH_GCI_ADJ|||False|||</t>
  </si>
  <si>
    <t>V_KEYWORD_ISSR_208000430_OTH_GCI_ADJ</t>
  </si>
  <si>
    <t>Vector|||208000430|||ISSR|||GCI_INFL|||False|||</t>
  </si>
  <si>
    <t>V_KEYWORD_ISSR_208000430_GCI_INFL</t>
  </si>
  <si>
    <t>Vector|||208000430|||ISSR|||BAL_MINO_INT|||False|||</t>
  </si>
  <si>
    <t>V_KEYWORD_ISSR_208000430_BAL_MINO_INT</t>
  </si>
  <si>
    <t>Vector|||208000430|||ISSR|||ROU_ASSET|||False|||</t>
  </si>
  <si>
    <t>V_KEYWORD_ISSR_208000430_ROU_ASSET</t>
  </si>
  <si>
    <t>Vector|||208000430|||ISSR|||CF_INC_MINORITY|||False|||</t>
  </si>
  <si>
    <t>V_KEYWORD_ISSR_208000430_CF_INC_MINORITY</t>
  </si>
  <si>
    <t>Vector|||208000430|||ISSR|||DEPR_AMORT|||False|||</t>
  </si>
  <si>
    <t>V_KEYWORD_ISSR_208000430_DEPR_AMORT</t>
  </si>
  <si>
    <t>Vector|||208000430|||ISSR|||WORK_CAP|||False|||</t>
  </si>
  <si>
    <t>V_KEYWORD_ISSR_208000430_WORK_CAP</t>
  </si>
  <si>
    <t>Vector|||208000430|||ISSR|||OTH_OP_CF|||False|||</t>
  </si>
  <si>
    <t>V_KEYWORD_ISSR_208000430_OTH_OP_CF</t>
  </si>
  <si>
    <t>Vector|||208000430|||ISSR|||CF_OPS|||False|||</t>
  </si>
  <si>
    <t>V_KEYWORD_ISSR_208000430_CF_OPS</t>
  </si>
  <si>
    <t>Vector|||208000430|||ISSR|||CAPEX|||False|||</t>
  </si>
  <si>
    <t>V_KEYWORD_ISSR_208000430_CAPEX</t>
  </si>
  <si>
    <t>Vector|||208000430|||ISSR|||ACQ|||False|||</t>
  </si>
  <si>
    <t>V_KEYWORD_ISSR_208000430_ACQ</t>
  </si>
  <si>
    <t>Vector|||208000430|||ISSR|||DIVEST|||False|||</t>
  </si>
  <si>
    <t>V_KEYWORD_ISSR_208000430_DIVEST</t>
  </si>
  <si>
    <t>Vector|||208000430|||ISSR|||OTH_INV_CF|||False|||</t>
  </si>
  <si>
    <t>V_KEYWORD_ISSR_208000430_OTH_INV_CF</t>
  </si>
  <si>
    <t>Vector|||208000430|||ISSR|||CF_INV|||False|||</t>
  </si>
  <si>
    <t>V_KEYWORD_ISSR_208000430_CF_INV</t>
  </si>
  <si>
    <t>Vector|||208000430|||ISSR|||DIV_PAID|||False|||</t>
  </si>
  <si>
    <t>V_KEYWORD_ISSR_208000430_DIV_PAID</t>
  </si>
  <si>
    <t>Vector|||208000430|||ISSR|||SH_REPUR|||False|||</t>
  </si>
  <si>
    <t>V_KEYWORD_ISSR_208000430_SH_REPUR</t>
  </si>
  <si>
    <t>Vector|||208000430|||ISSR|||CHG_LT_DEBT|||False|||</t>
  </si>
  <si>
    <t>V_KEYWORD_ISSR_208000430_CHG_LT_DEBT</t>
  </si>
  <si>
    <t>Vector|||208000430|||ISSR|||LEASE_PRINCIPAL_CASH|||False|||</t>
  </si>
  <si>
    <t>V_KEYWORD_ISSR_208000430_LEASE_PRINCIPAL_CASH</t>
  </si>
  <si>
    <t>Vector|||208000430|||ISSR|||OTH_FIN_CF|||False|||</t>
  </si>
  <si>
    <t>V_KEYWORD_ISSR_208000430_OTH_FIN_CF</t>
  </si>
  <si>
    <t>Vector|||208000430|||ISSR|||CF_FIN|||False|||</t>
  </si>
  <si>
    <t>V_KEYWORD_ISSR_208000430_CF_FIN</t>
  </si>
  <si>
    <t>Vector|||208000430|||ISSR|||TOT_CF|||False|||</t>
  </si>
  <si>
    <t>V_KEYWORD_ISSR_208000430_TOT_CF</t>
  </si>
  <si>
    <t>Vector|||208000430|||ISSR|||ASSOC_JV_ADDBK|||False|||</t>
  </si>
  <si>
    <t>V_KEYWORD_ISSR_208000430_ASSOC_JV_ADDBK</t>
  </si>
  <si>
    <t>Vector|||208000430|||ISSR|||PL_SALE_ASSETS|||False|||</t>
  </si>
  <si>
    <t>V_KEYWORD_ISSR_208000430_PL_SALE_ASSETS</t>
  </si>
  <si>
    <t>Vector|||208000430|||ISSR|||OTH_NONCASH_ADJ|||False|||</t>
  </si>
  <si>
    <t>V_KEYWORD_ISSR_208000430_OTH_NONCASH_ADJ</t>
  </si>
  <si>
    <t>Vector|||208000430|||ISSR|||OTH_DACF_ADJ|||False|||</t>
  </si>
  <si>
    <t>V_KEYWORD_ISSR_208000430_OTH_DACF_ADJ</t>
  </si>
  <si>
    <t>Vector|||208000430|||ISSR|||CHG_DEF_TAX_CF|||False|||</t>
  </si>
  <si>
    <t>V_KEYWORD_ISSR_208000430_CHG_DEF_TAX_CF</t>
  </si>
  <si>
    <t>Vector|||208000430|||ISSR|||OTH_ADJ_CASH_TAX|||False|||</t>
  </si>
  <si>
    <t>V_KEYWORD_ISSR_208000430_OTH_ADJ_CASH_TAX</t>
  </si>
  <si>
    <t>Vector|||208000430|||ISSR|||CASH_INT_EXP|||False|||</t>
  </si>
  <si>
    <t>V_KEYWORD_ISSR_208000430_CASH_INT_EXP</t>
  </si>
  <si>
    <t>Vector|||208000430|||ISSR|||CASH_TAX_EXP|||False|||</t>
  </si>
  <si>
    <t>V_KEYWORD_ISSR_208000430_CASH_TAX_EXP</t>
  </si>
  <si>
    <t>Vector|||208000430|||ISSR|||DIVDS_ASSOC_JV|||False|||</t>
  </si>
  <si>
    <t>V_KEYWORD_ISSR_208000430_DIVDS_ASSOC_JV</t>
  </si>
  <si>
    <t>Vector|||208000430|||ISSR|||CAPEX_MAINTENANCE|||False|||</t>
  </si>
  <si>
    <t>V_KEYWORD_ISSR_208000430_CAPEX_MAINTENANCE</t>
  </si>
  <si>
    <t>Vector|||208000430|||ISSR|||CAPEX_EXPANSION|||False|||</t>
  </si>
  <si>
    <t>V_KEYWORD_ISSR_208000430_CAPEX_EXPANSION</t>
  </si>
  <si>
    <t>Vector|||208000430|||ISSR|||NONPPE_CAPEX|||False|||</t>
  </si>
  <si>
    <t>V_KEYWORD_ISSR_208000430_NONPPE_CAPEX</t>
  </si>
  <si>
    <t>Vector|||208000430|||ISSR|||DIVDS_PD_MINORITIES|||False|||</t>
  </si>
  <si>
    <t>V_KEYWORD_ISSR_208000430_DIVDS_PD_MINORITIES</t>
  </si>
  <si>
    <t>Vector|||208000430|||ISSR|||FCF_UNLEVERED|||False|||</t>
  </si>
  <si>
    <t>V_KEYWORD_ISSR_208000430_FCF_UNLEVERED</t>
  </si>
  <si>
    <t>Vector|||208000430|||ISSR|||LICENSE_REV|||False|||</t>
  </si>
  <si>
    <t>V_KEYWORD_ISSR_208000430_LICENSE_REV</t>
  </si>
  <si>
    <t>Vector|||208000430|||ISSR|||MAINTEN_REV|||False|||</t>
  </si>
  <si>
    <t>V_KEYWORD_ISSR_208000430_MAINTEN_REV</t>
  </si>
  <si>
    <t>Vector|||208000430|||ISSR|||EMPLOYEES|||False|||</t>
  </si>
  <si>
    <t>V_KEYWORD_ISSR_208000430_EMPLOYEES</t>
  </si>
  <si>
    <t>Vector|||208000430|||ISSR|||TOT_BILLINGS|||False|||</t>
  </si>
  <si>
    <t>V_KEYWORD_ISSR_208000430_TOT_BILLINGS</t>
  </si>
  <si>
    <t>Vector|||208000430|||ISSR|||ST_BILLINGS|||False|||</t>
  </si>
  <si>
    <t>V_KEYWORD_ISSR_208000430_ST_BILLINGS</t>
  </si>
  <si>
    <t>Vector|||208000430|||ISSR|||REM_PERF_OBLIG|||False|||</t>
  </si>
  <si>
    <t>V_KEYWORD_ISSR_208000430_REM_PERF_OBLIG</t>
  </si>
  <si>
    <t>Vector|||208000430|||ISSR|||CUR_REM_PERF_OBLIG|||False|||</t>
  </si>
  <si>
    <t>V_KEYWORD_ISSR_208000430_CUR_REM_PERF_OBLIG</t>
  </si>
  <si>
    <t>Scalar|||208000430|||ISSR|||SEGMENT1_REV_NAME|||False|||</t>
  </si>
  <si>
    <t>V_KEYWORD_ISSR_208000430_SEGMENT1_REV_NAME</t>
  </si>
  <si>
    <t>Vector|||208000430|||ISSR|||SEGMENT1_REV_VALUE|||False|||</t>
  </si>
  <si>
    <t>V_KEYWORD_ISSR_208000430_SEGMENT1_REV_VALUE</t>
  </si>
  <si>
    <t>Scalar|||208000430|||ISSR|||SEGMENT2_REV_NAME|||False|||</t>
  </si>
  <si>
    <t>V_KEYWORD_ISSR_208000430_SEGMENT2_REV_NAME</t>
  </si>
  <si>
    <t>Vector|||208000430|||ISSR|||SEGMENT2_REV_VALUE|||False|||</t>
  </si>
  <si>
    <t>V_KEYWORD_ISSR_208000430_SEGMENT2_REV_VALUE</t>
  </si>
  <si>
    <t>Scalar|||208000430|||ISSR|||SEGMENT3_REV_NAME|||False|||</t>
  </si>
  <si>
    <t>V_KEYWORD_ISSR_208000430_SEGMENT3_REV_NAME</t>
  </si>
  <si>
    <t>Vector|||208000430|||ISSR|||SEGMENT3_REV_VALUE|||False|||</t>
  </si>
  <si>
    <t>V_KEYWORD_ISSR_208000430_SEGMENT3_REV_VALUE</t>
  </si>
  <si>
    <t>Scalar|||208000430|||ISSR|||SEGMENT4_REV_NAME|||False|||</t>
  </si>
  <si>
    <t>V_KEYWORD_ISSR_208000430_SEGMENT4_REV_NAME</t>
  </si>
  <si>
    <t>Vector|||208000430|||ISSR|||SEGMENT4_REV_VALUE|||False|||</t>
  </si>
  <si>
    <t>V_KEYWORD_ISSR_208000430_SEGMENT4_REV_VALUE</t>
  </si>
  <si>
    <t>Scalar|||208000430|||ISSR|||SEGMENT5_REV_NAME|||False|||</t>
  </si>
  <si>
    <t>V_KEYWORD_ISSR_208000430_SEGMENT5_REV_NAME</t>
  </si>
  <si>
    <t>Vector|||208000430|||ISSR|||SEGMENT5_REV_VALUE|||False|||</t>
  </si>
  <si>
    <t>V_KEYWORD_ISSR_208000430_SEGMENT5_REV_VALUE</t>
  </si>
  <si>
    <t>Scalar|||208000430|||ISSR|||SEGMENT6_REV_NAME|||False|||</t>
  </si>
  <si>
    <t>V_KEYWORD_ISSR_208000430_SEGMENT6_REV_NAME</t>
  </si>
  <si>
    <t>Vector|||208000430|||ISSR|||SEGMENT6_REV_VALUE|||False|||</t>
  </si>
  <si>
    <t>V_KEYWORD_ISSR_208000430_SEGMENT6_REV_VALUE</t>
  </si>
  <si>
    <t>Scalar|||208000430|||ISSR|||SEGMENT7_REV_NAME|||False|||</t>
  </si>
  <si>
    <t>V_KEYWORD_ISSR_208000430_SEGMENT7_REV_NAME</t>
  </si>
  <si>
    <t>Vector|||208000430|||ISSR|||SEGMENT7_REV_VALUE|||False|||</t>
  </si>
  <si>
    <t>V_KEYWORD_ISSR_208000430_SEGMENT7_REV_VALUE</t>
  </si>
  <si>
    <t>Scalar|||208000430|||ISSR|||SEGMENT8_REV_NAME|||False|||</t>
  </si>
  <si>
    <t>V_KEYWORD_ISSR_208000430_SEGMENT8_REV_NAME</t>
  </si>
  <si>
    <t>Vector|||208000430|||ISSR|||SEGMENT8_REV_VALUE|||False|||</t>
  </si>
  <si>
    <t>V_KEYWORD_ISSR_208000430_SEGMENT8_REV_VALUE</t>
  </si>
  <si>
    <t>Scalar|||208000430|||ISSR|||SEGMENT9_REV_NAME|||False|||</t>
  </si>
  <si>
    <t>V_KEYWORD_ISSR_208000430_SEGMENT9_REV_NAME</t>
  </si>
  <si>
    <t>Vector|||208000430|||ISSR|||SEGMENT9_REV_VALUE|||False|||</t>
  </si>
  <si>
    <t>V_KEYWORD_ISSR_208000430_SEGMENT9_REV_VALUE</t>
  </si>
  <si>
    <t>Scalar|||208000430|||ISSR|||SEGMENT10_REV_NAME|||False|||</t>
  </si>
  <si>
    <t>V_KEYWORD_ISSR_208000430_SEGMENT10_REV_NAME</t>
  </si>
  <si>
    <t>Vector|||208000430|||ISSR|||SEGMENT10_REV_VALUE|||False|||</t>
  </si>
  <si>
    <t>V_KEYWORD_ISSR_208000430_SEGMENT10_REV_VALUE</t>
  </si>
  <si>
    <t>Vector|||208000430|||ISSR|||SALES_CANADA|||False|||</t>
  </si>
  <si>
    <t>V_KEYWORD_ISSR_208000430_SALES_CANADA</t>
  </si>
  <si>
    <t>Vector|||208000430|||ISSR|||SALES_US|||False|||</t>
  </si>
  <si>
    <t>V_KEYWORD_ISSR_208000430_SALES_US</t>
  </si>
  <si>
    <t>Vector|||208000430|||ISSR|||SALES_OTH_NO_AMER|||False|||</t>
  </si>
  <si>
    <t>V_KEYWORD_ISSR_208000430_SALES_OTH_NO_AMER</t>
  </si>
  <si>
    <t>Vector|||208000430|||ISSR|||SALES_ARGENTINA|||False|||</t>
  </si>
  <si>
    <t>V_KEYWORD_ISSR_208000430_SALES_ARGENTINA</t>
  </si>
  <si>
    <t>Vector|||208000430|||ISSR|||SALES_BRAZIL|||False|||</t>
  </si>
  <si>
    <t>V_KEYWORD_ISSR_208000430_SALES_BRAZIL</t>
  </si>
  <si>
    <t>Vector|||208000430|||ISSR|||SALES_CHILE|||False|||</t>
  </si>
  <si>
    <t>V_KEYWORD_ISSR_208000430_SALES_CHILE</t>
  </si>
  <si>
    <t>Vector|||208000430|||ISSR|||SALES_COLOMBIA|||False|||</t>
  </si>
  <si>
    <t>V_KEYWORD_ISSR_208000430_SALES_COLOMBIA</t>
  </si>
  <si>
    <t>Vector|||208000430|||ISSR|||SALES_MEXICO|||False|||</t>
  </si>
  <si>
    <t>V_KEYWORD_ISSR_208000430_SALES_MEXICO</t>
  </si>
  <si>
    <t>Vector|||208000430|||ISSR|||SALES_VENEZUELA|||False|||</t>
  </si>
  <si>
    <t>V_KEYWORD_ISSR_208000430_SALES_VENEZUELA</t>
  </si>
  <si>
    <t>Vector|||208000430|||ISSR|||SALES_OTH_LATAM|||False|||</t>
  </si>
  <si>
    <t>V_KEYWORD_ISSR_208000430_SALES_OTH_LATAM</t>
  </si>
  <si>
    <t>Vector|||208000430|||ISSR|||SALES_AUSTRIA|||False|||</t>
  </si>
  <si>
    <t>V_KEYWORD_ISSR_208000430_SALES_AUSTRIA</t>
  </si>
  <si>
    <t>Vector|||208000430|||ISSR|||SALES_COMPANY0377|||False|||</t>
  </si>
  <si>
    <t>V_KEYWORD_ISSR_208000430_SALES_COMPANY0377</t>
  </si>
  <si>
    <t>Vector|||208000430|||ISSR|||SALES_FRA|||False|||</t>
  </si>
  <si>
    <t>V_KEYWORD_ISSR_208000430_SALES_FRA</t>
  </si>
  <si>
    <t>Vector|||208000430|||ISSR|||SALES_GER|||False|||</t>
  </si>
  <si>
    <t>V_KEYWORD_ISSR_208000430_SALES_GER</t>
  </si>
  <si>
    <t>Vector|||208000430|||ISSR|||SALES_GRE|||False|||</t>
  </si>
  <si>
    <t>V_KEYWORD_ISSR_208000430_SALES_GRE</t>
  </si>
  <si>
    <t>Vector|||208000430|||ISSR|||SALES_IRE|||False|||</t>
  </si>
  <si>
    <t>V_KEYWORD_ISSR_208000430_SALES_IRE</t>
  </si>
  <si>
    <t>Vector|||208000430|||ISSR|||SALES_ITA|||False|||</t>
  </si>
  <si>
    <t>V_KEYWORD_ISSR_208000430_SALES_ITA</t>
  </si>
  <si>
    <t>Vector|||208000430|||ISSR|||SALES_NETH|||False|||</t>
  </si>
  <si>
    <t>V_KEYWORD_ISSR_208000430_SALES_NETH</t>
  </si>
  <si>
    <t>Vector|||208000430|||ISSR|||SALES_NOR|||False|||</t>
  </si>
  <si>
    <t>V_KEYWORD_ISSR_208000430_SALES_NOR</t>
  </si>
  <si>
    <t>Vector|||208000430|||ISSR|||SALES_POR|||False|||</t>
  </si>
  <si>
    <t>V_KEYWORD_ISSR_208000430_SALES_POR</t>
  </si>
  <si>
    <t>Vector|||208000430|||ISSR|||SALES_SPA|||False|||</t>
  </si>
  <si>
    <t>V_KEYWORD_ISSR_208000430_SALES_SPA</t>
  </si>
  <si>
    <t>Vector|||208000430|||ISSR|||SALES_SWE|||False|||</t>
  </si>
  <si>
    <t>V_KEYWORD_ISSR_208000430_SALES_SWE</t>
  </si>
  <si>
    <t>Vector|||208000430|||ISSR|||SALES_SWIT|||False|||</t>
  </si>
  <si>
    <t>V_KEYWORD_ISSR_208000430_SALES_SWIT</t>
  </si>
  <si>
    <t>Vector|||208000430|||ISSR|||SALES_UK|||False|||</t>
  </si>
  <si>
    <t>V_KEYWORD_ISSR_208000430_SALES_UK</t>
  </si>
  <si>
    <t>Vector|||208000430|||ISSR|||SALES_OTH_WEST_EURO|||False|||</t>
  </si>
  <si>
    <t>V_KEYWORD_ISSR_208000430_SALES_OTH_WEST_EURO</t>
  </si>
  <si>
    <t>Vector|||208000430|||ISSR|||SALES_POLAND|||False|||</t>
  </si>
  <si>
    <t>V_KEYWORD_ISSR_208000430_SALES_POLAND</t>
  </si>
  <si>
    <t>Vector|||208000430|||ISSR|||SALES_RUSSIA|||False|||</t>
  </si>
  <si>
    <t>V_KEYWORD_ISSR_208000430_SALES_RUSSIA</t>
  </si>
  <si>
    <t>Vector|||208000430|||ISSR|||SALES_TURKEY|||False|||</t>
  </si>
  <si>
    <t>V_KEYWORD_ISSR_208000430_SALES_TURKEY</t>
  </si>
  <si>
    <t>Vector|||208000430|||ISSR|||SALES_OTH_CEE|||False|||</t>
  </si>
  <si>
    <t>V_KEYWORD_ISSR_208000430_SALES_OTH_CEE</t>
  </si>
  <si>
    <t>Vector|||208000430|||ISSR|||SALES_SAUDI_ARABIA|||False|||</t>
  </si>
  <si>
    <t>V_KEYWORD_ISSR_208000430_SALES_SAUDI_ARABIA</t>
  </si>
  <si>
    <t>Vector|||208000430|||ISSR|||SALES_UAE|||False|||</t>
  </si>
  <si>
    <t>V_KEYWORD_ISSR_208000430_SALES_UAE</t>
  </si>
  <si>
    <t>Vector|||208000430|||ISSR|||SALES_OTH_ME|||False|||</t>
  </si>
  <si>
    <t>V_KEYWORD_ISSR_208000430_SALES_OTH_ME</t>
  </si>
  <si>
    <t>Vector|||208000430|||ISSR|||SALES_NIGERIA|||False|||</t>
  </si>
  <si>
    <t>V_KEYWORD_ISSR_208000430_SALES_NIGERIA</t>
  </si>
  <si>
    <t>Vector|||208000430|||ISSR|||SALES_SO_AFRICA|||False|||</t>
  </si>
  <si>
    <t>V_KEYWORD_ISSR_208000430_SALES_SO_AFRICA</t>
  </si>
  <si>
    <t>Vector|||208000430|||ISSR|||SALES_OTH_AFRICA|||False|||</t>
  </si>
  <si>
    <t>V_KEYWORD_ISSR_208000430_SALES_OTH_AFRICA</t>
  </si>
  <si>
    <t>Vector|||208000430|||ISSR|||SALES_HONG_KONG|||False|||</t>
  </si>
  <si>
    <t>V_KEYWORD_ISSR_208000430_SALES_HONG_KONG</t>
  </si>
  <si>
    <t>Vector|||208000430|||ISSR|||SALES_JAPAN|||False|||</t>
  </si>
  <si>
    <t>V_KEYWORD_ISSR_208000430_SALES_JAPAN</t>
  </si>
  <si>
    <t>Vector|||208000430|||ISSR|||SALES_SINGAPORE|||False|||</t>
  </si>
  <si>
    <t>V_KEYWORD_ISSR_208000430_SALES_SINGAPORE</t>
  </si>
  <si>
    <t>Vector|||208000430|||ISSR|||SALES_SK|||False|||</t>
  </si>
  <si>
    <t>V_KEYWORD_ISSR_208000430_SALES_SK</t>
  </si>
  <si>
    <t>Vector|||208000430|||ISSR|||SALES_TAIWAN|||False|||</t>
  </si>
  <si>
    <t>V_KEYWORD_ISSR_208000430_SALES_TAIWAN</t>
  </si>
  <si>
    <t>Vector|||208000430|||ISSR|||SALES_OTH_DEV_ASIA|||False|||</t>
  </si>
  <si>
    <t>V_KEYWORD_ISSR_208000430_SALES_OTH_DEV_ASIA</t>
  </si>
  <si>
    <t>Vector|||208000430|||ISSR|||SALES_CHINA|||False|||</t>
  </si>
  <si>
    <t>V_KEYWORD_ISSR_208000430_SALES_CHINA</t>
  </si>
  <si>
    <t>Vector|||208000430|||ISSR|||SALES_INDIA|||False|||</t>
  </si>
  <si>
    <t>V_KEYWORD_ISSR_208000430_SALES_INDIA</t>
  </si>
  <si>
    <t>Vector|||208000430|||ISSR|||SALES_INDONESIA|||False|||</t>
  </si>
  <si>
    <t>V_KEYWORD_ISSR_208000430_SALES_INDONESIA</t>
  </si>
  <si>
    <t>Vector|||208000430|||ISSR|||SALES_THAILAND|||False|||</t>
  </si>
  <si>
    <t>V_KEYWORD_ISSR_208000430_SALES_THAILAND</t>
  </si>
  <si>
    <t>Vector|||208000430|||ISSR|||SALES_OTH_EMERG_ASIA|||False|||</t>
  </si>
  <si>
    <t>V_KEYWORD_ISSR_208000430_SALES_OTH_EMERG_ASIA</t>
  </si>
  <si>
    <t>Vector|||208000430|||ISSR|||SALES_AUSTRA|||False|||</t>
  </si>
  <si>
    <t>V_KEYWORD_ISSR_208000430_SALES_AUSTRA</t>
  </si>
  <si>
    <t>Vector|||208000430|||ISSR|||SALES_NZ|||False|||</t>
  </si>
  <si>
    <t>V_KEYWORD_ISSR_208000430_SALES_NZ</t>
  </si>
  <si>
    <t>Vector|||208000430|||ISSR|||SALES_OTHER|||False|||</t>
  </si>
  <si>
    <t>V_KEYWORD_ISSR_208000430_SALES_OTHER</t>
  </si>
  <si>
    <t>Vector|||208000430|||ISSR|||COGS_PCT_US|||False|||</t>
  </si>
  <si>
    <t>V_KEYWORD_ISSR_208000430_COGS_PCT_US</t>
  </si>
  <si>
    <t>Vector|||208000430|||ISSR|||COGS_PCT_ROW|||False|||</t>
  </si>
  <si>
    <t>V_KEYWORD_ISSR_208000430_COGS_PCT_ROW</t>
  </si>
  <si>
    <t>Vector|||208000430|||ISSR|||SGA_PCT_US|||False|||</t>
  </si>
  <si>
    <t>V_KEYWORD_ISSR_208000430_SGA_PCT_US</t>
  </si>
  <si>
    <t>Vector|||208000430|||ISSR|||SGA_PCT_ROW|||False|||</t>
  </si>
  <si>
    <t>V_KEYWORD_ISSR_208000430_SGA_PCT_ROW</t>
  </si>
  <si>
    <t>Vector|||208000430|||ISSR|||SALES_CONS|||False|||</t>
  </si>
  <si>
    <t>V_KEYWORD_ISSR_208000430_SALES_CONS</t>
  </si>
  <si>
    <t>Vector|||208000430|||ISSR|||SALES_IND|||False|||</t>
  </si>
  <si>
    <t>V_KEYWORD_ISSR_208000430_SALES_IND</t>
  </si>
  <si>
    <t>Vector|||208000430|||ISSR|||SALES_GOV|||False|||</t>
  </si>
  <si>
    <t>V_KEYWORD_ISSR_208000430_SALES_GOV</t>
  </si>
  <si>
    <t>Vector|||208000430|||ISSR|||SALES_FINAN|||False|||</t>
  </si>
  <si>
    <t>V_KEYWORD_ISSR_208000430_SALES_FINAN</t>
  </si>
  <si>
    <t>Vector|||208000430|||ISSR|||SALES_OIL_GAS|||False|||</t>
  </si>
  <si>
    <t>V_KEYWORD_ISSR_208000430_SALES_OIL_GAS</t>
  </si>
  <si>
    <t>Vector|||208000430|||ISSR|||SALES_SMB|||False|||</t>
  </si>
  <si>
    <t>V_KEYWORD_ISSR_208000430_SALES_SMB</t>
  </si>
  <si>
    <t>Vector|||208000430|||ISSR|||CASH_PCT_OS_US|||False|||</t>
  </si>
  <si>
    <t>V_KEYWORD_ISSR_208000430_CASH_PCT_OS_US</t>
  </si>
  <si>
    <t>Vector|||208000430|||ISSR|||REV_FIN_SEGMENT|||False|||</t>
  </si>
  <si>
    <t>V_KEYWORD_ISSR_208000430_REV_FIN_SEGMENT</t>
  </si>
  <si>
    <t>Vector|||208000430|||ISSR|||EBIT_FIN_SEGMENT|||False|||</t>
  </si>
  <si>
    <t>V_KEYWORD_ISSR_208000430_EBIT_FIN_SEGMENT</t>
  </si>
  <si>
    <t>Vector|||208000430|||ISSR|||EXP_OIL_PETRO_FUEL|||False|||</t>
  </si>
  <si>
    <t>V_KEYWORD_ISSR_208000430_EXP_OIL_PETRO_FUEL</t>
  </si>
  <si>
    <t>Vector|||208000430|||ISSR|||EXP_OIL_DERIV_NGLS_PLASTICS|||False|||</t>
  </si>
  <si>
    <t>V_KEYWORD_ISSR_208000430_EXP_OIL_DERIV_NGLS_PLASTICS</t>
  </si>
  <si>
    <t>Vector|||208000430|||ISSR|||SALES_FX_GPB|||False|||</t>
  </si>
  <si>
    <t>V_KEYWORD_ISSR_208000430_SALES_FX_GPB</t>
  </si>
  <si>
    <t>Vector|||208000430|||ISSR|||SALES_FX_EUR|||False|||</t>
  </si>
  <si>
    <t>V_KEYWORD_ISSR_208000430_SALES_FX_EUR</t>
  </si>
  <si>
    <t>Vector|||208000430|||ISSR|||SALES_FX_RUB|||False|||</t>
  </si>
  <si>
    <t>V_KEYWORD_ISSR_208000430_SALES_FX_RUB</t>
  </si>
  <si>
    <t>Vector|||208000430|||ISSR|||SALES_FX_USD|||False|||</t>
  </si>
  <si>
    <t>V_KEYWORD_ISSR_208000430_SALES_FX_USD</t>
  </si>
  <si>
    <t>Vector|||208000430|||ISSR|||SALES_FX_BRL|||False|||</t>
  </si>
  <si>
    <t>V_KEYWORD_ISSR_208000430_SALES_FX_BRL</t>
  </si>
  <si>
    <t>Vector|||208000430|||ISSR|||SALES_FX_YEN|||False|||</t>
  </si>
  <si>
    <t>V_KEYWORD_ISSR_208000430_SALES_FX_YEN</t>
  </si>
  <si>
    <t>Vector|||208000430|||ISSR|||SALES_FX_CNY|||False|||</t>
  </si>
  <si>
    <t>V_KEYWORD_ISSR_208000430_SALES_FX_CNY</t>
  </si>
  <si>
    <t>Vector|||208000430|||ISSR|||SALES_FX_INR|||False|||</t>
  </si>
  <si>
    <t>V_KEYWORD_ISSR_208000430_SALES_FX_INR</t>
  </si>
  <si>
    <t>Vector|||208000430|||ISSR|||SALES_FX_CAD|||False|||</t>
  </si>
  <si>
    <t>V_KEYWORD_ISSR_208000430_SALES_FX_CAD</t>
  </si>
  <si>
    <t>Vector|||208000430|||ISSR|||SALES_FX_MXN|||False|||</t>
  </si>
  <si>
    <t>V_KEYWORD_ISSR_208000430_SALES_FX_MXN</t>
  </si>
  <si>
    <t>Vector|||208000430|||ISSR|||SALES_FX_COP|||False|||</t>
  </si>
  <si>
    <t>V_KEYWORD_ISSR_208000430_SALES_FX_COP</t>
  </si>
  <si>
    <t>Vector|||208000430|||ISSR|||SALES_FX_ARS|||False|||</t>
  </si>
  <si>
    <t>V_KEYWORD_ISSR_208000430_SALES_FX_ARS</t>
  </si>
  <si>
    <t>Vector|||208000430|||ISSR|||SALES_FX_CLP|||False|||</t>
  </si>
  <si>
    <t>V_KEYWORD_ISSR_208000430_SALES_FX_CLP</t>
  </si>
  <si>
    <t>Vector|||208000430|||ISSR|||SALES_FX_VEF|||False|||</t>
  </si>
  <si>
    <t>V_KEYWORD_ISSR_208000430_SALES_FX_VEF</t>
  </si>
  <si>
    <t>Vector|||208000430|||ISSR|||SALES_FX_OTH|||False|||</t>
  </si>
  <si>
    <t>V_KEYWORD_ISSR_208000430_SALES_FX_OTH</t>
  </si>
  <si>
    <t>Vector|||208000430|||ISSR|||SALES_TOT_AM|||False|||</t>
  </si>
  <si>
    <t>V_KEYWORD_ISSR_208000430_SALES_TOT_AM</t>
  </si>
  <si>
    <t>Vector|||208000430|||ISSR|||SALES_OTH_AM|||False|||</t>
  </si>
  <si>
    <t>V_KEYWORD_ISSR_208000430_SALES_OTH_AM</t>
  </si>
  <si>
    <t>Vector|||208000430|||ISSR|||SALES_TOT_EMEA|||False|||</t>
  </si>
  <si>
    <t>V_KEYWORD_ISSR_208000430_SALES_TOT_EMEA</t>
  </si>
  <si>
    <t>Vector|||208000430|||ISSR|||SALES_EU_EX_UK|||False|||</t>
  </si>
  <si>
    <t>V_KEYWORD_ISSR_208000430_SALES_EU_EX_UK</t>
  </si>
  <si>
    <t>Vector|||208000430|||ISSR|||SALES_CEE|||False|||</t>
  </si>
  <si>
    <t>V_KEYWORD_ISSR_208000430_SALES_CEE</t>
  </si>
  <si>
    <t>Vector|||208000430|||ISSR|||SALES_ME|||False|||</t>
  </si>
  <si>
    <t>V_KEYWORD_ISSR_208000430_SALES_ME</t>
  </si>
  <si>
    <t>Vector|||208000430|||ISSR|||SALES_TOT_AFRICA|||False|||</t>
  </si>
  <si>
    <t>V_KEYWORD_ISSR_208000430_SALES_TOT_AFRICA</t>
  </si>
  <si>
    <t>Vector|||208000430|||ISSR|||SALES_OTH_EMEA|||False|||</t>
  </si>
  <si>
    <t>V_KEYWORD_ISSR_208000430_SALES_OTH_EMEA</t>
  </si>
  <si>
    <t>Vector|||208000430|||ISSR|||SALES_TOT_ASIA|||False|||</t>
  </si>
  <si>
    <t>V_KEYWORD_ISSR_208000430_SALES_TOT_ASIA</t>
  </si>
  <si>
    <t>Vector|||208000430|||ISSR|||SALES_OTH_AEJ|||False|||</t>
  </si>
  <si>
    <t>V_KEYWORD_ISSR_208000430_SALES_OTH_AEJ</t>
  </si>
  <si>
    <t>Scalar|||200001320|||EQTY|||PUB_CURRENCY_ISO|||False|||</t>
  </si>
  <si>
    <t>V_KEYWORD_EQTY_200001320_PUB_CURRENCY_ISO</t>
  </si>
  <si>
    <t>Scalar|||200001320|||EQTY|||PRICE_CURRENCY_ISO|||False|||</t>
  </si>
  <si>
    <t>V_KEYWORD_EQTY_200001320_PRICE_CURRENCY_ISO</t>
  </si>
  <si>
    <t>Scalar|||200001320|||EQTY|||CURRENCY_ISO|||False|||</t>
  </si>
  <si>
    <t>V_KEYWORD_EQTY_200001320_CURRENCY_ISO</t>
  </si>
  <si>
    <t>Scalar|||200001320|||EQTY|||AMER_LIST|||False|||</t>
  </si>
  <si>
    <t>V_KEYWORD_EQTY_200001320_AMER_LIST</t>
  </si>
  <si>
    <t>Scalar|||200001320|||EQTY|||NOT IN USE|||False|||</t>
  </si>
  <si>
    <t>V_KEYWORD_EQTY_200001320_NOT_IN_USE</t>
  </si>
  <si>
    <t>Scalar|||200001320|||EQTY|||LEGAL_RATING|||False|||</t>
  </si>
  <si>
    <t>V_KEYWORD_EQTY_200001320_LEGAL_RATING</t>
  </si>
  <si>
    <t>Scalar|||200001320|||EQTY|||TARGET_PRICE|||False|||</t>
  </si>
  <si>
    <t>V_KEYWORD_EQTY_200001320_TARGET_PRICE</t>
  </si>
  <si>
    <t>Scalar|||200001320|||EQTY|||TP_PERIOD|||False|||</t>
  </si>
  <si>
    <t>V_KEYWORD_EQTY_200001320_TP_PERIOD</t>
  </si>
  <si>
    <t>Scalar|||200001320|||EQTY|||TARGET_PRICE_FUNDAMENTAL|||False|||</t>
  </si>
  <si>
    <t>V_KEYWORD_EQTY_200001320_TARGET_PRICE_FUNDAMENTAL</t>
  </si>
  <si>
    <t>Scalar|||200001320|||EQTY|||TARGET_PRICE_MA|||False|||</t>
  </si>
  <si>
    <t>V_KEYWORD_EQTY_200001320_TARGET_PRICE_MA</t>
  </si>
  <si>
    <t>Scalar|||200001320|||EQTY|||NUM_SH|||False|||</t>
  </si>
  <si>
    <t>V_KEYWORD_EQTY_200001320_NUM_SH</t>
  </si>
  <si>
    <t>Scalar|||200001320|||EQTY|||FREE_FLOAT|||False|||</t>
  </si>
  <si>
    <t>V_KEYWORD_EQTY_200001320_FREE_FLOAT</t>
  </si>
  <si>
    <t>Vector|||200001320|||EQTY|||BVPS_PUB|||False|||</t>
  </si>
  <si>
    <t>V_KEYWORD_EQTY_200001320_BVPS_PUB</t>
  </si>
  <si>
    <t>Vector|||200001320|||EQTY|||DPS_PUB|||False|||</t>
  </si>
  <si>
    <t>V_KEYWORD_EQTY_200001320_DPS_PUB</t>
  </si>
  <si>
    <t>Vector|||200001320|||EQTY|||DPS_SPECIAL_PUB|||False|||</t>
  </si>
  <si>
    <t>V_KEYWORD_EQTY_200001320_DPS_SPECIAL_PUB</t>
  </si>
  <si>
    <t>Vector|||200001320|||EQTY|||EBITDA_PUB|||False|||</t>
  </si>
  <si>
    <t>V_KEYWORD_EQTY_200001320_EBITDA_PUB</t>
  </si>
  <si>
    <t>Vector|||200001320|||EQTY|||EPS_PUB|||False|||</t>
  </si>
  <si>
    <t>V_KEYWORD_EQTY_200001320_EPS_PUB</t>
  </si>
  <si>
    <t>Vector|||200001320|||EQTY|||CEEE_EPS|||False|||</t>
  </si>
  <si>
    <t>V_KEYWORD_EQTY_200001320_CEEE_EPS</t>
  </si>
  <si>
    <t>Vector|||200001320|||EQTY|||EPS_PUB_EX_ESO|||False|||</t>
  </si>
  <si>
    <t>V_KEYWORD_EQTY_200001320_EPS_PUB_EX_ESO</t>
  </si>
  <si>
    <t>Vector|||200001320|||EQTY|||EV_ADJ_PUB|||False|||</t>
  </si>
  <si>
    <t>V_KEYWORD_EQTY_200001320_EV_ADJ_PUB</t>
  </si>
  <si>
    <t>Vector|||200001320|||EQTY|||NET_DEBT_PUB|||False|||</t>
  </si>
  <si>
    <t>V_KEYWORD_EQTY_200001320_NET_DEBT_PUB</t>
  </si>
  <si>
    <t>Vector|||200001320|||EQTY|||NET_DEBT_EX_LEASES_PUB|||False|||</t>
  </si>
  <si>
    <t>V_KEYWORD_EQTY_200001320_NET_DEBT_EX_LEASES_PUB</t>
  </si>
  <si>
    <t>Vector|||200001320|||EQTY|||CEEE_NDEBT|||False|||</t>
  </si>
  <si>
    <t>V_KEYWORD_EQTY_200001320_CEEE_NDEBT</t>
  </si>
  <si>
    <t>Vector|||200001320|||EQTY|||NI_PUB|||False|||</t>
  </si>
  <si>
    <t>V_KEYWORD_EQTY_200001320_NI_PUB</t>
  </si>
  <si>
    <t>Vector|||200001320|||EQTY|||EBIT_PUB|||False|||</t>
  </si>
  <si>
    <t>V_KEYWORD_EQTY_200001320_EBIT_PUB</t>
  </si>
  <si>
    <t>Vector|||200001320|||EQTY|||PTP_PUB|||False|||</t>
  </si>
  <si>
    <t>V_KEYWORD_EQTY_200001320_PTP_PUB</t>
  </si>
  <si>
    <t>Vector|||200001320|||EQTY|||REVS_PUB|||False|||</t>
  </si>
  <si>
    <t>V_KEYWORD_EQTY_200001320_REVS_PUB</t>
  </si>
  <si>
    <t>Vector|||200001320|||EQTY|||EQ_PUB|||False|||</t>
  </si>
  <si>
    <t>V_KEYWORD_EQTY_200001320_EQ_PUB</t>
  </si>
  <si>
    <t>Vector|||200001320|||EQTY|||PROV_INC_TAX|||False|||</t>
  </si>
  <si>
    <t>V_KEYWORD_EQTY_200001320_PROV_INC_TAX</t>
  </si>
  <si>
    <t>Vector|||200001320|||EQTY|||INC_MINORITY|||False|||</t>
  </si>
  <si>
    <t>V_KEYWORD_EQTY_200001320_INC_MINORITY</t>
  </si>
  <si>
    <t>Vector|||200001320|||EQTY|||NI_PRE_PREF|||False|||</t>
  </si>
  <si>
    <t>V_KEYWORD_EQTY_200001320_NI_PRE_PREF</t>
  </si>
  <si>
    <t>Vector|||200001320|||EQTY|||PREF_DIV|||False|||</t>
  </si>
  <si>
    <t>V_KEYWORD_EQTY_200001320_PREF_DIV</t>
  </si>
  <si>
    <t>Vector|||200001320|||EQTY|||NET_EARNING|||False|||</t>
  </si>
  <si>
    <t>V_KEYWORD_EQTY_200001320_NET_EARNING</t>
  </si>
  <si>
    <t>Vector|||200001320|||EQTY|||TAX_EXC|||False|||</t>
  </si>
  <si>
    <t>V_KEYWORD_EQTY_200001320_TAX_EXC</t>
  </si>
  <si>
    <t>Vector|||200001320|||EQTY|||NET_INC|||False|||</t>
  </si>
  <si>
    <t>V_KEYWORD_EQTY_200001320_NET_INC</t>
  </si>
  <si>
    <t>Vector|||200001320|||EQTY|||EPS|||False|||</t>
  </si>
  <si>
    <t>V_KEYWORD_EQTY_200001320_EPS</t>
  </si>
  <si>
    <t>Vector|||200001320|||EQTY|||EPS_FUL_DIL|||False|||</t>
  </si>
  <si>
    <t>V_KEYWORD_EQTY_200001320_EPS_FUL_DIL</t>
  </si>
  <si>
    <t>Vector|||200001320|||EQTY|||EPS_POST_BASIC|||False|||</t>
  </si>
  <si>
    <t>V_KEYWORD_EQTY_200001320_EPS_POST_BASIC</t>
  </si>
  <si>
    <t>Vector|||200001320|||EQTY|||FULLY_DIL_EPS|||False|||</t>
  </si>
  <si>
    <t>V_KEYWORD_EQTY_200001320_FULLY_DIL_EPS</t>
  </si>
  <si>
    <t>Vector|||200001320|||EQTY|||COMMON_DIV_PAID|||False|||</t>
  </si>
  <si>
    <t>V_KEYWORD_EQTY_200001320_COMMON_DIV_PAID</t>
  </si>
  <si>
    <t>Vector|||200001320|||EQTY|||DPS|||False|||</t>
  </si>
  <si>
    <t>V_KEYWORD_EQTY_200001320_DPS</t>
  </si>
  <si>
    <t>Vector|||200001320|||EQTY|||SH|||False|||</t>
  </si>
  <si>
    <t>V_KEYWORD_EQTY_200001320_SH</t>
  </si>
  <si>
    <t>Vector|||200001320|||EQTY|||DILUTE_SHARES|||False|||</t>
  </si>
  <si>
    <t>V_KEYWORD_EQTY_200001320_DILUTE_SHARES</t>
  </si>
  <si>
    <t>Vector|||200001320|||EQTY|||NON_OP_ADD|||False|||</t>
  </si>
  <si>
    <t>V_KEYWORD_EQTY_200001320_NON_OP_ADD</t>
  </si>
  <si>
    <t>Vector|||200001320|||EQTY|||MARGIN_TAX_RATE|||False|||</t>
  </si>
  <si>
    <t>V_KEYWORD_EQTY_200001320_MARGIN_TAX_RATE</t>
  </si>
  <si>
    <t>Vector|||200001320|||EQTY|||FV_GRANT|||False|||</t>
  </si>
  <si>
    <t>V_KEYWORD_EQTY_200001320_FV_GRANT</t>
  </si>
  <si>
    <t>Vector|||200001320|||EQTY|||ESO_POST_TAX|||False|||</t>
  </si>
  <si>
    <t>V_KEYWORD_EQTY_200001320_ESO_POST_TAX</t>
  </si>
  <si>
    <t>Vector|||200001320|||EQTY|||EPS_EX_ESO_B|||False|||</t>
  </si>
  <si>
    <t>V_KEYWORD_EQTY_200001320_EPS_EX_ESO_B</t>
  </si>
  <si>
    <t>Vector|||200001320|||EQTY|||EPS_EX_ESO_D|||False|||</t>
  </si>
  <si>
    <t>V_KEYWORD_EQTY_200001320_EPS_EX_ESO_D</t>
  </si>
  <si>
    <t>Scalar|||200001320|||EQTY|||ESO_YEAR|||False|||</t>
  </si>
  <si>
    <t>V_KEYWORD_EQTY_200001320_ESO_YEAR</t>
  </si>
  <si>
    <t>Vector|||200001320|||EQTY|||BVPS|||False|||</t>
  </si>
  <si>
    <t>V_KEYWORD_EQTY_200001320_BVPS</t>
  </si>
  <si>
    <t>Scalar|||200001320|||EQTY|||REPUR_TOT_AUTH|||False|||</t>
  </si>
  <si>
    <t>V_KEYWORD_EQTY_200001320_REPUR_TOT_AUTH</t>
  </si>
  <si>
    <t>Scalar|||200001320|||EQTY|||REPUR_REMAINING|||False|||</t>
  </si>
  <si>
    <t>V_KEYWORD_EQTY_200001320_REPUR_REMAINING</t>
  </si>
  <si>
    <t>Scalar|||200001320|||EQTY|||REPUR_SUSPENDED|||False|||</t>
  </si>
  <si>
    <t>V_KEYWORD_EQTY_200001320_REPUR_SUSPENDED</t>
  </si>
  <si>
    <t>Vector|||200001320|||EQTY|||REPUR_ACTUAL|||False|||</t>
  </si>
  <si>
    <t>V_KEYWORD_EQTY_200001320_REPUR_ACTUAL</t>
  </si>
  <si>
    <t>Vector|||200001320|||EQTY|||CF_NI_PRE_PREF|||False|||</t>
  </si>
  <si>
    <t>V_KEYWORD_EQTY_200001320_CF_NI_PRE_PREF</t>
  </si>
  <si>
    <t>Scalar|||200001320|||EQTY|||BETA_ANALYST|||False|||</t>
  </si>
  <si>
    <t>V_KEYWORD_EQTY_200001320_BETA_ANALYST</t>
  </si>
  <si>
    <t>Scalar|||200001320|||EQTY|||MKT_EQ_RISK_PREM|||False|||</t>
  </si>
  <si>
    <t>V_KEYWORD_EQTY_200001320_MKT_EQ_RISK_PREM</t>
  </si>
  <si>
    <t>Scalar|||200001320|||EQTY|||RISK_FR_RATE|||False|||</t>
  </si>
  <si>
    <t>V_KEYWORD_EQTY_200001320_RISK_FR_RATE</t>
  </si>
  <si>
    <t>2002 Q1</t>
  </si>
  <si>
    <t>2002 Q2</t>
  </si>
  <si>
    <t>2002 Q3</t>
  </si>
  <si>
    <t>2002 Q4</t>
  </si>
  <si>
    <t>2001 Q1</t>
  </si>
  <si>
    <t>2001 Q2</t>
  </si>
  <si>
    <t>2001 Q3</t>
  </si>
  <si>
    <t>2001 Q4</t>
  </si>
  <si>
    <t>2000 Q1</t>
  </si>
  <si>
    <t>2000 Q2</t>
  </si>
  <si>
    <t>2000 Q3</t>
  </si>
  <si>
    <t>2000 Q4</t>
  </si>
  <si>
    <t>1999 Q1</t>
  </si>
  <si>
    <t>1999 Q2</t>
  </si>
  <si>
    <t>1999 Q3</t>
  </si>
  <si>
    <t>1999 Q4</t>
  </si>
  <si>
    <t>1998 Q1</t>
  </si>
  <si>
    <t>1998 Q2</t>
  </si>
  <si>
    <t>1998 Q3</t>
  </si>
  <si>
    <t>1998 Q4</t>
  </si>
  <si>
    <t>1997 Q1</t>
  </si>
  <si>
    <t>1997 Q2</t>
  </si>
  <si>
    <t>1997 Q3</t>
  </si>
  <si>
    <t>1997 Q4</t>
  </si>
  <si>
    <t>1996 Q1</t>
  </si>
  <si>
    <t>1996 Q2</t>
  </si>
  <si>
    <t>1996 Q3</t>
  </si>
  <si>
    <t>1996 Q4</t>
  </si>
  <si>
    <t>Employees</t>
  </si>
  <si>
    <t>Net New CapEx (yoy)</t>
  </si>
  <si>
    <t>Net New CapEx (qoq)</t>
  </si>
  <si>
    <t>United States Sales</t>
  </si>
  <si>
    <t>Other Countries Sales</t>
  </si>
  <si>
    <t>% US Sales</t>
  </si>
  <si>
    <t>% Other Sales</t>
  </si>
  <si>
    <t>Operations</t>
  </si>
  <si>
    <t>Research and Development</t>
  </si>
  <si>
    <t>Sales and Marketing</t>
  </si>
  <si>
    <t>General and Administration</t>
  </si>
  <si>
    <t>AI Revenue</t>
  </si>
  <si>
    <t>Product0058 Growth Rate (%)</t>
  </si>
  <si>
    <t>Product0058 Growth Rate (%, CC)</t>
  </si>
  <si>
    <t>CapEx</t>
  </si>
  <si>
    <t>Non-GAAP Adjustments</t>
  </si>
  <si>
    <t>Severange, hardware related impairment, and lease consolidation costs</t>
  </si>
  <si>
    <t>Adjusted Operating Income</t>
  </si>
  <si>
    <t>Adjusted Net Income</t>
  </si>
  <si>
    <t>Adjusted Diluted EPS</t>
  </si>
  <si>
    <t>Net Income Tax Benefit Related to Transfer of Intangible Properties</t>
  </si>
  <si>
    <t>Net Income Tax Benefit Related to India Supreme Court Decision Withholding Taxes</t>
  </si>
  <si>
    <t>Net Impact of the Tax Cuts and Jobs Act</t>
  </si>
  <si>
    <t>Restructuring Expenses</t>
  </si>
  <si>
    <t>Net Impact from Windows 10 Revenue Deferrals</t>
  </si>
  <si>
    <t>Adjusted Revenue</t>
  </si>
  <si>
    <t>% yoy, CC</t>
  </si>
  <si>
    <t>Net Revenue Recognition from Windows Upgrade Offer, Office Deferral, and Video Game Deferral</t>
  </si>
  <si>
    <t>European Comission Fine</t>
  </si>
  <si>
    <t>Revenue Recognized for Windows 8 Pre-Sales</t>
  </si>
  <si>
    <t>Expansion/Contraction (bps)</t>
  </si>
  <si>
    <t>Subscribers Pre-Restatement (mm)</t>
  </si>
  <si>
    <t>Net New Finance Leases (yoy)</t>
  </si>
  <si>
    <t>Net New Finance Leases (qoq)</t>
  </si>
  <si>
    <t>Capital Expenditures (ex. Finance Leases)</t>
  </si>
  <si>
    <t>Free Cash Flow (ex. Finance Leases)</t>
  </si>
  <si>
    <t>Free Cash Flow (inc. Finance Leases)</t>
  </si>
  <si>
    <t>Capital Expenditures (inc. Finance Leases)</t>
  </si>
  <si>
    <t>Enterprise and Parter Services</t>
  </si>
  <si>
    <t>% of PBP</t>
  </si>
  <si>
    <t>% of IC</t>
  </si>
  <si>
    <t>% of Company1738</t>
  </si>
  <si>
    <t>Monthly Subscription Revenue per Seat</t>
  </si>
  <si>
    <t>Yearly Subscription Revenue per Seat</t>
  </si>
  <si>
    <t>% Monthly</t>
  </si>
  <si>
    <t>% Yearly</t>
  </si>
  <si>
    <t>Basic Subscribers (mm)</t>
  </si>
  <si>
    <t>Family Revenue per Seat</t>
  </si>
  <si>
    <t>Family % of Subscribers</t>
  </si>
  <si>
    <t>Personal % of Subscribers</t>
  </si>
  <si>
    <t>Basic % of Subscribers</t>
  </si>
  <si>
    <t>Basic Revenue per Seat</t>
  </si>
  <si>
    <t>Personal Revenue per Seat</t>
  </si>
  <si>
    <t>EPS (non-GAAP)</t>
  </si>
  <si>
    <t>EPS (GAAP)</t>
  </si>
  <si>
    <t>EPSGAAP</t>
  </si>
  <si>
    <t>EPSGAAPYY</t>
  </si>
  <si>
    <t>EPSGAAPQQ</t>
  </si>
  <si>
    <t>EPSYYCC</t>
  </si>
  <si>
    <t>Free Cash Flow (ex. Financial Leases)</t>
  </si>
  <si>
    <t>% of Total PBP Revenue</t>
  </si>
  <si>
    <t>Depreciation - % of T-1 CapEx</t>
  </si>
  <si>
    <t>PBPLOW</t>
  </si>
  <si>
    <t>ICREVLOW</t>
  </si>
  <si>
    <t>ICREVHIGH</t>
  </si>
  <si>
    <t>MPCREVLOW</t>
  </si>
  <si>
    <t>MPCREVHIGH</t>
  </si>
  <si>
    <t>COGSLOW</t>
  </si>
  <si>
    <t>COGSHIGH</t>
  </si>
  <si>
    <t>OPEXLOW</t>
  </si>
  <si>
    <t>OPEXHIGH</t>
  </si>
  <si>
    <t>TAXRATELOW</t>
  </si>
  <si>
    <t>TAXRATEHIGH</t>
  </si>
  <si>
    <t>PBPhigh</t>
  </si>
  <si>
    <t>Product0016</t>
  </si>
  <si>
    <t>Product0015</t>
  </si>
  <si>
    <t>Capital Deployed (Dividends + Share Repurchases)</t>
  </si>
  <si>
    <t>Capital Allocated (Dividends + Share Repurchases)</t>
  </si>
  <si>
    <t>Seats</t>
  </si>
  <si>
    <t>Depreciation and Amortization</t>
  </si>
  <si>
    <t>Revenue per Employee (mm)</t>
  </si>
  <si>
    <t>Product0391</t>
  </si>
  <si>
    <t>% of Devices</t>
  </si>
  <si>
    <t>Recurring Revenue</t>
  </si>
  <si>
    <t>Cloud Revenue</t>
  </si>
  <si>
    <t>ARR</t>
  </si>
  <si>
    <t>GAAP Recurring COGS</t>
  </si>
  <si>
    <t>GAAP S&amp;M</t>
  </si>
  <si>
    <t>Recurring GM</t>
  </si>
  <si>
    <t>Cloud GM</t>
  </si>
  <si>
    <t>CAC</t>
  </si>
  <si>
    <t>NRR</t>
  </si>
  <si>
    <t>Customers</t>
  </si>
  <si>
    <t>% of Total CapEx</t>
  </si>
  <si>
    <t>Total AI Revenue</t>
  </si>
  <si>
    <t>% of Product0058</t>
  </si>
  <si>
    <t>person@example.com</t>
  </si>
  <si>
    <t>2027 Q1</t>
  </si>
  <si>
    <t>2027 Q2</t>
  </si>
  <si>
    <t>2027 Q3</t>
  </si>
  <si>
    <t>2027 Q4</t>
  </si>
  <si>
    <t>2028 Q1</t>
  </si>
  <si>
    <t>2028 Q2</t>
  </si>
  <si>
    <t>2028 Q3</t>
  </si>
  <si>
    <t>2028 Q4</t>
  </si>
  <si>
    <t>Product0058 AI Services Contribution to Growth ($)</t>
  </si>
  <si>
    <t>Net New FCF</t>
  </si>
  <si>
    <t>Net New Revenue / Net New FCF</t>
  </si>
  <si>
    <t>Interest Expense</t>
  </si>
  <si>
    <t>Interest and Dividends Income</t>
  </si>
  <si>
    <t>Net Recognized Gains (Losses) on Investments</t>
  </si>
  <si>
    <t>Net Losses on Derivatives</t>
  </si>
  <si>
    <t>Net Gains (Losses) on Foreign Currency Remeasurements</t>
  </si>
  <si>
    <t>Captial Expenditures (ex. Finance Leases)</t>
  </si>
  <si>
    <t>Fabric Paid Customers (thousands)</t>
  </si>
  <si>
    <t>Net New Expense (yoy)</t>
  </si>
  <si>
    <t>Net New Expense (qoq)</t>
  </si>
  <si>
    <t>CAPEXFL</t>
  </si>
  <si>
    <t>CAPEXFLYY</t>
  </si>
  <si>
    <t>CAPEXFLQQ</t>
  </si>
  <si>
    <t>Windows OEM and Devices</t>
  </si>
  <si>
    <t>Windows Other</t>
  </si>
  <si>
    <t>Windows Pro vs. Non-Pro (2014 - 2021)</t>
  </si>
  <si>
    <t>OEM, Commerical Products, and Other (2015 - 2024)</t>
  </si>
  <si>
    <t>Total Windows (2018 - 2024)</t>
  </si>
  <si>
    <t>Search and News (2015 - 2024)</t>
  </si>
  <si>
    <t>Product0058 (2012 - 2024)</t>
  </si>
  <si>
    <t>Total Server Products and Cloud Services (2014 - 2024)</t>
  </si>
  <si>
    <t>Organization Using Power Platform AI Capabilities (thousands)</t>
  </si>
  <si>
    <t>Power Platform MAU (mm)</t>
  </si>
  <si>
    <t>Total Property and Equipment (at Cost)</t>
  </si>
  <si>
    <t>Furniture and Equipment</t>
  </si>
  <si>
    <t>Computer Equipment and Software</t>
  </si>
  <si>
    <t>Leasehold Improvements</t>
  </si>
  <si>
    <t>Buildings and Improvements</t>
  </si>
  <si>
    <t>Land</t>
  </si>
  <si>
    <t>% of Total</t>
  </si>
  <si>
    <t>Components of Property and Equipment</t>
  </si>
  <si>
    <t>Server Products and Cloud Services (2014 - 2024)</t>
  </si>
  <si>
    <t>Total Server Products and Cloud Services</t>
  </si>
  <si>
    <t>Product0058 and Other Cloud Services (2012 - 2024)</t>
  </si>
  <si>
    <t>Total Office 365 (2015 - 2024)</t>
  </si>
  <si>
    <t>Total Traditional Office (2015 - 2024)</t>
  </si>
  <si>
    <t>Total Combined Office (Office + Office 365, (2015 - 2024)</t>
  </si>
  <si>
    <t>Microsoft 365 Commercial Products and Cloud Services</t>
  </si>
  <si>
    <t>Office Commercial Products and Cloud Services (2015 - 2024)</t>
  </si>
  <si>
    <t>Commercial Office 365 (2015 - 2024)</t>
  </si>
  <si>
    <t>Office Commercial Products (BA + BT) (2015 - 2024)</t>
  </si>
  <si>
    <t>Microsoft 365 Commercial Cloud</t>
  </si>
  <si>
    <t>Microsoft 365 Commerical Products</t>
  </si>
  <si>
    <t>Office 365 Commercial Seats (mm)</t>
  </si>
  <si>
    <t>Dynamics Products</t>
  </si>
  <si>
    <t>Microsoft 365 Consumer Cloud</t>
  </si>
  <si>
    <t>Microsoft 365 Consumer Products and Cloud Services</t>
  </si>
  <si>
    <t>Office Consumer Products</t>
  </si>
  <si>
    <t>Commercial Seats</t>
  </si>
  <si>
    <t>E5</t>
  </si>
  <si>
    <t>EMS</t>
  </si>
  <si>
    <t>Power BI</t>
  </si>
  <si>
    <t>Commercial Office (2015 - 2024)</t>
  </si>
  <si>
    <t>PBP 2015 - 2024</t>
  </si>
  <si>
    <t>PBP Revenue (2015 - 2024)</t>
  </si>
  <si>
    <t>PBP Operating Expenses (2015 - 2024)</t>
  </si>
  <si>
    <t>PBP Operating Income (2015 - 2024)</t>
  </si>
  <si>
    <t>PBP Unearned Revenue (2015 - 2024)</t>
  </si>
  <si>
    <t>PBP Gross Profit (2015 - 2024)</t>
  </si>
  <si>
    <t>Total Microsoft 365 Cloud</t>
  </si>
  <si>
    <t>Total Microsoft 365 Non-Cloud</t>
  </si>
  <si>
    <t>Product0219 Sub-Segments</t>
  </si>
  <si>
    <t>Total Microsoft 365</t>
  </si>
  <si>
    <t>% of Total M365</t>
  </si>
  <si>
    <t>% of Commercial M365</t>
  </si>
  <si>
    <t>IC Revenue (2015 - 2024)</t>
  </si>
  <si>
    <t>IC Gross Profit (2015 - 2024)</t>
  </si>
  <si>
    <t>IC Operating Expense (2015 - 2024)</t>
  </si>
  <si>
    <t>IC Operating Income (2015 - 2024)</t>
  </si>
  <si>
    <t>IC Unearned Revenue (2015 - 2024)</t>
  </si>
  <si>
    <t>IC (2015 - 2024)</t>
  </si>
  <si>
    <t>Devices (2018 - 2024)</t>
  </si>
  <si>
    <t>Company1738 (2015 - 2024)</t>
  </si>
  <si>
    <t>Company1738 Revenue (2015 - 2024)</t>
  </si>
  <si>
    <t>Company1738 Gross Profit (2015 - 2024)</t>
  </si>
  <si>
    <t>Company1738 Operating Expense (2015 - 2024)</t>
  </si>
  <si>
    <t>Company1738 Operating Income (2015 - 2024)</t>
  </si>
  <si>
    <t>Company1738 Unearned Revenue (2015 - 2024)</t>
  </si>
  <si>
    <t>2015 - 2024</t>
  </si>
  <si>
    <t>M365YY</t>
  </si>
  <si>
    <t>M365YYCC</t>
  </si>
  <si>
    <t>Legacy: Commercial Office 365 Growth (CC)</t>
  </si>
  <si>
    <t>M365 Commercial Cloud Growth (CC)</t>
  </si>
  <si>
    <t>Product0058 Restatement</t>
  </si>
  <si>
    <t>Resegmenting</t>
  </si>
  <si>
    <t>Windows and OEM</t>
  </si>
  <si>
    <t>Person0818</t>
  </si>
  <si>
    <t>(332) 245-7726</t>
  </si>
  <si>
    <t>person@example.com</t>
  </si>
  <si>
    <t>Person1043</t>
  </si>
  <si>
    <t>(212) 357-9979</t>
  </si>
  <si>
    <t>person@example.com</t>
  </si>
  <si>
    <t>% Yield</t>
  </si>
  <si>
    <t>Cash and Cash Equivalents (Prior Quarter)</t>
  </si>
  <si>
    <t>Total Debt (Prior Quarter)</t>
  </si>
  <si>
    <t>% Interest Rate of Debt</t>
  </si>
  <si>
    <t>Net Interest Income and Expense</t>
  </si>
  <si>
    <t>Interest Income and Expense</t>
  </si>
  <si>
    <t>Non-AI Product0058 Growth (CC)</t>
  </si>
  <si>
    <t>AI Revenue Run-Rate</t>
  </si>
  <si>
    <t>AI Contribution to Total Revenue Growth</t>
  </si>
  <si>
    <t>% of the F500</t>
  </si>
  <si>
    <t>Resegmented</t>
  </si>
  <si>
    <t>COMB</t>
  </si>
  <si>
    <t>COMBYY</t>
  </si>
  <si>
    <t>COMBQQ</t>
  </si>
  <si>
    <t>COMRPO</t>
  </si>
  <si>
    <t>COMRPOYY</t>
  </si>
  <si>
    <t>COMRPOCC</t>
  </si>
  <si>
    <t>COMRPOQQ</t>
  </si>
  <si>
    <t>COMBCC</t>
  </si>
  <si>
    <t>Total Windows and Devices</t>
  </si>
  <si>
    <t>Search and News Advertising</t>
  </si>
  <si>
    <t>Search and News Advertising (ex. TAC)</t>
  </si>
  <si>
    <t>Total AI Business</t>
  </si>
  <si>
    <t>Product0265 AI</t>
  </si>
  <si>
    <t>Capital Expenditures (incl. Finance Leases)</t>
  </si>
  <si>
    <t>Product0058 AI Services</t>
  </si>
  <si>
    <t>Non-AI Product0058</t>
  </si>
  <si>
    <t>Other Metrics</t>
  </si>
  <si>
    <t>Total Product0058 Revenue ex. AI</t>
  </si>
  <si>
    <t>Days Inventory Outstanding (DIO)</t>
  </si>
  <si>
    <t>% Using Real-Time Intelligence</t>
  </si>
  <si>
    <t>% Using 3+ Workloads</t>
  </si>
  <si>
    <t>&gt;50%</t>
  </si>
  <si>
    <t>NN % yoy</t>
  </si>
  <si>
    <t>NN % qoq</t>
  </si>
  <si>
    <t>Net New AI Revenue (yoy)</t>
  </si>
  <si>
    <t>Net New AI Revenue (qoq)</t>
  </si>
  <si>
    <t>CapEx / Product0058 Revenue</t>
  </si>
  <si>
    <t>Agent Service Customers (thousands)</t>
  </si>
  <si>
    <t>GitHub Product0113 Paying Subscribers (mm)</t>
  </si>
  <si>
    <t>GitHub Product0113 Total Subscibers (mm)</t>
  </si>
  <si>
    <t>Product0113</t>
  </si>
  <si>
    <t>Product0113 User Growth</t>
  </si>
  <si>
    <t>% of F500</t>
  </si>
  <si>
    <t>Product0113 Studio Users (thousands)</t>
  </si>
  <si>
    <t>Premium Subscribers</t>
  </si>
  <si>
    <t>Premium Subscription Revenue</t>
  </si>
  <si>
    <t>1510IH2</t>
  </si>
  <si>
    <t>94eb4a16-2e6f-4e53-b9ed-458ea2c40a07</t>
  </si>
  <si>
    <t>cRPO to NTM Cloud Revenue</t>
  </si>
  <si>
    <t>Revenue per Seat (Annualized)</t>
  </si>
  <si>
    <t>Net Adds</t>
  </si>
  <si>
    <t>Consumer RPU Calculations (pre-2025 Pricing Increase)</t>
  </si>
  <si>
    <t>Organic Growth</t>
  </si>
  <si>
    <t>2029 Q1</t>
  </si>
  <si>
    <t>2029 Q2</t>
  </si>
  <si>
    <t>2029 Q3</t>
  </si>
  <si>
    <t>2029 Q4</t>
  </si>
  <si>
    <t>CapEx (Inc. Finance Leases)</t>
  </si>
  <si>
    <t>PBP COGS</t>
  </si>
  <si>
    <t>Net New COGS (yoy)</t>
  </si>
  <si>
    <t>IC COGS</t>
  </si>
  <si>
    <t>MCP COGS</t>
  </si>
  <si>
    <t>Delta between Growth Rates</t>
  </si>
  <si>
    <t>M365 Commercial Seats (mm)</t>
  </si>
  <si>
    <t>COGS (ex. Depreciation)</t>
  </si>
  <si>
    <t>GM (ex. Depreciation)</t>
  </si>
  <si>
    <t>OpInc Conversion</t>
  </si>
  <si>
    <t>1995 (A)</t>
  </si>
  <si>
    <t>1996 (A)</t>
  </si>
  <si>
    <t>1997 (A)</t>
  </si>
  <si>
    <t>1998 (A)</t>
  </si>
  <si>
    <t>1999 (A)</t>
  </si>
  <si>
    <t>2000 (A)</t>
  </si>
  <si>
    <t>2001 (A)</t>
  </si>
  <si>
    <t>2002 (A)</t>
  </si>
  <si>
    <t>2003 (A)</t>
  </si>
  <si>
    <t>2004 (A)</t>
  </si>
  <si>
    <t>2005 (A)</t>
  </si>
  <si>
    <t>2006 (A)</t>
  </si>
  <si>
    <t>2007 (A)</t>
  </si>
  <si>
    <t>2008 (A)</t>
  </si>
  <si>
    <t>2009 (A)</t>
  </si>
  <si>
    <t>2010 (A)</t>
  </si>
  <si>
    <t>2011 (A)</t>
  </si>
  <si>
    <t>2012 (A)</t>
  </si>
  <si>
    <t>2013 (A)</t>
  </si>
  <si>
    <t>2014 (A)</t>
  </si>
  <si>
    <t>2015 (A)</t>
  </si>
  <si>
    <t>2016 (A)</t>
  </si>
  <si>
    <t>2017 (A)</t>
  </si>
  <si>
    <t>2018 (A)</t>
  </si>
  <si>
    <t>2019 (A)</t>
  </si>
  <si>
    <t>2020 (A)</t>
  </si>
  <si>
    <t>2021 (A)</t>
  </si>
  <si>
    <t>2022 (A)</t>
  </si>
  <si>
    <t>2023 (A)</t>
  </si>
  <si>
    <t>2024 (A)</t>
  </si>
  <si>
    <t>2025 (A)</t>
  </si>
  <si>
    <t>2026 (E)</t>
  </si>
  <si>
    <t>2027 (E)</t>
  </si>
  <si>
    <t>2028 (E)</t>
  </si>
  <si>
    <t>2029 (E)</t>
  </si>
  <si>
    <t>2030 (E)</t>
  </si>
  <si>
    <t>1Q95 (A)</t>
  </si>
  <si>
    <t>2Q95 (A)</t>
  </si>
  <si>
    <t>3Q95 (A)</t>
  </si>
  <si>
    <t>4Q95 (A)</t>
  </si>
  <si>
    <t>FY95 (A)</t>
  </si>
  <si>
    <t>1Q96 (A)</t>
  </si>
  <si>
    <t>2Q96 (A)</t>
  </si>
  <si>
    <t>3Q96 (A)</t>
  </si>
  <si>
    <t>4Q96 (A)</t>
  </si>
  <si>
    <t>FY96 (A)</t>
  </si>
  <si>
    <t>1Q97 (A)</t>
  </si>
  <si>
    <t>2Q97 (A)</t>
  </si>
  <si>
    <t>3Q97 (A)</t>
  </si>
  <si>
    <t>4Q97 (A)</t>
  </si>
  <si>
    <t>FY97 (A)</t>
  </si>
  <si>
    <t>1Q98 (A)</t>
  </si>
  <si>
    <t>2Q98 (A)</t>
  </si>
  <si>
    <t>3Q98 (A)</t>
  </si>
  <si>
    <t>4Q98 (A)</t>
  </si>
  <si>
    <t>FY98 (A)</t>
  </si>
  <si>
    <t>1Q99 (A)</t>
  </si>
  <si>
    <t>2Q99 (A)</t>
  </si>
  <si>
    <t>3Q99 (A)</t>
  </si>
  <si>
    <t>4Q99 (A)</t>
  </si>
  <si>
    <t>FY99 (A)</t>
  </si>
  <si>
    <t>1Q00 (A)</t>
  </si>
  <si>
    <t>2Q00 (A)</t>
  </si>
  <si>
    <t>3Q00 (A)</t>
  </si>
  <si>
    <t>4Q00 (A)</t>
  </si>
  <si>
    <t>FY00 (A)</t>
  </si>
  <si>
    <t>1Q01 (A)</t>
  </si>
  <si>
    <t>2Q01 (A)</t>
  </si>
  <si>
    <t>3Q01 (A)</t>
  </si>
  <si>
    <t>4Q01 (A)</t>
  </si>
  <si>
    <t>FY01 (A)</t>
  </si>
  <si>
    <t>1Q02 (A)</t>
  </si>
  <si>
    <t>2Q02 (A)</t>
  </si>
  <si>
    <t>3Q02 (A)</t>
  </si>
  <si>
    <t>4Q02 (A)</t>
  </si>
  <si>
    <t>FY02 (A)</t>
  </si>
  <si>
    <t>1Q03 (A)</t>
  </si>
  <si>
    <t>2Q03 (A)</t>
  </si>
  <si>
    <t>3Q03 (A)</t>
  </si>
  <si>
    <t>4Q03 (A)</t>
  </si>
  <si>
    <t>FY03 (A)</t>
  </si>
  <si>
    <t>1Q04 (A)</t>
  </si>
  <si>
    <t>2Q04 (A)</t>
  </si>
  <si>
    <t>3Q04 (A)</t>
  </si>
  <si>
    <t>4Q04 (A)</t>
  </si>
  <si>
    <t>FY04 (A)</t>
  </si>
  <si>
    <t>1Q05 (A)</t>
  </si>
  <si>
    <t>2Q05 (A)</t>
  </si>
  <si>
    <t>3Q05 (A)</t>
  </si>
  <si>
    <t>4Q05 (A)</t>
  </si>
  <si>
    <t>FY05 (A)</t>
  </si>
  <si>
    <t>1Q06 (A)</t>
  </si>
  <si>
    <t>2Q06 (A)</t>
  </si>
  <si>
    <t>3Q06 (A)</t>
  </si>
  <si>
    <t>4Q06 (A)</t>
  </si>
  <si>
    <t>FY06 (A)</t>
  </si>
  <si>
    <t>1Q07 (A)</t>
  </si>
  <si>
    <t>2Q07 (A)</t>
  </si>
  <si>
    <t>3Q07 (A)</t>
  </si>
  <si>
    <t>4Q07 (A)</t>
  </si>
  <si>
    <t>FY07 (A)</t>
  </si>
  <si>
    <t>1Q08 (A)</t>
  </si>
  <si>
    <t>2Q08 (A)</t>
  </si>
  <si>
    <t>3Q08 (A)</t>
  </si>
  <si>
    <t>4Q08 (A)</t>
  </si>
  <si>
    <t>FY08 (A)</t>
  </si>
  <si>
    <t>1Q09 (A)</t>
  </si>
  <si>
    <t>2Q09 (A)</t>
  </si>
  <si>
    <t>3Q09 (A)</t>
  </si>
  <si>
    <t>4Q09 (A)</t>
  </si>
  <si>
    <t>FY09 (A)</t>
  </si>
  <si>
    <t>1Q10 (A)</t>
  </si>
  <si>
    <t>2Q10 (A)</t>
  </si>
  <si>
    <t>3Q10 (A)</t>
  </si>
  <si>
    <t>4Q10 (A)</t>
  </si>
  <si>
    <t>FY10 (A)</t>
  </si>
  <si>
    <t>1Q11 (A)</t>
  </si>
  <si>
    <t>2Q11 (A)</t>
  </si>
  <si>
    <t>3Q11 (A)</t>
  </si>
  <si>
    <t>4Q11 (A)</t>
  </si>
  <si>
    <t>FY11 (A)</t>
  </si>
  <si>
    <t>1Q12 (A)</t>
  </si>
  <si>
    <t>2Q12 (A)</t>
  </si>
  <si>
    <t>3Q12 (A)</t>
  </si>
  <si>
    <t>4Q12 (A)</t>
  </si>
  <si>
    <t>FY12 (A)</t>
  </si>
  <si>
    <t>1Q13 (A)</t>
  </si>
  <si>
    <t>2Q13 (A)</t>
  </si>
  <si>
    <t>3Q13 (A)</t>
  </si>
  <si>
    <t>4Q13 (A)</t>
  </si>
  <si>
    <t>FY13 (A)</t>
  </si>
  <si>
    <t>1Q14 (A)</t>
  </si>
  <si>
    <t>2Q14 (A)</t>
  </si>
  <si>
    <t>3Q14 (A)</t>
  </si>
  <si>
    <t>4Q14 (A)</t>
  </si>
  <si>
    <t>FY14 (A)</t>
  </si>
  <si>
    <t>1Q15 (A)</t>
  </si>
  <si>
    <t>2Q15 (A)</t>
  </si>
  <si>
    <t>3Q15 (A)</t>
  </si>
  <si>
    <t>4Q15 (A)</t>
  </si>
  <si>
    <t>FY15 (A)</t>
  </si>
  <si>
    <t>1Q16 (A)</t>
  </si>
  <si>
    <t>2Q16 (A)</t>
  </si>
  <si>
    <t>3Q16 (A)</t>
  </si>
  <si>
    <t>4Q16 (A)</t>
  </si>
  <si>
    <t>FY16 (A)</t>
  </si>
  <si>
    <t>1Q17 (A)</t>
  </si>
  <si>
    <t>2Q17 (A)</t>
  </si>
  <si>
    <t>3Q17 (A)</t>
  </si>
  <si>
    <t>4Q17 (A)</t>
  </si>
  <si>
    <t>FY17 (A)</t>
  </si>
  <si>
    <t>1Q18 (A)</t>
  </si>
  <si>
    <t>2Q18 (A)</t>
  </si>
  <si>
    <t>3Q18 (A)</t>
  </si>
  <si>
    <t>4Q18 (A)</t>
  </si>
  <si>
    <t>FY18 (A)</t>
  </si>
  <si>
    <t>1Q19 (A)</t>
  </si>
  <si>
    <t>2Q19 (A)</t>
  </si>
  <si>
    <t>3Q19 (A)</t>
  </si>
  <si>
    <t>4Q19 (A)</t>
  </si>
  <si>
    <t>FY19 (A)</t>
  </si>
  <si>
    <t>1Q20 (A)</t>
  </si>
  <si>
    <t>2Q20 (A)</t>
  </si>
  <si>
    <t>3Q20 (A)</t>
  </si>
  <si>
    <t>4Q20 (A)</t>
  </si>
  <si>
    <t>FY20 (A)</t>
  </si>
  <si>
    <t>1Q21 (A)</t>
  </si>
  <si>
    <t>2Q21 (A)</t>
  </si>
  <si>
    <t>3Q21 (A)</t>
  </si>
  <si>
    <t>4Q21 (A)</t>
  </si>
  <si>
    <t>FY21 (A)</t>
  </si>
  <si>
    <t>1Q22 (A)</t>
  </si>
  <si>
    <t>2Q22 (A)</t>
  </si>
  <si>
    <t>3Q22 (A)</t>
  </si>
  <si>
    <t>4Q22 (A)</t>
  </si>
  <si>
    <t>FY22 (A)</t>
  </si>
  <si>
    <t>1Q23 (A)</t>
  </si>
  <si>
    <t>2Q23 (A)</t>
  </si>
  <si>
    <t>3Q23 (A)</t>
  </si>
  <si>
    <t>4Q23 (A)</t>
  </si>
  <si>
    <t>FY23 (A)</t>
  </si>
  <si>
    <t>1Q24 (A)</t>
  </si>
  <si>
    <t>2Q24 (A)</t>
  </si>
  <si>
    <t>3Q24 (A)</t>
  </si>
  <si>
    <t>4Q24 (A)</t>
  </si>
  <si>
    <t>FY24 (A)</t>
  </si>
  <si>
    <t>1Q25 (A)</t>
  </si>
  <si>
    <t>2Q25 (A)</t>
  </si>
  <si>
    <t>3Q25 (A)</t>
  </si>
  <si>
    <t>4Q25 (A)</t>
  </si>
  <si>
    <t>FY25 (A)</t>
  </si>
  <si>
    <t>1Q26 (E)</t>
  </si>
  <si>
    <t>2Q26 (E)</t>
  </si>
  <si>
    <t>3Q26 (E)</t>
  </si>
  <si>
    <t>4Q26 (E)</t>
  </si>
  <si>
    <t>FY26 (E)</t>
  </si>
  <si>
    <t>1Q27 (E)</t>
  </si>
  <si>
    <t>2Q27 (E)</t>
  </si>
  <si>
    <t>3Q27 (E)</t>
  </si>
  <si>
    <t>4Q27 (E)</t>
  </si>
  <si>
    <t>FY27 (E)</t>
  </si>
  <si>
    <t>1Q28 (E)</t>
  </si>
  <si>
    <t>2Q28 (E)</t>
  </si>
  <si>
    <t>3Q28 (E)</t>
  </si>
  <si>
    <t>4Q28 (E)</t>
  </si>
  <si>
    <t>FY28 (E)</t>
  </si>
  <si>
    <t>1Q29 (E)</t>
  </si>
  <si>
    <t>2Q29 (E)</t>
  </si>
  <si>
    <t>3Q29 (E)</t>
  </si>
  <si>
    <t>4Q29 (E)</t>
  </si>
  <si>
    <t>FY29 (E)</t>
  </si>
  <si>
    <t>1Q30 (E)</t>
  </si>
  <si>
    <t>2Q30 (E)</t>
  </si>
  <si>
    <t>3Q30 (E)</t>
  </si>
  <si>
    <t>4Q30 (E)</t>
  </si>
  <si>
    <t>FY30 (E)</t>
  </si>
  <si>
    <t>1995/1F</t>
  </si>
  <si>
    <t>1995/2F</t>
  </si>
  <si>
    <t>1995/3F</t>
  </si>
  <si>
    <t>1995/4F</t>
  </si>
  <si>
    <t>1996/1F</t>
  </si>
  <si>
    <t>1996/2F</t>
  </si>
  <si>
    <t>1996/3F</t>
  </si>
  <si>
    <t>1996/4F</t>
  </si>
  <si>
    <t>1997/1F</t>
  </si>
  <si>
    <t>1997/2F</t>
  </si>
  <si>
    <t>1997/3F</t>
  </si>
  <si>
    <t>1997/4F</t>
  </si>
  <si>
    <t>1998/1F</t>
  </si>
  <si>
    <t>1998/2F</t>
  </si>
  <si>
    <t>1998/3F</t>
  </si>
  <si>
    <t>1998/4F</t>
  </si>
  <si>
    <t>1999/1F</t>
  </si>
  <si>
    <t>1999/2F</t>
  </si>
  <si>
    <t>1999/3F</t>
  </si>
  <si>
    <t>1999/4F</t>
  </si>
  <si>
    <t>2000/1F</t>
  </si>
  <si>
    <t>2000/2F</t>
  </si>
  <si>
    <t>2000/3F</t>
  </si>
  <si>
    <t>2000/4F</t>
  </si>
  <si>
    <t>2001/1F</t>
  </si>
  <si>
    <t>2001/2F</t>
  </si>
  <si>
    <t>2001/3F</t>
  </si>
  <si>
    <t>2001/4F</t>
  </si>
  <si>
    <t>2002/1F</t>
  </si>
  <si>
    <t>2002/2F</t>
  </si>
  <si>
    <t>2002/3F</t>
  </si>
  <si>
    <t>2002/4F</t>
  </si>
  <si>
    <t>2003/1F</t>
  </si>
  <si>
    <t>2003/2F</t>
  </si>
  <si>
    <t>2003/3F</t>
  </si>
  <si>
    <t>2003/4F</t>
  </si>
  <si>
    <t>2004/1F</t>
  </si>
  <si>
    <t>2004/2F</t>
  </si>
  <si>
    <t>2004/3F</t>
  </si>
  <si>
    <t>2004/4F</t>
  </si>
  <si>
    <t>2005/1F</t>
  </si>
  <si>
    <t>2005/2F</t>
  </si>
  <si>
    <t>2005/3F</t>
  </si>
  <si>
    <t>2005/4F</t>
  </si>
  <si>
    <t>2006/1F</t>
  </si>
  <si>
    <t>2006/2F</t>
  </si>
  <si>
    <t>2006/3F</t>
  </si>
  <si>
    <t>2006/4F</t>
  </si>
  <si>
    <t>2007/1F</t>
  </si>
  <si>
    <t>2007/2F</t>
  </si>
  <si>
    <t>2007/3F</t>
  </si>
  <si>
    <t>2007/4F</t>
  </si>
  <si>
    <t>2008/1F</t>
  </si>
  <si>
    <t>2008/2F</t>
  </si>
  <si>
    <t>2008/3F</t>
  </si>
  <si>
    <t>2008/4F</t>
  </si>
  <si>
    <t>2009/1F</t>
  </si>
  <si>
    <t>2009/2F</t>
  </si>
  <si>
    <t>2009/3F</t>
  </si>
  <si>
    <t>2009/4F</t>
  </si>
  <si>
    <t>2010/1F</t>
  </si>
  <si>
    <t>2010/2F</t>
  </si>
  <si>
    <t>2010/3F</t>
  </si>
  <si>
    <t>2010/4F</t>
  </si>
  <si>
    <t>2011/1F</t>
  </si>
  <si>
    <t>2011/2F</t>
  </si>
  <si>
    <t>2011/3F</t>
  </si>
  <si>
    <t>2011/4F</t>
  </si>
  <si>
    <t>2012/1F</t>
  </si>
  <si>
    <t>2012/2F</t>
  </si>
  <si>
    <t>2012/3F</t>
  </si>
  <si>
    <t>2012/4F</t>
  </si>
  <si>
    <t>2013/1F</t>
  </si>
  <si>
    <t>2013/2F</t>
  </si>
  <si>
    <t>2013/3F</t>
  </si>
  <si>
    <t>2013/4F</t>
  </si>
  <si>
    <t>2014/1F</t>
  </si>
  <si>
    <t>2014/2F</t>
  </si>
  <si>
    <t>2014/3F</t>
  </si>
  <si>
    <t>2014/4F</t>
  </si>
  <si>
    <t>2015/1F</t>
  </si>
  <si>
    <t>2015/2F</t>
  </si>
  <si>
    <t>2015/3F</t>
  </si>
  <si>
    <t>2015/4F</t>
  </si>
  <si>
    <t>2016/1F</t>
  </si>
  <si>
    <t>2016/2F</t>
  </si>
  <si>
    <t>2016/3F</t>
  </si>
  <si>
    <t>2016/4F</t>
  </si>
  <si>
    <t>2017/1F</t>
  </si>
  <si>
    <t>2017/2F</t>
  </si>
  <si>
    <t>2017/3F</t>
  </si>
  <si>
    <t>2017/4F</t>
  </si>
  <si>
    <t>2018/1F</t>
  </si>
  <si>
    <t>2018/2F</t>
  </si>
  <si>
    <t>2018/3F</t>
  </si>
  <si>
    <t>2018/4F</t>
  </si>
  <si>
    <t>2019/1F</t>
  </si>
  <si>
    <t>2019/2F</t>
  </si>
  <si>
    <t>2019/3F</t>
  </si>
  <si>
    <t>2019/4F</t>
  </si>
  <si>
    <t>2020/1F</t>
  </si>
  <si>
    <t>2020/2F</t>
  </si>
  <si>
    <t>2020/3F</t>
  </si>
  <si>
    <t>2020/4F</t>
  </si>
  <si>
    <t>2021/1F</t>
  </si>
  <si>
    <t>2021/2F</t>
  </si>
  <si>
    <t>2021/3F</t>
  </si>
  <si>
    <t>2021/4F</t>
  </si>
  <si>
    <t>2022/1F</t>
  </si>
  <si>
    <t>2022/2F</t>
  </si>
  <si>
    <t>2022/3F</t>
  </si>
  <si>
    <t>2022/4F</t>
  </si>
  <si>
    <t>2023/1F</t>
  </si>
  <si>
    <t>2023/2F</t>
  </si>
  <si>
    <t>2023/3F</t>
  </si>
  <si>
    <t>2023/4F</t>
  </si>
  <si>
    <t>2024/1F</t>
  </si>
  <si>
    <t>2024/2F</t>
  </si>
  <si>
    <t>2024/3F</t>
  </si>
  <si>
    <t>2024/4F</t>
  </si>
  <si>
    <t>2025/1F</t>
  </si>
  <si>
    <t>2025/2F</t>
  </si>
  <si>
    <t>2025/3F</t>
  </si>
  <si>
    <t>2025/4F</t>
  </si>
  <si>
    <t>2026/1F</t>
  </si>
  <si>
    <t>2026/2F</t>
  </si>
  <si>
    <t>2026/3F</t>
  </si>
  <si>
    <t>2026/4F</t>
  </si>
  <si>
    <t>2027/1F</t>
  </si>
  <si>
    <t>2027/2F</t>
  </si>
  <si>
    <t>2027/3F</t>
  </si>
  <si>
    <t>2027/4F</t>
  </si>
  <si>
    <t>2028/1F</t>
  </si>
  <si>
    <t>2028/2F</t>
  </si>
  <si>
    <t>2028/3F</t>
  </si>
  <si>
    <t>2028/4F</t>
  </si>
  <si>
    <t>2029/1F</t>
  </si>
  <si>
    <t>2029/2F</t>
  </si>
  <si>
    <t>2029/3F</t>
  </si>
  <si>
    <t>2029/4F</t>
  </si>
  <si>
    <t>2030/1F</t>
  </si>
  <si>
    <t>2030/2F</t>
  </si>
  <si>
    <t>2030/3F</t>
  </si>
  <si>
    <t>2030/4F</t>
  </si>
  <si>
    <t/>
  </si>
  <si>
    <t>C:\redacted\[golden_msft_quarterly_update.xlsx]Ticker0024_Validation_Sheet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</si>
</sst>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8">
    <numFmt numFmtId="5" formatCode="&quot;$&quot;#,##0_);\(&quot;$&quot;#,##0\)"/>
    <numFmt numFmtId="7" formatCode="&quot;$&quot;#,##0.00_);\(&quot;$&quot;#,##0.00\)"/>
    <numFmt numFmtId="44" formatCode="_(&quot;$&quot;* #,##0.00_);_(&quot;$&quot;* \(#,##0.00\);_(&quot;$&quot;* &quot;-&quot;??_);_(@_)"/>
    <numFmt numFmtId="43" formatCode="_(* #,##0.00_);_(* \(#,##0.00\);_(* &quot;-&quot;??_);_(@_)"/>
    <numFmt numFmtId="164" formatCode="[$-409]mmmm\ d\,\ yyyy;@"/>
    <numFmt numFmtId="165" formatCode=";;;"/>
    <numFmt numFmtId="166" formatCode="mm/dd/yy;@"/>
    <numFmt numFmtId="167" formatCode="yyyy\ &quot;(A)&quot;"/>
    <numFmt numFmtId="168" formatCode="m/d/yy"/>
    <numFmt numFmtId="169" formatCode="[$-409]mmm\-yy;@"/>
    <numFmt numFmtId="170" formatCode="#,##0.0_);\(#,##0.0\);#,##0.0_);@_)"/>
    <numFmt numFmtId="171" formatCode="&quot;$&quot;#,##0.0_);\(&quot;$&quot;#,##0.0\)"/>
    <numFmt numFmtId="172" formatCode="#,##0.0"/>
    <numFmt numFmtId="173" formatCode="0.0_);\(0.0\)"/>
    <numFmt numFmtId="174" formatCode="#,##0.0_);\(#,##0.0\)"/>
    <numFmt numFmtId="175" formatCode="0.0%"/>
    <numFmt numFmtId="176" formatCode="#,##0%_);\(#,##0%\)"/>
    <numFmt numFmtId="177" formatCode="&quot;$&quot;#,##0"/>
    <numFmt numFmtId="178" formatCode="_(&quot;$&quot;* #,##0_);_(&quot;$&quot;* \(#,##0\);_(&quot;$&quot;* &quot;-&quot;??_);_(@_)"/>
    <numFmt numFmtId="179" formatCode="&quot;$&quot;\ #,##0_);[Red]\(&quot;$&quot;#,##0\)"/>
    <numFmt numFmtId="180" formatCode="#,##0;[Red]#,##0"/>
    <numFmt numFmtId="181" formatCode="\~&quot;$&quot;#,##0"/>
    <numFmt numFmtId="182" formatCode="0.000"/>
    <numFmt numFmtId="183" formatCode="&quot;$&quot;#,##0.0"/>
    <numFmt numFmtId="184" formatCode="_(* #,##0.0_);_(* \(#,##0.0\);_(* &quot;-&quot;??_);_(@_)"/>
    <numFmt numFmtId="185" formatCode="#,##0.000_);\(#,##0.000\)"/>
    <numFmt numFmtId="186" formatCode="0.00_);\(0.00\)"/>
    <numFmt numFmtId="187" formatCode="_(* #,##0_);_(* \(#,##0\);_(* &quot;-&quot;??_);_(@_)"/>
    <numFmt numFmtId="188" formatCode="\+0\ &quot;bps&quot;;\-0\ &quot;bps&quot;"/>
    <numFmt numFmtId="189" formatCode="0.000%"/>
    <numFmt numFmtId="190" formatCode="#,##0.0000_);\(#,##0.0000\)"/>
    <numFmt numFmtId="191" formatCode="0_);\(0\)"/>
    <numFmt numFmtId="192" formatCode="0.0"/>
    <numFmt numFmtId="193" formatCode="&quot;$&quot;#,##0.00"/>
    <numFmt numFmtId="194" formatCode="dd\-mmm\-yyyy"/>
    <numFmt numFmtId="195" formatCode="0\ &quot;bps&quot;"/>
    <numFmt numFmtId="196" formatCode="_(* #,##0.0_);_(* \(#,##0.0\);_(* &quot;-&quot;?_);_(@_)"/>
    <numFmt numFmtId="197" formatCode="_(* #,##0.000_);_(* \(#,##0.000\);_(* &quot;-&quot;??_);_(@_)"/>
  </numFmts>
  <fonts count="72">
    <font>
      <sz val="10"/>
      <color theme="1"/>
      <name val="Arial"/>
      <family val="2"/>
    </font>
    <font>
      <sz val="11"/>
      <color theme="1"/>
      <name val="Calibri"/>
      <family val="2"/>
      <scheme val="minor"/>
    </font>
    <font>
      <sz val="10"/>
      <color theme="1"/>
      <name val="Arial"/>
      <family val="2"/>
    </font>
    <font>
      <b/>
      <sz val="10"/>
      <color theme="1"/>
      <name val="Arial"/>
      <family val="2"/>
    </font>
    <font>
      <sz val="10"/>
      <color theme="0"/>
      <name val="Arial"/>
      <family val="2"/>
    </font>
    <font>
      <u/>
      <sz val="10"/>
      <color theme="10"/>
      <name val="Arial"/>
      <family val="2"/>
    </font>
    <font>
      <sz val="9"/>
      <color theme="1"/>
      <name val="Arial"/>
      <family val="2"/>
    </font>
    <font>
      <u/>
      <sz val="11"/>
      <color theme="10"/>
      <name val="Calibri"/>
      <family val="2"/>
    </font>
    <font>
      <sz val="11"/>
      <color theme="1"/>
      <name val="Calibri"/>
      <family val="2"/>
    </font>
    <font>
      <sz val="9"/>
      <color indexed="8"/>
      <name val="Arial"/>
      <family val="2"/>
    </font>
    <font>
      <sz val="11"/>
      <color indexed="8"/>
      <name val="Calibri"/>
      <family val="2"/>
    </font>
    <font>
      <u/>
      <sz val="10"/>
      <color indexed="12"/>
      <name val="Arial"/>
      <family val="2"/>
    </font>
    <font>
      <sz val="11"/>
      <color theme="1"/>
      <name val="Arial"/>
      <family val="2"/>
    </font>
    <font>
      <i/>
      <sz val="9"/>
      <color indexed="8"/>
      <name val="Arial"/>
      <family val="2"/>
    </font>
    <font>
      <sz val="9"/>
      <color rgb="FF000000"/>
      <name val="Arial"/>
      <family val="2"/>
    </font>
    <font>
      <b/>
      <u val="singleAccounting"/>
      <sz val="9"/>
      <color rgb="FF000000"/>
      <name val="Arial"/>
      <family val="2"/>
    </font>
    <font>
      <b/>
      <sz val="9"/>
      <name val="Arial"/>
      <family val="2"/>
    </font>
    <font>
      <b/>
      <sz val="9"/>
      <color rgb="FF000000"/>
      <name val="Arial"/>
      <family val="2"/>
    </font>
    <font>
      <b/>
      <sz val="9"/>
      <color rgb="FF0000FF"/>
      <name val="Arial"/>
      <family val="2"/>
    </font>
    <font>
      <sz val="9"/>
      <color rgb="FF0000FF"/>
      <name val="Arial"/>
      <family val="2"/>
    </font>
    <font>
      <sz val="11"/>
      <color indexed="8"/>
      <name val="Calibri"/>
      <family val="2"/>
      <scheme val="minor"/>
    </font>
    <font>
      <sz val="12"/>
      <name val="AGaramond"/>
      <family val="1"/>
    </font>
    <font>
      <b/>
      <sz val="10"/>
      <color indexed="8"/>
      <name val="Arial"/>
      <family val="2"/>
    </font>
    <font>
      <sz val="10"/>
      <color rgb="FF0000FF"/>
      <name val="Arial"/>
      <family val="2"/>
    </font>
    <font>
      <sz val="10"/>
      <color indexed="8"/>
      <name val="Arial"/>
      <family val="2"/>
    </font>
    <font>
      <b/>
      <sz val="10"/>
      <color rgb="FFFF0000"/>
      <name val="Arial"/>
      <family val="2"/>
    </font>
    <font>
      <b/>
      <u val="singleAccounting"/>
      <sz val="10"/>
      <color rgb="FF000000"/>
      <name val="Arial"/>
      <family val="2"/>
    </font>
    <font>
      <b/>
      <sz val="10"/>
      <name val="Arial"/>
      <family val="2"/>
    </font>
    <font>
      <b/>
      <sz val="10"/>
      <color rgb="FF0000FF"/>
      <name val="Arial"/>
      <family val="2"/>
    </font>
    <font>
      <b/>
      <sz val="10"/>
      <color rgb="FF000000"/>
      <name val="Arial"/>
      <family val="2"/>
    </font>
    <font>
      <i/>
      <sz val="10"/>
      <color theme="0"/>
      <name val="Arial"/>
      <family val="2"/>
    </font>
    <font>
      <i/>
      <sz val="10"/>
      <color indexed="8"/>
      <name val="Arial"/>
      <family val="2"/>
    </font>
    <font>
      <sz val="10"/>
      <name val="Arial"/>
      <family val="2"/>
    </font>
    <font>
      <i/>
      <sz val="10"/>
      <name val="Arial"/>
      <family val="2"/>
    </font>
    <font>
      <sz val="10"/>
      <color rgb="FF660066"/>
      <name val="Arial"/>
      <family val="2"/>
    </font>
    <font>
      <sz val="10"/>
      <color theme="1"/>
      <name val="Calibri"/>
      <family val="2"/>
      <scheme val="minor"/>
    </font>
    <font>
      <b/>
      <i/>
      <sz val="10"/>
      <name val="Arial"/>
      <family val="2"/>
    </font>
    <font>
      <b/>
      <sz val="10"/>
      <color rgb="FF660066"/>
      <name val="Arial"/>
      <family val="2"/>
    </font>
    <font>
      <b/>
      <i/>
      <sz val="10"/>
      <color rgb="FF660066"/>
      <name val="Arial"/>
      <family val="2"/>
    </font>
    <font>
      <b/>
      <sz val="9"/>
      <color indexed="81"/>
      <name val="Tahoma"/>
      <family val="2"/>
    </font>
    <font>
      <b/>
      <sz val="10"/>
      <color theme="0"/>
      <name val="Arial"/>
      <family val="2"/>
    </font>
    <font>
      <sz val="10"/>
      <color rgb="FFFF0000"/>
      <name val="Arial"/>
      <family val="2"/>
    </font>
    <font>
      <sz val="10"/>
      <color rgb="FF3308E8"/>
      <name val="Arial"/>
      <family val="2"/>
    </font>
    <font>
      <sz val="10"/>
      <color rgb="FF008000"/>
      <name val="Arial"/>
      <family val="2"/>
    </font>
    <font>
      <i/>
      <sz val="10"/>
      <color theme="1"/>
      <name val="Arial"/>
      <family val="2"/>
    </font>
    <font>
      <sz val="10"/>
      <color rgb="FF007E39"/>
      <name val="Arial"/>
      <family val="2"/>
    </font>
    <font>
      <sz val="10"/>
      <name val="Helv"/>
    </font>
    <font>
      <sz val="8"/>
      <name val="Helvetica"/>
      <family val="2"/>
    </font>
    <font>
      <sz val="10"/>
      <name val="Tms Rmn"/>
    </font>
    <font>
      <u/>
      <sz val="10"/>
      <name val="Arial"/>
      <family val="2"/>
    </font>
    <font>
      <u/>
      <sz val="10"/>
      <color rgb="FF0000FF"/>
      <name val="Arial"/>
      <family val="2"/>
    </font>
    <font>
      <i/>
      <sz val="10"/>
      <color rgb="FFFF0000"/>
      <name val="Arial"/>
      <family val="2"/>
    </font>
    <font>
      <sz val="10"/>
      <color rgb="FF000000"/>
      <name val="Arial"/>
      <family val="2"/>
    </font>
    <font>
      <b/>
      <sz val="10"/>
      <color rgb="FF0033CC"/>
      <name val="Arial"/>
      <family val="2"/>
    </font>
    <font>
      <i/>
      <sz val="10"/>
      <color rgb="FF000000"/>
      <name val="Arial"/>
      <family val="2"/>
    </font>
    <font>
      <sz val="9"/>
      <color indexed="81"/>
      <name val="Tahoma"/>
      <family val="2"/>
    </font>
    <font>
      <b/>
      <i/>
      <sz val="10"/>
      <color rgb="FF000000"/>
      <name val="Arial"/>
      <family val="2"/>
    </font>
    <font>
      <sz val="10"/>
      <color theme="8"/>
      <name val="Arial"/>
      <family val="2"/>
    </font>
    <font>
      <b/>
      <sz val="10"/>
      <color theme="8"/>
      <name val="Arial"/>
      <family val="2"/>
    </font>
    <font>
      <sz val="9"/>
      <color theme="0"/>
      <name val="Arial"/>
      <family val="2"/>
    </font>
    <font>
      <i/>
      <sz val="8"/>
      <name val="Arial"/>
      <family val="2"/>
    </font>
    <font>
      <b/>
      <u/>
      <sz val="10"/>
      <color theme="1"/>
      <name val="Arial"/>
      <family val="2"/>
    </font>
    <font>
      <i/>
      <sz val="8"/>
      <color indexed="8"/>
      <name val="Arial"/>
      <family val="2"/>
    </font>
    <font>
      <sz val="10"/>
      <color rgb="FF0033CC"/>
      <name val="Arial"/>
      <family val="2"/>
    </font>
    <font>
      <b/>
      <sz val="10"/>
      <color rgb="FF008000"/>
      <name val="Arial"/>
      <family val="2"/>
    </font>
    <font>
      <i/>
      <sz val="10"/>
      <color rgb="FF0000FF"/>
      <name val="Arial"/>
      <family val="2"/>
    </font>
    <font>
      <b/>
      <sz val="10"/>
      <color rgb="FF7030A0"/>
      <name val="Arial"/>
      <family val="2"/>
    </font>
    <font>
      <i/>
      <sz val="10"/>
      <color theme="8"/>
      <name val="Arial"/>
      <family val="2"/>
    </font>
    <font>
      <i/>
      <sz val="8"/>
      <color theme="0"/>
      <name val="Arial"/>
      <family val="2"/>
    </font>
    <font>
      <b/>
      <i/>
      <sz val="8"/>
      <color theme="0"/>
      <name val="Arial"/>
      <family val="2"/>
    </font>
    <font>
      <i/>
      <sz val="10"/>
      <color rgb="FF7030A0"/>
      <name val="Arial"/>
      <family val="2"/>
    </font>
    <font>
      <b/>
      <i/>
      <sz val="10"/>
      <color theme="0"/>
      <name val="Arial"/>
      <family val="2"/>
    </font>
  </fonts>
  <fills count="20">
    <fill>
      <patternFill patternType="none"/>
    </fill>
    <fill>
      <patternFill patternType="gray125"/>
    </fill>
    <fill>
      <patternFill patternType="solid">
        <fgColor theme="0"/>
        <bgColor indexed="64"/>
      </patternFill>
    </fill>
    <fill>
      <patternFill patternType="solid">
        <fgColor theme="0" tint="-0.14999847407452621"/>
        <bgColor indexed="64"/>
      </patternFill>
    </fill>
    <fill>
      <patternFill patternType="solid">
        <fgColor rgb="FFE2EAF3"/>
        <bgColor indexed="64"/>
      </patternFill>
    </fill>
    <fill>
      <patternFill patternType="solid">
        <fgColor rgb="FFFFFF00"/>
        <bgColor indexed="64"/>
      </patternFill>
    </fill>
    <fill>
      <patternFill patternType="solid">
        <fgColor rgb="FFE2EAF3"/>
        <bgColor rgb="FF000000"/>
      </patternFill>
    </fill>
    <fill>
      <patternFill patternType="solid">
        <fgColor theme="4"/>
        <bgColor indexed="64"/>
      </patternFill>
    </fill>
    <fill>
      <patternFill patternType="solid">
        <fgColor rgb="FFFFC000"/>
        <bgColor indexed="64"/>
      </patternFill>
    </fill>
    <fill>
      <patternFill patternType="solid">
        <fgColor theme="0" tint="-4.9989318521683403E-2"/>
        <bgColor indexed="64"/>
      </patternFill>
    </fill>
    <fill>
      <patternFill patternType="solid">
        <fgColor theme="5"/>
        <bgColor indexed="64"/>
      </patternFill>
    </fill>
    <fill>
      <patternFill patternType="solid">
        <fgColor theme="0"/>
        <bgColor rgb="FF000000"/>
      </patternFill>
    </fill>
    <fill>
      <patternFill patternType="solid">
        <fgColor theme="2" tint="0.59999389629810485"/>
        <bgColor indexed="64"/>
      </patternFill>
    </fill>
    <fill>
      <patternFill patternType="solid">
        <fgColor theme="7" tint="0.79998168889431442"/>
        <bgColor indexed="64"/>
      </patternFill>
    </fill>
    <fill>
      <patternFill patternType="solid">
        <fgColor theme="7" tint="0.79998168889431442"/>
        <bgColor rgb="FF000000"/>
      </patternFill>
    </fill>
    <fill>
      <patternFill patternType="solid">
        <fgColor theme="6" tint="0.79998168889431442"/>
        <bgColor indexed="64"/>
      </patternFill>
    </fill>
    <fill>
      <patternFill patternType="solid">
        <fgColor theme="4"/>
        <bgColor rgb="FF000000"/>
      </patternFill>
    </fill>
    <fill>
      <patternFill patternType="solid">
        <fgColor rgb="FFCFD6E6"/>
        <bgColor indexed="64"/>
      </patternFill>
    </fill>
    <fill>
      <patternFill patternType="solid">
        <fgColor theme="6"/>
        <bgColor indexed="64"/>
      </patternFill>
    </fill>
    <fill>
      <patternFill patternType="solid">
        <fgColor theme="6"/>
        <bgColor rgb="FF000000"/>
      </patternFill>
    </fill>
  </fills>
  <borders count="39">
    <border>
      <left/>
      <right/>
      <top/>
      <bottom/>
      <diagonal/>
    </border>
    <border>
      <left style="thin">
        <color indexed="64"/>
      </left>
      <right/>
      <top style="thin">
        <color indexed="64"/>
      </top>
      <bottom/>
      <diagonal/>
    </border>
    <border>
      <left/>
      <right/>
      <top style="thin">
        <color indexed="64"/>
      </top>
      <bottom/>
      <diagonal/>
    </border>
    <border>
      <left style="thin">
        <color indexed="64"/>
      </left>
      <right/>
      <top style="dashed">
        <color theme="0" tint="-0.14996795556505021"/>
      </top>
      <bottom style="dashed">
        <color theme="0" tint="-0.14996795556505021"/>
      </bottom>
      <diagonal/>
    </border>
    <border>
      <left/>
      <right/>
      <top style="dashed">
        <color theme="0" tint="-0.14996795556505021"/>
      </top>
      <bottom style="dashed">
        <color theme="0" tint="-0.14996795556505021"/>
      </bottom>
      <diagonal/>
    </border>
    <border>
      <left style="thin">
        <color indexed="64"/>
      </left>
      <right/>
      <top/>
      <bottom style="thin">
        <color auto="1"/>
      </bottom>
      <diagonal/>
    </border>
    <border>
      <left/>
      <right/>
      <top/>
      <bottom style="thin">
        <color auto="1"/>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style="thin">
        <color indexed="64"/>
      </right>
      <top/>
      <bottom/>
      <diagonal/>
    </border>
    <border>
      <left style="thin">
        <color indexed="64"/>
      </left>
      <right/>
      <top/>
      <bottom/>
      <diagonal/>
    </border>
    <border>
      <left style="medium">
        <color indexed="64"/>
      </left>
      <right/>
      <top style="medium">
        <color indexed="64"/>
      </top>
      <bottom/>
      <diagonal/>
    </border>
    <border>
      <left/>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top/>
      <bottom/>
      <diagonal/>
    </border>
    <border>
      <left style="thin">
        <color indexed="64"/>
      </left>
      <right style="medium">
        <color indexed="64"/>
      </right>
      <top/>
      <bottom/>
      <diagonal/>
    </border>
    <border>
      <left style="medium">
        <color indexed="64"/>
      </left>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top/>
      <bottom style="medium">
        <color indexed="64"/>
      </bottom>
      <diagonal/>
    </border>
    <border>
      <left/>
      <right/>
      <top/>
      <bottom style="medium">
        <color indexed="64"/>
      </bottom>
      <diagonal/>
    </border>
    <border>
      <left/>
      <right style="thin">
        <color indexed="64"/>
      </right>
      <top/>
      <bottom style="medium">
        <color indexed="64"/>
      </bottom>
      <diagonal/>
    </border>
    <border>
      <left/>
      <right style="medium">
        <color indexed="64"/>
      </right>
      <top/>
      <bottom style="medium">
        <color indexed="64"/>
      </bottom>
      <diagonal/>
    </border>
    <border>
      <left/>
      <right style="medium">
        <color indexed="64"/>
      </right>
      <top/>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style="thin">
        <color indexed="64"/>
      </right>
      <top style="thin">
        <color indexed="64"/>
      </top>
      <bottom style="thin">
        <color indexed="64"/>
      </bottom>
      <diagonal/>
    </border>
    <border>
      <left/>
      <right style="thin">
        <color indexed="64"/>
      </right>
      <top style="thin">
        <color indexed="64"/>
      </top>
      <bottom/>
      <diagonal/>
    </border>
    <border>
      <left style="thin">
        <color indexed="64"/>
      </left>
      <right style="medium">
        <color indexed="64"/>
      </right>
      <top style="thin">
        <color indexed="64"/>
      </top>
      <bottom/>
      <diagonal/>
    </border>
    <border>
      <left/>
      <right style="medium">
        <color indexed="64"/>
      </right>
      <top style="medium">
        <color indexed="64"/>
      </top>
      <bottom/>
      <diagonal/>
    </border>
    <border>
      <left/>
      <right style="medium">
        <color indexed="64"/>
      </right>
      <top style="thin">
        <color indexed="64"/>
      </top>
      <bottom style="thin">
        <color indexed="64"/>
      </bottom>
      <diagonal/>
    </border>
    <border>
      <left/>
      <right style="dotted">
        <color indexed="64"/>
      </right>
      <top/>
      <bottom/>
      <diagonal/>
    </border>
  </borders>
  <cellStyleXfs count="22">
    <xf numFmtId="0" fontId="0" fillId="0" borderId="0"/>
    <xf numFmtId="9" fontId="2" fillId="0" borderId="0" applyFont="0" applyFill="0" applyBorder="0" applyAlignment="0" applyProtection="0"/>
    <xf numFmtId="0" fontId="5" fillId="0" borderId="0" applyNumberFormat="0" applyFill="0" applyBorder="0" applyAlignment="0" applyProtection="0"/>
    <xf numFmtId="164" fontId="7" fillId="0" borderId="0" applyNumberFormat="0" applyFill="0" applyBorder="0" applyAlignment="0" applyProtection="0">
      <alignment vertical="top"/>
      <protection locked="0"/>
    </xf>
    <xf numFmtId="0" fontId="8" fillId="0" borderId="0"/>
    <xf numFmtId="9" fontId="10" fillId="0" borderId="0" applyFont="0" applyFill="0" applyBorder="0" applyAlignment="0" applyProtection="0"/>
    <xf numFmtId="0" fontId="11" fillId="0" borderId="0" applyNumberFormat="0" applyFill="0" applyBorder="0" applyAlignment="0" applyProtection="0">
      <alignment vertical="top"/>
      <protection locked="0"/>
    </xf>
    <xf numFmtId="0" fontId="20" fillId="0" borderId="0"/>
    <xf numFmtId="0" fontId="21" fillId="0" borderId="0">
      <protection locked="0"/>
    </xf>
    <xf numFmtId="43" fontId="2" fillId="0" borderId="0" applyFont="0" applyFill="0" applyBorder="0" applyAlignment="0" applyProtection="0"/>
    <xf numFmtId="44" fontId="2" fillId="0" borderId="0" applyFont="0" applyFill="0" applyBorder="0" applyAlignment="0" applyProtection="0"/>
    <xf numFmtId="0" fontId="46" fillId="0" borderId="0"/>
    <xf numFmtId="0" fontId="47" fillId="0" borderId="0">
      <protection locked="0"/>
    </xf>
    <xf numFmtId="37" fontId="48" fillId="0" borderId="0"/>
    <xf numFmtId="171" fontId="32" fillId="0" borderId="0" applyFont="0" applyFill="0" applyBorder="0" applyAlignment="0" applyProtection="0"/>
    <xf numFmtId="174" fontId="32" fillId="0" borderId="0" applyFont="0" applyFill="0" applyBorder="0" applyAlignment="0" applyProtection="0"/>
    <xf numFmtId="179" fontId="46" fillId="0" borderId="0" applyFill="0" applyBorder="0" applyAlignment="0">
      <protection hidden="1"/>
    </xf>
    <xf numFmtId="0" fontId="32" fillId="0" borderId="0"/>
    <xf numFmtId="9" fontId="10" fillId="0" borderId="0" applyFont="0" applyFill="0" applyBorder="0" applyAlignment="0" applyProtection="0"/>
    <xf numFmtId="9" fontId="2" fillId="0" borderId="0" applyFont="0" applyFill="0" applyBorder="0" applyAlignment="0" applyProtection="0"/>
    <xf numFmtId="9" fontId="1" fillId="0" borderId="0" applyFont="0" applyFill="0" applyBorder="0" applyAlignment="0" applyProtection="0"/>
    <xf numFmtId="0" fontId="2" fillId="0" borderId="0"/>
  </cellStyleXfs>
  <cellXfs count="1759">
    <xf numFmtId="0" fontId="0" fillId="0" borderId="0" xfId="0"/>
    <xf numFmtId="0" fontId="9" fillId="0" borderId="0" xfId="4" applyFont="1" applyAlignment="1">
      <alignment vertical="center"/>
    </xf>
    <xf numFmtId="0" fontId="6" fillId="0" borderId="0" xfId="4" applyFont="1" applyAlignment="1">
      <alignment horizontal="left"/>
    </xf>
    <xf numFmtId="9" fontId="9" fillId="0" borderId="0" xfId="5" applyFont="1" applyFill="1" applyBorder="1" applyAlignment="1">
      <alignment horizontal="right" vertical="center"/>
    </xf>
    <xf numFmtId="37" fontId="9" fillId="0" borderId="0" xfId="5" applyNumberFormat="1" applyFont="1" applyFill="1" applyBorder="1" applyAlignment="1">
      <alignment horizontal="right" vertical="center"/>
    </xf>
    <xf numFmtId="2" fontId="9" fillId="0" borderId="0" xfId="5" applyNumberFormat="1" applyFont="1" applyFill="1" applyBorder="1" applyAlignment="1">
      <alignment horizontal="right" vertical="center"/>
    </xf>
    <xf numFmtId="0" fontId="9" fillId="0" borderId="0" xfId="4" applyFont="1" applyAlignment="1">
      <alignment horizontal="right" vertical="center"/>
    </xf>
    <xf numFmtId="0" fontId="12" fillId="0" borderId="0" xfId="0" applyFont="1"/>
    <xf numFmtId="0" fontId="13" fillId="0" borderId="0" xfId="4" applyFont="1" applyAlignment="1">
      <alignment vertical="center"/>
    </xf>
    <xf numFmtId="0" fontId="14" fillId="0" borderId="0" xfId="4" applyFont="1" applyAlignment="1">
      <alignment horizontal="centerContinuous"/>
    </xf>
    <xf numFmtId="0" fontId="15" fillId="0" borderId="0" xfId="4" applyFont="1" applyAlignment="1">
      <alignment horizontal="centerContinuous" vertical="top"/>
    </xf>
    <xf numFmtId="0" fontId="16" fillId="0" borderId="0" xfId="4" applyFont="1" applyAlignment="1">
      <alignment horizontal="center" vertical="center"/>
    </xf>
    <xf numFmtId="0" fontId="16" fillId="3" borderId="0" xfId="4" applyFont="1" applyFill="1" applyAlignment="1">
      <alignment horizontal="center" vertical="center"/>
    </xf>
    <xf numFmtId="17" fontId="9" fillId="0" borderId="0" xfId="4" applyNumberFormat="1" applyFont="1" applyAlignment="1">
      <alignment vertical="center"/>
    </xf>
    <xf numFmtId="17" fontId="16" fillId="0" borderId="0" xfId="4" applyNumberFormat="1" applyFont="1" applyAlignment="1">
      <alignment horizontal="center" vertical="center"/>
    </xf>
    <xf numFmtId="17" fontId="17" fillId="0" borderId="0" xfId="4" applyNumberFormat="1" applyFont="1" applyAlignment="1">
      <alignment horizontal="center" vertical="center"/>
    </xf>
    <xf numFmtId="17" fontId="16" fillId="3" borderId="0" xfId="4" applyNumberFormat="1" applyFont="1" applyFill="1" applyAlignment="1">
      <alignment horizontal="center" vertical="center"/>
    </xf>
    <xf numFmtId="17" fontId="12" fillId="0" borderId="0" xfId="0" applyNumberFormat="1" applyFont="1"/>
    <xf numFmtId="17" fontId="18" fillId="0" borderId="0" xfId="4" applyNumberFormat="1" applyFont="1" applyAlignment="1">
      <alignment horizontal="center" vertical="center"/>
    </xf>
    <xf numFmtId="0" fontId="18" fillId="0" borderId="1" xfId="4" applyFont="1" applyBorder="1" applyAlignment="1">
      <alignment vertical="center"/>
    </xf>
    <xf numFmtId="0" fontId="18" fillId="0" borderId="0" xfId="4" applyFont="1" applyAlignment="1">
      <alignment horizontal="center" vertical="center"/>
    </xf>
    <xf numFmtId="0" fontId="18" fillId="0" borderId="2" xfId="4" applyFont="1" applyBorder="1" applyAlignment="1">
      <alignment horizontal="center" vertical="center"/>
    </xf>
    <xf numFmtId="0" fontId="18" fillId="3" borderId="2" xfId="4" applyFont="1" applyFill="1" applyBorder="1" applyAlignment="1">
      <alignment horizontal="center" vertical="center"/>
    </xf>
    <xf numFmtId="0" fontId="18" fillId="0" borderId="3" xfId="4" applyFont="1" applyBorder="1" applyAlignment="1">
      <alignment vertical="center"/>
    </xf>
    <xf numFmtId="0" fontId="18" fillId="0" borderId="4" xfId="4" applyFont="1" applyBorder="1" applyAlignment="1">
      <alignment horizontal="center" vertical="center"/>
    </xf>
    <xf numFmtId="0" fontId="18" fillId="3" borderId="4" xfId="4" applyFont="1" applyFill="1" applyBorder="1" applyAlignment="1">
      <alignment horizontal="center" vertical="center"/>
    </xf>
    <xf numFmtId="0" fontId="18" fillId="0" borderId="5" xfId="4" applyFont="1" applyBorder="1" applyAlignment="1">
      <alignment vertical="center"/>
    </xf>
    <xf numFmtId="0" fontId="18" fillId="0" borderId="6" xfId="4" applyFont="1" applyBorder="1" applyAlignment="1">
      <alignment horizontal="center" vertical="center"/>
    </xf>
    <xf numFmtId="0" fontId="18" fillId="3" borderId="6" xfId="4" applyFont="1" applyFill="1" applyBorder="1" applyAlignment="1">
      <alignment horizontal="center" vertical="center"/>
    </xf>
    <xf numFmtId="0" fontId="18" fillId="0" borderId="0" xfId="4" applyFont="1" applyAlignment="1">
      <alignment vertical="center"/>
    </xf>
    <xf numFmtId="17" fontId="19" fillId="0" borderId="0" xfId="4" applyNumberFormat="1" applyFont="1" applyAlignment="1">
      <alignment vertical="center"/>
    </xf>
    <xf numFmtId="17" fontId="14" fillId="0" borderId="0" xfId="4" applyNumberFormat="1" applyFont="1" applyAlignment="1">
      <alignment horizontal="center" vertical="center"/>
    </xf>
    <xf numFmtId="17" fontId="19" fillId="0" borderId="0" xfId="4" applyNumberFormat="1" applyFont="1" applyAlignment="1">
      <alignment horizontal="center" vertical="center"/>
    </xf>
    <xf numFmtId="0" fontId="9" fillId="0" borderId="0" xfId="4" applyFont="1" applyAlignment="1">
      <alignment horizontal="center" vertical="center"/>
    </xf>
    <xf numFmtId="0" fontId="6" fillId="0" borderId="0" xfId="4" applyFont="1" applyAlignment="1">
      <alignment horizontal="center" vertical="center"/>
    </xf>
    <xf numFmtId="0" fontId="19" fillId="0" borderId="0" xfId="4" applyFont="1" applyAlignment="1">
      <alignment horizontal="center" vertical="center"/>
    </xf>
    <xf numFmtId="0" fontId="6" fillId="0" borderId="0" xfId="0" applyFont="1" applyAlignment="1">
      <alignment horizontal="center"/>
    </xf>
    <xf numFmtId="0" fontId="6" fillId="0" borderId="0" xfId="0" applyFont="1" applyAlignment="1">
      <alignment horizontal="left"/>
    </xf>
    <xf numFmtId="0" fontId="14" fillId="0" borderId="0" xfId="4" applyFont="1" applyAlignment="1">
      <alignment horizontal="left"/>
    </xf>
    <xf numFmtId="165" fontId="4" fillId="0" borderId="0" xfId="7" applyNumberFormat="1" applyFont="1" applyAlignment="1">
      <alignment vertical="center"/>
    </xf>
    <xf numFmtId="0" fontId="22" fillId="0" borderId="0" xfId="8" applyFont="1">
      <protection locked="0"/>
    </xf>
    <xf numFmtId="0" fontId="23" fillId="0" borderId="0" xfId="7" applyFont="1" applyAlignment="1">
      <alignment horizontal="left" vertical="center"/>
    </xf>
    <xf numFmtId="0" fontId="24" fillId="0" borderId="0" xfId="7" applyFont="1" applyAlignment="1">
      <alignment vertical="center"/>
    </xf>
    <xf numFmtId="0" fontId="22" fillId="0" borderId="0" xfId="7" applyFont="1" applyAlignment="1">
      <alignment horizontal="left" vertical="center"/>
    </xf>
    <xf numFmtId="166" fontId="23" fillId="0" borderId="0" xfId="7" applyNumberFormat="1" applyFont="1" applyAlignment="1">
      <alignment horizontal="left" vertical="center"/>
    </xf>
    <xf numFmtId="15" fontId="23" fillId="0" borderId="0" xfId="7" applyNumberFormat="1" applyFont="1" applyAlignment="1">
      <alignment vertical="center"/>
    </xf>
    <xf numFmtId="0" fontId="25" fillId="0" borderId="0" xfId="7" applyFont="1" applyAlignment="1">
      <alignment horizontal="left" vertical="center"/>
    </xf>
    <xf numFmtId="167" fontId="26" fillId="0" borderId="0" xfId="7" applyNumberFormat="1" applyFont="1" applyAlignment="1">
      <alignment horizontal="centerContinuous" vertical="top"/>
    </xf>
    <xf numFmtId="0" fontId="22" fillId="0" borderId="0" xfId="7" applyFont="1" applyAlignment="1">
      <alignment vertical="center"/>
    </xf>
    <xf numFmtId="0" fontId="27" fillId="0" borderId="0" xfId="7" applyFont="1" applyAlignment="1">
      <alignment horizontal="center" vertical="center"/>
    </xf>
    <xf numFmtId="0" fontId="27" fillId="3" borderId="0" xfId="7" applyFont="1" applyFill="1" applyAlignment="1">
      <alignment horizontal="center" vertical="center"/>
    </xf>
    <xf numFmtId="168" fontId="28" fillId="0" borderId="0" xfId="7" applyNumberFormat="1" applyFont="1" applyAlignment="1">
      <alignment horizontal="left" vertical="center"/>
    </xf>
    <xf numFmtId="17" fontId="29" fillId="0" borderId="0" xfId="7" applyNumberFormat="1" applyFont="1" applyAlignment="1">
      <alignment horizontal="center" vertical="center"/>
    </xf>
    <xf numFmtId="169" fontId="3" fillId="3" borderId="0" xfId="7" applyNumberFormat="1" applyFont="1" applyFill="1" applyAlignment="1">
      <alignment horizontal="center" vertical="center"/>
    </xf>
    <xf numFmtId="165" fontId="30" fillId="0" borderId="0" xfId="7" applyNumberFormat="1" applyFont="1" applyAlignment="1">
      <alignment vertical="center"/>
    </xf>
    <xf numFmtId="0" fontId="31" fillId="0" borderId="0" xfId="7" applyFont="1" applyAlignment="1">
      <alignment vertical="center"/>
    </xf>
    <xf numFmtId="0" fontId="31" fillId="0" borderId="0" xfId="4" applyFont="1" applyAlignment="1">
      <alignment horizontal="center" vertical="center"/>
    </xf>
    <xf numFmtId="0" fontId="33" fillId="3" borderId="0" xfId="4" applyFont="1" applyFill="1" applyAlignment="1">
      <alignment horizontal="center" vertical="center"/>
    </xf>
    <xf numFmtId="0" fontId="24" fillId="0" borderId="0" xfId="7" applyFont="1" applyAlignment="1">
      <alignment horizontal="left" vertical="center" indent="1"/>
    </xf>
    <xf numFmtId="0" fontId="34" fillId="0" borderId="0" xfId="7" applyFont="1" applyAlignment="1">
      <alignment horizontal="right" vertical="center"/>
    </xf>
    <xf numFmtId="0" fontId="34" fillId="3" borderId="0" xfId="7" applyFont="1" applyFill="1" applyAlignment="1">
      <alignment horizontal="right" vertical="center"/>
    </xf>
    <xf numFmtId="170" fontId="34" fillId="0" borderId="0" xfId="7" applyNumberFormat="1" applyFont="1" applyAlignment="1">
      <alignment horizontal="right" vertical="center"/>
    </xf>
    <xf numFmtId="170" fontId="34" fillId="3" borderId="0" xfId="7" applyNumberFormat="1" applyFont="1" applyFill="1" applyAlignment="1">
      <alignment horizontal="right" vertical="center"/>
    </xf>
    <xf numFmtId="7" fontId="4" fillId="0" borderId="0" xfId="0" applyNumberFormat="1" applyFont="1"/>
    <xf numFmtId="0" fontId="27" fillId="0" borderId="8" xfId="7" applyFont="1" applyBorder="1" applyAlignment="1">
      <alignment horizontal="left" vertical="center" indent="1"/>
    </xf>
    <xf numFmtId="5" fontId="27" fillId="0" borderId="8" xfId="7" applyNumberFormat="1" applyFont="1" applyBorder="1" applyAlignment="1">
      <alignment horizontal="right" vertical="center"/>
    </xf>
    <xf numFmtId="5" fontId="27" fillId="3" borderId="8" xfId="7" applyNumberFormat="1" applyFont="1" applyFill="1" applyBorder="1" applyAlignment="1">
      <alignment horizontal="right" vertical="center"/>
    </xf>
    <xf numFmtId="0" fontId="32" fillId="0" borderId="0" xfId="7" applyFont="1" applyAlignment="1">
      <alignment vertical="center"/>
    </xf>
    <xf numFmtId="0" fontId="4" fillId="0" borderId="0" xfId="0" applyFont="1"/>
    <xf numFmtId="9" fontId="33" fillId="0" borderId="0" xfId="1" applyFont="1" applyFill="1" applyBorder="1" applyAlignment="1" applyProtection="1">
      <alignment horizontal="left" indent="1"/>
      <protection locked="0"/>
    </xf>
    <xf numFmtId="9" fontId="33" fillId="0" borderId="0" xfId="1" applyFont="1" applyAlignment="1">
      <alignment horizontal="right" vertical="center"/>
    </xf>
    <xf numFmtId="9" fontId="33" fillId="3" borderId="0" xfId="1" applyFont="1" applyFill="1" applyAlignment="1">
      <alignment horizontal="right" vertical="center"/>
    </xf>
    <xf numFmtId="0" fontId="33" fillId="0" borderId="0" xfId="7" applyFont="1" applyAlignment="1">
      <alignment vertical="center"/>
    </xf>
    <xf numFmtId="5" fontId="33" fillId="3" borderId="0" xfId="7" applyNumberFormat="1" applyFont="1" applyFill="1" applyAlignment="1">
      <alignment horizontal="right" vertical="center"/>
    </xf>
    <xf numFmtId="9" fontId="31" fillId="0" borderId="0" xfId="1" applyFont="1" applyFill="1" applyBorder="1" applyAlignment="1" applyProtection="1">
      <alignment horizontal="left" indent="1"/>
      <protection locked="0"/>
    </xf>
    <xf numFmtId="5" fontId="35" fillId="3" borderId="0" xfId="7" applyNumberFormat="1" applyFont="1" applyFill="1" applyAlignment="1">
      <alignment horizontal="right" vertical="center"/>
    </xf>
    <xf numFmtId="5" fontId="36" fillId="3" borderId="0" xfId="7" applyNumberFormat="1" applyFont="1" applyFill="1" applyAlignment="1">
      <alignment horizontal="right" vertical="center"/>
    </xf>
    <xf numFmtId="5" fontId="27" fillId="3" borderId="0" xfId="7" applyNumberFormat="1" applyFont="1" applyFill="1" applyAlignment="1">
      <alignment horizontal="right" vertical="center"/>
    </xf>
    <xf numFmtId="0" fontId="4" fillId="0" borderId="0" xfId="0" applyFont="1" applyAlignment="1">
      <alignment horizontal="left" indent="1"/>
    </xf>
    <xf numFmtId="7" fontId="27" fillId="0" borderId="8" xfId="7" applyNumberFormat="1" applyFont="1" applyBorder="1" applyAlignment="1">
      <alignment horizontal="right" vertical="center"/>
    </xf>
    <xf numFmtId="7" fontId="27" fillId="3" borderId="8" xfId="7" applyNumberFormat="1" applyFont="1" applyFill="1" applyBorder="1" applyAlignment="1">
      <alignment horizontal="right" vertical="center"/>
    </xf>
    <xf numFmtId="9" fontId="4" fillId="0" borderId="0" xfId="1" applyFont="1"/>
    <xf numFmtId="9" fontId="4" fillId="0" borderId="0" xfId="1" applyFont="1" applyAlignment="1">
      <alignment horizontal="right"/>
    </xf>
    <xf numFmtId="5" fontId="37" fillId="3" borderId="0" xfId="7" applyNumberFormat="1" applyFont="1" applyFill="1" applyAlignment="1">
      <alignment horizontal="right" vertical="center"/>
    </xf>
    <xf numFmtId="5" fontId="37" fillId="0" borderId="0" xfId="7" applyNumberFormat="1" applyFont="1" applyAlignment="1">
      <alignment horizontal="right" vertical="center"/>
    </xf>
    <xf numFmtId="9" fontId="33" fillId="0" borderId="0" xfId="1" quotePrefix="1" applyFont="1" applyAlignment="1">
      <alignment horizontal="right" vertical="center"/>
    </xf>
    <xf numFmtId="9" fontId="33" fillId="0" borderId="0" xfId="1" applyFont="1" applyFill="1" applyBorder="1" applyAlignment="1" applyProtection="1">
      <alignment horizontal="left" indent="2"/>
      <protection locked="0"/>
    </xf>
    <xf numFmtId="171" fontId="33" fillId="0" borderId="0" xfId="7" quotePrefix="1" applyNumberFormat="1" applyFont="1" applyAlignment="1">
      <alignment horizontal="right" vertical="center"/>
    </xf>
    <xf numFmtId="5" fontId="38" fillId="3" borderId="0" xfId="7" applyNumberFormat="1" applyFont="1" applyFill="1" applyAlignment="1">
      <alignment horizontal="right" vertical="center"/>
    </xf>
    <xf numFmtId="0" fontId="27" fillId="0" borderId="0" xfId="7" applyFont="1" applyAlignment="1">
      <alignment horizontal="left" vertical="center" indent="1"/>
    </xf>
    <xf numFmtId="0" fontId="24" fillId="3" borderId="0" xfId="7" applyFont="1" applyFill="1" applyAlignment="1">
      <alignment vertical="center"/>
    </xf>
    <xf numFmtId="9" fontId="33" fillId="0" borderId="0" xfId="1" applyFont="1" applyFill="1" applyAlignment="1">
      <alignment horizontal="right" vertical="center"/>
    </xf>
    <xf numFmtId="9" fontId="33" fillId="0" borderId="0" xfId="1" applyFont="1" applyAlignment="1">
      <alignment vertical="center"/>
    </xf>
    <xf numFmtId="0" fontId="2" fillId="0" borderId="0" xfId="0" applyFont="1"/>
    <xf numFmtId="0" fontId="24" fillId="0" borderId="0" xfId="8" applyFont="1">
      <protection locked="0"/>
    </xf>
    <xf numFmtId="0" fontId="22" fillId="0" borderId="0" xfId="8" applyFont="1" applyAlignment="1">
      <alignment horizontal="right"/>
      <protection locked="0"/>
    </xf>
    <xf numFmtId="0" fontId="22" fillId="0" borderId="0" xfId="8" applyFont="1" applyAlignment="1">
      <alignment horizontal="center"/>
      <protection locked="0"/>
    </xf>
    <xf numFmtId="0" fontId="22" fillId="4" borderId="9" xfId="8" applyFont="1" applyFill="1" applyBorder="1" applyAlignment="1">
      <alignment horizontal="center"/>
      <protection locked="0"/>
    </xf>
    <xf numFmtId="169" fontId="22" fillId="0" borderId="0" xfId="8" applyNumberFormat="1" applyFont="1" applyAlignment="1">
      <alignment horizontal="center"/>
      <protection locked="0"/>
    </xf>
    <xf numFmtId="169" fontId="22" fillId="4" borderId="10" xfId="8" applyNumberFormat="1" applyFont="1" applyFill="1" applyBorder="1" applyAlignment="1">
      <alignment horizontal="center"/>
      <protection locked="0"/>
    </xf>
    <xf numFmtId="0" fontId="3" fillId="0" borderId="0" xfId="0" applyFont="1"/>
    <xf numFmtId="39" fontId="2" fillId="4" borderId="10" xfId="0" applyNumberFormat="1" applyFont="1" applyFill="1" applyBorder="1" applyAlignment="1">
      <alignment horizontal="right"/>
    </xf>
    <xf numFmtId="39" fontId="32" fillId="0" borderId="0" xfId="8" applyNumberFormat="1" applyFont="1">
      <protection locked="0"/>
    </xf>
    <xf numFmtId="39" fontId="24" fillId="0" borderId="0" xfId="8" applyNumberFormat="1" applyFont="1" applyAlignment="1">
      <alignment horizontal="right"/>
      <protection locked="0"/>
    </xf>
    <xf numFmtId="9" fontId="24" fillId="0" borderId="0" xfId="1" quotePrefix="1" applyFont="1" applyFill="1" applyBorder="1" applyAlignment="1" applyProtection="1">
      <alignment horizontal="center"/>
      <protection locked="0"/>
    </xf>
    <xf numFmtId="9" fontId="24" fillId="0" borderId="0" xfId="1" applyFont="1" applyFill="1" applyBorder="1" applyAlignment="1" applyProtection="1">
      <alignment horizontal="right"/>
      <protection locked="0"/>
    </xf>
    <xf numFmtId="9" fontId="32" fillId="0" borderId="0" xfId="1" applyFont="1" applyFill="1" applyBorder="1" applyProtection="1">
      <protection locked="0"/>
    </xf>
    <xf numFmtId="9" fontId="32" fillId="0" borderId="0" xfId="1" applyFont="1" applyFill="1" applyBorder="1" applyAlignment="1" applyProtection="1">
      <alignment horizontal="right"/>
      <protection locked="0"/>
    </xf>
    <xf numFmtId="39" fontId="44" fillId="4" borderId="10" xfId="0" applyNumberFormat="1" applyFont="1" applyFill="1" applyBorder="1" applyAlignment="1">
      <alignment horizontal="right"/>
    </xf>
    <xf numFmtId="0" fontId="30" fillId="0" borderId="0" xfId="0" applyFont="1" applyAlignment="1">
      <alignment horizontal="center"/>
    </xf>
    <xf numFmtId="2" fontId="44" fillId="0" borderId="0" xfId="0" applyNumberFormat="1" applyFont="1" applyAlignment="1">
      <alignment horizontal="left"/>
    </xf>
    <xf numFmtId="0" fontId="44" fillId="0" borderId="0" xfId="0" applyFont="1" applyAlignment="1">
      <alignment horizontal="right"/>
    </xf>
    <xf numFmtId="39" fontId="32" fillId="0" borderId="0" xfId="1" applyNumberFormat="1" applyFont="1" applyFill="1" applyBorder="1" applyProtection="1">
      <protection locked="0"/>
    </xf>
    <xf numFmtId="9" fontId="23" fillId="0" borderId="0" xfId="1" applyFont="1" applyFill="1" applyBorder="1" applyProtection="1">
      <protection locked="0"/>
    </xf>
    <xf numFmtId="9" fontId="23" fillId="0" borderId="0" xfId="1" applyFont="1" applyFill="1" applyBorder="1" applyAlignment="1" applyProtection="1">
      <alignment horizontal="right"/>
      <protection locked="0"/>
    </xf>
    <xf numFmtId="172" fontId="2" fillId="4" borderId="10" xfId="1" applyNumberFormat="1" applyFont="1" applyFill="1" applyBorder="1"/>
    <xf numFmtId="9" fontId="2" fillId="4" borderId="10" xfId="1" applyFont="1" applyFill="1" applyBorder="1"/>
    <xf numFmtId="173" fontId="32" fillId="0" borderId="8" xfId="8" applyNumberFormat="1" applyFont="1" applyBorder="1">
      <protection locked="0"/>
    </xf>
    <xf numFmtId="173" fontId="32" fillId="4" borderId="11" xfId="0" applyNumberFormat="1" applyFont="1" applyFill="1" applyBorder="1"/>
    <xf numFmtId="173" fontId="4" fillId="0" borderId="0" xfId="0" applyNumberFormat="1" applyFont="1"/>
    <xf numFmtId="173" fontId="24" fillId="0" borderId="0" xfId="8" applyNumberFormat="1" applyFont="1" applyAlignment="1">
      <alignment horizontal="right"/>
      <protection locked="0"/>
    </xf>
    <xf numFmtId="173" fontId="2" fillId="4" borderId="10" xfId="0" applyNumberFormat="1" applyFont="1" applyFill="1" applyBorder="1" applyAlignment="1">
      <alignment horizontal="right"/>
    </xf>
    <xf numFmtId="9" fontId="2" fillId="4" borderId="10" xfId="1" applyFont="1" applyFill="1" applyBorder="1" applyAlignment="1">
      <alignment horizontal="right"/>
    </xf>
    <xf numFmtId="174" fontId="4" fillId="0" borderId="0" xfId="0" applyNumberFormat="1" applyFont="1"/>
    <xf numFmtId="174" fontId="2" fillId="0" borderId="0" xfId="0" applyNumberFormat="1" applyFont="1"/>
    <xf numFmtId="174" fontId="45" fillId="0" borderId="0" xfId="1" quotePrefix="1" applyNumberFormat="1" applyFont="1" applyFill="1" applyBorder="1" applyAlignment="1" applyProtection="1">
      <protection locked="0"/>
    </xf>
    <xf numFmtId="174" fontId="45" fillId="0" borderId="0" xfId="1" applyNumberFormat="1" applyFont="1" applyFill="1" applyBorder="1" applyAlignment="1" applyProtection="1">
      <protection locked="0"/>
    </xf>
    <xf numFmtId="174" fontId="45" fillId="4" borderId="10" xfId="1" applyNumberFormat="1" applyFont="1" applyFill="1" applyBorder="1" applyAlignment="1"/>
    <xf numFmtId="9" fontId="32" fillId="0" borderId="8" xfId="1" applyFont="1" applyFill="1" applyBorder="1" applyProtection="1">
      <protection locked="0"/>
    </xf>
    <xf numFmtId="9" fontId="32" fillId="0" borderId="8" xfId="1" applyFont="1" applyFill="1" applyBorder="1" applyAlignment="1" applyProtection="1">
      <alignment horizontal="right"/>
      <protection locked="0"/>
    </xf>
    <xf numFmtId="9" fontId="2" fillId="4" borderId="11" xfId="1" applyFont="1" applyFill="1" applyBorder="1"/>
    <xf numFmtId="174" fontId="24" fillId="0" borderId="0" xfId="1" quotePrefix="1" applyNumberFormat="1" applyFont="1" applyFill="1" applyBorder="1" applyAlignment="1" applyProtection="1">
      <alignment horizontal="center"/>
      <protection locked="0"/>
    </xf>
    <xf numFmtId="174" fontId="24" fillId="0" borderId="0" xfId="1" applyNumberFormat="1" applyFont="1" applyFill="1" applyBorder="1" applyAlignment="1" applyProtection="1">
      <alignment horizontal="right"/>
      <protection locked="0"/>
    </xf>
    <xf numFmtId="174" fontId="2" fillId="4" borderId="10" xfId="1" applyNumberFormat="1" applyFont="1" applyFill="1" applyBorder="1"/>
    <xf numFmtId="39" fontId="4" fillId="0" borderId="0" xfId="0" applyNumberFormat="1" applyFont="1"/>
    <xf numFmtId="39" fontId="2" fillId="0" borderId="0" xfId="0" applyNumberFormat="1" applyFont="1"/>
    <xf numFmtId="9" fontId="24" fillId="0" borderId="0" xfId="1" quotePrefix="1" applyFont="1" applyFill="1" applyBorder="1" applyAlignment="1" applyProtection="1">
      <alignment horizontal="right"/>
      <protection locked="0"/>
    </xf>
    <xf numFmtId="9" fontId="32" fillId="0" borderId="0" xfId="1" applyFont="1" applyFill="1" applyBorder="1" applyAlignment="1" applyProtection="1">
      <protection locked="0"/>
    </xf>
    <xf numFmtId="9" fontId="32" fillId="4" borderId="10" xfId="1" applyFont="1" applyFill="1" applyBorder="1" applyAlignment="1">
      <alignment horizontal="right"/>
    </xf>
    <xf numFmtId="9" fontId="24" fillId="0" borderId="0" xfId="1" applyFont="1" applyFill="1" applyBorder="1" applyProtection="1">
      <protection locked="0"/>
    </xf>
    <xf numFmtId="39" fontId="24" fillId="0" borderId="0" xfId="1" applyNumberFormat="1" applyFont="1" applyFill="1" applyBorder="1" applyProtection="1">
      <protection locked="0"/>
    </xf>
    <xf numFmtId="39" fontId="24" fillId="0" borderId="0" xfId="1" applyNumberFormat="1" applyFont="1" applyFill="1" applyBorder="1" applyAlignment="1" applyProtection="1">
      <alignment horizontal="right"/>
      <protection locked="0"/>
    </xf>
    <xf numFmtId="0" fontId="24" fillId="0" borderId="0" xfId="8" applyFont="1" applyAlignment="1">
      <alignment horizontal="right"/>
      <protection locked="0"/>
    </xf>
    <xf numFmtId="39" fontId="24" fillId="0" borderId="0" xfId="8" applyNumberFormat="1" applyFont="1">
      <protection locked="0"/>
    </xf>
    <xf numFmtId="9" fontId="4" fillId="0" borderId="0" xfId="1" applyFont="1" applyFill="1"/>
    <xf numFmtId="9" fontId="2" fillId="0" borderId="0" xfId="1" applyFont="1" applyFill="1"/>
    <xf numFmtId="9" fontId="2" fillId="4" borderId="12" xfId="1" applyFont="1" applyFill="1" applyBorder="1" applyAlignment="1">
      <alignment horizontal="right"/>
    </xf>
    <xf numFmtId="175" fontId="32" fillId="0" borderId="0" xfId="1" applyNumberFormat="1" applyFont="1" applyFill="1" applyBorder="1" applyProtection="1">
      <protection locked="0"/>
    </xf>
    <xf numFmtId="0" fontId="24" fillId="0" borderId="0" xfId="11" applyFont="1" applyAlignment="1">
      <alignment horizontal="centerContinuous" vertical="center"/>
    </xf>
    <xf numFmtId="0" fontId="24" fillId="0" borderId="0" xfId="12" applyFont="1" applyProtection="1"/>
    <xf numFmtId="37" fontId="32" fillId="0" borderId="0" xfId="13" applyFont="1" applyAlignment="1">
      <alignment horizontal="left" vertical="center"/>
    </xf>
    <xf numFmtId="37" fontId="24" fillId="0" borderId="0" xfId="8" applyNumberFormat="1" applyFont="1" applyAlignment="1">
      <alignment horizontal="right"/>
      <protection locked="0"/>
    </xf>
    <xf numFmtId="37" fontId="24" fillId="0" borderId="0" xfId="14" applyNumberFormat="1" applyFont="1" applyFill="1" applyBorder="1" applyAlignment="1">
      <alignment horizontal="right"/>
    </xf>
    <xf numFmtId="176" fontId="24" fillId="0" borderId="0" xfId="8" applyNumberFormat="1" applyFont="1" applyAlignment="1">
      <alignment horizontal="right"/>
      <protection locked="0"/>
    </xf>
    <xf numFmtId="176" fontId="24" fillId="0" borderId="0" xfId="14" applyNumberFormat="1" applyFont="1" applyFill="1" applyBorder="1" applyAlignment="1">
      <alignment horizontal="right"/>
    </xf>
    <xf numFmtId="37" fontId="24" fillId="0" borderId="0" xfId="8" applyNumberFormat="1" applyFont="1">
      <protection locked="0"/>
    </xf>
    <xf numFmtId="37" fontId="24" fillId="0" borderId="0" xfId="15" applyNumberFormat="1" applyFont="1" applyFill="1" applyBorder="1" applyAlignment="1" applyProtection="1">
      <alignment horizontal="right"/>
      <protection locked="0"/>
    </xf>
    <xf numFmtId="176" fontId="32" fillId="0" borderId="0" xfId="12" applyNumberFormat="1" applyFont="1">
      <protection locked="0"/>
    </xf>
    <xf numFmtId="176" fontId="24" fillId="0" borderId="0" xfId="8" applyNumberFormat="1" applyFont="1">
      <protection locked="0"/>
    </xf>
    <xf numFmtId="1" fontId="32" fillId="0" borderId="0" xfId="8" applyNumberFormat="1" applyFont="1" applyAlignment="1">
      <alignment horizontal="right"/>
      <protection locked="0"/>
    </xf>
    <xf numFmtId="1" fontId="32" fillId="0" borderId="0" xfId="15" applyNumberFormat="1" applyFont="1" applyFill="1" applyBorder="1" applyAlignment="1" applyProtection="1">
      <alignment horizontal="right"/>
      <protection locked="0"/>
    </xf>
    <xf numFmtId="5" fontId="24" fillId="0" borderId="0" xfId="8" applyNumberFormat="1" applyFont="1" applyAlignment="1">
      <alignment horizontal="right"/>
      <protection locked="0"/>
    </xf>
    <xf numFmtId="5" fontId="24" fillId="0" borderId="0" xfId="15" applyNumberFormat="1" applyFont="1" applyFill="1" applyBorder="1" applyAlignment="1" applyProtection="1">
      <alignment horizontal="right"/>
      <protection locked="0"/>
    </xf>
    <xf numFmtId="176" fontId="31" fillId="0" borderId="0" xfId="8" applyNumberFormat="1" applyFont="1" applyAlignment="1">
      <alignment horizontal="right"/>
      <protection locked="0"/>
    </xf>
    <xf numFmtId="176" fontId="31" fillId="0" borderId="0" xfId="14" applyNumberFormat="1" applyFont="1" applyFill="1" applyBorder="1" applyAlignment="1">
      <alignment horizontal="right"/>
    </xf>
    <xf numFmtId="177" fontId="49" fillId="0" borderId="0" xfId="8" applyNumberFormat="1" applyFont="1">
      <protection locked="0"/>
    </xf>
    <xf numFmtId="177" fontId="50" fillId="0" borderId="0" xfId="8" applyNumberFormat="1" applyFont="1" applyAlignment="1">
      <alignment horizontal="right"/>
      <protection locked="0"/>
    </xf>
    <xf numFmtId="177" fontId="32" fillId="0" borderId="0" xfId="8" applyNumberFormat="1" applyFont="1">
      <protection locked="0"/>
    </xf>
    <xf numFmtId="177" fontId="32" fillId="0" borderId="0" xfId="8" applyNumberFormat="1" applyFont="1" applyAlignment="1">
      <alignment horizontal="right"/>
      <protection locked="0"/>
    </xf>
    <xf numFmtId="0" fontId="32" fillId="0" borderId="0" xfId="8" applyFont="1">
      <protection locked="0"/>
    </xf>
    <xf numFmtId="0" fontId="32" fillId="0" borderId="0" xfId="8" applyFont="1" applyAlignment="1">
      <alignment horizontal="right"/>
      <protection locked="0"/>
    </xf>
    <xf numFmtId="178" fontId="41" fillId="0" borderId="0" xfId="10" applyNumberFormat="1" applyFont="1" applyFill="1" applyBorder="1" applyAlignment="1" applyProtection="1">
      <alignment horizontal="right"/>
      <protection locked="0"/>
    </xf>
    <xf numFmtId="17" fontId="24" fillId="0" borderId="0" xfId="16" applyNumberFormat="1" applyFont="1" applyFill="1" applyBorder="1" applyAlignment="1">
      <alignment horizontal="center" vertical="center"/>
      <protection hidden="1"/>
    </xf>
    <xf numFmtId="15" fontId="32" fillId="0" borderId="0" xfId="8" applyNumberFormat="1" applyFont="1">
      <protection locked="0"/>
    </xf>
    <xf numFmtId="2" fontId="24" fillId="0" borderId="0" xfId="8" applyNumberFormat="1" applyFont="1">
      <protection locked="0"/>
    </xf>
    <xf numFmtId="2" fontId="24" fillId="0" borderId="0" xfId="8" applyNumberFormat="1" applyFont="1" applyAlignment="1">
      <alignment horizontal="right"/>
      <protection locked="0"/>
    </xf>
    <xf numFmtId="177" fontId="24" fillId="0" borderId="0" xfId="8" applyNumberFormat="1" applyFont="1">
      <protection locked="0"/>
    </xf>
    <xf numFmtId="177" fontId="24" fillId="0" borderId="0" xfId="8" applyNumberFormat="1" applyFont="1" applyAlignment="1">
      <alignment horizontal="right"/>
      <protection locked="0"/>
    </xf>
    <xf numFmtId="177" fontId="32" fillId="0" borderId="0" xfId="1" applyNumberFormat="1" applyFont="1" applyFill="1" applyBorder="1" applyProtection="1">
      <protection locked="0"/>
    </xf>
    <xf numFmtId="177" fontId="32" fillId="0" borderId="0" xfId="1" applyNumberFormat="1" applyFont="1" applyFill="1" applyBorder="1" applyAlignment="1" applyProtection="1">
      <alignment horizontal="right"/>
      <protection locked="0"/>
    </xf>
    <xf numFmtId="177" fontId="51" fillId="0" borderId="0" xfId="1" applyNumberFormat="1" applyFont="1" applyFill="1" applyBorder="1" applyAlignment="1" applyProtection="1">
      <alignment horizontal="right"/>
      <protection locked="0"/>
    </xf>
    <xf numFmtId="9" fontId="51" fillId="0" borderId="0" xfId="1" applyFont="1" applyFill="1" applyBorder="1" applyProtection="1">
      <protection locked="0"/>
    </xf>
    <xf numFmtId="9" fontId="51" fillId="0" borderId="0" xfId="1" applyFont="1" applyFill="1" applyBorder="1" applyAlignment="1" applyProtection="1">
      <alignment horizontal="right"/>
      <protection locked="0"/>
    </xf>
    <xf numFmtId="1" fontId="24" fillId="0" borderId="0" xfId="8" applyNumberFormat="1" applyFont="1">
      <protection locked="0"/>
    </xf>
    <xf numFmtId="1" fontId="24" fillId="0" borderId="0" xfId="8" applyNumberFormat="1" applyFont="1" applyAlignment="1">
      <alignment horizontal="right"/>
      <protection locked="0"/>
    </xf>
    <xf numFmtId="180" fontId="51" fillId="0" borderId="0" xfId="1" applyNumberFormat="1" applyFont="1" applyFill="1" applyBorder="1" applyProtection="1">
      <protection locked="0"/>
    </xf>
    <xf numFmtId="180" fontId="24" fillId="0" borderId="0" xfId="1" applyNumberFormat="1" applyFont="1" applyFill="1" applyBorder="1" applyAlignment="1" applyProtection="1">
      <alignment horizontal="right"/>
      <protection locked="0"/>
    </xf>
    <xf numFmtId="177" fontId="51" fillId="0" borderId="0" xfId="1" applyNumberFormat="1" applyFont="1" applyFill="1" applyBorder="1" applyProtection="1">
      <protection locked="0"/>
    </xf>
    <xf numFmtId="3" fontId="24" fillId="0" borderId="0" xfId="8" applyNumberFormat="1" applyFont="1">
      <protection locked="0"/>
    </xf>
    <xf numFmtId="3" fontId="24" fillId="0" borderId="0" xfId="8" applyNumberFormat="1" applyFont="1" applyAlignment="1">
      <alignment horizontal="right"/>
      <protection locked="0"/>
    </xf>
    <xf numFmtId="175" fontId="24" fillId="0" borderId="0" xfId="8" applyNumberFormat="1" applyFont="1">
      <protection locked="0"/>
    </xf>
    <xf numFmtId="175" fontId="24" fillId="0" borderId="0" xfId="8" applyNumberFormat="1" applyFont="1" applyAlignment="1">
      <alignment horizontal="right"/>
      <protection locked="0"/>
    </xf>
    <xf numFmtId="3" fontId="51" fillId="0" borderId="0" xfId="1" applyNumberFormat="1" applyFont="1" applyFill="1" applyBorder="1" applyProtection="1">
      <protection locked="0"/>
    </xf>
    <xf numFmtId="3" fontId="51" fillId="0" borderId="0" xfId="1" applyNumberFormat="1" applyFont="1" applyFill="1" applyBorder="1" applyAlignment="1" applyProtection="1">
      <alignment horizontal="right"/>
      <protection locked="0"/>
    </xf>
    <xf numFmtId="0" fontId="31" fillId="0" borderId="0" xfId="8" applyFont="1">
      <protection locked="0"/>
    </xf>
    <xf numFmtId="0" fontId="31" fillId="0" borderId="0" xfId="8" applyFont="1" applyAlignment="1">
      <alignment horizontal="right"/>
      <protection locked="0"/>
    </xf>
    <xf numFmtId="44" fontId="24" fillId="0" borderId="0" xfId="10" applyFont="1" applyFill="1" applyBorder="1" applyProtection="1">
      <protection locked="0"/>
    </xf>
    <xf numFmtId="44" fontId="24" fillId="0" borderId="0" xfId="10" applyFont="1" applyFill="1" applyBorder="1" applyAlignment="1" applyProtection="1">
      <alignment horizontal="right"/>
      <protection locked="0"/>
    </xf>
    <xf numFmtId="3" fontId="32" fillId="0" borderId="0" xfId="8" applyNumberFormat="1" applyFont="1">
      <protection locked="0"/>
    </xf>
    <xf numFmtId="3" fontId="32" fillId="0" borderId="0" xfId="8" applyNumberFormat="1" applyFont="1" applyAlignment="1">
      <alignment horizontal="right"/>
      <protection locked="0"/>
    </xf>
    <xf numFmtId="37" fontId="24" fillId="0" borderId="0" xfId="10" applyNumberFormat="1" applyFont="1" applyFill="1" applyBorder="1" applyAlignment="1" applyProtection="1">
      <alignment horizontal="left" indent="1"/>
      <protection locked="0"/>
    </xf>
    <xf numFmtId="37" fontId="24" fillId="0" borderId="0" xfId="10" applyNumberFormat="1" applyFont="1" applyFill="1" applyBorder="1" applyAlignment="1" applyProtection="1">
      <alignment horizontal="right"/>
      <protection locked="0"/>
    </xf>
    <xf numFmtId="0" fontId="24" fillId="0" borderId="0" xfId="8" applyFont="1" applyAlignment="1">
      <alignment horizontal="left" indent="1"/>
      <protection locked="0"/>
    </xf>
    <xf numFmtId="9" fontId="24" fillId="0" borderId="0" xfId="1" applyFont="1" applyFill="1" applyBorder="1" applyAlignment="1" applyProtection="1">
      <alignment horizontal="left" indent="1"/>
      <protection locked="0"/>
    </xf>
    <xf numFmtId="37" fontId="24" fillId="0" borderId="0" xfId="10" applyNumberFormat="1" applyFont="1" applyFill="1" applyBorder="1" applyProtection="1">
      <protection locked="0"/>
    </xf>
    <xf numFmtId="5" fontId="24" fillId="0" borderId="0" xfId="10" applyNumberFormat="1" applyFont="1" applyFill="1" applyBorder="1" applyAlignment="1" applyProtection="1">
      <alignment horizontal="left" indent="1"/>
      <protection locked="0"/>
    </xf>
    <xf numFmtId="5" fontId="24" fillId="0" borderId="0" xfId="10" applyNumberFormat="1" applyFont="1" applyFill="1" applyBorder="1" applyAlignment="1" applyProtection="1">
      <alignment horizontal="right"/>
      <protection locked="0"/>
    </xf>
    <xf numFmtId="177" fontId="4" fillId="0" borderId="0" xfId="8" applyNumberFormat="1" applyFont="1">
      <protection locked="0"/>
    </xf>
    <xf numFmtId="0" fontId="4" fillId="0" borderId="0" xfId="8" applyFont="1">
      <protection locked="0"/>
    </xf>
    <xf numFmtId="181" fontId="31" fillId="0" borderId="0" xfId="8" applyNumberFormat="1" applyFont="1">
      <protection locked="0"/>
    </xf>
    <xf numFmtId="181" fontId="31" fillId="0" borderId="0" xfId="8" applyNumberFormat="1" applyFont="1" applyAlignment="1">
      <alignment horizontal="right"/>
      <protection locked="0"/>
    </xf>
    <xf numFmtId="9" fontId="31" fillId="0" borderId="0" xfId="1" applyFont="1" applyFill="1" applyBorder="1" applyProtection="1">
      <protection locked="0"/>
    </xf>
    <xf numFmtId="9" fontId="31" fillId="0" borderId="0" xfId="1" applyFont="1" applyFill="1" applyBorder="1" applyAlignment="1" applyProtection="1">
      <alignment horizontal="right"/>
      <protection locked="0"/>
    </xf>
    <xf numFmtId="177" fontId="24" fillId="0" borderId="0" xfId="1" applyNumberFormat="1" applyFont="1" applyFill="1" applyBorder="1" applyProtection="1">
      <protection locked="0"/>
    </xf>
    <xf numFmtId="177" fontId="24" fillId="0" borderId="0" xfId="1" applyNumberFormat="1" applyFont="1" applyFill="1" applyBorder="1" applyAlignment="1" applyProtection="1">
      <alignment horizontal="right"/>
      <protection locked="0"/>
    </xf>
    <xf numFmtId="0" fontId="23" fillId="0" borderId="0" xfId="8" applyFont="1">
      <protection locked="0"/>
    </xf>
    <xf numFmtId="0" fontId="23" fillId="0" borderId="0" xfId="8" applyFont="1" applyAlignment="1">
      <alignment horizontal="right"/>
      <protection locked="0"/>
    </xf>
    <xf numFmtId="2" fontId="32" fillId="0" borderId="0" xfId="8" applyNumberFormat="1" applyFont="1">
      <protection locked="0"/>
    </xf>
    <xf numFmtId="0" fontId="45" fillId="0" borderId="0" xfId="8" applyFont="1">
      <protection locked="0"/>
    </xf>
    <xf numFmtId="182" fontId="32" fillId="0" borderId="0" xfId="1" applyNumberFormat="1" applyFont="1" applyFill="1" applyBorder="1" applyProtection="1">
      <protection locked="0"/>
    </xf>
    <xf numFmtId="37" fontId="32" fillId="0" borderId="0" xfId="8" applyNumberFormat="1" applyFont="1">
      <protection locked="0"/>
    </xf>
    <xf numFmtId="175" fontId="32" fillId="0" borderId="0" xfId="8" applyNumberFormat="1" applyFont="1">
      <protection locked="0"/>
    </xf>
    <xf numFmtId="1" fontId="32" fillId="0" borderId="0" xfId="8" applyNumberFormat="1" applyFont="1">
      <protection locked="0"/>
    </xf>
    <xf numFmtId="0" fontId="33" fillId="0" borderId="0" xfId="8" applyFont="1" applyAlignment="1">
      <alignment horizontal="left" indent="1"/>
      <protection locked="0"/>
    </xf>
    <xf numFmtId="0" fontId="33" fillId="0" borderId="0" xfId="8" applyFont="1">
      <protection locked="0"/>
    </xf>
    <xf numFmtId="178" fontId="32" fillId="0" borderId="0" xfId="10" applyNumberFormat="1" applyFont="1" applyFill="1" applyBorder="1" applyProtection="1">
      <protection locked="0"/>
    </xf>
    <xf numFmtId="9" fontId="32" fillId="0" borderId="0" xfId="1" applyFont="1" applyFill="1" applyBorder="1" applyAlignment="1" applyProtection="1">
      <alignment horizontal="left" indent="1"/>
      <protection locked="0"/>
    </xf>
    <xf numFmtId="1" fontId="32" fillId="0" borderId="0" xfId="8" applyNumberFormat="1" applyFont="1" applyAlignment="1">
      <alignment horizontal="left" indent="1"/>
      <protection locked="0"/>
    </xf>
    <xf numFmtId="0" fontId="49" fillId="0" borderId="0" xfId="8" applyFont="1">
      <protection locked="0"/>
    </xf>
    <xf numFmtId="183" fontId="32" fillId="0" borderId="0" xfId="1" applyNumberFormat="1" applyFont="1" applyFill="1" applyBorder="1" applyProtection="1">
      <protection locked="0"/>
    </xf>
    <xf numFmtId="37" fontId="33" fillId="0" borderId="0" xfId="8" applyNumberFormat="1" applyFont="1">
      <protection locked="0"/>
    </xf>
    <xf numFmtId="183" fontId="33" fillId="0" borderId="0" xfId="8" applyNumberFormat="1" applyFont="1">
      <protection locked="0"/>
    </xf>
    <xf numFmtId="184" fontId="33" fillId="0" borderId="0" xfId="9" applyNumberFormat="1" applyFont="1" applyFill="1" applyBorder="1" applyProtection="1">
      <protection locked="0"/>
    </xf>
    <xf numFmtId="9" fontId="41" fillId="0" borderId="0" xfId="1" applyFont="1" applyFill="1" applyBorder="1" applyProtection="1">
      <protection locked="0"/>
    </xf>
    <xf numFmtId="5" fontId="32" fillId="0" borderId="0" xfId="8" applyNumberFormat="1" applyFont="1">
      <protection locked="0"/>
    </xf>
    <xf numFmtId="39" fontId="40" fillId="0" borderId="0" xfId="0" applyNumberFormat="1" applyFont="1"/>
    <xf numFmtId="39" fontId="32" fillId="0" borderId="0" xfId="0" applyNumberFormat="1" applyFont="1"/>
    <xf numFmtId="39" fontId="3" fillId="0" borderId="0" xfId="0" applyNumberFormat="1" applyFont="1"/>
    <xf numFmtId="39" fontId="4" fillId="0" borderId="0" xfId="1" applyNumberFormat="1" applyFont="1"/>
    <xf numFmtId="39" fontId="32" fillId="0" borderId="0" xfId="1" applyNumberFormat="1" applyFont="1" applyFill="1" applyBorder="1" applyAlignment="1" applyProtection="1">
      <alignment horizontal="right"/>
      <protection locked="0"/>
    </xf>
    <xf numFmtId="39" fontId="30" fillId="0" borderId="0" xfId="0" applyNumberFormat="1" applyFont="1" applyAlignment="1">
      <alignment horizontal="center"/>
    </xf>
    <xf numFmtId="39" fontId="44" fillId="0" borderId="0" xfId="0" applyNumberFormat="1" applyFont="1" applyAlignment="1">
      <alignment horizontal="right"/>
    </xf>
    <xf numFmtId="39" fontId="44" fillId="0" borderId="0" xfId="0" applyNumberFormat="1" applyFont="1"/>
    <xf numFmtId="39" fontId="22" fillId="0" borderId="0" xfId="8" applyNumberFormat="1" applyFont="1" applyAlignment="1">
      <alignment horizontal="right"/>
      <protection locked="0"/>
    </xf>
    <xf numFmtId="0" fontId="24" fillId="0" borderId="0" xfId="8" applyFont="1" applyAlignment="1">
      <alignment horizontal="centerContinuous"/>
      <protection locked="0"/>
    </xf>
    <xf numFmtId="0" fontId="22" fillId="0" borderId="0" xfId="8" applyFont="1" applyAlignment="1">
      <alignment horizontal="centerContinuous"/>
      <protection locked="0"/>
    </xf>
    <xf numFmtId="0" fontId="24" fillId="0" borderId="0" xfId="8" applyFont="1" applyAlignment="1">
      <alignment horizontal="center"/>
      <protection locked="0"/>
    </xf>
    <xf numFmtId="185" fontId="32" fillId="4" borderId="10" xfId="0" applyNumberFormat="1" applyFont="1" applyFill="1" applyBorder="1"/>
    <xf numFmtId="39" fontId="45" fillId="0" borderId="0" xfId="8" applyNumberFormat="1" applyFont="1">
      <protection locked="0"/>
    </xf>
    <xf numFmtId="39" fontId="2" fillId="4" borderId="10" xfId="1" applyNumberFormat="1" applyFont="1" applyFill="1" applyBorder="1"/>
    <xf numFmtId="39" fontId="2" fillId="0" borderId="0" xfId="1" applyNumberFormat="1" applyFont="1" applyFill="1" applyBorder="1"/>
    <xf numFmtId="39" fontId="32" fillId="0" borderId="0" xfId="8" applyNumberFormat="1" applyFont="1" applyAlignment="1">
      <alignment horizontal="right"/>
      <protection locked="0"/>
    </xf>
    <xf numFmtId="9" fontId="2" fillId="0" borderId="0" xfId="1" applyFont="1"/>
    <xf numFmtId="37" fontId="2" fillId="0" borderId="0" xfId="1" applyNumberFormat="1" applyFont="1" applyFill="1" applyBorder="1"/>
    <xf numFmtId="37" fontId="2" fillId="4" borderId="10" xfId="1" applyNumberFormat="1" applyFont="1" applyFill="1" applyBorder="1"/>
    <xf numFmtId="0" fontId="30" fillId="0" borderId="0" xfId="0" applyFont="1"/>
    <xf numFmtId="0" fontId="44" fillId="0" borderId="0" xfId="0" applyFont="1"/>
    <xf numFmtId="37" fontId="44" fillId="0" borderId="0" xfId="1" applyNumberFormat="1" applyFont="1" applyFill="1" applyBorder="1" applyAlignment="1">
      <alignment horizontal="right"/>
    </xf>
    <xf numFmtId="39" fontId="44" fillId="0" borderId="0" xfId="1" applyNumberFormat="1" applyFont="1" applyFill="1" applyBorder="1" applyAlignment="1">
      <alignment horizontal="right"/>
    </xf>
    <xf numFmtId="37" fontId="44" fillId="4" borderId="10" xfId="1" applyNumberFormat="1" applyFont="1" applyFill="1" applyBorder="1" applyAlignment="1">
      <alignment horizontal="right"/>
    </xf>
    <xf numFmtId="9" fontId="32" fillId="4" borderId="10" xfId="1" applyFont="1" applyFill="1" applyBorder="1"/>
    <xf numFmtId="9" fontId="32" fillId="0" borderId="0" xfId="1" applyFont="1"/>
    <xf numFmtId="185" fontId="30" fillId="0" borderId="0" xfId="0" applyNumberFormat="1" applyFont="1"/>
    <xf numFmtId="9" fontId="33" fillId="0" borderId="0" xfId="1" applyFont="1" applyFill="1" applyBorder="1"/>
    <xf numFmtId="9" fontId="44" fillId="4" borderId="10" xfId="1" applyFont="1" applyFill="1" applyBorder="1"/>
    <xf numFmtId="185" fontId="44" fillId="0" borderId="0" xfId="0" applyNumberFormat="1" applyFont="1"/>
    <xf numFmtId="39" fontId="45" fillId="0" borderId="0" xfId="8" applyNumberFormat="1" applyFont="1" applyAlignment="1">
      <alignment horizontal="right"/>
      <protection locked="0"/>
    </xf>
    <xf numFmtId="9" fontId="32" fillId="0" borderId="0" xfId="1" applyFont="1" applyAlignment="1" applyProtection="1">
      <alignment horizontal="right"/>
      <protection locked="0"/>
    </xf>
    <xf numFmtId="39" fontId="45" fillId="2" borderId="0" xfId="8" applyNumberFormat="1" applyFont="1" applyFill="1" applyAlignment="1">
      <alignment horizontal="right"/>
      <protection locked="0"/>
    </xf>
    <xf numFmtId="9" fontId="24" fillId="0" borderId="0" xfId="1" applyFont="1" applyProtection="1">
      <protection locked="0"/>
    </xf>
    <xf numFmtId="9" fontId="24" fillId="0" borderId="0" xfId="1" applyFont="1" applyAlignment="1" applyProtection="1">
      <alignment horizontal="right"/>
      <protection locked="0"/>
    </xf>
    <xf numFmtId="9" fontId="23" fillId="0" borderId="0" xfId="1" applyFont="1" applyProtection="1">
      <protection locked="0"/>
    </xf>
    <xf numFmtId="9" fontId="23" fillId="0" borderId="0" xfId="1" applyFont="1" applyAlignment="1" applyProtection="1">
      <alignment horizontal="right"/>
      <protection locked="0"/>
    </xf>
    <xf numFmtId="37" fontId="45" fillId="0" borderId="0" xfId="0" applyNumberFormat="1" applyFont="1"/>
    <xf numFmtId="37" fontId="4" fillId="0" borderId="0" xfId="0" applyNumberFormat="1" applyFont="1"/>
    <xf numFmtId="37" fontId="23" fillId="0" borderId="0" xfId="1" applyNumberFormat="1" applyFont="1" applyFill="1" applyBorder="1" applyAlignment="1" applyProtection="1">
      <alignment horizontal="right"/>
      <protection locked="0"/>
    </xf>
    <xf numFmtId="37" fontId="23" fillId="0" borderId="0" xfId="1" quotePrefix="1" applyNumberFormat="1" applyFont="1" applyFill="1" applyBorder="1" applyAlignment="1" applyProtection="1">
      <alignment horizontal="right"/>
      <protection locked="0"/>
    </xf>
    <xf numFmtId="37" fontId="2" fillId="0" borderId="0" xfId="0" applyNumberFormat="1" applyFont="1"/>
    <xf numFmtId="37" fontId="2" fillId="0" borderId="0" xfId="0" applyNumberFormat="1" applyFont="1" applyAlignment="1">
      <alignment horizontal="right"/>
    </xf>
    <xf numFmtId="37" fontId="4" fillId="0" borderId="0" xfId="0" applyNumberFormat="1" applyFont="1" applyAlignment="1">
      <alignment horizontal="right"/>
    </xf>
    <xf numFmtId="37" fontId="40" fillId="0" borderId="0" xfId="0" applyNumberFormat="1" applyFont="1"/>
    <xf numFmtId="37" fontId="3" fillId="0" borderId="0" xfId="0" applyNumberFormat="1" applyFont="1"/>
    <xf numFmtId="39" fontId="32" fillId="0" borderId="0" xfId="1" quotePrefix="1" applyNumberFormat="1" applyFont="1" applyFill="1" applyBorder="1" applyAlignment="1" applyProtection="1">
      <alignment horizontal="right"/>
      <protection locked="0"/>
    </xf>
    <xf numFmtId="0" fontId="52" fillId="0" borderId="0" xfId="0" applyFont="1"/>
    <xf numFmtId="0" fontId="52" fillId="0" borderId="0" xfId="8" applyFont="1">
      <protection locked="0"/>
    </xf>
    <xf numFmtId="0" fontId="29" fillId="0" borderId="0" xfId="8" applyFont="1" applyAlignment="1">
      <alignment horizontal="right"/>
      <protection locked="0"/>
    </xf>
    <xf numFmtId="0" fontId="52" fillId="0" borderId="0" xfId="8" applyFont="1" applyAlignment="1">
      <alignment horizontal="centerContinuous"/>
      <protection locked="0"/>
    </xf>
    <xf numFmtId="0" fontId="29" fillId="0" borderId="0" xfId="8" applyFont="1" applyAlignment="1">
      <alignment horizontal="centerContinuous"/>
      <protection locked="0"/>
    </xf>
    <xf numFmtId="0" fontId="52" fillId="0" borderId="0" xfId="8" applyFont="1" applyAlignment="1">
      <alignment horizontal="right"/>
      <protection locked="0"/>
    </xf>
    <xf numFmtId="169" fontId="29" fillId="0" borderId="0" xfId="8" applyNumberFormat="1" applyFont="1" applyAlignment="1">
      <alignment horizontal="center"/>
      <protection locked="0"/>
    </xf>
    <xf numFmtId="169" fontId="29" fillId="6" borderId="10" xfId="8" applyNumberFormat="1" applyFont="1" applyFill="1" applyBorder="1" applyAlignment="1">
      <alignment horizontal="center"/>
      <protection locked="0"/>
    </xf>
    <xf numFmtId="9" fontId="32" fillId="0" borderId="0" xfId="1" quotePrefix="1" applyFont="1" applyFill="1" applyBorder="1" applyAlignment="1" applyProtection="1">
      <alignment horizontal="right"/>
      <protection locked="0"/>
    </xf>
    <xf numFmtId="9" fontId="32" fillId="6" borderId="10" xfId="1" applyFont="1" applyFill="1" applyBorder="1" applyAlignment="1">
      <alignment horizontal="right"/>
    </xf>
    <xf numFmtId="9" fontId="32" fillId="6" borderId="10" xfId="1" applyFont="1" applyFill="1" applyBorder="1"/>
    <xf numFmtId="9" fontId="52" fillId="0" borderId="0" xfId="1" quotePrefix="1" applyFont="1" applyFill="1" applyBorder="1" applyAlignment="1" applyProtection="1">
      <alignment horizontal="center"/>
      <protection locked="0"/>
    </xf>
    <xf numFmtId="9" fontId="52" fillId="0" borderId="0" xfId="1" applyFont="1" applyFill="1" applyBorder="1" applyAlignment="1" applyProtection="1">
      <alignment horizontal="right"/>
      <protection locked="0"/>
    </xf>
    <xf numFmtId="9" fontId="52" fillId="6" borderId="10" xfId="1" applyFont="1" applyFill="1" applyBorder="1"/>
    <xf numFmtId="9" fontId="52" fillId="6" borderId="10" xfId="1" applyFont="1" applyFill="1" applyBorder="1" applyAlignment="1">
      <alignment horizontal="right"/>
    </xf>
    <xf numFmtId="9" fontId="52" fillId="0" borderId="0" xfId="1" quotePrefix="1" applyFont="1" applyFill="1" applyBorder="1" applyAlignment="1" applyProtection="1">
      <alignment horizontal="right"/>
      <protection locked="0"/>
    </xf>
    <xf numFmtId="7" fontId="52" fillId="0" borderId="0" xfId="1" applyNumberFormat="1" applyFont="1" applyFill="1" applyBorder="1" applyAlignment="1" applyProtection="1">
      <alignment horizontal="right"/>
      <protection locked="0"/>
    </xf>
    <xf numFmtId="7" fontId="52" fillId="6" borderId="10" xfId="1" applyNumberFormat="1" applyFont="1" applyFill="1" applyBorder="1" applyAlignment="1">
      <alignment horizontal="right"/>
    </xf>
    <xf numFmtId="186" fontId="32" fillId="0" borderId="0" xfId="0" applyNumberFormat="1" applyFont="1"/>
    <xf numFmtId="39" fontId="32" fillId="0" borderId="0" xfId="1" quotePrefix="1" applyNumberFormat="1" applyFont="1" applyFill="1" applyBorder="1" applyAlignment="1" applyProtection="1">
      <protection locked="0"/>
    </xf>
    <xf numFmtId="39" fontId="32" fillId="6" borderId="10" xfId="0" applyNumberFormat="1" applyFont="1" applyFill="1" applyBorder="1" applyAlignment="1">
      <alignment horizontal="right"/>
    </xf>
    <xf numFmtId="0" fontId="29" fillId="6" borderId="12" xfId="0" applyFont="1" applyFill="1" applyBorder="1"/>
    <xf numFmtId="7" fontId="24" fillId="0" borderId="0" xfId="1" applyNumberFormat="1" applyFont="1" applyFill="1" applyBorder="1" applyAlignment="1" applyProtection="1">
      <alignment horizontal="right"/>
      <protection locked="0"/>
    </xf>
    <xf numFmtId="7" fontId="2" fillId="4" borderId="10" xfId="1" applyNumberFormat="1" applyFont="1" applyFill="1" applyBorder="1" applyAlignment="1">
      <alignment horizontal="right"/>
    </xf>
    <xf numFmtId="39" fontId="32" fillId="4" borderId="10" xfId="0" applyNumberFormat="1" applyFont="1" applyFill="1" applyBorder="1" applyAlignment="1">
      <alignment horizontal="right"/>
    </xf>
    <xf numFmtId="0" fontId="3" fillId="4" borderId="12" xfId="0" applyFont="1" applyFill="1" applyBorder="1"/>
    <xf numFmtId="0" fontId="52" fillId="0" borderId="0" xfId="0" applyFont="1" applyAlignment="1">
      <alignment horizontal="left" indent="1"/>
    </xf>
    <xf numFmtId="9" fontId="33" fillId="0" borderId="0" xfId="1" applyFont="1" applyFill="1" applyBorder="1" applyProtection="1">
      <protection locked="0"/>
    </xf>
    <xf numFmtId="37" fontId="23" fillId="0" borderId="8" xfId="1" quotePrefix="1" applyNumberFormat="1" applyFont="1" applyFill="1" applyBorder="1" applyAlignment="1" applyProtection="1">
      <protection locked="0"/>
    </xf>
    <xf numFmtId="37" fontId="27" fillId="0" borderId="8" xfId="1" quotePrefix="1" applyNumberFormat="1" applyFont="1" applyFill="1" applyBorder="1" applyAlignment="1" applyProtection="1">
      <protection locked="0"/>
    </xf>
    <xf numFmtId="37" fontId="29" fillId="6" borderId="11" xfId="1" applyNumberFormat="1" applyFont="1" applyFill="1" applyBorder="1" applyAlignment="1"/>
    <xf numFmtId="37" fontId="52" fillId="0" borderId="0" xfId="0" applyNumberFormat="1" applyFont="1"/>
    <xf numFmtId="37" fontId="53" fillId="0" borderId="8" xfId="1" quotePrefix="1" applyNumberFormat="1" applyFont="1" applyFill="1" applyBorder="1" applyAlignment="1" applyProtection="1">
      <protection locked="0"/>
    </xf>
    <xf numFmtId="37" fontId="28" fillId="0" borderId="8" xfId="1" quotePrefix="1" applyNumberFormat="1" applyFont="1" applyFill="1" applyBorder="1" applyAlignment="1" applyProtection="1">
      <protection locked="0"/>
    </xf>
    <xf numFmtId="37" fontId="29" fillId="0" borderId="0" xfId="0" applyNumberFormat="1" applyFont="1"/>
    <xf numFmtId="37" fontId="52" fillId="6" borderId="11" xfId="1" applyNumberFormat="1" applyFont="1" applyFill="1" applyBorder="1" applyAlignment="1"/>
    <xf numFmtId="37" fontId="27" fillId="6" borderId="11" xfId="1" applyNumberFormat="1" applyFont="1" applyFill="1" applyBorder="1" applyAlignment="1"/>
    <xf numFmtId="37" fontId="27" fillId="4" borderId="11" xfId="1" applyNumberFormat="1" applyFont="1" applyFill="1" applyBorder="1" applyAlignment="1"/>
    <xf numFmtId="37" fontId="52" fillId="6" borderId="10" xfId="0" applyNumberFormat="1" applyFont="1" applyFill="1" applyBorder="1"/>
    <xf numFmtId="37" fontId="22" fillId="0" borderId="8" xfId="8" applyNumberFormat="1" applyFont="1" applyBorder="1" applyAlignment="1">
      <alignment horizontal="right"/>
      <protection locked="0"/>
    </xf>
    <xf numFmtId="37" fontId="29" fillId="6" borderId="11" xfId="0" applyNumberFormat="1" applyFont="1" applyFill="1" applyBorder="1" applyAlignment="1">
      <alignment horizontal="right"/>
    </xf>
    <xf numFmtId="37" fontId="3" fillId="4" borderId="11" xfId="0" applyNumberFormat="1" applyFont="1" applyFill="1" applyBorder="1" applyAlignment="1">
      <alignment horizontal="right"/>
    </xf>
    <xf numFmtId="37" fontId="52" fillId="6" borderId="10" xfId="1" applyNumberFormat="1" applyFont="1" applyFill="1" applyBorder="1" applyAlignment="1">
      <alignment horizontal="right"/>
    </xf>
    <xf numFmtId="37" fontId="29" fillId="0" borderId="8" xfId="8" applyNumberFormat="1" applyFont="1" applyBorder="1" applyAlignment="1">
      <alignment horizontal="right"/>
      <protection locked="0"/>
    </xf>
    <xf numFmtId="37" fontId="52" fillId="0" borderId="0" xfId="1" applyNumberFormat="1" applyFont="1" applyFill="1" applyBorder="1" applyAlignment="1" applyProtection="1">
      <alignment horizontal="left" indent="1"/>
      <protection locked="0"/>
    </xf>
    <xf numFmtId="37" fontId="32" fillId="0" borderId="0" xfId="0" applyNumberFormat="1" applyFont="1"/>
    <xf numFmtId="37" fontId="32" fillId="0" borderId="0" xfId="1" quotePrefix="1" applyNumberFormat="1" applyFont="1" applyFill="1" applyBorder="1" applyAlignment="1" applyProtection="1">
      <alignment horizontal="right"/>
      <protection locked="0"/>
    </xf>
    <xf numFmtId="37" fontId="32" fillId="0" borderId="0" xfId="1" applyNumberFormat="1" applyFont="1" applyFill="1" applyBorder="1" applyAlignment="1" applyProtection="1">
      <alignment horizontal="right"/>
      <protection locked="0"/>
    </xf>
    <xf numFmtId="37" fontId="32" fillId="6" borderId="10" xfId="0" applyNumberFormat="1" applyFont="1" applyFill="1" applyBorder="1"/>
    <xf numFmtId="37" fontId="22" fillId="2" borderId="8" xfId="8" applyNumberFormat="1" applyFont="1" applyFill="1" applyBorder="1" applyAlignment="1">
      <alignment horizontal="right"/>
      <protection locked="0"/>
    </xf>
    <xf numFmtId="7" fontId="24" fillId="2" borderId="0" xfId="1" applyNumberFormat="1" applyFont="1" applyFill="1" applyBorder="1" applyAlignment="1" applyProtection="1">
      <alignment horizontal="right"/>
      <protection locked="0"/>
    </xf>
    <xf numFmtId="37" fontId="23" fillId="2" borderId="8" xfId="1" quotePrefix="1" applyNumberFormat="1" applyFont="1" applyFill="1" applyBorder="1" applyAlignment="1" applyProtection="1">
      <protection locked="0"/>
    </xf>
    <xf numFmtId="0" fontId="32" fillId="0" borderId="0" xfId="0" applyFont="1"/>
    <xf numFmtId="0" fontId="32" fillId="6" borderId="10" xfId="0" applyFont="1" applyFill="1" applyBorder="1"/>
    <xf numFmtId="0" fontId="32" fillId="4" borderId="10" xfId="0" applyFont="1" applyFill="1" applyBorder="1"/>
    <xf numFmtId="0" fontId="27" fillId="6" borderId="10" xfId="0" applyFont="1" applyFill="1" applyBorder="1"/>
    <xf numFmtId="0" fontId="27" fillId="4" borderId="10" xfId="0" applyFont="1" applyFill="1" applyBorder="1"/>
    <xf numFmtId="9" fontId="32" fillId="0" borderId="0" xfId="1" applyFont="1" applyFill="1" applyBorder="1"/>
    <xf numFmtId="0" fontId="27" fillId="0" borderId="0" xfId="0" applyFont="1"/>
    <xf numFmtId="9" fontId="36" fillId="0" borderId="0" xfId="1" applyFont="1" applyFill="1" applyBorder="1" applyProtection="1">
      <protection locked="0"/>
    </xf>
    <xf numFmtId="9" fontId="27" fillId="0" borderId="0" xfId="1" quotePrefix="1" applyFont="1" applyFill="1" applyBorder="1" applyAlignment="1" applyProtection="1">
      <alignment horizontal="right"/>
      <protection locked="0"/>
    </xf>
    <xf numFmtId="9" fontId="27" fillId="0" borderId="0" xfId="1" applyFont="1" applyFill="1" applyBorder="1" applyAlignment="1" applyProtection="1">
      <alignment horizontal="right"/>
      <protection locked="0"/>
    </xf>
    <xf numFmtId="0" fontId="27" fillId="6" borderId="10" xfId="0" applyFont="1" applyFill="1" applyBorder="1" applyAlignment="1">
      <alignment horizontal="right"/>
    </xf>
    <xf numFmtId="9" fontId="32" fillId="0" borderId="13" xfId="1" applyFont="1" applyFill="1" applyBorder="1" applyAlignment="1" applyProtection="1">
      <alignment horizontal="right"/>
      <protection locked="0"/>
    </xf>
    <xf numFmtId="9" fontId="32" fillId="6" borderId="13" xfId="1" applyFont="1" applyFill="1" applyBorder="1"/>
    <xf numFmtId="9" fontId="32" fillId="0" borderId="0" xfId="1" applyFont="1" applyFill="1" applyProtection="1">
      <protection locked="0"/>
    </xf>
    <xf numFmtId="9" fontId="32" fillId="2" borderId="0" xfId="1" quotePrefix="1" applyFont="1" applyFill="1" applyBorder="1" applyAlignment="1" applyProtection="1">
      <alignment horizontal="right"/>
      <protection locked="0"/>
    </xf>
    <xf numFmtId="0" fontId="52" fillId="2" borderId="0" xfId="8" applyFont="1" applyFill="1" applyAlignment="1">
      <alignment horizontal="centerContinuous"/>
      <protection locked="0"/>
    </xf>
    <xf numFmtId="0" fontId="29" fillId="2" borderId="0" xfId="8" applyFont="1" applyFill="1" applyAlignment="1">
      <alignment horizontal="centerContinuous"/>
      <protection locked="0"/>
    </xf>
    <xf numFmtId="2" fontId="32" fillId="0" borderId="0" xfId="1" applyNumberFormat="1" applyFont="1" applyFill="1" applyBorder="1" applyAlignment="1" applyProtection="1">
      <alignment horizontal="right"/>
      <protection locked="0"/>
    </xf>
    <xf numFmtId="173" fontId="32" fillId="4" borderId="10" xfId="0" applyNumberFormat="1" applyFont="1" applyFill="1" applyBorder="1"/>
    <xf numFmtId="37" fontId="45" fillId="0" borderId="0" xfId="1" quotePrefix="1" applyNumberFormat="1" applyFont="1" applyFill="1" applyBorder="1" applyAlignment="1" applyProtection="1">
      <protection locked="0"/>
    </xf>
    <xf numFmtId="37" fontId="45" fillId="0" borderId="0" xfId="1" applyNumberFormat="1" applyFont="1" applyFill="1" applyBorder="1" applyAlignment="1" applyProtection="1">
      <protection locked="0"/>
    </xf>
    <xf numFmtId="37" fontId="45" fillId="4" borderId="10" xfId="1" applyNumberFormat="1" applyFont="1" applyFill="1" applyBorder="1" applyAlignment="1"/>
    <xf numFmtId="37" fontId="4" fillId="0" borderId="0" xfId="1" applyNumberFormat="1" applyFont="1" applyBorder="1"/>
    <xf numFmtId="37" fontId="45" fillId="0" borderId="0" xfId="1" applyNumberFormat="1" applyFont="1" applyFill="1" applyBorder="1" applyProtection="1">
      <protection locked="0"/>
    </xf>
    <xf numFmtId="37" fontId="43" fillId="4" borderId="10" xfId="0" applyNumberFormat="1" applyFont="1" applyFill="1" applyBorder="1" applyAlignment="1">
      <alignment horizontal="right"/>
    </xf>
    <xf numFmtId="37" fontId="32" fillId="0" borderId="0" xfId="1" applyNumberFormat="1" applyFont="1" applyFill="1" applyBorder="1" applyProtection="1">
      <protection locked="0"/>
    </xf>
    <xf numFmtId="37" fontId="32" fillId="4" borderId="10" xfId="1" applyNumberFormat="1" applyFont="1" applyFill="1" applyBorder="1" applyProtection="1">
      <protection locked="0"/>
    </xf>
    <xf numFmtId="37" fontId="2" fillId="2" borderId="0" xfId="0" applyNumberFormat="1" applyFont="1" applyFill="1"/>
    <xf numFmtId="39" fontId="3" fillId="0" borderId="0" xfId="0" applyNumberFormat="1" applyFont="1" applyAlignment="1">
      <alignment horizontal="left"/>
    </xf>
    <xf numFmtId="37" fontId="45" fillId="0" borderId="8" xfId="1" quotePrefix="1" applyNumberFormat="1" applyFont="1" applyFill="1" applyBorder="1" applyAlignment="1" applyProtection="1">
      <protection locked="0"/>
    </xf>
    <xf numFmtId="37" fontId="45" fillId="0" borderId="8" xfId="1" applyNumberFormat="1" applyFont="1" applyFill="1" applyBorder="1" applyAlignment="1" applyProtection="1">
      <protection locked="0"/>
    </xf>
    <xf numFmtId="37" fontId="45" fillId="4" borderId="11" xfId="1" applyNumberFormat="1" applyFont="1" applyFill="1" applyBorder="1" applyAlignment="1"/>
    <xf numFmtId="9" fontId="32" fillId="0" borderId="0" xfId="0" applyNumberFormat="1" applyFont="1"/>
    <xf numFmtId="37" fontId="4" fillId="2" borderId="0" xfId="0" applyNumberFormat="1" applyFont="1" applyFill="1"/>
    <xf numFmtId="39" fontId="24" fillId="0" borderId="14" xfId="1" applyNumberFormat="1" applyFont="1" applyFill="1" applyBorder="1" applyProtection="1">
      <protection locked="0"/>
    </xf>
    <xf numFmtId="187" fontId="4" fillId="0" borderId="0" xfId="9" applyNumberFormat="1" applyFont="1"/>
    <xf numFmtId="187" fontId="24" fillId="0" borderId="0" xfId="9" applyNumberFormat="1" applyFont="1" applyFill="1" applyBorder="1" applyProtection="1">
      <protection locked="0"/>
    </xf>
    <xf numFmtId="187" fontId="24" fillId="0" borderId="0" xfId="9" applyNumberFormat="1" applyFont="1" applyFill="1" applyBorder="1" applyAlignment="1" applyProtection="1">
      <alignment horizontal="right"/>
      <protection locked="0"/>
    </xf>
    <xf numFmtId="187" fontId="2" fillId="4" borderId="10" xfId="9" applyNumberFormat="1" applyFont="1" applyFill="1" applyBorder="1" applyAlignment="1">
      <alignment horizontal="right"/>
    </xf>
    <xf numFmtId="187" fontId="2" fillId="0" borderId="0" xfId="9" applyNumberFormat="1" applyFont="1"/>
    <xf numFmtId="0" fontId="29" fillId="2" borderId="0" xfId="8" applyFont="1" applyFill="1" applyAlignment="1">
      <alignment horizontal="right"/>
      <protection locked="0"/>
    </xf>
    <xf numFmtId="37" fontId="27" fillId="0" borderId="0" xfId="1" quotePrefix="1" applyNumberFormat="1" applyFont="1" applyFill="1" applyBorder="1" applyAlignment="1" applyProtection="1">
      <protection locked="0"/>
    </xf>
    <xf numFmtId="37" fontId="29" fillId="6" borderId="10" xfId="1" applyNumberFormat="1" applyFont="1" applyFill="1" applyBorder="1" applyAlignment="1"/>
    <xf numFmtId="9" fontId="32" fillId="0" borderId="16" xfId="1" quotePrefix="1" applyFont="1" applyFill="1" applyBorder="1" applyAlignment="1" applyProtection="1">
      <alignment horizontal="right"/>
      <protection locked="0"/>
    </xf>
    <xf numFmtId="9" fontId="32" fillId="0" borderId="16" xfId="1" applyFont="1" applyFill="1" applyBorder="1" applyAlignment="1" applyProtection="1">
      <alignment horizontal="right"/>
      <protection locked="0"/>
    </xf>
    <xf numFmtId="9" fontId="32" fillId="6" borderId="17" xfId="1" applyFont="1" applyFill="1" applyBorder="1"/>
    <xf numFmtId="9" fontId="32" fillId="6" borderId="18" xfId="1" applyFont="1" applyFill="1" applyBorder="1"/>
    <xf numFmtId="9" fontId="32" fillId="6" borderId="20" xfId="1" applyFont="1" applyFill="1" applyBorder="1"/>
    <xf numFmtId="9" fontId="52" fillId="6" borderId="20" xfId="1" applyFont="1" applyFill="1" applyBorder="1"/>
    <xf numFmtId="9" fontId="32" fillId="6" borderId="20" xfId="1" applyFont="1" applyFill="1" applyBorder="1" applyAlignment="1">
      <alignment horizontal="right"/>
    </xf>
    <xf numFmtId="37" fontId="29" fillId="6" borderId="22" xfId="1" applyNumberFormat="1" applyFont="1" applyFill="1" applyBorder="1" applyAlignment="1"/>
    <xf numFmtId="37" fontId="52" fillId="6" borderId="22" xfId="1" applyNumberFormat="1" applyFont="1" applyFill="1" applyBorder="1" applyAlignment="1"/>
    <xf numFmtId="9" fontId="32" fillId="0" borderId="24" xfId="1" applyFont="1" applyFill="1" applyBorder="1" applyProtection="1">
      <protection locked="0"/>
    </xf>
    <xf numFmtId="9" fontId="32" fillId="0" borderId="24" xfId="1" applyFont="1" applyFill="1" applyBorder="1" applyAlignment="1" applyProtection="1">
      <alignment horizontal="right"/>
      <protection locked="0"/>
    </xf>
    <xf numFmtId="9" fontId="32" fillId="0" borderId="25" xfId="1" applyFont="1" applyFill="1" applyBorder="1" applyAlignment="1" applyProtection="1">
      <alignment horizontal="right"/>
      <protection locked="0"/>
    </xf>
    <xf numFmtId="9" fontId="32" fillId="6" borderId="25" xfId="1" applyFont="1" applyFill="1" applyBorder="1"/>
    <xf numFmtId="9" fontId="32" fillId="6" borderId="26" xfId="1" applyFont="1" applyFill="1" applyBorder="1"/>
    <xf numFmtId="9" fontId="32" fillId="6" borderId="27" xfId="1" applyFont="1" applyFill="1" applyBorder="1"/>
    <xf numFmtId="9" fontId="32" fillId="0" borderId="24" xfId="1" quotePrefix="1" applyFont="1" applyFill="1" applyBorder="1" applyAlignment="1" applyProtection="1">
      <alignment horizontal="right"/>
      <protection locked="0"/>
    </xf>
    <xf numFmtId="9" fontId="32" fillId="6" borderId="28" xfId="1" applyFont="1" applyFill="1" applyBorder="1" applyAlignment="1">
      <alignment horizontal="right"/>
    </xf>
    <xf numFmtId="9" fontId="32" fillId="6" borderId="29" xfId="1" applyFont="1" applyFill="1" applyBorder="1" applyAlignment="1">
      <alignment horizontal="right"/>
    </xf>
    <xf numFmtId="0" fontId="4" fillId="7" borderId="31" xfId="8" applyFont="1" applyFill="1" applyBorder="1">
      <protection locked="0"/>
    </xf>
    <xf numFmtId="0" fontId="4" fillId="7" borderId="31" xfId="8" applyFont="1" applyFill="1" applyBorder="1" applyAlignment="1">
      <alignment horizontal="right"/>
      <protection locked="0"/>
    </xf>
    <xf numFmtId="0" fontId="4" fillId="7" borderId="32" xfId="8" applyFont="1" applyFill="1" applyBorder="1" applyAlignment="1">
      <alignment horizontal="right"/>
      <protection locked="0"/>
    </xf>
    <xf numFmtId="9" fontId="32" fillId="0" borderId="8" xfId="1" quotePrefix="1" applyFont="1" applyFill="1" applyBorder="1" applyAlignment="1" applyProtection="1">
      <alignment horizontal="right"/>
      <protection locked="0"/>
    </xf>
    <xf numFmtId="9" fontId="32" fillId="6" borderId="11" xfId="1" applyFont="1" applyFill="1" applyBorder="1" applyAlignment="1">
      <alignment horizontal="right"/>
    </xf>
    <xf numFmtId="9" fontId="32" fillId="6" borderId="22" xfId="1" applyFont="1" applyFill="1" applyBorder="1" applyAlignment="1">
      <alignment horizontal="right"/>
    </xf>
    <xf numFmtId="37" fontId="23" fillId="0" borderId="33" xfId="1" quotePrefix="1" applyNumberFormat="1" applyFont="1" applyFill="1" applyBorder="1" applyAlignment="1" applyProtection="1">
      <protection locked="0"/>
    </xf>
    <xf numFmtId="9" fontId="27" fillId="0" borderId="8" xfId="1" quotePrefix="1" applyFont="1" applyFill="1" applyBorder="1" applyAlignment="1" applyProtection="1">
      <alignment horizontal="right"/>
      <protection locked="0"/>
    </xf>
    <xf numFmtId="9" fontId="27" fillId="0" borderId="8" xfId="1" applyFont="1" applyFill="1" applyBorder="1" applyAlignment="1" applyProtection="1">
      <alignment horizontal="right"/>
      <protection locked="0"/>
    </xf>
    <xf numFmtId="9" fontId="27" fillId="6" borderId="11" xfId="1" applyFont="1" applyFill="1" applyBorder="1" applyAlignment="1">
      <alignment horizontal="right"/>
    </xf>
    <xf numFmtId="0" fontId="29" fillId="0" borderId="0" xfId="0" applyFont="1"/>
    <xf numFmtId="9" fontId="32" fillId="6" borderId="13" xfId="1" applyFont="1" applyFill="1" applyBorder="1" applyAlignment="1">
      <alignment horizontal="right"/>
    </xf>
    <xf numFmtId="37" fontId="32" fillId="0" borderId="8" xfId="1" quotePrefix="1" applyNumberFormat="1" applyFont="1" applyFill="1" applyBorder="1" applyAlignment="1" applyProtection="1">
      <protection locked="0"/>
    </xf>
    <xf numFmtId="37" fontId="52" fillId="6" borderId="33" xfId="1" applyNumberFormat="1" applyFont="1" applyFill="1" applyBorder="1" applyAlignment="1"/>
    <xf numFmtId="9" fontId="52" fillId="6" borderId="12" xfId="1" applyFont="1" applyFill="1" applyBorder="1"/>
    <xf numFmtId="9" fontId="32" fillId="6" borderId="29" xfId="1" applyFont="1" applyFill="1" applyBorder="1"/>
    <xf numFmtId="9" fontId="23" fillId="0" borderId="0" xfId="1" quotePrefix="1" applyFont="1" applyFill="1" applyBorder="1" applyAlignment="1" applyProtection="1">
      <alignment horizontal="right"/>
      <protection locked="0"/>
    </xf>
    <xf numFmtId="9" fontId="23" fillId="6" borderId="10" xfId="1" applyFont="1" applyFill="1" applyBorder="1" applyAlignment="1">
      <alignment horizontal="right"/>
    </xf>
    <xf numFmtId="9" fontId="23" fillId="6" borderId="10" xfId="1" applyFont="1" applyFill="1" applyBorder="1"/>
    <xf numFmtId="1" fontId="32" fillId="0" borderId="0" xfId="1" quotePrefix="1" applyNumberFormat="1" applyFont="1" applyFill="1" applyBorder="1" applyAlignment="1" applyProtection="1">
      <alignment horizontal="right"/>
      <protection locked="0"/>
    </xf>
    <xf numFmtId="1" fontId="32" fillId="0" borderId="0" xfId="1" applyNumberFormat="1" applyFont="1" applyFill="1" applyBorder="1" applyAlignment="1" applyProtection="1">
      <alignment horizontal="right"/>
      <protection locked="0"/>
    </xf>
    <xf numFmtId="1" fontId="32" fillId="6" borderId="10" xfId="1" applyNumberFormat="1" applyFont="1" applyFill="1" applyBorder="1" applyAlignment="1">
      <alignment horizontal="right"/>
    </xf>
    <xf numFmtId="1" fontId="32" fillId="6" borderId="20" xfId="1" applyNumberFormat="1" applyFont="1" applyFill="1" applyBorder="1" applyAlignment="1">
      <alignment horizontal="right"/>
    </xf>
    <xf numFmtId="1" fontId="52" fillId="0" borderId="0" xfId="0" applyNumberFormat="1" applyFont="1"/>
    <xf numFmtId="1" fontId="23" fillId="0" borderId="0" xfId="1" quotePrefix="1" applyNumberFormat="1" applyFont="1" applyFill="1" applyBorder="1" applyAlignment="1" applyProtection="1">
      <alignment horizontal="right"/>
      <protection locked="0"/>
    </xf>
    <xf numFmtId="1" fontId="23" fillId="0" borderId="0" xfId="1" applyNumberFormat="1" applyFont="1" applyFill="1" applyBorder="1" applyAlignment="1" applyProtection="1">
      <alignment horizontal="right"/>
      <protection locked="0"/>
    </xf>
    <xf numFmtId="1" fontId="23" fillId="6" borderId="10" xfId="1" applyNumberFormat="1" applyFont="1" applyFill="1" applyBorder="1" applyAlignment="1">
      <alignment horizontal="right"/>
    </xf>
    <xf numFmtId="9" fontId="23" fillId="0" borderId="13" xfId="1" applyFont="1" applyFill="1" applyBorder="1" applyAlignment="1" applyProtection="1">
      <alignment horizontal="right"/>
      <protection locked="0"/>
    </xf>
    <xf numFmtId="9" fontId="23" fillId="6" borderId="13" xfId="1" applyFont="1" applyFill="1" applyBorder="1" applyAlignment="1">
      <alignment horizontal="right"/>
    </xf>
    <xf numFmtId="0" fontId="27" fillId="0" borderId="0" xfId="8" applyFont="1" applyAlignment="1">
      <alignment horizontal="right"/>
      <protection locked="0"/>
    </xf>
    <xf numFmtId="0" fontId="27" fillId="4" borderId="9" xfId="8" applyFont="1" applyFill="1" applyBorder="1" applyAlignment="1">
      <alignment horizontal="center"/>
      <protection locked="0"/>
    </xf>
    <xf numFmtId="169" fontId="27" fillId="4" borderId="10" xfId="8" applyNumberFormat="1" applyFont="1" applyFill="1" applyBorder="1" applyAlignment="1">
      <alignment horizontal="center"/>
      <protection locked="0"/>
    </xf>
    <xf numFmtId="169" fontId="27" fillId="6" borderId="10" xfId="8" applyNumberFormat="1" applyFont="1" applyFill="1" applyBorder="1" applyAlignment="1">
      <alignment horizontal="center"/>
      <protection locked="0"/>
    </xf>
    <xf numFmtId="0" fontId="27" fillId="4" borderId="12" xfId="0" applyFont="1" applyFill="1" applyBorder="1"/>
    <xf numFmtId="0" fontId="32" fillId="7" borderId="31" xfId="8" applyFont="1" applyFill="1" applyBorder="1" applyAlignment="1">
      <alignment horizontal="right"/>
      <protection locked="0"/>
    </xf>
    <xf numFmtId="37" fontId="27" fillId="6" borderId="10" xfId="1" applyNumberFormat="1" applyFont="1" applyFill="1" applyBorder="1" applyAlignment="1"/>
    <xf numFmtId="37" fontId="32" fillId="6" borderId="11" xfId="1" applyNumberFormat="1" applyFont="1" applyFill="1" applyBorder="1" applyAlignment="1"/>
    <xf numFmtId="37" fontId="32" fillId="6" borderId="33" xfId="1" applyNumberFormat="1" applyFont="1" applyFill="1" applyBorder="1" applyAlignment="1"/>
    <xf numFmtId="0" fontId="27" fillId="6" borderId="12" xfId="0" applyFont="1" applyFill="1" applyBorder="1"/>
    <xf numFmtId="0" fontId="27" fillId="2" borderId="0" xfId="8" applyFont="1" applyFill="1" applyAlignment="1">
      <alignment horizontal="right"/>
      <protection locked="0"/>
    </xf>
    <xf numFmtId="0" fontId="27" fillId="0" borderId="0" xfId="8" applyFont="1" applyAlignment="1">
      <alignment horizontal="centerContinuous"/>
      <protection locked="0"/>
    </xf>
    <xf numFmtId="9" fontId="52" fillId="8" borderId="0" xfId="1" applyFont="1" applyFill="1" applyBorder="1" applyAlignment="1" applyProtection="1">
      <alignment horizontal="right"/>
      <protection locked="0"/>
    </xf>
    <xf numFmtId="9" fontId="23" fillId="5" borderId="0" xfId="1" applyFont="1" applyFill="1" applyBorder="1" applyAlignment="1" applyProtection="1">
      <alignment horizontal="right"/>
      <protection locked="0"/>
    </xf>
    <xf numFmtId="9" fontId="23" fillId="2" borderId="0" xfId="1" applyFont="1" applyFill="1" applyBorder="1" applyAlignment="1" applyProtection="1">
      <alignment horizontal="right"/>
      <protection locked="0"/>
    </xf>
    <xf numFmtId="9" fontId="52" fillId="0" borderId="0" xfId="8" applyNumberFormat="1" applyFont="1">
      <protection locked="0"/>
    </xf>
    <xf numFmtId="9" fontId="23" fillId="2" borderId="0" xfId="1" quotePrefix="1" applyFont="1" applyFill="1" applyBorder="1" applyAlignment="1" applyProtection="1">
      <alignment horizontal="right"/>
      <protection locked="0"/>
    </xf>
    <xf numFmtId="1" fontId="23" fillId="2" borderId="0" xfId="1" quotePrefix="1" applyNumberFormat="1" applyFont="1" applyFill="1" applyBorder="1" applyAlignment="1" applyProtection="1">
      <alignment horizontal="right"/>
      <protection locked="0"/>
    </xf>
    <xf numFmtId="187" fontId="32" fillId="0" borderId="8" xfId="9" quotePrefix="1" applyNumberFormat="1" applyFont="1" applyFill="1" applyBorder="1" applyAlignment="1" applyProtection="1">
      <alignment horizontal="right"/>
      <protection locked="0"/>
    </xf>
    <xf numFmtId="187" fontId="23" fillId="0" borderId="8" xfId="9" quotePrefix="1" applyNumberFormat="1" applyFont="1" applyFill="1" applyBorder="1" applyAlignment="1" applyProtection="1">
      <alignment horizontal="right"/>
      <protection locked="0"/>
    </xf>
    <xf numFmtId="9" fontId="23" fillId="0" borderId="14" xfId="1" quotePrefix="1" applyFont="1" applyFill="1" applyBorder="1" applyAlignment="1" applyProtection="1">
      <alignment horizontal="right"/>
      <protection locked="0"/>
    </xf>
    <xf numFmtId="2" fontId="52" fillId="0" borderId="0" xfId="1" quotePrefix="1" applyNumberFormat="1" applyFont="1" applyFill="1" applyBorder="1" applyAlignment="1" applyProtection="1">
      <alignment horizontal="center"/>
      <protection locked="0"/>
    </xf>
    <xf numFmtId="187" fontId="32" fillId="0" borderId="0" xfId="9" quotePrefix="1" applyNumberFormat="1" applyFont="1" applyFill="1" applyBorder="1" applyAlignment="1" applyProtection="1">
      <alignment horizontal="right"/>
      <protection locked="0"/>
    </xf>
    <xf numFmtId="187" fontId="23" fillId="0" borderId="0" xfId="9" quotePrefix="1" applyNumberFormat="1" applyFont="1" applyFill="1" applyBorder="1" applyAlignment="1" applyProtection="1">
      <alignment horizontal="right"/>
      <protection locked="0"/>
    </xf>
    <xf numFmtId="37" fontId="23" fillId="6" borderId="11" xfId="1" applyNumberFormat="1" applyFont="1" applyFill="1" applyBorder="1" applyAlignment="1"/>
    <xf numFmtId="187" fontId="23" fillId="0" borderId="0" xfId="9" applyNumberFormat="1" applyFont="1" applyFill="1" applyBorder="1" applyProtection="1">
      <protection locked="0"/>
    </xf>
    <xf numFmtId="187" fontId="23" fillId="0" borderId="13" xfId="9" applyNumberFormat="1" applyFont="1" applyFill="1" applyBorder="1" applyProtection="1">
      <protection locked="0"/>
    </xf>
    <xf numFmtId="187" fontId="23" fillId="0" borderId="8" xfId="9" applyNumberFormat="1" applyFont="1" applyFill="1" applyBorder="1" applyAlignment="1" applyProtection="1">
      <alignment horizontal="right"/>
      <protection locked="0"/>
    </xf>
    <xf numFmtId="37" fontId="28" fillId="6" borderId="11" xfId="1" applyNumberFormat="1" applyFont="1" applyFill="1" applyBorder="1" applyAlignment="1"/>
    <xf numFmtId="37" fontId="28" fillId="6" borderId="33" xfId="1" applyNumberFormat="1" applyFont="1" applyFill="1" applyBorder="1" applyAlignment="1"/>
    <xf numFmtId="187" fontId="32" fillId="0" borderId="0" xfId="9" applyNumberFormat="1" applyFont="1" applyFill="1" applyBorder="1" applyProtection="1">
      <protection locked="0"/>
    </xf>
    <xf numFmtId="187" fontId="27" fillId="6" borderId="11" xfId="9" applyNumberFormat="1" applyFont="1" applyFill="1" applyBorder="1" applyAlignment="1">
      <alignment horizontal="right"/>
    </xf>
    <xf numFmtId="187" fontId="28" fillId="6" borderId="11" xfId="9" applyNumberFormat="1" applyFont="1" applyFill="1" applyBorder="1" applyAlignment="1">
      <alignment horizontal="right"/>
    </xf>
    <xf numFmtId="187" fontId="32" fillId="0" borderId="0" xfId="9" applyNumberFormat="1" applyFont="1" applyFill="1" applyBorder="1" applyAlignment="1" applyProtection="1">
      <alignment horizontal="right"/>
      <protection locked="0"/>
    </xf>
    <xf numFmtId="187" fontId="32" fillId="6" borderId="10" xfId="9" applyNumberFormat="1" applyFont="1" applyFill="1" applyBorder="1"/>
    <xf numFmtId="187" fontId="32" fillId="6" borderId="20" xfId="9" applyNumberFormat="1" applyFont="1" applyFill="1" applyBorder="1"/>
    <xf numFmtId="187" fontId="52" fillId="0" borderId="0" xfId="9" applyNumberFormat="1" applyFont="1"/>
    <xf numFmtId="187" fontId="32" fillId="6" borderId="10" xfId="9" applyNumberFormat="1" applyFont="1" applyFill="1" applyBorder="1" applyAlignment="1">
      <alignment horizontal="right"/>
    </xf>
    <xf numFmtId="187" fontId="32" fillId="0" borderId="0" xfId="1" applyNumberFormat="1" applyFont="1" applyFill="1" applyBorder="1" applyAlignment="1" applyProtection="1">
      <alignment horizontal="right"/>
      <protection locked="0"/>
    </xf>
    <xf numFmtId="10" fontId="32" fillId="0" borderId="0" xfId="9" quotePrefix="1" applyNumberFormat="1" applyFont="1" applyFill="1" applyBorder="1" applyAlignment="1" applyProtection="1">
      <alignment horizontal="right"/>
      <protection locked="0"/>
    </xf>
    <xf numFmtId="9" fontId="32" fillId="0" borderId="0" xfId="9" quotePrefix="1" applyNumberFormat="1" applyFont="1" applyFill="1" applyBorder="1" applyAlignment="1" applyProtection="1">
      <alignment horizontal="right"/>
      <protection locked="0"/>
    </xf>
    <xf numFmtId="187" fontId="32" fillId="6" borderId="10" xfId="1" applyNumberFormat="1" applyFont="1" applyFill="1" applyBorder="1"/>
    <xf numFmtId="188" fontId="32" fillId="0" borderId="0" xfId="1" quotePrefix="1" applyNumberFormat="1" applyFont="1" applyFill="1" applyBorder="1" applyAlignment="1" applyProtection="1">
      <alignment horizontal="right"/>
      <protection locked="0"/>
    </xf>
    <xf numFmtId="9" fontId="32" fillId="2" borderId="0" xfId="1" applyFont="1" applyFill="1" applyBorder="1" applyAlignment="1" applyProtection="1">
      <alignment horizontal="right"/>
      <protection locked="0"/>
    </xf>
    <xf numFmtId="9" fontId="52" fillId="2" borderId="0" xfId="1" applyFont="1" applyFill="1" applyBorder="1" applyAlignment="1" applyProtection="1">
      <alignment horizontal="right"/>
      <protection locked="0"/>
    </xf>
    <xf numFmtId="187" fontId="32" fillId="0" borderId="0" xfId="1" quotePrefix="1" applyNumberFormat="1" applyFont="1" applyFill="1" applyBorder="1" applyAlignment="1" applyProtection="1">
      <alignment horizontal="right"/>
      <protection locked="0"/>
    </xf>
    <xf numFmtId="187" fontId="32" fillId="0" borderId="8" xfId="9" applyNumberFormat="1" applyFont="1" applyFill="1" applyBorder="1" applyAlignment="1" applyProtection="1">
      <alignment horizontal="right"/>
      <protection locked="0"/>
    </xf>
    <xf numFmtId="187" fontId="27" fillId="6" borderId="11" xfId="1" applyNumberFormat="1" applyFont="1" applyFill="1" applyBorder="1" applyAlignment="1">
      <alignment horizontal="right"/>
    </xf>
    <xf numFmtId="0" fontId="52" fillId="2" borderId="0" xfId="0" applyFont="1" applyFill="1"/>
    <xf numFmtId="0" fontId="52" fillId="2" borderId="0" xfId="8" applyFont="1" applyFill="1">
      <protection locked="0"/>
    </xf>
    <xf numFmtId="0" fontId="52" fillId="2" borderId="0" xfId="8" applyFont="1" applyFill="1" applyAlignment="1">
      <alignment horizontal="right"/>
      <protection locked="0"/>
    </xf>
    <xf numFmtId="9" fontId="52" fillId="0" borderId="0" xfId="0" applyNumberFormat="1" applyFont="1"/>
    <xf numFmtId="9" fontId="53" fillId="0" borderId="8" xfId="1" quotePrefix="1" applyFont="1" applyFill="1" applyBorder="1" applyAlignment="1" applyProtection="1">
      <protection locked="0"/>
    </xf>
    <xf numFmtId="9" fontId="29" fillId="6" borderId="11" xfId="1" applyFont="1" applyFill="1" applyBorder="1" applyAlignment="1"/>
    <xf numFmtId="9" fontId="52" fillId="0" borderId="0" xfId="1" applyFont="1"/>
    <xf numFmtId="0" fontId="23" fillId="0" borderId="0" xfId="0" applyFont="1"/>
    <xf numFmtId="37" fontId="57" fillId="0" borderId="8" xfId="1" quotePrefix="1" applyNumberFormat="1" applyFont="1" applyFill="1" applyBorder="1" applyAlignment="1" applyProtection="1">
      <protection locked="0"/>
    </xf>
    <xf numFmtId="9" fontId="58" fillId="6" borderId="11" xfId="1" applyFont="1" applyFill="1" applyBorder="1" applyAlignment="1">
      <alignment horizontal="right"/>
    </xf>
    <xf numFmtId="187" fontId="58" fillId="6" borderId="11" xfId="9" applyNumberFormat="1" applyFont="1" applyFill="1" applyBorder="1" applyAlignment="1">
      <alignment horizontal="right"/>
    </xf>
    <xf numFmtId="9" fontId="57" fillId="0" borderId="0" xfId="1" quotePrefix="1" applyFont="1" applyFill="1" applyBorder="1" applyAlignment="1" applyProtection="1">
      <alignment horizontal="right"/>
      <protection locked="0"/>
    </xf>
    <xf numFmtId="9" fontId="57" fillId="0" borderId="0" xfId="1" applyFont="1" applyFill="1" applyBorder="1" applyAlignment="1" applyProtection="1">
      <alignment horizontal="right"/>
      <protection locked="0"/>
    </xf>
    <xf numFmtId="9" fontId="57" fillId="6" borderId="10" xfId="1" applyFont="1" applyFill="1" applyBorder="1"/>
    <xf numFmtId="187" fontId="32" fillId="0" borderId="13" xfId="9" applyNumberFormat="1" applyFont="1" applyFill="1" applyBorder="1" applyAlignment="1" applyProtection="1">
      <alignment horizontal="right"/>
      <protection locked="0"/>
    </xf>
    <xf numFmtId="187" fontId="32" fillId="6" borderId="13" xfId="9" applyNumberFormat="1" applyFont="1" applyFill="1" applyBorder="1"/>
    <xf numFmtId="187" fontId="32" fillId="6" borderId="27" xfId="9" applyNumberFormat="1" applyFont="1" applyFill="1" applyBorder="1"/>
    <xf numFmtId="187" fontId="32" fillId="0" borderId="0" xfId="9" applyNumberFormat="1" applyFont="1"/>
    <xf numFmtId="10" fontId="52" fillId="0" borderId="0" xfId="8" applyNumberFormat="1" applyFont="1">
      <protection locked="0"/>
    </xf>
    <xf numFmtId="187" fontId="32" fillId="0" borderId="13" xfId="9" quotePrefix="1" applyNumberFormat="1" applyFont="1" applyFill="1" applyBorder="1" applyAlignment="1" applyProtection="1">
      <alignment horizontal="right"/>
      <protection locked="0"/>
    </xf>
    <xf numFmtId="187" fontId="23" fillId="0" borderId="0" xfId="9" applyNumberFormat="1" applyFont="1" applyFill="1" applyBorder="1" applyAlignment="1" applyProtection="1">
      <alignment horizontal="right"/>
      <protection locked="0"/>
    </xf>
    <xf numFmtId="187" fontId="23" fillId="6" borderId="10" xfId="9" applyNumberFormat="1" applyFont="1" applyFill="1" applyBorder="1" applyAlignment="1">
      <alignment horizontal="right"/>
    </xf>
    <xf numFmtId="43" fontId="52" fillId="0" borderId="0" xfId="9" quotePrefix="1" applyFont="1" applyFill="1" applyBorder="1" applyAlignment="1" applyProtection="1">
      <alignment horizontal="center"/>
      <protection locked="0"/>
    </xf>
    <xf numFmtId="187" fontId="23" fillId="2" borderId="0" xfId="9" quotePrefix="1" applyNumberFormat="1" applyFont="1" applyFill="1" applyBorder="1" applyAlignment="1" applyProtection="1">
      <alignment horizontal="right"/>
      <protection locked="0"/>
    </xf>
    <xf numFmtId="187" fontId="32" fillId="6" borderId="20" xfId="9" applyNumberFormat="1" applyFont="1" applyFill="1" applyBorder="1" applyAlignment="1">
      <alignment horizontal="right"/>
    </xf>
    <xf numFmtId="9" fontId="33" fillId="0" borderId="0" xfId="1" applyFont="1" applyFill="1" applyBorder="1" applyAlignment="1" applyProtection="1">
      <alignment horizontal="right"/>
      <protection locked="0"/>
    </xf>
    <xf numFmtId="187" fontId="27" fillId="6" borderId="22" xfId="9" applyNumberFormat="1" applyFont="1" applyFill="1" applyBorder="1" applyAlignment="1">
      <alignment horizontal="right"/>
    </xf>
    <xf numFmtId="187" fontId="32" fillId="0" borderId="8" xfId="1" applyNumberFormat="1" applyFont="1" applyFill="1" applyBorder="1" applyAlignment="1" applyProtection="1">
      <alignment horizontal="right"/>
      <protection locked="0"/>
    </xf>
    <xf numFmtId="189" fontId="32" fillId="0" borderId="0" xfId="1" quotePrefix="1" applyNumberFormat="1" applyFont="1" applyFill="1" applyBorder="1" applyAlignment="1" applyProtection="1">
      <alignment horizontal="right"/>
      <protection locked="0"/>
    </xf>
    <xf numFmtId="37" fontId="52" fillId="0" borderId="0" xfId="8" applyNumberFormat="1" applyFont="1">
      <protection locked="0"/>
    </xf>
    <xf numFmtId="43" fontId="52" fillId="0" borderId="0" xfId="9" applyFont="1" applyFill="1" applyBorder="1" applyAlignment="1" applyProtection="1">
      <alignment horizontal="right"/>
      <protection locked="0"/>
    </xf>
    <xf numFmtId="187" fontId="52" fillId="6" borderId="10" xfId="9" applyNumberFormat="1" applyFont="1" applyFill="1" applyBorder="1"/>
    <xf numFmtId="43" fontId="32" fillId="0" borderId="0" xfId="9" quotePrefix="1" applyFont="1" applyFill="1" applyBorder="1" applyAlignment="1" applyProtection="1">
      <alignment horizontal="right"/>
      <protection locked="0"/>
    </xf>
    <xf numFmtId="43" fontId="32" fillId="0" borderId="0" xfId="9" applyFont="1" applyFill="1" applyBorder="1" applyAlignment="1" applyProtection="1">
      <alignment horizontal="right"/>
      <protection locked="0"/>
    </xf>
    <xf numFmtId="37" fontId="23" fillId="0" borderId="0" xfId="1" quotePrefix="1" applyNumberFormat="1" applyFont="1" applyFill="1" applyBorder="1" applyAlignment="1" applyProtection="1">
      <protection locked="0"/>
    </xf>
    <xf numFmtId="37" fontId="23" fillId="6" borderId="10" xfId="1" applyNumberFormat="1" applyFont="1" applyFill="1" applyBorder="1" applyAlignment="1"/>
    <xf numFmtId="37" fontId="32" fillId="0" borderId="0" xfId="1" quotePrefix="1" applyNumberFormat="1" applyFont="1" applyFill="1" applyBorder="1" applyAlignment="1" applyProtection="1">
      <protection locked="0"/>
    </xf>
    <xf numFmtId="1" fontId="32" fillId="2" borderId="0" xfId="1" applyNumberFormat="1" applyFont="1" applyFill="1" applyBorder="1" applyAlignment="1" applyProtection="1">
      <alignment horizontal="right"/>
      <protection locked="0"/>
    </xf>
    <xf numFmtId="187" fontId="32" fillId="2" borderId="0" xfId="9" quotePrefix="1" applyNumberFormat="1" applyFont="1" applyFill="1" applyBorder="1" applyAlignment="1" applyProtection="1">
      <alignment horizontal="right"/>
      <protection locked="0"/>
    </xf>
    <xf numFmtId="187" fontId="33" fillId="0" borderId="0" xfId="9" applyNumberFormat="1" applyFont="1" applyFill="1" applyBorder="1" applyProtection="1">
      <protection locked="0"/>
    </xf>
    <xf numFmtId="187" fontId="33" fillId="0" borderId="0" xfId="9" applyNumberFormat="1" applyFont="1" applyFill="1" applyBorder="1" applyAlignment="1" applyProtection="1">
      <alignment horizontal="right"/>
      <protection locked="0"/>
    </xf>
    <xf numFmtId="187" fontId="33" fillId="6" borderId="10" xfId="9" applyNumberFormat="1" applyFont="1" applyFill="1" applyBorder="1"/>
    <xf numFmtId="43" fontId="32" fillId="6" borderId="10" xfId="9" applyFont="1" applyFill="1" applyBorder="1" applyAlignment="1">
      <alignment horizontal="right"/>
    </xf>
    <xf numFmtId="187" fontId="32" fillId="6" borderId="11" xfId="9" applyNumberFormat="1" applyFont="1" applyFill="1" applyBorder="1" applyAlignment="1">
      <alignment horizontal="right"/>
    </xf>
    <xf numFmtId="43" fontId="45" fillId="0" borderId="0" xfId="9" applyFont="1" applyAlignment="1" applyProtection="1">
      <alignment horizontal="right"/>
      <protection locked="0"/>
    </xf>
    <xf numFmtId="185" fontId="45" fillId="0" borderId="0" xfId="8" applyNumberFormat="1" applyFont="1" applyAlignment="1">
      <alignment horizontal="right"/>
      <protection locked="0"/>
    </xf>
    <xf numFmtId="190" fontId="45" fillId="0" borderId="0" xfId="8" applyNumberFormat="1" applyFont="1" applyAlignment="1">
      <alignment horizontal="right"/>
      <protection locked="0"/>
    </xf>
    <xf numFmtId="43" fontId="33" fillId="6" borderId="10" xfId="9" applyFont="1" applyFill="1" applyBorder="1"/>
    <xf numFmtId="43" fontId="54" fillId="0" borderId="0" xfId="9" quotePrefix="1" applyFont="1" applyFill="1" applyBorder="1" applyAlignment="1" applyProtection="1">
      <alignment horizontal="center"/>
      <protection locked="0"/>
    </xf>
    <xf numFmtId="43" fontId="54" fillId="0" borderId="0" xfId="9" applyFont="1" applyFill="1" applyBorder="1" applyAlignment="1" applyProtection="1">
      <alignment horizontal="right"/>
      <protection locked="0"/>
    </xf>
    <xf numFmtId="43" fontId="33" fillId="0" borderId="0" xfId="9" applyFont="1" applyFill="1" applyBorder="1" applyAlignment="1" applyProtection="1">
      <alignment horizontal="right"/>
      <protection locked="0"/>
    </xf>
    <xf numFmtId="9" fontId="32" fillId="6" borderId="10" xfId="9" applyNumberFormat="1" applyFont="1" applyFill="1" applyBorder="1"/>
    <xf numFmtId="9" fontId="32" fillId="2" borderId="0" xfId="9" quotePrefix="1" applyNumberFormat="1" applyFont="1" applyFill="1" applyBorder="1" applyAlignment="1" applyProtection="1">
      <alignment horizontal="right"/>
      <protection locked="0"/>
    </xf>
    <xf numFmtId="37" fontId="43" fillId="4" borderId="10" xfId="0" applyNumberFormat="1" applyFont="1" applyFill="1" applyBorder="1"/>
    <xf numFmtId="191" fontId="4" fillId="0" borderId="0" xfId="0" applyNumberFormat="1" applyFont="1"/>
    <xf numFmtId="191" fontId="24" fillId="0" borderId="0" xfId="8" applyNumberFormat="1" applyFont="1" applyAlignment="1">
      <alignment horizontal="right"/>
      <protection locked="0"/>
    </xf>
    <xf numFmtId="191" fontId="32" fillId="4" borderId="10" xfId="0" applyNumberFormat="1" applyFont="1" applyFill="1" applyBorder="1"/>
    <xf numFmtId="191" fontId="2" fillId="0" borderId="0" xfId="0" applyNumberFormat="1" applyFont="1"/>
    <xf numFmtId="9" fontId="33" fillId="0" borderId="0" xfId="1" applyFont="1" applyFill="1" applyBorder="1" applyAlignment="1">
      <alignment horizontal="right"/>
    </xf>
    <xf numFmtId="9" fontId="44" fillId="4" borderId="10" xfId="1" applyFont="1" applyFill="1" applyBorder="1" applyAlignment="1">
      <alignment horizontal="right"/>
    </xf>
    <xf numFmtId="37" fontId="24" fillId="0" borderId="0" xfId="1" applyNumberFormat="1" applyFont="1" applyFill="1" applyBorder="1" applyProtection="1">
      <protection locked="0"/>
    </xf>
    <xf numFmtId="37" fontId="32" fillId="0" borderId="8" xfId="1" applyNumberFormat="1" applyFont="1" applyFill="1" applyBorder="1" applyAlignment="1" applyProtection="1">
      <protection locked="0"/>
    </xf>
    <xf numFmtId="37" fontId="32" fillId="4" borderId="11" xfId="1" applyNumberFormat="1" applyFont="1" applyFill="1" applyBorder="1" applyAlignment="1"/>
    <xf numFmtId="9" fontId="32" fillId="4" borderId="10" xfId="1" quotePrefix="1" applyFont="1" applyFill="1" applyBorder="1" applyAlignment="1" applyProtection="1">
      <alignment horizontal="right"/>
      <protection locked="0"/>
    </xf>
    <xf numFmtId="9" fontId="32" fillId="0" borderId="0" xfId="1" applyFont="1" applyAlignment="1">
      <alignment horizontal="right"/>
    </xf>
    <xf numFmtId="9" fontId="32" fillId="4" borderId="10" xfId="1" applyFont="1" applyFill="1" applyBorder="1" applyAlignment="1" applyProtection="1">
      <alignment horizontal="center"/>
      <protection locked="0"/>
    </xf>
    <xf numFmtId="9" fontId="27" fillId="0" borderId="0" xfId="1" applyFont="1" applyFill="1" applyBorder="1" applyAlignment="1" applyProtection="1">
      <alignment horizontal="center"/>
      <protection locked="0"/>
    </xf>
    <xf numFmtId="9" fontId="27" fillId="4" borderId="10" xfId="1" applyFont="1" applyFill="1" applyBorder="1" applyAlignment="1" applyProtection="1">
      <alignment horizontal="center"/>
      <protection locked="0"/>
    </xf>
    <xf numFmtId="9" fontId="22" fillId="0" borderId="0" xfId="1" applyFont="1" applyAlignment="1" applyProtection="1">
      <alignment horizontal="center"/>
      <protection locked="0"/>
    </xf>
    <xf numFmtId="0" fontId="2" fillId="0" borderId="0" xfId="0" applyFont="1" applyAlignment="1">
      <alignment horizontal="right"/>
    </xf>
    <xf numFmtId="0" fontId="59" fillId="0" borderId="0" xfId="0" applyFont="1" applyAlignment="1">
      <alignment horizontal="left"/>
    </xf>
    <xf numFmtId="9" fontId="32" fillId="4" borderId="10" xfId="1" applyFont="1" applyFill="1" applyBorder="1" applyAlignment="1" applyProtection="1">
      <alignment horizontal="right"/>
      <protection locked="0"/>
    </xf>
    <xf numFmtId="9" fontId="22" fillId="0" borderId="0" xfId="1" applyFont="1" applyAlignment="1" applyProtection="1">
      <alignment horizontal="right"/>
      <protection locked="0"/>
    </xf>
    <xf numFmtId="9" fontId="22" fillId="4" borderId="10" xfId="1" applyFont="1" applyFill="1" applyBorder="1" applyAlignment="1" applyProtection="1">
      <alignment horizontal="center"/>
      <protection locked="0"/>
    </xf>
    <xf numFmtId="4" fontId="4" fillId="0" borderId="0" xfId="0" applyNumberFormat="1" applyFont="1" applyAlignment="1">
      <alignment horizontal="left"/>
    </xf>
    <xf numFmtId="4" fontId="32" fillId="0" borderId="0" xfId="1" quotePrefix="1" applyNumberFormat="1" applyFont="1" applyFill="1" applyBorder="1" applyAlignment="1" applyProtection="1">
      <alignment horizontal="right"/>
      <protection locked="0"/>
    </xf>
    <xf numFmtId="4" fontId="32" fillId="0" borderId="0" xfId="1" applyNumberFormat="1" applyFont="1" applyFill="1" applyBorder="1" applyAlignment="1" applyProtection="1">
      <alignment horizontal="right"/>
      <protection locked="0"/>
    </xf>
    <xf numFmtId="4" fontId="32" fillId="4" borderId="12" xfId="0" applyNumberFormat="1" applyFont="1" applyFill="1" applyBorder="1"/>
    <xf numFmtId="4" fontId="32" fillId="0" borderId="0" xfId="0" applyNumberFormat="1" applyFont="1" applyAlignment="1">
      <alignment horizontal="right"/>
    </xf>
    <xf numFmtId="9" fontId="60" fillId="0" borderId="0" xfId="1" applyFont="1" applyFill="1" applyBorder="1" applyProtection="1">
      <protection locked="0"/>
    </xf>
    <xf numFmtId="9" fontId="32" fillId="0" borderId="0" xfId="1" applyFont="1" applyFill="1"/>
    <xf numFmtId="9" fontId="31" fillId="0" borderId="0" xfId="1" quotePrefix="1" applyFont="1" applyFill="1" applyBorder="1" applyAlignment="1" applyProtection="1">
      <alignment horizontal="center"/>
      <protection locked="0"/>
    </xf>
    <xf numFmtId="9" fontId="31" fillId="0" borderId="0" xfId="1" applyFont="1" applyFill="1" applyBorder="1" applyAlignment="1" applyProtection="1">
      <alignment horizontal="center"/>
      <protection locked="0"/>
    </xf>
    <xf numFmtId="0" fontId="44" fillId="0" borderId="0" xfId="0" applyFont="1" applyAlignment="1">
      <alignment horizontal="center"/>
    </xf>
    <xf numFmtId="2" fontId="4" fillId="0" borderId="0" xfId="0" applyNumberFormat="1" applyFont="1"/>
    <xf numFmtId="2" fontId="32" fillId="0" borderId="0" xfId="0" applyNumberFormat="1" applyFont="1"/>
    <xf numFmtId="2" fontId="32" fillId="0" borderId="0" xfId="1" quotePrefix="1" applyNumberFormat="1" applyFont="1" applyFill="1" applyBorder="1" applyAlignment="1" applyProtection="1">
      <alignment horizontal="center"/>
      <protection locked="0"/>
    </xf>
    <xf numFmtId="2" fontId="32" fillId="0" borderId="0" xfId="1" applyNumberFormat="1" applyFont="1" applyFill="1" applyBorder="1"/>
    <xf numFmtId="2" fontId="32" fillId="0" borderId="0" xfId="0" applyNumberFormat="1" applyFont="1" applyAlignment="1">
      <alignment horizontal="right"/>
    </xf>
    <xf numFmtId="2" fontId="61" fillId="0" borderId="0" xfId="0" applyNumberFormat="1" applyFont="1"/>
    <xf numFmtId="9" fontId="2" fillId="0" borderId="0" xfId="1" applyFont="1" applyFill="1" applyBorder="1"/>
    <xf numFmtId="9" fontId="2" fillId="0" borderId="0" xfId="1" applyFont="1" applyFill="1" applyAlignment="1">
      <alignment horizontal="right"/>
    </xf>
    <xf numFmtId="2" fontId="2" fillId="0" borderId="0" xfId="0" applyNumberFormat="1" applyFont="1"/>
    <xf numFmtId="9" fontId="62" fillId="0" borderId="0" xfId="1" applyFont="1" applyFill="1" applyBorder="1" applyProtection="1">
      <protection locked="0"/>
    </xf>
    <xf numFmtId="39" fontId="22" fillId="0" borderId="0" xfId="8" applyNumberFormat="1" applyFont="1" applyAlignment="1">
      <alignment horizontal="center"/>
      <protection locked="0"/>
    </xf>
    <xf numFmtId="39" fontId="3" fillId="0" borderId="0" xfId="0" applyNumberFormat="1" applyFont="1" applyAlignment="1">
      <alignment horizontal="right"/>
    </xf>
    <xf numFmtId="9" fontId="24" fillId="0" borderId="0" xfId="1" applyFont="1" applyFill="1" applyBorder="1" applyAlignment="1" applyProtection="1">
      <alignment horizontal="center"/>
      <protection locked="0"/>
    </xf>
    <xf numFmtId="9" fontId="3" fillId="0" borderId="0" xfId="1" applyFont="1" applyFill="1" applyBorder="1"/>
    <xf numFmtId="186" fontId="4" fillId="0" borderId="0" xfId="0" applyNumberFormat="1" applyFont="1" applyAlignment="1">
      <alignment horizontal="right"/>
    </xf>
    <xf numFmtId="186" fontId="2" fillId="0" borderId="0" xfId="0" applyNumberFormat="1" applyFont="1" applyAlignment="1">
      <alignment horizontal="left"/>
    </xf>
    <xf numFmtId="186" fontId="22" fillId="0" borderId="0" xfId="8" applyNumberFormat="1" applyFont="1" applyAlignment="1">
      <alignment horizontal="right"/>
      <protection locked="0"/>
    </xf>
    <xf numFmtId="186" fontId="3" fillId="0" borderId="0" xfId="0" applyNumberFormat="1" applyFont="1" applyAlignment="1">
      <alignment horizontal="right"/>
    </xf>
    <xf numFmtId="186" fontId="2" fillId="0" borderId="0" xfId="0" applyNumberFormat="1" applyFont="1" applyAlignment="1">
      <alignment horizontal="right"/>
    </xf>
    <xf numFmtId="186" fontId="4" fillId="0" borderId="0" xfId="0" applyNumberFormat="1" applyFont="1"/>
    <xf numFmtId="186" fontId="2" fillId="0" borderId="0" xfId="0" applyNumberFormat="1" applyFont="1"/>
    <xf numFmtId="186" fontId="22" fillId="0" borderId="0" xfId="8" applyNumberFormat="1" applyFont="1">
      <protection locked="0"/>
    </xf>
    <xf numFmtId="186" fontId="3" fillId="0" borderId="0" xfId="0" applyNumberFormat="1" applyFont="1"/>
    <xf numFmtId="4" fontId="24" fillId="0" borderId="0" xfId="8" applyNumberFormat="1" applyFont="1">
      <protection locked="0"/>
    </xf>
    <xf numFmtId="4" fontId="24" fillId="0" borderId="0" xfId="8" applyNumberFormat="1" applyFont="1" applyAlignment="1">
      <alignment horizontal="right"/>
      <protection locked="0"/>
    </xf>
    <xf numFmtId="186" fontId="24" fillId="0" borderId="0" xfId="8" applyNumberFormat="1" applyFont="1" applyAlignment="1">
      <alignment horizontal="right"/>
      <protection locked="0"/>
    </xf>
    <xf numFmtId="9" fontId="4" fillId="0" borderId="0" xfId="1" applyFont="1" applyFill="1" applyAlignment="1">
      <alignment horizontal="right"/>
    </xf>
    <xf numFmtId="9" fontId="62" fillId="0" borderId="0" xfId="1" applyFont="1" applyFill="1" applyBorder="1" applyAlignment="1" applyProtection="1">
      <alignment horizontal="left"/>
      <protection locked="0"/>
    </xf>
    <xf numFmtId="9" fontId="3" fillId="0" borderId="0" xfId="1" applyFont="1" applyFill="1" applyBorder="1" applyAlignment="1">
      <alignment horizontal="right"/>
    </xf>
    <xf numFmtId="39" fontId="4" fillId="0" borderId="0" xfId="0" applyNumberFormat="1" applyFont="1" applyAlignment="1">
      <alignment horizontal="right"/>
    </xf>
    <xf numFmtId="39" fontId="2" fillId="0" borderId="0" xfId="0" applyNumberFormat="1" applyFont="1" applyAlignment="1">
      <alignment horizontal="right"/>
    </xf>
    <xf numFmtId="7" fontId="2" fillId="0" borderId="0" xfId="0" applyNumberFormat="1" applyFont="1"/>
    <xf numFmtId="7" fontId="24" fillId="0" borderId="0" xfId="8" applyNumberFormat="1" applyFont="1">
      <protection locked="0"/>
    </xf>
    <xf numFmtId="7" fontId="24" fillId="0" borderId="0" xfId="8" applyNumberFormat="1" applyFont="1" applyAlignment="1">
      <alignment horizontal="right"/>
      <protection locked="0"/>
    </xf>
    <xf numFmtId="7" fontId="3" fillId="0" borderId="0" xfId="0" applyNumberFormat="1" applyFont="1"/>
    <xf numFmtId="7" fontId="24" fillId="0" borderId="0" xfId="1" quotePrefix="1" applyNumberFormat="1" applyFont="1" applyFill="1" applyBorder="1" applyAlignment="1" applyProtection="1">
      <alignment horizontal="right"/>
      <protection locked="0"/>
    </xf>
    <xf numFmtId="0" fontId="61" fillId="0" borderId="0" xfId="0" applyFont="1"/>
    <xf numFmtId="192" fontId="4" fillId="0" borderId="0" xfId="0" applyNumberFormat="1" applyFont="1"/>
    <xf numFmtId="192" fontId="2" fillId="0" borderId="0" xfId="0" applyNumberFormat="1" applyFont="1"/>
    <xf numFmtId="192" fontId="22" fillId="0" borderId="0" xfId="8" applyNumberFormat="1" applyFont="1">
      <protection locked="0"/>
    </xf>
    <xf numFmtId="192" fontId="22" fillId="0" borderId="0" xfId="8" applyNumberFormat="1" applyFont="1" applyAlignment="1">
      <alignment horizontal="right"/>
      <protection locked="0"/>
    </xf>
    <xf numFmtId="192" fontId="3" fillId="0" borderId="0" xfId="0" applyNumberFormat="1" applyFont="1"/>
    <xf numFmtId="192" fontId="62" fillId="0" borderId="0" xfId="8" applyNumberFormat="1" applyFont="1" applyAlignment="1">
      <alignment horizontal="right"/>
      <protection locked="0"/>
    </xf>
    <xf numFmtId="192" fontId="24" fillId="0" borderId="0" xfId="8" applyNumberFormat="1" applyFont="1">
      <protection locked="0"/>
    </xf>
    <xf numFmtId="192" fontId="24" fillId="0" borderId="0" xfId="8" applyNumberFormat="1" applyFont="1" applyAlignment="1">
      <alignment horizontal="right"/>
      <protection locked="0"/>
    </xf>
    <xf numFmtId="186" fontId="24" fillId="0" borderId="0" xfId="8" applyNumberFormat="1" applyFont="1">
      <protection locked="0"/>
    </xf>
    <xf numFmtId="0" fontId="32" fillId="0" borderId="0" xfId="17" applyAlignment="1">
      <alignment horizontal="left" vertical="center"/>
    </xf>
    <xf numFmtId="187" fontId="43" fillId="0" borderId="8" xfId="9" quotePrefix="1" applyNumberFormat="1" applyFont="1" applyFill="1" applyBorder="1" applyAlignment="1" applyProtection="1">
      <protection locked="0"/>
    </xf>
    <xf numFmtId="187" fontId="32" fillId="4" borderId="11" xfId="9" applyNumberFormat="1" applyFont="1" applyFill="1" applyBorder="1"/>
    <xf numFmtId="187" fontId="32" fillId="0" borderId="8" xfId="9" applyNumberFormat="1" applyFont="1" applyFill="1" applyBorder="1" applyAlignment="1" applyProtection="1">
      <protection locked="0"/>
    </xf>
    <xf numFmtId="37" fontId="57" fillId="0" borderId="0" xfId="1" applyNumberFormat="1" applyFont="1" applyFill="1" applyBorder="1" applyProtection="1">
      <protection locked="0"/>
    </xf>
    <xf numFmtId="187" fontId="57" fillId="0" borderId="8" xfId="9" quotePrefix="1" applyNumberFormat="1" applyFont="1" applyFill="1" applyBorder="1" applyAlignment="1" applyProtection="1">
      <protection locked="0"/>
    </xf>
    <xf numFmtId="187" fontId="32" fillId="0" borderId="8" xfId="9" quotePrefix="1" applyNumberFormat="1" applyFont="1" applyFill="1" applyBorder="1" applyAlignment="1" applyProtection="1">
      <protection locked="0"/>
    </xf>
    <xf numFmtId="187" fontId="32" fillId="4" borderId="10" xfId="9" applyNumberFormat="1" applyFont="1" applyFill="1" applyBorder="1" applyAlignment="1" applyProtection="1">
      <alignment horizontal="right"/>
      <protection locked="0"/>
    </xf>
    <xf numFmtId="187" fontId="24" fillId="0" borderId="0" xfId="9" applyNumberFormat="1" applyFont="1" applyAlignment="1" applyProtection="1">
      <alignment horizontal="center"/>
      <protection locked="0"/>
    </xf>
    <xf numFmtId="187" fontId="24" fillId="4" borderId="10" xfId="9" applyNumberFormat="1" applyFont="1" applyFill="1" applyBorder="1" applyAlignment="1" applyProtection="1">
      <alignment horizontal="center"/>
      <protection locked="0"/>
    </xf>
    <xf numFmtId="187" fontId="32" fillId="0" borderId="0" xfId="9" applyNumberFormat="1" applyFont="1" applyAlignment="1" applyProtection="1">
      <alignment horizontal="center"/>
      <protection locked="0"/>
    </xf>
    <xf numFmtId="187" fontId="32" fillId="4" borderId="10" xfId="9" applyNumberFormat="1" applyFont="1" applyFill="1" applyBorder="1" applyAlignment="1" applyProtection="1">
      <alignment horizontal="center"/>
      <protection locked="0"/>
    </xf>
    <xf numFmtId="187" fontId="32" fillId="0" borderId="0" xfId="9" applyNumberFormat="1" applyFont="1" applyAlignment="1" applyProtection="1">
      <alignment horizontal="right"/>
      <protection locked="0"/>
    </xf>
    <xf numFmtId="9" fontId="54" fillId="2" borderId="0" xfId="1" applyFont="1" applyFill="1" applyBorder="1" applyAlignment="1" applyProtection="1">
      <alignment horizontal="left"/>
      <protection locked="0"/>
    </xf>
    <xf numFmtId="9" fontId="54" fillId="0" borderId="0" xfId="1" applyFont="1" applyFill="1" applyBorder="1" applyAlignment="1" applyProtection="1">
      <alignment horizontal="left" indent="2"/>
      <protection locked="0"/>
    </xf>
    <xf numFmtId="175" fontId="54" fillId="0" borderId="0" xfId="1" applyNumberFormat="1" applyFont="1" applyFill="1" applyBorder="1" applyAlignment="1" applyProtection="1">
      <alignment horizontal="left" indent="2"/>
      <protection locked="0"/>
    </xf>
    <xf numFmtId="187" fontId="27" fillId="0" borderId="8" xfId="9" quotePrefix="1" applyNumberFormat="1" applyFont="1" applyFill="1" applyBorder="1" applyAlignment="1" applyProtection="1">
      <protection locked="0"/>
    </xf>
    <xf numFmtId="187" fontId="32" fillId="6" borderId="11" xfId="9" applyNumberFormat="1" applyFont="1" applyFill="1" applyBorder="1" applyAlignment="1"/>
    <xf numFmtId="187" fontId="29" fillId="0" borderId="7" xfId="9" applyNumberFormat="1" applyFont="1" applyBorder="1"/>
    <xf numFmtId="187" fontId="29" fillId="6" borderId="11" xfId="9" applyNumberFormat="1" applyFont="1" applyFill="1" applyBorder="1" applyAlignment="1"/>
    <xf numFmtId="187" fontId="29" fillId="0" borderId="0" xfId="9" applyNumberFormat="1" applyFont="1"/>
    <xf numFmtId="187" fontId="28" fillId="0" borderId="8" xfId="9" quotePrefix="1" applyNumberFormat="1" applyFont="1" applyFill="1" applyBorder="1" applyAlignment="1" applyProtection="1">
      <protection locked="0"/>
    </xf>
    <xf numFmtId="187" fontId="52" fillId="0" borderId="7" xfId="9" applyNumberFormat="1" applyFont="1" applyBorder="1" applyAlignment="1">
      <alignment horizontal="left" indent="1"/>
    </xf>
    <xf numFmtId="187" fontId="23" fillId="0" borderId="8" xfId="9" quotePrefix="1" applyNumberFormat="1" applyFont="1" applyFill="1" applyBorder="1" applyAlignment="1" applyProtection="1">
      <protection locked="0"/>
    </xf>
    <xf numFmtId="187" fontId="52" fillId="6" borderId="11" xfId="9" applyNumberFormat="1" applyFont="1" applyFill="1" applyBorder="1" applyAlignment="1"/>
    <xf numFmtId="187" fontId="63" fillId="0" borderId="8" xfId="9" quotePrefix="1" applyNumberFormat="1" applyFont="1" applyFill="1" applyBorder="1" applyAlignment="1" applyProtection="1">
      <protection locked="0"/>
    </xf>
    <xf numFmtId="187" fontId="23" fillId="2" borderId="8" xfId="9" quotePrefix="1" applyNumberFormat="1" applyFont="1" applyFill="1" applyBorder="1" applyAlignment="1" applyProtection="1">
      <protection locked="0"/>
    </xf>
    <xf numFmtId="187" fontId="41" fillId="0" borderId="8" xfId="9" quotePrefix="1" applyNumberFormat="1" applyFont="1" applyFill="1" applyBorder="1" applyAlignment="1" applyProtection="1">
      <protection locked="0"/>
    </xf>
    <xf numFmtId="9" fontId="41" fillId="0" borderId="0" xfId="1" applyFont="1" applyFill="1" applyBorder="1" applyAlignment="1" applyProtection="1">
      <alignment horizontal="right"/>
      <protection locked="0"/>
    </xf>
    <xf numFmtId="187" fontId="29" fillId="0" borderId="7" xfId="9" applyNumberFormat="1" applyFont="1" applyBorder="1" applyAlignment="1">
      <alignment horizontal="left"/>
    </xf>
    <xf numFmtId="187" fontId="23" fillId="0" borderId="0" xfId="9" applyNumberFormat="1" applyFont="1" applyProtection="1">
      <protection locked="0"/>
    </xf>
    <xf numFmtId="187" fontId="23" fillId="0" borderId="0" xfId="9" applyNumberFormat="1" applyFont="1" applyAlignment="1" applyProtection="1">
      <alignment horizontal="right"/>
      <protection locked="0"/>
    </xf>
    <xf numFmtId="187" fontId="2" fillId="4" borderId="10" xfId="9" applyNumberFormat="1" applyFont="1" applyFill="1" applyBorder="1"/>
    <xf numFmtId="187" fontId="29" fillId="0" borderId="8" xfId="9" applyNumberFormat="1" applyFont="1" applyBorder="1" applyAlignment="1" applyProtection="1">
      <alignment horizontal="right"/>
      <protection locked="0"/>
    </xf>
    <xf numFmtId="187" fontId="29" fillId="6" borderId="11" xfId="9" applyNumberFormat="1" applyFont="1" applyFill="1" applyBorder="1" applyAlignment="1">
      <alignment horizontal="right"/>
    </xf>
    <xf numFmtId="169" fontId="22" fillId="0" borderId="0" xfId="8" applyNumberFormat="1" applyFont="1" applyAlignment="1">
      <alignment horizontal="right"/>
      <protection locked="0"/>
    </xf>
    <xf numFmtId="169" fontId="22" fillId="4" borderId="10" xfId="8" applyNumberFormat="1" applyFont="1" applyFill="1" applyBorder="1" applyAlignment="1">
      <alignment horizontal="right"/>
      <protection locked="0"/>
    </xf>
    <xf numFmtId="174" fontId="40" fillId="0" borderId="0" xfId="0" applyNumberFormat="1" applyFont="1"/>
    <xf numFmtId="9" fontId="24" fillId="0" borderId="0" xfId="18" quotePrefix="1" applyFont="1" applyFill="1" applyBorder="1" applyAlignment="1" applyProtection="1">
      <alignment horizontal="right"/>
      <protection locked="0"/>
    </xf>
    <xf numFmtId="9" fontId="24" fillId="0" borderId="0" xfId="18" applyFont="1" applyFill="1" applyBorder="1" applyAlignment="1" applyProtection="1">
      <alignment horizontal="right"/>
      <protection locked="0"/>
    </xf>
    <xf numFmtId="0" fontId="2" fillId="2" borderId="0" xfId="0" applyFont="1" applyFill="1"/>
    <xf numFmtId="0" fontId="3" fillId="4" borderId="10" xfId="0" applyFont="1" applyFill="1" applyBorder="1" applyAlignment="1">
      <alignment horizontal="right"/>
    </xf>
    <xf numFmtId="37" fontId="3" fillId="4" borderId="10" xfId="0" applyNumberFormat="1" applyFont="1" applyFill="1" applyBorder="1" applyAlignment="1">
      <alignment horizontal="right"/>
    </xf>
    <xf numFmtId="37" fontId="23" fillId="0" borderId="0" xfId="0" applyNumberFormat="1" applyFont="1"/>
    <xf numFmtId="39" fontId="3" fillId="4" borderId="10" xfId="0" applyNumberFormat="1" applyFont="1" applyFill="1" applyBorder="1" applyAlignment="1">
      <alignment horizontal="right"/>
    </xf>
    <xf numFmtId="9" fontId="3" fillId="4" borderId="10" xfId="1" applyFont="1" applyFill="1" applyBorder="1" applyAlignment="1">
      <alignment horizontal="right"/>
    </xf>
    <xf numFmtId="9" fontId="23" fillId="0" borderId="0" xfId="1" applyFont="1"/>
    <xf numFmtId="9" fontId="2" fillId="0" borderId="0" xfId="1" applyFont="1" applyAlignment="1">
      <alignment horizontal="right"/>
    </xf>
    <xf numFmtId="9" fontId="2" fillId="0" borderId="0" xfId="0" applyNumberFormat="1" applyFont="1"/>
    <xf numFmtId="9" fontId="3" fillId="4" borderId="10" xfId="0" applyNumberFormat="1" applyFont="1" applyFill="1" applyBorder="1" applyAlignment="1">
      <alignment horizontal="right"/>
    </xf>
    <xf numFmtId="9" fontId="32" fillId="2" borderId="0" xfId="1" applyFont="1" applyFill="1"/>
    <xf numFmtId="187" fontId="64" fillId="0" borderId="8" xfId="9" quotePrefix="1" applyNumberFormat="1" applyFont="1" applyFill="1" applyBorder="1" applyAlignment="1" applyProtection="1">
      <alignment horizontal="right"/>
      <protection locked="0"/>
    </xf>
    <xf numFmtId="187" fontId="3" fillId="4" borderId="11" xfId="9" applyNumberFormat="1" applyFont="1" applyFill="1" applyBorder="1" applyAlignment="1">
      <alignment horizontal="right"/>
    </xf>
    <xf numFmtId="187" fontId="2" fillId="0" borderId="7" xfId="9" applyNumberFormat="1" applyFont="1" applyBorder="1"/>
    <xf numFmtId="187" fontId="2" fillId="0" borderId="8" xfId="9" applyNumberFormat="1" applyFont="1" applyBorder="1"/>
    <xf numFmtId="187" fontId="2" fillId="0" borderId="33" xfId="9" applyNumberFormat="1" applyFont="1" applyBorder="1"/>
    <xf numFmtId="187" fontId="27" fillId="0" borderId="8" xfId="9" applyNumberFormat="1" applyFont="1" applyBorder="1"/>
    <xf numFmtId="187" fontId="58" fillId="0" borderId="8" xfId="9" applyNumberFormat="1" applyFont="1" applyBorder="1"/>
    <xf numFmtId="187" fontId="58" fillId="2" borderId="8" xfId="9" applyNumberFormat="1" applyFont="1" applyFill="1" applyBorder="1"/>
    <xf numFmtId="187" fontId="32" fillId="4" borderId="10" xfId="9" applyNumberFormat="1" applyFont="1" applyFill="1" applyBorder="1" applyAlignment="1">
      <alignment horizontal="right"/>
    </xf>
    <xf numFmtId="187" fontId="32" fillId="2" borderId="0" xfId="9" applyNumberFormat="1" applyFont="1" applyFill="1"/>
    <xf numFmtId="187" fontId="2" fillId="4" borderId="11" xfId="9" applyNumberFormat="1" applyFont="1" applyFill="1" applyBorder="1" applyAlignment="1">
      <alignment horizontal="right"/>
    </xf>
    <xf numFmtId="187" fontId="0" fillId="0" borderId="7" xfId="9" applyNumberFormat="1" applyFont="1" applyBorder="1"/>
    <xf numFmtId="187" fontId="0" fillId="0" borderId="8" xfId="9" applyNumberFormat="1" applyFont="1" applyBorder="1"/>
    <xf numFmtId="187" fontId="0" fillId="0" borderId="0" xfId="9" applyNumberFormat="1" applyFont="1"/>
    <xf numFmtId="187" fontId="58" fillId="4" borderId="10" xfId="9" applyNumberFormat="1" applyFont="1" applyFill="1" applyBorder="1" applyAlignment="1">
      <alignment horizontal="right"/>
    </xf>
    <xf numFmtId="187" fontId="58" fillId="0" borderId="0" xfId="9" quotePrefix="1" applyNumberFormat="1" applyFont="1" applyFill="1" applyBorder="1" applyAlignment="1" applyProtection="1">
      <alignment horizontal="right"/>
      <protection locked="0"/>
    </xf>
    <xf numFmtId="187" fontId="58" fillId="2" borderId="0" xfId="9" quotePrefix="1" applyNumberFormat="1" applyFont="1" applyFill="1" applyBorder="1" applyAlignment="1" applyProtection="1">
      <alignment horizontal="right"/>
      <protection locked="0"/>
    </xf>
    <xf numFmtId="9" fontId="0" fillId="0" borderId="0" xfId="0" applyNumberFormat="1"/>
    <xf numFmtId="43" fontId="0" fillId="0" borderId="0" xfId="9" applyFont="1"/>
    <xf numFmtId="7" fontId="2" fillId="0" borderId="0" xfId="9" applyNumberFormat="1" applyFont="1" applyAlignment="1">
      <alignment horizontal="right"/>
    </xf>
    <xf numFmtId="7" fontId="0" fillId="4" borderId="10" xfId="9" applyNumberFormat="1" applyFont="1" applyFill="1" applyBorder="1" applyAlignment="1">
      <alignment horizontal="right"/>
    </xf>
    <xf numFmtId="7" fontId="0" fillId="0" borderId="0" xfId="9" applyNumberFormat="1" applyFont="1"/>
    <xf numFmtId="43" fontId="2" fillId="2" borderId="0" xfId="9" applyFont="1" applyFill="1" applyAlignment="1">
      <alignment horizontal="left" indent="1"/>
    </xf>
    <xf numFmtId="43" fontId="2" fillId="0" borderId="0" xfId="9" applyFont="1"/>
    <xf numFmtId="43" fontId="2" fillId="2" borderId="0" xfId="9" applyFont="1" applyFill="1"/>
    <xf numFmtId="187" fontId="32" fillId="2" borderId="0" xfId="9" applyNumberFormat="1" applyFont="1" applyFill="1" applyBorder="1" applyAlignment="1" applyProtection="1">
      <alignment horizontal="right"/>
      <protection locked="0"/>
    </xf>
    <xf numFmtId="187" fontId="23" fillId="0" borderId="0" xfId="9" applyNumberFormat="1" applyFont="1"/>
    <xf numFmtId="187" fontId="23" fillId="2" borderId="0" xfId="9" applyNumberFormat="1" applyFont="1" applyFill="1"/>
    <xf numFmtId="187" fontId="2" fillId="2" borderId="0" xfId="9" applyNumberFormat="1" applyFont="1" applyFill="1"/>
    <xf numFmtId="43" fontId="3" fillId="2" borderId="0" xfId="9" applyFont="1" applyFill="1"/>
    <xf numFmtId="43" fontId="32" fillId="0" borderId="0" xfId="9" applyFont="1"/>
    <xf numFmtId="187" fontId="3" fillId="4" borderId="10" xfId="9" applyNumberFormat="1" applyFont="1" applyFill="1" applyBorder="1" applyAlignment="1">
      <alignment horizontal="right"/>
    </xf>
    <xf numFmtId="9" fontId="27" fillId="4" borderId="10" xfId="1" applyFont="1" applyFill="1" applyBorder="1" applyAlignment="1">
      <alignment horizontal="right"/>
    </xf>
    <xf numFmtId="9" fontId="23" fillId="0" borderId="0" xfId="0" applyNumberFormat="1" applyFont="1"/>
    <xf numFmtId="37" fontId="0" fillId="0" borderId="0" xfId="0" applyNumberFormat="1"/>
    <xf numFmtId="187" fontId="57" fillId="0" borderId="0" xfId="9" quotePrefix="1" applyNumberFormat="1" applyFont="1" applyFill="1" applyBorder="1" applyAlignment="1" applyProtection="1">
      <alignment horizontal="right"/>
      <protection locked="0"/>
    </xf>
    <xf numFmtId="187" fontId="57" fillId="0" borderId="0" xfId="9" applyNumberFormat="1" applyFont="1" applyFill="1" applyBorder="1" applyAlignment="1" applyProtection="1">
      <alignment horizontal="right"/>
      <protection locked="0"/>
    </xf>
    <xf numFmtId="187" fontId="57" fillId="4" borderId="10" xfId="9" applyNumberFormat="1" applyFont="1" applyFill="1" applyBorder="1" applyAlignment="1">
      <alignment horizontal="right"/>
    </xf>
    <xf numFmtId="187" fontId="57" fillId="0" borderId="0" xfId="9" applyNumberFormat="1" applyFont="1"/>
    <xf numFmtId="187" fontId="57" fillId="2" borderId="0" xfId="9" quotePrefix="1" applyNumberFormat="1" applyFont="1" applyFill="1" applyBorder="1" applyAlignment="1" applyProtection="1">
      <alignment horizontal="right"/>
      <protection locked="0"/>
    </xf>
    <xf numFmtId="187" fontId="57" fillId="2" borderId="0" xfId="9" applyNumberFormat="1" applyFont="1" applyFill="1"/>
    <xf numFmtId="37" fontId="0" fillId="4" borderId="10" xfId="0" applyNumberFormat="1" applyFill="1" applyBorder="1" applyAlignment="1">
      <alignment horizontal="right"/>
    </xf>
    <xf numFmtId="187" fontId="2" fillId="0" borderId="0" xfId="0" applyNumberFormat="1" applyFont="1"/>
    <xf numFmtId="37" fontId="57" fillId="0" borderId="0" xfId="1" applyNumberFormat="1" applyFont="1" applyFill="1" applyBorder="1" applyAlignment="1" applyProtection="1">
      <alignment horizontal="right"/>
      <protection locked="0"/>
    </xf>
    <xf numFmtId="43" fontId="27" fillId="0" borderId="0" xfId="9" applyFont="1" applyFill="1" applyBorder="1" applyProtection="1">
      <protection locked="0"/>
    </xf>
    <xf numFmtId="43" fontId="52" fillId="0" borderId="0" xfId="9" applyFont="1" applyFill="1" applyBorder="1" applyAlignment="1" applyProtection="1">
      <alignment horizontal="left"/>
      <protection locked="0"/>
    </xf>
    <xf numFmtId="43" fontId="32" fillId="0" borderId="0" xfId="9" applyFont="1" applyFill="1" applyBorder="1" applyAlignment="1" applyProtection="1">
      <alignment horizontal="left"/>
      <protection locked="0"/>
    </xf>
    <xf numFmtId="43" fontId="52" fillId="0" borderId="0" xfId="9" applyFont="1"/>
    <xf numFmtId="43" fontId="29" fillId="0" borderId="0" xfId="9" applyFont="1" applyAlignment="1">
      <alignment horizontal="left"/>
    </xf>
    <xf numFmtId="43" fontId="3" fillId="0" borderId="0" xfId="9" applyFont="1"/>
    <xf numFmtId="43" fontId="2" fillId="0" borderId="0" xfId="9" applyFont="1" applyAlignment="1">
      <alignment horizontal="left" indent="1"/>
    </xf>
    <xf numFmtId="43" fontId="32" fillId="0" borderId="0" xfId="9" applyFont="1" applyAlignment="1">
      <alignment horizontal="left" indent="1"/>
    </xf>
    <xf numFmtId="43" fontId="3" fillId="0" borderId="7" xfId="9" applyFont="1" applyBorder="1"/>
    <xf numFmtId="43" fontId="3" fillId="0" borderId="0" xfId="9" applyFont="1" applyBorder="1"/>
    <xf numFmtId="43" fontId="32" fillId="0" borderId="0" xfId="9" applyFont="1" applyAlignment="1">
      <alignment horizontal="left"/>
    </xf>
    <xf numFmtId="43" fontId="33" fillId="0" borderId="0" xfId="9" applyFont="1" applyFill="1" applyBorder="1" applyProtection="1">
      <protection locked="0"/>
    </xf>
    <xf numFmtId="43" fontId="44" fillId="0" borderId="0" xfId="9" quotePrefix="1" applyFont="1" applyAlignment="1">
      <alignment horizontal="left"/>
    </xf>
    <xf numFmtId="43" fontId="44" fillId="0" borderId="0" xfId="9" applyFont="1" applyAlignment="1">
      <alignment horizontal="left"/>
    </xf>
    <xf numFmtId="43" fontId="2" fillId="0" borderId="0" xfId="9" applyFont="1" applyBorder="1" applyAlignment="1">
      <alignment horizontal="left" indent="1"/>
    </xf>
    <xf numFmtId="43" fontId="2" fillId="0" borderId="0" xfId="9" applyFont="1" applyBorder="1" applyAlignment="1">
      <alignment horizontal="left"/>
    </xf>
    <xf numFmtId="43" fontId="32" fillId="0" borderId="7" xfId="9" applyFont="1" applyBorder="1"/>
    <xf numFmtId="43" fontId="2" fillId="0" borderId="7" xfId="9" applyFont="1" applyFill="1" applyBorder="1"/>
    <xf numFmtId="43" fontId="2" fillId="0" borderId="0" xfId="9" applyFont="1" applyFill="1" applyBorder="1" applyAlignment="1">
      <alignment horizontal="left" indent="1"/>
    </xf>
    <xf numFmtId="43" fontId="2" fillId="0" borderId="7" xfId="9" applyFont="1" applyBorder="1" applyAlignment="1">
      <alignment horizontal="left"/>
    </xf>
    <xf numFmtId="43" fontId="3" fillId="0" borderId="0" xfId="9" applyFont="1" applyAlignment="1">
      <alignment horizontal="left"/>
    </xf>
    <xf numFmtId="43" fontId="2" fillId="0" borderId="0" xfId="9" applyFont="1" applyAlignment="1">
      <alignment horizontal="left" indent="2"/>
    </xf>
    <xf numFmtId="43" fontId="3" fillId="0" borderId="0" xfId="9" applyFont="1" applyAlignment="1">
      <alignment horizontal="left" indent="1"/>
    </xf>
    <xf numFmtId="43" fontId="0" fillId="0" borderId="7" xfId="9" applyFont="1" applyBorder="1" applyAlignment="1">
      <alignment horizontal="left"/>
    </xf>
    <xf numFmtId="43" fontId="3" fillId="0" borderId="7" xfId="9" applyFont="1" applyBorder="1" applyAlignment="1">
      <alignment horizontal="left"/>
    </xf>
    <xf numFmtId="43" fontId="2" fillId="0" borderId="7" xfId="9" applyFont="1" applyBorder="1"/>
    <xf numFmtId="43" fontId="33" fillId="0" borderId="0" xfId="9" applyFont="1" applyAlignment="1">
      <alignment horizontal="left" indent="1"/>
    </xf>
    <xf numFmtId="43" fontId="27" fillId="0" borderId="0" xfId="9" applyFont="1"/>
    <xf numFmtId="43" fontId="29" fillId="2" borderId="7" xfId="9" applyFont="1" applyFill="1" applyBorder="1" applyAlignment="1">
      <alignment horizontal="left"/>
    </xf>
    <xf numFmtId="43" fontId="54" fillId="0" borderId="0" xfId="9" applyFont="1" applyFill="1" applyBorder="1" applyAlignment="1" applyProtection="1">
      <alignment horizontal="left" indent="1"/>
      <protection locked="0"/>
    </xf>
    <xf numFmtId="43" fontId="54" fillId="2" borderId="0" xfId="9" applyFont="1" applyFill="1" applyBorder="1" applyAlignment="1" applyProtection="1">
      <alignment horizontal="left" indent="1"/>
      <protection locked="0"/>
    </xf>
    <xf numFmtId="43" fontId="52" fillId="0" borderId="0" xfId="9" applyFont="1" applyAlignment="1">
      <alignment horizontal="left" indent="1"/>
    </xf>
    <xf numFmtId="43" fontId="29" fillId="0" borderId="7" xfId="9" applyFont="1" applyBorder="1" applyAlignment="1">
      <alignment horizontal="left"/>
    </xf>
    <xf numFmtId="43" fontId="40" fillId="7" borderId="30" xfId="9" applyFont="1" applyFill="1" applyBorder="1"/>
    <xf numFmtId="43" fontId="29" fillId="0" borderId="19" xfId="9" applyFont="1" applyBorder="1" applyAlignment="1">
      <alignment horizontal="left"/>
    </xf>
    <xf numFmtId="43" fontId="29" fillId="0" borderId="19" xfId="9" applyFont="1" applyBorder="1" applyAlignment="1">
      <alignment horizontal="left" indent="1"/>
    </xf>
    <xf numFmtId="43" fontId="52" fillId="0" borderId="21" xfId="9" applyFont="1" applyFill="1" applyBorder="1" applyAlignment="1" applyProtection="1">
      <alignment horizontal="left" indent="1"/>
      <protection locked="0"/>
    </xf>
    <xf numFmtId="43" fontId="54" fillId="0" borderId="19" xfId="9" applyFont="1" applyFill="1" applyBorder="1" applyAlignment="1" applyProtection="1">
      <alignment horizontal="left" indent="2"/>
      <protection locked="0"/>
    </xf>
    <xf numFmtId="43" fontId="54" fillId="0" borderId="19" xfId="9" applyFont="1" applyFill="1" applyBorder="1" applyAlignment="1" applyProtection="1">
      <alignment horizontal="left" indent="3"/>
      <protection locked="0"/>
    </xf>
    <xf numFmtId="43" fontId="33" fillId="0" borderId="19" xfId="9" applyFont="1" applyFill="1" applyBorder="1" applyAlignment="1" applyProtection="1">
      <alignment horizontal="left" indent="3"/>
      <protection locked="0"/>
    </xf>
    <xf numFmtId="43" fontId="52" fillId="0" borderId="19" xfId="9" applyFont="1" applyBorder="1" applyAlignment="1">
      <alignment horizontal="left" indent="1"/>
    </xf>
    <xf numFmtId="43" fontId="29" fillId="0" borderId="21" xfId="9" applyFont="1" applyBorder="1" applyAlignment="1">
      <alignment horizontal="left" indent="1"/>
    </xf>
    <xf numFmtId="43" fontId="29" fillId="0" borderId="19" xfId="9" applyFont="1" applyFill="1" applyBorder="1" applyAlignment="1" applyProtection="1">
      <alignment horizontal="left" indent="1"/>
      <protection locked="0"/>
    </xf>
    <xf numFmtId="43" fontId="33" fillId="0" borderId="19" xfId="9" applyFont="1" applyFill="1" applyBorder="1" applyAlignment="1" applyProtection="1">
      <alignment horizontal="left" indent="2"/>
      <protection locked="0"/>
    </xf>
    <xf numFmtId="43" fontId="33" fillId="0" borderId="19" xfId="9" applyFont="1" applyFill="1" applyBorder="1" applyAlignment="1" applyProtection="1">
      <alignment horizontal="left" indent="1"/>
      <protection locked="0"/>
    </xf>
    <xf numFmtId="43" fontId="54" fillId="0" borderId="23" xfId="9" applyFont="1" applyFill="1" applyBorder="1" applyAlignment="1" applyProtection="1">
      <alignment horizontal="left" indent="2"/>
      <protection locked="0"/>
    </xf>
    <xf numFmtId="43" fontId="52" fillId="0" borderId="21" xfId="9" applyFont="1" applyBorder="1" applyAlignment="1">
      <alignment horizontal="left" indent="1"/>
    </xf>
    <xf numFmtId="43" fontId="52" fillId="0" borderId="19" xfId="9" applyFont="1" applyFill="1" applyBorder="1" applyAlignment="1" applyProtection="1">
      <alignment horizontal="left" indent="2"/>
      <protection locked="0"/>
    </xf>
    <xf numFmtId="43" fontId="56" fillId="0" borderId="15" xfId="9" applyFont="1" applyFill="1" applyBorder="1" applyProtection="1">
      <protection locked="0"/>
    </xf>
    <xf numFmtId="43" fontId="56" fillId="0" borderId="19" xfId="9" applyFont="1" applyFill="1" applyBorder="1" applyProtection="1">
      <protection locked="0"/>
    </xf>
    <xf numFmtId="43" fontId="29" fillId="0" borderId="21" xfId="9" applyFont="1" applyFill="1" applyBorder="1" applyAlignment="1" applyProtection="1">
      <alignment horizontal="left" indent="1"/>
      <protection locked="0"/>
    </xf>
    <xf numFmtId="43" fontId="52" fillId="0" borderId="19" xfId="9" applyFont="1" applyFill="1" applyBorder="1" applyAlignment="1" applyProtection="1">
      <alignment horizontal="left" indent="1"/>
      <protection locked="0"/>
    </xf>
    <xf numFmtId="43" fontId="54" fillId="0" borderId="19" xfId="9" applyFont="1" applyBorder="1" applyAlignment="1">
      <alignment horizontal="left" indent="2"/>
    </xf>
    <xf numFmtId="43" fontId="54" fillId="0" borderId="19" xfId="9" applyFont="1" applyFill="1" applyBorder="1" applyProtection="1">
      <protection locked="0"/>
    </xf>
    <xf numFmtId="43" fontId="54" fillId="0" borderId="23" xfId="9" applyFont="1" applyFill="1" applyBorder="1" applyProtection="1">
      <protection locked="0"/>
    </xf>
    <xf numFmtId="43" fontId="33" fillId="0" borderId="0" xfId="9" applyFont="1" applyFill="1" applyBorder="1" applyAlignment="1" applyProtection="1">
      <alignment horizontal="left" indent="1"/>
      <protection locked="0"/>
    </xf>
    <xf numFmtId="43" fontId="52" fillId="2" borderId="0" xfId="9" applyFont="1" applyFill="1"/>
    <xf numFmtId="9" fontId="23" fillId="0" borderId="8" xfId="1" applyFont="1" applyFill="1" applyBorder="1" applyAlignment="1" applyProtection="1">
      <alignment horizontal="right"/>
      <protection locked="0"/>
    </xf>
    <xf numFmtId="173" fontId="23" fillId="0" borderId="8" xfId="8" applyNumberFormat="1" applyFont="1" applyBorder="1">
      <protection locked="0"/>
    </xf>
    <xf numFmtId="9" fontId="23" fillId="0" borderId="8" xfId="1" applyFont="1" applyFill="1" applyBorder="1" applyProtection="1">
      <protection locked="0"/>
    </xf>
    <xf numFmtId="9" fontId="23" fillId="0" borderId="0" xfId="1" applyFont="1" applyFill="1" applyBorder="1" applyAlignment="1" applyProtection="1">
      <protection locked="0"/>
    </xf>
    <xf numFmtId="174" fontId="45" fillId="4" borderId="9" xfId="1" applyNumberFormat="1" applyFont="1" applyFill="1" applyBorder="1" applyAlignment="1"/>
    <xf numFmtId="9" fontId="2" fillId="4" borderId="9" xfId="1" applyFont="1" applyFill="1" applyBorder="1"/>
    <xf numFmtId="187" fontId="24" fillId="2" borderId="0" xfId="9" applyNumberFormat="1" applyFont="1" applyFill="1" applyBorder="1" applyProtection="1">
      <protection locked="0"/>
    </xf>
    <xf numFmtId="187" fontId="23" fillId="4" borderId="10" xfId="9" applyNumberFormat="1" applyFont="1" applyFill="1" applyBorder="1" applyAlignment="1">
      <alignment horizontal="right"/>
    </xf>
    <xf numFmtId="9" fontId="24" fillId="0" borderId="0" xfId="8" applyNumberFormat="1" applyFont="1">
      <protection locked="0"/>
    </xf>
    <xf numFmtId="9" fontId="32" fillId="0" borderId="0" xfId="1" quotePrefix="1" applyFont="1" applyFill="1" applyBorder="1" applyAlignment="1" applyProtection="1">
      <protection locked="0"/>
    </xf>
    <xf numFmtId="9" fontId="32" fillId="4" borderId="10" xfId="1" applyFont="1" applyFill="1" applyBorder="1" applyAlignment="1"/>
    <xf numFmtId="175" fontId="32" fillId="0" borderId="0" xfId="0" applyNumberFormat="1" applyFont="1"/>
    <xf numFmtId="187" fontId="24" fillId="0" borderId="0" xfId="9" applyNumberFormat="1" applyFont="1" applyAlignment="1" applyProtection="1">
      <alignment horizontal="right"/>
      <protection locked="0"/>
    </xf>
    <xf numFmtId="187" fontId="57" fillId="0" borderId="0" xfId="9" applyNumberFormat="1" applyFont="1" applyProtection="1">
      <protection locked="0"/>
    </xf>
    <xf numFmtId="187" fontId="57" fillId="0" borderId="0" xfId="9" applyNumberFormat="1" applyFont="1" applyAlignment="1" applyProtection="1">
      <alignment horizontal="right"/>
      <protection locked="0"/>
    </xf>
    <xf numFmtId="9" fontId="32" fillId="0" borderId="0" xfId="9" applyNumberFormat="1" applyFont="1" applyProtection="1">
      <protection locked="0"/>
    </xf>
    <xf numFmtId="9" fontId="32" fillId="0" borderId="0" xfId="9" applyNumberFormat="1" applyFont="1" applyAlignment="1" applyProtection="1">
      <alignment horizontal="right"/>
      <protection locked="0"/>
    </xf>
    <xf numFmtId="9" fontId="32" fillId="4" borderId="10" xfId="9" applyNumberFormat="1" applyFont="1" applyFill="1" applyBorder="1" applyAlignment="1">
      <alignment horizontal="right"/>
    </xf>
    <xf numFmtId="39" fontId="4" fillId="2" borderId="0" xfId="0" applyNumberFormat="1" applyFont="1" applyFill="1"/>
    <xf numFmtId="0" fontId="40" fillId="0" borderId="0" xfId="0" applyFont="1"/>
    <xf numFmtId="0" fontId="33" fillId="0" borderId="0" xfId="0" applyFont="1"/>
    <xf numFmtId="9" fontId="31" fillId="0" borderId="0" xfId="8" applyNumberFormat="1" applyFont="1">
      <protection locked="0"/>
    </xf>
    <xf numFmtId="9" fontId="41" fillId="0" borderId="0" xfId="1" quotePrefix="1" applyFont="1" applyFill="1" applyBorder="1" applyAlignment="1" applyProtection="1">
      <alignment horizontal="right"/>
      <protection locked="0"/>
    </xf>
    <xf numFmtId="9" fontId="37" fillId="3" borderId="0" xfId="7" applyNumberFormat="1" applyFont="1" applyFill="1" applyAlignment="1">
      <alignment horizontal="right" vertical="center"/>
    </xf>
    <xf numFmtId="9" fontId="33" fillId="3" borderId="0" xfId="7" applyNumberFormat="1" applyFont="1" applyFill="1" applyAlignment="1">
      <alignment horizontal="right" vertical="center"/>
    </xf>
    <xf numFmtId="0" fontId="0" fillId="2" borderId="0" xfId="0" applyFill="1"/>
    <xf numFmtId="9" fontId="24" fillId="2" borderId="0" xfId="1" applyFont="1" applyFill="1" applyBorder="1" applyAlignment="1" applyProtection="1">
      <alignment horizontal="right"/>
      <protection locked="0"/>
    </xf>
    <xf numFmtId="43" fontId="44" fillId="0" borderId="0" xfId="9" applyFont="1" applyAlignment="1">
      <alignment horizontal="left" indent="2"/>
    </xf>
    <xf numFmtId="0" fontId="4" fillId="2" borderId="0" xfId="0" applyFont="1" applyFill="1"/>
    <xf numFmtId="9" fontId="4" fillId="0" borderId="0" xfId="0" applyNumberFormat="1" applyFont="1"/>
    <xf numFmtId="9" fontId="4" fillId="2" borderId="0" xfId="1" applyFont="1" applyFill="1"/>
    <xf numFmtId="0" fontId="2" fillId="0" borderId="19" xfId="0" applyFont="1" applyBorder="1"/>
    <xf numFmtId="2" fontId="4" fillId="0" borderId="0" xfId="9" applyNumberFormat="1" applyFont="1"/>
    <xf numFmtId="187" fontId="4" fillId="0" borderId="0" xfId="9" applyNumberFormat="1" applyFont="1" applyAlignment="1">
      <alignment horizontal="left"/>
    </xf>
    <xf numFmtId="9" fontId="68" fillId="0" borderId="0" xfId="1" applyFont="1" applyFill="1" applyBorder="1" applyProtection="1">
      <protection locked="0"/>
    </xf>
    <xf numFmtId="9" fontId="4" fillId="0" borderId="0" xfId="1" applyFont="1" applyFill="1" applyBorder="1"/>
    <xf numFmtId="9" fontId="4" fillId="0" borderId="0" xfId="1" applyFont="1" applyFill="1" applyBorder="1" applyAlignment="1">
      <alignment horizontal="right"/>
    </xf>
    <xf numFmtId="0" fontId="4" fillId="0" borderId="0" xfId="0" applyFont="1" applyAlignment="1">
      <alignment horizontal="right"/>
    </xf>
    <xf numFmtId="37" fontId="40" fillId="0" borderId="0" xfId="0" applyNumberFormat="1" applyFont="1" applyAlignment="1">
      <alignment horizontal="right"/>
    </xf>
    <xf numFmtId="37" fontId="59" fillId="0" borderId="0" xfId="7" applyNumberFormat="1" applyFont="1"/>
    <xf numFmtId="1" fontId="4" fillId="0" borderId="0" xfId="0" applyNumberFormat="1" applyFont="1"/>
    <xf numFmtId="187" fontId="4" fillId="0" borderId="0" xfId="9" applyNumberFormat="1" applyFont="1" applyFill="1" applyBorder="1"/>
    <xf numFmtId="9" fontId="69" fillId="0" borderId="0" xfId="1" applyFont="1" applyFill="1" applyBorder="1" applyProtection="1">
      <protection locked="0"/>
    </xf>
    <xf numFmtId="1" fontId="68" fillId="0" borderId="0" xfId="1" applyNumberFormat="1" applyFont="1" applyFill="1" applyBorder="1" applyProtection="1">
      <protection locked="0"/>
    </xf>
    <xf numFmtId="0" fontId="30" fillId="0" borderId="0" xfId="7" applyFont="1" applyAlignment="1">
      <alignment vertical="center"/>
    </xf>
    <xf numFmtId="187" fontId="27" fillId="0" borderId="8" xfId="9" quotePrefix="1" applyNumberFormat="1" applyFont="1" applyFill="1" applyBorder="1" applyAlignment="1" applyProtection="1">
      <alignment horizontal="right"/>
      <protection locked="0"/>
    </xf>
    <xf numFmtId="43" fontId="23" fillId="0" borderId="0" xfId="9" applyFont="1" applyFill="1" applyBorder="1" applyAlignment="1" applyProtection="1">
      <alignment horizontal="right"/>
      <protection locked="0"/>
    </xf>
    <xf numFmtId="43" fontId="23" fillId="0" borderId="0" xfId="1" applyNumberFormat="1" applyFont="1" applyFill="1" applyBorder="1" applyAlignment="1" applyProtection="1">
      <alignment horizontal="right"/>
      <protection locked="0"/>
    </xf>
    <xf numFmtId="187" fontId="69" fillId="0" borderId="0" xfId="9" applyNumberFormat="1" applyFont="1" applyFill="1" applyBorder="1" applyProtection="1">
      <protection locked="0"/>
    </xf>
    <xf numFmtId="187" fontId="29" fillId="0" borderId="21" xfId="9" applyNumberFormat="1" applyFont="1" applyFill="1" applyBorder="1" applyAlignment="1" applyProtection="1">
      <alignment horizontal="left" indent="1"/>
      <protection locked="0"/>
    </xf>
    <xf numFmtId="187" fontId="27" fillId="0" borderId="8" xfId="9" applyNumberFormat="1" applyFont="1" applyFill="1" applyBorder="1" applyAlignment="1" applyProtection="1">
      <alignment horizontal="right"/>
      <protection locked="0"/>
    </xf>
    <xf numFmtId="187" fontId="54" fillId="0" borderId="19" xfId="9" applyNumberFormat="1" applyFont="1" applyFill="1" applyBorder="1" applyAlignment="1" applyProtection="1">
      <alignment horizontal="left" indent="2"/>
      <protection locked="0"/>
    </xf>
    <xf numFmtId="187" fontId="68" fillId="0" borderId="0" xfId="9" applyNumberFormat="1" applyFont="1" applyFill="1" applyBorder="1" applyProtection="1">
      <protection locked="0"/>
    </xf>
    <xf numFmtId="187" fontId="32" fillId="6" borderId="22" xfId="9" applyNumberFormat="1" applyFont="1" applyFill="1" applyBorder="1" applyAlignment="1">
      <alignment horizontal="right"/>
    </xf>
    <xf numFmtId="187" fontId="32" fillId="6" borderId="10" xfId="1" applyNumberFormat="1" applyFont="1" applyFill="1" applyBorder="1" applyAlignment="1">
      <alignment horizontal="right"/>
    </xf>
    <xf numFmtId="187" fontId="27" fillId="6" borderId="22" xfId="1" applyNumberFormat="1" applyFont="1" applyFill="1" applyBorder="1" applyAlignment="1">
      <alignment horizontal="right"/>
    </xf>
    <xf numFmtId="187" fontId="32" fillId="6" borderId="20" xfId="1" applyNumberFormat="1" applyFont="1" applyFill="1" applyBorder="1" applyAlignment="1">
      <alignment horizontal="right"/>
    </xf>
    <xf numFmtId="187" fontId="23" fillId="6" borderId="10" xfId="9" applyNumberFormat="1" applyFont="1" applyFill="1" applyBorder="1"/>
    <xf numFmtId="187" fontId="23" fillId="0" borderId="0" xfId="1" quotePrefix="1" applyNumberFormat="1" applyFont="1" applyFill="1" applyBorder="1" applyAlignment="1" applyProtection="1">
      <alignment horizontal="right"/>
      <protection locked="0"/>
    </xf>
    <xf numFmtId="187" fontId="52" fillId="0" borderId="0" xfId="1" applyNumberFormat="1" applyFont="1" applyFill="1" applyBorder="1" applyAlignment="1" applyProtection="1">
      <alignment horizontal="right"/>
      <protection locked="0"/>
    </xf>
    <xf numFmtId="187" fontId="23" fillId="2" borderId="0" xfId="9" applyNumberFormat="1" applyFont="1" applyFill="1" applyBorder="1" applyAlignment="1" applyProtection="1">
      <alignment horizontal="right"/>
      <protection locked="0"/>
    </xf>
    <xf numFmtId="9" fontId="32" fillId="6" borderId="20" xfId="9" applyNumberFormat="1" applyFont="1" applyFill="1" applyBorder="1"/>
    <xf numFmtId="37" fontId="27" fillId="6" borderId="9" xfId="1" applyNumberFormat="1" applyFont="1" applyFill="1" applyBorder="1" applyAlignment="1"/>
    <xf numFmtId="9" fontId="4" fillId="0" borderId="0" xfId="9" applyNumberFormat="1" applyFont="1"/>
    <xf numFmtId="9" fontId="52" fillId="0" borderId="0" xfId="9" applyNumberFormat="1" applyFont="1"/>
    <xf numFmtId="187" fontId="58" fillId="0" borderId="8" xfId="9" quotePrefix="1" applyNumberFormat="1" applyFont="1" applyFill="1" applyBorder="1" applyAlignment="1" applyProtection="1">
      <protection locked="0"/>
    </xf>
    <xf numFmtId="43" fontId="29" fillId="2" borderId="0" xfId="9" applyFont="1" applyFill="1" applyAlignment="1">
      <alignment horizontal="left"/>
    </xf>
    <xf numFmtId="39" fontId="45" fillId="2" borderId="0" xfId="8" applyNumberFormat="1" applyFont="1" applyFill="1">
      <protection locked="0"/>
    </xf>
    <xf numFmtId="0" fontId="29" fillId="11" borderId="0" xfId="0" applyFont="1" applyFill="1"/>
    <xf numFmtId="0" fontId="3" fillId="2" borderId="0" xfId="0" applyFont="1" applyFill="1"/>
    <xf numFmtId="187" fontId="57" fillId="0" borderId="8" xfId="9" quotePrefix="1" applyNumberFormat="1" applyFont="1" applyFill="1" applyBorder="1" applyAlignment="1" applyProtection="1">
      <alignment horizontal="right"/>
      <protection locked="0"/>
    </xf>
    <xf numFmtId="187" fontId="57" fillId="0" borderId="8" xfId="9" applyNumberFormat="1" applyFont="1" applyFill="1" applyBorder="1" applyAlignment="1" applyProtection="1">
      <alignment horizontal="right"/>
      <protection locked="0"/>
    </xf>
    <xf numFmtId="187" fontId="58" fillId="6" borderId="22" xfId="9" applyNumberFormat="1" applyFont="1" applyFill="1" applyBorder="1" applyAlignment="1">
      <alignment horizontal="right"/>
    </xf>
    <xf numFmtId="187" fontId="52" fillId="0" borderId="21" xfId="9" applyNumberFormat="1" applyFont="1" applyFill="1" applyBorder="1" applyAlignment="1" applyProtection="1">
      <alignment horizontal="left" indent="1"/>
      <protection locked="0"/>
    </xf>
    <xf numFmtId="187" fontId="27" fillId="6" borderId="11" xfId="9" applyNumberFormat="1" applyFont="1" applyFill="1" applyBorder="1" applyAlignment="1"/>
    <xf numFmtId="187" fontId="58" fillId="6" borderId="11" xfId="9" applyNumberFormat="1" applyFont="1" applyFill="1" applyBorder="1" applyAlignment="1"/>
    <xf numFmtId="7" fontId="32" fillId="0" borderId="0" xfId="9" applyNumberFormat="1" applyFont="1" applyFill="1" applyBorder="1" applyAlignment="1" applyProtection="1">
      <alignment horizontal="right"/>
      <protection locked="0"/>
    </xf>
    <xf numFmtId="7" fontId="32" fillId="6" borderId="10" xfId="9" applyNumberFormat="1" applyFont="1" applyFill="1" applyBorder="1"/>
    <xf numFmtId="7" fontId="32" fillId="0" borderId="0" xfId="9" quotePrefix="1" applyNumberFormat="1" applyFont="1" applyFill="1" applyBorder="1" applyAlignment="1" applyProtection="1">
      <alignment horizontal="right"/>
      <protection locked="0"/>
    </xf>
    <xf numFmtId="7" fontId="32" fillId="6" borderId="20" xfId="9" applyNumberFormat="1" applyFont="1" applyFill="1" applyBorder="1"/>
    <xf numFmtId="7" fontId="32" fillId="0" borderId="0" xfId="9" applyNumberFormat="1" applyFont="1"/>
    <xf numFmtId="193" fontId="4" fillId="0" borderId="0" xfId="0" applyNumberFormat="1" applyFont="1"/>
    <xf numFmtId="193" fontId="23" fillId="0" borderId="0" xfId="1" quotePrefix="1" applyNumberFormat="1" applyFont="1" applyFill="1" applyBorder="1" applyAlignment="1" applyProtection="1">
      <alignment horizontal="right"/>
      <protection locked="0"/>
    </xf>
    <xf numFmtId="193" fontId="23" fillId="0" borderId="0" xfId="1" applyNumberFormat="1" applyFont="1" applyFill="1" applyBorder="1" applyAlignment="1" applyProtection="1">
      <alignment horizontal="right"/>
      <protection locked="0"/>
    </xf>
    <xf numFmtId="193" fontId="23" fillId="6" borderId="10" xfId="1" applyNumberFormat="1" applyFont="1" applyFill="1" applyBorder="1" applyAlignment="1">
      <alignment horizontal="right"/>
    </xf>
    <xf numFmtId="193" fontId="32" fillId="6" borderId="10" xfId="1" applyNumberFormat="1" applyFont="1" applyFill="1" applyBorder="1" applyAlignment="1">
      <alignment horizontal="right"/>
    </xf>
    <xf numFmtId="193" fontId="32" fillId="0" borderId="0" xfId="1" applyNumberFormat="1" applyFont="1" applyFill="1" applyBorder="1" applyAlignment="1" applyProtection="1">
      <alignment horizontal="right"/>
      <protection locked="0"/>
    </xf>
    <xf numFmtId="193" fontId="32" fillId="0" borderId="0" xfId="1" quotePrefix="1" applyNumberFormat="1" applyFont="1" applyFill="1" applyBorder="1" applyAlignment="1" applyProtection="1">
      <alignment horizontal="right"/>
      <protection locked="0"/>
    </xf>
    <xf numFmtId="193" fontId="32" fillId="6" borderId="20" xfId="1" applyNumberFormat="1" applyFont="1" applyFill="1" applyBorder="1" applyAlignment="1">
      <alignment horizontal="right"/>
    </xf>
    <xf numFmtId="193" fontId="52" fillId="0" borderId="0" xfId="0" applyNumberFormat="1" applyFont="1"/>
    <xf numFmtId="37" fontId="32" fillId="6" borderId="10" xfId="1" applyNumberFormat="1" applyFont="1" applyFill="1" applyBorder="1" applyAlignment="1"/>
    <xf numFmtId="9" fontId="32" fillId="6" borderId="10" xfId="1" applyFont="1" applyFill="1" applyBorder="1" applyAlignment="1"/>
    <xf numFmtId="187" fontId="57" fillId="6" borderId="11" xfId="9" applyNumberFormat="1" applyFont="1" applyFill="1" applyBorder="1" applyAlignment="1">
      <alignment horizontal="right"/>
    </xf>
    <xf numFmtId="187" fontId="57" fillId="6" borderId="22" xfId="9" applyNumberFormat="1" applyFont="1" applyFill="1" applyBorder="1" applyAlignment="1">
      <alignment horizontal="right"/>
    </xf>
    <xf numFmtId="187" fontId="32" fillId="0" borderId="21" xfId="9" applyNumberFormat="1" applyFont="1" applyFill="1" applyBorder="1" applyAlignment="1" applyProtection="1">
      <alignment horizontal="left" indent="1"/>
      <protection locked="0"/>
    </xf>
    <xf numFmtId="43" fontId="4" fillId="0" borderId="0" xfId="9" applyFont="1"/>
    <xf numFmtId="187" fontId="33" fillId="0" borderId="0" xfId="9" quotePrefix="1" applyNumberFormat="1" applyFont="1" applyFill="1" applyBorder="1" applyAlignment="1" applyProtection="1">
      <alignment horizontal="right"/>
      <protection locked="0"/>
    </xf>
    <xf numFmtId="187" fontId="32" fillId="0" borderId="0" xfId="9" quotePrefix="1" applyNumberFormat="1" applyFont="1" applyFill="1" applyBorder="1" applyAlignment="1" applyProtection="1">
      <protection locked="0"/>
    </xf>
    <xf numFmtId="187" fontId="32" fillId="6" borderId="10" xfId="9" applyNumberFormat="1" applyFont="1" applyFill="1" applyBorder="1" applyAlignment="1"/>
    <xf numFmtId="187" fontId="27" fillId="6" borderId="10" xfId="9" applyNumberFormat="1" applyFont="1" applyFill="1" applyBorder="1" applyAlignment="1"/>
    <xf numFmtId="37" fontId="52" fillId="6" borderId="20" xfId="1" applyNumberFormat="1" applyFont="1" applyFill="1" applyBorder="1" applyAlignment="1"/>
    <xf numFmtId="9" fontId="23" fillId="6" borderId="10" xfId="1" applyFont="1" applyFill="1" applyBorder="1" applyAlignment="1"/>
    <xf numFmtId="43" fontId="29" fillId="2" borderId="21" xfId="9" applyFont="1" applyFill="1" applyBorder="1" applyAlignment="1">
      <alignment horizontal="left" indent="1"/>
    </xf>
    <xf numFmtId="37" fontId="57" fillId="0" borderId="33" xfId="1" quotePrefix="1" applyNumberFormat="1" applyFont="1" applyFill="1" applyBorder="1" applyAlignment="1" applyProtection="1">
      <protection locked="0"/>
    </xf>
    <xf numFmtId="37" fontId="58" fillId="6" borderId="33" xfId="1" applyNumberFormat="1" applyFont="1" applyFill="1" applyBorder="1" applyAlignment="1"/>
    <xf numFmtId="9" fontId="57" fillId="0" borderId="13" xfId="1" applyFont="1" applyFill="1" applyBorder="1" applyAlignment="1" applyProtection="1">
      <alignment horizontal="right"/>
      <protection locked="0"/>
    </xf>
    <xf numFmtId="9" fontId="57" fillId="6" borderId="13" xfId="1" applyFont="1" applyFill="1" applyBorder="1" applyAlignment="1">
      <alignment horizontal="right"/>
    </xf>
    <xf numFmtId="187" fontId="52" fillId="2" borderId="21" xfId="9" applyNumberFormat="1" applyFont="1" applyFill="1" applyBorder="1" applyAlignment="1">
      <alignment horizontal="left" indent="1"/>
    </xf>
    <xf numFmtId="187" fontId="32" fillId="0" borderId="8" xfId="9" applyNumberFormat="1" applyFont="1" applyFill="1" applyBorder="1" applyProtection="1">
      <protection locked="0"/>
    </xf>
    <xf numFmtId="187" fontId="32" fillId="0" borderId="33" xfId="9" applyNumberFormat="1" applyFont="1" applyFill="1" applyBorder="1" applyAlignment="1" applyProtection="1">
      <alignment horizontal="right"/>
      <protection locked="0"/>
    </xf>
    <xf numFmtId="187" fontId="32" fillId="6" borderId="33" xfId="9" applyNumberFormat="1" applyFont="1" applyFill="1" applyBorder="1"/>
    <xf numFmtId="187" fontId="32" fillId="6" borderId="37" xfId="9" applyNumberFormat="1" applyFont="1" applyFill="1" applyBorder="1"/>
    <xf numFmtId="187" fontId="23" fillId="0" borderId="33" xfId="9" applyNumberFormat="1" applyFont="1" applyFill="1" applyBorder="1" applyAlignment="1" applyProtection="1">
      <alignment horizontal="right"/>
      <protection locked="0"/>
    </xf>
    <xf numFmtId="187" fontId="29" fillId="2" borderId="21" xfId="9" applyNumberFormat="1" applyFont="1" applyFill="1" applyBorder="1" applyAlignment="1">
      <alignment horizontal="left" indent="1"/>
    </xf>
    <xf numFmtId="187" fontId="23" fillId="0" borderId="8" xfId="9" applyNumberFormat="1" applyFont="1" applyFill="1" applyBorder="1" applyProtection="1">
      <protection locked="0"/>
    </xf>
    <xf numFmtId="187" fontId="27" fillId="6" borderId="33" xfId="9" applyNumberFormat="1" applyFont="1" applyFill="1" applyBorder="1"/>
    <xf numFmtId="9" fontId="32" fillId="0" borderId="34" xfId="1" applyFont="1" applyFill="1" applyBorder="1" applyProtection="1">
      <protection locked="0"/>
    </xf>
    <xf numFmtId="43" fontId="29" fillId="0" borderId="0" xfId="9" applyFont="1" applyAlignment="1" applyProtection="1">
      <alignment horizontal="center"/>
      <protection locked="0"/>
    </xf>
    <xf numFmtId="43" fontId="29" fillId="6" borderId="10" xfId="9" applyFont="1" applyFill="1" applyBorder="1" applyAlignment="1" applyProtection="1">
      <alignment horizontal="center"/>
      <protection locked="0"/>
    </xf>
    <xf numFmtId="43" fontId="52" fillId="0" borderId="0" xfId="8" applyNumberFormat="1" applyFont="1">
      <protection locked="0"/>
    </xf>
    <xf numFmtId="9" fontId="30" fillId="0" borderId="0" xfId="1" applyFont="1" applyFill="1" applyBorder="1"/>
    <xf numFmtId="9" fontId="33" fillId="0" borderId="13" xfId="1" applyFont="1" applyFill="1" applyBorder="1" applyAlignment="1" applyProtection="1">
      <alignment horizontal="right"/>
      <protection locked="0"/>
    </xf>
    <xf numFmtId="9" fontId="33" fillId="6" borderId="13" xfId="1" applyFont="1" applyFill="1" applyBorder="1"/>
    <xf numFmtId="9" fontId="33" fillId="6" borderId="27" xfId="1" applyFont="1" applyFill="1" applyBorder="1"/>
    <xf numFmtId="43" fontId="33" fillId="0" borderId="13" xfId="9" applyFont="1" applyFill="1" applyBorder="1" applyAlignment="1" applyProtection="1">
      <alignment horizontal="right"/>
      <protection locked="0"/>
    </xf>
    <xf numFmtId="43" fontId="33" fillId="6" borderId="13" xfId="9" applyFont="1" applyFill="1" applyBorder="1"/>
    <xf numFmtId="43" fontId="54" fillId="0" borderId="0" xfId="9" applyFont="1" applyProtection="1">
      <protection locked="0"/>
    </xf>
    <xf numFmtId="9" fontId="32" fillId="2" borderId="0" xfId="1" applyFont="1" applyFill="1" applyBorder="1" applyProtection="1">
      <protection locked="0"/>
    </xf>
    <xf numFmtId="9" fontId="32" fillId="12" borderId="0" xfId="1" applyFont="1" applyFill="1" applyBorder="1" applyProtection="1">
      <protection locked="0"/>
    </xf>
    <xf numFmtId="9" fontId="32" fillId="12" borderId="0" xfId="1" applyFont="1" applyFill="1" applyBorder="1" applyAlignment="1" applyProtection="1">
      <alignment horizontal="right"/>
      <protection locked="0"/>
    </xf>
    <xf numFmtId="9" fontId="32" fillId="12" borderId="13" xfId="1" applyFont="1" applyFill="1" applyBorder="1" applyAlignment="1" applyProtection="1">
      <alignment horizontal="right"/>
      <protection locked="0"/>
    </xf>
    <xf numFmtId="187" fontId="32" fillId="0" borderId="24" xfId="1" applyNumberFormat="1" applyFont="1" applyFill="1" applyBorder="1" applyAlignment="1" applyProtection="1">
      <alignment horizontal="right"/>
      <protection locked="0"/>
    </xf>
    <xf numFmtId="43" fontId="32" fillId="0" borderId="25" xfId="9" applyFont="1" applyFill="1" applyBorder="1" applyAlignment="1" applyProtection="1">
      <alignment horizontal="right"/>
      <protection locked="0"/>
    </xf>
    <xf numFmtId="175" fontId="32" fillId="0" borderId="13" xfId="1" applyNumberFormat="1" applyFont="1" applyFill="1" applyBorder="1" applyAlignment="1" applyProtection="1">
      <alignment horizontal="right"/>
      <protection locked="0"/>
    </xf>
    <xf numFmtId="9" fontId="32" fillId="0" borderId="8" xfId="1" applyFont="1" applyFill="1" applyBorder="1" applyAlignment="1" applyProtection="1">
      <protection locked="0"/>
    </xf>
    <xf numFmtId="9" fontId="32" fillId="4" borderId="11" xfId="1" applyFont="1" applyFill="1" applyBorder="1" applyAlignment="1" applyProtection="1">
      <alignment horizontal="center"/>
      <protection locked="0"/>
    </xf>
    <xf numFmtId="9" fontId="32" fillId="6" borderId="11" xfId="1" applyFont="1" applyFill="1" applyBorder="1"/>
    <xf numFmtId="175" fontId="32" fillId="0" borderId="0" xfId="1" quotePrefix="1" applyNumberFormat="1" applyFont="1" applyFill="1" applyBorder="1" applyAlignment="1" applyProtection="1">
      <alignment horizontal="right"/>
      <protection locked="0"/>
    </xf>
    <xf numFmtId="175" fontId="32" fillId="6" borderId="10" xfId="1" applyNumberFormat="1" applyFont="1" applyFill="1" applyBorder="1"/>
    <xf numFmtId="7" fontId="32" fillId="13" borderId="10" xfId="9" applyNumberFormat="1" applyFont="1" applyFill="1" applyBorder="1" applyAlignment="1" applyProtection="1">
      <alignment horizontal="right"/>
      <protection locked="0"/>
    </xf>
    <xf numFmtId="9" fontId="32" fillId="14" borderId="10" xfId="1" applyFont="1" applyFill="1" applyBorder="1"/>
    <xf numFmtId="9" fontId="32" fillId="14" borderId="10" xfId="1" applyFont="1" applyFill="1" applyBorder="1" applyAlignment="1">
      <alignment horizontal="right"/>
    </xf>
    <xf numFmtId="187" fontId="23" fillId="14" borderId="10" xfId="9" applyNumberFormat="1" applyFont="1" applyFill="1" applyBorder="1" applyAlignment="1">
      <alignment horizontal="right"/>
    </xf>
    <xf numFmtId="187" fontId="32" fillId="14" borderId="10" xfId="9" applyNumberFormat="1" applyFont="1" applyFill="1" applyBorder="1" applyAlignment="1">
      <alignment horizontal="right"/>
    </xf>
    <xf numFmtId="187" fontId="32" fillId="0" borderId="13" xfId="9" applyNumberFormat="1" applyFont="1" applyFill="1" applyBorder="1" applyProtection="1">
      <protection locked="0"/>
    </xf>
    <xf numFmtId="187" fontId="23" fillId="6" borderId="13" xfId="9" applyNumberFormat="1" applyFont="1" applyFill="1" applyBorder="1"/>
    <xf numFmtId="187" fontId="32" fillId="4" borderId="10" xfId="9" applyNumberFormat="1" applyFont="1" applyFill="1" applyBorder="1"/>
    <xf numFmtId="37" fontId="4" fillId="0" borderId="0" xfId="0" applyNumberFormat="1" applyFont="1" applyAlignment="1">
      <alignment horizontal="left"/>
    </xf>
    <xf numFmtId="37" fontId="32" fillId="0" borderId="0" xfId="0" applyNumberFormat="1" applyFont="1" applyAlignment="1">
      <alignment horizontal="right"/>
    </xf>
    <xf numFmtId="37" fontId="30" fillId="0" borderId="0" xfId="0" applyNumberFormat="1" applyFont="1"/>
    <xf numFmtId="37" fontId="44" fillId="0" borderId="0" xfId="0" applyNumberFormat="1" applyFont="1"/>
    <xf numFmtId="187" fontId="23" fillId="2" borderId="8" xfId="9" applyNumberFormat="1" applyFont="1" applyFill="1" applyBorder="1" applyAlignment="1" applyProtection="1">
      <alignment horizontal="right"/>
      <protection locked="0"/>
    </xf>
    <xf numFmtId="9" fontId="23" fillId="0" borderId="0" xfId="1" quotePrefix="1" applyFont="1" applyFill="1" applyBorder="1" applyAlignment="1" applyProtection="1">
      <protection locked="0"/>
    </xf>
    <xf numFmtId="9" fontId="23" fillId="5" borderId="0" xfId="1" quotePrefix="1" applyFont="1" applyFill="1" applyBorder="1" applyAlignment="1" applyProtection="1">
      <protection locked="0"/>
    </xf>
    <xf numFmtId="9" fontId="23" fillId="2" borderId="0" xfId="1" quotePrefix="1" applyFont="1" applyFill="1" applyBorder="1" applyAlignment="1" applyProtection="1">
      <protection locked="0"/>
    </xf>
    <xf numFmtId="187" fontId="27" fillId="0" borderId="7" xfId="9" applyNumberFormat="1" applyFont="1" applyBorder="1" applyAlignment="1">
      <alignment horizontal="left"/>
    </xf>
    <xf numFmtId="9" fontId="32" fillId="0" borderId="0" xfId="9" applyNumberFormat="1" applyFont="1"/>
    <xf numFmtId="9" fontId="27" fillId="0" borderId="0" xfId="9" quotePrefix="1" applyNumberFormat="1" applyFont="1" applyFill="1" applyBorder="1" applyAlignment="1" applyProtection="1">
      <protection locked="0"/>
    </xf>
    <xf numFmtId="9" fontId="27" fillId="6" borderId="10" xfId="9" applyNumberFormat="1" applyFont="1" applyFill="1" applyBorder="1" applyAlignment="1"/>
    <xf numFmtId="9" fontId="32" fillId="0" borderId="0" xfId="9" quotePrefix="1" applyNumberFormat="1" applyFont="1" applyFill="1" applyBorder="1" applyAlignment="1" applyProtection="1">
      <protection locked="0"/>
    </xf>
    <xf numFmtId="9" fontId="32" fillId="6" borderId="10" xfId="9" applyNumberFormat="1" applyFont="1" applyFill="1" applyBorder="1" applyAlignment="1"/>
    <xf numFmtId="43" fontId="52" fillId="6" borderId="10" xfId="9" applyFont="1" applyFill="1" applyBorder="1"/>
    <xf numFmtId="43" fontId="52" fillId="6" borderId="20" xfId="9" applyFont="1" applyFill="1" applyBorder="1"/>
    <xf numFmtId="43" fontId="52" fillId="0" borderId="0" xfId="1" quotePrefix="1" applyNumberFormat="1" applyFont="1" applyFill="1" applyBorder="1" applyAlignment="1" applyProtection="1">
      <alignment horizontal="center"/>
      <protection locked="0"/>
    </xf>
    <xf numFmtId="43" fontId="52" fillId="0" borderId="0" xfId="1" applyNumberFormat="1" applyFont="1" applyFill="1" applyBorder="1" applyAlignment="1" applyProtection="1">
      <alignment horizontal="right"/>
      <protection locked="0"/>
    </xf>
    <xf numFmtId="175" fontId="52" fillId="0" borderId="0" xfId="1" applyNumberFormat="1" applyFont="1" applyFill="1" applyBorder="1" applyAlignment="1" applyProtection="1">
      <alignment horizontal="right"/>
      <protection locked="0"/>
    </xf>
    <xf numFmtId="43" fontId="32" fillId="6" borderId="10" xfId="9" applyFont="1" applyFill="1" applyBorder="1"/>
    <xf numFmtId="9" fontId="32" fillId="0" borderId="7" xfId="1" quotePrefix="1" applyFont="1" applyFill="1" applyBorder="1" applyAlignment="1" applyProtection="1">
      <alignment horizontal="right"/>
      <protection locked="0"/>
    </xf>
    <xf numFmtId="37" fontId="23" fillId="11" borderId="8" xfId="1" applyNumberFormat="1" applyFont="1" applyFill="1" applyBorder="1" applyAlignment="1"/>
    <xf numFmtId="175" fontId="32" fillId="0" borderId="0" xfId="1" applyNumberFormat="1" applyFont="1" applyFill="1" applyBorder="1" applyAlignment="1" applyProtection="1">
      <alignment horizontal="right"/>
      <protection locked="0"/>
    </xf>
    <xf numFmtId="43" fontId="52" fillId="2" borderId="0" xfId="9" applyFont="1" applyFill="1" applyBorder="1" applyAlignment="1" applyProtection="1">
      <alignment horizontal="right"/>
      <protection locked="0"/>
    </xf>
    <xf numFmtId="10" fontId="32" fillId="0" borderId="0" xfId="9" applyNumberFormat="1" applyFont="1" applyFill="1" applyBorder="1" applyAlignment="1" applyProtection="1">
      <alignment horizontal="right"/>
      <protection locked="0"/>
    </xf>
    <xf numFmtId="37" fontId="23" fillId="2" borderId="0" xfId="1" applyNumberFormat="1" applyFont="1" applyFill="1" applyBorder="1" applyAlignment="1" applyProtection="1">
      <alignment horizontal="right"/>
      <protection locked="0"/>
    </xf>
    <xf numFmtId="9" fontId="54" fillId="2" borderId="0" xfId="1" applyFont="1" applyFill="1" applyBorder="1" applyAlignment="1" applyProtection="1">
      <alignment horizontal="left" indent="2"/>
      <protection locked="0"/>
    </xf>
    <xf numFmtId="187" fontId="32" fillId="0" borderId="0" xfId="9" applyNumberFormat="1" applyFont="1" applyProtection="1">
      <protection locked="0"/>
    </xf>
    <xf numFmtId="187" fontId="32" fillId="2" borderId="0" xfId="9" applyNumberFormat="1" applyFont="1" applyFill="1" applyProtection="1">
      <protection locked="0"/>
    </xf>
    <xf numFmtId="187" fontId="3" fillId="0" borderId="8" xfId="9" applyNumberFormat="1" applyFont="1" applyFill="1" applyBorder="1"/>
    <xf numFmtId="187" fontId="3" fillId="0" borderId="0" xfId="9" applyNumberFormat="1" applyFont="1" applyFill="1" applyBorder="1"/>
    <xf numFmtId="187" fontId="27" fillId="0" borderId="8" xfId="9" applyNumberFormat="1" applyFont="1" applyFill="1" applyBorder="1"/>
    <xf numFmtId="187" fontId="27" fillId="4" borderId="11" xfId="9" applyNumberFormat="1" applyFont="1" applyFill="1" applyBorder="1" applyAlignment="1">
      <alignment horizontal="right"/>
    </xf>
    <xf numFmtId="187" fontId="24" fillId="0" borderId="0" xfId="9" quotePrefix="1" applyNumberFormat="1" applyFont="1" applyFill="1" applyBorder="1" applyAlignment="1" applyProtection="1">
      <alignment horizontal="center"/>
      <protection locked="0"/>
    </xf>
    <xf numFmtId="187" fontId="27" fillId="4" borderId="10" xfId="9" applyNumberFormat="1" applyFont="1" applyFill="1" applyBorder="1" applyAlignment="1">
      <alignment horizontal="right"/>
    </xf>
    <xf numFmtId="187" fontId="32" fillId="0" borderId="0" xfId="9" quotePrefix="1" applyNumberFormat="1" applyFont="1" applyFill="1" applyBorder="1" applyAlignment="1" applyProtection="1">
      <alignment horizontal="center"/>
      <protection locked="0"/>
    </xf>
    <xf numFmtId="187" fontId="24" fillId="0" borderId="0" xfId="9" quotePrefix="1" applyNumberFormat="1" applyFont="1" applyFill="1" applyBorder="1" applyAlignment="1" applyProtection="1">
      <alignment horizontal="right"/>
      <protection locked="0"/>
    </xf>
    <xf numFmtId="187" fontId="23" fillId="0" borderId="0" xfId="9" quotePrefix="1" applyNumberFormat="1" applyFont="1" applyFill="1" applyBorder="1" applyAlignment="1" applyProtection="1">
      <protection locked="0"/>
    </xf>
    <xf numFmtId="187" fontId="23" fillId="0" borderId="0" xfId="9" applyNumberFormat="1" applyFont="1" applyAlignment="1" applyProtection="1">
      <protection locked="0"/>
    </xf>
    <xf numFmtId="187" fontId="3" fillId="0" borderId="8" xfId="9" applyNumberFormat="1" applyFont="1" applyFill="1" applyBorder="1" applyAlignment="1"/>
    <xf numFmtId="187" fontId="27" fillId="0" borderId="8" xfId="9" applyNumberFormat="1" applyFont="1" applyFill="1" applyBorder="1" applyAlignment="1">
      <alignment horizontal="right"/>
    </xf>
    <xf numFmtId="187" fontId="3" fillId="0" borderId="0" xfId="9" applyNumberFormat="1" applyFont="1" applyFill="1" applyBorder="1" applyAlignment="1"/>
    <xf numFmtId="187" fontId="27" fillId="0" borderId="0" xfId="9" applyNumberFormat="1" applyFont="1" applyFill="1" applyBorder="1" applyAlignment="1">
      <alignment horizontal="right"/>
    </xf>
    <xf numFmtId="187" fontId="42" fillId="0" borderId="0" xfId="9" quotePrefix="1" applyNumberFormat="1" applyFont="1" applyFill="1" applyBorder="1" applyAlignment="1" applyProtection="1">
      <alignment horizontal="right"/>
      <protection locked="0"/>
    </xf>
    <xf numFmtId="187" fontId="42" fillId="0" borderId="0" xfId="9" quotePrefix="1" applyNumberFormat="1" applyFont="1" applyFill="1" applyBorder="1" applyAlignment="1" applyProtection="1">
      <protection locked="0"/>
    </xf>
    <xf numFmtId="187" fontId="2" fillId="0" borderId="0" xfId="9" quotePrefix="1" applyNumberFormat="1" applyFont="1" applyFill="1" applyBorder="1" applyAlignment="1" applyProtection="1">
      <alignment horizontal="right"/>
      <protection locked="0"/>
    </xf>
    <xf numFmtId="187" fontId="45" fillId="0" borderId="0" xfId="9" applyNumberFormat="1" applyFont="1" applyProtection="1">
      <protection locked="0"/>
    </xf>
    <xf numFmtId="187" fontId="45" fillId="0" borderId="0" xfId="9" applyNumberFormat="1" applyFont="1" applyFill="1" applyBorder="1" applyAlignment="1" applyProtection="1">
      <alignment horizontal="right"/>
      <protection locked="0"/>
    </xf>
    <xf numFmtId="187" fontId="23" fillId="0" borderId="0" xfId="9" applyNumberFormat="1" applyFont="1" applyBorder="1" applyProtection="1">
      <protection locked="0"/>
    </xf>
    <xf numFmtId="187" fontId="57" fillId="0" borderId="0" xfId="9" applyNumberFormat="1" applyFont="1" applyBorder="1" applyProtection="1">
      <protection locked="0"/>
    </xf>
    <xf numFmtId="187" fontId="57" fillId="0" borderId="13" xfId="9" applyNumberFormat="1" applyFont="1" applyBorder="1" applyProtection="1">
      <protection locked="0"/>
    </xf>
    <xf numFmtId="187" fontId="57" fillId="0" borderId="14" xfId="9" applyNumberFormat="1" applyFont="1" applyBorder="1" applyProtection="1">
      <protection locked="0"/>
    </xf>
    <xf numFmtId="187" fontId="23" fillId="2" borderId="0" xfId="9" applyNumberFormat="1" applyFont="1" applyFill="1" applyProtection="1">
      <protection locked="0"/>
    </xf>
    <xf numFmtId="187" fontId="57" fillId="2" borderId="0" xfId="9" applyNumberFormat="1" applyFont="1" applyFill="1" applyProtection="1">
      <protection locked="0"/>
    </xf>
    <xf numFmtId="187" fontId="3" fillId="4" borderId="11" xfId="9" applyNumberFormat="1" applyFont="1" applyFill="1" applyBorder="1"/>
    <xf numFmtId="187" fontId="23" fillId="0" borderId="0" xfId="9" quotePrefix="1" applyNumberFormat="1" applyFont="1" applyFill="1" applyBorder="1" applyAlignment="1" applyProtection="1">
      <alignment horizontal="center"/>
      <protection locked="0"/>
    </xf>
    <xf numFmtId="187" fontId="43" fillId="0" borderId="0" xfId="9" applyNumberFormat="1" applyFont="1" applyProtection="1">
      <protection locked="0"/>
    </xf>
    <xf numFmtId="187" fontId="32" fillId="0" borderId="0" xfId="9" applyNumberFormat="1" applyFont="1" applyFill="1" applyProtection="1">
      <protection locked="0"/>
    </xf>
    <xf numFmtId="169" fontId="22" fillId="2" borderId="0" xfId="8" applyNumberFormat="1" applyFont="1" applyFill="1" applyAlignment="1">
      <alignment horizontal="center"/>
      <protection locked="0"/>
    </xf>
    <xf numFmtId="187" fontId="23" fillId="2" borderId="0" xfId="9" applyNumberFormat="1" applyFont="1" applyFill="1" applyAlignment="1" applyProtection="1">
      <alignment horizontal="right"/>
      <protection locked="0"/>
    </xf>
    <xf numFmtId="187" fontId="3" fillId="0" borderId="0" xfId="9" applyNumberFormat="1" applyFont="1"/>
    <xf numFmtId="187" fontId="22" fillId="0" borderId="0" xfId="9" applyNumberFormat="1" applyFont="1" applyAlignment="1" applyProtection="1">
      <alignment horizontal="center"/>
      <protection locked="0"/>
    </xf>
    <xf numFmtId="187" fontId="22" fillId="4" borderId="10" xfId="9" applyNumberFormat="1" applyFont="1" applyFill="1" applyBorder="1" applyAlignment="1" applyProtection="1">
      <alignment horizontal="center"/>
      <protection locked="0"/>
    </xf>
    <xf numFmtId="187" fontId="57" fillId="4" borderId="10" xfId="9" applyNumberFormat="1" applyFont="1" applyFill="1" applyBorder="1"/>
    <xf numFmtId="0" fontId="22" fillId="2" borderId="0" xfId="8" applyFont="1" applyFill="1" applyAlignment="1">
      <alignment horizontal="right"/>
      <protection locked="0"/>
    </xf>
    <xf numFmtId="0" fontId="54" fillId="15" borderId="0" xfId="8" applyFont="1" applyFill="1" applyAlignment="1">
      <alignment horizontal="center"/>
      <protection locked="0"/>
    </xf>
    <xf numFmtId="0" fontId="54" fillId="9" borderId="0" xfId="8" applyFont="1" applyFill="1">
      <protection locked="0"/>
    </xf>
    <xf numFmtId="0" fontId="56" fillId="9" borderId="0" xfId="8" applyFont="1" applyFill="1" applyAlignment="1">
      <alignment horizontal="right"/>
      <protection locked="0"/>
    </xf>
    <xf numFmtId="0" fontId="54" fillId="9" borderId="0" xfId="8" applyFont="1" applyFill="1" applyAlignment="1">
      <alignment horizontal="center"/>
      <protection locked="0"/>
    </xf>
    <xf numFmtId="9" fontId="23" fillId="10" borderId="0" xfId="1" quotePrefix="1" applyFont="1" applyFill="1" applyBorder="1" applyAlignment="1" applyProtection="1">
      <alignment horizontal="right"/>
      <protection locked="0"/>
    </xf>
    <xf numFmtId="9" fontId="23" fillId="10" borderId="0" xfId="1" applyFont="1" applyFill="1" applyBorder="1" applyAlignment="1" applyProtection="1">
      <alignment horizontal="right"/>
      <protection locked="0"/>
    </xf>
    <xf numFmtId="9" fontId="23" fillId="10" borderId="0" xfId="1" quotePrefix="1" applyFont="1" applyFill="1" applyBorder="1" applyAlignment="1" applyProtection="1">
      <protection locked="0"/>
    </xf>
    <xf numFmtId="187" fontId="52" fillId="0" borderId="0" xfId="1" quotePrefix="1" applyNumberFormat="1" applyFont="1" applyFill="1" applyBorder="1" applyAlignment="1" applyProtection="1">
      <alignment horizontal="right"/>
      <protection locked="0"/>
    </xf>
    <xf numFmtId="187" fontId="29" fillId="2" borderId="7" xfId="9" applyNumberFormat="1" applyFont="1" applyFill="1" applyBorder="1"/>
    <xf numFmtId="7" fontId="52" fillId="2" borderId="0" xfId="1" applyNumberFormat="1" applyFont="1" applyFill="1" applyBorder="1" applyAlignment="1" applyProtection="1">
      <alignment horizontal="right"/>
      <protection locked="0"/>
    </xf>
    <xf numFmtId="167" fontId="26" fillId="2" borderId="0" xfId="7" applyNumberFormat="1" applyFont="1" applyFill="1" applyAlignment="1">
      <alignment horizontal="centerContinuous" vertical="top"/>
    </xf>
    <xf numFmtId="0" fontId="22" fillId="2" borderId="0" xfId="8" applyFont="1" applyFill="1" applyAlignment="1">
      <alignment horizontal="center"/>
      <protection locked="0"/>
    </xf>
    <xf numFmtId="169" fontId="29" fillId="2" borderId="0" xfId="8" applyNumberFormat="1" applyFont="1" applyFill="1" applyAlignment="1">
      <alignment horizontal="center"/>
      <protection locked="0"/>
    </xf>
    <xf numFmtId="9" fontId="52" fillId="2" borderId="0" xfId="1" quotePrefix="1" applyFont="1" applyFill="1" applyBorder="1" applyAlignment="1" applyProtection="1">
      <alignment horizontal="center"/>
      <protection locked="0"/>
    </xf>
    <xf numFmtId="187" fontId="28" fillId="2" borderId="8" xfId="9" quotePrefix="1" applyNumberFormat="1" applyFont="1" applyFill="1" applyBorder="1" applyAlignment="1" applyProtection="1">
      <protection locked="0"/>
    </xf>
    <xf numFmtId="187" fontId="27" fillId="2" borderId="8" xfId="9" quotePrefix="1" applyNumberFormat="1" applyFont="1" applyFill="1" applyBorder="1" applyAlignment="1" applyProtection="1">
      <protection locked="0"/>
    </xf>
    <xf numFmtId="0" fontId="54" fillId="2" borderId="0" xfId="8" applyFont="1" applyFill="1" applyAlignment="1">
      <alignment horizontal="center"/>
      <protection locked="0"/>
    </xf>
    <xf numFmtId="0" fontId="54" fillId="2" borderId="0" xfId="8" applyFont="1" applyFill="1">
      <protection locked="0"/>
    </xf>
    <xf numFmtId="0" fontId="56" fillId="2" borderId="0" xfId="8" applyFont="1" applyFill="1" applyAlignment="1">
      <alignment horizontal="right"/>
      <protection locked="0"/>
    </xf>
    <xf numFmtId="187" fontId="52" fillId="0" borderId="0" xfId="9" applyNumberFormat="1" applyFont="1" applyAlignment="1">
      <alignment horizontal="left" indent="1"/>
    </xf>
    <xf numFmtId="187" fontId="29" fillId="0" borderId="0" xfId="9" applyNumberFormat="1" applyFont="1" applyAlignment="1" applyProtection="1">
      <alignment horizontal="center"/>
      <protection locked="0"/>
    </xf>
    <xf numFmtId="187" fontId="29" fillId="6" borderId="10" xfId="9" applyNumberFormat="1" applyFont="1" applyFill="1" applyBorder="1" applyAlignment="1" applyProtection="1">
      <alignment horizontal="center"/>
      <protection locked="0"/>
    </xf>
    <xf numFmtId="187" fontId="29" fillId="2" borderId="0" xfId="9" applyNumberFormat="1" applyFont="1" applyFill="1" applyAlignment="1" applyProtection="1">
      <alignment horizontal="center"/>
      <protection locked="0"/>
    </xf>
    <xf numFmtId="187" fontId="57" fillId="0" borderId="0" xfId="9" applyNumberFormat="1" applyFont="1" applyAlignment="1" applyProtection="1">
      <alignment horizontal="center"/>
      <protection locked="0"/>
    </xf>
    <xf numFmtId="187" fontId="57" fillId="6" borderId="10" xfId="9" applyNumberFormat="1" applyFont="1" applyFill="1" applyBorder="1" applyAlignment="1" applyProtection="1">
      <alignment horizontal="center"/>
      <protection locked="0"/>
    </xf>
    <xf numFmtId="187" fontId="29" fillId="0" borderId="0" xfId="9" applyNumberFormat="1" applyFont="1" applyBorder="1"/>
    <xf numFmtId="187" fontId="28" fillId="0" borderId="0" xfId="9" quotePrefix="1" applyNumberFormat="1" applyFont="1" applyFill="1" applyBorder="1" applyAlignment="1" applyProtection="1">
      <protection locked="0"/>
    </xf>
    <xf numFmtId="187" fontId="29" fillId="6" borderId="10" xfId="9" applyNumberFormat="1" applyFont="1" applyFill="1" applyBorder="1" applyAlignment="1"/>
    <xf numFmtId="187" fontId="28" fillId="2" borderId="0" xfId="9" quotePrefix="1" applyNumberFormat="1" applyFont="1" applyFill="1" applyBorder="1" applyAlignment="1" applyProtection="1">
      <protection locked="0"/>
    </xf>
    <xf numFmtId="187" fontId="27" fillId="0" borderId="0" xfId="9" quotePrefix="1" applyNumberFormat="1" applyFont="1" applyFill="1" applyBorder="1" applyAlignment="1" applyProtection="1">
      <protection locked="0"/>
    </xf>
    <xf numFmtId="187" fontId="29" fillId="2" borderId="0" xfId="9" applyNumberFormat="1" applyFont="1" applyFill="1" applyBorder="1"/>
    <xf numFmtId="43" fontId="27" fillId="0" borderId="0" xfId="9" applyFont="1" applyFill="1" applyBorder="1" applyAlignment="1" applyProtection="1">
      <alignment horizontal="left"/>
      <protection locked="0"/>
    </xf>
    <xf numFmtId="43" fontId="29" fillId="0" borderId="0" xfId="9" applyFont="1"/>
    <xf numFmtId="187" fontId="52" fillId="2" borderId="0" xfId="9" applyNumberFormat="1" applyFont="1" applyFill="1" applyBorder="1"/>
    <xf numFmtId="187" fontId="57" fillId="0" borderId="0" xfId="9" quotePrefix="1" applyNumberFormat="1" applyFont="1" applyFill="1" applyBorder="1" applyAlignment="1" applyProtection="1">
      <protection locked="0"/>
    </xf>
    <xf numFmtId="187" fontId="57" fillId="6" borderId="10" xfId="9" applyNumberFormat="1" applyFont="1" applyFill="1" applyBorder="1" applyAlignment="1"/>
    <xf numFmtId="187" fontId="57" fillId="2" borderId="0" xfId="9" quotePrefix="1" applyNumberFormat="1" applyFont="1" applyFill="1" applyBorder="1" applyAlignment="1" applyProtection="1">
      <protection locked="0"/>
    </xf>
    <xf numFmtId="43" fontId="27" fillId="2" borderId="0" xfId="9" applyFont="1" applyFill="1"/>
    <xf numFmtId="187" fontId="24" fillId="0" borderId="0" xfId="9" applyNumberFormat="1" applyFont="1" applyProtection="1">
      <protection locked="0"/>
    </xf>
    <xf numFmtId="187" fontId="3" fillId="0" borderId="7" xfId="9" applyNumberFormat="1" applyFont="1" applyBorder="1"/>
    <xf numFmtId="187" fontId="57" fillId="4" borderId="10" xfId="9" applyNumberFormat="1" applyFont="1" applyFill="1" applyBorder="1" applyAlignment="1" applyProtection="1">
      <alignment horizontal="center"/>
      <protection locked="0"/>
    </xf>
    <xf numFmtId="187" fontId="52" fillId="2" borderId="0" xfId="9" applyNumberFormat="1" applyFont="1" applyFill="1" applyBorder="1" applyAlignment="1">
      <alignment horizontal="left" indent="1"/>
    </xf>
    <xf numFmtId="2" fontId="32" fillId="0" borderId="0" xfId="9" applyNumberFormat="1" applyFont="1"/>
    <xf numFmtId="187" fontId="27" fillId="2" borderId="7" xfId="9" applyNumberFormat="1" applyFont="1" applyFill="1" applyBorder="1"/>
    <xf numFmtId="187" fontId="27" fillId="0" borderId="0" xfId="9" applyNumberFormat="1" applyFont="1"/>
    <xf numFmtId="43" fontId="52" fillId="6" borderId="10" xfId="9" applyFont="1" applyFill="1" applyBorder="1" applyAlignment="1">
      <alignment horizontal="right"/>
    </xf>
    <xf numFmtId="43" fontId="24" fillId="2" borderId="0" xfId="9" applyFont="1" applyFill="1" applyBorder="1" applyAlignment="1" applyProtection="1">
      <alignment horizontal="right"/>
      <protection locked="0"/>
    </xf>
    <xf numFmtId="43" fontId="24" fillId="0" borderId="0" xfId="9" applyFont="1" applyFill="1" applyBorder="1" applyAlignment="1" applyProtection="1">
      <alignment horizontal="right"/>
      <protection locked="0"/>
    </xf>
    <xf numFmtId="43" fontId="2" fillId="4" borderId="10" xfId="9" applyFont="1" applyFill="1" applyBorder="1" applyAlignment="1">
      <alignment horizontal="right"/>
    </xf>
    <xf numFmtId="43" fontId="54" fillId="0" borderId="0" xfId="9" applyFont="1" applyFill="1" applyBorder="1" applyAlignment="1" applyProtection="1">
      <alignment horizontal="left" indent="2"/>
      <protection locked="0"/>
    </xf>
    <xf numFmtId="43" fontId="32" fillId="0" borderId="0" xfId="9" applyFont="1" applyFill="1" applyBorder="1" applyAlignment="1" applyProtection="1">
      <protection locked="0"/>
    </xf>
    <xf numFmtId="43" fontId="32" fillId="4" borderId="10" xfId="9" applyFont="1" applyFill="1" applyBorder="1" applyAlignment="1" applyProtection="1">
      <alignment horizontal="center"/>
      <protection locked="0"/>
    </xf>
    <xf numFmtId="43" fontId="32" fillId="2" borderId="0" xfId="9" quotePrefix="1" applyFont="1" applyFill="1" applyBorder="1" applyAlignment="1" applyProtection="1">
      <alignment horizontal="right"/>
      <protection locked="0"/>
    </xf>
    <xf numFmtId="43" fontId="32" fillId="2" borderId="0" xfId="9" applyFont="1" applyFill="1" applyBorder="1" applyAlignment="1" applyProtection="1">
      <alignment horizontal="right"/>
      <protection locked="0"/>
    </xf>
    <xf numFmtId="43" fontId="32" fillId="0" borderId="0" xfId="9" quotePrefix="1" applyFont="1" applyFill="1" applyBorder="1" applyAlignment="1" applyProtection="1">
      <protection locked="0"/>
    </xf>
    <xf numFmtId="43" fontId="32" fillId="2" borderId="0" xfId="9" quotePrefix="1" applyFont="1" applyFill="1" applyBorder="1" applyAlignment="1" applyProtection="1">
      <protection locked="0"/>
    </xf>
    <xf numFmtId="43" fontId="32" fillId="4" borderId="10" xfId="9" applyFont="1" applyFill="1" applyBorder="1" applyAlignment="1">
      <alignment horizontal="right"/>
    </xf>
    <xf numFmtId="43" fontId="23" fillId="2" borderId="0" xfId="9" applyFont="1" applyFill="1" applyBorder="1" applyAlignment="1" applyProtection="1">
      <alignment horizontal="right"/>
      <protection locked="0"/>
    </xf>
    <xf numFmtId="43" fontId="57" fillId="0" borderId="0" xfId="9" applyFont="1" applyFill="1" applyBorder="1" applyAlignment="1" applyProtection="1">
      <alignment horizontal="right"/>
      <protection locked="0"/>
    </xf>
    <xf numFmtId="9" fontId="2" fillId="4" borderId="10" xfId="9" applyNumberFormat="1" applyFont="1" applyFill="1" applyBorder="1" applyAlignment="1">
      <alignment horizontal="right"/>
    </xf>
    <xf numFmtId="43" fontId="30" fillId="0" borderId="0" xfId="9" applyFont="1"/>
    <xf numFmtId="9" fontId="54" fillId="0" borderId="0" xfId="9" applyNumberFormat="1" applyFont="1" applyFill="1" applyBorder="1" applyAlignment="1" applyProtection="1">
      <alignment horizontal="right"/>
      <protection locked="0"/>
    </xf>
    <xf numFmtId="9" fontId="54" fillId="6" borderId="10" xfId="9" applyNumberFormat="1" applyFont="1" applyFill="1" applyBorder="1" applyAlignment="1">
      <alignment horizontal="right"/>
    </xf>
    <xf numFmtId="9" fontId="54" fillId="2" borderId="0" xfId="9" applyNumberFormat="1" applyFont="1" applyFill="1" applyBorder="1" applyAlignment="1" applyProtection="1">
      <alignment horizontal="right"/>
      <protection locked="0"/>
    </xf>
    <xf numFmtId="9" fontId="54" fillId="0" borderId="0" xfId="9" applyNumberFormat="1" applyFont="1"/>
    <xf numFmtId="9" fontId="33" fillId="0" borderId="0" xfId="9" quotePrefix="1" applyNumberFormat="1" applyFont="1" applyFill="1" applyBorder="1" applyAlignment="1" applyProtection="1">
      <alignment horizontal="right"/>
      <protection locked="0"/>
    </xf>
    <xf numFmtId="9" fontId="33" fillId="0" borderId="0" xfId="9" applyNumberFormat="1" applyFont="1" applyFill="1" applyBorder="1" applyAlignment="1" applyProtection="1">
      <protection locked="0"/>
    </xf>
    <xf numFmtId="9" fontId="33" fillId="4" borderId="10" xfId="9" applyNumberFormat="1" applyFont="1" applyFill="1" applyBorder="1" applyAlignment="1" applyProtection="1">
      <alignment horizontal="center"/>
      <protection locked="0"/>
    </xf>
    <xf numFmtId="9" fontId="33" fillId="0" borderId="0" xfId="9" applyNumberFormat="1" applyFont="1" applyFill="1" applyBorder="1" applyAlignment="1" applyProtection="1">
      <alignment horizontal="right"/>
      <protection locked="0"/>
    </xf>
    <xf numFmtId="9" fontId="33" fillId="6" borderId="10" xfId="9" applyNumberFormat="1" applyFont="1" applyFill="1" applyBorder="1"/>
    <xf numFmtId="9" fontId="33" fillId="2" borderId="0" xfId="9" quotePrefix="1" applyNumberFormat="1" applyFont="1" applyFill="1" applyBorder="1" applyAlignment="1" applyProtection="1">
      <alignment horizontal="right"/>
      <protection locked="0"/>
    </xf>
    <xf numFmtId="9" fontId="33" fillId="2" borderId="0" xfId="9" applyNumberFormat="1" applyFont="1" applyFill="1" applyBorder="1" applyAlignment="1" applyProtection="1">
      <alignment horizontal="right"/>
      <protection locked="0"/>
    </xf>
    <xf numFmtId="187" fontId="54" fillId="0" borderId="0" xfId="9" applyNumberFormat="1" applyFont="1" applyFill="1" applyBorder="1" applyAlignment="1" applyProtection="1">
      <alignment horizontal="right"/>
      <protection locked="0"/>
    </xf>
    <xf numFmtId="187" fontId="54" fillId="6" borderId="10" xfId="9" applyNumberFormat="1" applyFont="1" applyFill="1" applyBorder="1" applyAlignment="1">
      <alignment horizontal="right"/>
    </xf>
    <xf numFmtId="187" fontId="54" fillId="0" borderId="0" xfId="9" applyNumberFormat="1" applyFont="1" applyAlignment="1">
      <alignment horizontal="left" indent="2"/>
    </xf>
    <xf numFmtId="187" fontId="4" fillId="0" borderId="0" xfId="9" applyNumberFormat="1" applyFont="1" applyAlignment="1">
      <alignment horizontal="right"/>
    </xf>
    <xf numFmtId="187" fontId="29" fillId="0" borderId="0" xfId="9" applyNumberFormat="1" applyFont="1" applyAlignment="1" applyProtection="1">
      <alignment horizontal="right"/>
      <protection locked="0"/>
    </xf>
    <xf numFmtId="187" fontId="29" fillId="6" borderId="10" xfId="9" applyNumberFormat="1" applyFont="1" applyFill="1" applyBorder="1" applyAlignment="1" applyProtection="1">
      <alignment horizontal="right"/>
      <protection locked="0"/>
    </xf>
    <xf numFmtId="187" fontId="29" fillId="2" borderId="0" xfId="9" applyNumberFormat="1" applyFont="1" applyFill="1" applyAlignment="1" applyProtection="1">
      <alignment horizontal="right"/>
      <protection locked="0"/>
    </xf>
    <xf numFmtId="187" fontId="57" fillId="6" borderId="10" xfId="9" applyNumberFormat="1" applyFont="1" applyFill="1" applyBorder="1" applyAlignment="1" applyProtection="1">
      <alignment horizontal="right"/>
      <protection locked="0"/>
    </xf>
    <xf numFmtId="9" fontId="32" fillId="6" borderId="10" xfId="9" applyNumberFormat="1" applyFont="1" applyFill="1" applyBorder="1" applyAlignment="1" applyProtection="1">
      <alignment horizontal="right"/>
      <protection locked="0"/>
    </xf>
    <xf numFmtId="187" fontId="52" fillId="0" borderId="0" xfId="9" applyNumberFormat="1" applyFont="1" applyAlignment="1">
      <alignment horizontal="right"/>
    </xf>
    <xf numFmtId="187" fontId="32" fillId="2" borderId="0" xfId="9" quotePrefix="1" applyNumberFormat="1" applyFont="1" applyFill="1" applyBorder="1" applyAlignment="1" applyProtection="1">
      <protection locked="0"/>
    </xf>
    <xf numFmtId="43" fontId="52" fillId="2" borderId="0" xfId="9" applyFont="1" applyFill="1" applyBorder="1" applyAlignment="1">
      <alignment horizontal="left" indent="1"/>
    </xf>
    <xf numFmtId="187" fontId="28" fillId="6" borderId="11" xfId="9" applyNumberFormat="1" applyFont="1" applyFill="1" applyBorder="1" applyAlignment="1"/>
    <xf numFmtId="9" fontId="52" fillId="6" borderId="10" xfId="9" applyNumberFormat="1" applyFont="1" applyFill="1" applyBorder="1" applyAlignment="1"/>
    <xf numFmtId="9" fontId="32" fillId="2" borderId="0" xfId="9" quotePrefix="1" applyNumberFormat="1" applyFont="1" applyFill="1" applyBorder="1" applyAlignment="1" applyProtection="1">
      <protection locked="0"/>
    </xf>
    <xf numFmtId="9" fontId="23" fillId="6" borderId="10" xfId="9" applyNumberFormat="1" applyFont="1" applyFill="1" applyBorder="1" applyAlignment="1"/>
    <xf numFmtId="9" fontId="23" fillId="0" borderId="0" xfId="9" quotePrefix="1" applyNumberFormat="1" applyFont="1" applyFill="1" applyBorder="1" applyAlignment="1" applyProtection="1">
      <protection locked="0"/>
    </xf>
    <xf numFmtId="9" fontId="57" fillId="0" borderId="0" xfId="9" quotePrefix="1" applyNumberFormat="1" applyFont="1" applyFill="1" applyBorder="1" applyAlignment="1" applyProtection="1">
      <protection locked="0"/>
    </xf>
    <xf numFmtId="9" fontId="57" fillId="6" borderId="10" xfId="9" applyNumberFormat="1" applyFont="1" applyFill="1" applyBorder="1" applyAlignment="1"/>
    <xf numFmtId="187" fontId="32" fillId="2" borderId="0" xfId="9" applyNumberFormat="1" applyFont="1" applyFill="1" applyBorder="1" applyAlignment="1">
      <alignment horizontal="left" indent="1"/>
    </xf>
    <xf numFmtId="9" fontId="57" fillId="6" borderId="10" xfId="1" applyFont="1" applyFill="1" applyBorder="1" applyAlignment="1">
      <alignment horizontal="right"/>
    </xf>
    <xf numFmtId="187" fontId="32" fillId="6" borderId="10" xfId="9" applyNumberFormat="1" applyFont="1" applyFill="1" applyBorder="1" applyAlignment="1" applyProtection="1">
      <alignment horizontal="right"/>
      <protection locked="0"/>
    </xf>
    <xf numFmtId="187" fontId="58" fillId="2" borderId="8" xfId="9" quotePrefix="1" applyNumberFormat="1" applyFont="1" applyFill="1" applyBorder="1" applyAlignment="1" applyProtection="1">
      <protection locked="0"/>
    </xf>
    <xf numFmtId="9" fontId="27" fillId="0" borderId="8" xfId="9" quotePrefix="1" applyNumberFormat="1" applyFont="1" applyFill="1" applyBorder="1" applyAlignment="1" applyProtection="1">
      <protection locked="0"/>
    </xf>
    <xf numFmtId="9" fontId="27" fillId="6" borderId="11" xfId="9" applyNumberFormat="1" applyFont="1" applyFill="1" applyBorder="1" applyAlignment="1"/>
    <xf numFmtId="187" fontId="32" fillId="4" borderId="11" xfId="9" applyNumberFormat="1" applyFont="1" applyFill="1" applyBorder="1" applyAlignment="1" applyProtection="1">
      <alignment horizontal="center"/>
      <protection locked="0"/>
    </xf>
    <xf numFmtId="187" fontId="32" fillId="6" borderId="11" xfId="9" applyNumberFormat="1" applyFont="1" applyFill="1" applyBorder="1"/>
    <xf numFmtId="187" fontId="32" fillId="0" borderId="0" xfId="9" applyNumberFormat="1" applyFont="1" applyAlignment="1">
      <alignment horizontal="right"/>
    </xf>
    <xf numFmtId="187" fontId="57" fillId="6" borderId="11" xfId="9" applyNumberFormat="1" applyFont="1" applyFill="1" applyBorder="1"/>
    <xf numFmtId="187" fontId="57" fillId="0" borderId="8" xfId="9" applyNumberFormat="1" applyFont="1" applyFill="1" applyBorder="1" applyAlignment="1" applyProtection="1">
      <protection locked="0"/>
    </xf>
    <xf numFmtId="187" fontId="57" fillId="4" borderId="11" xfId="9" applyNumberFormat="1" applyFont="1" applyFill="1" applyBorder="1" applyAlignment="1" applyProtection="1">
      <alignment horizontal="center"/>
      <protection locked="0"/>
    </xf>
    <xf numFmtId="9" fontId="57" fillId="0" borderId="8" xfId="1" quotePrefix="1" applyFont="1" applyFill="1" applyBorder="1" applyAlignment="1" applyProtection="1">
      <alignment horizontal="right"/>
      <protection locked="0"/>
    </xf>
    <xf numFmtId="9" fontId="57" fillId="0" borderId="8" xfId="1" applyFont="1" applyFill="1" applyBorder="1" applyAlignment="1" applyProtection="1">
      <protection locked="0"/>
    </xf>
    <xf numFmtId="9" fontId="57" fillId="4" borderId="11" xfId="1" applyFont="1" applyFill="1" applyBorder="1" applyAlignment="1" applyProtection="1">
      <alignment horizontal="center"/>
      <protection locked="0"/>
    </xf>
    <xf numFmtId="9" fontId="57" fillId="0" borderId="8" xfId="1" applyFont="1" applyFill="1" applyBorder="1" applyAlignment="1" applyProtection="1">
      <alignment horizontal="right"/>
      <protection locked="0"/>
    </xf>
    <xf numFmtId="9" fontId="57" fillId="6" borderId="11" xfId="1" applyFont="1" applyFill="1" applyBorder="1"/>
    <xf numFmtId="43" fontId="32" fillId="0" borderId="15" xfId="9" applyFont="1" applyBorder="1" applyAlignment="1">
      <alignment horizontal="left" indent="1"/>
    </xf>
    <xf numFmtId="9" fontId="32" fillId="0" borderId="16" xfId="1" applyFont="1" applyFill="1" applyBorder="1" applyAlignment="1" applyProtection="1">
      <protection locked="0"/>
    </xf>
    <xf numFmtId="9" fontId="32" fillId="4" borderId="17" xfId="1" applyFont="1" applyFill="1" applyBorder="1" applyAlignment="1" applyProtection="1">
      <alignment horizontal="center"/>
      <protection locked="0"/>
    </xf>
    <xf numFmtId="43" fontId="32" fillId="0" borderId="19" xfId="9" applyFont="1" applyBorder="1" applyAlignment="1">
      <alignment horizontal="left" indent="1"/>
    </xf>
    <xf numFmtId="43" fontId="27" fillId="0" borderId="19" xfId="9" applyFont="1" applyBorder="1"/>
    <xf numFmtId="43" fontId="32" fillId="0" borderId="21" xfId="9" applyFont="1" applyBorder="1" applyAlignment="1">
      <alignment horizontal="left" indent="1"/>
    </xf>
    <xf numFmtId="9" fontId="32" fillId="6" borderId="22" xfId="1" applyFont="1" applyFill="1" applyBorder="1"/>
    <xf numFmtId="43" fontId="33" fillId="0" borderId="19" xfId="9" applyFont="1" applyBorder="1" applyAlignment="1">
      <alignment horizontal="left" indent="1"/>
    </xf>
    <xf numFmtId="9" fontId="27" fillId="4" borderId="20" xfId="1" applyFont="1" applyFill="1" applyBorder="1" applyAlignment="1" applyProtection="1">
      <alignment horizontal="center"/>
      <protection locked="0"/>
    </xf>
    <xf numFmtId="9" fontId="22" fillId="0" borderId="0" xfId="1" applyFont="1" applyBorder="1" applyAlignment="1" applyProtection="1">
      <alignment horizontal="center"/>
      <protection locked="0"/>
    </xf>
    <xf numFmtId="169" fontId="22" fillId="4" borderId="20" xfId="8" applyNumberFormat="1" applyFont="1" applyFill="1" applyBorder="1" applyAlignment="1">
      <alignment horizontal="center"/>
      <protection locked="0"/>
    </xf>
    <xf numFmtId="186" fontId="32" fillId="0" borderId="23" xfId="0" applyNumberFormat="1" applyFont="1" applyBorder="1"/>
    <xf numFmtId="4" fontId="32" fillId="0" borderId="24" xfId="1" quotePrefix="1" applyNumberFormat="1" applyFont="1" applyFill="1" applyBorder="1" applyAlignment="1" applyProtection="1">
      <alignment horizontal="right"/>
      <protection locked="0"/>
    </xf>
    <xf numFmtId="4" fontId="32" fillId="0" borderId="24" xfId="1" applyNumberFormat="1" applyFont="1" applyFill="1" applyBorder="1" applyAlignment="1" applyProtection="1">
      <alignment horizontal="right"/>
      <protection locked="0"/>
    </xf>
    <xf numFmtId="4" fontId="32" fillId="4" borderId="28" xfId="0" applyNumberFormat="1" applyFont="1" applyFill="1" applyBorder="1"/>
    <xf numFmtId="39" fontId="32" fillId="0" borderId="24" xfId="1" quotePrefix="1" applyNumberFormat="1" applyFont="1" applyFill="1" applyBorder="1" applyAlignment="1" applyProtection="1">
      <alignment horizontal="right"/>
      <protection locked="0"/>
    </xf>
    <xf numFmtId="39" fontId="32" fillId="0" borderId="24" xfId="1" applyNumberFormat="1" applyFont="1" applyFill="1" applyBorder="1" applyAlignment="1" applyProtection="1">
      <alignment horizontal="right"/>
      <protection locked="0"/>
    </xf>
    <xf numFmtId="4" fontId="32" fillId="4" borderId="29" xfId="0" applyNumberFormat="1" applyFont="1" applyFill="1" applyBorder="1"/>
    <xf numFmtId="9" fontId="32" fillId="7" borderId="16" xfId="1" quotePrefix="1" applyFont="1" applyFill="1" applyBorder="1" applyAlignment="1" applyProtection="1">
      <alignment horizontal="right"/>
      <protection locked="0"/>
    </xf>
    <xf numFmtId="9" fontId="32" fillId="7" borderId="16" xfId="1" applyFont="1" applyFill="1" applyBorder="1" applyAlignment="1" applyProtection="1">
      <protection locked="0"/>
    </xf>
    <xf numFmtId="9" fontId="32" fillId="7" borderId="16" xfId="1" applyFont="1" applyFill="1" applyBorder="1" applyAlignment="1" applyProtection="1">
      <alignment horizontal="right"/>
      <protection locked="0"/>
    </xf>
    <xf numFmtId="43" fontId="40" fillId="7" borderId="15" xfId="9" applyFont="1" applyFill="1" applyBorder="1" applyAlignment="1">
      <alignment horizontal="left"/>
    </xf>
    <xf numFmtId="187" fontId="32" fillId="0" borderId="21" xfId="9" applyNumberFormat="1" applyFont="1" applyBorder="1" applyAlignment="1">
      <alignment horizontal="left" indent="1"/>
    </xf>
    <xf numFmtId="187" fontId="32" fillId="6" borderId="22" xfId="9" applyNumberFormat="1" applyFont="1" applyFill="1" applyBorder="1"/>
    <xf numFmtId="9" fontId="32" fillId="16" borderId="36" xfId="1" applyFont="1" applyFill="1" applyBorder="1"/>
    <xf numFmtId="9" fontId="32" fillId="7" borderId="31" xfId="1" applyFont="1" applyFill="1" applyBorder="1" applyAlignment="1" applyProtection="1">
      <alignment horizontal="right"/>
      <protection locked="0"/>
    </xf>
    <xf numFmtId="9" fontId="32" fillId="16" borderId="31" xfId="1" applyFont="1" applyFill="1" applyBorder="1"/>
    <xf numFmtId="43" fontId="32" fillId="2" borderId="0" xfId="9" applyFont="1" applyFill="1" applyAlignment="1">
      <alignment horizontal="left" indent="1"/>
    </xf>
    <xf numFmtId="9" fontId="32" fillId="2" borderId="0" xfId="1" applyFont="1" applyFill="1" applyBorder="1" applyAlignment="1" applyProtection="1">
      <protection locked="0"/>
    </xf>
    <xf numFmtId="9" fontId="32" fillId="2" borderId="0" xfId="1" applyFont="1" applyFill="1" applyBorder="1" applyAlignment="1" applyProtection="1">
      <alignment horizontal="center"/>
      <protection locked="0"/>
    </xf>
    <xf numFmtId="9" fontId="32" fillId="11" borderId="0" xfId="1" applyFont="1" applyFill="1" applyBorder="1"/>
    <xf numFmtId="9" fontId="32" fillId="2" borderId="0" xfId="1" applyFont="1" applyFill="1" applyAlignment="1">
      <alignment horizontal="right"/>
    </xf>
    <xf numFmtId="9" fontId="57" fillId="0" borderId="8" xfId="9" quotePrefix="1" applyNumberFormat="1" applyFont="1" applyFill="1" applyBorder="1" applyAlignment="1" applyProtection="1">
      <alignment horizontal="right"/>
      <protection locked="0"/>
    </xf>
    <xf numFmtId="9" fontId="57" fillId="0" borderId="8" xfId="9" applyNumberFormat="1" applyFont="1" applyFill="1" applyBorder="1" applyAlignment="1" applyProtection="1">
      <alignment horizontal="right"/>
      <protection locked="0"/>
    </xf>
    <xf numFmtId="9" fontId="57" fillId="6" borderId="11" xfId="9" applyNumberFormat="1" applyFont="1" applyFill="1" applyBorder="1"/>
    <xf numFmtId="187" fontId="32" fillId="0" borderId="19" xfId="9" applyNumberFormat="1" applyFont="1" applyBorder="1" applyAlignment="1">
      <alignment horizontal="left" indent="1"/>
    </xf>
    <xf numFmtId="187" fontId="32" fillId="0" borderId="0" xfId="9" applyNumberFormat="1" applyFont="1" applyFill="1" applyBorder="1" applyAlignment="1" applyProtection="1">
      <protection locked="0"/>
    </xf>
    <xf numFmtId="9" fontId="23" fillId="4" borderId="10" xfId="1" quotePrefix="1" applyFont="1" applyFill="1" applyBorder="1" applyAlignment="1" applyProtection="1">
      <alignment horizontal="right"/>
      <protection locked="0"/>
    </xf>
    <xf numFmtId="9" fontId="23" fillId="4" borderId="10" xfId="1" applyFont="1" applyFill="1" applyBorder="1" applyAlignment="1" applyProtection="1">
      <alignment horizontal="center"/>
      <protection locked="0"/>
    </xf>
    <xf numFmtId="187" fontId="23" fillId="0" borderId="0" xfId="9" applyNumberFormat="1" applyFont="1" applyFill="1" applyBorder="1" applyAlignment="1" applyProtection="1">
      <protection locked="0"/>
    </xf>
    <xf numFmtId="187" fontId="23" fillId="4" borderId="10" xfId="9" applyNumberFormat="1" applyFont="1" applyFill="1" applyBorder="1" applyAlignment="1" applyProtection="1">
      <alignment horizontal="center"/>
      <protection locked="0"/>
    </xf>
    <xf numFmtId="187" fontId="23" fillId="4" borderId="10" xfId="9" quotePrefix="1" applyNumberFormat="1" applyFont="1" applyFill="1" applyBorder="1" applyAlignment="1" applyProtection="1">
      <alignment horizontal="right"/>
      <protection locked="0"/>
    </xf>
    <xf numFmtId="175" fontId="23" fillId="0" borderId="0" xfId="1" applyNumberFormat="1" applyFont="1" applyFill="1" applyBorder="1" applyAlignment="1" applyProtection="1">
      <alignment horizontal="right"/>
      <protection locked="0"/>
    </xf>
    <xf numFmtId="188" fontId="32" fillId="0" borderId="0" xfId="1" applyNumberFormat="1" applyFont="1" applyFill="1" applyBorder="1" applyAlignment="1" applyProtection="1">
      <protection locked="0"/>
    </xf>
    <xf numFmtId="188" fontId="32" fillId="4" borderId="10" xfId="1" applyNumberFormat="1" applyFont="1" applyFill="1" applyBorder="1" applyAlignment="1" applyProtection="1">
      <alignment horizontal="center"/>
      <protection locked="0"/>
    </xf>
    <xf numFmtId="188" fontId="32" fillId="0" borderId="0" xfId="1" applyNumberFormat="1" applyFont="1" applyFill="1" applyBorder="1" applyAlignment="1" applyProtection="1">
      <alignment horizontal="right"/>
      <protection locked="0"/>
    </xf>
    <xf numFmtId="188" fontId="32" fillId="6" borderId="10" xfId="1" applyNumberFormat="1" applyFont="1" applyFill="1" applyBorder="1"/>
    <xf numFmtId="9" fontId="57" fillId="6" borderId="22" xfId="1" applyFont="1" applyFill="1" applyBorder="1"/>
    <xf numFmtId="9" fontId="57" fillId="0" borderId="0" xfId="1" applyFont="1" applyAlignment="1">
      <alignment horizontal="right"/>
    </xf>
    <xf numFmtId="187" fontId="23" fillId="2" borderId="0" xfId="9" applyNumberFormat="1" applyFont="1" applyFill="1" applyBorder="1" applyProtection="1">
      <protection locked="0"/>
    </xf>
    <xf numFmtId="37" fontId="58" fillId="0" borderId="0" xfId="18" quotePrefix="1" applyNumberFormat="1" applyFont="1" applyFill="1" applyBorder="1" applyAlignment="1" applyProtection="1">
      <alignment horizontal="right"/>
      <protection locked="0"/>
    </xf>
    <xf numFmtId="37" fontId="58" fillId="4" borderId="10" xfId="18" applyNumberFormat="1" applyFont="1" applyFill="1" applyBorder="1" applyAlignment="1">
      <alignment horizontal="right"/>
    </xf>
    <xf numFmtId="43" fontId="24" fillId="0" borderId="0" xfId="8" applyNumberFormat="1" applyFont="1" applyAlignment="1">
      <alignment horizontal="right"/>
      <protection locked="0"/>
    </xf>
    <xf numFmtId="187" fontId="2" fillId="2" borderId="0" xfId="9" applyNumberFormat="1" applyFont="1" applyFill="1" applyAlignment="1">
      <alignment horizontal="left" indent="1"/>
    </xf>
    <xf numFmtId="37" fontId="32" fillId="4" borderId="10" xfId="0" applyNumberFormat="1" applyFont="1" applyFill="1" applyBorder="1" applyAlignment="1">
      <alignment horizontal="right"/>
    </xf>
    <xf numFmtId="187" fontId="23" fillId="0" borderId="0" xfId="0" applyNumberFormat="1" applyFont="1"/>
    <xf numFmtId="43" fontId="2" fillId="0" borderId="0" xfId="0" applyNumberFormat="1" applyFont="1"/>
    <xf numFmtId="187" fontId="28" fillId="0" borderId="0" xfId="9" quotePrefix="1" applyNumberFormat="1" applyFont="1" applyFill="1" applyBorder="1" applyAlignment="1" applyProtection="1">
      <alignment horizontal="right"/>
      <protection locked="0"/>
    </xf>
    <xf numFmtId="187" fontId="28" fillId="0" borderId="0" xfId="9" applyNumberFormat="1" applyFont="1" applyFill="1" applyBorder="1" applyAlignment="1" applyProtection="1">
      <alignment horizontal="right"/>
      <protection locked="0"/>
    </xf>
    <xf numFmtId="187" fontId="27" fillId="0" borderId="0" xfId="9" quotePrefix="1" applyNumberFormat="1" applyFont="1" applyFill="1" applyBorder="1" applyAlignment="1" applyProtection="1">
      <alignment horizontal="right"/>
      <protection locked="0"/>
    </xf>
    <xf numFmtId="187" fontId="27" fillId="0" borderId="0" xfId="9" applyNumberFormat="1" applyFont="1" applyFill="1" applyBorder="1" applyAlignment="1" applyProtection="1">
      <alignment horizontal="right"/>
      <protection locked="0"/>
    </xf>
    <xf numFmtId="187" fontId="28" fillId="0" borderId="0" xfId="9" applyNumberFormat="1" applyFont="1"/>
    <xf numFmtId="187" fontId="3" fillId="2" borderId="0" xfId="9" applyNumberFormat="1" applyFont="1" applyFill="1"/>
    <xf numFmtId="187" fontId="58" fillId="0" borderId="0" xfId="9" applyNumberFormat="1" applyFont="1" applyFill="1" applyBorder="1" applyAlignment="1" applyProtection="1">
      <alignment horizontal="right"/>
      <protection locked="0"/>
    </xf>
    <xf numFmtId="187" fontId="58" fillId="0" borderId="0" xfId="9" applyNumberFormat="1" applyFont="1"/>
    <xf numFmtId="187" fontId="58" fillId="2" borderId="0" xfId="9" applyNumberFormat="1" applyFont="1" applyFill="1"/>
    <xf numFmtId="37" fontId="27" fillId="0" borderId="0" xfId="0" applyNumberFormat="1" applyFont="1"/>
    <xf numFmtId="43" fontId="2" fillId="2" borderId="0" xfId="9" applyFont="1" applyFill="1" applyAlignment="1">
      <alignment horizontal="left" indent="2"/>
    </xf>
    <xf numFmtId="9" fontId="0" fillId="4" borderId="10" xfId="0" applyNumberFormat="1" applyFill="1" applyBorder="1" applyAlignment="1">
      <alignment horizontal="right"/>
    </xf>
    <xf numFmtId="187" fontId="32" fillId="2" borderId="8" xfId="9" quotePrefix="1" applyNumberFormat="1" applyFont="1" applyFill="1" applyBorder="1" applyAlignment="1" applyProtection="1">
      <alignment horizontal="right"/>
      <protection locked="0"/>
    </xf>
    <xf numFmtId="187" fontId="32" fillId="2" borderId="8" xfId="9" applyNumberFormat="1" applyFont="1" applyFill="1" applyBorder="1" applyAlignment="1" applyProtection="1">
      <alignment horizontal="right"/>
      <protection locked="0"/>
    </xf>
    <xf numFmtId="175" fontId="32" fillId="2" borderId="0" xfId="1" quotePrefix="1" applyNumberFormat="1" applyFont="1" applyFill="1" applyBorder="1" applyAlignment="1" applyProtection="1">
      <alignment horizontal="right"/>
      <protection locked="0"/>
    </xf>
    <xf numFmtId="9" fontId="32" fillId="14" borderId="28" xfId="1" applyFont="1" applyFill="1" applyBorder="1" applyAlignment="1">
      <alignment horizontal="right"/>
    </xf>
    <xf numFmtId="187" fontId="32" fillId="2" borderId="0" xfId="9" applyNumberFormat="1" applyFont="1" applyFill="1" applyBorder="1" applyProtection="1">
      <protection locked="0"/>
    </xf>
    <xf numFmtId="187" fontId="23" fillId="6" borderId="11" xfId="9" applyNumberFormat="1" applyFont="1" applyFill="1" applyBorder="1" applyAlignment="1"/>
    <xf numFmtId="43" fontId="54" fillId="2" borderId="0" xfId="9" applyFont="1" applyFill="1" applyAlignment="1">
      <alignment horizontal="left" indent="1"/>
    </xf>
    <xf numFmtId="43" fontId="65" fillId="0" borderId="0" xfId="9" applyFont="1" applyFill="1" applyBorder="1" applyAlignment="1" applyProtection="1">
      <alignment horizontal="right"/>
      <protection locked="0"/>
    </xf>
    <xf numFmtId="43" fontId="54" fillId="6" borderId="10" xfId="9" applyFont="1" applyFill="1" applyBorder="1" applyAlignment="1">
      <alignment horizontal="right"/>
    </xf>
    <xf numFmtId="43" fontId="65" fillId="2" borderId="0" xfId="9" applyFont="1" applyFill="1" applyBorder="1" applyAlignment="1" applyProtection="1">
      <alignment horizontal="right"/>
      <protection locked="0"/>
    </xf>
    <xf numFmtId="43" fontId="54" fillId="0" borderId="0" xfId="9" applyFont="1"/>
    <xf numFmtId="43" fontId="27" fillId="0" borderId="7" xfId="9" applyFont="1" applyBorder="1"/>
    <xf numFmtId="187" fontId="27" fillId="0" borderId="8" xfId="9" applyNumberFormat="1" applyFont="1" applyFill="1" applyBorder="1" applyAlignment="1" applyProtection="1">
      <protection locked="0"/>
    </xf>
    <xf numFmtId="187" fontId="27" fillId="4" borderId="11" xfId="9" applyNumberFormat="1" applyFont="1" applyFill="1" applyBorder="1"/>
    <xf numFmtId="37" fontId="28" fillId="2" borderId="8" xfId="1" quotePrefix="1" applyNumberFormat="1" applyFont="1" applyFill="1" applyBorder="1" applyAlignment="1" applyProtection="1">
      <protection locked="0"/>
    </xf>
    <xf numFmtId="37" fontId="27" fillId="2" borderId="8" xfId="1" quotePrefix="1" applyNumberFormat="1" applyFont="1" applyFill="1" applyBorder="1" applyAlignment="1" applyProtection="1">
      <protection locked="0"/>
    </xf>
    <xf numFmtId="37" fontId="28" fillId="0" borderId="33" xfId="1" quotePrefix="1" applyNumberFormat="1" applyFont="1" applyFill="1" applyBorder="1" applyAlignment="1" applyProtection="1">
      <protection locked="0"/>
    </xf>
    <xf numFmtId="37" fontId="29" fillId="6" borderId="33" xfId="1" applyNumberFormat="1" applyFont="1" applyFill="1" applyBorder="1" applyAlignment="1"/>
    <xf numFmtId="37" fontId="27" fillId="6" borderId="33" xfId="1" applyNumberFormat="1" applyFont="1" applyFill="1" applyBorder="1" applyAlignment="1"/>
    <xf numFmtId="37" fontId="27" fillId="0" borderId="33" xfId="1" quotePrefix="1" applyNumberFormat="1" applyFont="1" applyFill="1" applyBorder="1" applyAlignment="1" applyProtection="1">
      <protection locked="0"/>
    </xf>
    <xf numFmtId="187" fontId="28" fillId="2" borderId="8" xfId="1" applyNumberFormat="1" applyFont="1" applyFill="1" applyBorder="1" applyAlignment="1" applyProtection="1">
      <alignment horizontal="right"/>
      <protection locked="0"/>
    </xf>
    <xf numFmtId="187" fontId="27" fillId="0" borderId="8" xfId="1" applyNumberFormat="1" applyFont="1" applyFill="1" applyBorder="1" applyAlignment="1" applyProtection="1">
      <alignment horizontal="right"/>
      <protection locked="0"/>
    </xf>
    <xf numFmtId="187" fontId="28" fillId="2" borderId="8" xfId="9" applyNumberFormat="1" applyFont="1" applyFill="1" applyBorder="1" applyAlignment="1" applyProtection="1">
      <alignment horizontal="right"/>
      <protection locked="0"/>
    </xf>
    <xf numFmtId="187" fontId="28" fillId="0" borderId="8" xfId="9" quotePrefix="1" applyNumberFormat="1" applyFont="1" applyFill="1" applyBorder="1" applyAlignment="1" applyProtection="1">
      <alignment horizontal="right"/>
      <protection locked="0"/>
    </xf>
    <xf numFmtId="187" fontId="28" fillId="0" borderId="8" xfId="9" applyNumberFormat="1" applyFont="1" applyFill="1" applyBorder="1" applyAlignment="1" applyProtection="1">
      <alignment horizontal="right"/>
      <protection locked="0"/>
    </xf>
    <xf numFmtId="194" fontId="52" fillId="17" borderId="0" xfId="0" applyNumberFormat="1" applyFont="1" applyFill="1" applyAlignment="1">
      <alignment horizontal="center"/>
    </xf>
    <xf numFmtId="187" fontId="4" fillId="0" borderId="0" xfId="9" applyNumberFormat="1" applyFont="1" applyFill="1"/>
    <xf numFmtId="187" fontId="24" fillId="0" borderId="0" xfId="9" applyNumberFormat="1" applyFont="1" applyFill="1" applyProtection="1">
      <protection locked="0"/>
    </xf>
    <xf numFmtId="187" fontId="24" fillId="0" borderId="0" xfId="9" applyNumberFormat="1" applyFont="1" applyFill="1" applyAlignment="1" applyProtection="1">
      <alignment horizontal="right"/>
      <protection locked="0"/>
    </xf>
    <xf numFmtId="187" fontId="2" fillId="0" borderId="0" xfId="9" applyNumberFormat="1" applyFont="1" applyFill="1"/>
    <xf numFmtId="187" fontId="52" fillId="0" borderId="0" xfId="8" applyNumberFormat="1" applyFont="1" applyAlignment="1">
      <alignment horizontal="right"/>
      <protection locked="0"/>
    </xf>
    <xf numFmtId="187" fontId="52" fillId="6" borderId="10" xfId="9" applyNumberFormat="1" applyFont="1" applyFill="1" applyBorder="1" applyAlignment="1">
      <alignment horizontal="right"/>
    </xf>
    <xf numFmtId="9" fontId="65" fillId="0" borderId="0" xfId="9" applyNumberFormat="1" applyFont="1" applyFill="1" applyBorder="1" applyAlignment="1" applyProtection="1">
      <alignment horizontal="right"/>
      <protection locked="0"/>
    </xf>
    <xf numFmtId="187" fontId="23" fillId="0" borderId="0" xfId="9" applyNumberFormat="1" applyFont="1" applyFill="1" applyProtection="1">
      <protection locked="0"/>
    </xf>
    <xf numFmtId="187" fontId="23" fillId="0" borderId="0" xfId="9" applyNumberFormat="1" applyFont="1" applyFill="1" applyAlignment="1" applyProtection="1">
      <alignment horizontal="right"/>
      <protection locked="0"/>
    </xf>
    <xf numFmtId="187" fontId="32" fillId="0" borderId="0" xfId="9" applyNumberFormat="1" applyFont="1" applyFill="1" applyAlignment="1" applyProtection="1">
      <alignment horizontal="right"/>
      <protection locked="0"/>
    </xf>
    <xf numFmtId="187" fontId="30" fillId="0" borderId="0" xfId="9" applyNumberFormat="1" applyFont="1"/>
    <xf numFmtId="187" fontId="54" fillId="2" borderId="0" xfId="9" applyNumberFormat="1" applyFont="1" applyFill="1" applyAlignment="1">
      <alignment horizontal="left" indent="1"/>
    </xf>
    <xf numFmtId="187" fontId="65" fillId="0" borderId="0" xfId="9" applyNumberFormat="1" applyFont="1" applyFill="1" applyBorder="1" applyAlignment="1" applyProtection="1">
      <alignment horizontal="right"/>
      <protection locked="0"/>
    </xf>
    <xf numFmtId="187" fontId="65" fillId="2" borderId="0" xfId="9" applyNumberFormat="1" applyFont="1" applyFill="1" applyBorder="1" applyAlignment="1" applyProtection="1">
      <alignment horizontal="right"/>
      <protection locked="0"/>
    </xf>
    <xf numFmtId="187" fontId="54" fillId="0" borderId="0" xfId="9" applyNumberFormat="1" applyFont="1"/>
    <xf numFmtId="9" fontId="65" fillId="2" borderId="0" xfId="9" applyNumberFormat="1" applyFont="1" applyFill="1" applyBorder="1" applyAlignment="1" applyProtection="1">
      <alignment horizontal="right"/>
      <protection locked="0"/>
    </xf>
    <xf numFmtId="184" fontId="4" fillId="0" borderId="0" xfId="9" applyNumberFormat="1" applyFont="1" applyAlignment="1">
      <alignment vertical="center"/>
    </xf>
    <xf numFmtId="184" fontId="27" fillId="0" borderId="8" xfId="9" applyNumberFormat="1" applyFont="1" applyBorder="1" applyAlignment="1">
      <alignment horizontal="left" vertical="center" indent="1"/>
    </xf>
    <xf numFmtId="184" fontId="27" fillId="0" borderId="8" xfId="9" applyNumberFormat="1" applyFont="1" applyBorder="1" applyAlignment="1">
      <alignment horizontal="right" vertical="center"/>
    </xf>
    <xf numFmtId="184" fontId="27" fillId="3" borderId="8" xfId="9" applyNumberFormat="1" applyFont="1" applyFill="1" applyBorder="1" applyAlignment="1">
      <alignment horizontal="right" vertical="center"/>
    </xf>
    <xf numFmtId="184" fontId="32" fillId="0" borderId="0" xfId="9" applyNumberFormat="1" applyFont="1" applyAlignment="1">
      <alignment vertical="center"/>
    </xf>
    <xf numFmtId="184" fontId="30" fillId="0" borderId="0" xfId="9" applyNumberFormat="1" applyFont="1" applyAlignment="1">
      <alignment vertical="center"/>
    </xf>
    <xf numFmtId="184" fontId="33" fillId="0" borderId="0" xfId="9" applyNumberFormat="1" applyFont="1" applyFill="1" applyBorder="1" applyAlignment="1" applyProtection="1">
      <alignment horizontal="left" indent="1"/>
      <protection locked="0"/>
    </xf>
    <xf numFmtId="184" fontId="33" fillId="0" borderId="0" xfId="9" quotePrefix="1" applyNumberFormat="1" applyFont="1" applyAlignment="1">
      <alignment horizontal="right" vertical="center"/>
    </xf>
    <xf numFmtId="184" fontId="33" fillId="0" borderId="0" xfId="9" applyNumberFormat="1" applyFont="1" applyAlignment="1">
      <alignment horizontal="right" vertical="center"/>
    </xf>
    <xf numFmtId="184" fontId="33" fillId="3" borderId="0" xfId="9" applyNumberFormat="1" applyFont="1" applyFill="1" applyAlignment="1">
      <alignment horizontal="right" vertical="center"/>
    </xf>
    <xf numFmtId="184" fontId="33" fillId="0" borderId="0" xfId="9" applyNumberFormat="1" applyFont="1" applyAlignment="1">
      <alignment vertical="center"/>
    </xf>
    <xf numFmtId="37" fontId="23" fillId="4" borderId="10" xfId="1" applyNumberFormat="1" applyFont="1" applyFill="1" applyBorder="1" applyAlignment="1">
      <alignment horizontal="right"/>
    </xf>
    <xf numFmtId="37" fontId="23" fillId="6" borderId="10" xfId="1" applyNumberFormat="1" applyFont="1" applyFill="1" applyBorder="1" applyAlignment="1">
      <alignment horizontal="right"/>
    </xf>
    <xf numFmtId="175" fontId="32" fillId="6" borderId="20" xfId="1" applyNumberFormat="1" applyFont="1" applyFill="1" applyBorder="1"/>
    <xf numFmtId="175" fontId="52" fillId="0" borderId="0" xfId="0" applyNumberFormat="1" applyFont="1"/>
    <xf numFmtId="175" fontId="32" fillId="0" borderId="0" xfId="9" quotePrefix="1" applyNumberFormat="1" applyFont="1" applyFill="1" applyBorder="1" applyAlignment="1" applyProtection="1">
      <alignment horizontal="right"/>
      <protection locked="0"/>
    </xf>
    <xf numFmtId="175" fontId="32" fillId="0" borderId="0" xfId="9" applyNumberFormat="1" applyFont="1" applyFill="1" applyBorder="1" applyAlignment="1" applyProtection="1">
      <alignment horizontal="right"/>
      <protection locked="0"/>
    </xf>
    <xf numFmtId="175" fontId="32" fillId="6" borderId="10" xfId="9" applyNumberFormat="1" applyFont="1" applyFill="1" applyBorder="1" applyAlignment="1">
      <alignment horizontal="right"/>
    </xf>
    <xf numFmtId="175" fontId="52" fillId="0" borderId="0" xfId="9" applyNumberFormat="1" applyFont="1"/>
    <xf numFmtId="175" fontId="23" fillId="6" borderId="10" xfId="9" applyNumberFormat="1" applyFont="1" applyFill="1" applyBorder="1" applyAlignment="1">
      <alignment horizontal="right"/>
    </xf>
    <xf numFmtId="175" fontId="23" fillId="0" borderId="0" xfId="9" quotePrefix="1" applyNumberFormat="1" applyFont="1" applyFill="1" applyBorder="1" applyAlignment="1" applyProtection="1">
      <alignment horizontal="right"/>
      <protection locked="0"/>
    </xf>
    <xf numFmtId="193" fontId="52" fillId="0" borderId="0" xfId="8" applyNumberFormat="1" applyFont="1">
      <protection locked="0"/>
    </xf>
    <xf numFmtId="43" fontId="27" fillId="0" borderId="7" xfId="9" applyFont="1" applyFill="1" applyBorder="1" applyAlignment="1" applyProtection="1">
      <alignment horizontal="left"/>
      <protection locked="0"/>
    </xf>
    <xf numFmtId="7" fontId="29" fillId="0" borderId="8" xfId="1" applyNumberFormat="1" applyFont="1" applyFill="1" applyBorder="1" applyAlignment="1" applyProtection="1">
      <alignment horizontal="right"/>
      <protection locked="0"/>
    </xf>
    <xf numFmtId="7" fontId="29" fillId="6" borderId="11" xfId="1" applyNumberFormat="1" applyFont="1" applyFill="1" applyBorder="1" applyAlignment="1">
      <alignment horizontal="right"/>
    </xf>
    <xf numFmtId="7" fontId="22" fillId="2" borderId="8" xfId="1" applyNumberFormat="1" applyFont="1" applyFill="1" applyBorder="1" applyAlignment="1" applyProtection="1">
      <alignment horizontal="right"/>
      <protection locked="0"/>
    </xf>
    <xf numFmtId="7" fontId="22" fillId="0" borderId="8" xfId="1" applyNumberFormat="1" applyFont="1" applyFill="1" applyBorder="1" applyAlignment="1" applyProtection="1">
      <alignment horizontal="right"/>
      <protection locked="0"/>
    </xf>
    <xf numFmtId="7" fontId="3" fillId="4" borderId="11" xfId="1" applyNumberFormat="1" applyFont="1" applyFill="1" applyBorder="1" applyAlignment="1">
      <alignment horizontal="right"/>
    </xf>
    <xf numFmtId="7" fontId="23" fillId="0" borderId="0" xfId="1" applyNumberFormat="1" applyFont="1" applyFill="1" applyBorder="1" applyAlignment="1" applyProtection="1">
      <alignment horizontal="right"/>
      <protection locked="0"/>
    </xf>
    <xf numFmtId="7" fontId="23" fillId="6" borderId="10" xfId="1" applyNumberFormat="1" applyFont="1" applyFill="1" applyBorder="1" applyAlignment="1">
      <alignment horizontal="right"/>
    </xf>
    <xf numFmtId="7" fontId="23" fillId="2" borderId="0" xfId="1" applyNumberFormat="1" applyFont="1" applyFill="1" applyBorder="1" applyAlignment="1" applyProtection="1">
      <alignment horizontal="right"/>
      <protection locked="0"/>
    </xf>
    <xf numFmtId="7" fontId="23" fillId="4" borderId="10" xfId="1" applyNumberFormat="1" applyFont="1" applyFill="1" applyBorder="1" applyAlignment="1">
      <alignment horizontal="right"/>
    </xf>
    <xf numFmtId="187" fontId="23" fillId="0" borderId="0" xfId="9" applyNumberFormat="1" applyFont="1" applyFill="1" applyBorder="1" applyAlignment="1" applyProtection="1">
      <alignment horizontal="center"/>
      <protection locked="0"/>
    </xf>
    <xf numFmtId="187" fontId="23" fillId="4" borderId="10" xfId="9" applyNumberFormat="1" applyFont="1" applyFill="1" applyBorder="1" applyAlignment="1">
      <alignment horizontal="center"/>
    </xf>
    <xf numFmtId="37" fontId="22" fillId="0" borderId="0" xfId="8" applyNumberFormat="1" applyFont="1" applyAlignment="1">
      <alignment horizontal="right"/>
      <protection locked="0"/>
    </xf>
    <xf numFmtId="37" fontId="29" fillId="6" borderId="10" xfId="0" applyNumberFormat="1" applyFont="1" applyFill="1" applyBorder="1" applyAlignment="1">
      <alignment horizontal="right"/>
    </xf>
    <xf numFmtId="7" fontId="32" fillId="6" borderId="10" xfId="1" applyNumberFormat="1" applyFont="1" applyFill="1" applyBorder="1" applyAlignment="1">
      <alignment horizontal="right"/>
    </xf>
    <xf numFmtId="187" fontId="32" fillId="4" borderId="10" xfId="9" applyNumberFormat="1" applyFont="1" applyFill="1" applyBorder="1" applyAlignment="1">
      <alignment horizontal="center"/>
    </xf>
    <xf numFmtId="37" fontId="30" fillId="0" borderId="0" xfId="0" applyNumberFormat="1" applyFont="1" applyAlignment="1">
      <alignment horizontal="right"/>
    </xf>
    <xf numFmtId="37" fontId="31" fillId="0" borderId="0" xfId="8" applyNumberFormat="1" applyFont="1" applyAlignment="1">
      <alignment horizontal="right"/>
      <protection locked="0"/>
    </xf>
    <xf numFmtId="37" fontId="54" fillId="6" borderId="10" xfId="0" applyNumberFormat="1" applyFont="1" applyFill="1" applyBorder="1" applyAlignment="1">
      <alignment horizontal="right"/>
    </xf>
    <xf numFmtId="37" fontId="54" fillId="0" borderId="0" xfId="0" applyNumberFormat="1" applyFont="1"/>
    <xf numFmtId="187" fontId="54" fillId="0" borderId="0" xfId="9" applyNumberFormat="1" applyFont="1" applyBorder="1" applyAlignment="1">
      <alignment horizontal="left" indent="2"/>
    </xf>
    <xf numFmtId="9" fontId="31" fillId="0" borderId="0" xfId="8" applyNumberFormat="1" applyFont="1" applyAlignment="1">
      <alignment horizontal="right"/>
      <protection locked="0"/>
    </xf>
    <xf numFmtId="9" fontId="44" fillId="4" borderId="10" xfId="0" applyNumberFormat="1" applyFont="1" applyFill="1" applyBorder="1" applyAlignment="1">
      <alignment horizontal="right"/>
    </xf>
    <xf numFmtId="37" fontId="65" fillId="0" borderId="0" xfId="8" applyNumberFormat="1" applyFont="1" applyAlignment="1">
      <alignment horizontal="right"/>
      <protection locked="0"/>
    </xf>
    <xf numFmtId="37" fontId="65" fillId="6" borderId="10" xfId="0" applyNumberFormat="1" applyFont="1" applyFill="1" applyBorder="1" applyAlignment="1">
      <alignment horizontal="right"/>
    </xf>
    <xf numFmtId="9" fontId="65" fillId="0" borderId="0" xfId="8" applyNumberFormat="1" applyFont="1" applyAlignment="1">
      <alignment horizontal="right"/>
      <protection locked="0"/>
    </xf>
    <xf numFmtId="9" fontId="65" fillId="4" borderId="10" xfId="0" applyNumberFormat="1" applyFont="1" applyFill="1" applyBorder="1" applyAlignment="1">
      <alignment horizontal="right"/>
    </xf>
    <xf numFmtId="175" fontId="4" fillId="0" borderId="0" xfId="9" applyNumberFormat="1" applyFont="1"/>
    <xf numFmtId="175" fontId="23" fillId="0" borderId="0" xfId="9" applyNumberFormat="1" applyFont="1" applyFill="1" applyBorder="1" applyAlignment="1" applyProtection="1">
      <alignment horizontal="right"/>
      <protection locked="0"/>
    </xf>
    <xf numFmtId="175" fontId="4" fillId="0" borderId="0" xfId="1" applyNumberFormat="1" applyFont="1"/>
    <xf numFmtId="175" fontId="23" fillId="0" borderId="0" xfId="1" quotePrefix="1" applyNumberFormat="1" applyFont="1" applyFill="1" applyBorder="1" applyAlignment="1" applyProtection="1">
      <alignment horizontal="right"/>
      <protection locked="0"/>
    </xf>
    <xf numFmtId="175" fontId="23" fillId="6" borderId="10" xfId="1" applyNumberFormat="1" applyFont="1" applyFill="1" applyBorder="1" applyAlignment="1">
      <alignment horizontal="right"/>
    </xf>
    <xf numFmtId="175" fontId="32" fillId="6" borderId="10" xfId="1" applyNumberFormat="1" applyFont="1" applyFill="1" applyBorder="1" applyAlignment="1">
      <alignment horizontal="right"/>
    </xf>
    <xf numFmtId="175" fontId="52" fillId="0" borderId="0" xfId="1" applyNumberFormat="1" applyFont="1"/>
    <xf numFmtId="195" fontId="32" fillId="6" borderId="10" xfId="1" applyNumberFormat="1" applyFont="1" applyFill="1" applyBorder="1" applyAlignment="1">
      <alignment horizontal="right"/>
    </xf>
    <xf numFmtId="195" fontId="32" fillId="0" borderId="0" xfId="1" quotePrefix="1" applyNumberFormat="1" applyFont="1" applyFill="1" applyBorder="1" applyAlignment="1" applyProtection="1">
      <alignment horizontal="right"/>
      <protection locked="0"/>
    </xf>
    <xf numFmtId="195" fontId="32" fillId="0" borderId="0" xfId="1" applyNumberFormat="1" applyFont="1" applyFill="1" applyBorder="1" applyAlignment="1" applyProtection="1">
      <alignment horizontal="right"/>
      <protection locked="0"/>
    </xf>
    <xf numFmtId="195" fontId="32" fillId="6" borderId="10" xfId="9" applyNumberFormat="1" applyFont="1" applyFill="1" applyBorder="1" applyAlignment="1">
      <alignment horizontal="right"/>
    </xf>
    <xf numFmtId="43" fontId="54" fillId="2" borderId="19" xfId="9" applyFont="1" applyFill="1" applyBorder="1" applyAlignment="1" applyProtection="1">
      <alignment horizontal="left" indent="2"/>
      <protection locked="0"/>
    </xf>
    <xf numFmtId="195" fontId="32" fillId="0" borderId="0" xfId="1" applyNumberFormat="1" applyFont="1"/>
    <xf numFmtId="175" fontId="52" fillId="6" borderId="10" xfId="1" applyNumberFormat="1" applyFont="1" applyFill="1" applyBorder="1"/>
    <xf numFmtId="175" fontId="33" fillId="0" borderId="0" xfId="1" applyNumberFormat="1" applyFont="1" applyFill="1" applyBorder="1" applyAlignment="1" applyProtection="1">
      <alignment horizontal="left" indent="1"/>
      <protection locked="0"/>
    </xf>
    <xf numFmtId="175" fontId="33" fillId="0" borderId="0" xfId="1" applyNumberFormat="1" applyFont="1" applyAlignment="1">
      <alignment horizontal="right" vertical="center"/>
    </xf>
    <xf numFmtId="175" fontId="36" fillId="3" borderId="0" xfId="1" applyNumberFormat="1" applyFont="1" applyFill="1" applyAlignment="1">
      <alignment horizontal="right" vertical="center"/>
    </xf>
    <xf numFmtId="175" fontId="33" fillId="3" borderId="0" xfId="1" applyNumberFormat="1" applyFont="1" applyFill="1" applyAlignment="1">
      <alignment horizontal="right" vertical="center"/>
    </xf>
    <xf numFmtId="175" fontId="33" fillId="0" borderId="0" xfId="1" applyNumberFormat="1" applyFont="1" applyAlignment="1">
      <alignment vertical="center"/>
    </xf>
    <xf numFmtId="175" fontId="4" fillId="0" borderId="0" xfId="1" applyNumberFormat="1" applyFont="1" applyFill="1" applyBorder="1"/>
    <xf numFmtId="195" fontId="4" fillId="0" borderId="0" xfId="0" applyNumberFormat="1" applyFont="1"/>
    <xf numFmtId="195" fontId="54" fillId="0" borderId="0" xfId="1" applyNumberFormat="1" applyFont="1" applyFill="1" applyBorder="1" applyAlignment="1" applyProtection="1">
      <alignment horizontal="left" indent="2"/>
      <protection locked="0"/>
    </xf>
    <xf numFmtId="195" fontId="24" fillId="0" borderId="0" xfId="1" applyNumberFormat="1" applyFont="1" applyFill="1" applyBorder="1" applyAlignment="1" applyProtection="1">
      <alignment horizontal="right"/>
      <protection locked="0"/>
    </xf>
    <xf numFmtId="195" fontId="2" fillId="4" borderId="10" xfId="1" applyNumberFormat="1" applyFont="1" applyFill="1" applyBorder="1" applyAlignment="1">
      <alignment horizontal="right"/>
    </xf>
    <xf numFmtId="195" fontId="52" fillId="0" borderId="0" xfId="0" applyNumberFormat="1" applyFont="1"/>
    <xf numFmtId="175" fontId="40" fillId="0" borderId="0" xfId="1" applyNumberFormat="1" applyFont="1"/>
    <xf numFmtId="175" fontId="27" fillId="0" borderId="0" xfId="1" applyNumberFormat="1" applyFont="1" applyFill="1" applyBorder="1" applyAlignment="1" applyProtection="1">
      <alignment horizontal="right"/>
      <protection locked="0"/>
    </xf>
    <xf numFmtId="175" fontId="27" fillId="6" borderId="10" xfId="1" applyNumberFormat="1" applyFont="1" applyFill="1" applyBorder="1" applyAlignment="1">
      <alignment horizontal="right"/>
    </xf>
    <xf numFmtId="175" fontId="29" fillId="0" borderId="0" xfId="1" applyNumberFormat="1" applyFont="1"/>
    <xf numFmtId="39" fontId="66" fillId="0" borderId="0" xfId="1" quotePrefix="1" applyNumberFormat="1" applyFont="1" applyFill="1" applyBorder="1" applyAlignment="1" applyProtection="1">
      <protection locked="0"/>
    </xf>
    <xf numFmtId="39" fontId="66" fillId="6" borderId="10" xfId="0" applyNumberFormat="1" applyFont="1" applyFill="1" applyBorder="1" applyAlignment="1">
      <alignment horizontal="right"/>
    </xf>
    <xf numFmtId="187" fontId="57" fillId="0" borderId="0" xfId="9" quotePrefix="1" applyNumberFormat="1" applyFont="1" applyFill="1" applyBorder="1" applyAlignment="1" applyProtection="1">
      <alignment horizontal="center"/>
      <protection locked="0"/>
    </xf>
    <xf numFmtId="9" fontId="54" fillId="0" borderId="0" xfId="1" applyFont="1" applyFill="1" applyBorder="1" applyAlignment="1" applyProtection="1">
      <alignment horizontal="right"/>
      <protection locked="0"/>
    </xf>
    <xf numFmtId="9" fontId="54" fillId="6" borderId="10" xfId="1" applyFont="1" applyFill="1" applyBorder="1" applyAlignment="1">
      <alignment horizontal="right"/>
    </xf>
    <xf numFmtId="187" fontId="40" fillId="0" borderId="0" xfId="9" applyNumberFormat="1" applyFont="1"/>
    <xf numFmtId="187" fontId="22" fillId="0" borderId="0" xfId="9" applyNumberFormat="1" applyFont="1" applyProtection="1">
      <protection locked="0"/>
    </xf>
    <xf numFmtId="187" fontId="22" fillId="0" borderId="0" xfId="9" applyNumberFormat="1" applyFont="1" applyAlignment="1" applyProtection="1">
      <alignment horizontal="right"/>
      <protection locked="0"/>
    </xf>
    <xf numFmtId="175" fontId="4" fillId="0" borderId="0" xfId="0" applyNumberFormat="1" applyFont="1"/>
    <xf numFmtId="175" fontId="32" fillId="0" borderId="0" xfId="9" applyNumberFormat="1" applyFont="1" applyProtection="1">
      <protection locked="0"/>
    </xf>
    <xf numFmtId="175" fontId="32" fillId="0" borderId="0" xfId="9" applyNumberFormat="1" applyFont="1" applyAlignment="1" applyProtection="1">
      <alignment horizontal="right"/>
      <protection locked="0"/>
    </xf>
    <xf numFmtId="175" fontId="32" fillId="4" borderId="10" xfId="9" applyNumberFormat="1" applyFont="1" applyFill="1" applyBorder="1" applyAlignment="1">
      <alignment horizontal="right"/>
    </xf>
    <xf numFmtId="175" fontId="23" fillId="0" borderId="0" xfId="8" applyNumberFormat="1" applyFont="1" applyAlignment="1">
      <alignment horizontal="right"/>
      <protection locked="0"/>
    </xf>
    <xf numFmtId="175" fontId="2" fillId="0" borderId="0" xfId="0" applyNumberFormat="1" applyFont="1"/>
    <xf numFmtId="175" fontId="32" fillId="4" borderId="10" xfId="1" applyNumberFormat="1" applyFont="1" applyFill="1" applyBorder="1" applyAlignment="1"/>
    <xf numFmtId="175" fontId="23" fillId="0" borderId="0" xfId="1" applyNumberFormat="1" applyFont="1" applyFill="1" applyBorder="1" applyAlignment="1" applyProtection="1">
      <protection locked="0"/>
    </xf>
    <xf numFmtId="187" fontId="28" fillId="0" borderId="0" xfId="9" applyNumberFormat="1" applyFont="1" applyProtection="1">
      <protection locked="0"/>
    </xf>
    <xf numFmtId="187" fontId="28" fillId="0" borderId="0" xfId="9" applyNumberFormat="1" applyFont="1" applyAlignment="1" applyProtection="1">
      <alignment horizontal="right"/>
      <protection locked="0"/>
    </xf>
    <xf numFmtId="187" fontId="58" fillId="0" borderId="0" xfId="9" applyNumberFormat="1" applyFont="1" applyProtection="1">
      <protection locked="0"/>
    </xf>
    <xf numFmtId="9" fontId="2" fillId="0" borderId="0" xfId="9" applyNumberFormat="1" applyFont="1" applyAlignment="1" applyProtection="1">
      <alignment horizontal="right"/>
      <protection locked="0"/>
    </xf>
    <xf numFmtId="187" fontId="4" fillId="0" borderId="0" xfId="9" applyNumberFormat="1" applyFont="1" applyAlignment="1">
      <alignment horizontal="left" indent="1"/>
    </xf>
    <xf numFmtId="187" fontId="23" fillId="0" borderId="8" xfId="9" quotePrefix="1" applyNumberFormat="1" applyFont="1" applyFill="1" applyBorder="1" applyAlignment="1" applyProtection="1">
      <alignment horizontal="left" indent="1"/>
      <protection locked="0"/>
    </xf>
    <xf numFmtId="187" fontId="52" fillId="6" borderId="11" xfId="9" applyNumberFormat="1" applyFont="1" applyFill="1" applyBorder="1" applyAlignment="1">
      <alignment horizontal="left" indent="1"/>
    </xf>
    <xf numFmtId="187" fontId="23" fillId="2" borderId="8" xfId="9" quotePrefix="1" applyNumberFormat="1" applyFont="1" applyFill="1" applyBorder="1" applyAlignment="1" applyProtection="1">
      <alignment horizontal="left" indent="1"/>
      <protection locked="0"/>
    </xf>
    <xf numFmtId="187" fontId="57" fillId="0" borderId="8" xfId="9" quotePrefix="1" applyNumberFormat="1" applyFont="1" applyFill="1" applyBorder="1" applyAlignment="1" applyProtection="1">
      <alignment horizontal="left" indent="1"/>
      <protection locked="0"/>
    </xf>
    <xf numFmtId="187" fontId="57" fillId="6" borderId="11" xfId="9" applyNumberFormat="1" applyFont="1" applyFill="1" applyBorder="1" applyAlignment="1">
      <alignment horizontal="left" indent="1"/>
    </xf>
    <xf numFmtId="9" fontId="32" fillId="0" borderId="0" xfId="9" applyNumberFormat="1" applyFont="1" applyAlignment="1" applyProtection="1">
      <protection locked="0"/>
    </xf>
    <xf numFmtId="9" fontId="32" fillId="6" borderId="10" xfId="9" applyNumberFormat="1" applyFont="1" applyFill="1" applyBorder="1" applyAlignment="1" applyProtection="1">
      <protection locked="0"/>
    </xf>
    <xf numFmtId="187" fontId="57" fillId="0" borderId="0" xfId="9" applyNumberFormat="1" applyFont="1" applyAlignment="1">
      <alignment horizontal="left" indent="1"/>
    </xf>
    <xf numFmtId="187" fontId="57" fillId="2" borderId="8" xfId="9" quotePrefix="1" applyNumberFormat="1" applyFont="1" applyFill="1" applyBorder="1" applyAlignment="1" applyProtection="1">
      <alignment horizontal="left" indent="1"/>
      <protection locked="0"/>
    </xf>
    <xf numFmtId="187" fontId="32" fillId="0" borderId="7" xfId="9" applyNumberFormat="1" applyFont="1" applyBorder="1" applyAlignment="1">
      <alignment horizontal="left" indent="1"/>
    </xf>
    <xf numFmtId="187" fontId="32" fillId="0" borderId="0" xfId="9" applyNumberFormat="1" applyFont="1" applyAlignment="1">
      <alignment horizontal="left" indent="1"/>
    </xf>
    <xf numFmtId="193" fontId="23" fillId="2" borderId="0" xfId="1" applyNumberFormat="1" applyFont="1" applyFill="1" applyBorder="1" applyAlignment="1" applyProtection="1">
      <alignment horizontal="right"/>
      <protection locked="0"/>
    </xf>
    <xf numFmtId="43" fontId="54" fillId="2" borderId="19" xfId="9" applyFont="1" applyFill="1" applyBorder="1" applyAlignment="1" applyProtection="1">
      <alignment horizontal="left" indent="3"/>
      <protection locked="0"/>
    </xf>
    <xf numFmtId="9" fontId="32" fillId="0" borderId="0" xfId="8" applyNumberFormat="1" applyFont="1" applyAlignment="1">
      <alignment horizontal="right"/>
      <protection locked="0"/>
    </xf>
    <xf numFmtId="43" fontId="54" fillId="2" borderId="19" xfId="9" applyFont="1" applyFill="1" applyBorder="1" applyAlignment="1" applyProtection="1">
      <alignment horizontal="left" indent="4"/>
      <protection locked="0"/>
    </xf>
    <xf numFmtId="43" fontId="54" fillId="0" borderId="19" xfId="9" applyFont="1" applyFill="1" applyBorder="1" applyAlignment="1" applyProtection="1">
      <alignment horizontal="left" indent="4"/>
      <protection locked="0"/>
    </xf>
    <xf numFmtId="43" fontId="33" fillId="2" borderId="19" xfId="9" applyFont="1" applyFill="1" applyBorder="1" applyAlignment="1" applyProtection="1">
      <alignment horizontal="left" indent="3"/>
      <protection locked="0"/>
    </xf>
    <xf numFmtId="43" fontId="33" fillId="2" borderId="19" xfId="9" applyFont="1" applyFill="1" applyBorder="1" applyAlignment="1" applyProtection="1">
      <alignment horizontal="left" indent="4"/>
      <protection locked="0"/>
    </xf>
    <xf numFmtId="193" fontId="32" fillId="0" borderId="0" xfId="0" applyNumberFormat="1" applyFont="1"/>
    <xf numFmtId="175" fontId="31" fillId="0" borderId="0" xfId="1" applyNumberFormat="1" applyFont="1" applyProtection="1">
      <protection locked="0"/>
    </xf>
    <xf numFmtId="175" fontId="44" fillId="4" borderId="10" xfId="1" applyNumberFormat="1" applyFont="1" applyFill="1" applyBorder="1"/>
    <xf numFmtId="175" fontId="2" fillId="0" borderId="0" xfId="1" applyNumberFormat="1" applyFont="1"/>
    <xf numFmtId="187" fontId="0" fillId="0" borderId="0" xfId="0" applyNumberFormat="1"/>
    <xf numFmtId="43" fontId="0" fillId="0" borderId="0" xfId="0" applyNumberFormat="1"/>
    <xf numFmtId="175" fontId="2" fillId="4" borderId="10" xfId="1" applyNumberFormat="1" applyFont="1" applyFill="1" applyBorder="1" applyAlignment="1">
      <alignment horizontal="right"/>
    </xf>
    <xf numFmtId="175" fontId="24" fillId="0" borderId="0" xfId="1" applyNumberFormat="1" applyFont="1" applyProtection="1">
      <protection locked="0"/>
    </xf>
    <xf numFmtId="175" fontId="23" fillId="0" borderId="0" xfId="1" applyNumberFormat="1" applyFont="1" applyProtection="1">
      <protection locked="0"/>
    </xf>
    <xf numFmtId="175" fontId="23" fillId="0" borderId="0" xfId="1" applyNumberFormat="1" applyFont="1" applyAlignment="1" applyProtection="1">
      <alignment horizontal="right"/>
      <protection locked="0"/>
    </xf>
    <xf numFmtId="175" fontId="32" fillId="0" borderId="0" xfId="1" applyNumberFormat="1" applyFont="1" applyFill="1" applyBorder="1" applyAlignment="1" applyProtection="1">
      <protection locked="0"/>
    </xf>
    <xf numFmtId="175" fontId="32" fillId="4" borderId="10" xfId="1" applyNumberFormat="1" applyFont="1" applyFill="1" applyBorder="1" applyAlignment="1">
      <alignment horizontal="right"/>
    </xf>
    <xf numFmtId="174" fontId="32" fillId="0" borderId="0" xfId="0" applyNumberFormat="1" applyFont="1"/>
    <xf numFmtId="43" fontId="32" fillId="0" borderId="0" xfId="9" applyFont="1" applyBorder="1" applyAlignment="1">
      <alignment horizontal="left" indent="1"/>
    </xf>
    <xf numFmtId="37" fontId="32" fillId="0" borderId="0" xfId="1" applyNumberFormat="1" applyFont="1" applyFill="1" applyBorder="1" applyAlignment="1" applyProtection="1">
      <protection locked="0"/>
    </xf>
    <xf numFmtId="37" fontId="32" fillId="4" borderId="10" xfId="1" applyNumberFormat="1" applyFont="1" applyFill="1" applyBorder="1" applyAlignment="1"/>
    <xf numFmtId="175" fontId="32" fillId="0" borderId="0" xfId="1" quotePrefix="1" applyNumberFormat="1" applyFont="1" applyFill="1" applyBorder="1" applyAlignment="1" applyProtection="1">
      <protection locked="0"/>
    </xf>
    <xf numFmtId="175" fontId="23" fillId="0" borderId="0" xfId="1" quotePrefix="1" applyNumberFormat="1" applyFont="1" applyFill="1" applyBorder="1" applyAlignment="1" applyProtection="1">
      <protection locked="0"/>
    </xf>
    <xf numFmtId="187" fontId="3" fillId="4" borderId="10" xfId="9" applyNumberFormat="1" applyFont="1" applyFill="1" applyBorder="1"/>
    <xf numFmtId="184" fontId="32" fillId="0" borderId="0" xfId="9" applyNumberFormat="1" applyFont="1" applyFill="1" applyBorder="1" applyAlignment="1" applyProtection="1">
      <alignment horizontal="right"/>
      <protection locked="0"/>
    </xf>
    <xf numFmtId="175" fontId="54" fillId="0" borderId="19" xfId="1" applyNumberFormat="1" applyFont="1" applyFill="1" applyBorder="1" applyAlignment="1" applyProtection="1">
      <alignment horizontal="left" indent="2"/>
      <protection locked="0"/>
    </xf>
    <xf numFmtId="9" fontId="52" fillId="0" borderId="0" xfId="1" applyFont="1" applyAlignment="1" applyProtection="1">
      <alignment horizontal="right"/>
      <protection locked="0"/>
    </xf>
    <xf numFmtId="175" fontId="23" fillId="6" borderId="10" xfId="1" applyNumberFormat="1" applyFont="1" applyFill="1" applyBorder="1"/>
    <xf numFmtId="175" fontId="32" fillId="6" borderId="20" xfId="1" applyNumberFormat="1" applyFont="1" applyFill="1" applyBorder="1" applyAlignment="1">
      <alignment horizontal="right"/>
    </xf>
    <xf numFmtId="175" fontId="23" fillId="2" borderId="0" xfId="1" applyNumberFormat="1" applyFont="1" applyFill="1" applyBorder="1" applyAlignment="1" applyProtection="1">
      <alignment horizontal="right"/>
      <protection locked="0"/>
    </xf>
    <xf numFmtId="175" fontId="23" fillId="2" borderId="0" xfId="1" quotePrefix="1" applyNumberFormat="1" applyFont="1" applyFill="1" applyBorder="1" applyAlignment="1" applyProtection="1">
      <alignment horizontal="right"/>
      <protection locked="0"/>
    </xf>
    <xf numFmtId="175" fontId="23" fillId="0" borderId="13" xfId="1" applyNumberFormat="1" applyFont="1" applyFill="1" applyBorder="1" applyAlignment="1" applyProtection="1">
      <alignment horizontal="right"/>
      <protection locked="0"/>
    </xf>
    <xf numFmtId="175" fontId="23" fillId="6" borderId="13" xfId="1" applyNumberFormat="1" applyFont="1" applyFill="1" applyBorder="1" applyAlignment="1">
      <alignment horizontal="right"/>
    </xf>
    <xf numFmtId="175" fontId="32" fillId="6" borderId="13" xfId="1" applyNumberFormat="1" applyFont="1" applyFill="1" applyBorder="1" applyAlignment="1">
      <alignment horizontal="right"/>
    </xf>
    <xf numFmtId="175" fontId="23" fillId="14" borderId="10" xfId="1" applyNumberFormat="1" applyFont="1" applyFill="1" applyBorder="1" applyAlignment="1">
      <alignment horizontal="right"/>
    </xf>
    <xf numFmtId="175" fontId="32" fillId="4" borderId="10" xfId="1" quotePrefix="1" applyNumberFormat="1" applyFont="1" applyFill="1" applyBorder="1" applyAlignment="1" applyProtection="1">
      <alignment horizontal="right"/>
      <protection locked="0"/>
    </xf>
    <xf numFmtId="175" fontId="57" fillId="0" borderId="0" xfId="1" applyNumberFormat="1" applyFont="1" applyFill="1" applyBorder="1" applyAlignment="1" applyProtection="1">
      <alignment horizontal="right"/>
      <protection locked="0"/>
    </xf>
    <xf numFmtId="175" fontId="57" fillId="6" borderId="10" xfId="1" applyNumberFormat="1" applyFont="1" applyFill="1" applyBorder="1"/>
    <xf numFmtId="175" fontId="33" fillId="0" borderId="19" xfId="1" applyNumberFormat="1" applyFont="1" applyFill="1" applyBorder="1" applyAlignment="1" applyProtection="1">
      <alignment horizontal="left" indent="2"/>
      <protection locked="0"/>
    </xf>
    <xf numFmtId="175" fontId="32" fillId="0" borderId="0" xfId="1" applyNumberFormat="1" applyFont="1"/>
    <xf numFmtId="175" fontId="32" fillId="2" borderId="34" xfId="1" quotePrefix="1" applyNumberFormat="1" applyFont="1" applyFill="1" applyBorder="1" applyAlignment="1" applyProtection="1">
      <alignment horizontal="right"/>
      <protection locked="0"/>
    </xf>
    <xf numFmtId="37" fontId="58" fillId="6" borderId="22" xfId="1" applyNumberFormat="1" applyFont="1" applyFill="1" applyBorder="1" applyAlignment="1"/>
    <xf numFmtId="9" fontId="57" fillId="6" borderId="20" xfId="1" applyFont="1" applyFill="1" applyBorder="1"/>
    <xf numFmtId="175" fontId="45" fillId="0" borderId="0" xfId="1" applyNumberFormat="1" applyFont="1" applyAlignment="1" applyProtection="1">
      <alignment horizontal="right"/>
      <protection locked="0"/>
    </xf>
    <xf numFmtId="175" fontId="45" fillId="0" borderId="0" xfId="1" applyNumberFormat="1" applyFont="1" applyProtection="1">
      <protection locked="0"/>
    </xf>
    <xf numFmtId="184" fontId="32" fillId="0" borderId="0" xfId="1" quotePrefix="1" applyNumberFormat="1" applyFont="1" applyFill="1" applyBorder="1" applyAlignment="1" applyProtection="1">
      <alignment horizontal="right"/>
      <protection locked="0"/>
    </xf>
    <xf numFmtId="184" fontId="32" fillId="6" borderId="10" xfId="1" applyNumberFormat="1" applyFont="1" applyFill="1" applyBorder="1" applyAlignment="1">
      <alignment horizontal="right"/>
    </xf>
    <xf numFmtId="192" fontId="32" fillId="0" borderId="0" xfId="1" quotePrefix="1" applyNumberFormat="1" applyFont="1" applyFill="1" applyBorder="1" applyAlignment="1" applyProtection="1">
      <alignment horizontal="right"/>
      <protection locked="0"/>
    </xf>
    <xf numFmtId="37" fontId="40" fillId="0" borderId="0" xfId="1" applyNumberFormat="1" applyFont="1"/>
    <xf numFmtId="37" fontId="64" fillId="0" borderId="8" xfId="1" applyNumberFormat="1" applyFont="1" applyFill="1" applyBorder="1" applyProtection="1">
      <protection locked="0"/>
    </xf>
    <xf numFmtId="37" fontId="64" fillId="0" borderId="8" xfId="1" applyNumberFormat="1" applyFont="1" applyFill="1" applyBorder="1" applyAlignment="1" applyProtection="1">
      <alignment horizontal="right"/>
      <protection locked="0"/>
    </xf>
    <xf numFmtId="37" fontId="64" fillId="4" borderId="11" xfId="1" applyNumberFormat="1" applyFont="1" applyFill="1" applyBorder="1"/>
    <xf numFmtId="37" fontId="64" fillId="0" borderId="0" xfId="0" applyNumberFormat="1" applyFont="1"/>
    <xf numFmtId="1" fontId="23" fillId="2" borderId="0" xfId="1" applyNumberFormat="1" applyFont="1" applyFill="1" applyBorder="1" applyAlignment="1" applyProtection="1">
      <alignment horizontal="right"/>
      <protection locked="0"/>
    </xf>
    <xf numFmtId="43" fontId="52" fillId="2" borderId="21" xfId="9" applyFont="1" applyFill="1" applyBorder="1" applyAlignment="1" applyProtection="1">
      <alignment horizontal="left" indent="1"/>
      <protection locked="0"/>
    </xf>
    <xf numFmtId="9" fontId="32" fillId="6" borderId="9" xfId="1" applyFont="1" applyFill="1" applyBorder="1" applyAlignment="1">
      <alignment horizontal="right"/>
    </xf>
    <xf numFmtId="9" fontId="23" fillId="0" borderId="34" xfId="1" applyFont="1" applyFill="1" applyBorder="1" applyAlignment="1" applyProtection="1">
      <alignment horizontal="right"/>
      <protection locked="0"/>
    </xf>
    <xf numFmtId="9" fontId="23" fillId="2" borderId="13" xfId="1" applyFont="1" applyFill="1" applyBorder="1" applyAlignment="1" applyProtection="1">
      <alignment horizontal="right"/>
      <protection locked="0"/>
    </xf>
    <xf numFmtId="175" fontId="32" fillId="2" borderId="0" xfId="1" applyNumberFormat="1" applyFont="1" applyFill="1" applyBorder="1" applyAlignment="1" applyProtection="1">
      <alignment horizontal="right"/>
      <protection locked="0"/>
    </xf>
    <xf numFmtId="175" fontId="23" fillId="14" borderId="10" xfId="1" applyNumberFormat="1" applyFont="1" applyFill="1" applyBorder="1"/>
    <xf numFmtId="187" fontId="23" fillId="14" borderId="10" xfId="9" applyNumberFormat="1" applyFont="1" applyFill="1" applyBorder="1"/>
    <xf numFmtId="175" fontId="23" fillId="11" borderId="0" xfId="1" applyNumberFormat="1" applyFont="1" applyFill="1" applyBorder="1" applyAlignment="1" applyProtection="1">
      <alignment horizontal="right"/>
      <protection locked="0"/>
    </xf>
    <xf numFmtId="9" fontId="32" fillId="11" borderId="0" xfId="1" quotePrefix="1" applyFont="1" applyFill="1" applyBorder="1" applyAlignment="1" applyProtection="1">
      <alignment horizontal="right"/>
      <protection locked="0"/>
    </xf>
    <xf numFmtId="9" fontId="32" fillId="11" borderId="0" xfId="1" applyFont="1" applyFill="1" applyBorder="1" applyAlignment="1" applyProtection="1">
      <alignment horizontal="right"/>
      <protection locked="0"/>
    </xf>
    <xf numFmtId="187" fontId="70" fillId="0" borderId="0" xfId="9" applyNumberFormat="1" applyFont="1" applyFill="1" applyBorder="1" applyAlignment="1" applyProtection="1">
      <alignment horizontal="right"/>
      <protection locked="0"/>
    </xf>
    <xf numFmtId="187" fontId="70" fillId="6" borderId="10" xfId="9" applyNumberFormat="1" applyFont="1" applyFill="1" applyBorder="1" applyAlignment="1">
      <alignment horizontal="right"/>
    </xf>
    <xf numFmtId="43" fontId="28" fillId="0" borderId="0" xfId="9" applyFont="1" applyAlignment="1" applyProtection="1">
      <alignment horizontal="center"/>
      <protection locked="0"/>
    </xf>
    <xf numFmtId="187" fontId="2" fillId="0" borderId="0" xfId="9" applyNumberFormat="1" applyFont="1" applyAlignment="1">
      <alignment horizontal="right"/>
    </xf>
    <xf numFmtId="187" fontId="2" fillId="0" borderId="0" xfId="9" applyNumberFormat="1" applyFont="1" applyFill="1" applyAlignment="1">
      <alignment horizontal="right"/>
    </xf>
    <xf numFmtId="187" fontId="2" fillId="2" borderId="0" xfId="9" applyNumberFormat="1" applyFont="1" applyFill="1" applyAlignment="1">
      <alignment horizontal="left"/>
    </xf>
    <xf numFmtId="187" fontId="58" fillId="4" borderId="11" xfId="9" applyNumberFormat="1" applyFont="1" applyFill="1" applyBorder="1" applyAlignment="1">
      <alignment horizontal="right"/>
    </xf>
    <xf numFmtId="187" fontId="58" fillId="0" borderId="7" xfId="9" applyNumberFormat="1" applyFont="1" applyBorder="1"/>
    <xf numFmtId="187" fontId="58" fillId="0" borderId="33" xfId="9" applyNumberFormat="1" applyFont="1" applyBorder="1"/>
    <xf numFmtId="187" fontId="3" fillId="0" borderId="8" xfId="9" applyNumberFormat="1" applyFont="1" applyBorder="1"/>
    <xf numFmtId="187" fontId="3" fillId="0" borderId="33" xfId="9" applyNumberFormat="1" applyFont="1" applyBorder="1"/>
    <xf numFmtId="174" fontId="3" fillId="0" borderId="0" xfId="0" applyNumberFormat="1" applyFont="1"/>
    <xf numFmtId="187" fontId="32" fillId="18" borderId="8" xfId="9" applyNumberFormat="1" applyFont="1" applyFill="1" applyBorder="1" applyAlignment="1" applyProtection="1">
      <alignment horizontal="right"/>
      <protection locked="0"/>
    </xf>
    <xf numFmtId="175" fontId="23" fillId="18" borderId="0" xfId="1" quotePrefix="1" applyNumberFormat="1" applyFont="1" applyFill="1" applyBorder="1" applyAlignment="1" applyProtection="1">
      <alignment horizontal="right"/>
      <protection locked="0"/>
    </xf>
    <xf numFmtId="187" fontId="23" fillId="18" borderId="0" xfId="9" applyNumberFormat="1" applyFont="1" applyFill="1" applyBorder="1" applyAlignment="1" applyProtection="1">
      <alignment horizontal="right"/>
      <protection locked="0"/>
    </xf>
    <xf numFmtId="187" fontId="23" fillId="18" borderId="0" xfId="9" quotePrefix="1" applyNumberFormat="1" applyFont="1" applyFill="1" applyBorder="1" applyAlignment="1" applyProtection="1">
      <alignment horizontal="right"/>
      <protection locked="0"/>
    </xf>
    <xf numFmtId="187" fontId="23" fillId="19" borderId="0" xfId="9" quotePrefix="1" applyNumberFormat="1" applyFont="1" applyFill="1" applyBorder="1" applyAlignment="1" applyProtection="1">
      <alignment horizontal="right"/>
      <protection locked="0"/>
    </xf>
    <xf numFmtId="9" fontId="32" fillId="19" borderId="0" xfId="1" applyFont="1" applyFill="1" applyBorder="1" applyAlignment="1" applyProtection="1">
      <alignment horizontal="right"/>
      <protection locked="0"/>
    </xf>
    <xf numFmtId="187" fontId="23" fillId="19" borderId="10" xfId="9" applyNumberFormat="1" applyFont="1" applyFill="1" applyBorder="1" applyAlignment="1">
      <alignment horizontal="right"/>
    </xf>
    <xf numFmtId="187" fontId="32" fillId="19" borderId="0" xfId="9" applyNumberFormat="1" applyFont="1" applyFill="1" applyBorder="1" applyAlignment="1" applyProtection="1">
      <alignment horizontal="right"/>
      <protection locked="0"/>
    </xf>
    <xf numFmtId="187" fontId="32" fillId="19" borderId="13" xfId="9" applyNumberFormat="1" applyFont="1" applyFill="1" applyBorder="1" applyAlignment="1" applyProtection="1">
      <alignment horizontal="right"/>
      <protection locked="0"/>
    </xf>
    <xf numFmtId="187" fontId="32" fillId="19" borderId="8" xfId="9" applyNumberFormat="1" applyFont="1" applyFill="1" applyBorder="1" applyAlignment="1" applyProtection="1">
      <alignment horizontal="right"/>
      <protection locked="0"/>
    </xf>
    <xf numFmtId="37" fontId="27" fillId="18" borderId="8" xfId="1" quotePrefix="1" applyNumberFormat="1" applyFont="1" applyFill="1" applyBorder="1" applyAlignment="1" applyProtection="1">
      <protection locked="0"/>
    </xf>
    <xf numFmtId="10" fontId="23" fillId="18" borderId="0" xfId="1" applyNumberFormat="1" applyFont="1" applyFill="1" applyBorder="1" applyAlignment="1" applyProtection="1">
      <alignment horizontal="right"/>
      <protection locked="0"/>
    </xf>
    <xf numFmtId="9" fontId="32" fillId="6" borderId="35" xfId="1" applyFont="1" applyFill="1" applyBorder="1" applyAlignment="1">
      <alignment horizontal="right"/>
    </xf>
    <xf numFmtId="187" fontId="28" fillId="2" borderId="8" xfId="9" quotePrefix="1" applyNumberFormat="1" applyFont="1" applyFill="1" applyBorder="1" applyAlignment="1" applyProtection="1">
      <alignment horizontal="right"/>
      <protection locked="0"/>
    </xf>
    <xf numFmtId="9" fontId="23" fillId="18" borderId="0" xfId="1" quotePrefix="1" applyFont="1" applyFill="1" applyBorder="1" applyAlignment="1" applyProtection="1">
      <alignment horizontal="right"/>
      <protection locked="0"/>
    </xf>
    <xf numFmtId="187" fontId="27" fillId="18" borderId="8" xfId="9" applyNumberFormat="1" applyFont="1" applyFill="1" applyBorder="1" applyAlignment="1" applyProtection="1">
      <alignment horizontal="right"/>
      <protection locked="0"/>
    </xf>
    <xf numFmtId="187" fontId="24" fillId="0" borderId="0" xfId="9" applyNumberFormat="1" applyFont="1" applyBorder="1" applyAlignment="1" applyProtection="1">
      <alignment horizontal="right"/>
      <protection locked="0"/>
    </xf>
    <xf numFmtId="187" fontId="0" fillId="4" borderId="10" xfId="9" applyNumberFormat="1" applyFont="1" applyFill="1" applyBorder="1" applyAlignment="1">
      <alignment horizontal="right"/>
    </xf>
    <xf numFmtId="187" fontId="22" fillId="2" borderId="8" xfId="9" applyNumberFormat="1" applyFont="1" applyFill="1" applyBorder="1" applyAlignment="1" applyProtection="1">
      <alignment horizontal="right"/>
      <protection locked="0"/>
    </xf>
    <xf numFmtId="187" fontId="22" fillId="0" borderId="8" xfId="9" applyNumberFormat="1" applyFont="1" applyBorder="1" applyAlignment="1" applyProtection="1">
      <alignment horizontal="right"/>
      <protection locked="0"/>
    </xf>
    <xf numFmtId="187" fontId="57" fillId="0" borderId="0" xfId="9" applyNumberFormat="1" applyFont="1" applyBorder="1" applyAlignment="1" applyProtection="1">
      <alignment horizontal="right"/>
      <protection locked="0"/>
    </xf>
    <xf numFmtId="187" fontId="57" fillId="6" borderId="10" xfId="9" applyNumberFormat="1" applyFont="1" applyFill="1" applyBorder="1" applyAlignment="1">
      <alignment horizontal="right"/>
    </xf>
    <xf numFmtId="187" fontId="28" fillId="14" borderId="11" xfId="9" applyNumberFormat="1" applyFont="1" applyFill="1" applyBorder="1" applyAlignment="1">
      <alignment horizontal="right"/>
    </xf>
    <xf numFmtId="187" fontId="27" fillId="2" borderId="8" xfId="9" applyNumberFormat="1" applyFont="1" applyFill="1" applyBorder="1" applyAlignment="1" applyProtection="1">
      <alignment horizontal="right"/>
      <protection locked="0"/>
    </xf>
    <xf numFmtId="9" fontId="23" fillId="18" borderId="0" xfId="1" applyFont="1" applyFill="1" applyBorder="1" applyAlignment="1" applyProtection="1">
      <alignment horizontal="right"/>
      <protection locked="0"/>
    </xf>
    <xf numFmtId="187" fontId="32" fillId="2" borderId="0" xfId="1" applyNumberFormat="1" applyFont="1" applyFill="1" applyBorder="1" applyAlignment="1" applyProtection="1">
      <alignment horizontal="right"/>
      <protection locked="0"/>
    </xf>
    <xf numFmtId="174" fontId="4" fillId="2" borderId="0" xfId="0" applyNumberFormat="1" applyFont="1" applyFill="1"/>
    <xf numFmtId="187" fontId="4" fillId="0" borderId="0" xfId="0" applyNumberFormat="1" applyFont="1"/>
    <xf numFmtId="187" fontId="45" fillId="0" borderId="0" xfId="0" applyNumberFormat="1" applyFont="1"/>
    <xf numFmtId="187" fontId="24" fillId="2" borderId="0" xfId="9" quotePrefix="1" applyNumberFormat="1" applyFont="1" applyFill="1" applyBorder="1" applyAlignment="1" applyProtection="1">
      <alignment horizontal="center"/>
      <protection locked="0"/>
    </xf>
    <xf numFmtId="187" fontId="3" fillId="2" borderId="8" xfId="9" applyNumberFormat="1" applyFont="1" applyFill="1" applyBorder="1"/>
    <xf numFmtId="187" fontId="23" fillId="2" borderId="0" xfId="0" applyNumberFormat="1" applyFont="1" applyFill="1"/>
    <xf numFmtId="9" fontId="23" fillId="2" borderId="0" xfId="9" quotePrefix="1" applyNumberFormat="1" applyFont="1" applyFill="1" applyBorder="1" applyAlignment="1" applyProtection="1">
      <protection locked="0"/>
    </xf>
    <xf numFmtId="9" fontId="23" fillId="0" borderId="0" xfId="9" quotePrefix="1" applyNumberFormat="1" applyFont="1" applyFill="1" applyBorder="1" applyAlignment="1" applyProtection="1">
      <alignment horizontal="right"/>
      <protection locked="0"/>
    </xf>
    <xf numFmtId="184" fontId="32" fillId="0" borderId="0" xfId="9" quotePrefix="1" applyNumberFormat="1" applyFont="1" applyFill="1" applyBorder="1" applyAlignment="1" applyProtection="1">
      <alignment horizontal="right"/>
      <protection locked="0"/>
    </xf>
    <xf numFmtId="184" fontId="23" fillId="0" borderId="0" xfId="9" quotePrefix="1" applyNumberFormat="1" applyFont="1" applyFill="1" applyBorder="1" applyAlignment="1" applyProtection="1">
      <alignment horizontal="right"/>
      <protection locked="0"/>
    </xf>
    <xf numFmtId="187" fontId="28" fillId="2" borderId="0" xfId="9" applyNumberFormat="1" applyFont="1" applyFill="1" applyProtection="1">
      <protection locked="0"/>
    </xf>
    <xf numFmtId="10" fontId="54" fillId="0" borderId="0" xfId="9" applyNumberFormat="1" applyFont="1" applyFill="1" applyBorder="1" applyAlignment="1" applyProtection="1">
      <alignment horizontal="right"/>
      <protection locked="0"/>
    </xf>
    <xf numFmtId="43" fontId="27" fillId="0" borderId="0" xfId="9" applyFont="1" applyFill="1" applyBorder="1" applyAlignment="1" applyProtection="1">
      <alignment horizontal="left" indent="1"/>
      <protection locked="0"/>
    </xf>
    <xf numFmtId="7" fontId="29" fillId="0" borderId="0" xfId="1" applyNumberFormat="1" applyFont="1" applyFill="1" applyBorder="1" applyAlignment="1" applyProtection="1">
      <alignment horizontal="right"/>
      <protection locked="0"/>
    </xf>
    <xf numFmtId="7" fontId="29" fillId="6" borderId="10" xfId="1" applyNumberFormat="1" applyFont="1" applyFill="1" applyBorder="1" applyAlignment="1">
      <alignment horizontal="right"/>
    </xf>
    <xf numFmtId="7" fontId="22" fillId="2" borderId="0" xfId="1" applyNumberFormat="1" applyFont="1" applyFill="1" applyBorder="1" applyAlignment="1" applyProtection="1">
      <alignment horizontal="right"/>
      <protection locked="0"/>
    </xf>
    <xf numFmtId="7" fontId="22" fillId="0" borderId="0" xfId="1" applyNumberFormat="1" applyFont="1" applyFill="1" applyBorder="1" applyAlignment="1" applyProtection="1">
      <alignment horizontal="right"/>
      <protection locked="0"/>
    </xf>
    <xf numFmtId="7" fontId="3" fillId="4" borderId="10" xfId="1" applyNumberFormat="1" applyFont="1" applyFill="1" applyBorder="1" applyAlignment="1">
      <alignment horizontal="right"/>
    </xf>
    <xf numFmtId="5" fontId="22" fillId="0" borderId="0" xfId="8" applyNumberFormat="1" applyFont="1" applyAlignment="1">
      <alignment horizontal="right"/>
      <protection locked="0"/>
    </xf>
    <xf numFmtId="9" fontId="23" fillId="18" borderId="0" xfId="1" quotePrefix="1" applyFont="1" applyFill="1" applyBorder="1" applyAlignment="1" applyProtection="1">
      <alignment horizontal="center"/>
      <protection locked="0"/>
    </xf>
    <xf numFmtId="187" fontId="23" fillId="6" borderId="11" xfId="9" applyNumberFormat="1" applyFont="1" applyFill="1" applyBorder="1" applyAlignment="1">
      <alignment horizontal="right"/>
    </xf>
    <xf numFmtId="43" fontId="27" fillId="2" borderId="7" xfId="9" applyFont="1" applyFill="1" applyBorder="1" applyAlignment="1">
      <alignment horizontal="left"/>
    </xf>
    <xf numFmtId="187" fontId="23" fillId="2" borderId="0" xfId="9" applyNumberFormat="1" applyFont="1" applyFill="1" applyBorder="1" applyAlignment="1" applyProtection="1">
      <protection locked="0"/>
    </xf>
    <xf numFmtId="9" fontId="22" fillId="2" borderId="0" xfId="1" applyFont="1" applyFill="1" applyBorder="1" applyAlignment="1" applyProtection="1">
      <alignment horizontal="center"/>
      <protection locked="0"/>
    </xf>
    <xf numFmtId="9" fontId="27" fillId="2" borderId="0" xfId="1" applyFont="1" applyFill="1" applyBorder="1" applyAlignment="1" applyProtection="1">
      <alignment horizontal="center"/>
      <protection locked="0"/>
    </xf>
    <xf numFmtId="43" fontId="4" fillId="0" borderId="0" xfId="9" applyFont="1" applyAlignment="1">
      <alignment horizontal="left"/>
    </xf>
    <xf numFmtId="43" fontId="4" fillId="2" borderId="0" xfId="9" applyFont="1" applyFill="1"/>
    <xf numFmtId="43" fontId="4" fillId="0" borderId="0" xfId="9" applyFont="1" applyFill="1"/>
    <xf numFmtId="43" fontId="30" fillId="0" borderId="0" xfId="9" applyFont="1" applyAlignment="1">
      <alignment horizontal="center"/>
    </xf>
    <xf numFmtId="43" fontId="56" fillId="0" borderId="0" xfId="9" applyFont="1" applyFill="1" applyBorder="1" applyAlignment="1" applyProtection="1">
      <alignment horizontal="left" indent="1"/>
      <protection locked="0"/>
    </xf>
    <xf numFmtId="175" fontId="28" fillId="0" borderId="0" xfId="1" quotePrefix="1" applyNumberFormat="1" applyFont="1" applyFill="1" applyBorder="1" applyAlignment="1" applyProtection="1">
      <alignment horizontal="right"/>
      <protection locked="0"/>
    </xf>
    <xf numFmtId="175" fontId="28" fillId="0" borderId="0" xfId="1" applyNumberFormat="1" applyFont="1" applyFill="1" applyBorder="1" applyAlignment="1" applyProtection="1">
      <alignment horizontal="right"/>
      <protection locked="0"/>
    </xf>
    <xf numFmtId="175" fontId="28" fillId="6" borderId="10" xfId="1" applyNumberFormat="1" applyFont="1" applyFill="1" applyBorder="1" applyAlignment="1">
      <alignment horizontal="right"/>
    </xf>
    <xf numFmtId="175" fontId="27" fillId="0" borderId="0" xfId="1" quotePrefix="1" applyNumberFormat="1" applyFont="1" applyFill="1" applyBorder="1" applyAlignment="1" applyProtection="1">
      <alignment horizontal="right"/>
      <protection locked="0"/>
    </xf>
    <xf numFmtId="43" fontId="22" fillId="0" borderId="0" xfId="9" applyFont="1" applyProtection="1">
      <protection locked="0"/>
    </xf>
    <xf numFmtId="43" fontId="44" fillId="0" borderId="0" xfId="9" applyFont="1"/>
    <xf numFmtId="43" fontId="0" fillId="0" borderId="0" xfId="9" applyFont="1" applyAlignment="1">
      <alignment horizontal="left" indent="2"/>
    </xf>
    <xf numFmtId="187" fontId="24" fillId="0" borderId="0" xfId="8" applyNumberFormat="1" applyFont="1" applyAlignment="1">
      <alignment horizontal="right"/>
      <protection locked="0"/>
    </xf>
    <xf numFmtId="187" fontId="52" fillId="0" borderId="0" xfId="9" applyNumberFormat="1" applyFont="1" applyFill="1" applyBorder="1" applyAlignment="1" applyProtection="1">
      <alignment horizontal="right"/>
      <protection locked="0"/>
    </xf>
    <xf numFmtId="187" fontId="52" fillId="2" borderId="0" xfId="9" applyNumberFormat="1" applyFont="1" applyFill="1" applyAlignment="1">
      <alignment horizontal="left" indent="1"/>
    </xf>
    <xf numFmtId="187" fontId="54" fillId="2" borderId="0" xfId="9" applyNumberFormat="1" applyFont="1" applyFill="1" applyAlignment="1">
      <alignment horizontal="left" indent="2"/>
    </xf>
    <xf numFmtId="175" fontId="24" fillId="0" borderId="0" xfId="1" applyNumberFormat="1" applyFont="1" applyFill="1" applyBorder="1" applyAlignment="1" applyProtection="1">
      <alignment horizontal="right"/>
      <protection locked="0"/>
    </xf>
    <xf numFmtId="187" fontId="4" fillId="2" borderId="0" xfId="9" applyNumberFormat="1" applyFont="1" applyFill="1"/>
    <xf numFmtId="9" fontId="23" fillId="2" borderId="38" xfId="0" applyNumberFormat="1" applyFont="1" applyFill="1" applyBorder="1"/>
    <xf numFmtId="9" fontId="23" fillId="2" borderId="0" xfId="0" applyNumberFormat="1" applyFont="1" applyFill="1"/>
    <xf numFmtId="175" fontId="33" fillId="0" borderId="0" xfId="7" applyNumberFormat="1" applyFont="1" applyAlignment="1">
      <alignment vertical="center"/>
    </xf>
    <xf numFmtId="196" fontId="29" fillId="0" borderId="0" xfId="8" applyNumberFormat="1" applyFont="1" applyAlignment="1">
      <alignment horizontal="right"/>
      <protection locked="0"/>
    </xf>
    <xf numFmtId="175" fontId="23" fillId="0" borderId="0" xfId="0" applyNumberFormat="1" applyFont="1"/>
    <xf numFmtId="9" fontId="29" fillId="2" borderId="0" xfId="8" applyNumberFormat="1" applyFont="1" applyFill="1" applyAlignment="1">
      <alignment horizontal="right"/>
      <protection locked="0"/>
    </xf>
    <xf numFmtId="9" fontId="32" fillId="0" borderId="0" xfId="9" applyNumberFormat="1" applyFont="1" applyFill="1" applyBorder="1" applyAlignment="1" applyProtection="1">
      <alignment horizontal="right"/>
      <protection locked="0"/>
    </xf>
    <xf numFmtId="167" fontId="29" fillId="0" borderId="0" xfId="7" applyNumberFormat="1" applyFont="1" applyAlignment="1">
      <alignment horizontal="centerContinuous" vertical="top"/>
    </xf>
    <xf numFmtId="10" fontId="29" fillId="2" borderId="0" xfId="8" applyNumberFormat="1" applyFont="1" applyFill="1" applyAlignment="1">
      <alignment horizontal="right"/>
      <protection locked="0"/>
    </xf>
    <xf numFmtId="43" fontId="32" fillId="0" borderId="0" xfId="9" applyFont="1" applyAlignment="1">
      <alignment horizontal="left" indent="2"/>
    </xf>
    <xf numFmtId="43" fontId="29" fillId="0" borderId="0" xfId="8" applyNumberFormat="1" applyFont="1" applyAlignment="1">
      <alignment horizontal="right"/>
      <protection locked="0"/>
    </xf>
    <xf numFmtId="10" fontId="52" fillId="6" borderId="10" xfId="9" applyNumberFormat="1" applyFont="1" applyFill="1" applyBorder="1"/>
    <xf numFmtId="43" fontId="52" fillId="0" borderId="0" xfId="9" applyFont="1" applyBorder="1" applyAlignment="1">
      <alignment horizontal="left"/>
    </xf>
    <xf numFmtId="37" fontId="23" fillId="0" borderId="0" xfId="8" applyNumberFormat="1" applyFont="1">
      <protection locked="0"/>
    </xf>
    <xf numFmtId="37" fontId="23" fillId="0" borderId="0" xfId="8" applyNumberFormat="1" applyFont="1" applyAlignment="1">
      <alignment horizontal="right"/>
      <protection locked="0"/>
    </xf>
    <xf numFmtId="37" fontId="52" fillId="6" borderId="10" xfId="1" applyNumberFormat="1" applyFont="1" applyFill="1" applyBorder="1" applyAlignment="1"/>
    <xf numFmtId="37" fontId="0" fillId="4" borderId="10" xfId="0" applyNumberFormat="1" applyFill="1" applyBorder="1"/>
    <xf numFmtId="37" fontId="23" fillId="2" borderId="0" xfId="1" quotePrefix="1" applyNumberFormat="1" applyFont="1" applyFill="1" applyBorder="1" applyAlignment="1" applyProtection="1">
      <protection locked="0"/>
    </xf>
    <xf numFmtId="9" fontId="52" fillId="6" borderId="10" xfId="9" applyNumberFormat="1" applyFont="1" applyFill="1" applyBorder="1" applyAlignment="1">
      <alignment horizontal="right"/>
    </xf>
    <xf numFmtId="9" fontId="52" fillId="0" borderId="0" xfId="9" applyNumberFormat="1" applyFont="1" applyFill="1" applyBorder="1" applyAlignment="1" applyProtection="1">
      <alignment horizontal="right"/>
      <protection locked="0"/>
    </xf>
    <xf numFmtId="9" fontId="32" fillId="6" borderId="10" xfId="9" applyNumberFormat="1" applyFont="1" applyFill="1" applyBorder="1" applyAlignment="1">
      <alignment horizontal="right"/>
    </xf>
    <xf numFmtId="9" fontId="23" fillId="0" borderId="0" xfId="9" applyNumberFormat="1" applyFont="1" applyFill="1" applyBorder="1" applyAlignment="1" applyProtection="1">
      <alignment horizontal="right"/>
      <protection locked="0"/>
    </xf>
    <xf numFmtId="9" fontId="32" fillId="2" borderId="0" xfId="9" applyNumberFormat="1" applyFont="1" applyFill="1" applyBorder="1" applyAlignment="1" applyProtection="1">
      <alignment horizontal="right"/>
      <protection locked="0"/>
    </xf>
    <xf numFmtId="9" fontId="32" fillId="2" borderId="25" xfId="1" applyFont="1" applyFill="1" applyBorder="1" applyAlignment="1" applyProtection="1">
      <alignment horizontal="right"/>
      <protection locked="0"/>
    </xf>
    <xf numFmtId="175" fontId="45" fillId="0" borderId="0" xfId="1" applyNumberFormat="1" applyFont="1" applyBorder="1" applyAlignment="1" applyProtection="1">
      <alignment horizontal="right"/>
      <protection locked="0"/>
    </xf>
    <xf numFmtId="9" fontId="52" fillId="6" borderId="17" xfId="1" applyFont="1" applyFill="1" applyBorder="1"/>
    <xf numFmtId="9" fontId="32" fillId="6" borderId="28" xfId="1" applyFont="1" applyFill="1" applyBorder="1"/>
    <xf numFmtId="43" fontId="52" fillId="0" borderId="0" xfId="9" applyFont="1" applyBorder="1"/>
    <xf numFmtId="195" fontId="32" fillId="6" borderId="20" xfId="1" applyNumberFormat="1" applyFont="1" applyFill="1" applyBorder="1" applyAlignment="1">
      <alignment horizontal="right"/>
    </xf>
    <xf numFmtId="37" fontId="58" fillId="6" borderId="11" xfId="1" applyNumberFormat="1" applyFont="1" applyFill="1" applyBorder="1" applyAlignment="1"/>
    <xf numFmtId="9" fontId="33" fillId="6" borderId="10" xfId="1" applyFont="1" applyFill="1" applyBorder="1"/>
    <xf numFmtId="175" fontId="24" fillId="0" borderId="0" xfId="1" quotePrefix="1" applyNumberFormat="1" applyFont="1" applyFill="1" applyBorder="1" applyAlignment="1" applyProtection="1">
      <alignment horizontal="right"/>
      <protection locked="0"/>
    </xf>
    <xf numFmtId="187" fontId="44" fillId="4" borderId="10" xfId="1" applyNumberFormat="1" applyFont="1" applyFill="1" applyBorder="1" applyAlignment="1">
      <alignment horizontal="right"/>
    </xf>
    <xf numFmtId="187" fontId="33" fillId="0" borderId="0" xfId="1" applyNumberFormat="1" applyFont="1" applyFill="1" applyBorder="1" applyAlignment="1">
      <alignment horizontal="right"/>
    </xf>
    <xf numFmtId="187" fontId="33" fillId="0" borderId="0" xfId="1" applyNumberFormat="1" applyFont="1" applyFill="1" applyBorder="1"/>
    <xf numFmtId="187" fontId="44" fillId="4" borderId="10" xfId="1" applyNumberFormat="1" applyFont="1" applyFill="1" applyBorder="1"/>
    <xf numFmtId="184" fontId="44" fillId="4" borderId="10" xfId="1" applyNumberFormat="1" applyFont="1" applyFill="1" applyBorder="1" applyAlignment="1">
      <alignment horizontal="right"/>
    </xf>
    <xf numFmtId="184" fontId="33" fillId="0" borderId="0" xfId="1" applyNumberFormat="1" applyFont="1" applyFill="1" applyBorder="1" applyAlignment="1">
      <alignment horizontal="right"/>
    </xf>
    <xf numFmtId="184" fontId="33" fillId="0" borderId="0" xfId="1" applyNumberFormat="1" applyFont="1" applyFill="1" applyBorder="1"/>
    <xf numFmtId="184" fontId="44" fillId="4" borderId="10" xfId="1" applyNumberFormat="1" applyFont="1" applyFill="1" applyBorder="1"/>
    <xf numFmtId="187" fontId="52" fillId="0" borderId="7" xfId="9" applyNumberFormat="1" applyFont="1" applyBorder="1" applyAlignment="1">
      <alignment horizontal="left"/>
    </xf>
    <xf numFmtId="187" fontId="23" fillId="0" borderId="8" xfId="9" applyNumberFormat="1" applyFont="1" applyBorder="1" applyProtection="1">
      <protection locked="0"/>
    </xf>
    <xf numFmtId="187" fontId="23" fillId="0" borderId="8" xfId="9" applyNumberFormat="1" applyFont="1" applyBorder="1" applyAlignment="1" applyProtection="1">
      <alignment horizontal="right"/>
      <protection locked="0"/>
    </xf>
    <xf numFmtId="187" fontId="23" fillId="0" borderId="33" xfId="9" applyNumberFormat="1" applyFont="1" applyBorder="1" applyAlignment="1" applyProtection="1">
      <alignment horizontal="right"/>
      <protection locked="0"/>
    </xf>
    <xf numFmtId="187" fontId="32" fillId="2" borderId="8" xfId="9" quotePrefix="1" applyNumberFormat="1" applyFont="1" applyFill="1" applyBorder="1" applyAlignment="1" applyProtection="1">
      <protection locked="0"/>
    </xf>
    <xf numFmtId="187" fontId="0" fillId="4" borderId="11" xfId="9" applyNumberFormat="1" applyFont="1" applyFill="1" applyBorder="1"/>
    <xf numFmtId="9" fontId="52" fillId="2" borderId="0" xfId="9" applyNumberFormat="1" applyFont="1" applyFill="1" applyBorder="1" applyAlignment="1" applyProtection="1">
      <alignment horizontal="right"/>
      <protection locked="0"/>
    </xf>
    <xf numFmtId="43" fontId="3" fillId="2" borderId="0" xfId="9" applyFont="1" applyFill="1" applyAlignment="1">
      <alignment horizontal="left"/>
    </xf>
    <xf numFmtId="187" fontId="52" fillId="2" borderId="0" xfId="1" applyNumberFormat="1" applyFont="1" applyFill="1" applyBorder="1" applyAlignment="1" applyProtection="1">
      <alignment horizontal="right"/>
      <protection locked="0"/>
    </xf>
    <xf numFmtId="187" fontId="23" fillId="2" borderId="13" xfId="9" applyNumberFormat="1" applyFont="1" applyFill="1" applyBorder="1" applyProtection="1">
      <protection locked="0"/>
    </xf>
    <xf numFmtId="187" fontId="27" fillId="2" borderId="8" xfId="9" applyNumberFormat="1" applyFont="1" applyFill="1" applyBorder="1"/>
    <xf numFmtId="187" fontId="24" fillId="2" borderId="0" xfId="9" quotePrefix="1" applyNumberFormat="1" applyFont="1" applyFill="1" applyBorder="1" applyAlignment="1" applyProtection="1">
      <alignment horizontal="right"/>
      <protection locked="0"/>
    </xf>
    <xf numFmtId="175" fontId="57" fillId="2" borderId="0" xfId="1" applyNumberFormat="1" applyFont="1" applyFill="1" applyBorder="1" applyAlignment="1" applyProtection="1">
      <alignment horizontal="right"/>
      <protection locked="0"/>
    </xf>
    <xf numFmtId="9" fontId="32" fillId="2" borderId="13" xfId="1" applyFont="1" applyFill="1" applyBorder="1" applyAlignment="1" applyProtection="1">
      <alignment horizontal="right"/>
      <protection locked="0"/>
    </xf>
    <xf numFmtId="193" fontId="32" fillId="2" borderId="0" xfId="1" applyNumberFormat="1" applyFont="1" applyFill="1" applyBorder="1" applyAlignment="1" applyProtection="1">
      <alignment horizontal="right"/>
      <protection locked="0"/>
    </xf>
    <xf numFmtId="37" fontId="65" fillId="2" borderId="0" xfId="8" applyNumberFormat="1" applyFont="1" applyFill="1" applyAlignment="1">
      <alignment horizontal="right"/>
      <protection locked="0"/>
    </xf>
    <xf numFmtId="175" fontId="29" fillId="0" borderId="0" xfId="1" applyNumberFormat="1" applyFont="1" applyFill="1" applyBorder="1" applyAlignment="1" applyProtection="1">
      <alignment horizontal="left" indent="2"/>
      <protection locked="0"/>
    </xf>
    <xf numFmtId="175" fontId="22" fillId="0" borderId="0" xfId="1" applyNumberFormat="1" applyFont="1" applyFill="1" applyBorder="1" applyAlignment="1" applyProtection="1">
      <alignment horizontal="right"/>
      <protection locked="0"/>
    </xf>
    <xf numFmtId="175" fontId="3" fillId="4" borderId="10" xfId="1" applyNumberFormat="1" applyFont="1" applyFill="1" applyBorder="1" applyAlignment="1">
      <alignment horizontal="right"/>
    </xf>
    <xf numFmtId="187" fontId="22" fillId="0" borderId="0" xfId="8" applyNumberFormat="1" applyFont="1" applyAlignment="1">
      <alignment horizontal="right"/>
      <protection locked="0"/>
    </xf>
    <xf numFmtId="195" fontId="32" fillId="2" borderId="0" xfId="1" applyNumberFormat="1" applyFont="1" applyFill="1" applyBorder="1" applyAlignment="1" applyProtection="1">
      <alignment horizontal="right"/>
      <protection locked="0"/>
    </xf>
    <xf numFmtId="43" fontId="29" fillId="2" borderId="0" xfId="9" applyFont="1" applyFill="1" applyAlignment="1" applyProtection="1">
      <alignment horizontal="center"/>
      <protection locked="0"/>
    </xf>
    <xf numFmtId="9" fontId="32" fillId="2" borderId="8" xfId="1" applyFont="1" applyFill="1" applyBorder="1" applyAlignment="1" applyProtection="1">
      <alignment horizontal="right"/>
      <protection locked="0"/>
    </xf>
    <xf numFmtId="175" fontId="33" fillId="0" borderId="0" xfId="9" applyNumberFormat="1" applyFont="1" applyFill="1" applyBorder="1" applyAlignment="1" applyProtection="1">
      <alignment horizontal="left" indent="1"/>
      <protection locked="0"/>
    </xf>
    <xf numFmtId="10" fontId="32" fillId="2" borderId="0" xfId="9" quotePrefix="1" applyNumberFormat="1" applyFont="1" applyFill="1" applyBorder="1" applyAlignment="1" applyProtection="1">
      <alignment horizontal="right"/>
      <protection locked="0"/>
    </xf>
    <xf numFmtId="10" fontId="23" fillId="2" borderId="0" xfId="1" applyNumberFormat="1" applyFont="1" applyFill="1" applyBorder="1" applyAlignment="1" applyProtection="1">
      <alignment horizontal="right"/>
      <protection locked="0"/>
    </xf>
    <xf numFmtId="187" fontId="52" fillId="0" borderId="0" xfId="9" applyNumberFormat="1" applyFont="1" applyFill="1" applyBorder="1" applyAlignment="1" applyProtection="1">
      <alignment horizontal="left" indent="1"/>
      <protection locked="0"/>
    </xf>
    <xf numFmtId="187" fontId="27" fillId="0" borderId="7" xfId="9" applyNumberFormat="1" applyFont="1" applyBorder="1"/>
    <xf numFmtId="9" fontId="67" fillId="0" borderId="0" xfId="9" applyNumberFormat="1" applyFont="1" applyFill="1" applyBorder="1" applyAlignment="1" applyProtection="1">
      <alignment horizontal="right"/>
      <protection locked="0"/>
    </xf>
    <xf numFmtId="9" fontId="67" fillId="6" borderId="10" xfId="9" applyNumberFormat="1" applyFont="1" applyFill="1" applyBorder="1" applyAlignment="1">
      <alignment horizontal="right"/>
    </xf>
    <xf numFmtId="9" fontId="67" fillId="2" borderId="0" xfId="9" applyNumberFormat="1" applyFont="1" applyFill="1" applyBorder="1" applyAlignment="1" applyProtection="1">
      <alignment horizontal="right"/>
      <protection locked="0"/>
    </xf>
    <xf numFmtId="187" fontId="67" fillId="0" borderId="0" xfId="9" applyNumberFormat="1" applyFont="1" applyFill="1" applyBorder="1" applyAlignment="1" applyProtection="1">
      <alignment horizontal="right"/>
      <protection locked="0"/>
    </xf>
    <xf numFmtId="187" fontId="67" fillId="6" borderId="10" xfId="9" applyNumberFormat="1" applyFont="1" applyFill="1" applyBorder="1" applyAlignment="1">
      <alignment horizontal="right"/>
    </xf>
    <xf numFmtId="43" fontId="29" fillId="0" borderId="0" xfId="9" applyFont="1" applyFill="1" applyBorder="1" applyAlignment="1" applyProtection="1">
      <alignment horizontal="left"/>
      <protection locked="0"/>
    </xf>
    <xf numFmtId="37" fontId="57" fillId="2" borderId="0" xfId="1" applyNumberFormat="1" applyFont="1" applyFill="1" applyBorder="1" applyAlignment="1" applyProtection="1">
      <alignment horizontal="right"/>
      <protection locked="0"/>
    </xf>
    <xf numFmtId="187" fontId="23" fillId="2" borderId="0" xfId="9" applyNumberFormat="1" applyFont="1" applyFill="1" applyBorder="1" applyAlignment="1" applyProtection="1">
      <alignment horizontal="center"/>
      <protection locked="0"/>
    </xf>
    <xf numFmtId="9" fontId="31" fillId="2" borderId="0" xfId="8" applyNumberFormat="1" applyFont="1" applyFill="1" applyAlignment="1">
      <alignment horizontal="right"/>
      <protection locked="0"/>
    </xf>
    <xf numFmtId="9" fontId="65" fillId="2" borderId="0" xfId="8" applyNumberFormat="1" applyFont="1" applyFill="1" applyAlignment="1">
      <alignment horizontal="right"/>
      <protection locked="0"/>
    </xf>
    <xf numFmtId="37" fontId="22" fillId="2" borderId="0" xfId="8" applyNumberFormat="1" applyFont="1" applyFill="1" applyAlignment="1">
      <alignment horizontal="right"/>
      <protection locked="0"/>
    </xf>
    <xf numFmtId="37" fontId="31" fillId="2" borderId="0" xfId="8" applyNumberFormat="1" applyFont="1" applyFill="1" applyAlignment="1">
      <alignment horizontal="right"/>
      <protection locked="0"/>
    </xf>
    <xf numFmtId="187" fontId="23" fillId="11" borderId="0" xfId="9" quotePrefix="1" applyNumberFormat="1" applyFont="1" applyFill="1" applyBorder="1" applyAlignment="1" applyProtection="1">
      <alignment horizontal="right"/>
      <protection locked="0"/>
    </xf>
    <xf numFmtId="175" fontId="23" fillId="6" borderId="9" xfId="1" applyNumberFormat="1" applyFont="1" applyFill="1" applyBorder="1" applyAlignment="1">
      <alignment horizontal="right"/>
    </xf>
    <xf numFmtId="43" fontId="52" fillId="0" borderId="21" xfId="9" applyFont="1" applyFill="1" applyBorder="1" applyAlignment="1" applyProtection="1">
      <alignment horizontal="left" indent="2"/>
      <protection locked="0"/>
    </xf>
    <xf numFmtId="43" fontId="54" fillId="0" borderId="19" xfId="9" applyFont="1" applyBorder="1" applyAlignment="1">
      <alignment horizontal="left" indent="3"/>
    </xf>
    <xf numFmtId="187" fontId="32" fillId="6" borderId="11" xfId="1" applyNumberFormat="1" applyFont="1" applyFill="1" applyBorder="1" applyAlignment="1">
      <alignment horizontal="right"/>
    </xf>
    <xf numFmtId="187" fontId="27" fillId="2" borderId="8" xfId="9" quotePrefix="1" applyNumberFormat="1" applyFont="1" applyFill="1" applyBorder="1" applyAlignment="1" applyProtection="1">
      <alignment horizontal="right"/>
      <protection locked="0"/>
    </xf>
    <xf numFmtId="187" fontId="32" fillId="6" borderId="22" xfId="1" applyNumberFormat="1" applyFont="1" applyFill="1" applyBorder="1" applyAlignment="1">
      <alignment horizontal="right"/>
    </xf>
    <xf numFmtId="43" fontId="29" fillId="0" borderId="19" xfId="9" applyFont="1" applyFill="1" applyBorder="1" applyAlignment="1" applyProtection="1">
      <alignment horizontal="left" indent="2"/>
      <protection locked="0"/>
    </xf>
    <xf numFmtId="43" fontId="29" fillId="2" borderId="19" xfId="9" applyFont="1" applyFill="1" applyBorder="1" applyAlignment="1" applyProtection="1">
      <alignment horizontal="left" indent="2"/>
      <protection locked="0"/>
    </xf>
    <xf numFmtId="43" fontId="29" fillId="2" borderId="19" xfId="9" applyFont="1" applyFill="1" applyBorder="1" applyAlignment="1" applyProtection="1">
      <alignment horizontal="left" indent="1"/>
      <protection locked="0"/>
    </xf>
    <xf numFmtId="9" fontId="52" fillId="0" borderId="0" xfId="8" applyNumberFormat="1" applyFont="1" applyAlignment="1">
      <alignment horizontal="right"/>
      <protection locked="0"/>
    </xf>
    <xf numFmtId="43" fontId="32" fillId="2" borderId="0" xfId="9" applyFont="1" applyFill="1" applyAlignment="1">
      <alignment horizontal="left" indent="2"/>
    </xf>
    <xf numFmtId="43" fontId="22" fillId="0" borderId="0" xfId="9" applyFont="1" applyAlignment="1">
      <alignment horizontal="left" vertical="center"/>
    </xf>
    <xf numFmtId="43" fontId="25" fillId="0" borderId="0" xfId="9" applyFont="1" applyAlignment="1">
      <alignment horizontal="left" vertical="center"/>
    </xf>
    <xf numFmtId="43" fontId="22" fillId="0" borderId="0" xfId="9" applyFont="1" applyAlignment="1">
      <alignment vertical="center"/>
    </xf>
    <xf numFmtId="43" fontId="28" fillId="0" borderId="0" xfId="9" applyFont="1" applyAlignment="1">
      <alignment horizontal="left" vertical="center"/>
    </xf>
    <xf numFmtId="43" fontId="31" fillId="0" borderId="0" xfId="9" applyFont="1" applyAlignment="1">
      <alignment vertical="center"/>
    </xf>
    <xf numFmtId="43" fontId="24" fillId="0" borderId="0" xfId="9" applyFont="1" applyAlignment="1">
      <alignment horizontal="left" vertical="center" indent="1"/>
    </xf>
    <xf numFmtId="43" fontId="27" fillId="0" borderId="7" xfId="9" applyFont="1" applyBorder="1" applyAlignment="1">
      <alignment horizontal="left" vertical="center" indent="2"/>
    </xf>
    <xf numFmtId="43" fontId="31" fillId="0" borderId="0" xfId="9" applyFont="1" applyFill="1" applyBorder="1" applyAlignment="1" applyProtection="1">
      <alignment horizontal="left" indent="1"/>
      <protection locked="0"/>
    </xf>
    <xf numFmtId="43" fontId="27" fillId="2" borderId="7" xfId="9" applyFont="1" applyFill="1" applyBorder="1" applyAlignment="1">
      <alignment horizontal="left" vertical="center" indent="1"/>
    </xf>
    <xf numFmtId="43" fontId="33" fillId="0" borderId="0" xfId="9" applyFont="1" applyFill="1" applyBorder="1" applyAlignment="1" applyProtection="1">
      <alignment horizontal="left" indent="2"/>
      <protection locked="0"/>
    </xf>
    <xf numFmtId="43" fontId="31" fillId="0" borderId="0" xfId="9" applyFont="1" applyFill="1" applyBorder="1" applyAlignment="1" applyProtection="1">
      <alignment horizontal="left" indent="2"/>
      <protection locked="0"/>
    </xf>
    <xf numFmtId="43" fontId="24" fillId="0" borderId="0" xfId="9" applyFont="1" applyAlignment="1">
      <alignment vertical="center"/>
    </xf>
    <xf numFmtId="43" fontId="33" fillId="2" borderId="0" xfId="9" applyFont="1" applyFill="1" applyBorder="1" applyAlignment="1" applyProtection="1">
      <alignment horizontal="left" indent="1"/>
      <protection locked="0"/>
    </xf>
    <xf numFmtId="187" fontId="4" fillId="0" borderId="0" xfId="9" applyNumberFormat="1" applyFont="1" applyAlignment="1">
      <alignment vertical="center"/>
    </xf>
    <xf numFmtId="187" fontId="27" fillId="0" borderId="7" xfId="9" applyNumberFormat="1" applyFont="1" applyBorder="1" applyAlignment="1">
      <alignment horizontal="left" vertical="center" indent="1"/>
    </xf>
    <xf numFmtId="187" fontId="27" fillId="0" borderId="8" xfId="9" applyNumberFormat="1" applyFont="1" applyBorder="1" applyAlignment="1">
      <alignment horizontal="left" vertical="center" indent="1"/>
    </xf>
    <xf numFmtId="187" fontId="27" fillId="0" borderId="8" xfId="9" applyNumberFormat="1" applyFont="1" applyBorder="1" applyAlignment="1">
      <alignment horizontal="right" vertical="center"/>
    </xf>
    <xf numFmtId="187" fontId="27" fillId="3" borderId="8" xfId="9" applyNumberFormat="1" applyFont="1" applyFill="1" applyBorder="1" applyAlignment="1">
      <alignment horizontal="right" vertical="center"/>
    </xf>
    <xf numFmtId="187" fontId="32" fillId="0" borderId="0" xfId="9" applyNumberFormat="1" applyFont="1" applyAlignment="1">
      <alignment vertical="center"/>
    </xf>
    <xf numFmtId="187" fontId="4" fillId="0" borderId="0" xfId="7" applyNumberFormat="1" applyFont="1" applyAlignment="1">
      <alignment vertical="center"/>
    </xf>
    <xf numFmtId="187" fontId="27" fillId="0" borderId="8" xfId="7" applyNumberFormat="1" applyFont="1" applyBorder="1" applyAlignment="1">
      <alignment horizontal="left" vertical="center" indent="1"/>
    </xf>
    <xf numFmtId="187" fontId="27" fillId="0" borderId="8" xfId="7" applyNumberFormat="1" applyFont="1" applyBorder="1" applyAlignment="1">
      <alignment horizontal="right" vertical="center"/>
    </xf>
    <xf numFmtId="187" fontId="27" fillId="3" borderId="8" xfId="7" applyNumberFormat="1" applyFont="1" applyFill="1" applyBorder="1" applyAlignment="1">
      <alignment horizontal="right" vertical="center"/>
    </xf>
    <xf numFmtId="187" fontId="32" fillId="0" borderId="0" xfId="7" applyNumberFormat="1" applyFont="1" applyAlignment="1">
      <alignment vertical="center"/>
    </xf>
    <xf numFmtId="187" fontId="27" fillId="5" borderId="7" xfId="9" applyNumberFormat="1" applyFont="1" applyFill="1" applyBorder="1" applyAlignment="1">
      <alignment horizontal="left" vertical="center" indent="1"/>
    </xf>
    <xf numFmtId="187" fontId="27" fillId="0" borderId="7" xfId="9" applyNumberFormat="1" applyFont="1" applyBorder="1" applyAlignment="1">
      <alignment horizontal="left" vertical="center" indent="2"/>
    </xf>
    <xf numFmtId="195" fontId="4" fillId="0" borderId="0" xfId="1" applyNumberFormat="1" applyFont="1"/>
    <xf numFmtId="0" fontId="54" fillId="15" borderId="0" xfId="8" applyFont="1" applyFill="1" applyAlignment="1">
      <alignment horizontal="centerContinuous"/>
      <protection locked="0"/>
    </xf>
    <xf numFmtId="0" fontId="56" fillId="15" borderId="0" xfId="8" applyFont="1" applyFill="1" applyAlignment="1">
      <alignment horizontal="centerContinuous"/>
      <protection locked="0"/>
    </xf>
    <xf numFmtId="175" fontId="56" fillId="0" borderId="0" xfId="1" applyNumberFormat="1" applyFont="1" applyFill="1" applyBorder="1" applyAlignment="1" applyProtection="1">
      <alignment horizontal="left" indent="2"/>
      <protection locked="0"/>
    </xf>
    <xf numFmtId="175" fontId="29" fillId="0" borderId="0" xfId="1" applyNumberFormat="1" applyFont="1" applyFill="1" applyBorder="1" applyAlignment="1" applyProtection="1">
      <alignment horizontal="right"/>
      <protection locked="0"/>
    </xf>
    <xf numFmtId="175" fontId="29" fillId="6" borderId="10" xfId="1" applyNumberFormat="1" applyFont="1" applyFill="1" applyBorder="1"/>
    <xf numFmtId="175" fontId="29" fillId="2" borderId="0" xfId="1" applyNumberFormat="1" applyFont="1" applyFill="1" applyBorder="1" applyAlignment="1" applyProtection="1">
      <alignment horizontal="right"/>
      <protection locked="0"/>
    </xf>
    <xf numFmtId="10" fontId="57" fillId="0" borderId="0" xfId="1" applyNumberFormat="1" applyFont="1" applyFill="1" applyBorder="1" applyAlignment="1" applyProtection="1">
      <alignment horizontal="right"/>
      <protection locked="0"/>
    </xf>
    <xf numFmtId="164" fontId="5" fillId="2" borderId="0" xfId="3" applyFont="1" applyFill="1" applyAlignment="1" applyProtection="1"/>
    <xf numFmtId="175" fontId="29" fillId="2" borderId="0" xfId="1" applyNumberFormat="1" applyFont="1" applyFill="1" applyAlignment="1" applyProtection="1">
      <alignment horizontal="right"/>
      <protection locked="0"/>
    </xf>
    <xf numFmtId="187" fontId="29" fillId="0" borderId="0" xfId="9" applyNumberFormat="1" applyFont="1" applyBorder="1" applyAlignment="1" applyProtection="1">
      <alignment horizontal="right"/>
      <protection locked="0"/>
    </xf>
    <xf numFmtId="187" fontId="29" fillId="6" borderId="10" xfId="9" applyNumberFormat="1" applyFont="1" applyFill="1" applyBorder="1" applyAlignment="1">
      <alignment horizontal="right"/>
    </xf>
    <xf numFmtId="187" fontId="52" fillId="0" borderId="8" xfId="9" applyNumberFormat="1" applyFont="1" applyBorder="1" applyAlignment="1" applyProtection="1">
      <alignment horizontal="right"/>
      <protection locked="0"/>
    </xf>
    <xf numFmtId="187" fontId="52" fillId="6" borderId="11" xfId="9" applyNumberFormat="1" applyFont="1" applyFill="1" applyBorder="1" applyAlignment="1">
      <alignment horizontal="right"/>
    </xf>
    <xf numFmtId="187" fontId="24" fillId="2" borderId="8" xfId="9" applyNumberFormat="1" applyFont="1" applyFill="1" applyBorder="1" applyAlignment="1" applyProtection="1">
      <alignment horizontal="right"/>
      <protection locked="0"/>
    </xf>
    <xf numFmtId="187" fontId="24" fillId="0" borderId="8" xfId="9" applyNumberFormat="1" applyFont="1" applyBorder="1" applyAlignment="1" applyProtection="1">
      <alignment horizontal="right"/>
      <protection locked="0"/>
    </xf>
    <xf numFmtId="175" fontId="52" fillId="0" borderId="0" xfId="9" applyNumberFormat="1" applyFont="1" applyBorder="1" applyAlignment="1" applyProtection="1">
      <alignment horizontal="right"/>
      <protection locked="0"/>
    </xf>
    <xf numFmtId="175" fontId="52" fillId="6" borderId="10" xfId="1" applyNumberFormat="1" applyFont="1" applyFill="1" applyBorder="1" applyAlignment="1">
      <alignment horizontal="right"/>
    </xf>
    <xf numFmtId="175" fontId="23" fillId="0" borderId="0" xfId="9" applyNumberFormat="1" applyFont="1" applyBorder="1" applyAlignment="1" applyProtection="1">
      <alignment horizontal="right"/>
      <protection locked="0"/>
    </xf>
    <xf numFmtId="9" fontId="54" fillId="6" borderId="10" xfId="0" applyNumberFormat="1" applyFont="1" applyFill="1" applyBorder="1" applyAlignment="1">
      <alignment horizontal="right"/>
    </xf>
    <xf numFmtId="187" fontId="52" fillId="0" borderId="0" xfId="9" applyNumberFormat="1" applyFont="1" applyBorder="1" applyAlignment="1">
      <alignment horizontal="left" indent="2"/>
    </xf>
    <xf numFmtId="43" fontId="44" fillId="4" borderId="10" xfId="9" applyFont="1" applyFill="1" applyBorder="1" applyAlignment="1">
      <alignment horizontal="right"/>
    </xf>
    <xf numFmtId="43" fontId="22" fillId="0" borderId="0" xfId="9" applyFont="1" applyAlignment="1" applyProtection="1">
      <alignment horizontal="center"/>
      <protection locked="0"/>
    </xf>
    <xf numFmtId="187" fontId="22" fillId="2" borderId="0" xfId="9" applyNumberFormat="1" applyFont="1" applyFill="1" applyProtection="1">
      <protection locked="0"/>
    </xf>
    <xf numFmtId="37" fontId="28" fillId="5" borderId="8" xfId="1" quotePrefix="1" applyNumberFormat="1" applyFont="1" applyFill="1" applyBorder="1" applyAlignment="1" applyProtection="1">
      <protection locked="0"/>
    </xf>
    <xf numFmtId="187" fontId="52" fillId="6" borderId="10" xfId="1" applyNumberFormat="1" applyFont="1" applyFill="1" applyBorder="1"/>
    <xf numFmtId="187" fontId="29" fillId="0" borderId="0" xfId="8" applyNumberFormat="1" applyFont="1" applyAlignment="1">
      <alignment horizontal="right"/>
      <protection locked="0"/>
    </xf>
    <xf numFmtId="187" fontId="52" fillId="0" borderId="0" xfId="8" applyNumberFormat="1" applyFont="1">
      <protection locked="0"/>
    </xf>
    <xf numFmtId="0" fontId="52" fillId="0" borderId="0" xfId="8" applyFont="1" applyAlignment="1">
      <alignment horizontal="left"/>
      <protection locked="0"/>
    </xf>
    <xf numFmtId="187" fontId="32" fillId="2" borderId="0" xfId="1" quotePrefix="1" applyNumberFormat="1" applyFont="1" applyFill="1" applyBorder="1" applyAlignment="1" applyProtection="1">
      <alignment horizontal="right"/>
      <protection locked="0"/>
    </xf>
    <xf numFmtId="9" fontId="52" fillId="2" borderId="0" xfId="1" quotePrefix="1" applyFont="1" applyFill="1" applyBorder="1" applyAlignment="1" applyProtection="1">
      <alignment horizontal="right"/>
      <protection locked="0"/>
    </xf>
    <xf numFmtId="187" fontId="3" fillId="2" borderId="0" xfId="9" applyNumberFormat="1" applyFont="1" applyFill="1" applyBorder="1"/>
    <xf numFmtId="187" fontId="27" fillId="2" borderId="8" xfId="9" applyNumberFormat="1" applyFont="1" applyFill="1" applyBorder="1" applyAlignment="1">
      <alignment horizontal="right"/>
    </xf>
    <xf numFmtId="187" fontId="27" fillId="2" borderId="0" xfId="9" applyNumberFormat="1" applyFont="1" applyFill="1" applyBorder="1" applyAlignment="1">
      <alignment horizontal="right"/>
    </xf>
    <xf numFmtId="187" fontId="3" fillId="2" borderId="8" xfId="9" applyNumberFormat="1" applyFont="1" applyFill="1" applyBorder="1" applyAlignment="1"/>
    <xf numFmtId="187" fontId="45" fillId="2" borderId="0" xfId="9" applyNumberFormat="1" applyFont="1" applyFill="1" applyBorder="1" applyAlignment="1" applyProtection="1">
      <alignment horizontal="right"/>
      <protection locked="0"/>
    </xf>
    <xf numFmtId="187" fontId="23" fillId="2" borderId="14" xfId="9" applyNumberFormat="1" applyFont="1" applyFill="1" applyBorder="1" applyProtection="1">
      <protection locked="0"/>
    </xf>
    <xf numFmtId="175" fontId="31" fillId="2" borderId="0" xfId="1" applyNumberFormat="1" applyFont="1" applyFill="1" applyProtection="1">
      <protection locked="0"/>
    </xf>
    <xf numFmtId="9" fontId="31" fillId="2" borderId="0" xfId="8" applyNumberFormat="1" applyFont="1" applyFill="1">
      <protection locked="0"/>
    </xf>
    <xf numFmtId="187" fontId="23" fillId="2" borderId="0" xfId="9" quotePrefix="1" applyNumberFormat="1" applyFont="1" applyFill="1" applyBorder="1" applyAlignment="1" applyProtection="1">
      <alignment horizontal="center"/>
      <protection locked="0"/>
    </xf>
    <xf numFmtId="192" fontId="23" fillId="0" borderId="0" xfId="1" quotePrefix="1" applyNumberFormat="1" applyFont="1" applyFill="1" applyBorder="1" applyAlignment="1" applyProtection="1">
      <alignment horizontal="right"/>
      <protection locked="0"/>
    </xf>
    <xf numFmtId="192" fontId="23" fillId="0" borderId="0" xfId="1" applyNumberFormat="1" applyFont="1" applyFill="1" applyBorder="1" applyAlignment="1" applyProtection="1">
      <alignment horizontal="right"/>
      <protection locked="0"/>
    </xf>
    <xf numFmtId="192" fontId="23" fillId="6" borderId="10" xfId="1" applyNumberFormat="1" applyFont="1" applyFill="1" applyBorder="1" applyAlignment="1">
      <alignment horizontal="right"/>
    </xf>
    <xf numFmtId="192" fontId="32" fillId="6" borderId="10" xfId="1" applyNumberFormat="1" applyFont="1" applyFill="1" applyBorder="1" applyAlignment="1">
      <alignment horizontal="right"/>
    </xf>
    <xf numFmtId="192" fontId="23" fillId="2" borderId="0" xfId="1" quotePrefix="1" applyNumberFormat="1" applyFont="1" applyFill="1" applyBorder="1" applyAlignment="1" applyProtection="1">
      <alignment horizontal="right"/>
      <protection locked="0"/>
    </xf>
    <xf numFmtId="192" fontId="23" fillId="2" borderId="0" xfId="1" applyNumberFormat="1" applyFont="1" applyFill="1" applyBorder="1" applyAlignment="1" applyProtection="1">
      <alignment horizontal="right"/>
      <protection locked="0"/>
    </xf>
    <xf numFmtId="192" fontId="32" fillId="0" borderId="0" xfId="1" applyNumberFormat="1" applyFont="1" applyFill="1" applyBorder="1" applyAlignment="1" applyProtection="1">
      <alignment horizontal="right"/>
      <protection locked="0"/>
    </xf>
    <xf numFmtId="192" fontId="32" fillId="6" borderId="20" xfId="1" applyNumberFormat="1" applyFont="1" applyFill="1" applyBorder="1" applyAlignment="1">
      <alignment horizontal="right"/>
    </xf>
    <xf numFmtId="192" fontId="52" fillId="0" borderId="0" xfId="0" applyNumberFormat="1" applyFont="1"/>
    <xf numFmtId="43" fontId="52" fillId="0" borderId="0" xfId="9" applyFont="1" applyProtection="1">
      <protection locked="0"/>
    </xf>
    <xf numFmtId="43" fontId="52" fillId="0" borderId="0" xfId="9" applyFont="1" applyAlignment="1" applyProtection="1">
      <alignment horizontal="right"/>
      <protection locked="0"/>
    </xf>
    <xf numFmtId="43" fontId="52" fillId="2" borderId="0" xfId="9" applyFont="1" applyFill="1" applyProtection="1">
      <protection locked="0"/>
    </xf>
    <xf numFmtId="43" fontId="52" fillId="2" borderId="0" xfId="9" applyFont="1" applyFill="1" applyAlignment="1" applyProtection="1">
      <alignment horizontal="right"/>
      <protection locked="0"/>
    </xf>
    <xf numFmtId="43" fontId="24" fillId="0" borderId="0" xfId="9" applyFont="1" applyAlignment="1" applyProtection="1">
      <alignment horizontal="right"/>
      <protection locked="0"/>
    </xf>
    <xf numFmtId="43" fontId="23" fillId="0" borderId="0" xfId="9" applyFont="1" applyProtection="1">
      <protection locked="0"/>
    </xf>
    <xf numFmtId="175" fontId="52" fillId="0" borderId="0" xfId="1" applyNumberFormat="1" applyFont="1" applyAlignment="1" applyProtection="1">
      <alignment horizontal="right"/>
      <protection locked="0"/>
    </xf>
    <xf numFmtId="43" fontId="23" fillId="6" borderId="10" xfId="9" applyFont="1" applyFill="1" applyBorder="1" applyAlignment="1">
      <alignment horizontal="right"/>
    </xf>
    <xf numFmtId="43" fontId="23" fillId="0" borderId="0" xfId="9" quotePrefix="1" applyFont="1" applyFill="1" applyBorder="1" applyAlignment="1" applyProtection="1">
      <alignment horizontal="right"/>
      <protection locked="0"/>
    </xf>
    <xf numFmtId="43" fontId="23" fillId="2" borderId="0" xfId="9" quotePrefix="1" applyFont="1" applyFill="1" applyBorder="1" applyAlignment="1" applyProtection="1">
      <alignment horizontal="right"/>
      <protection locked="0"/>
    </xf>
    <xf numFmtId="175" fontId="40" fillId="0" borderId="0" xfId="0" applyNumberFormat="1" applyFont="1"/>
    <xf numFmtId="175" fontId="29" fillId="0" borderId="0" xfId="0" applyNumberFormat="1" applyFont="1"/>
    <xf numFmtId="175" fontId="23" fillId="15" borderId="0" xfId="1" quotePrefix="1" applyNumberFormat="1" applyFont="1" applyFill="1" applyBorder="1" applyAlignment="1" applyProtection="1">
      <protection locked="0"/>
    </xf>
    <xf numFmtId="175" fontId="23" fillId="15" borderId="0" xfId="1" applyNumberFormat="1" applyFont="1" applyFill="1" applyBorder="1" applyAlignment="1" applyProtection="1">
      <alignment horizontal="right"/>
      <protection locked="0"/>
    </xf>
    <xf numFmtId="187" fontId="32" fillId="11" borderId="8" xfId="9" applyNumberFormat="1" applyFont="1" applyFill="1" applyBorder="1" applyAlignment="1" applyProtection="1">
      <alignment horizontal="right"/>
      <protection locked="0"/>
    </xf>
    <xf numFmtId="9" fontId="23" fillId="15" borderId="0" xfId="1" quotePrefix="1" applyFont="1" applyFill="1" applyBorder="1" applyAlignment="1" applyProtection="1">
      <alignment horizontal="right"/>
      <protection locked="0"/>
    </xf>
    <xf numFmtId="9" fontId="23" fillId="2" borderId="0" xfId="1" applyFont="1" applyFill="1" applyBorder="1" applyProtection="1">
      <protection locked="0"/>
    </xf>
    <xf numFmtId="175" fontId="29" fillId="0" borderId="0" xfId="8" applyNumberFormat="1" applyFont="1" applyAlignment="1">
      <alignment horizontal="right"/>
      <protection locked="0"/>
    </xf>
    <xf numFmtId="10" fontId="32" fillId="6" borderId="10" xfId="9" applyNumberFormat="1" applyFont="1" applyFill="1" applyBorder="1"/>
    <xf numFmtId="175" fontId="28" fillId="2" borderId="0" xfId="1" applyNumberFormat="1" applyFont="1" applyFill="1" applyBorder="1" applyAlignment="1" applyProtection="1">
      <alignment horizontal="right"/>
      <protection locked="0"/>
    </xf>
    <xf numFmtId="175" fontId="27" fillId="6" borderId="10" xfId="1" applyNumberFormat="1" applyFont="1" applyFill="1" applyBorder="1"/>
    <xf numFmtId="187" fontId="52" fillId="2" borderId="0" xfId="8" applyNumberFormat="1" applyFont="1" applyFill="1">
      <protection locked="0"/>
    </xf>
    <xf numFmtId="43" fontId="29" fillId="2" borderId="0" xfId="8" applyNumberFormat="1" applyFont="1" applyFill="1" applyAlignment="1">
      <alignment horizontal="right"/>
      <protection locked="0"/>
    </xf>
    <xf numFmtId="43" fontId="29" fillId="2" borderId="0" xfId="8" applyNumberFormat="1" applyFont="1" applyFill="1" applyAlignment="1">
      <alignment horizontal="centerContinuous"/>
      <protection locked="0"/>
    </xf>
    <xf numFmtId="187" fontId="52" fillId="2" borderId="0" xfId="8" applyNumberFormat="1" applyFont="1" applyFill="1" applyAlignment="1">
      <alignment horizontal="centerContinuous"/>
      <protection locked="0"/>
    </xf>
    <xf numFmtId="0" fontId="54" fillId="2" borderId="0" xfId="8" applyFont="1" applyFill="1" applyAlignment="1">
      <alignment horizontal="centerContinuous"/>
      <protection locked="0"/>
    </xf>
    <xf numFmtId="0" fontId="56" fillId="2" borderId="0" xfId="8" applyFont="1" applyFill="1" applyAlignment="1">
      <alignment horizontal="centerContinuous"/>
      <protection locked="0"/>
    </xf>
    <xf numFmtId="0" fontId="71" fillId="2" borderId="0" xfId="8" applyFont="1" applyFill="1" applyAlignment="1">
      <alignment horizontal="centerContinuous"/>
      <protection locked="0"/>
    </xf>
    <xf numFmtId="0" fontId="71" fillId="15" borderId="0" xfId="8" applyFont="1" applyFill="1" applyAlignment="1">
      <alignment horizontal="centerContinuous"/>
      <protection locked="0"/>
    </xf>
    <xf numFmtId="43" fontId="29" fillId="2" borderId="21" xfId="9" applyFont="1" applyFill="1" applyBorder="1" applyAlignment="1" applyProtection="1">
      <alignment horizontal="left" indent="1"/>
      <protection locked="0"/>
    </xf>
    <xf numFmtId="187" fontId="27" fillId="0" borderId="0" xfId="1" applyNumberFormat="1" applyFont="1" applyFill="1" applyBorder="1" applyAlignment="1" applyProtection="1">
      <alignment horizontal="right"/>
      <protection locked="0"/>
    </xf>
    <xf numFmtId="43" fontId="40" fillId="0" borderId="0" xfId="9" applyFont="1"/>
    <xf numFmtId="43" fontId="69" fillId="0" borderId="0" xfId="9" applyFont="1" applyFill="1" applyBorder="1" applyProtection="1">
      <protection locked="0"/>
    </xf>
    <xf numFmtId="43" fontId="68" fillId="0" borderId="0" xfId="9" applyFont="1" applyFill="1" applyBorder="1" applyProtection="1">
      <protection locked="0"/>
    </xf>
    <xf numFmtId="43" fontId="4" fillId="0" borderId="0" xfId="9" applyFont="1" applyAlignment="1">
      <alignment horizontal="right"/>
    </xf>
    <xf numFmtId="43" fontId="4" fillId="0" borderId="0" xfId="9" applyFont="1" applyFill="1" applyBorder="1"/>
    <xf numFmtId="43" fontId="4" fillId="0" borderId="0" xfId="9" applyFont="1" applyFill="1" applyBorder="1" applyAlignment="1">
      <alignment horizontal="right"/>
    </xf>
    <xf numFmtId="193" fontId="32" fillId="2" borderId="0" xfId="1" quotePrefix="1" applyNumberFormat="1" applyFont="1" applyFill="1" applyBorder="1" applyAlignment="1" applyProtection="1">
      <alignment horizontal="right"/>
      <protection locked="0"/>
    </xf>
    <xf numFmtId="193" fontId="23" fillId="2" borderId="0" xfId="1" quotePrefix="1" applyNumberFormat="1" applyFont="1" applyFill="1" applyBorder="1" applyAlignment="1" applyProtection="1">
      <alignment horizontal="right"/>
      <protection locked="0"/>
    </xf>
    <xf numFmtId="2" fontId="32" fillId="2" borderId="0" xfId="1" applyNumberFormat="1" applyFont="1" applyFill="1" applyBorder="1" applyAlignment="1" applyProtection="1">
      <alignment horizontal="right"/>
      <protection locked="0"/>
    </xf>
    <xf numFmtId="37" fontId="28" fillId="0" borderId="0" xfId="8" applyNumberFormat="1" applyFont="1" applyAlignment="1">
      <alignment horizontal="right"/>
      <protection locked="0"/>
    </xf>
    <xf numFmtId="43" fontId="52" fillId="2" borderId="0" xfId="8" applyNumberFormat="1" applyFont="1" applyFill="1">
      <protection locked="0"/>
    </xf>
    <xf numFmtId="37" fontId="28" fillId="8" borderId="8" xfId="1" quotePrefix="1" applyNumberFormat="1" applyFont="1" applyFill="1" applyBorder="1" applyAlignment="1" applyProtection="1">
      <protection locked="0"/>
    </xf>
    <xf numFmtId="9" fontId="40" fillId="0" borderId="0" xfId="1" applyFont="1"/>
    <xf numFmtId="9" fontId="28" fillId="0" borderId="8" xfId="1" quotePrefix="1" applyFont="1" applyFill="1" applyBorder="1" applyAlignment="1" applyProtection="1">
      <protection locked="0"/>
    </xf>
    <xf numFmtId="9" fontId="28" fillId="10" borderId="8" xfId="1" quotePrefix="1" applyFont="1" applyFill="1" applyBorder="1" applyAlignment="1" applyProtection="1">
      <protection locked="0"/>
    </xf>
    <xf numFmtId="9" fontId="28" fillId="5" borderId="8" xfId="1" quotePrefix="1" applyFont="1" applyFill="1" applyBorder="1" applyAlignment="1" applyProtection="1">
      <protection locked="0"/>
    </xf>
    <xf numFmtId="9" fontId="28" fillId="2" borderId="8" xfId="1" quotePrefix="1" applyFont="1" applyFill="1" applyBorder="1" applyAlignment="1" applyProtection="1">
      <protection locked="0"/>
    </xf>
    <xf numFmtId="9" fontId="29" fillId="0" borderId="0" xfId="1" applyFont="1"/>
    <xf numFmtId="187" fontId="24" fillId="2" borderId="0" xfId="9" applyNumberFormat="1" applyFont="1" applyFill="1" applyBorder="1" applyAlignment="1" applyProtection="1">
      <alignment horizontal="right"/>
      <protection locked="0"/>
    </xf>
    <xf numFmtId="187" fontId="27" fillId="6" borderId="10" xfId="9" applyNumberFormat="1" applyFont="1" applyFill="1" applyBorder="1"/>
    <xf numFmtId="187" fontId="27" fillId="6" borderId="20" xfId="9" applyNumberFormat="1" applyFont="1" applyFill="1" applyBorder="1"/>
    <xf numFmtId="175" fontId="28" fillId="2" borderId="0" xfId="1" quotePrefix="1" applyNumberFormat="1" applyFont="1" applyFill="1" applyBorder="1" applyAlignment="1" applyProtection="1">
      <alignment horizontal="right"/>
      <protection locked="0"/>
    </xf>
    <xf numFmtId="175" fontId="28" fillId="6" borderId="10" xfId="1" applyNumberFormat="1" applyFont="1" applyFill="1" applyBorder="1"/>
    <xf numFmtId="175" fontId="27" fillId="6" borderId="20" xfId="1" applyNumberFormat="1" applyFont="1" applyFill="1" applyBorder="1"/>
    <xf numFmtId="43" fontId="52" fillId="0" borderId="19" xfId="9" applyFont="1" applyFill="1" applyBorder="1" applyAlignment="1" applyProtection="1">
      <alignment horizontal="left" indent="3"/>
      <protection locked="0"/>
    </xf>
    <xf numFmtId="43" fontId="32" fillId="0" borderId="19" xfId="9" applyFont="1" applyFill="1" applyBorder="1" applyAlignment="1" applyProtection="1">
      <alignment horizontal="left" indent="3"/>
      <protection locked="0"/>
    </xf>
    <xf numFmtId="174" fontId="27" fillId="0" borderId="0" xfId="0" applyNumberFormat="1" applyFont="1"/>
    <xf numFmtId="43" fontId="27" fillId="0" borderId="7" xfId="9" applyFont="1" applyBorder="1" applyAlignment="1">
      <alignment horizontal="left"/>
    </xf>
    <xf numFmtId="37" fontId="27" fillId="0" borderId="8" xfId="1" applyNumberFormat="1" applyFont="1" applyFill="1" applyBorder="1" applyAlignment="1" applyProtection="1">
      <protection locked="0"/>
    </xf>
    <xf numFmtId="187" fontId="27" fillId="6" borderId="10" xfId="0" applyNumberFormat="1" applyFont="1" applyFill="1" applyBorder="1" applyAlignment="1">
      <alignment horizontal="right"/>
    </xf>
    <xf numFmtId="43" fontId="32" fillId="0" borderId="19" xfId="9" applyFont="1" applyFill="1" applyBorder="1" applyAlignment="1" applyProtection="1">
      <alignment horizontal="left" indent="4"/>
      <protection locked="0"/>
    </xf>
    <xf numFmtId="43" fontId="54" fillId="0" borderId="19" xfId="9" applyFont="1" applyFill="1" applyBorder="1" applyAlignment="1" applyProtection="1">
      <alignment horizontal="left" indent="5"/>
      <protection locked="0"/>
    </xf>
    <xf numFmtId="39" fontId="65" fillId="0" borderId="0" xfId="8" applyNumberFormat="1" applyFont="1" applyAlignment="1">
      <alignment horizontal="right"/>
      <protection locked="0"/>
    </xf>
    <xf numFmtId="43" fontId="2" fillId="2" borderId="7" xfId="9" applyFont="1" applyFill="1" applyBorder="1"/>
    <xf numFmtId="187" fontId="23" fillId="6" borderId="10" xfId="9" applyNumberFormat="1" applyFont="1" applyFill="1" applyBorder="1" applyAlignment="1"/>
    <xf numFmtId="43" fontId="52" fillId="2" borderId="21" xfId="9" applyFont="1" applyFill="1" applyBorder="1" applyAlignment="1" applyProtection="1">
      <alignment horizontal="left" indent="2"/>
      <protection locked="0"/>
    </xf>
    <xf numFmtId="43" fontId="29" fillId="0" borderId="19" xfId="9" applyFont="1" applyFill="1" applyBorder="1" applyAlignment="1" applyProtection="1">
      <alignment horizontal="left" indent="3"/>
      <protection locked="0"/>
    </xf>
    <xf numFmtId="43" fontId="52" fillId="0" borderId="21" xfId="9" applyFont="1" applyFill="1" applyBorder="1" applyAlignment="1" applyProtection="1">
      <alignment horizontal="left" indent="3"/>
      <protection locked="0"/>
    </xf>
    <xf numFmtId="175" fontId="27" fillId="0" borderId="8" xfId="1" quotePrefix="1" applyNumberFormat="1" applyFont="1" applyFill="1" applyBorder="1" applyAlignment="1" applyProtection="1">
      <alignment horizontal="right"/>
      <protection locked="0"/>
    </xf>
    <xf numFmtId="175" fontId="27" fillId="0" borderId="8" xfId="1" applyNumberFormat="1" applyFont="1" applyFill="1" applyBorder="1" applyAlignment="1" applyProtection="1">
      <alignment horizontal="right"/>
      <protection locked="0"/>
    </xf>
    <xf numFmtId="175" fontId="27" fillId="6" borderId="11" xfId="1" applyNumberFormat="1" applyFont="1" applyFill="1" applyBorder="1"/>
    <xf numFmtId="175" fontId="27" fillId="6" borderId="22" xfId="1" applyNumberFormat="1" applyFont="1" applyFill="1" applyBorder="1"/>
    <xf numFmtId="187" fontId="22" fillId="0" borderId="0" xfId="1" applyNumberFormat="1" applyFont="1" applyBorder="1" applyAlignment="1" applyProtection="1">
      <alignment horizontal="center"/>
      <protection locked="0"/>
    </xf>
    <xf numFmtId="187" fontId="52" fillId="0" borderId="0" xfId="9" applyNumberFormat="1" applyFont="1" applyProtection="1">
      <protection locked="0"/>
    </xf>
    <xf numFmtId="187" fontId="52" fillId="0" borderId="0" xfId="9" applyNumberFormat="1" applyFont="1" applyAlignment="1" applyProtection="1">
      <alignment horizontal="right"/>
      <protection locked="0"/>
    </xf>
    <xf numFmtId="187" fontId="52" fillId="2" borderId="0" xfId="9" applyNumberFormat="1" applyFont="1" applyFill="1" applyProtection="1">
      <protection locked="0"/>
    </xf>
    <xf numFmtId="187" fontId="52" fillId="2" borderId="0" xfId="9" applyNumberFormat="1" applyFont="1" applyFill="1" applyAlignment="1" applyProtection="1">
      <alignment horizontal="right"/>
      <protection locked="0"/>
    </xf>
    <xf numFmtId="187" fontId="23" fillId="2" borderId="0" xfId="9" quotePrefix="1" applyNumberFormat="1" applyFont="1" applyFill="1" applyBorder="1" applyAlignment="1" applyProtection="1">
      <protection locked="0"/>
    </xf>
    <xf numFmtId="187" fontId="52" fillId="0" borderId="0" xfId="9" applyNumberFormat="1" applyFont="1" applyBorder="1" applyAlignment="1">
      <alignment horizontal="left" indent="1"/>
    </xf>
    <xf numFmtId="187" fontId="52" fillId="6" borderId="10" xfId="9" applyNumberFormat="1" applyFont="1" applyFill="1" applyBorder="1" applyAlignment="1"/>
    <xf numFmtId="175" fontId="52" fillId="0" borderId="0" xfId="9" applyNumberFormat="1" applyFont="1" applyFill="1" applyBorder="1" applyAlignment="1" applyProtection="1">
      <alignment horizontal="right"/>
      <protection locked="0"/>
    </xf>
    <xf numFmtId="43" fontId="33" fillId="0" borderId="19" xfId="9" applyFont="1" applyFill="1" applyBorder="1" applyAlignment="1" applyProtection="1">
      <alignment horizontal="left" indent="4"/>
      <protection locked="0"/>
    </xf>
    <xf numFmtId="175" fontId="32" fillId="6" borderId="10" xfId="9" applyNumberFormat="1" applyFont="1" applyFill="1" applyBorder="1"/>
    <xf numFmtId="184" fontId="4" fillId="0" borderId="0" xfId="0" applyNumberFormat="1" applyFont="1"/>
    <xf numFmtId="184" fontId="33" fillId="0" borderId="19" xfId="9" applyNumberFormat="1" applyFont="1" applyFill="1" applyBorder="1" applyAlignment="1" applyProtection="1">
      <alignment horizontal="left" indent="4"/>
      <protection locked="0"/>
    </xf>
    <xf numFmtId="184" fontId="32" fillId="0" borderId="0" xfId="1" applyNumberFormat="1" applyFont="1" applyFill="1" applyBorder="1" applyAlignment="1" applyProtection="1">
      <alignment horizontal="right"/>
      <protection locked="0"/>
    </xf>
    <xf numFmtId="184" fontId="32" fillId="6" borderId="10" xfId="1" applyNumberFormat="1" applyFont="1" applyFill="1" applyBorder="1"/>
    <xf numFmtId="184" fontId="32" fillId="2" borderId="0" xfId="9" quotePrefix="1" applyNumberFormat="1" applyFont="1" applyFill="1" applyBorder="1" applyAlignment="1" applyProtection="1">
      <alignment horizontal="right"/>
      <protection locked="0"/>
    </xf>
    <xf numFmtId="184" fontId="23" fillId="0" borderId="0" xfId="9" applyNumberFormat="1" applyFont="1" applyFill="1" applyBorder="1" applyAlignment="1" applyProtection="1">
      <alignment horizontal="right"/>
      <protection locked="0"/>
    </xf>
    <xf numFmtId="184" fontId="32" fillId="6" borderId="20" xfId="1" applyNumberFormat="1" applyFont="1" applyFill="1" applyBorder="1"/>
    <xf numFmtId="184" fontId="32" fillId="0" borderId="0" xfId="0" applyNumberFormat="1" applyFont="1"/>
    <xf numFmtId="187" fontId="52" fillId="0" borderId="0" xfId="9" quotePrefix="1" applyNumberFormat="1" applyFont="1" applyFill="1" applyBorder="1" applyAlignment="1" applyProtection="1">
      <alignment horizontal="center"/>
      <protection locked="0"/>
    </xf>
    <xf numFmtId="187" fontId="52" fillId="6" borderId="20" xfId="9" applyNumberFormat="1" applyFont="1" applyFill="1" applyBorder="1"/>
    <xf numFmtId="184" fontId="33" fillId="0" borderId="19" xfId="9" applyNumberFormat="1" applyFont="1" applyFill="1" applyBorder="1" applyAlignment="1" applyProtection="1">
      <alignment horizontal="left" indent="3"/>
      <protection locked="0"/>
    </xf>
    <xf numFmtId="14" fontId="3" fillId="0" borderId="0" xfId="0" applyNumberFormat="1" applyFont="1"/>
    <xf numFmtId="14" fontId="3" fillId="0" borderId="0" xfId="0" applyNumberFormat="1" applyFont="1" applyAlignment="1">
      <alignment horizontal="left"/>
    </xf>
    <xf numFmtId="0" fontId="5" fillId="0" borderId="0" xfId="2"/>
    <xf numFmtId="0" fontId="0" fillId="0" borderId="0" xfId="0" applyAlignment="1">
      <alignment horizontal="left" indent="1"/>
    </xf>
    <xf numFmtId="164" fontId="5" fillId="2" borderId="0" xfId="2" applyNumberFormat="1" applyFill="1" applyAlignment="1" applyProtection="1"/>
    <xf numFmtId="187" fontId="23" fillId="5" borderId="0" xfId="9" applyNumberFormat="1" applyFont="1" applyFill="1" applyBorder="1" applyAlignment="1" applyProtection="1">
      <alignment horizontal="right"/>
      <protection locked="0"/>
    </xf>
    <xf numFmtId="9" fontId="23" fillId="5" borderId="13" xfId="1" applyFont="1" applyFill="1" applyBorder="1" applyAlignment="1" applyProtection="1">
      <alignment horizontal="right"/>
      <protection locked="0"/>
    </xf>
    <xf numFmtId="7" fontId="23" fillId="11" borderId="0" xfId="1" applyNumberFormat="1" applyFont="1" applyFill="1" applyBorder="1" applyAlignment="1" applyProtection="1">
      <alignment horizontal="right"/>
      <protection locked="0"/>
    </xf>
    <xf numFmtId="187" fontId="28" fillId="2" borderId="0" xfId="9" applyNumberFormat="1" applyFont="1" applyFill="1" applyBorder="1" applyAlignment="1" applyProtection="1">
      <alignment horizontal="right"/>
      <protection locked="0"/>
    </xf>
    <xf numFmtId="9" fontId="23" fillId="2" borderId="0" xfId="9" applyNumberFormat="1" applyFont="1" applyFill="1" applyBorder="1" applyAlignment="1" applyProtection="1">
      <alignment horizontal="right"/>
      <protection locked="0"/>
    </xf>
    <xf numFmtId="9" fontId="23" fillId="2" borderId="0" xfId="9" quotePrefix="1" applyNumberFormat="1" applyFont="1" applyFill="1" applyBorder="1" applyAlignment="1" applyProtection="1">
      <alignment horizontal="right"/>
      <protection locked="0"/>
    </xf>
    <xf numFmtId="43" fontId="27" fillId="0" borderId="7" xfId="9" applyFont="1" applyBorder="1" applyAlignment="1">
      <alignment horizontal="left" vertical="center"/>
    </xf>
    <xf numFmtId="37" fontId="28" fillId="0" borderId="0" xfId="0" applyNumberFormat="1" applyFont="1"/>
    <xf numFmtId="187" fontId="54" fillId="0" borderId="0" xfId="9" applyNumberFormat="1" applyFont="1" applyFill="1" applyBorder="1" applyAlignment="1" applyProtection="1">
      <alignment horizontal="left" indent="1"/>
      <protection locked="0"/>
    </xf>
    <xf numFmtId="187" fontId="32" fillId="2" borderId="13" xfId="9" quotePrefix="1" applyNumberFormat="1" applyFont="1" applyFill="1" applyBorder="1" applyAlignment="1" applyProtection="1">
      <alignment horizontal="right"/>
      <protection locked="0"/>
    </xf>
    <xf numFmtId="175" fontId="27" fillId="14" borderId="10" xfId="1" applyNumberFormat="1" applyFont="1" applyFill="1" applyBorder="1"/>
    <xf numFmtId="175" fontId="52" fillId="0" borderId="0" xfId="1" quotePrefix="1" applyNumberFormat="1" applyFont="1" applyFill="1" applyBorder="1" applyAlignment="1" applyProtection="1">
      <alignment horizontal="right"/>
      <protection locked="0"/>
    </xf>
    <xf numFmtId="175" fontId="2" fillId="4" borderId="10" xfId="1" applyNumberFormat="1" applyFont="1" applyFill="1" applyBorder="1"/>
    <xf numFmtId="175" fontId="24" fillId="2" borderId="0" xfId="1" applyNumberFormat="1" applyFont="1" applyFill="1" applyBorder="1" applyAlignment="1" applyProtection="1">
      <alignment horizontal="right"/>
      <protection locked="0"/>
    </xf>
    <xf numFmtId="187" fontId="27" fillId="2" borderId="8" xfId="1" applyNumberFormat="1" applyFont="1" applyFill="1" applyBorder="1" applyAlignment="1" applyProtection="1">
      <alignment horizontal="right"/>
      <protection locked="0"/>
    </xf>
    <xf numFmtId="187" fontId="28" fillId="6" borderId="11" xfId="1" applyNumberFormat="1" applyFont="1" applyFill="1" applyBorder="1" applyAlignment="1">
      <alignment horizontal="right"/>
    </xf>
    <xf numFmtId="37" fontId="28" fillId="14" borderId="11" xfId="1" applyNumberFormat="1" applyFont="1" applyFill="1" applyBorder="1" applyAlignment="1"/>
    <xf numFmtId="7" fontId="32" fillId="0" borderId="13" xfId="1" applyNumberFormat="1" applyFont="1" applyFill="1" applyBorder="1" applyAlignment="1" applyProtection="1">
      <alignment horizontal="right"/>
      <protection locked="0"/>
    </xf>
    <xf numFmtId="197" fontId="32" fillId="0" borderId="0" xfId="9" applyNumberFormat="1" applyFont="1" applyFill="1" applyBorder="1" applyAlignment="1" applyProtection="1">
      <alignment horizontal="right"/>
      <protection locked="0"/>
    </xf>
    <xf numFmtId="187" fontId="52" fillId="2" borderId="0" xfId="9" applyNumberFormat="1" applyFont="1" applyFill="1" applyBorder="1" applyAlignment="1" applyProtection="1">
      <alignment horizontal="right"/>
      <protection locked="0"/>
    </xf>
    <xf numFmtId="9" fontId="52" fillId="6" borderId="10" xfId="9" applyNumberFormat="1" applyFont="1" applyFill="1" applyBorder="1"/>
    <xf numFmtId="187" fontId="23" fillId="4" borderId="10" xfId="9" applyNumberFormat="1" applyFont="1" applyFill="1" applyBorder="1"/>
    <xf numFmtId="43" fontId="0" fillId="0" borderId="0" xfId="9" applyFont="1" applyAlignment="1">
      <alignment horizontal="left" indent="1"/>
    </xf>
    <xf numFmtId="43" fontId="2" fillId="0" borderId="0" xfId="9" applyFont="1" applyFill="1" applyAlignment="1">
      <alignment horizontal="left" indent="1"/>
    </xf>
    <xf numFmtId="9" fontId="52" fillId="0" borderId="0" xfId="1" applyFont="1" applyAlignment="1">
      <alignment horizontal="left" indent="1"/>
    </xf>
    <xf numFmtId="9" fontId="29" fillId="0" borderId="0" xfId="1" applyFont="1" applyAlignment="1" applyProtection="1">
      <alignment horizontal="center"/>
      <protection locked="0"/>
    </xf>
    <xf numFmtId="9" fontId="29" fillId="6" borderId="10" xfId="1" applyFont="1" applyFill="1" applyBorder="1" applyAlignment="1" applyProtection="1">
      <alignment horizontal="center"/>
      <protection locked="0"/>
    </xf>
    <xf numFmtId="9" fontId="29" fillId="2" borderId="0" xfId="1" applyFont="1" applyFill="1" applyAlignment="1" applyProtection="1">
      <alignment horizontal="center"/>
      <protection locked="0"/>
    </xf>
    <xf numFmtId="9" fontId="57" fillId="0" borderId="0" xfId="1" applyFont="1" applyAlignment="1" applyProtection="1">
      <alignment horizontal="center"/>
      <protection locked="0"/>
    </xf>
    <xf numFmtId="9" fontId="57" fillId="6" borderId="10" xfId="1" applyFont="1" applyFill="1" applyBorder="1" applyAlignment="1" applyProtection="1">
      <alignment horizontal="center"/>
      <protection locked="0"/>
    </xf>
    <xf numFmtId="9" fontId="32" fillId="6" borderId="10" xfId="1" applyFont="1" applyFill="1" applyBorder="1" applyAlignment="1" applyProtection="1">
      <alignment horizontal="right"/>
      <protection locked="0"/>
    </xf>
    <xf numFmtId="9" fontId="2" fillId="0" borderId="0" xfId="1" applyFont="1" applyAlignment="1" applyProtection="1">
      <alignment horizontal="right"/>
      <protection locked="0"/>
    </xf>
    <xf numFmtId="9" fontId="57" fillId="6" borderId="10" xfId="1" applyFont="1" applyFill="1" applyBorder="1" applyAlignment="1" applyProtection="1">
      <alignment horizontal="right"/>
      <protection locked="0"/>
    </xf>
    <xf numFmtId="9" fontId="40" fillId="0" borderId="0" xfId="0" applyNumberFormat="1" applyFont="1"/>
    <xf numFmtId="9" fontId="54" fillId="0" borderId="19" xfId="9" applyNumberFormat="1" applyFont="1" applyFill="1" applyBorder="1" applyAlignment="1" applyProtection="1">
      <alignment horizontal="left" indent="2"/>
      <protection locked="0"/>
    </xf>
    <xf numFmtId="9" fontId="27" fillId="0" borderId="0" xfId="1" quotePrefix="1" applyFont="1" applyFill="1" applyBorder="1" applyAlignment="1" applyProtection="1">
      <protection locked="0"/>
    </xf>
    <xf numFmtId="9" fontId="29" fillId="6" borderId="10" xfId="1" applyFont="1" applyFill="1" applyBorder="1" applyAlignment="1"/>
    <xf numFmtId="9" fontId="27" fillId="6" borderId="10" xfId="1" applyFont="1" applyFill="1" applyBorder="1" applyAlignment="1"/>
    <xf numFmtId="9" fontId="23" fillId="15" borderId="0" xfId="1" quotePrefix="1" applyFont="1" applyFill="1" applyBorder="1" applyAlignment="1" applyProtection="1">
      <protection locked="0"/>
    </xf>
    <xf numFmtId="9" fontId="29" fillId="6" borderId="20" xfId="1" applyFont="1" applyFill="1" applyBorder="1" applyAlignment="1"/>
    <xf numFmtId="9" fontId="29" fillId="0" borderId="0" xfId="0" applyNumberFormat="1" applyFont="1"/>
    <xf numFmtId="9" fontId="54" fillId="2" borderId="0" xfId="9" applyNumberFormat="1" applyFont="1" applyFill="1" applyBorder="1" applyAlignment="1" applyProtection="1">
      <alignment horizontal="left" indent="1"/>
      <protection locked="0"/>
    </xf>
    <xf numFmtId="9" fontId="23" fillId="6" borderId="10" xfId="9" applyNumberFormat="1" applyFont="1" applyFill="1" applyBorder="1" applyAlignment="1">
      <alignment horizontal="right"/>
    </xf>
    <xf numFmtId="9" fontId="23" fillId="11" borderId="0" xfId="1" applyFont="1" applyFill="1" applyBorder="1" applyAlignment="1" applyProtection="1">
      <alignment horizontal="right"/>
      <protection locked="0"/>
    </xf>
    <xf numFmtId="9" fontId="23" fillId="14" borderId="10" xfId="1" applyFont="1" applyFill="1" applyBorder="1" applyAlignment="1">
      <alignment horizontal="right"/>
    </xf>
    <xf numFmtId="9" fontId="54" fillId="2" borderId="19" xfId="9" applyNumberFormat="1" applyFont="1" applyFill="1" applyBorder="1" applyAlignment="1" applyProtection="1">
      <alignment horizontal="left" indent="4"/>
      <protection locked="0"/>
    </xf>
    <xf numFmtId="9" fontId="54" fillId="0" borderId="0" xfId="9" applyNumberFormat="1" applyFont="1" applyFill="1" applyBorder="1" applyAlignment="1" applyProtection="1">
      <alignment horizontal="left" indent="1"/>
      <protection locked="0"/>
    </xf>
    <xf numFmtId="187" fontId="27" fillId="14" borderId="11" xfId="9" applyNumberFormat="1" applyFont="1" applyFill="1" applyBorder="1" applyAlignment="1">
      <alignment horizontal="right"/>
    </xf>
    <xf numFmtId="39" fontId="32" fillId="2" borderId="0" xfId="1" quotePrefix="1" applyNumberFormat="1" applyFont="1" applyFill="1" applyBorder="1" applyAlignment="1" applyProtection="1">
      <protection locked="0"/>
    </xf>
  </cellXfs>
  <cellStyles count="22">
    <cellStyle name="Comma" xfId="9" builtinId="3"/>
    <cellStyle name="Comma_Company0025" xfId="15" xr:uid="{4FFFD70E-D4BE-41C7-B7EA-C3EA6FDEBA58}"/>
    <cellStyle name="Currency" xfId="10" builtinId="4"/>
    <cellStyle name="Currency [0]_Quarterly History" xfId="16" xr:uid="{6A57797D-F059-4662-9364-1F42B0B06CC8}"/>
    <cellStyle name="Currency_Company0025" xfId="14" xr:uid="{A35B3B41-9575-417E-B7D5-C46DE67CB552}"/>
    <cellStyle name="Hyperlink" xfId="2" builtinId="8"/>
    <cellStyle name="Hyperlink 2 2" xfId="3" xr:uid="{FBA87B92-E1A1-475D-9C1A-5F21DC3F8426}"/>
    <cellStyle name="Hyperlink 3" xfId="6" xr:uid="{59A1D256-7739-4554-AC94-51BC9711CD8D}"/>
    <cellStyle name="Normal" xfId="0" builtinId="0"/>
    <cellStyle name="Normal 2" xfId="17" xr:uid="{62B8DEB2-E4E0-4E7D-888B-302829F06C15}"/>
    <cellStyle name="Normal 2 14" xfId="13" xr:uid="{829A4C05-2645-4258-97F4-FD7C6D8B1534}"/>
    <cellStyle name="Normal 2 3" xfId="4" xr:uid="{1C1EF6EF-0812-4D6A-8ABB-30391C3C2E8B}"/>
    <cellStyle name="Normal 2 3 2" xfId="7" xr:uid="{B45F92BC-0462-4C66-B95D-C568F0450F4A}"/>
    <cellStyle name="Normal 296" xfId="21" xr:uid="{FC06F55D-4F17-47D5-BAEC-498FD260B8F7}"/>
    <cellStyle name="Normal_Company0025" xfId="12" xr:uid="{437D365B-70C5-4EB5-B430-508F690F0B13}"/>
    <cellStyle name="Normal_EFII" xfId="8" xr:uid="{2CBB9996-9312-4381-94B9-050509C14152}"/>
    <cellStyle name="Normal_Quarterly History" xfId="11" xr:uid="{8D9629A5-3858-47CC-A382-6C746A911F59}"/>
    <cellStyle name="Percent" xfId="1" builtinId="5"/>
    <cellStyle name="Percent 10" xfId="5" xr:uid="{AA9F31CF-4C3F-4F83-8B9D-143035AC66C6}"/>
    <cellStyle name="Percent 3 10" xfId="20" xr:uid="{A8B2C86A-B58F-4B7F-8157-C45DAF2D8158}"/>
    <cellStyle name="Percent 3 2" xfId="18" xr:uid="{10D418E7-B39E-41E7-A82E-94367627E1F8}"/>
    <cellStyle name="Percent 43" xfId="19" xr:uid="{6E79D1E8-B6F6-4BE5-8B31-0160354825CA}"/>
  </cellStyles>
  <dxfs count="11">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1" defaultTableStyle="TableStyleMedium2" defaultPivotStyle="PivotStyleLight16">
    <tableStyle name="Invisible" pivot="0" table="0" count="0" xr9:uid="{B3534C57-54C5-4F51-9E65-F13526899CC6}"/>
  </tableStyles>
  <colors>
    <mruColors>
      <color rgb="FF0000FF"/>
      <color rgb="FFCCCCFF"/>
      <color rgb="FF0033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19050</xdr:colOff>
      <xdr:row>1</xdr:row>
      <xdr:rowOff>9525</xdr:rowOff>
    </xdr:from>
    <xdr:to>
      <xdr:col>1</xdr:col>
      <xdr:colOff>552450</xdr:colOff>
      <xdr:row>4</xdr:row>
      <xdr:rowOff>47438</xdr:rowOff>
    </xdr:to>
    <xdr:pic>
      <xdr:nvPicPr>
        <xdr:cNvPr id="2" name="Picture 5">
          <a:extLst>
            <a:ext uri="{FF2B5EF4-FFF2-40B4-BE49-F238E27FC236}">
              <a16:creationId xmlns:a16="http://schemas.microsoft.com/office/drawing/2014/main" id="{F045752A-D692-41B1-BA45-BF615BD5C657}"/>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266700" y="171450"/>
          <a:ext cx="533400" cy="523688"/>
        </a:xfrm>
        <a:prstGeom prst="rect">
          <a:avLst/>
        </a:prstGeom>
        <a:solidFill>
          <a:srgbClr val="FFFFFF"/>
        </a:solidFill>
        <a:ln w="9525">
          <a:solidFill>
            <a:srgbClr val="000000"/>
          </a:solidFill>
          <a:miter lim="800000"/>
          <a:headEnd/>
          <a:tailEnd/>
        </a:ln>
      </xdr:spPr>
    </xdr:pic>
    <xdr:clientData/>
  </xdr:twoCellAnchor>
</xdr:wsDr>
</file>

<file path=xl/theme/theme1.xml><?xml version="1.0" encoding="utf-8"?>
<a:theme xmlns:a="http://schemas.openxmlformats.org/drawingml/2006/main" name="Office Theme">
  <a:themeElements>
    <a:clrScheme name="GIR Exhibits">
      <a:dk1>
        <a:srgbClr val="000000"/>
      </a:dk1>
      <a:lt1>
        <a:sysClr val="window" lastClr="FFFFFF"/>
      </a:lt1>
      <a:dk2>
        <a:srgbClr val="BE3232"/>
      </a:dk2>
      <a:lt2>
        <a:srgbClr val="F67F26"/>
      </a:lt2>
      <a:accent1>
        <a:srgbClr val="00355F"/>
      </a:accent1>
      <a:accent2>
        <a:srgbClr val="ACD4F1"/>
      </a:accent2>
      <a:accent3>
        <a:srgbClr val="A5A5A5"/>
      </a:accent3>
      <a:accent4>
        <a:srgbClr val="7399C6"/>
      </a:accent4>
      <a:accent5>
        <a:srgbClr val="078549"/>
      </a:accent5>
      <a:accent6>
        <a:srgbClr val="8BC346"/>
      </a:accent6>
      <a:hlink>
        <a:srgbClr val="7399C6"/>
      </a:hlink>
      <a:folHlink>
        <a:srgbClr val="A5A5A5"/>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customProperty" Target="../customProperty1.bin"/></Relationships>
</file>

<file path=xl/worksheets/_rels/sheet2.xml.rels><?xml version="1.0" encoding="UTF-8" standalone="yes"?>
<Relationships xmlns="http://schemas.openxmlformats.org/package/2006/relationships"><Relationship Id="rId3" Type="http://schemas.openxmlformats.org/officeDocument/2006/relationships/hyperlink" Target="https://example.com/" TargetMode="External"/><Relationship Id="rId2" Type="http://schemas.openxmlformats.org/officeDocument/2006/relationships/hyperlink" Target="https://example.com/" TargetMode="External"/><Relationship Id="rId1" Type="http://schemas.openxmlformats.org/officeDocument/2006/relationships/hyperlink" Target="https://example.com/" TargetMode="External"/><Relationship Id="rId5" Type="http://schemas.openxmlformats.org/officeDocument/2006/relationships/drawing" Target="../drawings/drawing1.xml"/><Relationship Id="rId4" Type="http://schemas.openxmlformats.org/officeDocument/2006/relationships/customProperty" Target="../customProperty2.bin"/></Relationships>
</file>

<file path=xl/worksheets/_rels/sheet3.xml.rels><?xml version="1.0" encoding="UTF-8" standalone="yes"?>
<Relationships xmlns="http://schemas.openxmlformats.org/package/2006/relationships"><Relationship Id="rId1" Type="http://schemas.openxmlformats.org/officeDocument/2006/relationships/customProperty" Target="../customProperty3.bin"/></Relationships>
</file>

<file path=xl/worksheets/_rels/sheet4.xml.rels><?xml version="1.0" encoding="UTF-8" standalone="yes"?>
<Relationships xmlns="http://schemas.openxmlformats.org/package/2006/relationships"><Relationship Id="rId1" Type="http://schemas.openxmlformats.org/officeDocument/2006/relationships/customProperty" Target="../customProperty4.bin"/></Relationships>
</file>

<file path=xl/worksheets/_rels/sheet5.xml.rels><?xml version="1.0" encoding="UTF-8" standalone="yes"?>
<Relationships xmlns="http://schemas.openxmlformats.org/package/2006/relationships"><Relationship Id="rId2" Type="http://schemas.openxmlformats.org/officeDocument/2006/relationships/customProperty" Target="../customProperty5.bin"/><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2" Type="http://schemas.openxmlformats.org/officeDocument/2006/relationships/customProperty" Target="../customProperty6.bin"/><Relationship Id="rId1" Type="http://schemas.openxmlformats.org/officeDocument/2006/relationships/printerSettings" Target="../printerSettings/printerSettings2.bin"/></Relationships>
</file>

<file path=xl/worksheets/_rels/sheet7.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customProperty" Target="../customProperty7.bin"/></Relationships>
</file>

<file path=xl/worksheets/_rels/sheet8.xml.rels><?xml version="1.0" encoding="UTF-8" standalone="yes"?>
<Relationships xmlns="http://schemas.openxmlformats.org/package/2006/relationships"><Relationship Id="rId2" Type="http://schemas.openxmlformats.org/officeDocument/2006/relationships/customProperty" Target="../customProperty8.bin"/><Relationship Id="rId1" Type="http://schemas.openxmlformats.org/officeDocument/2006/relationships/printerSettings" Target="../printerSettings/printerSettings3.bin"/></Relationships>
</file>

<file path=xl/worksheets/_rels/sheet9.xml.rels><?xml version="1.0" encoding="UTF-8" standalone="yes"?>
<Relationships xmlns="http://schemas.openxmlformats.org/package/2006/relationships"><Relationship Id="rId2" Type="http://schemas.openxmlformats.org/officeDocument/2006/relationships/customProperty" Target="../customProperty9.bin"/><Relationship Id="rId1" Type="http://schemas.openxmlformats.org/officeDocument/2006/relationships/printerSettings" Target="../printerSettings/printerSettings4.bin"/></Relationships>
</file>

<file path=xl/worksheets/_rels/sheet10.xml.rels><?xml version="1.0" encoding="UTF-8" standalone="yes"?>
<Relationships xmlns="http://schemas.openxmlformats.org/package/2006/relationships"><Relationship Id="rId2" Type="http://schemas.openxmlformats.org/officeDocument/2006/relationships/customProperty" Target="../customProperty10.bin"/><Relationship Id="rId1" Type="http://schemas.openxmlformats.org/officeDocument/2006/relationships/printerSettings" Target="../printerSettings/printerSettings5.bin"/></Relationships>
</file>

<file path=xl/worksheets/_rels/sheet11.xml.rels><?xml version="1.0" encoding="UTF-8" standalone="yes"?>
<Relationships xmlns="http://schemas.openxmlformats.org/package/2006/relationships"><Relationship Id="rId8" Type="http://schemas.openxmlformats.org/officeDocument/2006/relationships/customProperty" Target="../customProperty17.bin"/><Relationship Id="rId3" Type="http://schemas.openxmlformats.org/officeDocument/2006/relationships/customProperty" Target="../customProperty12.bin"/><Relationship Id="rId7" Type="http://schemas.openxmlformats.org/officeDocument/2006/relationships/customProperty" Target="../customProperty16.bin"/><Relationship Id="rId2" Type="http://schemas.openxmlformats.org/officeDocument/2006/relationships/customProperty" Target="../customProperty11.bin"/><Relationship Id="rId1" Type="http://schemas.openxmlformats.org/officeDocument/2006/relationships/printerSettings" Target="../printerSettings/printerSettings6.bin"/><Relationship Id="rId6" Type="http://schemas.openxmlformats.org/officeDocument/2006/relationships/customProperty" Target="../customProperty15.bin"/><Relationship Id="rId5" Type="http://schemas.openxmlformats.org/officeDocument/2006/relationships/customProperty" Target="../customProperty14.bin"/><Relationship Id="rId4" Type="http://schemas.openxmlformats.org/officeDocument/2006/relationships/customProperty" Target="../customProperty13.bin"/></Relationships>
</file>

<file path=xl/worksheets/_rels/sheet12.xml.rels><?xml version="1.0" encoding="UTF-8" standalone="yes"?>
<Relationships xmlns="http://schemas.openxmlformats.org/package/2006/relationships"><Relationship Id="rId8" Type="http://schemas.openxmlformats.org/officeDocument/2006/relationships/customProperty" Target="../customProperty25.bin"/><Relationship Id="rId3" Type="http://schemas.openxmlformats.org/officeDocument/2006/relationships/customProperty" Target="../customProperty20.bin"/><Relationship Id="rId7" Type="http://schemas.openxmlformats.org/officeDocument/2006/relationships/customProperty" Target="../customProperty24.bin"/><Relationship Id="rId2" Type="http://schemas.openxmlformats.org/officeDocument/2006/relationships/customProperty" Target="../customProperty19.bin"/><Relationship Id="rId1" Type="http://schemas.openxmlformats.org/officeDocument/2006/relationships/customProperty" Target="../customProperty18.bin"/><Relationship Id="rId6" Type="http://schemas.openxmlformats.org/officeDocument/2006/relationships/customProperty" Target="../customProperty23.bin"/><Relationship Id="rId5" Type="http://schemas.openxmlformats.org/officeDocument/2006/relationships/customProperty" Target="../customProperty22.bin"/><Relationship Id="rId4" Type="http://schemas.openxmlformats.org/officeDocument/2006/relationships/customProperty" Target="../customProperty21.bin"/></Relationships>
</file>

<file path=xl/worksheets/_rels/sheet13.xml.rels><?xml version="1.0" encoding="UTF-8" standalone="yes"?>
<Relationships xmlns="http://schemas.openxmlformats.org/package/2006/relationships"><Relationship Id="rId3" Type="http://schemas.openxmlformats.org/officeDocument/2006/relationships/customProperty" Target="../customProperty28.bin"/><Relationship Id="rId7" Type="http://schemas.openxmlformats.org/officeDocument/2006/relationships/customProperty" Target="../customProperty32.bin"/><Relationship Id="rId2" Type="http://schemas.openxmlformats.org/officeDocument/2006/relationships/customProperty" Target="../customProperty27.bin"/><Relationship Id="rId1" Type="http://schemas.openxmlformats.org/officeDocument/2006/relationships/customProperty" Target="../customProperty26.bin"/><Relationship Id="rId6" Type="http://schemas.openxmlformats.org/officeDocument/2006/relationships/customProperty" Target="../customProperty31.bin"/><Relationship Id="rId5" Type="http://schemas.openxmlformats.org/officeDocument/2006/relationships/customProperty" Target="../customProperty30.bin"/><Relationship Id="rId4" Type="http://schemas.openxmlformats.org/officeDocument/2006/relationships/customProperty" Target="../customProperty29.bin"/></Relationships>
</file>

<file path=xl/worksheets/_rels/sheet14.xml.rels><?xml version="1.0" encoding="UTF-8" standalone="yes"?>
<Relationships xmlns="http://schemas.openxmlformats.org/package/2006/relationships"><Relationship Id="rId2" Type="http://schemas.openxmlformats.org/officeDocument/2006/relationships/customProperty" Target="../customProperty33.bin"/><Relationship Id="rId1" Type="http://schemas.openxmlformats.org/officeDocument/2006/relationships/printerSettings" Target="../printerSettings/printerSettings7.bin"/></Relationships>
</file>

<file path=xl/worksheets/_rels/sheet15.xml.rels><?xml version="1.0" encoding="UTF-8" standalone="yes"?>
<Relationships xmlns="http://schemas.openxmlformats.org/package/2006/relationships"><Relationship Id="rId1" Type="http://schemas.openxmlformats.org/officeDocument/2006/relationships/customProperty" Target="../customProperty34.bin"/></Relationships>
</file>

<file path=xl/worksheets/_rels/sheet16.xml.rels><?xml version="1.0" encoding="UTF-8" standalone="yes"?>
<Relationships xmlns="http://schemas.openxmlformats.org/package/2006/relationships"><Relationship Id="rId2" Type="http://schemas.openxmlformats.org/officeDocument/2006/relationships/customProperty" Target="../customProperty35.bin"/><Relationship Id="rId1" Type="http://schemas.openxmlformats.org/officeDocument/2006/relationships/printerSettings" Target="../printerSettings/printerSettings8.bin"/></Relationships>
</file>

<file path=xl/worksheets/_rels/sheet17.xml.rels><?xml version="1.0" encoding="UTF-8" standalone="yes"?>
<Relationships xmlns="http://schemas.openxmlformats.org/package/2006/relationships"><Relationship Id="rId2" Type="http://schemas.openxmlformats.org/officeDocument/2006/relationships/customProperty" Target="../customProperty36.bin"/><Relationship Id="rId1" Type="http://schemas.openxmlformats.org/officeDocument/2006/relationships/printerSettings" Target="../printerSettings/printerSettings9.bin"/></Relationships>
</file>

<file path=xl/worksheets/_rels/sheet18.xml.rels><?xml version="1.0" encoding="UTF-8" standalone="yes"?>
<Relationships xmlns="http://schemas.openxmlformats.org/package/2006/relationships"><Relationship Id="rId1" Type="http://schemas.openxmlformats.org/officeDocument/2006/relationships/customProperty" Target="../customProperty37.bin"/></Relationships>
</file>

<file path=xl/worksheets/_rels/sheet19.xml.rels><?xml version="1.0" encoding="UTF-8" standalone="yes"?>
<Relationships xmlns="http://schemas.openxmlformats.org/package/2006/relationships"><Relationship Id="rId2" Type="http://schemas.openxmlformats.org/officeDocument/2006/relationships/customProperty" Target="../customProperty38.bin"/><Relationship Id="rId1" Type="http://schemas.openxmlformats.org/officeDocument/2006/relationships/printerSettings" Target="../printerSettings/printerSettings10.bin"/></Relationships>
</file>

<file path=xl/worksheets/_rels/sheet20.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customProperty" Target="../customProperty39.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379F69-0FC4-4621-B1D5-380DD8B1A882}">
  <dimension ref="A1:B74"/>
  <sheetViews>
    <sheetView workbookViewId="0"/>
  </sheetViews>
  <sheetFormatPr defaultRowHeight="13.2"/>
  <sheetData>
    <row r="1" spans="1:2">
      <c r="B1" t="s">
        <v>69</v>
      </c>
    </row>
    <row r="2" spans="1:2"/>
    <row r="3" spans="1:2"/>
    <row r="4" spans="1:2"/>
    <row r="5" spans="1:2"/>
    <row r="6" spans="1:2"/>
    <row r="7" spans="1:2"/>
    <row r="8" spans="1:2"/>
    <row r="9" spans="1:2"/>
    <row r="10" spans="1:2"/>
    <row r="11" spans="1:2"/>
    <row r="12" spans="1:2"/>
    <row r="13" spans="1:2"/>
    <row r="14" spans="1:2"/>
    <row r="15" spans="1:2"/>
    <row r="16" spans="1:2"/>
    <row r="17" spans="1:1"/>
    <row r="18" spans="1:1"/>
    <row r="19" spans="1:1"/>
    <row r="20" spans="1:1"/>
    <row r="21" spans="1:1"/>
    <row r="22" spans="1:1"/>
    <row r="23" spans="1:1"/>
    <row r="24" spans="1:1"/>
    <row r="25" spans="1:1"/>
    <row r="26" spans="1:1"/>
    <row r="27" spans="1:1"/>
    <row r="28" spans="1:1"/>
    <row r="29" spans="1:1"/>
    <row r="30" spans="1:1"/>
    <row r="31" spans="1:1"/>
    <row r="32" spans="1:1"/>
    <row r="33" spans="1:1"/>
    <row r="34" spans="1:1"/>
    <row r="35" spans="1:1"/>
    <row r="36" spans="1:1"/>
    <row r="37" spans="1:1"/>
    <row r="38" spans="1:1"/>
    <row r="39" spans="1:1"/>
    <row r="40" spans="1:1"/>
    <row r="41" spans="1:1"/>
    <row r="42" spans="1:1"/>
    <row r="43" spans="1:1"/>
    <row r="44" spans="1:1"/>
    <row r="45" spans="1:1"/>
    <row r="46" spans="1:1"/>
    <row r="47" spans="1:1"/>
    <row r="48" spans="1:1"/>
    <row r="49" spans="1:1"/>
    <row r="50" spans="1:1"/>
    <row r="51" spans="1:1"/>
    <row r="52" spans="1:1"/>
    <row r="53" spans="1:1"/>
    <row r="54" spans="1:1"/>
    <row r="55" spans="1:1"/>
    <row r="56" spans="1:1"/>
    <row r="57" spans="1:1"/>
    <row r="58" spans="1:1"/>
    <row r="59" spans="1:1"/>
    <row r="60" spans="1:1"/>
    <row r="61" spans="1:1"/>
    <row r="62" spans="1:1"/>
    <row r="63" spans="1:1"/>
    <row r="64" spans="1:1"/>
    <row r="65" spans="1:1"/>
    <row r="66" spans="1:1"/>
    <row r="67" spans="1:1"/>
    <row r="68" spans="1:1"/>
    <row r="69" spans="1:1"/>
    <row r="70" spans="1:1"/>
    <row r="71" spans="1:1"/>
    <row r="72" spans="1:1"/>
    <row r="73" spans="1:1"/>
    <row r="74" spans="1:1"/>
  </sheetData>
  <pageMargins left="0.7" right="0.7" top="0.75" bottom="0.75" header="0.3" footer="0.3"/>
  <customProperties>
    <customPr name="Qube.Worksheet.Visibility" r:id="rId1"/>
  </customProperties>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3912DF-7CF8-4B8F-8C03-929727720012}">
  <sheetPr>
    <tabColor rgb="FF002060"/>
  </sheetPr>
  <dimension ref="B2:E24"/>
  <sheetViews>
    <sheetView showGridLines="0" tabSelected="1" zoomScaleNormal="100" workbookViewId="0">
      <selection activeCell="G12" sqref="G12"/>
    </sheetView>
  </sheetViews>
  <sheetFormatPr defaultColWidth="9.109375" defaultRowHeight="12.75" customHeight="1"/>
  <cols>
    <col min="1" max="1" width="3.5546875" customWidth="1"/>
    <col min="3" max="4" width="10.109375" bestFit="1" customWidth="1"/>
  </cols>
  <sheetData>
    <row r="2" spans="2:5" ht="12.75" customHeight="1">
      <c r="C2" s="100" t="s">
        <v>8</v>
      </c>
    </row>
    <row r="3" spans="2:5" ht="12.75" customHeight="1">
      <c r="C3" s="100" t="s">
        <v>0</v>
      </c>
      <c r="D3" s="100" t="s">
        <v>9</v>
      </c>
    </row>
    <row r="4" spans="2:5" ht="12.75" customHeight="1">
      <c r="C4" s="1705" t="s">
        <v>1</v>
      </c>
      <c r="D4" s="1706">
        <f ca="1">TODAY()</f>
      </c>
    </row>
    <row r="6" spans="2:5" ht="12.75" customHeight="1">
      <c r="B6" s="824" t="s">
        <v>2</v>
      </c>
      <c r="D6" s="1707"/>
    </row>
    <row r="7" spans="2:5" ht="12.75" customHeight="1">
      <c r="B7" s="780" t="s">
        <v>3</v>
      </c>
    </row>
    <row r="8" spans="2:5" ht="12.75" customHeight="1">
      <c r="B8" s="1569" t="s">
        <v>4</v>
      </c>
    </row>
    <row r="9" spans="2:5" ht="12.75" customHeight="1">
      <c r="B9" s="780"/>
      <c r="D9" s="1708"/>
    </row>
    <row r="10" spans="2:5" ht="12.75" customHeight="1">
      <c r="B10" s="780" t="s">
        <v>10</v>
      </c>
      <c r="E10" s="780"/>
    </row>
    <row r="11" spans="2:5" ht="12.75" customHeight="1">
      <c r="B11" s="780" t="s">
        <v>11</v>
      </c>
      <c r="E11" s="780"/>
    </row>
    <row r="12" spans="2:5" ht="12.75" customHeight="1">
      <c r="B12" s="1709" t="s">
        <v>1920</v>
      </c>
      <c r="E12" s="1569"/>
    </row>
    <row r="13" spans="2:5" ht="12.75" customHeight="1">
      <c r="B13" s="780"/>
    </row>
    <row r="14" spans="2:5" ht="12.75" customHeight="1">
      <c r="B14" s="780" t="s">
        <v>5</v>
      </c>
    </row>
    <row r="15" spans="2:5" ht="12.75" customHeight="1">
      <c r="B15" s="780" t="s">
        <v>6</v>
      </c>
    </row>
    <row r="16" spans="2:5" ht="12.75" customHeight="1">
      <c r="B16" s="1569" t="s">
        <v>7</v>
      </c>
    </row>
    <row r="17" spans="2:2" ht="12.75" customHeight="1">
      <c r="B17" s="780"/>
    </row>
    <row r="18" spans="2:2" ht="12.75" customHeight="1">
      <c r="B18" s="780" t="s">
        <v>2017</v>
      </c>
    </row>
    <row r="19" spans="2:2" ht="12.75" customHeight="1">
      <c r="B19" s="780" t="s">
        <v>2018</v>
      </c>
    </row>
    <row r="20" spans="2:2" ht="12.75" customHeight="1">
      <c r="B20" s="1569" t="s">
        <v>2019</v>
      </c>
    </row>
    <row r="21" spans="2:2" ht="12.75" customHeight="1">
      <c r="B21" s="780"/>
    </row>
    <row r="22" spans="2:2" ht="12.75" customHeight="1">
      <c r="B22" s="780" t="s">
        <v>2020</v>
      </c>
    </row>
    <row r="23" spans="2:2" ht="12.75" customHeight="1">
      <c r="B23" s="780" t="s">
        <v>2021</v>
      </c>
    </row>
    <row r="24" spans="2:2" ht="12.75" customHeight="1">
      <c r="B24" s="1569" t="s">
        <v>2022</v>
      </c>
    </row>
  </sheetData>
  <hyperlinks>
    <hyperlink ref="B8" r:id="rId1" display="person@example.com" xr:uid="{A6D02CF4-E424-43C1-B2F0-0F50CD399C99}"/>
    <hyperlink ref="B16" r:id="rId2" xr:uid="{561C752E-E614-42AB-A630-A8D6165D9B22}"/>
    <hyperlink ref="B12" r:id="rId3" xr:uid="{EA73C0AB-272D-460F-B132-98153EB74626}"/>
  </hyperlinks>
  <pageMargins left="0.7" right="0.7" top="0.75" bottom="0.75" header="0.3" footer="0.3"/>
  <customProperties>
    <customPr name="Qube.Worksheet.Visibility" r:id="rId4"/>
  </customProperties>
  <drawing r:id="rId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EF5950-3592-4371-8C2C-F4DD3C5751D2}">
  <sheetPr>
    <tabColor rgb="FF002060"/>
  </sheetPr>
  <dimension ref="A1:GJ107"/>
  <sheetViews>
    <sheetView showGridLines="0" zoomScaleNormal="100" workbookViewId="0">
      <pane xSplit="2" ySplit="8" topLeftCell="EW9" activePane="bottomRight" state="frozen"/>
      <selection activeCell="DD115" sqref="DD115"/>
      <selection pane="topRight" activeCell="DD115" sqref="DD115"/>
      <selection pane="bottomLeft" activeCell="DD115" sqref="DD115"/>
      <selection pane="bottomRight"/>
    </sheetView>
  </sheetViews>
  <sheetFormatPr defaultColWidth="9.109375" defaultRowHeight="12.75" customHeight="1" outlineLevelRow="1" outlineLevelCol="2"/>
  <cols>
    <col min="1" max="1" width="3.5546875" style="68" customWidth="1"/>
    <col min="2" max="2" width="49.88671875" style="283" customWidth="1"/>
    <col min="3" max="3" width="11.109375" style="284" hidden="1" customWidth="1" outlineLevel="1"/>
    <col min="4" max="6" width="11.109375" style="288" hidden="1" customWidth="1" outlineLevel="1"/>
    <col min="7" max="7" width="11.44140625" style="288" hidden="1" customWidth="1" outlineLevel="1" collapsed="1"/>
    <col min="8" max="8" width="11.109375" style="284" hidden="1" customWidth="1" outlineLevel="2"/>
    <col min="9" max="11" width="11.109375" style="288" hidden="1" customWidth="1" outlineLevel="2"/>
    <col min="12" max="12" width="11.44140625" style="288" hidden="1" customWidth="1" outlineLevel="1"/>
    <col min="13" max="13" width="11.109375" style="284" hidden="1" customWidth="1" outlineLevel="2"/>
    <col min="14" max="16" width="11.109375" style="288" hidden="1" customWidth="1" outlineLevel="2"/>
    <col min="17" max="17" width="11.44140625" style="288" hidden="1" customWidth="1" outlineLevel="1"/>
    <col min="18" max="18" width="11.109375" style="474" hidden="1" customWidth="1" outlineLevel="2"/>
    <col min="19" max="21" width="11.109375" style="475" hidden="1" customWidth="1" outlineLevel="2"/>
    <col min="22" max="22" width="11.44140625" style="288" hidden="1" customWidth="1" outlineLevel="1"/>
    <col min="23" max="23" width="11.109375" style="474" hidden="1" customWidth="1" outlineLevel="2"/>
    <col min="24" max="26" width="11.109375" style="475" hidden="1" customWidth="1" outlineLevel="2"/>
    <col min="27" max="27" width="11.44140625" style="288" hidden="1" customWidth="1" outlineLevel="1"/>
    <col min="28" max="28" width="11.109375" style="474" hidden="1" customWidth="1" outlineLevel="2"/>
    <col min="29" max="31" width="11.109375" style="475" hidden="1" customWidth="1" outlineLevel="2"/>
    <col min="32" max="32" width="11.44140625" style="288" hidden="1" customWidth="1" outlineLevel="1"/>
    <col min="33" max="33" width="11.109375" style="474" hidden="1" customWidth="1" outlineLevel="2"/>
    <col min="34" max="36" width="11.109375" style="475" hidden="1" customWidth="1" outlineLevel="2"/>
    <col min="37" max="37" width="11.44140625" style="288" hidden="1" customWidth="1" outlineLevel="1"/>
    <col min="38" max="38" width="11.109375" style="284" hidden="1" customWidth="1" outlineLevel="2"/>
    <col min="39" max="41" width="11.109375" style="288" hidden="1" customWidth="1" outlineLevel="2"/>
    <col min="42" max="42" width="11.109375" style="288" hidden="1" customWidth="1" outlineLevel="1"/>
    <col min="43" max="43" width="11.109375" style="284" hidden="1" customWidth="1" outlineLevel="2"/>
    <col min="44" max="46" width="11.109375" style="288" hidden="1" customWidth="1" outlineLevel="2"/>
    <col min="47" max="47" width="11.109375" style="288" hidden="1" customWidth="1" outlineLevel="1"/>
    <col min="48" max="48" width="11.109375" style="284" hidden="1" customWidth="1" outlineLevel="2"/>
    <col min="49" max="51" width="11.109375" style="288" hidden="1" customWidth="1" outlineLevel="2"/>
    <col min="52" max="52" width="11.44140625" style="288" hidden="1" customWidth="1" outlineLevel="1"/>
    <col min="53" max="53" width="11.109375" style="284" hidden="1" customWidth="1" outlineLevel="2"/>
    <col min="54" max="56" width="11.109375" style="288" hidden="1" customWidth="1" outlineLevel="2"/>
    <col min="57" max="57" width="11.44140625" style="288" hidden="1" customWidth="1" outlineLevel="1"/>
    <col min="58" max="58" width="11.109375" style="284" hidden="1" customWidth="1" outlineLevel="2"/>
    <col min="59" max="61" width="11.109375" style="288" hidden="1" customWidth="1" outlineLevel="2"/>
    <col min="62" max="62" width="11.44140625" style="288" hidden="1" customWidth="1" outlineLevel="1"/>
    <col min="63" max="63" width="11.109375" style="284" hidden="1" customWidth="1" outlineLevel="2"/>
    <col min="64" max="66" width="11.109375" style="288" hidden="1" customWidth="1" outlineLevel="2"/>
    <col min="67" max="67" width="11.44140625" style="288" hidden="1" customWidth="1" outlineLevel="1"/>
    <col min="68" max="68" width="11.109375" style="284" hidden="1" customWidth="1" outlineLevel="2"/>
    <col min="69" max="71" width="11.109375" style="288" hidden="1" customWidth="1" outlineLevel="2"/>
    <col min="72" max="72" width="11.44140625" style="288" hidden="1" customWidth="1" outlineLevel="1"/>
    <col min="73" max="73" width="11.109375" style="284" hidden="1" customWidth="1" outlineLevel="2"/>
    <col min="74" max="76" width="11.109375" style="288" hidden="1" customWidth="1" outlineLevel="2"/>
    <col min="77" max="77" width="11.44140625" style="288" hidden="1" customWidth="1" outlineLevel="1"/>
    <col min="78" max="78" width="11.109375" style="284" hidden="1" customWidth="1" outlineLevel="2"/>
    <col min="79" max="81" width="11.109375" style="288" hidden="1" customWidth="1" outlineLevel="2"/>
    <col min="82" max="82" width="11.44140625" style="288" hidden="1" customWidth="1" outlineLevel="1"/>
    <col min="83" max="83" width="11.109375" style="284" hidden="1" customWidth="1" outlineLevel="2"/>
    <col min="84" max="86" width="11.109375" style="288" hidden="1" customWidth="1" outlineLevel="2"/>
    <col min="87" max="87" width="11.109375" style="288" hidden="1" customWidth="1" outlineLevel="1"/>
    <col min="88" max="88" width="11.109375" style="284" hidden="1" customWidth="1" outlineLevel="2"/>
    <col min="89" max="91" width="11.109375" style="288" hidden="1" customWidth="1" outlineLevel="2"/>
    <col min="92" max="92" width="11.109375" style="288" hidden="1" customWidth="1" outlineLevel="1"/>
    <col min="93" max="93" width="11.109375" style="284" hidden="1" customWidth="1" outlineLevel="2"/>
    <col min="94" max="96" width="11.109375" style="288" hidden="1" customWidth="1" outlineLevel="2"/>
    <col min="97" max="97" width="11.44140625" style="288" hidden="1" customWidth="1" outlineLevel="1"/>
    <col min="98" max="98" width="11.109375" style="284" hidden="1" customWidth="1" outlineLevel="1"/>
    <col min="99" max="101" width="11.109375" style="288" hidden="1" customWidth="1" outlineLevel="1"/>
    <col min="102" max="102" width="11.44140625" style="288" bestFit="1" customWidth="1" collapsed="1"/>
    <col min="103" max="103" width="11.109375" style="284" hidden="1" customWidth="1" outlineLevel="1"/>
    <col min="104" max="106" width="11.109375" style="288" hidden="1" customWidth="1" outlineLevel="1"/>
    <col min="107" max="107" width="11.44140625" style="288" bestFit="1" customWidth="1" collapsed="1"/>
    <col min="108" max="108" width="11.109375" style="284" hidden="1" customWidth="1" outlineLevel="1"/>
    <col min="109" max="111" width="11.109375" style="288" hidden="1" customWidth="1" outlineLevel="1"/>
    <col min="112" max="112" width="11.44140625" style="288" bestFit="1" customWidth="1" collapsed="1"/>
    <col min="113" max="113" width="11.109375" style="284" hidden="1" customWidth="1" outlineLevel="1"/>
    <col min="114" max="116" width="11.109375" style="288" hidden="1" customWidth="1" outlineLevel="1"/>
    <col min="117" max="117" width="11.44140625" style="288" bestFit="1" customWidth="1" collapsed="1"/>
    <col min="118" max="118" width="11.109375" style="284" hidden="1" customWidth="1" outlineLevel="1"/>
    <col min="119" max="121" width="11.109375" style="288" hidden="1" customWidth="1" outlineLevel="1"/>
    <col min="122" max="122" width="11.44140625" style="288" bestFit="1" customWidth="1" collapsed="1"/>
    <col min="123" max="123" width="11.109375" style="284" hidden="1" customWidth="1" outlineLevel="1"/>
    <col min="124" max="126" width="9.44140625" style="288" hidden="1" customWidth="1" outlineLevel="1"/>
    <col min="127" max="127" width="11.44140625" style="288" bestFit="1" customWidth="1" collapsed="1"/>
    <col min="128" max="128" width="11.109375" style="284" hidden="1" customWidth="1" outlineLevel="1"/>
    <col min="129" max="131" width="11.109375" style="288" hidden="1" customWidth="1" outlineLevel="1"/>
    <col min="132" max="132" width="11.109375" style="288" customWidth="1" collapsed="1"/>
    <col min="133" max="133" width="11.109375" style="284" hidden="1" customWidth="1" outlineLevel="1"/>
    <col min="134" max="136" width="11.109375" style="288" hidden="1" customWidth="1" outlineLevel="1"/>
    <col min="137" max="137" width="11.109375" style="288" customWidth="1" collapsed="1"/>
    <col min="138" max="138" width="12.5546875" style="284" hidden="1" customWidth="1" outlineLevel="1"/>
    <col min="139" max="141" width="11.44140625" style="288" hidden="1" customWidth="1" outlineLevel="1"/>
    <col min="142" max="142" width="12.5546875" style="142" bestFit="1" customWidth="1" collapsed="1"/>
    <col min="143" max="143" width="11.44140625" style="284" hidden="1" customWidth="1" outlineLevel="1"/>
    <col min="144" max="146" width="11.44140625" style="288" hidden="1" customWidth="1" outlineLevel="1"/>
    <col min="147" max="147" width="11.44140625" style="142" bestFit="1" customWidth="1" collapsed="1"/>
    <col min="148" max="148" width="11.109375" style="284" hidden="1" customWidth="1" outlineLevel="1"/>
    <col min="149" max="151" width="11.109375" style="288" hidden="1" customWidth="1" outlineLevel="1"/>
    <col min="152" max="152" width="11.44140625" style="288" bestFit="1" customWidth="1" collapsed="1"/>
    <col min="153" max="153" width="11.109375" style="284" customWidth="1" outlineLevel="1"/>
    <col min="154" max="156" width="11.109375" style="288" customWidth="1" outlineLevel="1"/>
    <col min="157" max="157" width="11.44140625" style="288" bestFit="1" customWidth="1"/>
    <col min="158" max="158" width="11.109375" style="284" customWidth="1" outlineLevel="1"/>
    <col min="159" max="161" width="11.109375" style="288" customWidth="1" outlineLevel="1"/>
    <col min="162" max="162" width="11.44140625" style="288" bestFit="1" customWidth="1"/>
    <col min="163" max="163" width="11.109375" style="284" customWidth="1" outlineLevel="1"/>
    <col min="164" max="166" width="11.109375" style="288" customWidth="1" outlineLevel="1"/>
    <col min="167" max="167" width="11.44140625" style="288" bestFit="1" customWidth="1"/>
    <col min="168" max="168" width="11.109375" style="284" hidden="1" customWidth="1" outlineLevel="1"/>
    <col min="169" max="171" width="10.109375" style="288" hidden="1" customWidth="1" outlineLevel="1"/>
    <col min="172" max="172" width="11.44140625" style="288" bestFit="1" customWidth="1" collapsed="1"/>
    <col min="173" max="173" width="10.109375" style="284" hidden="1" customWidth="1" outlineLevel="1"/>
    <col min="174" max="176" width="10.109375" style="288" hidden="1" customWidth="1" outlineLevel="1"/>
    <col min="177" max="177" width="11.44140625" style="288" bestFit="1" customWidth="1" collapsed="1"/>
    <col min="178" max="178" width="10.109375" style="284" hidden="1" customWidth="1" outlineLevel="1"/>
    <col min="179" max="181" width="10.109375" style="288" hidden="1" customWidth="1" outlineLevel="1"/>
    <col min="182" max="182" width="11.44140625" style="288" bestFit="1" customWidth="1" collapsed="1"/>
    <col min="183" max="183" width="10.109375" style="284" hidden="1" customWidth="1" outlineLevel="1"/>
    <col min="184" max="186" width="10.109375" style="288" hidden="1" customWidth="1" outlineLevel="1"/>
    <col min="187" max="187" width="11.44140625" style="288" bestFit="1" customWidth="1" collapsed="1"/>
    <col min="188" max="188" width="10.109375" style="284" hidden="1" customWidth="1" outlineLevel="1"/>
    <col min="189" max="191" width="10.109375" style="288" hidden="1" customWidth="1" outlineLevel="1"/>
    <col min="192" max="192" width="11.44140625" style="288" bestFit="1" customWidth="1" collapsed="1"/>
    <col min="193" max="16384" width="9.109375" style="283"/>
  </cols>
  <sheetData>
    <row r="1" spans="1:192" ht="12.75" customHeight="1">
      <c r="D1" s="285"/>
      <c r="E1" s="285"/>
      <c r="F1" s="285"/>
      <c r="G1" s="285"/>
      <c r="I1" s="285"/>
      <c r="J1" s="285"/>
      <c r="K1" s="285"/>
      <c r="L1" s="285"/>
      <c r="N1" s="285"/>
      <c r="O1" s="285"/>
      <c r="P1" s="285"/>
      <c r="Q1" s="285"/>
      <c r="S1" s="375"/>
      <c r="T1" s="375"/>
      <c r="U1" s="375"/>
      <c r="V1" s="285"/>
      <c r="X1" s="375"/>
      <c r="Y1" s="375"/>
      <c r="Z1" s="375"/>
      <c r="AA1" s="285"/>
      <c r="AC1" s="375"/>
      <c r="AD1" s="375"/>
      <c r="AE1" s="375"/>
      <c r="AF1" s="285"/>
      <c r="AH1" s="375"/>
      <c r="AI1" s="375"/>
      <c r="AJ1" s="375"/>
      <c r="AK1" s="285"/>
      <c r="AM1" s="285"/>
      <c r="AN1" s="285"/>
      <c r="AO1" s="285"/>
      <c r="AP1" s="285"/>
      <c r="AR1" s="285"/>
      <c r="AS1" s="285"/>
      <c r="AT1" s="285"/>
      <c r="AU1" s="285"/>
      <c r="AW1" s="285"/>
      <c r="AX1" s="285"/>
      <c r="AY1" s="285"/>
      <c r="AZ1" s="285"/>
      <c r="BB1" s="285"/>
      <c r="BC1" s="285"/>
      <c r="BD1" s="285"/>
      <c r="BE1" s="285"/>
      <c r="BG1" s="285"/>
      <c r="BH1" s="285"/>
      <c r="BI1" s="285"/>
      <c r="BJ1" s="285"/>
      <c r="BL1" s="285"/>
      <c r="BM1" s="285"/>
      <c r="BN1" s="285"/>
      <c r="BO1" s="285"/>
      <c r="BQ1" s="285"/>
      <c r="BR1" s="285"/>
      <c r="BS1" s="285"/>
      <c r="BT1" s="285"/>
      <c r="BV1" s="285"/>
      <c r="BW1" s="285"/>
      <c r="BX1" s="285"/>
      <c r="BY1" s="285"/>
      <c r="CA1" s="285"/>
      <c r="CB1" s="285"/>
      <c r="CC1" s="285"/>
      <c r="CD1" s="285"/>
      <c r="CF1" s="285"/>
      <c r="CG1" s="285"/>
      <c r="CH1" s="285"/>
      <c r="CI1" s="285"/>
      <c r="CK1" s="285"/>
      <c r="CL1" s="285"/>
      <c r="CM1" s="285"/>
      <c r="CN1" s="285"/>
      <c r="CP1" s="285"/>
      <c r="CQ1" s="285"/>
      <c r="CR1" s="285"/>
      <c r="CS1" s="285"/>
      <c r="CU1" s="285"/>
      <c r="CV1" s="285"/>
      <c r="CW1" s="285"/>
      <c r="CX1" s="285"/>
      <c r="CZ1" s="285"/>
      <c r="DA1" s="285"/>
      <c r="DB1" s="285"/>
      <c r="DC1" s="285"/>
      <c r="DE1" s="285"/>
      <c r="DF1" s="285"/>
      <c r="DG1" s="285"/>
      <c r="DH1" s="285"/>
      <c r="DJ1" s="285"/>
      <c r="DK1" s="285"/>
      <c r="DL1" s="285"/>
      <c r="DM1" s="285"/>
      <c r="DO1" s="285"/>
      <c r="DP1" s="285"/>
      <c r="DQ1" s="285"/>
      <c r="DR1" s="285"/>
      <c r="DT1" s="285"/>
      <c r="DU1" s="285"/>
      <c r="DV1" s="285"/>
      <c r="DW1" s="285"/>
      <c r="DY1" s="285"/>
      <c r="DZ1" s="285"/>
      <c r="EA1" s="285"/>
      <c r="EB1" s="285"/>
      <c r="ED1" s="285"/>
      <c r="EE1" s="285"/>
      <c r="EF1" s="285"/>
      <c r="EG1" s="285"/>
      <c r="EI1" s="285"/>
      <c r="EJ1" s="285"/>
      <c r="EK1" s="285"/>
      <c r="EL1" s="285"/>
      <c r="EN1" s="285"/>
      <c r="EO1" s="285"/>
      <c r="EP1" s="285"/>
      <c r="EQ1" s="285"/>
      <c r="ES1" s="285"/>
      <c r="ET1" s="285"/>
      <c r="EU1" s="285"/>
      <c r="EV1" s="285"/>
      <c r="EX1" s="285"/>
      <c r="EY1" s="285"/>
      <c r="EZ1" s="285"/>
      <c r="FA1" s="285"/>
      <c r="FC1" s="285"/>
      <c r="FD1" s="285"/>
      <c r="FE1" s="285"/>
      <c r="FF1" s="285"/>
      <c r="FH1" s="285"/>
      <c r="FI1" s="285"/>
      <c r="FJ1" s="285"/>
      <c r="FK1" s="285"/>
      <c r="FM1" s="285"/>
      <c r="FN1" s="285"/>
      <c r="FO1" s="285"/>
      <c r="FP1" s="285"/>
      <c r="FR1" s="285"/>
      <c r="FS1" s="285"/>
      <c r="FT1" s="285"/>
      <c r="FU1" s="285"/>
      <c r="FW1" s="285"/>
      <c r="FX1" s="285"/>
      <c r="FY1" s="285"/>
      <c r="FZ1" s="285"/>
      <c r="GB1" s="285"/>
      <c r="GC1" s="285"/>
      <c r="GD1" s="285"/>
      <c r="GE1" s="285"/>
      <c r="GG1" s="285"/>
      <c r="GH1" s="285"/>
      <c r="GI1" s="285"/>
      <c r="GJ1" s="285"/>
    </row>
    <row r="2" spans="1:192" ht="12.75" customHeight="1">
      <c r="B2" s="40" t="s">
        <v>63</v>
      </c>
      <c r="D2" s="285"/>
      <c r="E2" s="285"/>
      <c r="F2" s="285"/>
      <c r="G2" s="285"/>
      <c r="I2" s="285"/>
      <c r="J2" s="285"/>
      <c r="K2" s="285"/>
      <c r="L2" s="285"/>
      <c r="N2" s="285"/>
      <c r="O2" s="285"/>
      <c r="P2" s="285"/>
      <c r="Q2" s="285"/>
      <c r="S2" s="375"/>
      <c r="T2" s="375"/>
      <c r="U2" s="375"/>
      <c r="V2" s="285"/>
      <c r="X2" s="375"/>
      <c r="Y2" s="375"/>
      <c r="Z2" s="375"/>
      <c r="AA2" s="285"/>
      <c r="AC2" s="375"/>
      <c r="AD2" s="375"/>
      <c r="AE2" s="375"/>
      <c r="AF2" s="285"/>
      <c r="AH2" s="375"/>
      <c r="AI2" s="375"/>
      <c r="AJ2" s="375"/>
      <c r="AK2" s="285"/>
      <c r="AM2" s="285"/>
      <c r="AN2" s="285"/>
      <c r="AO2" s="285"/>
      <c r="AP2" s="285"/>
      <c r="AR2" s="285"/>
      <c r="AS2" s="285"/>
      <c r="AT2" s="285"/>
      <c r="AU2" s="285"/>
      <c r="AW2" s="285"/>
      <c r="AX2" s="285"/>
      <c r="AY2" s="285"/>
      <c r="AZ2" s="285"/>
      <c r="BB2" s="285"/>
      <c r="BC2" s="285"/>
      <c r="BD2" s="285"/>
      <c r="BE2" s="285"/>
      <c r="BG2" s="285"/>
      <c r="BH2" s="285"/>
      <c r="BI2" s="285"/>
      <c r="BJ2" s="285"/>
      <c r="BL2" s="285"/>
      <c r="BM2" s="285"/>
      <c r="BN2" s="285"/>
      <c r="BO2" s="285"/>
      <c r="BQ2" s="285"/>
      <c r="BR2" s="285"/>
      <c r="BS2" s="285"/>
      <c r="BT2" s="285"/>
      <c r="BV2" s="285"/>
      <c r="BW2" s="285"/>
      <c r="BX2" s="285"/>
      <c r="BY2" s="285"/>
      <c r="CA2" s="285"/>
      <c r="CB2" s="285"/>
      <c r="CC2" s="285"/>
      <c r="CD2" s="285"/>
      <c r="CF2" s="285"/>
      <c r="CG2" s="285"/>
      <c r="CH2" s="285"/>
      <c r="CI2" s="285"/>
      <c r="CK2" s="285"/>
      <c r="CL2" s="285"/>
      <c r="CM2" s="285"/>
      <c r="CN2" s="285"/>
      <c r="CP2" s="285"/>
      <c r="CQ2" s="285"/>
      <c r="CR2" s="285"/>
      <c r="CS2" s="285"/>
      <c r="CU2" s="285"/>
      <c r="CV2" s="285"/>
      <c r="CW2" s="285"/>
      <c r="CX2" s="285"/>
      <c r="CZ2" s="285"/>
      <c r="DA2" s="285"/>
      <c r="DB2" s="285"/>
      <c r="DC2" s="285"/>
      <c r="DE2" s="285"/>
      <c r="DF2" s="285"/>
      <c r="DG2" s="285"/>
      <c r="DH2" s="285"/>
      <c r="DJ2" s="285"/>
      <c r="DK2" s="285"/>
      <c r="DL2" s="285"/>
      <c r="DM2" s="285"/>
      <c r="DO2" s="285"/>
      <c r="DP2" s="285"/>
      <c r="DQ2" s="285"/>
      <c r="DR2" s="285"/>
      <c r="DT2" s="285"/>
      <c r="DU2" s="285"/>
      <c r="DV2" s="285"/>
      <c r="DW2" s="285"/>
      <c r="DY2" s="285"/>
      <c r="DZ2" s="285"/>
      <c r="EA2" s="285"/>
      <c r="EB2" s="285"/>
      <c r="ED2" s="285"/>
      <c r="EE2" s="285"/>
      <c r="EF2" s="285"/>
      <c r="EG2" s="285"/>
      <c r="EI2" s="285"/>
      <c r="EJ2" s="285"/>
      <c r="EK2" s="285"/>
      <c r="EL2" s="285"/>
      <c r="EN2" s="285"/>
      <c r="EO2" s="285"/>
      <c r="EP2" s="285"/>
      <c r="EQ2" s="285"/>
      <c r="ES2" s="285"/>
      <c r="ET2" s="285"/>
      <c r="EU2" s="285"/>
      <c r="EV2" s="285"/>
      <c r="EX2" s="285"/>
      <c r="EY2" s="285"/>
      <c r="EZ2" s="285"/>
      <c r="FA2" s="285"/>
      <c r="FC2" s="285"/>
      <c r="FD2" s="285"/>
      <c r="FE2" s="285"/>
      <c r="FF2" s="285"/>
      <c r="FH2" s="285"/>
      <c r="FI2" s="285"/>
      <c r="FJ2" s="285"/>
      <c r="FK2" s="285"/>
      <c r="FM2" s="285"/>
      <c r="FN2" s="285"/>
      <c r="FO2" s="285"/>
      <c r="FP2" s="285"/>
      <c r="FR2" s="285"/>
      <c r="FS2" s="285"/>
      <c r="FT2" s="285"/>
      <c r="FU2" s="285"/>
      <c r="FW2" s="285"/>
      <c r="FX2" s="285"/>
      <c r="FY2" s="285"/>
      <c r="FZ2" s="285"/>
      <c r="GB2" s="285"/>
      <c r="GC2" s="285"/>
      <c r="GD2" s="285"/>
      <c r="GE2" s="285"/>
      <c r="GG2" s="285"/>
      <c r="GH2" s="285"/>
      <c r="GI2" s="285"/>
      <c r="GJ2" s="285"/>
    </row>
    <row r="3" spans="1:192" ht="12.75" customHeight="1">
      <c r="B3" s="40" t="s">
        <v>64</v>
      </c>
      <c r="D3" s="285"/>
      <c r="E3" s="285"/>
      <c r="F3" s="285"/>
      <c r="G3" s="285"/>
      <c r="I3" s="285"/>
      <c r="J3" s="285"/>
      <c r="K3" s="285"/>
      <c r="L3" s="285"/>
      <c r="N3" s="285"/>
      <c r="O3" s="285"/>
      <c r="P3" s="285"/>
      <c r="Q3" s="285"/>
      <c r="S3" s="375"/>
      <c r="T3" s="375"/>
      <c r="U3" s="375"/>
      <c r="V3" s="285"/>
      <c r="X3" s="375"/>
      <c r="Y3" s="375"/>
      <c r="Z3" s="375"/>
      <c r="AA3" s="285"/>
      <c r="AC3" s="375"/>
      <c r="AD3" s="375"/>
      <c r="AE3" s="375"/>
      <c r="AF3" s="285"/>
      <c r="AH3" s="375"/>
      <c r="AI3" s="375"/>
      <c r="AJ3" s="375"/>
      <c r="AK3" s="285"/>
      <c r="AM3" s="285"/>
      <c r="AN3" s="285"/>
      <c r="AO3" s="285"/>
      <c r="AP3" s="285"/>
      <c r="AR3" s="285"/>
      <c r="AS3" s="285"/>
      <c r="AT3" s="285"/>
      <c r="AU3" s="285"/>
      <c r="AW3" s="285"/>
      <c r="AX3" s="285"/>
      <c r="AY3" s="285"/>
      <c r="AZ3" s="285"/>
      <c r="BB3" s="285"/>
      <c r="BC3" s="285"/>
      <c r="BD3" s="285"/>
      <c r="BE3" s="285"/>
      <c r="BG3" s="285"/>
      <c r="BH3" s="285"/>
      <c r="BI3" s="285"/>
      <c r="BJ3" s="285"/>
      <c r="BL3" s="285"/>
      <c r="BM3" s="285"/>
      <c r="BN3" s="285"/>
      <c r="BO3" s="285"/>
      <c r="BQ3" s="285"/>
      <c r="BR3" s="285"/>
      <c r="BS3" s="285"/>
      <c r="BT3" s="285"/>
      <c r="BV3" s="285"/>
      <c r="BW3" s="285"/>
      <c r="BX3" s="285"/>
      <c r="BY3" s="285"/>
      <c r="CA3" s="285"/>
      <c r="CB3" s="285"/>
      <c r="CC3" s="285"/>
      <c r="CD3" s="285"/>
      <c r="CF3" s="285"/>
      <c r="CG3" s="285"/>
      <c r="CH3" s="285"/>
      <c r="CI3" s="285"/>
      <c r="CK3" s="285"/>
      <c r="CL3" s="285"/>
      <c r="CM3" s="285"/>
      <c r="CN3" s="285"/>
      <c r="CP3" s="285"/>
      <c r="CQ3" s="285"/>
      <c r="CR3" s="285"/>
      <c r="CS3" s="285"/>
      <c r="CU3" s="285"/>
      <c r="CV3" s="285"/>
      <c r="CW3" s="285"/>
      <c r="CX3" s="285"/>
      <c r="CZ3" s="285"/>
      <c r="DA3" s="285"/>
      <c r="DB3" s="285"/>
      <c r="DC3" s="285"/>
      <c r="DE3" s="285"/>
      <c r="DF3" s="285"/>
      <c r="DG3" s="285"/>
      <c r="DH3" s="285"/>
      <c r="DJ3" s="285"/>
      <c r="DK3" s="285"/>
      <c r="DL3" s="285"/>
      <c r="DM3" s="285"/>
      <c r="DO3" s="285"/>
      <c r="DP3" s="285"/>
      <c r="DQ3" s="285"/>
      <c r="DR3" s="285"/>
      <c r="DT3" s="285"/>
      <c r="DU3" s="285"/>
      <c r="DV3" s="285"/>
      <c r="DW3" s="285"/>
      <c r="DY3" s="285"/>
      <c r="DZ3" s="285"/>
      <c r="EA3" s="285"/>
      <c r="EB3" s="285"/>
      <c r="ED3" s="285"/>
      <c r="EE3" s="285"/>
      <c r="EF3" s="285"/>
      <c r="EG3" s="285"/>
      <c r="EI3" s="285"/>
      <c r="EJ3" s="285"/>
      <c r="EK3" s="285"/>
      <c r="EL3" s="285"/>
      <c r="EN3" s="285"/>
      <c r="EO3" s="285"/>
      <c r="EP3" s="285"/>
      <c r="EQ3" s="285"/>
      <c r="ES3" s="285"/>
      <c r="ET3" s="285"/>
      <c r="EU3" s="285"/>
      <c r="EV3" s="285"/>
      <c r="EX3" s="285"/>
      <c r="EY3" s="285"/>
      <c r="EZ3" s="285"/>
      <c r="FA3" s="285"/>
      <c r="FC3" s="285"/>
      <c r="FD3" s="285"/>
      <c r="FE3" s="285"/>
      <c r="FF3" s="285"/>
      <c r="FH3" s="285"/>
      <c r="FI3" s="285"/>
      <c r="FJ3" s="285"/>
      <c r="FK3" s="285"/>
      <c r="FM3" s="285"/>
      <c r="FN3" s="285"/>
      <c r="FO3" s="285"/>
      <c r="FP3" s="285"/>
      <c r="FR3" s="285"/>
      <c r="FS3" s="285"/>
      <c r="FT3" s="285"/>
      <c r="FU3" s="285"/>
      <c r="FW3" s="285"/>
      <c r="FX3" s="285"/>
      <c r="FY3" s="285"/>
      <c r="FZ3" s="285"/>
      <c r="GB3" s="285"/>
      <c r="GC3" s="285"/>
      <c r="GD3" s="285"/>
      <c r="GE3" s="285"/>
      <c r="GG3" s="285"/>
      <c r="GH3" s="285"/>
      <c r="GI3" s="285"/>
      <c r="GJ3" s="285"/>
    </row>
    <row r="4" spans="1:192" ht="12.75" customHeight="1">
      <c r="B4" s="40" t="s">
        <v>27</v>
      </c>
      <c r="D4" s="285"/>
      <c r="E4" s="285"/>
      <c r="F4" s="285"/>
      <c r="G4" s="285"/>
      <c r="I4" s="285"/>
      <c r="J4" s="285"/>
      <c r="K4" s="285"/>
      <c r="L4" s="285"/>
      <c r="N4" s="285"/>
      <c r="O4" s="285"/>
      <c r="P4" s="285"/>
      <c r="Q4" s="285"/>
      <c r="S4" s="375"/>
      <c r="T4" s="375"/>
      <c r="U4" s="375"/>
      <c r="V4" s="285"/>
      <c r="X4" s="375"/>
      <c r="Y4" s="375"/>
      <c r="Z4" s="375"/>
      <c r="AA4" s="285"/>
      <c r="AC4" s="375"/>
      <c r="AD4" s="375"/>
      <c r="AE4" s="375"/>
      <c r="AF4" s="285"/>
      <c r="AG4" s="983"/>
      <c r="AH4" s="983"/>
      <c r="AI4" s="983"/>
      <c r="AJ4" s="983"/>
      <c r="AK4" s="983"/>
      <c r="AQ4" s="984"/>
      <c r="AR4" s="985"/>
      <c r="AS4" s="983"/>
      <c r="AT4" s="985"/>
      <c r="AU4" s="985"/>
      <c r="AW4" s="285"/>
      <c r="AX4" s="285"/>
      <c r="AY4" s="285"/>
      <c r="AZ4" s="285"/>
      <c r="BB4" s="285"/>
      <c r="BC4" s="285"/>
      <c r="BD4" s="285"/>
      <c r="BE4" s="285"/>
      <c r="BG4" s="285"/>
      <c r="BH4" s="285"/>
      <c r="BI4" s="285"/>
      <c r="BJ4" s="285"/>
      <c r="BL4" s="285"/>
      <c r="BM4" s="285"/>
      <c r="BN4" s="285"/>
      <c r="BO4" s="285"/>
      <c r="BQ4" s="285"/>
      <c r="BR4" s="285"/>
      <c r="BS4" s="285"/>
      <c r="BT4" s="285"/>
      <c r="BV4" s="285"/>
      <c r="BW4" s="285"/>
      <c r="BX4" s="285"/>
      <c r="BY4" s="285"/>
      <c r="CA4" s="285"/>
      <c r="CB4" s="285"/>
      <c r="CC4" s="285"/>
      <c r="CD4" s="285"/>
      <c r="CF4" s="285"/>
      <c r="CG4" s="285"/>
      <c r="CH4" s="285"/>
      <c r="CI4" s="285"/>
      <c r="CK4" s="285"/>
      <c r="CL4" s="285"/>
      <c r="CM4" s="285"/>
      <c r="CN4" s="285"/>
      <c r="CP4" s="285"/>
      <c r="CQ4" s="285"/>
      <c r="CR4" s="285"/>
      <c r="CS4" s="285"/>
      <c r="CU4" s="285"/>
      <c r="CV4" s="285"/>
      <c r="CW4" s="285"/>
      <c r="CX4" s="285"/>
      <c r="CZ4" s="285"/>
      <c r="DA4" s="285"/>
      <c r="DB4" s="285"/>
      <c r="DC4" s="285"/>
      <c r="DE4" s="285"/>
      <c r="DF4" s="285"/>
      <c r="DG4" s="285"/>
      <c r="DH4" s="285"/>
      <c r="DI4" s="984"/>
      <c r="DJ4" s="985"/>
      <c r="DK4" s="983"/>
      <c r="DL4" s="985"/>
      <c r="DM4" s="985"/>
      <c r="DO4" s="285"/>
      <c r="DP4" s="285"/>
      <c r="DQ4" s="285"/>
      <c r="DR4" s="285"/>
      <c r="DT4" s="285"/>
      <c r="DU4" s="285"/>
      <c r="DV4" s="285"/>
      <c r="DW4" s="285"/>
      <c r="DY4" s="285"/>
      <c r="DZ4" s="285"/>
      <c r="EA4" s="285"/>
      <c r="EB4" s="285"/>
      <c r="ED4" s="285"/>
      <c r="EE4" s="285"/>
      <c r="EF4" s="285"/>
      <c r="EG4" s="285"/>
      <c r="EI4" s="285"/>
      <c r="EJ4" s="285"/>
      <c r="EK4" s="285"/>
      <c r="EL4" s="285"/>
      <c r="EN4" s="285"/>
      <c r="EO4" s="285"/>
      <c r="EP4" s="285"/>
      <c r="EQ4" s="285"/>
      <c r="ER4" s="1562" t="s">
        <v>2033</v>
      </c>
      <c r="ES4" s="1563"/>
      <c r="ET4" s="1563"/>
      <c r="EU4" s="1563"/>
      <c r="EV4" s="1638" t="s">
        <v>13</v>
      </c>
      <c r="EW4" s="1635"/>
      <c r="EX4" s="1637"/>
      <c r="EY4" s="1636"/>
      <c r="EZ4" s="1636"/>
      <c r="FA4" s="285"/>
      <c r="FC4" s="285"/>
      <c r="FD4" s="285"/>
      <c r="FE4" s="285"/>
      <c r="FF4" s="285"/>
      <c r="FH4" s="285"/>
      <c r="FI4" s="285"/>
      <c r="FJ4" s="285"/>
      <c r="FK4" s="285"/>
      <c r="FM4" s="285"/>
      <c r="FN4" s="285"/>
      <c r="FO4" s="285"/>
      <c r="FP4" s="285"/>
      <c r="FR4" s="285"/>
      <c r="FS4" s="285"/>
      <c r="FT4" s="285"/>
      <c r="FU4" s="285"/>
      <c r="FW4" s="285"/>
      <c r="FX4" s="285"/>
      <c r="FY4" s="285"/>
      <c r="FZ4" s="285"/>
      <c r="GB4" s="285"/>
      <c r="GC4" s="285"/>
      <c r="GD4" s="285"/>
      <c r="GE4" s="285"/>
      <c r="GG4" s="285"/>
      <c r="GH4" s="285"/>
      <c r="GI4" s="285"/>
      <c r="GJ4" s="285"/>
    </row>
    <row r="5" spans="1:192" ht="12.75" customHeight="1">
      <c r="C5" s="286"/>
      <c r="D5" s="287"/>
      <c r="E5" s="287"/>
      <c r="G5" s="287"/>
      <c r="H5" s="286"/>
      <c r="I5" s="287"/>
      <c r="J5" s="287"/>
      <c r="L5" s="285"/>
      <c r="M5" s="286"/>
      <c r="N5" s="287"/>
      <c r="O5" s="287"/>
      <c r="Q5" s="285"/>
      <c r="R5" s="350"/>
      <c r="S5" s="351"/>
      <c r="T5" s="351"/>
      <c r="V5" s="285"/>
      <c r="W5" s="350"/>
      <c r="X5" s="351"/>
      <c r="Y5" s="351"/>
      <c r="AA5" s="285"/>
      <c r="AB5" s="350"/>
      <c r="AC5" s="351"/>
      <c r="AD5" s="351"/>
      <c r="AF5" s="285"/>
      <c r="AL5" s="286"/>
      <c r="AM5" s="287"/>
      <c r="AN5" s="287"/>
      <c r="AP5" s="285"/>
      <c r="AV5" s="286"/>
      <c r="AW5" s="287"/>
      <c r="AX5" s="287"/>
      <c r="AZ5" s="287"/>
      <c r="BA5" s="286"/>
      <c r="BB5" s="287"/>
      <c r="BC5" s="287"/>
      <c r="BE5" s="285"/>
      <c r="BF5" s="286"/>
      <c r="BG5" s="287"/>
      <c r="BH5" s="287"/>
      <c r="BJ5" s="285"/>
      <c r="BK5" s="286"/>
      <c r="BL5" s="287"/>
      <c r="BM5" s="287"/>
      <c r="BO5" s="285"/>
      <c r="BP5" s="286"/>
      <c r="BQ5" s="287"/>
      <c r="BR5" s="287"/>
      <c r="BT5" s="285"/>
      <c r="BU5" s="286"/>
      <c r="BV5" s="287"/>
      <c r="BW5" s="287"/>
      <c r="BY5" s="285"/>
      <c r="BZ5" s="286"/>
      <c r="CA5" s="287"/>
      <c r="CB5" s="287"/>
      <c r="CD5" s="285"/>
      <c r="CE5" s="286"/>
      <c r="CF5" s="287"/>
      <c r="CG5" s="287"/>
      <c r="CI5" s="285"/>
      <c r="CJ5" s="286"/>
      <c r="CK5" s="287"/>
      <c r="CL5" s="287"/>
      <c r="CN5" s="285"/>
      <c r="CO5" s="286"/>
      <c r="CP5" s="287"/>
      <c r="CQ5" s="287"/>
      <c r="CS5" s="287"/>
      <c r="CT5" s="350"/>
      <c r="CU5" s="351"/>
      <c r="CV5" s="351"/>
      <c r="CW5" s="351"/>
      <c r="CX5" s="285"/>
      <c r="CY5" s="286"/>
      <c r="CZ5" s="287"/>
      <c r="DA5" s="287"/>
      <c r="DC5" s="285"/>
      <c r="DD5" s="286"/>
      <c r="DE5" s="287"/>
      <c r="DF5" s="287"/>
      <c r="DH5" s="285"/>
      <c r="DO5" s="285"/>
      <c r="DP5" s="285"/>
      <c r="DQ5" s="285"/>
      <c r="DR5" s="285"/>
      <c r="DT5" s="285"/>
      <c r="DU5" s="285"/>
      <c r="DV5" s="285"/>
      <c r="DW5" s="285"/>
      <c r="DY5" s="285"/>
      <c r="DZ5" s="285"/>
      <c r="EA5" s="285"/>
      <c r="EB5" s="285"/>
      <c r="ED5" s="285"/>
      <c r="EE5" s="285"/>
      <c r="EF5" s="285"/>
      <c r="EG5" s="285"/>
      <c r="EH5" s="286"/>
      <c r="EI5" s="287"/>
      <c r="EJ5" s="287"/>
      <c r="EL5" s="285"/>
      <c r="EM5" s="286"/>
      <c r="EN5" s="287"/>
      <c r="EO5" s="287"/>
      <c r="EQ5" s="285"/>
      <c r="ER5" s="286"/>
      <c r="ES5" s="287"/>
      <c r="ET5" s="287"/>
      <c r="EU5" s="285"/>
      <c r="EV5" s="285"/>
      <c r="EW5" s="286"/>
      <c r="EX5" s="287"/>
      <c r="EY5" s="287"/>
      <c r="EZ5" s="285"/>
      <c r="FA5" s="285"/>
      <c r="FC5" s="285"/>
      <c r="FD5" s="285"/>
      <c r="FE5" s="285"/>
      <c r="FF5" s="285"/>
      <c r="FH5" s="285"/>
      <c r="FI5" s="285"/>
      <c r="FJ5" s="285"/>
      <c r="FK5" s="285"/>
      <c r="FM5" s="285"/>
      <c r="FN5" s="285"/>
      <c r="FO5" s="285"/>
      <c r="FP5" s="285"/>
      <c r="FR5" s="285"/>
      <c r="FS5" s="285"/>
      <c r="FT5" s="285"/>
      <c r="FU5" s="285"/>
      <c r="FW5" s="285"/>
      <c r="FX5" s="285"/>
      <c r="FY5" s="285"/>
      <c r="FZ5" s="285"/>
      <c r="GB5" s="285"/>
      <c r="GC5" s="285"/>
      <c r="GD5" s="285"/>
      <c r="GE5" s="285"/>
      <c r="GG5" s="285"/>
      <c r="GH5" s="285"/>
      <c r="GI5" s="285"/>
      <c r="GJ5" s="285"/>
    </row>
    <row r="6" spans="1:192" ht="12.75" customHeight="1">
      <c r="C6" s="1450" t="str">
        <f>Dates!C3</f>
      </c>
      <c r="D6" s="1450"/>
      <c r="E6" s="1450"/>
      <c r="F6" s="1450"/>
      <c r="G6" s="93"/>
      <c r="H6" s="47" t="str">
        <f>Dates!H3</f>
      </c>
      <c r="I6" s="47"/>
      <c r="J6" s="47"/>
      <c r="K6" s="47"/>
      <c r="L6" s="93"/>
      <c r="M6" s="47" t="str">
        <f>Dates!M3</f>
      </c>
      <c r="N6" s="47"/>
      <c r="O6" s="47"/>
      <c r="P6" s="47"/>
      <c r="Q6" s="93"/>
      <c r="R6" s="977" t="str">
        <f>Dates!R3</f>
      </c>
      <c r="S6" s="977"/>
      <c r="T6" s="977"/>
      <c r="U6" s="977"/>
      <c r="V6" s="93"/>
      <c r="W6" s="977" t="str">
        <f>Dates!W3</f>
      </c>
      <c r="X6" s="977"/>
      <c r="Y6" s="977"/>
      <c r="Z6" s="977"/>
      <c r="AA6" s="93"/>
      <c r="AB6" s="977" t="str">
        <f>Dates!AB3</f>
      </c>
      <c r="AC6" s="977"/>
      <c r="AD6" s="977"/>
      <c r="AE6" s="977"/>
      <c r="AF6" s="93"/>
      <c r="AG6" s="977" t="str">
        <f>Dates!AG3</f>
      </c>
      <c r="AH6" s="977"/>
      <c r="AI6" s="977"/>
      <c r="AJ6" s="977"/>
      <c r="AK6" s="93"/>
      <c r="AL6" s="47" t="str">
        <f>Dates!AL3</f>
      </c>
      <c r="AM6" s="47"/>
      <c r="AN6" s="47"/>
      <c r="AO6" s="47"/>
      <c r="AP6" s="93"/>
      <c r="AQ6" s="47" t="str">
        <f>Dates!AQ3</f>
      </c>
      <c r="AR6" s="47"/>
      <c r="AS6" s="47"/>
      <c r="AT6" s="47"/>
      <c r="AU6" s="93"/>
      <c r="AV6" s="47" t="str">
        <f>Dates!AV3</f>
      </c>
      <c r="AW6" s="47"/>
      <c r="AX6" s="47"/>
      <c r="AY6" s="47"/>
      <c r="AZ6" s="93"/>
      <c r="BA6" s="47" t="str">
        <f>Dates!BA3</f>
      </c>
      <c r="BB6" s="47"/>
      <c r="BC6" s="47"/>
      <c r="BD6" s="47"/>
      <c r="BE6" s="93"/>
      <c r="BF6" s="47" t="str">
        <f>Dates!BF3</f>
      </c>
      <c r="BG6" s="47"/>
      <c r="BH6" s="47"/>
      <c r="BI6" s="47"/>
      <c r="BJ6" s="93"/>
      <c r="BK6" s="47" t="str">
        <f>Dates!BK3</f>
      </c>
      <c r="BL6" s="47"/>
      <c r="BM6" s="47"/>
      <c r="BN6" s="47"/>
      <c r="BO6" s="93"/>
      <c r="BP6" s="47" t="str">
        <f>Dates!BP3</f>
      </c>
      <c r="BQ6" s="47"/>
      <c r="BR6" s="47"/>
      <c r="BS6" s="47"/>
      <c r="BT6" s="93"/>
      <c r="BU6" s="47" t="str">
        <f>Dates!BU3</f>
      </c>
      <c r="BV6" s="47"/>
      <c r="BW6" s="47"/>
      <c r="BX6" s="47"/>
      <c r="BY6" s="93"/>
      <c r="BZ6" s="47" t="str">
        <f>Dates!BZ3</f>
      </c>
      <c r="CA6" s="47"/>
      <c r="CB6" s="47"/>
      <c r="CC6" s="47"/>
      <c r="CD6" s="93"/>
      <c r="CE6" s="47" t="str">
        <f>Dates!CE3</f>
      </c>
      <c r="CF6" s="47"/>
      <c r="CG6" s="47"/>
      <c r="CH6" s="47"/>
      <c r="CI6" s="93"/>
      <c r="CJ6" s="47" t="str">
        <f>Dates!CJ3</f>
      </c>
      <c r="CK6" s="47"/>
      <c r="CL6" s="47"/>
      <c r="CM6" s="47"/>
      <c r="CN6" s="93"/>
      <c r="CO6" s="47" t="str">
        <f>Dates!CO3</f>
      </c>
      <c r="CP6" s="47"/>
      <c r="CQ6" s="47"/>
      <c r="CR6" s="47"/>
      <c r="CS6" s="93"/>
      <c r="CT6" s="47" t="str">
        <f>Dates!CT3</f>
      </c>
      <c r="CU6" s="47"/>
      <c r="CV6" s="47"/>
      <c r="CW6" s="47"/>
      <c r="CX6" s="93"/>
      <c r="CY6" s="47" t="str">
        <f>Dates!CY3</f>
      </c>
      <c r="CZ6" s="47"/>
      <c r="DA6" s="47"/>
      <c r="DB6" s="47"/>
      <c r="DC6" s="93"/>
      <c r="DD6" s="47" t="str">
        <f>Dates!DD3</f>
      </c>
      <c r="DE6" s="47"/>
      <c r="DF6" s="47"/>
      <c r="DG6" s="47"/>
      <c r="DH6" s="93"/>
      <c r="DI6" s="47" t="str">
        <f>Dates!DI3</f>
      </c>
      <c r="DJ6" s="47"/>
      <c r="DK6" s="47"/>
      <c r="DL6" s="47"/>
      <c r="DM6" s="93"/>
      <c r="DN6" s="47" t="str">
        <f>Dates!DN3</f>
      </c>
      <c r="DO6" s="47"/>
      <c r="DP6" s="47"/>
      <c r="DQ6" s="47"/>
      <c r="DR6" s="93"/>
      <c r="DS6" s="47" t="str">
        <f>Dates!DS3</f>
      </c>
      <c r="DT6" s="47"/>
      <c r="DU6" s="47"/>
      <c r="DV6" s="47"/>
      <c r="DW6" s="93"/>
      <c r="DX6" s="47" t="str">
        <f>Dates!DX3</f>
      </c>
      <c r="DY6" s="47"/>
      <c r="DZ6" s="47"/>
      <c r="EA6" s="47"/>
      <c r="EB6" s="93"/>
      <c r="EC6" s="47" t="str">
        <f>Dates!EC3</f>
      </c>
      <c r="ED6" s="47"/>
      <c r="EE6" s="47"/>
      <c r="EF6" s="47"/>
      <c r="EG6" s="93"/>
      <c r="EH6" s="47" t="str">
        <f>Dates!EH3</f>
      </c>
      <c r="EI6" s="47"/>
      <c r="EJ6" s="47"/>
      <c r="EK6" s="47"/>
      <c r="EL6" s="93"/>
      <c r="EM6" s="47" t="str">
        <f>Dates!EM3</f>
      </c>
      <c r="EN6" s="47"/>
      <c r="EO6" s="47"/>
      <c r="EP6" s="47"/>
      <c r="EQ6" s="93"/>
      <c r="ER6" s="47" t="str">
        <f>Dates!ER3</f>
      </c>
      <c r="ES6" s="47"/>
      <c r="ET6" s="47"/>
      <c r="EU6" s="47"/>
      <c r="EV6" s="93"/>
      <c r="EW6" s="47" t="str">
        <f>Dates!EW3</f>
      </c>
      <c r="EX6" s="47"/>
      <c r="EY6" s="47"/>
      <c r="EZ6" s="47"/>
      <c r="FA6" s="93"/>
      <c r="FB6" s="47" t="str">
        <f>Dates!FB3</f>
      </c>
      <c r="FC6" s="47"/>
      <c r="FD6" s="47"/>
      <c r="FE6" s="47"/>
      <c r="FF6" s="93"/>
      <c r="FG6" s="47" t="str">
        <f>Dates!FG3</f>
      </c>
      <c r="FH6" s="47"/>
      <c r="FI6" s="47"/>
      <c r="FJ6" s="47"/>
      <c r="FK6" s="93"/>
      <c r="FL6" s="47" t="str">
        <f>Dates!FL3</f>
      </c>
      <c r="FM6" s="47"/>
      <c r="FN6" s="47"/>
      <c r="FO6" s="47"/>
      <c r="FP6" s="93"/>
      <c r="FQ6" s="47" t="str">
        <f>Dates!FQ3</f>
      </c>
      <c r="FR6" s="47"/>
      <c r="FS6" s="47"/>
      <c r="FT6" s="47"/>
      <c r="FU6" s="93"/>
      <c r="FV6" s="47" t="str">
        <f>Dates!FV3</f>
      </c>
      <c r="FW6" s="47"/>
      <c r="FX6" s="47"/>
      <c r="FY6" s="47"/>
      <c r="FZ6" s="93"/>
      <c r="GA6" s="47" t="str">
        <f>Dates!GA3</f>
      </c>
      <c r="GB6" s="47"/>
      <c r="GC6" s="47"/>
      <c r="GD6" s="47"/>
      <c r="GE6" s="93"/>
      <c r="GF6" s="47" t="str">
        <f>Dates!GF3</f>
      </c>
      <c r="GG6" s="47"/>
      <c r="GH6" s="47"/>
      <c r="GI6" s="47"/>
      <c r="GJ6" s="93"/>
    </row>
    <row r="7" spans="1:192" ht="12.75" customHeight="1">
      <c r="C7" s="96" t="str">
        <f>Dates!C4</f>
      </c>
      <c r="D7" s="96" t="str">
        <f>Dates!D4</f>
      </c>
      <c r="E7" s="96" t="str">
        <f>Dates!E4</f>
      </c>
      <c r="F7" s="96" t="str">
        <f>Dates!F4</f>
      </c>
      <c r="G7" s="97" t="str">
        <f>Dates!G4</f>
      </c>
      <c r="H7" s="96" t="str">
        <f>Dates!H4</f>
      </c>
      <c r="I7" s="96" t="str">
        <f>Dates!I4</f>
      </c>
      <c r="J7" s="96" t="str">
        <f>Dates!J4</f>
      </c>
      <c r="K7" s="96" t="str">
        <f>Dates!K4</f>
      </c>
      <c r="L7" s="97" t="str">
        <f>Dates!L4</f>
      </c>
      <c r="M7" s="96" t="str">
        <f>Dates!M4</f>
      </c>
      <c r="N7" s="96" t="str">
        <f>Dates!N4</f>
      </c>
      <c r="O7" s="96" t="str">
        <f>Dates!O4</f>
      </c>
      <c r="P7" s="96" t="str">
        <f>Dates!P4</f>
      </c>
      <c r="Q7" s="97" t="str">
        <f>Dates!Q4</f>
      </c>
      <c r="R7" s="978" t="str">
        <f>Dates!R4</f>
      </c>
      <c r="S7" s="978" t="str">
        <f>Dates!S4</f>
      </c>
      <c r="T7" s="978" t="str">
        <f>Dates!T4</f>
      </c>
      <c r="U7" s="978" t="str">
        <f>Dates!U4</f>
      </c>
      <c r="V7" s="97" t="str">
        <f>Dates!V4</f>
      </c>
      <c r="W7" s="978" t="str">
        <f>Dates!W4</f>
      </c>
      <c r="X7" s="978" t="str">
        <f>Dates!X4</f>
      </c>
      <c r="Y7" s="978" t="str">
        <f>Dates!Y4</f>
      </c>
      <c r="Z7" s="978" t="str">
        <f>Dates!Z4</f>
      </c>
      <c r="AA7" s="97" t="str">
        <f>Dates!AA4</f>
      </c>
      <c r="AB7" s="978" t="str">
        <f>Dates!AB4</f>
      </c>
      <c r="AC7" s="978" t="str">
        <f>Dates!AC4</f>
      </c>
      <c r="AD7" s="978" t="str">
        <f>Dates!AD4</f>
      </c>
      <c r="AE7" s="978" t="str">
        <f>Dates!AE4</f>
      </c>
      <c r="AF7" s="97" t="str">
        <f>Dates!AF4</f>
      </c>
      <c r="AG7" s="978" t="str">
        <f>Dates!AG4</f>
      </c>
      <c r="AH7" s="978" t="str">
        <f>Dates!AH4</f>
      </c>
      <c r="AI7" s="978" t="str">
        <f>Dates!AI4</f>
      </c>
      <c r="AJ7" s="978" t="str">
        <f>Dates!AJ4</f>
      </c>
      <c r="AK7" s="97" t="str">
        <f>Dates!AK4</f>
      </c>
      <c r="AL7" s="96" t="str">
        <f>Dates!AL4</f>
      </c>
      <c r="AM7" s="96" t="str">
        <f>Dates!AM4</f>
      </c>
      <c r="AN7" s="96" t="str">
        <f>Dates!AN4</f>
      </c>
      <c r="AO7" s="96" t="str">
        <f>Dates!AO4</f>
      </c>
      <c r="AP7" s="97" t="str">
        <f>Dates!AP4</f>
      </c>
      <c r="AQ7" s="96" t="str">
        <f>Dates!AQ4</f>
      </c>
      <c r="AR7" s="96" t="str">
        <f>Dates!AR4</f>
      </c>
      <c r="AS7" s="96" t="str">
        <f>Dates!AS4</f>
      </c>
      <c r="AT7" s="96" t="str">
        <f>Dates!AT4</f>
      </c>
      <c r="AU7" s="97" t="str">
        <f>Dates!AU4</f>
      </c>
      <c r="AV7" s="96" t="str">
        <f>Dates!AV4</f>
      </c>
      <c r="AW7" s="96" t="str">
        <f>Dates!AW4</f>
      </c>
      <c r="AX7" s="96" t="str">
        <f>Dates!AX4</f>
      </c>
      <c r="AY7" s="96" t="str">
        <f>Dates!AY4</f>
      </c>
      <c r="AZ7" s="97" t="str">
        <f>Dates!AZ4</f>
      </c>
      <c r="BA7" s="96" t="str">
        <f>Dates!BA4</f>
      </c>
      <c r="BB7" s="96" t="str">
        <f>Dates!BB4</f>
      </c>
      <c r="BC7" s="96" t="str">
        <f>Dates!BC4</f>
      </c>
      <c r="BD7" s="96" t="str">
        <f>Dates!BD4</f>
      </c>
      <c r="BE7" s="97" t="str">
        <f>Dates!BE4</f>
      </c>
      <c r="BF7" s="96" t="str">
        <f>Dates!BF4</f>
      </c>
      <c r="BG7" s="96" t="str">
        <f>Dates!BG4</f>
      </c>
      <c r="BH7" s="96" t="str">
        <f>Dates!BH4</f>
      </c>
      <c r="BI7" s="96" t="str">
        <f>Dates!BI4</f>
      </c>
      <c r="BJ7" s="97" t="str">
        <f>Dates!BJ4</f>
      </c>
      <c r="BK7" s="96" t="str">
        <f>Dates!BK4</f>
      </c>
      <c r="BL7" s="96" t="str">
        <f>Dates!BL4</f>
      </c>
      <c r="BM7" s="96" t="str">
        <f>Dates!BM4</f>
      </c>
      <c r="BN7" s="96" t="str">
        <f>Dates!BN4</f>
      </c>
      <c r="BO7" s="97" t="str">
        <f>Dates!BO4</f>
      </c>
      <c r="BP7" s="96" t="str">
        <f>Dates!BP4</f>
      </c>
      <c r="BQ7" s="96" t="str">
        <f>Dates!BQ4</f>
      </c>
      <c r="BR7" s="96" t="str">
        <f>Dates!BR4</f>
      </c>
      <c r="BS7" s="96" t="str">
        <f>Dates!BS4</f>
      </c>
      <c r="BT7" s="97" t="str">
        <f>Dates!BT4</f>
      </c>
      <c r="BU7" s="96" t="str">
        <f>Dates!BU4</f>
      </c>
      <c r="BV7" s="96" t="str">
        <f>Dates!BV4</f>
      </c>
      <c r="BW7" s="96" t="str">
        <f>Dates!BW4</f>
      </c>
      <c r="BX7" s="96" t="str">
        <f>Dates!BX4</f>
      </c>
      <c r="BY7" s="97" t="str">
        <f>Dates!BY4</f>
      </c>
      <c r="BZ7" s="96" t="str">
        <f>Dates!BZ4</f>
      </c>
      <c r="CA7" s="96" t="str">
        <f>Dates!CA4</f>
      </c>
      <c r="CB7" s="96" t="str">
        <f>Dates!CB4</f>
      </c>
      <c r="CC7" s="96" t="str">
        <f>Dates!CC4</f>
      </c>
      <c r="CD7" s="97" t="str">
        <f>Dates!CD4</f>
      </c>
      <c r="CE7" s="96" t="str">
        <f>Dates!CE4</f>
      </c>
      <c r="CF7" s="96" t="str">
        <f>Dates!CF4</f>
      </c>
      <c r="CG7" s="96" t="str">
        <f>Dates!CG4</f>
      </c>
      <c r="CH7" s="96" t="str">
        <f>Dates!CH4</f>
      </c>
      <c r="CI7" s="97" t="str">
        <f>Dates!CI4</f>
      </c>
      <c r="CJ7" s="96" t="str">
        <f>Dates!CJ4</f>
      </c>
      <c r="CK7" s="96" t="str">
        <f>Dates!CK4</f>
      </c>
      <c r="CL7" s="96" t="str">
        <f>Dates!CL4</f>
      </c>
      <c r="CM7" s="96" t="str">
        <f>Dates!CM4</f>
      </c>
      <c r="CN7" s="97" t="str">
        <f>Dates!CN4</f>
      </c>
      <c r="CO7" s="96" t="str">
        <f>Dates!CO4</f>
      </c>
      <c r="CP7" s="96" t="str">
        <f>Dates!CP4</f>
      </c>
      <c r="CQ7" s="96" t="str">
        <f>Dates!CQ4</f>
      </c>
      <c r="CR7" s="96" t="str">
        <f>Dates!CR4</f>
      </c>
      <c r="CS7" s="97" t="str">
        <f>Dates!CS4</f>
      </c>
      <c r="CT7" s="96" t="str">
        <f>Dates!CT4</f>
      </c>
      <c r="CU7" s="96" t="str">
        <f>Dates!CU4</f>
      </c>
      <c r="CV7" s="96" t="str">
        <f>Dates!CV4</f>
      </c>
      <c r="CW7" s="96" t="str">
        <f>Dates!CW4</f>
      </c>
      <c r="CX7" s="97" t="str">
        <f>Dates!CX4</f>
      </c>
      <c r="CY7" s="96" t="str">
        <f>Dates!CY4</f>
      </c>
      <c r="CZ7" s="96" t="str">
        <f>Dates!CZ4</f>
      </c>
      <c r="DA7" s="96" t="str">
        <f>Dates!DA4</f>
      </c>
      <c r="DB7" s="96" t="str">
        <f>Dates!DB4</f>
      </c>
      <c r="DC7" s="97" t="str">
        <f>Dates!DC4</f>
      </c>
      <c r="DD7" s="96" t="str">
        <f>Dates!DD4</f>
      </c>
      <c r="DE7" s="96" t="str">
        <f>Dates!DE4</f>
      </c>
      <c r="DF7" s="96" t="str">
        <f>Dates!DF4</f>
      </c>
      <c r="DG7" s="96" t="str">
        <f>Dates!DG4</f>
      </c>
      <c r="DH7" s="97" t="str">
        <f>Dates!DH4</f>
      </c>
      <c r="DI7" s="96" t="str">
        <f>Dates!DI4</f>
      </c>
      <c r="DJ7" s="96" t="str">
        <f>Dates!DJ4</f>
      </c>
      <c r="DK7" s="96" t="str">
        <f>Dates!DK4</f>
      </c>
      <c r="DL7" s="96" t="str">
        <f>Dates!DL4</f>
      </c>
      <c r="DM7" s="97" t="str">
        <f>Dates!DM4</f>
      </c>
      <c r="DN7" s="96" t="str">
        <f>Dates!DN4</f>
      </c>
      <c r="DO7" s="96" t="str">
        <f>Dates!DO4</f>
      </c>
      <c r="DP7" s="96" t="str">
        <f>Dates!DP4</f>
      </c>
      <c r="DQ7" s="96" t="str">
        <f>Dates!DQ4</f>
      </c>
      <c r="DR7" s="97" t="str">
        <f>Dates!DR4</f>
      </c>
      <c r="DS7" s="96" t="str">
        <f>Dates!DS4</f>
      </c>
      <c r="DT7" s="96" t="str">
        <f>Dates!DT4</f>
      </c>
      <c r="DU7" s="96" t="str">
        <f>Dates!DU4</f>
      </c>
      <c r="DV7" s="96" t="str">
        <f>Dates!DV4</f>
      </c>
      <c r="DW7" s="97" t="str">
        <f>Dates!DW4</f>
      </c>
      <c r="DX7" s="96" t="str">
        <f>Dates!DX4</f>
      </c>
      <c r="DY7" s="96" t="str">
        <f>Dates!DY4</f>
      </c>
      <c r="DZ7" s="96" t="str">
        <f>Dates!DZ4</f>
      </c>
      <c r="EA7" s="96" t="str">
        <f>Dates!EA4</f>
      </c>
      <c r="EB7" s="97" t="str">
        <f>Dates!EB4</f>
      </c>
      <c r="EC7" s="96" t="str">
        <f>Dates!EC4</f>
      </c>
      <c r="ED7" s="96" t="str">
        <f>Dates!ED4</f>
      </c>
      <c r="EE7" s="96" t="str">
        <f>Dates!EE4</f>
      </c>
      <c r="EF7" s="96" t="str">
        <f>Dates!EF4</f>
      </c>
      <c r="EG7" s="97" t="str">
        <f>Dates!EG4</f>
      </c>
      <c r="EH7" s="96" t="str">
        <f>Dates!EH4</f>
      </c>
      <c r="EI7" s="96" t="str">
        <f>Dates!EI4</f>
      </c>
      <c r="EJ7" s="96" t="str">
        <f>Dates!EJ4</f>
      </c>
      <c r="EK7" s="96" t="str">
        <f>Dates!EK4</f>
      </c>
      <c r="EL7" s="97" t="str">
        <f>Dates!EL4</f>
      </c>
      <c r="EM7" s="96" t="str">
        <f>Dates!EM4</f>
      </c>
      <c r="EN7" s="96" t="str">
        <f>Dates!EN4</f>
      </c>
      <c r="EO7" s="96" t="str">
        <f>Dates!EO4</f>
      </c>
      <c r="EP7" s="96" t="str">
        <f>Dates!EP4</f>
      </c>
      <c r="EQ7" s="97" t="str">
        <f>Dates!EQ4</f>
      </c>
      <c r="ER7" s="96" t="str">
        <f>Dates!ER4</f>
      </c>
      <c r="ES7" s="96" t="str">
        <f>Dates!ES4</f>
      </c>
      <c r="ET7" s="96" t="str">
        <f>Dates!ET4</f>
      </c>
      <c r="EU7" s="96" t="str">
        <f>Dates!EU4</f>
      </c>
      <c r="EV7" s="97" t="str">
        <f>Dates!EV4</f>
      </c>
      <c r="EW7" s="96" t="str">
        <f>Dates!EW4</f>
      </c>
      <c r="EX7" s="96" t="str">
        <f>Dates!EX4</f>
      </c>
      <c r="EY7" s="96" t="str">
        <f>Dates!EY4</f>
      </c>
      <c r="EZ7" s="96" t="str">
        <f>Dates!EZ4</f>
      </c>
      <c r="FA7" s="97" t="str">
        <f>Dates!FA4</f>
      </c>
      <c r="FB7" s="96" t="str">
        <f>Dates!FB4</f>
      </c>
      <c r="FC7" s="96" t="str">
        <f>Dates!FC4</f>
      </c>
      <c r="FD7" s="96" t="str">
        <f>Dates!FD4</f>
      </c>
      <c r="FE7" s="96" t="str">
        <f>Dates!FE4</f>
      </c>
      <c r="FF7" s="97" t="str">
        <f>Dates!FF4</f>
      </c>
      <c r="FG7" s="96" t="str">
        <f>Dates!FG4</f>
      </c>
      <c r="FH7" s="96" t="str">
        <f>Dates!FH4</f>
      </c>
      <c r="FI7" s="96" t="str">
        <f>Dates!FI4</f>
      </c>
      <c r="FJ7" s="96" t="str">
        <f>Dates!FJ4</f>
      </c>
      <c r="FK7" s="97" t="str">
        <f>Dates!FK4</f>
      </c>
      <c r="FL7" s="96" t="str">
        <f>Dates!FL4</f>
      </c>
      <c r="FM7" s="96" t="str">
        <f>Dates!FM4</f>
      </c>
      <c r="FN7" s="96" t="str">
        <f>Dates!FN4</f>
      </c>
      <c r="FO7" s="96" t="str">
        <f>Dates!FO4</f>
      </c>
      <c r="FP7" s="97" t="str">
        <f>Dates!FP4</f>
      </c>
      <c r="FQ7" s="96" t="str">
        <f>Dates!FQ4</f>
      </c>
      <c r="FR7" s="96" t="str">
        <f>Dates!FR4</f>
      </c>
      <c r="FS7" s="96" t="str">
        <f>Dates!FS4</f>
      </c>
      <c r="FT7" s="96" t="str">
        <f>Dates!FT4</f>
      </c>
      <c r="FU7" s="97" t="str">
        <f>Dates!FU4</f>
      </c>
      <c r="FV7" s="96" t="str">
        <f>Dates!FV4</f>
      </c>
      <c r="FW7" s="96" t="str">
        <f>Dates!FW4</f>
      </c>
      <c r="FX7" s="96" t="str">
        <f>Dates!FX4</f>
      </c>
      <c r="FY7" s="96" t="str">
        <f>Dates!FY4</f>
      </c>
      <c r="FZ7" s="97" t="str">
        <f>Dates!FZ4</f>
      </c>
      <c r="GA7" s="96" t="str">
        <f>Dates!GA4</f>
      </c>
      <c r="GB7" s="96" t="str">
        <f>Dates!GB4</f>
      </c>
      <c r="GC7" s="96" t="str">
        <f>Dates!GC4</f>
      </c>
      <c r="GD7" s="96" t="str">
        <f>Dates!GD4</f>
      </c>
      <c r="GE7" s="97" t="str">
        <f>Dates!GE4</f>
      </c>
      <c r="GF7" s="96" t="str">
        <f>Dates!GF4</f>
      </c>
      <c r="GG7" s="96" t="str">
        <f>Dates!GG4</f>
      </c>
      <c r="GH7" s="96" t="str">
        <f>Dates!GH4</f>
      </c>
      <c r="GI7" s="96" t="str">
        <f>Dates!GI4</f>
      </c>
      <c r="GJ7" s="97" t="str">
        <f>Dates!GJ4</f>
      </c>
    </row>
    <row r="8" spans="1:192" ht="12.75" customHeight="1">
      <c r="C8" s="98">
        <f>Dates!C5</f>
      </c>
      <c r="D8" s="98">
        <f>Dates!D5</f>
      </c>
      <c r="E8" s="98">
        <f>Dates!E5</f>
      </c>
      <c r="F8" s="98">
        <f>Dates!F5</f>
      </c>
      <c r="G8" s="99">
        <f>Dates!G5</f>
      </c>
      <c r="H8" s="98">
        <f>Dates!H5</f>
      </c>
      <c r="I8" s="98">
        <f>Dates!I5</f>
      </c>
      <c r="J8" s="98">
        <f>Dates!J5</f>
      </c>
      <c r="K8" s="98">
        <f>Dates!K5</f>
      </c>
      <c r="L8" s="99">
        <f>Dates!L5</f>
      </c>
      <c r="M8" s="98">
        <f>Dates!M5</f>
      </c>
      <c r="N8" s="98">
        <f>Dates!N5</f>
      </c>
      <c r="O8" s="98">
        <f>Dates!O5</f>
      </c>
      <c r="P8" s="98">
        <f>Dates!P5</f>
      </c>
      <c r="Q8" s="99">
        <f>Dates!Q5</f>
      </c>
      <c r="R8" s="960">
        <f>Dates!R5</f>
      </c>
      <c r="S8" s="960">
        <f>Dates!S5</f>
      </c>
      <c r="T8" s="960">
        <f>Dates!T5</f>
      </c>
      <c r="U8" s="960">
        <f>Dates!U5</f>
      </c>
      <c r="V8" s="99">
        <f>Dates!V5</f>
      </c>
      <c r="W8" s="960">
        <f>Dates!W5</f>
      </c>
      <c r="X8" s="960">
        <f>Dates!X5</f>
      </c>
      <c r="Y8" s="960">
        <f>Dates!Y5</f>
      </c>
      <c r="Z8" s="960">
        <f>Dates!Z5</f>
      </c>
      <c r="AA8" s="99">
        <f>Dates!AA5</f>
      </c>
      <c r="AB8" s="960">
        <f>Dates!AB5</f>
      </c>
      <c r="AC8" s="960">
        <f>Dates!AC5</f>
      </c>
      <c r="AD8" s="960">
        <f>Dates!AD5</f>
      </c>
      <c r="AE8" s="960">
        <f>Dates!AE5</f>
      </c>
      <c r="AF8" s="99">
        <f>Dates!AF5</f>
      </c>
      <c r="AG8" s="960">
        <f>Dates!AG5</f>
      </c>
      <c r="AH8" s="960">
        <f>Dates!AH5</f>
      </c>
      <c r="AI8" s="960">
        <f>Dates!AI5</f>
      </c>
      <c r="AJ8" s="960">
        <f>Dates!AJ5</f>
      </c>
      <c r="AK8" s="99">
        <f>Dates!AK5</f>
      </c>
      <c r="AL8" s="98">
        <f>Dates!AL5</f>
      </c>
      <c r="AM8" s="98">
        <f>Dates!AM5</f>
      </c>
      <c r="AN8" s="98">
        <f>Dates!AN5</f>
      </c>
      <c r="AO8" s="98">
        <f>Dates!AO5</f>
      </c>
      <c r="AP8" s="99">
        <f>Dates!AP5</f>
      </c>
      <c r="AQ8" s="98">
        <f>Dates!AQ5</f>
      </c>
      <c r="AR8" s="98">
        <f>Dates!AR5</f>
      </c>
      <c r="AS8" s="98">
        <f>Dates!AS5</f>
      </c>
      <c r="AT8" s="98">
        <f>Dates!AT5</f>
      </c>
      <c r="AU8" s="99">
        <f>Dates!AU5</f>
      </c>
      <c r="AV8" s="98">
        <f>Dates!AV5</f>
      </c>
      <c r="AW8" s="98">
        <f>Dates!AW5</f>
      </c>
      <c r="AX8" s="98">
        <f>Dates!AX5</f>
      </c>
      <c r="AY8" s="98">
        <f>Dates!AY5</f>
      </c>
      <c r="AZ8" s="99">
        <f>Dates!AZ5</f>
      </c>
      <c r="BA8" s="98">
        <f>Dates!BA5</f>
      </c>
      <c r="BB8" s="98">
        <f>Dates!BB5</f>
      </c>
      <c r="BC8" s="98">
        <f>Dates!BC5</f>
      </c>
      <c r="BD8" s="98">
        <f>Dates!BD5</f>
      </c>
      <c r="BE8" s="99">
        <f>Dates!BE5</f>
      </c>
      <c r="BF8" s="98">
        <f>Dates!BF5</f>
      </c>
      <c r="BG8" s="98">
        <f>Dates!BG5</f>
      </c>
      <c r="BH8" s="98">
        <f>Dates!BH5</f>
      </c>
      <c r="BI8" s="98">
        <f>Dates!BI5</f>
      </c>
      <c r="BJ8" s="99">
        <f>Dates!BJ5</f>
      </c>
      <c r="BK8" s="98">
        <f>Dates!BK5</f>
      </c>
      <c r="BL8" s="98">
        <f>Dates!BL5</f>
      </c>
      <c r="BM8" s="98">
        <f>Dates!BM5</f>
      </c>
      <c r="BN8" s="98">
        <f>Dates!BN5</f>
      </c>
      <c r="BO8" s="99">
        <f>Dates!BO5</f>
      </c>
      <c r="BP8" s="98">
        <f>Dates!BP5</f>
      </c>
      <c r="BQ8" s="98">
        <f>Dates!BQ5</f>
      </c>
      <c r="BR8" s="98">
        <f>Dates!BR5</f>
      </c>
      <c r="BS8" s="98">
        <f>Dates!BS5</f>
      </c>
      <c r="BT8" s="99">
        <f>Dates!BT5</f>
      </c>
      <c r="BU8" s="98">
        <f>Dates!BU5</f>
      </c>
      <c r="BV8" s="98">
        <f>Dates!BV5</f>
      </c>
      <c r="BW8" s="98">
        <f>Dates!BW5</f>
      </c>
      <c r="BX8" s="98">
        <f>Dates!BX5</f>
      </c>
      <c r="BY8" s="99">
        <f>Dates!BY5</f>
      </c>
      <c r="BZ8" s="98">
        <f>Dates!BZ5</f>
      </c>
      <c r="CA8" s="98">
        <f>Dates!CA5</f>
      </c>
      <c r="CB8" s="98">
        <f>Dates!CB5</f>
      </c>
      <c r="CC8" s="98">
        <f>Dates!CC5</f>
      </c>
      <c r="CD8" s="99">
        <f>Dates!CD5</f>
      </c>
      <c r="CE8" s="98">
        <f>Dates!CE5</f>
      </c>
      <c r="CF8" s="98">
        <f>Dates!CF5</f>
      </c>
      <c r="CG8" s="98">
        <f>Dates!CG5</f>
      </c>
      <c r="CH8" s="98">
        <f>Dates!CH5</f>
      </c>
      <c r="CI8" s="99">
        <f>Dates!CI5</f>
      </c>
      <c r="CJ8" s="98">
        <f>Dates!CJ5</f>
      </c>
      <c r="CK8" s="98">
        <f>Dates!CK5</f>
      </c>
      <c r="CL8" s="98">
        <f>Dates!CL5</f>
      </c>
      <c r="CM8" s="98">
        <f>Dates!CM5</f>
      </c>
      <c r="CN8" s="99">
        <f>Dates!CN5</f>
      </c>
      <c r="CO8" s="98">
        <f>Dates!CO5</f>
      </c>
      <c r="CP8" s="98">
        <f>Dates!CP5</f>
      </c>
      <c r="CQ8" s="98">
        <f>Dates!CQ5</f>
      </c>
      <c r="CR8" s="98">
        <f>Dates!CR5</f>
      </c>
      <c r="CS8" s="99">
        <f>Dates!CS5</f>
      </c>
      <c r="CT8" s="98">
        <f>Dates!CT5</f>
      </c>
      <c r="CU8" s="98">
        <f>Dates!CU5</f>
      </c>
      <c r="CV8" s="98">
        <f>Dates!CV5</f>
      </c>
      <c r="CW8" s="98">
        <f>Dates!CW5</f>
      </c>
      <c r="CX8" s="99">
        <f>Dates!CX5</f>
      </c>
      <c r="CY8" s="98">
        <f>Dates!CY5</f>
      </c>
      <c r="CZ8" s="98">
        <f>Dates!CZ5</f>
      </c>
      <c r="DA8" s="98">
        <f>Dates!DA5</f>
      </c>
      <c r="DB8" s="98">
        <f>Dates!DB5</f>
      </c>
      <c r="DC8" s="99">
        <f>Dates!DC5</f>
      </c>
      <c r="DD8" s="98">
        <f>Dates!DD5</f>
      </c>
      <c r="DE8" s="98">
        <f>Dates!DE5</f>
      </c>
      <c r="DF8" s="98">
        <f>Dates!DF5</f>
      </c>
      <c r="DG8" s="98">
        <f>Dates!DG5</f>
      </c>
      <c r="DH8" s="99">
        <f>Dates!DH5</f>
      </c>
      <c r="DI8" s="98">
        <f>Dates!DI5</f>
      </c>
      <c r="DJ8" s="98">
        <f>Dates!DJ5</f>
      </c>
      <c r="DK8" s="98">
        <f>Dates!DK5</f>
      </c>
      <c r="DL8" s="98">
        <f>Dates!DL5</f>
      </c>
      <c r="DM8" s="99">
        <f>Dates!DM5</f>
      </c>
      <c r="DN8" s="98">
        <f>Dates!DN5</f>
      </c>
      <c r="DO8" s="98">
        <f>Dates!DO5</f>
      </c>
      <c r="DP8" s="98">
        <f>Dates!DP5</f>
      </c>
      <c r="DQ8" s="98">
        <f>Dates!DQ5</f>
      </c>
      <c r="DR8" s="99">
        <f>Dates!DR5</f>
      </c>
      <c r="DS8" s="98">
        <f>Dates!DS5</f>
      </c>
      <c r="DT8" s="98">
        <f>Dates!DT5</f>
      </c>
      <c r="DU8" s="98">
        <f>Dates!DU5</f>
      </c>
      <c r="DV8" s="98">
        <f>Dates!DV5</f>
      </c>
      <c r="DW8" s="99">
        <f>Dates!DW5</f>
      </c>
      <c r="DX8" s="98">
        <f>Dates!DX5</f>
      </c>
      <c r="DY8" s="98">
        <f>Dates!DY5</f>
      </c>
      <c r="DZ8" s="98">
        <f>Dates!DZ5</f>
      </c>
      <c r="EA8" s="98">
        <f>Dates!EA5</f>
      </c>
      <c r="EB8" s="99">
        <f>Dates!EB5</f>
      </c>
      <c r="EC8" s="98">
        <f>Dates!EC5</f>
      </c>
      <c r="ED8" s="98">
        <f>Dates!ED5</f>
      </c>
      <c r="EE8" s="98">
        <f>Dates!EE5</f>
      </c>
      <c r="EF8" s="98">
        <f>Dates!EF5</f>
      </c>
      <c r="EG8" s="99">
        <f>Dates!EG5</f>
      </c>
      <c r="EH8" s="98">
        <f>Dates!EH5</f>
      </c>
      <c r="EI8" s="98">
        <f>Dates!EI5</f>
      </c>
      <c r="EJ8" s="98">
        <f>Dates!EJ5</f>
      </c>
      <c r="EK8" s="98">
        <f>Dates!EK5</f>
      </c>
      <c r="EL8" s="99">
        <f>Dates!EL5</f>
      </c>
      <c r="EM8" s="98">
        <f>Dates!EM5</f>
      </c>
      <c r="EN8" s="98">
        <f>Dates!EN5</f>
      </c>
      <c r="EO8" s="98">
        <f>Dates!EO5</f>
      </c>
      <c r="EP8" s="98">
        <f>Dates!EP5</f>
      </c>
      <c r="EQ8" s="99">
        <f>Dates!EQ5</f>
      </c>
      <c r="ER8" s="98">
        <f>Dates!ER5</f>
      </c>
      <c r="ES8" s="98">
        <f>Dates!ES5</f>
      </c>
      <c r="ET8" s="98">
        <f>Dates!ET5</f>
      </c>
      <c r="EU8" s="98">
        <f>Dates!EU5</f>
      </c>
      <c r="EV8" s="99">
        <f>Dates!EV5</f>
      </c>
      <c r="EW8" s="98">
        <f>Dates!EW5</f>
      </c>
      <c r="EX8" s="98">
        <f>Dates!EX5</f>
      </c>
      <c r="EY8" s="98">
        <f>Dates!EY5</f>
      </c>
      <c r="EZ8" s="98">
        <f>Dates!EZ5</f>
      </c>
      <c r="FA8" s="99">
        <f>Dates!FA5</f>
      </c>
      <c r="FB8" s="98">
        <f>Dates!FB5</f>
      </c>
      <c r="FC8" s="98">
        <f>Dates!FC5</f>
      </c>
      <c r="FD8" s="98">
        <f>Dates!FD5</f>
      </c>
      <c r="FE8" s="98">
        <f>Dates!FE5</f>
      </c>
      <c r="FF8" s="99">
        <f>Dates!FF5</f>
      </c>
      <c r="FG8" s="98">
        <f>Dates!FG5</f>
      </c>
      <c r="FH8" s="98">
        <f>Dates!FH5</f>
      </c>
      <c r="FI8" s="98">
        <f>Dates!FI5</f>
      </c>
      <c r="FJ8" s="98">
        <f>Dates!FJ5</f>
      </c>
      <c r="FK8" s="99">
        <f>Dates!FK5</f>
      </c>
      <c r="FL8" s="98">
        <f>Dates!FL5</f>
      </c>
      <c r="FM8" s="98">
        <f>Dates!FM5</f>
      </c>
      <c r="FN8" s="98">
        <f>Dates!FN5</f>
      </c>
      <c r="FO8" s="98">
        <f>Dates!FO5</f>
      </c>
      <c r="FP8" s="99">
        <f>Dates!FP5</f>
      </c>
      <c r="FQ8" s="98">
        <f>Dates!FQ5</f>
      </c>
      <c r="FR8" s="98">
        <f>Dates!FR5</f>
      </c>
      <c r="FS8" s="98">
        <f>Dates!FS5</f>
      </c>
      <c r="FT8" s="98">
        <f>Dates!FT5</f>
      </c>
      <c r="FU8" s="99">
        <f>Dates!FU5</f>
      </c>
      <c r="FV8" s="98">
        <f>Dates!FV5</f>
      </c>
      <c r="FW8" s="98">
        <f>Dates!FW5</f>
      </c>
      <c r="FX8" s="98">
        <f>Dates!FX5</f>
      </c>
      <c r="FY8" s="98">
        <f>Dates!FY5</f>
      </c>
      <c r="FZ8" s="99">
        <f>Dates!FZ5</f>
      </c>
      <c r="GA8" s="98">
        <f>Dates!GA5</f>
      </c>
      <c r="GB8" s="98">
        <f>Dates!GB5</f>
      </c>
      <c r="GC8" s="98">
        <f>Dates!GC5</f>
      </c>
      <c r="GD8" s="98">
        <f>Dates!GD5</f>
      </c>
      <c r="GE8" s="99">
        <f>Dates!GE5</f>
      </c>
      <c r="GF8" s="98">
        <f>Dates!GF5</f>
      </c>
      <c r="GG8" s="98">
        <f>Dates!GG5</f>
      </c>
      <c r="GH8" s="98">
        <f>Dates!GH5</f>
      </c>
      <c r="GI8" s="98">
        <f>Dates!GI5</f>
      </c>
      <c r="GJ8" s="99">
        <f>Dates!GJ5</f>
      </c>
    </row>
    <row r="9" spans="1:192" ht="12.75" customHeight="1">
      <c r="C9" s="289"/>
      <c r="D9" s="289"/>
      <c r="E9" s="289"/>
      <c r="F9" s="289"/>
      <c r="G9" s="290"/>
      <c r="H9" s="289"/>
      <c r="I9" s="289"/>
      <c r="J9" s="289"/>
      <c r="K9" s="289"/>
      <c r="L9" s="290"/>
      <c r="M9" s="289"/>
      <c r="N9" s="289"/>
      <c r="O9" s="289"/>
      <c r="P9" s="289"/>
      <c r="Q9" s="290"/>
      <c r="R9" s="979"/>
      <c r="S9" s="979"/>
      <c r="T9" s="979"/>
      <c r="U9" s="979"/>
      <c r="V9" s="290"/>
      <c r="W9" s="979"/>
      <c r="X9" s="979"/>
      <c r="Y9" s="979"/>
      <c r="Z9" s="979"/>
      <c r="AA9" s="290"/>
      <c r="AB9" s="979"/>
      <c r="AC9" s="979"/>
      <c r="AD9" s="979"/>
      <c r="AE9" s="979"/>
      <c r="AF9" s="290"/>
      <c r="AG9" s="979"/>
      <c r="AH9" s="979"/>
      <c r="AI9" s="979"/>
      <c r="AJ9" s="979"/>
      <c r="AK9" s="290"/>
      <c r="AL9" s="289"/>
      <c r="AM9" s="289"/>
      <c r="AN9" s="289"/>
      <c r="AO9" s="289"/>
      <c r="AP9" s="290"/>
      <c r="AQ9" s="289"/>
      <c r="AR9" s="289"/>
      <c r="AS9" s="289"/>
      <c r="AT9" s="289"/>
      <c r="AU9" s="290"/>
      <c r="AV9" s="289"/>
      <c r="AW9" s="289"/>
      <c r="AX9" s="289"/>
      <c r="AY9" s="289"/>
      <c r="AZ9" s="290"/>
      <c r="BA9" s="289"/>
      <c r="BB9" s="289"/>
      <c r="BC9" s="289"/>
      <c r="BD9" s="289"/>
      <c r="BE9" s="290"/>
      <c r="BF9" s="289"/>
      <c r="BG9" s="289"/>
      <c r="BH9" s="289"/>
      <c r="BI9" s="289"/>
      <c r="BJ9" s="290"/>
      <c r="BK9" s="289"/>
      <c r="BL9" s="289"/>
      <c r="BM9" s="289"/>
      <c r="BN9" s="289"/>
      <c r="BO9" s="290"/>
      <c r="BP9" s="289"/>
      <c r="BQ9" s="289"/>
      <c r="BR9" s="289"/>
      <c r="BS9" s="289"/>
      <c r="BT9" s="290"/>
      <c r="BU9" s="289"/>
      <c r="BV9" s="289"/>
      <c r="BW9" s="289"/>
      <c r="BX9" s="289"/>
      <c r="BY9" s="290"/>
      <c r="BZ9" s="289"/>
      <c r="CA9" s="289"/>
      <c r="CB9" s="289"/>
      <c r="CC9" s="289"/>
      <c r="CD9" s="290"/>
      <c r="CE9" s="289"/>
      <c r="CF9" s="289"/>
      <c r="CG9" s="289"/>
      <c r="CH9" s="289"/>
      <c r="CI9" s="290"/>
      <c r="CJ9" s="289"/>
      <c r="CK9" s="289"/>
      <c r="CL9" s="289"/>
      <c r="CM9" s="289"/>
      <c r="CN9" s="290"/>
      <c r="CO9" s="289"/>
      <c r="CP9" s="289"/>
      <c r="CQ9" s="289"/>
      <c r="CR9" s="289"/>
      <c r="CS9" s="290"/>
      <c r="CT9" s="289"/>
      <c r="CU9" s="289"/>
      <c r="CV9" s="289"/>
      <c r="CW9" s="289"/>
      <c r="CX9" s="290"/>
      <c r="CY9" s="289"/>
      <c r="CZ9" s="289"/>
      <c r="DA9" s="289"/>
      <c r="DB9" s="289"/>
      <c r="DC9" s="290"/>
      <c r="DD9" s="289"/>
      <c r="DE9" s="289"/>
      <c r="DF9" s="289"/>
      <c r="DG9" s="289"/>
      <c r="DH9" s="290"/>
      <c r="DI9" s="289"/>
      <c r="DJ9" s="289"/>
      <c r="DK9" s="289"/>
      <c r="DL9" s="289"/>
      <c r="DM9" s="290"/>
      <c r="DN9" s="289"/>
      <c r="DO9" s="289"/>
      <c r="DP9" s="289"/>
      <c r="DQ9" s="289"/>
      <c r="DR9" s="290"/>
      <c r="DS9" s="289"/>
      <c r="DT9" s="289"/>
      <c r="DU9" s="289"/>
      <c r="DV9" s="289"/>
      <c r="DW9" s="290"/>
      <c r="DX9" s="289"/>
      <c r="DY9" s="289"/>
      <c r="DZ9" s="289"/>
      <c r="EA9" s="289"/>
      <c r="EB9" s="290"/>
      <c r="EC9" s="289"/>
      <c r="ED9" s="289"/>
      <c r="EE9" s="289"/>
      <c r="EF9" s="289"/>
      <c r="EG9" s="290"/>
      <c r="EH9" s="289"/>
      <c r="EI9" s="289"/>
      <c r="EJ9" s="289"/>
      <c r="EK9" s="289"/>
      <c r="EL9" s="290"/>
      <c r="EM9" s="289"/>
      <c r="EN9" s="289"/>
      <c r="EO9" s="289"/>
      <c r="EP9" s="289"/>
      <c r="EQ9" s="290"/>
      <c r="ER9" s="289"/>
      <c r="ES9" s="289"/>
      <c r="ET9" s="289"/>
      <c r="EU9" s="289"/>
      <c r="EV9" s="290"/>
      <c r="EW9" s="289"/>
      <c r="EX9" s="289"/>
      <c r="EY9" s="289"/>
      <c r="EZ9" s="289"/>
      <c r="FA9" s="290"/>
      <c r="FB9" s="289"/>
      <c r="FC9" s="289"/>
      <c r="FD9" s="289"/>
      <c r="FE9" s="289"/>
      <c r="FF9" s="290"/>
      <c r="FG9" s="289"/>
      <c r="FH9" s="289"/>
      <c r="FI9" s="289"/>
      <c r="FJ9" s="289"/>
      <c r="FK9" s="290"/>
      <c r="FL9" s="289"/>
      <c r="FM9" s="289"/>
      <c r="FN9" s="289"/>
      <c r="FO9" s="289"/>
      <c r="FP9" s="290"/>
      <c r="FQ9" s="289"/>
      <c r="FR9" s="289"/>
      <c r="FS9" s="289"/>
      <c r="FT9" s="289"/>
      <c r="FU9" s="290"/>
      <c r="FV9" s="289"/>
      <c r="FW9" s="289"/>
      <c r="FX9" s="289"/>
      <c r="FY9" s="289"/>
      <c r="FZ9" s="290"/>
      <c r="GA9" s="289"/>
      <c r="GB9" s="289"/>
      <c r="GC9" s="289"/>
      <c r="GD9" s="289"/>
      <c r="GE9" s="290"/>
      <c r="GF9" s="289"/>
      <c r="GG9" s="289"/>
      <c r="GH9" s="289"/>
      <c r="GI9" s="289"/>
      <c r="GJ9" s="290"/>
    </row>
    <row r="10" spans="1:192" s="461" customFormat="1" ht="12.75" customHeight="1">
      <c r="A10" s="370" t="s">
        <v>31</v>
      </c>
      <c r="B10" s="621" t="s">
        <v>32</v>
      </c>
      <c r="C10" s="624"/>
      <c r="D10" s="624"/>
      <c r="E10" s="624"/>
      <c r="F10" s="624"/>
      <c r="G10" s="622"/>
      <c r="H10" s="624"/>
      <c r="I10" s="624"/>
      <c r="J10" s="624"/>
      <c r="K10" s="624"/>
      <c r="L10" s="622"/>
      <c r="M10" s="624"/>
      <c r="N10" s="624"/>
      <c r="O10" s="624"/>
      <c r="P10" s="624"/>
      <c r="Q10" s="622"/>
      <c r="R10" s="981"/>
      <c r="S10" s="981"/>
      <c r="T10" s="981"/>
      <c r="U10" s="981"/>
      <c r="V10" s="622"/>
      <c r="W10" s="981"/>
      <c r="X10" s="981"/>
      <c r="Y10" s="981"/>
      <c r="Z10" s="981"/>
      <c r="AA10" s="622"/>
      <c r="AB10" s="981"/>
      <c r="AC10" s="981"/>
      <c r="AD10" s="981"/>
      <c r="AE10" s="981"/>
      <c r="AF10" s="622"/>
      <c r="AG10" s="981"/>
      <c r="AH10" s="981"/>
      <c r="AI10" s="981"/>
      <c r="AJ10" s="981"/>
      <c r="AK10" s="622"/>
      <c r="AL10" s="624"/>
      <c r="AM10" s="624"/>
      <c r="AN10" s="624"/>
      <c r="AO10" s="624"/>
      <c r="AP10" s="622"/>
      <c r="AQ10" s="624"/>
      <c r="AR10" s="624"/>
      <c r="AS10" s="624"/>
      <c r="AT10" s="624"/>
      <c r="AU10" s="622"/>
      <c r="AV10" s="624"/>
      <c r="AW10" s="624"/>
      <c r="AX10" s="624"/>
      <c r="AY10" s="624"/>
      <c r="AZ10" s="622"/>
      <c r="BA10" s="624"/>
      <c r="BB10" s="624"/>
      <c r="BC10" s="624"/>
      <c r="BD10" s="624"/>
      <c r="BE10" s="622"/>
      <c r="BF10" s="624"/>
      <c r="BG10" s="624"/>
      <c r="BH10" s="624"/>
      <c r="BI10" s="624"/>
      <c r="BJ10" s="622"/>
      <c r="BK10" s="624"/>
      <c r="BL10" s="624"/>
      <c r="BM10" s="624"/>
      <c r="BN10" s="624"/>
      <c r="BO10" s="622"/>
      <c r="BP10" s="624"/>
      <c r="BQ10" s="624"/>
      <c r="BR10" s="624"/>
      <c r="BS10" s="624"/>
      <c r="BT10" s="622"/>
      <c r="BU10" s="624"/>
      <c r="BV10" s="624"/>
      <c r="BW10" s="624"/>
      <c r="BX10" s="624"/>
      <c r="BY10" s="622"/>
      <c r="BZ10" s="624"/>
      <c r="CA10" s="624"/>
      <c r="CB10" s="624"/>
      <c r="CC10" s="624"/>
      <c r="CD10" s="622"/>
      <c r="CE10" s="624"/>
      <c r="CF10" s="624"/>
      <c r="CG10" s="624"/>
      <c r="CH10" s="624"/>
      <c r="CI10" s="622"/>
      <c r="CJ10" s="624"/>
      <c r="CK10" s="624"/>
      <c r="CL10" s="624"/>
      <c r="CM10" s="624"/>
      <c r="CN10" s="622"/>
      <c r="CO10" s="624"/>
      <c r="CP10" s="624"/>
      <c r="CQ10" s="624"/>
      <c r="CR10" s="624"/>
      <c r="CS10" s="622"/>
      <c r="CT10" s="624"/>
      <c r="CU10" s="624"/>
      <c r="CV10" s="624"/>
      <c r="CW10" s="624"/>
      <c r="CX10" s="622"/>
      <c r="CY10" s="619">
        <f t="shared" ref="CY10:ED10" si="0">CY19+CY44+CY64</f>
      </c>
      <c r="CZ10" s="619">
        <f t="shared" si="0"/>
      </c>
      <c r="DA10" s="619">
        <f t="shared" si="0"/>
      </c>
      <c r="DB10" s="619">
        <f t="shared" si="0"/>
      </c>
      <c r="DC10" s="829">
        <f t="shared" si="0"/>
      </c>
      <c r="DD10" s="619">
        <f t="shared" si="0"/>
      </c>
      <c r="DE10" s="619">
        <f t="shared" si="0"/>
      </c>
      <c r="DF10" s="619">
        <f t="shared" si="0"/>
      </c>
      <c r="DG10" s="619">
        <f t="shared" si="0"/>
      </c>
      <c r="DH10" s="829">
        <f t="shared" si="0"/>
      </c>
      <c r="DI10" s="619">
        <f t="shared" si="0"/>
      </c>
      <c r="DJ10" s="619">
        <f t="shared" si="0"/>
      </c>
      <c r="DK10" s="619">
        <f t="shared" si="0"/>
      </c>
      <c r="DL10" s="619">
        <f t="shared" si="0"/>
      </c>
      <c r="DM10" s="829">
        <f t="shared" si="0"/>
      </c>
      <c r="DN10" s="619">
        <f t="shared" si="0"/>
      </c>
      <c r="DO10" s="619">
        <f t="shared" si="0"/>
      </c>
      <c r="DP10" s="619">
        <f t="shared" si="0"/>
      </c>
      <c r="DQ10" s="619">
        <f t="shared" si="0"/>
      </c>
      <c r="DR10" s="829">
        <f t="shared" si="0"/>
      </c>
      <c r="DS10" s="619">
        <f t="shared" si="0"/>
      </c>
      <c r="DT10" s="619">
        <f t="shared" si="0"/>
      </c>
      <c r="DU10" s="619">
        <f t="shared" si="0"/>
      </c>
      <c r="DV10" s="619">
        <f t="shared" si="0"/>
      </c>
      <c r="DW10" s="829">
        <f t="shared" si="0"/>
      </c>
      <c r="DX10" s="619">
        <f t="shared" si="0"/>
      </c>
      <c r="DY10" s="619">
        <f t="shared" si="0"/>
      </c>
      <c r="DZ10" s="619">
        <f t="shared" si="0"/>
      </c>
      <c r="EA10" s="619">
        <f t="shared" si="0"/>
      </c>
      <c r="EB10" s="829">
        <f t="shared" si="0"/>
      </c>
      <c r="EC10" s="619">
        <f t="shared" si="0"/>
      </c>
      <c r="ED10" s="619">
        <f t="shared" si="0"/>
      </c>
      <c r="EE10" s="619">
        <f t="shared" ref="EE10:FJ10" si="1">EE19+EE44+EE64</f>
      </c>
      <c r="EF10" s="619">
        <f t="shared" si="1"/>
      </c>
      <c r="EG10" s="829">
        <f t="shared" si="1"/>
      </c>
      <c r="EH10" s="619">
        <f t="shared" si="1"/>
      </c>
      <c r="EI10" s="619">
        <f t="shared" si="1"/>
      </c>
      <c r="EJ10" s="619">
        <f t="shared" si="1"/>
      </c>
      <c r="EK10" s="619">
        <f t="shared" si="1"/>
      </c>
      <c r="EL10" s="829">
        <f t="shared" si="1"/>
      </c>
      <c r="EM10" s="619">
        <f t="shared" si="1"/>
      </c>
      <c r="EN10" s="619">
        <f t="shared" si="1"/>
      </c>
      <c r="EO10" s="619">
        <f t="shared" si="1"/>
      </c>
      <c r="EP10" s="619">
        <f t="shared" si="1"/>
      </c>
      <c r="EQ10" s="829">
        <f t="shared" si="1"/>
      </c>
      <c r="ER10" s="619">
        <f t="shared" si="1"/>
      </c>
      <c r="ES10" s="619">
        <f t="shared" si="1"/>
      </c>
      <c r="ET10" s="619">
        <f t="shared" si="1"/>
      </c>
      <c r="EU10" s="619">
        <f t="shared" si="1"/>
      </c>
      <c r="EV10" s="829">
        <f t="shared" si="1"/>
      </c>
      <c r="EW10" s="619">
        <f t="shared" si="1"/>
      </c>
      <c r="EX10" s="619">
        <f t="shared" si="1"/>
      </c>
      <c r="EY10" s="619">
        <f t="shared" ref="EY10:FA10" si="2">EY19+EY44+EY64</f>
      </c>
      <c r="EZ10" s="619">
        <f t="shared" si="2"/>
      </c>
      <c r="FA10" s="829">
        <f t="shared" si="2"/>
      </c>
      <c r="FB10" s="619">
        <f t="shared" si="1"/>
      </c>
      <c r="FC10" s="619">
        <f t="shared" si="1"/>
      </c>
      <c r="FD10" s="619">
        <f t="shared" si="1"/>
      </c>
      <c r="FE10" s="619">
        <f t="shared" si="1"/>
      </c>
      <c r="FF10" s="829">
        <f t="shared" si="1"/>
      </c>
      <c r="FG10" s="619">
        <f t="shared" si="1"/>
      </c>
      <c r="FH10" s="619">
        <f t="shared" si="1"/>
      </c>
      <c r="FI10" s="619">
        <f t="shared" si="1"/>
      </c>
      <c r="FJ10" s="619">
        <f t="shared" si="1"/>
      </c>
      <c r="FK10" s="829">
        <f t="shared" ref="FK10:GE10" si="3">FK19+FK44+FK64</f>
      </c>
      <c r="FL10" s="619">
        <f t="shared" si="3"/>
      </c>
      <c r="FM10" s="619">
        <f t="shared" si="3"/>
      </c>
      <c r="FN10" s="619">
        <f t="shared" si="3"/>
      </c>
      <c r="FO10" s="619">
        <f t="shared" si="3"/>
      </c>
      <c r="FP10" s="829">
        <f t="shared" si="3"/>
      </c>
      <c r="FQ10" s="619">
        <f t="shared" si="3"/>
      </c>
      <c r="FR10" s="619">
        <f t="shared" si="3"/>
      </c>
      <c r="FS10" s="619">
        <f t="shared" si="3"/>
      </c>
      <c r="FT10" s="619">
        <f t="shared" si="3"/>
      </c>
      <c r="FU10" s="829">
        <f t="shared" si="3"/>
      </c>
      <c r="FV10" s="619">
        <f t="shared" si="3"/>
      </c>
      <c r="FW10" s="619">
        <f t="shared" si="3"/>
      </c>
      <c r="FX10" s="619">
        <f t="shared" si="3"/>
      </c>
      <c r="FY10" s="619">
        <f t="shared" si="3"/>
      </c>
      <c r="FZ10" s="829">
        <f t="shared" si="3"/>
      </c>
      <c r="GA10" s="619">
        <f t="shared" si="3"/>
      </c>
      <c r="GB10" s="619">
        <f t="shared" si="3"/>
      </c>
      <c r="GC10" s="619">
        <f t="shared" si="3"/>
      </c>
      <c r="GD10" s="619">
        <f t="shared" si="3"/>
      </c>
      <c r="GE10" s="829">
        <f t="shared" si="3"/>
      </c>
      <c r="GF10" s="619">
        <f t="shared" ref="GF10:GJ10" si="4">GF19+GF44+GF64</f>
      </c>
      <c r="GG10" s="619">
        <f t="shared" si="4"/>
      </c>
      <c r="GH10" s="619">
        <f t="shared" si="4"/>
      </c>
      <c r="GI10" s="619">
        <f t="shared" si="4"/>
      </c>
      <c r="GJ10" s="829">
        <f t="shared" si="4"/>
      </c>
    </row>
    <row r="11" spans="1:192" s="479" customFormat="1" ht="12.75" customHeight="1">
      <c r="A11" s="81"/>
      <c r="B11" s="1734" t="s">
        <v>34</v>
      </c>
      <c r="C11" s="1735"/>
      <c r="D11" s="1735"/>
      <c r="E11" s="1735"/>
      <c r="F11" s="1735"/>
      <c r="G11" s="1736"/>
      <c r="H11" s="1735"/>
      <c r="I11" s="1735"/>
      <c r="J11" s="1735"/>
      <c r="K11" s="1735"/>
      <c r="L11" s="1736"/>
      <c r="M11" s="1735"/>
      <c r="N11" s="1735"/>
      <c r="O11" s="1735"/>
      <c r="P11" s="1735"/>
      <c r="Q11" s="1736"/>
      <c r="R11" s="1737"/>
      <c r="S11" s="1737"/>
      <c r="T11" s="1737"/>
      <c r="U11" s="1737"/>
      <c r="V11" s="1736"/>
      <c r="W11" s="1737"/>
      <c r="X11" s="1737"/>
      <c r="Y11" s="1737"/>
      <c r="Z11" s="1737"/>
      <c r="AA11" s="1736"/>
      <c r="AB11" s="1737"/>
      <c r="AC11" s="1737"/>
      <c r="AD11" s="1737"/>
      <c r="AE11" s="1737"/>
      <c r="AF11" s="1736"/>
      <c r="AG11" s="1737"/>
      <c r="AH11" s="1737"/>
      <c r="AI11" s="1737"/>
      <c r="AJ11" s="1737"/>
      <c r="AK11" s="1736"/>
      <c r="AL11" s="1735"/>
      <c r="AM11" s="1735"/>
      <c r="AN11" s="1735"/>
      <c r="AO11" s="1735"/>
      <c r="AP11" s="1736"/>
      <c r="AQ11" s="1735"/>
      <c r="AR11" s="1735"/>
      <c r="AS11" s="1735"/>
      <c r="AT11" s="1735"/>
      <c r="AU11" s="1736"/>
      <c r="AV11" s="1735"/>
      <c r="AW11" s="1735"/>
      <c r="AX11" s="1735"/>
      <c r="AY11" s="1735"/>
      <c r="AZ11" s="1736"/>
      <c r="BA11" s="1735"/>
      <c r="BB11" s="1735"/>
      <c r="BC11" s="1735"/>
      <c r="BD11" s="1735"/>
      <c r="BE11" s="1736"/>
      <c r="BF11" s="1735"/>
      <c r="BG11" s="1735"/>
      <c r="BH11" s="1735"/>
      <c r="BI11" s="1735"/>
      <c r="BJ11" s="1736"/>
      <c r="BK11" s="1735"/>
      <c r="BL11" s="1735"/>
      <c r="BM11" s="1735"/>
      <c r="BN11" s="1735"/>
      <c r="BO11" s="1736"/>
      <c r="BP11" s="1735"/>
      <c r="BQ11" s="1735"/>
      <c r="BR11" s="1735"/>
      <c r="BS11" s="1735"/>
      <c r="BT11" s="1736"/>
      <c r="BU11" s="1735"/>
      <c r="BV11" s="1735"/>
      <c r="BW11" s="1735"/>
      <c r="BX11" s="1735"/>
      <c r="BY11" s="1736"/>
      <c r="BZ11" s="1735"/>
      <c r="CA11" s="1735"/>
      <c r="CB11" s="1735"/>
      <c r="CC11" s="1735"/>
      <c r="CD11" s="1736"/>
      <c r="CE11" s="1735"/>
      <c r="CF11" s="1735"/>
      <c r="CG11" s="1735"/>
      <c r="CH11" s="1735"/>
      <c r="CI11" s="1736"/>
      <c r="CJ11" s="1735"/>
      <c r="CK11" s="1735"/>
      <c r="CL11" s="1735"/>
      <c r="CM11" s="1735"/>
      <c r="CN11" s="1736"/>
      <c r="CO11" s="1735"/>
      <c r="CP11" s="1735"/>
      <c r="CQ11" s="1735"/>
      <c r="CR11" s="1735"/>
      <c r="CS11" s="1736"/>
      <c r="CT11" s="1735"/>
      <c r="CU11" s="1735"/>
      <c r="CV11" s="1735"/>
      <c r="CW11" s="1735"/>
      <c r="CX11" s="1736"/>
      <c r="CY11" s="1738"/>
      <c r="CZ11" s="1738"/>
      <c r="DA11" s="1738"/>
      <c r="DB11" s="1738"/>
      <c r="DC11" s="1739"/>
      <c r="DD11" s="267">
        <f t="shared" ref="DD11:EI11" si="5">IFERROR(DD10/CY10-1,"")</f>
      </c>
      <c r="DE11" s="267">
        <f t="shared" si="5"/>
      </c>
      <c r="DF11" s="267">
        <f t="shared" si="5"/>
      </c>
      <c r="DG11" s="267">
        <f t="shared" si="5"/>
      </c>
      <c r="DH11" s="1740">
        <f t="shared" si="5"/>
      </c>
      <c r="DI11" s="267">
        <f t="shared" si="5"/>
      </c>
      <c r="DJ11" s="267">
        <f t="shared" si="5"/>
      </c>
      <c r="DK11" s="267">
        <f t="shared" si="5"/>
      </c>
      <c r="DL11" s="267">
        <f t="shared" si="5"/>
      </c>
      <c r="DM11" s="1740">
        <f t="shared" si="5"/>
      </c>
      <c r="DN11" s="267">
        <f t="shared" si="5"/>
      </c>
      <c r="DO11" s="267">
        <f t="shared" si="5"/>
      </c>
      <c r="DP11" s="267">
        <f t="shared" si="5"/>
      </c>
      <c r="DQ11" s="267">
        <f t="shared" si="5"/>
      </c>
      <c r="DR11" s="1740">
        <f t="shared" si="5"/>
      </c>
      <c r="DS11" s="267">
        <f t="shared" si="5"/>
      </c>
      <c r="DT11" s="267">
        <f t="shared" si="5"/>
      </c>
      <c r="DU11" s="267">
        <f t="shared" si="5"/>
      </c>
      <c r="DV11" s="267">
        <f t="shared" si="5"/>
      </c>
      <c r="DW11" s="1740">
        <f t="shared" si="5"/>
      </c>
      <c r="DX11" s="267">
        <f t="shared" si="5"/>
      </c>
      <c r="DY11" s="267">
        <f t="shared" si="5"/>
      </c>
      <c r="DZ11" s="267">
        <f t="shared" si="5"/>
      </c>
      <c r="EA11" s="267">
        <f t="shared" si="5"/>
      </c>
      <c r="EB11" s="1740">
        <f t="shared" si="5"/>
      </c>
      <c r="EC11" s="267">
        <f t="shared" si="5"/>
      </c>
      <c r="ED11" s="267">
        <f t="shared" si="5"/>
      </c>
      <c r="EE11" s="267">
        <f t="shared" si="5"/>
      </c>
      <c r="EF11" s="267">
        <f t="shared" si="5"/>
      </c>
      <c r="EG11" s="1740">
        <f t="shared" si="5"/>
      </c>
      <c r="EH11" s="267">
        <f t="shared" si="5"/>
      </c>
      <c r="EI11" s="267">
        <f t="shared" si="5"/>
      </c>
      <c r="EJ11" s="267">
        <f t="shared" ref="EJ11:FO11" si="6">IFERROR(EJ10/EE10-1,"")</f>
      </c>
      <c r="EK11" s="267">
        <f t="shared" si="6"/>
      </c>
      <c r="EL11" s="1740">
        <f t="shared" si="6"/>
      </c>
      <c r="EM11" s="267">
        <f t="shared" si="6"/>
      </c>
      <c r="EN11" s="267">
        <f t="shared" si="6"/>
      </c>
      <c r="EO11" s="267">
        <f t="shared" si="6"/>
      </c>
      <c r="EP11" s="267">
        <f t="shared" si="6"/>
      </c>
      <c r="EQ11" s="1740">
        <f t="shared" si="6"/>
      </c>
      <c r="ER11" s="267">
        <f t="shared" ref="ER11" si="7">IFERROR(ER10/EM10-1,"")</f>
      </c>
      <c r="ES11" s="267">
        <f t="shared" ref="ES11" si="8">IFERROR(ES10/EN10-1,"")</f>
      </c>
      <c r="ET11" s="267">
        <f t="shared" ref="ET11" si="9">IFERROR(ET10/EO10-1,"")</f>
      </c>
      <c r="EU11" s="267">
        <f t="shared" ref="EU11" si="10">IFERROR(EU10/EP10-1,"")</f>
      </c>
      <c r="EV11" s="1740">
        <f t="shared" ref="EV11" si="11">IFERROR(EV10/EQ10-1,"")</f>
      </c>
      <c r="EW11" s="267">
        <f t="shared" si="6"/>
      </c>
      <c r="EX11" s="267">
        <f t="shared" si="6"/>
      </c>
      <c r="EY11" s="267">
        <f t="shared" si="6"/>
      </c>
      <c r="EZ11" s="267">
        <f t="shared" ref="EZ11" si="12">IFERROR(EZ10/EU10-1,"")</f>
      </c>
      <c r="FA11" s="1740">
        <f t="shared" ref="FA11" si="13">IFERROR(FA10/EV10-1,"")</f>
      </c>
      <c r="FB11" s="267">
        <f t="shared" si="6"/>
      </c>
      <c r="FC11" s="267">
        <f t="shared" si="6"/>
      </c>
      <c r="FD11" s="267">
        <f t="shared" si="6"/>
      </c>
      <c r="FE11" s="267">
        <f t="shared" si="6"/>
      </c>
      <c r="FF11" s="1740">
        <f t="shared" si="6"/>
      </c>
      <c r="FG11" s="267">
        <f t="shared" si="6"/>
      </c>
      <c r="FH11" s="267">
        <f t="shared" si="6"/>
      </c>
      <c r="FI11" s="267">
        <f t="shared" si="6"/>
      </c>
      <c r="FJ11" s="267">
        <f t="shared" si="6"/>
      </c>
      <c r="FK11" s="1740">
        <f t="shared" si="6"/>
      </c>
      <c r="FL11" s="267">
        <f t="shared" si="6"/>
      </c>
      <c r="FM11" s="267">
        <f t="shared" si="6"/>
      </c>
      <c r="FN11" s="267">
        <f t="shared" si="6"/>
      </c>
      <c r="FO11" s="267">
        <f t="shared" si="6"/>
      </c>
      <c r="FP11" s="1740">
        <f t="shared" ref="FP11:GE11" si="14">IFERROR(FP10/FK10-1,"")</f>
      </c>
      <c r="FQ11" s="267">
        <f t="shared" si="14"/>
      </c>
      <c r="FR11" s="267">
        <f t="shared" si="14"/>
      </c>
      <c r="FS11" s="267">
        <f t="shared" si="14"/>
      </c>
      <c r="FT11" s="267">
        <f t="shared" si="14"/>
      </c>
      <c r="FU11" s="1740">
        <f t="shared" si="14"/>
      </c>
      <c r="FV11" s="267">
        <f t="shared" si="14"/>
      </c>
      <c r="FW11" s="267">
        <f t="shared" si="14"/>
      </c>
      <c r="FX11" s="267">
        <f t="shared" si="14"/>
      </c>
      <c r="FY11" s="267">
        <f t="shared" si="14"/>
      </c>
      <c r="FZ11" s="1740">
        <f t="shared" si="14"/>
      </c>
      <c r="GA11" s="267">
        <f t="shared" si="14"/>
      </c>
      <c r="GB11" s="267">
        <f t="shared" si="14"/>
      </c>
      <c r="GC11" s="267">
        <f t="shared" si="14"/>
      </c>
      <c r="GD11" s="267">
        <f t="shared" si="14"/>
      </c>
      <c r="GE11" s="1740">
        <f t="shared" si="14"/>
      </c>
      <c r="GF11" s="267">
        <f t="shared" ref="GF11" si="15">IFERROR(GF10/GA10-1,"")</f>
      </c>
      <c r="GG11" s="267">
        <f t="shared" ref="GG11" si="16">IFERROR(GG10/GB10-1,"")</f>
      </c>
      <c r="GH11" s="267">
        <f t="shared" ref="GH11" si="17">IFERROR(GH10/GC10-1,"")</f>
      </c>
      <c r="GI11" s="267">
        <f t="shared" ref="GI11" si="18">IFERROR(GI10/GD10-1,"")</f>
      </c>
      <c r="GJ11" s="1740">
        <f t="shared" ref="GJ11" si="19">IFERROR(GJ10/GE10-1,"")</f>
      </c>
    </row>
    <row r="12" spans="1:192" s="479" customFormat="1" ht="12.75" customHeight="1">
      <c r="A12" s="81"/>
      <c r="B12" s="1734" t="s">
        <v>36</v>
      </c>
      <c r="C12" s="1735"/>
      <c r="D12" s="1735"/>
      <c r="E12" s="1735"/>
      <c r="F12" s="1735"/>
      <c r="G12" s="1736"/>
      <c r="H12" s="1735"/>
      <c r="I12" s="1735"/>
      <c r="J12" s="1735"/>
      <c r="K12" s="1735"/>
      <c r="L12" s="1736"/>
      <c r="M12" s="1735"/>
      <c r="N12" s="1735"/>
      <c r="O12" s="1735"/>
      <c r="P12" s="1735"/>
      <c r="Q12" s="1736"/>
      <c r="R12" s="1737"/>
      <c r="S12" s="1737"/>
      <c r="T12" s="1737"/>
      <c r="U12" s="1737"/>
      <c r="V12" s="1736"/>
      <c r="W12" s="1737"/>
      <c r="X12" s="1737"/>
      <c r="Y12" s="1737"/>
      <c r="Z12" s="1737"/>
      <c r="AA12" s="1736"/>
      <c r="AB12" s="1737"/>
      <c r="AC12" s="1737"/>
      <c r="AD12" s="1737"/>
      <c r="AE12" s="1737"/>
      <c r="AF12" s="1736"/>
      <c r="AG12" s="1737"/>
      <c r="AH12" s="1737"/>
      <c r="AI12" s="1737"/>
      <c r="AJ12" s="1737"/>
      <c r="AK12" s="1736"/>
      <c r="AL12" s="1735"/>
      <c r="AM12" s="1735"/>
      <c r="AN12" s="1735"/>
      <c r="AO12" s="1735"/>
      <c r="AP12" s="1736"/>
      <c r="AQ12" s="1735"/>
      <c r="AR12" s="1735"/>
      <c r="AS12" s="1735"/>
      <c r="AT12" s="1735"/>
      <c r="AU12" s="1736"/>
      <c r="AV12" s="1735"/>
      <c r="AW12" s="1735"/>
      <c r="AX12" s="1735"/>
      <c r="AY12" s="1735"/>
      <c r="AZ12" s="1736"/>
      <c r="BA12" s="1735"/>
      <c r="BB12" s="1735"/>
      <c r="BC12" s="1735"/>
      <c r="BD12" s="1735"/>
      <c r="BE12" s="1736"/>
      <c r="BF12" s="1735"/>
      <c r="BG12" s="1735"/>
      <c r="BH12" s="1735"/>
      <c r="BI12" s="1735"/>
      <c r="BJ12" s="1736"/>
      <c r="BK12" s="1735"/>
      <c r="BL12" s="1735"/>
      <c r="BM12" s="1735"/>
      <c r="BN12" s="1735"/>
      <c r="BO12" s="1736"/>
      <c r="BP12" s="1735"/>
      <c r="BQ12" s="1735"/>
      <c r="BR12" s="1735"/>
      <c r="BS12" s="1735"/>
      <c r="BT12" s="1736"/>
      <c r="BU12" s="1735"/>
      <c r="BV12" s="1735"/>
      <c r="BW12" s="1735"/>
      <c r="BX12" s="1735"/>
      <c r="BY12" s="1736"/>
      <c r="BZ12" s="1735"/>
      <c r="CA12" s="1735"/>
      <c r="CB12" s="1735"/>
      <c r="CC12" s="1735"/>
      <c r="CD12" s="1736"/>
      <c r="CE12" s="1735"/>
      <c r="CF12" s="1735"/>
      <c r="CG12" s="1735"/>
      <c r="CH12" s="1735"/>
      <c r="CI12" s="1736"/>
      <c r="CJ12" s="1735"/>
      <c r="CK12" s="1735"/>
      <c r="CL12" s="1735"/>
      <c r="CM12" s="1735"/>
      <c r="CN12" s="1736"/>
      <c r="CO12" s="1735"/>
      <c r="CP12" s="1735"/>
      <c r="CQ12" s="1735"/>
      <c r="CR12" s="1735"/>
      <c r="CS12" s="1736"/>
      <c r="CT12" s="1735"/>
      <c r="CU12" s="1735"/>
      <c r="CV12" s="1735"/>
      <c r="CW12" s="1735"/>
      <c r="CX12" s="1736"/>
      <c r="CY12" s="1738"/>
      <c r="CZ12" s="1741">
        <f>IFERROR(CZ10/CY10-1,"")</f>
      </c>
      <c r="DA12" s="1741">
        <f>IFERROR(DA10/CZ10-1,"")</f>
      </c>
      <c r="DB12" s="1741">
        <f>IFERROR(DB10/DA10-1,"")</f>
      </c>
      <c r="DC12" s="1742"/>
      <c r="DD12" s="267">
        <f>IFERROR(DD10/DB10-1,"")</f>
      </c>
      <c r="DE12" s="1741">
        <f>IFERROR(DE10/DD10-1,"")</f>
      </c>
      <c r="DF12" s="1741">
        <f>IFERROR(DF10/DE10-1,"")</f>
      </c>
      <c r="DG12" s="1741">
        <f>IFERROR(DG10/DF10-1,"")</f>
      </c>
      <c r="DH12" s="1739"/>
      <c r="DI12" s="267">
        <f>IFERROR(DI10/DG10-1,"")</f>
      </c>
      <c r="DJ12" s="1741">
        <f>IFERROR(DJ10/DI10-1,"")</f>
      </c>
      <c r="DK12" s="1741">
        <f>IFERROR(DK10/DJ10-1,"")</f>
      </c>
      <c r="DL12" s="1741">
        <f>IFERROR(DL10/DK10-1,"")</f>
      </c>
      <c r="DM12" s="1739"/>
      <c r="DN12" s="267">
        <f>IFERROR(DN10/DL10-1,"")</f>
      </c>
      <c r="DO12" s="1741">
        <f>IFERROR(DO10/DN10-1,"")</f>
      </c>
      <c r="DP12" s="1741">
        <f>IFERROR(DP10/DO10-1,"")</f>
      </c>
      <c r="DQ12" s="1741">
        <f>IFERROR(DQ10/DP10-1,"")</f>
      </c>
      <c r="DR12" s="1739"/>
      <c r="DS12" s="267">
        <f>IFERROR(DS10/DQ10-1,"")</f>
      </c>
      <c r="DT12" s="1741">
        <f>IFERROR(DT10/DS10-1,"")</f>
      </c>
      <c r="DU12" s="1741">
        <f>IFERROR(DU10/DT10-1,"")</f>
      </c>
      <c r="DV12" s="1741">
        <f>IFERROR(DV10/DU10-1,"")</f>
      </c>
      <c r="DW12" s="1739"/>
      <c r="DX12" s="267">
        <f>IFERROR(DX10/DV10-1,"")</f>
      </c>
      <c r="DY12" s="1741">
        <f>IFERROR(DY10/DX10-1,"")</f>
      </c>
      <c r="DZ12" s="1741">
        <f>IFERROR(DZ10/DY10-1,"")</f>
      </c>
      <c r="EA12" s="1741">
        <f>IFERROR(EA10/DZ10-1,"")</f>
      </c>
      <c r="EB12" s="1739"/>
      <c r="EC12" s="267">
        <f>IFERROR(EC10/EA10-1,"")</f>
      </c>
      <c r="ED12" s="1741">
        <f>IFERROR(ED10/EC10-1,"")</f>
      </c>
      <c r="EE12" s="1741">
        <f>IFERROR(EE10/ED10-1,"")</f>
      </c>
      <c r="EF12" s="1741">
        <f>IFERROR(EF10/EE10-1,"")</f>
      </c>
      <c r="EG12" s="1739"/>
      <c r="EH12" s="267">
        <f>IFERROR(EH10/EF10-1,"")</f>
      </c>
      <c r="EI12" s="1741">
        <f>IFERROR(EI10/EH10-1,"")</f>
      </c>
      <c r="EJ12" s="1741">
        <f>IFERROR(EJ10/EI10-1,"")</f>
      </c>
      <c r="EK12" s="1741">
        <f>IFERROR(EK10/EJ10-1,"")</f>
      </c>
      <c r="EL12" s="1739"/>
      <c r="EM12" s="267">
        <f>IFERROR(EM10/EK10-1,"")</f>
      </c>
      <c r="EN12" s="1741">
        <f>IFERROR(EN10/EM10-1,"")</f>
      </c>
      <c r="EO12" s="1741">
        <f>IFERROR(EO10/EN10-1,"")</f>
      </c>
      <c r="EP12" s="1741">
        <f>IFERROR(EP10/EO10-1,"")</f>
      </c>
      <c r="EQ12" s="1739"/>
      <c r="ER12" s="267">
        <f>IFERROR(ER10/EP10-1,"")</f>
      </c>
      <c r="ES12" s="1741">
        <f>IFERROR(ES10/ER10-1,"")</f>
      </c>
      <c r="ET12" s="1741">
        <f>IFERROR(ET10/ES10-1,"")</f>
      </c>
      <c r="EU12" s="1741">
        <f>IFERROR(EU10/ET10-1,"")</f>
      </c>
      <c r="EV12" s="1739"/>
      <c r="EW12" s="267">
        <f>IFERROR(EW10/EU10-1,"")</f>
      </c>
      <c r="EX12" s="1741">
        <f>IFERROR(EX10/EW10-1,"")</f>
      </c>
      <c r="EY12" s="1741">
        <f>IFERROR(EY10/EX10-1,"")</f>
      </c>
      <c r="EZ12" s="1741">
        <f>IFERROR(EZ10/EY10-1,"")</f>
      </c>
      <c r="FA12" s="1739"/>
      <c r="FB12" s="267">
        <f>IFERROR(FB10/EZ10-1,"")</f>
      </c>
      <c r="FC12" s="1741">
        <f>IFERROR(FC10/FB10-1,"")</f>
      </c>
      <c r="FD12" s="1741">
        <f>IFERROR(FD10/FC10-1,"")</f>
      </c>
      <c r="FE12" s="1741">
        <f>IFERROR(FE10/FD10-1,"")</f>
      </c>
      <c r="FF12" s="1739"/>
      <c r="FG12" s="267">
        <f>IFERROR(FG10/FE10-1,"")</f>
      </c>
      <c r="FH12" s="1741">
        <f>IFERROR(FH10/FG10-1,"")</f>
      </c>
      <c r="FI12" s="1741">
        <f>IFERROR(FI10/FH10-1,"")</f>
      </c>
      <c r="FJ12" s="1741">
        <f>IFERROR(FJ10/FI10-1,"")</f>
      </c>
      <c r="FK12" s="1739"/>
      <c r="FL12" s="267">
        <f>IFERROR(FL10/FJ10-1,"")</f>
      </c>
      <c r="FM12" s="1741">
        <f>IFERROR(FM10/FL10-1,"")</f>
      </c>
      <c r="FN12" s="1741">
        <f>IFERROR(FN10/FM10-1,"")</f>
      </c>
      <c r="FO12" s="1741">
        <f>IFERROR(FO10/FN10-1,"")</f>
      </c>
      <c r="FP12" s="1739"/>
      <c r="FQ12" s="267">
        <f>IFERROR(FQ10/FO10-1,"")</f>
      </c>
      <c r="FR12" s="1741">
        <f>IFERROR(FR10/FQ10-1,"")</f>
      </c>
      <c r="FS12" s="1741">
        <f>IFERROR(FS10/FR10-1,"")</f>
      </c>
      <c r="FT12" s="1741">
        <f>IFERROR(FT10/FS10-1,"")</f>
      </c>
      <c r="FU12" s="1739"/>
      <c r="FV12" s="267">
        <f>IFERROR(FV10/FT10-1,"")</f>
      </c>
      <c r="FW12" s="1741">
        <f>IFERROR(FW10/FV10-1,"")</f>
      </c>
      <c r="FX12" s="1741">
        <f>IFERROR(FX10/FW10-1,"")</f>
      </c>
      <c r="FY12" s="1741">
        <f>IFERROR(FY10/FX10-1,"")</f>
      </c>
      <c r="FZ12" s="1739"/>
      <c r="GA12" s="267">
        <f>IFERROR(GA10/FY10-1,"")</f>
      </c>
      <c r="GB12" s="1741">
        <f>IFERROR(GB10/GA10-1,"")</f>
      </c>
      <c r="GC12" s="1741">
        <f>IFERROR(GC10/GB10-1,"")</f>
      </c>
      <c r="GD12" s="1741">
        <f>IFERROR(GD10/GC10-1,"")</f>
      </c>
      <c r="GE12" s="1739"/>
      <c r="GF12" s="267">
        <f>IFERROR(GF10/GD10-1,"")</f>
      </c>
      <c r="GG12" s="1741">
        <f>IFERROR(GG10/GF10-1,"")</f>
      </c>
      <c r="GH12" s="1741">
        <f>IFERROR(GH10/GG10-1,"")</f>
      </c>
      <c r="GI12" s="1741">
        <f>IFERROR(GI10/GH10-1,"")</f>
      </c>
      <c r="GJ12" s="1739"/>
    </row>
    <row r="13" spans="1:192" s="461" customFormat="1" ht="12.75" customHeight="1">
      <c r="A13" s="370"/>
      <c r="B13" s="992"/>
      <c r="C13" s="993"/>
      <c r="D13" s="993"/>
      <c r="E13" s="993"/>
      <c r="F13" s="993"/>
      <c r="G13" s="994"/>
      <c r="H13" s="993"/>
      <c r="I13" s="993"/>
      <c r="J13" s="993"/>
      <c r="K13" s="993"/>
      <c r="L13" s="994"/>
      <c r="M13" s="993"/>
      <c r="N13" s="993"/>
      <c r="O13" s="993"/>
      <c r="P13" s="993"/>
      <c r="Q13" s="994"/>
      <c r="R13" s="995"/>
      <c r="S13" s="995"/>
      <c r="T13" s="995"/>
      <c r="U13" s="995"/>
      <c r="V13" s="994"/>
      <c r="W13" s="995"/>
      <c r="X13" s="995"/>
      <c r="Y13" s="995"/>
      <c r="Z13" s="995"/>
      <c r="AA13" s="994"/>
      <c r="AB13" s="995"/>
      <c r="AC13" s="995"/>
      <c r="AD13" s="995"/>
      <c r="AE13" s="995"/>
      <c r="AF13" s="994"/>
      <c r="AG13" s="995"/>
      <c r="AH13" s="995"/>
      <c r="AI13" s="995"/>
      <c r="AJ13" s="995"/>
      <c r="AK13" s="994"/>
      <c r="AL13" s="993"/>
      <c r="AM13" s="993"/>
      <c r="AN13" s="993"/>
      <c r="AO13" s="993"/>
      <c r="AP13" s="994"/>
      <c r="AQ13" s="993"/>
      <c r="AR13" s="993"/>
      <c r="AS13" s="993"/>
      <c r="AT13" s="993"/>
      <c r="AU13" s="994"/>
      <c r="AV13" s="993"/>
      <c r="AW13" s="993"/>
      <c r="AX13" s="993"/>
      <c r="AY13" s="993"/>
      <c r="AZ13" s="994"/>
      <c r="BA13" s="993"/>
      <c r="BB13" s="993"/>
      <c r="BC13" s="993"/>
      <c r="BD13" s="993"/>
      <c r="BE13" s="994"/>
      <c r="BF13" s="993"/>
      <c r="BG13" s="993"/>
      <c r="BH13" s="993"/>
      <c r="BI13" s="993"/>
      <c r="BJ13" s="994"/>
      <c r="BK13" s="993"/>
      <c r="BL13" s="993"/>
      <c r="BM13" s="993"/>
      <c r="BN13" s="993"/>
      <c r="BO13" s="994"/>
      <c r="BP13" s="993"/>
      <c r="BQ13" s="993"/>
      <c r="BR13" s="993"/>
      <c r="BS13" s="993"/>
      <c r="BT13" s="994"/>
      <c r="BU13" s="993"/>
      <c r="BV13" s="993"/>
      <c r="BW13" s="993"/>
      <c r="BX13" s="993"/>
      <c r="BY13" s="994"/>
      <c r="BZ13" s="993"/>
      <c r="CA13" s="993"/>
      <c r="CB13" s="993"/>
      <c r="CC13" s="993"/>
      <c r="CD13" s="994"/>
      <c r="CE13" s="993"/>
      <c r="CF13" s="993"/>
      <c r="CG13" s="993"/>
      <c r="CH13" s="993"/>
      <c r="CI13" s="994"/>
      <c r="CJ13" s="993"/>
      <c r="CK13" s="993"/>
      <c r="CL13" s="993"/>
      <c r="CM13" s="993"/>
      <c r="CN13" s="994"/>
      <c r="CO13" s="993"/>
      <c r="CP13" s="993"/>
      <c r="CQ13" s="993"/>
      <c r="CR13" s="993"/>
      <c r="CS13" s="994"/>
      <c r="CT13" s="993"/>
      <c r="CU13" s="993"/>
      <c r="CV13" s="993"/>
      <c r="CW13" s="993"/>
      <c r="CX13" s="994"/>
      <c r="CY13" s="996"/>
      <c r="CZ13" s="996"/>
      <c r="DA13" s="996"/>
      <c r="DB13" s="996"/>
      <c r="DC13" s="854"/>
      <c r="DD13" s="996"/>
      <c r="DE13" s="996"/>
      <c r="DF13" s="996"/>
      <c r="DG13" s="996"/>
      <c r="DH13" s="854"/>
      <c r="DI13" s="996"/>
      <c r="DJ13" s="996"/>
      <c r="DK13" s="996"/>
      <c r="DL13" s="996"/>
      <c r="DM13" s="854"/>
      <c r="DN13" s="996"/>
      <c r="DO13" s="996"/>
      <c r="DP13" s="996"/>
      <c r="DQ13" s="996"/>
      <c r="DR13" s="854"/>
      <c r="DS13" s="996"/>
      <c r="DT13" s="996"/>
      <c r="DU13" s="996"/>
      <c r="DV13" s="996"/>
      <c r="DW13" s="854"/>
      <c r="DX13" s="996"/>
      <c r="DY13" s="996"/>
      <c r="DZ13" s="996"/>
      <c r="EA13" s="996"/>
      <c r="EB13" s="854"/>
      <c r="EC13" s="996"/>
      <c r="ED13" s="996"/>
      <c r="EE13" s="996"/>
      <c r="EF13" s="996"/>
      <c r="EG13" s="854"/>
      <c r="EH13" s="996"/>
      <c r="EI13" s="996"/>
      <c r="EJ13" s="996"/>
      <c r="EK13" s="996"/>
      <c r="EL13" s="854"/>
      <c r="EM13" s="996"/>
      <c r="EN13" s="996"/>
      <c r="EO13" s="996"/>
      <c r="EP13" s="996"/>
      <c r="EQ13" s="854"/>
      <c r="ER13" s="996"/>
      <c r="ES13" s="996"/>
      <c r="ET13" s="996"/>
      <c r="EU13" s="996"/>
      <c r="EV13" s="854"/>
      <c r="EW13" s="996"/>
      <c r="EX13" s="996"/>
      <c r="EY13" s="996"/>
      <c r="EZ13" s="996"/>
      <c r="FA13" s="854"/>
      <c r="FB13" s="996"/>
      <c r="FC13" s="996"/>
      <c r="FD13" s="996"/>
      <c r="FE13" s="996"/>
      <c r="FF13" s="854"/>
      <c r="FG13" s="996"/>
      <c r="FH13" s="996"/>
      <c r="FI13" s="996"/>
      <c r="FJ13" s="996"/>
      <c r="FK13" s="854"/>
      <c r="FL13" s="996"/>
      <c r="FM13" s="996"/>
      <c r="FN13" s="996"/>
      <c r="FO13" s="996"/>
      <c r="FP13" s="854"/>
      <c r="FQ13" s="996"/>
      <c r="FR13" s="996"/>
      <c r="FS13" s="996"/>
      <c r="FT13" s="996"/>
      <c r="FU13" s="854"/>
      <c r="FV13" s="996"/>
      <c r="FW13" s="996"/>
      <c r="FX13" s="996"/>
      <c r="FY13" s="996"/>
      <c r="FZ13" s="854"/>
      <c r="GA13" s="996"/>
      <c r="GB13" s="996"/>
      <c r="GC13" s="996"/>
      <c r="GD13" s="996"/>
      <c r="GE13" s="854"/>
      <c r="GF13" s="996"/>
      <c r="GG13" s="996"/>
      <c r="GH13" s="996"/>
      <c r="GI13" s="996"/>
      <c r="GJ13" s="854"/>
    </row>
    <row r="14" spans="1:192" s="461" customFormat="1" ht="12.75" customHeight="1">
      <c r="A14" s="370"/>
      <c r="B14" s="621" t="s">
        <v>250</v>
      </c>
      <c r="C14" s="624"/>
      <c r="D14" s="624"/>
      <c r="E14" s="624"/>
      <c r="F14" s="624"/>
      <c r="G14" s="622"/>
      <c r="H14" s="624"/>
      <c r="I14" s="624"/>
      <c r="J14" s="624"/>
      <c r="K14" s="624"/>
      <c r="L14" s="622"/>
      <c r="M14" s="624"/>
      <c r="N14" s="624"/>
      <c r="O14" s="624"/>
      <c r="P14" s="624"/>
      <c r="Q14" s="622"/>
      <c r="R14" s="981"/>
      <c r="S14" s="981"/>
      <c r="T14" s="981"/>
      <c r="U14" s="981"/>
      <c r="V14" s="622"/>
      <c r="W14" s="981"/>
      <c r="X14" s="981"/>
      <c r="Y14" s="981"/>
      <c r="Z14" s="981"/>
      <c r="AA14" s="622"/>
      <c r="AB14" s="981"/>
      <c r="AC14" s="981"/>
      <c r="AD14" s="981"/>
      <c r="AE14" s="981"/>
      <c r="AF14" s="622"/>
      <c r="AG14" s="981"/>
      <c r="AH14" s="981"/>
      <c r="AI14" s="981"/>
      <c r="AJ14" s="981"/>
      <c r="AK14" s="622"/>
      <c r="AL14" s="624"/>
      <c r="AM14" s="624"/>
      <c r="AN14" s="624"/>
      <c r="AO14" s="624"/>
      <c r="AP14" s="622"/>
      <c r="AQ14" s="624"/>
      <c r="AR14" s="624"/>
      <c r="AS14" s="624"/>
      <c r="AT14" s="624"/>
      <c r="AU14" s="622"/>
      <c r="AV14" s="624"/>
      <c r="AW14" s="624"/>
      <c r="AX14" s="624"/>
      <c r="AY14" s="624"/>
      <c r="AZ14" s="622"/>
      <c r="BA14" s="624"/>
      <c r="BB14" s="624"/>
      <c r="BC14" s="624"/>
      <c r="BD14" s="624"/>
      <c r="BE14" s="622"/>
      <c r="BF14" s="624"/>
      <c r="BG14" s="624"/>
      <c r="BH14" s="624"/>
      <c r="BI14" s="624"/>
      <c r="BJ14" s="622"/>
      <c r="BK14" s="624"/>
      <c r="BL14" s="624"/>
      <c r="BM14" s="624"/>
      <c r="BN14" s="624"/>
      <c r="BO14" s="622"/>
      <c r="BP14" s="624"/>
      <c r="BQ14" s="624"/>
      <c r="BR14" s="624"/>
      <c r="BS14" s="624"/>
      <c r="BT14" s="622"/>
      <c r="BU14" s="624"/>
      <c r="BV14" s="624"/>
      <c r="BW14" s="624"/>
      <c r="BX14" s="624"/>
      <c r="BY14" s="622"/>
      <c r="BZ14" s="624"/>
      <c r="CA14" s="624"/>
      <c r="CB14" s="624"/>
      <c r="CC14" s="624"/>
      <c r="CD14" s="622"/>
      <c r="CE14" s="624"/>
      <c r="CF14" s="624"/>
      <c r="CG14" s="624"/>
      <c r="CH14" s="624"/>
      <c r="CI14" s="622"/>
      <c r="CJ14" s="624"/>
      <c r="CK14" s="624"/>
      <c r="CL14" s="624"/>
      <c r="CM14" s="624"/>
      <c r="CN14" s="622"/>
      <c r="CO14" s="624"/>
      <c r="CP14" s="624"/>
      <c r="CQ14" s="624"/>
      <c r="CR14" s="624"/>
      <c r="CS14" s="622"/>
      <c r="CT14" s="624"/>
      <c r="CU14" s="624"/>
      <c r="CV14" s="624"/>
      <c r="CW14" s="624"/>
      <c r="CX14" s="622"/>
      <c r="CY14" s="820"/>
      <c r="CZ14" s="820"/>
      <c r="DA14" s="820"/>
      <c r="DB14" s="820"/>
      <c r="DC14" s="830"/>
      <c r="DD14" s="820"/>
      <c r="DE14" s="820"/>
      <c r="DF14" s="820"/>
      <c r="DG14" s="820">
        <f>'Ticker0024 Cloud'!DG10</f>
      </c>
      <c r="DH14" s="830">
        <f>'Ticker0024 Cloud'!DH10</f>
      </c>
      <c r="DI14" s="820">
        <f>'Ticker0024 Cloud'!DI10</f>
      </c>
      <c r="DJ14" s="820">
        <f>'Ticker0024 Cloud'!DJ10</f>
      </c>
      <c r="DK14" s="820">
        <f>'Ticker0024 Cloud'!DK10</f>
      </c>
      <c r="DL14" s="820">
        <f>'Ticker0024 Cloud'!DL10</f>
      </c>
      <c r="DM14" s="830">
        <f>'Ticker0024 Cloud'!DM10</f>
      </c>
      <c r="DN14" s="820">
        <f>'Ticker0024 Cloud'!DN10</f>
      </c>
      <c r="DO14" s="820">
        <f>'Ticker0024 Cloud'!DO10</f>
      </c>
      <c r="DP14" s="820">
        <f>'Ticker0024 Cloud'!DP10</f>
      </c>
      <c r="DQ14" s="820">
        <f>'Ticker0024 Cloud'!DQ10</f>
      </c>
      <c r="DR14" s="830">
        <f>'Ticker0024 Cloud'!DR10</f>
      </c>
      <c r="DS14" s="820">
        <f>'Ticker0024 Cloud'!DS10</f>
      </c>
      <c r="DT14" s="820">
        <f>'Ticker0024 Cloud'!DT10</f>
      </c>
      <c r="DU14" s="820">
        <f>'Ticker0024 Cloud'!DU10</f>
      </c>
      <c r="DV14" s="820">
        <f>'Ticker0024 Cloud'!DV10</f>
      </c>
      <c r="DW14" s="830">
        <f>'Ticker0024 Cloud'!DW10</f>
      </c>
      <c r="DX14" s="820">
        <f>'Ticker0024 Cloud'!DX10</f>
      </c>
      <c r="DY14" s="820">
        <f>'Ticker0024 Cloud'!DY10</f>
      </c>
      <c r="DZ14" s="820">
        <f>'Ticker0024 Cloud'!DZ10</f>
      </c>
      <c r="EA14" s="820">
        <f>'Ticker0024 Cloud'!EA10</f>
      </c>
      <c r="EB14" s="830">
        <f>'Ticker0024 Cloud'!EB10</f>
      </c>
      <c r="EC14" s="820">
        <f>'Ticker0024 Cloud'!EC10</f>
      </c>
      <c r="ED14" s="820">
        <f>'Ticker0024 Cloud'!ED10</f>
      </c>
      <c r="EE14" s="820">
        <f>'Ticker0024 Cloud'!EE10</f>
      </c>
      <c r="EF14" s="820">
        <f>'Ticker0024 Cloud'!EF10</f>
      </c>
      <c r="EG14" s="830">
        <f>'Ticker0024 Cloud'!EG10</f>
      </c>
      <c r="EH14" s="820">
        <f>'Ticker0024 Cloud'!EH10</f>
      </c>
      <c r="EI14" s="820">
        <f>'Ticker0024 Cloud'!EI10</f>
      </c>
      <c r="EJ14" s="820">
        <f>'Ticker0024 Cloud'!EJ10</f>
      </c>
      <c r="EK14" s="820">
        <f>'Ticker0024 Cloud'!EK10</f>
      </c>
      <c r="EL14" s="830">
        <f>'Ticker0024 Cloud'!EL10</f>
      </c>
      <c r="EM14" s="820">
        <f>'Ticker0024 Cloud'!EM10</f>
      </c>
      <c r="EN14" s="820">
        <f>'Ticker0024 Cloud'!EN10</f>
      </c>
      <c r="EO14" s="820">
        <f>'Ticker0024 Cloud'!EO10</f>
      </c>
      <c r="EP14" s="820">
        <f>'Ticker0024 Cloud'!EP10</f>
      </c>
      <c r="EQ14" s="830">
        <f>'Ticker0024 Cloud'!EQ10</f>
      </c>
      <c r="ER14" s="820">
        <f>'Ticker0024 Cloud'!ER10</f>
      </c>
      <c r="ES14" s="820">
        <f>'Ticker0024 Cloud'!ES10</f>
      </c>
      <c r="ET14" s="820">
        <f>'Ticker0024 Cloud'!ET10</f>
      </c>
      <c r="EU14" s="820">
        <f>'Ticker0024 Cloud'!EU10</f>
      </c>
      <c r="EV14" s="830">
        <f>'Ticker0024 Cloud'!EV10</f>
      </c>
      <c r="EW14" s="820">
        <f>'Ticker0024 Cloud'!EW10</f>
      </c>
      <c r="EX14" s="820">
        <f>'Ticker0024 Cloud'!EX10</f>
      </c>
      <c r="EY14" s="820">
        <f>'Ticker0024 Cloud'!EY10</f>
      </c>
      <c r="EZ14" s="820">
        <f>'Ticker0024 Cloud'!EZ10</f>
      </c>
      <c r="FA14" s="830">
        <f>'Ticker0024 Cloud'!FA10</f>
      </c>
      <c r="FB14" s="820">
        <f>'Ticker0024 Cloud'!FB10</f>
      </c>
      <c r="FC14" s="820">
        <f>'Ticker0024 Cloud'!FC10</f>
      </c>
      <c r="FD14" s="820">
        <f>'Ticker0024 Cloud'!FD10</f>
      </c>
      <c r="FE14" s="820">
        <f>'Ticker0024 Cloud'!FE10</f>
      </c>
      <c r="FF14" s="830">
        <f>'Ticker0024 Cloud'!FF10</f>
      </c>
      <c r="FG14" s="820">
        <f>'Ticker0024 Cloud'!FG10</f>
      </c>
      <c r="FH14" s="820">
        <f>'Ticker0024 Cloud'!FH10</f>
      </c>
      <c r="FI14" s="820">
        <f>'Ticker0024 Cloud'!FI10</f>
      </c>
      <c r="FJ14" s="820">
        <f>'Ticker0024 Cloud'!FJ10</f>
      </c>
      <c r="FK14" s="830">
        <f>'Ticker0024 Cloud'!FK10</f>
      </c>
      <c r="FL14" s="820">
        <f>'Ticker0024 Cloud'!FL10</f>
      </c>
      <c r="FM14" s="820">
        <f>'Ticker0024 Cloud'!FM10</f>
      </c>
      <c r="FN14" s="820">
        <f>'Ticker0024 Cloud'!FN10</f>
      </c>
      <c r="FO14" s="820">
        <f>'Ticker0024 Cloud'!FO10</f>
      </c>
      <c r="FP14" s="830">
        <f>'Ticker0024 Cloud'!FP10</f>
      </c>
      <c r="FQ14" s="820">
        <f>'Ticker0024 Cloud'!FQ10</f>
      </c>
      <c r="FR14" s="820">
        <f>'Ticker0024 Cloud'!FR10</f>
      </c>
      <c r="FS14" s="820">
        <f>'Ticker0024 Cloud'!FS10</f>
      </c>
      <c r="FT14" s="820">
        <f>'Ticker0024 Cloud'!FT10</f>
      </c>
      <c r="FU14" s="830">
        <f>'Ticker0024 Cloud'!FU10</f>
      </c>
      <c r="FV14" s="820">
        <f>'Ticker0024 Cloud'!FV10</f>
      </c>
      <c r="FW14" s="820">
        <f>'Ticker0024 Cloud'!FW10</f>
      </c>
      <c r="FX14" s="820">
        <f>'Ticker0024 Cloud'!FX10</f>
      </c>
      <c r="FY14" s="820">
        <f>'Ticker0024 Cloud'!FY10</f>
      </c>
      <c r="FZ14" s="830">
        <f>'Ticker0024 Cloud'!FZ10</f>
      </c>
      <c r="GA14" s="820">
        <f>'Ticker0024 Cloud'!GA10</f>
      </c>
      <c r="GB14" s="820">
        <f>'Ticker0024 Cloud'!GB10</f>
      </c>
      <c r="GC14" s="820">
        <f>'Ticker0024 Cloud'!GC10</f>
      </c>
      <c r="GD14" s="820">
        <f>'Ticker0024 Cloud'!GD10</f>
      </c>
      <c r="GE14" s="830">
        <f>'Ticker0024 Cloud'!GE10</f>
      </c>
      <c r="GF14" s="820">
        <f>'Ticker0024 Cloud'!GF10</f>
      </c>
      <c r="GG14" s="820">
        <f>'Ticker0024 Cloud'!GG10</f>
      </c>
      <c r="GH14" s="820">
        <f>'Ticker0024 Cloud'!GH10</f>
      </c>
      <c r="GI14" s="820">
        <f>'Ticker0024 Cloud'!GI10</f>
      </c>
      <c r="GJ14" s="830">
        <f>'Ticker0024 Cloud'!GJ10</f>
      </c>
    </row>
    <row r="15" spans="1:192" s="479" customFormat="1" ht="12.75" customHeight="1">
      <c r="A15" s="81"/>
      <c r="B15" s="1734" t="s">
        <v>34</v>
      </c>
      <c r="C15" s="1735"/>
      <c r="D15" s="1735"/>
      <c r="E15" s="1735"/>
      <c r="F15" s="1735"/>
      <c r="G15" s="1736"/>
      <c r="H15" s="1735"/>
      <c r="I15" s="1735"/>
      <c r="J15" s="1735"/>
      <c r="K15" s="1735"/>
      <c r="L15" s="1736"/>
      <c r="M15" s="1735"/>
      <c r="N15" s="1735"/>
      <c r="O15" s="1735"/>
      <c r="P15" s="1735"/>
      <c r="Q15" s="1736"/>
      <c r="R15" s="1737"/>
      <c r="S15" s="1737"/>
      <c r="T15" s="1737"/>
      <c r="U15" s="1737"/>
      <c r="V15" s="1736"/>
      <c r="W15" s="1737"/>
      <c r="X15" s="1737"/>
      <c r="Y15" s="1737"/>
      <c r="Z15" s="1737"/>
      <c r="AA15" s="1736"/>
      <c r="AB15" s="1737"/>
      <c r="AC15" s="1737"/>
      <c r="AD15" s="1737"/>
      <c r="AE15" s="1737"/>
      <c r="AF15" s="1736"/>
      <c r="AG15" s="1737"/>
      <c r="AH15" s="1737"/>
      <c r="AI15" s="1737"/>
      <c r="AJ15" s="1737"/>
      <c r="AK15" s="1736"/>
      <c r="AL15" s="1735"/>
      <c r="AM15" s="1735"/>
      <c r="AN15" s="1735"/>
      <c r="AO15" s="1735"/>
      <c r="AP15" s="1736"/>
      <c r="AQ15" s="1735"/>
      <c r="AR15" s="1735"/>
      <c r="AS15" s="1735"/>
      <c r="AT15" s="1735"/>
      <c r="AU15" s="1736"/>
      <c r="AV15" s="1735"/>
      <c r="AW15" s="1735"/>
      <c r="AX15" s="1735"/>
      <c r="AY15" s="1735"/>
      <c r="AZ15" s="1736"/>
      <c r="BA15" s="1735"/>
      <c r="BB15" s="1735"/>
      <c r="BC15" s="1735"/>
      <c r="BD15" s="1735"/>
      <c r="BE15" s="1736"/>
      <c r="BF15" s="1735"/>
      <c r="BG15" s="1735"/>
      <c r="BH15" s="1735"/>
      <c r="BI15" s="1735"/>
      <c r="BJ15" s="1736"/>
      <c r="BK15" s="1735"/>
      <c r="BL15" s="1735"/>
      <c r="BM15" s="1735"/>
      <c r="BN15" s="1735"/>
      <c r="BO15" s="1736"/>
      <c r="BP15" s="1735"/>
      <c r="BQ15" s="1735"/>
      <c r="BR15" s="1735"/>
      <c r="BS15" s="1735"/>
      <c r="BT15" s="1736"/>
      <c r="BU15" s="1735"/>
      <c r="BV15" s="1735"/>
      <c r="BW15" s="1735"/>
      <c r="BX15" s="1735"/>
      <c r="BY15" s="1736"/>
      <c r="BZ15" s="1735"/>
      <c r="CA15" s="1735"/>
      <c r="CB15" s="1735"/>
      <c r="CC15" s="1735"/>
      <c r="CD15" s="1736"/>
      <c r="CE15" s="1735"/>
      <c r="CF15" s="1735"/>
      <c r="CG15" s="1735"/>
      <c r="CH15" s="1735"/>
      <c r="CI15" s="1736"/>
      <c r="CJ15" s="1735"/>
      <c r="CK15" s="1735"/>
      <c r="CL15" s="1735"/>
      <c r="CM15" s="1735"/>
      <c r="CN15" s="1736"/>
      <c r="CO15" s="1735"/>
      <c r="CP15" s="1735"/>
      <c r="CQ15" s="1735"/>
      <c r="CR15" s="1735"/>
      <c r="CS15" s="1736"/>
      <c r="CT15" s="1735"/>
      <c r="CU15" s="1735"/>
      <c r="CV15" s="1735"/>
      <c r="CW15" s="1735"/>
      <c r="CX15" s="1736"/>
      <c r="CY15" s="1738"/>
      <c r="CZ15" s="1738"/>
      <c r="DA15" s="1738"/>
      <c r="DB15" s="1738"/>
      <c r="DC15" s="1739"/>
      <c r="DD15" s="267" t="str">
        <f t="shared" ref="DD15:EI15" si="20">IFERROR(DD14/CY14-1,"")</f>
      </c>
      <c r="DE15" s="267" t="str">
        <f t="shared" si="20"/>
      </c>
      <c r="DF15" s="267" t="str">
        <f t="shared" si="20"/>
      </c>
      <c r="DG15" s="267" t="str">
        <f t="shared" si="20"/>
      </c>
      <c r="DH15" s="1740" t="str">
        <f t="shared" si="20"/>
      </c>
      <c r="DI15" s="267" t="str">
        <f t="shared" si="20"/>
      </c>
      <c r="DJ15" s="267" t="str">
        <f t="shared" si="20"/>
      </c>
      <c r="DK15" s="267" t="str">
        <f t="shared" si="20"/>
      </c>
      <c r="DL15" s="267">
        <f t="shared" si="20"/>
      </c>
      <c r="DM15" s="1740" t="str">
        <f t="shared" si="20"/>
      </c>
      <c r="DN15" s="267">
        <f t="shared" si="20"/>
      </c>
      <c r="DO15" s="267">
        <f t="shared" si="20"/>
      </c>
      <c r="DP15" s="267">
        <f t="shared" si="20"/>
      </c>
      <c r="DQ15" s="267">
        <f t="shared" si="20"/>
      </c>
      <c r="DR15" s="1740">
        <f t="shared" si="20"/>
      </c>
      <c r="DS15" s="267">
        <f t="shared" si="20"/>
      </c>
      <c r="DT15" s="267">
        <f t="shared" si="20"/>
      </c>
      <c r="DU15" s="267">
        <f t="shared" si="20"/>
      </c>
      <c r="DV15" s="267">
        <f t="shared" si="20"/>
      </c>
      <c r="DW15" s="1740">
        <f t="shared" si="20"/>
      </c>
      <c r="DX15" s="267">
        <f t="shared" si="20"/>
      </c>
      <c r="DY15" s="267">
        <f t="shared" si="20"/>
      </c>
      <c r="DZ15" s="267">
        <f t="shared" si="20"/>
      </c>
      <c r="EA15" s="267">
        <f t="shared" si="20"/>
      </c>
      <c r="EB15" s="1740">
        <f t="shared" si="20"/>
      </c>
      <c r="EC15" s="267">
        <f t="shared" si="20"/>
      </c>
      <c r="ED15" s="267">
        <f t="shared" si="20"/>
      </c>
      <c r="EE15" s="267">
        <f t="shared" si="20"/>
      </c>
      <c r="EF15" s="267">
        <f t="shared" si="20"/>
      </c>
      <c r="EG15" s="1740">
        <f t="shared" si="20"/>
      </c>
      <c r="EH15" s="267">
        <f t="shared" si="20"/>
      </c>
      <c r="EI15" s="267">
        <f t="shared" si="20"/>
      </c>
      <c r="EJ15" s="267">
        <f t="shared" ref="EJ15:FO15" si="21">IFERROR(EJ14/EE14-1,"")</f>
      </c>
      <c r="EK15" s="267">
        <f t="shared" si="21"/>
      </c>
      <c r="EL15" s="1740">
        <f t="shared" si="21"/>
      </c>
      <c r="EM15" s="267">
        <f t="shared" si="21"/>
      </c>
      <c r="EN15" s="267">
        <f t="shared" si="21"/>
      </c>
      <c r="EO15" s="267">
        <f t="shared" si="21"/>
      </c>
      <c r="EP15" s="267">
        <f t="shared" si="21"/>
      </c>
      <c r="EQ15" s="1740">
        <f t="shared" si="21"/>
      </c>
      <c r="ER15" s="267">
        <f t="shared" ref="ER15" si="22">IFERROR(ER14/EM14-1,"")</f>
      </c>
      <c r="ES15" s="267">
        <f t="shared" ref="ES15" si="23">IFERROR(ES14/EN14-1,"")</f>
      </c>
      <c r="ET15" s="267">
        <f t="shared" ref="ET15" si="24">IFERROR(ET14/EO14-1,"")</f>
      </c>
      <c r="EU15" s="267">
        <f t="shared" ref="EU15" si="25">IFERROR(EU14/EP14-1,"")</f>
      </c>
      <c r="EV15" s="1740">
        <f t="shared" ref="EV15" si="26">IFERROR(EV14/EQ14-1,"")</f>
      </c>
      <c r="EW15" s="267">
        <f t="shared" si="21"/>
      </c>
      <c r="EX15" s="267">
        <f t="shared" si="21"/>
      </c>
      <c r="EY15" s="267">
        <f t="shared" si="21"/>
      </c>
      <c r="EZ15" s="267">
        <f t="shared" ref="EZ15" si="27">IFERROR(EZ14/EU14-1,"")</f>
      </c>
      <c r="FA15" s="1740">
        <f t="shared" ref="FA15" si="28">IFERROR(FA14/EV14-1,"")</f>
      </c>
      <c r="FB15" s="267">
        <f t="shared" si="21"/>
      </c>
      <c r="FC15" s="267">
        <f t="shared" si="21"/>
      </c>
      <c r="FD15" s="267">
        <f t="shared" si="21"/>
      </c>
      <c r="FE15" s="267">
        <f t="shared" si="21"/>
      </c>
      <c r="FF15" s="1740">
        <f t="shared" si="21"/>
      </c>
      <c r="FG15" s="267">
        <f t="shared" si="21"/>
      </c>
      <c r="FH15" s="267">
        <f t="shared" si="21"/>
      </c>
      <c r="FI15" s="267">
        <f t="shared" si="21"/>
      </c>
      <c r="FJ15" s="267">
        <f t="shared" si="21"/>
      </c>
      <c r="FK15" s="1740">
        <f t="shared" si="21"/>
      </c>
      <c r="FL15" s="267">
        <f t="shared" si="21"/>
      </c>
      <c r="FM15" s="267">
        <f t="shared" si="21"/>
      </c>
      <c r="FN15" s="267">
        <f t="shared" si="21"/>
      </c>
      <c r="FO15" s="267">
        <f t="shared" si="21"/>
      </c>
      <c r="FP15" s="1740">
        <f t="shared" ref="FP15:GE15" si="29">IFERROR(FP14/FK14-1,"")</f>
      </c>
      <c r="FQ15" s="267">
        <f t="shared" si="29"/>
      </c>
      <c r="FR15" s="267">
        <f t="shared" si="29"/>
      </c>
      <c r="FS15" s="267">
        <f t="shared" si="29"/>
      </c>
      <c r="FT15" s="267">
        <f t="shared" si="29"/>
      </c>
      <c r="FU15" s="1740">
        <f t="shared" si="29"/>
      </c>
      <c r="FV15" s="267">
        <f t="shared" si="29"/>
      </c>
      <c r="FW15" s="267">
        <f t="shared" si="29"/>
      </c>
      <c r="FX15" s="267">
        <f t="shared" si="29"/>
      </c>
      <c r="FY15" s="267">
        <f t="shared" si="29"/>
      </c>
      <c r="FZ15" s="1740">
        <f t="shared" si="29"/>
      </c>
      <c r="GA15" s="267">
        <f t="shared" si="29"/>
      </c>
      <c r="GB15" s="267">
        <f t="shared" si="29"/>
      </c>
      <c r="GC15" s="267">
        <f t="shared" si="29"/>
      </c>
      <c r="GD15" s="267">
        <f t="shared" si="29"/>
      </c>
      <c r="GE15" s="1740">
        <f t="shared" si="29"/>
      </c>
      <c r="GF15" s="267">
        <f t="shared" ref="GF15" si="30">IFERROR(GF14/GA14-1,"")</f>
      </c>
      <c r="GG15" s="267">
        <f t="shared" ref="GG15" si="31">IFERROR(GG14/GB14-1,"")</f>
      </c>
      <c r="GH15" s="267">
        <f t="shared" ref="GH15" si="32">IFERROR(GH14/GC14-1,"")</f>
      </c>
      <c r="GI15" s="267">
        <f t="shared" ref="GI15" si="33">IFERROR(GI14/GD14-1,"")</f>
      </c>
      <c r="GJ15" s="1740">
        <f t="shared" ref="GJ15" si="34">IFERROR(GJ14/GE14-1,"")</f>
      </c>
    </row>
    <row r="16" spans="1:192" s="479" customFormat="1" ht="12.75" customHeight="1">
      <c r="A16" s="81"/>
      <c r="B16" s="1734" t="s">
        <v>36</v>
      </c>
      <c r="C16" s="1735"/>
      <c r="D16" s="1735"/>
      <c r="E16" s="1735"/>
      <c r="F16" s="1735"/>
      <c r="G16" s="1736"/>
      <c r="H16" s="1735"/>
      <c r="I16" s="1735"/>
      <c r="J16" s="1735"/>
      <c r="K16" s="1735"/>
      <c r="L16" s="1736"/>
      <c r="M16" s="1735"/>
      <c r="N16" s="1735"/>
      <c r="O16" s="1735"/>
      <c r="P16" s="1735"/>
      <c r="Q16" s="1736"/>
      <c r="R16" s="1737"/>
      <c r="S16" s="1737"/>
      <c r="T16" s="1737"/>
      <c r="U16" s="1737"/>
      <c r="V16" s="1736"/>
      <c r="W16" s="1737"/>
      <c r="X16" s="1737"/>
      <c r="Y16" s="1737"/>
      <c r="Z16" s="1737"/>
      <c r="AA16" s="1736"/>
      <c r="AB16" s="1737"/>
      <c r="AC16" s="1737"/>
      <c r="AD16" s="1737"/>
      <c r="AE16" s="1737"/>
      <c r="AF16" s="1736"/>
      <c r="AG16" s="1737"/>
      <c r="AH16" s="1737"/>
      <c r="AI16" s="1737"/>
      <c r="AJ16" s="1737"/>
      <c r="AK16" s="1736"/>
      <c r="AL16" s="1735"/>
      <c r="AM16" s="1735"/>
      <c r="AN16" s="1735"/>
      <c r="AO16" s="1735"/>
      <c r="AP16" s="1736"/>
      <c r="AQ16" s="1735"/>
      <c r="AR16" s="1735"/>
      <c r="AS16" s="1735"/>
      <c r="AT16" s="1735"/>
      <c r="AU16" s="1736"/>
      <c r="AV16" s="1735"/>
      <c r="AW16" s="1735"/>
      <c r="AX16" s="1735"/>
      <c r="AY16" s="1735"/>
      <c r="AZ16" s="1736"/>
      <c r="BA16" s="1735"/>
      <c r="BB16" s="1735"/>
      <c r="BC16" s="1735"/>
      <c r="BD16" s="1735"/>
      <c r="BE16" s="1736"/>
      <c r="BF16" s="1735"/>
      <c r="BG16" s="1735"/>
      <c r="BH16" s="1735"/>
      <c r="BI16" s="1735"/>
      <c r="BJ16" s="1736"/>
      <c r="BK16" s="1735"/>
      <c r="BL16" s="1735"/>
      <c r="BM16" s="1735"/>
      <c r="BN16" s="1735"/>
      <c r="BO16" s="1736"/>
      <c r="BP16" s="1735"/>
      <c r="BQ16" s="1735"/>
      <c r="BR16" s="1735"/>
      <c r="BS16" s="1735"/>
      <c r="BT16" s="1736"/>
      <c r="BU16" s="1735"/>
      <c r="BV16" s="1735"/>
      <c r="BW16" s="1735"/>
      <c r="BX16" s="1735"/>
      <c r="BY16" s="1736"/>
      <c r="BZ16" s="1735"/>
      <c r="CA16" s="1735"/>
      <c r="CB16" s="1735"/>
      <c r="CC16" s="1735"/>
      <c r="CD16" s="1736"/>
      <c r="CE16" s="1735"/>
      <c r="CF16" s="1735"/>
      <c r="CG16" s="1735"/>
      <c r="CH16" s="1735"/>
      <c r="CI16" s="1736"/>
      <c r="CJ16" s="1735"/>
      <c r="CK16" s="1735"/>
      <c r="CL16" s="1735"/>
      <c r="CM16" s="1735"/>
      <c r="CN16" s="1736"/>
      <c r="CO16" s="1735"/>
      <c r="CP16" s="1735"/>
      <c r="CQ16" s="1735"/>
      <c r="CR16" s="1735"/>
      <c r="CS16" s="1736"/>
      <c r="CT16" s="1735"/>
      <c r="CU16" s="1735"/>
      <c r="CV16" s="1735"/>
      <c r="CW16" s="1735"/>
      <c r="CX16" s="1736"/>
      <c r="CY16" s="1738"/>
      <c r="CZ16" s="1741" t="str">
        <f>IFERROR(CZ14/CY14-1,"")</f>
      </c>
      <c r="DA16" s="1741" t="str">
        <f>IFERROR(DA14/CZ14-1,"")</f>
      </c>
      <c r="DB16" s="1741" t="str">
        <f>IFERROR(DB14/DA14-1,"")</f>
      </c>
      <c r="DC16" s="1742"/>
      <c r="DD16" s="267" t="str">
        <f>IFERROR(DD14/DB14-1,"")</f>
      </c>
      <c r="DE16" s="1741" t="str">
        <f>IFERROR(DE14/DD14-1,"")</f>
      </c>
      <c r="DF16" s="1741" t="str">
        <f>IFERROR(DF14/DE14-1,"")</f>
      </c>
      <c r="DG16" s="1741" t="str">
        <f>IFERROR(DG14/DF14-1,"")</f>
      </c>
      <c r="DH16" s="1739"/>
      <c r="DI16" s="267">
        <f>IFERROR(DI14/DG14-1,"")</f>
      </c>
      <c r="DJ16" s="1741">
        <f>IFERROR(DJ14/DI14-1,"")</f>
      </c>
      <c r="DK16" s="1741">
        <f>IFERROR(DK14/DJ14-1,"")</f>
      </c>
      <c r="DL16" s="1741">
        <f>IFERROR(DL14/DK14-1,"")</f>
      </c>
      <c r="DM16" s="1739"/>
      <c r="DN16" s="267">
        <f>IFERROR(DN14/DL14-1,"")</f>
      </c>
      <c r="DO16" s="1741">
        <f>IFERROR(DO14/DN14-1,"")</f>
      </c>
      <c r="DP16" s="1741">
        <f>IFERROR(DP14/DO14-1,"")</f>
      </c>
      <c r="DQ16" s="1741">
        <f>IFERROR(DQ14/DP14-1,"")</f>
      </c>
      <c r="DR16" s="1739"/>
      <c r="DS16" s="267">
        <f>IFERROR(DS14/DQ14-1,"")</f>
      </c>
      <c r="DT16" s="1741">
        <f>IFERROR(DT14/DS14-1,"")</f>
      </c>
      <c r="DU16" s="1741">
        <f>IFERROR(DU14/DT14-1,"")</f>
      </c>
      <c r="DV16" s="1741">
        <f>IFERROR(DV14/DU14-1,"")</f>
      </c>
      <c r="DW16" s="1739"/>
      <c r="DX16" s="267">
        <f>IFERROR(DX14/DV14-1,"")</f>
      </c>
      <c r="DY16" s="1741">
        <f>IFERROR(DY14/DX14-1,"")</f>
      </c>
      <c r="DZ16" s="1741">
        <f>IFERROR(DZ14/DY14-1,"")</f>
      </c>
      <c r="EA16" s="1741">
        <f>IFERROR(EA14/DZ14-1,"")</f>
      </c>
      <c r="EB16" s="1739"/>
      <c r="EC16" s="267">
        <f>IFERROR(EC14/EA14-1,"")</f>
      </c>
      <c r="ED16" s="1741">
        <f>IFERROR(ED14/EC14-1,"")</f>
      </c>
      <c r="EE16" s="1741">
        <f>IFERROR(EE14/ED14-1,"")</f>
      </c>
      <c r="EF16" s="1741">
        <f>IFERROR(EF14/EE14-1,"")</f>
      </c>
      <c r="EG16" s="1739"/>
      <c r="EH16" s="267">
        <f>IFERROR(EH14/EF14-1,"")</f>
      </c>
      <c r="EI16" s="1741">
        <f>IFERROR(EI14/EH14-1,"")</f>
      </c>
      <c r="EJ16" s="1741">
        <f>IFERROR(EJ14/EI14-1,"")</f>
      </c>
      <c r="EK16" s="1741">
        <f>IFERROR(EK14/EJ14-1,"")</f>
      </c>
      <c r="EL16" s="1739"/>
      <c r="EM16" s="267">
        <f>IFERROR(EM14/EK14-1,"")</f>
      </c>
      <c r="EN16" s="1741">
        <f>IFERROR(EN14/EM14-1,"")</f>
      </c>
      <c r="EO16" s="1741">
        <f>IFERROR(EO14/EN14-1,"")</f>
      </c>
      <c r="EP16" s="1741">
        <f>IFERROR(EP14/EO14-1,"")</f>
      </c>
      <c r="EQ16" s="1739"/>
      <c r="ER16" s="267">
        <f>IFERROR(ER14/EP14-1,"")</f>
      </c>
      <c r="ES16" s="1741">
        <f>IFERROR(ES14/ER14-1,"")</f>
      </c>
      <c r="ET16" s="1741">
        <f>IFERROR(ET14/ES14-1,"")</f>
      </c>
      <c r="EU16" s="1741">
        <f>IFERROR(EU14/ET14-1,"")</f>
      </c>
      <c r="EV16" s="1739"/>
      <c r="EW16" s="267">
        <f>IFERROR(EW14/EU14-1,"")</f>
      </c>
      <c r="EX16" s="1741">
        <f>IFERROR(EX14/EW14-1,"")</f>
      </c>
      <c r="EY16" s="1741">
        <f>IFERROR(EY14/EX14-1,"")</f>
      </c>
      <c r="EZ16" s="1741">
        <f>IFERROR(EZ14/EY14-1,"")</f>
      </c>
      <c r="FA16" s="1739"/>
      <c r="FB16" s="267">
        <f>IFERROR(FB14/EZ14-1,"")</f>
      </c>
      <c r="FC16" s="1741">
        <f>IFERROR(FC14/FB14-1,"")</f>
      </c>
      <c r="FD16" s="1741">
        <f>IFERROR(FD14/FC14-1,"")</f>
      </c>
      <c r="FE16" s="1741">
        <f>IFERROR(FE14/FD14-1,"")</f>
      </c>
      <c r="FF16" s="1739"/>
      <c r="FG16" s="267">
        <f>IFERROR(FG14/FE14-1,"")</f>
      </c>
      <c r="FH16" s="1741">
        <f>IFERROR(FH14/FG14-1,"")</f>
      </c>
      <c r="FI16" s="1741">
        <f>IFERROR(FI14/FH14-1,"")</f>
      </c>
      <c r="FJ16" s="1741">
        <f>IFERROR(FJ14/FI14-1,"")</f>
      </c>
      <c r="FK16" s="1739"/>
      <c r="FL16" s="267">
        <f>IFERROR(FL14/FJ14-1,"")</f>
      </c>
      <c r="FM16" s="1741">
        <f>IFERROR(FM14/FL14-1,"")</f>
      </c>
      <c r="FN16" s="1741">
        <f>IFERROR(FN14/FM14-1,"")</f>
      </c>
      <c r="FO16" s="1741">
        <f>IFERROR(FO14/FN14-1,"")</f>
      </c>
      <c r="FP16" s="1739"/>
      <c r="FQ16" s="267">
        <f>IFERROR(FQ14/FO14-1,"")</f>
      </c>
      <c r="FR16" s="1741">
        <f>IFERROR(FR14/FQ14-1,"")</f>
      </c>
      <c r="FS16" s="1741">
        <f>IFERROR(FS14/FR14-1,"")</f>
      </c>
      <c r="FT16" s="1741">
        <f>IFERROR(FT14/FS14-1,"")</f>
      </c>
      <c r="FU16" s="1739"/>
      <c r="FV16" s="267">
        <f>IFERROR(FV14/FT14-1,"")</f>
      </c>
      <c r="FW16" s="1741">
        <f>IFERROR(FW14/FV14-1,"")</f>
      </c>
      <c r="FX16" s="1741">
        <f>IFERROR(FX14/FW14-1,"")</f>
      </c>
      <c r="FY16" s="1741">
        <f>IFERROR(FY14/FX14-1,"")</f>
      </c>
      <c r="FZ16" s="1739"/>
      <c r="GA16" s="267">
        <f>IFERROR(GA14/FY14-1,"")</f>
      </c>
      <c r="GB16" s="1741">
        <f>IFERROR(GB14/GA14-1,"")</f>
      </c>
      <c r="GC16" s="1741">
        <f>IFERROR(GC14/GB14-1,"")</f>
      </c>
      <c r="GD16" s="1741">
        <f>IFERROR(GD14/GC14-1,"")</f>
      </c>
      <c r="GE16" s="1739"/>
      <c r="GF16" s="267">
        <f>IFERROR(GF14/GD14-1,"")</f>
      </c>
      <c r="GG16" s="1741">
        <f>IFERROR(GG14/GF14-1,"")</f>
      </c>
      <c r="GH16" s="1741">
        <f>IFERROR(GH14/GG14-1,"")</f>
      </c>
      <c r="GI16" s="1741">
        <f>IFERROR(GI14/GH14-1,"")</f>
      </c>
      <c r="GJ16" s="1739"/>
    </row>
    <row r="17" spans="1:192" s="479" customFormat="1" ht="12.75" customHeight="1">
      <c r="A17" s="81"/>
      <c r="B17" s="1734" t="s">
        <v>380</v>
      </c>
      <c r="C17" s="1735"/>
      <c r="D17" s="1735"/>
      <c r="E17" s="1735"/>
      <c r="F17" s="1735"/>
      <c r="G17" s="1736"/>
      <c r="H17" s="1735"/>
      <c r="I17" s="1735"/>
      <c r="J17" s="1735"/>
      <c r="K17" s="1735"/>
      <c r="L17" s="1736"/>
      <c r="M17" s="1735"/>
      <c r="N17" s="1735"/>
      <c r="O17" s="1735"/>
      <c r="P17" s="1735"/>
      <c r="Q17" s="1736"/>
      <c r="R17" s="1737"/>
      <c r="S17" s="1737"/>
      <c r="T17" s="1737"/>
      <c r="U17" s="1737"/>
      <c r="V17" s="1736"/>
      <c r="W17" s="1737"/>
      <c r="X17" s="1737"/>
      <c r="Y17" s="1737"/>
      <c r="Z17" s="1737"/>
      <c r="AA17" s="1736"/>
      <c r="AB17" s="1737"/>
      <c r="AC17" s="1737"/>
      <c r="AD17" s="1737"/>
      <c r="AE17" s="1737"/>
      <c r="AF17" s="1736"/>
      <c r="AG17" s="1737"/>
      <c r="AH17" s="1737"/>
      <c r="AI17" s="1737"/>
      <c r="AJ17" s="1737"/>
      <c r="AK17" s="1736"/>
      <c r="AL17" s="1735"/>
      <c r="AM17" s="1735"/>
      <c r="AN17" s="1735"/>
      <c r="AO17" s="1735"/>
      <c r="AP17" s="1736"/>
      <c r="AQ17" s="1735"/>
      <c r="AR17" s="1735"/>
      <c r="AS17" s="1735"/>
      <c r="AT17" s="1735"/>
      <c r="AU17" s="1736"/>
      <c r="AV17" s="1735"/>
      <c r="AW17" s="1735"/>
      <c r="AX17" s="1735"/>
      <c r="AY17" s="1735"/>
      <c r="AZ17" s="1736"/>
      <c r="BA17" s="1735"/>
      <c r="BB17" s="1735"/>
      <c r="BC17" s="1735"/>
      <c r="BD17" s="1735"/>
      <c r="BE17" s="1736"/>
      <c r="BF17" s="1735"/>
      <c r="BG17" s="1735"/>
      <c r="BH17" s="1735"/>
      <c r="BI17" s="1735"/>
      <c r="BJ17" s="1736"/>
      <c r="BK17" s="1735"/>
      <c r="BL17" s="1735"/>
      <c r="BM17" s="1735"/>
      <c r="BN17" s="1735"/>
      <c r="BO17" s="1736"/>
      <c r="BP17" s="1735"/>
      <c r="BQ17" s="1735"/>
      <c r="BR17" s="1735"/>
      <c r="BS17" s="1735"/>
      <c r="BT17" s="1736"/>
      <c r="BU17" s="1735"/>
      <c r="BV17" s="1735"/>
      <c r="BW17" s="1735"/>
      <c r="BX17" s="1735"/>
      <c r="BY17" s="1736"/>
      <c r="BZ17" s="1735"/>
      <c r="CA17" s="1735"/>
      <c r="CB17" s="1735"/>
      <c r="CC17" s="1735"/>
      <c r="CD17" s="1736"/>
      <c r="CE17" s="1735"/>
      <c r="CF17" s="1735"/>
      <c r="CG17" s="1735"/>
      <c r="CH17" s="1735"/>
      <c r="CI17" s="1736"/>
      <c r="CJ17" s="1735"/>
      <c r="CK17" s="1735"/>
      <c r="CL17" s="1735"/>
      <c r="CM17" s="1735"/>
      <c r="CN17" s="1736"/>
      <c r="CO17" s="1735"/>
      <c r="CP17" s="1735"/>
      <c r="CQ17" s="1735"/>
      <c r="CR17" s="1735"/>
      <c r="CS17" s="1736"/>
      <c r="CT17" s="1735"/>
      <c r="CU17" s="1735"/>
      <c r="CV17" s="1735"/>
      <c r="CW17" s="1735"/>
      <c r="CX17" s="1736"/>
      <c r="CY17" s="267">
        <f t="shared" ref="CY17:ED17" si="35">CY14/CY$10</f>
      </c>
      <c r="CZ17" s="267">
        <f t="shared" si="35"/>
      </c>
      <c r="DA17" s="267">
        <f t="shared" si="35"/>
      </c>
      <c r="DB17" s="267">
        <f t="shared" si="35"/>
      </c>
      <c r="DC17" s="1740">
        <f t="shared" si="35"/>
      </c>
      <c r="DD17" s="267">
        <f t="shared" si="35"/>
      </c>
      <c r="DE17" s="267">
        <f t="shared" si="35"/>
      </c>
      <c r="DF17" s="267">
        <f t="shared" si="35"/>
      </c>
      <c r="DG17" s="267">
        <f t="shared" si="35"/>
      </c>
      <c r="DH17" s="1740">
        <f t="shared" si="35"/>
      </c>
      <c r="DI17" s="267">
        <f t="shared" si="35"/>
      </c>
      <c r="DJ17" s="267">
        <f t="shared" si="35"/>
      </c>
      <c r="DK17" s="267">
        <f t="shared" si="35"/>
      </c>
      <c r="DL17" s="267">
        <f t="shared" si="35"/>
      </c>
      <c r="DM17" s="1740">
        <f t="shared" si="35"/>
      </c>
      <c r="DN17" s="267">
        <f t="shared" si="35"/>
      </c>
      <c r="DO17" s="267">
        <f t="shared" si="35"/>
      </c>
      <c r="DP17" s="267">
        <f t="shared" si="35"/>
      </c>
      <c r="DQ17" s="267">
        <f t="shared" si="35"/>
      </c>
      <c r="DR17" s="1740">
        <f t="shared" si="35"/>
      </c>
      <c r="DS17" s="267">
        <f t="shared" si="35"/>
      </c>
      <c r="DT17" s="267">
        <f t="shared" si="35"/>
      </c>
      <c r="DU17" s="267">
        <f t="shared" si="35"/>
      </c>
      <c r="DV17" s="267">
        <f t="shared" si="35"/>
      </c>
      <c r="DW17" s="1740">
        <f t="shared" si="35"/>
      </c>
      <c r="DX17" s="267">
        <f t="shared" si="35"/>
      </c>
      <c r="DY17" s="267">
        <f t="shared" si="35"/>
      </c>
      <c r="DZ17" s="267">
        <f t="shared" si="35"/>
      </c>
      <c r="EA17" s="267">
        <f t="shared" si="35"/>
      </c>
      <c r="EB17" s="1740">
        <f t="shared" si="35"/>
      </c>
      <c r="EC17" s="267">
        <f t="shared" si="35"/>
      </c>
      <c r="ED17" s="267">
        <f t="shared" si="35"/>
      </c>
      <c r="EE17" s="267">
        <f t="shared" ref="EE17:FJ17" si="36">EE14/EE$10</f>
      </c>
      <c r="EF17" s="267">
        <f t="shared" si="36"/>
      </c>
      <c r="EG17" s="1740">
        <f t="shared" si="36"/>
      </c>
      <c r="EH17" s="267">
        <f t="shared" si="36"/>
      </c>
      <c r="EI17" s="267">
        <f t="shared" si="36"/>
      </c>
      <c r="EJ17" s="267">
        <f t="shared" si="36"/>
      </c>
      <c r="EK17" s="267">
        <f t="shared" si="36"/>
      </c>
      <c r="EL17" s="1740">
        <f t="shared" si="36"/>
      </c>
      <c r="EM17" s="267">
        <f t="shared" si="36"/>
      </c>
      <c r="EN17" s="267">
        <f t="shared" si="36"/>
      </c>
      <c r="EO17" s="267">
        <f t="shared" si="36"/>
      </c>
      <c r="EP17" s="267">
        <f t="shared" si="36"/>
      </c>
      <c r="EQ17" s="1740">
        <f t="shared" si="36"/>
      </c>
      <c r="ER17" s="267">
        <f t="shared" si="36"/>
      </c>
      <c r="ES17" s="267">
        <f t="shared" si="36"/>
      </c>
      <c r="ET17" s="267">
        <f t="shared" si="36"/>
      </c>
      <c r="EU17" s="267">
        <f t="shared" si="36"/>
      </c>
      <c r="EV17" s="1740">
        <f t="shared" si="36"/>
      </c>
      <c r="EW17" s="267">
        <f t="shared" si="36"/>
      </c>
      <c r="EX17" s="267">
        <f t="shared" si="36"/>
      </c>
      <c r="EY17" s="267">
        <f t="shared" ref="EY17:FA17" si="37">EY14/EY$10</f>
      </c>
      <c r="EZ17" s="267">
        <f t="shared" si="37"/>
      </c>
      <c r="FA17" s="1740">
        <f t="shared" si="37"/>
      </c>
      <c r="FB17" s="267">
        <f t="shared" si="36"/>
      </c>
      <c r="FC17" s="267">
        <f t="shared" si="36"/>
      </c>
      <c r="FD17" s="267">
        <f t="shared" si="36"/>
      </c>
      <c r="FE17" s="267">
        <f t="shared" si="36"/>
      </c>
      <c r="FF17" s="1740">
        <f t="shared" si="36"/>
      </c>
      <c r="FG17" s="267">
        <f t="shared" si="36"/>
      </c>
      <c r="FH17" s="267">
        <f t="shared" si="36"/>
      </c>
      <c r="FI17" s="267">
        <f t="shared" si="36"/>
      </c>
      <c r="FJ17" s="267">
        <f t="shared" si="36"/>
      </c>
      <c r="FK17" s="1740">
        <f t="shared" ref="FK17:GE17" si="38">FK14/FK$10</f>
      </c>
      <c r="FL17" s="267">
        <f t="shared" si="38"/>
      </c>
      <c r="FM17" s="267">
        <f t="shared" si="38"/>
      </c>
      <c r="FN17" s="267">
        <f t="shared" si="38"/>
      </c>
      <c r="FO17" s="267">
        <f t="shared" si="38"/>
      </c>
      <c r="FP17" s="1740">
        <f t="shared" si="38"/>
      </c>
      <c r="FQ17" s="267">
        <f t="shared" si="38"/>
      </c>
      <c r="FR17" s="267">
        <f t="shared" si="38"/>
      </c>
      <c r="FS17" s="267">
        <f t="shared" si="38"/>
      </c>
      <c r="FT17" s="267">
        <f t="shared" si="38"/>
      </c>
      <c r="FU17" s="1740">
        <f t="shared" si="38"/>
      </c>
      <c r="FV17" s="267">
        <f t="shared" si="38"/>
      </c>
      <c r="FW17" s="267">
        <f t="shared" si="38"/>
      </c>
      <c r="FX17" s="267">
        <f t="shared" si="38"/>
      </c>
      <c r="FY17" s="267">
        <f t="shared" si="38"/>
      </c>
      <c r="FZ17" s="1740">
        <f t="shared" si="38"/>
      </c>
      <c r="GA17" s="267">
        <f t="shared" si="38"/>
      </c>
      <c r="GB17" s="267">
        <f t="shared" si="38"/>
      </c>
      <c r="GC17" s="267">
        <f t="shared" si="38"/>
      </c>
      <c r="GD17" s="267">
        <f t="shared" si="38"/>
      </c>
      <c r="GE17" s="1740">
        <f t="shared" si="38"/>
      </c>
      <c r="GF17" s="267">
        <f t="shared" ref="GF17:GJ17" si="39">GF14/GF$10</f>
      </c>
      <c r="GG17" s="267">
        <f t="shared" si="39"/>
      </c>
      <c r="GH17" s="267">
        <f t="shared" si="39"/>
      </c>
      <c r="GI17" s="267">
        <f t="shared" si="39"/>
      </c>
      <c r="GJ17" s="1740">
        <f t="shared" si="39"/>
      </c>
    </row>
    <row r="18" spans="1:192" ht="12.75" customHeight="1">
      <c r="C18" s="294"/>
      <c r="D18" s="295"/>
      <c r="E18" s="295"/>
      <c r="F18" s="295"/>
      <c r="G18" s="296"/>
      <c r="H18" s="294"/>
      <c r="I18" s="295"/>
      <c r="J18" s="295"/>
      <c r="K18" s="295"/>
      <c r="L18" s="296"/>
      <c r="M18" s="294"/>
      <c r="N18" s="295"/>
      <c r="O18" s="295"/>
      <c r="P18" s="295"/>
      <c r="Q18" s="296"/>
      <c r="R18" s="980"/>
      <c r="S18" s="469"/>
      <c r="T18" s="469"/>
      <c r="U18" s="469"/>
      <c r="V18" s="296"/>
      <c r="W18" s="980"/>
      <c r="X18" s="469"/>
      <c r="Y18" s="469"/>
      <c r="Z18" s="469"/>
      <c r="AA18" s="296"/>
      <c r="AB18" s="980"/>
      <c r="AC18" s="469"/>
      <c r="AD18" s="469"/>
      <c r="AE18" s="469"/>
      <c r="AF18" s="296"/>
      <c r="AG18" s="980"/>
      <c r="AH18" s="469"/>
      <c r="AI18" s="469"/>
      <c r="AJ18" s="469"/>
      <c r="AK18" s="296"/>
      <c r="AL18" s="294"/>
      <c r="AM18" s="295"/>
      <c r="AN18" s="295"/>
      <c r="AO18" s="295"/>
      <c r="AP18" s="296"/>
      <c r="AQ18" s="294"/>
      <c r="AR18" s="295"/>
      <c r="AS18" s="295"/>
      <c r="AT18" s="295"/>
      <c r="AU18" s="296"/>
      <c r="AV18" s="294"/>
      <c r="AW18" s="295"/>
      <c r="AX18" s="295"/>
      <c r="AY18" s="295"/>
      <c r="AZ18" s="296"/>
      <c r="BA18" s="294"/>
      <c r="BB18" s="295"/>
      <c r="BC18" s="295"/>
      <c r="BD18" s="295"/>
      <c r="BE18" s="296"/>
      <c r="BF18" s="294"/>
      <c r="BG18" s="295"/>
      <c r="BH18" s="295"/>
      <c r="BI18" s="295"/>
      <c r="BJ18" s="296"/>
      <c r="BK18" s="294"/>
      <c r="BL18" s="295"/>
      <c r="BM18" s="295"/>
      <c r="BN18" s="295"/>
      <c r="BO18" s="296"/>
      <c r="BP18" s="294"/>
      <c r="BQ18" s="295"/>
      <c r="BR18" s="295"/>
      <c r="BS18" s="295"/>
      <c r="BT18" s="296"/>
      <c r="BU18" s="294"/>
      <c r="BV18" s="295"/>
      <c r="BW18" s="295"/>
      <c r="BX18" s="295"/>
      <c r="BY18" s="296"/>
      <c r="BZ18" s="294"/>
      <c r="CA18" s="295"/>
      <c r="CB18" s="295"/>
      <c r="CC18" s="295"/>
      <c r="CD18" s="296"/>
      <c r="CE18" s="294"/>
      <c r="CF18" s="295"/>
      <c r="CG18" s="295"/>
      <c r="CH18" s="295"/>
      <c r="CI18" s="296"/>
      <c r="CJ18" s="294"/>
      <c r="CK18" s="295"/>
      <c r="CL18" s="295"/>
      <c r="CM18" s="295"/>
      <c r="CN18" s="296"/>
      <c r="CO18" s="294"/>
      <c r="CP18" s="295"/>
      <c r="CQ18" s="295"/>
      <c r="CR18" s="295"/>
      <c r="CS18" s="296"/>
      <c r="CT18" s="294"/>
      <c r="CU18" s="295"/>
      <c r="CV18" s="295"/>
      <c r="CW18" s="295"/>
      <c r="CX18" s="296"/>
      <c r="CY18" s="294"/>
      <c r="CZ18" s="295"/>
      <c r="DA18" s="295"/>
      <c r="DB18" s="295"/>
      <c r="DC18" s="296"/>
      <c r="DD18" s="294"/>
      <c r="DE18" s="295"/>
      <c r="DF18" s="295"/>
      <c r="DG18" s="295"/>
      <c r="DH18" s="296"/>
      <c r="DI18" s="294"/>
      <c r="DJ18" s="295"/>
      <c r="DK18" s="295"/>
      <c r="DL18" s="295"/>
      <c r="DM18" s="296"/>
      <c r="DN18" s="294"/>
      <c r="DO18" s="295"/>
      <c r="DP18" s="295"/>
      <c r="DQ18" s="295"/>
      <c r="DR18" s="296"/>
      <c r="DS18" s="294"/>
      <c r="DT18" s="295"/>
      <c r="DU18" s="295"/>
      <c r="DV18" s="295"/>
      <c r="DW18" s="296"/>
      <c r="DX18" s="294"/>
      <c r="DY18" s="295"/>
      <c r="DZ18" s="295"/>
      <c r="EA18" s="295"/>
      <c r="EB18" s="296"/>
      <c r="EC18" s="294"/>
      <c r="ED18" s="295"/>
      <c r="EE18" s="295"/>
      <c r="EF18" s="295"/>
      <c r="EG18" s="296"/>
      <c r="EH18" s="294"/>
      <c r="EI18" s="295"/>
      <c r="EJ18" s="295"/>
      <c r="EK18" s="295"/>
      <c r="EL18" s="296"/>
      <c r="EM18" s="294"/>
      <c r="EN18" s="295"/>
      <c r="EO18" s="295"/>
      <c r="EP18" s="295"/>
      <c r="EQ18" s="296"/>
      <c r="ER18" s="294"/>
      <c r="ES18" s="295"/>
      <c r="ET18" s="295"/>
      <c r="EU18" s="295"/>
      <c r="EV18" s="1586">
        <f>EV14-EQ14</f>
      </c>
      <c r="EW18" s="294"/>
      <c r="EX18" s="295"/>
      <c r="EY18" s="295"/>
      <c r="EZ18" s="295"/>
      <c r="FA18" s="1586"/>
      <c r="FB18" s="294"/>
      <c r="FC18" s="295"/>
      <c r="FD18" s="295"/>
      <c r="FE18" s="295"/>
      <c r="FF18" s="296"/>
      <c r="FG18" s="294"/>
      <c r="FH18" s="295"/>
      <c r="FI18" s="295"/>
      <c r="FJ18" s="295"/>
      <c r="FK18" s="296"/>
      <c r="FL18" s="294"/>
      <c r="FM18" s="295"/>
      <c r="FN18" s="295"/>
      <c r="FO18" s="295"/>
      <c r="FP18" s="296"/>
      <c r="FQ18" s="294"/>
      <c r="FR18" s="295"/>
      <c r="FS18" s="295"/>
      <c r="FT18" s="295"/>
      <c r="FU18" s="296"/>
      <c r="FV18" s="294"/>
      <c r="FW18" s="295"/>
      <c r="FX18" s="295"/>
      <c r="FY18" s="295"/>
      <c r="FZ18" s="296"/>
      <c r="GA18" s="294"/>
      <c r="GB18" s="295"/>
      <c r="GC18" s="295"/>
      <c r="GD18" s="295"/>
      <c r="GE18" s="296"/>
      <c r="GF18" s="294"/>
      <c r="GG18" s="295"/>
      <c r="GH18" s="295"/>
      <c r="GI18" s="295"/>
      <c r="GJ18" s="296"/>
    </row>
    <row r="19" spans="1:192" s="461" customFormat="1" ht="12.75" customHeight="1">
      <c r="A19" s="370"/>
      <c r="B19" s="621" t="s">
        <v>217</v>
      </c>
      <c r="C19" s="624"/>
      <c r="D19" s="624"/>
      <c r="E19" s="624"/>
      <c r="F19" s="624"/>
      <c r="G19" s="622"/>
      <c r="H19" s="624"/>
      <c r="I19" s="624"/>
      <c r="J19" s="624"/>
      <c r="K19" s="624"/>
      <c r="L19" s="622"/>
      <c r="M19" s="624"/>
      <c r="N19" s="624"/>
      <c r="O19" s="624"/>
      <c r="P19" s="624"/>
      <c r="Q19" s="622"/>
      <c r="R19" s="981"/>
      <c r="S19" s="981"/>
      <c r="T19" s="981"/>
      <c r="U19" s="981"/>
      <c r="V19" s="622"/>
      <c r="W19" s="981"/>
      <c r="X19" s="981"/>
      <c r="Y19" s="981"/>
      <c r="Z19" s="981"/>
      <c r="AA19" s="622"/>
      <c r="AB19" s="981"/>
      <c r="AC19" s="981"/>
      <c r="AD19" s="981"/>
      <c r="AE19" s="981"/>
      <c r="AF19" s="622"/>
      <c r="AG19" s="981"/>
      <c r="AH19" s="981"/>
      <c r="AI19" s="981"/>
      <c r="AJ19" s="981"/>
      <c r="AK19" s="622"/>
      <c r="AL19" s="624"/>
      <c r="AM19" s="624"/>
      <c r="AN19" s="624"/>
      <c r="AO19" s="624"/>
      <c r="AP19" s="622"/>
      <c r="AQ19" s="624"/>
      <c r="AR19" s="624"/>
      <c r="AS19" s="624"/>
      <c r="AT19" s="624"/>
      <c r="AU19" s="622"/>
      <c r="AV19" s="624"/>
      <c r="AW19" s="624"/>
      <c r="AX19" s="624"/>
      <c r="AY19" s="624"/>
      <c r="AZ19" s="622"/>
      <c r="BA19" s="624"/>
      <c r="BB19" s="624"/>
      <c r="BC19" s="624"/>
      <c r="BD19" s="624"/>
      <c r="BE19" s="622"/>
      <c r="BF19" s="624"/>
      <c r="BG19" s="624"/>
      <c r="BH19" s="624"/>
      <c r="BI19" s="624"/>
      <c r="BJ19" s="622"/>
      <c r="BK19" s="624"/>
      <c r="BL19" s="624"/>
      <c r="BM19" s="624"/>
      <c r="BN19" s="624"/>
      <c r="BO19" s="622"/>
      <c r="BP19" s="624"/>
      <c r="BQ19" s="624"/>
      <c r="BR19" s="624"/>
      <c r="BS19" s="624"/>
      <c r="BT19" s="622"/>
      <c r="BU19" s="624"/>
      <c r="BV19" s="624"/>
      <c r="BW19" s="624"/>
      <c r="BX19" s="624"/>
      <c r="BY19" s="622"/>
      <c r="BZ19" s="624"/>
      <c r="CA19" s="624"/>
      <c r="CB19" s="624"/>
      <c r="CC19" s="624"/>
      <c r="CD19" s="622"/>
      <c r="CE19" s="624"/>
      <c r="CF19" s="624"/>
      <c r="CG19" s="624"/>
      <c r="CH19" s="624"/>
      <c r="CI19" s="622"/>
      <c r="CJ19" s="624"/>
      <c r="CK19" s="624"/>
      <c r="CL19" s="624"/>
      <c r="CM19" s="624"/>
      <c r="CN19" s="622"/>
      <c r="CO19" s="624"/>
      <c r="CP19" s="624"/>
      <c r="CQ19" s="624"/>
      <c r="CR19" s="624"/>
      <c r="CS19" s="622"/>
      <c r="CT19" s="624"/>
      <c r="CU19" s="624"/>
      <c r="CV19" s="624"/>
      <c r="CW19" s="624"/>
      <c r="CX19" s="622"/>
      <c r="CY19" s="820">
        <f>IFERROR(PBP!CY50,"")</f>
      </c>
      <c r="CZ19" s="820">
        <f>IFERROR(PBP!CZ50,"")</f>
      </c>
      <c r="DA19" s="820">
        <f>IFERROR(PBP!DA50,"")</f>
      </c>
      <c r="DB19" s="820">
        <f>IFERROR(PBP!DB50,"")</f>
      </c>
      <c r="DC19" s="830">
        <f>IFERROR(PBP!DC50,"")</f>
      </c>
      <c r="DD19" s="820">
        <f>IFERROR(PBP!DD50,"")</f>
      </c>
      <c r="DE19" s="820">
        <f>IFERROR(PBP!DE50,"")</f>
      </c>
      <c r="DF19" s="820">
        <f>IFERROR(PBP!DF50,"")</f>
      </c>
      <c r="DG19" s="820">
        <f>IFERROR(PBP!DG50,"")</f>
      </c>
      <c r="DH19" s="830">
        <f>IFERROR(PBP!DH50,"")</f>
      </c>
      <c r="DI19" s="820">
        <f>IFERROR(PBP!DI50,"")</f>
      </c>
      <c r="DJ19" s="820">
        <f>IFERROR(PBP!DJ50,"")</f>
      </c>
      <c r="DK19" s="820">
        <f>IFERROR(PBP!DK50,"")</f>
      </c>
      <c r="DL19" s="820">
        <f>IFERROR(PBP!DL50,"")</f>
      </c>
      <c r="DM19" s="830">
        <f>IFERROR(PBP!DM50,"")</f>
      </c>
      <c r="DN19" s="820">
        <f>IFERROR(PBP!DN50,"")</f>
      </c>
      <c r="DO19" s="820">
        <f>IFERROR(PBP!DO50,"")</f>
      </c>
      <c r="DP19" s="820">
        <f>IFERROR(PBP!DP50,"")</f>
      </c>
      <c r="DQ19" s="820">
        <f>IFERROR(PBP!DQ50,"")</f>
      </c>
      <c r="DR19" s="830">
        <f>IFERROR(PBP!DR50,"")</f>
      </c>
      <c r="DS19" s="820">
        <f>IFERROR(PBP!DS50,"")</f>
      </c>
      <c r="DT19" s="820">
        <f>IFERROR(PBP!DT50,"")</f>
      </c>
      <c r="DU19" s="820">
        <f>IFERROR(PBP!DU50,"")</f>
      </c>
      <c r="DV19" s="820">
        <f>IFERROR(PBP!DV50,"")</f>
      </c>
      <c r="DW19" s="830">
        <f>IFERROR(PBP!DW50,"")</f>
      </c>
      <c r="DX19" s="820">
        <f>IFERROR(PBP!DX50,"")</f>
      </c>
      <c r="DY19" s="820">
        <f>IFERROR(PBP!DY50,"")</f>
      </c>
      <c r="DZ19" s="820">
        <f>IFERROR(PBP!DZ50,"")</f>
      </c>
      <c r="EA19" s="820">
        <f>IFERROR(PBP!EA50,"")</f>
      </c>
      <c r="EB19" s="830">
        <f>IFERROR(PBP!EB50,"")</f>
      </c>
      <c r="EC19" s="820">
        <f>IFERROR(PBP!EC50,"")</f>
      </c>
      <c r="ED19" s="820">
        <f>IFERROR(PBP!ED50,"")</f>
      </c>
      <c r="EE19" s="820">
        <f>IFERROR(PBP!EE50,"")</f>
      </c>
      <c r="EF19" s="820">
        <f>IFERROR(PBP!EF50,"")</f>
      </c>
      <c r="EG19" s="830">
        <f>IFERROR(PBP!EG50,"")</f>
      </c>
      <c r="EH19" s="820">
        <f>IFERROR(PBP!EH50,"")</f>
      </c>
      <c r="EI19" s="820">
        <f>IFERROR(PBP!EI50,"")</f>
      </c>
      <c r="EJ19" s="820">
        <f>IFERROR(PBP!EJ50,"")</f>
      </c>
      <c r="EK19" s="820">
        <f>IFERROR(PBP!EK50,"")</f>
      </c>
      <c r="EL19" s="830">
        <f>IFERROR(PBP!EL50,"")</f>
      </c>
      <c r="EM19" s="820">
        <f>IFERROR(PBP!EM50,"")</f>
      </c>
      <c r="EN19" s="820">
        <f>IFERROR(PBP!EN50,"")</f>
      </c>
      <c r="EO19" s="820">
        <f>IFERROR(PBP!EO50,"")</f>
      </c>
      <c r="EP19" s="820">
        <f>IFERROR(PBP!EP50,"")</f>
      </c>
      <c r="EQ19" s="830">
        <f>IFERROR(PBP!EQ50,"")</f>
      </c>
      <c r="ER19" s="820">
        <f>PBP!ER10</f>
      </c>
      <c r="ES19" s="820">
        <f>PBP!ES10</f>
      </c>
      <c r="ET19" s="820">
        <f>PBP!ET10</f>
      </c>
      <c r="EU19" s="820">
        <f>PBP!EU10</f>
      </c>
      <c r="EV19" s="830">
        <f>PBP!EV10</f>
      </c>
      <c r="EW19" s="820">
        <f>PBP!EW10</f>
      </c>
      <c r="EX19" s="820">
        <f>PBP!EX10</f>
      </c>
      <c r="EY19" s="820">
        <f>PBP!EY10</f>
      </c>
      <c r="EZ19" s="820">
        <f>PBP!EZ10</f>
      </c>
      <c r="FA19" s="830">
        <f>PBP!FA10</f>
      </c>
      <c r="FB19" s="820">
        <f>PBP!FB10</f>
      </c>
      <c r="FC19" s="820">
        <f>PBP!FC10</f>
      </c>
      <c r="FD19" s="820">
        <f>PBP!FD10</f>
      </c>
      <c r="FE19" s="820">
        <f>PBP!FE10</f>
      </c>
      <c r="FF19" s="830">
        <f>PBP!FF10</f>
      </c>
      <c r="FG19" s="820">
        <f>PBP!FG10</f>
      </c>
      <c r="FH19" s="820">
        <f>PBP!FH10</f>
      </c>
      <c r="FI19" s="820">
        <f>PBP!FI10</f>
      </c>
      <c r="FJ19" s="820">
        <f>PBP!FJ10</f>
      </c>
      <c r="FK19" s="830">
        <f>PBP!FK10</f>
      </c>
      <c r="FL19" s="820">
        <f>PBP!FL10</f>
      </c>
      <c r="FM19" s="820">
        <f>PBP!FM10</f>
      </c>
      <c r="FN19" s="820">
        <f>PBP!FN10</f>
      </c>
      <c r="FO19" s="820">
        <f>PBP!FO10</f>
      </c>
      <c r="FP19" s="830">
        <f>PBP!FP10</f>
      </c>
      <c r="FQ19" s="820">
        <f>PBP!FQ10</f>
      </c>
      <c r="FR19" s="820">
        <f>PBP!FR10</f>
      </c>
      <c r="FS19" s="820">
        <f>PBP!FS10</f>
      </c>
      <c r="FT19" s="820">
        <f>PBP!FT10</f>
      </c>
      <c r="FU19" s="830">
        <f>PBP!FU10</f>
      </c>
      <c r="FV19" s="820">
        <f>PBP!FV10</f>
      </c>
      <c r="FW19" s="820">
        <f>PBP!FW10</f>
      </c>
      <c r="FX19" s="820">
        <f>PBP!FX10</f>
      </c>
      <c r="FY19" s="820">
        <f>PBP!FY10</f>
      </c>
      <c r="FZ19" s="830">
        <f>PBP!FZ10</f>
      </c>
      <c r="GA19" s="820">
        <f>PBP!GA10</f>
      </c>
      <c r="GB19" s="820">
        <f>PBP!GB10</f>
      </c>
      <c r="GC19" s="820">
        <f>PBP!GC10</f>
      </c>
      <c r="GD19" s="820">
        <f>PBP!GD10</f>
      </c>
      <c r="GE19" s="830">
        <f>PBP!GE10</f>
      </c>
      <c r="GF19" s="820">
        <f>PBP!GF10</f>
      </c>
      <c r="GG19" s="820">
        <f>PBP!GG10</f>
      </c>
      <c r="GH19" s="820">
        <f>PBP!GH10</f>
      </c>
      <c r="GI19" s="820">
        <f>PBP!GI10</f>
      </c>
      <c r="GJ19" s="830">
        <f>PBP!GJ10</f>
      </c>
    </row>
    <row r="20" spans="1:192" s="479" customFormat="1" ht="12.75" customHeight="1">
      <c r="A20" s="81"/>
      <c r="B20" s="1734" t="s">
        <v>34</v>
      </c>
      <c r="C20" s="1735"/>
      <c r="D20" s="1735"/>
      <c r="E20" s="1735"/>
      <c r="F20" s="1735"/>
      <c r="G20" s="1736"/>
      <c r="H20" s="1735"/>
      <c r="I20" s="1735"/>
      <c r="J20" s="1735"/>
      <c r="K20" s="1735"/>
      <c r="L20" s="1736"/>
      <c r="M20" s="1735"/>
      <c r="N20" s="1735"/>
      <c r="O20" s="1735"/>
      <c r="P20" s="1735"/>
      <c r="Q20" s="1736"/>
      <c r="R20" s="1737"/>
      <c r="S20" s="1737"/>
      <c r="T20" s="1737"/>
      <c r="U20" s="1737"/>
      <c r="V20" s="1736"/>
      <c r="W20" s="1737"/>
      <c r="X20" s="1737"/>
      <c r="Y20" s="1737"/>
      <c r="Z20" s="1737"/>
      <c r="AA20" s="1736"/>
      <c r="AB20" s="1737"/>
      <c r="AC20" s="1737"/>
      <c r="AD20" s="1737"/>
      <c r="AE20" s="1737"/>
      <c r="AF20" s="1736"/>
      <c r="AG20" s="1737"/>
      <c r="AH20" s="1737"/>
      <c r="AI20" s="1737"/>
      <c r="AJ20" s="1737"/>
      <c r="AK20" s="1736"/>
      <c r="AL20" s="1735"/>
      <c r="AM20" s="1735"/>
      <c r="AN20" s="1735"/>
      <c r="AO20" s="1735"/>
      <c r="AP20" s="1736"/>
      <c r="AQ20" s="1735"/>
      <c r="AR20" s="1735"/>
      <c r="AS20" s="1735"/>
      <c r="AT20" s="1735"/>
      <c r="AU20" s="1736"/>
      <c r="AV20" s="1735"/>
      <c r="AW20" s="1735"/>
      <c r="AX20" s="1735"/>
      <c r="AY20" s="1735"/>
      <c r="AZ20" s="1736"/>
      <c r="BA20" s="1735"/>
      <c r="BB20" s="1735"/>
      <c r="BC20" s="1735"/>
      <c r="BD20" s="1735"/>
      <c r="BE20" s="1736"/>
      <c r="BF20" s="1735"/>
      <c r="BG20" s="1735"/>
      <c r="BH20" s="1735"/>
      <c r="BI20" s="1735"/>
      <c r="BJ20" s="1736"/>
      <c r="BK20" s="1735"/>
      <c r="BL20" s="1735"/>
      <c r="BM20" s="1735"/>
      <c r="BN20" s="1735"/>
      <c r="BO20" s="1736"/>
      <c r="BP20" s="1735"/>
      <c r="BQ20" s="1735"/>
      <c r="BR20" s="1735"/>
      <c r="BS20" s="1735"/>
      <c r="BT20" s="1736"/>
      <c r="BU20" s="1735"/>
      <c r="BV20" s="1735"/>
      <c r="BW20" s="1735"/>
      <c r="BX20" s="1735"/>
      <c r="BY20" s="1736"/>
      <c r="BZ20" s="1735"/>
      <c r="CA20" s="1735"/>
      <c r="CB20" s="1735"/>
      <c r="CC20" s="1735"/>
      <c r="CD20" s="1736"/>
      <c r="CE20" s="1735"/>
      <c r="CF20" s="1735"/>
      <c r="CG20" s="1735"/>
      <c r="CH20" s="1735"/>
      <c r="CI20" s="1736"/>
      <c r="CJ20" s="1735"/>
      <c r="CK20" s="1735"/>
      <c r="CL20" s="1735"/>
      <c r="CM20" s="1735"/>
      <c r="CN20" s="1736"/>
      <c r="CO20" s="1735"/>
      <c r="CP20" s="1735"/>
      <c r="CQ20" s="1735"/>
      <c r="CR20" s="1735"/>
      <c r="CS20" s="1736"/>
      <c r="CT20" s="1735"/>
      <c r="CU20" s="1735"/>
      <c r="CV20" s="1735"/>
      <c r="CW20" s="1735"/>
      <c r="CX20" s="1736"/>
      <c r="CY20" s="1738"/>
      <c r="CZ20" s="1738"/>
      <c r="DA20" s="1738"/>
      <c r="DB20" s="1738"/>
      <c r="DC20" s="1739"/>
      <c r="DD20" s="267">
        <f t="shared" ref="DD20:EI20" si="40">IFERROR(DD19/CY19-1,"")</f>
      </c>
      <c r="DE20" s="267">
        <f t="shared" si="40"/>
      </c>
      <c r="DF20" s="267">
        <f t="shared" si="40"/>
      </c>
      <c r="DG20" s="267">
        <f t="shared" si="40"/>
      </c>
      <c r="DH20" s="1740">
        <f t="shared" si="40"/>
      </c>
      <c r="DI20" s="267">
        <f t="shared" si="40"/>
      </c>
      <c r="DJ20" s="267">
        <f t="shared" si="40"/>
      </c>
      <c r="DK20" s="267">
        <f t="shared" si="40"/>
      </c>
      <c r="DL20" s="267">
        <f t="shared" si="40"/>
      </c>
      <c r="DM20" s="1740">
        <f t="shared" si="40"/>
      </c>
      <c r="DN20" s="267">
        <f t="shared" si="40"/>
      </c>
      <c r="DO20" s="267">
        <f t="shared" si="40"/>
      </c>
      <c r="DP20" s="267">
        <f t="shared" si="40"/>
      </c>
      <c r="DQ20" s="267">
        <f t="shared" si="40"/>
      </c>
      <c r="DR20" s="1740">
        <f t="shared" si="40"/>
      </c>
      <c r="DS20" s="267">
        <f t="shared" si="40"/>
      </c>
      <c r="DT20" s="267">
        <f t="shared" si="40"/>
      </c>
      <c r="DU20" s="267">
        <f t="shared" si="40"/>
      </c>
      <c r="DV20" s="267">
        <f t="shared" si="40"/>
      </c>
      <c r="DW20" s="1740">
        <f t="shared" si="40"/>
      </c>
      <c r="DX20" s="267">
        <f t="shared" si="40"/>
      </c>
      <c r="DY20" s="267">
        <f t="shared" si="40"/>
      </c>
      <c r="DZ20" s="267">
        <f t="shared" si="40"/>
      </c>
      <c r="EA20" s="267">
        <f t="shared" si="40"/>
      </c>
      <c r="EB20" s="1740">
        <f t="shared" si="40"/>
      </c>
      <c r="EC20" s="267">
        <f t="shared" si="40"/>
      </c>
      <c r="ED20" s="267">
        <f t="shared" si="40"/>
      </c>
      <c r="EE20" s="267">
        <f t="shared" si="40"/>
      </c>
      <c r="EF20" s="267">
        <f t="shared" si="40"/>
      </c>
      <c r="EG20" s="1740">
        <f t="shared" si="40"/>
      </c>
      <c r="EH20" s="267">
        <f t="shared" si="40"/>
      </c>
      <c r="EI20" s="267">
        <f t="shared" si="40"/>
      </c>
      <c r="EJ20" s="267">
        <f t="shared" ref="EJ20:FO20" si="41">IFERROR(EJ19/EE19-1,"")</f>
      </c>
      <c r="EK20" s="267">
        <f t="shared" si="41"/>
      </c>
      <c r="EL20" s="1740">
        <f t="shared" si="41"/>
      </c>
      <c r="EM20" s="267">
        <f t="shared" si="41"/>
      </c>
      <c r="EN20" s="267">
        <f t="shared" si="41"/>
      </c>
      <c r="EO20" s="267">
        <f t="shared" si="41"/>
      </c>
      <c r="EP20" s="267">
        <f t="shared" si="41"/>
      </c>
      <c r="EQ20" s="1740">
        <f t="shared" si="41"/>
      </c>
      <c r="ER20" s="267">
        <f t="shared" ref="ER20" si="42">IFERROR(ER19/EM19-1,"")</f>
      </c>
      <c r="ES20" s="267">
        <f t="shared" ref="ES20" si="43">IFERROR(ES19/EN19-1,"")</f>
      </c>
      <c r="ET20" s="267">
        <f t="shared" ref="ET20" si="44">IFERROR(ET19/EO19-1,"")</f>
      </c>
      <c r="EU20" s="267">
        <f t="shared" ref="EU20" si="45">IFERROR(EU19/EP19-1,"")</f>
      </c>
      <c r="EV20" s="1740">
        <f t="shared" ref="EV20" si="46">IFERROR(EV19/EQ19-1,"")</f>
      </c>
      <c r="EW20" s="267">
        <f t="shared" si="41"/>
      </c>
      <c r="EX20" s="267">
        <f t="shared" si="41"/>
      </c>
      <c r="EY20" s="267">
        <f t="shared" si="41"/>
      </c>
      <c r="EZ20" s="267">
        <f t="shared" ref="EZ20" si="47">IFERROR(EZ19/EU19-1,"")</f>
      </c>
      <c r="FA20" s="1740">
        <f t="shared" ref="FA20" si="48">IFERROR(FA19/EV19-1,"")</f>
      </c>
      <c r="FB20" s="267">
        <f t="shared" si="41"/>
      </c>
      <c r="FC20" s="267">
        <f t="shared" si="41"/>
      </c>
      <c r="FD20" s="267">
        <f t="shared" si="41"/>
      </c>
      <c r="FE20" s="267">
        <f t="shared" si="41"/>
      </c>
      <c r="FF20" s="1740">
        <f t="shared" si="41"/>
      </c>
      <c r="FG20" s="267">
        <f t="shared" si="41"/>
      </c>
      <c r="FH20" s="267">
        <f t="shared" si="41"/>
      </c>
      <c r="FI20" s="267">
        <f t="shared" si="41"/>
      </c>
      <c r="FJ20" s="267">
        <f t="shared" si="41"/>
      </c>
      <c r="FK20" s="1740">
        <f t="shared" si="41"/>
      </c>
      <c r="FL20" s="267">
        <f t="shared" si="41"/>
      </c>
      <c r="FM20" s="267">
        <f t="shared" si="41"/>
      </c>
      <c r="FN20" s="267">
        <f t="shared" si="41"/>
      </c>
      <c r="FO20" s="267">
        <f t="shared" si="41"/>
      </c>
      <c r="FP20" s="1740">
        <f t="shared" ref="FP20:FZ20" si="49">IFERROR(FP19/FK19-1,"")</f>
      </c>
      <c r="FQ20" s="267">
        <f t="shared" si="49"/>
      </c>
      <c r="FR20" s="267">
        <f t="shared" si="49"/>
      </c>
      <c r="FS20" s="267">
        <f t="shared" si="49"/>
      </c>
      <c r="FT20" s="267">
        <f t="shared" si="49"/>
      </c>
      <c r="FU20" s="1740">
        <f t="shared" si="49"/>
      </c>
      <c r="FV20" s="267">
        <f t="shared" si="49"/>
      </c>
      <c r="FW20" s="267">
        <f t="shared" si="49"/>
      </c>
      <c r="FX20" s="267">
        <f t="shared" si="49"/>
      </c>
      <c r="FY20" s="267">
        <f t="shared" si="49"/>
      </c>
      <c r="FZ20" s="1740">
        <f t="shared" si="49"/>
      </c>
      <c r="GA20" s="267">
        <f t="shared" ref="GA20:GJ20" si="50">IFERROR(GA19/FV19-1,"")</f>
      </c>
      <c r="GB20" s="267">
        <f t="shared" si="50"/>
      </c>
      <c r="GC20" s="267">
        <f t="shared" si="50"/>
      </c>
      <c r="GD20" s="267">
        <f t="shared" si="50"/>
      </c>
      <c r="GE20" s="1740">
        <f t="shared" si="50"/>
      </c>
      <c r="GF20" s="267">
        <f t="shared" si="50"/>
      </c>
      <c r="GG20" s="267">
        <f t="shared" si="50"/>
      </c>
      <c r="GH20" s="267">
        <f t="shared" si="50"/>
      </c>
      <c r="GI20" s="267">
        <f t="shared" si="50"/>
      </c>
      <c r="GJ20" s="1740">
        <f t="shared" si="50"/>
      </c>
    </row>
    <row r="21" spans="1:192" s="479" customFormat="1" ht="12.75" customHeight="1">
      <c r="A21" s="81"/>
      <c r="B21" s="1734" t="s">
        <v>36</v>
      </c>
      <c r="C21" s="1735"/>
      <c r="D21" s="1735"/>
      <c r="E21" s="1735"/>
      <c r="F21" s="1735"/>
      <c r="G21" s="1736"/>
      <c r="H21" s="1735"/>
      <c r="I21" s="1735"/>
      <c r="J21" s="1735"/>
      <c r="K21" s="1735"/>
      <c r="L21" s="1736"/>
      <c r="M21" s="1735"/>
      <c r="N21" s="1735"/>
      <c r="O21" s="1735"/>
      <c r="P21" s="1735"/>
      <c r="Q21" s="1736"/>
      <c r="R21" s="1737"/>
      <c r="S21" s="1737"/>
      <c r="T21" s="1737"/>
      <c r="U21" s="1737"/>
      <c r="V21" s="1736"/>
      <c r="W21" s="1737"/>
      <c r="X21" s="1737"/>
      <c r="Y21" s="1737"/>
      <c r="Z21" s="1737"/>
      <c r="AA21" s="1736"/>
      <c r="AB21" s="1737"/>
      <c r="AC21" s="1737"/>
      <c r="AD21" s="1737"/>
      <c r="AE21" s="1737"/>
      <c r="AF21" s="1736"/>
      <c r="AG21" s="1737"/>
      <c r="AH21" s="1737"/>
      <c r="AI21" s="1737"/>
      <c r="AJ21" s="1737"/>
      <c r="AK21" s="1736"/>
      <c r="AL21" s="1735"/>
      <c r="AM21" s="1735"/>
      <c r="AN21" s="1735"/>
      <c r="AO21" s="1735"/>
      <c r="AP21" s="1736"/>
      <c r="AQ21" s="1735"/>
      <c r="AR21" s="1735"/>
      <c r="AS21" s="1735"/>
      <c r="AT21" s="1735"/>
      <c r="AU21" s="1736"/>
      <c r="AV21" s="1735"/>
      <c r="AW21" s="1735"/>
      <c r="AX21" s="1735"/>
      <c r="AY21" s="1735"/>
      <c r="AZ21" s="1736"/>
      <c r="BA21" s="1735"/>
      <c r="BB21" s="1735"/>
      <c r="BC21" s="1735"/>
      <c r="BD21" s="1735"/>
      <c r="BE21" s="1736"/>
      <c r="BF21" s="1735"/>
      <c r="BG21" s="1735"/>
      <c r="BH21" s="1735"/>
      <c r="BI21" s="1735"/>
      <c r="BJ21" s="1736"/>
      <c r="BK21" s="1735"/>
      <c r="BL21" s="1735"/>
      <c r="BM21" s="1735"/>
      <c r="BN21" s="1735"/>
      <c r="BO21" s="1736"/>
      <c r="BP21" s="1735"/>
      <c r="BQ21" s="1735"/>
      <c r="BR21" s="1735"/>
      <c r="BS21" s="1735"/>
      <c r="BT21" s="1736"/>
      <c r="BU21" s="1735"/>
      <c r="BV21" s="1735"/>
      <c r="BW21" s="1735"/>
      <c r="BX21" s="1735"/>
      <c r="BY21" s="1736"/>
      <c r="BZ21" s="1735"/>
      <c r="CA21" s="1735"/>
      <c r="CB21" s="1735"/>
      <c r="CC21" s="1735"/>
      <c r="CD21" s="1736"/>
      <c r="CE21" s="1735"/>
      <c r="CF21" s="1735"/>
      <c r="CG21" s="1735"/>
      <c r="CH21" s="1735"/>
      <c r="CI21" s="1736"/>
      <c r="CJ21" s="1735"/>
      <c r="CK21" s="1735"/>
      <c r="CL21" s="1735"/>
      <c r="CM21" s="1735"/>
      <c r="CN21" s="1736"/>
      <c r="CO21" s="1735"/>
      <c r="CP21" s="1735"/>
      <c r="CQ21" s="1735"/>
      <c r="CR21" s="1735"/>
      <c r="CS21" s="1736"/>
      <c r="CT21" s="1735"/>
      <c r="CU21" s="1735"/>
      <c r="CV21" s="1735"/>
      <c r="CW21" s="1735"/>
      <c r="CX21" s="1736"/>
      <c r="CY21" s="1738"/>
      <c r="CZ21" s="1741">
        <f>IFERROR(CZ19/CY19-1,"")</f>
      </c>
      <c r="DA21" s="1741">
        <f>IFERROR(DA19/CZ19-1,"")</f>
      </c>
      <c r="DB21" s="1741">
        <f>IFERROR(DB19/DA19-1,"")</f>
      </c>
      <c r="DC21" s="1742"/>
      <c r="DD21" s="267">
        <f>IFERROR(DD19/DB19-1,"")</f>
      </c>
      <c r="DE21" s="1741">
        <f>IFERROR(DE19/DD19-1,"")</f>
      </c>
      <c r="DF21" s="1741">
        <f>IFERROR(DF19/DE19-1,"")</f>
      </c>
      <c r="DG21" s="1741">
        <f>IFERROR(DG19/DF19-1,"")</f>
      </c>
      <c r="DH21" s="1739"/>
      <c r="DI21" s="267">
        <f>IFERROR(DI19/DG19-1,"")</f>
      </c>
      <c r="DJ21" s="1741">
        <f>IFERROR(DJ19/DI19-1,"")</f>
      </c>
      <c r="DK21" s="1741">
        <f>IFERROR(DK19/DJ19-1,"")</f>
      </c>
      <c r="DL21" s="1741">
        <f>IFERROR(DL19/DK19-1,"")</f>
      </c>
      <c r="DM21" s="1739"/>
      <c r="DN21" s="267">
        <f>IFERROR(DN19/DL19-1,"")</f>
      </c>
      <c r="DO21" s="1741">
        <f>IFERROR(DO19/DN19-1,"")</f>
      </c>
      <c r="DP21" s="1741">
        <f>IFERROR(DP19/DO19-1,"")</f>
      </c>
      <c r="DQ21" s="1741">
        <f>IFERROR(DQ19/DP19-1,"")</f>
      </c>
      <c r="DR21" s="1739"/>
      <c r="DS21" s="267">
        <f>IFERROR(DS19/DQ19-1,"")</f>
      </c>
      <c r="DT21" s="1741">
        <f>IFERROR(DT19/DS19-1,"")</f>
      </c>
      <c r="DU21" s="1741">
        <f>IFERROR(DU19/DT19-1,"")</f>
      </c>
      <c r="DV21" s="1741">
        <f>IFERROR(DV19/DU19-1,"")</f>
      </c>
      <c r="DW21" s="1739"/>
      <c r="DX21" s="267">
        <f>IFERROR(DX19/DV19-1,"")</f>
      </c>
      <c r="DY21" s="1741">
        <f>IFERROR(DY19/DX19-1,"")</f>
      </c>
      <c r="DZ21" s="1741">
        <f>IFERROR(DZ19/DY19-1,"")</f>
      </c>
      <c r="EA21" s="1741">
        <f>IFERROR(EA19/DZ19-1,"")</f>
      </c>
      <c r="EB21" s="1739"/>
      <c r="EC21" s="267">
        <f>IFERROR(EC19/EA19-1,"")</f>
      </c>
      <c r="ED21" s="1741">
        <f>IFERROR(ED19/EC19-1,"")</f>
      </c>
      <c r="EE21" s="1741">
        <f>IFERROR(EE19/ED19-1,"")</f>
      </c>
      <c r="EF21" s="1741">
        <f>IFERROR(EF19/EE19-1,"")</f>
      </c>
      <c r="EG21" s="1739"/>
      <c r="EH21" s="267">
        <f>IFERROR(EH19/EF19-1,"")</f>
      </c>
      <c r="EI21" s="1741">
        <f>IFERROR(EI19/EH19-1,"")</f>
      </c>
      <c r="EJ21" s="1741">
        <f>IFERROR(EJ19/EI19-1,"")</f>
      </c>
      <c r="EK21" s="1741">
        <f>IFERROR(EK19/EJ19-1,"")</f>
      </c>
      <c r="EL21" s="1739"/>
      <c r="EM21" s="267">
        <f>IFERROR(EM19/EK19-1,"")</f>
      </c>
      <c r="EN21" s="1741">
        <f>IFERROR(EN19/EM19-1,"")</f>
      </c>
      <c r="EO21" s="1741">
        <f>IFERROR(EO19/EN19-1,"")</f>
      </c>
      <c r="EP21" s="1741">
        <f>IFERROR(EP19/EO19-1,"")</f>
      </c>
      <c r="EQ21" s="1739"/>
      <c r="ER21" s="267">
        <f>IFERROR(ER19/EP19-1,"")</f>
      </c>
      <c r="ES21" s="1741">
        <f>IFERROR(ES19/ER19-1,"")</f>
      </c>
      <c r="ET21" s="1741">
        <f>IFERROR(ET19/ES19-1,"")</f>
      </c>
      <c r="EU21" s="1741">
        <f>IFERROR(EU19/ET19-1,"")</f>
      </c>
      <c r="EV21" s="1739"/>
      <c r="EW21" s="267">
        <f>IFERROR(EW19/EU19-1,"")</f>
      </c>
      <c r="EX21" s="1741">
        <f>IFERROR(EX19/EW19-1,"")</f>
      </c>
      <c r="EY21" s="1741">
        <f>IFERROR(EY19/EX19-1,"")</f>
      </c>
      <c r="EZ21" s="1741">
        <f>IFERROR(EZ19/EY19-1,"")</f>
      </c>
      <c r="FA21" s="1739"/>
      <c r="FB21" s="267">
        <f>IFERROR(FB19/EZ19-1,"")</f>
      </c>
      <c r="FC21" s="1741">
        <f>IFERROR(FC19/FB19-1,"")</f>
      </c>
      <c r="FD21" s="1741">
        <f>IFERROR(FD19/FC19-1,"")</f>
      </c>
      <c r="FE21" s="1741">
        <f>IFERROR(FE19/FD19-1,"")</f>
      </c>
      <c r="FF21" s="1739"/>
      <c r="FG21" s="267">
        <f>IFERROR(FG19/FE19-1,"")</f>
      </c>
      <c r="FH21" s="1741">
        <f>IFERROR(FH19/FG19-1,"")</f>
      </c>
      <c r="FI21" s="1741">
        <f>IFERROR(FI19/FH19-1,"")</f>
      </c>
      <c r="FJ21" s="1741">
        <f>IFERROR(FJ19/FI19-1,"")</f>
      </c>
      <c r="FK21" s="1739"/>
      <c r="FL21" s="267">
        <f>IFERROR(FL19/FJ19-1,"")</f>
      </c>
      <c r="FM21" s="1741">
        <f>IFERROR(FM19/FL19-1,"")</f>
      </c>
      <c r="FN21" s="1741">
        <f>IFERROR(FN19/FM19-1,"")</f>
      </c>
      <c r="FO21" s="1741">
        <f>IFERROR(FO19/FN19-1,"")</f>
      </c>
      <c r="FP21" s="1739"/>
      <c r="FQ21" s="267">
        <f>IFERROR(FQ19/FO19-1,"")</f>
      </c>
      <c r="FR21" s="1741">
        <f>IFERROR(FR19/FQ19-1,"")</f>
      </c>
      <c r="FS21" s="1741">
        <f>IFERROR(FS19/FR19-1,"")</f>
      </c>
      <c r="FT21" s="1741">
        <f>IFERROR(FT19/FS19-1,"")</f>
      </c>
      <c r="FU21" s="1739"/>
      <c r="FV21" s="267">
        <f>IFERROR(FV19/FT19-1,"")</f>
      </c>
      <c r="FW21" s="1741">
        <f>IFERROR(FW19/FV19-1,"")</f>
      </c>
      <c r="FX21" s="1741">
        <f>IFERROR(FX19/FW19-1,"")</f>
      </c>
      <c r="FY21" s="1741">
        <f>IFERROR(FY19/FX19-1,"")</f>
      </c>
      <c r="FZ21" s="1739"/>
      <c r="GA21" s="267">
        <f>IFERROR(GA19/FY19-1,"")</f>
      </c>
      <c r="GB21" s="1741">
        <f>IFERROR(GB19/GA19-1,"")</f>
      </c>
      <c r="GC21" s="1741">
        <f>IFERROR(GC19/GB19-1,"")</f>
      </c>
      <c r="GD21" s="1741">
        <f>IFERROR(GD19/GC19-1,"")</f>
      </c>
      <c r="GE21" s="1739"/>
      <c r="GF21" s="267">
        <f>IFERROR(GF19/GD19-1,"")</f>
      </c>
      <c r="GG21" s="1741">
        <f>IFERROR(GG19/GF19-1,"")</f>
      </c>
      <c r="GH21" s="1741">
        <f>IFERROR(GH19/GG19-1,"")</f>
      </c>
      <c r="GI21" s="1741">
        <f>IFERROR(GI19/GH19-1,"")</f>
      </c>
      <c r="GJ21" s="1739"/>
    </row>
    <row r="22" spans="1:192" s="479" customFormat="1" ht="12.75" customHeight="1">
      <c r="A22" s="81"/>
      <c r="B22" s="1734" t="s">
        <v>380</v>
      </c>
      <c r="C22" s="1735"/>
      <c r="D22" s="1735"/>
      <c r="E22" s="1735"/>
      <c r="F22" s="1735"/>
      <c r="G22" s="1736"/>
      <c r="H22" s="1735"/>
      <c r="I22" s="1735"/>
      <c r="J22" s="1735"/>
      <c r="K22" s="1735"/>
      <c r="L22" s="1736"/>
      <c r="M22" s="1735"/>
      <c r="N22" s="1735"/>
      <c r="O22" s="1735"/>
      <c r="P22" s="1735"/>
      <c r="Q22" s="1736"/>
      <c r="R22" s="1737"/>
      <c r="S22" s="1737"/>
      <c r="T22" s="1737"/>
      <c r="U22" s="1737"/>
      <c r="V22" s="1736"/>
      <c r="W22" s="1737"/>
      <c r="X22" s="1737"/>
      <c r="Y22" s="1737"/>
      <c r="Z22" s="1737"/>
      <c r="AA22" s="1736"/>
      <c r="AB22" s="1737"/>
      <c r="AC22" s="1737"/>
      <c r="AD22" s="1737"/>
      <c r="AE22" s="1737"/>
      <c r="AF22" s="1736"/>
      <c r="AG22" s="1737"/>
      <c r="AH22" s="1737"/>
      <c r="AI22" s="1737"/>
      <c r="AJ22" s="1737"/>
      <c r="AK22" s="1736"/>
      <c r="AL22" s="1735"/>
      <c r="AM22" s="1735"/>
      <c r="AN22" s="1735"/>
      <c r="AO22" s="1735"/>
      <c r="AP22" s="1736"/>
      <c r="AQ22" s="1735"/>
      <c r="AR22" s="1735"/>
      <c r="AS22" s="1735"/>
      <c r="AT22" s="1735"/>
      <c r="AU22" s="1736"/>
      <c r="AV22" s="1735"/>
      <c r="AW22" s="1735"/>
      <c r="AX22" s="1735"/>
      <c r="AY22" s="1735"/>
      <c r="AZ22" s="1736"/>
      <c r="BA22" s="1735"/>
      <c r="BB22" s="1735"/>
      <c r="BC22" s="1735"/>
      <c r="BD22" s="1735"/>
      <c r="BE22" s="1736"/>
      <c r="BF22" s="1735"/>
      <c r="BG22" s="1735"/>
      <c r="BH22" s="1735"/>
      <c r="BI22" s="1735"/>
      <c r="BJ22" s="1736"/>
      <c r="BK22" s="1735"/>
      <c r="BL22" s="1735"/>
      <c r="BM22" s="1735"/>
      <c r="BN22" s="1735"/>
      <c r="BO22" s="1736"/>
      <c r="BP22" s="1735"/>
      <c r="BQ22" s="1735"/>
      <c r="BR22" s="1735"/>
      <c r="BS22" s="1735"/>
      <c r="BT22" s="1736"/>
      <c r="BU22" s="1735"/>
      <c r="BV22" s="1735"/>
      <c r="BW22" s="1735"/>
      <c r="BX22" s="1735"/>
      <c r="BY22" s="1736"/>
      <c r="BZ22" s="1735"/>
      <c r="CA22" s="1735"/>
      <c r="CB22" s="1735"/>
      <c r="CC22" s="1735"/>
      <c r="CD22" s="1736"/>
      <c r="CE22" s="1735"/>
      <c r="CF22" s="1735"/>
      <c r="CG22" s="1735"/>
      <c r="CH22" s="1735"/>
      <c r="CI22" s="1736"/>
      <c r="CJ22" s="1735"/>
      <c r="CK22" s="1735"/>
      <c r="CL22" s="1735"/>
      <c r="CM22" s="1735"/>
      <c r="CN22" s="1736"/>
      <c r="CO22" s="1735"/>
      <c r="CP22" s="1735"/>
      <c r="CQ22" s="1735"/>
      <c r="CR22" s="1735"/>
      <c r="CS22" s="1736"/>
      <c r="CT22" s="1735"/>
      <c r="CU22" s="1735"/>
      <c r="CV22" s="1735"/>
      <c r="CW22" s="1735"/>
      <c r="CX22" s="1736"/>
      <c r="CY22" s="267">
        <f t="shared" ref="CY22:ED22" si="51">CY19/CY$10</f>
      </c>
      <c r="CZ22" s="267">
        <f t="shared" si="51"/>
      </c>
      <c r="DA22" s="267">
        <f t="shared" si="51"/>
      </c>
      <c r="DB22" s="267">
        <f t="shared" si="51"/>
      </c>
      <c r="DC22" s="1740">
        <f t="shared" si="51"/>
      </c>
      <c r="DD22" s="267">
        <f t="shared" si="51"/>
      </c>
      <c r="DE22" s="267">
        <f t="shared" si="51"/>
      </c>
      <c r="DF22" s="267">
        <f t="shared" si="51"/>
      </c>
      <c r="DG22" s="267">
        <f t="shared" si="51"/>
      </c>
      <c r="DH22" s="1740">
        <f t="shared" si="51"/>
      </c>
      <c r="DI22" s="267">
        <f t="shared" si="51"/>
      </c>
      <c r="DJ22" s="267">
        <f t="shared" si="51"/>
      </c>
      <c r="DK22" s="267">
        <f t="shared" si="51"/>
      </c>
      <c r="DL22" s="267">
        <f t="shared" si="51"/>
      </c>
      <c r="DM22" s="1740">
        <f t="shared" si="51"/>
      </c>
      <c r="DN22" s="267">
        <f t="shared" si="51"/>
      </c>
      <c r="DO22" s="267">
        <f t="shared" si="51"/>
      </c>
      <c r="DP22" s="267">
        <f t="shared" si="51"/>
      </c>
      <c r="DQ22" s="267">
        <f t="shared" si="51"/>
      </c>
      <c r="DR22" s="1740">
        <f t="shared" si="51"/>
      </c>
      <c r="DS22" s="267">
        <f t="shared" si="51"/>
      </c>
      <c r="DT22" s="267">
        <f t="shared" si="51"/>
      </c>
      <c r="DU22" s="267">
        <f t="shared" si="51"/>
      </c>
      <c r="DV22" s="267">
        <f t="shared" si="51"/>
      </c>
      <c r="DW22" s="1740">
        <f t="shared" si="51"/>
      </c>
      <c r="DX22" s="267">
        <f t="shared" si="51"/>
      </c>
      <c r="DY22" s="267">
        <f t="shared" si="51"/>
      </c>
      <c r="DZ22" s="267">
        <f t="shared" si="51"/>
      </c>
      <c r="EA22" s="267">
        <f t="shared" si="51"/>
      </c>
      <c r="EB22" s="1740">
        <f t="shared" si="51"/>
      </c>
      <c r="EC22" s="267">
        <f t="shared" si="51"/>
      </c>
      <c r="ED22" s="267">
        <f t="shared" si="51"/>
      </c>
      <c r="EE22" s="267">
        <f t="shared" ref="EE22:FJ22" si="52">EE19/EE$10</f>
      </c>
      <c r="EF22" s="267">
        <f t="shared" si="52"/>
      </c>
      <c r="EG22" s="1740">
        <f t="shared" si="52"/>
      </c>
      <c r="EH22" s="267">
        <f t="shared" si="52"/>
      </c>
      <c r="EI22" s="267">
        <f t="shared" si="52"/>
      </c>
      <c r="EJ22" s="267">
        <f t="shared" si="52"/>
      </c>
      <c r="EK22" s="267">
        <f t="shared" si="52"/>
      </c>
      <c r="EL22" s="1740">
        <f t="shared" si="52"/>
      </c>
      <c r="EM22" s="267">
        <f t="shared" si="52"/>
      </c>
      <c r="EN22" s="267">
        <f t="shared" si="52"/>
      </c>
      <c r="EO22" s="267">
        <f t="shared" si="52"/>
      </c>
      <c r="EP22" s="267">
        <f t="shared" si="52"/>
      </c>
      <c r="EQ22" s="1740">
        <f t="shared" si="52"/>
      </c>
      <c r="ER22" s="267">
        <f t="shared" si="52"/>
      </c>
      <c r="ES22" s="267">
        <f t="shared" si="52"/>
      </c>
      <c r="ET22" s="267">
        <f t="shared" si="52"/>
      </c>
      <c r="EU22" s="267">
        <f t="shared" si="52"/>
      </c>
      <c r="EV22" s="1740">
        <f t="shared" si="52"/>
      </c>
      <c r="EW22" s="267">
        <f t="shared" si="52"/>
      </c>
      <c r="EX22" s="267">
        <f t="shared" si="52"/>
      </c>
      <c r="EY22" s="267">
        <f t="shared" ref="EY22:FA22" si="53">EY19/EY$10</f>
      </c>
      <c r="EZ22" s="267">
        <f t="shared" si="53"/>
      </c>
      <c r="FA22" s="1740">
        <f t="shared" si="53"/>
      </c>
      <c r="FB22" s="267">
        <f t="shared" si="52"/>
      </c>
      <c r="FC22" s="267">
        <f t="shared" si="52"/>
      </c>
      <c r="FD22" s="267">
        <f t="shared" si="52"/>
      </c>
      <c r="FE22" s="267">
        <f t="shared" si="52"/>
      </c>
      <c r="FF22" s="1740">
        <f t="shared" si="52"/>
      </c>
      <c r="FG22" s="267">
        <f t="shared" si="52"/>
      </c>
      <c r="FH22" s="267">
        <f t="shared" si="52"/>
      </c>
      <c r="FI22" s="267">
        <f t="shared" si="52"/>
      </c>
      <c r="FJ22" s="267">
        <f t="shared" si="52"/>
      </c>
      <c r="FK22" s="1740">
        <f t="shared" ref="FK22:GE22" si="54">FK19/FK$10</f>
      </c>
      <c r="FL22" s="267">
        <f t="shared" si="54"/>
      </c>
      <c r="FM22" s="267">
        <f t="shared" si="54"/>
      </c>
      <c r="FN22" s="267">
        <f t="shared" si="54"/>
      </c>
      <c r="FO22" s="267">
        <f t="shared" si="54"/>
      </c>
      <c r="FP22" s="1740">
        <f t="shared" si="54"/>
      </c>
      <c r="FQ22" s="267">
        <f t="shared" si="54"/>
      </c>
      <c r="FR22" s="267">
        <f t="shared" si="54"/>
      </c>
      <c r="FS22" s="267">
        <f t="shared" si="54"/>
      </c>
      <c r="FT22" s="267">
        <f t="shared" si="54"/>
      </c>
      <c r="FU22" s="1740">
        <f t="shared" si="54"/>
      </c>
      <c r="FV22" s="267">
        <f t="shared" si="54"/>
      </c>
      <c r="FW22" s="267">
        <f t="shared" si="54"/>
      </c>
      <c r="FX22" s="267">
        <f t="shared" si="54"/>
      </c>
      <c r="FY22" s="267">
        <f t="shared" si="54"/>
      </c>
      <c r="FZ22" s="1740">
        <f t="shared" si="54"/>
      </c>
      <c r="GA22" s="267">
        <f t="shared" si="54"/>
      </c>
      <c r="GB22" s="267">
        <f t="shared" si="54"/>
      </c>
      <c r="GC22" s="267">
        <f t="shared" si="54"/>
      </c>
      <c r="GD22" s="267">
        <f t="shared" si="54"/>
      </c>
      <c r="GE22" s="1740">
        <f t="shared" si="54"/>
      </c>
      <c r="GF22" s="267">
        <f t="shared" ref="GF22:GJ22" si="55">GF19/GF$10</f>
      </c>
      <c r="GG22" s="267">
        <f t="shared" si="55"/>
      </c>
      <c r="GH22" s="267">
        <f t="shared" si="55"/>
      </c>
      <c r="GI22" s="267">
        <f t="shared" si="55"/>
      </c>
      <c r="GJ22" s="1740">
        <f t="shared" si="55"/>
      </c>
    </row>
    <row r="23" spans="1:192" s="461" customFormat="1" ht="12.75" hidden="1" customHeight="1" outlineLevel="1">
      <c r="A23" s="370"/>
      <c r="B23" s="986"/>
      <c r="C23" s="987"/>
      <c r="D23" s="987"/>
      <c r="E23" s="987"/>
      <c r="F23" s="987"/>
      <c r="G23" s="988"/>
      <c r="H23" s="987"/>
      <c r="I23" s="987"/>
      <c r="J23" s="987"/>
      <c r="K23" s="987"/>
      <c r="L23" s="988"/>
      <c r="M23" s="987"/>
      <c r="N23" s="987"/>
      <c r="O23" s="987"/>
      <c r="P23" s="987"/>
      <c r="Q23" s="988"/>
      <c r="R23" s="989"/>
      <c r="S23" s="989"/>
      <c r="T23" s="989"/>
      <c r="U23" s="989"/>
      <c r="V23" s="988"/>
      <c r="W23" s="989"/>
      <c r="X23" s="989"/>
      <c r="Y23" s="989"/>
      <c r="Z23" s="989"/>
      <c r="AA23" s="988"/>
      <c r="AB23" s="989"/>
      <c r="AC23" s="989"/>
      <c r="AD23" s="989"/>
      <c r="AE23" s="989"/>
      <c r="AF23" s="988"/>
      <c r="AG23" s="989"/>
      <c r="AH23" s="989"/>
      <c r="AI23" s="989"/>
      <c r="AJ23" s="989"/>
      <c r="AK23" s="988"/>
      <c r="AL23" s="987"/>
      <c r="AM23" s="987"/>
      <c r="AN23" s="987"/>
      <c r="AO23" s="987"/>
      <c r="AP23" s="988"/>
      <c r="AQ23" s="987"/>
      <c r="AR23" s="987"/>
      <c r="AS23" s="987"/>
      <c r="AT23" s="987"/>
      <c r="AU23" s="988"/>
      <c r="AV23" s="987"/>
      <c r="AW23" s="987"/>
      <c r="AX23" s="987"/>
      <c r="AY23" s="987"/>
      <c r="AZ23" s="988"/>
      <c r="BA23" s="987"/>
      <c r="BB23" s="987"/>
      <c r="BC23" s="987"/>
      <c r="BD23" s="987"/>
      <c r="BE23" s="988"/>
      <c r="BF23" s="987"/>
      <c r="BG23" s="987"/>
      <c r="BH23" s="987"/>
      <c r="BI23" s="987"/>
      <c r="BJ23" s="988"/>
      <c r="BK23" s="987"/>
      <c r="BL23" s="987"/>
      <c r="BM23" s="987"/>
      <c r="BN23" s="987"/>
      <c r="BO23" s="988"/>
      <c r="BP23" s="987"/>
      <c r="BQ23" s="987"/>
      <c r="BR23" s="987"/>
      <c r="BS23" s="987"/>
      <c r="BT23" s="988"/>
      <c r="BU23" s="987"/>
      <c r="BV23" s="987"/>
      <c r="BW23" s="987"/>
      <c r="BX23" s="987"/>
      <c r="BY23" s="988"/>
      <c r="BZ23" s="987"/>
      <c r="CA23" s="987"/>
      <c r="CB23" s="987"/>
      <c r="CC23" s="987"/>
      <c r="CD23" s="988"/>
      <c r="CE23" s="987"/>
      <c r="CF23" s="987"/>
      <c r="CG23" s="987"/>
      <c r="CH23" s="987"/>
      <c r="CI23" s="988"/>
      <c r="CJ23" s="987"/>
      <c r="CK23" s="987"/>
      <c r="CL23" s="987"/>
      <c r="CM23" s="987"/>
      <c r="CN23" s="988"/>
      <c r="CO23" s="987"/>
      <c r="CP23" s="987"/>
      <c r="CQ23" s="987"/>
      <c r="CR23" s="987"/>
      <c r="CS23" s="988"/>
      <c r="CT23" s="987"/>
      <c r="CU23" s="987"/>
      <c r="CV23" s="987"/>
      <c r="CW23" s="987"/>
      <c r="CX23" s="988"/>
      <c r="CY23" s="771"/>
      <c r="CZ23" s="771"/>
      <c r="DA23" s="771"/>
      <c r="DB23" s="771"/>
      <c r="DC23" s="1047"/>
      <c r="DD23" s="771"/>
      <c r="DE23" s="771"/>
      <c r="DF23" s="771"/>
      <c r="DG23" s="771"/>
      <c r="DH23" s="1047"/>
      <c r="DI23" s="771"/>
      <c r="DJ23" s="771"/>
      <c r="DK23" s="771"/>
      <c r="DL23" s="771"/>
      <c r="DM23" s="1047"/>
      <c r="DN23" s="771"/>
      <c r="DO23" s="771"/>
      <c r="DP23" s="771"/>
      <c r="DQ23" s="771"/>
      <c r="DR23" s="1047"/>
      <c r="DS23" s="771"/>
      <c r="DT23" s="771"/>
      <c r="DU23" s="771"/>
      <c r="DV23" s="771"/>
      <c r="DW23" s="1047"/>
      <c r="DX23" s="771"/>
      <c r="DY23" s="771"/>
      <c r="DZ23" s="771"/>
      <c r="EA23" s="771"/>
      <c r="EB23" s="1047"/>
      <c r="EC23" s="771"/>
      <c r="ED23" s="771"/>
      <c r="EE23" s="771"/>
      <c r="EF23" s="771"/>
      <c r="EG23" s="1047"/>
      <c r="EH23" s="771"/>
      <c r="EI23" s="771"/>
      <c r="EJ23" s="771"/>
      <c r="EK23" s="771"/>
      <c r="EL23" s="1047"/>
      <c r="EM23" s="771"/>
      <c r="EN23" s="771"/>
      <c r="EO23" s="771"/>
      <c r="EP23" s="771"/>
      <c r="EQ23" s="1047"/>
      <c r="ER23" s="771"/>
      <c r="ES23" s="771"/>
      <c r="ET23" s="771"/>
      <c r="EU23" s="771"/>
      <c r="EV23" s="1047"/>
      <c r="EW23" s="771"/>
      <c r="EX23" s="771"/>
      <c r="EY23" s="771"/>
      <c r="EZ23" s="771"/>
      <c r="FA23" s="1047"/>
      <c r="FB23" s="771"/>
      <c r="FC23" s="771"/>
      <c r="FD23" s="771"/>
      <c r="FE23" s="771"/>
      <c r="FF23" s="1047"/>
      <c r="FG23" s="771"/>
      <c r="FH23" s="771"/>
      <c r="FI23" s="771"/>
      <c r="FJ23" s="771"/>
      <c r="FK23" s="1047"/>
      <c r="FL23" s="771"/>
      <c r="FM23" s="771"/>
      <c r="FN23" s="771"/>
      <c r="FO23" s="771"/>
      <c r="FP23" s="1047"/>
      <c r="FQ23" s="771"/>
      <c r="FR23" s="771"/>
      <c r="FS23" s="771"/>
      <c r="FT23" s="771"/>
      <c r="FU23" s="1047"/>
      <c r="FV23" s="771"/>
      <c r="FW23" s="771"/>
      <c r="FX23" s="771"/>
      <c r="FY23" s="771"/>
      <c r="FZ23" s="1047"/>
      <c r="GA23" s="771"/>
      <c r="GB23" s="771"/>
      <c r="GC23" s="771"/>
      <c r="GD23" s="771"/>
      <c r="GE23" s="1047"/>
      <c r="GF23" s="771"/>
      <c r="GG23" s="771"/>
      <c r="GH23" s="771"/>
      <c r="GI23" s="771"/>
      <c r="GJ23" s="1047"/>
    </row>
    <row r="24" spans="1:192" s="986" customFormat="1" ht="12.75" hidden="1" customHeight="1" outlineLevel="1">
      <c r="A24" s="1284"/>
      <c r="B24" s="625" t="s">
        <v>1972</v>
      </c>
      <c r="C24" s="1285"/>
      <c r="D24" s="1285"/>
      <c r="E24" s="1285"/>
      <c r="F24" s="1285"/>
      <c r="G24" s="1286"/>
      <c r="H24" s="1285"/>
      <c r="I24" s="1285"/>
      <c r="J24" s="1285"/>
      <c r="K24" s="1285"/>
      <c r="L24" s="1286"/>
      <c r="M24" s="1285"/>
      <c r="N24" s="1285"/>
      <c r="O24" s="1285"/>
      <c r="P24" s="1285"/>
      <c r="Q24" s="1286"/>
      <c r="R24" s="1287"/>
      <c r="S24" s="1287"/>
      <c r="T24" s="1287"/>
      <c r="U24" s="1287"/>
      <c r="V24" s="1286"/>
      <c r="W24" s="1287"/>
      <c r="X24" s="1287"/>
      <c r="Y24" s="1287"/>
      <c r="Z24" s="1287"/>
      <c r="AA24" s="1286"/>
      <c r="AB24" s="1287"/>
      <c r="AC24" s="1287"/>
      <c r="AD24" s="1287"/>
      <c r="AE24" s="1287"/>
      <c r="AF24" s="1286"/>
      <c r="AG24" s="1287"/>
      <c r="AH24" s="1287"/>
      <c r="AI24" s="1287"/>
      <c r="AJ24" s="1287"/>
      <c r="AK24" s="1286"/>
      <c r="AL24" s="1285"/>
      <c r="AM24" s="1285"/>
      <c r="AN24" s="1285"/>
      <c r="AO24" s="1285"/>
      <c r="AP24" s="1286"/>
      <c r="AQ24" s="1285"/>
      <c r="AR24" s="1285"/>
      <c r="AS24" s="1285"/>
      <c r="AT24" s="1285"/>
      <c r="AU24" s="1286"/>
      <c r="AV24" s="1285"/>
      <c r="AW24" s="1285"/>
      <c r="AX24" s="1285"/>
      <c r="AY24" s="1285"/>
      <c r="AZ24" s="1286"/>
      <c r="BA24" s="1285"/>
      <c r="BB24" s="1285"/>
      <c r="BC24" s="1285"/>
      <c r="BD24" s="1285"/>
      <c r="BE24" s="1286"/>
      <c r="BF24" s="1285"/>
      <c r="BG24" s="1285"/>
      <c r="BH24" s="1285"/>
      <c r="BI24" s="1285"/>
      <c r="BJ24" s="1286"/>
      <c r="BK24" s="1285"/>
      <c r="BL24" s="1285"/>
      <c r="BM24" s="1285"/>
      <c r="BN24" s="1285"/>
      <c r="BO24" s="1286"/>
      <c r="BP24" s="1285"/>
      <c r="BQ24" s="1285"/>
      <c r="BR24" s="1285"/>
      <c r="BS24" s="1285"/>
      <c r="BT24" s="1286"/>
      <c r="BU24" s="1285"/>
      <c r="BV24" s="1285"/>
      <c r="BW24" s="1285"/>
      <c r="BX24" s="1285"/>
      <c r="BY24" s="1286"/>
      <c r="BZ24" s="1285"/>
      <c r="CA24" s="1285"/>
      <c r="CB24" s="1285"/>
      <c r="CC24" s="1285"/>
      <c r="CD24" s="1286"/>
      <c r="CE24" s="1285"/>
      <c r="CF24" s="1285"/>
      <c r="CG24" s="1285"/>
      <c r="CH24" s="1285"/>
      <c r="CI24" s="1286"/>
      <c r="CJ24" s="1285"/>
      <c r="CK24" s="1285"/>
      <c r="CL24" s="1285"/>
      <c r="CM24" s="1285"/>
      <c r="CN24" s="1286"/>
      <c r="CO24" s="1285"/>
      <c r="CP24" s="1285"/>
      <c r="CQ24" s="1285"/>
      <c r="CR24" s="1285"/>
      <c r="CS24" s="1286"/>
      <c r="CT24" s="1285"/>
      <c r="CU24" s="1285"/>
      <c r="CV24" s="1285"/>
      <c r="CW24" s="1285"/>
      <c r="CX24" s="1286"/>
      <c r="CY24" s="1288"/>
      <c r="CZ24" s="1288"/>
      <c r="DA24" s="1288"/>
      <c r="DB24" s="1288"/>
      <c r="DC24" s="1289"/>
      <c r="DD24" s="1288"/>
      <c r="DE24" s="1288"/>
      <c r="DF24" s="1288"/>
      <c r="DG24" s="1288"/>
      <c r="DH24" s="1289"/>
      <c r="DI24" s="1288"/>
      <c r="DJ24" s="1288"/>
      <c r="DK24" s="1288"/>
      <c r="DL24" s="1288"/>
      <c r="DM24" s="1289"/>
      <c r="DN24" s="1288"/>
      <c r="DO24" s="1288"/>
      <c r="DP24" s="1288"/>
      <c r="DQ24" s="1288"/>
      <c r="DR24" s="1289"/>
      <c r="DS24" s="1288"/>
      <c r="DT24" s="1288"/>
      <c r="DU24" s="1288"/>
      <c r="DV24" s="1288"/>
      <c r="DW24" s="1289"/>
      <c r="DX24" s="1288"/>
      <c r="DY24" s="1288"/>
      <c r="DZ24" s="1288"/>
      <c r="EA24" s="1288"/>
      <c r="EB24" s="1289"/>
      <c r="EC24" s="1288"/>
      <c r="ED24" s="1288"/>
      <c r="EE24" s="1288"/>
      <c r="EF24" s="1288"/>
      <c r="EG24" s="1289"/>
      <c r="EH24" s="1288"/>
      <c r="EI24" s="1288"/>
      <c r="EJ24" s="1288"/>
      <c r="EK24" s="1288"/>
      <c r="EL24" s="1289"/>
      <c r="EM24" s="1288"/>
      <c r="EN24" s="1288"/>
      <c r="EO24" s="1288"/>
      <c r="EP24" s="1288"/>
      <c r="EQ24" s="1289"/>
      <c r="ER24" s="1288">
        <f>PBP!ER195</f>
      </c>
      <c r="ES24" s="1288">
        <f>PBP!ES195</f>
      </c>
      <c r="ET24" s="1288">
        <f>PBP!ET195</f>
      </c>
      <c r="EU24" s="1288">
        <f>PBP!EU195</f>
      </c>
      <c r="EV24" s="1289">
        <f>PBP!EV195</f>
      </c>
      <c r="EW24" s="1288">
        <f>PBP!EW195</f>
      </c>
      <c r="EX24" s="1288">
        <f>PBP!EX195</f>
      </c>
      <c r="EY24" s="1288">
        <f>PBP!EY195</f>
      </c>
      <c r="EZ24" s="1288">
        <f>PBP!EZ195</f>
      </c>
      <c r="FA24" s="1289">
        <f>PBP!FA195</f>
      </c>
      <c r="FB24" s="1288">
        <f>PBP!FB195</f>
      </c>
      <c r="FC24" s="1288">
        <f>PBP!FC195</f>
      </c>
      <c r="FD24" s="1288">
        <f>PBP!FD195</f>
      </c>
      <c r="FE24" s="1288">
        <f>PBP!FE195</f>
      </c>
      <c r="FF24" s="1289">
        <f>PBP!FF195</f>
      </c>
      <c r="FG24" s="1288">
        <f>PBP!FG195</f>
      </c>
      <c r="FH24" s="1288">
        <f>PBP!FH195</f>
      </c>
      <c r="FI24" s="1288">
        <f>PBP!FI195</f>
      </c>
      <c r="FJ24" s="1288">
        <f>PBP!FJ195</f>
      </c>
      <c r="FK24" s="1289">
        <f>PBP!FK195</f>
      </c>
      <c r="FL24" s="1288">
        <f>PBP!FL195</f>
      </c>
      <c r="FM24" s="1288">
        <f>PBP!FM195</f>
      </c>
      <c r="FN24" s="1288">
        <f>PBP!FN195</f>
      </c>
      <c r="FO24" s="1288">
        <f>PBP!FO195</f>
      </c>
      <c r="FP24" s="1289">
        <f>PBP!FP195</f>
      </c>
      <c r="FQ24" s="1288">
        <f>PBP!FQ195</f>
      </c>
      <c r="FR24" s="1288">
        <f>PBP!FR195</f>
      </c>
      <c r="FS24" s="1288">
        <f>PBP!FS195</f>
      </c>
      <c r="FT24" s="1288">
        <f>PBP!FT195</f>
      </c>
      <c r="FU24" s="1289">
        <f>PBP!FU195</f>
      </c>
      <c r="FV24" s="1288">
        <f>PBP!FV195</f>
      </c>
      <c r="FW24" s="1288">
        <f>PBP!FW195</f>
      </c>
      <c r="FX24" s="1288">
        <f>PBP!FX195</f>
      </c>
      <c r="FY24" s="1288">
        <f>PBP!FY195</f>
      </c>
      <c r="FZ24" s="1289">
        <f>PBP!FZ195</f>
      </c>
      <c r="GA24" s="1288">
        <f>PBP!GA195</f>
      </c>
      <c r="GB24" s="1288">
        <f>PBP!GB195</f>
      </c>
      <c r="GC24" s="1288">
        <f>PBP!GC195</f>
      </c>
      <c r="GD24" s="1288">
        <f>PBP!GD195</f>
      </c>
      <c r="GE24" s="1289">
        <f>PBP!GE195</f>
      </c>
      <c r="GF24" s="1288">
        <f>PBP!GF195</f>
      </c>
      <c r="GG24" s="1288">
        <f>PBP!GG195</f>
      </c>
      <c r="GH24" s="1288">
        <f>PBP!GH195</f>
      </c>
      <c r="GI24" s="1288">
        <f>PBP!GI195</f>
      </c>
      <c r="GJ24" s="1289">
        <f>PBP!GJ195</f>
      </c>
    </row>
    <row r="25" spans="1:192" s="461" customFormat="1" ht="12.75" hidden="1" customHeight="1" outlineLevel="1">
      <c r="A25" s="370"/>
      <c r="B25" s="986" t="s">
        <v>34</v>
      </c>
      <c r="C25" s="987"/>
      <c r="D25" s="987"/>
      <c r="E25" s="987"/>
      <c r="F25" s="987"/>
      <c r="G25" s="988"/>
      <c r="H25" s="987"/>
      <c r="I25" s="987"/>
      <c r="J25" s="987"/>
      <c r="K25" s="987"/>
      <c r="L25" s="988"/>
      <c r="M25" s="987"/>
      <c r="N25" s="987"/>
      <c r="O25" s="987"/>
      <c r="P25" s="987"/>
      <c r="Q25" s="988"/>
      <c r="R25" s="989"/>
      <c r="S25" s="989"/>
      <c r="T25" s="989"/>
      <c r="U25" s="989"/>
      <c r="V25" s="988"/>
      <c r="W25" s="989"/>
      <c r="X25" s="989"/>
      <c r="Y25" s="989"/>
      <c r="Z25" s="989"/>
      <c r="AA25" s="988"/>
      <c r="AB25" s="989"/>
      <c r="AC25" s="989"/>
      <c r="AD25" s="989"/>
      <c r="AE25" s="989"/>
      <c r="AF25" s="988"/>
      <c r="AG25" s="989"/>
      <c r="AH25" s="989"/>
      <c r="AI25" s="989"/>
      <c r="AJ25" s="989"/>
      <c r="AK25" s="988"/>
      <c r="AL25" s="987"/>
      <c r="AM25" s="987"/>
      <c r="AN25" s="987"/>
      <c r="AO25" s="987"/>
      <c r="AP25" s="988"/>
      <c r="AQ25" s="987"/>
      <c r="AR25" s="987"/>
      <c r="AS25" s="987"/>
      <c r="AT25" s="987"/>
      <c r="AU25" s="988"/>
      <c r="AV25" s="987"/>
      <c r="AW25" s="987"/>
      <c r="AX25" s="987"/>
      <c r="AY25" s="987"/>
      <c r="AZ25" s="988"/>
      <c r="BA25" s="987"/>
      <c r="BB25" s="987"/>
      <c r="BC25" s="987"/>
      <c r="BD25" s="987"/>
      <c r="BE25" s="988"/>
      <c r="BF25" s="987"/>
      <c r="BG25" s="987"/>
      <c r="BH25" s="987"/>
      <c r="BI25" s="987"/>
      <c r="BJ25" s="988"/>
      <c r="BK25" s="987"/>
      <c r="BL25" s="987"/>
      <c r="BM25" s="987"/>
      <c r="BN25" s="987"/>
      <c r="BO25" s="988"/>
      <c r="BP25" s="987"/>
      <c r="BQ25" s="987"/>
      <c r="BR25" s="987"/>
      <c r="BS25" s="987"/>
      <c r="BT25" s="988"/>
      <c r="BU25" s="987"/>
      <c r="BV25" s="987"/>
      <c r="BW25" s="987"/>
      <c r="BX25" s="987"/>
      <c r="BY25" s="988"/>
      <c r="BZ25" s="987"/>
      <c r="CA25" s="987"/>
      <c r="CB25" s="987"/>
      <c r="CC25" s="987"/>
      <c r="CD25" s="988"/>
      <c r="CE25" s="987"/>
      <c r="CF25" s="987"/>
      <c r="CG25" s="987"/>
      <c r="CH25" s="987"/>
      <c r="CI25" s="988"/>
      <c r="CJ25" s="987"/>
      <c r="CK25" s="987"/>
      <c r="CL25" s="987"/>
      <c r="CM25" s="987"/>
      <c r="CN25" s="988"/>
      <c r="CO25" s="987"/>
      <c r="CP25" s="987"/>
      <c r="CQ25" s="987"/>
      <c r="CR25" s="987"/>
      <c r="CS25" s="988"/>
      <c r="CT25" s="987"/>
      <c r="CU25" s="987"/>
      <c r="CV25" s="987"/>
      <c r="CW25" s="987"/>
      <c r="CX25" s="988"/>
      <c r="CY25" s="990"/>
      <c r="CZ25" s="990"/>
      <c r="DA25" s="990"/>
      <c r="DB25" s="990"/>
      <c r="DC25" s="991"/>
      <c r="DD25" s="771" t="str">
        <f>IFERROR(DD24/CY24-1,"")</f>
      </c>
      <c r="DE25" s="771" t="str">
        <f>IFERROR(DE24/CZ24-1,"")</f>
      </c>
      <c r="DF25" s="771" t="str">
        <f>IFERROR(DF24/DA24-1,"")</f>
      </c>
      <c r="DG25" s="771" t="str">
        <f>IFERROR(DG24/DB24-1,"")</f>
      </c>
      <c r="DH25" s="1047" t="str">
        <f>IFERROR(DH24/DC24-1,"")</f>
      </c>
      <c r="DI25" s="771"/>
      <c r="DJ25" s="771"/>
      <c r="DK25" s="771"/>
      <c r="DL25" s="771"/>
      <c r="DM25" s="1047"/>
      <c r="DN25" s="771"/>
      <c r="DO25" s="771"/>
      <c r="DP25" s="771"/>
      <c r="DQ25" s="771"/>
      <c r="DR25" s="1047"/>
      <c r="DS25" s="771"/>
      <c r="DT25" s="771"/>
      <c r="DU25" s="771"/>
      <c r="DV25" s="771"/>
      <c r="DW25" s="1047"/>
      <c r="DX25" s="771"/>
      <c r="DY25" s="771"/>
      <c r="DZ25" s="771"/>
      <c r="EA25" s="771"/>
      <c r="EB25" s="1047"/>
      <c r="EC25" s="771"/>
      <c r="ED25" s="771"/>
      <c r="EE25" s="771"/>
      <c r="EF25" s="771"/>
      <c r="EG25" s="1047"/>
      <c r="EH25" s="771"/>
      <c r="EI25" s="771"/>
      <c r="EJ25" s="771"/>
      <c r="EK25" s="771"/>
      <c r="EL25" s="1047"/>
      <c r="EM25" s="771"/>
      <c r="EN25" s="771"/>
      <c r="EO25" s="771"/>
      <c r="EP25" s="771"/>
      <c r="EQ25" s="1047"/>
      <c r="ER25" s="771" t="str">
        <f t="shared" ref="ER25" si="56">IFERROR(ER24/EM24-1,"")</f>
      </c>
      <c r="ES25" s="771" t="str">
        <f t="shared" ref="ES25" si="57">IFERROR(ES24/EN24-1,"")</f>
      </c>
      <c r="ET25" s="771" t="str">
        <f t="shared" ref="ET25" si="58">IFERROR(ET24/EO24-1,"")</f>
      </c>
      <c r="EU25" s="771" t="str">
        <f t="shared" ref="EU25" si="59">IFERROR(EU24/EP24-1,"")</f>
      </c>
      <c r="EV25" s="1047" t="str">
        <f t="shared" ref="EV25" si="60">IFERROR(EV24/EQ24-1,"")</f>
      </c>
      <c r="EW25" s="771">
        <f t="shared" ref="EW25:GE25" si="61">IFERROR(EW24/ER24-1,"")</f>
      </c>
      <c r="EX25" s="771">
        <f t="shared" si="61"/>
      </c>
      <c r="EY25" s="771">
        <f t="shared" si="61"/>
      </c>
      <c r="EZ25" s="771">
        <f t="shared" ref="EZ25" si="62">IFERROR(EZ24/EU24-1,"")</f>
      </c>
      <c r="FA25" s="1047">
        <f t="shared" ref="FA25" si="63">IFERROR(FA24/EV24-1,"")</f>
      </c>
      <c r="FB25" s="771">
        <f t="shared" si="61"/>
      </c>
      <c r="FC25" s="771">
        <f t="shared" si="61"/>
      </c>
      <c r="FD25" s="771">
        <f t="shared" si="61"/>
      </c>
      <c r="FE25" s="771">
        <f t="shared" si="61"/>
      </c>
      <c r="FF25" s="1047">
        <f t="shared" si="61"/>
      </c>
      <c r="FG25" s="771">
        <f t="shared" si="61"/>
      </c>
      <c r="FH25" s="771">
        <f t="shared" si="61"/>
      </c>
      <c r="FI25" s="771">
        <f t="shared" si="61"/>
      </c>
      <c r="FJ25" s="771">
        <f t="shared" si="61"/>
      </c>
      <c r="FK25" s="1047">
        <f t="shared" si="61"/>
      </c>
      <c r="FL25" s="771">
        <f t="shared" si="61"/>
      </c>
      <c r="FM25" s="771">
        <f t="shared" si="61"/>
      </c>
      <c r="FN25" s="771">
        <f t="shared" si="61"/>
      </c>
      <c r="FO25" s="771">
        <f t="shared" si="61"/>
      </c>
      <c r="FP25" s="1047">
        <f t="shared" si="61"/>
      </c>
      <c r="FQ25" s="771">
        <f t="shared" si="61"/>
      </c>
      <c r="FR25" s="771">
        <f t="shared" si="61"/>
      </c>
      <c r="FS25" s="771">
        <f t="shared" si="61"/>
      </c>
      <c r="FT25" s="771">
        <f t="shared" si="61"/>
      </c>
      <c r="FU25" s="1047">
        <f t="shared" si="61"/>
      </c>
      <c r="FV25" s="771">
        <f t="shared" si="61"/>
      </c>
      <c r="FW25" s="771">
        <f t="shared" si="61"/>
      </c>
      <c r="FX25" s="771">
        <f t="shared" si="61"/>
      </c>
      <c r="FY25" s="771">
        <f t="shared" si="61"/>
      </c>
      <c r="FZ25" s="1047">
        <f t="shared" si="61"/>
      </c>
      <c r="GA25" s="771">
        <f t="shared" si="61"/>
      </c>
      <c r="GB25" s="771">
        <f t="shared" si="61"/>
      </c>
      <c r="GC25" s="771">
        <f t="shared" si="61"/>
      </c>
      <c r="GD25" s="771">
        <f t="shared" si="61"/>
      </c>
      <c r="GE25" s="1047">
        <f t="shared" si="61"/>
      </c>
      <c r="GF25" s="771">
        <f t="shared" ref="GF25" si="64">IFERROR(GF24/GA24-1,"")</f>
      </c>
      <c r="GG25" s="771">
        <f t="shared" ref="GG25" si="65">IFERROR(GG24/GB24-1,"")</f>
      </c>
      <c r="GH25" s="771">
        <f t="shared" ref="GH25" si="66">IFERROR(GH24/GC24-1,"")</f>
      </c>
      <c r="GI25" s="771">
        <f t="shared" ref="GI25" si="67">IFERROR(GI24/GD24-1,"")</f>
      </c>
      <c r="GJ25" s="1047">
        <f t="shared" ref="GJ25" si="68">IFERROR(GJ24/GE24-1,"")</f>
      </c>
    </row>
    <row r="26" spans="1:192" s="461" customFormat="1" ht="12.75" hidden="1" customHeight="1" outlineLevel="1">
      <c r="A26" s="370"/>
      <c r="B26" s="986" t="s">
        <v>36</v>
      </c>
      <c r="C26" s="987"/>
      <c r="D26" s="987"/>
      <c r="E26" s="987"/>
      <c r="F26" s="987"/>
      <c r="G26" s="988"/>
      <c r="H26" s="987"/>
      <c r="I26" s="987"/>
      <c r="J26" s="987"/>
      <c r="K26" s="987"/>
      <c r="L26" s="988"/>
      <c r="M26" s="987"/>
      <c r="N26" s="987"/>
      <c r="O26" s="987"/>
      <c r="P26" s="987"/>
      <c r="Q26" s="988"/>
      <c r="R26" s="989"/>
      <c r="S26" s="989"/>
      <c r="T26" s="989"/>
      <c r="U26" s="989"/>
      <c r="V26" s="988"/>
      <c r="W26" s="989"/>
      <c r="X26" s="989"/>
      <c r="Y26" s="989"/>
      <c r="Z26" s="989"/>
      <c r="AA26" s="988"/>
      <c r="AB26" s="989"/>
      <c r="AC26" s="989"/>
      <c r="AD26" s="989"/>
      <c r="AE26" s="989"/>
      <c r="AF26" s="988"/>
      <c r="AG26" s="989"/>
      <c r="AH26" s="989"/>
      <c r="AI26" s="989"/>
      <c r="AJ26" s="989"/>
      <c r="AK26" s="988"/>
      <c r="AL26" s="987"/>
      <c r="AM26" s="987"/>
      <c r="AN26" s="987"/>
      <c r="AO26" s="987"/>
      <c r="AP26" s="988"/>
      <c r="AQ26" s="987"/>
      <c r="AR26" s="987"/>
      <c r="AS26" s="987"/>
      <c r="AT26" s="987"/>
      <c r="AU26" s="988"/>
      <c r="AV26" s="987"/>
      <c r="AW26" s="987"/>
      <c r="AX26" s="987"/>
      <c r="AY26" s="987"/>
      <c r="AZ26" s="988"/>
      <c r="BA26" s="987"/>
      <c r="BB26" s="987"/>
      <c r="BC26" s="987"/>
      <c r="BD26" s="987"/>
      <c r="BE26" s="988"/>
      <c r="BF26" s="987"/>
      <c r="BG26" s="987"/>
      <c r="BH26" s="987"/>
      <c r="BI26" s="987"/>
      <c r="BJ26" s="988"/>
      <c r="BK26" s="987"/>
      <c r="BL26" s="987"/>
      <c r="BM26" s="987"/>
      <c r="BN26" s="987"/>
      <c r="BO26" s="988"/>
      <c r="BP26" s="987"/>
      <c r="BQ26" s="987"/>
      <c r="BR26" s="987"/>
      <c r="BS26" s="987"/>
      <c r="BT26" s="988"/>
      <c r="BU26" s="987"/>
      <c r="BV26" s="987"/>
      <c r="BW26" s="987"/>
      <c r="BX26" s="987"/>
      <c r="BY26" s="988"/>
      <c r="BZ26" s="987"/>
      <c r="CA26" s="987"/>
      <c r="CB26" s="987"/>
      <c r="CC26" s="987"/>
      <c r="CD26" s="988"/>
      <c r="CE26" s="987"/>
      <c r="CF26" s="987"/>
      <c r="CG26" s="987"/>
      <c r="CH26" s="987"/>
      <c r="CI26" s="988"/>
      <c r="CJ26" s="987"/>
      <c r="CK26" s="987"/>
      <c r="CL26" s="987"/>
      <c r="CM26" s="987"/>
      <c r="CN26" s="988"/>
      <c r="CO26" s="987"/>
      <c r="CP26" s="987"/>
      <c r="CQ26" s="987"/>
      <c r="CR26" s="987"/>
      <c r="CS26" s="988"/>
      <c r="CT26" s="987"/>
      <c r="CU26" s="987"/>
      <c r="CV26" s="987"/>
      <c r="CW26" s="987"/>
      <c r="CX26" s="988"/>
      <c r="CY26" s="990"/>
      <c r="CZ26" s="1283" t="str">
        <f>IFERROR(CZ24/CY24-1,"")</f>
      </c>
      <c r="DA26" s="1283" t="str">
        <f>IFERROR(DA24/CZ24-1,"")</f>
      </c>
      <c r="DB26" s="1283" t="str">
        <f>IFERROR(DB24/DA24-1,"")</f>
      </c>
      <c r="DC26" s="1046"/>
      <c r="DD26" s="771" t="str">
        <f>IFERROR(DD24/DB24-1,"")</f>
      </c>
      <c r="DE26" s="1283" t="str">
        <f>IFERROR(DE24/DD24-1,"")</f>
      </c>
      <c r="DF26" s="1283" t="str">
        <f>IFERROR(DF24/DE24-1,"")</f>
      </c>
      <c r="DG26" s="1283" t="str">
        <f>IFERROR(DG24/DF24-1,"")</f>
      </c>
      <c r="DH26" s="991"/>
      <c r="DI26" s="771"/>
      <c r="DJ26" s="1283"/>
      <c r="DK26" s="1283"/>
      <c r="DL26" s="1283"/>
      <c r="DM26" s="991"/>
      <c r="DN26" s="771"/>
      <c r="DO26" s="1283"/>
      <c r="DP26" s="1283"/>
      <c r="DQ26" s="1283"/>
      <c r="DR26" s="991"/>
      <c r="DS26" s="771"/>
      <c r="DT26" s="1283"/>
      <c r="DU26" s="1283"/>
      <c r="DV26" s="1283"/>
      <c r="DW26" s="991"/>
      <c r="DX26" s="771"/>
      <c r="DY26" s="1283"/>
      <c r="DZ26" s="1283"/>
      <c r="EA26" s="1283"/>
      <c r="EB26" s="991"/>
      <c r="EC26" s="771"/>
      <c r="ED26" s="1283"/>
      <c r="EE26" s="1283"/>
      <c r="EF26" s="1283"/>
      <c r="EG26" s="991"/>
      <c r="EH26" s="771"/>
      <c r="EI26" s="1283"/>
      <c r="EJ26" s="1283"/>
      <c r="EK26" s="1283"/>
      <c r="EL26" s="991"/>
      <c r="EM26" s="771"/>
      <c r="EN26" s="1283"/>
      <c r="EO26" s="1283"/>
      <c r="EP26" s="1283"/>
      <c r="EQ26" s="991"/>
      <c r="ER26" s="771" t="str">
        <f>IFERROR(ER24/EP24-1,"")</f>
      </c>
      <c r="ES26" s="1283">
        <f>IFERROR(ES24/ER24-1,"")</f>
      </c>
      <c r="ET26" s="1283">
        <f>IFERROR(ET24/ES24-1,"")</f>
      </c>
      <c r="EU26" s="1283">
        <f>IFERROR(EU24/ET24-1,"")</f>
      </c>
      <c r="EV26" s="991"/>
      <c r="EW26" s="771">
        <f>IFERROR(EW24/EU24-1,"")</f>
      </c>
      <c r="EX26" s="1283">
        <f>IFERROR(EX24/EW24-1,"")</f>
      </c>
      <c r="EY26" s="1283">
        <f>IFERROR(EY24/EX24-1,"")</f>
      </c>
      <c r="EZ26" s="1283">
        <f>IFERROR(EZ24/EY24-1,"")</f>
      </c>
      <c r="FA26" s="991"/>
      <c r="FB26" s="771">
        <f>IFERROR(FB24/EZ24-1,"")</f>
      </c>
      <c r="FC26" s="1283">
        <f>IFERROR(FC24/FB24-1,"")</f>
      </c>
      <c r="FD26" s="1283">
        <f>IFERROR(FD24/FC24-1,"")</f>
      </c>
      <c r="FE26" s="1283">
        <f>IFERROR(FE24/FD24-1,"")</f>
      </c>
      <c r="FF26" s="991"/>
      <c r="FG26" s="771">
        <f>IFERROR(FG24/FE24-1,"")</f>
      </c>
      <c r="FH26" s="1283">
        <f>IFERROR(FH24/FG24-1,"")</f>
      </c>
      <c r="FI26" s="1283">
        <f>IFERROR(FI24/FH24-1,"")</f>
      </c>
      <c r="FJ26" s="1283">
        <f>IFERROR(FJ24/FI24-1,"")</f>
      </c>
      <c r="FK26" s="991"/>
      <c r="FL26" s="771">
        <f>IFERROR(FL24/FJ24-1,"")</f>
      </c>
      <c r="FM26" s="1283">
        <f>IFERROR(FM24/FL24-1,"")</f>
      </c>
      <c r="FN26" s="1283">
        <f>IFERROR(FN24/FM24-1,"")</f>
      </c>
      <c r="FO26" s="1283">
        <f>IFERROR(FO24/FN24-1,"")</f>
      </c>
      <c r="FP26" s="991"/>
      <c r="FQ26" s="771">
        <f>IFERROR(FQ24/FO24-1,"")</f>
      </c>
      <c r="FR26" s="1283">
        <f>IFERROR(FR24/FQ24-1,"")</f>
      </c>
      <c r="FS26" s="1283">
        <f>IFERROR(FS24/FR24-1,"")</f>
      </c>
      <c r="FT26" s="1283">
        <f>IFERROR(FT24/FS24-1,"")</f>
      </c>
      <c r="FU26" s="991"/>
      <c r="FV26" s="771">
        <f>IFERROR(FV24/FT24-1,"")</f>
      </c>
      <c r="FW26" s="1283">
        <f>IFERROR(FW24/FV24-1,"")</f>
      </c>
      <c r="FX26" s="1283">
        <f>IFERROR(FX24/FW24-1,"")</f>
      </c>
      <c r="FY26" s="1283">
        <f>IFERROR(FY24/FX24-1,"")</f>
      </c>
      <c r="FZ26" s="991"/>
      <c r="GA26" s="771">
        <f>IFERROR(GA24/FY24-1,"")</f>
      </c>
      <c r="GB26" s="1283">
        <f>IFERROR(GB24/GA24-1,"")</f>
      </c>
      <c r="GC26" s="1283">
        <f>IFERROR(GC24/GB24-1,"")</f>
      </c>
      <c r="GD26" s="1283">
        <f>IFERROR(GD24/GC24-1,"")</f>
      </c>
      <c r="GE26" s="991"/>
      <c r="GF26" s="771">
        <f>IFERROR(GF24/GD24-1,"")</f>
      </c>
      <c r="GG26" s="1283">
        <f>IFERROR(GG24/GF24-1,"")</f>
      </c>
      <c r="GH26" s="1283">
        <f>IFERROR(GH24/GG24-1,"")</f>
      </c>
      <c r="GI26" s="1283">
        <f>IFERROR(GI24/GH24-1,"")</f>
      </c>
      <c r="GJ26" s="991"/>
    </row>
    <row r="27" spans="1:192" s="461" customFormat="1" ht="12.75" hidden="1" customHeight="1" outlineLevel="1">
      <c r="A27" s="370"/>
      <c r="B27" s="986" t="s">
        <v>1863</v>
      </c>
      <c r="C27" s="987"/>
      <c r="D27" s="987"/>
      <c r="E27" s="987"/>
      <c r="F27" s="987"/>
      <c r="G27" s="988"/>
      <c r="H27" s="987"/>
      <c r="I27" s="987"/>
      <c r="J27" s="987"/>
      <c r="K27" s="987"/>
      <c r="L27" s="988"/>
      <c r="M27" s="987"/>
      <c r="N27" s="987"/>
      <c r="O27" s="987"/>
      <c r="P27" s="987"/>
      <c r="Q27" s="988"/>
      <c r="R27" s="989"/>
      <c r="S27" s="989"/>
      <c r="T27" s="989"/>
      <c r="U27" s="989"/>
      <c r="V27" s="988"/>
      <c r="W27" s="989"/>
      <c r="X27" s="989"/>
      <c r="Y27" s="989"/>
      <c r="Z27" s="989"/>
      <c r="AA27" s="988"/>
      <c r="AB27" s="989"/>
      <c r="AC27" s="989"/>
      <c r="AD27" s="989"/>
      <c r="AE27" s="989"/>
      <c r="AF27" s="988"/>
      <c r="AG27" s="989"/>
      <c r="AH27" s="989"/>
      <c r="AI27" s="989"/>
      <c r="AJ27" s="989"/>
      <c r="AK27" s="988"/>
      <c r="AL27" s="987"/>
      <c r="AM27" s="987"/>
      <c r="AN27" s="987"/>
      <c r="AO27" s="987"/>
      <c r="AP27" s="988"/>
      <c r="AQ27" s="987"/>
      <c r="AR27" s="987"/>
      <c r="AS27" s="987"/>
      <c r="AT27" s="987"/>
      <c r="AU27" s="988"/>
      <c r="AV27" s="987"/>
      <c r="AW27" s="987"/>
      <c r="AX27" s="987"/>
      <c r="AY27" s="987"/>
      <c r="AZ27" s="988"/>
      <c r="BA27" s="987"/>
      <c r="BB27" s="987"/>
      <c r="BC27" s="987"/>
      <c r="BD27" s="987"/>
      <c r="BE27" s="988"/>
      <c r="BF27" s="987"/>
      <c r="BG27" s="987"/>
      <c r="BH27" s="987"/>
      <c r="BI27" s="987"/>
      <c r="BJ27" s="988"/>
      <c r="BK27" s="987"/>
      <c r="BL27" s="987"/>
      <c r="BM27" s="987"/>
      <c r="BN27" s="987"/>
      <c r="BO27" s="988"/>
      <c r="BP27" s="987"/>
      <c r="BQ27" s="987"/>
      <c r="BR27" s="987"/>
      <c r="BS27" s="987"/>
      <c r="BT27" s="988"/>
      <c r="BU27" s="987"/>
      <c r="BV27" s="987"/>
      <c r="BW27" s="987"/>
      <c r="BX27" s="987"/>
      <c r="BY27" s="988"/>
      <c r="BZ27" s="987"/>
      <c r="CA27" s="987"/>
      <c r="CB27" s="987"/>
      <c r="CC27" s="987"/>
      <c r="CD27" s="988"/>
      <c r="CE27" s="987"/>
      <c r="CF27" s="987"/>
      <c r="CG27" s="987"/>
      <c r="CH27" s="987"/>
      <c r="CI27" s="988"/>
      <c r="CJ27" s="987"/>
      <c r="CK27" s="987"/>
      <c r="CL27" s="987"/>
      <c r="CM27" s="987"/>
      <c r="CN27" s="988"/>
      <c r="CO27" s="987"/>
      <c r="CP27" s="987"/>
      <c r="CQ27" s="987"/>
      <c r="CR27" s="987"/>
      <c r="CS27" s="988"/>
      <c r="CT27" s="987"/>
      <c r="CU27" s="987"/>
      <c r="CV27" s="987"/>
      <c r="CW27" s="987"/>
      <c r="CX27" s="988"/>
      <c r="CY27" s="990"/>
      <c r="CZ27" s="1283"/>
      <c r="DA27" s="1283"/>
      <c r="DB27" s="1283"/>
      <c r="DC27" s="1046"/>
      <c r="DD27" s="771"/>
      <c r="DE27" s="1283"/>
      <c r="DF27" s="1283"/>
      <c r="DG27" s="1283"/>
      <c r="DH27" s="991"/>
      <c r="DI27" s="1290"/>
      <c r="DJ27" s="1290"/>
      <c r="DK27" s="1290"/>
      <c r="DL27" s="1290"/>
      <c r="DM27" s="1291"/>
      <c r="DN27" s="1290"/>
      <c r="DO27" s="1290"/>
      <c r="DP27" s="1290"/>
      <c r="DQ27" s="1290"/>
      <c r="DR27" s="1291"/>
      <c r="DS27" s="1290"/>
      <c r="DT27" s="1290"/>
      <c r="DU27" s="1290"/>
      <c r="DV27" s="1290"/>
      <c r="DW27" s="1291"/>
      <c r="DX27" s="1290"/>
      <c r="DY27" s="1290"/>
      <c r="DZ27" s="1290"/>
      <c r="EA27" s="1290"/>
      <c r="EB27" s="1291"/>
      <c r="EC27" s="1290"/>
      <c r="ED27" s="1290"/>
      <c r="EE27" s="1290"/>
      <c r="EF27" s="1290"/>
      <c r="EG27" s="1291"/>
      <c r="EH27" s="1290"/>
      <c r="EI27" s="1290"/>
      <c r="EJ27" s="1290"/>
      <c r="EK27" s="1290"/>
      <c r="EL27" s="1291"/>
      <c r="EM27" s="1290"/>
      <c r="EN27" s="1290"/>
      <c r="EO27" s="1290"/>
      <c r="EP27" s="1290"/>
      <c r="EQ27" s="1291"/>
      <c r="ER27" s="1290">
        <f t="shared" ref="ER27:EV27" si="69">ER24/ER$19</f>
      </c>
      <c r="ES27" s="1290">
        <f t="shared" si="69"/>
      </c>
      <c r="ET27" s="1290">
        <f t="shared" si="69"/>
      </c>
      <c r="EU27" s="1290">
        <f t="shared" si="69"/>
      </c>
      <c r="EV27" s="1291">
        <f t="shared" si="69"/>
      </c>
      <c r="EW27" s="1290">
        <f t="shared" ref="EW27:FT27" si="70">EW24/EW$19</f>
      </c>
      <c r="EX27" s="1290">
        <f t="shared" si="70"/>
      </c>
      <c r="EY27" s="1290">
        <f t="shared" si="70"/>
      </c>
      <c r="EZ27" s="1290">
        <f t="shared" si="70"/>
      </c>
      <c r="FA27" s="1291">
        <f t="shared" si="70"/>
      </c>
      <c r="FB27" s="1290">
        <f t="shared" si="70"/>
      </c>
      <c r="FC27" s="1290">
        <f t="shared" si="70"/>
      </c>
      <c r="FD27" s="1290">
        <f t="shared" si="70"/>
      </c>
      <c r="FE27" s="1290">
        <f t="shared" si="70"/>
      </c>
      <c r="FF27" s="1291">
        <f t="shared" si="70"/>
      </c>
      <c r="FG27" s="1290">
        <f t="shared" si="70"/>
      </c>
      <c r="FH27" s="1290">
        <f t="shared" si="70"/>
      </c>
      <c r="FI27" s="1290">
        <f t="shared" si="70"/>
      </c>
      <c r="FJ27" s="1290">
        <f t="shared" si="70"/>
      </c>
      <c r="FK27" s="1291">
        <f t="shared" si="70"/>
      </c>
      <c r="FL27" s="1290">
        <f t="shared" si="70"/>
      </c>
      <c r="FM27" s="1290">
        <f t="shared" si="70"/>
      </c>
      <c r="FN27" s="1290">
        <f t="shared" si="70"/>
      </c>
      <c r="FO27" s="1290">
        <f t="shared" si="70"/>
      </c>
      <c r="FP27" s="1291">
        <f t="shared" si="70"/>
      </c>
      <c r="FQ27" s="1290">
        <f t="shared" si="70"/>
      </c>
      <c r="FR27" s="1290">
        <f t="shared" si="70"/>
      </c>
      <c r="FS27" s="1290">
        <f t="shared" si="70"/>
      </c>
      <c r="FT27" s="1290">
        <f t="shared" si="70"/>
      </c>
      <c r="FU27" s="1291">
        <f t="shared" ref="FU27:FZ27" si="71">FU24/FU$19</f>
      </c>
      <c r="FV27" s="1290">
        <f t="shared" si="71"/>
      </c>
      <c r="FW27" s="1290">
        <f t="shared" si="71"/>
      </c>
      <c r="FX27" s="1290">
        <f t="shared" si="71"/>
      </c>
      <c r="FY27" s="1290">
        <f t="shared" si="71"/>
      </c>
      <c r="FZ27" s="1291">
        <f t="shared" si="71"/>
      </c>
      <c r="GA27" s="1290">
        <f t="shared" ref="GA27:GJ27" si="72">GA24/GA$19</f>
      </c>
      <c r="GB27" s="1290">
        <f t="shared" si="72"/>
      </c>
      <c r="GC27" s="1290">
        <f t="shared" si="72"/>
      </c>
      <c r="GD27" s="1290">
        <f t="shared" si="72"/>
      </c>
      <c r="GE27" s="1291">
        <f t="shared" si="72"/>
      </c>
      <c r="GF27" s="1290">
        <f t="shared" si="72"/>
      </c>
      <c r="GG27" s="1290">
        <f t="shared" si="72"/>
      </c>
      <c r="GH27" s="1290">
        <f t="shared" si="72"/>
      </c>
      <c r="GI27" s="1290">
        <f t="shared" si="72"/>
      </c>
      <c r="GJ27" s="1291">
        <f t="shared" si="72"/>
      </c>
    </row>
    <row r="28" spans="1:192" s="461" customFormat="1" ht="12.75" hidden="1" customHeight="1" outlineLevel="1">
      <c r="A28" s="370"/>
      <c r="B28" s="986"/>
      <c r="C28" s="987"/>
      <c r="D28" s="987"/>
      <c r="E28" s="987"/>
      <c r="F28" s="987"/>
      <c r="G28" s="988"/>
      <c r="H28" s="987"/>
      <c r="I28" s="987"/>
      <c r="J28" s="987"/>
      <c r="K28" s="987"/>
      <c r="L28" s="988"/>
      <c r="M28" s="987"/>
      <c r="N28" s="987"/>
      <c r="O28" s="987"/>
      <c r="P28" s="987"/>
      <c r="Q28" s="988"/>
      <c r="R28" s="989"/>
      <c r="S28" s="989"/>
      <c r="T28" s="989"/>
      <c r="U28" s="989"/>
      <c r="V28" s="988"/>
      <c r="W28" s="989"/>
      <c r="X28" s="989"/>
      <c r="Y28" s="989"/>
      <c r="Z28" s="989"/>
      <c r="AA28" s="988"/>
      <c r="AB28" s="989"/>
      <c r="AC28" s="989"/>
      <c r="AD28" s="989"/>
      <c r="AE28" s="989"/>
      <c r="AF28" s="988"/>
      <c r="AG28" s="989"/>
      <c r="AH28" s="989"/>
      <c r="AI28" s="989"/>
      <c r="AJ28" s="989"/>
      <c r="AK28" s="988"/>
      <c r="AL28" s="987"/>
      <c r="AM28" s="987"/>
      <c r="AN28" s="987"/>
      <c r="AO28" s="987"/>
      <c r="AP28" s="988"/>
      <c r="AQ28" s="987"/>
      <c r="AR28" s="987"/>
      <c r="AS28" s="987"/>
      <c r="AT28" s="987"/>
      <c r="AU28" s="988"/>
      <c r="AV28" s="987"/>
      <c r="AW28" s="987"/>
      <c r="AX28" s="987"/>
      <c r="AY28" s="987"/>
      <c r="AZ28" s="988"/>
      <c r="BA28" s="987"/>
      <c r="BB28" s="987"/>
      <c r="BC28" s="987"/>
      <c r="BD28" s="987"/>
      <c r="BE28" s="988"/>
      <c r="BF28" s="987"/>
      <c r="BG28" s="987"/>
      <c r="BH28" s="987"/>
      <c r="BI28" s="987"/>
      <c r="BJ28" s="988"/>
      <c r="BK28" s="987"/>
      <c r="BL28" s="987"/>
      <c r="BM28" s="987"/>
      <c r="BN28" s="987"/>
      <c r="BO28" s="988"/>
      <c r="BP28" s="987"/>
      <c r="BQ28" s="987"/>
      <c r="BR28" s="987"/>
      <c r="BS28" s="987"/>
      <c r="BT28" s="988"/>
      <c r="BU28" s="987"/>
      <c r="BV28" s="987"/>
      <c r="BW28" s="987"/>
      <c r="BX28" s="987"/>
      <c r="BY28" s="988"/>
      <c r="BZ28" s="987"/>
      <c r="CA28" s="987"/>
      <c r="CB28" s="987"/>
      <c r="CC28" s="987"/>
      <c r="CD28" s="988"/>
      <c r="CE28" s="987"/>
      <c r="CF28" s="987"/>
      <c r="CG28" s="987"/>
      <c r="CH28" s="987"/>
      <c r="CI28" s="988"/>
      <c r="CJ28" s="987"/>
      <c r="CK28" s="987"/>
      <c r="CL28" s="987"/>
      <c r="CM28" s="987"/>
      <c r="CN28" s="988"/>
      <c r="CO28" s="987"/>
      <c r="CP28" s="987"/>
      <c r="CQ28" s="987"/>
      <c r="CR28" s="987"/>
      <c r="CS28" s="988"/>
      <c r="CT28" s="987"/>
      <c r="CU28" s="987"/>
      <c r="CV28" s="987"/>
      <c r="CW28" s="987"/>
      <c r="CX28" s="988"/>
      <c r="CY28" s="771"/>
      <c r="CZ28" s="771"/>
      <c r="DA28" s="771"/>
      <c r="DB28" s="771"/>
      <c r="DC28" s="1047"/>
      <c r="DD28" s="771"/>
      <c r="DE28" s="771"/>
      <c r="DF28" s="771"/>
      <c r="DG28" s="771"/>
      <c r="DH28" s="1047"/>
      <c r="DI28" s="771"/>
      <c r="DJ28" s="771"/>
      <c r="DK28" s="771"/>
      <c r="DL28" s="771"/>
      <c r="DM28" s="1047"/>
      <c r="DN28" s="771"/>
      <c r="DO28" s="771"/>
      <c r="DP28" s="771"/>
      <c r="DQ28" s="771"/>
      <c r="DR28" s="1047"/>
      <c r="DS28" s="771"/>
      <c r="DT28" s="771"/>
      <c r="DU28" s="771"/>
      <c r="DV28" s="771"/>
      <c r="DW28" s="1047"/>
      <c r="DX28" s="771"/>
      <c r="DY28" s="771"/>
      <c r="DZ28" s="771"/>
      <c r="EA28" s="771"/>
      <c r="EB28" s="1047"/>
      <c r="EC28" s="771"/>
      <c r="ED28" s="771"/>
      <c r="EE28" s="771"/>
      <c r="EF28" s="771"/>
      <c r="EG28" s="1047"/>
      <c r="EH28" s="771"/>
      <c r="EI28" s="771"/>
      <c r="EJ28" s="771"/>
      <c r="EK28" s="771"/>
      <c r="EL28" s="1047"/>
      <c r="EM28" s="771"/>
      <c r="EN28" s="771"/>
      <c r="EO28" s="771"/>
      <c r="EP28" s="771"/>
      <c r="EQ28" s="1047"/>
      <c r="ER28" s="771"/>
      <c r="ES28" s="771"/>
      <c r="ET28" s="771"/>
      <c r="EU28" s="771"/>
      <c r="EV28" s="1047"/>
      <c r="EW28" s="771"/>
      <c r="EX28" s="771"/>
      <c r="EY28" s="771"/>
      <c r="EZ28" s="771"/>
      <c r="FA28" s="1047"/>
      <c r="FB28" s="771"/>
      <c r="FC28" s="771"/>
      <c r="FD28" s="771"/>
      <c r="FE28" s="771"/>
      <c r="FF28" s="1047"/>
      <c r="FG28" s="771"/>
      <c r="FH28" s="771"/>
      <c r="FI28" s="771"/>
      <c r="FJ28" s="771"/>
      <c r="FK28" s="1047"/>
      <c r="FL28" s="771"/>
      <c r="FM28" s="771"/>
      <c r="FN28" s="771"/>
      <c r="FO28" s="771"/>
      <c r="FP28" s="1047"/>
      <c r="FQ28" s="771"/>
      <c r="FR28" s="771"/>
      <c r="FS28" s="771"/>
      <c r="FT28" s="771"/>
      <c r="FU28" s="1047"/>
      <c r="FV28" s="771"/>
      <c r="FW28" s="771"/>
      <c r="FX28" s="771"/>
      <c r="FY28" s="771"/>
      <c r="FZ28" s="1047"/>
      <c r="GA28" s="771"/>
      <c r="GB28" s="771"/>
      <c r="GC28" s="771"/>
      <c r="GD28" s="771"/>
      <c r="GE28" s="1047"/>
      <c r="GF28" s="771"/>
      <c r="GG28" s="771"/>
      <c r="GH28" s="771"/>
      <c r="GI28" s="771"/>
      <c r="GJ28" s="1047"/>
    </row>
    <row r="29" spans="1:192" s="986" customFormat="1" ht="12.75" hidden="1" customHeight="1" outlineLevel="1">
      <c r="A29" s="1284"/>
      <c r="B29" s="625" t="s">
        <v>1993</v>
      </c>
      <c r="C29" s="1285"/>
      <c r="D29" s="1285"/>
      <c r="E29" s="1285"/>
      <c r="F29" s="1285"/>
      <c r="G29" s="1286"/>
      <c r="H29" s="1285"/>
      <c r="I29" s="1285"/>
      <c r="J29" s="1285"/>
      <c r="K29" s="1285"/>
      <c r="L29" s="1286"/>
      <c r="M29" s="1285"/>
      <c r="N29" s="1285"/>
      <c r="O29" s="1285"/>
      <c r="P29" s="1285"/>
      <c r="Q29" s="1286"/>
      <c r="R29" s="1287"/>
      <c r="S29" s="1287"/>
      <c r="T29" s="1287"/>
      <c r="U29" s="1287"/>
      <c r="V29" s="1286"/>
      <c r="W29" s="1287"/>
      <c r="X29" s="1287"/>
      <c r="Y29" s="1287"/>
      <c r="Z29" s="1287"/>
      <c r="AA29" s="1286"/>
      <c r="AB29" s="1287"/>
      <c r="AC29" s="1287"/>
      <c r="AD29" s="1287"/>
      <c r="AE29" s="1287"/>
      <c r="AF29" s="1286"/>
      <c r="AG29" s="1287"/>
      <c r="AH29" s="1287"/>
      <c r="AI29" s="1287"/>
      <c r="AJ29" s="1287"/>
      <c r="AK29" s="1286"/>
      <c r="AL29" s="1285"/>
      <c r="AM29" s="1285"/>
      <c r="AN29" s="1285"/>
      <c r="AO29" s="1285"/>
      <c r="AP29" s="1286"/>
      <c r="AQ29" s="1285"/>
      <c r="AR29" s="1285"/>
      <c r="AS29" s="1285"/>
      <c r="AT29" s="1285"/>
      <c r="AU29" s="1286"/>
      <c r="AV29" s="1285"/>
      <c r="AW29" s="1285"/>
      <c r="AX29" s="1285"/>
      <c r="AY29" s="1285"/>
      <c r="AZ29" s="1286"/>
      <c r="BA29" s="1285"/>
      <c r="BB29" s="1285"/>
      <c r="BC29" s="1285"/>
      <c r="BD29" s="1285"/>
      <c r="BE29" s="1286"/>
      <c r="BF29" s="1285"/>
      <c r="BG29" s="1285"/>
      <c r="BH29" s="1285"/>
      <c r="BI29" s="1285"/>
      <c r="BJ29" s="1286"/>
      <c r="BK29" s="1285"/>
      <c r="BL29" s="1285"/>
      <c r="BM29" s="1285"/>
      <c r="BN29" s="1285"/>
      <c r="BO29" s="1286"/>
      <c r="BP29" s="1285"/>
      <c r="BQ29" s="1285"/>
      <c r="BR29" s="1285"/>
      <c r="BS29" s="1285"/>
      <c r="BT29" s="1286"/>
      <c r="BU29" s="1285"/>
      <c r="BV29" s="1285"/>
      <c r="BW29" s="1285"/>
      <c r="BX29" s="1285"/>
      <c r="BY29" s="1286"/>
      <c r="BZ29" s="1285"/>
      <c r="CA29" s="1285"/>
      <c r="CB29" s="1285"/>
      <c r="CC29" s="1285"/>
      <c r="CD29" s="1286"/>
      <c r="CE29" s="1285"/>
      <c r="CF29" s="1285"/>
      <c r="CG29" s="1285"/>
      <c r="CH29" s="1285"/>
      <c r="CI29" s="1286"/>
      <c r="CJ29" s="1285"/>
      <c r="CK29" s="1285"/>
      <c r="CL29" s="1285"/>
      <c r="CM29" s="1285"/>
      <c r="CN29" s="1286"/>
      <c r="CO29" s="1285"/>
      <c r="CP29" s="1285"/>
      <c r="CQ29" s="1285"/>
      <c r="CR29" s="1285"/>
      <c r="CS29" s="1286"/>
      <c r="CT29" s="1288"/>
      <c r="CU29" s="1288"/>
      <c r="CV29" s="1288"/>
      <c r="CW29" s="1288"/>
      <c r="CX29" s="1289"/>
      <c r="CY29" s="1288"/>
      <c r="CZ29" s="1288"/>
      <c r="DA29" s="1288"/>
      <c r="DB29" s="1288"/>
      <c r="DC29" s="1289"/>
      <c r="DD29" s="1288"/>
      <c r="DE29" s="1288"/>
      <c r="DF29" s="1288"/>
      <c r="DG29" s="1288"/>
      <c r="DH29" s="1289"/>
      <c r="DI29" s="1288"/>
      <c r="DJ29" s="1288"/>
      <c r="DK29" s="1288"/>
      <c r="DL29" s="1288"/>
      <c r="DM29" s="1289"/>
      <c r="DN29" s="1288"/>
      <c r="DO29" s="1288"/>
      <c r="DP29" s="1288"/>
      <c r="DQ29" s="1288"/>
      <c r="DR29" s="1289"/>
      <c r="DS29" s="1288"/>
      <c r="DT29" s="1288"/>
      <c r="DU29" s="1288"/>
      <c r="DV29" s="1288"/>
      <c r="DW29" s="1289"/>
      <c r="DX29" s="1288"/>
      <c r="DY29" s="1288"/>
      <c r="DZ29" s="1288"/>
      <c r="EA29" s="1288"/>
      <c r="EB29" s="1289"/>
      <c r="EC29" s="1288"/>
      <c r="ED29" s="1288"/>
      <c r="EE29" s="1288"/>
      <c r="EF29" s="1288"/>
      <c r="EG29" s="1289"/>
      <c r="EH29" s="1288"/>
      <c r="EI29" s="1288"/>
      <c r="EJ29" s="1288"/>
      <c r="EK29" s="1288"/>
      <c r="EL29" s="1289"/>
      <c r="EM29" s="1288"/>
      <c r="EN29" s="1288"/>
      <c r="EO29" s="1288"/>
      <c r="EP29" s="1288"/>
      <c r="EQ29" s="1289"/>
      <c r="ER29" s="1288">
        <f>PBP!ER131</f>
      </c>
      <c r="ES29" s="1288">
        <f>PBP!ES131</f>
      </c>
      <c r="ET29" s="1288">
        <f>PBP!ET131</f>
      </c>
      <c r="EU29" s="1288">
        <f>PBP!EU131</f>
      </c>
      <c r="EV29" s="1289">
        <f>PBP!EV131</f>
      </c>
      <c r="EW29" s="1288">
        <f>PBP!EW131</f>
      </c>
      <c r="EX29" s="1288">
        <f>PBP!EX131</f>
      </c>
      <c r="EY29" s="1288">
        <f>PBP!EY131</f>
      </c>
      <c r="EZ29" s="1288">
        <f>PBP!EZ131</f>
      </c>
      <c r="FA29" s="1289">
        <f>PBP!FA131</f>
      </c>
      <c r="FB29" s="1288">
        <f>PBP!FB131</f>
      </c>
      <c r="FC29" s="1288">
        <f>PBP!FC131</f>
      </c>
      <c r="FD29" s="1288">
        <f>PBP!FD131</f>
      </c>
      <c r="FE29" s="1288">
        <f>PBP!FE131</f>
      </c>
      <c r="FF29" s="1289">
        <f>PBP!FF131</f>
      </c>
      <c r="FG29" s="1288">
        <f>PBP!FG131</f>
      </c>
      <c r="FH29" s="1288">
        <f>PBP!FH131</f>
      </c>
      <c r="FI29" s="1288">
        <f>PBP!FI131</f>
      </c>
      <c r="FJ29" s="1288">
        <f>PBP!FJ131</f>
      </c>
      <c r="FK29" s="1289">
        <f>PBP!FK131</f>
      </c>
      <c r="FL29" s="1288">
        <f>PBP!FL131</f>
      </c>
      <c r="FM29" s="1288">
        <f>PBP!FM131</f>
      </c>
      <c r="FN29" s="1288">
        <f>PBP!FN131</f>
      </c>
      <c r="FO29" s="1288">
        <f>PBP!FO131</f>
      </c>
      <c r="FP29" s="1289">
        <f>PBP!FP131</f>
      </c>
      <c r="FQ29" s="1288">
        <f>PBP!FQ131</f>
      </c>
      <c r="FR29" s="1288">
        <f>PBP!FR131</f>
      </c>
      <c r="FS29" s="1288">
        <f>PBP!FS131</f>
      </c>
      <c r="FT29" s="1288">
        <f>PBP!FT131</f>
      </c>
      <c r="FU29" s="1289">
        <f>PBP!FU131</f>
      </c>
      <c r="FV29" s="1288">
        <f>PBP!FV131</f>
      </c>
      <c r="FW29" s="1288">
        <f>PBP!FW131</f>
      </c>
      <c r="FX29" s="1288">
        <f>PBP!FX131</f>
      </c>
      <c r="FY29" s="1288">
        <f>PBP!FY131</f>
      </c>
      <c r="FZ29" s="1289">
        <f>PBP!FZ131</f>
      </c>
      <c r="GA29" s="1288">
        <f>PBP!GA131</f>
      </c>
      <c r="GB29" s="1288">
        <f>PBP!GB131</f>
      </c>
      <c r="GC29" s="1288">
        <f>PBP!GC131</f>
      </c>
      <c r="GD29" s="1288">
        <f>PBP!GD131</f>
      </c>
      <c r="GE29" s="1289">
        <f>PBP!GE131</f>
      </c>
      <c r="GF29" s="1288">
        <f>PBP!GF131</f>
      </c>
      <c r="GG29" s="1288">
        <f>PBP!GG131</f>
      </c>
      <c r="GH29" s="1288">
        <f>PBP!GH131</f>
      </c>
      <c r="GI29" s="1288">
        <f>PBP!GI131</f>
      </c>
      <c r="GJ29" s="1289">
        <f>PBP!GJ131</f>
      </c>
    </row>
    <row r="30" spans="1:192" s="461" customFormat="1" ht="12.75" hidden="1" customHeight="1" outlineLevel="1">
      <c r="A30" s="370"/>
      <c r="B30" s="986" t="s">
        <v>34</v>
      </c>
      <c r="C30" s="987"/>
      <c r="D30" s="987"/>
      <c r="E30" s="987"/>
      <c r="F30" s="987"/>
      <c r="G30" s="988"/>
      <c r="H30" s="987"/>
      <c r="I30" s="987"/>
      <c r="J30" s="987"/>
      <c r="K30" s="987"/>
      <c r="L30" s="988"/>
      <c r="M30" s="987"/>
      <c r="N30" s="987"/>
      <c r="O30" s="987"/>
      <c r="P30" s="987"/>
      <c r="Q30" s="988"/>
      <c r="R30" s="989"/>
      <c r="S30" s="989"/>
      <c r="T30" s="989"/>
      <c r="U30" s="989"/>
      <c r="V30" s="988"/>
      <c r="W30" s="989"/>
      <c r="X30" s="989"/>
      <c r="Y30" s="989"/>
      <c r="Z30" s="989"/>
      <c r="AA30" s="988"/>
      <c r="AB30" s="989"/>
      <c r="AC30" s="989"/>
      <c r="AD30" s="989"/>
      <c r="AE30" s="989"/>
      <c r="AF30" s="988"/>
      <c r="AG30" s="989"/>
      <c r="AH30" s="989"/>
      <c r="AI30" s="989"/>
      <c r="AJ30" s="989"/>
      <c r="AK30" s="988"/>
      <c r="AL30" s="987"/>
      <c r="AM30" s="987"/>
      <c r="AN30" s="987"/>
      <c r="AO30" s="987"/>
      <c r="AP30" s="988"/>
      <c r="AQ30" s="987"/>
      <c r="AR30" s="987"/>
      <c r="AS30" s="987"/>
      <c r="AT30" s="987"/>
      <c r="AU30" s="988"/>
      <c r="AV30" s="987"/>
      <c r="AW30" s="987"/>
      <c r="AX30" s="987"/>
      <c r="AY30" s="987"/>
      <c r="AZ30" s="988"/>
      <c r="BA30" s="987"/>
      <c r="BB30" s="987"/>
      <c r="BC30" s="987"/>
      <c r="BD30" s="987"/>
      <c r="BE30" s="988"/>
      <c r="BF30" s="987"/>
      <c r="BG30" s="987"/>
      <c r="BH30" s="987"/>
      <c r="BI30" s="987"/>
      <c r="BJ30" s="988"/>
      <c r="BK30" s="987"/>
      <c r="BL30" s="987"/>
      <c r="BM30" s="987"/>
      <c r="BN30" s="987"/>
      <c r="BO30" s="988"/>
      <c r="BP30" s="987"/>
      <c r="BQ30" s="987"/>
      <c r="BR30" s="987"/>
      <c r="BS30" s="987"/>
      <c r="BT30" s="988"/>
      <c r="BU30" s="987"/>
      <c r="BV30" s="987"/>
      <c r="BW30" s="987"/>
      <c r="BX30" s="987"/>
      <c r="BY30" s="988"/>
      <c r="BZ30" s="987"/>
      <c r="CA30" s="987"/>
      <c r="CB30" s="987"/>
      <c r="CC30" s="987"/>
      <c r="CD30" s="988"/>
      <c r="CE30" s="987"/>
      <c r="CF30" s="987"/>
      <c r="CG30" s="987"/>
      <c r="CH30" s="987"/>
      <c r="CI30" s="988"/>
      <c r="CJ30" s="987"/>
      <c r="CK30" s="987"/>
      <c r="CL30" s="987"/>
      <c r="CM30" s="987"/>
      <c r="CN30" s="988"/>
      <c r="CO30" s="987"/>
      <c r="CP30" s="987"/>
      <c r="CQ30" s="987"/>
      <c r="CR30" s="987"/>
      <c r="CS30" s="988"/>
      <c r="CT30" s="771"/>
      <c r="CU30" s="771"/>
      <c r="CV30" s="771"/>
      <c r="CW30" s="771"/>
      <c r="CX30" s="1047"/>
      <c r="CY30" s="771"/>
      <c r="CZ30" s="771"/>
      <c r="DA30" s="771"/>
      <c r="DB30" s="771"/>
      <c r="DC30" s="1047"/>
      <c r="DD30" s="771"/>
      <c r="DE30" s="771"/>
      <c r="DF30" s="771"/>
      <c r="DG30" s="771"/>
      <c r="DH30" s="1047"/>
      <c r="DI30" s="771"/>
      <c r="DJ30" s="771"/>
      <c r="DK30" s="771"/>
      <c r="DL30" s="771"/>
      <c r="DM30" s="1047"/>
      <c r="DN30" s="771"/>
      <c r="DO30" s="771"/>
      <c r="DP30" s="771"/>
      <c r="DQ30" s="771"/>
      <c r="DR30" s="1047"/>
      <c r="DS30" s="771"/>
      <c r="DT30" s="771"/>
      <c r="DU30" s="771"/>
      <c r="DV30" s="771"/>
      <c r="DW30" s="1047"/>
      <c r="DX30" s="771"/>
      <c r="DY30" s="771"/>
      <c r="DZ30" s="771"/>
      <c r="EA30" s="771"/>
      <c r="EB30" s="1047"/>
      <c r="EC30" s="771"/>
      <c r="ED30" s="771"/>
      <c r="EE30" s="771"/>
      <c r="EF30" s="771"/>
      <c r="EG30" s="1047"/>
      <c r="EH30" s="771"/>
      <c r="EI30" s="771"/>
      <c r="EJ30" s="771"/>
      <c r="EK30" s="771"/>
      <c r="EL30" s="1047"/>
      <c r="EM30" s="771"/>
      <c r="EN30" s="771"/>
      <c r="EO30" s="771"/>
      <c r="EP30" s="771"/>
      <c r="EQ30" s="1047"/>
      <c r="ER30" s="771" t="str">
        <f t="shared" ref="ER30" si="73">IFERROR(ER29/EM29-1,"")</f>
      </c>
      <c r="ES30" s="771" t="str">
        <f t="shared" ref="ES30" si="74">IFERROR(ES29/EN29-1,"")</f>
      </c>
      <c r="ET30" s="771" t="str">
        <f t="shared" ref="ET30" si="75">IFERROR(ET29/EO29-1,"")</f>
      </c>
      <c r="EU30" s="771" t="str">
        <f t="shared" ref="EU30" si="76">IFERROR(EU29/EP29-1,"")</f>
      </c>
      <c r="EV30" s="1047" t="str">
        <f t="shared" ref="EV30" si="77">IFERROR(EV29/EQ29-1,"")</f>
      </c>
      <c r="EW30" s="771">
        <f t="shared" ref="EW30:GE30" si="78">IFERROR(EW29/ER29-1,"")</f>
      </c>
      <c r="EX30" s="771">
        <f t="shared" si="78"/>
      </c>
      <c r="EY30" s="771">
        <f t="shared" si="78"/>
      </c>
      <c r="EZ30" s="771">
        <f t="shared" ref="EZ30" si="79">IFERROR(EZ29/EU29-1,"")</f>
      </c>
      <c r="FA30" s="1047">
        <f t="shared" ref="FA30" si="80">IFERROR(FA29/EV29-1,"")</f>
      </c>
      <c r="FB30" s="771">
        <f t="shared" si="78"/>
      </c>
      <c r="FC30" s="771">
        <f t="shared" si="78"/>
      </c>
      <c r="FD30" s="771">
        <f t="shared" si="78"/>
      </c>
      <c r="FE30" s="771">
        <f t="shared" si="78"/>
      </c>
      <c r="FF30" s="1047">
        <f t="shared" si="78"/>
      </c>
      <c r="FG30" s="771">
        <f t="shared" si="78"/>
      </c>
      <c r="FH30" s="771">
        <f t="shared" si="78"/>
      </c>
      <c r="FI30" s="771">
        <f t="shared" si="78"/>
      </c>
      <c r="FJ30" s="771">
        <f t="shared" si="78"/>
      </c>
      <c r="FK30" s="1047">
        <f t="shared" si="78"/>
      </c>
      <c r="FL30" s="771">
        <f t="shared" si="78"/>
      </c>
      <c r="FM30" s="771">
        <f t="shared" si="78"/>
      </c>
      <c r="FN30" s="771">
        <f t="shared" si="78"/>
      </c>
      <c r="FO30" s="771">
        <f t="shared" si="78"/>
      </c>
      <c r="FP30" s="1047">
        <f t="shared" si="78"/>
      </c>
      <c r="FQ30" s="771">
        <f t="shared" si="78"/>
      </c>
      <c r="FR30" s="771">
        <f t="shared" si="78"/>
      </c>
      <c r="FS30" s="771">
        <f t="shared" si="78"/>
      </c>
      <c r="FT30" s="771">
        <f t="shared" si="78"/>
      </c>
      <c r="FU30" s="1047">
        <f t="shared" si="78"/>
      </c>
      <c r="FV30" s="771">
        <f t="shared" si="78"/>
      </c>
      <c r="FW30" s="771">
        <f t="shared" si="78"/>
      </c>
      <c r="FX30" s="771">
        <f t="shared" si="78"/>
      </c>
      <c r="FY30" s="771">
        <f t="shared" si="78"/>
      </c>
      <c r="FZ30" s="1047">
        <f t="shared" si="78"/>
      </c>
      <c r="GA30" s="771">
        <f t="shared" si="78"/>
      </c>
      <c r="GB30" s="771">
        <f t="shared" si="78"/>
      </c>
      <c r="GC30" s="771">
        <f t="shared" si="78"/>
      </c>
      <c r="GD30" s="771">
        <f t="shared" si="78"/>
      </c>
      <c r="GE30" s="1047">
        <f t="shared" si="78"/>
      </c>
      <c r="GF30" s="771">
        <f t="shared" ref="GF30" si="81">IFERROR(GF29/GA29-1,"")</f>
      </c>
      <c r="GG30" s="771">
        <f t="shared" ref="GG30" si="82">IFERROR(GG29/GB29-1,"")</f>
      </c>
      <c r="GH30" s="771">
        <f t="shared" ref="GH30" si="83">IFERROR(GH29/GC29-1,"")</f>
      </c>
      <c r="GI30" s="771">
        <f t="shared" ref="GI30" si="84">IFERROR(GI29/GD29-1,"")</f>
      </c>
      <c r="GJ30" s="1047">
        <f t="shared" ref="GJ30" si="85">IFERROR(GJ29/GE29-1,"")</f>
      </c>
    </row>
    <row r="31" spans="1:192" s="461" customFormat="1" ht="12.75" hidden="1" customHeight="1" outlineLevel="1">
      <c r="A31" s="370"/>
      <c r="B31" s="986" t="s">
        <v>36</v>
      </c>
      <c r="C31" s="987"/>
      <c r="D31" s="987"/>
      <c r="E31" s="987"/>
      <c r="F31" s="987"/>
      <c r="G31" s="988"/>
      <c r="H31" s="987"/>
      <c r="I31" s="987"/>
      <c r="J31" s="987"/>
      <c r="K31" s="987"/>
      <c r="L31" s="988"/>
      <c r="M31" s="987"/>
      <c r="N31" s="987"/>
      <c r="O31" s="987"/>
      <c r="P31" s="987"/>
      <c r="Q31" s="988"/>
      <c r="R31" s="989"/>
      <c r="S31" s="989"/>
      <c r="T31" s="989"/>
      <c r="U31" s="989"/>
      <c r="V31" s="988"/>
      <c r="W31" s="989"/>
      <c r="X31" s="989"/>
      <c r="Y31" s="989"/>
      <c r="Z31" s="989"/>
      <c r="AA31" s="988"/>
      <c r="AB31" s="989"/>
      <c r="AC31" s="989"/>
      <c r="AD31" s="989"/>
      <c r="AE31" s="989"/>
      <c r="AF31" s="988"/>
      <c r="AG31" s="989"/>
      <c r="AH31" s="989"/>
      <c r="AI31" s="989"/>
      <c r="AJ31" s="989"/>
      <c r="AK31" s="988"/>
      <c r="AL31" s="987"/>
      <c r="AM31" s="987"/>
      <c r="AN31" s="987"/>
      <c r="AO31" s="987"/>
      <c r="AP31" s="988"/>
      <c r="AQ31" s="987"/>
      <c r="AR31" s="987"/>
      <c r="AS31" s="987"/>
      <c r="AT31" s="987"/>
      <c r="AU31" s="988"/>
      <c r="AV31" s="987"/>
      <c r="AW31" s="987"/>
      <c r="AX31" s="987"/>
      <c r="AY31" s="987"/>
      <c r="AZ31" s="988"/>
      <c r="BA31" s="987"/>
      <c r="BB31" s="987"/>
      <c r="BC31" s="987"/>
      <c r="BD31" s="987"/>
      <c r="BE31" s="988"/>
      <c r="BF31" s="987"/>
      <c r="BG31" s="987"/>
      <c r="BH31" s="987"/>
      <c r="BI31" s="987"/>
      <c r="BJ31" s="988"/>
      <c r="BK31" s="987"/>
      <c r="BL31" s="987"/>
      <c r="BM31" s="987"/>
      <c r="BN31" s="987"/>
      <c r="BO31" s="988"/>
      <c r="BP31" s="987"/>
      <c r="BQ31" s="987"/>
      <c r="BR31" s="987"/>
      <c r="BS31" s="987"/>
      <c r="BT31" s="988"/>
      <c r="BU31" s="987"/>
      <c r="BV31" s="987"/>
      <c r="BW31" s="987"/>
      <c r="BX31" s="987"/>
      <c r="BY31" s="988"/>
      <c r="BZ31" s="987"/>
      <c r="CA31" s="987"/>
      <c r="CB31" s="987"/>
      <c r="CC31" s="987"/>
      <c r="CD31" s="988"/>
      <c r="CE31" s="987"/>
      <c r="CF31" s="987"/>
      <c r="CG31" s="987"/>
      <c r="CH31" s="987"/>
      <c r="CI31" s="988"/>
      <c r="CJ31" s="987"/>
      <c r="CK31" s="987"/>
      <c r="CL31" s="987"/>
      <c r="CM31" s="987"/>
      <c r="CN31" s="988"/>
      <c r="CO31" s="987"/>
      <c r="CP31" s="987"/>
      <c r="CQ31" s="987"/>
      <c r="CR31" s="987"/>
      <c r="CS31" s="988"/>
      <c r="CT31" s="771"/>
      <c r="CU31" s="1283"/>
      <c r="CV31" s="1283"/>
      <c r="CW31" s="1283"/>
      <c r="CX31" s="991"/>
      <c r="CY31" s="771"/>
      <c r="CZ31" s="1283"/>
      <c r="DA31" s="1283"/>
      <c r="DB31" s="1283"/>
      <c r="DC31" s="991"/>
      <c r="DD31" s="771"/>
      <c r="DE31" s="1283"/>
      <c r="DF31" s="1283"/>
      <c r="DG31" s="1283"/>
      <c r="DH31" s="991"/>
      <c r="DI31" s="771"/>
      <c r="DJ31" s="1283"/>
      <c r="DK31" s="1283"/>
      <c r="DL31" s="1283"/>
      <c r="DM31" s="991"/>
      <c r="DN31" s="771"/>
      <c r="DO31" s="1283"/>
      <c r="DP31" s="1283"/>
      <c r="DQ31" s="1283"/>
      <c r="DR31" s="991"/>
      <c r="DS31" s="771"/>
      <c r="DT31" s="1283"/>
      <c r="DU31" s="1283"/>
      <c r="DV31" s="1283"/>
      <c r="DW31" s="991"/>
      <c r="DX31" s="771"/>
      <c r="DY31" s="1283"/>
      <c r="DZ31" s="1283"/>
      <c r="EA31" s="1283"/>
      <c r="EB31" s="991"/>
      <c r="EC31" s="771"/>
      <c r="ED31" s="1283"/>
      <c r="EE31" s="1283"/>
      <c r="EF31" s="1283"/>
      <c r="EG31" s="991"/>
      <c r="EH31" s="771"/>
      <c r="EI31" s="1283"/>
      <c r="EJ31" s="1283"/>
      <c r="EK31" s="1283"/>
      <c r="EL31" s="991"/>
      <c r="EM31" s="771"/>
      <c r="EN31" s="1283"/>
      <c r="EO31" s="1283"/>
      <c r="EP31" s="1283"/>
      <c r="EQ31" s="991"/>
      <c r="ER31" s="771" t="str">
        <f>IFERROR(ER29/EP29-1,"")</f>
      </c>
      <c r="ES31" s="1283">
        <f>IFERROR(ES29/ER29-1,"")</f>
      </c>
      <c r="ET31" s="1283">
        <f>IFERROR(ET29/ES29-1,"")</f>
      </c>
      <c r="EU31" s="1283">
        <f>IFERROR(EU29/ET29-1,"")</f>
      </c>
      <c r="EV31" s="991"/>
      <c r="EW31" s="771">
        <f>IFERROR(EW29/EU29-1,"")</f>
      </c>
      <c r="EX31" s="1283">
        <f>IFERROR(EX29/EW29-1,"")</f>
      </c>
      <c r="EY31" s="1283">
        <f>IFERROR(EY29/EX29-1,"")</f>
      </c>
      <c r="EZ31" s="1283">
        <f>IFERROR(EZ29/EY29-1,"")</f>
      </c>
      <c r="FA31" s="991"/>
      <c r="FB31" s="771">
        <f>IFERROR(FB29/EZ29-1,"")</f>
      </c>
      <c r="FC31" s="1283">
        <f>IFERROR(FC29/FB29-1,"")</f>
      </c>
      <c r="FD31" s="1283">
        <f>IFERROR(FD29/FC29-1,"")</f>
      </c>
      <c r="FE31" s="1283">
        <f>IFERROR(FE29/FD29-1,"")</f>
      </c>
      <c r="FF31" s="991"/>
      <c r="FG31" s="771">
        <f>IFERROR(FG29/FE29-1,"")</f>
      </c>
      <c r="FH31" s="1283">
        <f>IFERROR(FH29/FG29-1,"")</f>
      </c>
      <c r="FI31" s="1283">
        <f>IFERROR(FI29/FH29-1,"")</f>
      </c>
      <c r="FJ31" s="1283">
        <f>IFERROR(FJ29/FI29-1,"")</f>
      </c>
      <c r="FK31" s="991"/>
      <c r="FL31" s="771">
        <f>IFERROR(FL29/FJ29-1,"")</f>
      </c>
      <c r="FM31" s="1283">
        <f>IFERROR(FM29/FL29-1,"")</f>
      </c>
      <c r="FN31" s="1283">
        <f>IFERROR(FN29/FM29-1,"")</f>
      </c>
      <c r="FO31" s="1283">
        <f>IFERROR(FO29/FN29-1,"")</f>
      </c>
      <c r="FP31" s="991"/>
      <c r="FQ31" s="771">
        <f>IFERROR(FQ29/FO29-1,"")</f>
      </c>
      <c r="FR31" s="1283">
        <f>IFERROR(FR29/FQ29-1,"")</f>
      </c>
      <c r="FS31" s="1283">
        <f>IFERROR(FS29/FR29-1,"")</f>
      </c>
      <c r="FT31" s="1283">
        <f>IFERROR(FT29/FS29-1,"")</f>
      </c>
      <c r="FU31" s="991"/>
      <c r="FV31" s="771">
        <f>IFERROR(FV29/FT29-1,"")</f>
      </c>
      <c r="FW31" s="1283">
        <f>IFERROR(FW29/FV29-1,"")</f>
      </c>
      <c r="FX31" s="1283">
        <f>IFERROR(FX29/FW29-1,"")</f>
      </c>
      <c r="FY31" s="1283">
        <f>IFERROR(FY29/FX29-1,"")</f>
      </c>
      <c r="FZ31" s="991"/>
      <c r="GA31" s="771">
        <f>IFERROR(GA29/FY29-1,"")</f>
      </c>
      <c r="GB31" s="1283">
        <f>IFERROR(GB29/GA29-1,"")</f>
      </c>
      <c r="GC31" s="1283">
        <f>IFERROR(GC29/GB29-1,"")</f>
      </c>
      <c r="GD31" s="1283">
        <f>IFERROR(GD29/GC29-1,"")</f>
      </c>
      <c r="GE31" s="991"/>
      <c r="GF31" s="771">
        <f>IFERROR(GF29/GD29-1,"")</f>
      </c>
      <c r="GG31" s="1283">
        <f>IFERROR(GG29/GF29-1,"")</f>
      </c>
      <c r="GH31" s="1283">
        <f>IFERROR(GH29/GG29-1,"")</f>
      </c>
      <c r="GI31" s="1283">
        <f>IFERROR(GI29/GH29-1,"")</f>
      </c>
      <c r="GJ31" s="991"/>
    </row>
    <row r="32" spans="1:192" s="461" customFormat="1" ht="12.75" hidden="1" customHeight="1" outlineLevel="1">
      <c r="A32" s="370"/>
      <c r="B32" s="986" t="s">
        <v>1863</v>
      </c>
      <c r="C32" s="987"/>
      <c r="D32" s="987"/>
      <c r="E32" s="987"/>
      <c r="F32" s="987"/>
      <c r="G32" s="988"/>
      <c r="H32" s="987"/>
      <c r="I32" s="987"/>
      <c r="J32" s="987"/>
      <c r="K32" s="987"/>
      <c r="L32" s="988"/>
      <c r="M32" s="987"/>
      <c r="N32" s="987"/>
      <c r="O32" s="987"/>
      <c r="P32" s="987"/>
      <c r="Q32" s="988"/>
      <c r="R32" s="989"/>
      <c r="S32" s="989"/>
      <c r="T32" s="989"/>
      <c r="U32" s="989"/>
      <c r="V32" s="988"/>
      <c r="W32" s="989"/>
      <c r="X32" s="989"/>
      <c r="Y32" s="989"/>
      <c r="Z32" s="989"/>
      <c r="AA32" s="988"/>
      <c r="AB32" s="989"/>
      <c r="AC32" s="989"/>
      <c r="AD32" s="989"/>
      <c r="AE32" s="989"/>
      <c r="AF32" s="988"/>
      <c r="AG32" s="989"/>
      <c r="AH32" s="989"/>
      <c r="AI32" s="989"/>
      <c r="AJ32" s="989"/>
      <c r="AK32" s="988"/>
      <c r="AL32" s="987"/>
      <c r="AM32" s="987"/>
      <c r="AN32" s="987"/>
      <c r="AO32" s="987"/>
      <c r="AP32" s="988"/>
      <c r="AQ32" s="987"/>
      <c r="AR32" s="987"/>
      <c r="AS32" s="987"/>
      <c r="AT32" s="987"/>
      <c r="AU32" s="988"/>
      <c r="AV32" s="987"/>
      <c r="AW32" s="987"/>
      <c r="AX32" s="987"/>
      <c r="AY32" s="987"/>
      <c r="AZ32" s="988"/>
      <c r="BA32" s="987"/>
      <c r="BB32" s="987"/>
      <c r="BC32" s="987"/>
      <c r="BD32" s="987"/>
      <c r="BE32" s="988"/>
      <c r="BF32" s="987"/>
      <c r="BG32" s="987"/>
      <c r="BH32" s="987"/>
      <c r="BI32" s="987"/>
      <c r="BJ32" s="988"/>
      <c r="BK32" s="987"/>
      <c r="BL32" s="987"/>
      <c r="BM32" s="987"/>
      <c r="BN32" s="987"/>
      <c r="BO32" s="988"/>
      <c r="BP32" s="987"/>
      <c r="BQ32" s="987"/>
      <c r="BR32" s="987"/>
      <c r="BS32" s="987"/>
      <c r="BT32" s="988"/>
      <c r="BU32" s="987"/>
      <c r="BV32" s="987"/>
      <c r="BW32" s="987"/>
      <c r="BX32" s="987"/>
      <c r="BY32" s="988"/>
      <c r="BZ32" s="987"/>
      <c r="CA32" s="987"/>
      <c r="CB32" s="987"/>
      <c r="CC32" s="987"/>
      <c r="CD32" s="988"/>
      <c r="CE32" s="987"/>
      <c r="CF32" s="987"/>
      <c r="CG32" s="987"/>
      <c r="CH32" s="987"/>
      <c r="CI32" s="988"/>
      <c r="CJ32" s="987"/>
      <c r="CK32" s="987"/>
      <c r="CL32" s="987"/>
      <c r="CM32" s="987"/>
      <c r="CN32" s="988"/>
      <c r="CO32" s="987"/>
      <c r="CP32" s="987"/>
      <c r="CQ32" s="987"/>
      <c r="CR32" s="987"/>
      <c r="CS32" s="988"/>
      <c r="CT32" s="987"/>
      <c r="CU32" s="987"/>
      <c r="CV32" s="987"/>
      <c r="CW32" s="987"/>
      <c r="CX32" s="988"/>
      <c r="CY32" s="1290"/>
      <c r="CZ32" s="1290"/>
      <c r="DA32" s="1290"/>
      <c r="DB32" s="1290"/>
      <c r="DC32" s="1291"/>
      <c r="DD32" s="1290"/>
      <c r="DE32" s="1290"/>
      <c r="DF32" s="1290"/>
      <c r="DG32" s="1290"/>
      <c r="DH32" s="1291"/>
      <c r="DI32" s="1290"/>
      <c r="DJ32" s="1290"/>
      <c r="DK32" s="1290"/>
      <c r="DL32" s="1290"/>
      <c r="DM32" s="1291"/>
      <c r="DN32" s="1290"/>
      <c r="DO32" s="1290"/>
      <c r="DP32" s="1290"/>
      <c r="DQ32" s="1290"/>
      <c r="DR32" s="1291"/>
      <c r="DS32" s="1290"/>
      <c r="DT32" s="1290"/>
      <c r="DU32" s="1290"/>
      <c r="DV32" s="1290"/>
      <c r="DW32" s="1291"/>
      <c r="DX32" s="1290"/>
      <c r="DY32" s="1290"/>
      <c r="DZ32" s="1290"/>
      <c r="EA32" s="1290"/>
      <c r="EB32" s="1291"/>
      <c r="EC32" s="1290"/>
      <c r="ED32" s="1290"/>
      <c r="EE32" s="1290"/>
      <c r="EF32" s="1290"/>
      <c r="EG32" s="1291"/>
      <c r="EH32" s="1290"/>
      <c r="EI32" s="1290"/>
      <c r="EJ32" s="1290"/>
      <c r="EK32" s="1290"/>
      <c r="EL32" s="1291"/>
      <c r="EM32" s="1290"/>
      <c r="EN32" s="1290"/>
      <c r="EO32" s="1290"/>
      <c r="EP32" s="1290"/>
      <c r="EQ32" s="1291"/>
      <c r="ER32" s="1290">
        <f t="shared" ref="ER32:EV32" si="86">ER29/ER$19</f>
      </c>
      <c r="ES32" s="1290">
        <f t="shared" si="86"/>
      </c>
      <c r="ET32" s="1290">
        <f t="shared" si="86"/>
      </c>
      <c r="EU32" s="1290">
        <f t="shared" si="86"/>
      </c>
      <c r="EV32" s="1291">
        <f t="shared" si="86"/>
      </c>
      <c r="EW32" s="1290">
        <f t="shared" ref="EW32:FT32" si="87">EW29/EW$19</f>
      </c>
      <c r="EX32" s="1290">
        <f t="shared" si="87"/>
      </c>
      <c r="EY32" s="1290">
        <f t="shared" si="87"/>
      </c>
      <c r="EZ32" s="1290">
        <f t="shared" si="87"/>
      </c>
      <c r="FA32" s="1291">
        <f t="shared" si="87"/>
      </c>
      <c r="FB32" s="1290">
        <f t="shared" si="87"/>
      </c>
      <c r="FC32" s="1290">
        <f t="shared" si="87"/>
      </c>
      <c r="FD32" s="1290">
        <f t="shared" si="87"/>
      </c>
      <c r="FE32" s="1290">
        <f t="shared" si="87"/>
      </c>
      <c r="FF32" s="1291">
        <f t="shared" si="87"/>
      </c>
      <c r="FG32" s="1290">
        <f t="shared" si="87"/>
      </c>
      <c r="FH32" s="1290">
        <f t="shared" si="87"/>
      </c>
      <c r="FI32" s="1290">
        <f t="shared" si="87"/>
      </c>
      <c r="FJ32" s="1290">
        <f t="shared" si="87"/>
      </c>
      <c r="FK32" s="1291">
        <f t="shared" si="87"/>
      </c>
      <c r="FL32" s="1290">
        <f t="shared" si="87"/>
      </c>
      <c r="FM32" s="1290">
        <f t="shared" si="87"/>
      </c>
      <c r="FN32" s="1290">
        <f t="shared" si="87"/>
      </c>
      <c r="FO32" s="1290">
        <f t="shared" si="87"/>
      </c>
      <c r="FP32" s="1291">
        <f t="shared" si="87"/>
      </c>
      <c r="FQ32" s="1290">
        <f t="shared" si="87"/>
      </c>
      <c r="FR32" s="1290">
        <f t="shared" si="87"/>
      </c>
      <c r="FS32" s="1290">
        <f t="shared" si="87"/>
      </c>
      <c r="FT32" s="1290">
        <f t="shared" si="87"/>
      </c>
      <c r="FU32" s="1291">
        <f t="shared" ref="FU32:FZ32" si="88">FU29/FU$19</f>
      </c>
      <c r="FV32" s="1290">
        <f t="shared" si="88"/>
      </c>
      <c r="FW32" s="1290">
        <f t="shared" si="88"/>
      </c>
      <c r="FX32" s="1290">
        <f t="shared" si="88"/>
      </c>
      <c r="FY32" s="1290">
        <f t="shared" si="88"/>
      </c>
      <c r="FZ32" s="1291">
        <f t="shared" si="88"/>
      </c>
      <c r="GA32" s="1290">
        <f t="shared" ref="GA32:GJ32" si="89">GA29/GA$19</f>
      </c>
      <c r="GB32" s="1290">
        <f t="shared" si="89"/>
      </c>
      <c r="GC32" s="1290">
        <f t="shared" si="89"/>
      </c>
      <c r="GD32" s="1290">
        <f t="shared" si="89"/>
      </c>
      <c r="GE32" s="1291">
        <f t="shared" si="89"/>
      </c>
      <c r="GF32" s="1290">
        <f t="shared" si="89"/>
      </c>
      <c r="GG32" s="1290">
        <f t="shared" si="89"/>
      </c>
      <c r="GH32" s="1290">
        <f t="shared" si="89"/>
      </c>
      <c r="GI32" s="1290">
        <f t="shared" si="89"/>
      </c>
      <c r="GJ32" s="1291">
        <f t="shared" si="89"/>
      </c>
    </row>
    <row r="33" spans="1:192" s="461" customFormat="1" ht="12.75" hidden="1" customHeight="1" outlineLevel="1">
      <c r="A33" s="370"/>
      <c r="B33" s="986"/>
      <c r="C33" s="987"/>
      <c r="D33" s="987"/>
      <c r="E33" s="987"/>
      <c r="F33" s="987"/>
      <c r="G33" s="988"/>
      <c r="H33" s="987"/>
      <c r="I33" s="987"/>
      <c r="J33" s="987"/>
      <c r="K33" s="987"/>
      <c r="L33" s="988"/>
      <c r="M33" s="987"/>
      <c r="N33" s="987"/>
      <c r="O33" s="987"/>
      <c r="P33" s="987"/>
      <c r="Q33" s="988"/>
      <c r="R33" s="989"/>
      <c r="S33" s="989"/>
      <c r="T33" s="989"/>
      <c r="U33" s="989"/>
      <c r="V33" s="988"/>
      <c r="W33" s="989"/>
      <c r="X33" s="989"/>
      <c r="Y33" s="989"/>
      <c r="Z33" s="989"/>
      <c r="AA33" s="988"/>
      <c r="AB33" s="989"/>
      <c r="AC33" s="989"/>
      <c r="AD33" s="989"/>
      <c r="AE33" s="989"/>
      <c r="AF33" s="988"/>
      <c r="AG33" s="989"/>
      <c r="AH33" s="989"/>
      <c r="AI33" s="989"/>
      <c r="AJ33" s="989"/>
      <c r="AK33" s="988"/>
      <c r="AL33" s="987"/>
      <c r="AM33" s="987"/>
      <c r="AN33" s="987"/>
      <c r="AO33" s="987"/>
      <c r="AP33" s="988"/>
      <c r="AQ33" s="987"/>
      <c r="AR33" s="987"/>
      <c r="AS33" s="987"/>
      <c r="AT33" s="987"/>
      <c r="AU33" s="988"/>
      <c r="AV33" s="987"/>
      <c r="AW33" s="987"/>
      <c r="AX33" s="987"/>
      <c r="AY33" s="987"/>
      <c r="AZ33" s="988"/>
      <c r="BA33" s="987"/>
      <c r="BB33" s="987"/>
      <c r="BC33" s="987"/>
      <c r="BD33" s="987"/>
      <c r="BE33" s="988"/>
      <c r="BF33" s="987"/>
      <c r="BG33" s="987"/>
      <c r="BH33" s="987"/>
      <c r="BI33" s="987"/>
      <c r="BJ33" s="988"/>
      <c r="BK33" s="987"/>
      <c r="BL33" s="987"/>
      <c r="BM33" s="987"/>
      <c r="BN33" s="987"/>
      <c r="BO33" s="988"/>
      <c r="BP33" s="987"/>
      <c r="BQ33" s="987"/>
      <c r="BR33" s="987"/>
      <c r="BS33" s="987"/>
      <c r="BT33" s="988"/>
      <c r="BU33" s="987"/>
      <c r="BV33" s="987"/>
      <c r="BW33" s="987"/>
      <c r="BX33" s="987"/>
      <c r="BY33" s="988"/>
      <c r="BZ33" s="987"/>
      <c r="CA33" s="987"/>
      <c r="CB33" s="987"/>
      <c r="CC33" s="987"/>
      <c r="CD33" s="988"/>
      <c r="CE33" s="987"/>
      <c r="CF33" s="987"/>
      <c r="CG33" s="987"/>
      <c r="CH33" s="987"/>
      <c r="CI33" s="988"/>
      <c r="CJ33" s="987"/>
      <c r="CK33" s="987"/>
      <c r="CL33" s="987"/>
      <c r="CM33" s="987"/>
      <c r="CN33" s="988"/>
      <c r="CO33" s="987"/>
      <c r="CP33" s="987"/>
      <c r="CQ33" s="987"/>
      <c r="CR33" s="987"/>
      <c r="CS33" s="988"/>
      <c r="CT33" s="987"/>
      <c r="CU33" s="987"/>
      <c r="CV33" s="987"/>
      <c r="CW33" s="987"/>
      <c r="CX33" s="988"/>
      <c r="CY33" s="1290"/>
      <c r="CZ33" s="1290"/>
      <c r="DA33" s="1290"/>
      <c r="DB33" s="1290"/>
      <c r="DC33" s="1291"/>
      <c r="DD33" s="1290"/>
      <c r="DE33" s="1290"/>
      <c r="DF33" s="1290"/>
      <c r="DG33" s="1290"/>
      <c r="DH33" s="1291"/>
      <c r="DI33" s="1290"/>
      <c r="DJ33" s="1290"/>
      <c r="DK33" s="1290"/>
      <c r="DL33" s="1290"/>
      <c r="DM33" s="1291"/>
      <c r="DN33" s="1290"/>
      <c r="DO33" s="1290"/>
      <c r="DP33" s="1290"/>
      <c r="DQ33" s="1290"/>
      <c r="DR33" s="1291"/>
      <c r="DS33" s="1290"/>
      <c r="DT33" s="1290"/>
      <c r="DU33" s="1290"/>
      <c r="DV33" s="1290"/>
      <c r="DW33" s="1291"/>
      <c r="DX33" s="1290"/>
      <c r="DY33" s="1290"/>
      <c r="DZ33" s="1290"/>
      <c r="EA33" s="1290"/>
      <c r="EB33" s="1291"/>
      <c r="EC33" s="1290"/>
      <c r="ED33" s="1290"/>
      <c r="EE33" s="1290"/>
      <c r="EF33" s="1290"/>
      <c r="EG33" s="1291"/>
      <c r="EH33" s="1290"/>
      <c r="EI33" s="1290"/>
      <c r="EJ33" s="1290"/>
      <c r="EK33" s="1290"/>
      <c r="EL33" s="1291"/>
      <c r="EM33" s="1290"/>
      <c r="EN33" s="1290"/>
      <c r="EO33" s="1290"/>
      <c r="EP33" s="1290"/>
      <c r="EQ33" s="1291"/>
      <c r="ER33" s="1290"/>
      <c r="ES33" s="1290"/>
      <c r="ET33" s="1290"/>
      <c r="EU33" s="1290"/>
      <c r="EV33" s="1291"/>
      <c r="EW33" s="1290"/>
      <c r="EX33" s="1290"/>
      <c r="EY33" s="1290"/>
      <c r="EZ33" s="1290"/>
      <c r="FA33" s="1291"/>
      <c r="FB33" s="1290"/>
      <c r="FC33" s="1290"/>
      <c r="FD33" s="1290"/>
      <c r="FE33" s="1290"/>
      <c r="FF33" s="1291"/>
      <c r="FG33" s="1290"/>
      <c r="FH33" s="1290"/>
      <c r="FI33" s="1290"/>
      <c r="FJ33" s="1290"/>
      <c r="FK33" s="1291"/>
      <c r="FL33" s="1290"/>
      <c r="FM33" s="1290"/>
      <c r="FN33" s="1290"/>
      <c r="FO33" s="1290"/>
      <c r="FP33" s="1291"/>
      <c r="FQ33" s="1290"/>
      <c r="FR33" s="1290"/>
      <c r="FS33" s="1290"/>
      <c r="FT33" s="1290"/>
      <c r="FU33" s="1291"/>
      <c r="FV33" s="1290"/>
      <c r="FW33" s="1290"/>
      <c r="FX33" s="1290"/>
      <c r="FY33" s="1290"/>
      <c r="FZ33" s="1291"/>
      <c r="GA33" s="1290"/>
      <c r="GB33" s="1290"/>
      <c r="GC33" s="1290"/>
      <c r="GD33" s="1290"/>
      <c r="GE33" s="1291"/>
      <c r="GF33" s="1290"/>
      <c r="GG33" s="1290"/>
      <c r="GH33" s="1290"/>
      <c r="GI33" s="1290"/>
      <c r="GJ33" s="1291"/>
    </row>
    <row r="34" spans="1:192" s="986" customFormat="1" ht="12.75" hidden="1" customHeight="1" outlineLevel="1">
      <c r="A34" s="1284"/>
      <c r="B34" s="625" t="s">
        <v>199</v>
      </c>
      <c r="C34" s="1285"/>
      <c r="D34" s="1285"/>
      <c r="E34" s="1285"/>
      <c r="F34" s="1285"/>
      <c r="G34" s="1286"/>
      <c r="H34" s="1285"/>
      <c r="I34" s="1285"/>
      <c r="J34" s="1285"/>
      <c r="K34" s="1285"/>
      <c r="L34" s="1286"/>
      <c r="M34" s="1285"/>
      <c r="N34" s="1285"/>
      <c r="O34" s="1285"/>
      <c r="P34" s="1285"/>
      <c r="Q34" s="1286"/>
      <c r="R34" s="1287"/>
      <c r="S34" s="1287"/>
      <c r="T34" s="1287"/>
      <c r="U34" s="1287"/>
      <c r="V34" s="1286"/>
      <c r="W34" s="1287"/>
      <c r="X34" s="1287"/>
      <c r="Y34" s="1287"/>
      <c r="Z34" s="1287"/>
      <c r="AA34" s="1286"/>
      <c r="AB34" s="1287"/>
      <c r="AC34" s="1287"/>
      <c r="AD34" s="1287"/>
      <c r="AE34" s="1287"/>
      <c r="AF34" s="1286"/>
      <c r="AG34" s="1287"/>
      <c r="AH34" s="1287"/>
      <c r="AI34" s="1287"/>
      <c r="AJ34" s="1287"/>
      <c r="AK34" s="1286"/>
      <c r="AL34" s="1285"/>
      <c r="AM34" s="1285"/>
      <c r="AN34" s="1285"/>
      <c r="AO34" s="1285"/>
      <c r="AP34" s="1286"/>
      <c r="AQ34" s="1285"/>
      <c r="AR34" s="1285"/>
      <c r="AS34" s="1285"/>
      <c r="AT34" s="1285"/>
      <c r="AU34" s="1286"/>
      <c r="AV34" s="1285"/>
      <c r="AW34" s="1285"/>
      <c r="AX34" s="1285"/>
      <c r="AY34" s="1285"/>
      <c r="AZ34" s="1286"/>
      <c r="BA34" s="1285"/>
      <c r="BB34" s="1285"/>
      <c r="BC34" s="1285"/>
      <c r="BD34" s="1285"/>
      <c r="BE34" s="1286"/>
      <c r="BF34" s="1285"/>
      <c r="BG34" s="1285"/>
      <c r="BH34" s="1285"/>
      <c r="BI34" s="1285"/>
      <c r="BJ34" s="1286"/>
      <c r="BK34" s="1285"/>
      <c r="BL34" s="1285"/>
      <c r="BM34" s="1285"/>
      <c r="BN34" s="1285"/>
      <c r="BO34" s="1286"/>
      <c r="BP34" s="1285"/>
      <c r="BQ34" s="1285"/>
      <c r="BR34" s="1285"/>
      <c r="BS34" s="1285"/>
      <c r="BT34" s="1286"/>
      <c r="BU34" s="1285"/>
      <c r="BV34" s="1285"/>
      <c r="BW34" s="1285"/>
      <c r="BX34" s="1285"/>
      <c r="BY34" s="1286"/>
      <c r="BZ34" s="1285"/>
      <c r="CA34" s="1285"/>
      <c r="CB34" s="1285"/>
      <c r="CC34" s="1285"/>
      <c r="CD34" s="1286"/>
      <c r="CE34" s="1285"/>
      <c r="CF34" s="1285"/>
      <c r="CG34" s="1285"/>
      <c r="CH34" s="1285"/>
      <c r="CI34" s="1286"/>
      <c r="CJ34" s="1285"/>
      <c r="CK34" s="1285"/>
      <c r="CL34" s="1285"/>
      <c r="CM34" s="1285"/>
      <c r="CN34" s="1286"/>
      <c r="CO34" s="1285"/>
      <c r="CP34" s="1285"/>
      <c r="CQ34" s="1285"/>
      <c r="CR34" s="1285"/>
      <c r="CS34" s="1286"/>
      <c r="CT34" s="1288"/>
      <c r="CU34" s="1288"/>
      <c r="CV34" s="1288"/>
      <c r="CW34" s="1288"/>
      <c r="CX34" s="1289"/>
      <c r="CY34" s="1288"/>
      <c r="CZ34" s="1288"/>
      <c r="DA34" s="1288"/>
      <c r="DB34" s="1288"/>
      <c r="DC34" s="1289"/>
      <c r="DD34" s="1288"/>
      <c r="DE34" s="1288"/>
      <c r="DF34" s="1288"/>
      <c r="DG34" s="1288"/>
      <c r="DH34" s="1289"/>
      <c r="DI34" s="1288"/>
      <c r="DJ34" s="1288">
        <f>PBP!DJ312</f>
      </c>
      <c r="DK34" s="1288">
        <f>PBP!DK312</f>
      </c>
      <c r="DL34" s="1288">
        <f>PBP!DL312</f>
      </c>
      <c r="DM34" s="1289">
        <f>PBP!DM312</f>
      </c>
      <c r="DN34" s="1288">
        <f>PBP!DN312</f>
      </c>
      <c r="DO34" s="1288">
        <f>PBP!DO312</f>
      </c>
      <c r="DP34" s="1288">
        <f>PBP!DP312</f>
      </c>
      <c r="DQ34" s="1288">
        <f>PBP!DQ312</f>
      </c>
      <c r="DR34" s="1289">
        <f>PBP!DR312</f>
      </c>
      <c r="DS34" s="1288">
        <f>PBP!DS312</f>
      </c>
      <c r="DT34" s="1288">
        <f>PBP!DT312</f>
      </c>
      <c r="DU34" s="1288">
        <f>PBP!DU312</f>
      </c>
      <c r="DV34" s="1288">
        <f>PBP!DV312</f>
      </c>
      <c r="DW34" s="1289">
        <f>PBP!DW312</f>
      </c>
      <c r="DX34" s="1288">
        <f>PBP!DX312</f>
      </c>
      <c r="DY34" s="1288">
        <f>PBP!DY312</f>
      </c>
      <c r="DZ34" s="1288">
        <f>PBP!DZ312</f>
      </c>
      <c r="EA34" s="1288">
        <f>PBP!EA312</f>
      </c>
      <c r="EB34" s="1289">
        <f>PBP!EB312</f>
      </c>
      <c r="EC34" s="1288">
        <f>PBP!EC312</f>
      </c>
      <c r="ED34" s="1288">
        <f>PBP!ED312</f>
      </c>
      <c r="EE34" s="1288">
        <f>PBP!EE312</f>
      </c>
      <c r="EF34" s="1288">
        <f>PBP!EF312</f>
      </c>
      <c r="EG34" s="1289">
        <f>PBP!EG312</f>
      </c>
      <c r="EH34" s="1288">
        <f>PBP!EH312</f>
      </c>
      <c r="EI34" s="1288">
        <f>PBP!EI312</f>
      </c>
      <c r="EJ34" s="1288">
        <f>PBP!EJ312</f>
      </c>
      <c r="EK34" s="1288">
        <f>PBP!EK312</f>
      </c>
      <c r="EL34" s="1289">
        <f>PBP!EL312</f>
      </c>
      <c r="EM34" s="1288">
        <f>PBP!EM312</f>
      </c>
      <c r="EN34" s="1288">
        <f>PBP!EN312</f>
      </c>
      <c r="EO34" s="1288">
        <f>PBP!EO312</f>
      </c>
      <c r="EP34" s="1288">
        <f>PBP!EP312</f>
      </c>
      <c r="EQ34" s="1289">
        <f>PBP!EQ312</f>
      </c>
      <c r="ER34" s="1288">
        <f>PBP!ER312</f>
      </c>
      <c r="ES34" s="1288">
        <f>PBP!ES312</f>
      </c>
      <c r="ET34" s="1288">
        <f>PBP!ET312</f>
      </c>
      <c r="EU34" s="1288">
        <f>PBP!EU312</f>
      </c>
      <c r="EV34" s="1289">
        <f>PBP!EV312</f>
      </c>
      <c r="EW34" s="1288">
        <f>PBP!EW312</f>
      </c>
      <c r="EX34" s="1288">
        <f>PBP!EX312</f>
      </c>
      <c r="EY34" s="1288">
        <f>PBP!EY312</f>
      </c>
      <c r="EZ34" s="1288">
        <f>PBP!EZ312</f>
      </c>
      <c r="FA34" s="1289">
        <f>PBP!FA312</f>
      </c>
      <c r="FB34" s="1288">
        <f>PBP!FB312</f>
      </c>
      <c r="FC34" s="1288">
        <f>PBP!FC312</f>
      </c>
      <c r="FD34" s="1288">
        <f>PBP!FD312</f>
      </c>
      <c r="FE34" s="1288">
        <f>PBP!FE312</f>
      </c>
      <c r="FF34" s="1289">
        <f>PBP!FF312</f>
      </c>
      <c r="FG34" s="1288">
        <f>PBP!FG312</f>
      </c>
      <c r="FH34" s="1288">
        <f>PBP!FH312</f>
      </c>
      <c r="FI34" s="1288">
        <f>PBP!FI312</f>
      </c>
      <c r="FJ34" s="1288">
        <f>PBP!FJ312</f>
      </c>
      <c r="FK34" s="1289">
        <f>PBP!FK312</f>
      </c>
      <c r="FL34" s="1288">
        <f>PBP!FL312</f>
      </c>
      <c r="FM34" s="1288">
        <f>PBP!FM312</f>
      </c>
      <c r="FN34" s="1288">
        <f>PBP!FN312</f>
      </c>
      <c r="FO34" s="1288">
        <f>PBP!FO312</f>
      </c>
      <c r="FP34" s="1289">
        <f>PBP!FP312</f>
      </c>
      <c r="FQ34" s="1288">
        <f>PBP!FQ312</f>
      </c>
      <c r="FR34" s="1288">
        <f>PBP!FR312</f>
      </c>
      <c r="FS34" s="1288">
        <f>PBP!FS312</f>
      </c>
      <c r="FT34" s="1288">
        <f>PBP!FT312</f>
      </c>
      <c r="FU34" s="1289">
        <f>PBP!FU312</f>
      </c>
      <c r="FV34" s="1288">
        <f>PBP!FV312</f>
      </c>
      <c r="FW34" s="1288">
        <f>PBP!FW312</f>
      </c>
      <c r="FX34" s="1288">
        <f>PBP!FX312</f>
      </c>
      <c r="FY34" s="1288">
        <f>PBP!FY312</f>
      </c>
      <c r="FZ34" s="1289">
        <f>PBP!FZ312</f>
      </c>
      <c r="GA34" s="1288">
        <f>PBP!GA312</f>
      </c>
      <c r="GB34" s="1288">
        <f>PBP!GB312</f>
      </c>
      <c r="GC34" s="1288">
        <f>PBP!GC312</f>
      </c>
      <c r="GD34" s="1288">
        <f>PBP!GD312</f>
      </c>
      <c r="GE34" s="1289">
        <f>PBP!GE312</f>
      </c>
      <c r="GF34" s="1288">
        <f>PBP!GF312</f>
      </c>
      <c r="GG34" s="1288">
        <f>PBP!GG312</f>
      </c>
      <c r="GH34" s="1288">
        <f>PBP!GH312</f>
      </c>
      <c r="GI34" s="1288">
        <f>PBP!GI312</f>
      </c>
      <c r="GJ34" s="1289">
        <f>PBP!GJ312</f>
      </c>
    </row>
    <row r="35" spans="1:192" s="461" customFormat="1" ht="12.75" hidden="1" customHeight="1" outlineLevel="1">
      <c r="A35" s="370"/>
      <c r="B35" s="986" t="s">
        <v>34</v>
      </c>
      <c r="C35" s="987"/>
      <c r="D35" s="987"/>
      <c r="E35" s="987"/>
      <c r="F35" s="987"/>
      <c r="G35" s="988"/>
      <c r="H35" s="987"/>
      <c r="I35" s="987"/>
      <c r="J35" s="987"/>
      <c r="K35" s="987"/>
      <c r="L35" s="988"/>
      <c r="M35" s="987"/>
      <c r="N35" s="987"/>
      <c r="O35" s="987"/>
      <c r="P35" s="987"/>
      <c r="Q35" s="988"/>
      <c r="R35" s="989"/>
      <c r="S35" s="989"/>
      <c r="T35" s="989"/>
      <c r="U35" s="989"/>
      <c r="V35" s="988"/>
      <c r="W35" s="989"/>
      <c r="X35" s="989"/>
      <c r="Y35" s="989"/>
      <c r="Z35" s="989"/>
      <c r="AA35" s="988"/>
      <c r="AB35" s="989"/>
      <c r="AC35" s="989"/>
      <c r="AD35" s="989"/>
      <c r="AE35" s="989"/>
      <c r="AF35" s="988"/>
      <c r="AG35" s="989"/>
      <c r="AH35" s="989"/>
      <c r="AI35" s="989"/>
      <c r="AJ35" s="989"/>
      <c r="AK35" s="988"/>
      <c r="AL35" s="987"/>
      <c r="AM35" s="987"/>
      <c r="AN35" s="987"/>
      <c r="AO35" s="987"/>
      <c r="AP35" s="988"/>
      <c r="AQ35" s="987"/>
      <c r="AR35" s="987"/>
      <c r="AS35" s="987"/>
      <c r="AT35" s="987"/>
      <c r="AU35" s="988"/>
      <c r="AV35" s="987"/>
      <c r="AW35" s="987"/>
      <c r="AX35" s="987"/>
      <c r="AY35" s="987"/>
      <c r="AZ35" s="988"/>
      <c r="BA35" s="987"/>
      <c r="BB35" s="987"/>
      <c r="BC35" s="987"/>
      <c r="BD35" s="987"/>
      <c r="BE35" s="988"/>
      <c r="BF35" s="987"/>
      <c r="BG35" s="987"/>
      <c r="BH35" s="987"/>
      <c r="BI35" s="987"/>
      <c r="BJ35" s="988"/>
      <c r="BK35" s="987"/>
      <c r="BL35" s="987"/>
      <c r="BM35" s="987"/>
      <c r="BN35" s="987"/>
      <c r="BO35" s="988"/>
      <c r="BP35" s="987"/>
      <c r="BQ35" s="987"/>
      <c r="BR35" s="987"/>
      <c r="BS35" s="987"/>
      <c r="BT35" s="988"/>
      <c r="BU35" s="987"/>
      <c r="BV35" s="987"/>
      <c r="BW35" s="987"/>
      <c r="BX35" s="987"/>
      <c r="BY35" s="988"/>
      <c r="BZ35" s="987"/>
      <c r="CA35" s="987"/>
      <c r="CB35" s="987"/>
      <c r="CC35" s="987"/>
      <c r="CD35" s="988"/>
      <c r="CE35" s="987"/>
      <c r="CF35" s="987"/>
      <c r="CG35" s="987"/>
      <c r="CH35" s="987"/>
      <c r="CI35" s="988"/>
      <c r="CJ35" s="987"/>
      <c r="CK35" s="987"/>
      <c r="CL35" s="987"/>
      <c r="CM35" s="987"/>
      <c r="CN35" s="988"/>
      <c r="CO35" s="987"/>
      <c r="CP35" s="987"/>
      <c r="CQ35" s="987"/>
      <c r="CR35" s="987"/>
      <c r="CS35" s="988"/>
      <c r="CT35" s="771" t="str">
        <f t="shared" ref="CT35:DY35" si="90">IFERROR(CT34/CO34-1,"")</f>
      </c>
      <c r="CU35" s="771" t="str">
        <f t="shared" si="90"/>
      </c>
      <c r="CV35" s="771" t="str">
        <f t="shared" si="90"/>
      </c>
      <c r="CW35" s="771" t="str">
        <f t="shared" si="90"/>
      </c>
      <c r="CX35" s="1047" t="str">
        <f t="shared" si="90"/>
      </c>
      <c r="CY35" s="771" t="str">
        <f t="shared" si="90"/>
      </c>
      <c r="CZ35" s="771" t="str">
        <f t="shared" si="90"/>
      </c>
      <c r="DA35" s="771" t="str">
        <f t="shared" si="90"/>
      </c>
      <c r="DB35" s="771" t="str">
        <f t="shared" si="90"/>
      </c>
      <c r="DC35" s="1047" t="str">
        <f t="shared" si="90"/>
      </c>
      <c r="DD35" s="771" t="str">
        <f t="shared" si="90"/>
      </c>
      <c r="DE35" s="771" t="str">
        <f t="shared" si="90"/>
      </c>
      <c r="DF35" s="771" t="str">
        <f t="shared" si="90"/>
      </c>
      <c r="DG35" s="771" t="str">
        <f t="shared" si="90"/>
      </c>
      <c r="DH35" s="1047" t="str">
        <f t="shared" si="90"/>
      </c>
      <c r="DI35" s="771" t="str">
        <f t="shared" si="90"/>
      </c>
      <c r="DJ35" s="771" t="str">
        <f t="shared" si="90"/>
      </c>
      <c r="DK35" s="771" t="str">
        <f t="shared" si="90"/>
      </c>
      <c r="DL35" s="771" t="str">
        <f t="shared" si="90"/>
      </c>
      <c r="DM35" s="1047" t="str">
        <f t="shared" si="90"/>
      </c>
      <c r="DN35" s="771" t="str">
        <f t="shared" si="90"/>
      </c>
      <c r="DO35" s="771">
        <f t="shared" si="90"/>
      </c>
      <c r="DP35" s="771">
        <f t="shared" si="90"/>
      </c>
      <c r="DQ35" s="771">
        <f t="shared" si="90"/>
      </c>
      <c r="DR35" s="1047">
        <f t="shared" si="90"/>
      </c>
      <c r="DS35" s="771">
        <f t="shared" si="90"/>
      </c>
      <c r="DT35" s="771">
        <f t="shared" si="90"/>
      </c>
      <c r="DU35" s="771">
        <f t="shared" si="90"/>
      </c>
      <c r="DV35" s="771">
        <f t="shared" si="90"/>
      </c>
      <c r="DW35" s="1047">
        <f t="shared" si="90"/>
      </c>
      <c r="DX35" s="771">
        <f t="shared" si="90"/>
      </c>
      <c r="DY35" s="771">
        <f t="shared" si="90"/>
      </c>
      <c r="DZ35" s="771">
        <f t="shared" ref="DZ35:FE35" si="91">IFERROR(DZ34/DU34-1,"")</f>
      </c>
      <c r="EA35" s="771">
        <f t="shared" si="91"/>
      </c>
      <c r="EB35" s="1047">
        <f t="shared" si="91"/>
      </c>
      <c r="EC35" s="771">
        <f t="shared" si="91"/>
      </c>
      <c r="ED35" s="771">
        <f t="shared" si="91"/>
      </c>
      <c r="EE35" s="771">
        <f t="shared" si="91"/>
      </c>
      <c r="EF35" s="771">
        <f t="shared" si="91"/>
      </c>
      <c r="EG35" s="1047">
        <f t="shared" si="91"/>
      </c>
      <c r="EH35" s="771">
        <f t="shared" si="91"/>
      </c>
      <c r="EI35" s="771">
        <f t="shared" si="91"/>
      </c>
      <c r="EJ35" s="771">
        <f t="shared" si="91"/>
      </c>
      <c r="EK35" s="771">
        <f t="shared" si="91"/>
      </c>
      <c r="EL35" s="1047">
        <f t="shared" si="91"/>
      </c>
      <c r="EM35" s="771">
        <f t="shared" si="91"/>
      </c>
      <c r="EN35" s="771">
        <f t="shared" si="91"/>
      </c>
      <c r="EO35" s="771">
        <f t="shared" si="91"/>
      </c>
      <c r="EP35" s="771">
        <f t="shared" si="91"/>
      </c>
      <c r="EQ35" s="1047">
        <f t="shared" si="91"/>
      </c>
      <c r="ER35" s="771">
        <f t="shared" ref="ER35" si="92">IFERROR(ER34/EM34-1,"")</f>
      </c>
      <c r="ES35" s="771">
        <f t="shared" ref="ES35" si="93">IFERROR(ES34/EN34-1,"")</f>
      </c>
      <c r="ET35" s="771">
        <f t="shared" ref="ET35" si="94">IFERROR(ET34/EO34-1,"")</f>
      </c>
      <c r="EU35" s="771">
        <f t="shared" ref="EU35" si="95">IFERROR(EU34/EP34-1,"")</f>
      </c>
      <c r="EV35" s="1047">
        <f t="shared" ref="EV35" si="96">IFERROR(EV34/EQ34-1,"")</f>
      </c>
      <c r="EW35" s="771">
        <f t="shared" si="91"/>
      </c>
      <c r="EX35" s="771">
        <f t="shared" si="91"/>
      </c>
      <c r="EY35" s="771">
        <f t="shared" si="91"/>
      </c>
      <c r="EZ35" s="771">
        <f t="shared" ref="EZ35" si="97">IFERROR(EZ34/EU34-1,"")</f>
      </c>
      <c r="FA35" s="1047">
        <f t="shared" ref="FA35" si="98">IFERROR(FA34/EV34-1,"")</f>
      </c>
      <c r="FB35" s="771">
        <f t="shared" si="91"/>
      </c>
      <c r="FC35" s="771">
        <f t="shared" si="91"/>
      </c>
      <c r="FD35" s="771">
        <f t="shared" si="91"/>
      </c>
      <c r="FE35" s="771">
        <f t="shared" si="91"/>
      </c>
      <c r="FF35" s="1047">
        <f t="shared" ref="FF35:GE35" si="99">IFERROR(FF34/FA34-1,"")</f>
      </c>
      <c r="FG35" s="771">
        <f t="shared" si="99"/>
      </c>
      <c r="FH35" s="771">
        <f t="shared" si="99"/>
      </c>
      <c r="FI35" s="771">
        <f t="shared" si="99"/>
      </c>
      <c r="FJ35" s="771">
        <f t="shared" si="99"/>
      </c>
      <c r="FK35" s="1047">
        <f t="shared" si="99"/>
      </c>
      <c r="FL35" s="771">
        <f t="shared" si="99"/>
      </c>
      <c r="FM35" s="771">
        <f t="shared" si="99"/>
      </c>
      <c r="FN35" s="771">
        <f t="shared" si="99"/>
      </c>
      <c r="FO35" s="771">
        <f t="shared" si="99"/>
      </c>
      <c r="FP35" s="1047">
        <f t="shared" si="99"/>
      </c>
      <c r="FQ35" s="771">
        <f t="shared" si="99"/>
      </c>
      <c r="FR35" s="771">
        <f t="shared" si="99"/>
      </c>
      <c r="FS35" s="771">
        <f t="shared" si="99"/>
      </c>
      <c r="FT35" s="771">
        <f t="shared" si="99"/>
      </c>
      <c r="FU35" s="1047">
        <f t="shared" si="99"/>
      </c>
      <c r="FV35" s="771">
        <f t="shared" si="99"/>
      </c>
      <c r="FW35" s="771">
        <f t="shared" si="99"/>
      </c>
      <c r="FX35" s="771">
        <f t="shared" si="99"/>
      </c>
      <c r="FY35" s="771">
        <f t="shared" si="99"/>
      </c>
      <c r="FZ35" s="1047">
        <f t="shared" si="99"/>
      </c>
      <c r="GA35" s="771">
        <f t="shared" si="99"/>
      </c>
      <c r="GB35" s="771">
        <f t="shared" si="99"/>
      </c>
      <c r="GC35" s="771">
        <f t="shared" si="99"/>
      </c>
      <c r="GD35" s="771">
        <f t="shared" si="99"/>
      </c>
      <c r="GE35" s="1047">
        <f t="shared" si="99"/>
      </c>
      <c r="GF35" s="771">
        <f t="shared" ref="GF35" si="100">IFERROR(GF34/GA34-1,"")</f>
      </c>
      <c r="GG35" s="771">
        <f t="shared" ref="GG35" si="101">IFERROR(GG34/GB34-1,"")</f>
      </c>
      <c r="GH35" s="771">
        <f t="shared" ref="GH35" si="102">IFERROR(GH34/GC34-1,"")</f>
      </c>
      <c r="GI35" s="771">
        <f t="shared" ref="GI35" si="103">IFERROR(GI34/GD34-1,"")</f>
      </c>
      <c r="GJ35" s="1047">
        <f t="shared" ref="GJ35" si="104">IFERROR(GJ34/GE34-1,"")</f>
      </c>
    </row>
    <row r="36" spans="1:192" s="461" customFormat="1" ht="12.75" hidden="1" customHeight="1" outlineLevel="1">
      <c r="A36" s="370"/>
      <c r="B36" s="986" t="s">
        <v>36</v>
      </c>
      <c r="C36" s="987"/>
      <c r="D36" s="987"/>
      <c r="E36" s="987"/>
      <c r="F36" s="987"/>
      <c r="G36" s="988"/>
      <c r="H36" s="987"/>
      <c r="I36" s="987"/>
      <c r="J36" s="987"/>
      <c r="K36" s="987"/>
      <c r="L36" s="988"/>
      <c r="M36" s="987"/>
      <c r="N36" s="987"/>
      <c r="O36" s="987"/>
      <c r="P36" s="987"/>
      <c r="Q36" s="988"/>
      <c r="R36" s="989"/>
      <c r="S36" s="989"/>
      <c r="T36" s="989"/>
      <c r="U36" s="989"/>
      <c r="V36" s="988"/>
      <c r="W36" s="989"/>
      <c r="X36" s="989"/>
      <c r="Y36" s="989"/>
      <c r="Z36" s="989"/>
      <c r="AA36" s="988"/>
      <c r="AB36" s="989"/>
      <c r="AC36" s="989"/>
      <c r="AD36" s="989"/>
      <c r="AE36" s="989"/>
      <c r="AF36" s="988"/>
      <c r="AG36" s="989"/>
      <c r="AH36" s="989"/>
      <c r="AI36" s="989"/>
      <c r="AJ36" s="989"/>
      <c r="AK36" s="988"/>
      <c r="AL36" s="987"/>
      <c r="AM36" s="987"/>
      <c r="AN36" s="987"/>
      <c r="AO36" s="987"/>
      <c r="AP36" s="988"/>
      <c r="AQ36" s="987"/>
      <c r="AR36" s="987"/>
      <c r="AS36" s="987"/>
      <c r="AT36" s="987"/>
      <c r="AU36" s="988"/>
      <c r="AV36" s="987"/>
      <c r="AW36" s="987"/>
      <c r="AX36" s="987"/>
      <c r="AY36" s="987"/>
      <c r="AZ36" s="988"/>
      <c r="BA36" s="987"/>
      <c r="BB36" s="987"/>
      <c r="BC36" s="987"/>
      <c r="BD36" s="987"/>
      <c r="BE36" s="988"/>
      <c r="BF36" s="987"/>
      <c r="BG36" s="987"/>
      <c r="BH36" s="987"/>
      <c r="BI36" s="987"/>
      <c r="BJ36" s="988"/>
      <c r="BK36" s="987"/>
      <c r="BL36" s="987"/>
      <c r="BM36" s="987"/>
      <c r="BN36" s="987"/>
      <c r="BO36" s="988"/>
      <c r="BP36" s="987"/>
      <c r="BQ36" s="987"/>
      <c r="BR36" s="987"/>
      <c r="BS36" s="987"/>
      <c r="BT36" s="988"/>
      <c r="BU36" s="987"/>
      <c r="BV36" s="987"/>
      <c r="BW36" s="987"/>
      <c r="BX36" s="987"/>
      <c r="BY36" s="988"/>
      <c r="BZ36" s="987"/>
      <c r="CA36" s="987"/>
      <c r="CB36" s="987"/>
      <c r="CC36" s="987"/>
      <c r="CD36" s="988"/>
      <c r="CE36" s="987"/>
      <c r="CF36" s="987"/>
      <c r="CG36" s="987"/>
      <c r="CH36" s="987"/>
      <c r="CI36" s="988"/>
      <c r="CJ36" s="987"/>
      <c r="CK36" s="987"/>
      <c r="CL36" s="987"/>
      <c r="CM36" s="987"/>
      <c r="CN36" s="988"/>
      <c r="CO36" s="987"/>
      <c r="CP36" s="987"/>
      <c r="CQ36" s="987"/>
      <c r="CR36" s="987"/>
      <c r="CS36" s="988"/>
      <c r="CT36" s="771" t="str">
        <f>IFERROR(CT34/CR34-1,"")</f>
      </c>
      <c r="CU36" s="1283" t="str">
        <f>IFERROR(CU34/CT34-1,"")</f>
      </c>
      <c r="CV36" s="1283" t="str">
        <f>IFERROR(CV34/CU34-1,"")</f>
      </c>
      <c r="CW36" s="1283" t="str">
        <f>IFERROR(CW34/CV34-1,"")</f>
      </c>
      <c r="CX36" s="991"/>
      <c r="CY36" s="771" t="str">
        <f>IFERROR(CY34/CW34-1,"")</f>
      </c>
      <c r="CZ36" s="1283" t="str">
        <f>IFERROR(CZ34/CY34-1,"")</f>
      </c>
      <c r="DA36" s="1283" t="str">
        <f>IFERROR(DA34/CZ34-1,"")</f>
      </c>
      <c r="DB36" s="1283" t="str">
        <f>IFERROR(DB34/DA34-1,"")</f>
      </c>
      <c r="DC36" s="991"/>
      <c r="DD36" s="771" t="str">
        <f>IFERROR(DD34/DB34-1,"")</f>
      </c>
      <c r="DE36" s="1283" t="str">
        <f>IFERROR(DE34/DD34-1,"")</f>
      </c>
      <c r="DF36" s="1283" t="str">
        <f>IFERROR(DF34/DE34-1,"")</f>
      </c>
      <c r="DG36" s="1283" t="str">
        <f>IFERROR(DG34/DF34-1,"")</f>
      </c>
      <c r="DH36" s="991"/>
      <c r="DI36" s="771" t="str">
        <f>IFERROR(DI34/DG34-1,"")</f>
      </c>
      <c r="DJ36" s="1283" t="str">
        <f>IFERROR(DJ34/DI34-1,"")</f>
      </c>
      <c r="DK36" s="1283">
        <f>IFERROR(DK34/DJ34-1,"")</f>
      </c>
      <c r="DL36" s="1283">
        <f>IFERROR(DL34/DK34-1,"")</f>
      </c>
      <c r="DM36" s="991"/>
      <c r="DN36" s="771">
        <f>IFERROR(DN34/DL34-1,"")</f>
      </c>
      <c r="DO36" s="1283">
        <f>IFERROR(DO34/DN34-1,"")</f>
      </c>
      <c r="DP36" s="1283">
        <f>IFERROR(DP34/DO34-1,"")</f>
      </c>
      <c r="DQ36" s="1283">
        <f>IFERROR(DQ34/DP34-1,"")</f>
      </c>
      <c r="DR36" s="991"/>
      <c r="DS36" s="771">
        <f>IFERROR(DS34/DQ34-1,"")</f>
      </c>
      <c r="DT36" s="1283">
        <f>IFERROR(DT34/DS34-1,"")</f>
      </c>
      <c r="DU36" s="1283">
        <f>IFERROR(DU34/DT34-1,"")</f>
      </c>
      <c r="DV36" s="1283">
        <f>IFERROR(DV34/DU34-1,"")</f>
      </c>
      <c r="DW36" s="991"/>
      <c r="DX36" s="771">
        <f>IFERROR(DX34/DV34-1,"")</f>
      </c>
      <c r="DY36" s="1283">
        <f>IFERROR(DY34/DX34-1,"")</f>
      </c>
      <c r="DZ36" s="1283">
        <f>IFERROR(DZ34/DY34-1,"")</f>
      </c>
      <c r="EA36" s="1283">
        <f>IFERROR(EA34/DZ34-1,"")</f>
      </c>
      <c r="EB36" s="991"/>
      <c r="EC36" s="771">
        <f>IFERROR(EC34/EA34-1,"")</f>
      </c>
      <c r="ED36" s="1283">
        <f>IFERROR(ED34/EC34-1,"")</f>
      </c>
      <c r="EE36" s="1283">
        <f>IFERROR(EE34/ED34-1,"")</f>
      </c>
      <c r="EF36" s="1283">
        <f>IFERROR(EF34/EE34-1,"")</f>
      </c>
      <c r="EG36" s="991"/>
      <c r="EH36" s="771">
        <f>IFERROR(EH34/EF34-1,"")</f>
      </c>
      <c r="EI36" s="1283">
        <f>IFERROR(EI34/EH34-1,"")</f>
      </c>
      <c r="EJ36" s="1283">
        <f>IFERROR(EJ34/EI34-1,"")</f>
      </c>
      <c r="EK36" s="1283">
        <f>IFERROR(EK34/EJ34-1,"")</f>
      </c>
      <c r="EL36" s="991"/>
      <c r="EM36" s="771">
        <f>IFERROR(EM34/EK34-1,"")</f>
      </c>
      <c r="EN36" s="1283">
        <f>IFERROR(EN34/EM34-1,"")</f>
      </c>
      <c r="EO36" s="1283">
        <f>IFERROR(EO34/EN34-1,"")</f>
      </c>
      <c r="EP36" s="1283">
        <f>IFERROR(EP34/EO34-1,"")</f>
      </c>
      <c r="EQ36" s="991"/>
      <c r="ER36" s="771">
        <f>IFERROR(ER34/EP34-1,"")</f>
      </c>
      <c r="ES36" s="1283">
        <f>IFERROR(ES34/ER34-1,"")</f>
      </c>
      <c r="ET36" s="1283">
        <f>IFERROR(ET34/ES34-1,"")</f>
      </c>
      <c r="EU36" s="1283">
        <f>IFERROR(EU34/ET34-1,"")</f>
      </c>
      <c r="EV36" s="991"/>
      <c r="EW36" s="771">
        <f>IFERROR(EW34/EU34-1,"")</f>
      </c>
      <c r="EX36" s="1283">
        <f>IFERROR(EX34/EW34-1,"")</f>
      </c>
      <c r="EY36" s="1283">
        <f>IFERROR(EY34/EX34-1,"")</f>
      </c>
      <c r="EZ36" s="1283">
        <f>IFERROR(EZ34/EY34-1,"")</f>
      </c>
      <c r="FA36" s="991"/>
      <c r="FB36" s="771">
        <f>IFERROR(FB34/EZ34-1,"")</f>
      </c>
      <c r="FC36" s="1283">
        <f>IFERROR(FC34/FB34-1,"")</f>
      </c>
      <c r="FD36" s="1283">
        <f>IFERROR(FD34/FC34-1,"")</f>
      </c>
      <c r="FE36" s="1283">
        <f>IFERROR(FE34/FD34-1,"")</f>
      </c>
      <c r="FF36" s="991"/>
      <c r="FG36" s="771">
        <f>IFERROR(FG34/FE34-1,"")</f>
      </c>
      <c r="FH36" s="1283">
        <f>IFERROR(FH34/FG34-1,"")</f>
      </c>
      <c r="FI36" s="1283">
        <f>IFERROR(FI34/FH34-1,"")</f>
      </c>
      <c r="FJ36" s="1283">
        <f>IFERROR(FJ34/FI34-1,"")</f>
      </c>
      <c r="FK36" s="991"/>
      <c r="FL36" s="771">
        <f>IFERROR(FL34/FJ34-1,"")</f>
      </c>
      <c r="FM36" s="1283">
        <f>IFERROR(FM34/FL34-1,"")</f>
      </c>
      <c r="FN36" s="1283">
        <f>IFERROR(FN34/FM34-1,"")</f>
      </c>
      <c r="FO36" s="1283">
        <f>IFERROR(FO34/FN34-1,"")</f>
      </c>
      <c r="FP36" s="991"/>
      <c r="FQ36" s="771">
        <f>IFERROR(FQ34/FO34-1,"")</f>
      </c>
      <c r="FR36" s="1283">
        <f>IFERROR(FR34/FQ34-1,"")</f>
      </c>
      <c r="FS36" s="1283">
        <f>IFERROR(FS34/FR34-1,"")</f>
      </c>
      <c r="FT36" s="1283">
        <f>IFERROR(FT34/FS34-1,"")</f>
      </c>
      <c r="FU36" s="991"/>
      <c r="FV36" s="771">
        <f>IFERROR(FV34/FT34-1,"")</f>
      </c>
      <c r="FW36" s="1283">
        <f>IFERROR(FW34/FV34-1,"")</f>
      </c>
      <c r="FX36" s="1283">
        <f>IFERROR(FX34/FW34-1,"")</f>
      </c>
      <c r="FY36" s="1283">
        <f>IFERROR(FY34/FX34-1,"")</f>
      </c>
      <c r="FZ36" s="991"/>
      <c r="GA36" s="771">
        <f>IFERROR(GA34/FY34-1,"")</f>
      </c>
      <c r="GB36" s="1283">
        <f>IFERROR(GB34/GA34-1,"")</f>
      </c>
      <c r="GC36" s="1283">
        <f>IFERROR(GC34/GB34-1,"")</f>
      </c>
      <c r="GD36" s="1283">
        <f>IFERROR(GD34/GC34-1,"")</f>
      </c>
      <c r="GE36" s="991"/>
      <c r="GF36" s="771">
        <f>IFERROR(GF34/GD34-1,"")</f>
      </c>
      <c r="GG36" s="1283">
        <f>IFERROR(GG34/GF34-1,"")</f>
      </c>
      <c r="GH36" s="1283">
        <f>IFERROR(GH34/GG34-1,"")</f>
      </c>
      <c r="GI36" s="1283">
        <f>IFERROR(GI34/GH34-1,"")</f>
      </c>
      <c r="GJ36" s="991"/>
    </row>
    <row r="37" spans="1:192" s="461" customFormat="1" ht="12.75" hidden="1" customHeight="1" outlineLevel="1">
      <c r="A37" s="370"/>
      <c r="B37" s="986" t="s">
        <v>1863</v>
      </c>
      <c r="C37" s="987"/>
      <c r="D37" s="987"/>
      <c r="E37" s="987"/>
      <c r="F37" s="987"/>
      <c r="G37" s="988"/>
      <c r="H37" s="987"/>
      <c r="I37" s="987"/>
      <c r="J37" s="987"/>
      <c r="K37" s="987"/>
      <c r="L37" s="988"/>
      <c r="M37" s="987"/>
      <c r="N37" s="987"/>
      <c r="O37" s="987"/>
      <c r="P37" s="987"/>
      <c r="Q37" s="988"/>
      <c r="R37" s="989"/>
      <c r="S37" s="989"/>
      <c r="T37" s="989"/>
      <c r="U37" s="989"/>
      <c r="V37" s="988"/>
      <c r="W37" s="989"/>
      <c r="X37" s="989"/>
      <c r="Y37" s="989"/>
      <c r="Z37" s="989"/>
      <c r="AA37" s="988"/>
      <c r="AB37" s="989"/>
      <c r="AC37" s="989"/>
      <c r="AD37" s="989"/>
      <c r="AE37" s="989"/>
      <c r="AF37" s="988"/>
      <c r="AG37" s="989"/>
      <c r="AH37" s="989"/>
      <c r="AI37" s="989"/>
      <c r="AJ37" s="989"/>
      <c r="AK37" s="988"/>
      <c r="AL37" s="987"/>
      <c r="AM37" s="987"/>
      <c r="AN37" s="987"/>
      <c r="AO37" s="987"/>
      <c r="AP37" s="988"/>
      <c r="AQ37" s="987"/>
      <c r="AR37" s="987"/>
      <c r="AS37" s="987"/>
      <c r="AT37" s="987"/>
      <c r="AU37" s="988"/>
      <c r="AV37" s="987"/>
      <c r="AW37" s="987"/>
      <c r="AX37" s="987"/>
      <c r="AY37" s="987"/>
      <c r="AZ37" s="988"/>
      <c r="BA37" s="987"/>
      <c r="BB37" s="987"/>
      <c r="BC37" s="987"/>
      <c r="BD37" s="987"/>
      <c r="BE37" s="988"/>
      <c r="BF37" s="987"/>
      <c r="BG37" s="987"/>
      <c r="BH37" s="987"/>
      <c r="BI37" s="987"/>
      <c r="BJ37" s="988"/>
      <c r="BK37" s="987"/>
      <c r="BL37" s="987"/>
      <c r="BM37" s="987"/>
      <c r="BN37" s="987"/>
      <c r="BO37" s="988"/>
      <c r="BP37" s="987"/>
      <c r="BQ37" s="987"/>
      <c r="BR37" s="987"/>
      <c r="BS37" s="987"/>
      <c r="BT37" s="988"/>
      <c r="BU37" s="987"/>
      <c r="BV37" s="987"/>
      <c r="BW37" s="987"/>
      <c r="BX37" s="987"/>
      <c r="BY37" s="988"/>
      <c r="BZ37" s="987"/>
      <c r="CA37" s="987"/>
      <c r="CB37" s="987"/>
      <c r="CC37" s="987"/>
      <c r="CD37" s="988"/>
      <c r="CE37" s="987"/>
      <c r="CF37" s="987"/>
      <c r="CG37" s="987"/>
      <c r="CH37" s="987"/>
      <c r="CI37" s="988"/>
      <c r="CJ37" s="987"/>
      <c r="CK37" s="987"/>
      <c r="CL37" s="987"/>
      <c r="CM37" s="987"/>
      <c r="CN37" s="988"/>
      <c r="CO37" s="987"/>
      <c r="CP37" s="987"/>
      <c r="CQ37" s="987"/>
      <c r="CR37" s="987"/>
      <c r="CS37" s="988"/>
      <c r="CT37" s="987"/>
      <c r="CU37" s="987"/>
      <c r="CV37" s="987"/>
      <c r="CW37" s="987"/>
      <c r="CX37" s="988"/>
      <c r="CY37" s="1290"/>
      <c r="CZ37" s="1290"/>
      <c r="DA37" s="1290"/>
      <c r="DB37" s="1290"/>
      <c r="DC37" s="1291"/>
      <c r="DD37" s="1290"/>
      <c r="DE37" s="1290"/>
      <c r="DF37" s="1290"/>
      <c r="DG37" s="1290"/>
      <c r="DH37" s="1291"/>
      <c r="DI37" s="1290"/>
      <c r="DJ37" s="1290">
        <f t="shared" ref="DJ37:FJ37" si="105">DJ34/DJ$19</f>
      </c>
      <c r="DK37" s="1290">
        <f t="shared" si="105"/>
      </c>
      <c r="DL37" s="1290">
        <f t="shared" si="105"/>
      </c>
      <c r="DM37" s="1291">
        <f t="shared" si="105"/>
      </c>
      <c r="DN37" s="1290">
        <f t="shared" si="105"/>
      </c>
      <c r="DO37" s="1290">
        <f t="shared" si="105"/>
      </c>
      <c r="DP37" s="1290">
        <f t="shared" si="105"/>
      </c>
      <c r="DQ37" s="1290">
        <f t="shared" si="105"/>
      </c>
      <c r="DR37" s="1291">
        <f t="shared" si="105"/>
      </c>
      <c r="DS37" s="1290">
        <f t="shared" si="105"/>
      </c>
      <c r="DT37" s="1290">
        <f t="shared" si="105"/>
      </c>
      <c r="DU37" s="1290">
        <f t="shared" si="105"/>
      </c>
      <c r="DV37" s="1290">
        <f t="shared" si="105"/>
      </c>
      <c r="DW37" s="1291">
        <f t="shared" si="105"/>
      </c>
      <c r="DX37" s="1290">
        <f t="shared" si="105"/>
      </c>
      <c r="DY37" s="1290">
        <f t="shared" si="105"/>
      </c>
      <c r="DZ37" s="1290">
        <f t="shared" si="105"/>
      </c>
      <c r="EA37" s="1290">
        <f t="shared" si="105"/>
      </c>
      <c r="EB37" s="1291">
        <f t="shared" si="105"/>
      </c>
      <c r="EC37" s="1290">
        <f t="shared" si="105"/>
      </c>
      <c r="ED37" s="1290">
        <f t="shared" si="105"/>
      </c>
      <c r="EE37" s="1290">
        <f t="shared" si="105"/>
      </c>
      <c r="EF37" s="1290">
        <f t="shared" si="105"/>
      </c>
      <c r="EG37" s="1291">
        <f t="shared" si="105"/>
      </c>
      <c r="EH37" s="1290">
        <f t="shared" si="105"/>
      </c>
      <c r="EI37" s="1290">
        <f t="shared" si="105"/>
      </c>
      <c r="EJ37" s="1290">
        <f t="shared" si="105"/>
      </c>
      <c r="EK37" s="1290">
        <f t="shared" si="105"/>
      </c>
      <c r="EL37" s="1291">
        <f t="shared" si="105"/>
      </c>
      <c r="EM37" s="1290">
        <f t="shared" si="105"/>
      </c>
      <c r="EN37" s="1290">
        <f t="shared" si="105"/>
      </c>
      <c r="EO37" s="1290">
        <f t="shared" si="105"/>
      </c>
      <c r="EP37" s="1290">
        <f t="shared" si="105"/>
      </c>
      <c r="EQ37" s="1291">
        <f t="shared" si="105"/>
      </c>
      <c r="ER37" s="1290">
        <f t="shared" ref="ER37:EV37" si="106">ER34/ER$19</f>
      </c>
      <c r="ES37" s="1290">
        <f t="shared" si="106"/>
      </c>
      <c r="ET37" s="1290">
        <f t="shared" si="106"/>
      </c>
      <c r="EU37" s="1290">
        <f t="shared" si="106"/>
      </c>
      <c r="EV37" s="1291">
        <f t="shared" si="106"/>
      </c>
      <c r="EW37" s="1290">
        <f t="shared" si="105"/>
      </c>
      <c r="EX37" s="1290">
        <f t="shared" si="105"/>
      </c>
      <c r="EY37" s="1290">
        <f t="shared" si="105"/>
      </c>
      <c r="EZ37" s="1290">
        <f t="shared" si="105"/>
      </c>
      <c r="FA37" s="1291">
        <f t="shared" si="105"/>
      </c>
      <c r="FB37" s="1290">
        <f t="shared" si="105"/>
      </c>
      <c r="FC37" s="1290">
        <f t="shared" si="105"/>
      </c>
      <c r="FD37" s="1290">
        <f t="shared" si="105"/>
      </c>
      <c r="FE37" s="1290">
        <f t="shared" si="105"/>
      </c>
      <c r="FF37" s="1291">
        <f t="shared" si="105"/>
      </c>
      <c r="FG37" s="1290">
        <f t="shared" si="105"/>
      </c>
      <c r="FH37" s="1290">
        <f t="shared" si="105"/>
      </c>
      <c r="FI37" s="1290">
        <f t="shared" si="105"/>
      </c>
      <c r="FJ37" s="1290">
        <f t="shared" si="105"/>
      </c>
      <c r="FK37" s="1291">
        <f t="shared" ref="FK37:FZ37" si="107">FK34/FK$19</f>
      </c>
      <c r="FL37" s="1290">
        <f t="shared" si="107"/>
      </c>
      <c r="FM37" s="1290">
        <f t="shared" si="107"/>
      </c>
      <c r="FN37" s="1290">
        <f t="shared" si="107"/>
      </c>
      <c r="FO37" s="1290">
        <f t="shared" si="107"/>
      </c>
      <c r="FP37" s="1291">
        <f t="shared" si="107"/>
      </c>
      <c r="FQ37" s="1290">
        <f t="shared" si="107"/>
      </c>
      <c r="FR37" s="1290">
        <f t="shared" si="107"/>
      </c>
      <c r="FS37" s="1290">
        <f t="shared" si="107"/>
      </c>
      <c r="FT37" s="1290">
        <f t="shared" si="107"/>
      </c>
      <c r="FU37" s="1291">
        <f t="shared" si="107"/>
      </c>
      <c r="FV37" s="1290">
        <f t="shared" si="107"/>
      </c>
      <c r="FW37" s="1290">
        <f t="shared" si="107"/>
      </c>
      <c r="FX37" s="1290">
        <f t="shared" si="107"/>
      </c>
      <c r="FY37" s="1290">
        <f t="shared" si="107"/>
      </c>
      <c r="FZ37" s="1291">
        <f t="shared" si="107"/>
      </c>
      <c r="GA37" s="1290">
        <f t="shared" ref="GA37:GJ37" si="108">GA34/GA$19</f>
      </c>
      <c r="GB37" s="1290">
        <f t="shared" si="108"/>
      </c>
      <c r="GC37" s="1290">
        <f t="shared" si="108"/>
      </c>
      <c r="GD37" s="1290">
        <f t="shared" si="108"/>
      </c>
      <c r="GE37" s="1291">
        <f t="shared" si="108"/>
      </c>
      <c r="GF37" s="1290">
        <f t="shared" si="108"/>
      </c>
      <c r="GG37" s="1290">
        <f t="shared" si="108"/>
      </c>
      <c r="GH37" s="1290">
        <f t="shared" si="108"/>
      </c>
      <c r="GI37" s="1290">
        <f t="shared" si="108"/>
      </c>
      <c r="GJ37" s="1291">
        <f t="shared" si="108"/>
      </c>
    </row>
    <row r="38" spans="1:192" s="461" customFormat="1" ht="12.75" hidden="1" customHeight="1" outlineLevel="1">
      <c r="A38" s="370"/>
      <c r="B38" s="986"/>
      <c r="C38" s="987"/>
      <c r="D38" s="987"/>
      <c r="E38" s="987"/>
      <c r="F38" s="987"/>
      <c r="G38" s="988"/>
      <c r="H38" s="987"/>
      <c r="I38" s="987"/>
      <c r="J38" s="987"/>
      <c r="K38" s="987"/>
      <c r="L38" s="988"/>
      <c r="M38" s="987"/>
      <c r="N38" s="987"/>
      <c r="O38" s="987"/>
      <c r="P38" s="987"/>
      <c r="Q38" s="988"/>
      <c r="R38" s="989"/>
      <c r="S38" s="989"/>
      <c r="T38" s="989"/>
      <c r="U38" s="989"/>
      <c r="V38" s="988"/>
      <c r="W38" s="989"/>
      <c r="X38" s="989"/>
      <c r="Y38" s="989"/>
      <c r="Z38" s="989"/>
      <c r="AA38" s="988"/>
      <c r="AB38" s="989"/>
      <c r="AC38" s="989"/>
      <c r="AD38" s="989"/>
      <c r="AE38" s="989"/>
      <c r="AF38" s="988"/>
      <c r="AG38" s="989"/>
      <c r="AH38" s="989"/>
      <c r="AI38" s="989"/>
      <c r="AJ38" s="989"/>
      <c r="AK38" s="988"/>
      <c r="AL38" s="987"/>
      <c r="AM38" s="987"/>
      <c r="AN38" s="987"/>
      <c r="AO38" s="987"/>
      <c r="AP38" s="988"/>
      <c r="AQ38" s="987"/>
      <c r="AR38" s="987"/>
      <c r="AS38" s="987"/>
      <c r="AT38" s="987"/>
      <c r="AU38" s="988"/>
      <c r="AV38" s="987"/>
      <c r="AW38" s="987"/>
      <c r="AX38" s="987"/>
      <c r="AY38" s="987"/>
      <c r="AZ38" s="988"/>
      <c r="BA38" s="987"/>
      <c r="BB38" s="987"/>
      <c r="BC38" s="987"/>
      <c r="BD38" s="987"/>
      <c r="BE38" s="988"/>
      <c r="BF38" s="987"/>
      <c r="BG38" s="987"/>
      <c r="BH38" s="987"/>
      <c r="BI38" s="987"/>
      <c r="BJ38" s="988"/>
      <c r="BK38" s="987"/>
      <c r="BL38" s="987"/>
      <c r="BM38" s="987"/>
      <c r="BN38" s="987"/>
      <c r="BO38" s="988"/>
      <c r="BP38" s="987"/>
      <c r="BQ38" s="987"/>
      <c r="BR38" s="987"/>
      <c r="BS38" s="987"/>
      <c r="BT38" s="988"/>
      <c r="BU38" s="987"/>
      <c r="BV38" s="987"/>
      <c r="BW38" s="987"/>
      <c r="BX38" s="987"/>
      <c r="BY38" s="988"/>
      <c r="BZ38" s="987"/>
      <c r="CA38" s="987"/>
      <c r="CB38" s="987"/>
      <c r="CC38" s="987"/>
      <c r="CD38" s="988"/>
      <c r="CE38" s="987"/>
      <c r="CF38" s="987"/>
      <c r="CG38" s="987"/>
      <c r="CH38" s="987"/>
      <c r="CI38" s="988"/>
      <c r="CJ38" s="987"/>
      <c r="CK38" s="987"/>
      <c r="CL38" s="987"/>
      <c r="CM38" s="987"/>
      <c r="CN38" s="988"/>
      <c r="CO38" s="987"/>
      <c r="CP38" s="987"/>
      <c r="CQ38" s="987"/>
      <c r="CR38" s="987"/>
      <c r="CS38" s="988"/>
      <c r="CT38" s="987"/>
      <c r="CU38" s="987"/>
      <c r="CV38" s="987"/>
      <c r="CW38" s="987"/>
      <c r="CX38" s="988"/>
      <c r="CY38" s="771"/>
      <c r="CZ38" s="771"/>
      <c r="DA38" s="771"/>
      <c r="DB38" s="771"/>
      <c r="DC38" s="1047"/>
      <c r="DD38" s="771"/>
      <c r="DE38" s="771"/>
      <c r="DF38" s="771"/>
      <c r="DG38" s="771"/>
      <c r="DH38" s="1047"/>
      <c r="DI38" s="771"/>
      <c r="DJ38" s="771"/>
      <c r="DK38" s="771"/>
      <c r="DL38" s="771"/>
      <c r="DM38" s="1047"/>
      <c r="DN38" s="771"/>
      <c r="DO38" s="771"/>
      <c r="DP38" s="771"/>
      <c r="DQ38" s="771"/>
      <c r="DR38" s="1047"/>
      <c r="DS38" s="771"/>
      <c r="DT38" s="771"/>
      <c r="DU38" s="771"/>
      <c r="DV38" s="771"/>
      <c r="DW38" s="1047"/>
      <c r="DX38" s="771"/>
      <c r="DY38" s="771"/>
      <c r="DZ38" s="771"/>
      <c r="EA38" s="771"/>
      <c r="EB38" s="1047"/>
      <c r="EC38" s="771"/>
      <c r="ED38" s="771"/>
      <c r="EE38" s="771"/>
      <c r="EF38" s="771"/>
      <c r="EG38" s="1047"/>
      <c r="EH38" s="771"/>
      <c r="EI38" s="771"/>
      <c r="EJ38" s="771"/>
      <c r="EK38" s="771"/>
      <c r="EL38" s="1047"/>
      <c r="EM38" s="771"/>
      <c r="EN38" s="771"/>
      <c r="EO38" s="771"/>
      <c r="EP38" s="771"/>
      <c r="EQ38" s="1047"/>
      <c r="ER38" s="771"/>
      <c r="ES38" s="771"/>
      <c r="ET38" s="771"/>
      <c r="EU38" s="771"/>
      <c r="EV38" s="1047"/>
      <c r="EW38" s="771"/>
      <c r="EX38" s="771"/>
      <c r="EY38" s="771"/>
      <c r="EZ38" s="771"/>
      <c r="FA38" s="1047"/>
      <c r="FB38" s="771"/>
      <c r="FC38" s="771"/>
      <c r="FD38" s="771"/>
      <c r="FE38" s="771"/>
      <c r="FF38" s="1047"/>
      <c r="FG38" s="771"/>
      <c r="FH38" s="771"/>
      <c r="FI38" s="771"/>
      <c r="FJ38" s="771"/>
      <c r="FK38" s="1047"/>
      <c r="FL38" s="771"/>
      <c r="FM38" s="771"/>
      <c r="FN38" s="771"/>
      <c r="FO38" s="771"/>
      <c r="FP38" s="1047"/>
      <c r="FQ38" s="771"/>
      <c r="FR38" s="771"/>
      <c r="FS38" s="771"/>
      <c r="FT38" s="771"/>
      <c r="FU38" s="1047"/>
      <c r="FV38" s="771"/>
      <c r="FW38" s="771"/>
      <c r="FX38" s="771"/>
      <c r="FY38" s="771"/>
      <c r="FZ38" s="1047"/>
      <c r="GA38" s="771"/>
      <c r="GB38" s="771"/>
      <c r="GC38" s="771"/>
      <c r="GD38" s="771"/>
      <c r="GE38" s="1047"/>
      <c r="GF38" s="771"/>
      <c r="GG38" s="771"/>
      <c r="GH38" s="771"/>
      <c r="GI38" s="771"/>
      <c r="GJ38" s="1047"/>
    </row>
    <row r="39" spans="1:192" s="986" customFormat="1" ht="12.75" hidden="1" customHeight="1" outlineLevel="1">
      <c r="A39" s="1284"/>
      <c r="B39" s="625" t="s">
        <v>198</v>
      </c>
      <c r="C39" s="1285"/>
      <c r="D39" s="1285"/>
      <c r="E39" s="1285"/>
      <c r="F39" s="1285"/>
      <c r="G39" s="1286"/>
      <c r="H39" s="1285"/>
      <c r="I39" s="1285"/>
      <c r="J39" s="1285"/>
      <c r="K39" s="1285"/>
      <c r="L39" s="1286"/>
      <c r="M39" s="1285"/>
      <c r="N39" s="1285"/>
      <c r="O39" s="1285"/>
      <c r="P39" s="1285"/>
      <c r="Q39" s="1286"/>
      <c r="R39" s="1287"/>
      <c r="S39" s="1287"/>
      <c r="T39" s="1287"/>
      <c r="U39" s="1287"/>
      <c r="V39" s="1286"/>
      <c r="W39" s="1287"/>
      <c r="X39" s="1287"/>
      <c r="Y39" s="1287"/>
      <c r="Z39" s="1287"/>
      <c r="AA39" s="1286"/>
      <c r="AB39" s="1287"/>
      <c r="AC39" s="1287"/>
      <c r="AD39" s="1287"/>
      <c r="AE39" s="1287"/>
      <c r="AF39" s="1286"/>
      <c r="AG39" s="1287"/>
      <c r="AH39" s="1287"/>
      <c r="AI39" s="1287"/>
      <c r="AJ39" s="1287"/>
      <c r="AK39" s="1286"/>
      <c r="AL39" s="1285"/>
      <c r="AM39" s="1285"/>
      <c r="AN39" s="1285"/>
      <c r="AO39" s="1285"/>
      <c r="AP39" s="1286"/>
      <c r="AQ39" s="1285"/>
      <c r="AR39" s="1285"/>
      <c r="AS39" s="1285"/>
      <c r="AT39" s="1285"/>
      <c r="AU39" s="1286"/>
      <c r="AV39" s="1285"/>
      <c r="AW39" s="1285"/>
      <c r="AX39" s="1285"/>
      <c r="AY39" s="1285"/>
      <c r="AZ39" s="1286"/>
      <c r="BA39" s="1285"/>
      <c r="BB39" s="1285"/>
      <c r="BC39" s="1285"/>
      <c r="BD39" s="1285"/>
      <c r="BE39" s="1286"/>
      <c r="BF39" s="1285"/>
      <c r="BG39" s="1285"/>
      <c r="BH39" s="1285"/>
      <c r="BI39" s="1285"/>
      <c r="BJ39" s="1286"/>
      <c r="BK39" s="1285"/>
      <c r="BL39" s="1285"/>
      <c r="BM39" s="1285"/>
      <c r="BN39" s="1285"/>
      <c r="BO39" s="1286"/>
      <c r="BP39" s="1285"/>
      <c r="BQ39" s="1285"/>
      <c r="BR39" s="1285"/>
      <c r="BS39" s="1285"/>
      <c r="BT39" s="1286"/>
      <c r="BU39" s="1285"/>
      <c r="BV39" s="1285"/>
      <c r="BW39" s="1285"/>
      <c r="BX39" s="1285"/>
      <c r="BY39" s="1286"/>
      <c r="BZ39" s="1285"/>
      <c r="CA39" s="1285"/>
      <c r="CB39" s="1285"/>
      <c r="CC39" s="1285"/>
      <c r="CD39" s="1286"/>
      <c r="CE39" s="1285"/>
      <c r="CF39" s="1285"/>
      <c r="CG39" s="1285"/>
      <c r="CH39" s="1285"/>
      <c r="CI39" s="1286"/>
      <c r="CJ39" s="1285"/>
      <c r="CK39" s="1285"/>
      <c r="CL39" s="1285"/>
      <c r="CM39" s="1285"/>
      <c r="CN39" s="1286"/>
      <c r="CO39" s="1285"/>
      <c r="CP39" s="1285"/>
      <c r="CQ39" s="1285"/>
      <c r="CR39" s="1285"/>
      <c r="CS39" s="1286"/>
      <c r="CT39" s="1288">
        <f>PBP!CT347</f>
      </c>
      <c r="CU39" s="1288">
        <f>PBP!CU347</f>
      </c>
      <c r="CV39" s="1288">
        <f>PBP!CV347</f>
      </c>
      <c r="CW39" s="1288">
        <f>PBP!CW347</f>
      </c>
      <c r="CX39" s="1289">
        <f>PBP!CX347</f>
      </c>
      <c r="CY39" s="1288">
        <f>PBP!CY347</f>
      </c>
      <c r="CZ39" s="1288">
        <f>PBP!CZ347</f>
      </c>
      <c r="DA39" s="1288">
        <f>PBP!DA347</f>
      </c>
      <c r="DB39" s="1288">
        <f>PBP!DB347</f>
      </c>
      <c r="DC39" s="1289">
        <f>PBP!DC347</f>
      </c>
      <c r="DD39" s="1288">
        <f>PBP!DD347</f>
      </c>
      <c r="DE39" s="1288">
        <f>PBP!DE347</f>
      </c>
      <c r="DF39" s="1288">
        <f>PBP!DF347</f>
      </c>
      <c r="DG39" s="1288">
        <f>PBP!DG347</f>
      </c>
      <c r="DH39" s="1289">
        <f>PBP!DH347</f>
      </c>
      <c r="DI39" s="1288">
        <f>PBP!DI347</f>
      </c>
      <c r="DJ39" s="1288">
        <f>PBP!DJ347</f>
      </c>
      <c r="DK39" s="1288">
        <f>PBP!DK347</f>
      </c>
      <c r="DL39" s="1288">
        <f>PBP!DL347</f>
      </c>
      <c r="DM39" s="1289">
        <f>PBP!DM347</f>
      </c>
      <c r="DN39" s="1288">
        <f>PBP!DN347</f>
      </c>
      <c r="DO39" s="1288">
        <f>PBP!DO347</f>
      </c>
      <c r="DP39" s="1288">
        <f>PBP!DP347</f>
      </c>
      <c r="DQ39" s="1288">
        <f>PBP!DQ347</f>
      </c>
      <c r="DR39" s="1289">
        <f>PBP!DR347</f>
      </c>
      <c r="DS39" s="1288">
        <f>PBP!DS347</f>
      </c>
      <c r="DT39" s="1288">
        <f>PBP!DT347</f>
      </c>
      <c r="DU39" s="1288">
        <f>PBP!DU347</f>
      </c>
      <c r="DV39" s="1288">
        <f>PBP!DV347</f>
      </c>
      <c r="DW39" s="1289">
        <f>PBP!DW347</f>
      </c>
      <c r="DX39" s="1288">
        <f>PBP!DX347</f>
      </c>
      <c r="DY39" s="1288">
        <f>PBP!DY347</f>
      </c>
      <c r="DZ39" s="1288">
        <f>PBP!DZ347</f>
      </c>
      <c r="EA39" s="1288">
        <f>PBP!EA347</f>
      </c>
      <c r="EB39" s="1289">
        <f>PBP!EB347</f>
      </c>
      <c r="EC39" s="1288">
        <f>PBP!EC347</f>
      </c>
      <c r="ED39" s="1288">
        <f>PBP!ED347</f>
      </c>
      <c r="EE39" s="1288">
        <f>PBP!EE347</f>
      </c>
      <c r="EF39" s="1288">
        <f>PBP!EF347</f>
      </c>
      <c r="EG39" s="1289">
        <f>PBP!EG347</f>
      </c>
      <c r="EH39" s="1288">
        <f>PBP!EH347</f>
      </c>
      <c r="EI39" s="1288">
        <f>PBP!EI347</f>
      </c>
      <c r="EJ39" s="1288">
        <f>PBP!EJ347</f>
      </c>
      <c r="EK39" s="1288">
        <f>PBP!EK347</f>
      </c>
      <c r="EL39" s="1289">
        <f>PBP!EL347</f>
      </c>
      <c r="EM39" s="1288">
        <f>PBP!EM347</f>
      </c>
      <c r="EN39" s="1288">
        <f>PBP!EN347</f>
      </c>
      <c r="EO39" s="1288">
        <f>PBP!EO347</f>
      </c>
      <c r="EP39" s="1288">
        <f>PBP!EP347</f>
      </c>
      <c r="EQ39" s="1289">
        <f>PBP!EQ347</f>
      </c>
      <c r="ER39" s="1288">
        <f>PBP!ER347</f>
      </c>
      <c r="ES39" s="1288">
        <f>PBP!ES347</f>
      </c>
      <c r="ET39" s="1288">
        <f>PBP!ET347</f>
      </c>
      <c r="EU39" s="1288">
        <f>PBP!EU347</f>
      </c>
      <c r="EV39" s="1289">
        <f>PBP!EV347</f>
      </c>
      <c r="EW39" s="1288">
        <f>PBP!EW347</f>
      </c>
      <c r="EX39" s="1288">
        <f>PBP!EX347</f>
      </c>
      <c r="EY39" s="1288">
        <f>PBP!EY347</f>
      </c>
      <c r="EZ39" s="1288">
        <f>PBP!EZ347</f>
      </c>
      <c r="FA39" s="1289">
        <f>PBP!FA347</f>
      </c>
      <c r="FB39" s="1288">
        <f>PBP!FB347</f>
      </c>
      <c r="FC39" s="1288">
        <f>PBP!FC347</f>
      </c>
      <c r="FD39" s="1288">
        <f>PBP!FD347</f>
      </c>
      <c r="FE39" s="1288">
        <f>PBP!FE347</f>
      </c>
      <c r="FF39" s="1289">
        <f>PBP!FF347</f>
      </c>
      <c r="FG39" s="1288">
        <f>PBP!FG347</f>
      </c>
      <c r="FH39" s="1288">
        <f>PBP!FH347</f>
      </c>
      <c r="FI39" s="1288">
        <f>PBP!FI347</f>
      </c>
      <c r="FJ39" s="1288">
        <f>PBP!FJ347</f>
      </c>
      <c r="FK39" s="1289">
        <f>PBP!FK347</f>
      </c>
      <c r="FL39" s="1288">
        <f>PBP!FL347</f>
      </c>
      <c r="FM39" s="1288">
        <f>PBP!FM347</f>
      </c>
      <c r="FN39" s="1288">
        <f>PBP!FN347</f>
      </c>
      <c r="FO39" s="1288">
        <f>PBP!FO347</f>
      </c>
      <c r="FP39" s="1289">
        <f>PBP!FP347</f>
      </c>
      <c r="FQ39" s="1288">
        <f>PBP!FQ347</f>
      </c>
      <c r="FR39" s="1288">
        <f>PBP!FR347</f>
      </c>
      <c r="FS39" s="1288">
        <f>PBP!FS347</f>
      </c>
      <c r="FT39" s="1288">
        <f>PBP!FT347</f>
      </c>
      <c r="FU39" s="1289">
        <f>PBP!FU347</f>
      </c>
      <c r="FV39" s="1288">
        <f>PBP!FV347</f>
      </c>
      <c r="FW39" s="1288">
        <f>PBP!FW347</f>
      </c>
      <c r="FX39" s="1288">
        <f>PBP!FX347</f>
      </c>
      <c r="FY39" s="1288">
        <f>PBP!FY347</f>
      </c>
      <c r="FZ39" s="1289">
        <f>PBP!FZ347</f>
      </c>
      <c r="GA39" s="1288">
        <f>PBP!GA347</f>
      </c>
      <c r="GB39" s="1288">
        <f>PBP!GB347</f>
      </c>
      <c r="GC39" s="1288">
        <f>PBP!GC347</f>
      </c>
      <c r="GD39" s="1288">
        <f>PBP!GD347</f>
      </c>
      <c r="GE39" s="1289">
        <f>PBP!GE347</f>
      </c>
      <c r="GF39" s="1288">
        <f>PBP!GF347</f>
      </c>
      <c r="GG39" s="1288">
        <f>PBP!GG347</f>
      </c>
      <c r="GH39" s="1288">
        <f>PBP!GH347</f>
      </c>
      <c r="GI39" s="1288">
        <f>PBP!GI347</f>
      </c>
      <c r="GJ39" s="1289">
        <f>PBP!GJ347</f>
      </c>
    </row>
    <row r="40" spans="1:192" s="461" customFormat="1" ht="12.75" hidden="1" customHeight="1" outlineLevel="1">
      <c r="A40" s="370"/>
      <c r="B40" s="986" t="s">
        <v>34</v>
      </c>
      <c r="C40" s="987"/>
      <c r="D40" s="987"/>
      <c r="E40" s="987"/>
      <c r="F40" s="987"/>
      <c r="G40" s="988"/>
      <c r="H40" s="987"/>
      <c r="I40" s="987"/>
      <c r="J40" s="987"/>
      <c r="K40" s="987"/>
      <c r="L40" s="988"/>
      <c r="M40" s="987"/>
      <c r="N40" s="987"/>
      <c r="O40" s="987"/>
      <c r="P40" s="987"/>
      <c r="Q40" s="988"/>
      <c r="R40" s="989"/>
      <c r="S40" s="989"/>
      <c r="T40" s="989"/>
      <c r="U40" s="989"/>
      <c r="V40" s="988"/>
      <c r="W40" s="989"/>
      <c r="X40" s="989"/>
      <c r="Y40" s="989"/>
      <c r="Z40" s="989"/>
      <c r="AA40" s="988"/>
      <c r="AB40" s="989"/>
      <c r="AC40" s="989"/>
      <c r="AD40" s="989"/>
      <c r="AE40" s="989"/>
      <c r="AF40" s="988"/>
      <c r="AG40" s="989"/>
      <c r="AH40" s="989"/>
      <c r="AI40" s="989"/>
      <c r="AJ40" s="989"/>
      <c r="AK40" s="988"/>
      <c r="AL40" s="987"/>
      <c r="AM40" s="987"/>
      <c r="AN40" s="987"/>
      <c r="AO40" s="987"/>
      <c r="AP40" s="988"/>
      <c r="AQ40" s="987"/>
      <c r="AR40" s="987"/>
      <c r="AS40" s="987"/>
      <c r="AT40" s="987"/>
      <c r="AU40" s="988"/>
      <c r="AV40" s="987"/>
      <c r="AW40" s="987"/>
      <c r="AX40" s="987"/>
      <c r="AY40" s="987"/>
      <c r="AZ40" s="988"/>
      <c r="BA40" s="987"/>
      <c r="BB40" s="987"/>
      <c r="BC40" s="987"/>
      <c r="BD40" s="987"/>
      <c r="BE40" s="988"/>
      <c r="BF40" s="987"/>
      <c r="BG40" s="987"/>
      <c r="BH40" s="987"/>
      <c r="BI40" s="987"/>
      <c r="BJ40" s="988"/>
      <c r="BK40" s="987"/>
      <c r="BL40" s="987"/>
      <c r="BM40" s="987"/>
      <c r="BN40" s="987"/>
      <c r="BO40" s="988"/>
      <c r="BP40" s="987"/>
      <c r="BQ40" s="987"/>
      <c r="BR40" s="987"/>
      <c r="BS40" s="987"/>
      <c r="BT40" s="988"/>
      <c r="BU40" s="987"/>
      <c r="BV40" s="987"/>
      <c r="BW40" s="987"/>
      <c r="BX40" s="987"/>
      <c r="BY40" s="988"/>
      <c r="BZ40" s="987"/>
      <c r="CA40" s="987"/>
      <c r="CB40" s="987"/>
      <c r="CC40" s="987"/>
      <c r="CD40" s="988"/>
      <c r="CE40" s="987"/>
      <c r="CF40" s="987"/>
      <c r="CG40" s="987"/>
      <c r="CH40" s="987"/>
      <c r="CI40" s="988"/>
      <c r="CJ40" s="987"/>
      <c r="CK40" s="987"/>
      <c r="CL40" s="987"/>
      <c r="CM40" s="987"/>
      <c r="CN40" s="988"/>
      <c r="CO40" s="987"/>
      <c r="CP40" s="987"/>
      <c r="CQ40" s="987"/>
      <c r="CR40" s="987"/>
      <c r="CS40" s="988"/>
      <c r="CT40" s="771" t="str">
        <f t="shared" ref="CT40:DY40" si="109">IFERROR(CT39/CO39-1,"")</f>
      </c>
      <c r="CU40" s="771" t="str">
        <f t="shared" si="109"/>
      </c>
      <c r="CV40" s="771" t="str">
        <f t="shared" si="109"/>
      </c>
      <c r="CW40" s="771" t="str">
        <f t="shared" si="109"/>
      </c>
      <c r="CX40" s="1047" t="str">
        <f t="shared" si="109"/>
      </c>
      <c r="CY40" s="771">
        <f t="shared" si="109"/>
      </c>
      <c r="CZ40" s="771">
        <f t="shared" si="109"/>
      </c>
      <c r="DA40" s="771">
        <f t="shared" si="109"/>
      </c>
      <c r="DB40" s="771">
        <f t="shared" si="109"/>
      </c>
      <c r="DC40" s="1047">
        <f t="shared" si="109"/>
      </c>
      <c r="DD40" s="771">
        <f t="shared" si="109"/>
      </c>
      <c r="DE40" s="771">
        <f t="shared" si="109"/>
      </c>
      <c r="DF40" s="771">
        <f t="shared" si="109"/>
      </c>
      <c r="DG40" s="771">
        <f t="shared" si="109"/>
      </c>
      <c r="DH40" s="1047">
        <f t="shared" si="109"/>
      </c>
      <c r="DI40" s="771">
        <f t="shared" si="109"/>
      </c>
      <c r="DJ40" s="771">
        <f t="shared" si="109"/>
      </c>
      <c r="DK40" s="771">
        <f t="shared" si="109"/>
      </c>
      <c r="DL40" s="771">
        <f t="shared" si="109"/>
      </c>
      <c r="DM40" s="1047">
        <f t="shared" si="109"/>
      </c>
      <c r="DN40" s="771">
        <f t="shared" si="109"/>
      </c>
      <c r="DO40" s="771">
        <f t="shared" si="109"/>
      </c>
      <c r="DP40" s="771">
        <f t="shared" si="109"/>
      </c>
      <c r="DQ40" s="771">
        <f t="shared" si="109"/>
      </c>
      <c r="DR40" s="1047">
        <f t="shared" si="109"/>
      </c>
      <c r="DS40" s="771">
        <f t="shared" si="109"/>
      </c>
      <c r="DT40" s="771">
        <f t="shared" si="109"/>
      </c>
      <c r="DU40" s="771">
        <f t="shared" si="109"/>
      </c>
      <c r="DV40" s="771">
        <f t="shared" si="109"/>
      </c>
      <c r="DW40" s="1047">
        <f t="shared" si="109"/>
      </c>
      <c r="DX40" s="771">
        <f t="shared" si="109"/>
      </c>
      <c r="DY40" s="771">
        <f t="shared" si="109"/>
      </c>
      <c r="DZ40" s="771">
        <f t="shared" ref="DZ40:FE40" si="110">IFERROR(DZ39/DU39-1,"")</f>
      </c>
      <c r="EA40" s="771">
        <f t="shared" si="110"/>
      </c>
      <c r="EB40" s="1047">
        <f t="shared" si="110"/>
      </c>
      <c r="EC40" s="771">
        <f t="shared" si="110"/>
      </c>
      <c r="ED40" s="771">
        <f t="shared" si="110"/>
      </c>
      <c r="EE40" s="771">
        <f t="shared" si="110"/>
      </c>
      <c r="EF40" s="771">
        <f t="shared" si="110"/>
      </c>
      <c r="EG40" s="1047">
        <f t="shared" si="110"/>
      </c>
      <c r="EH40" s="771">
        <f t="shared" si="110"/>
      </c>
      <c r="EI40" s="771">
        <f t="shared" si="110"/>
      </c>
      <c r="EJ40" s="771">
        <f t="shared" si="110"/>
      </c>
      <c r="EK40" s="771">
        <f t="shared" si="110"/>
      </c>
      <c r="EL40" s="1047">
        <f t="shared" si="110"/>
      </c>
      <c r="EM40" s="771">
        <f t="shared" si="110"/>
      </c>
      <c r="EN40" s="771">
        <f t="shared" si="110"/>
      </c>
      <c r="EO40" s="771">
        <f t="shared" si="110"/>
      </c>
      <c r="EP40" s="771">
        <f t="shared" si="110"/>
      </c>
      <c r="EQ40" s="1047">
        <f t="shared" si="110"/>
      </c>
      <c r="ER40" s="771">
        <f t="shared" ref="ER40" si="111">IFERROR(ER39/EM39-1,"")</f>
      </c>
      <c r="ES40" s="771">
        <f t="shared" ref="ES40" si="112">IFERROR(ES39/EN39-1,"")</f>
      </c>
      <c r="ET40" s="771">
        <f t="shared" ref="ET40" si="113">IFERROR(ET39/EO39-1,"")</f>
      </c>
      <c r="EU40" s="771">
        <f t="shared" ref="EU40" si="114">IFERROR(EU39/EP39-1,"")</f>
      </c>
      <c r="EV40" s="1047">
        <f t="shared" ref="EV40" si="115">IFERROR(EV39/EQ39-1,"")</f>
      </c>
      <c r="EW40" s="771">
        <f t="shared" si="110"/>
      </c>
      <c r="EX40" s="771">
        <f t="shared" si="110"/>
      </c>
      <c r="EY40" s="771">
        <f t="shared" si="110"/>
      </c>
      <c r="EZ40" s="771">
        <f t="shared" ref="EZ40" si="116">IFERROR(EZ39/EU39-1,"")</f>
      </c>
      <c r="FA40" s="1047">
        <f t="shared" ref="FA40" si="117">IFERROR(FA39/EV39-1,"")</f>
      </c>
      <c r="FB40" s="771">
        <f t="shared" si="110"/>
      </c>
      <c r="FC40" s="771">
        <f t="shared" si="110"/>
      </c>
      <c r="FD40" s="771">
        <f t="shared" si="110"/>
      </c>
      <c r="FE40" s="771">
        <f t="shared" si="110"/>
      </c>
      <c r="FF40" s="1047">
        <f t="shared" ref="FF40:GE40" si="118">IFERROR(FF39/FA39-1,"")</f>
      </c>
      <c r="FG40" s="771">
        <f t="shared" si="118"/>
      </c>
      <c r="FH40" s="771">
        <f t="shared" si="118"/>
      </c>
      <c r="FI40" s="771">
        <f t="shared" si="118"/>
      </c>
      <c r="FJ40" s="771">
        <f t="shared" si="118"/>
      </c>
      <c r="FK40" s="1047">
        <f t="shared" si="118"/>
      </c>
      <c r="FL40" s="771">
        <f t="shared" si="118"/>
      </c>
      <c r="FM40" s="771">
        <f t="shared" si="118"/>
      </c>
      <c r="FN40" s="771">
        <f t="shared" si="118"/>
      </c>
      <c r="FO40" s="771">
        <f t="shared" si="118"/>
      </c>
      <c r="FP40" s="1047">
        <f t="shared" si="118"/>
      </c>
      <c r="FQ40" s="771">
        <f t="shared" si="118"/>
      </c>
      <c r="FR40" s="771">
        <f t="shared" si="118"/>
      </c>
      <c r="FS40" s="771">
        <f t="shared" si="118"/>
      </c>
      <c r="FT40" s="771">
        <f t="shared" si="118"/>
      </c>
      <c r="FU40" s="1047">
        <f t="shared" si="118"/>
      </c>
      <c r="FV40" s="771">
        <f t="shared" si="118"/>
      </c>
      <c r="FW40" s="771">
        <f t="shared" si="118"/>
      </c>
      <c r="FX40" s="771">
        <f t="shared" si="118"/>
      </c>
      <c r="FY40" s="771">
        <f t="shared" si="118"/>
      </c>
      <c r="FZ40" s="1047">
        <f t="shared" si="118"/>
      </c>
      <c r="GA40" s="771">
        <f t="shared" si="118"/>
      </c>
      <c r="GB40" s="771">
        <f t="shared" si="118"/>
      </c>
      <c r="GC40" s="771">
        <f t="shared" si="118"/>
      </c>
      <c r="GD40" s="771">
        <f t="shared" si="118"/>
      </c>
      <c r="GE40" s="1047">
        <f t="shared" si="118"/>
      </c>
      <c r="GF40" s="771">
        <f t="shared" ref="GF40" si="119">IFERROR(GF39/GA39-1,"")</f>
      </c>
      <c r="GG40" s="771">
        <f t="shared" ref="GG40" si="120">IFERROR(GG39/GB39-1,"")</f>
      </c>
      <c r="GH40" s="771">
        <f t="shared" ref="GH40" si="121">IFERROR(GH39/GC39-1,"")</f>
      </c>
      <c r="GI40" s="771">
        <f t="shared" ref="GI40" si="122">IFERROR(GI39/GD39-1,"")</f>
      </c>
      <c r="GJ40" s="1047">
        <f t="shared" ref="GJ40" si="123">IFERROR(GJ39/GE39-1,"")</f>
      </c>
    </row>
    <row r="41" spans="1:192" s="461" customFormat="1" ht="12.75" hidden="1" customHeight="1" outlineLevel="1">
      <c r="A41" s="370"/>
      <c r="B41" s="986" t="s">
        <v>36</v>
      </c>
      <c r="C41" s="987"/>
      <c r="D41" s="987"/>
      <c r="E41" s="987"/>
      <c r="F41" s="987"/>
      <c r="G41" s="988"/>
      <c r="H41" s="987"/>
      <c r="I41" s="987"/>
      <c r="J41" s="987"/>
      <c r="K41" s="987"/>
      <c r="L41" s="988"/>
      <c r="M41" s="987"/>
      <c r="N41" s="987"/>
      <c r="O41" s="987"/>
      <c r="P41" s="987"/>
      <c r="Q41" s="988"/>
      <c r="R41" s="989"/>
      <c r="S41" s="989"/>
      <c r="T41" s="989"/>
      <c r="U41" s="989"/>
      <c r="V41" s="988"/>
      <c r="W41" s="989"/>
      <c r="X41" s="989"/>
      <c r="Y41" s="989"/>
      <c r="Z41" s="989"/>
      <c r="AA41" s="988"/>
      <c r="AB41" s="989"/>
      <c r="AC41" s="989"/>
      <c r="AD41" s="989"/>
      <c r="AE41" s="989"/>
      <c r="AF41" s="988"/>
      <c r="AG41" s="989"/>
      <c r="AH41" s="989"/>
      <c r="AI41" s="989"/>
      <c r="AJ41" s="989"/>
      <c r="AK41" s="988"/>
      <c r="AL41" s="987"/>
      <c r="AM41" s="987"/>
      <c r="AN41" s="987"/>
      <c r="AO41" s="987"/>
      <c r="AP41" s="988"/>
      <c r="AQ41" s="987"/>
      <c r="AR41" s="987"/>
      <c r="AS41" s="987"/>
      <c r="AT41" s="987"/>
      <c r="AU41" s="988"/>
      <c r="AV41" s="987"/>
      <c r="AW41" s="987"/>
      <c r="AX41" s="987"/>
      <c r="AY41" s="987"/>
      <c r="AZ41" s="988"/>
      <c r="BA41" s="987"/>
      <c r="BB41" s="987"/>
      <c r="BC41" s="987"/>
      <c r="BD41" s="987"/>
      <c r="BE41" s="988"/>
      <c r="BF41" s="987"/>
      <c r="BG41" s="987"/>
      <c r="BH41" s="987"/>
      <c r="BI41" s="987"/>
      <c r="BJ41" s="988"/>
      <c r="BK41" s="987"/>
      <c r="BL41" s="987"/>
      <c r="BM41" s="987"/>
      <c r="BN41" s="987"/>
      <c r="BO41" s="988"/>
      <c r="BP41" s="987"/>
      <c r="BQ41" s="987"/>
      <c r="BR41" s="987"/>
      <c r="BS41" s="987"/>
      <c r="BT41" s="988"/>
      <c r="BU41" s="987"/>
      <c r="BV41" s="987"/>
      <c r="BW41" s="987"/>
      <c r="BX41" s="987"/>
      <c r="BY41" s="988"/>
      <c r="BZ41" s="987"/>
      <c r="CA41" s="987"/>
      <c r="CB41" s="987"/>
      <c r="CC41" s="987"/>
      <c r="CD41" s="988"/>
      <c r="CE41" s="987"/>
      <c r="CF41" s="987"/>
      <c r="CG41" s="987"/>
      <c r="CH41" s="987"/>
      <c r="CI41" s="988"/>
      <c r="CJ41" s="987"/>
      <c r="CK41" s="987"/>
      <c r="CL41" s="987"/>
      <c r="CM41" s="987"/>
      <c r="CN41" s="988"/>
      <c r="CO41" s="987"/>
      <c r="CP41" s="987"/>
      <c r="CQ41" s="987"/>
      <c r="CR41" s="987"/>
      <c r="CS41" s="988"/>
      <c r="CT41" s="771" t="str">
        <f>IFERROR(CT39/CR39-1,"")</f>
      </c>
      <c r="CU41" s="1283">
        <f>IFERROR(CU39/CT39-1,"")</f>
      </c>
      <c r="CV41" s="1283">
        <f>IFERROR(CV39/CU39-1,"")</f>
      </c>
      <c r="CW41" s="1283">
        <f>IFERROR(CW39/CV39-1,"")</f>
      </c>
      <c r="CX41" s="991"/>
      <c r="CY41" s="771">
        <f>IFERROR(CY39/CW39-1,"")</f>
      </c>
      <c r="CZ41" s="1283">
        <f>IFERROR(CZ39/CY39-1,"")</f>
      </c>
      <c r="DA41" s="1283">
        <f>IFERROR(DA39/CZ39-1,"")</f>
      </c>
      <c r="DB41" s="1283">
        <f>IFERROR(DB39/DA39-1,"")</f>
      </c>
      <c r="DC41" s="991"/>
      <c r="DD41" s="771">
        <f>IFERROR(DD39/DB39-1,"")</f>
      </c>
      <c r="DE41" s="1283">
        <f>IFERROR(DE39/DD39-1,"")</f>
      </c>
      <c r="DF41" s="1283">
        <f>IFERROR(DF39/DE39-1,"")</f>
      </c>
      <c r="DG41" s="1283">
        <f>IFERROR(DG39/DF39-1,"")</f>
      </c>
      <c r="DH41" s="991"/>
      <c r="DI41" s="771">
        <f>IFERROR(DI39/DG39-1,"")</f>
      </c>
      <c r="DJ41" s="1283">
        <f>IFERROR(DJ39/DI39-1,"")</f>
      </c>
      <c r="DK41" s="1283">
        <f>IFERROR(DK39/DJ39-1,"")</f>
      </c>
      <c r="DL41" s="1283">
        <f>IFERROR(DL39/DK39-1,"")</f>
      </c>
      <c r="DM41" s="991"/>
      <c r="DN41" s="771">
        <f>IFERROR(DN39/DL39-1,"")</f>
      </c>
      <c r="DO41" s="1283">
        <f>IFERROR(DO39/DN39-1,"")</f>
      </c>
      <c r="DP41" s="1283">
        <f>IFERROR(DP39/DO39-1,"")</f>
      </c>
      <c r="DQ41" s="1283">
        <f>IFERROR(DQ39/DP39-1,"")</f>
      </c>
      <c r="DR41" s="991"/>
      <c r="DS41" s="771">
        <f>IFERROR(DS39/DQ39-1,"")</f>
      </c>
      <c r="DT41" s="1283">
        <f>IFERROR(DT39/DS39-1,"")</f>
      </c>
      <c r="DU41" s="1283">
        <f>IFERROR(DU39/DT39-1,"")</f>
      </c>
      <c r="DV41" s="1283">
        <f>IFERROR(DV39/DU39-1,"")</f>
      </c>
      <c r="DW41" s="991"/>
      <c r="DX41" s="771">
        <f>IFERROR(DX39/DV39-1,"")</f>
      </c>
      <c r="DY41" s="1283">
        <f>IFERROR(DY39/DX39-1,"")</f>
      </c>
      <c r="DZ41" s="1283">
        <f>IFERROR(DZ39/DY39-1,"")</f>
      </c>
      <c r="EA41" s="1283">
        <f>IFERROR(EA39/DZ39-1,"")</f>
      </c>
      <c r="EB41" s="991"/>
      <c r="EC41" s="771">
        <f>IFERROR(EC39/EA39-1,"")</f>
      </c>
      <c r="ED41" s="1283">
        <f>IFERROR(ED39/EC39-1,"")</f>
      </c>
      <c r="EE41" s="1283">
        <f>IFERROR(EE39/ED39-1,"")</f>
      </c>
      <c r="EF41" s="1283">
        <f>IFERROR(EF39/EE39-1,"")</f>
      </c>
      <c r="EG41" s="991"/>
      <c r="EH41" s="771">
        <f>IFERROR(EH39/EF39-1,"")</f>
      </c>
      <c r="EI41" s="1283">
        <f>IFERROR(EI39/EH39-1,"")</f>
      </c>
      <c r="EJ41" s="1283">
        <f>IFERROR(EJ39/EI39-1,"")</f>
      </c>
      <c r="EK41" s="1283">
        <f>IFERROR(EK39/EJ39-1,"")</f>
      </c>
      <c r="EL41" s="991"/>
      <c r="EM41" s="771">
        <f>IFERROR(EM39/EK39-1,"")</f>
      </c>
      <c r="EN41" s="1283">
        <f>IFERROR(EN39/EM39-1,"")</f>
      </c>
      <c r="EO41" s="1283">
        <f>IFERROR(EO39/EN39-1,"")</f>
      </c>
      <c r="EP41" s="1283">
        <f>IFERROR(EP39/EO39-1,"")</f>
      </c>
      <c r="EQ41" s="991"/>
      <c r="ER41" s="771">
        <f>IFERROR(ER39/EP39-1,"")</f>
      </c>
      <c r="ES41" s="1283">
        <f>IFERROR(ES39/ER39-1,"")</f>
      </c>
      <c r="ET41" s="1283">
        <f>IFERROR(ET39/ES39-1,"")</f>
      </c>
      <c r="EU41" s="1283">
        <f>IFERROR(EU39/ET39-1,"")</f>
      </c>
      <c r="EV41" s="991"/>
      <c r="EW41" s="771">
        <f>IFERROR(EW39/EU39-1,"")</f>
      </c>
      <c r="EX41" s="1283">
        <f>IFERROR(EX39/EW39-1,"")</f>
      </c>
      <c r="EY41" s="1283">
        <f>IFERROR(EY39/EX39-1,"")</f>
      </c>
      <c r="EZ41" s="1283">
        <f>IFERROR(EZ39/EY39-1,"")</f>
      </c>
      <c r="FA41" s="991"/>
      <c r="FB41" s="771">
        <f>IFERROR(FB39/EZ39-1,"")</f>
      </c>
      <c r="FC41" s="1283">
        <f>IFERROR(FC39/FB39-1,"")</f>
      </c>
      <c r="FD41" s="1283">
        <f>IFERROR(FD39/FC39-1,"")</f>
      </c>
      <c r="FE41" s="1283">
        <f>IFERROR(FE39/FD39-1,"")</f>
      </c>
      <c r="FF41" s="991"/>
      <c r="FG41" s="771">
        <f>IFERROR(FG39/FE39-1,"")</f>
      </c>
      <c r="FH41" s="1283">
        <f>IFERROR(FH39/FG39-1,"")</f>
      </c>
      <c r="FI41" s="1283">
        <f>IFERROR(FI39/FH39-1,"")</f>
      </c>
      <c r="FJ41" s="1283">
        <f>IFERROR(FJ39/FI39-1,"")</f>
      </c>
      <c r="FK41" s="991"/>
      <c r="FL41" s="771">
        <f>IFERROR(FL39/FJ39-1,"")</f>
      </c>
      <c r="FM41" s="1283">
        <f>IFERROR(FM39/FL39-1,"")</f>
      </c>
      <c r="FN41" s="1283">
        <f>IFERROR(FN39/FM39-1,"")</f>
      </c>
      <c r="FO41" s="1283">
        <f>IFERROR(FO39/FN39-1,"")</f>
      </c>
      <c r="FP41" s="991"/>
      <c r="FQ41" s="771">
        <f>IFERROR(FQ39/FO39-1,"")</f>
      </c>
      <c r="FR41" s="1283">
        <f>IFERROR(FR39/FQ39-1,"")</f>
      </c>
      <c r="FS41" s="1283">
        <f>IFERROR(FS39/FR39-1,"")</f>
      </c>
      <c r="FT41" s="1283">
        <f>IFERROR(FT39/FS39-1,"")</f>
      </c>
      <c r="FU41" s="991"/>
      <c r="FV41" s="771">
        <f>IFERROR(FV39/FT39-1,"")</f>
      </c>
      <c r="FW41" s="1283">
        <f>IFERROR(FW39/FV39-1,"")</f>
      </c>
      <c r="FX41" s="1283">
        <f>IFERROR(FX39/FW39-1,"")</f>
      </c>
      <c r="FY41" s="1283">
        <f>IFERROR(FY39/FX39-1,"")</f>
      </c>
      <c r="FZ41" s="991"/>
      <c r="GA41" s="771">
        <f>IFERROR(GA39/FY39-1,"")</f>
      </c>
      <c r="GB41" s="1283">
        <f>IFERROR(GB39/GA39-1,"")</f>
      </c>
      <c r="GC41" s="1283">
        <f>IFERROR(GC39/GB39-1,"")</f>
      </c>
      <c r="GD41" s="1283">
        <f>IFERROR(GD39/GC39-1,"")</f>
      </c>
      <c r="GE41" s="991"/>
      <c r="GF41" s="771">
        <f>IFERROR(GF39/GD39-1,"")</f>
      </c>
      <c r="GG41" s="1283">
        <f>IFERROR(GG39/GF39-1,"")</f>
      </c>
      <c r="GH41" s="1283">
        <f>IFERROR(GH39/GG39-1,"")</f>
      </c>
      <c r="GI41" s="1283">
        <f>IFERROR(GI39/GH39-1,"")</f>
      </c>
      <c r="GJ41" s="991"/>
    </row>
    <row r="42" spans="1:192" s="461" customFormat="1" ht="12.75" hidden="1" customHeight="1" outlineLevel="1">
      <c r="A42" s="370"/>
      <c r="B42" s="986" t="s">
        <v>1863</v>
      </c>
      <c r="C42" s="987"/>
      <c r="D42" s="987"/>
      <c r="E42" s="987"/>
      <c r="F42" s="987"/>
      <c r="G42" s="988"/>
      <c r="H42" s="987"/>
      <c r="I42" s="987"/>
      <c r="J42" s="987"/>
      <c r="K42" s="987"/>
      <c r="L42" s="988"/>
      <c r="M42" s="987"/>
      <c r="N42" s="987"/>
      <c r="O42" s="987"/>
      <c r="P42" s="987"/>
      <c r="Q42" s="988"/>
      <c r="R42" s="989"/>
      <c r="S42" s="989"/>
      <c r="T42" s="989"/>
      <c r="U42" s="989"/>
      <c r="V42" s="988"/>
      <c r="W42" s="989"/>
      <c r="X42" s="989"/>
      <c r="Y42" s="989"/>
      <c r="Z42" s="989"/>
      <c r="AA42" s="988"/>
      <c r="AB42" s="989"/>
      <c r="AC42" s="989"/>
      <c r="AD42" s="989"/>
      <c r="AE42" s="989"/>
      <c r="AF42" s="988"/>
      <c r="AG42" s="989"/>
      <c r="AH42" s="989"/>
      <c r="AI42" s="989"/>
      <c r="AJ42" s="989"/>
      <c r="AK42" s="988"/>
      <c r="AL42" s="987"/>
      <c r="AM42" s="987"/>
      <c r="AN42" s="987"/>
      <c r="AO42" s="987"/>
      <c r="AP42" s="988"/>
      <c r="AQ42" s="987"/>
      <c r="AR42" s="987"/>
      <c r="AS42" s="987"/>
      <c r="AT42" s="987"/>
      <c r="AU42" s="988"/>
      <c r="AV42" s="987"/>
      <c r="AW42" s="987"/>
      <c r="AX42" s="987"/>
      <c r="AY42" s="987"/>
      <c r="AZ42" s="988"/>
      <c r="BA42" s="987"/>
      <c r="BB42" s="987"/>
      <c r="BC42" s="987"/>
      <c r="BD42" s="987"/>
      <c r="BE42" s="988"/>
      <c r="BF42" s="987"/>
      <c r="BG42" s="987"/>
      <c r="BH42" s="987"/>
      <c r="BI42" s="987"/>
      <c r="BJ42" s="988"/>
      <c r="BK42" s="987"/>
      <c r="BL42" s="987"/>
      <c r="BM42" s="987"/>
      <c r="BN42" s="987"/>
      <c r="BO42" s="988"/>
      <c r="BP42" s="987"/>
      <c r="BQ42" s="987"/>
      <c r="BR42" s="987"/>
      <c r="BS42" s="987"/>
      <c r="BT42" s="988"/>
      <c r="BU42" s="987"/>
      <c r="BV42" s="987"/>
      <c r="BW42" s="987"/>
      <c r="BX42" s="987"/>
      <c r="BY42" s="988"/>
      <c r="BZ42" s="987"/>
      <c r="CA42" s="987"/>
      <c r="CB42" s="987"/>
      <c r="CC42" s="987"/>
      <c r="CD42" s="988"/>
      <c r="CE42" s="987"/>
      <c r="CF42" s="987"/>
      <c r="CG42" s="987"/>
      <c r="CH42" s="987"/>
      <c r="CI42" s="988"/>
      <c r="CJ42" s="987"/>
      <c r="CK42" s="987"/>
      <c r="CL42" s="987"/>
      <c r="CM42" s="987"/>
      <c r="CN42" s="988"/>
      <c r="CO42" s="987"/>
      <c r="CP42" s="987"/>
      <c r="CQ42" s="987"/>
      <c r="CR42" s="987"/>
      <c r="CS42" s="988"/>
      <c r="CT42" s="987"/>
      <c r="CU42" s="987"/>
      <c r="CV42" s="987"/>
      <c r="CW42" s="987"/>
      <c r="CX42" s="988"/>
      <c r="CY42" s="1290"/>
      <c r="CZ42" s="1290"/>
      <c r="DA42" s="1290"/>
      <c r="DB42" s="1290"/>
      <c r="DC42" s="1291"/>
      <c r="DD42" s="1290"/>
      <c r="DE42" s="1290"/>
      <c r="DF42" s="1290"/>
      <c r="DG42" s="1290"/>
      <c r="DH42" s="1291"/>
      <c r="DI42" s="1290"/>
      <c r="DJ42" s="1290">
        <f t="shared" ref="DJ42:FU42" si="124">DJ39/DJ$19</f>
      </c>
      <c r="DK42" s="1290">
        <f t="shared" si="124"/>
      </c>
      <c r="DL42" s="1290">
        <f t="shared" si="124"/>
      </c>
      <c r="DM42" s="1291">
        <f t="shared" si="124"/>
      </c>
      <c r="DN42" s="1290">
        <f t="shared" si="124"/>
      </c>
      <c r="DO42" s="1290">
        <f t="shared" si="124"/>
      </c>
      <c r="DP42" s="1290">
        <f t="shared" si="124"/>
      </c>
      <c r="DQ42" s="1290">
        <f t="shared" si="124"/>
      </c>
      <c r="DR42" s="1291">
        <f t="shared" si="124"/>
      </c>
      <c r="DS42" s="1290">
        <f t="shared" si="124"/>
      </c>
      <c r="DT42" s="1290">
        <f t="shared" si="124"/>
      </c>
      <c r="DU42" s="1290">
        <f t="shared" si="124"/>
      </c>
      <c r="DV42" s="1290">
        <f t="shared" si="124"/>
      </c>
      <c r="DW42" s="1291">
        <f t="shared" si="124"/>
      </c>
      <c r="DX42" s="1290">
        <f t="shared" si="124"/>
      </c>
      <c r="DY42" s="1290">
        <f t="shared" si="124"/>
      </c>
      <c r="DZ42" s="1290">
        <f t="shared" si="124"/>
      </c>
      <c r="EA42" s="1290">
        <f t="shared" si="124"/>
      </c>
      <c r="EB42" s="1291">
        <f t="shared" si="124"/>
      </c>
      <c r="EC42" s="1290">
        <f t="shared" si="124"/>
      </c>
      <c r="ED42" s="1290">
        <f t="shared" si="124"/>
      </c>
      <c r="EE42" s="1290">
        <f t="shared" si="124"/>
      </c>
      <c r="EF42" s="1290">
        <f t="shared" si="124"/>
      </c>
      <c r="EG42" s="1291">
        <f t="shared" si="124"/>
      </c>
      <c r="EH42" s="1290">
        <f t="shared" si="124"/>
      </c>
      <c r="EI42" s="1290">
        <f t="shared" si="124"/>
      </c>
      <c r="EJ42" s="1290">
        <f t="shared" si="124"/>
      </c>
      <c r="EK42" s="1290">
        <f t="shared" si="124"/>
      </c>
      <c r="EL42" s="1291">
        <f t="shared" si="124"/>
      </c>
      <c r="EM42" s="1290">
        <f t="shared" si="124"/>
      </c>
      <c r="EN42" s="1290">
        <f t="shared" si="124"/>
      </c>
      <c r="EO42" s="1290">
        <f t="shared" si="124"/>
      </c>
      <c r="EP42" s="1290">
        <f t="shared" si="124"/>
      </c>
      <c r="EQ42" s="1291">
        <f t="shared" si="124"/>
      </c>
      <c r="ER42" s="1290">
        <f t="shared" ref="ER42:EV42" si="125">ER39/ER$19</f>
      </c>
      <c r="ES42" s="1290">
        <f t="shared" si="125"/>
      </c>
      <c r="ET42" s="1290">
        <f t="shared" si="125"/>
      </c>
      <c r="EU42" s="1290">
        <f t="shared" si="125"/>
      </c>
      <c r="EV42" s="1291">
        <f t="shared" si="125"/>
      </c>
      <c r="EW42" s="1290">
        <f t="shared" si="124"/>
      </c>
      <c r="EX42" s="1290">
        <f t="shared" si="124"/>
      </c>
      <c r="EY42" s="1290">
        <f t="shared" si="124"/>
      </c>
      <c r="EZ42" s="1290">
        <f t="shared" si="124"/>
      </c>
      <c r="FA42" s="1291">
        <f t="shared" si="124"/>
      </c>
      <c r="FB42" s="1290">
        <f t="shared" si="124"/>
      </c>
      <c r="FC42" s="1290">
        <f t="shared" si="124"/>
      </c>
      <c r="FD42" s="1290">
        <f t="shared" si="124"/>
      </c>
      <c r="FE42" s="1290">
        <f t="shared" si="124"/>
      </c>
      <c r="FF42" s="1291">
        <f t="shared" si="124"/>
      </c>
      <c r="FG42" s="1290">
        <f t="shared" si="124"/>
      </c>
      <c r="FH42" s="1290">
        <f t="shared" si="124"/>
      </c>
      <c r="FI42" s="1290">
        <f t="shared" si="124"/>
      </c>
      <c r="FJ42" s="1290">
        <f t="shared" si="124"/>
      </c>
      <c r="FK42" s="1291">
        <f t="shared" si="124"/>
      </c>
      <c r="FL42" s="1290">
        <f t="shared" si="124"/>
      </c>
      <c r="FM42" s="1290">
        <f t="shared" si="124"/>
      </c>
      <c r="FN42" s="1290">
        <f t="shared" si="124"/>
      </c>
      <c r="FO42" s="1290">
        <f t="shared" si="124"/>
      </c>
      <c r="FP42" s="1291">
        <f t="shared" si="124"/>
      </c>
      <c r="FQ42" s="1290">
        <f t="shared" si="124"/>
      </c>
      <c r="FR42" s="1290">
        <f t="shared" si="124"/>
      </c>
      <c r="FS42" s="1290">
        <f t="shared" si="124"/>
      </c>
      <c r="FT42" s="1290">
        <f t="shared" si="124"/>
      </c>
      <c r="FU42" s="1291">
        <f t="shared" si="124"/>
      </c>
      <c r="FV42" s="1290">
        <f t="shared" ref="FV42:GE42" si="126">FV39/FV$19</f>
      </c>
      <c r="FW42" s="1290">
        <f t="shared" si="126"/>
      </c>
      <c r="FX42" s="1290">
        <f t="shared" si="126"/>
      </c>
      <c r="FY42" s="1290">
        <f t="shared" si="126"/>
      </c>
      <c r="FZ42" s="1291">
        <f t="shared" si="126"/>
      </c>
      <c r="GA42" s="1290">
        <f t="shared" si="126"/>
      </c>
      <c r="GB42" s="1290">
        <f t="shared" si="126"/>
      </c>
      <c r="GC42" s="1290">
        <f t="shared" si="126"/>
      </c>
      <c r="GD42" s="1290">
        <f t="shared" si="126"/>
      </c>
      <c r="GE42" s="1291">
        <f t="shared" si="126"/>
      </c>
      <c r="GF42" s="1290">
        <f t="shared" ref="GF42:GJ42" si="127">GF39/GF$19</f>
      </c>
      <c r="GG42" s="1290">
        <f t="shared" si="127"/>
      </c>
      <c r="GH42" s="1290">
        <f t="shared" si="127"/>
      </c>
      <c r="GI42" s="1290">
        <f t="shared" si="127"/>
      </c>
      <c r="GJ42" s="1291">
        <f t="shared" si="127"/>
      </c>
    </row>
    <row r="43" spans="1:192" s="461" customFormat="1" ht="12.75" customHeight="1" collapsed="1">
      <c r="A43" s="370"/>
      <c r="B43" s="986"/>
      <c r="C43" s="987"/>
      <c r="D43" s="987"/>
      <c r="E43" s="987"/>
      <c r="F43" s="987"/>
      <c r="G43" s="988"/>
      <c r="H43" s="987"/>
      <c r="I43" s="987"/>
      <c r="J43" s="987"/>
      <c r="K43" s="987"/>
      <c r="L43" s="988"/>
      <c r="M43" s="987"/>
      <c r="N43" s="987"/>
      <c r="O43" s="987"/>
      <c r="P43" s="987"/>
      <c r="Q43" s="988"/>
      <c r="R43" s="989"/>
      <c r="S43" s="989"/>
      <c r="T43" s="989"/>
      <c r="U43" s="989"/>
      <c r="V43" s="988"/>
      <c r="W43" s="989"/>
      <c r="X43" s="989"/>
      <c r="Y43" s="989"/>
      <c r="Z43" s="989"/>
      <c r="AA43" s="988"/>
      <c r="AB43" s="989"/>
      <c r="AC43" s="989"/>
      <c r="AD43" s="989"/>
      <c r="AE43" s="989"/>
      <c r="AF43" s="988"/>
      <c r="AG43" s="989"/>
      <c r="AH43" s="989"/>
      <c r="AI43" s="989"/>
      <c r="AJ43" s="989"/>
      <c r="AK43" s="988"/>
      <c r="AL43" s="987"/>
      <c r="AM43" s="987"/>
      <c r="AN43" s="987"/>
      <c r="AO43" s="987"/>
      <c r="AP43" s="988"/>
      <c r="AQ43" s="987"/>
      <c r="AR43" s="987"/>
      <c r="AS43" s="987"/>
      <c r="AT43" s="987"/>
      <c r="AU43" s="988"/>
      <c r="AV43" s="987"/>
      <c r="AW43" s="987"/>
      <c r="AX43" s="987"/>
      <c r="AY43" s="987"/>
      <c r="AZ43" s="988"/>
      <c r="BA43" s="987"/>
      <c r="BB43" s="987"/>
      <c r="BC43" s="987"/>
      <c r="BD43" s="987"/>
      <c r="BE43" s="988"/>
      <c r="BF43" s="987"/>
      <c r="BG43" s="987"/>
      <c r="BH43" s="987"/>
      <c r="BI43" s="987"/>
      <c r="BJ43" s="988"/>
      <c r="BK43" s="987"/>
      <c r="BL43" s="987"/>
      <c r="BM43" s="987"/>
      <c r="BN43" s="987"/>
      <c r="BO43" s="988"/>
      <c r="BP43" s="987"/>
      <c r="BQ43" s="987"/>
      <c r="BR43" s="987"/>
      <c r="BS43" s="987"/>
      <c r="BT43" s="988"/>
      <c r="BU43" s="987"/>
      <c r="BV43" s="987"/>
      <c r="BW43" s="987"/>
      <c r="BX43" s="987"/>
      <c r="BY43" s="988"/>
      <c r="BZ43" s="987"/>
      <c r="CA43" s="987"/>
      <c r="CB43" s="987"/>
      <c r="CC43" s="987"/>
      <c r="CD43" s="988"/>
      <c r="CE43" s="987"/>
      <c r="CF43" s="987"/>
      <c r="CG43" s="987"/>
      <c r="CH43" s="987"/>
      <c r="CI43" s="988"/>
      <c r="CJ43" s="987"/>
      <c r="CK43" s="987"/>
      <c r="CL43" s="987"/>
      <c r="CM43" s="987"/>
      <c r="CN43" s="988"/>
      <c r="CO43" s="987"/>
      <c r="CP43" s="987"/>
      <c r="CQ43" s="987"/>
      <c r="CR43" s="987"/>
      <c r="CS43" s="988"/>
      <c r="CT43" s="987"/>
      <c r="CU43" s="987"/>
      <c r="CV43" s="987"/>
      <c r="CW43" s="987"/>
      <c r="CX43" s="988"/>
      <c r="CY43" s="771"/>
      <c r="CZ43" s="771"/>
      <c r="DA43" s="771"/>
      <c r="DB43" s="771"/>
      <c r="DC43" s="1047"/>
      <c r="DD43" s="771"/>
      <c r="DE43" s="771"/>
      <c r="DF43" s="771"/>
      <c r="DG43" s="771"/>
      <c r="DH43" s="1047"/>
      <c r="DI43" s="771"/>
      <c r="DJ43" s="771"/>
      <c r="DK43" s="771"/>
      <c r="DL43" s="771"/>
      <c r="DM43" s="1047"/>
      <c r="DN43" s="771"/>
      <c r="DO43" s="771"/>
      <c r="DP43" s="771"/>
      <c r="DQ43" s="771"/>
      <c r="DR43" s="1047"/>
      <c r="DS43" s="771"/>
      <c r="DT43" s="771"/>
      <c r="DU43" s="771"/>
      <c r="DV43" s="771"/>
      <c r="DW43" s="1047"/>
      <c r="DX43" s="771"/>
      <c r="DY43" s="771"/>
      <c r="DZ43" s="771"/>
      <c r="EA43" s="771"/>
      <c r="EB43" s="1047"/>
      <c r="EC43" s="771"/>
      <c r="ED43" s="771"/>
      <c r="EE43" s="771"/>
      <c r="EF43" s="771"/>
      <c r="EG43" s="1047"/>
      <c r="EH43" s="771"/>
      <c r="EI43" s="771"/>
      <c r="EJ43" s="771"/>
      <c r="EK43" s="771"/>
      <c r="EL43" s="1047"/>
      <c r="EM43" s="771"/>
      <c r="EN43" s="771"/>
      <c r="EO43" s="771"/>
      <c r="EP43" s="771"/>
      <c r="EQ43" s="1047"/>
      <c r="ER43" s="771"/>
      <c r="ES43" s="771"/>
      <c r="ET43" s="771"/>
      <c r="EU43" s="771"/>
      <c r="EV43" s="1047"/>
      <c r="EW43" s="771"/>
      <c r="EX43" s="771"/>
      <c r="EY43" s="771"/>
      <c r="EZ43" s="771"/>
      <c r="FA43" s="1047"/>
      <c r="FB43" s="771"/>
      <c r="FC43" s="771"/>
      <c r="FD43" s="771"/>
      <c r="FE43" s="771"/>
      <c r="FF43" s="1047"/>
      <c r="FG43" s="771"/>
      <c r="FH43" s="771"/>
      <c r="FI43" s="771"/>
      <c r="FJ43" s="771"/>
      <c r="FK43" s="1047"/>
      <c r="FL43" s="771"/>
      <c r="FM43" s="771"/>
      <c r="FN43" s="771"/>
      <c r="FO43" s="771"/>
      <c r="FP43" s="1047"/>
      <c r="FQ43" s="771"/>
      <c r="FR43" s="771"/>
      <c r="FS43" s="771"/>
      <c r="FT43" s="771"/>
      <c r="FU43" s="1047"/>
      <c r="FV43" s="771"/>
      <c r="FW43" s="771"/>
      <c r="FX43" s="771"/>
      <c r="FY43" s="771"/>
      <c r="FZ43" s="1047"/>
      <c r="GA43" s="771"/>
      <c r="GB43" s="771"/>
      <c r="GC43" s="771"/>
      <c r="GD43" s="771"/>
      <c r="GE43" s="1047"/>
      <c r="GF43" s="771"/>
      <c r="GG43" s="771"/>
      <c r="GH43" s="771"/>
      <c r="GI43" s="771"/>
      <c r="GJ43" s="1047"/>
    </row>
    <row r="44" spans="1:192" s="461" customFormat="1" ht="12.75" customHeight="1">
      <c r="A44" s="370"/>
      <c r="B44" s="621" t="s">
        <v>187</v>
      </c>
      <c r="C44" s="624"/>
      <c r="D44" s="624"/>
      <c r="E44" s="624"/>
      <c r="F44" s="624"/>
      <c r="G44" s="622"/>
      <c r="H44" s="624"/>
      <c r="I44" s="624"/>
      <c r="J44" s="624"/>
      <c r="K44" s="624"/>
      <c r="L44" s="622"/>
      <c r="M44" s="624"/>
      <c r="N44" s="624"/>
      <c r="O44" s="624"/>
      <c r="P44" s="624"/>
      <c r="Q44" s="622"/>
      <c r="R44" s="981"/>
      <c r="S44" s="981"/>
      <c r="T44" s="981"/>
      <c r="U44" s="981"/>
      <c r="V44" s="622"/>
      <c r="W44" s="981"/>
      <c r="X44" s="981"/>
      <c r="Y44" s="981"/>
      <c r="Z44" s="981"/>
      <c r="AA44" s="622"/>
      <c r="AB44" s="981"/>
      <c r="AC44" s="981"/>
      <c r="AD44" s="981"/>
      <c r="AE44" s="981"/>
      <c r="AF44" s="622"/>
      <c r="AG44" s="981"/>
      <c r="AH44" s="981"/>
      <c r="AI44" s="981"/>
      <c r="AJ44" s="981"/>
      <c r="AK44" s="622"/>
      <c r="AL44" s="624"/>
      <c r="AM44" s="624"/>
      <c r="AN44" s="624"/>
      <c r="AO44" s="624"/>
      <c r="AP44" s="622"/>
      <c r="AQ44" s="624"/>
      <c r="AR44" s="624"/>
      <c r="AS44" s="624"/>
      <c r="AT44" s="624"/>
      <c r="AU44" s="622"/>
      <c r="AV44" s="624"/>
      <c r="AW44" s="624"/>
      <c r="AX44" s="624"/>
      <c r="AY44" s="624"/>
      <c r="AZ44" s="622"/>
      <c r="BA44" s="624"/>
      <c r="BB44" s="624"/>
      <c r="BC44" s="624"/>
      <c r="BD44" s="624"/>
      <c r="BE44" s="622"/>
      <c r="BF44" s="624"/>
      <c r="BG44" s="624"/>
      <c r="BH44" s="624"/>
      <c r="BI44" s="624"/>
      <c r="BJ44" s="622"/>
      <c r="BK44" s="624"/>
      <c r="BL44" s="624"/>
      <c r="BM44" s="624"/>
      <c r="BN44" s="624"/>
      <c r="BO44" s="622"/>
      <c r="BP44" s="624"/>
      <c r="BQ44" s="624"/>
      <c r="BR44" s="624"/>
      <c r="BS44" s="624"/>
      <c r="BT44" s="622"/>
      <c r="BU44" s="624"/>
      <c r="BV44" s="624"/>
      <c r="BW44" s="624"/>
      <c r="BX44" s="624"/>
      <c r="BY44" s="622"/>
      <c r="BZ44" s="624"/>
      <c r="CA44" s="624"/>
      <c r="CB44" s="624"/>
      <c r="CC44" s="624"/>
      <c r="CD44" s="622"/>
      <c r="CE44" s="624"/>
      <c r="CF44" s="624"/>
      <c r="CG44" s="624"/>
      <c r="CH44" s="624"/>
      <c r="CI44" s="622"/>
      <c r="CJ44" s="624"/>
      <c r="CK44" s="624"/>
      <c r="CL44" s="624"/>
      <c r="CM44" s="624"/>
      <c r="CN44" s="622"/>
      <c r="CO44" s="624"/>
      <c r="CP44" s="624"/>
      <c r="CQ44" s="624"/>
      <c r="CR44" s="624"/>
      <c r="CS44" s="622"/>
      <c r="CT44" s="624"/>
      <c r="CU44" s="624"/>
      <c r="CV44" s="624"/>
      <c r="CW44" s="624"/>
      <c r="CX44" s="622"/>
      <c r="CY44" s="820">
        <f>IFERROR(IC!CY50,"")</f>
      </c>
      <c r="CZ44" s="820">
        <f>IFERROR(IC!CZ50,"")</f>
      </c>
      <c r="DA44" s="820">
        <f>IFERROR(IC!DA50,"")</f>
      </c>
      <c r="DB44" s="820">
        <f>IFERROR(IC!DB50,"")</f>
      </c>
      <c r="DC44" s="830">
        <f>IFERROR(IC!DC50,"")</f>
      </c>
      <c r="DD44" s="820">
        <f>IFERROR(IC!DD50,"")</f>
      </c>
      <c r="DE44" s="820">
        <f>IFERROR(IC!DE50,"")</f>
      </c>
      <c r="DF44" s="820">
        <f>IFERROR(IC!DF50,"")</f>
      </c>
      <c r="DG44" s="820">
        <f>IFERROR(IC!DG50,"")</f>
      </c>
      <c r="DH44" s="830">
        <f>IFERROR(IC!DH50,"")</f>
      </c>
      <c r="DI44" s="820">
        <f>IFERROR(IC!DI50,"")</f>
      </c>
      <c r="DJ44" s="820">
        <f>IFERROR(IC!DJ50,"")</f>
      </c>
      <c r="DK44" s="820">
        <f>IFERROR(IC!DK50,"")</f>
      </c>
      <c r="DL44" s="820">
        <f>IFERROR(IC!DL50,"")</f>
      </c>
      <c r="DM44" s="830">
        <f>IFERROR(IC!DM50,"")</f>
      </c>
      <c r="DN44" s="820">
        <f>IFERROR(IC!DN50,"")</f>
      </c>
      <c r="DO44" s="820">
        <f>IFERROR(IC!DO50,"")</f>
      </c>
      <c r="DP44" s="820">
        <f>IFERROR(IC!DP50,"")</f>
      </c>
      <c r="DQ44" s="820">
        <f>IFERROR(IC!DQ50,"")</f>
      </c>
      <c r="DR44" s="830">
        <f>IFERROR(IC!DR50,"")</f>
      </c>
      <c r="DS44" s="820">
        <f>IFERROR(IC!DS50,"")</f>
      </c>
      <c r="DT44" s="820">
        <f>IFERROR(IC!DT50,"")</f>
      </c>
      <c r="DU44" s="820">
        <f>IFERROR(IC!DU50,"")</f>
      </c>
      <c r="DV44" s="820">
        <f>IFERROR(IC!DV50,"")</f>
      </c>
      <c r="DW44" s="830">
        <f>IFERROR(IC!DW50,"")</f>
      </c>
      <c r="DX44" s="820">
        <f>IFERROR(IC!DX50,"")</f>
      </c>
      <c r="DY44" s="820">
        <f>IFERROR(IC!DY50,"")</f>
      </c>
      <c r="DZ44" s="820">
        <f>IFERROR(IC!DZ50,"")</f>
      </c>
      <c r="EA44" s="820">
        <f>IFERROR(IC!EA50,"")</f>
      </c>
      <c r="EB44" s="830">
        <f>IFERROR(IC!EB50,"")</f>
      </c>
      <c r="EC44" s="820">
        <f>IFERROR(IC!EC50,"")</f>
      </c>
      <c r="ED44" s="820">
        <f>IFERROR(IC!ED50,"")</f>
      </c>
      <c r="EE44" s="820">
        <f>IFERROR(IC!EE50,"")</f>
      </c>
      <c r="EF44" s="820">
        <f>IFERROR(IC!EF50,"")</f>
      </c>
      <c r="EG44" s="830">
        <f>IFERROR(IC!EG50,"")</f>
      </c>
      <c r="EH44" s="820">
        <f>IFERROR(IC!EH50,"")</f>
      </c>
      <c r="EI44" s="820">
        <f>IFERROR(IC!EI50,"")</f>
      </c>
      <c r="EJ44" s="820">
        <f>IFERROR(IC!EJ50,"")</f>
      </c>
      <c r="EK44" s="820">
        <f>IFERROR(IC!EK50,"")</f>
      </c>
      <c r="EL44" s="830">
        <f>IFERROR(IC!EL50,"")</f>
      </c>
      <c r="EM44" s="820">
        <f>IFERROR(IC!EM50,"")</f>
      </c>
      <c r="EN44" s="820">
        <f>IFERROR(IC!EN50,"")</f>
      </c>
      <c r="EO44" s="820">
        <f>IFERROR(IC!EO50,"")</f>
      </c>
      <c r="EP44" s="820">
        <f>IFERROR(IC!EP50,"")</f>
      </c>
      <c r="EQ44" s="830">
        <f>IFERROR(IC!EQ50,"")</f>
      </c>
      <c r="ER44" s="820">
        <f>IC!ER10</f>
      </c>
      <c r="ES44" s="820">
        <f>IC!ES10</f>
      </c>
      <c r="ET44" s="820">
        <f>IC!ET10</f>
      </c>
      <c r="EU44" s="820">
        <f>IC!EU10</f>
      </c>
      <c r="EV44" s="830">
        <f>IC!EV10</f>
      </c>
      <c r="EW44" s="820">
        <f>IC!EW10</f>
      </c>
      <c r="EX44" s="820">
        <f>IC!EX10</f>
      </c>
      <c r="EY44" s="820">
        <f>IC!EY10</f>
      </c>
      <c r="EZ44" s="820">
        <f>IC!EZ10</f>
      </c>
      <c r="FA44" s="830">
        <f>IC!FA10</f>
      </c>
      <c r="FB44" s="820">
        <f>IC!FB10</f>
      </c>
      <c r="FC44" s="820">
        <f>IC!FC10</f>
      </c>
      <c r="FD44" s="820">
        <f>IC!FD10</f>
      </c>
      <c r="FE44" s="820">
        <f>IC!FE10</f>
      </c>
      <c r="FF44" s="830">
        <f>IC!FF10</f>
      </c>
      <c r="FG44" s="820">
        <f>IC!FG10</f>
      </c>
      <c r="FH44" s="820">
        <f>IC!FH10</f>
      </c>
      <c r="FI44" s="820">
        <f>IC!FI10</f>
      </c>
      <c r="FJ44" s="820">
        <f>IC!FJ10</f>
      </c>
      <c r="FK44" s="830">
        <f>IC!FK10</f>
      </c>
      <c r="FL44" s="820">
        <f>IC!FL10</f>
      </c>
      <c r="FM44" s="820">
        <f>IC!FM10</f>
      </c>
      <c r="FN44" s="820">
        <f>IC!FN10</f>
      </c>
      <c r="FO44" s="820">
        <f>IC!FO10</f>
      </c>
      <c r="FP44" s="830">
        <f>IC!FP10</f>
      </c>
      <c r="FQ44" s="820">
        <f>IC!FQ10</f>
      </c>
      <c r="FR44" s="820">
        <f>IC!FR10</f>
      </c>
      <c r="FS44" s="820">
        <f>IC!FS10</f>
      </c>
      <c r="FT44" s="820">
        <f>IC!FT10</f>
      </c>
      <c r="FU44" s="830">
        <f>IC!FU10</f>
      </c>
      <c r="FV44" s="820">
        <f>IC!FV10</f>
      </c>
      <c r="FW44" s="820">
        <f>IC!FW10</f>
      </c>
      <c r="FX44" s="820">
        <f>IC!FX10</f>
      </c>
      <c r="FY44" s="820">
        <f>IC!FY10</f>
      </c>
      <c r="FZ44" s="830">
        <f>IC!FZ10</f>
      </c>
      <c r="GA44" s="820">
        <f>IC!GA10</f>
      </c>
      <c r="GB44" s="820">
        <f>IC!GB10</f>
      </c>
      <c r="GC44" s="820">
        <f>IC!GC10</f>
      </c>
      <c r="GD44" s="820">
        <f>IC!GD10</f>
      </c>
      <c r="GE44" s="830">
        <f>IC!GE10</f>
      </c>
      <c r="GF44" s="820">
        <f>IC!GF10</f>
      </c>
      <c r="GG44" s="820">
        <f>IC!GG10</f>
      </c>
      <c r="GH44" s="820">
        <f>IC!GH10</f>
      </c>
      <c r="GI44" s="820">
        <f>IC!GI10</f>
      </c>
      <c r="GJ44" s="830">
        <f>IC!GJ10</f>
      </c>
    </row>
    <row r="45" spans="1:192" s="479" customFormat="1" ht="12.75" customHeight="1">
      <c r="A45" s="81"/>
      <c r="B45" s="1734" t="s">
        <v>34</v>
      </c>
      <c r="C45" s="1735"/>
      <c r="D45" s="1735"/>
      <c r="E45" s="1735"/>
      <c r="F45" s="1735"/>
      <c r="G45" s="1736"/>
      <c r="H45" s="1735"/>
      <c r="I45" s="1735"/>
      <c r="J45" s="1735"/>
      <c r="K45" s="1735"/>
      <c r="L45" s="1736"/>
      <c r="M45" s="1735"/>
      <c r="N45" s="1735"/>
      <c r="O45" s="1735"/>
      <c r="P45" s="1735"/>
      <c r="Q45" s="1736"/>
      <c r="R45" s="1737"/>
      <c r="S45" s="1737"/>
      <c r="T45" s="1737"/>
      <c r="U45" s="1737"/>
      <c r="V45" s="1736"/>
      <c r="W45" s="1737"/>
      <c r="X45" s="1737"/>
      <c r="Y45" s="1737"/>
      <c r="Z45" s="1737"/>
      <c r="AA45" s="1736"/>
      <c r="AB45" s="1737"/>
      <c r="AC45" s="1737"/>
      <c r="AD45" s="1737"/>
      <c r="AE45" s="1737"/>
      <c r="AF45" s="1736"/>
      <c r="AG45" s="1737"/>
      <c r="AH45" s="1737"/>
      <c r="AI45" s="1737"/>
      <c r="AJ45" s="1737"/>
      <c r="AK45" s="1736"/>
      <c r="AL45" s="1735"/>
      <c r="AM45" s="1735"/>
      <c r="AN45" s="1735"/>
      <c r="AO45" s="1735"/>
      <c r="AP45" s="1736"/>
      <c r="AQ45" s="1735"/>
      <c r="AR45" s="1735"/>
      <c r="AS45" s="1735"/>
      <c r="AT45" s="1735"/>
      <c r="AU45" s="1736"/>
      <c r="AV45" s="1735"/>
      <c r="AW45" s="1735"/>
      <c r="AX45" s="1735"/>
      <c r="AY45" s="1735"/>
      <c r="AZ45" s="1736"/>
      <c r="BA45" s="1735"/>
      <c r="BB45" s="1735"/>
      <c r="BC45" s="1735"/>
      <c r="BD45" s="1735"/>
      <c r="BE45" s="1736"/>
      <c r="BF45" s="1735"/>
      <c r="BG45" s="1735"/>
      <c r="BH45" s="1735"/>
      <c r="BI45" s="1735"/>
      <c r="BJ45" s="1736"/>
      <c r="BK45" s="1735"/>
      <c r="BL45" s="1735"/>
      <c r="BM45" s="1735"/>
      <c r="BN45" s="1735"/>
      <c r="BO45" s="1736"/>
      <c r="BP45" s="1735"/>
      <c r="BQ45" s="1735"/>
      <c r="BR45" s="1735"/>
      <c r="BS45" s="1735"/>
      <c r="BT45" s="1736"/>
      <c r="BU45" s="1735"/>
      <c r="BV45" s="1735"/>
      <c r="BW45" s="1735"/>
      <c r="BX45" s="1735"/>
      <c r="BY45" s="1736"/>
      <c r="BZ45" s="1735"/>
      <c r="CA45" s="1735"/>
      <c r="CB45" s="1735"/>
      <c r="CC45" s="1735"/>
      <c r="CD45" s="1736"/>
      <c r="CE45" s="1735"/>
      <c r="CF45" s="1735"/>
      <c r="CG45" s="1735"/>
      <c r="CH45" s="1735"/>
      <c r="CI45" s="1736"/>
      <c r="CJ45" s="1735"/>
      <c r="CK45" s="1735"/>
      <c r="CL45" s="1735"/>
      <c r="CM45" s="1735"/>
      <c r="CN45" s="1736"/>
      <c r="CO45" s="1735"/>
      <c r="CP45" s="1735"/>
      <c r="CQ45" s="1735"/>
      <c r="CR45" s="1735"/>
      <c r="CS45" s="1736"/>
      <c r="CT45" s="1735"/>
      <c r="CU45" s="1735"/>
      <c r="CV45" s="1735"/>
      <c r="CW45" s="1735"/>
      <c r="CX45" s="1736"/>
      <c r="CY45" s="1738"/>
      <c r="CZ45" s="1738"/>
      <c r="DA45" s="1738"/>
      <c r="DB45" s="1738"/>
      <c r="DC45" s="1739"/>
      <c r="DD45" s="267">
        <f t="shared" ref="DD45:EI45" si="128">IFERROR(DD44/CY44-1,"")</f>
      </c>
      <c r="DE45" s="267">
        <f t="shared" si="128"/>
      </c>
      <c r="DF45" s="267">
        <f t="shared" si="128"/>
      </c>
      <c r="DG45" s="267">
        <f t="shared" si="128"/>
      </c>
      <c r="DH45" s="1740">
        <f t="shared" si="128"/>
      </c>
      <c r="DI45" s="267">
        <f t="shared" si="128"/>
      </c>
      <c r="DJ45" s="267">
        <f t="shared" si="128"/>
      </c>
      <c r="DK45" s="267">
        <f t="shared" si="128"/>
      </c>
      <c r="DL45" s="267">
        <f t="shared" si="128"/>
      </c>
      <c r="DM45" s="1740">
        <f t="shared" si="128"/>
      </c>
      <c r="DN45" s="267">
        <f t="shared" si="128"/>
      </c>
      <c r="DO45" s="267">
        <f t="shared" si="128"/>
      </c>
      <c r="DP45" s="267">
        <f t="shared" si="128"/>
      </c>
      <c r="DQ45" s="267">
        <f t="shared" si="128"/>
      </c>
      <c r="DR45" s="1740">
        <f t="shared" si="128"/>
      </c>
      <c r="DS45" s="267">
        <f t="shared" si="128"/>
      </c>
      <c r="DT45" s="267">
        <f t="shared" si="128"/>
      </c>
      <c r="DU45" s="267">
        <f t="shared" si="128"/>
      </c>
      <c r="DV45" s="267">
        <f t="shared" si="128"/>
      </c>
      <c r="DW45" s="1740">
        <f t="shared" si="128"/>
      </c>
      <c r="DX45" s="267">
        <f t="shared" si="128"/>
      </c>
      <c r="DY45" s="267">
        <f t="shared" si="128"/>
      </c>
      <c r="DZ45" s="267">
        <f t="shared" si="128"/>
      </c>
      <c r="EA45" s="267">
        <f t="shared" si="128"/>
      </c>
      <c r="EB45" s="1740">
        <f t="shared" si="128"/>
      </c>
      <c r="EC45" s="267">
        <f t="shared" si="128"/>
      </c>
      <c r="ED45" s="267">
        <f t="shared" si="128"/>
      </c>
      <c r="EE45" s="267">
        <f t="shared" si="128"/>
      </c>
      <c r="EF45" s="267">
        <f t="shared" si="128"/>
      </c>
      <c r="EG45" s="1740">
        <f t="shared" si="128"/>
      </c>
      <c r="EH45" s="267">
        <f t="shared" si="128"/>
      </c>
      <c r="EI45" s="267">
        <f t="shared" si="128"/>
      </c>
      <c r="EJ45" s="267">
        <f t="shared" ref="EJ45:FO45" si="129">IFERROR(EJ44/EE44-1,"")</f>
      </c>
      <c r="EK45" s="267">
        <f t="shared" si="129"/>
      </c>
      <c r="EL45" s="1740">
        <f t="shared" si="129"/>
      </c>
      <c r="EM45" s="267">
        <f t="shared" si="129"/>
      </c>
      <c r="EN45" s="267">
        <f t="shared" si="129"/>
      </c>
      <c r="EO45" s="267">
        <f t="shared" si="129"/>
      </c>
      <c r="EP45" s="267">
        <f t="shared" si="129"/>
      </c>
      <c r="EQ45" s="1740">
        <f t="shared" si="129"/>
      </c>
      <c r="ER45" s="267">
        <f t="shared" ref="ER45" si="130">IFERROR(ER44/EM44-1,"")</f>
      </c>
      <c r="ES45" s="267">
        <f t="shared" ref="ES45" si="131">IFERROR(ES44/EN44-1,"")</f>
      </c>
      <c r="ET45" s="267">
        <f t="shared" ref="ET45" si="132">IFERROR(ET44/EO44-1,"")</f>
      </c>
      <c r="EU45" s="267">
        <f t="shared" ref="EU45" si="133">IFERROR(EU44/EP44-1,"")</f>
      </c>
      <c r="EV45" s="1740">
        <f t="shared" ref="EV45" si="134">IFERROR(EV44/EQ44-1,"")</f>
      </c>
      <c r="EW45" s="267">
        <f t="shared" si="129"/>
      </c>
      <c r="EX45" s="267">
        <f t="shared" si="129"/>
      </c>
      <c r="EY45" s="267">
        <f t="shared" si="129"/>
      </c>
      <c r="EZ45" s="267">
        <f t="shared" ref="EZ45" si="135">IFERROR(EZ44/EU44-1,"")</f>
      </c>
      <c r="FA45" s="1740">
        <f t="shared" ref="FA45" si="136">IFERROR(FA44/EV44-1,"")</f>
      </c>
      <c r="FB45" s="267">
        <f t="shared" si="129"/>
      </c>
      <c r="FC45" s="267">
        <f t="shared" si="129"/>
      </c>
      <c r="FD45" s="267">
        <f t="shared" si="129"/>
      </c>
      <c r="FE45" s="267">
        <f t="shared" si="129"/>
      </c>
      <c r="FF45" s="1740">
        <f t="shared" si="129"/>
      </c>
      <c r="FG45" s="267">
        <f t="shared" si="129"/>
      </c>
      <c r="FH45" s="267">
        <f t="shared" si="129"/>
      </c>
      <c r="FI45" s="267">
        <f t="shared" si="129"/>
      </c>
      <c r="FJ45" s="267">
        <f t="shared" si="129"/>
      </c>
      <c r="FK45" s="1740">
        <f t="shared" si="129"/>
      </c>
      <c r="FL45" s="267">
        <f t="shared" si="129"/>
      </c>
      <c r="FM45" s="267">
        <f t="shared" si="129"/>
      </c>
      <c r="FN45" s="267">
        <f t="shared" si="129"/>
      </c>
      <c r="FO45" s="267">
        <f t="shared" si="129"/>
      </c>
      <c r="FP45" s="1740">
        <f t="shared" ref="FP45:GE45" si="137">IFERROR(FP44/FK44-1,"")</f>
      </c>
      <c r="FQ45" s="267">
        <f t="shared" si="137"/>
      </c>
      <c r="FR45" s="267">
        <f t="shared" si="137"/>
      </c>
      <c r="FS45" s="267">
        <f t="shared" si="137"/>
      </c>
      <c r="FT45" s="267">
        <f t="shared" si="137"/>
      </c>
      <c r="FU45" s="1740">
        <f t="shared" si="137"/>
      </c>
      <c r="FV45" s="267">
        <f t="shared" si="137"/>
      </c>
      <c r="FW45" s="267">
        <f t="shared" si="137"/>
      </c>
      <c r="FX45" s="267">
        <f t="shared" si="137"/>
      </c>
      <c r="FY45" s="267">
        <f t="shared" si="137"/>
      </c>
      <c r="FZ45" s="1740">
        <f t="shared" si="137"/>
      </c>
      <c r="GA45" s="267">
        <f t="shared" si="137"/>
      </c>
      <c r="GB45" s="267">
        <f t="shared" si="137"/>
      </c>
      <c r="GC45" s="267">
        <f t="shared" si="137"/>
      </c>
      <c r="GD45" s="267">
        <f t="shared" si="137"/>
      </c>
      <c r="GE45" s="1740">
        <f t="shared" si="137"/>
      </c>
      <c r="GF45" s="267">
        <f t="shared" ref="GF45" si="138">IFERROR(GF44/GA44-1,"")</f>
      </c>
      <c r="GG45" s="267">
        <f t="shared" ref="GG45" si="139">IFERROR(GG44/GB44-1,"")</f>
      </c>
      <c r="GH45" s="267">
        <f t="shared" ref="GH45" si="140">IFERROR(GH44/GC44-1,"")</f>
      </c>
      <c r="GI45" s="267">
        <f t="shared" ref="GI45" si="141">IFERROR(GI44/GD44-1,"")</f>
      </c>
      <c r="GJ45" s="1740">
        <f t="shared" ref="GJ45" si="142">IFERROR(GJ44/GE44-1,"")</f>
      </c>
    </row>
    <row r="46" spans="1:192" s="479" customFormat="1" ht="12.75" customHeight="1">
      <c r="A46" s="81"/>
      <c r="B46" s="1734" t="s">
        <v>36</v>
      </c>
      <c r="C46" s="1735"/>
      <c r="D46" s="1735"/>
      <c r="E46" s="1735"/>
      <c r="F46" s="1735"/>
      <c r="G46" s="1736"/>
      <c r="H46" s="1735"/>
      <c r="I46" s="1735"/>
      <c r="J46" s="1735"/>
      <c r="K46" s="1735"/>
      <c r="L46" s="1736"/>
      <c r="M46" s="1735"/>
      <c r="N46" s="1735"/>
      <c r="O46" s="1735"/>
      <c r="P46" s="1735"/>
      <c r="Q46" s="1736"/>
      <c r="R46" s="1737"/>
      <c r="S46" s="1737"/>
      <c r="T46" s="1737"/>
      <c r="U46" s="1737"/>
      <c r="V46" s="1736"/>
      <c r="W46" s="1737"/>
      <c r="X46" s="1737"/>
      <c r="Y46" s="1737"/>
      <c r="Z46" s="1737"/>
      <c r="AA46" s="1736"/>
      <c r="AB46" s="1737"/>
      <c r="AC46" s="1737"/>
      <c r="AD46" s="1737"/>
      <c r="AE46" s="1737"/>
      <c r="AF46" s="1736"/>
      <c r="AG46" s="1737"/>
      <c r="AH46" s="1737"/>
      <c r="AI46" s="1737"/>
      <c r="AJ46" s="1737"/>
      <c r="AK46" s="1736"/>
      <c r="AL46" s="1735"/>
      <c r="AM46" s="1735"/>
      <c r="AN46" s="1735"/>
      <c r="AO46" s="1735"/>
      <c r="AP46" s="1736"/>
      <c r="AQ46" s="1735"/>
      <c r="AR46" s="1735"/>
      <c r="AS46" s="1735"/>
      <c r="AT46" s="1735"/>
      <c r="AU46" s="1736"/>
      <c r="AV46" s="1735"/>
      <c r="AW46" s="1735"/>
      <c r="AX46" s="1735"/>
      <c r="AY46" s="1735"/>
      <c r="AZ46" s="1736"/>
      <c r="BA46" s="1735"/>
      <c r="BB46" s="1735"/>
      <c r="BC46" s="1735"/>
      <c r="BD46" s="1735"/>
      <c r="BE46" s="1736"/>
      <c r="BF46" s="1735"/>
      <c r="BG46" s="1735"/>
      <c r="BH46" s="1735"/>
      <c r="BI46" s="1735"/>
      <c r="BJ46" s="1736"/>
      <c r="BK46" s="1735"/>
      <c r="BL46" s="1735"/>
      <c r="BM46" s="1735"/>
      <c r="BN46" s="1735"/>
      <c r="BO46" s="1736"/>
      <c r="BP46" s="1735"/>
      <c r="BQ46" s="1735"/>
      <c r="BR46" s="1735"/>
      <c r="BS46" s="1735"/>
      <c r="BT46" s="1736"/>
      <c r="BU46" s="1735"/>
      <c r="BV46" s="1735"/>
      <c r="BW46" s="1735"/>
      <c r="BX46" s="1735"/>
      <c r="BY46" s="1736"/>
      <c r="BZ46" s="1735"/>
      <c r="CA46" s="1735"/>
      <c r="CB46" s="1735"/>
      <c r="CC46" s="1735"/>
      <c r="CD46" s="1736"/>
      <c r="CE46" s="1735"/>
      <c r="CF46" s="1735"/>
      <c r="CG46" s="1735"/>
      <c r="CH46" s="1735"/>
      <c r="CI46" s="1736"/>
      <c r="CJ46" s="1735"/>
      <c r="CK46" s="1735"/>
      <c r="CL46" s="1735"/>
      <c r="CM46" s="1735"/>
      <c r="CN46" s="1736"/>
      <c r="CO46" s="1735"/>
      <c r="CP46" s="1735"/>
      <c r="CQ46" s="1735"/>
      <c r="CR46" s="1735"/>
      <c r="CS46" s="1736"/>
      <c r="CT46" s="1735"/>
      <c r="CU46" s="1735"/>
      <c r="CV46" s="1735"/>
      <c r="CW46" s="1735"/>
      <c r="CX46" s="1736"/>
      <c r="CY46" s="1738"/>
      <c r="CZ46" s="1741">
        <f>IFERROR(CZ44/CY44-1,"")</f>
      </c>
      <c r="DA46" s="1741">
        <f>IFERROR(DA44/CZ44-1,"")</f>
      </c>
      <c r="DB46" s="1741">
        <f>IFERROR(DB44/DA44-1,"")</f>
      </c>
      <c r="DC46" s="1742"/>
      <c r="DD46" s="267">
        <f>IFERROR(DD44/DB44-1,"")</f>
      </c>
      <c r="DE46" s="1741">
        <f>IFERROR(DE44/DD44-1,"")</f>
      </c>
      <c r="DF46" s="1741">
        <f>IFERROR(DF44/DE44-1,"")</f>
      </c>
      <c r="DG46" s="1741">
        <f>IFERROR(DG44/DF44-1,"")</f>
      </c>
      <c r="DH46" s="1739"/>
      <c r="DI46" s="267">
        <f>IFERROR(DI44/DG44-1,"")</f>
      </c>
      <c r="DJ46" s="1741">
        <f>IFERROR(DJ44/DI44-1,"")</f>
      </c>
      <c r="DK46" s="1741">
        <f>IFERROR(DK44/DJ44-1,"")</f>
      </c>
      <c r="DL46" s="1741">
        <f>IFERROR(DL44/DK44-1,"")</f>
      </c>
      <c r="DM46" s="1739"/>
      <c r="DN46" s="267">
        <f>IFERROR(DN44/DL44-1,"")</f>
      </c>
      <c r="DO46" s="1741">
        <f>IFERROR(DO44/DN44-1,"")</f>
      </c>
      <c r="DP46" s="1741">
        <f>IFERROR(DP44/DO44-1,"")</f>
      </c>
      <c r="DQ46" s="1741">
        <f>IFERROR(DQ44/DP44-1,"")</f>
      </c>
      <c r="DR46" s="1739"/>
      <c r="DS46" s="267">
        <f>IFERROR(DS44/DQ44-1,"")</f>
      </c>
      <c r="DT46" s="1741">
        <f>IFERROR(DT44/DS44-1,"")</f>
      </c>
      <c r="DU46" s="1741">
        <f>IFERROR(DU44/DT44-1,"")</f>
      </c>
      <c r="DV46" s="1741">
        <f>IFERROR(DV44/DU44-1,"")</f>
      </c>
      <c r="DW46" s="1739"/>
      <c r="DX46" s="267">
        <f>IFERROR(DX44/DV44-1,"")</f>
      </c>
      <c r="DY46" s="1741">
        <f>IFERROR(DY44/DX44-1,"")</f>
      </c>
      <c r="DZ46" s="1741">
        <f>IFERROR(DZ44/DY44-1,"")</f>
      </c>
      <c r="EA46" s="1741">
        <f>IFERROR(EA44/DZ44-1,"")</f>
      </c>
      <c r="EB46" s="1739"/>
      <c r="EC46" s="267">
        <f>IFERROR(EC44/EA44-1,"")</f>
      </c>
      <c r="ED46" s="1741">
        <f>IFERROR(ED44/EC44-1,"")</f>
      </c>
      <c r="EE46" s="1741">
        <f>IFERROR(EE44/ED44-1,"")</f>
      </c>
      <c r="EF46" s="1741">
        <f>IFERROR(EF44/EE44-1,"")</f>
      </c>
      <c r="EG46" s="1739"/>
      <c r="EH46" s="267">
        <f>IFERROR(EH44/EF44-1,"")</f>
      </c>
      <c r="EI46" s="1741">
        <f>IFERROR(EI44/EH44-1,"")</f>
      </c>
      <c r="EJ46" s="1741">
        <f>IFERROR(EJ44/EI44-1,"")</f>
      </c>
      <c r="EK46" s="1741">
        <f>IFERROR(EK44/EJ44-1,"")</f>
      </c>
      <c r="EL46" s="1739"/>
      <c r="EM46" s="267">
        <f>IFERROR(EM44/EK44-1,"")</f>
      </c>
      <c r="EN46" s="1741">
        <f>IFERROR(EN44/EM44-1,"")</f>
      </c>
      <c r="EO46" s="1741">
        <f>IFERROR(EO44/EN44-1,"")</f>
      </c>
      <c r="EP46" s="1741">
        <f>IFERROR(EP44/EO44-1,"")</f>
      </c>
      <c r="EQ46" s="1739"/>
      <c r="ER46" s="267">
        <f>IFERROR(ER44/EP44-1,"")</f>
      </c>
      <c r="ES46" s="1741">
        <f>IFERROR(ES44/ER44-1,"")</f>
      </c>
      <c r="ET46" s="1741">
        <f>IFERROR(ET44/ES44-1,"")</f>
      </c>
      <c r="EU46" s="1741">
        <f>IFERROR(EU44/ET44-1,"")</f>
      </c>
      <c r="EV46" s="1739"/>
      <c r="EW46" s="267">
        <f>IFERROR(EW44/EU44-1,"")</f>
      </c>
      <c r="EX46" s="1741">
        <f>IFERROR(EX44/EW44-1,"")</f>
      </c>
      <c r="EY46" s="1741">
        <f>IFERROR(EY44/EX44-1,"")</f>
      </c>
      <c r="EZ46" s="1741">
        <f>IFERROR(EZ44/EY44-1,"")</f>
      </c>
      <c r="FA46" s="1739"/>
      <c r="FB46" s="267">
        <f>IFERROR(FB44/EZ44-1,"")</f>
      </c>
      <c r="FC46" s="1741">
        <f>IFERROR(FC44/FB44-1,"")</f>
      </c>
      <c r="FD46" s="1741">
        <f>IFERROR(FD44/FC44-1,"")</f>
      </c>
      <c r="FE46" s="1741">
        <f>IFERROR(FE44/FD44-1,"")</f>
      </c>
      <c r="FF46" s="1739"/>
      <c r="FG46" s="267">
        <f>IFERROR(FG44/FE44-1,"")</f>
      </c>
      <c r="FH46" s="1741">
        <f>IFERROR(FH44/FG44-1,"")</f>
      </c>
      <c r="FI46" s="1741">
        <f>IFERROR(FI44/FH44-1,"")</f>
      </c>
      <c r="FJ46" s="1741">
        <f>IFERROR(FJ44/FI44-1,"")</f>
      </c>
      <c r="FK46" s="1739"/>
      <c r="FL46" s="267">
        <f>IFERROR(FL44/FJ44-1,"")</f>
      </c>
      <c r="FM46" s="1741">
        <f>IFERROR(FM44/FL44-1,"")</f>
      </c>
      <c r="FN46" s="1741">
        <f>IFERROR(FN44/FM44-1,"")</f>
      </c>
      <c r="FO46" s="1741">
        <f>IFERROR(FO44/FN44-1,"")</f>
      </c>
      <c r="FP46" s="1739"/>
      <c r="FQ46" s="267">
        <f>IFERROR(FQ44/FO44-1,"")</f>
      </c>
      <c r="FR46" s="1741">
        <f>IFERROR(FR44/FQ44-1,"")</f>
      </c>
      <c r="FS46" s="1741">
        <f>IFERROR(FS44/FR44-1,"")</f>
      </c>
      <c r="FT46" s="1741">
        <f>IFERROR(FT44/FS44-1,"")</f>
      </c>
      <c r="FU46" s="1739"/>
      <c r="FV46" s="267">
        <f>IFERROR(FV44/FT44-1,"")</f>
      </c>
      <c r="FW46" s="1741">
        <f>IFERROR(FW44/FV44-1,"")</f>
      </c>
      <c r="FX46" s="1741">
        <f>IFERROR(FX44/FW44-1,"")</f>
      </c>
      <c r="FY46" s="1741">
        <f>IFERROR(FY44/FX44-1,"")</f>
      </c>
      <c r="FZ46" s="1739"/>
      <c r="GA46" s="267">
        <f>IFERROR(GA44/FY44-1,"")</f>
      </c>
      <c r="GB46" s="1741">
        <f>IFERROR(GB44/GA44-1,"")</f>
      </c>
      <c r="GC46" s="1741">
        <f>IFERROR(GC44/GB44-1,"")</f>
      </c>
      <c r="GD46" s="1741">
        <f>IFERROR(GD44/GC44-1,"")</f>
      </c>
      <c r="GE46" s="1739"/>
      <c r="GF46" s="267">
        <f>IFERROR(GF44/GD44-1,"")</f>
      </c>
      <c r="GG46" s="1741">
        <f>IFERROR(GG44/GF44-1,"")</f>
      </c>
      <c r="GH46" s="1741">
        <f>IFERROR(GH44/GG44-1,"")</f>
      </c>
      <c r="GI46" s="1741">
        <f>IFERROR(GI44/GH44-1,"")</f>
      </c>
      <c r="GJ46" s="1739"/>
    </row>
    <row r="47" spans="1:192" s="479" customFormat="1" ht="12.75" customHeight="1">
      <c r="A47" s="81"/>
      <c r="B47" s="1734" t="s">
        <v>380</v>
      </c>
      <c r="C47" s="1735"/>
      <c r="D47" s="1735"/>
      <c r="E47" s="1735"/>
      <c r="F47" s="1735"/>
      <c r="G47" s="1736"/>
      <c r="H47" s="1735"/>
      <c r="I47" s="1735"/>
      <c r="J47" s="1735"/>
      <c r="K47" s="1735"/>
      <c r="L47" s="1736"/>
      <c r="M47" s="1735"/>
      <c r="N47" s="1735"/>
      <c r="O47" s="1735"/>
      <c r="P47" s="1735"/>
      <c r="Q47" s="1736"/>
      <c r="R47" s="1737"/>
      <c r="S47" s="1737"/>
      <c r="T47" s="1737"/>
      <c r="U47" s="1737"/>
      <c r="V47" s="1736"/>
      <c r="W47" s="1737"/>
      <c r="X47" s="1737"/>
      <c r="Y47" s="1737"/>
      <c r="Z47" s="1737"/>
      <c r="AA47" s="1736"/>
      <c r="AB47" s="1737"/>
      <c r="AC47" s="1737"/>
      <c r="AD47" s="1737"/>
      <c r="AE47" s="1737"/>
      <c r="AF47" s="1736"/>
      <c r="AG47" s="1737"/>
      <c r="AH47" s="1737"/>
      <c r="AI47" s="1737"/>
      <c r="AJ47" s="1737"/>
      <c r="AK47" s="1736"/>
      <c r="AL47" s="1735"/>
      <c r="AM47" s="1735"/>
      <c r="AN47" s="1735"/>
      <c r="AO47" s="1735"/>
      <c r="AP47" s="1736"/>
      <c r="AQ47" s="1735"/>
      <c r="AR47" s="1735"/>
      <c r="AS47" s="1735"/>
      <c r="AT47" s="1735"/>
      <c r="AU47" s="1736"/>
      <c r="AV47" s="1735"/>
      <c r="AW47" s="1735"/>
      <c r="AX47" s="1735"/>
      <c r="AY47" s="1735"/>
      <c r="AZ47" s="1736"/>
      <c r="BA47" s="1735"/>
      <c r="BB47" s="1735"/>
      <c r="BC47" s="1735"/>
      <c r="BD47" s="1735"/>
      <c r="BE47" s="1736"/>
      <c r="BF47" s="1735"/>
      <c r="BG47" s="1735"/>
      <c r="BH47" s="1735"/>
      <c r="BI47" s="1735"/>
      <c r="BJ47" s="1736"/>
      <c r="BK47" s="1735"/>
      <c r="BL47" s="1735"/>
      <c r="BM47" s="1735"/>
      <c r="BN47" s="1735"/>
      <c r="BO47" s="1736"/>
      <c r="BP47" s="1735"/>
      <c r="BQ47" s="1735"/>
      <c r="BR47" s="1735"/>
      <c r="BS47" s="1735"/>
      <c r="BT47" s="1736"/>
      <c r="BU47" s="1735"/>
      <c r="BV47" s="1735"/>
      <c r="BW47" s="1735"/>
      <c r="BX47" s="1735"/>
      <c r="BY47" s="1736"/>
      <c r="BZ47" s="1735"/>
      <c r="CA47" s="1735"/>
      <c r="CB47" s="1735"/>
      <c r="CC47" s="1735"/>
      <c r="CD47" s="1736"/>
      <c r="CE47" s="1735"/>
      <c r="CF47" s="1735"/>
      <c r="CG47" s="1735"/>
      <c r="CH47" s="1735"/>
      <c r="CI47" s="1736"/>
      <c r="CJ47" s="1735"/>
      <c r="CK47" s="1735"/>
      <c r="CL47" s="1735"/>
      <c r="CM47" s="1735"/>
      <c r="CN47" s="1736"/>
      <c r="CO47" s="1735"/>
      <c r="CP47" s="1735"/>
      <c r="CQ47" s="1735"/>
      <c r="CR47" s="1735"/>
      <c r="CS47" s="1736"/>
      <c r="CT47" s="1735"/>
      <c r="CU47" s="1735"/>
      <c r="CV47" s="1735"/>
      <c r="CW47" s="1735"/>
      <c r="CX47" s="1736"/>
      <c r="CY47" s="267">
        <f t="shared" ref="CY47:ED47" si="143">CY44/CY$10</f>
      </c>
      <c r="CZ47" s="267">
        <f t="shared" si="143"/>
      </c>
      <c r="DA47" s="267">
        <f t="shared" si="143"/>
      </c>
      <c r="DB47" s="267">
        <f t="shared" si="143"/>
      </c>
      <c r="DC47" s="1740">
        <f t="shared" si="143"/>
      </c>
      <c r="DD47" s="267">
        <f t="shared" si="143"/>
      </c>
      <c r="DE47" s="267">
        <f t="shared" si="143"/>
      </c>
      <c r="DF47" s="267">
        <f t="shared" si="143"/>
      </c>
      <c r="DG47" s="267">
        <f t="shared" si="143"/>
      </c>
      <c r="DH47" s="1740">
        <f t="shared" si="143"/>
      </c>
      <c r="DI47" s="267">
        <f t="shared" si="143"/>
      </c>
      <c r="DJ47" s="267">
        <f t="shared" si="143"/>
      </c>
      <c r="DK47" s="267">
        <f t="shared" si="143"/>
      </c>
      <c r="DL47" s="267">
        <f t="shared" si="143"/>
      </c>
      <c r="DM47" s="1740">
        <f t="shared" si="143"/>
      </c>
      <c r="DN47" s="267">
        <f t="shared" si="143"/>
      </c>
      <c r="DO47" s="267">
        <f t="shared" si="143"/>
      </c>
      <c r="DP47" s="267">
        <f t="shared" si="143"/>
      </c>
      <c r="DQ47" s="267">
        <f t="shared" si="143"/>
      </c>
      <c r="DR47" s="1740">
        <f t="shared" si="143"/>
      </c>
      <c r="DS47" s="267">
        <f t="shared" si="143"/>
      </c>
      <c r="DT47" s="267">
        <f t="shared" si="143"/>
      </c>
      <c r="DU47" s="267">
        <f t="shared" si="143"/>
      </c>
      <c r="DV47" s="267">
        <f t="shared" si="143"/>
      </c>
      <c r="DW47" s="1740">
        <f t="shared" si="143"/>
      </c>
      <c r="DX47" s="267">
        <f t="shared" si="143"/>
      </c>
      <c r="DY47" s="267">
        <f t="shared" si="143"/>
      </c>
      <c r="DZ47" s="267">
        <f t="shared" si="143"/>
      </c>
      <c r="EA47" s="267">
        <f t="shared" si="143"/>
      </c>
      <c r="EB47" s="1740">
        <f t="shared" si="143"/>
      </c>
      <c r="EC47" s="267">
        <f t="shared" si="143"/>
      </c>
      <c r="ED47" s="267">
        <f t="shared" si="143"/>
      </c>
      <c r="EE47" s="267">
        <f t="shared" ref="EE47:FJ47" si="144">EE44/EE$10</f>
      </c>
      <c r="EF47" s="267">
        <f t="shared" si="144"/>
      </c>
      <c r="EG47" s="1740">
        <f t="shared" si="144"/>
      </c>
      <c r="EH47" s="267">
        <f t="shared" si="144"/>
      </c>
      <c r="EI47" s="267">
        <f t="shared" si="144"/>
      </c>
      <c r="EJ47" s="267">
        <f t="shared" si="144"/>
      </c>
      <c r="EK47" s="267">
        <f t="shared" si="144"/>
      </c>
      <c r="EL47" s="1740">
        <f t="shared" si="144"/>
      </c>
      <c r="EM47" s="267">
        <f t="shared" si="144"/>
      </c>
      <c r="EN47" s="267">
        <f t="shared" si="144"/>
      </c>
      <c r="EO47" s="267">
        <f t="shared" si="144"/>
      </c>
      <c r="EP47" s="267">
        <f t="shared" si="144"/>
      </c>
      <c r="EQ47" s="1740">
        <f t="shared" si="144"/>
      </c>
      <c r="ER47" s="267">
        <f t="shared" si="144"/>
      </c>
      <c r="ES47" s="267">
        <f t="shared" si="144"/>
      </c>
      <c r="ET47" s="267">
        <f t="shared" si="144"/>
      </c>
      <c r="EU47" s="267">
        <f t="shared" si="144"/>
      </c>
      <c r="EV47" s="1740">
        <f t="shared" si="144"/>
      </c>
      <c r="EW47" s="267">
        <f t="shared" si="144"/>
      </c>
      <c r="EX47" s="267">
        <f t="shared" si="144"/>
      </c>
      <c r="EY47" s="267">
        <f t="shared" ref="EY47:FA47" si="145">EY44/EY$10</f>
      </c>
      <c r="EZ47" s="267">
        <f t="shared" si="145"/>
      </c>
      <c r="FA47" s="1740">
        <f t="shared" si="145"/>
      </c>
      <c r="FB47" s="267">
        <f t="shared" si="144"/>
      </c>
      <c r="FC47" s="267">
        <f t="shared" si="144"/>
      </c>
      <c r="FD47" s="267">
        <f t="shared" si="144"/>
      </c>
      <c r="FE47" s="267">
        <f t="shared" si="144"/>
      </c>
      <c r="FF47" s="1740">
        <f t="shared" si="144"/>
      </c>
      <c r="FG47" s="267">
        <f t="shared" si="144"/>
      </c>
      <c r="FH47" s="267">
        <f t="shared" si="144"/>
      </c>
      <c r="FI47" s="267">
        <f t="shared" si="144"/>
      </c>
      <c r="FJ47" s="267">
        <f t="shared" si="144"/>
      </c>
      <c r="FK47" s="1740">
        <f t="shared" ref="FK47:GE47" si="146">FK44/FK$10</f>
      </c>
      <c r="FL47" s="267">
        <f t="shared" si="146"/>
      </c>
      <c r="FM47" s="267">
        <f t="shared" si="146"/>
      </c>
      <c r="FN47" s="267">
        <f t="shared" si="146"/>
      </c>
      <c r="FO47" s="267">
        <f t="shared" si="146"/>
      </c>
      <c r="FP47" s="1740">
        <f t="shared" si="146"/>
      </c>
      <c r="FQ47" s="267">
        <f t="shared" si="146"/>
      </c>
      <c r="FR47" s="267">
        <f t="shared" si="146"/>
      </c>
      <c r="FS47" s="267">
        <f t="shared" si="146"/>
      </c>
      <c r="FT47" s="267">
        <f t="shared" si="146"/>
      </c>
      <c r="FU47" s="1740">
        <f t="shared" si="146"/>
      </c>
      <c r="FV47" s="267">
        <f t="shared" si="146"/>
      </c>
      <c r="FW47" s="267">
        <f t="shared" si="146"/>
      </c>
      <c r="FX47" s="267">
        <f t="shared" si="146"/>
      </c>
      <c r="FY47" s="267">
        <f t="shared" si="146"/>
      </c>
      <c r="FZ47" s="1740">
        <f t="shared" si="146"/>
      </c>
      <c r="GA47" s="267">
        <f t="shared" si="146"/>
      </c>
      <c r="GB47" s="267">
        <f t="shared" si="146"/>
      </c>
      <c r="GC47" s="267">
        <f t="shared" si="146"/>
      </c>
      <c r="GD47" s="267">
        <f t="shared" si="146"/>
      </c>
      <c r="GE47" s="1740">
        <f t="shared" si="146"/>
      </c>
      <c r="GF47" s="267">
        <f t="shared" ref="GF47:GJ47" si="147">GF44/GF$10</f>
      </c>
      <c r="GG47" s="267">
        <f t="shared" si="147"/>
      </c>
      <c r="GH47" s="267">
        <f t="shared" si="147"/>
      </c>
      <c r="GI47" s="267">
        <f t="shared" si="147"/>
      </c>
      <c r="GJ47" s="1740">
        <f t="shared" si="147"/>
      </c>
    </row>
    <row r="48" spans="1:192" s="461" customFormat="1" ht="12.75" hidden="1" customHeight="1" outlineLevel="1">
      <c r="A48" s="370"/>
      <c r="B48" s="986"/>
      <c r="C48" s="987"/>
      <c r="D48" s="987"/>
      <c r="E48" s="987"/>
      <c r="F48" s="987"/>
      <c r="G48" s="988"/>
      <c r="H48" s="987"/>
      <c r="I48" s="987"/>
      <c r="J48" s="987"/>
      <c r="K48" s="987"/>
      <c r="L48" s="988"/>
      <c r="M48" s="987"/>
      <c r="N48" s="987"/>
      <c r="O48" s="987"/>
      <c r="P48" s="987"/>
      <c r="Q48" s="988"/>
      <c r="R48" s="989"/>
      <c r="S48" s="989"/>
      <c r="T48" s="989"/>
      <c r="U48" s="989"/>
      <c r="V48" s="988"/>
      <c r="W48" s="989"/>
      <c r="X48" s="989"/>
      <c r="Y48" s="989"/>
      <c r="Z48" s="989"/>
      <c r="AA48" s="988"/>
      <c r="AB48" s="989"/>
      <c r="AC48" s="989"/>
      <c r="AD48" s="989"/>
      <c r="AE48" s="989"/>
      <c r="AF48" s="988"/>
      <c r="AG48" s="989"/>
      <c r="AH48" s="989"/>
      <c r="AI48" s="989"/>
      <c r="AJ48" s="989"/>
      <c r="AK48" s="988"/>
      <c r="AL48" s="987"/>
      <c r="AM48" s="987"/>
      <c r="AN48" s="987"/>
      <c r="AO48" s="987"/>
      <c r="AP48" s="988"/>
      <c r="AQ48" s="987"/>
      <c r="AR48" s="987"/>
      <c r="AS48" s="987"/>
      <c r="AT48" s="987"/>
      <c r="AU48" s="988"/>
      <c r="AV48" s="987"/>
      <c r="AW48" s="987"/>
      <c r="AX48" s="987"/>
      <c r="AY48" s="987"/>
      <c r="AZ48" s="988"/>
      <c r="BA48" s="987"/>
      <c r="BB48" s="987"/>
      <c r="BC48" s="987"/>
      <c r="BD48" s="987"/>
      <c r="BE48" s="988"/>
      <c r="BF48" s="987"/>
      <c r="BG48" s="987"/>
      <c r="BH48" s="987"/>
      <c r="BI48" s="987"/>
      <c r="BJ48" s="988"/>
      <c r="BK48" s="987"/>
      <c r="BL48" s="987"/>
      <c r="BM48" s="987"/>
      <c r="BN48" s="987"/>
      <c r="BO48" s="988"/>
      <c r="BP48" s="987"/>
      <c r="BQ48" s="987"/>
      <c r="BR48" s="987"/>
      <c r="BS48" s="987"/>
      <c r="BT48" s="988"/>
      <c r="BU48" s="987"/>
      <c r="BV48" s="987"/>
      <c r="BW48" s="987"/>
      <c r="BX48" s="987"/>
      <c r="BY48" s="988"/>
      <c r="BZ48" s="987"/>
      <c r="CA48" s="987"/>
      <c r="CB48" s="987"/>
      <c r="CC48" s="987"/>
      <c r="CD48" s="988"/>
      <c r="CE48" s="987"/>
      <c r="CF48" s="987"/>
      <c r="CG48" s="987"/>
      <c r="CH48" s="987"/>
      <c r="CI48" s="988"/>
      <c r="CJ48" s="987"/>
      <c r="CK48" s="987"/>
      <c r="CL48" s="987"/>
      <c r="CM48" s="987"/>
      <c r="CN48" s="988"/>
      <c r="CO48" s="987"/>
      <c r="CP48" s="987"/>
      <c r="CQ48" s="987"/>
      <c r="CR48" s="987"/>
      <c r="CS48" s="988"/>
      <c r="CT48" s="987"/>
      <c r="CU48" s="987"/>
      <c r="CV48" s="987"/>
      <c r="CW48" s="987"/>
      <c r="CX48" s="988"/>
      <c r="CY48" s="771"/>
      <c r="CZ48" s="771"/>
      <c r="DA48" s="771"/>
      <c r="DB48" s="771"/>
      <c r="DC48" s="1047"/>
      <c r="DD48" s="771"/>
      <c r="DE48" s="771"/>
      <c r="DF48" s="771"/>
      <c r="DG48" s="771"/>
      <c r="DH48" s="1047"/>
      <c r="DI48" s="771"/>
      <c r="DJ48" s="771"/>
      <c r="DK48" s="771"/>
      <c r="DL48" s="771"/>
      <c r="DM48" s="1047"/>
      <c r="DN48" s="771"/>
      <c r="DO48" s="771"/>
      <c r="DP48" s="771"/>
      <c r="DQ48" s="771"/>
      <c r="DR48" s="1047"/>
      <c r="DS48" s="771"/>
      <c r="DT48" s="771"/>
      <c r="DU48" s="771"/>
      <c r="DV48" s="771"/>
      <c r="DW48" s="1047"/>
      <c r="DX48" s="771"/>
      <c r="DY48" s="771"/>
      <c r="DZ48" s="771"/>
      <c r="EA48" s="771"/>
      <c r="EB48" s="1047"/>
      <c r="EC48" s="771"/>
      <c r="ED48" s="771"/>
      <c r="EE48" s="771"/>
      <c r="EF48" s="771"/>
      <c r="EG48" s="1047"/>
      <c r="EH48" s="771"/>
      <c r="EI48" s="771"/>
      <c r="EJ48" s="771"/>
      <c r="EK48" s="771"/>
      <c r="EL48" s="1047"/>
      <c r="EM48" s="771"/>
      <c r="EN48" s="771"/>
      <c r="EO48" s="771"/>
      <c r="EP48" s="771"/>
      <c r="EQ48" s="1047"/>
      <c r="ER48" s="771"/>
      <c r="ES48" s="771"/>
      <c r="ET48" s="771"/>
      <c r="EU48" s="771"/>
      <c r="EV48" s="1047"/>
      <c r="EW48" s="771"/>
      <c r="EX48" s="771"/>
      <c r="EY48" s="771"/>
      <c r="EZ48" s="771"/>
      <c r="FA48" s="1047"/>
      <c r="FB48" s="771"/>
      <c r="FC48" s="771"/>
      <c r="FD48" s="771"/>
      <c r="FE48" s="771"/>
      <c r="FF48" s="1047"/>
      <c r="FG48" s="771"/>
      <c r="FH48" s="771"/>
      <c r="FI48" s="771"/>
      <c r="FJ48" s="771"/>
      <c r="FK48" s="1047"/>
      <c r="FL48" s="771"/>
      <c r="FM48" s="771"/>
      <c r="FN48" s="771"/>
      <c r="FO48" s="771"/>
      <c r="FP48" s="1047"/>
      <c r="FQ48" s="771"/>
      <c r="FR48" s="771"/>
      <c r="FS48" s="771"/>
      <c r="FT48" s="771"/>
      <c r="FU48" s="1047"/>
      <c r="FV48" s="771"/>
      <c r="FW48" s="771"/>
      <c r="FX48" s="771"/>
      <c r="FY48" s="771"/>
      <c r="FZ48" s="1047"/>
      <c r="GA48" s="771"/>
      <c r="GB48" s="771"/>
      <c r="GC48" s="771"/>
      <c r="GD48" s="771"/>
      <c r="GE48" s="1047"/>
      <c r="GF48" s="771"/>
      <c r="GG48" s="771"/>
      <c r="GH48" s="771"/>
      <c r="GI48" s="771"/>
      <c r="GJ48" s="1047"/>
    </row>
    <row r="49" spans="1:192" s="1292" customFormat="1" ht="12.75" hidden="1" customHeight="1" outlineLevel="1">
      <c r="B49" s="1294" t="s">
        <v>205</v>
      </c>
      <c r="C49" s="1288"/>
      <c r="D49" s="1288"/>
      <c r="E49" s="1288"/>
      <c r="F49" s="1288"/>
      <c r="G49" s="1289"/>
      <c r="H49" s="1288"/>
      <c r="I49" s="1288"/>
      <c r="J49" s="1288"/>
      <c r="K49" s="1288"/>
      <c r="L49" s="1289"/>
      <c r="M49" s="1288"/>
      <c r="N49" s="1288"/>
      <c r="O49" s="1288"/>
      <c r="P49" s="1288"/>
      <c r="Q49" s="1289"/>
      <c r="R49" s="1293"/>
      <c r="S49" s="1293"/>
      <c r="T49" s="1293"/>
      <c r="U49" s="1293"/>
      <c r="V49" s="1289"/>
      <c r="W49" s="1293"/>
      <c r="X49" s="1293"/>
      <c r="Y49" s="1293"/>
      <c r="Z49" s="1293"/>
      <c r="AA49" s="1289"/>
      <c r="AB49" s="1293"/>
      <c r="AC49" s="1293"/>
      <c r="AD49" s="1293"/>
      <c r="AE49" s="1293"/>
      <c r="AF49" s="1289"/>
      <c r="AG49" s="1293"/>
      <c r="AH49" s="1293"/>
      <c r="AI49" s="1293"/>
      <c r="AJ49" s="1293"/>
      <c r="AK49" s="1289"/>
      <c r="AL49" s="1288"/>
      <c r="AM49" s="1288"/>
      <c r="AN49" s="1288"/>
      <c r="AO49" s="1288"/>
      <c r="AP49" s="1289"/>
      <c r="AQ49" s="1288"/>
      <c r="AR49" s="1288"/>
      <c r="AS49" s="1288"/>
      <c r="AT49" s="1288"/>
      <c r="AU49" s="1289"/>
      <c r="AV49" s="1288"/>
      <c r="AW49" s="1288"/>
      <c r="AX49" s="1288"/>
      <c r="AY49" s="1288"/>
      <c r="AZ49" s="1289"/>
      <c r="BA49" s="1288"/>
      <c r="BB49" s="1288"/>
      <c r="BC49" s="1288"/>
      <c r="BD49" s="1288"/>
      <c r="BE49" s="1289"/>
      <c r="BF49" s="1288"/>
      <c r="BG49" s="1288"/>
      <c r="BH49" s="1288"/>
      <c r="BI49" s="1288"/>
      <c r="BJ49" s="1289"/>
      <c r="BK49" s="1288"/>
      <c r="BL49" s="1288"/>
      <c r="BM49" s="1288"/>
      <c r="BN49" s="1288"/>
      <c r="BO49" s="1289"/>
      <c r="BP49" s="1288"/>
      <c r="BQ49" s="1288"/>
      <c r="BR49" s="1288"/>
      <c r="BS49" s="1288"/>
      <c r="BT49" s="1289"/>
      <c r="BU49" s="1288"/>
      <c r="BV49" s="1288"/>
      <c r="BW49" s="1288"/>
      <c r="BX49" s="1288"/>
      <c r="BY49" s="1289"/>
      <c r="BZ49" s="1288"/>
      <c r="CA49" s="1288"/>
      <c r="CB49" s="1288"/>
      <c r="CC49" s="1288"/>
      <c r="CD49" s="1289"/>
      <c r="CE49" s="1288"/>
      <c r="CF49" s="1288"/>
      <c r="CG49" s="1288"/>
      <c r="CH49" s="1288"/>
      <c r="CI49" s="1289"/>
      <c r="CJ49" s="1288"/>
      <c r="CK49" s="1288"/>
      <c r="CL49" s="1288"/>
      <c r="CM49" s="1288"/>
      <c r="CN49" s="1289"/>
      <c r="CO49" s="1288"/>
      <c r="CP49" s="1288"/>
      <c r="CQ49" s="1288"/>
      <c r="CR49" s="1288"/>
      <c r="CS49" s="1289"/>
      <c r="CT49" s="1288"/>
      <c r="CU49" s="1288"/>
      <c r="CV49" s="1288"/>
      <c r="CW49" s="1288"/>
      <c r="CX49" s="1289"/>
      <c r="CY49" s="1288"/>
      <c r="CZ49" s="1288"/>
      <c r="DA49" s="1288"/>
      <c r="DB49" s="1288"/>
      <c r="DC49" s="1289"/>
      <c r="DD49" s="1288"/>
      <c r="DE49" s="1288"/>
      <c r="DF49" s="1288"/>
      <c r="DG49" s="1288"/>
      <c r="DH49" s="1289"/>
      <c r="DI49" s="1288"/>
      <c r="DJ49" s="1288"/>
      <c r="DK49" s="1288"/>
      <c r="DL49" s="1288"/>
      <c r="DM49" s="1289"/>
      <c r="DN49" s="1288"/>
      <c r="DO49" s="1288"/>
      <c r="DP49" s="1288"/>
      <c r="DQ49" s="1288"/>
      <c r="DR49" s="1289"/>
      <c r="DS49" s="1288"/>
      <c r="DT49" s="1288"/>
      <c r="DU49" s="1288"/>
      <c r="DV49" s="1288"/>
      <c r="DW49" s="1289"/>
      <c r="DX49" s="1288"/>
      <c r="DY49" s="1288"/>
      <c r="DZ49" s="1288"/>
      <c r="EA49" s="1288"/>
      <c r="EB49" s="1289"/>
      <c r="EC49" s="1288"/>
      <c r="ED49" s="1288"/>
      <c r="EE49" s="1288"/>
      <c r="EF49" s="1288"/>
      <c r="EG49" s="1289"/>
      <c r="EH49" s="1288"/>
      <c r="EI49" s="1288"/>
      <c r="EJ49" s="1288"/>
      <c r="EK49" s="1288"/>
      <c r="EL49" s="1289"/>
      <c r="EM49" s="1288">
        <f>IC!EM108</f>
      </c>
      <c r="EN49" s="1288">
        <f>IC!EN108</f>
      </c>
      <c r="EO49" s="1288">
        <f>IC!EO108</f>
      </c>
      <c r="EP49" s="1288">
        <f>IC!EP108</f>
      </c>
      <c r="EQ49" s="1289">
        <f>IC!EQ108</f>
      </c>
      <c r="ER49" s="1288">
        <f>IC!ER108</f>
      </c>
      <c r="ES49" s="1288">
        <f>IC!ES108</f>
      </c>
      <c r="ET49" s="1288">
        <f>IC!ET108</f>
      </c>
      <c r="EU49" s="1288">
        <f>IC!EU108</f>
      </c>
      <c r="EV49" s="1289">
        <f>IC!EV108</f>
      </c>
      <c r="EW49" s="1288">
        <f>IC!EW108</f>
      </c>
      <c r="EX49" s="1288">
        <f>IC!EX108</f>
      </c>
      <c r="EY49" s="1288">
        <f>IC!EY108</f>
      </c>
      <c r="EZ49" s="1288">
        <f>IC!EZ108</f>
      </c>
      <c r="FA49" s="1289">
        <f>IC!FA108</f>
      </c>
      <c r="FB49" s="1288">
        <f>IC!FB108</f>
      </c>
      <c r="FC49" s="1288">
        <f>IC!FC108</f>
      </c>
      <c r="FD49" s="1288">
        <f>IC!FD108</f>
      </c>
      <c r="FE49" s="1288">
        <f>IC!FE108</f>
      </c>
      <c r="FF49" s="1289">
        <f>IC!FF108</f>
      </c>
      <c r="FG49" s="1288">
        <f>IC!FG108</f>
      </c>
      <c r="FH49" s="1288">
        <f>IC!FH108</f>
      </c>
      <c r="FI49" s="1288">
        <f>IC!FI108</f>
      </c>
      <c r="FJ49" s="1288">
        <f>IC!FJ108</f>
      </c>
      <c r="FK49" s="1289">
        <f>IC!FK108</f>
      </c>
      <c r="FL49" s="1288">
        <f>IC!FL108</f>
      </c>
      <c r="FM49" s="1288">
        <f>IC!FM108</f>
      </c>
      <c r="FN49" s="1288">
        <f>IC!FN108</f>
      </c>
      <c r="FO49" s="1288">
        <f>IC!FO108</f>
      </c>
      <c r="FP49" s="1289">
        <f>IC!FP108</f>
      </c>
      <c r="FQ49" s="1288">
        <f>IC!FQ108</f>
      </c>
      <c r="FR49" s="1288">
        <f>IC!FR108</f>
      </c>
      <c r="FS49" s="1288">
        <f>IC!FS108</f>
      </c>
      <c r="FT49" s="1288">
        <f>IC!FT108</f>
      </c>
      <c r="FU49" s="1289">
        <f>IC!FU108</f>
      </c>
      <c r="FV49" s="1288">
        <f>IC!FV108</f>
      </c>
      <c r="FW49" s="1288">
        <f>IC!FW108</f>
      </c>
      <c r="FX49" s="1288">
        <f>IC!FX108</f>
      </c>
      <c r="FY49" s="1288">
        <f>IC!FY108</f>
      </c>
      <c r="FZ49" s="1289">
        <f>IC!FZ108</f>
      </c>
      <c r="GA49" s="1288">
        <f>IC!GA108</f>
      </c>
      <c r="GB49" s="1288">
        <f>IC!GB108</f>
      </c>
      <c r="GC49" s="1288">
        <f>IC!GC108</f>
      </c>
      <c r="GD49" s="1288">
        <f>IC!GD108</f>
      </c>
      <c r="GE49" s="1289">
        <f>IC!GE108</f>
      </c>
      <c r="GF49" s="1288">
        <f>IC!GF108</f>
      </c>
      <c r="GG49" s="1288">
        <f>IC!GG108</f>
      </c>
      <c r="GH49" s="1288">
        <f>IC!GH108</f>
      </c>
      <c r="GI49" s="1288">
        <f>IC!GI108</f>
      </c>
      <c r="GJ49" s="1289">
        <f>IC!GJ108</f>
      </c>
    </row>
    <row r="50" spans="1:192" s="461" customFormat="1" ht="12.75" hidden="1" customHeight="1" outlineLevel="1">
      <c r="A50" s="370"/>
      <c r="B50" s="1295" t="s">
        <v>34</v>
      </c>
      <c r="C50" s="987"/>
      <c r="D50" s="987"/>
      <c r="E50" s="987"/>
      <c r="F50" s="987"/>
      <c r="G50" s="988"/>
      <c r="H50" s="987"/>
      <c r="I50" s="987"/>
      <c r="J50" s="987"/>
      <c r="K50" s="987"/>
      <c r="L50" s="988"/>
      <c r="M50" s="987"/>
      <c r="N50" s="987"/>
      <c r="O50" s="987"/>
      <c r="P50" s="987"/>
      <c r="Q50" s="988"/>
      <c r="R50" s="989"/>
      <c r="S50" s="989"/>
      <c r="T50" s="989"/>
      <c r="U50" s="989"/>
      <c r="V50" s="988"/>
      <c r="W50" s="989"/>
      <c r="X50" s="989"/>
      <c r="Y50" s="989"/>
      <c r="Z50" s="989"/>
      <c r="AA50" s="988"/>
      <c r="AB50" s="989"/>
      <c r="AC50" s="989"/>
      <c r="AD50" s="989"/>
      <c r="AE50" s="989"/>
      <c r="AF50" s="988"/>
      <c r="AG50" s="989"/>
      <c r="AH50" s="989"/>
      <c r="AI50" s="989"/>
      <c r="AJ50" s="989"/>
      <c r="AK50" s="988"/>
      <c r="AL50" s="987"/>
      <c r="AM50" s="987"/>
      <c r="AN50" s="987"/>
      <c r="AO50" s="987"/>
      <c r="AP50" s="988"/>
      <c r="AQ50" s="987"/>
      <c r="AR50" s="987"/>
      <c r="AS50" s="987"/>
      <c r="AT50" s="987"/>
      <c r="AU50" s="988"/>
      <c r="AV50" s="987"/>
      <c r="AW50" s="987"/>
      <c r="AX50" s="987"/>
      <c r="AY50" s="987"/>
      <c r="AZ50" s="988"/>
      <c r="BA50" s="987"/>
      <c r="BB50" s="987"/>
      <c r="BC50" s="987"/>
      <c r="BD50" s="987"/>
      <c r="BE50" s="988"/>
      <c r="BF50" s="987"/>
      <c r="BG50" s="987"/>
      <c r="BH50" s="987"/>
      <c r="BI50" s="987"/>
      <c r="BJ50" s="988"/>
      <c r="BK50" s="987"/>
      <c r="BL50" s="987"/>
      <c r="BM50" s="987"/>
      <c r="BN50" s="987"/>
      <c r="BO50" s="988"/>
      <c r="BP50" s="987"/>
      <c r="BQ50" s="987"/>
      <c r="BR50" s="987"/>
      <c r="BS50" s="987"/>
      <c r="BT50" s="988"/>
      <c r="BU50" s="987"/>
      <c r="BV50" s="987"/>
      <c r="BW50" s="987"/>
      <c r="BX50" s="987"/>
      <c r="BY50" s="988"/>
      <c r="BZ50" s="987"/>
      <c r="CA50" s="987"/>
      <c r="CB50" s="987"/>
      <c r="CC50" s="987"/>
      <c r="CD50" s="988"/>
      <c r="CE50" s="987"/>
      <c r="CF50" s="987"/>
      <c r="CG50" s="987"/>
      <c r="CH50" s="987"/>
      <c r="CI50" s="988"/>
      <c r="CJ50" s="987"/>
      <c r="CK50" s="987"/>
      <c r="CL50" s="987"/>
      <c r="CM50" s="987"/>
      <c r="CN50" s="988"/>
      <c r="CO50" s="987"/>
      <c r="CP50" s="987"/>
      <c r="CQ50" s="987"/>
      <c r="CR50" s="987"/>
      <c r="CS50" s="988"/>
      <c r="CT50" s="771"/>
      <c r="CU50" s="771"/>
      <c r="CV50" s="771"/>
      <c r="CW50" s="771"/>
      <c r="CX50" s="1047"/>
      <c r="CY50" s="771"/>
      <c r="CZ50" s="771"/>
      <c r="DA50" s="771"/>
      <c r="DB50" s="771"/>
      <c r="DC50" s="1047"/>
      <c r="DD50" s="771"/>
      <c r="DE50" s="771"/>
      <c r="DF50" s="771"/>
      <c r="DG50" s="771"/>
      <c r="DH50" s="1047"/>
      <c r="DI50" s="771"/>
      <c r="DJ50" s="771"/>
      <c r="DK50" s="771"/>
      <c r="DL50" s="771"/>
      <c r="DM50" s="1047"/>
      <c r="DN50" s="771"/>
      <c r="DO50" s="771"/>
      <c r="DP50" s="771"/>
      <c r="DQ50" s="771"/>
      <c r="DR50" s="1047"/>
      <c r="DS50" s="771"/>
      <c r="DT50" s="771"/>
      <c r="DU50" s="771"/>
      <c r="DV50" s="771"/>
      <c r="DW50" s="1047"/>
      <c r="DX50" s="771"/>
      <c r="DY50" s="771"/>
      <c r="DZ50" s="771"/>
      <c r="EA50" s="771"/>
      <c r="EB50" s="1047"/>
      <c r="EC50" s="771"/>
      <c r="ED50" s="771"/>
      <c r="EE50" s="771"/>
      <c r="EF50" s="771"/>
      <c r="EG50" s="1047"/>
      <c r="EH50" s="771"/>
      <c r="EI50" s="771"/>
      <c r="EJ50" s="771"/>
      <c r="EK50" s="771"/>
      <c r="EL50" s="1047"/>
      <c r="EM50" s="771"/>
      <c r="EN50" s="771"/>
      <c r="EO50" s="771"/>
      <c r="EP50" s="771"/>
      <c r="EQ50" s="1047"/>
      <c r="ER50" s="771">
        <f t="shared" ref="ER50" si="148">IFERROR(ER49/EM49-1,"")</f>
      </c>
      <c r="ES50" s="771">
        <f t="shared" ref="ES50" si="149">IFERROR(ES49/EN49-1,"")</f>
      </c>
      <c r="ET50" s="771">
        <f t="shared" ref="ET50" si="150">IFERROR(ET49/EO49-1,"")</f>
      </c>
      <c r="EU50" s="771">
        <f t="shared" ref="EU50" si="151">IFERROR(EU49/EP49-1,"")</f>
      </c>
      <c r="EV50" s="1047">
        <f t="shared" ref="EV50" si="152">IFERROR(EV49/EQ49-1,"")</f>
      </c>
      <c r="EW50" s="771">
        <f t="shared" ref="EW50:GE50" si="153">IFERROR(EW49/ER49-1,"")</f>
      </c>
      <c r="EX50" s="771">
        <f t="shared" si="153"/>
      </c>
      <c r="EY50" s="771">
        <f t="shared" si="153"/>
      </c>
      <c r="EZ50" s="771">
        <f t="shared" ref="EZ50" si="154">IFERROR(EZ49/EU49-1,"")</f>
      </c>
      <c r="FA50" s="1047">
        <f t="shared" ref="FA50" si="155">IFERROR(FA49/EV49-1,"")</f>
      </c>
      <c r="FB50" s="771">
        <f t="shared" si="153"/>
      </c>
      <c r="FC50" s="771">
        <f t="shared" si="153"/>
      </c>
      <c r="FD50" s="771">
        <f t="shared" si="153"/>
      </c>
      <c r="FE50" s="771">
        <f t="shared" si="153"/>
      </c>
      <c r="FF50" s="1047">
        <f t="shared" si="153"/>
      </c>
      <c r="FG50" s="771">
        <f t="shared" si="153"/>
      </c>
      <c r="FH50" s="771">
        <f t="shared" si="153"/>
      </c>
      <c r="FI50" s="771">
        <f t="shared" si="153"/>
      </c>
      <c r="FJ50" s="771">
        <f t="shared" si="153"/>
      </c>
      <c r="FK50" s="1047">
        <f t="shared" si="153"/>
      </c>
      <c r="FL50" s="771">
        <f t="shared" si="153"/>
      </c>
      <c r="FM50" s="771">
        <f t="shared" si="153"/>
      </c>
      <c r="FN50" s="771">
        <f t="shared" si="153"/>
      </c>
      <c r="FO50" s="771">
        <f t="shared" si="153"/>
      </c>
      <c r="FP50" s="1047">
        <f t="shared" si="153"/>
      </c>
      <c r="FQ50" s="771">
        <f t="shared" si="153"/>
      </c>
      <c r="FR50" s="771">
        <f t="shared" si="153"/>
      </c>
      <c r="FS50" s="771">
        <f t="shared" si="153"/>
      </c>
      <c r="FT50" s="771">
        <f t="shared" si="153"/>
      </c>
      <c r="FU50" s="1047">
        <f t="shared" si="153"/>
      </c>
      <c r="FV50" s="771">
        <f t="shared" si="153"/>
      </c>
      <c r="FW50" s="771">
        <f t="shared" si="153"/>
      </c>
      <c r="FX50" s="771">
        <f t="shared" si="153"/>
      </c>
      <c r="FY50" s="771">
        <f t="shared" si="153"/>
      </c>
      <c r="FZ50" s="1047">
        <f t="shared" si="153"/>
      </c>
      <c r="GA50" s="771">
        <f t="shared" si="153"/>
      </c>
      <c r="GB50" s="771">
        <f t="shared" si="153"/>
      </c>
      <c r="GC50" s="771">
        <f t="shared" si="153"/>
      </c>
      <c r="GD50" s="771">
        <f t="shared" si="153"/>
      </c>
      <c r="GE50" s="1047">
        <f t="shared" si="153"/>
      </c>
      <c r="GF50" s="771">
        <f t="shared" ref="GF50" si="156">IFERROR(GF49/GA49-1,"")</f>
      </c>
      <c r="GG50" s="771">
        <f t="shared" ref="GG50" si="157">IFERROR(GG49/GB49-1,"")</f>
      </c>
      <c r="GH50" s="771">
        <f t="shared" ref="GH50" si="158">IFERROR(GH49/GC49-1,"")</f>
      </c>
      <c r="GI50" s="771">
        <f t="shared" ref="GI50" si="159">IFERROR(GI49/GD49-1,"")</f>
      </c>
      <c r="GJ50" s="1047">
        <f t="shared" ref="GJ50" si="160">IFERROR(GJ49/GE49-1,"")</f>
      </c>
    </row>
    <row r="51" spans="1:192" s="461" customFormat="1" ht="12.75" hidden="1" customHeight="1" outlineLevel="1">
      <c r="A51" s="370"/>
      <c r="B51" s="1295" t="s">
        <v>36</v>
      </c>
      <c r="C51" s="987"/>
      <c r="D51" s="987"/>
      <c r="E51" s="987"/>
      <c r="F51" s="987"/>
      <c r="G51" s="988"/>
      <c r="H51" s="987"/>
      <c r="I51" s="987"/>
      <c r="J51" s="987"/>
      <c r="K51" s="987"/>
      <c r="L51" s="988"/>
      <c r="M51" s="987"/>
      <c r="N51" s="987"/>
      <c r="O51" s="987"/>
      <c r="P51" s="987"/>
      <c r="Q51" s="988"/>
      <c r="R51" s="989"/>
      <c r="S51" s="989"/>
      <c r="T51" s="989"/>
      <c r="U51" s="989"/>
      <c r="V51" s="988"/>
      <c r="W51" s="989"/>
      <c r="X51" s="989"/>
      <c r="Y51" s="989"/>
      <c r="Z51" s="989"/>
      <c r="AA51" s="988"/>
      <c r="AB51" s="989"/>
      <c r="AC51" s="989"/>
      <c r="AD51" s="989"/>
      <c r="AE51" s="989"/>
      <c r="AF51" s="988"/>
      <c r="AG51" s="989"/>
      <c r="AH51" s="989"/>
      <c r="AI51" s="989"/>
      <c r="AJ51" s="989"/>
      <c r="AK51" s="988"/>
      <c r="AL51" s="987"/>
      <c r="AM51" s="987"/>
      <c r="AN51" s="987"/>
      <c r="AO51" s="987"/>
      <c r="AP51" s="988"/>
      <c r="AQ51" s="987"/>
      <c r="AR51" s="987"/>
      <c r="AS51" s="987"/>
      <c r="AT51" s="987"/>
      <c r="AU51" s="988"/>
      <c r="AV51" s="987"/>
      <c r="AW51" s="987"/>
      <c r="AX51" s="987"/>
      <c r="AY51" s="987"/>
      <c r="AZ51" s="988"/>
      <c r="BA51" s="987"/>
      <c r="BB51" s="987"/>
      <c r="BC51" s="987"/>
      <c r="BD51" s="987"/>
      <c r="BE51" s="988"/>
      <c r="BF51" s="987"/>
      <c r="BG51" s="987"/>
      <c r="BH51" s="987"/>
      <c r="BI51" s="987"/>
      <c r="BJ51" s="988"/>
      <c r="BK51" s="987"/>
      <c r="BL51" s="987"/>
      <c r="BM51" s="987"/>
      <c r="BN51" s="987"/>
      <c r="BO51" s="988"/>
      <c r="BP51" s="987"/>
      <c r="BQ51" s="987"/>
      <c r="BR51" s="987"/>
      <c r="BS51" s="987"/>
      <c r="BT51" s="988"/>
      <c r="BU51" s="987"/>
      <c r="BV51" s="987"/>
      <c r="BW51" s="987"/>
      <c r="BX51" s="987"/>
      <c r="BY51" s="988"/>
      <c r="BZ51" s="987"/>
      <c r="CA51" s="987"/>
      <c r="CB51" s="987"/>
      <c r="CC51" s="987"/>
      <c r="CD51" s="988"/>
      <c r="CE51" s="987"/>
      <c r="CF51" s="987"/>
      <c r="CG51" s="987"/>
      <c r="CH51" s="987"/>
      <c r="CI51" s="988"/>
      <c r="CJ51" s="987"/>
      <c r="CK51" s="987"/>
      <c r="CL51" s="987"/>
      <c r="CM51" s="987"/>
      <c r="CN51" s="988"/>
      <c r="CO51" s="987"/>
      <c r="CP51" s="987"/>
      <c r="CQ51" s="987"/>
      <c r="CR51" s="987"/>
      <c r="CS51" s="988"/>
      <c r="CT51" s="771"/>
      <c r="CU51" s="1283"/>
      <c r="CV51" s="1283"/>
      <c r="CW51" s="1283"/>
      <c r="CX51" s="991"/>
      <c r="CY51" s="771"/>
      <c r="CZ51" s="1283"/>
      <c r="DA51" s="1283"/>
      <c r="DB51" s="1283"/>
      <c r="DC51" s="991"/>
      <c r="DD51" s="771"/>
      <c r="DE51" s="1283"/>
      <c r="DF51" s="1283"/>
      <c r="DG51" s="1283"/>
      <c r="DH51" s="991"/>
      <c r="DI51" s="771"/>
      <c r="DJ51" s="1283"/>
      <c r="DK51" s="1283"/>
      <c r="DL51" s="1283"/>
      <c r="DM51" s="991"/>
      <c r="DN51" s="771"/>
      <c r="DO51" s="1283"/>
      <c r="DP51" s="1283"/>
      <c r="DQ51" s="1283"/>
      <c r="DR51" s="991"/>
      <c r="DS51" s="771"/>
      <c r="DT51" s="1283"/>
      <c r="DU51" s="1283"/>
      <c r="DV51" s="1283"/>
      <c r="DW51" s="991"/>
      <c r="DX51" s="771"/>
      <c r="DY51" s="1283"/>
      <c r="DZ51" s="1283"/>
      <c r="EA51" s="1283"/>
      <c r="EB51" s="991"/>
      <c r="EC51" s="771"/>
      <c r="ED51" s="1283"/>
      <c r="EE51" s="1283"/>
      <c r="EF51" s="1283"/>
      <c r="EG51" s="991"/>
      <c r="EH51" s="771"/>
      <c r="EI51" s="1283"/>
      <c r="EJ51" s="1283"/>
      <c r="EK51" s="1283"/>
      <c r="EL51" s="991"/>
      <c r="EM51" s="771"/>
      <c r="EN51" s="1283"/>
      <c r="EO51" s="1283"/>
      <c r="EP51" s="1283"/>
      <c r="EQ51" s="991"/>
      <c r="ER51" s="771">
        <f>IFERROR(ER49/EP49-1,"")</f>
      </c>
      <c r="ES51" s="1283">
        <f>IFERROR(ES49/ER49-1,"")</f>
      </c>
      <c r="ET51" s="1283">
        <f>IFERROR(ET49/ES49-1,"")</f>
      </c>
      <c r="EU51" s="1283">
        <f>IFERROR(EU49/ET49-1,"")</f>
      </c>
      <c r="EV51" s="991"/>
      <c r="EW51" s="771">
        <f>IFERROR(EW49/EU49-1,"")</f>
      </c>
      <c r="EX51" s="1283">
        <f>IFERROR(EX49/EW49-1,"")</f>
      </c>
      <c r="EY51" s="1283">
        <f>IFERROR(EY49/EX49-1,"")</f>
      </c>
      <c r="EZ51" s="1283">
        <f>IFERROR(EZ49/EY49-1,"")</f>
      </c>
      <c r="FA51" s="991"/>
      <c r="FB51" s="771">
        <f>IFERROR(FB49/EZ49-1,"")</f>
      </c>
      <c r="FC51" s="1283">
        <f>IFERROR(FC49/FB49-1,"")</f>
      </c>
      <c r="FD51" s="1283">
        <f>IFERROR(FD49/FC49-1,"")</f>
      </c>
      <c r="FE51" s="1283">
        <f>IFERROR(FE49/FD49-1,"")</f>
      </c>
      <c r="FF51" s="991"/>
      <c r="FG51" s="771">
        <f>IFERROR(FG49/FE49-1,"")</f>
      </c>
      <c r="FH51" s="1283">
        <f>IFERROR(FH49/FG49-1,"")</f>
      </c>
      <c r="FI51" s="1283">
        <f>IFERROR(FI49/FH49-1,"")</f>
      </c>
      <c r="FJ51" s="1283">
        <f>IFERROR(FJ49/FI49-1,"")</f>
      </c>
      <c r="FK51" s="991"/>
      <c r="FL51" s="771">
        <f>IFERROR(FL49/FJ49-1,"")</f>
      </c>
      <c r="FM51" s="1283">
        <f>IFERROR(FM49/FL49-1,"")</f>
      </c>
      <c r="FN51" s="1283">
        <f>IFERROR(FN49/FM49-1,"")</f>
      </c>
      <c r="FO51" s="1283">
        <f>IFERROR(FO49/FN49-1,"")</f>
      </c>
      <c r="FP51" s="991"/>
      <c r="FQ51" s="771">
        <f>IFERROR(FQ49/FO49-1,"")</f>
      </c>
      <c r="FR51" s="1283">
        <f>IFERROR(FR49/FQ49-1,"")</f>
      </c>
      <c r="FS51" s="1283">
        <f>IFERROR(FS49/FR49-1,"")</f>
      </c>
      <c r="FT51" s="1283">
        <f>IFERROR(FT49/FS49-1,"")</f>
      </c>
      <c r="FU51" s="991"/>
      <c r="FV51" s="771">
        <f>IFERROR(FV49/FT49-1,"")</f>
      </c>
      <c r="FW51" s="1283">
        <f>IFERROR(FW49/FV49-1,"")</f>
      </c>
      <c r="FX51" s="1283">
        <f>IFERROR(FX49/FW49-1,"")</f>
      </c>
      <c r="FY51" s="1283">
        <f>IFERROR(FY49/FX49-1,"")</f>
      </c>
      <c r="FZ51" s="991"/>
      <c r="GA51" s="771">
        <f>IFERROR(GA49/FY49-1,"")</f>
      </c>
      <c r="GB51" s="1283">
        <f>IFERROR(GB49/GA49-1,"")</f>
      </c>
      <c r="GC51" s="1283">
        <f>IFERROR(GC49/GB49-1,"")</f>
      </c>
      <c r="GD51" s="1283">
        <f>IFERROR(GD49/GC49-1,"")</f>
      </c>
      <c r="GE51" s="991"/>
      <c r="GF51" s="771">
        <f>IFERROR(GF49/GD49-1,"")</f>
      </c>
      <c r="GG51" s="1283">
        <f>IFERROR(GG49/GF49-1,"")</f>
      </c>
      <c r="GH51" s="1283">
        <f>IFERROR(GH49/GG49-1,"")</f>
      </c>
      <c r="GI51" s="1283">
        <f>IFERROR(GI49/GH49-1,"")</f>
      </c>
      <c r="GJ51" s="991"/>
    </row>
    <row r="52" spans="1:192" s="461" customFormat="1" ht="12.75" hidden="1" customHeight="1" outlineLevel="1">
      <c r="A52" s="370"/>
      <c r="B52" s="1295" t="s">
        <v>1864</v>
      </c>
      <c r="C52" s="987"/>
      <c r="D52" s="987"/>
      <c r="E52" s="987"/>
      <c r="F52" s="987"/>
      <c r="G52" s="988"/>
      <c r="H52" s="987"/>
      <c r="I52" s="987"/>
      <c r="J52" s="987"/>
      <c r="K52" s="987"/>
      <c r="L52" s="988"/>
      <c r="M52" s="987"/>
      <c r="N52" s="987"/>
      <c r="O52" s="987"/>
      <c r="P52" s="987"/>
      <c r="Q52" s="988"/>
      <c r="R52" s="989"/>
      <c r="S52" s="989"/>
      <c r="T52" s="989"/>
      <c r="U52" s="989"/>
      <c r="V52" s="988"/>
      <c r="W52" s="989"/>
      <c r="X52" s="989"/>
      <c r="Y52" s="989"/>
      <c r="Z52" s="989"/>
      <c r="AA52" s="988"/>
      <c r="AB52" s="989"/>
      <c r="AC52" s="989"/>
      <c r="AD52" s="989"/>
      <c r="AE52" s="989"/>
      <c r="AF52" s="988"/>
      <c r="AG52" s="989"/>
      <c r="AH52" s="989"/>
      <c r="AI52" s="989"/>
      <c r="AJ52" s="989"/>
      <c r="AK52" s="988"/>
      <c r="AL52" s="987"/>
      <c r="AM52" s="987"/>
      <c r="AN52" s="987"/>
      <c r="AO52" s="987"/>
      <c r="AP52" s="988"/>
      <c r="AQ52" s="987"/>
      <c r="AR52" s="987"/>
      <c r="AS52" s="987"/>
      <c r="AT52" s="987"/>
      <c r="AU52" s="988"/>
      <c r="AV52" s="987"/>
      <c r="AW52" s="987"/>
      <c r="AX52" s="987"/>
      <c r="AY52" s="987"/>
      <c r="AZ52" s="988"/>
      <c r="BA52" s="987"/>
      <c r="BB52" s="987"/>
      <c r="BC52" s="987"/>
      <c r="BD52" s="987"/>
      <c r="BE52" s="988"/>
      <c r="BF52" s="987"/>
      <c r="BG52" s="987"/>
      <c r="BH52" s="987"/>
      <c r="BI52" s="987"/>
      <c r="BJ52" s="988"/>
      <c r="BK52" s="987"/>
      <c r="BL52" s="987"/>
      <c r="BM52" s="987"/>
      <c r="BN52" s="987"/>
      <c r="BO52" s="988"/>
      <c r="BP52" s="987"/>
      <c r="BQ52" s="987"/>
      <c r="BR52" s="987"/>
      <c r="BS52" s="987"/>
      <c r="BT52" s="988"/>
      <c r="BU52" s="987"/>
      <c r="BV52" s="987"/>
      <c r="BW52" s="987"/>
      <c r="BX52" s="987"/>
      <c r="BY52" s="988"/>
      <c r="BZ52" s="987"/>
      <c r="CA52" s="987"/>
      <c r="CB52" s="987"/>
      <c r="CC52" s="987"/>
      <c r="CD52" s="988"/>
      <c r="CE52" s="987"/>
      <c r="CF52" s="987"/>
      <c r="CG52" s="987"/>
      <c r="CH52" s="987"/>
      <c r="CI52" s="988"/>
      <c r="CJ52" s="987"/>
      <c r="CK52" s="987"/>
      <c r="CL52" s="987"/>
      <c r="CM52" s="987"/>
      <c r="CN52" s="988"/>
      <c r="CO52" s="987"/>
      <c r="CP52" s="987"/>
      <c r="CQ52" s="987"/>
      <c r="CR52" s="987"/>
      <c r="CS52" s="988"/>
      <c r="CT52" s="987"/>
      <c r="CU52" s="987"/>
      <c r="CV52" s="987"/>
      <c r="CW52" s="987"/>
      <c r="CX52" s="988"/>
      <c r="CY52" s="1290"/>
      <c r="CZ52" s="1290"/>
      <c r="DA52" s="1290"/>
      <c r="DB52" s="1290"/>
      <c r="DC52" s="1291"/>
      <c r="DD52" s="1290"/>
      <c r="DE52" s="1290"/>
      <c r="DF52" s="1290"/>
      <c r="DG52" s="1290"/>
      <c r="DH52" s="1291"/>
      <c r="DI52" s="1290"/>
      <c r="DJ52" s="1290"/>
      <c r="DK52" s="1290"/>
      <c r="DL52" s="1290"/>
      <c r="DM52" s="1291"/>
      <c r="DN52" s="1290"/>
      <c r="DO52" s="1290"/>
      <c r="DP52" s="1290"/>
      <c r="DQ52" s="1290"/>
      <c r="DR52" s="1291"/>
      <c r="DS52" s="1290"/>
      <c r="DT52" s="1290"/>
      <c r="DU52" s="1290"/>
      <c r="DV52" s="1290"/>
      <c r="DW52" s="1291"/>
      <c r="DX52" s="1290"/>
      <c r="DY52" s="1290"/>
      <c r="DZ52" s="1290"/>
      <c r="EA52" s="1290"/>
      <c r="EB52" s="1291"/>
      <c r="EC52" s="1290"/>
      <c r="ED52" s="1290"/>
      <c r="EE52" s="1290"/>
      <c r="EF52" s="1290"/>
      <c r="EG52" s="1291"/>
      <c r="EH52" s="1290"/>
      <c r="EI52" s="1290"/>
      <c r="EJ52" s="1290"/>
      <c r="EK52" s="1290"/>
      <c r="EL52" s="1291"/>
      <c r="EM52" s="1290"/>
      <c r="EN52" s="1290"/>
      <c r="EO52" s="1290"/>
      <c r="EP52" s="1290"/>
      <c r="EQ52" s="1291"/>
      <c r="ER52" s="1290">
        <f t="shared" ref="ER52:EV52" si="161">ER49/ER$44</f>
      </c>
      <c r="ES52" s="1290">
        <f t="shared" si="161"/>
      </c>
      <c r="ET52" s="1290">
        <f t="shared" si="161"/>
      </c>
      <c r="EU52" s="1290">
        <f t="shared" si="161"/>
      </c>
      <c r="EV52" s="1291">
        <f t="shared" si="161"/>
      </c>
      <c r="EW52" s="1290">
        <f t="shared" ref="EW52:FJ52" si="162">EW49/EW$44</f>
      </c>
      <c r="EX52" s="1290">
        <f t="shared" si="162"/>
      </c>
      <c r="EY52" s="1290">
        <f t="shared" si="162"/>
      </c>
      <c r="EZ52" s="1290">
        <f t="shared" si="162"/>
      </c>
      <c r="FA52" s="1291">
        <f t="shared" si="162"/>
      </c>
      <c r="FB52" s="1290">
        <f t="shared" si="162"/>
      </c>
      <c r="FC52" s="1290">
        <f t="shared" si="162"/>
      </c>
      <c r="FD52" s="1290">
        <f t="shared" si="162"/>
      </c>
      <c r="FE52" s="1290">
        <f t="shared" si="162"/>
      </c>
      <c r="FF52" s="1291">
        <f t="shared" si="162"/>
      </c>
      <c r="FG52" s="1290">
        <f t="shared" si="162"/>
      </c>
      <c r="FH52" s="1290">
        <f t="shared" si="162"/>
      </c>
      <c r="FI52" s="1290">
        <f t="shared" si="162"/>
      </c>
      <c r="FJ52" s="1290">
        <f t="shared" si="162"/>
      </c>
      <c r="FK52" s="1291">
        <f t="shared" ref="FK52:FZ52" si="163">FK49/FK$44</f>
      </c>
      <c r="FL52" s="1290">
        <f t="shared" si="163"/>
      </c>
      <c r="FM52" s="1290">
        <f t="shared" si="163"/>
      </c>
      <c r="FN52" s="1290">
        <f t="shared" si="163"/>
      </c>
      <c r="FO52" s="1290">
        <f t="shared" si="163"/>
      </c>
      <c r="FP52" s="1291">
        <f t="shared" si="163"/>
      </c>
      <c r="FQ52" s="1290">
        <f t="shared" si="163"/>
      </c>
      <c r="FR52" s="1290">
        <f t="shared" si="163"/>
      </c>
      <c r="FS52" s="1290">
        <f t="shared" si="163"/>
      </c>
      <c r="FT52" s="1290">
        <f t="shared" si="163"/>
      </c>
      <c r="FU52" s="1291">
        <f t="shared" si="163"/>
      </c>
      <c r="FV52" s="1290">
        <f t="shared" si="163"/>
      </c>
      <c r="FW52" s="1290">
        <f t="shared" si="163"/>
      </c>
      <c r="FX52" s="1290">
        <f t="shared" si="163"/>
      </c>
      <c r="FY52" s="1290">
        <f t="shared" si="163"/>
      </c>
      <c r="FZ52" s="1291">
        <f t="shared" si="163"/>
      </c>
      <c r="GA52" s="1290">
        <f t="shared" ref="GA52:GJ52" si="164">GA49/GA$44</f>
      </c>
      <c r="GB52" s="1290">
        <f t="shared" si="164"/>
      </c>
      <c r="GC52" s="1290">
        <f t="shared" si="164"/>
      </c>
      <c r="GD52" s="1290">
        <f t="shared" si="164"/>
      </c>
      <c r="GE52" s="1291">
        <f t="shared" si="164"/>
      </c>
      <c r="GF52" s="1290">
        <f t="shared" si="164"/>
      </c>
      <c r="GG52" s="1290">
        <f t="shared" si="164"/>
      </c>
      <c r="GH52" s="1290">
        <f t="shared" si="164"/>
      </c>
      <c r="GI52" s="1290">
        <f t="shared" si="164"/>
      </c>
      <c r="GJ52" s="1291">
        <f t="shared" si="164"/>
      </c>
    </row>
    <row r="53" spans="1:192" s="461" customFormat="1" ht="12.75" hidden="1" customHeight="1" outlineLevel="1">
      <c r="A53" s="370"/>
      <c r="B53" s="1295"/>
      <c r="C53" s="987"/>
      <c r="D53" s="987"/>
      <c r="E53" s="987"/>
      <c r="F53" s="987"/>
      <c r="G53" s="988"/>
      <c r="H53" s="987"/>
      <c r="I53" s="987"/>
      <c r="J53" s="987"/>
      <c r="K53" s="987"/>
      <c r="L53" s="988"/>
      <c r="M53" s="987"/>
      <c r="N53" s="987"/>
      <c r="O53" s="987"/>
      <c r="P53" s="987"/>
      <c r="Q53" s="988"/>
      <c r="R53" s="989"/>
      <c r="S53" s="989"/>
      <c r="T53" s="989"/>
      <c r="U53" s="989"/>
      <c r="V53" s="988"/>
      <c r="W53" s="989"/>
      <c r="X53" s="989"/>
      <c r="Y53" s="989"/>
      <c r="Z53" s="989"/>
      <c r="AA53" s="988"/>
      <c r="AB53" s="989"/>
      <c r="AC53" s="989"/>
      <c r="AD53" s="989"/>
      <c r="AE53" s="989"/>
      <c r="AF53" s="988"/>
      <c r="AG53" s="989"/>
      <c r="AH53" s="989"/>
      <c r="AI53" s="989"/>
      <c r="AJ53" s="989"/>
      <c r="AK53" s="988"/>
      <c r="AL53" s="987"/>
      <c r="AM53" s="987"/>
      <c r="AN53" s="987"/>
      <c r="AO53" s="987"/>
      <c r="AP53" s="988"/>
      <c r="AQ53" s="987"/>
      <c r="AR53" s="987"/>
      <c r="AS53" s="987"/>
      <c r="AT53" s="987"/>
      <c r="AU53" s="988"/>
      <c r="AV53" s="987"/>
      <c r="AW53" s="987"/>
      <c r="AX53" s="987"/>
      <c r="AY53" s="987"/>
      <c r="AZ53" s="988"/>
      <c r="BA53" s="987"/>
      <c r="BB53" s="987"/>
      <c r="BC53" s="987"/>
      <c r="BD53" s="987"/>
      <c r="BE53" s="988"/>
      <c r="BF53" s="987"/>
      <c r="BG53" s="987"/>
      <c r="BH53" s="987"/>
      <c r="BI53" s="987"/>
      <c r="BJ53" s="988"/>
      <c r="BK53" s="987"/>
      <c r="BL53" s="987"/>
      <c r="BM53" s="987"/>
      <c r="BN53" s="987"/>
      <c r="BO53" s="988"/>
      <c r="BP53" s="987"/>
      <c r="BQ53" s="987"/>
      <c r="BR53" s="987"/>
      <c r="BS53" s="987"/>
      <c r="BT53" s="988"/>
      <c r="BU53" s="987"/>
      <c r="BV53" s="987"/>
      <c r="BW53" s="987"/>
      <c r="BX53" s="987"/>
      <c r="BY53" s="988"/>
      <c r="BZ53" s="987"/>
      <c r="CA53" s="987"/>
      <c r="CB53" s="987"/>
      <c r="CC53" s="987"/>
      <c r="CD53" s="988"/>
      <c r="CE53" s="987"/>
      <c r="CF53" s="987"/>
      <c r="CG53" s="987"/>
      <c r="CH53" s="987"/>
      <c r="CI53" s="988"/>
      <c r="CJ53" s="987"/>
      <c r="CK53" s="987"/>
      <c r="CL53" s="987"/>
      <c r="CM53" s="987"/>
      <c r="CN53" s="988"/>
      <c r="CO53" s="987"/>
      <c r="CP53" s="987"/>
      <c r="CQ53" s="987"/>
      <c r="CR53" s="987"/>
      <c r="CS53" s="988"/>
      <c r="CT53" s="987"/>
      <c r="CU53" s="987"/>
      <c r="CV53" s="987"/>
      <c r="CW53" s="987"/>
      <c r="CX53" s="988"/>
      <c r="CY53" s="771"/>
      <c r="CZ53" s="771"/>
      <c r="DA53" s="771"/>
      <c r="DB53" s="771"/>
      <c r="DC53" s="1047"/>
      <c r="DD53" s="771"/>
      <c r="DE53" s="771"/>
      <c r="DF53" s="771"/>
      <c r="DG53" s="771"/>
      <c r="DH53" s="1047"/>
      <c r="DI53" s="771"/>
      <c r="DJ53" s="771"/>
      <c r="DK53" s="771"/>
      <c r="DL53" s="771"/>
      <c r="DM53" s="1047"/>
      <c r="DN53" s="771"/>
      <c r="DO53" s="771"/>
      <c r="DP53" s="771"/>
      <c r="DQ53" s="771"/>
      <c r="DR53" s="1047"/>
      <c r="DS53" s="771"/>
      <c r="DT53" s="771"/>
      <c r="DU53" s="771"/>
      <c r="DV53" s="771"/>
      <c r="DW53" s="1047"/>
      <c r="DX53" s="771"/>
      <c r="DY53" s="771"/>
      <c r="DZ53" s="771"/>
      <c r="EA53" s="771"/>
      <c r="EB53" s="1047"/>
      <c r="EC53" s="771"/>
      <c r="ED53" s="771"/>
      <c r="EE53" s="771"/>
      <c r="EF53" s="771"/>
      <c r="EG53" s="1047"/>
      <c r="EH53" s="771"/>
      <c r="EI53" s="771"/>
      <c r="EJ53" s="771"/>
      <c r="EK53" s="771"/>
      <c r="EL53" s="1047"/>
      <c r="EM53" s="771"/>
      <c r="EN53" s="771"/>
      <c r="EO53" s="771"/>
      <c r="EP53" s="771"/>
      <c r="EQ53" s="1047"/>
      <c r="ER53" s="771"/>
      <c r="ES53" s="771"/>
      <c r="ET53" s="771"/>
      <c r="EU53" s="771"/>
      <c r="EV53" s="1047"/>
      <c r="EW53" s="771"/>
      <c r="EX53" s="771"/>
      <c r="EY53" s="771"/>
      <c r="EZ53" s="771"/>
      <c r="FA53" s="1047"/>
      <c r="FB53" s="771"/>
      <c r="FC53" s="771"/>
      <c r="FD53" s="771"/>
      <c r="FE53" s="771"/>
      <c r="FF53" s="1047"/>
      <c r="FG53" s="771"/>
      <c r="FH53" s="771"/>
      <c r="FI53" s="771"/>
      <c r="FJ53" s="771"/>
      <c r="FK53" s="1047"/>
      <c r="FL53" s="771"/>
      <c r="FM53" s="771"/>
      <c r="FN53" s="771"/>
      <c r="FO53" s="771"/>
      <c r="FP53" s="1047"/>
      <c r="FQ53" s="771"/>
      <c r="FR53" s="771"/>
      <c r="FS53" s="771"/>
      <c r="FT53" s="771"/>
      <c r="FU53" s="1047"/>
      <c r="FV53" s="771"/>
      <c r="FW53" s="771"/>
      <c r="FX53" s="771"/>
      <c r="FY53" s="771"/>
      <c r="FZ53" s="1047"/>
      <c r="GA53" s="771"/>
      <c r="GB53" s="771"/>
      <c r="GC53" s="771"/>
      <c r="GD53" s="771"/>
      <c r="GE53" s="1047"/>
      <c r="GF53" s="771"/>
      <c r="GG53" s="771"/>
      <c r="GH53" s="771"/>
      <c r="GI53" s="771"/>
      <c r="GJ53" s="1047"/>
    </row>
    <row r="54" spans="1:192" s="1292" customFormat="1" ht="12.75" hidden="1" customHeight="1" outlineLevel="1">
      <c r="B54" s="1294" t="s">
        <v>206</v>
      </c>
      <c r="C54" s="1288"/>
      <c r="D54" s="1288"/>
      <c r="E54" s="1288"/>
      <c r="F54" s="1288"/>
      <c r="G54" s="1289"/>
      <c r="H54" s="1288"/>
      <c r="I54" s="1288"/>
      <c r="J54" s="1288"/>
      <c r="K54" s="1288"/>
      <c r="L54" s="1289"/>
      <c r="M54" s="1288"/>
      <c r="N54" s="1288"/>
      <c r="O54" s="1288"/>
      <c r="P54" s="1288"/>
      <c r="Q54" s="1289"/>
      <c r="R54" s="1293"/>
      <c r="S54" s="1293"/>
      <c r="T54" s="1293"/>
      <c r="U54" s="1293"/>
      <c r="V54" s="1289"/>
      <c r="W54" s="1293"/>
      <c r="X54" s="1293"/>
      <c r="Y54" s="1293"/>
      <c r="Z54" s="1293"/>
      <c r="AA54" s="1289"/>
      <c r="AB54" s="1293"/>
      <c r="AC54" s="1293"/>
      <c r="AD54" s="1293"/>
      <c r="AE54" s="1293"/>
      <c r="AF54" s="1289"/>
      <c r="AG54" s="1293"/>
      <c r="AH54" s="1293"/>
      <c r="AI54" s="1293"/>
      <c r="AJ54" s="1293"/>
      <c r="AK54" s="1289"/>
      <c r="AL54" s="1288"/>
      <c r="AM54" s="1288"/>
      <c r="AN54" s="1288"/>
      <c r="AO54" s="1288"/>
      <c r="AP54" s="1289"/>
      <c r="AQ54" s="1288"/>
      <c r="AR54" s="1288"/>
      <c r="AS54" s="1288"/>
      <c r="AT54" s="1288"/>
      <c r="AU54" s="1289"/>
      <c r="AV54" s="1288"/>
      <c r="AW54" s="1288"/>
      <c r="AX54" s="1288"/>
      <c r="AY54" s="1288"/>
      <c r="AZ54" s="1289"/>
      <c r="BA54" s="1288"/>
      <c r="BB54" s="1288"/>
      <c r="BC54" s="1288"/>
      <c r="BD54" s="1288"/>
      <c r="BE54" s="1289"/>
      <c r="BF54" s="1288"/>
      <c r="BG54" s="1288"/>
      <c r="BH54" s="1288"/>
      <c r="BI54" s="1288"/>
      <c r="BJ54" s="1289"/>
      <c r="BK54" s="1288"/>
      <c r="BL54" s="1288"/>
      <c r="BM54" s="1288"/>
      <c r="BN54" s="1288"/>
      <c r="BO54" s="1289"/>
      <c r="BP54" s="1288"/>
      <c r="BQ54" s="1288"/>
      <c r="BR54" s="1288"/>
      <c r="BS54" s="1288"/>
      <c r="BT54" s="1289"/>
      <c r="BU54" s="1288"/>
      <c r="BV54" s="1288"/>
      <c r="BW54" s="1288"/>
      <c r="BX54" s="1288"/>
      <c r="BY54" s="1289"/>
      <c r="BZ54" s="1288"/>
      <c r="CA54" s="1288"/>
      <c r="CB54" s="1288"/>
      <c r="CC54" s="1288"/>
      <c r="CD54" s="1289"/>
      <c r="CE54" s="1288"/>
      <c r="CF54" s="1288"/>
      <c r="CG54" s="1288"/>
      <c r="CH54" s="1288"/>
      <c r="CI54" s="1289"/>
      <c r="CJ54" s="1288"/>
      <c r="CK54" s="1288"/>
      <c r="CL54" s="1288"/>
      <c r="CM54" s="1288"/>
      <c r="CN54" s="1289"/>
      <c r="CO54" s="1288"/>
      <c r="CP54" s="1288"/>
      <c r="CQ54" s="1288"/>
      <c r="CR54" s="1288"/>
      <c r="CS54" s="1289"/>
      <c r="CT54" s="1288"/>
      <c r="CU54" s="1288"/>
      <c r="CV54" s="1288"/>
      <c r="CW54" s="1288"/>
      <c r="CX54" s="1289"/>
      <c r="CY54" s="1288"/>
      <c r="CZ54" s="1288"/>
      <c r="DA54" s="1288"/>
      <c r="DB54" s="1288"/>
      <c r="DC54" s="1289"/>
      <c r="DD54" s="1288">
        <f>IC!DD209</f>
      </c>
      <c r="DE54" s="1288">
        <f>IC!DE209</f>
      </c>
      <c r="DF54" s="1288">
        <f>IC!DF209</f>
      </c>
      <c r="DG54" s="1288">
        <f>IC!DG209</f>
      </c>
      <c r="DH54" s="1289">
        <f>IC!DH209</f>
      </c>
      <c r="DI54" s="1288">
        <f>IC!DI209</f>
      </c>
      <c r="DJ54" s="1288">
        <f>IC!DJ209</f>
      </c>
      <c r="DK54" s="1288">
        <f>IC!DK209</f>
      </c>
      <c r="DL54" s="1288">
        <f>IC!DL209</f>
      </c>
      <c r="DM54" s="1289">
        <f>IC!DM209</f>
      </c>
      <c r="DN54" s="1288">
        <f>IC!DN209</f>
      </c>
      <c r="DO54" s="1288">
        <f>IC!DO209</f>
      </c>
      <c r="DP54" s="1288">
        <f>IC!DP209</f>
      </c>
      <c r="DQ54" s="1288">
        <f>IC!DQ209</f>
      </c>
      <c r="DR54" s="1289">
        <f>IC!DR209</f>
      </c>
      <c r="DS54" s="1288">
        <f>IC!DS209</f>
      </c>
      <c r="DT54" s="1288">
        <f>IC!DT209</f>
      </c>
      <c r="DU54" s="1288">
        <f>IC!DU209</f>
      </c>
      <c r="DV54" s="1288">
        <f>IC!DV209</f>
      </c>
      <c r="DW54" s="1289">
        <f>IC!DW209</f>
      </c>
      <c r="DX54" s="1288">
        <f>IC!DX209</f>
      </c>
      <c r="DY54" s="1288">
        <f>IC!DY209</f>
      </c>
      <c r="DZ54" s="1288">
        <f>IC!DZ209</f>
      </c>
      <c r="EA54" s="1288">
        <f>IC!EA209</f>
      </c>
      <c r="EB54" s="1289">
        <f>IC!EB209</f>
      </c>
      <c r="EC54" s="1288">
        <f>IC!EC209</f>
      </c>
      <c r="ED54" s="1288">
        <f>IC!ED209</f>
      </c>
      <c r="EE54" s="1288">
        <f>IC!EE209</f>
      </c>
      <c r="EF54" s="1288">
        <f>IC!EF209</f>
      </c>
      <c r="EG54" s="1289">
        <f>IC!EG209</f>
      </c>
      <c r="EH54" s="1288">
        <f>IC!EH209</f>
      </c>
      <c r="EI54" s="1288">
        <f>IC!EI209</f>
      </c>
      <c r="EJ54" s="1288">
        <f>IC!EJ209</f>
      </c>
      <c r="EK54" s="1288">
        <f>IC!EK209</f>
      </c>
      <c r="EL54" s="1289">
        <f>IC!EL209</f>
      </c>
      <c r="EM54" s="1288">
        <f>IC!EM209</f>
      </c>
      <c r="EN54" s="1288">
        <f>IC!EN209</f>
      </c>
      <c r="EO54" s="1288">
        <f>IC!EO209</f>
      </c>
      <c r="EP54" s="1288">
        <f>IC!EP209</f>
      </c>
      <c r="EQ54" s="1289">
        <f>IC!EQ209</f>
      </c>
      <c r="ER54" s="1288">
        <f>IC!ER209</f>
      </c>
      <c r="ES54" s="1288">
        <f>IC!ES209</f>
      </c>
      <c r="ET54" s="1288">
        <f>IC!ET209</f>
      </c>
      <c r="EU54" s="1288">
        <f>IC!EU209</f>
      </c>
      <c r="EV54" s="1289">
        <f>IC!EV209</f>
      </c>
      <c r="EW54" s="1288">
        <f>IC!EW209</f>
      </c>
      <c r="EX54" s="1288">
        <f>IC!EX209</f>
      </c>
      <c r="EY54" s="1288">
        <f>IC!EY209</f>
      </c>
      <c r="EZ54" s="1288">
        <f>IC!EZ209</f>
      </c>
      <c r="FA54" s="1289">
        <f>IC!FA209</f>
      </c>
      <c r="FB54" s="1288">
        <f>IC!FB209</f>
      </c>
      <c r="FC54" s="1288">
        <f>IC!FC209</f>
      </c>
      <c r="FD54" s="1288">
        <f>IC!FD209</f>
      </c>
      <c r="FE54" s="1288">
        <f>IC!FE209</f>
      </c>
      <c r="FF54" s="1289">
        <f>IC!FF209</f>
      </c>
      <c r="FG54" s="1288">
        <f>IC!FG209</f>
      </c>
      <c r="FH54" s="1288">
        <f>IC!FH209</f>
      </c>
      <c r="FI54" s="1288">
        <f>IC!FI209</f>
      </c>
      <c r="FJ54" s="1288">
        <f>IC!FJ209</f>
      </c>
      <c r="FK54" s="1289">
        <f>IC!FK209</f>
      </c>
      <c r="FL54" s="1288">
        <f>IC!FL209</f>
      </c>
      <c r="FM54" s="1288">
        <f>IC!FM209</f>
      </c>
      <c r="FN54" s="1288">
        <f>IC!FN209</f>
      </c>
      <c r="FO54" s="1288">
        <f>IC!FO209</f>
      </c>
      <c r="FP54" s="1289">
        <f>IC!FP209</f>
      </c>
      <c r="FQ54" s="1288">
        <f>IC!FQ209</f>
      </c>
      <c r="FR54" s="1288">
        <f>IC!FR209</f>
      </c>
      <c r="FS54" s="1288">
        <f>IC!FS209</f>
      </c>
      <c r="FT54" s="1288">
        <f>IC!FT209</f>
      </c>
      <c r="FU54" s="1289">
        <f>IC!FU209</f>
      </c>
      <c r="FV54" s="1288">
        <f>IC!FV209</f>
      </c>
      <c r="FW54" s="1288">
        <f>IC!FW209</f>
      </c>
      <c r="FX54" s="1288">
        <f>IC!FX209</f>
      </c>
      <c r="FY54" s="1288">
        <f>IC!FY209</f>
      </c>
      <c r="FZ54" s="1289">
        <f>IC!FZ209</f>
      </c>
      <c r="GA54" s="1288">
        <f>IC!GA209</f>
      </c>
      <c r="GB54" s="1288">
        <f>IC!GB209</f>
      </c>
      <c r="GC54" s="1288">
        <f>IC!GC209</f>
      </c>
      <c r="GD54" s="1288">
        <f>IC!GD209</f>
      </c>
      <c r="GE54" s="1289">
        <f>IC!GE209</f>
      </c>
      <c r="GF54" s="1288">
        <f>IC!GF209</f>
      </c>
      <c r="GG54" s="1288">
        <f>IC!GG209</f>
      </c>
      <c r="GH54" s="1288">
        <f>IC!GH209</f>
      </c>
      <c r="GI54" s="1288">
        <f>IC!GI209</f>
      </c>
      <c r="GJ54" s="1289">
        <f>IC!GJ209</f>
      </c>
    </row>
    <row r="55" spans="1:192" s="461" customFormat="1" ht="12.75" hidden="1" customHeight="1" outlineLevel="1">
      <c r="A55" s="370"/>
      <c r="B55" s="1295" t="s">
        <v>34</v>
      </c>
      <c r="C55" s="987"/>
      <c r="D55" s="987"/>
      <c r="E55" s="987"/>
      <c r="F55" s="987"/>
      <c r="G55" s="988"/>
      <c r="H55" s="987"/>
      <c r="I55" s="987"/>
      <c r="J55" s="987"/>
      <c r="K55" s="987"/>
      <c r="L55" s="988"/>
      <c r="M55" s="987"/>
      <c r="N55" s="987"/>
      <c r="O55" s="987"/>
      <c r="P55" s="987"/>
      <c r="Q55" s="988"/>
      <c r="R55" s="989"/>
      <c r="S55" s="989"/>
      <c r="T55" s="989"/>
      <c r="U55" s="989"/>
      <c r="V55" s="988"/>
      <c r="W55" s="989"/>
      <c r="X55" s="989"/>
      <c r="Y55" s="989"/>
      <c r="Z55" s="989"/>
      <c r="AA55" s="988"/>
      <c r="AB55" s="989"/>
      <c r="AC55" s="989"/>
      <c r="AD55" s="989"/>
      <c r="AE55" s="989"/>
      <c r="AF55" s="988"/>
      <c r="AG55" s="989"/>
      <c r="AH55" s="989"/>
      <c r="AI55" s="989"/>
      <c r="AJ55" s="989"/>
      <c r="AK55" s="988"/>
      <c r="AL55" s="987"/>
      <c r="AM55" s="987"/>
      <c r="AN55" s="987"/>
      <c r="AO55" s="987"/>
      <c r="AP55" s="988"/>
      <c r="AQ55" s="987"/>
      <c r="AR55" s="987"/>
      <c r="AS55" s="987"/>
      <c r="AT55" s="987"/>
      <c r="AU55" s="988"/>
      <c r="AV55" s="987"/>
      <c r="AW55" s="987"/>
      <c r="AX55" s="987"/>
      <c r="AY55" s="987"/>
      <c r="AZ55" s="988"/>
      <c r="BA55" s="987"/>
      <c r="BB55" s="987"/>
      <c r="BC55" s="987"/>
      <c r="BD55" s="987"/>
      <c r="BE55" s="988"/>
      <c r="BF55" s="987"/>
      <c r="BG55" s="987"/>
      <c r="BH55" s="987"/>
      <c r="BI55" s="987"/>
      <c r="BJ55" s="988"/>
      <c r="BK55" s="987"/>
      <c r="BL55" s="987"/>
      <c r="BM55" s="987"/>
      <c r="BN55" s="987"/>
      <c r="BO55" s="988"/>
      <c r="BP55" s="987"/>
      <c r="BQ55" s="987"/>
      <c r="BR55" s="987"/>
      <c r="BS55" s="987"/>
      <c r="BT55" s="988"/>
      <c r="BU55" s="987"/>
      <c r="BV55" s="987"/>
      <c r="BW55" s="987"/>
      <c r="BX55" s="987"/>
      <c r="BY55" s="988"/>
      <c r="BZ55" s="987"/>
      <c r="CA55" s="987"/>
      <c r="CB55" s="987"/>
      <c r="CC55" s="987"/>
      <c r="CD55" s="988"/>
      <c r="CE55" s="987"/>
      <c r="CF55" s="987"/>
      <c r="CG55" s="987"/>
      <c r="CH55" s="987"/>
      <c r="CI55" s="988"/>
      <c r="CJ55" s="987"/>
      <c r="CK55" s="987"/>
      <c r="CL55" s="987"/>
      <c r="CM55" s="987"/>
      <c r="CN55" s="988"/>
      <c r="CO55" s="987"/>
      <c r="CP55" s="987"/>
      <c r="CQ55" s="987"/>
      <c r="CR55" s="987"/>
      <c r="CS55" s="988"/>
      <c r="CT55" s="771" t="str">
        <f t="shared" ref="CT55:DY55" si="165">IFERROR(CT54/CO54-1,"")</f>
      </c>
      <c r="CU55" s="771" t="str">
        <f t="shared" si="165"/>
      </c>
      <c r="CV55" s="771" t="str">
        <f t="shared" si="165"/>
      </c>
      <c r="CW55" s="771" t="str">
        <f t="shared" si="165"/>
      </c>
      <c r="CX55" s="1047" t="str">
        <f t="shared" si="165"/>
      </c>
      <c r="CY55" s="771" t="str">
        <f t="shared" si="165"/>
      </c>
      <c r="CZ55" s="771" t="str">
        <f t="shared" si="165"/>
      </c>
      <c r="DA55" s="771" t="str">
        <f t="shared" si="165"/>
      </c>
      <c r="DB55" s="771" t="str">
        <f t="shared" si="165"/>
      </c>
      <c r="DC55" s="1047" t="str">
        <f t="shared" si="165"/>
      </c>
      <c r="DD55" s="771" t="str">
        <f t="shared" si="165"/>
      </c>
      <c r="DE55" s="771" t="str">
        <f t="shared" si="165"/>
      </c>
      <c r="DF55" s="771" t="str">
        <f t="shared" si="165"/>
      </c>
      <c r="DG55" s="771" t="str">
        <f t="shared" si="165"/>
      </c>
      <c r="DH55" s="1047" t="str">
        <f t="shared" si="165"/>
      </c>
      <c r="DI55" s="771">
        <f t="shared" si="165"/>
      </c>
      <c r="DJ55" s="771">
        <f t="shared" si="165"/>
      </c>
      <c r="DK55" s="771">
        <f t="shared" si="165"/>
      </c>
      <c r="DL55" s="771">
        <f t="shared" si="165"/>
      </c>
      <c r="DM55" s="1047">
        <f t="shared" si="165"/>
      </c>
      <c r="DN55" s="771">
        <f t="shared" si="165"/>
      </c>
      <c r="DO55" s="771">
        <f t="shared" si="165"/>
      </c>
      <c r="DP55" s="771">
        <f t="shared" si="165"/>
      </c>
      <c r="DQ55" s="771">
        <f t="shared" si="165"/>
      </c>
      <c r="DR55" s="1047">
        <f t="shared" si="165"/>
      </c>
      <c r="DS55" s="771">
        <f t="shared" si="165"/>
      </c>
      <c r="DT55" s="771">
        <f t="shared" si="165"/>
      </c>
      <c r="DU55" s="771">
        <f t="shared" si="165"/>
      </c>
      <c r="DV55" s="771">
        <f t="shared" si="165"/>
      </c>
      <c r="DW55" s="1047">
        <f t="shared" si="165"/>
      </c>
      <c r="DX55" s="771">
        <f t="shared" si="165"/>
      </c>
      <c r="DY55" s="771">
        <f t="shared" si="165"/>
      </c>
      <c r="DZ55" s="771">
        <f t="shared" ref="DZ55:FE55" si="166">IFERROR(DZ54/DU54-1,"")</f>
      </c>
      <c r="EA55" s="771">
        <f t="shared" si="166"/>
      </c>
      <c r="EB55" s="1047">
        <f t="shared" si="166"/>
      </c>
      <c r="EC55" s="771">
        <f t="shared" si="166"/>
      </c>
      <c r="ED55" s="771">
        <f t="shared" si="166"/>
      </c>
      <c r="EE55" s="771">
        <f t="shared" si="166"/>
      </c>
      <c r="EF55" s="771">
        <f t="shared" si="166"/>
      </c>
      <c r="EG55" s="1047">
        <f t="shared" si="166"/>
      </c>
      <c r="EH55" s="771">
        <f t="shared" si="166"/>
      </c>
      <c r="EI55" s="771">
        <f t="shared" si="166"/>
      </c>
      <c r="EJ55" s="771">
        <f t="shared" si="166"/>
      </c>
      <c r="EK55" s="771">
        <f t="shared" si="166"/>
      </c>
      <c r="EL55" s="1047">
        <f t="shared" si="166"/>
      </c>
      <c r="EM55" s="771">
        <f t="shared" si="166"/>
      </c>
      <c r="EN55" s="771">
        <f t="shared" si="166"/>
      </c>
      <c r="EO55" s="771">
        <f t="shared" si="166"/>
      </c>
      <c r="EP55" s="771">
        <f t="shared" si="166"/>
      </c>
      <c r="EQ55" s="1047">
        <f t="shared" si="166"/>
      </c>
      <c r="ER55" s="771">
        <f t="shared" ref="ER55" si="167">IFERROR(ER54/EM54-1,"")</f>
      </c>
      <c r="ES55" s="771">
        <f t="shared" ref="ES55" si="168">IFERROR(ES54/EN54-1,"")</f>
      </c>
      <c r="ET55" s="771">
        <f t="shared" ref="ET55" si="169">IFERROR(ET54/EO54-1,"")</f>
      </c>
      <c r="EU55" s="771">
        <f t="shared" ref="EU55" si="170">IFERROR(EU54/EP54-1,"")</f>
      </c>
      <c r="EV55" s="1047">
        <f t="shared" ref="EV55" si="171">IFERROR(EV54/EQ54-1,"")</f>
      </c>
      <c r="EW55" s="771">
        <f t="shared" si="166"/>
      </c>
      <c r="EX55" s="771">
        <f t="shared" si="166"/>
      </c>
      <c r="EY55" s="771">
        <f t="shared" si="166"/>
      </c>
      <c r="EZ55" s="771">
        <f t="shared" ref="EZ55" si="172">IFERROR(EZ54/EU54-1,"")</f>
      </c>
      <c r="FA55" s="1047">
        <f t="shared" ref="FA55" si="173">IFERROR(FA54/EV54-1,"")</f>
      </c>
      <c r="FB55" s="771">
        <f t="shared" si="166"/>
      </c>
      <c r="FC55" s="771">
        <f t="shared" si="166"/>
      </c>
      <c r="FD55" s="771">
        <f t="shared" si="166"/>
      </c>
      <c r="FE55" s="771">
        <f t="shared" si="166"/>
      </c>
      <c r="FF55" s="1047">
        <f t="shared" ref="FF55:GE55" si="174">IFERROR(FF54/FA54-1,"")</f>
      </c>
      <c r="FG55" s="771">
        <f t="shared" si="174"/>
      </c>
      <c r="FH55" s="771">
        <f t="shared" si="174"/>
      </c>
      <c r="FI55" s="771">
        <f t="shared" si="174"/>
      </c>
      <c r="FJ55" s="771">
        <f t="shared" si="174"/>
      </c>
      <c r="FK55" s="1047">
        <f t="shared" si="174"/>
      </c>
      <c r="FL55" s="771">
        <f t="shared" si="174"/>
      </c>
      <c r="FM55" s="771">
        <f t="shared" si="174"/>
      </c>
      <c r="FN55" s="771">
        <f t="shared" si="174"/>
      </c>
      <c r="FO55" s="771">
        <f t="shared" si="174"/>
      </c>
      <c r="FP55" s="1047">
        <f t="shared" si="174"/>
      </c>
      <c r="FQ55" s="771">
        <f t="shared" si="174"/>
      </c>
      <c r="FR55" s="771">
        <f t="shared" si="174"/>
      </c>
      <c r="FS55" s="771">
        <f t="shared" si="174"/>
      </c>
      <c r="FT55" s="771">
        <f t="shared" si="174"/>
      </c>
      <c r="FU55" s="1047">
        <f t="shared" si="174"/>
      </c>
      <c r="FV55" s="771">
        <f t="shared" si="174"/>
      </c>
      <c r="FW55" s="771">
        <f t="shared" si="174"/>
      </c>
      <c r="FX55" s="771">
        <f t="shared" si="174"/>
      </c>
      <c r="FY55" s="771">
        <f t="shared" si="174"/>
      </c>
      <c r="FZ55" s="1047">
        <f t="shared" si="174"/>
      </c>
      <c r="GA55" s="771">
        <f t="shared" si="174"/>
      </c>
      <c r="GB55" s="771">
        <f t="shared" si="174"/>
      </c>
      <c r="GC55" s="771">
        <f t="shared" si="174"/>
      </c>
      <c r="GD55" s="771">
        <f t="shared" si="174"/>
      </c>
      <c r="GE55" s="1047">
        <f t="shared" si="174"/>
      </c>
      <c r="GF55" s="771">
        <f t="shared" ref="GF55" si="175">IFERROR(GF54/GA54-1,"")</f>
      </c>
      <c r="GG55" s="771">
        <f t="shared" ref="GG55" si="176">IFERROR(GG54/GB54-1,"")</f>
      </c>
      <c r="GH55" s="771">
        <f t="shared" ref="GH55" si="177">IFERROR(GH54/GC54-1,"")</f>
      </c>
      <c r="GI55" s="771">
        <f t="shared" ref="GI55" si="178">IFERROR(GI54/GD54-1,"")</f>
      </c>
      <c r="GJ55" s="1047">
        <f t="shared" ref="GJ55" si="179">IFERROR(GJ54/GE54-1,"")</f>
      </c>
    </row>
    <row r="56" spans="1:192" s="461" customFormat="1" ht="12.75" hidden="1" customHeight="1" outlineLevel="1">
      <c r="A56" s="370"/>
      <c r="B56" s="1295" t="s">
        <v>36</v>
      </c>
      <c r="C56" s="987"/>
      <c r="D56" s="987"/>
      <c r="E56" s="987"/>
      <c r="F56" s="987"/>
      <c r="G56" s="988"/>
      <c r="H56" s="987"/>
      <c r="I56" s="987"/>
      <c r="J56" s="987"/>
      <c r="K56" s="987"/>
      <c r="L56" s="988"/>
      <c r="M56" s="987"/>
      <c r="N56" s="987"/>
      <c r="O56" s="987"/>
      <c r="P56" s="987"/>
      <c r="Q56" s="988"/>
      <c r="R56" s="989"/>
      <c r="S56" s="989"/>
      <c r="T56" s="989"/>
      <c r="U56" s="989"/>
      <c r="V56" s="988"/>
      <c r="W56" s="989"/>
      <c r="X56" s="989"/>
      <c r="Y56" s="989"/>
      <c r="Z56" s="989"/>
      <c r="AA56" s="988"/>
      <c r="AB56" s="989"/>
      <c r="AC56" s="989"/>
      <c r="AD56" s="989"/>
      <c r="AE56" s="989"/>
      <c r="AF56" s="988"/>
      <c r="AG56" s="989"/>
      <c r="AH56" s="989"/>
      <c r="AI56" s="989"/>
      <c r="AJ56" s="989"/>
      <c r="AK56" s="988"/>
      <c r="AL56" s="987"/>
      <c r="AM56" s="987"/>
      <c r="AN56" s="987"/>
      <c r="AO56" s="987"/>
      <c r="AP56" s="988"/>
      <c r="AQ56" s="987"/>
      <c r="AR56" s="987"/>
      <c r="AS56" s="987"/>
      <c r="AT56" s="987"/>
      <c r="AU56" s="988"/>
      <c r="AV56" s="987"/>
      <c r="AW56" s="987"/>
      <c r="AX56" s="987"/>
      <c r="AY56" s="987"/>
      <c r="AZ56" s="988"/>
      <c r="BA56" s="987"/>
      <c r="BB56" s="987"/>
      <c r="BC56" s="987"/>
      <c r="BD56" s="987"/>
      <c r="BE56" s="988"/>
      <c r="BF56" s="987"/>
      <c r="BG56" s="987"/>
      <c r="BH56" s="987"/>
      <c r="BI56" s="987"/>
      <c r="BJ56" s="988"/>
      <c r="BK56" s="987"/>
      <c r="BL56" s="987"/>
      <c r="BM56" s="987"/>
      <c r="BN56" s="987"/>
      <c r="BO56" s="988"/>
      <c r="BP56" s="987"/>
      <c r="BQ56" s="987"/>
      <c r="BR56" s="987"/>
      <c r="BS56" s="987"/>
      <c r="BT56" s="988"/>
      <c r="BU56" s="987"/>
      <c r="BV56" s="987"/>
      <c r="BW56" s="987"/>
      <c r="BX56" s="987"/>
      <c r="BY56" s="988"/>
      <c r="BZ56" s="987"/>
      <c r="CA56" s="987"/>
      <c r="CB56" s="987"/>
      <c r="CC56" s="987"/>
      <c r="CD56" s="988"/>
      <c r="CE56" s="987"/>
      <c r="CF56" s="987"/>
      <c r="CG56" s="987"/>
      <c r="CH56" s="987"/>
      <c r="CI56" s="988"/>
      <c r="CJ56" s="987"/>
      <c r="CK56" s="987"/>
      <c r="CL56" s="987"/>
      <c r="CM56" s="987"/>
      <c r="CN56" s="988"/>
      <c r="CO56" s="987"/>
      <c r="CP56" s="987"/>
      <c r="CQ56" s="987"/>
      <c r="CR56" s="987"/>
      <c r="CS56" s="988"/>
      <c r="CT56" s="771" t="str">
        <f>IFERROR(CT54/CR54-1,"")</f>
      </c>
      <c r="CU56" s="1283" t="str">
        <f>IFERROR(CU54/CT54-1,"")</f>
      </c>
      <c r="CV56" s="1283" t="str">
        <f>IFERROR(CV54/CU54-1,"")</f>
      </c>
      <c r="CW56" s="1283" t="str">
        <f>IFERROR(CW54/CV54-1,"")</f>
      </c>
      <c r="CX56" s="991"/>
      <c r="CY56" s="771" t="str">
        <f>IFERROR(CY54/CW54-1,"")</f>
      </c>
      <c r="CZ56" s="1283" t="str">
        <f>IFERROR(CZ54/CY54-1,"")</f>
      </c>
      <c r="DA56" s="1283" t="str">
        <f>IFERROR(DA54/CZ54-1,"")</f>
      </c>
      <c r="DB56" s="1283" t="str">
        <f>IFERROR(DB54/DA54-1,"")</f>
      </c>
      <c r="DC56" s="991"/>
      <c r="DD56" s="771" t="str">
        <f>IFERROR(DD54/DB54-1,"")</f>
      </c>
      <c r="DE56" s="1283">
        <f>IFERROR(DE54/DD54-1,"")</f>
      </c>
      <c r="DF56" s="1283">
        <f>IFERROR(DF54/DE54-1,"")</f>
      </c>
      <c r="DG56" s="1283">
        <f>IFERROR(DG54/DF54-1,"")</f>
      </c>
      <c r="DH56" s="991"/>
      <c r="DI56" s="771">
        <f>IFERROR(DI54/DG54-1,"")</f>
      </c>
      <c r="DJ56" s="1283">
        <f>IFERROR(DJ54/DI54-1,"")</f>
      </c>
      <c r="DK56" s="1283">
        <f>IFERROR(DK54/DJ54-1,"")</f>
      </c>
      <c r="DL56" s="1283">
        <f>IFERROR(DL54/DK54-1,"")</f>
      </c>
      <c r="DM56" s="991"/>
      <c r="DN56" s="771">
        <f>IFERROR(DN54/DL54-1,"")</f>
      </c>
      <c r="DO56" s="1283">
        <f>IFERROR(DO54/DN54-1,"")</f>
      </c>
      <c r="DP56" s="1283">
        <f>IFERROR(DP54/DO54-1,"")</f>
      </c>
      <c r="DQ56" s="1283">
        <f>IFERROR(DQ54/DP54-1,"")</f>
      </c>
      <c r="DR56" s="991"/>
      <c r="DS56" s="771">
        <f>IFERROR(DS54/DQ54-1,"")</f>
      </c>
      <c r="DT56" s="1283">
        <f>IFERROR(DT54/DS54-1,"")</f>
      </c>
      <c r="DU56" s="1283">
        <f>IFERROR(DU54/DT54-1,"")</f>
      </c>
      <c r="DV56" s="1283">
        <f>IFERROR(DV54/DU54-1,"")</f>
      </c>
      <c r="DW56" s="991"/>
      <c r="DX56" s="771">
        <f>IFERROR(DX54/DV54-1,"")</f>
      </c>
      <c r="DY56" s="1283">
        <f>IFERROR(DY54/DX54-1,"")</f>
      </c>
      <c r="DZ56" s="1283">
        <f>IFERROR(DZ54/DY54-1,"")</f>
      </c>
      <c r="EA56" s="1283">
        <f>IFERROR(EA54/DZ54-1,"")</f>
      </c>
      <c r="EB56" s="991"/>
      <c r="EC56" s="771">
        <f>IFERROR(EC54/EA54-1,"")</f>
      </c>
      <c r="ED56" s="1283">
        <f>IFERROR(ED54/EC54-1,"")</f>
      </c>
      <c r="EE56" s="1283">
        <f>IFERROR(EE54/ED54-1,"")</f>
      </c>
      <c r="EF56" s="1283">
        <f>IFERROR(EF54/EE54-1,"")</f>
      </c>
      <c r="EG56" s="991"/>
      <c r="EH56" s="771">
        <f>IFERROR(EH54/EF54-1,"")</f>
      </c>
      <c r="EI56" s="1283">
        <f>IFERROR(EI54/EH54-1,"")</f>
      </c>
      <c r="EJ56" s="1283">
        <f>IFERROR(EJ54/EI54-1,"")</f>
      </c>
      <c r="EK56" s="1283">
        <f>IFERROR(EK54/EJ54-1,"")</f>
      </c>
      <c r="EL56" s="991"/>
      <c r="EM56" s="771">
        <f>IFERROR(EM54/EK54-1,"")</f>
      </c>
      <c r="EN56" s="1283">
        <f>IFERROR(EN54/EM54-1,"")</f>
      </c>
      <c r="EO56" s="1283">
        <f>IFERROR(EO54/EN54-1,"")</f>
      </c>
      <c r="EP56" s="1283">
        <f>IFERROR(EP54/EO54-1,"")</f>
      </c>
      <c r="EQ56" s="991"/>
      <c r="ER56" s="771">
        <f>IFERROR(ER54/EP54-1,"")</f>
      </c>
      <c r="ES56" s="1283">
        <f>IFERROR(ES54/ER54-1,"")</f>
      </c>
      <c r="ET56" s="1283">
        <f>IFERROR(ET54/ES54-1,"")</f>
      </c>
      <c r="EU56" s="1283">
        <f>IFERROR(EU54/ET54-1,"")</f>
      </c>
      <c r="EV56" s="991"/>
      <c r="EW56" s="771">
        <f>IFERROR(EW54/EU54-1,"")</f>
      </c>
      <c r="EX56" s="1283">
        <f>IFERROR(EX54/EW54-1,"")</f>
      </c>
      <c r="EY56" s="1283">
        <f>IFERROR(EY54/EX54-1,"")</f>
      </c>
      <c r="EZ56" s="1283">
        <f>IFERROR(EZ54/EY54-1,"")</f>
      </c>
      <c r="FA56" s="991"/>
      <c r="FB56" s="771">
        <f>IFERROR(FB54/EZ54-1,"")</f>
      </c>
      <c r="FC56" s="1283">
        <f>IFERROR(FC54/FB54-1,"")</f>
      </c>
      <c r="FD56" s="1283">
        <f>IFERROR(FD54/FC54-1,"")</f>
      </c>
      <c r="FE56" s="1283">
        <f>IFERROR(FE54/FD54-1,"")</f>
      </c>
      <c r="FF56" s="991"/>
      <c r="FG56" s="771">
        <f>IFERROR(FG54/FE54-1,"")</f>
      </c>
      <c r="FH56" s="1283">
        <f>IFERROR(FH54/FG54-1,"")</f>
      </c>
      <c r="FI56" s="1283">
        <f>IFERROR(FI54/FH54-1,"")</f>
      </c>
      <c r="FJ56" s="1283">
        <f>IFERROR(FJ54/FI54-1,"")</f>
      </c>
      <c r="FK56" s="991"/>
      <c r="FL56" s="771">
        <f>IFERROR(FL54/FJ54-1,"")</f>
      </c>
      <c r="FM56" s="1283">
        <f>IFERROR(FM54/FL54-1,"")</f>
      </c>
      <c r="FN56" s="1283">
        <f>IFERROR(FN54/FM54-1,"")</f>
      </c>
      <c r="FO56" s="1283">
        <f>IFERROR(FO54/FN54-1,"")</f>
      </c>
      <c r="FP56" s="991"/>
      <c r="FQ56" s="771">
        <f>IFERROR(FQ54/FO54-1,"")</f>
      </c>
      <c r="FR56" s="1283">
        <f>IFERROR(FR54/FQ54-1,"")</f>
      </c>
      <c r="FS56" s="1283">
        <f>IFERROR(FS54/FR54-1,"")</f>
      </c>
      <c r="FT56" s="1283">
        <f>IFERROR(FT54/FS54-1,"")</f>
      </c>
      <c r="FU56" s="991"/>
      <c r="FV56" s="771">
        <f>IFERROR(FV54/FT54-1,"")</f>
      </c>
      <c r="FW56" s="1283">
        <f>IFERROR(FW54/FV54-1,"")</f>
      </c>
      <c r="FX56" s="1283">
        <f>IFERROR(FX54/FW54-1,"")</f>
      </c>
      <c r="FY56" s="1283">
        <f>IFERROR(FY54/FX54-1,"")</f>
      </c>
      <c r="FZ56" s="991"/>
      <c r="GA56" s="771">
        <f>IFERROR(GA54/FY54-1,"")</f>
      </c>
      <c r="GB56" s="1283">
        <f>IFERROR(GB54/GA54-1,"")</f>
      </c>
      <c r="GC56" s="1283">
        <f>IFERROR(GC54/GB54-1,"")</f>
      </c>
      <c r="GD56" s="1283">
        <f>IFERROR(GD54/GC54-1,"")</f>
      </c>
      <c r="GE56" s="991"/>
      <c r="GF56" s="771">
        <f>IFERROR(GF54/GD54-1,"")</f>
      </c>
      <c r="GG56" s="1283">
        <f>IFERROR(GG54/GF54-1,"")</f>
      </c>
      <c r="GH56" s="1283">
        <f>IFERROR(GH54/GG54-1,"")</f>
      </c>
      <c r="GI56" s="1283">
        <f>IFERROR(GI54/GH54-1,"")</f>
      </c>
      <c r="GJ56" s="991"/>
    </row>
    <row r="57" spans="1:192" s="461" customFormat="1" ht="12.75" hidden="1" customHeight="1" outlineLevel="1">
      <c r="A57" s="370"/>
      <c r="B57" s="1295" t="s">
        <v>1864</v>
      </c>
      <c r="C57" s="987"/>
      <c r="D57" s="987"/>
      <c r="E57" s="987"/>
      <c r="F57" s="987"/>
      <c r="G57" s="988"/>
      <c r="H57" s="987"/>
      <c r="I57" s="987"/>
      <c r="J57" s="987"/>
      <c r="K57" s="987"/>
      <c r="L57" s="988"/>
      <c r="M57" s="987"/>
      <c r="N57" s="987"/>
      <c r="O57" s="987"/>
      <c r="P57" s="987"/>
      <c r="Q57" s="988"/>
      <c r="R57" s="989"/>
      <c r="S57" s="989"/>
      <c r="T57" s="989"/>
      <c r="U57" s="989"/>
      <c r="V57" s="988"/>
      <c r="W57" s="989"/>
      <c r="X57" s="989"/>
      <c r="Y57" s="989"/>
      <c r="Z57" s="989"/>
      <c r="AA57" s="988"/>
      <c r="AB57" s="989"/>
      <c r="AC57" s="989"/>
      <c r="AD57" s="989"/>
      <c r="AE57" s="989"/>
      <c r="AF57" s="988"/>
      <c r="AG57" s="989"/>
      <c r="AH57" s="989"/>
      <c r="AI57" s="989"/>
      <c r="AJ57" s="989"/>
      <c r="AK57" s="988"/>
      <c r="AL57" s="987"/>
      <c r="AM57" s="987"/>
      <c r="AN57" s="987"/>
      <c r="AO57" s="987"/>
      <c r="AP57" s="988"/>
      <c r="AQ57" s="987"/>
      <c r="AR57" s="987"/>
      <c r="AS57" s="987"/>
      <c r="AT57" s="987"/>
      <c r="AU57" s="988"/>
      <c r="AV57" s="987"/>
      <c r="AW57" s="987"/>
      <c r="AX57" s="987"/>
      <c r="AY57" s="987"/>
      <c r="AZ57" s="988"/>
      <c r="BA57" s="987"/>
      <c r="BB57" s="987"/>
      <c r="BC57" s="987"/>
      <c r="BD57" s="987"/>
      <c r="BE57" s="988"/>
      <c r="BF57" s="987"/>
      <c r="BG57" s="987"/>
      <c r="BH57" s="987"/>
      <c r="BI57" s="987"/>
      <c r="BJ57" s="988"/>
      <c r="BK57" s="987"/>
      <c r="BL57" s="987"/>
      <c r="BM57" s="987"/>
      <c r="BN57" s="987"/>
      <c r="BO57" s="988"/>
      <c r="BP57" s="987"/>
      <c r="BQ57" s="987"/>
      <c r="BR57" s="987"/>
      <c r="BS57" s="987"/>
      <c r="BT57" s="988"/>
      <c r="BU57" s="987"/>
      <c r="BV57" s="987"/>
      <c r="BW57" s="987"/>
      <c r="BX57" s="987"/>
      <c r="BY57" s="988"/>
      <c r="BZ57" s="987"/>
      <c r="CA57" s="987"/>
      <c r="CB57" s="987"/>
      <c r="CC57" s="987"/>
      <c r="CD57" s="988"/>
      <c r="CE57" s="987"/>
      <c r="CF57" s="987"/>
      <c r="CG57" s="987"/>
      <c r="CH57" s="987"/>
      <c r="CI57" s="988"/>
      <c r="CJ57" s="987"/>
      <c r="CK57" s="987"/>
      <c r="CL57" s="987"/>
      <c r="CM57" s="987"/>
      <c r="CN57" s="988"/>
      <c r="CO57" s="987"/>
      <c r="CP57" s="987"/>
      <c r="CQ57" s="987"/>
      <c r="CR57" s="987"/>
      <c r="CS57" s="988"/>
      <c r="CT57" s="987"/>
      <c r="CU57" s="987"/>
      <c r="CV57" s="987"/>
      <c r="CW57" s="987"/>
      <c r="CX57" s="988"/>
      <c r="CY57" s="1290"/>
      <c r="CZ57" s="1290"/>
      <c r="DA57" s="1290"/>
      <c r="DB57" s="1290"/>
      <c r="DC57" s="1291"/>
      <c r="DD57" s="1290">
        <f t="shared" ref="DD57:FJ57" si="180">DD54/DD$44</f>
      </c>
      <c r="DE57" s="1290">
        <f t="shared" si="180"/>
      </c>
      <c r="DF57" s="1290">
        <f t="shared" si="180"/>
      </c>
      <c r="DG57" s="1290">
        <f t="shared" si="180"/>
      </c>
      <c r="DH57" s="1291">
        <f t="shared" si="180"/>
      </c>
      <c r="DI57" s="1290">
        <f t="shared" si="180"/>
      </c>
      <c r="DJ57" s="1290">
        <f t="shared" si="180"/>
      </c>
      <c r="DK57" s="1290">
        <f t="shared" si="180"/>
      </c>
      <c r="DL57" s="1290">
        <f t="shared" si="180"/>
      </c>
      <c r="DM57" s="1291">
        <f t="shared" si="180"/>
      </c>
      <c r="DN57" s="1290">
        <f t="shared" si="180"/>
      </c>
      <c r="DO57" s="1290">
        <f t="shared" si="180"/>
      </c>
      <c r="DP57" s="1290">
        <f t="shared" si="180"/>
      </c>
      <c r="DQ57" s="1290">
        <f t="shared" si="180"/>
      </c>
      <c r="DR57" s="1291">
        <f t="shared" si="180"/>
      </c>
      <c r="DS57" s="1290">
        <f t="shared" si="180"/>
      </c>
      <c r="DT57" s="1290">
        <f t="shared" si="180"/>
      </c>
      <c r="DU57" s="1290">
        <f t="shared" si="180"/>
      </c>
      <c r="DV57" s="1290">
        <f t="shared" si="180"/>
      </c>
      <c r="DW57" s="1291">
        <f t="shared" si="180"/>
      </c>
      <c r="DX57" s="1290">
        <f t="shared" si="180"/>
      </c>
      <c r="DY57" s="1290">
        <f t="shared" si="180"/>
      </c>
      <c r="DZ57" s="1290">
        <f t="shared" si="180"/>
      </c>
      <c r="EA57" s="1290">
        <f t="shared" si="180"/>
      </c>
      <c r="EB57" s="1291">
        <f t="shared" si="180"/>
      </c>
      <c r="EC57" s="1290">
        <f t="shared" si="180"/>
      </c>
      <c r="ED57" s="1290">
        <f t="shared" si="180"/>
      </c>
      <c r="EE57" s="1290">
        <f t="shared" si="180"/>
      </c>
      <c r="EF57" s="1290">
        <f t="shared" si="180"/>
      </c>
      <c r="EG57" s="1291">
        <f t="shared" si="180"/>
      </c>
      <c r="EH57" s="1290">
        <f t="shared" si="180"/>
      </c>
      <c r="EI57" s="1290">
        <f t="shared" si="180"/>
      </c>
      <c r="EJ57" s="1290">
        <f t="shared" si="180"/>
      </c>
      <c r="EK57" s="1290">
        <f t="shared" si="180"/>
      </c>
      <c r="EL57" s="1291">
        <f t="shared" si="180"/>
      </c>
      <c r="EM57" s="1290">
        <f t="shared" si="180"/>
      </c>
      <c r="EN57" s="1290">
        <f t="shared" si="180"/>
      </c>
      <c r="EO57" s="1290">
        <f t="shared" si="180"/>
      </c>
      <c r="EP57" s="1290">
        <f t="shared" si="180"/>
      </c>
      <c r="EQ57" s="1291">
        <f t="shared" si="180"/>
      </c>
      <c r="ER57" s="1290">
        <f t="shared" ref="ER57:EV57" si="181">ER54/ER$44</f>
      </c>
      <c r="ES57" s="1290">
        <f t="shared" si="181"/>
      </c>
      <c r="ET57" s="1290">
        <f t="shared" si="181"/>
      </c>
      <c r="EU57" s="1290">
        <f t="shared" si="181"/>
      </c>
      <c r="EV57" s="1291">
        <f t="shared" si="181"/>
      </c>
      <c r="EW57" s="1290">
        <f t="shared" si="180"/>
      </c>
      <c r="EX57" s="1290">
        <f t="shared" si="180"/>
      </c>
      <c r="EY57" s="1290">
        <f t="shared" si="180"/>
      </c>
      <c r="EZ57" s="1290">
        <f t="shared" si="180"/>
      </c>
      <c r="FA57" s="1291">
        <f t="shared" si="180"/>
      </c>
      <c r="FB57" s="1290">
        <f t="shared" si="180"/>
      </c>
      <c r="FC57" s="1290">
        <f t="shared" si="180"/>
      </c>
      <c r="FD57" s="1290">
        <f t="shared" si="180"/>
      </c>
      <c r="FE57" s="1290">
        <f t="shared" si="180"/>
      </c>
      <c r="FF57" s="1291">
        <f t="shared" si="180"/>
      </c>
      <c r="FG57" s="1290">
        <f t="shared" si="180"/>
      </c>
      <c r="FH57" s="1290">
        <f t="shared" si="180"/>
      </c>
      <c r="FI57" s="1290">
        <f t="shared" si="180"/>
      </c>
      <c r="FJ57" s="1290">
        <f t="shared" si="180"/>
      </c>
      <c r="FK57" s="1291">
        <f t="shared" ref="FK57:FZ57" si="182">FK54/FK$44</f>
      </c>
      <c r="FL57" s="1290">
        <f t="shared" si="182"/>
      </c>
      <c r="FM57" s="1290">
        <f t="shared" si="182"/>
      </c>
      <c r="FN57" s="1290">
        <f t="shared" si="182"/>
      </c>
      <c r="FO57" s="1290">
        <f t="shared" si="182"/>
      </c>
      <c r="FP57" s="1291">
        <f t="shared" si="182"/>
      </c>
      <c r="FQ57" s="1290">
        <f t="shared" si="182"/>
      </c>
      <c r="FR57" s="1290">
        <f t="shared" si="182"/>
      </c>
      <c r="FS57" s="1290">
        <f t="shared" si="182"/>
      </c>
      <c r="FT57" s="1290">
        <f t="shared" si="182"/>
      </c>
      <c r="FU57" s="1291">
        <f t="shared" si="182"/>
      </c>
      <c r="FV57" s="1290">
        <f t="shared" si="182"/>
      </c>
      <c r="FW57" s="1290">
        <f t="shared" si="182"/>
      </c>
      <c r="FX57" s="1290">
        <f t="shared" si="182"/>
      </c>
      <c r="FY57" s="1290">
        <f t="shared" si="182"/>
      </c>
      <c r="FZ57" s="1291">
        <f t="shared" si="182"/>
      </c>
      <c r="GA57" s="1290">
        <f t="shared" ref="GA57:GJ57" si="183">GA54/GA$44</f>
      </c>
      <c r="GB57" s="1290">
        <f t="shared" si="183"/>
      </c>
      <c r="GC57" s="1290">
        <f t="shared" si="183"/>
      </c>
      <c r="GD57" s="1290">
        <f t="shared" si="183"/>
      </c>
      <c r="GE57" s="1291">
        <f t="shared" si="183"/>
      </c>
      <c r="GF57" s="1290">
        <f t="shared" si="183"/>
      </c>
      <c r="GG57" s="1290">
        <f t="shared" si="183"/>
      </c>
      <c r="GH57" s="1290">
        <f t="shared" si="183"/>
      </c>
      <c r="GI57" s="1290">
        <f t="shared" si="183"/>
      </c>
      <c r="GJ57" s="1291">
        <f t="shared" si="183"/>
      </c>
    </row>
    <row r="58" spans="1:192" s="461" customFormat="1" ht="12.75" hidden="1" customHeight="1" outlineLevel="1">
      <c r="A58" s="370"/>
      <c r="B58" s="1295"/>
      <c r="C58" s="987"/>
      <c r="D58" s="987"/>
      <c r="E58" s="987"/>
      <c r="F58" s="987"/>
      <c r="G58" s="988"/>
      <c r="H58" s="987"/>
      <c r="I58" s="987"/>
      <c r="J58" s="987"/>
      <c r="K58" s="987"/>
      <c r="L58" s="988"/>
      <c r="M58" s="987"/>
      <c r="N58" s="987"/>
      <c r="O58" s="987"/>
      <c r="P58" s="987"/>
      <c r="Q58" s="988"/>
      <c r="R58" s="989"/>
      <c r="S58" s="989"/>
      <c r="T58" s="989"/>
      <c r="U58" s="989"/>
      <c r="V58" s="988"/>
      <c r="W58" s="989"/>
      <c r="X58" s="989"/>
      <c r="Y58" s="989"/>
      <c r="Z58" s="989"/>
      <c r="AA58" s="988"/>
      <c r="AB58" s="989"/>
      <c r="AC58" s="989"/>
      <c r="AD58" s="989"/>
      <c r="AE58" s="989"/>
      <c r="AF58" s="988"/>
      <c r="AG58" s="989"/>
      <c r="AH58" s="989"/>
      <c r="AI58" s="989"/>
      <c r="AJ58" s="989"/>
      <c r="AK58" s="988"/>
      <c r="AL58" s="987"/>
      <c r="AM58" s="987"/>
      <c r="AN58" s="987"/>
      <c r="AO58" s="987"/>
      <c r="AP58" s="988"/>
      <c r="AQ58" s="987"/>
      <c r="AR58" s="987"/>
      <c r="AS58" s="987"/>
      <c r="AT58" s="987"/>
      <c r="AU58" s="988"/>
      <c r="AV58" s="987"/>
      <c r="AW58" s="987"/>
      <c r="AX58" s="987"/>
      <c r="AY58" s="987"/>
      <c r="AZ58" s="988"/>
      <c r="BA58" s="987"/>
      <c r="BB58" s="987"/>
      <c r="BC58" s="987"/>
      <c r="BD58" s="987"/>
      <c r="BE58" s="988"/>
      <c r="BF58" s="987"/>
      <c r="BG58" s="987"/>
      <c r="BH58" s="987"/>
      <c r="BI58" s="987"/>
      <c r="BJ58" s="988"/>
      <c r="BK58" s="987"/>
      <c r="BL58" s="987"/>
      <c r="BM58" s="987"/>
      <c r="BN58" s="987"/>
      <c r="BO58" s="988"/>
      <c r="BP58" s="987"/>
      <c r="BQ58" s="987"/>
      <c r="BR58" s="987"/>
      <c r="BS58" s="987"/>
      <c r="BT58" s="988"/>
      <c r="BU58" s="987"/>
      <c r="BV58" s="987"/>
      <c r="BW58" s="987"/>
      <c r="BX58" s="987"/>
      <c r="BY58" s="988"/>
      <c r="BZ58" s="987"/>
      <c r="CA58" s="987"/>
      <c r="CB58" s="987"/>
      <c r="CC58" s="987"/>
      <c r="CD58" s="988"/>
      <c r="CE58" s="987"/>
      <c r="CF58" s="987"/>
      <c r="CG58" s="987"/>
      <c r="CH58" s="987"/>
      <c r="CI58" s="988"/>
      <c r="CJ58" s="987"/>
      <c r="CK58" s="987"/>
      <c r="CL58" s="987"/>
      <c r="CM58" s="987"/>
      <c r="CN58" s="988"/>
      <c r="CO58" s="987"/>
      <c r="CP58" s="987"/>
      <c r="CQ58" s="987"/>
      <c r="CR58" s="987"/>
      <c r="CS58" s="988"/>
      <c r="CT58" s="987"/>
      <c r="CU58" s="987"/>
      <c r="CV58" s="987"/>
      <c r="CW58" s="987"/>
      <c r="CX58" s="988"/>
      <c r="CY58" s="990"/>
      <c r="CZ58" s="990"/>
      <c r="DA58" s="990"/>
      <c r="DB58" s="990"/>
      <c r="DC58" s="991"/>
      <c r="DD58" s="990"/>
      <c r="DE58" s="990"/>
      <c r="DF58" s="990"/>
      <c r="DG58" s="990"/>
      <c r="DH58" s="991"/>
      <c r="DI58" s="990"/>
      <c r="DJ58" s="990"/>
      <c r="DK58" s="990"/>
      <c r="DL58" s="990"/>
      <c r="DM58" s="991"/>
      <c r="DN58" s="990"/>
      <c r="DO58" s="990"/>
      <c r="DP58" s="990"/>
      <c r="DQ58" s="990"/>
      <c r="DR58" s="991"/>
      <c r="DS58" s="990"/>
      <c r="DT58" s="990"/>
      <c r="DU58" s="990"/>
      <c r="DV58" s="990"/>
      <c r="DW58" s="991"/>
      <c r="DX58" s="990"/>
      <c r="DY58" s="990"/>
      <c r="DZ58" s="990"/>
      <c r="EA58" s="990"/>
      <c r="EB58" s="991"/>
      <c r="EC58" s="990"/>
      <c r="ED58" s="990"/>
      <c r="EE58" s="990"/>
      <c r="EF58" s="990"/>
      <c r="EG58" s="991"/>
      <c r="EH58" s="990"/>
      <c r="EI58" s="990"/>
      <c r="EJ58" s="990"/>
      <c r="EK58" s="990"/>
      <c r="EL58" s="991"/>
      <c r="EM58" s="990"/>
      <c r="EN58" s="990"/>
      <c r="EO58" s="990"/>
      <c r="EP58" s="990"/>
      <c r="EQ58" s="991"/>
      <c r="ER58" s="990"/>
      <c r="ES58" s="990"/>
      <c r="ET58" s="990"/>
      <c r="EU58" s="990"/>
      <c r="EV58" s="991"/>
      <c r="EW58" s="990"/>
      <c r="EX58" s="990"/>
      <c r="EY58" s="990"/>
      <c r="EZ58" s="990"/>
      <c r="FA58" s="991"/>
      <c r="FB58" s="990"/>
      <c r="FC58" s="990"/>
      <c r="FD58" s="990"/>
      <c r="FE58" s="990"/>
      <c r="FF58" s="991"/>
      <c r="FG58" s="990"/>
      <c r="FH58" s="990"/>
      <c r="FI58" s="990"/>
      <c r="FJ58" s="990"/>
      <c r="FK58" s="991"/>
      <c r="FL58" s="990"/>
      <c r="FM58" s="990"/>
      <c r="FN58" s="990"/>
      <c r="FO58" s="990"/>
      <c r="FP58" s="991"/>
      <c r="FQ58" s="990"/>
      <c r="FR58" s="990"/>
      <c r="FS58" s="990"/>
      <c r="FT58" s="990"/>
      <c r="FU58" s="991"/>
      <c r="FV58" s="990"/>
      <c r="FW58" s="990"/>
      <c r="FX58" s="990"/>
      <c r="FY58" s="990"/>
      <c r="FZ58" s="991"/>
      <c r="GA58" s="990"/>
      <c r="GB58" s="990"/>
      <c r="GC58" s="990"/>
      <c r="GD58" s="990"/>
      <c r="GE58" s="991"/>
      <c r="GF58" s="990"/>
      <c r="GG58" s="990"/>
      <c r="GH58" s="990"/>
      <c r="GI58" s="990"/>
      <c r="GJ58" s="991"/>
    </row>
    <row r="59" spans="1:192" s="1292" customFormat="1" ht="12.75" hidden="1" customHeight="1" outlineLevel="1">
      <c r="B59" s="1294" t="s">
        <v>1862</v>
      </c>
      <c r="C59" s="1288"/>
      <c r="D59" s="1288"/>
      <c r="E59" s="1288"/>
      <c r="F59" s="1288"/>
      <c r="G59" s="1289"/>
      <c r="H59" s="1288"/>
      <c r="I59" s="1288"/>
      <c r="J59" s="1288"/>
      <c r="K59" s="1288"/>
      <c r="L59" s="1289"/>
      <c r="M59" s="1288"/>
      <c r="N59" s="1288"/>
      <c r="O59" s="1288"/>
      <c r="P59" s="1288"/>
      <c r="Q59" s="1289"/>
      <c r="R59" s="1293"/>
      <c r="S59" s="1293"/>
      <c r="T59" s="1293"/>
      <c r="U59" s="1293"/>
      <c r="V59" s="1289"/>
      <c r="W59" s="1293"/>
      <c r="X59" s="1293"/>
      <c r="Y59" s="1293"/>
      <c r="Z59" s="1293"/>
      <c r="AA59" s="1289"/>
      <c r="AB59" s="1293"/>
      <c r="AC59" s="1293"/>
      <c r="AD59" s="1293"/>
      <c r="AE59" s="1293"/>
      <c r="AF59" s="1289"/>
      <c r="AG59" s="1293"/>
      <c r="AH59" s="1293"/>
      <c r="AI59" s="1293"/>
      <c r="AJ59" s="1293"/>
      <c r="AK59" s="1289"/>
      <c r="AL59" s="1288"/>
      <c r="AM59" s="1288"/>
      <c r="AN59" s="1288"/>
      <c r="AO59" s="1288"/>
      <c r="AP59" s="1289"/>
      <c r="AQ59" s="1288"/>
      <c r="AR59" s="1288"/>
      <c r="AS59" s="1288"/>
      <c r="AT59" s="1288"/>
      <c r="AU59" s="1289"/>
      <c r="AV59" s="1288"/>
      <c r="AW59" s="1288"/>
      <c r="AX59" s="1288"/>
      <c r="AY59" s="1288"/>
      <c r="AZ59" s="1289"/>
      <c r="BA59" s="1288"/>
      <c r="BB59" s="1288"/>
      <c r="BC59" s="1288"/>
      <c r="BD59" s="1288"/>
      <c r="BE59" s="1289"/>
      <c r="BF59" s="1288"/>
      <c r="BG59" s="1288"/>
      <c r="BH59" s="1288"/>
      <c r="BI59" s="1288"/>
      <c r="BJ59" s="1289"/>
      <c r="BK59" s="1288"/>
      <c r="BL59" s="1288"/>
      <c r="BM59" s="1288"/>
      <c r="BN59" s="1288"/>
      <c r="BO59" s="1289"/>
      <c r="BP59" s="1288"/>
      <c r="BQ59" s="1288"/>
      <c r="BR59" s="1288"/>
      <c r="BS59" s="1288"/>
      <c r="BT59" s="1289"/>
      <c r="BU59" s="1288"/>
      <c r="BV59" s="1288"/>
      <c r="BW59" s="1288"/>
      <c r="BX59" s="1288"/>
      <c r="BY59" s="1289"/>
      <c r="BZ59" s="1288"/>
      <c r="CA59" s="1288"/>
      <c r="CB59" s="1288"/>
      <c r="CC59" s="1288"/>
      <c r="CD59" s="1289"/>
      <c r="CE59" s="1288"/>
      <c r="CF59" s="1288"/>
      <c r="CG59" s="1288"/>
      <c r="CH59" s="1288"/>
      <c r="CI59" s="1289"/>
      <c r="CJ59" s="1288"/>
      <c r="CK59" s="1288"/>
      <c r="CL59" s="1288"/>
      <c r="CM59" s="1288"/>
      <c r="CN59" s="1289"/>
      <c r="CO59" s="1288"/>
      <c r="CP59" s="1288"/>
      <c r="CQ59" s="1288"/>
      <c r="CR59" s="1288"/>
      <c r="CS59" s="1289"/>
      <c r="CT59" s="1288">
        <f>IC!CT224</f>
      </c>
      <c r="CU59" s="1288">
        <f>IC!CU224</f>
      </c>
      <c r="CV59" s="1288">
        <f>IC!CV224</f>
      </c>
      <c r="CW59" s="1288">
        <f>IC!CW224</f>
      </c>
      <c r="CX59" s="1289">
        <f>IC!CX224</f>
      </c>
      <c r="CY59" s="1288">
        <f>IC!CY224</f>
      </c>
      <c r="CZ59" s="1288">
        <f>IC!CZ224</f>
      </c>
      <c r="DA59" s="1288">
        <f>IC!DA224</f>
      </c>
      <c r="DB59" s="1288">
        <f>IC!DB224</f>
      </c>
      <c r="DC59" s="1289">
        <f>IC!DC224</f>
      </c>
      <c r="DD59" s="1288">
        <f>IC!DD224</f>
      </c>
      <c r="DE59" s="1288">
        <f>IC!DE224</f>
      </c>
      <c r="DF59" s="1288">
        <f>IC!DF224</f>
      </c>
      <c r="DG59" s="1288">
        <f>IC!DG224</f>
      </c>
      <c r="DH59" s="1289">
        <f>IC!DH224</f>
      </c>
      <c r="DI59" s="1288">
        <f>IC!DI224</f>
      </c>
      <c r="DJ59" s="1288">
        <f>IC!DJ224</f>
      </c>
      <c r="DK59" s="1288">
        <f>IC!DK224</f>
      </c>
      <c r="DL59" s="1288">
        <f>IC!DL224</f>
      </c>
      <c r="DM59" s="1289">
        <f>IC!DM224</f>
      </c>
      <c r="DN59" s="1288">
        <f>IC!DN224</f>
      </c>
      <c r="DO59" s="1288">
        <f>IC!DO224</f>
      </c>
      <c r="DP59" s="1288">
        <f>IC!DP224</f>
      </c>
      <c r="DQ59" s="1288">
        <f>IC!DQ224</f>
      </c>
      <c r="DR59" s="1289">
        <f>IC!DR224</f>
      </c>
      <c r="DS59" s="1288">
        <f>IC!DS224</f>
      </c>
      <c r="DT59" s="1288">
        <f>IC!DT224</f>
      </c>
      <c r="DU59" s="1288">
        <f>IC!DU224</f>
      </c>
      <c r="DV59" s="1288">
        <f>IC!DV224</f>
      </c>
      <c r="DW59" s="1289">
        <f>IC!DW224</f>
      </c>
      <c r="DX59" s="1288">
        <f>IC!DX224</f>
      </c>
      <c r="DY59" s="1288">
        <f>IC!DY224</f>
      </c>
      <c r="DZ59" s="1288">
        <f>IC!DZ224</f>
      </c>
      <c r="EA59" s="1288">
        <f>IC!EA224</f>
      </c>
      <c r="EB59" s="1289">
        <f>IC!EB224</f>
      </c>
      <c r="EC59" s="1288">
        <f>IC!EC224</f>
      </c>
      <c r="ED59" s="1288">
        <f>IC!ED224</f>
      </c>
      <c r="EE59" s="1288">
        <f>IC!EE224</f>
      </c>
      <c r="EF59" s="1288">
        <f>IC!EF224</f>
      </c>
      <c r="EG59" s="1289">
        <f>IC!EG224</f>
      </c>
      <c r="EH59" s="1288">
        <f>IC!EH224</f>
      </c>
      <c r="EI59" s="1288">
        <f>IC!EI224</f>
      </c>
      <c r="EJ59" s="1288">
        <f>IC!EJ224</f>
      </c>
      <c r="EK59" s="1288">
        <f>IC!EK224</f>
      </c>
      <c r="EL59" s="1289">
        <f>IC!EL224</f>
      </c>
      <c r="EM59" s="1288">
        <f>IC!EM224</f>
      </c>
      <c r="EN59" s="1288">
        <f>IC!EN224</f>
      </c>
      <c r="EO59" s="1288">
        <f>IC!EO224</f>
      </c>
      <c r="EP59" s="1288">
        <f>IC!EP224</f>
      </c>
      <c r="EQ59" s="1289">
        <f>IC!EQ224</f>
      </c>
      <c r="ER59" s="1288">
        <f>IC!ER224</f>
      </c>
      <c r="ES59" s="1288">
        <f>IC!ES224</f>
      </c>
      <c r="ET59" s="1288">
        <f>IC!ET224</f>
      </c>
      <c r="EU59" s="1288">
        <f>IC!EU224</f>
      </c>
      <c r="EV59" s="1289">
        <f>IC!EV224</f>
      </c>
      <c r="EW59" s="1288">
        <f>IC!EW224</f>
      </c>
      <c r="EX59" s="1288">
        <f>IC!EX224</f>
      </c>
      <c r="EY59" s="1288">
        <f>IC!EY224</f>
      </c>
      <c r="EZ59" s="1288">
        <f>IC!EZ224</f>
      </c>
      <c r="FA59" s="1289">
        <f>IC!FA224</f>
      </c>
      <c r="FB59" s="1288">
        <f>IC!FB224</f>
      </c>
      <c r="FC59" s="1288">
        <f>IC!FC224</f>
      </c>
      <c r="FD59" s="1288">
        <f>IC!FD224</f>
      </c>
      <c r="FE59" s="1288">
        <f>IC!FE224</f>
      </c>
      <c r="FF59" s="1289">
        <f>IC!FF224</f>
      </c>
      <c r="FG59" s="1288">
        <f>IC!FG224</f>
      </c>
      <c r="FH59" s="1288">
        <f>IC!FH224</f>
      </c>
      <c r="FI59" s="1288">
        <f>IC!FI224</f>
      </c>
      <c r="FJ59" s="1288">
        <f>IC!FJ224</f>
      </c>
      <c r="FK59" s="1289">
        <f>IC!FK224</f>
      </c>
      <c r="FL59" s="1288">
        <f>IC!FL224</f>
      </c>
      <c r="FM59" s="1288">
        <f>IC!FM224</f>
      </c>
      <c r="FN59" s="1288">
        <f>IC!FN224</f>
      </c>
      <c r="FO59" s="1288">
        <f>IC!FO224</f>
      </c>
      <c r="FP59" s="1289">
        <f>IC!FP224</f>
      </c>
      <c r="FQ59" s="1288">
        <f>IC!FQ224</f>
      </c>
      <c r="FR59" s="1288">
        <f>IC!FR224</f>
      </c>
      <c r="FS59" s="1288">
        <f>IC!FS224</f>
      </c>
      <c r="FT59" s="1288">
        <f>IC!FT224</f>
      </c>
      <c r="FU59" s="1289">
        <f>IC!FU224</f>
      </c>
      <c r="FV59" s="1288">
        <f>IC!FV224</f>
      </c>
      <c r="FW59" s="1288">
        <f>IC!FW224</f>
      </c>
      <c r="FX59" s="1288">
        <f>IC!FX224</f>
      </c>
      <c r="FY59" s="1288">
        <f>IC!FY224</f>
      </c>
      <c r="FZ59" s="1289">
        <f>IC!FZ224</f>
      </c>
      <c r="GA59" s="1288">
        <f>IC!GA224</f>
      </c>
      <c r="GB59" s="1288">
        <f>IC!GB224</f>
      </c>
      <c r="GC59" s="1288">
        <f>IC!GC224</f>
      </c>
      <c r="GD59" s="1288">
        <f>IC!GD224</f>
      </c>
      <c r="GE59" s="1289">
        <f>IC!GE224</f>
      </c>
      <c r="GF59" s="1288">
        <f>IC!GF224</f>
      </c>
      <c r="GG59" s="1288">
        <f>IC!GG224</f>
      </c>
      <c r="GH59" s="1288">
        <f>IC!GH224</f>
      </c>
      <c r="GI59" s="1288">
        <f>IC!GI224</f>
      </c>
      <c r="GJ59" s="1289">
        <f>IC!GJ224</f>
      </c>
    </row>
    <row r="60" spans="1:192" s="461" customFormat="1" ht="12.75" hidden="1" customHeight="1" outlineLevel="1">
      <c r="A60" s="370"/>
      <c r="B60" s="1295" t="s">
        <v>34</v>
      </c>
      <c r="C60" s="987"/>
      <c r="D60" s="987"/>
      <c r="E60" s="987"/>
      <c r="F60" s="987"/>
      <c r="G60" s="988"/>
      <c r="H60" s="987"/>
      <c r="I60" s="987"/>
      <c r="J60" s="987"/>
      <c r="K60" s="987"/>
      <c r="L60" s="988"/>
      <c r="M60" s="987"/>
      <c r="N60" s="987"/>
      <c r="O60" s="987"/>
      <c r="P60" s="987"/>
      <c r="Q60" s="988"/>
      <c r="R60" s="989"/>
      <c r="S60" s="989"/>
      <c r="T60" s="989"/>
      <c r="U60" s="989"/>
      <c r="V60" s="988"/>
      <c r="W60" s="989"/>
      <c r="X60" s="989"/>
      <c r="Y60" s="989"/>
      <c r="Z60" s="989"/>
      <c r="AA60" s="988"/>
      <c r="AB60" s="989"/>
      <c r="AC60" s="989"/>
      <c r="AD60" s="989"/>
      <c r="AE60" s="989"/>
      <c r="AF60" s="988"/>
      <c r="AG60" s="989"/>
      <c r="AH60" s="989"/>
      <c r="AI60" s="989"/>
      <c r="AJ60" s="989"/>
      <c r="AK60" s="988"/>
      <c r="AL60" s="987"/>
      <c r="AM60" s="987"/>
      <c r="AN60" s="987"/>
      <c r="AO60" s="987"/>
      <c r="AP60" s="988"/>
      <c r="AQ60" s="987"/>
      <c r="AR60" s="987"/>
      <c r="AS60" s="987"/>
      <c r="AT60" s="987"/>
      <c r="AU60" s="988"/>
      <c r="AV60" s="987"/>
      <c r="AW60" s="987"/>
      <c r="AX60" s="987"/>
      <c r="AY60" s="987"/>
      <c r="AZ60" s="988"/>
      <c r="BA60" s="987"/>
      <c r="BB60" s="987"/>
      <c r="BC60" s="987"/>
      <c r="BD60" s="987"/>
      <c r="BE60" s="988"/>
      <c r="BF60" s="987"/>
      <c r="BG60" s="987"/>
      <c r="BH60" s="987"/>
      <c r="BI60" s="987"/>
      <c r="BJ60" s="988"/>
      <c r="BK60" s="987"/>
      <c r="BL60" s="987"/>
      <c r="BM60" s="987"/>
      <c r="BN60" s="987"/>
      <c r="BO60" s="988"/>
      <c r="BP60" s="987"/>
      <c r="BQ60" s="987"/>
      <c r="BR60" s="987"/>
      <c r="BS60" s="987"/>
      <c r="BT60" s="988"/>
      <c r="BU60" s="987"/>
      <c r="BV60" s="987"/>
      <c r="BW60" s="987"/>
      <c r="BX60" s="987"/>
      <c r="BY60" s="988"/>
      <c r="BZ60" s="987"/>
      <c r="CA60" s="987"/>
      <c r="CB60" s="987"/>
      <c r="CC60" s="987"/>
      <c r="CD60" s="988"/>
      <c r="CE60" s="987"/>
      <c r="CF60" s="987"/>
      <c r="CG60" s="987"/>
      <c r="CH60" s="987"/>
      <c r="CI60" s="988"/>
      <c r="CJ60" s="987"/>
      <c r="CK60" s="987"/>
      <c r="CL60" s="987"/>
      <c r="CM60" s="987"/>
      <c r="CN60" s="988"/>
      <c r="CO60" s="987"/>
      <c r="CP60" s="987"/>
      <c r="CQ60" s="987"/>
      <c r="CR60" s="987"/>
      <c r="CS60" s="988"/>
      <c r="CT60" s="771" t="str">
        <f t="shared" ref="CT60:DY60" si="184">IFERROR(CT59/CO59-1,"")</f>
      </c>
      <c r="CU60" s="771" t="str">
        <f t="shared" si="184"/>
      </c>
      <c r="CV60" s="771" t="str">
        <f t="shared" si="184"/>
      </c>
      <c r="CW60" s="771" t="str">
        <f t="shared" si="184"/>
      </c>
      <c r="CX60" s="1047" t="str">
        <f t="shared" si="184"/>
      </c>
      <c r="CY60" s="771">
        <f t="shared" si="184"/>
      </c>
      <c r="CZ60" s="771">
        <f t="shared" si="184"/>
      </c>
      <c r="DA60" s="771">
        <f t="shared" si="184"/>
      </c>
      <c r="DB60" s="771">
        <f t="shared" si="184"/>
      </c>
      <c r="DC60" s="1047">
        <f t="shared" si="184"/>
      </c>
      <c r="DD60" s="771">
        <f t="shared" si="184"/>
      </c>
      <c r="DE60" s="771">
        <f t="shared" si="184"/>
      </c>
      <c r="DF60" s="771">
        <f t="shared" si="184"/>
      </c>
      <c r="DG60" s="771">
        <f t="shared" si="184"/>
      </c>
      <c r="DH60" s="1047">
        <f t="shared" si="184"/>
      </c>
      <c r="DI60" s="771">
        <f t="shared" si="184"/>
      </c>
      <c r="DJ60" s="771">
        <f t="shared" si="184"/>
      </c>
      <c r="DK60" s="771">
        <f t="shared" si="184"/>
      </c>
      <c r="DL60" s="771">
        <f t="shared" si="184"/>
      </c>
      <c r="DM60" s="1047">
        <f t="shared" si="184"/>
      </c>
      <c r="DN60" s="771">
        <f t="shared" si="184"/>
      </c>
      <c r="DO60" s="771">
        <f t="shared" si="184"/>
      </c>
      <c r="DP60" s="771">
        <f t="shared" si="184"/>
      </c>
      <c r="DQ60" s="771">
        <f t="shared" si="184"/>
      </c>
      <c r="DR60" s="1047">
        <f t="shared" si="184"/>
      </c>
      <c r="DS60" s="771">
        <f t="shared" si="184"/>
      </c>
      <c r="DT60" s="771">
        <f t="shared" si="184"/>
      </c>
      <c r="DU60" s="771">
        <f t="shared" si="184"/>
      </c>
      <c r="DV60" s="771">
        <f t="shared" si="184"/>
      </c>
      <c r="DW60" s="1047">
        <f t="shared" si="184"/>
      </c>
      <c r="DX60" s="771">
        <f t="shared" si="184"/>
      </c>
      <c r="DY60" s="771">
        <f t="shared" si="184"/>
      </c>
      <c r="DZ60" s="771">
        <f t="shared" ref="DZ60:FE60" si="185">IFERROR(DZ59/DU59-1,"")</f>
      </c>
      <c r="EA60" s="771">
        <f t="shared" si="185"/>
      </c>
      <c r="EB60" s="1047">
        <f t="shared" si="185"/>
      </c>
      <c r="EC60" s="771">
        <f t="shared" si="185"/>
      </c>
      <c r="ED60" s="771">
        <f t="shared" si="185"/>
      </c>
      <c r="EE60" s="771">
        <f t="shared" si="185"/>
      </c>
      <c r="EF60" s="771">
        <f t="shared" si="185"/>
      </c>
      <c r="EG60" s="1047">
        <f t="shared" si="185"/>
      </c>
      <c r="EH60" s="771">
        <f t="shared" si="185"/>
      </c>
      <c r="EI60" s="771">
        <f t="shared" si="185"/>
      </c>
      <c r="EJ60" s="771">
        <f t="shared" si="185"/>
      </c>
      <c r="EK60" s="771">
        <f t="shared" si="185"/>
      </c>
      <c r="EL60" s="1047">
        <f t="shared" si="185"/>
      </c>
      <c r="EM60" s="771">
        <f t="shared" si="185"/>
      </c>
      <c r="EN60" s="771">
        <f t="shared" si="185"/>
      </c>
      <c r="EO60" s="771">
        <f t="shared" si="185"/>
      </c>
      <c r="EP60" s="771">
        <f t="shared" si="185"/>
      </c>
      <c r="EQ60" s="1047">
        <f t="shared" si="185"/>
      </c>
      <c r="ER60" s="771">
        <f t="shared" ref="ER60" si="186">IFERROR(ER59/EM59-1,"")</f>
      </c>
      <c r="ES60" s="771">
        <f t="shared" ref="ES60" si="187">IFERROR(ES59/EN59-1,"")</f>
      </c>
      <c r="ET60" s="771">
        <f t="shared" ref="ET60" si="188">IFERROR(ET59/EO59-1,"")</f>
      </c>
      <c r="EU60" s="771">
        <f t="shared" ref="EU60" si="189">IFERROR(EU59/EP59-1,"")</f>
      </c>
      <c r="EV60" s="1047">
        <f t="shared" ref="EV60" si="190">IFERROR(EV59/EQ59-1,"")</f>
      </c>
      <c r="EW60" s="771">
        <f t="shared" si="185"/>
      </c>
      <c r="EX60" s="771">
        <f t="shared" si="185"/>
      </c>
      <c r="EY60" s="771">
        <f t="shared" si="185"/>
      </c>
      <c r="EZ60" s="771">
        <f t="shared" ref="EZ60" si="191">IFERROR(EZ59/EU59-1,"")</f>
      </c>
      <c r="FA60" s="1047">
        <f t="shared" ref="FA60" si="192">IFERROR(FA59/EV59-1,"")</f>
      </c>
      <c r="FB60" s="771">
        <f t="shared" si="185"/>
      </c>
      <c r="FC60" s="771">
        <f t="shared" si="185"/>
      </c>
      <c r="FD60" s="771">
        <f t="shared" si="185"/>
      </c>
      <c r="FE60" s="771">
        <f t="shared" si="185"/>
      </c>
      <c r="FF60" s="1047">
        <f t="shared" ref="FF60:GE60" si="193">IFERROR(FF59/FA59-1,"")</f>
      </c>
      <c r="FG60" s="771">
        <f t="shared" si="193"/>
      </c>
      <c r="FH60" s="771">
        <f t="shared" si="193"/>
      </c>
      <c r="FI60" s="771">
        <f t="shared" si="193"/>
      </c>
      <c r="FJ60" s="771">
        <f t="shared" si="193"/>
      </c>
      <c r="FK60" s="1047">
        <f t="shared" si="193"/>
      </c>
      <c r="FL60" s="771">
        <f t="shared" si="193"/>
      </c>
      <c r="FM60" s="771">
        <f t="shared" si="193"/>
      </c>
      <c r="FN60" s="771">
        <f t="shared" si="193"/>
      </c>
      <c r="FO60" s="771">
        <f t="shared" si="193"/>
      </c>
      <c r="FP60" s="1047">
        <f t="shared" si="193"/>
      </c>
      <c r="FQ60" s="771">
        <f t="shared" si="193"/>
      </c>
      <c r="FR60" s="771">
        <f t="shared" si="193"/>
      </c>
      <c r="FS60" s="771">
        <f t="shared" si="193"/>
      </c>
      <c r="FT60" s="771">
        <f t="shared" si="193"/>
      </c>
      <c r="FU60" s="1047">
        <f t="shared" si="193"/>
      </c>
      <c r="FV60" s="771">
        <f t="shared" si="193"/>
      </c>
      <c r="FW60" s="771">
        <f t="shared" si="193"/>
      </c>
      <c r="FX60" s="771">
        <f t="shared" si="193"/>
      </c>
      <c r="FY60" s="771">
        <f t="shared" si="193"/>
      </c>
      <c r="FZ60" s="1047">
        <f t="shared" si="193"/>
      </c>
      <c r="GA60" s="771">
        <f t="shared" si="193"/>
      </c>
      <c r="GB60" s="771">
        <f t="shared" si="193"/>
      </c>
      <c r="GC60" s="771">
        <f t="shared" si="193"/>
      </c>
      <c r="GD60" s="771">
        <f t="shared" si="193"/>
      </c>
      <c r="GE60" s="1047">
        <f t="shared" si="193"/>
      </c>
      <c r="GF60" s="771">
        <f t="shared" ref="GF60" si="194">IFERROR(GF59/GA59-1,"")</f>
      </c>
      <c r="GG60" s="771">
        <f t="shared" ref="GG60" si="195">IFERROR(GG59/GB59-1,"")</f>
      </c>
      <c r="GH60" s="771">
        <f t="shared" ref="GH60" si="196">IFERROR(GH59/GC59-1,"")</f>
      </c>
      <c r="GI60" s="771">
        <f t="shared" ref="GI60" si="197">IFERROR(GI59/GD59-1,"")</f>
      </c>
      <c r="GJ60" s="1047">
        <f t="shared" ref="GJ60" si="198">IFERROR(GJ59/GE59-1,"")</f>
      </c>
    </row>
    <row r="61" spans="1:192" s="461" customFormat="1" ht="12.75" hidden="1" customHeight="1" outlineLevel="1">
      <c r="A61" s="370"/>
      <c r="B61" s="1295" t="s">
        <v>36</v>
      </c>
      <c r="C61" s="987"/>
      <c r="D61" s="987"/>
      <c r="E61" s="987"/>
      <c r="F61" s="987"/>
      <c r="G61" s="988"/>
      <c r="H61" s="987"/>
      <c r="I61" s="987"/>
      <c r="J61" s="987"/>
      <c r="K61" s="987"/>
      <c r="L61" s="988"/>
      <c r="M61" s="987"/>
      <c r="N61" s="987"/>
      <c r="O61" s="987"/>
      <c r="P61" s="987"/>
      <c r="Q61" s="988"/>
      <c r="R61" s="989"/>
      <c r="S61" s="989"/>
      <c r="T61" s="989"/>
      <c r="U61" s="989"/>
      <c r="V61" s="988"/>
      <c r="W61" s="989"/>
      <c r="X61" s="989"/>
      <c r="Y61" s="989"/>
      <c r="Z61" s="989"/>
      <c r="AA61" s="988"/>
      <c r="AB61" s="989"/>
      <c r="AC61" s="989"/>
      <c r="AD61" s="989"/>
      <c r="AE61" s="989"/>
      <c r="AF61" s="988"/>
      <c r="AG61" s="989"/>
      <c r="AH61" s="989"/>
      <c r="AI61" s="989"/>
      <c r="AJ61" s="989"/>
      <c r="AK61" s="988"/>
      <c r="AL61" s="987"/>
      <c r="AM61" s="987"/>
      <c r="AN61" s="987"/>
      <c r="AO61" s="987"/>
      <c r="AP61" s="988"/>
      <c r="AQ61" s="987"/>
      <c r="AR61" s="987"/>
      <c r="AS61" s="987"/>
      <c r="AT61" s="987"/>
      <c r="AU61" s="988"/>
      <c r="AV61" s="987"/>
      <c r="AW61" s="987"/>
      <c r="AX61" s="987"/>
      <c r="AY61" s="987"/>
      <c r="AZ61" s="988"/>
      <c r="BA61" s="987"/>
      <c r="BB61" s="987"/>
      <c r="BC61" s="987"/>
      <c r="BD61" s="987"/>
      <c r="BE61" s="988"/>
      <c r="BF61" s="987"/>
      <c r="BG61" s="987"/>
      <c r="BH61" s="987"/>
      <c r="BI61" s="987"/>
      <c r="BJ61" s="988"/>
      <c r="BK61" s="987"/>
      <c r="BL61" s="987"/>
      <c r="BM61" s="987"/>
      <c r="BN61" s="987"/>
      <c r="BO61" s="988"/>
      <c r="BP61" s="987"/>
      <c r="BQ61" s="987"/>
      <c r="BR61" s="987"/>
      <c r="BS61" s="987"/>
      <c r="BT61" s="988"/>
      <c r="BU61" s="987"/>
      <c r="BV61" s="987"/>
      <c r="BW61" s="987"/>
      <c r="BX61" s="987"/>
      <c r="BY61" s="988"/>
      <c r="BZ61" s="987"/>
      <c r="CA61" s="987"/>
      <c r="CB61" s="987"/>
      <c r="CC61" s="987"/>
      <c r="CD61" s="988"/>
      <c r="CE61" s="987"/>
      <c r="CF61" s="987"/>
      <c r="CG61" s="987"/>
      <c r="CH61" s="987"/>
      <c r="CI61" s="988"/>
      <c r="CJ61" s="987"/>
      <c r="CK61" s="987"/>
      <c r="CL61" s="987"/>
      <c r="CM61" s="987"/>
      <c r="CN61" s="988"/>
      <c r="CO61" s="987"/>
      <c r="CP61" s="987"/>
      <c r="CQ61" s="987"/>
      <c r="CR61" s="987"/>
      <c r="CS61" s="988"/>
      <c r="CT61" s="771" t="str">
        <f>IFERROR(CT59/CR59-1,"")</f>
      </c>
      <c r="CU61" s="1283">
        <f>IFERROR(CU59/CT59-1,"")</f>
      </c>
      <c r="CV61" s="1283">
        <f>IFERROR(CV59/CU59-1,"")</f>
      </c>
      <c r="CW61" s="1283">
        <f>IFERROR(CW59/CV59-1,"")</f>
      </c>
      <c r="CX61" s="991"/>
      <c r="CY61" s="771">
        <f>IFERROR(CY59/CW59-1,"")</f>
      </c>
      <c r="CZ61" s="1283">
        <f>IFERROR(CZ59/CY59-1,"")</f>
      </c>
      <c r="DA61" s="1283">
        <f>IFERROR(DA59/CZ59-1,"")</f>
      </c>
      <c r="DB61" s="1283">
        <f>IFERROR(DB59/DA59-1,"")</f>
      </c>
      <c r="DC61" s="991"/>
      <c r="DD61" s="771">
        <f>IFERROR(DD59/DB59-1,"")</f>
      </c>
      <c r="DE61" s="1283">
        <f>IFERROR(DE59/DD59-1,"")</f>
      </c>
      <c r="DF61" s="1283">
        <f>IFERROR(DF59/DE59-1,"")</f>
      </c>
      <c r="DG61" s="1283">
        <f>IFERROR(DG59/DF59-1,"")</f>
      </c>
      <c r="DH61" s="991"/>
      <c r="DI61" s="771">
        <f>IFERROR(DI59/DG59-1,"")</f>
      </c>
      <c r="DJ61" s="1283">
        <f>IFERROR(DJ59/DI59-1,"")</f>
      </c>
      <c r="DK61" s="1283">
        <f>IFERROR(DK59/DJ59-1,"")</f>
      </c>
      <c r="DL61" s="1283">
        <f>IFERROR(DL59/DK59-1,"")</f>
      </c>
      <c r="DM61" s="991"/>
      <c r="DN61" s="771">
        <f>IFERROR(DN59/DL59-1,"")</f>
      </c>
      <c r="DO61" s="1283">
        <f>IFERROR(DO59/DN59-1,"")</f>
      </c>
      <c r="DP61" s="1283">
        <f>IFERROR(DP59/DO59-1,"")</f>
      </c>
      <c r="DQ61" s="1283">
        <f>IFERROR(DQ59/DP59-1,"")</f>
      </c>
      <c r="DR61" s="991"/>
      <c r="DS61" s="771">
        <f>IFERROR(DS59/DQ59-1,"")</f>
      </c>
      <c r="DT61" s="1283">
        <f>IFERROR(DT59/DS59-1,"")</f>
      </c>
      <c r="DU61" s="1283">
        <f>IFERROR(DU59/DT59-1,"")</f>
      </c>
      <c r="DV61" s="1283">
        <f>IFERROR(DV59/DU59-1,"")</f>
      </c>
      <c r="DW61" s="991"/>
      <c r="DX61" s="771">
        <f>IFERROR(DX59/DV59-1,"")</f>
      </c>
      <c r="DY61" s="1283">
        <f>IFERROR(DY59/DX59-1,"")</f>
      </c>
      <c r="DZ61" s="1283">
        <f>IFERROR(DZ59/DY59-1,"")</f>
      </c>
      <c r="EA61" s="1283">
        <f>IFERROR(EA59/DZ59-1,"")</f>
      </c>
      <c r="EB61" s="991"/>
      <c r="EC61" s="771">
        <f>IFERROR(EC59/EA59-1,"")</f>
      </c>
      <c r="ED61" s="1283">
        <f>IFERROR(ED59/EC59-1,"")</f>
      </c>
      <c r="EE61" s="1283">
        <f>IFERROR(EE59/ED59-1,"")</f>
      </c>
      <c r="EF61" s="1283">
        <f>IFERROR(EF59/EE59-1,"")</f>
      </c>
      <c r="EG61" s="991"/>
      <c r="EH61" s="771">
        <f>IFERROR(EH59/EF59-1,"")</f>
      </c>
      <c r="EI61" s="1283">
        <f>IFERROR(EI59/EH59-1,"")</f>
      </c>
      <c r="EJ61" s="1283">
        <f>IFERROR(EJ59/EI59-1,"")</f>
      </c>
      <c r="EK61" s="1283">
        <f>IFERROR(EK59/EJ59-1,"")</f>
      </c>
      <c r="EL61" s="991"/>
      <c r="EM61" s="771">
        <f>IFERROR(EM59/EK59-1,"")</f>
      </c>
      <c r="EN61" s="1283">
        <f>IFERROR(EN59/EM59-1,"")</f>
      </c>
      <c r="EO61" s="1283">
        <f>IFERROR(EO59/EN59-1,"")</f>
      </c>
      <c r="EP61" s="1283">
        <f>IFERROR(EP59/EO59-1,"")</f>
      </c>
      <c r="EQ61" s="991"/>
      <c r="ER61" s="771">
        <f>IFERROR(ER59/EP59-1,"")</f>
      </c>
      <c r="ES61" s="1283">
        <f>IFERROR(ES59/ER59-1,"")</f>
      </c>
      <c r="ET61" s="1283">
        <f>IFERROR(ET59/ES59-1,"")</f>
      </c>
      <c r="EU61" s="1283">
        <f>IFERROR(EU59/ET59-1,"")</f>
      </c>
      <c r="EV61" s="991"/>
      <c r="EW61" s="771">
        <f>IFERROR(EW59/EU59-1,"")</f>
      </c>
      <c r="EX61" s="1283">
        <f>IFERROR(EX59/EW59-1,"")</f>
      </c>
      <c r="EY61" s="1283">
        <f>IFERROR(EY59/EX59-1,"")</f>
      </c>
      <c r="EZ61" s="1283">
        <f>IFERROR(EZ59/EY59-1,"")</f>
      </c>
      <c r="FA61" s="991"/>
      <c r="FB61" s="771">
        <f>IFERROR(FB59/EZ59-1,"")</f>
      </c>
      <c r="FC61" s="1283">
        <f>IFERROR(FC59/FB59-1,"")</f>
      </c>
      <c r="FD61" s="1283">
        <f>IFERROR(FD59/FC59-1,"")</f>
      </c>
      <c r="FE61" s="1283">
        <f>IFERROR(FE59/FD59-1,"")</f>
      </c>
      <c r="FF61" s="991"/>
      <c r="FG61" s="771">
        <f>IFERROR(FG59/FE59-1,"")</f>
      </c>
      <c r="FH61" s="1283">
        <f>IFERROR(FH59/FG59-1,"")</f>
      </c>
      <c r="FI61" s="1283">
        <f>IFERROR(FI59/FH59-1,"")</f>
      </c>
      <c r="FJ61" s="1283">
        <f>IFERROR(FJ59/FI59-1,"")</f>
      </c>
      <c r="FK61" s="991"/>
      <c r="FL61" s="771">
        <f>IFERROR(FL59/FJ59-1,"")</f>
      </c>
      <c r="FM61" s="1283">
        <f>IFERROR(FM59/FL59-1,"")</f>
      </c>
      <c r="FN61" s="1283">
        <f>IFERROR(FN59/FM59-1,"")</f>
      </c>
      <c r="FO61" s="1283">
        <f>IFERROR(FO59/FN59-1,"")</f>
      </c>
      <c r="FP61" s="991"/>
      <c r="FQ61" s="771">
        <f>IFERROR(FQ59/FO59-1,"")</f>
      </c>
      <c r="FR61" s="1283">
        <f>IFERROR(FR59/FQ59-1,"")</f>
      </c>
      <c r="FS61" s="1283">
        <f>IFERROR(FS59/FR59-1,"")</f>
      </c>
      <c r="FT61" s="1283">
        <f>IFERROR(FT59/FS59-1,"")</f>
      </c>
      <c r="FU61" s="991"/>
      <c r="FV61" s="771">
        <f>IFERROR(FV59/FT59-1,"")</f>
      </c>
      <c r="FW61" s="1283">
        <f>IFERROR(FW59/FV59-1,"")</f>
      </c>
      <c r="FX61" s="1283">
        <f>IFERROR(FX59/FW59-1,"")</f>
      </c>
      <c r="FY61" s="1283">
        <f>IFERROR(FY59/FX59-1,"")</f>
      </c>
      <c r="FZ61" s="991"/>
      <c r="GA61" s="771">
        <f>IFERROR(GA59/FY59-1,"")</f>
      </c>
      <c r="GB61" s="1283">
        <f>IFERROR(GB59/GA59-1,"")</f>
      </c>
      <c r="GC61" s="1283">
        <f>IFERROR(GC59/GB59-1,"")</f>
      </c>
      <c r="GD61" s="1283">
        <f>IFERROR(GD59/GC59-1,"")</f>
      </c>
      <c r="GE61" s="991"/>
      <c r="GF61" s="771">
        <f>IFERROR(GF59/GD59-1,"")</f>
      </c>
      <c r="GG61" s="1283">
        <f>IFERROR(GG59/GF59-1,"")</f>
      </c>
      <c r="GH61" s="1283">
        <f>IFERROR(GH59/GG59-1,"")</f>
      </c>
      <c r="GI61" s="1283">
        <f>IFERROR(GI59/GH59-1,"")</f>
      </c>
      <c r="GJ61" s="991"/>
    </row>
    <row r="62" spans="1:192" s="461" customFormat="1" ht="12.75" hidden="1" customHeight="1" outlineLevel="1">
      <c r="A62" s="370"/>
      <c r="B62" s="1295" t="s">
        <v>1864</v>
      </c>
      <c r="C62" s="987"/>
      <c r="D62" s="987"/>
      <c r="E62" s="987"/>
      <c r="F62" s="987"/>
      <c r="G62" s="988"/>
      <c r="H62" s="987"/>
      <c r="I62" s="987"/>
      <c r="J62" s="987"/>
      <c r="K62" s="987"/>
      <c r="L62" s="988"/>
      <c r="M62" s="987"/>
      <c r="N62" s="987"/>
      <c r="O62" s="987"/>
      <c r="P62" s="987"/>
      <c r="Q62" s="988"/>
      <c r="R62" s="989"/>
      <c r="S62" s="989"/>
      <c r="T62" s="989"/>
      <c r="U62" s="989"/>
      <c r="V62" s="988"/>
      <c r="W62" s="989"/>
      <c r="X62" s="989"/>
      <c r="Y62" s="989"/>
      <c r="Z62" s="989"/>
      <c r="AA62" s="988"/>
      <c r="AB62" s="989"/>
      <c r="AC62" s="989"/>
      <c r="AD62" s="989"/>
      <c r="AE62" s="989"/>
      <c r="AF62" s="988"/>
      <c r="AG62" s="989"/>
      <c r="AH62" s="989"/>
      <c r="AI62" s="989"/>
      <c r="AJ62" s="989"/>
      <c r="AK62" s="988"/>
      <c r="AL62" s="987"/>
      <c r="AM62" s="987"/>
      <c r="AN62" s="987"/>
      <c r="AO62" s="987"/>
      <c r="AP62" s="988"/>
      <c r="AQ62" s="987"/>
      <c r="AR62" s="987"/>
      <c r="AS62" s="987"/>
      <c r="AT62" s="987"/>
      <c r="AU62" s="988"/>
      <c r="AV62" s="987"/>
      <c r="AW62" s="987"/>
      <c r="AX62" s="987"/>
      <c r="AY62" s="987"/>
      <c r="AZ62" s="988"/>
      <c r="BA62" s="987"/>
      <c r="BB62" s="987"/>
      <c r="BC62" s="987"/>
      <c r="BD62" s="987"/>
      <c r="BE62" s="988"/>
      <c r="BF62" s="987"/>
      <c r="BG62" s="987"/>
      <c r="BH62" s="987"/>
      <c r="BI62" s="987"/>
      <c r="BJ62" s="988"/>
      <c r="BK62" s="987"/>
      <c r="BL62" s="987"/>
      <c r="BM62" s="987"/>
      <c r="BN62" s="987"/>
      <c r="BO62" s="988"/>
      <c r="BP62" s="987"/>
      <c r="BQ62" s="987"/>
      <c r="BR62" s="987"/>
      <c r="BS62" s="987"/>
      <c r="BT62" s="988"/>
      <c r="BU62" s="987"/>
      <c r="BV62" s="987"/>
      <c r="BW62" s="987"/>
      <c r="BX62" s="987"/>
      <c r="BY62" s="988"/>
      <c r="BZ62" s="987"/>
      <c r="CA62" s="987"/>
      <c r="CB62" s="987"/>
      <c r="CC62" s="987"/>
      <c r="CD62" s="988"/>
      <c r="CE62" s="987"/>
      <c r="CF62" s="987"/>
      <c r="CG62" s="987"/>
      <c r="CH62" s="987"/>
      <c r="CI62" s="988"/>
      <c r="CJ62" s="987"/>
      <c r="CK62" s="987"/>
      <c r="CL62" s="987"/>
      <c r="CM62" s="987"/>
      <c r="CN62" s="988"/>
      <c r="CO62" s="987"/>
      <c r="CP62" s="987"/>
      <c r="CQ62" s="987"/>
      <c r="CR62" s="987"/>
      <c r="CS62" s="988"/>
      <c r="CT62" s="987"/>
      <c r="CU62" s="987"/>
      <c r="CV62" s="987"/>
      <c r="CW62" s="987"/>
      <c r="CX62" s="988"/>
      <c r="CY62" s="1290"/>
      <c r="CZ62" s="1290"/>
      <c r="DA62" s="1290"/>
      <c r="DB62" s="1290"/>
      <c r="DC62" s="1291"/>
      <c r="DD62" s="1290">
        <f t="shared" ref="DD62:FO62" si="199">DD59/DD$44</f>
      </c>
      <c r="DE62" s="1290">
        <f t="shared" si="199"/>
      </c>
      <c r="DF62" s="1290">
        <f t="shared" si="199"/>
      </c>
      <c r="DG62" s="1290">
        <f t="shared" si="199"/>
      </c>
      <c r="DH62" s="1291">
        <f t="shared" si="199"/>
      </c>
      <c r="DI62" s="1290">
        <f t="shared" si="199"/>
      </c>
      <c r="DJ62" s="1290">
        <f t="shared" si="199"/>
      </c>
      <c r="DK62" s="1290">
        <f t="shared" si="199"/>
      </c>
      <c r="DL62" s="1290">
        <f t="shared" si="199"/>
      </c>
      <c r="DM62" s="1291">
        <f t="shared" si="199"/>
      </c>
      <c r="DN62" s="1290">
        <f t="shared" si="199"/>
      </c>
      <c r="DO62" s="1290">
        <f t="shared" si="199"/>
      </c>
      <c r="DP62" s="1290">
        <f t="shared" si="199"/>
      </c>
      <c r="DQ62" s="1290">
        <f t="shared" si="199"/>
      </c>
      <c r="DR62" s="1291">
        <f t="shared" si="199"/>
      </c>
      <c r="DS62" s="1290">
        <f t="shared" si="199"/>
      </c>
      <c r="DT62" s="1290">
        <f t="shared" si="199"/>
      </c>
      <c r="DU62" s="1290">
        <f t="shared" si="199"/>
      </c>
      <c r="DV62" s="1290">
        <f t="shared" si="199"/>
      </c>
      <c r="DW62" s="1291">
        <f t="shared" si="199"/>
      </c>
      <c r="DX62" s="1290">
        <f t="shared" si="199"/>
      </c>
      <c r="DY62" s="1290">
        <f t="shared" si="199"/>
      </c>
      <c r="DZ62" s="1290">
        <f t="shared" si="199"/>
      </c>
      <c r="EA62" s="1290">
        <f t="shared" si="199"/>
      </c>
      <c r="EB62" s="1291">
        <f t="shared" si="199"/>
      </c>
      <c r="EC62" s="1290">
        <f t="shared" si="199"/>
      </c>
      <c r="ED62" s="1290">
        <f t="shared" si="199"/>
      </c>
      <c r="EE62" s="1290">
        <f t="shared" si="199"/>
      </c>
      <c r="EF62" s="1290">
        <f t="shared" si="199"/>
      </c>
      <c r="EG62" s="1291">
        <f t="shared" si="199"/>
      </c>
      <c r="EH62" s="1290">
        <f t="shared" si="199"/>
      </c>
      <c r="EI62" s="1290">
        <f t="shared" si="199"/>
      </c>
      <c r="EJ62" s="1290">
        <f t="shared" si="199"/>
      </c>
      <c r="EK62" s="1290">
        <f t="shared" si="199"/>
      </c>
      <c r="EL62" s="1291">
        <f t="shared" si="199"/>
      </c>
      <c r="EM62" s="1290">
        <f t="shared" si="199"/>
      </c>
      <c r="EN62" s="1290">
        <f t="shared" si="199"/>
      </c>
      <c r="EO62" s="1290">
        <f t="shared" si="199"/>
      </c>
      <c r="EP62" s="1290">
        <f t="shared" si="199"/>
      </c>
      <c r="EQ62" s="1291">
        <f t="shared" si="199"/>
      </c>
      <c r="ER62" s="1290">
        <f t="shared" ref="ER62:EV62" si="200">ER59/ER$44</f>
      </c>
      <c r="ES62" s="1290">
        <f t="shared" si="200"/>
      </c>
      <c r="ET62" s="1290">
        <f t="shared" si="200"/>
      </c>
      <c r="EU62" s="1290">
        <f t="shared" si="200"/>
      </c>
      <c r="EV62" s="1291">
        <f t="shared" si="200"/>
      </c>
      <c r="EW62" s="1290">
        <f t="shared" si="199"/>
      </c>
      <c r="EX62" s="1290">
        <f t="shared" si="199"/>
      </c>
      <c r="EY62" s="1290">
        <f t="shared" si="199"/>
      </c>
      <c r="EZ62" s="1290">
        <f t="shared" si="199"/>
      </c>
      <c r="FA62" s="1291">
        <f t="shared" si="199"/>
      </c>
      <c r="FB62" s="1290">
        <f t="shared" si="199"/>
      </c>
      <c r="FC62" s="1290">
        <f t="shared" si="199"/>
      </c>
      <c r="FD62" s="1290">
        <f t="shared" si="199"/>
      </c>
      <c r="FE62" s="1290">
        <f t="shared" si="199"/>
      </c>
      <c r="FF62" s="1291">
        <f t="shared" si="199"/>
      </c>
      <c r="FG62" s="1290">
        <f t="shared" si="199"/>
      </c>
      <c r="FH62" s="1290">
        <f t="shared" si="199"/>
      </c>
      <c r="FI62" s="1290">
        <f t="shared" si="199"/>
      </c>
      <c r="FJ62" s="1290">
        <f t="shared" si="199"/>
      </c>
      <c r="FK62" s="1291">
        <f t="shared" si="199"/>
      </c>
      <c r="FL62" s="1290">
        <f t="shared" si="199"/>
      </c>
      <c r="FM62" s="1290">
        <f t="shared" si="199"/>
      </c>
      <c r="FN62" s="1290">
        <f t="shared" si="199"/>
      </c>
      <c r="FO62" s="1290">
        <f t="shared" si="199"/>
      </c>
      <c r="FP62" s="1291">
        <f t="shared" ref="FP62:FZ62" si="201">FP59/FP$44</f>
      </c>
      <c r="FQ62" s="1290">
        <f t="shared" si="201"/>
      </c>
      <c r="FR62" s="1290">
        <f t="shared" si="201"/>
      </c>
      <c r="FS62" s="1290">
        <f t="shared" si="201"/>
      </c>
      <c r="FT62" s="1290">
        <f t="shared" si="201"/>
      </c>
      <c r="FU62" s="1291">
        <f t="shared" si="201"/>
      </c>
      <c r="FV62" s="1290">
        <f t="shared" si="201"/>
      </c>
      <c r="FW62" s="1290">
        <f t="shared" si="201"/>
      </c>
      <c r="FX62" s="1290">
        <f t="shared" si="201"/>
      </c>
      <c r="FY62" s="1290">
        <f t="shared" si="201"/>
      </c>
      <c r="FZ62" s="1291">
        <f t="shared" si="201"/>
      </c>
      <c r="GA62" s="1290">
        <f t="shared" ref="GA62:GJ62" si="202">GA59/GA$44</f>
      </c>
      <c r="GB62" s="1290">
        <f t="shared" si="202"/>
      </c>
      <c r="GC62" s="1290">
        <f t="shared" si="202"/>
      </c>
      <c r="GD62" s="1290">
        <f t="shared" si="202"/>
      </c>
      <c r="GE62" s="1291">
        <f t="shared" si="202"/>
      </c>
      <c r="GF62" s="1290">
        <f t="shared" si="202"/>
      </c>
      <c r="GG62" s="1290">
        <f t="shared" si="202"/>
      </c>
      <c r="GH62" s="1290">
        <f t="shared" si="202"/>
      </c>
      <c r="GI62" s="1290">
        <f t="shared" si="202"/>
      </c>
      <c r="GJ62" s="1291">
        <f t="shared" si="202"/>
      </c>
    </row>
    <row r="63" spans="1:192" s="461" customFormat="1" ht="12.75" customHeight="1" collapsed="1">
      <c r="A63" s="370"/>
      <c r="B63" s="986"/>
      <c r="C63" s="987"/>
      <c r="D63" s="987"/>
      <c r="E63" s="987"/>
      <c r="F63" s="987"/>
      <c r="G63" s="988"/>
      <c r="H63" s="987"/>
      <c r="I63" s="987"/>
      <c r="J63" s="987"/>
      <c r="K63" s="987"/>
      <c r="L63" s="988"/>
      <c r="M63" s="987"/>
      <c r="N63" s="987"/>
      <c r="O63" s="987"/>
      <c r="P63" s="987"/>
      <c r="Q63" s="988"/>
      <c r="R63" s="989"/>
      <c r="S63" s="989"/>
      <c r="T63" s="989"/>
      <c r="U63" s="989"/>
      <c r="V63" s="988"/>
      <c r="W63" s="989"/>
      <c r="X63" s="989"/>
      <c r="Y63" s="989"/>
      <c r="Z63" s="989"/>
      <c r="AA63" s="988"/>
      <c r="AB63" s="989"/>
      <c r="AC63" s="989"/>
      <c r="AD63" s="989"/>
      <c r="AE63" s="989"/>
      <c r="AF63" s="988"/>
      <c r="AG63" s="989"/>
      <c r="AH63" s="989"/>
      <c r="AI63" s="989"/>
      <c r="AJ63" s="989"/>
      <c r="AK63" s="988"/>
      <c r="AL63" s="987"/>
      <c r="AM63" s="987"/>
      <c r="AN63" s="987"/>
      <c r="AO63" s="987"/>
      <c r="AP63" s="988"/>
      <c r="AQ63" s="987"/>
      <c r="AR63" s="987"/>
      <c r="AS63" s="987"/>
      <c r="AT63" s="987"/>
      <c r="AU63" s="988"/>
      <c r="AV63" s="987"/>
      <c r="AW63" s="987"/>
      <c r="AX63" s="987"/>
      <c r="AY63" s="987"/>
      <c r="AZ63" s="988"/>
      <c r="BA63" s="987"/>
      <c r="BB63" s="987"/>
      <c r="BC63" s="987"/>
      <c r="BD63" s="987"/>
      <c r="BE63" s="988"/>
      <c r="BF63" s="987"/>
      <c r="BG63" s="987"/>
      <c r="BH63" s="987"/>
      <c r="BI63" s="987"/>
      <c r="BJ63" s="988"/>
      <c r="BK63" s="987"/>
      <c r="BL63" s="987"/>
      <c r="BM63" s="987"/>
      <c r="BN63" s="987"/>
      <c r="BO63" s="988"/>
      <c r="BP63" s="987"/>
      <c r="BQ63" s="987"/>
      <c r="BR63" s="987"/>
      <c r="BS63" s="987"/>
      <c r="BT63" s="988"/>
      <c r="BU63" s="987"/>
      <c r="BV63" s="987"/>
      <c r="BW63" s="987"/>
      <c r="BX63" s="987"/>
      <c r="BY63" s="988"/>
      <c r="BZ63" s="987"/>
      <c r="CA63" s="987"/>
      <c r="CB63" s="987"/>
      <c r="CC63" s="987"/>
      <c r="CD63" s="988"/>
      <c r="CE63" s="987"/>
      <c r="CF63" s="987"/>
      <c r="CG63" s="987"/>
      <c r="CH63" s="987"/>
      <c r="CI63" s="988"/>
      <c r="CJ63" s="987"/>
      <c r="CK63" s="987"/>
      <c r="CL63" s="987"/>
      <c r="CM63" s="987"/>
      <c r="CN63" s="988"/>
      <c r="CO63" s="987"/>
      <c r="CP63" s="987"/>
      <c r="CQ63" s="987"/>
      <c r="CR63" s="987"/>
      <c r="CS63" s="988"/>
      <c r="CT63" s="987"/>
      <c r="CU63" s="987"/>
      <c r="CV63" s="987"/>
      <c r="CW63" s="987"/>
      <c r="CX63" s="988"/>
      <c r="CY63" s="990"/>
      <c r="CZ63" s="990"/>
      <c r="DA63" s="990"/>
      <c r="DB63" s="990"/>
      <c r="DC63" s="991"/>
      <c r="DD63" s="990"/>
      <c r="DE63" s="990"/>
      <c r="DF63" s="990"/>
      <c r="DG63" s="990"/>
      <c r="DH63" s="991"/>
      <c r="DI63" s="990"/>
      <c r="DJ63" s="990"/>
      <c r="DK63" s="990"/>
      <c r="DL63" s="990"/>
      <c r="DM63" s="991"/>
      <c r="DN63" s="990"/>
      <c r="DO63" s="990"/>
      <c r="DP63" s="990"/>
      <c r="DQ63" s="990"/>
      <c r="DR63" s="991"/>
      <c r="DS63" s="990"/>
      <c r="DT63" s="990"/>
      <c r="DU63" s="990"/>
      <c r="DV63" s="990"/>
      <c r="DW63" s="991"/>
      <c r="DX63" s="990"/>
      <c r="DY63" s="990"/>
      <c r="DZ63" s="990"/>
      <c r="EA63" s="990"/>
      <c r="EB63" s="991"/>
      <c r="EC63" s="990"/>
      <c r="ED63" s="990"/>
      <c r="EE63" s="990"/>
      <c r="EF63" s="990"/>
      <c r="EG63" s="991"/>
      <c r="EH63" s="990"/>
      <c r="EI63" s="990"/>
      <c r="EJ63" s="990"/>
      <c r="EK63" s="990"/>
      <c r="EL63" s="991"/>
      <c r="EM63" s="990"/>
      <c r="EN63" s="990"/>
      <c r="EO63" s="990"/>
      <c r="EP63" s="990"/>
      <c r="EQ63" s="991"/>
      <c r="ER63" s="990"/>
      <c r="ES63" s="990"/>
      <c r="ET63" s="990"/>
      <c r="EU63" s="990"/>
      <c r="EV63" s="991"/>
      <c r="EW63" s="990"/>
      <c r="EX63" s="990"/>
      <c r="EY63" s="990"/>
      <c r="EZ63" s="990"/>
      <c r="FA63" s="991"/>
      <c r="FB63" s="990"/>
      <c r="FC63" s="990"/>
      <c r="FD63" s="990"/>
      <c r="FE63" s="990"/>
      <c r="FF63" s="991"/>
      <c r="FG63" s="990"/>
      <c r="FH63" s="990"/>
      <c r="FI63" s="990"/>
      <c r="FJ63" s="990"/>
      <c r="FK63" s="991"/>
      <c r="FL63" s="990"/>
      <c r="FM63" s="990"/>
      <c r="FN63" s="990"/>
      <c r="FO63" s="990"/>
      <c r="FP63" s="991"/>
      <c r="FQ63" s="990"/>
      <c r="FR63" s="990"/>
      <c r="FS63" s="990"/>
      <c r="FT63" s="990"/>
      <c r="FU63" s="991"/>
      <c r="FV63" s="990"/>
      <c r="FW63" s="990"/>
      <c r="FX63" s="990"/>
      <c r="FY63" s="990"/>
      <c r="FZ63" s="991"/>
      <c r="GA63" s="990"/>
      <c r="GB63" s="990"/>
      <c r="GC63" s="990"/>
      <c r="GD63" s="990"/>
      <c r="GE63" s="991"/>
      <c r="GF63" s="990"/>
      <c r="GG63" s="990"/>
      <c r="GH63" s="990"/>
      <c r="GI63" s="990"/>
      <c r="GJ63" s="991"/>
    </row>
    <row r="64" spans="1:192" s="461" customFormat="1" ht="12.75" customHeight="1">
      <c r="A64" s="370"/>
      <c r="B64" s="621" t="s">
        <v>190</v>
      </c>
      <c r="C64" s="624"/>
      <c r="D64" s="624"/>
      <c r="E64" s="624"/>
      <c r="F64" s="624"/>
      <c r="G64" s="622"/>
      <c r="H64" s="624"/>
      <c r="I64" s="624"/>
      <c r="J64" s="624"/>
      <c r="K64" s="624"/>
      <c r="L64" s="622"/>
      <c r="M64" s="624"/>
      <c r="N64" s="624"/>
      <c r="O64" s="624"/>
      <c r="P64" s="624"/>
      <c r="Q64" s="622"/>
      <c r="R64" s="981"/>
      <c r="S64" s="981"/>
      <c r="T64" s="981"/>
      <c r="U64" s="981"/>
      <c r="V64" s="622"/>
      <c r="W64" s="981"/>
      <c r="X64" s="981"/>
      <c r="Y64" s="981"/>
      <c r="Z64" s="981"/>
      <c r="AA64" s="622"/>
      <c r="AB64" s="981"/>
      <c r="AC64" s="981"/>
      <c r="AD64" s="981"/>
      <c r="AE64" s="981"/>
      <c r="AF64" s="622"/>
      <c r="AG64" s="981"/>
      <c r="AH64" s="981"/>
      <c r="AI64" s="981"/>
      <c r="AJ64" s="981"/>
      <c r="AK64" s="622"/>
      <c r="AL64" s="624"/>
      <c r="AM64" s="624"/>
      <c r="AN64" s="624"/>
      <c r="AO64" s="624"/>
      <c r="AP64" s="622"/>
      <c r="AQ64" s="624"/>
      <c r="AR64" s="624"/>
      <c r="AS64" s="624"/>
      <c r="AT64" s="624"/>
      <c r="AU64" s="622"/>
      <c r="AV64" s="624"/>
      <c r="AW64" s="624"/>
      <c r="AX64" s="624"/>
      <c r="AY64" s="624"/>
      <c r="AZ64" s="622"/>
      <c r="BA64" s="624"/>
      <c r="BB64" s="624"/>
      <c r="BC64" s="624"/>
      <c r="BD64" s="624"/>
      <c r="BE64" s="622"/>
      <c r="BF64" s="624"/>
      <c r="BG64" s="624"/>
      <c r="BH64" s="624"/>
      <c r="BI64" s="624"/>
      <c r="BJ64" s="622"/>
      <c r="BK64" s="624"/>
      <c r="BL64" s="624"/>
      <c r="BM64" s="624"/>
      <c r="BN64" s="624"/>
      <c r="BO64" s="622"/>
      <c r="BP64" s="624"/>
      <c r="BQ64" s="624"/>
      <c r="BR64" s="624"/>
      <c r="BS64" s="624"/>
      <c r="BT64" s="622"/>
      <c r="BU64" s="624"/>
      <c r="BV64" s="624"/>
      <c r="BW64" s="624"/>
      <c r="BX64" s="624"/>
      <c r="BY64" s="622"/>
      <c r="BZ64" s="624"/>
      <c r="CA64" s="624"/>
      <c r="CB64" s="624"/>
      <c r="CC64" s="624"/>
      <c r="CD64" s="622"/>
      <c r="CE64" s="624"/>
      <c r="CF64" s="624"/>
      <c r="CG64" s="624"/>
      <c r="CH64" s="624"/>
      <c r="CI64" s="622"/>
      <c r="CJ64" s="624"/>
      <c r="CK64" s="624"/>
      <c r="CL64" s="624"/>
      <c r="CM64" s="624"/>
      <c r="CN64" s="622"/>
      <c r="CO64" s="624"/>
      <c r="CP64" s="624"/>
      <c r="CQ64" s="624"/>
      <c r="CR64" s="624"/>
      <c r="CS64" s="622"/>
      <c r="CT64" s="624"/>
      <c r="CU64" s="624"/>
      <c r="CV64" s="624"/>
      <c r="CW64" s="624"/>
      <c r="CX64" s="622"/>
      <c r="CY64" s="820">
        <f>IFERROR(Company1738!CY50,"")</f>
      </c>
      <c r="CZ64" s="820">
        <f>IFERROR(Company1738!CZ50,"")</f>
      </c>
      <c r="DA64" s="820">
        <f>IFERROR(Company1738!DA50,"")</f>
      </c>
      <c r="DB64" s="820">
        <f>IFERROR(Company1738!DB50,"")</f>
      </c>
      <c r="DC64" s="830">
        <f>IFERROR(Company1738!DC50,"")</f>
      </c>
      <c r="DD64" s="820">
        <f>IFERROR(Company1738!DD50,"")</f>
      </c>
      <c r="DE64" s="820">
        <f>IFERROR(Company1738!DE50,"")</f>
      </c>
      <c r="DF64" s="820">
        <f>IFERROR(Company1738!DF50,"")</f>
      </c>
      <c r="DG64" s="820">
        <f>IFERROR(Company1738!DG50,"")</f>
      </c>
      <c r="DH64" s="830">
        <f>IFERROR(Company1738!DH50,"")</f>
      </c>
      <c r="DI64" s="820">
        <f>IFERROR(Company1738!DI50,"")</f>
      </c>
      <c r="DJ64" s="820">
        <f>IFERROR(Company1738!DJ50,"")</f>
      </c>
      <c r="DK64" s="820">
        <f>IFERROR(Company1738!DK50,"")</f>
      </c>
      <c r="DL64" s="820">
        <f>IFERROR(Company1738!DL50,"")</f>
      </c>
      <c r="DM64" s="830">
        <f>IFERROR(Company1738!DM50,"")</f>
      </c>
      <c r="DN64" s="820">
        <f>IFERROR(Company1738!DN50,"")</f>
      </c>
      <c r="DO64" s="820">
        <f>IFERROR(Company1738!DO50,"")</f>
      </c>
      <c r="DP64" s="820">
        <f>IFERROR(Company1738!DP50,"")</f>
      </c>
      <c r="DQ64" s="820">
        <f>IFERROR(Company1738!DQ50,"")</f>
      </c>
      <c r="DR64" s="830">
        <f>IFERROR(Company1738!DR50,"")</f>
      </c>
      <c r="DS64" s="820">
        <f>IFERROR(Company1738!DS50,"")</f>
      </c>
      <c r="DT64" s="820">
        <f>IFERROR(Company1738!DT50,"")</f>
      </c>
      <c r="DU64" s="820">
        <f>IFERROR(Company1738!DU50,"")</f>
      </c>
      <c r="DV64" s="820">
        <f>IFERROR(Company1738!DV50,"")</f>
      </c>
      <c r="DW64" s="830">
        <f>IFERROR(Company1738!DW50,"")</f>
      </c>
      <c r="DX64" s="820">
        <f>IFERROR(Company1738!DX50,"")</f>
      </c>
      <c r="DY64" s="820">
        <f>IFERROR(Company1738!DY50,"")</f>
      </c>
      <c r="DZ64" s="820">
        <f>IFERROR(Company1738!DZ50,"")</f>
      </c>
      <c r="EA64" s="820">
        <f>IFERROR(Company1738!EA50,"")</f>
      </c>
      <c r="EB64" s="830">
        <f>IFERROR(Company1738!EB50,"")</f>
      </c>
      <c r="EC64" s="820">
        <f>IFERROR(Company1738!EC50,"")</f>
      </c>
      <c r="ED64" s="820">
        <f>IFERROR(Company1738!ED50,"")</f>
      </c>
      <c r="EE64" s="820">
        <f>IFERROR(Company1738!EE50,"")</f>
      </c>
      <c r="EF64" s="820">
        <f>IFERROR(Company1738!EF50,"")</f>
      </c>
      <c r="EG64" s="830">
        <f>IFERROR(Company1738!EG50,"")</f>
      </c>
      <c r="EH64" s="820">
        <f>IFERROR(Company1738!EH50,"")</f>
      </c>
      <c r="EI64" s="820">
        <f>IFERROR(Company1738!EI50,"")</f>
      </c>
      <c r="EJ64" s="820">
        <f>IFERROR(Company1738!EJ50,"")</f>
      </c>
      <c r="EK64" s="820">
        <f>IFERROR(Company1738!EK50,"")</f>
      </c>
      <c r="EL64" s="830">
        <f>IFERROR(Company1738!EL50,"")</f>
      </c>
      <c r="EM64" s="820">
        <f>IFERROR(Company1738!EM50,"")</f>
      </c>
      <c r="EN64" s="820">
        <f>IFERROR(Company1738!EN50,"")</f>
      </c>
      <c r="EO64" s="820">
        <f>IFERROR(Company1738!EO50,"")</f>
      </c>
      <c r="EP64" s="820">
        <f>IFERROR(Company1738!EP50,"")</f>
      </c>
      <c r="EQ64" s="830">
        <f>IFERROR(Company1738!EQ50,"")</f>
      </c>
      <c r="ER64" s="820">
        <f>Company1738!ER10</f>
      </c>
      <c r="ES64" s="820">
        <f>Company1738!ES10</f>
      </c>
      <c r="ET64" s="820">
        <f>Company1738!ET10</f>
      </c>
      <c r="EU64" s="820">
        <f>Company1738!EU10</f>
      </c>
      <c r="EV64" s="830">
        <f>Company1738!EV10</f>
      </c>
      <c r="EW64" s="820">
        <f>Company1738!EW10</f>
      </c>
      <c r="EX64" s="820">
        <f>Company1738!EX10</f>
      </c>
      <c r="EY64" s="820">
        <f>Company1738!EY10</f>
      </c>
      <c r="EZ64" s="820">
        <f>Company1738!EZ10</f>
      </c>
      <c r="FA64" s="830">
        <f>Company1738!FA10</f>
      </c>
      <c r="FB64" s="820">
        <f>Company1738!FB10</f>
      </c>
      <c r="FC64" s="820">
        <f>Company1738!FC10</f>
      </c>
      <c r="FD64" s="820">
        <f>Company1738!FD10</f>
      </c>
      <c r="FE64" s="820">
        <f>Company1738!FE10</f>
      </c>
      <c r="FF64" s="830">
        <f>Company1738!FF10</f>
      </c>
      <c r="FG64" s="820">
        <f>Company1738!FG10</f>
      </c>
      <c r="FH64" s="820">
        <f>Company1738!FH10</f>
      </c>
      <c r="FI64" s="820">
        <f>Company1738!FI10</f>
      </c>
      <c r="FJ64" s="820">
        <f>Company1738!FJ10</f>
      </c>
      <c r="FK64" s="830">
        <f>Company1738!FK10</f>
      </c>
      <c r="FL64" s="820">
        <f>Company1738!FL10</f>
      </c>
      <c r="FM64" s="820">
        <f>Company1738!FM10</f>
      </c>
      <c r="FN64" s="820">
        <f>Company1738!FN10</f>
      </c>
      <c r="FO64" s="820">
        <f>Company1738!FO10</f>
      </c>
      <c r="FP64" s="830">
        <f>Company1738!FP10</f>
      </c>
      <c r="FQ64" s="820">
        <f>Company1738!FQ10</f>
      </c>
      <c r="FR64" s="820">
        <f>Company1738!FR10</f>
      </c>
      <c r="FS64" s="820">
        <f>Company1738!FS10</f>
      </c>
      <c r="FT64" s="820">
        <f>Company1738!FT10</f>
      </c>
      <c r="FU64" s="830">
        <f>Company1738!FU10</f>
      </c>
      <c r="FV64" s="820">
        <f>Company1738!FV10</f>
      </c>
      <c r="FW64" s="820">
        <f>Company1738!FW10</f>
      </c>
      <c r="FX64" s="820">
        <f>Company1738!FX10</f>
      </c>
      <c r="FY64" s="820">
        <f>Company1738!FY10</f>
      </c>
      <c r="FZ64" s="830">
        <f>Company1738!FZ10</f>
      </c>
      <c r="GA64" s="820">
        <f>Company1738!GA10</f>
      </c>
      <c r="GB64" s="820">
        <f>Company1738!GB10</f>
      </c>
      <c r="GC64" s="820">
        <f>Company1738!GC10</f>
      </c>
      <c r="GD64" s="820">
        <f>Company1738!GD10</f>
      </c>
      <c r="GE64" s="830">
        <f>Company1738!GE10</f>
      </c>
      <c r="GF64" s="820">
        <f>Company1738!GF10</f>
      </c>
      <c r="GG64" s="820">
        <f>Company1738!GG10</f>
      </c>
      <c r="GH64" s="820">
        <f>Company1738!GH10</f>
      </c>
      <c r="GI64" s="820">
        <f>Company1738!GI10</f>
      </c>
      <c r="GJ64" s="830">
        <f>Company1738!GJ10</f>
      </c>
    </row>
    <row r="65" spans="1:192" s="479" customFormat="1" ht="12.75" customHeight="1">
      <c r="A65" s="81"/>
      <c r="B65" s="1734" t="s">
        <v>34</v>
      </c>
      <c r="C65" s="1735"/>
      <c r="D65" s="1735"/>
      <c r="E65" s="1735"/>
      <c r="F65" s="1735"/>
      <c r="G65" s="1736"/>
      <c r="H65" s="1735"/>
      <c r="I65" s="1735"/>
      <c r="J65" s="1735"/>
      <c r="K65" s="1735"/>
      <c r="L65" s="1736"/>
      <c r="M65" s="1735"/>
      <c r="N65" s="1735"/>
      <c r="O65" s="1735"/>
      <c r="P65" s="1735"/>
      <c r="Q65" s="1736"/>
      <c r="R65" s="1737"/>
      <c r="S65" s="1737"/>
      <c r="T65" s="1737"/>
      <c r="U65" s="1737"/>
      <c r="V65" s="1736"/>
      <c r="W65" s="1737"/>
      <c r="X65" s="1737"/>
      <c r="Y65" s="1737"/>
      <c r="Z65" s="1737"/>
      <c r="AA65" s="1736"/>
      <c r="AB65" s="1737"/>
      <c r="AC65" s="1737"/>
      <c r="AD65" s="1737"/>
      <c r="AE65" s="1737"/>
      <c r="AF65" s="1736"/>
      <c r="AG65" s="1737"/>
      <c r="AH65" s="1737"/>
      <c r="AI65" s="1737"/>
      <c r="AJ65" s="1737"/>
      <c r="AK65" s="1736"/>
      <c r="AL65" s="1735"/>
      <c r="AM65" s="1735"/>
      <c r="AN65" s="1735"/>
      <c r="AO65" s="1735"/>
      <c r="AP65" s="1736"/>
      <c r="AQ65" s="1735"/>
      <c r="AR65" s="1735"/>
      <c r="AS65" s="1735"/>
      <c r="AT65" s="1735"/>
      <c r="AU65" s="1736"/>
      <c r="AV65" s="1735"/>
      <c r="AW65" s="1735"/>
      <c r="AX65" s="1735"/>
      <c r="AY65" s="1735"/>
      <c r="AZ65" s="1736"/>
      <c r="BA65" s="1735"/>
      <c r="BB65" s="1735"/>
      <c r="BC65" s="1735"/>
      <c r="BD65" s="1735"/>
      <c r="BE65" s="1736"/>
      <c r="BF65" s="1735"/>
      <c r="BG65" s="1735"/>
      <c r="BH65" s="1735"/>
      <c r="BI65" s="1735"/>
      <c r="BJ65" s="1736"/>
      <c r="BK65" s="1735"/>
      <c r="BL65" s="1735"/>
      <c r="BM65" s="1735"/>
      <c r="BN65" s="1735"/>
      <c r="BO65" s="1736"/>
      <c r="BP65" s="1735"/>
      <c r="BQ65" s="1735"/>
      <c r="BR65" s="1735"/>
      <c r="BS65" s="1735"/>
      <c r="BT65" s="1736"/>
      <c r="BU65" s="1735"/>
      <c r="BV65" s="1735"/>
      <c r="BW65" s="1735"/>
      <c r="BX65" s="1735"/>
      <c r="BY65" s="1736"/>
      <c r="BZ65" s="1735"/>
      <c r="CA65" s="1735"/>
      <c r="CB65" s="1735"/>
      <c r="CC65" s="1735"/>
      <c r="CD65" s="1736"/>
      <c r="CE65" s="1735"/>
      <c r="CF65" s="1735"/>
      <c r="CG65" s="1735"/>
      <c r="CH65" s="1735"/>
      <c r="CI65" s="1736"/>
      <c r="CJ65" s="1735"/>
      <c r="CK65" s="1735"/>
      <c r="CL65" s="1735"/>
      <c r="CM65" s="1735"/>
      <c r="CN65" s="1736"/>
      <c r="CO65" s="1735"/>
      <c r="CP65" s="1735"/>
      <c r="CQ65" s="1735"/>
      <c r="CR65" s="1735"/>
      <c r="CS65" s="1736"/>
      <c r="CT65" s="1735"/>
      <c r="CU65" s="1735"/>
      <c r="CV65" s="1735"/>
      <c r="CW65" s="1735"/>
      <c r="CX65" s="1736"/>
      <c r="CY65" s="1738"/>
      <c r="CZ65" s="1738"/>
      <c r="DA65" s="1738"/>
      <c r="DB65" s="1738"/>
      <c r="DC65" s="1739"/>
      <c r="DD65" s="267">
        <f t="shared" ref="DD65:EI65" si="203">IFERROR(DD64/CY64-1,"")</f>
      </c>
      <c r="DE65" s="267">
        <f t="shared" si="203"/>
      </c>
      <c r="DF65" s="267">
        <f t="shared" si="203"/>
      </c>
      <c r="DG65" s="267">
        <f t="shared" si="203"/>
      </c>
      <c r="DH65" s="1740">
        <f t="shared" si="203"/>
      </c>
      <c r="DI65" s="267">
        <f t="shared" si="203"/>
      </c>
      <c r="DJ65" s="267">
        <f t="shared" si="203"/>
      </c>
      <c r="DK65" s="267">
        <f t="shared" si="203"/>
      </c>
      <c r="DL65" s="267">
        <f t="shared" si="203"/>
      </c>
      <c r="DM65" s="1740">
        <f t="shared" si="203"/>
      </c>
      <c r="DN65" s="267">
        <f t="shared" si="203"/>
      </c>
      <c r="DO65" s="267">
        <f t="shared" si="203"/>
      </c>
      <c r="DP65" s="267">
        <f t="shared" si="203"/>
      </c>
      <c r="DQ65" s="267">
        <f t="shared" si="203"/>
      </c>
      <c r="DR65" s="1740">
        <f t="shared" si="203"/>
      </c>
      <c r="DS65" s="267">
        <f t="shared" si="203"/>
      </c>
      <c r="DT65" s="267">
        <f t="shared" si="203"/>
      </c>
      <c r="DU65" s="267">
        <f t="shared" si="203"/>
      </c>
      <c r="DV65" s="267">
        <f t="shared" si="203"/>
      </c>
      <c r="DW65" s="1740">
        <f t="shared" si="203"/>
      </c>
      <c r="DX65" s="267">
        <f t="shared" si="203"/>
      </c>
      <c r="DY65" s="267">
        <f t="shared" si="203"/>
      </c>
      <c r="DZ65" s="267">
        <f t="shared" si="203"/>
      </c>
      <c r="EA65" s="267">
        <f t="shared" si="203"/>
      </c>
      <c r="EB65" s="1740">
        <f t="shared" si="203"/>
      </c>
      <c r="EC65" s="267">
        <f t="shared" si="203"/>
      </c>
      <c r="ED65" s="267">
        <f t="shared" si="203"/>
      </c>
      <c r="EE65" s="267">
        <f t="shared" si="203"/>
      </c>
      <c r="EF65" s="267">
        <f t="shared" si="203"/>
      </c>
      <c r="EG65" s="1740">
        <f t="shared" si="203"/>
      </c>
      <c r="EH65" s="267">
        <f t="shared" si="203"/>
      </c>
      <c r="EI65" s="267">
        <f t="shared" si="203"/>
      </c>
      <c r="EJ65" s="267">
        <f t="shared" ref="EJ65:FO65" si="204">IFERROR(EJ64/EE64-1,"")</f>
      </c>
      <c r="EK65" s="267">
        <f t="shared" si="204"/>
      </c>
      <c r="EL65" s="1740">
        <f t="shared" si="204"/>
      </c>
      <c r="EM65" s="267">
        <f t="shared" si="204"/>
      </c>
      <c r="EN65" s="267">
        <f t="shared" si="204"/>
      </c>
      <c r="EO65" s="267">
        <f t="shared" si="204"/>
      </c>
      <c r="EP65" s="267">
        <f t="shared" si="204"/>
      </c>
      <c r="EQ65" s="1740">
        <f t="shared" si="204"/>
      </c>
      <c r="ER65" s="267">
        <f t="shared" ref="ER65" si="205">IFERROR(ER64/EM64-1,"")</f>
      </c>
      <c r="ES65" s="267">
        <f t="shared" ref="ES65" si="206">IFERROR(ES64/EN64-1,"")</f>
      </c>
      <c r="ET65" s="267">
        <f t="shared" ref="ET65" si="207">IFERROR(ET64/EO64-1,"")</f>
      </c>
      <c r="EU65" s="267">
        <f t="shared" ref="EU65" si="208">IFERROR(EU64/EP64-1,"")</f>
      </c>
      <c r="EV65" s="1740">
        <f t="shared" ref="EV65" si="209">IFERROR(EV64/EQ64-1,"")</f>
      </c>
      <c r="EW65" s="267">
        <f t="shared" si="204"/>
      </c>
      <c r="EX65" s="267">
        <f t="shared" si="204"/>
      </c>
      <c r="EY65" s="267">
        <f t="shared" si="204"/>
      </c>
      <c r="EZ65" s="267">
        <f t="shared" ref="EZ65" si="210">IFERROR(EZ64/EU64-1,"")</f>
      </c>
      <c r="FA65" s="1740">
        <f t="shared" ref="FA65" si="211">IFERROR(FA64/EV64-1,"")</f>
      </c>
      <c r="FB65" s="267">
        <f t="shared" si="204"/>
      </c>
      <c r="FC65" s="267">
        <f t="shared" si="204"/>
      </c>
      <c r="FD65" s="267">
        <f t="shared" si="204"/>
      </c>
      <c r="FE65" s="267">
        <f t="shared" si="204"/>
      </c>
      <c r="FF65" s="1740">
        <f t="shared" si="204"/>
      </c>
      <c r="FG65" s="267">
        <f t="shared" si="204"/>
      </c>
      <c r="FH65" s="267">
        <f t="shared" si="204"/>
      </c>
      <c r="FI65" s="267">
        <f t="shared" si="204"/>
      </c>
      <c r="FJ65" s="267">
        <f t="shared" si="204"/>
      </c>
      <c r="FK65" s="1740">
        <f t="shared" si="204"/>
      </c>
      <c r="FL65" s="267">
        <f t="shared" si="204"/>
      </c>
      <c r="FM65" s="267">
        <f t="shared" si="204"/>
      </c>
      <c r="FN65" s="267">
        <f t="shared" si="204"/>
      </c>
      <c r="FO65" s="267">
        <f t="shared" si="204"/>
      </c>
      <c r="FP65" s="1740">
        <f t="shared" ref="FP65:GE65" si="212">IFERROR(FP64/FK64-1,"")</f>
      </c>
      <c r="FQ65" s="267">
        <f t="shared" si="212"/>
      </c>
      <c r="FR65" s="267">
        <f t="shared" si="212"/>
      </c>
      <c r="FS65" s="267">
        <f t="shared" si="212"/>
      </c>
      <c r="FT65" s="267">
        <f t="shared" si="212"/>
      </c>
      <c r="FU65" s="1740">
        <f t="shared" si="212"/>
      </c>
      <c r="FV65" s="267">
        <f t="shared" si="212"/>
      </c>
      <c r="FW65" s="267">
        <f t="shared" si="212"/>
      </c>
      <c r="FX65" s="267">
        <f t="shared" si="212"/>
      </c>
      <c r="FY65" s="267">
        <f t="shared" si="212"/>
      </c>
      <c r="FZ65" s="1740">
        <f t="shared" si="212"/>
      </c>
      <c r="GA65" s="267">
        <f t="shared" si="212"/>
      </c>
      <c r="GB65" s="267">
        <f t="shared" si="212"/>
      </c>
      <c r="GC65" s="267">
        <f t="shared" si="212"/>
      </c>
      <c r="GD65" s="267">
        <f t="shared" si="212"/>
      </c>
      <c r="GE65" s="1740">
        <f t="shared" si="212"/>
      </c>
      <c r="GF65" s="267">
        <f t="shared" ref="GF65" si="213">IFERROR(GF64/GA64-1,"")</f>
      </c>
      <c r="GG65" s="267">
        <f t="shared" ref="GG65" si="214">IFERROR(GG64/GB64-1,"")</f>
      </c>
      <c r="GH65" s="267">
        <f t="shared" ref="GH65" si="215">IFERROR(GH64/GC64-1,"")</f>
      </c>
      <c r="GI65" s="267">
        <f t="shared" ref="GI65" si="216">IFERROR(GI64/GD64-1,"")</f>
      </c>
      <c r="GJ65" s="1740">
        <f t="shared" ref="GJ65" si="217">IFERROR(GJ64/GE64-1,"")</f>
      </c>
    </row>
    <row r="66" spans="1:192" s="479" customFormat="1" ht="12.75" customHeight="1">
      <c r="A66" s="81"/>
      <c r="B66" s="1734" t="s">
        <v>36</v>
      </c>
      <c r="C66" s="1735"/>
      <c r="D66" s="1735"/>
      <c r="E66" s="1735"/>
      <c r="F66" s="1735"/>
      <c r="G66" s="1736"/>
      <c r="H66" s="1735"/>
      <c r="I66" s="1735"/>
      <c r="J66" s="1735"/>
      <c r="K66" s="1735"/>
      <c r="L66" s="1736"/>
      <c r="M66" s="1735"/>
      <c r="N66" s="1735"/>
      <c r="O66" s="1735"/>
      <c r="P66" s="1735"/>
      <c r="Q66" s="1736"/>
      <c r="R66" s="1737"/>
      <c r="S66" s="1737"/>
      <c r="T66" s="1737"/>
      <c r="U66" s="1737"/>
      <c r="V66" s="1736"/>
      <c r="W66" s="1737"/>
      <c r="X66" s="1737"/>
      <c r="Y66" s="1737"/>
      <c r="Z66" s="1737"/>
      <c r="AA66" s="1736"/>
      <c r="AB66" s="1737"/>
      <c r="AC66" s="1737"/>
      <c r="AD66" s="1737"/>
      <c r="AE66" s="1737"/>
      <c r="AF66" s="1736"/>
      <c r="AG66" s="1737"/>
      <c r="AH66" s="1737"/>
      <c r="AI66" s="1737"/>
      <c r="AJ66" s="1737"/>
      <c r="AK66" s="1736"/>
      <c r="AL66" s="1735"/>
      <c r="AM66" s="1735"/>
      <c r="AN66" s="1735"/>
      <c r="AO66" s="1735"/>
      <c r="AP66" s="1736"/>
      <c r="AQ66" s="1735"/>
      <c r="AR66" s="1735"/>
      <c r="AS66" s="1735"/>
      <c r="AT66" s="1735"/>
      <c r="AU66" s="1736"/>
      <c r="AV66" s="1735"/>
      <c r="AW66" s="1735"/>
      <c r="AX66" s="1735"/>
      <c r="AY66" s="1735"/>
      <c r="AZ66" s="1736"/>
      <c r="BA66" s="1735"/>
      <c r="BB66" s="1735"/>
      <c r="BC66" s="1735"/>
      <c r="BD66" s="1735"/>
      <c r="BE66" s="1736"/>
      <c r="BF66" s="1735"/>
      <c r="BG66" s="1735"/>
      <c r="BH66" s="1735"/>
      <c r="BI66" s="1735"/>
      <c r="BJ66" s="1736"/>
      <c r="BK66" s="1735"/>
      <c r="BL66" s="1735"/>
      <c r="BM66" s="1735"/>
      <c r="BN66" s="1735"/>
      <c r="BO66" s="1736"/>
      <c r="BP66" s="1735"/>
      <c r="BQ66" s="1735"/>
      <c r="BR66" s="1735"/>
      <c r="BS66" s="1735"/>
      <c r="BT66" s="1736"/>
      <c r="BU66" s="1735"/>
      <c r="BV66" s="1735"/>
      <c r="BW66" s="1735"/>
      <c r="BX66" s="1735"/>
      <c r="BY66" s="1736"/>
      <c r="BZ66" s="1735"/>
      <c r="CA66" s="1735"/>
      <c r="CB66" s="1735"/>
      <c r="CC66" s="1735"/>
      <c r="CD66" s="1736"/>
      <c r="CE66" s="1735"/>
      <c r="CF66" s="1735"/>
      <c r="CG66" s="1735"/>
      <c r="CH66" s="1735"/>
      <c r="CI66" s="1736"/>
      <c r="CJ66" s="1735"/>
      <c r="CK66" s="1735"/>
      <c r="CL66" s="1735"/>
      <c r="CM66" s="1735"/>
      <c r="CN66" s="1736"/>
      <c r="CO66" s="1735"/>
      <c r="CP66" s="1735"/>
      <c r="CQ66" s="1735"/>
      <c r="CR66" s="1735"/>
      <c r="CS66" s="1736"/>
      <c r="CT66" s="1735"/>
      <c r="CU66" s="1735"/>
      <c r="CV66" s="1735"/>
      <c r="CW66" s="1735"/>
      <c r="CX66" s="1736"/>
      <c r="CY66" s="1738"/>
      <c r="CZ66" s="1741">
        <f>IFERROR(CZ64/CY64-1,"")</f>
      </c>
      <c r="DA66" s="1741">
        <f>IFERROR(DA64/CZ64-1,"")</f>
      </c>
      <c r="DB66" s="1741">
        <f>IFERROR(DB64/DA64-1,"")</f>
      </c>
      <c r="DC66" s="1742"/>
      <c r="DD66" s="267">
        <f>IFERROR(DD64/DB64-1,"")</f>
      </c>
      <c r="DE66" s="1741">
        <f>IFERROR(DE64/DD64-1,"")</f>
      </c>
      <c r="DF66" s="1741">
        <f>IFERROR(DF64/DE64-1,"")</f>
      </c>
      <c r="DG66" s="1741">
        <f>IFERROR(DG64/DF64-1,"")</f>
      </c>
      <c r="DH66" s="1739"/>
      <c r="DI66" s="267">
        <f>IFERROR(DI64/DG64-1,"")</f>
      </c>
      <c r="DJ66" s="1741">
        <f>IFERROR(DJ64/DI64-1,"")</f>
      </c>
      <c r="DK66" s="1741">
        <f>IFERROR(DK64/DJ64-1,"")</f>
      </c>
      <c r="DL66" s="1741">
        <f>IFERROR(DL64/DK64-1,"")</f>
      </c>
      <c r="DM66" s="1739"/>
      <c r="DN66" s="267">
        <f>IFERROR(DN64/DL64-1,"")</f>
      </c>
      <c r="DO66" s="1741">
        <f>IFERROR(DO64/DN64-1,"")</f>
      </c>
      <c r="DP66" s="1741">
        <f>IFERROR(DP64/DO64-1,"")</f>
      </c>
      <c r="DQ66" s="1741">
        <f>IFERROR(DQ64/DP64-1,"")</f>
      </c>
      <c r="DR66" s="1739"/>
      <c r="DS66" s="267">
        <f>IFERROR(DS64/DQ64-1,"")</f>
      </c>
      <c r="DT66" s="1741">
        <f>IFERROR(DT64/DS64-1,"")</f>
      </c>
      <c r="DU66" s="1741">
        <f>IFERROR(DU64/DT64-1,"")</f>
      </c>
      <c r="DV66" s="1741">
        <f>IFERROR(DV64/DU64-1,"")</f>
      </c>
      <c r="DW66" s="1739"/>
      <c r="DX66" s="267">
        <f>IFERROR(DX64/DV64-1,"")</f>
      </c>
      <c r="DY66" s="1741">
        <f>IFERROR(DY64/DX64-1,"")</f>
      </c>
      <c r="DZ66" s="1741">
        <f>IFERROR(DZ64/DY64-1,"")</f>
      </c>
      <c r="EA66" s="1741">
        <f>IFERROR(EA64/DZ64-1,"")</f>
      </c>
      <c r="EB66" s="1739"/>
      <c r="EC66" s="267">
        <f>IFERROR(EC64/EA64-1,"")</f>
      </c>
      <c r="ED66" s="1741">
        <f>IFERROR(ED64/EC64-1,"")</f>
      </c>
      <c r="EE66" s="1741">
        <f>IFERROR(EE64/ED64-1,"")</f>
      </c>
      <c r="EF66" s="1741">
        <f>IFERROR(EF64/EE64-1,"")</f>
      </c>
      <c r="EG66" s="1739"/>
      <c r="EH66" s="267">
        <f>IFERROR(EH64/EF64-1,"")</f>
      </c>
      <c r="EI66" s="1741">
        <f>IFERROR(EI64/EH64-1,"")</f>
      </c>
      <c r="EJ66" s="1741">
        <f>IFERROR(EJ64/EI64-1,"")</f>
      </c>
      <c r="EK66" s="1741">
        <f>IFERROR(EK64/EJ64-1,"")</f>
      </c>
      <c r="EL66" s="1739"/>
      <c r="EM66" s="267">
        <f>IFERROR(EM64/EK64-1,"")</f>
      </c>
      <c r="EN66" s="1741">
        <f>IFERROR(EN64/EM64-1,"")</f>
      </c>
      <c r="EO66" s="1741">
        <f>IFERROR(EO64/EN64-1,"")</f>
      </c>
      <c r="EP66" s="1741">
        <f>IFERROR(EP64/EO64-1,"")</f>
      </c>
      <c r="EQ66" s="1739"/>
      <c r="ER66" s="267">
        <f>IFERROR(ER64/EP64-1,"")</f>
      </c>
      <c r="ES66" s="1741">
        <f>IFERROR(ES64/ER64-1,"")</f>
      </c>
      <c r="ET66" s="1741">
        <f>IFERROR(ET64/ES64-1,"")</f>
      </c>
      <c r="EU66" s="1741">
        <f>IFERROR(EU64/ET64-1,"")</f>
      </c>
      <c r="EV66" s="1739"/>
      <c r="EW66" s="267">
        <f>IFERROR(EW64/EU64-1,"")</f>
      </c>
      <c r="EX66" s="1741">
        <f>IFERROR(EX64/EW64-1,"")</f>
      </c>
      <c r="EY66" s="1741">
        <f>IFERROR(EY64/EX64-1,"")</f>
      </c>
      <c r="EZ66" s="1741">
        <f>IFERROR(EZ64/EY64-1,"")</f>
      </c>
      <c r="FA66" s="1739"/>
      <c r="FB66" s="267">
        <f>IFERROR(FB64/EZ64-1,"")</f>
      </c>
      <c r="FC66" s="1741">
        <f>IFERROR(FC64/FB64-1,"")</f>
      </c>
      <c r="FD66" s="1741">
        <f>IFERROR(FD64/FC64-1,"")</f>
      </c>
      <c r="FE66" s="1741">
        <f>IFERROR(FE64/FD64-1,"")</f>
      </c>
      <c r="FF66" s="1739"/>
      <c r="FG66" s="267">
        <f>IFERROR(FG64/FE64-1,"")</f>
      </c>
      <c r="FH66" s="1741">
        <f>IFERROR(FH64/FG64-1,"")</f>
      </c>
      <c r="FI66" s="1741">
        <f>IFERROR(FI64/FH64-1,"")</f>
      </c>
      <c r="FJ66" s="1741">
        <f>IFERROR(FJ64/FI64-1,"")</f>
      </c>
      <c r="FK66" s="1739"/>
      <c r="FL66" s="267">
        <f>IFERROR(FL64/FJ64-1,"")</f>
      </c>
      <c r="FM66" s="1741">
        <f>IFERROR(FM64/FL64-1,"")</f>
      </c>
      <c r="FN66" s="1741">
        <f>IFERROR(FN64/FM64-1,"")</f>
      </c>
      <c r="FO66" s="1741">
        <f>IFERROR(FO64/FN64-1,"")</f>
      </c>
      <c r="FP66" s="1739"/>
      <c r="FQ66" s="267">
        <f>IFERROR(FQ64/FO64-1,"")</f>
      </c>
      <c r="FR66" s="1741">
        <f>IFERROR(FR64/FQ64-1,"")</f>
      </c>
      <c r="FS66" s="1741">
        <f>IFERROR(FS64/FR64-1,"")</f>
      </c>
      <c r="FT66" s="1741">
        <f>IFERROR(FT64/FS64-1,"")</f>
      </c>
      <c r="FU66" s="1739"/>
      <c r="FV66" s="267">
        <f>IFERROR(FV64/FT64-1,"")</f>
      </c>
      <c r="FW66" s="1741">
        <f>IFERROR(FW64/FV64-1,"")</f>
      </c>
      <c r="FX66" s="1741">
        <f>IFERROR(FX64/FW64-1,"")</f>
      </c>
      <c r="FY66" s="1741">
        <f>IFERROR(FY64/FX64-1,"")</f>
      </c>
      <c r="FZ66" s="1739"/>
      <c r="GA66" s="267">
        <f>IFERROR(GA64/FY64-1,"")</f>
      </c>
      <c r="GB66" s="1741">
        <f>IFERROR(GB64/GA64-1,"")</f>
      </c>
      <c r="GC66" s="1741">
        <f>IFERROR(GC64/GB64-1,"")</f>
      </c>
      <c r="GD66" s="1741">
        <f>IFERROR(GD64/GC64-1,"")</f>
      </c>
      <c r="GE66" s="1739"/>
      <c r="GF66" s="267">
        <f>IFERROR(GF64/GD64-1,"")</f>
      </c>
      <c r="GG66" s="1741">
        <f>IFERROR(GG64/GF64-1,"")</f>
      </c>
      <c r="GH66" s="1741">
        <f>IFERROR(GH64/GG64-1,"")</f>
      </c>
      <c r="GI66" s="1741">
        <f>IFERROR(GI64/GH64-1,"")</f>
      </c>
      <c r="GJ66" s="1739"/>
    </row>
    <row r="67" spans="1:192" s="479" customFormat="1" ht="12.75" customHeight="1">
      <c r="A67" s="81"/>
      <c r="B67" s="1734" t="s">
        <v>380</v>
      </c>
      <c r="C67" s="1735"/>
      <c r="D67" s="1735"/>
      <c r="E67" s="1735"/>
      <c r="F67" s="1735"/>
      <c r="G67" s="1736"/>
      <c r="H67" s="1735"/>
      <c r="I67" s="1735"/>
      <c r="J67" s="1735"/>
      <c r="K67" s="1735"/>
      <c r="L67" s="1736"/>
      <c r="M67" s="1735"/>
      <c r="N67" s="1735"/>
      <c r="O67" s="1735"/>
      <c r="P67" s="1735"/>
      <c r="Q67" s="1736"/>
      <c r="R67" s="1737"/>
      <c r="S67" s="1737"/>
      <c r="T67" s="1737"/>
      <c r="U67" s="1737"/>
      <c r="V67" s="1736"/>
      <c r="W67" s="1737"/>
      <c r="X67" s="1737"/>
      <c r="Y67" s="1737"/>
      <c r="Z67" s="1737"/>
      <c r="AA67" s="1736"/>
      <c r="AB67" s="1737"/>
      <c r="AC67" s="1737"/>
      <c r="AD67" s="1737"/>
      <c r="AE67" s="1737"/>
      <c r="AF67" s="1736"/>
      <c r="AG67" s="1737"/>
      <c r="AH67" s="1737"/>
      <c r="AI67" s="1737"/>
      <c r="AJ67" s="1737"/>
      <c r="AK67" s="1736"/>
      <c r="AL67" s="1735"/>
      <c r="AM67" s="1735"/>
      <c r="AN67" s="1735"/>
      <c r="AO67" s="1735"/>
      <c r="AP67" s="1736"/>
      <c r="AQ67" s="1735"/>
      <c r="AR67" s="1735"/>
      <c r="AS67" s="1735"/>
      <c r="AT67" s="1735"/>
      <c r="AU67" s="1736"/>
      <c r="AV67" s="1735"/>
      <c r="AW67" s="1735"/>
      <c r="AX67" s="1735"/>
      <c r="AY67" s="1735"/>
      <c r="AZ67" s="1736"/>
      <c r="BA67" s="1735"/>
      <c r="BB67" s="1735"/>
      <c r="BC67" s="1735"/>
      <c r="BD67" s="1735"/>
      <c r="BE67" s="1736"/>
      <c r="BF67" s="1735"/>
      <c r="BG67" s="1735"/>
      <c r="BH67" s="1735"/>
      <c r="BI67" s="1735"/>
      <c r="BJ67" s="1736"/>
      <c r="BK67" s="1735"/>
      <c r="BL67" s="1735"/>
      <c r="BM67" s="1735"/>
      <c r="BN67" s="1735"/>
      <c r="BO67" s="1736"/>
      <c r="BP67" s="1735"/>
      <c r="BQ67" s="1735"/>
      <c r="BR67" s="1735"/>
      <c r="BS67" s="1735"/>
      <c r="BT67" s="1736"/>
      <c r="BU67" s="1735"/>
      <c r="BV67" s="1735"/>
      <c r="BW67" s="1735"/>
      <c r="BX67" s="1735"/>
      <c r="BY67" s="1736"/>
      <c r="BZ67" s="1735"/>
      <c r="CA67" s="1735"/>
      <c r="CB67" s="1735"/>
      <c r="CC67" s="1735"/>
      <c r="CD67" s="1736"/>
      <c r="CE67" s="1735"/>
      <c r="CF67" s="1735"/>
      <c r="CG67" s="1735"/>
      <c r="CH67" s="1735"/>
      <c r="CI67" s="1736"/>
      <c r="CJ67" s="1735"/>
      <c r="CK67" s="1735"/>
      <c r="CL67" s="1735"/>
      <c r="CM67" s="1735"/>
      <c r="CN67" s="1736"/>
      <c r="CO67" s="1735"/>
      <c r="CP67" s="1735"/>
      <c r="CQ67" s="1735"/>
      <c r="CR67" s="1735"/>
      <c r="CS67" s="1736"/>
      <c r="CT67" s="1735"/>
      <c r="CU67" s="1735"/>
      <c r="CV67" s="1735"/>
      <c r="CW67" s="1735"/>
      <c r="CX67" s="1736"/>
      <c r="CY67" s="267">
        <f t="shared" ref="CY67:ED67" si="218">CY64/CY$10</f>
      </c>
      <c r="CZ67" s="267">
        <f t="shared" si="218"/>
      </c>
      <c r="DA67" s="267">
        <f t="shared" si="218"/>
      </c>
      <c r="DB67" s="267">
        <f t="shared" si="218"/>
      </c>
      <c r="DC67" s="1740">
        <f t="shared" si="218"/>
      </c>
      <c r="DD67" s="267">
        <f t="shared" si="218"/>
      </c>
      <c r="DE67" s="267">
        <f t="shared" si="218"/>
      </c>
      <c r="DF67" s="267">
        <f t="shared" si="218"/>
      </c>
      <c r="DG67" s="267">
        <f t="shared" si="218"/>
      </c>
      <c r="DH67" s="1740">
        <f t="shared" si="218"/>
      </c>
      <c r="DI67" s="267">
        <f t="shared" si="218"/>
      </c>
      <c r="DJ67" s="267">
        <f t="shared" si="218"/>
      </c>
      <c r="DK67" s="267">
        <f t="shared" si="218"/>
      </c>
      <c r="DL67" s="267">
        <f t="shared" si="218"/>
      </c>
      <c r="DM67" s="1740">
        <f t="shared" si="218"/>
      </c>
      <c r="DN67" s="267">
        <f t="shared" si="218"/>
      </c>
      <c r="DO67" s="267">
        <f t="shared" si="218"/>
      </c>
      <c r="DP67" s="267">
        <f t="shared" si="218"/>
      </c>
      <c r="DQ67" s="267">
        <f t="shared" si="218"/>
      </c>
      <c r="DR67" s="1740">
        <f t="shared" si="218"/>
      </c>
      <c r="DS67" s="267">
        <f t="shared" si="218"/>
      </c>
      <c r="DT67" s="267">
        <f t="shared" si="218"/>
      </c>
      <c r="DU67" s="267">
        <f t="shared" si="218"/>
      </c>
      <c r="DV67" s="267">
        <f t="shared" si="218"/>
      </c>
      <c r="DW67" s="1740">
        <f t="shared" si="218"/>
      </c>
      <c r="DX67" s="267">
        <f t="shared" si="218"/>
      </c>
      <c r="DY67" s="267">
        <f t="shared" si="218"/>
      </c>
      <c r="DZ67" s="267">
        <f t="shared" si="218"/>
      </c>
      <c r="EA67" s="267">
        <f t="shared" si="218"/>
      </c>
      <c r="EB67" s="1740">
        <f t="shared" si="218"/>
      </c>
      <c r="EC67" s="267">
        <f t="shared" si="218"/>
      </c>
      <c r="ED67" s="267">
        <f t="shared" si="218"/>
      </c>
      <c r="EE67" s="267">
        <f t="shared" ref="EE67:FJ67" si="219">EE64/EE$10</f>
      </c>
      <c r="EF67" s="267">
        <f t="shared" si="219"/>
      </c>
      <c r="EG67" s="1740">
        <f t="shared" si="219"/>
      </c>
      <c r="EH67" s="267">
        <f t="shared" si="219"/>
      </c>
      <c r="EI67" s="267">
        <f t="shared" si="219"/>
      </c>
      <c r="EJ67" s="267">
        <f t="shared" si="219"/>
      </c>
      <c r="EK67" s="267">
        <f t="shared" si="219"/>
      </c>
      <c r="EL67" s="1740">
        <f t="shared" si="219"/>
      </c>
      <c r="EM67" s="267">
        <f t="shared" si="219"/>
      </c>
      <c r="EN67" s="267">
        <f t="shared" si="219"/>
      </c>
      <c r="EO67" s="267">
        <f t="shared" si="219"/>
      </c>
      <c r="EP67" s="267">
        <f t="shared" si="219"/>
      </c>
      <c r="EQ67" s="1740">
        <f t="shared" si="219"/>
      </c>
      <c r="ER67" s="267">
        <f t="shared" si="219"/>
      </c>
      <c r="ES67" s="267">
        <f t="shared" si="219"/>
      </c>
      <c r="ET67" s="267">
        <f t="shared" si="219"/>
      </c>
      <c r="EU67" s="267">
        <f t="shared" si="219"/>
      </c>
      <c r="EV67" s="1740">
        <f t="shared" si="219"/>
      </c>
      <c r="EW67" s="267">
        <f t="shared" si="219"/>
      </c>
      <c r="EX67" s="267">
        <f t="shared" si="219"/>
      </c>
      <c r="EY67" s="267">
        <f t="shared" ref="EY67:FA67" si="220">EY64/EY$10</f>
      </c>
      <c r="EZ67" s="267">
        <f t="shared" si="220"/>
      </c>
      <c r="FA67" s="1740">
        <f t="shared" si="220"/>
      </c>
      <c r="FB67" s="267">
        <f t="shared" si="219"/>
      </c>
      <c r="FC67" s="267">
        <f t="shared" si="219"/>
      </c>
      <c r="FD67" s="267">
        <f t="shared" si="219"/>
      </c>
      <c r="FE67" s="267">
        <f t="shared" si="219"/>
      </c>
      <c r="FF67" s="1740">
        <f t="shared" si="219"/>
      </c>
      <c r="FG67" s="267">
        <f t="shared" si="219"/>
      </c>
      <c r="FH67" s="267">
        <f t="shared" si="219"/>
      </c>
      <c r="FI67" s="267">
        <f t="shared" si="219"/>
      </c>
      <c r="FJ67" s="267">
        <f t="shared" si="219"/>
      </c>
      <c r="FK67" s="1740">
        <f t="shared" ref="FK67:GE67" si="221">FK64/FK$10</f>
      </c>
      <c r="FL67" s="267">
        <f t="shared" si="221"/>
      </c>
      <c r="FM67" s="267">
        <f t="shared" si="221"/>
      </c>
      <c r="FN67" s="267">
        <f t="shared" si="221"/>
      </c>
      <c r="FO67" s="267">
        <f t="shared" si="221"/>
      </c>
      <c r="FP67" s="1740">
        <f t="shared" si="221"/>
      </c>
      <c r="FQ67" s="267">
        <f t="shared" si="221"/>
      </c>
      <c r="FR67" s="267">
        <f t="shared" si="221"/>
      </c>
      <c r="FS67" s="267">
        <f t="shared" si="221"/>
      </c>
      <c r="FT67" s="267">
        <f t="shared" si="221"/>
      </c>
      <c r="FU67" s="1740">
        <f t="shared" si="221"/>
      </c>
      <c r="FV67" s="267">
        <f t="shared" si="221"/>
      </c>
      <c r="FW67" s="267">
        <f t="shared" si="221"/>
      </c>
      <c r="FX67" s="267">
        <f t="shared" si="221"/>
      </c>
      <c r="FY67" s="267">
        <f t="shared" si="221"/>
      </c>
      <c r="FZ67" s="1740">
        <f t="shared" si="221"/>
      </c>
      <c r="GA67" s="267">
        <f t="shared" si="221"/>
      </c>
      <c r="GB67" s="267">
        <f t="shared" si="221"/>
      </c>
      <c r="GC67" s="267">
        <f t="shared" si="221"/>
      </c>
      <c r="GD67" s="267">
        <f t="shared" si="221"/>
      </c>
      <c r="GE67" s="1740">
        <f t="shared" si="221"/>
      </c>
      <c r="GF67" s="267">
        <f t="shared" ref="GF67:GJ67" si="222">GF64/GF$10</f>
      </c>
      <c r="GG67" s="267">
        <f t="shared" si="222"/>
      </c>
      <c r="GH67" s="267">
        <f t="shared" si="222"/>
      </c>
      <c r="GI67" s="267">
        <f t="shared" si="222"/>
      </c>
      <c r="GJ67" s="1740">
        <f t="shared" si="222"/>
      </c>
    </row>
    <row r="68" spans="1:192" s="461" customFormat="1" ht="12.75" hidden="1" customHeight="1" outlineLevel="1">
      <c r="A68" s="370"/>
      <c r="B68" s="986"/>
      <c r="C68" s="987"/>
      <c r="D68" s="987"/>
      <c r="E68" s="987"/>
      <c r="F68" s="987"/>
      <c r="G68" s="988"/>
      <c r="H68" s="987"/>
      <c r="I68" s="987"/>
      <c r="J68" s="987"/>
      <c r="K68" s="987"/>
      <c r="L68" s="988"/>
      <c r="M68" s="987"/>
      <c r="N68" s="987"/>
      <c r="O68" s="987"/>
      <c r="P68" s="987"/>
      <c r="Q68" s="988"/>
      <c r="R68" s="989"/>
      <c r="S68" s="989"/>
      <c r="T68" s="989"/>
      <c r="U68" s="989"/>
      <c r="V68" s="988"/>
      <c r="W68" s="989"/>
      <c r="X68" s="989"/>
      <c r="Y68" s="989"/>
      <c r="Z68" s="989"/>
      <c r="AA68" s="988"/>
      <c r="AB68" s="989"/>
      <c r="AC68" s="989"/>
      <c r="AD68" s="989"/>
      <c r="AE68" s="989"/>
      <c r="AF68" s="988"/>
      <c r="AG68" s="989"/>
      <c r="AH68" s="989"/>
      <c r="AI68" s="989"/>
      <c r="AJ68" s="989"/>
      <c r="AK68" s="988"/>
      <c r="AL68" s="987"/>
      <c r="AM68" s="987"/>
      <c r="AN68" s="987"/>
      <c r="AO68" s="987"/>
      <c r="AP68" s="988"/>
      <c r="AQ68" s="987"/>
      <c r="AR68" s="987"/>
      <c r="AS68" s="987"/>
      <c r="AT68" s="987"/>
      <c r="AU68" s="988"/>
      <c r="AV68" s="987"/>
      <c r="AW68" s="987"/>
      <c r="AX68" s="987"/>
      <c r="AY68" s="987"/>
      <c r="AZ68" s="988"/>
      <c r="BA68" s="987"/>
      <c r="BB68" s="987"/>
      <c r="BC68" s="987"/>
      <c r="BD68" s="987"/>
      <c r="BE68" s="988"/>
      <c r="BF68" s="987"/>
      <c r="BG68" s="987"/>
      <c r="BH68" s="987"/>
      <c r="BI68" s="987"/>
      <c r="BJ68" s="988"/>
      <c r="BK68" s="987"/>
      <c r="BL68" s="987"/>
      <c r="BM68" s="987"/>
      <c r="BN68" s="987"/>
      <c r="BO68" s="988"/>
      <c r="BP68" s="987"/>
      <c r="BQ68" s="987"/>
      <c r="BR68" s="987"/>
      <c r="BS68" s="987"/>
      <c r="BT68" s="988"/>
      <c r="BU68" s="987"/>
      <c r="BV68" s="987"/>
      <c r="BW68" s="987"/>
      <c r="BX68" s="987"/>
      <c r="BY68" s="988"/>
      <c r="BZ68" s="987"/>
      <c r="CA68" s="987"/>
      <c r="CB68" s="987"/>
      <c r="CC68" s="987"/>
      <c r="CD68" s="988"/>
      <c r="CE68" s="987"/>
      <c r="CF68" s="987"/>
      <c r="CG68" s="987"/>
      <c r="CH68" s="987"/>
      <c r="CI68" s="988"/>
      <c r="CJ68" s="987"/>
      <c r="CK68" s="987"/>
      <c r="CL68" s="987"/>
      <c r="CM68" s="987"/>
      <c r="CN68" s="988"/>
      <c r="CO68" s="987"/>
      <c r="CP68" s="987"/>
      <c r="CQ68" s="987"/>
      <c r="CR68" s="987"/>
      <c r="CS68" s="988"/>
      <c r="CT68" s="987"/>
      <c r="CU68" s="987"/>
      <c r="CV68" s="987"/>
      <c r="CW68" s="987"/>
      <c r="CX68" s="988"/>
      <c r="CY68" s="771"/>
      <c r="CZ68" s="771"/>
      <c r="DA68" s="771"/>
      <c r="DB68" s="771"/>
      <c r="DC68" s="1047"/>
      <c r="DD68" s="771"/>
      <c r="DE68" s="771"/>
      <c r="DF68" s="771"/>
      <c r="DG68" s="771"/>
      <c r="DH68" s="1047"/>
      <c r="DI68" s="771"/>
      <c r="DJ68" s="771"/>
      <c r="DK68" s="771"/>
      <c r="DL68" s="771"/>
      <c r="DM68" s="1047"/>
      <c r="DN68" s="771"/>
      <c r="DO68" s="771"/>
      <c r="DP68" s="771"/>
      <c r="DQ68" s="771"/>
      <c r="DR68" s="1047"/>
      <c r="DS68" s="771"/>
      <c r="DT68" s="771"/>
      <c r="DU68" s="771"/>
      <c r="DV68" s="771"/>
      <c r="DW68" s="1047"/>
      <c r="DX68" s="771"/>
      <c r="DY68" s="771"/>
      <c r="DZ68" s="771"/>
      <c r="EA68" s="771"/>
      <c r="EB68" s="1047"/>
      <c r="EC68" s="771"/>
      <c r="ED68" s="771"/>
      <c r="EE68" s="771"/>
      <c r="EF68" s="771"/>
      <c r="EG68" s="1047"/>
      <c r="EH68" s="771"/>
      <c r="EI68" s="771"/>
      <c r="EJ68" s="771"/>
      <c r="EK68" s="771"/>
      <c r="EL68" s="1047"/>
      <c r="EM68" s="771"/>
      <c r="EN68" s="771"/>
      <c r="EO68" s="771"/>
      <c r="EP68" s="771"/>
      <c r="EQ68" s="1047"/>
      <c r="ER68" s="771"/>
      <c r="ES68" s="771"/>
      <c r="ET68" s="771"/>
      <c r="EU68" s="771"/>
      <c r="EV68" s="1047"/>
      <c r="EW68" s="771"/>
      <c r="EX68" s="771"/>
      <c r="EY68" s="771"/>
      <c r="EZ68" s="771"/>
      <c r="FA68" s="1047"/>
      <c r="FB68" s="771"/>
      <c r="FC68" s="771"/>
      <c r="FD68" s="771"/>
      <c r="FE68" s="771"/>
      <c r="FF68" s="1047"/>
      <c r="FG68" s="771"/>
      <c r="FH68" s="771"/>
      <c r="FI68" s="771"/>
      <c r="FJ68" s="771"/>
      <c r="FK68" s="1047"/>
      <c r="FL68" s="771"/>
      <c r="FM68" s="771"/>
      <c r="FN68" s="771"/>
      <c r="FO68" s="771"/>
      <c r="FP68" s="1047"/>
      <c r="FQ68" s="771"/>
      <c r="FR68" s="771"/>
      <c r="FS68" s="771"/>
      <c r="FT68" s="771"/>
      <c r="FU68" s="1047"/>
      <c r="FV68" s="771"/>
      <c r="FW68" s="771"/>
      <c r="FX68" s="771"/>
      <c r="FY68" s="771"/>
      <c r="FZ68" s="1047"/>
      <c r="GA68" s="771"/>
      <c r="GB68" s="771"/>
      <c r="GC68" s="771"/>
      <c r="GD68" s="771"/>
      <c r="GE68" s="1047"/>
      <c r="GF68" s="771"/>
      <c r="GG68" s="771"/>
      <c r="GH68" s="771"/>
      <c r="GI68" s="771"/>
      <c r="GJ68" s="1047"/>
    </row>
    <row r="69" spans="1:192" s="1292" customFormat="1" ht="12.75" hidden="1" customHeight="1" outlineLevel="1">
      <c r="B69" s="1294" t="s">
        <v>209</v>
      </c>
      <c r="C69" s="1288"/>
      <c r="D69" s="1288"/>
      <c r="E69" s="1288"/>
      <c r="F69" s="1288"/>
      <c r="G69" s="1289"/>
      <c r="H69" s="1288"/>
      <c r="I69" s="1288"/>
      <c r="J69" s="1288"/>
      <c r="K69" s="1288"/>
      <c r="L69" s="1289"/>
      <c r="M69" s="1288"/>
      <c r="N69" s="1288"/>
      <c r="O69" s="1288"/>
      <c r="P69" s="1288"/>
      <c r="Q69" s="1289"/>
      <c r="R69" s="1293"/>
      <c r="S69" s="1293"/>
      <c r="T69" s="1293"/>
      <c r="U69" s="1293"/>
      <c r="V69" s="1289"/>
      <c r="W69" s="1293"/>
      <c r="X69" s="1293"/>
      <c r="Y69" s="1293"/>
      <c r="Z69" s="1293"/>
      <c r="AA69" s="1289"/>
      <c r="AB69" s="1293"/>
      <c r="AC69" s="1293"/>
      <c r="AD69" s="1293"/>
      <c r="AE69" s="1293"/>
      <c r="AF69" s="1289"/>
      <c r="AG69" s="1293"/>
      <c r="AH69" s="1293"/>
      <c r="AI69" s="1293"/>
      <c r="AJ69" s="1293"/>
      <c r="AK69" s="1289"/>
      <c r="AL69" s="1288"/>
      <c r="AM69" s="1288"/>
      <c r="AN69" s="1288"/>
      <c r="AO69" s="1288"/>
      <c r="AP69" s="1289"/>
      <c r="AQ69" s="1288"/>
      <c r="AR69" s="1288"/>
      <c r="AS69" s="1288"/>
      <c r="AT69" s="1288"/>
      <c r="AU69" s="1289"/>
      <c r="AV69" s="1288"/>
      <c r="AW69" s="1288"/>
      <c r="AX69" s="1288"/>
      <c r="AY69" s="1288"/>
      <c r="AZ69" s="1289"/>
      <c r="BA69" s="1288"/>
      <c r="BB69" s="1288"/>
      <c r="BC69" s="1288"/>
      <c r="BD69" s="1288"/>
      <c r="BE69" s="1289"/>
      <c r="BF69" s="1288"/>
      <c r="BG69" s="1288"/>
      <c r="BH69" s="1288"/>
      <c r="BI69" s="1288"/>
      <c r="BJ69" s="1289"/>
      <c r="BK69" s="1288"/>
      <c r="BL69" s="1288"/>
      <c r="BM69" s="1288"/>
      <c r="BN69" s="1288"/>
      <c r="BO69" s="1289"/>
      <c r="BP69" s="1288"/>
      <c r="BQ69" s="1288"/>
      <c r="BR69" s="1288"/>
      <c r="BS69" s="1288"/>
      <c r="BT69" s="1289"/>
      <c r="BU69" s="1288"/>
      <c r="BV69" s="1288"/>
      <c r="BW69" s="1288"/>
      <c r="BX69" s="1288"/>
      <c r="BY69" s="1289"/>
      <c r="BZ69" s="1288"/>
      <c r="CA69" s="1288"/>
      <c r="CB69" s="1288"/>
      <c r="CC69" s="1288"/>
      <c r="CD69" s="1289"/>
      <c r="CE69" s="1288"/>
      <c r="CF69" s="1288"/>
      <c r="CG69" s="1288"/>
      <c r="CH69" s="1288"/>
      <c r="CI69" s="1289"/>
      <c r="CJ69" s="1288"/>
      <c r="CK69" s="1288"/>
      <c r="CL69" s="1288"/>
      <c r="CM69" s="1288"/>
      <c r="CN69" s="1289"/>
      <c r="CO69" s="1288"/>
      <c r="CP69" s="1288"/>
      <c r="CQ69" s="1288"/>
      <c r="CR69" s="1288"/>
      <c r="CS69" s="1289"/>
      <c r="CT69" s="1288"/>
      <c r="CU69" s="1288"/>
      <c r="CV69" s="1288"/>
      <c r="CW69" s="1288"/>
      <c r="CX69" s="1289"/>
      <c r="CY69" s="1288"/>
      <c r="CZ69" s="1288"/>
      <c r="DA69" s="1288"/>
      <c r="DB69" s="1288"/>
      <c r="DC69" s="1289"/>
      <c r="DD69" s="1288"/>
      <c r="DE69" s="1288"/>
      <c r="DF69" s="1288"/>
      <c r="DG69" s="1288">
        <f>Company1738!DG89</f>
      </c>
      <c r="DH69" s="1289"/>
      <c r="DI69" s="1288">
        <f>Company1738!DI89</f>
      </c>
      <c r="DJ69" s="1288">
        <f>Company1738!DJ89</f>
      </c>
      <c r="DK69" s="1288">
        <f>Company1738!DK89</f>
      </c>
      <c r="DL69" s="1288">
        <f>Company1738!DL89</f>
      </c>
      <c r="DM69" s="1289">
        <f>Company1738!DM89</f>
      </c>
      <c r="DN69" s="1288">
        <f>Company1738!DN89</f>
      </c>
      <c r="DO69" s="1288">
        <f>Company1738!DO89</f>
      </c>
      <c r="DP69" s="1288">
        <f>Company1738!DP89</f>
      </c>
      <c r="DQ69" s="1288">
        <f>Company1738!DQ89</f>
      </c>
      <c r="DR69" s="1289">
        <f>Company1738!DR89</f>
      </c>
      <c r="DS69" s="1288">
        <f>Company1738!DS89</f>
      </c>
      <c r="DT69" s="1288">
        <f>Company1738!DT89</f>
      </c>
      <c r="DU69" s="1288">
        <f>Company1738!DU89</f>
      </c>
      <c r="DV69" s="1288">
        <f>Company1738!DV89</f>
      </c>
      <c r="DW69" s="1289">
        <f>Company1738!DW89</f>
      </c>
      <c r="DX69" s="1288">
        <f>Company1738!DX89</f>
      </c>
      <c r="DY69" s="1288">
        <f>Company1738!DY89</f>
      </c>
      <c r="DZ69" s="1288">
        <f>Company1738!DZ89</f>
      </c>
      <c r="EA69" s="1288">
        <f>Company1738!EA89</f>
      </c>
      <c r="EB69" s="1289">
        <f>Company1738!EB89</f>
      </c>
      <c r="EC69" s="1288">
        <f>Company1738!EC89</f>
      </c>
      <c r="ED69" s="1288">
        <f>Company1738!ED89</f>
      </c>
      <c r="EE69" s="1288">
        <f>Company1738!EE89</f>
      </c>
      <c r="EF69" s="1288">
        <f>Company1738!EF89</f>
      </c>
      <c r="EG69" s="1289">
        <f>Company1738!EG89</f>
      </c>
      <c r="EH69" s="1288">
        <f>Company1738!EH89</f>
      </c>
      <c r="EI69" s="1288">
        <f>Company1738!EI89</f>
      </c>
      <c r="EJ69" s="1288">
        <f>Company1738!EJ89</f>
      </c>
      <c r="EK69" s="1288">
        <f>Company1738!EK89</f>
      </c>
      <c r="EL69" s="1289">
        <f>Company1738!EL89</f>
      </c>
      <c r="EM69" s="1288">
        <f>Company1738!EM89</f>
      </c>
      <c r="EN69" s="1288">
        <f>Company1738!EN89</f>
      </c>
      <c r="EO69" s="1288">
        <f>Company1738!EO89</f>
      </c>
      <c r="EP69" s="1288">
        <f>Company1738!EP89</f>
      </c>
      <c r="EQ69" s="1289">
        <f>Company1738!EQ89</f>
      </c>
      <c r="ER69" s="1288">
        <f>Company1738!ER89</f>
      </c>
      <c r="ES69" s="1288">
        <f>Company1738!ES89</f>
      </c>
      <c r="ET69" s="1288">
        <f>Company1738!ET89</f>
      </c>
      <c r="EU69" s="1288">
        <f>Company1738!EU89</f>
      </c>
      <c r="EV69" s="1289">
        <f>Company1738!EV89</f>
      </c>
      <c r="EW69" s="1288">
        <f>Company1738!EW89</f>
      </c>
      <c r="EX69" s="1288">
        <f>Company1738!EX89</f>
      </c>
      <c r="EY69" s="1288">
        <f>Company1738!EY89</f>
      </c>
      <c r="EZ69" s="1288">
        <f>Company1738!EZ89</f>
      </c>
      <c r="FA69" s="1289">
        <f>Company1738!FA89</f>
      </c>
      <c r="FB69" s="1288">
        <f>Company1738!FB89</f>
      </c>
      <c r="FC69" s="1288">
        <f>Company1738!FC89</f>
      </c>
      <c r="FD69" s="1288">
        <f>Company1738!FD89</f>
      </c>
      <c r="FE69" s="1288">
        <f>Company1738!FE89</f>
      </c>
      <c r="FF69" s="1289">
        <f>Company1738!FF89</f>
      </c>
      <c r="FG69" s="1288">
        <f>Company1738!FG89</f>
      </c>
      <c r="FH69" s="1288">
        <f>Company1738!FH89</f>
      </c>
      <c r="FI69" s="1288">
        <f>Company1738!FI89</f>
      </c>
      <c r="FJ69" s="1288">
        <f>Company1738!FJ89</f>
      </c>
      <c r="FK69" s="1289">
        <f>Company1738!FK89</f>
      </c>
      <c r="FL69" s="1288">
        <f>Company1738!FL89</f>
      </c>
      <c r="FM69" s="1288">
        <f>Company1738!FM89</f>
      </c>
      <c r="FN69" s="1288">
        <f>Company1738!FN89</f>
      </c>
      <c r="FO69" s="1288">
        <f>Company1738!FO89</f>
      </c>
      <c r="FP69" s="1289">
        <f>Company1738!FP89</f>
      </c>
      <c r="FQ69" s="1288">
        <f>Company1738!FQ89</f>
      </c>
      <c r="FR69" s="1288">
        <f>Company1738!FR89</f>
      </c>
      <c r="FS69" s="1288">
        <f>Company1738!FS89</f>
      </c>
      <c r="FT69" s="1288">
        <f>Company1738!FT89</f>
      </c>
      <c r="FU69" s="1289">
        <f>Company1738!FU89</f>
      </c>
      <c r="FV69" s="1288">
        <f>Company1738!FV89</f>
      </c>
      <c r="FW69" s="1288">
        <f>Company1738!FW89</f>
      </c>
      <c r="FX69" s="1288">
        <f>Company1738!FX89</f>
      </c>
      <c r="FY69" s="1288">
        <f>Company1738!FY89</f>
      </c>
      <c r="FZ69" s="1289">
        <f>Company1738!FZ89</f>
      </c>
      <c r="GA69" s="1288">
        <f>Company1738!GA89</f>
      </c>
      <c r="GB69" s="1288">
        <f>Company1738!GB89</f>
      </c>
      <c r="GC69" s="1288">
        <f>Company1738!GC89</f>
      </c>
      <c r="GD69" s="1288">
        <f>Company1738!GD89</f>
      </c>
      <c r="GE69" s="1289">
        <f>Company1738!GE89</f>
      </c>
      <c r="GF69" s="1288">
        <f>Company1738!GF89</f>
      </c>
      <c r="GG69" s="1288">
        <f>Company1738!GG89</f>
      </c>
      <c r="GH69" s="1288">
        <f>Company1738!GH89</f>
      </c>
      <c r="GI69" s="1288">
        <f>Company1738!GI89</f>
      </c>
      <c r="GJ69" s="1289">
        <f>Company1738!GJ89</f>
      </c>
    </row>
    <row r="70" spans="1:192" s="461" customFormat="1" ht="12.75" hidden="1" customHeight="1" outlineLevel="1">
      <c r="A70" s="370"/>
      <c r="B70" s="1295" t="s">
        <v>34</v>
      </c>
      <c r="C70" s="987"/>
      <c r="D70" s="987"/>
      <c r="E70" s="987"/>
      <c r="F70" s="987"/>
      <c r="G70" s="988"/>
      <c r="H70" s="987"/>
      <c r="I70" s="987"/>
      <c r="J70" s="987"/>
      <c r="K70" s="987"/>
      <c r="L70" s="988"/>
      <c r="M70" s="987"/>
      <c r="N70" s="987"/>
      <c r="O70" s="987"/>
      <c r="P70" s="987"/>
      <c r="Q70" s="988"/>
      <c r="R70" s="989"/>
      <c r="S70" s="989"/>
      <c r="T70" s="989"/>
      <c r="U70" s="989"/>
      <c r="V70" s="988"/>
      <c r="W70" s="989"/>
      <c r="X70" s="989"/>
      <c r="Y70" s="989"/>
      <c r="Z70" s="989"/>
      <c r="AA70" s="988"/>
      <c r="AB70" s="989"/>
      <c r="AC70" s="989"/>
      <c r="AD70" s="989"/>
      <c r="AE70" s="989"/>
      <c r="AF70" s="988"/>
      <c r="AG70" s="989"/>
      <c r="AH70" s="989"/>
      <c r="AI70" s="989"/>
      <c r="AJ70" s="989"/>
      <c r="AK70" s="988"/>
      <c r="AL70" s="987"/>
      <c r="AM70" s="987"/>
      <c r="AN70" s="987"/>
      <c r="AO70" s="987"/>
      <c r="AP70" s="988"/>
      <c r="AQ70" s="987"/>
      <c r="AR70" s="987"/>
      <c r="AS70" s="987"/>
      <c r="AT70" s="987"/>
      <c r="AU70" s="988"/>
      <c r="AV70" s="987"/>
      <c r="AW70" s="987"/>
      <c r="AX70" s="987"/>
      <c r="AY70" s="987"/>
      <c r="AZ70" s="988"/>
      <c r="BA70" s="987"/>
      <c r="BB70" s="987"/>
      <c r="BC70" s="987"/>
      <c r="BD70" s="987"/>
      <c r="BE70" s="988"/>
      <c r="BF70" s="987"/>
      <c r="BG70" s="987"/>
      <c r="BH70" s="987"/>
      <c r="BI70" s="987"/>
      <c r="BJ70" s="988"/>
      <c r="BK70" s="987"/>
      <c r="BL70" s="987"/>
      <c r="BM70" s="987"/>
      <c r="BN70" s="987"/>
      <c r="BO70" s="988"/>
      <c r="BP70" s="987"/>
      <c r="BQ70" s="987"/>
      <c r="BR70" s="987"/>
      <c r="BS70" s="987"/>
      <c r="BT70" s="988"/>
      <c r="BU70" s="987"/>
      <c r="BV70" s="987"/>
      <c r="BW70" s="987"/>
      <c r="BX70" s="987"/>
      <c r="BY70" s="988"/>
      <c r="BZ70" s="987"/>
      <c r="CA70" s="987"/>
      <c r="CB70" s="987"/>
      <c r="CC70" s="987"/>
      <c r="CD70" s="988"/>
      <c r="CE70" s="987"/>
      <c r="CF70" s="987"/>
      <c r="CG70" s="987"/>
      <c r="CH70" s="987"/>
      <c r="CI70" s="988"/>
      <c r="CJ70" s="987"/>
      <c r="CK70" s="987"/>
      <c r="CL70" s="987"/>
      <c r="CM70" s="987"/>
      <c r="CN70" s="988"/>
      <c r="CO70" s="987"/>
      <c r="CP70" s="987"/>
      <c r="CQ70" s="987"/>
      <c r="CR70" s="987"/>
      <c r="CS70" s="988"/>
      <c r="CT70" s="771" t="str">
        <f t="shared" ref="CT70:DY70" si="223">IFERROR(CT69/CO69-1,"")</f>
      </c>
      <c r="CU70" s="771" t="str">
        <f t="shared" si="223"/>
      </c>
      <c r="CV70" s="771" t="str">
        <f t="shared" si="223"/>
      </c>
      <c r="CW70" s="771" t="str">
        <f t="shared" si="223"/>
      </c>
      <c r="CX70" s="1047" t="str">
        <f t="shared" si="223"/>
      </c>
      <c r="CY70" s="771" t="str">
        <f t="shared" si="223"/>
      </c>
      <c r="CZ70" s="771" t="str">
        <f t="shared" si="223"/>
      </c>
      <c r="DA70" s="771" t="str">
        <f t="shared" si="223"/>
      </c>
      <c r="DB70" s="771" t="str">
        <f t="shared" si="223"/>
      </c>
      <c r="DC70" s="1047" t="str">
        <f t="shared" si="223"/>
      </c>
      <c r="DD70" s="771" t="str">
        <f t="shared" si="223"/>
      </c>
      <c r="DE70" s="771" t="str">
        <f t="shared" si="223"/>
      </c>
      <c r="DF70" s="771" t="str">
        <f t="shared" si="223"/>
      </c>
      <c r="DG70" s="771" t="str">
        <f t="shared" si="223"/>
      </c>
      <c r="DH70" s="1047" t="str">
        <f t="shared" si="223"/>
      </c>
      <c r="DI70" s="771" t="str">
        <f t="shared" si="223"/>
      </c>
      <c r="DJ70" s="771" t="str">
        <f t="shared" si="223"/>
      </c>
      <c r="DK70" s="771" t="str">
        <f t="shared" si="223"/>
      </c>
      <c r="DL70" s="771">
        <f t="shared" si="223"/>
      </c>
      <c r="DM70" s="1047" t="str">
        <f t="shared" si="223"/>
      </c>
      <c r="DN70" s="771">
        <f t="shared" si="223"/>
      </c>
      <c r="DO70" s="771">
        <f t="shared" si="223"/>
      </c>
      <c r="DP70" s="771">
        <f t="shared" si="223"/>
      </c>
      <c r="DQ70" s="771">
        <f t="shared" si="223"/>
      </c>
      <c r="DR70" s="1047">
        <f t="shared" si="223"/>
      </c>
      <c r="DS70" s="771">
        <f t="shared" si="223"/>
      </c>
      <c r="DT70" s="771">
        <f t="shared" si="223"/>
      </c>
      <c r="DU70" s="771">
        <f t="shared" si="223"/>
      </c>
      <c r="DV70" s="771">
        <f t="shared" si="223"/>
      </c>
      <c r="DW70" s="1047">
        <f t="shared" si="223"/>
      </c>
      <c r="DX70" s="771">
        <f t="shared" si="223"/>
      </c>
      <c r="DY70" s="771">
        <f t="shared" si="223"/>
      </c>
      <c r="DZ70" s="771">
        <f t="shared" ref="DZ70:FE70" si="224">IFERROR(DZ69/DU69-1,"")</f>
      </c>
      <c r="EA70" s="771">
        <f t="shared" si="224"/>
      </c>
      <c r="EB70" s="1047">
        <f t="shared" si="224"/>
      </c>
      <c r="EC70" s="771">
        <f t="shared" si="224"/>
      </c>
      <c r="ED70" s="771">
        <f t="shared" si="224"/>
      </c>
      <c r="EE70" s="771">
        <f t="shared" si="224"/>
      </c>
      <c r="EF70" s="771">
        <f t="shared" si="224"/>
      </c>
      <c r="EG70" s="1047">
        <f t="shared" si="224"/>
      </c>
      <c r="EH70" s="771">
        <f t="shared" si="224"/>
      </c>
      <c r="EI70" s="771">
        <f t="shared" si="224"/>
      </c>
      <c r="EJ70" s="771">
        <f t="shared" si="224"/>
      </c>
      <c r="EK70" s="771">
        <f t="shared" si="224"/>
      </c>
      <c r="EL70" s="1047">
        <f t="shared" si="224"/>
      </c>
      <c r="EM70" s="771">
        <f t="shared" si="224"/>
      </c>
      <c r="EN70" s="771">
        <f t="shared" si="224"/>
      </c>
      <c r="EO70" s="771">
        <f t="shared" si="224"/>
      </c>
      <c r="EP70" s="771">
        <f t="shared" si="224"/>
      </c>
      <c r="EQ70" s="1047">
        <f t="shared" si="224"/>
      </c>
      <c r="ER70" s="771">
        <f t="shared" ref="ER70" si="225">IFERROR(ER69/EM69-1,"")</f>
      </c>
      <c r="ES70" s="771">
        <f t="shared" ref="ES70" si="226">IFERROR(ES69/EN69-1,"")</f>
      </c>
      <c r="ET70" s="771">
        <f t="shared" ref="ET70" si="227">IFERROR(ET69/EO69-1,"")</f>
      </c>
      <c r="EU70" s="771">
        <f t="shared" ref="EU70" si="228">IFERROR(EU69/EP69-1,"")</f>
      </c>
      <c r="EV70" s="1047">
        <f t="shared" ref="EV70" si="229">IFERROR(EV69/EQ69-1,"")</f>
      </c>
      <c r="EW70" s="771">
        <f t="shared" si="224"/>
      </c>
      <c r="EX70" s="771">
        <f t="shared" si="224"/>
      </c>
      <c r="EY70" s="771">
        <f t="shared" si="224"/>
      </c>
      <c r="EZ70" s="771">
        <f t="shared" ref="EZ70" si="230">IFERROR(EZ69/EU69-1,"")</f>
      </c>
      <c r="FA70" s="1047">
        <f t="shared" ref="FA70" si="231">IFERROR(FA69/EV69-1,"")</f>
      </c>
      <c r="FB70" s="771">
        <f t="shared" si="224"/>
      </c>
      <c r="FC70" s="771">
        <f t="shared" si="224"/>
      </c>
      <c r="FD70" s="771">
        <f t="shared" si="224"/>
      </c>
      <c r="FE70" s="771">
        <f t="shared" si="224"/>
      </c>
      <c r="FF70" s="1047">
        <f t="shared" ref="FF70:GE70" si="232">IFERROR(FF69/FA69-1,"")</f>
      </c>
      <c r="FG70" s="771">
        <f t="shared" si="232"/>
      </c>
      <c r="FH70" s="771">
        <f t="shared" si="232"/>
      </c>
      <c r="FI70" s="771">
        <f t="shared" si="232"/>
      </c>
      <c r="FJ70" s="771">
        <f t="shared" si="232"/>
      </c>
      <c r="FK70" s="1047">
        <f t="shared" si="232"/>
      </c>
      <c r="FL70" s="771">
        <f t="shared" si="232"/>
      </c>
      <c r="FM70" s="771">
        <f t="shared" si="232"/>
      </c>
      <c r="FN70" s="771">
        <f t="shared" si="232"/>
      </c>
      <c r="FO70" s="771">
        <f t="shared" si="232"/>
      </c>
      <c r="FP70" s="1047">
        <f t="shared" si="232"/>
      </c>
      <c r="FQ70" s="771">
        <f t="shared" si="232"/>
      </c>
      <c r="FR70" s="771">
        <f t="shared" si="232"/>
      </c>
      <c r="FS70" s="771">
        <f t="shared" si="232"/>
      </c>
      <c r="FT70" s="771">
        <f t="shared" si="232"/>
      </c>
      <c r="FU70" s="1047">
        <f t="shared" si="232"/>
      </c>
      <c r="FV70" s="771">
        <f t="shared" si="232"/>
      </c>
      <c r="FW70" s="771">
        <f t="shared" si="232"/>
      </c>
      <c r="FX70" s="771">
        <f t="shared" si="232"/>
      </c>
      <c r="FY70" s="771">
        <f t="shared" si="232"/>
      </c>
      <c r="FZ70" s="1047">
        <f t="shared" si="232"/>
      </c>
      <c r="GA70" s="771">
        <f t="shared" si="232"/>
      </c>
      <c r="GB70" s="771">
        <f t="shared" si="232"/>
      </c>
      <c r="GC70" s="771">
        <f t="shared" si="232"/>
      </c>
      <c r="GD70" s="771">
        <f t="shared" si="232"/>
      </c>
      <c r="GE70" s="1047">
        <f t="shared" si="232"/>
      </c>
      <c r="GF70" s="771">
        <f t="shared" ref="GF70" si="233">IFERROR(GF69/GA69-1,"")</f>
      </c>
      <c r="GG70" s="771">
        <f t="shared" ref="GG70" si="234">IFERROR(GG69/GB69-1,"")</f>
      </c>
      <c r="GH70" s="771">
        <f t="shared" ref="GH70" si="235">IFERROR(GH69/GC69-1,"")</f>
      </c>
      <c r="GI70" s="771">
        <f t="shared" ref="GI70" si="236">IFERROR(GI69/GD69-1,"")</f>
      </c>
      <c r="GJ70" s="1047">
        <f t="shared" ref="GJ70" si="237">IFERROR(GJ69/GE69-1,"")</f>
      </c>
    </row>
    <row r="71" spans="1:192" s="461" customFormat="1" ht="12.75" hidden="1" customHeight="1" outlineLevel="1">
      <c r="A71" s="370"/>
      <c r="B71" s="1295" t="s">
        <v>36</v>
      </c>
      <c r="C71" s="987"/>
      <c r="D71" s="987"/>
      <c r="E71" s="987"/>
      <c r="F71" s="987"/>
      <c r="G71" s="988"/>
      <c r="H71" s="987"/>
      <c r="I71" s="987"/>
      <c r="J71" s="987"/>
      <c r="K71" s="987"/>
      <c r="L71" s="988"/>
      <c r="M71" s="987"/>
      <c r="N71" s="987"/>
      <c r="O71" s="987"/>
      <c r="P71" s="987"/>
      <c r="Q71" s="988"/>
      <c r="R71" s="989"/>
      <c r="S71" s="989"/>
      <c r="T71" s="989"/>
      <c r="U71" s="989"/>
      <c r="V71" s="988"/>
      <c r="W71" s="989"/>
      <c r="X71" s="989"/>
      <c r="Y71" s="989"/>
      <c r="Z71" s="989"/>
      <c r="AA71" s="988"/>
      <c r="AB71" s="989"/>
      <c r="AC71" s="989"/>
      <c r="AD71" s="989"/>
      <c r="AE71" s="989"/>
      <c r="AF71" s="988"/>
      <c r="AG71" s="989"/>
      <c r="AH71" s="989"/>
      <c r="AI71" s="989"/>
      <c r="AJ71" s="989"/>
      <c r="AK71" s="988"/>
      <c r="AL71" s="987"/>
      <c r="AM71" s="987"/>
      <c r="AN71" s="987"/>
      <c r="AO71" s="987"/>
      <c r="AP71" s="988"/>
      <c r="AQ71" s="987"/>
      <c r="AR71" s="987"/>
      <c r="AS71" s="987"/>
      <c r="AT71" s="987"/>
      <c r="AU71" s="988"/>
      <c r="AV71" s="987"/>
      <c r="AW71" s="987"/>
      <c r="AX71" s="987"/>
      <c r="AY71" s="987"/>
      <c r="AZ71" s="988"/>
      <c r="BA71" s="987"/>
      <c r="BB71" s="987"/>
      <c r="BC71" s="987"/>
      <c r="BD71" s="987"/>
      <c r="BE71" s="988"/>
      <c r="BF71" s="987"/>
      <c r="BG71" s="987"/>
      <c r="BH71" s="987"/>
      <c r="BI71" s="987"/>
      <c r="BJ71" s="988"/>
      <c r="BK71" s="987"/>
      <c r="BL71" s="987"/>
      <c r="BM71" s="987"/>
      <c r="BN71" s="987"/>
      <c r="BO71" s="988"/>
      <c r="BP71" s="987"/>
      <c r="BQ71" s="987"/>
      <c r="BR71" s="987"/>
      <c r="BS71" s="987"/>
      <c r="BT71" s="988"/>
      <c r="BU71" s="987"/>
      <c r="BV71" s="987"/>
      <c r="BW71" s="987"/>
      <c r="BX71" s="987"/>
      <c r="BY71" s="988"/>
      <c r="BZ71" s="987"/>
      <c r="CA71" s="987"/>
      <c r="CB71" s="987"/>
      <c r="CC71" s="987"/>
      <c r="CD71" s="988"/>
      <c r="CE71" s="987"/>
      <c r="CF71" s="987"/>
      <c r="CG71" s="987"/>
      <c r="CH71" s="987"/>
      <c r="CI71" s="988"/>
      <c r="CJ71" s="987"/>
      <c r="CK71" s="987"/>
      <c r="CL71" s="987"/>
      <c r="CM71" s="987"/>
      <c r="CN71" s="988"/>
      <c r="CO71" s="987"/>
      <c r="CP71" s="987"/>
      <c r="CQ71" s="987"/>
      <c r="CR71" s="987"/>
      <c r="CS71" s="988"/>
      <c r="CT71" s="771" t="str">
        <f>IFERROR(CT69/CR69-1,"")</f>
      </c>
      <c r="CU71" s="1283" t="str">
        <f>IFERROR(CU69/CT69-1,"")</f>
      </c>
      <c r="CV71" s="1283" t="str">
        <f>IFERROR(CV69/CU69-1,"")</f>
      </c>
      <c r="CW71" s="1283" t="str">
        <f>IFERROR(CW69/CV69-1,"")</f>
      </c>
      <c r="CX71" s="991"/>
      <c r="CY71" s="771" t="str">
        <f>IFERROR(CY69/CW69-1,"")</f>
      </c>
      <c r="CZ71" s="1283" t="str">
        <f>IFERROR(CZ69/CY69-1,"")</f>
      </c>
      <c r="DA71" s="1283" t="str">
        <f>IFERROR(DA69/CZ69-1,"")</f>
      </c>
      <c r="DB71" s="1283" t="str">
        <f>IFERROR(DB69/DA69-1,"")</f>
      </c>
      <c r="DC71" s="991"/>
      <c r="DD71" s="771" t="str">
        <f>IFERROR(DD69/DB69-1,"")</f>
      </c>
      <c r="DE71" s="1283" t="str">
        <f>IFERROR(DE69/DD69-1,"")</f>
      </c>
      <c r="DF71" s="1283" t="str">
        <f>IFERROR(DF69/DE69-1,"")</f>
      </c>
      <c r="DG71" s="1283" t="str">
        <f>IFERROR(DG69/DF69-1,"")</f>
      </c>
      <c r="DH71" s="991"/>
      <c r="DI71" s="771">
        <f>IFERROR(DI69/DG69-1,"")</f>
      </c>
      <c r="DJ71" s="1283">
        <f>IFERROR(DJ69/DI69-1,"")</f>
      </c>
      <c r="DK71" s="1283">
        <f>IFERROR(DK69/DJ69-1,"")</f>
      </c>
      <c r="DL71" s="1283">
        <f>IFERROR(DL69/DK69-1,"")</f>
      </c>
      <c r="DM71" s="991"/>
      <c r="DN71" s="771">
        <f>IFERROR(DN69/DL69-1,"")</f>
      </c>
      <c r="DO71" s="1283">
        <f>IFERROR(DO69/DN69-1,"")</f>
      </c>
      <c r="DP71" s="1283">
        <f>IFERROR(DP69/DO69-1,"")</f>
      </c>
      <c r="DQ71" s="1283">
        <f>IFERROR(DQ69/DP69-1,"")</f>
      </c>
      <c r="DR71" s="991"/>
      <c r="DS71" s="771">
        <f>IFERROR(DS69/DQ69-1,"")</f>
      </c>
      <c r="DT71" s="1283">
        <f>IFERROR(DT69/DS69-1,"")</f>
      </c>
      <c r="DU71" s="1283">
        <f>IFERROR(DU69/DT69-1,"")</f>
      </c>
      <c r="DV71" s="1283">
        <f>IFERROR(DV69/DU69-1,"")</f>
      </c>
      <c r="DW71" s="991"/>
      <c r="DX71" s="771">
        <f>IFERROR(DX69/DV69-1,"")</f>
      </c>
      <c r="DY71" s="1283">
        <f>IFERROR(DY69/DX69-1,"")</f>
      </c>
      <c r="DZ71" s="1283">
        <f>IFERROR(DZ69/DY69-1,"")</f>
      </c>
      <c r="EA71" s="1283">
        <f>IFERROR(EA69/DZ69-1,"")</f>
      </c>
      <c r="EB71" s="991"/>
      <c r="EC71" s="771">
        <f>IFERROR(EC69/EA69-1,"")</f>
      </c>
      <c r="ED71" s="1283">
        <f>IFERROR(ED69/EC69-1,"")</f>
      </c>
      <c r="EE71" s="1283">
        <f>IFERROR(EE69/ED69-1,"")</f>
      </c>
      <c r="EF71" s="1283">
        <f>IFERROR(EF69/EE69-1,"")</f>
      </c>
      <c r="EG71" s="991"/>
      <c r="EH71" s="771">
        <f>IFERROR(EH69/EF69-1,"")</f>
      </c>
      <c r="EI71" s="1283">
        <f>IFERROR(EI69/EH69-1,"")</f>
      </c>
      <c r="EJ71" s="1283">
        <f>IFERROR(EJ69/EI69-1,"")</f>
      </c>
      <c r="EK71" s="1283">
        <f>IFERROR(EK69/EJ69-1,"")</f>
      </c>
      <c r="EL71" s="991"/>
      <c r="EM71" s="771">
        <f>IFERROR(EM69/EK69-1,"")</f>
      </c>
      <c r="EN71" s="1283">
        <f>IFERROR(EN69/EM69-1,"")</f>
      </c>
      <c r="EO71" s="1283">
        <f>IFERROR(EO69/EN69-1,"")</f>
      </c>
      <c r="EP71" s="1283">
        <f>IFERROR(EP69/EO69-1,"")</f>
      </c>
      <c r="EQ71" s="991"/>
      <c r="ER71" s="771">
        <f>IFERROR(ER69/EP69-1,"")</f>
      </c>
      <c r="ES71" s="1283">
        <f>IFERROR(ES69/ER69-1,"")</f>
      </c>
      <c r="ET71" s="1283">
        <f>IFERROR(ET69/ES69-1,"")</f>
      </c>
      <c r="EU71" s="1283">
        <f>IFERROR(EU69/ET69-1,"")</f>
      </c>
      <c r="EV71" s="991"/>
      <c r="EW71" s="771">
        <f>IFERROR(EW69/EU69-1,"")</f>
      </c>
      <c r="EX71" s="1283">
        <f>IFERROR(EX69/EW69-1,"")</f>
      </c>
      <c r="EY71" s="1283">
        <f>IFERROR(EY69/EX69-1,"")</f>
      </c>
      <c r="EZ71" s="1283">
        <f>IFERROR(EZ69/EY69-1,"")</f>
      </c>
      <c r="FA71" s="991"/>
      <c r="FB71" s="771">
        <f>IFERROR(FB69/EZ69-1,"")</f>
      </c>
      <c r="FC71" s="1283">
        <f>IFERROR(FC69/FB69-1,"")</f>
      </c>
      <c r="FD71" s="1283">
        <f>IFERROR(FD69/FC69-1,"")</f>
      </c>
      <c r="FE71" s="1283">
        <f>IFERROR(FE69/FD69-1,"")</f>
      </c>
      <c r="FF71" s="991"/>
      <c r="FG71" s="771">
        <f>IFERROR(FG69/FE69-1,"")</f>
      </c>
      <c r="FH71" s="1283">
        <f>IFERROR(FH69/FG69-1,"")</f>
      </c>
      <c r="FI71" s="1283">
        <f>IFERROR(FI69/FH69-1,"")</f>
      </c>
      <c r="FJ71" s="1283">
        <f>IFERROR(FJ69/FI69-1,"")</f>
      </c>
      <c r="FK71" s="991"/>
      <c r="FL71" s="771">
        <f>IFERROR(FL69/FJ69-1,"")</f>
      </c>
      <c r="FM71" s="1283">
        <f>IFERROR(FM69/FL69-1,"")</f>
      </c>
      <c r="FN71" s="1283">
        <f>IFERROR(FN69/FM69-1,"")</f>
      </c>
      <c r="FO71" s="1283">
        <f>IFERROR(FO69/FN69-1,"")</f>
      </c>
      <c r="FP71" s="991"/>
      <c r="FQ71" s="771">
        <f>IFERROR(FQ69/FO69-1,"")</f>
      </c>
      <c r="FR71" s="1283">
        <f>IFERROR(FR69/FQ69-1,"")</f>
      </c>
      <c r="FS71" s="1283">
        <f>IFERROR(FS69/FR69-1,"")</f>
      </c>
      <c r="FT71" s="1283">
        <f>IFERROR(FT69/FS69-1,"")</f>
      </c>
      <c r="FU71" s="991"/>
      <c r="FV71" s="771">
        <f>IFERROR(FV69/FT69-1,"")</f>
      </c>
      <c r="FW71" s="1283">
        <f>IFERROR(FW69/FV69-1,"")</f>
      </c>
      <c r="FX71" s="1283">
        <f>IFERROR(FX69/FW69-1,"")</f>
      </c>
      <c r="FY71" s="1283">
        <f>IFERROR(FY69/FX69-1,"")</f>
      </c>
      <c r="FZ71" s="991"/>
      <c r="GA71" s="771">
        <f>IFERROR(GA69/FY69-1,"")</f>
      </c>
      <c r="GB71" s="1283">
        <f>IFERROR(GB69/GA69-1,"")</f>
      </c>
      <c r="GC71" s="1283">
        <f>IFERROR(GC69/GB69-1,"")</f>
      </c>
      <c r="GD71" s="1283">
        <f>IFERROR(GD69/GC69-1,"")</f>
      </c>
      <c r="GE71" s="991"/>
      <c r="GF71" s="771">
        <f>IFERROR(GF69/GD69-1,"")</f>
      </c>
      <c r="GG71" s="1283">
        <f>IFERROR(GG69/GF69-1,"")</f>
      </c>
      <c r="GH71" s="1283">
        <f>IFERROR(GH69/GG69-1,"")</f>
      </c>
      <c r="GI71" s="1283">
        <f>IFERROR(GI69/GH69-1,"")</f>
      </c>
      <c r="GJ71" s="991"/>
    </row>
    <row r="72" spans="1:192" s="461" customFormat="1" ht="12.75" hidden="1" customHeight="1" outlineLevel="1">
      <c r="A72" s="370"/>
      <c r="B72" s="1295" t="s">
        <v>1865</v>
      </c>
      <c r="C72" s="987"/>
      <c r="D72" s="987"/>
      <c r="E72" s="987"/>
      <c r="F72" s="987"/>
      <c r="G72" s="988"/>
      <c r="H72" s="987"/>
      <c r="I72" s="987"/>
      <c r="J72" s="987"/>
      <c r="K72" s="987"/>
      <c r="L72" s="988"/>
      <c r="M72" s="987"/>
      <c r="N72" s="987"/>
      <c r="O72" s="987"/>
      <c r="P72" s="987"/>
      <c r="Q72" s="988"/>
      <c r="R72" s="989"/>
      <c r="S72" s="989"/>
      <c r="T72" s="989"/>
      <c r="U72" s="989"/>
      <c r="V72" s="988"/>
      <c r="W72" s="989"/>
      <c r="X72" s="989"/>
      <c r="Y72" s="989"/>
      <c r="Z72" s="989"/>
      <c r="AA72" s="988"/>
      <c r="AB72" s="989"/>
      <c r="AC72" s="989"/>
      <c r="AD72" s="989"/>
      <c r="AE72" s="989"/>
      <c r="AF72" s="988"/>
      <c r="AG72" s="989"/>
      <c r="AH72" s="989"/>
      <c r="AI72" s="989"/>
      <c r="AJ72" s="989"/>
      <c r="AK72" s="988"/>
      <c r="AL72" s="987"/>
      <c r="AM72" s="987"/>
      <c r="AN72" s="987"/>
      <c r="AO72" s="987"/>
      <c r="AP72" s="988"/>
      <c r="AQ72" s="987"/>
      <c r="AR72" s="987"/>
      <c r="AS72" s="987"/>
      <c r="AT72" s="987"/>
      <c r="AU72" s="988"/>
      <c r="AV72" s="987"/>
      <c r="AW72" s="987"/>
      <c r="AX72" s="987"/>
      <c r="AY72" s="987"/>
      <c r="AZ72" s="988"/>
      <c r="BA72" s="987"/>
      <c r="BB72" s="987"/>
      <c r="BC72" s="987"/>
      <c r="BD72" s="987"/>
      <c r="BE72" s="988"/>
      <c r="BF72" s="987"/>
      <c r="BG72" s="987"/>
      <c r="BH72" s="987"/>
      <c r="BI72" s="987"/>
      <c r="BJ72" s="988"/>
      <c r="BK72" s="987"/>
      <c r="BL72" s="987"/>
      <c r="BM72" s="987"/>
      <c r="BN72" s="987"/>
      <c r="BO72" s="988"/>
      <c r="BP72" s="987"/>
      <c r="BQ72" s="987"/>
      <c r="BR72" s="987"/>
      <c r="BS72" s="987"/>
      <c r="BT72" s="988"/>
      <c r="BU72" s="987"/>
      <c r="BV72" s="987"/>
      <c r="BW72" s="987"/>
      <c r="BX72" s="987"/>
      <c r="BY72" s="988"/>
      <c r="BZ72" s="987"/>
      <c r="CA72" s="987"/>
      <c r="CB72" s="987"/>
      <c r="CC72" s="987"/>
      <c r="CD72" s="988"/>
      <c r="CE72" s="987"/>
      <c r="CF72" s="987"/>
      <c r="CG72" s="987"/>
      <c r="CH72" s="987"/>
      <c r="CI72" s="988"/>
      <c r="CJ72" s="987"/>
      <c r="CK72" s="987"/>
      <c r="CL72" s="987"/>
      <c r="CM72" s="987"/>
      <c r="CN72" s="988"/>
      <c r="CO72" s="987"/>
      <c r="CP72" s="987"/>
      <c r="CQ72" s="987"/>
      <c r="CR72" s="987"/>
      <c r="CS72" s="988"/>
      <c r="CT72" s="987"/>
      <c r="CU72" s="987"/>
      <c r="CV72" s="987"/>
      <c r="CW72" s="987"/>
      <c r="CX72" s="988"/>
      <c r="CY72" s="1290"/>
      <c r="CZ72" s="1290"/>
      <c r="DA72" s="1290"/>
      <c r="DB72" s="1290"/>
      <c r="DC72" s="1291"/>
      <c r="DD72" s="1290"/>
      <c r="DE72" s="1290"/>
      <c r="DF72" s="1290"/>
      <c r="DG72" s="1290">
        <f t="shared" ref="DG72:EL72" si="238">DG69/DG$64</f>
      </c>
      <c r="DH72" s="1291"/>
      <c r="DI72" s="1290">
        <f t="shared" si="238"/>
      </c>
      <c r="DJ72" s="1290">
        <f t="shared" si="238"/>
      </c>
      <c r="DK72" s="1290">
        <f t="shared" si="238"/>
      </c>
      <c r="DL72" s="1290">
        <f t="shared" si="238"/>
      </c>
      <c r="DM72" s="1291">
        <f t="shared" si="238"/>
      </c>
      <c r="DN72" s="1290">
        <f t="shared" si="238"/>
      </c>
      <c r="DO72" s="1290">
        <f t="shared" si="238"/>
      </c>
      <c r="DP72" s="1290">
        <f t="shared" si="238"/>
      </c>
      <c r="DQ72" s="1290">
        <f t="shared" si="238"/>
      </c>
      <c r="DR72" s="1291">
        <f t="shared" si="238"/>
      </c>
      <c r="DS72" s="1290">
        <f t="shared" si="238"/>
      </c>
      <c r="DT72" s="1290">
        <f t="shared" si="238"/>
      </c>
      <c r="DU72" s="1290">
        <f t="shared" si="238"/>
      </c>
      <c r="DV72" s="1290">
        <f t="shared" si="238"/>
      </c>
      <c r="DW72" s="1291">
        <f t="shared" si="238"/>
      </c>
      <c r="DX72" s="1290">
        <f t="shared" si="238"/>
      </c>
      <c r="DY72" s="1290">
        <f t="shared" si="238"/>
      </c>
      <c r="DZ72" s="1290">
        <f t="shared" si="238"/>
      </c>
      <c r="EA72" s="1290">
        <f t="shared" si="238"/>
      </c>
      <c r="EB72" s="1291">
        <f t="shared" si="238"/>
      </c>
      <c r="EC72" s="1290">
        <f t="shared" si="238"/>
      </c>
      <c r="ED72" s="1290">
        <f t="shared" si="238"/>
      </c>
      <c r="EE72" s="1290">
        <f t="shared" si="238"/>
      </c>
      <c r="EF72" s="1290">
        <f t="shared" si="238"/>
      </c>
      <c r="EG72" s="1291">
        <f t="shared" si="238"/>
      </c>
      <c r="EH72" s="1290">
        <f t="shared" si="238"/>
      </c>
      <c r="EI72" s="1290">
        <f t="shared" si="238"/>
      </c>
      <c r="EJ72" s="1290">
        <f t="shared" si="238"/>
      </c>
      <c r="EK72" s="1290">
        <f t="shared" si="238"/>
      </c>
      <c r="EL72" s="1291">
        <f t="shared" si="238"/>
      </c>
      <c r="EM72" s="1290">
        <f t="shared" ref="EM72:FR72" si="239">EM69/EM$64</f>
      </c>
      <c r="EN72" s="1290">
        <f t="shared" si="239"/>
      </c>
      <c r="EO72" s="1290">
        <f t="shared" si="239"/>
      </c>
      <c r="EP72" s="1290">
        <f t="shared" si="239"/>
      </c>
      <c r="EQ72" s="1291">
        <f t="shared" si="239"/>
      </c>
      <c r="ER72" s="1290">
        <f t="shared" ref="ER72:EV72" si="240">ER69/ER$64</f>
      </c>
      <c r="ES72" s="1290">
        <f t="shared" si="240"/>
      </c>
      <c r="ET72" s="1290">
        <f t="shared" si="240"/>
      </c>
      <c r="EU72" s="1290">
        <f t="shared" si="240"/>
      </c>
      <c r="EV72" s="1291">
        <f t="shared" si="240"/>
      </c>
      <c r="EW72" s="1290">
        <f t="shared" si="239"/>
      </c>
      <c r="EX72" s="1290">
        <f t="shared" si="239"/>
      </c>
      <c r="EY72" s="1290">
        <f t="shared" si="239"/>
      </c>
      <c r="EZ72" s="1290">
        <f t="shared" si="239"/>
      </c>
      <c r="FA72" s="1291">
        <f t="shared" si="239"/>
      </c>
      <c r="FB72" s="1290">
        <f t="shared" si="239"/>
      </c>
      <c r="FC72" s="1290">
        <f t="shared" si="239"/>
      </c>
      <c r="FD72" s="1290">
        <f t="shared" si="239"/>
      </c>
      <c r="FE72" s="1290">
        <f t="shared" si="239"/>
      </c>
      <c r="FF72" s="1291">
        <f t="shared" si="239"/>
      </c>
      <c r="FG72" s="1290">
        <f t="shared" si="239"/>
      </c>
      <c r="FH72" s="1290">
        <f t="shared" si="239"/>
      </c>
      <c r="FI72" s="1290">
        <f t="shared" si="239"/>
      </c>
      <c r="FJ72" s="1290">
        <f t="shared" si="239"/>
      </c>
      <c r="FK72" s="1291">
        <f t="shared" si="239"/>
      </c>
      <c r="FL72" s="1290">
        <f t="shared" si="239"/>
      </c>
      <c r="FM72" s="1290">
        <f t="shared" si="239"/>
      </c>
      <c r="FN72" s="1290">
        <f t="shared" si="239"/>
      </c>
      <c r="FO72" s="1290">
        <f t="shared" si="239"/>
      </c>
      <c r="FP72" s="1291">
        <f t="shared" si="239"/>
      </c>
      <c r="FQ72" s="1290">
        <f t="shared" si="239"/>
      </c>
      <c r="FR72" s="1290">
        <f t="shared" si="239"/>
      </c>
      <c r="FS72" s="1290">
        <f t="shared" ref="FS72:FZ72" si="241">FS69/FS$64</f>
      </c>
      <c r="FT72" s="1290">
        <f t="shared" si="241"/>
      </c>
      <c r="FU72" s="1291">
        <f t="shared" si="241"/>
      </c>
      <c r="FV72" s="1290">
        <f t="shared" si="241"/>
      </c>
      <c r="FW72" s="1290">
        <f t="shared" si="241"/>
      </c>
      <c r="FX72" s="1290">
        <f t="shared" si="241"/>
      </c>
      <c r="FY72" s="1290">
        <f t="shared" si="241"/>
      </c>
      <c r="FZ72" s="1291">
        <f t="shared" si="241"/>
      </c>
      <c r="GA72" s="1290">
        <f t="shared" ref="GA72:GJ72" si="242">GA69/GA$64</f>
      </c>
      <c r="GB72" s="1290">
        <f t="shared" si="242"/>
      </c>
      <c r="GC72" s="1290">
        <f t="shared" si="242"/>
      </c>
      <c r="GD72" s="1290">
        <f t="shared" si="242"/>
      </c>
      <c r="GE72" s="1291">
        <f t="shared" si="242"/>
      </c>
      <c r="GF72" s="1290">
        <f t="shared" si="242"/>
      </c>
      <c r="GG72" s="1290">
        <f t="shared" si="242"/>
      </c>
      <c r="GH72" s="1290">
        <f t="shared" si="242"/>
      </c>
      <c r="GI72" s="1290">
        <f t="shared" si="242"/>
      </c>
      <c r="GJ72" s="1291">
        <f t="shared" si="242"/>
      </c>
    </row>
    <row r="73" spans="1:192" s="461" customFormat="1" ht="12.75" hidden="1" customHeight="1" outlineLevel="1">
      <c r="A73" s="370"/>
      <c r="B73" s="986"/>
      <c r="C73" s="987"/>
      <c r="D73" s="987"/>
      <c r="E73" s="987"/>
      <c r="F73" s="987"/>
      <c r="G73" s="988"/>
      <c r="H73" s="987"/>
      <c r="I73" s="987"/>
      <c r="J73" s="987"/>
      <c r="K73" s="987"/>
      <c r="L73" s="988"/>
      <c r="M73" s="987"/>
      <c r="N73" s="987"/>
      <c r="O73" s="987"/>
      <c r="P73" s="987"/>
      <c r="Q73" s="988"/>
      <c r="R73" s="989"/>
      <c r="S73" s="989"/>
      <c r="T73" s="989"/>
      <c r="U73" s="989"/>
      <c r="V73" s="988"/>
      <c r="W73" s="989"/>
      <c r="X73" s="989"/>
      <c r="Y73" s="989"/>
      <c r="Z73" s="989"/>
      <c r="AA73" s="988"/>
      <c r="AB73" s="989"/>
      <c r="AC73" s="989"/>
      <c r="AD73" s="989"/>
      <c r="AE73" s="989"/>
      <c r="AF73" s="988"/>
      <c r="AG73" s="989"/>
      <c r="AH73" s="989"/>
      <c r="AI73" s="989"/>
      <c r="AJ73" s="989"/>
      <c r="AK73" s="988"/>
      <c r="AL73" s="987"/>
      <c r="AM73" s="987"/>
      <c r="AN73" s="987"/>
      <c r="AO73" s="987"/>
      <c r="AP73" s="988"/>
      <c r="AQ73" s="987"/>
      <c r="AR73" s="987"/>
      <c r="AS73" s="987"/>
      <c r="AT73" s="987"/>
      <c r="AU73" s="988"/>
      <c r="AV73" s="987"/>
      <c r="AW73" s="987"/>
      <c r="AX73" s="987"/>
      <c r="AY73" s="987"/>
      <c r="AZ73" s="988"/>
      <c r="BA73" s="987"/>
      <c r="BB73" s="987"/>
      <c r="BC73" s="987"/>
      <c r="BD73" s="987"/>
      <c r="BE73" s="988"/>
      <c r="BF73" s="987"/>
      <c r="BG73" s="987"/>
      <c r="BH73" s="987"/>
      <c r="BI73" s="987"/>
      <c r="BJ73" s="988"/>
      <c r="BK73" s="987"/>
      <c r="BL73" s="987"/>
      <c r="BM73" s="987"/>
      <c r="BN73" s="987"/>
      <c r="BO73" s="988"/>
      <c r="BP73" s="987"/>
      <c r="BQ73" s="987"/>
      <c r="BR73" s="987"/>
      <c r="BS73" s="987"/>
      <c r="BT73" s="988"/>
      <c r="BU73" s="987"/>
      <c r="BV73" s="987"/>
      <c r="BW73" s="987"/>
      <c r="BX73" s="987"/>
      <c r="BY73" s="988"/>
      <c r="BZ73" s="987"/>
      <c r="CA73" s="987"/>
      <c r="CB73" s="987"/>
      <c r="CC73" s="987"/>
      <c r="CD73" s="988"/>
      <c r="CE73" s="987"/>
      <c r="CF73" s="987"/>
      <c r="CG73" s="987"/>
      <c r="CH73" s="987"/>
      <c r="CI73" s="988"/>
      <c r="CJ73" s="987"/>
      <c r="CK73" s="987"/>
      <c r="CL73" s="987"/>
      <c r="CM73" s="987"/>
      <c r="CN73" s="988"/>
      <c r="CO73" s="987"/>
      <c r="CP73" s="987"/>
      <c r="CQ73" s="987"/>
      <c r="CR73" s="987"/>
      <c r="CS73" s="988"/>
      <c r="CT73" s="987"/>
      <c r="CU73" s="987"/>
      <c r="CV73" s="987"/>
      <c r="CW73" s="987"/>
      <c r="CX73" s="988"/>
      <c r="CY73" s="771"/>
      <c r="CZ73" s="771"/>
      <c r="DA73" s="771"/>
      <c r="DB73" s="771"/>
      <c r="DC73" s="1047"/>
      <c r="DD73" s="771"/>
      <c r="DE73" s="771"/>
      <c r="DF73" s="771"/>
      <c r="DG73" s="771"/>
      <c r="DH73" s="1047"/>
      <c r="DI73" s="771"/>
      <c r="DJ73" s="771"/>
      <c r="DK73" s="771"/>
      <c r="DL73" s="771"/>
      <c r="DM73" s="1047"/>
      <c r="DN73" s="771"/>
      <c r="DO73" s="771"/>
      <c r="DP73" s="771"/>
      <c r="DQ73" s="771"/>
      <c r="DR73" s="1047"/>
      <c r="DS73" s="771"/>
      <c r="DT73" s="771"/>
      <c r="DU73" s="771"/>
      <c r="DV73" s="771"/>
      <c r="DW73" s="1047"/>
      <c r="DX73" s="771"/>
      <c r="DY73" s="771"/>
      <c r="DZ73" s="771"/>
      <c r="EA73" s="771"/>
      <c r="EB73" s="1047"/>
      <c r="EC73" s="771"/>
      <c r="ED73" s="771"/>
      <c r="EE73" s="771"/>
      <c r="EF73" s="771"/>
      <c r="EG73" s="1047"/>
      <c r="EH73" s="771"/>
      <c r="EI73" s="771"/>
      <c r="EJ73" s="771"/>
      <c r="EK73" s="771"/>
      <c r="EL73" s="1047"/>
      <c r="EM73" s="771"/>
      <c r="EN73" s="771"/>
      <c r="EO73" s="771"/>
      <c r="EP73" s="771"/>
      <c r="EQ73" s="1047"/>
      <c r="ER73" s="771"/>
      <c r="ES73" s="771"/>
      <c r="ET73" s="771"/>
      <c r="EU73" s="771"/>
      <c r="EV73" s="1047"/>
      <c r="EW73" s="771"/>
      <c r="EX73" s="771"/>
      <c r="EY73" s="771"/>
      <c r="EZ73" s="771"/>
      <c r="FA73" s="1047"/>
      <c r="FB73" s="771"/>
      <c r="FC73" s="771"/>
      <c r="FD73" s="771"/>
      <c r="FE73" s="771"/>
      <c r="FF73" s="1047"/>
      <c r="FG73" s="771"/>
      <c r="FH73" s="771"/>
      <c r="FI73" s="771"/>
      <c r="FJ73" s="771"/>
      <c r="FK73" s="1047"/>
      <c r="FL73" s="771"/>
      <c r="FM73" s="771"/>
      <c r="FN73" s="771"/>
      <c r="FO73" s="771"/>
      <c r="FP73" s="1047"/>
      <c r="FQ73" s="771"/>
      <c r="FR73" s="771"/>
      <c r="FS73" s="771"/>
      <c r="FT73" s="771"/>
      <c r="FU73" s="1047"/>
      <c r="FV73" s="771"/>
      <c r="FW73" s="771"/>
      <c r="FX73" s="771"/>
      <c r="FY73" s="771"/>
      <c r="FZ73" s="1047"/>
      <c r="GA73" s="771"/>
      <c r="GB73" s="771"/>
      <c r="GC73" s="771"/>
      <c r="GD73" s="771"/>
      <c r="GE73" s="1047"/>
      <c r="GF73" s="771"/>
      <c r="GG73" s="771"/>
      <c r="GH73" s="771"/>
      <c r="GI73" s="771"/>
      <c r="GJ73" s="1047"/>
    </row>
    <row r="74" spans="1:192" s="1292" customFormat="1" ht="12.75" hidden="1" customHeight="1" outlineLevel="1">
      <c r="B74" s="1294" t="s">
        <v>2016</v>
      </c>
      <c r="C74" s="1288"/>
      <c r="D74" s="1288"/>
      <c r="E74" s="1288"/>
      <c r="F74" s="1288"/>
      <c r="G74" s="1289"/>
      <c r="H74" s="1288"/>
      <c r="I74" s="1288"/>
      <c r="J74" s="1288"/>
      <c r="K74" s="1288"/>
      <c r="L74" s="1289"/>
      <c r="M74" s="1288"/>
      <c r="N74" s="1288"/>
      <c r="O74" s="1288"/>
      <c r="P74" s="1288"/>
      <c r="Q74" s="1289"/>
      <c r="R74" s="1293"/>
      <c r="S74" s="1293"/>
      <c r="T74" s="1293"/>
      <c r="U74" s="1293"/>
      <c r="V74" s="1289"/>
      <c r="W74" s="1293"/>
      <c r="X74" s="1293"/>
      <c r="Y74" s="1293"/>
      <c r="Z74" s="1293"/>
      <c r="AA74" s="1289"/>
      <c r="AB74" s="1293"/>
      <c r="AC74" s="1293"/>
      <c r="AD74" s="1293"/>
      <c r="AE74" s="1293"/>
      <c r="AF74" s="1289"/>
      <c r="AG74" s="1293"/>
      <c r="AH74" s="1293"/>
      <c r="AI74" s="1293"/>
      <c r="AJ74" s="1293"/>
      <c r="AK74" s="1289"/>
      <c r="AL74" s="1288"/>
      <c r="AM74" s="1288"/>
      <c r="AN74" s="1288"/>
      <c r="AO74" s="1288"/>
      <c r="AP74" s="1289"/>
      <c r="AQ74" s="1288"/>
      <c r="AR74" s="1288"/>
      <c r="AS74" s="1288"/>
      <c r="AT74" s="1288"/>
      <c r="AU74" s="1289"/>
      <c r="AV74" s="1288"/>
      <c r="AW74" s="1288"/>
      <c r="AX74" s="1288"/>
      <c r="AY74" s="1288"/>
      <c r="AZ74" s="1289"/>
      <c r="BA74" s="1288"/>
      <c r="BB74" s="1288"/>
      <c r="BC74" s="1288"/>
      <c r="BD74" s="1288"/>
      <c r="BE74" s="1289"/>
      <c r="BF74" s="1288"/>
      <c r="BG74" s="1288"/>
      <c r="BH74" s="1288"/>
      <c r="BI74" s="1288"/>
      <c r="BJ74" s="1289"/>
      <c r="BK74" s="1288"/>
      <c r="BL74" s="1288"/>
      <c r="BM74" s="1288"/>
      <c r="BN74" s="1288"/>
      <c r="BO74" s="1289"/>
      <c r="BP74" s="1288"/>
      <c r="BQ74" s="1288"/>
      <c r="BR74" s="1288"/>
      <c r="BS74" s="1288"/>
      <c r="BT74" s="1289"/>
      <c r="BU74" s="1288"/>
      <c r="BV74" s="1288"/>
      <c r="BW74" s="1288"/>
      <c r="BX74" s="1288"/>
      <c r="BY74" s="1289"/>
      <c r="BZ74" s="1288"/>
      <c r="CA74" s="1288"/>
      <c r="CB74" s="1288"/>
      <c r="CC74" s="1288"/>
      <c r="CD74" s="1289"/>
      <c r="CE74" s="1288"/>
      <c r="CF74" s="1288"/>
      <c r="CG74" s="1288"/>
      <c r="CH74" s="1288"/>
      <c r="CI74" s="1289"/>
      <c r="CJ74" s="1288"/>
      <c r="CK74" s="1288"/>
      <c r="CL74" s="1288"/>
      <c r="CM74" s="1288"/>
      <c r="CN74" s="1289"/>
      <c r="CO74" s="1288"/>
      <c r="CP74" s="1288"/>
      <c r="CQ74" s="1288"/>
      <c r="CR74" s="1288"/>
      <c r="CS74" s="1289"/>
      <c r="CT74" s="1288"/>
      <c r="CU74" s="1288"/>
      <c r="CV74" s="1288"/>
      <c r="CW74" s="1288"/>
      <c r="CX74" s="1289"/>
      <c r="CY74" s="1288">
        <f>Company1738!CY143</f>
      </c>
      <c r="CZ74" s="1288">
        <f>Company1738!CZ143</f>
      </c>
      <c r="DA74" s="1288">
        <f>Company1738!DA143</f>
      </c>
      <c r="DB74" s="1288">
        <f>Company1738!DB143</f>
      </c>
      <c r="DC74" s="1289">
        <f>Company1738!DC143</f>
      </c>
      <c r="DD74" s="1288">
        <f>Company1738!DD143</f>
      </c>
      <c r="DE74" s="1288">
        <f>Company1738!DE143</f>
      </c>
      <c r="DF74" s="1288">
        <f>Company1738!DF143</f>
      </c>
      <c r="DG74" s="1288">
        <f>Company1738!DG143</f>
      </c>
      <c r="DH74" s="1289">
        <f>Company1738!DH143</f>
      </c>
      <c r="DI74" s="1288">
        <f>Company1738!DI143</f>
      </c>
      <c r="DJ74" s="1288">
        <f>Company1738!DJ143</f>
      </c>
      <c r="DK74" s="1288">
        <f>Company1738!DK143</f>
      </c>
      <c r="DL74" s="1288">
        <f>Company1738!DL143</f>
      </c>
      <c r="DM74" s="1289">
        <f>Company1738!DM143</f>
      </c>
      <c r="DN74" s="1288">
        <f>Company1738!DN143</f>
      </c>
      <c r="DO74" s="1288">
        <f>Company1738!DO143</f>
      </c>
      <c r="DP74" s="1288">
        <f>Company1738!DP143</f>
      </c>
      <c r="DQ74" s="1288">
        <f>Company1738!DQ143</f>
      </c>
      <c r="DR74" s="1289">
        <f>Company1738!DR143</f>
      </c>
      <c r="DS74" s="1288">
        <f>Company1738!DS143</f>
      </c>
      <c r="DT74" s="1288">
        <f>Company1738!DT143</f>
      </c>
      <c r="DU74" s="1288">
        <f>Company1738!DU143</f>
      </c>
      <c r="DV74" s="1288">
        <f>Company1738!DV143</f>
      </c>
      <c r="DW74" s="1289">
        <f>Company1738!DW143</f>
      </c>
      <c r="DX74" s="1288">
        <f>Company1738!DX143</f>
      </c>
      <c r="DY74" s="1288">
        <f>Company1738!DY143</f>
      </c>
      <c r="DZ74" s="1288">
        <f>Company1738!DZ143</f>
      </c>
      <c r="EA74" s="1288">
        <f>Company1738!EA143</f>
      </c>
      <c r="EB74" s="1289">
        <f>Company1738!EB143</f>
      </c>
      <c r="EC74" s="1288">
        <f>Company1738!EC143</f>
      </c>
      <c r="ED74" s="1288">
        <f>Company1738!ED143</f>
      </c>
      <c r="EE74" s="1288">
        <f>Company1738!EE143</f>
      </c>
      <c r="EF74" s="1288">
        <f>Company1738!EF143</f>
      </c>
      <c r="EG74" s="1289">
        <f>Company1738!EG143</f>
      </c>
      <c r="EH74" s="1288">
        <f>Company1738!EH143</f>
      </c>
      <c r="EI74" s="1288">
        <f>Company1738!EI143</f>
      </c>
      <c r="EJ74" s="1288">
        <f>Company1738!EJ143</f>
      </c>
      <c r="EK74" s="1288">
        <f>Company1738!EK143</f>
      </c>
      <c r="EL74" s="1289">
        <f>Company1738!EL143</f>
      </c>
      <c r="EM74" s="1288">
        <f>Company1738!EM143</f>
      </c>
      <c r="EN74" s="1288">
        <f>Company1738!EN143</f>
      </c>
      <c r="EO74" s="1288">
        <f>Company1738!EO143</f>
      </c>
      <c r="EP74" s="1288">
        <f>Company1738!EP143</f>
      </c>
      <c r="EQ74" s="1289">
        <f>Company1738!EQ143</f>
      </c>
      <c r="ER74" s="1288">
        <f>Company1738!ER143</f>
      </c>
      <c r="ES74" s="1288">
        <f>Company1738!ES143</f>
      </c>
      <c r="ET74" s="1288">
        <f>Company1738!ET143</f>
      </c>
      <c r="EU74" s="1288">
        <f>Company1738!EU143</f>
      </c>
      <c r="EV74" s="1289">
        <f>Company1738!EV143</f>
      </c>
      <c r="EW74" s="1288">
        <f>Company1738!EW143</f>
      </c>
      <c r="EX74" s="1288">
        <f>Company1738!EX143</f>
      </c>
      <c r="EY74" s="1288">
        <f>Company1738!EY143</f>
      </c>
      <c r="EZ74" s="1288">
        <f>Company1738!EZ143</f>
      </c>
      <c r="FA74" s="1289">
        <f>Company1738!FA143</f>
      </c>
      <c r="FB74" s="1288">
        <f>Company1738!FB143</f>
      </c>
      <c r="FC74" s="1288">
        <f>Company1738!FC143</f>
      </c>
      <c r="FD74" s="1288">
        <f>Company1738!FD143</f>
      </c>
      <c r="FE74" s="1288">
        <f>Company1738!FE143</f>
      </c>
      <c r="FF74" s="1289">
        <f>Company1738!FF143</f>
      </c>
      <c r="FG74" s="1288">
        <f>Company1738!FG143</f>
      </c>
      <c r="FH74" s="1288">
        <f>Company1738!FH143</f>
      </c>
      <c r="FI74" s="1288">
        <f>Company1738!FI143</f>
      </c>
      <c r="FJ74" s="1288">
        <f>Company1738!FJ143</f>
      </c>
      <c r="FK74" s="1289">
        <f>Company1738!FK143</f>
      </c>
      <c r="FL74" s="1288">
        <f>Company1738!FL143</f>
      </c>
      <c r="FM74" s="1288">
        <f>Company1738!FM143</f>
      </c>
      <c r="FN74" s="1288">
        <f>Company1738!FN143</f>
      </c>
      <c r="FO74" s="1288">
        <f>Company1738!FO143</f>
      </c>
      <c r="FP74" s="1289">
        <f>Company1738!FP143</f>
      </c>
      <c r="FQ74" s="1288">
        <f>Company1738!FQ143</f>
      </c>
      <c r="FR74" s="1288">
        <f>Company1738!FR143</f>
      </c>
      <c r="FS74" s="1288">
        <f>Company1738!FS143</f>
      </c>
      <c r="FT74" s="1288">
        <f>Company1738!FT143</f>
      </c>
      <c r="FU74" s="1289">
        <f>Company1738!FU143</f>
      </c>
      <c r="FV74" s="1288">
        <f>Company1738!FV143</f>
      </c>
      <c r="FW74" s="1288">
        <f>Company1738!FW143</f>
      </c>
      <c r="FX74" s="1288">
        <f>Company1738!FX143</f>
      </c>
      <c r="FY74" s="1288">
        <f>Company1738!FY143</f>
      </c>
      <c r="FZ74" s="1289">
        <f>Company1738!FZ143</f>
      </c>
      <c r="GA74" s="1288">
        <f>Company1738!GA143</f>
      </c>
      <c r="GB74" s="1288">
        <f>Company1738!GB143</f>
      </c>
      <c r="GC74" s="1288">
        <f>Company1738!GC143</f>
      </c>
      <c r="GD74" s="1288">
        <f>Company1738!GD143</f>
      </c>
      <c r="GE74" s="1289">
        <f>Company1738!GE143</f>
      </c>
      <c r="GF74" s="1288">
        <f>Company1738!GF143</f>
      </c>
      <c r="GG74" s="1288">
        <f>Company1738!GG143</f>
      </c>
      <c r="GH74" s="1288">
        <f>Company1738!GH143</f>
      </c>
      <c r="GI74" s="1288">
        <f>Company1738!GI143</f>
      </c>
      <c r="GJ74" s="1289">
        <f>Company1738!GJ143</f>
      </c>
    </row>
    <row r="75" spans="1:192" s="461" customFormat="1" ht="12.75" hidden="1" customHeight="1" outlineLevel="1">
      <c r="A75" s="370"/>
      <c r="B75" s="1295" t="s">
        <v>34</v>
      </c>
      <c r="C75" s="987"/>
      <c r="D75" s="987"/>
      <c r="E75" s="987"/>
      <c r="F75" s="987"/>
      <c r="G75" s="988"/>
      <c r="H75" s="987"/>
      <c r="I75" s="987"/>
      <c r="J75" s="987"/>
      <c r="K75" s="987"/>
      <c r="L75" s="988"/>
      <c r="M75" s="987"/>
      <c r="N75" s="987"/>
      <c r="O75" s="987"/>
      <c r="P75" s="987"/>
      <c r="Q75" s="988"/>
      <c r="R75" s="989"/>
      <c r="S75" s="989"/>
      <c r="T75" s="989"/>
      <c r="U75" s="989"/>
      <c r="V75" s="988"/>
      <c r="W75" s="989"/>
      <c r="X75" s="989"/>
      <c r="Y75" s="989"/>
      <c r="Z75" s="989"/>
      <c r="AA75" s="988"/>
      <c r="AB75" s="989"/>
      <c r="AC75" s="989"/>
      <c r="AD75" s="989"/>
      <c r="AE75" s="989"/>
      <c r="AF75" s="988"/>
      <c r="AG75" s="989"/>
      <c r="AH75" s="989"/>
      <c r="AI75" s="989"/>
      <c r="AJ75" s="989"/>
      <c r="AK75" s="988"/>
      <c r="AL75" s="987"/>
      <c r="AM75" s="987"/>
      <c r="AN75" s="987"/>
      <c r="AO75" s="987"/>
      <c r="AP75" s="988"/>
      <c r="AQ75" s="987"/>
      <c r="AR75" s="987"/>
      <c r="AS75" s="987"/>
      <c r="AT75" s="987"/>
      <c r="AU75" s="988"/>
      <c r="AV75" s="987"/>
      <c r="AW75" s="987"/>
      <c r="AX75" s="987"/>
      <c r="AY75" s="987"/>
      <c r="AZ75" s="988"/>
      <c r="BA75" s="987"/>
      <c r="BB75" s="987"/>
      <c r="BC75" s="987"/>
      <c r="BD75" s="987"/>
      <c r="BE75" s="988"/>
      <c r="BF75" s="987"/>
      <c r="BG75" s="987"/>
      <c r="BH75" s="987"/>
      <c r="BI75" s="987"/>
      <c r="BJ75" s="988"/>
      <c r="BK75" s="987"/>
      <c r="BL75" s="987"/>
      <c r="BM75" s="987"/>
      <c r="BN75" s="987"/>
      <c r="BO75" s="988"/>
      <c r="BP75" s="987"/>
      <c r="BQ75" s="987"/>
      <c r="BR75" s="987"/>
      <c r="BS75" s="987"/>
      <c r="BT75" s="988"/>
      <c r="BU75" s="987"/>
      <c r="BV75" s="987"/>
      <c r="BW75" s="987"/>
      <c r="BX75" s="987"/>
      <c r="BY75" s="988"/>
      <c r="BZ75" s="987"/>
      <c r="CA75" s="987"/>
      <c r="CB75" s="987"/>
      <c r="CC75" s="987"/>
      <c r="CD75" s="988"/>
      <c r="CE75" s="987"/>
      <c r="CF75" s="987"/>
      <c r="CG75" s="987"/>
      <c r="CH75" s="987"/>
      <c r="CI75" s="988"/>
      <c r="CJ75" s="987"/>
      <c r="CK75" s="987"/>
      <c r="CL75" s="987"/>
      <c r="CM75" s="987"/>
      <c r="CN75" s="988"/>
      <c r="CO75" s="987"/>
      <c r="CP75" s="987"/>
      <c r="CQ75" s="987"/>
      <c r="CR75" s="987"/>
      <c r="CS75" s="988"/>
      <c r="CT75" s="771"/>
      <c r="CU75" s="771"/>
      <c r="CV75" s="771"/>
      <c r="CW75" s="771"/>
      <c r="CX75" s="1047"/>
      <c r="CY75" s="771" t="str">
        <f t="shared" ref="CY75:ED75" si="243">IFERROR(CY74/CT74-1,"")</f>
      </c>
      <c r="CZ75" s="771" t="str">
        <f t="shared" si="243"/>
      </c>
      <c r="DA75" s="771" t="str">
        <f t="shared" si="243"/>
      </c>
      <c r="DB75" s="771" t="str">
        <f t="shared" si="243"/>
      </c>
      <c r="DC75" s="1047" t="str">
        <f t="shared" si="243"/>
      </c>
      <c r="DD75" s="771">
        <f t="shared" si="243"/>
      </c>
      <c r="DE75" s="771">
        <f t="shared" si="243"/>
      </c>
      <c r="DF75" s="771">
        <f t="shared" si="243"/>
      </c>
      <c r="DG75" s="771">
        <f t="shared" si="243"/>
      </c>
      <c r="DH75" s="1047">
        <f t="shared" si="243"/>
      </c>
      <c r="DI75" s="771">
        <f t="shared" si="243"/>
      </c>
      <c r="DJ75" s="771">
        <f t="shared" si="243"/>
      </c>
      <c r="DK75" s="771">
        <f t="shared" si="243"/>
      </c>
      <c r="DL75" s="771">
        <f t="shared" si="243"/>
      </c>
      <c r="DM75" s="1047">
        <f t="shared" si="243"/>
      </c>
      <c r="DN75" s="771">
        <f t="shared" si="243"/>
      </c>
      <c r="DO75" s="771">
        <f t="shared" si="243"/>
      </c>
      <c r="DP75" s="771">
        <f t="shared" si="243"/>
      </c>
      <c r="DQ75" s="771">
        <f t="shared" si="243"/>
      </c>
      <c r="DR75" s="1047">
        <f t="shared" si="243"/>
      </c>
      <c r="DS75" s="771">
        <f t="shared" si="243"/>
      </c>
      <c r="DT75" s="771">
        <f t="shared" si="243"/>
      </c>
      <c r="DU75" s="771">
        <f t="shared" si="243"/>
      </c>
      <c r="DV75" s="771">
        <f t="shared" si="243"/>
      </c>
      <c r="DW75" s="1047">
        <f t="shared" si="243"/>
      </c>
      <c r="DX75" s="771">
        <f t="shared" si="243"/>
      </c>
      <c r="DY75" s="771">
        <f t="shared" si="243"/>
      </c>
      <c r="DZ75" s="771">
        <f t="shared" si="243"/>
      </c>
      <c r="EA75" s="771">
        <f t="shared" si="243"/>
      </c>
      <c r="EB75" s="1047">
        <f t="shared" si="243"/>
      </c>
      <c r="EC75" s="771">
        <f t="shared" si="243"/>
      </c>
      <c r="ED75" s="771">
        <f t="shared" si="243"/>
      </c>
      <c r="EE75" s="771">
        <f t="shared" ref="EE75:FJ75" si="244">IFERROR(EE74/DZ74-1,"")</f>
      </c>
      <c r="EF75" s="771">
        <f t="shared" si="244"/>
      </c>
      <c r="EG75" s="1047">
        <f t="shared" si="244"/>
      </c>
      <c r="EH75" s="771">
        <f t="shared" si="244"/>
      </c>
      <c r="EI75" s="771">
        <f t="shared" si="244"/>
      </c>
      <c r="EJ75" s="771">
        <f t="shared" si="244"/>
      </c>
      <c r="EK75" s="771">
        <f t="shared" si="244"/>
      </c>
      <c r="EL75" s="1047">
        <f t="shared" si="244"/>
      </c>
      <c r="EM75" s="771">
        <f t="shared" si="244"/>
      </c>
      <c r="EN75" s="771">
        <f t="shared" si="244"/>
      </c>
      <c r="EO75" s="771">
        <f t="shared" si="244"/>
      </c>
      <c r="EP75" s="771">
        <f t="shared" si="244"/>
      </c>
      <c r="EQ75" s="1047">
        <f t="shared" si="244"/>
      </c>
      <c r="ER75" s="771">
        <f t="shared" ref="ER75" si="245">IFERROR(ER74/EM74-1,"")</f>
      </c>
      <c r="ES75" s="771">
        <f t="shared" ref="ES75" si="246">IFERROR(ES74/EN74-1,"")</f>
      </c>
      <c r="ET75" s="771">
        <f t="shared" ref="ET75" si="247">IFERROR(ET74/EO74-1,"")</f>
      </c>
      <c r="EU75" s="771">
        <f t="shared" ref="EU75" si="248">IFERROR(EU74/EP74-1,"")</f>
      </c>
      <c r="EV75" s="1047">
        <f t="shared" ref="EV75" si="249">IFERROR(EV74/EQ74-1,"")</f>
      </c>
      <c r="EW75" s="771">
        <f t="shared" si="244"/>
      </c>
      <c r="EX75" s="771">
        <f t="shared" si="244"/>
      </c>
      <c r="EY75" s="771">
        <f t="shared" si="244"/>
      </c>
      <c r="EZ75" s="771">
        <f t="shared" ref="EZ75" si="250">IFERROR(EZ74/EU74-1,"")</f>
      </c>
      <c r="FA75" s="1047">
        <f t="shared" ref="FA75" si="251">IFERROR(FA74/EV74-1,"")</f>
      </c>
      <c r="FB75" s="771">
        <f t="shared" si="244"/>
      </c>
      <c r="FC75" s="771">
        <f t="shared" si="244"/>
      </c>
      <c r="FD75" s="771">
        <f t="shared" si="244"/>
      </c>
      <c r="FE75" s="771">
        <f t="shared" si="244"/>
      </c>
      <c r="FF75" s="1047">
        <f t="shared" si="244"/>
      </c>
      <c r="FG75" s="771">
        <f t="shared" si="244"/>
      </c>
      <c r="FH75" s="771">
        <f t="shared" si="244"/>
      </c>
      <c r="FI75" s="771">
        <f t="shared" si="244"/>
      </c>
      <c r="FJ75" s="771">
        <f t="shared" si="244"/>
      </c>
      <c r="FK75" s="1047">
        <f t="shared" ref="FK75:GE75" si="252">IFERROR(FK74/FF74-1,"")</f>
      </c>
      <c r="FL75" s="771">
        <f t="shared" si="252"/>
      </c>
      <c r="FM75" s="771">
        <f t="shared" si="252"/>
      </c>
      <c r="FN75" s="771">
        <f t="shared" si="252"/>
      </c>
      <c r="FO75" s="771">
        <f t="shared" si="252"/>
      </c>
      <c r="FP75" s="1047">
        <f t="shared" si="252"/>
      </c>
      <c r="FQ75" s="771">
        <f t="shared" si="252"/>
      </c>
      <c r="FR75" s="771">
        <f t="shared" si="252"/>
      </c>
      <c r="FS75" s="771">
        <f t="shared" si="252"/>
      </c>
      <c r="FT75" s="771">
        <f t="shared" si="252"/>
      </c>
      <c r="FU75" s="1047">
        <f t="shared" si="252"/>
      </c>
      <c r="FV75" s="771">
        <f t="shared" si="252"/>
      </c>
      <c r="FW75" s="771">
        <f t="shared" si="252"/>
      </c>
      <c r="FX75" s="771">
        <f t="shared" si="252"/>
      </c>
      <c r="FY75" s="771">
        <f t="shared" si="252"/>
      </c>
      <c r="FZ75" s="1047">
        <f t="shared" si="252"/>
      </c>
      <c r="GA75" s="771">
        <f t="shared" si="252"/>
      </c>
      <c r="GB75" s="771">
        <f t="shared" si="252"/>
      </c>
      <c r="GC75" s="771">
        <f t="shared" si="252"/>
      </c>
      <c r="GD75" s="771">
        <f t="shared" si="252"/>
      </c>
      <c r="GE75" s="1047">
        <f t="shared" si="252"/>
      </c>
      <c r="GF75" s="771">
        <f t="shared" ref="GF75" si="253">IFERROR(GF74/GA74-1,"")</f>
      </c>
      <c r="GG75" s="771">
        <f t="shared" ref="GG75" si="254">IFERROR(GG74/GB74-1,"")</f>
      </c>
      <c r="GH75" s="771">
        <f t="shared" ref="GH75" si="255">IFERROR(GH74/GC74-1,"")</f>
      </c>
      <c r="GI75" s="771">
        <f t="shared" ref="GI75" si="256">IFERROR(GI74/GD74-1,"")</f>
      </c>
      <c r="GJ75" s="1047">
        <f t="shared" ref="GJ75" si="257">IFERROR(GJ74/GE74-1,"")</f>
      </c>
    </row>
    <row r="76" spans="1:192" s="461" customFormat="1" ht="12.75" hidden="1" customHeight="1" outlineLevel="1">
      <c r="A76" s="370"/>
      <c r="B76" s="1295" t="s">
        <v>36</v>
      </c>
      <c r="C76" s="987"/>
      <c r="D76" s="987"/>
      <c r="E76" s="987"/>
      <c r="F76" s="987"/>
      <c r="G76" s="988"/>
      <c r="H76" s="987"/>
      <c r="I76" s="987"/>
      <c r="J76" s="987"/>
      <c r="K76" s="987"/>
      <c r="L76" s="988"/>
      <c r="M76" s="987"/>
      <c r="N76" s="987"/>
      <c r="O76" s="987"/>
      <c r="P76" s="987"/>
      <c r="Q76" s="988"/>
      <c r="R76" s="989"/>
      <c r="S76" s="989"/>
      <c r="T76" s="989"/>
      <c r="U76" s="989"/>
      <c r="V76" s="988"/>
      <c r="W76" s="989"/>
      <c r="X76" s="989"/>
      <c r="Y76" s="989"/>
      <c r="Z76" s="989"/>
      <c r="AA76" s="988"/>
      <c r="AB76" s="989"/>
      <c r="AC76" s="989"/>
      <c r="AD76" s="989"/>
      <c r="AE76" s="989"/>
      <c r="AF76" s="988"/>
      <c r="AG76" s="989"/>
      <c r="AH76" s="989"/>
      <c r="AI76" s="989"/>
      <c r="AJ76" s="989"/>
      <c r="AK76" s="988"/>
      <c r="AL76" s="987"/>
      <c r="AM76" s="987"/>
      <c r="AN76" s="987"/>
      <c r="AO76" s="987"/>
      <c r="AP76" s="988"/>
      <c r="AQ76" s="987"/>
      <c r="AR76" s="987"/>
      <c r="AS76" s="987"/>
      <c r="AT76" s="987"/>
      <c r="AU76" s="988"/>
      <c r="AV76" s="987"/>
      <c r="AW76" s="987"/>
      <c r="AX76" s="987"/>
      <c r="AY76" s="987"/>
      <c r="AZ76" s="988"/>
      <c r="BA76" s="987"/>
      <c r="BB76" s="987"/>
      <c r="BC76" s="987"/>
      <c r="BD76" s="987"/>
      <c r="BE76" s="988"/>
      <c r="BF76" s="987"/>
      <c r="BG76" s="987"/>
      <c r="BH76" s="987"/>
      <c r="BI76" s="987"/>
      <c r="BJ76" s="988"/>
      <c r="BK76" s="987"/>
      <c r="BL76" s="987"/>
      <c r="BM76" s="987"/>
      <c r="BN76" s="987"/>
      <c r="BO76" s="988"/>
      <c r="BP76" s="987"/>
      <c r="BQ76" s="987"/>
      <c r="BR76" s="987"/>
      <c r="BS76" s="987"/>
      <c r="BT76" s="988"/>
      <c r="BU76" s="987"/>
      <c r="BV76" s="987"/>
      <c r="BW76" s="987"/>
      <c r="BX76" s="987"/>
      <c r="BY76" s="988"/>
      <c r="BZ76" s="987"/>
      <c r="CA76" s="987"/>
      <c r="CB76" s="987"/>
      <c r="CC76" s="987"/>
      <c r="CD76" s="988"/>
      <c r="CE76" s="987"/>
      <c r="CF76" s="987"/>
      <c r="CG76" s="987"/>
      <c r="CH76" s="987"/>
      <c r="CI76" s="988"/>
      <c r="CJ76" s="987"/>
      <c r="CK76" s="987"/>
      <c r="CL76" s="987"/>
      <c r="CM76" s="987"/>
      <c r="CN76" s="988"/>
      <c r="CO76" s="987"/>
      <c r="CP76" s="987"/>
      <c r="CQ76" s="987"/>
      <c r="CR76" s="987"/>
      <c r="CS76" s="988"/>
      <c r="CT76" s="771"/>
      <c r="CU76" s="1283"/>
      <c r="CV76" s="1283"/>
      <c r="CW76" s="1283"/>
      <c r="CX76" s="991"/>
      <c r="CY76" s="771" t="str">
        <f>IFERROR(CY74/CW74-1,"")</f>
      </c>
      <c r="CZ76" s="1283">
        <f>IFERROR(CZ74/CY74-1,"")</f>
      </c>
      <c r="DA76" s="1283">
        <f>IFERROR(DA74/CZ74-1,"")</f>
      </c>
      <c r="DB76" s="1283">
        <f>IFERROR(DB74/DA74-1,"")</f>
      </c>
      <c r="DC76" s="991"/>
      <c r="DD76" s="771">
        <f>IFERROR(DD74/DB74-1,"")</f>
      </c>
      <c r="DE76" s="1283">
        <f>IFERROR(DE74/DD74-1,"")</f>
      </c>
      <c r="DF76" s="1283">
        <f>IFERROR(DF74/DE74-1,"")</f>
      </c>
      <c r="DG76" s="1283">
        <f>IFERROR(DG74/DF74-1,"")</f>
      </c>
      <c r="DH76" s="991"/>
      <c r="DI76" s="771">
        <f>IFERROR(DI74/DG74-1,"")</f>
      </c>
      <c r="DJ76" s="1283">
        <f>IFERROR(DJ74/DI74-1,"")</f>
      </c>
      <c r="DK76" s="1283">
        <f>IFERROR(DK74/DJ74-1,"")</f>
      </c>
      <c r="DL76" s="1283">
        <f>IFERROR(DL74/DK74-1,"")</f>
      </c>
      <c r="DM76" s="991"/>
      <c r="DN76" s="771">
        <f>IFERROR(DN74/DL74-1,"")</f>
      </c>
      <c r="DO76" s="1283">
        <f>IFERROR(DO74/DN74-1,"")</f>
      </c>
      <c r="DP76" s="1283">
        <f>IFERROR(DP74/DO74-1,"")</f>
      </c>
      <c r="DQ76" s="1283">
        <f>IFERROR(DQ74/DP74-1,"")</f>
      </c>
      <c r="DR76" s="991"/>
      <c r="DS76" s="771">
        <f>IFERROR(DS74/DQ74-1,"")</f>
      </c>
      <c r="DT76" s="1283">
        <f>IFERROR(DT74/DS74-1,"")</f>
      </c>
      <c r="DU76" s="1283">
        <f>IFERROR(DU74/DT74-1,"")</f>
      </c>
      <c r="DV76" s="1283">
        <f>IFERROR(DV74/DU74-1,"")</f>
      </c>
      <c r="DW76" s="991"/>
      <c r="DX76" s="771">
        <f>IFERROR(DX74/DV74-1,"")</f>
      </c>
      <c r="DY76" s="1283">
        <f>IFERROR(DY74/DX74-1,"")</f>
      </c>
      <c r="DZ76" s="1283">
        <f>IFERROR(DZ74/DY74-1,"")</f>
      </c>
      <c r="EA76" s="1283">
        <f>IFERROR(EA74/DZ74-1,"")</f>
      </c>
      <c r="EB76" s="991"/>
      <c r="EC76" s="771">
        <f>IFERROR(EC74/EA74-1,"")</f>
      </c>
      <c r="ED76" s="1283">
        <f>IFERROR(ED74/EC74-1,"")</f>
      </c>
      <c r="EE76" s="1283">
        <f>IFERROR(EE74/ED74-1,"")</f>
      </c>
      <c r="EF76" s="1283">
        <f>IFERROR(EF74/EE74-1,"")</f>
      </c>
      <c r="EG76" s="991"/>
      <c r="EH76" s="771">
        <f>IFERROR(EH74/EF74-1,"")</f>
      </c>
      <c r="EI76" s="1283">
        <f>IFERROR(EI74/EH74-1,"")</f>
      </c>
      <c r="EJ76" s="1283">
        <f>IFERROR(EJ74/EI74-1,"")</f>
      </c>
      <c r="EK76" s="1283">
        <f>IFERROR(EK74/EJ74-1,"")</f>
      </c>
      <c r="EL76" s="991"/>
      <c r="EM76" s="771">
        <f>IFERROR(EM74/EK74-1,"")</f>
      </c>
      <c r="EN76" s="1283">
        <f>IFERROR(EN74/EM74-1,"")</f>
      </c>
      <c r="EO76" s="1283">
        <f>IFERROR(EO74/EN74-1,"")</f>
      </c>
      <c r="EP76" s="1283">
        <f>IFERROR(EP74/EO74-1,"")</f>
      </c>
      <c r="EQ76" s="991"/>
      <c r="ER76" s="771">
        <f>IFERROR(ER74/EP74-1,"")</f>
      </c>
      <c r="ES76" s="1283">
        <f>IFERROR(ES74/ER74-1,"")</f>
      </c>
      <c r="ET76" s="1283">
        <f>IFERROR(ET74/ES74-1,"")</f>
      </c>
      <c r="EU76" s="1283">
        <f>IFERROR(EU74/ET74-1,"")</f>
      </c>
      <c r="EV76" s="991"/>
      <c r="EW76" s="771">
        <f>IFERROR(EW74/EU74-1,"")</f>
      </c>
      <c r="EX76" s="1283">
        <f>IFERROR(EX74/EW74-1,"")</f>
      </c>
      <c r="EY76" s="1283">
        <f>IFERROR(EY74/EX74-1,"")</f>
      </c>
      <c r="EZ76" s="1283">
        <f>IFERROR(EZ74/EY74-1,"")</f>
      </c>
      <c r="FA76" s="991"/>
      <c r="FB76" s="771">
        <f>IFERROR(FB74/EZ74-1,"")</f>
      </c>
      <c r="FC76" s="1283">
        <f>IFERROR(FC74/FB74-1,"")</f>
      </c>
      <c r="FD76" s="1283">
        <f>IFERROR(FD74/FC74-1,"")</f>
      </c>
      <c r="FE76" s="1283">
        <f>IFERROR(FE74/FD74-1,"")</f>
      </c>
      <c r="FF76" s="991"/>
      <c r="FG76" s="771">
        <f>IFERROR(FG74/FE74-1,"")</f>
      </c>
      <c r="FH76" s="1283">
        <f>IFERROR(FH74/FG74-1,"")</f>
      </c>
      <c r="FI76" s="1283">
        <f>IFERROR(FI74/FH74-1,"")</f>
      </c>
      <c r="FJ76" s="1283">
        <f>IFERROR(FJ74/FI74-1,"")</f>
      </c>
      <c r="FK76" s="991"/>
      <c r="FL76" s="771">
        <f>IFERROR(FL74/FJ74-1,"")</f>
      </c>
      <c r="FM76" s="1283">
        <f>IFERROR(FM74/FL74-1,"")</f>
      </c>
      <c r="FN76" s="1283">
        <f>IFERROR(FN74/FM74-1,"")</f>
      </c>
      <c r="FO76" s="1283">
        <f>IFERROR(FO74/FN74-1,"")</f>
      </c>
      <c r="FP76" s="991"/>
      <c r="FQ76" s="771">
        <f>IFERROR(FQ74/FO74-1,"")</f>
      </c>
      <c r="FR76" s="1283">
        <f>IFERROR(FR74/FQ74-1,"")</f>
      </c>
      <c r="FS76" s="1283">
        <f>IFERROR(FS74/FR74-1,"")</f>
      </c>
      <c r="FT76" s="1283">
        <f>IFERROR(FT74/FS74-1,"")</f>
      </c>
      <c r="FU76" s="991"/>
      <c r="FV76" s="771">
        <f>IFERROR(FV74/FT74-1,"")</f>
      </c>
      <c r="FW76" s="1283">
        <f>IFERROR(FW74/FV74-1,"")</f>
      </c>
      <c r="FX76" s="1283">
        <f>IFERROR(FX74/FW74-1,"")</f>
      </c>
      <c r="FY76" s="1283">
        <f>IFERROR(FY74/FX74-1,"")</f>
      </c>
      <c r="FZ76" s="991"/>
      <c r="GA76" s="771">
        <f>IFERROR(GA74/FY74-1,"")</f>
      </c>
      <c r="GB76" s="1283">
        <f>IFERROR(GB74/GA74-1,"")</f>
      </c>
      <c r="GC76" s="1283">
        <f>IFERROR(GC74/GB74-1,"")</f>
      </c>
      <c r="GD76" s="1283">
        <f>IFERROR(GD74/GC74-1,"")</f>
      </c>
      <c r="GE76" s="991"/>
      <c r="GF76" s="771">
        <f>IFERROR(GF74/GD74-1,"")</f>
      </c>
      <c r="GG76" s="1283">
        <f>IFERROR(GG74/GF74-1,"")</f>
      </c>
      <c r="GH76" s="1283">
        <f>IFERROR(GH74/GG74-1,"")</f>
      </c>
      <c r="GI76" s="1283">
        <f>IFERROR(GI74/GH74-1,"")</f>
      </c>
      <c r="GJ76" s="991"/>
    </row>
    <row r="77" spans="1:192" s="461" customFormat="1" ht="12.75" hidden="1" customHeight="1" outlineLevel="1">
      <c r="A77" s="370"/>
      <c r="B77" s="1295" t="s">
        <v>1865</v>
      </c>
      <c r="C77" s="987"/>
      <c r="D77" s="987"/>
      <c r="E77" s="987"/>
      <c r="F77" s="987"/>
      <c r="G77" s="988"/>
      <c r="H77" s="987"/>
      <c r="I77" s="987"/>
      <c r="J77" s="987"/>
      <c r="K77" s="987"/>
      <c r="L77" s="988"/>
      <c r="M77" s="987"/>
      <c r="N77" s="987"/>
      <c r="O77" s="987"/>
      <c r="P77" s="987"/>
      <c r="Q77" s="988"/>
      <c r="R77" s="989"/>
      <c r="S77" s="989"/>
      <c r="T77" s="989"/>
      <c r="U77" s="989"/>
      <c r="V77" s="988"/>
      <c r="W77" s="989"/>
      <c r="X77" s="989"/>
      <c r="Y77" s="989"/>
      <c r="Z77" s="989"/>
      <c r="AA77" s="988"/>
      <c r="AB77" s="989"/>
      <c r="AC77" s="989"/>
      <c r="AD77" s="989"/>
      <c r="AE77" s="989"/>
      <c r="AF77" s="988"/>
      <c r="AG77" s="989"/>
      <c r="AH77" s="989"/>
      <c r="AI77" s="989"/>
      <c r="AJ77" s="989"/>
      <c r="AK77" s="988"/>
      <c r="AL77" s="987"/>
      <c r="AM77" s="987"/>
      <c r="AN77" s="987"/>
      <c r="AO77" s="987"/>
      <c r="AP77" s="988"/>
      <c r="AQ77" s="987"/>
      <c r="AR77" s="987"/>
      <c r="AS77" s="987"/>
      <c r="AT77" s="987"/>
      <c r="AU77" s="988"/>
      <c r="AV77" s="987"/>
      <c r="AW77" s="987"/>
      <c r="AX77" s="987"/>
      <c r="AY77" s="987"/>
      <c r="AZ77" s="988"/>
      <c r="BA77" s="987"/>
      <c r="BB77" s="987"/>
      <c r="BC77" s="987"/>
      <c r="BD77" s="987"/>
      <c r="BE77" s="988"/>
      <c r="BF77" s="987"/>
      <c r="BG77" s="987"/>
      <c r="BH77" s="987"/>
      <c r="BI77" s="987"/>
      <c r="BJ77" s="988"/>
      <c r="BK77" s="987"/>
      <c r="BL77" s="987"/>
      <c r="BM77" s="987"/>
      <c r="BN77" s="987"/>
      <c r="BO77" s="988"/>
      <c r="BP77" s="987"/>
      <c r="BQ77" s="987"/>
      <c r="BR77" s="987"/>
      <c r="BS77" s="987"/>
      <c r="BT77" s="988"/>
      <c r="BU77" s="987"/>
      <c r="BV77" s="987"/>
      <c r="BW77" s="987"/>
      <c r="BX77" s="987"/>
      <c r="BY77" s="988"/>
      <c r="BZ77" s="987"/>
      <c r="CA77" s="987"/>
      <c r="CB77" s="987"/>
      <c r="CC77" s="987"/>
      <c r="CD77" s="988"/>
      <c r="CE77" s="987"/>
      <c r="CF77" s="987"/>
      <c r="CG77" s="987"/>
      <c r="CH77" s="987"/>
      <c r="CI77" s="988"/>
      <c r="CJ77" s="987"/>
      <c r="CK77" s="987"/>
      <c r="CL77" s="987"/>
      <c r="CM77" s="987"/>
      <c r="CN77" s="988"/>
      <c r="CO77" s="987"/>
      <c r="CP77" s="987"/>
      <c r="CQ77" s="987"/>
      <c r="CR77" s="987"/>
      <c r="CS77" s="988"/>
      <c r="CT77" s="987"/>
      <c r="CU77" s="987"/>
      <c r="CV77" s="987"/>
      <c r="CW77" s="987"/>
      <c r="CX77" s="988"/>
      <c r="CY77" s="1290">
        <f t="shared" ref="CY77:DH77" si="258">CY74/CY$64</f>
      </c>
      <c r="CZ77" s="1290">
        <f t="shared" si="258"/>
      </c>
      <c r="DA77" s="1290">
        <f t="shared" si="258"/>
      </c>
      <c r="DB77" s="1290">
        <f t="shared" si="258"/>
      </c>
      <c r="DC77" s="1291">
        <f t="shared" si="258"/>
      </c>
      <c r="DD77" s="1290">
        <f t="shared" si="258"/>
      </c>
      <c r="DE77" s="1290">
        <f t="shared" si="258"/>
      </c>
      <c r="DF77" s="1290">
        <f t="shared" si="258"/>
      </c>
      <c r="DG77" s="1290">
        <f t="shared" si="258"/>
      </c>
      <c r="DH77" s="1291">
        <f t="shared" si="258"/>
      </c>
      <c r="DI77" s="1290">
        <f t="shared" ref="DI77:FT77" si="259">DI74/DI$64</f>
      </c>
      <c r="DJ77" s="1290">
        <f t="shared" si="259"/>
      </c>
      <c r="DK77" s="1290">
        <f t="shared" si="259"/>
      </c>
      <c r="DL77" s="1290">
        <f t="shared" si="259"/>
      </c>
      <c r="DM77" s="1291">
        <f t="shared" si="259"/>
      </c>
      <c r="DN77" s="1290">
        <f t="shared" si="259"/>
      </c>
      <c r="DO77" s="1290">
        <f t="shared" si="259"/>
      </c>
      <c r="DP77" s="1290">
        <f t="shared" si="259"/>
      </c>
      <c r="DQ77" s="1290">
        <f t="shared" si="259"/>
      </c>
      <c r="DR77" s="1291">
        <f t="shared" si="259"/>
      </c>
      <c r="DS77" s="1290">
        <f t="shared" si="259"/>
      </c>
      <c r="DT77" s="1290">
        <f t="shared" si="259"/>
      </c>
      <c r="DU77" s="1290">
        <f t="shared" si="259"/>
      </c>
      <c r="DV77" s="1290">
        <f t="shared" si="259"/>
      </c>
      <c r="DW77" s="1291">
        <f t="shared" si="259"/>
      </c>
      <c r="DX77" s="1290">
        <f t="shared" si="259"/>
      </c>
      <c r="DY77" s="1290">
        <f t="shared" si="259"/>
      </c>
      <c r="DZ77" s="1290">
        <f t="shared" si="259"/>
      </c>
      <c r="EA77" s="1290">
        <f t="shared" si="259"/>
      </c>
      <c r="EB77" s="1291">
        <f t="shared" si="259"/>
      </c>
      <c r="EC77" s="1290">
        <f t="shared" si="259"/>
      </c>
      <c r="ED77" s="1290">
        <f t="shared" si="259"/>
      </c>
      <c r="EE77" s="1290">
        <f t="shared" si="259"/>
      </c>
      <c r="EF77" s="1290">
        <f t="shared" si="259"/>
      </c>
      <c r="EG77" s="1291">
        <f t="shared" si="259"/>
      </c>
      <c r="EH77" s="1290">
        <f t="shared" si="259"/>
      </c>
      <c r="EI77" s="1290">
        <f t="shared" si="259"/>
      </c>
      <c r="EJ77" s="1290">
        <f t="shared" si="259"/>
      </c>
      <c r="EK77" s="1290">
        <f t="shared" si="259"/>
      </c>
      <c r="EL77" s="1291">
        <f t="shared" si="259"/>
      </c>
      <c r="EM77" s="1290">
        <f t="shared" si="259"/>
      </c>
      <c r="EN77" s="1290">
        <f t="shared" si="259"/>
      </c>
      <c r="EO77" s="1290">
        <f t="shared" si="259"/>
      </c>
      <c r="EP77" s="1290">
        <f t="shared" si="259"/>
      </c>
      <c r="EQ77" s="1291">
        <f t="shared" si="259"/>
      </c>
      <c r="ER77" s="1290">
        <f t="shared" ref="ER77:EV77" si="260">ER74/ER$64</f>
      </c>
      <c r="ES77" s="1290">
        <f t="shared" si="260"/>
      </c>
      <c r="ET77" s="1290">
        <f t="shared" si="260"/>
      </c>
      <c r="EU77" s="1290">
        <f t="shared" si="260"/>
      </c>
      <c r="EV77" s="1291">
        <f t="shared" si="260"/>
      </c>
      <c r="EW77" s="1290">
        <f t="shared" si="259"/>
      </c>
      <c r="EX77" s="1290">
        <f t="shared" si="259"/>
      </c>
      <c r="EY77" s="1290">
        <f t="shared" si="259"/>
      </c>
      <c r="EZ77" s="1290">
        <f t="shared" si="259"/>
      </c>
      <c r="FA77" s="1291">
        <f t="shared" si="259"/>
      </c>
      <c r="FB77" s="1290">
        <f t="shared" si="259"/>
      </c>
      <c r="FC77" s="1290">
        <f t="shared" si="259"/>
      </c>
      <c r="FD77" s="1290">
        <f t="shared" si="259"/>
      </c>
      <c r="FE77" s="1290">
        <f t="shared" si="259"/>
      </c>
      <c r="FF77" s="1291">
        <f t="shared" si="259"/>
      </c>
      <c r="FG77" s="1290">
        <f t="shared" si="259"/>
      </c>
      <c r="FH77" s="1290">
        <f t="shared" si="259"/>
      </c>
      <c r="FI77" s="1290">
        <f t="shared" si="259"/>
      </c>
      <c r="FJ77" s="1290">
        <f t="shared" si="259"/>
      </c>
      <c r="FK77" s="1291">
        <f t="shared" si="259"/>
      </c>
      <c r="FL77" s="1290">
        <f t="shared" si="259"/>
      </c>
      <c r="FM77" s="1290">
        <f t="shared" si="259"/>
      </c>
      <c r="FN77" s="1290">
        <f t="shared" si="259"/>
      </c>
      <c r="FO77" s="1290">
        <f t="shared" si="259"/>
      </c>
      <c r="FP77" s="1291">
        <f t="shared" si="259"/>
      </c>
      <c r="FQ77" s="1290">
        <f t="shared" si="259"/>
      </c>
      <c r="FR77" s="1290">
        <f t="shared" si="259"/>
      </c>
      <c r="FS77" s="1290">
        <f t="shared" si="259"/>
      </c>
      <c r="FT77" s="1290">
        <f t="shared" si="259"/>
      </c>
      <c r="FU77" s="1291">
        <f t="shared" ref="FU77:FZ77" si="261">FU74/FU$64</f>
      </c>
      <c r="FV77" s="1290">
        <f t="shared" si="261"/>
      </c>
      <c r="FW77" s="1290">
        <f t="shared" si="261"/>
      </c>
      <c r="FX77" s="1290">
        <f t="shared" si="261"/>
      </c>
      <c r="FY77" s="1290">
        <f t="shared" si="261"/>
      </c>
      <c r="FZ77" s="1291">
        <f t="shared" si="261"/>
      </c>
      <c r="GA77" s="1290">
        <f t="shared" ref="GA77:GJ77" si="262">GA74/GA$64</f>
      </c>
      <c r="GB77" s="1290">
        <f t="shared" si="262"/>
      </c>
      <c r="GC77" s="1290">
        <f t="shared" si="262"/>
      </c>
      <c r="GD77" s="1290">
        <f t="shared" si="262"/>
      </c>
      <c r="GE77" s="1291">
        <f t="shared" si="262"/>
      </c>
      <c r="GF77" s="1290">
        <f t="shared" si="262"/>
      </c>
      <c r="GG77" s="1290">
        <f t="shared" si="262"/>
      </c>
      <c r="GH77" s="1290">
        <f t="shared" si="262"/>
      </c>
      <c r="GI77" s="1290">
        <f t="shared" si="262"/>
      </c>
      <c r="GJ77" s="1291">
        <f t="shared" si="262"/>
      </c>
    </row>
    <row r="78" spans="1:192" s="461" customFormat="1" ht="12.75" hidden="1" customHeight="1" outlineLevel="1">
      <c r="A78" s="370"/>
      <c r="B78" s="986"/>
      <c r="C78" s="987"/>
      <c r="D78" s="987"/>
      <c r="E78" s="987"/>
      <c r="F78" s="987"/>
      <c r="G78" s="988"/>
      <c r="H78" s="987"/>
      <c r="I78" s="987"/>
      <c r="J78" s="987"/>
      <c r="K78" s="987"/>
      <c r="L78" s="988"/>
      <c r="M78" s="987"/>
      <c r="N78" s="987"/>
      <c r="O78" s="987"/>
      <c r="P78" s="987"/>
      <c r="Q78" s="988"/>
      <c r="R78" s="989"/>
      <c r="S78" s="989"/>
      <c r="T78" s="989"/>
      <c r="U78" s="989"/>
      <c r="V78" s="988"/>
      <c r="W78" s="989"/>
      <c r="X78" s="989"/>
      <c r="Y78" s="989"/>
      <c r="Z78" s="989"/>
      <c r="AA78" s="988"/>
      <c r="AB78" s="989"/>
      <c r="AC78" s="989"/>
      <c r="AD78" s="989"/>
      <c r="AE78" s="989"/>
      <c r="AF78" s="988"/>
      <c r="AG78" s="989"/>
      <c r="AH78" s="989"/>
      <c r="AI78" s="989"/>
      <c r="AJ78" s="989"/>
      <c r="AK78" s="988"/>
      <c r="AL78" s="987"/>
      <c r="AM78" s="987"/>
      <c r="AN78" s="987"/>
      <c r="AO78" s="987"/>
      <c r="AP78" s="988"/>
      <c r="AQ78" s="987"/>
      <c r="AR78" s="987"/>
      <c r="AS78" s="987"/>
      <c r="AT78" s="987"/>
      <c r="AU78" s="988"/>
      <c r="AV78" s="987"/>
      <c r="AW78" s="987"/>
      <c r="AX78" s="987"/>
      <c r="AY78" s="987"/>
      <c r="AZ78" s="988"/>
      <c r="BA78" s="987"/>
      <c r="BB78" s="987"/>
      <c r="BC78" s="987"/>
      <c r="BD78" s="987"/>
      <c r="BE78" s="988"/>
      <c r="BF78" s="987"/>
      <c r="BG78" s="987"/>
      <c r="BH78" s="987"/>
      <c r="BI78" s="987"/>
      <c r="BJ78" s="988"/>
      <c r="BK78" s="987"/>
      <c r="BL78" s="987"/>
      <c r="BM78" s="987"/>
      <c r="BN78" s="987"/>
      <c r="BO78" s="988"/>
      <c r="BP78" s="987"/>
      <c r="BQ78" s="987"/>
      <c r="BR78" s="987"/>
      <c r="BS78" s="987"/>
      <c r="BT78" s="988"/>
      <c r="BU78" s="987"/>
      <c r="BV78" s="987"/>
      <c r="BW78" s="987"/>
      <c r="BX78" s="987"/>
      <c r="BY78" s="988"/>
      <c r="BZ78" s="987"/>
      <c r="CA78" s="987"/>
      <c r="CB78" s="987"/>
      <c r="CC78" s="987"/>
      <c r="CD78" s="988"/>
      <c r="CE78" s="987"/>
      <c r="CF78" s="987"/>
      <c r="CG78" s="987"/>
      <c r="CH78" s="987"/>
      <c r="CI78" s="988"/>
      <c r="CJ78" s="987"/>
      <c r="CK78" s="987"/>
      <c r="CL78" s="987"/>
      <c r="CM78" s="987"/>
      <c r="CN78" s="988"/>
      <c r="CO78" s="987"/>
      <c r="CP78" s="987"/>
      <c r="CQ78" s="987"/>
      <c r="CR78" s="987"/>
      <c r="CS78" s="988"/>
      <c r="CT78" s="987"/>
      <c r="CU78" s="987"/>
      <c r="CV78" s="987"/>
      <c r="CW78" s="987"/>
      <c r="CX78" s="988"/>
      <c r="CY78" s="771"/>
      <c r="CZ78" s="771"/>
      <c r="DA78" s="771"/>
      <c r="DB78" s="771"/>
      <c r="DC78" s="1047"/>
      <c r="DD78" s="771"/>
      <c r="DE78" s="771"/>
      <c r="DF78" s="771"/>
      <c r="DG78" s="771"/>
      <c r="DH78" s="1047"/>
      <c r="DI78" s="771"/>
      <c r="DJ78" s="771"/>
      <c r="DK78" s="771"/>
      <c r="DL78" s="771"/>
      <c r="DM78" s="1047"/>
      <c r="DN78" s="771"/>
      <c r="DO78" s="771"/>
      <c r="DP78" s="771"/>
      <c r="DQ78" s="771"/>
      <c r="DR78" s="1047"/>
      <c r="DS78" s="771"/>
      <c r="DT78" s="771"/>
      <c r="DU78" s="771"/>
      <c r="DV78" s="771"/>
      <c r="DW78" s="1047"/>
      <c r="DX78" s="771"/>
      <c r="DY78" s="771"/>
      <c r="DZ78" s="771"/>
      <c r="EA78" s="771"/>
      <c r="EB78" s="1047"/>
      <c r="EC78" s="771"/>
      <c r="ED78" s="771"/>
      <c r="EE78" s="771"/>
      <c r="EF78" s="771"/>
      <c r="EG78" s="1047"/>
      <c r="EH78" s="771"/>
      <c r="EI78" s="771"/>
      <c r="EJ78" s="771"/>
      <c r="EK78" s="771"/>
      <c r="EL78" s="1047"/>
      <c r="EM78" s="771"/>
      <c r="EN78" s="771"/>
      <c r="EO78" s="771"/>
      <c r="EP78" s="771"/>
      <c r="EQ78" s="1047"/>
      <c r="ER78" s="771"/>
      <c r="ES78" s="771"/>
      <c r="ET78" s="771"/>
      <c r="EU78" s="771"/>
      <c r="EV78" s="1047"/>
      <c r="EW78" s="771"/>
      <c r="EX78" s="771"/>
      <c r="EY78" s="771"/>
      <c r="EZ78" s="771"/>
      <c r="FA78" s="1047"/>
      <c r="FB78" s="771"/>
      <c r="FC78" s="771"/>
      <c r="FD78" s="771"/>
      <c r="FE78" s="771"/>
      <c r="FF78" s="1047"/>
      <c r="FG78" s="771"/>
      <c r="FH78" s="771"/>
      <c r="FI78" s="771"/>
      <c r="FJ78" s="771"/>
      <c r="FK78" s="1047"/>
      <c r="FL78" s="771"/>
      <c r="FM78" s="771"/>
      <c r="FN78" s="771"/>
      <c r="FO78" s="771"/>
      <c r="FP78" s="1047"/>
      <c r="FQ78" s="771"/>
      <c r="FR78" s="771"/>
      <c r="FS78" s="771"/>
      <c r="FT78" s="771"/>
      <c r="FU78" s="1047"/>
      <c r="FV78" s="771"/>
      <c r="FW78" s="771"/>
      <c r="FX78" s="771"/>
      <c r="FY78" s="771"/>
      <c r="FZ78" s="1047"/>
      <c r="GA78" s="771"/>
      <c r="GB78" s="771"/>
      <c r="GC78" s="771"/>
      <c r="GD78" s="771"/>
      <c r="GE78" s="1047"/>
      <c r="GF78" s="771"/>
      <c r="GG78" s="771"/>
      <c r="GH78" s="771"/>
      <c r="GI78" s="771"/>
      <c r="GJ78" s="1047"/>
    </row>
    <row r="79" spans="1:192" s="1292" customFormat="1" ht="12.75" hidden="1" customHeight="1" outlineLevel="1">
      <c r="B79" s="1294" t="s">
        <v>211</v>
      </c>
      <c r="C79" s="1288"/>
      <c r="D79" s="1288"/>
      <c r="E79" s="1288"/>
      <c r="F79" s="1288"/>
      <c r="G79" s="1289"/>
      <c r="H79" s="1288"/>
      <c r="I79" s="1288"/>
      <c r="J79" s="1288"/>
      <c r="K79" s="1288"/>
      <c r="L79" s="1289"/>
      <c r="M79" s="1288"/>
      <c r="N79" s="1288"/>
      <c r="O79" s="1288"/>
      <c r="P79" s="1288"/>
      <c r="Q79" s="1289"/>
      <c r="R79" s="1293"/>
      <c r="S79" s="1293"/>
      <c r="T79" s="1293"/>
      <c r="U79" s="1293"/>
      <c r="V79" s="1289"/>
      <c r="W79" s="1293"/>
      <c r="X79" s="1293"/>
      <c r="Y79" s="1293"/>
      <c r="Z79" s="1293"/>
      <c r="AA79" s="1289"/>
      <c r="AB79" s="1293"/>
      <c r="AC79" s="1293"/>
      <c r="AD79" s="1293"/>
      <c r="AE79" s="1293"/>
      <c r="AF79" s="1289"/>
      <c r="AG79" s="1293"/>
      <c r="AH79" s="1293"/>
      <c r="AI79" s="1293"/>
      <c r="AJ79" s="1293"/>
      <c r="AK79" s="1289"/>
      <c r="AL79" s="1288"/>
      <c r="AM79" s="1288"/>
      <c r="AN79" s="1288"/>
      <c r="AO79" s="1288"/>
      <c r="AP79" s="1289"/>
      <c r="AQ79" s="1288"/>
      <c r="AR79" s="1288"/>
      <c r="AS79" s="1288"/>
      <c r="AT79" s="1288"/>
      <c r="AU79" s="1289"/>
      <c r="AV79" s="1288"/>
      <c r="AW79" s="1288"/>
      <c r="AX79" s="1288"/>
      <c r="AY79" s="1288"/>
      <c r="AZ79" s="1289"/>
      <c r="BA79" s="1288"/>
      <c r="BB79" s="1288"/>
      <c r="BC79" s="1288"/>
      <c r="BD79" s="1288"/>
      <c r="BE79" s="1289"/>
      <c r="BF79" s="1288"/>
      <c r="BG79" s="1288"/>
      <c r="BH79" s="1288"/>
      <c r="BI79" s="1288"/>
      <c r="BJ79" s="1289"/>
      <c r="BK79" s="1288"/>
      <c r="BL79" s="1288"/>
      <c r="BM79" s="1288"/>
      <c r="BN79" s="1288"/>
      <c r="BO79" s="1289"/>
      <c r="BP79" s="1288"/>
      <c r="BQ79" s="1288"/>
      <c r="BR79" s="1288"/>
      <c r="BS79" s="1288"/>
      <c r="BT79" s="1289"/>
      <c r="BU79" s="1288"/>
      <c r="BV79" s="1288"/>
      <c r="BW79" s="1288"/>
      <c r="BX79" s="1288"/>
      <c r="BY79" s="1289"/>
      <c r="BZ79" s="1288"/>
      <c r="CA79" s="1288"/>
      <c r="CB79" s="1288"/>
      <c r="CC79" s="1288"/>
      <c r="CD79" s="1289"/>
      <c r="CE79" s="1288"/>
      <c r="CF79" s="1288"/>
      <c r="CG79" s="1288"/>
      <c r="CH79" s="1288"/>
      <c r="CI79" s="1289"/>
      <c r="CJ79" s="1288"/>
      <c r="CK79" s="1288"/>
      <c r="CL79" s="1288"/>
      <c r="CM79" s="1288"/>
      <c r="CN79" s="1289"/>
      <c r="CO79" s="1288"/>
      <c r="CP79" s="1288"/>
      <c r="CQ79" s="1288"/>
      <c r="CR79" s="1288"/>
      <c r="CS79" s="1289"/>
      <c r="CT79" s="1288"/>
      <c r="CU79" s="1288"/>
      <c r="CV79" s="1288"/>
      <c r="CW79" s="1288"/>
      <c r="CX79" s="1289"/>
      <c r="CY79" s="1288"/>
      <c r="CZ79" s="1288"/>
      <c r="DA79" s="1288"/>
      <c r="DB79" s="1288"/>
      <c r="DC79" s="1289"/>
      <c r="DD79" s="1288"/>
      <c r="DE79" s="1288"/>
      <c r="DF79" s="1288"/>
      <c r="DG79" s="1288"/>
      <c r="DH79" s="1289"/>
      <c r="DI79" s="1288"/>
      <c r="DJ79" s="1288"/>
      <c r="DK79" s="1288"/>
      <c r="DL79" s="1288"/>
      <c r="DM79" s="1289">
        <f>Company1738!DM126</f>
      </c>
      <c r="DN79" s="1288">
        <f>Company1738!DN126</f>
      </c>
      <c r="DO79" s="1288">
        <f>Company1738!DO126</f>
      </c>
      <c r="DP79" s="1288">
        <f>Company1738!DP126</f>
      </c>
      <c r="DQ79" s="1288">
        <f>Company1738!DQ126</f>
      </c>
      <c r="DR79" s="1289">
        <f>Company1738!DR126</f>
      </c>
      <c r="DS79" s="1288">
        <f>Company1738!DS126</f>
      </c>
      <c r="DT79" s="1288">
        <f>Company1738!DT126</f>
      </c>
      <c r="DU79" s="1288">
        <f>Company1738!DU126</f>
      </c>
      <c r="DV79" s="1288">
        <f>Company1738!DV126</f>
      </c>
      <c r="DW79" s="1289">
        <f>Company1738!DW126</f>
      </c>
      <c r="DX79" s="1288">
        <f>Company1738!DX126</f>
      </c>
      <c r="DY79" s="1288">
        <f>Company1738!DY126</f>
      </c>
      <c r="DZ79" s="1288">
        <f>Company1738!DZ126</f>
      </c>
      <c r="EA79" s="1288">
        <f>Company1738!EA126</f>
      </c>
      <c r="EB79" s="1289">
        <f>Company1738!EB126</f>
      </c>
      <c r="EC79" s="1288">
        <f>Company1738!EC126</f>
      </c>
      <c r="ED79" s="1288">
        <f>Company1738!ED126</f>
      </c>
      <c r="EE79" s="1288">
        <f>Company1738!EE126</f>
      </c>
      <c r="EF79" s="1288">
        <f>Company1738!EF126</f>
      </c>
      <c r="EG79" s="1289">
        <f>Company1738!EG126</f>
      </c>
      <c r="EH79" s="1288">
        <f>Company1738!EH126</f>
      </c>
      <c r="EI79" s="1288">
        <f>Company1738!EI126</f>
      </c>
      <c r="EJ79" s="1288">
        <f>Company1738!EJ126</f>
      </c>
      <c r="EK79" s="1288">
        <f>Company1738!EK126</f>
      </c>
      <c r="EL79" s="1289">
        <f>Company1738!EL126</f>
      </c>
      <c r="EM79" s="1288">
        <f>Company1738!EM126</f>
      </c>
      <c r="EN79" s="1288">
        <f>Company1738!EN126</f>
      </c>
      <c r="EO79" s="1288">
        <f>Company1738!EO126</f>
      </c>
      <c r="EP79" s="1288">
        <f>Company1738!EP126</f>
      </c>
      <c r="EQ79" s="1289">
        <f>Company1738!EQ126</f>
      </c>
      <c r="ER79" s="1288">
        <f>Company1738!ER126</f>
      </c>
      <c r="ES79" s="1288">
        <f>Company1738!ES126</f>
      </c>
      <c r="ET79" s="1288">
        <f>Company1738!ET126</f>
      </c>
      <c r="EU79" s="1288">
        <f>Company1738!EU126</f>
      </c>
      <c r="EV79" s="1289">
        <f>Company1738!EV126</f>
      </c>
      <c r="EW79" s="1288">
        <f>Company1738!EW126</f>
      </c>
      <c r="EX79" s="1288">
        <f>Company1738!EX126</f>
      </c>
      <c r="EY79" s="1288">
        <f>Company1738!EY126</f>
      </c>
      <c r="EZ79" s="1288">
        <f>Company1738!EZ126</f>
      </c>
      <c r="FA79" s="1289">
        <f>Company1738!FA126</f>
      </c>
      <c r="FB79" s="1288">
        <f>Company1738!FB126</f>
      </c>
      <c r="FC79" s="1288">
        <f>Company1738!FC126</f>
      </c>
      <c r="FD79" s="1288">
        <f>Company1738!FD126</f>
      </c>
      <c r="FE79" s="1288">
        <f>Company1738!FE126</f>
      </c>
      <c r="FF79" s="1289">
        <f>Company1738!FF126</f>
      </c>
      <c r="FG79" s="1288">
        <f>Company1738!FG126</f>
      </c>
      <c r="FH79" s="1288">
        <f>Company1738!FH126</f>
      </c>
      <c r="FI79" s="1288">
        <f>Company1738!FI126</f>
      </c>
      <c r="FJ79" s="1288">
        <f>Company1738!FJ126</f>
      </c>
      <c r="FK79" s="1289">
        <f>Company1738!FK126</f>
      </c>
      <c r="FL79" s="1288">
        <f>Company1738!FL126</f>
      </c>
      <c r="FM79" s="1288">
        <f>Company1738!FM126</f>
      </c>
      <c r="FN79" s="1288">
        <f>Company1738!FN126</f>
      </c>
      <c r="FO79" s="1288">
        <f>Company1738!FO126</f>
      </c>
      <c r="FP79" s="1289">
        <f>Company1738!FP126</f>
      </c>
      <c r="FQ79" s="1288">
        <f>Company1738!FQ126</f>
      </c>
      <c r="FR79" s="1288">
        <f>Company1738!FR126</f>
      </c>
      <c r="FS79" s="1288">
        <f>Company1738!FS126</f>
      </c>
      <c r="FT79" s="1288">
        <f>Company1738!FT126</f>
      </c>
      <c r="FU79" s="1289">
        <f>Company1738!FU126</f>
      </c>
      <c r="FV79" s="1288">
        <f>Company1738!FV126</f>
      </c>
      <c r="FW79" s="1288">
        <f>Company1738!FW126</f>
      </c>
      <c r="FX79" s="1288">
        <f>Company1738!FX126</f>
      </c>
      <c r="FY79" s="1288">
        <f>Company1738!FY126</f>
      </c>
      <c r="FZ79" s="1289">
        <f>Company1738!FZ126</f>
      </c>
      <c r="GA79" s="1288">
        <f>Company1738!GA126</f>
      </c>
      <c r="GB79" s="1288">
        <f>Company1738!GB126</f>
      </c>
      <c r="GC79" s="1288">
        <f>Company1738!GC126</f>
      </c>
      <c r="GD79" s="1288">
        <f>Company1738!GD126</f>
      </c>
      <c r="GE79" s="1289">
        <f>Company1738!GE126</f>
      </c>
      <c r="GF79" s="1288">
        <f>Company1738!GF126</f>
      </c>
      <c r="GG79" s="1288">
        <f>Company1738!GG126</f>
      </c>
      <c r="GH79" s="1288">
        <f>Company1738!GH126</f>
      </c>
      <c r="GI79" s="1288">
        <f>Company1738!GI126</f>
      </c>
      <c r="GJ79" s="1289">
        <f>Company1738!GJ126</f>
      </c>
    </row>
    <row r="80" spans="1:192" s="461" customFormat="1" ht="12.75" hidden="1" customHeight="1" outlineLevel="1">
      <c r="A80" s="370"/>
      <c r="B80" s="1295" t="s">
        <v>34</v>
      </c>
      <c r="C80" s="987"/>
      <c r="D80" s="987"/>
      <c r="E80" s="987"/>
      <c r="F80" s="987"/>
      <c r="G80" s="988"/>
      <c r="H80" s="987"/>
      <c r="I80" s="987"/>
      <c r="J80" s="987"/>
      <c r="K80" s="987"/>
      <c r="L80" s="988"/>
      <c r="M80" s="987"/>
      <c r="N80" s="987"/>
      <c r="O80" s="987"/>
      <c r="P80" s="987"/>
      <c r="Q80" s="988"/>
      <c r="R80" s="989"/>
      <c r="S80" s="989"/>
      <c r="T80" s="989"/>
      <c r="U80" s="989"/>
      <c r="V80" s="988"/>
      <c r="W80" s="989"/>
      <c r="X80" s="989"/>
      <c r="Y80" s="989"/>
      <c r="Z80" s="989"/>
      <c r="AA80" s="988"/>
      <c r="AB80" s="989"/>
      <c r="AC80" s="989"/>
      <c r="AD80" s="989"/>
      <c r="AE80" s="989"/>
      <c r="AF80" s="988"/>
      <c r="AG80" s="989"/>
      <c r="AH80" s="989"/>
      <c r="AI80" s="989"/>
      <c r="AJ80" s="989"/>
      <c r="AK80" s="988"/>
      <c r="AL80" s="987"/>
      <c r="AM80" s="987"/>
      <c r="AN80" s="987"/>
      <c r="AO80" s="987"/>
      <c r="AP80" s="988"/>
      <c r="AQ80" s="987"/>
      <c r="AR80" s="987"/>
      <c r="AS80" s="987"/>
      <c r="AT80" s="987"/>
      <c r="AU80" s="988"/>
      <c r="AV80" s="987"/>
      <c r="AW80" s="987"/>
      <c r="AX80" s="987"/>
      <c r="AY80" s="987"/>
      <c r="AZ80" s="988"/>
      <c r="BA80" s="987"/>
      <c r="BB80" s="987"/>
      <c r="BC80" s="987"/>
      <c r="BD80" s="987"/>
      <c r="BE80" s="988"/>
      <c r="BF80" s="987"/>
      <c r="BG80" s="987"/>
      <c r="BH80" s="987"/>
      <c r="BI80" s="987"/>
      <c r="BJ80" s="988"/>
      <c r="BK80" s="987"/>
      <c r="BL80" s="987"/>
      <c r="BM80" s="987"/>
      <c r="BN80" s="987"/>
      <c r="BO80" s="988"/>
      <c r="BP80" s="987"/>
      <c r="BQ80" s="987"/>
      <c r="BR80" s="987"/>
      <c r="BS80" s="987"/>
      <c r="BT80" s="988"/>
      <c r="BU80" s="987"/>
      <c r="BV80" s="987"/>
      <c r="BW80" s="987"/>
      <c r="BX80" s="987"/>
      <c r="BY80" s="988"/>
      <c r="BZ80" s="987"/>
      <c r="CA80" s="987"/>
      <c r="CB80" s="987"/>
      <c r="CC80" s="987"/>
      <c r="CD80" s="988"/>
      <c r="CE80" s="987"/>
      <c r="CF80" s="987"/>
      <c r="CG80" s="987"/>
      <c r="CH80" s="987"/>
      <c r="CI80" s="988"/>
      <c r="CJ80" s="987"/>
      <c r="CK80" s="987"/>
      <c r="CL80" s="987"/>
      <c r="CM80" s="987"/>
      <c r="CN80" s="988"/>
      <c r="CO80" s="987"/>
      <c r="CP80" s="987"/>
      <c r="CQ80" s="987"/>
      <c r="CR80" s="987"/>
      <c r="CS80" s="988"/>
      <c r="CT80" s="771" t="str">
        <f t="shared" ref="CT80:DY80" si="263">IFERROR(CT79/CO79-1,"")</f>
      </c>
      <c r="CU80" s="771" t="str">
        <f t="shared" si="263"/>
      </c>
      <c r="CV80" s="771" t="str">
        <f t="shared" si="263"/>
      </c>
      <c r="CW80" s="771" t="str">
        <f t="shared" si="263"/>
      </c>
      <c r="CX80" s="1047" t="str">
        <f t="shared" si="263"/>
      </c>
      <c r="CY80" s="771" t="str">
        <f t="shared" si="263"/>
      </c>
      <c r="CZ80" s="771" t="str">
        <f t="shared" si="263"/>
      </c>
      <c r="DA80" s="771" t="str">
        <f t="shared" si="263"/>
      </c>
      <c r="DB80" s="771" t="str">
        <f t="shared" si="263"/>
      </c>
      <c r="DC80" s="1047" t="str">
        <f t="shared" si="263"/>
      </c>
      <c r="DD80" s="771" t="str">
        <f t="shared" si="263"/>
      </c>
      <c r="DE80" s="771" t="str">
        <f t="shared" si="263"/>
      </c>
      <c r="DF80" s="771" t="str">
        <f t="shared" si="263"/>
      </c>
      <c r="DG80" s="771" t="str">
        <f t="shared" si="263"/>
      </c>
      <c r="DH80" s="1047" t="str">
        <f t="shared" si="263"/>
      </c>
      <c r="DI80" s="771" t="str">
        <f t="shared" si="263"/>
      </c>
      <c r="DJ80" s="771" t="str">
        <f t="shared" si="263"/>
      </c>
      <c r="DK80" s="771" t="str">
        <f t="shared" si="263"/>
      </c>
      <c r="DL80" s="771" t="str">
        <f t="shared" si="263"/>
      </c>
      <c r="DM80" s="1047" t="str">
        <f t="shared" si="263"/>
      </c>
      <c r="DN80" s="771" t="str">
        <f t="shared" si="263"/>
      </c>
      <c r="DO80" s="771" t="str">
        <f t="shared" si="263"/>
      </c>
      <c r="DP80" s="771" t="str">
        <f t="shared" si="263"/>
      </c>
      <c r="DQ80" s="771" t="str">
        <f t="shared" si="263"/>
      </c>
      <c r="DR80" s="1047" t="str">
        <f t="shared" si="263"/>
      </c>
      <c r="DS80" s="771" t="str">
        <f t="shared" si="263"/>
      </c>
      <c r="DT80" s="771" t="str">
        <f t="shared" si="263"/>
      </c>
      <c r="DU80" s="771" t="str">
        <f t="shared" si="263"/>
      </c>
      <c r="DV80" s="771" t="str">
        <f t="shared" si="263"/>
      </c>
      <c r="DW80" s="1047" t="str">
        <f t="shared" si="263"/>
      </c>
      <c r="DX80" s="771" t="str">
        <f t="shared" si="263"/>
      </c>
      <c r="DY80" s="771" t="str">
        <f t="shared" si="263"/>
      </c>
      <c r="DZ80" s="771" t="str">
        <f t="shared" ref="DZ80:FE80" si="264">IFERROR(DZ79/DU79-1,"")</f>
      </c>
      <c r="EA80" s="771" t="str">
        <f t="shared" si="264"/>
      </c>
      <c r="EB80" s="1047" t="str">
        <f t="shared" si="264"/>
      </c>
      <c r="EC80" s="771" t="str">
        <f t="shared" si="264"/>
      </c>
      <c r="ED80" s="771" t="str">
        <f t="shared" si="264"/>
      </c>
      <c r="EE80" s="771" t="str">
        <f t="shared" si="264"/>
      </c>
      <c r="EF80" s="771" t="str">
        <f t="shared" si="264"/>
      </c>
      <c r="EG80" s="1047" t="str">
        <f t="shared" si="264"/>
      </c>
      <c r="EH80" s="771" t="str">
        <f t="shared" si="264"/>
      </c>
      <c r="EI80" s="771" t="str">
        <f t="shared" si="264"/>
      </c>
      <c r="EJ80" s="771" t="str">
        <f t="shared" si="264"/>
      </c>
      <c r="EK80" s="771" t="str">
        <f t="shared" si="264"/>
      </c>
      <c r="EL80" s="1047" t="str">
        <f t="shared" si="264"/>
      </c>
      <c r="EM80" s="771" t="str">
        <f t="shared" si="264"/>
      </c>
      <c r="EN80" s="771" t="str">
        <f t="shared" si="264"/>
      </c>
      <c r="EO80" s="771" t="str">
        <f t="shared" si="264"/>
      </c>
      <c r="EP80" s="771" t="str">
        <f t="shared" si="264"/>
      </c>
      <c r="EQ80" s="1047" t="str">
        <f t="shared" si="264"/>
      </c>
      <c r="ER80" s="771">
        <f t="shared" ref="ER80" si="265">IFERROR(ER79/EM79-1,"")</f>
      </c>
      <c r="ES80" s="771">
        <f t="shared" ref="ES80" si="266">IFERROR(ES79/EN79-1,"")</f>
      </c>
      <c r="ET80" s="771">
        <f t="shared" ref="ET80" si="267">IFERROR(ET79/EO79-1,"")</f>
      </c>
      <c r="EU80" s="771">
        <f t="shared" ref="EU80" si="268">IFERROR(EU79/EP79-1,"")</f>
      </c>
      <c r="EV80" s="1047">
        <f t="shared" ref="EV80" si="269">IFERROR(EV79/EQ79-1,"")</f>
      </c>
      <c r="EW80" s="771">
        <f t="shared" si="264"/>
      </c>
      <c r="EX80" s="771">
        <f t="shared" si="264"/>
      </c>
      <c r="EY80" s="771">
        <f t="shared" si="264"/>
      </c>
      <c r="EZ80" s="771">
        <f t="shared" ref="EZ80" si="270">IFERROR(EZ79/EU79-1,"")</f>
      </c>
      <c r="FA80" s="1047">
        <f t="shared" ref="FA80" si="271">IFERROR(FA79/EV79-1,"")</f>
      </c>
      <c r="FB80" s="771">
        <f t="shared" si="264"/>
      </c>
      <c r="FC80" s="771">
        <f t="shared" si="264"/>
      </c>
      <c r="FD80" s="771">
        <f t="shared" si="264"/>
      </c>
      <c r="FE80" s="771">
        <f t="shared" si="264"/>
      </c>
      <c r="FF80" s="1047">
        <f t="shared" ref="FF80:GE80" si="272">IFERROR(FF79/FA79-1,"")</f>
      </c>
      <c r="FG80" s="771">
        <f t="shared" si="272"/>
      </c>
      <c r="FH80" s="771">
        <f t="shared" si="272"/>
      </c>
      <c r="FI80" s="771">
        <f t="shared" si="272"/>
      </c>
      <c r="FJ80" s="771">
        <f t="shared" si="272"/>
      </c>
      <c r="FK80" s="1047">
        <f t="shared" si="272"/>
      </c>
      <c r="FL80" s="771">
        <f t="shared" si="272"/>
      </c>
      <c r="FM80" s="771">
        <f t="shared" si="272"/>
      </c>
      <c r="FN80" s="771">
        <f t="shared" si="272"/>
      </c>
      <c r="FO80" s="771">
        <f t="shared" si="272"/>
      </c>
      <c r="FP80" s="1047">
        <f t="shared" si="272"/>
      </c>
      <c r="FQ80" s="771">
        <f t="shared" si="272"/>
      </c>
      <c r="FR80" s="771">
        <f t="shared" si="272"/>
      </c>
      <c r="FS80" s="771">
        <f t="shared" si="272"/>
      </c>
      <c r="FT80" s="771">
        <f t="shared" si="272"/>
      </c>
      <c r="FU80" s="1047">
        <f t="shared" si="272"/>
      </c>
      <c r="FV80" s="771">
        <f t="shared" si="272"/>
      </c>
      <c r="FW80" s="771">
        <f t="shared" si="272"/>
      </c>
      <c r="FX80" s="771">
        <f t="shared" si="272"/>
      </c>
      <c r="FY80" s="771">
        <f t="shared" si="272"/>
      </c>
      <c r="FZ80" s="1047">
        <f t="shared" si="272"/>
      </c>
      <c r="GA80" s="771">
        <f t="shared" si="272"/>
      </c>
      <c r="GB80" s="771">
        <f t="shared" si="272"/>
      </c>
      <c r="GC80" s="771">
        <f t="shared" si="272"/>
      </c>
      <c r="GD80" s="771">
        <f t="shared" si="272"/>
      </c>
      <c r="GE80" s="1047">
        <f t="shared" si="272"/>
      </c>
      <c r="GF80" s="771">
        <f t="shared" ref="GF80" si="273">IFERROR(GF79/GA79-1,"")</f>
      </c>
      <c r="GG80" s="771">
        <f t="shared" ref="GG80" si="274">IFERROR(GG79/GB79-1,"")</f>
      </c>
      <c r="GH80" s="771">
        <f t="shared" ref="GH80" si="275">IFERROR(GH79/GC79-1,"")</f>
      </c>
      <c r="GI80" s="771">
        <f t="shared" ref="GI80" si="276">IFERROR(GI79/GD79-1,"")</f>
      </c>
      <c r="GJ80" s="1047">
        <f t="shared" ref="GJ80" si="277">IFERROR(GJ79/GE79-1,"")</f>
      </c>
    </row>
    <row r="81" spans="1:192" s="461" customFormat="1" ht="12.75" hidden="1" customHeight="1" outlineLevel="1">
      <c r="A81" s="370"/>
      <c r="B81" s="1295" t="s">
        <v>36</v>
      </c>
      <c r="C81" s="987"/>
      <c r="D81" s="987"/>
      <c r="E81" s="987"/>
      <c r="F81" s="987"/>
      <c r="G81" s="988"/>
      <c r="H81" s="987"/>
      <c r="I81" s="987"/>
      <c r="J81" s="987"/>
      <c r="K81" s="987"/>
      <c r="L81" s="988"/>
      <c r="M81" s="987"/>
      <c r="N81" s="987"/>
      <c r="O81" s="987"/>
      <c r="P81" s="987"/>
      <c r="Q81" s="988"/>
      <c r="R81" s="989"/>
      <c r="S81" s="989"/>
      <c r="T81" s="989"/>
      <c r="U81" s="989"/>
      <c r="V81" s="988"/>
      <c r="W81" s="989"/>
      <c r="X81" s="989"/>
      <c r="Y81" s="989"/>
      <c r="Z81" s="989"/>
      <c r="AA81" s="988"/>
      <c r="AB81" s="989"/>
      <c r="AC81" s="989"/>
      <c r="AD81" s="989"/>
      <c r="AE81" s="989"/>
      <c r="AF81" s="988"/>
      <c r="AG81" s="989"/>
      <c r="AH81" s="989"/>
      <c r="AI81" s="989"/>
      <c r="AJ81" s="989"/>
      <c r="AK81" s="988"/>
      <c r="AL81" s="987"/>
      <c r="AM81" s="987"/>
      <c r="AN81" s="987"/>
      <c r="AO81" s="987"/>
      <c r="AP81" s="988"/>
      <c r="AQ81" s="987"/>
      <c r="AR81" s="987"/>
      <c r="AS81" s="987"/>
      <c r="AT81" s="987"/>
      <c r="AU81" s="988"/>
      <c r="AV81" s="987"/>
      <c r="AW81" s="987"/>
      <c r="AX81" s="987"/>
      <c r="AY81" s="987"/>
      <c r="AZ81" s="988"/>
      <c r="BA81" s="987"/>
      <c r="BB81" s="987"/>
      <c r="BC81" s="987"/>
      <c r="BD81" s="987"/>
      <c r="BE81" s="988"/>
      <c r="BF81" s="987"/>
      <c r="BG81" s="987"/>
      <c r="BH81" s="987"/>
      <c r="BI81" s="987"/>
      <c r="BJ81" s="988"/>
      <c r="BK81" s="987"/>
      <c r="BL81" s="987"/>
      <c r="BM81" s="987"/>
      <c r="BN81" s="987"/>
      <c r="BO81" s="988"/>
      <c r="BP81" s="987"/>
      <c r="BQ81" s="987"/>
      <c r="BR81" s="987"/>
      <c r="BS81" s="987"/>
      <c r="BT81" s="988"/>
      <c r="BU81" s="987"/>
      <c r="BV81" s="987"/>
      <c r="BW81" s="987"/>
      <c r="BX81" s="987"/>
      <c r="BY81" s="988"/>
      <c r="BZ81" s="987"/>
      <c r="CA81" s="987"/>
      <c r="CB81" s="987"/>
      <c r="CC81" s="987"/>
      <c r="CD81" s="988"/>
      <c r="CE81" s="987"/>
      <c r="CF81" s="987"/>
      <c r="CG81" s="987"/>
      <c r="CH81" s="987"/>
      <c r="CI81" s="988"/>
      <c r="CJ81" s="987"/>
      <c r="CK81" s="987"/>
      <c r="CL81" s="987"/>
      <c r="CM81" s="987"/>
      <c r="CN81" s="988"/>
      <c r="CO81" s="987"/>
      <c r="CP81" s="987"/>
      <c r="CQ81" s="987"/>
      <c r="CR81" s="987"/>
      <c r="CS81" s="988"/>
      <c r="CT81" s="771" t="str">
        <f>IFERROR(CT79/CR79-1,"")</f>
      </c>
      <c r="CU81" s="1283" t="str">
        <f>IFERROR(CU79/CT79-1,"")</f>
      </c>
      <c r="CV81" s="1283" t="str">
        <f>IFERROR(CV79/CU79-1,"")</f>
      </c>
      <c r="CW81" s="1283" t="str">
        <f>IFERROR(CW79/CV79-1,"")</f>
      </c>
      <c r="CX81" s="991"/>
      <c r="CY81" s="771" t="str">
        <f>IFERROR(CY79/CW79-1,"")</f>
      </c>
      <c r="CZ81" s="1283" t="str">
        <f>IFERROR(CZ79/CY79-1,"")</f>
      </c>
      <c r="DA81" s="1283" t="str">
        <f>IFERROR(DA79/CZ79-1,"")</f>
      </c>
      <c r="DB81" s="1283" t="str">
        <f>IFERROR(DB79/DA79-1,"")</f>
      </c>
      <c r="DC81" s="991"/>
      <c r="DD81" s="771" t="str">
        <f>IFERROR(DD79/DB79-1,"")</f>
      </c>
      <c r="DE81" s="1283" t="str">
        <f>IFERROR(DE79/DD79-1,"")</f>
      </c>
      <c r="DF81" s="1283" t="str">
        <f>IFERROR(DF79/DE79-1,"")</f>
      </c>
      <c r="DG81" s="1283" t="str">
        <f>IFERROR(DG79/DF79-1,"")</f>
      </c>
      <c r="DH81" s="991"/>
      <c r="DI81" s="771" t="str">
        <f>IFERROR(DI79/DG79-1,"")</f>
      </c>
      <c r="DJ81" s="1283" t="str">
        <f>IFERROR(DJ79/DI79-1,"")</f>
      </c>
      <c r="DK81" s="1283" t="str">
        <f>IFERROR(DK79/DJ79-1,"")</f>
      </c>
      <c r="DL81" s="1283" t="str">
        <f>IFERROR(DL79/DK79-1,"")</f>
      </c>
      <c r="DM81" s="991"/>
      <c r="DN81" s="771" t="str">
        <f>IFERROR(DN79/DL79-1,"")</f>
      </c>
      <c r="DO81" s="1283" t="str">
        <f>IFERROR(DO79/DN79-1,"")</f>
      </c>
      <c r="DP81" s="1283" t="str">
        <f>IFERROR(DP79/DO79-1,"")</f>
      </c>
      <c r="DQ81" s="1283" t="str">
        <f>IFERROR(DQ79/DP79-1,"")</f>
      </c>
      <c r="DR81" s="991"/>
      <c r="DS81" s="771" t="str">
        <f>IFERROR(DS79/DQ79-1,"")</f>
      </c>
      <c r="DT81" s="1283" t="str">
        <f>IFERROR(DT79/DS79-1,"")</f>
      </c>
      <c r="DU81" s="1283" t="str">
        <f>IFERROR(DU79/DT79-1,"")</f>
      </c>
      <c r="DV81" s="1283" t="str">
        <f>IFERROR(DV79/DU79-1,"")</f>
      </c>
      <c r="DW81" s="991"/>
      <c r="DX81" s="771" t="str">
        <f>IFERROR(DX79/DV79-1,"")</f>
      </c>
      <c r="DY81" s="1283" t="str">
        <f>IFERROR(DY79/DX79-1,"")</f>
      </c>
      <c r="DZ81" s="1283" t="str">
        <f>IFERROR(DZ79/DY79-1,"")</f>
      </c>
      <c r="EA81" s="1283" t="str">
        <f>IFERROR(EA79/DZ79-1,"")</f>
      </c>
      <c r="EB81" s="991"/>
      <c r="EC81" s="771" t="str">
        <f>IFERROR(EC79/EA79-1,"")</f>
      </c>
      <c r="ED81" s="1283" t="str">
        <f>IFERROR(ED79/EC79-1,"")</f>
      </c>
      <c r="EE81" s="1283" t="str">
        <f>IFERROR(EE79/ED79-1,"")</f>
      </c>
      <c r="EF81" s="1283" t="str">
        <f>IFERROR(EF79/EE79-1,"")</f>
      </c>
      <c r="EG81" s="991"/>
      <c r="EH81" s="771" t="str">
        <f>IFERROR(EH79/EF79-1,"")</f>
      </c>
      <c r="EI81" s="1283" t="str">
        <f>IFERROR(EI79/EH79-1,"")</f>
      </c>
      <c r="EJ81" s="1283" t="str">
        <f>IFERROR(EJ79/EI79-1,"")</f>
      </c>
      <c r="EK81" s="1283" t="str">
        <f>IFERROR(EK79/EJ79-1,"")</f>
      </c>
      <c r="EL81" s="991"/>
      <c r="EM81" s="771" t="str">
        <f>IFERROR(EM79/EK79-1,"")</f>
      </c>
      <c r="EN81" s="1283">
        <f>IFERROR(EN79/EM79-1,"")</f>
      </c>
      <c r="EO81" s="1283">
        <f>IFERROR(EO79/EN79-1,"")</f>
      </c>
      <c r="EP81" s="1283">
        <f>IFERROR(EP79/EO79-1,"")</f>
      </c>
      <c r="EQ81" s="991"/>
      <c r="ER81" s="771">
        <f>IFERROR(ER79/EP79-1,"")</f>
      </c>
      <c r="ES81" s="1283">
        <f>IFERROR(ES79/ER79-1,"")</f>
      </c>
      <c r="ET81" s="1283">
        <f>IFERROR(ET79/ES79-1,"")</f>
      </c>
      <c r="EU81" s="1283">
        <f>IFERROR(EU79/ET79-1,"")</f>
      </c>
      <c r="EV81" s="991"/>
      <c r="EW81" s="771">
        <f>IFERROR(EW79/EU79-1,"")</f>
      </c>
      <c r="EX81" s="1283">
        <f>IFERROR(EX79/EW79-1,"")</f>
      </c>
      <c r="EY81" s="1283">
        <f>IFERROR(EY79/EX79-1,"")</f>
      </c>
      <c r="EZ81" s="1283">
        <f>IFERROR(EZ79/EY79-1,"")</f>
      </c>
      <c r="FA81" s="991"/>
      <c r="FB81" s="771">
        <f>IFERROR(FB79/EZ79-1,"")</f>
      </c>
      <c r="FC81" s="1283">
        <f>IFERROR(FC79/FB79-1,"")</f>
      </c>
      <c r="FD81" s="1283">
        <f>IFERROR(FD79/FC79-1,"")</f>
      </c>
      <c r="FE81" s="1283">
        <f>IFERROR(FE79/FD79-1,"")</f>
      </c>
      <c r="FF81" s="991"/>
      <c r="FG81" s="771">
        <f>IFERROR(FG79/FE79-1,"")</f>
      </c>
      <c r="FH81" s="1283">
        <f>IFERROR(FH79/FG79-1,"")</f>
      </c>
      <c r="FI81" s="1283">
        <f>IFERROR(FI79/FH79-1,"")</f>
      </c>
      <c r="FJ81" s="1283">
        <f>IFERROR(FJ79/FI79-1,"")</f>
      </c>
      <c r="FK81" s="991"/>
      <c r="FL81" s="771">
        <f>IFERROR(FL79/FJ79-1,"")</f>
      </c>
      <c r="FM81" s="1283">
        <f>IFERROR(FM79/FL79-1,"")</f>
      </c>
      <c r="FN81" s="1283">
        <f>IFERROR(FN79/FM79-1,"")</f>
      </c>
      <c r="FO81" s="1283">
        <f>IFERROR(FO79/FN79-1,"")</f>
      </c>
      <c r="FP81" s="991"/>
      <c r="FQ81" s="771">
        <f>IFERROR(FQ79/FO79-1,"")</f>
      </c>
      <c r="FR81" s="1283">
        <f>IFERROR(FR79/FQ79-1,"")</f>
      </c>
      <c r="FS81" s="1283">
        <f>IFERROR(FS79/FR79-1,"")</f>
      </c>
      <c r="FT81" s="1283">
        <f>IFERROR(FT79/FS79-1,"")</f>
      </c>
      <c r="FU81" s="991"/>
      <c r="FV81" s="771">
        <f>IFERROR(FV79/FT79-1,"")</f>
      </c>
      <c r="FW81" s="1283">
        <f>IFERROR(FW79/FV79-1,"")</f>
      </c>
      <c r="FX81" s="1283">
        <f>IFERROR(FX79/FW79-1,"")</f>
      </c>
      <c r="FY81" s="1283">
        <f>IFERROR(FY79/FX79-1,"")</f>
      </c>
      <c r="FZ81" s="991"/>
      <c r="GA81" s="771">
        <f>IFERROR(GA79/FY79-1,"")</f>
      </c>
      <c r="GB81" s="1283">
        <f>IFERROR(GB79/GA79-1,"")</f>
      </c>
      <c r="GC81" s="1283">
        <f>IFERROR(GC79/GB79-1,"")</f>
      </c>
      <c r="GD81" s="1283">
        <f>IFERROR(GD79/GC79-1,"")</f>
      </c>
      <c r="GE81" s="991"/>
      <c r="GF81" s="771">
        <f>IFERROR(GF79/GD79-1,"")</f>
      </c>
      <c r="GG81" s="1283">
        <f>IFERROR(GG79/GF79-1,"")</f>
      </c>
      <c r="GH81" s="1283">
        <f>IFERROR(GH79/GG79-1,"")</f>
      </c>
      <c r="GI81" s="1283">
        <f>IFERROR(GI79/GH79-1,"")</f>
      </c>
      <c r="GJ81" s="991"/>
    </row>
    <row r="82" spans="1:192" s="461" customFormat="1" ht="12.75" hidden="1" customHeight="1" outlineLevel="1">
      <c r="A82" s="370"/>
      <c r="B82" s="1295" t="s">
        <v>1865</v>
      </c>
      <c r="C82" s="987"/>
      <c r="D82" s="987"/>
      <c r="E82" s="987"/>
      <c r="F82" s="987"/>
      <c r="G82" s="988"/>
      <c r="H82" s="987"/>
      <c r="I82" s="987"/>
      <c r="J82" s="987"/>
      <c r="K82" s="987"/>
      <c r="L82" s="988"/>
      <c r="M82" s="987"/>
      <c r="N82" s="987"/>
      <c r="O82" s="987"/>
      <c r="P82" s="987"/>
      <c r="Q82" s="988"/>
      <c r="R82" s="989"/>
      <c r="S82" s="989"/>
      <c r="T82" s="989"/>
      <c r="U82" s="989"/>
      <c r="V82" s="988"/>
      <c r="W82" s="989"/>
      <c r="X82" s="989"/>
      <c r="Y82" s="989"/>
      <c r="Z82" s="989"/>
      <c r="AA82" s="988"/>
      <c r="AB82" s="989"/>
      <c r="AC82" s="989"/>
      <c r="AD82" s="989"/>
      <c r="AE82" s="989"/>
      <c r="AF82" s="988"/>
      <c r="AG82" s="989"/>
      <c r="AH82" s="989"/>
      <c r="AI82" s="989"/>
      <c r="AJ82" s="989"/>
      <c r="AK82" s="988"/>
      <c r="AL82" s="987"/>
      <c r="AM82" s="987"/>
      <c r="AN82" s="987"/>
      <c r="AO82" s="987"/>
      <c r="AP82" s="988"/>
      <c r="AQ82" s="987"/>
      <c r="AR82" s="987"/>
      <c r="AS82" s="987"/>
      <c r="AT82" s="987"/>
      <c r="AU82" s="988"/>
      <c r="AV82" s="987"/>
      <c r="AW82" s="987"/>
      <c r="AX82" s="987"/>
      <c r="AY82" s="987"/>
      <c r="AZ82" s="988"/>
      <c r="BA82" s="987"/>
      <c r="BB82" s="987"/>
      <c r="BC82" s="987"/>
      <c r="BD82" s="987"/>
      <c r="BE82" s="988"/>
      <c r="BF82" s="987"/>
      <c r="BG82" s="987"/>
      <c r="BH82" s="987"/>
      <c r="BI82" s="987"/>
      <c r="BJ82" s="988"/>
      <c r="BK82" s="987"/>
      <c r="BL82" s="987"/>
      <c r="BM82" s="987"/>
      <c r="BN82" s="987"/>
      <c r="BO82" s="988"/>
      <c r="BP82" s="987"/>
      <c r="BQ82" s="987"/>
      <c r="BR82" s="987"/>
      <c r="BS82" s="987"/>
      <c r="BT82" s="988"/>
      <c r="BU82" s="987"/>
      <c r="BV82" s="987"/>
      <c r="BW82" s="987"/>
      <c r="BX82" s="987"/>
      <c r="BY82" s="988"/>
      <c r="BZ82" s="987"/>
      <c r="CA82" s="987"/>
      <c r="CB82" s="987"/>
      <c r="CC82" s="987"/>
      <c r="CD82" s="988"/>
      <c r="CE82" s="987"/>
      <c r="CF82" s="987"/>
      <c r="CG82" s="987"/>
      <c r="CH82" s="987"/>
      <c r="CI82" s="988"/>
      <c r="CJ82" s="987"/>
      <c r="CK82" s="987"/>
      <c r="CL82" s="987"/>
      <c r="CM82" s="987"/>
      <c r="CN82" s="988"/>
      <c r="CO82" s="987"/>
      <c r="CP82" s="987"/>
      <c r="CQ82" s="987"/>
      <c r="CR82" s="987"/>
      <c r="CS82" s="988"/>
      <c r="CT82" s="987"/>
      <c r="CU82" s="987"/>
      <c r="CV82" s="987"/>
      <c r="CW82" s="987"/>
      <c r="CX82" s="988"/>
      <c r="CY82" s="1290"/>
      <c r="CZ82" s="1290"/>
      <c r="DA82" s="1290"/>
      <c r="DB82" s="1290"/>
      <c r="DC82" s="1291"/>
      <c r="DD82" s="1290"/>
      <c r="DE82" s="1290"/>
      <c r="DF82" s="1290"/>
      <c r="DG82" s="1290"/>
      <c r="DH82" s="1291"/>
      <c r="DI82" s="1290"/>
      <c r="DJ82" s="1290"/>
      <c r="DK82" s="1290"/>
      <c r="DL82" s="1290"/>
      <c r="DM82" s="1291">
        <f t="shared" ref="DM82:FJ82" si="278">DM79/DM$64</f>
      </c>
      <c r="DN82" s="1290">
        <f t="shared" si="278"/>
      </c>
      <c r="DO82" s="1290">
        <f t="shared" si="278"/>
      </c>
      <c r="DP82" s="1290">
        <f t="shared" si="278"/>
      </c>
      <c r="DQ82" s="1290">
        <f t="shared" si="278"/>
      </c>
      <c r="DR82" s="1291">
        <f t="shared" si="278"/>
      </c>
      <c r="DS82" s="1290">
        <f t="shared" si="278"/>
      </c>
      <c r="DT82" s="1290">
        <f t="shared" si="278"/>
      </c>
      <c r="DU82" s="1290">
        <f t="shared" si="278"/>
      </c>
      <c r="DV82" s="1290">
        <f t="shared" si="278"/>
      </c>
      <c r="DW82" s="1291">
        <f t="shared" si="278"/>
      </c>
      <c r="DX82" s="1290">
        <f t="shared" si="278"/>
      </c>
      <c r="DY82" s="1290">
        <f t="shared" si="278"/>
      </c>
      <c r="DZ82" s="1290">
        <f t="shared" si="278"/>
      </c>
      <c r="EA82" s="1290">
        <f t="shared" si="278"/>
      </c>
      <c r="EB82" s="1291">
        <f t="shared" si="278"/>
      </c>
      <c r="EC82" s="1290">
        <f t="shared" si="278"/>
      </c>
      <c r="ED82" s="1290">
        <f t="shared" si="278"/>
      </c>
      <c r="EE82" s="1290">
        <f t="shared" si="278"/>
      </c>
      <c r="EF82" s="1290">
        <f t="shared" si="278"/>
      </c>
      <c r="EG82" s="1291">
        <f t="shared" si="278"/>
      </c>
      <c r="EH82" s="1290">
        <f t="shared" si="278"/>
      </c>
      <c r="EI82" s="1290">
        <f t="shared" si="278"/>
      </c>
      <c r="EJ82" s="1290">
        <f t="shared" si="278"/>
      </c>
      <c r="EK82" s="1290">
        <f t="shared" si="278"/>
      </c>
      <c r="EL82" s="1291">
        <f t="shared" si="278"/>
      </c>
      <c r="EM82" s="1290">
        <f t="shared" si="278"/>
      </c>
      <c r="EN82" s="1290">
        <f t="shared" si="278"/>
      </c>
      <c r="EO82" s="1290">
        <f t="shared" si="278"/>
      </c>
      <c r="EP82" s="1290">
        <f t="shared" si="278"/>
      </c>
      <c r="EQ82" s="1291">
        <f t="shared" si="278"/>
      </c>
      <c r="ER82" s="1290">
        <f t="shared" ref="ER82:EV82" si="279">ER79/ER$64</f>
      </c>
      <c r="ES82" s="1290">
        <f t="shared" si="279"/>
      </c>
      <c r="ET82" s="1290">
        <f t="shared" si="279"/>
      </c>
      <c r="EU82" s="1290">
        <f t="shared" si="279"/>
      </c>
      <c r="EV82" s="1291">
        <f t="shared" si="279"/>
      </c>
      <c r="EW82" s="1290">
        <f t="shared" si="278"/>
      </c>
      <c r="EX82" s="1290">
        <f t="shared" si="278"/>
      </c>
      <c r="EY82" s="1290">
        <f t="shared" si="278"/>
      </c>
      <c r="EZ82" s="1290">
        <f t="shared" si="278"/>
      </c>
      <c r="FA82" s="1291">
        <f t="shared" si="278"/>
      </c>
      <c r="FB82" s="1290">
        <f t="shared" si="278"/>
      </c>
      <c r="FC82" s="1290">
        <f t="shared" si="278"/>
      </c>
      <c r="FD82" s="1290">
        <f t="shared" si="278"/>
      </c>
      <c r="FE82" s="1290">
        <f t="shared" si="278"/>
      </c>
      <c r="FF82" s="1291">
        <f t="shared" si="278"/>
      </c>
      <c r="FG82" s="1290">
        <f t="shared" si="278"/>
      </c>
      <c r="FH82" s="1290">
        <f t="shared" si="278"/>
      </c>
      <c r="FI82" s="1290">
        <f t="shared" si="278"/>
      </c>
      <c r="FJ82" s="1290">
        <f t="shared" si="278"/>
      </c>
      <c r="FK82" s="1291">
        <f t="shared" ref="FK82:FZ82" si="280">FK79/FK$64</f>
      </c>
      <c r="FL82" s="1290">
        <f t="shared" si="280"/>
      </c>
      <c r="FM82" s="1290">
        <f t="shared" si="280"/>
      </c>
      <c r="FN82" s="1290">
        <f t="shared" si="280"/>
      </c>
      <c r="FO82" s="1290">
        <f t="shared" si="280"/>
      </c>
      <c r="FP82" s="1291">
        <f t="shared" si="280"/>
      </c>
      <c r="FQ82" s="1290">
        <f t="shared" si="280"/>
      </c>
      <c r="FR82" s="1290">
        <f t="shared" si="280"/>
      </c>
      <c r="FS82" s="1290">
        <f t="shared" si="280"/>
      </c>
      <c r="FT82" s="1290">
        <f t="shared" si="280"/>
      </c>
      <c r="FU82" s="1291">
        <f t="shared" si="280"/>
      </c>
      <c r="FV82" s="1290">
        <f t="shared" si="280"/>
      </c>
      <c r="FW82" s="1290">
        <f t="shared" si="280"/>
      </c>
      <c r="FX82" s="1290">
        <f t="shared" si="280"/>
      </c>
      <c r="FY82" s="1290">
        <f t="shared" si="280"/>
      </c>
      <c r="FZ82" s="1291">
        <f t="shared" si="280"/>
      </c>
      <c r="GA82" s="1290">
        <f t="shared" ref="GA82:GJ82" si="281">GA79/GA$64</f>
      </c>
      <c r="GB82" s="1290">
        <f t="shared" si="281"/>
      </c>
      <c r="GC82" s="1290">
        <f t="shared" si="281"/>
      </c>
      <c r="GD82" s="1290">
        <f t="shared" si="281"/>
      </c>
      <c r="GE82" s="1291">
        <f t="shared" si="281"/>
      </c>
      <c r="GF82" s="1290">
        <f t="shared" si="281"/>
      </c>
      <c r="GG82" s="1290">
        <f t="shared" si="281"/>
      </c>
      <c r="GH82" s="1290">
        <f t="shared" si="281"/>
      </c>
      <c r="GI82" s="1290">
        <f t="shared" si="281"/>
      </c>
      <c r="GJ82" s="1291">
        <f t="shared" si="281"/>
      </c>
    </row>
    <row r="83" spans="1:192" s="461" customFormat="1" ht="12.75" hidden="1" customHeight="1" outlineLevel="1">
      <c r="A83" s="370"/>
      <c r="B83" s="986"/>
      <c r="C83" s="987"/>
      <c r="D83" s="987"/>
      <c r="E83" s="987"/>
      <c r="F83" s="987"/>
      <c r="G83" s="988"/>
      <c r="H83" s="987"/>
      <c r="I83" s="987"/>
      <c r="J83" s="987"/>
      <c r="K83" s="987"/>
      <c r="L83" s="988"/>
      <c r="M83" s="987"/>
      <c r="N83" s="987"/>
      <c r="O83" s="987"/>
      <c r="P83" s="987"/>
      <c r="Q83" s="988"/>
      <c r="R83" s="989"/>
      <c r="S83" s="989"/>
      <c r="T83" s="989"/>
      <c r="U83" s="989"/>
      <c r="V83" s="988"/>
      <c r="W83" s="989"/>
      <c r="X83" s="989"/>
      <c r="Y83" s="989"/>
      <c r="Z83" s="989"/>
      <c r="AA83" s="988"/>
      <c r="AB83" s="989"/>
      <c r="AC83" s="989"/>
      <c r="AD83" s="989"/>
      <c r="AE83" s="989"/>
      <c r="AF83" s="988"/>
      <c r="AG83" s="989"/>
      <c r="AH83" s="989"/>
      <c r="AI83" s="989"/>
      <c r="AJ83" s="989"/>
      <c r="AK83" s="988"/>
      <c r="AL83" s="987"/>
      <c r="AM83" s="987"/>
      <c r="AN83" s="987"/>
      <c r="AO83" s="987"/>
      <c r="AP83" s="988"/>
      <c r="AQ83" s="987"/>
      <c r="AR83" s="987"/>
      <c r="AS83" s="987"/>
      <c r="AT83" s="987"/>
      <c r="AU83" s="988"/>
      <c r="AV83" s="987"/>
      <c r="AW83" s="987"/>
      <c r="AX83" s="987"/>
      <c r="AY83" s="987"/>
      <c r="AZ83" s="988"/>
      <c r="BA83" s="987"/>
      <c r="BB83" s="987"/>
      <c r="BC83" s="987"/>
      <c r="BD83" s="987"/>
      <c r="BE83" s="988"/>
      <c r="BF83" s="987"/>
      <c r="BG83" s="987"/>
      <c r="BH83" s="987"/>
      <c r="BI83" s="987"/>
      <c r="BJ83" s="988"/>
      <c r="BK83" s="987"/>
      <c r="BL83" s="987"/>
      <c r="BM83" s="987"/>
      <c r="BN83" s="987"/>
      <c r="BO83" s="988"/>
      <c r="BP83" s="987"/>
      <c r="BQ83" s="987"/>
      <c r="BR83" s="987"/>
      <c r="BS83" s="987"/>
      <c r="BT83" s="988"/>
      <c r="BU83" s="987"/>
      <c r="BV83" s="987"/>
      <c r="BW83" s="987"/>
      <c r="BX83" s="987"/>
      <c r="BY83" s="988"/>
      <c r="BZ83" s="987"/>
      <c r="CA83" s="987"/>
      <c r="CB83" s="987"/>
      <c r="CC83" s="987"/>
      <c r="CD83" s="988"/>
      <c r="CE83" s="987"/>
      <c r="CF83" s="987"/>
      <c r="CG83" s="987"/>
      <c r="CH83" s="987"/>
      <c r="CI83" s="988"/>
      <c r="CJ83" s="987"/>
      <c r="CK83" s="987"/>
      <c r="CL83" s="987"/>
      <c r="CM83" s="987"/>
      <c r="CN83" s="988"/>
      <c r="CO83" s="987"/>
      <c r="CP83" s="987"/>
      <c r="CQ83" s="987"/>
      <c r="CR83" s="987"/>
      <c r="CS83" s="988"/>
      <c r="CT83" s="987"/>
      <c r="CU83" s="987"/>
      <c r="CV83" s="987"/>
      <c r="CW83" s="987"/>
      <c r="CX83" s="988"/>
      <c r="CY83" s="771"/>
      <c r="CZ83" s="771"/>
      <c r="DA83" s="771"/>
      <c r="DB83" s="771"/>
      <c r="DC83" s="1047"/>
      <c r="DD83" s="771"/>
      <c r="DE83" s="771"/>
      <c r="DF83" s="771"/>
      <c r="DG83" s="771"/>
      <c r="DH83" s="1047"/>
      <c r="DI83" s="771"/>
      <c r="DJ83" s="771"/>
      <c r="DK83" s="771"/>
      <c r="DL83" s="771"/>
      <c r="DM83" s="1047"/>
      <c r="DN83" s="771"/>
      <c r="DO83" s="771"/>
      <c r="DP83" s="771"/>
      <c r="DQ83" s="771"/>
      <c r="DR83" s="1047"/>
      <c r="DS83" s="771"/>
      <c r="DT83" s="771"/>
      <c r="DU83" s="771"/>
      <c r="DV83" s="771"/>
      <c r="DW83" s="1047"/>
      <c r="DX83" s="771"/>
      <c r="DY83" s="771"/>
      <c r="DZ83" s="771"/>
      <c r="EA83" s="771"/>
      <c r="EB83" s="1047"/>
      <c r="EC83" s="771"/>
      <c r="ED83" s="771"/>
      <c r="EE83" s="771"/>
      <c r="EF83" s="771"/>
      <c r="EG83" s="1047"/>
      <c r="EH83" s="771"/>
      <c r="EI83" s="771"/>
      <c r="EJ83" s="771"/>
      <c r="EK83" s="771"/>
      <c r="EL83" s="1047"/>
      <c r="EM83" s="771"/>
      <c r="EN83" s="771"/>
      <c r="EO83" s="771"/>
      <c r="EP83" s="771"/>
      <c r="EQ83" s="1047"/>
      <c r="ER83" s="771"/>
      <c r="ES83" s="771"/>
      <c r="ET83" s="771"/>
      <c r="EU83" s="771"/>
      <c r="EV83" s="1047"/>
      <c r="EW83" s="771"/>
      <c r="EX83" s="771"/>
      <c r="EY83" s="771"/>
      <c r="EZ83" s="771"/>
      <c r="FA83" s="1047"/>
      <c r="FB83" s="771"/>
      <c r="FC83" s="771"/>
      <c r="FD83" s="771"/>
      <c r="FE83" s="771"/>
      <c r="FF83" s="1047"/>
      <c r="FG83" s="771"/>
      <c r="FH83" s="771"/>
      <c r="FI83" s="771"/>
      <c r="FJ83" s="771"/>
      <c r="FK83" s="1047"/>
      <c r="FL83" s="771"/>
      <c r="FM83" s="771"/>
      <c r="FN83" s="771"/>
      <c r="FO83" s="771"/>
      <c r="FP83" s="1047"/>
      <c r="FQ83" s="771"/>
      <c r="FR83" s="771"/>
      <c r="FS83" s="771"/>
      <c r="FT83" s="771"/>
      <c r="FU83" s="1047"/>
      <c r="FV83" s="771"/>
      <c r="FW83" s="771"/>
      <c r="FX83" s="771"/>
      <c r="FY83" s="771"/>
      <c r="FZ83" s="1047"/>
      <c r="GA83" s="771"/>
      <c r="GB83" s="771"/>
      <c r="GC83" s="771"/>
      <c r="GD83" s="771"/>
      <c r="GE83" s="1047"/>
      <c r="GF83" s="771"/>
      <c r="GG83" s="771"/>
      <c r="GH83" s="771"/>
      <c r="GI83" s="771"/>
      <c r="GJ83" s="1047"/>
    </row>
    <row r="84" spans="1:192" s="1292" customFormat="1" ht="12.75" hidden="1" customHeight="1" outlineLevel="1">
      <c r="B84" s="1294" t="s">
        <v>210</v>
      </c>
      <c r="C84" s="1288"/>
      <c r="D84" s="1288"/>
      <c r="E84" s="1288"/>
      <c r="F84" s="1288"/>
      <c r="G84" s="1289"/>
      <c r="H84" s="1288"/>
      <c r="I84" s="1288"/>
      <c r="J84" s="1288"/>
      <c r="K84" s="1288"/>
      <c r="L84" s="1289"/>
      <c r="M84" s="1288"/>
      <c r="N84" s="1288"/>
      <c r="O84" s="1288"/>
      <c r="P84" s="1288"/>
      <c r="Q84" s="1289"/>
      <c r="R84" s="1293"/>
      <c r="S84" s="1293"/>
      <c r="T84" s="1293"/>
      <c r="U84" s="1293"/>
      <c r="V84" s="1289"/>
      <c r="W84" s="1293"/>
      <c r="X84" s="1293"/>
      <c r="Y84" s="1293"/>
      <c r="Z84" s="1293"/>
      <c r="AA84" s="1289"/>
      <c r="AB84" s="1293"/>
      <c r="AC84" s="1293"/>
      <c r="AD84" s="1293"/>
      <c r="AE84" s="1293"/>
      <c r="AF84" s="1289"/>
      <c r="AG84" s="1293"/>
      <c r="AH84" s="1293"/>
      <c r="AI84" s="1293"/>
      <c r="AJ84" s="1293"/>
      <c r="AK84" s="1289"/>
      <c r="AL84" s="1288"/>
      <c r="AM84" s="1288"/>
      <c r="AN84" s="1288"/>
      <c r="AO84" s="1288"/>
      <c r="AP84" s="1289"/>
      <c r="AQ84" s="1288"/>
      <c r="AR84" s="1288"/>
      <c r="AS84" s="1288"/>
      <c r="AT84" s="1288"/>
      <c r="AU84" s="1289"/>
      <c r="AV84" s="1288"/>
      <c r="AW84" s="1288"/>
      <c r="AX84" s="1288"/>
      <c r="AY84" s="1288"/>
      <c r="AZ84" s="1289"/>
      <c r="BA84" s="1288"/>
      <c r="BB84" s="1288"/>
      <c r="BC84" s="1288"/>
      <c r="BD84" s="1288"/>
      <c r="BE84" s="1289"/>
      <c r="BF84" s="1288"/>
      <c r="BG84" s="1288"/>
      <c r="BH84" s="1288"/>
      <c r="BI84" s="1288"/>
      <c r="BJ84" s="1289"/>
      <c r="BK84" s="1288"/>
      <c r="BL84" s="1288"/>
      <c r="BM84" s="1288"/>
      <c r="BN84" s="1288"/>
      <c r="BO84" s="1289"/>
      <c r="BP84" s="1288"/>
      <c r="BQ84" s="1288"/>
      <c r="BR84" s="1288"/>
      <c r="BS84" s="1288"/>
      <c r="BT84" s="1289"/>
      <c r="BU84" s="1288"/>
      <c r="BV84" s="1288"/>
      <c r="BW84" s="1288"/>
      <c r="BX84" s="1288"/>
      <c r="BY84" s="1289"/>
      <c r="BZ84" s="1288"/>
      <c r="CA84" s="1288"/>
      <c r="CB84" s="1288"/>
      <c r="CC84" s="1288"/>
      <c r="CD84" s="1289"/>
      <c r="CE84" s="1288"/>
      <c r="CF84" s="1288"/>
      <c r="CG84" s="1288"/>
      <c r="CH84" s="1288"/>
      <c r="CI84" s="1289"/>
      <c r="CJ84" s="1288"/>
      <c r="CK84" s="1288"/>
      <c r="CL84" s="1288"/>
      <c r="CM84" s="1288"/>
      <c r="CN84" s="1289"/>
      <c r="CO84" s="1288"/>
      <c r="CP84" s="1288"/>
      <c r="CQ84" s="1288"/>
      <c r="CR84" s="1288"/>
      <c r="CS84" s="1289"/>
      <c r="CT84" s="1288"/>
      <c r="CU84" s="1288"/>
      <c r="CV84" s="1288"/>
      <c r="CW84" s="1288"/>
      <c r="CX84" s="1289"/>
      <c r="CY84" s="1288"/>
      <c r="CZ84" s="1288"/>
      <c r="DA84" s="1288"/>
      <c r="DB84" s="1288"/>
      <c r="DC84" s="1289"/>
      <c r="DD84" s="1288"/>
      <c r="DE84" s="1288"/>
      <c r="DF84" s="1288"/>
      <c r="DG84" s="1288"/>
      <c r="DH84" s="1289"/>
      <c r="DI84" s="1288"/>
      <c r="DJ84" s="1288"/>
      <c r="DK84" s="1288"/>
      <c r="DL84" s="1288"/>
      <c r="DM84" s="1289"/>
      <c r="DN84" s="1288"/>
      <c r="DO84" s="1288"/>
      <c r="DP84" s="1288"/>
      <c r="DQ84" s="1288"/>
      <c r="DR84" s="1289"/>
      <c r="DS84" s="1288"/>
      <c r="DT84" s="1288"/>
      <c r="DU84" s="1288"/>
      <c r="DV84" s="1288"/>
      <c r="DW84" s="1289"/>
      <c r="DX84" s="1288"/>
      <c r="DY84" s="1288"/>
      <c r="DZ84" s="1288"/>
      <c r="EA84" s="1288"/>
      <c r="EB84" s="1289"/>
      <c r="EC84" s="1288"/>
      <c r="ED84" s="1288"/>
      <c r="EE84" s="1288"/>
      <c r="EF84" s="1288"/>
      <c r="EG84" s="1289"/>
      <c r="EH84" s="1288"/>
      <c r="EI84" s="1288"/>
      <c r="EJ84" s="1288"/>
      <c r="EK84" s="1288"/>
      <c r="EL84" s="1289"/>
      <c r="EM84" s="1288"/>
      <c r="EN84" s="1288"/>
      <c r="EO84" s="1288"/>
      <c r="EP84" s="1288"/>
      <c r="EQ84" s="1289"/>
      <c r="ER84" s="1288">
        <f>Company1738!ER221</f>
      </c>
      <c r="ES84" s="1288">
        <f>Company1738!ES221</f>
      </c>
      <c r="ET84" s="1288">
        <f>Company1738!ET221</f>
      </c>
      <c r="EU84" s="1288">
        <f>Company1738!EU221</f>
      </c>
      <c r="EV84" s="1289">
        <f>Company1738!EV221</f>
      </c>
      <c r="EW84" s="1288">
        <f>Company1738!EW221</f>
      </c>
      <c r="EX84" s="1288">
        <f>Company1738!EX221</f>
      </c>
      <c r="EY84" s="1288">
        <f>Company1738!EY221</f>
      </c>
      <c r="EZ84" s="1288">
        <f>Company1738!EZ221</f>
      </c>
      <c r="FA84" s="1289">
        <f>Company1738!FA221</f>
      </c>
      <c r="FB84" s="1288">
        <f>Company1738!FB221</f>
      </c>
      <c r="FC84" s="1288">
        <f>Company1738!FC221</f>
      </c>
      <c r="FD84" s="1288">
        <f>Company1738!FD221</f>
      </c>
      <c r="FE84" s="1288">
        <f>Company1738!FE221</f>
      </c>
      <c r="FF84" s="1289">
        <f>Company1738!FF221</f>
      </c>
      <c r="FG84" s="1288">
        <f>Company1738!FG221</f>
      </c>
      <c r="FH84" s="1288">
        <f>Company1738!FH221</f>
      </c>
      <c r="FI84" s="1288">
        <f>Company1738!FI221</f>
      </c>
      <c r="FJ84" s="1288">
        <f>Company1738!FJ221</f>
      </c>
      <c r="FK84" s="1289">
        <f>Company1738!FK221</f>
      </c>
      <c r="FL84" s="1288">
        <f>Company1738!FL221</f>
      </c>
      <c r="FM84" s="1288">
        <f>Company1738!FM221</f>
      </c>
      <c r="FN84" s="1288">
        <f>Company1738!FN221</f>
      </c>
      <c r="FO84" s="1288">
        <f>Company1738!FO221</f>
      </c>
      <c r="FP84" s="1289">
        <f>Company1738!FP221</f>
      </c>
      <c r="FQ84" s="1288">
        <f>Company1738!FQ221</f>
      </c>
      <c r="FR84" s="1288">
        <f>Company1738!FR221</f>
      </c>
      <c r="FS84" s="1288">
        <f>Company1738!FS221</f>
      </c>
      <c r="FT84" s="1288">
        <f>Company1738!FT221</f>
      </c>
      <c r="FU84" s="1289">
        <f>Company1738!FU221</f>
      </c>
      <c r="FV84" s="1288">
        <f>Company1738!FV221</f>
      </c>
      <c r="FW84" s="1288">
        <f>Company1738!FW221</f>
      </c>
      <c r="FX84" s="1288">
        <f>Company1738!FX221</f>
      </c>
      <c r="FY84" s="1288">
        <f>Company1738!FY221</f>
      </c>
      <c r="FZ84" s="1289">
        <f>Company1738!FZ221</f>
      </c>
      <c r="GA84" s="1288">
        <f>Company1738!GA221</f>
      </c>
      <c r="GB84" s="1288">
        <f>Company1738!GB221</f>
      </c>
      <c r="GC84" s="1288">
        <f>Company1738!GC221</f>
      </c>
      <c r="GD84" s="1288">
        <f>Company1738!GD221</f>
      </c>
      <c r="GE84" s="1289">
        <f>Company1738!GE221</f>
      </c>
      <c r="GF84" s="1288">
        <f>Company1738!GF221</f>
      </c>
      <c r="GG84" s="1288">
        <f>Company1738!GG221</f>
      </c>
      <c r="GH84" s="1288">
        <f>Company1738!GH221</f>
      </c>
      <c r="GI84" s="1288">
        <f>Company1738!GI221</f>
      </c>
      <c r="GJ84" s="1289">
        <f>Company1738!GJ221</f>
      </c>
    </row>
    <row r="85" spans="1:192" s="461" customFormat="1" ht="12.75" hidden="1" customHeight="1" outlineLevel="1">
      <c r="A85" s="370"/>
      <c r="B85" s="1295" t="s">
        <v>34</v>
      </c>
      <c r="C85" s="987"/>
      <c r="D85" s="987"/>
      <c r="E85" s="987"/>
      <c r="F85" s="987"/>
      <c r="G85" s="988"/>
      <c r="H85" s="987"/>
      <c r="I85" s="987"/>
      <c r="J85" s="987"/>
      <c r="K85" s="987"/>
      <c r="L85" s="988"/>
      <c r="M85" s="987"/>
      <c r="N85" s="987"/>
      <c r="O85" s="987"/>
      <c r="P85" s="987"/>
      <c r="Q85" s="988"/>
      <c r="R85" s="989"/>
      <c r="S85" s="989"/>
      <c r="T85" s="989"/>
      <c r="U85" s="989"/>
      <c r="V85" s="988"/>
      <c r="W85" s="989"/>
      <c r="X85" s="989"/>
      <c r="Y85" s="989"/>
      <c r="Z85" s="989"/>
      <c r="AA85" s="988"/>
      <c r="AB85" s="989"/>
      <c r="AC85" s="989"/>
      <c r="AD85" s="989"/>
      <c r="AE85" s="989"/>
      <c r="AF85" s="988"/>
      <c r="AG85" s="989"/>
      <c r="AH85" s="989"/>
      <c r="AI85" s="989"/>
      <c r="AJ85" s="989"/>
      <c r="AK85" s="988"/>
      <c r="AL85" s="987"/>
      <c r="AM85" s="987"/>
      <c r="AN85" s="987"/>
      <c r="AO85" s="987"/>
      <c r="AP85" s="988"/>
      <c r="AQ85" s="987"/>
      <c r="AR85" s="987"/>
      <c r="AS85" s="987"/>
      <c r="AT85" s="987"/>
      <c r="AU85" s="988"/>
      <c r="AV85" s="987"/>
      <c r="AW85" s="987"/>
      <c r="AX85" s="987"/>
      <c r="AY85" s="987"/>
      <c r="AZ85" s="988"/>
      <c r="BA85" s="987"/>
      <c r="BB85" s="987"/>
      <c r="BC85" s="987"/>
      <c r="BD85" s="987"/>
      <c r="BE85" s="988"/>
      <c r="BF85" s="987"/>
      <c r="BG85" s="987"/>
      <c r="BH85" s="987"/>
      <c r="BI85" s="987"/>
      <c r="BJ85" s="988"/>
      <c r="BK85" s="987"/>
      <c r="BL85" s="987"/>
      <c r="BM85" s="987"/>
      <c r="BN85" s="987"/>
      <c r="BO85" s="988"/>
      <c r="BP85" s="987"/>
      <c r="BQ85" s="987"/>
      <c r="BR85" s="987"/>
      <c r="BS85" s="987"/>
      <c r="BT85" s="988"/>
      <c r="BU85" s="987"/>
      <c r="BV85" s="987"/>
      <c r="BW85" s="987"/>
      <c r="BX85" s="987"/>
      <c r="BY85" s="988"/>
      <c r="BZ85" s="987"/>
      <c r="CA85" s="987"/>
      <c r="CB85" s="987"/>
      <c r="CC85" s="987"/>
      <c r="CD85" s="988"/>
      <c r="CE85" s="987"/>
      <c r="CF85" s="987"/>
      <c r="CG85" s="987"/>
      <c r="CH85" s="987"/>
      <c r="CI85" s="988"/>
      <c r="CJ85" s="987"/>
      <c r="CK85" s="987"/>
      <c r="CL85" s="987"/>
      <c r="CM85" s="987"/>
      <c r="CN85" s="988"/>
      <c r="CO85" s="987"/>
      <c r="CP85" s="987"/>
      <c r="CQ85" s="987"/>
      <c r="CR85" s="987"/>
      <c r="CS85" s="988"/>
      <c r="CT85" s="771" t="str">
        <f t="shared" ref="CT85:DL85" si="282">IFERROR(CT84/CO84-1,"")</f>
      </c>
      <c r="CU85" s="771" t="str">
        <f t="shared" si="282"/>
      </c>
      <c r="CV85" s="771" t="str">
        <f t="shared" si="282"/>
      </c>
      <c r="CW85" s="771" t="str">
        <f t="shared" si="282"/>
      </c>
      <c r="CX85" s="1047" t="str">
        <f t="shared" si="282"/>
      </c>
      <c r="CY85" s="771" t="str">
        <f t="shared" si="282"/>
      </c>
      <c r="CZ85" s="771" t="str">
        <f t="shared" si="282"/>
      </c>
      <c r="DA85" s="771" t="str">
        <f t="shared" si="282"/>
      </c>
      <c r="DB85" s="771" t="str">
        <f t="shared" si="282"/>
      </c>
      <c r="DC85" s="1047" t="str">
        <f t="shared" si="282"/>
      </c>
      <c r="DD85" s="771" t="str">
        <f t="shared" si="282"/>
      </c>
      <c r="DE85" s="771" t="str">
        <f t="shared" si="282"/>
      </c>
      <c r="DF85" s="771" t="str">
        <f t="shared" si="282"/>
      </c>
      <c r="DG85" s="771" t="str">
        <f t="shared" si="282"/>
      </c>
      <c r="DH85" s="1047" t="str">
        <f t="shared" si="282"/>
      </c>
      <c r="DI85" s="771" t="str">
        <f t="shared" si="282"/>
      </c>
      <c r="DJ85" s="771" t="str">
        <f t="shared" si="282"/>
      </c>
      <c r="DK85" s="771" t="str">
        <f t="shared" si="282"/>
      </c>
      <c r="DL85" s="771" t="str">
        <f t="shared" si="282"/>
      </c>
      <c r="DM85" s="1047"/>
      <c r="DN85" s="771"/>
      <c r="DO85" s="771"/>
      <c r="DP85" s="771"/>
      <c r="DQ85" s="771"/>
      <c r="DR85" s="1047"/>
      <c r="DS85" s="771"/>
      <c r="DT85" s="771"/>
      <c r="DU85" s="771"/>
      <c r="DV85" s="771"/>
      <c r="DW85" s="1047"/>
      <c r="DX85" s="771"/>
      <c r="DY85" s="771"/>
      <c r="DZ85" s="771"/>
      <c r="EA85" s="771"/>
      <c r="EB85" s="1047"/>
      <c r="EC85" s="771"/>
      <c r="ED85" s="771"/>
      <c r="EE85" s="771"/>
      <c r="EF85" s="771"/>
      <c r="EG85" s="1047"/>
      <c r="EH85" s="771"/>
      <c r="EI85" s="771"/>
      <c r="EJ85" s="771"/>
      <c r="EK85" s="771"/>
      <c r="EL85" s="1047"/>
      <c r="EM85" s="771"/>
      <c r="EN85" s="771"/>
      <c r="EO85" s="771"/>
      <c r="EP85" s="771"/>
      <c r="EQ85" s="1047"/>
      <c r="ER85" s="771" t="str">
        <f t="shared" ref="ER85" si="283">IFERROR(ER84/EM84-1,"")</f>
      </c>
      <c r="ES85" s="771" t="str">
        <f t="shared" ref="ES85" si="284">IFERROR(ES84/EN84-1,"")</f>
      </c>
      <c r="ET85" s="771" t="str">
        <f t="shared" ref="ET85" si="285">IFERROR(ET84/EO84-1,"")</f>
      </c>
      <c r="EU85" s="771" t="str">
        <f t="shared" ref="EU85" si="286">IFERROR(EU84/EP84-1,"")</f>
      </c>
      <c r="EV85" s="1047" t="str">
        <f t="shared" ref="EV85" si="287">IFERROR(EV84/EQ84-1,"")</f>
      </c>
      <c r="EW85" s="771">
        <f t="shared" ref="EW85:GE85" si="288">IFERROR(EW84/ER84-1,"")</f>
      </c>
      <c r="EX85" s="771">
        <f t="shared" si="288"/>
      </c>
      <c r="EY85" s="771">
        <f t="shared" si="288"/>
      </c>
      <c r="EZ85" s="771">
        <f t="shared" ref="EZ85" si="289">IFERROR(EZ84/EU84-1,"")</f>
      </c>
      <c r="FA85" s="1047">
        <f t="shared" ref="FA85" si="290">IFERROR(FA84/EV84-1,"")</f>
      </c>
      <c r="FB85" s="771">
        <f t="shared" si="288"/>
      </c>
      <c r="FC85" s="771">
        <f t="shared" si="288"/>
      </c>
      <c r="FD85" s="771">
        <f t="shared" si="288"/>
      </c>
      <c r="FE85" s="771">
        <f t="shared" si="288"/>
      </c>
      <c r="FF85" s="1047">
        <f t="shared" si="288"/>
      </c>
      <c r="FG85" s="771">
        <f t="shared" si="288"/>
      </c>
      <c r="FH85" s="771">
        <f t="shared" si="288"/>
      </c>
      <c r="FI85" s="771">
        <f t="shared" si="288"/>
      </c>
      <c r="FJ85" s="771">
        <f t="shared" si="288"/>
      </c>
      <c r="FK85" s="1047">
        <f t="shared" si="288"/>
      </c>
      <c r="FL85" s="771">
        <f t="shared" si="288"/>
      </c>
      <c r="FM85" s="771">
        <f t="shared" si="288"/>
      </c>
      <c r="FN85" s="771">
        <f t="shared" si="288"/>
      </c>
      <c r="FO85" s="771">
        <f t="shared" si="288"/>
      </c>
      <c r="FP85" s="1047">
        <f t="shared" si="288"/>
      </c>
      <c r="FQ85" s="771">
        <f t="shared" si="288"/>
      </c>
      <c r="FR85" s="771">
        <f t="shared" si="288"/>
      </c>
      <c r="FS85" s="771">
        <f t="shared" si="288"/>
      </c>
      <c r="FT85" s="771">
        <f t="shared" si="288"/>
      </c>
      <c r="FU85" s="1047">
        <f t="shared" si="288"/>
      </c>
      <c r="FV85" s="771">
        <f t="shared" si="288"/>
      </c>
      <c r="FW85" s="771">
        <f t="shared" si="288"/>
      </c>
      <c r="FX85" s="771">
        <f t="shared" si="288"/>
      </c>
      <c r="FY85" s="771">
        <f t="shared" si="288"/>
      </c>
      <c r="FZ85" s="1047">
        <f t="shared" si="288"/>
      </c>
      <c r="GA85" s="771">
        <f t="shared" si="288"/>
      </c>
      <c r="GB85" s="771">
        <f t="shared" si="288"/>
      </c>
      <c r="GC85" s="771">
        <f t="shared" si="288"/>
      </c>
      <c r="GD85" s="771">
        <f t="shared" si="288"/>
      </c>
      <c r="GE85" s="1047">
        <f t="shared" si="288"/>
      </c>
      <c r="GF85" s="771">
        <f t="shared" ref="GF85" si="291">IFERROR(GF84/GA84-1,"")</f>
      </c>
      <c r="GG85" s="771">
        <f t="shared" ref="GG85" si="292">IFERROR(GG84/GB84-1,"")</f>
      </c>
      <c r="GH85" s="771">
        <f t="shared" ref="GH85" si="293">IFERROR(GH84/GC84-1,"")</f>
      </c>
      <c r="GI85" s="771">
        <f t="shared" ref="GI85" si="294">IFERROR(GI84/GD84-1,"")</f>
      </c>
      <c r="GJ85" s="1047">
        <f t="shared" ref="GJ85" si="295">IFERROR(GJ84/GE84-1,"")</f>
      </c>
    </row>
    <row r="86" spans="1:192" s="461" customFormat="1" ht="12.75" hidden="1" customHeight="1" outlineLevel="1">
      <c r="A86" s="370"/>
      <c r="B86" s="1295" t="s">
        <v>36</v>
      </c>
      <c r="C86" s="987"/>
      <c r="D86" s="987"/>
      <c r="E86" s="987"/>
      <c r="F86" s="987"/>
      <c r="G86" s="988"/>
      <c r="H86" s="987"/>
      <c r="I86" s="987"/>
      <c r="J86" s="987"/>
      <c r="K86" s="987"/>
      <c r="L86" s="988"/>
      <c r="M86" s="987"/>
      <c r="N86" s="987"/>
      <c r="O86" s="987"/>
      <c r="P86" s="987"/>
      <c r="Q86" s="988"/>
      <c r="R86" s="989"/>
      <c r="S86" s="989"/>
      <c r="T86" s="989"/>
      <c r="U86" s="989"/>
      <c r="V86" s="988"/>
      <c r="W86" s="989"/>
      <c r="X86" s="989"/>
      <c r="Y86" s="989"/>
      <c r="Z86" s="989"/>
      <c r="AA86" s="988"/>
      <c r="AB86" s="989"/>
      <c r="AC86" s="989"/>
      <c r="AD86" s="989"/>
      <c r="AE86" s="989"/>
      <c r="AF86" s="988"/>
      <c r="AG86" s="989"/>
      <c r="AH86" s="989"/>
      <c r="AI86" s="989"/>
      <c r="AJ86" s="989"/>
      <c r="AK86" s="988"/>
      <c r="AL86" s="987"/>
      <c r="AM86" s="987"/>
      <c r="AN86" s="987"/>
      <c r="AO86" s="987"/>
      <c r="AP86" s="988"/>
      <c r="AQ86" s="987"/>
      <c r="AR86" s="987"/>
      <c r="AS86" s="987"/>
      <c r="AT86" s="987"/>
      <c r="AU86" s="988"/>
      <c r="AV86" s="987"/>
      <c r="AW86" s="987"/>
      <c r="AX86" s="987"/>
      <c r="AY86" s="987"/>
      <c r="AZ86" s="988"/>
      <c r="BA86" s="987"/>
      <c r="BB86" s="987"/>
      <c r="BC86" s="987"/>
      <c r="BD86" s="987"/>
      <c r="BE86" s="988"/>
      <c r="BF86" s="987"/>
      <c r="BG86" s="987"/>
      <c r="BH86" s="987"/>
      <c r="BI86" s="987"/>
      <c r="BJ86" s="988"/>
      <c r="BK86" s="987"/>
      <c r="BL86" s="987"/>
      <c r="BM86" s="987"/>
      <c r="BN86" s="987"/>
      <c r="BO86" s="988"/>
      <c r="BP86" s="987"/>
      <c r="BQ86" s="987"/>
      <c r="BR86" s="987"/>
      <c r="BS86" s="987"/>
      <c r="BT86" s="988"/>
      <c r="BU86" s="987"/>
      <c r="BV86" s="987"/>
      <c r="BW86" s="987"/>
      <c r="BX86" s="987"/>
      <c r="BY86" s="988"/>
      <c r="BZ86" s="987"/>
      <c r="CA86" s="987"/>
      <c r="CB86" s="987"/>
      <c r="CC86" s="987"/>
      <c r="CD86" s="988"/>
      <c r="CE86" s="987"/>
      <c r="CF86" s="987"/>
      <c r="CG86" s="987"/>
      <c r="CH86" s="987"/>
      <c r="CI86" s="988"/>
      <c r="CJ86" s="987"/>
      <c r="CK86" s="987"/>
      <c r="CL86" s="987"/>
      <c r="CM86" s="987"/>
      <c r="CN86" s="988"/>
      <c r="CO86" s="987"/>
      <c r="CP86" s="987"/>
      <c r="CQ86" s="987"/>
      <c r="CR86" s="987"/>
      <c r="CS86" s="988"/>
      <c r="CT86" s="771" t="str">
        <f>IFERROR(CT84/CR84-1,"")</f>
      </c>
      <c r="CU86" s="1283" t="str">
        <f>IFERROR(CU84/CT84-1,"")</f>
      </c>
      <c r="CV86" s="1283" t="str">
        <f>IFERROR(CV84/CU84-1,"")</f>
      </c>
      <c r="CW86" s="1283" t="str">
        <f>IFERROR(CW84/CV84-1,"")</f>
      </c>
      <c r="CX86" s="991"/>
      <c r="CY86" s="771" t="str">
        <f>IFERROR(CY84/CW84-1,"")</f>
      </c>
      <c r="CZ86" s="1283" t="str">
        <f>IFERROR(CZ84/CY84-1,"")</f>
      </c>
      <c r="DA86" s="1283" t="str">
        <f>IFERROR(DA84/CZ84-1,"")</f>
      </c>
      <c r="DB86" s="1283" t="str">
        <f>IFERROR(DB84/DA84-1,"")</f>
      </c>
      <c r="DC86" s="991"/>
      <c r="DD86" s="771" t="str">
        <f>IFERROR(DD84/DB84-1,"")</f>
      </c>
      <c r="DE86" s="1283" t="str">
        <f>IFERROR(DE84/DD84-1,"")</f>
      </c>
      <c r="DF86" s="1283" t="str">
        <f>IFERROR(DF84/DE84-1,"")</f>
      </c>
      <c r="DG86" s="1283" t="str">
        <f>IFERROR(DG84/DF84-1,"")</f>
      </c>
      <c r="DH86" s="991"/>
      <c r="DI86" s="771" t="str">
        <f>IFERROR(DI84/DG84-1,"")</f>
      </c>
      <c r="DJ86" s="1283" t="str">
        <f>IFERROR(DJ84/DI84-1,"")</f>
      </c>
      <c r="DK86" s="1283" t="str">
        <f>IFERROR(DK84/DJ84-1,"")</f>
      </c>
      <c r="DL86" s="1283" t="str">
        <f>IFERROR(DL84/DK84-1,"")</f>
      </c>
      <c r="DM86" s="991"/>
      <c r="DN86" s="771"/>
      <c r="DO86" s="1283"/>
      <c r="DP86" s="1283"/>
      <c r="DQ86" s="1283"/>
      <c r="DR86" s="991"/>
      <c r="DS86" s="771"/>
      <c r="DT86" s="1283"/>
      <c r="DU86" s="1283"/>
      <c r="DV86" s="1283"/>
      <c r="DW86" s="991"/>
      <c r="DX86" s="771"/>
      <c r="DY86" s="1283"/>
      <c r="DZ86" s="1283"/>
      <c r="EA86" s="1283"/>
      <c r="EB86" s="991"/>
      <c r="EC86" s="771"/>
      <c r="ED86" s="1283"/>
      <c r="EE86" s="1283"/>
      <c r="EF86" s="1283"/>
      <c r="EG86" s="991"/>
      <c r="EH86" s="771"/>
      <c r="EI86" s="1283"/>
      <c r="EJ86" s="1283"/>
      <c r="EK86" s="1283"/>
      <c r="EL86" s="991"/>
      <c r="EM86" s="771"/>
      <c r="EN86" s="1283"/>
      <c r="EO86" s="1283"/>
      <c r="EP86" s="1283"/>
      <c r="EQ86" s="991"/>
      <c r="ER86" s="771" t="str">
        <f>IFERROR(ER84/EP84-1,"")</f>
      </c>
      <c r="ES86" s="1283">
        <f>IFERROR(ES84/ER84-1,"")</f>
      </c>
      <c r="ET86" s="1283">
        <f>IFERROR(ET84/ES84-1,"")</f>
      </c>
      <c r="EU86" s="1283">
        <f>IFERROR(EU84/ET84-1,"")</f>
      </c>
      <c r="EV86" s="991"/>
      <c r="EW86" s="771">
        <f>IFERROR(EW84/EU84-1,"")</f>
      </c>
      <c r="EX86" s="1283">
        <f>IFERROR(EX84/EW84-1,"")</f>
      </c>
      <c r="EY86" s="1283">
        <f>IFERROR(EY84/EX84-1,"")</f>
      </c>
      <c r="EZ86" s="1283">
        <f>IFERROR(EZ84/EY84-1,"")</f>
      </c>
      <c r="FA86" s="991"/>
      <c r="FB86" s="771">
        <f>IFERROR(FB84/EZ84-1,"")</f>
      </c>
      <c r="FC86" s="1283">
        <f>IFERROR(FC84/FB84-1,"")</f>
      </c>
      <c r="FD86" s="1283">
        <f>IFERROR(FD84/FC84-1,"")</f>
      </c>
      <c r="FE86" s="1283">
        <f>IFERROR(FE84/FD84-1,"")</f>
      </c>
      <c r="FF86" s="991"/>
      <c r="FG86" s="771">
        <f>IFERROR(FG84/FE84-1,"")</f>
      </c>
      <c r="FH86" s="1283">
        <f>IFERROR(FH84/FG84-1,"")</f>
      </c>
      <c r="FI86" s="1283">
        <f>IFERROR(FI84/FH84-1,"")</f>
      </c>
      <c r="FJ86" s="1283">
        <f>IFERROR(FJ84/FI84-1,"")</f>
      </c>
      <c r="FK86" s="991"/>
      <c r="FL86" s="771">
        <f>IFERROR(FL84/FJ84-1,"")</f>
      </c>
      <c r="FM86" s="1283">
        <f>IFERROR(FM84/FL84-1,"")</f>
      </c>
      <c r="FN86" s="1283">
        <f>IFERROR(FN84/FM84-1,"")</f>
      </c>
      <c r="FO86" s="1283">
        <f>IFERROR(FO84/FN84-1,"")</f>
      </c>
      <c r="FP86" s="991"/>
      <c r="FQ86" s="771">
        <f>IFERROR(FQ84/FO84-1,"")</f>
      </c>
      <c r="FR86" s="1283">
        <f>IFERROR(FR84/FQ84-1,"")</f>
      </c>
      <c r="FS86" s="1283">
        <f>IFERROR(FS84/FR84-1,"")</f>
      </c>
      <c r="FT86" s="1283">
        <f>IFERROR(FT84/FS84-1,"")</f>
      </c>
      <c r="FU86" s="991"/>
      <c r="FV86" s="771">
        <f>IFERROR(FV84/FT84-1,"")</f>
      </c>
      <c r="FW86" s="1283">
        <f>IFERROR(FW84/FV84-1,"")</f>
      </c>
      <c r="FX86" s="1283">
        <f>IFERROR(FX84/FW84-1,"")</f>
      </c>
      <c r="FY86" s="1283">
        <f>IFERROR(FY84/FX84-1,"")</f>
      </c>
      <c r="FZ86" s="991"/>
      <c r="GA86" s="771">
        <f>IFERROR(GA84/FY84-1,"")</f>
      </c>
      <c r="GB86" s="1283">
        <f>IFERROR(GB84/GA84-1,"")</f>
      </c>
      <c r="GC86" s="1283">
        <f>IFERROR(GC84/GB84-1,"")</f>
      </c>
      <c r="GD86" s="1283">
        <f>IFERROR(GD84/GC84-1,"")</f>
      </c>
      <c r="GE86" s="991"/>
      <c r="GF86" s="771">
        <f>IFERROR(GF84/GD84-1,"")</f>
      </c>
      <c r="GG86" s="1283">
        <f>IFERROR(GG84/GF84-1,"")</f>
      </c>
      <c r="GH86" s="1283">
        <f>IFERROR(GH84/GG84-1,"")</f>
      </c>
      <c r="GI86" s="1283">
        <f>IFERROR(GI84/GH84-1,"")</f>
      </c>
      <c r="GJ86" s="991"/>
    </row>
    <row r="87" spans="1:192" s="461" customFormat="1" ht="12.75" hidden="1" customHeight="1" outlineLevel="1">
      <c r="A87" s="370"/>
      <c r="B87" s="1295" t="s">
        <v>1865</v>
      </c>
      <c r="C87" s="987"/>
      <c r="D87" s="987"/>
      <c r="E87" s="987"/>
      <c r="F87" s="987"/>
      <c r="G87" s="988"/>
      <c r="H87" s="987"/>
      <c r="I87" s="987"/>
      <c r="J87" s="987"/>
      <c r="K87" s="987"/>
      <c r="L87" s="988"/>
      <c r="M87" s="987"/>
      <c r="N87" s="987"/>
      <c r="O87" s="987"/>
      <c r="P87" s="987"/>
      <c r="Q87" s="988"/>
      <c r="R87" s="989"/>
      <c r="S87" s="989"/>
      <c r="T87" s="989"/>
      <c r="U87" s="989"/>
      <c r="V87" s="988"/>
      <c r="W87" s="989"/>
      <c r="X87" s="989"/>
      <c r="Y87" s="989"/>
      <c r="Z87" s="989"/>
      <c r="AA87" s="988"/>
      <c r="AB87" s="989"/>
      <c r="AC87" s="989"/>
      <c r="AD87" s="989"/>
      <c r="AE87" s="989"/>
      <c r="AF87" s="988"/>
      <c r="AG87" s="989"/>
      <c r="AH87" s="989"/>
      <c r="AI87" s="989"/>
      <c r="AJ87" s="989"/>
      <c r="AK87" s="988"/>
      <c r="AL87" s="987"/>
      <c r="AM87" s="987"/>
      <c r="AN87" s="987"/>
      <c r="AO87" s="987"/>
      <c r="AP87" s="988"/>
      <c r="AQ87" s="987"/>
      <c r="AR87" s="987"/>
      <c r="AS87" s="987"/>
      <c r="AT87" s="987"/>
      <c r="AU87" s="988"/>
      <c r="AV87" s="987"/>
      <c r="AW87" s="987"/>
      <c r="AX87" s="987"/>
      <c r="AY87" s="987"/>
      <c r="AZ87" s="988"/>
      <c r="BA87" s="987"/>
      <c r="BB87" s="987"/>
      <c r="BC87" s="987"/>
      <c r="BD87" s="987"/>
      <c r="BE87" s="988"/>
      <c r="BF87" s="987"/>
      <c r="BG87" s="987"/>
      <c r="BH87" s="987"/>
      <c r="BI87" s="987"/>
      <c r="BJ87" s="988"/>
      <c r="BK87" s="987"/>
      <c r="BL87" s="987"/>
      <c r="BM87" s="987"/>
      <c r="BN87" s="987"/>
      <c r="BO87" s="988"/>
      <c r="BP87" s="987"/>
      <c r="BQ87" s="987"/>
      <c r="BR87" s="987"/>
      <c r="BS87" s="987"/>
      <c r="BT87" s="988"/>
      <c r="BU87" s="987"/>
      <c r="BV87" s="987"/>
      <c r="BW87" s="987"/>
      <c r="BX87" s="987"/>
      <c r="BY87" s="988"/>
      <c r="BZ87" s="987"/>
      <c r="CA87" s="987"/>
      <c r="CB87" s="987"/>
      <c r="CC87" s="987"/>
      <c r="CD87" s="988"/>
      <c r="CE87" s="987"/>
      <c r="CF87" s="987"/>
      <c r="CG87" s="987"/>
      <c r="CH87" s="987"/>
      <c r="CI87" s="988"/>
      <c r="CJ87" s="987"/>
      <c r="CK87" s="987"/>
      <c r="CL87" s="987"/>
      <c r="CM87" s="987"/>
      <c r="CN87" s="988"/>
      <c r="CO87" s="987"/>
      <c r="CP87" s="987"/>
      <c r="CQ87" s="987"/>
      <c r="CR87" s="987"/>
      <c r="CS87" s="988"/>
      <c r="CT87" s="987"/>
      <c r="CU87" s="987"/>
      <c r="CV87" s="987"/>
      <c r="CW87" s="987"/>
      <c r="CX87" s="988"/>
      <c r="CY87" s="1290"/>
      <c r="CZ87" s="1290"/>
      <c r="DA87" s="1290"/>
      <c r="DB87" s="1290"/>
      <c r="DC87" s="1291"/>
      <c r="DD87" s="1290"/>
      <c r="DE87" s="1290"/>
      <c r="DF87" s="1290"/>
      <c r="DG87" s="1290"/>
      <c r="DH87" s="1291"/>
      <c r="DI87" s="1290"/>
      <c r="DJ87" s="1290"/>
      <c r="DK87" s="1290"/>
      <c r="DL87" s="1290"/>
      <c r="DM87" s="1291"/>
      <c r="DN87" s="1290"/>
      <c r="DO87" s="1290"/>
      <c r="DP87" s="1290"/>
      <c r="DQ87" s="1290"/>
      <c r="DR87" s="1291"/>
      <c r="DS87" s="1290"/>
      <c r="DT87" s="1290"/>
      <c r="DU87" s="1290"/>
      <c r="DV87" s="1290"/>
      <c r="DW87" s="1291"/>
      <c r="DX87" s="1290"/>
      <c r="DY87" s="1290"/>
      <c r="DZ87" s="1290"/>
      <c r="EA87" s="1290"/>
      <c r="EB87" s="1291"/>
      <c r="EC87" s="1290"/>
      <c r="ED87" s="1290"/>
      <c r="EE87" s="1290"/>
      <c r="EF87" s="1290"/>
      <c r="EG87" s="1291"/>
      <c r="EH87" s="1290"/>
      <c r="EI87" s="1290"/>
      <c r="EJ87" s="1290"/>
      <c r="EK87" s="1290"/>
      <c r="EL87" s="1291"/>
      <c r="EM87" s="1290"/>
      <c r="EN87" s="1290"/>
      <c r="EO87" s="1290"/>
      <c r="EP87" s="1290"/>
      <c r="EQ87" s="1291"/>
      <c r="ER87" s="1290">
        <f t="shared" ref="ER87:EV87" si="296">ER84/ER$64</f>
      </c>
      <c r="ES87" s="1290">
        <f t="shared" si="296"/>
      </c>
      <c r="ET87" s="1290">
        <f t="shared" si="296"/>
      </c>
      <c r="EU87" s="1290">
        <f t="shared" si="296"/>
      </c>
      <c r="EV87" s="1291">
        <f t="shared" si="296"/>
      </c>
      <c r="EW87" s="1290">
        <f t="shared" ref="EW87:FJ87" si="297">EW84/EW$64</f>
      </c>
      <c r="EX87" s="1290">
        <f t="shared" si="297"/>
      </c>
      <c r="EY87" s="1290">
        <f t="shared" si="297"/>
      </c>
      <c r="EZ87" s="1290">
        <f t="shared" si="297"/>
      </c>
      <c r="FA87" s="1291">
        <f t="shared" si="297"/>
      </c>
      <c r="FB87" s="1290">
        <f t="shared" si="297"/>
      </c>
      <c r="FC87" s="1290">
        <f t="shared" si="297"/>
      </c>
      <c r="FD87" s="1290">
        <f t="shared" si="297"/>
      </c>
      <c r="FE87" s="1290">
        <f t="shared" si="297"/>
      </c>
      <c r="FF87" s="1291">
        <f t="shared" si="297"/>
      </c>
      <c r="FG87" s="1290">
        <f t="shared" si="297"/>
      </c>
      <c r="FH87" s="1290">
        <f t="shared" si="297"/>
      </c>
      <c r="FI87" s="1290">
        <f t="shared" si="297"/>
      </c>
      <c r="FJ87" s="1290">
        <f t="shared" si="297"/>
      </c>
      <c r="FK87" s="1291">
        <f t="shared" ref="FK87:FZ87" si="298">FK84/FK$64</f>
      </c>
      <c r="FL87" s="1290">
        <f t="shared" si="298"/>
      </c>
      <c r="FM87" s="1290">
        <f t="shared" si="298"/>
      </c>
      <c r="FN87" s="1290">
        <f t="shared" si="298"/>
      </c>
      <c r="FO87" s="1290">
        <f t="shared" si="298"/>
      </c>
      <c r="FP87" s="1291">
        <f t="shared" si="298"/>
      </c>
      <c r="FQ87" s="1290">
        <f t="shared" si="298"/>
      </c>
      <c r="FR87" s="1290">
        <f t="shared" si="298"/>
      </c>
      <c r="FS87" s="1290">
        <f t="shared" si="298"/>
      </c>
      <c r="FT87" s="1290">
        <f t="shared" si="298"/>
      </c>
      <c r="FU87" s="1291">
        <f t="shared" si="298"/>
      </c>
      <c r="FV87" s="1290">
        <f t="shared" si="298"/>
      </c>
      <c r="FW87" s="1290">
        <f t="shared" si="298"/>
      </c>
      <c r="FX87" s="1290">
        <f t="shared" si="298"/>
      </c>
      <c r="FY87" s="1290">
        <f t="shared" si="298"/>
      </c>
      <c r="FZ87" s="1291">
        <f t="shared" si="298"/>
      </c>
      <c r="GA87" s="1290">
        <f t="shared" ref="GA87:GJ87" si="299">GA84/GA$64</f>
      </c>
      <c r="GB87" s="1290">
        <f t="shared" si="299"/>
      </c>
      <c r="GC87" s="1290">
        <f t="shared" si="299"/>
      </c>
      <c r="GD87" s="1290">
        <f t="shared" si="299"/>
      </c>
      <c r="GE87" s="1291">
        <f t="shared" si="299"/>
      </c>
      <c r="GF87" s="1290">
        <f t="shared" si="299"/>
      </c>
      <c r="GG87" s="1290">
        <f t="shared" si="299"/>
      </c>
      <c r="GH87" s="1290">
        <f t="shared" si="299"/>
      </c>
      <c r="GI87" s="1290">
        <f t="shared" si="299"/>
      </c>
      <c r="GJ87" s="1291">
        <f t="shared" si="299"/>
      </c>
    </row>
    <row r="88" spans="1:192" ht="12.75" customHeight="1" collapsed="1">
      <c r="B88" s="821"/>
      <c r="C88" s="248"/>
      <c r="D88" s="266"/>
      <c r="E88" s="266"/>
      <c r="F88" s="266"/>
      <c r="G88" s="304"/>
      <c r="H88" s="248"/>
      <c r="I88" s="266"/>
      <c r="J88" s="266"/>
      <c r="K88" s="266"/>
      <c r="L88" s="304"/>
      <c r="M88" s="822"/>
      <c r="N88" s="268"/>
      <c r="O88" s="268"/>
      <c r="P88" s="268"/>
      <c r="Q88" s="304"/>
      <c r="R88" s="822"/>
      <c r="S88" s="268"/>
      <c r="T88" s="268"/>
      <c r="U88" s="268"/>
      <c r="V88" s="304"/>
      <c r="W88" s="822"/>
      <c r="X88" s="268"/>
      <c r="Y88" s="268"/>
      <c r="Z88" s="268"/>
      <c r="AA88" s="304"/>
      <c r="AB88" s="822"/>
      <c r="AC88" s="268"/>
      <c r="AD88" s="268"/>
      <c r="AE88" s="268"/>
      <c r="AF88" s="304"/>
      <c r="AG88" s="822"/>
      <c r="AH88" s="268"/>
      <c r="AI88" s="268"/>
      <c r="AJ88" s="268"/>
      <c r="AK88" s="304"/>
      <c r="AL88" s="248"/>
      <c r="AM88" s="266"/>
      <c r="AN88" s="266"/>
      <c r="AO88" s="266"/>
      <c r="AP88" s="304"/>
      <c r="AQ88" s="248"/>
      <c r="AR88" s="266"/>
      <c r="AS88" s="266"/>
      <c r="AT88" s="266"/>
      <c r="AU88" s="304"/>
      <c r="AV88" s="248"/>
      <c r="AW88" s="266"/>
      <c r="AX88" s="266"/>
      <c r="AY88" s="266"/>
      <c r="AZ88" s="304"/>
      <c r="BA88" s="248"/>
      <c r="BB88" s="266"/>
      <c r="BC88" s="266"/>
      <c r="BD88" s="266"/>
      <c r="BE88" s="304"/>
      <c r="BF88" s="248"/>
      <c r="BG88" s="266"/>
      <c r="BH88" s="266"/>
      <c r="BI88" s="266"/>
      <c r="BJ88" s="304"/>
      <c r="BK88" s="248"/>
      <c r="BL88" s="266"/>
      <c r="BM88" s="266"/>
      <c r="BN88" s="266"/>
      <c r="BO88" s="304"/>
      <c r="BP88" s="248"/>
      <c r="BQ88" s="266"/>
      <c r="BR88" s="266"/>
      <c r="BS88" s="266"/>
      <c r="BT88" s="304"/>
      <c r="BU88" s="248"/>
      <c r="BV88" s="266"/>
      <c r="BW88" s="266"/>
      <c r="BX88" s="266"/>
      <c r="BY88" s="304"/>
      <c r="BZ88" s="248"/>
      <c r="CA88" s="266"/>
      <c r="CB88" s="266"/>
      <c r="CC88" s="266"/>
      <c r="CD88" s="304"/>
      <c r="CE88" s="248"/>
      <c r="CF88" s="266"/>
      <c r="CG88" s="266"/>
      <c r="CH88" s="266"/>
      <c r="CI88" s="304"/>
      <c r="CJ88" s="248"/>
      <c r="CK88" s="266"/>
      <c r="CL88" s="266"/>
      <c r="CM88" s="266"/>
      <c r="CN88" s="304"/>
      <c r="CO88" s="248"/>
      <c r="CP88" s="266"/>
      <c r="CQ88" s="266"/>
      <c r="CR88" s="266"/>
      <c r="CS88" s="304"/>
      <c r="CT88" s="248"/>
      <c r="CU88" s="266"/>
      <c r="CV88" s="266"/>
      <c r="CW88" s="266"/>
      <c r="CX88" s="304"/>
      <c r="CY88" s="248"/>
      <c r="CZ88" s="266"/>
      <c r="DA88" s="266"/>
      <c r="DB88" s="266"/>
      <c r="DC88" s="304"/>
      <c r="DD88" s="248"/>
      <c r="DE88" s="266"/>
      <c r="DF88" s="266"/>
      <c r="DG88" s="266"/>
      <c r="DH88" s="304"/>
      <c r="DI88" s="248"/>
      <c r="DJ88" s="266"/>
      <c r="DK88" s="266"/>
      <c r="DL88" s="266"/>
      <c r="DM88" s="304"/>
      <c r="DN88" s="248"/>
      <c r="DO88" s="266"/>
      <c r="DP88" s="266"/>
      <c r="DQ88" s="266"/>
      <c r="DR88" s="304"/>
      <c r="DS88" s="248"/>
      <c r="DT88" s="266"/>
      <c r="DU88" s="266"/>
      <c r="DV88" s="266"/>
      <c r="DW88" s="304"/>
      <c r="DX88" s="248"/>
      <c r="DY88" s="266"/>
      <c r="DZ88" s="266"/>
      <c r="EA88" s="266"/>
      <c r="EB88" s="304"/>
      <c r="EC88" s="248"/>
      <c r="ED88" s="266"/>
      <c r="EE88" s="266"/>
      <c r="EF88" s="266"/>
      <c r="EG88" s="304"/>
      <c r="EH88" s="248"/>
      <c r="EI88" s="266"/>
      <c r="EJ88" s="266"/>
      <c r="EK88" s="266"/>
      <c r="EL88" s="308"/>
      <c r="EM88" s="248"/>
      <c r="EN88" s="266"/>
      <c r="EO88" s="266"/>
      <c r="EP88" s="266"/>
      <c r="EQ88" s="308"/>
      <c r="ER88" s="248"/>
      <c r="ES88" s="266"/>
      <c r="ET88" s="266"/>
      <c r="EU88" s="266"/>
      <c r="EV88" s="304"/>
      <c r="EW88" s="248"/>
      <c r="EX88" s="266"/>
      <c r="EY88" s="266"/>
      <c r="EZ88" s="266"/>
      <c r="FA88" s="304"/>
      <c r="FB88" s="248"/>
      <c r="FC88" s="266"/>
      <c r="FD88" s="266"/>
      <c r="FE88" s="266"/>
      <c r="FF88" s="304"/>
      <c r="FG88" s="248"/>
      <c r="FH88" s="266"/>
      <c r="FI88" s="266"/>
      <c r="FJ88" s="266"/>
      <c r="FK88" s="304"/>
      <c r="FL88" s="248"/>
      <c r="FM88" s="266"/>
      <c r="FN88" s="266"/>
      <c r="FO88" s="266"/>
      <c r="FP88" s="304"/>
      <c r="FQ88" s="248"/>
      <c r="FR88" s="266"/>
      <c r="FS88" s="266"/>
      <c r="FT88" s="266"/>
      <c r="FU88" s="304"/>
      <c r="FV88" s="248"/>
      <c r="FW88" s="266"/>
      <c r="FX88" s="266"/>
      <c r="FY88" s="266"/>
      <c r="FZ88" s="304"/>
      <c r="GA88" s="248"/>
      <c r="GB88" s="266"/>
      <c r="GC88" s="266"/>
      <c r="GD88" s="266"/>
      <c r="GE88" s="304"/>
      <c r="GF88" s="248"/>
      <c r="GG88" s="266"/>
      <c r="GH88" s="266"/>
      <c r="GI88" s="266"/>
      <c r="GJ88" s="304"/>
    </row>
    <row r="89" spans="1:192" ht="12.75" customHeight="1">
      <c r="B89" s="821"/>
      <c r="C89" s="248"/>
      <c r="D89" s="266"/>
      <c r="E89" s="266"/>
      <c r="F89" s="266"/>
      <c r="G89" s="266"/>
      <c r="H89" s="248"/>
      <c r="I89" s="266"/>
      <c r="J89" s="266"/>
      <c r="K89" s="266"/>
      <c r="L89" s="266"/>
      <c r="M89" s="822"/>
      <c r="N89" s="268"/>
      <c r="O89" s="268"/>
      <c r="P89" s="268"/>
      <c r="Q89" s="266"/>
      <c r="R89" s="822"/>
      <c r="S89" s="268"/>
      <c r="T89" s="268"/>
      <c r="U89" s="268"/>
      <c r="V89" s="266"/>
      <c r="W89" s="822"/>
      <c r="X89" s="268"/>
      <c r="Y89" s="268"/>
      <c r="Z89" s="268"/>
      <c r="AA89" s="266"/>
      <c r="AB89" s="822"/>
      <c r="AC89" s="268"/>
      <c r="AD89" s="268"/>
      <c r="AE89" s="268"/>
      <c r="AF89" s="266"/>
      <c r="AG89" s="822"/>
      <c r="AH89" s="268"/>
      <c r="AI89" s="268"/>
      <c r="AJ89" s="268"/>
      <c r="AK89" s="266"/>
      <c r="AL89" s="248"/>
      <c r="AM89" s="266"/>
      <c r="AN89" s="266"/>
      <c r="AO89" s="266"/>
      <c r="AP89" s="266"/>
      <c r="AQ89" s="248"/>
      <c r="AR89" s="266"/>
      <c r="AS89" s="266"/>
      <c r="AT89" s="266"/>
      <c r="AU89" s="266"/>
      <c r="AV89" s="248"/>
      <c r="AW89" s="266"/>
      <c r="AX89" s="266"/>
      <c r="AY89" s="266"/>
      <c r="AZ89" s="266"/>
      <c r="BA89" s="248"/>
      <c r="BB89" s="266"/>
      <c r="BC89" s="266"/>
      <c r="BD89" s="266"/>
      <c r="BE89" s="266"/>
      <c r="BF89" s="248"/>
      <c r="BG89" s="266"/>
      <c r="BH89" s="266"/>
      <c r="BI89" s="266"/>
      <c r="BJ89" s="266"/>
      <c r="BK89" s="248"/>
      <c r="BL89" s="266"/>
      <c r="BM89" s="266"/>
      <c r="BN89" s="266"/>
      <c r="BO89" s="266"/>
      <c r="BP89" s="248"/>
      <c r="BQ89" s="266"/>
      <c r="BR89" s="266"/>
      <c r="BS89" s="266"/>
      <c r="BT89" s="266"/>
      <c r="BU89" s="248"/>
      <c r="BV89" s="266"/>
      <c r="BW89" s="266"/>
      <c r="BX89" s="266"/>
      <c r="BY89" s="266"/>
      <c r="BZ89" s="248"/>
      <c r="CA89" s="266"/>
      <c r="CB89" s="266"/>
      <c r="CC89" s="266"/>
      <c r="CD89" s="266"/>
      <c r="CE89" s="248"/>
      <c r="CF89" s="266"/>
      <c r="CG89" s="266"/>
      <c r="CH89" s="266"/>
      <c r="CI89" s="266"/>
      <c r="CJ89" s="248"/>
      <c r="CK89" s="266"/>
      <c r="CL89" s="266"/>
      <c r="CM89" s="266"/>
      <c r="CN89" s="266"/>
      <c r="CO89" s="248"/>
      <c r="CP89" s="266"/>
      <c r="CQ89" s="266"/>
      <c r="CR89" s="266"/>
      <c r="CS89" s="266"/>
      <c r="CT89" s="248"/>
      <c r="CU89" s="266"/>
      <c r="CV89" s="266"/>
      <c r="CW89" s="266"/>
      <c r="CX89" s="266"/>
      <c r="CY89" s="248"/>
      <c r="CZ89" s="266"/>
      <c r="DA89" s="266"/>
      <c r="DB89" s="266"/>
      <c r="DC89" s="266"/>
      <c r="DD89" s="248"/>
      <c r="DE89" s="266"/>
      <c r="DF89" s="266"/>
      <c r="DG89" s="266"/>
      <c r="DH89" s="266"/>
      <c r="DI89" s="248"/>
      <c r="DJ89" s="266"/>
      <c r="DK89" s="266"/>
      <c r="DL89" s="266"/>
      <c r="DM89" s="266"/>
      <c r="DN89" s="248"/>
      <c r="DO89" s="266"/>
      <c r="DP89" s="266"/>
      <c r="DQ89" s="266"/>
      <c r="DR89" s="266"/>
      <c r="DS89" s="248"/>
      <c r="DT89" s="266"/>
      <c r="DU89" s="266"/>
      <c r="DV89" s="266"/>
      <c r="DW89" s="266"/>
      <c r="DX89" s="248"/>
      <c r="DY89" s="266"/>
      <c r="DZ89" s="266"/>
      <c r="EA89" s="266"/>
      <c r="EB89" s="266"/>
      <c r="EC89" s="248"/>
      <c r="ED89" s="266"/>
      <c r="EE89" s="266"/>
      <c r="EF89" s="266"/>
      <c r="EG89" s="266"/>
      <c r="EH89" s="248"/>
      <c r="EI89" s="266"/>
      <c r="EJ89" s="266"/>
      <c r="EK89" s="266"/>
      <c r="EL89" s="266"/>
      <c r="EM89" s="248"/>
      <c r="EN89" s="266"/>
      <c r="EO89" s="266"/>
      <c r="EP89" s="266"/>
      <c r="EQ89" s="266"/>
      <c r="ER89" s="248"/>
      <c r="ES89" s="266"/>
      <c r="ET89" s="266"/>
      <c r="EU89" s="266"/>
      <c r="EV89" s="266"/>
      <c r="EW89" s="248"/>
      <c r="EX89" s="266"/>
      <c r="EY89" s="266"/>
      <c r="EZ89" s="266"/>
      <c r="FA89" s="266"/>
      <c r="FB89" s="248"/>
      <c r="FC89" s="266"/>
      <c r="FD89" s="266"/>
      <c r="FE89" s="266"/>
      <c r="FF89" s="266"/>
      <c r="FG89" s="248"/>
      <c r="FH89" s="266"/>
      <c r="FI89" s="266"/>
      <c r="FJ89" s="266"/>
      <c r="FK89" s="266"/>
      <c r="FL89" s="248"/>
      <c r="FM89" s="266"/>
      <c r="FN89" s="266"/>
      <c r="FO89" s="266"/>
      <c r="FP89" s="266"/>
      <c r="FQ89" s="248"/>
      <c r="FR89" s="266"/>
      <c r="FS89" s="266"/>
      <c r="FT89" s="266"/>
      <c r="FU89" s="266"/>
      <c r="FV89" s="248"/>
      <c r="FW89" s="266"/>
      <c r="FX89" s="266"/>
      <c r="FY89" s="266"/>
      <c r="FZ89" s="266"/>
      <c r="GA89" s="248"/>
      <c r="GB89" s="266"/>
      <c r="GC89" s="266"/>
      <c r="GD89" s="266"/>
      <c r="GE89" s="266"/>
      <c r="GF89" s="248"/>
      <c r="GG89" s="266"/>
      <c r="GH89" s="266"/>
      <c r="GI89" s="266"/>
      <c r="GJ89" s="266"/>
    </row>
    <row r="90" spans="1:192" ht="12.75" customHeight="1">
      <c r="B90" s="754"/>
      <c r="M90" s="474"/>
      <c r="N90" s="475"/>
      <c r="O90" s="475"/>
      <c r="P90" s="475"/>
    </row>
    <row r="91" spans="1:192" ht="12.75" customHeight="1">
      <c r="B91" s="754"/>
      <c r="M91" s="474"/>
      <c r="N91" s="475"/>
      <c r="O91" s="475"/>
      <c r="P91" s="475"/>
    </row>
    <row r="92" spans="1:192" s="1611" customFormat="1" ht="12.75" customHeight="1">
      <c r="A92" s="850"/>
      <c r="B92" s="754"/>
      <c r="C92" s="1610"/>
      <c r="H92" s="1610"/>
      <c r="M92" s="1612"/>
      <c r="N92" s="1613"/>
      <c r="O92" s="1613"/>
      <c r="P92" s="1613"/>
      <c r="R92" s="1612"/>
      <c r="S92" s="1613"/>
      <c r="T92" s="1613"/>
      <c r="U92" s="1613"/>
      <c r="W92" s="1612"/>
      <c r="X92" s="1613"/>
      <c r="Y92" s="1613"/>
      <c r="Z92" s="1613"/>
      <c r="AB92" s="1612"/>
      <c r="AC92" s="1613"/>
      <c r="AD92" s="1613"/>
      <c r="AE92" s="1613"/>
      <c r="AG92" s="1612"/>
      <c r="AH92" s="1613"/>
      <c r="AI92" s="1613"/>
      <c r="AJ92" s="1613"/>
      <c r="AL92" s="1610"/>
      <c r="AQ92" s="1610"/>
      <c r="AV92" s="1610"/>
      <c r="BA92" s="1610"/>
      <c r="BF92" s="1610"/>
      <c r="BK92" s="1610"/>
      <c r="BP92" s="1610"/>
      <c r="BU92" s="1610"/>
      <c r="BZ92" s="1610"/>
      <c r="CE92" s="1610"/>
      <c r="CJ92" s="1610"/>
      <c r="CO92" s="1610"/>
      <c r="CT92" s="1610"/>
      <c r="CY92" s="1610"/>
      <c r="DD92" s="1610"/>
      <c r="DI92" s="1610"/>
      <c r="DN92" s="1610"/>
      <c r="DS92" s="1610"/>
      <c r="DX92" s="1610"/>
      <c r="EC92" s="1610"/>
      <c r="EH92" s="1610"/>
      <c r="EL92" s="1614"/>
      <c r="EM92" s="1610"/>
      <c r="EQ92" s="1614"/>
      <c r="ER92" s="1615"/>
      <c r="EW92" s="1615"/>
      <c r="FB92" s="1610"/>
      <c r="FG92" s="1610"/>
      <c r="FL92" s="1610"/>
      <c r="FQ92" s="1610"/>
      <c r="FV92" s="1610"/>
      <c r="GA92" s="1610"/>
      <c r="GF92" s="1610"/>
    </row>
    <row r="93" spans="1:192" s="1611" customFormat="1" ht="12.75" customHeight="1">
      <c r="A93" s="850"/>
      <c r="B93" s="754"/>
      <c r="C93" s="1610"/>
      <c r="H93" s="1610"/>
      <c r="M93" s="1610"/>
      <c r="R93" s="1612"/>
      <c r="S93" s="1613"/>
      <c r="T93" s="1613"/>
      <c r="U93" s="1613"/>
      <c r="W93" s="1612"/>
      <c r="X93" s="1613"/>
      <c r="Y93" s="1613"/>
      <c r="Z93" s="1613"/>
      <c r="AB93" s="1612"/>
      <c r="AC93" s="1613"/>
      <c r="AD93" s="1613"/>
      <c r="AE93" s="1613"/>
      <c r="AG93" s="1612"/>
      <c r="AH93" s="1613"/>
      <c r="AI93" s="1613"/>
      <c r="AJ93" s="1613"/>
      <c r="AL93" s="1610"/>
      <c r="AQ93" s="1610"/>
      <c r="AV93" s="1610"/>
      <c r="BA93" s="1610"/>
      <c r="BF93" s="1610"/>
      <c r="BK93" s="1610"/>
      <c r="BP93" s="1610"/>
      <c r="BU93" s="1610"/>
      <c r="BZ93" s="1610"/>
      <c r="CE93" s="1610"/>
      <c r="CJ93" s="1610"/>
      <c r="CO93" s="1610"/>
      <c r="CT93" s="1610"/>
      <c r="CY93" s="1610"/>
      <c r="DD93" s="1610"/>
      <c r="DI93" s="1610"/>
      <c r="DN93" s="1610"/>
      <c r="DS93" s="1610"/>
      <c r="DX93" s="1610"/>
      <c r="EC93" s="1610"/>
      <c r="EH93" s="1610"/>
      <c r="EL93" s="1614"/>
      <c r="EM93" s="1610"/>
      <c r="EQ93" s="1614"/>
      <c r="ER93" s="1610"/>
      <c r="EV93" s="1324"/>
      <c r="EW93" s="1610"/>
      <c r="FA93" s="1324"/>
      <c r="FB93" s="1610"/>
      <c r="FG93" s="1610"/>
      <c r="FL93" s="1610"/>
      <c r="FQ93" s="1610"/>
      <c r="FV93" s="1610"/>
      <c r="GA93" s="1610"/>
      <c r="GF93" s="1610"/>
    </row>
    <row r="94" spans="1:192" s="1611" customFormat="1" ht="12.75" customHeight="1">
      <c r="A94" s="850"/>
      <c r="B94" s="754"/>
      <c r="C94" s="1610"/>
      <c r="H94" s="1610"/>
      <c r="M94" s="1610"/>
      <c r="R94" s="1612"/>
      <c r="S94" s="1613"/>
      <c r="T94" s="1613"/>
      <c r="U94" s="1613"/>
      <c r="W94" s="1612"/>
      <c r="X94" s="1613"/>
      <c r="Y94" s="1613"/>
      <c r="Z94" s="1613"/>
      <c r="AB94" s="1612"/>
      <c r="AC94" s="1613"/>
      <c r="AD94" s="1613"/>
      <c r="AE94" s="1613"/>
      <c r="AG94" s="1612"/>
      <c r="AH94" s="1613"/>
      <c r="AI94" s="1613"/>
      <c r="AJ94" s="1613"/>
      <c r="AL94" s="1610"/>
      <c r="AQ94" s="1610"/>
      <c r="AV94" s="1610"/>
      <c r="BA94" s="1610"/>
      <c r="BF94" s="1610"/>
      <c r="BK94" s="1610"/>
      <c r="BP94" s="1610"/>
      <c r="BU94" s="1610"/>
      <c r="BZ94" s="1610"/>
      <c r="CE94" s="1610"/>
      <c r="CJ94" s="1610"/>
      <c r="CO94" s="1610"/>
      <c r="CT94" s="1610"/>
      <c r="CY94" s="1610"/>
      <c r="DD94" s="1610"/>
      <c r="DI94" s="1610"/>
      <c r="DN94" s="1610"/>
      <c r="DS94" s="1610"/>
      <c r="DX94" s="1610"/>
      <c r="EC94" s="1610"/>
      <c r="EH94" s="1610"/>
      <c r="EL94" s="1614"/>
      <c r="EM94" s="1610"/>
      <c r="EQ94" s="1614"/>
      <c r="ER94" s="1610"/>
      <c r="EV94" s="1616"/>
      <c r="EW94" s="1610"/>
      <c r="FA94" s="1616"/>
      <c r="FB94" s="1610"/>
      <c r="FG94" s="1610"/>
      <c r="FL94" s="1610"/>
      <c r="FQ94" s="1610"/>
      <c r="FV94" s="1610"/>
      <c r="GA94" s="1610"/>
      <c r="GF94" s="1610"/>
    </row>
    <row r="95" spans="1:192" s="1611" customFormat="1" ht="12.75" customHeight="1">
      <c r="A95" s="850"/>
      <c r="B95" s="754"/>
      <c r="C95" s="1610"/>
      <c r="H95" s="1610"/>
      <c r="M95" s="1610"/>
      <c r="R95" s="1612"/>
      <c r="S95" s="1613"/>
      <c r="T95" s="1613"/>
      <c r="U95" s="1613"/>
      <c r="W95" s="1612"/>
      <c r="X95" s="1613"/>
      <c r="Y95" s="1613"/>
      <c r="Z95" s="1613"/>
      <c r="AB95" s="1612"/>
      <c r="AC95" s="1613"/>
      <c r="AD95" s="1613"/>
      <c r="AE95" s="1613"/>
      <c r="AG95" s="1612"/>
      <c r="AH95" s="1613"/>
      <c r="AI95" s="1613"/>
      <c r="AJ95" s="1613"/>
      <c r="AL95" s="1610"/>
      <c r="AQ95" s="1610"/>
      <c r="AV95" s="1610"/>
      <c r="BA95" s="1610"/>
      <c r="BF95" s="1610"/>
      <c r="BK95" s="1610"/>
      <c r="BP95" s="1610"/>
      <c r="BU95" s="1610"/>
      <c r="BZ95" s="1610"/>
      <c r="CE95" s="1610"/>
      <c r="CJ95" s="1610"/>
      <c r="CO95" s="1610"/>
      <c r="CT95" s="1610"/>
      <c r="CY95" s="1610"/>
      <c r="DD95" s="1610"/>
      <c r="DI95" s="1610"/>
      <c r="DN95" s="1610"/>
      <c r="DS95" s="1610"/>
      <c r="DX95" s="1610"/>
      <c r="EC95" s="1610"/>
      <c r="EH95" s="1610"/>
      <c r="EL95" s="1614"/>
      <c r="EM95" s="1610"/>
      <c r="EQ95" s="1614"/>
      <c r="ER95" s="1610"/>
      <c r="EW95" s="1610"/>
      <c r="FB95" s="1610"/>
      <c r="FG95" s="1610"/>
      <c r="FL95" s="1610"/>
      <c r="FQ95" s="1610"/>
      <c r="FV95" s="1610"/>
      <c r="GA95" s="1610"/>
      <c r="GF95" s="1610"/>
    </row>
    <row r="96" spans="1:192" s="1611" customFormat="1" ht="12.75" customHeight="1">
      <c r="A96" s="850"/>
      <c r="B96" s="754"/>
      <c r="C96" s="1610"/>
      <c r="H96" s="1610"/>
      <c r="M96" s="1610"/>
      <c r="R96" s="1612"/>
      <c r="S96" s="1613"/>
      <c r="T96" s="1613"/>
      <c r="U96" s="1613"/>
      <c r="W96" s="1612"/>
      <c r="X96" s="1613"/>
      <c r="Y96" s="1613"/>
      <c r="Z96" s="1613"/>
      <c r="AB96" s="1612"/>
      <c r="AC96" s="1613"/>
      <c r="AD96" s="1613"/>
      <c r="AE96" s="1613"/>
      <c r="AG96" s="1612"/>
      <c r="AH96" s="1613"/>
      <c r="AI96" s="1613"/>
      <c r="AJ96" s="1613"/>
      <c r="AL96" s="1610"/>
      <c r="AQ96" s="1610"/>
      <c r="AV96" s="1610"/>
      <c r="BA96" s="1610"/>
      <c r="BF96" s="1610"/>
      <c r="BK96" s="1610"/>
      <c r="BP96" s="1610"/>
      <c r="BU96" s="1610"/>
      <c r="BZ96" s="1610"/>
      <c r="CE96" s="1610"/>
      <c r="CJ96" s="1610"/>
      <c r="CO96" s="1610"/>
      <c r="CT96" s="1610"/>
      <c r="CY96" s="1610"/>
      <c r="DD96" s="1610"/>
      <c r="DI96" s="1610"/>
      <c r="DN96" s="1610"/>
      <c r="DS96" s="1610"/>
      <c r="DX96" s="1610"/>
      <c r="EC96" s="1610"/>
      <c r="EH96" s="1610"/>
      <c r="EL96" s="1614"/>
      <c r="EM96" s="1610"/>
      <c r="EQ96" s="1614"/>
      <c r="ER96" s="1610"/>
      <c r="EW96" s="1610"/>
      <c r="FB96" s="1610"/>
      <c r="FG96" s="1610"/>
      <c r="FL96" s="1610"/>
      <c r="FQ96" s="1610"/>
      <c r="FV96" s="1610"/>
      <c r="GA96" s="1610"/>
      <c r="GF96" s="1610"/>
    </row>
    <row r="97" spans="1:188" s="1611" customFormat="1" ht="12.75" customHeight="1">
      <c r="A97" s="850"/>
      <c r="B97" s="754"/>
      <c r="C97" s="1610"/>
      <c r="H97" s="1610"/>
      <c r="M97" s="1610"/>
      <c r="R97" s="1612"/>
      <c r="S97" s="1613"/>
      <c r="T97" s="1613"/>
      <c r="U97" s="1613"/>
      <c r="W97" s="1612"/>
      <c r="X97" s="1613"/>
      <c r="Y97" s="1613"/>
      <c r="Z97" s="1613"/>
      <c r="AB97" s="1612"/>
      <c r="AC97" s="1613"/>
      <c r="AD97" s="1613"/>
      <c r="AE97" s="1613"/>
      <c r="AG97" s="1612"/>
      <c r="AH97" s="1613"/>
      <c r="AI97" s="1613"/>
      <c r="AJ97" s="1613"/>
      <c r="AL97" s="1610"/>
      <c r="AQ97" s="1610"/>
      <c r="AV97" s="1610"/>
      <c r="BA97" s="1610"/>
      <c r="BF97" s="1610"/>
      <c r="BK97" s="1610"/>
      <c r="BP97" s="1610"/>
      <c r="BU97" s="1610"/>
      <c r="BZ97" s="1610"/>
      <c r="CE97" s="1610"/>
      <c r="CJ97" s="1610"/>
      <c r="CO97" s="1610"/>
      <c r="CT97" s="1610"/>
      <c r="CY97" s="1610"/>
      <c r="DD97" s="1610"/>
      <c r="DI97" s="1610"/>
      <c r="DN97" s="1610"/>
      <c r="DS97" s="1610"/>
      <c r="DX97" s="1610"/>
      <c r="EC97" s="1610"/>
      <c r="EH97" s="1610"/>
      <c r="EL97" s="1614"/>
      <c r="EM97" s="1610"/>
      <c r="EQ97" s="1614"/>
      <c r="ER97" s="1610"/>
      <c r="EW97" s="1610"/>
      <c r="FB97" s="1610"/>
      <c r="FG97" s="1610"/>
      <c r="FL97" s="1610"/>
      <c r="FQ97" s="1610"/>
      <c r="FV97" s="1610"/>
      <c r="GA97" s="1610"/>
      <c r="GF97" s="1610"/>
    </row>
    <row r="98" spans="1:188" s="288" customFormat="1" ht="12.75" customHeight="1">
      <c r="A98" s="68"/>
      <c r="B98" s="473"/>
      <c r="C98" s="284"/>
      <c r="H98" s="284"/>
      <c r="M98" s="284"/>
      <c r="R98" s="474"/>
      <c r="S98" s="475"/>
      <c r="T98" s="475"/>
      <c r="U98" s="475"/>
      <c r="W98" s="474"/>
      <c r="X98" s="475"/>
      <c r="Y98" s="475"/>
      <c r="Z98" s="475"/>
      <c r="AB98" s="474"/>
      <c r="AC98" s="475"/>
      <c r="AD98" s="475"/>
      <c r="AE98" s="475"/>
      <c r="AG98" s="474"/>
      <c r="AH98" s="475"/>
      <c r="AI98" s="475"/>
      <c r="AJ98" s="475"/>
      <c r="AL98" s="284"/>
      <c r="AQ98" s="284"/>
      <c r="AV98" s="284"/>
      <c r="BA98" s="284"/>
      <c r="BF98" s="284"/>
      <c r="BK98" s="284"/>
      <c r="BP98" s="284"/>
      <c r="BU98" s="284"/>
      <c r="BZ98" s="284"/>
      <c r="CE98" s="284"/>
      <c r="CJ98" s="284"/>
      <c r="CO98" s="284"/>
      <c r="CT98" s="284"/>
      <c r="CY98" s="284"/>
      <c r="DD98" s="284"/>
      <c r="DI98" s="284"/>
      <c r="DN98" s="284"/>
      <c r="DS98" s="284"/>
      <c r="DX98" s="284"/>
      <c r="EC98" s="284"/>
      <c r="EH98" s="284"/>
      <c r="EL98" s="142"/>
      <c r="EM98" s="284"/>
      <c r="EQ98" s="142"/>
      <c r="ER98" s="1588"/>
      <c r="ES98" s="1588"/>
      <c r="ET98" s="1588"/>
      <c r="EU98" s="1588"/>
      <c r="EV98" s="1588"/>
      <c r="EW98" s="1588"/>
      <c r="EX98" s="1588"/>
      <c r="EY98" s="1588"/>
      <c r="EZ98" s="1588"/>
      <c r="FA98" s="1588"/>
      <c r="FB98" s="284"/>
      <c r="FG98" s="284"/>
      <c r="FL98" s="284"/>
      <c r="FQ98" s="284"/>
      <c r="FV98" s="284"/>
      <c r="GA98" s="284"/>
      <c r="GF98" s="284"/>
    </row>
    <row r="99" spans="1:188" s="288" customFormat="1" ht="12.75" customHeight="1">
      <c r="A99" s="68"/>
      <c r="B99" s="473"/>
      <c r="C99" s="284"/>
      <c r="H99" s="284"/>
      <c r="M99" s="284"/>
      <c r="R99" s="474"/>
      <c r="S99" s="475"/>
      <c r="T99" s="475"/>
      <c r="U99" s="475"/>
      <c r="W99" s="474"/>
      <c r="X99" s="475"/>
      <c r="Y99" s="475"/>
      <c r="Z99" s="475"/>
      <c r="AB99" s="474"/>
      <c r="AC99" s="475"/>
      <c r="AD99" s="475"/>
      <c r="AE99" s="475"/>
      <c r="AG99" s="474"/>
      <c r="AH99" s="475"/>
      <c r="AI99" s="475"/>
      <c r="AJ99" s="475"/>
      <c r="AL99" s="284"/>
      <c r="AQ99" s="284"/>
      <c r="AV99" s="284"/>
      <c r="BA99" s="284"/>
      <c r="BF99" s="284"/>
      <c r="BK99" s="284"/>
      <c r="BP99" s="284"/>
      <c r="BU99" s="284"/>
      <c r="BZ99" s="284"/>
      <c r="CE99" s="284"/>
      <c r="CJ99" s="284"/>
      <c r="CO99" s="284"/>
      <c r="CT99" s="284"/>
      <c r="CY99" s="284"/>
      <c r="DD99" s="284"/>
      <c r="DI99" s="284"/>
      <c r="DN99" s="284"/>
      <c r="DS99" s="284"/>
      <c r="DX99" s="284"/>
      <c r="EC99" s="284"/>
      <c r="EH99" s="284"/>
      <c r="EL99" s="142"/>
      <c r="EM99" s="284"/>
      <c r="EQ99" s="142"/>
      <c r="ER99" s="284"/>
      <c r="EW99" s="284"/>
      <c r="FB99" s="284"/>
      <c r="FG99" s="284"/>
      <c r="FL99" s="284"/>
      <c r="FQ99" s="284"/>
      <c r="FV99" s="284"/>
      <c r="GA99" s="284"/>
      <c r="GF99" s="284"/>
    </row>
    <row r="103" spans="1:188" ht="12.75" customHeight="1">
      <c r="ER103" s="1588"/>
      <c r="ES103" s="1588"/>
      <c r="ET103" s="1588"/>
      <c r="EU103" s="1588"/>
      <c r="EV103" s="1588"/>
      <c r="EW103" s="1588"/>
      <c r="EX103" s="1588"/>
      <c r="EY103" s="1588"/>
      <c r="EZ103" s="1588"/>
      <c r="FA103" s="1588"/>
    </row>
    <row r="104" spans="1:188" ht="12.75" customHeight="1">
      <c r="ER104" s="1588"/>
      <c r="ES104" s="1588"/>
      <c r="ET104" s="1588"/>
      <c r="EU104" s="1588"/>
      <c r="EV104" s="1588"/>
      <c r="EW104" s="1588"/>
      <c r="EX104" s="1588"/>
      <c r="EY104" s="1588"/>
      <c r="EZ104" s="1588"/>
      <c r="FA104" s="1588"/>
    </row>
    <row r="107" spans="1:188" ht="12.75" customHeight="1">
      <c r="ER107" s="1588"/>
      <c r="ES107" s="1588"/>
      <c r="ET107" s="1588"/>
      <c r="EU107" s="1588"/>
      <c r="EV107" s="1588"/>
      <c r="EW107" s="1588"/>
      <c r="EX107" s="1588"/>
      <c r="EY107" s="1588"/>
      <c r="EZ107" s="1588"/>
      <c r="FA107" s="1588"/>
    </row>
  </sheetData>
  <pageMargins left="0.7" right="0.7" top="0.75" bottom="0.75" header="0.3" footer="0.3"/>
  <customProperties>
    <customPr name="Qube.Worksheet.Visibility" r:id="rId1"/>
  </customPropertie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118462-D553-45A1-8F33-3660821E80FF}">
  <sheetPr>
    <tabColor rgb="FF002060"/>
  </sheetPr>
  <dimension ref="A1:GJ132"/>
  <sheetViews>
    <sheetView showGridLines="0" zoomScaleNormal="100" workbookViewId="0">
      <pane xSplit="2" ySplit="8" topLeftCell="EW9" activePane="bottomRight" state="frozen"/>
      <selection pane="topRight"/>
      <selection pane="bottomLeft"/>
      <selection pane="bottomRight"/>
    </sheetView>
  </sheetViews>
  <sheetFormatPr defaultColWidth="9.109375" defaultRowHeight="12.75" customHeight="1" outlineLevelRow="1" outlineLevelCol="2"/>
  <cols>
    <col min="1" max="1" width="3.5546875" style="68" customWidth="1"/>
    <col min="2" max="2" width="49.88671875" style="283" customWidth="1"/>
    <col min="3" max="3" width="11.109375" style="284" hidden="1" customWidth="1" outlineLevel="1"/>
    <col min="4" max="6" width="11.109375" style="288" hidden="1" customWidth="1" outlineLevel="1"/>
    <col min="7" max="7" width="11.44140625" style="288" hidden="1" customWidth="1" outlineLevel="1" collapsed="1"/>
    <col min="8" max="8" width="11.109375" style="284" hidden="1" customWidth="1" outlineLevel="2"/>
    <col min="9" max="11" width="11.109375" style="288" hidden="1" customWidth="1" outlineLevel="2"/>
    <col min="12" max="12" width="11.44140625" style="288" hidden="1" customWidth="1" outlineLevel="1"/>
    <col min="13" max="13" width="11.109375" style="284" hidden="1" customWidth="1" outlineLevel="2"/>
    <col min="14" max="16" width="11.109375" style="288" hidden="1" customWidth="1" outlineLevel="2"/>
    <col min="17" max="17" width="11.44140625" style="288" hidden="1" customWidth="1" outlineLevel="1"/>
    <col min="18" max="18" width="11.109375" style="474" hidden="1" customWidth="1" outlineLevel="2"/>
    <col min="19" max="21" width="11.109375" style="475" hidden="1" customWidth="1" outlineLevel="2"/>
    <col min="22" max="22" width="11.44140625" style="288" hidden="1" customWidth="1" outlineLevel="1"/>
    <col min="23" max="23" width="11.109375" style="474" hidden="1" customWidth="1" outlineLevel="2"/>
    <col min="24" max="26" width="11.109375" style="475" hidden="1" customWidth="1" outlineLevel="2"/>
    <col min="27" max="27" width="11.44140625" style="288" hidden="1" customWidth="1" outlineLevel="1"/>
    <col min="28" max="28" width="11.109375" style="474" hidden="1" customWidth="1" outlineLevel="2"/>
    <col min="29" max="31" width="11.109375" style="475" hidden="1" customWidth="1" outlineLevel="2"/>
    <col min="32" max="32" width="11.44140625" style="288" hidden="1" customWidth="1" outlineLevel="1"/>
    <col min="33" max="33" width="11.109375" style="474" hidden="1" customWidth="1" outlineLevel="2"/>
    <col min="34" max="36" width="11.109375" style="475" hidden="1" customWidth="1" outlineLevel="2"/>
    <col min="37" max="37" width="11.44140625" style="288" hidden="1" customWidth="1" outlineLevel="1"/>
    <col min="38" max="38" width="11.109375" style="284" hidden="1" customWidth="1" outlineLevel="2"/>
    <col min="39" max="41" width="11.109375" style="288" hidden="1" customWidth="1" outlineLevel="2"/>
    <col min="42" max="42" width="11.109375" style="288" hidden="1" customWidth="1" outlineLevel="1"/>
    <col min="43" max="43" width="11.109375" style="284" hidden="1" customWidth="1" outlineLevel="2"/>
    <col min="44" max="46" width="11.109375" style="288" hidden="1" customWidth="1" outlineLevel="2"/>
    <col min="47" max="47" width="11.109375" style="288" hidden="1" customWidth="1" outlineLevel="1"/>
    <col min="48" max="48" width="11.109375" style="284" hidden="1" customWidth="1" outlineLevel="2"/>
    <col min="49" max="51" width="11.109375" style="288" hidden="1" customWidth="1" outlineLevel="2"/>
    <col min="52" max="52" width="11.44140625" style="288" hidden="1" customWidth="1" outlineLevel="1"/>
    <col min="53" max="53" width="11.109375" style="284" hidden="1" customWidth="1" outlineLevel="2"/>
    <col min="54" max="56" width="11.109375" style="288" hidden="1" customWidth="1" outlineLevel="2"/>
    <col min="57" max="57" width="11.44140625" style="288" hidden="1" customWidth="1" outlineLevel="1"/>
    <col min="58" max="58" width="11.109375" style="284" hidden="1" customWidth="1" outlineLevel="2"/>
    <col min="59" max="61" width="11.109375" style="288" hidden="1" customWidth="1" outlineLevel="2"/>
    <col min="62" max="62" width="11.44140625" style="288" hidden="1" customWidth="1" outlineLevel="1"/>
    <col min="63" max="63" width="11.109375" style="284" hidden="1" customWidth="1" outlineLevel="2"/>
    <col min="64" max="66" width="11.109375" style="288" hidden="1" customWidth="1" outlineLevel="2"/>
    <col min="67" max="67" width="11.44140625" style="288" hidden="1" customWidth="1" outlineLevel="1"/>
    <col min="68" max="68" width="11.109375" style="284" hidden="1" customWidth="1" outlineLevel="2"/>
    <col min="69" max="71" width="11.109375" style="288" hidden="1" customWidth="1" outlineLevel="2"/>
    <col min="72" max="72" width="11.44140625" style="288" hidden="1" customWidth="1" outlineLevel="1"/>
    <col min="73" max="73" width="11.109375" style="284" hidden="1" customWidth="1" outlineLevel="2"/>
    <col min="74" max="76" width="11.109375" style="288" hidden="1" customWidth="1" outlineLevel="2"/>
    <col min="77" max="77" width="11.44140625" style="288" hidden="1" customWidth="1" outlineLevel="1"/>
    <col min="78" max="78" width="11.109375" style="284" hidden="1" customWidth="1" outlineLevel="2"/>
    <col min="79" max="81" width="11.109375" style="288" hidden="1" customWidth="1" outlineLevel="2"/>
    <col min="82" max="82" width="11.44140625" style="288" hidden="1" customWidth="1" outlineLevel="1"/>
    <col min="83" max="83" width="11.109375" style="284" hidden="1" customWidth="1" outlineLevel="2"/>
    <col min="84" max="86" width="11.109375" style="288" hidden="1" customWidth="1" outlineLevel="2"/>
    <col min="87" max="87" width="11.109375" style="288" hidden="1" customWidth="1" outlineLevel="1"/>
    <col min="88" max="88" width="11.109375" style="284" hidden="1" customWidth="1" outlineLevel="2"/>
    <col min="89" max="91" width="11.109375" style="288" hidden="1" customWidth="1" outlineLevel="2"/>
    <col min="92" max="92" width="11.109375" style="288" hidden="1" customWidth="1" outlineLevel="1"/>
    <col min="93" max="93" width="11.109375" style="284" hidden="1" customWidth="1" outlineLevel="2"/>
    <col min="94" max="96" width="11.109375" style="288" hidden="1" customWidth="1" outlineLevel="2"/>
    <col min="97" max="97" width="11.44140625" style="288" hidden="1" customWidth="1" outlineLevel="1"/>
    <col min="98" max="98" width="11.109375" style="284" hidden="1" customWidth="1" outlineLevel="1"/>
    <col min="99" max="101" width="11.109375" style="288" hidden="1" customWidth="1" outlineLevel="1"/>
    <col min="102" max="102" width="11.44140625" style="288" bestFit="1" customWidth="1" collapsed="1"/>
    <col min="103" max="103" width="11.109375" style="284" hidden="1" customWidth="1" outlineLevel="1"/>
    <col min="104" max="106" width="11.109375" style="288" hidden="1" customWidth="1" outlineLevel="1"/>
    <col min="107" max="107" width="11.44140625" style="288" bestFit="1" customWidth="1" collapsed="1"/>
    <col min="108" max="108" width="11.109375" style="284" hidden="1" customWidth="1" outlineLevel="1"/>
    <col min="109" max="111" width="11.109375" style="288" hidden="1" customWidth="1" outlineLevel="1"/>
    <col min="112" max="112" width="11.44140625" style="288" bestFit="1" customWidth="1" collapsed="1"/>
    <col min="113" max="113" width="11.109375" style="284" hidden="1" customWidth="1" outlineLevel="1"/>
    <col min="114" max="116" width="11.109375" style="288" hidden="1" customWidth="1" outlineLevel="1"/>
    <col min="117" max="117" width="11.44140625" style="288" bestFit="1" customWidth="1" collapsed="1"/>
    <col min="118" max="118" width="11.109375" style="284" hidden="1" customWidth="1" outlineLevel="1"/>
    <col min="119" max="121" width="11.109375" style="288" hidden="1" customWidth="1" outlineLevel="1"/>
    <col min="122" max="122" width="11.44140625" style="288" bestFit="1" customWidth="1" collapsed="1"/>
    <col min="123" max="123" width="11.109375" style="284" hidden="1" customWidth="1" outlineLevel="1"/>
    <col min="124" max="126" width="9.44140625" style="288" hidden="1" customWidth="1" outlineLevel="1"/>
    <col min="127" max="127" width="11.44140625" style="288" bestFit="1" customWidth="1" collapsed="1"/>
    <col min="128" max="128" width="11.109375" style="284" hidden="1" customWidth="1" outlineLevel="1"/>
    <col min="129" max="131" width="11.109375" style="288" hidden="1" customWidth="1" outlineLevel="1"/>
    <col min="132" max="132" width="11.109375" style="288" customWidth="1" collapsed="1"/>
    <col min="133" max="133" width="11.109375" style="284" hidden="1" customWidth="1" outlineLevel="1"/>
    <col min="134" max="136" width="11.109375" style="288" hidden="1" customWidth="1" outlineLevel="1"/>
    <col min="137" max="137" width="11.109375" style="288" customWidth="1" collapsed="1"/>
    <col min="138" max="138" width="12.5546875" style="284" hidden="1" customWidth="1" outlineLevel="1"/>
    <col min="139" max="141" width="11.44140625" style="288" hidden="1" customWidth="1" outlineLevel="1"/>
    <col min="142" max="142" width="12.5546875" style="142" bestFit="1" customWidth="1" collapsed="1"/>
    <col min="143" max="143" width="11.44140625" style="284" hidden="1" customWidth="1" outlineLevel="1"/>
    <col min="144" max="146" width="11.44140625" style="288" hidden="1" customWidth="1" outlineLevel="1"/>
    <col min="147" max="147" width="11.44140625" style="142" bestFit="1" customWidth="1" collapsed="1"/>
    <col min="148" max="148" width="11.109375" style="284" hidden="1" customWidth="1" outlineLevel="1"/>
    <col min="149" max="151" width="11.109375" style="288" hidden="1" customWidth="1" outlineLevel="1"/>
    <col min="152" max="152" width="11.44140625" style="288" bestFit="1" customWidth="1" collapsed="1"/>
    <col min="153" max="153" width="11.109375" style="284" customWidth="1" outlineLevel="1"/>
    <col min="154" max="156" width="11.109375" style="288" customWidth="1" outlineLevel="1"/>
    <col min="157" max="157" width="11.44140625" style="288" bestFit="1" customWidth="1"/>
    <col min="158" max="158" width="11.109375" style="284" customWidth="1" outlineLevel="1"/>
    <col min="159" max="161" width="11.109375" style="288" customWidth="1" outlineLevel="1"/>
    <col min="162" max="162" width="11.44140625" style="288" bestFit="1" customWidth="1"/>
    <col min="163" max="163" width="11.109375" style="284" customWidth="1" outlineLevel="1"/>
    <col min="164" max="166" width="11.109375" style="288" customWidth="1" outlineLevel="1"/>
    <col min="167" max="167" width="11.44140625" style="288" bestFit="1" customWidth="1"/>
    <col min="168" max="168" width="11.109375" style="284" hidden="1" customWidth="1" outlineLevel="1"/>
    <col min="169" max="171" width="9.44140625" style="288" hidden="1" customWidth="1" outlineLevel="1"/>
    <col min="172" max="172" width="11.44140625" style="288" bestFit="1" customWidth="1" collapsed="1"/>
    <col min="173" max="173" width="11.109375" style="284" hidden="1" customWidth="1" outlineLevel="1"/>
    <col min="174" max="176" width="9.44140625" style="288" hidden="1" customWidth="1" outlineLevel="1"/>
    <col min="177" max="177" width="11.44140625" style="288" bestFit="1" customWidth="1" collapsed="1"/>
    <col min="178" max="178" width="11.109375" style="284" hidden="1" customWidth="1" outlineLevel="1"/>
    <col min="179" max="181" width="9.44140625" style="288" hidden="1" customWidth="1" outlineLevel="1"/>
    <col min="182" max="182" width="11.44140625" style="288" bestFit="1" customWidth="1" collapsed="1"/>
    <col min="183" max="183" width="11.109375" style="284" hidden="1" customWidth="1" outlineLevel="1"/>
    <col min="184" max="186" width="9.44140625" style="288" hidden="1" customWidth="1" outlineLevel="1"/>
    <col min="187" max="187" width="11.44140625" style="288" bestFit="1" customWidth="1" collapsed="1"/>
    <col min="188" max="188" width="11.109375" style="284" hidden="1" customWidth="1" outlineLevel="1"/>
    <col min="189" max="191" width="9.44140625" style="288" hidden="1" customWidth="1" outlineLevel="1"/>
    <col min="192" max="192" width="11.44140625" style="288" bestFit="1" customWidth="1" collapsed="1"/>
    <col min="193" max="16384" width="9.109375" style="283"/>
  </cols>
  <sheetData>
    <row r="1" spans="1:192" ht="12.75" customHeight="1">
      <c r="D1" s="285"/>
      <c r="E1" s="285"/>
      <c r="F1" s="285"/>
      <c r="G1" s="285"/>
      <c r="I1" s="285"/>
      <c r="J1" s="285"/>
      <c r="K1" s="285"/>
      <c r="L1" s="285"/>
      <c r="N1" s="285"/>
      <c r="O1" s="285"/>
      <c r="P1" s="285"/>
      <c r="Q1" s="285"/>
      <c r="S1" s="375"/>
      <c r="T1" s="375"/>
      <c r="U1" s="375"/>
      <c r="V1" s="285"/>
      <c r="X1" s="375"/>
      <c r="Y1" s="375"/>
      <c r="Z1" s="375"/>
      <c r="AA1" s="285"/>
      <c r="AC1" s="375"/>
      <c r="AD1" s="375"/>
      <c r="AE1" s="375"/>
      <c r="AF1" s="285"/>
      <c r="AH1" s="375"/>
      <c r="AI1" s="375"/>
      <c r="AJ1" s="375"/>
      <c r="AK1" s="285"/>
      <c r="AM1" s="285"/>
      <c r="AN1" s="285"/>
      <c r="AO1" s="285"/>
      <c r="AP1" s="285"/>
      <c r="AR1" s="285"/>
      <c r="AS1" s="285"/>
      <c r="AT1" s="285"/>
      <c r="AU1" s="285"/>
      <c r="AW1" s="285"/>
      <c r="AX1" s="285"/>
      <c r="AY1" s="285"/>
      <c r="AZ1" s="285"/>
      <c r="BB1" s="285"/>
      <c r="BC1" s="285"/>
      <c r="BD1" s="285"/>
      <c r="BE1" s="285"/>
      <c r="BG1" s="285"/>
      <c r="BH1" s="285"/>
      <c r="BI1" s="285"/>
      <c r="BJ1" s="285"/>
      <c r="BL1" s="285"/>
      <c r="BM1" s="285"/>
      <c r="BN1" s="285"/>
      <c r="BO1" s="285"/>
      <c r="BQ1" s="285"/>
      <c r="BR1" s="285"/>
      <c r="BS1" s="285"/>
      <c r="BT1" s="285"/>
      <c r="BV1" s="285"/>
      <c r="BW1" s="285"/>
      <c r="BX1" s="285"/>
      <c r="BY1" s="285"/>
      <c r="CA1" s="285"/>
      <c r="CB1" s="285"/>
      <c r="CC1" s="285"/>
      <c r="CD1" s="285"/>
      <c r="CF1" s="285"/>
      <c r="CG1" s="285"/>
      <c r="CH1" s="285"/>
      <c r="CI1" s="285"/>
      <c r="CK1" s="285"/>
      <c r="CL1" s="285"/>
      <c r="CM1" s="285"/>
      <c r="CN1" s="285"/>
      <c r="CP1" s="285"/>
      <c r="CQ1" s="285"/>
      <c r="CR1" s="285"/>
      <c r="CS1" s="285"/>
      <c r="CU1" s="285"/>
      <c r="CV1" s="285"/>
      <c r="CW1" s="285"/>
      <c r="CX1" s="285"/>
      <c r="CZ1" s="285"/>
      <c r="DA1" s="285"/>
      <c r="DB1" s="285"/>
      <c r="DC1" s="285"/>
      <c r="DE1" s="285"/>
      <c r="DF1" s="285"/>
      <c r="DG1" s="285"/>
      <c r="DH1" s="285"/>
      <c r="DJ1" s="285"/>
      <c r="DK1" s="285"/>
      <c r="DL1" s="285"/>
      <c r="DM1" s="285"/>
      <c r="DO1" s="285"/>
      <c r="DP1" s="285"/>
      <c r="DQ1" s="285"/>
      <c r="DR1" s="285"/>
      <c r="DT1" s="285"/>
      <c r="DU1" s="285"/>
      <c r="DV1" s="285"/>
      <c r="DW1" s="285"/>
      <c r="DY1" s="285"/>
      <c r="DZ1" s="285"/>
      <c r="EA1" s="285"/>
      <c r="EB1" s="285"/>
      <c r="ED1" s="285"/>
      <c r="EE1" s="285"/>
      <c r="EF1" s="285"/>
      <c r="EG1" s="285"/>
      <c r="EI1" s="285"/>
      <c r="EJ1" s="285"/>
      <c r="EK1" s="285"/>
      <c r="EL1" s="285"/>
      <c r="EN1" s="285"/>
      <c r="EO1" s="285"/>
      <c r="EP1" s="285"/>
      <c r="EQ1" s="285"/>
      <c r="ES1" s="285"/>
      <c r="ET1" s="285"/>
      <c r="EU1" s="285"/>
      <c r="EV1" s="285"/>
      <c r="EX1" s="285"/>
      <c r="EY1" s="285"/>
      <c r="EZ1" s="285"/>
      <c r="FA1" s="285"/>
      <c r="FC1" s="285"/>
      <c r="FD1" s="285"/>
      <c r="FE1" s="285"/>
      <c r="FF1" s="285"/>
      <c r="FH1" s="285"/>
      <c r="FI1" s="285"/>
      <c r="FJ1" s="285"/>
      <c r="FK1" s="285"/>
      <c r="FM1" s="285"/>
      <c r="FN1" s="285"/>
      <c r="FO1" s="285"/>
      <c r="FP1" s="285"/>
      <c r="FR1" s="285"/>
      <c r="FS1" s="285"/>
      <c r="FT1" s="285"/>
      <c r="FU1" s="285"/>
      <c r="FW1" s="285"/>
      <c r="FX1" s="285"/>
      <c r="FY1" s="285"/>
      <c r="FZ1" s="285"/>
      <c r="GB1" s="285"/>
      <c r="GC1" s="285"/>
      <c r="GD1" s="285"/>
      <c r="GE1" s="285"/>
      <c r="GG1" s="285"/>
      <c r="GH1" s="285"/>
      <c r="GI1" s="285"/>
      <c r="GJ1" s="285"/>
    </row>
    <row r="2" spans="1:192" ht="12.75" customHeight="1">
      <c r="B2" s="40" t="s">
        <v>63</v>
      </c>
      <c r="D2" s="285"/>
      <c r="E2" s="285"/>
      <c r="F2" s="285"/>
      <c r="G2" s="285"/>
      <c r="I2" s="285"/>
      <c r="J2" s="285"/>
      <c r="K2" s="285"/>
      <c r="L2" s="285"/>
      <c r="N2" s="285"/>
      <c r="O2" s="285"/>
      <c r="P2" s="285"/>
      <c r="Q2" s="285"/>
      <c r="S2" s="375"/>
      <c r="T2" s="375"/>
      <c r="U2" s="375"/>
      <c r="V2" s="285"/>
      <c r="X2" s="375"/>
      <c r="Y2" s="375"/>
      <c r="Z2" s="375"/>
      <c r="AA2" s="285"/>
      <c r="AC2" s="375"/>
      <c r="AD2" s="375"/>
      <c r="AE2" s="375"/>
      <c r="AF2" s="285"/>
      <c r="AH2" s="375"/>
      <c r="AI2" s="375"/>
      <c r="AJ2" s="375"/>
      <c r="AK2" s="285"/>
      <c r="AM2" s="285"/>
      <c r="AN2" s="285"/>
      <c r="AO2" s="285"/>
      <c r="AP2" s="285"/>
      <c r="AR2" s="285"/>
      <c r="AS2" s="285"/>
      <c r="AT2" s="285"/>
      <c r="AU2" s="285"/>
      <c r="AW2" s="285"/>
      <c r="AX2" s="285"/>
      <c r="AY2" s="285"/>
      <c r="AZ2" s="285"/>
      <c r="BB2" s="285"/>
      <c r="BC2" s="285"/>
      <c r="BD2" s="285"/>
      <c r="BE2" s="285"/>
      <c r="BG2" s="285"/>
      <c r="BH2" s="285"/>
      <c r="BI2" s="285"/>
      <c r="BJ2" s="285"/>
      <c r="BL2" s="285"/>
      <c r="BM2" s="285"/>
      <c r="BN2" s="285"/>
      <c r="BO2" s="285"/>
      <c r="BQ2" s="285"/>
      <c r="BR2" s="285"/>
      <c r="BS2" s="285"/>
      <c r="BT2" s="285"/>
      <c r="BV2" s="285"/>
      <c r="BW2" s="285"/>
      <c r="BX2" s="285"/>
      <c r="BY2" s="285"/>
      <c r="CA2" s="285"/>
      <c r="CB2" s="285"/>
      <c r="CC2" s="285"/>
      <c r="CD2" s="285"/>
      <c r="CF2" s="285"/>
      <c r="CG2" s="285"/>
      <c r="CH2" s="285"/>
      <c r="CI2" s="285"/>
      <c r="CK2" s="285"/>
      <c r="CL2" s="285"/>
      <c r="CM2" s="285"/>
      <c r="CN2" s="285"/>
      <c r="CP2" s="285"/>
      <c r="CQ2" s="285"/>
      <c r="CR2" s="285"/>
      <c r="CS2" s="285"/>
      <c r="CU2" s="285"/>
      <c r="CV2" s="285"/>
      <c r="CW2" s="285"/>
      <c r="CX2" s="285"/>
      <c r="CZ2" s="285"/>
      <c r="DA2" s="285"/>
      <c r="DB2" s="285"/>
      <c r="DC2" s="285"/>
      <c r="DE2" s="285"/>
      <c r="DF2" s="285"/>
      <c r="DG2" s="285"/>
      <c r="DH2" s="285"/>
      <c r="DJ2" s="285"/>
      <c r="DK2" s="285"/>
      <c r="DL2" s="285"/>
      <c r="DM2" s="285"/>
      <c r="DO2" s="285"/>
      <c r="DP2" s="285"/>
      <c r="DQ2" s="285"/>
      <c r="DR2" s="285"/>
      <c r="DT2" s="285"/>
      <c r="DU2" s="285"/>
      <c r="DV2" s="285"/>
      <c r="DW2" s="285"/>
      <c r="DY2" s="285"/>
      <c r="DZ2" s="285"/>
      <c r="EA2" s="285"/>
      <c r="EB2" s="285"/>
      <c r="ED2" s="285"/>
      <c r="EE2" s="285"/>
      <c r="EF2" s="285"/>
      <c r="EG2" s="285"/>
      <c r="EI2" s="285"/>
      <c r="EJ2" s="285"/>
      <c r="EK2" s="285"/>
      <c r="EL2" s="285"/>
      <c r="EN2" s="285"/>
      <c r="EO2" s="285"/>
      <c r="EP2" s="285"/>
      <c r="EQ2" s="285"/>
      <c r="ES2" s="285"/>
      <c r="ET2" s="285"/>
      <c r="EU2" s="285"/>
      <c r="EV2" s="285"/>
      <c r="EX2" s="285"/>
      <c r="EY2" s="285"/>
      <c r="EZ2" s="285"/>
      <c r="FA2" s="285"/>
      <c r="FC2" s="285"/>
      <c r="FD2" s="285"/>
      <c r="FE2" s="285"/>
      <c r="FF2" s="285"/>
      <c r="FH2" s="285"/>
      <c r="FI2" s="285"/>
      <c r="FJ2" s="285"/>
      <c r="FK2" s="285"/>
      <c r="FM2" s="285"/>
      <c r="FN2" s="285"/>
      <c r="FO2" s="285"/>
      <c r="FP2" s="285"/>
      <c r="FR2" s="285"/>
      <c r="FS2" s="285"/>
      <c r="FT2" s="285"/>
      <c r="FU2" s="285"/>
      <c r="FW2" s="285"/>
      <c r="FX2" s="285"/>
      <c r="FY2" s="285"/>
      <c r="FZ2" s="285"/>
      <c r="GB2" s="285"/>
      <c r="GC2" s="285"/>
      <c r="GD2" s="285"/>
      <c r="GE2" s="285"/>
      <c r="GG2" s="285"/>
      <c r="GH2" s="285"/>
      <c r="GI2" s="285"/>
      <c r="GJ2" s="285"/>
    </row>
    <row r="3" spans="1:192" ht="12.75" customHeight="1">
      <c r="B3" s="40" t="s">
        <v>64</v>
      </c>
      <c r="D3" s="285"/>
      <c r="E3" s="285"/>
      <c r="F3" s="285"/>
      <c r="G3" s="285"/>
      <c r="I3" s="285"/>
      <c r="J3" s="285"/>
      <c r="K3" s="285"/>
      <c r="L3" s="285"/>
      <c r="N3" s="285"/>
      <c r="O3" s="285"/>
      <c r="P3" s="285"/>
      <c r="Q3" s="285"/>
      <c r="S3" s="375"/>
      <c r="T3" s="375"/>
      <c r="U3" s="375"/>
      <c r="V3" s="285"/>
      <c r="X3" s="375"/>
      <c r="Y3" s="375"/>
      <c r="Z3" s="375"/>
      <c r="AA3" s="285"/>
      <c r="AC3" s="375"/>
      <c r="AD3" s="375"/>
      <c r="AE3" s="375"/>
      <c r="AF3" s="285"/>
      <c r="AH3" s="375"/>
      <c r="AI3" s="375"/>
      <c r="AJ3" s="375"/>
      <c r="AK3" s="285"/>
      <c r="AM3" s="285"/>
      <c r="AN3" s="285"/>
      <c r="AO3" s="285"/>
      <c r="AP3" s="285"/>
      <c r="AR3" s="285"/>
      <c r="AS3" s="285"/>
      <c r="AT3" s="285"/>
      <c r="AU3" s="285"/>
      <c r="AW3" s="285"/>
      <c r="AX3" s="285"/>
      <c r="AY3" s="285"/>
      <c r="AZ3" s="285"/>
      <c r="BB3" s="285"/>
      <c r="BC3" s="285"/>
      <c r="BD3" s="285"/>
      <c r="BE3" s="285"/>
      <c r="BG3" s="285"/>
      <c r="BH3" s="285"/>
      <c r="BI3" s="285"/>
      <c r="BJ3" s="285"/>
      <c r="BL3" s="285"/>
      <c r="BM3" s="285"/>
      <c r="BN3" s="285"/>
      <c r="BO3" s="285"/>
      <c r="BQ3" s="285"/>
      <c r="BR3" s="285"/>
      <c r="BS3" s="285"/>
      <c r="BT3" s="285"/>
      <c r="BV3" s="285"/>
      <c r="BW3" s="285"/>
      <c r="BX3" s="285"/>
      <c r="BY3" s="285"/>
      <c r="CA3" s="285"/>
      <c r="CB3" s="285"/>
      <c r="CC3" s="285"/>
      <c r="CD3" s="285"/>
      <c r="CF3" s="285"/>
      <c r="CG3" s="285"/>
      <c r="CH3" s="285"/>
      <c r="CI3" s="285"/>
      <c r="CK3" s="285"/>
      <c r="CL3" s="285"/>
      <c r="CM3" s="285"/>
      <c r="CN3" s="285"/>
      <c r="CP3" s="285"/>
      <c r="CQ3" s="285"/>
      <c r="CR3" s="285"/>
      <c r="CS3" s="285"/>
      <c r="CU3" s="285"/>
      <c r="CV3" s="285"/>
      <c r="CW3" s="285"/>
      <c r="CX3" s="285"/>
      <c r="CZ3" s="285"/>
      <c r="DA3" s="285"/>
      <c r="DB3" s="285"/>
      <c r="DC3" s="285"/>
      <c r="DE3" s="285"/>
      <c r="DF3" s="285"/>
      <c r="DG3" s="285"/>
      <c r="DH3" s="285"/>
      <c r="DJ3" s="285"/>
      <c r="DK3" s="285"/>
      <c r="DL3" s="285"/>
      <c r="DM3" s="285"/>
      <c r="DO3" s="285"/>
      <c r="DP3" s="285"/>
      <c r="DQ3" s="285"/>
      <c r="DR3" s="285"/>
      <c r="DT3" s="285"/>
      <c r="DU3" s="285"/>
      <c r="DV3" s="285"/>
      <c r="DW3" s="285"/>
      <c r="DY3" s="285"/>
      <c r="DZ3" s="285"/>
      <c r="EA3" s="285"/>
      <c r="EB3" s="285"/>
      <c r="ED3" s="285"/>
      <c r="EE3" s="285"/>
      <c r="EF3" s="285"/>
      <c r="EG3" s="285"/>
      <c r="EI3" s="285"/>
      <c r="EJ3" s="285"/>
      <c r="EK3" s="285"/>
      <c r="EL3" s="285"/>
      <c r="EN3" s="285"/>
      <c r="EO3" s="285"/>
      <c r="EP3" s="285"/>
      <c r="EQ3" s="285"/>
      <c r="ES3" s="285"/>
      <c r="ET3" s="285"/>
      <c r="EU3" s="285"/>
      <c r="EV3" s="285"/>
      <c r="EX3" s="285"/>
      <c r="EY3" s="285"/>
      <c r="EZ3" s="285"/>
      <c r="FA3" s="285"/>
      <c r="FC3" s="285"/>
      <c r="FD3" s="285"/>
      <c r="FE3" s="285"/>
      <c r="FF3" s="285"/>
      <c r="FH3" s="285"/>
      <c r="FI3" s="285"/>
      <c r="FJ3" s="285"/>
      <c r="FK3" s="285"/>
      <c r="FM3" s="285"/>
      <c r="FN3" s="285"/>
      <c r="FO3" s="285"/>
      <c r="FP3" s="285"/>
      <c r="FR3" s="285"/>
      <c r="FS3" s="285"/>
      <c r="FT3" s="285"/>
      <c r="FU3" s="285"/>
      <c r="FW3" s="285"/>
      <c r="FX3" s="285"/>
      <c r="FY3" s="285"/>
      <c r="FZ3" s="285"/>
      <c r="GB3" s="285"/>
      <c r="GC3" s="285"/>
      <c r="GD3" s="285"/>
      <c r="GE3" s="285"/>
      <c r="GG3" s="285"/>
      <c r="GH3" s="285"/>
      <c r="GI3" s="285"/>
      <c r="GJ3" s="285"/>
    </row>
    <row r="4" spans="1:192" ht="12.75" customHeight="1">
      <c r="B4" s="40" t="s">
        <v>27</v>
      </c>
      <c r="D4" s="285"/>
      <c r="E4" s="285"/>
      <c r="F4" s="285"/>
      <c r="G4" s="285"/>
      <c r="I4" s="285"/>
      <c r="J4" s="285"/>
      <c r="K4" s="285"/>
      <c r="L4" s="285"/>
      <c r="N4" s="285"/>
      <c r="O4" s="285"/>
      <c r="P4" s="285"/>
      <c r="Q4" s="285"/>
      <c r="S4" s="375"/>
      <c r="T4" s="375"/>
      <c r="U4" s="375"/>
      <c r="V4" s="285"/>
      <c r="X4" s="375"/>
      <c r="Y4" s="375"/>
      <c r="Z4" s="375"/>
      <c r="AA4" s="285"/>
      <c r="AC4" s="375"/>
      <c r="AD4" s="375"/>
      <c r="AE4" s="375"/>
      <c r="AF4" s="285"/>
      <c r="AG4" s="983"/>
      <c r="AH4" s="983"/>
      <c r="AI4" s="983"/>
      <c r="AJ4" s="983"/>
      <c r="AK4" s="983"/>
      <c r="AQ4" s="984"/>
      <c r="AR4" s="985"/>
      <c r="AS4" s="983"/>
      <c r="AT4" s="985"/>
      <c r="AU4" s="985"/>
      <c r="AW4" s="285"/>
      <c r="AX4" s="285"/>
      <c r="AY4" s="285"/>
      <c r="AZ4" s="285"/>
      <c r="BB4" s="285"/>
      <c r="BC4" s="285"/>
      <c r="BD4" s="285"/>
      <c r="BE4" s="285"/>
      <c r="BG4" s="285"/>
      <c r="BH4" s="285"/>
      <c r="BI4" s="285"/>
      <c r="BJ4" s="285"/>
      <c r="BL4" s="285"/>
      <c r="BM4" s="285"/>
      <c r="BN4" s="285"/>
      <c r="BO4" s="285"/>
      <c r="BQ4" s="285"/>
      <c r="BR4" s="285"/>
      <c r="BS4" s="285"/>
      <c r="BT4" s="285"/>
      <c r="BV4" s="285"/>
      <c r="BW4" s="285"/>
      <c r="BX4" s="285"/>
      <c r="BY4" s="285"/>
      <c r="CA4" s="285"/>
      <c r="CB4" s="285"/>
      <c r="CC4" s="285"/>
      <c r="CD4" s="285"/>
      <c r="CF4" s="285"/>
      <c r="CG4" s="285"/>
      <c r="CH4" s="285"/>
      <c r="CI4" s="285"/>
      <c r="CK4" s="285"/>
      <c r="CL4" s="285"/>
      <c r="CM4" s="285"/>
      <c r="CN4" s="285"/>
      <c r="CP4" s="285"/>
      <c r="CQ4" s="285"/>
      <c r="CR4" s="285"/>
      <c r="CS4" s="285"/>
      <c r="CU4" s="285"/>
      <c r="CV4" s="285"/>
      <c r="CW4" s="285"/>
      <c r="CX4" s="285"/>
      <c r="CZ4" s="285"/>
      <c r="DA4" s="285"/>
      <c r="DB4" s="285"/>
      <c r="DC4" s="285"/>
      <c r="DE4" s="285"/>
      <c r="DF4" s="285"/>
      <c r="DG4" s="285"/>
      <c r="DH4" s="285"/>
      <c r="DI4" s="984"/>
      <c r="DJ4" s="985"/>
      <c r="DK4" s="983"/>
      <c r="DL4" s="985"/>
      <c r="DM4" s="985"/>
      <c r="DO4" s="285"/>
      <c r="DP4" s="285"/>
      <c r="DQ4" s="285"/>
      <c r="DR4" s="285"/>
      <c r="DT4" s="285"/>
      <c r="DU4" s="285"/>
      <c r="DV4" s="285"/>
      <c r="DW4" s="285"/>
      <c r="DY4" s="285"/>
      <c r="DZ4" s="285"/>
      <c r="EA4" s="285"/>
      <c r="EB4" s="285"/>
      <c r="ED4" s="285"/>
      <c r="EE4" s="285"/>
      <c r="EF4" s="285"/>
      <c r="EG4" s="285"/>
      <c r="EI4" s="285"/>
      <c r="EJ4" s="285"/>
      <c r="EK4" s="285"/>
      <c r="EL4" s="285"/>
      <c r="EN4" s="285"/>
      <c r="EO4" s="285"/>
      <c r="EP4" s="285"/>
      <c r="EQ4" s="285"/>
      <c r="ER4" s="1562" t="s">
        <v>2015</v>
      </c>
      <c r="ES4" s="1563"/>
      <c r="ET4" s="1563"/>
      <c r="EU4" s="1563"/>
      <c r="EV4" s="285"/>
      <c r="FA4" s="285"/>
      <c r="FC4" s="285"/>
      <c r="FD4" s="285"/>
      <c r="FE4" s="285"/>
      <c r="FF4" s="285"/>
      <c r="FH4" s="285"/>
      <c r="FI4" s="285"/>
      <c r="FJ4" s="285"/>
      <c r="FK4" s="285"/>
      <c r="FM4" s="285"/>
      <c r="FN4" s="285"/>
      <c r="FO4" s="285"/>
      <c r="FP4" s="285"/>
      <c r="FR4" s="285"/>
      <c r="FS4" s="285"/>
      <c r="FT4" s="285"/>
      <c r="FU4" s="285"/>
      <c r="FW4" s="285"/>
      <c r="FX4" s="285"/>
      <c r="FY4" s="285"/>
      <c r="FZ4" s="285"/>
      <c r="GB4" s="285"/>
      <c r="GC4" s="285"/>
      <c r="GD4" s="285"/>
      <c r="GE4" s="285"/>
      <c r="GG4" s="285"/>
      <c r="GH4" s="285"/>
      <c r="GI4" s="285"/>
      <c r="GJ4" s="285"/>
    </row>
    <row r="5" spans="1:192" ht="12.75" customHeight="1">
      <c r="C5" s="286"/>
      <c r="D5" s="287"/>
      <c r="E5" s="287"/>
      <c r="G5" s="287"/>
      <c r="H5" s="286"/>
      <c r="I5" s="287"/>
      <c r="J5" s="287"/>
      <c r="L5" s="285"/>
      <c r="M5" s="286"/>
      <c r="N5" s="287"/>
      <c r="O5" s="287"/>
      <c r="Q5" s="285"/>
      <c r="R5" s="350"/>
      <c r="S5" s="351"/>
      <c r="T5" s="351"/>
      <c r="V5" s="285"/>
      <c r="W5" s="350"/>
      <c r="X5" s="351"/>
      <c r="Y5" s="351"/>
      <c r="AA5" s="285"/>
      <c r="AB5" s="350"/>
      <c r="AC5" s="351"/>
      <c r="AD5" s="351"/>
      <c r="AF5" s="285"/>
      <c r="AL5" s="286"/>
      <c r="AM5" s="287"/>
      <c r="AN5" s="287"/>
      <c r="AP5" s="285"/>
      <c r="AV5" s="286"/>
      <c r="AW5" s="287"/>
      <c r="AX5" s="287"/>
      <c r="AZ5" s="287"/>
      <c r="BA5" s="286"/>
      <c r="BB5" s="287"/>
      <c r="BC5" s="287"/>
      <c r="BE5" s="285"/>
      <c r="BF5" s="286"/>
      <c r="BG5" s="287"/>
      <c r="BH5" s="287"/>
      <c r="BJ5" s="285"/>
      <c r="BK5" s="286"/>
      <c r="BL5" s="287"/>
      <c r="BM5" s="287"/>
      <c r="BO5" s="285"/>
      <c r="BP5" s="286"/>
      <c r="BQ5" s="287"/>
      <c r="BR5" s="287"/>
      <c r="BT5" s="285"/>
      <c r="BU5" s="286"/>
      <c r="BV5" s="287"/>
      <c r="BW5" s="287"/>
      <c r="BY5" s="285"/>
      <c r="BZ5" s="286"/>
      <c r="CA5" s="287"/>
      <c r="CB5" s="287"/>
      <c r="CD5" s="285"/>
      <c r="CE5" s="286"/>
      <c r="CF5" s="287"/>
      <c r="CG5" s="287"/>
      <c r="CI5" s="285"/>
      <c r="CJ5" s="286"/>
      <c r="CK5" s="287"/>
      <c r="CL5" s="287"/>
      <c r="CN5" s="285"/>
      <c r="CO5" s="286"/>
      <c r="CP5" s="287"/>
      <c r="CQ5" s="287"/>
      <c r="CS5" s="287"/>
      <c r="CT5" s="350"/>
      <c r="CU5" s="351"/>
      <c r="CV5" s="351"/>
      <c r="CW5" s="351"/>
      <c r="CX5" s="285"/>
      <c r="CY5" s="286"/>
      <c r="CZ5" s="287"/>
      <c r="DA5" s="287"/>
      <c r="DC5" s="285"/>
      <c r="DD5" s="286"/>
      <c r="DE5" s="287"/>
      <c r="DF5" s="287"/>
      <c r="DH5" s="285"/>
      <c r="DO5" s="285"/>
      <c r="DP5" s="285"/>
      <c r="DQ5" s="285"/>
      <c r="DR5" s="285"/>
      <c r="DT5" s="285"/>
      <c r="DU5" s="285"/>
      <c r="DV5" s="285"/>
      <c r="DW5" s="285"/>
      <c r="DY5" s="285"/>
      <c r="DZ5" s="285"/>
      <c r="EA5" s="285"/>
      <c r="EB5" s="285"/>
      <c r="ED5" s="285"/>
      <c r="EE5" s="285"/>
      <c r="EF5" s="285"/>
      <c r="EG5" s="285"/>
      <c r="EH5" s="286"/>
      <c r="EI5" s="287"/>
      <c r="EJ5" s="287"/>
      <c r="EL5" s="285"/>
      <c r="EM5" s="286"/>
      <c r="EN5" s="287"/>
      <c r="EO5" s="287"/>
      <c r="EQ5" s="285"/>
      <c r="ER5" s="286"/>
      <c r="ES5" s="287"/>
      <c r="ET5" s="287"/>
      <c r="EV5" s="285"/>
      <c r="EW5" s="286"/>
      <c r="EX5" s="287"/>
      <c r="EY5" s="287"/>
      <c r="EZ5" s="285"/>
      <c r="FA5" s="285"/>
      <c r="FC5" s="285"/>
      <c r="FD5" s="285"/>
      <c r="FE5" s="285"/>
      <c r="FF5" s="285"/>
      <c r="FH5" s="285"/>
      <c r="FI5" s="285"/>
      <c r="FJ5" s="285"/>
      <c r="FK5" s="285"/>
      <c r="FM5" s="285"/>
      <c r="FN5" s="285"/>
      <c r="FO5" s="285"/>
      <c r="FP5" s="285"/>
      <c r="FR5" s="285"/>
      <c r="FS5" s="285"/>
      <c r="FT5" s="285"/>
      <c r="FU5" s="285"/>
      <c r="FW5" s="285"/>
      <c r="FX5" s="285"/>
      <c r="FY5" s="285"/>
      <c r="FZ5" s="285"/>
      <c r="GB5" s="285"/>
      <c r="GC5" s="285"/>
      <c r="GD5" s="285"/>
      <c r="GE5" s="285"/>
      <c r="GG5" s="285"/>
      <c r="GH5" s="285"/>
      <c r="GI5" s="285"/>
      <c r="GJ5" s="285"/>
    </row>
    <row r="6" spans="1:192" ht="12.75" customHeight="1">
      <c r="C6" s="47" t="str">
        <f>Dates!C3</f>
      </c>
      <c r="D6" s="47"/>
      <c r="E6" s="47"/>
      <c r="F6" s="47"/>
      <c r="G6" s="93"/>
      <c r="H6" s="47" t="str">
        <f>Dates!H3</f>
      </c>
      <c r="I6" s="47"/>
      <c r="J6" s="47"/>
      <c r="K6" s="47"/>
      <c r="L6" s="93"/>
      <c r="M6" s="47" t="str">
        <f>Dates!M3</f>
      </c>
      <c r="N6" s="47"/>
      <c r="O6" s="47"/>
      <c r="P6" s="47"/>
      <c r="Q6" s="93"/>
      <c r="R6" s="977" t="str">
        <f>Dates!R3</f>
      </c>
      <c r="S6" s="977"/>
      <c r="T6" s="977"/>
      <c r="U6" s="977"/>
      <c r="V6" s="93"/>
      <c r="W6" s="977" t="str">
        <f>Dates!W3</f>
      </c>
      <c r="X6" s="977"/>
      <c r="Y6" s="977"/>
      <c r="Z6" s="977"/>
      <c r="AA6" s="93"/>
      <c r="AB6" s="977" t="str">
        <f>Dates!AB3</f>
      </c>
      <c r="AC6" s="977"/>
      <c r="AD6" s="977"/>
      <c r="AE6" s="977"/>
      <c r="AF6" s="93"/>
      <c r="AG6" s="977" t="str">
        <f>Dates!AG3</f>
      </c>
      <c r="AH6" s="977"/>
      <c r="AI6" s="977"/>
      <c r="AJ6" s="977"/>
      <c r="AK6" s="93"/>
      <c r="AL6" s="47" t="str">
        <f>Dates!AL3</f>
      </c>
      <c r="AM6" s="47"/>
      <c r="AN6" s="47"/>
      <c r="AO6" s="47"/>
      <c r="AP6" s="93"/>
      <c r="AQ6" s="47" t="str">
        <f>Dates!AQ3</f>
      </c>
      <c r="AR6" s="47"/>
      <c r="AS6" s="47"/>
      <c r="AT6" s="47"/>
      <c r="AU6" s="93"/>
      <c r="AV6" s="47" t="str">
        <f>Dates!AV3</f>
      </c>
      <c r="AW6" s="47"/>
      <c r="AX6" s="47"/>
      <c r="AY6" s="47"/>
      <c r="AZ6" s="93"/>
      <c r="BA6" s="47" t="str">
        <f>Dates!BA3</f>
      </c>
      <c r="BB6" s="47"/>
      <c r="BC6" s="47"/>
      <c r="BD6" s="47"/>
      <c r="BE6" s="93"/>
      <c r="BF6" s="47" t="str">
        <f>Dates!BF3</f>
      </c>
      <c r="BG6" s="47"/>
      <c r="BH6" s="47"/>
      <c r="BI6" s="47"/>
      <c r="BJ6" s="93"/>
      <c r="BK6" s="47" t="str">
        <f>Dates!BK3</f>
      </c>
      <c r="BL6" s="47"/>
      <c r="BM6" s="47"/>
      <c r="BN6" s="47"/>
      <c r="BO6" s="93"/>
      <c r="BP6" s="47" t="str">
        <f>Dates!BP3</f>
      </c>
      <c r="BQ6" s="47"/>
      <c r="BR6" s="47"/>
      <c r="BS6" s="47"/>
      <c r="BT6" s="93"/>
      <c r="BU6" s="47" t="str">
        <f>Dates!BU3</f>
      </c>
      <c r="BV6" s="47"/>
      <c r="BW6" s="47"/>
      <c r="BX6" s="47"/>
      <c r="BY6" s="93"/>
      <c r="BZ6" s="47" t="str">
        <f>Dates!BZ3</f>
      </c>
      <c r="CA6" s="47"/>
      <c r="CB6" s="47"/>
      <c r="CC6" s="47"/>
      <c r="CD6" s="93"/>
      <c r="CE6" s="47" t="str">
        <f>Dates!CE3</f>
      </c>
      <c r="CF6" s="47"/>
      <c r="CG6" s="47"/>
      <c r="CH6" s="47"/>
      <c r="CI6" s="93"/>
      <c r="CJ6" s="47" t="str">
        <f>Dates!CJ3</f>
      </c>
      <c r="CK6" s="47"/>
      <c r="CL6" s="47"/>
      <c r="CM6" s="47"/>
      <c r="CN6" s="93"/>
      <c r="CO6" s="47" t="str">
        <f>Dates!CO3</f>
      </c>
      <c r="CP6" s="47"/>
      <c r="CQ6" s="47"/>
      <c r="CR6" s="47"/>
      <c r="CS6" s="93"/>
      <c r="CT6" s="47" t="str">
        <f>Dates!CT3</f>
      </c>
      <c r="CU6" s="47"/>
      <c r="CV6" s="47"/>
      <c r="CW6" s="47"/>
      <c r="CX6" s="93"/>
      <c r="CY6" s="47" t="str">
        <f>Dates!CY3</f>
      </c>
      <c r="CZ6" s="47"/>
      <c r="DA6" s="47"/>
      <c r="DB6" s="47"/>
      <c r="DC6" s="93"/>
      <c r="DD6" s="47" t="str">
        <f>Dates!DD3</f>
      </c>
      <c r="DE6" s="47"/>
      <c r="DF6" s="47"/>
      <c r="DG6" s="47"/>
      <c r="DH6" s="93"/>
      <c r="DI6" s="47" t="str">
        <f>Dates!DI3</f>
      </c>
      <c r="DJ6" s="47"/>
      <c r="DK6" s="47"/>
      <c r="DL6" s="47"/>
      <c r="DM6" s="93"/>
      <c r="DN6" s="47" t="str">
        <f>Dates!DN3</f>
      </c>
      <c r="DO6" s="47"/>
      <c r="DP6" s="47"/>
      <c r="DQ6" s="47"/>
      <c r="DR6" s="93"/>
      <c r="DS6" s="47" t="str">
        <f>Dates!DS3</f>
      </c>
      <c r="DT6" s="47"/>
      <c r="DU6" s="47"/>
      <c r="DV6" s="47"/>
      <c r="DW6" s="93"/>
      <c r="DX6" s="47" t="str">
        <f>Dates!DX3</f>
      </c>
      <c r="DY6" s="47"/>
      <c r="DZ6" s="47"/>
      <c r="EA6" s="47"/>
      <c r="EB6" s="93"/>
      <c r="EC6" s="47" t="str">
        <f>Dates!EC3</f>
      </c>
      <c r="ED6" s="47"/>
      <c r="EE6" s="47"/>
      <c r="EF6" s="47"/>
      <c r="EG6" s="93"/>
      <c r="EH6" s="47" t="str">
        <f>Dates!EH3</f>
      </c>
      <c r="EI6" s="47"/>
      <c r="EJ6" s="47"/>
      <c r="EK6" s="47"/>
      <c r="EL6" s="93"/>
      <c r="EM6" s="47" t="str">
        <f>Dates!EM3</f>
      </c>
      <c r="EN6" s="47"/>
      <c r="EO6" s="47"/>
      <c r="EP6" s="47"/>
      <c r="EQ6" s="93"/>
      <c r="ER6" s="47" t="str">
        <f>Dates!ER3</f>
      </c>
      <c r="ES6" s="47"/>
      <c r="ET6" s="47"/>
      <c r="EU6" s="47"/>
      <c r="EV6" s="93"/>
      <c r="EW6" s="47" t="str">
        <f>Dates!EW3</f>
      </c>
      <c r="EX6" s="47"/>
      <c r="EY6" s="47"/>
      <c r="EZ6" s="47"/>
      <c r="FA6" s="93"/>
      <c r="FB6" s="47" t="str">
        <f>Dates!FB3</f>
      </c>
      <c r="FC6" s="47"/>
      <c r="FD6" s="47"/>
      <c r="FE6" s="47"/>
      <c r="FF6" s="93"/>
      <c r="FG6" s="47" t="str">
        <f>Dates!FG3</f>
      </c>
      <c r="FH6" s="47"/>
      <c r="FI6" s="47"/>
      <c r="FJ6" s="47"/>
      <c r="FK6" s="93"/>
      <c r="FL6" s="47" t="str">
        <f>Dates!FL3</f>
      </c>
      <c r="FM6" s="47"/>
      <c r="FN6" s="47"/>
      <c r="FO6" s="47"/>
      <c r="FP6" s="93"/>
      <c r="FQ6" s="47" t="str">
        <f>Dates!FQ3</f>
      </c>
      <c r="FR6" s="47"/>
      <c r="FS6" s="47"/>
      <c r="FT6" s="47"/>
      <c r="FU6" s="93"/>
      <c r="FV6" s="47" t="str">
        <f>Dates!FV3</f>
      </c>
      <c r="FW6" s="47"/>
      <c r="FX6" s="47"/>
      <c r="FY6" s="47"/>
      <c r="FZ6" s="93"/>
      <c r="GA6" s="47" t="str">
        <f>Dates!GA3</f>
      </c>
      <c r="GB6" s="47"/>
      <c r="GC6" s="47"/>
      <c r="GD6" s="47"/>
      <c r="GE6" s="93"/>
      <c r="GF6" s="47" t="str">
        <f>Dates!GF3</f>
      </c>
      <c r="GG6" s="47"/>
      <c r="GH6" s="47"/>
      <c r="GI6" s="47"/>
      <c r="GJ6" s="93"/>
    </row>
    <row r="7" spans="1:192" ht="12.75" customHeight="1">
      <c r="C7" s="96" t="str">
        <f>Dates!C4</f>
      </c>
      <c r="D7" s="96" t="str">
        <f>Dates!D4</f>
      </c>
      <c r="E7" s="96" t="str">
        <f>Dates!E4</f>
      </c>
      <c r="F7" s="96" t="str">
        <f>Dates!F4</f>
      </c>
      <c r="G7" s="97" t="str">
        <f>Dates!G4</f>
      </c>
      <c r="H7" s="96" t="str">
        <f>Dates!H4</f>
      </c>
      <c r="I7" s="96" t="str">
        <f>Dates!I4</f>
      </c>
      <c r="J7" s="96" t="str">
        <f>Dates!J4</f>
      </c>
      <c r="K7" s="96" t="str">
        <f>Dates!K4</f>
      </c>
      <c r="L7" s="97" t="str">
        <f>Dates!L4</f>
      </c>
      <c r="M7" s="96" t="str">
        <f>Dates!M4</f>
      </c>
      <c r="N7" s="96" t="str">
        <f>Dates!N4</f>
      </c>
      <c r="O7" s="96" t="str">
        <f>Dates!O4</f>
      </c>
      <c r="P7" s="96" t="str">
        <f>Dates!P4</f>
      </c>
      <c r="Q7" s="97" t="str">
        <f>Dates!Q4</f>
      </c>
      <c r="R7" s="978" t="str">
        <f>Dates!R4</f>
      </c>
      <c r="S7" s="978" t="str">
        <f>Dates!S4</f>
      </c>
      <c r="T7" s="978" t="str">
        <f>Dates!T4</f>
      </c>
      <c r="U7" s="978" t="str">
        <f>Dates!U4</f>
      </c>
      <c r="V7" s="97" t="str">
        <f>Dates!V4</f>
      </c>
      <c r="W7" s="978" t="str">
        <f>Dates!W4</f>
      </c>
      <c r="X7" s="978" t="str">
        <f>Dates!X4</f>
      </c>
      <c r="Y7" s="978" t="str">
        <f>Dates!Y4</f>
      </c>
      <c r="Z7" s="978" t="str">
        <f>Dates!Z4</f>
      </c>
      <c r="AA7" s="97" t="str">
        <f>Dates!AA4</f>
      </c>
      <c r="AB7" s="978" t="str">
        <f>Dates!AB4</f>
      </c>
      <c r="AC7" s="978" t="str">
        <f>Dates!AC4</f>
      </c>
      <c r="AD7" s="978" t="str">
        <f>Dates!AD4</f>
      </c>
      <c r="AE7" s="978" t="str">
        <f>Dates!AE4</f>
      </c>
      <c r="AF7" s="97" t="str">
        <f>Dates!AF4</f>
      </c>
      <c r="AG7" s="978" t="str">
        <f>Dates!AG4</f>
      </c>
      <c r="AH7" s="978" t="str">
        <f>Dates!AH4</f>
      </c>
      <c r="AI7" s="978" t="str">
        <f>Dates!AI4</f>
      </c>
      <c r="AJ7" s="978" t="str">
        <f>Dates!AJ4</f>
      </c>
      <c r="AK7" s="97" t="str">
        <f>Dates!AK4</f>
      </c>
      <c r="AL7" s="96" t="str">
        <f>Dates!AL4</f>
      </c>
      <c r="AM7" s="96" t="str">
        <f>Dates!AM4</f>
      </c>
      <c r="AN7" s="96" t="str">
        <f>Dates!AN4</f>
      </c>
      <c r="AO7" s="96" t="str">
        <f>Dates!AO4</f>
      </c>
      <c r="AP7" s="97" t="str">
        <f>Dates!AP4</f>
      </c>
      <c r="AQ7" s="96" t="str">
        <f>Dates!AQ4</f>
      </c>
      <c r="AR7" s="96" t="str">
        <f>Dates!AR4</f>
      </c>
      <c r="AS7" s="96" t="str">
        <f>Dates!AS4</f>
      </c>
      <c r="AT7" s="96" t="str">
        <f>Dates!AT4</f>
      </c>
      <c r="AU7" s="97" t="str">
        <f>Dates!AU4</f>
      </c>
      <c r="AV7" s="96" t="str">
        <f>Dates!AV4</f>
      </c>
      <c r="AW7" s="96" t="str">
        <f>Dates!AW4</f>
      </c>
      <c r="AX7" s="96" t="str">
        <f>Dates!AX4</f>
      </c>
      <c r="AY7" s="96" t="str">
        <f>Dates!AY4</f>
      </c>
      <c r="AZ7" s="97" t="str">
        <f>Dates!AZ4</f>
      </c>
      <c r="BA7" s="96" t="str">
        <f>Dates!BA4</f>
      </c>
      <c r="BB7" s="96" t="str">
        <f>Dates!BB4</f>
      </c>
      <c r="BC7" s="96" t="str">
        <f>Dates!BC4</f>
      </c>
      <c r="BD7" s="96" t="str">
        <f>Dates!BD4</f>
      </c>
      <c r="BE7" s="97" t="str">
        <f>Dates!BE4</f>
      </c>
      <c r="BF7" s="96" t="str">
        <f>Dates!BF4</f>
      </c>
      <c r="BG7" s="96" t="str">
        <f>Dates!BG4</f>
      </c>
      <c r="BH7" s="96" t="str">
        <f>Dates!BH4</f>
      </c>
      <c r="BI7" s="96" t="str">
        <f>Dates!BI4</f>
      </c>
      <c r="BJ7" s="97" t="str">
        <f>Dates!BJ4</f>
      </c>
      <c r="BK7" s="96" t="str">
        <f>Dates!BK4</f>
      </c>
      <c r="BL7" s="96" t="str">
        <f>Dates!BL4</f>
      </c>
      <c r="BM7" s="96" t="str">
        <f>Dates!BM4</f>
      </c>
      <c r="BN7" s="96" t="str">
        <f>Dates!BN4</f>
      </c>
      <c r="BO7" s="97" t="str">
        <f>Dates!BO4</f>
      </c>
      <c r="BP7" s="96" t="str">
        <f>Dates!BP4</f>
      </c>
      <c r="BQ7" s="96" t="str">
        <f>Dates!BQ4</f>
      </c>
      <c r="BR7" s="96" t="str">
        <f>Dates!BR4</f>
      </c>
      <c r="BS7" s="96" t="str">
        <f>Dates!BS4</f>
      </c>
      <c r="BT7" s="97" t="str">
        <f>Dates!BT4</f>
      </c>
      <c r="BU7" s="96" t="str">
        <f>Dates!BU4</f>
      </c>
      <c r="BV7" s="96" t="str">
        <f>Dates!BV4</f>
      </c>
      <c r="BW7" s="96" t="str">
        <f>Dates!BW4</f>
      </c>
      <c r="BX7" s="96" t="str">
        <f>Dates!BX4</f>
      </c>
      <c r="BY7" s="97" t="str">
        <f>Dates!BY4</f>
      </c>
      <c r="BZ7" s="96" t="str">
        <f>Dates!BZ4</f>
      </c>
      <c r="CA7" s="96" t="str">
        <f>Dates!CA4</f>
      </c>
      <c r="CB7" s="96" t="str">
        <f>Dates!CB4</f>
      </c>
      <c r="CC7" s="96" t="str">
        <f>Dates!CC4</f>
      </c>
      <c r="CD7" s="97" t="str">
        <f>Dates!CD4</f>
      </c>
      <c r="CE7" s="96" t="str">
        <f>Dates!CE4</f>
      </c>
      <c r="CF7" s="96" t="str">
        <f>Dates!CF4</f>
      </c>
      <c r="CG7" s="96" t="str">
        <f>Dates!CG4</f>
      </c>
      <c r="CH7" s="96" t="str">
        <f>Dates!CH4</f>
      </c>
      <c r="CI7" s="97" t="str">
        <f>Dates!CI4</f>
      </c>
      <c r="CJ7" s="96" t="str">
        <f>Dates!CJ4</f>
      </c>
      <c r="CK7" s="96" t="str">
        <f>Dates!CK4</f>
      </c>
      <c r="CL7" s="96" t="str">
        <f>Dates!CL4</f>
      </c>
      <c r="CM7" s="96" t="str">
        <f>Dates!CM4</f>
      </c>
      <c r="CN7" s="97" t="str">
        <f>Dates!CN4</f>
      </c>
      <c r="CO7" s="96" t="str">
        <f>Dates!CO4</f>
      </c>
      <c r="CP7" s="96" t="str">
        <f>Dates!CP4</f>
      </c>
      <c r="CQ7" s="96" t="str">
        <f>Dates!CQ4</f>
      </c>
      <c r="CR7" s="96" t="str">
        <f>Dates!CR4</f>
      </c>
      <c r="CS7" s="97" t="str">
        <f>Dates!CS4</f>
      </c>
      <c r="CT7" s="96" t="str">
        <f>Dates!CT4</f>
      </c>
      <c r="CU7" s="96" t="str">
        <f>Dates!CU4</f>
      </c>
      <c r="CV7" s="96" t="str">
        <f>Dates!CV4</f>
      </c>
      <c r="CW7" s="96" t="str">
        <f>Dates!CW4</f>
      </c>
      <c r="CX7" s="97" t="str">
        <f>Dates!CX4</f>
      </c>
      <c r="CY7" s="96" t="str">
        <f>Dates!CY4</f>
      </c>
      <c r="CZ7" s="96" t="str">
        <f>Dates!CZ4</f>
      </c>
      <c r="DA7" s="96" t="str">
        <f>Dates!DA4</f>
      </c>
      <c r="DB7" s="96" t="str">
        <f>Dates!DB4</f>
      </c>
      <c r="DC7" s="97" t="str">
        <f>Dates!DC4</f>
      </c>
      <c r="DD7" s="96" t="str">
        <f>Dates!DD4</f>
      </c>
      <c r="DE7" s="96" t="str">
        <f>Dates!DE4</f>
      </c>
      <c r="DF7" s="96" t="str">
        <f>Dates!DF4</f>
      </c>
      <c r="DG7" s="96" t="str">
        <f>Dates!DG4</f>
      </c>
      <c r="DH7" s="97" t="str">
        <f>Dates!DH4</f>
      </c>
      <c r="DI7" s="96" t="str">
        <f>Dates!DI4</f>
      </c>
      <c r="DJ7" s="96" t="str">
        <f>Dates!DJ4</f>
      </c>
      <c r="DK7" s="96" t="str">
        <f>Dates!DK4</f>
      </c>
      <c r="DL7" s="96" t="str">
        <f>Dates!DL4</f>
      </c>
      <c r="DM7" s="97" t="str">
        <f>Dates!DM4</f>
      </c>
      <c r="DN7" s="96" t="str">
        <f>Dates!DN4</f>
      </c>
      <c r="DO7" s="96" t="str">
        <f>Dates!DO4</f>
      </c>
      <c r="DP7" s="96" t="str">
        <f>Dates!DP4</f>
      </c>
      <c r="DQ7" s="96" t="str">
        <f>Dates!DQ4</f>
      </c>
      <c r="DR7" s="97" t="str">
        <f>Dates!DR4</f>
      </c>
      <c r="DS7" s="96" t="str">
        <f>Dates!DS4</f>
      </c>
      <c r="DT7" s="96" t="str">
        <f>Dates!DT4</f>
      </c>
      <c r="DU7" s="96" t="str">
        <f>Dates!DU4</f>
      </c>
      <c r="DV7" s="96" t="str">
        <f>Dates!DV4</f>
      </c>
      <c r="DW7" s="97" t="str">
        <f>Dates!DW4</f>
      </c>
      <c r="DX7" s="96" t="str">
        <f>Dates!DX4</f>
      </c>
      <c r="DY7" s="96" t="str">
        <f>Dates!DY4</f>
      </c>
      <c r="DZ7" s="96" t="str">
        <f>Dates!DZ4</f>
      </c>
      <c r="EA7" s="96" t="str">
        <f>Dates!EA4</f>
      </c>
      <c r="EB7" s="97" t="str">
        <f>Dates!EB4</f>
      </c>
      <c r="EC7" s="96" t="str">
        <f>Dates!EC4</f>
      </c>
      <c r="ED7" s="96" t="str">
        <f>Dates!ED4</f>
      </c>
      <c r="EE7" s="96" t="str">
        <f>Dates!EE4</f>
      </c>
      <c r="EF7" s="96" t="str">
        <f>Dates!EF4</f>
      </c>
      <c r="EG7" s="97" t="str">
        <f>Dates!EG4</f>
      </c>
      <c r="EH7" s="96" t="str">
        <f>Dates!EH4</f>
      </c>
      <c r="EI7" s="96" t="str">
        <f>Dates!EI4</f>
      </c>
      <c r="EJ7" s="96" t="str">
        <f>Dates!EJ4</f>
      </c>
      <c r="EK7" s="96" t="str">
        <f>Dates!EK4</f>
      </c>
      <c r="EL7" s="97" t="str">
        <f>Dates!EL4</f>
      </c>
      <c r="EM7" s="96" t="str">
        <f>Dates!EM4</f>
      </c>
      <c r="EN7" s="96" t="str">
        <f>Dates!EN4</f>
      </c>
      <c r="EO7" s="96" t="str">
        <f>Dates!EO4</f>
      </c>
      <c r="EP7" s="96" t="str">
        <f>Dates!EP4</f>
      </c>
      <c r="EQ7" s="97" t="str">
        <f>Dates!EQ4</f>
      </c>
      <c r="ER7" s="96" t="str">
        <f>Dates!ER4</f>
      </c>
      <c r="ES7" s="96" t="str">
        <f>Dates!ES4</f>
      </c>
      <c r="ET7" s="96" t="str">
        <f>Dates!ET4</f>
      </c>
      <c r="EU7" s="96" t="str">
        <f>Dates!EU4</f>
      </c>
      <c r="EV7" s="97" t="str">
        <f>Dates!EV4</f>
      </c>
      <c r="EW7" s="96" t="str">
        <f>Dates!EW4</f>
      </c>
      <c r="EX7" s="96" t="str">
        <f>Dates!EX4</f>
      </c>
      <c r="EY7" s="96" t="str">
        <f>Dates!EY4</f>
      </c>
      <c r="EZ7" s="96" t="str">
        <f>Dates!EZ4</f>
      </c>
      <c r="FA7" s="97" t="str">
        <f>Dates!FA4</f>
      </c>
      <c r="FB7" s="96" t="str">
        <f>Dates!FB4</f>
      </c>
      <c r="FC7" s="96" t="str">
        <f>Dates!FC4</f>
      </c>
      <c r="FD7" s="96" t="str">
        <f>Dates!FD4</f>
      </c>
      <c r="FE7" s="96" t="str">
        <f>Dates!FE4</f>
      </c>
      <c r="FF7" s="97" t="str">
        <f>Dates!FF4</f>
      </c>
      <c r="FG7" s="96" t="str">
        <f>Dates!FG4</f>
      </c>
      <c r="FH7" s="96" t="str">
        <f>Dates!FH4</f>
      </c>
      <c r="FI7" s="96" t="str">
        <f>Dates!FI4</f>
      </c>
      <c r="FJ7" s="96" t="str">
        <f>Dates!FJ4</f>
      </c>
      <c r="FK7" s="97" t="str">
        <f>Dates!FK4</f>
      </c>
      <c r="FL7" s="96" t="str">
        <f>Dates!FL4</f>
      </c>
      <c r="FM7" s="96" t="str">
        <f>Dates!FM4</f>
      </c>
      <c r="FN7" s="96" t="str">
        <f>Dates!FN4</f>
      </c>
      <c r="FO7" s="96" t="str">
        <f>Dates!FO4</f>
      </c>
      <c r="FP7" s="97" t="str">
        <f>Dates!FP4</f>
      </c>
      <c r="FQ7" s="96" t="str">
        <f>Dates!FQ4</f>
      </c>
      <c r="FR7" s="96" t="str">
        <f>Dates!FR4</f>
      </c>
      <c r="FS7" s="96" t="str">
        <f>Dates!FS4</f>
      </c>
      <c r="FT7" s="96" t="str">
        <f>Dates!FT4</f>
      </c>
      <c r="FU7" s="97" t="str">
        <f>Dates!FU4</f>
      </c>
      <c r="FV7" s="96" t="str">
        <f>Dates!FV4</f>
      </c>
      <c r="FW7" s="96" t="str">
        <f>Dates!FW4</f>
      </c>
      <c r="FX7" s="96" t="str">
        <f>Dates!FX4</f>
      </c>
      <c r="FY7" s="96" t="str">
        <f>Dates!FY4</f>
      </c>
      <c r="FZ7" s="97" t="str">
        <f>Dates!FZ4</f>
      </c>
      <c r="GA7" s="96" t="str">
        <f>Dates!GA4</f>
      </c>
      <c r="GB7" s="96" t="str">
        <f>Dates!GB4</f>
      </c>
      <c r="GC7" s="96" t="str">
        <f>Dates!GC4</f>
      </c>
      <c r="GD7" s="96" t="str">
        <f>Dates!GD4</f>
      </c>
      <c r="GE7" s="97" t="str">
        <f>Dates!GE4</f>
      </c>
      <c r="GF7" s="96" t="str">
        <f>Dates!GF4</f>
      </c>
      <c r="GG7" s="96" t="str">
        <f>Dates!GG4</f>
      </c>
      <c r="GH7" s="96" t="str">
        <f>Dates!GH4</f>
      </c>
      <c r="GI7" s="96" t="str">
        <f>Dates!GI4</f>
      </c>
      <c r="GJ7" s="97" t="str">
        <f>Dates!GJ4</f>
      </c>
    </row>
    <row r="8" spans="1:192" ht="12.75" customHeight="1">
      <c r="C8" s="98">
        <f>Dates!C5</f>
      </c>
      <c r="D8" s="98">
        <f>Dates!D5</f>
      </c>
      <c r="E8" s="98">
        <f>Dates!E5</f>
      </c>
      <c r="F8" s="98">
        <f>Dates!F5</f>
      </c>
      <c r="G8" s="99">
        <f>Dates!G5</f>
      </c>
      <c r="H8" s="98">
        <f>Dates!H5</f>
      </c>
      <c r="I8" s="98">
        <f>Dates!I5</f>
      </c>
      <c r="J8" s="98">
        <f>Dates!J5</f>
      </c>
      <c r="K8" s="98">
        <f>Dates!K5</f>
      </c>
      <c r="L8" s="99">
        <f>Dates!L5</f>
      </c>
      <c r="M8" s="98">
        <f>Dates!M5</f>
      </c>
      <c r="N8" s="98">
        <f>Dates!N5</f>
      </c>
      <c r="O8" s="98">
        <f>Dates!O5</f>
      </c>
      <c r="P8" s="98">
        <f>Dates!P5</f>
      </c>
      <c r="Q8" s="99">
        <f>Dates!Q5</f>
      </c>
      <c r="R8" s="960">
        <f>Dates!R5</f>
      </c>
      <c r="S8" s="960">
        <f>Dates!S5</f>
      </c>
      <c r="T8" s="960">
        <f>Dates!T5</f>
      </c>
      <c r="U8" s="960">
        <f>Dates!U5</f>
      </c>
      <c r="V8" s="99">
        <f>Dates!V5</f>
      </c>
      <c r="W8" s="960">
        <f>Dates!W5</f>
      </c>
      <c r="X8" s="960">
        <f>Dates!X5</f>
      </c>
      <c r="Y8" s="960">
        <f>Dates!Y5</f>
      </c>
      <c r="Z8" s="960">
        <f>Dates!Z5</f>
      </c>
      <c r="AA8" s="99">
        <f>Dates!AA5</f>
      </c>
      <c r="AB8" s="960">
        <f>Dates!AB5</f>
      </c>
      <c r="AC8" s="960">
        <f>Dates!AC5</f>
      </c>
      <c r="AD8" s="960">
        <f>Dates!AD5</f>
      </c>
      <c r="AE8" s="960">
        <f>Dates!AE5</f>
      </c>
      <c r="AF8" s="99">
        <f>Dates!AF5</f>
      </c>
      <c r="AG8" s="960">
        <f>Dates!AG5</f>
      </c>
      <c r="AH8" s="960">
        <f>Dates!AH5</f>
      </c>
      <c r="AI8" s="960">
        <f>Dates!AI5</f>
      </c>
      <c r="AJ8" s="960">
        <f>Dates!AJ5</f>
      </c>
      <c r="AK8" s="99">
        <f>Dates!AK5</f>
      </c>
      <c r="AL8" s="98">
        <f>Dates!AL5</f>
      </c>
      <c r="AM8" s="98">
        <f>Dates!AM5</f>
      </c>
      <c r="AN8" s="98">
        <f>Dates!AN5</f>
      </c>
      <c r="AO8" s="98">
        <f>Dates!AO5</f>
      </c>
      <c r="AP8" s="99">
        <f>Dates!AP5</f>
      </c>
      <c r="AQ8" s="98">
        <f>Dates!AQ5</f>
      </c>
      <c r="AR8" s="98">
        <f>Dates!AR5</f>
      </c>
      <c r="AS8" s="98">
        <f>Dates!AS5</f>
      </c>
      <c r="AT8" s="98">
        <f>Dates!AT5</f>
      </c>
      <c r="AU8" s="99">
        <f>Dates!AU5</f>
      </c>
      <c r="AV8" s="98">
        <f>Dates!AV5</f>
      </c>
      <c r="AW8" s="98">
        <f>Dates!AW5</f>
      </c>
      <c r="AX8" s="98">
        <f>Dates!AX5</f>
      </c>
      <c r="AY8" s="98">
        <f>Dates!AY5</f>
      </c>
      <c r="AZ8" s="99">
        <f>Dates!AZ5</f>
      </c>
      <c r="BA8" s="98">
        <f>Dates!BA5</f>
      </c>
      <c r="BB8" s="98">
        <f>Dates!BB5</f>
      </c>
      <c r="BC8" s="98">
        <f>Dates!BC5</f>
      </c>
      <c r="BD8" s="98">
        <f>Dates!BD5</f>
      </c>
      <c r="BE8" s="99">
        <f>Dates!BE5</f>
      </c>
      <c r="BF8" s="98">
        <f>Dates!BF5</f>
      </c>
      <c r="BG8" s="98">
        <f>Dates!BG5</f>
      </c>
      <c r="BH8" s="98">
        <f>Dates!BH5</f>
      </c>
      <c r="BI8" s="98">
        <f>Dates!BI5</f>
      </c>
      <c r="BJ8" s="99">
        <f>Dates!BJ5</f>
      </c>
      <c r="BK8" s="98">
        <f>Dates!BK5</f>
      </c>
      <c r="BL8" s="98">
        <f>Dates!BL5</f>
      </c>
      <c r="BM8" s="98">
        <f>Dates!BM5</f>
      </c>
      <c r="BN8" s="98">
        <f>Dates!BN5</f>
      </c>
      <c r="BO8" s="99">
        <f>Dates!BO5</f>
      </c>
      <c r="BP8" s="98">
        <f>Dates!BP5</f>
      </c>
      <c r="BQ8" s="98">
        <f>Dates!BQ5</f>
      </c>
      <c r="BR8" s="98">
        <f>Dates!BR5</f>
      </c>
      <c r="BS8" s="98">
        <f>Dates!BS5</f>
      </c>
      <c r="BT8" s="99">
        <f>Dates!BT5</f>
      </c>
      <c r="BU8" s="98">
        <f>Dates!BU5</f>
      </c>
      <c r="BV8" s="98">
        <f>Dates!BV5</f>
      </c>
      <c r="BW8" s="98">
        <f>Dates!BW5</f>
      </c>
      <c r="BX8" s="98">
        <f>Dates!BX5</f>
      </c>
      <c r="BY8" s="99">
        <f>Dates!BY5</f>
      </c>
      <c r="BZ8" s="98">
        <f>Dates!BZ5</f>
      </c>
      <c r="CA8" s="98">
        <f>Dates!CA5</f>
      </c>
      <c r="CB8" s="98">
        <f>Dates!CB5</f>
      </c>
      <c r="CC8" s="98">
        <f>Dates!CC5</f>
      </c>
      <c r="CD8" s="99">
        <f>Dates!CD5</f>
      </c>
      <c r="CE8" s="98">
        <f>Dates!CE5</f>
      </c>
      <c r="CF8" s="98">
        <f>Dates!CF5</f>
      </c>
      <c r="CG8" s="98">
        <f>Dates!CG5</f>
      </c>
      <c r="CH8" s="98">
        <f>Dates!CH5</f>
      </c>
      <c r="CI8" s="99">
        <f>Dates!CI5</f>
      </c>
      <c r="CJ8" s="98">
        <f>Dates!CJ5</f>
      </c>
      <c r="CK8" s="98">
        <f>Dates!CK5</f>
      </c>
      <c r="CL8" s="98">
        <f>Dates!CL5</f>
      </c>
      <c r="CM8" s="98">
        <f>Dates!CM5</f>
      </c>
      <c r="CN8" s="99">
        <f>Dates!CN5</f>
      </c>
      <c r="CO8" s="98">
        <f>Dates!CO5</f>
      </c>
      <c r="CP8" s="98">
        <f>Dates!CP5</f>
      </c>
      <c r="CQ8" s="98">
        <f>Dates!CQ5</f>
      </c>
      <c r="CR8" s="98">
        <f>Dates!CR5</f>
      </c>
      <c r="CS8" s="99">
        <f>Dates!CS5</f>
      </c>
      <c r="CT8" s="98">
        <f>Dates!CT5</f>
      </c>
      <c r="CU8" s="98">
        <f>Dates!CU5</f>
      </c>
      <c r="CV8" s="98">
        <f>Dates!CV5</f>
      </c>
      <c r="CW8" s="98">
        <f>Dates!CW5</f>
      </c>
      <c r="CX8" s="99">
        <f>Dates!CX5</f>
      </c>
      <c r="CY8" s="98">
        <f>Dates!CY5</f>
      </c>
      <c r="CZ8" s="98">
        <f>Dates!CZ5</f>
      </c>
      <c r="DA8" s="98">
        <f>Dates!DA5</f>
      </c>
      <c r="DB8" s="98">
        <f>Dates!DB5</f>
      </c>
      <c r="DC8" s="99">
        <f>Dates!DC5</f>
      </c>
      <c r="DD8" s="98">
        <f>Dates!DD5</f>
      </c>
      <c r="DE8" s="98">
        <f>Dates!DE5</f>
      </c>
      <c r="DF8" s="98">
        <f>Dates!DF5</f>
      </c>
      <c r="DG8" s="98">
        <f>Dates!DG5</f>
      </c>
      <c r="DH8" s="99">
        <f>Dates!DH5</f>
      </c>
      <c r="DI8" s="98">
        <f>Dates!DI5</f>
      </c>
      <c r="DJ8" s="98">
        <f>Dates!DJ5</f>
      </c>
      <c r="DK8" s="98">
        <f>Dates!DK5</f>
      </c>
      <c r="DL8" s="98">
        <f>Dates!DL5</f>
      </c>
      <c r="DM8" s="99">
        <f>Dates!DM5</f>
      </c>
      <c r="DN8" s="98">
        <f>Dates!DN5</f>
      </c>
      <c r="DO8" s="98">
        <f>Dates!DO5</f>
      </c>
      <c r="DP8" s="98">
        <f>Dates!DP5</f>
      </c>
      <c r="DQ8" s="98">
        <f>Dates!DQ5</f>
      </c>
      <c r="DR8" s="99">
        <f>Dates!DR5</f>
      </c>
      <c r="DS8" s="98">
        <f>Dates!DS5</f>
      </c>
      <c r="DT8" s="98">
        <f>Dates!DT5</f>
      </c>
      <c r="DU8" s="98">
        <f>Dates!DU5</f>
      </c>
      <c r="DV8" s="98">
        <f>Dates!DV5</f>
      </c>
      <c r="DW8" s="99">
        <f>Dates!DW5</f>
      </c>
      <c r="DX8" s="98">
        <f>Dates!DX5</f>
      </c>
      <c r="DY8" s="98">
        <f>Dates!DY5</f>
      </c>
      <c r="DZ8" s="98">
        <f>Dates!DZ5</f>
      </c>
      <c r="EA8" s="98">
        <f>Dates!EA5</f>
      </c>
      <c r="EB8" s="99">
        <f>Dates!EB5</f>
      </c>
      <c r="EC8" s="98">
        <f>Dates!EC5</f>
      </c>
      <c r="ED8" s="98">
        <f>Dates!ED5</f>
      </c>
      <c r="EE8" s="98">
        <f>Dates!EE5</f>
      </c>
      <c r="EF8" s="98">
        <f>Dates!EF5</f>
      </c>
      <c r="EG8" s="99">
        <f>Dates!EG5</f>
      </c>
      <c r="EH8" s="98">
        <f>Dates!EH5</f>
      </c>
      <c r="EI8" s="98">
        <f>Dates!EI5</f>
      </c>
      <c r="EJ8" s="98">
        <f>Dates!EJ5</f>
      </c>
      <c r="EK8" s="98">
        <f>Dates!EK5</f>
      </c>
      <c r="EL8" s="99">
        <f>Dates!EL5</f>
      </c>
      <c r="EM8" s="98">
        <f>Dates!EM5</f>
      </c>
      <c r="EN8" s="98">
        <f>Dates!EN5</f>
      </c>
      <c r="EO8" s="98">
        <f>Dates!EO5</f>
      </c>
      <c r="EP8" s="98">
        <f>Dates!EP5</f>
      </c>
      <c r="EQ8" s="99">
        <f>Dates!EQ5</f>
      </c>
      <c r="ER8" s="98">
        <f>Dates!ER5</f>
      </c>
      <c r="ES8" s="98">
        <f>Dates!ES5</f>
      </c>
      <c r="ET8" s="98">
        <f>Dates!ET5</f>
      </c>
      <c r="EU8" s="98">
        <f>Dates!EU5</f>
      </c>
      <c r="EV8" s="99">
        <f>Dates!EV5</f>
      </c>
      <c r="EW8" s="98">
        <f>Dates!EW5</f>
      </c>
      <c r="EX8" s="98">
        <f>Dates!EX5</f>
      </c>
      <c r="EY8" s="98">
        <f>Dates!EY5</f>
      </c>
      <c r="EZ8" s="98">
        <f>Dates!EZ5</f>
      </c>
      <c r="FA8" s="99">
        <f>Dates!FA5</f>
      </c>
      <c r="FB8" s="98">
        <f>Dates!FB5</f>
      </c>
      <c r="FC8" s="98">
        <f>Dates!FC5</f>
      </c>
      <c r="FD8" s="98">
        <f>Dates!FD5</f>
      </c>
      <c r="FE8" s="98">
        <f>Dates!FE5</f>
      </c>
      <c r="FF8" s="99">
        <f>Dates!FF5</f>
      </c>
      <c r="FG8" s="98">
        <f>Dates!FG5</f>
      </c>
      <c r="FH8" s="98">
        <f>Dates!FH5</f>
      </c>
      <c r="FI8" s="98">
        <f>Dates!FI5</f>
      </c>
      <c r="FJ8" s="98">
        <f>Dates!FJ5</f>
      </c>
      <c r="FK8" s="99">
        <f>Dates!FK5</f>
      </c>
      <c r="FL8" s="98">
        <f>Dates!FL5</f>
      </c>
      <c r="FM8" s="98">
        <f>Dates!FM5</f>
      </c>
      <c r="FN8" s="98">
        <f>Dates!FN5</f>
      </c>
      <c r="FO8" s="98">
        <f>Dates!FO5</f>
      </c>
      <c r="FP8" s="99">
        <f>Dates!FP5</f>
      </c>
      <c r="FQ8" s="98">
        <f>Dates!FQ5</f>
      </c>
      <c r="FR8" s="98">
        <f>Dates!FR5</f>
      </c>
      <c r="FS8" s="98">
        <f>Dates!FS5</f>
      </c>
      <c r="FT8" s="98">
        <f>Dates!FT5</f>
      </c>
      <c r="FU8" s="99">
        <f>Dates!FU5</f>
      </c>
      <c r="FV8" s="98">
        <f>Dates!FV5</f>
      </c>
      <c r="FW8" s="98">
        <f>Dates!FW5</f>
      </c>
      <c r="FX8" s="98">
        <f>Dates!FX5</f>
      </c>
      <c r="FY8" s="98">
        <f>Dates!FY5</f>
      </c>
      <c r="FZ8" s="99">
        <f>Dates!FZ5</f>
      </c>
      <c r="GA8" s="98">
        <f>Dates!GA5</f>
      </c>
      <c r="GB8" s="98">
        <f>Dates!GB5</f>
      </c>
      <c r="GC8" s="98">
        <f>Dates!GC5</f>
      </c>
      <c r="GD8" s="98">
        <f>Dates!GD5</f>
      </c>
      <c r="GE8" s="99">
        <f>Dates!GE5</f>
      </c>
      <c r="GF8" s="98">
        <f>Dates!GF5</f>
      </c>
      <c r="GG8" s="98">
        <f>Dates!GG5</f>
      </c>
      <c r="GH8" s="98">
        <f>Dates!GH5</f>
      </c>
      <c r="GI8" s="98">
        <f>Dates!GI5</f>
      </c>
      <c r="GJ8" s="99">
        <f>Dates!GJ5</f>
      </c>
    </row>
    <row r="9" spans="1:192" ht="12.75" customHeight="1">
      <c r="C9" s="289"/>
      <c r="D9" s="289"/>
      <c r="E9" s="289"/>
      <c r="F9" s="289"/>
      <c r="G9" s="290"/>
      <c r="H9" s="289"/>
      <c r="I9" s="289"/>
      <c r="J9" s="289"/>
      <c r="K9" s="289"/>
      <c r="L9" s="290"/>
      <c r="M9" s="289"/>
      <c r="N9" s="289"/>
      <c r="O9" s="289"/>
      <c r="P9" s="289"/>
      <c r="Q9" s="290"/>
      <c r="R9" s="979"/>
      <c r="S9" s="979"/>
      <c r="T9" s="979"/>
      <c r="U9" s="979"/>
      <c r="V9" s="290"/>
      <c r="W9" s="979"/>
      <c r="X9" s="979"/>
      <c r="Y9" s="979"/>
      <c r="Z9" s="979"/>
      <c r="AA9" s="290"/>
      <c r="AB9" s="979"/>
      <c r="AC9" s="979"/>
      <c r="AD9" s="979"/>
      <c r="AE9" s="979"/>
      <c r="AF9" s="290"/>
      <c r="AG9" s="979"/>
      <c r="AH9" s="979"/>
      <c r="AI9" s="979"/>
      <c r="AJ9" s="979"/>
      <c r="AK9" s="290"/>
      <c r="AL9" s="289"/>
      <c r="AM9" s="289"/>
      <c r="AN9" s="289"/>
      <c r="AO9" s="289"/>
      <c r="AP9" s="290"/>
      <c r="AQ9" s="289"/>
      <c r="AR9" s="289"/>
      <c r="AS9" s="289"/>
      <c r="AT9" s="289"/>
      <c r="AU9" s="290"/>
      <c r="AV9" s="289"/>
      <c r="AW9" s="289"/>
      <c r="AX9" s="289"/>
      <c r="AY9" s="289"/>
      <c r="AZ9" s="290"/>
      <c r="BA9" s="289"/>
      <c r="BB9" s="289"/>
      <c r="BC9" s="289"/>
      <c r="BD9" s="289"/>
      <c r="BE9" s="290"/>
      <c r="BF9" s="289"/>
      <c r="BG9" s="289"/>
      <c r="BH9" s="289"/>
      <c r="BI9" s="289"/>
      <c r="BJ9" s="290"/>
      <c r="BK9" s="289"/>
      <c r="BL9" s="289"/>
      <c r="BM9" s="289"/>
      <c r="BN9" s="289"/>
      <c r="BO9" s="290"/>
      <c r="BP9" s="289"/>
      <c r="BQ9" s="289"/>
      <c r="BR9" s="289"/>
      <c r="BS9" s="289"/>
      <c r="BT9" s="290"/>
      <c r="BU9" s="289"/>
      <c r="BV9" s="289"/>
      <c r="BW9" s="289"/>
      <c r="BX9" s="289"/>
      <c r="BY9" s="290"/>
      <c r="BZ9" s="289"/>
      <c r="CA9" s="289"/>
      <c r="CB9" s="289"/>
      <c r="CC9" s="289"/>
      <c r="CD9" s="290"/>
      <c r="CE9" s="289"/>
      <c r="CF9" s="289"/>
      <c r="CG9" s="289"/>
      <c r="CH9" s="289"/>
      <c r="CI9" s="290"/>
      <c r="CJ9" s="289"/>
      <c r="CK9" s="289"/>
      <c r="CL9" s="289"/>
      <c r="CM9" s="289"/>
      <c r="CN9" s="290"/>
      <c r="CO9" s="289"/>
      <c r="CP9" s="289"/>
      <c r="CQ9" s="289"/>
      <c r="CR9" s="289"/>
      <c r="CS9" s="290"/>
      <c r="CT9" s="289"/>
      <c r="CU9" s="289"/>
      <c r="CV9" s="289"/>
      <c r="CW9" s="289"/>
      <c r="CX9" s="290"/>
      <c r="CY9" s="289"/>
      <c r="CZ9" s="289"/>
      <c r="DA9" s="289"/>
      <c r="DB9" s="289"/>
      <c r="DC9" s="290"/>
      <c r="DD9" s="289"/>
      <c r="DE9" s="289"/>
      <c r="DF9" s="289"/>
      <c r="DG9" s="289"/>
      <c r="DH9" s="290"/>
      <c r="DI9" s="289"/>
      <c r="DJ9" s="289"/>
      <c r="DK9" s="289"/>
      <c r="DL9" s="289"/>
      <c r="DM9" s="290"/>
      <c r="DN9" s="289"/>
      <c r="DO9" s="289"/>
      <c r="DP9" s="289"/>
      <c r="DQ9" s="289"/>
      <c r="DR9" s="290"/>
      <c r="DS9" s="289"/>
      <c r="DT9" s="289"/>
      <c r="DU9" s="289"/>
      <c r="DV9" s="289"/>
      <c r="DW9" s="290"/>
      <c r="DX9" s="289"/>
      <c r="DY9" s="289"/>
      <c r="DZ9" s="289"/>
      <c r="EA9" s="289"/>
      <c r="EB9" s="290"/>
      <c r="EC9" s="289"/>
      <c r="ED9" s="289"/>
      <c r="EE9" s="289"/>
      <c r="EF9" s="289"/>
      <c r="EG9" s="290"/>
      <c r="EH9" s="289"/>
      <c r="EI9" s="289"/>
      <c r="EJ9" s="289"/>
      <c r="EK9" s="289"/>
      <c r="EL9" s="290"/>
      <c r="EM9" s="289"/>
      <c r="EN9" s="289"/>
      <c r="EO9" s="289"/>
      <c r="EP9" s="289"/>
      <c r="EQ9" s="290"/>
      <c r="ER9" s="289"/>
      <c r="ES9" s="289"/>
      <c r="ET9" s="289"/>
      <c r="EU9" s="289"/>
      <c r="EV9" s="290"/>
      <c r="EW9" s="289"/>
      <c r="EX9" s="289"/>
      <c r="EY9" s="289"/>
      <c r="EZ9" s="289"/>
      <c r="FA9" s="290"/>
      <c r="FB9" s="289"/>
      <c r="FC9" s="289"/>
      <c r="FD9" s="289"/>
      <c r="FE9" s="289"/>
      <c r="FF9" s="290"/>
      <c r="FG9" s="289"/>
      <c r="FH9" s="289"/>
      <c r="FI9" s="289"/>
      <c r="FJ9" s="289"/>
      <c r="FK9" s="290"/>
      <c r="FL9" s="289"/>
      <c r="FM9" s="289"/>
      <c r="FN9" s="289"/>
      <c r="FO9" s="289"/>
      <c r="FP9" s="290"/>
      <c r="FQ9" s="289"/>
      <c r="FR9" s="289"/>
      <c r="FS9" s="289"/>
      <c r="FT9" s="289"/>
      <c r="FU9" s="290"/>
      <c r="FV9" s="289"/>
      <c r="FW9" s="289"/>
      <c r="FX9" s="289"/>
      <c r="FY9" s="289"/>
      <c r="FZ9" s="290"/>
      <c r="GA9" s="289"/>
      <c r="GB9" s="289"/>
      <c r="GC9" s="289"/>
      <c r="GD9" s="289"/>
      <c r="GE9" s="290"/>
      <c r="GF9" s="289"/>
      <c r="GG9" s="289"/>
      <c r="GH9" s="289"/>
      <c r="GI9" s="289"/>
      <c r="GJ9" s="290"/>
    </row>
    <row r="10" spans="1:192" ht="12.75" customHeight="1">
      <c r="B10" s="999" t="s">
        <v>425</v>
      </c>
      <c r="C10" s="289"/>
      <c r="D10" s="289"/>
      <c r="E10" s="289"/>
      <c r="F10" s="289"/>
      <c r="G10" s="290"/>
      <c r="H10" s="289"/>
      <c r="I10" s="289"/>
      <c r="J10" s="289"/>
      <c r="K10" s="289"/>
      <c r="L10" s="290"/>
      <c r="M10" s="289"/>
      <c r="N10" s="289"/>
      <c r="O10" s="289"/>
      <c r="P10" s="289"/>
      <c r="Q10" s="290"/>
      <c r="R10" s="979"/>
      <c r="S10" s="979"/>
      <c r="T10" s="979"/>
      <c r="U10" s="979"/>
      <c r="V10" s="290"/>
      <c r="W10" s="979"/>
      <c r="X10" s="979"/>
      <c r="Y10" s="979"/>
      <c r="Z10" s="979"/>
      <c r="AA10" s="290"/>
      <c r="AB10" s="979"/>
      <c r="AC10" s="979"/>
      <c r="AD10" s="979"/>
      <c r="AE10" s="979"/>
      <c r="AF10" s="290"/>
      <c r="AG10" s="979"/>
      <c r="AH10" s="979"/>
      <c r="AI10" s="979"/>
      <c r="AJ10" s="979"/>
      <c r="AK10" s="290"/>
      <c r="AL10" s="289"/>
      <c r="AM10" s="289"/>
      <c r="AN10" s="289"/>
      <c r="AO10" s="289"/>
      <c r="AP10" s="290"/>
      <c r="AQ10" s="289"/>
      <c r="AR10" s="289"/>
      <c r="AS10" s="289"/>
      <c r="AT10" s="289"/>
      <c r="AU10" s="290"/>
      <c r="AV10" s="289"/>
      <c r="AW10" s="289"/>
      <c r="AX10" s="289"/>
      <c r="AY10" s="289"/>
      <c r="AZ10" s="290"/>
      <c r="BA10" s="289"/>
      <c r="BB10" s="289"/>
      <c r="BC10" s="289"/>
      <c r="BD10" s="289"/>
      <c r="BE10" s="290"/>
      <c r="BF10" s="289"/>
      <c r="BG10" s="289"/>
      <c r="BH10" s="289"/>
      <c r="BI10" s="289"/>
      <c r="BJ10" s="290"/>
      <c r="BK10" s="289"/>
      <c r="BL10" s="289"/>
      <c r="BM10" s="289"/>
      <c r="BN10" s="289"/>
      <c r="BO10" s="290"/>
      <c r="BP10" s="289"/>
      <c r="BQ10" s="289"/>
      <c r="BR10" s="289"/>
      <c r="BS10" s="289"/>
      <c r="BT10" s="290"/>
      <c r="BU10" s="289"/>
      <c r="BV10" s="289"/>
      <c r="BW10" s="289"/>
      <c r="BX10" s="289"/>
      <c r="BY10" s="290"/>
      <c r="BZ10" s="289"/>
      <c r="CA10" s="289"/>
      <c r="CB10" s="289"/>
      <c r="CC10" s="289"/>
      <c r="CD10" s="290"/>
      <c r="CE10" s="289"/>
      <c r="CF10" s="289"/>
      <c r="CG10" s="289"/>
      <c r="CH10" s="289"/>
      <c r="CI10" s="290"/>
      <c r="CJ10" s="289"/>
      <c r="CK10" s="289"/>
      <c r="CL10" s="289"/>
      <c r="CM10" s="289"/>
      <c r="CN10" s="290"/>
      <c r="CO10" s="289"/>
      <c r="CP10" s="289"/>
      <c r="CQ10" s="289"/>
      <c r="CR10" s="289"/>
      <c r="CS10" s="290"/>
      <c r="CT10" s="289"/>
      <c r="CU10" s="289"/>
      <c r="CV10" s="289"/>
      <c r="CW10" s="289"/>
      <c r="CX10" s="290"/>
      <c r="CY10" s="289"/>
      <c r="CZ10" s="289"/>
      <c r="DA10" s="289"/>
      <c r="DB10" s="289"/>
      <c r="DC10" s="290"/>
      <c r="DD10" s="289"/>
      <c r="DE10" s="289"/>
      <c r="DF10" s="289"/>
      <c r="DG10" s="289"/>
      <c r="DH10" s="290"/>
      <c r="DI10" s="289"/>
      <c r="DJ10" s="289"/>
      <c r="DK10" s="289"/>
      <c r="DL10" s="289"/>
      <c r="DM10" s="290"/>
      <c r="DN10" s="289"/>
      <c r="DO10" s="289"/>
      <c r="DP10" s="289"/>
      <c r="DQ10" s="289"/>
      <c r="DR10" s="290"/>
      <c r="DS10" s="289"/>
      <c r="DT10" s="289"/>
      <c r="DU10" s="289"/>
      <c r="DV10" s="289"/>
      <c r="DW10" s="290"/>
      <c r="DX10" s="289"/>
      <c r="DY10" s="289"/>
      <c r="DZ10" s="289"/>
      <c r="EA10" s="289"/>
      <c r="EB10" s="290"/>
      <c r="EC10" s="289"/>
      <c r="ED10" s="289"/>
      <c r="EE10" s="289"/>
      <c r="EF10" s="289"/>
      <c r="EG10" s="290"/>
      <c r="EH10" s="289"/>
      <c r="EI10" s="289"/>
      <c r="EJ10" s="289"/>
      <c r="EK10" s="289"/>
      <c r="EL10" s="290"/>
      <c r="EM10" s="289"/>
      <c r="EN10" s="289"/>
      <c r="EO10" s="289"/>
      <c r="EP10" s="289"/>
      <c r="EQ10" s="290"/>
      <c r="ER10" s="289"/>
      <c r="ES10" s="289"/>
      <c r="ET10" s="289"/>
      <c r="EU10" s="289"/>
      <c r="EV10" s="290"/>
      <c r="EW10" s="289"/>
      <c r="EX10" s="289"/>
      <c r="EY10" s="289"/>
      <c r="EZ10" s="289"/>
      <c r="FA10" s="290"/>
      <c r="FB10" s="289"/>
      <c r="FC10" s="289"/>
      <c r="FD10" s="289"/>
      <c r="FE10" s="289"/>
      <c r="FF10" s="290"/>
      <c r="FG10" s="289"/>
      <c r="FH10" s="289"/>
      <c r="FI10" s="289"/>
      <c r="FJ10" s="289"/>
      <c r="FK10" s="290"/>
      <c r="FL10" s="289"/>
      <c r="FM10" s="289"/>
      <c r="FN10" s="289"/>
      <c r="FO10" s="289"/>
      <c r="FP10" s="290"/>
      <c r="FQ10" s="289"/>
      <c r="FR10" s="289"/>
      <c r="FS10" s="289"/>
      <c r="FT10" s="289"/>
      <c r="FU10" s="290"/>
      <c r="FV10" s="289"/>
      <c r="FW10" s="289"/>
      <c r="FX10" s="289"/>
      <c r="FY10" s="289"/>
      <c r="FZ10" s="290"/>
      <c r="GA10" s="289"/>
      <c r="GB10" s="289"/>
      <c r="GC10" s="289"/>
      <c r="GD10" s="289"/>
      <c r="GE10" s="290"/>
      <c r="GF10" s="289"/>
      <c r="GG10" s="289"/>
      <c r="GH10" s="289"/>
      <c r="GI10" s="289"/>
      <c r="GJ10" s="290"/>
    </row>
    <row r="11" spans="1:192" ht="12.75" hidden="1" customHeight="1" outlineLevel="1">
      <c r="B11" s="406"/>
      <c r="C11" s="289"/>
      <c r="D11" s="289"/>
      <c r="E11" s="289"/>
      <c r="F11" s="289"/>
      <c r="G11" s="290"/>
      <c r="H11" s="289"/>
      <c r="I11" s="289"/>
      <c r="J11" s="289"/>
      <c r="K11" s="289"/>
      <c r="L11" s="290"/>
      <c r="M11" s="289"/>
      <c r="N11" s="289"/>
      <c r="O11" s="289"/>
      <c r="P11" s="289"/>
      <c r="Q11" s="290"/>
      <c r="R11" s="979"/>
      <c r="S11" s="979"/>
      <c r="T11" s="979"/>
      <c r="U11" s="979"/>
      <c r="V11" s="290"/>
      <c r="W11" s="979"/>
      <c r="X11" s="979"/>
      <c r="Y11" s="979"/>
      <c r="Z11" s="979"/>
      <c r="AA11" s="290"/>
      <c r="AB11" s="979"/>
      <c r="AC11" s="979"/>
      <c r="AD11" s="979"/>
      <c r="AE11" s="979"/>
      <c r="AF11" s="290"/>
      <c r="AG11" s="979"/>
      <c r="AH11" s="979"/>
      <c r="AI11" s="979"/>
      <c r="AJ11" s="979"/>
      <c r="AK11" s="290"/>
      <c r="AL11" s="289"/>
      <c r="AM11" s="289"/>
      <c r="AN11" s="289"/>
      <c r="AO11" s="289"/>
      <c r="AP11" s="290"/>
      <c r="AQ11" s="289"/>
      <c r="AR11" s="289"/>
      <c r="AS11" s="289"/>
      <c r="AT11" s="289"/>
      <c r="AU11" s="290"/>
      <c r="AV11" s="289"/>
      <c r="AW11" s="289"/>
      <c r="AX11" s="289"/>
      <c r="AY11" s="289"/>
      <c r="AZ11" s="290"/>
      <c r="BA11" s="289"/>
      <c r="BB11" s="289"/>
      <c r="BC11" s="289"/>
      <c r="BD11" s="289"/>
      <c r="BE11" s="290"/>
      <c r="BF11" s="289"/>
      <c r="BG11" s="289"/>
      <c r="BH11" s="289"/>
      <c r="BI11" s="289"/>
      <c r="BJ11" s="290"/>
      <c r="BK11" s="289"/>
      <c r="BL11" s="289"/>
      <c r="BM11" s="289"/>
      <c r="BN11" s="289"/>
      <c r="BO11" s="290"/>
      <c r="BP11" s="289"/>
      <c r="BQ11" s="289"/>
      <c r="BR11" s="289"/>
      <c r="BS11" s="289"/>
      <c r="BT11" s="290"/>
      <c r="BU11" s="289"/>
      <c r="BV11" s="289"/>
      <c r="BW11" s="289"/>
      <c r="BX11" s="289"/>
      <c r="BY11" s="290"/>
      <c r="BZ11" s="289"/>
      <c r="CA11" s="289"/>
      <c r="CB11" s="289"/>
      <c r="CC11" s="289"/>
      <c r="CD11" s="290"/>
      <c r="CE11" s="289"/>
      <c r="CF11" s="289"/>
      <c r="CG11" s="289"/>
      <c r="CH11" s="289"/>
      <c r="CI11" s="290"/>
      <c r="CJ11" s="289"/>
      <c r="CK11" s="289"/>
      <c r="CL11" s="289"/>
      <c r="CM11" s="289"/>
      <c r="CN11" s="290"/>
      <c r="CO11" s="289"/>
      <c r="CP11" s="289"/>
      <c r="CQ11" s="289"/>
      <c r="CR11" s="289"/>
      <c r="CS11" s="290"/>
      <c r="CT11" s="289"/>
      <c r="CU11" s="289"/>
      <c r="CV11" s="289"/>
      <c r="CW11" s="289"/>
      <c r="CX11" s="290"/>
      <c r="CY11" s="289"/>
      <c r="CZ11" s="289"/>
      <c r="DA11" s="289"/>
      <c r="DB11" s="289"/>
      <c r="DC11" s="290"/>
      <c r="DD11" s="289"/>
      <c r="DE11" s="289"/>
      <c r="DF11" s="289"/>
      <c r="DG11" s="289"/>
      <c r="DH11" s="290"/>
      <c r="DI11" s="289"/>
      <c r="DJ11" s="289"/>
      <c r="DK11" s="289"/>
      <c r="DL11" s="289"/>
      <c r="DM11" s="290"/>
      <c r="DN11" s="289"/>
      <c r="DO11" s="289"/>
      <c r="DP11" s="289"/>
      <c r="DQ11" s="289"/>
      <c r="DR11" s="290"/>
      <c r="DS11" s="289"/>
      <c r="DT11" s="289"/>
      <c r="DU11" s="289"/>
      <c r="DV11" s="289"/>
      <c r="DW11" s="290"/>
      <c r="DX11" s="289"/>
      <c r="DY11" s="289"/>
      <c r="DZ11" s="289"/>
      <c r="EA11" s="289"/>
      <c r="EB11" s="290"/>
      <c r="EC11" s="289"/>
      <c r="ED11" s="289"/>
      <c r="EE11" s="289"/>
      <c r="EF11" s="289"/>
      <c r="EG11" s="290"/>
      <c r="EH11" s="289"/>
      <c r="EI11" s="289"/>
      <c r="EJ11" s="289"/>
      <c r="EK11" s="289"/>
      <c r="EL11" s="290"/>
      <c r="EM11" s="289"/>
      <c r="EN11" s="289"/>
      <c r="EO11" s="289"/>
      <c r="EP11" s="289"/>
      <c r="EQ11" s="290"/>
      <c r="ER11" s="289"/>
      <c r="ES11" s="289"/>
      <c r="ET11" s="289"/>
      <c r="EU11" s="289"/>
      <c r="EV11" s="290"/>
      <c r="EW11" s="289"/>
      <c r="EX11" s="289"/>
      <c r="EY11" s="289"/>
      <c r="EZ11" s="289"/>
      <c r="FA11" s="290"/>
      <c r="FB11" s="289"/>
      <c r="FC11" s="289"/>
      <c r="FD11" s="289"/>
      <c r="FE11" s="289"/>
      <c r="FF11" s="290"/>
      <c r="FG11" s="289"/>
      <c r="FH11" s="289"/>
      <c r="FI11" s="289"/>
      <c r="FJ11" s="289"/>
      <c r="FK11" s="290"/>
      <c r="FL11" s="289"/>
      <c r="FM11" s="289"/>
      <c r="FN11" s="289"/>
      <c r="FO11" s="289"/>
      <c r="FP11" s="290"/>
      <c r="FQ11" s="289"/>
      <c r="FR11" s="289"/>
      <c r="FS11" s="289"/>
      <c r="FT11" s="289"/>
      <c r="FU11" s="290"/>
      <c r="FV11" s="289"/>
      <c r="FW11" s="289"/>
      <c r="FX11" s="289"/>
      <c r="FY11" s="289"/>
      <c r="FZ11" s="290"/>
      <c r="GA11" s="289"/>
      <c r="GB11" s="289"/>
      <c r="GC11" s="289"/>
      <c r="GD11" s="289"/>
      <c r="GE11" s="290"/>
      <c r="GF11" s="289"/>
      <c r="GG11" s="289"/>
      <c r="GH11" s="289"/>
      <c r="GI11" s="289"/>
      <c r="GJ11" s="290"/>
    </row>
    <row r="12" spans="1:192" s="461" customFormat="1" ht="12.75" hidden="1" customHeight="1" outlineLevel="1">
      <c r="A12" s="370"/>
      <c r="B12" s="986" t="s">
        <v>217</v>
      </c>
      <c r="C12" s="987"/>
      <c r="D12" s="987"/>
      <c r="E12" s="987"/>
      <c r="F12" s="987"/>
      <c r="G12" s="988"/>
      <c r="H12" s="987"/>
      <c r="I12" s="987"/>
      <c r="J12" s="987"/>
      <c r="K12" s="987"/>
      <c r="L12" s="988"/>
      <c r="M12" s="987"/>
      <c r="N12" s="987"/>
      <c r="O12" s="987"/>
      <c r="P12" s="987"/>
      <c r="Q12" s="988"/>
      <c r="R12" s="989"/>
      <c r="S12" s="989"/>
      <c r="T12" s="989"/>
      <c r="U12" s="989"/>
      <c r="V12" s="988"/>
      <c r="W12" s="989"/>
      <c r="X12" s="989"/>
      <c r="Y12" s="989"/>
      <c r="Z12" s="989"/>
      <c r="AA12" s="988"/>
      <c r="AB12" s="989"/>
      <c r="AC12" s="989"/>
      <c r="AD12" s="989"/>
      <c r="AE12" s="989"/>
      <c r="AF12" s="988"/>
      <c r="AG12" s="989"/>
      <c r="AH12" s="989"/>
      <c r="AI12" s="989"/>
      <c r="AJ12" s="989"/>
      <c r="AK12" s="988"/>
      <c r="AL12" s="987"/>
      <c r="AM12" s="987"/>
      <c r="AN12" s="987"/>
      <c r="AO12" s="987"/>
      <c r="AP12" s="988"/>
      <c r="AQ12" s="987"/>
      <c r="AR12" s="987"/>
      <c r="AS12" s="987"/>
      <c r="AT12" s="987"/>
      <c r="AU12" s="988"/>
      <c r="AV12" s="987"/>
      <c r="AW12" s="987"/>
      <c r="AX12" s="987"/>
      <c r="AY12" s="987"/>
      <c r="AZ12" s="988"/>
      <c r="BA12" s="987"/>
      <c r="BB12" s="987"/>
      <c r="BC12" s="987"/>
      <c r="BD12" s="987"/>
      <c r="BE12" s="988"/>
      <c r="BF12" s="987"/>
      <c r="BG12" s="987"/>
      <c r="BH12" s="987"/>
      <c r="BI12" s="987"/>
      <c r="BJ12" s="988"/>
      <c r="BK12" s="987"/>
      <c r="BL12" s="987"/>
      <c r="BM12" s="987"/>
      <c r="BN12" s="987"/>
      <c r="BO12" s="988"/>
      <c r="BP12" s="987"/>
      <c r="BQ12" s="987"/>
      <c r="BR12" s="987"/>
      <c r="BS12" s="987"/>
      <c r="BT12" s="988"/>
      <c r="BU12" s="987"/>
      <c r="BV12" s="987"/>
      <c r="BW12" s="987"/>
      <c r="BX12" s="987"/>
      <c r="BY12" s="988"/>
      <c r="BZ12" s="987"/>
      <c r="CA12" s="987"/>
      <c r="CB12" s="987"/>
      <c r="CC12" s="987"/>
      <c r="CD12" s="988"/>
      <c r="CE12" s="987"/>
      <c r="CF12" s="987"/>
      <c r="CG12" s="987"/>
      <c r="CH12" s="987"/>
      <c r="CI12" s="988"/>
      <c r="CJ12" s="987"/>
      <c r="CK12" s="987"/>
      <c r="CL12" s="987"/>
      <c r="CM12" s="987"/>
      <c r="CN12" s="988"/>
      <c r="CO12" s="987"/>
      <c r="CP12" s="987"/>
      <c r="CQ12" s="987"/>
      <c r="CR12" s="987"/>
      <c r="CS12" s="988"/>
      <c r="CT12" s="987"/>
      <c r="CU12" s="987"/>
      <c r="CV12" s="987"/>
      <c r="CW12" s="987"/>
      <c r="CX12" s="988"/>
      <c r="CY12" s="990">
        <f>IFERROR(PBP!CY50,"")</f>
      </c>
      <c r="CZ12" s="990">
        <f>IFERROR(PBP!CZ50,"")</f>
      </c>
      <c r="DA12" s="990">
        <f>IFERROR(PBP!DA50,"")</f>
      </c>
      <c r="DB12" s="990">
        <f>IFERROR(PBP!DB50,"")</f>
      </c>
      <c r="DC12" s="991">
        <f>IFERROR(PBP!DC50,"")</f>
      </c>
      <c r="DD12" s="990">
        <f>IFERROR(PBP!DD50,"")</f>
      </c>
      <c r="DE12" s="990">
        <f>IFERROR(PBP!DE50,"")</f>
      </c>
      <c r="DF12" s="990">
        <f>IFERROR(PBP!DF50,"")</f>
      </c>
      <c r="DG12" s="990">
        <f>IFERROR(PBP!DG50,"")</f>
      </c>
      <c r="DH12" s="991">
        <f>IFERROR(PBP!DH50,"")</f>
      </c>
      <c r="DI12" s="990">
        <f>IFERROR(PBP!DI50,"")</f>
      </c>
      <c r="DJ12" s="990">
        <f>IFERROR(PBP!DJ50,"")</f>
      </c>
      <c r="DK12" s="990">
        <f>IFERROR(PBP!DK50,"")</f>
      </c>
      <c r="DL12" s="990">
        <f>IFERROR(PBP!DL50,"")</f>
      </c>
      <c r="DM12" s="991">
        <f>IFERROR(PBP!DM50,"")</f>
      </c>
      <c r="DN12" s="990">
        <f>IFERROR(PBP!DN50,"")</f>
      </c>
      <c r="DO12" s="990">
        <f>IFERROR(PBP!DO50,"")</f>
      </c>
      <c r="DP12" s="990">
        <f>IFERROR(PBP!DP50,"")</f>
      </c>
      <c r="DQ12" s="990">
        <f>IFERROR(PBP!DQ50,"")</f>
      </c>
      <c r="DR12" s="991">
        <f>IFERROR(PBP!DR50,"")</f>
      </c>
      <c r="DS12" s="990">
        <f>IFERROR(PBP!DS50,"")</f>
      </c>
      <c r="DT12" s="990">
        <f>IFERROR(PBP!DT50,"")</f>
      </c>
      <c r="DU12" s="990">
        <f>IFERROR(PBP!DU50,"")</f>
      </c>
      <c r="DV12" s="990">
        <f>IFERROR(PBP!DV50,"")</f>
      </c>
      <c r="DW12" s="991">
        <f>IFERROR(PBP!DW50,"")</f>
      </c>
      <c r="DX12" s="990">
        <f>IFERROR(PBP!DX50,"")</f>
      </c>
      <c r="DY12" s="990">
        <f>IFERROR(PBP!DY50,"")</f>
      </c>
      <c r="DZ12" s="990">
        <f>IFERROR(PBP!DZ50,"")</f>
      </c>
      <c r="EA12" s="990">
        <f>IFERROR(PBP!EA50,"")</f>
      </c>
      <c r="EB12" s="991">
        <f>IFERROR(PBP!EB50,"")</f>
      </c>
      <c r="EC12" s="990">
        <f>IFERROR(PBP!EC50,"")</f>
      </c>
      <c r="ED12" s="990">
        <f>IFERROR(PBP!ED50,"")</f>
      </c>
      <c r="EE12" s="990">
        <f>IFERROR(PBP!EE50,"")</f>
      </c>
      <c r="EF12" s="990">
        <f>IFERROR(PBP!EF50,"")</f>
      </c>
      <c r="EG12" s="991">
        <f>IFERROR(PBP!EG50,"")</f>
      </c>
      <c r="EH12" s="990">
        <f>IFERROR(PBP!EH50,"")</f>
      </c>
      <c r="EI12" s="990">
        <f>IFERROR(PBP!EI50,"")</f>
      </c>
      <c r="EJ12" s="990">
        <f>IFERROR(PBP!EJ50,"")</f>
      </c>
      <c r="EK12" s="990">
        <f>IFERROR(PBP!EK50,"")</f>
      </c>
      <c r="EL12" s="991">
        <f>IFERROR(PBP!EL50,"")</f>
      </c>
      <c r="EM12" s="990">
        <f>IFERROR(PBP!EM50,"")</f>
      </c>
      <c r="EN12" s="990">
        <f>IFERROR(PBP!EN50,"")</f>
      </c>
      <c r="EO12" s="990">
        <f>IFERROR(PBP!EO50,"")</f>
      </c>
      <c r="EP12" s="990">
        <f>IFERROR(PBP!EP50,"")</f>
      </c>
      <c r="EQ12" s="991">
        <f>IFERROR(PBP!EQ50,"")</f>
      </c>
      <c r="ER12" s="990">
        <f>PBP!ER10</f>
      </c>
      <c r="ES12" s="990">
        <f>PBP!ES10</f>
      </c>
      <c r="ET12" s="990">
        <f>PBP!ET10</f>
      </c>
      <c r="EU12" s="990">
        <f>PBP!EU10</f>
      </c>
      <c r="EV12" s="991">
        <f>PBP!EV10</f>
      </c>
      <c r="EW12" s="990">
        <f>PBP!EW10</f>
      </c>
      <c r="EX12" s="990">
        <f>PBP!EX10</f>
      </c>
      <c r="EY12" s="990">
        <f>PBP!EY10</f>
      </c>
      <c r="EZ12" s="990">
        <f>PBP!EZ10</f>
      </c>
      <c r="FA12" s="991">
        <f>PBP!FA10</f>
      </c>
      <c r="FB12" s="990">
        <f>PBP!FB10</f>
      </c>
      <c r="FC12" s="990">
        <f>PBP!FC10</f>
      </c>
      <c r="FD12" s="990">
        <f>PBP!FD10</f>
      </c>
      <c r="FE12" s="990">
        <f>PBP!FE10</f>
      </c>
      <c r="FF12" s="991">
        <f>PBP!FF10</f>
      </c>
      <c r="FG12" s="990">
        <f>PBP!FG10</f>
      </c>
      <c r="FH12" s="990">
        <f>PBP!FH10</f>
      </c>
      <c r="FI12" s="990">
        <f>PBP!FI10</f>
      </c>
      <c r="FJ12" s="990">
        <f>PBP!FJ10</f>
      </c>
      <c r="FK12" s="991">
        <f>PBP!FK10</f>
      </c>
      <c r="FL12" s="990">
        <f>PBP!FL10</f>
      </c>
      <c r="FM12" s="990">
        <f>PBP!FM10</f>
      </c>
      <c r="FN12" s="990">
        <f>PBP!FN10</f>
      </c>
      <c r="FO12" s="990">
        <f>PBP!FO10</f>
      </c>
      <c r="FP12" s="991">
        <f>PBP!FP10</f>
      </c>
      <c r="FQ12" s="990">
        <f>PBP!FQ10</f>
      </c>
      <c r="FR12" s="990">
        <f>PBP!FR10</f>
      </c>
      <c r="FS12" s="990">
        <f>PBP!FS10</f>
      </c>
      <c r="FT12" s="990">
        <f>PBP!FT10</f>
      </c>
      <c r="FU12" s="991">
        <f>PBP!FU10</f>
      </c>
      <c r="FV12" s="990">
        <f>PBP!FV10</f>
      </c>
      <c r="FW12" s="990">
        <f>PBP!FW10</f>
      </c>
      <c r="FX12" s="990">
        <f>PBP!FX10</f>
      </c>
      <c r="FY12" s="990">
        <f>PBP!FY10</f>
      </c>
      <c r="FZ12" s="991">
        <f>PBP!FZ10</f>
      </c>
      <c r="GA12" s="990">
        <f>PBP!GA10</f>
      </c>
      <c r="GB12" s="990">
        <f>PBP!GB10</f>
      </c>
      <c r="GC12" s="990">
        <f>PBP!GC10</f>
      </c>
      <c r="GD12" s="990">
        <f>PBP!GD10</f>
      </c>
      <c r="GE12" s="991">
        <f>PBP!GE10</f>
      </c>
      <c r="GF12" s="990">
        <f>PBP!GF10</f>
      </c>
      <c r="GG12" s="990">
        <f>PBP!GG10</f>
      </c>
      <c r="GH12" s="990">
        <f>PBP!GH10</f>
      </c>
      <c r="GI12" s="990">
        <f>PBP!GI10</f>
      </c>
      <c r="GJ12" s="991">
        <f>PBP!GJ10</f>
      </c>
    </row>
    <row r="13" spans="1:192" s="461" customFormat="1" ht="12.75" hidden="1" customHeight="1" outlineLevel="1">
      <c r="A13" s="370"/>
      <c r="B13" s="986" t="s">
        <v>187</v>
      </c>
      <c r="C13" s="987"/>
      <c r="D13" s="987"/>
      <c r="E13" s="987"/>
      <c r="F13" s="987"/>
      <c r="G13" s="988"/>
      <c r="H13" s="987"/>
      <c r="I13" s="987"/>
      <c r="J13" s="987"/>
      <c r="K13" s="987"/>
      <c r="L13" s="988"/>
      <c r="M13" s="987"/>
      <c r="N13" s="987"/>
      <c r="O13" s="987"/>
      <c r="P13" s="987"/>
      <c r="Q13" s="988"/>
      <c r="R13" s="989"/>
      <c r="S13" s="989"/>
      <c r="T13" s="989"/>
      <c r="U13" s="989"/>
      <c r="V13" s="988"/>
      <c r="W13" s="989"/>
      <c r="X13" s="989"/>
      <c r="Y13" s="989"/>
      <c r="Z13" s="989"/>
      <c r="AA13" s="988"/>
      <c r="AB13" s="989"/>
      <c r="AC13" s="989"/>
      <c r="AD13" s="989"/>
      <c r="AE13" s="989"/>
      <c r="AF13" s="988"/>
      <c r="AG13" s="989"/>
      <c r="AH13" s="989"/>
      <c r="AI13" s="989"/>
      <c r="AJ13" s="989"/>
      <c r="AK13" s="988"/>
      <c r="AL13" s="987"/>
      <c r="AM13" s="987"/>
      <c r="AN13" s="987"/>
      <c r="AO13" s="987"/>
      <c r="AP13" s="988"/>
      <c r="AQ13" s="987"/>
      <c r="AR13" s="987"/>
      <c r="AS13" s="987"/>
      <c r="AT13" s="987"/>
      <c r="AU13" s="988"/>
      <c r="AV13" s="987"/>
      <c r="AW13" s="987"/>
      <c r="AX13" s="987"/>
      <c r="AY13" s="987"/>
      <c r="AZ13" s="988"/>
      <c r="BA13" s="987"/>
      <c r="BB13" s="987"/>
      <c r="BC13" s="987"/>
      <c r="BD13" s="987"/>
      <c r="BE13" s="988"/>
      <c r="BF13" s="987"/>
      <c r="BG13" s="987"/>
      <c r="BH13" s="987"/>
      <c r="BI13" s="987"/>
      <c r="BJ13" s="988"/>
      <c r="BK13" s="987"/>
      <c r="BL13" s="987"/>
      <c r="BM13" s="987"/>
      <c r="BN13" s="987"/>
      <c r="BO13" s="988"/>
      <c r="BP13" s="987"/>
      <c r="BQ13" s="987"/>
      <c r="BR13" s="987"/>
      <c r="BS13" s="987"/>
      <c r="BT13" s="988"/>
      <c r="BU13" s="987"/>
      <c r="BV13" s="987"/>
      <c r="BW13" s="987"/>
      <c r="BX13" s="987"/>
      <c r="BY13" s="988"/>
      <c r="BZ13" s="987"/>
      <c r="CA13" s="987"/>
      <c r="CB13" s="987"/>
      <c r="CC13" s="987"/>
      <c r="CD13" s="988"/>
      <c r="CE13" s="987"/>
      <c r="CF13" s="987"/>
      <c r="CG13" s="987"/>
      <c r="CH13" s="987"/>
      <c r="CI13" s="988"/>
      <c r="CJ13" s="987"/>
      <c r="CK13" s="987"/>
      <c r="CL13" s="987"/>
      <c r="CM13" s="987"/>
      <c r="CN13" s="988"/>
      <c r="CO13" s="987"/>
      <c r="CP13" s="987"/>
      <c r="CQ13" s="987"/>
      <c r="CR13" s="987"/>
      <c r="CS13" s="988"/>
      <c r="CT13" s="987"/>
      <c r="CU13" s="987"/>
      <c r="CV13" s="987"/>
      <c r="CW13" s="987"/>
      <c r="CX13" s="988"/>
      <c r="CY13" s="990">
        <f>IFERROR(IC!CY50,"")</f>
      </c>
      <c r="CZ13" s="990">
        <f>IFERROR(IC!CZ50,"")</f>
      </c>
      <c r="DA13" s="990">
        <f>IFERROR(IC!DA50,"")</f>
      </c>
      <c r="DB13" s="990">
        <f>IFERROR(IC!DB50,"")</f>
      </c>
      <c r="DC13" s="991">
        <f>IFERROR(IC!DC50,"")</f>
      </c>
      <c r="DD13" s="990">
        <f>IFERROR(IC!DD50,"")</f>
      </c>
      <c r="DE13" s="990">
        <f>IFERROR(IC!DE50,"")</f>
      </c>
      <c r="DF13" s="990">
        <f>IFERROR(IC!DF50,"")</f>
      </c>
      <c r="DG13" s="990">
        <f>IFERROR(IC!DG50,"")</f>
      </c>
      <c r="DH13" s="991">
        <f>IFERROR(IC!DH50,"")</f>
      </c>
      <c r="DI13" s="990">
        <f>IFERROR(IC!DI50,"")</f>
      </c>
      <c r="DJ13" s="990">
        <f>IFERROR(IC!DJ50,"")</f>
      </c>
      <c r="DK13" s="990">
        <f>IFERROR(IC!DK50,"")</f>
      </c>
      <c r="DL13" s="990">
        <f>IFERROR(IC!DL50,"")</f>
      </c>
      <c r="DM13" s="991">
        <f>IFERROR(IC!DM50,"")</f>
      </c>
      <c r="DN13" s="990">
        <f>IFERROR(IC!DN50,"")</f>
      </c>
      <c r="DO13" s="990">
        <f>IFERROR(IC!DO50,"")</f>
      </c>
      <c r="DP13" s="990">
        <f>IFERROR(IC!DP50,"")</f>
      </c>
      <c r="DQ13" s="990">
        <f>IFERROR(IC!DQ50,"")</f>
      </c>
      <c r="DR13" s="991">
        <f>IFERROR(IC!DR50,"")</f>
      </c>
      <c r="DS13" s="990">
        <f>IFERROR(IC!DS50,"")</f>
      </c>
      <c r="DT13" s="990">
        <f>IFERROR(IC!DT50,"")</f>
      </c>
      <c r="DU13" s="990">
        <f>IFERROR(IC!DU50,"")</f>
      </c>
      <c r="DV13" s="990">
        <f>IFERROR(IC!DV50,"")</f>
      </c>
      <c r="DW13" s="991">
        <f>IFERROR(IC!DW50,"")</f>
      </c>
      <c r="DX13" s="990">
        <f>IFERROR(IC!DX50,"")</f>
      </c>
      <c r="DY13" s="990">
        <f>IFERROR(IC!DY50,"")</f>
      </c>
      <c r="DZ13" s="990">
        <f>IFERROR(IC!DZ50,"")</f>
      </c>
      <c r="EA13" s="990">
        <f>IFERROR(IC!EA50,"")</f>
      </c>
      <c r="EB13" s="991">
        <f>IFERROR(IC!EB50,"")</f>
      </c>
      <c r="EC13" s="990">
        <f>IFERROR(IC!EC50,"")</f>
      </c>
      <c r="ED13" s="990">
        <f>IFERROR(IC!ED50,"")</f>
      </c>
      <c r="EE13" s="990">
        <f>IFERROR(IC!EE50,"")</f>
      </c>
      <c r="EF13" s="990">
        <f>IFERROR(IC!EF50,"")</f>
      </c>
      <c r="EG13" s="991">
        <f>IFERROR(IC!EG50,"")</f>
      </c>
      <c r="EH13" s="990">
        <f>IFERROR(IC!EH50,"")</f>
      </c>
      <c r="EI13" s="990">
        <f>IFERROR(IC!EI50,"")</f>
      </c>
      <c r="EJ13" s="990">
        <f>IFERROR(IC!EJ50,"")</f>
      </c>
      <c r="EK13" s="990">
        <f>IFERROR(IC!EK50,"")</f>
      </c>
      <c r="EL13" s="991">
        <f>IFERROR(IC!EL50,"")</f>
      </c>
      <c r="EM13" s="990">
        <f>IFERROR(IC!EM50,"")</f>
      </c>
      <c r="EN13" s="990">
        <f>IFERROR(IC!EN50,"")</f>
      </c>
      <c r="EO13" s="990">
        <f>IFERROR(IC!EO50,"")</f>
      </c>
      <c r="EP13" s="990">
        <f>IFERROR(IC!EP50,"")</f>
      </c>
      <c r="EQ13" s="991">
        <f>IFERROR(IC!EQ50,"")</f>
      </c>
      <c r="ER13" s="990">
        <f>IC!ER10</f>
      </c>
      <c r="ES13" s="990">
        <f>IC!ES10</f>
      </c>
      <c r="ET13" s="990">
        <f>IC!ET10</f>
      </c>
      <c r="EU13" s="990">
        <f>IC!EU10</f>
      </c>
      <c r="EV13" s="991">
        <f>IC!EV10</f>
      </c>
      <c r="EW13" s="990">
        <f>IC!EW10</f>
      </c>
      <c r="EX13" s="990">
        <f>IC!EX10</f>
      </c>
      <c r="EY13" s="990">
        <f>IC!EY10</f>
      </c>
      <c r="EZ13" s="990">
        <f>IC!EZ10</f>
      </c>
      <c r="FA13" s="991">
        <f>IC!FA10</f>
      </c>
      <c r="FB13" s="990">
        <f>IC!FB10</f>
      </c>
      <c r="FC13" s="990">
        <f>IC!FC10</f>
      </c>
      <c r="FD13" s="990">
        <f>IC!FD10</f>
      </c>
      <c r="FE13" s="990">
        <f>IC!FE10</f>
      </c>
      <c r="FF13" s="991">
        <f>IC!FF10</f>
      </c>
      <c r="FG13" s="990">
        <f>IC!FG10</f>
      </c>
      <c r="FH13" s="990">
        <f>IC!FH10</f>
      </c>
      <c r="FI13" s="990">
        <f>IC!FI10</f>
      </c>
      <c r="FJ13" s="990">
        <f>IC!FJ10</f>
      </c>
      <c r="FK13" s="991">
        <f>IC!FK10</f>
      </c>
      <c r="FL13" s="990">
        <f>IC!FL10</f>
      </c>
      <c r="FM13" s="990">
        <f>IC!FM10</f>
      </c>
      <c r="FN13" s="990">
        <f>IC!FN10</f>
      </c>
      <c r="FO13" s="990">
        <f>IC!FO10</f>
      </c>
      <c r="FP13" s="991">
        <f>IC!FP10</f>
      </c>
      <c r="FQ13" s="990">
        <f>IC!FQ10</f>
      </c>
      <c r="FR13" s="990">
        <f>IC!FR10</f>
      </c>
      <c r="FS13" s="990">
        <f>IC!FS10</f>
      </c>
      <c r="FT13" s="990">
        <f>IC!FT10</f>
      </c>
      <c r="FU13" s="991">
        <f>IC!FU10</f>
      </c>
      <c r="FV13" s="990">
        <f>IC!FV10</f>
      </c>
      <c r="FW13" s="990">
        <f>IC!FW10</f>
      </c>
      <c r="FX13" s="990">
        <f>IC!FX10</f>
      </c>
      <c r="FY13" s="990">
        <f>IC!FY10</f>
      </c>
      <c r="FZ13" s="991">
        <f>IC!FZ10</f>
      </c>
      <c r="GA13" s="990">
        <f>IC!GA10</f>
      </c>
      <c r="GB13" s="990">
        <f>IC!GB10</f>
      </c>
      <c r="GC13" s="990">
        <f>IC!GC10</f>
      </c>
      <c r="GD13" s="990">
        <f>IC!GD10</f>
      </c>
      <c r="GE13" s="991">
        <f>IC!GE10</f>
      </c>
      <c r="GF13" s="990">
        <f>IC!GF10</f>
      </c>
      <c r="GG13" s="990">
        <f>IC!GG10</f>
      </c>
      <c r="GH13" s="990">
        <f>IC!GH10</f>
      </c>
      <c r="GI13" s="990">
        <f>IC!GI10</f>
      </c>
      <c r="GJ13" s="991">
        <f>IC!GJ10</f>
      </c>
    </row>
    <row r="14" spans="1:192" s="461" customFormat="1" ht="12.75" hidden="1" customHeight="1" outlineLevel="1">
      <c r="A14" s="370"/>
      <c r="B14" s="986" t="s">
        <v>190</v>
      </c>
      <c r="C14" s="987"/>
      <c r="D14" s="987"/>
      <c r="E14" s="987"/>
      <c r="F14" s="987"/>
      <c r="G14" s="988"/>
      <c r="H14" s="987"/>
      <c r="I14" s="987"/>
      <c r="J14" s="987"/>
      <c r="K14" s="987"/>
      <c r="L14" s="988"/>
      <c r="M14" s="987"/>
      <c r="N14" s="987"/>
      <c r="O14" s="987"/>
      <c r="P14" s="987"/>
      <c r="Q14" s="988"/>
      <c r="R14" s="989"/>
      <c r="S14" s="989"/>
      <c r="T14" s="989"/>
      <c r="U14" s="989"/>
      <c r="V14" s="988"/>
      <c r="W14" s="989"/>
      <c r="X14" s="989"/>
      <c r="Y14" s="989"/>
      <c r="Z14" s="989"/>
      <c r="AA14" s="988"/>
      <c r="AB14" s="989"/>
      <c r="AC14" s="989"/>
      <c r="AD14" s="989"/>
      <c r="AE14" s="989"/>
      <c r="AF14" s="988"/>
      <c r="AG14" s="989"/>
      <c r="AH14" s="989"/>
      <c r="AI14" s="989"/>
      <c r="AJ14" s="989"/>
      <c r="AK14" s="988"/>
      <c r="AL14" s="987"/>
      <c r="AM14" s="987"/>
      <c r="AN14" s="987"/>
      <c r="AO14" s="987"/>
      <c r="AP14" s="988"/>
      <c r="AQ14" s="987"/>
      <c r="AR14" s="987"/>
      <c r="AS14" s="987"/>
      <c r="AT14" s="987"/>
      <c r="AU14" s="988"/>
      <c r="AV14" s="987"/>
      <c r="AW14" s="987"/>
      <c r="AX14" s="987"/>
      <c r="AY14" s="987"/>
      <c r="AZ14" s="988"/>
      <c r="BA14" s="987"/>
      <c r="BB14" s="987"/>
      <c r="BC14" s="987"/>
      <c r="BD14" s="987"/>
      <c r="BE14" s="988"/>
      <c r="BF14" s="987"/>
      <c r="BG14" s="987"/>
      <c r="BH14" s="987"/>
      <c r="BI14" s="987"/>
      <c r="BJ14" s="988"/>
      <c r="BK14" s="987"/>
      <c r="BL14" s="987"/>
      <c r="BM14" s="987"/>
      <c r="BN14" s="987"/>
      <c r="BO14" s="988"/>
      <c r="BP14" s="987"/>
      <c r="BQ14" s="987"/>
      <c r="BR14" s="987"/>
      <c r="BS14" s="987"/>
      <c r="BT14" s="988"/>
      <c r="BU14" s="987"/>
      <c r="BV14" s="987"/>
      <c r="BW14" s="987"/>
      <c r="BX14" s="987"/>
      <c r="BY14" s="988"/>
      <c r="BZ14" s="987"/>
      <c r="CA14" s="987"/>
      <c r="CB14" s="987"/>
      <c r="CC14" s="987"/>
      <c r="CD14" s="988"/>
      <c r="CE14" s="987"/>
      <c r="CF14" s="987"/>
      <c r="CG14" s="987"/>
      <c r="CH14" s="987"/>
      <c r="CI14" s="988"/>
      <c r="CJ14" s="987"/>
      <c r="CK14" s="987"/>
      <c r="CL14" s="987"/>
      <c r="CM14" s="987"/>
      <c r="CN14" s="988"/>
      <c r="CO14" s="987"/>
      <c r="CP14" s="987"/>
      <c r="CQ14" s="987"/>
      <c r="CR14" s="987"/>
      <c r="CS14" s="988"/>
      <c r="CT14" s="987"/>
      <c r="CU14" s="987"/>
      <c r="CV14" s="987"/>
      <c r="CW14" s="987"/>
      <c r="CX14" s="988"/>
      <c r="CY14" s="990">
        <f>IFERROR(Company1738!CY50,"")</f>
      </c>
      <c r="CZ14" s="990">
        <f>IFERROR(Company1738!CZ50,"")</f>
      </c>
      <c r="DA14" s="990">
        <f>IFERROR(Company1738!DA50,"")</f>
      </c>
      <c r="DB14" s="990">
        <f>IFERROR(Company1738!DB50,"")</f>
      </c>
      <c r="DC14" s="991">
        <f>IFERROR(Company1738!DC50,"")</f>
      </c>
      <c r="DD14" s="990">
        <f>IFERROR(Company1738!DD50,"")</f>
      </c>
      <c r="DE14" s="990">
        <f>IFERROR(Company1738!DE50,"")</f>
      </c>
      <c r="DF14" s="990">
        <f>IFERROR(Company1738!DF50,"")</f>
      </c>
      <c r="DG14" s="990">
        <f>IFERROR(Company1738!DG50,"")</f>
      </c>
      <c r="DH14" s="991">
        <f>IFERROR(Company1738!DH50,"")</f>
      </c>
      <c r="DI14" s="990">
        <f>IFERROR(Company1738!DI50,"")</f>
      </c>
      <c r="DJ14" s="990">
        <f>IFERROR(Company1738!DJ50,"")</f>
      </c>
      <c r="DK14" s="990">
        <f>IFERROR(Company1738!DK50,"")</f>
      </c>
      <c r="DL14" s="990">
        <f>IFERROR(Company1738!DL50,"")</f>
      </c>
      <c r="DM14" s="991">
        <f>IFERROR(Company1738!DM50,"")</f>
      </c>
      <c r="DN14" s="990">
        <f>IFERROR(Company1738!DN50,"")</f>
      </c>
      <c r="DO14" s="990">
        <f>IFERROR(Company1738!DO50,"")</f>
      </c>
      <c r="DP14" s="990">
        <f>IFERROR(Company1738!DP50,"")</f>
      </c>
      <c r="DQ14" s="990">
        <f>IFERROR(Company1738!DQ50,"")</f>
      </c>
      <c r="DR14" s="991">
        <f>IFERROR(Company1738!DR50,"")</f>
      </c>
      <c r="DS14" s="990">
        <f>IFERROR(Company1738!DS50,"")</f>
      </c>
      <c r="DT14" s="990">
        <f>IFERROR(Company1738!DT50,"")</f>
      </c>
      <c r="DU14" s="990">
        <f>IFERROR(Company1738!DU50,"")</f>
      </c>
      <c r="DV14" s="990">
        <f>IFERROR(Company1738!DV50,"")</f>
      </c>
      <c r="DW14" s="991">
        <f>IFERROR(Company1738!DW50,"")</f>
      </c>
      <c r="DX14" s="990">
        <f>IFERROR(Company1738!DX50,"")</f>
      </c>
      <c r="DY14" s="990">
        <f>IFERROR(Company1738!DY50,"")</f>
      </c>
      <c r="DZ14" s="990">
        <f>IFERROR(Company1738!DZ50,"")</f>
      </c>
      <c r="EA14" s="990">
        <f>IFERROR(Company1738!EA50,"")</f>
      </c>
      <c r="EB14" s="991">
        <f>IFERROR(Company1738!EB50,"")</f>
      </c>
      <c r="EC14" s="990">
        <f>IFERROR(Company1738!EC50,"")</f>
      </c>
      <c r="ED14" s="990">
        <f>IFERROR(Company1738!ED50,"")</f>
      </c>
      <c r="EE14" s="990">
        <f>IFERROR(Company1738!EE50,"")</f>
      </c>
      <c r="EF14" s="990">
        <f>IFERROR(Company1738!EF50,"")</f>
      </c>
      <c r="EG14" s="991">
        <f>IFERROR(Company1738!EG50,"")</f>
      </c>
      <c r="EH14" s="990">
        <f>IFERROR(Company1738!EH50,"")</f>
      </c>
      <c r="EI14" s="990">
        <f>IFERROR(Company1738!EI50,"")</f>
      </c>
      <c r="EJ14" s="990">
        <f>IFERROR(Company1738!EJ50,"")</f>
      </c>
      <c r="EK14" s="990">
        <f>IFERROR(Company1738!EK50,"")</f>
      </c>
      <c r="EL14" s="991">
        <f>IFERROR(Company1738!EL50,"")</f>
      </c>
      <c r="EM14" s="990">
        <f>IFERROR(Company1738!EM50,"")</f>
      </c>
      <c r="EN14" s="990">
        <f>IFERROR(Company1738!EN50,"")</f>
      </c>
      <c r="EO14" s="990">
        <f>IFERROR(Company1738!EO50,"")</f>
      </c>
      <c r="EP14" s="990">
        <f>IFERROR(Company1738!EP50,"")</f>
      </c>
      <c r="EQ14" s="991">
        <f>IFERROR(Company1738!EQ50,"")</f>
      </c>
      <c r="ER14" s="990">
        <f>Company1738!ER10</f>
      </c>
      <c r="ES14" s="990">
        <f>Company1738!ES10</f>
      </c>
      <c r="ET14" s="990">
        <f>Company1738!ET10</f>
      </c>
      <c r="EU14" s="990">
        <f>Company1738!EU10</f>
      </c>
      <c r="EV14" s="991">
        <f>Company1738!EV10</f>
      </c>
      <c r="EW14" s="990">
        <f>Company1738!EW10</f>
      </c>
      <c r="EX14" s="990">
        <f>Company1738!EX10</f>
      </c>
      <c r="EY14" s="990">
        <f>Company1738!EY10</f>
      </c>
      <c r="EZ14" s="990">
        <f>Company1738!EZ10</f>
      </c>
      <c r="FA14" s="991">
        <f>Company1738!FA10</f>
      </c>
      <c r="FB14" s="990">
        <f>Company1738!FB10</f>
      </c>
      <c r="FC14" s="990">
        <f>Company1738!FC10</f>
      </c>
      <c r="FD14" s="990">
        <f>Company1738!FD10</f>
      </c>
      <c r="FE14" s="990">
        <f>Company1738!FE10</f>
      </c>
      <c r="FF14" s="991">
        <f>Company1738!FF10</f>
      </c>
      <c r="FG14" s="990">
        <f>Company1738!FG10</f>
      </c>
      <c r="FH14" s="990">
        <f>Company1738!FH10</f>
      </c>
      <c r="FI14" s="990">
        <f>Company1738!FI10</f>
      </c>
      <c r="FJ14" s="990">
        <f>Company1738!FJ10</f>
      </c>
      <c r="FK14" s="991">
        <f>Company1738!FK10</f>
      </c>
      <c r="FL14" s="990">
        <f>Company1738!FL10</f>
      </c>
      <c r="FM14" s="990">
        <f>Company1738!FM10</f>
      </c>
      <c r="FN14" s="990">
        <f>Company1738!FN10</f>
      </c>
      <c r="FO14" s="990">
        <f>Company1738!FO10</f>
      </c>
      <c r="FP14" s="991">
        <f>Company1738!FP10</f>
      </c>
      <c r="FQ14" s="990">
        <f>Company1738!FQ10</f>
      </c>
      <c r="FR14" s="990">
        <f>Company1738!FR10</f>
      </c>
      <c r="FS14" s="990">
        <f>Company1738!FS10</f>
      </c>
      <c r="FT14" s="990">
        <f>Company1738!FT10</f>
      </c>
      <c r="FU14" s="991">
        <f>Company1738!FU10</f>
      </c>
      <c r="FV14" s="990">
        <f>Company1738!FV10</f>
      </c>
      <c r="FW14" s="990">
        <f>Company1738!FW10</f>
      </c>
      <c r="FX14" s="990">
        <f>Company1738!FX10</f>
      </c>
      <c r="FY14" s="990">
        <f>Company1738!FY10</f>
      </c>
      <c r="FZ14" s="991">
        <f>Company1738!FZ10</f>
      </c>
      <c r="GA14" s="990">
        <f>Company1738!GA10</f>
      </c>
      <c r="GB14" s="990">
        <f>Company1738!GB10</f>
      </c>
      <c r="GC14" s="990">
        <f>Company1738!GC10</f>
      </c>
      <c r="GD14" s="990">
        <f>Company1738!GD10</f>
      </c>
      <c r="GE14" s="991">
        <f>Company1738!GE10</f>
      </c>
      <c r="GF14" s="990">
        <f>Company1738!GF10</f>
      </c>
      <c r="GG14" s="990">
        <f>Company1738!GG10</f>
      </c>
      <c r="GH14" s="990">
        <f>Company1738!GH10</f>
      </c>
      <c r="GI14" s="990">
        <f>Company1738!GI10</f>
      </c>
      <c r="GJ14" s="991">
        <f>Company1738!GJ10</f>
      </c>
    </row>
    <row r="15" spans="1:192" s="461" customFormat="1" ht="12.75" hidden="1" customHeight="1" outlineLevel="1">
      <c r="A15" s="370" t="s">
        <v>31</v>
      </c>
      <c r="B15" s="621" t="s">
        <v>32</v>
      </c>
      <c r="C15" s="624"/>
      <c r="D15" s="624"/>
      <c r="E15" s="624"/>
      <c r="F15" s="624"/>
      <c r="G15" s="622"/>
      <c r="H15" s="624"/>
      <c r="I15" s="624"/>
      <c r="J15" s="624"/>
      <c r="K15" s="624"/>
      <c r="L15" s="622"/>
      <c r="M15" s="624"/>
      <c r="N15" s="624"/>
      <c r="O15" s="624"/>
      <c r="P15" s="624"/>
      <c r="Q15" s="622"/>
      <c r="R15" s="981"/>
      <c r="S15" s="981"/>
      <c r="T15" s="981"/>
      <c r="U15" s="981"/>
      <c r="V15" s="622"/>
      <c r="W15" s="981"/>
      <c r="X15" s="981"/>
      <c r="Y15" s="981"/>
      <c r="Z15" s="981"/>
      <c r="AA15" s="622"/>
      <c r="AB15" s="981"/>
      <c r="AC15" s="981"/>
      <c r="AD15" s="981"/>
      <c r="AE15" s="981"/>
      <c r="AF15" s="622"/>
      <c r="AG15" s="981"/>
      <c r="AH15" s="981"/>
      <c r="AI15" s="981"/>
      <c r="AJ15" s="981"/>
      <c r="AK15" s="622"/>
      <c r="AL15" s="624"/>
      <c r="AM15" s="624"/>
      <c r="AN15" s="624"/>
      <c r="AO15" s="624"/>
      <c r="AP15" s="622"/>
      <c r="AQ15" s="624"/>
      <c r="AR15" s="624"/>
      <c r="AS15" s="624"/>
      <c r="AT15" s="624"/>
      <c r="AU15" s="622"/>
      <c r="AV15" s="624"/>
      <c r="AW15" s="624"/>
      <c r="AX15" s="624"/>
      <c r="AY15" s="624"/>
      <c r="AZ15" s="622"/>
      <c r="BA15" s="624"/>
      <c r="BB15" s="624"/>
      <c r="BC15" s="624"/>
      <c r="BD15" s="624"/>
      <c r="BE15" s="622"/>
      <c r="BF15" s="624"/>
      <c r="BG15" s="624"/>
      <c r="BH15" s="624"/>
      <c r="BI15" s="624"/>
      <c r="BJ15" s="622"/>
      <c r="BK15" s="624"/>
      <c r="BL15" s="624"/>
      <c r="BM15" s="624"/>
      <c r="BN15" s="624"/>
      <c r="BO15" s="622"/>
      <c r="BP15" s="624"/>
      <c r="BQ15" s="624"/>
      <c r="BR15" s="624"/>
      <c r="BS15" s="624"/>
      <c r="BT15" s="622"/>
      <c r="BU15" s="624"/>
      <c r="BV15" s="624"/>
      <c r="BW15" s="624"/>
      <c r="BX15" s="624"/>
      <c r="BY15" s="622"/>
      <c r="BZ15" s="624"/>
      <c r="CA15" s="624"/>
      <c r="CB15" s="624"/>
      <c r="CC15" s="624"/>
      <c r="CD15" s="622"/>
      <c r="CE15" s="624"/>
      <c r="CF15" s="624"/>
      <c r="CG15" s="624"/>
      <c r="CH15" s="624"/>
      <c r="CI15" s="622"/>
      <c r="CJ15" s="624"/>
      <c r="CK15" s="624"/>
      <c r="CL15" s="624"/>
      <c r="CM15" s="624"/>
      <c r="CN15" s="622"/>
      <c r="CO15" s="624"/>
      <c r="CP15" s="624"/>
      <c r="CQ15" s="624"/>
      <c r="CR15" s="624"/>
      <c r="CS15" s="622"/>
      <c r="CT15" s="624"/>
      <c r="CU15" s="624"/>
      <c r="CV15" s="624"/>
      <c r="CW15" s="624"/>
      <c r="CX15" s="622"/>
      <c r="CY15" s="619">
        <f t="shared" ref="CY15:EA15" si="0">SUM(CY12:CY14)</f>
      </c>
      <c r="CZ15" s="619">
        <f t="shared" si="0"/>
      </c>
      <c r="DA15" s="619">
        <f t="shared" si="0"/>
      </c>
      <c r="DB15" s="619">
        <f t="shared" si="0"/>
      </c>
      <c r="DC15" s="829">
        <f t="shared" si="0"/>
      </c>
      <c r="DD15" s="619">
        <f t="shared" si="0"/>
      </c>
      <c r="DE15" s="619">
        <f t="shared" si="0"/>
      </c>
      <c r="DF15" s="619">
        <f t="shared" si="0"/>
      </c>
      <c r="DG15" s="619">
        <f t="shared" si="0"/>
      </c>
      <c r="DH15" s="829">
        <f t="shared" si="0"/>
      </c>
      <c r="DI15" s="619">
        <f t="shared" si="0"/>
      </c>
      <c r="DJ15" s="619">
        <f t="shared" si="0"/>
      </c>
      <c r="DK15" s="619">
        <f t="shared" si="0"/>
      </c>
      <c r="DL15" s="619">
        <f t="shared" si="0"/>
      </c>
      <c r="DM15" s="829">
        <f t="shared" si="0"/>
      </c>
      <c r="DN15" s="619">
        <f t="shared" si="0"/>
      </c>
      <c r="DO15" s="619">
        <f t="shared" si="0"/>
      </c>
      <c r="DP15" s="619">
        <f t="shared" si="0"/>
      </c>
      <c r="DQ15" s="619">
        <f t="shared" si="0"/>
      </c>
      <c r="DR15" s="829">
        <f t="shared" si="0"/>
      </c>
      <c r="DS15" s="619">
        <f t="shared" si="0"/>
      </c>
      <c r="DT15" s="619">
        <f t="shared" si="0"/>
      </c>
      <c r="DU15" s="619">
        <f t="shared" si="0"/>
      </c>
      <c r="DV15" s="619">
        <f t="shared" si="0"/>
      </c>
      <c r="DW15" s="829">
        <f t="shared" si="0"/>
      </c>
      <c r="DX15" s="619">
        <f t="shared" si="0"/>
      </c>
      <c r="DY15" s="619">
        <f t="shared" si="0"/>
      </c>
      <c r="DZ15" s="619">
        <f t="shared" si="0"/>
      </c>
      <c r="EA15" s="619">
        <f t="shared" si="0"/>
      </c>
      <c r="EB15" s="829">
        <f t="shared" ref="EB15:FZ15" si="1">SUM(EB12:EB14)</f>
      </c>
      <c r="EC15" s="619">
        <f t="shared" si="1"/>
      </c>
      <c r="ED15" s="619">
        <f t="shared" si="1"/>
      </c>
      <c r="EE15" s="619">
        <f t="shared" si="1"/>
      </c>
      <c r="EF15" s="619">
        <f t="shared" si="1"/>
      </c>
      <c r="EG15" s="829">
        <f t="shared" si="1"/>
      </c>
      <c r="EH15" s="619">
        <f t="shared" si="1"/>
      </c>
      <c r="EI15" s="619">
        <f t="shared" si="1"/>
      </c>
      <c r="EJ15" s="619">
        <f t="shared" si="1"/>
      </c>
      <c r="EK15" s="619">
        <f t="shared" si="1"/>
      </c>
      <c r="EL15" s="829">
        <f t="shared" si="1"/>
      </c>
      <c r="EM15" s="619">
        <f t="shared" si="1"/>
      </c>
      <c r="EN15" s="619">
        <f t="shared" si="1"/>
      </c>
      <c r="EO15" s="619">
        <f t="shared" si="1"/>
      </c>
      <c r="EP15" s="619">
        <f t="shared" si="1"/>
      </c>
      <c r="EQ15" s="829">
        <f t="shared" si="1"/>
      </c>
      <c r="ER15" s="619">
        <f t="shared" si="1"/>
      </c>
      <c r="ES15" s="619">
        <f t="shared" si="1"/>
      </c>
      <c r="ET15" s="619">
        <f>SUM(ET12:ET14)</f>
      </c>
      <c r="EU15" s="619">
        <f>SUM(EU12:EU14)</f>
      </c>
      <c r="EV15" s="829">
        <f>SUM(EV12:EV14)</f>
      </c>
      <c r="EW15" s="619">
        <f t="shared" si="1"/>
      </c>
      <c r="EX15" s="619">
        <f t="shared" ref="EX15:EY15" si="2">SUM(EX12:EX14)</f>
      </c>
      <c r="EY15" s="619">
        <f t="shared" si="2"/>
      </c>
      <c r="EZ15" s="619">
        <f>SUM(EZ12:EZ14)</f>
      </c>
      <c r="FA15" s="829">
        <f>SUM(FA12:FA14)</f>
      </c>
      <c r="FB15" s="619">
        <f t="shared" si="1"/>
      </c>
      <c r="FC15" s="619">
        <f t="shared" si="1"/>
      </c>
      <c r="FD15" s="619">
        <f t="shared" si="1"/>
      </c>
      <c r="FE15" s="619">
        <f t="shared" si="1"/>
      </c>
      <c r="FF15" s="829">
        <f t="shared" si="1"/>
      </c>
      <c r="FG15" s="619">
        <f t="shared" si="1"/>
      </c>
      <c r="FH15" s="619">
        <f t="shared" si="1"/>
      </c>
      <c r="FI15" s="619">
        <f t="shared" si="1"/>
      </c>
      <c r="FJ15" s="619">
        <f t="shared" si="1"/>
      </c>
      <c r="FK15" s="829">
        <f t="shared" si="1"/>
      </c>
      <c r="FL15" s="619">
        <f t="shared" si="1"/>
      </c>
      <c r="FM15" s="619">
        <f t="shared" si="1"/>
      </c>
      <c r="FN15" s="619">
        <f t="shared" si="1"/>
      </c>
      <c r="FO15" s="619">
        <f t="shared" si="1"/>
      </c>
      <c r="FP15" s="829">
        <f t="shared" si="1"/>
      </c>
      <c r="FQ15" s="619">
        <f t="shared" si="1"/>
      </c>
      <c r="FR15" s="619">
        <f t="shared" si="1"/>
      </c>
      <c r="FS15" s="619">
        <f t="shared" si="1"/>
      </c>
      <c r="FT15" s="619">
        <f t="shared" si="1"/>
      </c>
      <c r="FU15" s="829">
        <f t="shared" si="1"/>
      </c>
      <c r="FV15" s="619">
        <f t="shared" si="1"/>
      </c>
      <c r="FW15" s="619">
        <f t="shared" si="1"/>
      </c>
      <c r="FX15" s="619">
        <f t="shared" si="1"/>
      </c>
      <c r="FY15" s="619">
        <f t="shared" si="1"/>
      </c>
      <c r="FZ15" s="829">
        <f t="shared" si="1"/>
      </c>
      <c r="GA15" s="619">
        <f t="shared" ref="GA15:GJ15" si="3">SUM(GA12:GA14)</f>
      </c>
      <c r="GB15" s="619">
        <f t="shared" si="3"/>
      </c>
      <c r="GC15" s="619">
        <f t="shared" si="3"/>
      </c>
      <c r="GD15" s="619">
        <f t="shared" si="3"/>
      </c>
      <c r="GE15" s="829">
        <f t="shared" si="3"/>
      </c>
      <c r="GF15" s="619">
        <f t="shared" si="3"/>
      </c>
      <c r="GG15" s="619">
        <f t="shared" si="3"/>
      </c>
      <c r="GH15" s="619">
        <f t="shared" si="3"/>
      </c>
      <c r="GI15" s="619">
        <f t="shared" si="3"/>
      </c>
      <c r="GJ15" s="829">
        <f t="shared" si="3"/>
      </c>
    </row>
    <row r="16" spans="1:192" s="461" customFormat="1" ht="12.75" hidden="1" customHeight="1" outlineLevel="1">
      <c r="A16" s="370"/>
      <c r="B16" s="992"/>
      <c r="C16" s="993"/>
      <c r="D16" s="993"/>
      <c r="E16" s="993"/>
      <c r="F16" s="993"/>
      <c r="G16" s="994"/>
      <c r="H16" s="993"/>
      <c r="I16" s="993"/>
      <c r="J16" s="993"/>
      <c r="K16" s="993"/>
      <c r="L16" s="994"/>
      <c r="M16" s="993"/>
      <c r="N16" s="993"/>
      <c r="O16" s="993"/>
      <c r="P16" s="993"/>
      <c r="Q16" s="994"/>
      <c r="R16" s="995"/>
      <c r="S16" s="995"/>
      <c r="T16" s="995"/>
      <c r="U16" s="995"/>
      <c r="V16" s="994"/>
      <c r="W16" s="995"/>
      <c r="X16" s="995"/>
      <c r="Y16" s="995"/>
      <c r="Z16" s="995"/>
      <c r="AA16" s="994"/>
      <c r="AB16" s="995"/>
      <c r="AC16" s="995"/>
      <c r="AD16" s="995"/>
      <c r="AE16" s="995"/>
      <c r="AF16" s="994"/>
      <c r="AG16" s="995"/>
      <c r="AH16" s="995"/>
      <c r="AI16" s="995"/>
      <c r="AJ16" s="995"/>
      <c r="AK16" s="994"/>
      <c r="AL16" s="993"/>
      <c r="AM16" s="993"/>
      <c r="AN16" s="993"/>
      <c r="AO16" s="993"/>
      <c r="AP16" s="994"/>
      <c r="AQ16" s="993"/>
      <c r="AR16" s="993"/>
      <c r="AS16" s="993"/>
      <c r="AT16" s="993"/>
      <c r="AU16" s="994"/>
      <c r="AV16" s="993"/>
      <c r="AW16" s="993"/>
      <c r="AX16" s="993"/>
      <c r="AY16" s="993"/>
      <c r="AZ16" s="994"/>
      <c r="BA16" s="993"/>
      <c r="BB16" s="993"/>
      <c r="BC16" s="993"/>
      <c r="BD16" s="993"/>
      <c r="BE16" s="994"/>
      <c r="BF16" s="993"/>
      <c r="BG16" s="993"/>
      <c r="BH16" s="993"/>
      <c r="BI16" s="993"/>
      <c r="BJ16" s="994"/>
      <c r="BK16" s="993"/>
      <c r="BL16" s="993"/>
      <c r="BM16" s="993"/>
      <c r="BN16" s="993"/>
      <c r="BO16" s="994"/>
      <c r="BP16" s="993"/>
      <c r="BQ16" s="993"/>
      <c r="BR16" s="993"/>
      <c r="BS16" s="993"/>
      <c r="BT16" s="994"/>
      <c r="BU16" s="993"/>
      <c r="BV16" s="993"/>
      <c r="BW16" s="993"/>
      <c r="BX16" s="993"/>
      <c r="BY16" s="994"/>
      <c r="BZ16" s="993"/>
      <c r="CA16" s="993"/>
      <c r="CB16" s="993"/>
      <c r="CC16" s="993"/>
      <c r="CD16" s="994"/>
      <c r="CE16" s="993"/>
      <c r="CF16" s="993"/>
      <c r="CG16" s="993"/>
      <c r="CH16" s="993"/>
      <c r="CI16" s="994"/>
      <c r="CJ16" s="993"/>
      <c r="CK16" s="993"/>
      <c r="CL16" s="993"/>
      <c r="CM16" s="993"/>
      <c r="CN16" s="994"/>
      <c r="CO16" s="993"/>
      <c r="CP16" s="993"/>
      <c r="CQ16" s="993"/>
      <c r="CR16" s="993"/>
      <c r="CS16" s="994"/>
      <c r="CT16" s="993"/>
      <c r="CU16" s="993"/>
      <c r="CV16" s="993"/>
      <c r="CW16" s="993"/>
      <c r="CX16" s="994"/>
      <c r="CY16" s="996"/>
      <c r="CZ16" s="996"/>
      <c r="DA16" s="996"/>
      <c r="DB16" s="996"/>
      <c r="DC16" s="854"/>
      <c r="DD16" s="996"/>
      <c r="DE16" s="996"/>
      <c r="DF16" s="996"/>
      <c r="DG16" s="996"/>
      <c r="DH16" s="854"/>
      <c r="DI16" s="996"/>
      <c r="DJ16" s="996"/>
      <c r="DK16" s="996"/>
      <c r="DL16" s="996"/>
      <c r="DM16" s="854"/>
      <c r="DN16" s="996"/>
      <c r="DO16" s="996"/>
      <c r="DP16" s="996"/>
      <c r="DQ16" s="996"/>
      <c r="DR16" s="854"/>
      <c r="DS16" s="996"/>
      <c r="DT16" s="996"/>
      <c r="DU16" s="996"/>
      <c r="DV16" s="996"/>
      <c r="DW16" s="854"/>
      <c r="DX16" s="996"/>
      <c r="DY16" s="996"/>
      <c r="DZ16" s="996"/>
      <c r="EA16" s="996"/>
      <c r="EB16" s="854"/>
      <c r="EC16" s="996"/>
      <c r="ED16" s="996"/>
      <c r="EE16" s="996"/>
      <c r="EF16" s="996"/>
      <c r="EG16" s="854"/>
      <c r="EH16" s="996"/>
      <c r="EI16" s="996"/>
      <c r="EJ16" s="996"/>
      <c r="EK16" s="996"/>
      <c r="EL16" s="854"/>
      <c r="EM16" s="996"/>
      <c r="EN16" s="996"/>
      <c r="EO16" s="996"/>
      <c r="EP16" s="996"/>
      <c r="EQ16" s="854"/>
      <c r="ER16" s="996"/>
      <c r="ES16" s="996"/>
      <c r="ET16" s="996"/>
      <c r="EU16" s="996"/>
      <c r="EV16" s="854"/>
      <c r="EW16" s="996"/>
      <c r="EX16" s="996"/>
      <c r="EY16" s="996"/>
      <c r="EZ16" s="996"/>
      <c r="FA16" s="854"/>
      <c r="FB16" s="996"/>
      <c r="FC16" s="996"/>
      <c r="FD16" s="996"/>
      <c r="FE16" s="996"/>
      <c r="FF16" s="854"/>
      <c r="FG16" s="996"/>
      <c r="FH16" s="996"/>
      <c r="FI16" s="996"/>
      <c r="FJ16" s="996"/>
      <c r="FK16" s="854"/>
      <c r="FL16" s="996"/>
      <c r="FM16" s="996"/>
      <c r="FN16" s="996"/>
      <c r="FO16" s="996"/>
      <c r="FP16" s="854"/>
      <c r="FQ16" s="996"/>
      <c r="FR16" s="996"/>
      <c r="FS16" s="996"/>
      <c r="FT16" s="996"/>
      <c r="FU16" s="854"/>
      <c r="FV16" s="996"/>
      <c r="FW16" s="996"/>
      <c r="FX16" s="996"/>
      <c r="FY16" s="996"/>
      <c r="FZ16" s="854"/>
      <c r="GA16" s="996"/>
      <c r="GB16" s="996"/>
      <c r="GC16" s="996"/>
      <c r="GD16" s="996"/>
      <c r="GE16" s="854"/>
      <c r="GF16" s="996"/>
      <c r="GG16" s="996"/>
      <c r="GH16" s="996"/>
      <c r="GI16" s="996"/>
      <c r="GJ16" s="854"/>
    </row>
    <row r="17" spans="1:192" s="461" customFormat="1" ht="12.75" hidden="1" customHeight="1" outlineLevel="1">
      <c r="A17" s="370"/>
      <c r="B17" s="986" t="s">
        <v>250</v>
      </c>
      <c r="C17" s="987"/>
      <c r="D17" s="987"/>
      <c r="E17" s="987"/>
      <c r="F17" s="987"/>
      <c r="G17" s="988"/>
      <c r="H17" s="987"/>
      <c r="I17" s="987"/>
      <c r="J17" s="987"/>
      <c r="K17" s="987"/>
      <c r="L17" s="988"/>
      <c r="M17" s="987"/>
      <c r="N17" s="987"/>
      <c r="O17" s="987"/>
      <c r="P17" s="987"/>
      <c r="Q17" s="988"/>
      <c r="R17" s="989"/>
      <c r="S17" s="989"/>
      <c r="T17" s="989"/>
      <c r="U17" s="989"/>
      <c r="V17" s="988"/>
      <c r="W17" s="989"/>
      <c r="X17" s="989"/>
      <c r="Y17" s="989"/>
      <c r="Z17" s="989"/>
      <c r="AA17" s="988"/>
      <c r="AB17" s="989"/>
      <c r="AC17" s="989"/>
      <c r="AD17" s="989"/>
      <c r="AE17" s="989"/>
      <c r="AF17" s="988"/>
      <c r="AG17" s="989"/>
      <c r="AH17" s="989"/>
      <c r="AI17" s="989"/>
      <c r="AJ17" s="989"/>
      <c r="AK17" s="988"/>
      <c r="AL17" s="987"/>
      <c r="AM17" s="987"/>
      <c r="AN17" s="987"/>
      <c r="AO17" s="987"/>
      <c r="AP17" s="988"/>
      <c r="AQ17" s="987"/>
      <c r="AR17" s="987"/>
      <c r="AS17" s="987"/>
      <c r="AT17" s="987"/>
      <c r="AU17" s="988"/>
      <c r="AV17" s="987"/>
      <c r="AW17" s="987"/>
      <c r="AX17" s="987"/>
      <c r="AY17" s="987"/>
      <c r="AZ17" s="988"/>
      <c r="BA17" s="987"/>
      <c r="BB17" s="987"/>
      <c r="BC17" s="987"/>
      <c r="BD17" s="987"/>
      <c r="BE17" s="988"/>
      <c r="BF17" s="987"/>
      <c r="BG17" s="987"/>
      <c r="BH17" s="987"/>
      <c r="BI17" s="987"/>
      <c r="BJ17" s="988"/>
      <c r="BK17" s="987"/>
      <c r="BL17" s="987"/>
      <c r="BM17" s="987"/>
      <c r="BN17" s="987"/>
      <c r="BO17" s="988"/>
      <c r="BP17" s="987"/>
      <c r="BQ17" s="987"/>
      <c r="BR17" s="987"/>
      <c r="BS17" s="987"/>
      <c r="BT17" s="988"/>
      <c r="BU17" s="987"/>
      <c r="BV17" s="987"/>
      <c r="BW17" s="987"/>
      <c r="BX17" s="987"/>
      <c r="BY17" s="988"/>
      <c r="BZ17" s="987"/>
      <c r="CA17" s="987"/>
      <c r="CB17" s="987"/>
      <c r="CC17" s="987"/>
      <c r="CD17" s="988"/>
      <c r="CE17" s="987"/>
      <c r="CF17" s="987"/>
      <c r="CG17" s="987"/>
      <c r="CH17" s="987"/>
      <c r="CI17" s="988"/>
      <c r="CJ17" s="987"/>
      <c r="CK17" s="987"/>
      <c r="CL17" s="987"/>
      <c r="CM17" s="987"/>
      <c r="CN17" s="988"/>
      <c r="CO17" s="987"/>
      <c r="CP17" s="987"/>
      <c r="CQ17" s="987"/>
      <c r="CR17" s="987"/>
      <c r="CS17" s="988"/>
      <c r="CT17" s="987"/>
      <c r="CU17" s="987"/>
      <c r="CV17" s="987"/>
      <c r="CW17" s="987"/>
      <c r="CX17" s="988"/>
      <c r="CY17" s="990"/>
      <c r="CZ17" s="990"/>
      <c r="DA17" s="990"/>
      <c r="DB17" s="990"/>
      <c r="DC17" s="991"/>
      <c r="DD17" s="990"/>
      <c r="DE17" s="990"/>
      <c r="DF17" s="990"/>
      <c r="DG17" s="990">
        <f>'Ticker0024 Cloud'!DG10</f>
      </c>
      <c r="DH17" s="991">
        <f>'Ticker0024 Cloud'!DH10</f>
      </c>
      <c r="DI17" s="990">
        <f>'Ticker0024 Cloud'!DI10</f>
      </c>
      <c r="DJ17" s="990">
        <f>'Ticker0024 Cloud'!DJ10</f>
      </c>
      <c r="DK17" s="990">
        <f>'Ticker0024 Cloud'!DK10</f>
      </c>
      <c r="DL17" s="990">
        <f>'Ticker0024 Cloud'!DL10</f>
      </c>
      <c r="DM17" s="991">
        <f>'Ticker0024 Cloud'!DM10</f>
      </c>
      <c r="DN17" s="990">
        <f>'Ticker0024 Cloud'!DN10</f>
      </c>
      <c r="DO17" s="990">
        <f>'Ticker0024 Cloud'!DO10</f>
      </c>
      <c r="DP17" s="990">
        <f>'Ticker0024 Cloud'!DP10</f>
      </c>
      <c r="DQ17" s="990">
        <f>'Ticker0024 Cloud'!DQ10</f>
      </c>
      <c r="DR17" s="991">
        <f>'Ticker0024 Cloud'!DR10</f>
      </c>
      <c r="DS17" s="990">
        <f>'Ticker0024 Cloud'!DS10</f>
      </c>
      <c r="DT17" s="990">
        <f>'Ticker0024 Cloud'!DT10</f>
      </c>
      <c r="DU17" s="990">
        <f>'Ticker0024 Cloud'!DU10</f>
      </c>
      <c r="DV17" s="990">
        <f>'Ticker0024 Cloud'!DV10</f>
      </c>
      <c r="DW17" s="991">
        <f>'Ticker0024 Cloud'!DW10</f>
      </c>
      <c r="DX17" s="990">
        <f>'Ticker0024 Cloud'!DX10</f>
      </c>
      <c r="DY17" s="990">
        <f>'Ticker0024 Cloud'!DY10</f>
      </c>
      <c r="DZ17" s="990">
        <f>'Ticker0024 Cloud'!DZ10</f>
      </c>
      <c r="EA17" s="990">
        <f>'Ticker0024 Cloud'!EA10</f>
      </c>
      <c r="EB17" s="991">
        <f>'Ticker0024 Cloud'!EB10</f>
      </c>
      <c r="EC17" s="990">
        <f>'Ticker0024 Cloud'!EC10</f>
      </c>
      <c r="ED17" s="990">
        <f>'Ticker0024 Cloud'!ED10</f>
      </c>
      <c r="EE17" s="990">
        <f>'Ticker0024 Cloud'!EE10</f>
      </c>
      <c r="EF17" s="990">
        <f>'Ticker0024 Cloud'!EF10</f>
      </c>
      <c r="EG17" s="991">
        <f>'Ticker0024 Cloud'!EG10</f>
      </c>
      <c r="EH17" s="990">
        <f>'Ticker0024 Cloud'!EH10</f>
      </c>
      <c r="EI17" s="990">
        <f>'Ticker0024 Cloud'!EI10</f>
      </c>
      <c r="EJ17" s="990">
        <f>'Ticker0024 Cloud'!EJ10</f>
      </c>
      <c r="EK17" s="990">
        <f>'Ticker0024 Cloud'!EK10</f>
      </c>
      <c r="EL17" s="991">
        <f>'Ticker0024 Cloud'!EL10</f>
      </c>
      <c r="EM17" s="990">
        <f>'Ticker0024 Cloud'!EM10</f>
      </c>
      <c r="EN17" s="990">
        <f>'Ticker0024 Cloud'!EN10</f>
      </c>
      <c r="EO17" s="990">
        <f>'Ticker0024 Cloud'!EO10</f>
      </c>
      <c r="EP17" s="990">
        <f>'Ticker0024 Cloud'!EP10</f>
      </c>
      <c r="EQ17" s="991">
        <f>'Ticker0024 Cloud'!EQ10</f>
      </c>
      <c r="ER17" s="990">
        <f>'Ticker0024 Cloud'!ER10</f>
      </c>
      <c r="ES17" s="990">
        <f>'Ticker0024 Cloud'!ES10</f>
      </c>
      <c r="ET17" s="990">
        <f>'Ticker0024 Cloud'!ET10</f>
      </c>
      <c r="EU17" s="990">
        <f>'Ticker0024 Cloud'!EU10</f>
      </c>
      <c r="EV17" s="991">
        <f>'Ticker0024 Cloud'!EV10</f>
      </c>
      <c r="EW17" s="990">
        <f>'Ticker0024 Cloud'!EW10</f>
      </c>
      <c r="EX17" s="990">
        <f>'Ticker0024 Cloud'!EX10</f>
      </c>
      <c r="EY17" s="990">
        <f>'Ticker0024 Cloud'!EY10</f>
      </c>
      <c r="EZ17" s="990">
        <f>'Ticker0024 Cloud'!EZ10</f>
      </c>
      <c r="FA17" s="991">
        <f>'Ticker0024 Cloud'!FA10</f>
      </c>
      <c r="FB17" s="990">
        <f>'Ticker0024 Cloud'!FB10</f>
      </c>
      <c r="FC17" s="990">
        <f>'Ticker0024 Cloud'!FC10</f>
      </c>
      <c r="FD17" s="990">
        <f>'Ticker0024 Cloud'!FD10</f>
      </c>
      <c r="FE17" s="990">
        <f>'Ticker0024 Cloud'!FE10</f>
      </c>
      <c r="FF17" s="991">
        <f>'Ticker0024 Cloud'!FF10</f>
      </c>
      <c r="FG17" s="990">
        <f>'Ticker0024 Cloud'!FG10</f>
      </c>
      <c r="FH17" s="990">
        <f>'Ticker0024 Cloud'!FH10</f>
      </c>
      <c r="FI17" s="990">
        <f>'Ticker0024 Cloud'!FI10</f>
      </c>
      <c r="FJ17" s="990">
        <f>'Ticker0024 Cloud'!FJ10</f>
      </c>
      <c r="FK17" s="991">
        <f>'Ticker0024 Cloud'!FK10</f>
      </c>
      <c r="FL17" s="990">
        <f>'Ticker0024 Cloud'!FL10</f>
      </c>
      <c r="FM17" s="990">
        <f>'Ticker0024 Cloud'!FM10</f>
      </c>
      <c r="FN17" s="990">
        <f>'Ticker0024 Cloud'!FN10</f>
      </c>
      <c r="FO17" s="990">
        <f>'Ticker0024 Cloud'!FO10</f>
      </c>
      <c r="FP17" s="991">
        <f>'Ticker0024 Cloud'!FP10</f>
      </c>
      <c r="FQ17" s="990">
        <f>'Ticker0024 Cloud'!FQ10</f>
      </c>
      <c r="FR17" s="990">
        <f>'Ticker0024 Cloud'!FR10</f>
      </c>
      <c r="FS17" s="990">
        <f>'Ticker0024 Cloud'!FS10</f>
      </c>
      <c r="FT17" s="990">
        <f>'Ticker0024 Cloud'!FT10</f>
      </c>
      <c r="FU17" s="991">
        <f>'Ticker0024 Cloud'!FU10</f>
      </c>
      <c r="FV17" s="990">
        <f>'Ticker0024 Cloud'!FV10</f>
      </c>
      <c r="FW17" s="990">
        <f>'Ticker0024 Cloud'!FW10</f>
      </c>
      <c r="FX17" s="990">
        <f>'Ticker0024 Cloud'!FX10</f>
      </c>
      <c r="FY17" s="990">
        <f>'Ticker0024 Cloud'!FY10</f>
      </c>
      <c r="FZ17" s="991">
        <f>'Ticker0024 Cloud'!FZ10</f>
      </c>
      <c r="GA17" s="990">
        <f>'Ticker0024 Cloud'!GA10</f>
      </c>
      <c r="GB17" s="990">
        <f>'Ticker0024 Cloud'!GB10</f>
      </c>
      <c r="GC17" s="990">
        <f>'Ticker0024 Cloud'!GC10</f>
      </c>
      <c r="GD17" s="990">
        <f>'Ticker0024 Cloud'!GD10</f>
      </c>
      <c r="GE17" s="991">
        <f>'Ticker0024 Cloud'!GE10</f>
      </c>
      <c r="GF17" s="990">
        <f>'Ticker0024 Cloud'!GF10</f>
      </c>
      <c r="GG17" s="990">
        <f>'Ticker0024 Cloud'!GG10</f>
      </c>
      <c r="GH17" s="990">
        <f>'Ticker0024 Cloud'!GH10</f>
      </c>
      <c r="GI17" s="990">
        <f>'Ticker0024 Cloud'!GI10</f>
      </c>
      <c r="GJ17" s="991">
        <f>'Ticker0024 Cloud'!GJ10</f>
      </c>
    </row>
    <row r="18" spans="1:192" s="1048" customFormat="1" ht="12.75" hidden="1" customHeight="1" outlineLevel="1">
      <c r="A18" s="1042"/>
      <c r="B18" s="1041" t="s">
        <v>257</v>
      </c>
      <c r="C18" s="1043"/>
      <c r="D18" s="1043"/>
      <c r="E18" s="1043"/>
      <c r="F18" s="1043"/>
      <c r="G18" s="1044"/>
      <c r="H18" s="1043"/>
      <c r="I18" s="1043"/>
      <c r="J18" s="1043"/>
      <c r="K18" s="1043"/>
      <c r="L18" s="1044"/>
      <c r="M18" s="1043"/>
      <c r="N18" s="1043"/>
      <c r="O18" s="1043"/>
      <c r="P18" s="1043"/>
      <c r="Q18" s="1044"/>
      <c r="R18" s="1045"/>
      <c r="S18" s="1045"/>
      <c r="T18" s="1045"/>
      <c r="U18" s="1045"/>
      <c r="V18" s="1044"/>
      <c r="W18" s="1045"/>
      <c r="X18" s="1045"/>
      <c r="Y18" s="1045"/>
      <c r="Z18" s="1045"/>
      <c r="AA18" s="1044"/>
      <c r="AB18" s="1045"/>
      <c r="AC18" s="1045"/>
      <c r="AD18" s="1045"/>
      <c r="AE18" s="1045"/>
      <c r="AF18" s="1044"/>
      <c r="AG18" s="1045"/>
      <c r="AH18" s="1045"/>
      <c r="AI18" s="1045"/>
      <c r="AJ18" s="1045"/>
      <c r="AK18" s="1044"/>
      <c r="AL18" s="1043"/>
      <c r="AM18" s="1043"/>
      <c r="AN18" s="1043"/>
      <c r="AO18" s="1043"/>
      <c r="AP18" s="1044"/>
      <c r="AQ18" s="1043"/>
      <c r="AR18" s="1043"/>
      <c r="AS18" s="1043"/>
      <c r="AT18" s="1043"/>
      <c r="AU18" s="1044"/>
      <c r="AV18" s="1043"/>
      <c r="AW18" s="1043"/>
      <c r="AX18" s="1043"/>
      <c r="AY18" s="1043"/>
      <c r="AZ18" s="1044"/>
      <c r="BA18" s="1043"/>
      <c r="BB18" s="1043"/>
      <c r="BC18" s="1043"/>
      <c r="BD18" s="1043"/>
      <c r="BE18" s="1044"/>
      <c r="BF18" s="1043"/>
      <c r="BG18" s="1043"/>
      <c r="BH18" s="1043"/>
      <c r="BI18" s="1043"/>
      <c r="BJ18" s="1044"/>
      <c r="BK18" s="1043"/>
      <c r="BL18" s="1043"/>
      <c r="BM18" s="1043"/>
      <c r="BN18" s="1043"/>
      <c r="BO18" s="1044"/>
      <c r="BP18" s="1043"/>
      <c r="BQ18" s="1043"/>
      <c r="BR18" s="1043"/>
      <c r="BS18" s="1043"/>
      <c r="BT18" s="1044"/>
      <c r="BU18" s="1043"/>
      <c r="BV18" s="1043"/>
      <c r="BW18" s="1043"/>
      <c r="BX18" s="1043"/>
      <c r="BY18" s="1044"/>
      <c r="BZ18" s="1043"/>
      <c r="CA18" s="1043"/>
      <c r="CB18" s="1043"/>
      <c r="CC18" s="1043"/>
      <c r="CD18" s="1044"/>
      <c r="CE18" s="1043"/>
      <c r="CF18" s="1043"/>
      <c r="CG18" s="1043"/>
      <c r="CH18" s="1043"/>
      <c r="CI18" s="1044"/>
      <c r="CJ18" s="1043"/>
      <c r="CK18" s="1043"/>
      <c r="CL18" s="1043"/>
      <c r="CM18" s="1043"/>
      <c r="CN18" s="1044"/>
      <c r="CO18" s="1043"/>
      <c r="CP18" s="1043"/>
      <c r="CQ18" s="1043"/>
      <c r="CR18" s="1043"/>
      <c r="CS18" s="1044"/>
      <c r="CT18" s="1043"/>
      <c r="CU18" s="1043"/>
      <c r="CV18" s="1043"/>
      <c r="CW18" s="1043"/>
      <c r="CX18" s="1044"/>
      <c r="CY18" s="769"/>
      <c r="CZ18" s="769"/>
      <c r="DA18" s="769"/>
      <c r="DB18" s="769"/>
      <c r="DC18" s="1046"/>
      <c r="DD18" s="771"/>
      <c r="DE18" s="771"/>
      <c r="DF18" s="771"/>
      <c r="DG18" s="771">
        <f t="shared" ref="DG18:FP18" si="4">IFERROR(DG17/DG15,"")</f>
      </c>
      <c r="DH18" s="1047"/>
      <c r="DI18" s="771">
        <f t="shared" si="4"/>
      </c>
      <c r="DJ18" s="771">
        <f t="shared" si="4"/>
      </c>
      <c r="DK18" s="771">
        <f t="shared" si="4"/>
      </c>
      <c r="DL18" s="771">
        <f t="shared" si="4"/>
      </c>
      <c r="DM18" s="1047">
        <f t="shared" si="4"/>
      </c>
      <c r="DN18" s="771">
        <f t="shared" si="4"/>
      </c>
      <c r="DO18" s="771">
        <f t="shared" si="4"/>
      </c>
      <c r="DP18" s="771">
        <f t="shared" si="4"/>
      </c>
      <c r="DQ18" s="771">
        <f t="shared" si="4"/>
      </c>
      <c r="DR18" s="1047">
        <f t="shared" si="4"/>
      </c>
      <c r="DS18" s="771">
        <f t="shared" si="4"/>
      </c>
      <c r="DT18" s="771">
        <f t="shared" si="4"/>
      </c>
      <c r="DU18" s="771">
        <f t="shared" si="4"/>
      </c>
      <c r="DV18" s="771">
        <f t="shared" si="4"/>
      </c>
      <c r="DW18" s="1047">
        <f t="shared" si="4"/>
      </c>
      <c r="DX18" s="771">
        <f t="shared" si="4"/>
      </c>
      <c r="DY18" s="771">
        <f t="shared" si="4"/>
      </c>
      <c r="DZ18" s="771">
        <f t="shared" si="4"/>
      </c>
      <c r="EA18" s="771">
        <f t="shared" si="4"/>
      </c>
      <c r="EB18" s="1047">
        <f t="shared" si="4"/>
      </c>
      <c r="EC18" s="771">
        <f t="shared" si="4"/>
      </c>
      <c r="ED18" s="771">
        <f t="shared" si="4"/>
      </c>
      <c r="EE18" s="771">
        <f t="shared" si="4"/>
      </c>
      <c r="EF18" s="771">
        <f t="shared" si="4"/>
      </c>
      <c r="EG18" s="1047">
        <f t="shared" si="4"/>
      </c>
      <c r="EH18" s="771">
        <f t="shared" si="4"/>
      </c>
      <c r="EI18" s="771">
        <f t="shared" si="4"/>
      </c>
      <c r="EJ18" s="771">
        <f t="shared" si="4"/>
      </c>
      <c r="EK18" s="771">
        <f t="shared" si="4"/>
      </c>
      <c r="EL18" s="1047">
        <f t="shared" si="4"/>
      </c>
      <c r="EM18" s="771">
        <f t="shared" si="4"/>
      </c>
      <c r="EN18" s="771">
        <f t="shared" si="4"/>
      </c>
      <c r="EO18" s="771">
        <f t="shared" si="4"/>
      </c>
      <c r="EP18" s="771">
        <f t="shared" si="4"/>
      </c>
      <c r="EQ18" s="1047">
        <f t="shared" si="4"/>
      </c>
      <c r="ER18" s="771">
        <f t="shared" si="4"/>
      </c>
      <c r="ES18" s="771">
        <f t="shared" si="4"/>
      </c>
      <c r="ET18" s="771">
        <f>IFERROR(ET17/ET15,"")</f>
      </c>
      <c r="EU18" s="771">
        <f>IFERROR(EU17/EU15,"")</f>
      </c>
      <c r="EV18" s="1047">
        <f>IFERROR(EV17/EV15,"")</f>
      </c>
      <c r="EW18" s="771">
        <f t="shared" si="4"/>
      </c>
      <c r="EX18" s="771">
        <f t="shared" ref="EX18:EY18" si="5">IFERROR(EX17/EX15,"")</f>
      </c>
      <c r="EY18" s="771">
        <f t="shared" si="5"/>
      </c>
      <c r="EZ18" s="771">
        <f>IFERROR(EZ17/EZ15,"")</f>
      </c>
      <c r="FA18" s="1047">
        <f>IFERROR(FA17/FA15,"")</f>
      </c>
      <c r="FB18" s="771">
        <f t="shared" si="4"/>
      </c>
      <c r="FC18" s="771">
        <f t="shared" si="4"/>
      </c>
      <c r="FD18" s="771">
        <f t="shared" si="4"/>
      </c>
      <c r="FE18" s="771">
        <f t="shared" si="4"/>
      </c>
      <c r="FF18" s="1047">
        <f t="shared" si="4"/>
      </c>
      <c r="FG18" s="771">
        <f t="shared" si="4"/>
      </c>
      <c r="FH18" s="771">
        <f t="shared" si="4"/>
      </c>
      <c r="FI18" s="771">
        <f t="shared" si="4"/>
      </c>
      <c r="FJ18" s="771">
        <f t="shared" si="4"/>
      </c>
      <c r="FK18" s="1047">
        <f t="shared" si="4"/>
      </c>
      <c r="FL18" s="771">
        <f t="shared" si="4"/>
      </c>
      <c r="FM18" s="771">
        <f t="shared" si="4"/>
      </c>
      <c r="FN18" s="771">
        <f t="shared" si="4"/>
      </c>
      <c r="FO18" s="771">
        <f t="shared" si="4"/>
      </c>
      <c r="FP18" s="1047">
        <f t="shared" si="4"/>
      </c>
      <c r="FQ18" s="771">
        <f t="shared" ref="FQ18:FZ18" si="6">IFERROR(FQ17/FQ15,"")</f>
      </c>
      <c r="FR18" s="771">
        <f t="shared" si="6"/>
      </c>
      <c r="FS18" s="771">
        <f t="shared" si="6"/>
      </c>
      <c r="FT18" s="771">
        <f t="shared" si="6"/>
      </c>
      <c r="FU18" s="1047">
        <f t="shared" si="6"/>
      </c>
      <c r="FV18" s="771">
        <f t="shared" si="6"/>
      </c>
      <c r="FW18" s="771">
        <f t="shared" si="6"/>
      </c>
      <c r="FX18" s="771">
        <f t="shared" si="6"/>
      </c>
      <c r="FY18" s="771">
        <f t="shared" si="6"/>
      </c>
      <c r="FZ18" s="1047">
        <f t="shared" si="6"/>
      </c>
      <c r="GA18" s="771">
        <f t="shared" ref="GA18:GJ18" si="7">IFERROR(GA17/GA15,"")</f>
      </c>
      <c r="GB18" s="771">
        <f t="shared" si="7"/>
      </c>
      <c r="GC18" s="771">
        <f t="shared" si="7"/>
      </c>
      <c r="GD18" s="771">
        <f t="shared" si="7"/>
      </c>
      <c r="GE18" s="1047">
        <f t="shared" si="7"/>
      </c>
      <c r="GF18" s="771">
        <f t="shared" si="7"/>
      </c>
      <c r="GG18" s="771">
        <f t="shared" si="7"/>
      </c>
      <c r="GH18" s="771">
        <f t="shared" si="7"/>
      </c>
      <c r="GI18" s="771">
        <f t="shared" si="7"/>
      </c>
      <c r="GJ18" s="1047">
        <f t="shared" si="7"/>
      </c>
    </row>
    <row r="19" spans="1:192" s="1048" customFormat="1" ht="12.75" hidden="1" customHeight="1" outlineLevel="1">
      <c r="A19" s="1042"/>
      <c r="B19" s="986" t="s">
        <v>453</v>
      </c>
      <c r="C19" s="1043"/>
      <c r="D19" s="1043"/>
      <c r="E19" s="1043"/>
      <c r="F19" s="1043"/>
      <c r="G19" s="1044"/>
      <c r="H19" s="1043"/>
      <c r="I19" s="1043"/>
      <c r="J19" s="1043"/>
      <c r="K19" s="1043"/>
      <c r="L19" s="1044"/>
      <c r="M19" s="1043"/>
      <c r="N19" s="1043"/>
      <c r="O19" s="1043"/>
      <c r="P19" s="1043"/>
      <c r="Q19" s="1044"/>
      <c r="R19" s="1045"/>
      <c r="S19" s="1045"/>
      <c r="T19" s="1045"/>
      <c r="U19" s="1045"/>
      <c r="V19" s="1044"/>
      <c r="W19" s="1045"/>
      <c r="X19" s="1045"/>
      <c r="Y19" s="1045"/>
      <c r="Z19" s="1045"/>
      <c r="AA19" s="1044"/>
      <c r="AB19" s="1045"/>
      <c r="AC19" s="1045"/>
      <c r="AD19" s="1045"/>
      <c r="AE19" s="1045"/>
      <c r="AF19" s="1044"/>
      <c r="AG19" s="1045"/>
      <c r="AH19" s="1045"/>
      <c r="AI19" s="1045"/>
      <c r="AJ19" s="1045"/>
      <c r="AK19" s="1044"/>
      <c r="AL19" s="1043"/>
      <c r="AM19" s="1043"/>
      <c r="AN19" s="1043"/>
      <c r="AO19" s="1043"/>
      <c r="AP19" s="1044"/>
      <c r="AQ19" s="1043"/>
      <c r="AR19" s="1043"/>
      <c r="AS19" s="1043"/>
      <c r="AT19" s="1043"/>
      <c r="AU19" s="1044"/>
      <c r="AV19" s="1043"/>
      <c r="AW19" s="1043"/>
      <c r="AX19" s="1043"/>
      <c r="AY19" s="1043"/>
      <c r="AZ19" s="1044"/>
      <c r="BA19" s="1043"/>
      <c r="BB19" s="1043"/>
      <c r="BC19" s="1043"/>
      <c r="BD19" s="1043"/>
      <c r="BE19" s="1044"/>
      <c r="BF19" s="1043"/>
      <c r="BG19" s="1043"/>
      <c r="BH19" s="1043"/>
      <c r="BI19" s="1043"/>
      <c r="BJ19" s="1044"/>
      <c r="BK19" s="1043"/>
      <c r="BL19" s="1043"/>
      <c r="BM19" s="1043"/>
      <c r="BN19" s="1043"/>
      <c r="BO19" s="1044"/>
      <c r="BP19" s="1043"/>
      <c r="BQ19" s="1043"/>
      <c r="BR19" s="1043"/>
      <c r="BS19" s="1043"/>
      <c r="BT19" s="1044"/>
      <c r="BU19" s="1043"/>
      <c r="BV19" s="1043"/>
      <c r="BW19" s="1043"/>
      <c r="BX19" s="1043"/>
      <c r="BY19" s="1044"/>
      <c r="BZ19" s="1043"/>
      <c r="CA19" s="1043"/>
      <c r="CB19" s="1043"/>
      <c r="CC19" s="1043"/>
      <c r="CD19" s="1044"/>
      <c r="CE19" s="1043"/>
      <c r="CF19" s="1043"/>
      <c r="CG19" s="1043"/>
      <c r="CH19" s="1043"/>
      <c r="CI19" s="1044"/>
      <c r="CJ19" s="1043"/>
      <c r="CK19" s="1043"/>
      <c r="CL19" s="1043"/>
      <c r="CM19" s="1043"/>
      <c r="CN19" s="1044"/>
      <c r="CO19" s="1043"/>
      <c r="CP19" s="1043"/>
      <c r="CQ19" s="1043"/>
      <c r="CR19" s="1043"/>
      <c r="CS19" s="1044"/>
      <c r="CT19" s="1043"/>
      <c r="CU19" s="1043"/>
      <c r="CV19" s="1043"/>
      <c r="CW19" s="1043"/>
      <c r="CX19" s="1044"/>
      <c r="CY19" s="769"/>
      <c r="CZ19" s="769"/>
      <c r="DA19" s="769"/>
      <c r="DB19" s="769"/>
      <c r="DC19" s="1046"/>
      <c r="DD19" s="771"/>
      <c r="DE19" s="771"/>
      <c r="DF19" s="615">
        <f>DG17+DI17+DJ17+DK17</f>
      </c>
      <c r="DG19" s="615">
        <f>DI17+DJ17+DK17+DL17</f>
      </c>
      <c r="DH19" s="1060">
        <f>DM17</f>
      </c>
      <c r="DI19" s="615">
        <f>DJ17+DK17+DL17+DN17</f>
      </c>
      <c r="DJ19" s="615">
        <f>DK17+DL17+DN17+DO17</f>
      </c>
      <c r="DK19" s="615">
        <f>DL17+DN17+DO17+DP17</f>
      </c>
      <c r="DL19" s="615">
        <f>DN17+DO17+DP17+DQ17</f>
      </c>
      <c r="DM19" s="1060">
        <f>DR17</f>
      </c>
      <c r="DN19" s="615">
        <f>DO17+DP17+DQ17+DS17</f>
      </c>
      <c r="DO19" s="615">
        <f>DP17+DQ17+DS17+DT17</f>
      </c>
      <c r="DP19" s="615">
        <f>DQ17+DS17+DT17+DU17</f>
      </c>
      <c r="DQ19" s="615">
        <f>DS17+DT17+DU17+DV17</f>
      </c>
      <c r="DR19" s="1060">
        <f>DW17</f>
      </c>
      <c r="DS19" s="615">
        <f>DT17+DU17+DV17+DX17</f>
      </c>
      <c r="DT19" s="615">
        <f>DU17+DV17+DX17+DY17</f>
      </c>
      <c r="DU19" s="615">
        <f>DV17+DX17+DY17+DZ17</f>
      </c>
      <c r="DV19" s="615">
        <f>DX17+DY17+DZ17+EA17</f>
      </c>
      <c r="DW19" s="1060">
        <f>EB17</f>
      </c>
      <c r="DX19" s="615">
        <f>DY17+DZ17+EA17+EC17</f>
      </c>
      <c r="DY19" s="615">
        <f>DZ17+EA17+EC17+ED17</f>
      </c>
      <c r="DZ19" s="615">
        <f>EA17+EC17+ED17+EE17</f>
      </c>
      <c r="EA19" s="615">
        <f>EC17+ED17+EE17+EF17</f>
      </c>
      <c r="EB19" s="1060">
        <f>EG17</f>
      </c>
      <c r="EC19" s="615">
        <f>ED17+EE17+EF17+EH17</f>
      </c>
      <c r="ED19" s="615">
        <f>EE17+EF17+EH17+EI17</f>
      </c>
      <c r="EE19" s="615">
        <f>EF17+EH17+EI17+EJ17</f>
      </c>
      <c r="EF19" s="615">
        <f>EH17+EI17+EJ17+EK17</f>
      </c>
      <c r="EG19" s="1060">
        <f>EL17</f>
      </c>
      <c r="EH19" s="615">
        <f>EI17+EJ17+EK17+EM17</f>
      </c>
      <c r="EI19" s="615">
        <f>EJ17+EK17+EM17+EN17</f>
      </c>
      <c r="EJ19" s="615">
        <f>EK17+EM17+EN17+EO17</f>
      </c>
      <c r="EK19" s="615">
        <f>EM17+EN17+EO17+EP17</f>
      </c>
      <c r="EL19" s="1060">
        <f>EQ17</f>
      </c>
      <c r="EM19" s="615">
        <f>EN17+EO17+EP17+ER17</f>
      </c>
      <c r="EN19" s="615">
        <f>EO17+EP17+ER17+ES17</f>
      </c>
      <c r="EO19" s="615">
        <f>EP17+ER17+ES17+ET17</f>
      </c>
      <c r="EP19" s="615">
        <f>ER17+ES17+ET17+EU17</f>
      </c>
      <c r="EQ19" s="1060">
        <f>EV17</f>
      </c>
      <c r="ER19" s="615">
        <f>ES17+ET17+EU17+EW17</f>
      </c>
      <c r="ES19" s="615">
        <f>ET17+EU17+EW17+EX17</f>
      </c>
      <c r="ET19" s="615">
        <f>EU17+EW17+EX17+EY17</f>
      </c>
      <c r="EU19" s="615">
        <f>EW17+EX17+EY17+EZ17</f>
      </c>
      <c r="EV19" s="1060">
        <f>FA17</f>
      </c>
      <c r="EW19" s="615">
        <f>EX17+EY17+EZ17+FB17</f>
      </c>
      <c r="EX19" s="615">
        <f>EY17+EZ17+FA17+FC17</f>
      </c>
      <c r="EY19" s="615">
        <f>EZ17+FA17+FB17+FD17</f>
      </c>
      <c r="EZ19" s="615">
        <f>FB17+FC17+FD17+FE17</f>
      </c>
      <c r="FA19" s="1060">
        <f>FF17</f>
      </c>
      <c r="FB19" s="615">
        <f>FC17+FD17+FE17+FG17</f>
      </c>
      <c r="FC19" s="615">
        <f>FD17+FE17+FG17+FH17</f>
      </c>
      <c r="FD19" s="615">
        <f>FE17+FG17+FH17+FI17</f>
      </c>
      <c r="FE19" s="615">
        <f>FG17+FH17+FI17+FJ17</f>
      </c>
      <c r="FF19" s="1060">
        <f>FK17</f>
      </c>
      <c r="FG19" s="615">
        <f>FH17+FI17+FJ17+FL17</f>
      </c>
      <c r="FH19" s="615">
        <f>FI17+FJ17+FL17+FM17</f>
      </c>
      <c r="FI19" s="615">
        <f>FJ17+FL17+FM17+FN17</f>
      </c>
      <c r="FJ19" s="615">
        <f>FL17+FM17+FN17+FO17</f>
      </c>
      <c r="FK19" s="1060">
        <f>FP17</f>
      </c>
      <c r="FL19" s="615">
        <f>FM17+FN17+FO17+FQ17</f>
      </c>
      <c r="FM19" s="615">
        <f>FN17+FO17+FQ17+FR17</f>
      </c>
      <c r="FN19" s="615">
        <f>FO17+FQ17+FR17+FS17</f>
      </c>
      <c r="FO19" s="615">
        <f>FQ17+FR17+FS17+FT17</f>
      </c>
      <c r="FP19" s="1060">
        <f>FU17</f>
      </c>
      <c r="FQ19" s="615">
        <f>FR17+FS17+FT17+FV17</f>
      </c>
      <c r="FR19" s="615">
        <f>FS17+FT17+FV17+FW17</f>
      </c>
      <c r="FS19" s="615">
        <f>FT17+FV17+FW17+FX17</f>
      </c>
      <c r="FT19" s="615">
        <f>FV17+FW17+FX17+FY17</f>
      </c>
      <c r="FU19" s="1060">
        <f>FZ17</f>
      </c>
      <c r="FV19" s="615">
        <f>FW17+FX17+FY17+GA17</f>
      </c>
      <c r="FW19" s="615">
        <f>FX17+FY17+GA17+GB17</f>
      </c>
      <c r="FX19" s="615">
        <f>FY17+GA17+GB17+GC17</f>
      </c>
      <c r="FY19" s="615">
        <f>GA17+GB17+GC17+GD17</f>
      </c>
      <c r="FZ19" s="1060">
        <f>GE17</f>
      </c>
      <c r="GA19" s="771"/>
      <c r="GB19" s="771"/>
      <c r="GC19" s="771"/>
      <c r="GD19" s="771"/>
      <c r="GE19" s="1047"/>
      <c r="GF19" s="771"/>
      <c r="GG19" s="771"/>
      <c r="GH19" s="771"/>
      <c r="GI19" s="771"/>
      <c r="GJ19" s="1047"/>
    </row>
    <row r="20" spans="1:192" s="461" customFormat="1" ht="12.75" hidden="1" customHeight="1" outlineLevel="1">
      <c r="A20" s="370"/>
      <c r="B20" s="992"/>
      <c r="C20" s="993"/>
      <c r="D20" s="993"/>
      <c r="E20" s="993"/>
      <c r="F20" s="993"/>
      <c r="G20" s="994"/>
      <c r="H20" s="993"/>
      <c r="I20" s="993"/>
      <c r="J20" s="993"/>
      <c r="K20" s="993"/>
      <c r="L20" s="994"/>
      <c r="M20" s="993"/>
      <c r="N20" s="993"/>
      <c r="O20" s="993"/>
      <c r="P20" s="993"/>
      <c r="Q20" s="994"/>
      <c r="R20" s="995"/>
      <c r="S20" s="995"/>
      <c r="T20" s="995"/>
      <c r="U20" s="995"/>
      <c r="V20" s="994"/>
      <c r="W20" s="995"/>
      <c r="X20" s="995"/>
      <c r="Y20" s="995"/>
      <c r="Z20" s="995"/>
      <c r="AA20" s="994"/>
      <c r="AB20" s="995"/>
      <c r="AC20" s="995"/>
      <c r="AD20" s="995"/>
      <c r="AE20" s="995"/>
      <c r="AF20" s="994"/>
      <c r="AG20" s="995"/>
      <c r="AH20" s="995"/>
      <c r="AI20" s="995"/>
      <c r="AJ20" s="995"/>
      <c r="AK20" s="994"/>
      <c r="AL20" s="993"/>
      <c r="AM20" s="993"/>
      <c r="AN20" s="993"/>
      <c r="AO20" s="993"/>
      <c r="AP20" s="994"/>
      <c r="AQ20" s="993"/>
      <c r="AR20" s="993"/>
      <c r="AS20" s="993"/>
      <c r="AT20" s="993"/>
      <c r="AU20" s="994"/>
      <c r="AV20" s="993"/>
      <c r="AW20" s="993"/>
      <c r="AX20" s="993"/>
      <c r="AY20" s="993"/>
      <c r="AZ20" s="994"/>
      <c r="BA20" s="993"/>
      <c r="BB20" s="993"/>
      <c r="BC20" s="993"/>
      <c r="BD20" s="993"/>
      <c r="BE20" s="994"/>
      <c r="BF20" s="993"/>
      <c r="BG20" s="993"/>
      <c r="BH20" s="993"/>
      <c r="BI20" s="993"/>
      <c r="BJ20" s="994"/>
      <c r="BK20" s="993"/>
      <c r="BL20" s="993"/>
      <c r="BM20" s="993"/>
      <c r="BN20" s="993"/>
      <c r="BO20" s="994"/>
      <c r="BP20" s="993"/>
      <c r="BQ20" s="993"/>
      <c r="BR20" s="993"/>
      <c r="BS20" s="993"/>
      <c r="BT20" s="994"/>
      <c r="BU20" s="993"/>
      <c r="BV20" s="993"/>
      <c r="BW20" s="993"/>
      <c r="BX20" s="993"/>
      <c r="BY20" s="994"/>
      <c r="BZ20" s="993"/>
      <c r="CA20" s="993"/>
      <c r="CB20" s="993"/>
      <c r="CC20" s="993"/>
      <c r="CD20" s="994"/>
      <c r="CE20" s="993"/>
      <c r="CF20" s="993"/>
      <c r="CG20" s="993"/>
      <c r="CH20" s="993"/>
      <c r="CI20" s="994"/>
      <c r="CJ20" s="993"/>
      <c r="CK20" s="993"/>
      <c r="CL20" s="993"/>
      <c r="CM20" s="993"/>
      <c r="CN20" s="994"/>
      <c r="CO20" s="993"/>
      <c r="CP20" s="993"/>
      <c r="CQ20" s="993"/>
      <c r="CR20" s="993"/>
      <c r="CS20" s="994"/>
      <c r="CT20" s="993"/>
      <c r="CU20" s="993"/>
      <c r="CV20" s="993"/>
      <c r="CW20" s="993"/>
      <c r="CX20" s="994"/>
      <c r="CY20" s="996"/>
      <c r="CZ20" s="996"/>
      <c r="DA20" s="996"/>
      <c r="DB20" s="996"/>
      <c r="DC20" s="854"/>
      <c r="DD20" s="996"/>
      <c r="DE20" s="996"/>
      <c r="DF20" s="996"/>
      <c r="DG20" s="996"/>
      <c r="DH20" s="854"/>
      <c r="DI20" s="996"/>
      <c r="DJ20" s="996"/>
      <c r="DK20" s="996"/>
      <c r="DL20" s="996"/>
      <c r="DM20" s="854"/>
      <c r="DN20" s="996"/>
      <c r="DO20" s="996"/>
      <c r="DP20" s="996"/>
      <c r="DQ20" s="996"/>
      <c r="DR20" s="854"/>
      <c r="DS20" s="996"/>
      <c r="DT20" s="996"/>
      <c r="DU20" s="996"/>
      <c r="DV20" s="996"/>
      <c r="DW20" s="854"/>
      <c r="DX20" s="996"/>
      <c r="DY20" s="996"/>
      <c r="DZ20" s="996"/>
      <c r="EA20" s="996"/>
      <c r="EB20" s="854"/>
      <c r="EC20" s="996"/>
      <c r="ED20" s="996"/>
      <c r="EE20" s="996"/>
      <c r="EF20" s="996"/>
      <c r="EG20" s="854"/>
      <c r="EH20" s="996"/>
      <c r="EI20" s="996"/>
      <c r="EJ20" s="996"/>
      <c r="EK20" s="996"/>
      <c r="EL20" s="854"/>
      <c r="EM20" s="996"/>
      <c r="EN20" s="996"/>
      <c r="EO20" s="996"/>
      <c r="EP20" s="996"/>
      <c r="EQ20" s="854"/>
      <c r="ER20" s="996"/>
      <c r="ES20" s="996"/>
      <c r="ET20" s="996"/>
      <c r="EU20" s="996"/>
      <c r="EV20" s="854"/>
      <c r="EW20" s="996"/>
      <c r="EX20" s="996"/>
      <c r="EY20" s="996"/>
      <c r="EZ20" s="996"/>
      <c r="FA20" s="854"/>
      <c r="FB20" s="996"/>
      <c r="FC20" s="996"/>
      <c r="FD20" s="996"/>
      <c r="FE20" s="996"/>
      <c r="FF20" s="854"/>
      <c r="FG20" s="996"/>
      <c r="FH20" s="996"/>
      <c r="FI20" s="996"/>
      <c r="FJ20" s="996"/>
      <c r="FK20" s="854"/>
      <c r="FL20" s="996"/>
      <c r="FM20" s="996"/>
      <c r="FN20" s="996"/>
      <c r="FO20" s="996"/>
      <c r="FP20" s="854"/>
      <c r="FQ20" s="996"/>
      <c r="FR20" s="996"/>
      <c r="FS20" s="996"/>
      <c r="FT20" s="996"/>
      <c r="FU20" s="854"/>
      <c r="FV20" s="996"/>
      <c r="FW20" s="996"/>
      <c r="FX20" s="996"/>
      <c r="FY20" s="996"/>
      <c r="FZ20" s="854"/>
      <c r="GA20" s="996"/>
      <c r="GB20" s="996"/>
      <c r="GC20" s="996"/>
      <c r="GD20" s="996"/>
      <c r="GE20" s="854"/>
      <c r="GF20" s="996"/>
      <c r="GG20" s="996"/>
      <c r="GH20" s="996"/>
      <c r="GI20" s="996"/>
      <c r="GJ20" s="854"/>
    </row>
    <row r="21" spans="1:192" s="461" customFormat="1" ht="12.75" hidden="1" customHeight="1" outlineLevel="1">
      <c r="A21" s="370"/>
      <c r="B21" s="986" t="s">
        <v>431</v>
      </c>
      <c r="C21" s="993"/>
      <c r="D21" s="993"/>
      <c r="E21" s="993"/>
      <c r="F21" s="993"/>
      <c r="G21" s="994"/>
      <c r="H21" s="993"/>
      <c r="I21" s="993"/>
      <c r="J21" s="993"/>
      <c r="K21" s="993"/>
      <c r="L21" s="994"/>
      <c r="M21" s="993"/>
      <c r="N21" s="993"/>
      <c r="O21" s="993"/>
      <c r="P21" s="993"/>
      <c r="Q21" s="994"/>
      <c r="R21" s="995"/>
      <c r="S21" s="995"/>
      <c r="T21" s="995"/>
      <c r="U21" s="995"/>
      <c r="V21" s="994"/>
      <c r="W21" s="995"/>
      <c r="X21" s="995"/>
      <c r="Y21" s="995"/>
      <c r="Z21" s="995"/>
      <c r="AA21" s="994"/>
      <c r="AB21" s="995"/>
      <c r="AC21" s="995"/>
      <c r="AD21" s="995"/>
      <c r="AE21" s="995"/>
      <c r="AF21" s="994"/>
      <c r="AG21" s="995"/>
      <c r="AH21" s="995"/>
      <c r="AI21" s="995"/>
      <c r="AJ21" s="995"/>
      <c r="AK21" s="994"/>
      <c r="AL21" s="993"/>
      <c r="AM21" s="993"/>
      <c r="AN21" s="993"/>
      <c r="AO21" s="993"/>
      <c r="AP21" s="994"/>
      <c r="AQ21" s="993"/>
      <c r="AR21" s="993"/>
      <c r="AS21" s="993"/>
      <c r="AT21" s="993"/>
      <c r="AU21" s="994"/>
      <c r="AV21" s="993"/>
      <c r="AW21" s="993"/>
      <c r="AX21" s="993"/>
      <c r="AY21" s="993"/>
      <c r="AZ21" s="994"/>
      <c r="BA21" s="993"/>
      <c r="BB21" s="993"/>
      <c r="BC21" s="993"/>
      <c r="BD21" s="993"/>
      <c r="BE21" s="994"/>
      <c r="BF21" s="993"/>
      <c r="BG21" s="993"/>
      <c r="BH21" s="993"/>
      <c r="BI21" s="993"/>
      <c r="BJ21" s="994"/>
      <c r="BK21" s="993"/>
      <c r="BL21" s="993"/>
      <c r="BM21" s="993"/>
      <c r="BN21" s="993"/>
      <c r="BO21" s="994"/>
      <c r="BP21" s="993"/>
      <c r="BQ21" s="993"/>
      <c r="BR21" s="993"/>
      <c r="BS21" s="993"/>
      <c r="BT21" s="994"/>
      <c r="BU21" s="993"/>
      <c r="BV21" s="993"/>
      <c r="BW21" s="993"/>
      <c r="BX21" s="993"/>
      <c r="BY21" s="994"/>
      <c r="BZ21" s="993"/>
      <c r="CA21" s="993"/>
      <c r="CB21" s="993"/>
      <c r="CC21" s="993"/>
      <c r="CD21" s="994"/>
      <c r="CE21" s="993"/>
      <c r="CF21" s="993"/>
      <c r="CG21" s="993"/>
      <c r="CH21" s="993"/>
      <c r="CI21" s="994"/>
      <c r="CJ21" s="993"/>
      <c r="CK21" s="993"/>
      <c r="CL21" s="993"/>
      <c r="CM21" s="993"/>
      <c r="CN21" s="994"/>
      <c r="CO21" s="993"/>
      <c r="CP21" s="993"/>
      <c r="CQ21" s="993"/>
      <c r="CR21" s="993"/>
      <c r="CS21" s="994"/>
      <c r="CT21" s="993"/>
      <c r="CU21" s="993"/>
      <c r="CV21" s="993"/>
      <c r="CW21" s="993"/>
      <c r="CX21" s="994"/>
      <c r="CY21" s="852">
        <f>CZ12+DA12+DB12+DD12</f>
      </c>
      <c r="CZ21" s="852">
        <f>DA12+DB12+DD12+DE12</f>
      </c>
      <c r="DA21" s="852">
        <f>DB12+DD12+DE12+DF12</f>
      </c>
      <c r="DB21" s="852">
        <f>DD12+DE12+DF12+DG12</f>
      </c>
      <c r="DC21" s="853">
        <f>DH12</f>
      </c>
      <c r="DD21" s="852">
        <f>DE12+DF12+DG12+DI12</f>
      </c>
      <c r="DE21" s="852">
        <f>DF12+DG12+DI12+DJ12</f>
      </c>
      <c r="DF21" s="852">
        <f>DG12+DI12+DJ12+DK12</f>
      </c>
      <c r="DG21" s="852">
        <f>DI12+DJ12+DK12+DL12</f>
      </c>
      <c r="DH21" s="853">
        <f>DM12</f>
      </c>
      <c r="DI21" s="852">
        <f>DJ12+DK12+DL12+DN12</f>
      </c>
      <c r="DJ21" s="852">
        <f>DK12+DL12+DN12+DO12</f>
      </c>
      <c r="DK21" s="852">
        <f>DL12+DN12+DO12+DP12</f>
      </c>
      <c r="DL21" s="852">
        <f>DN12+DO12+DP12+DQ12</f>
      </c>
      <c r="DM21" s="853">
        <f>DR12</f>
      </c>
      <c r="DN21" s="852">
        <f>DO12+DP12+DQ12+DS12</f>
      </c>
      <c r="DO21" s="852">
        <f>DP12+DQ12+DS12+DT12</f>
      </c>
      <c r="DP21" s="852">
        <f>DQ12+DS12+DT12+DU12</f>
      </c>
      <c r="DQ21" s="852">
        <f>DS12+DT12+DU12+DV12</f>
      </c>
      <c r="DR21" s="853">
        <f>DW12</f>
      </c>
      <c r="DS21" s="852">
        <f>DT12+DU12+DV12+DX12</f>
      </c>
      <c r="DT21" s="852">
        <f>DU12+DV12+DX12+DY12</f>
      </c>
      <c r="DU21" s="852">
        <f>DV12+DX12+DY12+DZ12</f>
      </c>
      <c r="DV21" s="852">
        <f>DX12+DY12+DZ12+EA12</f>
      </c>
      <c r="DW21" s="853">
        <f>EB12</f>
      </c>
      <c r="DX21" s="852">
        <f>DY12+DZ12+EA12+EC12</f>
      </c>
      <c r="DY21" s="852">
        <f>DZ12+EA12+EC12+ED12</f>
      </c>
      <c r="DZ21" s="852">
        <f>EA12+EC12+ED12+EE12</f>
      </c>
      <c r="EA21" s="852">
        <f>EC12+ED12+EE12+EF12</f>
      </c>
      <c r="EB21" s="853">
        <f>EG12</f>
      </c>
      <c r="EC21" s="852">
        <f>ED12+EE12+EF12+EH12</f>
      </c>
      <c r="ED21" s="852">
        <f>EE12+EF12+EH12+EI12</f>
      </c>
      <c r="EE21" s="852">
        <f>EF12+EH12+EI12+EJ12</f>
      </c>
      <c r="EF21" s="852">
        <f>EH12+EI12+EJ12+EK12</f>
      </c>
      <c r="EG21" s="853">
        <f>EL12</f>
      </c>
      <c r="EH21" s="852">
        <f>EI12+EJ12+EK12+EM12</f>
      </c>
      <c r="EI21" s="852">
        <f>EJ12+EK12+EM12+EN12</f>
      </c>
      <c r="EJ21" s="852">
        <f>EK12+EM12+EN12+EO12</f>
      </c>
      <c r="EK21" s="852">
        <f>EM12+EN12+EO12+EP12</f>
      </c>
      <c r="EL21" s="853">
        <f>EQ12</f>
      </c>
      <c r="EM21" s="852">
        <f>EN12+EO12+EP12+ER12</f>
      </c>
      <c r="EN21" s="852">
        <f>EO12+EP12+ER12+ES12</f>
      </c>
      <c r="EO21" s="852">
        <f>EP12+ER12+ES12+ET12</f>
      </c>
      <c r="EP21" s="852">
        <f>ER12+ES12+ET12+EU12</f>
      </c>
      <c r="EQ21" s="853">
        <f>EV12</f>
      </c>
      <c r="ER21" s="852">
        <f>ES12+ET12+EU12+EW12</f>
      </c>
      <c r="ES21" s="852">
        <f>ET12+EU12+EW12+EX12</f>
      </c>
      <c r="ET21" s="852">
        <f>EU12+EW12+EX12+EY12</f>
      </c>
      <c r="EU21" s="852">
        <f>EW12+EX12+EY12+EZ12</f>
      </c>
      <c r="EV21" s="853">
        <f>FA12</f>
      </c>
      <c r="EW21" s="852">
        <f t="shared" ref="EW21:EY24" si="8">EX12+EY12+EZ12+FB12</f>
      </c>
      <c r="EX21" s="852">
        <f t="shared" si="8"/>
      </c>
      <c r="EY21" s="852">
        <f t="shared" si="8"/>
      </c>
      <c r="EZ21" s="852">
        <f>FB12+FC12+FD12+FE12</f>
      </c>
      <c r="FA21" s="853">
        <f>FF12</f>
      </c>
      <c r="FB21" s="852">
        <f>FC12+FD12+FE12+FG12</f>
      </c>
      <c r="FC21" s="852">
        <f>FD12+FE12+FG12+FH12</f>
      </c>
      <c r="FD21" s="852">
        <f>FE12+FG12+FH12+FI12</f>
      </c>
      <c r="FE21" s="852">
        <f>FG12+FH12+FI12+FJ12</f>
      </c>
      <c r="FF21" s="853">
        <f>FK12</f>
      </c>
      <c r="FG21" s="852">
        <f>FH12+FI12+FJ12+FL12</f>
      </c>
      <c r="FH21" s="852">
        <f>FI12+FJ12+FL12+FM12</f>
      </c>
      <c r="FI21" s="852">
        <f>FJ12+FL12+FM12+FN12</f>
      </c>
      <c r="FJ21" s="852">
        <f>FL12+FM12+FN12+FO12</f>
      </c>
      <c r="FK21" s="853">
        <f>FP12</f>
      </c>
      <c r="FL21" s="852">
        <f>FM12+FN12+FO12+FQ12</f>
      </c>
      <c r="FM21" s="852">
        <f>FN12+FO12+FQ12+FR12</f>
      </c>
      <c r="FN21" s="852">
        <f>FO12+FQ12+FR12+FS12</f>
      </c>
      <c r="FO21" s="852">
        <f>FQ12+FR12+FS12+FT12</f>
      </c>
      <c r="FP21" s="853">
        <f>FU12</f>
      </c>
      <c r="FQ21" s="852">
        <f>FR12+FS12+FT12+FV12</f>
      </c>
      <c r="FR21" s="852">
        <f>FS12+FT12+FV12+FW12</f>
      </c>
      <c r="FS21" s="852">
        <f>FT12+FV12+FW12+FX12</f>
      </c>
      <c r="FT21" s="852">
        <f>FV12+FW12+FX12+FY12</f>
      </c>
      <c r="FU21" s="853">
        <f>FZ12</f>
      </c>
      <c r="FV21" s="852">
        <f>FW12+FX12+FY12+GA12</f>
      </c>
      <c r="FW21" s="852">
        <f>FX12+FY12+GA12+GB12</f>
      </c>
      <c r="FX21" s="852">
        <f>FY12+GA12+GB12+GC12</f>
      </c>
      <c r="FY21" s="852">
        <f>GA12+GB12+GC12+GD12</f>
      </c>
      <c r="FZ21" s="853">
        <f>GE12</f>
      </c>
      <c r="GA21" s="996"/>
      <c r="GB21" s="996"/>
      <c r="GC21" s="996"/>
      <c r="GD21" s="996"/>
      <c r="GE21" s="854"/>
      <c r="GF21" s="996"/>
      <c r="GG21" s="996"/>
      <c r="GH21" s="996"/>
      <c r="GI21" s="996"/>
      <c r="GJ21" s="854"/>
    </row>
    <row r="22" spans="1:192" s="461" customFormat="1" ht="12.75" hidden="1" customHeight="1" outlineLevel="1">
      <c r="A22" s="370"/>
      <c r="B22" s="986" t="s">
        <v>432</v>
      </c>
      <c r="C22" s="993"/>
      <c r="D22" s="993"/>
      <c r="E22" s="993"/>
      <c r="F22" s="993"/>
      <c r="G22" s="994"/>
      <c r="H22" s="993"/>
      <c r="I22" s="993"/>
      <c r="J22" s="993"/>
      <c r="K22" s="993"/>
      <c r="L22" s="994"/>
      <c r="M22" s="993"/>
      <c r="N22" s="993"/>
      <c r="O22" s="993"/>
      <c r="P22" s="993"/>
      <c r="Q22" s="994"/>
      <c r="R22" s="995"/>
      <c r="S22" s="995"/>
      <c r="T22" s="995"/>
      <c r="U22" s="995"/>
      <c r="V22" s="994"/>
      <c r="W22" s="995"/>
      <c r="X22" s="995"/>
      <c r="Y22" s="995"/>
      <c r="Z22" s="995"/>
      <c r="AA22" s="994"/>
      <c r="AB22" s="995"/>
      <c r="AC22" s="995"/>
      <c r="AD22" s="995"/>
      <c r="AE22" s="995"/>
      <c r="AF22" s="994"/>
      <c r="AG22" s="995"/>
      <c r="AH22" s="995"/>
      <c r="AI22" s="995"/>
      <c r="AJ22" s="995"/>
      <c r="AK22" s="994"/>
      <c r="AL22" s="993"/>
      <c r="AM22" s="993"/>
      <c r="AN22" s="993"/>
      <c r="AO22" s="993"/>
      <c r="AP22" s="994"/>
      <c r="AQ22" s="993"/>
      <c r="AR22" s="993"/>
      <c r="AS22" s="993"/>
      <c r="AT22" s="993"/>
      <c r="AU22" s="994"/>
      <c r="AV22" s="993"/>
      <c r="AW22" s="993"/>
      <c r="AX22" s="993"/>
      <c r="AY22" s="993"/>
      <c r="AZ22" s="994"/>
      <c r="BA22" s="993"/>
      <c r="BB22" s="993"/>
      <c r="BC22" s="993"/>
      <c r="BD22" s="993"/>
      <c r="BE22" s="994"/>
      <c r="BF22" s="993"/>
      <c r="BG22" s="993"/>
      <c r="BH22" s="993"/>
      <c r="BI22" s="993"/>
      <c r="BJ22" s="994"/>
      <c r="BK22" s="993"/>
      <c r="BL22" s="993"/>
      <c r="BM22" s="993"/>
      <c r="BN22" s="993"/>
      <c r="BO22" s="994"/>
      <c r="BP22" s="993"/>
      <c r="BQ22" s="993"/>
      <c r="BR22" s="993"/>
      <c r="BS22" s="993"/>
      <c r="BT22" s="994"/>
      <c r="BU22" s="993"/>
      <c r="BV22" s="993"/>
      <c r="BW22" s="993"/>
      <c r="BX22" s="993"/>
      <c r="BY22" s="994"/>
      <c r="BZ22" s="993"/>
      <c r="CA22" s="993"/>
      <c r="CB22" s="993"/>
      <c r="CC22" s="993"/>
      <c r="CD22" s="994"/>
      <c r="CE22" s="993"/>
      <c r="CF22" s="993"/>
      <c r="CG22" s="993"/>
      <c r="CH22" s="993"/>
      <c r="CI22" s="994"/>
      <c r="CJ22" s="993"/>
      <c r="CK22" s="993"/>
      <c r="CL22" s="993"/>
      <c r="CM22" s="993"/>
      <c r="CN22" s="994"/>
      <c r="CO22" s="993"/>
      <c r="CP22" s="993"/>
      <c r="CQ22" s="993"/>
      <c r="CR22" s="993"/>
      <c r="CS22" s="994"/>
      <c r="CT22" s="993"/>
      <c r="CU22" s="993"/>
      <c r="CV22" s="993"/>
      <c r="CW22" s="993"/>
      <c r="CX22" s="994"/>
      <c r="CY22" s="852">
        <f>CZ13+DA13+DB13+DD13</f>
      </c>
      <c r="CZ22" s="852">
        <f>DA13+DB13+DD13+DE13</f>
      </c>
      <c r="DA22" s="852">
        <f>DB13+DD13+DE13+DF13</f>
      </c>
      <c r="DB22" s="852">
        <f>DD13+DE13+DF13+DG13</f>
      </c>
      <c r="DC22" s="853">
        <f>DH13</f>
      </c>
      <c r="DD22" s="852">
        <f>DE13+DF13+DG13+DI13</f>
      </c>
      <c r="DE22" s="852">
        <f>DF13+DG13+DI13+DJ13</f>
      </c>
      <c r="DF22" s="852">
        <f>DG13+DI13+DJ13+DK13</f>
      </c>
      <c r="DG22" s="852">
        <f>DI13+DJ13+DK13+DL13</f>
      </c>
      <c r="DH22" s="853">
        <f>DM13</f>
      </c>
      <c r="DI22" s="852">
        <f>DJ13+DK13+DL13+DN13</f>
      </c>
      <c r="DJ22" s="852">
        <f>DK13+DL13+DN13+DO13</f>
      </c>
      <c r="DK22" s="852">
        <f>DL13+DN13+DO13+DP13</f>
      </c>
      <c r="DL22" s="852">
        <f>DN13+DO13+DP13+DQ13</f>
      </c>
      <c r="DM22" s="853">
        <f>DR13</f>
      </c>
      <c r="DN22" s="852">
        <f>DO13+DP13+DQ13+DS13</f>
      </c>
      <c r="DO22" s="852">
        <f>DP13+DQ13+DS13+DT13</f>
      </c>
      <c r="DP22" s="852">
        <f>DQ13+DS13+DT13+DU13</f>
      </c>
      <c r="DQ22" s="852">
        <f>DS13+DT13+DU13+DV13</f>
      </c>
      <c r="DR22" s="853">
        <f>DW13</f>
      </c>
      <c r="DS22" s="852">
        <f>DT13+DU13+DV13+DX13</f>
      </c>
      <c r="DT22" s="852">
        <f>DU13+DV13+DX13+DY13</f>
      </c>
      <c r="DU22" s="852">
        <f>DV13+DX13+DY13+DZ13</f>
      </c>
      <c r="DV22" s="852">
        <f>DX13+DY13+DZ13+EA13</f>
      </c>
      <c r="DW22" s="853">
        <f>EB13</f>
      </c>
      <c r="DX22" s="852">
        <f>DY13+DZ13+EA13+EC13</f>
      </c>
      <c r="DY22" s="852">
        <f>DZ13+EA13+EC13+ED13</f>
      </c>
      <c r="DZ22" s="852">
        <f>EA13+EC13+ED13+EE13</f>
      </c>
      <c r="EA22" s="852">
        <f>EC13+ED13+EE13+EF13</f>
      </c>
      <c r="EB22" s="853">
        <f>EG13</f>
      </c>
      <c r="EC22" s="852">
        <f>ED13+EE13+EF13+EH13</f>
      </c>
      <c r="ED22" s="852">
        <f>EE13+EF13+EH13+EI13</f>
      </c>
      <c r="EE22" s="852">
        <f>EF13+EH13+EI13+EJ13</f>
      </c>
      <c r="EF22" s="852">
        <f>EH13+EI13+EJ13+EK13</f>
      </c>
      <c r="EG22" s="853">
        <f>EL13</f>
      </c>
      <c r="EH22" s="852">
        <f>EI13+EJ13+EK13+EM13</f>
      </c>
      <c r="EI22" s="852">
        <f>EJ13+EK13+EM13+EN13</f>
      </c>
      <c r="EJ22" s="852">
        <f>EK13+EM13+EN13+EO13</f>
      </c>
      <c r="EK22" s="852">
        <f>EM13+EN13+EO13+EP13</f>
      </c>
      <c r="EL22" s="853">
        <f>EQ13</f>
      </c>
      <c r="EM22" s="852">
        <f>EN13+EO13+EP13+ER13</f>
      </c>
      <c r="EN22" s="852">
        <f>EO13+EP13+ER13+ES13</f>
      </c>
      <c r="EO22" s="852">
        <f>EP13+ER13+ES13+ET13</f>
      </c>
      <c r="EP22" s="852">
        <f>ER13+ES13+ET13+EU13</f>
      </c>
      <c r="EQ22" s="853">
        <f>EV13</f>
      </c>
      <c r="ER22" s="852">
        <f>ES13+ET13+EU13+EW13</f>
      </c>
      <c r="ES22" s="852">
        <f>ET13+EU13+EW13+EX13</f>
      </c>
      <c r="ET22" s="852">
        <f>EU13+EW13+EX13+EY13</f>
      </c>
      <c r="EU22" s="852">
        <f>EW13+EX13+EY13+EZ13</f>
      </c>
      <c r="EV22" s="853">
        <f>FA13</f>
      </c>
      <c r="EW22" s="852">
        <f t="shared" si="8"/>
      </c>
      <c r="EX22" s="852">
        <f t="shared" si="8"/>
      </c>
      <c r="EY22" s="852">
        <f t="shared" si="8"/>
      </c>
      <c r="EZ22" s="852">
        <f>FB13+FC13+FD13+FE13</f>
      </c>
      <c r="FA22" s="853">
        <f>FF13</f>
      </c>
      <c r="FB22" s="852">
        <f>FC13+FD13+FE13+FG13</f>
      </c>
      <c r="FC22" s="852">
        <f>FD13+FE13+FG13+FH13</f>
      </c>
      <c r="FD22" s="852">
        <f>FE13+FG13+FH13+FI13</f>
      </c>
      <c r="FE22" s="852">
        <f>FG13+FH13+FI13+FJ13</f>
      </c>
      <c r="FF22" s="853">
        <f>FK13</f>
      </c>
      <c r="FG22" s="852">
        <f>FH13+FI13+FJ13+FL13</f>
      </c>
      <c r="FH22" s="852">
        <f>FI13+FJ13+FL13+FM13</f>
      </c>
      <c r="FI22" s="852">
        <f>FJ13+FL13+FM13+FN13</f>
      </c>
      <c r="FJ22" s="852">
        <f>FL13+FM13+FN13+FO13</f>
      </c>
      <c r="FK22" s="853">
        <f>FP13</f>
      </c>
      <c r="FL22" s="852">
        <f>FM13+FN13+FO13+FQ13</f>
      </c>
      <c r="FM22" s="852">
        <f>FN13+FO13+FQ13+FR13</f>
      </c>
      <c r="FN22" s="852">
        <f>FO13+FQ13+FR13+FS13</f>
      </c>
      <c r="FO22" s="852">
        <f>FQ13+FR13+FS13+FT13</f>
      </c>
      <c r="FP22" s="853">
        <f>FU13</f>
      </c>
      <c r="FQ22" s="852">
        <f>FR13+FS13+FT13+FV13</f>
      </c>
      <c r="FR22" s="852">
        <f>FS13+FT13+FV13+FW13</f>
      </c>
      <c r="FS22" s="852">
        <f>FT13+FV13+FW13+FX13</f>
      </c>
      <c r="FT22" s="852">
        <f>FV13+FW13+FX13+FY13</f>
      </c>
      <c r="FU22" s="853">
        <f>FZ13</f>
      </c>
      <c r="FV22" s="852">
        <f>FW13+FX13+FY13+GA13</f>
      </c>
      <c r="FW22" s="852">
        <f>FX13+FY13+GA13+GB13</f>
      </c>
      <c r="FX22" s="852">
        <f>FY13+GA13+GB13+GC13</f>
      </c>
      <c r="FY22" s="852">
        <f>GA13+GB13+GC13+GD13</f>
      </c>
      <c r="FZ22" s="853">
        <f>GE13</f>
      </c>
      <c r="GA22" s="996"/>
      <c r="GB22" s="996"/>
      <c r="GC22" s="996"/>
      <c r="GD22" s="996"/>
      <c r="GE22" s="854"/>
      <c r="GF22" s="996"/>
      <c r="GG22" s="996"/>
      <c r="GH22" s="996"/>
      <c r="GI22" s="996"/>
      <c r="GJ22" s="854"/>
    </row>
    <row r="23" spans="1:192" s="461" customFormat="1" ht="12.75" hidden="1" customHeight="1" outlineLevel="1">
      <c r="A23" s="370"/>
      <c r="B23" s="986" t="s">
        <v>433</v>
      </c>
      <c r="C23" s="993"/>
      <c r="D23" s="993"/>
      <c r="E23" s="993"/>
      <c r="F23" s="993"/>
      <c r="G23" s="994"/>
      <c r="H23" s="993"/>
      <c r="I23" s="993"/>
      <c r="J23" s="993"/>
      <c r="K23" s="993"/>
      <c r="L23" s="994"/>
      <c r="M23" s="993"/>
      <c r="N23" s="993"/>
      <c r="O23" s="993"/>
      <c r="P23" s="993"/>
      <c r="Q23" s="994"/>
      <c r="R23" s="995"/>
      <c r="S23" s="995"/>
      <c r="T23" s="995"/>
      <c r="U23" s="995"/>
      <c r="V23" s="994"/>
      <c r="W23" s="995"/>
      <c r="X23" s="995"/>
      <c r="Y23" s="995"/>
      <c r="Z23" s="995"/>
      <c r="AA23" s="994"/>
      <c r="AB23" s="995"/>
      <c r="AC23" s="995"/>
      <c r="AD23" s="995"/>
      <c r="AE23" s="995"/>
      <c r="AF23" s="994"/>
      <c r="AG23" s="995"/>
      <c r="AH23" s="995"/>
      <c r="AI23" s="995"/>
      <c r="AJ23" s="995"/>
      <c r="AK23" s="994"/>
      <c r="AL23" s="993"/>
      <c r="AM23" s="993"/>
      <c r="AN23" s="993"/>
      <c r="AO23" s="993"/>
      <c r="AP23" s="994"/>
      <c r="AQ23" s="993"/>
      <c r="AR23" s="993"/>
      <c r="AS23" s="993"/>
      <c r="AT23" s="993"/>
      <c r="AU23" s="994"/>
      <c r="AV23" s="993"/>
      <c r="AW23" s="993"/>
      <c r="AX23" s="993"/>
      <c r="AY23" s="993"/>
      <c r="AZ23" s="994"/>
      <c r="BA23" s="993"/>
      <c r="BB23" s="993"/>
      <c r="BC23" s="993"/>
      <c r="BD23" s="993"/>
      <c r="BE23" s="994"/>
      <c r="BF23" s="993"/>
      <c r="BG23" s="993"/>
      <c r="BH23" s="993"/>
      <c r="BI23" s="993"/>
      <c r="BJ23" s="994"/>
      <c r="BK23" s="993"/>
      <c r="BL23" s="993"/>
      <c r="BM23" s="993"/>
      <c r="BN23" s="993"/>
      <c r="BO23" s="994"/>
      <c r="BP23" s="993"/>
      <c r="BQ23" s="993"/>
      <c r="BR23" s="993"/>
      <c r="BS23" s="993"/>
      <c r="BT23" s="994"/>
      <c r="BU23" s="993"/>
      <c r="BV23" s="993"/>
      <c r="BW23" s="993"/>
      <c r="BX23" s="993"/>
      <c r="BY23" s="994"/>
      <c r="BZ23" s="993"/>
      <c r="CA23" s="993"/>
      <c r="CB23" s="993"/>
      <c r="CC23" s="993"/>
      <c r="CD23" s="994"/>
      <c r="CE23" s="993"/>
      <c r="CF23" s="993"/>
      <c r="CG23" s="993"/>
      <c r="CH23" s="993"/>
      <c r="CI23" s="994"/>
      <c r="CJ23" s="993"/>
      <c r="CK23" s="993"/>
      <c r="CL23" s="993"/>
      <c r="CM23" s="993"/>
      <c r="CN23" s="994"/>
      <c r="CO23" s="993"/>
      <c r="CP23" s="993"/>
      <c r="CQ23" s="993"/>
      <c r="CR23" s="993"/>
      <c r="CS23" s="994"/>
      <c r="CT23" s="993"/>
      <c r="CU23" s="993"/>
      <c r="CV23" s="993"/>
      <c r="CW23" s="993"/>
      <c r="CX23" s="994"/>
      <c r="CY23" s="852">
        <f>CZ14+DA14+DB14+DD14</f>
      </c>
      <c r="CZ23" s="852">
        <f>DA14+DB14+DD14+DE14</f>
      </c>
      <c r="DA23" s="852">
        <f>DB14+DD14+DE14+DF14</f>
      </c>
      <c r="DB23" s="852">
        <f>DD14+DE14+DF14+DG14</f>
      </c>
      <c r="DC23" s="853">
        <f>DH14</f>
      </c>
      <c r="DD23" s="852">
        <f>DE14+DF14+DG14+DI14</f>
      </c>
      <c r="DE23" s="852">
        <f>DF14+DG14+DI14+DJ14</f>
      </c>
      <c r="DF23" s="852">
        <f>DG14+DI14+DJ14+DK14</f>
      </c>
      <c r="DG23" s="852">
        <f>DI14+DJ14+DK14+DL14</f>
      </c>
      <c r="DH23" s="853">
        <f>DM14</f>
      </c>
      <c r="DI23" s="852">
        <f>DJ14+DK14+DL14+DN14</f>
      </c>
      <c r="DJ23" s="852">
        <f>DK14+DL14+DN14+DO14</f>
      </c>
      <c r="DK23" s="852">
        <f>DL14+DN14+DO14+DP14</f>
      </c>
      <c r="DL23" s="852">
        <f>DN14+DO14+DP14+DQ14</f>
      </c>
      <c r="DM23" s="853">
        <f>DR14</f>
      </c>
      <c r="DN23" s="852">
        <f>DO14+DP14+DQ14+DS14</f>
      </c>
      <c r="DO23" s="852">
        <f>DP14+DQ14+DS14+DT14</f>
      </c>
      <c r="DP23" s="852">
        <f>DQ14+DS14+DT14+DU14</f>
      </c>
      <c r="DQ23" s="852">
        <f>DS14+DT14+DU14+DV14</f>
      </c>
      <c r="DR23" s="853">
        <f>DW14</f>
      </c>
      <c r="DS23" s="852">
        <f>DT14+DU14+DV14+DX14</f>
      </c>
      <c r="DT23" s="852">
        <f>DU14+DV14+DX14+DY14</f>
      </c>
      <c r="DU23" s="852">
        <f>DV14+DX14+DY14+DZ14</f>
      </c>
      <c r="DV23" s="852">
        <f>DX14+DY14+DZ14+EA14</f>
      </c>
      <c r="DW23" s="853">
        <f>EB14</f>
      </c>
      <c r="DX23" s="852">
        <f>DY14+DZ14+EA14+EC14</f>
      </c>
      <c r="DY23" s="852">
        <f>DZ14+EA14+EC14+ED14</f>
      </c>
      <c r="DZ23" s="852">
        <f>EA14+EC14+ED14+EE14</f>
      </c>
      <c r="EA23" s="852">
        <f>EC14+ED14+EE14+EF14</f>
      </c>
      <c r="EB23" s="853">
        <f>EG14</f>
      </c>
      <c r="EC23" s="852">
        <f>ED14+EE14+EF14+EH14</f>
      </c>
      <c r="ED23" s="852">
        <f>EE14+EF14+EH14+EI14</f>
      </c>
      <c r="EE23" s="852">
        <f>EF14+EH14+EI14+EJ14</f>
      </c>
      <c r="EF23" s="852">
        <f>EH14+EI14+EJ14+EK14</f>
      </c>
      <c r="EG23" s="853">
        <f>EL14</f>
      </c>
      <c r="EH23" s="852">
        <f>EI14+EJ14+EK14+EM14</f>
      </c>
      <c r="EI23" s="852">
        <f>EJ14+EK14+EM14+EN14</f>
      </c>
      <c r="EJ23" s="852">
        <f>EK14+EM14+EN14+EO14</f>
      </c>
      <c r="EK23" s="852">
        <f>EM14+EN14+EO14+EP14</f>
      </c>
      <c r="EL23" s="853">
        <f>EQ14</f>
      </c>
      <c r="EM23" s="852">
        <f>EN14+EO14+EP14+ER14</f>
      </c>
      <c r="EN23" s="852">
        <f>EO14+EP14+ER14+ES14</f>
      </c>
      <c r="EO23" s="852">
        <f>EP14+ER14+ES14+ET14</f>
      </c>
      <c r="EP23" s="852">
        <f>ER14+ES14+ET14+EU14</f>
      </c>
      <c r="EQ23" s="853">
        <f>EV14</f>
      </c>
      <c r="ER23" s="852">
        <f>ES14+ET14+EU14+EW14</f>
      </c>
      <c r="ES23" s="852">
        <f>ET14+EU14+EW14+EX14</f>
      </c>
      <c r="ET23" s="852">
        <f>EU14+EW14+EX14+EY14</f>
      </c>
      <c r="EU23" s="852">
        <f>EW14+EX14+EY14+EZ14</f>
      </c>
      <c r="EV23" s="853">
        <f>FA14</f>
      </c>
      <c r="EW23" s="852">
        <f t="shared" si="8"/>
      </c>
      <c r="EX23" s="852">
        <f t="shared" si="8"/>
      </c>
      <c r="EY23" s="852">
        <f t="shared" si="8"/>
      </c>
      <c r="EZ23" s="852">
        <f>FB14+FC14+FD14+FE14</f>
      </c>
      <c r="FA23" s="853">
        <f>FF14</f>
      </c>
      <c r="FB23" s="852">
        <f>FC14+FD14+FE14+FG14</f>
      </c>
      <c r="FC23" s="852">
        <f>FD14+FE14+FG14+FH14</f>
      </c>
      <c r="FD23" s="852">
        <f>FE14+FG14+FH14+FI14</f>
      </c>
      <c r="FE23" s="852">
        <f>FG14+FH14+FI14+FJ14</f>
      </c>
      <c r="FF23" s="853">
        <f>FK14</f>
      </c>
      <c r="FG23" s="852">
        <f>FH14+FI14+FJ14+FL14</f>
      </c>
      <c r="FH23" s="852">
        <f>FI14+FJ14+FL14+FM14</f>
      </c>
      <c r="FI23" s="852">
        <f>FJ14+FL14+FM14+FN14</f>
      </c>
      <c r="FJ23" s="852">
        <f>FL14+FM14+FN14+FO14</f>
      </c>
      <c r="FK23" s="853">
        <f>FP14</f>
      </c>
      <c r="FL23" s="852">
        <f>FM14+FN14+FO14+FQ14</f>
      </c>
      <c r="FM23" s="852">
        <f>FN14+FO14+FQ14+FR14</f>
      </c>
      <c r="FN23" s="852">
        <f>FO14+FQ14+FR14+FS14</f>
      </c>
      <c r="FO23" s="852">
        <f>FQ14+FR14+FS14+FT14</f>
      </c>
      <c r="FP23" s="853">
        <f>FU14</f>
      </c>
      <c r="FQ23" s="852">
        <f>FR14+FS14+FT14+FV14</f>
      </c>
      <c r="FR23" s="852">
        <f>FS14+FT14+FV14+FW14</f>
      </c>
      <c r="FS23" s="852">
        <f>FT14+FV14+FW14+FX14</f>
      </c>
      <c r="FT23" s="852">
        <f>FV14+FW14+FX14+FY14</f>
      </c>
      <c r="FU23" s="853">
        <f>FZ14</f>
      </c>
      <c r="FV23" s="852">
        <f>FW14+FX14+FY14+GA14</f>
      </c>
      <c r="FW23" s="852">
        <f>FX14+FY14+GA14+GB14</f>
      </c>
      <c r="FX23" s="852">
        <f>FY14+GA14+GB14+GC14</f>
      </c>
      <c r="FY23" s="852">
        <f>GA14+GB14+GC14+GD14</f>
      </c>
      <c r="FZ23" s="853">
        <f>GE14</f>
      </c>
      <c r="GA23" s="996"/>
      <c r="GB23" s="996"/>
      <c r="GC23" s="996"/>
      <c r="GD23" s="996"/>
      <c r="GE23" s="854"/>
      <c r="GF23" s="996"/>
      <c r="GG23" s="996"/>
      <c r="GH23" s="996"/>
      <c r="GI23" s="996"/>
      <c r="GJ23" s="854"/>
    </row>
    <row r="24" spans="1:192" s="461" customFormat="1" ht="12.75" hidden="1" customHeight="1" outlineLevel="1">
      <c r="A24" s="370"/>
      <c r="B24" s="621" t="s">
        <v>429</v>
      </c>
      <c r="C24" s="624"/>
      <c r="D24" s="624"/>
      <c r="E24" s="624"/>
      <c r="F24" s="624"/>
      <c r="G24" s="622"/>
      <c r="H24" s="624"/>
      <c r="I24" s="624"/>
      <c r="J24" s="624"/>
      <c r="K24" s="624"/>
      <c r="L24" s="622"/>
      <c r="M24" s="624"/>
      <c r="N24" s="624"/>
      <c r="O24" s="624"/>
      <c r="P24" s="624"/>
      <c r="Q24" s="622"/>
      <c r="R24" s="981"/>
      <c r="S24" s="981"/>
      <c r="T24" s="981"/>
      <c r="U24" s="981"/>
      <c r="V24" s="622"/>
      <c r="W24" s="981"/>
      <c r="X24" s="981"/>
      <c r="Y24" s="981"/>
      <c r="Z24" s="981"/>
      <c r="AA24" s="622"/>
      <c r="AB24" s="981"/>
      <c r="AC24" s="981"/>
      <c r="AD24" s="981"/>
      <c r="AE24" s="981"/>
      <c r="AF24" s="622"/>
      <c r="AG24" s="981"/>
      <c r="AH24" s="981"/>
      <c r="AI24" s="981"/>
      <c r="AJ24" s="981"/>
      <c r="AK24" s="622"/>
      <c r="AL24" s="624"/>
      <c r="AM24" s="624"/>
      <c r="AN24" s="624"/>
      <c r="AO24" s="624"/>
      <c r="AP24" s="622"/>
      <c r="AQ24" s="624"/>
      <c r="AR24" s="624"/>
      <c r="AS24" s="624"/>
      <c r="AT24" s="624"/>
      <c r="AU24" s="622"/>
      <c r="AV24" s="624"/>
      <c r="AW24" s="624"/>
      <c r="AX24" s="624"/>
      <c r="AY24" s="624"/>
      <c r="AZ24" s="622"/>
      <c r="BA24" s="624"/>
      <c r="BB24" s="624"/>
      <c r="BC24" s="624"/>
      <c r="BD24" s="624"/>
      <c r="BE24" s="622"/>
      <c r="BF24" s="624"/>
      <c r="BG24" s="624"/>
      <c r="BH24" s="624"/>
      <c r="BI24" s="624"/>
      <c r="BJ24" s="622"/>
      <c r="BK24" s="624"/>
      <c r="BL24" s="624"/>
      <c r="BM24" s="624"/>
      <c r="BN24" s="624"/>
      <c r="BO24" s="622"/>
      <c r="BP24" s="624"/>
      <c r="BQ24" s="624"/>
      <c r="BR24" s="624"/>
      <c r="BS24" s="624"/>
      <c r="BT24" s="622"/>
      <c r="BU24" s="624"/>
      <c r="BV24" s="624"/>
      <c r="BW24" s="624"/>
      <c r="BX24" s="624"/>
      <c r="BY24" s="622"/>
      <c r="BZ24" s="624"/>
      <c r="CA24" s="624"/>
      <c r="CB24" s="624"/>
      <c r="CC24" s="624"/>
      <c r="CD24" s="622"/>
      <c r="CE24" s="624"/>
      <c r="CF24" s="624"/>
      <c r="CG24" s="624"/>
      <c r="CH24" s="624"/>
      <c r="CI24" s="622"/>
      <c r="CJ24" s="624"/>
      <c r="CK24" s="624"/>
      <c r="CL24" s="624"/>
      <c r="CM24" s="624"/>
      <c r="CN24" s="622"/>
      <c r="CO24" s="624"/>
      <c r="CP24" s="624"/>
      <c r="CQ24" s="624"/>
      <c r="CR24" s="624"/>
      <c r="CS24" s="622"/>
      <c r="CT24" s="624"/>
      <c r="CU24" s="624"/>
      <c r="CV24" s="624"/>
      <c r="CW24" s="624"/>
      <c r="CX24" s="622"/>
      <c r="CY24" s="619">
        <f>CZ15+DA15+DB15+DD15</f>
      </c>
      <c r="CZ24" s="619">
        <f>DA15+DB15+DD15+DE15</f>
      </c>
      <c r="DA24" s="619">
        <f>DB15+DD15+DE15+DF15</f>
      </c>
      <c r="DB24" s="619">
        <f>DD15+DE15+DF15+DG15</f>
      </c>
      <c r="DC24" s="829">
        <f>DH15</f>
      </c>
      <c r="DD24" s="619">
        <f>DE15+DF15+DG15+DI15</f>
      </c>
      <c r="DE24" s="619">
        <f>DF15+DG15+DI15+DJ15</f>
      </c>
      <c r="DF24" s="619">
        <f>DG15+DI15+DJ15+DK15</f>
      </c>
      <c r="DG24" s="619">
        <f>DI15+DJ15+DK15+DL15</f>
      </c>
      <c r="DH24" s="829">
        <f>DM15</f>
      </c>
      <c r="DI24" s="619">
        <f>DJ15+DK15+DL15+DN15</f>
      </c>
      <c r="DJ24" s="619">
        <f>DK15+DL15+DN15+DO15</f>
      </c>
      <c r="DK24" s="619">
        <f>DL15+DN15+DO15+DP15</f>
      </c>
      <c r="DL24" s="619">
        <f>DN15+DO15+DP15+DQ15</f>
      </c>
      <c r="DM24" s="829">
        <f>DR15</f>
      </c>
      <c r="DN24" s="619">
        <f>DO15+DP15+DQ15+DS15</f>
      </c>
      <c r="DO24" s="619">
        <f>DP15+DQ15+DS15+DT15</f>
      </c>
      <c r="DP24" s="619">
        <f>DQ15+DS15+DT15+DU15</f>
      </c>
      <c r="DQ24" s="619">
        <f>DS15+DT15+DU15+DV15</f>
      </c>
      <c r="DR24" s="829">
        <f>DW15</f>
      </c>
      <c r="DS24" s="619">
        <f>DT15+DU15+DV15+DX15</f>
      </c>
      <c r="DT24" s="619">
        <f>DU15+DV15+DX15+DY15</f>
      </c>
      <c r="DU24" s="619">
        <f>DV15+DX15+DY15+DZ15</f>
      </c>
      <c r="DV24" s="619">
        <f>DX15+DY15+DZ15+EA15</f>
      </c>
      <c r="DW24" s="829">
        <f>EB15</f>
      </c>
      <c r="DX24" s="619">
        <f>DY15+DZ15+EA15+EC15</f>
      </c>
      <c r="DY24" s="619">
        <f>DZ15+EA15+EC15+ED15</f>
      </c>
      <c r="DZ24" s="619">
        <f>EA15+EC15+ED15+EE15</f>
      </c>
      <c r="EA24" s="619">
        <f>EC15+ED15+EE15+EF15</f>
      </c>
      <c r="EB24" s="829">
        <f>EG15</f>
      </c>
      <c r="EC24" s="619">
        <f>ED15+EE15+EF15+EH15</f>
      </c>
      <c r="ED24" s="619">
        <f>EE15+EF15+EH15+EI15</f>
      </c>
      <c r="EE24" s="619">
        <f>EF15+EH15+EI15+EJ15</f>
      </c>
      <c r="EF24" s="619">
        <f>EH15+EI15+EJ15+EK15</f>
      </c>
      <c r="EG24" s="829">
        <f>EL15</f>
      </c>
      <c r="EH24" s="619">
        <f>EI15+EJ15+EK15+EM15</f>
      </c>
      <c r="EI24" s="619">
        <f>EJ15+EK15+EM15+EN15</f>
      </c>
      <c r="EJ24" s="619">
        <f>EK15+EM15+EN15+EO15</f>
      </c>
      <c r="EK24" s="619">
        <f>EM15+EN15+EO15+EP15</f>
      </c>
      <c r="EL24" s="829">
        <f>EQ15</f>
      </c>
      <c r="EM24" s="619">
        <f>EN15+EO15+EP15+ER15</f>
      </c>
      <c r="EN24" s="619">
        <f>EO15+EP15+ER15+ES15</f>
      </c>
      <c r="EO24" s="619">
        <f>EP15+ER15+ES15+ET15</f>
      </c>
      <c r="EP24" s="619">
        <f>ER15+ES15+ET15+EU15</f>
      </c>
      <c r="EQ24" s="829">
        <f>EV15</f>
      </c>
      <c r="ER24" s="619">
        <f>ES15+ET15+EU15+EW15</f>
      </c>
      <c r="ES24" s="619">
        <f>ET15+EU15+EW15+EX15</f>
      </c>
      <c r="ET24" s="619">
        <f>EU15+EW15+EX15+EY15</f>
      </c>
      <c r="EU24" s="619">
        <f>EW15+EX15+EY15+EZ15</f>
      </c>
      <c r="EV24" s="829">
        <f>FA15</f>
      </c>
      <c r="EW24" s="619">
        <f t="shared" si="8"/>
      </c>
      <c r="EX24" s="619">
        <f>EY15+EZ15+FB15+FC15</f>
      </c>
      <c r="EY24" s="619">
        <f>EZ15+FB15+FC15+FD15</f>
      </c>
      <c r="EZ24" s="619">
        <f>FB15+FC15+FD15+FE15</f>
      </c>
      <c r="FA24" s="829">
        <f>FF15</f>
      </c>
      <c r="FB24" s="619">
        <f>FC15+FD15+FE15+FG15</f>
      </c>
      <c r="FC24" s="619">
        <f>FD15+FE15+FG15+FH15</f>
      </c>
      <c r="FD24" s="619">
        <f>FE15+FG15+FH15+FI15</f>
      </c>
      <c r="FE24" s="619">
        <f>FG15+FH15+FI15+FJ15</f>
      </c>
      <c r="FF24" s="829">
        <f>FK15</f>
      </c>
      <c r="FG24" s="619">
        <f>FH15+FI15+FJ15+FL15</f>
      </c>
      <c r="FH24" s="619">
        <f>FI15+FJ15+FL15+FM15</f>
      </c>
      <c r="FI24" s="619">
        <f>FJ15+FL15+FM15+FN15</f>
      </c>
      <c r="FJ24" s="619">
        <f>FL15+FM15+FN15+FO15</f>
      </c>
      <c r="FK24" s="829">
        <f>FP15</f>
      </c>
      <c r="FL24" s="619">
        <f>FM15+FN15+FO15+FQ15</f>
      </c>
      <c r="FM24" s="619">
        <f>FN15+FO15+FQ15+FR15</f>
      </c>
      <c r="FN24" s="619">
        <f>FO15+FQ15+FR15+FS15</f>
      </c>
      <c r="FO24" s="619">
        <f>FQ15+FR15+FS15+FT15</f>
      </c>
      <c r="FP24" s="829">
        <f>FU15</f>
      </c>
      <c r="FQ24" s="619">
        <f>FR15+FS15+FT15+FV15</f>
      </c>
      <c r="FR24" s="619">
        <f>FS15+FT15+FV15+FW15</f>
      </c>
      <c r="FS24" s="619">
        <f>FT15+FV15+FW15+FX15</f>
      </c>
      <c r="FT24" s="619">
        <f>FV15+FW15+FX15+FY15</f>
      </c>
      <c r="FU24" s="829">
        <f>FZ15</f>
      </c>
      <c r="FV24" s="619">
        <f>FW15+FX15+FY15+GA15</f>
      </c>
      <c r="FW24" s="619">
        <f>FX15+FY15+GA15+GB15</f>
      </c>
      <c r="FX24" s="619">
        <f>FY15+GA15+GB15+GC15</f>
      </c>
      <c r="FY24" s="619">
        <f>GA15+GB15+GC15+GD15</f>
      </c>
      <c r="FZ24" s="829">
        <f>GE15</f>
      </c>
      <c r="GA24" s="619"/>
      <c r="GB24" s="619"/>
      <c r="GC24" s="619"/>
      <c r="GD24" s="619"/>
      <c r="GE24" s="829"/>
      <c r="GF24" s="619"/>
      <c r="GG24" s="619"/>
      <c r="GH24" s="619"/>
      <c r="GI24" s="619"/>
      <c r="GJ24" s="829"/>
    </row>
    <row r="25" spans="1:192" ht="12.75" hidden="1" customHeight="1" outlineLevel="1">
      <c r="C25" s="294"/>
      <c r="D25" s="295"/>
      <c r="E25" s="295"/>
      <c r="F25" s="295"/>
      <c r="G25" s="296"/>
      <c r="H25" s="294"/>
      <c r="I25" s="295"/>
      <c r="J25" s="295"/>
      <c r="K25" s="295"/>
      <c r="L25" s="296"/>
      <c r="M25" s="294"/>
      <c r="N25" s="295"/>
      <c r="O25" s="295"/>
      <c r="P25" s="295"/>
      <c r="Q25" s="296"/>
      <c r="R25" s="980"/>
      <c r="S25" s="469"/>
      <c r="T25" s="469"/>
      <c r="U25" s="469"/>
      <c r="V25" s="296"/>
      <c r="W25" s="980"/>
      <c r="X25" s="469"/>
      <c r="Y25" s="469"/>
      <c r="Z25" s="469"/>
      <c r="AA25" s="296"/>
      <c r="AB25" s="980"/>
      <c r="AC25" s="469"/>
      <c r="AD25" s="469"/>
      <c r="AE25" s="469"/>
      <c r="AF25" s="296"/>
      <c r="AG25" s="980"/>
      <c r="AH25" s="469"/>
      <c r="AI25" s="469"/>
      <c r="AJ25" s="469"/>
      <c r="AK25" s="296"/>
      <c r="AL25" s="294"/>
      <c r="AM25" s="295"/>
      <c r="AN25" s="295"/>
      <c r="AO25" s="295"/>
      <c r="AP25" s="296"/>
      <c r="AQ25" s="294"/>
      <c r="AR25" s="295"/>
      <c r="AS25" s="295"/>
      <c r="AT25" s="295"/>
      <c r="AU25" s="296"/>
      <c r="AV25" s="294"/>
      <c r="AW25" s="295"/>
      <c r="AX25" s="295"/>
      <c r="AY25" s="295"/>
      <c r="AZ25" s="296"/>
      <c r="BA25" s="294"/>
      <c r="BB25" s="295"/>
      <c r="BC25" s="295"/>
      <c r="BD25" s="295"/>
      <c r="BE25" s="296"/>
      <c r="BF25" s="294"/>
      <c r="BG25" s="295"/>
      <c r="BH25" s="295"/>
      <c r="BI25" s="295"/>
      <c r="BJ25" s="296"/>
      <c r="BK25" s="294"/>
      <c r="BL25" s="295"/>
      <c r="BM25" s="295"/>
      <c r="BN25" s="295"/>
      <c r="BO25" s="296"/>
      <c r="BP25" s="294"/>
      <c r="BQ25" s="295"/>
      <c r="BR25" s="295"/>
      <c r="BS25" s="295"/>
      <c r="BT25" s="296"/>
      <c r="BU25" s="294"/>
      <c r="BV25" s="295"/>
      <c r="BW25" s="295"/>
      <c r="BX25" s="295"/>
      <c r="BY25" s="296"/>
      <c r="BZ25" s="294"/>
      <c r="CA25" s="295"/>
      <c r="CB25" s="295"/>
      <c r="CC25" s="295"/>
      <c r="CD25" s="296"/>
      <c r="CE25" s="294"/>
      <c r="CF25" s="295"/>
      <c r="CG25" s="295"/>
      <c r="CH25" s="295"/>
      <c r="CI25" s="296"/>
      <c r="CJ25" s="294"/>
      <c r="CK25" s="295"/>
      <c r="CL25" s="295"/>
      <c r="CM25" s="295"/>
      <c r="CN25" s="296"/>
      <c r="CO25" s="294"/>
      <c r="CP25" s="295"/>
      <c r="CQ25" s="295"/>
      <c r="CR25" s="295"/>
      <c r="CS25" s="296"/>
      <c r="CT25" s="294"/>
      <c r="CU25" s="295"/>
      <c r="CV25" s="295"/>
      <c r="CW25" s="295"/>
      <c r="CX25" s="296"/>
      <c r="CY25" s="294"/>
      <c r="CZ25" s="295"/>
      <c r="DA25" s="295"/>
      <c r="DB25" s="295"/>
      <c r="DC25" s="296"/>
      <c r="DD25" s="294"/>
      <c r="DE25" s="295"/>
      <c r="DF25" s="295"/>
      <c r="DG25" s="295"/>
      <c r="DH25" s="296"/>
      <c r="DI25" s="294"/>
      <c r="DJ25" s="295"/>
      <c r="DK25" s="295"/>
      <c r="DL25" s="295"/>
      <c r="DM25" s="296"/>
      <c r="DN25" s="294"/>
      <c r="DO25" s="295"/>
      <c r="DP25" s="295"/>
      <c r="DQ25" s="295"/>
      <c r="DR25" s="296"/>
      <c r="DS25" s="294"/>
      <c r="DT25" s="295"/>
      <c r="DU25" s="295"/>
      <c r="DV25" s="295"/>
      <c r="DW25" s="296"/>
      <c r="DX25" s="294"/>
      <c r="DY25" s="295"/>
      <c r="DZ25" s="295"/>
      <c r="EA25" s="295"/>
      <c r="EB25" s="296"/>
      <c r="EC25" s="294"/>
      <c r="ED25" s="295"/>
      <c r="EE25" s="295"/>
      <c r="EF25" s="295"/>
      <c r="EG25" s="296"/>
      <c r="EH25" s="294"/>
      <c r="EI25" s="295"/>
      <c r="EJ25" s="295"/>
      <c r="EK25" s="295"/>
      <c r="EL25" s="296"/>
      <c r="EM25" s="294"/>
      <c r="EN25" s="295"/>
      <c r="EO25" s="295"/>
      <c r="EP25" s="295"/>
      <c r="EQ25" s="296"/>
      <c r="ER25" s="294"/>
      <c r="ES25" s="295"/>
      <c r="ET25" s="295"/>
      <c r="EU25" s="295"/>
      <c r="EV25" s="296"/>
      <c r="EW25" s="294"/>
      <c r="EX25" s="294"/>
      <c r="EY25" s="294"/>
      <c r="EZ25" s="295"/>
      <c r="FA25" s="296"/>
      <c r="FB25" s="294"/>
      <c r="FC25" s="295"/>
      <c r="FD25" s="295"/>
      <c r="FE25" s="295"/>
      <c r="FF25" s="296"/>
      <c r="FG25" s="294"/>
      <c r="FH25" s="295"/>
      <c r="FI25" s="295"/>
      <c r="FJ25" s="295"/>
      <c r="FK25" s="296"/>
      <c r="FL25" s="294"/>
      <c r="FM25" s="295"/>
      <c r="FN25" s="295"/>
      <c r="FO25" s="295"/>
      <c r="FP25" s="296"/>
      <c r="FQ25" s="294"/>
      <c r="FR25" s="295"/>
      <c r="FS25" s="295"/>
      <c r="FT25" s="295"/>
      <c r="FU25" s="296"/>
      <c r="FV25" s="294"/>
      <c r="FW25" s="295"/>
      <c r="FX25" s="295"/>
      <c r="FY25" s="295"/>
      <c r="FZ25" s="296"/>
      <c r="GA25" s="294"/>
      <c r="GB25" s="295"/>
      <c r="GC25" s="295"/>
      <c r="GD25" s="295"/>
      <c r="GE25" s="296"/>
      <c r="GF25" s="294"/>
      <c r="GG25" s="295"/>
      <c r="GH25" s="295"/>
      <c r="GI25" s="295"/>
      <c r="GJ25" s="296"/>
    </row>
    <row r="26" spans="1:192" s="461" customFormat="1" ht="12.75" hidden="1" customHeight="1" outlineLevel="1">
      <c r="A26" s="370"/>
      <c r="B26" s="986" t="s">
        <v>219</v>
      </c>
      <c r="C26" s="987"/>
      <c r="D26" s="987"/>
      <c r="E26" s="987"/>
      <c r="F26" s="987"/>
      <c r="G26" s="988"/>
      <c r="H26" s="987"/>
      <c r="I26" s="987"/>
      <c r="J26" s="987"/>
      <c r="K26" s="987"/>
      <c r="L26" s="988"/>
      <c r="M26" s="987"/>
      <c r="N26" s="987"/>
      <c r="O26" s="987"/>
      <c r="P26" s="987"/>
      <c r="Q26" s="988"/>
      <c r="R26" s="989"/>
      <c r="S26" s="989"/>
      <c r="T26" s="989"/>
      <c r="U26" s="989"/>
      <c r="V26" s="988"/>
      <c r="W26" s="989"/>
      <c r="X26" s="989"/>
      <c r="Y26" s="989"/>
      <c r="Z26" s="989"/>
      <c r="AA26" s="988"/>
      <c r="AB26" s="989"/>
      <c r="AC26" s="989"/>
      <c r="AD26" s="989"/>
      <c r="AE26" s="989"/>
      <c r="AF26" s="988"/>
      <c r="AG26" s="989"/>
      <c r="AH26" s="989"/>
      <c r="AI26" s="989"/>
      <c r="AJ26" s="989"/>
      <c r="AK26" s="988"/>
      <c r="AL26" s="987"/>
      <c r="AM26" s="987"/>
      <c r="AN26" s="987"/>
      <c r="AO26" s="987"/>
      <c r="AP26" s="988"/>
      <c r="AQ26" s="987"/>
      <c r="AR26" s="987"/>
      <c r="AS26" s="987"/>
      <c r="AT26" s="987"/>
      <c r="AU26" s="988"/>
      <c r="AV26" s="987"/>
      <c r="AW26" s="987"/>
      <c r="AX26" s="987"/>
      <c r="AY26" s="987"/>
      <c r="AZ26" s="988"/>
      <c r="BA26" s="987"/>
      <c r="BB26" s="987"/>
      <c r="BC26" s="987"/>
      <c r="BD26" s="987"/>
      <c r="BE26" s="988"/>
      <c r="BF26" s="987"/>
      <c r="BG26" s="987"/>
      <c r="BH26" s="987"/>
      <c r="BI26" s="987"/>
      <c r="BJ26" s="988"/>
      <c r="BK26" s="987"/>
      <c r="BL26" s="987"/>
      <c r="BM26" s="987"/>
      <c r="BN26" s="987"/>
      <c r="BO26" s="988"/>
      <c r="BP26" s="987"/>
      <c r="BQ26" s="987"/>
      <c r="BR26" s="987"/>
      <c r="BS26" s="987"/>
      <c r="BT26" s="988"/>
      <c r="BU26" s="987"/>
      <c r="BV26" s="987"/>
      <c r="BW26" s="987"/>
      <c r="BX26" s="987"/>
      <c r="BY26" s="988"/>
      <c r="BZ26" s="987"/>
      <c r="CA26" s="987"/>
      <c r="CB26" s="987"/>
      <c r="CC26" s="987"/>
      <c r="CD26" s="988"/>
      <c r="CE26" s="987"/>
      <c r="CF26" s="987"/>
      <c r="CG26" s="987"/>
      <c r="CH26" s="987"/>
      <c r="CI26" s="988"/>
      <c r="CJ26" s="987"/>
      <c r="CK26" s="987"/>
      <c r="CL26" s="987"/>
      <c r="CM26" s="987"/>
      <c r="CN26" s="988"/>
      <c r="CO26" s="987"/>
      <c r="CP26" s="987"/>
      <c r="CQ26" s="987"/>
      <c r="CR26" s="987"/>
      <c r="CS26" s="988"/>
      <c r="CT26" s="987"/>
      <c r="CU26" s="987"/>
      <c r="CV26" s="987"/>
      <c r="CW26" s="987"/>
      <c r="CX26" s="988"/>
      <c r="CY26" s="990"/>
      <c r="CZ26" s="990"/>
      <c r="DA26" s="990"/>
      <c r="DB26" s="990"/>
      <c r="DC26" s="991"/>
      <c r="DD26" s="990">
        <f>PBP!DD80</f>
      </c>
      <c r="DE26" s="990">
        <f>PBP!DE80</f>
      </c>
      <c r="DF26" s="990">
        <f>PBP!DF80</f>
      </c>
      <c r="DG26" s="990">
        <f>PBP!DG80</f>
      </c>
      <c r="DH26" s="991">
        <f>PBP!DH80</f>
      </c>
      <c r="DI26" s="990">
        <f>PBP!DI80</f>
      </c>
      <c r="DJ26" s="990">
        <f>PBP!DJ80</f>
      </c>
      <c r="DK26" s="990">
        <f>PBP!DK80</f>
      </c>
      <c r="DL26" s="990">
        <f>PBP!DL80</f>
      </c>
      <c r="DM26" s="991">
        <f>PBP!DM80</f>
      </c>
      <c r="DN26" s="990">
        <f>PBP!DN80</f>
      </c>
      <c r="DO26" s="990">
        <f>PBP!DO80</f>
      </c>
      <c r="DP26" s="990">
        <f>PBP!DP80</f>
      </c>
      <c r="DQ26" s="990">
        <f>PBP!DQ80</f>
      </c>
      <c r="DR26" s="991">
        <f>PBP!DR80</f>
      </c>
      <c r="DS26" s="990">
        <f>PBP!DS80</f>
      </c>
      <c r="DT26" s="990">
        <f>PBP!DT80</f>
      </c>
      <c r="DU26" s="990">
        <f>PBP!DU80</f>
      </c>
      <c r="DV26" s="990">
        <f>PBP!DV80</f>
      </c>
      <c r="DW26" s="991">
        <f>PBP!DW80</f>
      </c>
      <c r="DX26" s="990">
        <f>PBP!DX80</f>
      </c>
      <c r="DY26" s="990">
        <f>PBP!DY80</f>
      </c>
      <c r="DZ26" s="990">
        <f>PBP!DZ80</f>
      </c>
      <c r="EA26" s="990">
        <f>PBP!EA80</f>
      </c>
      <c r="EB26" s="991">
        <f>PBP!EB80</f>
      </c>
      <c r="EC26" s="990">
        <f>PBP!EC80</f>
      </c>
      <c r="ED26" s="990">
        <f>PBP!ED80</f>
      </c>
      <c r="EE26" s="990">
        <f>PBP!EE80</f>
      </c>
      <c r="EF26" s="990">
        <f>PBP!EF80</f>
      </c>
      <c r="EG26" s="991">
        <f>PBP!EG80</f>
      </c>
      <c r="EH26" s="990">
        <f>PBP!EH80</f>
      </c>
      <c r="EI26" s="990">
        <f>PBP!EI80</f>
      </c>
      <c r="EJ26" s="990">
        <f>PBP!EJ80</f>
      </c>
      <c r="EK26" s="990">
        <f>PBP!EK80</f>
      </c>
      <c r="EL26" s="991">
        <f>PBP!EL80</f>
      </c>
      <c r="EM26" s="990">
        <f>PBP!EM80</f>
      </c>
      <c r="EN26" s="990">
        <f>PBP!EN80</f>
      </c>
      <c r="EO26" s="990">
        <f>PBP!EO80</f>
      </c>
      <c r="EP26" s="990">
        <f>PBP!EP80</f>
      </c>
      <c r="EQ26" s="991">
        <f>PBP!EQ80</f>
      </c>
      <c r="ER26" s="990">
        <f>PBP!ER80</f>
      </c>
      <c r="ES26" s="990">
        <f>PBP!ES80</f>
      </c>
      <c r="ET26" s="990">
        <f>PBP!ET80</f>
      </c>
      <c r="EU26" s="990">
        <f>PBP!EU45</f>
      </c>
      <c r="EV26" s="991">
        <f>PBP!EV45</f>
      </c>
      <c r="EW26" s="990">
        <f>PBP!EW45</f>
      </c>
      <c r="EX26" s="990">
        <f>PBP!EX45</f>
      </c>
      <c r="EY26" s="990">
        <f>PBP!EY45</f>
      </c>
      <c r="EZ26" s="990">
        <f>PBP!EZ45</f>
      </c>
      <c r="FA26" s="991">
        <f>PBP!FA80</f>
      </c>
      <c r="FB26" s="990"/>
      <c r="FC26" s="990"/>
      <c r="FD26" s="990"/>
      <c r="FE26" s="990"/>
      <c r="FF26" s="991"/>
      <c r="FG26" s="990"/>
      <c r="FH26" s="990"/>
      <c r="FI26" s="990"/>
      <c r="FJ26" s="990"/>
      <c r="FK26" s="991"/>
      <c r="FL26" s="990"/>
      <c r="FM26" s="990"/>
      <c r="FN26" s="990"/>
      <c r="FO26" s="990"/>
      <c r="FP26" s="991"/>
      <c r="FQ26" s="990"/>
      <c r="FR26" s="990"/>
      <c r="FS26" s="990"/>
      <c r="FT26" s="990"/>
      <c r="FU26" s="991"/>
      <c r="FV26" s="990"/>
      <c r="FW26" s="990"/>
      <c r="FX26" s="990"/>
      <c r="FY26" s="990"/>
      <c r="FZ26" s="991"/>
      <c r="GA26" s="990"/>
      <c r="GB26" s="990"/>
      <c r="GC26" s="990"/>
      <c r="GD26" s="990"/>
      <c r="GE26" s="991"/>
      <c r="GF26" s="990"/>
      <c r="GG26" s="990"/>
      <c r="GH26" s="990"/>
      <c r="GI26" s="990"/>
      <c r="GJ26" s="991"/>
    </row>
    <row r="27" spans="1:192" s="461" customFormat="1" ht="12.75" hidden="1" customHeight="1" outlineLevel="1">
      <c r="A27" s="370"/>
      <c r="B27" s="986" t="s">
        <v>194</v>
      </c>
      <c r="C27" s="987"/>
      <c r="D27" s="987"/>
      <c r="E27" s="987"/>
      <c r="F27" s="987"/>
      <c r="G27" s="988"/>
      <c r="H27" s="987"/>
      <c r="I27" s="987"/>
      <c r="J27" s="987"/>
      <c r="K27" s="987"/>
      <c r="L27" s="988"/>
      <c r="M27" s="987"/>
      <c r="N27" s="987"/>
      <c r="O27" s="987"/>
      <c r="P27" s="987"/>
      <c r="Q27" s="988"/>
      <c r="R27" s="989"/>
      <c r="S27" s="989"/>
      <c r="T27" s="989"/>
      <c r="U27" s="989"/>
      <c r="V27" s="988"/>
      <c r="W27" s="989"/>
      <c r="X27" s="989"/>
      <c r="Y27" s="989"/>
      <c r="Z27" s="989"/>
      <c r="AA27" s="988"/>
      <c r="AB27" s="989"/>
      <c r="AC27" s="989"/>
      <c r="AD27" s="989"/>
      <c r="AE27" s="989"/>
      <c r="AF27" s="988"/>
      <c r="AG27" s="989"/>
      <c r="AH27" s="989"/>
      <c r="AI27" s="989"/>
      <c r="AJ27" s="989"/>
      <c r="AK27" s="988"/>
      <c r="AL27" s="987"/>
      <c r="AM27" s="987"/>
      <c r="AN27" s="987"/>
      <c r="AO27" s="987"/>
      <c r="AP27" s="988"/>
      <c r="AQ27" s="987"/>
      <c r="AR27" s="987"/>
      <c r="AS27" s="987"/>
      <c r="AT27" s="987"/>
      <c r="AU27" s="988"/>
      <c r="AV27" s="987"/>
      <c r="AW27" s="987"/>
      <c r="AX27" s="987"/>
      <c r="AY27" s="987"/>
      <c r="AZ27" s="988"/>
      <c r="BA27" s="987"/>
      <c r="BB27" s="987"/>
      <c r="BC27" s="987"/>
      <c r="BD27" s="987"/>
      <c r="BE27" s="988"/>
      <c r="BF27" s="987"/>
      <c r="BG27" s="987"/>
      <c r="BH27" s="987"/>
      <c r="BI27" s="987"/>
      <c r="BJ27" s="988"/>
      <c r="BK27" s="987"/>
      <c r="BL27" s="987"/>
      <c r="BM27" s="987"/>
      <c r="BN27" s="987"/>
      <c r="BO27" s="988"/>
      <c r="BP27" s="987"/>
      <c r="BQ27" s="987"/>
      <c r="BR27" s="987"/>
      <c r="BS27" s="987"/>
      <c r="BT27" s="988"/>
      <c r="BU27" s="987"/>
      <c r="BV27" s="987"/>
      <c r="BW27" s="987"/>
      <c r="BX27" s="987"/>
      <c r="BY27" s="988"/>
      <c r="BZ27" s="987"/>
      <c r="CA27" s="987"/>
      <c r="CB27" s="987"/>
      <c r="CC27" s="987"/>
      <c r="CD27" s="988"/>
      <c r="CE27" s="987"/>
      <c r="CF27" s="987"/>
      <c r="CG27" s="987"/>
      <c r="CH27" s="987"/>
      <c r="CI27" s="988"/>
      <c r="CJ27" s="987"/>
      <c r="CK27" s="987"/>
      <c r="CL27" s="987"/>
      <c r="CM27" s="987"/>
      <c r="CN27" s="988"/>
      <c r="CO27" s="987"/>
      <c r="CP27" s="987"/>
      <c r="CQ27" s="987"/>
      <c r="CR27" s="987"/>
      <c r="CS27" s="988"/>
      <c r="CT27" s="987"/>
      <c r="CU27" s="987"/>
      <c r="CV27" s="987"/>
      <c r="CW27" s="987"/>
      <c r="CX27" s="988"/>
      <c r="CY27" s="990"/>
      <c r="CZ27" s="990"/>
      <c r="DA27" s="990"/>
      <c r="DB27" s="990"/>
      <c r="DC27" s="991"/>
      <c r="DD27" s="990">
        <f>IC!DD80</f>
      </c>
      <c r="DE27" s="990">
        <f>IC!DE80</f>
      </c>
      <c r="DF27" s="990">
        <f>IC!DF80</f>
      </c>
      <c r="DG27" s="990">
        <f>IC!DG80</f>
      </c>
      <c r="DH27" s="991">
        <f>IC!DH80</f>
      </c>
      <c r="DI27" s="990">
        <f>IC!DI80</f>
      </c>
      <c r="DJ27" s="990">
        <f>IC!DJ80</f>
      </c>
      <c r="DK27" s="990">
        <f>IC!DK80</f>
      </c>
      <c r="DL27" s="990">
        <f>IC!DL80</f>
      </c>
      <c r="DM27" s="991">
        <f>IC!DM80</f>
      </c>
      <c r="DN27" s="990">
        <f>IC!DN80</f>
      </c>
      <c r="DO27" s="990">
        <f>IC!DO80</f>
      </c>
      <c r="DP27" s="990">
        <f>IC!DP80</f>
      </c>
      <c r="DQ27" s="990">
        <f>IC!DQ80</f>
      </c>
      <c r="DR27" s="991">
        <f>IC!DR80</f>
      </c>
      <c r="DS27" s="990">
        <f>IC!DS80</f>
      </c>
      <c r="DT27" s="990">
        <f>IC!DT80</f>
      </c>
      <c r="DU27" s="990">
        <f>IC!DU80</f>
      </c>
      <c r="DV27" s="990">
        <f>IC!DV80</f>
      </c>
      <c r="DW27" s="991">
        <f>IC!DW80</f>
      </c>
      <c r="DX27" s="990">
        <f>IC!DX80</f>
      </c>
      <c r="DY27" s="990">
        <f>IC!DY80</f>
      </c>
      <c r="DZ27" s="990">
        <f>IC!DZ80</f>
      </c>
      <c r="EA27" s="990">
        <f>IC!EA80</f>
      </c>
      <c r="EB27" s="991">
        <f>IC!EB80</f>
      </c>
      <c r="EC27" s="990">
        <f>IC!EC80</f>
      </c>
      <c r="ED27" s="990">
        <f>IC!ED80</f>
      </c>
      <c r="EE27" s="990">
        <f>IC!EE80</f>
      </c>
      <c r="EF27" s="990">
        <f>IC!EF80</f>
      </c>
      <c r="EG27" s="991">
        <f>IC!EG80</f>
      </c>
      <c r="EH27" s="990">
        <f>IC!EH80</f>
      </c>
      <c r="EI27" s="990">
        <f>IC!EI80</f>
      </c>
      <c r="EJ27" s="990">
        <f>IC!EJ80</f>
      </c>
      <c r="EK27" s="990">
        <f>IC!EK80</f>
      </c>
      <c r="EL27" s="991">
        <f>IC!EL80</f>
      </c>
      <c r="EM27" s="990">
        <f>IC!EM80</f>
      </c>
      <c r="EN27" s="990">
        <f>IC!EN80</f>
      </c>
      <c r="EO27" s="990">
        <f>IC!EO80</f>
      </c>
      <c r="EP27" s="990">
        <f>IC!EP80</f>
      </c>
      <c r="EQ27" s="991">
        <f>IC!EQ80</f>
      </c>
      <c r="ER27" s="990">
        <f>IC!ER80</f>
      </c>
      <c r="ES27" s="990">
        <f>IC!ES80</f>
      </c>
      <c r="ET27" s="990">
        <f>IC!ET80</f>
      </c>
      <c r="EU27" s="990">
        <f>IC!EU45</f>
      </c>
      <c r="EV27" s="991">
        <f>IC!EV45</f>
      </c>
      <c r="EW27" s="990">
        <f>IC!EW45</f>
      </c>
      <c r="EX27" s="990">
        <f>IC!EX45</f>
      </c>
      <c r="EY27" s="990">
        <f>IC!EY45</f>
      </c>
      <c r="EZ27" s="990">
        <f>IC!EZ45</f>
      </c>
      <c r="FA27" s="991">
        <f>IC!FA80</f>
      </c>
      <c r="FB27" s="990"/>
      <c r="FC27" s="990"/>
      <c r="FD27" s="990"/>
      <c r="FE27" s="990"/>
      <c r="FF27" s="991"/>
      <c r="FG27" s="990"/>
      <c r="FH27" s="990"/>
      <c r="FI27" s="990"/>
      <c r="FJ27" s="990"/>
      <c r="FK27" s="991"/>
      <c r="FL27" s="990"/>
      <c r="FM27" s="990"/>
      <c r="FN27" s="990"/>
      <c r="FO27" s="990"/>
      <c r="FP27" s="991"/>
      <c r="FQ27" s="990"/>
      <c r="FR27" s="990"/>
      <c r="FS27" s="990"/>
      <c r="FT27" s="990"/>
      <c r="FU27" s="991"/>
      <c r="FV27" s="990"/>
      <c r="FW27" s="990"/>
      <c r="FX27" s="990"/>
      <c r="FY27" s="990"/>
      <c r="FZ27" s="991"/>
      <c r="GA27" s="990"/>
      <c r="GB27" s="990"/>
      <c r="GC27" s="990"/>
      <c r="GD27" s="990"/>
      <c r="GE27" s="991"/>
      <c r="GF27" s="990"/>
      <c r="GG27" s="990"/>
      <c r="GH27" s="990"/>
      <c r="GI27" s="990"/>
      <c r="GJ27" s="991"/>
    </row>
    <row r="28" spans="1:192" s="461" customFormat="1" ht="12.75" hidden="1" customHeight="1" outlineLevel="1">
      <c r="A28" s="370"/>
      <c r="B28" s="986" t="s">
        <v>195</v>
      </c>
      <c r="C28" s="987"/>
      <c r="D28" s="987"/>
      <c r="E28" s="987"/>
      <c r="F28" s="987"/>
      <c r="G28" s="988"/>
      <c r="H28" s="987"/>
      <c r="I28" s="987"/>
      <c r="J28" s="987"/>
      <c r="K28" s="987"/>
      <c r="L28" s="988"/>
      <c r="M28" s="987"/>
      <c r="N28" s="987"/>
      <c r="O28" s="987"/>
      <c r="P28" s="987"/>
      <c r="Q28" s="988"/>
      <c r="R28" s="989"/>
      <c r="S28" s="989"/>
      <c r="T28" s="989"/>
      <c r="U28" s="989"/>
      <c r="V28" s="988"/>
      <c r="W28" s="989"/>
      <c r="X28" s="989"/>
      <c r="Y28" s="989"/>
      <c r="Z28" s="989"/>
      <c r="AA28" s="988"/>
      <c r="AB28" s="989"/>
      <c r="AC28" s="989"/>
      <c r="AD28" s="989"/>
      <c r="AE28" s="989"/>
      <c r="AF28" s="988"/>
      <c r="AG28" s="989"/>
      <c r="AH28" s="989"/>
      <c r="AI28" s="989"/>
      <c r="AJ28" s="989"/>
      <c r="AK28" s="988"/>
      <c r="AL28" s="987"/>
      <c r="AM28" s="987"/>
      <c r="AN28" s="987"/>
      <c r="AO28" s="987"/>
      <c r="AP28" s="988"/>
      <c r="AQ28" s="987"/>
      <c r="AR28" s="987"/>
      <c r="AS28" s="987"/>
      <c r="AT28" s="987"/>
      <c r="AU28" s="988"/>
      <c r="AV28" s="987"/>
      <c r="AW28" s="987"/>
      <c r="AX28" s="987"/>
      <c r="AY28" s="987"/>
      <c r="AZ28" s="988"/>
      <c r="BA28" s="987"/>
      <c r="BB28" s="987"/>
      <c r="BC28" s="987"/>
      <c r="BD28" s="987"/>
      <c r="BE28" s="988"/>
      <c r="BF28" s="987"/>
      <c r="BG28" s="987"/>
      <c r="BH28" s="987"/>
      <c r="BI28" s="987"/>
      <c r="BJ28" s="988"/>
      <c r="BK28" s="987"/>
      <c r="BL28" s="987"/>
      <c r="BM28" s="987"/>
      <c r="BN28" s="987"/>
      <c r="BO28" s="988"/>
      <c r="BP28" s="987"/>
      <c r="BQ28" s="987"/>
      <c r="BR28" s="987"/>
      <c r="BS28" s="987"/>
      <c r="BT28" s="988"/>
      <c r="BU28" s="987"/>
      <c r="BV28" s="987"/>
      <c r="BW28" s="987"/>
      <c r="BX28" s="987"/>
      <c r="BY28" s="988"/>
      <c r="BZ28" s="987"/>
      <c r="CA28" s="987"/>
      <c r="CB28" s="987"/>
      <c r="CC28" s="987"/>
      <c r="CD28" s="988"/>
      <c r="CE28" s="987"/>
      <c r="CF28" s="987"/>
      <c r="CG28" s="987"/>
      <c r="CH28" s="987"/>
      <c r="CI28" s="988"/>
      <c r="CJ28" s="987"/>
      <c r="CK28" s="987"/>
      <c r="CL28" s="987"/>
      <c r="CM28" s="987"/>
      <c r="CN28" s="988"/>
      <c r="CO28" s="987"/>
      <c r="CP28" s="987"/>
      <c r="CQ28" s="987"/>
      <c r="CR28" s="987"/>
      <c r="CS28" s="988"/>
      <c r="CT28" s="987"/>
      <c r="CU28" s="987"/>
      <c r="CV28" s="987"/>
      <c r="CW28" s="987"/>
      <c r="CX28" s="988"/>
      <c r="CY28" s="990"/>
      <c r="CZ28" s="990"/>
      <c r="DA28" s="990"/>
      <c r="DB28" s="990"/>
      <c r="DC28" s="991"/>
      <c r="DD28" s="990">
        <f>Company1738!DD80</f>
      </c>
      <c r="DE28" s="990">
        <f>Company1738!DE80</f>
      </c>
      <c r="DF28" s="990">
        <f>Company1738!DF80</f>
      </c>
      <c r="DG28" s="990">
        <f>Company1738!DG80</f>
      </c>
      <c r="DH28" s="991">
        <f>Company1738!DH80</f>
      </c>
      <c r="DI28" s="990">
        <f>Company1738!DI80</f>
      </c>
      <c r="DJ28" s="990">
        <f>Company1738!DJ80</f>
      </c>
      <c r="DK28" s="990">
        <f>Company1738!DK80</f>
      </c>
      <c r="DL28" s="990">
        <f>Company1738!DL80</f>
      </c>
      <c r="DM28" s="991">
        <f>Company1738!DM80</f>
      </c>
      <c r="DN28" s="990">
        <f>Company1738!DN80</f>
      </c>
      <c r="DO28" s="990">
        <f>Company1738!DO80</f>
      </c>
      <c r="DP28" s="990">
        <f>Company1738!DP80</f>
      </c>
      <c r="DQ28" s="990">
        <f>Company1738!DQ80</f>
      </c>
      <c r="DR28" s="991">
        <f>Company1738!DR80</f>
      </c>
      <c r="DS28" s="990">
        <f>Company1738!DS80</f>
      </c>
      <c r="DT28" s="990">
        <f>Company1738!DT80</f>
      </c>
      <c r="DU28" s="990">
        <f>Company1738!DU80</f>
      </c>
      <c r="DV28" s="990">
        <f>Company1738!DV80</f>
      </c>
      <c r="DW28" s="991">
        <f>Company1738!DW80</f>
      </c>
      <c r="DX28" s="990">
        <f>Company1738!DX80</f>
      </c>
      <c r="DY28" s="990">
        <f>Company1738!DY80</f>
      </c>
      <c r="DZ28" s="990">
        <f>Company1738!DZ80</f>
      </c>
      <c r="EA28" s="990">
        <f>Company1738!EA80</f>
      </c>
      <c r="EB28" s="991">
        <f>Company1738!EB80</f>
      </c>
      <c r="EC28" s="990">
        <f>Company1738!EC80</f>
      </c>
      <c r="ED28" s="990">
        <f>Company1738!ED80</f>
      </c>
      <c r="EE28" s="990">
        <f>Company1738!EE80</f>
      </c>
      <c r="EF28" s="990">
        <f>Company1738!EF80</f>
      </c>
      <c r="EG28" s="991">
        <f>Company1738!EG80</f>
      </c>
      <c r="EH28" s="990">
        <f>Company1738!EH80</f>
      </c>
      <c r="EI28" s="990">
        <f>Company1738!EI80</f>
      </c>
      <c r="EJ28" s="990">
        <f>Company1738!EJ80</f>
      </c>
      <c r="EK28" s="990">
        <f>Company1738!EK80</f>
      </c>
      <c r="EL28" s="991">
        <f>Company1738!EL80</f>
      </c>
      <c r="EM28" s="990">
        <f>Company1738!EM80</f>
      </c>
      <c r="EN28" s="990">
        <f>Company1738!EN80</f>
      </c>
      <c r="EO28" s="990">
        <f>Company1738!EO80</f>
      </c>
      <c r="EP28" s="990">
        <f>Company1738!EP80</f>
      </c>
      <c r="EQ28" s="991">
        <f>Company1738!EQ80</f>
      </c>
      <c r="ER28" s="990">
        <f>Company1738!ER80</f>
      </c>
      <c r="ES28" s="990">
        <f>Company1738!ES80</f>
      </c>
      <c r="ET28" s="990">
        <f>Company1738!ET80</f>
      </c>
      <c r="EU28" s="990">
        <f>Company1738!EU45</f>
      </c>
      <c r="EV28" s="991">
        <f>Company1738!EV45</f>
      </c>
      <c r="EW28" s="990">
        <f>Company1738!EW45</f>
      </c>
      <c r="EX28" s="990">
        <f>Company1738!EX45</f>
      </c>
      <c r="EY28" s="990">
        <f>Company1738!EY45</f>
      </c>
      <c r="EZ28" s="990">
        <f>Company1738!EZ45</f>
      </c>
      <c r="FA28" s="991">
        <f>Company1738!FA80</f>
      </c>
      <c r="FB28" s="990"/>
      <c r="FC28" s="990"/>
      <c r="FD28" s="990"/>
      <c r="FE28" s="990"/>
      <c r="FF28" s="991"/>
      <c r="FG28" s="990"/>
      <c r="FH28" s="990"/>
      <c r="FI28" s="990"/>
      <c r="FJ28" s="990"/>
      <c r="FK28" s="991"/>
      <c r="FL28" s="990"/>
      <c r="FM28" s="990"/>
      <c r="FN28" s="990"/>
      <c r="FO28" s="990"/>
      <c r="FP28" s="991"/>
      <c r="FQ28" s="990"/>
      <c r="FR28" s="990"/>
      <c r="FS28" s="990"/>
      <c r="FT28" s="990"/>
      <c r="FU28" s="991"/>
      <c r="FV28" s="990"/>
      <c r="FW28" s="990"/>
      <c r="FX28" s="990"/>
      <c r="FY28" s="990"/>
      <c r="FZ28" s="991"/>
      <c r="GA28" s="990"/>
      <c r="GB28" s="990"/>
      <c r="GC28" s="990"/>
      <c r="GD28" s="990"/>
      <c r="GE28" s="991"/>
      <c r="GF28" s="990"/>
      <c r="GG28" s="990"/>
      <c r="GH28" s="990"/>
      <c r="GI28" s="990"/>
      <c r="GJ28" s="991"/>
    </row>
    <row r="29" spans="1:192" s="461" customFormat="1" ht="12.75" hidden="1" customHeight="1" outlineLevel="1">
      <c r="A29" s="68" t="s">
        <v>381</v>
      </c>
      <c r="B29" s="975" t="s">
        <v>423</v>
      </c>
      <c r="C29" s="624"/>
      <c r="D29" s="624"/>
      <c r="E29" s="624"/>
      <c r="F29" s="624"/>
      <c r="G29" s="622"/>
      <c r="H29" s="624"/>
      <c r="I29" s="624"/>
      <c r="J29" s="624"/>
      <c r="K29" s="624"/>
      <c r="L29" s="622"/>
      <c r="M29" s="624"/>
      <c r="N29" s="624"/>
      <c r="O29" s="624"/>
      <c r="P29" s="624"/>
      <c r="Q29" s="622"/>
      <c r="R29" s="981"/>
      <c r="S29" s="981"/>
      <c r="T29" s="981"/>
      <c r="U29" s="981"/>
      <c r="V29" s="622"/>
      <c r="W29" s="981"/>
      <c r="X29" s="981"/>
      <c r="Y29" s="981"/>
      <c r="Z29" s="981"/>
      <c r="AA29" s="622"/>
      <c r="AB29" s="981"/>
      <c r="AC29" s="981"/>
      <c r="AD29" s="981"/>
      <c r="AE29" s="981"/>
      <c r="AF29" s="622"/>
      <c r="AG29" s="981"/>
      <c r="AH29" s="981"/>
      <c r="AI29" s="981"/>
      <c r="AJ29" s="981"/>
      <c r="AK29" s="622"/>
      <c r="AL29" s="624"/>
      <c r="AM29" s="624"/>
      <c r="AN29" s="624"/>
      <c r="AO29" s="624"/>
      <c r="AP29" s="622"/>
      <c r="AQ29" s="624"/>
      <c r="AR29" s="624"/>
      <c r="AS29" s="624"/>
      <c r="AT29" s="624"/>
      <c r="AU29" s="622"/>
      <c r="AV29" s="624"/>
      <c r="AW29" s="624"/>
      <c r="AX29" s="624"/>
      <c r="AY29" s="624"/>
      <c r="AZ29" s="622"/>
      <c r="BA29" s="624"/>
      <c r="BB29" s="624"/>
      <c r="BC29" s="624"/>
      <c r="BD29" s="624"/>
      <c r="BE29" s="622"/>
      <c r="BF29" s="624"/>
      <c r="BG29" s="624"/>
      <c r="BH29" s="624"/>
      <c r="BI29" s="624"/>
      <c r="BJ29" s="622"/>
      <c r="BK29" s="624"/>
      <c r="BL29" s="624"/>
      <c r="BM29" s="624"/>
      <c r="BN29" s="624"/>
      <c r="BO29" s="622"/>
      <c r="BP29" s="624"/>
      <c r="BQ29" s="624"/>
      <c r="BR29" s="624"/>
      <c r="BS29" s="624"/>
      <c r="BT29" s="622"/>
      <c r="BU29" s="624"/>
      <c r="BV29" s="624"/>
      <c r="BW29" s="624"/>
      <c r="BX29" s="624"/>
      <c r="BY29" s="622"/>
      <c r="BZ29" s="624"/>
      <c r="CA29" s="624"/>
      <c r="CB29" s="624"/>
      <c r="CC29" s="624"/>
      <c r="CD29" s="622"/>
      <c r="CE29" s="624"/>
      <c r="CF29" s="624"/>
      <c r="CG29" s="624"/>
      <c r="CH29" s="624"/>
      <c r="CI29" s="622"/>
      <c r="CJ29" s="624"/>
      <c r="CK29" s="624"/>
      <c r="CL29" s="624"/>
      <c r="CM29" s="624"/>
      <c r="CN29" s="622"/>
      <c r="CO29" s="624"/>
      <c r="CP29" s="624"/>
      <c r="CQ29" s="624"/>
      <c r="CR29" s="624"/>
      <c r="CS29" s="622"/>
      <c r="CT29" s="624"/>
      <c r="CU29" s="624"/>
      <c r="CV29" s="624"/>
      <c r="CW29" s="624"/>
      <c r="CX29" s="622"/>
      <c r="CY29" s="624"/>
      <c r="CZ29" s="624"/>
      <c r="DA29" s="624"/>
      <c r="DB29" s="624"/>
      <c r="DC29" s="622"/>
      <c r="DD29" s="619">
        <f t="shared" ref="DD29:EA29" si="9">SUM(DD26:DD28)</f>
      </c>
      <c r="DE29" s="619">
        <f t="shared" si="9"/>
      </c>
      <c r="DF29" s="619">
        <f t="shared" si="9"/>
      </c>
      <c r="DG29" s="619">
        <f t="shared" si="9"/>
      </c>
      <c r="DH29" s="622">
        <f t="shared" si="9"/>
      </c>
      <c r="DI29" s="619">
        <f t="shared" si="9"/>
      </c>
      <c r="DJ29" s="619">
        <f t="shared" si="9"/>
      </c>
      <c r="DK29" s="619">
        <f t="shared" si="9"/>
      </c>
      <c r="DL29" s="619">
        <f t="shared" si="9"/>
      </c>
      <c r="DM29" s="622">
        <f t="shared" si="9"/>
      </c>
      <c r="DN29" s="619">
        <f t="shared" si="9"/>
      </c>
      <c r="DO29" s="619">
        <f t="shared" si="9"/>
      </c>
      <c r="DP29" s="619">
        <f t="shared" si="9"/>
      </c>
      <c r="DQ29" s="619">
        <f t="shared" si="9"/>
      </c>
      <c r="DR29" s="622">
        <f t="shared" si="9"/>
      </c>
      <c r="DS29" s="619">
        <f t="shared" si="9"/>
      </c>
      <c r="DT29" s="619">
        <f t="shared" si="9"/>
      </c>
      <c r="DU29" s="619">
        <f t="shared" si="9"/>
      </c>
      <c r="DV29" s="619">
        <f t="shared" si="9"/>
      </c>
      <c r="DW29" s="622">
        <f t="shared" si="9"/>
      </c>
      <c r="DX29" s="619">
        <f t="shared" si="9"/>
      </c>
      <c r="DY29" s="619">
        <f t="shared" si="9"/>
      </c>
      <c r="DZ29" s="619">
        <f t="shared" si="9"/>
      </c>
      <c r="EA29" s="619">
        <f t="shared" si="9"/>
      </c>
      <c r="EB29" s="622">
        <f t="shared" ref="EB29:ES29" si="10">SUM(EB26:EB28)</f>
      </c>
      <c r="EC29" s="619">
        <f t="shared" si="10"/>
      </c>
      <c r="ED29" s="619">
        <f t="shared" si="10"/>
      </c>
      <c r="EE29" s="619">
        <f t="shared" si="10"/>
      </c>
      <c r="EF29" s="619">
        <f t="shared" si="10"/>
      </c>
      <c r="EG29" s="622">
        <f t="shared" si="10"/>
      </c>
      <c r="EH29" s="619">
        <f t="shared" si="10"/>
      </c>
      <c r="EI29" s="619">
        <f t="shared" si="10"/>
      </c>
      <c r="EJ29" s="619">
        <f t="shared" si="10"/>
      </c>
      <c r="EK29" s="619">
        <f t="shared" si="10"/>
      </c>
      <c r="EL29" s="622">
        <f t="shared" si="10"/>
      </c>
      <c r="EM29" s="619">
        <f t="shared" si="10"/>
      </c>
      <c r="EN29" s="619">
        <f t="shared" si="10"/>
      </c>
      <c r="EO29" s="619">
        <f t="shared" si="10"/>
      </c>
      <c r="EP29" s="619">
        <f t="shared" si="10"/>
      </c>
      <c r="EQ29" s="622">
        <f t="shared" si="10"/>
      </c>
      <c r="ER29" s="619">
        <f t="shared" si="10"/>
      </c>
      <c r="ES29" s="619">
        <f t="shared" si="10"/>
      </c>
      <c r="ET29" s="619">
        <f>SUM(ET26:ET28)</f>
      </c>
      <c r="EU29" s="619">
        <f>SUM(EU26:EU28)</f>
      </c>
      <c r="EV29" s="622">
        <f>SUM(EV26:EV28)</f>
      </c>
      <c r="EW29" s="619">
        <f t="shared" ref="EW29" si="11">SUM(EW26:EW28)</f>
      </c>
      <c r="EX29" s="619">
        <f t="shared" ref="EX29:EY29" si="12">SUM(EX26:EX28)</f>
      </c>
      <c r="EY29" s="619">
        <f t="shared" si="12"/>
      </c>
      <c r="EZ29" s="619">
        <f>SUM(EZ26:EZ28)</f>
      </c>
      <c r="FA29" s="622">
        <f>SUM(FA26:FA28)</f>
      </c>
      <c r="FB29" s="619"/>
      <c r="FC29" s="619"/>
      <c r="FD29" s="619"/>
      <c r="FE29" s="619"/>
      <c r="FF29" s="622"/>
      <c r="FG29" s="619"/>
      <c r="FH29" s="619"/>
      <c r="FI29" s="619"/>
      <c r="FJ29" s="619"/>
      <c r="FK29" s="622"/>
      <c r="FL29" s="619"/>
      <c r="FM29" s="619"/>
      <c r="FN29" s="619"/>
      <c r="FO29" s="619"/>
      <c r="FP29" s="622"/>
      <c r="FQ29" s="619"/>
      <c r="FR29" s="619"/>
      <c r="FS29" s="619"/>
      <c r="FT29" s="619"/>
      <c r="FU29" s="622"/>
      <c r="FV29" s="619"/>
      <c r="FW29" s="619"/>
      <c r="FX29" s="619"/>
      <c r="FY29" s="619"/>
      <c r="FZ29" s="622"/>
      <c r="GA29" s="619"/>
      <c r="GB29" s="619"/>
      <c r="GC29" s="619"/>
      <c r="GD29" s="619"/>
      <c r="GE29" s="622"/>
      <c r="GF29" s="619"/>
      <c r="GG29" s="619"/>
      <c r="GH29" s="619"/>
      <c r="GI29" s="619"/>
      <c r="GJ29" s="622"/>
    </row>
    <row r="30" spans="1:192" s="461" customFormat="1" ht="12.75" hidden="1" customHeight="1" outlineLevel="1">
      <c r="A30" s="68"/>
      <c r="B30" s="997"/>
      <c r="C30" s="993"/>
      <c r="D30" s="993"/>
      <c r="E30" s="993"/>
      <c r="F30" s="993"/>
      <c r="G30" s="994"/>
      <c r="H30" s="993"/>
      <c r="I30" s="993"/>
      <c r="J30" s="993"/>
      <c r="K30" s="993"/>
      <c r="L30" s="994"/>
      <c r="M30" s="993"/>
      <c r="N30" s="993"/>
      <c r="O30" s="993"/>
      <c r="P30" s="993"/>
      <c r="Q30" s="994"/>
      <c r="R30" s="995"/>
      <c r="S30" s="995"/>
      <c r="T30" s="995"/>
      <c r="U30" s="995"/>
      <c r="V30" s="994"/>
      <c r="W30" s="995"/>
      <c r="X30" s="995"/>
      <c r="Y30" s="995"/>
      <c r="Z30" s="995"/>
      <c r="AA30" s="994"/>
      <c r="AB30" s="995"/>
      <c r="AC30" s="995"/>
      <c r="AD30" s="995"/>
      <c r="AE30" s="995"/>
      <c r="AF30" s="994"/>
      <c r="AG30" s="995"/>
      <c r="AH30" s="995"/>
      <c r="AI30" s="995"/>
      <c r="AJ30" s="995"/>
      <c r="AK30" s="994"/>
      <c r="AL30" s="993"/>
      <c r="AM30" s="993"/>
      <c r="AN30" s="993"/>
      <c r="AO30" s="993"/>
      <c r="AP30" s="994"/>
      <c r="AQ30" s="993"/>
      <c r="AR30" s="993"/>
      <c r="AS30" s="993"/>
      <c r="AT30" s="993"/>
      <c r="AU30" s="994"/>
      <c r="AV30" s="993"/>
      <c r="AW30" s="993"/>
      <c r="AX30" s="993"/>
      <c r="AY30" s="993"/>
      <c r="AZ30" s="994"/>
      <c r="BA30" s="993"/>
      <c r="BB30" s="993"/>
      <c r="BC30" s="993"/>
      <c r="BD30" s="993"/>
      <c r="BE30" s="994"/>
      <c r="BF30" s="993"/>
      <c r="BG30" s="993"/>
      <c r="BH30" s="993"/>
      <c r="BI30" s="993"/>
      <c r="BJ30" s="994"/>
      <c r="BK30" s="993"/>
      <c r="BL30" s="993"/>
      <c r="BM30" s="993"/>
      <c r="BN30" s="993"/>
      <c r="BO30" s="994"/>
      <c r="BP30" s="993"/>
      <c r="BQ30" s="993"/>
      <c r="BR30" s="993"/>
      <c r="BS30" s="993"/>
      <c r="BT30" s="994"/>
      <c r="BU30" s="993"/>
      <c r="BV30" s="993"/>
      <c r="BW30" s="993"/>
      <c r="BX30" s="993"/>
      <c r="BY30" s="994"/>
      <c r="BZ30" s="993"/>
      <c r="CA30" s="993"/>
      <c r="CB30" s="993"/>
      <c r="CC30" s="993"/>
      <c r="CD30" s="994"/>
      <c r="CE30" s="993"/>
      <c r="CF30" s="993"/>
      <c r="CG30" s="993"/>
      <c r="CH30" s="993"/>
      <c r="CI30" s="994"/>
      <c r="CJ30" s="993"/>
      <c r="CK30" s="993"/>
      <c r="CL30" s="993"/>
      <c r="CM30" s="993"/>
      <c r="CN30" s="994"/>
      <c r="CO30" s="993"/>
      <c r="CP30" s="993"/>
      <c r="CQ30" s="993"/>
      <c r="CR30" s="993"/>
      <c r="CS30" s="994"/>
      <c r="CT30" s="993"/>
      <c r="CU30" s="993"/>
      <c r="CV30" s="993"/>
      <c r="CW30" s="993"/>
      <c r="CX30" s="994"/>
      <c r="CY30" s="993"/>
      <c r="CZ30" s="993"/>
      <c r="DA30" s="993"/>
      <c r="DB30" s="993"/>
      <c r="DC30" s="994"/>
      <c r="DD30" s="996"/>
      <c r="DE30" s="996"/>
      <c r="DF30" s="996"/>
      <c r="DG30" s="996"/>
      <c r="DH30" s="994"/>
      <c r="DI30" s="996"/>
      <c r="DJ30" s="996"/>
      <c r="DK30" s="996"/>
      <c r="DL30" s="996"/>
      <c r="DM30" s="994"/>
      <c r="DN30" s="996"/>
      <c r="DO30" s="996"/>
      <c r="DP30" s="996"/>
      <c r="DQ30" s="996"/>
      <c r="DR30" s="994"/>
      <c r="DS30" s="996"/>
      <c r="DT30" s="996"/>
      <c r="DU30" s="996"/>
      <c r="DV30" s="996"/>
      <c r="DW30" s="994"/>
      <c r="DX30" s="996"/>
      <c r="DY30" s="996"/>
      <c r="DZ30" s="996"/>
      <c r="EA30" s="996"/>
      <c r="EB30" s="994"/>
      <c r="EC30" s="996"/>
      <c r="ED30" s="996"/>
      <c r="EE30" s="996"/>
      <c r="EF30" s="996"/>
      <c r="EG30" s="994"/>
      <c r="EH30" s="996"/>
      <c r="EI30" s="996"/>
      <c r="EJ30" s="996"/>
      <c r="EK30" s="996"/>
      <c r="EL30" s="994"/>
      <c r="EM30" s="996"/>
      <c r="EN30" s="996"/>
      <c r="EO30" s="996"/>
      <c r="EP30" s="996"/>
      <c r="EQ30" s="994"/>
      <c r="ER30" s="996"/>
      <c r="ES30" s="996"/>
      <c r="ET30" s="996"/>
      <c r="EU30" s="996"/>
      <c r="EV30" s="994"/>
      <c r="EW30" s="996"/>
      <c r="EX30" s="996"/>
      <c r="EY30" s="996"/>
      <c r="EZ30" s="996"/>
      <c r="FA30" s="994"/>
      <c r="FB30" s="996"/>
      <c r="FC30" s="996"/>
      <c r="FD30" s="996"/>
      <c r="FE30" s="996"/>
      <c r="FF30" s="994"/>
      <c r="FG30" s="996"/>
      <c r="FH30" s="996"/>
      <c r="FI30" s="996"/>
      <c r="FJ30" s="996"/>
      <c r="FK30" s="994"/>
      <c r="FL30" s="996"/>
      <c r="FM30" s="996"/>
      <c r="FN30" s="996"/>
      <c r="FO30" s="996"/>
      <c r="FP30" s="994"/>
      <c r="FQ30" s="996"/>
      <c r="FR30" s="996"/>
      <c r="FS30" s="996"/>
      <c r="FT30" s="996"/>
      <c r="FU30" s="994"/>
      <c r="FV30" s="996"/>
      <c r="FW30" s="996"/>
      <c r="FX30" s="996"/>
      <c r="FY30" s="996"/>
      <c r="FZ30" s="994"/>
      <c r="GA30" s="996"/>
      <c r="GB30" s="996"/>
      <c r="GC30" s="996"/>
      <c r="GD30" s="996"/>
      <c r="GE30" s="994"/>
      <c r="GF30" s="996"/>
      <c r="GG30" s="996"/>
      <c r="GH30" s="996"/>
      <c r="GI30" s="996"/>
      <c r="GJ30" s="994"/>
    </row>
    <row r="31" spans="1:192" s="461" customFormat="1" ht="12.75" hidden="1" customHeight="1" outlineLevel="1">
      <c r="A31" s="68"/>
      <c r="B31" s="1008" t="s">
        <v>435</v>
      </c>
      <c r="C31" s="1001"/>
      <c r="D31" s="1001"/>
      <c r="E31" s="1001"/>
      <c r="F31" s="1001"/>
      <c r="G31" s="1002"/>
      <c r="H31" s="1001">
        <f>BS!H33</f>
      </c>
      <c r="I31" s="1001">
        <f>BS!I33</f>
      </c>
      <c r="J31" s="1001">
        <f>BS!J33</f>
      </c>
      <c r="K31" s="1001">
        <f>BS!K33</f>
      </c>
      <c r="L31" s="1002">
        <f>BS!L33</f>
      </c>
      <c r="M31" s="1001">
        <f>BS!M33</f>
      </c>
      <c r="N31" s="1001">
        <f>BS!N33</f>
      </c>
      <c r="O31" s="1001">
        <f>BS!O33</f>
      </c>
      <c r="P31" s="1001">
        <f>BS!P33</f>
      </c>
      <c r="Q31" s="1002">
        <f>BS!Q33</f>
      </c>
      <c r="R31" s="1003">
        <f>BS!R33</f>
      </c>
      <c r="S31" s="1003">
        <f>BS!S33</f>
      </c>
      <c r="T31" s="1003">
        <f>BS!T33</f>
      </c>
      <c r="U31" s="1003">
        <f>BS!U33</f>
      </c>
      <c r="V31" s="1002">
        <f>BS!V33</f>
      </c>
      <c r="W31" s="1003">
        <f>BS!W33</f>
      </c>
      <c r="X31" s="1003">
        <f>BS!X33</f>
      </c>
      <c r="Y31" s="1003">
        <f>BS!Y33</f>
      </c>
      <c r="Z31" s="1003">
        <f>BS!Z33</f>
      </c>
      <c r="AA31" s="1002">
        <f>BS!AA33</f>
      </c>
      <c r="AB31" s="1003">
        <f>BS!AB33</f>
      </c>
      <c r="AC31" s="1003">
        <f>BS!AC33</f>
      </c>
      <c r="AD31" s="1003">
        <f>BS!AD33</f>
      </c>
      <c r="AE31" s="1003">
        <f>BS!AE33</f>
      </c>
      <c r="AF31" s="1002">
        <f>BS!AF33</f>
      </c>
      <c r="AG31" s="1003">
        <f>BS!AG33</f>
      </c>
      <c r="AH31" s="1003">
        <f>BS!AH33</f>
      </c>
      <c r="AI31" s="1003">
        <f>BS!AI33</f>
      </c>
      <c r="AJ31" s="1003">
        <f>BS!AJ33</f>
      </c>
      <c r="AK31" s="1002">
        <f>BS!AK33</f>
      </c>
      <c r="AL31" s="1001">
        <f>BS!AL33</f>
      </c>
      <c r="AM31" s="1001">
        <f>BS!AM33</f>
      </c>
      <c r="AN31" s="1001">
        <f>BS!AN33</f>
      </c>
      <c r="AO31" s="1001">
        <f>BS!AO33</f>
      </c>
      <c r="AP31" s="1002">
        <f>BS!AP33</f>
      </c>
      <c r="AQ31" s="1001">
        <f>BS!AQ33</f>
      </c>
      <c r="AR31" s="1001">
        <f>BS!AR33</f>
      </c>
      <c r="AS31" s="1001">
        <f>BS!AS33</f>
      </c>
      <c r="AT31" s="1001">
        <f>BS!AT33</f>
      </c>
      <c r="AU31" s="1002">
        <f>BS!AU33</f>
      </c>
      <c r="AV31" s="1001">
        <f>BS!AV33</f>
      </c>
      <c r="AW31" s="1001">
        <f>BS!AW33</f>
      </c>
      <c r="AX31" s="1001">
        <f>BS!AX33</f>
      </c>
      <c r="AY31" s="1001">
        <f>BS!AY33</f>
      </c>
      <c r="AZ31" s="1002">
        <f>BS!AZ33</f>
      </c>
      <c r="BA31" s="1001">
        <f>BS!BA33</f>
      </c>
      <c r="BB31" s="1001">
        <f>BS!BB33</f>
      </c>
      <c r="BC31" s="1001">
        <f>BS!BC33</f>
      </c>
      <c r="BD31" s="1001">
        <f>BS!BD33</f>
      </c>
      <c r="BE31" s="1002">
        <f>BS!BE33</f>
      </c>
      <c r="BF31" s="1001">
        <f>BS!BF33</f>
      </c>
      <c r="BG31" s="1001">
        <f>BS!BG33</f>
      </c>
      <c r="BH31" s="1001">
        <f>BS!BH33</f>
      </c>
      <c r="BI31" s="1001">
        <f>BS!BI33</f>
      </c>
      <c r="BJ31" s="1002">
        <f>BS!BJ33</f>
      </c>
      <c r="BK31" s="1001">
        <f>BS!BK33</f>
      </c>
      <c r="BL31" s="1001">
        <f>BS!BL33</f>
      </c>
      <c r="BM31" s="1001">
        <f>BS!BM33</f>
      </c>
      <c r="BN31" s="1001">
        <f>BS!BN33</f>
      </c>
      <c r="BO31" s="1002">
        <f>BS!BO33</f>
      </c>
      <c r="BP31" s="1001">
        <f>BS!BP33</f>
      </c>
      <c r="BQ31" s="1001">
        <f>BS!BQ33</f>
      </c>
      <c r="BR31" s="1001">
        <f>BS!BR33</f>
      </c>
      <c r="BS31" s="1001">
        <f>BS!BS33</f>
      </c>
      <c r="BT31" s="1002">
        <f>BS!BT33</f>
      </c>
      <c r="BU31" s="1001">
        <f>BS!BU33</f>
      </c>
      <c r="BV31" s="1001">
        <f>BS!BV33</f>
      </c>
      <c r="BW31" s="1001">
        <f>BS!BW33</f>
      </c>
      <c r="BX31" s="1001">
        <f>BS!BX33</f>
      </c>
      <c r="BY31" s="1002">
        <f>BS!BY33</f>
      </c>
      <c r="BZ31" s="1001">
        <f>BS!BZ33</f>
      </c>
      <c r="CA31" s="1001">
        <f>BS!CA33</f>
      </c>
      <c r="CB31" s="1001">
        <f>BS!CB33</f>
      </c>
      <c r="CC31" s="1001">
        <f>BS!CC33</f>
      </c>
      <c r="CD31" s="1002">
        <f>BS!CD33</f>
      </c>
      <c r="CE31" s="1001">
        <f>BS!CE33</f>
      </c>
      <c r="CF31" s="1001">
        <f>BS!CF33</f>
      </c>
      <c r="CG31" s="1001">
        <f>BS!CG33</f>
      </c>
      <c r="CH31" s="1001">
        <f>BS!CH33</f>
      </c>
      <c r="CI31" s="1002">
        <f>BS!CI33</f>
      </c>
      <c r="CJ31" s="1001">
        <f>BS!CJ33</f>
      </c>
      <c r="CK31" s="1001">
        <f>BS!CK33</f>
      </c>
      <c r="CL31" s="1001">
        <f>BS!CL33</f>
      </c>
      <c r="CM31" s="1001">
        <f>BS!CM33</f>
      </c>
      <c r="CN31" s="1002">
        <f>BS!CN33</f>
      </c>
      <c r="CO31" s="1001">
        <f>BS!CO33</f>
      </c>
      <c r="CP31" s="1001">
        <f>BS!CP33</f>
      </c>
      <c r="CQ31" s="1001">
        <f>BS!CQ33</f>
      </c>
      <c r="CR31" s="1001">
        <f>BS!CR33</f>
      </c>
      <c r="CS31" s="1002">
        <f>BS!CS33</f>
      </c>
      <c r="CT31" s="1001">
        <f>BS!CT33</f>
      </c>
      <c r="CU31" s="1001">
        <f>BS!CU33</f>
      </c>
      <c r="CV31" s="1001">
        <f>BS!CV33</f>
      </c>
      <c r="CW31" s="1001">
        <f>BS!CW33</f>
      </c>
      <c r="CX31" s="1002">
        <f>BS!CX33</f>
      </c>
      <c r="CY31" s="1001">
        <f>BS!CY33</f>
      </c>
      <c r="CZ31" s="1001">
        <f>BS!CZ33</f>
      </c>
      <c r="DA31" s="1001">
        <f>BS!DA33</f>
      </c>
      <c r="DB31" s="1001">
        <f>BS!DB33</f>
      </c>
      <c r="DC31" s="1002">
        <f>BS!DC33</f>
      </c>
      <c r="DD31" s="1001">
        <f>BS!DD33</f>
      </c>
      <c r="DE31" s="1001">
        <f>BS!DE33</f>
      </c>
      <c r="DF31" s="1001">
        <f>BS!DF33</f>
      </c>
      <c r="DG31" s="1001">
        <f>BS!DG33</f>
      </c>
      <c r="DH31" s="1002">
        <f>BS!DH33</f>
      </c>
      <c r="DI31" s="1001">
        <f>BS!DI33</f>
      </c>
      <c r="DJ31" s="1001">
        <f>BS!DJ33</f>
      </c>
      <c r="DK31" s="1001">
        <f>BS!DK33</f>
      </c>
      <c r="DL31" s="1001">
        <f>BS!DL33</f>
      </c>
      <c r="DM31" s="1002">
        <f>BS!DM33</f>
      </c>
      <c r="DN31" s="1001">
        <f>BS!DN33</f>
      </c>
      <c r="DO31" s="1001">
        <f>BS!DO33</f>
      </c>
      <c r="DP31" s="1001">
        <f>BS!DP33</f>
      </c>
      <c r="DQ31" s="1001">
        <f>BS!DQ33</f>
      </c>
      <c r="DR31" s="1002">
        <f>BS!DR33</f>
      </c>
      <c r="DS31" s="1001">
        <f>BS!DS33</f>
      </c>
      <c r="DT31" s="1001">
        <f>BS!DT33</f>
      </c>
      <c r="DU31" s="1001">
        <f>BS!DU33</f>
      </c>
      <c r="DV31" s="1001">
        <f>BS!DV33</f>
      </c>
      <c r="DW31" s="1002">
        <f>BS!DW33</f>
      </c>
      <c r="DX31" s="1001">
        <f>BS!DX33</f>
      </c>
      <c r="DY31" s="1001">
        <f>BS!DY33</f>
      </c>
      <c r="DZ31" s="1001">
        <f>BS!DZ33</f>
      </c>
      <c r="EA31" s="1001">
        <f>BS!EA33</f>
      </c>
      <c r="EB31" s="1002">
        <f>BS!EB33</f>
      </c>
      <c r="EC31" s="1001">
        <f>BS!EC33</f>
      </c>
      <c r="ED31" s="1001">
        <f>BS!ED33</f>
      </c>
      <c r="EE31" s="1001">
        <f>BS!EE33</f>
      </c>
      <c r="EF31" s="1001">
        <f>BS!EF33</f>
      </c>
      <c r="EG31" s="1002">
        <f>BS!EG33</f>
      </c>
      <c r="EH31" s="1001">
        <f>BS!EH33</f>
      </c>
      <c r="EI31" s="1001">
        <f>BS!EI33</f>
      </c>
      <c r="EJ31" s="1001">
        <f>BS!EJ33</f>
      </c>
      <c r="EK31" s="1001">
        <f>BS!EK33</f>
      </c>
      <c r="EL31" s="1002">
        <f>BS!EL33</f>
      </c>
      <c r="EM31" s="1001">
        <f>BS!EM33</f>
      </c>
      <c r="EN31" s="1001">
        <f>BS!EN33</f>
      </c>
      <c r="EO31" s="1001">
        <f>BS!EO33</f>
      </c>
      <c r="EP31" s="1001">
        <f>BS!EP33</f>
      </c>
      <c r="EQ31" s="1002">
        <f>BS!EQ33</f>
      </c>
      <c r="ER31" s="1001">
        <f>BS!ER33</f>
      </c>
      <c r="ES31" s="1001">
        <f>BS!ES33</f>
      </c>
      <c r="ET31" s="1001">
        <f>BS!ET33</f>
      </c>
      <c r="EU31" s="1001">
        <f>BS!EU33</f>
      </c>
      <c r="EV31" s="1002">
        <f>BS!EV33</f>
      </c>
      <c r="EW31" s="1001">
        <f>BS!EW33</f>
      </c>
      <c r="EX31" s="1001">
        <f>BS!EX33</f>
      </c>
      <c r="EY31" s="1001">
        <f>BS!EY33</f>
      </c>
      <c r="EZ31" s="1001">
        <f>BS!EZ33</f>
      </c>
      <c r="FA31" s="1002">
        <f>BS!FA33</f>
      </c>
      <c r="FB31" s="1001">
        <f>BS!FB33</f>
      </c>
      <c r="FC31" s="1001">
        <f>BS!FC33</f>
      </c>
      <c r="FD31" s="1001">
        <f>BS!FD33</f>
      </c>
      <c r="FE31" s="1001">
        <f>BS!FE33</f>
      </c>
      <c r="FF31" s="1002">
        <f>BS!FF33</f>
      </c>
      <c r="FG31" s="1001">
        <f>BS!FG33</f>
      </c>
      <c r="FH31" s="1001">
        <f>BS!FH33</f>
      </c>
      <c r="FI31" s="1001">
        <f>BS!FI33</f>
      </c>
      <c r="FJ31" s="1001">
        <f>BS!FJ33</f>
      </c>
      <c r="FK31" s="1002">
        <f>BS!FK33</f>
      </c>
      <c r="FL31" s="1001">
        <f>BS!FL33</f>
      </c>
      <c r="FM31" s="1001">
        <f>BS!FM33</f>
      </c>
      <c r="FN31" s="1001">
        <f>BS!FN33</f>
      </c>
      <c r="FO31" s="1001">
        <f>BS!FO33</f>
      </c>
      <c r="FP31" s="1002">
        <f>BS!FP33</f>
      </c>
      <c r="FQ31" s="1001">
        <f>BS!FQ33</f>
      </c>
      <c r="FR31" s="1001">
        <f>BS!FR33</f>
      </c>
      <c r="FS31" s="1001">
        <f>BS!FS33</f>
      </c>
      <c r="FT31" s="1001">
        <f>BS!FT33</f>
      </c>
      <c r="FU31" s="1002">
        <f>BS!FU33</f>
      </c>
      <c r="FV31" s="1001">
        <f>BS!FV33</f>
      </c>
      <c r="FW31" s="1001">
        <f>BS!FW33</f>
      </c>
      <c r="FX31" s="1001">
        <f>BS!FX33</f>
      </c>
      <c r="FY31" s="1001">
        <f>BS!FY33</f>
      </c>
      <c r="FZ31" s="1002">
        <f>BS!FZ33</f>
      </c>
      <c r="GA31" s="1001">
        <f>BS!GA33</f>
      </c>
      <c r="GB31" s="1001">
        <f>BS!GB33</f>
      </c>
      <c r="GC31" s="1001">
        <f>BS!GC33</f>
      </c>
      <c r="GD31" s="1001">
        <f>BS!GD33</f>
      </c>
      <c r="GE31" s="1002">
        <f>BS!GE33</f>
      </c>
      <c r="GF31" s="1001">
        <f>BS!GF33</f>
      </c>
      <c r="GG31" s="1001">
        <f>BS!GG33</f>
      </c>
      <c r="GH31" s="1001">
        <f>BS!GH33</f>
      </c>
      <c r="GI31" s="1001">
        <f>BS!GI33</f>
      </c>
      <c r="GJ31" s="1002">
        <f>BS!GJ33</f>
      </c>
    </row>
    <row r="32" spans="1:192" s="461" customFormat="1" ht="12.75" hidden="1" customHeight="1" outlineLevel="1">
      <c r="A32" s="68"/>
      <c r="B32" s="1008" t="s">
        <v>434</v>
      </c>
      <c r="C32" s="1001"/>
      <c r="D32" s="1001"/>
      <c r="E32" s="1001"/>
      <c r="F32" s="1001"/>
      <c r="G32" s="1002"/>
      <c r="H32" s="1001">
        <f>BS!H40</f>
      </c>
      <c r="I32" s="1001">
        <f>BS!I40</f>
      </c>
      <c r="J32" s="1001">
        <f>BS!J40</f>
      </c>
      <c r="K32" s="1001">
        <f>BS!K40</f>
      </c>
      <c r="L32" s="1002">
        <f>BS!L40</f>
      </c>
      <c r="M32" s="1001">
        <f>BS!M40</f>
      </c>
      <c r="N32" s="1001">
        <f>BS!N40</f>
      </c>
      <c r="O32" s="1001">
        <f>BS!O40</f>
      </c>
      <c r="P32" s="1001">
        <f>BS!P40</f>
      </c>
      <c r="Q32" s="1002">
        <f>BS!Q40</f>
      </c>
      <c r="R32" s="1003">
        <f>BS!R40</f>
      </c>
      <c r="S32" s="1003">
        <f>BS!S40</f>
      </c>
      <c r="T32" s="1003">
        <f>BS!T40</f>
      </c>
      <c r="U32" s="1003">
        <f>BS!U40</f>
      </c>
      <c r="V32" s="1002">
        <f>BS!V40</f>
      </c>
      <c r="W32" s="1003">
        <f>BS!W40</f>
      </c>
      <c r="X32" s="1003">
        <f>BS!X40</f>
      </c>
      <c r="Y32" s="1003">
        <f>BS!Y40</f>
      </c>
      <c r="Z32" s="1003">
        <f>BS!Z40</f>
      </c>
      <c r="AA32" s="1002">
        <f>BS!AA40</f>
      </c>
      <c r="AB32" s="1003">
        <f>BS!AB40</f>
      </c>
      <c r="AC32" s="1003">
        <f>BS!AC40</f>
      </c>
      <c r="AD32" s="1003">
        <f>BS!AD40</f>
      </c>
      <c r="AE32" s="1003">
        <f>BS!AE40</f>
      </c>
      <c r="AF32" s="1002">
        <f>BS!AF40</f>
      </c>
      <c r="AG32" s="1003">
        <f>BS!AG40</f>
      </c>
      <c r="AH32" s="1003">
        <f>BS!AH40</f>
      </c>
      <c r="AI32" s="1003">
        <f>BS!AI40</f>
      </c>
      <c r="AJ32" s="1003">
        <f>BS!AJ40</f>
      </c>
      <c r="AK32" s="1002">
        <f>BS!AK40</f>
      </c>
      <c r="AL32" s="1001">
        <f>BS!AL40</f>
      </c>
      <c r="AM32" s="1001">
        <f>BS!AM40</f>
      </c>
      <c r="AN32" s="1001">
        <f>BS!AN40</f>
      </c>
      <c r="AO32" s="1001">
        <f>BS!AO40</f>
      </c>
      <c r="AP32" s="1002">
        <f>BS!AP40</f>
      </c>
      <c r="AQ32" s="1001">
        <f>BS!AQ40</f>
      </c>
      <c r="AR32" s="1001">
        <f>BS!AR40</f>
      </c>
      <c r="AS32" s="1001">
        <f>BS!AS40</f>
      </c>
      <c r="AT32" s="1001">
        <f>BS!AT40</f>
      </c>
      <c r="AU32" s="1002">
        <f>BS!AU40</f>
      </c>
      <c r="AV32" s="1001">
        <f>BS!AV40</f>
      </c>
      <c r="AW32" s="1001">
        <f>BS!AW40</f>
      </c>
      <c r="AX32" s="1001">
        <f>BS!AX40</f>
      </c>
      <c r="AY32" s="1001">
        <f>BS!AY40</f>
      </c>
      <c r="AZ32" s="1002">
        <f>BS!AZ40</f>
      </c>
      <c r="BA32" s="1001">
        <f>BS!BA40</f>
      </c>
      <c r="BB32" s="1001">
        <f>BS!BB40</f>
      </c>
      <c r="BC32" s="1001">
        <f>BS!BC40</f>
      </c>
      <c r="BD32" s="1001">
        <f>BS!BD40</f>
      </c>
      <c r="BE32" s="1002">
        <f>BS!BE40</f>
      </c>
      <c r="BF32" s="1001">
        <f>BS!BF40</f>
      </c>
      <c r="BG32" s="1001">
        <f>BS!BG40</f>
      </c>
      <c r="BH32" s="1001">
        <f>BS!BH40</f>
      </c>
      <c r="BI32" s="1001">
        <f>BS!BI40</f>
      </c>
      <c r="BJ32" s="1002">
        <f>BS!BJ40</f>
      </c>
      <c r="BK32" s="1001">
        <f>BS!BK40</f>
      </c>
      <c r="BL32" s="1001">
        <f>BS!BL40</f>
      </c>
      <c r="BM32" s="1001">
        <f>BS!BM40</f>
      </c>
      <c r="BN32" s="1001">
        <f>BS!BN40</f>
      </c>
      <c r="BO32" s="1002">
        <f>BS!BO40</f>
      </c>
      <c r="BP32" s="1001">
        <f>BS!BP40</f>
      </c>
      <c r="BQ32" s="1001">
        <f>BS!BQ40</f>
      </c>
      <c r="BR32" s="1001">
        <f>BS!BR40</f>
      </c>
      <c r="BS32" s="1001">
        <f>BS!BS40</f>
      </c>
      <c r="BT32" s="1002">
        <f>BS!BT40</f>
      </c>
      <c r="BU32" s="1001">
        <f>BS!BU40</f>
      </c>
      <c r="BV32" s="1001">
        <f>BS!BV40</f>
      </c>
      <c r="BW32" s="1001">
        <f>BS!BW40</f>
      </c>
      <c r="BX32" s="1001">
        <f>BS!BX40</f>
      </c>
      <c r="BY32" s="1002">
        <f>BS!BY40</f>
      </c>
      <c r="BZ32" s="1001">
        <f>BS!BZ40</f>
      </c>
      <c r="CA32" s="1001">
        <f>BS!CA40</f>
      </c>
      <c r="CB32" s="1001">
        <f>BS!CB40</f>
      </c>
      <c r="CC32" s="1001">
        <f>BS!CC40</f>
      </c>
      <c r="CD32" s="1002">
        <f>BS!CD40</f>
      </c>
      <c r="CE32" s="1001">
        <f>BS!CE40</f>
      </c>
      <c r="CF32" s="1001">
        <f>BS!CF40</f>
      </c>
      <c r="CG32" s="1001">
        <f>BS!CG40</f>
      </c>
      <c r="CH32" s="1001">
        <f>BS!CH40</f>
      </c>
      <c r="CI32" s="1002">
        <f>BS!CI40</f>
      </c>
      <c r="CJ32" s="1001">
        <f>BS!CJ40</f>
      </c>
      <c r="CK32" s="1001">
        <f>BS!CK40</f>
      </c>
      <c r="CL32" s="1001">
        <f>BS!CL40</f>
      </c>
      <c r="CM32" s="1001">
        <f>BS!CM40</f>
      </c>
      <c r="CN32" s="1002">
        <f>BS!CN40</f>
      </c>
      <c r="CO32" s="1001">
        <f>BS!CO40</f>
      </c>
      <c r="CP32" s="1001">
        <f>BS!CP40</f>
      </c>
      <c r="CQ32" s="1001">
        <f>BS!CQ40</f>
      </c>
      <c r="CR32" s="1001">
        <f>BS!CR40</f>
      </c>
      <c r="CS32" s="1002">
        <f>BS!CS40</f>
      </c>
      <c r="CT32" s="1001">
        <f>BS!CT40</f>
      </c>
      <c r="CU32" s="1001">
        <f>BS!CU40</f>
      </c>
      <c r="CV32" s="1001">
        <f>BS!CV40</f>
      </c>
      <c r="CW32" s="1001">
        <f>BS!CW40</f>
      </c>
      <c r="CX32" s="1002">
        <f>BS!CX40</f>
      </c>
      <c r="CY32" s="1001">
        <f>BS!CY40</f>
      </c>
      <c r="CZ32" s="1001">
        <f>BS!CZ40</f>
      </c>
      <c r="DA32" s="1001">
        <f>BS!DA40</f>
      </c>
      <c r="DB32" s="1001">
        <f>BS!DB40</f>
      </c>
      <c r="DC32" s="1002">
        <f>BS!DC40</f>
      </c>
      <c r="DD32" s="1001">
        <f>BS!DD40</f>
      </c>
      <c r="DE32" s="1001">
        <f>BS!DE40</f>
      </c>
      <c r="DF32" s="1001">
        <f>BS!DF40</f>
      </c>
      <c r="DG32" s="1001">
        <f>BS!DG40</f>
      </c>
      <c r="DH32" s="1002">
        <f>BS!DH40</f>
      </c>
      <c r="DI32" s="1001">
        <f>BS!DI40</f>
      </c>
      <c r="DJ32" s="1001">
        <f>BS!DJ40</f>
      </c>
      <c r="DK32" s="1001">
        <f>BS!DK40</f>
      </c>
      <c r="DL32" s="1001">
        <f>BS!DL40</f>
      </c>
      <c r="DM32" s="1002">
        <f>BS!DM40</f>
      </c>
      <c r="DN32" s="1001">
        <f>BS!DN40</f>
      </c>
      <c r="DO32" s="1001">
        <f>BS!DO40</f>
      </c>
      <c r="DP32" s="1001">
        <f>BS!DP40</f>
      </c>
      <c r="DQ32" s="1001">
        <f>BS!DQ40</f>
      </c>
      <c r="DR32" s="1002">
        <f>BS!DR40</f>
      </c>
      <c r="DS32" s="1001">
        <f>BS!DS40</f>
      </c>
      <c r="DT32" s="1001">
        <f>BS!DT40</f>
      </c>
      <c r="DU32" s="1001">
        <f>BS!DU40</f>
      </c>
      <c r="DV32" s="1001">
        <f>BS!DV40</f>
      </c>
      <c r="DW32" s="1002">
        <f>BS!DW40</f>
      </c>
      <c r="DX32" s="1001">
        <f>BS!DX40</f>
      </c>
      <c r="DY32" s="1001">
        <f>BS!DY40</f>
      </c>
      <c r="DZ32" s="1001">
        <f>BS!DZ40</f>
      </c>
      <c r="EA32" s="1001">
        <f>BS!EA40</f>
      </c>
      <c r="EB32" s="1002">
        <f>BS!EB40</f>
      </c>
      <c r="EC32" s="1001">
        <f>BS!EC40</f>
      </c>
      <c r="ED32" s="1001">
        <f>BS!ED40</f>
      </c>
      <c r="EE32" s="1001">
        <f>BS!EE40</f>
      </c>
      <c r="EF32" s="1001">
        <f>BS!EF40</f>
      </c>
      <c r="EG32" s="1002">
        <f>BS!EG40</f>
      </c>
      <c r="EH32" s="1001">
        <f>BS!EH40</f>
      </c>
      <c r="EI32" s="1001">
        <f>BS!EI40</f>
      </c>
      <c r="EJ32" s="1001">
        <f>BS!EJ40</f>
      </c>
      <c r="EK32" s="1001">
        <f>BS!EK40</f>
      </c>
      <c r="EL32" s="1002">
        <f>BS!EL40</f>
      </c>
      <c r="EM32" s="1001">
        <f>BS!EM40</f>
      </c>
      <c r="EN32" s="1001">
        <f>BS!EN40</f>
      </c>
      <c r="EO32" s="1001">
        <f>BS!EO40</f>
      </c>
      <c r="EP32" s="1001">
        <f>BS!EP40</f>
      </c>
      <c r="EQ32" s="1002">
        <f>BS!EQ40</f>
      </c>
      <c r="ER32" s="1001">
        <f>BS!ER40</f>
      </c>
      <c r="ES32" s="1001">
        <f>BS!ES40</f>
      </c>
      <c r="ET32" s="1001">
        <f>BS!ET40</f>
      </c>
      <c r="EU32" s="1001">
        <f>BS!EU40</f>
      </c>
      <c r="EV32" s="1002">
        <f>BS!EV40</f>
      </c>
      <c r="EW32" s="1001">
        <f>BS!EW40</f>
      </c>
      <c r="EX32" s="1001">
        <f>BS!EX40</f>
      </c>
      <c r="EY32" s="1001">
        <f>BS!EY40</f>
      </c>
      <c r="EZ32" s="1001">
        <f>BS!EZ40</f>
      </c>
      <c r="FA32" s="1002">
        <f>BS!FA40</f>
      </c>
      <c r="FB32" s="1001">
        <f>BS!FB40</f>
      </c>
      <c r="FC32" s="1001">
        <f>BS!FC40</f>
      </c>
      <c r="FD32" s="1001">
        <f>BS!FD40</f>
      </c>
      <c r="FE32" s="1001">
        <f>BS!FE40</f>
      </c>
      <c r="FF32" s="1002">
        <f>BS!FF40</f>
      </c>
      <c r="FG32" s="1001">
        <f>BS!FG40</f>
      </c>
      <c r="FH32" s="1001">
        <f>BS!FH40</f>
      </c>
      <c r="FI32" s="1001">
        <f>BS!FI40</f>
      </c>
      <c r="FJ32" s="1001">
        <f>BS!FJ40</f>
      </c>
      <c r="FK32" s="1002">
        <f>BS!FK40</f>
      </c>
      <c r="FL32" s="1001">
        <f>BS!FL40</f>
      </c>
      <c r="FM32" s="1001">
        <f>BS!FM40</f>
      </c>
      <c r="FN32" s="1001">
        <f>BS!FN40</f>
      </c>
      <c r="FO32" s="1001">
        <f>BS!FO40</f>
      </c>
      <c r="FP32" s="1002">
        <f>BS!FP40</f>
      </c>
      <c r="FQ32" s="1001">
        <f>BS!FQ40</f>
      </c>
      <c r="FR32" s="1001">
        <f>BS!FR40</f>
      </c>
      <c r="FS32" s="1001">
        <f>BS!FS40</f>
      </c>
      <c r="FT32" s="1001">
        <f>BS!FT40</f>
      </c>
      <c r="FU32" s="1002">
        <f>BS!FU40</f>
      </c>
      <c r="FV32" s="1001">
        <f>BS!FV40</f>
      </c>
      <c r="FW32" s="1001">
        <f>BS!FW40</f>
      </c>
      <c r="FX32" s="1001">
        <f>BS!FX40</f>
      </c>
      <c r="FY32" s="1001">
        <f>BS!FY40</f>
      </c>
      <c r="FZ32" s="1002">
        <f>BS!FZ40</f>
      </c>
      <c r="GA32" s="1001">
        <f>BS!GA40</f>
      </c>
      <c r="GB32" s="1001">
        <f>BS!GB40</f>
      </c>
      <c r="GC32" s="1001">
        <f>BS!GC40</f>
      </c>
      <c r="GD32" s="1001">
        <f>BS!GD40</f>
      </c>
      <c r="GE32" s="1002">
        <f>BS!GE40</f>
      </c>
      <c r="GF32" s="1001">
        <f>BS!GF40</f>
      </c>
      <c r="GG32" s="1001">
        <f>BS!GG40</f>
      </c>
      <c r="GH32" s="1001">
        <f>BS!GH40</f>
      </c>
      <c r="GI32" s="1001">
        <f>BS!GI40</f>
      </c>
      <c r="GJ32" s="1002">
        <f>BS!GJ40</f>
      </c>
    </row>
    <row r="33" spans="1:192" s="461" customFormat="1" ht="12.75" hidden="1" customHeight="1" outlineLevel="1">
      <c r="A33" s="68"/>
      <c r="B33" s="1000"/>
      <c r="C33" s="1001"/>
      <c r="D33" s="1001"/>
      <c r="E33" s="1001"/>
      <c r="F33" s="1001"/>
      <c r="G33" s="1002"/>
      <c r="H33" s="1001"/>
      <c r="I33" s="1001"/>
      <c r="J33" s="1001"/>
      <c r="K33" s="1001"/>
      <c r="L33" s="1002"/>
      <c r="M33" s="1001"/>
      <c r="N33" s="1001"/>
      <c r="O33" s="1001"/>
      <c r="P33" s="1001"/>
      <c r="Q33" s="1002"/>
      <c r="R33" s="1003"/>
      <c r="S33" s="1003"/>
      <c r="T33" s="1003"/>
      <c r="U33" s="1003"/>
      <c r="V33" s="1002"/>
      <c r="W33" s="1003"/>
      <c r="X33" s="1003"/>
      <c r="Y33" s="1003"/>
      <c r="Z33" s="1003"/>
      <c r="AA33" s="1002"/>
      <c r="AB33" s="1003"/>
      <c r="AC33" s="1003"/>
      <c r="AD33" s="1003"/>
      <c r="AE33" s="1003"/>
      <c r="AF33" s="1002"/>
      <c r="AG33" s="1003"/>
      <c r="AH33" s="1003"/>
      <c r="AI33" s="1003"/>
      <c r="AJ33" s="1003"/>
      <c r="AK33" s="1002"/>
      <c r="AL33" s="1001"/>
      <c r="AM33" s="1001"/>
      <c r="AN33" s="1001"/>
      <c r="AO33" s="1001"/>
      <c r="AP33" s="1002"/>
      <c r="AQ33" s="1001"/>
      <c r="AR33" s="1001"/>
      <c r="AS33" s="1001"/>
      <c r="AT33" s="1001"/>
      <c r="AU33" s="1002"/>
      <c r="AV33" s="1001"/>
      <c r="AW33" s="1001"/>
      <c r="AX33" s="1001"/>
      <c r="AY33" s="1001"/>
      <c r="AZ33" s="1002"/>
      <c r="BA33" s="1001"/>
      <c r="BB33" s="1001"/>
      <c r="BC33" s="1001"/>
      <c r="BD33" s="1001"/>
      <c r="BE33" s="1002"/>
      <c r="BF33" s="1001"/>
      <c r="BG33" s="1001"/>
      <c r="BH33" s="1001"/>
      <c r="BI33" s="1001"/>
      <c r="BJ33" s="1002"/>
      <c r="BK33" s="1001"/>
      <c r="BL33" s="1001"/>
      <c r="BM33" s="1001"/>
      <c r="BN33" s="1001"/>
      <c r="BO33" s="1002"/>
      <c r="BP33" s="1001"/>
      <c r="BQ33" s="1001"/>
      <c r="BR33" s="1001"/>
      <c r="BS33" s="1001"/>
      <c r="BT33" s="1002"/>
      <c r="BU33" s="1001"/>
      <c r="BV33" s="1001"/>
      <c r="BW33" s="1001"/>
      <c r="BX33" s="1001"/>
      <c r="BY33" s="1002"/>
      <c r="BZ33" s="1001"/>
      <c r="CA33" s="1001"/>
      <c r="CB33" s="1001"/>
      <c r="CC33" s="1001"/>
      <c r="CD33" s="1002"/>
      <c r="CE33" s="1001"/>
      <c r="CF33" s="1001"/>
      <c r="CG33" s="1001"/>
      <c r="CH33" s="1001"/>
      <c r="CI33" s="1002"/>
      <c r="CJ33" s="1001"/>
      <c r="CK33" s="1001"/>
      <c r="CL33" s="1001"/>
      <c r="CM33" s="1001"/>
      <c r="CN33" s="1002"/>
      <c r="CO33" s="1001"/>
      <c r="CP33" s="1001"/>
      <c r="CQ33" s="1001"/>
      <c r="CR33" s="1001"/>
      <c r="CS33" s="1002"/>
      <c r="CT33" s="1001"/>
      <c r="CU33" s="1001"/>
      <c r="CV33" s="1001"/>
      <c r="CW33" s="1001"/>
      <c r="CX33" s="1002"/>
      <c r="CY33" s="1001"/>
      <c r="CZ33" s="1001"/>
      <c r="DA33" s="1001"/>
      <c r="DB33" s="1001"/>
      <c r="DC33" s="1002"/>
      <c r="DD33" s="1001"/>
      <c r="DE33" s="1001"/>
      <c r="DF33" s="1001"/>
      <c r="DG33" s="1001"/>
      <c r="DH33" s="1002"/>
      <c r="DI33" s="1001"/>
      <c r="DJ33" s="1001"/>
      <c r="DK33" s="1001"/>
      <c r="DL33" s="1001"/>
      <c r="DM33" s="1002"/>
      <c r="DN33" s="1001"/>
      <c r="DO33" s="1001"/>
      <c r="DP33" s="1001"/>
      <c r="DQ33" s="1001"/>
      <c r="DR33" s="1002"/>
      <c r="DS33" s="1001"/>
      <c r="DT33" s="1001"/>
      <c r="DU33" s="1001"/>
      <c r="DV33" s="1001"/>
      <c r="DW33" s="1002"/>
      <c r="DX33" s="1001"/>
      <c r="DY33" s="1001"/>
      <c r="DZ33" s="1001"/>
      <c r="EA33" s="1001"/>
      <c r="EB33" s="1002"/>
      <c r="EC33" s="1001"/>
      <c r="ED33" s="1001"/>
      <c r="EE33" s="1001"/>
      <c r="EF33" s="1001"/>
      <c r="EG33" s="1002"/>
      <c r="EH33" s="1001"/>
      <c r="EI33" s="1001"/>
      <c r="EJ33" s="1001"/>
      <c r="EK33" s="1001"/>
      <c r="EL33" s="1002"/>
      <c r="EM33" s="1001"/>
      <c r="EN33" s="1001"/>
      <c r="EO33" s="1001"/>
      <c r="EP33" s="1001"/>
      <c r="EQ33" s="1002"/>
      <c r="ER33" s="1001"/>
      <c r="ES33" s="1001"/>
      <c r="ET33" s="1001"/>
      <c r="EU33" s="1001"/>
      <c r="EV33" s="1002"/>
      <c r="EW33" s="1001"/>
      <c r="EX33" s="1001"/>
      <c r="EY33" s="1001"/>
      <c r="EZ33" s="1001"/>
      <c r="FA33" s="1002"/>
      <c r="FB33" s="1001"/>
      <c r="FC33" s="1001"/>
      <c r="FD33" s="1001"/>
      <c r="FE33" s="1001"/>
      <c r="FF33" s="1002"/>
      <c r="FG33" s="1001"/>
      <c r="FH33" s="1001"/>
      <c r="FI33" s="1001"/>
      <c r="FJ33" s="1001"/>
      <c r="FK33" s="1002"/>
      <c r="FL33" s="1001"/>
      <c r="FM33" s="1001"/>
      <c r="FN33" s="1001"/>
      <c r="FO33" s="1001"/>
      <c r="FP33" s="1002"/>
      <c r="FQ33" s="1001"/>
      <c r="FR33" s="1001"/>
      <c r="FS33" s="1001"/>
      <c r="FT33" s="1001"/>
      <c r="FU33" s="1002"/>
      <c r="FV33" s="1001"/>
      <c r="FW33" s="1001"/>
      <c r="FX33" s="1001"/>
      <c r="FY33" s="1001"/>
      <c r="FZ33" s="1002"/>
      <c r="GA33" s="1001"/>
      <c r="GB33" s="1001"/>
      <c r="GC33" s="1001"/>
      <c r="GD33" s="1001"/>
      <c r="GE33" s="1002"/>
      <c r="GF33" s="1001"/>
      <c r="GG33" s="1001"/>
      <c r="GH33" s="1001"/>
      <c r="GI33" s="1001"/>
      <c r="GJ33" s="1002"/>
    </row>
    <row r="34" spans="1:192" s="461" customFormat="1" ht="12.75" hidden="1" customHeight="1" outlineLevel="1">
      <c r="A34" s="68"/>
      <c r="B34" s="1008" t="s">
        <v>280</v>
      </c>
      <c r="C34" s="1001"/>
      <c r="D34" s="1001"/>
      <c r="E34" s="1001"/>
      <c r="F34" s="1001"/>
      <c r="G34" s="1002"/>
      <c r="H34" s="1001"/>
      <c r="I34" s="1001"/>
      <c r="J34" s="1001"/>
      <c r="K34" s="1001"/>
      <c r="L34" s="1002"/>
      <c r="M34" s="1001"/>
      <c r="N34" s="1001"/>
      <c r="O34" s="1001"/>
      <c r="P34" s="1001"/>
      <c r="Q34" s="1002"/>
      <c r="R34" s="1003"/>
      <c r="S34" s="1003"/>
      <c r="T34" s="1003"/>
      <c r="U34" s="1003"/>
      <c r="V34" s="1002"/>
      <c r="W34" s="1003"/>
      <c r="X34" s="1003"/>
      <c r="Y34" s="1003"/>
      <c r="Z34" s="1003"/>
      <c r="AA34" s="1002"/>
      <c r="AB34" s="1003"/>
      <c r="AC34" s="1003"/>
      <c r="AD34" s="1003"/>
      <c r="AE34" s="1003"/>
      <c r="AF34" s="1002"/>
      <c r="AG34" s="1003"/>
      <c r="AH34" s="1003"/>
      <c r="AI34" s="1003"/>
      <c r="AJ34" s="1003"/>
      <c r="AK34" s="1002"/>
      <c r="AL34" s="1001"/>
      <c r="AM34" s="1001"/>
      <c r="AN34" s="1001"/>
      <c r="AO34" s="1001"/>
      <c r="AP34" s="1002"/>
      <c r="AQ34" s="1001"/>
      <c r="AR34" s="1001"/>
      <c r="AS34" s="1001"/>
      <c r="AT34" s="1001"/>
      <c r="AU34" s="1002"/>
      <c r="AV34" s="1001"/>
      <c r="AW34" s="1001"/>
      <c r="AX34" s="1001"/>
      <c r="AY34" s="1001"/>
      <c r="AZ34" s="1002"/>
      <c r="BA34" s="1001"/>
      <c r="BB34" s="1001"/>
      <c r="BC34" s="1001"/>
      <c r="BD34" s="1001"/>
      <c r="BE34" s="1002"/>
      <c r="BF34" s="1001"/>
      <c r="BG34" s="1001"/>
      <c r="BH34" s="1001"/>
      <c r="BI34" s="1001"/>
      <c r="BJ34" s="1002"/>
      <c r="BK34" s="1001"/>
      <c r="BL34" s="1001"/>
      <c r="BM34" s="1001"/>
      <c r="BN34" s="1001"/>
      <c r="BO34" s="1002"/>
      <c r="BP34" s="1001"/>
      <c r="BQ34" s="1001"/>
      <c r="BR34" s="1001"/>
      <c r="BS34" s="1001"/>
      <c r="BT34" s="1002"/>
      <c r="BU34" s="1001"/>
      <c r="BV34" s="1001"/>
      <c r="BW34" s="1001"/>
      <c r="BX34" s="1001"/>
      <c r="BY34" s="1002"/>
      <c r="BZ34" s="1001"/>
      <c r="CA34" s="1001"/>
      <c r="CB34" s="1001"/>
      <c r="CC34" s="1001"/>
      <c r="CD34" s="1002"/>
      <c r="CE34" s="1001"/>
      <c r="CF34" s="1001"/>
      <c r="CG34" s="1001"/>
      <c r="CH34" s="1001"/>
      <c r="CI34" s="1002"/>
      <c r="CJ34" s="1001"/>
      <c r="CK34" s="1001"/>
      <c r="CL34" s="1001"/>
      <c r="CM34" s="1001"/>
      <c r="CN34" s="1002"/>
      <c r="CO34" s="1001"/>
      <c r="CP34" s="1001"/>
      <c r="CQ34" s="1001"/>
      <c r="CR34" s="1001"/>
      <c r="CS34" s="1002"/>
      <c r="CT34" s="1001"/>
      <c r="CU34" s="1001"/>
      <c r="CV34" s="1001"/>
      <c r="CW34" s="1001"/>
      <c r="CX34" s="1002"/>
      <c r="CY34" s="1001"/>
      <c r="CZ34" s="1001"/>
      <c r="DA34" s="1001"/>
      <c r="DB34" s="1001"/>
      <c r="DC34" s="1002"/>
      <c r="DD34" s="1001"/>
      <c r="DE34" s="1001"/>
      <c r="DF34" s="1001"/>
      <c r="DG34" s="1001"/>
      <c r="DH34" s="1002"/>
      <c r="DI34" s="1001">
        <f>CF!DI27</f>
      </c>
      <c r="DJ34" s="1001">
        <f>CF!DJ27</f>
      </c>
      <c r="DK34" s="1001">
        <f>CF!DK27</f>
      </c>
      <c r="DL34" s="1001">
        <f>CF!DL27</f>
      </c>
      <c r="DM34" s="1002">
        <f>CF!DM27</f>
      </c>
      <c r="DN34" s="1001">
        <f>CF!DN27</f>
      </c>
      <c r="DO34" s="1001">
        <f>CF!DO27</f>
      </c>
      <c r="DP34" s="1001">
        <f>CF!DP27</f>
      </c>
      <c r="DQ34" s="1001">
        <f>CF!DQ27</f>
      </c>
      <c r="DR34" s="1002">
        <f>CF!DR27</f>
      </c>
      <c r="DS34" s="1001">
        <f>CF!DS27</f>
      </c>
      <c r="DT34" s="1001">
        <f>CF!DT27</f>
      </c>
      <c r="DU34" s="1001">
        <f>CF!DU27</f>
      </c>
      <c r="DV34" s="1001">
        <f>CF!DV27</f>
      </c>
      <c r="DW34" s="1002">
        <f>CF!DW27</f>
      </c>
      <c r="DX34" s="1001">
        <f>CF!DX27</f>
      </c>
      <c r="DY34" s="1001">
        <f>CF!DY27</f>
      </c>
      <c r="DZ34" s="1001">
        <f>CF!DZ27</f>
      </c>
      <c r="EA34" s="1001">
        <f>CF!EA27</f>
      </c>
      <c r="EB34" s="1002">
        <f>CF!EB27</f>
      </c>
      <c r="EC34" s="1001">
        <f>CF!EC27</f>
      </c>
      <c r="ED34" s="1001">
        <f>CF!ED27</f>
      </c>
      <c r="EE34" s="1001">
        <f>CF!EE27</f>
      </c>
      <c r="EF34" s="1001">
        <f>CF!EF27</f>
      </c>
      <c r="EG34" s="1002">
        <f>CF!EG27</f>
      </c>
      <c r="EH34" s="1001">
        <f>CF!EH27</f>
      </c>
      <c r="EI34" s="1001">
        <f>CF!EI27</f>
      </c>
      <c r="EJ34" s="1001">
        <f>CF!EJ27</f>
      </c>
      <c r="EK34" s="1001">
        <f>CF!EK27</f>
      </c>
      <c r="EL34" s="1002">
        <f>CF!EL27</f>
      </c>
      <c r="EM34" s="1001">
        <f>CF!EM27</f>
      </c>
      <c r="EN34" s="1001">
        <f>CF!EN27</f>
      </c>
      <c r="EO34" s="1001">
        <f>CF!EO27</f>
      </c>
      <c r="EP34" s="1001">
        <f>CF!EP27</f>
      </c>
      <c r="EQ34" s="1002">
        <f>CF!EQ27</f>
      </c>
      <c r="ER34" s="1001">
        <f>CF!ER27</f>
      </c>
      <c r="ES34" s="1001">
        <f>CF!ES27</f>
      </c>
      <c r="ET34" s="1001">
        <f>CF!ET27</f>
      </c>
      <c r="EU34" s="1001">
        <f>CF!EU27</f>
      </c>
      <c r="EV34" s="1002">
        <f>CF!EV27</f>
      </c>
      <c r="EW34" s="1001">
        <f>CF!EW27</f>
      </c>
      <c r="EX34" s="1001">
        <f>CF!EX27</f>
      </c>
      <c r="EY34" s="1001">
        <f>CF!EY27</f>
      </c>
      <c r="EZ34" s="1001">
        <f>CF!EZ27</f>
      </c>
      <c r="FA34" s="1002">
        <f>CF!FA27</f>
      </c>
      <c r="FB34" s="1001">
        <f>CF!FB27</f>
      </c>
      <c r="FC34" s="1001">
        <f>CF!FC27</f>
      </c>
      <c r="FD34" s="1001">
        <f>CF!FD27</f>
      </c>
      <c r="FE34" s="1001">
        <f>CF!FE27</f>
      </c>
      <c r="FF34" s="1002">
        <f>CF!FF27</f>
      </c>
      <c r="FG34" s="1001">
        <f>CF!FG27</f>
      </c>
      <c r="FH34" s="1001">
        <f>CF!FH27</f>
      </c>
      <c r="FI34" s="1001">
        <f>CF!FI27</f>
      </c>
      <c r="FJ34" s="1001">
        <f>CF!FJ27</f>
      </c>
      <c r="FK34" s="1002">
        <f>CF!FK27</f>
      </c>
      <c r="FL34" s="1001">
        <f>CF!FL27</f>
      </c>
      <c r="FM34" s="1001">
        <f>CF!FM27</f>
      </c>
      <c r="FN34" s="1001">
        <f>CF!FN27</f>
      </c>
      <c r="FO34" s="1001">
        <f>CF!FO27</f>
      </c>
      <c r="FP34" s="1002">
        <f>CF!FP27</f>
      </c>
      <c r="FQ34" s="1001">
        <f>CF!FQ27</f>
      </c>
      <c r="FR34" s="1001">
        <f>CF!FR27</f>
      </c>
      <c r="FS34" s="1001">
        <f>CF!FS27</f>
      </c>
      <c r="FT34" s="1001">
        <f>CF!FT27</f>
      </c>
      <c r="FU34" s="1002">
        <f>CF!FU27</f>
      </c>
      <c r="FV34" s="1001">
        <f>CF!FV27</f>
      </c>
      <c r="FW34" s="1001">
        <f>CF!FW27</f>
      </c>
      <c r="FX34" s="1001">
        <f>CF!FX27</f>
      </c>
      <c r="FY34" s="1001">
        <f>CF!FY27</f>
      </c>
      <c r="FZ34" s="1002">
        <f>CF!FZ27</f>
      </c>
      <c r="GA34" s="1001">
        <f>CF!GA27</f>
      </c>
      <c r="GB34" s="1001">
        <f>CF!GB27</f>
      </c>
      <c r="GC34" s="1001">
        <f>CF!GC27</f>
      </c>
      <c r="GD34" s="1001">
        <f>CF!GD27</f>
      </c>
      <c r="GE34" s="1002">
        <f>CF!GE27</f>
      </c>
      <c r="GF34" s="1001">
        <f>CF!GF27</f>
      </c>
      <c r="GG34" s="1001">
        <f>CF!GG27</f>
      </c>
      <c r="GH34" s="1001">
        <f>CF!GH27</f>
      </c>
      <c r="GI34" s="1001">
        <f>CF!GI27</f>
      </c>
      <c r="GJ34" s="1002">
        <f>CF!GJ27</f>
      </c>
    </row>
    <row r="35" spans="1:192" s="1011" customFormat="1" ht="12.75" hidden="1" customHeight="1" outlineLevel="1">
      <c r="A35" s="1009"/>
      <c r="B35" s="1010" t="s">
        <v>436</v>
      </c>
      <c r="C35" s="619"/>
      <c r="D35" s="619"/>
      <c r="E35" s="619"/>
      <c r="F35" s="619"/>
      <c r="G35" s="829"/>
      <c r="H35" s="619"/>
      <c r="I35" s="619"/>
      <c r="J35" s="619"/>
      <c r="K35" s="619"/>
      <c r="L35" s="829"/>
      <c r="M35" s="619"/>
      <c r="N35" s="619"/>
      <c r="O35" s="619"/>
      <c r="P35" s="619"/>
      <c r="Q35" s="829"/>
      <c r="R35" s="982"/>
      <c r="S35" s="982"/>
      <c r="T35" s="982"/>
      <c r="U35" s="982"/>
      <c r="V35" s="829"/>
      <c r="W35" s="982"/>
      <c r="X35" s="982"/>
      <c r="Y35" s="982"/>
      <c r="Z35" s="982"/>
      <c r="AA35" s="829"/>
      <c r="AB35" s="982"/>
      <c r="AC35" s="982"/>
      <c r="AD35" s="982"/>
      <c r="AE35" s="982"/>
      <c r="AF35" s="829"/>
      <c r="AG35" s="982"/>
      <c r="AH35" s="982"/>
      <c r="AI35" s="982"/>
      <c r="AJ35" s="982"/>
      <c r="AK35" s="829"/>
      <c r="AL35" s="619"/>
      <c r="AM35" s="619"/>
      <c r="AN35" s="619"/>
      <c r="AO35" s="619"/>
      <c r="AP35" s="829"/>
      <c r="AQ35" s="619"/>
      <c r="AR35" s="619"/>
      <c r="AS35" s="619"/>
      <c r="AT35" s="619"/>
      <c r="AU35" s="829"/>
      <c r="AV35" s="619"/>
      <c r="AW35" s="619"/>
      <c r="AX35" s="619"/>
      <c r="AY35" s="619"/>
      <c r="AZ35" s="829"/>
      <c r="BA35" s="619"/>
      <c r="BB35" s="619"/>
      <c r="BC35" s="619"/>
      <c r="BD35" s="619"/>
      <c r="BE35" s="829"/>
      <c r="BF35" s="619"/>
      <c r="BG35" s="619"/>
      <c r="BH35" s="619"/>
      <c r="BI35" s="619"/>
      <c r="BJ35" s="829"/>
      <c r="BK35" s="619"/>
      <c r="BL35" s="619"/>
      <c r="BM35" s="619"/>
      <c r="BN35" s="619"/>
      <c r="BO35" s="829"/>
      <c r="BP35" s="619"/>
      <c r="BQ35" s="619"/>
      <c r="BR35" s="619"/>
      <c r="BS35" s="619"/>
      <c r="BT35" s="829"/>
      <c r="BU35" s="619"/>
      <c r="BV35" s="619"/>
      <c r="BW35" s="619"/>
      <c r="BX35" s="619"/>
      <c r="BY35" s="829"/>
      <c r="BZ35" s="619"/>
      <c r="CA35" s="619"/>
      <c r="CB35" s="619"/>
      <c r="CC35" s="619"/>
      <c r="CD35" s="829"/>
      <c r="CE35" s="619"/>
      <c r="CF35" s="619"/>
      <c r="CG35" s="619"/>
      <c r="CH35" s="619"/>
      <c r="CI35" s="829"/>
      <c r="CJ35" s="619"/>
      <c r="CK35" s="619"/>
      <c r="CL35" s="619"/>
      <c r="CM35" s="619"/>
      <c r="CN35" s="829"/>
      <c r="CO35" s="619"/>
      <c r="CP35" s="619"/>
      <c r="CQ35" s="619"/>
      <c r="CR35" s="619"/>
      <c r="CS35" s="829"/>
      <c r="CT35" s="619"/>
      <c r="CU35" s="619"/>
      <c r="CV35" s="619"/>
      <c r="CW35" s="619"/>
      <c r="CX35" s="829"/>
      <c r="CY35" s="619"/>
      <c r="CZ35" s="619"/>
      <c r="DA35" s="619"/>
      <c r="DB35" s="619"/>
      <c r="DC35" s="829"/>
      <c r="DD35" s="619"/>
      <c r="DE35" s="619"/>
      <c r="DF35" s="619"/>
      <c r="DG35" s="619"/>
      <c r="DH35" s="829"/>
      <c r="DI35" s="619">
        <f t="shared" ref="DI35:EN35" si="13">DI34+DI15</f>
      </c>
      <c r="DJ35" s="619">
        <f t="shared" si="13"/>
      </c>
      <c r="DK35" s="619">
        <f t="shared" si="13"/>
      </c>
      <c r="DL35" s="619">
        <f t="shared" si="13"/>
      </c>
      <c r="DM35" s="829">
        <f t="shared" si="13"/>
      </c>
      <c r="DN35" s="619">
        <f t="shared" si="13"/>
      </c>
      <c r="DO35" s="619">
        <f t="shared" si="13"/>
      </c>
      <c r="DP35" s="619">
        <f t="shared" si="13"/>
      </c>
      <c r="DQ35" s="619">
        <f t="shared" si="13"/>
      </c>
      <c r="DR35" s="829">
        <f t="shared" si="13"/>
      </c>
      <c r="DS35" s="619">
        <f t="shared" si="13"/>
      </c>
      <c r="DT35" s="619">
        <f t="shared" si="13"/>
      </c>
      <c r="DU35" s="619">
        <f t="shared" si="13"/>
      </c>
      <c r="DV35" s="619">
        <f t="shared" si="13"/>
      </c>
      <c r="DW35" s="829">
        <f t="shared" si="13"/>
      </c>
      <c r="DX35" s="619">
        <f t="shared" si="13"/>
      </c>
      <c r="DY35" s="619">
        <f t="shared" si="13"/>
      </c>
      <c r="DZ35" s="619">
        <f t="shared" si="13"/>
      </c>
      <c r="EA35" s="619">
        <f t="shared" si="13"/>
      </c>
      <c r="EB35" s="829">
        <f t="shared" si="13"/>
      </c>
      <c r="EC35" s="619">
        <f t="shared" si="13"/>
      </c>
      <c r="ED35" s="619">
        <f t="shared" si="13"/>
      </c>
      <c r="EE35" s="619">
        <f t="shared" si="13"/>
      </c>
      <c r="EF35" s="619">
        <f t="shared" si="13"/>
      </c>
      <c r="EG35" s="829">
        <f t="shared" si="13"/>
      </c>
      <c r="EH35" s="619">
        <f t="shared" si="13"/>
      </c>
      <c r="EI35" s="619">
        <f t="shared" si="13"/>
      </c>
      <c r="EJ35" s="619">
        <f t="shared" si="13"/>
      </c>
      <c r="EK35" s="619">
        <f t="shared" si="13"/>
      </c>
      <c r="EL35" s="829">
        <f t="shared" si="13"/>
      </c>
      <c r="EM35" s="619">
        <f t="shared" si="13"/>
      </c>
      <c r="EN35" s="619">
        <f t="shared" si="13"/>
      </c>
      <c r="EO35" s="619">
        <f t="shared" ref="EO35:FT35" si="14">EO34+EO15</f>
      </c>
      <c r="EP35" s="619">
        <f t="shared" si="14"/>
      </c>
      <c r="EQ35" s="829">
        <f t="shared" si="14"/>
      </c>
      <c r="ER35" s="619">
        <f t="shared" si="14"/>
      </c>
      <c r="ES35" s="619">
        <f t="shared" si="14"/>
      </c>
      <c r="ET35" s="619">
        <f>ET34+ET15</f>
      </c>
      <c r="EU35" s="619">
        <f>EU34+EU15</f>
      </c>
      <c r="EV35" s="829">
        <f>EV34+EV15</f>
      </c>
      <c r="EW35" s="619">
        <f t="shared" si="14"/>
      </c>
      <c r="EX35" s="619">
        <f t="shared" ref="EX35:EY35" si="15">EX34+EX15</f>
      </c>
      <c r="EY35" s="619">
        <f t="shared" si="15"/>
      </c>
      <c r="EZ35" s="619">
        <f>EZ34+EZ15</f>
      </c>
      <c r="FA35" s="829">
        <f>FA34+FA15</f>
      </c>
      <c r="FB35" s="619">
        <f t="shared" si="14"/>
      </c>
      <c r="FC35" s="619">
        <f t="shared" si="14"/>
      </c>
      <c r="FD35" s="619">
        <f t="shared" si="14"/>
      </c>
      <c r="FE35" s="619">
        <f t="shared" si="14"/>
      </c>
      <c r="FF35" s="829">
        <f t="shared" si="14"/>
      </c>
      <c r="FG35" s="619">
        <f t="shared" si="14"/>
      </c>
      <c r="FH35" s="619">
        <f t="shared" si="14"/>
      </c>
      <c r="FI35" s="619">
        <f t="shared" si="14"/>
      </c>
      <c r="FJ35" s="619">
        <f t="shared" si="14"/>
      </c>
      <c r="FK35" s="829">
        <f t="shared" si="14"/>
      </c>
      <c r="FL35" s="619">
        <f t="shared" si="14"/>
      </c>
      <c r="FM35" s="619">
        <f t="shared" si="14"/>
      </c>
      <c r="FN35" s="619">
        <f t="shared" si="14"/>
      </c>
      <c r="FO35" s="619">
        <f t="shared" si="14"/>
      </c>
      <c r="FP35" s="829">
        <f t="shared" si="14"/>
      </c>
      <c r="FQ35" s="619">
        <f t="shared" si="14"/>
      </c>
      <c r="FR35" s="619">
        <f t="shared" si="14"/>
      </c>
      <c r="FS35" s="619">
        <f t="shared" si="14"/>
      </c>
      <c r="FT35" s="619">
        <f t="shared" si="14"/>
      </c>
      <c r="FU35" s="829">
        <f t="shared" ref="FU35:FZ35" si="16">FU34+FU15</f>
      </c>
      <c r="FV35" s="619">
        <f t="shared" si="16"/>
      </c>
      <c r="FW35" s="619">
        <f t="shared" si="16"/>
      </c>
      <c r="FX35" s="619">
        <f t="shared" si="16"/>
      </c>
      <c r="FY35" s="619">
        <f t="shared" si="16"/>
      </c>
      <c r="FZ35" s="829">
        <f t="shared" si="16"/>
      </c>
      <c r="GA35" s="619">
        <f t="shared" ref="GA35:GJ35" si="17">GA34+GA15</f>
      </c>
      <c r="GB35" s="619">
        <f t="shared" si="17"/>
      </c>
      <c r="GC35" s="619">
        <f t="shared" si="17"/>
      </c>
      <c r="GD35" s="619">
        <f t="shared" si="17"/>
      </c>
      <c r="GE35" s="829">
        <f t="shared" si="17"/>
      </c>
      <c r="GF35" s="619">
        <f t="shared" si="17"/>
      </c>
      <c r="GG35" s="619">
        <f t="shared" si="17"/>
      </c>
      <c r="GH35" s="619">
        <f t="shared" si="17"/>
      </c>
      <c r="GI35" s="619">
        <f t="shared" si="17"/>
      </c>
      <c r="GJ35" s="829">
        <f t="shared" si="17"/>
      </c>
    </row>
    <row r="36" spans="1:192" ht="12.75" hidden="1" customHeight="1" outlineLevel="1">
      <c r="B36" s="473"/>
      <c r="C36" s="294"/>
      <c r="D36" s="295"/>
      <c r="E36" s="295"/>
      <c r="F36" s="295"/>
      <c r="G36" s="296"/>
      <c r="H36" s="294"/>
      <c r="I36" s="295"/>
      <c r="J36" s="295"/>
      <c r="K36" s="295"/>
      <c r="L36" s="296"/>
      <c r="M36" s="294"/>
      <c r="N36" s="295"/>
      <c r="O36" s="295"/>
      <c r="P36" s="295"/>
      <c r="Q36" s="296"/>
      <c r="R36" s="980"/>
      <c r="S36" s="469"/>
      <c r="T36" s="469"/>
      <c r="U36" s="469"/>
      <c r="V36" s="296"/>
      <c r="W36" s="980"/>
      <c r="X36" s="469"/>
      <c r="Y36" s="469"/>
      <c r="Z36" s="469"/>
      <c r="AA36" s="296"/>
      <c r="AB36" s="980"/>
      <c r="AC36" s="469"/>
      <c r="AD36" s="469"/>
      <c r="AE36" s="469"/>
      <c r="AF36" s="296"/>
      <c r="AG36" s="980"/>
      <c r="AH36" s="469"/>
      <c r="AI36" s="469"/>
      <c r="AJ36" s="469"/>
      <c r="AK36" s="296"/>
      <c r="AL36" s="294"/>
      <c r="AM36" s="295"/>
      <c r="AN36" s="295"/>
      <c r="AO36" s="295"/>
      <c r="AP36" s="296"/>
      <c r="AQ36" s="294"/>
      <c r="AR36" s="295"/>
      <c r="AS36" s="295"/>
      <c r="AT36" s="295"/>
      <c r="AU36" s="296"/>
      <c r="AV36" s="294"/>
      <c r="AW36" s="295"/>
      <c r="AX36" s="295"/>
      <c r="AY36" s="295"/>
      <c r="AZ36" s="296"/>
      <c r="BA36" s="294"/>
      <c r="BB36" s="295"/>
      <c r="BC36" s="295"/>
      <c r="BD36" s="295"/>
      <c r="BE36" s="296"/>
      <c r="BF36" s="294"/>
      <c r="BG36" s="295"/>
      <c r="BH36" s="295"/>
      <c r="BI36" s="295"/>
      <c r="BJ36" s="296"/>
      <c r="BK36" s="294"/>
      <c r="BL36" s="295"/>
      <c r="BM36" s="295"/>
      <c r="BN36" s="295"/>
      <c r="BO36" s="296"/>
      <c r="BP36" s="294"/>
      <c r="BQ36" s="295"/>
      <c r="BR36" s="295"/>
      <c r="BS36" s="295"/>
      <c r="BT36" s="296"/>
      <c r="BU36" s="294"/>
      <c r="BV36" s="295"/>
      <c r="BW36" s="295"/>
      <c r="BX36" s="295"/>
      <c r="BY36" s="296"/>
      <c r="BZ36" s="294"/>
      <c r="CA36" s="295"/>
      <c r="CB36" s="295"/>
      <c r="CC36" s="295"/>
      <c r="CD36" s="296"/>
      <c r="CE36" s="294"/>
      <c r="CF36" s="295"/>
      <c r="CG36" s="295"/>
      <c r="CH36" s="295"/>
      <c r="CI36" s="296"/>
      <c r="CJ36" s="294"/>
      <c r="CK36" s="295"/>
      <c r="CL36" s="295"/>
      <c r="CM36" s="295"/>
      <c r="CN36" s="296"/>
      <c r="CO36" s="294"/>
      <c r="CP36" s="295"/>
      <c r="CQ36" s="295"/>
      <c r="CR36" s="295"/>
      <c r="CS36" s="296"/>
      <c r="CT36" s="294"/>
      <c r="CU36" s="295"/>
      <c r="CV36" s="295"/>
      <c r="CW36" s="295"/>
      <c r="CX36" s="296"/>
      <c r="CY36" s="294"/>
      <c r="CZ36" s="295"/>
      <c r="DA36" s="295"/>
      <c r="DB36" s="295"/>
      <c r="DC36" s="296"/>
      <c r="DD36" s="294"/>
      <c r="DE36" s="295"/>
      <c r="DF36" s="295"/>
      <c r="DG36" s="295"/>
      <c r="DH36" s="296"/>
      <c r="DI36" s="294"/>
      <c r="DJ36" s="295"/>
      <c r="DK36" s="295"/>
      <c r="DL36" s="295"/>
      <c r="DM36" s="296"/>
      <c r="DN36" s="294"/>
      <c r="DO36" s="295"/>
      <c r="DP36" s="295"/>
      <c r="DQ36" s="295"/>
      <c r="DR36" s="296"/>
      <c r="DS36" s="294"/>
      <c r="DT36" s="295"/>
      <c r="DU36" s="295"/>
      <c r="DV36" s="295"/>
      <c r="DW36" s="296"/>
      <c r="DX36" s="294"/>
      <c r="DY36" s="295"/>
      <c r="DZ36" s="295"/>
      <c r="EA36" s="295"/>
      <c r="EB36" s="296"/>
      <c r="EC36" s="294"/>
      <c r="ED36" s="295"/>
      <c r="EE36" s="295"/>
      <c r="EF36" s="295"/>
      <c r="EG36" s="296"/>
      <c r="EH36" s="294"/>
      <c r="EI36" s="295"/>
      <c r="EJ36" s="295"/>
      <c r="EK36" s="295"/>
      <c r="EL36" s="296"/>
      <c r="EM36" s="294"/>
      <c r="EN36" s="295"/>
      <c r="EO36" s="295"/>
      <c r="EP36" s="295"/>
      <c r="EQ36" s="296"/>
      <c r="ER36" s="104"/>
      <c r="ES36" s="295"/>
      <c r="ET36" s="295"/>
      <c r="EU36" s="295"/>
      <c r="EV36" s="296"/>
      <c r="EW36" s="294"/>
      <c r="EX36" s="295"/>
      <c r="EY36" s="295"/>
      <c r="EZ36" s="295"/>
      <c r="FA36" s="296"/>
      <c r="FB36" s="294"/>
      <c r="FC36" s="295"/>
      <c r="FD36" s="295"/>
      <c r="FE36" s="295"/>
      <c r="FF36" s="296"/>
      <c r="FG36" s="294"/>
      <c r="FH36" s="295"/>
      <c r="FI36" s="295"/>
      <c r="FJ36" s="295"/>
      <c r="FK36" s="296"/>
      <c r="FL36" s="294"/>
      <c r="FM36" s="295"/>
      <c r="FN36" s="295"/>
      <c r="FO36" s="295"/>
      <c r="FP36" s="296"/>
      <c r="FQ36" s="294"/>
      <c r="FR36" s="295"/>
      <c r="FS36" s="295"/>
      <c r="FT36" s="295"/>
      <c r="FU36" s="296"/>
      <c r="FV36" s="294"/>
      <c r="FW36" s="295"/>
      <c r="FX36" s="295"/>
      <c r="FY36" s="295"/>
      <c r="FZ36" s="296"/>
      <c r="GA36" s="294"/>
      <c r="GB36" s="295"/>
      <c r="GC36" s="295"/>
      <c r="GD36" s="295"/>
      <c r="GE36" s="296"/>
      <c r="GF36" s="294"/>
      <c r="GG36" s="295"/>
      <c r="GH36" s="295"/>
      <c r="GI36" s="295"/>
      <c r="GJ36" s="296"/>
    </row>
    <row r="37" spans="1:192" s="623" customFormat="1" ht="12.75" hidden="1" customHeight="1" outlineLevel="1">
      <c r="A37" s="787" t="s">
        <v>344</v>
      </c>
      <c r="B37" s="975" t="s">
        <v>428</v>
      </c>
      <c r="C37" s="619"/>
      <c r="D37" s="619"/>
      <c r="E37" s="619"/>
      <c r="F37" s="619"/>
      <c r="G37" s="622"/>
      <c r="H37" s="619"/>
      <c r="I37" s="619"/>
      <c r="J37" s="619"/>
      <c r="K37" s="619"/>
      <c r="L37" s="622"/>
      <c r="M37" s="619"/>
      <c r="N37" s="619"/>
      <c r="O37" s="619"/>
      <c r="P37" s="619"/>
      <c r="Q37" s="622"/>
      <c r="R37" s="982"/>
      <c r="S37" s="982"/>
      <c r="T37" s="982"/>
      <c r="U37" s="982"/>
      <c r="V37" s="622"/>
      <c r="W37" s="982"/>
      <c r="X37" s="982"/>
      <c r="Y37" s="982"/>
      <c r="Z37" s="982"/>
      <c r="AA37" s="622"/>
      <c r="AB37" s="982"/>
      <c r="AC37" s="982"/>
      <c r="AD37" s="982"/>
      <c r="AE37" s="982"/>
      <c r="AF37" s="622"/>
      <c r="AG37" s="982"/>
      <c r="AH37" s="982"/>
      <c r="AI37" s="982"/>
      <c r="AJ37" s="982"/>
      <c r="AK37" s="622"/>
      <c r="AL37" s="619"/>
      <c r="AM37" s="619"/>
      <c r="AN37" s="619"/>
      <c r="AO37" s="619"/>
      <c r="AP37" s="622"/>
      <c r="AQ37" s="619"/>
      <c r="AR37" s="619"/>
      <c r="AS37" s="619"/>
      <c r="AT37" s="619"/>
      <c r="AU37" s="622"/>
      <c r="AV37" s="619"/>
      <c r="AW37" s="619"/>
      <c r="AX37" s="619"/>
      <c r="AY37" s="619"/>
      <c r="AZ37" s="622"/>
      <c r="BA37" s="619"/>
      <c r="BB37" s="619"/>
      <c r="BC37" s="619"/>
      <c r="BD37" s="619"/>
      <c r="BE37" s="622"/>
      <c r="BF37" s="619"/>
      <c r="BG37" s="619"/>
      <c r="BH37" s="619"/>
      <c r="BI37" s="619"/>
      <c r="BJ37" s="622"/>
      <c r="BK37" s="619"/>
      <c r="BL37" s="619"/>
      <c r="BM37" s="619"/>
      <c r="BN37" s="619"/>
      <c r="BO37" s="622"/>
      <c r="BP37" s="619"/>
      <c r="BQ37" s="619"/>
      <c r="BR37" s="619"/>
      <c r="BS37" s="619"/>
      <c r="BT37" s="622"/>
      <c r="BU37" s="619"/>
      <c r="BV37" s="619"/>
      <c r="BW37" s="619"/>
      <c r="BX37" s="619"/>
      <c r="BY37" s="622"/>
      <c r="BZ37" s="619"/>
      <c r="CA37" s="619"/>
      <c r="CB37" s="619"/>
      <c r="CC37" s="619"/>
      <c r="CD37" s="622"/>
      <c r="CE37" s="619"/>
      <c r="CF37" s="619"/>
      <c r="CG37" s="619"/>
      <c r="CH37" s="619"/>
      <c r="CI37" s="622"/>
      <c r="CJ37" s="619"/>
      <c r="CK37" s="619"/>
      <c r="CL37" s="619"/>
      <c r="CM37" s="619"/>
      <c r="CN37" s="622"/>
      <c r="CO37" s="619"/>
      <c r="CP37" s="619"/>
      <c r="CQ37" s="619"/>
      <c r="CR37" s="619"/>
      <c r="CS37" s="622"/>
      <c r="CT37" s="619"/>
      <c r="CU37" s="619"/>
      <c r="CV37" s="619"/>
      <c r="CW37" s="619"/>
      <c r="CX37" s="622"/>
      <c r="CY37" s="619"/>
      <c r="CZ37" s="619"/>
      <c r="DA37" s="619"/>
      <c r="DB37" s="619"/>
      <c r="DC37" s="622"/>
      <c r="DD37" s="619"/>
      <c r="DE37" s="619"/>
      <c r="DF37" s="619"/>
      <c r="DG37" s="619"/>
      <c r="DH37" s="622"/>
      <c r="DI37" s="619"/>
      <c r="DJ37" s="619"/>
      <c r="DK37" s="619"/>
      <c r="DL37" s="619"/>
      <c r="DM37" s="622"/>
      <c r="DN37" s="619"/>
      <c r="DO37" s="619"/>
      <c r="DP37" s="619"/>
      <c r="DQ37" s="619"/>
      <c r="DR37" s="622"/>
      <c r="DS37" s="820">
        <f>'Ticker0024 Cloud'!DS28</f>
      </c>
      <c r="DT37" s="820">
        <f>'Ticker0024 Cloud'!DT28</f>
      </c>
      <c r="DU37" s="820">
        <f>'Ticker0024 Cloud'!DU28</f>
      </c>
      <c r="DV37" s="820">
        <f>'Ticker0024 Cloud'!DV28</f>
      </c>
      <c r="DW37" s="830">
        <f>'Ticker0024 Cloud'!DW28</f>
      </c>
      <c r="DX37" s="820">
        <f>'Ticker0024 Cloud'!DX28</f>
      </c>
      <c r="DY37" s="820">
        <f>'Ticker0024 Cloud'!DY28</f>
      </c>
      <c r="DZ37" s="820">
        <f>'Ticker0024 Cloud'!DZ28</f>
      </c>
      <c r="EA37" s="820">
        <f>'Ticker0024 Cloud'!EA28</f>
      </c>
      <c r="EB37" s="830">
        <f>'Ticker0024 Cloud'!EB28</f>
      </c>
      <c r="EC37" s="820">
        <f>'Ticker0024 Cloud'!EC28</f>
      </c>
      <c r="ED37" s="820">
        <f>'Ticker0024 Cloud'!ED28</f>
      </c>
      <c r="EE37" s="820">
        <f>'Ticker0024 Cloud'!EE28</f>
      </c>
      <c r="EF37" s="820">
        <f>'Ticker0024 Cloud'!EF28</f>
      </c>
      <c r="EG37" s="830">
        <f>'Ticker0024 Cloud'!EG28</f>
      </c>
      <c r="EH37" s="820">
        <f>'Ticker0024 Cloud'!EH28</f>
      </c>
      <c r="EI37" s="820">
        <f>'Ticker0024 Cloud'!EI28</f>
      </c>
      <c r="EJ37" s="820">
        <f>'Ticker0024 Cloud'!EJ28</f>
      </c>
      <c r="EK37" s="820">
        <f>'Ticker0024 Cloud'!EK28</f>
      </c>
      <c r="EL37" s="830">
        <f>'Ticker0024 Cloud'!EL28</f>
      </c>
      <c r="EM37" s="820">
        <f>'Ticker0024 Cloud'!EM28</f>
      </c>
      <c r="EN37" s="820">
        <f>'Ticker0024 Cloud'!EN28</f>
      </c>
      <c r="EO37" s="820">
        <f>'Ticker0024 Cloud'!EO28</f>
      </c>
      <c r="EP37" s="820">
        <f>'Ticker0024 Cloud'!EP28</f>
      </c>
      <c r="EQ37" s="830">
        <f>'Ticker0024 Cloud'!EQ28</f>
      </c>
      <c r="ER37" s="820">
        <f>'Ticker0024 Cloud'!ER28</f>
      </c>
      <c r="ES37" s="820">
        <f>'Ticker0024 Cloud'!ES28</f>
      </c>
      <c r="ET37" s="820">
        <f>'Ticker0024 Cloud'!ET28</f>
      </c>
      <c r="EU37" s="820">
        <f>'Ticker0024 Cloud'!EU28</f>
      </c>
      <c r="EV37" s="830">
        <f>'Ticker0024 Cloud'!EV28</f>
      </c>
      <c r="EW37" s="820">
        <f>'Ticker0024 Cloud'!EW28</f>
      </c>
      <c r="EX37" s="820">
        <f>'Ticker0024 Cloud'!EX28</f>
      </c>
      <c r="EY37" s="820">
        <f>'Ticker0024 Cloud'!EY28</f>
      </c>
      <c r="EZ37" s="820">
        <f>'Ticker0024 Cloud'!EZ28</f>
      </c>
      <c r="FA37" s="830">
        <f>'Ticker0024 Cloud'!FA28</f>
      </c>
      <c r="FB37" s="820"/>
      <c r="FC37" s="820"/>
      <c r="FD37" s="820"/>
      <c r="FE37" s="820"/>
      <c r="FF37" s="830"/>
      <c r="FG37" s="820"/>
      <c r="FH37" s="820"/>
      <c r="FI37" s="820"/>
      <c r="FJ37" s="820"/>
      <c r="FK37" s="830"/>
      <c r="FL37" s="820"/>
      <c r="FM37" s="820"/>
      <c r="FN37" s="820"/>
      <c r="FO37" s="820"/>
      <c r="FP37" s="830"/>
      <c r="FQ37" s="820"/>
      <c r="FR37" s="820"/>
      <c r="FS37" s="820"/>
      <c r="FT37" s="820"/>
      <c r="FU37" s="830"/>
      <c r="FV37" s="820"/>
      <c r="FW37" s="820"/>
      <c r="FX37" s="820"/>
      <c r="FY37" s="820"/>
      <c r="FZ37" s="830"/>
      <c r="GA37" s="820"/>
      <c r="GB37" s="820"/>
      <c r="GC37" s="820"/>
      <c r="GD37" s="820"/>
      <c r="GE37" s="830"/>
      <c r="GF37" s="820"/>
      <c r="GG37" s="820"/>
      <c r="GH37" s="820"/>
      <c r="GI37" s="820"/>
      <c r="GJ37" s="830"/>
    </row>
    <row r="38" spans="1:192" s="1031" customFormat="1" ht="12.75" hidden="1" customHeight="1" outlineLevel="1">
      <c r="A38" s="1027"/>
      <c r="B38" s="727" t="s">
        <v>34</v>
      </c>
      <c r="C38" s="1028"/>
      <c r="D38" s="1028"/>
      <c r="E38" s="1028"/>
      <c r="F38" s="1028"/>
      <c r="G38" s="1029"/>
      <c r="H38" s="1028"/>
      <c r="I38" s="1028"/>
      <c r="J38" s="1028"/>
      <c r="K38" s="1028"/>
      <c r="L38" s="1029"/>
      <c r="M38" s="1028"/>
      <c r="N38" s="1028"/>
      <c r="O38" s="1028"/>
      <c r="P38" s="1028"/>
      <c r="Q38" s="1029"/>
      <c r="R38" s="1030"/>
      <c r="S38" s="1030"/>
      <c r="T38" s="1030"/>
      <c r="U38" s="1030"/>
      <c r="V38" s="1029"/>
      <c r="W38" s="1030"/>
      <c r="X38" s="1030"/>
      <c r="Y38" s="1030"/>
      <c r="Z38" s="1030"/>
      <c r="AA38" s="1029"/>
      <c r="AB38" s="1030"/>
      <c r="AC38" s="1030"/>
      <c r="AD38" s="1030"/>
      <c r="AE38" s="1030"/>
      <c r="AF38" s="1029"/>
      <c r="AG38" s="1030"/>
      <c r="AH38" s="1030"/>
      <c r="AI38" s="1030"/>
      <c r="AJ38" s="1030"/>
      <c r="AK38" s="1029"/>
      <c r="AL38" s="1028"/>
      <c r="AM38" s="1028"/>
      <c r="AN38" s="1028"/>
      <c r="AO38" s="1028"/>
      <c r="AP38" s="1029"/>
      <c r="AQ38" s="1028"/>
      <c r="AR38" s="1028"/>
      <c r="AS38" s="1028"/>
      <c r="AT38" s="1028"/>
      <c r="AU38" s="1029"/>
      <c r="AV38" s="1028"/>
      <c r="AW38" s="1028"/>
      <c r="AX38" s="1028"/>
      <c r="AY38" s="1028"/>
      <c r="AZ38" s="1029"/>
      <c r="BA38" s="1028"/>
      <c r="BB38" s="1028"/>
      <c r="BC38" s="1028"/>
      <c r="BD38" s="1028"/>
      <c r="BE38" s="1029"/>
      <c r="BF38" s="1028"/>
      <c r="BG38" s="1028"/>
      <c r="BH38" s="1028"/>
      <c r="BI38" s="1028"/>
      <c r="BJ38" s="1029"/>
      <c r="BK38" s="1028"/>
      <c r="BL38" s="1028"/>
      <c r="BM38" s="1028"/>
      <c r="BN38" s="1028"/>
      <c r="BO38" s="1029"/>
      <c r="BP38" s="1028"/>
      <c r="BQ38" s="1028"/>
      <c r="BR38" s="1028"/>
      <c r="BS38" s="1028"/>
      <c r="BT38" s="1029"/>
      <c r="BU38" s="1028"/>
      <c r="BV38" s="1028"/>
      <c r="BW38" s="1028"/>
      <c r="BX38" s="1028"/>
      <c r="BY38" s="1029"/>
      <c r="BZ38" s="1028"/>
      <c r="CA38" s="1028"/>
      <c r="CB38" s="1028"/>
      <c r="CC38" s="1028"/>
      <c r="CD38" s="1029"/>
      <c r="CE38" s="1028"/>
      <c r="CF38" s="1028"/>
      <c r="CG38" s="1028"/>
      <c r="CH38" s="1028"/>
      <c r="CI38" s="1029"/>
      <c r="CJ38" s="1028"/>
      <c r="CK38" s="1028"/>
      <c r="CL38" s="1028"/>
      <c r="CM38" s="1028"/>
      <c r="CN38" s="1029"/>
      <c r="CO38" s="1028"/>
      <c r="CP38" s="1028"/>
      <c r="CQ38" s="1028"/>
      <c r="CR38" s="1028"/>
      <c r="CS38" s="1029"/>
      <c r="CT38" s="1028"/>
      <c r="CU38" s="1028"/>
      <c r="CV38" s="1028"/>
      <c r="CW38" s="1028"/>
      <c r="CX38" s="1461"/>
      <c r="CY38" s="1462"/>
      <c r="CZ38" s="1462"/>
      <c r="DA38" s="1462"/>
      <c r="DB38" s="1462"/>
      <c r="DC38" s="1461"/>
      <c r="DD38" s="1462"/>
      <c r="DE38" s="1462"/>
      <c r="DF38" s="1462"/>
      <c r="DG38" s="1462"/>
      <c r="DH38" s="1461"/>
      <c r="DI38" s="1462"/>
      <c r="DJ38" s="1462"/>
      <c r="DK38" s="1462"/>
      <c r="DL38" s="1462"/>
      <c r="DM38" s="1461"/>
      <c r="DN38" s="1462"/>
      <c r="DO38" s="1462"/>
      <c r="DP38" s="1462"/>
      <c r="DQ38" s="1462"/>
      <c r="DR38" s="1461"/>
      <c r="DS38" s="1462"/>
      <c r="DT38" s="1462"/>
      <c r="DU38" s="1462"/>
      <c r="DV38" s="1462"/>
      <c r="DW38" s="1461"/>
      <c r="DX38" s="1462">
        <f t="shared" ref="DX38:EY38" si="18">DX37/DS37-1</f>
      </c>
      <c r="DY38" s="1462">
        <f t="shared" si="18"/>
      </c>
      <c r="DZ38" s="1462">
        <f t="shared" si="18"/>
      </c>
      <c r="EA38" s="1462">
        <f t="shared" si="18"/>
      </c>
      <c r="EB38" s="1461">
        <f t="shared" si="18"/>
      </c>
      <c r="EC38" s="1462">
        <f t="shared" si="18"/>
      </c>
      <c r="ED38" s="1462">
        <f t="shared" si="18"/>
      </c>
      <c r="EE38" s="1462">
        <f t="shared" si="18"/>
      </c>
      <c r="EF38" s="1462">
        <f t="shared" si="18"/>
      </c>
      <c r="EG38" s="1461">
        <f t="shared" si="18"/>
      </c>
      <c r="EH38" s="1462">
        <f t="shared" si="18"/>
      </c>
      <c r="EI38" s="1462">
        <f t="shared" si="18"/>
      </c>
      <c r="EJ38" s="1462">
        <f t="shared" si="18"/>
      </c>
      <c r="EK38" s="1462">
        <f t="shared" si="18"/>
      </c>
      <c r="EL38" s="1461">
        <f t="shared" si="18"/>
      </c>
      <c r="EM38" s="1462">
        <f t="shared" si="18"/>
      </c>
      <c r="EN38" s="1462">
        <f t="shared" si="18"/>
      </c>
      <c r="EO38" s="1462">
        <f t="shared" si="18"/>
      </c>
      <c r="EP38" s="1462">
        <f t="shared" si="18"/>
      </c>
      <c r="EQ38" s="1461">
        <f t="shared" si="18"/>
      </c>
      <c r="ER38" s="1462">
        <f t="shared" si="18"/>
      </c>
      <c r="ES38" s="1462">
        <f t="shared" si="18"/>
      </c>
      <c r="ET38" s="1462">
        <f t="shared" si="18"/>
      </c>
      <c r="EU38" s="1462">
        <f t="shared" si="18"/>
      </c>
      <c r="EV38" s="1461">
        <f t="shared" si="18"/>
      </c>
      <c r="EW38" s="1462">
        <f t="shared" si="18"/>
      </c>
      <c r="EX38" s="1462">
        <f t="shared" si="18"/>
      </c>
      <c r="EY38" s="1462">
        <f t="shared" si="18"/>
      </c>
      <c r="EZ38" s="1462">
        <f t="shared" ref="EZ38" si="19">EZ37/EU37-1</f>
      </c>
      <c r="FA38" s="1461">
        <f t="shared" ref="FA38" si="20">FA37/EV37-1</f>
      </c>
      <c r="FB38" s="1462"/>
      <c r="FC38" s="1462"/>
      <c r="FD38" s="1462"/>
      <c r="FE38" s="1462"/>
      <c r="FF38" s="1461"/>
      <c r="FG38" s="1462"/>
      <c r="FH38" s="1462"/>
      <c r="FI38" s="1462"/>
      <c r="FJ38" s="1462"/>
      <c r="FK38" s="1461"/>
      <c r="FL38" s="1462"/>
      <c r="FM38" s="1462"/>
      <c r="FN38" s="1462"/>
      <c r="FO38" s="1462"/>
      <c r="FP38" s="1461"/>
      <c r="FQ38" s="1462"/>
      <c r="FR38" s="1462"/>
      <c r="FS38" s="1462"/>
      <c r="FT38" s="1462"/>
      <c r="FU38" s="1461"/>
      <c r="FV38" s="1462"/>
      <c r="FW38" s="1462"/>
      <c r="FX38" s="1462"/>
      <c r="FY38" s="1462"/>
      <c r="FZ38" s="1461"/>
      <c r="GA38" s="1462"/>
      <c r="GB38" s="1462"/>
      <c r="GC38" s="1462"/>
      <c r="GD38" s="1462"/>
      <c r="GE38" s="1461"/>
      <c r="GF38" s="1462"/>
      <c r="GG38" s="1462"/>
      <c r="GH38" s="1462"/>
      <c r="GI38" s="1462"/>
      <c r="GJ38" s="1461"/>
    </row>
    <row r="39" spans="1:192" s="1031" customFormat="1" ht="12.75" hidden="1" customHeight="1" outlineLevel="1">
      <c r="A39" s="1027"/>
      <c r="B39" s="727" t="s">
        <v>36</v>
      </c>
      <c r="C39" s="1028"/>
      <c r="D39" s="1028"/>
      <c r="E39" s="1028"/>
      <c r="F39" s="1028"/>
      <c r="G39" s="1029"/>
      <c r="H39" s="1028"/>
      <c r="I39" s="1028"/>
      <c r="J39" s="1028"/>
      <c r="K39" s="1028"/>
      <c r="L39" s="1029"/>
      <c r="M39" s="1028"/>
      <c r="N39" s="1028"/>
      <c r="O39" s="1028"/>
      <c r="P39" s="1028"/>
      <c r="Q39" s="1029"/>
      <c r="R39" s="1030"/>
      <c r="S39" s="1030"/>
      <c r="T39" s="1030"/>
      <c r="U39" s="1030"/>
      <c r="V39" s="1029"/>
      <c r="W39" s="1030"/>
      <c r="X39" s="1030"/>
      <c r="Y39" s="1030"/>
      <c r="Z39" s="1030"/>
      <c r="AA39" s="1029"/>
      <c r="AB39" s="1030"/>
      <c r="AC39" s="1030"/>
      <c r="AD39" s="1030"/>
      <c r="AE39" s="1030"/>
      <c r="AF39" s="1029"/>
      <c r="AG39" s="1030"/>
      <c r="AH39" s="1030"/>
      <c r="AI39" s="1030"/>
      <c r="AJ39" s="1030"/>
      <c r="AK39" s="1029"/>
      <c r="AL39" s="1028"/>
      <c r="AM39" s="1028"/>
      <c r="AN39" s="1028"/>
      <c r="AO39" s="1028"/>
      <c r="AP39" s="1029"/>
      <c r="AQ39" s="1028"/>
      <c r="AR39" s="1028"/>
      <c r="AS39" s="1028"/>
      <c r="AT39" s="1028"/>
      <c r="AU39" s="1029"/>
      <c r="AV39" s="1028"/>
      <c r="AW39" s="1028"/>
      <c r="AX39" s="1028"/>
      <c r="AY39" s="1028"/>
      <c r="AZ39" s="1029"/>
      <c r="BA39" s="1028"/>
      <c r="BB39" s="1028"/>
      <c r="BC39" s="1028"/>
      <c r="BD39" s="1028"/>
      <c r="BE39" s="1029"/>
      <c r="BF39" s="1028"/>
      <c r="BG39" s="1028"/>
      <c r="BH39" s="1028"/>
      <c r="BI39" s="1028"/>
      <c r="BJ39" s="1029"/>
      <c r="BK39" s="1028"/>
      <c r="BL39" s="1028"/>
      <c r="BM39" s="1028"/>
      <c r="BN39" s="1028"/>
      <c r="BO39" s="1029"/>
      <c r="BP39" s="1028"/>
      <c r="BQ39" s="1028"/>
      <c r="BR39" s="1028"/>
      <c r="BS39" s="1028"/>
      <c r="BT39" s="1029"/>
      <c r="BU39" s="1028"/>
      <c r="BV39" s="1028"/>
      <c r="BW39" s="1028"/>
      <c r="BX39" s="1028"/>
      <c r="BY39" s="1029"/>
      <c r="BZ39" s="1028"/>
      <c r="CA39" s="1028"/>
      <c r="CB39" s="1028"/>
      <c r="CC39" s="1028"/>
      <c r="CD39" s="1029"/>
      <c r="CE39" s="1028"/>
      <c r="CF39" s="1028"/>
      <c r="CG39" s="1028"/>
      <c r="CH39" s="1028"/>
      <c r="CI39" s="1029"/>
      <c r="CJ39" s="1028"/>
      <c r="CK39" s="1028"/>
      <c r="CL39" s="1028"/>
      <c r="CM39" s="1028"/>
      <c r="CN39" s="1029"/>
      <c r="CO39" s="1028"/>
      <c r="CP39" s="1028"/>
      <c r="CQ39" s="1028"/>
      <c r="CR39" s="1028"/>
      <c r="CS39" s="1029"/>
      <c r="CT39" s="1028"/>
      <c r="CU39" s="1028"/>
      <c r="CV39" s="1028"/>
      <c r="CW39" s="1028"/>
      <c r="CX39" s="1461"/>
      <c r="CY39" s="1462"/>
      <c r="CZ39" s="1462"/>
      <c r="DA39" s="1462"/>
      <c r="DB39" s="1462"/>
      <c r="DC39" s="1461"/>
      <c r="DD39" s="1462"/>
      <c r="DE39" s="1462"/>
      <c r="DF39" s="1462"/>
      <c r="DG39" s="1462"/>
      <c r="DH39" s="1461"/>
      <c r="DI39" s="1462"/>
      <c r="DJ39" s="1462"/>
      <c r="DK39" s="1462"/>
      <c r="DL39" s="1462"/>
      <c r="DM39" s="1461"/>
      <c r="DN39" s="1462"/>
      <c r="DO39" s="1462"/>
      <c r="DP39" s="1462"/>
      <c r="DQ39" s="1462"/>
      <c r="DR39" s="1461"/>
      <c r="DS39" s="1462"/>
      <c r="DT39" s="1462">
        <f>DT37/DS37-1</f>
      </c>
      <c r="DU39" s="1462">
        <f>DU37/DT37-1</f>
      </c>
      <c r="DV39" s="1462">
        <f>DV37/DU37-1</f>
      </c>
      <c r="DW39" s="1461"/>
      <c r="DX39" s="1462">
        <f>DX37/DV37-1</f>
      </c>
      <c r="DY39" s="1462">
        <f>DY37/DX37-1</f>
      </c>
      <c r="DZ39" s="1462">
        <f>DZ37/DY37-1</f>
      </c>
      <c r="EA39" s="1462">
        <f>EA37/DZ37-1</f>
      </c>
      <c r="EB39" s="1461"/>
      <c r="EC39" s="1462">
        <f>EC37/EA37-1</f>
      </c>
      <c r="ED39" s="1462">
        <f>ED37/EC37-1</f>
      </c>
      <c r="EE39" s="1462">
        <f>EE37/ED37-1</f>
      </c>
      <c r="EF39" s="1462">
        <f>EF37/EE37-1</f>
      </c>
      <c r="EG39" s="1461"/>
      <c r="EH39" s="1462">
        <f>EH37/EF37-1</f>
      </c>
      <c r="EI39" s="1462">
        <f>EI37/EH37-1</f>
      </c>
      <c r="EJ39" s="1462">
        <f>EJ37/EI37-1</f>
      </c>
      <c r="EK39" s="1462">
        <f>EK37/EJ37-1</f>
      </c>
      <c r="EL39" s="1461"/>
      <c r="EM39" s="1462">
        <f>EM37/EK37-1</f>
      </c>
      <c r="EN39" s="1462">
        <f>EN37/EM37-1</f>
      </c>
      <c r="EO39" s="1462">
        <f>EO37/EN37-1</f>
      </c>
      <c r="EP39" s="1462">
        <f>EP37/EO37-1</f>
      </c>
      <c r="EQ39" s="1461"/>
      <c r="ER39" s="1462">
        <f>ER37/EP37-1</f>
      </c>
      <c r="ES39" s="1462">
        <f>ES37/ER37-1</f>
      </c>
      <c r="ET39" s="1462">
        <f>ET37/ES37-1</f>
      </c>
      <c r="EU39" s="1462">
        <f>EU37/ET37-1</f>
      </c>
      <c r="EV39" s="1461"/>
      <c r="EW39" s="1462">
        <f>EW37/EU37-1</f>
      </c>
      <c r="EX39" s="1462">
        <f>EX37/EW37-1</f>
      </c>
      <c r="EY39" s="1462">
        <f>EY37/EX37-1</f>
      </c>
      <c r="EZ39" s="1462">
        <f>EZ37/EY37-1</f>
      </c>
      <c r="FA39" s="1461"/>
      <c r="FB39" s="1462"/>
      <c r="FC39" s="1462"/>
      <c r="FD39" s="1462"/>
      <c r="FE39" s="1462"/>
      <c r="FF39" s="1461"/>
      <c r="FG39" s="1462"/>
      <c r="FH39" s="1462"/>
      <c r="FI39" s="1462"/>
      <c r="FJ39" s="1462"/>
      <c r="FK39" s="1461"/>
      <c r="FL39" s="1462"/>
      <c r="FM39" s="1462"/>
      <c r="FN39" s="1462"/>
      <c r="FO39" s="1462"/>
      <c r="FP39" s="1461"/>
      <c r="FQ39" s="1462"/>
      <c r="FR39" s="1462"/>
      <c r="FS39" s="1462"/>
      <c r="FT39" s="1462"/>
      <c r="FU39" s="1461"/>
      <c r="FV39" s="1462"/>
      <c r="FW39" s="1462"/>
      <c r="FX39" s="1462"/>
      <c r="FY39" s="1462"/>
      <c r="FZ39" s="1461"/>
      <c r="GA39" s="1462"/>
      <c r="GB39" s="1462"/>
      <c r="GC39" s="1462"/>
      <c r="GD39" s="1462"/>
      <c r="GE39" s="1461"/>
      <c r="GF39" s="1462"/>
      <c r="GG39" s="1462"/>
      <c r="GH39" s="1462"/>
      <c r="GI39" s="1462"/>
      <c r="GJ39" s="1461"/>
    </row>
    <row r="40" spans="1:192" s="461" customFormat="1" ht="12.75" hidden="1" customHeight="1" outlineLevel="1">
      <c r="A40" s="370"/>
      <c r="B40" s="986" t="s">
        <v>427</v>
      </c>
      <c r="C40" s="987"/>
      <c r="D40" s="987"/>
      <c r="E40" s="987"/>
      <c r="F40" s="987"/>
      <c r="G40" s="988"/>
      <c r="H40" s="987"/>
      <c r="I40" s="987"/>
      <c r="J40" s="987"/>
      <c r="K40" s="987"/>
      <c r="L40" s="988"/>
      <c r="M40" s="987"/>
      <c r="N40" s="987"/>
      <c r="O40" s="987"/>
      <c r="P40" s="987"/>
      <c r="Q40" s="988"/>
      <c r="R40" s="989"/>
      <c r="S40" s="989"/>
      <c r="T40" s="989"/>
      <c r="U40" s="989"/>
      <c r="V40" s="988"/>
      <c r="W40" s="989"/>
      <c r="X40" s="989"/>
      <c r="Y40" s="989"/>
      <c r="Z40" s="989"/>
      <c r="AA40" s="988"/>
      <c r="AB40" s="989"/>
      <c r="AC40" s="989"/>
      <c r="AD40" s="989"/>
      <c r="AE40" s="989"/>
      <c r="AF40" s="988"/>
      <c r="AG40" s="989"/>
      <c r="AH40" s="989"/>
      <c r="AI40" s="989"/>
      <c r="AJ40" s="989"/>
      <c r="AK40" s="988"/>
      <c r="AL40" s="987"/>
      <c r="AM40" s="987"/>
      <c r="AN40" s="987"/>
      <c r="AO40" s="987"/>
      <c r="AP40" s="988"/>
      <c r="AQ40" s="987"/>
      <c r="AR40" s="987"/>
      <c r="AS40" s="987"/>
      <c r="AT40" s="987"/>
      <c r="AU40" s="988"/>
      <c r="AV40" s="987"/>
      <c r="AW40" s="987"/>
      <c r="AX40" s="987"/>
      <c r="AY40" s="987"/>
      <c r="AZ40" s="988"/>
      <c r="BA40" s="987"/>
      <c r="BB40" s="987"/>
      <c r="BC40" s="987"/>
      <c r="BD40" s="987"/>
      <c r="BE40" s="988"/>
      <c r="BF40" s="987"/>
      <c r="BG40" s="987"/>
      <c r="BH40" s="987"/>
      <c r="BI40" s="987"/>
      <c r="BJ40" s="988"/>
      <c r="BK40" s="987"/>
      <c r="BL40" s="987"/>
      <c r="BM40" s="987"/>
      <c r="BN40" s="987"/>
      <c r="BO40" s="988"/>
      <c r="BP40" s="987"/>
      <c r="BQ40" s="987"/>
      <c r="BR40" s="987"/>
      <c r="BS40" s="987"/>
      <c r="BT40" s="988"/>
      <c r="BU40" s="987"/>
      <c r="BV40" s="987"/>
      <c r="BW40" s="987"/>
      <c r="BX40" s="987"/>
      <c r="BY40" s="988"/>
      <c r="BZ40" s="987"/>
      <c r="CA40" s="987"/>
      <c r="CB40" s="987"/>
      <c r="CC40" s="987"/>
      <c r="CD40" s="988"/>
      <c r="CE40" s="987"/>
      <c r="CF40" s="987"/>
      <c r="CG40" s="987"/>
      <c r="CH40" s="987"/>
      <c r="CI40" s="988"/>
      <c r="CJ40" s="987"/>
      <c r="CK40" s="987"/>
      <c r="CL40" s="987"/>
      <c r="CM40" s="987"/>
      <c r="CN40" s="988"/>
      <c r="CO40" s="987"/>
      <c r="CP40" s="987"/>
      <c r="CQ40" s="987"/>
      <c r="CR40" s="987"/>
      <c r="CS40" s="988"/>
      <c r="CT40" s="987"/>
      <c r="CU40" s="987"/>
      <c r="CV40" s="987"/>
      <c r="CW40" s="987"/>
      <c r="CX40" s="988"/>
      <c r="CY40" s="990"/>
      <c r="CZ40" s="990"/>
      <c r="DA40" s="990"/>
      <c r="DB40" s="990"/>
      <c r="DC40" s="991"/>
      <c r="DD40" s="990"/>
      <c r="DE40" s="990"/>
      <c r="DF40" s="990"/>
      <c r="DG40" s="990"/>
      <c r="DH40" s="991"/>
      <c r="DI40" s="990"/>
      <c r="DJ40" s="990"/>
      <c r="DK40" s="990"/>
      <c r="DL40" s="990"/>
      <c r="DM40" s="991"/>
      <c r="DN40" s="990"/>
      <c r="DO40" s="990"/>
      <c r="DP40" s="990"/>
      <c r="DQ40" s="990"/>
      <c r="DR40" s="991"/>
      <c r="DS40" s="990">
        <f>'Ticker0024 Cloud'!DS35</f>
      </c>
      <c r="DT40" s="990">
        <f>'Ticker0024 Cloud'!DT35</f>
      </c>
      <c r="DU40" s="990">
        <f>'Ticker0024 Cloud'!DU35</f>
      </c>
      <c r="DV40" s="990">
        <f>'Ticker0024 Cloud'!DV35</f>
      </c>
      <c r="DW40" s="991">
        <f>'Ticker0024 Cloud'!DW35</f>
      </c>
      <c r="DX40" s="990">
        <f>'Ticker0024 Cloud'!DX35</f>
      </c>
      <c r="DY40" s="990">
        <f>'Ticker0024 Cloud'!DY35</f>
      </c>
      <c r="DZ40" s="990">
        <f>'Ticker0024 Cloud'!DZ35</f>
      </c>
      <c r="EA40" s="990">
        <f>'Ticker0024 Cloud'!EA35</f>
      </c>
      <c r="EB40" s="991">
        <f>'Ticker0024 Cloud'!EB35</f>
      </c>
      <c r="EC40" s="990">
        <f>'Ticker0024 Cloud'!EC35</f>
      </c>
      <c r="ED40" s="990">
        <f>'Ticker0024 Cloud'!ED35</f>
      </c>
      <c r="EE40" s="990">
        <f>'Ticker0024 Cloud'!EE35</f>
      </c>
      <c r="EF40" s="990">
        <f>'Ticker0024 Cloud'!EF35</f>
      </c>
      <c r="EG40" s="991">
        <f>'Ticker0024 Cloud'!EG35</f>
      </c>
      <c r="EH40" s="990">
        <f>'Ticker0024 Cloud'!EH35</f>
      </c>
      <c r="EI40" s="990">
        <f>'Ticker0024 Cloud'!EI35</f>
      </c>
      <c r="EJ40" s="990">
        <f>'Ticker0024 Cloud'!EJ35</f>
      </c>
      <c r="EK40" s="990">
        <f>'Ticker0024 Cloud'!EK35</f>
      </c>
      <c r="EL40" s="991">
        <f>'Ticker0024 Cloud'!EL35</f>
      </c>
      <c r="EM40" s="990">
        <f>'Ticker0024 Cloud'!EM35</f>
      </c>
      <c r="EN40" s="990">
        <f>'Ticker0024 Cloud'!EN35</f>
      </c>
      <c r="EO40" s="990">
        <f>'Ticker0024 Cloud'!EO35</f>
      </c>
      <c r="EP40" s="990">
        <f>'Ticker0024 Cloud'!EP35</f>
      </c>
      <c r="EQ40" s="991">
        <f>'Ticker0024 Cloud'!EQ35</f>
      </c>
      <c r="ER40" s="990">
        <f>'Ticker0024 Cloud'!ER35</f>
      </c>
      <c r="ES40" s="990">
        <f>'Ticker0024 Cloud'!ES35</f>
      </c>
      <c r="ET40" s="990">
        <f>'Ticker0024 Cloud'!ET35</f>
      </c>
      <c r="EU40" s="990">
        <f>'Ticker0024 Cloud'!EU35</f>
      </c>
      <c r="EV40" s="991">
        <f>'Ticker0024 Cloud'!EV35</f>
      </c>
      <c r="EW40" s="990">
        <f>'Ticker0024 Cloud'!EW35</f>
      </c>
      <c r="EX40" s="990">
        <f>'Ticker0024 Cloud'!EX35</f>
      </c>
      <c r="EY40" s="990">
        <f>'Ticker0024 Cloud'!EY35</f>
      </c>
      <c r="EZ40" s="990">
        <f>'Ticker0024 Cloud'!EZ35</f>
      </c>
      <c r="FA40" s="991">
        <f>'Ticker0024 Cloud'!FA35</f>
      </c>
      <c r="FB40" s="990"/>
      <c r="FC40" s="990"/>
      <c r="FD40" s="990"/>
      <c r="FE40" s="990"/>
      <c r="FF40" s="991"/>
      <c r="FG40" s="990"/>
      <c r="FH40" s="990"/>
      <c r="FI40" s="990"/>
      <c r="FJ40" s="990"/>
      <c r="FK40" s="991"/>
      <c r="FL40" s="990"/>
      <c r="FM40" s="990"/>
      <c r="FN40" s="990"/>
      <c r="FO40" s="990"/>
      <c r="FP40" s="991"/>
      <c r="FQ40" s="990"/>
      <c r="FR40" s="990"/>
      <c r="FS40" s="990"/>
      <c r="FT40" s="990"/>
      <c r="FU40" s="991"/>
      <c r="FV40" s="990"/>
      <c r="FW40" s="990"/>
      <c r="FX40" s="990"/>
      <c r="FY40" s="990"/>
      <c r="FZ40" s="991"/>
      <c r="GA40" s="990"/>
      <c r="GB40" s="990"/>
      <c r="GC40" s="990"/>
      <c r="GD40" s="990"/>
      <c r="GE40" s="991"/>
      <c r="GF40" s="990"/>
      <c r="GG40" s="990"/>
      <c r="GH40" s="990"/>
      <c r="GI40" s="990"/>
      <c r="GJ40" s="991"/>
    </row>
    <row r="41" spans="1:192" s="461" customFormat="1" ht="12.75" hidden="1" customHeight="1" outlineLevel="1">
      <c r="A41" s="370"/>
      <c r="B41" s="986"/>
      <c r="C41" s="987"/>
      <c r="D41" s="987"/>
      <c r="E41" s="987"/>
      <c r="F41" s="987"/>
      <c r="G41" s="988"/>
      <c r="H41" s="987"/>
      <c r="I41" s="987"/>
      <c r="J41" s="987"/>
      <c r="K41" s="987"/>
      <c r="L41" s="988"/>
      <c r="M41" s="987"/>
      <c r="N41" s="987"/>
      <c r="O41" s="987"/>
      <c r="P41" s="987"/>
      <c r="Q41" s="988"/>
      <c r="R41" s="989"/>
      <c r="S41" s="989"/>
      <c r="T41" s="989"/>
      <c r="U41" s="989"/>
      <c r="V41" s="988"/>
      <c r="W41" s="989"/>
      <c r="X41" s="989"/>
      <c r="Y41" s="989"/>
      <c r="Z41" s="989"/>
      <c r="AA41" s="988"/>
      <c r="AB41" s="989"/>
      <c r="AC41" s="989"/>
      <c r="AD41" s="989"/>
      <c r="AE41" s="989"/>
      <c r="AF41" s="988"/>
      <c r="AG41" s="989"/>
      <c r="AH41" s="989"/>
      <c r="AI41" s="989"/>
      <c r="AJ41" s="989"/>
      <c r="AK41" s="988"/>
      <c r="AL41" s="987"/>
      <c r="AM41" s="987"/>
      <c r="AN41" s="987"/>
      <c r="AO41" s="987"/>
      <c r="AP41" s="988"/>
      <c r="AQ41" s="987"/>
      <c r="AR41" s="987"/>
      <c r="AS41" s="987"/>
      <c r="AT41" s="987"/>
      <c r="AU41" s="988"/>
      <c r="AV41" s="987"/>
      <c r="AW41" s="987"/>
      <c r="AX41" s="987"/>
      <c r="AY41" s="987"/>
      <c r="AZ41" s="988"/>
      <c r="BA41" s="987"/>
      <c r="BB41" s="987"/>
      <c r="BC41" s="987"/>
      <c r="BD41" s="987"/>
      <c r="BE41" s="988"/>
      <c r="BF41" s="987"/>
      <c r="BG41" s="987"/>
      <c r="BH41" s="987"/>
      <c r="BI41" s="987"/>
      <c r="BJ41" s="988"/>
      <c r="BK41" s="987"/>
      <c r="BL41" s="987"/>
      <c r="BM41" s="987"/>
      <c r="BN41" s="987"/>
      <c r="BO41" s="988"/>
      <c r="BP41" s="987"/>
      <c r="BQ41" s="987"/>
      <c r="BR41" s="987"/>
      <c r="BS41" s="987"/>
      <c r="BT41" s="988"/>
      <c r="BU41" s="987"/>
      <c r="BV41" s="987"/>
      <c r="BW41" s="987"/>
      <c r="BX41" s="987"/>
      <c r="BY41" s="988"/>
      <c r="BZ41" s="987"/>
      <c r="CA41" s="987"/>
      <c r="CB41" s="987"/>
      <c r="CC41" s="987"/>
      <c r="CD41" s="988"/>
      <c r="CE41" s="987"/>
      <c r="CF41" s="987"/>
      <c r="CG41" s="987"/>
      <c r="CH41" s="987"/>
      <c r="CI41" s="988"/>
      <c r="CJ41" s="987"/>
      <c r="CK41" s="987"/>
      <c r="CL41" s="987"/>
      <c r="CM41" s="987"/>
      <c r="CN41" s="988"/>
      <c r="CO41" s="987"/>
      <c r="CP41" s="987"/>
      <c r="CQ41" s="987"/>
      <c r="CR41" s="987"/>
      <c r="CS41" s="988"/>
      <c r="CT41" s="987"/>
      <c r="CU41" s="987"/>
      <c r="CV41" s="987"/>
      <c r="CW41" s="987"/>
      <c r="CX41" s="988"/>
      <c r="CY41" s="990"/>
      <c r="CZ41" s="990"/>
      <c r="DA41" s="990"/>
      <c r="DB41" s="990"/>
      <c r="DC41" s="991"/>
      <c r="DD41" s="990"/>
      <c r="DE41" s="990"/>
      <c r="DF41" s="990"/>
      <c r="DG41" s="990"/>
      <c r="DH41" s="991"/>
      <c r="DI41" s="990"/>
      <c r="DJ41" s="990"/>
      <c r="DK41" s="990"/>
      <c r="DL41" s="990"/>
      <c r="DM41" s="991"/>
      <c r="DN41" s="990"/>
      <c r="DO41" s="990"/>
      <c r="DP41" s="990"/>
      <c r="DQ41" s="990"/>
      <c r="DR41" s="991"/>
      <c r="DS41" s="990"/>
      <c r="DT41" s="990"/>
      <c r="DU41" s="990"/>
      <c r="DV41" s="990"/>
      <c r="DW41" s="991"/>
      <c r="DX41" s="990"/>
      <c r="DY41" s="990"/>
      <c r="DZ41" s="990"/>
      <c r="EA41" s="990"/>
      <c r="EB41" s="991"/>
      <c r="EC41" s="990"/>
      <c r="ED41" s="990"/>
      <c r="EE41" s="990"/>
      <c r="EF41" s="990"/>
      <c r="EG41" s="991"/>
      <c r="EH41" s="990"/>
      <c r="EI41" s="990"/>
      <c r="EJ41" s="990"/>
      <c r="EK41" s="990"/>
      <c r="EL41" s="991"/>
      <c r="EM41" s="990"/>
      <c r="EN41" s="990"/>
      <c r="EO41" s="990"/>
      <c r="EP41" s="990"/>
      <c r="EQ41" s="991"/>
      <c r="ER41" s="990"/>
      <c r="ES41" s="990"/>
      <c r="ET41" s="990"/>
      <c r="EU41" s="990"/>
      <c r="EV41" s="991"/>
      <c r="EW41" s="990"/>
      <c r="EX41" s="990"/>
      <c r="EY41" s="990"/>
      <c r="EZ41" s="990"/>
      <c r="FA41" s="991"/>
      <c r="FB41" s="990"/>
      <c r="FC41" s="990"/>
      <c r="FD41" s="990"/>
      <c r="FE41" s="990"/>
      <c r="FF41" s="991"/>
      <c r="FG41" s="990"/>
      <c r="FH41" s="990"/>
      <c r="FI41" s="990"/>
      <c r="FJ41" s="990"/>
      <c r="FK41" s="991"/>
      <c r="FL41" s="990"/>
      <c r="FM41" s="990"/>
      <c r="FN41" s="990"/>
      <c r="FO41" s="990"/>
      <c r="FP41" s="991"/>
      <c r="FQ41" s="990"/>
      <c r="FR41" s="990"/>
      <c r="FS41" s="990"/>
      <c r="FT41" s="990"/>
      <c r="FU41" s="991"/>
      <c r="FV41" s="990"/>
      <c r="FW41" s="990"/>
      <c r="FX41" s="990"/>
      <c r="FY41" s="990"/>
      <c r="FZ41" s="991"/>
      <c r="GA41" s="990"/>
      <c r="GB41" s="990"/>
      <c r="GC41" s="990"/>
      <c r="GD41" s="990"/>
      <c r="GE41" s="991"/>
      <c r="GF41" s="990"/>
      <c r="GG41" s="990"/>
      <c r="GH41" s="990"/>
      <c r="GI41" s="990"/>
      <c r="GJ41" s="991"/>
    </row>
    <row r="42" spans="1:192" s="623" customFormat="1" ht="12.75" hidden="1" customHeight="1" outlineLevel="1">
      <c r="A42" s="370"/>
      <c r="B42" s="975" t="s">
        <v>426</v>
      </c>
      <c r="C42" s="619"/>
      <c r="D42" s="619"/>
      <c r="E42" s="619"/>
      <c r="F42" s="619"/>
      <c r="G42" s="622"/>
      <c r="H42" s="619"/>
      <c r="I42" s="619"/>
      <c r="J42" s="619"/>
      <c r="K42" s="619"/>
      <c r="L42" s="622"/>
      <c r="M42" s="619"/>
      <c r="N42" s="619"/>
      <c r="O42" s="619"/>
      <c r="P42" s="619"/>
      <c r="Q42" s="622"/>
      <c r="R42" s="982"/>
      <c r="S42" s="982"/>
      <c r="T42" s="982"/>
      <c r="U42" s="982"/>
      <c r="V42" s="622"/>
      <c r="W42" s="982"/>
      <c r="X42" s="982"/>
      <c r="Y42" s="982"/>
      <c r="Z42" s="982"/>
      <c r="AA42" s="622"/>
      <c r="AB42" s="982"/>
      <c r="AC42" s="982"/>
      <c r="AD42" s="982"/>
      <c r="AE42" s="982"/>
      <c r="AF42" s="622"/>
      <c r="AG42" s="982"/>
      <c r="AH42" s="982"/>
      <c r="AI42" s="982"/>
      <c r="AJ42" s="982"/>
      <c r="AK42" s="622"/>
      <c r="AL42" s="619"/>
      <c r="AM42" s="619"/>
      <c r="AN42" s="619"/>
      <c r="AO42" s="619"/>
      <c r="AP42" s="622"/>
      <c r="AQ42" s="619"/>
      <c r="AR42" s="619"/>
      <c r="AS42" s="619"/>
      <c r="AT42" s="619"/>
      <c r="AU42" s="622"/>
      <c r="AV42" s="619"/>
      <c r="AW42" s="619"/>
      <c r="AX42" s="619"/>
      <c r="AY42" s="619"/>
      <c r="AZ42" s="622"/>
      <c r="BA42" s="619"/>
      <c r="BB42" s="619"/>
      <c r="BC42" s="619"/>
      <c r="BD42" s="619"/>
      <c r="BE42" s="622"/>
      <c r="BF42" s="619"/>
      <c r="BG42" s="619"/>
      <c r="BH42" s="619"/>
      <c r="BI42" s="619"/>
      <c r="BJ42" s="622"/>
      <c r="BK42" s="619"/>
      <c r="BL42" s="619"/>
      <c r="BM42" s="619"/>
      <c r="BN42" s="619"/>
      <c r="BO42" s="622"/>
      <c r="BP42" s="619"/>
      <c r="BQ42" s="619"/>
      <c r="BR42" s="619"/>
      <c r="BS42" s="619"/>
      <c r="BT42" s="622"/>
      <c r="BU42" s="619"/>
      <c r="BV42" s="619"/>
      <c r="BW42" s="619"/>
      <c r="BX42" s="619"/>
      <c r="BY42" s="622"/>
      <c r="BZ42" s="619"/>
      <c r="CA42" s="619"/>
      <c r="CB42" s="619"/>
      <c r="CC42" s="619"/>
      <c r="CD42" s="622"/>
      <c r="CE42" s="619"/>
      <c r="CF42" s="619"/>
      <c r="CG42" s="619"/>
      <c r="CH42" s="619"/>
      <c r="CI42" s="622"/>
      <c r="CJ42" s="619"/>
      <c r="CK42" s="619"/>
      <c r="CL42" s="619"/>
      <c r="CM42" s="619"/>
      <c r="CN42" s="622"/>
      <c r="CO42" s="619"/>
      <c r="CP42" s="619"/>
      <c r="CQ42" s="619"/>
      <c r="CR42" s="619"/>
      <c r="CS42" s="622"/>
      <c r="CT42" s="619"/>
      <c r="CU42" s="619"/>
      <c r="CV42" s="619"/>
      <c r="CW42" s="619"/>
      <c r="CX42" s="1051"/>
      <c r="CY42" s="624"/>
      <c r="CZ42" s="624"/>
      <c r="DA42" s="624"/>
      <c r="DB42" s="624"/>
      <c r="DC42" s="1051"/>
      <c r="DD42" s="624"/>
      <c r="DE42" s="624"/>
      <c r="DF42" s="624"/>
      <c r="DG42" s="624"/>
      <c r="DH42" s="1051"/>
      <c r="DI42" s="624"/>
      <c r="DJ42" s="624"/>
      <c r="DK42" s="624"/>
      <c r="DL42" s="624"/>
      <c r="DM42" s="1051"/>
      <c r="DN42" s="624">
        <v>59000</v>
      </c>
      <c r="DO42" s="624">
        <v>61000</v>
      </c>
      <c r="DP42" s="624">
        <v>61000</v>
      </c>
      <c r="DQ42" s="624">
        <v>73000</v>
      </c>
      <c r="DR42" s="829">
        <f>DQ42</f>
      </c>
      <c r="DS42" s="624">
        <v>71000</v>
      </c>
      <c r="DT42" s="624">
        <v>72000</v>
      </c>
      <c r="DU42" s="624">
        <v>75000</v>
      </c>
      <c r="DV42" s="624">
        <v>91000</v>
      </c>
      <c r="DW42" s="829">
        <f>DV42</f>
      </c>
      <c r="DX42" s="624">
        <v>89000</v>
      </c>
      <c r="DY42" s="624">
        <v>93000</v>
      </c>
      <c r="DZ42" s="624">
        <v>93000</v>
      </c>
      <c r="EA42" s="624">
        <v>111000</v>
      </c>
      <c r="EB42" s="829">
        <f>EA42</f>
      </c>
      <c r="EC42" s="624">
        <v>111000</v>
      </c>
      <c r="ED42" s="624">
        <v>117000</v>
      </c>
      <c r="EE42" s="624">
        <v>121000</v>
      </c>
      <c r="EF42" s="624">
        <v>146000</v>
      </c>
      <c r="EG42" s="829">
        <f>EF42</f>
      </c>
      <c r="EH42" s="624">
        <v>142000</v>
      </c>
      <c r="EI42" s="624">
        <v>152000</v>
      </c>
      <c r="EJ42" s="624">
        <v>160000</v>
      </c>
      <c r="EK42" s="624">
        <v>193000</v>
      </c>
      <c r="EL42" s="829">
        <f>EK42</f>
      </c>
      <c r="EM42" s="624">
        <v>183000</v>
      </c>
      <c r="EN42" s="624">
        <v>193000</v>
      </c>
      <c r="EO42" s="624">
        <v>201000</v>
      </c>
      <c r="EP42" s="624">
        <v>229000</v>
      </c>
      <c r="EQ42" s="829">
        <f>EP42</f>
      </c>
      <c r="ER42" s="624">
        <v>216000</v>
      </c>
      <c r="ES42" s="624">
        <v>229000</v>
      </c>
      <c r="ET42" s="981">
        <v>242000</v>
      </c>
      <c r="EU42" s="624">
        <v>275000</v>
      </c>
      <c r="EV42" s="829">
        <f>EU42</f>
      </c>
      <c r="EW42" s="981">
        <v>266000</v>
      </c>
      <c r="EX42" s="981">
        <v>304000</v>
      </c>
      <c r="EY42" s="981">
        <v>321000</v>
      </c>
      <c r="EZ42" s="981">
        <v>375000</v>
      </c>
      <c r="FA42" s="829">
        <f>EZ42</f>
      </c>
      <c r="FB42" s="820"/>
      <c r="FC42" s="820"/>
      <c r="FD42" s="820"/>
      <c r="FE42" s="820"/>
      <c r="FF42" s="830"/>
      <c r="FG42" s="820"/>
      <c r="FH42" s="820"/>
      <c r="FI42" s="820"/>
      <c r="FJ42" s="820"/>
      <c r="FK42" s="830"/>
      <c r="FL42" s="820"/>
      <c r="FM42" s="820"/>
      <c r="FN42" s="820"/>
      <c r="FO42" s="820"/>
      <c r="FP42" s="830"/>
      <c r="FQ42" s="820"/>
      <c r="FR42" s="820"/>
      <c r="FS42" s="820"/>
      <c r="FT42" s="820"/>
      <c r="FU42" s="830"/>
      <c r="FV42" s="820"/>
      <c r="FW42" s="820"/>
      <c r="FX42" s="820"/>
      <c r="FY42" s="820"/>
      <c r="FZ42" s="830"/>
      <c r="GA42" s="820"/>
      <c r="GB42" s="820"/>
      <c r="GC42" s="820"/>
      <c r="GD42" s="820"/>
      <c r="GE42" s="830"/>
      <c r="GF42" s="820"/>
      <c r="GG42" s="820"/>
      <c r="GH42" s="820"/>
      <c r="GI42" s="820"/>
      <c r="GJ42" s="830"/>
    </row>
    <row r="43" spans="1:192" s="1031" customFormat="1" ht="12.75" hidden="1" customHeight="1" outlineLevel="1">
      <c r="A43" s="1027"/>
      <c r="B43" s="727" t="s">
        <v>34</v>
      </c>
      <c r="C43" s="1028"/>
      <c r="D43" s="1028"/>
      <c r="E43" s="1028"/>
      <c r="F43" s="1028"/>
      <c r="G43" s="1029"/>
      <c r="H43" s="1028"/>
      <c r="I43" s="1028"/>
      <c r="J43" s="1028"/>
      <c r="K43" s="1028"/>
      <c r="L43" s="1029"/>
      <c r="M43" s="1028"/>
      <c r="N43" s="1028"/>
      <c r="O43" s="1028"/>
      <c r="P43" s="1028"/>
      <c r="Q43" s="1029"/>
      <c r="R43" s="1030"/>
      <c r="S43" s="1030"/>
      <c r="T43" s="1030"/>
      <c r="U43" s="1030"/>
      <c r="V43" s="1029"/>
      <c r="W43" s="1030"/>
      <c r="X43" s="1030"/>
      <c r="Y43" s="1030"/>
      <c r="Z43" s="1030"/>
      <c r="AA43" s="1029"/>
      <c r="AB43" s="1030"/>
      <c r="AC43" s="1030"/>
      <c r="AD43" s="1030"/>
      <c r="AE43" s="1030"/>
      <c r="AF43" s="1029"/>
      <c r="AG43" s="1030"/>
      <c r="AH43" s="1030"/>
      <c r="AI43" s="1030"/>
      <c r="AJ43" s="1030"/>
      <c r="AK43" s="1029"/>
      <c r="AL43" s="1028"/>
      <c r="AM43" s="1028"/>
      <c r="AN43" s="1028"/>
      <c r="AO43" s="1028"/>
      <c r="AP43" s="1029"/>
      <c r="AQ43" s="1028"/>
      <c r="AR43" s="1028"/>
      <c r="AS43" s="1028"/>
      <c r="AT43" s="1028"/>
      <c r="AU43" s="1029"/>
      <c r="AV43" s="1028"/>
      <c r="AW43" s="1028"/>
      <c r="AX43" s="1028"/>
      <c r="AY43" s="1028"/>
      <c r="AZ43" s="1029"/>
      <c r="BA43" s="1028"/>
      <c r="BB43" s="1028"/>
      <c r="BC43" s="1028"/>
      <c r="BD43" s="1028"/>
      <c r="BE43" s="1029"/>
      <c r="BF43" s="1028"/>
      <c r="BG43" s="1028"/>
      <c r="BH43" s="1028"/>
      <c r="BI43" s="1028"/>
      <c r="BJ43" s="1029"/>
      <c r="BK43" s="1028"/>
      <c r="BL43" s="1028"/>
      <c r="BM43" s="1028"/>
      <c r="BN43" s="1028"/>
      <c r="BO43" s="1029"/>
      <c r="BP43" s="1028"/>
      <c r="BQ43" s="1028"/>
      <c r="BR43" s="1028"/>
      <c r="BS43" s="1028"/>
      <c r="BT43" s="1029"/>
      <c r="BU43" s="1028"/>
      <c r="BV43" s="1028"/>
      <c r="BW43" s="1028"/>
      <c r="BX43" s="1028"/>
      <c r="BY43" s="1029"/>
      <c r="BZ43" s="1028"/>
      <c r="CA43" s="1028"/>
      <c r="CB43" s="1028"/>
      <c r="CC43" s="1028"/>
      <c r="CD43" s="1029"/>
      <c r="CE43" s="1028"/>
      <c r="CF43" s="1028"/>
      <c r="CG43" s="1028"/>
      <c r="CH43" s="1028"/>
      <c r="CI43" s="1029"/>
      <c r="CJ43" s="1028"/>
      <c r="CK43" s="1028"/>
      <c r="CL43" s="1028"/>
      <c r="CM43" s="1028"/>
      <c r="CN43" s="1029"/>
      <c r="CO43" s="1028"/>
      <c r="CP43" s="1028"/>
      <c r="CQ43" s="1028"/>
      <c r="CR43" s="1028"/>
      <c r="CS43" s="1029"/>
      <c r="CT43" s="1028"/>
      <c r="CU43" s="1028"/>
      <c r="CV43" s="1028"/>
      <c r="CW43" s="1028"/>
      <c r="CX43" s="1461"/>
      <c r="CY43" s="1462"/>
      <c r="CZ43" s="1462"/>
      <c r="DA43" s="1462"/>
      <c r="DB43" s="1462"/>
      <c r="DC43" s="1461"/>
      <c r="DD43" s="1462"/>
      <c r="DE43" s="1462"/>
      <c r="DF43" s="1462"/>
      <c r="DG43" s="1462"/>
      <c r="DH43" s="1461"/>
      <c r="DI43" s="1462"/>
      <c r="DJ43" s="1462"/>
      <c r="DK43" s="1462"/>
      <c r="DL43" s="1462"/>
      <c r="DM43" s="1461"/>
      <c r="DN43" s="1462"/>
      <c r="DO43" s="1462"/>
      <c r="DP43" s="1462"/>
      <c r="DQ43" s="1462"/>
      <c r="DR43" s="1461"/>
      <c r="DS43" s="1462">
        <f t="shared" ref="DS43:EY43" si="21">DS42/DN42-1</f>
      </c>
      <c r="DT43" s="1462">
        <f t="shared" si="21"/>
      </c>
      <c r="DU43" s="1462">
        <f t="shared" si="21"/>
      </c>
      <c r="DV43" s="1462">
        <f t="shared" si="21"/>
      </c>
      <c r="DW43" s="1461">
        <f t="shared" si="21"/>
      </c>
      <c r="DX43" s="1462">
        <f t="shared" si="21"/>
      </c>
      <c r="DY43" s="1462">
        <f t="shared" si="21"/>
      </c>
      <c r="DZ43" s="1462">
        <f t="shared" si="21"/>
      </c>
      <c r="EA43" s="1462">
        <f t="shared" si="21"/>
      </c>
      <c r="EB43" s="1461">
        <f t="shared" si="21"/>
      </c>
      <c r="EC43" s="1462">
        <f t="shared" si="21"/>
      </c>
      <c r="ED43" s="1462">
        <f t="shared" si="21"/>
      </c>
      <c r="EE43" s="1462">
        <f t="shared" si="21"/>
      </c>
      <c r="EF43" s="1462">
        <f t="shared" si="21"/>
      </c>
      <c r="EG43" s="1461">
        <f t="shared" si="21"/>
      </c>
      <c r="EH43" s="1462">
        <f t="shared" si="21"/>
      </c>
      <c r="EI43" s="1462">
        <f t="shared" si="21"/>
      </c>
      <c r="EJ43" s="1462">
        <f t="shared" si="21"/>
      </c>
      <c r="EK43" s="1462">
        <f t="shared" si="21"/>
      </c>
      <c r="EL43" s="1461">
        <f t="shared" si="21"/>
      </c>
      <c r="EM43" s="1462">
        <f t="shared" si="21"/>
      </c>
      <c r="EN43" s="1462">
        <f t="shared" si="21"/>
      </c>
      <c r="EO43" s="1462">
        <f t="shared" si="21"/>
      </c>
      <c r="EP43" s="1462">
        <f t="shared" si="21"/>
      </c>
      <c r="EQ43" s="1461">
        <f t="shared" si="21"/>
      </c>
      <c r="ER43" s="1462">
        <f t="shared" si="21"/>
      </c>
      <c r="ES43" s="1462">
        <f t="shared" si="21"/>
      </c>
      <c r="ET43" s="1462">
        <f t="shared" si="21"/>
      </c>
      <c r="EU43" s="1462">
        <f t="shared" si="21"/>
      </c>
      <c r="EV43" s="1461">
        <f t="shared" si="21"/>
      </c>
      <c r="EW43" s="1462">
        <f t="shared" si="21"/>
      </c>
      <c r="EX43" s="1462">
        <f t="shared" si="21"/>
      </c>
      <c r="EY43" s="1462">
        <f t="shared" si="21"/>
      </c>
      <c r="EZ43" s="1462">
        <f t="shared" ref="EZ43" si="22">EZ42/EU42-1</f>
      </c>
      <c r="FA43" s="1461">
        <f t="shared" ref="FA43" si="23">FA42/EV42-1</f>
      </c>
      <c r="FB43" s="1462"/>
      <c r="FC43" s="1462"/>
      <c r="FD43" s="1462"/>
      <c r="FE43" s="1462"/>
      <c r="FF43" s="1461"/>
      <c r="FG43" s="1462"/>
      <c r="FH43" s="1462"/>
      <c r="FI43" s="1462"/>
      <c r="FJ43" s="1462"/>
      <c r="FK43" s="1461"/>
      <c r="FL43" s="1462"/>
      <c r="FM43" s="1462"/>
      <c r="FN43" s="1462"/>
      <c r="FO43" s="1462"/>
      <c r="FP43" s="1461"/>
      <c r="FQ43" s="1462"/>
      <c r="FR43" s="1462"/>
      <c r="FS43" s="1462"/>
      <c r="FT43" s="1462"/>
      <c r="FU43" s="1461"/>
      <c r="FV43" s="1462"/>
      <c r="FW43" s="1462"/>
      <c r="FX43" s="1462"/>
      <c r="FY43" s="1462"/>
      <c r="FZ43" s="1461"/>
      <c r="GA43" s="1462"/>
      <c r="GB43" s="1462"/>
      <c r="GC43" s="1462"/>
      <c r="GD43" s="1462"/>
      <c r="GE43" s="1461"/>
      <c r="GF43" s="1462"/>
      <c r="GG43" s="1462"/>
      <c r="GH43" s="1462"/>
      <c r="GI43" s="1462"/>
      <c r="GJ43" s="1461"/>
    </row>
    <row r="44" spans="1:192" s="1031" customFormat="1" ht="12.75" hidden="1" customHeight="1" outlineLevel="1">
      <c r="A44" s="1027"/>
      <c r="B44" s="727" t="s">
        <v>36</v>
      </c>
      <c r="C44" s="1028"/>
      <c r="D44" s="1028"/>
      <c r="E44" s="1028"/>
      <c r="F44" s="1028"/>
      <c r="G44" s="1029"/>
      <c r="H44" s="1028"/>
      <c r="I44" s="1028"/>
      <c r="J44" s="1028"/>
      <c r="K44" s="1028"/>
      <c r="L44" s="1029"/>
      <c r="M44" s="1028"/>
      <c r="N44" s="1028"/>
      <c r="O44" s="1028"/>
      <c r="P44" s="1028"/>
      <c r="Q44" s="1029"/>
      <c r="R44" s="1030"/>
      <c r="S44" s="1030"/>
      <c r="T44" s="1030"/>
      <c r="U44" s="1030"/>
      <c r="V44" s="1029"/>
      <c r="W44" s="1030"/>
      <c r="X44" s="1030"/>
      <c r="Y44" s="1030"/>
      <c r="Z44" s="1030"/>
      <c r="AA44" s="1029"/>
      <c r="AB44" s="1030"/>
      <c r="AC44" s="1030"/>
      <c r="AD44" s="1030"/>
      <c r="AE44" s="1030"/>
      <c r="AF44" s="1029"/>
      <c r="AG44" s="1030"/>
      <c r="AH44" s="1030"/>
      <c r="AI44" s="1030"/>
      <c r="AJ44" s="1030"/>
      <c r="AK44" s="1029"/>
      <c r="AL44" s="1028"/>
      <c r="AM44" s="1028"/>
      <c r="AN44" s="1028"/>
      <c r="AO44" s="1028"/>
      <c r="AP44" s="1029"/>
      <c r="AQ44" s="1028"/>
      <c r="AR44" s="1028"/>
      <c r="AS44" s="1028"/>
      <c r="AT44" s="1028"/>
      <c r="AU44" s="1029"/>
      <c r="AV44" s="1028"/>
      <c r="AW44" s="1028"/>
      <c r="AX44" s="1028"/>
      <c r="AY44" s="1028"/>
      <c r="AZ44" s="1029"/>
      <c r="BA44" s="1028"/>
      <c r="BB44" s="1028"/>
      <c r="BC44" s="1028"/>
      <c r="BD44" s="1028"/>
      <c r="BE44" s="1029"/>
      <c r="BF44" s="1028"/>
      <c r="BG44" s="1028"/>
      <c r="BH44" s="1028"/>
      <c r="BI44" s="1028"/>
      <c r="BJ44" s="1029"/>
      <c r="BK44" s="1028"/>
      <c r="BL44" s="1028"/>
      <c r="BM44" s="1028"/>
      <c r="BN44" s="1028"/>
      <c r="BO44" s="1029"/>
      <c r="BP44" s="1028"/>
      <c r="BQ44" s="1028"/>
      <c r="BR44" s="1028"/>
      <c r="BS44" s="1028"/>
      <c r="BT44" s="1029"/>
      <c r="BU44" s="1028"/>
      <c r="BV44" s="1028"/>
      <c r="BW44" s="1028"/>
      <c r="BX44" s="1028"/>
      <c r="BY44" s="1029"/>
      <c r="BZ44" s="1028"/>
      <c r="CA44" s="1028"/>
      <c r="CB44" s="1028"/>
      <c r="CC44" s="1028"/>
      <c r="CD44" s="1029"/>
      <c r="CE44" s="1028"/>
      <c r="CF44" s="1028"/>
      <c r="CG44" s="1028"/>
      <c r="CH44" s="1028"/>
      <c r="CI44" s="1029"/>
      <c r="CJ44" s="1028"/>
      <c r="CK44" s="1028"/>
      <c r="CL44" s="1028"/>
      <c r="CM44" s="1028"/>
      <c r="CN44" s="1029"/>
      <c r="CO44" s="1028"/>
      <c r="CP44" s="1028"/>
      <c r="CQ44" s="1028"/>
      <c r="CR44" s="1028"/>
      <c r="CS44" s="1029"/>
      <c r="CT44" s="1028"/>
      <c r="CU44" s="1028"/>
      <c r="CV44" s="1028"/>
      <c r="CW44" s="1028"/>
      <c r="CX44" s="1461"/>
      <c r="CY44" s="1462"/>
      <c r="CZ44" s="1462"/>
      <c r="DA44" s="1462"/>
      <c r="DB44" s="1462"/>
      <c r="DC44" s="1461"/>
      <c r="DD44" s="1462"/>
      <c r="DE44" s="1462"/>
      <c r="DF44" s="1462"/>
      <c r="DG44" s="1462"/>
      <c r="DH44" s="1461"/>
      <c r="DI44" s="1462"/>
      <c r="DJ44" s="1462"/>
      <c r="DK44" s="1462"/>
      <c r="DL44" s="1462"/>
      <c r="DM44" s="1461"/>
      <c r="DN44" s="1462"/>
      <c r="DO44" s="1462">
        <f>DO42/DN42-1</f>
      </c>
      <c r="DP44" s="1462">
        <f>DP42/DO42-1</f>
      </c>
      <c r="DQ44" s="1462">
        <f>DQ42/DP42-1</f>
      </c>
      <c r="DR44" s="1461"/>
      <c r="DS44" s="1462">
        <f>DS42/DQ42-1</f>
      </c>
      <c r="DT44" s="1462">
        <f>DT42/DS42-1</f>
      </c>
      <c r="DU44" s="1462">
        <f>DU42/DT42-1</f>
      </c>
      <c r="DV44" s="1462">
        <f>DV42/DU42-1</f>
      </c>
      <c r="DW44" s="1461"/>
      <c r="DX44" s="1462">
        <f>DX42/DV42-1</f>
      </c>
      <c r="DY44" s="1462">
        <f>DY42/DX42-1</f>
      </c>
      <c r="DZ44" s="1462">
        <f>DZ42/DY42-1</f>
      </c>
      <c r="EA44" s="1462">
        <f>EA42/DZ42-1</f>
      </c>
      <c r="EB44" s="1461"/>
      <c r="EC44" s="1462">
        <f>EC42/EA42-1</f>
      </c>
      <c r="ED44" s="1462">
        <f>ED42/EC42-1</f>
      </c>
      <c r="EE44" s="1462">
        <f>EE42/ED42-1</f>
      </c>
      <c r="EF44" s="1462">
        <f>EF42/EE42-1</f>
      </c>
      <c r="EG44" s="1461"/>
      <c r="EH44" s="1462">
        <f>EH42/EF42-1</f>
      </c>
      <c r="EI44" s="1462">
        <f>EI42/EH42-1</f>
      </c>
      <c r="EJ44" s="1462">
        <f>EJ42/EI42-1</f>
      </c>
      <c r="EK44" s="1462">
        <f>EK42/EJ42-1</f>
      </c>
      <c r="EL44" s="1461"/>
      <c r="EM44" s="1462">
        <f>EM42/EK42-1</f>
      </c>
      <c r="EN44" s="1462">
        <f>EN42/EM42-1</f>
      </c>
      <c r="EO44" s="1462">
        <f>EO42/EN42-1</f>
      </c>
      <c r="EP44" s="1462">
        <f>EP42/EO42-1</f>
      </c>
      <c r="EQ44" s="1461"/>
      <c r="ER44" s="1462">
        <f>ER42/EP42-1</f>
      </c>
      <c r="ES44" s="1462">
        <f>ES42/ER42-1</f>
      </c>
      <c r="ET44" s="1462">
        <f>ET42/ES42-1</f>
      </c>
      <c r="EU44" s="1462">
        <f>EU42/ET42-1</f>
      </c>
      <c r="EV44" s="1461"/>
      <c r="EW44" s="1462">
        <f>EW42/EU42-1</f>
      </c>
      <c r="EX44" s="1462">
        <f>EX42/EW42-1</f>
      </c>
      <c r="EY44" s="1462">
        <f>EY42/EX42-1</f>
      </c>
      <c r="EZ44" s="1462">
        <f>EZ42/EY42-1</f>
      </c>
      <c r="FA44" s="1461"/>
      <c r="FB44" s="1462"/>
      <c r="FC44" s="1462"/>
      <c r="FD44" s="1462"/>
      <c r="FE44" s="1462"/>
      <c r="FF44" s="1461"/>
      <c r="FG44" s="1462"/>
      <c r="FH44" s="1462"/>
      <c r="FI44" s="1462"/>
      <c r="FJ44" s="1462"/>
      <c r="FK44" s="1461"/>
      <c r="FL44" s="1462"/>
      <c r="FM44" s="1462"/>
      <c r="FN44" s="1462"/>
      <c r="FO44" s="1462"/>
      <c r="FP44" s="1461"/>
      <c r="FQ44" s="1462"/>
      <c r="FR44" s="1462"/>
      <c r="FS44" s="1462"/>
      <c r="FT44" s="1462"/>
      <c r="FU44" s="1461"/>
      <c r="FV44" s="1462"/>
      <c r="FW44" s="1462"/>
      <c r="FX44" s="1462"/>
      <c r="FY44" s="1462"/>
      <c r="FZ44" s="1461"/>
      <c r="GA44" s="1462"/>
      <c r="GB44" s="1462"/>
      <c r="GC44" s="1462"/>
      <c r="GD44" s="1462"/>
      <c r="GE44" s="1461"/>
      <c r="GF44" s="1462"/>
      <c r="GG44" s="1462"/>
      <c r="GH44" s="1462"/>
      <c r="GI44" s="1462"/>
      <c r="GJ44" s="1461"/>
    </row>
    <row r="45" spans="1:192" s="819" customFormat="1" ht="12.75" hidden="1" customHeight="1" outlineLevel="1">
      <c r="A45" s="818"/>
      <c r="B45" s="1050" t="s">
        <v>444</v>
      </c>
      <c r="C45" s="914"/>
      <c r="D45" s="914"/>
      <c r="E45" s="914"/>
      <c r="F45" s="914"/>
      <c r="G45" s="1052"/>
      <c r="H45" s="914"/>
      <c r="I45" s="914"/>
      <c r="J45" s="914"/>
      <c r="K45" s="914"/>
      <c r="L45" s="1052"/>
      <c r="M45" s="914"/>
      <c r="N45" s="914"/>
      <c r="O45" s="914"/>
      <c r="P45" s="914"/>
      <c r="Q45" s="1052"/>
      <c r="R45" s="1053"/>
      <c r="S45" s="1053"/>
      <c r="T45" s="1053"/>
      <c r="U45" s="1053"/>
      <c r="V45" s="1052"/>
      <c r="W45" s="1053"/>
      <c r="X45" s="1053"/>
      <c r="Y45" s="1053"/>
      <c r="Z45" s="1053"/>
      <c r="AA45" s="1052"/>
      <c r="AB45" s="1053"/>
      <c r="AC45" s="1053"/>
      <c r="AD45" s="1053"/>
      <c r="AE45" s="1053"/>
      <c r="AF45" s="1052"/>
      <c r="AG45" s="1053"/>
      <c r="AH45" s="1053"/>
      <c r="AI45" s="1053"/>
      <c r="AJ45" s="1053"/>
      <c r="AK45" s="1052"/>
      <c r="AL45" s="914"/>
      <c r="AM45" s="914"/>
      <c r="AN45" s="914"/>
      <c r="AO45" s="914"/>
      <c r="AP45" s="1052"/>
      <c r="AQ45" s="914"/>
      <c r="AR45" s="914"/>
      <c r="AS45" s="914"/>
      <c r="AT45" s="914"/>
      <c r="AU45" s="1052"/>
      <c r="AV45" s="914"/>
      <c r="AW45" s="914"/>
      <c r="AX45" s="914"/>
      <c r="AY45" s="914"/>
      <c r="AZ45" s="1052"/>
      <c r="BA45" s="914"/>
      <c r="BB45" s="914"/>
      <c r="BC45" s="914"/>
      <c r="BD45" s="914"/>
      <c r="BE45" s="1052"/>
      <c r="BF45" s="914"/>
      <c r="BG45" s="914"/>
      <c r="BH45" s="914"/>
      <c r="BI45" s="914"/>
      <c r="BJ45" s="1052"/>
      <c r="BK45" s="914"/>
      <c r="BL45" s="914"/>
      <c r="BM45" s="914"/>
      <c r="BN45" s="914"/>
      <c r="BO45" s="1052"/>
      <c r="BP45" s="914"/>
      <c r="BQ45" s="914"/>
      <c r="BR45" s="914"/>
      <c r="BS45" s="914"/>
      <c r="BT45" s="1052"/>
      <c r="BU45" s="914"/>
      <c r="BV45" s="914"/>
      <c r="BW45" s="914"/>
      <c r="BX45" s="914"/>
      <c r="BY45" s="1052"/>
      <c r="BZ45" s="914"/>
      <c r="CA45" s="914"/>
      <c r="CB45" s="914"/>
      <c r="CC45" s="914"/>
      <c r="CD45" s="1052"/>
      <c r="CE45" s="914"/>
      <c r="CF45" s="914"/>
      <c r="CG45" s="914"/>
      <c r="CH45" s="914"/>
      <c r="CI45" s="1052"/>
      <c r="CJ45" s="914"/>
      <c r="CK45" s="914"/>
      <c r="CL45" s="914"/>
      <c r="CM45" s="914"/>
      <c r="CN45" s="1052"/>
      <c r="CO45" s="914"/>
      <c r="CP45" s="914"/>
      <c r="CQ45" s="914"/>
      <c r="CR45" s="914"/>
      <c r="CS45" s="1052"/>
      <c r="CT45" s="914"/>
      <c r="CU45" s="914"/>
      <c r="CV45" s="914"/>
      <c r="CW45" s="914"/>
      <c r="CX45" s="1054"/>
      <c r="CY45" s="1055"/>
      <c r="CZ45" s="1055"/>
      <c r="DA45" s="1055"/>
      <c r="DB45" s="1055"/>
      <c r="DC45" s="1054"/>
      <c r="DD45" s="1055"/>
      <c r="DE45" s="1055"/>
      <c r="DF45" s="1055"/>
      <c r="DG45" s="1055"/>
      <c r="DH45" s="1054"/>
      <c r="DI45" s="1055"/>
      <c r="DJ45" s="1055"/>
      <c r="DK45" s="1055"/>
      <c r="DL45" s="1055"/>
      <c r="DM45" s="1054"/>
      <c r="DN45" s="1055">
        <v>0.6</v>
      </c>
      <c r="DO45" s="1055">
        <v>0.6</v>
      </c>
      <c r="DP45" s="1055">
        <v>0.6</v>
      </c>
      <c r="DQ45" s="1055">
        <v>0.6</v>
      </c>
      <c r="DR45" s="915">
        <f>DQ45</f>
      </c>
      <c r="DS45" s="1055">
        <v>0.6</v>
      </c>
      <c r="DT45" s="1055">
        <v>0.6</v>
      </c>
      <c r="DU45" s="1055">
        <v>0.55000000000000004</v>
      </c>
      <c r="DV45" s="1055">
        <v>0.5</v>
      </c>
      <c r="DW45" s="915">
        <f>DV45</f>
      </c>
      <c r="DX45" s="1055">
        <v>0.5</v>
      </c>
      <c r="DY45" s="1055">
        <v>0.5</v>
      </c>
      <c r="DZ45" s="1055">
        <v>0.5</v>
      </c>
      <c r="EA45" s="1055">
        <v>0.5</v>
      </c>
      <c r="EB45" s="915">
        <f>EA45</f>
      </c>
      <c r="EC45" s="1055">
        <v>0.5</v>
      </c>
      <c r="ED45" s="1055">
        <v>0.5</v>
      </c>
      <c r="EE45" s="1055">
        <v>0.5</v>
      </c>
      <c r="EF45" s="1055">
        <v>0.5</v>
      </c>
      <c r="EG45" s="915">
        <f>EF45</f>
      </c>
      <c r="EH45" s="1055">
        <v>0.5</v>
      </c>
      <c r="EI45" s="1055">
        <v>0.45</v>
      </c>
      <c r="EJ45" s="1055">
        <v>0.5</v>
      </c>
      <c r="EK45" s="1055">
        <v>0.45</v>
      </c>
      <c r="EL45" s="915">
        <f>EK45</f>
      </c>
      <c r="EM45" s="1055">
        <v>0.45</v>
      </c>
      <c r="EN45" s="1055">
        <v>0.45</v>
      </c>
      <c r="EO45" s="1055">
        <v>0.45</v>
      </c>
      <c r="EP45" s="1055">
        <v>0.45</v>
      </c>
      <c r="EQ45" s="915">
        <f>EP45</f>
      </c>
      <c r="ER45" s="1055">
        <v>0.45</v>
      </c>
      <c r="ES45" s="1055">
        <v>0.45</v>
      </c>
      <c r="ET45" s="1406">
        <v>0.45</v>
      </c>
      <c r="EU45" s="1055">
        <v>0.45</v>
      </c>
      <c r="EV45" s="915">
        <f>EU45</f>
      </c>
      <c r="EW45" s="1406">
        <v>0.45</v>
      </c>
      <c r="EX45" s="1406">
        <v>0.4</v>
      </c>
      <c r="EY45" s="1406">
        <v>0.4</v>
      </c>
      <c r="EZ45" s="1406">
        <v>0.4</v>
      </c>
      <c r="FA45" s="1057"/>
      <c r="FB45" s="1056"/>
      <c r="FC45" s="1056"/>
      <c r="FD45" s="1056"/>
      <c r="FE45" s="1056"/>
      <c r="FF45" s="1057"/>
      <c r="FG45" s="1056"/>
      <c r="FH45" s="1056"/>
      <c r="FI45" s="1056"/>
      <c r="FJ45" s="1056"/>
      <c r="FK45" s="1057"/>
      <c r="FL45" s="1056"/>
      <c r="FM45" s="1056"/>
      <c r="FN45" s="1056"/>
      <c r="FO45" s="1056"/>
      <c r="FP45" s="1057"/>
      <c r="FQ45" s="1056"/>
      <c r="FR45" s="1056"/>
      <c r="FS45" s="1056"/>
      <c r="FT45" s="1056"/>
      <c r="FU45" s="1057"/>
      <c r="FV45" s="1056"/>
      <c r="FW45" s="1056"/>
      <c r="FX45" s="1056"/>
      <c r="FY45" s="1056"/>
      <c r="FZ45" s="1057"/>
      <c r="GA45" s="1056"/>
      <c r="GB45" s="1056"/>
      <c r="GC45" s="1056"/>
      <c r="GD45" s="1056"/>
      <c r="GE45" s="1057"/>
      <c r="GF45" s="1056"/>
      <c r="GG45" s="1056"/>
      <c r="GH45" s="1056"/>
      <c r="GI45" s="1056"/>
      <c r="GJ45" s="1057"/>
    </row>
    <row r="46" spans="1:192" s="490" customFormat="1" ht="12.75" hidden="1" customHeight="1" outlineLevel="1">
      <c r="B46" s="1058" t="s">
        <v>445</v>
      </c>
      <c r="C46" s="852"/>
      <c r="D46" s="852"/>
      <c r="E46" s="852"/>
      <c r="F46" s="852"/>
      <c r="G46" s="853"/>
      <c r="H46" s="852"/>
      <c r="I46" s="852"/>
      <c r="J46" s="852"/>
      <c r="K46" s="852"/>
      <c r="L46" s="853"/>
      <c r="M46" s="852"/>
      <c r="N46" s="852"/>
      <c r="O46" s="852"/>
      <c r="P46" s="852"/>
      <c r="Q46" s="853"/>
      <c r="R46" s="1049"/>
      <c r="S46" s="1049"/>
      <c r="T46" s="1049"/>
      <c r="U46" s="1049"/>
      <c r="V46" s="853"/>
      <c r="W46" s="1049"/>
      <c r="X46" s="1049"/>
      <c r="Y46" s="1049"/>
      <c r="Z46" s="1049"/>
      <c r="AA46" s="853"/>
      <c r="AB46" s="1049"/>
      <c r="AC46" s="1049"/>
      <c r="AD46" s="1049"/>
      <c r="AE46" s="1049"/>
      <c r="AF46" s="853"/>
      <c r="AG46" s="1049"/>
      <c r="AH46" s="1049"/>
      <c r="AI46" s="1049"/>
      <c r="AJ46" s="1049"/>
      <c r="AK46" s="853"/>
      <c r="AL46" s="852"/>
      <c r="AM46" s="852"/>
      <c r="AN46" s="852"/>
      <c r="AO46" s="852"/>
      <c r="AP46" s="853"/>
      <c r="AQ46" s="852"/>
      <c r="AR46" s="852"/>
      <c r="AS46" s="852"/>
      <c r="AT46" s="852"/>
      <c r="AU46" s="853"/>
      <c r="AV46" s="852"/>
      <c r="AW46" s="852"/>
      <c r="AX46" s="852"/>
      <c r="AY46" s="852"/>
      <c r="AZ46" s="853"/>
      <c r="BA46" s="852"/>
      <c r="BB46" s="852"/>
      <c r="BC46" s="852"/>
      <c r="BD46" s="852"/>
      <c r="BE46" s="853"/>
      <c r="BF46" s="852"/>
      <c r="BG46" s="852"/>
      <c r="BH46" s="852"/>
      <c r="BI46" s="852"/>
      <c r="BJ46" s="853"/>
      <c r="BK46" s="852"/>
      <c r="BL46" s="852"/>
      <c r="BM46" s="852"/>
      <c r="BN46" s="852"/>
      <c r="BO46" s="853"/>
      <c r="BP46" s="852"/>
      <c r="BQ46" s="852"/>
      <c r="BR46" s="852"/>
      <c r="BS46" s="852"/>
      <c r="BT46" s="853"/>
      <c r="BU46" s="852"/>
      <c r="BV46" s="852"/>
      <c r="BW46" s="852"/>
      <c r="BX46" s="852"/>
      <c r="BY46" s="853"/>
      <c r="BZ46" s="852"/>
      <c r="CA46" s="852"/>
      <c r="CB46" s="852"/>
      <c r="CC46" s="852"/>
      <c r="CD46" s="853"/>
      <c r="CE46" s="852"/>
      <c r="CF46" s="852"/>
      <c r="CG46" s="852"/>
      <c r="CH46" s="852"/>
      <c r="CI46" s="853"/>
      <c r="CJ46" s="852"/>
      <c r="CK46" s="852"/>
      <c r="CL46" s="852"/>
      <c r="CM46" s="852"/>
      <c r="CN46" s="853"/>
      <c r="CO46" s="852"/>
      <c r="CP46" s="852"/>
      <c r="CQ46" s="852"/>
      <c r="CR46" s="852"/>
      <c r="CS46" s="853"/>
      <c r="CT46" s="852"/>
      <c r="CU46" s="852"/>
      <c r="CV46" s="852"/>
      <c r="CW46" s="852"/>
      <c r="CX46" s="853"/>
      <c r="CY46" s="852"/>
      <c r="CZ46" s="852"/>
      <c r="DA46" s="852"/>
      <c r="DB46" s="852"/>
      <c r="DC46" s="853"/>
      <c r="DD46" s="852"/>
      <c r="DE46" s="852"/>
      <c r="DF46" s="852"/>
      <c r="DG46" s="852"/>
      <c r="DH46" s="853"/>
      <c r="DI46" s="852"/>
      <c r="DJ46" s="852"/>
      <c r="DK46" s="852"/>
      <c r="DL46" s="852"/>
      <c r="DM46" s="853"/>
      <c r="DN46" s="852">
        <f t="shared" ref="DN46:ES46" si="24">DN42*DN45</f>
      </c>
      <c r="DO46" s="852">
        <f t="shared" si="24"/>
      </c>
      <c r="DP46" s="852">
        <f t="shared" si="24"/>
      </c>
      <c r="DQ46" s="852">
        <f t="shared" si="24"/>
      </c>
      <c r="DR46" s="853">
        <f t="shared" si="24"/>
      </c>
      <c r="DS46" s="852">
        <f t="shared" si="24"/>
      </c>
      <c r="DT46" s="852">
        <f t="shared" si="24"/>
      </c>
      <c r="DU46" s="852">
        <f t="shared" si="24"/>
      </c>
      <c r="DV46" s="852">
        <f t="shared" si="24"/>
      </c>
      <c r="DW46" s="853">
        <f t="shared" si="24"/>
      </c>
      <c r="DX46" s="852">
        <f t="shared" si="24"/>
      </c>
      <c r="DY46" s="852">
        <f t="shared" si="24"/>
      </c>
      <c r="DZ46" s="852">
        <f t="shared" si="24"/>
      </c>
      <c r="EA46" s="852">
        <f t="shared" si="24"/>
      </c>
      <c r="EB46" s="853">
        <f t="shared" si="24"/>
      </c>
      <c r="EC46" s="852">
        <f t="shared" si="24"/>
      </c>
      <c r="ED46" s="852">
        <f t="shared" si="24"/>
      </c>
      <c r="EE46" s="852">
        <f t="shared" si="24"/>
      </c>
      <c r="EF46" s="852">
        <f t="shared" si="24"/>
      </c>
      <c r="EG46" s="853">
        <f t="shared" si="24"/>
      </c>
      <c r="EH46" s="852">
        <f t="shared" si="24"/>
      </c>
      <c r="EI46" s="852">
        <f t="shared" si="24"/>
      </c>
      <c r="EJ46" s="852">
        <f t="shared" si="24"/>
      </c>
      <c r="EK46" s="852">
        <f t="shared" si="24"/>
      </c>
      <c r="EL46" s="853">
        <f t="shared" si="24"/>
      </c>
      <c r="EM46" s="852">
        <f t="shared" si="24"/>
      </c>
      <c r="EN46" s="852">
        <f t="shared" si="24"/>
      </c>
      <c r="EO46" s="852">
        <f t="shared" si="24"/>
      </c>
      <c r="EP46" s="852">
        <f t="shared" si="24"/>
      </c>
      <c r="EQ46" s="853">
        <f t="shared" si="24"/>
      </c>
      <c r="ER46" s="852">
        <f t="shared" si="24"/>
      </c>
      <c r="ES46" s="852">
        <f t="shared" si="24"/>
      </c>
      <c r="ET46" s="852">
        <f>ET42*ET45</f>
      </c>
      <c r="EU46" s="852">
        <f>EU42*EU45</f>
      </c>
      <c r="EV46" s="853">
        <f>EV42*EV45</f>
      </c>
      <c r="EW46" s="852">
        <f t="shared" ref="EW46:EY46" si="25">EW42*EW45</f>
      </c>
      <c r="EX46" s="852">
        <f t="shared" si="25"/>
      </c>
      <c r="EY46" s="852">
        <f t="shared" si="25"/>
      </c>
      <c r="EZ46" s="852">
        <f>EZ42*EZ45</f>
      </c>
      <c r="FA46" s="853">
        <f>FA42*FA45</f>
      </c>
      <c r="FB46" s="852"/>
      <c r="FC46" s="852"/>
      <c r="FD46" s="852"/>
      <c r="FE46" s="852"/>
      <c r="FF46" s="853"/>
      <c r="FG46" s="852"/>
      <c r="FH46" s="852"/>
      <c r="FI46" s="852"/>
      <c r="FJ46" s="852"/>
      <c r="FK46" s="853"/>
      <c r="FL46" s="852"/>
      <c r="FM46" s="852"/>
      <c r="FN46" s="852"/>
      <c r="FO46" s="852"/>
      <c r="FP46" s="853"/>
      <c r="FQ46" s="852"/>
      <c r="FR46" s="852"/>
      <c r="FS46" s="852"/>
      <c r="FT46" s="852"/>
      <c r="FU46" s="853"/>
      <c r="FV46" s="852"/>
      <c r="FW46" s="852"/>
      <c r="FX46" s="852"/>
      <c r="FY46" s="852"/>
      <c r="FZ46" s="853"/>
      <c r="GA46" s="852"/>
      <c r="GB46" s="852"/>
      <c r="GC46" s="852"/>
      <c r="GD46" s="852"/>
      <c r="GE46" s="853"/>
      <c r="GF46" s="852"/>
      <c r="GG46" s="852"/>
      <c r="GH46" s="852"/>
      <c r="GI46" s="852"/>
      <c r="GJ46" s="853"/>
    </row>
    <row r="47" spans="1:192" s="335" customFormat="1" ht="12.75" customHeight="1" collapsed="1">
      <c r="A47" s="68"/>
      <c r="B47" s="310"/>
      <c r="C47" s="291"/>
      <c r="D47" s="107"/>
      <c r="E47" s="107"/>
      <c r="F47" s="107"/>
      <c r="G47" s="336"/>
      <c r="H47" s="291"/>
      <c r="I47" s="107"/>
      <c r="J47" s="107"/>
      <c r="K47" s="107"/>
      <c r="L47" s="336"/>
      <c r="M47" s="291"/>
      <c r="N47" s="107"/>
      <c r="O47" s="107"/>
      <c r="P47" s="107"/>
      <c r="Q47" s="336"/>
      <c r="R47" s="349"/>
      <c r="S47" s="468"/>
      <c r="T47" s="468"/>
      <c r="U47" s="468"/>
      <c r="V47" s="336"/>
      <c r="W47" s="349"/>
      <c r="X47" s="468"/>
      <c r="Y47" s="468"/>
      <c r="Z47" s="468"/>
      <c r="AA47" s="336"/>
      <c r="AB47" s="349"/>
      <c r="AC47" s="468"/>
      <c r="AD47" s="468"/>
      <c r="AE47" s="468"/>
      <c r="AF47" s="336"/>
      <c r="AG47" s="349"/>
      <c r="AH47" s="468"/>
      <c r="AI47" s="468"/>
      <c r="AJ47" s="468"/>
      <c r="AK47" s="336"/>
      <c r="AL47" s="291"/>
      <c r="AM47" s="107"/>
      <c r="AN47" s="107"/>
      <c r="AO47" s="107"/>
      <c r="AP47" s="336"/>
      <c r="AQ47" s="291"/>
      <c r="AR47" s="107"/>
      <c r="AS47" s="107"/>
      <c r="AT47" s="107"/>
      <c r="AU47" s="336"/>
      <c r="AV47" s="291"/>
      <c r="AW47" s="107"/>
      <c r="AX47" s="107"/>
      <c r="AY47" s="107"/>
      <c r="AZ47" s="336"/>
      <c r="BA47" s="291"/>
      <c r="BB47" s="107"/>
      <c r="BC47" s="107"/>
      <c r="BD47" s="107"/>
      <c r="BE47" s="336"/>
      <c r="BF47" s="291"/>
      <c r="BG47" s="107"/>
      <c r="BH47" s="107"/>
      <c r="BI47" s="107"/>
      <c r="BJ47" s="336"/>
      <c r="BK47" s="291"/>
      <c r="BL47" s="107"/>
      <c r="BM47" s="107"/>
      <c r="BN47" s="107"/>
      <c r="BO47" s="336"/>
      <c r="BP47" s="291"/>
      <c r="BQ47" s="107"/>
      <c r="BR47" s="107"/>
      <c r="BS47" s="107"/>
      <c r="BT47" s="336"/>
      <c r="BU47" s="291"/>
      <c r="BV47" s="107"/>
      <c r="BW47" s="107"/>
      <c r="BX47" s="107"/>
      <c r="BY47" s="336"/>
      <c r="BZ47" s="291"/>
      <c r="CA47" s="107"/>
      <c r="CB47" s="107"/>
      <c r="CC47" s="107"/>
      <c r="CD47" s="336"/>
      <c r="CE47" s="291"/>
      <c r="CF47" s="107"/>
      <c r="CG47" s="107"/>
      <c r="CH47" s="107"/>
      <c r="CI47" s="336"/>
      <c r="CJ47" s="291"/>
      <c r="CK47" s="107"/>
      <c r="CL47" s="107"/>
      <c r="CM47" s="107"/>
      <c r="CN47" s="336"/>
      <c r="CO47" s="291"/>
      <c r="CP47" s="107"/>
      <c r="CQ47" s="107"/>
      <c r="CR47" s="107"/>
      <c r="CS47" s="336"/>
      <c r="CT47" s="291"/>
      <c r="CU47" s="107"/>
      <c r="CV47" s="107"/>
      <c r="CW47" s="107"/>
      <c r="CX47" s="336"/>
      <c r="CY47" s="291"/>
      <c r="CZ47" s="107"/>
      <c r="DA47" s="107"/>
      <c r="DB47" s="107"/>
      <c r="DC47" s="336"/>
      <c r="DD47" s="291"/>
      <c r="DE47" s="107"/>
      <c r="DF47" s="107"/>
      <c r="DG47" s="107"/>
      <c r="DH47" s="336"/>
      <c r="DI47" s="291"/>
      <c r="DJ47" s="107"/>
      <c r="DK47" s="107"/>
      <c r="DL47" s="107"/>
      <c r="DM47" s="336"/>
      <c r="DN47" s="291"/>
      <c r="DO47" s="107"/>
      <c r="DP47" s="107"/>
      <c r="DQ47" s="107"/>
      <c r="DR47" s="336"/>
      <c r="DS47" s="291"/>
      <c r="DT47" s="107"/>
      <c r="DU47" s="107"/>
      <c r="DV47" s="107"/>
      <c r="DW47" s="336"/>
      <c r="DX47" s="291"/>
      <c r="DY47" s="107"/>
      <c r="DZ47" s="107"/>
      <c r="EA47" s="107"/>
      <c r="EB47" s="336"/>
      <c r="EC47" s="291"/>
      <c r="ED47" s="107"/>
      <c r="EE47" s="107"/>
      <c r="EF47" s="107"/>
      <c r="EG47" s="336"/>
      <c r="EH47" s="349"/>
      <c r="EI47" s="107"/>
      <c r="EJ47" s="107"/>
      <c r="EK47" s="107"/>
      <c r="EL47" s="337"/>
      <c r="EM47" s="291"/>
      <c r="EN47" s="107"/>
      <c r="EO47" s="107"/>
      <c r="EP47" s="107"/>
      <c r="EQ47" s="337"/>
      <c r="ER47" s="291"/>
      <c r="ES47" s="107"/>
      <c r="ET47" s="107"/>
      <c r="EU47" s="107"/>
      <c r="EV47" s="337"/>
      <c r="EW47" s="291"/>
      <c r="EX47" s="107"/>
      <c r="EY47" s="107"/>
      <c r="EZ47" s="107"/>
      <c r="FA47" s="337"/>
      <c r="FB47" s="291"/>
      <c r="FC47" s="107"/>
      <c r="FD47" s="107"/>
      <c r="FE47" s="107"/>
      <c r="FF47" s="336"/>
      <c r="FG47" s="291"/>
      <c r="FH47" s="107"/>
      <c r="FI47" s="107"/>
      <c r="FJ47" s="107"/>
      <c r="FK47" s="336"/>
      <c r="FL47" s="291"/>
      <c r="FM47" s="107"/>
      <c r="FN47" s="107"/>
      <c r="FO47" s="107"/>
      <c r="FP47" s="336"/>
      <c r="FQ47" s="291"/>
      <c r="FR47" s="107"/>
      <c r="FS47" s="107"/>
      <c r="FT47" s="107"/>
      <c r="FU47" s="336"/>
      <c r="FV47" s="291"/>
      <c r="FW47" s="107"/>
      <c r="FX47" s="107"/>
      <c r="FY47" s="107"/>
      <c r="FZ47" s="336"/>
      <c r="GA47" s="291"/>
      <c r="GB47" s="107"/>
      <c r="GC47" s="107"/>
      <c r="GD47" s="107"/>
      <c r="GE47" s="336"/>
      <c r="GF47" s="291"/>
      <c r="GG47" s="107"/>
      <c r="GH47" s="107"/>
      <c r="GI47" s="107"/>
      <c r="GJ47" s="336"/>
    </row>
    <row r="48" spans="1:192" ht="12.75" customHeight="1">
      <c r="A48" s="68" t="s">
        <v>384</v>
      </c>
      <c r="B48" s="998" t="s">
        <v>123</v>
      </c>
      <c r="C48" s="299"/>
      <c r="D48" s="299"/>
      <c r="E48" s="299"/>
      <c r="F48" s="299"/>
      <c r="G48" s="300"/>
      <c r="H48" s="299"/>
      <c r="I48" s="299"/>
      <c r="J48" s="299"/>
      <c r="K48" s="299"/>
      <c r="L48" s="300"/>
      <c r="M48" s="299"/>
      <c r="N48" s="299"/>
      <c r="O48" s="299"/>
      <c r="P48" s="299"/>
      <c r="Q48" s="300"/>
      <c r="R48" s="976"/>
      <c r="S48" s="976"/>
      <c r="T48" s="976"/>
      <c r="U48" s="976"/>
      <c r="V48" s="300"/>
      <c r="W48" s="976"/>
      <c r="X48" s="976"/>
      <c r="Y48" s="976"/>
      <c r="Z48" s="976"/>
      <c r="AA48" s="300"/>
      <c r="AB48" s="976"/>
      <c r="AC48" s="976"/>
      <c r="AD48" s="976"/>
      <c r="AE48" s="976"/>
      <c r="AF48" s="300"/>
      <c r="AG48" s="976"/>
      <c r="AH48" s="976"/>
      <c r="AI48" s="976"/>
      <c r="AJ48" s="976"/>
      <c r="AK48" s="300"/>
      <c r="AL48" s="299"/>
      <c r="AM48" s="299"/>
      <c r="AN48" s="299"/>
      <c r="AO48" s="299"/>
      <c r="AP48" s="300"/>
      <c r="AQ48" s="299"/>
      <c r="AR48" s="299"/>
      <c r="AS48" s="299"/>
      <c r="AT48" s="299"/>
      <c r="AU48" s="300"/>
      <c r="AV48" s="299"/>
      <c r="AW48" s="299"/>
      <c r="AX48" s="299"/>
      <c r="AY48" s="299"/>
      <c r="AZ48" s="300"/>
      <c r="BA48" s="299"/>
      <c r="BB48" s="299"/>
      <c r="BC48" s="299"/>
      <c r="BD48" s="299"/>
      <c r="BE48" s="300"/>
      <c r="BF48" s="299"/>
      <c r="BG48" s="299"/>
      <c r="BH48" s="299"/>
      <c r="BI48" s="299"/>
      <c r="BJ48" s="300"/>
      <c r="BK48" s="299"/>
      <c r="BL48" s="299"/>
      <c r="BM48" s="299"/>
      <c r="BN48" s="299"/>
      <c r="BO48" s="300"/>
      <c r="BP48" s="299"/>
      <c r="BQ48" s="299"/>
      <c r="BR48" s="299"/>
      <c r="BS48" s="299"/>
      <c r="BT48" s="300"/>
      <c r="BU48" s="299"/>
      <c r="BV48" s="299"/>
      <c r="BW48" s="299"/>
      <c r="BX48" s="299"/>
      <c r="BY48" s="300"/>
      <c r="BZ48" s="299"/>
      <c r="CA48" s="299"/>
      <c r="CB48" s="299"/>
      <c r="CC48" s="299"/>
      <c r="CD48" s="300"/>
      <c r="CE48" s="299"/>
      <c r="CF48" s="299"/>
      <c r="CG48" s="299"/>
      <c r="CH48" s="299"/>
      <c r="CI48" s="300"/>
      <c r="CJ48" s="299"/>
      <c r="CK48" s="299"/>
      <c r="CL48" s="299"/>
      <c r="CM48" s="299"/>
      <c r="CN48" s="300"/>
      <c r="CO48" s="299"/>
      <c r="CP48" s="299"/>
      <c r="CQ48" s="299"/>
      <c r="CR48" s="299"/>
      <c r="CS48" s="300"/>
      <c r="CT48" s="299"/>
      <c r="CU48" s="299"/>
      <c r="CV48" s="299"/>
      <c r="CW48" s="299"/>
      <c r="CX48" s="300"/>
      <c r="CY48" s="299"/>
      <c r="CZ48" s="299"/>
      <c r="DA48" s="299"/>
      <c r="DB48" s="299"/>
      <c r="DC48" s="300"/>
      <c r="DD48" s="299"/>
      <c r="DE48" s="299"/>
      <c r="DF48" s="299"/>
      <c r="DG48" s="299"/>
      <c r="DH48" s="300"/>
      <c r="DI48" s="299"/>
      <c r="DJ48" s="299"/>
      <c r="DK48" s="299"/>
      <c r="DL48" s="299"/>
      <c r="DM48" s="300"/>
      <c r="DN48" s="299"/>
      <c r="DO48" s="299"/>
      <c r="DP48" s="299"/>
      <c r="DQ48" s="299"/>
      <c r="DR48" s="300"/>
      <c r="DS48" s="299"/>
      <c r="DT48" s="299"/>
      <c r="DU48" s="299"/>
      <c r="DV48" s="299"/>
      <c r="DW48" s="300"/>
      <c r="DX48" s="299"/>
      <c r="DY48" s="299"/>
      <c r="DZ48" s="299"/>
      <c r="EA48" s="299"/>
      <c r="EB48" s="300"/>
      <c r="EC48" s="299"/>
      <c r="ED48" s="299"/>
      <c r="EE48" s="299"/>
      <c r="EF48" s="299"/>
      <c r="EG48" s="300"/>
      <c r="EH48" s="333"/>
      <c r="EI48" s="305"/>
      <c r="EJ48" s="305"/>
      <c r="EK48" s="305"/>
      <c r="EL48" s="306"/>
      <c r="EM48" s="305"/>
      <c r="EN48" s="305"/>
      <c r="EO48" s="305"/>
      <c r="EP48" s="305"/>
      <c r="EQ48" s="306"/>
      <c r="ER48" s="299"/>
      <c r="ES48" s="299"/>
      <c r="ET48" s="305"/>
      <c r="EU48" s="305"/>
      <c r="EV48" s="306"/>
      <c r="EW48" s="299"/>
      <c r="EX48" s="299"/>
      <c r="EY48" s="299"/>
      <c r="EZ48" s="305"/>
      <c r="FA48" s="306"/>
      <c r="FB48" s="299"/>
      <c r="FC48" s="299"/>
      <c r="FD48" s="299"/>
      <c r="FE48" s="299"/>
      <c r="FF48" s="300"/>
      <c r="FG48" s="299"/>
      <c r="FH48" s="299"/>
      <c r="FI48" s="299"/>
      <c r="FJ48" s="299"/>
      <c r="FK48" s="300"/>
      <c r="FL48" s="299"/>
      <c r="FM48" s="299"/>
      <c r="FN48" s="299"/>
      <c r="FO48" s="299"/>
      <c r="FP48" s="300"/>
      <c r="FQ48" s="299"/>
      <c r="FR48" s="299"/>
      <c r="FS48" s="299"/>
      <c r="FT48" s="299"/>
      <c r="FU48" s="300"/>
      <c r="FV48" s="299"/>
      <c r="FW48" s="299"/>
      <c r="FX48" s="299"/>
      <c r="FY48" s="299"/>
      <c r="FZ48" s="300"/>
      <c r="GA48" s="299"/>
      <c r="GB48" s="299"/>
      <c r="GC48" s="299"/>
      <c r="GD48" s="299"/>
      <c r="GE48" s="300"/>
      <c r="GF48" s="299"/>
      <c r="GG48" s="299"/>
      <c r="GH48" s="299"/>
      <c r="GI48" s="299"/>
      <c r="GJ48" s="300"/>
    </row>
    <row r="49" spans="1:192" s="461" customFormat="1" ht="12.75" customHeight="1" outlineLevel="1">
      <c r="A49" s="68" t="s">
        <v>385</v>
      </c>
      <c r="B49" s="975" t="s">
        <v>219</v>
      </c>
      <c r="C49" s="624"/>
      <c r="D49" s="624"/>
      <c r="E49" s="624"/>
      <c r="F49" s="624"/>
      <c r="G49" s="622"/>
      <c r="H49" s="624"/>
      <c r="I49" s="624"/>
      <c r="J49" s="624"/>
      <c r="K49" s="624"/>
      <c r="L49" s="622"/>
      <c r="M49" s="624"/>
      <c r="N49" s="624"/>
      <c r="O49" s="624"/>
      <c r="P49" s="624"/>
      <c r="Q49" s="622"/>
      <c r="R49" s="981"/>
      <c r="S49" s="981"/>
      <c r="T49" s="981"/>
      <c r="U49" s="981"/>
      <c r="V49" s="622"/>
      <c r="W49" s="981"/>
      <c r="X49" s="981"/>
      <c r="Y49" s="981"/>
      <c r="Z49" s="981"/>
      <c r="AA49" s="622"/>
      <c r="AB49" s="981"/>
      <c r="AC49" s="981"/>
      <c r="AD49" s="981"/>
      <c r="AE49" s="981"/>
      <c r="AF49" s="622"/>
      <c r="AG49" s="981"/>
      <c r="AH49" s="981"/>
      <c r="AI49" s="981"/>
      <c r="AJ49" s="981"/>
      <c r="AK49" s="622"/>
      <c r="AL49" s="624"/>
      <c r="AM49" s="624"/>
      <c r="AN49" s="624"/>
      <c r="AO49" s="624"/>
      <c r="AP49" s="622"/>
      <c r="AQ49" s="624"/>
      <c r="AR49" s="624"/>
      <c r="AS49" s="624"/>
      <c r="AT49" s="624"/>
      <c r="AU49" s="622"/>
      <c r="AV49" s="624"/>
      <c r="AW49" s="624"/>
      <c r="AX49" s="624"/>
      <c r="AY49" s="624"/>
      <c r="AZ49" s="622"/>
      <c r="BA49" s="624"/>
      <c r="BB49" s="624"/>
      <c r="BC49" s="624"/>
      <c r="BD49" s="624"/>
      <c r="BE49" s="622"/>
      <c r="BF49" s="624"/>
      <c r="BG49" s="624"/>
      <c r="BH49" s="624"/>
      <c r="BI49" s="624"/>
      <c r="BJ49" s="622"/>
      <c r="BK49" s="624"/>
      <c r="BL49" s="624"/>
      <c r="BM49" s="624"/>
      <c r="BN49" s="624"/>
      <c r="BO49" s="622"/>
      <c r="BP49" s="624"/>
      <c r="BQ49" s="624"/>
      <c r="BR49" s="624"/>
      <c r="BS49" s="624"/>
      <c r="BT49" s="622"/>
      <c r="BU49" s="624"/>
      <c r="BV49" s="624"/>
      <c r="BW49" s="624"/>
      <c r="BX49" s="624"/>
      <c r="BY49" s="622"/>
      <c r="BZ49" s="624"/>
      <c r="CA49" s="624"/>
      <c r="CB49" s="624"/>
      <c r="CC49" s="624"/>
      <c r="CD49" s="622"/>
      <c r="CE49" s="624"/>
      <c r="CF49" s="624"/>
      <c r="CG49" s="624"/>
      <c r="CH49" s="624"/>
      <c r="CI49" s="622"/>
      <c r="CJ49" s="624"/>
      <c r="CK49" s="624"/>
      <c r="CL49" s="624"/>
      <c r="CM49" s="624"/>
      <c r="CN49" s="622"/>
      <c r="CO49" s="624"/>
      <c r="CP49" s="624"/>
      <c r="CQ49" s="624"/>
      <c r="CR49" s="624"/>
      <c r="CS49" s="622"/>
      <c r="CT49" s="624"/>
      <c r="CU49" s="624"/>
      <c r="CV49" s="624"/>
      <c r="CW49" s="624"/>
      <c r="CX49" s="622"/>
      <c r="CY49" s="624"/>
      <c r="CZ49" s="624"/>
      <c r="DA49" s="624"/>
      <c r="DB49" s="624"/>
      <c r="DC49" s="622"/>
      <c r="DD49" s="619">
        <f t="shared" ref="DD49:ES49" si="26">DD26</f>
      </c>
      <c r="DE49" s="619">
        <f t="shared" si="26"/>
      </c>
      <c r="DF49" s="619">
        <f t="shared" si="26"/>
      </c>
      <c r="DG49" s="619">
        <f t="shared" si="26"/>
      </c>
      <c r="DH49" s="622">
        <f t="shared" si="26"/>
      </c>
      <c r="DI49" s="619">
        <f t="shared" si="26"/>
      </c>
      <c r="DJ49" s="619">
        <f t="shared" si="26"/>
      </c>
      <c r="DK49" s="619">
        <f t="shared" si="26"/>
      </c>
      <c r="DL49" s="619">
        <f t="shared" si="26"/>
      </c>
      <c r="DM49" s="622">
        <f t="shared" si="26"/>
      </c>
      <c r="DN49" s="619">
        <f t="shared" si="26"/>
      </c>
      <c r="DO49" s="619">
        <f t="shared" si="26"/>
      </c>
      <c r="DP49" s="619">
        <f t="shared" si="26"/>
      </c>
      <c r="DQ49" s="619">
        <f t="shared" si="26"/>
      </c>
      <c r="DR49" s="622">
        <f t="shared" si="26"/>
      </c>
      <c r="DS49" s="619">
        <f t="shared" si="26"/>
      </c>
      <c r="DT49" s="619">
        <f t="shared" si="26"/>
      </c>
      <c r="DU49" s="619">
        <f t="shared" si="26"/>
      </c>
      <c r="DV49" s="619">
        <f t="shared" si="26"/>
      </c>
      <c r="DW49" s="622">
        <f t="shared" si="26"/>
      </c>
      <c r="DX49" s="619">
        <f t="shared" si="26"/>
      </c>
      <c r="DY49" s="619">
        <f t="shared" si="26"/>
      </c>
      <c r="DZ49" s="619">
        <f t="shared" si="26"/>
      </c>
      <c r="EA49" s="619">
        <f t="shared" si="26"/>
      </c>
      <c r="EB49" s="622">
        <f t="shared" si="26"/>
      </c>
      <c r="EC49" s="619">
        <f t="shared" si="26"/>
      </c>
      <c r="ED49" s="619">
        <f t="shared" si="26"/>
      </c>
      <c r="EE49" s="619">
        <f t="shared" si="26"/>
      </c>
      <c r="EF49" s="619">
        <f t="shared" si="26"/>
      </c>
      <c r="EG49" s="622">
        <f t="shared" si="26"/>
      </c>
      <c r="EH49" s="619">
        <f t="shared" si="26"/>
      </c>
      <c r="EI49" s="619">
        <f t="shared" si="26"/>
      </c>
      <c r="EJ49" s="619">
        <f t="shared" si="26"/>
      </c>
      <c r="EK49" s="619">
        <f t="shared" si="26"/>
      </c>
      <c r="EL49" s="622">
        <f t="shared" si="26"/>
      </c>
      <c r="EM49" s="619">
        <f t="shared" si="26"/>
      </c>
      <c r="EN49" s="619">
        <f t="shared" si="26"/>
      </c>
      <c r="EO49" s="619">
        <f t="shared" si="26"/>
      </c>
      <c r="EP49" s="619">
        <f t="shared" si="26"/>
      </c>
      <c r="EQ49" s="622">
        <f t="shared" si="26"/>
      </c>
      <c r="ER49" s="619">
        <f t="shared" si="26"/>
      </c>
      <c r="ES49" s="619">
        <f t="shared" si="26"/>
      </c>
      <c r="ET49" s="619">
        <f>ET26</f>
      </c>
      <c r="EU49" s="619">
        <f>EU26</f>
      </c>
      <c r="EV49" s="622">
        <f>EV26</f>
      </c>
      <c r="EW49" s="619">
        <f t="shared" ref="EW49:EX49" si="27">EW26</f>
      </c>
      <c r="EX49" s="619">
        <f t="shared" si="27"/>
      </c>
      <c r="EY49" s="619">
        <f>EY26</f>
      </c>
      <c r="EZ49" s="619">
        <f>EZ26</f>
      </c>
      <c r="FA49" s="622">
        <f>FA26</f>
      </c>
      <c r="FB49" s="619"/>
      <c r="FC49" s="619"/>
      <c r="FD49" s="619"/>
      <c r="FE49" s="619"/>
      <c r="FF49" s="622"/>
      <c r="FG49" s="619"/>
      <c r="FH49" s="619"/>
      <c r="FI49" s="619"/>
      <c r="FJ49" s="619"/>
      <c r="FK49" s="622"/>
      <c r="FL49" s="619"/>
      <c r="FM49" s="619"/>
      <c r="FN49" s="619"/>
      <c r="FO49" s="619"/>
      <c r="FP49" s="622"/>
      <c r="FQ49" s="619"/>
      <c r="FR49" s="619"/>
      <c r="FS49" s="619"/>
      <c r="FT49" s="619"/>
      <c r="FU49" s="622"/>
      <c r="FV49" s="619"/>
      <c r="FW49" s="619"/>
      <c r="FX49" s="619"/>
      <c r="FY49" s="619"/>
      <c r="FZ49" s="622"/>
      <c r="GA49" s="619"/>
      <c r="GB49" s="619"/>
      <c r="GC49" s="619"/>
      <c r="GD49" s="619"/>
      <c r="GE49" s="622"/>
      <c r="GF49" s="619"/>
      <c r="GG49" s="619"/>
      <c r="GH49" s="619"/>
      <c r="GI49" s="619"/>
      <c r="GJ49" s="622"/>
    </row>
    <row r="50" spans="1:192" s="1031" customFormat="1" ht="12.75" customHeight="1" outlineLevel="1">
      <c r="A50" s="1027"/>
      <c r="B50" s="727" t="s">
        <v>34</v>
      </c>
      <c r="C50" s="1028"/>
      <c r="D50" s="1028"/>
      <c r="E50" s="1028"/>
      <c r="F50" s="1028"/>
      <c r="G50" s="1029"/>
      <c r="H50" s="1028"/>
      <c r="I50" s="1028"/>
      <c r="J50" s="1028"/>
      <c r="K50" s="1028"/>
      <c r="L50" s="1029"/>
      <c r="M50" s="1028"/>
      <c r="N50" s="1028"/>
      <c r="O50" s="1028"/>
      <c r="P50" s="1028"/>
      <c r="Q50" s="1029"/>
      <c r="R50" s="1030"/>
      <c r="S50" s="1030"/>
      <c r="T50" s="1030"/>
      <c r="U50" s="1030"/>
      <c r="V50" s="1029"/>
      <c r="W50" s="1030"/>
      <c r="X50" s="1030"/>
      <c r="Y50" s="1030"/>
      <c r="Z50" s="1030"/>
      <c r="AA50" s="1029"/>
      <c r="AB50" s="1030"/>
      <c r="AC50" s="1030"/>
      <c r="AD50" s="1030"/>
      <c r="AE50" s="1030"/>
      <c r="AF50" s="1029"/>
      <c r="AG50" s="1030"/>
      <c r="AH50" s="1030"/>
      <c r="AI50" s="1030"/>
      <c r="AJ50" s="1030"/>
      <c r="AK50" s="1029"/>
      <c r="AL50" s="1028"/>
      <c r="AM50" s="1028"/>
      <c r="AN50" s="1028"/>
      <c r="AO50" s="1028"/>
      <c r="AP50" s="1029"/>
      <c r="AQ50" s="1028"/>
      <c r="AR50" s="1028"/>
      <c r="AS50" s="1028"/>
      <c r="AT50" s="1028"/>
      <c r="AU50" s="1029"/>
      <c r="AV50" s="1028"/>
      <c r="AW50" s="1028"/>
      <c r="AX50" s="1028"/>
      <c r="AY50" s="1028"/>
      <c r="AZ50" s="1029"/>
      <c r="BA50" s="1028"/>
      <c r="BB50" s="1028"/>
      <c r="BC50" s="1028"/>
      <c r="BD50" s="1028"/>
      <c r="BE50" s="1029"/>
      <c r="BF50" s="1028"/>
      <c r="BG50" s="1028"/>
      <c r="BH50" s="1028"/>
      <c r="BI50" s="1028"/>
      <c r="BJ50" s="1029"/>
      <c r="BK50" s="1028"/>
      <c r="BL50" s="1028"/>
      <c r="BM50" s="1028"/>
      <c r="BN50" s="1028"/>
      <c r="BO50" s="1029"/>
      <c r="BP50" s="1028"/>
      <c r="BQ50" s="1028"/>
      <c r="BR50" s="1028"/>
      <c r="BS50" s="1028"/>
      <c r="BT50" s="1029"/>
      <c r="BU50" s="1028"/>
      <c r="BV50" s="1028"/>
      <c r="BW50" s="1028"/>
      <c r="BX50" s="1028"/>
      <c r="BY50" s="1029"/>
      <c r="BZ50" s="1028"/>
      <c r="CA50" s="1028"/>
      <c r="CB50" s="1028"/>
      <c r="CC50" s="1028"/>
      <c r="CD50" s="1029"/>
      <c r="CE50" s="1028"/>
      <c r="CF50" s="1028"/>
      <c r="CG50" s="1028"/>
      <c r="CH50" s="1028"/>
      <c r="CI50" s="1029"/>
      <c r="CJ50" s="1028"/>
      <c r="CK50" s="1028"/>
      <c r="CL50" s="1028"/>
      <c r="CM50" s="1028"/>
      <c r="CN50" s="1029"/>
      <c r="CO50" s="1028"/>
      <c r="CP50" s="1028"/>
      <c r="CQ50" s="1028"/>
      <c r="CR50" s="1028"/>
      <c r="CS50" s="1029"/>
      <c r="CT50" s="1028"/>
      <c r="CU50" s="1028"/>
      <c r="CV50" s="1028"/>
      <c r="CW50" s="1028"/>
      <c r="CX50" s="1461"/>
      <c r="CY50" s="1462"/>
      <c r="CZ50" s="1462"/>
      <c r="DA50" s="1462"/>
      <c r="DB50" s="1462"/>
      <c r="DC50" s="1461"/>
      <c r="DD50" s="1462"/>
      <c r="DE50" s="1462"/>
      <c r="DF50" s="1462"/>
      <c r="DG50" s="1462"/>
      <c r="DH50" s="1461"/>
      <c r="DI50" s="1462">
        <f t="shared" ref="DI50:ET50" si="28">DI49/DD49-1</f>
      </c>
      <c r="DJ50" s="1462">
        <f t="shared" si="28"/>
      </c>
      <c r="DK50" s="1462">
        <f t="shared" si="28"/>
      </c>
      <c r="DL50" s="1462">
        <f t="shared" si="28"/>
      </c>
      <c r="DM50" s="1461">
        <f t="shared" si="28"/>
      </c>
      <c r="DN50" s="1462">
        <f t="shared" si="28"/>
      </c>
      <c r="DO50" s="1462">
        <f t="shared" si="28"/>
      </c>
      <c r="DP50" s="1462">
        <f t="shared" si="28"/>
      </c>
      <c r="DQ50" s="1462">
        <f t="shared" si="28"/>
      </c>
      <c r="DR50" s="1461">
        <f t="shared" si="28"/>
      </c>
      <c r="DS50" s="1462">
        <f t="shared" si="28"/>
      </c>
      <c r="DT50" s="1462">
        <f t="shared" si="28"/>
      </c>
      <c r="DU50" s="1462">
        <f t="shared" si="28"/>
      </c>
      <c r="DV50" s="1462">
        <f t="shared" si="28"/>
      </c>
      <c r="DW50" s="1461">
        <f t="shared" si="28"/>
      </c>
      <c r="DX50" s="1462">
        <f t="shared" si="28"/>
      </c>
      <c r="DY50" s="1462">
        <f t="shared" si="28"/>
      </c>
      <c r="DZ50" s="1462">
        <f t="shared" si="28"/>
      </c>
      <c r="EA50" s="1462">
        <f t="shared" si="28"/>
      </c>
      <c r="EB50" s="1461">
        <f t="shared" si="28"/>
      </c>
      <c r="EC50" s="1462">
        <f t="shared" si="28"/>
      </c>
      <c r="ED50" s="1462">
        <f t="shared" si="28"/>
      </c>
      <c r="EE50" s="1462">
        <f t="shared" si="28"/>
      </c>
      <c r="EF50" s="1462">
        <f t="shared" si="28"/>
      </c>
      <c r="EG50" s="1461">
        <f t="shared" si="28"/>
      </c>
      <c r="EH50" s="1462">
        <f t="shared" si="28"/>
      </c>
      <c r="EI50" s="1462">
        <f t="shared" si="28"/>
      </c>
      <c r="EJ50" s="1462">
        <f t="shared" si="28"/>
      </c>
      <c r="EK50" s="1462">
        <f t="shared" si="28"/>
      </c>
      <c r="EL50" s="1461">
        <f t="shared" si="28"/>
      </c>
      <c r="EM50" s="1462">
        <f t="shared" si="28"/>
      </c>
      <c r="EN50" s="1462">
        <f t="shared" si="28"/>
      </c>
      <c r="EO50" s="1462">
        <f t="shared" si="28"/>
      </c>
      <c r="EP50" s="1462">
        <f t="shared" si="28"/>
      </c>
      <c r="EQ50" s="1461">
        <f t="shared" si="28"/>
      </c>
      <c r="ER50" s="1462">
        <f t="shared" si="28"/>
      </c>
      <c r="ES50" s="1462">
        <f t="shared" si="28"/>
      </c>
      <c r="ET50" s="1462">
        <f t="shared" si="28"/>
      </c>
      <c r="EU50" s="1462">
        <f>EU49/EP49-1</f>
      </c>
      <c r="EV50" s="1461">
        <f>EV49/EQ49-1</f>
      </c>
      <c r="EW50" s="1462">
        <f t="shared" ref="EW50:EY50" si="29">EW49/ER49-1</f>
      </c>
      <c r="EX50" s="1462">
        <f t="shared" si="29"/>
      </c>
      <c r="EY50" s="1462">
        <f t="shared" si="29"/>
      </c>
      <c r="EZ50" s="1462">
        <f>EZ49/EU49-1</f>
      </c>
      <c r="FA50" s="1461">
        <f>FA49/EV49-1</f>
      </c>
      <c r="FB50" s="1462"/>
      <c r="FC50" s="1462"/>
      <c r="FD50" s="1462"/>
      <c r="FE50" s="1462"/>
      <c r="FF50" s="1461"/>
      <c r="FG50" s="1462"/>
      <c r="FH50" s="1462"/>
      <c r="FI50" s="1462"/>
      <c r="FJ50" s="1462"/>
      <c r="FK50" s="1461"/>
      <c r="FL50" s="1462"/>
      <c r="FM50" s="1462"/>
      <c r="FN50" s="1462"/>
      <c r="FO50" s="1462"/>
      <c r="FP50" s="1461"/>
      <c r="FQ50" s="1462"/>
      <c r="FR50" s="1462"/>
      <c r="FS50" s="1462"/>
      <c r="FT50" s="1462"/>
      <c r="FU50" s="1461"/>
      <c r="FV50" s="1462"/>
      <c r="FW50" s="1462"/>
      <c r="FX50" s="1462"/>
      <c r="FY50" s="1462"/>
      <c r="FZ50" s="1461"/>
      <c r="GA50" s="1462"/>
      <c r="GB50" s="1462"/>
      <c r="GC50" s="1462"/>
      <c r="GD50" s="1462"/>
      <c r="GE50" s="1461"/>
      <c r="GF50" s="1462"/>
      <c r="GG50" s="1462"/>
      <c r="GH50" s="1462"/>
      <c r="GI50" s="1462"/>
      <c r="GJ50" s="1461"/>
    </row>
    <row r="51" spans="1:192" s="1031" customFormat="1" ht="12.75" customHeight="1" outlineLevel="1">
      <c r="A51" s="1027"/>
      <c r="B51" s="727" t="s">
        <v>36</v>
      </c>
      <c r="C51" s="1028"/>
      <c r="D51" s="1028"/>
      <c r="E51" s="1028"/>
      <c r="F51" s="1028"/>
      <c r="G51" s="1029"/>
      <c r="H51" s="1028"/>
      <c r="I51" s="1028"/>
      <c r="J51" s="1028"/>
      <c r="K51" s="1028"/>
      <c r="L51" s="1029"/>
      <c r="M51" s="1028"/>
      <c r="N51" s="1028"/>
      <c r="O51" s="1028"/>
      <c r="P51" s="1028"/>
      <c r="Q51" s="1029"/>
      <c r="R51" s="1030"/>
      <c r="S51" s="1030"/>
      <c r="T51" s="1030"/>
      <c r="U51" s="1030"/>
      <c r="V51" s="1029"/>
      <c r="W51" s="1030"/>
      <c r="X51" s="1030"/>
      <c r="Y51" s="1030"/>
      <c r="Z51" s="1030"/>
      <c r="AA51" s="1029"/>
      <c r="AB51" s="1030"/>
      <c r="AC51" s="1030"/>
      <c r="AD51" s="1030"/>
      <c r="AE51" s="1030"/>
      <c r="AF51" s="1029"/>
      <c r="AG51" s="1030"/>
      <c r="AH51" s="1030"/>
      <c r="AI51" s="1030"/>
      <c r="AJ51" s="1030"/>
      <c r="AK51" s="1029"/>
      <c r="AL51" s="1028"/>
      <c r="AM51" s="1028"/>
      <c r="AN51" s="1028"/>
      <c r="AO51" s="1028"/>
      <c r="AP51" s="1029"/>
      <c r="AQ51" s="1028"/>
      <c r="AR51" s="1028"/>
      <c r="AS51" s="1028"/>
      <c r="AT51" s="1028"/>
      <c r="AU51" s="1029"/>
      <c r="AV51" s="1028"/>
      <c r="AW51" s="1028"/>
      <c r="AX51" s="1028"/>
      <c r="AY51" s="1028"/>
      <c r="AZ51" s="1029"/>
      <c r="BA51" s="1028"/>
      <c r="BB51" s="1028"/>
      <c r="BC51" s="1028"/>
      <c r="BD51" s="1028"/>
      <c r="BE51" s="1029"/>
      <c r="BF51" s="1028"/>
      <c r="BG51" s="1028"/>
      <c r="BH51" s="1028"/>
      <c r="BI51" s="1028"/>
      <c r="BJ51" s="1029"/>
      <c r="BK51" s="1028"/>
      <c r="BL51" s="1028"/>
      <c r="BM51" s="1028"/>
      <c r="BN51" s="1028"/>
      <c r="BO51" s="1029"/>
      <c r="BP51" s="1028"/>
      <c r="BQ51" s="1028"/>
      <c r="BR51" s="1028"/>
      <c r="BS51" s="1028"/>
      <c r="BT51" s="1029"/>
      <c r="BU51" s="1028"/>
      <c r="BV51" s="1028"/>
      <c r="BW51" s="1028"/>
      <c r="BX51" s="1028"/>
      <c r="BY51" s="1029"/>
      <c r="BZ51" s="1028"/>
      <c r="CA51" s="1028"/>
      <c r="CB51" s="1028"/>
      <c r="CC51" s="1028"/>
      <c r="CD51" s="1029"/>
      <c r="CE51" s="1028"/>
      <c r="CF51" s="1028"/>
      <c r="CG51" s="1028"/>
      <c r="CH51" s="1028"/>
      <c r="CI51" s="1029"/>
      <c r="CJ51" s="1028"/>
      <c r="CK51" s="1028"/>
      <c r="CL51" s="1028"/>
      <c r="CM51" s="1028"/>
      <c r="CN51" s="1029"/>
      <c r="CO51" s="1028"/>
      <c r="CP51" s="1028"/>
      <c r="CQ51" s="1028"/>
      <c r="CR51" s="1028"/>
      <c r="CS51" s="1029"/>
      <c r="CT51" s="1028"/>
      <c r="CU51" s="1028"/>
      <c r="CV51" s="1028"/>
      <c r="CW51" s="1028"/>
      <c r="CX51" s="1461"/>
      <c r="CY51" s="1462"/>
      <c r="CZ51" s="1462"/>
      <c r="DA51" s="1462"/>
      <c r="DB51" s="1462"/>
      <c r="DC51" s="1461"/>
      <c r="DD51" s="1462"/>
      <c r="DE51" s="1462">
        <f>DE49/DD49-1</f>
      </c>
      <c r="DF51" s="1462">
        <f>DF49/DE49-1</f>
      </c>
      <c r="DG51" s="1462">
        <f>DG49/DF49-1</f>
      </c>
      <c r="DH51" s="1461"/>
      <c r="DI51" s="1462">
        <f>DI49/DG49-1</f>
      </c>
      <c r="DJ51" s="1462">
        <f>DJ49/DI49-1</f>
      </c>
      <c r="DK51" s="1462">
        <f>DK49/DJ49-1</f>
      </c>
      <c r="DL51" s="1462">
        <f>DL49/DK49-1</f>
      </c>
      <c r="DM51" s="1461"/>
      <c r="DN51" s="1462">
        <f>DN49/DL49-1</f>
      </c>
      <c r="DO51" s="1462">
        <f>DO49/DN49-1</f>
      </c>
      <c r="DP51" s="1462">
        <f>DP49/DO49-1</f>
      </c>
      <c r="DQ51" s="1462">
        <f>DQ49/DP49-1</f>
      </c>
      <c r="DR51" s="1461"/>
      <c r="DS51" s="1462">
        <f>DS49/DQ49-1</f>
      </c>
      <c r="DT51" s="1462">
        <f>DT49/DS49-1</f>
      </c>
      <c r="DU51" s="1462">
        <f>DU49/DT49-1</f>
      </c>
      <c r="DV51" s="1462">
        <f>DV49/DU49-1</f>
      </c>
      <c r="DW51" s="1461"/>
      <c r="DX51" s="1462">
        <f>DX49/DV49-1</f>
      </c>
      <c r="DY51" s="1462">
        <f>DY49/DX49-1</f>
      </c>
      <c r="DZ51" s="1462">
        <f>DZ49/DY49-1</f>
      </c>
      <c r="EA51" s="1462">
        <f>EA49/DZ49-1</f>
      </c>
      <c r="EB51" s="1461"/>
      <c r="EC51" s="1462">
        <f>EC49/EA49-1</f>
      </c>
      <c r="ED51" s="1462">
        <f>ED49/EC49-1</f>
      </c>
      <c r="EE51" s="1462">
        <f>EE49/ED49-1</f>
      </c>
      <c r="EF51" s="1462">
        <f>EF49/EE49-1</f>
      </c>
      <c r="EG51" s="1461"/>
      <c r="EH51" s="1462">
        <f>EH49/EF49-1</f>
      </c>
      <c r="EI51" s="1462">
        <f>EI49/EH49-1</f>
      </c>
      <c r="EJ51" s="1462">
        <f>EJ49/EI49-1</f>
      </c>
      <c r="EK51" s="1462">
        <f>EK49/EJ49-1</f>
      </c>
      <c r="EL51" s="1461"/>
      <c r="EM51" s="1462">
        <f>EM49/EK49-1</f>
      </c>
      <c r="EN51" s="1462">
        <f>EN49/EM49-1</f>
      </c>
      <c r="EO51" s="1462">
        <f>EO49/EN49-1</f>
      </c>
      <c r="EP51" s="1462">
        <f>EP49/EO49-1</f>
      </c>
      <c r="EQ51" s="1461"/>
      <c r="ER51" s="1462">
        <f>ER49/EP49-1</f>
      </c>
      <c r="ES51" s="1462">
        <f>ES49/ER49-1</f>
      </c>
      <c r="ET51" s="1462">
        <f>ET49/ES49-1</f>
      </c>
      <c r="EU51" s="1462">
        <f>EU49/ET49-1</f>
      </c>
      <c r="EV51" s="1461"/>
      <c r="EW51" s="1462">
        <f>EW49/EU49-1</f>
      </c>
      <c r="EX51" s="1462">
        <f>EX49/EW49-1</f>
      </c>
      <c r="EY51" s="1462">
        <f>EY49/EX49-1</f>
      </c>
      <c r="EZ51" s="1462">
        <f>EZ49/EY49-1</f>
      </c>
      <c r="FA51" s="1461"/>
      <c r="FB51" s="1462"/>
      <c r="FC51" s="1462"/>
      <c r="FD51" s="1462"/>
      <c r="FE51" s="1462"/>
      <c r="FF51" s="1461"/>
      <c r="FG51" s="1462"/>
      <c r="FH51" s="1462"/>
      <c r="FI51" s="1462"/>
      <c r="FJ51" s="1462"/>
      <c r="FK51" s="1461"/>
      <c r="FL51" s="1462"/>
      <c r="FM51" s="1462"/>
      <c r="FN51" s="1462"/>
      <c r="FO51" s="1462"/>
      <c r="FP51" s="1461"/>
      <c r="FQ51" s="1462"/>
      <c r="FR51" s="1462"/>
      <c r="FS51" s="1462"/>
      <c r="FT51" s="1462"/>
      <c r="FU51" s="1461"/>
      <c r="FV51" s="1462"/>
      <c r="FW51" s="1462"/>
      <c r="FX51" s="1462"/>
      <c r="FY51" s="1462"/>
      <c r="FZ51" s="1461"/>
      <c r="GA51" s="1462"/>
      <c r="GB51" s="1462"/>
      <c r="GC51" s="1462"/>
      <c r="GD51" s="1462"/>
      <c r="GE51" s="1461"/>
      <c r="GF51" s="1462"/>
      <c r="GG51" s="1462"/>
      <c r="GH51" s="1462"/>
      <c r="GI51" s="1462"/>
      <c r="GJ51" s="1461"/>
    </row>
    <row r="52" spans="1:192" s="1031" customFormat="1" ht="12.75" customHeight="1" outlineLevel="1">
      <c r="A52" s="1027"/>
      <c r="B52" s="727" t="s">
        <v>196</v>
      </c>
      <c r="C52" s="1028"/>
      <c r="D52" s="1028"/>
      <c r="E52" s="1028"/>
      <c r="F52" s="1028"/>
      <c r="G52" s="1029"/>
      <c r="H52" s="1028"/>
      <c r="I52" s="1028"/>
      <c r="J52" s="1028"/>
      <c r="K52" s="1028"/>
      <c r="L52" s="1029"/>
      <c r="M52" s="1028"/>
      <c r="N52" s="1028"/>
      <c r="O52" s="1028"/>
      <c r="P52" s="1028"/>
      <c r="Q52" s="1029"/>
      <c r="R52" s="1030"/>
      <c r="S52" s="1030"/>
      <c r="T52" s="1030"/>
      <c r="U52" s="1030"/>
      <c r="V52" s="1029"/>
      <c r="W52" s="1030"/>
      <c r="X52" s="1030"/>
      <c r="Y52" s="1030"/>
      <c r="Z52" s="1030"/>
      <c r="AA52" s="1029"/>
      <c r="AB52" s="1030"/>
      <c r="AC52" s="1030"/>
      <c r="AD52" s="1030"/>
      <c r="AE52" s="1030"/>
      <c r="AF52" s="1029"/>
      <c r="AG52" s="1030"/>
      <c r="AH52" s="1030"/>
      <c r="AI52" s="1030"/>
      <c r="AJ52" s="1030"/>
      <c r="AK52" s="1029"/>
      <c r="AL52" s="1028"/>
      <c r="AM52" s="1028"/>
      <c r="AN52" s="1028"/>
      <c r="AO52" s="1028"/>
      <c r="AP52" s="1029"/>
      <c r="AQ52" s="1028"/>
      <c r="AR52" s="1028"/>
      <c r="AS52" s="1028"/>
      <c r="AT52" s="1028"/>
      <c r="AU52" s="1029"/>
      <c r="AV52" s="1028"/>
      <c r="AW52" s="1028"/>
      <c r="AX52" s="1028"/>
      <c r="AY52" s="1028"/>
      <c r="AZ52" s="1029"/>
      <c r="BA52" s="1028"/>
      <c r="BB52" s="1028"/>
      <c r="BC52" s="1028"/>
      <c r="BD52" s="1028"/>
      <c r="BE52" s="1029"/>
      <c r="BF52" s="1028"/>
      <c r="BG52" s="1028"/>
      <c r="BH52" s="1028"/>
      <c r="BI52" s="1028"/>
      <c r="BJ52" s="1029"/>
      <c r="BK52" s="1028"/>
      <c r="BL52" s="1028"/>
      <c r="BM52" s="1028"/>
      <c r="BN52" s="1028"/>
      <c r="BO52" s="1029"/>
      <c r="BP52" s="1028"/>
      <c r="BQ52" s="1028"/>
      <c r="BR52" s="1028"/>
      <c r="BS52" s="1028"/>
      <c r="BT52" s="1029"/>
      <c r="BU52" s="1028"/>
      <c r="BV52" s="1028"/>
      <c r="BW52" s="1028"/>
      <c r="BX52" s="1028"/>
      <c r="BY52" s="1029"/>
      <c r="BZ52" s="1028"/>
      <c r="CA52" s="1028"/>
      <c r="CB52" s="1028"/>
      <c r="CC52" s="1028"/>
      <c r="CD52" s="1029"/>
      <c r="CE52" s="1028"/>
      <c r="CF52" s="1028"/>
      <c r="CG52" s="1028"/>
      <c r="CH52" s="1028"/>
      <c r="CI52" s="1029"/>
      <c r="CJ52" s="1028"/>
      <c r="CK52" s="1028"/>
      <c r="CL52" s="1028"/>
      <c r="CM52" s="1028"/>
      <c r="CN52" s="1029"/>
      <c r="CO52" s="1028"/>
      <c r="CP52" s="1028"/>
      <c r="CQ52" s="1028"/>
      <c r="CR52" s="1028"/>
      <c r="CS52" s="1029"/>
      <c r="CT52" s="1028"/>
      <c r="CU52" s="1028"/>
      <c r="CV52" s="1028"/>
      <c r="CW52" s="1028"/>
      <c r="CX52" s="1461"/>
      <c r="CY52" s="1462"/>
      <c r="CZ52" s="1462"/>
      <c r="DA52" s="1462"/>
      <c r="DB52" s="1462"/>
      <c r="DC52" s="1461"/>
      <c r="DD52" s="1462">
        <f t="shared" ref="DD52:ET52" si="30">DD49/DD$29</f>
      </c>
      <c r="DE52" s="1462">
        <f t="shared" si="30"/>
      </c>
      <c r="DF52" s="1462">
        <f t="shared" si="30"/>
      </c>
      <c r="DG52" s="1462">
        <f t="shared" si="30"/>
      </c>
      <c r="DH52" s="1461">
        <f t="shared" si="30"/>
      </c>
      <c r="DI52" s="1462">
        <f t="shared" si="30"/>
      </c>
      <c r="DJ52" s="1462">
        <f t="shared" si="30"/>
      </c>
      <c r="DK52" s="1462">
        <f t="shared" si="30"/>
      </c>
      <c r="DL52" s="1462">
        <f t="shared" si="30"/>
      </c>
      <c r="DM52" s="1461">
        <f t="shared" si="30"/>
      </c>
      <c r="DN52" s="1462">
        <f t="shared" si="30"/>
      </c>
      <c r="DO52" s="1462">
        <f t="shared" si="30"/>
      </c>
      <c r="DP52" s="1462">
        <f t="shared" si="30"/>
      </c>
      <c r="DQ52" s="1462">
        <f t="shared" si="30"/>
      </c>
      <c r="DR52" s="1461">
        <f t="shared" si="30"/>
      </c>
      <c r="DS52" s="1462">
        <f t="shared" si="30"/>
      </c>
      <c r="DT52" s="1462">
        <f t="shared" si="30"/>
      </c>
      <c r="DU52" s="1462">
        <f t="shared" si="30"/>
      </c>
      <c r="DV52" s="1462">
        <f t="shared" si="30"/>
      </c>
      <c r="DW52" s="1461">
        <f t="shared" si="30"/>
      </c>
      <c r="DX52" s="1462">
        <f t="shared" si="30"/>
      </c>
      <c r="DY52" s="1462">
        <f t="shared" si="30"/>
      </c>
      <c r="DZ52" s="1462">
        <f t="shared" si="30"/>
      </c>
      <c r="EA52" s="1462">
        <f t="shared" si="30"/>
      </c>
      <c r="EB52" s="1461">
        <f t="shared" si="30"/>
      </c>
      <c r="EC52" s="1462">
        <f t="shared" si="30"/>
      </c>
      <c r="ED52" s="1462">
        <f t="shared" si="30"/>
      </c>
      <c r="EE52" s="1462">
        <f t="shared" si="30"/>
      </c>
      <c r="EF52" s="1462">
        <f t="shared" si="30"/>
      </c>
      <c r="EG52" s="1461">
        <f t="shared" si="30"/>
      </c>
      <c r="EH52" s="1462">
        <f t="shared" si="30"/>
      </c>
      <c r="EI52" s="1462">
        <f t="shared" si="30"/>
      </c>
      <c r="EJ52" s="1462">
        <f t="shared" si="30"/>
      </c>
      <c r="EK52" s="1462">
        <f t="shared" si="30"/>
      </c>
      <c r="EL52" s="1461">
        <f t="shared" si="30"/>
      </c>
      <c r="EM52" s="1462">
        <f t="shared" si="30"/>
      </c>
      <c r="EN52" s="1462">
        <f t="shared" si="30"/>
      </c>
      <c r="EO52" s="1462">
        <f t="shared" si="30"/>
      </c>
      <c r="EP52" s="1462">
        <f t="shared" si="30"/>
      </c>
      <c r="EQ52" s="1461">
        <f t="shared" si="30"/>
      </c>
      <c r="ER52" s="1462">
        <f t="shared" si="30"/>
      </c>
      <c r="ES52" s="1462">
        <f t="shared" si="30"/>
      </c>
      <c r="ET52" s="1462">
        <f t="shared" si="30"/>
      </c>
      <c r="EU52" s="1462">
        <f>EU49/EU$29</f>
      </c>
      <c r="EV52" s="1461">
        <f>EV49/EV$29</f>
      </c>
      <c r="EW52" s="1462">
        <f t="shared" ref="EW52:EY52" si="31">EW49/EW$29</f>
      </c>
      <c r="EX52" s="1462">
        <f t="shared" si="31"/>
      </c>
      <c r="EY52" s="1462">
        <f t="shared" si="31"/>
      </c>
      <c r="EZ52" s="1462">
        <f>EZ49/EZ$29</f>
      </c>
      <c r="FA52" s="1461" t="e">
        <f>FA49/FA$29</f>
      </c>
      <c r="FB52" s="1462"/>
      <c r="FC52" s="1462"/>
      <c r="FD52" s="1462"/>
      <c r="FE52" s="1462"/>
      <c r="FF52" s="1461"/>
      <c r="FG52" s="1462"/>
      <c r="FH52" s="1462"/>
      <c r="FI52" s="1462"/>
      <c r="FJ52" s="1462"/>
      <c r="FK52" s="1461"/>
      <c r="FL52" s="1462"/>
      <c r="FM52" s="1462"/>
      <c r="FN52" s="1462"/>
      <c r="FO52" s="1462"/>
      <c r="FP52" s="1461"/>
      <c r="FQ52" s="1462"/>
      <c r="FR52" s="1462"/>
      <c r="FS52" s="1462"/>
      <c r="FT52" s="1462"/>
      <c r="FU52" s="1461"/>
      <c r="FV52" s="1462"/>
      <c r="FW52" s="1462"/>
      <c r="FX52" s="1462"/>
      <c r="FY52" s="1462"/>
      <c r="FZ52" s="1461"/>
      <c r="GA52" s="1462"/>
      <c r="GB52" s="1462"/>
      <c r="GC52" s="1462"/>
      <c r="GD52" s="1462"/>
      <c r="GE52" s="1461"/>
      <c r="GF52" s="1462"/>
      <c r="GG52" s="1462"/>
      <c r="GH52" s="1462"/>
      <c r="GI52" s="1462"/>
      <c r="GJ52" s="1461"/>
    </row>
    <row r="53" spans="1:192" s="1031" customFormat="1" ht="12.75" customHeight="1" outlineLevel="1">
      <c r="A53" s="1027"/>
      <c r="B53" s="727" t="s">
        <v>437</v>
      </c>
      <c r="C53" s="1032"/>
      <c r="D53" s="1033"/>
      <c r="E53" s="1033"/>
      <c r="F53" s="1033"/>
      <c r="G53" s="1034"/>
      <c r="H53" s="1032"/>
      <c r="I53" s="1035"/>
      <c r="J53" s="1035"/>
      <c r="K53" s="1035"/>
      <c r="L53" s="1036"/>
      <c r="M53" s="1037"/>
      <c r="N53" s="1038"/>
      <c r="O53" s="1038"/>
      <c r="P53" s="1038"/>
      <c r="Q53" s="1036"/>
      <c r="R53" s="1037"/>
      <c r="S53" s="1038"/>
      <c r="T53" s="1038"/>
      <c r="U53" s="1038"/>
      <c r="V53" s="1036"/>
      <c r="W53" s="1037"/>
      <c r="X53" s="1038"/>
      <c r="Y53" s="1038"/>
      <c r="Z53" s="1038"/>
      <c r="AA53" s="1036"/>
      <c r="AB53" s="1037"/>
      <c r="AC53" s="1038"/>
      <c r="AD53" s="1038"/>
      <c r="AE53" s="1038"/>
      <c r="AF53" s="1036"/>
      <c r="AG53" s="1037"/>
      <c r="AH53" s="1038"/>
      <c r="AI53" s="1038"/>
      <c r="AJ53" s="1038"/>
      <c r="AK53" s="1036"/>
      <c r="AL53" s="1032"/>
      <c r="AM53" s="1035"/>
      <c r="AN53" s="1035"/>
      <c r="AO53" s="1035"/>
      <c r="AP53" s="1036"/>
      <c r="AQ53" s="1032"/>
      <c r="AR53" s="1035"/>
      <c r="AS53" s="1035"/>
      <c r="AT53" s="1035"/>
      <c r="AU53" s="1036"/>
      <c r="AV53" s="1032"/>
      <c r="AW53" s="1035"/>
      <c r="AX53" s="1035"/>
      <c r="AY53" s="1035"/>
      <c r="AZ53" s="1036"/>
      <c r="BA53" s="1032"/>
      <c r="BB53" s="1035"/>
      <c r="BC53" s="1035"/>
      <c r="BD53" s="1035"/>
      <c r="BE53" s="1036"/>
      <c r="BF53" s="1032"/>
      <c r="BG53" s="1035"/>
      <c r="BH53" s="1035"/>
      <c r="BI53" s="1035"/>
      <c r="BJ53" s="1036"/>
      <c r="BK53" s="1032"/>
      <c r="BL53" s="1035"/>
      <c r="BM53" s="1035"/>
      <c r="BN53" s="1035"/>
      <c r="BO53" s="1036"/>
      <c r="BP53" s="1032"/>
      <c r="BQ53" s="1035"/>
      <c r="BR53" s="1035"/>
      <c r="BS53" s="1035"/>
      <c r="BT53" s="1036"/>
      <c r="BU53" s="1032"/>
      <c r="BV53" s="1035"/>
      <c r="BW53" s="1035"/>
      <c r="BX53" s="1035"/>
      <c r="BY53" s="1036"/>
      <c r="BZ53" s="1032"/>
      <c r="CA53" s="1035"/>
      <c r="CB53" s="1035"/>
      <c r="CC53" s="1035"/>
      <c r="CD53" s="1036"/>
      <c r="CE53" s="1032"/>
      <c r="CF53" s="1035"/>
      <c r="CG53" s="1035"/>
      <c r="CH53" s="1035"/>
      <c r="CI53" s="1036"/>
      <c r="CJ53" s="1032"/>
      <c r="CK53" s="1035"/>
      <c r="CL53" s="1035"/>
      <c r="CM53" s="1035"/>
      <c r="CN53" s="1036"/>
      <c r="CO53" s="1032"/>
      <c r="CP53" s="1035"/>
      <c r="CQ53" s="1035"/>
      <c r="CR53" s="1035"/>
      <c r="CS53" s="1036"/>
      <c r="CT53" s="1032"/>
      <c r="CU53" s="1035"/>
      <c r="CV53" s="1035"/>
      <c r="CW53" s="1035"/>
      <c r="CX53" s="524"/>
      <c r="CY53" s="465"/>
      <c r="CZ53" s="1449"/>
      <c r="DA53" s="1449"/>
      <c r="DB53" s="1449"/>
      <c r="DC53" s="524"/>
      <c r="DD53" s="465">
        <f t="shared" ref="DD53:ET53" si="32">DD49/DD21</f>
      </c>
      <c r="DE53" s="465">
        <f t="shared" si="32"/>
      </c>
      <c r="DF53" s="465">
        <f t="shared" si="32"/>
      </c>
      <c r="DG53" s="465">
        <f t="shared" si="32"/>
      </c>
      <c r="DH53" s="524">
        <f t="shared" si="32"/>
      </c>
      <c r="DI53" s="465">
        <f t="shared" si="32"/>
      </c>
      <c r="DJ53" s="465">
        <f t="shared" si="32"/>
      </c>
      <c r="DK53" s="465">
        <f t="shared" si="32"/>
      </c>
      <c r="DL53" s="465">
        <f t="shared" si="32"/>
      </c>
      <c r="DM53" s="524">
        <f t="shared" si="32"/>
      </c>
      <c r="DN53" s="465">
        <f t="shared" si="32"/>
      </c>
      <c r="DO53" s="465">
        <f t="shared" si="32"/>
      </c>
      <c r="DP53" s="465">
        <f t="shared" si="32"/>
      </c>
      <c r="DQ53" s="465">
        <f t="shared" si="32"/>
      </c>
      <c r="DR53" s="524">
        <f t="shared" si="32"/>
      </c>
      <c r="DS53" s="465">
        <f t="shared" si="32"/>
      </c>
      <c r="DT53" s="465">
        <f t="shared" si="32"/>
      </c>
      <c r="DU53" s="465">
        <f t="shared" si="32"/>
      </c>
      <c r="DV53" s="465">
        <f t="shared" si="32"/>
      </c>
      <c r="DW53" s="524">
        <f t="shared" si="32"/>
      </c>
      <c r="DX53" s="465">
        <f t="shared" si="32"/>
      </c>
      <c r="DY53" s="465">
        <f t="shared" si="32"/>
      </c>
      <c r="DZ53" s="465">
        <f t="shared" si="32"/>
      </c>
      <c r="EA53" s="465">
        <f t="shared" si="32"/>
      </c>
      <c r="EB53" s="524">
        <f t="shared" si="32"/>
      </c>
      <c r="EC53" s="465">
        <f t="shared" si="32"/>
      </c>
      <c r="ED53" s="465">
        <f t="shared" si="32"/>
      </c>
      <c r="EE53" s="465">
        <f t="shared" si="32"/>
      </c>
      <c r="EF53" s="465">
        <f t="shared" si="32"/>
      </c>
      <c r="EG53" s="524">
        <f t="shared" si="32"/>
      </c>
      <c r="EH53" s="465">
        <f t="shared" si="32"/>
      </c>
      <c r="EI53" s="465">
        <f t="shared" si="32"/>
      </c>
      <c r="EJ53" s="465">
        <f t="shared" si="32"/>
      </c>
      <c r="EK53" s="465">
        <f t="shared" si="32"/>
      </c>
      <c r="EL53" s="524">
        <f t="shared" si="32"/>
      </c>
      <c r="EM53" s="465">
        <f t="shared" si="32"/>
      </c>
      <c r="EN53" s="465">
        <f t="shared" si="32"/>
      </c>
      <c r="EO53" s="465">
        <f t="shared" si="32"/>
      </c>
      <c r="EP53" s="465">
        <f t="shared" si="32"/>
      </c>
      <c r="EQ53" s="524">
        <f t="shared" si="32"/>
      </c>
      <c r="ER53" s="465">
        <f t="shared" si="32"/>
      </c>
      <c r="ES53" s="465">
        <f t="shared" si="32"/>
      </c>
      <c r="ET53" s="465">
        <f t="shared" si="32"/>
      </c>
      <c r="EU53" s="465">
        <f>EU49/EU21</f>
      </c>
      <c r="EV53" s="524">
        <f>EV49/EV21</f>
      </c>
      <c r="EW53" s="465">
        <f t="shared" ref="EW53:EY53" si="33">EW49/EW21</f>
      </c>
      <c r="EX53" s="465">
        <f t="shared" si="33"/>
      </c>
      <c r="EY53" s="465">
        <f t="shared" si="33"/>
      </c>
      <c r="EZ53" s="465">
        <f>EZ49/EZ21</f>
      </c>
      <c r="FA53" s="524">
        <f>FA49/FA21</f>
      </c>
      <c r="FB53" s="465"/>
      <c r="FC53" s="1449"/>
      <c r="FD53" s="1449"/>
      <c r="FE53" s="1449"/>
      <c r="FF53" s="524"/>
      <c r="FG53" s="465"/>
      <c r="FH53" s="1449"/>
      <c r="FI53" s="1449"/>
      <c r="FJ53" s="1449"/>
      <c r="FK53" s="524"/>
      <c r="FL53" s="465"/>
      <c r="FM53" s="1449"/>
      <c r="FN53" s="1449"/>
      <c r="FO53" s="1449"/>
      <c r="FP53" s="524"/>
      <c r="FQ53" s="465"/>
      <c r="FR53" s="1449"/>
      <c r="FS53" s="1449"/>
      <c r="FT53" s="1449"/>
      <c r="FU53" s="524"/>
      <c r="FV53" s="465"/>
      <c r="FW53" s="1449"/>
      <c r="FX53" s="1449"/>
      <c r="FY53" s="1449"/>
      <c r="FZ53" s="524"/>
      <c r="GA53" s="465"/>
      <c r="GB53" s="1449"/>
      <c r="GC53" s="1449"/>
      <c r="GD53" s="1449"/>
      <c r="GE53" s="524"/>
      <c r="GF53" s="465"/>
      <c r="GG53" s="1449"/>
      <c r="GH53" s="1449"/>
      <c r="GI53" s="1449"/>
      <c r="GJ53" s="524"/>
    </row>
    <row r="54" spans="1:192" s="1031" customFormat="1" ht="12.75" customHeight="1" outlineLevel="1">
      <c r="A54" s="1027"/>
      <c r="B54" s="727" t="s">
        <v>438</v>
      </c>
      <c r="C54" s="1028"/>
      <c r="D54" s="1028"/>
      <c r="E54" s="1028"/>
      <c r="F54" s="1028"/>
      <c r="G54" s="1029"/>
      <c r="H54" s="1028"/>
      <c r="I54" s="1028"/>
      <c r="J54" s="1028"/>
      <c r="K54" s="1028"/>
      <c r="L54" s="1029"/>
      <c r="M54" s="1030"/>
      <c r="N54" s="1030"/>
      <c r="O54" s="1030"/>
      <c r="P54" s="1030"/>
      <c r="Q54" s="1029"/>
      <c r="R54" s="1030"/>
      <c r="S54" s="1030"/>
      <c r="T54" s="1030"/>
      <c r="U54" s="1030"/>
      <c r="V54" s="1029"/>
      <c r="W54" s="1030"/>
      <c r="X54" s="1030"/>
      <c r="Y54" s="1030"/>
      <c r="Z54" s="1030"/>
      <c r="AA54" s="1029"/>
      <c r="AB54" s="1030"/>
      <c r="AC54" s="1030"/>
      <c r="AD54" s="1030"/>
      <c r="AE54" s="1030"/>
      <c r="AF54" s="1029"/>
      <c r="AG54" s="1030"/>
      <c r="AH54" s="1030"/>
      <c r="AI54" s="1030"/>
      <c r="AJ54" s="1030"/>
      <c r="AK54" s="1029"/>
      <c r="AL54" s="1028"/>
      <c r="AM54" s="1028"/>
      <c r="AN54" s="1028"/>
      <c r="AO54" s="1028"/>
      <c r="AP54" s="1029"/>
      <c r="AQ54" s="1028"/>
      <c r="AR54" s="1028"/>
      <c r="AS54" s="1028"/>
      <c r="AT54" s="1028"/>
      <c r="AU54" s="1029"/>
      <c r="AV54" s="1028"/>
      <c r="AW54" s="1028"/>
      <c r="AX54" s="1028"/>
      <c r="AY54" s="1028"/>
      <c r="AZ54" s="1029"/>
      <c r="BA54" s="1028"/>
      <c r="BB54" s="1028"/>
      <c r="BC54" s="1028"/>
      <c r="BD54" s="1028"/>
      <c r="BE54" s="1029"/>
      <c r="BF54" s="1028"/>
      <c r="BG54" s="1028"/>
      <c r="BH54" s="1028"/>
      <c r="BI54" s="1028"/>
      <c r="BJ54" s="1029"/>
      <c r="BK54" s="1028"/>
      <c r="BL54" s="1028"/>
      <c r="BM54" s="1028"/>
      <c r="BN54" s="1028"/>
      <c r="BO54" s="1029"/>
      <c r="BP54" s="1028"/>
      <c r="BQ54" s="1028"/>
      <c r="BR54" s="1028"/>
      <c r="BS54" s="1028"/>
      <c r="BT54" s="1029"/>
      <c r="BU54" s="1028"/>
      <c r="BV54" s="1028"/>
      <c r="BW54" s="1028"/>
      <c r="BX54" s="1028"/>
      <c r="BY54" s="1029"/>
      <c r="BZ54" s="1028"/>
      <c r="CA54" s="1028"/>
      <c r="CB54" s="1028"/>
      <c r="CC54" s="1028"/>
      <c r="CD54" s="1029"/>
      <c r="CE54" s="1028"/>
      <c r="CF54" s="1028"/>
      <c r="CG54" s="1028"/>
      <c r="CH54" s="1028"/>
      <c r="CI54" s="1029"/>
      <c r="CJ54" s="1028"/>
      <c r="CK54" s="1028"/>
      <c r="CL54" s="1028"/>
      <c r="CM54" s="1028"/>
      <c r="CN54" s="1029"/>
      <c r="CO54" s="1028"/>
      <c r="CP54" s="1028"/>
      <c r="CQ54" s="1028"/>
      <c r="CR54" s="1028"/>
      <c r="CS54" s="1029"/>
      <c r="CT54" s="1028"/>
      <c r="CU54" s="1028"/>
      <c r="CV54" s="1028"/>
      <c r="CW54" s="1028"/>
      <c r="CX54" s="1461"/>
      <c r="CY54" s="1462"/>
      <c r="CZ54" s="1462"/>
      <c r="DA54" s="1462"/>
      <c r="DB54" s="1462"/>
      <c r="DC54" s="1461"/>
      <c r="DD54" s="1462">
        <f t="shared" ref="DD54:ET54" si="34">DD49/DD15</f>
      </c>
      <c r="DE54" s="1462">
        <f t="shared" si="34"/>
      </c>
      <c r="DF54" s="1462">
        <f t="shared" si="34"/>
      </c>
      <c r="DG54" s="1462">
        <f t="shared" si="34"/>
      </c>
      <c r="DH54" s="1461">
        <f t="shared" si="34"/>
      </c>
      <c r="DI54" s="1462">
        <f t="shared" si="34"/>
      </c>
      <c r="DJ54" s="1462">
        <f t="shared" si="34"/>
      </c>
      <c r="DK54" s="1462">
        <f t="shared" si="34"/>
      </c>
      <c r="DL54" s="1462">
        <f t="shared" si="34"/>
      </c>
      <c r="DM54" s="1461">
        <f t="shared" si="34"/>
      </c>
      <c r="DN54" s="1462">
        <f t="shared" si="34"/>
      </c>
      <c r="DO54" s="1462">
        <f t="shared" si="34"/>
      </c>
      <c r="DP54" s="1462">
        <f t="shared" si="34"/>
      </c>
      <c r="DQ54" s="1462">
        <f t="shared" si="34"/>
      </c>
      <c r="DR54" s="1461">
        <f t="shared" si="34"/>
      </c>
      <c r="DS54" s="1462">
        <f t="shared" si="34"/>
      </c>
      <c r="DT54" s="1462">
        <f t="shared" si="34"/>
      </c>
      <c r="DU54" s="1462">
        <f t="shared" si="34"/>
      </c>
      <c r="DV54" s="1462">
        <f t="shared" si="34"/>
      </c>
      <c r="DW54" s="1461">
        <f t="shared" si="34"/>
      </c>
      <c r="DX54" s="1462">
        <f t="shared" si="34"/>
      </c>
      <c r="DY54" s="1462">
        <f t="shared" si="34"/>
      </c>
      <c r="DZ54" s="1462">
        <f t="shared" si="34"/>
      </c>
      <c r="EA54" s="1462">
        <f t="shared" si="34"/>
      </c>
      <c r="EB54" s="1461">
        <f t="shared" si="34"/>
      </c>
      <c r="EC54" s="1462">
        <f t="shared" si="34"/>
      </c>
      <c r="ED54" s="1462">
        <f t="shared" si="34"/>
      </c>
      <c r="EE54" s="1462">
        <f t="shared" si="34"/>
      </c>
      <c r="EF54" s="1462">
        <f t="shared" si="34"/>
      </c>
      <c r="EG54" s="1461">
        <f t="shared" si="34"/>
      </c>
      <c r="EH54" s="1462">
        <f t="shared" si="34"/>
      </c>
      <c r="EI54" s="1462">
        <f t="shared" si="34"/>
      </c>
      <c r="EJ54" s="1462">
        <f t="shared" si="34"/>
      </c>
      <c r="EK54" s="1462">
        <f t="shared" si="34"/>
      </c>
      <c r="EL54" s="1461">
        <f t="shared" si="34"/>
      </c>
      <c r="EM54" s="1462">
        <f t="shared" si="34"/>
      </c>
      <c r="EN54" s="1462">
        <f t="shared" si="34"/>
      </c>
      <c r="EO54" s="1462">
        <f t="shared" si="34"/>
      </c>
      <c r="EP54" s="1462">
        <f t="shared" si="34"/>
      </c>
      <c r="EQ54" s="1461">
        <f t="shared" si="34"/>
      </c>
      <c r="ER54" s="1462">
        <f t="shared" si="34"/>
      </c>
      <c r="ES54" s="1462">
        <f t="shared" si="34"/>
      </c>
      <c r="ET54" s="1462">
        <f t="shared" si="34"/>
      </c>
      <c r="EU54" s="1462">
        <f>EU49/EU15</f>
      </c>
      <c r="EV54" s="1461">
        <f>EV49/EV15</f>
      </c>
      <c r="EW54" s="1462">
        <f t="shared" ref="EW54:EY54" si="35">EW49/EW15</f>
      </c>
      <c r="EX54" s="1462">
        <f t="shared" si="35"/>
      </c>
      <c r="EY54" s="1462">
        <f t="shared" si="35"/>
      </c>
      <c r="EZ54" s="1462">
        <f>EZ49/EZ15</f>
      </c>
      <c r="FA54" s="1461">
        <f>FA49/FA15</f>
      </c>
      <c r="FB54" s="1462"/>
      <c r="FC54" s="1462"/>
      <c r="FD54" s="1462"/>
      <c r="FE54" s="1462"/>
      <c r="FF54" s="1461"/>
      <c r="FG54" s="1462"/>
      <c r="FH54" s="1462"/>
      <c r="FI54" s="1462"/>
      <c r="FJ54" s="1462"/>
      <c r="FK54" s="1461"/>
      <c r="FL54" s="1462"/>
      <c r="FM54" s="1462"/>
      <c r="FN54" s="1462"/>
      <c r="FO54" s="1462"/>
      <c r="FP54" s="1461"/>
      <c r="FQ54" s="1462"/>
      <c r="FR54" s="1462"/>
      <c r="FS54" s="1462"/>
      <c r="FT54" s="1462"/>
      <c r="FU54" s="1461"/>
      <c r="FV54" s="1462"/>
      <c r="FW54" s="1462"/>
      <c r="FX54" s="1462"/>
      <c r="FY54" s="1462"/>
      <c r="FZ54" s="1461"/>
      <c r="GA54" s="1462"/>
      <c r="GB54" s="1462"/>
      <c r="GC54" s="1462"/>
      <c r="GD54" s="1462"/>
      <c r="GE54" s="1461"/>
      <c r="GF54" s="1462"/>
      <c r="GG54" s="1462"/>
      <c r="GH54" s="1462"/>
      <c r="GI54" s="1462"/>
      <c r="GJ54" s="1461"/>
    </row>
    <row r="55" spans="1:192" s="701" customFormat="1" ht="12.75" customHeight="1" outlineLevel="1">
      <c r="A55" s="850" t="s">
        <v>319</v>
      </c>
      <c r="B55" s="700"/>
      <c r="C55" s="503"/>
      <c r="D55" s="503"/>
      <c r="E55" s="503"/>
      <c r="F55" s="503"/>
      <c r="G55" s="1012"/>
      <c r="H55" s="503"/>
      <c r="I55" s="503"/>
      <c r="J55" s="503"/>
      <c r="K55" s="503"/>
      <c r="L55" s="1012"/>
      <c r="M55" s="925"/>
      <c r="N55" s="925"/>
      <c r="O55" s="925"/>
      <c r="P55" s="925"/>
      <c r="Q55" s="1012"/>
      <c r="R55" s="925"/>
      <c r="S55" s="925"/>
      <c r="T55" s="925"/>
      <c r="U55" s="925"/>
      <c r="V55" s="1012"/>
      <c r="W55" s="925"/>
      <c r="X55" s="925"/>
      <c r="Y55" s="925"/>
      <c r="Z55" s="925"/>
      <c r="AA55" s="1012"/>
      <c r="AB55" s="925"/>
      <c r="AC55" s="925"/>
      <c r="AD55" s="925"/>
      <c r="AE55" s="925"/>
      <c r="AF55" s="1012"/>
      <c r="AG55" s="925"/>
      <c r="AH55" s="925"/>
      <c r="AI55" s="925"/>
      <c r="AJ55" s="925"/>
      <c r="AK55" s="1012"/>
      <c r="AL55" s="503"/>
      <c r="AM55" s="503"/>
      <c r="AN55" s="503"/>
      <c r="AO55" s="503"/>
      <c r="AP55" s="1012"/>
      <c r="AQ55" s="503"/>
      <c r="AR55" s="503"/>
      <c r="AS55" s="503"/>
      <c r="AT55" s="503"/>
      <c r="AU55" s="1012"/>
      <c r="AV55" s="503"/>
      <c r="AW55" s="503"/>
      <c r="AX55" s="503"/>
      <c r="AY55" s="503"/>
      <c r="AZ55" s="1012"/>
      <c r="BA55" s="503"/>
      <c r="BB55" s="503"/>
      <c r="BC55" s="503"/>
      <c r="BD55" s="503"/>
      <c r="BE55" s="1012"/>
      <c r="BF55" s="503"/>
      <c r="BG55" s="503"/>
      <c r="BH55" s="503"/>
      <c r="BI55" s="503"/>
      <c r="BJ55" s="1012"/>
      <c r="BK55" s="503"/>
      <c r="BL55" s="503"/>
      <c r="BM55" s="503"/>
      <c r="BN55" s="503"/>
      <c r="BO55" s="1012"/>
      <c r="BP55" s="503"/>
      <c r="BQ55" s="503"/>
      <c r="BR55" s="503"/>
      <c r="BS55" s="503"/>
      <c r="BT55" s="1012"/>
      <c r="BU55" s="503"/>
      <c r="BV55" s="503"/>
      <c r="BW55" s="503"/>
      <c r="BX55" s="503"/>
      <c r="BY55" s="1012"/>
      <c r="BZ55" s="503"/>
      <c r="CA55" s="503"/>
      <c r="CB55" s="503"/>
      <c r="CC55" s="503"/>
      <c r="CD55" s="1012"/>
      <c r="CE55" s="503"/>
      <c r="CF55" s="503"/>
      <c r="CG55" s="503"/>
      <c r="CH55" s="503"/>
      <c r="CI55" s="1012"/>
      <c r="CJ55" s="503"/>
      <c r="CK55" s="503"/>
      <c r="CL55" s="503"/>
      <c r="CM55" s="503"/>
      <c r="CN55" s="1012"/>
      <c r="CO55" s="503"/>
      <c r="CP55" s="503"/>
      <c r="CQ55" s="503"/>
      <c r="CR55" s="503"/>
      <c r="CS55" s="1012"/>
      <c r="CT55" s="503"/>
      <c r="CU55" s="503"/>
      <c r="CV55" s="503"/>
      <c r="CW55" s="503"/>
      <c r="CX55" s="1012"/>
      <c r="CY55" s="503"/>
      <c r="CZ55" s="503"/>
      <c r="DA55" s="503"/>
      <c r="DB55" s="503"/>
      <c r="DC55" s="1012"/>
      <c r="DD55" s="503"/>
      <c r="DE55" s="503"/>
      <c r="DF55" s="503"/>
      <c r="DG55" s="503"/>
      <c r="DH55" s="1012"/>
      <c r="DI55" s="503"/>
      <c r="DJ55" s="503"/>
      <c r="DK55" s="503"/>
      <c r="DL55" s="503"/>
      <c r="DM55" s="1012"/>
      <c r="DN55" s="503"/>
      <c r="DO55" s="503"/>
      <c r="DP55" s="503"/>
      <c r="DQ55" s="503"/>
      <c r="DR55" s="1012"/>
      <c r="DS55" s="503"/>
      <c r="DT55" s="503"/>
      <c r="DU55" s="503"/>
      <c r="DV55" s="503"/>
      <c r="DW55" s="1012"/>
      <c r="DX55" s="503"/>
      <c r="DY55" s="503"/>
      <c r="DZ55" s="503"/>
      <c r="EA55" s="503"/>
      <c r="EB55" s="1012"/>
      <c r="EC55" s="503"/>
      <c r="ED55" s="503"/>
      <c r="EE55" s="503"/>
      <c r="EF55" s="503"/>
      <c r="EG55" s="1012"/>
      <c r="EH55" s="1013"/>
      <c r="EI55" s="1014"/>
      <c r="EJ55" s="1014"/>
      <c r="EK55" s="1014"/>
      <c r="EL55" s="1015"/>
      <c r="EM55" s="1014"/>
      <c r="EN55" s="1014"/>
      <c r="EO55" s="1014"/>
      <c r="EP55" s="1014"/>
      <c r="EQ55" s="1015"/>
      <c r="ER55" s="503"/>
      <c r="ES55" s="503"/>
      <c r="ET55" s="1014"/>
      <c r="EU55" s="1014"/>
      <c r="EV55" s="1015"/>
      <c r="EW55" s="503"/>
      <c r="EX55" s="503"/>
      <c r="EY55" s="1014"/>
      <c r="EZ55" s="1014"/>
      <c r="FA55" s="1015"/>
      <c r="FB55" s="503"/>
      <c r="FC55" s="503"/>
      <c r="FD55" s="503"/>
      <c r="FE55" s="503"/>
      <c r="FF55" s="1012"/>
      <c r="FG55" s="503"/>
      <c r="FH55" s="503"/>
      <c r="FI55" s="503"/>
      <c r="FJ55" s="503"/>
      <c r="FK55" s="1012"/>
      <c r="FL55" s="503"/>
      <c r="FM55" s="503"/>
      <c r="FN55" s="503"/>
      <c r="FO55" s="503"/>
      <c r="FP55" s="1012"/>
      <c r="FQ55" s="503"/>
      <c r="FR55" s="503"/>
      <c r="FS55" s="503"/>
      <c r="FT55" s="503"/>
      <c r="FU55" s="1012"/>
      <c r="FV55" s="503"/>
      <c r="FW55" s="503"/>
      <c r="FX55" s="503"/>
      <c r="FY55" s="503"/>
      <c r="FZ55" s="1012"/>
      <c r="GA55" s="503"/>
      <c r="GB55" s="503"/>
      <c r="GC55" s="503"/>
      <c r="GD55" s="503"/>
      <c r="GE55" s="1012"/>
      <c r="GF55" s="503"/>
      <c r="GG55" s="503"/>
      <c r="GH55" s="503"/>
      <c r="GI55" s="503"/>
      <c r="GJ55" s="1012"/>
    </row>
    <row r="56" spans="1:192" s="461" customFormat="1" ht="12.75" customHeight="1" outlineLevel="1">
      <c r="A56" s="68" t="s">
        <v>385</v>
      </c>
      <c r="B56" s="975" t="s">
        <v>194</v>
      </c>
      <c r="C56" s="624"/>
      <c r="D56" s="624"/>
      <c r="E56" s="624"/>
      <c r="F56" s="624"/>
      <c r="G56" s="622"/>
      <c r="H56" s="624"/>
      <c r="I56" s="624"/>
      <c r="J56" s="624"/>
      <c r="K56" s="624"/>
      <c r="L56" s="622"/>
      <c r="M56" s="624"/>
      <c r="N56" s="624"/>
      <c r="O56" s="624"/>
      <c r="P56" s="624"/>
      <c r="Q56" s="622"/>
      <c r="R56" s="981"/>
      <c r="S56" s="981"/>
      <c r="T56" s="981"/>
      <c r="U56" s="981"/>
      <c r="V56" s="622"/>
      <c r="W56" s="981"/>
      <c r="X56" s="981"/>
      <c r="Y56" s="981"/>
      <c r="Z56" s="981"/>
      <c r="AA56" s="622"/>
      <c r="AB56" s="981"/>
      <c r="AC56" s="981"/>
      <c r="AD56" s="981"/>
      <c r="AE56" s="981"/>
      <c r="AF56" s="622"/>
      <c r="AG56" s="981"/>
      <c r="AH56" s="981"/>
      <c r="AI56" s="981"/>
      <c r="AJ56" s="981"/>
      <c r="AK56" s="622"/>
      <c r="AL56" s="624"/>
      <c r="AM56" s="624"/>
      <c r="AN56" s="624"/>
      <c r="AO56" s="624"/>
      <c r="AP56" s="622"/>
      <c r="AQ56" s="624"/>
      <c r="AR56" s="624"/>
      <c r="AS56" s="624"/>
      <c r="AT56" s="624"/>
      <c r="AU56" s="622"/>
      <c r="AV56" s="624"/>
      <c r="AW56" s="624"/>
      <c r="AX56" s="624"/>
      <c r="AY56" s="624"/>
      <c r="AZ56" s="622"/>
      <c r="BA56" s="624"/>
      <c r="BB56" s="624"/>
      <c r="BC56" s="624"/>
      <c r="BD56" s="624"/>
      <c r="BE56" s="622"/>
      <c r="BF56" s="624"/>
      <c r="BG56" s="624"/>
      <c r="BH56" s="624"/>
      <c r="BI56" s="624"/>
      <c r="BJ56" s="622"/>
      <c r="BK56" s="624"/>
      <c r="BL56" s="624"/>
      <c r="BM56" s="624"/>
      <c r="BN56" s="624"/>
      <c r="BO56" s="622"/>
      <c r="BP56" s="624"/>
      <c r="BQ56" s="624"/>
      <c r="BR56" s="624"/>
      <c r="BS56" s="624"/>
      <c r="BT56" s="622"/>
      <c r="BU56" s="624"/>
      <c r="BV56" s="624"/>
      <c r="BW56" s="624"/>
      <c r="BX56" s="624"/>
      <c r="BY56" s="622"/>
      <c r="BZ56" s="624"/>
      <c r="CA56" s="624"/>
      <c r="CB56" s="624"/>
      <c r="CC56" s="624"/>
      <c r="CD56" s="622"/>
      <c r="CE56" s="624"/>
      <c r="CF56" s="624"/>
      <c r="CG56" s="624"/>
      <c r="CH56" s="624"/>
      <c r="CI56" s="622"/>
      <c r="CJ56" s="624"/>
      <c r="CK56" s="624"/>
      <c r="CL56" s="624"/>
      <c r="CM56" s="624"/>
      <c r="CN56" s="622"/>
      <c r="CO56" s="624"/>
      <c r="CP56" s="624"/>
      <c r="CQ56" s="624"/>
      <c r="CR56" s="624"/>
      <c r="CS56" s="622"/>
      <c r="CT56" s="624"/>
      <c r="CU56" s="624"/>
      <c r="CV56" s="624"/>
      <c r="CW56" s="624"/>
      <c r="CX56" s="622"/>
      <c r="CY56" s="624"/>
      <c r="CZ56" s="624"/>
      <c r="DA56" s="624"/>
      <c r="DB56" s="624"/>
      <c r="DC56" s="622"/>
      <c r="DD56" s="619">
        <f t="shared" ref="DD56:EY56" si="36">DD27</f>
      </c>
      <c r="DE56" s="619">
        <f t="shared" si="36"/>
      </c>
      <c r="DF56" s="619">
        <f t="shared" si="36"/>
      </c>
      <c r="DG56" s="619">
        <f t="shared" si="36"/>
      </c>
      <c r="DH56" s="622">
        <f t="shared" si="36"/>
      </c>
      <c r="DI56" s="619">
        <f t="shared" si="36"/>
      </c>
      <c r="DJ56" s="619">
        <f t="shared" si="36"/>
      </c>
      <c r="DK56" s="619">
        <f t="shared" si="36"/>
      </c>
      <c r="DL56" s="619">
        <f t="shared" si="36"/>
      </c>
      <c r="DM56" s="622">
        <f t="shared" si="36"/>
      </c>
      <c r="DN56" s="619">
        <f t="shared" si="36"/>
      </c>
      <c r="DO56" s="619">
        <f t="shared" si="36"/>
      </c>
      <c r="DP56" s="619">
        <f t="shared" si="36"/>
      </c>
      <c r="DQ56" s="619">
        <f t="shared" si="36"/>
      </c>
      <c r="DR56" s="622">
        <f t="shared" si="36"/>
      </c>
      <c r="DS56" s="619">
        <f t="shared" si="36"/>
      </c>
      <c r="DT56" s="619">
        <f t="shared" si="36"/>
      </c>
      <c r="DU56" s="619">
        <f t="shared" si="36"/>
      </c>
      <c r="DV56" s="619">
        <f t="shared" si="36"/>
      </c>
      <c r="DW56" s="622">
        <f t="shared" si="36"/>
      </c>
      <c r="DX56" s="619">
        <f t="shared" si="36"/>
      </c>
      <c r="DY56" s="619">
        <f t="shared" si="36"/>
      </c>
      <c r="DZ56" s="619">
        <f t="shared" si="36"/>
      </c>
      <c r="EA56" s="619">
        <f t="shared" si="36"/>
      </c>
      <c r="EB56" s="622">
        <f t="shared" si="36"/>
      </c>
      <c r="EC56" s="619">
        <f t="shared" si="36"/>
      </c>
      <c r="ED56" s="619">
        <f t="shared" si="36"/>
      </c>
      <c r="EE56" s="619">
        <f t="shared" si="36"/>
      </c>
      <c r="EF56" s="619">
        <f t="shared" si="36"/>
      </c>
      <c r="EG56" s="622">
        <f t="shared" si="36"/>
      </c>
      <c r="EH56" s="619">
        <f t="shared" si="36"/>
      </c>
      <c r="EI56" s="619">
        <f t="shared" si="36"/>
      </c>
      <c r="EJ56" s="619">
        <f t="shared" si="36"/>
      </c>
      <c r="EK56" s="619">
        <f t="shared" si="36"/>
      </c>
      <c r="EL56" s="622">
        <f t="shared" si="36"/>
      </c>
      <c r="EM56" s="619">
        <f t="shared" si="36"/>
      </c>
      <c r="EN56" s="619">
        <f t="shared" si="36"/>
      </c>
      <c r="EO56" s="619">
        <f t="shared" si="36"/>
      </c>
      <c r="EP56" s="619">
        <f t="shared" si="36"/>
      </c>
      <c r="EQ56" s="622">
        <f t="shared" si="36"/>
      </c>
      <c r="ER56" s="619">
        <f t="shared" si="36"/>
      </c>
      <c r="ES56" s="619">
        <f t="shared" si="36"/>
      </c>
      <c r="ET56" s="619">
        <f t="shared" si="36"/>
      </c>
      <c r="EU56" s="619">
        <f t="shared" si="36"/>
      </c>
      <c r="EV56" s="622">
        <f t="shared" si="36"/>
      </c>
      <c r="EW56" s="619">
        <f t="shared" si="36"/>
      </c>
      <c r="EX56" s="619">
        <f t="shared" si="36"/>
      </c>
      <c r="EY56" s="619">
        <f t="shared" si="36"/>
      </c>
      <c r="EZ56" s="619">
        <f t="shared" ref="EZ56:FA56" si="37">EZ27</f>
      </c>
      <c r="FA56" s="622">
        <f t="shared" si="37"/>
      </c>
      <c r="FB56" s="619"/>
      <c r="FC56" s="619"/>
      <c r="FD56" s="619"/>
      <c r="FE56" s="619"/>
      <c r="FF56" s="622"/>
      <c r="FG56" s="619"/>
      <c r="FH56" s="619"/>
      <c r="FI56" s="619"/>
      <c r="FJ56" s="619"/>
      <c r="FK56" s="622"/>
      <c r="FL56" s="619"/>
      <c r="FM56" s="619"/>
      <c r="FN56" s="619"/>
      <c r="FO56" s="619"/>
      <c r="FP56" s="622"/>
      <c r="FQ56" s="619"/>
      <c r="FR56" s="619"/>
      <c r="FS56" s="619"/>
      <c r="FT56" s="619"/>
      <c r="FU56" s="622"/>
      <c r="FV56" s="619"/>
      <c r="FW56" s="619"/>
      <c r="FX56" s="619"/>
      <c r="FY56" s="619"/>
      <c r="FZ56" s="622"/>
      <c r="GA56" s="619"/>
      <c r="GB56" s="619"/>
      <c r="GC56" s="619"/>
      <c r="GD56" s="619"/>
      <c r="GE56" s="622"/>
      <c r="GF56" s="619"/>
      <c r="GG56" s="619"/>
      <c r="GH56" s="619"/>
      <c r="GI56" s="619"/>
      <c r="GJ56" s="622"/>
    </row>
    <row r="57" spans="1:192" s="1031" customFormat="1" ht="12.75" customHeight="1" outlineLevel="1">
      <c r="A57" s="1027"/>
      <c r="B57" s="727" t="s">
        <v>34</v>
      </c>
      <c r="C57" s="1028"/>
      <c r="D57" s="1028"/>
      <c r="E57" s="1028"/>
      <c r="F57" s="1028"/>
      <c r="G57" s="1029"/>
      <c r="H57" s="1028"/>
      <c r="I57" s="1028"/>
      <c r="J57" s="1028"/>
      <c r="K57" s="1028"/>
      <c r="L57" s="1029"/>
      <c r="M57" s="1028"/>
      <c r="N57" s="1028"/>
      <c r="O57" s="1028"/>
      <c r="P57" s="1028"/>
      <c r="Q57" s="1029"/>
      <c r="R57" s="1030"/>
      <c r="S57" s="1030"/>
      <c r="T57" s="1030"/>
      <c r="U57" s="1030"/>
      <c r="V57" s="1029"/>
      <c r="W57" s="1030"/>
      <c r="X57" s="1030"/>
      <c r="Y57" s="1030"/>
      <c r="Z57" s="1030"/>
      <c r="AA57" s="1029"/>
      <c r="AB57" s="1030"/>
      <c r="AC57" s="1030"/>
      <c r="AD57" s="1030"/>
      <c r="AE57" s="1030"/>
      <c r="AF57" s="1029"/>
      <c r="AG57" s="1030"/>
      <c r="AH57" s="1030"/>
      <c r="AI57" s="1030"/>
      <c r="AJ57" s="1030"/>
      <c r="AK57" s="1029"/>
      <c r="AL57" s="1028"/>
      <c r="AM57" s="1028"/>
      <c r="AN57" s="1028"/>
      <c r="AO57" s="1028"/>
      <c r="AP57" s="1029"/>
      <c r="AQ57" s="1028"/>
      <c r="AR57" s="1028"/>
      <c r="AS57" s="1028"/>
      <c r="AT57" s="1028"/>
      <c r="AU57" s="1029"/>
      <c r="AV57" s="1028"/>
      <c r="AW57" s="1028"/>
      <c r="AX57" s="1028"/>
      <c r="AY57" s="1028"/>
      <c r="AZ57" s="1029"/>
      <c r="BA57" s="1028"/>
      <c r="BB57" s="1028"/>
      <c r="BC57" s="1028"/>
      <c r="BD57" s="1028"/>
      <c r="BE57" s="1029"/>
      <c r="BF57" s="1028"/>
      <c r="BG57" s="1028"/>
      <c r="BH57" s="1028"/>
      <c r="BI57" s="1028"/>
      <c r="BJ57" s="1029"/>
      <c r="BK57" s="1028"/>
      <c r="BL57" s="1028"/>
      <c r="BM57" s="1028"/>
      <c r="BN57" s="1028"/>
      <c r="BO57" s="1029"/>
      <c r="BP57" s="1028"/>
      <c r="BQ57" s="1028"/>
      <c r="BR57" s="1028"/>
      <c r="BS57" s="1028"/>
      <c r="BT57" s="1029"/>
      <c r="BU57" s="1028"/>
      <c r="BV57" s="1028"/>
      <c r="BW57" s="1028"/>
      <c r="BX57" s="1028"/>
      <c r="BY57" s="1029"/>
      <c r="BZ57" s="1028"/>
      <c r="CA57" s="1028"/>
      <c r="CB57" s="1028"/>
      <c r="CC57" s="1028"/>
      <c r="CD57" s="1029"/>
      <c r="CE57" s="1028"/>
      <c r="CF57" s="1028"/>
      <c r="CG57" s="1028"/>
      <c r="CH57" s="1028"/>
      <c r="CI57" s="1029"/>
      <c r="CJ57" s="1028"/>
      <c r="CK57" s="1028"/>
      <c r="CL57" s="1028"/>
      <c r="CM57" s="1028"/>
      <c r="CN57" s="1029"/>
      <c r="CO57" s="1028"/>
      <c r="CP57" s="1028"/>
      <c r="CQ57" s="1028"/>
      <c r="CR57" s="1028"/>
      <c r="CS57" s="1029"/>
      <c r="CT57" s="1028"/>
      <c r="CU57" s="1028"/>
      <c r="CV57" s="1028"/>
      <c r="CW57" s="1028"/>
      <c r="CX57" s="1461"/>
      <c r="CY57" s="1462"/>
      <c r="CZ57" s="1462"/>
      <c r="DA57" s="1462"/>
      <c r="DB57" s="1462"/>
      <c r="DC57" s="1461"/>
      <c r="DD57" s="1462"/>
      <c r="DE57" s="1462"/>
      <c r="DF57" s="1462"/>
      <c r="DG57" s="1462"/>
      <c r="DH57" s="1461"/>
      <c r="DI57" s="1462">
        <f t="shared" ref="DI57:ET57" si="38">DI56/DD56-1</f>
      </c>
      <c r="DJ57" s="1462">
        <f t="shared" si="38"/>
      </c>
      <c r="DK57" s="1462">
        <f t="shared" si="38"/>
      </c>
      <c r="DL57" s="1462">
        <f t="shared" si="38"/>
      </c>
      <c r="DM57" s="1461">
        <f t="shared" si="38"/>
      </c>
      <c r="DN57" s="1462">
        <f t="shared" si="38"/>
      </c>
      <c r="DO57" s="1462">
        <f t="shared" si="38"/>
      </c>
      <c r="DP57" s="1462">
        <f t="shared" si="38"/>
      </c>
      <c r="DQ57" s="1462">
        <f t="shared" si="38"/>
      </c>
      <c r="DR57" s="1461">
        <f t="shared" si="38"/>
      </c>
      <c r="DS57" s="1462">
        <f t="shared" si="38"/>
      </c>
      <c r="DT57" s="1462">
        <f t="shared" si="38"/>
      </c>
      <c r="DU57" s="1462">
        <f t="shared" si="38"/>
      </c>
      <c r="DV57" s="1462">
        <f t="shared" si="38"/>
      </c>
      <c r="DW57" s="1461">
        <f t="shared" si="38"/>
      </c>
      <c r="DX57" s="1462">
        <f t="shared" si="38"/>
      </c>
      <c r="DY57" s="1462">
        <f t="shared" si="38"/>
      </c>
      <c r="DZ57" s="1462">
        <f t="shared" si="38"/>
      </c>
      <c r="EA57" s="1462">
        <f t="shared" si="38"/>
      </c>
      <c r="EB57" s="1461">
        <f t="shared" si="38"/>
      </c>
      <c r="EC57" s="1462">
        <f t="shared" si="38"/>
      </c>
      <c r="ED57" s="1462">
        <f t="shared" si="38"/>
      </c>
      <c r="EE57" s="1462">
        <f t="shared" si="38"/>
      </c>
      <c r="EF57" s="1462">
        <f t="shared" si="38"/>
      </c>
      <c r="EG57" s="1461">
        <f t="shared" si="38"/>
      </c>
      <c r="EH57" s="1462">
        <f t="shared" si="38"/>
      </c>
      <c r="EI57" s="1462">
        <f t="shared" si="38"/>
      </c>
      <c r="EJ57" s="1462">
        <f t="shared" si="38"/>
      </c>
      <c r="EK57" s="1462">
        <f t="shared" si="38"/>
      </c>
      <c r="EL57" s="1461">
        <f t="shared" si="38"/>
      </c>
      <c r="EM57" s="1462">
        <f t="shared" si="38"/>
      </c>
      <c r="EN57" s="1462">
        <f t="shared" si="38"/>
      </c>
      <c r="EO57" s="1462">
        <f t="shared" si="38"/>
      </c>
      <c r="EP57" s="1462">
        <f t="shared" si="38"/>
      </c>
      <c r="EQ57" s="1461">
        <f t="shared" si="38"/>
      </c>
      <c r="ER57" s="1462">
        <f t="shared" si="38"/>
      </c>
      <c r="ES57" s="1462">
        <f t="shared" si="38"/>
      </c>
      <c r="ET57" s="1462">
        <f t="shared" si="38"/>
      </c>
      <c r="EU57" s="1462">
        <f>EU56/EP56-1</f>
      </c>
      <c r="EV57" s="1461">
        <f>EV56/EQ56-1</f>
      </c>
      <c r="EW57" s="1462">
        <f t="shared" ref="EW57:EY57" si="39">EW56/ER56-1</f>
      </c>
      <c r="EX57" s="1462">
        <f t="shared" si="39"/>
      </c>
      <c r="EY57" s="1462">
        <f t="shared" si="39"/>
      </c>
      <c r="EZ57" s="1462">
        <f>EZ56/EU56-1</f>
      </c>
      <c r="FA57" s="1461">
        <f>FA56/EV56-1</f>
      </c>
      <c r="FB57" s="1462"/>
      <c r="FC57" s="1462"/>
      <c r="FD57" s="1462"/>
      <c r="FE57" s="1462"/>
      <c r="FF57" s="1461"/>
      <c r="FG57" s="1462"/>
      <c r="FH57" s="1462"/>
      <c r="FI57" s="1462"/>
      <c r="FJ57" s="1462"/>
      <c r="FK57" s="1461"/>
      <c r="FL57" s="1462"/>
      <c r="FM57" s="1462"/>
      <c r="FN57" s="1462"/>
      <c r="FO57" s="1462"/>
      <c r="FP57" s="1461"/>
      <c r="FQ57" s="1462"/>
      <c r="FR57" s="1462"/>
      <c r="FS57" s="1462"/>
      <c r="FT57" s="1462"/>
      <c r="FU57" s="1461"/>
      <c r="FV57" s="1462"/>
      <c r="FW57" s="1462"/>
      <c r="FX57" s="1462"/>
      <c r="FY57" s="1462"/>
      <c r="FZ57" s="1461"/>
      <c r="GA57" s="1462"/>
      <c r="GB57" s="1462"/>
      <c r="GC57" s="1462"/>
      <c r="GD57" s="1462"/>
      <c r="GE57" s="1461"/>
      <c r="GF57" s="1462"/>
      <c r="GG57" s="1462"/>
      <c r="GH57" s="1462"/>
      <c r="GI57" s="1462"/>
      <c r="GJ57" s="1461"/>
    </row>
    <row r="58" spans="1:192" s="1031" customFormat="1" ht="12.75" customHeight="1" outlineLevel="1">
      <c r="A58" s="1027"/>
      <c r="B58" s="727" t="s">
        <v>36</v>
      </c>
      <c r="C58" s="1028"/>
      <c r="D58" s="1028"/>
      <c r="E58" s="1028"/>
      <c r="F58" s="1028"/>
      <c r="G58" s="1029"/>
      <c r="H58" s="1028"/>
      <c r="I58" s="1028"/>
      <c r="J58" s="1028"/>
      <c r="K58" s="1028"/>
      <c r="L58" s="1029"/>
      <c r="M58" s="1028"/>
      <c r="N58" s="1028"/>
      <c r="O58" s="1028"/>
      <c r="P58" s="1028"/>
      <c r="Q58" s="1029"/>
      <c r="R58" s="1030"/>
      <c r="S58" s="1030"/>
      <c r="T58" s="1030"/>
      <c r="U58" s="1030"/>
      <c r="V58" s="1029"/>
      <c r="W58" s="1030"/>
      <c r="X58" s="1030"/>
      <c r="Y58" s="1030"/>
      <c r="Z58" s="1030"/>
      <c r="AA58" s="1029"/>
      <c r="AB58" s="1030"/>
      <c r="AC58" s="1030"/>
      <c r="AD58" s="1030"/>
      <c r="AE58" s="1030"/>
      <c r="AF58" s="1029"/>
      <c r="AG58" s="1030"/>
      <c r="AH58" s="1030"/>
      <c r="AI58" s="1030"/>
      <c r="AJ58" s="1030"/>
      <c r="AK58" s="1029"/>
      <c r="AL58" s="1028"/>
      <c r="AM58" s="1028"/>
      <c r="AN58" s="1028"/>
      <c r="AO58" s="1028"/>
      <c r="AP58" s="1029"/>
      <c r="AQ58" s="1028"/>
      <c r="AR58" s="1028"/>
      <c r="AS58" s="1028"/>
      <c r="AT58" s="1028"/>
      <c r="AU58" s="1029"/>
      <c r="AV58" s="1028"/>
      <c r="AW58" s="1028"/>
      <c r="AX58" s="1028"/>
      <c r="AY58" s="1028"/>
      <c r="AZ58" s="1029"/>
      <c r="BA58" s="1028"/>
      <c r="BB58" s="1028"/>
      <c r="BC58" s="1028"/>
      <c r="BD58" s="1028"/>
      <c r="BE58" s="1029"/>
      <c r="BF58" s="1028"/>
      <c r="BG58" s="1028"/>
      <c r="BH58" s="1028"/>
      <c r="BI58" s="1028"/>
      <c r="BJ58" s="1029"/>
      <c r="BK58" s="1028"/>
      <c r="BL58" s="1028"/>
      <c r="BM58" s="1028"/>
      <c r="BN58" s="1028"/>
      <c r="BO58" s="1029"/>
      <c r="BP58" s="1028"/>
      <c r="BQ58" s="1028"/>
      <c r="BR58" s="1028"/>
      <c r="BS58" s="1028"/>
      <c r="BT58" s="1029"/>
      <c r="BU58" s="1028"/>
      <c r="BV58" s="1028"/>
      <c r="BW58" s="1028"/>
      <c r="BX58" s="1028"/>
      <c r="BY58" s="1029"/>
      <c r="BZ58" s="1028"/>
      <c r="CA58" s="1028"/>
      <c r="CB58" s="1028"/>
      <c r="CC58" s="1028"/>
      <c r="CD58" s="1029"/>
      <c r="CE58" s="1028"/>
      <c r="CF58" s="1028"/>
      <c r="CG58" s="1028"/>
      <c r="CH58" s="1028"/>
      <c r="CI58" s="1029"/>
      <c r="CJ58" s="1028"/>
      <c r="CK58" s="1028"/>
      <c r="CL58" s="1028"/>
      <c r="CM58" s="1028"/>
      <c r="CN58" s="1029"/>
      <c r="CO58" s="1028"/>
      <c r="CP58" s="1028"/>
      <c r="CQ58" s="1028"/>
      <c r="CR58" s="1028"/>
      <c r="CS58" s="1029"/>
      <c r="CT58" s="1028"/>
      <c r="CU58" s="1028"/>
      <c r="CV58" s="1028"/>
      <c r="CW58" s="1028"/>
      <c r="CX58" s="1461"/>
      <c r="CY58" s="1462"/>
      <c r="CZ58" s="1462"/>
      <c r="DA58" s="1462"/>
      <c r="DB58" s="1462"/>
      <c r="DC58" s="1461"/>
      <c r="DD58" s="1462"/>
      <c r="DE58" s="1462">
        <f>DE56/DD56-1</f>
      </c>
      <c r="DF58" s="1462">
        <f>DF56/DE56-1</f>
      </c>
      <c r="DG58" s="1462">
        <f>DG56/DF56-1</f>
      </c>
      <c r="DH58" s="1461"/>
      <c r="DI58" s="1462">
        <f>DI56/DG56-1</f>
      </c>
      <c r="DJ58" s="1462">
        <f>DJ56/DI56-1</f>
      </c>
      <c r="DK58" s="1462">
        <f>DK56/DJ56-1</f>
      </c>
      <c r="DL58" s="1462">
        <f>DL56/DK56-1</f>
      </c>
      <c r="DM58" s="1461"/>
      <c r="DN58" s="1462">
        <f>DN56/DL56-1</f>
      </c>
      <c r="DO58" s="1462">
        <f>DO56/DN56-1</f>
      </c>
      <c r="DP58" s="1462">
        <f>DP56/DO56-1</f>
      </c>
      <c r="DQ58" s="1462">
        <f>DQ56/DP56-1</f>
      </c>
      <c r="DR58" s="1461"/>
      <c r="DS58" s="1462">
        <f>DS56/DQ56-1</f>
      </c>
      <c r="DT58" s="1462">
        <f>DT56/DS56-1</f>
      </c>
      <c r="DU58" s="1462">
        <f>DU56/DT56-1</f>
      </c>
      <c r="DV58" s="1462">
        <f>DV56/DU56-1</f>
      </c>
      <c r="DW58" s="1461"/>
      <c r="DX58" s="1462">
        <f>DX56/DV56-1</f>
      </c>
      <c r="DY58" s="1462">
        <f>DY56/DX56-1</f>
      </c>
      <c r="DZ58" s="1462">
        <f>DZ56/DY56-1</f>
      </c>
      <c r="EA58" s="1462">
        <f>EA56/DZ56-1</f>
      </c>
      <c r="EB58" s="1461"/>
      <c r="EC58" s="1462">
        <f>EC56/EA56-1</f>
      </c>
      <c r="ED58" s="1462">
        <f>ED56/EC56-1</f>
      </c>
      <c r="EE58" s="1462">
        <f>EE56/ED56-1</f>
      </c>
      <c r="EF58" s="1462">
        <f>EF56/EE56-1</f>
      </c>
      <c r="EG58" s="1461"/>
      <c r="EH58" s="1462">
        <f>EH56/EF56-1</f>
      </c>
      <c r="EI58" s="1462">
        <f>EI56/EH56-1</f>
      </c>
      <c r="EJ58" s="1462">
        <f>EJ56/EI56-1</f>
      </c>
      <c r="EK58" s="1462">
        <f>EK56/EJ56-1</f>
      </c>
      <c r="EL58" s="1461"/>
      <c r="EM58" s="1462">
        <f>EM56/EK56-1</f>
      </c>
      <c r="EN58" s="1462">
        <f>EN56/EM56-1</f>
      </c>
      <c r="EO58" s="1462">
        <f>EO56/EN56-1</f>
      </c>
      <c r="EP58" s="1462">
        <f>EP56/EO56-1</f>
      </c>
      <c r="EQ58" s="1461"/>
      <c r="ER58" s="1462">
        <f>ER56/EP56-1</f>
      </c>
      <c r="ES58" s="1462">
        <f>ES56/ER56-1</f>
      </c>
      <c r="ET58" s="1462">
        <f>ET56/ES56-1</f>
      </c>
      <c r="EU58" s="1462">
        <f>EU56/ET56-1</f>
      </c>
      <c r="EV58" s="1461"/>
      <c r="EW58" s="1462">
        <f>EW56/EU56-1</f>
      </c>
      <c r="EX58" s="1462">
        <f>EX56/EW56-1</f>
      </c>
      <c r="EY58" s="1462">
        <f>EY56/EX56-1</f>
      </c>
      <c r="EZ58" s="1462">
        <f>EZ56/EY56-1</f>
      </c>
      <c r="FA58" s="1461"/>
      <c r="FB58" s="1462"/>
      <c r="FC58" s="1462"/>
      <c r="FD58" s="1462"/>
      <c r="FE58" s="1462"/>
      <c r="FF58" s="1461"/>
      <c r="FG58" s="1462"/>
      <c r="FH58" s="1462"/>
      <c r="FI58" s="1462"/>
      <c r="FJ58" s="1462"/>
      <c r="FK58" s="1461"/>
      <c r="FL58" s="1462"/>
      <c r="FM58" s="1462"/>
      <c r="FN58" s="1462"/>
      <c r="FO58" s="1462"/>
      <c r="FP58" s="1461"/>
      <c r="FQ58" s="1462"/>
      <c r="FR58" s="1462"/>
      <c r="FS58" s="1462"/>
      <c r="FT58" s="1462"/>
      <c r="FU58" s="1461"/>
      <c r="FV58" s="1462"/>
      <c r="FW58" s="1462"/>
      <c r="FX58" s="1462"/>
      <c r="FY58" s="1462"/>
      <c r="FZ58" s="1461"/>
      <c r="GA58" s="1462"/>
      <c r="GB58" s="1462"/>
      <c r="GC58" s="1462"/>
      <c r="GD58" s="1462"/>
      <c r="GE58" s="1461"/>
      <c r="GF58" s="1462"/>
      <c r="GG58" s="1462"/>
      <c r="GH58" s="1462"/>
      <c r="GI58" s="1462"/>
      <c r="GJ58" s="1461"/>
    </row>
    <row r="59" spans="1:192" s="1031" customFormat="1" ht="12.75" customHeight="1" outlineLevel="1">
      <c r="A59" s="1027"/>
      <c r="B59" s="727" t="s">
        <v>196</v>
      </c>
      <c r="C59" s="1028"/>
      <c r="D59" s="1028"/>
      <c r="E59" s="1028"/>
      <c r="F59" s="1028"/>
      <c r="G59" s="1029"/>
      <c r="H59" s="1028"/>
      <c r="I59" s="1028"/>
      <c r="J59" s="1028"/>
      <c r="K59" s="1028"/>
      <c r="L59" s="1029"/>
      <c r="M59" s="1028"/>
      <c r="N59" s="1028"/>
      <c r="O59" s="1028"/>
      <c r="P59" s="1028"/>
      <c r="Q59" s="1029"/>
      <c r="R59" s="1030"/>
      <c r="S59" s="1030"/>
      <c r="T59" s="1030"/>
      <c r="U59" s="1030"/>
      <c r="V59" s="1029"/>
      <c r="W59" s="1030"/>
      <c r="X59" s="1030"/>
      <c r="Y59" s="1030"/>
      <c r="Z59" s="1030"/>
      <c r="AA59" s="1029"/>
      <c r="AB59" s="1030"/>
      <c r="AC59" s="1030"/>
      <c r="AD59" s="1030"/>
      <c r="AE59" s="1030"/>
      <c r="AF59" s="1029"/>
      <c r="AG59" s="1030"/>
      <c r="AH59" s="1030"/>
      <c r="AI59" s="1030"/>
      <c r="AJ59" s="1030"/>
      <c r="AK59" s="1029"/>
      <c r="AL59" s="1028"/>
      <c r="AM59" s="1028"/>
      <c r="AN59" s="1028"/>
      <c r="AO59" s="1028"/>
      <c r="AP59" s="1029"/>
      <c r="AQ59" s="1028"/>
      <c r="AR59" s="1028"/>
      <c r="AS59" s="1028"/>
      <c r="AT59" s="1028"/>
      <c r="AU59" s="1029"/>
      <c r="AV59" s="1028"/>
      <c r="AW59" s="1028"/>
      <c r="AX59" s="1028"/>
      <c r="AY59" s="1028"/>
      <c r="AZ59" s="1029"/>
      <c r="BA59" s="1028"/>
      <c r="BB59" s="1028"/>
      <c r="BC59" s="1028"/>
      <c r="BD59" s="1028"/>
      <c r="BE59" s="1029"/>
      <c r="BF59" s="1028"/>
      <c r="BG59" s="1028"/>
      <c r="BH59" s="1028"/>
      <c r="BI59" s="1028"/>
      <c r="BJ59" s="1029"/>
      <c r="BK59" s="1028"/>
      <c r="BL59" s="1028"/>
      <c r="BM59" s="1028"/>
      <c r="BN59" s="1028"/>
      <c r="BO59" s="1029"/>
      <c r="BP59" s="1028"/>
      <c r="BQ59" s="1028"/>
      <c r="BR59" s="1028"/>
      <c r="BS59" s="1028"/>
      <c r="BT59" s="1029"/>
      <c r="BU59" s="1028"/>
      <c r="BV59" s="1028"/>
      <c r="BW59" s="1028"/>
      <c r="BX59" s="1028"/>
      <c r="BY59" s="1029"/>
      <c r="BZ59" s="1028"/>
      <c r="CA59" s="1028"/>
      <c r="CB59" s="1028"/>
      <c r="CC59" s="1028"/>
      <c r="CD59" s="1029"/>
      <c r="CE59" s="1028"/>
      <c r="CF59" s="1028"/>
      <c r="CG59" s="1028"/>
      <c r="CH59" s="1028"/>
      <c r="CI59" s="1029"/>
      <c r="CJ59" s="1028"/>
      <c r="CK59" s="1028"/>
      <c r="CL59" s="1028"/>
      <c r="CM59" s="1028"/>
      <c r="CN59" s="1029"/>
      <c r="CO59" s="1028"/>
      <c r="CP59" s="1028"/>
      <c r="CQ59" s="1028"/>
      <c r="CR59" s="1028"/>
      <c r="CS59" s="1029"/>
      <c r="CT59" s="1028"/>
      <c r="CU59" s="1028"/>
      <c r="CV59" s="1028"/>
      <c r="CW59" s="1028"/>
      <c r="CX59" s="1461"/>
      <c r="CY59" s="1462"/>
      <c r="CZ59" s="1462"/>
      <c r="DA59" s="1462"/>
      <c r="DB59" s="1462"/>
      <c r="DC59" s="1461"/>
      <c r="DD59" s="1462">
        <f t="shared" ref="DD59:ET59" si="40">DD56/DD$29</f>
      </c>
      <c r="DE59" s="1462">
        <f t="shared" si="40"/>
      </c>
      <c r="DF59" s="1462">
        <f t="shared" si="40"/>
      </c>
      <c r="DG59" s="1462">
        <f t="shared" si="40"/>
      </c>
      <c r="DH59" s="1461">
        <f t="shared" si="40"/>
      </c>
      <c r="DI59" s="1462">
        <f t="shared" si="40"/>
      </c>
      <c r="DJ59" s="1462">
        <f t="shared" si="40"/>
      </c>
      <c r="DK59" s="1462">
        <f t="shared" si="40"/>
      </c>
      <c r="DL59" s="1462">
        <f t="shared" si="40"/>
      </c>
      <c r="DM59" s="1461">
        <f t="shared" si="40"/>
      </c>
      <c r="DN59" s="1462">
        <f t="shared" si="40"/>
      </c>
      <c r="DO59" s="1462">
        <f t="shared" si="40"/>
      </c>
      <c r="DP59" s="1462">
        <f t="shared" si="40"/>
      </c>
      <c r="DQ59" s="1462">
        <f t="shared" si="40"/>
      </c>
      <c r="DR59" s="1461">
        <f t="shared" si="40"/>
      </c>
      <c r="DS59" s="1462">
        <f t="shared" si="40"/>
      </c>
      <c r="DT59" s="1462">
        <f t="shared" si="40"/>
      </c>
      <c r="DU59" s="1462">
        <f t="shared" si="40"/>
      </c>
      <c r="DV59" s="1462">
        <f t="shared" si="40"/>
      </c>
      <c r="DW59" s="1461">
        <f t="shared" si="40"/>
      </c>
      <c r="DX59" s="1462">
        <f t="shared" si="40"/>
      </c>
      <c r="DY59" s="1462">
        <f t="shared" si="40"/>
      </c>
      <c r="DZ59" s="1462">
        <f t="shared" si="40"/>
      </c>
      <c r="EA59" s="1462">
        <f t="shared" si="40"/>
      </c>
      <c r="EB59" s="1461">
        <f t="shared" si="40"/>
      </c>
      <c r="EC59" s="1462">
        <f t="shared" si="40"/>
      </c>
      <c r="ED59" s="1462">
        <f t="shared" si="40"/>
      </c>
      <c r="EE59" s="1462">
        <f t="shared" si="40"/>
      </c>
      <c r="EF59" s="1462">
        <f t="shared" si="40"/>
      </c>
      <c r="EG59" s="1461">
        <f t="shared" si="40"/>
      </c>
      <c r="EH59" s="1462">
        <f t="shared" si="40"/>
      </c>
      <c r="EI59" s="1462">
        <f t="shared" si="40"/>
      </c>
      <c r="EJ59" s="1462">
        <f t="shared" si="40"/>
      </c>
      <c r="EK59" s="1462">
        <f t="shared" si="40"/>
      </c>
      <c r="EL59" s="1461">
        <f t="shared" si="40"/>
      </c>
      <c r="EM59" s="1462">
        <f t="shared" si="40"/>
      </c>
      <c r="EN59" s="1462">
        <f t="shared" si="40"/>
      </c>
      <c r="EO59" s="1462">
        <f t="shared" si="40"/>
      </c>
      <c r="EP59" s="1462">
        <f t="shared" si="40"/>
      </c>
      <c r="EQ59" s="1461">
        <f t="shared" si="40"/>
      </c>
      <c r="ER59" s="1462">
        <f t="shared" si="40"/>
      </c>
      <c r="ES59" s="1462">
        <f t="shared" si="40"/>
      </c>
      <c r="ET59" s="1462">
        <f t="shared" si="40"/>
      </c>
      <c r="EU59" s="1462">
        <f>EU56/EU$29</f>
      </c>
      <c r="EV59" s="1461">
        <f>EV56/EV$29</f>
      </c>
      <c r="EW59" s="1462">
        <f t="shared" ref="EW59:EY59" si="41">EW56/EW$29</f>
      </c>
      <c r="EX59" s="1462">
        <f t="shared" si="41"/>
      </c>
      <c r="EY59" s="1462">
        <f t="shared" si="41"/>
      </c>
      <c r="EZ59" s="1462">
        <f>EZ56/EZ$29</f>
      </c>
      <c r="FA59" s="1461" t="e">
        <f>FA56/FA$29</f>
      </c>
      <c r="FB59" s="1462"/>
      <c r="FC59" s="1462"/>
      <c r="FD59" s="1462"/>
      <c r="FE59" s="1462"/>
      <c r="FF59" s="1461"/>
      <c r="FG59" s="1462"/>
      <c r="FH59" s="1462"/>
      <c r="FI59" s="1462"/>
      <c r="FJ59" s="1462"/>
      <c r="FK59" s="1461"/>
      <c r="FL59" s="1462"/>
      <c r="FM59" s="1462"/>
      <c r="FN59" s="1462"/>
      <c r="FO59" s="1462"/>
      <c r="FP59" s="1461"/>
      <c r="FQ59" s="1462"/>
      <c r="FR59" s="1462"/>
      <c r="FS59" s="1462"/>
      <c r="FT59" s="1462"/>
      <c r="FU59" s="1461"/>
      <c r="FV59" s="1462"/>
      <c r="FW59" s="1462"/>
      <c r="FX59" s="1462"/>
      <c r="FY59" s="1462"/>
      <c r="FZ59" s="1461"/>
      <c r="GA59" s="1462"/>
      <c r="GB59" s="1462"/>
      <c r="GC59" s="1462"/>
      <c r="GD59" s="1462"/>
      <c r="GE59" s="1461"/>
      <c r="GF59" s="1462"/>
      <c r="GG59" s="1462"/>
      <c r="GH59" s="1462"/>
      <c r="GI59" s="1462"/>
      <c r="GJ59" s="1461"/>
    </row>
    <row r="60" spans="1:192" s="1031" customFormat="1" ht="12.75" customHeight="1" outlineLevel="1">
      <c r="A60" s="1027"/>
      <c r="B60" s="727" t="s">
        <v>441</v>
      </c>
      <c r="C60" s="1032"/>
      <c r="D60" s="1033"/>
      <c r="E60" s="1033"/>
      <c r="F60" s="1033"/>
      <c r="G60" s="1034"/>
      <c r="H60" s="1032"/>
      <c r="I60" s="1035"/>
      <c r="J60" s="1035"/>
      <c r="K60" s="1035"/>
      <c r="L60" s="1036"/>
      <c r="M60" s="1037"/>
      <c r="N60" s="1038"/>
      <c r="O60" s="1038"/>
      <c r="P60" s="1038"/>
      <c r="Q60" s="1036"/>
      <c r="R60" s="1037"/>
      <c r="S60" s="1038"/>
      <c r="T60" s="1038"/>
      <c r="U60" s="1038"/>
      <c r="V60" s="1036"/>
      <c r="W60" s="1037"/>
      <c r="X60" s="1038"/>
      <c r="Y60" s="1038"/>
      <c r="Z60" s="1038"/>
      <c r="AA60" s="1036"/>
      <c r="AB60" s="1037"/>
      <c r="AC60" s="1038"/>
      <c r="AD60" s="1038"/>
      <c r="AE60" s="1038"/>
      <c r="AF60" s="1036"/>
      <c r="AG60" s="1037"/>
      <c r="AH60" s="1038"/>
      <c r="AI60" s="1038"/>
      <c r="AJ60" s="1038"/>
      <c r="AK60" s="1036"/>
      <c r="AL60" s="1032"/>
      <c r="AM60" s="1035"/>
      <c r="AN60" s="1035"/>
      <c r="AO60" s="1035"/>
      <c r="AP60" s="1036"/>
      <c r="AQ60" s="1032"/>
      <c r="AR60" s="1035"/>
      <c r="AS60" s="1035"/>
      <c r="AT60" s="1035"/>
      <c r="AU60" s="1036"/>
      <c r="AV60" s="1032"/>
      <c r="AW60" s="1035"/>
      <c r="AX60" s="1035"/>
      <c r="AY60" s="1035"/>
      <c r="AZ60" s="1036"/>
      <c r="BA60" s="1032"/>
      <c r="BB60" s="1035"/>
      <c r="BC60" s="1035"/>
      <c r="BD60" s="1035"/>
      <c r="BE60" s="1036"/>
      <c r="BF60" s="1032"/>
      <c r="BG60" s="1035"/>
      <c r="BH60" s="1035"/>
      <c r="BI60" s="1035"/>
      <c r="BJ60" s="1036"/>
      <c r="BK60" s="1032"/>
      <c r="BL60" s="1035"/>
      <c r="BM60" s="1035"/>
      <c r="BN60" s="1035"/>
      <c r="BO60" s="1036"/>
      <c r="BP60" s="1032"/>
      <c r="BQ60" s="1035"/>
      <c r="BR60" s="1035"/>
      <c r="BS60" s="1035"/>
      <c r="BT60" s="1036"/>
      <c r="BU60" s="1032"/>
      <c r="BV60" s="1035"/>
      <c r="BW60" s="1035"/>
      <c r="BX60" s="1035"/>
      <c r="BY60" s="1036"/>
      <c r="BZ60" s="1032"/>
      <c r="CA60" s="1035"/>
      <c r="CB60" s="1035"/>
      <c r="CC60" s="1035"/>
      <c r="CD60" s="1036"/>
      <c r="CE60" s="1032"/>
      <c r="CF60" s="1035"/>
      <c r="CG60" s="1035"/>
      <c r="CH60" s="1035"/>
      <c r="CI60" s="1036"/>
      <c r="CJ60" s="1032"/>
      <c r="CK60" s="1035"/>
      <c r="CL60" s="1035"/>
      <c r="CM60" s="1035"/>
      <c r="CN60" s="1036"/>
      <c r="CO60" s="1032"/>
      <c r="CP60" s="1035"/>
      <c r="CQ60" s="1035"/>
      <c r="CR60" s="1035"/>
      <c r="CS60" s="1036"/>
      <c r="CT60" s="1032"/>
      <c r="CU60" s="1035"/>
      <c r="CV60" s="1035"/>
      <c r="CW60" s="1035"/>
      <c r="CX60" s="524"/>
      <c r="CY60" s="465"/>
      <c r="CZ60" s="1449"/>
      <c r="DA60" s="1449"/>
      <c r="DB60" s="1449"/>
      <c r="DC60" s="524"/>
      <c r="DD60" s="465">
        <f t="shared" ref="DD60:ET60" si="42">DD56/DD22</f>
      </c>
      <c r="DE60" s="465">
        <f t="shared" si="42"/>
      </c>
      <c r="DF60" s="465">
        <f t="shared" si="42"/>
      </c>
      <c r="DG60" s="465">
        <f t="shared" si="42"/>
      </c>
      <c r="DH60" s="524">
        <f t="shared" si="42"/>
      </c>
      <c r="DI60" s="465">
        <f t="shared" si="42"/>
      </c>
      <c r="DJ60" s="465">
        <f t="shared" si="42"/>
      </c>
      <c r="DK60" s="465">
        <f t="shared" si="42"/>
      </c>
      <c r="DL60" s="465">
        <f t="shared" si="42"/>
      </c>
      <c r="DM60" s="524">
        <f t="shared" si="42"/>
      </c>
      <c r="DN60" s="465">
        <f t="shared" si="42"/>
      </c>
      <c r="DO60" s="465">
        <f t="shared" si="42"/>
      </c>
      <c r="DP60" s="465">
        <f t="shared" si="42"/>
      </c>
      <c r="DQ60" s="465">
        <f t="shared" si="42"/>
      </c>
      <c r="DR60" s="524">
        <f t="shared" si="42"/>
      </c>
      <c r="DS60" s="465">
        <f t="shared" si="42"/>
      </c>
      <c r="DT60" s="465">
        <f t="shared" si="42"/>
      </c>
      <c r="DU60" s="465">
        <f t="shared" si="42"/>
      </c>
      <c r="DV60" s="465">
        <f t="shared" si="42"/>
      </c>
      <c r="DW60" s="524">
        <f t="shared" si="42"/>
      </c>
      <c r="DX60" s="465">
        <f t="shared" si="42"/>
      </c>
      <c r="DY60" s="465">
        <f t="shared" si="42"/>
      </c>
      <c r="DZ60" s="465">
        <f t="shared" si="42"/>
      </c>
      <c r="EA60" s="465">
        <f t="shared" si="42"/>
      </c>
      <c r="EB60" s="524">
        <f t="shared" si="42"/>
      </c>
      <c r="EC60" s="465">
        <f t="shared" si="42"/>
      </c>
      <c r="ED60" s="465">
        <f t="shared" si="42"/>
      </c>
      <c r="EE60" s="465">
        <f t="shared" si="42"/>
      </c>
      <c r="EF60" s="465">
        <f t="shared" si="42"/>
      </c>
      <c r="EG60" s="524">
        <f t="shared" si="42"/>
      </c>
      <c r="EH60" s="465">
        <f t="shared" si="42"/>
      </c>
      <c r="EI60" s="465">
        <f t="shared" si="42"/>
      </c>
      <c r="EJ60" s="465">
        <f t="shared" si="42"/>
      </c>
      <c r="EK60" s="465">
        <f t="shared" si="42"/>
      </c>
      <c r="EL60" s="524">
        <f t="shared" si="42"/>
      </c>
      <c r="EM60" s="465">
        <f t="shared" si="42"/>
      </c>
      <c r="EN60" s="465">
        <f t="shared" si="42"/>
      </c>
      <c r="EO60" s="465">
        <f t="shared" si="42"/>
      </c>
      <c r="EP60" s="465">
        <f t="shared" si="42"/>
      </c>
      <c r="EQ60" s="524">
        <f t="shared" si="42"/>
      </c>
      <c r="ER60" s="465">
        <f t="shared" si="42"/>
      </c>
      <c r="ES60" s="465">
        <f t="shared" si="42"/>
      </c>
      <c r="ET60" s="465">
        <f t="shared" si="42"/>
      </c>
      <c r="EU60" s="465">
        <f>EU56/EU22</f>
      </c>
      <c r="EV60" s="524">
        <f>EV56/EV22</f>
      </c>
      <c r="EW60" s="465">
        <f t="shared" ref="EW60:EY60" si="43">EW56/EW22</f>
      </c>
      <c r="EX60" s="465">
        <f t="shared" si="43"/>
      </c>
      <c r="EY60" s="465">
        <f t="shared" si="43"/>
      </c>
      <c r="EZ60" s="465">
        <f>EZ56/EZ22</f>
      </c>
      <c r="FA60" s="524">
        <f>FA56/FA22</f>
      </c>
      <c r="FB60" s="465"/>
      <c r="FC60" s="1449"/>
      <c r="FD60" s="1449"/>
      <c r="FE60" s="1449"/>
      <c r="FF60" s="524"/>
      <c r="FG60" s="465"/>
      <c r="FH60" s="1449"/>
      <c r="FI60" s="1449"/>
      <c r="FJ60" s="1449"/>
      <c r="FK60" s="524"/>
      <c r="FL60" s="465"/>
      <c r="FM60" s="1449"/>
      <c r="FN60" s="1449"/>
      <c r="FO60" s="1449"/>
      <c r="FP60" s="524"/>
      <c r="FQ60" s="465"/>
      <c r="FR60" s="1449"/>
      <c r="FS60" s="1449"/>
      <c r="FT60" s="1449"/>
      <c r="FU60" s="524"/>
      <c r="FV60" s="465"/>
      <c r="FW60" s="1449"/>
      <c r="FX60" s="1449"/>
      <c r="FY60" s="1449"/>
      <c r="FZ60" s="524"/>
      <c r="GA60" s="465"/>
      <c r="GB60" s="1449"/>
      <c r="GC60" s="1449"/>
      <c r="GD60" s="1449"/>
      <c r="GE60" s="524"/>
      <c r="GF60" s="465"/>
      <c r="GG60" s="1449"/>
      <c r="GH60" s="1449"/>
      <c r="GI60" s="1449"/>
      <c r="GJ60" s="524"/>
    </row>
    <row r="61" spans="1:192" s="1031" customFormat="1" ht="12.75" customHeight="1" outlineLevel="1">
      <c r="A61" s="1027"/>
      <c r="B61" s="727" t="s">
        <v>442</v>
      </c>
      <c r="C61" s="1028"/>
      <c r="D61" s="1028"/>
      <c r="E61" s="1028"/>
      <c r="F61" s="1028"/>
      <c r="G61" s="1029"/>
      <c r="H61" s="1028"/>
      <c r="I61" s="1028"/>
      <c r="J61" s="1028"/>
      <c r="K61" s="1028"/>
      <c r="L61" s="1029"/>
      <c r="M61" s="1030"/>
      <c r="N61" s="1030"/>
      <c r="O61" s="1030"/>
      <c r="P61" s="1030"/>
      <c r="Q61" s="1029"/>
      <c r="R61" s="1030"/>
      <c r="S61" s="1030"/>
      <c r="T61" s="1030"/>
      <c r="U61" s="1030"/>
      <c r="V61" s="1029"/>
      <c r="W61" s="1030"/>
      <c r="X61" s="1030"/>
      <c r="Y61" s="1030"/>
      <c r="Z61" s="1030"/>
      <c r="AA61" s="1029"/>
      <c r="AB61" s="1030"/>
      <c r="AC61" s="1030"/>
      <c r="AD61" s="1030"/>
      <c r="AE61" s="1030"/>
      <c r="AF61" s="1029"/>
      <c r="AG61" s="1030"/>
      <c r="AH61" s="1030"/>
      <c r="AI61" s="1030"/>
      <c r="AJ61" s="1030"/>
      <c r="AK61" s="1029"/>
      <c r="AL61" s="1028"/>
      <c r="AM61" s="1028"/>
      <c r="AN61" s="1028"/>
      <c r="AO61" s="1028"/>
      <c r="AP61" s="1029"/>
      <c r="AQ61" s="1028"/>
      <c r="AR61" s="1028"/>
      <c r="AS61" s="1028"/>
      <c r="AT61" s="1028"/>
      <c r="AU61" s="1029"/>
      <c r="AV61" s="1028"/>
      <c r="AW61" s="1028"/>
      <c r="AX61" s="1028"/>
      <c r="AY61" s="1028"/>
      <c r="AZ61" s="1029"/>
      <c r="BA61" s="1028"/>
      <c r="BB61" s="1028"/>
      <c r="BC61" s="1028"/>
      <c r="BD61" s="1028"/>
      <c r="BE61" s="1029"/>
      <c r="BF61" s="1028"/>
      <c r="BG61" s="1028"/>
      <c r="BH61" s="1028"/>
      <c r="BI61" s="1028"/>
      <c r="BJ61" s="1029"/>
      <c r="BK61" s="1028"/>
      <c r="BL61" s="1028"/>
      <c r="BM61" s="1028"/>
      <c r="BN61" s="1028"/>
      <c r="BO61" s="1029"/>
      <c r="BP61" s="1028"/>
      <c r="BQ61" s="1028"/>
      <c r="BR61" s="1028"/>
      <c r="BS61" s="1028"/>
      <c r="BT61" s="1029"/>
      <c r="BU61" s="1028"/>
      <c r="BV61" s="1028"/>
      <c r="BW61" s="1028"/>
      <c r="BX61" s="1028"/>
      <c r="BY61" s="1029"/>
      <c r="BZ61" s="1028"/>
      <c r="CA61" s="1028"/>
      <c r="CB61" s="1028"/>
      <c r="CC61" s="1028"/>
      <c r="CD61" s="1029"/>
      <c r="CE61" s="1028"/>
      <c r="CF61" s="1028"/>
      <c r="CG61" s="1028"/>
      <c r="CH61" s="1028"/>
      <c r="CI61" s="1029"/>
      <c r="CJ61" s="1028"/>
      <c r="CK61" s="1028"/>
      <c r="CL61" s="1028"/>
      <c r="CM61" s="1028"/>
      <c r="CN61" s="1029"/>
      <c r="CO61" s="1028"/>
      <c r="CP61" s="1028"/>
      <c r="CQ61" s="1028"/>
      <c r="CR61" s="1028"/>
      <c r="CS61" s="1029"/>
      <c r="CT61" s="1028"/>
      <c r="CU61" s="1028"/>
      <c r="CV61" s="1028"/>
      <c r="CW61" s="1028"/>
      <c r="CX61" s="1461"/>
      <c r="CY61" s="1462"/>
      <c r="CZ61" s="1462"/>
      <c r="DA61" s="1462"/>
      <c r="DB61" s="1462"/>
      <c r="DC61" s="1461"/>
      <c r="DD61" s="1462">
        <f t="shared" ref="DD61:ET61" si="44">DD56/DD13</f>
      </c>
      <c r="DE61" s="1462">
        <f t="shared" si="44"/>
      </c>
      <c r="DF61" s="1462">
        <f t="shared" si="44"/>
      </c>
      <c r="DG61" s="1462">
        <f t="shared" si="44"/>
      </c>
      <c r="DH61" s="1461">
        <f t="shared" si="44"/>
      </c>
      <c r="DI61" s="1462">
        <f t="shared" si="44"/>
      </c>
      <c r="DJ61" s="1462">
        <f t="shared" si="44"/>
      </c>
      <c r="DK61" s="1462">
        <f t="shared" si="44"/>
      </c>
      <c r="DL61" s="1462">
        <f t="shared" si="44"/>
      </c>
      <c r="DM61" s="1461">
        <f t="shared" si="44"/>
      </c>
      <c r="DN61" s="1462">
        <f t="shared" si="44"/>
      </c>
      <c r="DO61" s="1462">
        <f t="shared" si="44"/>
      </c>
      <c r="DP61" s="1462">
        <f t="shared" si="44"/>
      </c>
      <c r="DQ61" s="1462">
        <f t="shared" si="44"/>
      </c>
      <c r="DR61" s="1461">
        <f t="shared" si="44"/>
      </c>
      <c r="DS61" s="1462">
        <f t="shared" si="44"/>
      </c>
      <c r="DT61" s="1462">
        <f t="shared" si="44"/>
      </c>
      <c r="DU61" s="1462">
        <f t="shared" si="44"/>
      </c>
      <c r="DV61" s="1462">
        <f t="shared" si="44"/>
      </c>
      <c r="DW61" s="1461">
        <f t="shared" si="44"/>
      </c>
      <c r="DX61" s="1462">
        <f t="shared" si="44"/>
      </c>
      <c r="DY61" s="1462">
        <f t="shared" si="44"/>
      </c>
      <c r="DZ61" s="1462">
        <f t="shared" si="44"/>
      </c>
      <c r="EA61" s="1462">
        <f t="shared" si="44"/>
      </c>
      <c r="EB61" s="1461">
        <f t="shared" si="44"/>
      </c>
      <c r="EC61" s="1462">
        <f t="shared" si="44"/>
      </c>
      <c r="ED61" s="1462">
        <f t="shared" si="44"/>
      </c>
      <c r="EE61" s="1462">
        <f t="shared" si="44"/>
      </c>
      <c r="EF61" s="1462">
        <f t="shared" si="44"/>
      </c>
      <c r="EG61" s="1461">
        <f t="shared" si="44"/>
      </c>
      <c r="EH61" s="1462">
        <f t="shared" si="44"/>
      </c>
      <c r="EI61" s="1462">
        <f t="shared" si="44"/>
      </c>
      <c r="EJ61" s="1462">
        <f t="shared" si="44"/>
      </c>
      <c r="EK61" s="1462">
        <f t="shared" si="44"/>
      </c>
      <c r="EL61" s="1461">
        <f t="shared" si="44"/>
      </c>
      <c r="EM61" s="1462">
        <f t="shared" si="44"/>
      </c>
      <c r="EN61" s="1462">
        <f t="shared" si="44"/>
      </c>
      <c r="EO61" s="1462">
        <f t="shared" si="44"/>
      </c>
      <c r="EP61" s="1462">
        <f t="shared" si="44"/>
      </c>
      <c r="EQ61" s="1461">
        <f t="shared" si="44"/>
      </c>
      <c r="ER61" s="1462">
        <f t="shared" si="44"/>
      </c>
      <c r="ES61" s="1462">
        <f t="shared" si="44"/>
      </c>
      <c r="ET61" s="1462">
        <f t="shared" si="44"/>
      </c>
      <c r="EU61" s="1462">
        <f>EU56/EU13</f>
      </c>
      <c r="EV61" s="1461">
        <f>EV56/EV13</f>
      </c>
      <c r="EW61" s="1462">
        <f t="shared" ref="EW61:EY61" si="45">EW56/EW13</f>
      </c>
      <c r="EX61" s="1462">
        <f t="shared" si="45"/>
      </c>
      <c r="EY61" s="1462">
        <f t="shared" si="45"/>
      </c>
      <c r="EZ61" s="1462">
        <f>EZ56/EZ13</f>
      </c>
      <c r="FA61" s="1461">
        <f>FA56/FA13</f>
      </c>
      <c r="FB61" s="1462"/>
      <c r="FC61" s="1462"/>
      <c r="FD61" s="1462"/>
      <c r="FE61" s="1462"/>
      <c r="FF61" s="1461"/>
      <c r="FG61" s="1462"/>
      <c r="FH61" s="1462"/>
      <c r="FI61" s="1462"/>
      <c r="FJ61" s="1462"/>
      <c r="FK61" s="1461"/>
      <c r="FL61" s="1462"/>
      <c r="FM61" s="1462"/>
      <c r="FN61" s="1462"/>
      <c r="FO61" s="1462"/>
      <c r="FP61" s="1461"/>
      <c r="FQ61" s="1462"/>
      <c r="FR61" s="1462"/>
      <c r="FS61" s="1462"/>
      <c r="FT61" s="1462"/>
      <c r="FU61" s="1461"/>
      <c r="FV61" s="1462"/>
      <c r="FW61" s="1462"/>
      <c r="FX61" s="1462"/>
      <c r="FY61" s="1462"/>
      <c r="FZ61" s="1461"/>
      <c r="GA61" s="1462"/>
      <c r="GB61" s="1462"/>
      <c r="GC61" s="1462"/>
      <c r="GD61" s="1462"/>
      <c r="GE61" s="1461"/>
      <c r="GF61" s="1462"/>
      <c r="GG61" s="1462"/>
      <c r="GH61" s="1462"/>
      <c r="GI61" s="1462"/>
      <c r="GJ61" s="1461"/>
    </row>
    <row r="62" spans="1:192" s="701" customFormat="1" ht="12.75" customHeight="1" outlineLevel="1">
      <c r="A62" s="850" t="s">
        <v>352</v>
      </c>
      <c r="B62" s="1016"/>
      <c r="C62" s="503"/>
      <c r="D62" s="503"/>
      <c r="E62" s="503"/>
      <c r="F62" s="503"/>
      <c r="G62" s="1012"/>
      <c r="H62" s="503"/>
      <c r="I62" s="503"/>
      <c r="J62" s="503"/>
      <c r="K62" s="503"/>
      <c r="L62" s="1012"/>
      <c r="M62" s="925"/>
      <c r="N62" s="925"/>
      <c r="O62" s="925"/>
      <c r="P62" s="925"/>
      <c r="Q62" s="1012"/>
      <c r="R62" s="925"/>
      <c r="S62" s="925"/>
      <c r="T62" s="925"/>
      <c r="U62" s="925"/>
      <c r="V62" s="1012"/>
      <c r="W62" s="925"/>
      <c r="X62" s="925"/>
      <c r="Y62" s="925"/>
      <c r="Z62" s="925"/>
      <c r="AA62" s="1012"/>
      <c r="AB62" s="925"/>
      <c r="AC62" s="925"/>
      <c r="AD62" s="925"/>
      <c r="AE62" s="925"/>
      <c r="AF62" s="1012"/>
      <c r="AG62" s="925"/>
      <c r="AH62" s="925"/>
      <c r="AI62" s="925"/>
      <c r="AJ62" s="925"/>
      <c r="AK62" s="1012"/>
      <c r="AL62" s="503"/>
      <c r="AM62" s="503"/>
      <c r="AN62" s="503"/>
      <c r="AO62" s="503"/>
      <c r="AP62" s="1012"/>
      <c r="AQ62" s="503"/>
      <c r="AR62" s="503"/>
      <c r="AS62" s="503"/>
      <c r="AT62" s="503"/>
      <c r="AU62" s="1012"/>
      <c r="AV62" s="503"/>
      <c r="AW62" s="503"/>
      <c r="AX62" s="503"/>
      <c r="AY62" s="503"/>
      <c r="AZ62" s="1012"/>
      <c r="BA62" s="503"/>
      <c r="BB62" s="503"/>
      <c r="BC62" s="503"/>
      <c r="BD62" s="503"/>
      <c r="BE62" s="1012"/>
      <c r="BF62" s="503"/>
      <c r="BG62" s="503"/>
      <c r="BH62" s="503"/>
      <c r="BI62" s="503"/>
      <c r="BJ62" s="1012"/>
      <c r="BK62" s="503"/>
      <c r="BL62" s="503"/>
      <c r="BM62" s="503"/>
      <c r="BN62" s="503"/>
      <c r="BO62" s="1012"/>
      <c r="BP62" s="503"/>
      <c r="BQ62" s="503"/>
      <c r="BR62" s="503"/>
      <c r="BS62" s="503"/>
      <c r="BT62" s="1012"/>
      <c r="BU62" s="503"/>
      <c r="BV62" s="503"/>
      <c r="BW62" s="503"/>
      <c r="BX62" s="503"/>
      <c r="BY62" s="1012"/>
      <c r="BZ62" s="503"/>
      <c r="CA62" s="503"/>
      <c r="CB62" s="503"/>
      <c r="CC62" s="503"/>
      <c r="CD62" s="1012"/>
      <c r="CE62" s="503"/>
      <c r="CF62" s="503"/>
      <c r="CG62" s="503"/>
      <c r="CH62" s="503"/>
      <c r="CI62" s="1012"/>
      <c r="CJ62" s="503"/>
      <c r="CK62" s="503"/>
      <c r="CL62" s="503"/>
      <c r="CM62" s="503"/>
      <c r="CN62" s="1012"/>
      <c r="CO62" s="503"/>
      <c r="CP62" s="503"/>
      <c r="CQ62" s="503"/>
      <c r="CR62" s="503"/>
      <c r="CS62" s="1012"/>
      <c r="CT62" s="503"/>
      <c r="CU62" s="503"/>
      <c r="CV62" s="503"/>
      <c r="CW62" s="503"/>
      <c r="CX62" s="1012"/>
      <c r="CY62" s="503"/>
      <c r="CZ62" s="503"/>
      <c r="DA62" s="503"/>
      <c r="DB62" s="503"/>
      <c r="DC62" s="1012"/>
      <c r="DD62" s="503"/>
      <c r="DE62" s="503"/>
      <c r="DF62" s="503"/>
      <c r="DG62" s="503"/>
      <c r="DH62" s="1012"/>
      <c r="DI62" s="503"/>
      <c r="DJ62" s="503"/>
      <c r="DK62" s="503"/>
      <c r="DL62" s="503"/>
      <c r="DM62" s="1012"/>
      <c r="DN62" s="503"/>
      <c r="DO62" s="503"/>
      <c r="DP62" s="503"/>
      <c r="DQ62" s="503"/>
      <c r="DR62" s="1012"/>
      <c r="DS62" s="503"/>
      <c r="DT62" s="503"/>
      <c r="DU62" s="503"/>
      <c r="DV62" s="503"/>
      <c r="DW62" s="1012"/>
      <c r="DX62" s="503"/>
      <c r="DY62" s="503"/>
      <c r="DZ62" s="503"/>
      <c r="EA62" s="503"/>
      <c r="EB62" s="1012"/>
      <c r="EC62" s="503"/>
      <c r="ED62" s="503"/>
      <c r="EE62" s="503"/>
      <c r="EF62" s="503"/>
      <c r="EG62" s="1012"/>
      <c r="EH62" s="1013"/>
      <c r="EI62" s="1014"/>
      <c r="EJ62" s="1014"/>
      <c r="EK62" s="1014"/>
      <c r="EL62" s="1015"/>
      <c r="EM62" s="1014"/>
      <c r="EN62" s="1014"/>
      <c r="EO62" s="1014"/>
      <c r="EP62" s="1014"/>
      <c r="EQ62" s="1015"/>
      <c r="ER62" s="503"/>
      <c r="ES62" s="503"/>
      <c r="ET62" s="1014"/>
      <c r="EU62" s="1014"/>
      <c r="EV62" s="1015"/>
      <c r="EW62" s="503"/>
      <c r="EX62" s="503"/>
      <c r="EY62" s="1014"/>
      <c r="EZ62" s="1014"/>
      <c r="FA62" s="1015"/>
      <c r="FB62" s="503"/>
      <c r="FC62" s="503"/>
      <c r="FD62" s="503"/>
      <c r="FE62" s="503"/>
      <c r="FF62" s="1012"/>
      <c r="FG62" s="503"/>
      <c r="FH62" s="503"/>
      <c r="FI62" s="503"/>
      <c r="FJ62" s="503"/>
      <c r="FK62" s="1012"/>
      <c r="FL62" s="503"/>
      <c r="FM62" s="503"/>
      <c r="FN62" s="503"/>
      <c r="FO62" s="503"/>
      <c r="FP62" s="1012"/>
      <c r="FQ62" s="503"/>
      <c r="FR62" s="503"/>
      <c r="FS62" s="503"/>
      <c r="FT62" s="503"/>
      <c r="FU62" s="1012"/>
      <c r="FV62" s="503"/>
      <c r="FW62" s="503"/>
      <c r="FX62" s="503"/>
      <c r="FY62" s="503"/>
      <c r="FZ62" s="1012"/>
      <c r="GA62" s="503"/>
      <c r="GB62" s="503"/>
      <c r="GC62" s="503"/>
      <c r="GD62" s="503"/>
      <c r="GE62" s="1012"/>
      <c r="GF62" s="503"/>
      <c r="GG62" s="503"/>
      <c r="GH62" s="503"/>
      <c r="GI62" s="503"/>
      <c r="GJ62" s="1012"/>
    </row>
    <row r="63" spans="1:192" s="461" customFormat="1" ht="12.75" customHeight="1" outlineLevel="1">
      <c r="A63" s="68" t="s">
        <v>385</v>
      </c>
      <c r="B63" s="975" t="s">
        <v>195</v>
      </c>
      <c r="C63" s="624"/>
      <c r="D63" s="624"/>
      <c r="E63" s="624"/>
      <c r="F63" s="624"/>
      <c r="G63" s="622"/>
      <c r="H63" s="624"/>
      <c r="I63" s="624"/>
      <c r="J63" s="624"/>
      <c r="K63" s="624"/>
      <c r="L63" s="622"/>
      <c r="M63" s="624"/>
      <c r="N63" s="624"/>
      <c r="O63" s="624"/>
      <c r="P63" s="624"/>
      <c r="Q63" s="622"/>
      <c r="R63" s="981"/>
      <c r="S63" s="981"/>
      <c r="T63" s="981"/>
      <c r="U63" s="981"/>
      <c r="V63" s="622"/>
      <c r="W63" s="981"/>
      <c r="X63" s="981"/>
      <c r="Y63" s="981"/>
      <c r="Z63" s="981"/>
      <c r="AA63" s="622"/>
      <c r="AB63" s="981"/>
      <c r="AC63" s="981"/>
      <c r="AD63" s="981"/>
      <c r="AE63" s="981"/>
      <c r="AF63" s="622"/>
      <c r="AG63" s="981"/>
      <c r="AH63" s="981"/>
      <c r="AI63" s="981"/>
      <c r="AJ63" s="981"/>
      <c r="AK63" s="622"/>
      <c r="AL63" s="624"/>
      <c r="AM63" s="624"/>
      <c r="AN63" s="624"/>
      <c r="AO63" s="624"/>
      <c r="AP63" s="622"/>
      <c r="AQ63" s="624"/>
      <c r="AR63" s="624"/>
      <c r="AS63" s="624"/>
      <c r="AT63" s="624"/>
      <c r="AU63" s="622"/>
      <c r="AV63" s="624"/>
      <c r="AW63" s="624"/>
      <c r="AX63" s="624"/>
      <c r="AY63" s="624"/>
      <c r="AZ63" s="622"/>
      <c r="BA63" s="624"/>
      <c r="BB63" s="624"/>
      <c r="BC63" s="624"/>
      <c r="BD63" s="624"/>
      <c r="BE63" s="622"/>
      <c r="BF63" s="624"/>
      <c r="BG63" s="624"/>
      <c r="BH63" s="624"/>
      <c r="BI63" s="624"/>
      <c r="BJ63" s="622"/>
      <c r="BK63" s="624"/>
      <c r="BL63" s="624"/>
      <c r="BM63" s="624"/>
      <c r="BN63" s="624"/>
      <c r="BO63" s="622"/>
      <c r="BP63" s="624"/>
      <c r="BQ63" s="624"/>
      <c r="BR63" s="624"/>
      <c r="BS63" s="624"/>
      <c r="BT63" s="622"/>
      <c r="BU63" s="624"/>
      <c r="BV63" s="624"/>
      <c r="BW63" s="624"/>
      <c r="BX63" s="624"/>
      <c r="BY63" s="622"/>
      <c r="BZ63" s="624"/>
      <c r="CA63" s="624"/>
      <c r="CB63" s="624"/>
      <c r="CC63" s="624"/>
      <c r="CD63" s="622"/>
      <c r="CE63" s="624"/>
      <c r="CF63" s="624"/>
      <c r="CG63" s="624"/>
      <c r="CH63" s="624"/>
      <c r="CI63" s="622"/>
      <c r="CJ63" s="624"/>
      <c r="CK63" s="624"/>
      <c r="CL63" s="624"/>
      <c r="CM63" s="624"/>
      <c r="CN63" s="622"/>
      <c r="CO63" s="624"/>
      <c r="CP63" s="624"/>
      <c r="CQ63" s="624"/>
      <c r="CR63" s="624"/>
      <c r="CS63" s="622"/>
      <c r="CT63" s="624"/>
      <c r="CU63" s="624"/>
      <c r="CV63" s="624"/>
      <c r="CW63" s="624"/>
      <c r="CX63" s="622"/>
      <c r="CY63" s="624"/>
      <c r="CZ63" s="624"/>
      <c r="DA63" s="624"/>
      <c r="DB63" s="624"/>
      <c r="DC63" s="622"/>
      <c r="DD63" s="619">
        <f t="shared" ref="DD63:ET63" si="46">DD28</f>
      </c>
      <c r="DE63" s="619">
        <f t="shared" si="46"/>
      </c>
      <c r="DF63" s="619">
        <f t="shared" si="46"/>
      </c>
      <c r="DG63" s="619">
        <f t="shared" si="46"/>
      </c>
      <c r="DH63" s="622">
        <f t="shared" si="46"/>
      </c>
      <c r="DI63" s="619">
        <f t="shared" si="46"/>
      </c>
      <c r="DJ63" s="619">
        <f t="shared" si="46"/>
      </c>
      <c r="DK63" s="619">
        <f t="shared" si="46"/>
      </c>
      <c r="DL63" s="619">
        <f t="shared" si="46"/>
      </c>
      <c r="DM63" s="622">
        <f t="shared" si="46"/>
      </c>
      <c r="DN63" s="619">
        <f t="shared" si="46"/>
      </c>
      <c r="DO63" s="619">
        <f t="shared" si="46"/>
      </c>
      <c r="DP63" s="619">
        <f t="shared" si="46"/>
      </c>
      <c r="DQ63" s="619">
        <f t="shared" si="46"/>
      </c>
      <c r="DR63" s="622">
        <f t="shared" si="46"/>
      </c>
      <c r="DS63" s="619">
        <f t="shared" si="46"/>
      </c>
      <c r="DT63" s="619">
        <f t="shared" si="46"/>
      </c>
      <c r="DU63" s="619">
        <f t="shared" si="46"/>
      </c>
      <c r="DV63" s="619">
        <f t="shared" si="46"/>
      </c>
      <c r="DW63" s="622">
        <f t="shared" si="46"/>
      </c>
      <c r="DX63" s="619">
        <f t="shared" si="46"/>
      </c>
      <c r="DY63" s="619">
        <f t="shared" si="46"/>
      </c>
      <c r="DZ63" s="619">
        <f t="shared" si="46"/>
      </c>
      <c r="EA63" s="619">
        <f t="shared" si="46"/>
      </c>
      <c r="EB63" s="622">
        <f t="shared" si="46"/>
      </c>
      <c r="EC63" s="619">
        <f t="shared" si="46"/>
      </c>
      <c r="ED63" s="619">
        <f t="shared" si="46"/>
      </c>
      <c r="EE63" s="619">
        <f t="shared" si="46"/>
      </c>
      <c r="EF63" s="619">
        <f t="shared" si="46"/>
      </c>
      <c r="EG63" s="622">
        <f t="shared" si="46"/>
      </c>
      <c r="EH63" s="619">
        <f t="shared" si="46"/>
      </c>
      <c r="EI63" s="619">
        <f t="shared" si="46"/>
      </c>
      <c r="EJ63" s="619">
        <f t="shared" si="46"/>
      </c>
      <c r="EK63" s="619">
        <f t="shared" si="46"/>
      </c>
      <c r="EL63" s="622">
        <f t="shared" si="46"/>
      </c>
      <c r="EM63" s="619">
        <f t="shared" si="46"/>
      </c>
      <c r="EN63" s="619">
        <f t="shared" si="46"/>
      </c>
      <c r="EO63" s="619">
        <f t="shared" si="46"/>
      </c>
      <c r="EP63" s="619">
        <f t="shared" si="46"/>
      </c>
      <c r="EQ63" s="622">
        <f t="shared" si="46"/>
      </c>
      <c r="ER63" s="619">
        <f t="shared" si="46"/>
      </c>
      <c r="ES63" s="619">
        <f t="shared" si="46"/>
      </c>
      <c r="ET63" s="619">
        <f t="shared" si="46"/>
      </c>
      <c r="EU63" s="619">
        <f>EU28</f>
      </c>
      <c r="EV63" s="622">
        <f>EV28</f>
      </c>
      <c r="EW63" s="619">
        <f t="shared" ref="EW63:EY63" si="47">EW28</f>
      </c>
      <c r="EX63" s="619">
        <f t="shared" si="47"/>
      </c>
      <c r="EY63" s="619">
        <f t="shared" si="47"/>
      </c>
      <c r="EZ63" s="619">
        <f>EZ28</f>
      </c>
      <c r="FA63" s="622">
        <f>FA28</f>
      </c>
      <c r="FB63" s="619"/>
      <c r="FC63" s="619"/>
      <c r="FD63" s="619"/>
      <c r="FE63" s="619"/>
      <c r="FF63" s="622"/>
      <c r="FG63" s="619"/>
      <c r="FH63" s="619"/>
      <c r="FI63" s="619"/>
      <c r="FJ63" s="619"/>
      <c r="FK63" s="622"/>
      <c r="FL63" s="619"/>
      <c r="FM63" s="619"/>
      <c r="FN63" s="619"/>
      <c r="FO63" s="619"/>
      <c r="FP63" s="622"/>
      <c r="FQ63" s="619"/>
      <c r="FR63" s="619"/>
      <c r="FS63" s="619"/>
      <c r="FT63" s="619"/>
      <c r="FU63" s="622"/>
      <c r="FV63" s="619"/>
      <c r="FW63" s="619"/>
      <c r="FX63" s="619"/>
      <c r="FY63" s="619"/>
      <c r="FZ63" s="622"/>
      <c r="GA63" s="619"/>
      <c r="GB63" s="619"/>
      <c r="GC63" s="619"/>
      <c r="GD63" s="619"/>
      <c r="GE63" s="622"/>
      <c r="GF63" s="619"/>
      <c r="GG63" s="619"/>
      <c r="GH63" s="619"/>
      <c r="GI63" s="619"/>
      <c r="GJ63" s="622"/>
    </row>
    <row r="64" spans="1:192" s="1031" customFormat="1" ht="12.75" customHeight="1" outlineLevel="1">
      <c r="A64" s="1027"/>
      <c r="B64" s="727" t="s">
        <v>34</v>
      </c>
      <c r="C64" s="1028"/>
      <c r="D64" s="1028"/>
      <c r="E64" s="1028"/>
      <c r="F64" s="1028"/>
      <c r="G64" s="1029"/>
      <c r="H64" s="1028"/>
      <c r="I64" s="1028"/>
      <c r="J64" s="1028"/>
      <c r="K64" s="1028"/>
      <c r="L64" s="1029"/>
      <c r="M64" s="1028"/>
      <c r="N64" s="1028"/>
      <c r="O64" s="1028"/>
      <c r="P64" s="1028"/>
      <c r="Q64" s="1029"/>
      <c r="R64" s="1030"/>
      <c r="S64" s="1030"/>
      <c r="T64" s="1030"/>
      <c r="U64" s="1030"/>
      <c r="V64" s="1029"/>
      <c r="W64" s="1030"/>
      <c r="X64" s="1030"/>
      <c r="Y64" s="1030"/>
      <c r="Z64" s="1030"/>
      <c r="AA64" s="1029"/>
      <c r="AB64" s="1030"/>
      <c r="AC64" s="1030"/>
      <c r="AD64" s="1030"/>
      <c r="AE64" s="1030"/>
      <c r="AF64" s="1029"/>
      <c r="AG64" s="1030"/>
      <c r="AH64" s="1030"/>
      <c r="AI64" s="1030"/>
      <c r="AJ64" s="1030"/>
      <c r="AK64" s="1029"/>
      <c r="AL64" s="1028"/>
      <c r="AM64" s="1028"/>
      <c r="AN64" s="1028"/>
      <c r="AO64" s="1028"/>
      <c r="AP64" s="1029"/>
      <c r="AQ64" s="1028"/>
      <c r="AR64" s="1028"/>
      <c r="AS64" s="1028"/>
      <c r="AT64" s="1028"/>
      <c r="AU64" s="1029"/>
      <c r="AV64" s="1028"/>
      <c r="AW64" s="1028"/>
      <c r="AX64" s="1028"/>
      <c r="AY64" s="1028"/>
      <c r="AZ64" s="1029"/>
      <c r="BA64" s="1028"/>
      <c r="BB64" s="1028"/>
      <c r="BC64" s="1028"/>
      <c r="BD64" s="1028"/>
      <c r="BE64" s="1029"/>
      <c r="BF64" s="1028"/>
      <c r="BG64" s="1028"/>
      <c r="BH64" s="1028"/>
      <c r="BI64" s="1028"/>
      <c r="BJ64" s="1029"/>
      <c r="BK64" s="1028"/>
      <c r="BL64" s="1028"/>
      <c r="BM64" s="1028"/>
      <c r="BN64" s="1028"/>
      <c r="BO64" s="1029"/>
      <c r="BP64" s="1028"/>
      <c r="BQ64" s="1028"/>
      <c r="BR64" s="1028"/>
      <c r="BS64" s="1028"/>
      <c r="BT64" s="1029"/>
      <c r="BU64" s="1028"/>
      <c r="BV64" s="1028"/>
      <c r="BW64" s="1028"/>
      <c r="BX64" s="1028"/>
      <c r="BY64" s="1029"/>
      <c r="BZ64" s="1028"/>
      <c r="CA64" s="1028"/>
      <c r="CB64" s="1028"/>
      <c r="CC64" s="1028"/>
      <c r="CD64" s="1029"/>
      <c r="CE64" s="1028"/>
      <c r="CF64" s="1028"/>
      <c r="CG64" s="1028"/>
      <c r="CH64" s="1028"/>
      <c r="CI64" s="1029"/>
      <c r="CJ64" s="1028"/>
      <c r="CK64" s="1028"/>
      <c r="CL64" s="1028"/>
      <c r="CM64" s="1028"/>
      <c r="CN64" s="1029"/>
      <c r="CO64" s="1028"/>
      <c r="CP64" s="1028"/>
      <c r="CQ64" s="1028"/>
      <c r="CR64" s="1028"/>
      <c r="CS64" s="1029"/>
      <c r="CT64" s="1028"/>
      <c r="CU64" s="1028"/>
      <c r="CV64" s="1028"/>
      <c r="CW64" s="1028"/>
      <c r="CX64" s="1461"/>
      <c r="CY64" s="1462"/>
      <c r="CZ64" s="1462"/>
      <c r="DA64" s="1462"/>
      <c r="DB64" s="1462"/>
      <c r="DC64" s="1461"/>
      <c r="DD64" s="1462"/>
      <c r="DE64" s="1462"/>
      <c r="DF64" s="1462"/>
      <c r="DG64" s="1462"/>
      <c r="DH64" s="1461"/>
      <c r="DI64" s="1462">
        <f t="shared" ref="DI64:ET64" si="48">DI63/DD63-1</f>
      </c>
      <c r="DJ64" s="1462">
        <f t="shared" si="48"/>
      </c>
      <c r="DK64" s="1462">
        <f t="shared" si="48"/>
      </c>
      <c r="DL64" s="1462">
        <f t="shared" si="48"/>
      </c>
      <c r="DM64" s="1461">
        <f t="shared" si="48"/>
      </c>
      <c r="DN64" s="1462">
        <f t="shared" si="48"/>
      </c>
      <c r="DO64" s="1462">
        <f t="shared" si="48"/>
      </c>
      <c r="DP64" s="1462">
        <f t="shared" si="48"/>
      </c>
      <c r="DQ64" s="1462">
        <f t="shared" si="48"/>
      </c>
      <c r="DR64" s="1461">
        <f t="shared" si="48"/>
      </c>
      <c r="DS64" s="1462">
        <f t="shared" si="48"/>
      </c>
      <c r="DT64" s="1462">
        <f t="shared" si="48"/>
      </c>
      <c r="DU64" s="1462">
        <f t="shared" si="48"/>
      </c>
      <c r="DV64" s="1462">
        <f t="shared" si="48"/>
      </c>
      <c r="DW64" s="1461">
        <f t="shared" si="48"/>
      </c>
      <c r="DX64" s="1462">
        <f t="shared" si="48"/>
      </c>
      <c r="DY64" s="1462">
        <f t="shared" si="48"/>
      </c>
      <c r="DZ64" s="1462">
        <f t="shared" si="48"/>
      </c>
      <c r="EA64" s="1462">
        <f t="shared" si="48"/>
      </c>
      <c r="EB64" s="1461">
        <f t="shared" si="48"/>
      </c>
      <c r="EC64" s="1462">
        <f t="shared" si="48"/>
      </c>
      <c r="ED64" s="1462">
        <f t="shared" si="48"/>
      </c>
      <c r="EE64" s="1462">
        <f t="shared" si="48"/>
      </c>
      <c r="EF64" s="1462">
        <f t="shared" si="48"/>
      </c>
      <c r="EG64" s="1461">
        <f t="shared" si="48"/>
      </c>
      <c r="EH64" s="1462">
        <f t="shared" si="48"/>
      </c>
      <c r="EI64" s="1462">
        <f t="shared" si="48"/>
      </c>
      <c r="EJ64" s="1462">
        <f t="shared" si="48"/>
      </c>
      <c r="EK64" s="1462">
        <f t="shared" si="48"/>
      </c>
      <c r="EL64" s="1461">
        <f t="shared" si="48"/>
      </c>
      <c r="EM64" s="1462">
        <f t="shared" si="48"/>
      </c>
      <c r="EN64" s="1462">
        <f t="shared" si="48"/>
      </c>
      <c r="EO64" s="1462">
        <f t="shared" si="48"/>
      </c>
      <c r="EP64" s="1462">
        <f t="shared" si="48"/>
      </c>
      <c r="EQ64" s="1461">
        <f t="shared" si="48"/>
      </c>
      <c r="ER64" s="1462">
        <f t="shared" si="48"/>
      </c>
      <c r="ES64" s="1462">
        <f t="shared" si="48"/>
      </c>
      <c r="ET64" s="1462">
        <f t="shared" si="48"/>
      </c>
      <c r="EU64" s="1462">
        <f>EU63/EP63-1</f>
      </c>
      <c r="EV64" s="1461">
        <f>EV63/EQ63-1</f>
      </c>
      <c r="EW64" s="1462">
        <f t="shared" ref="EW64:EY64" si="49">EW63/ER63-1</f>
      </c>
      <c r="EX64" s="1462">
        <f t="shared" si="49"/>
      </c>
      <c r="EY64" s="1462">
        <f t="shared" si="49"/>
      </c>
      <c r="EZ64" s="1462">
        <f>EZ63/EU63-1</f>
      </c>
      <c r="FA64" s="1461">
        <f>FA63/EV63-1</f>
      </c>
      <c r="FB64" s="1462"/>
      <c r="FC64" s="1462"/>
      <c r="FD64" s="1462"/>
      <c r="FE64" s="1462"/>
      <c r="FF64" s="1461"/>
      <c r="FG64" s="1462"/>
      <c r="FH64" s="1462"/>
      <c r="FI64" s="1462"/>
      <c r="FJ64" s="1462"/>
      <c r="FK64" s="1461"/>
      <c r="FL64" s="1462"/>
      <c r="FM64" s="1462"/>
      <c r="FN64" s="1462"/>
      <c r="FO64" s="1462"/>
      <c r="FP64" s="1461"/>
      <c r="FQ64" s="1462"/>
      <c r="FR64" s="1462"/>
      <c r="FS64" s="1462"/>
      <c r="FT64" s="1462"/>
      <c r="FU64" s="1461"/>
      <c r="FV64" s="1462"/>
      <c r="FW64" s="1462"/>
      <c r="FX64" s="1462"/>
      <c r="FY64" s="1462"/>
      <c r="FZ64" s="1461"/>
      <c r="GA64" s="1462"/>
      <c r="GB64" s="1462"/>
      <c r="GC64" s="1462"/>
      <c r="GD64" s="1462"/>
      <c r="GE64" s="1461"/>
      <c r="GF64" s="1462"/>
      <c r="GG64" s="1462"/>
      <c r="GH64" s="1462"/>
      <c r="GI64" s="1462"/>
      <c r="GJ64" s="1461"/>
    </row>
    <row r="65" spans="1:192" s="1031" customFormat="1" ht="12.75" customHeight="1" outlineLevel="1">
      <c r="A65" s="1027"/>
      <c r="B65" s="727" t="s">
        <v>36</v>
      </c>
      <c r="C65" s="1028"/>
      <c r="D65" s="1028"/>
      <c r="E65" s="1028"/>
      <c r="F65" s="1028"/>
      <c r="G65" s="1029"/>
      <c r="H65" s="1028"/>
      <c r="I65" s="1028"/>
      <c r="J65" s="1028"/>
      <c r="K65" s="1028"/>
      <c r="L65" s="1029"/>
      <c r="M65" s="1028"/>
      <c r="N65" s="1028"/>
      <c r="O65" s="1028"/>
      <c r="P65" s="1028"/>
      <c r="Q65" s="1029"/>
      <c r="R65" s="1030"/>
      <c r="S65" s="1030"/>
      <c r="T65" s="1030"/>
      <c r="U65" s="1030"/>
      <c r="V65" s="1029"/>
      <c r="W65" s="1030"/>
      <c r="X65" s="1030"/>
      <c r="Y65" s="1030"/>
      <c r="Z65" s="1030"/>
      <c r="AA65" s="1029"/>
      <c r="AB65" s="1030"/>
      <c r="AC65" s="1030"/>
      <c r="AD65" s="1030"/>
      <c r="AE65" s="1030"/>
      <c r="AF65" s="1029"/>
      <c r="AG65" s="1030"/>
      <c r="AH65" s="1030"/>
      <c r="AI65" s="1030"/>
      <c r="AJ65" s="1030"/>
      <c r="AK65" s="1029"/>
      <c r="AL65" s="1028"/>
      <c r="AM65" s="1028"/>
      <c r="AN65" s="1028"/>
      <c r="AO65" s="1028"/>
      <c r="AP65" s="1029"/>
      <c r="AQ65" s="1028"/>
      <c r="AR65" s="1028"/>
      <c r="AS65" s="1028"/>
      <c r="AT65" s="1028"/>
      <c r="AU65" s="1029"/>
      <c r="AV65" s="1028"/>
      <c r="AW65" s="1028"/>
      <c r="AX65" s="1028"/>
      <c r="AY65" s="1028"/>
      <c r="AZ65" s="1029"/>
      <c r="BA65" s="1028"/>
      <c r="BB65" s="1028"/>
      <c r="BC65" s="1028"/>
      <c r="BD65" s="1028"/>
      <c r="BE65" s="1029"/>
      <c r="BF65" s="1028"/>
      <c r="BG65" s="1028"/>
      <c r="BH65" s="1028"/>
      <c r="BI65" s="1028"/>
      <c r="BJ65" s="1029"/>
      <c r="BK65" s="1028"/>
      <c r="BL65" s="1028"/>
      <c r="BM65" s="1028"/>
      <c r="BN65" s="1028"/>
      <c r="BO65" s="1029"/>
      <c r="BP65" s="1028"/>
      <c r="BQ65" s="1028"/>
      <c r="BR65" s="1028"/>
      <c r="BS65" s="1028"/>
      <c r="BT65" s="1029"/>
      <c r="BU65" s="1028"/>
      <c r="BV65" s="1028"/>
      <c r="BW65" s="1028"/>
      <c r="BX65" s="1028"/>
      <c r="BY65" s="1029"/>
      <c r="BZ65" s="1028"/>
      <c r="CA65" s="1028"/>
      <c r="CB65" s="1028"/>
      <c r="CC65" s="1028"/>
      <c r="CD65" s="1029"/>
      <c r="CE65" s="1028"/>
      <c r="CF65" s="1028"/>
      <c r="CG65" s="1028"/>
      <c r="CH65" s="1028"/>
      <c r="CI65" s="1029"/>
      <c r="CJ65" s="1028"/>
      <c r="CK65" s="1028"/>
      <c r="CL65" s="1028"/>
      <c r="CM65" s="1028"/>
      <c r="CN65" s="1029"/>
      <c r="CO65" s="1028"/>
      <c r="CP65" s="1028"/>
      <c r="CQ65" s="1028"/>
      <c r="CR65" s="1028"/>
      <c r="CS65" s="1029"/>
      <c r="CT65" s="1028"/>
      <c r="CU65" s="1028"/>
      <c r="CV65" s="1028"/>
      <c r="CW65" s="1028"/>
      <c r="CX65" s="1461"/>
      <c r="CY65" s="1462"/>
      <c r="CZ65" s="1462"/>
      <c r="DA65" s="1462"/>
      <c r="DB65" s="1462"/>
      <c r="DC65" s="1461"/>
      <c r="DD65" s="1462"/>
      <c r="DE65" s="1462">
        <f>DE63/DD63-1</f>
      </c>
      <c r="DF65" s="1462">
        <f>DF63/DE63-1</f>
      </c>
      <c r="DG65" s="1462">
        <f>DG63/DF63-1</f>
      </c>
      <c r="DH65" s="1461"/>
      <c r="DI65" s="1462">
        <f>DI63/DG63-1</f>
      </c>
      <c r="DJ65" s="1462">
        <f>DJ63/DI63-1</f>
      </c>
      <c r="DK65" s="1462">
        <f>DK63/DJ63-1</f>
      </c>
      <c r="DL65" s="1462">
        <f>DL63/DK63-1</f>
      </c>
      <c r="DM65" s="1461"/>
      <c r="DN65" s="1462">
        <f>DN63/DL63-1</f>
      </c>
      <c r="DO65" s="1462">
        <f>DO63/DN63-1</f>
      </c>
      <c r="DP65" s="1462">
        <f>DP63/DO63-1</f>
      </c>
      <c r="DQ65" s="1462">
        <f>DQ63/DP63-1</f>
      </c>
      <c r="DR65" s="1461"/>
      <c r="DS65" s="1462">
        <f>DS63/DQ63-1</f>
      </c>
      <c r="DT65" s="1462">
        <f>DT63/DS63-1</f>
      </c>
      <c r="DU65" s="1462">
        <f>DU63/DT63-1</f>
      </c>
      <c r="DV65" s="1462">
        <f>DV63/DU63-1</f>
      </c>
      <c r="DW65" s="1461"/>
      <c r="DX65" s="1462">
        <f>DX63/DV63-1</f>
      </c>
      <c r="DY65" s="1462">
        <f>DY63/DX63-1</f>
      </c>
      <c r="DZ65" s="1462">
        <f>DZ63/DY63-1</f>
      </c>
      <c r="EA65" s="1462">
        <f>EA63/DZ63-1</f>
      </c>
      <c r="EB65" s="1461"/>
      <c r="EC65" s="1462">
        <f>EC63/EA63-1</f>
      </c>
      <c r="ED65" s="1462">
        <f>ED63/EC63-1</f>
      </c>
      <c r="EE65" s="1462">
        <f>EE63/ED63-1</f>
      </c>
      <c r="EF65" s="1462">
        <f>EF63/EE63-1</f>
      </c>
      <c r="EG65" s="1461"/>
      <c r="EH65" s="1462">
        <f>EH63/EF63-1</f>
      </c>
      <c r="EI65" s="1462">
        <f>EI63/EH63-1</f>
      </c>
      <c r="EJ65" s="1462">
        <f>EJ63/EI63-1</f>
      </c>
      <c r="EK65" s="1462">
        <f>EK63/EJ63-1</f>
      </c>
      <c r="EL65" s="1461"/>
      <c r="EM65" s="1462">
        <f>EM63/EK63-1</f>
      </c>
      <c r="EN65" s="1462">
        <f>EN63/EM63-1</f>
      </c>
      <c r="EO65" s="1462">
        <f>EO63/EN63-1</f>
      </c>
      <c r="EP65" s="1462">
        <f>EP63/EO63-1</f>
      </c>
      <c r="EQ65" s="1461"/>
      <c r="ER65" s="1462">
        <f>ER63/EP63-1</f>
      </c>
      <c r="ES65" s="1462">
        <f>ES63/ER63-1</f>
      </c>
      <c r="ET65" s="1462">
        <f>ET63/ES63-1</f>
      </c>
      <c r="EU65" s="1462">
        <f>EU63/ET63-1</f>
      </c>
      <c r="EV65" s="1461"/>
      <c r="EW65" s="1462">
        <f>EW63/EU63-1</f>
      </c>
      <c r="EX65" s="1462">
        <f>EX63/EW63-1</f>
      </c>
      <c r="EY65" s="1462">
        <f>EY63/EX63-1</f>
      </c>
      <c r="EZ65" s="1462">
        <f>EZ63/EY63-1</f>
      </c>
      <c r="FA65" s="1461"/>
      <c r="FB65" s="1462"/>
      <c r="FC65" s="1462"/>
      <c r="FD65" s="1462"/>
      <c r="FE65" s="1462"/>
      <c r="FF65" s="1461"/>
      <c r="FG65" s="1462"/>
      <c r="FH65" s="1462"/>
      <c r="FI65" s="1462"/>
      <c r="FJ65" s="1462"/>
      <c r="FK65" s="1461"/>
      <c r="FL65" s="1462"/>
      <c r="FM65" s="1462"/>
      <c r="FN65" s="1462"/>
      <c r="FO65" s="1462"/>
      <c r="FP65" s="1461"/>
      <c r="FQ65" s="1462"/>
      <c r="FR65" s="1462"/>
      <c r="FS65" s="1462"/>
      <c r="FT65" s="1462"/>
      <c r="FU65" s="1461"/>
      <c r="FV65" s="1462"/>
      <c r="FW65" s="1462"/>
      <c r="FX65" s="1462"/>
      <c r="FY65" s="1462"/>
      <c r="FZ65" s="1461"/>
      <c r="GA65" s="1462"/>
      <c r="GB65" s="1462"/>
      <c r="GC65" s="1462"/>
      <c r="GD65" s="1462"/>
      <c r="GE65" s="1461"/>
      <c r="GF65" s="1462"/>
      <c r="GG65" s="1462"/>
      <c r="GH65" s="1462"/>
      <c r="GI65" s="1462"/>
      <c r="GJ65" s="1461"/>
    </row>
    <row r="66" spans="1:192" s="1031" customFormat="1" ht="12.75" customHeight="1" outlineLevel="1">
      <c r="A66" s="1027"/>
      <c r="B66" s="727" t="s">
        <v>196</v>
      </c>
      <c r="C66" s="1028"/>
      <c r="D66" s="1028"/>
      <c r="E66" s="1028"/>
      <c r="F66" s="1028"/>
      <c r="G66" s="1029"/>
      <c r="H66" s="1028"/>
      <c r="I66" s="1028"/>
      <c r="J66" s="1028"/>
      <c r="K66" s="1028"/>
      <c r="L66" s="1029"/>
      <c r="M66" s="1028"/>
      <c r="N66" s="1028"/>
      <c r="O66" s="1028"/>
      <c r="P66" s="1028"/>
      <c r="Q66" s="1029"/>
      <c r="R66" s="1030"/>
      <c r="S66" s="1030"/>
      <c r="T66" s="1030"/>
      <c r="U66" s="1030"/>
      <c r="V66" s="1029"/>
      <c r="W66" s="1030"/>
      <c r="X66" s="1030"/>
      <c r="Y66" s="1030"/>
      <c r="Z66" s="1030"/>
      <c r="AA66" s="1029"/>
      <c r="AB66" s="1030"/>
      <c r="AC66" s="1030"/>
      <c r="AD66" s="1030"/>
      <c r="AE66" s="1030"/>
      <c r="AF66" s="1029"/>
      <c r="AG66" s="1030"/>
      <c r="AH66" s="1030"/>
      <c r="AI66" s="1030"/>
      <c r="AJ66" s="1030"/>
      <c r="AK66" s="1029"/>
      <c r="AL66" s="1028"/>
      <c r="AM66" s="1028"/>
      <c r="AN66" s="1028"/>
      <c r="AO66" s="1028"/>
      <c r="AP66" s="1029"/>
      <c r="AQ66" s="1028"/>
      <c r="AR66" s="1028"/>
      <c r="AS66" s="1028"/>
      <c r="AT66" s="1028"/>
      <c r="AU66" s="1029"/>
      <c r="AV66" s="1028"/>
      <c r="AW66" s="1028"/>
      <c r="AX66" s="1028"/>
      <c r="AY66" s="1028"/>
      <c r="AZ66" s="1029"/>
      <c r="BA66" s="1028"/>
      <c r="BB66" s="1028"/>
      <c r="BC66" s="1028"/>
      <c r="BD66" s="1028"/>
      <c r="BE66" s="1029"/>
      <c r="BF66" s="1028"/>
      <c r="BG66" s="1028"/>
      <c r="BH66" s="1028"/>
      <c r="BI66" s="1028"/>
      <c r="BJ66" s="1029"/>
      <c r="BK66" s="1028"/>
      <c r="BL66" s="1028"/>
      <c r="BM66" s="1028"/>
      <c r="BN66" s="1028"/>
      <c r="BO66" s="1029"/>
      <c r="BP66" s="1028"/>
      <c r="BQ66" s="1028"/>
      <c r="BR66" s="1028"/>
      <c r="BS66" s="1028"/>
      <c r="BT66" s="1029"/>
      <c r="BU66" s="1028"/>
      <c r="BV66" s="1028"/>
      <c r="BW66" s="1028"/>
      <c r="BX66" s="1028"/>
      <c r="BY66" s="1029"/>
      <c r="BZ66" s="1028"/>
      <c r="CA66" s="1028"/>
      <c r="CB66" s="1028"/>
      <c r="CC66" s="1028"/>
      <c r="CD66" s="1029"/>
      <c r="CE66" s="1028"/>
      <c r="CF66" s="1028"/>
      <c r="CG66" s="1028"/>
      <c r="CH66" s="1028"/>
      <c r="CI66" s="1029"/>
      <c r="CJ66" s="1028"/>
      <c r="CK66" s="1028"/>
      <c r="CL66" s="1028"/>
      <c r="CM66" s="1028"/>
      <c r="CN66" s="1029"/>
      <c r="CO66" s="1028"/>
      <c r="CP66" s="1028"/>
      <c r="CQ66" s="1028"/>
      <c r="CR66" s="1028"/>
      <c r="CS66" s="1029"/>
      <c r="CT66" s="1028"/>
      <c r="CU66" s="1028"/>
      <c r="CV66" s="1028"/>
      <c r="CW66" s="1028"/>
      <c r="CX66" s="1461"/>
      <c r="CY66" s="1462"/>
      <c r="CZ66" s="1462"/>
      <c r="DA66" s="1462"/>
      <c r="DB66" s="1462"/>
      <c r="DC66" s="1461"/>
      <c r="DD66" s="1462">
        <f t="shared" ref="DD66:ET66" si="50">DD63/DD$29</f>
      </c>
      <c r="DE66" s="1462">
        <f t="shared" si="50"/>
      </c>
      <c r="DF66" s="1462">
        <f t="shared" si="50"/>
      </c>
      <c r="DG66" s="1462">
        <f t="shared" si="50"/>
      </c>
      <c r="DH66" s="1461">
        <f t="shared" si="50"/>
      </c>
      <c r="DI66" s="1462">
        <f t="shared" si="50"/>
      </c>
      <c r="DJ66" s="1462">
        <f t="shared" si="50"/>
      </c>
      <c r="DK66" s="1462">
        <f t="shared" si="50"/>
      </c>
      <c r="DL66" s="1462">
        <f t="shared" si="50"/>
      </c>
      <c r="DM66" s="1461">
        <f t="shared" si="50"/>
      </c>
      <c r="DN66" s="1462">
        <f t="shared" si="50"/>
      </c>
      <c r="DO66" s="1462">
        <f t="shared" si="50"/>
      </c>
      <c r="DP66" s="1462">
        <f t="shared" si="50"/>
      </c>
      <c r="DQ66" s="1462">
        <f t="shared" si="50"/>
      </c>
      <c r="DR66" s="1461">
        <f t="shared" si="50"/>
      </c>
      <c r="DS66" s="1462">
        <f t="shared" si="50"/>
      </c>
      <c r="DT66" s="1462">
        <f t="shared" si="50"/>
      </c>
      <c r="DU66" s="1462">
        <f t="shared" si="50"/>
      </c>
      <c r="DV66" s="1462">
        <f t="shared" si="50"/>
      </c>
      <c r="DW66" s="1461">
        <f t="shared" si="50"/>
      </c>
      <c r="DX66" s="1462">
        <f t="shared" si="50"/>
      </c>
      <c r="DY66" s="1462">
        <f t="shared" si="50"/>
      </c>
      <c r="DZ66" s="1462">
        <f t="shared" si="50"/>
      </c>
      <c r="EA66" s="1462">
        <f t="shared" si="50"/>
      </c>
      <c r="EB66" s="1461">
        <f t="shared" si="50"/>
      </c>
      <c r="EC66" s="1462">
        <f t="shared" si="50"/>
      </c>
      <c r="ED66" s="1462">
        <f t="shared" si="50"/>
      </c>
      <c r="EE66" s="1462">
        <f t="shared" si="50"/>
      </c>
      <c r="EF66" s="1462">
        <f t="shared" si="50"/>
      </c>
      <c r="EG66" s="1461">
        <f t="shared" si="50"/>
      </c>
      <c r="EH66" s="1462">
        <f t="shared" si="50"/>
      </c>
      <c r="EI66" s="1462">
        <f t="shared" si="50"/>
      </c>
      <c r="EJ66" s="1462">
        <f t="shared" si="50"/>
      </c>
      <c r="EK66" s="1462">
        <f t="shared" si="50"/>
      </c>
      <c r="EL66" s="1461">
        <f t="shared" si="50"/>
      </c>
      <c r="EM66" s="1462">
        <f t="shared" si="50"/>
      </c>
      <c r="EN66" s="1462">
        <f t="shared" si="50"/>
      </c>
      <c r="EO66" s="1462">
        <f t="shared" si="50"/>
      </c>
      <c r="EP66" s="1462">
        <f t="shared" si="50"/>
      </c>
      <c r="EQ66" s="1461">
        <f t="shared" si="50"/>
      </c>
      <c r="ER66" s="1462">
        <f t="shared" si="50"/>
      </c>
      <c r="ES66" s="1462">
        <f t="shared" si="50"/>
      </c>
      <c r="ET66" s="1462">
        <f t="shared" si="50"/>
      </c>
      <c r="EU66" s="1462">
        <f>EU63/EU$29</f>
      </c>
      <c r="EV66" s="1461">
        <f>EV63/EV$29</f>
      </c>
      <c r="EW66" s="1462">
        <f t="shared" ref="EW66:EY66" si="51">EW63/EW$29</f>
      </c>
      <c r="EX66" s="1462">
        <f t="shared" si="51"/>
      </c>
      <c r="EY66" s="1462">
        <f t="shared" si="51"/>
      </c>
      <c r="EZ66" s="1462">
        <f>EZ63/EZ$29</f>
      </c>
      <c r="FA66" s="1461" t="e">
        <f>FA63/FA$29</f>
      </c>
      <c r="FB66" s="1462"/>
      <c r="FC66" s="1462"/>
      <c r="FD66" s="1462"/>
      <c r="FE66" s="1462"/>
      <c r="FF66" s="1461"/>
      <c r="FG66" s="1462"/>
      <c r="FH66" s="1462"/>
      <c r="FI66" s="1462"/>
      <c r="FJ66" s="1462"/>
      <c r="FK66" s="1461"/>
      <c r="FL66" s="1462"/>
      <c r="FM66" s="1462"/>
      <c r="FN66" s="1462"/>
      <c r="FO66" s="1462"/>
      <c r="FP66" s="1461"/>
      <c r="FQ66" s="1462"/>
      <c r="FR66" s="1462"/>
      <c r="FS66" s="1462"/>
      <c r="FT66" s="1462"/>
      <c r="FU66" s="1461"/>
      <c r="FV66" s="1462"/>
      <c r="FW66" s="1462"/>
      <c r="FX66" s="1462"/>
      <c r="FY66" s="1462"/>
      <c r="FZ66" s="1461"/>
      <c r="GA66" s="1462"/>
      <c r="GB66" s="1462"/>
      <c r="GC66" s="1462"/>
      <c r="GD66" s="1462"/>
      <c r="GE66" s="1461"/>
      <c r="GF66" s="1462"/>
      <c r="GG66" s="1462"/>
      <c r="GH66" s="1462"/>
      <c r="GI66" s="1462"/>
      <c r="GJ66" s="1461"/>
    </row>
    <row r="67" spans="1:192" s="1031" customFormat="1" ht="12.75" customHeight="1" outlineLevel="1">
      <c r="A67" s="1027"/>
      <c r="B67" s="727" t="s">
        <v>439</v>
      </c>
      <c r="C67" s="1032"/>
      <c r="D67" s="1033"/>
      <c r="E67" s="1033"/>
      <c r="F67" s="1033"/>
      <c r="G67" s="1034"/>
      <c r="H67" s="1032"/>
      <c r="I67" s="1035"/>
      <c r="J67" s="1035"/>
      <c r="K67" s="1035"/>
      <c r="L67" s="1036"/>
      <c r="M67" s="1037"/>
      <c r="N67" s="1038"/>
      <c r="O67" s="1038"/>
      <c r="P67" s="1038"/>
      <c r="Q67" s="1036"/>
      <c r="R67" s="1037"/>
      <c r="S67" s="1038"/>
      <c r="T67" s="1038"/>
      <c r="U67" s="1038"/>
      <c r="V67" s="1036"/>
      <c r="W67" s="1037"/>
      <c r="X67" s="1038"/>
      <c r="Y67" s="1038"/>
      <c r="Z67" s="1038"/>
      <c r="AA67" s="1036"/>
      <c r="AB67" s="1037"/>
      <c r="AC67" s="1038"/>
      <c r="AD67" s="1038"/>
      <c r="AE67" s="1038"/>
      <c r="AF67" s="1036"/>
      <c r="AG67" s="1037"/>
      <c r="AH67" s="1038"/>
      <c r="AI67" s="1038"/>
      <c r="AJ67" s="1038"/>
      <c r="AK67" s="1036"/>
      <c r="AL67" s="1032"/>
      <c r="AM67" s="1035"/>
      <c r="AN67" s="1035"/>
      <c r="AO67" s="1035"/>
      <c r="AP67" s="1036"/>
      <c r="AQ67" s="1032"/>
      <c r="AR67" s="1035"/>
      <c r="AS67" s="1035"/>
      <c r="AT67" s="1035"/>
      <c r="AU67" s="1036"/>
      <c r="AV67" s="1032"/>
      <c r="AW67" s="1035"/>
      <c r="AX67" s="1035"/>
      <c r="AY67" s="1035"/>
      <c r="AZ67" s="1036"/>
      <c r="BA67" s="1032"/>
      <c r="BB67" s="1035"/>
      <c r="BC67" s="1035"/>
      <c r="BD67" s="1035"/>
      <c r="BE67" s="1036"/>
      <c r="BF67" s="1032"/>
      <c r="BG67" s="1035"/>
      <c r="BH67" s="1035"/>
      <c r="BI67" s="1035"/>
      <c r="BJ67" s="1036"/>
      <c r="BK67" s="1032"/>
      <c r="BL67" s="1035"/>
      <c r="BM67" s="1035"/>
      <c r="BN67" s="1035"/>
      <c r="BO67" s="1036"/>
      <c r="BP67" s="1032"/>
      <c r="BQ67" s="1035"/>
      <c r="BR67" s="1035"/>
      <c r="BS67" s="1035"/>
      <c r="BT67" s="1036"/>
      <c r="BU67" s="1032"/>
      <c r="BV67" s="1035"/>
      <c r="BW67" s="1035"/>
      <c r="BX67" s="1035"/>
      <c r="BY67" s="1036"/>
      <c r="BZ67" s="1032"/>
      <c r="CA67" s="1035"/>
      <c r="CB67" s="1035"/>
      <c r="CC67" s="1035"/>
      <c r="CD67" s="1036"/>
      <c r="CE67" s="1032"/>
      <c r="CF67" s="1035"/>
      <c r="CG67" s="1035"/>
      <c r="CH67" s="1035"/>
      <c r="CI67" s="1036"/>
      <c r="CJ67" s="1032"/>
      <c r="CK67" s="1035"/>
      <c r="CL67" s="1035"/>
      <c r="CM67" s="1035"/>
      <c r="CN67" s="1036"/>
      <c r="CO67" s="1032"/>
      <c r="CP67" s="1035"/>
      <c r="CQ67" s="1035"/>
      <c r="CR67" s="1035"/>
      <c r="CS67" s="1036"/>
      <c r="CT67" s="1032"/>
      <c r="CU67" s="1035"/>
      <c r="CV67" s="1035"/>
      <c r="CW67" s="1035"/>
      <c r="CX67" s="524"/>
      <c r="CY67" s="465"/>
      <c r="CZ67" s="1449"/>
      <c r="DA67" s="1449"/>
      <c r="DB67" s="1449"/>
      <c r="DC67" s="524"/>
      <c r="DD67" s="465">
        <f t="shared" ref="DD67:ET67" si="52">DD63/DD23</f>
      </c>
      <c r="DE67" s="465">
        <f t="shared" si="52"/>
      </c>
      <c r="DF67" s="465">
        <f t="shared" si="52"/>
      </c>
      <c r="DG67" s="465">
        <f t="shared" si="52"/>
      </c>
      <c r="DH67" s="524">
        <f t="shared" si="52"/>
      </c>
      <c r="DI67" s="465">
        <f t="shared" si="52"/>
      </c>
      <c r="DJ67" s="465">
        <f t="shared" si="52"/>
      </c>
      <c r="DK67" s="465">
        <f t="shared" si="52"/>
      </c>
      <c r="DL67" s="465">
        <f t="shared" si="52"/>
      </c>
      <c r="DM67" s="524">
        <f t="shared" si="52"/>
      </c>
      <c r="DN67" s="465">
        <f t="shared" si="52"/>
      </c>
      <c r="DO67" s="465">
        <f t="shared" si="52"/>
      </c>
      <c r="DP67" s="465">
        <f t="shared" si="52"/>
      </c>
      <c r="DQ67" s="465">
        <f t="shared" si="52"/>
      </c>
      <c r="DR67" s="524">
        <f t="shared" si="52"/>
      </c>
      <c r="DS67" s="465">
        <f t="shared" si="52"/>
      </c>
      <c r="DT67" s="465">
        <f t="shared" si="52"/>
      </c>
      <c r="DU67" s="465">
        <f t="shared" si="52"/>
      </c>
      <c r="DV67" s="465">
        <f t="shared" si="52"/>
      </c>
      <c r="DW67" s="524">
        <f t="shared" si="52"/>
      </c>
      <c r="DX67" s="465">
        <f t="shared" si="52"/>
      </c>
      <c r="DY67" s="465">
        <f t="shared" si="52"/>
      </c>
      <c r="DZ67" s="465">
        <f t="shared" si="52"/>
      </c>
      <c r="EA67" s="465">
        <f t="shared" si="52"/>
      </c>
      <c r="EB67" s="524">
        <f t="shared" si="52"/>
      </c>
      <c r="EC67" s="465">
        <f t="shared" si="52"/>
      </c>
      <c r="ED67" s="465">
        <f t="shared" si="52"/>
      </c>
      <c r="EE67" s="465">
        <f t="shared" si="52"/>
      </c>
      <c r="EF67" s="465">
        <f t="shared" si="52"/>
      </c>
      <c r="EG67" s="524">
        <f t="shared" si="52"/>
      </c>
      <c r="EH67" s="465">
        <f t="shared" si="52"/>
      </c>
      <c r="EI67" s="465">
        <f t="shared" si="52"/>
      </c>
      <c r="EJ67" s="465">
        <f t="shared" si="52"/>
      </c>
      <c r="EK67" s="465">
        <f t="shared" si="52"/>
      </c>
      <c r="EL67" s="524">
        <f t="shared" si="52"/>
      </c>
      <c r="EM67" s="465">
        <f t="shared" si="52"/>
      </c>
      <c r="EN67" s="465">
        <f t="shared" si="52"/>
      </c>
      <c r="EO67" s="465">
        <f t="shared" si="52"/>
      </c>
      <c r="EP67" s="465">
        <f t="shared" si="52"/>
      </c>
      <c r="EQ67" s="524">
        <f t="shared" si="52"/>
      </c>
      <c r="ER67" s="465">
        <f t="shared" si="52"/>
      </c>
      <c r="ES67" s="465">
        <f t="shared" si="52"/>
      </c>
      <c r="ET67" s="465">
        <f t="shared" si="52"/>
      </c>
      <c r="EU67" s="465">
        <f>EU63/EU23</f>
      </c>
      <c r="EV67" s="524">
        <f>EV63/EV23</f>
      </c>
      <c r="EW67" s="465">
        <f t="shared" ref="EW67:EY67" si="53">EW63/EW23</f>
      </c>
      <c r="EX67" s="465">
        <f t="shared" si="53"/>
      </c>
      <c r="EY67" s="465">
        <f t="shared" si="53"/>
      </c>
      <c r="EZ67" s="465">
        <f>EZ63/EZ23</f>
      </c>
      <c r="FA67" s="524">
        <f>FA63/FA23</f>
      </c>
      <c r="FB67" s="465"/>
      <c r="FC67" s="1449"/>
      <c r="FD67" s="1449"/>
      <c r="FE67" s="1449"/>
      <c r="FF67" s="524"/>
      <c r="FG67" s="465"/>
      <c r="FH67" s="1449"/>
      <c r="FI67" s="1449"/>
      <c r="FJ67" s="1449"/>
      <c r="FK67" s="524"/>
      <c r="FL67" s="465"/>
      <c r="FM67" s="1449"/>
      <c r="FN67" s="1449"/>
      <c r="FO67" s="1449"/>
      <c r="FP67" s="524"/>
      <c r="FQ67" s="465"/>
      <c r="FR67" s="1449"/>
      <c r="FS67" s="1449"/>
      <c r="FT67" s="1449"/>
      <c r="FU67" s="524"/>
      <c r="FV67" s="465"/>
      <c r="FW67" s="1449"/>
      <c r="FX67" s="1449"/>
      <c r="FY67" s="1449"/>
      <c r="FZ67" s="524"/>
      <c r="GA67" s="465"/>
      <c r="GB67" s="1449"/>
      <c r="GC67" s="1449"/>
      <c r="GD67" s="1449"/>
      <c r="GE67" s="524"/>
      <c r="GF67" s="465"/>
      <c r="GG67" s="1449"/>
      <c r="GH67" s="1449"/>
      <c r="GI67" s="1449"/>
      <c r="GJ67" s="524"/>
    </row>
    <row r="68" spans="1:192" s="1031" customFormat="1" ht="12.75" customHeight="1" outlineLevel="1">
      <c r="A68" s="1027"/>
      <c r="B68" s="727" t="s">
        <v>440</v>
      </c>
      <c r="C68" s="1028"/>
      <c r="D68" s="1028"/>
      <c r="E68" s="1028"/>
      <c r="F68" s="1028"/>
      <c r="G68" s="1029"/>
      <c r="H68" s="1028"/>
      <c r="I68" s="1028"/>
      <c r="J68" s="1028"/>
      <c r="K68" s="1028"/>
      <c r="L68" s="1029"/>
      <c r="M68" s="1030"/>
      <c r="N68" s="1030"/>
      <c r="O68" s="1030"/>
      <c r="P68" s="1030"/>
      <c r="Q68" s="1029"/>
      <c r="R68" s="1030"/>
      <c r="S68" s="1030"/>
      <c r="T68" s="1030"/>
      <c r="U68" s="1030"/>
      <c r="V68" s="1029"/>
      <c r="W68" s="1030"/>
      <c r="X68" s="1030"/>
      <c r="Y68" s="1030"/>
      <c r="Z68" s="1030"/>
      <c r="AA68" s="1029"/>
      <c r="AB68" s="1030"/>
      <c r="AC68" s="1030"/>
      <c r="AD68" s="1030"/>
      <c r="AE68" s="1030"/>
      <c r="AF68" s="1029"/>
      <c r="AG68" s="1030"/>
      <c r="AH68" s="1030"/>
      <c r="AI68" s="1030"/>
      <c r="AJ68" s="1030"/>
      <c r="AK68" s="1029"/>
      <c r="AL68" s="1028"/>
      <c r="AM68" s="1028"/>
      <c r="AN68" s="1028"/>
      <c r="AO68" s="1028"/>
      <c r="AP68" s="1029"/>
      <c r="AQ68" s="1028"/>
      <c r="AR68" s="1028"/>
      <c r="AS68" s="1028"/>
      <c r="AT68" s="1028"/>
      <c r="AU68" s="1029"/>
      <c r="AV68" s="1028"/>
      <c r="AW68" s="1028"/>
      <c r="AX68" s="1028"/>
      <c r="AY68" s="1028"/>
      <c r="AZ68" s="1029"/>
      <c r="BA68" s="1028"/>
      <c r="BB68" s="1028"/>
      <c r="BC68" s="1028"/>
      <c r="BD68" s="1028"/>
      <c r="BE68" s="1029"/>
      <c r="BF68" s="1028"/>
      <c r="BG68" s="1028"/>
      <c r="BH68" s="1028"/>
      <c r="BI68" s="1028"/>
      <c r="BJ68" s="1029"/>
      <c r="BK68" s="1028"/>
      <c r="BL68" s="1028"/>
      <c r="BM68" s="1028"/>
      <c r="BN68" s="1028"/>
      <c r="BO68" s="1029"/>
      <c r="BP68" s="1028"/>
      <c r="BQ68" s="1028"/>
      <c r="BR68" s="1028"/>
      <c r="BS68" s="1028"/>
      <c r="BT68" s="1029"/>
      <c r="BU68" s="1028"/>
      <c r="BV68" s="1028"/>
      <c r="BW68" s="1028"/>
      <c r="BX68" s="1028"/>
      <c r="BY68" s="1029"/>
      <c r="BZ68" s="1028"/>
      <c r="CA68" s="1028"/>
      <c r="CB68" s="1028"/>
      <c r="CC68" s="1028"/>
      <c r="CD68" s="1029"/>
      <c r="CE68" s="1028"/>
      <c r="CF68" s="1028"/>
      <c r="CG68" s="1028"/>
      <c r="CH68" s="1028"/>
      <c r="CI68" s="1029"/>
      <c r="CJ68" s="1028"/>
      <c r="CK68" s="1028"/>
      <c r="CL68" s="1028"/>
      <c r="CM68" s="1028"/>
      <c r="CN68" s="1029"/>
      <c r="CO68" s="1028"/>
      <c r="CP68" s="1028"/>
      <c r="CQ68" s="1028"/>
      <c r="CR68" s="1028"/>
      <c r="CS68" s="1029"/>
      <c r="CT68" s="1028"/>
      <c r="CU68" s="1028"/>
      <c r="CV68" s="1028"/>
      <c r="CW68" s="1028"/>
      <c r="CX68" s="1461"/>
      <c r="CY68" s="1462"/>
      <c r="CZ68" s="1462"/>
      <c r="DA68" s="1462"/>
      <c r="DB68" s="1462"/>
      <c r="DC68" s="1461"/>
      <c r="DD68" s="1462">
        <f t="shared" ref="DD68:ET68" si="54">DD63/DD14</f>
      </c>
      <c r="DE68" s="1462">
        <f t="shared" si="54"/>
      </c>
      <c r="DF68" s="1462">
        <f t="shared" si="54"/>
      </c>
      <c r="DG68" s="1462">
        <f t="shared" si="54"/>
      </c>
      <c r="DH68" s="1461">
        <f t="shared" si="54"/>
      </c>
      <c r="DI68" s="1462">
        <f t="shared" si="54"/>
      </c>
      <c r="DJ68" s="1462">
        <f t="shared" si="54"/>
      </c>
      <c r="DK68" s="1462">
        <f t="shared" si="54"/>
      </c>
      <c r="DL68" s="1462">
        <f t="shared" si="54"/>
      </c>
      <c r="DM68" s="1461">
        <f t="shared" si="54"/>
      </c>
      <c r="DN68" s="1462">
        <f t="shared" si="54"/>
      </c>
      <c r="DO68" s="1462">
        <f t="shared" si="54"/>
      </c>
      <c r="DP68" s="1462">
        <f t="shared" si="54"/>
      </c>
      <c r="DQ68" s="1462">
        <f t="shared" si="54"/>
      </c>
      <c r="DR68" s="1461">
        <f t="shared" si="54"/>
      </c>
      <c r="DS68" s="1462">
        <f t="shared" si="54"/>
      </c>
      <c r="DT68" s="1462">
        <f t="shared" si="54"/>
      </c>
      <c r="DU68" s="1462">
        <f t="shared" si="54"/>
      </c>
      <c r="DV68" s="1462">
        <f t="shared" si="54"/>
      </c>
      <c r="DW68" s="1461">
        <f t="shared" si="54"/>
      </c>
      <c r="DX68" s="1462">
        <f t="shared" si="54"/>
      </c>
      <c r="DY68" s="1462">
        <f t="shared" si="54"/>
      </c>
      <c r="DZ68" s="1462">
        <f t="shared" si="54"/>
      </c>
      <c r="EA68" s="1462">
        <f t="shared" si="54"/>
      </c>
      <c r="EB68" s="1461">
        <f t="shared" si="54"/>
      </c>
      <c r="EC68" s="1462">
        <f t="shared" si="54"/>
      </c>
      <c r="ED68" s="1462">
        <f t="shared" si="54"/>
      </c>
      <c r="EE68" s="1462">
        <f t="shared" si="54"/>
      </c>
      <c r="EF68" s="1462">
        <f t="shared" si="54"/>
      </c>
      <c r="EG68" s="1461">
        <f t="shared" si="54"/>
      </c>
      <c r="EH68" s="1462">
        <f t="shared" si="54"/>
      </c>
      <c r="EI68" s="1462">
        <f t="shared" si="54"/>
      </c>
      <c r="EJ68" s="1462">
        <f t="shared" si="54"/>
      </c>
      <c r="EK68" s="1462">
        <f t="shared" si="54"/>
      </c>
      <c r="EL68" s="1461">
        <f t="shared" si="54"/>
      </c>
      <c r="EM68" s="1462">
        <f t="shared" si="54"/>
      </c>
      <c r="EN68" s="1462">
        <f t="shared" si="54"/>
      </c>
      <c r="EO68" s="1462">
        <f t="shared" si="54"/>
      </c>
      <c r="EP68" s="1462">
        <f t="shared" si="54"/>
      </c>
      <c r="EQ68" s="1461">
        <f t="shared" si="54"/>
      </c>
      <c r="ER68" s="1462">
        <f t="shared" si="54"/>
      </c>
      <c r="ES68" s="1462">
        <f t="shared" si="54"/>
      </c>
      <c r="ET68" s="1462">
        <f t="shared" si="54"/>
      </c>
      <c r="EU68" s="1462">
        <f>EU63/EU14</f>
      </c>
      <c r="EV68" s="1461">
        <f>EV63/EV14</f>
      </c>
      <c r="EW68" s="1462">
        <f t="shared" ref="EW68:EY68" si="55">EW63/EW14</f>
      </c>
      <c r="EX68" s="1462">
        <f t="shared" si="55"/>
      </c>
      <c r="EY68" s="1462">
        <f t="shared" si="55"/>
      </c>
      <c r="EZ68" s="1462">
        <f>EZ63/EZ14</f>
      </c>
      <c r="FA68" s="1461">
        <f>FA63/FA14</f>
      </c>
      <c r="FB68" s="1462"/>
      <c r="FC68" s="1462"/>
      <c r="FD68" s="1462"/>
      <c r="FE68" s="1462"/>
      <c r="FF68" s="1461"/>
      <c r="FG68" s="1462"/>
      <c r="FH68" s="1462"/>
      <c r="FI68" s="1462"/>
      <c r="FJ68" s="1462"/>
      <c r="FK68" s="1461"/>
      <c r="FL68" s="1462"/>
      <c r="FM68" s="1462"/>
      <c r="FN68" s="1462"/>
      <c r="FO68" s="1462"/>
      <c r="FP68" s="1461"/>
      <c r="FQ68" s="1462"/>
      <c r="FR68" s="1462"/>
      <c r="FS68" s="1462"/>
      <c r="FT68" s="1462"/>
      <c r="FU68" s="1461"/>
      <c r="FV68" s="1462"/>
      <c r="FW68" s="1462"/>
      <c r="FX68" s="1462"/>
      <c r="FY68" s="1462"/>
      <c r="FZ68" s="1461"/>
      <c r="GA68" s="1462"/>
      <c r="GB68" s="1462"/>
      <c r="GC68" s="1462"/>
      <c r="GD68" s="1462"/>
      <c r="GE68" s="1461"/>
      <c r="GF68" s="1462"/>
      <c r="GG68" s="1462"/>
      <c r="GH68" s="1462"/>
      <c r="GI68" s="1462"/>
      <c r="GJ68" s="1461"/>
    </row>
    <row r="69" spans="1:192" s="1031" customFormat="1" ht="12.75" customHeight="1" outlineLevel="1">
      <c r="A69" s="1027"/>
      <c r="B69" s="727"/>
      <c r="C69" s="1028"/>
      <c r="D69" s="1028"/>
      <c r="E69" s="1028"/>
      <c r="F69" s="1028"/>
      <c r="G69" s="1029"/>
      <c r="H69" s="1028"/>
      <c r="I69" s="1028"/>
      <c r="J69" s="1028"/>
      <c r="K69" s="1028"/>
      <c r="L69" s="1029"/>
      <c r="M69" s="1030"/>
      <c r="N69" s="1030"/>
      <c r="O69" s="1030"/>
      <c r="P69" s="1030"/>
      <c r="Q69" s="1029"/>
      <c r="R69" s="1030"/>
      <c r="S69" s="1030"/>
      <c r="T69" s="1030"/>
      <c r="U69" s="1030"/>
      <c r="V69" s="1029"/>
      <c r="W69" s="1030"/>
      <c r="X69" s="1030"/>
      <c r="Y69" s="1030"/>
      <c r="Z69" s="1030"/>
      <c r="AA69" s="1029"/>
      <c r="AB69" s="1030"/>
      <c r="AC69" s="1030"/>
      <c r="AD69" s="1030"/>
      <c r="AE69" s="1030"/>
      <c r="AF69" s="1029"/>
      <c r="AG69" s="1030"/>
      <c r="AH69" s="1030"/>
      <c r="AI69" s="1030"/>
      <c r="AJ69" s="1030"/>
      <c r="AK69" s="1029"/>
      <c r="AL69" s="1028"/>
      <c r="AM69" s="1028"/>
      <c r="AN69" s="1028"/>
      <c r="AO69" s="1028"/>
      <c r="AP69" s="1029"/>
      <c r="AQ69" s="1028"/>
      <c r="AR69" s="1028"/>
      <c r="AS69" s="1028"/>
      <c r="AT69" s="1028"/>
      <c r="AU69" s="1029"/>
      <c r="AV69" s="1028"/>
      <c r="AW69" s="1028"/>
      <c r="AX69" s="1028"/>
      <c r="AY69" s="1028"/>
      <c r="AZ69" s="1029"/>
      <c r="BA69" s="1028"/>
      <c r="BB69" s="1028"/>
      <c r="BC69" s="1028"/>
      <c r="BD69" s="1028"/>
      <c r="BE69" s="1029"/>
      <c r="BF69" s="1028"/>
      <c r="BG69" s="1028"/>
      <c r="BH69" s="1028"/>
      <c r="BI69" s="1028"/>
      <c r="BJ69" s="1029"/>
      <c r="BK69" s="1028"/>
      <c r="BL69" s="1028"/>
      <c r="BM69" s="1028"/>
      <c r="BN69" s="1028"/>
      <c r="BO69" s="1029"/>
      <c r="BP69" s="1028"/>
      <c r="BQ69" s="1028"/>
      <c r="BR69" s="1028"/>
      <c r="BS69" s="1028"/>
      <c r="BT69" s="1029"/>
      <c r="BU69" s="1028"/>
      <c r="BV69" s="1028"/>
      <c r="BW69" s="1028"/>
      <c r="BX69" s="1028"/>
      <c r="BY69" s="1029"/>
      <c r="BZ69" s="1028"/>
      <c r="CA69" s="1028"/>
      <c r="CB69" s="1028"/>
      <c r="CC69" s="1028"/>
      <c r="CD69" s="1029"/>
      <c r="CE69" s="1028"/>
      <c r="CF69" s="1028"/>
      <c r="CG69" s="1028"/>
      <c r="CH69" s="1028"/>
      <c r="CI69" s="1029"/>
      <c r="CJ69" s="1028"/>
      <c r="CK69" s="1028"/>
      <c r="CL69" s="1028"/>
      <c r="CM69" s="1028"/>
      <c r="CN69" s="1029"/>
      <c r="CO69" s="1028"/>
      <c r="CP69" s="1028"/>
      <c r="CQ69" s="1028"/>
      <c r="CR69" s="1028"/>
      <c r="CS69" s="1029"/>
      <c r="CT69" s="1028"/>
      <c r="CU69" s="1028"/>
      <c r="CV69" s="1028"/>
      <c r="CW69" s="1028"/>
      <c r="CX69" s="1461"/>
      <c r="CY69" s="1462"/>
      <c r="CZ69" s="1462"/>
      <c r="DA69" s="1462"/>
      <c r="DB69" s="1462"/>
      <c r="DC69" s="1461"/>
      <c r="DD69" s="1462"/>
      <c r="DE69" s="1462"/>
      <c r="DF69" s="1462"/>
      <c r="DG69" s="1462"/>
      <c r="DH69" s="1461"/>
      <c r="DI69" s="1462"/>
      <c r="DJ69" s="1462"/>
      <c r="DK69" s="1462"/>
      <c r="DL69" s="1462"/>
      <c r="DM69" s="1461"/>
      <c r="DN69" s="1462"/>
      <c r="DO69" s="1462"/>
      <c r="DP69" s="1462"/>
      <c r="DQ69" s="1462"/>
      <c r="DR69" s="1461"/>
      <c r="DS69" s="1462"/>
      <c r="DT69" s="1462"/>
      <c r="DU69" s="1462"/>
      <c r="DV69" s="1462"/>
      <c r="DW69" s="1461"/>
      <c r="DX69" s="1462"/>
      <c r="DY69" s="1462"/>
      <c r="DZ69" s="1462"/>
      <c r="EA69" s="1462"/>
      <c r="EB69" s="1461"/>
      <c r="EC69" s="1462"/>
      <c r="ED69" s="1462"/>
      <c r="EE69" s="1462"/>
      <c r="EF69" s="1462"/>
      <c r="EG69" s="1461"/>
      <c r="EH69" s="1462"/>
      <c r="EI69" s="1462"/>
      <c r="EJ69" s="1462"/>
      <c r="EK69" s="1462"/>
      <c r="EL69" s="1461"/>
      <c r="EM69" s="1462"/>
      <c r="EN69" s="1462"/>
      <c r="EO69" s="1462"/>
      <c r="EP69" s="1462"/>
      <c r="EQ69" s="1461"/>
      <c r="ER69" s="1462"/>
      <c r="ES69" s="1462"/>
      <c r="ET69" s="1462"/>
      <c r="EU69" s="1462"/>
      <c r="EV69" s="1461"/>
      <c r="EW69" s="1462"/>
      <c r="EX69" s="1462"/>
      <c r="EY69" s="1462"/>
      <c r="EZ69" s="1462"/>
      <c r="FA69" s="1461"/>
      <c r="FB69" s="1462"/>
      <c r="FC69" s="1462"/>
      <c r="FD69" s="1462"/>
      <c r="FE69" s="1462"/>
      <c r="FF69" s="1461"/>
      <c r="FG69" s="1462"/>
      <c r="FH69" s="1462"/>
      <c r="FI69" s="1462"/>
      <c r="FJ69" s="1462"/>
      <c r="FK69" s="1461"/>
      <c r="FL69" s="1462"/>
      <c r="FM69" s="1462"/>
      <c r="FN69" s="1462"/>
      <c r="FO69" s="1462"/>
      <c r="FP69" s="1461"/>
      <c r="FQ69" s="1462"/>
      <c r="FR69" s="1462"/>
      <c r="FS69" s="1462"/>
      <c r="FT69" s="1462"/>
      <c r="FU69" s="1461"/>
      <c r="FV69" s="1462"/>
      <c r="FW69" s="1462"/>
      <c r="FX69" s="1462"/>
      <c r="FY69" s="1462"/>
      <c r="FZ69" s="1461"/>
      <c r="GA69" s="1462"/>
      <c r="GB69" s="1462"/>
      <c r="GC69" s="1462"/>
      <c r="GD69" s="1462"/>
      <c r="GE69" s="1461"/>
      <c r="GF69" s="1462"/>
      <c r="GG69" s="1462"/>
      <c r="GH69" s="1462"/>
      <c r="GI69" s="1462"/>
      <c r="GJ69" s="1461"/>
    </row>
    <row r="70" spans="1:192" s="461" customFormat="1" ht="12.75" customHeight="1" outlineLevel="1">
      <c r="A70" s="68" t="s">
        <v>385</v>
      </c>
      <c r="B70" s="975" t="s">
        <v>423</v>
      </c>
      <c r="C70" s="624"/>
      <c r="D70" s="624"/>
      <c r="E70" s="624"/>
      <c r="F70" s="624"/>
      <c r="G70" s="622"/>
      <c r="H70" s="624"/>
      <c r="I70" s="624"/>
      <c r="J70" s="624"/>
      <c r="K70" s="624"/>
      <c r="L70" s="622"/>
      <c r="M70" s="624"/>
      <c r="N70" s="624"/>
      <c r="O70" s="624"/>
      <c r="P70" s="624"/>
      <c r="Q70" s="622"/>
      <c r="R70" s="981"/>
      <c r="S70" s="981"/>
      <c r="T70" s="981"/>
      <c r="U70" s="981"/>
      <c r="V70" s="622"/>
      <c r="W70" s="981"/>
      <c r="X70" s="981"/>
      <c r="Y70" s="981"/>
      <c r="Z70" s="981"/>
      <c r="AA70" s="622"/>
      <c r="AB70" s="981"/>
      <c r="AC70" s="981"/>
      <c r="AD70" s="981"/>
      <c r="AE70" s="981"/>
      <c r="AF70" s="622"/>
      <c r="AG70" s="981"/>
      <c r="AH70" s="981"/>
      <c r="AI70" s="981"/>
      <c r="AJ70" s="981"/>
      <c r="AK70" s="622"/>
      <c r="AL70" s="624"/>
      <c r="AM70" s="624"/>
      <c r="AN70" s="624"/>
      <c r="AO70" s="624"/>
      <c r="AP70" s="622"/>
      <c r="AQ70" s="624"/>
      <c r="AR70" s="624"/>
      <c r="AS70" s="624"/>
      <c r="AT70" s="624"/>
      <c r="AU70" s="622"/>
      <c r="AV70" s="624"/>
      <c r="AW70" s="624"/>
      <c r="AX70" s="624"/>
      <c r="AY70" s="624"/>
      <c r="AZ70" s="622"/>
      <c r="BA70" s="624"/>
      <c r="BB70" s="624"/>
      <c r="BC70" s="624"/>
      <c r="BD70" s="624"/>
      <c r="BE70" s="622"/>
      <c r="BF70" s="624"/>
      <c r="BG70" s="624"/>
      <c r="BH70" s="624"/>
      <c r="BI70" s="624"/>
      <c r="BJ70" s="622"/>
      <c r="BK70" s="624"/>
      <c r="BL70" s="624"/>
      <c r="BM70" s="624"/>
      <c r="BN70" s="624"/>
      <c r="BO70" s="622"/>
      <c r="BP70" s="624"/>
      <c r="BQ70" s="624"/>
      <c r="BR70" s="624"/>
      <c r="BS70" s="624"/>
      <c r="BT70" s="622"/>
      <c r="BU70" s="624"/>
      <c r="BV70" s="624"/>
      <c r="BW70" s="624"/>
      <c r="BX70" s="624"/>
      <c r="BY70" s="622"/>
      <c r="BZ70" s="624"/>
      <c r="CA70" s="624"/>
      <c r="CB70" s="624"/>
      <c r="CC70" s="624"/>
      <c r="CD70" s="622"/>
      <c r="CE70" s="624"/>
      <c r="CF70" s="624"/>
      <c r="CG70" s="624"/>
      <c r="CH70" s="624"/>
      <c r="CI70" s="622"/>
      <c r="CJ70" s="624"/>
      <c r="CK70" s="624"/>
      <c r="CL70" s="624"/>
      <c r="CM70" s="624"/>
      <c r="CN70" s="622"/>
      <c r="CO70" s="624"/>
      <c r="CP70" s="624"/>
      <c r="CQ70" s="624"/>
      <c r="CR70" s="624"/>
      <c r="CS70" s="622"/>
      <c r="CT70" s="624"/>
      <c r="CU70" s="624"/>
      <c r="CV70" s="624"/>
      <c r="CW70" s="624"/>
      <c r="CX70" s="622"/>
      <c r="CY70" s="624"/>
      <c r="CZ70" s="624"/>
      <c r="DA70" s="624"/>
      <c r="DB70" s="624"/>
      <c r="DC70" s="622"/>
      <c r="DD70" s="619">
        <f t="shared" ref="DD70:ET70" si="56">DD29</f>
      </c>
      <c r="DE70" s="619">
        <f t="shared" si="56"/>
      </c>
      <c r="DF70" s="619">
        <f t="shared" si="56"/>
      </c>
      <c r="DG70" s="619">
        <f t="shared" si="56"/>
      </c>
      <c r="DH70" s="622">
        <f t="shared" si="56"/>
      </c>
      <c r="DI70" s="619">
        <f t="shared" si="56"/>
      </c>
      <c r="DJ70" s="619">
        <f t="shared" si="56"/>
      </c>
      <c r="DK70" s="619">
        <f t="shared" si="56"/>
      </c>
      <c r="DL70" s="619">
        <f t="shared" si="56"/>
      </c>
      <c r="DM70" s="622">
        <f t="shared" si="56"/>
      </c>
      <c r="DN70" s="619">
        <f t="shared" si="56"/>
      </c>
      <c r="DO70" s="619">
        <f t="shared" si="56"/>
      </c>
      <c r="DP70" s="619">
        <f t="shared" si="56"/>
      </c>
      <c r="DQ70" s="619">
        <f t="shared" si="56"/>
      </c>
      <c r="DR70" s="622">
        <f t="shared" si="56"/>
      </c>
      <c r="DS70" s="619">
        <f t="shared" si="56"/>
      </c>
      <c r="DT70" s="619">
        <f t="shared" si="56"/>
      </c>
      <c r="DU70" s="619">
        <f t="shared" si="56"/>
      </c>
      <c r="DV70" s="619">
        <f t="shared" si="56"/>
      </c>
      <c r="DW70" s="622">
        <f t="shared" si="56"/>
      </c>
      <c r="DX70" s="619">
        <f t="shared" si="56"/>
      </c>
      <c r="DY70" s="619">
        <f t="shared" si="56"/>
      </c>
      <c r="DZ70" s="619">
        <f t="shared" si="56"/>
      </c>
      <c r="EA70" s="619">
        <f t="shared" si="56"/>
      </c>
      <c r="EB70" s="622">
        <f t="shared" si="56"/>
      </c>
      <c r="EC70" s="619">
        <f t="shared" si="56"/>
      </c>
      <c r="ED70" s="619">
        <f t="shared" si="56"/>
      </c>
      <c r="EE70" s="619">
        <f t="shared" si="56"/>
      </c>
      <c r="EF70" s="619">
        <f t="shared" si="56"/>
      </c>
      <c r="EG70" s="622">
        <f t="shared" si="56"/>
      </c>
      <c r="EH70" s="619">
        <f t="shared" si="56"/>
      </c>
      <c r="EI70" s="619">
        <f t="shared" si="56"/>
      </c>
      <c r="EJ70" s="619">
        <f t="shared" si="56"/>
      </c>
      <c r="EK70" s="619">
        <f t="shared" si="56"/>
      </c>
      <c r="EL70" s="622">
        <f t="shared" si="56"/>
      </c>
      <c r="EM70" s="619">
        <f t="shared" si="56"/>
      </c>
      <c r="EN70" s="619">
        <f t="shared" si="56"/>
      </c>
      <c r="EO70" s="619">
        <f t="shared" si="56"/>
      </c>
      <c r="EP70" s="619">
        <f t="shared" si="56"/>
      </c>
      <c r="EQ70" s="622">
        <f t="shared" si="56"/>
      </c>
      <c r="ER70" s="619">
        <f t="shared" si="56"/>
      </c>
      <c r="ES70" s="619">
        <f t="shared" si="56"/>
      </c>
      <c r="ET70" s="619">
        <f t="shared" si="56"/>
      </c>
      <c r="EU70" s="619">
        <f>EU29</f>
      </c>
      <c r="EV70" s="622">
        <f>EV29</f>
      </c>
      <c r="EW70" s="619">
        <f t="shared" ref="EW70:EY70" si="57">EW29</f>
      </c>
      <c r="EX70" s="619">
        <f t="shared" si="57"/>
      </c>
      <c r="EY70" s="619">
        <f t="shared" si="57"/>
      </c>
      <c r="EZ70" s="619">
        <f>EZ29</f>
      </c>
      <c r="FA70" s="622">
        <f>FA29</f>
      </c>
      <c r="FB70" s="619"/>
      <c r="FC70" s="619"/>
      <c r="FD70" s="619"/>
      <c r="FE70" s="619"/>
      <c r="FF70" s="622"/>
      <c r="FG70" s="619"/>
      <c r="FH70" s="619"/>
      <c r="FI70" s="619"/>
      <c r="FJ70" s="619"/>
      <c r="FK70" s="622"/>
      <c r="FL70" s="619"/>
      <c r="FM70" s="619"/>
      <c r="FN70" s="619"/>
      <c r="FO70" s="619"/>
      <c r="FP70" s="622"/>
      <c r="FQ70" s="619"/>
      <c r="FR70" s="619"/>
      <c r="FS70" s="619"/>
      <c r="FT70" s="619"/>
      <c r="FU70" s="622"/>
      <c r="FV70" s="619"/>
      <c r="FW70" s="619"/>
      <c r="FX70" s="619"/>
      <c r="FY70" s="619"/>
      <c r="FZ70" s="622"/>
      <c r="GA70" s="619"/>
      <c r="GB70" s="619"/>
      <c r="GC70" s="619"/>
      <c r="GD70" s="619"/>
      <c r="GE70" s="622"/>
      <c r="GF70" s="619"/>
      <c r="GG70" s="619"/>
      <c r="GH70" s="619"/>
      <c r="GI70" s="619"/>
      <c r="GJ70" s="622"/>
    </row>
    <row r="71" spans="1:192" s="1031" customFormat="1" ht="12.75" customHeight="1" outlineLevel="1">
      <c r="A71" s="1027"/>
      <c r="B71" s="727" t="s">
        <v>34</v>
      </c>
      <c r="C71" s="1028"/>
      <c r="D71" s="1028"/>
      <c r="E71" s="1028"/>
      <c r="F71" s="1028"/>
      <c r="G71" s="1029"/>
      <c r="H71" s="1028"/>
      <c r="I71" s="1028"/>
      <c r="J71" s="1028"/>
      <c r="K71" s="1028"/>
      <c r="L71" s="1029"/>
      <c r="M71" s="1028"/>
      <c r="N71" s="1028"/>
      <c r="O71" s="1028"/>
      <c r="P71" s="1028"/>
      <c r="Q71" s="1029"/>
      <c r="R71" s="1030"/>
      <c r="S71" s="1030"/>
      <c r="T71" s="1030"/>
      <c r="U71" s="1030"/>
      <c r="V71" s="1029"/>
      <c r="W71" s="1030"/>
      <c r="X71" s="1030"/>
      <c r="Y71" s="1030"/>
      <c r="Z71" s="1030"/>
      <c r="AA71" s="1029"/>
      <c r="AB71" s="1030"/>
      <c r="AC71" s="1030"/>
      <c r="AD71" s="1030"/>
      <c r="AE71" s="1030"/>
      <c r="AF71" s="1029"/>
      <c r="AG71" s="1030"/>
      <c r="AH71" s="1030"/>
      <c r="AI71" s="1030"/>
      <c r="AJ71" s="1030"/>
      <c r="AK71" s="1029"/>
      <c r="AL71" s="1028"/>
      <c r="AM71" s="1028"/>
      <c r="AN71" s="1028"/>
      <c r="AO71" s="1028"/>
      <c r="AP71" s="1029"/>
      <c r="AQ71" s="1028"/>
      <c r="AR71" s="1028"/>
      <c r="AS71" s="1028"/>
      <c r="AT71" s="1028"/>
      <c r="AU71" s="1029"/>
      <c r="AV71" s="1028"/>
      <c r="AW71" s="1028"/>
      <c r="AX71" s="1028"/>
      <c r="AY71" s="1028"/>
      <c r="AZ71" s="1029"/>
      <c r="BA71" s="1028"/>
      <c r="BB71" s="1028"/>
      <c r="BC71" s="1028"/>
      <c r="BD71" s="1028"/>
      <c r="BE71" s="1029"/>
      <c r="BF71" s="1028"/>
      <c r="BG71" s="1028"/>
      <c r="BH71" s="1028"/>
      <c r="BI71" s="1028"/>
      <c r="BJ71" s="1029"/>
      <c r="BK71" s="1028"/>
      <c r="BL71" s="1028"/>
      <c r="BM71" s="1028"/>
      <c r="BN71" s="1028"/>
      <c r="BO71" s="1029"/>
      <c r="BP71" s="1028"/>
      <c r="BQ71" s="1028"/>
      <c r="BR71" s="1028"/>
      <c r="BS71" s="1028"/>
      <c r="BT71" s="1029"/>
      <c r="BU71" s="1028"/>
      <c r="BV71" s="1028"/>
      <c r="BW71" s="1028"/>
      <c r="BX71" s="1028"/>
      <c r="BY71" s="1029"/>
      <c r="BZ71" s="1028"/>
      <c r="CA71" s="1028"/>
      <c r="CB71" s="1028"/>
      <c r="CC71" s="1028"/>
      <c r="CD71" s="1029"/>
      <c r="CE71" s="1028"/>
      <c r="CF71" s="1028"/>
      <c r="CG71" s="1028"/>
      <c r="CH71" s="1028"/>
      <c r="CI71" s="1029"/>
      <c r="CJ71" s="1028"/>
      <c r="CK71" s="1028"/>
      <c r="CL71" s="1028"/>
      <c r="CM71" s="1028"/>
      <c r="CN71" s="1029"/>
      <c r="CO71" s="1028"/>
      <c r="CP71" s="1028"/>
      <c r="CQ71" s="1028"/>
      <c r="CR71" s="1028"/>
      <c r="CS71" s="1029"/>
      <c r="CT71" s="1028"/>
      <c r="CU71" s="1028"/>
      <c r="CV71" s="1028"/>
      <c r="CW71" s="1028"/>
      <c r="CX71" s="1461"/>
      <c r="CY71" s="1462"/>
      <c r="CZ71" s="1462"/>
      <c r="DA71" s="1462"/>
      <c r="DB71" s="1462"/>
      <c r="DC71" s="1461"/>
      <c r="DD71" s="1462"/>
      <c r="DE71" s="1462"/>
      <c r="DF71" s="1462"/>
      <c r="DG71" s="1462"/>
      <c r="DH71" s="1461"/>
      <c r="DI71" s="1462">
        <f t="shared" ref="DI71:ET71" si="58">DI70/DD70-1</f>
      </c>
      <c r="DJ71" s="1462">
        <f t="shared" si="58"/>
      </c>
      <c r="DK71" s="1462">
        <f t="shared" si="58"/>
      </c>
      <c r="DL71" s="1462">
        <f t="shared" si="58"/>
      </c>
      <c r="DM71" s="1461">
        <f t="shared" si="58"/>
      </c>
      <c r="DN71" s="1462">
        <f t="shared" si="58"/>
      </c>
      <c r="DO71" s="1462">
        <f t="shared" si="58"/>
      </c>
      <c r="DP71" s="1462">
        <f t="shared" si="58"/>
      </c>
      <c r="DQ71" s="1462">
        <f t="shared" si="58"/>
      </c>
      <c r="DR71" s="1461">
        <f t="shared" si="58"/>
      </c>
      <c r="DS71" s="1462">
        <f t="shared" si="58"/>
      </c>
      <c r="DT71" s="1462">
        <f t="shared" si="58"/>
      </c>
      <c r="DU71" s="1462">
        <f t="shared" si="58"/>
      </c>
      <c r="DV71" s="1462">
        <f t="shared" si="58"/>
      </c>
      <c r="DW71" s="1461">
        <f t="shared" si="58"/>
      </c>
      <c r="DX71" s="1462">
        <f t="shared" si="58"/>
      </c>
      <c r="DY71" s="1462">
        <f t="shared" si="58"/>
      </c>
      <c r="DZ71" s="1462">
        <f t="shared" si="58"/>
      </c>
      <c r="EA71" s="1462">
        <f t="shared" si="58"/>
      </c>
      <c r="EB71" s="1461">
        <f t="shared" si="58"/>
      </c>
      <c r="EC71" s="1462">
        <f t="shared" si="58"/>
      </c>
      <c r="ED71" s="1462">
        <f t="shared" si="58"/>
      </c>
      <c r="EE71" s="1462">
        <f t="shared" si="58"/>
      </c>
      <c r="EF71" s="1462">
        <f t="shared" si="58"/>
      </c>
      <c r="EG71" s="1461">
        <f t="shared" si="58"/>
      </c>
      <c r="EH71" s="1462">
        <f t="shared" si="58"/>
      </c>
      <c r="EI71" s="1462">
        <f t="shared" si="58"/>
      </c>
      <c r="EJ71" s="1462">
        <f t="shared" si="58"/>
      </c>
      <c r="EK71" s="1462">
        <f t="shared" si="58"/>
      </c>
      <c r="EL71" s="1461">
        <f t="shared" si="58"/>
      </c>
      <c r="EM71" s="1462">
        <f t="shared" si="58"/>
      </c>
      <c r="EN71" s="1462">
        <f t="shared" si="58"/>
      </c>
      <c r="EO71" s="1462">
        <f t="shared" si="58"/>
      </c>
      <c r="EP71" s="1462">
        <f t="shared" si="58"/>
      </c>
      <c r="EQ71" s="1461">
        <f t="shared" si="58"/>
      </c>
      <c r="ER71" s="1462">
        <f t="shared" si="58"/>
      </c>
      <c r="ES71" s="1462">
        <f t="shared" si="58"/>
      </c>
      <c r="ET71" s="1462">
        <f t="shared" si="58"/>
      </c>
      <c r="EU71" s="1462">
        <f>EU70/EP70-1</f>
      </c>
      <c r="EV71" s="1461">
        <f>EV70/EQ70-1</f>
      </c>
      <c r="EW71" s="1462">
        <f t="shared" ref="EW71:EY71" si="59">EW70/ER70-1</f>
      </c>
      <c r="EX71" s="1462">
        <f t="shared" si="59"/>
      </c>
      <c r="EY71" s="1462">
        <f t="shared" si="59"/>
      </c>
      <c r="EZ71" s="1462">
        <f>EZ70/EU70-1</f>
      </c>
      <c r="FA71" s="1461">
        <f>FA70/EV70-1</f>
      </c>
      <c r="FB71" s="1462"/>
      <c r="FC71" s="1462"/>
      <c r="FD71" s="1462"/>
      <c r="FE71" s="1462"/>
      <c r="FF71" s="1461"/>
      <c r="FG71" s="1462"/>
      <c r="FH71" s="1462"/>
      <c r="FI71" s="1462"/>
      <c r="FJ71" s="1462"/>
      <c r="FK71" s="1461"/>
      <c r="FL71" s="1462"/>
      <c r="FM71" s="1462"/>
      <c r="FN71" s="1462"/>
      <c r="FO71" s="1462"/>
      <c r="FP71" s="1461"/>
      <c r="FQ71" s="1462"/>
      <c r="FR71" s="1462"/>
      <c r="FS71" s="1462"/>
      <c r="FT71" s="1462"/>
      <c r="FU71" s="1461"/>
      <c r="FV71" s="1462"/>
      <c r="FW71" s="1462"/>
      <c r="FX71" s="1462"/>
      <c r="FY71" s="1462"/>
      <c r="FZ71" s="1461"/>
      <c r="GA71" s="1462"/>
      <c r="GB71" s="1462"/>
      <c r="GC71" s="1462"/>
      <c r="GD71" s="1462"/>
      <c r="GE71" s="1461"/>
      <c r="GF71" s="1462"/>
      <c r="GG71" s="1462"/>
      <c r="GH71" s="1462"/>
      <c r="GI71" s="1462"/>
      <c r="GJ71" s="1461"/>
    </row>
    <row r="72" spans="1:192" s="1031" customFormat="1" ht="12.75" customHeight="1" outlineLevel="1">
      <c r="A72" s="1027"/>
      <c r="B72" s="727" t="s">
        <v>36</v>
      </c>
      <c r="C72" s="1028"/>
      <c r="D72" s="1028"/>
      <c r="E72" s="1028"/>
      <c r="F72" s="1028"/>
      <c r="G72" s="1029"/>
      <c r="H72" s="1028"/>
      <c r="I72" s="1028"/>
      <c r="J72" s="1028"/>
      <c r="K72" s="1028"/>
      <c r="L72" s="1029"/>
      <c r="M72" s="1028"/>
      <c r="N72" s="1028"/>
      <c r="O72" s="1028"/>
      <c r="P72" s="1028"/>
      <c r="Q72" s="1029"/>
      <c r="R72" s="1030"/>
      <c r="S72" s="1030"/>
      <c r="T72" s="1030"/>
      <c r="U72" s="1030"/>
      <c r="V72" s="1029"/>
      <c r="W72" s="1030"/>
      <c r="X72" s="1030"/>
      <c r="Y72" s="1030"/>
      <c r="Z72" s="1030"/>
      <c r="AA72" s="1029"/>
      <c r="AB72" s="1030"/>
      <c r="AC72" s="1030"/>
      <c r="AD72" s="1030"/>
      <c r="AE72" s="1030"/>
      <c r="AF72" s="1029"/>
      <c r="AG72" s="1030"/>
      <c r="AH72" s="1030"/>
      <c r="AI72" s="1030"/>
      <c r="AJ72" s="1030"/>
      <c r="AK72" s="1029"/>
      <c r="AL72" s="1028"/>
      <c r="AM72" s="1028"/>
      <c r="AN72" s="1028"/>
      <c r="AO72" s="1028"/>
      <c r="AP72" s="1029"/>
      <c r="AQ72" s="1028"/>
      <c r="AR72" s="1028"/>
      <c r="AS72" s="1028"/>
      <c r="AT72" s="1028"/>
      <c r="AU72" s="1029"/>
      <c r="AV72" s="1028"/>
      <c r="AW72" s="1028"/>
      <c r="AX72" s="1028"/>
      <c r="AY72" s="1028"/>
      <c r="AZ72" s="1029"/>
      <c r="BA72" s="1028"/>
      <c r="BB72" s="1028"/>
      <c r="BC72" s="1028"/>
      <c r="BD72" s="1028"/>
      <c r="BE72" s="1029"/>
      <c r="BF72" s="1028"/>
      <c r="BG72" s="1028"/>
      <c r="BH72" s="1028"/>
      <c r="BI72" s="1028"/>
      <c r="BJ72" s="1029"/>
      <c r="BK72" s="1028"/>
      <c r="BL72" s="1028"/>
      <c r="BM72" s="1028"/>
      <c r="BN72" s="1028"/>
      <c r="BO72" s="1029"/>
      <c r="BP72" s="1028"/>
      <c r="BQ72" s="1028"/>
      <c r="BR72" s="1028"/>
      <c r="BS72" s="1028"/>
      <c r="BT72" s="1029"/>
      <c r="BU72" s="1028"/>
      <c r="BV72" s="1028"/>
      <c r="BW72" s="1028"/>
      <c r="BX72" s="1028"/>
      <c r="BY72" s="1029"/>
      <c r="BZ72" s="1028"/>
      <c r="CA72" s="1028"/>
      <c r="CB72" s="1028"/>
      <c r="CC72" s="1028"/>
      <c r="CD72" s="1029"/>
      <c r="CE72" s="1028"/>
      <c r="CF72" s="1028"/>
      <c r="CG72" s="1028"/>
      <c r="CH72" s="1028"/>
      <c r="CI72" s="1029"/>
      <c r="CJ72" s="1028"/>
      <c r="CK72" s="1028"/>
      <c r="CL72" s="1028"/>
      <c r="CM72" s="1028"/>
      <c r="CN72" s="1029"/>
      <c r="CO72" s="1028"/>
      <c r="CP72" s="1028"/>
      <c r="CQ72" s="1028"/>
      <c r="CR72" s="1028"/>
      <c r="CS72" s="1029"/>
      <c r="CT72" s="1028"/>
      <c r="CU72" s="1028"/>
      <c r="CV72" s="1028"/>
      <c r="CW72" s="1028"/>
      <c r="CX72" s="1461"/>
      <c r="CY72" s="1462"/>
      <c r="CZ72" s="1462"/>
      <c r="DA72" s="1462"/>
      <c r="DB72" s="1462"/>
      <c r="DC72" s="1461"/>
      <c r="DD72" s="1462"/>
      <c r="DE72" s="1462">
        <f>DE70/DD70-1</f>
      </c>
      <c r="DF72" s="1462">
        <f>DF70/DE70-1</f>
      </c>
      <c r="DG72" s="1462">
        <f>DG70/DF70-1</f>
      </c>
      <c r="DH72" s="1461"/>
      <c r="DI72" s="1462">
        <f>DI70/DG70-1</f>
      </c>
      <c r="DJ72" s="1462">
        <f>DJ70/DI70-1</f>
      </c>
      <c r="DK72" s="1462">
        <f>DK70/DJ70-1</f>
      </c>
      <c r="DL72" s="1462">
        <f>DL70/DK70-1</f>
      </c>
      <c r="DM72" s="1461"/>
      <c r="DN72" s="1462">
        <f>DN70/DL70-1</f>
      </c>
      <c r="DO72" s="1462">
        <f>DO70/DN70-1</f>
      </c>
      <c r="DP72" s="1462">
        <f>DP70/DO70-1</f>
      </c>
      <c r="DQ72" s="1462">
        <f>DQ70/DP70-1</f>
      </c>
      <c r="DR72" s="1461"/>
      <c r="DS72" s="1462">
        <f>DS70/DQ70-1</f>
      </c>
      <c r="DT72" s="1462">
        <f>DT70/DS70-1</f>
      </c>
      <c r="DU72" s="1462">
        <f>DU70/DT70-1</f>
      </c>
      <c r="DV72" s="1462">
        <f>DV70/DU70-1</f>
      </c>
      <c r="DW72" s="1461"/>
      <c r="DX72" s="1462">
        <f>DX70/DV70-1</f>
      </c>
      <c r="DY72" s="1462">
        <f>DY70/DX70-1</f>
      </c>
      <c r="DZ72" s="1462">
        <f>DZ70/DY70-1</f>
      </c>
      <c r="EA72" s="1462">
        <f>EA70/DZ70-1</f>
      </c>
      <c r="EB72" s="1461"/>
      <c r="EC72" s="1462">
        <f>EC70/EA70-1</f>
      </c>
      <c r="ED72" s="1462">
        <f>ED70/EC70-1</f>
      </c>
      <c r="EE72" s="1462">
        <f>EE70/ED70-1</f>
      </c>
      <c r="EF72" s="1462">
        <f>EF70/EE70-1</f>
      </c>
      <c r="EG72" s="1461"/>
      <c r="EH72" s="1462">
        <f>EH70/EF70-1</f>
      </c>
      <c r="EI72" s="1462">
        <f>EI70/EH70-1</f>
      </c>
      <c r="EJ72" s="1462">
        <f>EJ70/EI70-1</f>
      </c>
      <c r="EK72" s="1462">
        <f>EK70/EJ70-1</f>
      </c>
      <c r="EL72" s="1461"/>
      <c r="EM72" s="1462">
        <f>EM70/EK70-1</f>
      </c>
      <c r="EN72" s="1462">
        <f>EN70/EM70-1</f>
      </c>
      <c r="EO72" s="1462">
        <f>EO70/EN70-1</f>
      </c>
      <c r="EP72" s="1462">
        <f>EP70/EO70-1</f>
      </c>
      <c r="EQ72" s="1461"/>
      <c r="ER72" s="1462">
        <f>ER70/EP70-1</f>
      </c>
      <c r="ES72" s="1462">
        <f>ES70/ER70-1</f>
      </c>
      <c r="ET72" s="1462">
        <f>ET70/ES70-1</f>
      </c>
      <c r="EU72" s="1462">
        <f>EU70/ET70-1</f>
      </c>
      <c r="EV72" s="1461"/>
      <c r="EW72" s="1462">
        <f>EW70/EU70-1</f>
      </c>
      <c r="EX72" s="1462">
        <f>EX70/EW70-1</f>
      </c>
      <c r="EY72" s="1462">
        <f>EY70/EX70-1</f>
      </c>
      <c r="EZ72" s="1462">
        <f>EZ70/EY70-1</f>
      </c>
      <c r="FA72" s="1461"/>
      <c r="FB72" s="1462"/>
      <c r="FC72" s="1462"/>
      <c r="FD72" s="1462"/>
      <c r="FE72" s="1462"/>
      <c r="FF72" s="1461"/>
      <c r="FG72" s="1462"/>
      <c r="FH72" s="1462"/>
      <c r="FI72" s="1462"/>
      <c r="FJ72" s="1462"/>
      <c r="FK72" s="1461"/>
      <c r="FL72" s="1462"/>
      <c r="FM72" s="1462"/>
      <c r="FN72" s="1462"/>
      <c r="FO72" s="1462"/>
      <c r="FP72" s="1461"/>
      <c r="FQ72" s="1462"/>
      <c r="FR72" s="1462"/>
      <c r="FS72" s="1462"/>
      <c r="FT72" s="1462"/>
      <c r="FU72" s="1461"/>
      <c r="FV72" s="1462"/>
      <c r="FW72" s="1462"/>
      <c r="FX72" s="1462"/>
      <c r="FY72" s="1462"/>
      <c r="FZ72" s="1461"/>
      <c r="GA72" s="1462"/>
      <c r="GB72" s="1462"/>
      <c r="GC72" s="1462"/>
      <c r="GD72" s="1462"/>
      <c r="GE72" s="1461"/>
      <c r="GF72" s="1462"/>
      <c r="GG72" s="1462"/>
      <c r="GH72" s="1462"/>
      <c r="GI72" s="1462"/>
      <c r="GJ72" s="1461"/>
    </row>
    <row r="73" spans="1:192" s="1031" customFormat="1" ht="12.75" customHeight="1" outlineLevel="1">
      <c r="A73" s="1027"/>
      <c r="B73" s="727" t="s">
        <v>443</v>
      </c>
      <c r="C73" s="1032"/>
      <c r="D73" s="1033"/>
      <c r="E73" s="1033"/>
      <c r="F73" s="1033"/>
      <c r="G73" s="1034"/>
      <c r="H73" s="1032"/>
      <c r="I73" s="1035"/>
      <c r="J73" s="1035"/>
      <c r="K73" s="1035"/>
      <c r="L73" s="1036"/>
      <c r="M73" s="1037"/>
      <c r="N73" s="1038"/>
      <c r="O73" s="1038"/>
      <c r="P73" s="1038"/>
      <c r="Q73" s="1036"/>
      <c r="R73" s="1037"/>
      <c r="S73" s="1038"/>
      <c r="T73" s="1038"/>
      <c r="U73" s="1038"/>
      <c r="V73" s="1036"/>
      <c r="W73" s="1037"/>
      <c r="X73" s="1038"/>
      <c r="Y73" s="1038"/>
      <c r="Z73" s="1038"/>
      <c r="AA73" s="1036"/>
      <c r="AB73" s="1037"/>
      <c r="AC73" s="1038"/>
      <c r="AD73" s="1038"/>
      <c r="AE73" s="1038"/>
      <c r="AF73" s="1036"/>
      <c r="AG73" s="1037"/>
      <c r="AH73" s="1038"/>
      <c r="AI73" s="1038"/>
      <c r="AJ73" s="1038"/>
      <c r="AK73" s="1036"/>
      <c r="AL73" s="1032"/>
      <c r="AM73" s="1035"/>
      <c r="AN73" s="1035"/>
      <c r="AO73" s="1035"/>
      <c r="AP73" s="1036"/>
      <c r="AQ73" s="1032"/>
      <c r="AR73" s="1035"/>
      <c r="AS73" s="1035"/>
      <c r="AT73" s="1035"/>
      <c r="AU73" s="1036"/>
      <c r="AV73" s="1032"/>
      <c r="AW73" s="1035"/>
      <c r="AX73" s="1035"/>
      <c r="AY73" s="1035"/>
      <c r="AZ73" s="1036"/>
      <c r="BA73" s="1032"/>
      <c r="BB73" s="1035"/>
      <c r="BC73" s="1035"/>
      <c r="BD73" s="1035"/>
      <c r="BE73" s="1036"/>
      <c r="BF73" s="1032"/>
      <c r="BG73" s="1035"/>
      <c r="BH73" s="1035"/>
      <c r="BI73" s="1035"/>
      <c r="BJ73" s="1036"/>
      <c r="BK73" s="1032"/>
      <c r="BL73" s="1035"/>
      <c r="BM73" s="1035"/>
      <c r="BN73" s="1035"/>
      <c r="BO73" s="1036"/>
      <c r="BP73" s="1032"/>
      <c r="BQ73" s="1035"/>
      <c r="BR73" s="1035"/>
      <c r="BS73" s="1035"/>
      <c r="BT73" s="1036"/>
      <c r="BU73" s="1032"/>
      <c r="BV73" s="1035"/>
      <c r="BW73" s="1035"/>
      <c r="BX73" s="1035"/>
      <c r="BY73" s="1036"/>
      <c r="BZ73" s="1032"/>
      <c r="CA73" s="1035"/>
      <c r="CB73" s="1035"/>
      <c r="CC73" s="1035"/>
      <c r="CD73" s="1036"/>
      <c r="CE73" s="1032"/>
      <c r="CF73" s="1035"/>
      <c r="CG73" s="1035"/>
      <c r="CH73" s="1035"/>
      <c r="CI73" s="1036"/>
      <c r="CJ73" s="1032"/>
      <c r="CK73" s="1035"/>
      <c r="CL73" s="1035"/>
      <c r="CM73" s="1035"/>
      <c r="CN73" s="1036"/>
      <c r="CO73" s="1032"/>
      <c r="CP73" s="1035"/>
      <c r="CQ73" s="1035"/>
      <c r="CR73" s="1035"/>
      <c r="CS73" s="1036"/>
      <c r="CT73" s="1032"/>
      <c r="CU73" s="1035"/>
      <c r="CV73" s="1035"/>
      <c r="CW73" s="1035"/>
      <c r="CX73" s="524"/>
      <c r="CY73" s="465"/>
      <c r="CZ73" s="1449"/>
      <c r="DA73" s="1449"/>
      <c r="DB73" s="1449"/>
      <c r="DC73" s="524"/>
      <c r="DD73" s="465">
        <f t="shared" ref="DD73:ET73" si="60">DD70/DD24</f>
      </c>
      <c r="DE73" s="465">
        <f t="shared" si="60"/>
      </c>
      <c r="DF73" s="465">
        <f t="shared" si="60"/>
      </c>
      <c r="DG73" s="465">
        <f t="shared" si="60"/>
      </c>
      <c r="DH73" s="524">
        <f t="shared" si="60"/>
      </c>
      <c r="DI73" s="465">
        <f t="shared" si="60"/>
      </c>
      <c r="DJ73" s="465">
        <f t="shared" si="60"/>
      </c>
      <c r="DK73" s="465">
        <f t="shared" si="60"/>
      </c>
      <c r="DL73" s="465">
        <f t="shared" si="60"/>
      </c>
      <c r="DM73" s="524">
        <f t="shared" si="60"/>
      </c>
      <c r="DN73" s="465">
        <f t="shared" si="60"/>
      </c>
      <c r="DO73" s="465">
        <f t="shared" si="60"/>
      </c>
      <c r="DP73" s="465">
        <f t="shared" si="60"/>
      </c>
      <c r="DQ73" s="465">
        <f t="shared" si="60"/>
      </c>
      <c r="DR73" s="524">
        <f t="shared" si="60"/>
      </c>
      <c r="DS73" s="465">
        <f t="shared" si="60"/>
      </c>
      <c r="DT73" s="465">
        <f t="shared" si="60"/>
      </c>
      <c r="DU73" s="465">
        <f t="shared" si="60"/>
      </c>
      <c r="DV73" s="465">
        <f t="shared" si="60"/>
      </c>
      <c r="DW73" s="524">
        <f t="shared" si="60"/>
      </c>
      <c r="DX73" s="465">
        <f t="shared" si="60"/>
      </c>
      <c r="DY73" s="465">
        <f t="shared" si="60"/>
      </c>
      <c r="DZ73" s="465">
        <f t="shared" si="60"/>
      </c>
      <c r="EA73" s="465">
        <f t="shared" si="60"/>
      </c>
      <c r="EB73" s="524">
        <f t="shared" si="60"/>
      </c>
      <c r="EC73" s="465">
        <f t="shared" si="60"/>
      </c>
      <c r="ED73" s="465">
        <f t="shared" si="60"/>
      </c>
      <c r="EE73" s="465">
        <f t="shared" si="60"/>
      </c>
      <c r="EF73" s="465">
        <f t="shared" si="60"/>
      </c>
      <c r="EG73" s="524">
        <f t="shared" si="60"/>
      </c>
      <c r="EH73" s="465">
        <f t="shared" si="60"/>
      </c>
      <c r="EI73" s="465">
        <f t="shared" si="60"/>
      </c>
      <c r="EJ73" s="465">
        <f t="shared" si="60"/>
      </c>
      <c r="EK73" s="465">
        <f t="shared" si="60"/>
      </c>
      <c r="EL73" s="524">
        <f t="shared" si="60"/>
      </c>
      <c r="EM73" s="465">
        <f t="shared" si="60"/>
      </c>
      <c r="EN73" s="465">
        <f t="shared" si="60"/>
      </c>
      <c r="EO73" s="465">
        <f t="shared" si="60"/>
      </c>
      <c r="EP73" s="465">
        <f t="shared" si="60"/>
      </c>
      <c r="EQ73" s="524">
        <f t="shared" si="60"/>
      </c>
      <c r="ER73" s="465">
        <f t="shared" si="60"/>
      </c>
      <c r="ES73" s="465">
        <f t="shared" si="60"/>
      </c>
      <c r="ET73" s="465">
        <f t="shared" si="60"/>
      </c>
      <c r="EU73" s="465">
        <f>EU70/EU24</f>
      </c>
      <c r="EV73" s="524">
        <f>EV70/EV24</f>
      </c>
      <c r="EW73" s="465">
        <f t="shared" ref="EW73:EY73" si="61">EW70/EW24</f>
      </c>
      <c r="EX73" s="465">
        <f t="shared" si="61"/>
      </c>
      <c r="EY73" s="465">
        <f t="shared" si="61"/>
      </c>
      <c r="EZ73" s="465">
        <f>EZ70/EZ24</f>
      </c>
      <c r="FA73" s="524">
        <f>FA70/FA24</f>
      </c>
      <c r="FB73" s="465"/>
      <c r="FC73" s="1449"/>
      <c r="FD73" s="1449"/>
      <c r="FE73" s="1449"/>
      <c r="FF73" s="524"/>
      <c r="FG73" s="465"/>
      <c r="FH73" s="1449"/>
      <c r="FI73" s="1449"/>
      <c r="FJ73" s="1449"/>
      <c r="FK73" s="524"/>
      <c r="FL73" s="465"/>
      <c r="FM73" s="1449"/>
      <c r="FN73" s="1449"/>
      <c r="FO73" s="1449"/>
      <c r="FP73" s="524"/>
      <c r="FQ73" s="465"/>
      <c r="FR73" s="1449"/>
      <c r="FS73" s="1449"/>
      <c r="FT73" s="1449"/>
      <c r="FU73" s="524"/>
      <c r="FV73" s="465"/>
      <c r="FW73" s="1449"/>
      <c r="FX73" s="1449"/>
      <c r="FY73" s="1449"/>
      <c r="FZ73" s="524"/>
      <c r="GA73" s="465"/>
      <c r="GB73" s="1449"/>
      <c r="GC73" s="1449"/>
      <c r="GD73" s="1449"/>
      <c r="GE73" s="524"/>
      <c r="GF73" s="465"/>
      <c r="GG73" s="1449"/>
      <c r="GH73" s="1449"/>
      <c r="GI73" s="1449"/>
      <c r="GJ73" s="524"/>
    </row>
    <row r="74" spans="1:192" s="1031" customFormat="1" ht="12.75" customHeight="1" outlineLevel="1">
      <c r="A74" s="1027"/>
      <c r="B74" s="727" t="s">
        <v>257</v>
      </c>
      <c r="C74" s="1028"/>
      <c r="D74" s="1028"/>
      <c r="E74" s="1028"/>
      <c r="F74" s="1028"/>
      <c r="G74" s="1029"/>
      <c r="H74" s="1028"/>
      <c r="I74" s="1028"/>
      <c r="J74" s="1028"/>
      <c r="K74" s="1028"/>
      <c r="L74" s="1029"/>
      <c r="M74" s="1030"/>
      <c r="N74" s="1030"/>
      <c r="O74" s="1030"/>
      <c r="P74" s="1030"/>
      <c r="Q74" s="1029"/>
      <c r="R74" s="1030"/>
      <c r="S74" s="1030"/>
      <c r="T74" s="1030"/>
      <c r="U74" s="1030"/>
      <c r="V74" s="1029"/>
      <c r="W74" s="1030"/>
      <c r="X74" s="1030"/>
      <c r="Y74" s="1030"/>
      <c r="Z74" s="1030"/>
      <c r="AA74" s="1029"/>
      <c r="AB74" s="1030"/>
      <c r="AC74" s="1030"/>
      <c r="AD74" s="1030"/>
      <c r="AE74" s="1030"/>
      <c r="AF74" s="1029"/>
      <c r="AG74" s="1030"/>
      <c r="AH74" s="1030"/>
      <c r="AI74" s="1030"/>
      <c r="AJ74" s="1030"/>
      <c r="AK74" s="1029"/>
      <c r="AL74" s="1028"/>
      <c r="AM74" s="1028"/>
      <c r="AN74" s="1028"/>
      <c r="AO74" s="1028"/>
      <c r="AP74" s="1029"/>
      <c r="AQ74" s="1028"/>
      <c r="AR74" s="1028"/>
      <c r="AS74" s="1028"/>
      <c r="AT74" s="1028"/>
      <c r="AU74" s="1029"/>
      <c r="AV74" s="1028"/>
      <c r="AW74" s="1028"/>
      <c r="AX74" s="1028"/>
      <c r="AY74" s="1028"/>
      <c r="AZ74" s="1029"/>
      <c r="BA74" s="1028"/>
      <c r="BB74" s="1028"/>
      <c r="BC74" s="1028"/>
      <c r="BD74" s="1028"/>
      <c r="BE74" s="1029"/>
      <c r="BF74" s="1028"/>
      <c r="BG74" s="1028"/>
      <c r="BH74" s="1028"/>
      <c r="BI74" s="1028"/>
      <c r="BJ74" s="1029"/>
      <c r="BK74" s="1028"/>
      <c r="BL74" s="1028"/>
      <c r="BM74" s="1028"/>
      <c r="BN74" s="1028"/>
      <c r="BO74" s="1029"/>
      <c r="BP74" s="1028"/>
      <c r="BQ74" s="1028"/>
      <c r="BR74" s="1028"/>
      <c r="BS74" s="1028"/>
      <c r="BT74" s="1029"/>
      <c r="BU74" s="1028"/>
      <c r="BV74" s="1028"/>
      <c r="BW74" s="1028"/>
      <c r="BX74" s="1028"/>
      <c r="BY74" s="1029"/>
      <c r="BZ74" s="1028"/>
      <c r="CA74" s="1028"/>
      <c r="CB74" s="1028"/>
      <c r="CC74" s="1028"/>
      <c r="CD74" s="1029"/>
      <c r="CE74" s="1028"/>
      <c r="CF74" s="1028"/>
      <c r="CG74" s="1028"/>
      <c r="CH74" s="1028"/>
      <c r="CI74" s="1029"/>
      <c r="CJ74" s="1028"/>
      <c r="CK74" s="1028"/>
      <c r="CL74" s="1028"/>
      <c r="CM74" s="1028"/>
      <c r="CN74" s="1029"/>
      <c r="CO74" s="1028"/>
      <c r="CP74" s="1028"/>
      <c r="CQ74" s="1028"/>
      <c r="CR74" s="1028"/>
      <c r="CS74" s="1029"/>
      <c r="CT74" s="1028"/>
      <c r="CU74" s="1028"/>
      <c r="CV74" s="1028"/>
      <c r="CW74" s="1028"/>
      <c r="CX74" s="1461"/>
      <c r="CY74" s="1462"/>
      <c r="CZ74" s="1462"/>
      <c r="DA74" s="1462"/>
      <c r="DB74" s="1462"/>
      <c r="DC74" s="1461"/>
      <c r="DD74" s="1462">
        <f t="shared" ref="DD74:ET74" si="62">DD70/DD15</f>
      </c>
      <c r="DE74" s="1462">
        <f t="shared" si="62"/>
      </c>
      <c r="DF74" s="1462">
        <f t="shared" si="62"/>
      </c>
      <c r="DG74" s="1462">
        <f t="shared" si="62"/>
      </c>
      <c r="DH74" s="1461">
        <f t="shared" si="62"/>
      </c>
      <c r="DI74" s="1462">
        <f t="shared" si="62"/>
      </c>
      <c r="DJ74" s="1462">
        <f t="shared" si="62"/>
      </c>
      <c r="DK74" s="1462">
        <f t="shared" si="62"/>
      </c>
      <c r="DL74" s="1462">
        <f t="shared" si="62"/>
      </c>
      <c r="DM74" s="1461">
        <f t="shared" si="62"/>
      </c>
      <c r="DN74" s="1462">
        <f t="shared" si="62"/>
      </c>
      <c r="DO74" s="1462">
        <f t="shared" si="62"/>
      </c>
      <c r="DP74" s="1462">
        <f t="shared" si="62"/>
      </c>
      <c r="DQ74" s="1462">
        <f t="shared" si="62"/>
      </c>
      <c r="DR74" s="1461">
        <f t="shared" si="62"/>
      </c>
      <c r="DS74" s="1462">
        <f t="shared" si="62"/>
      </c>
      <c r="DT74" s="1462">
        <f t="shared" si="62"/>
      </c>
      <c r="DU74" s="1462">
        <f t="shared" si="62"/>
      </c>
      <c r="DV74" s="1462">
        <f t="shared" si="62"/>
      </c>
      <c r="DW74" s="1461">
        <f t="shared" si="62"/>
      </c>
      <c r="DX74" s="1462">
        <f t="shared" si="62"/>
      </c>
      <c r="DY74" s="1462">
        <f t="shared" si="62"/>
      </c>
      <c r="DZ74" s="1462">
        <f t="shared" si="62"/>
      </c>
      <c r="EA74" s="1462">
        <f t="shared" si="62"/>
      </c>
      <c r="EB74" s="1461">
        <f t="shared" si="62"/>
      </c>
      <c r="EC74" s="1462">
        <f t="shared" si="62"/>
      </c>
      <c r="ED74" s="1462">
        <f t="shared" si="62"/>
      </c>
      <c r="EE74" s="1462">
        <f t="shared" si="62"/>
      </c>
      <c r="EF74" s="1462">
        <f t="shared" si="62"/>
      </c>
      <c r="EG74" s="1461">
        <f t="shared" si="62"/>
      </c>
      <c r="EH74" s="1462">
        <f t="shared" si="62"/>
      </c>
      <c r="EI74" s="1462">
        <f t="shared" si="62"/>
      </c>
      <c r="EJ74" s="1462">
        <f t="shared" si="62"/>
      </c>
      <c r="EK74" s="1462">
        <f t="shared" si="62"/>
      </c>
      <c r="EL74" s="1461">
        <f t="shared" si="62"/>
      </c>
      <c r="EM74" s="1462">
        <f t="shared" si="62"/>
      </c>
      <c r="EN74" s="1462">
        <f t="shared" si="62"/>
      </c>
      <c r="EO74" s="1462">
        <f t="shared" si="62"/>
      </c>
      <c r="EP74" s="1462">
        <f t="shared" si="62"/>
      </c>
      <c r="EQ74" s="1461">
        <f t="shared" si="62"/>
      </c>
      <c r="ER74" s="1462">
        <f t="shared" si="62"/>
      </c>
      <c r="ES74" s="1462">
        <f t="shared" si="62"/>
      </c>
      <c r="ET74" s="1462">
        <f t="shared" si="62"/>
      </c>
      <c r="EU74" s="1462">
        <f>EU70/EU15</f>
      </c>
      <c r="EV74" s="1461">
        <f>EV70/EV15</f>
      </c>
      <c r="EW74" s="1462">
        <f t="shared" ref="EW74:EY74" si="63">EW70/EW15</f>
      </c>
      <c r="EX74" s="1462">
        <f t="shared" si="63"/>
      </c>
      <c r="EY74" s="1462">
        <f t="shared" si="63"/>
      </c>
      <c r="EZ74" s="1462">
        <f>EZ70/EZ15</f>
      </c>
      <c r="FA74" s="1461">
        <f>FA70/FA15</f>
      </c>
      <c r="FB74" s="1462"/>
      <c r="FC74" s="1462"/>
      <c r="FD74" s="1462"/>
      <c r="FE74" s="1462"/>
      <c r="FF74" s="1461"/>
      <c r="FG74" s="1462"/>
      <c r="FH74" s="1462"/>
      <c r="FI74" s="1462"/>
      <c r="FJ74" s="1462"/>
      <c r="FK74" s="1461"/>
      <c r="FL74" s="1462"/>
      <c r="FM74" s="1462"/>
      <c r="FN74" s="1462"/>
      <c r="FO74" s="1462"/>
      <c r="FP74" s="1461"/>
      <c r="FQ74" s="1462"/>
      <c r="FR74" s="1462"/>
      <c r="FS74" s="1462"/>
      <c r="FT74" s="1462"/>
      <c r="FU74" s="1461"/>
      <c r="FV74" s="1462"/>
      <c r="FW74" s="1462"/>
      <c r="FX74" s="1462"/>
      <c r="FY74" s="1462"/>
      <c r="FZ74" s="1461"/>
      <c r="GA74" s="1462"/>
      <c r="GB74" s="1462"/>
      <c r="GC74" s="1462"/>
      <c r="GD74" s="1462"/>
      <c r="GE74" s="1461"/>
      <c r="GF74" s="1462"/>
      <c r="GG74" s="1462"/>
      <c r="GH74" s="1462"/>
      <c r="GI74" s="1462"/>
      <c r="GJ74" s="1461"/>
    </row>
    <row r="75" spans="1:192" s="701" customFormat="1" ht="12.75" customHeight="1">
      <c r="A75" s="850"/>
      <c r="B75" s="1016"/>
      <c r="C75" s="505"/>
      <c r="D75" s="1017"/>
      <c r="E75" s="1017"/>
      <c r="F75" s="1017"/>
      <c r="G75" s="1018"/>
      <c r="H75" s="505"/>
      <c r="I75" s="506"/>
      <c r="J75" s="506"/>
      <c r="K75" s="506"/>
      <c r="L75" s="921"/>
      <c r="M75" s="1019"/>
      <c r="N75" s="1020"/>
      <c r="O75" s="1020"/>
      <c r="P75" s="1020"/>
      <c r="Q75" s="921"/>
      <c r="R75" s="1019"/>
      <c r="S75" s="1020"/>
      <c r="T75" s="1020"/>
      <c r="U75" s="1020"/>
      <c r="V75" s="921"/>
      <c r="W75" s="1019"/>
      <c r="X75" s="1020"/>
      <c r="Y75" s="1020"/>
      <c r="Z75" s="1020"/>
      <c r="AA75" s="921"/>
      <c r="AB75" s="1019"/>
      <c r="AC75" s="1020"/>
      <c r="AD75" s="1020"/>
      <c r="AE75" s="1020"/>
      <c r="AF75" s="921"/>
      <c r="AG75" s="1019"/>
      <c r="AH75" s="1020"/>
      <c r="AI75" s="1020"/>
      <c r="AJ75" s="1020"/>
      <c r="AK75" s="921"/>
      <c r="AL75" s="505"/>
      <c r="AM75" s="506"/>
      <c r="AN75" s="506"/>
      <c r="AO75" s="506"/>
      <c r="AP75" s="921"/>
      <c r="AQ75" s="505"/>
      <c r="AR75" s="506"/>
      <c r="AS75" s="506"/>
      <c r="AT75" s="506"/>
      <c r="AU75" s="921"/>
      <c r="AV75" s="505"/>
      <c r="AW75" s="506"/>
      <c r="AX75" s="506"/>
      <c r="AY75" s="506"/>
      <c r="AZ75" s="921"/>
      <c r="BA75" s="505"/>
      <c r="BB75" s="506"/>
      <c r="BC75" s="506"/>
      <c r="BD75" s="506"/>
      <c r="BE75" s="921"/>
      <c r="BF75" s="505"/>
      <c r="BG75" s="506"/>
      <c r="BH75" s="506"/>
      <c r="BI75" s="506"/>
      <c r="BJ75" s="921"/>
      <c r="BK75" s="505"/>
      <c r="BL75" s="506"/>
      <c r="BM75" s="506"/>
      <c r="BN75" s="506"/>
      <c r="BO75" s="921"/>
      <c r="BP75" s="505"/>
      <c r="BQ75" s="506"/>
      <c r="BR75" s="506"/>
      <c r="BS75" s="506"/>
      <c r="BT75" s="921"/>
      <c r="BU75" s="505"/>
      <c r="BV75" s="506"/>
      <c r="BW75" s="506"/>
      <c r="BX75" s="506"/>
      <c r="BY75" s="921"/>
      <c r="BZ75" s="505"/>
      <c r="CA75" s="506"/>
      <c r="CB75" s="506"/>
      <c r="CC75" s="506"/>
      <c r="CD75" s="921"/>
      <c r="CE75" s="505"/>
      <c r="CF75" s="506"/>
      <c r="CG75" s="506"/>
      <c r="CH75" s="506"/>
      <c r="CI75" s="921"/>
      <c r="CJ75" s="505"/>
      <c r="CK75" s="506"/>
      <c r="CL75" s="506"/>
      <c r="CM75" s="506"/>
      <c r="CN75" s="921"/>
      <c r="CO75" s="505"/>
      <c r="CP75" s="506"/>
      <c r="CQ75" s="506"/>
      <c r="CR75" s="506"/>
      <c r="CS75" s="921"/>
      <c r="CT75" s="505"/>
      <c r="CU75" s="506"/>
      <c r="CV75" s="506"/>
      <c r="CW75" s="506"/>
      <c r="CX75" s="921"/>
      <c r="CY75" s="505"/>
      <c r="CZ75" s="506"/>
      <c r="DA75" s="506"/>
      <c r="DB75" s="506"/>
      <c r="DC75" s="921"/>
      <c r="DD75" s="505"/>
      <c r="DE75" s="506"/>
      <c r="DF75" s="506"/>
      <c r="DG75" s="506"/>
      <c r="DH75" s="921"/>
      <c r="DI75" s="505"/>
      <c r="DJ75" s="506"/>
      <c r="DK75" s="506"/>
      <c r="DL75" s="506"/>
      <c r="DM75" s="921"/>
      <c r="DN75" s="505"/>
      <c r="DO75" s="506"/>
      <c r="DP75" s="506"/>
      <c r="DQ75" s="506"/>
      <c r="DR75" s="921"/>
      <c r="DS75" s="505"/>
      <c r="DT75" s="506"/>
      <c r="DU75" s="506"/>
      <c r="DV75" s="506"/>
      <c r="DW75" s="921"/>
      <c r="DX75" s="505"/>
      <c r="DY75" s="506"/>
      <c r="DZ75" s="506"/>
      <c r="EA75" s="506"/>
      <c r="EB75" s="921"/>
      <c r="EC75" s="505"/>
      <c r="ED75" s="506"/>
      <c r="EE75" s="506"/>
      <c r="EF75" s="506"/>
      <c r="EG75" s="921"/>
      <c r="EH75" s="505"/>
      <c r="EI75" s="506"/>
      <c r="EJ75" s="506"/>
      <c r="EK75" s="506"/>
      <c r="EL75" s="921"/>
      <c r="EM75" s="505"/>
      <c r="EN75" s="506"/>
      <c r="EO75" s="506"/>
      <c r="EP75" s="506"/>
      <c r="EQ75" s="921"/>
      <c r="ER75" s="505"/>
      <c r="ES75" s="506"/>
      <c r="ET75" s="506"/>
      <c r="EU75" s="506"/>
      <c r="EV75" s="921"/>
      <c r="EW75" s="505"/>
      <c r="EX75" s="506"/>
      <c r="EY75" s="506"/>
      <c r="EZ75" s="506"/>
      <c r="FA75" s="921"/>
      <c r="FB75" s="505"/>
      <c r="FC75" s="506"/>
      <c r="FD75" s="506"/>
      <c r="FE75" s="506"/>
      <c r="FF75" s="921"/>
      <c r="FG75" s="505"/>
      <c r="FH75" s="506"/>
      <c r="FI75" s="506"/>
      <c r="FJ75" s="506"/>
      <c r="FK75" s="921"/>
      <c r="FL75" s="505"/>
      <c r="FM75" s="506"/>
      <c r="FN75" s="506"/>
      <c r="FO75" s="506"/>
      <c r="FP75" s="921"/>
      <c r="FQ75" s="505"/>
      <c r="FR75" s="506"/>
      <c r="FS75" s="506"/>
      <c r="FT75" s="506"/>
      <c r="FU75" s="921"/>
      <c r="FV75" s="505"/>
      <c r="FW75" s="506"/>
      <c r="FX75" s="506"/>
      <c r="FY75" s="506"/>
      <c r="FZ75" s="921"/>
      <c r="GA75" s="505"/>
      <c r="GB75" s="506"/>
      <c r="GC75" s="506"/>
      <c r="GD75" s="506"/>
      <c r="GE75" s="921"/>
      <c r="GF75" s="505"/>
      <c r="GG75" s="506"/>
      <c r="GH75" s="506"/>
      <c r="GI75" s="506"/>
      <c r="GJ75" s="921"/>
    </row>
    <row r="76" spans="1:192" s="684" customFormat="1" ht="12.75" customHeight="1">
      <c r="A76" s="850"/>
      <c r="B76" s="1004" t="s">
        <v>430</v>
      </c>
      <c r="C76" s="1021"/>
      <c r="D76" s="1021"/>
      <c r="E76" s="1021"/>
      <c r="F76" s="1021"/>
      <c r="G76" s="515"/>
      <c r="H76" s="1021"/>
      <c r="I76" s="1021"/>
      <c r="J76" s="1021"/>
      <c r="K76" s="1021"/>
      <c r="L76" s="515"/>
      <c r="M76" s="1022"/>
      <c r="N76" s="1022"/>
      <c r="O76" s="1022"/>
      <c r="P76" s="1022"/>
      <c r="Q76" s="515"/>
      <c r="R76" s="1022"/>
      <c r="S76" s="1022"/>
      <c r="T76" s="1022"/>
      <c r="U76" s="1022"/>
      <c r="V76" s="515"/>
      <c r="W76" s="1022"/>
      <c r="X76" s="1022"/>
      <c r="Y76" s="1022"/>
      <c r="Z76" s="1022"/>
      <c r="AA76" s="515"/>
      <c r="AB76" s="1022"/>
      <c r="AC76" s="1022"/>
      <c r="AD76" s="1022"/>
      <c r="AE76" s="1022"/>
      <c r="AF76" s="515"/>
      <c r="AG76" s="1022"/>
      <c r="AH76" s="1022"/>
      <c r="AI76" s="1022"/>
      <c r="AJ76" s="1022"/>
      <c r="AK76" s="515"/>
      <c r="AL76" s="1021"/>
      <c r="AM76" s="1021"/>
      <c r="AN76" s="1021"/>
      <c r="AO76" s="1021"/>
      <c r="AP76" s="515"/>
      <c r="AQ76" s="1021"/>
      <c r="AR76" s="1021"/>
      <c r="AS76" s="1021"/>
      <c r="AT76" s="1021"/>
      <c r="AU76" s="515"/>
      <c r="AV76" s="1021"/>
      <c r="AW76" s="1021"/>
      <c r="AX76" s="1021"/>
      <c r="AY76" s="1021"/>
      <c r="AZ76" s="515"/>
      <c r="BA76" s="1021"/>
      <c r="BB76" s="1021"/>
      <c r="BC76" s="1021"/>
      <c r="BD76" s="1021"/>
      <c r="BE76" s="515"/>
      <c r="BF76" s="1021"/>
      <c r="BG76" s="1021"/>
      <c r="BH76" s="1021"/>
      <c r="BI76" s="1021"/>
      <c r="BJ76" s="515"/>
      <c r="BK76" s="1021"/>
      <c r="BL76" s="1021"/>
      <c r="BM76" s="1021"/>
      <c r="BN76" s="1021"/>
      <c r="BO76" s="515"/>
      <c r="BP76" s="1021"/>
      <c r="BQ76" s="1021"/>
      <c r="BR76" s="1021"/>
      <c r="BS76" s="1021"/>
      <c r="BT76" s="515"/>
      <c r="BU76" s="1021"/>
      <c r="BV76" s="1021"/>
      <c r="BW76" s="1021"/>
      <c r="BX76" s="1021"/>
      <c r="BY76" s="515"/>
      <c r="BZ76" s="1021"/>
      <c r="CA76" s="1021"/>
      <c r="CB76" s="1021"/>
      <c r="CC76" s="1021"/>
      <c r="CD76" s="515"/>
      <c r="CE76" s="1021"/>
      <c r="CF76" s="1021"/>
      <c r="CG76" s="1021"/>
      <c r="CH76" s="1021"/>
      <c r="CI76" s="515"/>
      <c r="CJ76" s="1021"/>
      <c r="CK76" s="1021"/>
      <c r="CL76" s="1021"/>
      <c r="CM76" s="1021"/>
      <c r="CN76" s="515"/>
      <c r="CO76" s="1021"/>
      <c r="CP76" s="1021"/>
      <c r="CQ76" s="1021"/>
      <c r="CR76" s="1021"/>
      <c r="CS76" s="515"/>
      <c r="CT76" s="1021"/>
      <c r="CU76" s="1021"/>
      <c r="CV76" s="1021"/>
      <c r="CW76" s="1021"/>
      <c r="CX76" s="515"/>
      <c r="CY76" s="1021"/>
      <c r="CZ76" s="1021"/>
      <c r="DA76" s="1021"/>
      <c r="DB76" s="1021"/>
      <c r="DC76" s="515"/>
      <c r="DD76" s="1021"/>
      <c r="DE76" s="1021"/>
      <c r="DF76" s="1021"/>
      <c r="DG76" s="1021"/>
      <c r="DH76" s="515"/>
      <c r="DI76" s="1021"/>
      <c r="DJ76" s="1021"/>
      <c r="DK76" s="1021"/>
      <c r="DL76" s="1021"/>
      <c r="DM76" s="515"/>
      <c r="DN76" s="1021"/>
      <c r="DO76" s="1021"/>
      <c r="DP76" s="1021"/>
      <c r="DQ76" s="1021"/>
      <c r="DR76" s="515"/>
      <c r="DS76" s="1021"/>
      <c r="DT76" s="1021"/>
      <c r="DU76" s="1021"/>
      <c r="DV76" s="1021"/>
      <c r="DW76" s="515"/>
      <c r="DX76" s="1021"/>
      <c r="DY76" s="1021"/>
      <c r="DZ76" s="1021"/>
      <c r="EA76" s="1021"/>
      <c r="EB76" s="515"/>
      <c r="EC76" s="1021"/>
      <c r="ED76" s="1021"/>
      <c r="EE76" s="1021"/>
      <c r="EF76" s="1021"/>
      <c r="EG76" s="515"/>
      <c r="EH76" s="1021"/>
      <c r="EI76" s="1021"/>
      <c r="EJ76" s="1021"/>
      <c r="EK76" s="1021"/>
      <c r="EL76" s="1023"/>
      <c r="EM76" s="1021"/>
      <c r="EN76" s="1021"/>
      <c r="EO76" s="1021"/>
      <c r="EP76" s="1021"/>
      <c r="EQ76" s="1023"/>
      <c r="ER76" s="1021"/>
      <c r="ES76" s="1021"/>
      <c r="ET76" s="1021"/>
      <c r="EU76" s="1021"/>
      <c r="EV76" s="1023"/>
      <c r="EW76" s="1021"/>
      <c r="EX76" s="1021"/>
      <c r="EY76" s="1021"/>
      <c r="EZ76" s="1021"/>
      <c r="FA76" s="1023"/>
      <c r="FB76" s="1021"/>
      <c r="FC76" s="1021"/>
      <c r="FD76" s="1021"/>
      <c r="FE76" s="1021"/>
      <c r="FF76" s="515"/>
      <c r="FG76" s="1021"/>
      <c r="FH76" s="1021"/>
      <c r="FI76" s="1021"/>
      <c r="FJ76" s="1021"/>
      <c r="FK76" s="515"/>
      <c r="FL76" s="1021"/>
      <c r="FM76" s="1021"/>
      <c r="FN76" s="1021"/>
      <c r="FO76" s="1021"/>
      <c r="FP76" s="515"/>
      <c r="FQ76" s="1021"/>
      <c r="FR76" s="1021"/>
      <c r="FS76" s="1021"/>
      <c r="FT76" s="1021"/>
      <c r="FU76" s="515"/>
      <c r="FV76" s="1021"/>
      <c r="FW76" s="1021"/>
      <c r="FX76" s="1021"/>
      <c r="FY76" s="1021"/>
      <c r="FZ76" s="515"/>
      <c r="GA76" s="1021"/>
      <c r="GB76" s="1021"/>
      <c r="GC76" s="1021"/>
      <c r="GD76" s="1021"/>
      <c r="GE76" s="515"/>
      <c r="GF76" s="1021"/>
      <c r="GG76" s="1021"/>
      <c r="GH76" s="1021"/>
      <c r="GI76" s="1021"/>
      <c r="GJ76" s="515"/>
    </row>
    <row r="77" spans="1:192" s="461" customFormat="1" ht="12.75" customHeight="1" outlineLevel="1">
      <c r="A77" s="68"/>
      <c r="B77" s="975" t="s">
        <v>426</v>
      </c>
      <c r="C77" s="624"/>
      <c r="D77" s="624"/>
      <c r="E77" s="624"/>
      <c r="F77" s="624"/>
      <c r="G77" s="622"/>
      <c r="H77" s="624"/>
      <c r="I77" s="624"/>
      <c r="J77" s="624"/>
      <c r="K77" s="624"/>
      <c r="L77" s="622"/>
      <c r="M77" s="624"/>
      <c r="N77" s="624"/>
      <c r="O77" s="624"/>
      <c r="P77" s="624"/>
      <c r="Q77" s="622"/>
      <c r="R77" s="981"/>
      <c r="S77" s="981"/>
      <c r="T77" s="981"/>
      <c r="U77" s="981"/>
      <c r="V77" s="622"/>
      <c r="W77" s="981"/>
      <c r="X77" s="981"/>
      <c r="Y77" s="981"/>
      <c r="Z77" s="981"/>
      <c r="AA77" s="622"/>
      <c r="AB77" s="981"/>
      <c r="AC77" s="981"/>
      <c r="AD77" s="981"/>
      <c r="AE77" s="981"/>
      <c r="AF77" s="622"/>
      <c r="AG77" s="981"/>
      <c r="AH77" s="981"/>
      <c r="AI77" s="981"/>
      <c r="AJ77" s="981"/>
      <c r="AK77" s="622"/>
      <c r="AL77" s="624"/>
      <c r="AM77" s="624"/>
      <c r="AN77" s="624"/>
      <c r="AO77" s="624"/>
      <c r="AP77" s="622"/>
      <c r="AQ77" s="624"/>
      <c r="AR77" s="624"/>
      <c r="AS77" s="624"/>
      <c r="AT77" s="624"/>
      <c r="AU77" s="622"/>
      <c r="AV77" s="624"/>
      <c r="AW77" s="624"/>
      <c r="AX77" s="624"/>
      <c r="AY77" s="624"/>
      <c r="AZ77" s="622"/>
      <c r="BA77" s="624"/>
      <c r="BB77" s="624"/>
      <c r="BC77" s="624"/>
      <c r="BD77" s="624"/>
      <c r="BE77" s="622"/>
      <c r="BF77" s="624"/>
      <c r="BG77" s="624"/>
      <c r="BH77" s="624"/>
      <c r="BI77" s="624"/>
      <c r="BJ77" s="622"/>
      <c r="BK77" s="624"/>
      <c r="BL77" s="624"/>
      <c r="BM77" s="624"/>
      <c r="BN77" s="624"/>
      <c r="BO77" s="622"/>
      <c r="BP77" s="624"/>
      <c r="BQ77" s="624"/>
      <c r="BR77" s="624"/>
      <c r="BS77" s="624"/>
      <c r="BT77" s="622"/>
      <c r="BU77" s="624"/>
      <c r="BV77" s="624"/>
      <c r="BW77" s="624"/>
      <c r="BX77" s="624"/>
      <c r="BY77" s="622"/>
      <c r="BZ77" s="624"/>
      <c r="CA77" s="624"/>
      <c r="CB77" s="624"/>
      <c r="CC77" s="624"/>
      <c r="CD77" s="622"/>
      <c r="CE77" s="624"/>
      <c r="CF77" s="624"/>
      <c r="CG77" s="624"/>
      <c r="CH77" s="624"/>
      <c r="CI77" s="622"/>
      <c r="CJ77" s="624"/>
      <c r="CK77" s="624"/>
      <c r="CL77" s="624"/>
      <c r="CM77" s="624"/>
      <c r="CN77" s="622"/>
      <c r="CO77" s="624"/>
      <c r="CP77" s="624"/>
      <c r="CQ77" s="624"/>
      <c r="CR77" s="624"/>
      <c r="CS77" s="622"/>
      <c r="CT77" s="624"/>
      <c r="CU77" s="624"/>
      <c r="CV77" s="624"/>
      <c r="CW77" s="624"/>
      <c r="CX77" s="622"/>
      <c r="CY77" s="624"/>
      <c r="CZ77" s="624"/>
      <c r="DA77" s="624"/>
      <c r="DB77" s="624"/>
      <c r="DC77" s="622"/>
      <c r="DD77" s="619"/>
      <c r="DE77" s="619"/>
      <c r="DF77" s="619"/>
      <c r="DG77" s="619"/>
      <c r="DH77" s="622"/>
      <c r="DI77" s="619"/>
      <c r="DJ77" s="619"/>
      <c r="DK77" s="619"/>
      <c r="DL77" s="619"/>
      <c r="DM77" s="622"/>
      <c r="DN77" s="619">
        <f t="shared" ref="DN77:ET77" si="64">DN42</f>
      </c>
      <c r="DO77" s="619">
        <f t="shared" si="64"/>
      </c>
      <c r="DP77" s="619">
        <f t="shared" si="64"/>
      </c>
      <c r="DQ77" s="619">
        <f t="shared" si="64"/>
      </c>
      <c r="DR77" s="622">
        <f t="shared" si="64"/>
      </c>
      <c r="DS77" s="619">
        <f t="shared" si="64"/>
      </c>
      <c r="DT77" s="619">
        <f t="shared" si="64"/>
      </c>
      <c r="DU77" s="619">
        <f t="shared" si="64"/>
      </c>
      <c r="DV77" s="619">
        <f t="shared" si="64"/>
      </c>
      <c r="DW77" s="622">
        <f t="shared" si="64"/>
      </c>
      <c r="DX77" s="619">
        <f t="shared" si="64"/>
      </c>
      <c r="DY77" s="619">
        <f t="shared" si="64"/>
      </c>
      <c r="DZ77" s="619">
        <f t="shared" si="64"/>
      </c>
      <c r="EA77" s="619">
        <f t="shared" si="64"/>
      </c>
      <c r="EB77" s="622">
        <f t="shared" si="64"/>
      </c>
      <c r="EC77" s="619">
        <f t="shared" si="64"/>
      </c>
      <c r="ED77" s="619">
        <f t="shared" si="64"/>
      </c>
      <c r="EE77" s="619">
        <f t="shared" si="64"/>
      </c>
      <c r="EF77" s="619">
        <f t="shared" si="64"/>
      </c>
      <c r="EG77" s="622">
        <f t="shared" si="64"/>
      </c>
      <c r="EH77" s="619">
        <f t="shared" si="64"/>
      </c>
      <c r="EI77" s="619">
        <f t="shared" si="64"/>
      </c>
      <c r="EJ77" s="619">
        <f t="shared" si="64"/>
      </c>
      <c r="EK77" s="619">
        <f t="shared" si="64"/>
      </c>
      <c r="EL77" s="622">
        <f t="shared" si="64"/>
      </c>
      <c r="EM77" s="619">
        <f t="shared" si="64"/>
      </c>
      <c r="EN77" s="619">
        <f t="shared" si="64"/>
      </c>
      <c r="EO77" s="619">
        <f t="shared" si="64"/>
      </c>
      <c r="EP77" s="619">
        <f t="shared" si="64"/>
      </c>
      <c r="EQ77" s="622">
        <f t="shared" si="64"/>
      </c>
      <c r="ER77" s="619">
        <f t="shared" si="64"/>
      </c>
      <c r="ES77" s="619">
        <f t="shared" si="64"/>
      </c>
      <c r="ET77" s="619">
        <f t="shared" si="64"/>
      </c>
      <c r="EU77" s="619">
        <f>EU42</f>
      </c>
      <c r="EV77" s="622">
        <f>EV42</f>
      </c>
      <c r="EW77" s="619">
        <f t="shared" ref="EW77:EY77" si="65">EW42</f>
      </c>
      <c r="EX77" s="619">
        <f t="shared" si="65"/>
      </c>
      <c r="EY77" s="619">
        <f t="shared" si="65"/>
      </c>
      <c r="EZ77" s="619">
        <f>EZ42</f>
      </c>
      <c r="FA77" s="622">
        <f>FA42</f>
      </c>
      <c r="FB77" s="619"/>
      <c r="FC77" s="619"/>
      <c r="FD77" s="619"/>
      <c r="FE77" s="619"/>
      <c r="FF77" s="622"/>
      <c r="FG77" s="619"/>
      <c r="FH77" s="619"/>
      <c r="FI77" s="619"/>
      <c r="FJ77" s="619"/>
      <c r="FK77" s="622"/>
      <c r="FL77" s="619"/>
      <c r="FM77" s="619"/>
      <c r="FN77" s="619"/>
      <c r="FO77" s="619"/>
      <c r="FP77" s="622"/>
      <c r="FQ77" s="619"/>
      <c r="FR77" s="619"/>
      <c r="FS77" s="619"/>
      <c r="FT77" s="619"/>
      <c r="FU77" s="622"/>
      <c r="FV77" s="619"/>
      <c r="FW77" s="619"/>
      <c r="FX77" s="619"/>
      <c r="FY77" s="619"/>
      <c r="FZ77" s="622"/>
      <c r="GA77" s="619"/>
      <c r="GB77" s="619"/>
      <c r="GC77" s="619"/>
      <c r="GD77" s="619"/>
      <c r="GE77" s="622"/>
      <c r="GF77" s="619"/>
      <c r="GG77" s="619"/>
      <c r="GH77" s="619"/>
      <c r="GI77" s="619"/>
      <c r="GJ77" s="622"/>
    </row>
    <row r="78" spans="1:192" s="1031" customFormat="1" ht="12.75" customHeight="1" outlineLevel="1">
      <c r="A78" s="1027"/>
      <c r="B78" s="727" t="s">
        <v>34</v>
      </c>
      <c r="C78" s="1028"/>
      <c r="D78" s="1028"/>
      <c r="E78" s="1028"/>
      <c r="F78" s="1028"/>
      <c r="G78" s="1029"/>
      <c r="H78" s="1028"/>
      <c r="I78" s="1028"/>
      <c r="J78" s="1028"/>
      <c r="K78" s="1028"/>
      <c r="L78" s="1029"/>
      <c r="M78" s="1028"/>
      <c r="N78" s="1028"/>
      <c r="O78" s="1028"/>
      <c r="P78" s="1028"/>
      <c r="Q78" s="1029"/>
      <c r="R78" s="1030"/>
      <c r="S78" s="1030"/>
      <c r="T78" s="1030"/>
      <c r="U78" s="1030"/>
      <c r="V78" s="1029"/>
      <c r="W78" s="1030"/>
      <c r="X78" s="1030"/>
      <c r="Y78" s="1030"/>
      <c r="Z78" s="1030"/>
      <c r="AA78" s="1029"/>
      <c r="AB78" s="1030"/>
      <c r="AC78" s="1030"/>
      <c r="AD78" s="1030"/>
      <c r="AE78" s="1030"/>
      <c r="AF78" s="1029"/>
      <c r="AG78" s="1030"/>
      <c r="AH78" s="1030"/>
      <c r="AI78" s="1030"/>
      <c r="AJ78" s="1030"/>
      <c r="AK78" s="1029"/>
      <c r="AL78" s="1028"/>
      <c r="AM78" s="1028"/>
      <c r="AN78" s="1028"/>
      <c r="AO78" s="1028"/>
      <c r="AP78" s="1029"/>
      <c r="AQ78" s="1028"/>
      <c r="AR78" s="1028"/>
      <c r="AS78" s="1028"/>
      <c r="AT78" s="1028"/>
      <c r="AU78" s="1029"/>
      <c r="AV78" s="1028"/>
      <c r="AW78" s="1028"/>
      <c r="AX78" s="1028"/>
      <c r="AY78" s="1028"/>
      <c r="AZ78" s="1029"/>
      <c r="BA78" s="1028"/>
      <c r="BB78" s="1028"/>
      <c r="BC78" s="1028"/>
      <c r="BD78" s="1028"/>
      <c r="BE78" s="1029"/>
      <c r="BF78" s="1028"/>
      <c r="BG78" s="1028"/>
      <c r="BH78" s="1028"/>
      <c r="BI78" s="1028"/>
      <c r="BJ78" s="1029"/>
      <c r="BK78" s="1028"/>
      <c r="BL78" s="1028"/>
      <c r="BM78" s="1028"/>
      <c r="BN78" s="1028"/>
      <c r="BO78" s="1029"/>
      <c r="BP78" s="1028"/>
      <c r="BQ78" s="1028"/>
      <c r="BR78" s="1028"/>
      <c r="BS78" s="1028"/>
      <c r="BT78" s="1029"/>
      <c r="BU78" s="1028"/>
      <c r="BV78" s="1028"/>
      <c r="BW78" s="1028"/>
      <c r="BX78" s="1028"/>
      <c r="BY78" s="1029"/>
      <c r="BZ78" s="1028"/>
      <c r="CA78" s="1028"/>
      <c r="CB78" s="1028"/>
      <c r="CC78" s="1028"/>
      <c r="CD78" s="1029"/>
      <c r="CE78" s="1028"/>
      <c r="CF78" s="1028"/>
      <c r="CG78" s="1028"/>
      <c r="CH78" s="1028"/>
      <c r="CI78" s="1029"/>
      <c r="CJ78" s="1028"/>
      <c r="CK78" s="1028"/>
      <c r="CL78" s="1028"/>
      <c r="CM78" s="1028"/>
      <c r="CN78" s="1029"/>
      <c r="CO78" s="1028"/>
      <c r="CP78" s="1028"/>
      <c r="CQ78" s="1028"/>
      <c r="CR78" s="1028"/>
      <c r="CS78" s="1029"/>
      <c r="CT78" s="1028"/>
      <c r="CU78" s="1028"/>
      <c r="CV78" s="1028"/>
      <c r="CW78" s="1028"/>
      <c r="CX78" s="1461"/>
      <c r="CY78" s="1462"/>
      <c r="CZ78" s="1462"/>
      <c r="DA78" s="1462"/>
      <c r="DB78" s="1462"/>
      <c r="DC78" s="1461"/>
      <c r="DD78" s="1462"/>
      <c r="DE78" s="1462"/>
      <c r="DF78" s="1462"/>
      <c r="DG78" s="1462"/>
      <c r="DH78" s="1461"/>
      <c r="DI78" s="1462"/>
      <c r="DJ78" s="1462"/>
      <c r="DK78" s="1462"/>
      <c r="DL78" s="1462"/>
      <c r="DM78" s="1461"/>
      <c r="DN78" s="1462"/>
      <c r="DO78" s="1462"/>
      <c r="DP78" s="1462"/>
      <c r="DQ78" s="1462"/>
      <c r="DR78" s="1461"/>
      <c r="DS78" s="1462">
        <f t="shared" ref="DS78:ET78" si="66">DS77/DN77-1</f>
      </c>
      <c r="DT78" s="1462">
        <f t="shared" si="66"/>
      </c>
      <c r="DU78" s="1462">
        <f t="shared" si="66"/>
      </c>
      <c r="DV78" s="1462">
        <f t="shared" si="66"/>
      </c>
      <c r="DW78" s="1461">
        <f t="shared" si="66"/>
      </c>
      <c r="DX78" s="1462">
        <f t="shared" si="66"/>
      </c>
      <c r="DY78" s="1462">
        <f t="shared" si="66"/>
      </c>
      <c r="DZ78" s="1462">
        <f t="shared" si="66"/>
      </c>
      <c r="EA78" s="1462">
        <f t="shared" si="66"/>
      </c>
      <c r="EB78" s="1461">
        <f t="shared" si="66"/>
      </c>
      <c r="EC78" s="1462">
        <f t="shared" si="66"/>
      </c>
      <c r="ED78" s="1462">
        <f t="shared" si="66"/>
      </c>
      <c r="EE78" s="1462">
        <f t="shared" si="66"/>
      </c>
      <c r="EF78" s="1462">
        <f t="shared" si="66"/>
      </c>
      <c r="EG78" s="1461">
        <f t="shared" si="66"/>
      </c>
      <c r="EH78" s="1462">
        <f t="shared" si="66"/>
      </c>
      <c r="EI78" s="1462">
        <f t="shared" si="66"/>
      </c>
      <c r="EJ78" s="1462">
        <f t="shared" si="66"/>
      </c>
      <c r="EK78" s="1462">
        <f t="shared" si="66"/>
      </c>
      <c r="EL78" s="1461">
        <f t="shared" si="66"/>
      </c>
      <c r="EM78" s="1462">
        <f t="shared" si="66"/>
      </c>
      <c r="EN78" s="1462">
        <f t="shared" si="66"/>
      </c>
      <c r="EO78" s="1462">
        <f t="shared" si="66"/>
      </c>
      <c r="EP78" s="1462">
        <f t="shared" si="66"/>
      </c>
      <c r="EQ78" s="1461">
        <f t="shared" si="66"/>
      </c>
      <c r="ER78" s="1462">
        <f t="shared" si="66"/>
      </c>
      <c r="ES78" s="1462">
        <f t="shared" si="66"/>
      </c>
      <c r="ET78" s="1462">
        <f t="shared" si="66"/>
      </c>
      <c r="EU78" s="1462">
        <f>EU77/EP77-1</f>
      </c>
      <c r="EV78" s="1461">
        <f>EV77/EQ77-1</f>
      </c>
      <c r="EW78" s="1462">
        <f t="shared" ref="EW78:EY78" si="67">EW77/ER77-1</f>
      </c>
      <c r="EX78" s="1462">
        <f t="shared" si="67"/>
      </c>
      <c r="EY78" s="1462">
        <f t="shared" si="67"/>
      </c>
      <c r="EZ78" s="1462">
        <f>EZ77/EU77-1</f>
      </c>
      <c r="FA78" s="1461">
        <f>FA77/EV77-1</f>
      </c>
      <c r="FB78" s="1462"/>
      <c r="FC78" s="1462"/>
      <c r="FD78" s="1462"/>
      <c r="FE78" s="1462"/>
      <c r="FF78" s="1461"/>
      <c r="FG78" s="1462"/>
      <c r="FH78" s="1462"/>
      <c r="FI78" s="1462"/>
      <c r="FJ78" s="1462"/>
      <c r="FK78" s="1461"/>
      <c r="FL78" s="1462"/>
      <c r="FM78" s="1462"/>
      <c r="FN78" s="1462"/>
      <c r="FO78" s="1462"/>
      <c r="FP78" s="1461"/>
      <c r="FQ78" s="1462"/>
      <c r="FR78" s="1462"/>
      <c r="FS78" s="1462"/>
      <c r="FT78" s="1462"/>
      <c r="FU78" s="1461"/>
      <c r="FV78" s="1462"/>
      <c r="FW78" s="1462"/>
      <c r="FX78" s="1462"/>
      <c r="FY78" s="1462"/>
      <c r="FZ78" s="1461"/>
      <c r="GA78" s="1462"/>
      <c r="GB78" s="1462"/>
      <c r="GC78" s="1462"/>
      <c r="GD78" s="1462"/>
      <c r="GE78" s="1461"/>
      <c r="GF78" s="1462"/>
      <c r="GG78" s="1462"/>
      <c r="GH78" s="1462"/>
      <c r="GI78" s="1462"/>
      <c r="GJ78" s="1461"/>
    </row>
    <row r="79" spans="1:192" s="1031" customFormat="1" ht="12.75" customHeight="1" outlineLevel="1">
      <c r="A79" s="1027"/>
      <c r="B79" s="727" t="s">
        <v>36</v>
      </c>
      <c r="C79" s="1028"/>
      <c r="D79" s="1028"/>
      <c r="E79" s="1028"/>
      <c r="F79" s="1028"/>
      <c r="G79" s="1029"/>
      <c r="H79" s="1028"/>
      <c r="I79" s="1028"/>
      <c r="J79" s="1028"/>
      <c r="K79" s="1028"/>
      <c r="L79" s="1029"/>
      <c r="M79" s="1028"/>
      <c r="N79" s="1028"/>
      <c r="O79" s="1028"/>
      <c r="P79" s="1028"/>
      <c r="Q79" s="1029"/>
      <c r="R79" s="1030"/>
      <c r="S79" s="1030"/>
      <c r="T79" s="1030"/>
      <c r="U79" s="1030"/>
      <c r="V79" s="1029"/>
      <c r="W79" s="1030"/>
      <c r="X79" s="1030"/>
      <c r="Y79" s="1030"/>
      <c r="Z79" s="1030"/>
      <c r="AA79" s="1029"/>
      <c r="AB79" s="1030"/>
      <c r="AC79" s="1030"/>
      <c r="AD79" s="1030"/>
      <c r="AE79" s="1030"/>
      <c r="AF79" s="1029"/>
      <c r="AG79" s="1030"/>
      <c r="AH79" s="1030"/>
      <c r="AI79" s="1030"/>
      <c r="AJ79" s="1030"/>
      <c r="AK79" s="1029"/>
      <c r="AL79" s="1028"/>
      <c r="AM79" s="1028"/>
      <c r="AN79" s="1028"/>
      <c r="AO79" s="1028"/>
      <c r="AP79" s="1029"/>
      <c r="AQ79" s="1028"/>
      <c r="AR79" s="1028"/>
      <c r="AS79" s="1028"/>
      <c r="AT79" s="1028"/>
      <c r="AU79" s="1029"/>
      <c r="AV79" s="1028"/>
      <c r="AW79" s="1028"/>
      <c r="AX79" s="1028"/>
      <c r="AY79" s="1028"/>
      <c r="AZ79" s="1029"/>
      <c r="BA79" s="1028"/>
      <c r="BB79" s="1028"/>
      <c r="BC79" s="1028"/>
      <c r="BD79" s="1028"/>
      <c r="BE79" s="1029"/>
      <c r="BF79" s="1028"/>
      <c r="BG79" s="1028"/>
      <c r="BH79" s="1028"/>
      <c r="BI79" s="1028"/>
      <c r="BJ79" s="1029"/>
      <c r="BK79" s="1028"/>
      <c r="BL79" s="1028"/>
      <c r="BM79" s="1028"/>
      <c r="BN79" s="1028"/>
      <c r="BO79" s="1029"/>
      <c r="BP79" s="1028"/>
      <c r="BQ79" s="1028"/>
      <c r="BR79" s="1028"/>
      <c r="BS79" s="1028"/>
      <c r="BT79" s="1029"/>
      <c r="BU79" s="1028"/>
      <c r="BV79" s="1028"/>
      <c r="BW79" s="1028"/>
      <c r="BX79" s="1028"/>
      <c r="BY79" s="1029"/>
      <c r="BZ79" s="1028"/>
      <c r="CA79" s="1028"/>
      <c r="CB79" s="1028"/>
      <c r="CC79" s="1028"/>
      <c r="CD79" s="1029"/>
      <c r="CE79" s="1028"/>
      <c r="CF79" s="1028"/>
      <c r="CG79" s="1028"/>
      <c r="CH79" s="1028"/>
      <c r="CI79" s="1029"/>
      <c r="CJ79" s="1028"/>
      <c r="CK79" s="1028"/>
      <c r="CL79" s="1028"/>
      <c r="CM79" s="1028"/>
      <c r="CN79" s="1029"/>
      <c r="CO79" s="1028"/>
      <c r="CP79" s="1028"/>
      <c r="CQ79" s="1028"/>
      <c r="CR79" s="1028"/>
      <c r="CS79" s="1029"/>
      <c r="CT79" s="1028"/>
      <c r="CU79" s="1028"/>
      <c r="CV79" s="1028"/>
      <c r="CW79" s="1028"/>
      <c r="CX79" s="1461"/>
      <c r="CY79" s="1462"/>
      <c r="CZ79" s="1462"/>
      <c r="DA79" s="1462"/>
      <c r="DB79" s="1462"/>
      <c r="DC79" s="1461"/>
      <c r="DD79" s="1462"/>
      <c r="DE79" s="1462"/>
      <c r="DF79" s="1462"/>
      <c r="DG79" s="1462"/>
      <c r="DH79" s="1461"/>
      <c r="DI79" s="1462"/>
      <c r="DJ79" s="1462"/>
      <c r="DK79" s="1462"/>
      <c r="DL79" s="1462"/>
      <c r="DM79" s="1461"/>
      <c r="DN79" s="1462"/>
      <c r="DO79" s="1462">
        <f>DO77/DN77-1</f>
      </c>
      <c r="DP79" s="1462">
        <f>DP77/DO77-1</f>
      </c>
      <c r="DQ79" s="1462">
        <f>DQ77/DP77-1</f>
      </c>
      <c r="DR79" s="1461"/>
      <c r="DS79" s="1462">
        <f>DS77/DQ77-1</f>
      </c>
      <c r="DT79" s="1462">
        <f>DT77/DS77-1</f>
      </c>
      <c r="DU79" s="1462">
        <f>DU77/DT77-1</f>
      </c>
      <c r="DV79" s="1462">
        <f>DV77/DU77-1</f>
      </c>
      <c r="DW79" s="1461"/>
      <c r="DX79" s="1462">
        <f>DX77/DV77-1</f>
      </c>
      <c r="DY79" s="1462">
        <f>DY77/DX77-1</f>
      </c>
      <c r="DZ79" s="1462">
        <f>DZ77/DY77-1</f>
      </c>
      <c r="EA79" s="1462">
        <f>EA77/DZ77-1</f>
      </c>
      <c r="EB79" s="1461"/>
      <c r="EC79" s="1462">
        <f>EC77/EA77-1</f>
      </c>
      <c r="ED79" s="1462">
        <f>ED77/EC77-1</f>
      </c>
      <c r="EE79" s="1462">
        <f>EE77/ED77-1</f>
      </c>
      <c r="EF79" s="1462">
        <f>EF77/EE77-1</f>
      </c>
      <c r="EG79" s="1461"/>
      <c r="EH79" s="1462">
        <f>EH77/EF77-1</f>
      </c>
      <c r="EI79" s="1462">
        <f>EI77/EH77-1</f>
      </c>
      <c r="EJ79" s="1462">
        <f>EJ77/EI77-1</f>
      </c>
      <c r="EK79" s="1462">
        <f>EK77/EJ77-1</f>
      </c>
      <c r="EL79" s="1461"/>
      <c r="EM79" s="1462">
        <f>EM77/EK77-1</f>
      </c>
      <c r="EN79" s="1462">
        <f>EN77/EM77-1</f>
      </c>
      <c r="EO79" s="1462">
        <f>EO77/EN77-1</f>
      </c>
      <c r="EP79" s="1462">
        <f>EP77/EO77-1</f>
      </c>
      <c r="EQ79" s="1461"/>
      <c r="ER79" s="1462">
        <f>ER77/EP77-1</f>
      </c>
      <c r="ES79" s="1462">
        <f>ES77/ER77-1</f>
      </c>
      <c r="ET79" s="1462">
        <f>ET77/ES77-1</f>
      </c>
      <c r="EU79" s="1462">
        <f>EU77/ET77-1</f>
      </c>
      <c r="EV79" s="1461"/>
      <c r="EW79" s="1462">
        <f>EW77/EU77-1</f>
      </c>
      <c r="EX79" s="1462">
        <f>EX77/EW77-1</f>
      </c>
      <c r="EY79" s="1462">
        <f>EY77/EX77-1</f>
      </c>
      <c r="EZ79" s="1462">
        <f>EZ77/EY77-1</f>
      </c>
      <c r="FA79" s="1461"/>
      <c r="FB79" s="1462"/>
      <c r="FC79" s="1462"/>
      <c r="FD79" s="1462"/>
      <c r="FE79" s="1462"/>
      <c r="FF79" s="1461"/>
      <c r="FG79" s="1462"/>
      <c r="FH79" s="1462"/>
      <c r="FI79" s="1462"/>
      <c r="FJ79" s="1462"/>
      <c r="FK79" s="1461"/>
      <c r="FL79" s="1462"/>
      <c r="FM79" s="1462"/>
      <c r="FN79" s="1462"/>
      <c r="FO79" s="1462"/>
      <c r="FP79" s="1461"/>
      <c r="FQ79" s="1462"/>
      <c r="FR79" s="1462"/>
      <c r="FS79" s="1462"/>
      <c r="FT79" s="1462"/>
      <c r="FU79" s="1461"/>
      <c r="FV79" s="1462"/>
      <c r="FW79" s="1462"/>
      <c r="FX79" s="1462"/>
      <c r="FY79" s="1462"/>
      <c r="FZ79" s="1461"/>
      <c r="GA79" s="1462"/>
      <c r="GB79" s="1462"/>
      <c r="GC79" s="1462"/>
      <c r="GD79" s="1462"/>
      <c r="GE79" s="1461"/>
      <c r="GF79" s="1462"/>
      <c r="GG79" s="1462"/>
      <c r="GH79" s="1462"/>
      <c r="GI79" s="1462"/>
      <c r="GJ79" s="1461"/>
    </row>
    <row r="80" spans="1:192" s="1031" customFormat="1" ht="12.75" customHeight="1" outlineLevel="1">
      <c r="A80" s="1027"/>
      <c r="B80" s="727" t="s">
        <v>446</v>
      </c>
      <c r="C80" s="1028"/>
      <c r="D80" s="1028"/>
      <c r="E80" s="1028"/>
      <c r="F80" s="1028"/>
      <c r="G80" s="1029"/>
      <c r="H80" s="1028"/>
      <c r="I80" s="1028"/>
      <c r="J80" s="1028"/>
      <c r="K80" s="1028"/>
      <c r="L80" s="1029"/>
      <c r="M80" s="1028"/>
      <c r="N80" s="1028"/>
      <c r="O80" s="1028"/>
      <c r="P80" s="1028"/>
      <c r="Q80" s="1029"/>
      <c r="R80" s="1030"/>
      <c r="S80" s="1030"/>
      <c r="T80" s="1030"/>
      <c r="U80" s="1030"/>
      <c r="V80" s="1029"/>
      <c r="W80" s="1030"/>
      <c r="X80" s="1030"/>
      <c r="Y80" s="1030"/>
      <c r="Z80" s="1030"/>
      <c r="AA80" s="1029"/>
      <c r="AB80" s="1030"/>
      <c r="AC80" s="1030"/>
      <c r="AD80" s="1030"/>
      <c r="AE80" s="1030"/>
      <c r="AF80" s="1029"/>
      <c r="AG80" s="1030"/>
      <c r="AH80" s="1030"/>
      <c r="AI80" s="1030"/>
      <c r="AJ80" s="1030"/>
      <c r="AK80" s="1029"/>
      <c r="AL80" s="1028"/>
      <c r="AM80" s="1028"/>
      <c r="AN80" s="1028"/>
      <c r="AO80" s="1028"/>
      <c r="AP80" s="1029"/>
      <c r="AQ80" s="1028"/>
      <c r="AR80" s="1028"/>
      <c r="AS80" s="1028"/>
      <c r="AT80" s="1028"/>
      <c r="AU80" s="1029"/>
      <c r="AV80" s="1028"/>
      <c r="AW80" s="1028"/>
      <c r="AX80" s="1028"/>
      <c r="AY80" s="1028"/>
      <c r="AZ80" s="1029"/>
      <c r="BA80" s="1028"/>
      <c r="BB80" s="1028"/>
      <c r="BC80" s="1028"/>
      <c r="BD80" s="1028"/>
      <c r="BE80" s="1029"/>
      <c r="BF80" s="1028"/>
      <c r="BG80" s="1028"/>
      <c r="BH80" s="1028"/>
      <c r="BI80" s="1028"/>
      <c r="BJ80" s="1029"/>
      <c r="BK80" s="1028"/>
      <c r="BL80" s="1028"/>
      <c r="BM80" s="1028"/>
      <c r="BN80" s="1028"/>
      <c r="BO80" s="1029"/>
      <c r="BP80" s="1028"/>
      <c r="BQ80" s="1028"/>
      <c r="BR80" s="1028"/>
      <c r="BS80" s="1028"/>
      <c r="BT80" s="1029"/>
      <c r="BU80" s="1028"/>
      <c r="BV80" s="1028"/>
      <c r="BW80" s="1028"/>
      <c r="BX80" s="1028"/>
      <c r="BY80" s="1029"/>
      <c r="BZ80" s="1028"/>
      <c r="CA80" s="1028"/>
      <c r="CB80" s="1028"/>
      <c r="CC80" s="1028"/>
      <c r="CD80" s="1029"/>
      <c r="CE80" s="1028"/>
      <c r="CF80" s="1028"/>
      <c r="CG80" s="1028"/>
      <c r="CH80" s="1028"/>
      <c r="CI80" s="1029"/>
      <c r="CJ80" s="1028"/>
      <c r="CK80" s="1028"/>
      <c r="CL80" s="1028"/>
      <c r="CM80" s="1028"/>
      <c r="CN80" s="1029"/>
      <c r="CO80" s="1028"/>
      <c r="CP80" s="1028"/>
      <c r="CQ80" s="1028"/>
      <c r="CR80" s="1028"/>
      <c r="CS80" s="1029"/>
      <c r="CT80" s="1028"/>
      <c r="CU80" s="1028"/>
      <c r="CV80" s="1028"/>
      <c r="CW80" s="1028"/>
      <c r="CX80" s="1461"/>
      <c r="CY80" s="1462"/>
      <c r="CZ80" s="1462"/>
      <c r="DA80" s="1462"/>
      <c r="DB80" s="1462"/>
      <c r="DC80" s="1461"/>
      <c r="DD80" s="1462"/>
      <c r="DE80" s="1462"/>
      <c r="DF80" s="1462"/>
      <c r="DG80" s="1462"/>
      <c r="DH80" s="1461"/>
      <c r="DI80" s="1438"/>
      <c r="DJ80" s="1438"/>
      <c r="DK80" s="1438"/>
      <c r="DL80" s="1438"/>
      <c r="DM80" s="1175"/>
      <c r="DN80" s="1438">
        <f t="shared" ref="DN80:ET80" si="68">DN77-DI77</f>
      </c>
      <c r="DO80" s="1438">
        <f t="shared" si="68"/>
      </c>
      <c r="DP80" s="1438">
        <f t="shared" si="68"/>
      </c>
      <c r="DQ80" s="1438">
        <f t="shared" si="68"/>
      </c>
      <c r="DR80" s="1175">
        <f t="shared" si="68"/>
      </c>
      <c r="DS80" s="1438">
        <f t="shared" si="68"/>
      </c>
      <c r="DT80" s="1438">
        <f t="shared" si="68"/>
      </c>
      <c r="DU80" s="1438">
        <f t="shared" si="68"/>
      </c>
      <c r="DV80" s="1438">
        <f t="shared" si="68"/>
      </c>
      <c r="DW80" s="1175">
        <f t="shared" si="68"/>
      </c>
      <c r="DX80" s="1438">
        <f t="shared" si="68"/>
      </c>
      <c r="DY80" s="1438">
        <f t="shared" si="68"/>
      </c>
      <c r="DZ80" s="1438">
        <f t="shared" si="68"/>
      </c>
      <c r="EA80" s="1438">
        <f t="shared" si="68"/>
      </c>
      <c r="EB80" s="1175">
        <f t="shared" si="68"/>
      </c>
      <c r="EC80" s="1438">
        <f t="shared" si="68"/>
      </c>
      <c r="ED80" s="1438">
        <f t="shared" si="68"/>
      </c>
      <c r="EE80" s="1438">
        <f t="shared" si="68"/>
      </c>
      <c r="EF80" s="1438">
        <f t="shared" si="68"/>
      </c>
      <c r="EG80" s="1175">
        <f t="shared" si="68"/>
      </c>
      <c r="EH80" s="1438">
        <f t="shared" si="68"/>
      </c>
      <c r="EI80" s="1438">
        <f t="shared" si="68"/>
      </c>
      <c r="EJ80" s="1438">
        <f t="shared" si="68"/>
      </c>
      <c r="EK80" s="1438">
        <f t="shared" si="68"/>
      </c>
      <c r="EL80" s="1175">
        <f t="shared" si="68"/>
      </c>
      <c r="EM80" s="1438">
        <f t="shared" si="68"/>
      </c>
      <c r="EN80" s="1438">
        <f t="shared" si="68"/>
      </c>
      <c r="EO80" s="1438">
        <f t="shared" si="68"/>
      </c>
      <c r="EP80" s="1438">
        <f t="shared" si="68"/>
      </c>
      <c r="EQ80" s="1175">
        <f t="shared" si="68"/>
      </c>
      <c r="ER80" s="1438">
        <f t="shared" si="68"/>
      </c>
      <c r="ES80" s="1438">
        <f t="shared" si="68"/>
      </c>
      <c r="ET80" s="1438">
        <f t="shared" si="68"/>
      </c>
      <c r="EU80" s="1438">
        <f>EU77-EP77</f>
      </c>
      <c r="EV80" s="1175">
        <f>EV77-EQ77</f>
      </c>
      <c r="EW80" s="1438">
        <f t="shared" ref="EW80:EY80" si="69">EW77-ER77</f>
      </c>
      <c r="EX80" s="1438">
        <f t="shared" si="69"/>
      </c>
      <c r="EY80" s="1438">
        <f t="shared" si="69"/>
      </c>
      <c r="EZ80" s="1438">
        <f>EZ77-EU77</f>
      </c>
      <c r="FA80" s="1175">
        <f>FA77-EV77</f>
      </c>
      <c r="FB80" s="1462"/>
      <c r="FC80" s="1462"/>
      <c r="FD80" s="1462"/>
      <c r="FE80" s="1462"/>
      <c r="FF80" s="1461"/>
      <c r="FG80" s="1462"/>
      <c r="FH80" s="1462"/>
      <c r="FI80" s="1462"/>
      <c r="FJ80" s="1462"/>
      <c r="FK80" s="1461"/>
      <c r="FL80" s="1462"/>
      <c r="FM80" s="1462"/>
      <c r="FN80" s="1462"/>
      <c r="FO80" s="1462"/>
      <c r="FP80" s="1461"/>
      <c r="FQ80" s="1462"/>
      <c r="FR80" s="1462"/>
      <c r="FS80" s="1462"/>
      <c r="FT80" s="1462"/>
      <c r="FU80" s="1461"/>
      <c r="FV80" s="1462"/>
      <c r="FW80" s="1462"/>
      <c r="FX80" s="1462"/>
      <c r="FY80" s="1462"/>
      <c r="FZ80" s="1461"/>
      <c r="GA80" s="1462"/>
      <c r="GB80" s="1462"/>
      <c r="GC80" s="1462"/>
      <c r="GD80" s="1462"/>
      <c r="GE80" s="1461"/>
      <c r="GF80" s="1462"/>
      <c r="GG80" s="1462"/>
      <c r="GH80" s="1462"/>
      <c r="GI80" s="1462"/>
      <c r="GJ80" s="1461"/>
    </row>
    <row r="81" spans="1:192" s="1031" customFormat="1" ht="12.75" customHeight="1" outlineLevel="1">
      <c r="A81" s="1027"/>
      <c r="B81" s="727" t="s">
        <v>447</v>
      </c>
      <c r="C81" s="1028"/>
      <c r="D81" s="1028"/>
      <c r="E81" s="1028"/>
      <c r="F81" s="1028"/>
      <c r="G81" s="1029"/>
      <c r="H81" s="1028"/>
      <c r="I81" s="1028"/>
      <c r="J81" s="1028"/>
      <c r="K81" s="1028"/>
      <c r="L81" s="1029"/>
      <c r="M81" s="1028"/>
      <c r="N81" s="1028"/>
      <c r="O81" s="1028"/>
      <c r="P81" s="1028"/>
      <c r="Q81" s="1029"/>
      <c r="R81" s="1030"/>
      <c r="S81" s="1030"/>
      <c r="T81" s="1030"/>
      <c r="U81" s="1030"/>
      <c r="V81" s="1029"/>
      <c r="W81" s="1030"/>
      <c r="X81" s="1030"/>
      <c r="Y81" s="1030"/>
      <c r="Z81" s="1030"/>
      <c r="AA81" s="1029"/>
      <c r="AB81" s="1030"/>
      <c r="AC81" s="1030"/>
      <c r="AD81" s="1030"/>
      <c r="AE81" s="1030"/>
      <c r="AF81" s="1029"/>
      <c r="AG81" s="1030"/>
      <c r="AH81" s="1030"/>
      <c r="AI81" s="1030"/>
      <c r="AJ81" s="1030"/>
      <c r="AK81" s="1029"/>
      <c r="AL81" s="1028"/>
      <c r="AM81" s="1028"/>
      <c r="AN81" s="1028"/>
      <c r="AO81" s="1028"/>
      <c r="AP81" s="1029"/>
      <c r="AQ81" s="1028"/>
      <c r="AR81" s="1028"/>
      <c r="AS81" s="1028"/>
      <c r="AT81" s="1028"/>
      <c r="AU81" s="1029"/>
      <c r="AV81" s="1028"/>
      <c r="AW81" s="1028"/>
      <c r="AX81" s="1028"/>
      <c r="AY81" s="1028"/>
      <c r="AZ81" s="1029"/>
      <c r="BA81" s="1028"/>
      <c r="BB81" s="1028"/>
      <c r="BC81" s="1028"/>
      <c r="BD81" s="1028"/>
      <c r="BE81" s="1029"/>
      <c r="BF81" s="1028"/>
      <c r="BG81" s="1028"/>
      <c r="BH81" s="1028"/>
      <c r="BI81" s="1028"/>
      <c r="BJ81" s="1029"/>
      <c r="BK81" s="1028"/>
      <c r="BL81" s="1028"/>
      <c r="BM81" s="1028"/>
      <c r="BN81" s="1028"/>
      <c r="BO81" s="1029"/>
      <c r="BP81" s="1028"/>
      <c r="BQ81" s="1028"/>
      <c r="BR81" s="1028"/>
      <c r="BS81" s="1028"/>
      <c r="BT81" s="1029"/>
      <c r="BU81" s="1028"/>
      <c r="BV81" s="1028"/>
      <c r="BW81" s="1028"/>
      <c r="BX81" s="1028"/>
      <c r="BY81" s="1029"/>
      <c r="BZ81" s="1028"/>
      <c r="CA81" s="1028"/>
      <c r="CB81" s="1028"/>
      <c r="CC81" s="1028"/>
      <c r="CD81" s="1029"/>
      <c r="CE81" s="1028"/>
      <c r="CF81" s="1028"/>
      <c r="CG81" s="1028"/>
      <c r="CH81" s="1028"/>
      <c r="CI81" s="1029"/>
      <c r="CJ81" s="1028"/>
      <c r="CK81" s="1028"/>
      <c r="CL81" s="1028"/>
      <c r="CM81" s="1028"/>
      <c r="CN81" s="1029"/>
      <c r="CO81" s="1028"/>
      <c r="CP81" s="1028"/>
      <c r="CQ81" s="1028"/>
      <c r="CR81" s="1028"/>
      <c r="CS81" s="1029"/>
      <c r="CT81" s="1028"/>
      <c r="CU81" s="1028"/>
      <c r="CV81" s="1028"/>
      <c r="CW81" s="1028"/>
      <c r="CX81" s="1461"/>
      <c r="CY81" s="1462"/>
      <c r="CZ81" s="1462"/>
      <c r="DA81" s="1462"/>
      <c r="DB81" s="1462"/>
      <c r="DC81" s="1461"/>
      <c r="DD81" s="1462"/>
      <c r="DE81" s="1438"/>
      <c r="DF81" s="1438"/>
      <c r="DG81" s="1438"/>
      <c r="DH81" s="1461"/>
      <c r="DI81" s="1438"/>
      <c r="DJ81" s="1438"/>
      <c r="DK81" s="1438"/>
      <c r="DL81" s="1438"/>
      <c r="DM81" s="1175"/>
      <c r="DN81" s="1438">
        <f>DN77-DL77</f>
      </c>
      <c r="DO81" s="1438">
        <f>DO77-DN77</f>
      </c>
      <c r="DP81" s="1438">
        <f>DP77-DO77</f>
      </c>
      <c r="DQ81" s="1438">
        <f>DQ77-DP77</f>
      </c>
      <c r="DR81" s="1175"/>
      <c r="DS81" s="1438">
        <f>DS77-DQ77</f>
      </c>
      <c r="DT81" s="1438">
        <f>DT77-DS77</f>
      </c>
      <c r="DU81" s="1438">
        <f>DU77-DT77</f>
      </c>
      <c r="DV81" s="1438">
        <f>DV77-DU77</f>
      </c>
      <c r="DW81" s="1175"/>
      <c r="DX81" s="1438">
        <f>DX77-DV77</f>
      </c>
      <c r="DY81" s="1438">
        <f>DY77-DX77</f>
      </c>
      <c r="DZ81" s="1438">
        <f>DZ77-DY77</f>
      </c>
      <c r="EA81" s="1438">
        <f>EA77-DZ77</f>
      </c>
      <c r="EB81" s="1175"/>
      <c r="EC81" s="1438">
        <f>EC77-EA77</f>
      </c>
      <c r="ED81" s="1438">
        <f>ED77-EC77</f>
      </c>
      <c r="EE81" s="1438">
        <f>EE77-ED77</f>
      </c>
      <c r="EF81" s="1438">
        <f>EF77-EE77</f>
      </c>
      <c r="EG81" s="1175"/>
      <c r="EH81" s="1438">
        <f>EH77-EF77</f>
      </c>
      <c r="EI81" s="1438">
        <f>EI77-EH77</f>
      </c>
      <c r="EJ81" s="1438">
        <f>EJ77-EI77</f>
      </c>
      <c r="EK81" s="1438">
        <f>EK77-EJ77</f>
      </c>
      <c r="EL81" s="1175"/>
      <c r="EM81" s="1438">
        <f>EM77-EK77</f>
      </c>
      <c r="EN81" s="1438">
        <f>EN77-EM77</f>
      </c>
      <c r="EO81" s="1438">
        <f>EO77-EN77</f>
      </c>
      <c r="EP81" s="1438">
        <f>EP77-EO77</f>
      </c>
      <c r="EQ81" s="1175"/>
      <c r="ER81" s="1438">
        <f>ER77-EP77</f>
      </c>
      <c r="ES81" s="1438">
        <f>ES77-ER77</f>
      </c>
      <c r="ET81" s="1438">
        <f>ET77-ES77</f>
      </c>
      <c r="EU81" s="1438">
        <f>EU77-ET77</f>
      </c>
      <c r="EV81" s="1175"/>
      <c r="EW81" s="1438">
        <f>EW77-EU77</f>
      </c>
      <c r="EX81" s="1438">
        <f>EX77-EW77</f>
      </c>
      <c r="EY81" s="1438">
        <f>EY77-EX77</f>
      </c>
      <c r="EZ81" s="1438">
        <f>EZ77-EY77</f>
      </c>
      <c r="FA81" s="1175"/>
      <c r="FB81" s="1462"/>
      <c r="FC81" s="1462"/>
      <c r="FD81" s="1462"/>
      <c r="FE81" s="1462"/>
      <c r="FF81" s="1461"/>
      <c r="FG81" s="1462"/>
      <c r="FH81" s="1462"/>
      <c r="FI81" s="1462"/>
      <c r="FJ81" s="1462"/>
      <c r="FK81" s="1461"/>
      <c r="FL81" s="1462"/>
      <c r="FM81" s="1462"/>
      <c r="FN81" s="1462"/>
      <c r="FO81" s="1462"/>
      <c r="FP81" s="1461"/>
      <c r="FQ81" s="1462"/>
      <c r="FR81" s="1462"/>
      <c r="FS81" s="1462"/>
      <c r="FT81" s="1462"/>
      <c r="FU81" s="1461"/>
      <c r="FV81" s="1462"/>
      <c r="FW81" s="1462"/>
      <c r="FX81" s="1462"/>
      <c r="FY81" s="1462"/>
      <c r="FZ81" s="1461"/>
      <c r="GA81" s="1462"/>
      <c r="GB81" s="1462"/>
      <c r="GC81" s="1462"/>
      <c r="GD81" s="1462"/>
      <c r="GE81" s="1461"/>
      <c r="GF81" s="1462"/>
      <c r="GG81" s="1462"/>
      <c r="GH81" s="1462"/>
      <c r="GI81" s="1462"/>
      <c r="GJ81" s="1461"/>
    </row>
    <row r="82" spans="1:192" s="684" customFormat="1" ht="12.75" customHeight="1" outlineLevel="1">
      <c r="A82" s="850"/>
      <c r="B82" s="1004"/>
      <c r="C82" s="1021"/>
      <c r="D82" s="1021"/>
      <c r="E82" s="1021"/>
      <c r="F82" s="1021"/>
      <c r="G82" s="515"/>
      <c r="H82" s="1021"/>
      <c r="I82" s="1021"/>
      <c r="J82" s="1021"/>
      <c r="K82" s="1021"/>
      <c r="L82" s="515"/>
      <c r="M82" s="1022"/>
      <c r="N82" s="1022"/>
      <c r="O82" s="1022"/>
      <c r="P82" s="1022"/>
      <c r="Q82" s="515"/>
      <c r="R82" s="1022"/>
      <c r="S82" s="1022"/>
      <c r="T82" s="1022"/>
      <c r="U82" s="1022"/>
      <c r="V82" s="515"/>
      <c r="W82" s="1022"/>
      <c r="X82" s="1022"/>
      <c r="Y82" s="1022"/>
      <c r="Z82" s="1022"/>
      <c r="AA82" s="515"/>
      <c r="AB82" s="1022"/>
      <c r="AC82" s="1022"/>
      <c r="AD82" s="1022"/>
      <c r="AE82" s="1022"/>
      <c r="AF82" s="515"/>
      <c r="AG82" s="1022"/>
      <c r="AH82" s="1022"/>
      <c r="AI82" s="1022"/>
      <c r="AJ82" s="1022"/>
      <c r="AK82" s="515"/>
      <c r="AL82" s="1021"/>
      <c r="AM82" s="1021"/>
      <c r="AN82" s="1021"/>
      <c r="AO82" s="1021"/>
      <c r="AP82" s="515"/>
      <c r="AQ82" s="1021"/>
      <c r="AR82" s="1021"/>
      <c r="AS82" s="1021"/>
      <c r="AT82" s="1021"/>
      <c r="AU82" s="515"/>
      <c r="AV82" s="1021"/>
      <c r="AW82" s="1021"/>
      <c r="AX82" s="1021"/>
      <c r="AY82" s="1021"/>
      <c r="AZ82" s="515"/>
      <c r="BA82" s="1021"/>
      <c r="BB82" s="1021"/>
      <c r="BC82" s="1021"/>
      <c r="BD82" s="1021"/>
      <c r="BE82" s="515"/>
      <c r="BF82" s="1021"/>
      <c r="BG82" s="1021"/>
      <c r="BH82" s="1021"/>
      <c r="BI82" s="1021"/>
      <c r="BJ82" s="515"/>
      <c r="BK82" s="1021"/>
      <c r="BL82" s="1021"/>
      <c r="BM82" s="1021"/>
      <c r="BN82" s="1021"/>
      <c r="BO82" s="515"/>
      <c r="BP82" s="1021"/>
      <c r="BQ82" s="1021"/>
      <c r="BR82" s="1021"/>
      <c r="BS82" s="1021"/>
      <c r="BT82" s="515"/>
      <c r="BU82" s="1021"/>
      <c r="BV82" s="1021"/>
      <c r="BW82" s="1021"/>
      <c r="BX82" s="1021"/>
      <c r="BY82" s="515"/>
      <c r="BZ82" s="1021"/>
      <c r="CA82" s="1021"/>
      <c r="CB82" s="1021"/>
      <c r="CC82" s="1021"/>
      <c r="CD82" s="515"/>
      <c r="CE82" s="1021"/>
      <c r="CF82" s="1021"/>
      <c r="CG82" s="1021"/>
      <c r="CH82" s="1021"/>
      <c r="CI82" s="515"/>
      <c r="CJ82" s="1021"/>
      <c r="CK82" s="1021"/>
      <c r="CL82" s="1021"/>
      <c r="CM82" s="1021"/>
      <c r="CN82" s="515"/>
      <c r="CO82" s="1021"/>
      <c r="CP82" s="1021"/>
      <c r="CQ82" s="1021"/>
      <c r="CR82" s="1021"/>
      <c r="CS82" s="515"/>
      <c r="CT82" s="1021"/>
      <c r="CU82" s="1021"/>
      <c r="CV82" s="1021"/>
      <c r="CW82" s="1021"/>
      <c r="CX82" s="515"/>
      <c r="CY82" s="1021"/>
      <c r="CZ82" s="1021"/>
      <c r="DA82" s="1021"/>
      <c r="DB82" s="1021"/>
      <c r="DC82" s="515"/>
      <c r="DD82" s="1021"/>
      <c r="DE82" s="1021"/>
      <c r="DF82" s="1021"/>
      <c r="DG82" s="1021"/>
      <c r="DH82" s="515"/>
      <c r="DI82" s="1021"/>
      <c r="DJ82" s="1021"/>
      <c r="DK82" s="1021"/>
      <c r="DL82" s="1021"/>
      <c r="DM82" s="515"/>
      <c r="DN82" s="1021"/>
      <c r="DO82" s="1021"/>
      <c r="DP82" s="1021"/>
      <c r="DQ82" s="1021"/>
      <c r="DR82" s="515"/>
      <c r="DS82" s="1021"/>
      <c r="DT82" s="1021"/>
      <c r="DU82" s="1021"/>
      <c r="DV82" s="1021"/>
      <c r="DW82" s="515"/>
      <c r="DX82" s="1021"/>
      <c r="DY82" s="1021"/>
      <c r="DZ82" s="1021"/>
      <c r="EA82" s="1021"/>
      <c r="EB82" s="515"/>
      <c r="EC82" s="1021"/>
      <c r="ED82" s="1021"/>
      <c r="EE82" s="1021"/>
      <c r="EF82" s="1021"/>
      <c r="EG82" s="515"/>
      <c r="EH82" s="1021"/>
      <c r="EI82" s="1021"/>
      <c r="EJ82" s="1021"/>
      <c r="EK82" s="1021"/>
      <c r="EL82" s="1023"/>
      <c r="EM82" s="1021"/>
      <c r="EN82" s="1021"/>
      <c r="EO82" s="1021"/>
      <c r="EP82" s="1021"/>
      <c r="EQ82" s="1023"/>
      <c r="ER82" s="1021"/>
      <c r="ES82" s="1021"/>
      <c r="ET82" s="1021"/>
      <c r="EU82" s="1021"/>
      <c r="EV82" s="1023"/>
      <c r="EW82" s="1021"/>
      <c r="EX82" s="1021"/>
      <c r="EY82" s="1021"/>
      <c r="EZ82" s="1021"/>
      <c r="FA82" s="1023"/>
      <c r="FB82" s="1021"/>
      <c r="FC82" s="1021"/>
      <c r="FD82" s="1021"/>
      <c r="FE82" s="1021"/>
      <c r="FF82" s="515"/>
      <c r="FG82" s="1021"/>
      <c r="FH82" s="1021"/>
      <c r="FI82" s="1021"/>
      <c r="FJ82" s="1021"/>
      <c r="FK82" s="515"/>
      <c r="FL82" s="1021"/>
      <c r="FM82" s="1021"/>
      <c r="FN82" s="1021"/>
      <c r="FO82" s="1021"/>
      <c r="FP82" s="515"/>
      <c r="FQ82" s="1021"/>
      <c r="FR82" s="1021"/>
      <c r="FS82" s="1021"/>
      <c r="FT82" s="1021"/>
      <c r="FU82" s="515"/>
      <c r="FV82" s="1021"/>
      <c r="FW82" s="1021"/>
      <c r="FX82" s="1021"/>
      <c r="FY82" s="1021"/>
      <c r="FZ82" s="515"/>
      <c r="GA82" s="1021"/>
      <c r="GB82" s="1021"/>
      <c r="GC82" s="1021"/>
      <c r="GD82" s="1021"/>
      <c r="GE82" s="515"/>
      <c r="GF82" s="1021"/>
      <c r="GG82" s="1021"/>
      <c r="GH82" s="1021"/>
      <c r="GI82" s="1021"/>
      <c r="GJ82" s="515"/>
    </row>
    <row r="83" spans="1:192" s="461" customFormat="1" ht="12.75" customHeight="1" outlineLevel="1">
      <c r="A83" s="68"/>
      <c r="B83" s="975" t="s">
        <v>445</v>
      </c>
      <c r="C83" s="624"/>
      <c r="D83" s="624"/>
      <c r="E83" s="624"/>
      <c r="F83" s="624"/>
      <c r="G83" s="622"/>
      <c r="H83" s="624"/>
      <c r="I83" s="624"/>
      <c r="J83" s="624"/>
      <c r="K83" s="624"/>
      <c r="L83" s="622"/>
      <c r="M83" s="624"/>
      <c r="N83" s="624"/>
      <c r="O83" s="624"/>
      <c r="P83" s="624"/>
      <c r="Q83" s="622"/>
      <c r="R83" s="981"/>
      <c r="S83" s="981"/>
      <c r="T83" s="981"/>
      <c r="U83" s="981"/>
      <c r="V83" s="622"/>
      <c r="W83" s="981"/>
      <c r="X83" s="981"/>
      <c r="Y83" s="981"/>
      <c r="Z83" s="981"/>
      <c r="AA83" s="622"/>
      <c r="AB83" s="981"/>
      <c r="AC83" s="981"/>
      <c r="AD83" s="981"/>
      <c r="AE83" s="981"/>
      <c r="AF83" s="622"/>
      <c r="AG83" s="981"/>
      <c r="AH83" s="981"/>
      <c r="AI83" s="981"/>
      <c r="AJ83" s="981"/>
      <c r="AK83" s="622"/>
      <c r="AL83" s="624"/>
      <c r="AM83" s="624"/>
      <c r="AN83" s="624"/>
      <c r="AO83" s="624"/>
      <c r="AP83" s="622"/>
      <c r="AQ83" s="624"/>
      <c r="AR83" s="624"/>
      <c r="AS83" s="624"/>
      <c r="AT83" s="624"/>
      <c r="AU83" s="622"/>
      <c r="AV83" s="624"/>
      <c r="AW83" s="624"/>
      <c r="AX83" s="624"/>
      <c r="AY83" s="624"/>
      <c r="AZ83" s="622"/>
      <c r="BA83" s="624"/>
      <c r="BB83" s="624"/>
      <c r="BC83" s="624"/>
      <c r="BD83" s="624"/>
      <c r="BE83" s="622"/>
      <c r="BF83" s="624"/>
      <c r="BG83" s="624"/>
      <c r="BH83" s="624"/>
      <c r="BI83" s="624"/>
      <c r="BJ83" s="622"/>
      <c r="BK83" s="624"/>
      <c r="BL83" s="624"/>
      <c r="BM83" s="624"/>
      <c r="BN83" s="624"/>
      <c r="BO83" s="622"/>
      <c r="BP83" s="624"/>
      <c r="BQ83" s="624"/>
      <c r="BR83" s="624"/>
      <c r="BS83" s="624"/>
      <c r="BT83" s="622"/>
      <c r="BU83" s="624"/>
      <c r="BV83" s="624"/>
      <c r="BW83" s="624"/>
      <c r="BX83" s="624"/>
      <c r="BY83" s="622"/>
      <c r="BZ83" s="624"/>
      <c r="CA83" s="624"/>
      <c r="CB83" s="624"/>
      <c r="CC83" s="624"/>
      <c r="CD83" s="622"/>
      <c r="CE83" s="624"/>
      <c r="CF83" s="624"/>
      <c r="CG83" s="624"/>
      <c r="CH83" s="624"/>
      <c r="CI83" s="622"/>
      <c r="CJ83" s="624"/>
      <c r="CK83" s="624"/>
      <c r="CL83" s="624"/>
      <c r="CM83" s="624"/>
      <c r="CN83" s="622"/>
      <c r="CO83" s="624"/>
      <c r="CP83" s="624"/>
      <c r="CQ83" s="624"/>
      <c r="CR83" s="624"/>
      <c r="CS83" s="622"/>
      <c r="CT83" s="624"/>
      <c r="CU83" s="624"/>
      <c r="CV83" s="624"/>
      <c r="CW83" s="624"/>
      <c r="CX83" s="622"/>
      <c r="CY83" s="624"/>
      <c r="CZ83" s="624"/>
      <c r="DA83" s="624"/>
      <c r="DB83" s="624"/>
      <c r="DC83" s="622"/>
      <c r="DD83" s="619"/>
      <c r="DE83" s="619"/>
      <c r="DF83" s="619"/>
      <c r="DG83" s="619"/>
      <c r="DH83" s="622"/>
      <c r="DI83" s="619"/>
      <c r="DJ83" s="619"/>
      <c r="DK83" s="619"/>
      <c r="DL83" s="619"/>
      <c r="DM83" s="622"/>
      <c r="DN83" s="619">
        <f t="shared" ref="DN83:ET83" si="70">DN46</f>
      </c>
      <c r="DO83" s="619">
        <f t="shared" si="70"/>
      </c>
      <c r="DP83" s="619">
        <f t="shared" si="70"/>
      </c>
      <c r="DQ83" s="619">
        <f t="shared" si="70"/>
      </c>
      <c r="DR83" s="622">
        <f t="shared" si="70"/>
      </c>
      <c r="DS83" s="619">
        <f t="shared" si="70"/>
      </c>
      <c r="DT83" s="619">
        <f t="shared" si="70"/>
      </c>
      <c r="DU83" s="619">
        <f t="shared" si="70"/>
      </c>
      <c r="DV83" s="619">
        <f t="shared" si="70"/>
      </c>
      <c r="DW83" s="622">
        <f t="shared" si="70"/>
      </c>
      <c r="DX83" s="619">
        <f t="shared" si="70"/>
      </c>
      <c r="DY83" s="619">
        <f t="shared" si="70"/>
      </c>
      <c r="DZ83" s="619">
        <f t="shared" si="70"/>
      </c>
      <c r="EA83" s="619">
        <f t="shared" si="70"/>
      </c>
      <c r="EB83" s="622">
        <f t="shared" si="70"/>
      </c>
      <c r="EC83" s="619">
        <f t="shared" si="70"/>
      </c>
      <c r="ED83" s="619">
        <f t="shared" si="70"/>
      </c>
      <c r="EE83" s="619">
        <f t="shared" si="70"/>
      </c>
      <c r="EF83" s="619">
        <f t="shared" si="70"/>
      </c>
      <c r="EG83" s="622">
        <f t="shared" si="70"/>
      </c>
      <c r="EH83" s="619">
        <f t="shared" si="70"/>
      </c>
      <c r="EI83" s="619">
        <f t="shared" si="70"/>
      </c>
      <c r="EJ83" s="619">
        <f t="shared" si="70"/>
      </c>
      <c r="EK83" s="619">
        <f t="shared" si="70"/>
      </c>
      <c r="EL83" s="622">
        <f t="shared" si="70"/>
      </c>
      <c r="EM83" s="619">
        <f t="shared" si="70"/>
      </c>
      <c r="EN83" s="619">
        <f t="shared" si="70"/>
      </c>
      <c r="EO83" s="619">
        <f t="shared" si="70"/>
      </c>
      <c r="EP83" s="619">
        <f t="shared" si="70"/>
      </c>
      <c r="EQ83" s="622">
        <f t="shared" si="70"/>
      </c>
      <c r="ER83" s="619">
        <f t="shared" si="70"/>
      </c>
      <c r="ES83" s="619">
        <f t="shared" si="70"/>
      </c>
      <c r="ET83" s="619">
        <f t="shared" si="70"/>
      </c>
      <c r="EU83" s="619">
        <f>EU46</f>
      </c>
      <c r="EV83" s="622">
        <f>EV46</f>
      </c>
      <c r="EW83" s="619">
        <f t="shared" ref="EW83:EY83" si="71">EW46</f>
      </c>
      <c r="EX83" s="619">
        <f t="shared" si="71"/>
      </c>
      <c r="EY83" s="619">
        <f t="shared" si="71"/>
      </c>
      <c r="EZ83" s="619">
        <f>EZ46</f>
      </c>
      <c r="FA83" s="622">
        <f>FA46</f>
      </c>
      <c r="FB83" s="619"/>
      <c r="FC83" s="619"/>
      <c r="FD83" s="619"/>
      <c r="FE83" s="619"/>
      <c r="FF83" s="622"/>
      <c r="FG83" s="619"/>
      <c r="FH83" s="619"/>
      <c r="FI83" s="619"/>
      <c r="FJ83" s="619"/>
      <c r="FK83" s="622"/>
      <c r="FL83" s="619"/>
      <c r="FM83" s="619"/>
      <c r="FN83" s="619"/>
      <c r="FO83" s="619"/>
      <c r="FP83" s="622"/>
      <c r="FQ83" s="619"/>
      <c r="FR83" s="619"/>
      <c r="FS83" s="619"/>
      <c r="FT83" s="619"/>
      <c r="FU83" s="622"/>
      <c r="FV83" s="619"/>
      <c r="FW83" s="619"/>
      <c r="FX83" s="619"/>
      <c r="FY83" s="619"/>
      <c r="FZ83" s="622"/>
      <c r="GA83" s="619"/>
      <c r="GB83" s="619"/>
      <c r="GC83" s="619"/>
      <c r="GD83" s="619"/>
      <c r="GE83" s="622"/>
      <c r="GF83" s="619"/>
      <c r="GG83" s="619"/>
      <c r="GH83" s="619"/>
      <c r="GI83" s="619"/>
      <c r="GJ83" s="622"/>
    </row>
    <row r="84" spans="1:192" s="1031" customFormat="1" ht="12.75" customHeight="1" outlineLevel="1">
      <c r="A84" s="1027"/>
      <c r="B84" s="727" t="s">
        <v>34</v>
      </c>
      <c r="C84" s="1028"/>
      <c r="D84" s="1028"/>
      <c r="E84" s="1028"/>
      <c r="F84" s="1028"/>
      <c r="G84" s="1029"/>
      <c r="H84" s="1028"/>
      <c r="I84" s="1028"/>
      <c r="J84" s="1028"/>
      <c r="K84" s="1028"/>
      <c r="L84" s="1029"/>
      <c r="M84" s="1028"/>
      <c r="N84" s="1028"/>
      <c r="O84" s="1028"/>
      <c r="P84" s="1028"/>
      <c r="Q84" s="1029"/>
      <c r="R84" s="1030"/>
      <c r="S84" s="1030"/>
      <c r="T84" s="1030"/>
      <c r="U84" s="1030"/>
      <c r="V84" s="1029"/>
      <c r="W84" s="1030"/>
      <c r="X84" s="1030"/>
      <c r="Y84" s="1030"/>
      <c r="Z84" s="1030"/>
      <c r="AA84" s="1029"/>
      <c r="AB84" s="1030"/>
      <c r="AC84" s="1030"/>
      <c r="AD84" s="1030"/>
      <c r="AE84" s="1030"/>
      <c r="AF84" s="1029"/>
      <c r="AG84" s="1030"/>
      <c r="AH84" s="1030"/>
      <c r="AI84" s="1030"/>
      <c r="AJ84" s="1030"/>
      <c r="AK84" s="1029"/>
      <c r="AL84" s="1028"/>
      <c r="AM84" s="1028"/>
      <c r="AN84" s="1028"/>
      <c r="AO84" s="1028"/>
      <c r="AP84" s="1029"/>
      <c r="AQ84" s="1028"/>
      <c r="AR84" s="1028"/>
      <c r="AS84" s="1028"/>
      <c r="AT84" s="1028"/>
      <c r="AU84" s="1029"/>
      <c r="AV84" s="1028"/>
      <c r="AW84" s="1028"/>
      <c r="AX84" s="1028"/>
      <c r="AY84" s="1028"/>
      <c r="AZ84" s="1029"/>
      <c r="BA84" s="1028"/>
      <c r="BB84" s="1028"/>
      <c r="BC84" s="1028"/>
      <c r="BD84" s="1028"/>
      <c r="BE84" s="1029"/>
      <c r="BF84" s="1028"/>
      <c r="BG84" s="1028"/>
      <c r="BH84" s="1028"/>
      <c r="BI84" s="1028"/>
      <c r="BJ84" s="1029"/>
      <c r="BK84" s="1028"/>
      <c r="BL84" s="1028"/>
      <c r="BM84" s="1028"/>
      <c r="BN84" s="1028"/>
      <c r="BO84" s="1029"/>
      <c r="BP84" s="1028"/>
      <c r="BQ84" s="1028"/>
      <c r="BR84" s="1028"/>
      <c r="BS84" s="1028"/>
      <c r="BT84" s="1029"/>
      <c r="BU84" s="1028"/>
      <c r="BV84" s="1028"/>
      <c r="BW84" s="1028"/>
      <c r="BX84" s="1028"/>
      <c r="BY84" s="1029"/>
      <c r="BZ84" s="1028"/>
      <c r="CA84" s="1028"/>
      <c r="CB84" s="1028"/>
      <c r="CC84" s="1028"/>
      <c r="CD84" s="1029"/>
      <c r="CE84" s="1028"/>
      <c r="CF84" s="1028"/>
      <c r="CG84" s="1028"/>
      <c r="CH84" s="1028"/>
      <c r="CI84" s="1029"/>
      <c r="CJ84" s="1028"/>
      <c r="CK84" s="1028"/>
      <c r="CL84" s="1028"/>
      <c r="CM84" s="1028"/>
      <c r="CN84" s="1029"/>
      <c r="CO84" s="1028"/>
      <c r="CP84" s="1028"/>
      <c r="CQ84" s="1028"/>
      <c r="CR84" s="1028"/>
      <c r="CS84" s="1029"/>
      <c r="CT84" s="1028"/>
      <c r="CU84" s="1028"/>
      <c r="CV84" s="1028"/>
      <c r="CW84" s="1028"/>
      <c r="CX84" s="1461"/>
      <c r="CY84" s="1462"/>
      <c r="CZ84" s="1462"/>
      <c r="DA84" s="1462"/>
      <c r="DB84" s="1462"/>
      <c r="DC84" s="1461"/>
      <c r="DD84" s="1462"/>
      <c r="DE84" s="1462"/>
      <c r="DF84" s="1462"/>
      <c r="DG84" s="1462"/>
      <c r="DH84" s="1461"/>
      <c r="DI84" s="1462"/>
      <c r="DJ84" s="1462"/>
      <c r="DK84" s="1462"/>
      <c r="DL84" s="1462"/>
      <c r="DM84" s="1461"/>
      <c r="DN84" s="1462"/>
      <c r="DO84" s="1462"/>
      <c r="DP84" s="1462"/>
      <c r="DQ84" s="1462"/>
      <c r="DR84" s="1461"/>
      <c r="DS84" s="1462">
        <f t="shared" ref="DS84:ET84" si="72">DS83/DN83-1</f>
      </c>
      <c r="DT84" s="1462">
        <f t="shared" si="72"/>
      </c>
      <c r="DU84" s="1462">
        <f t="shared" si="72"/>
      </c>
      <c r="DV84" s="1462">
        <f t="shared" si="72"/>
      </c>
      <c r="DW84" s="1461">
        <f t="shared" si="72"/>
      </c>
      <c r="DX84" s="1462">
        <f t="shared" si="72"/>
      </c>
      <c r="DY84" s="1462">
        <f t="shared" si="72"/>
      </c>
      <c r="DZ84" s="1462">
        <f t="shared" si="72"/>
      </c>
      <c r="EA84" s="1462">
        <f t="shared" si="72"/>
      </c>
      <c r="EB84" s="1461">
        <f t="shared" si="72"/>
      </c>
      <c r="EC84" s="1462">
        <f t="shared" si="72"/>
      </c>
      <c r="ED84" s="1462">
        <f t="shared" si="72"/>
      </c>
      <c r="EE84" s="1462">
        <f t="shared" si="72"/>
      </c>
      <c r="EF84" s="1462">
        <f t="shared" si="72"/>
      </c>
      <c r="EG84" s="1461">
        <f t="shared" si="72"/>
      </c>
      <c r="EH84" s="1462">
        <f t="shared" si="72"/>
      </c>
      <c r="EI84" s="1462">
        <f t="shared" si="72"/>
      </c>
      <c r="EJ84" s="1462">
        <f t="shared" si="72"/>
      </c>
      <c r="EK84" s="1462">
        <f t="shared" si="72"/>
      </c>
      <c r="EL84" s="1461">
        <f t="shared" si="72"/>
      </c>
      <c r="EM84" s="1462">
        <f t="shared" si="72"/>
      </c>
      <c r="EN84" s="1462">
        <f t="shared" si="72"/>
      </c>
      <c r="EO84" s="1462">
        <f t="shared" si="72"/>
      </c>
      <c r="EP84" s="1462">
        <f t="shared" si="72"/>
      </c>
      <c r="EQ84" s="1461">
        <f t="shared" si="72"/>
      </c>
      <c r="ER84" s="1462">
        <f t="shared" si="72"/>
      </c>
      <c r="ES84" s="1462">
        <f t="shared" si="72"/>
      </c>
      <c r="ET84" s="1462">
        <f t="shared" si="72"/>
      </c>
      <c r="EU84" s="1462">
        <f>EU83/EP83-1</f>
      </c>
      <c r="EV84" s="1461">
        <f>EV83/EQ83-1</f>
      </c>
      <c r="EW84" s="1462">
        <f t="shared" ref="EW84:EY84" si="73">EW83/ER83-1</f>
      </c>
      <c r="EX84" s="1462">
        <f t="shared" si="73"/>
      </c>
      <c r="EY84" s="1462">
        <f t="shared" si="73"/>
      </c>
      <c r="EZ84" s="1462">
        <f>EZ83/EU83-1</f>
      </c>
      <c r="FA84" s="1461">
        <f>FA83/EV83-1</f>
      </c>
      <c r="FB84" s="1462"/>
      <c r="FC84" s="1462"/>
      <c r="FD84" s="1462"/>
      <c r="FE84" s="1462"/>
      <c r="FF84" s="1461"/>
      <c r="FG84" s="1462"/>
      <c r="FH84" s="1462"/>
      <c r="FI84" s="1462"/>
      <c r="FJ84" s="1462"/>
      <c r="FK84" s="1461"/>
      <c r="FL84" s="1462"/>
      <c r="FM84" s="1462"/>
      <c r="FN84" s="1462"/>
      <c r="FO84" s="1462"/>
      <c r="FP84" s="1461"/>
      <c r="FQ84" s="1462"/>
      <c r="FR84" s="1462"/>
      <c r="FS84" s="1462"/>
      <c r="FT84" s="1462"/>
      <c r="FU84" s="1461"/>
      <c r="FV84" s="1462"/>
      <c r="FW84" s="1462"/>
      <c r="FX84" s="1462"/>
      <c r="FY84" s="1462"/>
      <c r="FZ84" s="1461"/>
      <c r="GA84" s="1462"/>
      <c r="GB84" s="1462"/>
      <c r="GC84" s="1462"/>
      <c r="GD84" s="1462"/>
      <c r="GE84" s="1461"/>
      <c r="GF84" s="1462"/>
      <c r="GG84" s="1462"/>
      <c r="GH84" s="1462"/>
      <c r="GI84" s="1462"/>
      <c r="GJ84" s="1461"/>
    </row>
    <row r="85" spans="1:192" s="1031" customFormat="1" ht="12.75" customHeight="1" outlineLevel="1">
      <c r="A85" s="1027"/>
      <c r="B85" s="727" t="s">
        <v>36</v>
      </c>
      <c r="C85" s="1028"/>
      <c r="D85" s="1028"/>
      <c r="E85" s="1028"/>
      <c r="F85" s="1028"/>
      <c r="G85" s="1029"/>
      <c r="H85" s="1028"/>
      <c r="I85" s="1028"/>
      <c r="J85" s="1028"/>
      <c r="K85" s="1028"/>
      <c r="L85" s="1029"/>
      <c r="M85" s="1028"/>
      <c r="N85" s="1028"/>
      <c r="O85" s="1028"/>
      <c r="P85" s="1028"/>
      <c r="Q85" s="1029"/>
      <c r="R85" s="1030"/>
      <c r="S85" s="1030"/>
      <c r="T85" s="1030"/>
      <c r="U85" s="1030"/>
      <c r="V85" s="1029"/>
      <c r="W85" s="1030"/>
      <c r="X85" s="1030"/>
      <c r="Y85" s="1030"/>
      <c r="Z85" s="1030"/>
      <c r="AA85" s="1029"/>
      <c r="AB85" s="1030"/>
      <c r="AC85" s="1030"/>
      <c r="AD85" s="1030"/>
      <c r="AE85" s="1030"/>
      <c r="AF85" s="1029"/>
      <c r="AG85" s="1030"/>
      <c r="AH85" s="1030"/>
      <c r="AI85" s="1030"/>
      <c r="AJ85" s="1030"/>
      <c r="AK85" s="1029"/>
      <c r="AL85" s="1028"/>
      <c r="AM85" s="1028"/>
      <c r="AN85" s="1028"/>
      <c r="AO85" s="1028"/>
      <c r="AP85" s="1029"/>
      <c r="AQ85" s="1028"/>
      <c r="AR85" s="1028"/>
      <c r="AS85" s="1028"/>
      <c r="AT85" s="1028"/>
      <c r="AU85" s="1029"/>
      <c r="AV85" s="1028"/>
      <c r="AW85" s="1028"/>
      <c r="AX85" s="1028"/>
      <c r="AY85" s="1028"/>
      <c r="AZ85" s="1029"/>
      <c r="BA85" s="1028"/>
      <c r="BB85" s="1028"/>
      <c r="BC85" s="1028"/>
      <c r="BD85" s="1028"/>
      <c r="BE85" s="1029"/>
      <c r="BF85" s="1028"/>
      <c r="BG85" s="1028"/>
      <c r="BH85" s="1028"/>
      <c r="BI85" s="1028"/>
      <c r="BJ85" s="1029"/>
      <c r="BK85" s="1028"/>
      <c r="BL85" s="1028"/>
      <c r="BM85" s="1028"/>
      <c r="BN85" s="1028"/>
      <c r="BO85" s="1029"/>
      <c r="BP85" s="1028"/>
      <c r="BQ85" s="1028"/>
      <c r="BR85" s="1028"/>
      <c r="BS85" s="1028"/>
      <c r="BT85" s="1029"/>
      <c r="BU85" s="1028"/>
      <c r="BV85" s="1028"/>
      <c r="BW85" s="1028"/>
      <c r="BX85" s="1028"/>
      <c r="BY85" s="1029"/>
      <c r="BZ85" s="1028"/>
      <c r="CA85" s="1028"/>
      <c r="CB85" s="1028"/>
      <c r="CC85" s="1028"/>
      <c r="CD85" s="1029"/>
      <c r="CE85" s="1028"/>
      <c r="CF85" s="1028"/>
      <c r="CG85" s="1028"/>
      <c r="CH85" s="1028"/>
      <c r="CI85" s="1029"/>
      <c r="CJ85" s="1028"/>
      <c r="CK85" s="1028"/>
      <c r="CL85" s="1028"/>
      <c r="CM85" s="1028"/>
      <c r="CN85" s="1029"/>
      <c r="CO85" s="1028"/>
      <c r="CP85" s="1028"/>
      <c r="CQ85" s="1028"/>
      <c r="CR85" s="1028"/>
      <c r="CS85" s="1029"/>
      <c r="CT85" s="1028"/>
      <c r="CU85" s="1028"/>
      <c r="CV85" s="1028"/>
      <c r="CW85" s="1028"/>
      <c r="CX85" s="1461"/>
      <c r="CY85" s="1462"/>
      <c r="CZ85" s="1462"/>
      <c r="DA85" s="1462"/>
      <c r="DB85" s="1462"/>
      <c r="DC85" s="1461"/>
      <c r="DD85" s="1462"/>
      <c r="DE85" s="1462"/>
      <c r="DF85" s="1462"/>
      <c r="DG85" s="1462"/>
      <c r="DH85" s="1461"/>
      <c r="DI85" s="1462"/>
      <c r="DJ85" s="1462"/>
      <c r="DK85" s="1462"/>
      <c r="DL85" s="1462"/>
      <c r="DM85" s="1461"/>
      <c r="DN85" s="1462"/>
      <c r="DO85" s="1462">
        <f>DO83/DN83-1</f>
      </c>
      <c r="DP85" s="1462">
        <f>DP83/DO83-1</f>
      </c>
      <c r="DQ85" s="1462">
        <f>DQ83/DP83-1</f>
      </c>
      <c r="DR85" s="1461"/>
      <c r="DS85" s="1462">
        <f>DS83/DQ83-1</f>
      </c>
      <c r="DT85" s="1462">
        <f>DT83/DS83-1</f>
      </c>
      <c r="DU85" s="1462">
        <f>DU83/DT83-1</f>
      </c>
      <c r="DV85" s="1462">
        <f>DV83/DU83-1</f>
      </c>
      <c r="DW85" s="1461"/>
      <c r="DX85" s="1462">
        <f>DX83/DV83-1</f>
      </c>
      <c r="DY85" s="1462">
        <f>DY83/DX83-1</f>
      </c>
      <c r="DZ85" s="1462">
        <f>DZ83/DY83-1</f>
      </c>
      <c r="EA85" s="1462">
        <f>EA83/DZ83-1</f>
      </c>
      <c r="EB85" s="1461"/>
      <c r="EC85" s="1462">
        <f>EC83/EA83-1</f>
      </c>
      <c r="ED85" s="1462">
        <f>ED83/EC83-1</f>
      </c>
      <c r="EE85" s="1462">
        <f>EE83/ED83-1</f>
      </c>
      <c r="EF85" s="1462">
        <f>EF83/EE83-1</f>
      </c>
      <c r="EG85" s="1461"/>
      <c r="EH85" s="1462">
        <f>EH83/EF83-1</f>
      </c>
      <c r="EI85" s="1462">
        <f>EI83/EH83-1</f>
      </c>
      <c r="EJ85" s="1462">
        <f>EJ83/EI83-1</f>
      </c>
      <c r="EK85" s="1462">
        <f>EK83/EJ83-1</f>
      </c>
      <c r="EL85" s="1461"/>
      <c r="EM85" s="1462">
        <f>EM83/EK83-1</f>
      </c>
      <c r="EN85" s="1462">
        <f>EN83/EM83-1</f>
      </c>
      <c r="EO85" s="1462">
        <f>EO83/EN83-1</f>
      </c>
      <c r="EP85" s="1462">
        <f>EP83/EO83-1</f>
      </c>
      <c r="EQ85" s="1461"/>
      <c r="ER85" s="1462">
        <f>ER83/EP83-1</f>
      </c>
      <c r="ES85" s="1462">
        <f>ES83/ER83-1</f>
      </c>
      <c r="ET85" s="1462">
        <f>ET83/ES83-1</f>
      </c>
      <c r="EU85" s="1462">
        <f>EU83/ET83-1</f>
      </c>
      <c r="EV85" s="1461"/>
      <c r="EW85" s="1462">
        <f>EW83/EU83-1</f>
      </c>
      <c r="EX85" s="1462">
        <f>EX83/EW83-1</f>
      </c>
      <c r="EY85" s="1462">
        <f>EY83/EX83-1</f>
      </c>
      <c r="EZ85" s="1462">
        <f>EZ83/EY83-1</f>
      </c>
      <c r="FA85" s="1461"/>
      <c r="FB85" s="1462"/>
      <c r="FC85" s="1462"/>
      <c r="FD85" s="1462"/>
      <c r="FE85" s="1462"/>
      <c r="FF85" s="1461"/>
      <c r="FG85" s="1462"/>
      <c r="FH85" s="1462"/>
      <c r="FI85" s="1462"/>
      <c r="FJ85" s="1462"/>
      <c r="FK85" s="1461"/>
      <c r="FL85" s="1462"/>
      <c r="FM85" s="1462"/>
      <c r="FN85" s="1462"/>
      <c r="FO85" s="1462"/>
      <c r="FP85" s="1461"/>
      <c r="FQ85" s="1462"/>
      <c r="FR85" s="1462"/>
      <c r="FS85" s="1462"/>
      <c r="FT85" s="1462"/>
      <c r="FU85" s="1461"/>
      <c r="FV85" s="1462"/>
      <c r="FW85" s="1462"/>
      <c r="FX85" s="1462"/>
      <c r="FY85" s="1462"/>
      <c r="FZ85" s="1461"/>
      <c r="GA85" s="1462"/>
      <c r="GB85" s="1462"/>
      <c r="GC85" s="1462"/>
      <c r="GD85" s="1462"/>
      <c r="GE85" s="1461"/>
      <c r="GF85" s="1462"/>
      <c r="GG85" s="1462"/>
      <c r="GH85" s="1462"/>
      <c r="GI85" s="1462"/>
      <c r="GJ85" s="1461"/>
    </row>
    <row r="86" spans="1:192" s="1031" customFormat="1" ht="12.75" customHeight="1" outlineLevel="1">
      <c r="A86" s="1027"/>
      <c r="B86" s="727" t="s">
        <v>448</v>
      </c>
      <c r="C86" s="1028"/>
      <c r="D86" s="1028"/>
      <c r="E86" s="1028"/>
      <c r="F86" s="1028"/>
      <c r="G86" s="1029"/>
      <c r="H86" s="1028"/>
      <c r="I86" s="1028"/>
      <c r="J86" s="1028"/>
      <c r="K86" s="1028"/>
      <c r="L86" s="1029"/>
      <c r="M86" s="1028"/>
      <c r="N86" s="1028"/>
      <c r="O86" s="1028"/>
      <c r="P86" s="1028"/>
      <c r="Q86" s="1029"/>
      <c r="R86" s="1030"/>
      <c r="S86" s="1030"/>
      <c r="T86" s="1030"/>
      <c r="U86" s="1030"/>
      <c r="V86" s="1029"/>
      <c r="W86" s="1030"/>
      <c r="X86" s="1030"/>
      <c r="Y86" s="1030"/>
      <c r="Z86" s="1030"/>
      <c r="AA86" s="1029"/>
      <c r="AB86" s="1030"/>
      <c r="AC86" s="1030"/>
      <c r="AD86" s="1030"/>
      <c r="AE86" s="1030"/>
      <c r="AF86" s="1029"/>
      <c r="AG86" s="1030"/>
      <c r="AH86" s="1030"/>
      <c r="AI86" s="1030"/>
      <c r="AJ86" s="1030"/>
      <c r="AK86" s="1029"/>
      <c r="AL86" s="1028"/>
      <c r="AM86" s="1028"/>
      <c r="AN86" s="1028"/>
      <c r="AO86" s="1028"/>
      <c r="AP86" s="1029"/>
      <c r="AQ86" s="1028"/>
      <c r="AR86" s="1028"/>
      <c r="AS86" s="1028"/>
      <c r="AT86" s="1028"/>
      <c r="AU86" s="1029"/>
      <c r="AV86" s="1028"/>
      <c r="AW86" s="1028"/>
      <c r="AX86" s="1028"/>
      <c r="AY86" s="1028"/>
      <c r="AZ86" s="1029"/>
      <c r="BA86" s="1028"/>
      <c r="BB86" s="1028"/>
      <c r="BC86" s="1028"/>
      <c r="BD86" s="1028"/>
      <c r="BE86" s="1029"/>
      <c r="BF86" s="1028"/>
      <c r="BG86" s="1028"/>
      <c r="BH86" s="1028"/>
      <c r="BI86" s="1028"/>
      <c r="BJ86" s="1029"/>
      <c r="BK86" s="1028"/>
      <c r="BL86" s="1028"/>
      <c r="BM86" s="1028"/>
      <c r="BN86" s="1028"/>
      <c r="BO86" s="1029"/>
      <c r="BP86" s="1028"/>
      <c r="BQ86" s="1028"/>
      <c r="BR86" s="1028"/>
      <c r="BS86" s="1028"/>
      <c r="BT86" s="1029"/>
      <c r="BU86" s="1028"/>
      <c r="BV86" s="1028"/>
      <c r="BW86" s="1028"/>
      <c r="BX86" s="1028"/>
      <c r="BY86" s="1029"/>
      <c r="BZ86" s="1028"/>
      <c r="CA86" s="1028"/>
      <c r="CB86" s="1028"/>
      <c r="CC86" s="1028"/>
      <c r="CD86" s="1029"/>
      <c r="CE86" s="1028"/>
      <c r="CF86" s="1028"/>
      <c r="CG86" s="1028"/>
      <c r="CH86" s="1028"/>
      <c r="CI86" s="1029"/>
      <c r="CJ86" s="1028"/>
      <c r="CK86" s="1028"/>
      <c r="CL86" s="1028"/>
      <c r="CM86" s="1028"/>
      <c r="CN86" s="1029"/>
      <c r="CO86" s="1028"/>
      <c r="CP86" s="1028"/>
      <c r="CQ86" s="1028"/>
      <c r="CR86" s="1028"/>
      <c r="CS86" s="1029"/>
      <c r="CT86" s="1028"/>
      <c r="CU86" s="1028"/>
      <c r="CV86" s="1028"/>
      <c r="CW86" s="1028"/>
      <c r="CX86" s="1461"/>
      <c r="CY86" s="1462"/>
      <c r="CZ86" s="1462"/>
      <c r="DA86" s="1462"/>
      <c r="DB86" s="1462"/>
      <c r="DC86" s="1461"/>
      <c r="DD86" s="1462"/>
      <c r="DE86" s="1462"/>
      <c r="DF86" s="1462"/>
      <c r="DG86" s="1462"/>
      <c r="DH86" s="1461"/>
      <c r="DI86" s="1438"/>
      <c r="DJ86" s="1438"/>
      <c r="DK86" s="1438"/>
      <c r="DL86" s="1438"/>
      <c r="DM86" s="1175"/>
      <c r="DN86" s="1438">
        <f t="shared" ref="DN86:ET86" si="74">DN83-DI83</f>
      </c>
      <c r="DO86" s="1438">
        <f t="shared" si="74"/>
      </c>
      <c r="DP86" s="1438">
        <f t="shared" si="74"/>
      </c>
      <c r="DQ86" s="1438">
        <f t="shared" si="74"/>
      </c>
      <c r="DR86" s="1175">
        <f t="shared" si="74"/>
      </c>
      <c r="DS86" s="1438">
        <f t="shared" si="74"/>
      </c>
      <c r="DT86" s="1438">
        <f t="shared" si="74"/>
      </c>
      <c r="DU86" s="1438">
        <f t="shared" si="74"/>
      </c>
      <c r="DV86" s="1438">
        <f t="shared" si="74"/>
      </c>
      <c r="DW86" s="1175">
        <f t="shared" si="74"/>
      </c>
      <c r="DX86" s="1438">
        <f t="shared" si="74"/>
      </c>
      <c r="DY86" s="1438">
        <f t="shared" si="74"/>
      </c>
      <c r="DZ86" s="1438">
        <f t="shared" si="74"/>
      </c>
      <c r="EA86" s="1438">
        <f t="shared" si="74"/>
      </c>
      <c r="EB86" s="1175">
        <f t="shared" si="74"/>
      </c>
      <c r="EC86" s="1438">
        <f t="shared" si="74"/>
      </c>
      <c r="ED86" s="1438">
        <f t="shared" si="74"/>
      </c>
      <c r="EE86" s="1438">
        <f t="shared" si="74"/>
      </c>
      <c r="EF86" s="1438">
        <f t="shared" si="74"/>
      </c>
      <c r="EG86" s="1175">
        <f t="shared" si="74"/>
      </c>
      <c r="EH86" s="1438">
        <f t="shared" si="74"/>
      </c>
      <c r="EI86" s="1438">
        <f t="shared" si="74"/>
      </c>
      <c r="EJ86" s="1438">
        <f t="shared" si="74"/>
      </c>
      <c r="EK86" s="1438">
        <f t="shared" si="74"/>
      </c>
      <c r="EL86" s="1175">
        <f t="shared" si="74"/>
      </c>
      <c r="EM86" s="1438">
        <f t="shared" si="74"/>
      </c>
      <c r="EN86" s="1438">
        <f t="shared" si="74"/>
      </c>
      <c r="EO86" s="1438">
        <f t="shared" si="74"/>
      </c>
      <c r="EP86" s="1438">
        <f t="shared" si="74"/>
      </c>
      <c r="EQ86" s="1175">
        <f t="shared" si="74"/>
      </c>
      <c r="ER86" s="1438">
        <f t="shared" si="74"/>
      </c>
      <c r="ES86" s="1438">
        <f t="shared" si="74"/>
      </c>
      <c r="ET86" s="1438">
        <f t="shared" si="74"/>
      </c>
      <c r="EU86" s="1438">
        <f>EU83-EP83</f>
      </c>
      <c r="EV86" s="1175">
        <f>EV83-EQ83</f>
      </c>
      <c r="EW86" s="1438">
        <f t="shared" ref="EW86:EY86" si="75">EW83-ER83</f>
      </c>
      <c r="EX86" s="1438">
        <f t="shared" si="75"/>
      </c>
      <c r="EY86" s="1438">
        <f t="shared" si="75"/>
      </c>
      <c r="EZ86" s="1438">
        <f>EZ83-EU83</f>
      </c>
      <c r="FA86" s="1175">
        <f>FA83-EV83</f>
      </c>
      <c r="FB86" s="1462"/>
      <c r="FC86" s="1462"/>
      <c r="FD86" s="1462"/>
      <c r="FE86" s="1462"/>
      <c r="FF86" s="1461"/>
      <c r="FG86" s="1462"/>
      <c r="FH86" s="1462"/>
      <c r="FI86" s="1462"/>
      <c r="FJ86" s="1462"/>
      <c r="FK86" s="1461"/>
      <c r="FL86" s="1462"/>
      <c r="FM86" s="1462"/>
      <c r="FN86" s="1462"/>
      <c r="FO86" s="1462"/>
      <c r="FP86" s="1461"/>
      <c r="FQ86" s="1462"/>
      <c r="FR86" s="1462"/>
      <c r="FS86" s="1462"/>
      <c r="FT86" s="1462"/>
      <c r="FU86" s="1461"/>
      <c r="FV86" s="1462"/>
      <c r="FW86" s="1462"/>
      <c r="FX86" s="1462"/>
      <c r="FY86" s="1462"/>
      <c r="FZ86" s="1461"/>
      <c r="GA86" s="1462"/>
      <c r="GB86" s="1462"/>
      <c r="GC86" s="1462"/>
      <c r="GD86" s="1462"/>
      <c r="GE86" s="1461"/>
      <c r="GF86" s="1462"/>
      <c r="GG86" s="1462"/>
      <c r="GH86" s="1462"/>
      <c r="GI86" s="1462"/>
      <c r="GJ86" s="1461"/>
    </row>
    <row r="87" spans="1:192" s="1031" customFormat="1" ht="12.75" customHeight="1" outlineLevel="1">
      <c r="A87" s="1027"/>
      <c r="B87" s="727" t="s">
        <v>449</v>
      </c>
      <c r="C87" s="1028"/>
      <c r="D87" s="1028"/>
      <c r="E87" s="1028"/>
      <c r="F87" s="1028"/>
      <c r="G87" s="1029"/>
      <c r="H87" s="1028"/>
      <c r="I87" s="1028"/>
      <c r="J87" s="1028"/>
      <c r="K87" s="1028"/>
      <c r="L87" s="1029"/>
      <c r="M87" s="1028"/>
      <c r="N87" s="1028"/>
      <c r="O87" s="1028"/>
      <c r="P87" s="1028"/>
      <c r="Q87" s="1029"/>
      <c r="R87" s="1030"/>
      <c r="S87" s="1030"/>
      <c r="T87" s="1030"/>
      <c r="U87" s="1030"/>
      <c r="V87" s="1029"/>
      <c r="W87" s="1030"/>
      <c r="X87" s="1030"/>
      <c r="Y87" s="1030"/>
      <c r="Z87" s="1030"/>
      <c r="AA87" s="1029"/>
      <c r="AB87" s="1030"/>
      <c r="AC87" s="1030"/>
      <c r="AD87" s="1030"/>
      <c r="AE87" s="1030"/>
      <c r="AF87" s="1029"/>
      <c r="AG87" s="1030"/>
      <c r="AH87" s="1030"/>
      <c r="AI87" s="1030"/>
      <c r="AJ87" s="1030"/>
      <c r="AK87" s="1029"/>
      <c r="AL87" s="1028"/>
      <c r="AM87" s="1028"/>
      <c r="AN87" s="1028"/>
      <c r="AO87" s="1028"/>
      <c r="AP87" s="1029"/>
      <c r="AQ87" s="1028"/>
      <c r="AR87" s="1028"/>
      <c r="AS87" s="1028"/>
      <c r="AT87" s="1028"/>
      <c r="AU87" s="1029"/>
      <c r="AV87" s="1028"/>
      <c r="AW87" s="1028"/>
      <c r="AX87" s="1028"/>
      <c r="AY87" s="1028"/>
      <c r="AZ87" s="1029"/>
      <c r="BA87" s="1028"/>
      <c r="BB87" s="1028"/>
      <c r="BC87" s="1028"/>
      <c r="BD87" s="1028"/>
      <c r="BE87" s="1029"/>
      <c r="BF87" s="1028"/>
      <c r="BG87" s="1028"/>
      <c r="BH87" s="1028"/>
      <c r="BI87" s="1028"/>
      <c r="BJ87" s="1029"/>
      <c r="BK87" s="1028"/>
      <c r="BL87" s="1028"/>
      <c r="BM87" s="1028"/>
      <c r="BN87" s="1028"/>
      <c r="BO87" s="1029"/>
      <c r="BP87" s="1028"/>
      <c r="BQ87" s="1028"/>
      <c r="BR87" s="1028"/>
      <c r="BS87" s="1028"/>
      <c r="BT87" s="1029"/>
      <c r="BU87" s="1028"/>
      <c r="BV87" s="1028"/>
      <c r="BW87" s="1028"/>
      <c r="BX87" s="1028"/>
      <c r="BY87" s="1029"/>
      <c r="BZ87" s="1028"/>
      <c r="CA87" s="1028"/>
      <c r="CB87" s="1028"/>
      <c r="CC87" s="1028"/>
      <c r="CD87" s="1029"/>
      <c r="CE87" s="1028"/>
      <c r="CF87" s="1028"/>
      <c r="CG87" s="1028"/>
      <c r="CH87" s="1028"/>
      <c r="CI87" s="1029"/>
      <c r="CJ87" s="1028"/>
      <c r="CK87" s="1028"/>
      <c r="CL87" s="1028"/>
      <c r="CM87" s="1028"/>
      <c r="CN87" s="1029"/>
      <c r="CO87" s="1028"/>
      <c r="CP87" s="1028"/>
      <c r="CQ87" s="1028"/>
      <c r="CR87" s="1028"/>
      <c r="CS87" s="1029"/>
      <c r="CT87" s="1028"/>
      <c r="CU87" s="1028"/>
      <c r="CV87" s="1028"/>
      <c r="CW87" s="1028"/>
      <c r="CX87" s="1461"/>
      <c r="CY87" s="1462"/>
      <c r="CZ87" s="1462"/>
      <c r="DA87" s="1462"/>
      <c r="DB87" s="1462"/>
      <c r="DC87" s="1461"/>
      <c r="DD87" s="1462"/>
      <c r="DE87" s="1438"/>
      <c r="DF87" s="1438"/>
      <c r="DG87" s="1438"/>
      <c r="DH87" s="1461"/>
      <c r="DI87" s="1438"/>
      <c r="DJ87" s="1438"/>
      <c r="DK87" s="1438"/>
      <c r="DL87" s="1438"/>
      <c r="DM87" s="1175"/>
      <c r="DN87" s="1438">
        <f>DN83-DL83</f>
      </c>
      <c r="DO87" s="1438">
        <f>DO83-DN83</f>
      </c>
      <c r="DP87" s="1438">
        <f>DP83-DO83</f>
      </c>
      <c r="DQ87" s="1438">
        <f>DQ83-DP83</f>
      </c>
      <c r="DR87" s="1175"/>
      <c r="DS87" s="1438">
        <f>DS83-DQ83</f>
      </c>
      <c r="DT87" s="1438">
        <f>DT83-DS83</f>
      </c>
      <c r="DU87" s="1438">
        <f>DU83-DT83</f>
      </c>
      <c r="DV87" s="1438">
        <f>DV83-DU83</f>
      </c>
      <c r="DW87" s="1175"/>
      <c r="DX87" s="1438">
        <f>DX83-DV83</f>
      </c>
      <c r="DY87" s="1438">
        <f>DY83-DX83</f>
      </c>
      <c r="DZ87" s="1438">
        <f>DZ83-DY83</f>
      </c>
      <c r="EA87" s="1438">
        <f>EA83-DZ83</f>
      </c>
      <c r="EB87" s="1175"/>
      <c r="EC87" s="1438">
        <f>EC83-EA83</f>
      </c>
      <c r="ED87" s="1438">
        <f>ED83-EC83</f>
      </c>
      <c r="EE87" s="1438">
        <f>EE83-ED83</f>
      </c>
      <c r="EF87" s="1438">
        <f>EF83-EE83</f>
      </c>
      <c r="EG87" s="1175"/>
      <c r="EH87" s="1438">
        <f>EH83-EF83</f>
      </c>
      <c r="EI87" s="1438">
        <f>EI83-EH83</f>
      </c>
      <c r="EJ87" s="1438">
        <f>EJ83-EI83</f>
      </c>
      <c r="EK87" s="1438">
        <f>EK83-EJ83</f>
      </c>
      <c r="EL87" s="1175"/>
      <c r="EM87" s="1438">
        <f>EM83-EK83</f>
      </c>
      <c r="EN87" s="1438">
        <f>EN83-EM83</f>
      </c>
      <c r="EO87" s="1438">
        <f>EO83-EN83</f>
      </c>
      <c r="EP87" s="1438">
        <f>EP83-EO83</f>
      </c>
      <c r="EQ87" s="1175"/>
      <c r="ER87" s="1438">
        <f>ER83-EP83</f>
      </c>
      <c r="ES87" s="1438">
        <f>ES83-ER83</f>
      </c>
      <c r="ET87" s="1438">
        <f>ET83-ES83</f>
      </c>
      <c r="EU87" s="1438">
        <f>EU83-ET83</f>
      </c>
      <c r="EV87" s="1175"/>
      <c r="EW87" s="1438">
        <f>EW83-EU83</f>
      </c>
      <c r="EX87" s="1438">
        <f>EX83-EW83</f>
      </c>
      <c r="EY87" s="1438">
        <f>EY83-EX83</f>
      </c>
      <c r="EZ87" s="1438">
        <f>EZ83-EY83</f>
      </c>
      <c r="FA87" s="1175"/>
      <c r="FB87" s="1462"/>
      <c r="FC87" s="1462"/>
      <c r="FD87" s="1462"/>
      <c r="FE87" s="1462"/>
      <c r="FF87" s="1461"/>
      <c r="FG87" s="1462"/>
      <c r="FH87" s="1462"/>
      <c r="FI87" s="1462"/>
      <c r="FJ87" s="1462"/>
      <c r="FK87" s="1461"/>
      <c r="FL87" s="1462"/>
      <c r="FM87" s="1462"/>
      <c r="FN87" s="1462"/>
      <c r="FO87" s="1462"/>
      <c r="FP87" s="1461"/>
      <c r="FQ87" s="1462"/>
      <c r="FR87" s="1462"/>
      <c r="FS87" s="1462"/>
      <c r="FT87" s="1462"/>
      <c r="FU87" s="1461"/>
      <c r="FV87" s="1462"/>
      <c r="FW87" s="1462"/>
      <c r="FX87" s="1462"/>
      <c r="FY87" s="1462"/>
      <c r="FZ87" s="1461"/>
      <c r="GA87" s="1462"/>
      <c r="GB87" s="1462"/>
      <c r="GC87" s="1462"/>
      <c r="GD87" s="1462"/>
      <c r="GE87" s="1461"/>
      <c r="GF87" s="1462"/>
      <c r="GG87" s="1462"/>
      <c r="GH87" s="1462"/>
      <c r="GI87" s="1462"/>
      <c r="GJ87" s="1461"/>
    </row>
    <row r="88" spans="1:192" s="1154" customFormat="1" ht="12.75" customHeight="1" outlineLevel="1">
      <c r="A88" s="1027"/>
      <c r="B88" s="1150" t="s">
        <v>443</v>
      </c>
      <c r="C88" s="1151"/>
      <c r="D88" s="1151"/>
      <c r="E88" s="1151"/>
      <c r="F88" s="1151"/>
      <c r="G88" s="1152"/>
      <c r="H88" s="1151"/>
      <c r="I88" s="1151"/>
      <c r="J88" s="1151"/>
      <c r="K88" s="1151"/>
      <c r="L88" s="1152"/>
      <c r="M88" s="1153"/>
      <c r="N88" s="1153"/>
      <c r="O88" s="1153"/>
      <c r="P88" s="1153"/>
      <c r="Q88" s="1152"/>
      <c r="R88" s="1153"/>
      <c r="S88" s="1153"/>
      <c r="T88" s="1153"/>
      <c r="U88" s="1153"/>
      <c r="V88" s="1152"/>
      <c r="W88" s="1153"/>
      <c r="X88" s="1153"/>
      <c r="Y88" s="1153"/>
      <c r="Z88" s="1153"/>
      <c r="AA88" s="1152"/>
      <c r="AB88" s="1153"/>
      <c r="AC88" s="1153"/>
      <c r="AD88" s="1153"/>
      <c r="AE88" s="1153"/>
      <c r="AF88" s="1152"/>
      <c r="AG88" s="1153"/>
      <c r="AH88" s="1153"/>
      <c r="AI88" s="1153"/>
      <c r="AJ88" s="1153"/>
      <c r="AK88" s="1152"/>
      <c r="AL88" s="1151"/>
      <c r="AM88" s="1151"/>
      <c r="AN88" s="1151"/>
      <c r="AO88" s="1151"/>
      <c r="AP88" s="1152"/>
      <c r="AQ88" s="1151"/>
      <c r="AR88" s="1151"/>
      <c r="AS88" s="1151"/>
      <c r="AT88" s="1151"/>
      <c r="AU88" s="1152"/>
      <c r="AV88" s="1151"/>
      <c r="AW88" s="1151"/>
      <c r="AX88" s="1151"/>
      <c r="AY88" s="1151"/>
      <c r="AZ88" s="1152"/>
      <c r="BA88" s="1151"/>
      <c r="BB88" s="1151"/>
      <c r="BC88" s="1151"/>
      <c r="BD88" s="1151"/>
      <c r="BE88" s="1152"/>
      <c r="BF88" s="1151"/>
      <c r="BG88" s="1151"/>
      <c r="BH88" s="1151"/>
      <c r="BI88" s="1151"/>
      <c r="BJ88" s="1152"/>
      <c r="BK88" s="1151"/>
      <c r="BL88" s="1151"/>
      <c r="BM88" s="1151"/>
      <c r="BN88" s="1151"/>
      <c r="BO88" s="1152"/>
      <c r="BP88" s="1151"/>
      <c r="BQ88" s="1151"/>
      <c r="BR88" s="1151"/>
      <c r="BS88" s="1151"/>
      <c r="BT88" s="1152"/>
      <c r="BU88" s="1151"/>
      <c r="BV88" s="1151"/>
      <c r="BW88" s="1151"/>
      <c r="BX88" s="1151"/>
      <c r="BY88" s="1152"/>
      <c r="BZ88" s="1151"/>
      <c r="CA88" s="1151"/>
      <c r="CB88" s="1151"/>
      <c r="CC88" s="1151"/>
      <c r="CD88" s="1152"/>
      <c r="CE88" s="1151"/>
      <c r="CF88" s="1151"/>
      <c r="CG88" s="1151"/>
      <c r="CH88" s="1151"/>
      <c r="CI88" s="1152"/>
      <c r="CJ88" s="1151"/>
      <c r="CK88" s="1151"/>
      <c r="CL88" s="1151"/>
      <c r="CM88" s="1151"/>
      <c r="CN88" s="1152"/>
      <c r="CO88" s="1151"/>
      <c r="CP88" s="1151"/>
      <c r="CQ88" s="1151"/>
      <c r="CR88" s="1151"/>
      <c r="CS88" s="1152"/>
      <c r="CT88" s="1151"/>
      <c r="CU88" s="1151"/>
      <c r="CV88" s="1151"/>
      <c r="CW88" s="1151"/>
      <c r="CX88" s="1012"/>
      <c r="CY88" s="801"/>
      <c r="CZ88" s="801"/>
      <c r="DA88" s="801"/>
      <c r="DB88" s="801"/>
      <c r="DC88" s="1012"/>
      <c r="DD88" s="801"/>
      <c r="DE88" s="801"/>
      <c r="DF88" s="801"/>
      <c r="DG88" s="801"/>
      <c r="DH88" s="1012"/>
      <c r="DI88" s="801"/>
      <c r="DJ88" s="801"/>
      <c r="DK88" s="801"/>
      <c r="DL88" s="801"/>
      <c r="DM88" s="1012"/>
      <c r="DN88" s="1449">
        <f t="shared" ref="DN88:ET88" si="76">DN83/DN24</f>
      </c>
      <c r="DO88" s="1449">
        <f t="shared" si="76"/>
      </c>
      <c r="DP88" s="1449">
        <f t="shared" si="76"/>
      </c>
      <c r="DQ88" s="1449">
        <f t="shared" si="76"/>
      </c>
      <c r="DR88" s="1463">
        <f t="shared" si="76"/>
      </c>
      <c r="DS88" s="1449">
        <f t="shared" si="76"/>
      </c>
      <c r="DT88" s="1449">
        <f t="shared" si="76"/>
      </c>
      <c r="DU88" s="1449">
        <f t="shared" si="76"/>
      </c>
      <c r="DV88" s="1449">
        <f t="shared" si="76"/>
      </c>
      <c r="DW88" s="1463">
        <f t="shared" si="76"/>
      </c>
      <c r="DX88" s="1449">
        <f t="shared" si="76"/>
      </c>
      <c r="DY88" s="1449">
        <f t="shared" si="76"/>
      </c>
      <c r="DZ88" s="1449">
        <f t="shared" si="76"/>
      </c>
      <c r="EA88" s="1449">
        <f t="shared" si="76"/>
      </c>
      <c r="EB88" s="1463">
        <f t="shared" si="76"/>
      </c>
      <c r="EC88" s="1449">
        <f t="shared" si="76"/>
      </c>
      <c r="ED88" s="1449">
        <f t="shared" si="76"/>
      </c>
      <c r="EE88" s="1449">
        <f t="shared" si="76"/>
      </c>
      <c r="EF88" s="1449">
        <f t="shared" si="76"/>
      </c>
      <c r="EG88" s="1463">
        <f t="shared" si="76"/>
      </c>
      <c r="EH88" s="1449">
        <f t="shared" si="76"/>
      </c>
      <c r="EI88" s="1449">
        <f t="shared" si="76"/>
      </c>
      <c r="EJ88" s="1449">
        <f t="shared" si="76"/>
      </c>
      <c r="EK88" s="1449">
        <f t="shared" si="76"/>
      </c>
      <c r="EL88" s="772">
        <f t="shared" si="76"/>
      </c>
      <c r="EM88" s="1449">
        <f t="shared" si="76"/>
      </c>
      <c r="EN88" s="1449">
        <f t="shared" si="76"/>
      </c>
      <c r="EO88" s="1449">
        <f t="shared" si="76"/>
      </c>
      <c r="EP88" s="1449">
        <f t="shared" si="76"/>
      </c>
      <c r="EQ88" s="772">
        <f t="shared" si="76"/>
      </c>
      <c r="ER88" s="1449">
        <f t="shared" si="76"/>
      </c>
      <c r="ES88" s="1449">
        <f t="shared" si="76"/>
      </c>
      <c r="ET88" s="1449">
        <f t="shared" si="76"/>
      </c>
      <c r="EU88" s="1449">
        <f>EU83/EU24</f>
      </c>
      <c r="EV88" s="772">
        <f>EV83/EV24</f>
      </c>
      <c r="EW88" s="1449">
        <f t="shared" ref="EW88:EY88" si="77">EW83/EW24</f>
      </c>
      <c r="EX88" s="1449">
        <f t="shared" si="77"/>
      </c>
      <c r="EY88" s="1449">
        <f t="shared" si="77"/>
      </c>
      <c r="EZ88" s="1449">
        <f>EZ83/EZ24</f>
      </c>
      <c r="FA88" s="772">
        <f>FA83/FA24</f>
      </c>
      <c r="FB88" s="1025"/>
      <c r="FC88" s="1025"/>
      <c r="FD88" s="1025"/>
      <c r="FE88" s="1025"/>
      <c r="FF88" s="1012"/>
      <c r="FG88" s="1025"/>
      <c r="FH88" s="1025"/>
      <c r="FI88" s="1025"/>
      <c r="FJ88" s="1025"/>
      <c r="FK88" s="1012"/>
      <c r="FL88" s="1025"/>
      <c r="FM88" s="1025"/>
      <c r="FN88" s="1025"/>
      <c r="FO88" s="1025"/>
      <c r="FP88" s="1012"/>
      <c r="FQ88" s="1025"/>
      <c r="FR88" s="1025"/>
      <c r="FS88" s="1025"/>
      <c r="FT88" s="1025"/>
      <c r="FU88" s="1012"/>
      <c r="FV88" s="1025"/>
      <c r="FW88" s="1025"/>
      <c r="FX88" s="1025"/>
      <c r="FY88" s="1025"/>
      <c r="FZ88" s="1012"/>
      <c r="GA88" s="1025"/>
      <c r="GB88" s="1025"/>
      <c r="GC88" s="1025"/>
      <c r="GD88" s="1025"/>
      <c r="GE88" s="1012"/>
      <c r="GF88" s="1025"/>
      <c r="GG88" s="1025"/>
      <c r="GH88" s="1025"/>
      <c r="GI88" s="1025"/>
      <c r="GJ88" s="1012"/>
    </row>
    <row r="89" spans="1:192" s="1154" customFormat="1" ht="12.75" customHeight="1" outlineLevel="1">
      <c r="A89" s="1027"/>
      <c r="B89" s="1150" t="s">
        <v>450</v>
      </c>
      <c r="C89" s="1151"/>
      <c r="D89" s="1151"/>
      <c r="E89" s="1151"/>
      <c r="F89" s="1151"/>
      <c r="G89" s="1152"/>
      <c r="H89" s="1151"/>
      <c r="I89" s="1151"/>
      <c r="J89" s="1151"/>
      <c r="K89" s="1151"/>
      <c r="L89" s="1152"/>
      <c r="M89" s="1153"/>
      <c r="N89" s="1153"/>
      <c r="O89" s="1153"/>
      <c r="P89" s="1153"/>
      <c r="Q89" s="1152"/>
      <c r="R89" s="1153"/>
      <c r="S89" s="1153"/>
      <c r="T89" s="1153"/>
      <c r="U89" s="1153"/>
      <c r="V89" s="1152"/>
      <c r="W89" s="1153"/>
      <c r="X89" s="1153"/>
      <c r="Y89" s="1153"/>
      <c r="Z89" s="1153"/>
      <c r="AA89" s="1152"/>
      <c r="AB89" s="1153"/>
      <c r="AC89" s="1153"/>
      <c r="AD89" s="1153"/>
      <c r="AE89" s="1153"/>
      <c r="AF89" s="1152"/>
      <c r="AG89" s="1153"/>
      <c r="AH89" s="1153"/>
      <c r="AI89" s="1153"/>
      <c r="AJ89" s="1153"/>
      <c r="AK89" s="1152"/>
      <c r="AL89" s="1151"/>
      <c r="AM89" s="1151"/>
      <c r="AN89" s="1151"/>
      <c r="AO89" s="1151"/>
      <c r="AP89" s="1152"/>
      <c r="AQ89" s="1151"/>
      <c r="AR89" s="1151"/>
      <c r="AS89" s="1151"/>
      <c r="AT89" s="1151"/>
      <c r="AU89" s="1152"/>
      <c r="AV89" s="1151"/>
      <c r="AW89" s="1151"/>
      <c r="AX89" s="1151"/>
      <c r="AY89" s="1151"/>
      <c r="AZ89" s="1152"/>
      <c r="BA89" s="1151"/>
      <c r="BB89" s="1151"/>
      <c r="BC89" s="1151"/>
      <c r="BD89" s="1151"/>
      <c r="BE89" s="1152"/>
      <c r="BF89" s="1151"/>
      <c r="BG89" s="1151"/>
      <c r="BH89" s="1151"/>
      <c r="BI89" s="1151"/>
      <c r="BJ89" s="1152"/>
      <c r="BK89" s="1151"/>
      <c r="BL89" s="1151"/>
      <c r="BM89" s="1151"/>
      <c r="BN89" s="1151"/>
      <c r="BO89" s="1152"/>
      <c r="BP89" s="1151"/>
      <c r="BQ89" s="1151"/>
      <c r="BR89" s="1151"/>
      <c r="BS89" s="1151"/>
      <c r="BT89" s="1152"/>
      <c r="BU89" s="1151"/>
      <c r="BV89" s="1151"/>
      <c r="BW89" s="1151"/>
      <c r="BX89" s="1151"/>
      <c r="BY89" s="1152"/>
      <c r="BZ89" s="1151"/>
      <c r="CA89" s="1151"/>
      <c r="CB89" s="1151"/>
      <c r="CC89" s="1151"/>
      <c r="CD89" s="1152"/>
      <c r="CE89" s="1151"/>
      <c r="CF89" s="1151"/>
      <c r="CG89" s="1151"/>
      <c r="CH89" s="1151"/>
      <c r="CI89" s="1152"/>
      <c r="CJ89" s="1151"/>
      <c r="CK89" s="1151"/>
      <c r="CL89" s="1151"/>
      <c r="CM89" s="1151"/>
      <c r="CN89" s="1152"/>
      <c r="CO89" s="1151"/>
      <c r="CP89" s="1151"/>
      <c r="CQ89" s="1151"/>
      <c r="CR89" s="1151"/>
      <c r="CS89" s="1152"/>
      <c r="CT89" s="1151"/>
      <c r="CU89" s="1151"/>
      <c r="CV89" s="1151"/>
      <c r="CW89" s="1151"/>
      <c r="CX89" s="1012"/>
      <c r="CY89" s="801"/>
      <c r="CZ89" s="801"/>
      <c r="DA89" s="801"/>
      <c r="DB89" s="801"/>
      <c r="DC89" s="1012"/>
      <c r="DD89" s="801"/>
      <c r="DE89" s="801"/>
      <c r="DF89" s="801"/>
      <c r="DG89" s="801"/>
      <c r="DH89" s="1012"/>
      <c r="DI89" s="801"/>
      <c r="DJ89" s="801"/>
      <c r="DK89" s="801"/>
      <c r="DL89" s="801"/>
      <c r="DM89" s="1012"/>
      <c r="DN89" s="1449">
        <f t="shared" ref="DN89:ER89" si="78">DN83/DN$77</f>
      </c>
      <c r="DO89" s="1449">
        <f t="shared" si="78"/>
      </c>
      <c r="DP89" s="1449">
        <f t="shared" si="78"/>
      </c>
      <c r="DQ89" s="1449">
        <f t="shared" si="78"/>
      </c>
      <c r="DR89" s="1463">
        <f t="shared" si="78"/>
      </c>
      <c r="DS89" s="1449">
        <f t="shared" si="78"/>
      </c>
      <c r="DT89" s="1449">
        <f t="shared" si="78"/>
      </c>
      <c r="DU89" s="1449">
        <f t="shared" si="78"/>
      </c>
      <c r="DV89" s="1449">
        <f t="shared" si="78"/>
      </c>
      <c r="DW89" s="1463">
        <f t="shared" si="78"/>
      </c>
      <c r="DX89" s="1449">
        <f t="shared" si="78"/>
      </c>
      <c r="DY89" s="1449">
        <f t="shared" si="78"/>
      </c>
      <c r="DZ89" s="1449">
        <f t="shared" si="78"/>
      </c>
      <c r="EA89" s="1449">
        <f t="shared" si="78"/>
      </c>
      <c r="EB89" s="1463">
        <f t="shared" si="78"/>
      </c>
      <c r="EC89" s="1449">
        <f t="shared" si="78"/>
      </c>
      <c r="ED89" s="1449">
        <f t="shared" si="78"/>
      </c>
      <c r="EE89" s="1449">
        <f t="shared" si="78"/>
      </c>
      <c r="EF89" s="1449">
        <f t="shared" si="78"/>
      </c>
      <c r="EG89" s="1463">
        <f t="shared" si="78"/>
      </c>
      <c r="EH89" s="1449">
        <f t="shared" si="78"/>
      </c>
      <c r="EI89" s="1449">
        <f t="shared" si="78"/>
      </c>
      <c r="EJ89" s="1449">
        <f t="shared" si="78"/>
      </c>
      <c r="EK89" s="1449">
        <f t="shared" si="78"/>
      </c>
      <c r="EL89" s="772">
        <f t="shared" si="78"/>
      </c>
      <c r="EM89" s="1449">
        <f t="shared" si="78"/>
      </c>
      <c r="EN89" s="1449">
        <f t="shared" si="78"/>
      </c>
      <c r="EO89" s="1449">
        <f t="shared" si="78"/>
      </c>
      <c r="EP89" s="1449">
        <f t="shared" si="78"/>
      </c>
      <c r="EQ89" s="772">
        <f t="shared" si="78"/>
      </c>
      <c r="ER89" s="1449">
        <f t="shared" si="78"/>
      </c>
      <c r="ES89" s="1449">
        <f>ES83/ES$77</f>
      </c>
      <c r="ET89" s="1449">
        <f>ET83/ET$77</f>
      </c>
      <c r="EU89" s="1449">
        <f>EU83/EU$77</f>
      </c>
      <c r="EV89" s="772">
        <f>EV83/EV$77</f>
      </c>
      <c r="EW89" s="1449">
        <f t="shared" ref="EW89" si="79">EW83/EW$77</f>
      </c>
      <c r="EX89" s="1449">
        <f>EX83/EX$77</f>
      </c>
      <c r="EY89" s="1449">
        <f>EY83/EY$77</f>
      </c>
      <c r="EZ89" s="1449">
        <f>EZ83/EZ$77</f>
      </c>
      <c r="FA89" s="772">
        <f>FA83/FA$77</f>
      </c>
      <c r="FB89" s="1025"/>
      <c r="FC89" s="1025"/>
      <c r="FD89" s="1025"/>
      <c r="FE89" s="1025"/>
      <c r="FF89" s="1012"/>
      <c r="FG89" s="1025"/>
      <c r="FH89" s="1025"/>
      <c r="FI89" s="1025"/>
      <c r="FJ89" s="1025"/>
      <c r="FK89" s="1012"/>
      <c r="FL89" s="1025"/>
      <c r="FM89" s="1025"/>
      <c r="FN89" s="1025"/>
      <c r="FO89" s="1025"/>
      <c r="FP89" s="1012"/>
      <c r="FQ89" s="1025"/>
      <c r="FR89" s="1025"/>
      <c r="FS89" s="1025"/>
      <c r="FT89" s="1025"/>
      <c r="FU89" s="1012"/>
      <c r="FV89" s="1025"/>
      <c r="FW89" s="1025"/>
      <c r="FX89" s="1025"/>
      <c r="FY89" s="1025"/>
      <c r="FZ89" s="1012"/>
      <c r="GA89" s="1025"/>
      <c r="GB89" s="1025"/>
      <c r="GC89" s="1025"/>
      <c r="GD89" s="1025"/>
      <c r="GE89" s="1012"/>
      <c r="GF89" s="1025"/>
      <c r="GG89" s="1025"/>
      <c r="GH89" s="1025"/>
      <c r="GI89" s="1025"/>
      <c r="GJ89" s="1012"/>
    </row>
    <row r="90" spans="1:192" s="701" customFormat="1" ht="12.75" customHeight="1" outlineLevel="1">
      <c r="A90" s="850"/>
      <c r="B90" s="754"/>
      <c r="C90" s="801"/>
      <c r="D90" s="801"/>
      <c r="E90" s="801"/>
      <c r="F90" s="801"/>
      <c r="G90" s="1012"/>
      <c r="H90" s="801"/>
      <c r="I90" s="801"/>
      <c r="J90" s="801"/>
      <c r="K90" s="801"/>
      <c r="L90" s="1012"/>
      <c r="M90" s="1024"/>
      <c r="N90" s="1024"/>
      <c r="O90" s="1024"/>
      <c r="P90" s="1024"/>
      <c r="Q90" s="1012"/>
      <c r="R90" s="1024"/>
      <c r="S90" s="1024"/>
      <c r="T90" s="1024"/>
      <c r="U90" s="1024"/>
      <c r="V90" s="1012"/>
      <c r="W90" s="1024"/>
      <c r="X90" s="1024"/>
      <c r="Y90" s="1024"/>
      <c r="Z90" s="1024"/>
      <c r="AA90" s="1012"/>
      <c r="AB90" s="1024"/>
      <c r="AC90" s="1024"/>
      <c r="AD90" s="1024"/>
      <c r="AE90" s="1024"/>
      <c r="AF90" s="1012"/>
      <c r="AG90" s="1024"/>
      <c r="AH90" s="1024"/>
      <c r="AI90" s="1024"/>
      <c r="AJ90" s="1024"/>
      <c r="AK90" s="1012"/>
      <c r="AL90" s="801"/>
      <c r="AM90" s="801"/>
      <c r="AN90" s="801"/>
      <c r="AO90" s="801"/>
      <c r="AP90" s="1012"/>
      <c r="AQ90" s="801"/>
      <c r="AR90" s="801"/>
      <c r="AS90" s="801"/>
      <c r="AT90" s="801"/>
      <c r="AU90" s="1012"/>
      <c r="AV90" s="801"/>
      <c r="AW90" s="801"/>
      <c r="AX90" s="801"/>
      <c r="AY90" s="801"/>
      <c r="AZ90" s="1012"/>
      <c r="BA90" s="801"/>
      <c r="BB90" s="801"/>
      <c r="BC90" s="801"/>
      <c r="BD90" s="801"/>
      <c r="BE90" s="1012"/>
      <c r="BF90" s="801"/>
      <c r="BG90" s="801"/>
      <c r="BH90" s="801"/>
      <c r="BI90" s="801"/>
      <c r="BJ90" s="1012"/>
      <c r="BK90" s="801"/>
      <c r="BL90" s="801"/>
      <c r="BM90" s="801"/>
      <c r="BN90" s="801"/>
      <c r="BO90" s="1012"/>
      <c r="BP90" s="801"/>
      <c r="BQ90" s="801"/>
      <c r="BR90" s="801"/>
      <c r="BS90" s="801"/>
      <c r="BT90" s="1012"/>
      <c r="BU90" s="801"/>
      <c r="BV90" s="801"/>
      <c r="BW90" s="801"/>
      <c r="BX90" s="801"/>
      <c r="BY90" s="1012"/>
      <c r="BZ90" s="801"/>
      <c r="CA90" s="801"/>
      <c r="CB90" s="801"/>
      <c r="CC90" s="801"/>
      <c r="CD90" s="1012"/>
      <c r="CE90" s="801"/>
      <c r="CF90" s="801"/>
      <c r="CG90" s="801"/>
      <c r="CH90" s="801"/>
      <c r="CI90" s="1012"/>
      <c r="CJ90" s="801"/>
      <c r="CK90" s="801"/>
      <c r="CL90" s="801"/>
      <c r="CM90" s="801"/>
      <c r="CN90" s="1012"/>
      <c r="CO90" s="801"/>
      <c r="CP90" s="801"/>
      <c r="CQ90" s="801"/>
      <c r="CR90" s="801"/>
      <c r="CS90" s="1012"/>
      <c r="CT90" s="801"/>
      <c r="CU90" s="801"/>
      <c r="CV90" s="801"/>
      <c r="CW90" s="801"/>
      <c r="CX90" s="1012"/>
      <c r="CY90" s="801"/>
      <c r="CZ90" s="801"/>
      <c r="DA90" s="801"/>
      <c r="DB90" s="801"/>
      <c r="DC90" s="1012"/>
      <c r="DD90" s="801"/>
      <c r="DE90" s="801"/>
      <c r="DF90" s="801"/>
      <c r="DG90" s="801"/>
      <c r="DH90" s="1012"/>
      <c r="DI90" s="801"/>
      <c r="DJ90" s="801"/>
      <c r="DK90" s="801"/>
      <c r="DL90" s="801"/>
      <c r="DM90" s="1012"/>
      <c r="DN90" s="801"/>
      <c r="DO90" s="801"/>
      <c r="DP90" s="801"/>
      <c r="DQ90" s="801"/>
      <c r="DR90" s="1012"/>
      <c r="DS90" s="801"/>
      <c r="DT90" s="801"/>
      <c r="DU90" s="801"/>
      <c r="DV90" s="801"/>
      <c r="DW90" s="1012"/>
      <c r="DX90" s="801"/>
      <c r="DY90" s="801"/>
      <c r="DZ90" s="801"/>
      <c r="EA90" s="801"/>
      <c r="EB90" s="1012"/>
      <c r="EC90" s="801"/>
      <c r="ED90" s="801"/>
      <c r="EE90" s="801"/>
      <c r="EF90" s="801"/>
      <c r="EG90" s="1012"/>
      <c r="EH90" s="801"/>
      <c r="EI90" s="801"/>
      <c r="EJ90" s="801"/>
      <c r="EK90" s="801"/>
      <c r="EL90" s="1015"/>
      <c r="EM90" s="801"/>
      <c r="EN90" s="801"/>
      <c r="EO90" s="801"/>
      <c r="EP90" s="801"/>
      <c r="EQ90" s="1015"/>
      <c r="ER90" s="801"/>
      <c r="ES90" s="801"/>
      <c r="ET90" s="801"/>
      <c r="EU90" s="801"/>
      <c r="EV90" s="1015"/>
      <c r="EW90" s="801"/>
      <c r="EX90" s="801"/>
      <c r="EY90" s="801"/>
      <c r="EZ90" s="801"/>
      <c r="FA90" s="1015"/>
      <c r="FB90" s="1025"/>
      <c r="FC90" s="1025"/>
      <c r="FD90" s="1025"/>
      <c r="FE90" s="1025"/>
      <c r="FF90" s="1012"/>
      <c r="FG90" s="1025"/>
      <c r="FH90" s="1025"/>
      <c r="FI90" s="1025"/>
      <c r="FJ90" s="1025"/>
      <c r="FK90" s="1012"/>
      <c r="FL90" s="1025"/>
      <c r="FM90" s="1025"/>
      <c r="FN90" s="1025"/>
      <c r="FO90" s="1025"/>
      <c r="FP90" s="1012"/>
      <c r="FQ90" s="1025"/>
      <c r="FR90" s="1025"/>
      <c r="FS90" s="1025"/>
      <c r="FT90" s="1025"/>
      <c r="FU90" s="1012"/>
      <c r="FV90" s="1025"/>
      <c r="FW90" s="1025"/>
      <c r="FX90" s="1025"/>
      <c r="FY90" s="1025"/>
      <c r="FZ90" s="1012"/>
      <c r="GA90" s="1025"/>
      <c r="GB90" s="1025"/>
      <c r="GC90" s="1025"/>
      <c r="GD90" s="1025"/>
      <c r="GE90" s="1012"/>
      <c r="GF90" s="1025"/>
      <c r="GG90" s="1025"/>
      <c r="GH90" s="1025"/>
      <c r="GI90" s="1025"/>
      <c r="GJ90" s="1012"/>
    </row>
    <row r="91" spans="1:192" s="461" customFormat="1" ht="12.75" customHeight="1" outlineLevel="1">
      <c r="A91" s="68"/>
      <c r="B91" s="975" t="s">
        <v>451</v>
      </c>
      <c r="C91" s="624"/>
      <c r="D91" s="624"/>
      <c r="E91" s="624"/>
      <c r="F91" s="624"/>
      <c r="G91" s="622"/>
      <c r="H91" s="624"/>
      <c r="I91" s="624"/>
      <c r="J91" s="624"/>
      <c r="K91" s="624"/>
      <c r="L91" s="622"/>
      <c r="M91" s="624"/>
      <c r="N91" s="624"/>
      <c r="O91" s="624"/>
      <c r="P91" s="624"/>
      <c r="Q91" s="622"/>
      <c r="R91" s="981"/>
      <c r="S91" s="981"/>
      <c r="T91" s="981"/>
      <c r="U91" s="981"/>
      <c r="V91" s="622"/>
      <c r="W91" s="981"/>
      <c r="X91" s="981"/>
      <c r="Y91" s="981"/>
      <c r="Z91" s="981"/>
      <c r="AA91" s="622"/>
      <c r="AB91" s="981"/>
      <c r="AC91" s="981"/>
      <c r="AD91" s="981"/>
      <c r="AE91" s="981"/>
      <c r="AF91" s="622"/>
      <c r="AG91" s="981"/>
      <c r="AH91" s="981"/>
      <c r="AI91" s="981"/>
      <c r="AJ91" s="981"/>
      <c r="AK91" s="622"/>
      <c r="AL91" s="624"/>
      <c r="AM91" s="624"/>
      <c r="AN91" s="624"/>
      <c r="AO91" s="624"/>
      <c r="AP91" s="622"/>
      <c r="AQ91" s="624"/>
      <c r="AR91" s="624"/>
      <c r="AS91" s="624"/>
      <c r="AT91" s="624"/>
      <c r="AU91" s="622"/>
      <c r="AV91" s="624"/>
      <c r="AW91" s="624"/>
      <c r="AX91" s="624"/>
      <c r="AY91" s="624"/>
      <c r="AZ91" s="622"/>
      <c r="BA91" s="624"/>
      <c r="BB91" s="624"/>
      <c r="BC91" s="624"/>
      <c r="BD91" s="624"/>
      <c r="BE91" s="622"/>
      <c r="BF91" s="624"/>
      <c r="BG91" s="624"/>
      <c r="BH91" s="624"/>
      <c r="BI91" s="624"/>
      <c r="BJ91" s="622"/>
      <c r="BK91" s="624"/>
      <c r="BL91" s="624"/>
      <c r="BM91" s="624"/>
      <c r="BN91" s="624"/>
      <c r="BO91" s="622"/>
      <c r="BP91" s="624"/>
      <c r="BQ91" s="624"/>
      <c r="BR91" s="624"/>
      <c r="BS91" s="624"/>
      <c r="BT91" s="622"/>
      <c r="BU91" s="624"/>
      <c r="BV91" s="624"/>
      <c r="BW91" s="624"/>
      <c r="BX91" s="624"/>
      <c r="BY91" s="622"/>
      <c r="BZ91" s="624"/>
      <c r="CA91" s="624"/>
      <c r="CB91" s="624"/>
      <c r="CC91" s="624"/>
      <c r="CD91" s="622"/>
      <c r="CE91" s="624"/>
      <c r="CF91" s="624"/>
      <c r="CG91" s="624"/>
      <c r="CH91" s="624"/>
      <c r="CI91" s="622"/>
      <c r="CJ91" s="624"/>
      <c r="CK91" s="624"/>
      <c r="CL91" s="624"/>
      <c r="CM91" s="624"/>
      <c r="CN91" s="622"/>
      <c r="CO91" s="624"/>
      <c r="CP91" s="624"/>
      <c r="CQ91" s="624"/>
      <c r="CR91" s="624"/>
      <c r="CS91" s="622"/>
      <c r="CT91" s="624"/>
      <c r="CU91" s="624"/>
      <c r="CV91" s="624"/>
      <c r="CW91" s="624"/>
      <c r="CX91" s="622"/>
      <c r="CY91" s="624"/>
      <c r="CZ91" s="624"/>
      <c r="DA91" s="624"/>
      <c r="DB91" s="624"/>
      <c r="DC91" s="622"/>
      <c r="DD91" s="619"/>
      <c r="DE91" s="619"/>
      <c r="DF91" s="619"/>
      <c r="DG91" s="619"/>
      <c r="DH91" s="622"/>
      <c r="DI91" s="619"/>
      <c r="DJ91" s="619"/>
      <c r="DK91" s="619"/>
      <c r="DL91" s="619"/>
      <c r="DM91" s="622"/>
      <c r="DN91" s="619"/>
      <c r="DO91" s="619"/>
      <c r="DP91" s="619"/>
      <c r="DQ91" s="619"/>
      <c r="DR91" s="622"/>
      <c r="DS91" s="619">
        <f t="shared" ref="DS91:ET91" si="80">DS37</f>
      </c>
      <c r="DT91" s="619">
        <f t="shared" si="80"/>
      </c>
      <c r="DU91" s="619">
        <f t="shared" si="80"/>
      </c>
      <c r="DV91" s="619">
        <f t="shared" si="80"/>
      </c>
      <c r="DW91" s="622">
        <f t="shared" si="80"/>
      </c>
      <c r="DX91" s="619">
        <f t="shared" si="80"/>
      </c>
      <c r="DY91" s="619">
        <f t="shared" si="80"/>
      </c>
      <c r="DZ91" s="619">
        <f t="shared" si="80"/>
      </c>
      <c r="EA91" s="619">
        <f t="shared" si="80"/>
      </c>
      <c r="EB91" s="622">
        <f t="shared" si="80"/>
      </c>
      <c r="EC91" s="619">
        <f t="shared" si="80"/>
      </c>
      <c r="ED91" s="619">
        <f t="shared" si="80"/>
      </c>
      <c r="EE91" s="619">
        <f t="shared" si="80"/>
      </c>
      <c r="EF91" s="619">
        <f t="shared" si="80"/>
      </c>
      <c r="EG91" s="622">
        <f t="shared" si="80"/>
      </c>
      <c r="EH91" s="619">
        <f t="shared" si="80"/>
      </c>
      <c r="EI91" s="619">
        <f t="shared" si="80"/>
      </c>
      <c r="EJ91" s="619">
        <f t="shared" si="80"/>
      </c>
      <c r="EK91" s="619">
        <f t="shared" si="80"/>
      </c>
      <c r="EL91" s="622">
        <f t="shared" si="80"/>
      </c>
      <c r="EM91" s="619">
        <f t="shared" si="80"/>
      </c>
      <c r="EN91" s="619">
        <f t="shared" si="80"/>
      </c>
      <c r="EO91" s="619">
        <f t="shared" si="80"/>
      </c>
      <c r="EP91" s="619">
        <f t="shared" si="80"/>
      </c>
      <c r="EQ91" s="622">
        <f t="shared" si="80"/>
      </c>
      <c r="ER91" s="619">
        <f t="shared" si="80"/>
      </c>
      <c r="ES91" s="619">
        <f t="shared" si="80"/>
      </c>
      <c r="ET91" s="619">
        <f t="shared" si="80"/>
      </c>
      <c r="EU91" s="619">
        <f>EU37</f>
      </c>
      <c r="EV91" s="622">
        <f>EV37</f>
      </c>
      <c r="EW91" s="619">
        <f t="shared" ref="EW91:EY91" si="81">EW37</f>
      </c>
      <c r="EX91" s="619">
        <f t="shared" si="81"/>
      </c>
      <c r="EY91" s="619">
        <f t="shared" si="81"/>
      </c>
      <c r="EZ91" s="619">
        <f>EZ37</f>
      </c>
      <c r="FA91" s="622">
        <f>FA37</f>
      </c>
      <c r="FB91" s="619"/>
      <c r="FC91" s="619"/>
      <c r="FD91" s="619"/>
      <c r="FE91" s="619"/>
      <c r="FF91" s="622"/>
      <c r="FG91" s="619"/>
      <c r="FH91" s="619"/>
      <c r="FI91" s="619"/>
      <c r="FJ91" s="619"/>
      <c r="FK91" s="622"/>
      <c r="FL91" s="619"/>
      <c r="FM91" s="619"/>
      <c r="FN91" s="619"/>
      <c r="FO91" s="619"/>
      <c r="FP91" s="622"/>
      <c r="FQ91" s="619"/>
      <c r="FR91" s="619"/>
      <c r="FS91" s="619"/>
      <c r="FT91" s="619"/>
      <c r="FU91" s="622"/>
      <c r="FV91" s="619"/>
      <c r="FW91" s="619"/>
      <c r="FX91" s="619"/>
      <c r="FY91" s="619"/>
      <c r="FZ91" s="622"/>
      <c r="GA91" s="619"/>
      <c r="GB91" s="619"/>
      <c r="GC91" s="619"/>
      <c r="GD91" s="619"/>
      <c r="GE91" s="622"/>
      <c r="GF91" s="619"/>
      <c r="GG91" s="619"/>
      <c r="GH91" s="619"/>
      <c r="GI91" s="619"/>
      <c r="GJ91" s="622"/>
    </row>
    <row r="92" spans="1:192" s="1031" customFormat="1" ht="12.75" customHeight="1" outlineLevel="1">
      <c r="A92" s="1027"/>
      <c r="B92" s="727" t="s">
        <v>34</v>
      </c>
      <c r="C92" s="1028"/>
      <c r="D92" s="1028"/>
      <c r="E92" s="1028"/>
      <c r="F92" s="1028"/>
      <c r="G92" s="1029"/>
      <c r="H92" s="1028"/>
      <c r="I92" s="1028"/>
      <c r="J92" s="1028"/>
      <c r="K92" s="1028"/>
      <c r="L92" s="1029"/>
      <c r="M92" s="1028"/>
      <c r="N92" s="1028"/>
      <c r="O92" s="1028"/>
      <c r="P92" s="1028"/>
      <c r="Q92" s="1029"/>
      <c r="R92" s="1030"/>
      <c r="S92" s="1030"/>
      <c r="T92" s="1030"/>
      <c r="U92" s="1030"/>
      <c r="V92" s="1029"/>
      <c r="W92" s="1030"/>
      <c r="X92" s="1030"/>
      <c r="Y92" s="1030"/>
      <c r="Z92" s="1030"/>
      <c r="AA92" s="1029"/>
      <c r="AB92" s="1030"/>
      <c r="AC92" s="1030"/>
      <c r="AD92" s="1030"/>
      <c r="AE92" s="1030"/>
      <c r="AF92" s="1029"/>
      <c r="AG92" s="1030"/>
      <c r="AH92" s="1030"/>
      <c r="AI92" s="1030"/>
      <c r="AJ92" s="1030"/>
      <c r="AK92" s="1029"/>
      <c r="AL92" s="1028"/>
      <c r="AM92" s="1028"/>
      <c r="AN92" s="1028"/>
      <c r="AO92" s="1028"/>
      <c r="AP92" s="1029"/>
      <c r="AQ92" s="1028"/>
      <c r="AR92" s="1028"/>
      <c r="AS92" s="1028"/>
      <c r="AT92" s="1028"/>
      <c r="AU92" s="1029"/>
      <c r="AV92" s="1028"/>
      <c r="AW92" s="1028"/>
      <c r="AX92" s="1028"/>
      <c r="AY92" s="1028"/>
      <c r="AZ92" s="1029"/>
      <c r="BA92" s="1028"/>
      <c r="BB92" s="1028"/>
      <c r="BC92" s="1028"/>
      <c r="BD92" s="1028"/>
      <c r="BE92" s="1029"/>
      <c r="BF92" s="1028"/>
      <c r="BG92" s="1028"/>
      <c r="BH92" s="1028"/>
      <c r="BI92" s="1028"/>
      <c r="BJ92" s="1029"/>
      <c r="BK92" s="1028"/>
      <c r="BL92" s="1028"/>
      <c r="BM92" s="1028"/>
      <c r="BN92" s="1028"/>
      <c r="BO92" s="1029"/>
      <c r="BP92" s="1028"/>
      <c r="BQ92" s="1028"/>
      <c r="BR92" s="1028"/>
      <c r="BS92" s="1028"/>
      <c r="BT92" s="1029"/>
      <c r="BU92" s="1028"/>
      <c r="BV92" s="1028"/>
      <c r="BW92" s="1028"/>
      <c r="BX92" s="1028"/>
      <c r="BY92" s="1029"/>
      <c r="BZ92" s="1028"/>
      <c r="CA92" s="1028"/>
      <c r="CB92" s="1028"/>
      <c r="CC92" s="1028"/>
      <c r="CD92" s="1029"/>
      <c r="CE92" s="1028"/>
      <c r="CF92" s="1028"/>
      <c r="CG92" s="1028"/>
      <c r="CH92" s="1028"/>
      <c r="CI92" s="1029"/>
      <c r="CJ92" s="1028"/>
      <c r="CK92" s="1028"/>
      <c r="CL92" s="1028"/>
      <c r="CM92" s="1028"/>
      <c r="CN92" s="1029"/>
      <c r="CO92" s="1028"/>
      <c r="CP92" s="1028"/>
      <c r="CQ92" s="1028"/>
      <c r="CR92" s="1028"/>
      <c r="CS92" s="1029"/>
      <c r="CT92" s="1028"/>
      <c r="CU92" s="1028"/>
      <c r="CV92" s="1028"/>
      <c r="CW92" s="1028"/>
      <c r="CX92" s="1461"/>
      <c r="CY92" s="1462"/>
      <c r="CZ92" s="1462"/>
      <c r="DA92" s="1462"/>
      <c r="DB92" s="1462"/>
      <c r="DC92" s="1461"/>
      <c r="DD92" s="1462"/>
      <c r="DE92" s="1462"/>
      <c r="DF92" s="1462"/>
      <c r="DG92" s="1462"/>
      <c r="DH92" s="1461"/>
      <c r="DI92" s="1462"/>
      <c r="DJ92" s="1462"/>
      <c r="DK92" s="1462"/>
      <c r="DL92" s="1462"/>
      <c r="DM92" s="1461"/>
      <c r="DN92" s="1462"/>
      <c r="DO92" s="1462"/>
      <c r="DP92" s="1462"/>
      <c r="DQ92" s="1462"/>
      <c r="DR92" s="1461"/>
      <c r="DS92" s="1462"/>
      <c r="DT92" s="1462"/>
      <c r="DU92" s="1462"/>
      <c r="DV92" s="1462"/>
      <c r="DW92" s="1461"/>
      <c r="DX92" s="1462">
        <f t="shared" ref="DX92:ET92" si="82">DX91/DS91-1</f>
      </c>
      <c r="DY92" s="1462">
        <f t="shared" si="82"/>
      </c>
      <c r="DZ92" s="1462">
        <f t="shared" si="82"/>
      </c>
      <c r="EA92" s="1462">
        <f t="shared" si="82"/>
      </c>
      <c r="EB92" s="1461">
        <f t="shared" si="82"/>
      </c>
      <c r="EC92" s="1462">
        <f t="shared" si="82"/>
      </c>
      <c r="ED92" s="1462">
        <f t="shared" si="82"/>
      </c>
      <c r="EE92" s="1462">
        <f t="shared" si="82"/>
      </c>
      <c r="EF92" s="1462">
        <f t="shared" si="82"/>
      </c>
      <c r="EG92" s="1461">
        <f t="shared" si="82"/>
      </c>
      <c r="EH92" s="1462">
        <f t="shared" si="82"/>
      </c>
      <c r="EI92" s="1462">
        <f t="shared" si="82"/>
      </c>
      <c r="EJ92" s="1462">
        <f t="shared" si="82"/>
      </c>
      <c r="EK92" s="1462">
        <f t="shared" si="82"/>
      </c>
      <c r="EL92" s="1461">
        <f t="shared" si="82"/>
      </c>
      <c r="EM92" s="1462">
        <f t="shared" si="82"/>
      </c>
      <c r="EN92" s="1462">
        <f t="shared" si="82"/>
      </c>
      <c r="EO92" s="1462">
        <f t="shared" si="82"/>
      </c>
      <c r="EP92" s="1462">
        <f t="shared" si="82"/>
      </c>
      <c r="EQ92" s="1461">
        <f t="shared" si="82"/>
      </c>
      <c r="ER92" s="1462">
        <f t="shared" si="82"/>
      </c>
      <c r="ES92" s="1462">
        <f t="shared" si="82"/>
      </c>
      <c r="ET92" s="1462">
        <f t="shared" si="82"/>
      </c>
      <c r="EU92" s="1462">
        <f>EU91/EP91-1</f>
      </c>
      <c r="EV92" s="1461">
        <f>EV91/EQ91-1</f>
      </c>
      <c r="EW92" s="1462">
        <f t="shared" ref="EW92:EY92" si="83">EW91/ER91-1</f>
      </c>
      <c r="EX92" s="1462">
        <f t="shared" si="83"/>
      </c>
      <c r="EY92" s="1462">
        <f t="shared" si="83"/>
      </c>
      <c r="EZ92" s="1462">
        <f>EZ91/EU91-1</f>
      </c>
      <c r="FA92" s="1461">
        <f>FA91/EV91-1</f>
      </c>
      <c r="FB92" s="1462"/>
      <c r="FC92" s="1462"/>
      <c r="FD92" s="1462"/>
      <c r="FE92" s="1462"/>
      <c r="FF92" s="1461"/>
      <c r="FG92" s="1462"/>
      <c r="FH92" s="1462"/>
      <c r="FI92" s="1462"/>
      <c r="FJ92" s="1462"/>
      <c r="FK92" s="1461"/>
      <c r="FL92" s="1462"/>
      <c r="FM92" s="1462"/>
      <c r="FN92" s="1462"/>
      <c r="FO92" s="1462"/>
      <c r="FP92" s="1461"/>
      <c r="FQ92" s="1462"/>
      <c r="FR92" s="1462"/>
      <c r="FS92" s="1462"/>
      <c r="FT92" s="1462"/>
      <c r="FU92" s="1461"/>
      <c r="FV92" s="1462"/>
      <c r="FW92" s="1462"/>
      <c r="FX92" s="1462"/>
      <c r="FY92" s="1462"/>
      <c r="FZ92" s="1461"/>
      <c r="GA92" s="1462"/>
      <c r="GB92" s="1462"/>
      <c r="GC92" s="1462"/>
      <c r="GD92" s="1462"/>
      <c r="GE92" s="1461"/>
      <c r="GF92" s="1462"/>
      <c r="GG92" s="1462"/>
      <c r="GH92" s="1462"/>
      <c r="GI92" s="1462"/>
      <c r="GJ92" s="1461"/>
    </row>
    <row r="93" spans="1:192" s="1031" customFormat="1" ht="12.75" customHeight="1" outlineLevel="1">
      <c r="A93" s="1027"/>
      <c r="B93" s="727" t="s">
        <v>36</v>
      </c>
      <c r="C93" s="1028"/>
      <c r="D93" s="1028"/>
      <c r="E93" s="1028"/>
      <c r="F93" s="1028"/>
      <c r="G93" s="1029"/>
      <c r="H93" s="1028"/>
      <c r="I93" s="1028"/>
      <c r="J93" s="1028"/>
      <c r="K93" s="1028"/>
      <c r="L93" s="1029"/>
      <c r="M93" s="1028"/>
      <c r="N93" s="1028"/>
      <c r="O93" s="1028"/>
      <c r="P93" s="1028"/>
      <c r="Q93" s="1029"/>
      <c r="R93" s="1030"/>
      <c r="S93" s="1030"/>
      <c r="T93" s="1030"/>
      <c r="U93" s="1030"/>
      <c r="V93" s="1029"/>
      <c r="W93" s="1030"/>
      <c r="X93" s="1030"/>
      <c r="Y93" s="1030"/>
      <c r="Z93" s="1030"/>
      <c r="AA93" s="1029"/>
      <c r="AB93" s="1030"/>
      <c r="AC93" s="1030"/>
      <c r="AD93" s="1030"/>
      <c r="AE93" s="1030"/>
      <c r="AF93" s="1029"/>
      <c r="AG93" s="1030"/>
      <c r="AH93" s="1030"/>
      <c r="AI93" s="1030"/>
      <c r="AJ93" s="1030"/>
      <c r="AK93" s="1029"/>
      <c r="AL93" s="1028"/>
      <c r="AM93" s="1028"/>
      <c r="AN93" s="1028"/>
      <c r="AO93" s="1028"/>
      <c r="AP93" s="1029"/>
      <c r="AQ93" s="1028"/>
      <c r="AR93" s="1028"/>
      <c r="AS93" s="1028"/>
      <c r="AT93" s="1028"/>
      <c r="AU93" s="1029"/>
      <c r="AV93" s="1028"/>
      <c r="AW93" s="1028"/>
      <c r="AX93" s="1028"/>
      <c r="AY93" s="1028"/>
      <c r="AZ93" s="1029"/>
      <c r="BA93" s="1028"/>
      <c r="BB93" s="1028"/>
      <c r="BC93" s="1028"/>
      <c r="BD93" s="1028"/>
      <c r="BE93" s="1029"/>
      <c r="BF93" s="1028"/>
      <c r="BG93" s="1028"/>
      <c r="BH93" s="1028"/>
      <c r="BI93" s="1028"/>
      <c r="BJ93" s="1029"/>
      <c r="BK93" s="1028"/>
      <c r="BL93" s="1028"/>
      <c r="BM93" s="1028"/>
      <c r="BN93" s="1028"/>
      <c r="BO93" s="1029"/>
      <c r="BP93" s="1028"/>
      <c r="BQ93" s="1028"/>
      <c r="BR93" s="1028"/>
      <c r="BS93" s="1028"/>
      <c r="BT93" s="1029"/>
      <c r="BU93" s="1028"/>
      <c r="BV93" s="1028"/>
      <c r="BW93" s="1028"/>
      <c r="BX93" s="1028"/>
      <c r="BY93" s="1029"/>
      <c r="BZ93" s="1028"/>
      <c r="CA93" s="1028"/>
      <c r="CB93" s="1028"/>
      <c r="CC93" s="1028"/>
      <c r="CD93" s="1029"/>
      <c r="CE93" s="1028"/>
      <c r="CF93" s="1028"/>
      <c r="CG93" s="1028"/>
      <c r="CH93" s="1028"/>
      <c r="CI93" s="1029"/>
      <c r="CJ93" s="1028"/>
      <c r="CK93" s="1028"/>
      <c r="CL93" s="1028"/>
      <c r="CM93" s="1028"/>
      <c r="CN93" s="1029"/>
      <c r="CO93" s="1028"/>
      <c r="CP93" s="1028"/>
      <c r="CQ93" s="1028"/>
      <c r="CR93" s="1028"/>
      <c r="CS93" s="1029"/>
      <c r="CT93" s="1028"/>
      <c r="CU93" s="1028"/>
      <c r="CV93" s="1028"/>
      <c r="CW93" s="1028"/>
      <c r="CX93" s="1461"/>
      <c r="CY93" s="1462"/>
      <c r="CZ93" s="1462"/>
      <c r="DA93" s="1462"/>
      <c r="DB93" s="1462"/>
      <c r="DC93" s="1461"/>
      <c r="DD93" s="1462"/>
      <c r="DE93" s="1462"/>
      <c r="DF93" s="1462"/>
      <c r="DG93" s="1462"/>
      <c r="DH93" s="1461"/>
      <c r="DI93" s="1462"/>
      <c r="DJ93" s="1462"/>
      <c r="DK93" s="1462"/>
      <c r="DL93" s="1462"/>
      <c r="DM93" s="1461"/>
      <c r="DN93" s="1462"/>
      <c r="DO93" s="1462"/>
      <c r="DP93" s="1462"/>
      <c r="DQ93" s="1462"/>
      <c r="DR93" s="1461"/>
      <c r="DS93" s="1462"/>
      <c r="DT93" s="1462">
        <f>DT91/DS91-1</f>
      </c>
      <c r="DU93" s="1462">
        <f>DU91/DT91-1</f>
      </c>
      <c r="DV93" s="1462">
        <f>DV91/DU91-1</f>
      </c>
      <c r="DW93" s="1461"/>
      <c r="DX93" s="1462">
        <f>DX91/DV91-1</f>
      </c>
      <c r="DY93" s="1462">
        <f>DY91/DX91-1</f>
      </c>
      <c r="DZ93" s="1462">
        <f>DZ91/DY91-1</f>
      </c>
      <c r="EA93" s="1462">
        <f>EA91/DZ91-1</f>
      </c>
      <c r="EB93" s="1461"/>
      <c r="EC93" s="1462">
        <f>EC91/EA91-1</f>
      </c>
      <c r="ED93" s="1462">
        <f>ED91/EC91-1</f>
      </c>
      <c r="EE93" s="1462">
        <f>EE91/ED91-1</f>
      </c>
      <c r="EF93" s="1462">
        <f>EF91/EE91-1</f>
      </c>
      <c r="EG93" s="1461"/>
      <c r="EH93" s="1462">
        <f>EH91/EF91-1</f>
      </c>
      <c r="EI93" s="1462">
        <f>EI91/EH91-1</f>
      </c>
      <c r="EJ93" s="1462">
        <f>EJ91/EI91-1</f>
      </c>
      <c r="EK93" s="1462">
        <f>EK91/EJ91-1</f>
      </c>
      <c r="EL93" s="1461"/>
      <c r="EM93" s="1462">
        <f>EM91/EK91-1</f>
      </c>
      <c r="EN93" s="1462">
        <f>EN91/EM91-1</f>
      </c>
      <c r="EO93" s="1462">
        <f>EO91/EN91-1</f>
      </c>
      <c r="EP93" s="1462">
        <f>EP91/EO91-1</f>
      </c>
      <c r="EQ93" s="1461"/>
      <c r="ER93" s="1462">
        <f>ER91/EP91-1</f>
      </c>
      <c r="ES93" s="1462">
        <f>ES91/ER91-1</f>
      </c>
      <c r="ET93" s="1462">
        <f>ET91/ES91-1</f>
      </c>
      <c r="EU93" s="1462">
        <f>EU91/ET91-1</f>
      </c>
      <c r="EV93" s="1461"/>
      <c r="EW93" s="1462">
        <f>EW91/EU91-1</f>
      </c>
      <c r="EX93" s="1462">
        <f>EX91/EW91-1</f>
      </c>
      <c r="EY93" s="1462">
        <f>EY91/EX91-1</f>
      </c>
      <c r="EZ93" s="1462">
        <f>EZ91/EY91-1</f>
      </c>
      <c r="FA93" s="1461"/>
      <c r="FB93" s="1462"/>
      <c r="FC93" s="1462"/>
      <c r="FD93" s="1462"/>
      <c r="FE93" s="1462"/>
      <c r="FF93" s="1461"/>
      <c r="FG93" s="1462"/>
      <c r="FH93" s="1462"/>
      <c r="FI93" s="1462"/>
      <c r="FJ93" s="1462"/>
      <c r="FK93" s="1461"/>
      <c r="FL93" s="1462"/>
      <c r="FM93" s="1462"/>
      <c r="FN93" s="1462"/>
      <c r="FO93" s="1462"/>
      <c r="FP93" s="1461"/>
      <c r="FQ93" s="1462"/>
      <c r="FR93" s="1462"/>
      <c r="FS93" s="1462"/>
      <c r="FT93" s="1462"/>
      <c r="FU93" s="1461"/>
      <c r="FV93" s="1462"/>
      <c r="FW93" s="1462"/>
      <c r="FX93" s="1462"/>
      <c r="FY93" s="1462"/>
      <c r="FZ93" s="1461"/>
      <c r="GA93" s="1462"/>
      <c r="GB93" s="1462"/>
      <c r="GC93" s="1462"/>
      <c r="GD93" s="1462"/>
      <c r="GE93" s="1461"/>
      <c r="GF93" s="1462"/>
      <c r="GG93" s="1462"/>
      <c r="GH93" s="1462"/>
      <c r="GI93" s="1462"/>
      <c r="GJ93" s="1461"/>
    </row>
    <row r="94" spans="1:192" s="1031" customFormat="1" ht="12.75" customHeight="1" outlineLevel="1">
      <c r="A94" s="1027"/>
      <c r="B94" s="727" t="s">
        <v>446</v>
      </c>
      <c r="C94" s="1028"/>
      <c r="D94" s="1028"/>
      <c r="E94" s="1028"/>
      <c r="F94" s="1028"/>
      <c r="G94" s="1029"/>
      <c r="H94" s="1028"/>
      <c r="I94" s="1028"/>
      <c r="J94" s="1028"/>
      <c r="K94" s="1028"/>
      <c r="L94" s="1029"/>
      <c r="M94" s="1028"/>
      <c r="N94" s="1028"/>
      <c r="O94" s="1028"/>
      <c r="P94" s="1028"/>
      <c r="Q94" s="1029"/>
      <c r="R94" s="1030"/>
      <c r="S94" s="1030"/>
      <c r="T94" s="1030"/>
      <c r="U94" s="1030"/>
      <c r="V94" s="1029"/>
      <c r="W94" s="1030"/>
      <c r="X94" s="1030"/>
      <c r="Y94" s="1030"/>
      <c r="Z94" s="1030"/>
      <c r="AA94" s="1029"/>
      <c r="AB94" s="1030"/>
      <c r="AC94" s="1030"/>
      <c r="AD94" s="1030"/>
      <c r="AE94" s="1030"/>
      <c r="AF94" s="1029"/>
      <c r="AG94" s="1030"/>
      <c r="AH94" s="1030"/>
      <c r="AI94" s="1030"/>
      <c r="AJ94" s="1030"/>
      <c r="AK94" s="1029"/>
      <c r="AL94" s="1028"/>
      <c r="AM94" s="1028"/>
      <c r="AN94" s="1028"/>
      <c r="AO94" s="1028"/>
      <c r="AP94" s="1029"/>
      <c r="AQ94" s="1028"/>
      <c r="AR94" s="1028"/>
      <c r="AS94" s="1028"/>
      <c r="AT94" s="1028"/>
      <c r="AU94" s="1029"/>
      <c r="AV94" s="1028"/>
      <c r="AW94" s="1028"/>
      <c r="AX94" s="1028"/>
      <c r="AY94" s="1028"/>
      <c r="AZ94" s="1029"/>
      <c r="BA94" s="1028"/>
      <c r="BB94" s="1028"/>
      <c r="BC94" s="1028"/>
      <c r="BD94" s="1028"/>
      <c r="BE94" s="1029"/>
      <c r="BF94" s="1028"/>
      <c r="BG94" s="1028"/>
      <c r="BH94" s="1028"/>
      <c r="BI94" s="1028"/>
      <c r="BJ94" s="1029"/>
      <c r="BK94" s="1028"/>
      <c r="BL94" s="1028"/>
      <c r="BM94" s="1028"/>
      <c r="BN94" s="1028"/>
      <c r="BO94" s="1029"/>
      <c r="BP94" s="1028"/>
      <c r="BQ94" s="1028"/>
      <c r="BR94" s="1028"/>
      <c r="BS94" s="1028"/>
      <c r="BT94" s="1029"/>
      <c r="BU94" s="1028"/>
      <c r="BV94" s="1028"/>
      <c r="BW94" s="1028"/>
      <c r="BX94" s="1028"/>
      <c r="BY94" s="1029"/>
      <c r="BZ94" s="1028"/>
      <c r="CA94" s="1028"/>
      <c r="CB94" s="1028"/>
      <c r="CC94" s="1028"/>
      <c r="CD94" s="1029"/>
      <c r="CE94" s="1028"/>
      <c r="CF94" s="1028"/>
      <c r="CG94" s="1028"/>
      <c r="CH94" s="1028"/>
      <c r="CI94" s="1029"/>
      <c r="CJ94" s="1028"/>
      <c r="CK94" s="1028"/>
      <c r="CL94" s="1028"/>
      <c r="CM94" s="1028"/>
      <c r="CN94" s="1029"/>
      <c r="CO94" s="1028"/>
      <c r="CP94" s="1028"/>
      <c r="CQ94" s="1028"/>
      <c r="CR94" s="1028"/>
      <c r="CS94" s="1029"/>
      <c r="CT94" s="1028"/>
      <c r="CU94" s="1028"/>
      <c r="CV94" s="1028"/>
      <c r="CW94" s="1028"/>
      <c r="CX94" s="1461"/>
      <c r="CY94" s="1462"/>
      <c r="CZ94" s="1462"/>
      <c r="DA94" s="1462"/>
      <c r="DB94" s="1462"/>
      <c r="DC94" s="1461"/>
      <c r="DD94" s="1462"/>
      <c r="DE94" s="1462"/>
      <c r="DF94" s="1462"/>
      <c r="DG94" s="1462"/>
      <c r="DH94" s="1461"/>
      <c r="DI94" s="1438"/>
      <c r="DJ94" s="1438"/>
      <c r="DK94" s="1438"/>
      <c r="DL94" s="1438"/>
      <c r="DM94" s="1175"/>
      <c r="DN94" s="1438"/>
      <c r="DO94" s="1438"/>
      <c r="DP94" s="1438"/>
      <c r="DQ94" s="1438"/>
      <c r="DR94" s="1175"/>
      <c r="DS94" s="1438">
        <f t="shared" ref="DS94:ET94" si="84">DS91-DN91</f>
      </c>
      <c r="DT94" s="1438">
        <f t="shared" si="84"/>
      </c>
      <c r="DU94" s="1438">
        <f t="shared" si="84"/>
      </c>
      <c r="DV94" s="1438">
        <f t="shared" si="84"/>
      </c>
      <c r="DW94" s="1175">
        <f t="shared" si="84"/>
      </c>
      <c r="DX94" s="1438">
        <f t="shared" si="84"/>
      </c>
      <c r="DY94" s="1438">
        <f t="shared" si="84"/>
      </c>
      <c r="DZ94" s="1438">
        <f t="shared" si="84"/>
      </c>
      <c r="EA94" s="1438">
        <f t="shared" si="84"/>
      </c>
      <c r="EB94" s="1175">
        <f t="shared" si="84"/>
      </c>
      <c r="EC94" s="1438">
        <f t="shared" si="84"/>
      </c>
      <c r="ED94" s="1438">
        <f t="shared" si="84"/>
      </c>
      <c r="EE94" s="1438">
        <f t="shared" si="84"/>
      </c>
      <c r="EF94" s="1438">
        <f t="shared" si="84"/>
      </c>
      <c r="EG94" s="1175">
        <f t="shared" si="84"/>
      </c>
      <c r="EH94" s="1438">
        <f t="shared" si="84"/>
      </c>
      <c r="EI94" s="1438">
        <f t="shared" si="84"/>
      </c>
      <c r="EJ94" s="1438">
        <f t="shared" si="84"/>
      </c>
      <c r="EK94" s="1438">
        <f t="shared" si="84"/>
      </c>
      <c r="EL94" s="1175">
        <f t="shared" si="84"/>
      </c>
      <c r="EM94" s="1438">
        <f t="shared" si="84"/>
      </c>
      <c r="EN94" s="1438">
        <f t="shared" si="84"/>
      </c>
      <c r="EO94" s="1438">
        <f t="shared" si="84"/>
      </c>
      <c r="EP94" s="1438">
        <f t="shared" si="84"/>
      </c>
      <c r="EQ94" s="1175">
        <f t="shared" si="84"/>
      </c>
      <c r="ER94" s="1438">
        <f t="shared" si="84"/>
      </c>
      <c r="ES94" s="1438">
        <f t="shared" si="84"/>
      </c>
      <c r="ET94" s="1438">
        <f t="shared" si="84"/>
      </c>
      <c r="EU94" s="1438">
        <f>EU91-EP91</f>
      </c>
      <c r="EV94" s="1175">
        <f>EV91-EQ91</f>
      </c>
      <c r="EW94" s="1438">
        <f t="shared" ref="EW94:EY94" si="85">EW91-ER91</f>
      </c>
      <c r="EX94" s="1438">
        <f t="shared" si="85"/>
      </c>
      <c r="EY94" s="1438">
        <f t="shared" si="85"/>
      </c>
      <c r="EZ94" s="1438">
        <f>EZ91-EU91</f>
      </c>
      <c r="FA94" s="1175">
        <f>FA91-EV91</f>
      </c>
      <c r="FB94" s="1462"/>
      <c r="FC94" s="1462"/>
      <c r="FD94" s="1462"/>
      <c r="FE94" s="1462"/>
      <c r="FF94" s="1461"/>
      <c r="FG94" s="1462"/>
      <c r="FH94" s="1462"/>
      <c r="FI94" s="1462"/>
      <c r="FJ94" s="1462"/>
      <c r="FK94" s="1461"/>
      <c r="FL94" s="1462"/>
      <c r="FM94" s="1462"/>
      <c r="FN94" s="1462"/>
      <c r="FO94" s="1462"/>
      <c r="FP94" s="1461"/>
      <c r="FQ94" s="1462"/>
      <c r="FR94" s="1462"/>
      <c r="FS94" s="1462"/>
      <c r="FT94" s="1462"/>
      <c r="FU94" s="1461"/>
      <c r="FV94" s="1462"/>
      <c r="FW94" s="1462"/>
      <c r="FX94" s="1462"/>
      <c r="FY94" s="1462"/>
      <c r="FZ94" s="1461"/>
      <c r="GA94" s="1462"/>
      <c r="GB94" s="1462"/>
      <c r="GC94" s="1462"/>
      <c r="GD94" s="1462"/>
      <c r="GE94" s="1461"/>
      <c r="GF94" s="1462"/>
      <c r="GG94" s="1462"/>
      <c r="GH94" s="1462"/>
      <c r="GI94" s="1462"/>
      <c r="GJ94" s="1461"/>
    </row>
    <row r="95" spans="1:192" s="1031" customFormat="1" ht="12.75" customHeight="1" outlineLevel="1">
      <c r="A95" s="1027"/>
      <c r="B95" s="727" t="s">
        <v>447</v>
      </c>
      <c r="C95" s="1028"/>
      <c r="D95" s="1028"/>
      <c r="E95" s="1028"/>
      <c r="F95" s="1028"/>
      <c r="G95" s="1029"/>
      <c r="H95" s="1028"/>
      <c r="I95" s="1028"/>
      <c r="J95" s="1028"/>
      <c r="K95" s="1028"/>
      <c r="L95" s="1029"/>
      <c r="M95" s="1028"/>
      <c r="N95" s="1028"/>
      <c r="O95" s="1028"/>
      <c r="P95" s="1028"/>
      <c r="Q95" s="1029"/>
      <c r="R95" s="1030"/>
      <c r="S95" s="1030"/>
      <c r="T95" s="1030"/>
      <c r="U95" s="1030"/>
      <c r="V95" s="1029"/>
      <c r="W95" s="1030"/>
      <c r="X95" s="1030"/>
      <c r="Y95" s="1030"/>
      <c r="Z95" s="1030"/>
      <c r="AA95" s="1029"/>
      <c r="AB95" s="1030"/>
      <c r="AC95" s="1030"/>
      <c r="AD95" s="1030"/>
      <c r="AE95" s="1030"/>
      <c r="AF95" s="1029"/>
      <c r="AG95" s="1030"/>
      <c r="AH95" s="1030"/>
      <c r="AI95" s="1030"/>
      <c r="AJ95" s="1030"/>
      <c r="AK95" s="1029"/>
      <c r="AL95" s="1028"/>
      <c r="AM95" s="1028"/>
      <c r="AN95" s="1028"/>
      <c r="AO95" s="1028"/>
      <c r="AP95" s="1029"/>
      <c r="AQ95" s="1028"/>
      <c r="AR95" s="1028"/>
      <c r="AS95" s="1028"/>
      <c r="AT95" s="1028"/>
      <c r="AU95" s="1029"/>
      <c r="AV95" s="1028"/>
      <c r="AW95" s="1028"/>
      <c r="AX95" s="1028"/>
      <c r="AY95" s="1028"/>
      <c r="AZ95" s="1029"/>
      <c r="BA95" s="1028"/>
      <c r="BB95" s="1028"/>
      <c r="BC95" s="1028"/>
      <c r="BD95" s="1028"/>
      <c r="BE95" s="1029"/>
      <c r="BF95" s="1028"/>
      <c r="BG95" s="1028"/>
      <c r="BH95" s="1028"/>
      <c r="BI95" s="1028"/>
      <c r="BJ95" s="1029"/>
      <c r="BK95" s="1028"/>
      <c r="BL95" s="1028"/>
      <c r="BM95" s="1028"/>
      <c r="BN95" s="1028"/>
      <c r="BO95" s="1029"/>
      <c r="BP95" s="1028"/>
      <c r="BQ95" s="1028"/>
      <c r="BR95" s="1028"/>
      <c r="BS95" s="1028"/>
      <c r="BT95" s="1029"/>
      <c r="BU95" s="1028"/>
      <c r="BV95" s="1028"/>
      <c r="BW95" s="1028"/>
      <c r="BX95" s="1028"/>
      <c r="BY95" s="1029"/>
      <c r="BZ95" s="1028"/>
      <c r="CA95" s="1028"/>
      <c r="CB95" s="1028"/>
      <c r="CC95" s="1028"/>
      <c r="CD95" s="1029"/>
      <c r="CE95" s="1028"/>
      <c r="CF95" s="1028"/>
      <c r="CG95" s="1028"/>
      <c r="CH95" s="1028"/>
      <c r="CI95" s="1029"/>
      <c r="CJ95" s="1028"/>
      <c r="CK95" s="1028"/>
      <c r="CL95" s="1028"/>
      <c r="CM95" s="1028"/>
      <c r="CN95" s="1029"/>
      <c r="CO95" s="1028"/>
      <c r="CP95" s="1028"/>
      <c r="CQ95" s="1028"/>
      <c r="CR95" s="1028"/>
      <c r="CS95" s="1029"/>
      <c r="CT95" s="1028"/>
      <c r="CU95" s="1028"/>
      <c r="CV95" s="1028"/>
      <c r="CW95" s="1028"/>
      <c r="CX95" s="1461"/>
      <c r="CY95" s="1462"/>
      <c r="CZ95" s="1462"/>
      <c r="DA95" s="1462"/>
      <c r="DB95" s="1462"/>
      <c r="DC95" s="1461"/>
      <c r="DD95" s="1462"/>
      <c r="DE95" s="1438"/>
      <c r="DF95" s="1438"/>
      <c r="DG95" s="1438"/>
      <c r="DH95" s="1461"/>
      <c r="DI95" s="1438"/>
      <c r="DJ95" s="1438"/>
      <c r="DK95" s="1438"/>
      <c r="DL95" s="1438"/>
      <c r="DM95" s="1175"/>
      <c r="DN95" s="1438"/>
      <c r="DO95" s="1438"/>
      <c r="DP95" s="1438"/>
      <c r="DQ95" s="1438"/>
      <c r="DR95" s="1175"/>
      <c r="DS95" s="1438">
        <f>DS91-DQ91</f>
      </c>
      <c r="DT95" s="1438">
        <f>DT91-DS91</f>
      </c>
      <c r="DU95" s="1438">
        <f>DU91-DT91</f>
      </c>
      <c r="DV95" s="1438">
        <f>DV91-DU91</f>
      </c>
      <c r="DW95" s="1175"/>
      <c r="DX95" s="1438">
        <f>DX91-DV91</f>
      </c>
      <c r="DY95" s="1438">
        <f>DY91-DX91</f>
      </c>
      <c r="DZ95" s="1438">
        <f>DZ91-DY91</f>
      </c>
      <c r="EA95" s="1438">
        <f>EA91-DZ91</f>
      </c>
      <c r="EB95" s="1175"/>
      <c r="EC95" s="1438">
        <f>EC91-EA91</f>
      </c>
      <c r="ED95" s="1438">
        <f>ED91-EC91</f>
      </c>
      <c r="EE95" s="1438">
        <f>EE91-ED91</f>
      </c>
      <c r="EF95" s="1438">
        <f>EF91-EE91</f>
      </c>
      <c r="EG95" s="1175"/>
      <c r="EH95" s="1438">
        <f>EH91-EF91</f>
      </c>
      <c r="EI95" s="1438">
        <f>EI91-EH91</f>
      </c>
      <c r="EJ95" s="1438">
        <f>EJ91-EI91</f>
      </c>
      <c r="EK95" s="1438">
        <f>EK91-EJ91</f>
      </c>
      <c r="EL95" s="1175"/>
      <c r="EM95" s="1438">
        <f>EM91-EK91</f>
      </c>
      <c r="EN95" s="1438">
        <f>EN91-EM91</f>
      </c>
      <c r="EO95" s="1438">
        <f>EO91-EN91</f>
      </c>
      <c r="EP95" s="1438">
        <f>EP91-EO91</f>
      </c>
      <c r="EQ95" s="1175"/>
      <c r="ER95" s="1438">
        <f>ER91-EP91</f>
      </c>
      <c r="ES95" s="1438">
        <f>ES91-ER91</f>
      </c>
      <c r="ET95" s="1438">
        <f>ET91-ES91</f>
      </c>
      <c r="EU95" s="1438">
        <f>EU91-ET91</f>
      </c>
      <c r="EV95" s="1175"/>
      <c r="EW95" s="1438">
        <f>EW91-EU91</f>
      </c>
      <c r="EX95" s="1438">
        <f>EX91-EW91</f>
      </c>
      <c r="EY95" s="1438">
        <f>EY91-EX91</f>
      </c>
      <c r="EZ95" s="1438">
        <f>EZ91-EY91</f>
      </c>
      <c r="FA95" s="1175"/>
      <c r="FB95" s="1462"/>
      <c r="FC95" s="1462"/>
      <c r="FD95" s="1462"/>
      <c r="FE95" s="1462"/>
      <c r="FF95" s="1461"/>
      <c r="FG95" s="1462"/>
      <c r="FH95" s="1462"/>
      <c r="FI95" s="1462"/>
      <c r="FJ95" s="1462"/>
      <c r="FK95" s="1461"/>
      <c r="FL95" s="1462"/>
      <c r="FM95" s="1462"/>
      <c r="FN95" s="1462"/>
      <c r="FO95" s="1462"/>
      <c r="FP95" s="1461"/>
      <c r="FQ95" s="1462"/>
      <c r="FR95" s="1462"/>
      <c r="FS95" s="1462"/>
      <c r="FT95" s="1462"/>
      <c r="FU95" s="1461"/>
      <c r="FV95" s="1462"/>
      <c r="FW95" s="1462"/>
      <c r="FX95" s="1462"/>
      <c r="FY95" s="1462"/>
      <c r="FZ95" s="1461"/>
      <c r="GA95" s="1462"/>
      <c r="GB95" s="1462"/>
      <c r="GC95" s="1462"/>
      <c r="GD95" s="1462"/>
      <c r="GE95" s="1461"/>
      <c r="GF95" s="1462"/>
      <c r="GG95" s="1462"/>
      <c r="GH95" s="1462"/>
      <c r="GI95" s="1462"/>
      <c r="GJ95" s="1461"/>
    </row>
    <row r="96" spans="1:192" s="1031" customFormat="1" ht="12.75" customHeight="1" outlineLevel="1">
      <c r="A96" s="1027"/>
      <c r="B96" s="727" t="s">
        <v>450</v>
      </c>
      <c r="C96" s="1028"/>
      <c r="D96" s="1028"/>
      <c r="E96" s="1028"/>
      <c r="F96" s="1028"/>
      <c r="G96" s="1029"/>
      <c r="H96" s="1028"/>
      <c r="I96" s="1028"/>
      <c r="J96" s="1028"/>
      <c r="K96" s="1028"/>
      <c r="L96" s="1029"/>
      <c r="M96" s="1028"/>
      <c r="N96" s="1028"/>
      <c r="O96" s="1028"/>
      <c r="P96" s="1028"/>
      <c r="Q96" s="1029"/>
      <c r="R96" s="1030"/>
      <c r="S96" s="1030"/>
      <c r="T96" s="1030"/>
      <c r="U96" s="1030"/>
      <c r="V96" s="1029"/>
      <c r="W96" s="1030"/>
      <c r="X96" s="1030"/>
      <c r="Y96" s="1030"/>
      <c r="Z96" s="1030"/>
      <c r="AA96" s="1029"/>
      <c r="AB96" s="1030"/>
      <c r="AC96" s="1030"/>
      <c r="AD96" s="1030"/>
      <c r="AE96" s="1030"/>
      <c r="AF96" s="1029"/>
      <c r="AG96" s="1030"/>
      <c r="AH96" s="1030"/>
      <c r="AI96" s="1030"/>
      <c r="AJ96" s="1030"/>
      <c r="AK96" s="1029"/>
      <c r="AL96" s="1028"/>
      <c r="AM96" s="1028"/>
      <c r="AN96" s="1028"/>
      <c r="AO96" s="1028"/>
      <c r="AP96" s="1029"/>
      <c r="AQ96" s="1028"/>
      <c r="AR96" s="1028"/>
      <c r="AS96" s="1028"/>
      <c r="AT96" s="1028"/>
      <c r="AU96" s="1029"/>
      <c r="AV96" s="1028"/>
      <c r="AW96" s="1028"/>
      <c r="AX96" s="1028"/>
      <c r="AY96" s="1028"/>
      <c r="AZ96" s="1029"/>
      <c r="BA96" s="1028"/>
      <c r="BB96" s="1028"/>
      <c r="BC96" s="1028"/>
      <c r="BD96" s="1028"/>
      <c r="BE96" s="1029"/>
      <c r="BF96" s="1028"/>
      <c r="BG96" s="1028"/>
      <c r="BH96" s="1028"/>
      <c r="BI96" s="1028"/>
      <c r="BJ96" s="1029"/>
      <c r="BK96" s="1028"/>
      <c r="BL96" s="1028"/>
      <c r="BM96" s="1028"/>
      <c r="BN96" s="1028"/>
      <c r="BO96" s="1029"/>
      <c r="BP96" s="1028"/>
      <c r="BQ96" s="1028"/>
      <c r="BR96" s="1028"/>
      <c r="BS96" s="1028"/>
      <c r="BT96" s="1029"/>
      <c r="BU96" s="1028"/>
      <c r="BV96" s="1028"/>
      <c r="BW96" s="1028"/>
      <c r="BX96" s="1028"/>
      <c r="BY96" s="1029"/>
      <c r="BZ96" s="1028"/>
      <c r="CA96" s="1028"/>
      <c r="CB96" s="1028"/>
      <c r="CC96" s="1028"/>
      <c r="CD96" s="1029"/>
      <c r="CE96" s="1028"/>
      <c r="CF96" s="1028"/>
      <c r="CG96" s="1028"/>
      <c r="CH96" s="1028"/>
      <c r="CI96" s="1029"/>
      <c r="CJ96" s="1028"/>
      <c r="CK96" s="1028"/>
      <c r="CL96" s="1028"/>
      <c r="CM96" s="1028"/>
      <c r="CN96" s="1029"/>
      <c r="CO96" s="1028"/>
      <c r="CP96" s="1028"/>
      <c r="CQ96" s="1028"/>
      <c r="CR96" s="1028"/>
      <c r="CS96" s="1029"/>
      <c r="CT96" s="1028"/>
      <c r="CU96" s="1028"/>
      <c r="CV96" s="1028"/>
      <c r="CW96" s="1028"/>
      <c r="CX96" s="1461"/>
      <c r="CY96" s="1462"/>
      <c r="CZ96" s="1462"/>
      <c r="DA96" s="1462"/>
      <c r="DB96" s="1462"/>
      <c r="DC96" s="1461"/>
      <c r="DD96" s="1462"/>
      <c r="DE96" s="1438"/>
      <c r="DF96" s="1438"/>
      <c r="DG96" s="1438"/>
      <c r="DH96" s="1461"/>
      <c r="DI96" s="1438"/>
      <c r="DJ96" s="1438"/>
      <c r="DK96" s="1438"/>
      <c r="DL96" s="1438"/>
      <c r="DM96" s="1175"/>
      <c r="DN96" s="1438"/>
      <c r="DO96" s="1438"/>
      <c r="DP96" s="1438"/>
      <c r="DQ96" s="1438"/>
      <c r="DR96" s="1175"/>
      <c r="DS96" s="1462">
        <f t="shared" ref="DS96:ER96" si="86">DS91/DS77</f>
      </c>
      <c r="DT96" s="1462">
        <f t="shared" si="86"/>
      </c>
      <c r="DU96" s="1462">
        <f t="shared" si="86"/>
      </c>
      <c r="DV96" s="1462">
        <f t="shared" si="86"/>
      </c>
      <c r="DW96" s="1461">
        <f t="shared" si="86"/>
      </c>
      <c r="DX96" s="1462">
        <f t="shared" si="86"/>
      </c>
      <c r="DY96" s="1462">
        <f t="shared" si="86"/>
      </c>
      <c r="DZ96" s="1462">
        <f t="shared" si="86"/>
      </c>
      <c r="EA96" s="1462">
        <f t="shared" si="86"/>
      </c>
      <c r="EB96" s="1461">
        <f t="shared" si="86"/>
      </c>
      <c r="EC96" s="1462">
        <f t="shared" si="86"/>
      </c>
      <c r="ED96" s="1462">
        <f t="shared" si="86"/>
      </c>
      <c r="EE96" s="1462">
        <f t="shared" si="86"/>
      </c>
      <c r="EF96" s="1462">
        <f t="shared" si="86"/>
      </c>
      <c r="EG96" s="1461">
        <f t="shared" si="86"/>
      </c>
      <c r="EH96" s="1462">
        <f t="shared" si="86"/>
      </c>
      <c r="EI96" s="1462">
        <f t="shared" si="86"/>
      </c>
      <c r="EJ96" s="1462">
        <f t="shared" si="86"/>
      </c>
      <c r="EK96" s="1462">
        <f t="shared" si="86"/>
      </c>
      <c r="EL96" s="1461">
        <f t="shared" si="86"/>
      </c>
      <c r="EM96" s="1462">
        <f t="shared" si="86"/>
      </c>
      <c r="EN96" s="1462">
        <f t="shared" si="86"/>
      </c>
      <c r="EO96" s="1462">
        <f t="shared" si="86"/>
      </c>
      <c r="EP96" s="1462">
        <f t="shared" si="86"/>
      </c>
      <c r="EQ96" s="1461">
        <f t="shared" si="86"/>
      </c>
      <c r="ER96" s="1462">
        <f t="shared" si="86"/>
      </c>
      <c r="ES96" s="1462">
        <f>ES91/ES77</f>
      </c>
      <c r="ET96" s="1462">
        <f>ET91/ET77</f>
      </c>
      <c r="EU96" s="1462">
        <f>EU91/EU77</f>
      </c>
      <c r="EV96" s="1461">
        <f>EV91/EV77</f>
      </c>
      <c r="EW96" s="1462">
        <f t="shared" ref="EW96" si="87">EW91/EW77</f>
      </c>
      <c r="EX96" s="1462">
        <f>EX91/EX77</f>
      </c>
      <c r="EY96" s="1462">
        <f>EY91/EY77</f>
      </c>
      <c r="EZ96" s="1462">
        <f>EZ91/EZ77</f>
      </c>
      <c r="FA96" s="1461">
        <f>FA91/FA77</f>
      </c>
      <c r="FB96" s="1462"/>
      <c r="FC96" s="1462"/>
      <c r="FD96" s="1462"/>
      <c r="FE96" s="1462"/>
      <c r="FF96" s="1461"/>
      <c r="FG96" s="1462"/>
      <c r="FH96" s="1462"/>
      <c r="FI96" s="1462"/>
      <c r="FJ96" s="1462"/>
      <c r="FK96" s="1461"/>
      <c r="FL96" s="1462"/>
      <c r="FM96" s="1462"/>
      <c r="FN96" s="1462"/>
      <c r="FO96" s="1462"/>
      <c r="FP96" s="1461"/>
      <c r="FQ96" s="1462"/>
      <c r="FR96" s="1462"/>
      <c r="FS96" s="1462"/>
      <c r="FT96" s="1462"/>
      <c r="FU96" s="1461"/>
      <c r="FV96" s="1462"/>
      <c r="FW96" s="1462"/>
      <c r="FX96" s="1462"/>
      <c r="FY96" s="1462"/>
      <c r="FZ96" s="1461"/>
      <c r="GA96" s="1462"/>
      <c r="GB96" s="1462"/>
      <c r="GC96" s="1462"/>
      <c r="GD96" s="1462"/>
      <c r="GE96" s="1461"/>
      <c r="GF96" s="1462"/>
      <c r="GG96" s="1462"/>
      <c r="GH96" s="1462"/>
      <c r="GI96" s="1462"/>
      <c r="GJ96" s="1461"/>
    </row>
    <row r="97" spans="1:192" s="684" customFormat="1" ht="12.75" customHeight="1" outlineLevel="1">
      <c r="A97" s="850"/>
      <c r="B97" s="1004"/>
      <c r="C97" s="1021"/>
      <c r="D97" s="1021"/>
      <c r="E97" s="1021"/>
      <c r="F97" s="1021"/>
      <c r="G97" s="515"/>
      <c r="H97" s="1021"/>
      <c r="I97" s="1021"/>
      <c r="J97" s="1021"/>
      <c r="K97" s="1021"/>
      <c r="L97" s="515"/>
      <c r="M97" s="1022"/>
      <c r="N97" s="1022"/>
      <c r="O97" s="1022"/>
      <c r="P97" s="1022"/>
      <c r="Q97" s="515"/>
      <c r="R97" s="1022"/>
      <c r="S97" s="1022"/>
      <c r="T97" s="1022"/>
      <c r="U97" s="1022"/>
      <c r="V97" s="515"/>
      <c r="W97" s="1022"/>
      <c r="X97" s="1022"/>
      <c r="Y97" s="1022"/>
      <c r="Z97" s="1022"/>
      <c r="AA97" s="515"/>
      <c r="AB97" s="1022"/>
      <c r="AC97" s="1022"/>
      <c r="AD97" s="1022"/>
      <c r="AE97" s="1022"/>
      <c r="AF97" s="515"/>
      <c r="AG97" s="1022"/>
      <c r="AH97" s="1022"/>
      <c r="AI97" s="1022"/>
      <c r="AJ97" s="1022"/>
      <c r="AK97" s="515"/>
      <c r="AL97" s="1021"/>
      <c r="AM97" s="1021"/>
      <c r="AN97" s="1021"/>
      <c r="AO97" s="1021"/>
      <c r="AP97" s="515"/>
      <c r="AQ97" s="1021"/>
      <c r="AR97" s="1021"/>
      <c r="AS97" s="1021"/>
      <c r="AT97" s="1021"/>
      <c r="AU97" s="515"/>
      <c r="AV97" s="1021"/>
      <c r="AW97" s="1021"/>
      <c r="AX97" s="1021"/>
      <c r="AY97" s="1021"/>
      <c r="AZ97" s="515"/>
      <c r="BA97" s="1021"/>
      <c r="BB97" s="1021"/>
      <c r="BC97" s="1021"/>
      <c r="BD97" s="1021"/>
      <c r="BE97" s="515"/>
      <c r="BF97" s="1021"/>
      <c r="BG97" s="1021"/>
      <c r="BH97" s="1021"/>
      <c r="BI97" s="1021"/>
      <c r="BJ97" s="515"/>
      <c r="BK97" s="1021"/>
      <c r="BL97" s="1021"/>
      <c r="BM97" s="1021"/>
      <c r="BN97" s="1021"/>
      <c r="BO97" s="515"/>
      <c r="BP97" s="1021"/>
      <c r="BQ97" s="1021"/>
      <c r="BR97" s="1021"/>
      <c r="BS97" s="1021"/>
      <c r="BT97" s="515"/>
      <c r="BU97" s="1021"/>
      <c r="BV97" s="1021"/>
      <c r="BW97" s="1021"/>
      <c r="BX97" s="1021"/>
      <c r="BY97" s="515"/>
      <c r="BZ97" s="1021"/>
      <c r="CA97" s="1021"/>
      <c r="CB97" s="1021"/>
      <c r="CC97" s="1021"/>
      <c r="CD97" s="515"/>
      <c r="CE97" s="1021"/>
      <c r="CF97" s="1021"/>
      <c r="CG97" s="1021"/>
      <c r="CH97" s="1021"/>
      <c r="CI97" s="515"/>
      <c r="CJ97" s="1021"/>
      <c r="CK97" s="1021"/>
      <c r="CL97" s="1021"/>
      <c r="CM97" s="1021"/>
      <c r="CN97" s="515"/>
      <c r="CO97" s="1021"/>
      <c r="CP97" s="1021"/>
      <c r="CQ97" s="1021"/>
      <c r="CR97" s="1021"/>
      <c r="CS97" s="515"/>
      <c r="CT97" s="1021"/>
      <c r="CU97" s="1021"/>
      <c r="CV97" s="1021"/>
      <c r="CW97" s="1021"/>
      <c r="CX97" s="515"/>
      <c r="CY97" s="1021"/>
      <c r="CZ97" s="1021"/>
      <c r="DA97" s="1021"/>
      <c r="DB97" s="1021"/>
      <c r="DC97" s="515"/>
      <c r="DD97" s="1021"/>
      <c r="DE97" s="1021"/>
      <c r="DF97" s="1021"/>
      <c r="DG97" s="1021"/>
      <c r="DH97" s="515"/>
      <c r="DI97" s="1021"/>
      <c r="DJ97" s="1021"/>
      <c r="DK97" s="1021"/>
      <c r="DL97" s="1021"/>
      <c r="DM97" s="515"/>
      <c r="DN97" s="1021"/>
      <c r="DO97" s="1021"/>
      <c r="DP97" s="1021"/>
      <c r="DQ97" s="1021"/>
      <c r="DR97" s="515"/>
      <c r="DS97" s="1021"/>
      <c r="DT97" s="1021"/>
      <c r="DU97" s="1021"/>
      <c r="DV97" s="1021"/>
      <c r="DW97" s="515"/>
      <c r="DX97" s="1021"/>
      <c r="DY97" s="1021"/>
      <c r="DZ97" s="1021"/>
      <c r="EA97" s="1021"/>
      <c r="EB97" s="515"/>
      <c r="EC97" s="1021"/>
      <c r="ED97" s="1021"/>
      <c r="EE97" s="1021"/>
      <c r="EF97" s="1021"/>
      <c r="EG97" s="515"/>
      <c r="EH97" s="1021"/>
      <c r="EI97" s="1021"/>
      <c r="EJ97" s="1021"/>
      <c r="EK97" s="1021"/>
      <c r="EL97" s="1023"/>
      <c r="EM97" s="1021"/>
      <c r="EN97" s="1021"/>
      <c r="EO97" s="1021"/>
      <c r="EP97" s="1021"/>
      <c r="EQ97" s="1023"/>
      <c r="ER97" s="1021"/>
      <c r="ES97" s="1021"/>
      <c r="ET97" s="1021"/>
      <c r="EU97" s="1021"/>
      <c r="EV97" s="1023"/>
      <c r="EW97" s="1021"/>
      <c r="EX97" s="1021"/>
      <c r="EY97" s="1021"/>
      <c r="EZ97" s="1021"/>
      <c r="FA97" s="1023"/>
      <c r="FB97" s="1021"/>
      <c r="FC97" s="1021"/>
      <c r="FD97" s="1021"/>
      <c r="FE97" s="1021"/>
      <c r="FF97" s="515"/>
      <c r="FG97" s="1021"/>
      <c r="FH97" s="1021"/>
      <c r="FI97" s="1021"/>
      <c r="FJ97" s="1021"/>
      <c r="FK97" s="515"/>
      <c r="FL97" s="1021"/>
      <c r="FM97" s="1021"/>
      <c r="FN97" s="1021"/>
      <c r="FO97" s="1021"/>
      <c r="FP97" s="515"/>
      <c r="FQ97" s="1021"/>
      <c r="FR97" s="1021"/>
      <c r="FS97" s="1021"/>
      <c r="FT97" s="1021"/>
      <c r="FU97" s="515"/>
      <c r="FV97" s="1021"/>
      <c r="FW97" s="1021"/>
      <c r="FX97" s="1021"/>
      <c r="FY97" s="1021"/>
      <c r="FZ97" s="515"/>
      <c r="GA97" s="1021"/>
      <c r="GB97" s="1021"/>
      <c r="GC97" s="1021"/>
      <c r="GD97" s="1021"/>
      <c r="GE97" s="515"/>
      <c r="GF97" s="1021"/>
      <c r="GG97" s="1021"/>
      <c r="GH97" s="1021"/>
      <c r="GI97" s="1021"/>
      <c r="GJ97" s="515"/>
    </row>
    <row r="98" spans="1:192" s="461" customFormat="1" ht="12.75" customHeight="1" outlineLevel="1">
      <c r="A98" s="68"/>
      <c r="B98" s="975" t="s">
        <v>452</v>
      </c>
      <c r="C98" s="624"/>
      <c r="D98" s="624"/>
      <c r="E98" s="624"/>
      <c r="F98" s="624"/>
      <c r="G98" s="622"/>
      <c r="H98" s="624"/>
      <c r="I98" s="624"/>
      <c r="J98" s="624"/>
      <c r="K98" s="624"/>
      <c r="L98" s="622"/>
      <c r="M98" s="624"/>
      <c r="N98" s="624"/>
      <c r="O98" s="624"/>
      <c r="P98" s="624"/>
      <c r="Q98" s="622"/>
      <c r="R98" s="981"/>
      <c r="S98" s="981"/>
      <c r="T98" s="981"/>
      <c r="U98" s="981"/>
      <c r="V98" s="622"/>
      <c r="W98" s="981"/>
      <c r="X98" s="981"/>
      <c r="Y98" s="981"/>
      <c r="Z98" s="981"/>
      <c r="AA98" s="622"/>
      <c r="AB98" s="981"/>
      <c r="AC98" s="981"/>
      <c r="AD98" s="981"/>
      <c r="AE98" s="981"/>
      <c r="AF98" s="622"/>
      <c r="AG98" s="981"/>
      <c r="AH98" s="981"/>
      <c r="AI98" s="981"/>
      <c r="AJ98" s="981"/>
      <c r="AK98" s="622"/>
      <c r="AL98" s="624"/>
      <c r="AM98" s="624"/>
      <c r="AN98" s="624"/>
      <c r="AO98" s="624"/>
      <c r="AP98" s="622"/>
      <c r="AQ98" s="624"/>
      <c r="AR98" s="624"/>
      <c r="AS98" s="624"/>
      <c r="AT98" s="624"/>
      <c r="AU98" s="622"/>
      <c r="AV98" s="624"/>
      <c r="AW98" s="624"/>
      <c r="AX98" s="624"/>
      <c r="AY98" s="624"/>
      <c r="AZ98" s="622"/>
      <c r="BA98" s="624"/>
      <c r="BB98" s="624"/>
      <c r="BC98" s="624"/>
      <c r="BD98" s="624"/>
      <c r="BE98" s="622"/>
      <c r="BF98" s="624"/>
      <c r="BG98" s="624"/>
      <c r="BH98" s="624"/>
      <c r="BI98" s="624"/>
      <c r="BJ98" s="622"/>
      <c r="BK98" s="624"/>
      <c r="BL98" s="624"/>
      <c r="BM98" s="624"/>
      <c r="BN98" s="624"/>
      <c r="BO98" s="622"/>
      <c r="BP98" s="624"/>
      <c r="BQ98" s="624"/>
      <c r="BR98" s="624"/>
      <c r="BS98" s="624"/>
      <c r="BT98" s="622"/>
      <c r="BU98" s="624"/>
      <c r="BV98" s="624"/>
      <c r="BW98" s="624"/>
      <c r="BX98" s="624"/>
      <c r="BY98" s="622"/>
      <c r="BZ98" s="624"/>
      <c r="CA98" s="624"/>
      <c r="CB98" s="624"/>
      <c r="CC98" s="624"/>
      <c r="CD98" s="622"/>
      <c r="CE98" s="624"/>
      <c r="CF98" s="624"/>
      <c r="CG98" s="624"/>
      <c r="CH98" s="624"/>
      <c r="CI98" s="622"/>
      <c r="CJ98" s="624"/>
      <c r="CK98" s="624"/>
      <c r="CL98" s="624"/>
      <c r="CM98" s="624"/>
      <c r="CN98" s="622"/>
      <c r="CO98" s="624"/>
      <c r="CP98" s="624"/>
      <c r="CQ98" s="624"/>
      <c r="CR98" s="624"/>
      <c r="CS98" s="622"/>
      <c r="CT98" s="624"/>
      <c r="CU98" s="624"/>
      <c r="CV98" s="624"/>
      <c r="CW98" s="624"/>
      <c r="CX98" s="622"/>
      <c r="CY98" s="624"/>
      <c r="CZ98" s="624"/>
      <c r="DA98" s="624"/>
      <c r="DB98" s="624"/>
      <c r="DC98" s="622"/>
      <c r="DD98" s="619"/>
      <c r="DE98" s="619"/>
      <c r="DF98" s="619"/>
      <c r="DG98" s="619"/>
      <c r="DH98" s="622"/>
      <c r="DI98" s="619"/>
      <c r="DJ98" s="619"/>
      <c r="DK98" s="619"/>
      <c r="DL98" s="619"/>
      <c r="DM98" s="622"/>
      <c r="DN98" s="619"/>
      <c r="DO98" s="619"/>
      <c r="DP98" s="619"/>
      <c r="DQ98" s="619"/>
      <c r="DR98" s="622"/>
      <c r="DS98" s="619">
        <f t="shared" ref="DS98:ET98" si="88">DS40</f>
      </c>
      <c r="DT98" s="619">
        <f t="shared" si="88"/>
      </c>
      <c r="DU98" s="619">
        <f t="shared" si="88"/>
      </c>
      <c r="DV98" s="619">
        <f t="shared" si="88"/>
      </c>
      <c r="DW98" s="622">
        <f t="shared" si="88"/>
      </c>
      <c r="DX98" s="619">
        <f t="shared" si="88"/>
      </c>
      <c r="DY98" s="619">
        <f t="shared" si="88"/>
      </c>
      <c r="DZ98" s="619">
        <f t="shared" si="88"/>
      </c>
      <c r="EA98" s="619">
        <f t="shared" si="88"/>
      </c>
      <c r="EB98" s="622">
        <f t="shared" si="88"/>
      </c>
      <c r="EC98" s="619">
        <f t="shared" si="88"/>
      </c>
      <c r="ED98" s="619">
        <f t="shared" si="88"/>
      </c>
      <c r="EE98" s="619">
        <f t="shared" si="88"/>
      </c>
      <c r="EF98" s="619">
        <f t="shared" si="88"/>
      </c>
      <c r="EG98" s="622">
        <f t="shared" si="88"/>
      </c>
      <c r="EH98" s="619">
        <f t="shared" si="88"/>
      </c>
      <c r="EI98" s="619">
        <f t="shared" si="88"/>
      </c>
      <c r="EJ98" s="619">
        <f t="shared" si="88"/>
      </c>
      <c r="EK98" s="619">
        <f t="shared" si="88"/>
      </c>
      <c r="EL98" s="622">
        <f t="shared" si="88"/>
      </c>
      <c r="EM98" s="619">
        <f t="shared" si="88"/>
      </c>
      <c r="EN98" s="619">
        <f t="shared" si="88"/>
      </c>
      <c r="EO98" s="619">
        <f t="shared" si="88"/>
      </c>
      <c r="EP98" s="619">
        <f t="shared" si="88"/>
      </c>
      <c r="EQ98" s="622">
        <f t="shared" si="88"/>
      </c>
      <c r="ER98" s="619">
        <f t="shared" si="88"/>
      </c>
      <c r="ES98" s="619">
        <f t="shared" si="88"/>
      </c>
      <c r="ET98" s="619">
        <f t="shared" si="88"/>
      </c>
      <c r="EU98" s="619">
        <f>EU40</f>
      </c>
      <c r="EV98" s="622">
        <f>EV40</f>
      </c>
      <c r="EW98" s="619">
        <f t="shared" ref="EW98:EY98" si="89">EW40</f>
      </c>
      <c r="EX98" s="619">
        <f t="shared" si="89"/>
      </c>
      <c r="EY98" s="619">
        <f t="shared" si="89"/>
      </c>
      <c r="EZ98" s="619">
        <f>EZ40</f>
      </c>
      <c r="FA98" s="622">
        <f>FA40</f>
      </c>
      <c r="FB98" s="619"/>
      <c r="FC98" s="619"/>
      <c r="FD98" s="619"/>
      <c r="FE98" s="619"/>
      <c r="FF98" s="622"/>
      <c r="FG98" s="619"/>
      <c r="FH98" s="619"/>
      <c r="FI98" s="619"/>
      <c r="FJ98" s="619"/>
      <c r="FK98" s="622"/>
      <c r="FL98" s="619"/>
      <c r="FM98" s="619"/>
      <c r="FN98" s="619"/>
      <c r="FO98" s="619"/>
      <c r="FP98" s="622"/>
      <c r="FQ98" s="619"/>
      <c r="FR98" s="619"/>
      <c r="FS98" s="619"/>
      <c r="FT98" s="619"/>
      <c r="FU98" s="622"/>
      <c r="FV98" s="619"/>
      <c r="FW98" s="619"/>
      <c r="FX98" s="619"/>
      <c r="FY98" s="619"/>
      <c r="FZ98" s="622"/>
      <c r="GA98" s="619"/>
      <c r="GB98" s="619"/>
      <c r="GC98" s="619"/>
      <c r="GD98" s="619"/>
      <c r="GE98" s="622"/>
      <c r="GF98" s="619"/>
      <c r="GG98" s="619"/>
      <c r="GH98" s="619"/>
      <c r="GI98" s="619"/>
      <c r="GJ98" s="622"/>
    </row>
    <row r="99" spans="1:192" s="1031" customFormat="1" ht="12.75" customHeight="1" outlineLevel="1">
      <c r="A99" s="1027"/>
      <c r="B99" s="727" t="s">
        <v>34</v>
      </c>
      <c r="C99" s="1028"/>
      <c r="D99" s="1028"/>
      <c r="E99" s="1028"/>
      <c r="F99" s="1028"/>
      <c r="G99" s="1029"/>
      <c r="H99" s="1028"/>
      <c r="I99" s="1028"/>
      <c r="J99" s="1028"/>
      <c r="K99" s="1028"/>
      <c r="L99" s="1029"/>
      <c r="M99" s="1028"/>
      <c r="N99" s="1028"/>
      <c r="O99" s="1028"/>
      <c r="P99" s="1028"/>
      <c r="Q99" s="1029"/>
      <c r="R99" s="1030"/>
      <c r="S99" s="1030"/>
      <c r="T99" s="1030"/>
      <c r="U99" s="1030"/>
      <c r="V99" s="1029"/>
      <c r="W99" s="1030"/>
      <c r="X99" s="1030"/>
      <c r="Y99" s="1030"/>
      <c r="Z99" s="1030"/>
      <c r="AA99" s="1029"/>
      <c r="AB99" s="1030"/>
      <c r="AC99" s="1030"/>
      <c r="AD99" s="1030"/>
      <c r="AE99" s="1030"/>
      <c r="AF99" s="1029"/>
      <c r="AG99" s="1030"/>
      <c r="AH99" s="1030"/>
      <c r="AI99" s="1030"/>
      <c r="AJ99" s="1030"/>
      <c r="AK99" s="1029"/>
      <c r="AL99" s="1028"/>
      <c r="AM99" s="1028"/>
      <c r="AN99" s="1028"/>
      <c r="AO99" s="1028"/>
      <c r="AP99" s="1029"/>
      <c r="AQ99" s="1028"/>
      <c r="AR99" s="1028"/>
      <c r="AS99" s="1028"/>
      <c r="AT99" s="1028"/>
      <c r="AU99" s="1029"/>
      <c r="AV99" s="1028"/>
      <c r="AW99" s="1028"/>
      <c r="AX99" s="1028"/>
      <c r="AY99" s="1028"/>
      <c r="AZ99" s="1029"/>
      <c r="BA99" s="1028"/>
      <c r="BB99" s="1028"/>
      <c r="BC99" s="1028"/>
      <c r="BD99" s="1028"/>
      <c r="BE99" s="1029"/>
      <c r="BF99" s="1028"/>
      <c r="BG99" s="1028"/>
      <c r="BH99" s="1028"/>
      <c r="BI99" s="1028"/>
      <c r="BJ99" s="1029"/>
      <c r="BK99" s="1028"/>
      <c r="BL99" s="1028"/>
      <c r="BM99" s="1028"/>
      <c r="BN99" s="1028"/>
      <c r="BO99" s="1029"/>
      <c r="BP99" s="1028"/>
      <c r="BQ99" s="1028"/>
      <c r="BR99" s="1028"/>
      <c r="BS99" s="1028"/>
      <c r="BT99" s="1029"/>
      <c r="BU99" s="1028"/>
      <c r="BV99" s="1028"/>
      <c r="BW99" s="1028"/>
      <c r="BX99" s="1028"/>
      <c r="BY99" s="1029"/>
      <c r="BZ99" s="1028"/>
      <c r="CA99" s="1028"/>
      <c r="CB99" s="1028"/>
      <c r="CC99" s="1028"/>
      <c r="CD99" s="1029"/>
      <c r="CE99" s="1028"/>
      <c r="CF99" s="1028"/>
      <c r="CG99" s="1028"/>
      <c r="CH99" s="1028"/>
      <c r="CI99" s="1029"/>
      <c r="CJ99" s="1028"/>
      <c r="CK99" s="1028"/>
      <c r="CL99" s="1028"/>
      <c r="CM99" s="1028"/>
      <c r="CN99" s="1029"/>
      <c r="CO99" s="1028"/>
      <c r="CP99" s="1028"/>
      <c r="CQ99" s="1028"/>
      <c r="CR99" s="1028"/>
      <c r="CS99" s="1029"/>
      <c r="CT99" s="1028"/>
      <c r="CU99" s="1028"/>
      <c r="CV99" s="1028"/>
      <c r="CW99" s="1028"/>
      <c r="CX99" s="1461"/>
      <c r="CY99" s="1462"/>
      <c r="CZ99" s="1462"/>
      <c r="DA99" s="1462"/>
      <c r="DB99" s="1462"/>
      <c r="DC99" s="1461"/>
      <c r="DD99" s="1462"/>
      <c r="DE99" s="1462"/>
      <c r="DF99" s="1462"/>
      <c r="DG99" s="1462"/>
      <c r="DH99" s="1461"/>
      <c r="DI99" s="1462"/>
      <c r="DJ99" s="1462"/>
      <c r="DK99" s="1462"/>
      <c r="DL99" s="1462"/>
      <c r="DM99" s="1461"/>
      <c r="DN99" s="1462"/>
      <c r="DO99" s="1462"/>
      <c r="DP99" s="1462"/>
      <c r="DQ99" s="1462"/>
      <c r="DR99" s="1461"/>
      <c r="DS99" s="1462"/>
      <c r="DT99" s="1462"/>
      <c r="DU99" s="1462"/>
      <c r="DV99" s="1462"/>
      <c r="DW99" s="1461"/>
      <c r="DX99" s="1462">
        <f t="shared" ref="DX99:ET99" si="90">DX98/DS98-1</f>
      </c>
      <c r="DY99" s="1462">
        <f t="shared" si="90"/>
      </c>
      <c r="DZ99" s="1462">
        <f t="shared" si="90"/>
      </c>
      <c r="EA99" s="1462">
        <f t="shared" si="90"/>
      </c>
      <c r="EB99" s="1461">
        <f t="shared" si="90"/>
      </c>
      <c r="EC99" s="1462">
        <f t="shared" si="90"/>
      </c>
      <c r="ED99" s="1462">
        <f t="shared" si="90"/>
      </c>
      <c r="EE99" s="1462">
        <f t="shared" si="90"/>
      </c>
      <c r="EF99" s="1462">
        <f t="shared" si="90"/>
      </c>
      <c r="EG99" s="1461">
        <f t="shared" si="90"/>
      </c>
      <c r="EH99" s="1462">
        <f t="shared" si="90"/>
      </c>
      <c r="EI99" s="1462">
        <f t="shared" si="90"/>
      </c>
      <c r="EJ99" s="1462">
        <f t="shared" si="90"/>
      </c>
      <c r="EK99" s="1462">
        <f t="shared" si="90"/>
      </c>
      <c r="EL99" s="1461">
        <f t="shared" si="90"/>
      </c>
      <c r="EM99" s="1462">
        <f t="shared" si="90"/>
      </c>
      <c r="EN99" s="1462">
        <f t="shared" si="90"/>
      </c>
      <c r="EO99" s="1462">
        <f t="shared" si="90"/>
      </c>
      <c r="EP99" s="1462">
        <f t="shared" si="90"/>
      </c>
      <c r="EQ99" s="1461">
        <f t="shared" si="90"/>
      </c>
      <c r="ER99" s="1462">
        <f t="shared" si="90"/>
      </c>
      <c r="ES99" s="1462">
        <f t="shared" si="90"/>
      </c>
      <c r="ET99" s="1462">
        <f t="shared" si="90"/>
      </c>
      <c r="EU99" s="1462">
        <f>EU98/EP98-1</f>
      </c>
      <c r="EV99" s="1461">
        <f>EV98/EQ98-1</f>
      </c>
      <c r="EW99" s="1462">
        <f t="shared" ref="EW99:EY99" si="91">EW98/ER98-1</f>
      </c>
      <c r="EX99" s="1462">
        <f t="shared" si="91"/>
      </c>
      <c r="EY99" s="1462">
        <f t="shared" si="91"/>
      </c>
      <c r="EZ99" s="1462">
        <f>EZ98/EU98-1</f>
      </c>
      <c r="FA99" s="1461">
        <f>FA98/EV98-1</f>
      </c>
      <c r="FB99" s="1462"/>
      <c r="FC99" s="1462"/>
      <c r="FD99" s="1462"/>
      <c r="FE99" s="1462"/>
      <c r="FF99" s="1461"/>
      <c r="FG99" s="1462"/>
      <c r="FH99" s="1462"/>
      <c r="FI99" s="1462"/>
      <c r="FJ99" s="1462"/>
      <c r="FK99" s="1461"/>
      <c r="FL99" s="1462"/>
      <c r="FM99" s="1462"/>
      <c r="FN99" s="1462"/>
      <c r="FO99" s="1462"/>
      <c r="FP99" s="1461"/>
      <c r="FQ99" s="1462"/>
      <c r="FR99" s="1462"/>
      <c r="FS99" s="1462"/>
      <c r="FT99" s="1462"/>
      <c r="FU99" s="1461"/>
      <c r="FV99" s="1462"/>
      <c r="FW99" s="1462"/>
      <c r="FX99" s="1462"/>
      <c r="FY99" s="1462"/>
      <c r="FZ99" s="1461"/>
      <c r="GA99" s="1462"/>
      <c r="GB99" s="1462"/>
      <c r="GC99" s="1462"/>
      <c r="GD99" s="1462"/>
      <c r="GE99" s="1461"/>
      <c r="GF99" s="1462"/>
      <c r="GG99" s="1462"/>
      <c r="GH99" s="1462"/>
      <c r="GI99" s="1462"/>
      <c r="GJ99" s="1461"/>
    </row>
    <row r="100" spans="1:192" s="1031" customFormat="1" ht="12.75" customHeight="1" outlineLevel="1">
      <c r="A100" s="1027"/>
      <c r="B100" s="727" t="s">
        <v>36</v>
      </c>
      <c r="C100" s="1028"/>
      <c r="D100" s="1028"/>
      <c r="E100" s="1028"/>
      <c r="F100" s="1028"/>
      <c r="G100" s="1029"/>
      <c r="H100" s="1028"/>
      <c r="I100" s="1028"/>
      <c r="J100" s="1028"/>
      <c r="K100" s="1028"/>
      <c r="L100" s="1029"/>
      <c r="M100" s="1028"/>
      <c r="N100" s="1028"/>
      <c r="O100" s="1028"/>
      <c r="P100" s="1028"/>
      <c r="Q100" s="1029"/>
      <c r="R100" s="1030"/>
      <c r="S100" s="1030"/>
      <c r="T100" s="1030"/>
      <c r="U100" s="1030"/>
      <c r="V100" s="1029"/>
      <c r="W100" s="1030"/>
      <c r="X100" s="1030"/>
      <c r="Y100" s="1030"/>
      <c r="Z100" s="1030"/>
      <c r="AA100" s="1029"/>
      <c r="AB100" s="1030"/>
      <c r="AC100" s="1030"/>
      <c r="AD100" s="1030"/>
      <c r="AE100" s="1030"/>
      <c r="AF100" s="1029"/>
      <c r="AG100" s="1030"/>
      <c r="AH100" s="1030"/>
      <c r="AI100" s="1030"/>
      <c r="AJ100" s="1030"/>
      <c r="AK100" s="1029"/>
      <c r="AL100" s="1028"/>
      <c r="AM100" s="1028"/>
      <c r="AN100" s="1028"/>
      <c r="AO100" s="1028"/>
      <c r="AP100" s="1029"/>
      <c r="AQ100" s="1028"/>
      <c r="AR100" s="1028"/>
      <c r="AS100" s="1028"/>
      <c r="AT100" s="1028"/>
      <c r="AU100" s="1029"/>
      <c r="AV100" s="1028"/>
      <c r="AW100" s="1028"/>
      <c r="AX100" s="1028"/>
      <c r="AY100" s="1028"/>
      <c r="AZ100" s="1029"/>
      <c r="BA100" s="1028"/>
      <c r="BB100" s="1028"/>
      <c r="BC100" s="1028"/>
      <c r="BD100" s="1028"/>
      <c r="BE100" s="1029"/>
      <c r="BF100" s="1028"/>
      <c r="BG100" s="1028"/>
      <c r="BH100" s="1028"/>
      <c r="BI100" s="1028"/>
      <c r="BJ100" s="1029"/>
      <c r="BK100" s="1028"/>
      <c r="BL100" s="1028"/>
      <c r="BM100" s="1028"/>
      <c r="BN100" s="1028"/>
      <c r="BO100" s="1029"/>
      <c r="BP100" s="1028"/>
      <c r="BQ100" s="1028"/>
      <c r="BR100" s="1028"/>
      <c r="BS100" s="1028"/>
      <c r="BT100" s="1029"/>
      <c r="BU100" s="1028"/>
      <c r="BV100" s="1028"/>
      <c r="BW100" s="1028"/>
      <c r="BX100" s="1028"/>
      <c r="BY100" s="1029"/>
      <c r="BZ100" s="1028"/>
      <c r="CA100" s="1028"/>
      <c r="CB100" s="1028"/>
      <c r="CC100" s="1028"/>
      <c r="CD100" s="1029"/>
      <c r="CE100" s="1028"/>
      <c r="CF100" s="1028"/>
      <c r="CG100" s="1028"/>
      <c r="CH100" s="1028"/>
      <c r="CI100" s="1029"/>
      <c r="CJ100" s="1028"/>
      <c r="CK100" s="1028"/>
      <c r="CL100" s="1028"/>
      <c r="CM100" s="1028"/>
      <c r="CN100" s="1029"/>
      <c r="CO100" s="1028"/>
      <c r="CP100" s="1028"/>
      <c r="CQ100" s="1028"/>
      <c r="CR100" s="1028"/>
      <c r="CS100" s="1029"/>
      <c r="CT100" s="1028"/>
      <c r="CU100" s="1028"/>
      <c r="CV100" s="1028"/>
      <c r="CW100" s="1028"/>
      <c r="CX100" s="1461"/>
      <c r="CY100" s="1462"/>
      <c r="CZ100" s="1462"/>
      <c r="DA100" s="1462"/>
      <c r="DB100" s="1462"/>
      <c r="DC100" s="1461"/>
      <c r="DD100" s="1462"/>
      <c r="DE100" s="1462"/>
      <c r="DF100" s="1462"/>
      <c r="DG100" s="1462"/>
      <c r="DH100" s="1461"/>
      <c r="DI100" s="1462"/>
      <c r="DJ100" s="1462"/>
      <c r="DK100" s="1462"/>
      <c r="DL100" s="1462"/>
      <c r="DM100" s="1461"/>
      <c r="DN100" s="1462"/>
      <c r="DO100" s="1462"/>
      <c r="DP100" s="1462"/>
      <c r="DQ100" s="1462"/>
      <c r="DR100" s="1461"/>
      <c r="DS100" s="1462"/>
      <c r="DT100" s="1462">
        <f>DT98/DS98-1</f>
      </c>
      <c r="DU100" s="1462">
        <f>DU98/DT98-1</f>
      </c>
      <c r="DV100" s="1462">
        <f>DV98/DU98-1</f>
      </c>
      <c r="DW100" s="1461"/>
      <c r="DX100" s="1462">
        <f>DX98/DV98-1</f>
      </c>
      <c r="DY100" s="1462">
        <f>DY98/DX98-1</f>
      </c>
      <c r="DZ100" s="1462">
        <f>DZ98/DY98-1</f>
      </c>
      <c r="EA100" s="1462">
        <f>EA98/DZ98-1</f>
      </c>
      <c r="EB100" s="1461"/>
      <c r="EC100" s="1462">
        <f>EC98/EA98-1</f>
      </c>
      <c r="ED100" s="1462">
        <f>ED98/EC98-1</f>
      </c>
      <c r="EE100" s="1462">
        <f>EE98/ED98-1</f>
      </c>
      <c r="EF100" s="1462">
        <f>EF98/EE98-1</f>
      </c>
      <c r="EG100" s="1461"/>
      <c r="EH100" s="1462">
        <f>EH98/EF98-1</f>
      </c>
      <c r="EI100" s="1462">
        <f>EI98/EH98-1</f>
      </c>
      <c r="EJ100" s="1462">
        <f>EJ98/EI98-1</f>
      </c>
      <c r="EK100" s="1462">
        <f>EK98/EJ98-1</f>
      </c>
      <c r="EL100" s="1461"/>
      <c r="EM100" s="1462">
        <f>EM98/EK98-1</f>
      </c>
      <c r="EN100" s="1462">
        <f>EN98/EM98-1</f>
      </c>
      <c r="EO100" s="1462">
        <f>EO98/EN98-1</f>
      </c>
      <c r="EP100" s="1462">
        <f>EP98/EO98-1</f>
      </c>
      <c r="EQ100" s="1461"/>
      <c r="ER100" s="1462">
        <f>ER98/EP98-1</f>
      </c>
      <c r="ES100" s="1462">
        <f>ES98/ER98-1</f>
      </c>
      <c r="ET100" s="1462">
        <f>ET98/ES98-1</f>
      </c>
      <c r="EU100" s="1462">
        <f>EU98/ET98-1</f>
      </c>
      <c r="EV100" s="1461"/>
      <c r="EW100" s="1462">
        <f>EW98/EU98-1</f>
      </c>
      <c r="EX100" s="1462">
        <f>EX98/EW98-1</f>
      </c>
      <c r="EY100" s="1462">
        <f>EY98/EX98-1</f>
      </c>
      <c r="EZ100" s="1462">
        <f>EZ98/EY98-1</f>
      </c>
      <c r="FA100" s="1461"/>
      <c r="FB100" s="1462"/>
      <c r="FC100" s="1462"/>
      <c r="FD100" s="1462"/>
      <c r="FE100" s="1462"/>
      <c r="FF100" s="1461"/>
      <c r="FG100" s="1462"/>
      <c r="FH100" s="1462"/>
      <c r="FI100" s="1462"/>
      <c r="FJ100" s="1462"/>
      <c r="FK100" s="1461"/>
      <c r="FL100" s="1462"/>
      <c r="FM100" s="1462"/>
      <c r="FN100" s="1462"/>
      <c r="FO100" s="1462"/>
      <c r="FP100" s="1461"/>
      <c r="FQ100" s="1462"/>
      <c r="FR100" s="1462"/>
      <c r="FS100" s="1462"/>
      <c r="FT100" s="1462"/>
      <c r="FU100" s="1461"/>
      <c r="FV100" s="1462"/>
      <c r="FW100" s="1462"/>
      <c r="FX100" s="1462"/>
      <c r="FY100" s="1462"/>
      <c r="FZ100" s="1461"/>
      <c r="GA100" s="1462"/>
      <c r="GB100" s="1462"/>
      <c r="GC100" s="1462"/>
      <c r="GD100" s="1462"/>
      <c r="GE100" s="1461"/>
      <c r="GF100" s="1462"/>
      <c r="GG100" s="1462"/>
      <c r="GH100" s="1462"/>
      <c r="GI100" s="1462"/>
      <c r="GJ100" s="1461"/>
    </row>
    <row r="101" spans="1:192" s="1031" customFormat="1" ht="12.75" customHeight="1" outlineLevel="1">
      <c r="A101" s="1027"/>
      <c r="B101" s="727" t="s">
        <v>448</v>
      </c>
      <c r="C101" s="1028"/>
      <c r="D101" s="1028"/>
      <c r="E101" s="1028"/>
      <c r="F101" s="1028"/>
      <c r="G101" s="1029"/>
      <c r="H101" s="1028"/>
      <c r="I101" s="1028"/>
      <c r="J101" s="1028"/>
      <c r="K101" s="1028"/>
      <c r="L101" s="1029"/>
      <c r="M101" s="1028"/>
      <c r="N101" s="1028"/>
      <c r="O101" s="1028"/>
      <c r="P101" s="1028"/>
      <c r="Q101" s="1029"/>
      <c r="R101" s="1030"/>
      <c r="S101" s="1030"/>
      <c r="T101" s="1030"/>
      <c r="U101" s="1030"/>
      <c r="V101" s="1029"/>
      <c r="W101" s="1030"/>
      <c r="X101" s="1030"/>
      <c r="Y101" s="1030"/>
      <c r="Z101" s="1030"/>
      <c r="AA101" s="1029"/>
      <c r="AB101" s="1030"/>
      <c r="AC101" s="1030"/>
      <c r="AD101" s="1030"/>
      <c r="AE101" s="1030"/>
      <c r="AF101" s="1029"/>
      <c r="AG101" s="1030"/>
      <c r="AH101" s="1030"/>
      <c r="AI101" s="1030"/>
      <c r="AJ101" s="1030"/>
      <c r="AK101" s="1029"/>
      <c r="AL101" s="1028"/>
      <c r="AM101" s="1028"/>
      <c r="AN101" s="1028"/>
      <c r="AO101" s="1028"/>
      <c r="AP101" s="1029"/>
      <c r="AQ101" s="1028"/>
      <c r="AR101" s="1028"/>
      <c r="AS101" s="1028"/>
      <c r="AT101" s="1028"/>
      <c r="AU101" s="1029"/>
      <c r="AV101" s="1028"/>
      <c r="AW101" s="1028"/>
      <c r="AX101" s="1028"/>
      <c r="AY101" s="1028"/>
      <c r="AZ101" s="1029"/>
      <c r="BA101" s="1028"/>
      <c r="BB101" s="1028"/>
      <c r="BC101" s="1028"/>
      <c r="BD101" s="1028"/>
      <c r="BE101" s="1029"/>
      <c r="BF101" s="1028"/>
      <c r="BG101" s="1028"/>
      <c r="BH101" s="1028"/>
      <c r="BI101" s="1028"/>
      <c r="BJ101" s="1029"/>
      <c r="BK101" s="1028"/>
      <c r="BL101" s="1028"/>
      <c r="BM101" s="1028"/>
      <c r="BN101" s="1028"/>
      <c r="BO101" s="1029"/>
      <c r="BP101" s="1028"/>
      <c r="BQ101" s="1028"/>
      <c r="BR101" s="1028"/>
      <c r="BS101" s="1028"/>
      <c r="BT101" s="1029"/>
      <c r="BU101" s="1028"/>
      <c r="BV101" s="1028"/>
      <c r="BW101" s="1028"/>
      <c r="BX101" s="1028"/>
      <c r="BY101" s="1029"/>
      <c r="BZ101" s="1028"/>
      <c r="CA101" s="1028"/>
      <c r="CB101" s="1028"/>
      <c r="CC101" s="1028"/>
      <c r="CD101" s="1029"/>
      <c r="CE101" s="1028"/>
      <c r="CF101" s="1028"/>
      <c r="CG101" s="1028"/>
      <c r="CH101" s="1028"/>
      <c r="CI101" s="1029"/>
      <c r="CJ101" s="1028"/>
      <c r="CK101" s="1028"/>
      <c r="CL101" s="1028"/>
      <c r="CM101" s="1028"/>
      <c r="CN101" s="1029"/>
      <c r="CO101" s="1028"/>
      <c r="CP101" s="1028"/>
      <c r="CQ101" s="1028"/>
      <c r="CR101" s="1028"/>
      <c r="CS101" s="1029"/>
      <c r="CT101" s="1028"/>
      <c r="CU101" s="1028"/>
      <c r="CV101" s="1028"/>
      <c r="CW101" s="1028"/>
      <c r="CX101" s="1461"/>
      <c r="CY101" s="1462"/>
      <c r="CZ101" s="1462"/>
      <c r="DA101" s="1462"/>
      <c r="DB101" s="1462"/>
      <c r="DC101" s="1461"/>
      <c r="DD101" s="1462"/>
      <c r="DE101" s="1462"/>
      <c r="DF101" s="1462"/>
      <c r="DG101" s="1462"/>
      <c r="DH101" s="1461"/>
      <c r="DI101" s="1438"/>
      <c r="DJ101" s="1438"/>
      <c r="DK101" s="1438"/>
      <c r="DL101" s="1438"/>
      <c r="DM101" s="1175"/>
      <c r="DN101" s="1438"/>
      <c r="DO101" s="1438"/>
      <c r="DP101" s="1438"/>
      <c r="DQ101" s="1438"/>
      <c r="DR101" s="1175"/>
      <c r="DS101" s="1438">
        <f t="shared" ref="DS101:ET101" si="92">DS98-DN98</f>
      </c>
      <c r="DT101" s="1438">
        <f t="shared" si="92"/>
      </c>
      <c r="DU101" s="1438">
        <f t="shared" si="92"/>
      </c>
      <c r="DV101" s="1438">
        <f t="shared" si="92"/>
      </c>
      <c r="DW101" s="1175">
        <f t="shared" si="92"/>
      </c>
      <c r="DX101" s="1438">
        <f t="shared" si="92"/>
      </c>
      <c r="DY101" s="1438">
        <f t="shared" si="92"/>
      </c>
      <c r="DZ101" s="1438">
        <f t="shared" si="92"/>
      </c>
      <c r="EA101" s="1438">
        <f t="shared" si="92"/>
      </c>
      <c r="EB101" s="1175">
        <f t="shared" si="92"/>
      </c>
      <c r="EC101" s="1438">
        <f t="shared" si="92"/>
      </c>
      <c r="ED101" s="1438">
        <f t="shared" si="92"/>
      </c>
      <c r="EE101" s="1438">
        <f t="shared" si="92"/>
      </c>
      <c r="EF101" s="1438">
        <f t="shared" si="92"/>
      </c>
      <c r="EG101" s="1175">
        <f t="shared" si="92"/>
      </c>
      <c r="EH101" s="1438">
        <f t="shared" si="92"/>
      </c>
      <c r="EI101" s="1438">
        <f t="shared" si="92"/>
      </c>
      <c r="EJ101" s="1438">
        <f t="shared" si="92"/>
      </c>
      <c r="EK101" s="1438">
        <f t="shared" si="92"/>
      </c>
      <c r="EL101" s="1175">
        <f t="shared" si="92"/>
      </c>
      <c r="EM101" s="1438">
        <f t="shared" si="92"/>
      </c>
      <c r="EN101" s="1438">
        <f t="shared" si="92"/>
      </c>
      <c r="EO101" s="1438">
        <f t="shared" si="92"/>
      </c>
      <c r="EP101" s="1438">
        <f t="shared" si="92"/>
      </c>
      <c r="EQ101" s="1175">
        <f t="shared" si="92"/>
      </c>
      <c r="ER101" s="1438">
        <f t="shared" si="92"/>
      </c>
      <c r="ES101" s="1438">
        <f t="shared" si="92"/>
      </c>
      <c r="ET101" s="1438">
        <f t="shared" si="92"/>
      </c>
      <c r="EU101" s="1438">
        <f>EU98-EP98</f>
      </c>
      <c r="EV101" s="1175">
        <f>EV98-EQ98</f>
      </c>
      <c r="EW101" s="1438">
        <f t="shared" ref="EW101:EY101" si="93">EW98-ER98</f>
      </c>
      <c r="EX101" s="1438">
        <f t="shared" si="93"/>
      </c>
      <c r="EY101" s="1438">
        <f t="shared" si="93"/>
      </c>
      <c r="EZ101" s="1438">
        <f>EZ98-EU98</f>
      </c>
      <c r="FA101" s="1175">
        <f>FA98-EV98</f>
      </c>
      <c r="FB101" s="1462"/>
      <c r="FC101" s="1462"/>
      <c r="FD101" s="1462"/>
      <c r="FE101" s="1462"/>
      <c r="FF101" s="1461"/>
      <c r="FG101" s="1462"/>
      <c r="FH101" s="1462"/>
      <c r="FI101" s="1462"/>
      <c r="FJ101" s="1462"/>
      <c r="FK101" s="1461"/>
      <c r="FL101" s="1462"/>
      <c r="FM101" s="1462"/>
      <c r="FN101" s="1462"/>
      <c r="FO101" s="1462"/>
      <c r="FP101" s="1461"/>
      <c r="FQ101" s="1462"/>
      <c r="FR101" s="1462"/>
      <c r="FS101" s="1462"/>
      <c r="FT101" s="1462"/>
      <c r="FU101" s="1461"/>
      <c r="FV101" s="1462"/>
      <c r="FW101" s="1462"/>
      <c r="FX101" s="1462"/>
      <c r="FY101" s="1462"/>
      <c r="FZ101" s="1461"/>
      <c r="GA101" s="1462"/>
      <c r="GB101" s="1462"/>
      <c r="GC101" s="1462"/>
      <c r="GD101" s="1462"/>
      <c r="GE101" s="1461"/>
      <c r="GF101" s="1462"/>
      <c r="GG101" s="1462"/>
      <c r="GH101" s="1462"/>
      <c r="GI101" s="1462"/>
      <c r="GJ101" s="1461"/>
    </row>
    <row r="102" spans="1:192" s="1031" customFormat="1" ht="12.75" customHeight="1" outlineLevel="1">
      <c r="A102" s="1027"/>
      <c r="B102" s="727" t="s">
        <v>449</v>
      </c>
      <c r="C102" s="1028"/>
      <c r="D102" s="1028"/>
      <c r="E102" s="1028"/>
      <c r="F102" s="1028"/>
      <c r="G102" s="1029"/>
      <c r="H102" s="1028"/>
      <c r="I102" s="1028"/>
      <c r="J102" s="1028"/>
      <c r="K102" s="1028"/>
      <c r="L102" s="1029"/>
      <c r="M102" s="1028"/>
      <c r="N102" s="1028"/>
      <c r="O102" s="1028"/>
      <c r="P102" s="1028"/>
      <c r="Q102" s="1029"/>
      <c r="R102" s="1030"/>
      <c r="S102" s="1030"/>
      <c r="T102" s="1030"/>
      <c r="U102" s="1030"/>
      <c r="V102" s="1029"/>
      <c r="W102" s="1030"/>
      <c r="X102" s="1030"/>
      <c r="Y102" s="1030"/>
      <c r="Z102" s="1030"/>
      <c r="AA102" s="1029"/>
      <c r="AB102" s="1030"/>
      <c r="AC102" s="1030"/>
      <c r="AD102" s="1030"/>
      <c r="AE102" s="1030"/>
      <c r="AF102" s="1029"/>
      <c r="AG102" s="1030"/>
      <c r="AH102" s="1030"/>
      <c r="AI102" s="1030"/>
      <c r="AJ102" s="1030"/>
      <c r="AK102" s="1029"/>
      <c r="AL102" s="1028"/>
      <c r="AM102" s="1028"/>
      <c r="AN102" s="1028"/>
      <c r="AO102" s="1028"/>
      <c r="AP102" s="1029"/>
      <c r="AQ102" s="1028"/>
      <c r="AR102" s="1028"/>
      <c r="AS102" s="1028"/>
      <c r="AT102" s="1028"/>
      <c r="AU102" s="1029"/>
      <c r="AV102" s="1028"/>
      <c r="AW102" s="1028"/>
      <c r="AX102" s="1028"/>
      <c r="AY102" s="1028"/>
      <c r="AZ102" s="1029"/>
      <c r="BA102" s="1028"/>
      <c r="BB102" s="1028"/>
      <c r="BC102" s="1028"/>
      <c r="BD102" s="1028"/>
      <c r="BE102" s="1029"/>
      <c r="BF102" s="1028"/>
      <c r="BG102" s="1028"/>
      <c r="BH102" s="1028"/>
      <c r="BI102" s="1028"/>
      <c r="BJ102" s="1029"/>
      <c r="BK102" s="1028"/>
      <c r="BL102" s="1028"/>
      <c r="BM102" s="1028"/>
      <c r="BN102" s="1028"/>
      <c r="BO102" s="1029"/>
      <c r="BP102" s="1028"/>
      <c r="BQ102" s="1028"/>
      <c r="BR102" s="1028"/>
      <c r="BS102" s="1028"/>
      <c r="BT102" s="1029"/>
      <c r="BU102" s="1028"/>
      <c r="BV102" s="1028"/>
      <c r="BW102" s="1028"/>
      <c r="BX102" s="1028"/>
      <c r="BY102" s="1029"/>
      <c r="BZ102" s="1028"/>
      <c r="CA102" s="1028"/>
      <c r="CB102" s="1028"/>
      <c r="CC102" s="1028"/>
      <c r="CD102" s="1029"/>
      <c r="CE102" s="1028"/>
      <c r="CF102" s="1028"/>
      <c r="CG102" s="1028"/>
      <c r="CH102" s="1028"/>
      <c r="CI102" s="1029"/>
      <c r="CJ102" s="1028"/>
      <c r="CK102" s="1028"/>
      <c r="CL102" s="1028"/>
      <c r="CM102" s="1028"/>
      <c r="CN102" s="1029"/>
      <c r="CO102" s="1028"/>
      <c r="CP102" s="1028"/>
      <c r="CQ102" s="1028"/>
      <c r="CR102" s="1028"/>
      <c r="CS102" s="1029"/>
      <c r="CT102" s="1028"/>
      <c r="CU102" s="1028"/>
      <c r="CV102" s="1028"/>
      <c r="CW102" s="1028"/>
      <c r="CX102" s="1461"/>
      <c r="CY102" s="1462"/>
      <c r="CZ102" s="1462"/>
      <c r="DA102" s="1462"/>
      <c r="DB102" s="1462"/>
      <c r="DC102" s="1461"/>
      <c r="DD102" s="1462"/>
      <c r="DE102" s="1438"/>
      <c r="DF102" s="1438"/>
      <c r="DG102" s="1438"/>
      <c r="DH102" s="1461"/>
      <c r="DI102" s="1438"/>
      <c r="DJ102" s="1438"/>
      <c r="DK102" s="1438"/>
      <c r="DL102" s="1438"/>
      <c r="DM102" s="1175"/>
      <c r="DN102" s="1438"/>
      <c r="DO102" s="1438"/>
      <c r="DP102" s="1438"/>
      <c r="DQ102" s="1438"/>
      <c r="DR102" s="1175"/>
      <c r="DS102" s="1438">
        <f>DS98-DQ98</f>
      </c>
      <c r="DT102" s="1438">
        <f>DT98-DS98</f>
      </c>
      <c r="DU102" s="1438">
        <f>DU98-DT98</f>
      </c>
      <c r="DV102" s="1438">
        <f>DV98-DU98</f>
      </c>
      <c r="DW102" s="1175"/>
      <c r="DX102" s="1438">
        <f>DX98-DV98</f>
      </c>
      <c r="DY102" s="1438">
        <f>DY98-DX98</f>
      </c>
      <c r="DZ102" s="1438">
        <f>DZ98-DY98</f>
      </c>
      <c r="EA102" s="1438">
        <f>EA98-DZ98</f>
      </c>
      <c r="EB102" s="1175"/>
      <c r="EC102" s="1438">
        <f>EC98-EA98</f>
      </c>
      <c r="ED102" s="1438">
        <f>ED98-EC98</f>
      </c>
      <c r="EE102" s="1438">
        <f>EE98-ED98</f>
      </c>
      <c r="EF102" s="1438">
        <f>EF98-EE98</f>
      </c>
      <c r="EG102" s="1175"/>
      <c r="EH102" s="1438">
        <f>EH98-EF98</f>
      </c>
      <c r="EI102" s="1438">
        <f>EI98-EH98</f>
      </c>
      <c r="EJ102" s="1438">
        <f>EJ98-EI98</f>
      </c>
      <c r="EK102" s="1438">
        <f>EK98-EJ98</f>
      </c>
      <c r="EL102" s="1175"/>
      <c r="EM102" s="1438">
        <f>EM98-EK98</f>
      </c>
      <c r="EN102" s="1438">
        <f>EN98-EM98</f>
      </c>
      <c r="EO102" s="1438">
        <f>EO98-EN98</f>
      </c>
      <c r="EP102" s="1438">
        <f>EP98-EO98</f>
      </c>
      <c r="EQ102" s="1175"/>
      <c r="ER102" s="1438">
        <f>ER98-EP98</f>
      </c>
      <c r="ES102" s="1438">
        <f>ES98-ER98</f>
      </c>
      <c r="ET102" s="1438">
        <f>ET98-ES98</f>
      </c>
      <c r="EU102" s="1438">
        <f>EU98-ET98</f>
      </c>
      <c r="EV102" s="1175"/>
      <c r="EW102" s="1438">
        <f>EW98-EU98</f>
      </c>
      <c r="EX102" s="1438">
        <f>EX98-EW98</f>
      </c>
      <c r="EY102" s="1438">
        <f>EY98-EX98</f>
      </c>
      <c r="EZ102" s="1438">
        <f>EZ98-EY98</f>
      </c>
      <c r="FA102" s="1175"/>
      <c r="FB102" s="1462"/>
      <c r="FC102" s="1462"/>
      <c r="FD102" s="1462"/>
      <c r="FE102" s="1462"/>
      <c r="FF102" s="1461"/>
      <c r="FG102" s="1462"/>
      <c r="FH102" s="1462"/>
      <c r="FI102" s="1462"/>
      <c r="FJ102" s="1462"/>
      <c r="FK102" s="1461"/>
      <c r="FL102" s="1462"/>
      <c r="FM102" s="1462"/>
      <c r="FN102" s="1462"/>
      <c r="FO102" s="1462"/>
      <c r="FP102" s="1461"/>
      <c r="FQ102" s="1462"/>
      <c r="FR102" s="1462"/>
      <c r="FS102" s="1462"/>
      <c r="FT102" s="1462"/>
      <c r="FU102" s="1461"/>
      <c r="FV102" s="1462"/>
      <c r="FW102" s="1462"/>
      <c r="FX102" s="1462"/>
      <c r="FY102" s="1462"/>
      <c r="FZ102" s="1461"/>
      <c r="GA102" s="1462"/>
      <c r="GB102" s="1462"/>
      <c r="GC102" s="1462"/>
      <c r="GD102" s="1462"/>
      <c r="GE102" s="1461"/>
      <c r="GF102" s="1462"/>
      <c r="GG102" s="1462"/>
      <c r="GH102" s="1462"/>
      <c r="GI102" s="1462"/>
      <c r="GJ102" s="1461"/>
    </row>
    <row r="103" spans="1:192" s="1154" customFormat="1" ht="12.75" customHeight="1" outlineLevel="1">
      <c r="A103" s="1027"/>
      <c r="B103" s="1150" t="s">
        <v>454</v>
      </c>
      <c r="C103" s="1151"/>
      <c r="D103" s="1151"/>
      <c r="E103" s="1151"/>
      <c r="F103" s="1151"/>
      <c r="G103" s="1152"/>
      <c r="H103" s="1151"/>
      <c r="I103" s="1151"/>
      <c r="J103" s="1151"/>
      <c r="K103" s="1151"/>
      <c r="L103" s="1152"/>
      <c r="M103" s="1153"/>
      <c r="N103" s="1153"/>
      <c r="O103" s="1153"/>
      <c r="P103" s="1153"/>
      <c r="Q103" s="1152"/>
      <c r="R103" s="1153"/>
      <c r="S103" s="1153"/>
      <c r="T103" s="1153"/>
      <c r="U103" s="1153"/>
      <c r="V103" s="1152"/>
      <c r="W103" s="1153"/>
      <c r="X103" s="1153"/>
      <c r="Y103" s="1153"/>
      <c r="Z103" s="1153"/>
      <c r="AA103" s="1152"/>
      <c r="AB103" s="1153"/>
      <c r="AC103" s="1153"/>
      <c r="AD103" s="1153"/>
      <c r="AE103" s="1153"/>
      <c r="AF103" s="1152"/>
      <c r="AG103" s="1153"/>
      <c r="AH103" s="1153"/>
      <c r="AI103" s="1153"/>
      <c r="AJ103" s="1153"/>
      <c r="AK103" s="1152"/>
      <c r="AL103" s="1151"/>
      <c r="AM103" s="1151"/>
      <c r="AN103" s="1151"/>
      <c r="AO103" s="1151"/>
      <c r="AP103" s="1152"/>
      <c r="AQ103" s="1151"/>
      <c r="AR103" s="1151"/>
      <c r="AS103" s="1151"/>
      <c r="AT103" s="1151"/>
      <c r="AU103" s="1152"/>
      <c r="AV103" s="1151"/>
      <c r="AW103" s="1151"/>
      <c r="AX103" s="1151"/>
      <c r="AY103" s="1151"/>
      <c r="AZ103" s="1152"/>
      <c r="BA103" s="1151"/>
      <c r="BB103" s="1151"/>
      <c r="BC103" s="1151"/>
      <c r="BD103" s="1151"/>
      <c r="BE103" s="1152"/>
      <c r="BF103" s="1151"/>
      <c r="BG103" s="1151"/>
      <c r="BH103" s="1151"/>
      <c r="BI103" s="1151"/>
      <c r="BJ103" s="1152"/>
      <c r="BK103" s="1151"/>
      <c r="BL103" s="1151"/>
      <c r="BM103" s="1151"/>
      <c r="BN103" s="1151"/>
      <c r="BO103" s="1152"/>
      <c r="BP103" s="1151"/>
      <c r="BQ103" s="1151"/>
      <c r="BR103" s="1151"/>
      <c r="BS103" s="1151"/>
      <c r="BT103" s="1152"/>
      <c r="BU103" s="1151"/>
      <c r="BV103" s="1151"/>
      <c r="BW103" s="1151"/>
      <c r="BX103" s="1151"/>
      <c r="BY103" s="1152"/>
      <c r="BZ103" s="1151"/>
      <c r="CA103" s="1151"/>
      <c r="CB103" s="1151"/>
      <c r="CC103" s="1151"/>
      <c r="CD103" s="1152"/>
      <c r="CE103" s="1151"/>
      <c r="CF103" s="1151"/>
      <c r="CG103" s="1151"/>
      <c r="CH103" s="1151"/>
      <c r="CI103" s="1152"/>
      <c r="CJ103" s="1151"/>
      <c r="CK103" s="1151"/>
      <c r="CL103" s="1151"/>
      <c r="CM103" s="1151"/>
      <c r="CN103" s="1152"/>
      <c r="CO103" s="1151"/>
      <c r="CP103" s="1151"/>
      <c r="CQ103" s="1151"/>
      <c r="CR103" s="1151"/>
      <c r="CS103" s="1152"/>
      <c r="CT103" s="1151"/>
      <c r="CU103" s="1151"/>
      <c r="CV103" s="1151"/>
      <c r="CW103" s="1151"/>
      <c r="CX103" s="1012"/>
      <c r="CY103" s="801"/>
      <c r="CZ103" s="801"/>
      <c r="DA103" s="801"/>
      <c r="DB103" s="801"/>
      <c r="DC103" s="1012"/>
      <c r="DD103" s="801"/>
      <c r="DE103" s="801"/>
      <c r="DF103" s="801"/>
      <c r="DG103" s="801"/>
      <c r="DH103" s="1012"/>
      <c r="DI103" s="801"/>
      <c r="DJ103" s="801"/>
      <c r="DK103" s="801"/>
      <c r="DL103" s="801"/>
      <c r="DM103" s="1012"/>
      <c r="DN103" s="1449"/>
      <c r="DO103" s="1449"/>
      <c r="DP103" s="1449"/>
      <c r="DQ103" s="1449"/>
      <c r="DR103" s="1463"/>
      <c r="DS103" s="1449">
        <f t="shared" ref="DS103:ET103" si="94">DS98/DS19</f>
      </c>
      <c r="DT103" s="1449">
        <f t="shared" si="94"/>
      </c>
      <c r="DU103" s="1449">
        <f t="shared" si="94"/>
      </c>
      <c r="DV103" s="1449">
        <f t="shared" si="94"/>
      </c>
      <c r="DW103" s="1463">
        <f t="shared" si="94"/>
      </c>
      <c r="DX103" s="1449">
        <f t="shared" si="94"/>
      </c>
      <c r="DY103" s="1449">
        <f t="shared" si="94"/>
      </c>
      <c r="DZ103" s="1449">
        <f t="shared" si="94"/>
      </c>
      <c r="EA103" s="1449">
        <f t="shared" si="94"/>
      </c>
      <c r="EB103" s="1463">
        <f t="shared" si="94"/>
      </c>
      <c r="EC103" s="1449">
        <f t="shared" si="94"/>
      </c>
      <c r="ED103" s="1449">
        <f t="shared" si="94"/>
      </c>
      <c r="EE103" s="1449">
        <f t="shared" si="94"/>
      </c>
      <c r="EF103" s="1449">
        <f t="shared" si="94"/>
      </c>
      <c r="EG103" s="1463">
        <f t="shared" si="94"/>
      </c>
      <c r="EH103" s="1449">
        <f t="shared" si="94"/>
      </c>
      <c r="EI103" s="1449">
        <f t="shared" si="94"/>
      </c>
      <c r="EJ103" s="1449">
        <f t="shared" si="94"/>
      </c>
      <c r="EK103" s="1449">
        <f t="shared" si="94"/>
      </c>
      <c r="EL103" s="772">
        <f t="shared" si="94"/>
      </c>
      <c r="EM103" s="1449">
        <f t="shared" si="94"/>
      </c>
      <c r="EN103" s="1449">
        <f t="shared" si="94"/>
      </c>
      <c r="EO103" s="1449">
        <f t="shared" si="94"/>
      </c>
      <c r="EP103" s="1449">
        <f t="shared" si="94"/>
      </c>
      <c r="EQ103" s="772">
        <f t="shared" si="94"/>
      </c>
      <c r="ER103" s="1449">
        <f t="shared" si="94"/>
      </c>
      <c r="ES103" s="1449">
        <f t="shared" si="94"/>
      </c>
      <c r="ET103" s="1449">
        <f t="shared" si="94"/>
      </c>
      <c r="EU103" s="1449">
        <f>EU98/EU19</f>
      </c>
      <c r="EV103" s="772">
        <f>EV98/EV19</f>
      </c>
      <c r="EW103" s="1449">
        <f t="shared" ref="EW103:EY103" si="95">EW98/EW19</f>
      </c>
      <c r="EX103" s="1449">
        <f t="shared" si="95"/>
      </c>
      <c r="EY103" s="1449">
        <f t="shared" si="95"/>
      </c>
      <c r="EZ103" s="1449">
        <f>EZ98/EZ19</f>
      </c>
      <c r="FA103" s="772">
        <f>FA98/FA19</f>
      </c>
      <c r="FB103" s="1025"/>
      <c r="FC103" s="1025"/>
      <c r="FD103" s="1025"/>
      <c r="FE103" s="1025"/>
      <c r="FF103" s="1012"/>
      <c r="FG103" s="1025"/>
      <c r="FH103" s="1025"/>
      <c r="FI103" s="1025"/>
      <c r="FJ103" s="1025"/>
      <c r="FK103" s="1012"/>
      <c r="FL103" s="1025"/>
      <c r="FM103" s="1025"/>
      <c r="FN103" s="1025"/>
      <c r="FO103" s="1025"/>
      <c r="FP103" s="1012"/>
      <c r="FQ103" s="1025"/>
      <c r="FR103" s="1025"/>
      <c r="FS103" s="1025"/>
      <c r="FT103" s="1025"/>
      <c r="FU103" s="1012"/>
      <c r="FV103" s="1025"/>
      <c r="FW103" s="1025"/>
      <c r="FX103" s="1025"/>
      <c r="FY103" s="1025"/>
      <c r="FZ103" s="1012"/>
      <c r="GA103" s="1025"/>
      <c r="GB103" s="1025"/>
      <c r="GC103" s="1025"/>
      <c r="GD103" s="1025"/>
      <c r="GE103" s="1012"/>
      <c r="GF103" s="1025"/>
      <c r="GG103" s="1025"/>
      <c r="GH103" s="1025"/>
      <c r="GI103" s="1025"/>
      <c r="GJ103" s="1012"/>
    </row>
    <row r="104" spans="1:192" s="1154" customFormat="1" ht="12.75" customHeight="1" outlineLevel="1">
      <c r="A104" s="1027"/>
      <c r="B104" s="1150" t="s">
        <v>450</v>
      </c>
      <c r="C104" s="1151"/>
      <c r="D104" s="1151"/>
      <c r="E104" s="1151"/>
      <c r="F104" s="1151"/>
      <c r="G104" s="1152"/>
      <c r="H104" s="1151"/>
      <c r="I104" s="1151"/>
      <c r="J104" s="1151"/>
      <c r="K104" s="1151"/>
      <c r="L104" s="1152"/>
      <c r="M104" s="1153"/>
      <c r="N104" s="1153"/>
      <c r="O104" s="1153"/>
      <c r="P104" s="1153"/>
      <c r="Q104" s="1152"/>
      <c r="R104" s="1153"/>
      <c r="S104" s="1153"/>
      <c r="T104" s="1153"/>
      <c r="U104" s="1153"/>
      <c r="V104" s="1152"/>
      <c r="W104" s="1153"/>
      <c r="X104" s="1153"/>
      <c r="Y104" s="1153"/>
      <c r="Z104" s="1153"/>
      <c r="AA104" s="1152"/>
      <c r="AB104" s="1153"/>
      <c r="AC104" s="1153"/>
      <c r="AD104" s="1153"/>
      <c r="AE104" s="1153"/>
      <c r="AF104" s="1152"/>
      <c r="AG104" s="1153"/>
      <c r="AH104" s="1153"/>
      <c r="AI104" s="1153"/>
      <c r="AJ104" s="1153"/>
      <c r="AK104" s="1152"/>
      <c r="AL104" s="1151"/>
      <c r="AM104" s="1151"/>
      <c r="AN104" s="1151"/>
      <c r="AO104" s="1151"/>
      <c r="AP104" s="1152"/>
      <c r="AQ104" s="1151"/>
      <c r="AR104" s="1151"/>
      <c r="AS104" s="1151"/>
      <c r="AT104" s="1151"/>
      <c r="AU104" s="1152"/>
      <c r="AV104" s="1151"/>
      <c r="AW104" s="1151"/>
      <c r="AX104" s="1151"/>
      <c r="AY104" s="1151"/>
      <c r="AZ104" s="1152"/>
      <c r="BA104" s="1151"/>
      <c r="BB104" s="1151"/>
      <c r="BC104" s="1151"/>
      <c r="BD104" s="1151"/>
      <c r="BE104" s="1152"/>
      <c r="BF104" s="1151"/>
      <c r="BG104" s="1151"/>
      <c r="BH104" s="1151"/>
      <c r="BI104" s="1151"/>
      <c r="BJ104" s="1152"/>
      <c r="BK104" s="1151"/>
      <c r="BL104" s="1151"/>
      <c r="BM104" s="1151"/>
      <c r="BN104" s="1151"/>
      <c r="BO104" s="1152"/>
      <c r="BP104" s="1151"/>
      <c r="BQ104" s="1151"/>
      <c r="BR104" s="1151"/>
      <c r="BS104" s="1151"/>
      <c r="BT104" s="1152"/>
      <c r="BU104" s="1151"/>
      <c r="BV104" s="1151"/>
      <c r="BW104" s="1151"/>
      <c r="BX104" s="1151"/>
      <c r="BY104" s="1152"/>
      <c r="BZ104" s="1151"/>
      <c r="CA104" s="1151"/>
      <c r="CB104" s="1151"/>
      <c r="CC104" s="1151"/>
      <c r="CD104" s="1152"/>
      <c r="CE104" s="1151"/>
      <c r="CF104" s="1151"/>
      <c r="CG104" s="1151"/>
      <c r="CH104" s="1151"/>
      <c r="CI104" s="1152"/>
      <c r="CJ104" s="1151"/>
      <c r="CK104" s="1151"/>
      <c r="CL104" s="1151"/>
      <c r="CM104" s="1151"/>
      <c r="CN104" s="1152"/>
      <c r="CO104" s="1151"/>
      <c r="CP104" s="1151"/>
      <c r="CQ104" s="1151"/>
      <c r="CR104" s="1151"/>
      <c r="CS104" s="1152"/>
      <c r="CT104" s="1151"/>
      <c r="CU104" s="1151"/>
      <c r="CV104" s="1151"/>
      <c r="CW104" s="1151"/>
      <c r="CX104" s="1012"/>
      <c r="CY104" s="801"/>
      <c r="CZ104" s="801"/>
      <c r="DA104" s="801"/>
      <c r="DB104" s="801"/>
      <c r="DC104" s="1012"/>
      <c r="DD104" s="801"/>
      <c r="DE104" s="801"/>
      <c r="DF104" s="801"/>
      <c r="DG104" s="801"/>
      <c r="DH104" s="1012"/>
      <c r="DI104" s="801"/>
      <c r="DJ104" s="801"/>
      <c r="DK104" s="801"/>
      <c r="DL104" s="801"/>
      <c r="DM104" s="1012"/>
      <c r="DN104" s="1449"/>
      <c r="DO104" s="1449"/>
      <c r="DP104" s="1449"/>
      <c r="DQ104" s="1449"/>
      <c r="DR104" s="1463"/>
      <c r="DS104" s="1449">
        <f t="shared" ref="DS104:ES104" si="96">DS98/DS$77</f>
      </c>
      <c r="DT104" s="1449">
        <f t="shared" si="96"/>
      </c>
      <c r="DU104" s="1449">
        <f t="shared" si="96"/>
      </c>
      <c r="DV104" s="1449">
        <f t="shared" si="96"/>
      </c>
      <c r="DW104" s="1463">
        <f t="shared" si="96"/>
      </c>
      <c r="DX104" s="1449">
        <f t="shared" si="96"/>
      </c>
      <c r="DY104" s="1449">
        <f t="shared" si="96"/>
      </c>
      <c r="DZ104" s="1449">
        <f t="shared" si="96"/>
      </c>
      <c r="EA104" s="1449">
        <f t="shared" si="96"/>
      </c>
      <c r="EB104" s="1463">
        <f t="shared" si="96"/>
      </c>
      <c r="EC104" s="1449">
        <f t="shared" si="96"/>
      </c>
      <c r="ED104" s="1449">
        <f t="shared" si="96"/>
      </c>
      <c r="EE104" s="1449">
        <f t="shared" si="96"/>
      </c>
      <c r="EF104" s="1449">
        <f t="shared" si="96"/>
      </c>
      <c r="EG104" s="1463">
        <f t="shared" si="96"/>
      </c>
      <c r="EH104" s="1449">
        <f t="shared" si="96"/>
      </c>
      <c r="EI104" s="1449">
        <f t="shared" si="96"/>
      </c>
      <c r="EJ104" s="1449">
        <f t="shared" si="96"/>
      </c>
      <c r="EK104" s="1449">
        <f t="shared" si="96"/>
      </c>
      <c r="EL104" s="772">
        <f t="shared" si="96"/>
      </c>
      <c r="EM104" s="1449">
        <f t="shared" si="96"/>
      </c>
      <c r="EN104" s="1449">
        <f t="shared" si="96"/>
      </c>
      <c r="EO104" s="1449">
        <f t="shared" si="96"/>
      </c>
      <c r="EP104" s="1449">
        <f t="shared" si="96"/>
      </c>
      <c r="EQ104" s="772">
        <f t="shared" si="96"/>
      </c>
      <c r="ER104" s="1449">
        <f t="shared" si="96"/>
      </c>
      <c r="ES104" s="1449">
        <f t="shared" si="96"/>
      </c>
      <c r="ET104" s="1449">
        <f>ET98/ET$77</f>
      </c>
      <c r="EU104" s="1449">
        <f>EU98/EU$77</f>
      </c>
      <c r="EV104" s="772">
        <f>EV98/EV$77</f>
      </c>
      <c r="EW104" s="1449">
        <f t="shared" ref="EW104:EX104" si="97">EW98/EW$77</f>
      </c>
      <c r="EX104" s="1449">
        <f t="shared" si="97"/>
      </c>
      <c r="EY104" s="1449">
        <f>EY98/EY$77</f>
      </c>
      <c r="EZ104" s="1449">
        <f>EZ98/EZ$77</f>
      </c>
      <c r="FA104" s="772">
        <f>FA98/FA$77</f>
      </c>
      <c r="FB104" s="1025"/>
      <c r="FC104" s="1025"/>
      <c r="FD104" s="1025"/>
      <c r="FE104" s="1025"/>
      <c r="FF104" s="1012"/>
      <c r="FG104" s="1025"/>
      <c r="FH104" s="1025"/>
      <c r="FI104" s="1025"/>
      <c r="FJ104" s="1025"/>
      <c r="FK104" s="1012"/>
      <c r="FL104" s="1025"/>
      <c r="FM104" s="1025"/>
      <c r="FN104" s="1025"/>
      <c r="FO104" s="1025"/>
      <c r="FP104" s="1012"/>
      <c r="FQ104" s="1025"/>
      <c r="FR104" s="1025"/>
      <c r="FS104" s="1025"/>
      <c r="FT104" s="1025"/>
      <c r="FU104" s="1012"/>
      <c r="FV104" s="1025"/>
      <c r="FW104" s="1025"/>
      <c r="FX104" s="1025"/>
      <c r="FY104" s="1025"/>
      <c r="FZ104" s="1012"/>
      <c r="GA104" s="1025"/>
      <c r="GB104" s="1025"/>
      <c r="GC104" s="1025"/>
      <c r="GD104" s="1025"/>
      <c r="GE104" s="1012"/>
      <c r="GF104" s="1025"/>
      <c r="GG104" s="1025"/>
      <c r="GH104" s="1025"/>
      <c r="GI104" s="1025"/>
      <c r="GJ104" s="1012"/>
    </row>
    <row r="105" spans="1:192" s="1154" customFormat="1" ht="12.75" customHeight="1">
      <c r="A105" s="1027"/>
      <c r="B105" s="1150"/>
      <c r="C105" s="1151"/>
      <c r="D105" s="1151"/>
      <c r="E105" s="1151"/>
      <c r="F105" s="1151"/>
      <c r="G105" s="1152"/>
      <c r="H105" s="1151"/>
      <c r="I105" s="1151"/>
      <c r="J105" s="1151"/>
      <c r="K105" s="1151"/>
      <c r="L105" s="1152"/>
      <c r="M105" s="1153"/>
      <c r="N105" s="1153"/>
      <c r="O105" s="1153"/>
      <c r="P105" s="1153"/>
      <c r="Q105" s="1152"/>
      <c r="R105" s="1153"/>
      <c r="S105" s="1153"/>
      <c r="T105" s="1153"/>
      <c r="U105" s="1153"/>
      <c r="V105" s="1152"/>
      <c r="W105" s="1153"/>
      <c r="X105" s="1153"/>
      <c r="Y105" s="1153"/>
      <c r="Z105" s="1153"/>
      <c r="AA105" s="1152"/>
      <c r="AB105" s="1153"/>
      <c r="AC105" s="1153"/>
      <c r="AD105" s="1153"/>
      <c r="AE105" s="1153"/>
      <c r="AF105" s="1152"/>
      <c r="AG105" s="1153"/>
      <c r="AH105" s="1153"/>
      <c r="AI105" s="1153"/>
      <c r="AJ105" s="1153"/>
      <c r="AK105" s="1152"/>
      <c r="AL105" s="1151"/>
      <c r="AM105" s="1151"/>
      <c r="AN105" s="1151"/>
      <c r="AO105" s="1151"/>
      <c r="AP105" s="1152"/>
      <c r="AQ105" s="1151"/>
      <c r="AR105" s="1151"/>
      <c r="AS105" s="1151"/>
      <c r="AT105" s="1151"/>
      <c r="AU105" s="1152"/>
      <c r="AV105" s="1151"/>
      <c r="AW105" s="1151"/>
      <c r="AX105" s="1151"/>
      <c r="AY105" s="1151"/>
      <c r="AZ105" s="1152"/>
      <c r="BA105" s="1151"/>
      <c r="BB105" s="1151"/>
      <c r="BC105" s="1151"/>
      <c r="BD105" s="1151"/>
      <c r="BE105" s="1152"/>
      <c r="BF105" s="1151"/>
      <c r="BG105" s="1151"/>
      <c r="BH105" s="1151"/>
      <c r="BI105" s="1151"/>
      <c r="BJ105" s="1152"/>
      <c r="BK105" s="1151"/>
      <c r="BL105" s="1151"/>
      <c r="BM105" s="1151"/>
      <c r="BN105" s="1151"/>
      <c r="BO105" s="1152"/>
      <c r="BP105" s="1151"/>
      <c r="BQ105" s="1151"/>
      <c r="BR105" s="1151"/>
      <c r="BS105" s="1151"/>
      <c r="BT105" s="1152"/>
      <c r="BU105" s="1151"/>
      <c r="BV105" s="1151"/>
      <c r="BW105" s="1151"/>
      <c r="BX105" s="1151"/>
      <c r="BY105" s="1152"/>
      <c r="BZ105" s="1151"/>
      <c r="CA105" s="1151"/>
      <c r="CB105" s="1151"/>
      <c r="CC105" s="1151"/>
      <c r="CD105" s="1152"/>
      <c r="CE105" s="1151"/>
      <c r="CF105" s="1151"/>
      <c r="CG105" s="1151"/>
      <c r="CH105" s="1151"/>
      <c r="CI105" s="1152"/>
      <c r="CJ105" s="1151"/>
      <c r="CK105" s="1151"/>
      <c r="CL105" s="1151"/>
      <c r="CM105" s="1151"/>
      <c r="CN105" s="1152"/>
      <c r="CO105" s="1151"/>
      <c r="CP105" s="1151"/>
      <c r="CQ105" s="1151"/>
      <c r="CR105" s="1151"/>
      <c r="CS105" s="1152"/>
      <c r="CT105" s="1151"/>
      <c r="CU105" s="1151"/>
      <c r="CV105" s="1151"/>
      <c r="CW105" s="1151"/>
      <c r="CX105" s="1012"/>
      <c r="CY105" s="801"/>
      <c r="CZ105" s="801"/>
      <c r="DA105" s="801"/>
      <c r="DB105" s="801"/>
      <c r="DC105" s="1012"/>
      <c r="DD105" s="801"/>
      <c r="DE105" s="801"/>
      <c r="DF105" s="801"/>
      <c r="DG105" s="801"/>
      <c r="DH105" s="1012"/>
      <c r="DI105" s="801"/>
      <c r="DJ105" s="801"/>
      <c r="DK105" s="801"/>
      <c r="DL105" s="801"/>
      <c r="DM105" s="1012"/>
      <c r="DN105" s="1449"/>
      <c r="DO105" s="1449"/>
      <c r="DP105" s="1449"/>
      <c r="DQ105" s="1449"/>
      <c r="DR105" s="1463"/>
      <c r="DS105" s="1449"/>
      <c r="DT105" s="1449"/>
      <c r="DU105" s="1449"/>
      <c r="DV105" s="1449"/>
      <c r="DW105" s="1463"/>
      <c r="DX105" s="1449"/>
      <c r="DY105" s="1449"/>
      <c r="DZ105" s="1449"/>
      <c r="EA105" s="1449"/>
      <c r="EB105" s="1463"/>
      <c r="EC105" s="1449"/>
      <c r="ED105" s="1449"/>
      <c r="EE105" s="1449"/>
      <c r="EF105" s="1449"/>
      <c r="EG105" s="1463"/>
      <c r="EH105" s="1449"/>
      <c r="EI105" s="1449"/>
      <c r="EJ105" s="1449"/>
      <c r="EK105" s="1449"/>
      <c r="EL105" s="772"/>
      <c r="EM105" s="1449"/>
      <c r="EN105" s="1449"/>
      <c r="EO105" s="1449"/>
      <c r="EP105" s="1449"/>
      <c r="EQ105" s="772"/>
      <c r="ER105" s="1449"/>
      <c r="ES105" s="1449"/>
      <c r="ET105" s="1025"/>
      <c r="EU105" s="1025"/>
      <c r="EV105" s="1012"/>
      <c r="EW105" s="1025"/>
      <c r="EX105" s="1025"/>
      <c r="EY105" s="1025"/>
      <c r="EZ105" s="1025"/>
      <c r="FA105" s="1012"/>
      <c r="FB105" s="1025"/>
      <c r="FC105" s="1025"/>
      <c r="FD105" s="1025"/>
      <c r="FE105" s="1025"/>
      <c r="FF105" s="1012"/>
      <c r="FG105" s="1025"/>
      <c r="FH105" s="1025"/>
      <c r="FI105" s="1025"/>
      <c r="FJ105" s="1025"/>
      <c r="FK105" s="1012"/>
      <c r="FL105" s="1025"/>
      <c r="FM105" s="1025"/>
      <c r="FN105" s="1025"/>
      <c r="FO105" s="1025"/>
      <c r="FP105" s="1012"/>
      <c r="FQ105" s="1025"/>
      <c r="FR105" s="1025"/>
      <c r="FS105" s="1025"/>
      <c r="FT105" s="1025"/>
      <c r="FU105" s="1012"/>
      <c r="FV105" s="1025"/>
      <c r="FW105" s="1025"/>
      <c r="FX105" s="1025"/>
      <c r="FY105" s="1025"/>
      <c r="FZ105" s="1012"/>
      <c r="GA105" s="1025"/>
      <c r="GB105" s="1025"/>
      <c r="GC105" s="1025"/>
      <c r="GD105" s="1025"/>
      <c r="GE105" s="1012"/>
      <c r="GF105" s="1025"/>
      <c r="GG105" s="1025"/>
      <c r="GH105" s="1025"/>
      <c r="GI105" s="1025"/>
      <c r="GJ105" s="1012"/>
    </row>
    <row r="106" spans="1:192" s="684" customFormat="1" ht="12.75" customHeight="1">
      <c r="A106" s="850"/>
      <c r="B106" s="1004" t="s">
        <v>56</v>
      </c>
      <c r="C106" s="1021"/>
      <c r="D106" s="1021"/>
      <c r="E106" s="1021"/>
      <c r="F106" s="1021"/>
      <c r="G106" s="515"/>
      <c r="H106" s="1021"/>
      <c r="I106" s="1021"/>
      <c r="J106" s="1021"/>
      <c r="K106" s="1021"/>
      <c r="L106" s="515"/>
      <c r="M106" s="1022"/>
      <c r="N106" s="1022"/>
      <c r="O106" s="1022"/>
      <c r="P106" s="1022"/>
      <c r="Q106" s="515"/>
      <c r="R106" s="1022"/>
      <c r="S106" s="1022"/>
      <c r="T106" s="1022"/>
      <c r="U106" s="1022"/>
      <c r="V106" s="515"/>
      <c r="W106" s="1022"/>
      <c r="X106" s="1022"/>
      <c r="Y106" s="1022"/>
      <c r="Z106" s="1022"/>
      <c r="AA106" s="515"/>
      <c r="AB106" s="1022"/>
      <c r="AC106" s="1022"/>
      <c r="AD106" s="1022"/>
      <c r="AE106" s="1022"/>
      <c r="AF106" s="515"/>
      <c r="AG106" s="1022"/>
      <c r="AH106" s="1022"/>
      <c r="AI106" s="1022"/>
      <c r="AJ106" s="1022"/>
      <c r="AK106" s="515"/>
      <c r="AL106" s="1021"/>
      <c r="AM106" s="1021"/>
      <c r="AN106" s="1021"/>
      <c r="AO106" s="1021"/>
      <c r="AP106" s="515"/>
      <c r="AQ106" s="1021"/>
      <c r="AR106" s="1021"/>
      <c r="AS106" s="1021"/>
      <c r="AT106" s="1021"/>
      <c r="AU106" s="515"/>
      <c r="AV106" s="1021"/>
      <c r="AW106" s="1021"/>
      <c r="AX106" s="1021"/>
      <c r="AY106" s="1021"/>
      <c r="AZ106" s="515"/>
      <c r="BA106" s="1021"/>
      <c r="BB106" s="1021"/>
      <c r="BC106" s="1021"/>
      <c r="BD106" s="1021"/>
      <c r="BE106" s="515"/>
      <c r="BF106" s="1021"/>
      <c r="BG106" s="1021"/>
      <c r="BH106" s="1021"/>
      <c r="BI106" s="1021"/>
      <c r="BJ106" s="515"/>
      <c r="BK106" s="1021"/>
      <c r="BL106" s="1021"/>
      <c r="BM106" s="1021"/>
      <c r="BN106" s="1021"/>
      <c r="BO106" s="515"/>
      <c r="BP106" s="1021"/>
      <c r="BQ106" s="1021"/>
      <c r="BR106" s="1021"/>
      <c r="BS106" s="1021"/>
      <c r="BT106" s="515"/>
      <c r="BU106" s="1021"/>
      <c r="BV106" s="1021"/>
      <c r="BW106" s="1021"/>
      <c r="BX106" s="1021"/>
      <c r="BY106" s="515"/>
      <c r="BZ106" s="1021"/>
      <c r="CA106" s="1021"/>
      <c r="CB106" s="1021"/>
      <c r="CC106" s="1021"/>
      <c r="CD106" s="515"/>
      <c r="CE106" s="1021"/>
      <c r="CF106" s="1021"/>
      <c r="CG106" s="1021"/>
      <c r="CH106" s="1021"/>
      <c r="CI106" s="515"/>
      <c r="CJ106" s="1021"/>
      <c r="CK106" s="1021"/>
      <c r="CL106" s="1021"/>
      <c r="CM106" s="1021"/>
      <c r="CN106" s="515"/>
      <c r="CO106" s="1021"/>
      <c r="CP106" s="1021"/>
      <c r="CQ106" s="1021"/>
      <c r="CR106" s="1021"/>
      <c r="CS106" s="515"/>
      <c r="CT106" s="1021"/>
      <c r="CU106" s="1021"/>
      <c r="CV106" s="1021"/>
      <c r="CW106" s="1021"/>
      <c r="CX106" s="515"/>
      <c r="CY106" s="1021"/>
      <c r="CZ106" s="1021"/>
      <c r="DA106" s="1021"/>
      <c r="DB106" s="1021"/>
      <c r="DC106" s="515"/>
      <c r="DD106" s="1021"/>
      <c r="DE106" s="1021"/>
      <c r="DF106" s="1021"/>
      <c r="DG106" s="1021"/>
      <c r="DH106" s="515"/>
      <c r="DI106" s="1021"/>
      <c r="DJ106" s="1021"/>
      <c r="DK106" s="1021"/>
      <c r="DL106" s="1021"/>
      <c r="DM106" s="515"/>
      <c r="DN106" s="1021"/>
      <c r="DO106" s="1021"/>
      <c r="DP106" s="1021"/>
      <c r="DQ106" s="1021"/>
      <c r="DR106" s="515"/>
      <c r="DS106" s="1021"/>
      <c r="DT106" s="1021"/>
      <c r="DU106" s="1021"/>
      <c r="DV106" s="1021"/>
      <c r="DW106" s="515"/>
      <c r="DX106" s="1021"/>
      <c r="DY106" s="1021"/>
      <c r="DZ106" s="1021"/>
      <c r="EA106" s="1021"/>
      <c r="EB106" s="515"/>
      <c r="EC106" s="1021"/>
      <c r="ED106" s="1021"/>
      <c r="EE106" s="1021"/>
      <c r="EF106" s="1021"/>
      <c r="EG106" s="515"/>
      <c r="EH106" s="1021"/>
      <c r="EI106" s="1021"/>
      <c r="EJ106" s="1021"/>
      <c r="EK106" s="1021"/>
      <c r="EL106" s="1023"/>
      <c r="EM106" s="1021"/>
      <c r="EN106" s="1021"/>
      <c r="EO106" s="1021"/>
      <c r="EP106" s="1021"/>
      <c r="EQ106" s="1023"/>
      <c r="ER106" s="1021"/>
      <c r="ES106" s="1021"/>
      <c r="ET106" s="1021"/>
      <c r="EU106" s="1021"/>
      <c r="EV106" s="515"/>
      <c r="EW106" s="1021"/>
      <c r="EX106" s="1021"/>
      <c r="EY106" s="1021"/>
      <c r="EZ106" s="1021"/>
      <c r="FA106" s="515"/>
      <c r="FB106" s="1021"/>
      <c r="FC106" s="1021"/>
      <c r="FD106" s="1021"/>
      <c r="FE106" s="1021"/>
      <c r="FF106" s="515"/>
      <c r="FG106" s="1021"/>
      <c r="FH106" s="1021"/>
      <c r="FI106" s="1021"/>
      <c r="FJ106" s="1021"/>
      <c r="FK106" s="515"/>
      <c r="FL106" s="1021"/>
      <c r="FM106" s="1021"/>
      <c r="FN106" s="1021"/>
      <c r="FO106" s="1021"/>
      <c r="FP106" s="515"/>
      <c r="FQ106" s="1021"/>
      <c r="FR106" s="1021"/>
      <c r="FS106" s="1021"/>
      <c r="FT106" s="1021"/>
      <c r="FU106" s="515"/>
      <c r="FV106" s="1021"/>
      <c r="FW106" s="1021"/>
      <c r="FX106" s="1021"/>
      <c r="FY106" s="1021"/>
      <c r="FZ106" s="515"/>
      <c r="GA106" s="1021"/>
      <c r="GB106" s="1021"/>
      <c r="GC106" s="1021"/>
      <c r="GD106" s="1021"/>
      <c r="GE106" s="515"/>
      <c r="GF106" s="1021"/>
      <c r="GG106" s="1021"/>
      <c r="GH106" s="1021"/>
      <c r="GI106" s="1021"/>
      <c r="GJ106" s="515"/>
    </row>
    <row r="107" spans="1:192" s="461" customFormat="1" ht="12.75" customHeight="1" outlineLevel="1">
      <c r="A107" s="370"/>
      <c r="B107" s="1439" t="s">
        <v>1831</v>
      </c>
      <c r="C107" s="493"/>
      <c r="D107" s="493"/>
      <c r="E107" s="493"/>
      <c r="F107" s="493"/>
      <c r="G107" s="1175"/>
      <c r="H107" s="493"/>
      <c r="I107" s="493"/>
      <c r="J107" s="493"/>
      <c r="K107" s="493"/>
      <c r="L107" s="1175"/>
      <c r="M107" s="815"/>
      <c r="N107" s="815"/>
      <c r="O107" s="815"/>
      <c r="P107" s="815"/>
      <c r="Q107" s="1175"/>
      <c r="R107" s="815"/>
      <c r="S107" s="815"/>
      <c r="T107" s="815"/>
      <c r="U107" s="815"/>
      <c r="V107" s="1175"/>
      <c r="W107" s="815"/>
      <c r="X107" s="815"/>
      <c r="Y107" s="815"/>
      <c r="Z107" s="815"/>
      <c r="AA107" s="1175"/>
      <c r="AB107" s="815"/>
      <c r="AC107" s="815"/>
      <c r="AD107" s="815"/>
      <c r="AE107" s="815"/>
      <c r="AF107" s="1175"/>
      <c r="AG107" s="815"/>
      <c r="AH107" s="815"/>
      <c r="AI107" s="815"/>
      <c r="AJ107" s="815"/>
      <c r="AK107" s="1175"/>
      <c r="AL107" s="493"/>
      <c r="AM107" s="493"/>
      <c r="AN107" s="493"/>
      <c r="AO107" s="493"/>
      <c r="AP107" s="1175"/>
      <c r="AQ107" s="493"/>
      <c r="AR107" s="493"/>
      <c r="AS107" s="493"/>
      <c r="AT107" s="493"/>
      <c r="AU107" s="1175"/>
      <c r="AV107" s="493"/>
      <c r="AW107" s="493"/>
      <c r="AX107" s="493"/>
      <c r="AY107" s="493"/>
      <c r="AZ107" s="1175"/>
      <c r="BA107" s="493"/>
      <c r="BB107" s="493"/>
      <c r="BC107" s="493"/>
      <c r="BD107" s="493"/>
      <c r="BE107" s="1175"/>
      <c r="BF107" s="493"/>
      <c r="BG107" s="493"/>
      <c r="BH107" s="493"/>
      <c r="BI107" s="493"/>
      <c r="BJ107" s="1175"/>
      <c r="BK107" s="493"/>
      <c r="BL107" s="493"/>
      <c r="BM107" s="493"/>
      <c r="BN107" s="493"/>
      <c r="BO107" s="1175"/>
      <c r="BP107" s="493"/>
      <c r="BQ107" s="493"/>
      <c r="BR107" s="493"/>
      <c r="BS107" s="493"/>
      <c r="BT107" s="1175"/>
      <c r="BU107" s="493"/>
      <c r="BV107" s="493"/>
      <c r="BW107" s="493"/>
      <c r="BX107" s="493"/>
      <c r="BY107" s="1175"/>
      <c r="BZ107" s="493"/>
      <c r="CA107" s="493"/>
      <c r="CB107" s="493"/>
      <c r="CC107" s="493"/>
      <c r="CD107" s="1175"/>
      <c r="CE107" s="493"/>
      <c r="CF107" s="493"/>
      <c r="CG107" s="493"/>
      <c r="CH107" s="493"/>
      <c r="CI107" s="1175"/>
      <c r="CJ107" s="493"/>
      <c r="CK107" s="493"/>
      <c r="CL107" s="493"/>
      <c r="CM107" s="493"/>
      <c r="CN107" s="1175"/>
      <c r="CO107" s="493"/>
      <c r="CP107" s="493"/>
      <c r="CQ107" s="493"/>
      <c r="CR107" s="493"/>
      <c r="CS107" s="1175"/>
      <c r="CT107" s="493"/>
      <c r="CU107" s="493"/>
      <c r="CV107" s="493"/>
      <c r="CW107" s="493"/>
      <c r="CX107" s="1175"/>
      <c r="CY107" s="493"/>
      <c r="CZ107" s="493"/>
      <c r="DA107" s="493"/>
      <c r="DB107" s="493"/>
      <c r="DC107" s="1175"/>
      <c r="DD107" s="493"/>
      <c r="DE107" s="493"/>
      <c r="DF107" s="493"/>
      <c r="DG107" s="493"/>
      <c r="DH107" s="494">
        <v>38000</v>
      </c>
      <c r="DI107" s="493"/>
      <c r="DJ107" s="493"/>
      <c r="DK107" s="493"/>
      <c r="DL107" s="458"/>
      <c r="DM107" s="762">
        <v>39000</v>
      </c>
      <c r="DN107" s="493"/>
      <c r="DO107" s="493"/>
      <c r="DP107" s="493"/>
      <c r="DQ107" s="458"/>
      <c r="DR107" s="762">
        <v>42000</v>
      </c>
      <c r="DS107" s="493"/>
      <c r="DT107" s="493"/>
      <c r="DU107" s="493"/>
      <c r="DV107" s="458"/>
      <c r="DW107" s="762">
        <v>47000</v>
      </c>
      <c r="DX107" s="493"/>
      <c r="DY107" s="493"/>
      <c r="DZ107" s="493"/>
      <c r="EA107" s="458"/>
      <c r="EB107" s="762">
        <v>56000</v>
      </c>
      <c r="EC107" s="493"/>
      <c r="ED107" s="493"/>
      <c r="EE107" s="493"/>
      <c r="EF107" s="458"/>
      <c r="EG107" s="762">
        <v>67000</v>
      </c>
      <c r="EH107" s="493"/>
      <c r="EI107" s="493"/>
      <c r="EJ107" s="493"/>
      <c r="EK107" s="458"/>
      <c r="EL107" s="762">
        <v>85000</v>
      </c>
      <c r="EM107" s="493"/>
      <c r="EN107" s="493"/>
      <c r="EO107" s="493"/>
      <c r="EP107" s="458"/>
      <c r="EQ107" s="762">
        <v>89000</v>
      </c>
      <c r="ER107" s="493"/>
      <c r="ES107" s="493"/>
      <c r="ET107" s="690"/>
      <c r="EU107" s="690"/>
      <c r="EV107" s="762">
        <v>86000</v>
      </c>
      <c r="EW107" s="690"/>
      <c r="EX107" s="690"/>
      <c r="EY107" s="690"/>
      <c r="EZ107" s="690"/>
      <c r="FA107" s="762">
        <v>89000</v>
      </c>
      <c r="FB107" s="690"/>
      <c r="FC107" s="690"/>
      <c r="FD107" s="690"/>
      <c r="FE107" s="690"/>
      <c r="FF107" s="1175"/>
      <c r="FG107" s="690"/>
      <c r="FH107" s="690"/>
      <c r="FI107" s="690"/>
      <c r="FJ107" s="690"/>
      <c r="FK107" s="1175"/>
      <c r="FL107" s="690"/>
      <c r="FM107" s="690"/>
      <c r="FN107" s="690"/>
      <c r="FO107" s="690"/>
      <c r="FP107" s="1175"/>
      <c r="FQ107" s="690"/>
      <c r="FR107" s="690"/>
      <c r="FS107" s="690"/>
      <c r="FT107" s="690"/>
      <c r="FU107" s="1175"/>
      <c r="FV107" s="690"/>
      <c r="FW107" s="690"/>
      <c r="FX107" s="690"/>
      <c r="FY107" s="690"/>
      <c r="FZ107" s="1175"/>
      <c r="GA107" s="690"/>
      <c r="GB107" s="690"/>
      <c r="GC107" s="690"/>
      <c r="GD107" s="690"/>
      <c r="GE107" s="1175"/>
      <c r="GF107" s="690"/>
      <c r="GG107" s="690"/>
      <c r="GH107" s="690"/>
      <c r="GI107" s="690"/>
      <c r="GJ107" s="1175"/>
    </row>
    <row r="108" spans="1:192" s="461" customFormat="1" ht="12.75" customHeight="1" outlineLevel="1">
      <c r="A108" s="370"/>
      <c r="B108" s="1439" t="s">
        <v>1832</v>
      </c>
      <c r="C108" s="493"/>
      <c r="D108" s="493"/>
      <c r="E108" s="493"/>
      <c r="F108" s="493"/>
      <c r="G108" s="1175"/>
      <c r="H108" s="493"/>
      <c r="I108" s="493"/>
      <c r="J108" s="493"/>
      <c r="K108" s="493"/>
      <c r="L108" s="1175"/>
      <c r="M108" s="815"/>
      <c r="N108" s="815"/>
      <c r="O108" s="815"/>
      <c r="P108" s="815"/>
      <c r="Q108" s="1175"/>
      <c r="R108" s="815"/>
      <c r="S108" s="815"/>
      <c r="T108" s="815"/>
      <c r="U108" s="815"/>
      <c r="V108" s="1175"/>
      <c r="W108" s="815"/>
      <c r="X108" s="815"/>
      <c r="Y108" s="815"/>
      <c r="Z108" s="815"/>
      <c r="AA108" s="1175"/>
      <c r="AB108" s="815"/>
      <c r="AC108" s="815"/>
      <c r="AD108" s="815"/>
      <c r="AE108" s="815"/>
      <c r="AF108" s="1175"/>
      <c r="AG108" s="815"/>
      <c r="AH108" s="815"/>
      <c r="AI108" s="815"/>
      <c r="AJ108" s="815"/>
      <c r="AK108" s="1175"/>
      <c r="AL108" s="493"/>
      <c r="AM108" s="493"/>
      <c r="AN108" s="493"/>
      <c r="AO108" s="493"/>
      <c r="AP108" s="1175"/>
      <c r="AQ108" s="493"/>
      <c r="AR108" s="493"/>
      <c r="AS108" s="493"/>
      <c r="AT108" s="493"/>
      <c r="AU108" s="1175"/>
      <c r="AV108" s="493"/>
      <c r="AW108" s="493"/>
      <c r="AX108" s="493"/>
      <c r="AY108" s="493"/>
      <c r="AZ108" s="1175"/>
      <c r="BA108" s="493"/>
      <c r="BB108" s="493"/>
      <c r="BC108" s="493"/>
      <c r="BD108" s="493"/>
      <c r="BE108" s="1175"/>
      <c r="BF108" s="493"/>
      <c r="BG108" s="493"/>
      <c r="BH108" s="493"/>
      <c r="BI108" s="493"/>
      <c r="BJ108" s="1175"/>
      <c r="BK108" s="493"/>
      <c r="BL108" s="493"/>
      <c r="BM108" s="493"/>
      <c r="BN108" s="493"/>
      <c r="BO108" s="1175"/>
      <c r="BP108" s="493"/>
      <c r="BQ108" s="493"/>
      <c r="BR108" s="493"/>
      <c r="BS108" s="493"/>
      <c r="BT108" s="1175"/>
      <c r="BU108" s="493"/>
      <c r="BV108" s="493"/>
      <c r="BW108" s="493"/>
      <c r="BX108" s="493"/>
      <c r="BY108" s="1175"/>
      <c r="BZ108" s="493"/>
      <c r="CA108" s="493"/>
      <c r="CB108" s="493"/>
      <c r="CC108" s="493"/>
      <c r="CD108" s="1175"/>
      <c r="CE108" s="493"/>
      <c r="CF108" s="493"/>
      <c r="CG108" s="493"/>
      <c r="CH108" s="493"/>
      <c r="CI108" s="1175"/>
      <c r="CJ108" s="493"/>
      <c r="CK108" s="493"/>
      <c r="CL108" s="493"/>
      <c r="CM108" s="493"/>
      <c r="CN108" s="1175"/>
      <c r="CO108" s="493"/>
      <c r="CP108" s="493"/>
      <c r="CQ108" s="493"/>
      <c r="CR108" s="493"/>
      <c r="CS108" s="1175"/>
      <c r="CT108" s="493"/>
      <c r="CU108" s="493"/>
      <c r="CV108" s="493"/>
      <c r="CW108" s="493"/>
      <c r="CX108" s="1175"/>
      <c r="CY108" s="493"/>
      <c r="CZ108" s="493"/>
      <c r="DA108" s="493"/>
      <c r="DB108" s="493"/>
      <c r="DC108" s="1175"/>
      <c r="DD108" s="493"/>
      <c r="DE108" s="493"/>
      <c r="DF108" s="493"/>
      <c r="DG108" s="493"/>
      <c r="DH108" s="494">
        <v>37000</v>
      </c>
      <c r="DI108" s="493"/>
      <c r="DJ108" s="493"/>
      <c r="DK108" s="493"/>
      <c r="DL108" s="458"/>
      <c r="DM108" s="762">
        <v>40000</v>
      </c>
      <c r="DN108" s="493"/>
      <c r="DO108" s="493"/>
      <c r="DP108" s="493"/>
      <c r="DQ108" s="458"/>
      <c r="DR108" s="762">
        <v>42000</v>
      </c>
      <c r="DS108" s="493"/>
      <c r="DT108" s="493"/>
      <c r="DU108" s="493"/>
      <c r="DV108" s="458"/>
      <c r="DW108" s="762">
        <v>47000</v>
      </c>
      <c r="DX108" s="493"/>
      <c r="DY108" s="493"/>
      <c r="DZ108" s="493"/>
      <c r="EA108" s="458"/>
      <c r="EB108" s="762">
        <v>55000</v>
      </c>
      <c r="EC108" s="493"/>
      <c r="ED108" s="493"/>
      <c r="EE108" s="493"/>
      <c r="EF108" s="458"/>
      <c r="EG108" s="762">
        <v>60000</v>
      </c>
      <c r="EH108" s="493"/>
      <c r="EI108" s="493"/>
      <c r="EJ108" s="493"/>
      <c r="EK108" s="458"/>
      <c r="EL108" s="762">
        <v>73000</v>
      </c>
      <c r="EM108" s="493"/>
      <c r="EN108" s="493"/>
      <c r="EO108" s="493"/>
      <c r="EP108" s="458"/>
      <c r="EQ108" s="762">
        <v>72000</v>
      </c>
      <c r="ER108" s="493"/>
      <c r="ES108" s="493"/>
      <c r="ET108" s="690"/>
      <c r="EU108" s="690"/>
      <c r="EV108" s="762">
        <v>81000</v>
      </c>
      <c r="EW108" s="690"/>
      <c r="EX108" s="690"/>
      <c r="EY108" s="690"/>
      <c r="EZ108" s="690"/>
      <c r="FA108" s="762">
        <v>80000</v>
      </c>
      <c r="FB108" s="690"/>
      <c r="FC108" s="690"/>
      <c r="FD108" s="690"/>
      <c r="FE108" s="690"/>
      <c r="FF108" s="1175"/>
      <c r="FG108" s="690"/>
      <c r="FH108" s="690"/>
      <c r="FI108" s="690"/>
      <c r="FJ108" s="690"/>
      <c r="FK108" s="1175"/>
      <c r="FL108" s="690"/>
      <c r="FM108" s="690"/>
      <c r="FN108" s="690"/>
      <c r="FO108" s="690"/>
      <c r="FP108" s="1175"/>
      <c r="FQ108" s="690"/>
      <c r="FR108" s="690"/>
      <c r="FS108" s="690"/>
      <c r="FT108" s="690"/>
      <c r="FU108" s="1175"/>
      <c r="FV108" s="690"/>
      <c r="FW108" s="690"/>
      <c r="FX108" s="690"/>
      <c r="FY108" s="690"/>
      <c r="FZ108" s="1175"/>
      <c r="GA108" s="690"/>
      <c r="GB108" s="690"/>
      <c r="GC108" s="690"/>
      <c r="GD108" s="690"/>
      <c r="GE108" s="1175"/>
      <c r="GF108" s="690"/>
      <c r="GG108" s="690"/>
      <c r="GH108" s="690"/>
      <c r="GI108" s="690"/>
      <c r="GJ108" s="1175"/>
    </row>
    <row r="109" spans="1:192" s="461" customFormat="1" ht="12.75" customHeight="1" outlineLevel="1">
      <c r="A109" s="370"/>
      <c r="B109" s="1439" t="s">
        <v>1833</v>
      </c>
      <c r="C109" s="493"/>
      <c r="D109" s="493"/>
      <c r="E109" s="493"/>
      <c r="F109" s="493"/>
      <c r="G109" s="1175"/>
      <c r="H109" s="493"/>
      <c r="I109" s="493"/>
      <c r="J109" s="493"/>
      <c r="K109" s="493"/>
      <c r="L109" s="1175"/>
      <c r="M109" s="815"/>
      <c r="N109" s="815"/>
      <c r="O109" s="815"/>
      <c r="P109" s="815"/>
      <c r="Q109" s="1175"/>
      <c r="R109" s="815"/>
      <c r="S109" s="815"/>
      <c r="T109" s="815"/>
      <c r="U109" s="815"/>
      <c r="V109" s="1175"/>
      <c r="W109" s="815"/>
      <c r="X109" s="815"/>
      <c r="Y109" s="815"/>
      <c r="Z109" s="815"/>
      <c r="AA109" s="1175"/>
      <c r="AB109" s="815"/>
      <c r="AC109" s="815"/>
      <c r="AD109" s="815"/>
      <c r="AE109" s="815"/>
      <c r="AF109" s="1175"/>
      <c r="AG109" s="815"/>
      <c r="AH109" s="815"/>
      <c r="AI109" s="815"/>
      <c r="AJ109" s="815"/>
      <c r="AK109" s="1175"/>
      <c r="AL109" s="493"/>
      <c r="AM109" s="493"/>
      <c r="AN109" s="493"/>
      <c r="AO109" s="493"/>
      <c r="AP109" s="1175"/>
      <c r="AQ109" s="493"/>
      <c r="AR109" s="493"/>
      <c r="AS109" s="493"/>
      <c r="AT109" s="493"/>
      <c r="AU109" s="1175"/>
      <c r="AV109" s="493"/>
      <c r="AW109" s="493"/>
      <c r="AX109" s="493"/>
      <c r="AY109" s="493"/>
      <c r="AZ109" s="1175"/>
      <c r="BA109" s="493"/>
      <c r="BB109" s="493"/>
      <c r="BC109" s="493"/>
      <c r="BD109" s="493"/>
      <c r="BE109" s="1175"/>
      <c r="BF109" s="493"/>
      <c r="BG109" s="493"/>
      <c r="BH109" s="493"/>
      <c r="BI109" s="493"/>
      <c r="BJ109" s="1175"/>
      <c r="BK109" s="493"/>
      <c r="BL109" s="493"/>
      <c r="BM109" s="493"/>
      <c r="BN109" s="493"/>
      <c r="BO109" s="1175"/>
      <c r="BP109" s="493"/>
      <c r="BQ109" s="493"/>
      <c r="BR109" s="493"/>
      <c r="BS109" s="493"/>
      <c r="BT109" s="1175"/>
      <c r="BU109" s="493"/>
      <c r="BV109" s="493"/>
      <c r="BW109" s="493"/>
      <c r="BX109" s="493"/>
      <c r="BY109" s="1175"/>
      <c r="BZ109" s="493"/>
      <c r="CA109" s="493"/>
      <c r="CB109" s="493"/>
      <c r="CC109" s="493"/>
      <c r="CD109" s="1175"/>
      <c r="CE109" s="493"/>
      <c r="CF109" s="493"/>
      <c r="CG109" s="493"/>
      <c r="CH109" s="493"/>
      <c r="CI109" s="1175"/>
      <c r="CJ109" s="493"/>
      <c r="CK109" s="493"/>
      <c r="CL109" s="493"/>
      <c r="CM109" s="493"/>
      <c r="CN109" s="1175"/>
      <c r="CO109" s="493"/>
      <c r="CP109" s="493"/>
      <c r="CQ109" s="493"/>
      <c r="CR109" s="493"/>
      <c r="CS109" s="1175"/>
      <c r="CT109" s="493"/>
      <c r="CU109" s="493"/>
      <c r="CV109" s="493"/>
      <c r="CW109" s="493"/>
      <c r="CX109" s="1175"/>
      <c r="CY109" s="493"/>
      <c r="CZ109" s="493"/>
      <c r="DA109" s="493"/>
      <c r="DB109" s="493"/>
      <c r="DC109" s="1175"/>
      <c r="DD109" s="493"/>
      <c r="DE109" s="493"/>
      <c r="DF109" s="493"/>
      <c r="DG109" s="493"/>
      <c r="DH109" s="494">
        <v>29000</v>
      </c>
      <c r="DI109" s="493"/>
      <c r="DJ109" s="493"/>
      <c r="DK109" s="493"/>
      <c r="DL109" s="458"/>
      <c r="DM109" s="762">
        <v>34000</v>
      </c>
      <c r="DN109" s="493"/>
      <c r="DO109" s="493"/>
      <c r="DP109" s="493"/>
      <c r="DQ109" s="458"/>
      <c r="DR109" s="762">
        <v>36000</v>
      </c>
      <c r="DS109" s="493"/>
      <c r="DT109" s="493"/>
      <c r="DU109" s="493"/>
      <c r="DV109" s="458"/>
      <c r="DW109" s="762">
        <v>38000</v>
      </c>
      <c r="DX109" s="493"/>
      <c r="DY109" s="493"/>
      <c r="DZ109" s="493"/>
      <c r="EA109" s="458"/>
      <c r="EB109" s="762">
        <v>40000</v>
      </c>
      <c r="EC109" s="493"/>
      <c r="ED109" s="493"/>
      <c r="EE109" s="493"/>
      <c r="EF109" s="458"/>
      <c r="EG109" s="762">
        <v>40000</v>
      </c>
      <c r="EH109" s="493"/>
      <c r="EI109" s="493"/>
      <c r="EJ109" s="493"/>
      <c r="EK109" s="458"/>
      <c r="EL109" s="762">
        <v>47000</v>
      </c>
      <c r="EM109" s="493"/>
      <c r="EN109" s="493"/>
      <c r="EO109" s="493"/>
      <c r="EP109" s="458"/>
      <c r="EQ109" s="762">
        <v>45000</v>
      </c>
      <c r="ER109" s="493"/>
      <c r="ES109" s="493"/>
      <c r="ET109" s="690"/>
      <c r="EU109" s="690"/>
      <c r="EV109" s="762">
        <v>45000</v>
      </c>
      <c r="EW109" s="690"/>
      <c r="EX109" s="690"/>
      <c r="EY109" s="690"/>
      <c r="EZ109" s="690"/>
      <c r="FA109" s="762">
        <v>44000</v>
      </c>
      <c r="FB109" s="690"/>
      <c r="FC109" s="690"/>
      <c r="FD109" s="690"/>
      <c r="FE109" s="690"/>
      <c r="FF109" s="1175"/>
      <c r="FG109" s="690"/>
      <c r="FH109" s="690"/>
      <c r="FI109" s="690"/>
      <c r="FJ109" s="690"/>
      <c r="FK109" s="1175"/>
      <c r="FL109" s="690"/>
      <c r="FM109" s="690"/>
      <c r="FN109" s="690"/>
      <c r="FO109" s="690"/>
      <c r="FP109" s="1175"/>
      <c r="FQ109" s="690"/>
      <c r="FR109" s="690"/>
      <c r="FS109" s="690"/>
      <c r="FT109" s="690"/>
      <c r="FU109" s="1175"/>
      <c r="FV109" s="690"/>
      <c r="FW109" s="690"/>
      <c r="FX109" s="690"/>
      <c r="FY109" s="690"/>
      <c r="FZ109" s="1175"/>
      <c r="GA109" s="690"/>
      <c r="GB109" s="690"/>
      <c r="GC109" s="690"/>
      <c r="GD109" s="690"/>
      <c r="GE109" s="1175"/>
      <c r="GF109" s="690"/>
      <c r="GG109" s="690"/>
      <c r="GH109" s="690"/>
      <c r="GI109" s="690"/>
      <c r="GJ109" s="1175"/>
    </row>
    <row r="110" spans="1:192" s="461" customFormat="1" ht="12.75" customHeight="1" outlineLevel="1">
      <c r="A110" s="370"/>
      <c r="B110" s="1439" t="s">
        <v>1834</v>
      </c>
      <c r="C110" s="493"/>
      <c r="D110" s="493"/>
      <c r="E110" s="493"/>
      <c r="F110" s="493"/>
      <c r="G110" s="1175"/>
      <c r="H110" s="493"/>
      <c r="I110" s="493"/>
      <c r="J110" s="493"/>
      <c r="K110" s="493"/>
      <c r="L110" s="1175"/>
      <c r="M110" s="815"/>
      <c r="N110" s="815"/>
      <c r="O110" s="815"/>
      <c r="P110" s="815"/>
      <c r="Q110" s="1175"/>
      <c r="R110" s="815"/>
      <c r="S110" s="815"/>
      <c r="T110" s="815"/>
      <c r="U110" s="815"/>
      <c r="V110" s="1175"/>
      <c r="W110" s="815"/>
      <c r="X110" s="815"/>
      <c r="Y110" s="815"/>
      <c r="Z110" s="815"/>
      <c r="AA110" s="1175"/>
      <c r="AB110" s="815"/>
      <c r="AC110" s="815"/>
      <c r="AD110" s="815"/>
      <c r="AE110" s="815"/>
      <c r="AF110" s="1175"/>
      <c r="AG110" s="815"/>
      <c r="AH110" s="815"/>
      <c r="AI110" s="815"/>
      <c r="AJ110" s="815"/>
      <c r="AK110" s="1175"/>
      <c r="AL110" s="493"/>
      <c r="AM110" s="493"/>
      <c r="AN110" s="493"/>
      <c r="AO110" s="493"/>
      <c r="AP110" s="1175"/>
      <c r="AQ110" s="493"/>
      <c r="AR110" s="493"/>
      <c r="AS110" s="493"/>
      <c r="AT110" s="493"/>
      <c r="AU110" s="1175"/>
      <c r="AV110" s="493"/>
      <c r="AW110" s="493"/>
      <c r="AX110" s="493"/>
      <c r="AY110" s="493"/>
      <c r="AZ110" s="1175"/>
      <c r="BA110" s="493"/>
      <c r="BB110" s="493"/>
      <c r="BC110" s="493"/>
      <c r="BD110" s="493"/>
      <c r="BE110" s="1175"/>
      <c r="BF110" s="493"/>
      <c r="BG110" s="493"/>
      <c r="BH110" s="493"/>
      <c r="BI110" s="493"/>
      <c r="BJ110" s="1175"/>
      <c r="BK110" s="493"/>
      <c r="BL110" s="493"/>
      <c r="BM110" s="493"/>
      <c r="BN110" s="493"/>
      <c r="BO110" s="1175"/>
      <c r="BP110" s="493"/>
      <c r="BQ110" s="493"/>
      <c r="BR110" s="493"/>
      <c r="BS110" s="493"/>
      <c r="BT110" s="1175"/>
      <c r="BU110" s="493"/>
      <c r="BV110" s="493"/>
      <c r="BW110" s="493"/>
      <c r="BX110" s="493"/>
      <c r="BY110" s="1175"/>
      <c r="BZ110" s="493"/>
      <c r="CA110" s="493"/>
      <c r="CB110" s="493"/>
      <c r="CC110" s="493"/>
      <c r="CD110" s="1175"/>
      <c r="CE110" s="493"/>
      <c r="CF110" s="493"/>
      <c r="CG110" s="493"/>
      <c r="CH110" s="493"/>
      <c r="CI110" s="1175"/>
      <c r="CJ110" s="493"/>
      <c r="CK110" s="493"/>
      <c r="CL110" s="493"/>
      <c r="CM110" s="493"/>
      <c r="CN110" s="1175"/>
      <c r="CO110" s="493"/>
      <c r="CP110" s="493"/>
      <c r="CQ110" s="493"/>
      <c r="CR110" s="493"/>
      <c r="CS110" s="1175"/>
      <c r="CT110" s="493"/>
      <c r="CU110" s="493"/>
      <c r="CV110" s="493"/>
      <c r="CW110" s="493"/>
      <c r="CX110" s="1175"/>
      <c r="CY110" s="493"/>
      <c r="CZ110" s="493"/>
      <c r="DA110" s="493"/>
      <c r="DB110" s="493"/>
      <c r="DC110" s="1175"/>
      <c r="DD110" s="493"/>
      <c r="DE110" s="493"/>
      <c r="DF110" s="493"/>
      <c r="DG110" s="493"/>
      <c r="DH110" s="494">
        <v>10000</v>
      </c>
      <c r="DI110" s="493"/>
      <c r="DJ110" s="493"/>
      <c r="DK110" s="493"/>
      <c r="DL110" s="458"/>
      <c r="DM110" s="762">
        <v>11000</v>
      </c>
      <c r="DN110" s="493"/>
      <c r="DO110" s="493"/>
      <c r="DP110" s="493"/>
      <c r="DQ110" s="458"/>
      <c r="DR110" s="762">
        <v>11000</v>
      </c>
      <c r="DS110" s="493"/>
      <c r="DT110" s="493"/>
      <c r="DU110" s="493"/>
      <c r="DV110" s="458"/>
      <c r="DW110" s="762">
        <v>12000</v>
      </c>
      <c r="DX110" s="493"/>
      <c r="DY110" s="493"/>
      <c r="DZ110" s="493"/>
      <c r="EA110" s="458"/>
      <c r="EB110" s="762">
        <v>12000</v>
      </c>
      <c r="EC110" s="493"/>
      <c r="ED110" s="493"/>
      <c r="EE110" s="493"/>
      <c r="EF110" s="458"/>
      <c r="EG110" s="762">
        <v>14000</v>
      </c>
      <c r="EH110" s="493"/>
      <c r="EI110" s="493"/>
      <c r="EJ110" s="493"/>
      <c r="EK110" s="458"/>
      <c r="EL110" s="762">
        <v>16000</v>
      </c>
      <c r="EM110" s="493"/>
      <c r="EN110" s="493"/>
      <c r="EO110" s="493"/>
      <c r="EP110" s="458"/>
      <c r="EQ110" s="762">
        <v>15000</v>
      </c>
      <c r="ER110" s="493"/>
      <c r="ES110" s="493"/>
      <c r="ET110" s="690"/>
      <c r="EU110" s="690"/>
      <c r="EV110" s="762">
        <v>16000</v>
      </c>
      <c r="EW110" s="690"/>
      <c r="EX110" s="690"/>
      <c r="EY110" s="690"/>
      <c r="EZ110" s="690"/>
      <c r="FA110" s="762">
        <v>15000</v>
      </c>
      <c r="FB110" s="690"/>
      <c r="FC110" s="690"/>
      <c r="FD110" s="690"/>
      <c r="FE110" s="690"/>
      <c r="FF110" s="1175"/>
      <c r="FG110" s="690"/>
      <c r="FH110" s="690"/>
      <c r="FI110" s="690"/>
      <c r="FJ110" s="690"/>
      <c r="FK110" s="1175"/>
      <c r="FL110" s="690"/>
      <c r="FM110" s="690"/>
      <c r="FN110" s="690"/>
      <c r="FO110" s="690"/>
      <c r="FP110" s="1175"/>
      <c r="FQ110" s="690"/>
      <c r="FR110" s="690"/>
      <c r="FS110" s="690"/>
      <c r="FT110" s="690"/>
      <c r="FU110" s="1175"/>
      <c r="FV110" s="690"/>
      <c r="FW110" s="690"/>
      <c r="FX110" s="690"/>
      <c r="FY110" s="690"/>
      <c r="FZ110" s="1175"/>
      <c r="GA110" s="690"/>
      <c r="GB110" s="690"/>
      <c r="GC110" s="690"/>
      <c r="GD110" s="690"/>
      <c r="GE110" s="1175"/>
      <c r="GF110" s="690"/>
      <c r="GG110" s="690"/>
      <c r="GH110" s="690"/>
      <c r="GI110" s="690"/>
      <c r="GJ110" s="1175"/>
    </row>
    <row r="111" spans="1:192" s="461" customFormat="1" ht="12.75" customHeight="1" outlineLevel="1">
      <c r="A111" s="68"/>
      <c r="B111" s="975" t="s">
        <v>1824</v>
      </c>
      <c r="C111" s="624"/>
      <c r="D111" s="624"/>
      <c r="E111" s="624"/>
      <c r="F111" s="624"/>
      <c r="G111" s="622"/>
      <c r="H111" s="624"/>
      <c r="I111" s="624"/>
      <c r="J111" s="624"/>
      <c r="K111" s="624"/>
      <c r="L111" s="622"/>
      <c r="M111" s="624"/>
      <c r="N111" s="624"/>
      <c r="O111" s="624"/>
      <c r="P111" s="624"/>
      <c r="Q111" s="622"/>
      <c r="R111" s="981"/>
      <c r="S111" s="981"/>
      <c r="T111" s="981"/>
      <c r="U111" s="981"/>
      <c r="V111" s="622"/>
      <c r="W111" s="981"/>
      <c r="X111" s="981"/>
      <c r="Y111" s="981"/>
      <c r="Z111" s="981"/>
      <c r="AA111" s="622"/>
      <c r="AB111" s="981"/>
      <c r="AC111" s="981"/>
      <c r="AD111" s="981"/>
      <c r="AE111" s="981"/>
      <c r="AF111" s="622"/>
      <c r="AG111" s="981"/>
      <c r="AH111" s="981"/>
      <c r="AI111" s="981"/>
      <c r="AJ111" s="981"/>
      <c r="AK111" s="622"/>
      <c r="AL111" s="624"/>
      <c r="AM111" s="624"/>
      <c r="AN111" s="624"/>
      <c r="AO111" s="624"/>
      <c r="AP111" s="622"/>
      <c r="AQ111" s="624"/>
      <c r="AR111" s="624"/>
      <c r="AS111" s="624"/>
      <c r="AT111" s="624"/>
      <c r="AU111" s="622"/>
      <c r="AV111" s="624"/>
      <c r="AW111" s="624"/>
      <c r="AX111" s="624"/>
      <c r="AY111" s="624"/>
      <c r="AZ111" s="622"/>
      <c r="BA111" s="624"/>
      <c r="BB111" s="624"/>
      <c r="BC111" s="624"/>
      <c r="BD111" s="624"/>
      <c r="BE111" s="622"/>
      <c r="BF111" s="624"/>
      <c r="BG111" s="624"/>
      <c r="BH111" s="624"/>
      <c r="BI111" s="624"/>
      <c r="BJ111" s="622"/>
      <c r="BK111" s="624"/>
      <c r="BL111" s="624"/>
      <c r="BM111" s="624"/>
      <c r="BN111" s="624"/>
      <c r="BO111" s="622"/>
      <c r="BP111" s="624"/>
      <c r="BQ111" s="624"/>
      <c r="BR111" s="624"/>
      <c r="BS111" s="624"/>
      <c r="BT111" s="622"/>
      <c r="BU111" s="624"/>
      <c r="BV111" s="624"/>
      <c r="BW111" s="624"/>
      <c r="BX111" s="624"/>
      <c r="BY111" s="622"/>
      <c r="BZ111" s="624"/>
      <c r="CA111" s="624"/>
      <c r="CB111" s="624"/>
      <c r="CC111" s="624"/>
      <c r="CD111" s="622"/>
      <c r="CE111" s="624"/>
      <c r="CF111" s="624"/>
      <c r="CG111" s="624"/>
      <c r="CH111" s="624"/>
      <c r="CI111" s="622"/>
      <c r="CJ111" s="624"/>
      <c r="CK111" s="624"/>
      <c r="CL111" s="624"/>
      <c r="CM111" s="624"/>
      <c r="CN111" s="622"/>
      <c r="CO111" s="624"/>
      <c r="CP111" s="624"/>
      <c r="CQ111" s="624"/>
      <c r="CR111" s="624"/>
      <c r="CS111" s="622"/>
      <c r="CT111" s="624"/>
      <c r="CU111" s="624"/>
      <c r="CV111" s="624"/>
      <c r="CW111" s="624"/>
      <c r="CX111" s="622"/>
      <c r="CY111" s="624"/>
      <c r="CZ111" s="624"/>
      <c r="DA111" s="624"/>
      <c r="DB111" s="624"/>
      <c r="DC111" s="622"/>
      <c r="DD111" s="619"/>
      <c r="DE111" s="619"/>
      <c r="DF111" s="619"/>
      <c r="DG111" s="619"/>
      <c r="DH111" s="622">
        <f>SUM(DH107:DH110)</f>
      </c>
      <c r="DI111" s="619"/>
      <c r="DJ111" s="619"/>
      <c r="DK111" s="619"/>
      <c r="DL111" s="619"/>
      <c r="DM111" s="622">
        <f>SUM(DM107:DM110)</f>
      </c>
      <c r="DN111" s="619"/>
      <c r="DO111" s="619"/>
      <c r="DP111" s="619"/>
      <c r="DQ111" s="619"/>
      <c r="DR111" s="622">
        <f>SUM(DR107:DR110)</f>
      </c>
      <c r="DS111" s="619"/>
      <c r="DT111" s="619"/>
      <c r="DU111" s="619"/>
      <c r="DV111" s="619"/>
      <c r="DW111" s="622">
        <f>SUM(DW107:DW110)</f>
      </c>
      <c r="DX111" s="619"/>
      <c r="DY111" s="619"/>
      <c r="DZ111" s="619"/>
      <c r="EA111" s="619"/>
      <c r="EB111" s="622">
        <f>SUM(EB107:EB110)</f>
      </c>
      <c r="EC111" s="619"/>
      <c r="ED111" s="619"/>
      <c r="EE111" s="619"/>
      <c r="EF111" s="619"/>
      <c r="EG111" s="622">
        <f>SUM(EG107:EG110)</f>
      </c>
      <c r="EH111" s="619"/>
      <c r="EI111" s="619"/>
      <c r="EJ111" s="619"/>
      <c r="EK111" s="619"/>
      <c r="EL111" s="622">
        <f>SUM(EL107:EL110)</f>
      </c>
      <c r="EM111" s="619"/>
      <c r="EN111" s="619"/>
      <c r="EO111" s="619"/>
      <c r="EP111" s="619"/>
      <c r="EQ111" s="622">
        <f>SUM(EQ107:EQ110)</f>
      </c>
      <c r="ER111" s="619"/>
      <c r="ES111" s="619"/>
      <c r="ET111" s="619"/>
      <c r="EU111" s="619"/>
      <c r="EV111" s="622">
        <f>SUM(EV107:EV110)</f>
      </c>
      <c r="EW111" s="619"/>
      <c r="EX111" s="619"/>
      <c r="EY111" s="619"/>
      <c r="EZ111" s="619"/>
      <c r="FA111" s="622">
        <f>SUM(FA107:FA110)</f>
      </c>
      <c r="FB111" s="619"/>
      <c r="FC111" s="619"/>
      <c r="FD111" s="619"/>
      <c r="FE111" s="619"/>
      <c r="FF111" s="622"/>
      <c r="FG111" s="619"/>
      <c r="FH111" s="619"/>
      <c r="FI111" s="619"/>
      <c r="FJ111" s="619"/>
      <c r="FK111" s="622"/>
      <c r="FL111" s="619"/>
      <c r="FM111" s="619"/>
      <c r="FN111" s="619"/>
      <c r="FO111" s="619"/>
      <c r="FP111" s="622"/>
      <c r="FQ111" s="619"/>
      <c r="FR111" s="619"/>
      <c r="FS111" s="619"/>
      <c r="FT111" s="619"/>
      <c r="FU111" s="622"/>
      <c r="FV111" s="619"/>
      <c r="FW111" s="619"/>
      <c r="FX111" s="619"/>
      <c r="FY111" s="619"/>
      <c r="FZ111" s="622"/>
      <c r="GA111" s="619"/>
      <c r="GB111" s="619"/>
      <c r="GC111" s="619"/>
      <c r="GD111" s="619"/>
      <c r="GE111" s="622"/>
      <c r="GF111" s="619"/>
      <c r="GG111" s="619"/>
      <c r="GH111" s="619"/>
      <c r="GI111" s="619"/>
      <c r="GJ111" s="622"/>
    </row>
    <row r="112" spans="1:192" s="1031" customFormat="1" ht="12.75" customHeight="1" outlineLevel="1">
      <c r="A112" s="1027"/>
      <c r="B112" s="1016" t="s">
        <v>34</v>
      </c>
      <c r="C112" s="1028"/>
      <c r="D112" s="1028"/>
      <c r="E112" s="1028"/>
      <c r="F112" s="1028"/>
      <c r="G112" s="1029"/>
      <c r="H112" s="1028"/>
      <c r="I112" s="1028"/>
      <c r="J112" s="1028"/>
      <c r="K112" s="1028"/>
      <c r="L112" s="1029"/>
      <c r="M112" s="1028"/>
      <c r="N112" s="1028"/>
      <c r="O112" s="1028"/>
      <c r="P112" s="1028"/>
      <c r="Q112" s="1029"/>
      <c r="R112" s="1030"/>
      <c r="S112" s="1030"/>
      <c r="T112" s="1030"/>
      <c r="U112" s="1030"/>
      <c r="V112" s="1029"/>
      <c r="W112" s="1030"/>
      <c r="X112" s="1030"/>
      <c r="Y112" s="1030"/>
      <c r="Z112" s="1030"/>
      <c r="AA112" s="1029"/>
      <c r="AB112" s="1030"/>
      <c r="AC112" s="1030"/>
      <c r="AD112" s="1030"/>
      <c r="AE112" s="1030"/>
      <c r="AF112" s="1029"/>
      <c r="AG112" s="1030"/>
      <c r="AH112" s="1030"/>
      <c r="AI112" s="1030"/>
      <c r="AJ112" s="1030"/>
      <c r="AK112" s="1029"/>
      <c r="AL112" s="1028"/>
      <c r="AM112" s="1028"/>
      <c r="AN112" s="1028"/>
      <c r="AO112" s="1028"/>
      <c r="AP112" s="1029"/>
      <c r="AQ112" s="1028"/>
      <c r="AR112" s="1028"/>
      <c r="AS112" s="1028"/>
      <c r="AT112" s="1028"/>
      <c r="AU112" s="1029"/>
      <c r="AV112" s="1028"/>
      <c r="AW112" s="1028"/>
      <c r="AX112" s="1028"/>
      <c r="AY112" s="1028"/>
      <c r="AZ112" s="1029"/>
      <c r="BA112" s="1028"/>
      <c r="BB112" s="1028"/>
      <c r="BC112" s="1028"/>
      <c r="BD112" s="1028"/>
      <c r="BE112" s="1029"/>
      <c r="BF112" s="1028"/>
      <c r="BG112" s="1028"/>
      <c r="BH112" s="1028"/>
      <c r="BI112" s="1028"/>
      <c r="BJ112" s="1029"/>
      <c r="BK112" s="1028"/>
      <c r="BL112" s="1028"/>
      <c r="BM112" s="1028"/>
      <c r="BN112" s="1028"/>
      <c r="BO112" s="1029"/>
      <c r="BP112" s="1028"/>
      <c r="BQ112" s="1028"/>
      <c r="BR112" s="1028"/>
      <c r="BS112" s="1028"/>
      <c r="BT112" s="1029"/>
      <c r="BU112" s="1028"/>
      <c r="BV112" s="1028"/>
      <c r="BW112" s="1028"/>
      <c r="BX112" s="1028"/>
      <c r="BY112" s="1029"/>
      <c r="BZ112" s="1028"/>
      <c r="CA112" s="1028"/>
      <c r="CB112" s="1028"/>
      <c r="CC112" s="1028"/>
      <c r="CD112" s="1029"/>
      <c r="CE112" s="1028"/>
      <c r="CF112" s="1028"/>
      <c r="CG112" s="1028"/>
      <c r="CH112" s="1028"/>
      <c r="CI112" s="1029"/>
      <c r="CJ112" s="1028"/>
      <c r="CK112" s="1028"/>
      <c r="CL112" s="1028"/>
      <c r="CM112" s="1028"/>
      <c r="CN112" s="1029"/>
      <c r="CO112" s="1028"/>
      <c r="CP112" s="1028"/>
      <c r="CQ112" s="1028"/>
      <c r="CR112" s="1028"/>
      <c r="CS112" s="1029"/>
      <c r="CT112" s="1028"/>
      <c r="CU112" s="1028"/>
      <c r="CV112" s="1028"/>
      <c r="CW112" s="1028"/>
      <c r="CX112" s="1461"/>
      <c r="CY112" s="1462"/>
      <c r="CZ112" s="1462"/>
      <c r="DA112" s="1462"/>
      <c r="DB112" s="1462"/>
      <c r="DC112" s="1461"/>
      <c r="DD112" s="1462"/>
      <c r="DE112" s="1462"/>
      <c r="DF112" s="1462"/>
      <c r="DG112" s="1462"/>
      <c r="DH112" s="1461"/>
      <c r="DI112" s="1462"/>
      <c r="DJ112" s="1462"/>
      <c r="DK112" s="1462"/>
      <c r="DL112" s="1462"/>
      <c r="DM112" s="1461">
        <f>DM111/DH111-1</f>
      </c>
      <c r="DN112" s="1462"/>
      <c r="DO112" s="1462"/>
      <c r="DP112" s="1462"/>
      <c r="DQ112" s="1462"/>
      <c r="DR112" s="1461">
        <f>DR111/DM111-1</f>
      </c>
      <c r="DS112" s="1462"/>
      <c r="DT112" s="1462"/>
      <c r="DU112" s="1462"/>
      <c r="DV112" s="1462"/>
      <c r="DW112" s="1461">
        <f>DW111/DR111-1</f>
      </c>
      <c r="DX112" s="1462"/>
      <c r="DY112" s="1462"/>
      <c r="DZ112" s="1462"/>
      <c r="EA112" s="1462"/>
      <c r="EB112" s="1461">
        <f>EB111/DW111-1</f>
      </c>
      <c r="EC112" s="1462"/>
      <c r="ED112" s="1462"/>
      <c r="EE112" s="1462"/>
      <c r="EF112" s="1462"/>
      <c r="EG112" s="1461">
        <f>EG111/EB111-1</f>
      </c>
      <c r="EH112" s="1462"/>
      <c r="EI112" s="1462"/>
      <c r="EJ112" s="1462"/>
      <c r="EK112" s="1462"/>
      <c r="EL112" s="1461">
        <f>EL111/EG111-1</f>
      </c>
      <c r="EM112" s="1462"/>
      <c r="EN112" s="1462"/>
      <c r="EO112" s="1462"/>
      <c r="EP112" s="1462"/>
      <c r="EQ112" s="1461">
        <f>EQ111/EL111-1</f>
      </c>
      <c r="ER112" s="1462"/>
      <c r="ES112" s="1462"/>
      <c r="ET112" s="1464">
        <v>-0.01</v>
      </c>
      <c r="EU112" s="1462"/>
      <c r="EV112" s="1461">
        <f>EV111/EQ111-1</f>
      </c>
      <c r="EW112" s="1462"/>
      <c r="EX112" s="1464">
        <v>0.02</v>
      </c>
      <c r="EY112" s="1464">
        <v>0.02</v>
      </c>
      <c r="EZ112" s="1714"/>
      <c r="FA112" s="1461">
        <f>FA111/EV111-1</f>
      </c>
      <c r="FB112" s="1462"/>
      <c r="FC112" s="1462"/>
      <c r="FD112" s="1462"/>
      <c r="FE112" s="1462"/>
      <c r="FF112" s="1461"/>
      <c r="FG112" s="1462"/>
      <c r="FH112" s="1462"/>
      <c r="FI112" s="1462"/>
      <c r="FJ112" s="1462"/>
      <c r="FK112" s="1461"/>
      <c r="FL112" s="1462"/>
      <c r="FM112" s="1462"/>
      <c r="FN112" s="1462"/>
      <c r="FO112" s="1462"/>
      <c r="FP112" s="1461"/>
      <c r="FQ112" s="1462"/>
      <c r="FR112" s="1462"/>
      <c r="FS112" s="1462"/>
      <c r="FT112" s="1462"/>
      <c r="FU112" s="1461"/>
      <c r="FV112" s="1462"/>
      <c r="FW112" s="1462"/>
      <c r="FX112" s="1462"/>
      <c r="FY112" s="1462"/>
      <c r="FZ112" s="1461"/>
      <c r="GA112" s="1462"/>
      <c r="GB112" s="1462"/>
      <c r="GC112" s="1462"/>
      <c r="GD112" s="1462"/>
      <c r="GE112" s="1461"/>
      <c r="GF112" s="1462"/>
      <c r="GG112" s="1462"/>
      <c r="GH112" s="1462"/>
      <c r="GI112" s="1462"/>
      <c r="GJ112" s="1461"/>
    </row>
    <row r="113" spans="1:192" s="1031" customFormat="1" ht="12.75" customHeight="1" outlineLevel="1">
      <c r="A113" s="1027"/>
      <c r="B113" s="1016" t="s">
        <v>1904</v>
      </c>
      <c r="C113" s="1028"/>
      <c r="D113" s="1028"/>
      <c r="E113" s="1028"/>
      <c r="F113" s="1028"/>
      <c r="G113" s="1029"/>
      <c r="H113" s="1028"/>
      <c r="I113" s="1028"/>
      <c r="J113" s="1028"/>
      <c r="K113" s="1028"/>
      <c r="L113" s="1029"/>
      <c r="M113" s="1028"/>
      <c r="N113" s="1028"/>
      <c r="O113" s="1028"/>
      <c r="P113" s="1028"/>
      <c r="Q113" s="1029"/>
      <c r="R113" s="1030"/>
      <c r="S113" s="1030"/>
      <c r="T113" s="1030"/>
      <c r="U113" s="1030"/>
      <c r="V113" s="1029"/>
      <c r="W113" s="1030"/>
      <c r="X113" s="1030"/>
      <c r="Y113" s="1030"/>
      <c r="Z113" s="1030"/>
      <c r="AA113" s="1029"/>
      <c r="AB113" s="1030"/>
      <c r="AC113" s="1030"/>
      <c r="AD113" s="1030"/>
      <c r="AE113" s="1030"/>
      <c r="AF113" s="1029"/>
      <c r="AG113" s="1030"/>
      <c r="AH113" s="1030"/>
      <c r="AI113" s="1030"/>
      <c r="AJ113" s="1030"/>
      <c r="AK113" s="1029"/>
      <c r="AL113" s="1028"/>
      <c r="AM113" s="1028"/>
      <c r="AN113" s="1028"/>
      <c r="AO113" s="1028"/>
      <c r="AP113" s="1029"/>
      <c r="AQ113" s="1028"/>
      <c r="AR113" s="1028"/>
      <c r="AS113" s="1028"/>
      <c r="AT113" s="1028"/>
      <c r="AU113" s="1029"/>
      <c r="AV113" s="1028"/>
      <c r="AW113" s="1028"/>
      <c r="AX113" s="1028"/>
      <c r="AY113" s="1028"/>
      <c r="AZ113" s="1029"/>
      <c r="BA113" s="1028"/>
      <c r="BB113" s="1028"/>
      <c r="BC113" s="1028"/>
      <c r="BD113" s="1028"/>
      <c r="BE113" s="1029"/>
      <c r="BF113" s="1028"/>
      <c r="BG113" s="1028"/>
      <c r="BH113" s="1028"/>
      <c r="BI113" s="1028"/>
      <c r="BJ113" s="1029"/>
      <c r="BK113" s="1028"/>
      <c r="BL113" s="1028"/>
      <c r="BM113" s="1028"/>
      <c r="BN113" s="1028"/>
      <c r="BO113" s="1029"/>
      <c r="BP113" s="1028"/>
      <c r="BQ113" s="1028"/>
      <c r="BR113" s="1028"/>
      <c r="BS113" s="1028"/>
      <c r="BT113" s="1029"/>
      <c r="BU113" s="1028"/>
      <c r="BV113" s="1028"/>
      <c r="BW113" s="1028"/>
      <c r="BX113" s="1028"/>
      <c r="BY113" s="1029"/>
      <c r="BZ113" s="1028"/>
      <c r="CA113" s="1028"/>
      <c r="CB113" s="1028"/>
      <c r="CC113" s="1028"/>
      <c r="CD113" s="1029"/>
      <c r="CE113" s="1028"/>
      <c r="CF113" s="1028"/>
      <c r="CG113" s="1028"/>
      <c r="CH113" s="1028"/>
      <c r="CI113" s="1029"/>
      <c r="CJ113" s="1028"/>
      <c r="CK113" s="1028"/>
      <c r="CL113" s="1028"/>
      <c r="CM113" s="1028"/>
      <c r="CN113" s="1029"/>
      <c r="CO113" s="1028"/>
      <c r="CP113" s="1028"/>
      <c r="CQ113" s="1028"/>
      <c r="CR113" s="1028"/>
      <c r="CS113" s="1029"/>
      <c r="CT113" s="1028"/>
      <c r="CU113" s="1028"/>
      <c r="CV113" s="1028"/>
      <c r="CW113" s="1028"/>
      <c r="CX113" s="1461"/>
      <c r="CY113" s="1462"/>
      <c r="CZ113" s="1462"/>
      <c r="DA113" s="1462"/>
      <c r="DB113" s="1462"/>
      <c r="DC113" s="1461"/>
      <c r="DD113" s="1462"/>
      <c r="DE113" s="1462"/>
      <c r="DF113" s="1462"/>
      <c r="DG113" s="1462"/>
      <c r="DH113" s="1012">
        <f>DH15/DH111</f>
      </c>
      <c r="DI113" s="1438"/>
      <c r="DJ113" s="1438"/>
      <c r="DK113" s="1438"/>
      <c r="DL113" s="1438"/>
      <c r="DM113" s="1012">
        <f>DM15/DM111</f>
      </c>
      <c r="DN113" s="1438"/>
      <c r="DO113" s="1438"/>
      <c r="DP113" s="1438"/>
      <c r="DQ113" s="1438"/>
      <c r="DR113" s="1012">
        <f>DR15/DR111</f>
      </c>
      <c r="DS113" s="1438"/>
      <c r="DT113" s="1438"/>
      <c r="DU113" s="1438"/>
      <c r="DV113" s="1438"/>
      <c r="DW113" s="1012">
        <f>DW15/DW111</f>
      </c>
      <c r="DX113" s="1438"/>
      <c r="DY113" s="1438"/>
      <c r="DZ113" s="1438"/>
      <c r="EA113" s="1438"/>
      <c r="EB113" s="1012">
        <f>EB15/EB111</f>
      </c>
      <c r="EC113" s="1438"/>
      <c r="ED113" s="1438"/>
      <c r="EE113" s="1438"/>
      <c r="EF113" s="1438"/>
      <c r="EG113" s="1012">
        <f>EG15/EG111</f>
      </c>
      <c r="EH113" s="1438"/>
      <c r="EI113" s="1438"/>
      <c r="EJ113" s="1438"/>
      <c r="EK113" s="1438"/>
      <c r="EL113" s="1012">
        <f>EL15/EL111</f>
      </c>
      <c r="EM113" s="1438"/>
      <c r="EN113" s="1438"/>
      <c r="EO113" s="1438"/>
      <c r="EP113" s="1438"/>
      <c r="EQ113" s="1012">
        <f>EQ15/EQ111</f>
      </c>
      <c r="ER113" s="1438"/>
      <c r="ES113" s="1438"/>
      <c r="ET113" s="1438"/>
      <c r="EU113" s="1438"/>
      <c r="EV113" s="1012">
        <f>IFERROR(EV15/EV111,"")</f>
      </c>
      <c r="EW113" s="1462"/>
      <c r="EX113" s="1462"/>
      <c r="EY113" s="1462"/>
      <c r="EZ113" s="1462"/>
      <c r="FA113" s="1012">
        <f>IFERROR(FA15/FA111,"")</f>
      </c>
      <c r="FB113" s="1462"/>
      <c r="FC113" s="1462"/>
      <c r="FD113" s="1462"/>
      <c r="FE113" s="1462"/>
      <c r="FF113" s="1461"/>
      <c r="FG113" s="1462"/>
      <c r="FH113" s="1462"/>
      <c r="FI113" s="1462"/>
      <c r="FJ113" s="1462"/>
      <c r="FK113" s="1461"/>
      <c r="FL113" s="1462"/>
      <c r="FM113" s="1462"/>
      <c r="FN113" s="1462"/>
      <c r="FO113" s="1462"/>
      <c r="FP113" s="1461"/>
      <c r="FQ113" s="1462"/>
      <c r="FR113" s="1462"/>
      <c r="FS113" s="1462"/>
      <c r="FT113" s="1462"/>
      <c r="FU113" s="1461"/>
      <c r="FV113" s="1462"/>
      <c r="FW113" s="1462"/>
      <c r="FX113" s="1462"/>
      <c r="FY113" s="1462"/>
      <c r="FZ113" s="1461"/>
      <c r="GA113" s="1462"/>
      <c r="GB113" s="1462"/>
      <c r="GC113" s="1462"/>
      <c r="GD113" s="1462"/>
      <c r="GE113" s="1461"/>
      <c r="GF113" s="1462"/>
      <c r="GG113" s="1462"/>
      <c r="GH113" s="1462"/>
      <c r="GI113" s="1462"/>
      <c r="GJ113" s="1461"/>
    </row>
    <row r="114" spans="1:192" s="1031" customFormat="1" ht="12.75" customHeight="1" outlineLevel="1">
      <c r="A114" s="1027"/>
      <c r="B114" s="727"/>
      <c r="C114" s="1028"/>
      <c r="D114" s="1028"/>
      <c r="E114" s="1028"/>
      <c r="F114" s="1028"/>
      <c r="G114" s="1029"/>
      <c r="H114" s="1028"/>
      <c r="I114" s="1028"/>
      <c r="J114" s="1028"/>
      <c r="K114" s="1028"/>
      <c r="L114" s="1029"/>
      <c r="M114" s="1028"/>
      <c r="N114" s="1028"/>
      <c r="O114" s="1028"/>
      <c r="P114" s="1028"/>
      <c r="Q114" s="1029"/>
      <c r="R114" s="1030"/>
      <c r="S114" s="1030"/>
      <c r="T114" s="1030"/>
      <c r="U114" s="1030"/>
      <c r="V114" s="1029"/>
      <c r="W114" s="1030"/>
      <c r="X114" s="1030"/>
      <c r="Y114" s="1030"/>
      <c r="Z114" s="1030"/>
      <c r="AA114" s="1029"/>
      <c r="AB114" s="1030"/>
      <c r="AC114" s="1030"/>
      <c r="AD114" s="1030"/>
      <c r="AE114" s="1030"/>
      <c r="AF114" s="1029"/>
      <c r="AG114" s="1030"/>
      <c r="AH114" s="1030"/>
      <c r="AI114" s="1030"/>
      <c r="AJ114" s="1030"/>
      <c r="AK114" s="1029"/>
      <c r="AL114" s="1028"/>
      <c r="AM114" s="1028"/>
      <c r="AN114" s="1028"/>
      <c r="AO114" s="1028"/>
      <c r="AP114" s="1029"/>
      <c r="AQ114" s="1028"/>
      <c r="AR114" s="1028"/>
      <c r="AS114" s="1028"/>
      <c r="AT114" s="1028"/>
      <c r="AU114" s="1029"/>
      <c r="AV114" s="1028"/>
      <c r="AW114" s="1028"/>
      <c r="AX114" s="1028"/>
      <c r="AY114" s="1028"/>
      <c r="AZ114" s="1029"/>
      <c r="BA114" s="1028"/>
      <c r="BB114" s="1028"/>
      <c r="BC114" s="1028"/>
      <c r="BD114" s="1028"/>
      <c r="BE114" s="1029"/>
      <c r="BF114" s="1028"/>
      <c r="BG114" s="1028"/>
      <c r="BH114" s="1028"/>
      <c r="BI114" s="1028"/>
      <c r="BJ114" s="1029"/>
      <c r="BK114" s="1028"/>
      <c r="BL114" s="1028"/>
      <c r="BM114" s="1028"/>
      <c r="BN114" s="1028"/>
      <c r="BO114" s="1029"/>
      <c r="BP114" s="1028"/>
      <c r="BQ114" s="1028"/>
      <c r="BR114" s="1028"/>
      <c r="BS114" s="1028"/>
      <c r="BT114" s="1029"/>
      <c r="BU114" s="1028"/>
      <c r="BV114" s="1028"/>
      <c r="BW114" s="1028"/>
      <c r="BX114" s="1028"/>
      <c r="BY114" s="1029"/>
      <c r="BZ114" s="1028"/>
      <c r="CA114" s="1028"/>
      <c r="CB114" s="1028"/>
      <c r="CC114" s="1028"/>
      <c r="CD114" s="1029"/>
      <c r="CE114" s="1028"/>
      <c r="CF114" s="1028"/>
      <c r="CG114" s="1028"/>
      <c r="CH114" s="1028"/>
      <c r="CI114" s="1029"/>
      <c r="CJ114" s="1028"/>
      <c r="CK114" s="1028"/>
      <c r="CL114" s="1028"/>
      <c r="CM114" s="1028"/>
      <c r="CN114" s="1029"/>
      <c r="CO114" s="1028"/>
      <c r="CP114" s="1028"/>
      <c r="CQ114" s="1028"/>
      <c r="CR114" s="1028"/>
      <c r="CS114" s="1029"/>
      <c r="CT114" s="1028"/>
      <c r="CU114" s="1028"/>
      <c r="CV114" s="1028"/>
      <c r="CW114" s="1028"/>
      <c r="CX114" s="1461"/>
      <c r="CY114" s="1462"/>
      <c r="CZ114" s="1462"/>
      <c r="DA114" s="1462"/>
      <c r="DB114" s="1462"/>
      <c r="DC114" s="1461"/>
      <c r="DD114" s="1462"/>
      <c r="DE114" s="1462"/>
      <c r="DF114" s="1462"/>
      <c r="DG114" s="1462"/>
      <c r="DH114" s="1461"/>
      <c r="DI114" s="1438"/>
      <c r="DJ114" s="1438"/>
      <c r="DK114" s="1438"/>
      <c r="DL114" s="1438"/>
      <c r="DM114" s="1175"/>
      <c r="DN114" s="1438"/>
      <c r="DO114" s="1438"/>
      <c r="DP114" s="1438"/>
      <c r="DQ114" s="1438"/>
      <c r="DR114" s="1175"/>
      <c r="DS114" s="1438"/>
      <c r="DT114" s="1438"/>
      <c r="DU114" s="1438"/>
      <c r="DV114" s="1438"/>
      <c r="DW114" s="1175"/>
      <c r="DX114" s="1438"/>
      <c r="DY114" s="1438"/>
      <c r="DZ114" s="1438"/>
      <c r="EA114" s="1438"/>
      <c r="EB114" s="1175"/>
      <c r="EC114" s="1438"/>
      <c r="ED114" s="1438"/>
      <c r="EE114" s="1438"/>
      <c r="EF114" s="1438"/>
      <c r="EG114" s="1175"/>
      <c r="EH114" s="1438"/>
      <c r="EI114" s="1438"/>
      <c r="EJ114" s="1438"/>
      <c r="EK114" s="1438"/>
      <c r="EL114" s="1175"/>
      <c r="EM114" s="1438"/>
      <c r="EN114" s="1438"/>
      <c r="EO114" s="1438"/>
      <c r="EP114" s="1438"/>
      <c r="EQ114" s="1175"/>
      <c r="ER114" s="1438"/>
      <c r="ES114" s="1438"/>
      <c r="ET114" s="1438"/>
      <c r="EU114" s="1438"/>
      <c r="EV114" s="1175"/>
      <c r="EW114" s="1462"/>
      <c r="EX114" s="1462"/>
      <c r="EY114" s="1462"/>
      <c r="EZ114" s="1462"/>
      <c r="FA114" s="1461"/>
      <c r="FB114" s="1462"/>
      <c r="FC114" s="1462"/>
      <c r="FD114" s="1462"/>
      <c r="FE114" s="1462"/>
      <c r="FF114" s="1461"/>
      <c r="FG114" s="1462"/>
      <c r="FH114" s="1462"/>
      <c r="FI114" s="1462"/>
      <c r="FJ114" s="1462"/>
      <c r="FK114" s="1461"/>
      <c r="FL114" s="1462"/>
      <c r="FM114" s="1462"/>
      <c r="FN114" s="1462"/>
      <c r="FO114" s="1462"/>
      <c r="FP114" s="1461"/>
      <c r="FQ114" s="1462"/>
      <c r="FR114" s="1462"/>
      <c r="FS114" s="1462"/>
      <c r="FT114" s="1462"/>
      <c r="FU114" s="1461"/>
      <c r="FV114" s="1462"/>
      <c r="FW114" s="1462"/>
      <c r="FX114" s="1462"/>
      <c r="FY114" s="1462"/>
      <c r="FZ114" s="1461"/>
      <c r="GA114" s="1462"/>
      <c r="GB114" s="1462"/>
      <c r="GC114" s="1462"/>
      <c r="GD114" s="1462"/>
      <c r="GE114" s="1461"/>
      <c r="GF114" s="1462"/>
      <c r="GG114" s="1462"/>
      <c r="GH114" s="1462"/>
      <c r="GI114" s="1462"/>
      <c r="GJ114" s="1461"/>
    </row>
    <row r="115" spans="1:192" s="461" customFormat="1" ht="12.75" customHeight="1" outlineLevel="1">
      <c r="A115" s="370"/>
      <c r="B115" s="1439" t="s">
        <v>1827</v>
      </c>
      <c r="C115" s="493"/>
      <c r="D115" s="493"/>
      <c r="E115" s="493"/>
      <c r="F115" s="493"/>
      <c r="G115" s="1175"/>
      <c r="H115" s="493"/>
      <c r="I115" s="493"/>
      <c r="J115" s="493"/>
      <c r="K115" s="493"/>
      <c r="L115" s="1175"/>
      <c r="M115" s="815"/>
      <c r="N115" s="815"/>
      <c r="O115" s="815"/>
      <c r="P115" s="815"/>
      <c r="Q115" s="1175"/>
      <c r="R115" s="815"/>
      <c r="S115" s="815"/>
      <c r="T115" s="815"/>
      <c r="U115" s="815"/>
      <c r="V115" s="1175"/>
      <c r="W115" s="815"/>
      <c r="X115" s="815"/>
      <c r="Y115" s="815"/>
      <c r="Z115" s="815"/>
      <c r="AA115" s="1175"/>
      <c r="AB115" s="815"/>
      <c r="AC115" s="815"/>
      <c r="AD115" s="815"/>
      <c r="AE115" s="815"/>
      <c r="AF115" s="1175"/>
      <c r="AG115" s="815"/>
      <c r="AH115" s="815"/>
      <c r="AI115" s="815"/>
      <c r="AJ115" s="815"/>
      <c r="AK115" s="1175"/>
      <c r="AL115" s="493"/>
      <c r="AM115" s="493"/>
      <c r="AN115" s="493"/>
      <c r="AO115" s="493"/>
      <c r="AP115" s="1175"/>
      <c r="AQ115" s="493"/>
      <c r="AR115" s="493"/>
      <c r="AS115" s="493"/>
      <c r="AT115" s="493"/>
      <c r="AU115" s="1175"/>
      <c r="AV115" s="493"/>
      <c r="AW115" s="493"/>
      <c r="AX115" s="493"/>
      <c r="AY115" s="493"/>
      <c r="AZ115" s="1175"/>
      <c r="BA115" s="493"/>
      <c r="BB115" s="493"/>
      <c r="BC115" s="493"/>
      <c r="BD115" s="493"/>
      <c r="BE115" s="1175"/>
      <c r="BF115" s="493"/>
      <c r="BG115" s="493"/>
      <c r="BH115" s="493"/>
      <c r="BI115" s="493"/>
      <c r="BJ115" s="1175"/>
      <c r="BK115" s="493"/>
      <c r="BL115" s="493"/>
      <c r="BM115" s="493"/>
      <c r="BN115" s="493"/>
      <c r="BO115" s="1175"/>
      <c r="BP115" s="493"/>
      <c r="BQ115" s="493"/>
      <c r="BR115" s="493"/>
      <c r="BS115" s="493"/>
      <c r="BT115" s="1175"/>
      <c r="BU115" s="493"/>
      <c r="BV115" s="493"/>
      <c r="BW115" s="493"/>
      <c r="BX115" s="493"/>
      <c r="BY115" s="1175"/>
      <c r="BZ115" s="493"/>
      <c r="CA115" s="493"/>
      <c r="CB115" s="493"/>
      <c r="CC115" s="493"/>
      <c r="CD115" s="1175"/>
      <c r="CE115" s="493"/>
      <c r="CF115" s="493"/>
      <c r="CG115" s="493"/>
      <c r="CH115" s="493"/>
      <c r="CI115" s="1175"/>
      <c r="CJ115" s="493"/>
      <c r="CK115" s="493"/>
      <c r="CL115" s="493"/>
      <c r="CM115" s="493"/>
      <c r="CN115" s="1175"/>
      <c r="CO115" s="493"/>
      <c r="CP115" s="493"/>
      <c r="CQ115" s="493"/>
      <c r="CR115" s="493"/>
      <c r="CS115" s="1175"/>
      <c r="CT115" s="493"/>
      <c r="CU115" s="493"/>
      <c r="CV115" s="493"/>
      <c r="CW115" s="493"/>
      <c r="CX115" s="1175"/>
      <c r="CY115" s="493"/>
      <c r="CZ115" s="493"/>
      <c r="DA115" s="493"/>
      <c r="DB115" s="493"/>
      <c r="DC115" s="1175"/>
      <c r="DD115" s="493"/>
      <c r="DE115" s="493"/>
      <c r="DF115" s="493"/>
      <c r="DG115" s="493"/>
      <c r="DH115" s="1175"/>
      <c r="DI115" s="493">
        <v>11215</v>
      </c>
      <c r="DJ115" s="493">
        <v>14115</v>
      </c>
      <c r="DK115" s="493">
        <v>12298</v>
      </c>
      <c r="DL115" s="458">
        <f>DM115-DK115-DJ115-DI115</f>
      </c>
      <c r="DM115" s="762">
        <v>51078</v>
      </c>
      <c r="DN115" s="493">
        <v>12527</v>
      </c>
      <c r="DO115" s="493">
        <v>15110</v>
      </c>
      <c r="DP115" s="493">
        <v>13457</v>
      </c>
      <c r="DQ115" s="458">
        <f>DR115-DP115-DO115-DN115</f>
      </c>
      <c r="DR115" s="762">
        <v>55926</v>
      </c>
      <c r="DS115" s="493">
        <v>14740</v>
      </c>
      <c r="DT115" s="493">
        <v>16787</v>
      </c>
      <c r="DU115" s="493">
        <v>15372</v>
      </c>
      <c r="DV115" s="458">
        <f>DW115-DU115-DT115-DS115</f>
      </c>
      <c r="DW115" s="762">
        <v>64199</v>
      </c>
      <c r="DX115" s="493">
        <v>17270</v>
      </c>
      <c r="DY115" s="493">
        <v>19149</v>
      </c>
      <c r="DZ115" s="493">
        <v>17428</v>
      </c>
      <c r="EA115" s="458">
        <f>EB115-DZ115-DY115-DX115</f>
      </c>
      <c r="EB115" s="762">
        <v>73160</v>
      </c>
      <c r="EC115" s="493">
        <v>19025</v>
      </c>
      <c r="ED115" s="493">
        <v>21836</v>
      </c>
      <c r="EE115" s="493">
        <v>20373</v>
      </c>
      <c r="EF115" s="458">
        <f>EG115-EE115-ED115-EC115</f>
      </c>
      <c r="EG115" s="762">
        <v>83953</v>
      </c>
      <c r="EH115" s="493">
        <v>22830</v>
      </c>
      <c r="EI115" s="493">
        <v>26463</v>
      </c>
      <c r="EJ115" s="493">
        <v>24771</v>
      </c>
      <c r="EK115" s="458">
        <f>EL115-EJ115-EI115-EH115</f>
      </c>
      <c r="EL115" s="762">
        <v>100218</v>
      </c>
      <c r="EM115" s="493">
        <v>25867</v>
      </c>
      <c r="EN115" s="493">
        <v>26976</v>
      </c>
      <c r="EO115" s="493">
        <v>26007</v>
      </c>
      <c r="EP115" s="458">
        <f>EQ115-EO115-EN115-EM115</f>
      </c>
      <c r="EQ115" s="762">
        <v>106744</v>
      </c>
      <c r="ER115" s="493">
        <v>28812</v>
      </c>
      <c r="ES115" s="493">
        <v>32295</v>
      </c>
      <c r="ET115" s="815">
        <v>31437</v>
      </c>
      <c r="EU115" s="458">
        <f>EV115-ET115-ES115-ER115</f>
      </c>
      <c r="EV115" s="762">
        <v>124704</v>
      </c>
      <c r="EW115" s="815">
        <v>33913</v>
      </c>
      <c r="EX115" s="815">
        <v>35537</v>
      </c>
      <c r="EY115" s="815">
        <v>36084</v>
      </c>
      <c r="EZ115" s="458">
        <f>FA115-EY115-EX115-EW115</f>
      </c>
      <c r="FA115" s="762">
        <v>230069</v>
      </c>
      <c r="FB115" s="690"/>
      <c r="FC115" s="690"/>
      <c r="FD115" s="690"/>
      <c r="FE115" s="690"/>
      <c r="FF115" s="1175"/>
      <c r="FG115" s="690"/>
      <c r="FH115" s="690"/>
      <c r="FI115" s="690"/>
      <c r="FJ115" s="690"/>
      <c r="FK115" s="1175"/>
      <c r="FL115" s="690"/>
      <c r="FM115" s="690"/>
      <c r="FN115" s="690"/>
      <c r="FO115" s="690"/>
      <c r="FP115" s="1175"/>
      <c r="FQ115" s="690"/>
      <c r="FR115" s="690"/>
      <c r="FS115" s="690"/>
      <c r="FT115" s="690"/>
      <c r="FU115" s="1175"/>
      <c r="FV115" s="690"/>
      <c r="FW115" s="690"/>
      <c r="FX115" s="690"/>
      <c r="FY115" s="690"/>
      <c r="FZ115" s="1175"/>
      <c r="GA115" s="690"/>
      <c r="GB115" s="690"/>
      <c r="GC115" s="690"/>
      <c r="GD115" s="690"/>
      <c r="GE115" s="1175"/>
      <c r="GF115" s="690"/>
      <c r="GG115" s="690"/>
      <c r="GH115" s="690"/>
      <c r="GI115" s="690"/>
      <c r="GJ115" s="1175"/>
    </row>
    <row r="116" spans="1:192" s="1184" customFormat="1" ht="12.75" customHeight="1" outlineLevel="1">
      <c r="A116" s="1180"/>
      <c r="B116" s="1440" t="s">
        <v>1829</v>
      </c>
      <c r="C116" s="1176"/>
      <c r="D116" s="1176"/>
      <c r="E116" s="1176"/>
      <c r="F116" s="1176"/>
      <c r="G116" s="1029"/>
      <c r="H116" s="1176"/>
      <c r="I116" s="1176"/>
      <c r="J116" s="1176"/>
      <c r="K116" s="1176"/>
      <c r="L116" s="1029"/>
      <c r="M116" s="1185"/>
      <c r="N116" s="1185"/>
      <c r="O116" s="1185"/>
      <c r="P116" s="1185"/>
      <c r="Q116" s="1029"/>
      <c r="R116" s="1185"/>
      <c r="S116" s="1185"/>
      <c r="T116" s="1185"/>
      <c r="U116" s="1185"/>
      <c r="V116" s="1029"/>
      <c r="W116" s="1185"/>
      <c r="X116" s="1185"/>
      <c r="Y116" s="1185"/>
      <c r="Z116" s="1185"/>
      <c r="AA116" s="1029"/>
      <c r="AB116" s="1185"/>
      <c r="AC116" s="1185"/>
      <c r="AD116" s="1185"/>
      <c r="AE116" s="1185"/>
      <c r="AF116" s="1029"/>
      <c r="AG116" s="1185"/>
      <c r="AH116" s="1185"/>
      <c r="AI116" s="1185"/>
      <c r="AJ116" s="1185"/>
      <c r="AK116" s="1029"/>
      <c r="AL116" s="1176"/>
      <c r="AM116" s="1176"/>
      <c r="AN116" s="1176"/>
      <c r="AO116" s="1176"/>
      <c r="AP116" s="1029"/>
      <c r="AQ116" s="1176"/>
      <c r="AR116" s="1176"/>
      <c r="AS116" s="1176"/>
      <c r="AT116" s="1176"/>
      <c r="AU116" s="1029"/>
      <c r="AV116" s="1176"/>
      <c r="AW116" s="1176"/>
      <c r="AX116" s="1176"/>
      <c r="AY116" s="1176"/>
      <c r="AZ116" s="1029"/>
      <c r="BA116" s="1176"/>
      <c r="BB116" s="1176"/>
      <c r="BC116" s="1176"/>
      <c r="BD116" s="1176"/>
      <c r="BE116" s="1029"/>
      <c r="BF116" s="1176"/>
      <c r="BG116" s="1176"/>
      <c r="BH116" s="1176"/>
      <c r="BI116" s="1176"/>
      <c r="BJ116" s="1029"/>
      <c r="BK116" s="1176"/>
      <c r="BL116" s="1176"/>
      <c r="BM116" s="1176"/>
      <c r="BN116" s="1176"/>
      <c r="BO116" s="1029"/>
      <c r="BP116" s="1176"/>
      <c r="BQ116" s="1176"/>
      <c r="BR116" s="1176"/>
      <c r="BS116" s="1176"/>
      <c r="BT116" s="1029"/>
      <c r="BU116" s="1176"/>
      <c r="BV116" s="1176"/>
      <c r="BW116" s="1176"/>
      <c r="BX116" s="1176"/>
      <c r="BY116" s="1029"/>
      <c r="BZ116" s="1176"/>
      <c r="CA116" s="1176"/>
      <c r="CB116" s="1176"/>
      <c r="CC116" s="1176"/>
      <c r="CD116" s="1029"/>
      <c r="CE116" s="1176"/>
      <c r="CF116" s="1176"/>
      <c r="CG116" s="1176"/>
      <c r="CH116" s="1176"/>
      <c r="CI116" s="1029"/>
      <c r="CJ116" s="1176"/>
      <c r="CK116" s="1176"/>
      <c r="CL116" s="1176"/>
      <c r="CM116" s="1176"/>
      <c r="CN116" s="1029"/>
      <c r="CO116" s="1176"/>
      <c r="CP116" s="1176"/>
      <c r="CQ116" s="1176"/>
      <c r="CR116" s="1176"/>
      <c r="CS116" s="1029"/>
      <c r="CT116" s="1176"/>
      <c r="CU116" s="1176"/>
      <c r="CV116" s="1176"/>
      <c r="CW116" s="1176"/>
      <c r="CX116" s="1461"/>
      <c r="CY116" s="1464"/>
      <c r="CZ116" s="1464"/>
      <c r="DA116" s="1464"/>
      <c r="DB116" s="1464"/>
      <c r="DC116" s="1461"/>
      <c r="DD116" s="1464"/>
      <c r="DE116" s="1464"/>
      <c r="DF116" s="1464"/>
      <c r="DG116" s="1464"/>
      <c r="DH116" s="1461"/>
      <c r="DI116" s="1449">
        <f t="shared" ref="DI116:FA116" si="98">DI115/(DI115+DI117)</f>
      </c>
      <c r="DJ116" s="1449">
        <f t="shared" si="98"/>
      </c>
      <c r="DK116" s="1449">
        <f t="shared" si="98"/>
      </c>
      <c r="DL116" s="1449">
        <f t="shared" si="98"/>
      </c>
      <c r="DM116" s="772">
        <f t="shared" si="98"/>
      </c>
      <c r="DN116" s="1449">
        <f t="shared" si="98"/>
      </c>
      <c r="DO116" s="1449">
        <f t="shared" si="98"/>
      </c>
      <c r="DP116" s="1449">
        <f t="shared" si="98"/>
      </c>
      <c r="DQ116" s="1449">
        <f t="shared" si="98"/>
      </c>
      <c r="DR116" s="772">
        <f t="shared" si="98"/>
      </c>
      <c r="DS116" s="1449">
        <f t="shared" si="98"/>
      </c>
      <c r="DT116" s="1449">
        <f t="shared" si="98"/>
      </c>
      <c r="DU116" s="1449">
        <f t="shared" si="98"/>
      </c>
      <c r="DV116" s="1449">
        <f t="shared" si="98"/>
      </c>
      <c r="DW116" s="772">
        <f t="shared" si="98"/>
      </c>
      <c r="DX116" s="1449">
        <f t="shared" si="98"/>
      </c>
      <c r="DY116" s="1449">
        <f t="shared" si="98"/>
      </c>
      <c r="DZ116" s="1449">
        <f t="shared" si="98"/>
      </c>
      <c r="EA116" s="1449">
        <f t="shared" si="98"/>
      </c>
      <c r="EB116" s="772">
        <f t="shared" si="98"/>
      </c>
      <c r="EC116" s="1449">
        <f t="shared" si="98"/>
      </c>
      <c r="ED116" s="1449">
        <f t="shared" si="98"/>
      </c>
      <c r="EE116" s="1449">
        <f t="shared" si="98"/>
      </c>
      <c r="EF116" s="1449">
        <f t="shared" si="98"/>
      </c>
      <c r="EG116" s="772">
        <f t="shared" si="98"/>
      </c>
      <c r="EH116" s="1449">
        <f t="shared" si="98"/>
      </c>
      <c r="EI116" s="1449">
        <f t="shared" si="98"/>
      </c>
      <c r="EJ116" s="1449">
        <f t="shared" si="98"/>
      </c>
      <c r="EK116" s="1449">
        <f t="shared" si="98"/>
      </c>
      <c r="EL116" s="772">
        <f t="shared" si="98"/>
      </c>
      <c r="EM116" s="1449">
        <f t="shared" si="98"/>
      </c>
      <c r="EN116" s="1449">
        <f t="shared" si="98"/>
      </c>
      <c r="EO116" s="1449">
        <f t="shared" si="98"/>
      </c>
      <c r="EP116" s="1449">
        <f t="shared" si="98"/>
      </c>
      <c r="EQ116" s="772">
        <f t="shared" si="98"/>
      </c>
      <c r="ER116" s="1449">
        <f t="shared" si="98"/>
      </c>
      <c r="ES116" s="1449">
        <f t="shared" si="98"/>
      </c>
      <c r="ET116" s="1465">
        <f t="shared" si="98"/>
      </c>
      <c r="EU116" s="1449">
        <f>EU115/(EU115+EU117)</f>
      </c>
      <c r="EV116" s="772">
        <f t="shared" si="98"/>
      </c>
      <c r="EW116" s="1465">
        <f t="shared" si="98"/>
      </c>
      <c r="EX116" s="1465">
        <f t="shared" si="98"/>
      </c>
      <c r="EY116" s="1465">
        <f t="shared" si="98"/>
      </c>
      <c r="EZ116" s="1449">
        <f>EZ115/(EZ115+EZ117)</f>
      </c>
      <c r="FA116" s="772">
        <f t="shared" si="98"/>
      </c>
      <c r="FB116" s="690"/>
      <c r="FC116" s="690"/>
      <c r="FD116" s="690"/>
      <c r="FE116" s="690"/>
      <c r="FF116" s="1175"/>
      <c r="FG116" s="690"/>
      <c r="FH116" s="690"/>
      <c r="FI116" s="690"/>
      <c r="FJ116" s="690"/>
      <c r="FK116" s="1175"/>
      <c r="FL116" s="690"/>
      <c r="FM116" s="690"/>
      <c r="FN116" s="690"/>
      <c r="FO116" s="690"/>
      <c r="FP116" s="1175"/>
      <c r="FQ116" s="690"/>
      <c r="FR116" s="690"/>
      <c r="FS116" s="690"/>
      <c r="FT116" s="690"/>
      <c r="FU116" s="1175"/>
      <c r="FV116" s="690"/>
      <c r="FW116" s="690"/>
      <c r="FX116" s="690"/>
      <c r="FY116" s="690"/>
      <c r="FZ116" s="1175"/>
      <c r="GA116" s="690"/>
      <c r="GB116" s="690"/>
      <c r="GC116" s="690"/>
      <c r="GD116" s="690"/>
      <c r="GE116" s="1175"/>
      <c r="GF116" s="690"/>
      <c r="GG116" s="690"/>
      <c r="GH116" s="690"/>
      <c r="GI116" s="690"/>
      <c r="GJ116" s="1175"/>
    </row>
    <row r="117" spans="1:192" s="461" customFormat="1" ht="12.75" customHeight="1" outlineLevel="1">
      <c r="A117" s="370"/>
      <c r="B117" s="1439" t="s">
        <v>1828</v>
      </c>
      <c r="C117" s="493"/>
      <c r="D117" s="493"/>
      <c r="E117" s="493"/>
      <c r="F117" s="493"/>
      <c r="G117" s="1175"/>
      <c r="H117" s="493"/>
      <c r="I117" s="493"/>
      <c r="J117" s="493"/>
      <c r="K117" s="493"/>
      <c r="L117" s="1175"/>
      <c r="M117" s="815"/>
      <c r="N117" s="815"/>
      <c r="O117" s="815"/>
      <c r="P117" s="815"/>
      <c r="Q117" s="1175"/>
      <c r="R117" s="815"/>
      <c r="S117" s="815"/>
      <c r="T117" s="815"/>
      <c r="U117" s="815"/>
      <c r="V117" s="1175"/>
      <c r="W117" s="815"/>
      <c r="X117" s="815"/>
      <c r="Y117" s="815"/>
      <c r="Z117" s="815"/>
      <c r="AA117" s="1175"/>
      <c r="AB117" s="815"/>
      <c r="AC117" s="815"/>
      <c r="AD117" s="815"/>
      <c r="AE117" s="815"/>
      <c r="AF117" s="1175"/>
      <c r="AG117" s="815"/>
      <c r="AH117" s="815"/>
      <c r="AI117" s="815"/>
      <c r="AJ117" s="815"/>
      <c r="AK117" s="1175"/>
      <c r="AL117" s="493"/>
      <c r="AM117" s="493"/>
      <c r="AN117" s="493"/>
      <c r="AO117" s="493"/>
      <c r="AP117" s="1175"/>
      <c r="AQ117" s="493"/>
      <c r="AR117" s="493"/>
      <c r="AS117" s="493"/>
      <c r="AT117" s="493"/>
      <c r="AU117" s="1175"/>
      <c r="AV117" s="493"/>
      <c r="AW117" s="493"/>
      <c r="AX117" s="493"/>
      <c r="AY117" s="493"/>
      <c r="AZ117" s="1175"/>
      <c r="BA117" s="493"/>
      <c r="BB117" s="493"/>
      <c r="BC117" s="493"/>
      <c r="BD117" s="493"/>
      <c r="BE117" s="1175"/>
      <c r="BF117" s="493"/>
      <c r="BG117" s="493"/>
      <c r="BH117" s="493"/>
      <c r="BI117" s="493"/>
      <c r="BJ117" s="1175"/>
      <c r="BK117" s="493"/>
      <c r="BL117" s="493"/>
      <c r="BM117" s="493"/>
      <c r="BN117" s="493"/>
      <c r="BO117" s="1175"/>
      <c r="BP117" s="493"/>
      <c r="BQ117" s="493"/>
      <c r="BR117" s="493"/>
      <c r="BS117" s="493"/>
      <c r="BT117" s="1175"/>
      <c r="BU117" s="493"/>
      <c r="BV117" s="493"/>
      <c r="BW117" s="493"/>
      <c r="BX117" s="493"/>
      <c r="BY117" s="1175"/>
      <c r="BZ117" s="493"/>
      <c r="CA117" s="493"/>
      <c r="CB117" s="493"/>
      <c r="CC117" s="493"/>
      <c r="CD117" s="1175"/>
      <c r="CE117" s="493"/>
      <c r="CF117" s="493"/>
      <c r="CG117" s="493"/>
      <c r="CH117" s="493"/>
      <c r="CI117" s="1175"/>
      <c r="CJ117" s="493"/>
      <c r="CK117" s="493"/>
      <c r="CL117" s="493"/>
      <c r="CM117" s="493"/>
      <c r="CN117" s="1175"/>
      <c r="CO117" s="493"/>
      <c r="CP117" s="493"/>
      <c r="CQ117" s="493"/>
      <c r="CR117" s="493"/>
      <c r="CS117" s="1175"/>
      <c r="CT117" s="493"/>
      <c r="CU117" s="493"/>
      <c r="CV117" s="493"/>
      <c r="CW117" s="493"/>
      <c r="CX117" s="1175"/>
      <c r="CY117" s="493"/>
      <c r="CZ117" s="493"/>
      <c r="DA117" s="493"/>
      <c r="DB117" s="493"/>
      <c r="DC117" s="1175"/>
      <c r="DD117" s="493"/>
      <c r="DE117" s="493"/>
      <c r="DF117" s="493"/>
      <c r="DG117" s="493"/>
      <c r="DH117" s="1175"/>
      <c r="DI117" s="493">
        <v>10713</v>
      </c>
      <c r="DJ117" s="493">
        <v>11711</v>
      </c>
      <c r="DK117" s="493">
        <v>10914</v>
      </c>
      <c r="DL117" s="458">
        <f>DM117-DK117-DJ117-DI117</f>
      </c>
      <c r="DM117" s="762">
        <v>45493</v>
      </c>
      <c r="DN117" s="493">
        <v>12011</v>
      </c>
      <c r="DO117" s="493">
        <v>13808</v>
      </c>
      <c r="DP117" s="493">
        <v>13362</v>
      </c>
      <c r="DQ117" s="458">
        <f>DR117-DP117-DO117-DN117</f>
      </c>
      <c r="DR117" s="762">
        <v>54434</v>
      </c>
      <c r="DS117" s="493">
        <v>14344</v>
      </c>
      <c r="DT117" s="493">
        <v>15684</v>
      </c>
      <c r="DU117" s="493">
        <v>15199</v>
      </c>
      <c r="DV117" s="458">
        <f>DW117-DU117-DT117-DS117</f>
      </c>
      <c r="DW117" s="762">
        <v>61644</v>
      </c>
      <c r="DX117" s="493">
        <v>15785</v>
      </c>
      <c r="DY117" s="493">
        <v>17757</v>
      </c>
      <c r="DZ117" s="493">
        <v>17593</v>
      </c>
      <c r="EA117" s="458">
        <f>EB117-DZ117-DY117-DX117</f>
      </c>
      <c r="EB117" s="762">
        <v>69855</v>
      </c>
      <c r="EC117" s="493">
        <v>18129</v>
      </c>
      <c r="ED117" s="493">
        <v>21240</v>
      </c>
      <c r="EE117" s="493">
        <v>21333</v>
      </c>
      <c r="EF117" s="458">
        <f>EG117-EE117-ED117-EC117</f>
      </c>
      <c r="EG117" s="762">
        <v>84135</v>
      </c>
      <c r="EH117" s="493">
        <v>22487</v>
      </c>
      <c r="EI117" s="493">
        <v>25265</v>
      </c>
      <c r="EJ117" s="493">
        <v>24589</v>
      </c>
      <c r="EK117" s="458">
        <f>EL117-EJ117-EI117-EH117</f>
      </c>
      <c r="EL117" s="762">
        <v>98052</v>
      </c>
      <c r="EM117" s="493">
        <v>24255</v>
      </c>
      <c r="EN117" s="493">
        <v>25771</v>
      </c>
      <c r="EO117" s="493">
        <v>26850</v>
      </c>
      <c r="EP117" s="458">
        <f>EQ117-EO117-EN117-EM117</f>
      </c>
      <c r="EQ117" s="762">
        <v>105171</v>
      </c>
      <c r="ER117" s="493">
        <v>27705</v>
      </c>
      <c r="ES117" s="493">
        <v>29725</v>
      </c>
      <c r="ET117" s="815">
        <v>30421</v>
      </c>
      <c r="EU117" s="458">
        <f>EV117-ET117-ES117-ER117</f>
      </c>
      <c r="EV117" s="762">
        <v>120418</v>
      </c>
      <c r="EW117" s="815">
        <v>31672</v>
      </c>
      <c r="EX117" s="815">
        <v>34095</v>
      </c>
      <c r="EY117" s="815">
        <v>33982</v>
      </c>
      <c r="EZ117" s="458">
        <f>FA117-EY117-EX117-EW117</f>
      </c>
      <c r="FA117" s="762">
        <v>141833</v>
      </c>
      <c r="FB117" s="690"/>
      <c r="FC117" s="690"/>
      <c r="FD117" s="690"/>
      <c r="FE117" s="690"/>
      <c r="FF117" s="1175"/>
      <c r="FG117" s="690"/>
      <c r="FH117" s="690"/>
      <c r="FI117" s="690"/>
      <c r="FJ117" s="690"/>
      <c r="FK117" s="1175"/>
      <c r="FL117" s="690"/>
      <c r="FM117" s="690"/>
      <c r="FN117" s="690"/>
      <c r="FO117" s="690"/>
      <c r="FP117" s="1175"/>
      <c r="FQ117" s="690"/>
      <c r="FR117" s="690"/>
      <c r="FS117" s="690"/>
      <c r="FT117" s="690"/>
      <c r="FU117" s="1175"/>
      <c r="FV117" s="690"/>
      <c r="FW117" s="690"/>
      <c r="FX117" s="690"/>
      <c r="FY117" s="690"/>
      <c r="FZ117" s="1175"/>
      <c r="GA117" s="690"/>
      <c r="GB117" s="690"/>
      <c r="GC117" s="690"/>
      <c r="GD117" s="690"/>
      <c r="GE117" s="1175"/>
      <c r="GF117" s="690"/>
      <c r="GG117" s="690"/>
      <c r="GH117" s="690"/>
      <c r="GI117" s="690"/>
      <c r="GJ117" s="1175"/>
    </row>
    <row r="118" spans="1:192" s="1184" customFormat="1" ht="12.75" customHeight="1" outlineLevel="1">
      <c r="A118" s="1180"/>
      <c r="B118" s="1440" t="s">
        <v>1830</v>
      </c>
      <c r="C118" s="1176"/>
      <c r="D118" s="1176"/>
      <c r="E118" s="1176"/>
      <c r="F118" s="1176"/>
      <c r="G118" s="1029"/>
      <c r="H118" s="1176"/>
      <c r="I118" s="1176"/>
      <c r="J118" s="1176"/>
      <c r="K118" s="1176"/>
      <c r="L118" s="1029"/>
      <c r="M118" s="1185"/>
      <c r="N118" s="1185"/>
      <c r="O118" s="1185"/>
      <c r="P118" s="1185"/>
      <c r="Q118" s="1029"/>
      <c r="R118" s="1185"/>
      <c r="S118" s="1185"/>
      <c r="T118" s="1185"/>
      <c r="U118" s="1185"/>
      <c r="V118" s="1029"/>
      <c r="W118" s="1185"/>
      <c r="X118" s="1185"/>
      <c r="Y118" s="1185"/>
      <c r="Z118" s="1185"/>
      <c r="AA118" s="1029"/>
      <c r="AB118" s="1185"/>
      <c r="AC118" s="1185"/>
      <c r="AD118" s="1185"/>
      <c r="AE118" s="1185"/>
      <c r="AF118" s="1029"/>
      <c r="AG118" s="1185"/>
      <c r="AH118" s="1185"/>
      <c r="AI118" s="1185"/>
      <c r="AJ118" s="1185"/>
      <c r="AK118" s="1029"/>
      <c r="AL118" s="1176"/>
      <c r="AM118" s="1176"/>
      <c r="AN118" s="1176"/>
      <c r="AO118" s="1176"/>
      <c r="AP118" s="1029"/>
      <c r="AQ118" s="1176"/>
      <c r="AR118" s="1176"/>
      <c r="AS118" s="1176"/>
      <c r="AT118" s="1176"/>
      <c r="AU118" s="1029"/>
      <c r="AV118" s="1176"/>
      <c r="AW118" s="1176"/>
      <c r="AX118" s="1176"/>
      <c r="AY118" s="1176"/>
      <c r="AZ118" s="1029"/>
      <c r="BA118" s="1176"/>
      <c r="BB118" s="1176"/>
      <c r="BC118" s="1176"/>
      <c r="BD118" s="1176"/>
      <c r="BE118" s="1029"/>
      <c r="BF118" s="1176"/>
      <c r="BG118" s="1176"/>
      <c r="BH118" s="1176"/>
      <c r="BI118" s="1176"/>
      <c r="BJ118" s="1029"/>
      <c r="BK118" s="1176"/>
      <c r="BL118" s="1176"/>
      <c r="BM118" s="1176"/>
      <c r="BN118" s="1176"/>
      <c r="BO118" s="1029"/>
      <c r="BP118" s="1176"/>
      <c r="BQ118" s="1176"/>
      <c r="BR118" s="1176"/>
      <c r="BS118" s="1176"/>
      <c r="BT118" s="1029"/>
      <c r="BU118" s="1176"/>
      <c r="BV118" s="1176"/>
      <c r="BW118" s="1176"/>
      <c r="BX118" s="1176"/>
      <c r="BY118" s="1029"/>
      <c r="BZ118" s="1176"/>
      <c r="CA118" s="1176"/>
      <c r="CB118" s="1176"/>
      <c r="CC118" s="1176"/>
      <c r="CD118" s="1029"/>
      <c r="CE118" s="1176"/>
      <c r="CF118" s="1176"/>
      <c r="CG118" s="1176"/>
      <c r="CH118" s="1176"/>
      <c r="CI118" s="1029"/>
      <c r="CJ118" s="1176"/>
      <c r="CK118" s="1176"/>
      <c r="CL118" s="1176"/>
      <c r="CM118" s="1176"/>
      <c r="CN118" s="1029"/>
      <c r="CO118" s="1176"/>
      <c r="CP118" s="1176"/>
      <c r="CQ118" s="1176"/>
      <c r="CR118" s="1176"/>
      <c r="CS118" s="1029"/>
      <c r="CT118" s="1176"/>
      <c r="CU118" s="1176"/>
      <c r="CV118" s="1176"/>
      <c r="CW118" s="1176"/>
      <c r="CX118" s="1461"/>
      <c r="CY118" s="1464"/>
      <c r="CZ118" s="1464"/>
      <c r="DA118" s="1464"/>
      <c r="DB118" s="1464"/>
      <c r="DC118" s="1461"/>
      <c r="DD118" s="1464"/>
      <c r="DE118" s="1464"/>
      <c r="DF118" s="1464"/>
      <c r="DG118" s="1464"/>
      <c r="DH118" s="1461"/>
      <c r="DI118" s="1449">
        <f t="shared" ref="DI118:ES118" si="99">DI117/(DI117+DI115)</f>
      </c>
      <c r="DJ118" s="1449">
        <f t="shared" si="99"/>
      </c>
      <c r="DK118" s="1449">
        <f t="shared" si="99"/>
      </c>
      <c r="DL118" s="1449">
        <f t="shared" si="99"/>
      </c>
      <c r="DM118" s="772">
        <f t="shared" si="99"/>
      </c>
      <c r="DN118" s="1449">
        <f t="shared" si="99"/>
      </c>
      <c r="DO118" s="1449">
        <f t="shared" si="99"/>
      </c>
      <c r="DP118" s="1449">
        <f t="shared" si="99"/>
      </c>
      <c r="DQ118" s="1449">
        <f t="shared" si="99"/>
      </c>
      <c r="DR118" s="772">
        <f t="shared" si="99"/>
      </c>
      <c r="DS118" s="1449">
        <f t="shared" si="99"/>
      </c>
      <c r="DT118" s="1449">
        <f t="shared" si="99"/>
      </c>
      <c r="DU118" s="1449">
        <f t="shared" si="99"/>
      </c>
      <c r="DV118" s="1449">
        <f t="shared" si="99"/>
      </c>
      <c r="DW118" s="772">
        <f t="shared" si="99"/>
      </c>
      <c r="DX118" s="1449">
        <f t="shared" si="99"/>
      </c>
      <c r="DY118" s="1449">
        <f t="shared" si="99"/>
      </c>
      <c r="DZ118" s="1449">
        <f t="shared" si="99"/>
      </c>
      <c r="EA118" s="1449">
        <f t="shared" si="99"/>
      </c>
      <c r="EB118" s="772">
        <f t="shared" si="99"/>
      </c>
      <c r="EC118" s="1449">
        <f t="shared" si="99"/>
      </c>
      <c r="ED118" s="1449">
        <f t="shared" si="99"/>
      </c>
      <c r="EE118" s="1449">
        <f t="shared" si="99"/>
      </c>
      <c r="EF118" s="1449">
        <f t="shared" si="99"/>
      </c>
      <c r="EG118" s="772">
        <f t="shared" si="99"/>
      </c>
      <c r="EH118" s="1449">
        <f t="shared" si="99"/>
      </c>
      <c r="EI118" s="1449">
        <f t="shared" si="99"/>
      </c>
      <c r="EJ118" s="1449">
        <f t="shared" si="99"/>
      </c>
      <c r="EK118" s="1449">
        <f t="shared" si="99"/>
      </c>
      <c r="EL118" s="772">
        <f t="shared" si="99"/>
      </c>
      <c r="EM118" s="1449">
        <f t="shared" si="99"/>
      </c>
      <c r="EN118" s="1449">
        <f t="shared" si="99"/>
      </c>
      <c r="EO118" s="1449">
        <f t="shared" si="99"/>
      </c>
      <c r="EP118" s="1449">
        <f t="shared" si="99"/>
      </c>
      <c r="EQ118" s="772">
        <f t="shared" si="99"/>
      </c>
      <c r="ER118" s="1449">
        <f t="shared" si="99"/>
      </c>
      <c r="ES118" s="1449">
        <f t="shared" si="99"/>
      </c>
      <c r="ET118" s="1449">
        <f>ET117/(ET117+ET115)</f>
      </c>
      <c r="EU118" s="1449">
        <f>EU117/(EU117+EU115)</f>
      </c>
      <c r="EV118" s="772">
        <f>EV117/(EV117+EV115)</f>
      </c>
      <c r="EW118" s="1465">
        <f t="shared" ref="EW118:EX118" si="100">EW117/(EW117+EW115)</f>
      </c>
      <c r="EX118" s="1449">
        <f t="shared" si="100"/>
      </c>
      <c r="EY118" s="1449">
        <f>EY117/(EY117+EY115)</f>
      </c>
      <c r="EZ118" s="1449">
        <f>EZ117/(EZ117+EZ115)</f>
      </c>
      <c r="FA118" s="772">
        <f>FA117/(FA117+FA115)</f>
      </c>
      <c r="FB118" s="690"/>
      <c r="FC118" s="690"/>
      <c r="FD118" s="690"/>
      <c r="FE118" s="690"/>
      <c r="FF118" s="1175"/>
      <c r="FG118" s="690"/>
      <c r="FH118" s="690"/>
      <c r="FI118" s="690"/>
      <c r="FJ118" s="690"/>
      <c r="FK118" s="1175"/>
      <c r="FL118" s="690"/>
      <c r="FM118" s="690"/>
      <c r="FN118" s="690"/>
      <c r="FO118" s="690"/>
      <c r="FP118" s="1175"/>
      <c r="FQ118" s="690"/>
      <c r="FR118" s="690"/>
      <c r="FS118" s="690"/>
      <c r="FT118" s="690"/>
      <c r="FU118" s="1175"/>
      <c r="FV118" s="690"/>
      <c r="FW118" s="690"/>
      <c r="FX118" s="690"/>
      <c r="FY118" s="690"/>
      <c r="FZ118" s="1175"/>
      <c r="GA118" s="690"/>
      <c r="GB118" s="690"/>
      <c r="GC118" s="690"/>
      <c r="GD118" s="690"/>
      <c r="GE118" s="1175"/>
      <c r="GF118" s="690"/>
      <c r="GG118" s="690"/>
      <c r="GH118" s="690"/>
      <c r="GI118" s="690"/>
      <c r="GJ118" s="1175"/>
    </row>
    <row r="119" spans="1:192" s="461" customFormat="1" ht="12.75" customHeight="1" outlineLevel="1">
      <c r="A119" s="370"/>
      <c r="B119" s="975" t="s">
        <v>32</v>
      </c>
      <c r="C119" s="624"/>
      <c r="D119" s="624"/>
      <c r="E119" s="624"/>
      <c r="F119" s="624"/>
      <c r="G119" s="622"/>
      <c r="H119" s="624"/>
      <c r="I119" s="624"/>
      <c r="J119" s="624"/>
      <c r="K119" s="624"/>
      <c r="L119" s="622"/>
      <c r="M119" s="624"/>
      <c r="N119" s="624"/>
      <c r="O119" s="624"/>
      <c r="P119" s="624"/>
      <c r="Q119" s="622"/>
      <c r="R119" s="981"/>
      <c r="S119" s="981"/>
      <c r="T119" s="981"/>
      <c r="U119" s="981"/>
      <c r="V119" s="622"/>
      <c r="W119" s="981"/>
      <c r="X119" s="981"/>
      <c r="Y119" s="981"/>
      <c r="Z119" s="981"/>
      <c r="AA119" s="622"/>
      <c r="AB119" s="981"/>
      <c r="AC119" s="981"/>
      <c r="AD119" s="981"/>
      <c r="AE119" s="981"/>
      <c r="AF119" s="622"/>
      <c r="AG119" s="981"/>
      <c r="AH119" s="981"/>
      <c r="AI119" s="981"/>
      <c r="AJ119" s="981"/>
      <c r="AK119" s="622"/>
      <c r="AL119" s="624"/>
      <c r="AM119" s="624"/>
      <c r="AN119" s="624"/>
      <c r="AO119" s="624"/>
      <c r="AP119" s="622"/>
      <c r="AQ119" s="624"/>
      <c r="AR119" s="624"/>
      <c r="AS119" s="624"/>
      <c r="AT119" s="624"/>
      <c r="AU119" s="622"/>
      <c r="AV119" s="624"/>
      <c r="AW119" s="624"/>
      <c r="AX119" s="624"/>
      <c r="AY119" s="624"/>
      <c r="AZ119" s="622"/>
      <c r="BA119" s="624"/>
      <c r="BB119" s="624"/>
      <c r="BC119" s="624"/>
      <c r="BD119" s="624"/>
      <c r="BE119" s="622"/>
      <c r="BF119" s="624"/>
      <c r="BG119" s="624"/>
      <c r="BH119" s="624"/>
      <c r="BI119" s="624"/>
      <c r="BJ119" s="622"/>
      <c r="BK119" s="624"/>
      <c r="BL119" s="624"/>
      <c r="BM119" s="624"/>
      <c r="BN119" s="624"/>
      <c r="BO119" s="622"/>
      <c r="BP119" s="624"/>
      <c r="BQ119" s="624"/>
      <c r="BR119" s="624"/>
      <c r="BS119" s="624"/>
      <c r="BT119" s="622"/>
      <c r="BU119" s="624"/>
      <c r="BV119" s="624"/>
      <c r="BW119" s="624"/>
      <c r="BX119" s="624"/>
      <c r="BY119" s="622"/>
      <c r="BZ119" s="624"/>
      <c r="CA119" s="624"/>
      <c r="CB119" s="624"/>
      <c r="CC119" s="624"/>
      <c r="CD119" s="622"/>
      <c r="CE119" s="624"/>
      <c r="CF119" s="624"/>
      <c r="CG119" s="624"/>
      <c r="CH119" s="624"/>
      <c r="CI119" s="622"/>
      <c r="CJ119" s="624"/>
      <c r="CK119" s="624"/>
      <c r="CL119" s="624"/>
      <c r="CM119" s="624"/>
      <c r="CN119" s="622"/>
      <c r="CO119" s="624"/>
      <c r="CP119" s="624"/>
      <c r="CQ119" s="624"/>
      <c r="CR119" s="624"/>
      <c r="CS119" s="622"/>
      <c r="CT119" s="624"/>
      <c r="CU119" s="624"/>
      <c r="CV119" s="624"/>
      <c r="CW119" s="624"/>
      <c r="CX119" s="622"/>
      <c r="CY119" s="624"/>
      <c r="CZ119" s="624"/>
      <c r="DA119" s="624"/>
      <c r="DB119" s="624"/>
      <c r="DC119" s="622"/>
      <c r="DD119" s="619"/>
      <c r="DE119" s="619"/>
      <c r="DF119" s="619"/>
      <c r="DG119" s="619"/>
      <c r="DH119" s="622"/>
      <c r="DI119" s="619">
        <f t="shared" ref="DI119:ES119" si="101">DI115+DI117</f>
      </c>
      <c r="DJ119" s="619">
        <f t="shared" si="101"/>
      </c>
      <c r="DK119" s="619">
        <f t="shared" si="101"/>
      </c>
      <c r="DL119" s="619">
        <f t="shared" si="101"/>
      </c>
      <c r="DM119" s="622">
        <f t="shared" si="101"/>
      </c>
      <c r="DN119" s="619">
        <f t="shared" si="101"/>
      </c>
      <c r="DO119" s="619">
        <f t="shared" si="101"/>
      </c>
      <c r="DP119" s="619">
        <f t="shared" si="101"/>
      </c>
      <c r="DQ119" s="619">
        <f t="shared" si="101"/>
      </c>
      <c r="DR119" s="622">
        <f t="shared" si="101"/>
      </c>
      <c r="DS119" s="619">
        <f t="shared" si="101"/>
      </c>
      <c r="DT119" s="619">
        <f t="shared" si="101"/>
      </c>
      <c r="DU119" s="619">
        <f t="shared" si="101"/>
      </c>
      <c r="DV119" s="619">
        <f t="shared" si="101"/>
      </c>
      <c r="DW119" s="622">
        <f t="shared" si="101"/>
      </c>
      <c r="DX119" s="619">
        <f t="shared" si="101"/>
      </c>
      <c r="DY119" s="619">
        <f t="shared" si="101"/>
      </c>
      <c r="DZ119" s="619">
        <f t="shared" si="101"/>
      </c>
      <c r="EA119" s="619">
        <f t="shared" si="101"/>
      </c>
      <c r="EB119" s="622">
        <f t="shared" si="101"/>
      </c>
      <c r="EC119" s="619">
        <f t="shared" si="101"/>
      </c>
      <c r="ED119" s="619">
        <f t="shared" si="101"/>
      </c>
      <c r="EE119" s="619">
        <f t="shared" si="101"/>
      </c>
      <c r="EF119" s="619">
        <f t="shared" si="101"/>
      </c>
      <c r="EG119" s="622">
        <f t="shared" si="101"/>
      </c>
      <c r="EH119" s="619">
        <f t="shared" si="101"/>
      </c>
      <c r="EI119" s="619">
        <f t="shared" si="101"/>
      </c>
      <c r="EJ119" s="619">
        <f t="shared" si="101"/>
      </c>
      <c r="EK119" s="619">
        <f t="shared" si="101"/>
      </c>
      <c r="EL119" s="622">
        <f t="shared" si="101"/>
      </c>
      <c r="EM119" s="619">
        <f t="shared" si="101"/>
      </c>
      <c r="EN119" s="619">
        <f t="shared" si="101"/>
      </c>
      <c r="EO119" s="619">
        <f t="shared" si="101"/>
      </c>
      <c r="EP119" s="619">
        <f t="shared" si="101"/>
      </c>
      <c r="EQ119" s="622">
        <f t="shared" si="101"/>
      </c>
      <c r="ER119" s="619">
        <f t="shared" si="101"/>
      </c>
      <c r="ES119" s="619">
        <f t="shared" si="101"/>
      </c>
      <c r="ET119" s="619">
        <f>ET115+ET117</f>
      </c>
      <c r="EU119" s="619">
        <f>EU115+EU117</f>
      </c>
      <c r="EV119" s="622">
        <f>EV115+EV117</f>
      </c>
      <c r="EW119" s="619">
        <f t="shared" ref="EW119:EX119" si="102">EW115+EW117</f>
      </c>
      <c r="EX119" s="619">
        <f t="shared" si="102"/>
      </c>
      <c r="EY119" s="619">
        <f>EY115+EY117</f>
      </c>
      <c r="EZ119" s="619">
        <f>EZ115+EZ117</f>
      </c>
      <c r="FA119" s="622">
        <f>FA115+FA117</f>
      </c>
      <c r="FB119" s="619"/>
      <c r="FC119" s="619"/>
      <c r="FD119" s="619"/>
      <c r="FE119" s="619"/>
      <c r="FF119" s="622"/>
      <c r="FG119" s="619"/>
      <c r="FH119" s="619"/>
      <c r="FI119" s="619"/>
      <c r="FJ119" s="619"/>
      <c r="FK119" s="622"/>
      <c r="FL119" s="619"/>
      <c r="FM119" s="619"/>
      <c r="FN119" s="619"/>
      <c r="FO119" s="619"/>
      <c r="FP119" s="622"/>
      <c r="FQ119" s="619"/>
      <c r="FR119" s="619"/>
      <c r="FS119" s="619"/>
      <c r="FT119" s="619"/>
      <c r="FU119" s="622"/>
      <c r="FV119" s="619"/>
      <c r="FW119" s="619"/>
      <c r="FX119" s="619"/>
      <c r="FY119" s="619"/>
      <c r="FZ119" s="622"/>
      <c r="GA119" s="619"/>
      <c r="GB119" s="619"/>
      <c r="GC119" s="619"/>
      <c r="GD119" s="619"/>
      <c r="GE119" s="622"/>
      <c r="GF119" s="619"/>
      <c r="GG119" s="619"/>
      <c r="GH119" s="619"/>
      <c r="GI119" s="619"/>
      <c r="GJ119" s="622"/>
    </row>
    <row r="120" spans="1:192" s="1184" customFormat="1" ht="12.75" customHeight="1" outlineLevel="1">
      <c r="A120" s="1180"/>
      <c r="B120" s="1181" t="s">
        <v>88</v>
      </c>
      <c r="C120" s="1182"/>
      <c r="D120" s="1182"/>
      <c r="E120" s="1182"/>
      <c r="F120" s="1182"/>
      <c r="G120" s="1040"/>
      <c r="H120" s="1182"/>
      <c r="I120" s="1182"/>
      <c r="J120" s="1182"/>
      <c r="K120" s="1182"/>
      <c r="L120" s="1040"/>
      <c r="M120" s="1183"/>
      <c r="N120" s="1183"/>
      <c r="O120" s="1183"/>
      <c r="P120" s="1183"/>
      <c r="Q120" s="1040"/>
      <c r="R120" s="1183"/>
      <c r="S120" s="1183"/>
      <c r="T120" s="1183"/>
      <c r="U120" s="1183"/>
      <c r="V120" s="1040"/>
      <c r="W120" s="1183"/>
      <c r="X120" s="1183"/>
      <c r="Y120" s="1183"/>
      <c r="Z120" s="1183"/>
      <c r="AA120" s="1040"/>
      <c r="AB120" s="1183"/>
      <c r="AC120" s="1183"/>
      <c r="AD120" s="1183"/>
      <c r="AE120" s="1183"/>
      <c r="AF120" s="1040"/>
      <c r="AG120" s="1183"/>
      <c r="AH120" s="1183"/>
      <c r="AI120" s="1183"/>
      <c r="AJ120" s="1183"/>
      <c r="AK120" s="1040"/>
      <c r="AL120" s="1182"/>
      <c r="AM120" s="1182"/>
      <c r="AN120" s="1182"/>
      <c r="AO120" s="1182"/>
      <c r="AP120" s="1040"/>
      <c r="AQ120" s="1182"/>
      <c r="AR120" s="1182"/>
      <c r="AS120" s="1182"/>
      <c r="AT120" s="1182"/>
      <c r="AU120" s="1040"/>
      <c r="AV120" s="1182"/>
      <c r="AW120" s="1182"/>
      <c r="AX120" s="1182"/>
      <c r="AY120" s="1182"/>
      <c r="AZ120" s="1040"/>
      <c r="BA120" s="1182"/>
      <c r="BB120" s="1182"/>
      <c r="BC120" s="1182"/>
      <c r="BD120" s="1182"/>
      <c r="BE120" s="1040"/>
      <c r="BF120" s="1182"/>
      <c r="BG120" s="1182"/>
      <c r="BH120" s="1182"/>
      <c r="BI120" s="1182"/>
      <c r="BJ120" s="1040"/>
      <c r="BK120" s="1182"/>
      <c r="BL120" s="1182"/>
      <c r="BM120" s="1182"/>
      <c r="BN120" s="1182"/>
      <c r="BO120" s="1040"/>
      <c r="BP120" s="1182"/>
      <c r="BQ120" s="1182"/>
      <c r="BR120" s="1182"/>
      <c r="BS120" s="1182"/>
      <c r="BT120" s="1040"/>
      <c r="BU120" s="1182"/>
      <c r="BV120" s="1182"/>
      <c r="BW120" s="1182"/>
      <c r="BX120" s="1182"/>
      <c r="BY120" s="1040"/>
      <c r="BZ120" s="1182"/>
      <c r="CA120" s="1182"/>
      <c r="CB120" s="1182"/>
      <c r="CC120" s="1182"/>
      <c r="CD120" s="1040"/>
      <c r="CE120" s="1182"/>
      <c r="CF120" s="1182"/>
      <c r="CG120" s="1182"/>
      <c r="CH120" s="1182"/>
      <c r="CI120" s="1040"/>
      <c r="CJ120" s="1182"/>
      <c r="CK120" s="1182"/>
      <c r="CL120" s="1182"/>
      <c r="CM120" s="1182"/>
      <c r="CN120" s="1040"/>
      <c r="CO120" s="1182"/>
      <c r="CP120" s="1182"/>
      <c r="CQ120" s="1182"/>
      <c r="CR120" s="1182"/>
      <c r="CS120" s="1040"/>
      <c r="CT120" s="1182"/>
      <c r="CU120" s="1182"/>
      <c r="CV120" s="1182"/>
      <c r="CW120" s="1182"/>
      <c r="CX120" s="1175"/>
      <c r="CY120" s="493"/>
      <c r="CZ120" s="493"/>
      <c r="DA120" s="493"/>
      <c r="DB120" s="493"/>
      <c r="DC120" s="1175"/>
      <c r="DD120" s="493"/>
      <c r="DE120" s="493"/>
      <c r="DF120" s="493"/>
      <c r="DG120" s="493"/>
      <c r="DH120" s="1175"/>
      <c r="DI120" s="458" t="str">
        <f t="shared" ref="DI120:EY120" si="103">IF(DI119=DI15,"OK",DI119-DI15)</f>
      </c>
      <c r="DJ120" s="458" t="str">
        <f t="shared" si="103"/>
      </c>
      <c r="DK120" s="458" t="str">
        <f t="shared" si="103"/>
      </c>
      <c r="DL120" s="458" t="str">
        <f t="shared" si="103"/>
      </c>
      <c r="DM120" s="662" t="str">
        <f t="shared" si="103"/>
      </c>
      <c r="DN120" s="458" t="str">
        <f t="shared" si="103"/>
      </c>
      <c r="DO120" s="458" t="str">
        <f t="shared" si="103"/>
      </c>
      <c r="DP120" s="458" t="str">
        <f t="shared" si="103"/>
      </c>
      <c r="DQ120" s="458" t="str">
        <f t="shared" si="103"/>
      </c>
      <c r="DR120" s="662" t="str">
        <f t="shared" si="103"/>
      </c>
      <c r="DS120" s="458" t="str">
        <f t="shared" si="103"/>
      </c>
      <c r="DT120" s="458" t="str">
        <f t="shared" si="103"/>
      </c>
      <c r="DU120" s="458" t="str">
        <f t="shared" si="103"/>
      </c>
      <c r="DV120" s="458" t="str">
        <f t="shared" si="103"/>
      </c>
      <c r="DW120" s="662" t="str">
        <f t="shared" si="103"/>
      </c>
      <c r="DX120" s="458" t="str">
        <f t="shared" si="103"/>
      </c>
      <c r="DY120" s="458" t="str">
        <f t="shared" si="103"/>
      </c>
      <c r="DZ120" s="458" t="str">
        <f t="shared" si="103"/>
      </c>
      <c r="EA120" s="458" t="str">
        <f t="shared" si="103"/>
      </c>
      <c r="EB120" s="662" t="str">
        <f t="shared" si="103"/>
      </c>
      <c r="EC120" s="458" t="str">
        <f t="shared" si="103"/>
      </c>
      <c r="ED120" s="458" t="str">
        <f t="shared" si="103"/>
      </c>
      <c r="EE120" s="458" t="str">
        <f t="shared" si="103"/>
      </c>
      <c r="EF120" s="458" t="str">
        <f t="shared" si="103"/>
      </c>
      <c r="EG120" s="662" t="str">
        <f t="shared" si="103"/>
      </c>
      <c r="EH120" s="458" t="str">
        <f t="shared" si="103"/>
      </c>
      <c r="EI120" s="458" t="str">
        <f t="shared" si="103"/>
      </c>
      <c r="EJ120" s="458" t="str">
        <f t="shared" si="103"/>
      </c>
      <c r="EK120" s="458" t="str">
        <f t="shared" si="103"/>
      </c>
      <c r="EL120" s="662" t="str">
        <f t="shared" si="103"/>
      </c>
      <c r="EM120" s="458" t="str">
        <f t="shared" si="103"/>
      </c>
      <c r="EN120" s="458" t="str">
        <f t="shared" si="103"/>
      </c>
      <c r="EO120" s="458" t="str">
        <f t="shared" si="103"/>
      </c>
      <c r="EP120" s="458" t="str">
        <f t="shared" si="103"/>
      </c>
      <c r="EQ120" s="662" t="str">
        <f t="shared" si="103"/>
      </c>
      <c r="ER120" s="458" t="str">
        <f t="shared" si="103"/>
      </c>
      <c r="ES120" s="458" t="str">
        <f t="shared" si="103"/>
      </c>
      <c r="ET120" s="458" t="str">
        <f t="shared" si="103"/>
      </c>
      <c r="EU120" s="458" t="str">
        <f t="shared" si="103"/>
      </c>
      <c r="EV120" s="662" t="str">
        <f t="shared" si="103"/>
      </c>
      <c r="EW120" s="458" t="str">
        <f t="shared" si="103"/>
      </c>
      <c r="EX120" s="458" t="str">
        <f t="shared" si="103"/>
      </c>
      <c r="EY120" s="458" t="str">
        <f t="shared" si="103"/>
      </c>
      <c r="EZ120" s="458">
        <f t="shared" ref="EZ120:FA120" si="104">IF(EZ119=EZ15,"OK",EZ119-EZ15)</f>
      </c>
      <c r="FA120" s="662">
        <f t="shared" si="104"/>
      </c>
      <c r="FB120" s="690"/>
      <c r="FC120" s="690"/>
      <c r="FD120" s="690"/>
      <c r="FE120" s="690"/>
      <c r="FF120" s="1175"/>
      <c r="FG120" s="690"/>
      <c r="FH120" s="690"/>
      <c r="FI120" s="690"/>
      <c r="FJ120" s="690"/>
      <c r="FK120" s="1175"/>
      <c r="FL120" s="690"/>
      <c r="FM120" s="690"/>
      <c r="FN120" s="690"/>
      <c r="FO120" s="690"/>
      <c r="FP120" s="1175"/>
      <c r="FQ120" s="690"/>
      <c r="FR120" s="690"/>
      <c r="FS120" s="690"/>
      <c r="FT120" s="690"/>
      <c r="FU120" s="1175"/>
      <c r="FV120" s="690"/>
      <c r="FW120" s="690"/>
      <c r="FX120" s="690"/>
      <c r="FY120" s="690"/>
      <c r="FZ120" s="1175"/>
      <c r="GA120" s="690"/>
      <c r="GB120" s="690"/>
      <c r="GC120" s="690"/>
      <c r="GD120" s="690"/>
      <c r="GE120" s="1175"/>
      <c r="GF120" s="690"/>
      <c r="GG120" s="690"/>
      <c r="GH120" s="690"/>
      <c r="GI120" s="690"/>
      <c r="GJ120" s="1175"/>
    </row>
    <row r="121" spans="1:192" ht="12.75" customHeight="1">
      <c r="B121" s="821"/>
      <c r="C121" s="248"/>
      <c r="D121" s="266"/>
      <c r="E121" s="266"/>
      <c r="F121" s="266"/>
      <c r="G121" s="304"/>
      <c r="H121" s="248"/>
      <c r="I121" s="266"/>
      <c r="J121" s="266"/>
      <c r="K121" s="266"/>
      <c r="L121" s="304"/>
      <c r="M121" s="822"/>
      <c r="N121" s="268"/>
      <c r="O121" s="268"/>
      <c r="P121" s="268"/>
      <c r="Q121" s="304"/>
      <c r="R121" s="822"/>
      <c r="S121" s="268"/>
      <c r="T121" s="268"/>
      <c r="U121" s="268"/>
      <c r="V121" s="304"/>
      <c r="W121" s="822"/>
      <c r="X121" s="268"/>
      <c r="Y121" s="268"/>
      <c r="Z121" s="268"/>
      <c r="AA121" s="304"/>
      <c r="AB121" s="822"/>
      <c r="AC121" s="268"/>
      <c r="AD121" s="268"/>
      <c r="AE121" s="268"/>
      <c r="AF121" s="304"/>
      <c r="AG121" s="822"/>
      <c r="AH121" s="268"/>
      <c r="AI121" s="268"/>
      <c r="AJ121" s="268"/>
      <c r="AK121" s="304"/>
      <c r="AL121" s="248"/>
      <c r="AM121" s="266"/>
      <c r="AN121" s="266"/>
      <c r="AO121" s="266"/>
      <c r="AP121" s="304"/>
      <c r="AQ121" s="248"/>
      <c r="AR121" s="266"/>
      <c r="AS121" s="266"/>
      <c r="AT121" s="266"/>
      <c r="AU121" s="304"/>
      <c r="AV121" s="248"/>
      <c r="AW121" s="266"/>
      <c r="AX121" s="266"/>
      <c r="AY121" s="266"/>
      <c r="AZ121" s="304"/>
      <c r="BA121" s="248"/>
      <c r="BB121" s="266"/>
      <c r="BC121" s="266"/>
      <c r="BD121" s="266"/>
      <c r="BE121" s="304"/>
      <c r="BF121" s="248"/>
      <c r="BG121" s="266"/>
      <c r="BH121" s="266"/>
      <c r="BI121" s="266"/>
      <c r="BJ121" s="304"/>
      <c r="BK121" s="248"/>
      <c r="BL121" s="266"/>
      <c r="BM121" s="266"/>
      <c r="BN121" s="266"/>
      <c r="BO121" s="304"/>
      <c r="BP121" s="248"/>
      <c r="BQ121" s="266"/>
      <c r="BR121" s="266"/>
      <c r="BS121" s="266"/>
      <c r="BT121" s="304"/>
      <c r="BU121" s="248"/>
      <c r="BV121" s="266"/>
      <c r="BW121" s="266"/>
      <c r="BX121" s="266"/>
      <c r="BY121" s="304"/>
      <c r="BZ121" s="248"/>
      <c r="CA121" s="266"/>
      <c r="CB121" s="266"/>
      <c r="CC121" s="266"/>
      <c r="CD121" s="304"/>
      <c r="CE121" s="248"/>
      <c r="CF121" s="266"/>
      <c r="CG121" s="266"/>
      <c r="CH121" s="266"/>
      <c r="CI121" s="304"/>
      <c r="CJ121" s="248"/>
      <c r="CK121" s="266"/>
      <c r="CL121" s="266"/>
      <c r="CM121" s="266"/>
      <c r="CN121" s="304"/>
      <c r="CO121" s="248"/>
      <c r="CP121" s="266"/>
      <c r="CQ121" s="266"/>
      <c r="CR121" s="266"/>
      <c r="CS121" s="304"/>
      <c r="CT121" s="248"/>
      <c r="CU121" s="266"/>
      <c r="CV121" s="266"/>
      <c r="CW121" s="266"/>
      <c r="CX121" s="304"/>
      <c r="CY121" s="248"/>
      <c r="CZ121" s="266"/>
      <c r="DA121" s="266"/>
      <c r="DB121" s="266"/>
      <c r="DC121" s="304"/>
      <c r="DD121" s="248"/>
      <c r="DE121" s="266"/>
      <c r="DF121" s="266"/>
      <c r="DG121" s="266"/>
      <c r="DH121" s="304"/>
      <c r="DI121" s="248"/>
      <c r="DJ121" s="266"/>
      <c r="DK121" s="266"/>
      <c r="DL121" s="266"/>
      <c r="DM121" s="304"/>
      <c r="DN121" s="248"/>
      <c r="DO121" s="266"/>
      <c r="DP121" s="266"/>
      <c r="DQ121" s="266"/>
      <c r="DR121" s="304"/>
      <c r="DS121" s="248"/>
      <c r="DT121" s="266"/>
      <c r="DU121" s="266"/>
      <c r="DV121" s="266"/>
      <c r="DW121" s="304"/>
      <c r="DX121" s="248"/>
      <c r="DY121" s="266"/>
      <c r="DZ121" s="266"/>
      <c r="EA121" s="266"/>
      <c r="EB121" s="304"/>
      <c r="EC121" s="248"/>
      <c r="ED121" s="266"/>
      <c r="EE121" s="266"/>
      <c r="EF121" s="266"/>
      <c r="EG121" s="304"/>
      <c r="EH121" s="248"/>
      <c r="EI121" s="266"/>
      <c r="EJ121" s="266"/>
      <c r="EK121" s="266"/>
      <c r="EL121" s="308"/>
      <c r="EM121" s="248"/>
      <c r="EN121" s="266"/>
      <c r="EO121" s="266"/>
      <c r="EP121" s="266"/>
      <c r="EQ121" s="308"/>
      <c r="ER121" s="248"/>
      <c r="ES121" s="266"/>
      <c r="ET121" s="266"/>
      <c r="EU121" s="266"/>
      <c r="EV121" s="304"/>
      <c r="EW121" s="248"/>
      <c r="EX121" s="266"/>
      <c r="EY121" s="266"/>
      <c r="EZ121" s="266"/>
      <c r="FA121" s="304"/>
      <c r="FB121" s="248"/>
      <c r="FC121" s="266"/>
      <c r="FD121" s="266"/>
      <c r="FE121" s="266"/>
      <c r="FF121" s="304"/>
      <c r="FG121" s="248"/>
      <c r="FH121" s="266"/>
      <c r="FI121" s="266"/>
      <c r="FJ121" s="266"/>
      <c r="FK121" s="304"/>
      <c r="FL121" s="248"/>
      <c r="FM121" s="266"/>
      <c r="FN121" s="266"/>
      <c r="FO121" s="266"/>
      <c r="FP121" s="304"/>
      <c r="FQ121" s="248"/>
      <c r="FR121" s="266"/>
      <c r="FS121" s="266"/>
      <c r="FT121" s="266"/>
      <c r="FU121" s="304"/>
      <c r="FV121" s="248"/>
      <c r="FW121" s="266"/>
      <c r="FX121" s="266"/>
      <c r="FY121" s="266"/>
      <c r="FZ121" s="304"/>
      <c r="GA121" s="248"/>
      <c r="GB121" s="266"/>
      <c r="GC121" s="266"/>
      <c r="GD121" s="266"/>
      <c r="GE121" s="304"/>
      <c r="GF121" s="248"/>
      <c r="GG121" s="266"/>
      <c r="GH121" s="266"/>
      <c r="GI121" s="266"/>
      <c r="GJ121" s="304"/>
    </row>
    <row r="122" spans="1:192" ht="12.75" customHeight="1">
      <c r="B122" s="821"/>
      <c r="C122" s="248"/>
      <c r="D122" s="266"/>
      <c r="E122" s="266"/>
      <c r="F122" s="266"/>
      <c r="G122" s="266"/>
      <c r="H122" s="248"/>
      <c r="I122" s="266"/>
      <c r="J122" s="266"/>
      <c r="K122" s="266"/>
      <c r="L122" s="266"/>
      <c r="M122" s="822"/>
      <c r="N122" s="268"/>
      <c r="O122" s="268"/>
      <c r="P122" s="268"/>
      <c r="Q122" s="266"/>
      <c r="R122" s="822"/>
      <c r="S122" s="268"/>
      <c r="T122" s="268"/>
      <c r="U122" s="268"/>
      <c r="V122" s="266"/>
      <c r="W122" s="822"/>
      <c r="X122" s="268"/>
      <c r="Y122" s="268"/>
      <c r="Z122" s="268"/>
      <c r="AA122" s="266"/>
      <c r="AB122" s="822"/>
      <c r="AC122" s="268"/>
      <c r="AD122" s="268"/>
      <c r="AE122" s="268"/>
      <c r="AF122" s="266"/>
      <c r="AG122" s="822"/>
      <c r="AH122" s="268"/>
      <c r="AI122" s="268"/>
      <c r="AJ122" s="268"/>
      <c r="AK122" s="266"/>
      <c r="AL122" s="248"/>
      <c r="AM122" s="266"/>
      <c r="AN122" s="266"/>
      <c r="AO122" s="266"/>
      <c r="AP122" s="266"/>
      <c r="AQ122" s="248"/>
      <c r="AR122" s="266"/>
      <c r="AS122" s="266"/>
      <c r="AT122" s="266"/>
      <c r="AU122" s="266"/>
      <c r="AV122" s="248"/>
      <c r="AW122" s="266"/>
      <c r="AX122" s="266"/>
      <c r="AY122" s="266"/>
      <c r="AZ122" s="266"/>
      <c r="BA122" s="248"/>
      <c r="BB122" s="266"/>
      <c r="BC122" s="266"/>
      <c r="BD122" s="266"/>
      <c r="BE122" s="266"/>
      <c r="BF122" s="248"/>
      <c r="BG122" s="266"/>
      <c r="BH122" s="266"/>
      <c r="BI122" s="266"/>
      <c r="BJ122" s="266"/>
      <c r="BK122" s="248"/>
      <c r="BL122" s="266"/>
      <c r="BM122" s="266"/>
      <c r="BN122" s="266"/>
      <c r="BO122" s="266"/>
      <c r="BP122" s="248"/>
      <c r="BQ122" s="266"/>
      <c r="BR122" s="266"/>
      <c r="BS122" s="266"/>
      <c r="BT122" s="266"/>
      <c r="BU122" s="248"/>
      <c r="BV122" s="266"/>
      <c r="BW122" s="266"/>
      <c r="BX122" s="266"/>
      <c r="BY122" s="266"/>
      <c r="BZ122" s="248"/>
      <c r="CA122" s="266"/>
      <c r="CB122" s="266"/>
      <c r="CC122" s="266"/>
      <c r="CD122" s="266"/>
      <c r="CE122" s="248"/>
      <c r="CF122" s="266"/>
      <c r="CG122" s="266"/>
      <c r="CH122" s="266"/>
      <c r="CI122" s="266"/>
      <c r="CJ122" s="248"/>
      <c r="CK122" s="266"/>
      <c r="CL122" s="266"/>
      <c r="CM122" s="266"/>
      <c r="CN122" s="266"/>
      <c r="CO122" s="248"/>
      <c r="CP122" s="266"/>
      <c r="CQ122" s="266"/>
      <c r="CR122" s="266"/>
      <c r="CS122" s="266"/>
      <c r="CT122" s="248"/>
      <c r="CU122" s="266"/>
      <c r="CV122" s="266"/>
      <c r="CW122" s="266"/>
      <c r="CX122" s="266"/>
      <c r="CY122" s="248"/>
      <c r="CZ122" s="266"/>
      <c r="DA122" s="266"/>
      <c r="DB122" s="266"/>
      <c r="DC122" s="266"/>
      <c r="DD122" s="248"/>
      <c r="DE122" s="266"/>
      <c r="DF122" s="266"/>
      <c r="DG122" s="266"/>
      <c r="DH122" s="266"/>
      <c r="DI122" s="248"/>
      <c r="DJ122" s="266"/>
      <c r="DK122" s="266"/>
      <c r="DL122" s="266"/>
      <c r="DM122" s="266"/>
      <c r="DN122" s="248"/>
      <c r="DO122" s="266"/>
      <c r="DP122" s="266"/>
      <c r="DQ122" s="266"/>
      <c r="DR122" s="266"/>
      <c r="DS122" s="248"/>
      <c r="DT122" s="266"/>
      <c r="DU122" s="266"/>
      <c r="DV122" s="266"/>
      <c r="DW122" s="266"/>
      <c r="DX122" s="248"/>
      <c r="DY122" s="266"/>
      <c r="DZ122" s="266"/>
      <c r="EA122" s="266"/>
      <c r="EB122" s="266"/>
      <c r="EC122" s="248"/>
      <c r="ED122" s="266"/>
      <c r="EE122" s="266"/>
      <c r="EF122" s="266"/>
      <c r="EG122" s="266"/>
      <c r="EH122" s="248"/>
      <c r="EI122" s="266"/>
      <c r="EJ122" s="266"/>
      <c r="EK122" s="266"/>
      <c r="EL122" s="266"/>
      <c r="EM122" s="248"/>
      <c r="EN122" s="266"/>
      <c r="EO122" s="266"/>
      <c r="EP122" s="266"/>
      <c r="EQ122" s="266"/>
      <c r="ER122" s="248"/>
      <c r="ES122" s="266"/>
      <c r="ET122" s="266"/>
      <c r="EU122" s="266"/>
      <c r="EV122" s="266"/>
      <c r="EW122" s="248"/>
      <c r="EX122" s="266"/>
      <c r="EY122" s="266"/>
      <c r="EZ122" s="266"/>
      <c r="FA122" s="266"/>
      <c r="FB122" s="248"/>
      <c r="FC122" s="266"/>
      <c r="FD122" s="266"/>
      <c r="FE122" s="266"/>
      <c r="FF122" s="266"/>
      <c r="FG122" s="248"/>
      <c r="FH122" s="266"/>
      <c r="FI122" s="266"/>
      <c r="FJ122" s="266"/>
      <c r="FK122" s="266"/>
      <c r="FL122" s="248"/>
      <c r="FM122" s="266"/>
      <c r="FN122" s="266"/>
      <c r="FO122" s="266"/>
      <c r="FP122" s="266"/>
      <c r="FQ122" s="248"/>
      <c r="FR122" s="266"/>
      <c r="FS122" s="266"/>
      <c r="FT122" s="266"/>
      <c r="FU122" s="266"/>
      <c r="FV122" s="248"/>
      <c r="FW122" s="266"/>
      <c r="FX122" s="266"/>
      <c r="FY122" s="266"/>
      <c r="FZ122" s="266"/>
      <c r="GA122" s="248"/>
      <c r="GB122" s="266"/>
      <c r="GC122" s="266"/>
      <c r="GD122" s="266"/>
      <c r="GE122" s="266"/>
      <c r="GF122" s="248"/>
      <c r="GG122" s="266"/>
      <c r="GH122" s="266"/>
      <c r="GI122" s="266"/>
      <c r="GJ122" s="266"/>
    </row>
    <row r="123" spans="1:192" ht="12.75" customHeight="1">
      <c r="B123" s="754"/>
      <c r="M123" s="474"/>
      <c r="N123" s="475"/>
      <c r="O123" s="475"/>
      <c r="P123" s="475"/>
    </row>
    <row r="124" spans="1:192" ht="12.75" customHeight="1">
      <c r="B124" s="754"/>
      <c r="M124" s="474"/>
      <c r="N124" s="475"/>
      <c r="O124" s="475"/>
      <c r="P124" s="475"/>
    </row>
    <row r="125" spans="1:192" ht="12.75" customHeight="1">
      <c r="B125" s="754"/>
      <c r="M125" s="474"/>
      <c r="N125" s="475"/>
      <c r="O125" s="475"/>
      <c r="P125" s="475"/>
    </row>
    <row r="126" spans="1:192" ht="12.75" customHeight="1">
      <c r="B126" s="754"/>
    </row>
    <row r="127" spans="1:192" ht="12.75" customHeight="1">
      <c r="B127" s="754"/>
    </row>
    <row r="128" spans="1:192" ht="12.75" customHeight="1">
      <c r="B128" s="473"/>
    </row>
    <row r="129" spans="2:2" ht="12.75" customHeight="1">
      <c r="B129" s="473"/>
    </row>
    <row r="130" spans="2:2" ht="12.75" customHeight="1">
      <c r="B130" s="473"/>
    </row>
    <row r="131" spans="2:2" ht="12.75" customHeight="1">
      <c r="B131" s="473"/>
    </row>
    <row r="132" spans="2:2" ht="12.75" customHeight="1">
      <c r="B132" s="473"/>
    </row>
  </sheetData>
  <pageMargins left="0.7" right="0.7" top="0.75" bottom="0.75" header="0.3" footer="0.3"/>
  <customProperties>
    <customPr name="Qube.Worksheet.Visibility" r:id="rId1"/>
  </customPropertie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960E5F-CA5B-4076-9819-AA36439D879C}">
  <sheetPr>
    <tabColor rgb="FF002060"/>
  </sheetPr>
  <dimension ref="A1:GJ245"/>
  <sheetViews>
    <sheetView showGridLines="0" zoomScaleNormal="100" workbookViewId="0">
      <pane xSplit="2" ySplit="8" topLeftCell="EW9" activePane="bottomRight" state="frozen"/>
      <selection activeCell="DD115" sqref="DD115"/>
      <selection pane="topRight" activeCell="DD115" sqref="DD115"/>
      <selection pane="bottomLeft" activeCell="DD115" sqref="DD115"/>
      <selection pane="bottomRight"/>
    </sheetView>
  </sheetViews>
  <sheetFormatPr defaultColWidth="9.109375" defaultRowHeight="12.75" customHeight="1" outlineLevelRow="2" outlineLevelCol="1"/>
  <cols>
    <col min="1" max="1" width="3.5546875" style="68" customWidth="1"/>
    <col min="2" max="2" width="45.44140625" style="283" customWidth="1"/>
    <col min="3" max="3" width="11.109375" style="284" hidden="1" customWidth="1" outlineLevel="1"/>
    <col min="4" max="6" width="11.109375" style="288" hidden="1" customWidth="1" outlineLevel="1"/>
    <col min="7" max="7" width="11.44140625" style="288" bestFit="1" customWidth="1" collapsed="1"/>
    <col min="8" max="8" width="11.109375" style="284" hidden="1" customWidth="1" outlineLevel="1"/>
    <col min="9" max="11" width="11.109375" style="288" hidden="1" customWidth="1" outlineLevel="1"/>
    <col min="12" max="12" width="11.44140625" style="288" bestFit="1" customWidth="1" collapsed="1"/>
    <col min="13" max="13" width="11.109375" style="284" hidden="1" customWidth="1" outlineLevel="1"/>
    <col min="14" max="16" width="11.109375" style="288" hidden="1" customWidth="1" outlineLevel="1"/>
    <col min="17" max="17" width="11.44140625" style="288" bestFit="1" customWidth="1" collapsed="1"/>
    <col min="18" max="18" width="11.109375" style="284" hidden="1" customWidth="1" outlineLevel="1"/>
    <col min="19" max="21" width="11.109375" style="288" hidden="1" customWidth="1" outlineLevel="1"/>
    <col min="22" max="22" width="11.44140625" style="288" bestFit="1" customWidth="1" collapsed="1"/>
    <col min="23" max="23" width="11.109375" style="284" hidden="1" customWidth="1" outlineLevel="1"/>
    <col min="24" max="26" width="11.109375" style="288" hidden="1" customWidth="1" outlineLevel="1"/>
    <col min="27" max="27" width="11.44140625" style="288" bestFit="1" customWidth="1" collapsed="1"/>
    <col min="28" max="28" width="11.109375" style="284" hidden="1" customWidth="1" outlineLevel="1"/>
    <col min="29" max="31" width="11.109375" style="288" hidden="1" customWidth="1" outlineLevel="1"/>
    <col min="32" max="32" width="11.44140625" style="288" bestFit="1" customWidth="1" collapsed="1"/>
    <col min="33" max="33" width="11.109375" style="284" hidden="1" customWidth="1" outlineLevel="1"/>
    <col min="34" max="36" width="11.109375" style="288" hidden="1" customWidth="1" outlineLevel="1"/>
    <col min="37" max="37" width="11.44140625" style="288" bestFit="1" customWidth="1" collapsed="1"/>
    <col min="38" max="38" width="11.109375" style="284" hidden="1" customWidth="1" outlineLevel="1"/>
    <col min="39" max="41" width="11.109375" style="288" hidden="1" customWidth="1" outlineLevel="1"/>
    <col min="42" max="42" width="11.109375" style="288" customWidth="1" collapsed="1"/>
    <col min="43" max="43" width="11.109375" style="284" hidden="1" customWidth="1" outlineLevel="1"/>
    <col min="44" max="46" width="11.109375" style="288" hidden="1" customWidth="1" outlineLevel="1"/>
    <col min="47" max="47" width="11.109375" style="288" customWidth="1" collapsed="1"/>
    <col min="48" max="48" width="11.109375" style="284" hidden="1" customWidth="1" outlineLevel="1"/>
    <col min="49" max="51" width="11.109375" style="288" hidden="1" customWidth="1" outlineLevel="1"/>
    <col min="52" max="52" width="11.44140625" style="288" bestFit="1" customWidth="1" collapsed="1"/>
    <col min="53" max="53" width="11.109375" style="284" hidden="1" customWidth="1" outlineLevel="1"/>
    <col min="54" max="56" width="11.109375" style="288" hidden="1" customWidth="1" outlineLevel="1"/>
    <col min="57" max="57" width="11.5546875" style="288" bestFit="1" customWidth="1" collapsed="1"/>
    <col min="58" max="58" width="11.109375" style="284" hidden="1" customWidth="1" outlineLevel="1"/>
    <col min="59" max="61" width="11.109375" style="288" hidden="1" customWidth="1" outlineLevel="1"/>
    <col min="62" max="62" width="11.5546875" style="288" bestFit="1" customWidth="1" collapsed="1"/>
    <col min="63" max="63" width="11.109375" style="284" hidden="1" customWidth="1" outlineLevel="1"/>
    <col min="64" max="66" width="11.109375" style="288" hidden="1" customWidth="1" outlineLevel="1"/>
    <col min="67" max="67" width="11.5546875" style="288" bestFit="1" customWidth="1" collapsed="1"/>
    <col min="68" max="68" width="11.109375" style="284" hidden="1" customWidth="1" outlineLevel="1"/>
    <col min="69" max="71" width="11.109375" style="288" hidden="1" customWidth="1" outlineLevel="1"/>
    <col min="72" max="72" width="11.5546875" style="288" bestFit="1" customWidth="1" collapsed="1"/>
    <col min="73" max="73" width="11.109375" style="284" hidden="1" customWidth="1" outlineLevel="1"/>
    <col min="74" max="76" width="11.109375" style="288" hidden="1" customWidth="1" outlineLevel="1"/>
    <col min="77" max="77" width="11.5546875" style="288" bestFit="1" customWidth="1" collapsed="1"/>
    <col min="78" max="78" width="11.109375" style="284" hidden="1" customWidth="1" outlineLevel="1"/>
    <col min="79" max="81" width="11.109375" style="288" hidden="1" customWidth="1" outlineLevel="1"/>
    <col min="82" max="82" width="11.5546875" style="288" bestFit="1" customWidth="1" collapsed="1"/>
    <col min="83" max="83" width="11.109375" style="284" hidden="1" customWidth="1" outlineLevel="1"/>
    <col min="84" max="86" width="11.109375" style="288" hidden="1" customWidth="1" outlineLevel="1"/>
    <col min="87" max="87" width="11.109375" style="288" customWidth="1" collapsed="1"/>
    <col min="88" max="88" width="11.109375" style="284" hidden="1" customWidth="1" outlineLevel="1"/>
    <col min="89" max="91" width="11.109375" style="288" hidden="1" customWidth="1" outlineLevel="1"/>
    <col min="92" max="92" width="11.109375" style="288" customWidth="1" collapsed="1"/>
    <col min="93" max="93" width="11.109375" style="284" hidden="1" customWidth="1" outlineLevel="1"/>
    <col min="94" max="96" width="11.109375" style="288" hidden="1" customWidth="1" outlineLevel="1"/>
    <col min="97" max="97" width="11.5546875" style="288" bestFit="1" customWidth="1" collapsed="1"/>
    <col min="98" max="98" width="11.109375" style="284" hidden="1" customWidth="1" outlineLevel="1"/>
    <col min="99" max="101" width="11.109375" style="288" hidden="1" customWidth="1" outlineLevel="1"/>
    <col min="102" max="102" width="11.5546875" style="288" bestFit="1" customWidth="1" collapsed="1"/>
    <col min="103" max="103" width="11.109375" style="284" hidden="1" customWidth="1" outlineLevel="1"/>
    <col min="104" max="106" width="11.109375" style="288" hidden="1" customWidth="1" outlineLevel="1"/>
    <col min="107" max="107" width="11.5546875" style="288" bestFit="1" customWidth="1" collapsed="1"/>
    <col min="108" max="108" width="11.109375" style="284" hidden="1" customWidth="1" outlineLevel="1"/>
    <col min="109" max="111" width="11.109375" style="288" hidden="1" customWidth="1" outlineLevel="1"/>
    <col min="112" max="112" width="11.5546875" style="288" bestFit="1" customWidth="1" collapsed="1"/>
    <col min="113" max="113" width="11.109375" style="284" hidden="1" customWidth="1" outlineLevel="1"/>
    <col min="114" max="116" width="11.109375" style="288" hidden="1" customWidth="1" outlineLevel="1"/>
    <col min="117" max="117" width="11.5546875" style="288" bestFit="1" customWidth="1" collapsed="1"/>
    <col min="118" max="118" width="11.109375" style="284" hidden="1" customWidth="1" outlineLevel="1"/>
    <col min="119" max="121" width="11.109375" style="288" hidden="1" customWidth="1" outlineLevel="1"/>
    <col min="122" max="122" width="11.5546875" style="288" bestFit="1" customWidth="1" collapsed="1"/>
    <col min="123" max="123" width="11.109375" style="284" hidden="1" customWidth="1" outlineLevel="1"/>
    <col min="124" max="126" width="9.44140625" style="288" hidden="1" customWidth="1" outlineLevel="1"/>
    <col min="127" max="127" width="11.5546875" style="288" bestFit="1" customWidth="1" collapsed="1"/>
    <col min="128" max="128" width="11.109375" style="284" hidden="1" customWidth="1" outlineLevel="1"/>
    <col min="129" max="131" width="11.109375" style="288" hidden="1" customWidth="1" outlineLevel="1"/>
    <col min="132" max="132" width="11.109375" style="288" customWidth="1" collapsed="1"/>
    <col min="133" max="133" width="11.109375" style="284" hidden="1" customWidth="1" outlineLevel="1"/>
    <col min="134" max="136" width="11.109375" style="288" hidden="1" customWidth="1" outlineLevel="1"/>
    <col min="137" max="137" width="11.109375" style="288" customWidth="1" collapsed="1"/>
    <col min="138" max="138" width="12.5546875" style="284" hidden="1" customWidth="1" outlineLevel="1"/>
    <col min="139" max="141" width="11.44140625" style="288" hidden="1" customWidth="1" outlineLevel="1"/>
    <col min="142" max="142" width="12.6640625" style="142" bestFit="1" customWidth="1" collapsed="1"/>
    <col min="143" max="143" width="11.44140625" style="284" hidden="1" customWidth="1" outlineLevel="1"/>
    <col min="144" max="146" width="11.44140625" style="288" hidden="1" customWidth="1" outlineLevel="1"/>
    <col min="147" max="147" width="11.5546875" style="142" bestFit="1" customWidth="1" collapsed="1"/>
    <col min="148" max="148" width="11.109375" style="284" hidden="1" customWidth="1" outlineLevel="1"/>
    <col min="149" max="151" width="11.109375" style="288" hidden="1" customWidth="1" outlineLevel="1"/>
    <col min="152" max="152" width="11.5546875" style="288" bestFit="1" customWidth="1" collapsed="1"/>
    <col min="153" max="153" width="11.109375" style="284" customWidth="1" outlineLevel="1"/>
    <col min="154" max="156" width="11.109375" style="288" customWidth="1" outlineLevel="1"/>
    <col min="157" max="157" width="11.5546875" style="288" bestFit="1" customWidth="1"/>
    <col min="158" max="158" width="11.109375" style="284" customWidth="1" outlineLevel="1"/>
    <col min="159" max="161" width="11.109375" style="288" customWidth="1" outlineLevel="1"/>
    <col min="162" max="162" width="11.5546875" style="288" bestFit="1" customWidth="1"/>
    <col min="163" max="163" width="11.109375" style="284" customWidth="1" outlineLevel="1"/>
    <col min="164" max="166" width="11.109375" style="288" customWidth="1" outlineLevel="1"/>
    <col min="167" max="167" width="11.5546875" style="288" bestFit="1" customWidth="1"/>
    <col min="168" max="168" width="11.109375" style="284" hidden="1" customWidth="1" outlineLevel="1"/>
    <col min="169" max="171" width="9.44140625" style="288" hidden="1" customWidth="1" outlineLevel="1"/>
    <col min="172" max="172" width="11.5546875" style="288" bestFit="1" customWidth="1" collapsed="1"/>
    <col min="173" max="173" width="11.109375" style="284" hidden="1" customWidth="1" outlineLevel="1"/>
    <col min="174" max="176" width="9.44140625" style="288" hidden="1" customWidth="1" outlineLevel="1"/>
    <col min="177" max="177" width="11.5546875" style="288" bestFit="1" customWidth="1" collapsed="1"/>
    <col min="178" max="178" width="11.109375" style="284" hidden="1" customWidth="1" outlineLevel="1"/>
    <col min="179" max="181" width="9.44140625" style="288" hidden="1" customWidth="1" outlineLevel="1"/>
    <col min="182" max="182" width="12.33203125" style="288" bestFit="1" customWidth="1" collapsed="1"/>
    <col min="183" max="183" width="11.109375" style="284" hidden="1" customWidth="1" outlineLevel="1"/>
    <col min="184" max="186" width="9.44140625" style="288" hidden="1" customWidth="1" outlineLevel="1"/>
    <col min="187" max="187" width="12.33203125" style="288" bestFit="1" customWidth="1" collapsed="1"/>
    <col min="188" max="188" width="11.109375" style="284" hidden="1" customWidth="1" outlineLevel="1"/>
    <col min="189" max="191" width="9.44140625" style="288" hidden="1" customWidth="1" outlineLevel="1"/>
    <col min="192" max="192" width="12.33203125" style="288" bestFit="1" customWidth="1" collapsed="1"/>
    <col min="193" max="16384" width="9.109375" style="283"/>
  </cols>
  <sheetData>
    <row r="1" spans="1:192" ht="12.75" customHeight="1">
      <c r="D1" s="285"/>
      <c r="E1" s="285"/>
      <c r="F1" s="285"/>
      <c r="G1" s="285"/>
      <c r="I1" s="285"/>
      <c r="J1" s="285"/>
      <c r="K1" s="285"/>
      <c r="L1" s="285"/>
      <c r="N1" s="285"/>
      <c r="O1" s="285"/>
      <c r="P1" s="285"/>
      <c r="Q1" s="285"/>
      <c r="S1" s="285"/>
      <c r="T1" s="285"/>
      <c r="U1" s="285"/>
      <c r="V1" s="285"/>
      <c r="X1" s="285"/>
      <c r="Y1" s="285"/>
      <c r="Z1" s="285"/>
      <c r="AA1" s="285"/>
      <c r="AC1" s="285"/>
      <c r="AD1" s="285"/>
      <c r="AE1" s="285"/>
      <c r="AF1" s="285"/>
      <c r="AH1" s="285"/>
      <c r="AI1" s="285"/>
      <c r="AJ1" s="285"/>
      <c r="AK1" s="285"/>
      <c r="AM1" s="285"/>
      <c r="AN1" s="285"/>
      <c r="AO1" s="285"/>
      <c r="AP1" s="285"/>
      <c r="AR1" s="285"/>
      <c r="AS1" s="285"/>
      <c r="AT1" s="285"/>
      <c r="AU1" s="285"/>
      <c r="AW1" s="285"/>
      <c r="AX1" s="285"/>
      <c r="AY1" s="285"/>
      <c r="AZ1" s="285"/>
      <c r="BB1" s="285"/>
      <c r="BC1" s="285"/>
      <c r="BD1" s="285"/>
      <c r="BE1" s="285"/>
      <c r="BG1" s="285"/>
      <c r="BH1" s="285"/>
      <c r="BI1" s="285"/>
      <c r="BJ1" s="285"/>
      <c r="BL1" s="285"/>
      <c r="BM1" s="285"/>
      <c r="BN1" s="285"/>
      <c r="BO1" s="285"/>
      <c r="BQ1" s="285"/>
      <c r="BR1" s="285"/>
      <c r="BS1" s="285"/>
      <c r="BT1" s="285"/>
      <c r="BV1" s="285"/>
      <c r="BW1" s="285"/>
      <c r="BX1" s="285"/>
      <c r="BY1" s="285"/>
      <c r="CA1" s="285"/>
      <c r="CB1" s="285"/>
      <c r="CC1" s="285"/>
      <c r="CD1" s="285"/>
      <c r="CF1" s="285"/>
      <c r="CG1" s="285"/>
      <c r="CH1" s="285"/>
      <c r="CI1" s="285"/>
      <c r="CK1" s="285"/>
      <c r="CL1" s="285"/>
      <c r="CM1" s="285"/>
      <c r="CN1" s="285"/>
      <c r="CP1" s="285"/>
      <c r="CQ1" s="285"/>
      <c r="CR1" s="285"/>
      <c r="CS1" s="285"/>
      <c r="CU1" s="285"/>
      <c r="CV1" s="285"/>
      <c r="CW1" s="285"/>
      <c r="CX1" s="285"/>
      <c r="CZ1" s="285"/>
      <c r="DA1" s="285"/>
      <c r="DB1" s="285"/>
      <c r="DC1" s="285"/>
      <c r="DE1" s="285"/>
      <c r="DF1" s="285"/>
      <c r="DG1" s="285"/>
      <c r="DH1" s="285"/>
      <c r="DJ1" s="285"/>
      <c r="DK1" s="285"/>
      <c r="DL1" s="285"/>
      <c r="DM1" s="285"/>
      <c r="DO1" s="285"/>
      <c r="DP1" s="285"/>
      <c r="DQ1" s="285"/>
      <c r="DR1" s="285"/>
      <c r="DT1" s="285"/>
      <c r="DU1" s="285"/>
      <c r="DV1" s="285"/>
      <c r="DW1" s="285"/>
      <c r="DY1" s="285"/>
      <c r="DZ1" s="285"/>
      <c r="EA1" s="285"/>
      <c r="EB1" s="285"/>
      <c r="ED1" s="285"/>
      <c r="EE1" s="285"/>
      <c r="EF1" s="285"/>
      <c r="EG1" s="285"/>
      <c r="EI1" s="285"/>
      <c r="EJ1" s="285"/>
      <c r="EK1" s="285"/>
      <c r="EL1" s="285"/>
      <c r="EN1" s="285"/>
      <c r="EO1" s="285"/>
      <c r="EP1" s="285"/>
      <c r="EQ1" s="285"/>
      <c r="ES1" s="285"/>
      <c r="ET1" s="285"/>
      <c r="EU1" s="285"/>
      <c r="EV1" s="285"/>
      <c r="EX1" s="285"/>
      <c r="EY1" s="285"/>
      <c r="EZ1" s="285"/>
      <c r="FA1" s="285"/>
      <c r="FC1" s="285"/>
      <c r="FD1" s="285"/>
      <c r="FE1" s="285"/>
      <c r="FF1" s="285"/>
      <c r="FH1" s="285"/>
      <c r="FI1" s="285"/>
      <c r="FJ1" s="285"/>
      <c r="FK1" s="285"/>
      <c r="FM1" s="285"/>
      <c r="FN1" s="285"/>
      <c r="FO1" s="285"/>
      <c r="FP1" s="285"/>
      <c r="FR1" s="285"/>
      <c r="FS1" s="285"/>
      <c r="FT1" s="285"/>
      <c r="FU1" s="285"/>
      <c r="FW1" s="285"/>
      <c r="FX1" s="285"/>
      <c r="FY1" s="285"/>
      <c r="FZ1" s="285"/>
      <c r="GB1" s="285"/>
      <c r="GC1" s="285"/>
      <c r="GD1" s="285"/>
      <c r="GE1" s="285"/>
      <c r="GG1" s="285"/>
      <c r="GH1" s="285"/>
      <c r="GI1" s="285"/>
      <c r="GJ1" s="285"/>
    </row>
    <row r="2" spans="1:192" ht="12.75" customHeight="1">
      <c r="B2" s="40" t="s">
        <v>63</v>
      </c>
      <c r="D2" s="285"/>
      <c r="E2" s="285"/>
      <c r="F2" s="285"/>
      <c r="G2" s="285"/>
      <c r="I2" s="285"/>
      <c r="J2" s="285"/>
      <c r="K2" s="285"/>
      <c r="L2" s="285"/>
      <c r="N2" s="285"/>
      <c r="O2" s="285"/>
      <c r="P2" s="285"/>
      <c r="Q2" s="285"/>
      <c r="S2" s="285"/>
      <c r="T2" s="285"/>
      <c r="U2" s="285"/>
      <c r="V2" s="285"/>
      <c r="X2" s="285"/>
      <c r="Y2" s="285"/>
      <c r="Z2" s="285"/>
      <c r="AA2" s="285"/>
      <c r="AC2" s="285"/>
      <c r="AD2" s="285"/>
      <c r="AE2" s="285"/>
      <c r="AF2" s="285"/>
      <c r="AH2" s="285"/>
      <c r="AI2" s="285"/>
      <c r="AJ2" s="285"/>
      <c r="AK2" s="285"/>
      <c r="AM2" s="285"/>
      <c r="AN2" s="285"/>
      <c r="AO2" s="285"/>
      <c r="AP2" s="285"/>
      <c r="AR2" s="285"/>
      <c r="AS2" s="285"/>
      <c r="AT2" s="285"/>
      <c r="AU2" s="285"/>
      <c r="AW2" s="285"/>
      <c r="AX2" s="285"/>
      <c r="AY2" s="285"/>
      <c r="AZ2" s="285"/>
      <c r="BB2" s="285"/>
      <c r="BC2" s="285"/>
      <c r="BD2" s="285"/>
      <c r="BE2" s="285"/>
      <c r="BG2" s="285"/>
      <c r="BH2" s="285"/>
      <c r="BI2" s="285"/>
      <c r="BJ2" s="285"/>
      <c r="BL2" s="285"/>
      <c r="BM2" s="285"/>
      <c r="BN2" s="285"/>
      <c r="BO2" s="285"/>
      <c r="BQ2" s="285"/>
      <c r="BR2" s="285"/>
      <c r="BS2" s="285"/>
      <c r="BT2" s="285"/>
      <c r="BV2" s="285"/>
      <c r="BW2" s="285"/>
      <c r="BX2" s="285"/>
      <c r="BY2" s="285"/>
      <c r="CA2" s="285"/>
      <c r="CB2" s="285"/>
      <c r="CC2" s="285"/>
      <c r="CD2" s="285"/>
      <c r="CF2" s="285"/>
      <c r="CG2" s="285"/>
      <c r="CH2" s="285"/>
      <c r="CI2" s="285"/>
      <c r="CK2" s="285"/>
      <c r="CL2" s="285"/>
      <c r="CM2" s="285"/>
      <c r="CN2" s="285"/>
      <c r="CP2" s="285"/>
      <c r="CQ2" s="285"/>
      <c r="CR2" s="285"/>
      <c r="CS2" s="375"/>
      <c r="CT2" s="474"/>
      <c r="CU2" s="375"/>
      <c r="CV2" s="375"/>
      <c r="CW2" s="375"/>
      <c r="CX2" s="375"/>
      <c r="CY2" s="474"/>
      <c r="CZ2" s="375"/>
      <c r="DA2" s="375"/>
      <c r="DB2" s="375"/>
      <c r="DC2" s="375"/>
      <c r="DD2" s="474"/>
      <c r="DE2" s="375"/>
      <c r="DF2" s="375"/>
      <c r="DG2" s="375"/>
      <c r="DH2" s="375"/>
      <c r="DI2" s="474"/>
      <c r="DJ2" s="375"/>
      <c r="DK2" s="375"/>
      <c r="DL2" s="375"/>
      <c r="DM2" s="375"/>
      <c r="DN2" s="474"/>
      <c r="DO2" s="375"/>
      <c r="DP2" s="375"/>
      <c r="DQ2" s="375"/>
      <c r="DR2" s="375"/>
      <c r="DS2" s="474"/>
      <c r="DT2" s="375"/>
      <c r="DU2" s="375"/>
      <c r="DV2" s="375"/>
      <c r="DW2" s="375"/>
      <c r="DX2" s="474"/>
      <c r="DY2" s="375"/>
      <c r="DZ2" s="375"/>
      <c r="EA2" s="375"/>
      <c r="EB2" s="375"/>
      <c r="EC2" s="474"/>
      <c r="ED2" s="375"/>
      <c r="EE2" s="375"/>
      <c r="EF2" s="375"/>
      <c r="EG2" s="375"/>
      <c r="EH2" s="474"/>
      <c r="EI2" s="375"/>
      <c r="EJ2" s="375"/>
      <c r="EK2" s="375"/>
      <c r="EL2" s="375"/>
      <c r="EM2" s="474"/>
      <c r="EN2" s="375"/>
      <c r="EO2" s="375"/>
      <c r="EP2" s="375"/>
      <c r="EQ2" s="375"/>
      <c r="ER2" s="474"/>
      <c r="ES2" s="375"/>
      <c r="ET2" s="375"/>
      <c r="EU2" s="375"/>
      <c r="EV2" s="375"/>
      <c r="EW2" s="474"/>
      <c r="EX2" s="375"/>
      <c r="EY2" s="375"/>
      <c r="EZ2" s="375"/>
      <c r="FA2" s="375"/>
      <c r="FC2" s="285"/>
      <c r="FD2" s="285"/>
      <c r="FE2" s="285"/>
      <c r="FF2" s="285"/>
      <c r="FH2" s="285"/>
      <c r="FI2" s="285"/>
      <c r="FJ2" s="285"/>
      <c r="FK2" s="285"/>
      <c r="FM2" s="285"/>
      <c r="FN2" s="285"/>
      <c r="FO2" s="285"/>
      <c r="FP2" s="285"/>
      <c r="FR2" s="285"/>
      <c r="FS2" s="285"/>
      <c r="FT2" s="285"/>
      <c r="FU2" s="285"/>
      <c r="FW2" s="285"/>
      <c r="FX2" s="285"/>
      <c r="FY2" s="285"/>
      <c r="FZ2" s="285"/>
      <c r="GB2" s="285"/>
      <c r="GC2" s="285"/>
      <c r="GD2" s="285"/>
      <c r="GE2" s="285"/>
      <c r="GG2" s="285"/>
      <c r="GH2" s="285"/>
      <c r="GI2" s="285"/>
      <c r="GJ2" s="285"/>
    </row>
    <row r="3" spans="1:192" ht="12.75" customHeight="1">
      <c r="B3" s="40" t="s">
        <v>64</v>
      </c>
      <c r="D3" s="285"/>
      <c r="E3" s="285"/>
      <c r="F3" s="285"/>
      <c r="G3" s="285"/>
      <c r="I3" s="285"/>
      <c r="J3" s="285"/>
      <c r="K3" s="285"/>
      <c r="L3" s="285"/>
      <c r="N3" s="285"/>
      <c r="O3" s="285"/>
      <c r="P3" s="285"/>
      <c r="Q3" s="285"/>
      <c r="S3" s="285"/>
      <c r="T3" s="285"/>
      <c r="U3" s="285"/>
      <c r="V3" s="285"/>
      <c r="X3" s="285"/>
      <c r="Y3" s="285"/>
      <c r="Z3" s="285"/>
      <c r="AA3" s="285"/>
      <c r="AC3" s="285"/>
      <c r="AD3" s="285"/>
      <c r="AE3" s="285"/>
      <c r="AF3" s="285"/>
      <c r="AH3" s="285"/>
      <c r="AI3" s="285"/>
      <c r="AJ3" s="285"/>
      <c r="AK3" s="285"/>
      <c r="AM3" s="285"/>
      <c r="AN3" s="285"/>
      <c r="AO3" s="285"/>
      <c r="AP3" s="285"/>
      <c r="AR3" s="285"/>
      <c r="AS3" s="285"/>
      <c r="AT3" s="285"/>
      <c r="AU3" s="285"/>
      <c r="AW3" s="285"/>
      <c r="AX3" s="285"/>
      <c r="AY3" s="285"/>
      <c r="AZ3" s="285"/>
      <c r="BB3" s="285"/>
      <c r="BC3" s="285"/>
      <c r="BD3" s="285"/>
      <c r="BE3" s="285"/>
      <c r="BG3" s="285"/>
      <c r="BH3" s="285"/>
      <c r="BI3" s="285"/>
      <c r="BJ3" s="285"/>
      <c r="BL3" s="285"/>
      <c r="BM3" s="285"/>
      <c r="BN3" s="285"/>
      <c r="BO3" s="285"/>
      <c r="BQ3" s="285"/>
      <c r="BR3" s="285"/>
      <c r="BS3" s="285"/>
      <c r="BT3" s="285"/>
      <c r="BV3" s="285"/>
      <c r="BW3" s="285"/>
      <c r="BX3" s="285"/>
      <c r="BY3" s="285"/>
      <c r="CA3" s="285"/>
      <c r="CB3" s="285"/>
      <c r="CC3" s="285"/>
      <c r="CD3" s="285"/>
      <c r="CF3" s="285"/>
      <c r="CG3" s="285"/>
      <c r="CH3" s="285"/>
      <c r="CI3" s="285"/>
      <c r="CK3" s="285"/>
      <c r="CL3" s="285"/>
      <c r="CM3" s="285"/>
      <c r="CN3" s="285"/>
      <c r="CP3" s="285"/>
      <c r="CQ3" s="285"/>
      <c r="CR3" s="285"/>
      <c r="CS3" s="375"/>
      <c r="CT3" s="474"/>
      <c r="CU3" s="375"/>
      <c r="CV3" s="375"/>
      <c r="CW3" s="375"/>
      <c r="CX3" s="375"/>
      <c r="CY3" s="474"/>
      <c r="CZ3" s="375"/>
      <c r="DA3" s="375"/>
      <c r="DB3" s="375"/>
      <c r="DC3" s="375"/>
      <c r="DD3" s="474"/>
      <c r="DE3" s="375"/>
      <c r="DF3" s="375"/>
      <c r="DG3" s="375"/>
      <c r="DH3" s="375"/>
      <c r="DI3" s="474"/>
      <c r="DJ3" s="375"/>
      <c r="DK3" s="375"/>
      <c r="DL3" s="375"/>
      <c r="DM3" s="375"/>
      <c r="DN3" s="474"/>
      <c r="DO3" s="375"/>
      <c r="DP3" s="375"/>
      <c r="DQ3" s="375"/>
      <c r="DR3" s="375"/>
      <c r="DS3" s="474"/>
      <c r="DT3" s="375"/>
      <c r="DU3" s="375"/>
      <c r="DV3" s="375"/>
      <c r="DW3" s="375"/>
      <c r="DX3" s="474"/>
      <c r="DY3" s="375"/>
      <c r="DZ3" s="375"/>
      <c r="EA3" s="375"/>
      <c r="EB3" s="375"/>
      <c r="EC3" s="474"/>
      <c r="ED3" s="375"/>
      <c r="EE3" s="375"/>
      <c r="EF3" s="375"/>
      <c r="EG3" s="375"/>
      <c r="EH3" s="474"/>
      <c r="EI3" s="375"/>
      <c r="EJ3" s="375"/>
      <c r="EK3" s="375"/>
      <c r="EL3" s="375"/>
      <c r="EM3" s="474"/>
      <c r="EN3" s="375"/>
      <c r="EO3" s="375"/>
      <c r="EP3" s="375"/>
      <c r="EQ3" s="375"/>
      <c r="ER3" s="474"/>
      <c r="ES3" s="375"/>
      <c r="ET3" s="375"/>
      <c r="EU3" s="375"/>
      <c r="EV3" s="375"/>
      <c r="EW3" s="1631"/>
      <c r="EX3" s="1632"/>
      <c r="EY3" s="375"/>
      <c r="EZ3" s="375"/>
      <c r="FA3" s="375"/>
      <c r="FC3" s="285"/>
      <c r="FD3" s="285"/>
      <c r="FE3" s="285"/>
      <c r="FF3" s="285"/>
      <c r="FH3" s="285"/>
      <c r="FI3" s="285"/>
      <c r="FJ3" s="285"/>
      <c r="FK3" s="285"/>
      <c r="FM3" s="285"/>
      <c r="FN3" s="285"/>
      <c r="FO3" s="285"/>
      <c r="FP3" s="285"/>
      <c r="FR3" s="285"/>
      <c r="FS3" s="285"/>
      <c r="FT3" s="285"/>
      <c r="FU3" s="285"/>
      <c r="FW3" s="285"/>
      <c r="FX3" s="285"/>
      <c r="FY3" s="285"/>
      <c r="FZ3" s="285"/>
      <c r="GB3" s="285"/>
      <c r="GC3" s="285"/>
      <c r="GD3" s="285"/>
      <c r="GE3" s="285"/>
      <c r="GG3" s="285"/>
      <c r="GH3" s="285"/>
      <c r="GI3" s="285"/>
      <c r="GJ3" s="285"/>
    </row>
    <row r="4" spans="1:192" ht="12.75" customHeight="1">
      <c r="B4" s="40" t="s">
        <v>27</v>
      </c>
      <c r="D4" s="285"/>
      <c r="E4" s="285"/>
      <c r="F4" s="285"/>
      <c r="G4" s="285"/>
      <c r="I4" s="285"/>
      <c r="J4" s="285"/>
      <c r="K4" s="285"/>
      <c r="L4" s="285"/>
      <c r="N4" s="285"/>
      <c r="O4" s="285"/>
      <c r="P4" s="285"/>
      <c r="Q4" s="285"/>
      <c r="S4" s="285"/>
      <c r="T4" s="285"/>
      <c r="U4" s="285"/>
      <c r="V4" s="285"/>
      <c r="X4" s="285"/>
      <c r="Y4" s="285"/>
      <c r="Z4" s="285"/>
      <c r="AA4" s="285"/>
      <c r="AC4" s="285"/>
      <c r="AD4" s="285"/>
      <c r="AE4" s="285"/>
      <c r="AF4" s="285"/>
      <c r="AG4" s="967"/>
      <c r="AH4" s="967"/>
      <c r="AI4" s="967" t="s">
        <v>420</v>
      </c>
      <c r="AJ4" s="967"/>
      <c r="AK4" s="967"/>
      <c r="AQ4" s="968"/>
      <c r="AR4" s="969"/>
      <c r="AS4" s="970" t="s">
        <v>418</v>
      </c>
      <c r="AT4" s="969"/>
      <c r="AU4" s="969"/>
      <c r="AW4" s="285"/>
      <c r="AX4" s="285"/>
      <c r="AY4" s="285"/>
      <c r="AZ4" s="285"/>
      <c r="BB4" s="285"/>
      <c r="BC4" s="285"/>
      <c r="BD4" s="285"/>
      <c r="BE4" s="285"/>
      <c r="BG4" s="285"/>
      <c r="BH4" s="285"/>
      <c r="BI4" s="285"/>
      <c r="BJ4" s="285"/>
      <c r="BL4" s="285"/>
      <c r="BM4" s="285"/>
      <c r="BN4" s="285"/>
      <c r="BO4" s="285"/>
      <c r="BQ4" s="285"/>
      <c r="BR4" s="285"/>
      <c r="BS4" s="285"/>
      <c r="BT4" s="285"/>
      <c r="BV4" s="285"/>
      <c r="BW4" s="285"/>
      <c r="BX4" s="285"/>
      <c r="BY4" s="285"/>
      <c r="CA4" s="285"/>
      <c r="CB4" s="285"/>
      <c r="CC4" s="285"/>
      <c r="CD4" s="285"/>
      <c r="CF4" s="285"/>
      <c r="CG4" s="285"/>
      <c r="CH4" s="285"/>
      <c r="CI4" s="285"/>
      <c r="CK4" s="285"/>
      <c r="CL4" s="285"/>
      <c r="CM4" s="285"/>
      <c r="CN4" s="285"/>
      <c r="CP4" s="285"/>
      <c r="CQ4" s="285"/>
      <c r="CR4" s="285"/>
      <c r="CS4" s="375"/>
      <c r="CT4" s="474"/>
      <c r="CU4" s="375"/>
      <c r="CV4" s="375"/>
      <c r="CW4" s="375"/>
      <c r="CX4" s="375"/>
      <c r="CY4" s="474"/>
      <c r="CZ4" s="375"/>
      <c r="DA4" s="375"/>
      <c r="DB4" s="375"/>
      <c r="DC4" s="375"/>
      <c r="DD4" s="474"/>
      <c r="DE4" s="375"/>
      <c r="DF4" s="375"/>
      <c r="DG4" s="375"/>
      <c r="DH4" s="375"/>
      <c r="DI4" s="984"/>
      <c r="DJ4" s="985"/>
      <c r="DK4" s="983"/>
      <c r="DL4" s="985"/>
      <c r="DM4" s="985"/>
      <c r="DN4" s="474"/>
      <c r="DO4" s="375"/>
      <c r="DP4" s="375"/>
      <c r="DQ4" s="375"/>
      <c r="DR4" s="375"/>
      <c r="DS4" s="474"/>
      <c r="DT4" s="375"/>
      <c r="DU4" s="375"/>
      <c r="DV4" s="375"/>
      <c r="DW4" s="375"/>
      <c r="DX4" s="474"/>
      <c r="DY4" s="375"/>
      <c r="DZ4" s="375"/>
      <c r="EA4" s="375"/>
      <c r="EB4" s="375"/>
      <c r="EC4" s="474"/>
      <c r="ED4" s="375"/>
      <c r="EE4" s="375"/>
      <c r="EF4" s="375"/>
      <c r="EG4" s="375"/>
      <c r="EH4" s="474"/>
      <c r="EI4" s="375"/>
      <c r="EJ4" s="375"/>
      <c r="EK4" s="375"/>
      <c r="EL4" s="375"/>
      <c r="EM4" s="474"/>
      <c r="EN4" s="375"/>
      <c r="EO4" s="375"/>
      <c r="EP4" s="375"/>
      <c r="EQ4" s="375"/>
      <c r="ER4" s="474"/>
      <c r="ES4" s="375"/>
      <c r="ET4" s="1451"/>
      <c r="EU4" s="375"/>
      <c r="EV4" s="1570"/>
      <c r="EW4" s="474"/>
      <c r="EX4" s="1632"/>
      <c r="EY4" s="375"/>
      <c r="EZ4" s="375"/>
      <c r="FA4" s="1570"/>
      <c r="FC4" s="285"/>
      <c r="FD4" s="285"/>
      <c r="FE4" s="285"/>
      <c r="FF4" s="285"/>
      <c r="FH4" s="285"/>
      <c r="FI4" s="285"/>
      <c r="FJ4" s="285"/>
      <c r="FK4" s="285"/>
      <c r="FM4" s="285"/>
      <c r="FN4" s="285"/>
      <c r="FO4" s="285"/>
      <c r="FP4" s="285"/>
      <c r="FR4" s="285"/>
      <c r="FS4" s="285"/>
      <c r="FT4" s="285"/>
      <c r="FU4" s="285"/>
      <c r="FW4" s="285"/>
      <c r="FX4" s="285"/>
      <c r="FY4" s="285"/>
      <c r="FZ4" s="285"/>
      <c r="GB4" s="285"/>
      <c r="GC4" s="285"/>
      <c r="GD4" s="285"/>
      <c r="GE4" s="285"/>
      <c r="GG4" s="285"/>
      <c r="GH4" s="285"/>
      <c r="GI4" s="285"/>
      <c r="GJ4" s="285"/>
    </row>
    <row r="5" spans="1:192" ht="12.75" customHeight="1">
      <c r="C5" s="286"/>
      <c r="D5" s="287"/>
      <c r="E5" s="287"/>
      <c r="G5" s="287"/>
      <c r="H5" s="286"/>
      <c r="I5" s="287"/>
      <c r="J5" s="287"/>
      <c r="L5" s="285"/>
      <c r="M5" s="286"/>
      <c r="N5" s="287"/>
      <c r="O5" s="287"/>
      <c r="Q5" s="285"/>
      <c r="R5" s="286"/>
      <c r="S5" s="287"/>
      <c r="T5" s="287"/>
      <c r="V5" s="285"/>
      <c r="W5" s="286"/>
      <c r="X5" s="287"/>
      <c r="Y5" s="287"/>
      <c r="AA5" s="285"/>
      <c r="AB5" s="286"/>
      <c r="AC5" s="287"/>
      <c r="AD5" s="287"/>
      <c r="AF5" s="285"/>
      <c r="AL5" s="286"/>
      <c r="AM5" s="287"/>
      <c r="AN5" s="287"/>
      <c r="AP5" s="285"/>
      <c r="AV5" s="286"/>
      <c r="AW5" s="287"/>
      <c r="AX5" s="287"/>
      <c r="AZ5" s="287"/>
      <c r="BA5" s="286"/>
      <c r="BB5" s="287"/>
      <c r="BC5" s="287"/>
      <c r="BE5" s="285"/>
      <c r="BF5" s="286"/>
      <c r="BG5" s="287"/>
      <c r="BH5" s="287"/>
      <c r="BJ5" s="285"/>
      <c r="BK5" s="286"/>
      <c r="BL5" s="287"/>
      <c r="BM5" s="287"/>
      <c r="BO5" s="285"/>
      <c r="BP5" s="286"/>
      <c r="BQ5" s="287"/>
      <c r="BR5" s="287"/>
      <c r="BT5" s="285"/>
      <c r="BU5" s="286"/>
      <c r="BV5" s="287"/>
      <c r="BW5" s="287"/>
      <c r="BY5" s="285"/>
      <c r="BZ5" s="286"/>
      <c r="CA5" s="287"/>
      <c r="CB5" s="287"/>
      <c r="CD5" s="285"/>
      <c r="CE5" s="286"/>
      <c r="CF5" s="287"/>
      <c r="CG5" s="287"/>
      <c r="CI5" s="285"/>
      <c r="CJ5" s="286"/>
      <c r="CK5" s="287"/>
      <c r="CL5" s="287"/>
      <c r="CN5" s="285"/>
      <c r="CO5" s="286"/>
      <c r="CP5" s="287"/>
      <c r="CQ5" s="287"/>
      <c r="CS5" s="351"/>
      <c r="CT5" s="350"/>
      <c r="CU5" s="351"/>
      <c r="CV5" s="351"/>
      <c r="CW5" s="351"/>
      <c r="CX5" s="375"/>
      <c r="CY5" s="350"/>
      <c r="CZ5" s="351"/>
      <c r="DA5" s="351"/>
      <c r="DB5" s="475"/>
      <c r="DC5" s="375"/>
      <c r="DD5" s="350"/>
      <c r="DE5" s="351"/>
      <c r="DF5" s="351"/>
      <c r="DG5" s="475"/>
      <c r="DH5" s="375"/>
      <c r="DI5" s="474"/>
      <c r="DJ5" s="475"/>
      <c r="DK5" s="475"/>
      <c r="DL5" s="475"/>
      <c r="DM5" s="475"/>
      <c r="DN5" s="474"/>
      <c r="DO5" s="375"/>
      <c r="DP5" s="375"/>
      <c r="DQ5" s="375"/>
      <c r="DR5" s="375"/>
      <c r="DS5" s="474"/>
      <c r="DT5" s="375"/>
      <c r="DU5" s="375"/>
      <c r="DV5" s="375"/>
      <c r="DW5" s="375"/>
      <c r="DX5" s="474"/>
      <c r="DY5" s="375"/>
      <c r="DZ5" s="375"/>
      <c r="EA5" s="375"/>
      <c r="EB5" s="375"/>
      <c r="EC5" s="474"/>
      <c r="ED5" s="375"/>
      <c r="EE5" s="375"/>
      <c r="EF5" s="375"/>
      <c r="EG5" s="375"/>
      <c r="EH5" s="350"/>
      <c r="EI5" s="351"/>
      <c r="EJ5" s="351"/>
      <c r="EK5" s="475"/>
      <c r="EL5" s="375"/>
      <c r="EM5" s="350"/>
      <c r="EN5" s="351"/>
      <c r="EO5" s="351"/>
      <c r="EP5" s="475"/>
      <c r="EQ5" s="375"/>
      <c r="ER5" s="350"/>
      <c r="ES5" s="351"/>
      <c r="ET5" s="351"/>
      <c r="EU5" s="475"/>
      <c r="EV5" s="375"/>
      <c r="EW5" s="1634"/>
      <c r="EX5" s="1633"/>
      <c r="EY5" s="351"/>
      <c r="EZ5" s="375"/>
      <c r="FA5" s="375"/>
      <c r="FC5" s="285"/>
      <c r="FD5" s="285"/>
      <c r="FE5" s="285"/>
      <c r="FF5" s="285"/>
      <c r="FH5" s="285"/>
      <c r="FI5" s="285"/>
      <c r="FJ5" s="285"/>
      <c r="FK5" s="285"/>
      <c r="FM5" s="285"/>
      <c r="FN5" s="285"/>
      <c r="FO5" s="285"/>
      <c r="FP5" s="285"/>
      <c r="FR5" s="285"/>
      <c r="FS5" s="285"/>
      <c r="FT5" s="285"/>
      <c r="FU5" s="285"/>
      <c r="FW5" s="285"/>
      <c r="FX5" s="285"/>
      <c r="FY5" s="285"/>
      <c r="FZ5" s="285"/>
      <c r="GB5" s="285"/>
      <c r="GC5" s="285"/>
      <c r="GD5" s="285"/>
      <c r="GE5" s="285"/>
      <c r="GG5" s="285"/>
      <c r="GH5" s="285"/>
      <c r="GI5" s="285"/>
      <c r="GJ5" s="285"/>
    </row>
    <row r="6" spans="1:192" ht="12.75" customHeight="1">
      <c r="C6" s="47" t="str">
        <f>Dates!C3</f>
      </c>
      <c r="D6" s="47"/>
      <c r="E6" s="47"/>
      <c r="F6" s="47"/>
      <c r="G6" s="93"/>
      <c r="H6" s="47" t="str">
        <f>Dates!H3</f>
      </c>
      <c r="I6" s="47"/>
      <c r="J6" s="47"/>
      <c r="K6" s="47"/>
      <c r="L6" s="93"/>
      <c r="M6" s="47" t="str">
        <f>Dates!M3</f>
      </c>
      <c r="N6" s="47"/>
      <c r="O6" s="47"/>
      <c r="P6" s="47"/>
      <c r="Q6" s="93"/>
      <c r="R6" s="47" t="str">
        <f>Dates!R3</f>
      </c>
      <c r="S6" s="47"/>
      <c r="T6" s="47"/>
      <c r="U6" s="47"/>
      <c r="V6" s="93"/>
      <c r="W6" s="47" t="str">
        <f>Dates!W3</f>
      </c>
      <c r="X6" s="47"/>
      <c r="Y6" s="47"/>
      <c r="Z6" s="47"/>
      <c r="AA6" s="93"/>
      <c r="AB6" s="47" t="str">
        <f>Dates!AB3</f>
      </c>
      <c r="AC6" s="47"/>
      <c r="AD6" s="47"/>
      <c r="AE6" s="47"/>
      <c r="AF6" s="93"/>
      <c r="AG6" s="47" t="str">
        <f>Dates!AG3</f>
      </c>
      <c r="AH6" s="47"/>
      <c r="AI6" s="47"/>
      <c r="AJ6" s="47"/>
      <c r="AK6" s="93"/>
      <c r="AL6" s="47" t="str">
        <f>Dates!AL3</f>
      </c>
      <c r="AM6" s="47"/>
      <c r="AN6" s="47"/>
      <c r="AO6" s="47"/>
      <c r="AP6" s="93"/>
      <c r="AQ6" s="47" t="str">
        <f>Dates!AQ3</f>
      </c>
      <c r="AR6" s="47"/>
      <c r="AS6" s="47"/>
      <c r="AT6" s="47"/>
      <c r="AU6" s="93"/>
      <c r="AV6" s="47" t="str">
        <f>Dates!AV3</f>
      </c>
      <c r="AW6" s="47"/>
      <c r="AX6" s="47"/>
      <c r="AY6" s="47"/>
      <c r="AZ6" s="93"/>
      <c r="BA6" s="47" t="str">
        <f>Dates!BA3</f>
      </c>
      <c r="BB6" s="47"/>
      <c r="BC6" s="47"/>
      <c r="BD6" s="47"/>
      <c r="BE6" s="93"/>
      <c r="BF6" s="47" t="str">
        <f>Dates!BF3</f>
      </c>
      <c r="BG6" s="47"/>
      <c r="BH6" s="47"/>
      <c r="BI6" s="47"/>
      <c r="BJ6" s="93"/>
      <c r="BK6" s="47" t="str">
        <f>Dates!BK3</f>
      </c>
      <c r="BL6" s="47"/>
      <c r="BM6" s="47"/>
      <c r="BN6" s="47"/>
      <c r="BO6" s="93"/>
      <c r="BP6" s="47" t="str">
        <f>Dates!BP3</f>
      </c>
      <c r="BQ6" s="47"/>
      <c r="BR6" s="47"/>
      <c r="BS6" s="47"/>
      <c r="BT6" s="93"/>
      <c r="BU6" s="47" t="str">
        <f>Dates!BU3</f>
      </c>
      <c r="BV6" s="47"/>
      <c r="BW6" s="47"/>
      <c r="BX6" s="47"/>
      <c r="BY6" s="93"/>
      <c r="BZ6" s="47" t="str">
        <f>Dates!BZ3</f>
      </c>
      <c r="CA6" s="47"/>
      <c r="CB6" s="47"/>
      <c r="CC6" s="47"/>
      <c r="CD6" s="93"/>
      <c r="CE6" s="47" t="str">
        <f>Dates!CE3</f>
      </c>
      <c r="CF6" s="47"/>
      <c r="CG6" s="47"/>
      <c r="CH6" s="47"/>
      <c r="CI6" s="93"/>
      <c r="CJ6" s="47" t="str">
        <f>Dates!CJ3</f>
      </c>
      <c r="CK6" s="47"/>
      <c r="CL6" s="47"/>
      <c r="CM6" s="47"/>
      <c r="CN6" s="93"/>
      <c r="CO6" s="47" t="str">
        <f>Dates!CO3</f>
      </c>
      <c r="CP6" s="47"/>
      <c r="CQ6" s="47"/>
      <c r="CR6" s="47"/>
      <c r="CS6" s="93"/>
      <c r="CT6" s="47" t="str">
        <f>Dates!CT3</f>
      </c>
      <c r="CU6" s="47"/>
      <c r="CV6" s="47"/>
      <c r="CW6" s="47"/>
      <c r="CX6" s="93"/>
      <c r="CY6" s="47" t="str">
        <f>Dates!CY3</f>
      </c>
      <c r="CZ6" s="47"/>
      <c r="DA6" s="47"/>
      <c r="DB6" s="47"/>
      <c r="DC6" s="93"/>
      <c r="DD6" s="47" t="str">
        <f>Dates!DD3</f>
      </c>
      <c r="DE6" s="47"/>
      <c r="DF6" s="47"/>
      <c r="DG6" s="47"/>
      <c r="DH6" s="93"/>
      <c r="DI6" s="47" t="str">
        <f>Dates!DI3</f>
      </c>
      <c r="DJ6" s="47"/>
      <c r="DK6" s="47"/>
      <c r="DL6" s="47"/>
      <c r="DM6" s="93"/>
      <c r="DN6" s="47" t="str">
        <f>Dates!DN3</f>
      </c>
      <c r="DO6" s="47"/>
      <c r="DP6" s="47"/>
      <c r="DQ6" s="47"/>
      <c r="DR6" s="93"/>
      <c r="DS6" s="47" t="str">
        <f>Dates!DS3</f>
      </c>
      <c r="DT6" s="47"/>
      <c r="DU6" s="47"/>
      <c r="DV6" s="47"/>
      <c r="DW6" s="93"/>
      <c r="DX6" s="47" t="str">
        <f>Dates!DX3</f>
      </c>
      <c r="DY6" s="47"/>
      <c r="DZ6" s="47"/>
      <c r="EA6" s="47"/>
      <c r="EB6" s="93"/>
      <c r="EC6" s="47" t="str">
        <f>Dates!EC3</f>
      </c>
      <c r="ED6" s="47"/>
      <c r="EE6" s="47"/>
      <c r="EF6" s="47"/>
      <c r="EG6" s="93"/>
      <c r="EH6" s="47" t="str">
        <f>Dates!EH3</f>
      </c>
      <c r="EI6" s="47"/>
      <c r="EJ6" s="47"/>
      <c r="EK6" s="47"/>
      <c r="EL6" s="93"/>
      <c r="EM6" s="47" t="str">
        <f>Dates!EM3</f>
      </c>
      <c r="EN6" s="47"/>
      <c r="EO6" s="47"/>
      <c r="EP6" s="47"/>
      <c r="EQ6" s="93"/>
      <c r="ER6" s="47" t="str">
        <f>Dates!ER3</f>
      </c>
      <c r="ES6" s="47"/>
      <c r="ET6" s="47"/>
      <c r="EU6" s="47"/>
      <c r="EV6" s="93"/>
      <c r="EW6" s="47" t="str">
        <f>Dates!EW3</f>
      </c>
      <c r="EX6" s="47"/>
      <c r="EY6" s="47"/>
      <c r="EZ6" s="47"/>
      <c r="FA6" s="93"/>
      <c r="FB6" s="47" t="str">
        <f>Dates!FB3</f>
      </c>
      <c r="FC6" s="47"/>
      <c r="FD6" s="47"/>
      <c r="FE6" s="47"/>
      <c r="FF6" s="93"/>
      <c r="FG6" s="47" t="str">
        <f>Dates!FG3</f>
      </c>
      <c r="FH6" s="47"/>
      <c r="FI6" s="47"/>
      <c r="FJ6" s="47"/>
      <c r="FK6" s="93"/>
      <c r="FL6" s="47" t="str">
        <f>Dates!FL3</f>
      </c>
      <c r="FM6" s="47"/>
      <c r="FN6" s="47"/>
      <c r="FO6" s="47"/>
      <c r="FP6" s="93"/>
      <c r="FQ6" s="47" t="str">
        <f>Dates!FQ3</f>
      </c>
      <c r="FR6" s="47"/>
      <c r="FS6" s="47"/>
      <c r="FT6" s="47"/>
      <c r="FU6" s="93"/>
      <c r="FV6" s="47" t="str">
        <f>Dates!FV3</f>
      </c>
      <c r="FW6" s="47"/>
      <c r="FX6" s="47"/>
      <c r="FY6" s="47"/>
      <c r="FZ6" s="93"/>
      <c r="GA6" s="47" t="str">
        <f>Dates!GA3</f>
      </c>
      <c r="GB6" s="47"/>
      <c r="GC6" s="47"/>
      <c r="GD6" s="47"/>
      <c r="GE6" s="93"/>
      <c r="GF6" s="47" t="str">
        <f>Dates!GF3</f>
      </c>
      <c r="GG6" s="47"/>
      <c r="GH6" s="47"/>
      <c r="GI6" s="47"/>
      <c r="GJ6" s="93"/>
    </row>
    <row r="7" spans="1:192" ht="12.75" customHeight="1">
      <c r="C7" s="96" t="str">
        <f>Dates!C4</f>
      </c>
      <c r="D7" s="96" t="str">
        <f>Dates!D4</f>
      </c>
      <c r="E7" s="96" t="str">
        <f>Dates!E4</f>
      </c>
      <c r="F7" s="96" t="str">
        <f>Dates!F4</f>
      </c>
      <c r="G7" s="97" t="str">
        <f>Dates!G4</f>
      </c>
      <c r="H7" s="96" t="str">
        <f>Dates!H4</f>
      </c>
      <c r="I7" s="96" t="str">
        <f>Dates!I4</f>
      </c>
      <c r="J7" s="96" t="str">
        <f>Dates!J4</f>
      </c>
      <c r="K7" s="96" t="str">
        <f>Dates!K4</f>
      </c>
      <c r="L7" s="97" t="str">
        <f>Dates!L4</f>
      </c>
      <c r="M7" s="96" t="str">
        <f>Dates!M4</f>
      </c>
      <c r="N7" s="96" t="str">
        <f>Dates!N4</f>
      </c>
      <c r="O7" s="96" t="str">
        <f>Dates!O4</f>
      </c>
      <c r="P7" s="96" t="str">
        <f>Dates!P4</f>
      </c>
      <c r="Q7" s="97" t="str">
        <f>Dates!Q4</f>
      </c>
      <c r="R7" s="96" t="str">
        <f>Dates!R4</f>
      </c>
      <c r="S7" s="96" t="str">
        <f>Dates!S4</f>
      </c>
      <c r="T7" s="96" t="str">
        <f>Dates!T4</f>
      </c>
      <c r="U7" s="96" t="str">
        <f>Dates!U4</f>
      </c>
      <c r="V7" s="97" t="str">
        <f>Dates!V4</f>
      </c>
      <c r="W7" s="96" t="str">
        <f>Dates!W4</f>
      </c>
      <c r="X7" s="96" t="str">
        <f>Dates!X4</f>
      </c>
      <c r="Y7" s="96" t="str">
        <f>Dates!Y4</f>
      </c>
      <c r="Z7" s="96" t="str">
        <f>Dates!Z4</f>
      </c>
      <c r="AA7" s="97" t="str">
        <f>Dates!AA4</f>
      </c>
      <c r="AB7" s="96" t="str">
        <f>Dates!AB4</f>
      </c>
      <c r="AC7" s="96" t="str">
        <f>Dates!AC4</f>
      </c>
      <c r="AD7" s="96" t="str">
        <f>Dates!AD4</f>
      </c>
      <c r="AE7" s="96" t="str">
        <f>Dates!AE4</f>
      </c>
      <c r="AF7" s="97" t="str">
        <f>Dates!AF4</f>
      </c>
      <c r="AG7" s="96" t="str">
        <f>Dates!AG4</f>
      </c>
      <c r="AH7" s="96" t="str">
        <f>Dates!AH4</f>
      </c>
      <c r="AI7" s="96" t="str">
        <f>Dates!AI4</f>
      </c>
      <c r="AJ7" s="96" t="str">
        <f>Dates!AJ4</f>
      </c>
      <c r="AK7" s="97" t="str">
        <f>Dates!AK4</f>
      </c>
      <c r="AL7" s="96" t="str">
        <f>Dates!AL4</f>
      </c>
      <c r="AM7" s="96" t="str">
        <f>Dates!AM4</f>
      </c>
      <c r="AN7" s="96" t="str">
        <f>Dates!AN4</f>
      </c>
      <c r="AO7" s="96" t="str">
        <f>Dates!AO4</f>
      </c>
      <c r="AP7" s="97" t="str">
        <f>Dates!AP4</f>
      </c>
      <c r="AQ7" s="96" t="str">
        <f>Dates!AQ4</f>
      </c>
      <c r="AR7" s="96" t="str">
        <f>Dates!AR4</f>
      </c>
      <c r="AS7" s="96" t="str">
        <f>Dates!AS4</f>
      </c>
      <c r="AT7" s="96" t="str">
        <f>Dates!AT4</f>
      </c>
      <c r="AU7" s="97" t="str">
        <f>Dates!AU4</f>
      </c>
      <c r="AV7" s="96" t="str">
        <f>Dates!AV4</f>
      </c>
      <c r="AW7" s="96" t="str">
        <f>Dates!AW4</f>
      </c>
      <c r="AX7" s="96" t="str">
        <f>Dates!AX4</f>
      </c>
      <c r="AY7" s="96" t="str">
        <f>Dates!AY4</f>
      </c>
      <c r="AZ7" s="97" t="str">
        <f>Dates!AZ4</f>
      </c>
      <c r="BA7" s="96" t="str">
        <f>Dates!BA4</f>
      </c>
      <c r="BB7" s="96" t="str">
        <f>Dates!BB4</f>
      </c>
      <c r="BC7" s="96" t="str">
        <f>Dates!BC4</f>
      </c>
      <c r="BD7" s="96" t="str">
        <f>Dates!BD4</f>
      </c>
      <c r="BE7" s="97" t="str">
        <f>Dates!BE4</f>
      </c>
      <c r="BF7" s="96" t="str">
        <f>Dates!BF4</f>
      </c>
      <c r="BG7" s="96" t="str">
        <f>Dates!BG4</f>
      </c>
      <c r="BH7" s="96" t="str">
        <f>Dates!BH4</f>
      </c>
      <c r="BI7" s="96" t="str">
        <f>Dates!BI4</f>
      </c>
      <c r="BJ7" s="97" t="str">
        <f>Dates!BJ4</f>
      </c>
      <c r="BK7" s="96" t="str">
        <f>Dates!BK4</f>
      </c>
      <c r="BL7" s="96" t="str">
        <f>Dates!BL4</f>
      </c>
      <c r="BM7" s="96" t="str">
        <f>Dates!BM4</f>
      </c>
      <c r="BN7" s="96" t="str">
        <f>Dates!BN4</f>
      </c>
      <c r="BO7" s="97" t="str">
        <f>Dates!BO4</f>
      </c>
      <c r="BP7" s="96" t="str">
        <f>Dates!BP4</f>
      </c>
      <c r="BQ7" s="96" t="str">
        <f>Dates!BQ4</f>
      </c>
      <c r="BR7" s="96" t="str">
        <f>Dates!BR4</f>
      </c>
      <c r="BS7" s="96" t="str">
        <f>Dates!BS4</f>
      </c>
      <c r="BT7" s="97" t="str">
        <f>Dates!BT4</f>
      </c>
      <c r="BU7" s="96" t="str">
        <f>Dates!BU4</f>
      </c>
      <c r="BV7" s="96" t="str">
        <f>Dates!BV4</f>
      </c>
      <c r="BW7" s="96" t="str">
        <f>Dates!BW4</f>
      </c>
      <c r="BX7" s="96" t="str">
        <f>Dates!BX4</f>
      </c>
      <c r="BY7" s="97" t="str">
        <f>Dates!BY4</f>
      </c>
      <c r="BZ7" s="96" t="str">
        <f>Dates!BZ4</f>
      </c>
      <c r="CA7" s="96" t="str">
        <f>Dates!CA4</f>
      </c>
      <c r="CB7" s="96" t="str">
        <f>Dates!CB4</f>
      </c>
      <c r="CC7" s="96" t="str">
        <f>Dates!CC4</f>
      </c>
      <c r="CD7" s="97" t="str">
        <f>Dates!CD4</f>
      </c>
      <c r="CE7" s="96" t="str">
        <f>Dates!CE4</f>
      </c>
      <c r="CF7" s="96" t="str">
        <f>Dates!CF4</f>
      </c>
      <c r="CG7" s="96" t="str">
        <f>Dates!CG4</f>
      </c>
      <c r="CH7" s="96" t="str">
        <f>Dates!CH4</f>
      </c>
      <c r="CI7" s="97" t="str">
        <f>Dates!CI4</f>
      </c>
      <c r="CJ7" s="96" t="str">
        <f>Dates!CJ4</f>
      </c>
      <c r="CK7" s="96" t="str">
        <f>Dates!CK4</f>
      </c>
      <c r="CL7" s="96" t="str">
        <f>Dates!CL4</f>
      </c>
      <c r="CM7" s="96" t="str">
        <f>Dates!CM4</f>
      </c>
      <c r="CN7" s="97" t="str">
        <f>Dates!CN4</f>
      </c>
      <c r="CO7" s="96" t="str">
        <f>Dates!CO4</f>
      </c>
      <c r="CP7" s="96" t="str">
        <f>Dates!CP4</f>
      </c>
      <c r="CQ7" s="96" t="str">
        <f>Dates!CQ4</f>
      </c>
      <c r="CR7" s="96" t="str">
        <f>Dates!CR4</f>
      </c>
      <c r="CS7" s="97" t="str">
        <f>Dates!CS4</f>
      </c>
      <c r="CT7" s="96" t="str">
        <f>Dates!CT4</f>
      </c>
      <c r="CU7" s="96" t="str">
        <f>Dates!CU4</f>
      </c>
      <c r="CV7" s="96" t="str">
        <f>Dates!CV4</f>
      </c>
      <c r="CW7" s="96" t="str">
        <f>Dates!CW4</f>
      </c>
      <c r="CX7" s="97" t="str">
        <f>Dates!CX4</f>
      </c>
      <c r="CY7" s="96" t="str">
        <f>Dates!CY4</f>
      </c>
      <c r="CZ7" s="96" t="str">
        <f>Dates!CZ4</f>
      </c>
      <c r="DA7" s="96" t="str">
        <f>Dates!DA4</f>
      </c>
      <c r="DB7" s="96" t="str">
        <f>Dates!DB4</f>
      </c>
      <c r="DC7" s="97" t="str">
        <f>Dates!DC4</f>
      </c>
      <c r="DD7" s="96" t="str">
        <f>Dates!DD4</f>
      </c>
      <c r="DE7" s="96" t="str">
        <f>Dates!DE4</f>
      </c>
      <c r="DF7" s="96" t="str">
        <f>Dates!DF4</f>
      </c>
      <c r="DG7" s="96" t="str">
        <f>Dates!DG4</f>
      </c>
      <c r="DH7" s="97" t="str">
        <f>Dates!DH4</f>
      </c>
      <c r="DI7" s="96" t="str">
        <f>Dates!DI4</f>
      </c>
      <c r="DJ7" s="96" t="str">
        <f>Dates!DJ4</f>
      </c>
      <c r="DK7" s="96" t="str">
        <f>Dates!DK4</f>
      </c>
      <c r="DL7" s="96" t="str">
        <f>Dates!DL4</f>
      </c>
      <c r="DM7" s="97" t="str">
        <f>Dates!DM4</f>
      </c>
      <c r="DN7" s="96" t="str">
        <f>Dates!DN4</f>
      </c>
      <c r="DO7" s="96" t="str">
        <f>Dates!DO4</f>
      </c>
      <c r="DP7" s="96" t="str">
        <f>Dates!DP4</f>
      </c>
      <c r="DQ7" s="96" t="str">
        <f>Dates!DQ4</f>
      </c>
      <c r="DR7" s="97" t="str">
        <f>Dates!DR4</f>
      </c>
      <c r="DS7" s="96" t="str">
        <f>Dates!DS4</f>
      </c>
      <c r="DT7" s="96" t="str">
        <f>Dates!DT4</f>
      </c>
      <c r="DU7" s="96" t="str">
        <f>Dates!DU4</f>
      </c>
      <c r="DV7" s="96" t="str">
        <f>Dates!DV4</f>
      </c>
      <c r="DW7" s="97" t="str">
        <f>Dates!DW4</f>
      </c>
      <c r="DX7" s="96" t="str">
        <f>Dates!DX4</f>
      </c>
      <c r="DY7" s="96" t="str">
        <f>Dates!DY4</f>
      </c>
      <c r="DZ7" s="96" t="str">
        <f>Dates!DZ4</f>
      </c>
      <c r="EA7" s="96" t="str">
        <f>Dates!EA4</f>
      </c>
      <c r="EB7" s="97" t="str">
        <f>Dates!EB4</f>
      </c>
      <c r="EC7" s="96" t="str">
        <f>Dates!EC4</f>
      </c>
      <c r="ED7" s="96" t="str">
        <f>Dates!ED4</f>
      </c>
      <c r="EE7" s="96" t="str">
        <f>Dates!EE4</f>
      </c>
      <c r="EF7" s="96" t="str">
        <f>Dates!EF4</f>
      </c>
      <c r="EG7" s="97" t="str">
        <f>Dates!EG4</f>
      </c>
      <c r="EH7" s="96" t="str">
        <f>Dates!EH4</f>
      </c>
      <c r="EI7" s="96" t="str">
        <f>Dates!EI4</f>
      </c>
      <c r="EJ7" s="96" t="str">
        <f>Dates!EJ4</f>
      </c>
      <c r="EK7" s="96" t="str">
        <f>Dates!EK4</f>
      </c>
      <c r="EL7" s="97" t="str">
        <f>Dates!EL4</f>
      </c>
      <c r="EM7" s="96" t="str">
        <f>Dates!EM4</f>
      </c>
      <c r="EN7" s="96" t="str">
        <f>Dates!EN4</f>
      </c>
      <c r="EO7" s="96" t="str">
        <f>Dates!EO4</f>
      </c>
      <c r="EP7" s="96" t="str">
        <f>Dates!EP4</f>
      </c>
      <c r="EQ7" s="97" t="str">
        <f>Dates!EQ4</f>
      </c>
      <c r="ER7" s="96" t="str">
        <f>Dates!ER4</f>
      </c>
      <c r="ES7" s="96" t="str">
        <f>Dates!ES4</f>
      </c>
      <c r="ET7" s="96" t="str">
        <f>Dates!ET4</f>
      </c>
      <c r="EU7" s="96" t="str">
        <f>Dates!EU4</f>
      </c>
      <c r="EV7" s="97" t="str">
        <f>Dates!EV4</f>
      </c>
      <c r="EW7" s="96" t="str">
        <f>Dates!EW4</f>
      </c>
      <c r="EX7" s="96" t="str">
        <f>Dates!EX4</f>
      </c>
      <c r="EY7" s="96" t="str">
        <f>Dates!EY4</f>
      </c>
      <c r="EZ7" s="96" t="str">
        <f>Dates!EZ4</f>
      </c>
      <c r="FA7" s="97" t="str">
        <f>Dates!FA4</f>
      </c>
      <c r="FB7" s="96" t="str">
        <f>Dates!FB4</f>
      </c>
      <c r="FC7" s="96" t="str">
        <f>Dates!FC4</f>
      </c>
      <c r="FD7" s="96" t="str">
        <f>Dates!FD4</f>
      </c>
      <c r="FE7" s="96" t="str">
        <f>Dates!FE4</f>
      </c>
      <c r="FF7" s="97" t="str">
        <f>Dates!FF4</f>
      </c>
      <c r="FG7" s="96" t="str">
        <f>Dates!FG4</f>
      </c>
      <c r="FH7" s="96" t="str">
        <f>Dates!FH4</f>
      </c>
      <c r="FI7" s="96" t="str">
        <f>Dates!FI4</f>
      </c>
      <c r="FJ7" s="96" t="str">
        <f>Dates!FJ4</f>
      </c>
      <c r="FK7" s="97" t="str">
        <f>Dates!FK4</f>
      </c>
      <c r="FL7" s="96" t="str">
        <f>Dates!FL4</f>
      </c>
      <c r="FM7" s="96" t="str">
        <f>Dates!FM4</f>
      </c>
      <c r="FN7" s="96" t="str">
        <f>Dates!FN4</f>
      </c>
      <c r="FO7" s="96" t="str">
        <f>Dates!FO4</f>
      </c>
      <c r="FP7" s="97" t="str">
        <f>Dates!FP4</f>
      </c>
      <c r="FQ7" s="96" t="str">
        <f>Dates!FQ4</f>
      </c>
      <c r="FR7" s="96" t="str">
        <f>Dates!FR4</f>
      </c>
      <c r="FS7" s="96" t="str">
        <f>Dates!FS4</f>
      </c>
      <c r="FT7" s="96" t="str">
        <f>Dates!FT4</f>
      </c>
      <c r="FU7" s="97" t="str">
        <f>Dates!FU4</f>
      </c>
      <c r="FV7" s="96" t="str">
        <f>Dates!FV4</f>
      </c>
      <c r="FW7" s="96" t="str">
        <f>Dates!FW4</f>
      </c>
      <c r="FX7" s="96" t="str">
        <f>Dates!FX4</f>
      </c>
      <c r="FY7" s="96" t="str">
        <f>Dates!FY4</f>
      </c>
      <c r="FZ7" s="97" t="str">
        <f>Dates!FZ4</f>
      </c>
      <c r="GA7" s="96" t="str">
        <f>Dates!GA4</f>
      </c>
      <c r="GB7" s="96" t="str">
        <f>Dates!GB4</f>
      </c>
      <c r="GC7" s="96" t="str">
        <f>Dates!GC4</f>
      </c>
      <c r="GD7" s="96" t="str">
        <f>Dates!GD4</f>
      </c>
      <c r="GE7" s="97" t="str">
        <f>Dates!GE4</f>
      </c>
      <c r="GF7" s="96" t="str">
        <f>Dates!GF4</f>
      </c>
      <c r="GG7" s="96" t="str">
        <f>Dates!GG4</f>
      </c>
      <c r="GH7" s="96" t="str">
        <f>Dates!GH4</f>
      </c>
      <c r="GI7" s="96" t="str">
        <f>Dates!GI4</f>
      </c>
      <c r="GJ7" s="97" t="str">
        <f>Dates!GJ4</f>
      </c>
    </row>
    <row r="8" spans="1:192" ht="12.75" customHeight="1">
      <c r="C8" s="98">
        <f>Dates!C5</f>
      </c>
      <c r="D8" s="98">
        <f>Dates!D5</f>
      </c>
      <c r="E8" s="98">
        <f>Dates!E5</f>
      </c>
      <c r="F8" s="98">
        <f>Dates!F5</f>
      </c>
      <c r="G8" s="99">
        <f>Dates!G5</f>
      </c>
      <c r="H8" s="98">
        <f>Dates!H5</f>
      </c>
      <c r="I8" s="98">
        <f>Dates!I5</f>
      </c>
      <c r="J8" s="98">
        <f>Dates!J5</f>
      </c>
      <c r="K8" s="98">
        <f>Dates!K5</f>
      </c>
      <c r="L8" s="99">
        <f>Dates!L5</f>
      </c>
      <c r="M8" s="98">
        <f>Dates!M5</f>
      </c>
      <c r="N8" s="98">
        <f>Dates!N5</f>
      </c>
      <c r="O8" s="98">
        <f>Dates!O5</f>
      </c>
      <c r="P8" s="98">
        <f>Dates!P5</f>
      </c>
      <c r="Q8" s="99">
        <f>Dates!Q5</f>
      </c>
      <c r="R8" s="98">
        <f>Dates!R5</f>
      </c>
      <c r="S8" s="98">
        <f>Dates!S5</f>
      </c>
      <c r="T8" s="98">
        <f>Dates!T5</f>
      </c>
      <c r="U8" s="98">
        <f>Dates!U5</f>
      </c>
      <c r="V8" s="99">
        <f>Dates!V5</f>
      </c>
      <c r="W8" s="98">
        <f>Dates!W5</f>
      </c>
      <c r="X8" s="98">
        <f>Dates!X5</f>
      </c>
      <c r="Y8" s="98">
        <f>Dates!Y5</f>
      </c>
      <c r="Z8" s="98">
        <f>Dates!Z5</f>
      </c>
      <c r="AA8" s="99">
        <f>Dates!AA5</f>
      </c>
      <c r="AB8" s="98">
        <f>Dates!AB5</f>
      </c>
      <c r="AC8" s="98">
        <f>Dates!AC5</f>
      </c>
      <c r="AD8" s="98">
        <f>Dates!AD5</f>
      </c>
      <c r="AE8" s="98">
        <f>Dates!AE5</f>
      </c>
      <c r="AF8" s="99">
        <f>Dates!AF5</f>
      </c>
      <c r="AG8" s="98">
        <f>Dates!AG5</f>
      </c>
      <c r="AH8" s="98">
        <f>Dates!AH5</f>
      </c>
      <c r="AI8" s="98">
        <f>Dates!AI5</f>
      </c>
      <c r="AJ8" s="98">
        <f>Dates!AJ5</f>
      </c>
      <c r="AK8" s="99">
        <f>Dates!AK5</f>
      </c>
      <c r="AL8" s="98">
        <f>Dates!AL5</f>
      </c>
      <c r="AM8" s="98">
        <f>Dates!AM5</f>
      </c>
      <c r="AN8" s="98">
        <f>Dates!AN5</f>
      </c>
      <c r="AO8" s="98">
        <f>Dates!AO5</f>
      </c>
      <c r="AP8" s="99">
        <f>Dates!AP5</f>
      </c>
      <c r="AQ8" s="98">
        <f>Dates!AQ5</f>
      </c>
      <c r="AR8" s="98">
        <f>Dates!AR5</f>
      </c>
      <c r="AS8" s="98">
        <f>Dates!AS5</f>
      </c>
      <c r="AT8" s="98">
        <f>Dates!AT5</f>
      </c>
      <c r="AU8" s="99">
        <f>Dates!AU5</f>
      </c>
      <c r="AV8" s="98">
        <f>Dates!AV5</f>
      </c>
      <c r="AW8" s="98">
        <f>Dates!AW5</f>
      </c>
      <c r="AX8" s="98">
        <f>Dates!AX5</f>
      </c>
      <c r="AY8" s="98">
        <f>Dates!AY5</f>
      </c>
      <c r="AZ8" s="99">
        <f>Dates!AZ5</f>
      </c>
      <c r="BA8" s="98">
        <f>Dates!BA5</f>
      </c>
      <c r="BB8" s="98">
        <f>Dates!BB5</f>
      </c>
      <c r="BC8" s="98">
        <f>Dates!BC5</f>
      </c>
      <c r="BD8" s="98">
        <f>Dates!BD5</f>
      </c>
      <c r="BE8" s="99">
        <f>Dates!BE5</f>
      </c>
      <c r="BF8" s="98">
        <f>Dates!BF5</f>
      </c>
      <c r="BG8" s="98">
        <f>Dates!BG5</f>
      </c>
      <c r="BH8" s="98">
        <f>Dates!BH5</f>
      </c>
      <c r="BI8" s="98">
        <f>Dates!BI5</f>
      </c>
      <c r="BJ8" s="99">
        <f>Dates!BJ5</f>
      </c>
      <c r="BK8" s="98">
        <f>Dates!BK5</f>
      </c>
      <c r="BL8" s="98">
        <f>Dates!BL5</f>
      </c>
      <c r="BM8" s="98">
        <f>Dates!BM5</f>
      </c>
      <c r="BN8" s="98">
        <f>Dates!BN5</f>
      </c>
      <c r="BO8" s="99">
        <f>Dates!BO5</f>
      </c>
      <c r="BP8" s="98">
        <f>Dates!BP5</f>
      </c>
      <c r="BQ8" s="98">
        <f>Dates!BQ5</f>
      </c>
      <c r="BR8" s="98">
        <f>Dates!BR5</f>
      </c>
      <c r="BS8" s="98">
        <f>Dates!BS5</f>
      </c>
      <c r="BT8" s="99">
        <f>Dates!BT5</f>
      </c>
      <c r="BU8" s="98">
        <f>Dates!BU5</f>
      </c>
      <c r="BV8" s="98">
        <f>Dates!BV5</f>
      </c>
      <c r="BW8" s="98">
        <f>Dates!BW5</f>
      </c>
      <c r="BX8" s="98">
        <f>Dates!BX5</f>
      </c>
      <c r="BY8" s="99">
        <f>Dates!BY5</f>
      </c>
      <c r="BZ8" s="98">
        <f>Dates!BZ5</f>
      </c>
      <c r="CA8" s="98">
        <f>Dates!CA5</f>
      </c>
      <c r="CB8" s="98">
        <f>Dates!CB5</f>
      </c>
      <c r="CC8" s="98">
        <f>Dates!CC5</f>
      </c>
      <c r="CD8" s="99">
        <f>Dates!CD5</f>
      </c>
      <c r="CE8" s="98">
        <f>Dates!CE5</f>
      </c>
      <c r="CF8" s="98">
        <f>Dates!CF5</f>
      </c>
      <c r="CG8" s="98">
        <f>Dates!CG5</f>
      </c>
      <c r="CH8" s="98">
        <f>Dates!CH5</f>
      </c>
      <c r="CI8" s="99">
        <f>Dates!CI5</f>
      </c>
      <c r="CJ8" s="98">
        <f>Dates!CJ5</f>
      </c>
      <c r="CK8" s="98">
        <f>Dates!CK5</f>
      </c>
      <c r="CL8" s="98">
        <f>Dates!CL5</f>
      </c>
      <c r="CM8" s="98">
        <f>Dates!CM5</f>
      </c>
      <c r="CN8" s="99">
        <f>Dates!CN5</f>
      </c>
      <c r="CO8" s="98">
        <f>Dates!CO5</f>
      </c>
      <c r="CP8" s="98">
        <f>Dates!CP5</f>
      </c>
      <c r="CQ8" s="98">
        <f>Dates!CQ5</f>
      </c>
      <c r="CR8" s="98">
        <f>Dates!CR5</f>
      </c>
      <c r="CS8" s="99">
        <f>Dates!CS5</f>
      </c>
      <c r="CT8" s="98">
        <f>Dates!CT5</f>
      </c>
      <c r="CU8" s="98">
        <f>Dates!CU5</f>
      </c>
      <c r="CV8" s="98">
        <f>Dates!CV5</f>
      </c>
      <c r="CW8" s="98">
        <f>Dates!CW5</f>
      </c>
      <c r="CX8" s="99">
        <f>Dates!CX5</f>
      </c>
      <c r="CY8" s="98">
        <f>Dates!CY5</f>
      </c>
      <c r="CZ8" s="98">
        <f>Dates!CZ5</f>
      </c>
      <c r="DA8" s="98">
        <f>Dates!DA5</f>
      </c>
      <c r="DB8" s="98">
        <f>Dates!DB5</f>
      </c>
      <c r="DC8" s="99">
        <f>Dates!DC5</f>
      </c>
      <c r="DD8" s="98">
        <f>Dates!DD5</f>
      </c>
      <c r="DE8" s="98">
        <f>Dates!DE5</f>
      </c>
      <c r="DF8" s="98">
        <f>Dates!DF5</f>
      </c>
      <c r="DG8" s="98">
        <f>Dates!DG5</f>
      </c>
      <c r="DH8" s="99">
        <f>Dates!DH5</f>
      </c>
      <c r="DI8" s="98">
        <f>Dates!DI5</f>
      </c>
      <c r="DJ8" s="98">
        <f>Dates!DJ5</f>
      </c>
      <c r="DK8" s="98">
        <f>Dates!DK5</f>
      </c>
      <c r="DL8" s="98">
        <f>Dates!DL5</f>
      </c>
      <c r="DM8" s="99">
        <f>Dates!DM5</f>
      </c>
      <c r="DN8" s="98">
        <f>Dates!DN5</f>
      </c>
      <c r="DO8" s="98">
        <f>Dates!DO5</f>
      </c>
      <c r="DP8" s="98">
        <f>Dates!DP5</f>
      </c>
      <c r="DQ8" s="98">
        <f>Dates!DQ5</f>
      </c>
      <c r="DR8" s="99">
        <f>Dates!DR5</f>
      </c>
      <c r="DS8" s="98">
        <f>Dates!DS5</f>
      </c>
      <c r="DT8" s="98">
        <f>Dates!DT5</f>
      </c>
      <c r="DU8" s="98">
        <f>Dates!DU5</f>
      </c>
      <c r="DV8" s="98">
        <f>Dates!DV5</f>
      </c>
      <c r="DW8" s="99">
        <f>Dates!DW5</f>
      </c>
      <c r="DX8" s="98">
        <f>Dates!DX5</f>
      </c>
      <c r="DY8" s="98">
        <f>Dates!DY5</f>
      </c>
      <c r="DZ8" s="98">
        <f>Dates!DZ5</f>
      </c>
      <c r="EA8" s="98">
        <f>Dates!EA5</f>
      </c>
      <c r="EB8" s="99">
        <f>Dates!EB5</f>
      </c>
      <c r="EC8" s="98">
        <f>Dates!EC5</f>
      </c>
      <c r="ED8" s="98">
        <f>Dates!ED5</f>
      </c>
      <c r="EE8" s="98">
        <f>Dates!EE5</f>
      </c>
      <c r="EF8" s="98">
        <f>Dates!EF5</f>
      </c>
      <c r="EG8" s="99">
        <f>Dates!EG5</f>
      </c>
      <c r="EH8" s="98">
        <f>Dates!EH5</f>
      </c>
      <c r="EI8" s="98">
        <f>Dates!EI5</f>
      </c>
      <c r="EJ8" s="98">
        <f>Dates!EJ5</f>
      </c>
      <c r="EK8" s="98">
        <f>Dates!EK5</f>
      </c>
      <c r="EL8" s="99">
        <f>Dates!EL5</f>
      </c>
      <c r="EM8" s="98">
        <f>Dates!EM5</f>
      </c>
      <c r="EN8" s="98">
        <f>Dates!EN5</f>
      </c>
      <c r="EO8" s="98">
        <f>Dates!EO5</f>
      </c>
      <c r="EP8" s="98">
        <f>Dates!EP5</f>
      </c>
      <c r="EQ8" s="99">
        <f>Dates!EQ5</f>
      </c>
      <c r="ER8" s="98">
        <f>Dates!ER5</f>
      </c>
      <c r="ES8" s="98">
        <f>Dates!ES5</f>
      </c>
      <c r="ET8" s="98">
        <f>Dates!ET5</f>
      </c>
      <c r="EU8" s="960">
        <f>Dates!EU5</f>
      </c>
      <c r="EV8" s="99">
        <f>Dates!EV5</f>
      </c>
      <c r="EW8" s="98">
        <f>Dates!EW5</f>
      </c>
      <c r="EX8" s="98">
        <f>Dates!EX5</f>
      </c>
      <c r="EY8" s="98">
        <f>Dates!EY5</f>
      </c>
      <c r="EZ8" s="98">
        <f>Dates!EZ5</f>
      </c>
      <c r="FA8" s="99">
        <f>Dates!FA5</f>
      </c>
      <c r="FB8" s="98">
        <f>Dates!FB5</f>
      </c>
      <c r="FC8" s="98">
        <f>Dates!FC5</f>
      </c>
      <c r="FD8" s="98">
        <f>Dates!FD5</f>
      </c>
      <c r="FE8" s="98">
        <f>Dates!FE5</f>
      </c>
      <c r="FF8" s="99">
        <f>Dates!FF5</f>
      </c>
      <c r="FG8" s="98">
        <f>Dates!FG5</f>
      </c>
      <c r="FH8" s="98">
        <f>Dates!FH5</f>
      </c>
      <c r="FI8" s="98">
        <f>Dates!FI5</f>
      </c>
      <c r="FJ8" s="98">
        <f>Dates!FJ5</f>
      </c>
      <c r="FK8" s="99">
        <f>Dates!FK5</f>
      </c>
      <c r="FL8" s="98">
        <f>Dates!FL5</f>
      </c>
      <c r="FM8" s="98">
        <f>Dates!FM5</f>
      </c>
      <c r="FN8" s="98">
        <f>Dates!FN5</f>
      </c>
      <c r="FO8" s="98">
        <f>Dates!FO5</f>
      </c>
      <c r="FP8" s="99">
        <f>Dates!FP5</f>
      </c>
      <c r="FQ8" s="98">
        <f>Dates!FQ5</f>
      </c>
      <c r="FR8" s="98">
        <f>Dates!FR5</f>
      </c>
      <c r="FS8" s="98">
        <f>Dates!FS5</f>
      </c>
      <c r="FT8" s="98">
        <f>Dates!FT5</f>
      </c>
      <c r="FU8" s="99">
        <f>Dates!FU5</f>
      </c>
      <c r="FV8" s="98">
        <f>Dates!FV5</f>
      </c>
      <c r="FW8" s="98">
        <f>Dates!FW5</f>
      </c>
      <c r="FX8" s="98">
        <f>Dates!FX5</f>
      </c>
      <c r="FY8" s="98">
        <f>Dates!FY5</f>
      </c>
      <c r="FZ8" s="99">
        <f>Dates!FZ5</f>
      </c>
      <c r="GA8" s="98">
        <f>Dates!GA5</f>
      </c>
      <c r="GB8" s="98">
        <f>Dates!GB5</f>
      </c>
      <c r="GC8" s="98">
        <f>Dates!GC5</f>
      </c>
      <c r="GD8" s="98">
        <f>Dates!GD5</f>
      </c>
      <c r="GE8" s="99">
        <f>Dates!GE5</f>
      </c>
      <c r="GF8" s="98">
        <f>Dates!GF5</f>
      </c>
      <c r="GG8" s="98">
        <f>Dates!GG5</f>
      </c>
      <c r="GH8" s="98">
        <f>Dates!GH5</f>
      </c>
      <c r="GI8" s="98">
        <f>Dates!GI5</f>
      </c>
      <c r="GJ8" s="99">
        <f>Dates!GJ5</f>
      </c>
    </row>
    <row r="9" spans="1:192" s="701" customFormat="1" ht="12.75" customHeight="1">
      <c r="A9" s="850"/>
      <c r="C9" s="872"/>
      <c r="D9" s="872"/>
      <c r="E9" s="872"/>
      <c r="F9" s="872"/>
      <c r="G9" s="873"/>
      <c r="H9" s="872"/>
      <c r="I9" s="872"/>
      <c r="J9" s="872"/>
      <c r="K9" s="872"/>
      <c r="L9" s="873"/>
      <c r="M9" s="872"/>
      <c r="N9" s="872"/>
      <c r="O9" s="872"/>
      <c r="P9" s="872"/>
      <c r="Q9" s="873"/>
      <c r="R9" s="872"/>
      <c r="S9" s="872"/>
      <c r="T9" s="872"/>
      <c r="U9" s="872"/>
      <c r="V9" s="873"/>
      <c r="W9" s="872"/>
      <c r="X9" s="872"/>
      <c r="Y9" s="872"/>
      <c r="Z9" s="872"/>
      <c r="AA9" s="873"/>
      <c r="AB9" s="872"/>
      <c r="AC9" s="872"/>
      <c r="AD9" s="872"/>
      <c r="AE9" s="872"/>
      <c r="AF9" s="873"/>
      <c r="AG9" s="872"/>
      <c r="AH9" s="872"/>
      <c r="AI9" s="872"/>
      <c r="AJ9" s="872"/>
      <c r="AK9" s="873"/>
      <c r="AL9" s="872"/>
      <c r="AM9" s="872"/>
      <c r="AN9" s="872"/>
      <c r="AO9" s="872"/>
      <c r="AP9" s="873"/>
      <c r="AQ9" s="872"/>
      <c r="AR9" s="872"/>
      <c r="AS9" s="872"/>
      <c r="AT9" s="872"/>
      <c r="AU9" s="873"/>
      <c r="AV9" s="872"/>
      <c r="AW9" s="872"/>
      <c r="AX9" s="872"/>
      <c r="AY9" s="872"/>
      <c r="AZ9" s="873"/>
      <c r="BA9" s="872"/>
      <c r="BB9" s="872"/>
      <c r="BC9" s="872"/>
      <c r="BD9" s="872"/>
      <c r="BE9" s="873"/>
      <c r="BF9" s="872"/>
      <c r="BG9" s="872"/>
      <c r="BH9" s="872"/>
      <c r="BI9" s="872"/>
      <c r="BJ9" s="873"/>
      <c r="BK9" s="872"/>
      <c r="BL9" s="872"/>
      <c r="BM9" s="872"/>
      <c r="BN9" s="872"/>
      <c r="BO9" s="873"/>
      <c r="BP9" s="872"/>
      <c r="BQ9" s="872"/>
      <c r="BR9" s="872"/>
      <c r="BS9" s="872"/>
      <c r="BT9" s="873"/>
      <c r="BU9" s="872"/>
      <c r="BV9" s="872"/>
      <c r="BW9" s="872"/>
      <c r="BX9" s="872"/>
      <c r="BY9" s="873"/>
      <c r="BZ9" s="872"/>
      <c r="CA9" s="872"/>
      <c r="CB9" s="872"/>
      <c r="CC9" s="872"/>
      <c r="CD9" s="873"/>
      <c r="CE9" s="872"/>
      <c r="CF9" s="872"/>
      <c r="CG9" s="872"/>
      <c r="CH9" s="872"/>
      <c r="CI9" s="873"/>
      <c r="CJ9" s="872"/>
      <c r="CK9" s="872"/>
      <c r="CL9" s="872"/>
      <c r="CM9" s="872"/>
      <c r="CN9" s="873"/>
      <c r="CO9" s="872"/>
      <c r="CP9" s="872"/>
      <c r="CQ9" s="872"/>
      <c r="CR9" s="872"/>
      <c r="CS9" s="873"/>
      <c r="CT9" s="872"/>
      <c r="CU9" s="872"/>
      <c r="CV9" s="872"/>
      <c r="CW9" s="872"/>
      <c r="CX9" s="873"/>
      <c r="CY9" s="872"/>
      <c r="CZ9" s="872"/>
      <c r="DA9" s="872"/>
      <c r="DB9" s="872"/>
      <c r="DC9" s="873"/>
      <c r="DD9" s="872"/>
      <c r="DE9" s="872"/>
      <c r="DF9" s="872"/>
      <c r="DG9" s="872"/>
      <c r="DH9" s="873"/>
      <c r="DI9" s="872"/>
      <c r="DJ9" s="872"/>
      <c r="DK9" s="872"/>
      <c r="DL9" s="872"/>
      <c r="DM9" s="873"/>
      <c r="DN9" s="872"/>
      <c r="DO9" s="872"/>
      <c r="DP9" s="872"/>
      <c r="DQ9" s="872"/>
      <c r="DR9" s="873"/>
      <c r="DS9" s="872"/>
      <c r="DT9" s="872"/>
      <c r="DU9" s="872"/>
      <c r="DV9" s="872"/>
      <c r="DW9" s="873"/>
      <c r="DX9" s="872"/>
      <c r="DY9" s="872"/>
      <c r="DZ9" s="872"/>
      <c r="EA9" s="872"/>
      <c r="EB9" s="873"/>
      <c r="EC9" s="872"/>
      <c r="ED9" s="872"/>
      <c r="EE9" s="872"/>
      <c r="EF9" s="872"/>
      <c r="EG9" s="873"/>
      <c r="EH9" s="872"/>
      <c r="EI9" s="872"/>
      <c r="EJ9" s="872"/>
      <c r="EK9" s="872"/>
      <c r="EL9" s="873"/>
      <c r="EM9" s="872"/>
      <c r="EN9" s="872"/>
      <c r="EO9" s="872"/>
      <c r="EP9" s="872"/>
      <c r="EQ9" s="873"/>
      <c r="ER9" s="872"/>
      <c r="ES9" s="872"/>
      <c r="ET9" s="872"/>
      <c r="EU9" s="989"/>
      <c r="EV9" s="873"/>
      <c r="EW9" s="1504"/>
      <c r="EX9" s="1504"/>
      <c r="EY9" s="872"/>
      <c r="EZ9" s="989"/>
      <c r="FA9" s="873"/>
      <c r="FB9" s="872"/>
      <c r="FC9" s="872"/>
      <c r="FD9" s="872"/>
      <c r="FE9" s="989"/>
      <c r="FF9" s="873"/>
      <c r="FG9" s="872"/>
      <c r="FH9" s="872"/>
      <c r="FI9" s="872"/>
      <c r="FJ9" s="989"/>
      <c r="FK9" s="873"/>
      <c r="FL9" s="872"/>
      <c r="FM9" s="872"/>
      <c r="FN9" s="872"/>
      <c r="FO9" s="872"/>
      <c r="FP9" s="873"/>
      <c r="FQ9" s="872"/>
      <c r="FR9" s="872"/>
      <c r="FS9" s="872"/>
      <c r="FT9" s="872"/>
      <c r="FU9" s="873"/>
      <c r="FV9" s="872"/>
      <c r="FW9" s="872"/>
      <c r="FX9" s="872"/>
      <c r="FY9" s="872"/>
      <c r="FZ9" s="873"/>
      <c r="GA9" s="872"/>
      <c r="GB9" s="872"/>
      <c r="GC9" s="872"/>
      <c r="GD9" s="872"/>
      <c r="GE9" s="873"/>
      <c r="GF9" s="872"/>
      <c r="GG9" s="872"/>
      <c r="GH9" s="872"/>
      <c r="GI9" s="872"/>
      <c r="GJ9" s="873"/>
    </row>
    <row r="10" spans="1:192" s="461" customFormat="1" ht="12.75" hidden="1" customHeight="1" outlineLevel="1">
      <c r="A10" s="370"/>
      <c r="B10" s="625" t="s">
        <v>157</v>
      </c>
      <c r="C10" s="628"/>
      <c r="D10" s="628"/>
      <c r="E10" s="628"/>
      <c r="F10" s="628"/>
      <c r="G10" s="627"/>
      <c r="H10" s="628"/>
      <c r="I10" s="628"/>
      <c r="J10" s="628"/>
      <c r="K10" s="628"/>
      <c r="L10" s="627"/>
      <c r="M10" s="628"/>
      <c r="N10" s="628"/>
      <c r="O10" s="628"/>
      <c r="P10" s="628"/>
      <c r="Q10" s="627"/>
      <c r="R10" s="628"/>
      <c r="S10" s="628"/>
      <c r="T10" s="628"/>
      <c r="U10" s="628"/>
      <c r="V10" s="627"/>
      <c r="W10" s="628"/>
      <c r="X10" s="628"/>
      <c r="Y10" s="628"/>
      <c r="Z10" s="628"/>
      <c r="AA10" s="627"/>
      <c r="AB10" s="628"/>
      <c r="AC10" s="628"/>
      <c r="AD10" s="628"/>
      <c r="AE10" s="628"/>
      <c r="AF10" s="627"/>
      <c r="AG10" s="628"/>
      <c r="AH10" s="628"/>
      <c r="AI10" s="628"/>
      <c r="AJ10" s="628"/>
      <c r="AK10" s="627"/>
      <c r="AL10" s="628"/>
      <c r="AM10" s="628"/>
      <c r="AN10" s="628"/>
      <c r="AO10" s="628"/>
      <c r="AP10" s="627"/>
      <c r="AQ10" s="628"/>
      <c r="AR10" s="628"/>
      <c r="AS10" s="628"/>
      <c r="AT10" s="628"/>
      <c r="AU10" s="627"/>
      <c r="AV10" s="628"/>
      <c r="AW10" s="628"/>
      <c r="AX10" s="628"/>
      <c r="AY10" s="628"/>
      <c r="AZ10" s="627"/>
      <c r="BA10" s="628"/>
      <c r="BB10" s="628"/>
      <c r="BC10" s="628"/>
      <c r="BD10" s="628"/>
      <c r="BE10" s="627"/>
      <c r="BF10" s="628"/>
      <c r="BG10" s="628"/>
      <c r="BH10" s="628"/>
      <c r="BI10" s="628"/>
      <c r="BJ10" s="627"/>
      <c r="BK10" s="628"/>
      <c r="BL10" s="628"/>
      <c r="BM10" s="628"/>
      <c r="BN10" s="628"/>
      <c r="BO10" s="627"/>
      <c r="BP10" s="628"/>
      <c r="BQ10" s="628"/>
      <c r="BR10" s="628"/>
      <c r="BS10" s="628"/>
      <c r="BT10" s="627"/>
      <c r="BU10" s="628"/>
      <c r="BV10" s="628"/>
      <c r="BW10" s="628"/>
      <c r="BX10" s="628"/>
      <c r="BY10" s="627"/>
      <c r="BZ10" s="628"/>
      <c r="CA10" s="628"/>
      <c r="CB10" s="628"/>
      <c r="CC10" s="628"/>
      <c r="CD10" s="627"/>
      <c r="CE10" s="628"/>
      <c r="CF10" s="628"/>
      <c r="CG10" s="628"/>
      <c r="CH10" s="628"/>
      <c r="CI10" s="627"/>
      <c r="CJ10" s="628"/>
      <c r="CK10" s="628"/>
      <c r="CL10" s="628"/>
      <c r="CM10" s="628"/>
      <c r="CN10" s="627"/>
      <c r="CO10" s="628"/>
      <c r="CP10" s="628"/>
      <c r="CQ10" s="628"/>
      <c r="CR10" s="628"/>
      <c r="CS10" s="627"/>
      <c r="CT10" s="628"/>
      <c r="CU10" s="628"/>
      <c r="CV10" s="628"/>
      <c r="CW10" s="628"/>
      <c r="CX10" s="627"/>
      <c r="CY10" s="628"/>
      <c r="CZ10" s="628"/>
      <c r="DA10" s="628"/>
      <c r="DB10" s="628"/>
      <c r="DC10" s="627"/>
      <c r="DD10" s="628"/>
      <c r="DE10" s="628"/>
      <c r="DF10" s="628"/>
      <c r="DG10" s="628"/>
      <c r="DH10" s="627"/>
      <c r="DI10" s="626">
        <v>14968</v>
      </c>
      <c r="DJ10" s="626">
        <v>18273</v>
      </c>
      <c r="DK10" s="626">
        <v>14513</v>
      </c>
      <c r="DL10" s="626">
        <v>16057</v>
      </c>
      <c r="DM10" s="627">
        <f>SUM(DI10:DL10)</f>
      </c>
      <c r="DN10" s="626">
        <v>14298</v>
      </c>
      <c r="DO10" s="626">
        <v>17926</v>
      </c>
      <c r="DP10" s="626">
        <v>15114</v>
      </c>
      <c r="DQ10" s="626">
        <v>17159</v>
      </c>
      <c r="DR10" s="627">
        <f>SUM(DN10:DQ10)</f>
      </c>
      <c r="DS10" s="626">
        <v>17299</v>
      </c>
      <c r="DT10" s="626">
        <v>16219</v>
      </c>
      <c r="DU10" s="626">
        <v>15448</v>
      </c>
      <c r="DV10" s="626">
        <v>17103</v>
      </c>
      <c r="DW10" s="627">
        <f>SUM(DS10:DV10)</f>
      </c>
      <c r="DX10" s="626">
        <v>15768</v>
      </c>
      <c r="DY10" s="626">
        <v>18255</v>
      </c>
      <c r="DZ10" s="626">
        <v>15871</v>
      </c>
      <c r="EA10" s="626">
        <v>18147</v>
      </c>
      <c r="EB10" s="627">
        <f>SUM(DX10:EA10)</f>
      </c>
      <c r="EC10" s="626">
        <v>15803</v>
      </c>
      <c r="ED10" s="626">
        <v>19460</v>
      </c>
      <c r="EE10" s="626">
        <v>16873</v>
      </c>
      <c r="EF10" s="626">
        <v>18938</v>
      </c>
      <c r="EG10" s="627">
        <f>SUM(EC10:EF10)</f>
      </c>
      <c r="EH10" s="626">
        <v>16631</v>
      </c>
      <c r="EI10" s="626">
        <v>20779</v>
      </c>
      <c r="EJ10" s="626">
        <v>17366</v>
      </c>
      <c r="EK10" s="626">
        <v>17956</v>
      </c>
      <c r="EL10" s="627">
        <f>SUM(EH10:EK10)</f>
      </c>
      <c r="EM10" s="626">
        <v>15741</v>
      </c>
      <c r="EN10" s="626">
        <v>16517</v>
      </c>
      <c r="EO10" s="626">
        <v>15588</v>
      </c>
      <c r="EP10" s="626">
        <v>16853</v>
      </c>
      <c r="EQ10" s="627">
        <f>SUM(EM10:EP10)</f>
      </c>
      <c r="ER10" s="626">
        <v>15535</v>
      </c>
      <c r="ES10" s="626">
        <v>18941</v>
      </c>
      <c r="ET10" s="629">
        <v>17080</v>
      </c>
      <c r="EU10" s="629">
        <v>13217</v>
      </c>
      <c r="EV10" s="627">
        <f>SUM(ER10:EU10)</f>
      </c>
      <c r="EW10" s="629">
        <v>15272</v>
      </c>
      <c r="EX10" s="629">
        <v>16219</v>
      </c>
      <c r="EY10" s="629">
        <v>15319</v>
      </c>
      <c r="EZ10" s="629">
        <v>17136</v>
      </c>
      <c r="FA10" s="627">
        <f>SUM(EW10:EZ10)</f>
      </c>
      <c r="FB10" s="630"/>
      <c r="FC10" s="630"/>
      <c r="FD10" s="630"/>
      <c r="FE10" s="630"/>
      <c r="FF10" s="620"/>
      <c r="FG10" s="630"/>
      <c r="FH10" s="630"/>
      <c r="FI10" s="630"/>
      <c r="FJ10" s="630"/>
      <c r="FK10" s="620"/>
      <c r="FL10" s="630"/>
      <c r="FM10" s="630"/>
      <c r="FN10" s="630"/>
      <c r="FO10" s="630"/>
      <c r="FP10" s="620"/>
      <c r="FQ10" s="630"/>
      <c r="FR10" s="630"/>
      <c r="FS10" s="630"/>
      <c r="FT10" s="630"/>
      <c r="FU10" s="620"/>
      <c r="FV10" s="630"/>
      <c r="FW10" s="630"/>
      <c r="FX10" s="630"/>
      <c r="FY10" s="630"/>
      <c r="FZ10" s="620"/>
      <c r="GA10" s="630"/>
      <c r="GB10" s="630"/>
      <c r="GC10" s="630"/>
      <c r="GD10" s="630"/>
      <c r="GE10" s="620"/>
      <c r="GF10" s="630"/>
      <c r="GG10" s="630"/>
      <c r="GH10" s="630"/>
      <c r="GI10" s="630"/>
      <c r="GJ10" s="620"/>
    </row>
    <row r="11" spans="1:192" ht="12.75" hidden="1" customHeight="1" outlineLevel="1">
      <c r="B11" s="617" t="s">
        <v>34</v>
      </c>
      <c r="C11" s="291"/>
      <c r="D11" s="107"/>
      <c r="E11" s="107"/>
      <c r="F11" s="107"/>
      <c r="G11" s="536"/>
      <c r="H11" s="291" t="str">
        <f t="shared" ref="H11:AM11" si="0">IFERROR(H10/C10-1,"")</f>
      </c>
      <c r="I11" s="107" t="str">
        <f t="shared" si="0"/>
      </c>
      <c r="J11" s="107" t="str">
        <f t="shared" si="0"/>
      </c>
      <c r="K11" s="107" t="str">
        <f t="shared" si="0"/>
      </c>
      <c r="L11" s="292" t="str">
        <f t="shared" si="0"/>
      </c>
      <c r="M11" s="291" t="str">
        <f t="shared" si="0"/>
      </c>
      <c r="N11" s="107" t="str">
        <f t="shared" si="0"/>
      </c>
      <c r="O11" s="107" t="str">
        <f t="shared" si="0"/>
      </c>
      <c r="P11" s="107" t="str">
        <f t="shared" si="0"/>
      </c>
      <c r="Q11" s="292" t="str">
        <f t="shared" si="0"/>
      </c>
      <c r="R11" s="291" t="str">
        <f t="shared" si="0"/>
      </c>
      <c r="S11" s="107" t="str">
        <f t="shared" si="0"/>
      </c>
      <c r="T11" s="107" t="str">
        <f t="shared" si="0"/>
      </c>
      <c r="U11" s="107" t="str">
        <f t="shared" si="0"/>
      </c>
      <c r="V11" s="292" t="str">
        <f t="shared" si="0"/>
      </c>
      <c r="W11" s="291" t="str">
        <f t="shared" si="0"/>
      </c>
      <c r="X11" s="107" t="str">
        <f t="shared" si="0"/>
      </c>
      <c r="Y11" s="107" t="str">
        <f t="shared" si="0"/>
      </c>
      <c r="Z11" s="107" t="str">
        <f t="shared" si="0"/>
      </c>
      <c r="AA11" s="292" t="str">
        <f t="shared" si="0"/>
      </c>
      <c r="AB11" s="291" t="str">
        <f t="shared" si="0"/>
      </c>
      <c r="AC11" s="107" t="str">
        <f t="shared" si="0"/>
      </c>
      <c r="AD11" s="107" t="str">
        <f t="shared" si="0"/>
      </c>
      <c r="AE11" s="107" t="str">
        <f t="shared" si="0"/>
      </c>
      <c r="AF11" s="292" t="str">
        <f t="shared" si="0"/>
      </c>
      <c r="AG11" s="291" t="str">
        <f t="shared" si="0"/>
      </c>
      <c r="AH11" s="107" t="str">
        <f t="shared" si="0"/>
      </c>
      <c r="AI11" s="107" t="str">
        <f t="shared" si="0"/>
      </c>
      <c r="AJ11" s="107" t="str">
        <f t="shared" si="0"/>
      </c>
      <c r="AK11" s="292" t="str">
        <f t="shared" si="0"/>
      </c>
      <c r="AL11" s="291" t="str">
        <f t="shared" si="0"/>
      </c>
      <c r="AM11" s="107" t="str">
        <f t="shared" si="0"/>
      </c>
      <c r="AN11" s="107" t="str">
        <f t="shared" ref="AN11:BS11" si="1">IFERROR(AN10/AI10-1,"")</f>
      </c>
      <c r="AO11" s="107" t="str">
        <f t="shared" si="1"/>
      </c>
      <c r="AP11" s="292" t="str">
        <f t="shared" si="1"/>
      </c>
      <c r="AQ11" s="291" t="str">
        <f t="shared" si="1"/>
      </c>
      <c r="AR11" s="107" t="str">
        <f t="shared" si="1"/>
      </c>
      <c r="AS11" s="107" t="str">
        <f t="shared" si="1"/>
      </c>
      <c r="AT11" s="107" t="str">
        <f t="shared" si="1"/>
      </c>
      <c r="AU11" s="292" t="str">
        <f t="shared" si="1"/>
      </c>
      <c r="AV11" s="291" t="str">
        <f t="shared" si="1"/>
      </c>
      <c r="AW11" s="107" t="str">
        <f t="shared" si="1"/>
      </c>
      <c r="AX11" s="107" t="str">
        <f t="shared" si="1"/>
      </c>
      <c r="AY11" s="107" t="str">
        <f t="shared" si="1"/>
      </c>
      <c r="AZ11" s="292" t="str">
        <f t="shared" si="1"/>
      </c>
      <c r="BA11" s="291" t="str">
        <f t="shared" si="1"/>
      </c>
      <c r="BB11" s="107" t="str">
        <f t="shared" si="1"/>
      </c>
      <c r="BC11" s="107" t="str">
        <f t="shared" si="1"/>
      </c>
      <c r="BD11" s="107" t="str">
        <f t="shared" si="1"/>
      </c>
      <c r="BE11" s="292" t="str">
        <f t="shared" si="1"/>
      </c>
      <c r="BF11" s="291" t="str">
        <f t="shared" si="1"/>
      </c>
      <c r="BG11" s="107" t="str">
        <f t="shared" si="1"/>
      </c>
      <c r="BH11" s="107" t="str">
        <f t="shared" si="1"/>
      </c>
      <c r="BI11" s="107" t="str">
        <f t="shared" si="1"/>
      </c>
      <c r="BJ11" s="292" t="str">
        <f t="shared" si="1"/>
      </c>
      <c r="BK11" s="291" t="str">
        <f t="shared" si="1"/>
      </c>
      <c r="BL11" s="107" t="str">
        <f t="shared" si="1"/>
      </c>
      <c r="BM11" s="107" t="str">
        <f t="shared" si="1"/>
      </c>
      <c r="BN11" s="107" t="str">
        <f t="shared" si="1"/>
      </c>
      <c r="BO11" s="292" t="str">
        <f t="shared" si="1"/>
      </c>
      <c r="BP11" s="291" t="str">
        <f t="shared" si="1"/>
      </c>
      <c r="BQ11" s="107" t="str">
        <f t="shared" si="1"/>
      </c>
      <c r="BR11" s="107" t="str">
        <f t="shared" si="1"/>
      </c>
      <c r="BS11" s="107" t="str">
        <f t="shared" si="1"/>
      </c>
      <c r="BT11" s="292" t="str">
        <f t="shared" ref="BT11:CY11" si="2">IFERROR(BT10/BO10-1,"")</f>
      </c>
      <c r="BU11" s="291" t="str">
        <f t="shared" si="2"/>
      </c>
      <c r="BV11" s="107" t="str">
        <f t="shared" si="2"/>
      </c>
      <c r="BW11" s="107" t="str">
        <f t="shared" si="2"/>
      </c>
      <c r="BX11" s="107" t="str">
        <f t="shared" si="2"/>
      </c>
      <c r="BY11" s="292" t="str">
        <f t="shared" si="2"/>
      </c>
      <c r="BZ11" s="291" t="str">
        <f t="shared" si="2"/>
      </c>
      <c r="CA11" s="107" t="str">
        <f t="shared" si="2"/>
      </c>
      <c r="CB11" s="107" t="str">
        <f t="shared" si="2"/>
      </c>
      <c r="CC11" s="107" t="str">
        <f t="shared" si="2"/>
      </c>
      <c r="CD11" s="292" t="str">
        <f t="shared" si="2"/>
      </c>
      <c r="CE11" s="291" t="str">
        <f t="shared" si="2"/>
      </c>
      <c r="CF11" s="107" t="str">
        <f t="shared" si="2"/>
      </c>
      <c r="CG11" s="107" t="str">
        <f t="shared" si="2"/>
      </c>
      <c r="CH11" s="107" t="str">
        <f t="shared" si="2"/>
      </c>
      <c r="CI11" s="292" t="str">
        <f t="shared" si="2"/>
      </c>
      <c r="CJ11" s="291" t="str">
        <f t="shared" si="2"/>
      </c>
      <c r="CK11" s="107" t="str">
        <f t="shared" si="2"/>
      </c>
      <c r="CL11" s="107" t="str">
        <f t="shared" si="2"/>
      </c>
      <c r="CM11" s="107" t="str">
        <f t="shared" si="2"/>
      </c>
      <c r="CN11" s="292" t="str">
        <f t="shared" si="2"/>
      </c>
      <c r="CO11" s="291" t="str">
        <f t="shared" si="2"/>
      </c>
      <c r="CP11" s="107" t="str">
        <f t="shared" si="2"/>
      </c>
      <c r="CQ11" s="107" t="str">
        <f t="shared" si="2"/>
      </c>
      <c r="CR11" s="107" t="str">
        <f t="shared" si="2"/>
      </c>
      <c r="CS11" s="292" t="str">
        <f t="shared" si="2"/>
      </c>
      <c r="CT11" s="291" t="str">
        <f t="shared" si="2"/>
      </c>
      <c r="CU11" s="107" t="str">
        <f t="shared" si="2"/>
      </c>
      <c r="CV11" s="107" t="str">
        <f t="shared" si="2"/>
      </c>
      <c r="CW11" s="107" t="str">
        <f t="shared" si="2"/>
      </c>
      <c r="CX11" s="292" t="str">
        <f t="shared" si="2"/>
      </c>
      <c r="CY11" s="291" t="str">
        <f t="shared" si="2"/>
      </c>
      <c r="CZ11" s="107" t="str">
        <f t="shared" ref="CZ11:EE11" si="3">IFERROR(CZ10/CU10-1,"")</f>
      </c>
      <c r="DA11" s="107" t="str">
        <f t="shared" si="3"/>
      </c>
      <c r="DB11" s="107" t="str">
        <f t="shared" si="3"/>
      </c>
      <c r="DC11" s="292" t="str">
        <f t="shared" si="3"/>
      </c>
      <c r="DD11" s="291"/>
      <c r="DE11" s="107"/>
      <c r="DF11" s="107"/>
      <c r="DG11" s="107"/>
      <c r="DH11" s="292"/>
      <c r="DI11" s="291" t="str">
        <f t="shared" si="3"/>
      </c>
      <c r="DJ11" s="107" t="str">
        <f t="shared" si="3"/>
      </c>
      <c r="DK11" s="107" t="str">
        <f t="shared" si="3"/>
      </c>
      <c r="DL11" s="107" t="str">
        <f t="shared" si="3"/>
      </c>
      <c r="DM11" s="292" t="str">
        <f t="shared" si="3"/>
      </c>
      <c r="DN11" s="291">
        <f t="shared" si="3"/>
      </c>
      <c r="DO11" s="107">
        <f t="shared" si="3"/>
      </c>
      <c r="DP11" s="107">
        <f t="shared" si="3"/>
      </c>
      <c r="DQ11" s="107">
        <f t="shared" si="3"/>
      </c>
      <c r="DR11" s="292">
        <f t="shared" si="3"/>
      </c>
      <c r="DS11" s="291">
        <f t="shared" si="3"/>
      </c>
      <c r="DT11" s="107">
        <f t="shared" si="3"/>
      </c>
      <c r="DU11" s="107">
        <f t="shared" si="3"/>
      </c>
      <c r="DV11" s="107">
        <f t="shared" si="3"/>
      </c>
      <c r="DW11" s="292">
        <f t="shared" si="3"/>
      </c>
      <c r="DX11" s="291">
        <f t="shared" si="3"/>
      </c>
      <c r="DY11" s="107">
        <f t="shared" si="3"/>
      </c>
      <c r="DZ11" s="107">
        <f t="shared" si="3"/>
      </c>
      <c r="EA11" s="107">
        <f t="shared" si="3"/>
      </c>
      <c r="EB11" s="292">
        <f t="shared" si="3"/>
      </c>
      <c r="EC11" s="291">
        <f t="shared" si="3"/>
      </c>
      <c r="ED11" s="107">
        <f t="shared" si="3"/>
      </c>
      <c r="EE11" s="107">
        <f t="shared" si="3"/>
      </c>
      <c r="EF11" s="107">
        <f t="shared" ref="EF11:ET11" si="4">IFERROR(EF10/EA10-1,"")</f>
      </c>
      <c r="EG11" s="292">
        <f t="shared" si="4"/>
      </c>
      <c r="EH11" s="291">
        <f t="shared" si="4"/>
      </c>
      <c r="EI11" s="107">
        <f t="shared" si="4"/>
      </c>
      <c r="EJ11" s="107">
        <f t="shared" si="4"/>
      </c>
      <c r="EK11" s="107">
        <f t="shared" si="4"/>
      </c>
      <c r="EL11" s="292">
        <f t="shared" si="4"/>
      </c>
      <c r="EM11" s="291">
        <f t="shared" si="4"/>
      </c>
      <c r="EN11" s="107">
        <f t="shared" si="4"/>
      </c>
      <c r="EO11" s="107">
        <f t="shared" si="4"/>
      </c>
      <c r="EP11" s="107">
        <f t="shared" si="4"/>
      </c>
      <c r="EQ11" s="292">
        <f t="shared" si="4"/>
      </c>
      <c r="ER11" s="291">
        <f t="shared" si="4"/>
      </c>
      <c r="ES11" s="107">
        <f t="shared" si="4"/>
      </c>
      <c r="ET11" s="468">
        <f t="shared" si="4"/>
      </c>
      <c r="EU11" s="468">
        <f>IFERROR(EU10/EP10-1,"")</f>
      </c>
      <c r="EV11" s="292">
        <f>IFERROR(EV10/EQ10-1,"")</f>
      </c>
      <c r="EW11" s="349">
        <f t="shared" ref="EW11:EY11" si="5">IFERROR(EW10/ER10-1,"")</f>
      </c>
      <c r="EX11" s="468">
        <f t="shared" si="5"/>
      </c>
      <c r="EY11" s="468">
        <f t="shared" si="5"/>
      </c>
      <c r="EZ11" s="468">
        <f>IFERROR(EZ10/EU10-1,"")</f>
      </c>
      <c r="FA11" s="292">
        <f>IFERROR(FA10/EV10-1,"")</f>
      </c>
      <c r="FB11" s="291"/>
      <c r="FC11" s="107"/>
      <c r="FD11" s="107"/>
      <c r="FE11" s="107"/>
      <c r="FF11" s="292"/>
      <c r="FG11" s="291"/>
      <c r="FH11" s="107"/>
      <c r="FI11" s="107"/>
      <c r="FJ11" s="107"/>
      <c r="FK11" s="292"/>
      <c r="FL11" s="291"/>
      <c r="FM11" s="107"/>
      <c r="FN11" s="107"/>
      <c r="FO11" s="107"/>
      <c r="FP11" s="292"/>
      <c r="FQ11" s="291"/>
      <c r="FR11" s="107"/>
      <c r="FS11" s="107"/>
      <c r="FT11" s="107"/>
      <c r="FU11" s="292"/>
      <c r="FV11" s="291"/>
      <c r="FW11" s="107"/>
      <c r="FX11" s="107"/>
      <c r="FY11" s="107"/>
      <c r="FZ11" s="292"/>
      <c r="GA11" s="291"/>
      <c r="GB11" s="107"/>
      <c r="GC11" s="107"/>
      <c r="GD11" s="107"/>
      <c r="GE11" s="292"/>
      <c r="GF11" s="291"/>
      <c r="GG11" s="107"/>
      <c r="GH11" s="107"/>
      <c r="GI11" s="107"/>
      <c r="GJ11" s="292"/>
    </row>
    <row r="12" spans="1:192" ht="12.75" hidden="1" customHeight="1" outlineLevel="1">
      <c r="B12" s="617" t="s">
        <v>36</v>
      </c>
      <c r="C12" s="291"/>
      <c r="D12" s="137"/>
      <c r="E12" s="137"/>
      <c r="F12" s="137"/>
      <c r="G12" s="538"/>
      <c r="H12" s="291" t="str">
        <f>IFERROR(H10/F10-1,"")</f>
      </c>
      <c r="I12" s="107" t="str">
        <f>IFERROR(I10/H10-1,"")</f>
      </c>
      <c r="J12" s="107" t="str">
        <f>IFERROR(J10/I10-1,"")</f>
      </c>
      <c r="K12" s="107" t="str">
        <f>IFERROR(K10/J10-1,"")</f>
      </c>
      <c r="L12" s="293"/>
      <c r="M12" s="291" t="str">
        <f>IFERROR(M10/K10-1,"")</f>
      </c>
      <c r="N12" s="107" t="str">
        <f>IFERROR(N10/M10-1,"")</f>
      </c>
      <c r="O12" s="107" t="str">
        <f>IFERROR(O10/N10-1,"")</f>
      </c>
      <c r="P12" s="107" t="str">
        <f>IFERROR(P10/O10-1,"")</f>
      </c>
      <c r="Q12" s="293"/>
      <c r="R12" s="291" t="str">
        <f>IFERROR(R10/P10-1,"")</f>
      </c>
      <c r="S12" s="107" t="str">
        <f>IFERROR(S10/R10-1,"")</f>
      </c>
      <c r="T12" s="107" t="str">
        <f>IFERROR(T10/S10-1,"")</f>
      </c>
      <c r="U12" s="107" t="str">
        <f>IFERROR(U10/T10-1,"")</f>
      </c>
      <c r="V12" s="293"/>
      <c r="W12" s="291" t="str">
        <f>IFERROR(W10/U10-1,"")</f>
      </c>
      <c r="X12" s="107" t="str">
        <f>IFERROR(X10/W10-1,"")</f>
      </c>
      <c r="Y12" s="107" t="str">
        <f>IFERROR(Y10/X10-1,"")</f>
      </c>
      <c r="Z12" s="107" t="str">
        <f>IFERROR(Z10/Y10-1,"")</f>
      </c>
      <c r="AA12" s="293"/>
      <c r="AB12" s="291" t="str">
        <f>IFERROR(AB10/Z10-1,"")</f>
      </c>
      <c r="AC12" s="107" t="str">
        <f>IFERROR(AC10/AB10-1,"")</f>
      </c>
      <c r="AD12" s="107" t="str">
        <f>IFERROR(AD10/AC10-1,"")</f>
      </c>
      <c r="AE12" s="107" t="str">
        <f>IFERROR(AE10/AD10-1,"")</f>
      </c>
      <c r="AF12" s="293"/>
      <c r="AG12" s="291" t="str">
        <f>IFERROR(AG10/AE10-1,"")</f>
      </c>
      <c r="AH12" s="107" t="str">
        <f>IFERROR(AH10/AG10-1,"")</f>
      </c>
      <c r="AI12" s="107" t="str">
        <f>IFERROR(AI10/AH10-1,"")</f>
      </c>
      <c r="AJ12" s="107" t="str">
        <f>IFERROR(AJ10/AI10-1,"")</f>
      </c>
      <c r="AK12" s="293"/>
      <c r="AL12" s="291" t="str">
        <f>IFERROR(AL10/AJ10-1,"")</f>
      </c>
      <c r="AM12" s="107" t="str">
        <f>IFERROR(AM10/AL10-1,"")</f>
      </c>
      <c r="AN12" s="107" t="str">
        <f>IFERROR(AN10/AM10-1,"")</f>
      </c>
      <c r="AO12" s="107" t="str">
        <f>IFERROR(AO10/AN10-1,"")</f>
      </c>
      <c r="AP12" s="293"/>
      <c r="AQ12" s="291" t="str">
        <f>IFERROR(AQ10/AO10-1,"")</f>
      </c>
      <c r="AR12" s="107" t="str">
        <f>IFERROR(AR10/AQ10-1,"")</f>
      </c>
      <c r="AS12" s="107" t="str">
        <f>IFERROR(AS10/AR10-1,"")</f>
      </c>
      <c r="AT12" s="107" t="str">
        <f>IFERROR(AT10/AS10-1,"")</f>
      </c>
      <c r="AU12" s="293"/>
      <c r="AV12" s="291" t="str">
        <f>IFERROR(AV10/AT10-1,"")</f>
      </c>
      <c r="AW12" s="107" t="str">
        <f>IFERROR(AW10/AV10-1,"")</f>
      </c>
      <c r="AX12" s="107" t="str">
        <f>IFERROR(AX10/AW10-1,"")</f>
      </c>
      <c r="AY12" s="107" t="str">
        <f>IFERROR(AY10/AX10-1,"")</f>
      </c>
      <c r="AZ12" s="293"/>
      <c r="BA12" s="291" t="str">
        <f>IFERROR(BA10/AY10-1,"")</f>
      </c>
      <c r="BB12" s="107" t="str">
        <f>IFERROR(BB10/BA10-1,"")</f>
      </c>
      <c r="BC12" s="107" t="str">
        <f>IFERROR(BC10/BB10-1,"")</f>
      </c>
      <c r="BD12" s="107" t="str">
        <f>IFERROR(BD10/BC10-1,"")</f>
      </c>
      <c r="BE12" s="293"/>
      <c r="BF12" s="291" t="str">
        <f>IFERROR(BF10/BD10-1,"")</f>
      </c>
      <c r="BG12" s="107" t="str">
        <f>IFERROR(BG10/BF10-1,"")</f>
      </c>
      <c r="BH12" s="107" t="str">
        <f>IFERROR(BH10/BG10-1,"")</f>
      </c>
      <c r="BI12" s="107" t="str">
        <f>IFERROR(BI10/BH10-1,"")</f>
      </c>
      <c r="BJ12" s="293"/>
      <c r="BK12" s="291" t="str">
        <f>IFERROR(BK10/BI10-1,"")</f>
      </c>
      <c r="BL12" s="107" t="str">
        <f>IFERROR(BL10/BK10-1,"")</f>
      </c>
      <c r="BM12" s="107" t="str">
        <f>IFERROR(BM10/BL10-1,"")</f>
      </c>
      <c r="BN12" s="107" t="str">
        <f>IFERROR(BN10/BM10-1,"")</f>
      </c>
      <c r="BO12" s="293"/>
      <c r="BP12" s="291" t="str">
        <f>IFERROR(BP10/BN10-1,"")</f>
      </c>
      <c r="BQ12" s="107" t="str">
        <f>IFERROR(BQ10/BP10-1,"")</f>
      </c>
      <c r="BR12" s="107" t="str">
        <f>IFERROR(BR10/BQ10-1,"")</f>
      </c>
      <c r="BS12" s="107" t="str">
        <f>IFERROR(BS10/BR10-1,"")</f>
      </c>
      <c r="BT12" s="293"/>
      <c r="BU12" s="291" t="str">
        <f>IFERROR(BU10/BS10-1,"")</f>
      </c>
      <c r="BV12" s="107" t="str">
        <f>IFERROR(BV10/BU10-1,"")</f>
      </c>
      <c r="BW12" s="107" t="str">
        <f>IFERROR(BW10/BV10-1,"")</f>
      </c>
      <c r="BX12" s="107" t="str">
        <f>IFERROR(BX10/BW10-1,"")</f>
      </c>
      <c r="BY12" s="293"/>
      <c r="BZ12" s="291" t="str">
        <f>IFERROR(BZ10/BX10-1,"")</f>
      </c>
      <c r="CA12" s="107" t="str">
        <f>IFERROR(CA10/BZ10-1,"")</f>
      </c>
      <c r="CB12" s="107" t="str">
        <f>IFERROR(CB10/CA10-1,"")</f>
      </c>
      <c r="CC12" s="107" t="str">
        <f>IFERROR(CC10/CB10-1,"")</f>
      </c>
      <c r="CD12" s="293"/>
      <c r="CE12" s="291" t="str">
        <f>IFERROR(CE10/CC10-1,"")</f>
      </c>
      <c r="CF12" s="107" t="str">
        <f>IFERROR(CF10/CE10-1,"")</f>
      </c>
      <c r="CG12" s="107" t="str">
        <f>IFERROR(CG10/CF10-1,"")</f>
      </c>
      <c r="CH12" s="107" t="str">
        <f>IFERROR(CH10/CG10-1,"")</f>
      </c>
      <c r="CI12" s="293"/>
      <c r="CJ12" s="291" t="str">
        <f>IFERROR(CJ10/CH10-1,"")</f>
      </c>
      <c r="CK12" s="107" t="str">
        <f>IFERROR(CK10/CJ10-1,"")</f>
      </c>
      <c r="CL12" s="107" t="str">
        <f>IFERROR(CL10/CK10-1,"")</f>
      </c>
      <c r="CM12" s="107" t="str">
        <f>IFERROR(CM10/CL10-1,"")</f>
      </c>
      <c r="CN12" s="293"/>
      <c r="CO12" s="291" t="str">
        <f>IFERROR(CO10/CM10-1,"")</f>
      </c>
      <c r="CP12" s="107" t="str">
        <f>IFERROR(CP10/CO10-1,"")</f>
      </c>
      <c r="CQ12" s="107" t="str">
        <f>IFERROR(CQ10/CP10-1,"")</f>
      </c>
      <c r="CR12" s="107" t="str">
        <f>IFERROR(CR10/CQ10-1,"")</f>
      </c>
      <c r="CS12" s="293"/>
      <c r="CT12" s="291" t="str">
        <f>IFERROR(CT10/CR10-1,"")</f>
      </c>
      <c r="CU12" s="107" t="str">
        <f>IFERROR(CU10/CT10-1,"")</f>
      </c>
      <c r="CV12" s="107" t="str">
        <f>IFERROR(CV10/CU10-1,"")</f>
      </c>
      <c r="CW12" s="107" t="str">
        <f>IFERROR(CW10/CV10-1,"")</f>
      </c>
      <c r="CX12" s="293"/>
      <c r="CY12" s="291" t="str">
        <f>IFERROR(CY10/CW10-1,"")</f>
      </c>
      <c r="CZ12" s="107" t="str">
        <f>IFERROR(CZ10/CY10-1,"")</f>
      </c>
      <c r="DA12" s="107" t="str">
        <f>IFERROR(DA10/CZ10-1,"")</f>
      </c>
      <c r="DB12" s="107" t="str">
        <f>IFERROR(DB10/DA10-1,"")</f>
      </c>
      <c r="DC12" s="293"/>
      <c r="DD12" s="291"/>
      <c r="DE12" s="107"/>
      <c r="DF12" s="107"/>
      <c r="DG12" s="107"/>
      <c r="DH12" s="293"/>
      <c r="DI12" s="291" t="str">
        <f>IFERROR(DI10/DG10-1,"")</f>
      </c>
      <c r="DJ12" s="107">
        <f>IFERROR(DJ10/DI10-1,"")</f>
      </c>
      <c r="DK12" s="107">
        <f>IFERROR(DK10/DJ10-1,"")</f>
      </c>
      <c r="DL12" s="107">
        <f>IFERROR(DL10/DK10-1,"")</f>
      </c>
      <c r="DM12" s="293"/>
      <c r="DN12" s="291">
        <f>IFERROR(DN10/DL10-1,"")</f>
      </c>
      <c r="DO12" s="107">
        <f>IFERROR(DO10/DN10-1,"")</f>
      </c>
      <c r="DP12" s="107">
        <f>IFERROR(DP10/DO10-1,"")</f>
      </c>
      <c r="DQ12" s="107">
        <f>IFERROR(DQ10/DP10-1,"")</f>
      </c>
      <c r="DR12" s="293"/>
      <c r="DS12" s="291">
        <f>IFERROR(DS10/DQ10-1,"")</f>
      </c>
      <c r="DT12" s="107">
        <f>IFERROR(DT10/DS10-1,"")</f>
      </c>
      <c r="DU12" s="107">
        <f>IFERROR(DU10/DT10-1,"")</f>
      </c>
      <c r="DV12" s="107">
        <f>IFERROR(DV10/DU10-1,"")</f>
      </c>
      <c r="DW12" s="293"/>
      <c r="DX12" s="291">
        <f>IFERROR(DX10/DV10-1,"")</f>
      </c>
      <c r="DY12" s="107">
        <f>IFERROR(DY10/DX10-1,"")</f>
      </c>
      <c r="DZ12" s="107">
        <f>IFERROR(DZ10/DY10-1,"")</f>
      </c>
      <c r="EA12" s="107">
        <f>IFERROR(EA10/DZ10-1,"")</f>
      </c>
      <c r="EB12" s="293"/>
      <c r="EC12" s="291">
        <f>IFERROR(EC10/EA10-1,"")</f>
      </c>
      <c r="ED12" s="107">
        <f>IFERROR(ED10/EC10-1,"")</f>
      </c>
      <c r="EE12" s="107">
        <f>IFERROR(EE10/ED10-1,"")</f>
      </c>
      <c r="EF12" s="107">
        <f>IFERROR(EF10/EE10-1,"")</f>
      </c>
      <c r="EG12" s="293"/>
      <c r="EH12" s="291">
        <f>IFERROR(EH10/EF10-1,"")</f>
      </c>
      <c r="EI12" s="107">
        <f>IFERROR(EI10/EH10-1,"")</f>
      </c>
      <c r="EJ12" s="107">
        <f>IFERROR(EJ10/EI10-1,"")</f>
      </c>
      <c r="EK12" s="107">
        <f>IFERROR(EK10/EJ10-1,"")</f>
      </c>
      <c r="EL12" s="293"/>
      <c r="EM12" s="291">
        <f>IFERROR(EM10/EK10-1,"")</f>
      </c>
      <c r="EN12" s="107">
        <f>IFERROR(EN10/EM10-1,"")</f>
      </c>
      <c r="EO12" s="107">
        <f>IFERROR(EO10/EN10-1,"")</f>
      </c>
      <c r="EP12" s="107">
        <f>IFERROR(EP10/EO10-1,"")</f>
      </c>
      <c r="EQ12" s="293"/>
      <c r="ER12" s="291">
        <f>IFERROR(ER10/EP10-1,"")</f>
      </c>
      <c r="ES12" s="107">
        <f>IFERROR(ES10/ER10-1,"")</f>
      </c>
      <c r="ET12" s="468">
        <f>IFERROR(ET10/ES10-1,"")</f>
      </c>
      <c r="EU12" s="468">
        <f>IFERROR(EU10/ET10-1,"")</f>
      </c>
      <c r="EV12" s="293"/>
      <c r="EW12" s="349">
        <f>IFERROR(EW10/EU10-1,"")</f>
      </c>
      <c r="EX12" s="468">
        <f>IFERROR(EX10/EW10-1,"")</f>
      </c>
      <c r="EY12" s="468">
        <f>IFERROR(EY10/EX10-1,"")</f>
      </c>
      <c r="EZ12" s="468">
        <f>IFERROR(EZ10/EY10-1,"")</f>
      </c>
      <c r="FA12" s="293"/>
      <c r="FB12" s="291"/>
      <c r="FC12" s="107"/>
      <c r="FD12" s="107"/>
      <c r="FE12" s="107"/>
      <c r="FF12" s="293"/>
      <c r="FG12" s="291"/>
      <c r="FH12" s="107"/>
      <c r="FI12" s="107"/>
      <c r="FJ12" s="107"/>
      <c r="FK12" s="293"/>
      <c r="FL12" s="291"/>
      <c r="FM12" s="107"/>
      <c r="FN12" s="107"/>
      <c r="FO12" s="107"/>
      <c r="FP12" s="293"/>
      <c r="FQ12" s="291"/>
      <c r="FR12" s="107"/>
      <c r="FS12" s="107"/>
      <c r="FT12" s="107"/>
      <c r="FU12" s="293"/>
      <c r="FV12" s="291"/>
      <c r="FW12" s="107"/>
      <c r="FX12" s="107"/>
      <c r="FY12" s="107"/>
      <c r="FZ12" s="293"/>
      <c r="GA12" s="291"/>
      <c r="GB12" s="107"/>
      <c r="GC12" s="107"/>
      <c r="GD12" s="107"/>
      <c r="GE12" s="293"/>
      <c r="GF12" s="291"/>
      <c r="GG12" s="107"/>
      <c r="GH12" s="107"/>
      <c r="GI12" s="107"/>
      <c r="GJ12" s="293"/>
    </row>
    <row r="13" spans="1:192" ht="12.75" hidden="1" customHeight="1" outlineLevel="1">
      <c r="B13" s="617" t="s">
        <v>243</v>
      </c>
      <c r="C13" s="291"/>
      <c r="D13" s="137"/>
      <c r="E13" s="137"/>
      <c r="F13" s="137"/>
      <c r="G13" s="538"/>
      <c r="H13" s="291"/>
      <c r="I13" s="107"/>
      <c r="J13" s="107"/>
      <c r="K13" s="107"/>
      <c r="L13" s="293"/>
      <c r="M13" s="291"/>
      <c r="N13" s="107"/>
      <c r="O13" s="107"/>
      <c r="P13" s="107"/>
      <c r="Q13" s="293"/>
      <c r="R13" s="291"/>
      <c r="S13" s="107"/>
      <c r="T13" s="107"/>
      <c r="U13" s="107"/>
      <c r="V13" s="293"/>
      <c r="W13" s="291"/>
      <c r="X13" s="107"/>
      <c r="Y13" s="107"/>
      <c r="Z13" s="107"/>
      <c r="AA13" s="293"/>
      <c r="AB13" s="291"/>
      <c r="AC13" s="107"/>
      <c r="AD13" s="107"/>
      <c r="AE13" s="107"/>
      <c r="AF13" s="293"/>
      <c r="AG13" s="291"/>
      <c r="AH13" s="107"/>
      <c r="AI13" s="107"/>
      <c r="AJ13" s="107"/>
      <c r="AK13" s="293"/>
      <c r="AL13" s="291"/>
      <c r="AM13" s="107"/>
      <c r="AN13" s="107"/>
      <c r="AO13" s="107"/>
      <c r="AP13" s="293"/>
      <c r="AQ13" s="291"/>
      <c r="AR13" s="107"/>
      <c r="AS13" s="107"/>
      <c r="AT13" s="107"/>
      <c r="AU13" s="293"/>
      <c r="AV13" s="291"/>
      <c r="AW13" s="107"/>
      <c r="AX13" s="107"/>
      <c r="AY13" s="107"/>
      <c r="AZ13" s="293"/>
      <c r="BA13" s="291"/>
      <c r="BB13" s="107"/>
      <c r="BC13" s="107"/>
      <c r="BD13" s="107"/>
      <c r="BE13" s="293"/>
      <c r="BF13" s="291"/>
      <c r="BG13" s="107"/>
      <c r="BH13" s="107"/>
      <c r="BI13" s="107"/>
      <c r="BJ13" s="293"/>
      <c r="BK13" s="291"/>
      <c r="BL13" s="107"/>
      <c r="BM13" s="107"/>
      <c r="BN13" s="107"/>
      <c r="BO13" s="293"/>
      <c r="BP13" s="291"/>
      <c r="BQ13" s="107"/>
      <c r="BR13" s="107"/>
      <c r="BS13" s="107"/>
      <c r="BT13" s="293"/>
      <c r="BU13" s="291"/>
      <c r="BV13" s="107"/>
      <c r="BW13" s="107"/>
      <c r="BX13" s="107"/>
      <c r="BY13" s="293"/>
      <c r="BZ13" s="291"/>
      <c r="CA13" s="107"/>
      <c r="CB13" s="107"/>
      <c r="CC13" s="107"/>
      <c r="CD13" s="293"/>
      <c r="CE13" s="291"/>
      <c r="CF13" s="107"/>
      <c r="CG13" s="107"/>
      <c r="CH13" s="107"/>
      <c r="CI13" s="293"/>
      <c r="CJ13" s="291"/>
      <c r="CK13" s="107"/>
      <c r="CL13" s="107"/>
      <c r="CM13" s="107"/>
      <c r="CN13" s="293"/>
      <c r="CO13" s="291"/>
      <c r="CP13" s="107"/>
      <c r="CQ13" s="107"/>
      <c r="CR13" s="107"/>
      <c r="CS13" s="293"/>
      <c r="CT13" s="291"/>
      <c r="CU13" s="107"/>
      <c r="CV13" s="107"/>
      <c r="CW13" s="107"/>
      <c r="CX13" s="293"/>
      <c r="CY13" s="291"/>
      <c r="CZ13" s="107"/>
      <c r="DA13" s="107"/>
      <c r="DB13" s="107"/>
      <c r="DC13" s="293"/>
      <c r="DD13" s="291"/>
      <c r="DE13" s="107"/>
      <c r="DF13" s="107"/>
      <c r="DG13" s="107"/>
      <c r="DH13" s="293"/>
      <c r="DI13" s="463"/>
      <c r="DJ13" s="463"/>
      <c r="DK13" s="463"/>
      <c r="DL13" s="463"/>
      <c r="DM13" s="466"/>
      <c r="DN13" s="463">
        <f t="shared" ref="DN13:ET13" si="6">DN10-DI10</f>
      </c>
      <c r="DO13" s="463">
        <f t="shared" si="6"/>
      </c>
      <c r="DP13" s="463">
        <f t="shared" si="6"/>
      </c>
      <c r="DQ13" s="463">
        <f t="shared" si="6"/>
      </c>
      <c r="DR13" s="466">
        <f t="shared" si="6"/>
      </c>
      <c r="DS13" s="463">
        <f t="shared" si="6"/>
      </c>
      <c r="DT13" s="463">
        <f t="shared" si="6"/>
      </c>
      <c r="DU13" s="463">
        <f t="shared" si="6"/>
      </c>
      <c r="DV13" s="463">
        <f t="shared" si="6"/>
      </c>
      <c r="DW13" s="466">
        <f t="shared" si="6"/>
      </c>
      <c r="DX13" s="463">
        <f t="shared" si="6"/>
      </c>
      <c r="DY13" s="463">
        <f t="shared" si="6"/>
      </c>
      <c r="DZ13" s="463">
        <f t="shared" si="6"/>
      </c>
      <c r="EA13" s="463">
        <f t="shared" si="6"/>
      </c>
      <c r="EB13" s="466">
        <f t="shared" si="6"/>
      </c>
      <c r="EC13" s="463">
        <f t="shared" si="6"/>
      </c>
      <c r="ED13" s="463">
        <f t="shared" si="6"/>
      </c>
      <c r="EE13" s="463">
        <f t="shared" si="6"/>
      </c>
      <c r="EF13" s="463">
        <f t="shared" si="6"/>
      </c>
      <c r="EG13" s="466">
        <f t="shared" si="6"/>
      </c>
      <c r="EH13" s="463">
        <f t="shared" si="6"/>
      </c>
      <c r="EI13" s="463">
        <f t="shared" si="6"/>
      </c>
      <c r="EJ13" s="463">
        <f t="shared" si="6"/>
      </c>
      <c r="EK13" s="463">
        <f t="shared" si="6"/>
      </c>
      <c r="EL13" s="466">
        <f t="shared" si="6"/>
      </c>
      <c r="EM13" s="463">
        <f t="shared" si="6"/>
      </c>
      <c r="EN13" s="463">
        <f t="shared" si="6"/>
      </c>
      <c r="EO13" s="463">
        <f t="shared" si="6"/>
      </c>
      <c r="EP13" s="463">
        <f t="shared" si="6"/>
      </c>
      <c r="EQ13" s="466">
        <f t="shared" si="6"/>
      </c>
      <c r="ER13" s="463">
        <f t="shared" si="6"/>
      </c>
      <c r="ES13" s="463">
        <f t="shared" si="6"/>
      </c>
      <c r="ET13" s="1399">
        <f t="shared" si="6"/>
      </c>
      <c r="EU13" s="1399">
        <f>EU10-EP10</f>
      </c>
      <c r="EV13" s="466">
        <f>EV10-EQ10</f>
      </c>
      <c r="EW13" s="1399">
        <f t="shared" ref="EW13:EY13" si="7">EW10-ER10</f>
      </c>
      <c r="EX13" s="1399">
        <f t="shared" si="7"/>
      </c>
      <c r="EY13" s="1399">
        <f t="shared" si="7"/>
      </c>
      <c r="EZ13" s="1399">
        <f>EZ10-EU10</f>
      </c>
      <c r="FA13" s="466">
        <f>FA10-EV10</f>
      </c>
      <c r="FB13" s="291"/>
      <c r="FC13" s="107"/>
      <c r="FD13" s="107"/>
      <c r="FE13" s="107"/>
      <c r="FF13" s="293"/>
      <c r="FG13" s="291"/>
      <c r="FH13" s="107"/>
      <c r="FI13" s="107"/>
      <c r="FJ13" s="107"/>
      <c r="FK13" s="293"/>
      <c r="FL13" s="291"/>
      <c r="FM13" s="107"/>
      <c r="FN13" s="107"/>
      <c r="FO13" s="107"/>
      <c r="FP13" s="293"/>
      <c r="FQ13" s="291"/>
      <c r="FR13" s="107"/>
      <c r="FS13" s="107"/>
      <c r="FT13" s="107"/>
      <c r="FU13" s="293"/>
      <c r="FV13" s="291"/>
      <c r="FW13" s="107"/>
      <c r="FX13" s="107"/>
      <c r="FY13" s="107"/>
      <c r="FZ13" s="293"/>
      <c r="GA13" s="291"/>
      <c r="GB13" s="107"/>
      <c r="GC13" s="107"/>
      <c r="GD13" s="107"/>
      <c r="GE13" s="293"/>
      <c r="GF13" s="291"/>
      <c r="GG13" s="107"/>
      <c r="GH13" s="107"/>
      <c r="GI13" s="107"/>
      <c r="GJ13" s="293"/>
    </row>
    <row r="14" spans="1:192" ht="12.75" hidden="1" customHeight="1" outlineLevel="1">
      <c r="B14" s="617" t="s">
        <v>244</v>
      </c>
      <c r="C14" s="291"/>
      <c r="D14" s="137"/>
      <c r="E14" s="137"/>
      <c r="F14" s="137"/>
      <c r="G14" s="538"/>
      <c r="H14" s="291"/>
      <c r="I14" s="107"/>
      <c r="J14" s="107"/>
      <c r="K14" s="107"/>
      <c r="L14" s="293"/>
      <c r="M14" s="291"/>
      <c r="N14" s="107"/>
      <c r="O14" s="107"/>
      <c r="P14" s="107"/>
      <c r="Q14" s="293"/>
      <c r="R14" s="291"/>
      <c r="S14" s="107"/>
      <c r="T14" s="107"/>
      <c r="U14" s="107"/>
      <c r="V14" s="293"/>
      <c r="W14" s="291"/>
      <c r="X14" s="107"/>
      <c r="Y14" s="107"/>
      <c r="Z14" s="107"/>
      <c r="AA14" s="293"/>
      <c r="AB14" s="291"/>
      <c r="AC14" s="107"/>
      <c r="AD14" s="107"/>
      <c r="AE14" s="107"/>
      <c r="AF14" s="293"/>
      <c r="AG14" s="291"/>
      <c r="AH14" s="107"/>
      <c r="AI14" s="107"/>
      <c r="AJ14" s="107"/>
      <c r="AK14" s="293"/>
      <c r="AL14" s="291"/>
      <c r="AM14" s="107"/>
      <c r="AN14" s="107"/>
      <c r="AO14" s="107"/>
      <c r="AP14" s="293"/>
      <c r="AQ14" s="291"/>
      <c r="AR14" s="107"/>
      <c r="AS14" s="107"/>
      <c r="AT14" s="107"/>
      <c r="AU14" s="293"/>
      <c r="AV14" s="291"/>
      <c r="AW14" s="107"/>
      <c r="AX14" s="107"/>
      <c r="AY14" s="107"/>
      <c r="AZ14" s="293"/>
      <c r="BA14" s="291"/>
      <c r="BB14" s="107"/>
      <c r="BC14" s="107"/>
      <c r="BD14" s="107"/>
      <c r="BE14" s="293"/>
      <c r="BF14" s="291"/>
      <c r="BG14" s="107"/>
      <c r="BH14" s="107"/>
      <c r="BI14" s="107"/>
      <c r="BJ14" s="293"/>
      <c r="BK14" s="291"/>
      <c r="BL14" s="107"/>
      <c r="BM14" s="107"/>
      <c r="BN14" s="107"/>
      <c r="BO14" s="293"/>
      <c r="BP14" s="291"/>
      <c r="BQ14" s="107"/>
      <c r="BR14" s="107"/>
      <c r="BS14" s="107"/>
      <c r="BT14" s="293"/>
      <c r="BU14" s="291"/>
      <c r="BV14" s="107"/>
      <c r="BW14" s="107"/>
      <c r="BX14" s="107"/>
      <c r="BY14" s="293"/>
      <c r="BZ14" s="291"/>
      <c r="CA14" s="107"/>
      <c r="CB14" s="107"/>
      <c r="CC14" s="107"/>
      <c r="CD14" s="293"/>
      <c r="CE14" s="291"/>
      <c r="CF14" s="107"/>
      <c r="CG14" s="107"/>
      <c r="CH14" s="107"/>
      <c r="CI14" s="293"/>
      <c r="CJ14" s="291"/>
      <c r="CK14" s="107"/>
      <c r="CL14" s="107"/>
      <c r="CM14" s="107"/>
      <c r="CN14" s="293"/>
      <c r="CO14" s="291"/>
      <c r="CP14" s="107"/>
      <c r="CQ14" s="107"/>
      <c r="CR14" s="107"/>
      <c r="CS14" s="293"/>
      <c r="CT14" s="291"/>
      <c r="CU14" s="107"/>
      <c r="CV14" s="107"/>
      <c r="CW14" s="107"/>
      <c r="CX14" s="293"/>
      <c r="CY14" s="291"/>
      <c r="CZ14" s="107"/>
      <c r="DA14" s="107"/>
      <c r="DB14" s="107"/>
      <c r="DC14" s="293"/>
      <c r="DD14" s="291"/>
      <c r="DE14" s="107"/>
      <c r="DF14" s="107"/>
      <c r="DG14" s="107"/>
      <c r="DH14" s="293"/>
      <c r="DI14" s="470"/>
      <c r="DJ14" s="463">
        <f>DJ10-DI10</f>
      </c>
      <c r="DK14" s="463">
        <f>DK10-DJ10</f>
      </c>
      <c r="DL14" s="463">
        <f>DL10-DK10</f>
      </c>
      <c r="DM14" s="293"/>
      <c r="DN14" s="470">
        <f>DN10-DL10</f>
      </c>
      <c r="DO14" s="463">
        <f>DO10-DN10</f>
      </c>
      <c r="DP14" s="463">
        <f>DP10-DO10</f>
      </c>
      <c r="DQ14" s="463">
        <f>DQ10-DP10</f>
      </c>
      <c r="DR14" s="293"/>
      <c r="DS14" s="470">
        <f>DS10-DQ10</f>
      </c>
      <c r="DT14" s="463">
        <f>DT10-DS10</f>
      </c>
      <c r="DU14" s="463">
        <f>DU10-DT10</f>
      </c>
      <c r="DV14" s="463">
        <f>DV10-DU10</f>
      </c>
      <c r="DW14" s="293"/>
      <c r="DX14" s="470">
        <f>DX10-DV10</f>
      </c>
      <c r="DY14" s="463">
        <f>DY10-DX10</f>
      </c>
      <c r="DZ14" s="463">
        <f>DZ10-DY10</f>
      </c>
      <c r="EA14" s="463">
        <f>EA10-DZ10</f>
      </c>
      <c r="EB14" s="293"/>
      <c r="EC14" s="470">
        <f>EC10-EA10</f>
      </c>
      <c r="ED14" s="463">
        <f>ED10-EC10</f>
      </c>
      <c r="EE14" s="463">
        <f>EE10-ED10</f>
      </c>
      <c r="EF14" s="463">
        <f>EF10-EE10</f>
      </c>
      <c r="EG14" s="293"/>
      <c r="EH14" s="470">
        <f>EH10-EF10</f>
      </c>
      <c r="EI14" s="463">
        <f>EI10-EH10</f>
      </c>
      <c r="EJ14" s="463">
        <f>EJ10-EI10</f>
      </c>
      <c r="EK14" s="463">
        <f>EK10-EJ10</f>
      </c>
      <c r="EL14" s="293"/>
      <c r="EM14" s="470">
        <f>EM10-EK10</f>
      </c>
      <c r="EN14" s="463">
        <f>EN10-EM10</f>
      </c>
      <c r="EO14" s="463">
        <f>EO10-EN10</f>
      </c>
      <c r="EP14" s="463">
        <f>EP10-EO10</f>
      </c>
      <c r="EQ14" s="293"/>
      <c r="ER14" s="470">
        <f>ER10-EP10</f>
      </c>
      <c r="ES14" s="463">
        <f>ES10-ER10</f>
      </c>
      <c r="ET14" s="1399">
        <f>ET10-ES10</f>
      </c>
      <c r="EU14" s="1399">
        <f>EU10-ET10</f>
      </c>
      <c r="EV14" s="293"/>
      <c r="EW14" s="1590">
        <f>EW10-EU10</f>
      </c>
      <c r="EX14" s="1399">
        <f>EX10-EW10</f>
      </c>
      <c r="EY14" s="1399">
        <f>EY10-EX10</f>
      </c>
      <c r="EZ14" s="1399">
        <f>EZ10-EY10</f>
      </c>
      <c r="FA14" s="293"/>
      <c r="FB14" s="291"/>
      <c r="FC14" s="107"/>
      <c r="FD14" s="107"/>
      <c r="FE14" s="107"/>
      <c r="FF14" s="293"/>
      <c r="FG14" s="291"/>
      <c r="FH14" s="107"/>
      <c r="FI14" s="107"/>
      <c r="FJ14" s="107"/>
      <c r="FK14" s="293"/>
      <c r="FL14" s="291"/>
      <c r="FM14" s="107"/>
      <c r="FN14" s="107"/>
      <c r="FO14" s="107"/>
      <c r="FP14" s="293"/>
      <c r="FQ14" s="291"/>
      <c r="FR14" s="107"/>
      <c r="FS14" s="107"/>
      <c r="FT14" s="107"/>
      <c r="FU14" s="293"/>
      <c r="FV14" s="291"/>
      <c r="FW14" s="107"/>
      <c r="FX14" s="107"/>
      <c r="FY14" s="107"/>
      <c r="FZ14" s="293"/>
      <c r="GA14" s="291"/>
      <c r="GB14" s="107"/>
      <c r="GC14" s="107"/>
      <c r="GD14" s="107"/>
      <c r="GE14" s="293"/>
      <c r="GF14" s="291"/>
      <c r="GG14" s="107"/>
      <c r="GH14" s="107"/>
      <c r="GI14" s="107"/>
      <c r="GJ14" s="293"/>
    </row>
    <row r="15" spans="1:192" ht="12.75" hidden="1" customHeight="1" outlineLevel="1">
      <c r="B15" s="928" t="s">
        <v>257</v>
      </c>
      <c r="C15" s="291"/>
      <c r="D15" s="291"/>
      <c r="E15" s="291"/>
      <c r="F15" s="291"/>
      <c r="G15" s="538"/>
      <c r="H15" s="291"/>
      <c r="I15" s="107"/>
      <c r="J15" s="107"/>
      <c r="K15" s="107"/>
      <c r="L15" s="293"/>
      <c r="M15" s="291"/>
      <c r="N15" s="107"/>
      <c r="O15" s="107"/>
      <c r="P15" s="107"/>
      <c r="Q15" s="293"/>
      <c r="R15" s="291"/>
      <c r="S15" s="107"/>
      <c r="T15" s="107"/>
      <c r="U15" s="107"/>
      <c r="V15" s="293"/>
      <c r="W15" s="291"/>
      <c r="X15" s="107"/>
      <c r="Y15" s="107"/>
      <c r="Z15" s="107"/>
      <c r="AA15" s="293"/>
      <c r="AB15" s="291"/>
      <c r="AC15" s="107"/>
      <c r="AD15" s="107"/>
      <c r="AE15" s="107"/>
      <c r="AF15" s="293"/>
      <c r="AG15" s="291"/>
      <c r="AH15" s="107"/>
      <c r="AI15" s="107"/>
      <c r="AJ15" s="107"/>
      <c r="AK15" s="293"/>
      <c r="AL15" s="291"/>
      <c r="AM15" s="107"/>
      <c r="AN15" s="107"/>
      <c r="AO15" s="107"/>
      <c r="AP15" s="293"/>
      <c r="AQ15" s="291"/>
      <c r="AR15" s="107"/>
      <c r="AS15" s="107"/>
      <c r="AT15" s="107"/>
      <c r="AU15" s="293"/>
      <c r="AV15" s="291"/>
      <c r="AW15" s="107"/>
      <c r="AX15" s="107"/>
      <c r="AY15" s="107"/>
      <c r="AZ15" s="293"/>
      <c r="BA15" s="291"/>
      <c r="BB15" s="107"/>
      <c r="BC15" s="107"/>
      <c r="BD15" s="107"/>
      <c r="BE15" s="293"/>
      <c r="BF15" s="291"/>
      <c r="BG15" s="107"/>
      <c r="BH15" s="107"/>
      <c r="BI15" s="107"/>
      <c r="BJ15" s="293"/>
      <c r="BK15" s="291"/>
      <c r="BL15" s="107"/>
      <c r="BM15" s="107"/>
      <c r="BN15" s="107"/>
      <c r="BO15" s="293"/>
      <c r="BP15" s="291"/>
      <c r="BQ15" s="107"/>
      <c r="BR15" s="107"/>
      <c r="BS15" s="107"/>
      <c r="BT15" s="293"/>
      <c r="BU15" s="291"/>
      <c r="BV15" s="107"/>
      <c r="BW15" s="107"/>
      <c r="BX15" s="107"/>
      <c r="BY15" s="293"/>
      <c r="BZ15" s="291"/>
      <c r="CA15" s="107"/>
      <c r="CB15" s="107"/>
      <c r="CC15" s="107"/>
      <c r="CD15" s="293"/>
      <c r="CE15" s="291"/>
      <c r="CF15" s="107"/>
      <c r="CG15" s="107"/>
      <c r="CH15" s="107"/>
      <c r="CI15" s="293"/>
      <c r="CJ15" s="291"/>
      <c r="CK15" s="107"/>
      <c r="CL15" s="107"/>
      <c r="CM15" s="107"/>
      <c r="CN15" s="293"/>
      <c r="CO15" s="291"/>
      <c r="CP15" s="107"/>
      <c r="CQ15" s="107"/>
      <c r="CR15" s="107"/>
      <c r="CS15" s="293"/>
      <c r="CT15" s="291"/>
      <c r="CU15" s="107"/>
      <c r="CV15" s="107"/>
      <c r="CW15" s="107"/>
      <c r="CX15" s="293"/>
      <c r="CY15" s="291"/>
      <c r="CZ15" s="107"/>
      <c r="DA15" s="107"/>
      <c r="DB15" s="107"/>
      <c r="DC15" s="293"/>
      <c r="DD15" s="291"/>
      <c r="DE15" s="107"/>
      <c r="DF15" s="107"/>
      <c r="DG15" s="107"/>
      <c r="DH15" s="293"/>
      <c r="DI15" s="291">
        <f t="shared" ref="DI15:ES15" si="8">IFERROR(DI10/DI$24,"")</f>
      </c>
      <c r="DJ15" s="291">
        <f t="shared" si="8"/>
      </c>
      <c r="DK15" s="291">
        <f t="shared" si="8"/>
      </c>
      <c r="DL15" s="291">
        <f t="shared" si="8"/>
      </c>
      <c r="DM15" s="544">
        <f t="shared" si="8"/>
      </c>
      <c r="DN15" s="291">
        <f t="shared" si="8"/>
      </c>
      <c r="DO15" s="291">
        <f t="shared" si="8"/>
      </c>
      <c r="DP15" s="291">
        <f t="shared" si="8"/>
      </c>
      <c r="DQ15" s="291">
        <f t="shared" si="8"/>
      </c>
      <c r="DR15" s="544">
        <f t="shared" si="8"/>
      </c>
      <c r="DS15" s="291">
        <f t="shared" si="8"/>
      </c>
      <c r="DT15" s="291">
        <f t="shared" si="8"/>
      </c>
      <c r="DU15" s="291">
        <f t="shared" si="8"/>
      </c>
      <c r="DV15" s="291">
        <f t="shared" si="8"/>
      </c>
      <c r="DW15" s="544">
        <f t="shared" si="8"/>
      </c>
      <c r="DX15" s="291">
        <f t="shared" si="8"/>
      </c>
      <c r="DY15" s="291">
        <f t="shared" si="8"/>
      </c>
      <c r="DZ15" s="291">
        <f t="shared" si="8"/>
      </c>
      <c r="EA15" s="291">
        <f t="shared" si="8"/>
      </c>
      <c r="EB15" s="544">
        <f t="shared" si="8"/>
      </c>
      <c r="EC15" s="291">
        <f t="shared" si="8"/>
      </c>
      <c r="ED15" s="291">
        <f t="shared" si="8"/>
      </c>
      <c r="EE15" s="291">
        <f t="shared" si="8"/>
      </c>
      <c r="EF15" s="291">
        <f t="shared" si="8"/>
      </c>
      <c r="EG15" s="544">
        <f t="shared" si="8"/>
      </c>
      <c r="EH15" s="291">
        <f t="shared" si="8"/>
      </c>
      <c r="EI15" s="291">
        <f t="shared" si="8"/>
      </c>
      <c r="EJ15" s="291">
        <f t="shared" si="8"/>
      </c>
      <c r="EK15" s="291">
        <f t="shared" si="8"/>
      </c>
      <c r="EL15" s="544">
        <f t="shared" si="8"/>
      </c>
      <c r="EM15" s="291">
        <f t="shared" si="8"/>
      </c>
      <c r="EN15" s="291">
        <f t="shared" si="8"/>
      </c>
      <c r="EO15" s="291">
        <f t="shared" si="8"/>
      </c>
      <c r="EP15" s="291">
        <f t="shared" si="8"/>
      </c>
      <c r="EQ15" s="544">
        <f t="shared" si="8"/>
      </c>
      <c r="ER15" s="291">
        <f t="shared" si="8"/>
      </c>
      <c r="ES15" s="291">
        <f t="shared" si="8"/>
      </c>
      <c r="ET15" s="349">
        <f>IFERROR(ET10/ET$24,"")</f>
      </c>
      <c r="EU15" s="349">
        <f>IFERROR(EU10/EU$24,"")</f>
      </c>
      <c r="EV15" s="544">
        <f>IFERROR(EV10/EV$24,"")</f>
      </c>
      <c r="EW15" s="349">
        <f t="shared" ref="EW15:EX15" si="9">IFERROR(EW10/EW$24,"")</f>
      </c>
      <c r="EX15" s="349">
        <f t="shared" si="9"/>
      </c>
      <c r="EY15" s="349">
        <f>IFERROR(EY10/EY$24,"")</f>
      </c>
      <c r="EZ15" s="349">
        <f>IFERROR(EZ10/EZ$24,"")</f>
      </c>
      <c r="FA15" s="544">
        <f>IFERROR(FA10/FA$24,"")</f>
      </c>
      <c r="FB15" s="291"/>
      <c r="FC15" s="107"/>
      <c r="FD15" s="107"/>
      <c r="FE15" s="107"/>
      <c r="FF15" s="293"/>
      <c r="FG15" s="291"/>
      <c r="FH15" s="107"/>
      <c r="FI15" s="107"/>
      <c r="FJ15" s="107"/>
      <c r="FK15" s="293"/>
      <c r="FL15" s="291"/>
      <c r="FM15" s="107"/>
      <c r="FN15" s="107"/>
      <c r="FO15" s="107"/>
      <c r="FP15" s="293"/>
      <c r="FQ15" s="291"/>
      <c r="FR15" s="107"/>
      <c r="FS15" s="107"/>
      <c r="FT15" s="107"/>
      <c r="FU15" s="293"/>
      <c r="FV15" s="291"/>
      <c r="FW15" s="107"/>
      <c r="FX15" s="107"/>
      <c r="FY15" s="107"/>
      <c r="FZ15" s="293"/>
      <c r="GA15" s="291"/>
      <c r="GB15" s="107"/>
      <c r="GC15" s="107"/>
      <c r="GD15" s="107"/>
      <c r="GE15" s="293"/>
      <c r="GF15" s="291"/>
      <c r="GG15" s="107"/>
      <c r="GH15" s="107"/>
      <c r="GI15" s="107"/>
      <c r="GJ15" s="293"/>
    </row>
    <row r="16" spans="1:192" ht="12.75" hidden="1" customHeight="1" outlineLevel="1">
      <c r="B16" s="309"/>
      <c r="C16" s="294"/>
      <c r="D16" s="295"/>
      <c r="E16" s="295"/>
      <c r="F16" s="295"/>
      <c r="G16" s="296"/>
      <c r="H16" s="294"/>
      <c r="I16" s="295"/>
      <c r="J16" s="295"/>
      <c r="K16" s="295"/>
      <c r="L16" s="296"/>
      <c r="M16" s="294"/>
      <c r="N16" s="295"/>
      <c r="O16" s="295"/>
      <c r="P16" s="295"/>
      <c r="Q16" s="296"/>
      <c r="R16" s="294"/>
      <c r="S16" s="295"/>
      <c r="T16" s="295"/>
      <c r="U16" s="295"/>
      <c r="V16" s="296"/>
      <c r="W16" s="294"/>
      <c r="X16" s="295"/>
      <c r="Y16" s="295"/>
      <c r="Z16" s="295"/>
      <c r="AA16" s="296"/>
      <c r="AB16" s="294"/>
      <c r="AC16" s="295"/>
      <c r="AD16" s="295"/>
      <c r="AE16" s="295"/>
      <c r="AF16" s="296"/>
      <c r="AG16" s="294"/>
      <c r="AH16" s="295"/>
      <c r="AI16" s="295"/>
      <c r="AJ16" s="295"/>
      <c r="AK16" s="296"/>
      <c r="AL16" s="294"/>
      <c r="AM16" s="295"/>
      <c r="AN16" s="295"/>
      <c r="AO16" s="295"/>
      <c r="AP16" s="296"/>
      <c r="AQ16" s="294"/>
      <c r="AR16" s="295"/>
      <c r="AS16" s="295"/>
      <c r="AT16" s="295"/>
      <c r="AU16" s="296"/>
      <c r="AV16" s="294"/>
      <c r="AW16" s="295"/>
      <c r="AX16" s="295"/>
      <c r="AY16" s="295"/>
      <c r="AZ16" s="296"/>
      <c r="BA16" s="294"/>
      <c r="BB16" s="295"/>
      <c r="BC16" s="295"/>
      <c r="BD16" s="295"/>
      <c r="BE16" s="296"/>
      <c r="BF16" s="294"/>
      <c r="BG16" s="295"/>
      <c r="BH16" s="295"/>
      <c r="BI16" s="295"/>
      <c r="BJ16" s="296"/>
      <c r="BK16" s="294"/>
      <c r="BL16" s="295"/>
      <c r="BM16" s="295"/>
      <c r="BN16" s="295"/>
      <c r="BO16" s="296"/>
      <c r="BP16" s="294"/>
      <c r="BQ16" s="295"/>
      <c r="BR16" s="295"/>
      <c r="BS16" s="295"/>
      <c r="BT16" s="296"/>
      <c r="BU16" s="294"/>
      <c r="BV16" s="295"/>
      <c r="BW16" s="295"/>
      <c r="BX16" s="295"/>
      <c r="BY16" s="296"/>
      <c r="BZ16" s="294"/>
      <c r="CA16" s="295"/>
      <c r="CB16" s="295"/>
      <c r="CC16" s="295"/>
      <c r="CD16" s="296"/>
      <c r="CE16" s="294"/>
      <c r="CF16" s="295"/>
      <c r="CG16" s="295"/>
      <c r="CH16" s="295"/>
      <c r="CI16" s="296"/>
      <c r="CJ16" s="294"/>
      <c r="CK16" s="295"/>
      <c r="CL16" s="295"/>
      <c r="CM16" s="295"/>
      <c r="CN16" s="296"/>
      <c r="CO16" s="294"/>
      <c r="CP16" s="295"/>
      <c r="CQ16" s="295"/>
      <c r="CR16" s="295"/>
      <c r="CS16" s="296"/>
      <c r="CT16" s="294"/>
      <c r="CU16" s="295"/>
      <c r="CV16" s="295"/>
      <c r="CW16" s="295"/>
      <c r="CX16" s="296"/>
      <c r="CY16" s="294"/>
      <c r="CZ16" s="295"/>
      <c r="DA16" s="295"/>
      <c r="DB16" s="295"/>
      <c r="DC16" s="296"/>
      <c r="DD16" s="294"/>
      <c r="DE16" s="295"/>
      <c r="DF16" s="295"/>
      <c r="DG16" s="295"/>
      <c r="DH16" s="296"/>
      <c r="DI16" s="294"/>
      <c r="DJ16" s="295"/>
      <c r="DK16" s="295"/>
      <c r="DL16" s="295"/>
      <c r="DM16" s="296"/>
      <c r="DN16" s="294"/>
      <c r="DO16" s="295"/>
      <c r="DP16" s="295"/>
      <c r="DQ16" s="295"/>
      <c r="DR16" s="296"/>
      <c r="DS16" s="294"/>
      <c r="DT16" s="295"/>
      <c r="DU16" s="295"/>
      <c r="DV16" s="295"/>
      <c r="DW16" s="296"/>
      <c r="DX16" s="294"/>
      <c r="DY16" s="295"/>
      <c r="DZ16" s="295"/>
      <c r="EA16" s="295"/>
      <c r="EB16" s="296"/>
      <c r="EC16" s="294"/>
      <c r="ED16" s="295"/>
      <c r="EE16" s="295"/>
      <c r="EF16" s="295"/>
      <c r="EG16" s="296"/>
      <c r="EH16" s="294"/>
      <c r="EI16" s="295"/>
      <c r="EJ16" s="295"/>
      <c r="EK16" s="295"/>
      <c r="EL16" s="296"/>
      <c r="EM16" s="294"/>
      <c r="EN16" s="295"/>
      <c r="EO16" s="295"/>
      <c r="EP16" s="295"/>
      <c r="EQ16" s="296"/>
      <c r="ER16" s="294"/>
      <c r="ES16" s="295"/>
      <c r="ET16" s="469"/>
      <c r="EU16" s="469"/>
      <c r="EV16" s="296"/>
      <c r="EW16" s="980"/>
      <c r="EX16" s="469"/>
      <c r="EY16" s="469"/>
      <c r="EZ16" s="469"/>
      <c r="FA16" s="296"/>
      <c r="FB16" s="294"/>
      <c r="FC16" s="295"/>
      <c r="FD16" s="295"/>
      <c r="FE16" s="295"/>
      <c r="FF16" s="296"/>
      <c r="FG16" s="294"/>
      <c r="FH16" s="295"/>
      <c r="FI16" s="295"/>
      <c r="FJ16" s="295"/>
      <c r="FK16" s="296"/>
      <c r="FL16" s="294"/>
      <c r="FM16" s="295"/>
      <c r="FN16" s="295"/>
      <c r="FO16" s="295"/>
      <c r="FP16" s="296"/>
      <c r="FQ16" s="294"/>
      <c r="FR16" s="295"/>
      <c r="FS16" s="295"/>
      <c r="FT16" s="295"/>
      <c r="FU16" s="296"/>
      <c r="FV16" s="294"/>
      <c r="FW16" s="295"/>
      <c r="FX16" s="295"/>
      <c r="FY16" s="295"/>
      <c r="FZ16" s="296"/>
      <c r="GA16" s="294"/>
      <c r="GB16" s="295"/>
      <c r="GC16" s="295"/>
      <c r="GD16" s="295"/>
      <c r="GE16" s="296"/>
      <c r="GF16" s="294"/>
      <c r="GG16" s="295"/>
      <c r="GH16" s="295"/>
      <c r="GI16" s="295"/>
      <c r="GJ16" s="296"/>
    </row>
    <row r="17" spans="1:192" s="461" customFormat="1" ht="12.75" hidden="1" customHeight="1" outlineLevel="1">
      <c r="A17" s="370"/>
      <c r="B17" s="625" t="s">
        <v>158</v>
      </c>
      <c r="C17" s="628"/>
      <c r="D17" s="628"/>
      <c r="E17" s="628"/>
      <c r="F17" s="628"/>
      <c r="G17" s="627"/>
      <c r="H17" s="628"/>
      <c r="I17" s="628"/>
      <c r="J17" s="628"/>
      <c r="K17" s="628"/>
      <c r="L17" s="627"/>
      <c r="M17" s="628"/>
      <c r="N17" s="628"/>
      <c r="O17" s="628"/>
      <c r="P17" s="628"/>
      <c r="Q17" s="627"/>
      <c r="R17" s="628"/>
      <c r="S17" s="628"/>
      <c r="T17" s="628"/>
      <c r="U17" s="628"/>
      <c r="V17" s="627"/>
      <c r="W17" s="628"/>
      <c r="X17" s="628"/>
      <c r="Y17" s="628"/>
      <c r="Z17" s="628"/>
      <c r="AA17" s="627"/>
      <c r="AB17" s="628"/>
      <c r="AC17" s="628"/>
      <c r="AD17" s="628"/>
      <c r="AE17" s="628"/>
      <c r="AF17" s="627"/>
      <c r="AG17" s="628"/>
      <c r="AH17" s="628"/>
      <c r="AI17" s="628"/>
      <c r="AJ17" s="628"/>
      <c r="AK17" s="627"/>
      <c r="AL17" s="628"/>
      <c r="AM17" s="628"/>
      <c r="AN17" s="628"/>
      <c r="AO17" s="628"/>
      <c r="AP17" s="627"/>
      <c r="AQ17" s="628"/>
      <c r="AR17" s="628"/>
      <c r="AS17" s="628"/>
      <c r="AT17" s="628"/>
      <c r="AU17" s="627"/>
      <c r="AV17" s="628"/>
      <c r="AW17" s="628"/>
      <c r="AX17" s="628"/>
      <c r="AY17" s="628"/>
      <c r="AZ17" s="627"/>
      <c r="BA17" s="628"/>
      <c r="BB17" s="628"/>
      <c r="BC17" s="628"/>
      <c r="BD17" s="628"/>
      <c r="BE17" s="627"/>
      <c r="BF17" s="628"/>
      <c r="BG17" s="628"/>
      <c r="BH17" s="628"/>
      <c r="BI17" s="628"/>
      <c r="BJ17" s="627"/>
      <c r="BK17" s="628"/>
      <c r="BL17" s="628"/>
      <c r="BM17" s="628"/>
      <c r="BN17" s="628"/>
      <c r="BO17" s="627"/>
      <c r="BP17" s="628"/>
      <c r="BQ17" s="628"/>
      <c r="BR17" s="628"/>
      <c r="BS17" s="628"/>
      <c r="BT17" s="627"/>
      <c r="BU17" s="628"/>
      <c r="BV17" s="628"/>
      <c r="BW17" s="628"/>
      <c r="BX17" s="628"/>
      <c r="BY17" s="627"/>
      <c r="BZ17" s="628"/>
      <c r="CA17" s="628"/>
      <c r="CB17" s="628"/>
      <c r="CC17" s="628"/>
      <c r="CD17" s="627"/>
      <c r="CE17" s="628"/>
      <c r="CF17" s="628"/>
      <c r="CG17" s="628"/>
      <c r="CH17" s="628"/>
      <c r="CI17" s="627"/>
      <c r="CJ17" s="628"/>
      <c r="CK17" s="628"/>
      <c r="CL17" s="628"/>
      <c r="CM17" s="628"/>
      <c r="CN17" s="627"/>
      <c r="CO17" s="628"/>
      <c r="CP17" s="628"/>
      <c r="CQ17" s="628"/>
      <c r="CR17" s="628"/>
      <c r="CS17" s="627"/>
      <c r="CT17" s="628"/>
      <c r="CU17" s="628"/>
      <c r="CV17" s="628"/>
      <c r="CW17" s="628"/>
      <c r="CX17" s="627"/>
      <c r="CY17" s="628"/>
      <c r="CZ17" s="628"/>
      <c r="DA17" s="628"/>
      <c r="DB17" s="628"/>
      <c r="DC17" s="627"/>
      <c r="DD17" s="628"/>
      <c r="DE17" s="628"/>
      <c r="DF17" s="628"/>
      <c r="DG17" s="628"/>
      <c r="DH17" s="627"/>
      <c r="DI17" s="626">
        <v>6960</v>
      </c>
      <c r="DJ17" s="626">
        <v>7553</v>
      </c>
      <c r="DK17" s="626">
        <v>8699</v>
      </c>
      <c r="DL17" s="626">
        <v>9548</v>
      </c>
      <c r="DM17" s="627">
        <f>SUM(DI17:DL17)</f>
      </c>
      <c r="DN17" s="626">
        <v>10240</v>
      </c>
      <c r="DO17" s="626">
        <v>10992</v>
      </c>
      <c r="DP17" s="626">
        <v>11705</v>
      </c>
      <c r="DQ17" s="626">
        <v>12926</v>
      </c>
      <c r="DR17" s="627">
        <f>SUM(DN17:DQ17)</f>
      </c>
      <c r="DS17" s="626">
        <v>11785</v>
      </c>
      <c r="DT17" s="626">
        <v>16252</v>
      </c>
      <c r="DU17" s="626">
        <v>15123</v>
      </c>
      <c r="DV17" s="626">
        <v>16614</v>
      </c>
      <c r="DW17" s="627">
        <f>SUM(DS17:DV17)</f>
      </c>
      <c r="DX17" s="626">
        <v>17287</v>
      </c>
      <c r="DY17" s="626">
        <v>18651</v>
      </c>
      <c r="DZ17" s="626">
        <v>19150</v>
      </c>
      <c r="EA17" s="626">
        <v>19886</v>
      </c>
      <c r="EB17" s="627">
        <f>SUM(DX17:EA17)</f>
      </c>
      <c r="EC17" s="626">
        <v>21351</v>
      </c>
      <c r="ED17" s="626">
        <v>23616</v>
      </c>
      <c r="EE17" s="626">
        <v>24833</v>
      </c>
      <c r="EF17" s="626">
        <v>27214</v>
      </c>
      <c r="EG17" s="627">
        <f>SUM(EC17:EF17)</f>
      </c>
      <c r="EH17" s="626">
        <v>28686</v>
      </c>
      <c r="EI17" s="626">
        <v>30949</v>
      </c>
      <c r="EJ17" s="626">
        <v>31994</v>
      </c>
      <c r="EK17" s="626">
        <v>33909</v>
      </c>
      <c r="EL17" s="627">
        <f>SUM(EH17:EK17)</f>
      </c>
      <c r="EM17" s="626">
        <v>34381</v>
      </c>
      <c r="EN17" s="626">
        <v>36230</v>
      </c>
      <c r="EO17" s="626">
        <v>37269</v>
      </c>
      <c r="EP17" s="626">
        <v>39336</v>
      </c>
      <c r="EQ17" s="627">
        <f>SUM(EM17:EP17)</f>
      </c>
      <c r="ER17" s="626">
        <v>40982</v>
      </c>
      <c r="ES17" s="626">
        <v>43079</v>
      </c>
      <c r="ET17" s="629">
        <v>44778</v>
      </c>
      <c r="EU17" s="629">
        <v>51510</v>
      </c>
      <c r="EV17" s="627">
        <f>SUM(ER17:EU17)</f>
      </c>
      <c r="EW17" s="629">
        <v>50313</v>
      </c>
      <c r="EX17" s="629">
        <v>53413</v>
      </c>
      <c r="EY17" s="629">
        <v>54747</v>
      </c>
      <c r="EZ17" s="629">
        <v>59305</v>
      </c>
      <c r="FA17" s="627">
        <f>SUM(EW17:EZ17)</f>
      </c>
      <c r="FB17" s="630"/>
      <c r="FC17" s="630"/>
      <c r="FD17" s="630"/>
      <c r="FE17" s="630"/>
      <c r="FF17" s="620"/>
      <c r="FG17" s="630"/>
      <c r="FH17" s="630"/>
      <c r="FI17" s="630"/>
      <c r="FJ17" s="630"/>
      <c r="FK17" s="620"/>
      <c r="FL17" s="630"/>
      <c r="FM17" s="630"/>
      <c r="FN17" s="630"/>
      <c r="FO17" s="630"/>
      <c r="FP17" s="620"/>
      <c r="FQ17" s="630"/>
      <c r="FR17" s="630"/>
      <c r="FS17" s="630"/>
      <c r="FT17" s="630"/>
      <c r="FU17" s="620"/>
      <c r="FV17" s="630"/>
      <c r="FW17" s="630"/>
      <c r="FX17" s="630"/>
      <c r="FY17" s="630"/>
      <c r="FZ17" s="620"/>
      <c r="GA17" s="630"/>
      <c r="GB17" s="630"/>
      <c r="GC17" s="630"/>
      <c r="GD17" s="630"/>
      <c r="GE17" s="620"/>
      <c r="GF17" s="630"/>
      <c r="GG17" s="630"/>
      <c r="GH17" s="630"/>
      <c r="GI17" s="630"/>
      <c r="GJ17" s="620"/>
    </row>
    <row r="18" spans="1:192" ht="12.75" hidden="1" customHeight="1" outlineLevel="1">
      <c r="B18" s="617" t="s">
        <v>34</v>
      </c>
      <c r="C18" s="291"/>
      <c r="D18" s="107"/>
      <c r="E18" s="107"/>
      <c r="F18" s="107"/>
      <c r="G18" s="536"/>
      <c r="H18" s="291" t="str">
        <f t="shared" ref="H18:AM18" si="10">IFERROR(H17/C17-1,"")</f>
      </c>
      <c r="I18" s="107" t="str">
        <f t="shared" si="10"/>
      </c>
      <c r="J18" s="107" t="str">
        <f t="shared" si="10"/>
      </c>
      <c r="K18" s="107" t="str">
        <f t="shared" si="10"/>
      </c>
      <c r="L18" s="292" t="str">
        <f t="shared" si="10"/>
      </c>
      <c r="M18" s="291" t="str">
        <f t="shared" si="10"/>
      </c>
      <c r="N18" s="107" t="str">
        <f t="shared" si="10"/>
      </c>
      <c r="O18" s="107" t="str">
        <f t="shared" si="10"/>
      </c>
      <c r="P18" s="107" t="str">
        <f t="shared" si="10"/>
      </c>
      <c r="Q18" s="292" t="str">
        <f t="shared" si="10"/>
      </c>
      <c r="R18" s="291" t="str">
        <f t="shared" si="10"/>
      </c>
      <c r="S18" s="107" t="str">
        <f t="shared" si="10"/>
      </c>
      <c r="T18" s="107" t="str">
        <f t="shared" si="10"/>
      </c>
      <c r="U18" s="107" t="str">
        <f t="shared" si="10"/>
      </c>
      <c r="V18" s="292" t="str">
        <f t="shared" si="10"/>
      </c>
      <c r="W18" s="291" t="str">
        <f t="shared" si="10"/>
      </c>
      <c r="X18" s="107" t="str">
        <f t="shared" si="10"/>
      </c>
      <c r="Y18" s="107" t="str">
        <f t="shared" si="10"/>
      </c>
      <c r="Z18" s="107" t="str">
        <f t="shared" si="10"/>
      </c>
      <c r="AA18" s="292" t="str">
        <f t="shared" si="10"/>
      </c>
      <c r="AB18" s="291" t="str">
        <f t="shared" si="10"/>
      </c>
      <c r="AC18" s="107" t="str">
        <f t="shared" si="10"/>
      </c>
      <c r="AD18" s="107" t="str">
        <f t="shared" si="10"/>
      </c>
      <c r="AE18" s="107" t="str">
        <f t="shared" si="10"/>
      </c>
      <c r="AF18" s="292" t="str">
        <f t="shared" si="10"/>
      </c>
      <c r="AG18" s="291" t="str">
        <f t="shared" si="10"/>
      </c>
      <c r="AH18" s="107" t="str">
        <f t="shared" si="10"/>
      </c>
      <c r="AI18" s="107" t="str">
        <f t="shared" si="10"/>
      </c>
      <c r="AJ18" s="107" t="str">
        <f t="shared" si="10"/>
      </c>
      <c r="AK18" s="292" t="str">
        <f t="shared" si="10"/>
      </c>
      <c r="AL18" s="291" t="str">
        <f t="shared" si="10"/>
      </c>
      <c r="AM18" s="107" t="str">
        <f t="shared" si="10"/>
      </c>
      <c r="AN18" s="107" t="str">
        <f t="shared" ref="AN18:BS18" si="11">IFERROR(AN17/AI17-1,"")</f>
      </c>
      <c r="AO18" s="107" t="str">
        <f t="shared" si="11"/>
      </c>
      <c r="AP18" s="292" t="str">
        <f t="shared" si="11"/>
      </c>
      <c r="AQ18" s="291" t="str">
        <f t="shared" si="11"/>
      </c>
      <c r="AR18" s="107" t="str">
        <f t="shared" si="11"/>
      </c>
      <c r="AS18" s="107" t="str">
        <f t="shared" si="11"/>
      </c>
      <c r="AT18" s="107" t="str">
        <f t="shared" si="11"/>
      </c>
      <c r="AU18" s="292" t="str">
        <f t="shared" si="11"/>
      </c>
      <c r="AV18" s="291" t="str">
        <f t="shared" si="11"/>
      </c>
      <c r="AW18" s="107" t="str">
        <f t="shared" si="11"/>
      </c>
      <c r="AX18" s="107" t="str">
        <f t="shared" si="11"/>
      </c>
      <c r="AY18" s="107" t="str">
        <f t="shared" si="11"/>
      </c>
      <c r="AZ18" s="292" t="str">
        <f t="shared" si="11"/>
      </c>
      <c r="BA18" s="291" t="str">
        <f t="shared" si="11"/>
      </c>
      <c r="BB18" s="107" t="str">
        <f t="shared" si="11"/>
      </c>
      <c r="BC18" s="107" t="str">
        <f t="shared" si="11"/>
      </c>
      <c r="BD18" s="107" t="str">
        <f t="shared" si="11"/>
      </c>
      <c r="BE18" s="292" t="str">
        <f t="shared" si="11"/>
      </c>
      <c r="BF18" s="291" t="str">
        <f t="shared" si="11"/>
      </c>
      <c r="BG18" s="107" t="str">
        <f t="shared" si="11"/>
      </c>
      <c r="BH18" s="107" t="str">
        <f t="shared" si="11"/>
      </c>
      <c r="BI18" s="107" t="str">
        <f t="shared" si="11"/>
      </c>
      <c r="BJ18" s="292" t="str">
        <f t="shared" si="11"/>
      </c>
      <c r="BK18" s="291" t="str">
        <f t="shared" si="11"/>
      </c>
      <c r="BL18" s="107" t="str">
        <f t="shared" si="11"/>
      </c>
      <c r="BM18" s="107" t="str">
        <f t="shared" si="11"/>
      </c>
      <c r="BN18" s="107" t="str">
        <f t="shared" si="11"/>
      </c>
      <c r="BO18" s="292" t="str">
        <f t="shared" si="11"/>
      </c>
      <c r="BP18" s="291" t="str">
        <f t="shared" si="11"/>
      </c>
      <c r="BQ18" s="107" t="str">
        <f t="shared" si="11"/>
      </c>
      <c r="BR18" s="107" t="str">
        <f t="shared" si="11"/>
      </c>
      <c r="BS18" s="107" t="str">
        <f t="shared" si="11"/>
      </c>
      <c r="BT18" s="292" t="str">
        <f t="shared" ref="BT18:CY18" si="12">IFERROR(BT17/BO17-1,"")</f>
      </c>
      <c r="BU18" s="291" t="str">
        <f t="shared" si="12"/>
      </c>
      <c r="BV18" s="107" t="str">
        <f t="shared" si="12"/>
      </c>
      <c r="BW18" s="107" t="str">
        <f t="shared" si="12"/>
      </c>
      <c r="BX18" s="107" t="str">
        <f t="shared" si="12"/>
      </c>
      <c r="BY18" s="292" t="str">
        <f t="shared" si="12"/>
      </c>
      <c r="BZ18" s="291" t="str">
        <f t="shared" si="12"/>
      </c>
      <c r="CA18" s="107" t="str">
        <f t="shared" si="12"/>
      </c>
      <c r="CB18" s="107" t="str">
        <f t="shared" si="12"/>
      </c>
      <c r="CC18" s="107" t="str">
        <f t="shared" si="12"/>
      </c>
      <c r="CD18" s="292" t="str">
        <f t="shared" si="12"/>
      </c>
      <c r="CE18" s="291" t="str">
        <f t="shared" si="12"/>
      </c>
      <c r="CF18" s="107" t="str">
        <f t="shared" si="12"/>
      </c>
      <c r="CG18" s="107" t="str">
        <f t="shared" si="12"/>
      </c>
      <c r="CH18" s="107" t="str">
        <f t="shared" si="12"/>
      </c>
      <c r="CI18" s="292" t="str">
        <f t="shared" si="12"/>
      </c>
      <c r="CJ18" s="291" t="str">
        <f t="shared" si="12"/>
      </c>
      <c r="CK18" s="107" t="str">
        <f t="shared" si="12"/>
      </c>
      <c r="CL18" s="107" t="str">
        <f t="shared" si="12"/>
      </c>
      <c r="CM18" s="107" t="str">
        <f t="shared" si="12"/>
      </c>
      <c r="CN18" s="292" t="str">
        <f t="shared" si="12"/>
      </c>
      <c r="CO18" s="291" t="str">
        <f t="shared" si="12"/>
      </c>
      <c r="CP18" s="107" t="str">
        <f t="shared" si="12"/>
      </c>
      <c r="CQ18" s="107" t="str">
        <f t="shared" si="12"/>
      </c>
      <c r="CR18" s="107" t="str">
        <f t="shared" si="12"/>
      </c>
      <c r="CS18" s="292" t="str">
        <f t="shared" si="12"/>
      </c>
      <c r="CT18" s="291" t="str">
        <f t="shared" si="12"/>
      </c>
      <c r="CU18" s="107" t="str">
        <f t="shared" si="12"/>
      </c>
      <c r="CV18" s="107" t="str">
        <f t="shared" si="12"/>
      </c>
      <c r="CW18" s="107" t="str">
        <f t="shared" si="12"/>
      </c>
      <c r="CX18" s="292" t="str">
        <f t="shared" si="12"/>
      </c>
      <c r="CY18" s="291" t="str">
        <f t="shared" si="12"/>
      </c>
      <c r="CZ18" s="107" t="str">
        <f t="shared" ref="CZ18:EE18" si="13">IFERROR(CZ17/CU17-1,"")</f>
      </c>
      <c r="DA18" s="107" t="str">
        <f t="shared" si="13"/>
      </c>
      <c r="DB18" s="107" t="str">
        <f t="shared" si="13"/>
      </c>
      <c r="DC18" s="292" t="str">
        <f t="shared" si="13"/>
      </c>
      <c r="DD18" s="291"/>
      <c r="DE18" s="107"/>
      <c r="DF18" s="107"/>
      <c r="DG18" s="107"/>
      <c r="DH18" s="292"/>
      <c r="DI18" s="291" t="str">
        <f t="shared" si="13"/>
      </c>
      <c r="DJ18" s="107" t="str">
        <f t="shared" si="13"/>
      </c>
      <c r="DK18" s="107" t="str">
        <f t="shared" si="13"/>
      </c>
      <c r="DL18" s="107" t="str">
        <f t="shared" si="13"/>
      </c>
      <c r="DM18" s="292" t="str">
        <f t="shared" si="13"/>
      </c>
      <c r="DN18" s="291">
        <f t="shared" si="13"/>
      </c>
      <c r="DO18" s="107">
        <f t="shared" si="13"/>
      </c>
      <c r="DP18" s="107">
        <f t="shared" si="13"/>
      </c>
      <c r="DQ18" s="107">
        <f t="shared" si="13"/>
      </c>
      <c r="DR18" s="292">
        <f t="shared" si="13"/>
      </c>
      <c r="DS18" s="291">
        <f t="shared" si="13"/>
      </c>
      <c r="DT18" s="107">
        <f t="shared" si="13"/>
      </c>
      <c r="DU18" s="107">
        <f t="shared" si="13"/>
      </c>
      <c r="DV18" s="107">
        <f t="shared" si="13"/>
      </c>
      <c r="DW18" s="292">
        <f t="shared" si="13"/>
      </c>
      <c r="DX18" s="291">
        <f t="shared" si="13"/>
      </c>
      <c r="DY18" s="107">
        <f t="shared" si="13"/>
      </c>
      <c r="DZ18" s="107">
        <f t="shared" si="13"/>
      </c>
      <c r="EA18" s="107">
        <f t="shared" si="13"/>
      </c>
      <c r="EB18" s="292">
        <f t="shared" si="13"/>
      </c>
      <c r="EC18" s="291">
        <f t="shared" si="13"/>
      </c>
      <c r="ED18" s="107">
        <f t="shared" si="13"/>
      </c>
      <c r="EE18" s="107">
        <f t="shared" si="13"/>
      </c>
      <c r="EF18" s="107">
        <f t="shared" ref="EF18:ET18" si="14">IFERROR(EF17/EA17-1,"")</f>
      </c>
      <c r="EG18" s="292">
        <f t="shared" si="14"/>
      </c>
      <c r="EH18" s="291">
        <f t="shared" si="14"/>
      </c>
      <c r="EI18" s="107">
        <f t="shared" si="14"/>
      </c>
      <c r="EJ18" s="107">
        <f t="shared" si="14"/>
      </c>
      <c r="EK18" s="107">
        <f t="shared" si="14"/>
      </c>
      <c r="EL18" s="292">
        <f t="shared" si="14"/>
      </c>
      <c r="EM18" s="291">
        <f t="shared" si="14"/>
      </c>
      <c r="EN18" s="107">
        <f t="shared" si="14"/>
      </c>
      <c r="EO18" s="107">
        <f t="shared" si="14"/>
      </c>
      <c r="EP18" s="107">
        <f t="shared" si="14"/>
      </c>
      <c r="EQ18" s="292">
        <f t="shared" si="14"/>
      </c>
      <c r="ER18" s="291">
        <f t="shared" si="14"/>
      </c>
      <c r="ES18" s="107">
        <f t="shared" si="14"/>
      </c>
      <c r="ET18" s="107">
        <f t="shared" si="14"/>
      </c>
      <c r="EU18" s="468">
        <f>IFERROR(EU17/EP17-1,"")</f>
      </c>
      <c r="EV18" s="292">
        <f>IFERROR(EV17/EQ17-1,"")</f>
      </c>
      <c r="EW18" s="349">
        <f t="shared" ref="EW18:EY18" si="15">IFERROR(EW17/ER17-1,"")</f>
      </c>
      <c r="EX18" s="468">
        <f t="shared" si="15"/>
      </c>
      <c r="EY18" s="468">
        <f t="shared" si="15"/>
      </c>
      <c r="EZ18" s="468">
        <f>IFERROR(EZ17/EU17-1,"")</f>
      </c>
      <c r="FA18" s="292">
        <f>IFERROR(FA17/EV17-1,"")</f>
      </c>
      <c r="FB18" s="291"/>
      <c r="FC18" s="107"/>
      <c r="FD18" s="107"/>
      <c r="FE18" s="107"/>
      <c r="FF18" s="292"/>
      <c r="FG18" s="291"/>
      <c r="FH18" s="107"/>
      <c r="FI18" s="107"/>
      <c r="FJ18" s="107"/>
      <c r="FK18" s="292"/>
      <c r="FL18" s="291"/>
      <c r="FM18" s="107"/>
      <c r="FN18" s="107"/>
      <c r="FO18" s="107"/>
      <c r="FP18" s="292"/>
      <c r="FQ18" s="291"/>
      <c r="FR18" s="107"/>
      <c r="FS18" s="107"/>
      <c r="FT18" s="107"/>
      <c r="FU18" s="292"/>
      <c r="FV18" s="291"/>
      <c r="FW18" s="107"/>
      <c r="FX18" s="107"/>
      <c r="FY18" s="107"/>
      <c r="FZ18" s="292"/>
      <c r="GA18" s="291"/>
      <c r="GB18" s="107"/>
      <c r="GC18" s="107"/>
      <c r="GD18" s="107"/>
      <c r="GE18" s="292"/>
      <c r="GF18" s="291"/>
      <c r="GG18" s="107"/>
      <c r="GH18" s="107"/>
      <c r="GI18" s="107"/>
      <c r="GJ18" s="292"/>
    </row>
    <row r="19" spans="1:192" ht="12.75" hidden="1" customHeight="1" outlineLevel="1">
      <c r="B19" s="617" t="s">
        <v>36</v>
      </c>
      <c r="C19" s="291"/>
      <c r="D19" s="137"/>
      <c r="E19" s="137"/>
      <c r="F19" s="137"/>
      <c r="G19" s="538"/>
      <c r="H19" s="291" t="str">
        <f>IFERROR(H17/F17-1,"")</f>
      </c>
      <c r="I19" s="107" t="str">
        <f>IFERROR(I17/H17-1,"")</f>
      </c>
      <c r="J19" s="107" t="str">
        <f>IFERROR(J17/I17-1,"")</f>
      </c>
      <c r="K19" s="107" t="str">
        <f>IFERROR(K17/J17-1,"")</f>
      </c>
      <c r="L19" s="293"/>
      <c r="M19" s="291" t="str">
        <f>IFERROR(M17/K17-1,"")</f>
      </c>
      <c r="N19" s="107" t="str">
        <f>IFERROR(N17/M17-1,"")</f>
      </c>
      <c r="O19" s="107" t="str">
        <f>IFERROR(O17/N17-1,"")</f>
      </c>
      <c r="P19" s="107" t="str">
        <f>IFERROR(P17/O17-1,"")</f>
      </c>
      <c r="Q19" s="293"/>
      <c r="R19" s="291" t="str">
        <f>IFERROR(R17/P17-1,"")</f>
      </c>
      <c r="S19" s="107" t="str">
        <f>IFERROR(S17/R17-1,"")</f>
      </c>
      <c r="T19" s="107" t="str">
        <f>IFERROR(T17/S17-1,"")</f>
      </c>
      <c r="U19" s="107" t="str">
        <f>IFERROR(U17/T17-1,"")</f>
      </c>
      <c r="V19" s="293"/>
      <c r="W19" s="291" t="str">
        <f>IFERROR(W17/U17-1,"")</f>
      </c>
      <c r="X19" s="107" t="str">
        <f>IFERROR(X17/W17-1,"")</f>
      </c>
      <c r="Y19" s="107" t="str">
        <f>IFERROR(Y17/X17-1,"")</f>
      </c>
      <c r="Z19" s="107" t="str">
        <f>IFERROR(Z17/Y17-1,"")</f>
      </c>
      <c r="AA19" s="293"/>
      <c r="AB19" s="291" t="str">
        <f>IFERROR(AB17/Z17-1,"")</f>
      </c>
      <c r="AC19" s="107" t="str">
        <f>IFERROR(AC17/AB17-1,"")</f>
      </c>
      <c r="AD19" s="107" t="str">
        <f>IFERROR(AD17/AC17-1,"")</f>
      </c>
      <c r="AE19" s="107" t="str">
        <f>IFERROR(AE17/AD17-1,"")</f>
      </c>
      <c r="AF19" s="293"/>
      <c r="AG19" s="291" t="str">
        <f>IFERROR(AG17/AE17-1,"")</f>
      </c>
      <c r="AH19" s="107" t="str">
        <f>IFERROR(AH17/AG17-1,"")</f>
      </c>
      <c r="AI19" s="107" t="str">
        <f>IFERROR(AI17/AH17-1,"")</f>
      </c>
      <c r="AJ19" s="107" t="str">
        <f>IFERROR(AJ17/AI17-1,"")</f>
      </c>
      <c r="AK19" s="293"/>
      <c r="AL19" s="291" t="str">
        <f>IFERROR(AL17/AJ17-1,"")</f>
      </c>
      <c r="AM19" s="107" t="str">
        <f>IFERROR(AM17/AL17-1,"")</f>
      </c>
      <c r="AN19" s="107" t="str">
        <f>IFERROR(AN17/AM17-1,"")</f>
      </c>
      <c r="AO19" s="107" t="str">
        <f>IFERROR(AO17/AN17-1,"")</f>
      </c>
      <c r="AP19" s="293"/>
      <c r="AQ19" s="291" t="str">
        <f>IFERROR(AQ17/AO17-1,"")</f>
      </c>
      <c r="AR19" s="107" t="str">
        <f>IFERROR(AR17/AQ17-1,"")</f>
      </c>
      <c r="AS19" s="107" t="str">
        <f>IFERROR(AS17/AR17-1,"")</f>
      </c>
      <c r="AT19" s="107" t="str">
        <f>IFERROR(AT17/AS17-1,"")</f>
      </c>
      <c r="AU19" s="293"/>
      <c r="AV19" s="291" t="str">
        <f>IFERROR(AV17/AT17-1,"")</f>
      </c>
      <c r="AW19" s="107" t="str">
        <f>IFERROR(AW17/AV17-1,"")</f>
      </c>
      <c r="AX19" s="107" t="str">
        <f>IFERROR(AX17/AW17-1,"")</f>
      </c>
      <c r="AY19" s="107" t="str">
        <f>IFERROR(AY17/AX17-1,"")</f>
      </c>
      <c r="AZ19" s="293"/>
      <c r="BA19" s="291" t="str">
        <f>IFERROR(BA17/AY17-1,"")</f>
      </c>
      <c r="BB19" s="107" t="str">
        <f>IFERROR(BB17/BA17-1,"")</f>
      </c>
      <c r="BC19" s="107" t="str">
        <f>IFERROR(BC17/BB17-1,"")</f>
      </c>
      <c r="BD19" s="107" t="str">
        <f>IFERROR(BD17/BC17-1,"")</f>
      </c>
      <c r="BE19" s="293"/>
      <c r="BF19" s="291" t="str">
        <f>IFERROR(BF17/BD17-1,"")</f>
      </c>
      <c r="BG19" s="107" t="str">
        <f>IFERROR(BG17/BF17-1,"")</f>
      </c>
      <c r="BH19" s="107" t="str">
        <f>IFERROR(BH17/BG17-1,"")</f>
      </c>
      <c r="BI19" s="107" t="str">
        <f>IFERROR(BI17/BH17-1,"")</f>
      </c>
      <c r="BJ19" s="293"/>
      <c r="BK19" s="291" t="str">
        <f>IFERROR(BK17/BI17-1,"")</f>
      </c>
      <c r="BL19" s="107" t="str">
        <f>IFERROR(BL17/BK17-1,"")</f>
      </c>
      <c r="BM19" s="107" t="str">
        <f>IFERROR(BM17/BL17-1,"")</f>
      </c>
      <c r="BN19" s="107" t="str">
        <f>IFERROR(BN17/BM17-1,"")</f>
      </c>
      <c r="BO19" s="293"/>
      <c r="BP19" s="291" t="str">
        <f>IFERROR(BP17/BN17-1,"")</f>
      </c>
      <c r="BQ19" s="107" t="str">
        <f>IFERROR(BQ17/BP17-1,"")</f>
      </c>
      <c r="BR19" s="107" t="str">
        <f>IFERROR(BR17/BQ17-1,"")</f>
      </c>
      <c r="BS19" s="107" t="str">
        <f>IFERROR(BS17/BR17-1,"")</f>
      </c>
      <c r="BT19" s="293"/>
      <c r="BU19" s="291" t="str">
        <f>IFERROR(BU17/BS17-1,"")</f>
      </c>
      <c r="BV19" s="107" t="str">
        <f>IFERROR(BV17/BU17-1,"")</f>
      </c>
      <c r="BW19" s="107" t="str">
        <f>IFERROR(BW17/BV17-1,"")</f>
      </c>
      <c r="BX19" s="107" t="str">
        <f>IFERROR(BX17/BW17-1,"")</f>
      </c>
      <c r="BY19" s="293"/>
      <c r="BZ19" s="291" t="str">
        <f>IFERROR(BZ17/BX17-1,"")</f>
      </c>
      <c r="CA19" s="107" t="str">
        <f>IFERROR(CA17/BZ17-1,"")</f>
      </c>
      <c r="CB19" s="107" t="str">
        <f>IFERROR(CB17/CA17-1,"")</f>
      </c>
      <c r="CC19" s="107" t="str">
        <f>IFERROR(CC17/CB17-1,"")</f>
      </c>
      <c r="CD19" s="293"/>
      <c r="CE19" s="291" t="str">
        <f>IFERROR(CE17/CC17-1,"")</f>
      </c>
      <c r="CF19" s="107" t="str">
        <f>IFERROR(CF17/CE17-1,"")</f>
      </c>
      <c r="CG19" s="107" t="str">
        <f>IFERROR(CG17/CF17-1,"")</f>
      </c>
      <c r="CH19" s="107" t="str">
        <f>IFERROR(CH17/CG17-1,"")</f>
      </c>
      <c r="CI19" s="293"/>
      <c r="CJ19" s="291" t="str">
        <f>IFERROR(CJ17/CH17-1,"")</f>
      </c>
      <c r="CK19" s="107" t="str">
        <f>IFERROR(CK17/CJ17-1,"")</f>
      </c>
      <c r="CL19" s="107" t="str">
        <f>IFERROR(CL17/CK17-1,"")</f>
      </c>
      <c r="CM19" s="107" t="str">
        <f>IFERROR(CM17/CL17-1,"")</f>
      </c>
      <c r="CN19" s="293"/>
      <c r="CO19" s="291" t="str">
        <f>IFERROR(CO17/CM17-1,"")</f>
      </c>
      <c r="CP19" s="107" t="str">
        <f>IFERROR(CP17/CO17-1,"")</f>
      </c>
      <c r="CQ19" s="107" t="str">
        <f>IFERROR(CQ17/CP17-1,"")</f>
      </c>
      <c r="CR19" s="107" t="str">
        <f>IFERROR(CR17/CQ17-1,"")</f>
      </c>
      <c r="CS19" s="293"/>
      <c r="CT19" s="291" t="str">
        <f>IFERROR(CT17/CR17-1,"")</f>
      </c>
      <c r="CU19" s="107" t="str">
        <f>IFERROR(CU17/CT17-1,"")</f>
      </c>
      <c r="CV19" s="107" t="str">
        <f>IFERROR(CV17/CU17-1,"")</f>
      </c>
      <c r="CW19" s="107" t="str">
        <f>IFERROR(CW17/CV17-1,"")</f>
      </c>
      <c r="CX19" s="293"/>
      <c r="CY19" s="291" t="str">
        <f>IFERROR(CY17/CW17-1,"")</f>
      </c>
      <c r="CZ19" s="107" t="str">
        <f>IFERROR(CZ17/CY17-1,"")</f>
      </c>
      <c r="DA19" s="107" t="str">
        <f>IFERROR(DA17/CZ17-1,"")</f>
      </c>
      <c r="DB19" s="107" t="str">
        <f>IFERROR(DB17/DA17-1,"")</f>
      </c>
      <c r="DC19" s="293"/>
      <c r="DD19" s="291"/>
      <c r="DE19" s="107"/>
      <c r="DF19" s="107"/>
      <c r="DG19" s="107"/>
      <c r="DH19" s="293"/>
      <c r="DI19" s="291" t="str">
        <f>IFERROR(DI17/DG17-1,"")</f>
      </c>
      <c r="DJ19" s="107">
        <f>IFERROR(DJ17/DI17-1,"")</f>
      </c>
      <c r="DK19" s="107">
        <f>IFERROR(DK17/DJ17-1,"")</f>
      </c>
      <c r="DL19" s="107">
        <f>IFERROR(DL17/DK17-1,"")</f>
      </c>
      <c r="DM19" s="293"/>
      <c r="DN19" s="291">
        <f>IFERROR(DN17/DL17-1,"")</f>
      </c>
      <c r="DO19" s="107">
        <f>IFERROR(DO17/DN17-1,"")</f>
      </c>
      <c r="DP19" s="107">
        <f>IFERROR(DP17/DO17-1,"")</f>
      </c>
      <c r="DQ19" s="107">
        <f>IFERROR(DQ17/DP17-1,"")</f>
      </c>
      <c r="DR19" s="293"/>
      <c r="DS19" s="291">
        <f>IFERROR(DS17/DQ17-1,"")</f>
      </c>
      <c r="DT19" s="107">
        <f>IFERROR(DT17/DS17-1,"")</f>
      </c>
      <c r="DU19" s="107">
        <f>IFERROR(DU17/DT17-1,"")</f>
      </c>
      <c r="DV19" s="107">
        <f>IFERROR(DV17/DU17-1,"")</f>
      </c>
      <c r="DW19" s="293"/>
      <c r="DX19" s="291">
        <f>IFERROR(DX17/DV17-1,"")</f>
      </c>
      <c r="DY19" s="107">
        <f>IFERROR(DY17/DX17-1,"")</f>
      </c>
      <c r="DZ19" s="107">
        <f>IFERROR(DZ17/DY17-1,"")</f>
      </c>
      <c r="EA19" s="107">
        <f>IFERROR(EA17/DZ17-1,"")</f>
      </c>
      <c r="EB19" s="293"/>
      <c r="EC19" s="291">
        <f>IFERROR(EC17/EA17-1,"")</f>
      </c>
      <c r="ED19" s="107">
        <f>IFERROR(ED17/EC17-1,"")</f>
      </c>
      <c r="EE19" s="107">
        <f>IFERROR(EE17/ED17-1,"")</f>
      </c>
      <c r="EF19" s="107">
        <f>IFERROR(EF17/EE17-1,"")</f>
      </c>
      <c r="EG19" s="293"/>
      <c r="EH19" s="291">
        <f>IFERROR(EH17/EF17-1,"")</f>
      </c>
      <c r="EI19" s="107">
        <f>IFERROR(EI17/EH17-1,"")</f>
      </c>
      <c r="EJ19" s="107">
        <f>IFERROR(EJ17/EI17-1,"")</f>
      </c>
      <c r="EK19" s="107">
        <f>IFERROR(EK17/EJ17-1,"")</f>
      </c>
      <c r="EL19" s="293"/>
      <c r="EM19" s="291">
        <f>IFERROR(EM17/EK17-1,"")</f>
      </c>
      <c r="EN19" s="107">
        <f>IFERROR(EN17/EM17-1,"")</f>
      </c>
      <c r="EO19" s="107">
        <f>IFERROR(EO17/EN17-1,"")</f>
      </c>
      <c r="EP19" s="107">
        <f>IFERROR(EP17/EO17-1,"")</f>
      </c>
      <c r="EQ19" s="293"/>
      <c r="ER19" s="291">
        <f>IFERROR(ER17/EP17-1,"")</f>
      </c>
      <c r="ES19" s="107">
        <f>IFERROR(ES17/ER17-1,"")</f>
      </c>
      <c r="ET19" s="107">
        <f>IFERROR(ET17/ES17-1,"")</f>
      </c>
      <c r="EU19" s="468">
        <f>IFERROR(EU17/ET17-1,"")</f>
      </c>
      <c r="EV19" s="293"/>
      <c r="EW19" s="349">
        <f>IFERROR(EW17/EU17-1,"")</f>
      </c>
      <c r="EX19" s="468">
        <f>IFERROR(EX17/EW17-1,"")</f>
      </c>
      <c r="EY19" s="468">
        <f>IFERROR(EY17/EX17-1,"")</f>
      </c>
      <c r="EZ19" s="468">
        <f>IFERROR(EZ17/EY17-1,"")</f>
      </c>
      <c r="FA19" s="293"/>
      <c r="FB19" s="291"/>
      <c r="FC19" s="107"/>
      <c r="FD19" s="107"/>
      <c r="FE19" s="107"/>
      <c r="FF19" s="293"/>
      <c r="FG19" s="291"/>
      <c r="FH19" s="107"/>
      <c r="FI19" s="107"/>
      <c r="FJ19" s="107"/>
      <c r="FK19" s="293"/>
      <c r="FL19" s="291"/>
      <c r="FM19" s="107"/>
      <c r="FN19" s="107"/>
      <c r="FO19" s="107"/>
      <c r="FP19" s="293"/>
      <c r="FQ19" s="291"/>
      <c r="FR19" s="107"/>
      <c r="FS19" s="107"/>
      <c r="FT19" s="107"/>
      <c r="FU19" s="293"/>
      <c r="FV19" s="291"/>
      <c r="FW19" s="107"/>
      <c r="FX19" s="107"/>
      <c r="FY19" s="107"/>
      <c r="FZ19" s="293"/>
      <c r="GA19" s="291"/>
      <c r="GB19" s="107"/>
      <c r="GC19" s="107"/>
      <c r="GD19" s="107"/>
      <c r="GE19" s="293"/>
      <c r="GF19" s="291"/>
      <c r="GG19" s="107"/>
      <c r="GH19" s="107"/>
      <c r="GI19" s="107"/>
      <c r="GJ19" s="293"/>
    </row>
    <row r="20" spans="1:192" ht="12.75" hidden="1" customHeight="1" outlineLevel="1">
      <c r="B20" s="617" t="s">
        <v>243</v>
      </c>
      <c r="C20" s="291"/>
      <c r="D20" s="137"/>
      <c r="E20" s="137"/>
      <c r="F20" s="137"/>
      <c r="G20" s="538"/>
      <c r="H20" s="291"/>
      <c r="I20" s="107"/>
      <c r="J20" s="107"/>
      <c r="K20" s="107"/>
      <c r="L20" s="293"/>
      <c r="M20" s="291"/>
      <c r="N20" s="107"/>
      <c r="O20" s="107"/>
      <c r="P20" s="107"/>
      <c r="Q20" s="293"/>
      <c r="R20" s="291"/>
      <c r="S20" s="107"/>
      <c r="T20" s="107"/>
      <c r="U20" s="107"/>
      <c r="V20" s="293"/>
      <c r="W20" s="291"/>
      <c r="X20" s="107"/>
      <c r="Y20" s="107"/>
      <c r="Z20" s="107"/>
      <c r="AA20" s="293"/>
      <c r="AB20" s="291"/>
      <c r="AC20" s="107"/>
      <c r="AD20" s="107"/>
      <c r="AE20" s="107"/>
      <c r="AF20" s="293"/>
      <c r="AG20" s="291"/>
      <c r="AH20" s="107"/>
      <c r="AI20" s="107"/>
      <c r="AJ20" s="107"/>
      <c r="AK20" s="293"/>
      <c r="AL20" s="291"/>
      <c r="AM20" s="107"/>
      <c r="AN20" s="107"/>
      <c r="AO20" s="107"/>
      <c r="AP20" s="293"/>
      <c r="AQ20" s="291"/>
      <c r="AR20" s="107"/>
      <c r="AS20" s="107"/>
      <c r="AT20" s="107"/>
      <c r="AU20" s="293"/>
      <c r="AV20" s="291"/>
      <c r="AW20" s="107"/>
      <c r="AX20" s="107"/>
      <c r="AY20" s="107"/>
      <c r="AZ20" s="293"/>
      <c r="BA20" s="291"/>
      <c r="BB20" s="107"/>
      <c r="BC20" s="107"/>
      <c r="BD20" s="107"/>
      <c r="BE20" s="293"/>
      <c r="BF20" s="291"/>
      <c r="BG20" s="107"/>
      <c r="BH20" s="107"/>
      <c r="BI20" s="107"/>
      <c r="BJ20" s="293"/>
      <c r="BK20" s="291"/>
      <c r="BL20" s="107"/>
      <c r="BM20" s="107"/>
      <c r="BN20" s="107"/>
      <c r="BO20" s="293"/>
      <c r="BP20" s="291"/>
      <c r="BQ20" s="107"/>
      <c r="BR20" s="107"/>
      <c r="BS20" s="107"/>
      <c r="BT20" s="293"/>
      <c r="BU20" s="291"/>
      <c r="BV20" s="107"/>
      <c r="BW20" s="107"/>
      <c r="BX20" s="107"/>
      <c r="BY20" s="293"/>
      <c r="BZ20" s="291"/>
      <c r="CA20" s="107"/>
      <c r="CB20" s="107"/>
      <c r="CC20" s="107"/>
      <c r="CD20" s="293"/>
      <c r="CE20" s="291"/>
      <c r="CF20" s="107"/>
      <c r="CG20" s="107"/>
      <c r="CH20" s="107"/>
      <c r="CI20" s="293"/>
      <c r="CJ20" s="291"/>
      <c r="CK20" s="107"/>
      <c r="CL20" s="107"/>
      <c r="CM20" s="107"/>
      <c r="CN20" s="293"/>
      <c r="CO20" s="291"/>
      <c r="CP20" s="107"/>
      <c r="CQ20" s="107"/>
      <c r="CR20" s="107"/>
      <c r="CS20" s="293"/>
      <c r="CT20" s="291"/>
      <c r="CU20" s="107"/>
      <c r="CV20" s="107"/>
      <c r="CW20" s="107"/>
      <c r="CX20" s="293"/>
      <c r="CY20" s="291"/>
      <c r="CZ20" s="107"/>
      <c r="DA20" s="107"/>
      <c r="DB20" s="107"/>
      <c r="DC20" s="293"/>
      <c r="DD20" s="291"/>
      <c r="DE20" s="107"/>
      <c r="DF20" s="107"/>
      <c r="DG20" s="107"/>
      <c r="DH20" s="293"/>
      <c r="DI20" s="463"/>
      <c r="DJ20" s="463"/>
      <c r="DK20" s="463"/>
      <c r="DL20" s="463"/>
      <c r="DM20" s="466"/>
      <c r="DN20" s="463">
        <f t="shared" ref="DN20:ET20" si="16">DN17-DI17</f>
      </c>
      <c r="DO20" s="463">
        <f t="shared" si="16"/>
      </c>
      <c r="DP20" s="463">
        <f t="shared" si="16"/>
      </c>
      <c r="DQ20" s="463">
        <f t="shared" si="16"/>
      </c>
      <c r="DR20" s="466">
        <f t="shared" si="16"/>
      </c>
      <c r="DS20" s="463">
        <f t="shared" si="16"/>
      </c>
      <c r="DT20" s="463">
        <f t="shared" si="16"/>
      </c>
      <c r="DU20" s="463">
        <f t="shared" si="16"/>
      </c>
      <c r="DV20" s="463">
        <f t="shared" si="16"/>
      </c>
      <c r="DW20" s="466">
        <f t="shared" si="16"/>
      </c>
      <c r="DX20" s="463">
        <f t="shared" si="16"/>
      </c>
      <c r="DY20" s="463">
        <f t="shared" si="16"/>
      </c>
      <c r="DZ20" s="463">
        <f t="shared" si="16"/>
      </c>
      <c r="EA20" s="463">
        <f t="shared" si="16"/>
      </c>
      <c r="EB20" s="466">
        <f t="shared" si="16"/>
      </c>
      <c r="EC20" s="463">
        <f t="shared" si="16"/>
      </c>
      <c r="ED20" s="463">
        <f t="shared" si="16"/>
      </c>
      <c r="EE20" s="463">
        <f t="shared" si="16"/>
      </c>
      <c r="EF20" s="463">
        <f t="shared" si="16"/>
      </c>
      <c r="EG20" s="466">
        <f t="shared" si="16"/>
      </c>
      <c r="EH20" s="463">
        <f t="shared" si="16"/>
      </c>
      <c r="EI20" s="463">
        <f t="shared" si="16"/>
      </c>
      <c r="EJ20" s="463">
        <f t="shared" si="16"/>
      </c>
      <c r="EK20" s="463">
        <f t="shared" si="16"/>
      </c>
      <c r="EL20" s="466">
        <f t="shared" si="16"/>
      </c>
      <c r="EM20" s="463">
        <f t="shared" si="16"/>
      </c>
      <c r="EN20" s="463">
        <f t="shared" si="16"/>
      </c>
      <c r="EO20" s="463">
        <f t="shared" si="16"/>
      </c>
      <c r="EP20" s="463">
        <f t="shared" si="16"/>
      </c>
      <c r="EQ20" s="466">
        <f t="shared" si="16"/>
      </c>
      <c r="ER20" s="463">
        <f t="shared" si="16"/>
      </c>
      <c r="ES20" s="463">
        <f t="shared" si="16"/>
      </c>
      <c r="ET20" s="463">
        <f t="shared" si="16"/>
      </c>
      <c r="EU20" s="1399">
        <f>EU17-EP17</f>
      </c>
      <c r="EV20" s="466">
        <f>EV17-EQ17</f>
      </c>
      <c r="EW20" s="1399">
        <f t="shared" ref="EW20:EY20" si="17">EW17-ER17</f>
      </c>
      <c r="EX20" s="1399">
        <f t="shared" si="17"/>
      </c>
      <c r="EY20" s="1399">
        <f t="shared" si="17"/>
      </c>
      <c r="EZ20" s="1399">
        <f>EZ17-EU17</f>
      </c>
      <c r="FA20" s="466">
        <f>FA17-EV17</f>
      </c>
      <c r="FB20" s="291"/>
      <c r="FC20" s="107"/>
      <c r="FD20" s="107"/>
      <c r="FE20" s="107"/>
      <c r="FF20" s="293"/>
      <c r="FG20" s="291"/>
      <c r="FH20" s="107"/>
      <c r="FI20" s="107"/>
      <c r="FJ20" s="107"/>
      <c r="FK20" s="293"/>
      <c r="FL20" s="291"/>
      <c r="FM20" s="107"/>
      <c r="FN20" s="107"/>
      <c r="FO20" s="107"/>
      <c r="FP20" s="293"/>
      <c r="FQ20" s="291"/>
      <c r="FR20" s="107"/>
      <c r="FS20" s="107"/>
      <c r="FT20" s="107"/>
      <c r="FU20" s="293"/>
      <c r="FV20" s="291"/>
      <c r="FW20" s="107"/>
      <c r="FX20" s="107"/>
      <c r="FY20" s="107"/>
      <c r="FZ20" s="293"/>
      <c r="GA20" s="291"/>
      <c r="GB20" s="107"/>
      <c r="GC20" s="107"/>
      <c r="GD20" s="107"/>
      <c r="GE20" s="293"/>
      <c r="GF20" s="291"/>
      <c r="GG20" s="107"/>
      <c r="GH20" s="107"/>
      <c r="GI20" s="107"/>
      <c r="GJ20" s="293"/>
    </row>
    <row r="21" spans="1:192" ht="12.75" hidden="1" customHeight="1" outlineLevel="1">
      <c r="B21" s="617" t="s">
        <v>244</v>
      </c>
      <c r="C21" s="291"/>
      <c r="D21" s="137"/>
      <c r="E21" s="137"/>
      <c r="F21" s="137"/>
      <c r="G21" s="538"/>
      <c r="H21" s="291"/>
      <c r="I21" s="107"/>
      <c r="J21" s="107"/>
      <c r="K21" s="107"/>
      <c r="L21" s="293"/>
      <c r="M21" s="291"/>
      <c r="N21" s="107"/>
      <c r="O21" s="107"/>
      <c r="P21" s="107"/>
      <c r="Q21" s="293"/>
      <c r="R21" s="291"/>
      <c r="S21" s="107"/>
      <c r="T21" s="107"/>
      <c r="U21" s="107"/>
      <c r="V21" s="293"/>
      <c r="W21" s="291"/>
      <c r="X21" s="107"/>
      <c r="Y21" s="107"/>
      <c r="Z21" s="107"/>
      <c r="AA21" s="293"/>
      <c r="AB21" s="291"/>
      <c r="AC21" s="107"/>
      <c r="AD21" s="107"/>
      <c r="AE21" s="107"/>
      <c r="AF21" s="293"/>
      <c r="AG21" s="291"/>
      <c r="AH21" s="107"/>
      <c r="AI21" s="107"/>
      <c r="AJ21" s="107"/>
      <c r="AK21" s="293"/>
      <c r="AL21" s="291"/>
      <c r="AM21" s="107"/>
      <c r="AN21" s="107"/>
      <c r="AO21" s="107"/>
      <c r="AP21" s="293"/>
      <c r="AQ21" s="291"/>
      <c r="AR21" s="107"/>
      <c r="AS21" s="107"/>
      <c r="AT21" s="107"/>
      <c r="AU21" s="293"/>
      <c r="AV21" s="291"/>
      <c r="AW21" s="107"/>
      <c r="AX21" s="107"/>
      <c r="AY21" s="107"/>
      <c r="AZ21" s="293"/>
      <c r="BA21" s="291"/>
      <c r="BB21" s="107"/>
      <c r="BC21" s="107"/>
      <c r="BD21" s="107"/>
      <c r="BE21" s="293"/>
      <c r="BF21" s="291"/>
      <c r="BG21" s="107"/>
      <c r="BH21" s="107"/>
      <c r="BI21" s="107"/>
      <c r="BJ21" s="293"/>
      <c r="BK21" s="291"/>
      <c r="BL21" s="107"/>
      <c r="BM21" s="107"/>
      <c r="BN21" s="107"/>
      <c r="BO21" s="293"/>
      <c r="BP21" s="291"/>
      <c r="BQ21" s="107"/>
      <c r="BR21" s="107"/>
      <c r="BS21" s="107"/>
      <c r="BT21" s="293"/>
      <c r="BU21" s="291"/>
      <c r="BV21" s="107"/>
      <c r="BW21" s="107"/>
      <c r="BX21" s="107"/>
      <c r="BY21" s="293"/>
      <c r="BZ21" s="291"/>
      <c r="CA21" s="107"/>
      <c r="CB21" s="107"/>
      <c r="CC21" s="107"/>
      <c r="CD21" s="293"/>
      <c r="CE21" s="291"/>
      <c r="CF21" s="107"/>
      <c r="CG21" s="107"/>
      <c r="CH21" s="107"/>
      <c r="CI21" s="293"/>
      <c r="CJ21" s="291"/>
      <c r="CK21" s="107"/>
      <c r="CL21" s="107"/>
      <c r="CM21" s="107"/>
      <c r="CN21" s="293"/>
      <c r="CO21" s="291"/>
      <c r="CP21" s="107"/>
      <c r="CQ21" s="107"/>
      <c r="CR21" s="107"/>
      <c r="CS21" s="293"/>
      <c r="CT21" s="291"/>
      <c r="CU21" s="107"/>
      <c r="CV21" s="107"/>
      <c r="CW21" s="107"/>
      <c r="CX21" s="293"/>
      <c r="CY21" s="291"/>
      <c r="CZ21" s="107"/>
      <c r="DA21" s="107"/>
      <c r="DB21" s="107"/>
      <c r="DC21" s="293"/>
      <c r="DD21" s="291"/>
      <c r="DE21" s="107"/>
      <c r="DF21" s="107"/>
      <c r="DG21" s="107"/>
      <c r="DH21" s="293"/>
      <c r="DI21" s="470"/>
      <c r="DJ21" s="463">
        <f>DJ17-DI17</f>
      </c>
      <c r="DK21" s="463">
        <f>DK17-DJ17</f>
      </c>
      <c r="DL21" s="463">
        <f>DL17-DK17</f>
      </c>
      <c r="DM21" s="293"/>
      <c r="DN21" s="470">
        <f>DN17-DL17</f>
      </c>
      <c r="DO21" s="463">
        <f>DO17-DN17</f>
      </c>
      <c r="DP21" s="463">
        <f>DP17-DO17</f>
      </c>
      <c r="DQ21" s="463">
        <f>DQ17-DP17</f>
      </c>
      <c r="DR21" s="293"/>
      <c r="DS21" s="470">
        <f>DS17-DQ17</f>
      </c>
      <c r="DT21" s="463">
        <f>DT17-DS17</f>
      </c>
      <c r="DU21" s="463">
        <f>DU17-DT17</f>
      </c>
      <c r="DV21" s="463">
        <f>DV17-DU17</f>
      </c>
      <c r="DW21" s="293"/>
      <c r="DX21" s="470">
        <f>DX17-DV17</f>
      </c>
      <c r="DY21" s="463">
        <f>DY17-DX17</f>
      </c>
      <c r="DZ21" s="463">
        <f>DZ17-DY17</f>
      </c>
      <c r="EA21" s="463">
        <f>EA17-DZ17</f>
      </c>
      <c r="EB21" s="293"/>
      <c r="EC21" s="470">
        <f>EC17-EA17</f>
      </c>
      <c r="ED21" s="463">
        <f>ED17-EC17</f>
      </c>
      <c r="EE21" s="463">
        <f>EE17-ED17</f>
      </c>
      <c r="EF21" s="463">
        <f>EF17-EE17</f>
      </c>
      <c r="EG21" s="293"/>
      <c r="EH21" s="470">
        <f>EH17-EF17</f>
      </c>
      <c r="EI21" s="463">
        <f>EI17-EH17</f>
      </c>
      <c r="EJ21" s="463">
        <f>EJ17-EI17</f>
      </c>
      <c r="EK21" s="463">
        <f>EK17-EJ17</f>
      </c>
      <c r="EL21" s="293"/>
      <c r="EM21" s="470">
        <f>EM17-EK17</f>
      </c>
      <c r="EN21" s="463">
        <f>EN17-EM17</f>
      </c>
      <c r="EO21" s="463">
        <f>EO17-EN17</f>
      </c>
      <c r="EP21" s="463">
        <f>EP17-EO17</f>
      </c>
      <c r="EQ21" s="293"/>
      <c r="ER21" s="470">
        <f>ER17-EP17</f>
      </c>
      <c r="ES21" s="463">
        <f>ES17-ER17</f>
      </c>
      <c r="ET21" s="463">
        <f>ET17-ES17</f>
      </c>
      <c r="EU21" s="1399">
        <f>EU17-ET17</f>
      </c>
      <c r="EV21" s="293"/>
      <c r="EW21" s="470">
        <f>EW17-EU17</f>
      </c>
      <c r="EX21" s="1399">
        <f>EX17-EW17</f>
      </c>
      <c r="EY21" s="1399">
        <f>EY17-EX17</f>
      </c>
      <c r="EZ21" s="1399">
        <f>EZ17-EY17</f>
      </c>
      <c r="FA21" s="293"/>
      <c r="FB21" s="291"/>
      <c r="FC21" s="107"/>
      <c r="FD21" s="107"/>
      <c r="FE21" s="107"/>
      <c r="FF21" s="293"/>
      <c r="FG21" s="291"/>
      <c r="FH21" s="107"/>
      <c r="FI21" s="107"/>
      <c r="FJ21" s="107"/>
      <c r="FK21" s="293"/>
      <c r="FL21" s="291"/>
      <c r="FM21" s="107"/>
      <c r="FN21" s="107"/>
      <c r="FO21" s="107"/>
      <c r="FP21" s="293"/>
      <c r="FQ21" s="291"/>
      <c r="FR21" s="107"/>
      <c r="FS21" s="107"/>
      <c r="FT21" s="107"/>
      <c r="FU21" s="293"/>
      <c r="FV21" s="291"/>
      <c r="FW21" s="107"/>
      <c r="FX21" s="107"/>
      <c r="FY21" s="107"/>
      <c r="FZ21" s="293"/>
      <c r="GA21" s="291"/>
      <c r="GB21" s="107"/>
      <c r="GC21" s="107"/>
      <c r="GD21" s="107"/>
      <c r="GE21" s="293"/>
      <c r="GF21" s="291"/>
      <c r="GG21" s="107"/>
      <c r="GH21" s="107"/>
      <c r="GI21" s="107"/>
      <c r="GJ21" s="293"/>
    </row>
    <row r="22" spans="1:192" ht="12.75" hidden="1" customHeight="1" outlineLevel="1">
      <c r="B22" s="928" t="s">
        <v>257</v>
      </c>
      <c r="C22" s="291"/>
      <c r="D22" s="137"/>
      <c r="E22" s="137"/>
      <c r="F22" s="137"/>
      <c r="G22" s="538"/>
      <c r="H22" s="291"/>
      <c r="I22" s="107"/>
      <c r="J22" s="107"/>
      <c r="K22" s="107"/>
      <c r="L22" s="293"/>
      <c r="M22" s="291"/>
      <c r="N22" s="107"/>
      <c r="O22" s="107"/>
      <c r="P22" s="107"/>
      <c r="Q22" s="293"/>
      <c r="R22" s="291"/>
      <c r="S22" s="107"/>
      <c r="T22" s="107"/>
      <c r="U22" s="107"/>
      <c r="V22" s="293"/>
      <c r="W22" s="291"/>
      <c r="X22" s="107"/>
      <c r="Y22" s="107"/>
      <c r="Z22" s="107"/>
      <c r="AA22" s="293"/>
      <c r="AB22" s="291"/>
      <c r="AC22" s="107"/>
      <c r="AD22" s="107"/>
      <c r="AE22" s="107"/>
      <c r="AF22" s="293"/>
      <c r="AG22" s="291"/>
      <c r="AH22" s="107"/>
      <c r="AI22" s="107"/>
      <c r="AJ22" s="107"/>
      <c r="AK22" s="293"/>
      <c r="AL22" s="291"/>
      <c r="AM22" s="107"/>
      <c r="AN22" s="107"/>
      <c r="AO22" s="107"/>
      <c r="AP22" s="293"/>
      <c r="AQ22" s="291"/>
      <c r="AR22" s="107"/>
      <c r="AS22" s="107"/>
      <c r="AT22" s="107"/>
      <c r="AU22" s="293"/>
      <c r="AV22" s="291"/>
      <c r="AW22" s="107"/>
      <c r="AX22" s="107"/>
      <c r="AY22" s="107"/>
      <c r="AZ22" s="293"/>
      <c r="BA22" s="291"/>
      <c r="BB22" s="107"/>
      <c r="BC22" s="107"/>
      <c r="BD22" s="107"/>
      <c r="BE22" s="293"/>
      <c r="BF22" s="291"/>
      <c r="BG22" s="107"/>
      <c r="BH22" s="107"/>
      <c r="BI22" s="107"/>
      <c r="BJ22" s="293"/>
      <c r="BK22" s="291"/>
      <c r="BL22" s="107"/>
      <c r="BM22" s="107"/>
      <c r="BN22" s="107"/>
      <c r="BO22" s="293"/>
      <c r="BP22" s="291"/>
      <c r="BQ22" s="107"/>
      <c r="BR22" s="107"/>
      <c r="BS22" s="107"/>
      <c r="BT22" s="293"/>
      <c r="BU22" s="291"/>
      <c r="BV22" s="107"/>
      <c r="BW22" s="107"/>
      <c r="BX22" s="107"/>
      <c r="BY22" s="293"/>
      <c r="BZ22" s="291"/>
      <c r="CA22" s="107"/>
      <c r="CB22" s="107"/>
      <c r="CC22" s="107"/>
      <c r="CD22" s="293"/>
      <c r="CE22" s="291"/>
      <c r="CF22" s="107"/>
      <c r="CG22" s="107"/>
      <c r="CH22" s="107"/>
      <c r="CI22" s="293"/>
      <c r="CJ22" s="291"/>
      <c r="CK22" s="107"/>
      <c r="CL22" s="107"/>
      <c r="CM22" s="107"/>
      <c r="CN22" s="293"/>
      <c r="CO22" s="291"/>
      <c r="CP22" s="107"/>
      <c r="CQ22" s="107"/>
      <c r="CR22" s="107"/>
      <c r="CS22" s="293"/>
      <c r="CT22" s="291"/>
      <c r="CU22" s="107"/>
      <c r="CV22" s="107"/>
      <c r="CW22" s="107"/>
      <c r="CX22" s="293"/>
      <c r="CY22" s="291"/>
      <c r="CZ22" s="107"/>
      <c r="DA22" s="107"/>
      <c r="DB22" s="107"/>
      <c r="DC22" s="293"/>
      <c r="DD22" s="291"/>
      <c r="DE22" s="107"/>
      <c r="DF22" s="107"/>
      <c r="DG22" s="107"/>
      <c r="DH22" s="293"/>
      <c r="DI22" s="291">
        <f t="shared" ref="DI22:ES22" si="18">IFERROR(DI17/DI$24,"")</f>
      </c>
      <c r="DJ22" s="291">
        <f t="shared" si="18"/>
      </c>
      <c r="DK22" s="291">
        <f t="shared" si="18"/>
      </c>
      <c r="DL22" s="291">
        <f t="shared" si="18"/>
      </c>
      <c r="DM22" s="544">
        <f t="shared" si="18"/>
      </c>
      <c r="DN22" s="291">
        <f t="shared" si="18"/>
      </c>
      <c r="DO22" s="291">
        <f t="shared" si="18"/>
      </c>
      <c r="DP22" s="291">
        <f t="shared" si="18"/>
      </c>
      <c r="DQ22" s="291">
        <f t="shared" si="18"/>
      </c>
      <c r="DR22" s="544">
        <f t="shared" si="18"/>
      </c>
      <c r="DS22" s="291">
        <f t="shared" si="18"/>
      </c>
      <c r="DT22" s="291">
        <f t="shared" si="18"/>
      </c>
      <c r="DU22" s="291">
        <f t="shared" si="18"/>
      </c>
      <c r="DV22" s="291">
        <f t="shared" si="18"/>
      </c>
      <c r="DW22" s="544">
        <f t="shared" si="18"/>
      </c>
      <c r="DX22" s="291">
        <f t="shared" si="18"/>
      </c>
      <c r="DY22" s="291">
        <f t="shared" si="18"/>
      </c>
      <c r="DZ22" s="291">
        <f t="shared" si="18"/>
      </c>
      <c r="EA22" s="291">
        <f t="shared" si="18"/>
      </c>
      <c r="EB22" s="544">
        <f t="shared" si="18"/>
      </c>
      <c r="EC22" s="291">
        <f t="shared" si="18"/>
      </c>
      <c r="ED22" s="291">
        <f t="shared" si="18"/>
      </c>
      <c r="EE22" s="291">
        <f t="shared" si="18"/>
      </c>
      <c r="EF22" s="291">
        <f t="shared" si="18"/>
      </c>
      <c r="EG22" s="544">
        <f t="shared" si="18"/>
      </c>
      <c r="EH22" s="291">
        <f t="shared" si="18"/>
      </c>
      <c r="EI22" s="291">
        <f t="shared" si="18"/>
      </c>
      <c r="EJ22" s="291">
        <f t="shared" si="18"/>
      </c>
      <c r="EK22" s="291">
        <f t="shared" si="18"/>
      </c>
      <c r="EL22" s="544">
        <f t="shared" si="18"/>
      </c>
      <c r="EM22" s="291">
        <f t="shared" si="18"/>
      </c>
      <c r="EN22" s="291">
        <f t="shared" si="18"/>
      </c>
      <c r="EO22" s="291">
        <f t="shared" si="18"/>
      </c>
      <c r="EP22" s="291">
        <f t="shared" si="18"/>
      </c>
      <c r="EQ22" s="544">
        <f t="shared" si="18"/>
      </c>
      <c r="ER22" s="291">
        <f t="shared" si="18"/>
      </c>
      <c r="ES22" s="291">
        <f t="shared" si="18"/>
      </c>
      <c r="ET22" s="291">
        <f>IFERROR(ET17/ET$24,"")</f>
      </c>
      <c r="EU22" s="349">
        <f>IFERROR(EU17/EU$24,"")</f>
      </c>
      <c r="EV22" s="544">
        <f>IFERROR(EV17/EV$24,"")</f>
      </c>
      <c r="EW22" s="291">
        <f t="shared" ref="EW22:EX22" si="19">IFERROR(EW17/EW$24,"")</f>
      </c>
      <c r="EX22" s="349">
        <f t="shared" si="19"/>
      </c>
      <c r="EY22" s="349">
        <f>IFERROR(EY17/EY$24,"")</f>
      </c>
      <c r="EZ22" s="349">
        <f>IFERROR(EZ17/EZ$24,"")</f>
      </c>
      <c r="FA22" s="544">
        <f>IFERROR(FA17/FA$24,"")</f>
      </c>
      <c r="FB22" s="291"/>
      <c r="FC22" s="107"/>
      <c r="FD22" s="107"/>
      <c r="FE22" s="107"/>
      <c r="FF22" s="293"/>
      <c r="FG22" s="291"/>
      <c r="FH22" s="107"/>
      <c r="FI22" s="107"/>
      <c r="FJ22" s="107"/>
      <c r="FK22" s="293"/>
      <c r="FL22" s="291"/>
      <c r="FM22" s="107"/>
      <c r="FN22" s="107"/>
      <c r="FO22" s="107"/>
      <c r="FP22" s="293"/>
      <c r="FQ22" s="291"/>
      <c r="FR22" s="107"/>
      <c r="FS22" s="107"/>
      <c r="FT22" s="107"/>
      <c r="FU22" s="293"/>
      <c r="FV22" s="291"/>
      <c r="FW22" s="107"/>
      <c r="FX22" s="107"/>
      <c r="FY22" s="107"/>
      <c r="FZ22" s="293"/>
      <c r="GA22" s="291"/>
      <c r="GB22" s="107"/>
      <c r="GC22" s="107"/>
      <c r="GD22" s="107"/>
      <c r="GE22" s="293"/>
      <c r="GF22" s="291"/>
      <c r="GG22" s="107"/>
      <c r="GH22" s="107"/>
      <c r="GI22" s="107"/>
      <c r="GJ22" s="293"/>
    </row>
    <row r="23" spans="1:192" ht="12.75" hidden="1" customHeight="1" outlineLevel="1">
      <c r="C23" s="294"/>
      <c r="D23" s="295"/>
      <c r="E23" s="295"/>
      <c r="F23" s="295"/>
      <c r="G23" s="296"/>
      <c r="H23" s="294"/>
      <c r="I23" s="295"/>
      <c r="J23" s="295"/>
      <c r="K23" s="295"/>
      <c r="L23" s="296"/>
      <c r="M23" s="294"/>
      <c r="N23" s="295"/>
      <c r="O23" s="295"/>
      <c r="P23" s="295"/>
      <c r="Q23" s="296"/>
      <c r="R23" s="294"/>
      <c r="S23" s="295"/>
      <c r="T23" s="295"/>
      <c r="U23" s="295"/>
      <c r="V23" s="296"/>
      <c r="W23" s="294"/>
      <c r="X23" s="295"/>
      <c r="Y23" s="295"/>
      <c r="Z23" s="295"/>
      <c r="AA23" s="296"/>
      <c r="AB23" s="294"/>
      <c r="AC23" s="295"/>
      <c r="AD23" s="295"/>
      <c r="AE23" s="295"/>
      <c r="AF23" s="296"/>
      <c r="AG23" s="294"/>
      <c r="AH23" s="295"/>
      <c r="AI23" s="295"/>
      <c r="AJ23" s="295"/>
      <c r="AK23" s="296"/>
      <c r="AL23" s="294"/>
      <c r="AM23" s="295"/>
      <c r="AN23" s="295"/>
      <c r="AO23" s="295"/>
      <c r="AP23" s="296"/>
      <c r="AQ23" s="294"/>
      <c r="AR23" s="295"/>
      <c r="AS23" s="295"/>
      <c r="AT23" s="295"/>
      <c r="AU23" s="296"/>
      <c r="AV23" s="294"/>
      <c r="AW23" s="295"/>
      <c r="AX23" s="295"/>
      <c r="AY23" s="295"/>
      <c r="AZ23" s="296"/>
      <c r="BA23" s="294"/>
      <c r="BB23" s="295"/>
      <c r="BC23" s="295"/>
      <c r="BD23" s="295"/>
      <c r="BE23" s="296"/>
      <c r="BF23" s="294"/>
      <c r="BG23" s="295"/>
      <c r="BH23" s="295"/>
      <c r="BI23" s="295"/>
      <c r="BJ23" s="296"/>
      <c r="BK23" s="294"/>
      <c r="BL23" s="295"/>
      <c r="BM23" s="295"/>
      <c r="BN23" s="295"/>
      <c r="BO23" s="296"/>
      <c r="BP23" s="294"/>
      <c r="BQ23" s="295"/>
      <c r="BR23" s="295"/>
      <c r="BS23" s="295"/>
      <c r="BT23" s="296"/>
      <c r="BU23" s="294"/>
      <c r="BV23" s="295"/>
      <c r="BW23" s="295"/>
      <c r="BX23" s="295"/>
      <c r="BY23" s="296"/>
      <c r="BZ23" s="294"/>
      <c r="CA23" s="295"/>
      <c r="CB23" s="295"/>
      <c r="CC23" s="295"/>
      <c r="CD23" s="296"/>
      <c r="CE23" s="294"/>
      <c r="CF23" s="295"/>
      <c r="CG23" s="295"/>
      <c r="CH23" s="295"/>
      <c r="CI23" s="296"/>
      <c r="CJ23" s="294"/>
      <c r="CK23" s="295"/>
      <c r="CL23" s="295"/>
      <c r="CM23" s="295"/>
      <c r="CN23" s="296"/>
      <c r="CO23" s="294"/>
      <c r="CP23" s="295"/>
      <c r="CQ23" s="295"/>
      <c r="CR23" s="295"/>
      <c r="CS23" s="296"/>
      <c r="CT23" s="294"/>
      <c r="CU23" s="295"/>
      <c r="CV23" s="295"/>
      <c r="CW23" s="295"/>
      <c r="CX23" s="296"/>
      <c r="CY23" s="294"/>
      <c r="CZ23" s="295"/>
      <c r="DA23" s="295"/>
      <c r="DB23" s="295"/>
      <c r="DC23" s="296"/>
      <c r="DD23" s="294"/>
      <c r="DE23" s="295"/>
      <c r="DF23" s="295"/>
      <c r="DG23" s="295"/>
      <c r="DH23" s="296"/>
      <c r="DI23" s="294"/>
      <c r="DJ23" s="295"/>
      <c r="DK23" s="295"/>
      <c r="DL23" s="295"/>
      <c r="DM23" s="296"/>
      <c r="DN23" s="294"/>
      <c r="DO23" s="295"/>
      <c r="DP23" s="295"/>
      <c r="DQ23" s="295"/>
      <c r="DR23" s="296"/>
      <c r="DS23" s="294"/>
      <c r="DT23" s="295"/>
      <c r="DU23" s="295"/>
      <c r="DV23" s="295"/>
      <c r="DW23" s="296"/>
      <c r="DX23" s="294"/>
      <c r="DY23" s="295"/>
      <c r="DZ23" s="295"/>
      <c r="EA23" s="295"/>
      <c r="EB23" s="296"/>
      <c r="EC23" s="294"/>
      <c r="ED23" s="295"/>
      <c r="EE23" s="295"/>
      <c r="EF23" s="295"/>
      <c r="EG23" s="296"/>
      <c r="EH23" s="294"/>
      <c r="EI23" s="295"/>
      <c r="EJ23" s="295"/>
      <c r="EK23" s="295"/>
      <c r="EL23" s="296"/>
      <c r="EM23" s="294"/>
      <c r="EN23" s="295"/>
      <c r="EO23" s="295"/>
      <c r="EP23" s="295"/>
      <c r="EQ23" s="296"/>
      <c r="ER23" s="294"/>
      <c r="ES23" s="295"/>
      <c r="ET23" s="295"/>
      <c r="EU23" s="1491"/>
      <c r="EV23" s="296"/>
      <c r="EW23" s="294"/>
      <c r="EX23" s="469"/>
      <c r="EY23" s="469"/>
      <c r="EZ23" s="295"/>
      <c r="FA23" s="296"/>
      <c r="FB23" s="294"/>
      <c r="FC23" s="295"/>
      <c r="FD23" s="295"/>
      <c r="FE23" s="295"/>
      <c r="FF23" s="296"/>
      <c r="FG23" s="294"/>
      <c r="FH23" s="295"/>
      <c r="FI23" s="295"/>
      <c r="FJ23" s="295"/>
      <c r="FK23" s="296"/>
      <c r="FL23" s="294"/>
      <c r="FM23" s="295"/>
      <c r="FN23" s="295"/>
      <c r="FO23" s="295"/>
      <c r="FP23" s="296"/>
      <c r="FQ23" s="294"/>
      <c r="FR23" s="295"/>
      <c r="FS23" s="295"/>
      <c r="FT23" s="295"/>
      <c r="FU23" s="296"/>
      <c r="FV23" s="294"/>
      <c r="FW23" s="295"/>
      <c r="FX23" s="295"/>
      <c r="FY23" s="295"/>
      <c r="FZ23" s="296"/>
      <c r="GA23" s="294"/>
      <c r="GB23" s="295"/>
      <c r="GC23" s="295"/>
      <c r="GD23" s="295"/>
      <c r="GE23" s="296"/>
      <c r="GF23" s="294"/>
      <c r="GG23" s="295"/>
      <c r="GH23" s="295"/>
      <c r="GI23" s="295"/>
      <c r="GJ23" s="296"/>
    </row>
    <row r="24" spans="1:192" s="461" customFormat="1" ht="12.75" customHeight="1" collapsed="1">
      <c r="A24" s="370" t="s">
        <v>31</v>
      </c>
      <c r="B24" s="621" t="s">
        <v>32</v>
      </c>
      <c r="C24" s="624">
        <v>1247</v>
      </c>
      <c r="D24" s="624">
        <v>1482</v>
      </c>
      <c r="E24" s="624">
        <v>1587</v>
      </c>
      <c r="F24" s="624">
        <v>1621</v>
      </c>
      <c r="G24" s="622">
        <f>SUM(C24:F24)</f>
      </c>
      <c r="H24" s="624">
        <v>2016</v>
      </c>
      <c r="I24" s="624">
        <v>2195</v>
      </c>
      <c r="J24" s="624">
        <v>2205</v>
      </c>
      <c r="K24" s="624">
        <v>2255</v>
      </c>
      <c r="L24" s="622">
        <f>SUM(H24:K24)</f>
      </c>
      <c r="M24" s="624">
        <v>2295</v>
      </c>
      <c r="N24" s="624">
        <v>2680</v>
      </c>
      <c r="O24" s="624">
        <v>3208</v>
      </c>
      <c r="P24" s="624">
        <v>3175</v>
      </c>
      <c r="Q24" s="622">
        <f>SUM(M24:P24)</f>
      </c>
      <c r="R24" s="624">
        <v>3130</v>
      </c>
      <c r="S24" s="624">
        <v>3585</v>
      </c>
      <c r="T24" s="624">
        <v>3774</v>
      </c>
      <c r="U24" s="624">
        <v>3995</v>
      </c>
      <c r="V24" s="622">
        <f>SUM(R24:U24)</f>
      </c>
      <c r="W24" s="624">
        <v>4193</v>
      </c>
      <c r="X24" s="624">
        <v>5195</v>
      </c>
      <c r="Y24" s="624">
        <v>4595</v>
      </c>
      <c r="Z24" s="624">
        <v>5764</v>
      </c>
      <c r="AA24" s="622">
        <f>SUM(W24:Z24)</f>
      </c>
      <c r="AB24" s="624">
        <v>5384</v>
      </c>
      <c r="AC24" s="624">
        <v>6112</v>
      </c>
      <c r="AD24" s="624">
        <v>5656</v>
      </c>
      <c r="AE24" s="624">
        <v>5804</v>
      </c>
      <c r="AF24" s="622">
        <f>SUM(AB24:AE24)</f>
      </c>
      <c r="AG24" s="624">
        <v>5766</v>
      </c>
      <c r="AH24" s="624">
        <v>6550</v>
      </c>
      <c r="AI24" s="624">
        <v>6403</v>
      </c>
      <c r="AJ24" s="624">
        <v>6577</v>
      </c>
      <c r="AK24" s="622">
        <f>SUM(AG24:AJ24)</f>
      </c>
      <c r="AL24" s="624">
        <v>6126</v>
      </c>
      <c r="AM24" s="624">
        <v>7741</v>
      </c>
      <c r="AN24" s="624">
        <v>7245</v>
      </c>
      <c r="AO24" s="624">
        <v>7253</v>
      </c>
      <c r="AP24" s="622">
        <f>SUM(AL24:AO24)</f>
      </c>
      <c r="AQ24" s="624">
        <v>7746</v>
      </c>
      <c r="AR24" s="624">
        <v>8541</v>
      </c>
      <c r="AS24" s="624">
        <v>7835</v>
      </c>
      <c r="AT24" s="624">
        <v>8065</v>
      </c>
      <c r="AU24" s="622">
        <f>SUM(AQ24:AT24)</f>
      </c>
      <c r="AV24" s="624">
        <v>8215</v>
      </c>
      <c r="AW24" s="624">
        <v>10153</v>
      </c>
      <c r="AX24" s="624">
        <v>9175</v>
      </c>
      <c r="AY24" s="624">
        <v>9292</v>
      </c>
      <c r="AZ24" s="622">
        <f>SUM(AV24:AY24)</f>
      </c>
      <c r="BA24" s="624">
        <v>9189</v>
      </c>
      <c r="BB24" s="624">
        <v>10818</v>
      </c>
      <c r="BC24" s="624">
        <v>9620</v>
      </c>
      <c r="BD24" s="624">
        <v>10161</v>
      </c>
      <c r="BE24" s="622">
        <f>SUM(BA24:BD24)</f>
      </c>
      <c r="BF24" s="624">
        <v>9741</v>
      </c>
      <c r="BG24" s="624">
        <v>11837</v>
      </c>
      <c r="BH24" s="624">
        <v>10900</v>
      </c>
      <c r="BI24" s="624">
        <v>11804</v>
      </c>
      <c r="BJ24" s="622">
        <f>SUM(BF24:BI24)</f>
      </c>
      <c r="BK24" s="624">
        <v>10811</v>
      </c>
      <c r="BL24" s="624">
        <v>12542</v>
      </c>
      <c r="BM24" s="624">
        <v>14398</v>
      </c>
      <c r="BN24" s="624">
        <v>13371</v>
      </c>
      <c r="BO24" s="622">
        <f>SUM(BK24:BN24)</f>
      </c>
      <c r="BP24" s="624">
        <v>13762</v>
      </c>
      <c r="BQ24" s="624">
        <v>16367</v>
      </c>
      <c r="BR24" s="624">
        <v>14454</v>
      </c>
      <c r="BS24" s="624">
        <v>15837</v>
      </c>
      <c r="BT24" s="622">
        <f>SUM(BP24:BS24)</f>
      </c>
      <c r="BU24" s="624">
        <v>15061</v>
      </c>
      <c r="BV24" s="624">
        <v>16629</v>
      </c>
      <c r="BW24" s="624">
        <v>13648</v>
      </c>
      <c r="BX24" s="624">
        <v>13099</v>
      </c>
      <c r="BY24" s="622">
        <f>SUM(BU24:BX24)</f>
      </c>
      <c r="BZ24" s="624">
        <v>12920</v>
      </c>
      <c r="CA24" s="624">
        <v>19022</v>
      </c>
      <c r="CB24" s="624">
        <v>14503</v>
      </c>
      <c r="CC24" s="624">
        <v>16039</v>
      </c>
      <c r="CD24" s="622">
        <f>SUM(BZ24:CC24)</f>
      </c>
      <c r="CE24" s="624">
        <v>16195</v>
      </c>
      <c r="CF24" s="624">
        <v>19953</v>
      </c>
      <c r="CG24" s="624">
        <v>16428</v>
      </c>
      <c r="CH24" s="624">
        <v>17367</v>
      </c>
      <c r="CI24" s="622">
        <f>SUM(CE24:CH24)</f>
      </c>
      <c r="CJ24" s="624">
        <v>17372</v>
      </c>
      <c r="CK24" s="624">
        <v>20885</v>
      </c>
      <c r="CL24" s="624">
        <v>17407</v>
      </c>
      <c r="CM24" s="624">
        <v>18059</v>
      </c>
      <c r="CN24" s="622">
        <f>SUM(CJ24:CM24)</f>
      </c>
      <c r="CO24" s="624">
        <v>16008</v>
      </c>
      <c r="CP24" s="624">
        <v>21456</v>
      </c>
      <c r="CQ24" s="624">
        <v>20489</v>
      </c>
      <c r="CR24" s="624">
        <v>19896</v>
      </c>
      <c r="CS24" s="622">
        <f>SUM(CO24:CR24)</f>
      </c>
      <c r="CT24" s="624">
        <v>18529</v>
      </c>
      <c r="CU24" s="624">
        <v>24519</v>
      </c>
      <c r="CV24" s="624">
        <v>20403</v>
      </c>
      <c r="CW24" s="624">
        <v>23382</v>
      </c>
      <c r="CX24" s="622">
        <f>SUM(CT24:CW24)</f>
      </c>
      <c r="CY24" s="624">
        <v>23201</v>
      </c>
      <c r="CZ24" s="624">
        <v>26470</v>
      </c>
      <c r="DA24" s="624">
        <v>21729</v>
      </c>
      <c r="DB24" s="624">
        <v>22180</v>
      </c>
      <c r="DC24" s="622">
        <f>SUM(CY24:DB24)</f>
      </c>
      <c r="DD24" s="624">
        <v>20379</v>
      </c>
      <c r="DE24" s="624">
        <v>23796</v>
      </c>
      <c r="DF24" s="624">
        <v>20531</v>
      </c>
      <c r="DG24" s="624">
        <v>20614</v>
      </c>
      <c r="DH24" s="622">
        <f>SUM(DD24:DG24)</f>
      </c>
      <c r="DI24" s="619">
        <f>DI17+DI10</f>
      </c>
      <c r="DJ24" s="619">
        <f t="shared" ref="DJ24:EP24" si="20">DJ17+DJ10</f>
      </c>
      <c r="DK24" s="619">
        <f t="shared" si="20"/>
      </c>
      <c r="DL24" s="619">
        <f t="shared" si="20"/>
      </c>
      <c r="DM24" s="622">
        <f>SUM(DI24:DL24)</f>
      </c>
      <c r="DN24" s="619">
        <f>DN17+DN10</f>
      </c>
      <c r="DO24" s="619">
        <f t="shared" si="20"/>
      </c>
      <c r="DP24" s="619">
        <f t="shared" si="20"/>
      </c>
      <c r="DQ24" s="619">
        <f t="shared" si="20"/>
      </c>
      <c r="DR24" s="622">
        <f>SUM(DN24:DQ24)</f>
      </c>
      <c r="DS24" s="619">
        <f>DS17+DS10</f>
      </c>
      <c r="DT24" s="619">
        <f t="shared" si="20"/>
      </c>
      <c r="DU24" s="619">
        <f t="shared" si="20"/>
      </c>
      <c r="DV24" s="619">
        <f t="shared" si="20"/>
      </c>
      <c r="DW24" s="622">
        <f>SUM(DS24:DV24)</f>
      </c>
      <c r="DX24" s="619">
        <f>DX17+DX10</f>
      </c>
      <c r="DY24" s="619">
        <f t="shared" si="20"/>
      </c>
      <c r="DZ24" s="619">
        <f t="shared" si="20"/>
      </c>
      <c r="EA24" s="619">
        <f t="shared" si="20"/>
      </c>
      <c r="EB24" s="622">
        <f>SUM(DX24:EA24)</f>
      </c>
      <c r="EC24" s="619">
        <f>EC17+EC10</f>
      </c>
      <c r="ED24" s="619">
        <f t="shared" si="20"/>
      </c>
      <c r="EE24" s="619">
        <f t="shared" si="20"/>
      </c>
      <c r="EF24" s="619">
        <f t="shared" si="20"/>
      </c>
      <c r="EG24" s="622">
        <f>SUM(EC24:EF24)</f>
      </c>
      <c r="EH24" s="619">
        <f>EH17+EH10</f>
      </c>
      <c r="EI24" s="619">
        <f t="shared" si="20"/>
      </c>
      <c r="EJ24" s="619">
        <f t="shared" si="20"/>
      </c>
      <c r="EK24" s="619">
        <f t="shared" si="20"/>
      </c>
      <c r="EL24" s="622">
        <f>SUM(EH24:EK24)</f>
      </c>
      <c r="EM24" s="619">
        <f>EM17+EM10</f>
      </c>
      <c r="EN24" s="619">
        <f t="shared" si="20"/>
      </c>
      <c r="EO24" s="619">
        <f t="shared" si="20"/>
      </c>
      <c r="EP24" s="619">
        <f t="shared" si="20"/>
      </c>
      <c r="EQ24" s="622">
        <f>SUM(EM24:EP24)</f>
      </c>
      <c r="ER24" s="619">
        <f>ER17+ER10</f>
      </c>
      <c r="ES24" s="619">
        <f>ES17+ES10</f>
      </c>
      <c r="ET24" s="619">
        <f>ET17+ET10</f>
      </c>
      <c r="EU24" s="982">
        <f>EU17+EU10</f>
      </c>
      <c r="EV24" s="622">
        <f>SUM(ER24:EU24)</f>
      </c>
      <c r="EW24" s="619">
        <f>EW17+EW10</f>
      </c>
      <c r="EX24" s="982">
        <f>EX17+EX10</f>
      </c>
      <c r="EY24" s="982">
        <f>EY17+EY10</f>
      </c>
      <c r="EZ24" s="982">
        <f>EZ17+EZ10</f>
      </c>
      <c r="FA24" s="622">
        <f>SUM(EW24:EZ24)</f>
      </c>
      <c r="FB24" s="820">
        <f>PBP!FB10+IC!FB10+Company1738!FB10</f>
      </c>
      <c r="FC24" s="820">
        <f>PBP!FC10+IC!FC10+Company1738!FC10</f>
      </c>
      <c r="FD24" s="820">
        <f>PBP!FD10+IC!FD10+Company1738!FD10</f>
      </c>
      <c r="FE24" s="820">
        <f>PBP!FE10+IC!FE10+Company1738!FE10</f>
      </c>
      <c r="FF24" s="622">
        <f>SUM(FB24:FE24)</f>
      </c>
      <c r="FG24" s="820">
        <f>PBP!FG10+IC!FG10+Company1738!FG10</f>
      </c>
      <c r="FH24" s="820">
        <f>PBP!FH10+IC!FH10+Company1738!FH10</f>
      </c>
      <c r="FI24" s="820">
        <f>PBP!FI10+IC!FI10+Company1738!FI10</f>
      </c>
      <c r="FJ24" s="820">
        <f>PBP!FJ10+IC!FJ10+Company1738!FJ10</f>
      </c>
      <c r="FK24" s="622">
        <f>SUM(FG24:FJ24)</f>
      </c>
      <c r="FL24" s="820">
        <f>PBP!FL10+IC!FL10+Company1738!FL10</f>
      </c>
      <c r="FM24" s="820">
        <f>PBP!FM10+IC!FM10+Company1738!FM10</f>
      </c>
      <c r="FN24" s="820">
        <f>PBP!FN10+IC!FN10+Company1738!FN10</f>
      </c>
      <c r="FO24" s="820">
        <f>PBP!FO10+IC!FO10+Company1738!FO10</f>
      </c>
      <c r="FP24" s="622">
        <f>SUM(FL24:FO24)</f>
      </c>
      <c r="FQ24" s="820">
        <f>PBP!FQ10+IC!FQ10+Company1738!FQ10</f>
      </c>
      <c r="FR24" s="820">
        <f>PBP!FR10+IC!FR10+Company1738!FR10</f>
      </c>
      <c r="FS24" s="820">
        <f>PBP!FS10+IC!FS10+Company1738!FS10</f>
      </c>
      <c r="FT24" s="820">
        <f>PBP!FT10+IC!FT10+Company1738!FT10</f>
      </c>
      <c r="FU24" s="622">
        <f>SUM(FQ24:FT24)</f>
      </c>
      <c r="FV24" s="820">
        <f>PBP!FV10+IC!FV10+Company1738!FV10</f>
      </c>
      <c r="FW24" s="820">
        <f>PBP!FW10+IC!FW10+Company1738!FW10</f>
      </c>
      <c r="FX24" s="820">
        <f>PBP!FX10+IC!FX10+Company1738!FX10</f>
      </c>
      <c r="FY24" s="820">
        <f>PBP!FY10+IC!FY10+Company1738!FY10</f>
      </c>
      <c r="FZ24" s="622">
        <f>SUM(FV24:FY24)</f>
      </c>
      <c r="GA24" s="820">
        <f>PBP!GA10+IC!GA10+Company1738!GA10</f>
      </c>
      <c r="GB24" s="820">
        <f>PBP!GB10+IC!GB10+Company1738!GB10</f>
      </c>
      <c r="GC24" s="820">
        <f>PBP!GC10+IC!GC10+Company1738!GC10</f>
      </c>
      <c r="GD24" s="820">
        <f>PBP!GD10+IC!GD10+Company1738!GD10</f>
      </c>
      <c r="GE24" s="622">
        <f>SUM(GA24:GD24)</f>
      </c>
      <c r="GF24" s="820">
        <f>PBP!GF10+IC!GF10+Company1738!GF10</f>
      </c>
      <c r="GG24" s="820">
        <f>PBP!GG10+IC!GG10+Company1738!GG10</f>
      </c>
      <c r="GH24" s="820">
        <f>PBP!GH10+IC!GH10+Company1738!GH10</f>
      </c>
      <c r="GI24" s="820">
        <f>PBP!GI10+IC!GI10+Company1738!GI10</f>
      </c>
      <c r="GJ24" s="622">
        <f>SUM(GF24:GI24)</f>
      </c>
    </row>
    <row r="25" spans="1:192" s="1200" customFormat="1" ht="12.75" customHeight="1">
      <c r="A25" s="1272" t="s">
        <v>33</v>
      </c>
      <c r="B25" s="618" t="s">
        <v>34</v>
      </c>
      <c r="C25" s="892"/>
      <c r="D25" s="924"/>
      <c r="E25" s="924"/>
      <c r="F25" s="924"/>
      <c r="G25" s="1333"/>
      <c r="H25" s="892">
        <f t="shared" ref="H25:AM25" si="21">IFERROR(H24/C24-1,"")</f>
      </c>
      <c r="I25" s="924">
        <f t="shared" si="21"/>
      </c>
      <c r="J25" s="924">
        <f t="shared" si="21"/>
      </c>
      <c r="K25" s="924">
        <f t="shared" si="21"/>
      </c>
      <c r="L25" s="1240">
        <f t="shared" si="21"/>
      </c>
      <c r="M25" s="892">
        <f t="shared" si="21"/>
      </c>
      <c r="N25" s="924">
        <f t="shared" si="21"/>
      </c>
      <c r="O25" s="924">
        <f t="shared" si="21"/>
      </c>
      <c r="P25" s="924">
        <f t="shared" si="21"/>
      </c>
      <c r="Q25" s="1240">
        <f t="shared" si="21"/>
      </c>
      <c r="R25" s="892">
        <f t="shared" si="21"/>
      </c>
      <c r="S25" s="924">
        <f t="shared" si="21"/>
      </c>
      <c r="T25" s="924">
        <f t="shared" si="21"/>
      </c>
      <c r="U25" s="924">
        <f t="shared" si="21"/>
      </c>
      <c r="V25" s="1240">
        <f t="shared" si="21"/>
      </c>
      <c r="W25" s="892">
        <f t="shared" si="21"/>
      </c>
      <c r="X25" s="924">
        <f t="shared" si="21"/>
      </c>
      <c r="Y25" s="924">
        <f t="shared" si="21"/>
      </c>
      <c r="Z25" s="924">
        <f t="shared" si="21"/>
      </c>
      <c r="AA25" s="1240">
        <f t="shared" si="21"/>
      </c>
      <c r="AB25" s="892">
        <f t="shared" si="21"/>
      </c>
      <c r="AC25" s="924">
        <f t="shared" si="21"/>
      </c>
      <c r="AD25" s="924">
        <f t="shared" si="21"/>
      </c>
      <c r="AE25" s="924">
        <f t="shared" si="21"/>
      </c>
      <c r="AF25" s="1240">
        <f t="shared" si="21"/>
      </c>
      <c r="AG25" s="892">
        <f t="shared" si="21"/>
      </c>
      <c r="AH25" s="924">
        <f t="shared" si="21"/>
      </c>
      <c r="AI25" s="924">
        <f t="shared" si="21"/>
      </c>
      <c r="AJ25" s="924">
        <f t="shared" si="21"/>
      </c>
      <c r="AK25" s="1240">
        <f t="shared" si="21"/>
      </c>
      <c r="AL25" s="892">
        <f t="shared" si="21"/>
      </c>
      <c r="AM25" s="924">
        <f t="shared" si="21"/>
      </c>
      <c r="AN25" s="924">
        <f t="shared" ref="AN25:BS25" si="22">IFERROR(AN24/AI24-1,"")</f>
      </c>
      <c r="AO25" s="924">
        <f t="shared" si="22"/>
      </c>
      <c r="AP25" s="1240">
        <f t="shared" si="22"/>
      </c>
      <c r="AQ25" s="892">
        <f t="shared" si="22"/>
      </c>
      <c r="AR25" s="924">
        <f t="shared" si="22"/>
      </c>
      <c r="AS25" s="924">
        <f t="shared" si="22"/>
      </c>
      <c r="AT25" s="924">
        <f t="shared" si="22"/>
      </c>
      <c r="AU25" s="1240">
        <f t="shared" si="22"/>
      </c>
      <c r="AV25" s="892">
        <f t="shared" si="22"/>
      </c>
      <c r="AW25" s="924">
        <f t="shared" si="22"/>
      </c>
      <c r="AX25" s="924">
        <f t="shared" si="22"/>
      </c>
      <c r="AY25" s="924">
        <f t="shared" si="22"/>
      </c>
      <c r="AZ25" s="1240">
        <f t="shared" si="22"/>
      </c>
      <c r="BA25" s="892">
        <f t="shared" si="22"/>
      </c>
      <c r="BB25" s="924">
        <f t="shared" si="22"/>
      </c>
      <c r="BC25" s="924">
        <f t="shared" si="22"/>
      </c>
      <c r="BD25" s="924">
        <f t="shared" si="22"/>
      </c>
      <c r="BE25" s="1240">
        <f t="shared" si="22"/>
      </c>
      <c r="BF25" s="892">
        <f t="shared" si="22"/>
      </c>
      <c r="BG25" s="924">
        <f t="shared" si="22"/>
      </c>
      <c r="BH25" s="924">
        <f t="shared" si="22"/>
      </c>
      <c r="BI25" s="924">
        <f t="shared" si="22"/>
      </c>
      <c r="BJ25" s="1240">
        <f t="shared" si="22"/>
      </c>
      <c r="BK25" s="892">
        <f t="shared" si="22"/>
      </c>
      <c r="BL25" s="924">
        <f t="shared" si="22"/>
      </c>
      <c r="BM25" s="924">
        <f t="shared" si="22"/>
      </c>
      <c r="BN25" s="924">
        <f t="shared" si="22"/>
      </c>
      <c r="BO25" s="1240">
        <f t="shared" si="22"/>
      </c>
      <c r="BP25" s="892">
        <f t="shared" si="22"/>
      </c>
      <c r="BQ25" s="924">
        <f t="shared" si="22"/>
      </c>
      <c r="BR25" s="924">
        <f t="shared" si="22"/>
      </c>
      <c r="BS25" s="924">
        <f t="shared" si="22"/>
      </c>
      <c r="BT25" s="1240">
        <f t="shared" ref="BT25:CY25" si="23">IFERROR(BT24/BO24-1,"")</f>
      </c>
      <c r="BU25" s="892">
        <f t="shared" si="23"/>
      </c>
      <c r="BV25" s="924">
        <f t="shared" si="23"/>
      </c>
      <c r="BW25" s="924">
        <f t="shared" si="23"/>
      </c>
      <c r="BX25" s="924">
        <f t="shared" si="23"/>
      </c>
      <c r="BY25" s="1240">
        <f t="shared" si="23"/>
      </c>
      <c r="BZ25" s="892">
        <f t="shared" si="23"/>
      </c>
      <c r="CA25" s="924">
        <f t="shared" si="23"/>
      </c>
      <c r="CB25" s="924">
        <f t="shared" si="23"/>
      </c>
      <c r="CC25" s="924">
        <f t="shared" si="23"/>
      </c>
      <c r="CD25" s="1240">
        <f t="shared" si="23"/>
      </c>
      <c r="CE25" s="892">
        <f t="shared" si="23"/>
      </c>
      <c r="CF25" s="924">
        <f t="shared" si="23"/>
      </c>
      <c r="CG25" s="924">
        <f t="shared" si="23"/>
      </c>
      <c r="CH25" s="924">
        <f t="shared" si="23"/>
      </c>
      <c r="CI25" s="1240">
        <f t="shared" si="23"/>
      </c>
      <c r="CJ25" s="892">
        <f t="shared" si="23"/>
      </c>
      <c r="CK25" s="924">
        <f t="shared" si="23"/>
      </c>
      <c r="CL25" s="924">
        <f t="shared" si="23"/>
      </c>
      <c r="CM25" s="924">
        <f t="shared" si="23"/>
      </c>
      <c r="CN25" s="1240">
        <f t="shared" si="23"/>
      </c>
      <c r="CO25" s="892">
        <f t="shared" si="23"/>
      </c>
      <c r="CP25" s="924">
        <f t="shared" si="23"/>
      </c>
      <c r="CQ25" s="924">
        <f t="shared" si="23"/>
      </c>
      <c r="CR25" s="924">
        <f t="shared" si="23"/>
      </c>
      <c r="CS25" s="1240">
        <f t="shared" si="23"/>
      </c>
      <c r="CT25" s="892">
        <f t="shared" si="23"/>
      </c>
      <c r="CU25" s="924">
        <f t="shared" si="23"/>
      </c>
      <c r="CV25" s="924">
        <f t="shared" si="23"/>
      </c>
      <c r="CW25" s="924">
        <f t="shared" si="23"/>
      </c>
      <c r="CX25" s="1240">
        <f t="shared" si="23"/>
      </c>
      <c r="CY25" s="892">
        <f t="shared" si="23"/>
      </c>
      <c r="CZ25" s="924">
        <f t="shared" ref="CZ25:EE25" si="24">IFERROR(CZ24/CU24-1,"")</f>
      </c>
      <c r="DA25" s="924">
        <f t="shared" si="24"/>
      </c>
      <c r="DB25" s="924">
        <f t="shared" si="24"/>
      </c>
      <c r="DC25" s="1240">
        <f t="shared" si="24"/>
      </c>
      <c r="DD25" s="892">
        <f t="shared" si="24"/>
      </c>
      <c r="DE25" s="924">
        <f t="shared" si="24"/>
      </c>
      <c r="DF25" s="924">
        <f t="shared" si="24"/>
      </c>
      <c r="DG25" s="924">
        <f t="shared" si="24"/>
      </c>
      <c r="DH25" s="1240">
        <f t="shared" si="24"/>
      </c>
      <c r="DI25" s="892">
        <f t="shared" si="24"/>
      </c>
      <c r="DJ25" s="924">
        <f t="shared" si="24"/>
      </c>
      <c r="DK25" s="924">
        <f t="shared" si="24"/>
      </c>
      <c r="DL25" s="924">
        <f t="shared" si="24"/>
      </c>
      <c r="DM25" s="1240">
        <f t="shared" si="24"/>
      </c>
      <c r="DN25" s="892">
        <f t="shared" si="24"/>
      </c>
      <c r="DO25" s="924">
        <f t="shared" si="24"/>
      </c>
      <c r="DP25" s="924">
        <f t="shared" si="24"/>
      </c>
      <c r="DQ25" s="924">
        <f t="shared" si="24"/>
      </c>
      <c r="DR25" s="1240">
        <f t="shared" si="24"/>
      </c>
      <c r="DS25" s="892">
        <f t="shared" si="24"/>
      </c>
      <c r="DT25" s="924">
        <f t="shared" si="24"/>
      </c>
      <c r="DU25" s="924">
        <f t="shared" si="24"/>
      </c>
      <c r="DV25" s="924">
        <f t="shared" si="24"/>
      </c>
      <c r="DW25" s="1240">
        <f t="shared" si="24"/>
      </c>
      <c r="DX25" s="892">
        <f t="shared" si="24"/>
      </c>
      <c r="DY25" s="924">
        <f t="shared" si="24"/>
      </c>
      <c r="DZ25" s="924">
        <f t="shared" si="24"/>
      </c>
      <c r="EA25" s="924">
        <f t="shared" si="24"/>
      </c>
      <c r="EB25" s="1240">
        <f t="shared" si="24"/>
      </c>
      <c r="EC25" s="892">
        <f t="shared" si="24"/>
      </c>
      <c r="ED25" s="924">
        <f t="shared" si="24"/>
      </c>
      <c r="EE25" s="924">
        <f t="shared" si="24"/>
      </c>
      <c r="EF25" s="924">
        <f t="shared" ref="EF25:FK25" si="25">IFERROR(EF24/EA24-1,"")</f>
      </c>
      <c r="EG25" s="1240">
        <f t="shared" si="25"/>
      </c>
      <c r="EH25" s="892">
        <f t="shared" si="25"/>
      </c>
      <c r="EI25" s="924">
        <f t="shared" si="25"/>
      </c>
      <c r="EJ25" s="924">
        <f t="shared" si="25"/>
      </c>
      <c r="EK25" s="924">
        <f t="shared" si="25"/>
      </c>
      <c r="EL25" s="1240">
        <f t="shared" si="25"/>
      </c>
      <c r="EM25" s="892">
        <f t="shared" si="25"/>
      </c>
      <c r="EN25" s="924">
        <f t="shared" si="25"/>
      </c>
      <c r="EO25" s="924">
        <f t="shared" si="25"/>
      </c>
      <c r="EP25" s="924">
        <f t="shared" si="25"/>
      </c>
      <c r="EQ25" s="1240">
        <f t="shared" si="25"/>
      </c>
      <c r="ER25" s="892">
        <f t="shared" si="25"/>
      </c>
      <c r="ES25" s="924">
        <f t="shared" si="25"/>
      </c>
      <c r="ET25" s="924">
        <f t="shared" si="25"/>
      </c>
      <c r="EU25" s="924">
        <f>IFERROR(EU24/EP24-1,"")</f>
      </c>
      <c r="EV25" s="1240">
        <f>IFERROR(EV24/EQ24-1,"")</f>
      </c>
      <c r="EW25" s="892">
        <f t="shared" si="25"/>
      </c>
      <c r="EX25" s="1356">
        <f t="shared" si="25"/>
      </c>
      <c r="EY25" s="924">
        <f t="shared" si="25"/>
      </c>
      <c r="EZ25" s="924">
        <f t="shared" si="25"/>
      </c>
      <c r="FA25" s="1240">
        <f>IFERROR(FA24/EV24-1,"")</f>
      </c>
      <c r="FB25" s="892">
        <f t="shared" si="25"/>
      </c>
      <c r="FC25" s="924">
        <f t="shared" si="25"/>
      </c>
      <c r="FD25" s="924">
        <f t="shared" si="25"/>
      </c>
      <c r="FE25" s="924">
        <f t="shared" si="25"/>
      </c>
      <c r="FF25" s="1240">
        <f t="shared" si="25"/>
      </c>
      <c r="FG25" s="892">
        <f t="shared" si="25"/>
      </c>
      <c r="FH25" s="924">
        <f t="shared" si="25"/>
      </c>
      <c r="FI25" s="924">
        <f t="shared" si="25"/>
      </c>
      <c r="FJ25" s="924">
        <f t="shared" si="25"/>
      </c>
      <c r="FK25" s="1240">
        <f t="shared" si="25"/>
      </c>
      <c r="FL25" s="892">
        <f t="shared" ref="FL25:FZ25" si="26">IFERROR(FL24/FG24-1,"")</f>
      </c>
      <c r="FM25" s="924">
        <f t="shared" si="26"/>
      </c>
      <c r="FN25" s="924">
        <f t="shared" si="26"/>
      </c>
      <c r="FO25" s="924">
        <f t="shared" si="26"/>
      </c>
      <c r="FP25" s="1240">
        <f t="shared" si="26"/>
      </c>
      <c r="FQ25" s="892">
        <f t="shared" si="26"/>
      </c>
      <c r="FR25" s="924">
        <f t="shared" si="26"/>
      </c>
      <c r="FS25" s="924">
        <f t="shared" si="26"/>
      </c>
      <c r="FT25" s="924">
        <f t="shared" si="26"/>
      </c>
      <c r="FU25" s="1240">
        <f t="shared" si="26"/>
      </c>
      <c r="FV25" s="892">
        <f t="shared" si="26"/>
      </c>
      <c r="FW25" s="924">
        <f t="shared" si="26"/>
      </c>
      <c r="FX25" s="924">
        <f t="shared" si="26"/>
      </c>
      <c r="FY25" s="924">
        <f t="shared" si="26"/>
      </c>
      <c r="FZ25" s="1240">
        <f t="shared" si="26"/>
      </c>
      <c r="GA25" s="892">
        <f t="shared" ref="GA25:GJ25" si="27">IFERROR(GA24/FV24-1,"")</f>
      </c>
      <c r="GB25" s="924">
        <f t="shared" si="27"/>
      </c>
      <c r="GC25" s="924">
        <f t="shared" si="27"/>
      </c>
      <c r="GD25" s="924">
        <f t="shared" si="27"/>
      </c>
      <c r="GE25" s="1240">
        <f t="shared" si="27"/>
      </c>
      <c r="GF25" s="892">
        <f t="shared" si="27"/>
      </c>
      <c r="GG25" s="924">
        <f t="shared" si="27"/>
      </c>
      <c r="GH25" s="924">
        <f t="shared" si="27"/>
      </c>
      <c r="GI25" s="924">
        <f t="shared" si="27"/>
      </c>
      <c r="GJ25" s="1240">
        <f t="shared" si="27"/>
      </c>
    </row>
    <row r="26" spans="1:192" s="480" customFormat="1" ht="12.75" customHeight="1">
      <c r="A26" s="68" t="s">
        <v>331</v>
      </c>
      <c r="B26" s="86" t="s">
        <v>197</v>
      </c>
      <c r="C26" s="412"/>
      <c r="D26" s="114"/>
      <c r="E26" s="114"/>
      <c r="F26" s="114"/>
      <c r="G26" s="1112"/>
      <c r="H26" s="412"/>
      <c r="I26" s="114"/>
      <c r="J26" s="114"/>
      <c r="K26" s="114"/>
      <c r="L26" s="413"/>
      <c r="M26" s="412"/>
      <c r="N26" s="114"/>
      <c r="O26" s="114"/>
      <c r="P26" s="114"/>
      <c r="Q26" s="413"/>
      <c r="R26" s="412"/>
      <c r="S26" s="114"/>
      <c r="T26" s="114"/>
      <c r="U26" s="114"/>
      <c r="V26" s="413"/>
      <c r="W26" s="412"/>
      <c r="X26" s="114"/>
      <c r="Y26" s="114"/>
      <c r="Z26" s="114"/>
      <c r="AA26" s="413"/>
      <c r="AB26" s="412"/>
      <c r="AC26" s="114"/>
      <c r="AD26" s="114"/>
      <c r="AE26" s="114"/>
      <c r="AF26" s="413"/>
      <c r="AG26" s="412"/>
      <c r="AH26" s="114"/>
      <c r="AI26" s="114"/>
      <c r="AJ26" s="114"/>
      <c r="AK26" s="413"/>
      <c r="AL26" s="412"/>
      <c r="AM26" s="114"/>
      <c r="AN26" s="114"/>
      <c r="AO26" s="114"/>
      <c r="AP26" s="413"/>
      <c r="AQ26" s="412"/>
      <c r="AR26" s="114"/>
      <c r="AS26" s="114"/>
      <c r="AT26" s="114"/>
      <c r="AU26" s="413"/>
      <c r="AV26" s="412"/>
      <c r="AW26" s="114"/>
      <c r="AX26" s="114"/>
      <c r="AY26" s="114"/>
      <c r="AZ26" s="413"/>
      <c r="BA26" s="412"/>
      <c r="BB26" s="114"/>
      <c r="BC26" s="114"/>
      <c r="BD26" s="114"/>
      <c r="BE26" s="413"/>
      <c r="BF26" s="412"/>
      <c r="BG26" s="114"/>
      <c r="BH26" s="114"/>
      <c r="BI26" s="114"/>
      <c r="BJ26" s="413"/>
      <c r="BK26" s="412"/>
      <c r="BL26" s="114"/>
      <c r="BM26" s="114"/>
      <c r="BN26" s="114"/>
      <c r="BO26" s="413"/>
      <c r="BP26" s="412"/>
      <c r="BQ26" s="114"/>
      <c r="BR26" s="114"/>
      <c r="BS26" s="114"/>
      <c r="BT26" s="413"/>
      <c r="BU26" s="412"/>
      <c r="BV26" s="114"/>
      <c r="BW26" s="114"/>
      <c r="BX26" s="114"/>
      <c r="BY26" s="413"/>
      <c r="BZ26" s="412"/>
      <c r="CA26" s="114"/>
      <c r="CB26" s="114"/>
      <c r="CC26" s="114"/>
      <c r="CD26" s="413"/>
      <c r="CE26" s="412"/>
      <c r="CF26" s="114"/>
      <c r="CG26" s="114"/>
      <c r="CH26" s="114"/>
      <c r="CI26" s="413"/>
      <c r="CJ26" s="412"/>
      <c r="CK26" s="114"/>
      <c r="CL26" s="114"/>
      <c r="CM26" s="114"/>
      <c r="CN26" s="413"/>
      <c r="CO26" s="412"/>
      <c r="CP26" s="114"/>
      <c r="CQ26" s="114"/>
      <c r="CR26" s="114"/>
      <c r="CS26" s="413"/>
      <c r="CT26" s="412"/>
      <c r="CU26" s="114"/>
      <c r="CV26" s="114"/>
      <c r="CW26" s="114"/>
      <c r="CX26" s="413"/>
      <c r="CY26" s="412"/>
      <c r="CZ26" s="114"/>
      <c r="DA26" s="114">
        <v>0.09</v>
      </c>
      <c r="DB26" s="114">
        <v>-0.02</v>
      </c>
      <c r="DC26" s="413"/>
      <c r="DD26" s="412">
        <v>-0.02</v>
      </c>
      <c r="DE26" s="114">
        <v>0.03</v>
      </c>
      <c r="DF26" s="114">
        <v>0.05</v>
      </c>
      <c r="DG26" s="114">
        <v>0.05</v>
      </c>
      <c r="DH26" s="413"/>
      <c r="DI26" s="412">
        <v>0.05</v>
      </c>
      <c r="DJ26" s="114">
        <v>0.04</v>
      </c>
      <c r="DK26" s="114">
        <v>7.0000000000000007E-2</v>
      </c>
      <c r="DL26" s="114">
        <v>0.1</v>
      </c>
      <c r="DM26" s="413">
        <v>0.05</v>
      </c>
      <c r="DN26" s="412">
        <v>0.11</v>
      </c>
      <c r="DO26" s="114">
        <v>0.11</v>
      </c>
      <c r="DP26" s="114">
        <v>0.13</v>
      </c>
      <c r="DQ26" s="114">
        <v>0.15</v>
      </c>
      <c r="DR26" s="413"/>
      <c r="DS26" s="412">
        <v>0.18</v>
      </c>
      <c r="DT26" s="114">
        <v>0.13</v>
      </c>
      <c r="DU26" s="114">
        <v>0.16</v>
      </c>
      <c r="DV26" s="114">
        <v>0.14000000000000001</v>
      </c>
      <c r="DW26" s="413"/>
      <c r="DX26" s="412">
        <v>0.15</v>
      </c>
      <c r="DY26" s="114">
        <v>0.15</v>
      </c>
      <c r="DZ26" s="114">
        <v>0.16</v>
      </c>
      <c r="EA26" s="114">
        <v>0.15</v>
      </c>
      <c r="EB26" s="413"/>
      <c r="EC26" s="441">
        <v>0.12</v>
      </c>
      <c r="ED26" s="114">
        <v>0.15</v>
      </c>
      <c r="EE26" s="114">
        <v>0.16</v>
      </c>
      <c r="EF26" s="114">
        <v>0.17</v>
      </c>
      <c r="EG26" s="413"/>
      <c r="EH26" s="412">
        <v>0.2</v>
      </c>
      <c r="EI26" s="439">
        <v>0.2</v>
      </c>
      <c r="EJ26" s="114">
        <v>0.21</v>
      </c>
      <c r="EK26" s="114">
        <v>0.16</v>
      </c>
      <c r="EL26" s="413"/>
      <c r="EM26" s="412">
        <v>0.16</v>
      </c>
      <c r="EN26" s="114">
        <v>7.0000000000000007E-2</v>
      </c>
      <c r="EO26" s="114">
        <v>0.1</v>
      </c>
      <c r="EP26" s="114">
        <v>0.1</v>
      </c>
      <c r="EQ26" s="413"/>
      <c r="ER26" s="412">
        <v>0.12</v>
      </c>
      <c r="ES26" s="114">
        <v>0.16</v>
      </c>
      <c r="ET26" s="439">
        <v>0.17</v>
      </c>
      <c r="EU26" s="439">
        <v>0.16</v>
      </c>
      <c r="EV26" s="413"/>
      <c r="EW26" s="441">
        <v>0.16</v>
      </c>
      <c r="EX26" s="439"/>
      <c r="EY26" s="439">
        <v>0.15</v>
      </c>
      <c r="EZ26" s="439">
        <v>0.17</v>
      </c>
      <c r="FA26" s="413">
        <v>0.15</v>
      </c>
      <c r="FB26" s="412">
        <f>FB25-2%</f>
      </c>
      <c r="FC26" s="114"/>
      <c r="FD26" s="114"/>
      <c r="FE26" s="114"/>
      <c r="FF26" s="413"/>
      <c r="FG26" s="412"/>
      <c r="FH26" s="114"/>
      <c r="FI26" s="114"/>
      <c r="FJ26" s="114"/>
      <c r="FK26" s="413"/>
      <c r="FL26" s="412"/>
      <c r="FM26" s="114"/>
      <c r="FN26" s="114"/>
      <c r="FO26" s="114"/>
      <c r="FP26" s="413"/>
      <c r="FQ26" s="412"/>
      <c r="FR26" s="114"/>
      <c r="FS26" s="114"/>
      <c r="FT26" s="114"/>
      <c r="FU26" s="413"/>
      <c r="FV26" s="412"/>
      <c r="FW26" s="114"/>
      <c r="FX26" s="114"/>
      <c r="FY26" s="114"/>
      <c r="FZ26" s="413"/>
      <c r="GA26" s="412"/>
      <c r="GB26" s="114"/>
      <c r="GC26" s="114"/>
      <c r="GD26" s="114"/>
      <c r="GE26" s="413"/>
      <c r="GF26" s="412"/>
      <c r="GG26" s="114"/>
      <c r="GH26" s="114"/>
      <c r="GI26" s="114"/>
      <c r="GJ26" s="413"/>
    </row>
    <row r="27" spans="1:192" ht="12.75" customHeight="1">
      <c r="A27" s="68" t="s">
        <v>35</v>
      </c>
      <c r="B27" s="617" t="s">
        <v>36</v>
      </c>
      <c r="C27" s="291"/>
      <c r="D27" s="137"/>
      <c r="E27" s="137"/>
      <c r="F27" s="137"/>
      <c r="G27" s="538"/>
      <c r="H27" s="291">
        <f>IFERROR(H24/F24-1,"")</f>
      </c>
      <c r="I27" s="107">
        <f>IFERROR(I24/H24-1,"")</f>
      </c>
      <c r="J27" s="107">
        <f>IFERROR(J24/I24-1,"")</f>
      </c>
      <c r="K27" s="107">
        <f>IFERROR(K24/J24-1,"")</f>
      </c>
      <c r="L27" s="293"/>
      <c r="M27" s="291">
        <f>IFERROR(M24/K24-1,"")</f>
      </c>
      <c r="N27" s="107">
        <f>IFERROR(N24/M24-1,"")</f>
      </c>
      <c r="O27" s="107">
        <f>IFERROR(O24/N24-1,"")</f>
      </c>
      <c r="P27" s="107">
        <f>IFERROR(P24/O24-1,"")</f>
      </c>
      <c r="Q27" s="293"/>
      <c r="R27" s="291">
        <f>IFERROR(R24/P24-1,"")</f>
      </c>
      <c r="S27" s="107">
        <f>IFERROR(S24/R24-1,"")</f>
      </c>
      <c r="T27" s="107">
        <f>IFERROR(T24/S24-1,"")</f>
      </c>
      <c r="U27" s="107">
        <f>IFERROR(U24/T24-1,"")</f>
      </c>
      <c r="V27" s="293"/>
      <c r="W27" s="291">
        <f>IFERROR(W24/U24-1,"")</f>
      </c>
      <c r="X27" s="107">
        <f>IFERROR(X24/W24-1,"")</f>
      </c>
      <c r="Y27" s="107">
        <f>IFERROR(Y24/X24-1,"")</f>
      </c>
      <c r="Z27" s="107">
        <f>IFERROR(Z24/Y24-1,"")</f>
      </c>
      <c r="AA27" s="293"/>
      <c r="AB27" s="291">
        <f>IFERROR(AB24/Z24-1,"")</f>
      </c>
      <c r="AC27" s="107">
        <f>IFERROR(AC24/AB24-1,"")</f>
      </c>
      <c r="AD27" s="107">
        <f>IFERROR(AD24/AC24-1,"")</f>
      </c>
      <c r="AE27" s="107">
        <f>IFERROR(AE24/AD24-1,"")</f>
      </c>
      <c r="AF27" s="293"/>
      <c r="AG27" s="291">
        <f>IFERROR(AG24/AE24-1,"")</f>
      </c>
      <c r="AH27" s="107">
        <f>IFERROR(AH24/AG24-1,"")</f>
      </c>
      <c r="AI27" s="107">
        <f>IFERROR(AI24/AH24-1,"")</f>
      </c>
      <c r="AJ27" s="107">
        <f>IFERROR(AJ24/AI24-1,"")</f>
      </c>
      <c r="AK27" s="293"/>
      <c r="AL27" s="291">
        <f>IFERROR(AL24/AJ24-1,"")</f>
      </c>
      <c r="AM27" s="107">
        <f>IFERROR(AM24/AL24-1,"")</f>
      </c>
      <c r="AN27" s="107">
        <f>IFERROR(AN24/AM24-1,"")</f>
      </c>
      <c r="AO27" s="107">
        <f>IFERROR(AO24/AN24-1,"")</f>
      </c>
      <c r="AP27" s="293"/>
      <c r="AQ27" s="291">
        <f>IFERROR(AQ24/AO24-1,"")</f>
      </c>
      <c r="AR27" s="107">
        <f>IFERROR(AR24/AQ24-1,"")</f>
      </c>
      <c r="AS27" s="107">
        <f>IFERROR(AS24/AR24-1,"")</f>
      </c>
      <c r="AT27" s="107">
        <f>IFERROR(AT24/AS24-1,"")</f>
      </c>
      <c r="AU27" s="293"/>
      <c r="AV27" s="291">
        <f>IFERROR(AV24/AT24-1,"")</f>
      </c>
      <c r="AW27" s="107">
        <f>IFERROR(AW24/AV24-1,"")</f>
      </c>
      <c r="AX27" s="107">
        <f>IFERROR(AX24/AW24-1,"")</f>
      </c>
      <c r="AY27" s="107">
        <f>IFERROR(AY24/AX24-1,"")</f>
      </c>
      <c r="AZ27" s="293"/>
      <c r="BA27" s="291">
        <f>IFERROR(BA24/AY24-1,"")</f>
      </c>
      <c r="BB27" s="107">
        <f>IFERROR(BB24/BA24-1,"")</f>
      </c>
      <c r="BC27" s="107">
        <f>IFERROR(BC24/BB24-1,"")</f>
      </c>
      <c r="BD27" s="107">
        <f>IFERROR(BD24/BC24-1,"")</f>
      </c>
      <c r="BE27" s="293"/>
      <c r="BF27" s="291">
        <f>IFERROR(BF24/BD24-1,"")</f>
      </c>
      <c r="BG27" s="107">
        <f>IFERROR(BG24/BF24-1,"")</f>
      </c>
      <c r="BH27" s="107">
        <f>IFERROR(BH24/BG24-1,"")</f>
      </c>
      <c r="BI27" s="107">
        <f>IFERROR(BI24/BH24-1,"")</f>
      </c>
      <c r="BJ27" s="293"/>
      <c r="BK27" s="291">
        <f>IFERROR(BK24/BI24-1,"")</f>
      </c>
      <c r="BL27" s="107">
        <f>IFERROR(BL24/BK24-1,"")</f>
      </c>
      <c r="BM27" s="107">
        <f>IFERROR(BM24/BL24-1,"")</f>
      </c>
      <c r="BN27" s="107">
        <f>IFERROR(BN24/BM24-1,"")</f>
      </c>
      <c r="BO27" s="293"/>
      <c r="BP27" s="291">
        <f>IFERROR(BP24/BN24-1,"")</f>
      </c>
      <c r="BQ27" s="107">
        <f>IFERROR(BQ24/BP24-1,"")</f>
      </c>
      <c r="BR27" s="107">
        <f>IFERROR(BR24/BQ24-1,"")</f>
      </c>
      <c r="BS27" s="107">
        <f>IFERROR(BS24/BR24-1,"")</f>
      </c>
      <c r="BT27" s="293"/>
      <c r="BU27" s="291">
        <f>IFERROR(BU24/BS24-1,"")</f>
      </c>
      <c r="BV27" s="107">
        <f>IFERROR(BV24/BU24-1,"")</f>
      </c>
      <c r="BW27" s="107">
        <f>IFERROR(BW24/BV24-1,"")</f>
      </c>
      <c r="BX27" s="107">
        <f>IFERROR(BX24/BW24-1,"")</f>
      </c>
      <c r="BY27" s="293"/>
      <c r="BZ27" s="291">
        <f>IFERROR(BZ24/BX24-1,"")</f>
      </c>
      <c r="CA27" s="107">
        <f>IFERROR(CA24/BZ24-1,"")</f>
      </c>
      <c r="CB27" s="107">
        <f>IFERROR(CB24/CA24-1,"")</f>
      </c>
      <c r="CC27" s="107">
        <f>IFERROR(CC24/CB24-1,"")</f>
      </c>
      <c r="CD27" s="293"/>
      <c r="CE27" s="291">
        <f>IFERROR(CE24/CC24-1,"")</f>
      </c>
      <c r="CF27" s="107">
        <f>IFERROR(CF24/CE24-1,"")</f>
      </c>
      <c r="CG27" s="107">
        <f>IFERROR(CG24/CF24-1,"")</f>
      </c>
      <c r="CH27" s="107">
        <f>IFERROR(CH24/CG24-1,"")</f>
      </c>
      <c r="CI27" s="293"/>
      <c r="CJ27" s="291">
        <f>IFERROR(CJ24/CH24-1,"")</f>
      </c>
      <c r="CK27" s="107">
        <f>IFERROR(CK24/CJ24-1,"")</f>
      </c>
      <c r="CL27" s="107">
        <f>IFERROR(CL24/CK24-1,"")</f>
      </c>
      <c r="CM27" s="107">
        <f>IFERROR(CM24/CL24-1,"")</f>
      </c>
      <c r="CN27" s="293"/>
      <c r="CO27" s="291">
        <f>IFERROR(CO24/CM24-1,"")</f>
      </c>
      <c r="CP27" s="107">
        <f>IFERROR(CP24/CO24-1,"")</f>
      </c>
      <c r="CQ27" s="107">
        <f>IFERROR(CQ24/CP24-1,"")</f>
      </c>
      <c r="CR27" s="107">
        <f>IFERROR(CR24/CQ24-1,"")</f>
      </c>
      <c r="CS27" s="293"/>
      <c r="CT27" s="291">
        <f>IFERROR(CT24/CR24-1,"")</f>
      </c>
      <c r="CU27" s="107">
        <f>IFERROR(CU24/CT24-1,"")</f>
      </c>
      <c r="CV27" s="107">
        <f>IFERROR(CV24/CU24-1,"")</f>
      </c>
      <c r="CW27" s="107">
        <f>IFERROR(CW24/CV24-1,"")</f>
      </c>
      <c r="CX27" s="293"/>
      <c r="CY27" s="291">
        <f>IFERROR(CY24/CW24-1,"")</f>
      </c>
      <c r="CZ27" s="107">
        <f>IFERROR(CZ24/CY24-1,"")</f>
      </c>
      <c r="DA27" s="107">
        <f>IFERROR(DA24/CZ24-1,"")</f>
      </c>
      <c r="DB27" s="107">
        <f>IFERROR(DB24/DA24-1,"")</f>
      </c>
      <c r="DC27" s="293"/>
      <c r="DD27" s="291">
        <f>IFERROR(DD24/DB24-1,"")</f>
      </c>
      <c r="DE27" s="107">
        <f>IFERROR(DE24/DD24-1,"")</f>
      </c>
      <c r="DF27" s="107">
        <f>IFERROR(DF24/DE24-1,"")</f>
      </c>
      <c r="DG27" s="107">
        <f>IFERROR(DG24/DF24-1,"")</f>
      </c>
      <c r="DH27" s="293"/>
      <c r="DI27" s="291">
        <f>IFERROR(DI24/DG24-1,"")</f>
      </c>
      <c r="DJ27" s="107">
        <f>IFERROR(DJ24/DI24-1,"")</f>
      </c>
      <c r="DK27" s="107">
        <f>IFERROR(DK24/DJ24-1,"")</f>
      </c>
      <c r="DL27" s="107">
        <f>IFERROR(DL24/DK24-1,"")</f>
      </c>
      <c r="DM27" s="293"/>
      <c r="DN27" s="291">
        <f>IFERROR(DN24/DL24-1,"")</f>
      </c>
      <c r="DO27" s="107">
        <f>IFERROR(DO24/DN24-1,"")</f>
      </c>
      <c r="DP27" s="107">
        <f>IFERROR(DP24/DO24-1,"")</f>
      </c>
      <c r="DQ27" s="107">
        <f>IFERROR(DQ24/DP24-1,"")</f>
      </c>
      <c r="DR27" s="293"/>
      <c r="DS27" s="291">
        <f>IFERROR(DS24/DQ24-1,"")</f>
      </c>
      <c r="DT27" s="107">
        <f>IFERROR(DT24/DS24-1,"")</f>
      </c>
      <c r="DU27" s="107">
        <f>IFERROR(DU24/DT24-1,"")</f>
      </c>
      <c r="DV27" s="107">
        <f>IFERROR(DV24/DU24-1,"")</f>
      </c>
      <c r="DW27" s="293"/>
      <c r="DX27" s="291">
        <f>IFERROR(DX24/DV24-1,"")</f>
      </c>
      <c r="DY27" s="107">
        <f>IFERROR(DY24/DX24-1,"")</f>
      </c>
      <c r="DZ27" s="107">
        <f>IFERROR(DZ24/DY24-1,"")</f>
      </c>
      <c r="EA27" s="107">
        <f>IFERROR(EA24/DZ24-1,"")</f>
      </c>
      <c r="EB27" s="293"/>
      <c r="EC27" s="291">
        <f>IFERROR(EC24/EA24-1,"")</f>
      </c>
      <c r="ED27" s="107">
        <f>IFERROR(ED24/EC24-1,"")</f>
      </c>
      <c r="EE27" s="107">
        <f>IFERROR(EE24/ED24-1,"")</f>
      </c>
      <c r="EF27" s="107">
        <f>IFERROR(EF24/EE24-1,"")</f>
      </c>
      <c r="EG27" s="293"/>
      <c r="EH27" s="291">
        <f>IFERROR(EH24/EF24-1,"")</f>
      </c>
      <c r="EI27" s="107">
        <f>IFERROR(EI24/EH24-1,"")</f>
      </c>
      <c r="EJ27" s="107">
        <f>IFERROR(EJ24/EI24-1,"")</f>
      </c>
      <c r="EK27" s="107">
        <f>IFERROR(EK24/EJ24-1,"")</f>
      </c>
      <c r="EL27" s="293"/>
      <c r="EM27" s="291">
        <f>IFERROR(EM24/EK24-1,"")</f>
      </c>
      <c r="EN27" s="107">
        <f>IFERROR(EN24/EM24-1,"")</f>
      </c>
      <c r="EO27" s="107">
        <f>IFERROR(EO24/EN24-1,"")</f>
      </c>
      <c r="EP27" s="107">
        <f>IFERROR(EP24/EO24-1,"")</f>
      </c>
      <c r="EQ27" s="293"/>
      <c r="ER27" s="291">
        <f>IFERROR(ER24/EP24-1,"")</f>
      </c>
      <c r="ES27" s="107">
        <f>IFERROR(ES24/ER24-1,"")</f>
      </c>
      <c r="ET27" s="107">
        <f>IFERROR(ET24/ES24-1,"")</f>
      </c>
      <c r="EU27" s="107">
        <f>IFERROR(EU24/ET24-1,"")</f>
      </c>
      <c r="EV27" s="293"/>
      <c r="EW27" s="291">
        <f>IFERROR(EW24/EU24-1,"")</f>
      </c>
      <c r="EX27" s="468">
        <f>IFERROR(EX24/EW24-1,"")</f>
      </c>
      <c r="EY27" s="107">
        <f>IFERROR(EY24/EX24-1,"")</f>
      </c>
      <c r="EZ27" s="107">
        <f>IFERROR(EZ24/EY24-1,"")</f>
      </c>
      <c r="FA27" s="293"/>
      <c r="FB27" s="291">
        <f>IFERROR(FB24/EZ24-1,"")</f>
      </c>
      <c r="FC27" s="107">
        <f>IFERROR(FC24/FB24-1,"")</f>
      </c>
      <c r="FD27" s="107">
        <f>IFERROR(FD24/FC24-1,"")</f>
      </c>
      <c r="FE27" s="107">
        <f>IFERROR(FE24/FD24-1,"")</f>
      </c>
      <c r="FF27" s="293"/>
      <c r="FG27" s="291">
        <f>IFERROR(FG24/FE24-1,"")</f>
      </c>
      <c r="FH27" s="107">
        <f>IFERROR(FH24/FG24-1,"")</f>
      </c>
      <c r="FI27" s="107">
        <f>IFERROR(FI24/FH24-1,"")</f>
      </c>
      <c r="FJ27" s="107">
        <f>IFERROR(FJ24/FI24-1,"")</f>
      </c>
      <c r="FK27" s="293"/>
      <c r="FL27" s="291">
        <f>IFERROR(FL24/FJ24-1,"")</f>
      </c>
      <c r="FM27" s="107">
        <f>IFERROR(FM24/FL24-1,"")</f>
      </c>
      <c r="FN27" s="107">
        <f>IFERROR(FN24/FM24-1,"")</f>
      </c>
      <c r="FO27" s="107">
        <f>IFERROR(FO24/FN24-1,"")</f>
      </c>
      <c r="FP27" s="293"/>
      <c r="FQ27" s="291">
        <f>IFERROR(FQ24/FO24-1,"")</f>
      </c>
      <c r="FR27" s="107">
        <f>IFERROR(FR24/FQ24-1,"")</f>
      </c>
      <c r="FS27" s="107">
        <f>IFERROR(FS24/FR24-1,"")</f>
      </c>
      <c r="FT27" s="107">
        <f>IFERROR(FT24/FS24-1,"")</f>
      </c>
      <c r="FU27" s="293"/>
      <c r="FV27" s="291">
        <f>IFERROR(FV24/FT24-1,"")</f>
      </c>
      <c r="FW27" s="107">
        <f>IFERROR(FW24/FV24-1,"")</f>
      </c>
      <c r="FX27" s="107">
        <f>IFERROR(FX24/FW24-1,"")</f>
      </c>
      <c r="FY27" s="107">
        <f>IFERROR(FY24/FX24-1,"")</f>
      </c>
      <c r="FZ27" s="293"/>
      <c r="GA27" s="291">
        <f>IFERROR(GA24/FY24-1,"")</f>
      </c>
      <c r="GB27" s="107">
        <f>IFERROR(GB24/GA24-1,"")</f>
      </c>
      <c r="GC27" s="107">
        <f>IFERROR(GC24/GB24-1,"")</f>
      </c>
      <c r="GD27" s="107">
        <f>IFERROR(GD24/GC24-1,"")</f>
      </c>
      <c r="GE27" s="293"/>
      <c r="GF27" s="291">
        <f>IFERROR(GF24/GD24-1,"")</f>
      </c>
      <c r="GG27" s="107">
        <f>IFERROR(GG24/GF24-1,"")</f>
      </c>
      <c r="GH27" s="107">
        <f>IFERROR(GH24/GG24-1,"")</f>
      </c>
      <c r="GI27" s="107">
        <f>IFERROR(GI24/GH24-1,"")</f>
      </c>
      <c r="GJ27" s="293"/>
    </row>
    <row r="28" spans="1:192" s="335" customFormat="1" ht="12.75" customHeight="1">
      <c r="A28" s="68"/>
      <c r="B28" s="617" t="s">
        <v>243</v>
      </c>
      <c r="C28" s="463"/>
      <c r="D28" s="463"/>
      <c r="E28" s="463"/>
      <c r="F28" s="463"/>
      <c r="G28" s="809"/>
      <c r="H28" s="463">
        <f t="shared" ref="H28:AM28" si="28">H24-C24</f>
      </c>
      <c r="I28" s="463">
        <f t="shared" si="28"/>
      </c>
      <c r="J28" s="463">
        <f t="shared" si="28"/>
      </c>
      <c r="K28" s="463">
        <f t="shared" si="28"/>
      </c>
      <c r="L28" s="809">
        <f t="shared" si="28"/>
      </c>
      <c r="M28" s="463">
        <f t="shared" si="28"/>
      </c>
      <c r="N28" s="463">
        <f t="shared" si="28"/>
      </c>
      <c r="O28" s="463">
        <f t="shared" si="28"/>
      </c>
      <c r="P28" s="463">
        <f t="shared" si="28"/>
      </c>
      <c r="Q28" s="809">
        <f t="shared" si="28"/>
      </c>
      <c r="R28" s="463">
        <f t="shared" si="28"/>
      </c>
      <c r="S28" s="463">
        <f t="shared" si="28"/>
      </c>
      <c r="T28" s="463">
        <f t="shared" si="28"/>
      </c>
      <c r="U28" s="463">
        <f t="shared" si="28"/>
      </c>
      <c r="V28" s="809">
        <f t="shared" si="28"/>
      </c>
      <c r="W28" s="463">
        <f t="shared" si="28"/>
      </c>
      <c r="X28" s="463">
        <f t="shared" si="28"/>
      </c>
      <c r="Y28" s="463">
        <f t="shared" si="28"/>
      </c>
      <c r="Z28" s="463">
        <f t="shared" si="28"/>
      </c>
      <c r="AA28" s="809">
        <f t="shared" si="28"/>
      </c>
      <c r="AB28" s="463">
        <f t="shared" si="28"/>
      </c>
      <c r="AC28" s="463">
        <f t="shared" si="28"/>
      </c>
      <c r="AD28" s="463">
        <f t="shared" si="28"/>
      </c>
      <c r="AE28" s="463">
        <f t="shared" si="28"/>
      </c>
      <c r="AF28" s="809">
        <f t="shared" si="28"/>
      </c>
      <c r="AG28" s="463">
        <f t="shared" si="28"/>
      </c>
      <c r="AH28" s="463">
        <f t="shared" si="28"/>
      </c>
      <c r="AI28" s="463">
        <f t="shared" si="28"/>
      </c>
      <c r="AJ28" s="463">
        <f t="shared" si="28"/>
      </c>
      <c r="AK28" s="809">
        <f t="shared" si="28"/>
      </c>
      <c r="AL28" s="463">
        <f t="shared" si="28"/>
      </c>
      <c r="AM28" s="463">
        <f t="shared" si="28"/>
      </c>
      <c r="AN28" s="463">
        <f t="shared" ref="AN28:BS28" si="29">AN24-AI24</f>
      </c>
      <c r="AO28" s="463">
        <f t="shared" si="29"/>
      </c>
      <c r="AP28" s="809">
        <f t="shared" si="29"/>
      </c>
      <c r="AQ28" s="463">
        <f t="shared" si="29"/>
      </c>
      <c r="AR28" s="463">
        <f t="shared" si="29"/>
      </c>
      <c r="AS28" s="463">
        <f t="shared" si="29"/>
      </c>
      <c r="AT28" s="463">
        <f t="shared" si="29"/>
      </c>
      <c r="AU28" s="809">
        <f t="shared" si="29"/>
      </c>
      <c r="AV28" s="463">
        <f t="shared" si="29"/>
      </c>
      <c r="AW28" s="463">
        <f t="shared" si="29"/>
      </c>
      <c r="AX28" s="463">
        <f t="shared" si="29"/>
      </c>
      <c r="AY28" s="463">
        <f t="shared" si="29"/>
      </c>
      <c r="AZ28" s="809">
        <f t="shared" si="29"/>
      </c>
      <c r="BA28" s="463">
        <f t="shared" si="29"/>
      </c>
      <c r="BB28" s="463">
        <f t="shared" si="29"/>
      </c>
      <c r="BC28" s="463">
        <f t="shared" si="29"/>
      </c>
      <c r="BD28" s="463">
        <f t="shared" si="29"/>
      </c>
      <c r="BE28" s="809">
        <f t="shared" si="29"/>
      </c>
      <c r="BF28" s="463">
        <f t="shared" si="29"/>
      </c>
      <c r="BG28" s="463">
        <f t="shared" si="29"/>
      </c>
      <c r="BH28" s="463">
        <f t="shared" si="29"/>
      </c>
      <c r="BI28" s="463">
        <f t="shared" si="29"/>
      </c>
      <c r="BJ28" s="809">
        <f t="shared" si="29"/>
      </c>
      <c r="BK28" s="463">
        <f t="shared" si="29"/>
      </c>
      <c r="BL28" s="463">
        <f t="shared" si="29"/>
      </c>
      <c r="BM28" s="463">
        <f t="shared" si="29"/>
      </c>
      <c r="BN28" s="463">
        <f t="shared" si="29"/>
      </c>
      <c r="BO28" s="809">
        <f t="shared" si="29"/>
      </c>
      <c r="BP28" s="463">
        <f t="shared" si="29"/>
      </c>
      <c r="BQ28" s="463">
        <f t="shared" si="29"/>
      </c>
      <c r="BR28" s="463">
        <f t="shared" si="29"/>
      </c>
      <c r="BS28" s="463">
        <f t="shared" si="29"/>
      </c>
      <c r="BT28" s="809">
        <f t="shared" ref="BT28:CY28" si="30">BT24-BO24</f>
      </c>
      <c r="BU28" s="463">
        <f t="shared" si="30"/>
      </c>
      <c r="BV28" s="463">
        <f t="shared" si="30"/>
      </c>
      <c r="BW28" s="463">
        <f t="shared" si="30"/>
      </c>
      <c r="BX28" s="463">
        <f t="shared" si="30"/>
      </c>
      <c r="BY28" s="809">
        <f t="shared" si="30"/>
      </c>
      <c r="BZ28" s="463">
        <f t="shared" si="30"/>
      </c>
      <c r="CA28" s="463">
        <f t="shared" si="30"/>
      </c>
      <c r="CB28" s="463">
        <f t="shared" si="30"/>
      </c>
      <c r="CC28" s="463">
        <f t="shared" si="30"/>
      </c>
      <c r="CD28" s="809">
        <f t="shared" si="30"/>
      </c>
      <c r="CE28" s="463">
        <f t="shared" si="30"/>
      </c>
      <c r="CF28" s="463">
        <f t="shared" si="30"/>
      </c>
      <c r="CG28" s="463">
        <f t="shared" si="30"/>
      </c>
      <c r="CH28" s="463">
        <f t="shared" si="30"/>
      </c>
      <c r="CI28" s="809">
        <f t="shared" si="30"/>
      </c>
      <c r="CJ28" s="463">
        <f t="shared" si="30"/>
      </c>
      <c r="CK28" s="463">
        <f t="shared" si="30"/>
      </c>
      <c r="CL28" s="463">
        <f t="shared" si="30"/>
      </c>
      <c r="CM28" s="463">
        <f t="shared" si="30"/>
      </c>
      <c r="CN28" s="809">
        <f t="shared" si="30"/>
      </c>
      <c r="CO28" s="463">
        <f t="shared" si="30"/>
      </c>
      <c r="CP28" s="463">
        <f t="shared" si="30"/>
      </c>
      <c r="CQ28" s="463">
        <f t="shared" si="30"/>
      </c>
      <c r="CR28" s="463">
        <f t="shared" si="30"/>
      </c>
      <c r="CS28" s="809">
        <f t="shared" si="30"/>
      </c>
      <c r="CT28" s="463">
        <f t="shared" si="30"/>
      </c>
      <c r="CU28" s="463">
        <f t="shared" si="30"/>
      </c>
      <c r="CV28" s="463">
        <f t="shared" si="30"/>
      </c>
      <c r="CW28" s="463">
        <f t="shared" si="30"/>
      </c>
      <c r="CX28" s="809">
        <f t="shared" si="30"/>
      </c>
      <c r="CY28" s="463">
        <f t="shared" si="30"/>
      </c>
      <c r="CZ28" s="463">
        <f t="shared" ref="CZ28:EE28" si="31">CZ24-CU24</f>
      </c>
      <c r="DA28" s="463">
        <f t="shared" si="31"/>
      </c>
      <c r="DB28" s="463">
        <f t="shared" si="31"/>
      </c>
      <c r="DC28" s="809">
        <f t="shared" si="31"/>
      </c>
      <c r="DD28" s="463">
        <f t="shared" si="31"/>
      </c>
      <c r="DE28" s="463">
        <f t="shared" si="31"/>
      </c>
      <c r="DF28" s="463">
        <f t="shared" si="31"/>
      </c>
      <c r="DG28" s="463">
        <f t="shared" si="31"/>
      </c>
      <c r="DH28" s="809">
        <f t="shared" si="31"/>
      </c>
      <c r="DI28" s="463">
        <f t="shared" si="31"/>
      </c>
      <c r="DJ28" s="463">
        <f t="shared" si="31"/>
      </c>
      <c r="DK28" s="463">
        <f t="shared" si="31"/>
      </c>
      <c r="DL28" s="463">
        <f t="shared" si="31"/>
      </c>
      <c r="DM28" s="809">
        <f t="shared" si="31"/>
      </c>
      <c r="DN28" s="463">
        <f t="shared" si="31"/>
      </c>
      <c r="DO28" s="463">
        <f t="shared" si="31"/>
      </c>
      <c r="DP28" s="463">
        <f t="shared" si="31"/>
      </c>
      <c r="DQ28" s="463">
        <f t="shared" si="31"/>
      </c>
      <c r="DR28" s="809">
        <f t="shared" si="31"/>
      </c>
      <c r="DS28" s="463">
        <f t="shared" si="31"/>
      </c>
      <c r="DT28" s="463">
        <f t="shared" si="31"/>
      </c>
      <c r="DU28" s="463">
        <f t="shared" si="31"/>
      </c>
      <c r="DV28" s="463">
        <f t="shared" si="31"/>
      </c>
      <c r="DW28" s="809">
        <f t="shared" si="31"/>
      </c>
      <c r="DX28" s="463">
        <f t="shared" si="31"/>
      </c>
      <c r="DY28" s="463">
        <f t="shared" si="31"/>
      </c>
      <c r="DZ28" s="463">
        <f t="shared" si="31"/>
      </c>
      <c r="EA28" s="463">
        <f t="shared" si="31"/>
      </c>
      <c r="EB28" s="809">
        <f t="shared" si="31"/>
      </c>
      <c r="EC28" s="463">
        <f t="shared" si="31"/>
      </c>
      <c r="ED28" s="463">
        <f t="shared" si="31"/>
      </c>
      <c r="EE28" s="463">
        <f t="shared" si="31"/>
      </c>
      <c r="EF28" s="463">
        <f t="shared" ref="EF28:FK28" si="32">EF24-EA24</f>
      </c>
      <c r="EG28" s="809">
        <f t="shared" si="32"/>
      </c>
      <c r="EH28" s="463">
        <f t="shared" si="32"/>
      </c>
      <c r="EI28" s="463">
        <f t="shared" si="32"/>
      </c>
      <c r="EJ28" s="463">
        <f t="shared" si="32"/>
      </c>
      <c r="EK28" s="463">
        <f t="shared" si="32"/>
      </c>
      <c r="EL28" s="809">
        <f t="shared" si="32"/>
      </c>
      <c r="EM28" s="463">
        <f t="shared" si="32"/>
      </c>
      <c r="EN28" s="463">
        <f t="shared" si="32"/>
      </c>
      <c r="EO28" s="463">
        <f t="shared" si="32"/>
      </c>
      <c r="EP28" s="463">
        <f t="shared" si="32"/>
      </c>
      <c r="EQ28" s="809">
        <f t="shared" si="32"/>
      </c>
      <c r="ER28" s="463">
        <f t="shared" si="32"/>
      </c>
      <c r="ES28" s="463">
        <f t="shared" si="32"/>
      </c>
      <c r="ET28" s="463">
        <f t="shared" si="32"/>
      </c>
      <c r="EU28" s="463">
        <f>EU24-EP24</f>
      </c>
      <c r="EV28" s="809">
        <f>EV24-EQ24</f>
      </c>
      <c r="EW28" s="463">
        <f t="shared" si="32"/>
      </c>
      <c r="EX28" s="1399">
        <f t="shared" si="32"/>
      </c>
      <c r="EY28" s="463">
        <f t="shared" si="32"/>
      </c>
      <c r="EZ28" s="463">
        <f>EZ24-EU24</f>
      </c>
      <c r="FA28" s="809">
        <f>FA24-EV24</f>
      </c>
      <c r="FB28" s="463">
        <f t="shared" si="32"/>
      </c>
      <c r="FC28" s="463">
        <f t="shared" si="32"/>
      </c>
      <c r="FD28" s="463">
        <f t="shared" si="32"/>
      </c>
      <c r="FE28" s="463">
        <f t="shared" si="32"/>
      </c>
      <c r="FF28" s="809">
        <f t="shared" si="32"/>
      </c>
      <c r="FG28" s="463">
        <f t="shared" si="32"/>
      </c>
      <c r="FH28" s="463">
        <f t="shared" si="32"/>
      </c>
      <c r="FI28" s="463">
        <f t="shared" si="32"/>
      </c>
      <c r="FJ28" s="463">
        <f t="shared" si="32"/>
      </c>
      <c r="FK28" s="809">
        <f t="shared" si="32"/>
      </c>
      <c r="FL28" s="463">
        <f t="shared" ref="FL28:FZ28" si="33">FL24-FG24</f>
      </c>
      <c r="FM28" s="463">
        <f t="shared" si="33"/>
      </c>
      <c r="FN28" s="463">
        <f t="shared" si="33"/>
      </c>
      <c r="FO28" s="463">
        <f t="shared" si="33"/>
      </c>
      <c r="FP28" s="809">
        <f t="shared" si="33"/>
      </c>
      <c r="FQ28" s="463">
        <f t="shared" si="33"/>
      </c>
      <c r="FR28" s="463">
        <f t="shared" si="33"/>
      </c>
      <c r="FS28" s="463">
        <f t="shared" si="33"/>
      </c>
      <c r="FT28" s="463">
        <f t="shared" si="33"/>
      </c>
      <c r="FU28" s="809">
        <f t="shared" si="33"/>
      </c>
      <c r="FV28" s="463">
        <f t="shared" si="33"/>
      </c>
      <c r="FW28" s="463">
        <f t="shared" si="33"/>
      </c>
      <c r="FX28" s="463">
        <f t="shared" si="33"/>
      </c>
      <c r="FY28" s="463">
        <f t="shared" si="33"/>
      </c>
      <c r="FZ28" s="809">
        <f t="shared" si="33"/>
      </c>
      <c r="GA28" s="463">
        <f t="shared" ref="GA28:GJ28" si="34">GA24-FV24</f>
      </c>
      <c r="GB28" s="463">
        <f t="shared" si="34"/>
      </c>
      <c r="GC28" s="463">
        <f t="shared" si="34"/>
      </c>
      <c r="GD28" s="463">
        <f t="shared" si="34"/>
      </c>
      <c r="GE28" s="809">
        <f t="shared" si="34"/>
      </c>
      <c r="GF28" s="463">
        <f t="shared" si="34"/>
      </c>
      <c r="GG28" s="463">
        <f t="shared" si="34"/>
      </c>
      <c r="GH28" s="463">
        <f t="shared" si="34"/>
      </c>
      <c r="GI28" s="463">
        <f t="shared" si="34"/>
      </c>
      <c r="GJ28" s="809">
        <f t="shared" si="34"/>
      </c>
    </row>
    <row r="29" spans="1:192" s="335" customFormat="1" ht="12.75" customHeight="1">
      <c r="A29" s="68"/>
      <c r="B29" s="617" t="s">
        <v>244</v>
      </c>
      <c r="C29" s="470"/>
      <c r="D29" s="463">
        <f>D24-C24</f>
      </c>
      <c r="E29" s="463">
        <f>E24-D24</f>
      </c>
      <c r="F29" s="463">
        <f>F24-E24</f>
      </c>
      <c r="G29" s="292"/>
      <c r="H29" s="470">
        <f>H24-F24</f>
      </c>
      <c r="I29" s="463">
        <f>I24-H24</f>
      </c>
      <c r="J29" s="463">
        <f>J24-I24</f>
      </c>
      <c r="K29" s="463">
        <f>K24-J24</f>
      </c>
      <c r="L29" s="292"/>
      <c r="M29" s="470">
        <f>M24-K24</f>
      </c>
      <c r="N29" s="463">
        <f>N24-M24</f>
      </c>
      <c r="O29" s="463">
        <f>O24-N24</f>
      </c>
      <c r="P29" s="463">
        <f>P24-O24</f>
      </c>
      <c r="Q29" s="292"/>
      <c r="R29" s="470">
        <f>R24-P24</f>
      </c>
      <c r="S29" s="463">
        <f>S24-R24</f>
      </c>
      <c r="T29" s="463">
        <f>T24-S24</f>
      </c>
      <c r="U29" s="463">
        <f>U24-T24</f>
      </c>
      <c r="V29" s="292"/>
      <c r="W29" s="470">
        <f>W24-U24</f>
      </c>
      <c r="X29" s="463">
        <f>X24-W24</f>
      </c>
      <c r="Y29" s="463">
        <f>Y24-X24</f>
      </c>
      <c r="Z29" s="463">
        <f>Z24-Y24</f>
      </c>
      <c r="AA29" s="292"/>
      <c r="AB29" s="470">
        <f>AB24-Z24</f>
      </c>
      <c r="AC29" s="463">
        <f>AC24-AB24</f>
      </c>
      <c r="AD29" s="463">
        <f>AD24-AC24</f>
      </c>
      <c r="AE29" s="463">
        <f>AE24-AD24</f>
      </c>
      <c r="AF29" s="292"/>
      <c r="AG29" s="470">
        <f>AG24-AE24</f>
      </c>
      <c r="AH29" s="463">
        <f>AH24-AG24</f>
      </c>
      <c r="AI29" s="463">
        <f>AI24-AH24</f>
      </c>
      <c r="AJ29" s="463">
        <f>AJ24-AI24</f>
      </c>
      <c r="AK29" s="292"/>
      <c r="AL29" s="470">
        <f>AL24-AJ24</f>
      </c>
      <c r="AM29" s="463">
        <f>AM24-AL24</f>
      </c>
      <c r="AN29" s="463">
        <f>AN24-AM24</f>
      </c>
      <c r="AO29" s="463">
        <f>AO24-AN24</f>
      </c>
      <c r="AP29" s="292"/>
      <c r="AQ29" s="470">
        <f>AQ24-AO24</f>
      </c>
      <c r="AR29" s="463">
        <f>AR24-AQ24</f>
      </c>
      <c r="AS29" s="463">
        <f>AS24-AR24</f>
      </c>
      <c r="AT29" s="463">
        <f>AT24-AS24</f>
      </c>
      <c r="AU29" s="292"/>
      <c r="AV29" s="470">
        <f>AV24-AT24</f>
      </c>
      <c r="AW29" s="463">
        <f>AW24-AV24</f>
      </c>
      <c r="AX29" s="463">
        <f>AX24-AW24</f>
      </c>
      <c r="AY29" s="463">
        <f>AY24-AX24</f>
      </c>
      <c r="AZ29" s="292"/>
      <c r="BA29" s="470">
        <f>BA24-AY24</f>
      </c>
      <c r="BB29" s="463">
        <f>BB24-BA24</f>
      </c>
      <c r="BC29" s="463">
        <f>BC24-BB24</f>
      </c>
      <c r="BD29" s="463">
        <f>BD24-BC24</f>
      </c>
      <c r="BE29" s="292"/>
      <c r="BF29" s="470">
        <f>BF24-BD24</f>
      </c>
      <c r="BG29" s="463">
        <f>BG24-BF24</f>
      </c>
      <c r="BH29" s="463">
        <f>BH24-BG24</f>
      </c>
      <c r="BI29" s="463">
        <f>BI24-BH24</f>
      </c>
      <c r="BJ29" s="292"/>
      <c r="BK29" s="470">
        <f>BK24-BI24</f>
      </c>
      <c r="BL29" s="463">
        <f>BL24-BK24</f>
      </c>
      <c r="BM29" s="463">
        <f>BM24-BL24</f>
      </c>
      <c r="BN29" s="463">
        <f>BN24-BM24</f>
      </c>
      <c r="BO29" s="292"/>
      <c r="BP29" s="470">
        <f>BP24-BN24</f>
      </c>
      <c r="BQ29" s="463">
        <f>BQ24-BP24</f>
      </c>
      <c r="BR29" s="463">
        <f>BR24-BQ24</f>
      </c>
      <c r="BS29" s="463">
        <f>BS24-BR24</f>
      </c>
      <c r="BT29" s="292"/>
      <c r="BU29" s="470">
        <f>BU24-BS24</f>
      </c>
      <c r="BV29" s="463">
        <f>BV24-BU24</f>
      </c>
      <c r="BW29" s="463">
        <f>BW24-BV24</f>
      </c>
      <c r="BX29" s="463">
        <f>BX24-BW24</f>
      </c>
      <c r="BY29" s="292"/>
      <c r="BZ29" s="470">
        <f>BZ24-BX24</f>
      </c>
      <c r="CA29" s="463">
        <f>CA24-BZ24</f>
      </c>
      <c r="CB29" s="463">
        <f>CB24-CA24</f>
      </c>
      <c r="CC29" s="463">
        <f>CC24-CB24</f>
      </c>
      <c r="CD29" s="292"/>
      <c r="CE29" s="470">
        <f>CE24-CC24</f>
      </c>
      <c r="CF29" s="463">
        <f>CF24-CE24</f>
      </c>
      <c r="CG29" s="463">
        <f>CG24-CF24</f>
      </c>
      <c r="CH29" s="463">
        <f>CH24-CG24</f>
      </c>
      <c r="CI29" s="292"/>
      <c r="CJ29" s="470">
        <f>CJ24-CH24</f>
      </c>
      <c r="CK29" s="463">
        <f>CK24-CJ24</f>
      </c>
      <c r="CL29" s="463">
        <f>CL24-CK24</f>
      </c>
      <c r="CM29" s="463">
        <f>CM24-CL24</f>
      </c>
      <c r="CN29" s="292"/>
      <c r="CO29" s="470">
        <f>CO24-CM24</f>
      </c>
      <c r="CP29" s="463">
        <f>CP24-CO24</f>
      </c>
      <c r="CQ29" s="463">
        <f>CQ24-CP24</f>
      </c>
      <c r="CR29" s="463">
        <f>CR24-CQ24</f>
      </c>
      <c r="CS29" s="292"/>
      <c r="CT29" s="470">
        <f>CT24-CR24</f>
      </c>
      <c r="CU29" s="463">
        <f>CU24-CT24</f>
      </c>
      <c r="CV29" s="463">
        <f>CV24-CU24</f>
      </c>
      <c r="CW29" s="463">
        <f>CW24-CV24</f>
      </c>
      <c r="CX29" s="292"/>
      <c r="CY29" s="470">
        <f>CY24-CW24</f>
      </c>
      <c r="CZ29" s="463">
        <f>CZ24-CY24</f>
      </c>
      <c r="DA29" s="463">
        <f>DA24-CZ24</f>
      </c>
      <c r="DB29" s="463">
        <f>DB24-DA24</f>
      </c>
      <c r="DC29" s="292"/>
      <c r="DD29" s="470">
        <f>DD24-DB24</f>
      </c>
      <c r="DE29" s="463">
        <f>DE24-DD24</f>
      </c>
      <c r="DF29" s="463">
        <f>DF24-DE24</f>
      </c>
      <c r="DG29" s="463">
        <f>DG24-DF24</f>
      </c>
      <c r="DH29" s="292"/>
      <c r="DI29" s="470">
        <f>DI24-DG24</f>
      </c>
      <c r="DJ29" s="463">
        <f>DJ24-DI24</f>
      </c>
      <c r="DK29" s="463">
        <f>DK24-DJ24</f>
      </c>
      <c r="DL29" s="463">
        <f>DL24-DK24</f>
      </c>
      <c r="DM29" s="292"/>
      <c r="DN29" s="470">
        <f>DN24-DL24</f>
      </c>
      <c r="DO29" s="463">
        <f>DO24-DN24</f>
      </c>
      <c r="DP29" s="463">
        <f>DP24-DO24</f>
      </c>
      <c r="DQ29" s="463">
        <f>DQ24-DP24</f>
      </c>
      <c r="DR29" s="292"/>
      <c r="DS29" s="470">
        <f>DS24-DQ24</f>
      </c>
      <c r="DT29" s="463">
        <f>DT24-DS24</f>
      </c>
      <c r="DU29" s="463">
        <f>DU24-DT24</f>
      </c>
      <c r="DV29" s="463">
        <f>DV24-DU24</f>
      </c>
      <c r="DW29" s="292"/>
      <c r="DX29" s="470">
        <f>DX24-DV24</f>
      </c>
      <c r="DY29" s="463">
        <f>DY24-DX24</f>
      </c>
      <c r="DZ29" s="463">
        <f>DZ24-DY24</f>
      </c>
      <c r="EA29" s="463">
        <f>EA24-DZ24</f>
      </c>
      <c r="EB29" s="292"/>
      <c r="EC29" s="470">
        <f>EC24-EA24</f>
      </c>
      <c r="ED29" s="463">
        <f>ED24-EC24</f>
      </c>
      <c r="EE29" s="463">
        <f>EE24-ED24</f>
      </c>
      <c r="EF29" s="463">
        <f>EF24-EE24</f>
      </c>
      <c r="EG29" s="292"/>
      <c r="EH29" s="470">
        <f>EH24-EF24</f>
      </c>
      <c r="EI29" s="463">
        <f>EI24-EH24</f>
      </c>
      <c r="EJ29" s="463">
        <f>EJ24-EI24</f>
      </c>
      <c r="EK29" s="463">
        <f>EK24-EJ24</f>
      </c>
      <c r="EL29" s="292"/>
      <c r="EM29" s="470">
        <f>EM24-EK24</f>
      </c>
      <c r="EN29" s="463">
        <f>EN24-EM24</f>
      </c>
      <c r="EO29" s="463">
        <f>EO24-EN24</f>
      </c>
      <c r="EP29" s="463">
        <f>EP24-EO24</f>
      </c>
      <c r="EQ29" s="292"/>
      <c r="ER29" s="470">
        <f>ER24-EP24</f>
      </c>
      <c r="ES29" s="463">
        <f>ES24-ER24</f>
      </c>
      <c r="ET29" s="463">
        <f>ET24-ES24</f>
      </c>
      <c r="EU29" s="463">
        <f>EU24-ET24</f>
      </c>
      <c r="EV29" s="292"/>
      <c r="EW29" s="470">
        <f>EW24-EU24</f>
      </c>
      <c r="EX29" s="1399">
        <f>EX24-EW24</f>
      </c>
      <c r="EY29" s="463">
        <f>EY24-EX24</f>
      </c>
      <c r="EZ29" s="1399">
        <f>EZ24-EY24</f>
      </c>
      <c r="FA29" s="292"/>
      <c r="FB29" s="470">
        <f>FB24-EZ24</f>
      </c>
      <c r="FC29" s="463">
        <f>FC24-FB24</f>
      </c>
      <c r="FD29" s="463">
        <f>FD24-FC24</f>
      </c>
      <c r="FE29" s="463">
        <f>FE24-FD24</f>
      </c>
      <c r="FF29" s="292"/>
      <c r="FG29" s="470">
        <f>FG24-FE24</f>
      </c>
      <c r="FH29" s="463">
        <f>FH24-FG24</f>
      </c>
      <c r="FI29" s="463">
        <f>FI24-FH24</f>
      </c>
      <c r="FJ29" s="463">
        <f>FJ24-FI24</f>
      </c>
      <c r="FK29" s="292"/>
      <c r="FL29" s="470">
        <f>FL24-FJ24</f>
      </c>
      <c r="FM29" s="463">
        <f>FM24-FL24</f>
      </c>
      <c r="FN29" s="463">
        <f>FN24-FM24</f>
      </c>
      <c r="FO29" s="463">
        <f>FO24-FN24</f>
      </c>
      <c r="FP29" s="292"/>
      <c r="FQ29" s="470">
        <f>FQ24-FO24</f>
      </c>
      <c r="FR29" s="463">
        <f>FR24-FQ24</f>
      </c>
      <c r="FS29" s="463">
        <f>FS24-FR24</f>
      </c>
      <c r="FT29" s="463">
        <f>FT24-FS24</f>
      </c>
      <c r="FU29" s="292"/>
      <c r="FV29" s="470">
        <f>FV24-FT24</f>
      </c>
      <c r="FW29" s="463">
        <f>FW24-FV24</f>
      </c>
      <c r="FX29" s="463">
        <f>FX24-FW24</f>
      </c>
      <c r="FY29" s="463">
        <f>FY24-FX24</f>
      </c>
      <c r="FZ29" s="292"/>
      <c r="GA29" s="470">
        <f>GA24-FY24</f>
      </c>
      <c r="GB29" s="463">
        <f>GB24-GA24</f>
      </c>
      <c r="GC29" s="463">
        <f>GC24-GB24</f>
      </c>
      <c r="GD29" s="463">
        <f>GD24-GC24</f>
      </c>
      <c r="GE29" s="292"/>
      <c r="GF29" s="470">
        <f>GF24-GD24</f>
      </c>
      <c r="GG29" s="463">
        <f>GG24-GF24</f>
      </c>
      <c r="GH29" s="463">
        <f>GH24-GG24</f>
      </c>
      <c r="GI29" s="463">
        <f>GI24-GH24</f>
      </c>
      <c r="GJ29" s="292"/>
    </row>
    <row r="30" spans="1:192" ht="12.75" customHeight="1">
      <c r="C30" s="294"/>
      <c r="D30" s="295"/>
      <c r="E30" s="295"/>
      <c r="F30" s="295"/>
      <c r="G30" s="296"/>
      <c r="H30" s="294"/>
      <c r="I30" s="295"/>
      <c r="J30" s="295"/>
      <c r="K30" s="295"/>
      <c r="L30" s="296"/>
      <c r="M30" s="294"/>
      <c r="N30" s="295"/>
      <c r="O30" s="295"/>
      <c r="P30" s="295"/>
      <c r="Q30" s="296"/>
      <c r="R30" s="294"/>
      <c r="S30" s="295"/>
      <c r="T30" s="295"/>
      <c r="U30" s="295"/>
      <c r="V30" s="296"/>
      <c r="W30" s="294"/>
      <c r="X30" s="295"/>
      <c r="Y30" s="295"/>
      <c r="Z30" s="295"/>
      <c r="AA30" s="296"/>
      <c r="AB30" s="294"/>
      <c r="AC30" s="295"/>
      <c r="AD30" s="295"/>
      <c r="AE30" s="295"/>
      <c r="AF30" s="296"/>
      <c r="AG30" s="294"/>
      <c r="AH30" s="295"/>
      <c r="AI30" s="295"/>
      <c r="AJ30" s="295"/>
      <c r="AK30" s="296"/>
      <c r="AL30" s="294"/>
      <c r="AM30" s="295"/>
      <c r="AN30" s="295"/>
      <c r="AO30" s="295"/>
      <c r="AP30" s="296"/>
      <c r="AQ30" s="294"/>
      <c r="AR30" s="295"/>
      <c r="AS30" s="295"/>
      <c r="AT30" s="295"/>
      <c r="AU30" s="296"/>
      <c r="AV30" s="294"/>
      <c r="AW30" s="295"/>
      <c r="AX30" s="295"/>
      <c r="AY30" s="295"/>
      <c r="AZ30" s="296"/>
      <c r="BA30" s="294"/>
      <c r="BB30" s="295"/>
      <c r="BC30" s="295"/>
      <c r="BD30" s="295"/>
      <c r="BE30" s="296"/>
      <c r="BF30" s="294"/>
      <c r="BG30" s="295"/>
      <c r="BH30" s="295"/>
      <c r="BI30" s="295"/>
      <c r="BJ30" s="296"/>
      <c r="BK30" s="294"/>
      <c r="BL30" s="295"/>
      <c r="BM30" s="295"/>
      <c r="BN30" s="295"/>
      <c r="BO30" s="296"/>
      <c r="BP30" s="294"/>
      <c r="BQ30" s="295"/>
      <c r="BR30" s="295"/>
      <c r="BS30" s="295"/>
      <c r="BT30" s="296"/>
      <c r="BU30" s="294"/>
      <c r="BV30" s="295"/>
      <c r="BW30" s="295"/>
      <c r="BX30" s="295"/>
      <c r="BY30" s="296"/>
      <c r="BZ30" s="294"/>
      <c r="CA30" s="295"/>
      <c r="CB30" s="295"/>
      <c r="CC30" s="295"/>
      <c r="CD30" s="296"/>
      <c r="CE30" s="294"/>
      <c r="CF30" s="295"/>
      <c r="CG30" s="295"/>
      <c r="CH30" s="295"/>
      <c r="CI30" s="296"/>
      <c r="CJ30" s="294"/>
      <c r="CK30" s="295"/>
      <c r="CL30" s="295"/>
      <c r="CM30" s="295"/>
      <c r="CN30" s="296"/>
      <c r="CO30" s="294"/>
      <c r="CP30" s="295"/>
      <c r="CQ30" s="295"/>
      <c r="CR30" s="295"/>
      <c r="CS30" s="296"/>
      <c r="CT30" s="294"/>
      <c r="CU30" s="295"/>
      <c r="CV30" s="295"/>
      <c r="CW30" s="295"/>
      <c r="CX30" s="296"/>
      <c r="CY30" s="294"/>
      <c r="CZ30" s="295"/>
      <c r="DA30" s="295"/>
      <c r="DB30" s="295"/>
      <c r="DC30" s="296"/>
      <c r="DD30" s="294"/>
      <c r="DE30" s="295"/>
      <c r="DF30" s="295"/>
      <c r="DG30" s="295"/>
      <c r="DH30" s="296"/>
      <c r="DI30" s="294"/>
      <c r="DJ30" s="295"/>
      <c r="DK30" s="295"/>
      <c r="DL30" s="295"/>
      <c r="DM30" s="296"/>
      <c r="DN30" s="294"/>
      <c r="DO30" s="295"/>
      <c r="DP30" s="295"/>
      <c r="DQ30" s="295"/>
      <c r="DR30" s="296"/>
      <c r="DS30" s="294"/>
      <c r="DT30" s="295"/>
      <c r="DU30" s="295"/>
      <c r="DV30" s="295"/>
      <c r="DW30" s="296"/>
      <c r="DX30" s="294"/>
      <c r="DY30" s="295"/>
      <c r="DZ30" s="295"/>
      <c r="EA30" s="295"/>
      <c r="EB30" s="296"/>
      <c r="EC30" s="294"/>
      <c r="ED30" s="295"/>
      <c r="EE30" s="295"/>
      <c r="EF30" s="295"/>
      <c r="EG30" s="296"/>
      <c r="EH30" s="294"/>
      <c r="EI30" s="295"/>
      <c r="EJ30" s="295"/>
      <c r="EK30" s="295"/>
      <c r="EL30" s="296"/>
      <c r="EM30" s="294"/>
      <c r="EN30" s="295"/>
      <c r="EO30" s="295"/>
      <c r="EP30" s="295"/>
      <c r="EQ30" s="296"/>
      <c r="ER30" s="294"/>
      <c r="ES30" s="295"/>
      <c r="ET30" s="295"/>
      <c r="EU30" s="295"/>
      <c r="EV30" s="296"/>
      <c r="EW30" s="294"/>
      <c r="EX30" s="469"/>
      <c r="EY30" s="295"/>
      <c r="EZ30" s="469"/>
      <c r="FA30" s="296"/>
      <c r="FB30" s="294"/>
      <c r="FC30" s="295"/>
      <c r="FD30" s="295"/>
      <c r="FE30" s="295"/>
      <c r="FF30" s="296"/>
      <c r="FG30" s="294"/>
      <c r="FH30" s="295"/>
      <c r="FI30" s="295"/>
      <c r="FJ30" s="295"/>
      <c r="FK30" s="296"/>
      <c r="FL30" s="294"/>
      <c r="FM30" s="295"/>
      <c r="FN30" s="295"/>
      <c r="FO30" s="295"/>
      <c r="FP30" s="296"/>
      <c r="FQ30" s="294"/>
      <c r="FR30" s="295"/>
      <c r="FS30" s="295"/>
      <c r="FT30" s="295"/>
      <c r="FU30" s="296"/>
      <c r="FV30" s="294"/>
      <c r="FW30" s="295"/>
      <c r="FX30" s="295"/>
      <c r="FY30" s="295"/>
      <c r="FZ30" s="296"/>
      <c r="GA30" s="294"/>
      <c r="GB30" s="295"/>
      <c r="GC30" s="295"/>
      <c r="GD30" s="295"/>
      <c r="GE30" s="296"/>
      <c r="GF30" s="294"/>
      <c r="GG30" s="295"/>
      <c r="GH30" s="295"/>
      <c r="GI30" s="295"/>
      <c r="GJ30" s="296"/>
    </row>
    <row r="31" spans="1:192" s="461" customFormat="1" ht="12.75" hidden="1" customHeight="1" outlineLevel="1">
      <c r="A31" s="370"/>
      <c r="B31" s="625" t="s">
        <v>159</v>
      </c>
      <c r="C31" s="628"/>
      <c r="D31" s="628"/>
      <c r="E31" s="628"/>
      <c r="F31" s="628"/>
      <c r="G31" s="627"/>
      <c r="H31" s="628"/>
      <c r="I31" s="628"/>
      <c r="J31" s="628"/>
      <c r="K31" s="628"/>
      <c r="L31" s="627"/>
      <c r="M31" s="628"/>
      <c r="N31" s="628"/>
      <c r="O31" s="628"/>
      <c r="P31" s="628"/>
      <c r="Q31" s="627"/>
      <c r="R31" s="628"/>
      <c r="S31" s="628"/>
      <c r="T31" s="628"/>
      <c r="U31" s="628"/>
      <c r="V31" s="627"/>
      <c r="W31" s="628"/>
      <c r="X31" s="628"/>
      <c r="Y31" s="628"/>
      <c r="Z31" s="628"/>
      <c r="AA31" s="627"/>
      <c r="AB31" s="628"/>
      <c r="AC31" s="628"/>
      <c r="AD31" s="628"/>
      <c r="AE31" s="628"/>
      <c r="AF31" s="627"/>
      <c r="AG31" s="628"/>
      <c r="AH31" s="628"/>
      <c r="AI31" s="628"/>
      <c r="AJ31" s="628"/>
      <c r="AK31" s="627"/>
      <c r="AL31" s="628"/>
      <c r="AM31" s="628"/>
      <c r="AN31" s="628"/>
      <c r="AO31" s="628"/>
      <c r="AP31" s="627"/>
      <c r="AQ31" s="628"/>
      <c r="AR31" s="628"/>
      <c r="AS31" s="628"/>
      <c r="AT31" s="628"/>
      <c r="AU31" s="627"/>
      <c r="AV31" s="628"/>
      <c r="AW31" s="628"/>
      <c r="AX31" s="628"/>
      <c r="AY31" s="628"/>
      <c r="AZ31" s="627"/>
      <c r="BA31" s="628"/>
      <c r="BB31" s="628"/>
      <c r="BC31" s="628"/>
      <c r="BD31" s="628"/>
      <c r="BE31" s="627"/>
      <c r="BF31" s="628"/>
      <c r="BG31" s="628"/>
      <c r="BH31" s="628"/>
      <c r="BI31" s="628"/>
      <c r="BJ31" s="627"/>
      <c r="BK31" s="628"/>
      <c r="BL31" s="628"/>
      <c r="BM31" s="628"/>
      <c r="BN31" s="628"/>
      <c r="BO31" s="627"/>
      <c r="BP31" s="628"/>
      <c r="BQ31" s="628"/>
      <c r="BR31" s="628"/>
      <c r="BS31" s="628"/>
      <c r="BT31" s="627"/>
      <c r="BU31" s="628"/>
      <c r="BV31" s="628"/>
      <c r="BW31" s="628"/>
      <c r="BX31" s="628"/>
      <c r="BY31" s="627"/>
      <c r="BZ31" s="628"/>
      <c r="CA31" s="628"/>
      <c r="CB31" s="628"/>
      <c r="CC31" s="628"/>
      <c r="CD31" s="627"/>
      <c r="CE31" s="628"/>
      <c r="CF31" s="628"/>
      <c r="CG31" s="628"/>
      <c r="CH31" s="628"/>
      <c r="CI31" s="627"/>
      <c r="CJ31" s="628"/>
      <c r="CK31" s="628"/>
      <c r="CL31" s="628"/>
      <c r="CM31" s="628"/>
      <c r="CN31" s="627"/>
      <c r="CO31" s="628"/>
      <c r="CP31" s="628"/>
      <c r="CQ31" s="628"/>
      <c r="CR31" s="628"/>
      <c r="CS31" s="627"/>
      <c r="CT31" s="628"/>
      <c r="CU31" s="628"/>
      <c r="CV31" s="628"/>
      <c r="CW31" s="628"/>
      <c r="CX31" s="627"/>
      <c r="CY31" s="628"/>
      <c r="CZ31" s="628"/>
      <c r="DA31" s="628"/>
      <c r="DB31" s="628"/>
      <c r="DC31" s="627"/>
      <c r="DD31" s="628"/>
      <c r="DE31" s="628"/>
      <c r="DF31" s="628"/>
      <c r="DG31" s="628"/>
      <c r="DH31" s="627"/>
      <c r="DI31" s="626">
        <v>3581</v>
      </c>
      <c r="DJ31" s="626">
        <v>5378</v>
      </c>
      <c r="DK31" s="626">
        <v>3075</v>
      </c>
      <c r="DL31" s="626">
        <v>3141</v>
      </c>
      <c r="DM31" s="627">
        <f>SUM(DI31:DL31)</f>
      </c>
      <c r="DN31" s="626">
        <v>2980</v>
      </c>
      <c r="DO31" s="626">
        <v>5498</v>
      </c>
      <c r="DP31" s="626">
        <v>3425</v>
      </c>
      <c r="DQ31" s="626">
        <v>3517</v>
      </c>
      <c r="DR31" s="627">
        <f>SUM(DN31:DQ31)</f>
      </c>
      <c r="DS31" s="626">
        <v>3649</v>
      </c>
      <c r="DT31" s="626">
        <v>5885</v>
      </c>
      <c r="DU31" s="626">
        <v>3441</v>
      </c>
      <c r="DV31" s="626">
        <v>3298</v>
      </c>
      <c r="DW31" s="627">
        <f>SUM(DS31:DV31)</f>
      </c>
      <c r="DX31" s="626">
        <v>3305</v>
      </c>
      <c r="DY31" s="626">
        <v>4966</v>
      </c>
      <c r="DZ31" s="626">
        <v>3376</v>
      </c>
      <c r="EA31" s="626">
        <v>4370</v>
      </c>
      <c r="EB31" s="627">
        <f>SUM(DX31:EA31)</f>
      </c>
      <c r="EC31" s="626">
        <v>3597</v>
      </c>
      <c r="ED31" s="626">
        <v>6058</v>
      </c>
      <c r="EE31" s="626">
        <v>4277</v>
      </c>
      <c r="EF31" s="626">
        <v>4287</v>
      </c>
      <c r="EG31" s="627">
        <f>SUM(EC31:EF31)</f>
      </c>
      <c r="EH31" s="626">
        <v>3792</v>
      </c>
      <c r="EI31" s="626">
        <v>6331</v>
      </c>
      <c r="EJ31" s="626">
        <v>4584</v>
      </c>
      <c r="EK31" s="626">
        <v>4357</v>
      </c>
      <c r="EL31" s="627">
        <f>SUM(EH31:EK31)</f>
      </c>
      <c r="EM31" s="626">
        <v>4302</v>
      </c>
      <c r="EN31" s="626">
        <v>5690</v>
      </c>
      <c r="EO31" s="626">
        <v>3941</v>
      </c>
      <c r="EP31" s="626">
        <v>3871</v>
      </c>
      <c r="EQ31" s="627">
        <f>SUM(EM31:EP31)</f>
      </c>
      <c r="ER31" s="626">
        <v>3531</v>
      </c>
      <c r="ES31" s="626">
        <v>5964</v>
      </c>
      <c r="ET31" s="629">
        <v>4339</v>
      </c>
      <c r="EU31" s="629">
        <v>1438</v>
      </c>
      <c r="EV31" s="627">
        <f>SUM(ER31:EU31)</f>
      </c>
      <c r="EW31" s="629">
        <v>3294</v>
      </c>
      <c r="EX31" s="629">
        <v>3856</v>
      </c>
      <c r="EY31" s="629">
        <v>3037</v>
      </c>
      <c r="EZ31" s="629">
        <v>3314</v>
      </c>
      <c r="FA31" s="627">
        <f>SUM(EW31:EZ31)</f>
      </c>
      <c r="FB31" s="609"/>
      <c r="FC31" s="609"/>
      <c r="FD31" s="609"/>
      <c r="FE31" s="609"/>
      <c r="FF31" s="620"/>
      <c r="FG31" s="609"/>
      <c r="FH31" s="609"/>
      <c r="FI31" s="609"/>
      <c r="FJ31" s="609"/>
      <c r="FK31" s="620"/>
      <c r="FL31" s="609"/>
      <c r="FM31" s="609"/>
      <c r="FN31" s="609"/>
      <c r="FO31" s="609"/>
      <c r="FP31" s="620"/>
      <c r="FQ31" s="609"/>
      <c r="FR31" s="609"/>
      <c r="FS31" s="609"/>
      <c r="FT31" s="609"/>
      <c r="FU31" s="620"/>
      <c r="FV31" s="609"/>
      <c r="FW31" s="609"/>
      <c r="FX31" s="609"/>
      <c r="FY31" s="609"/>
      <c r="FZ31" s="620"/>
      <c r="GA31" s="609"/>
      <c r="GB31" s="609"/>
      <c r="GC31" s="609"/>
      <c r="GD31" s="609"/>
      <c r="GE31" s="620"/>
      <c r="GF31" s="609"/>
      <c r="GG31" s="609"/>
      <c r="GH31" s="609"/>
      <c r="GI31" s="609"/>
      <c r="GJ31" s="620"/>
    </row>
    <row r="32" spans="1:192" ht="12.75" hidden="1" customHeight="1" outlineLevel="1">
      <c r="B32" s="617" t="s">
        <v>34</v>
      </c>
      <c r="C32" s="291"/>
      <c r="D32" s="107"/>
      <c r="E32" s="107"/>
      <c r="F32" s="107"/>
      <c r="G32" s="536"/>
      <c r="H32" s="291" t="str">
        <f t="shared" ref="H32:AM32" si="35">IFERROR(H31/C31-1,"")</f>
      </c>
      <c r="I32" s="107" t="str">
        <f t="shared" si="35"/>
      </c>
      <c r="J32" s="107" t="str">
        <f t="shared" si="35"/>
      </c>
      <c r="K32" s="107" t="str">
        <f t="shared" si="35"/>
      </c>
      <c r="L32" s="292" t="str">
        <f t="shared" si="35"/>
      </c>
      <c r="M32" s="291" t="str">
        <f t="shared" si="35"/>
      </c>
      <c r="N32" s="107" t="str">
        <f t="shared" si="35"/>
      </c>
      <c r="O32" s="107" t="str">
        <f t="shared" si="35"/>
      </c>
      <c r="P32" s="107" t="str">
        <f t="shared" si="35"/>
      </c>
      <c r="Q32" s="292" t="str">
        <f t="shared" si="35"/>
      </c>
      <c r="R32" s="291" t="str">
        <f t="shared" si="35"/>
      </c>
      <c r="S32" s="107" t="str">
        <f t="shared" si="35"/>
      </c>
      <c r="T32" s="107" t="str">
        <f t="shared" si="35"/>
      </c>
      <c r="U32" s="107" t="str">
        <f t="shared" si="35"/>
      </c>
      <c r="V32" s="292" t="str">
        <f t="shared" si="35"/>
      </c>
      <c r="W32" s="291" t="str">
        <f t="shared" si="35"/>
      </c>
      <c r="X32" s="107" t="str">
        <f t="shared" si="35"/>
      </c>
      <c r="Y32" s="107" t="str">
        <f t="shared" si="35"/>
      </c>
      <c r="Z32" s="107" t="str">
        <f t="shared" si="35"/>
      </c>
      <c r="AA32" s="292" t="str">
        <f t="shared" si="35"/>
      </c>
      <c r="AB32" s="291" t="str">
        <f t="shared" si="35"/>
      </c>
      <c r="AC32" s="107" t="str">
        <f t="shared" si="35"/>
      </c>
      <c r="AD32" s="107" t="str">
        <f t="shared" si="35"/>
      </c>
      <c r="AE32" s="107" t="str">
        <f t="shared" si="35"/>
      </c>
      <c r="AF32" s="292" t="str">
        <f t="shared" si="35"/>
      </c>
      <c r="AG32" s="291" t="str">
        <f t="shared" si="35"/>
      </c>
      <c r="AH32" s="107" t="str">
        <f t="shared" si="35"/>
      </c>
      <c r="AI32" s="107" t="str">
        <f t="shared" si="35"/>
      </c>
      <c r="AJ32" s="107" t="str">
        <f t="shared" si="35"/>
      </c>
      <c r="AK32" s="292" t="str">
        <f t="shared" si="35"/>
      </c>
      <c r="AL32" s="291" t="str">
        <f t="shared" si="35"/>
      </c>
      <c r="AM32" s="107" t="str">
        <f t="shared" si="35"/>
      </c>
      <c r="AN32" s="107" t="str">
        <f t="shared" ref="AN32:BS32" si="36">IFERROR(AN31/AI31-1,"")</f>
      </c>
      <c r="AO32" s="107" t="str">
        <f t="shared" si="36"/>
      </c>
      <c r="AP32" s="292" t="str">
        <f t="shared" si="36"/>
      </c>
      <c r="AQ32" s="291" t="str">
        <f t="shared" si="36"/>
      </c>
      <c r="AR32" s="107" t="str">
        <f t="shared" si="36"/>
      </c>
      <c r="AS32" s="107" t="str">
        <f t="shared" si="36"/>
      </c>
      <c r="AT32" s="107" t="str">
        <f t="shared" si="36"/>
      </c>
      <c r="AU32" s="292" t="str">
        <f t="shared" si="36"/>
      </c>
      <c r="AV32" s="291" t="str">
        <f t="shared" si="36"/>
      </c>
      <c r="AW32" s="107" t="str">
        <f t="shared" si="36"/>
      </c>
      <c r="AX32" s="107" t="str">
        <f t="shared" si="36"/>
      </c>
      <c r="AY32" s="107" t="str">
        <f t="shared" si="36"/>
      </c>
      <c r="AZ32" s="292" t="str">
        <f t="shared" si="36"/>
      </c>
      <c r="BA32" s="291" t="str">
        <f t="shared" si="36"/>
      </c>
      <c r="BB32" s="107" t="str">
        <f t="shared" si="36"/>
      </c>
      <c r="BC32" s="107" t="str">
        <f t="shared" si="36"/>
      </c>
      <c r="BD32" s="107" t="str">
        <f t="shared" si="36"/>
      </c>
      <c r="BE32" s="292" t="str">
        <f t="shared" si="36"/>
      </c>
      <c r="BF32" s="291" t="str">
        <f t="shared" si="36"/>
      </c>
      <c r="BG32" s="107" t="str">
        <f t="shared" si="36"/>
      </c>
      <c r="BH32" s="107" t="str">
        <f t="shared" si="36"/>
      </c>
      <c r="BI32" s="107" t="str">
        <f t="shared" si="36"/>
      </c>
      <c r="BJ32" s="292" t="str">
        <f t="shared" si="36"/>
      </c>
      <c r="BK32" s="291" t="str">
        <f t="shared" si="36"/>
      </c>
      <c r="BL32" s="107" t="str">
        <f t="shared" si="36"/>
      </c>
      <c r="BM32" s="107" t="str">
        <f t="shared" si="36"/>
      </c>
      <c r="BN32" s="107" t="str">
        <f t="shared" si="36"/>
      </c>
      <c r="BO32" s="292" t="str">
        <f t="shared" si="36"/>
      </c>
      <c r="BP32" s="291" t="str">
        <f t="shared" si="36"/>
      </c>
      <c r="BQ32" s="107" t="str">
        <f t="shared" si="36"/>
      </c>
      <c r="BR32" s="107" t="str">
        <f t="shared" si="36"/>
      </c>
      <c r="BS32" s="107" t="str">
        <f t="shared" si="36"/>
      </c>
      <c r="BT32" s="292" t="str">
        <f t="shared" ref="BT32:CY32" si="37">IFERROR(BT31/BO31-1,"")</f>
      </c>
      <c r="BU32" s="291" t="str">
        <f t="shared" si="37"/>
      </c>
      <c r="BV32" s="107" t="str">
        <f t="shared" si="37"/>
      </c>
      <c r="BW32" s="107" t="str">
        <f t="shared" si="37"/>
      </c>
      <c r="BX32" s="107" t="str">
        <f t="shared" si="37"/>
      </c>
      <c r="BY32" s="292" t="str">
        <f t="shared" si="37"/>
      </c>
      <c r="BZ32" s="291" t="str">
        <f t="shared" si="37"/>
      </c>
      <c r="CA32" s="107" t="str">
        <f t="shared" si="37"/>
      </c>
      <c r="CB32" s="107" t="str">
        <f t="shared" si="37"/>
      </c>
      <c r="CC32" s="107" t="str">
        <f t="shared" si="37"/>
      </c>
      <c r="CD32" s="292" t="str">
        <f t="shared" si="37"/>
      </c>
      <c r="CE32" s="291" t="str">
        <f t="shared" si="37"/>
      </c>
      <c r="CF32" s="107" t="str">
        <f t="shared" si="37"/>
      </c>
      <c r="CG32" s="107" t="str">
        <f t="shared" si="37"/>
      </c>
      <c r="CH32" s="107" t="str">
        <f t="shared" si="37"/>
      </c>
      <c r="CI32" s="292" t="str">
        <f t="shared" si="37"/>
      </c>
      <c r="CJ32" s="291" t="str">
        <f t="shared" si="37"/>
      </c>
      <c r="CK32" s="107" t="str">
        <f t="shared" si="37"/>
      </c>
      <c r="CL32" s="107" t="str">
        <f t="shared" si="37"/>
      </c>
      <c r="CM32" s="107" t="str">
        <f t="shared" si="37"/>
      </c>
      <c r="CN32" s="292" t="str">
        <f t="shared" si="37"/>
      </c>
      <c r="CO32" s="291" t="str">
        <f t="shared" si="37"/>
      </c>
      <c r="CP32" s="107" t="str">
        <f t="shared" si="37"/>
      </c>
      <c r="CQ32" s="107" t="str">
        <f t="shared" si="37"/>
      </c>
      <c r="CR32" s="107" t="str">
        <f t="shared" si="37"/>
      </c>
      <c r="CS32" s="292" t="str">
        <f t="shared" si="37"/>
      </c>
      <c r="CT32" s="291" t="str">
        <f t="shared" si="37"/>
      </c>
      <c r="CU32" s="107" t="str">
        <f t="shared" si="37"/>
      </c>
      <c r="CV32" s="107" t="str">
        <f t="shared" si="37"/>
      </c>
      <c r="CW32" s="107" t="str">
        <f t="shared" si="37"/>
      </c>
      <c r="CX32" s="292" t="str">
        <f t="shared" si="37"/>
      </c>
      <c r="CY32" s="291" t="str">
        <f t="shared" si="37"/>
      </c>
      <c r="CZ32" s="107" t="str">
        <f t="shared" ref="CZ32:EE32" si="38">IFERROR(CZ31/CU31-1,"")</f>
      </c>
      <c r="DA32" s="107" t="str">
        <f t="shared" si="38"/>
      </c>
      <c r="DB32" s="107" t="str">
        <f t="shared" si="38"/>
      </c>
      <c r="DC32" s="292" t="str">
        <f t="shared" si="38"/>
      </c>
      <c r="DD32" s="291"/>
      <c r="DE32" s="107"/>
      <c r="DF32" s="107"/>
      <c r="DG32" s="107"/>
      <c r="DH32" s="292"/>
      <c r="DI32" s="291" t="str">
        <f t="shared" si="38"/>
      </c>
      <c r="DJ32" s="107" t="str">
        <f t="shared" si="38"/>
      </c>
      <c r="DK32" s="107" t="str">
        <f t="shared" si="38"/>
      </c>
      <c r="DL32" s="107" t="str">
        <f t="shared" si="38"/>
      </c>
      <c r="DM32" s="292" t="str">
        <f t="shared" si="38"/>
      </c>
      <c r="DN32" s="291">
        <f t="shared" si="38"/>
      </c>
      <c r="DO32" s="107">
        <f t="shared" si="38"/>
      </c>
      <c r="DP32" s="107">
        <f t="shared" si="38"/>
      </c>
      <c r="DQ32" s="107">
        <f t="shared" si="38"/>
      </c>
      <c r="DR32" s="292">
        <f t="shared" si="38"/>
      </c>
      <c r="DS32" s="291">
        <f t="shared" si="38"/>
      </c>
      <c r="DT32" s="107">
        <f t="shared" si="38"/>
      </c>
      <c r="DU32" s="107">
        <f t="shared" si="38"/>
      </c>
      <c r="DV32" s="107">
        <f t="shared" si="38"/>
      </c>
      <c r="DW32" s="292">
        <f t="shared" si="38"/>
      </c>
      <c r="DX32" s="291">
        <f t="shared" si="38"/>
      </c>
      <c r="DY32" s="107">
        <f t="shared" si="38"/>
      </c>
      <c r="DZ32" s="107">
        <f t="shared" si="38"/>
      </c>
      <c r="EA32" s="107">
        <f t="shared" si="38"/>
      </c>
      <c r="EB32" s="292">
        <f t="shared" si="38"/>
      </c>
      <c r="EC32" s="291">
        <f t="shared" si="38"/>
      </c>
      <c r="ED32" s="107">
        <f t="shared" si="38"/>
      </c>
      <c r="EE32" s="107">
        <f t="shared" si="38"/>
      </c>
      <c r="EF32" s="107">
        <f t="shared" ref="EF32:FA32" si="39">IFERROR(EF31/EA31-1,"")</f>
      </c>
      <c r="EG32" s="292">
        <f t="shared" si="39"/>
      </c>
      <c r="EH32" s="291">
        <f t="shared" si="39"/>
      </c>
      <c r="EI32" s="107">
        <f t="shared" si="39"/>
      </c>
      <c r="EJ32" s="107">
        <f t="shared" si="39"/>
      </c>
      <c r="EK32" s="107">
        <f t="shared" si="39"/>
      </c>
      <c r="EL32" s="292">
        <f t="shared" si="39"/>
      </c>
      <c r="EM32" s="291">
        <f t="shared" si="39"/>
      </c>
      <c r="EN32" s="107">
        <f t="shared" si="39"/>
      </c>
      <c r="EO32" s="107">
        <f t="shared" si="39"/>
      </c>
      <c r="EP32" s="107">
        <f t="shared" si="39"/>
      </c>
      <c r="EQ32" s="292">
        <f t="shared" si="39"/>
      </c>
      <c r="ER32" s="291">
        <f t="shared" si="39"/>
      </c>
      <c r="ES32" s="107">
        <f t="shared" si="39"/>
      </c>
      <c r="ET32" s="468">
        <f t="shared" si="39"/>
      </c>
      <c r="EU32" s="468">
        <f t="shared" si="39"/>
      </c>
      <c r="EV32" s="292">
        <f t="shared" si="39"/>
      </c>
      <c r="EW32" s="349">
        <f t="shared" si="39"/>
      </c>
      <c r="EX32" s="468">
        <f t="shared" si="39"/>
      </c>
      <c r="EY32" s="468">
        <f t="shared" si="39"/>
      </c>
      <c r="EZ32" s="468">
        <f t="shared" si="39"/>
      </c>
      <c r="FA32" s="292">
        <f t="shared" si="39"/>
      </c>
      <c r="FB32" s="291"/>
      <c r="FC32" s="107"/>
      <c r="FD32" s="107"/>
      <c r="FE32" s="107"/>
      <c r="FF32" s="292"/>
      <c r="FG32" s="291"/>
      <c r="FH32" s="107"/>
      <c r="FI32" s="107"/>
      <c r="FJ32" s="107"/>
      <c r="FK32" s="292"/>
      <c r="FL32" s="291"/>
      <c r="FM32" s="107"/>
      <c r="FN32" s="107"/>
      <c r="FO32" s="107"/>
      <c r="FP32" s="292"/>
      <c r="FQ32" s="291"/>
      <c r="FR32" s="107"/>
      <c r="FS32" s="107"/>
      <c r="FT32" s="107"/>
      <c r="FU32" s="292"/>
      <c r="FV32" s="291"/>
      <c r="FW32" s="107"/>
      <c r="FX32" s="107"/>
      <c r="FY32" s="107"/>
      <c r="FZ32" s="292"/>
      <c r="GA32" s="291"/>
      <c r="GB32" s="107"/>
      <c r="GC32" s="107"/>
      <c r="GD32" s="107"/>
      <c r="GE32" s="292"/>
      <c r="GF32" s="291"/>
      <c r="GG32" s="107"/>
      <c r="GH32" s="107"/>
      <c r="GI32" s="107"/>
      <c r="GJ32" s="292"/>
    </row>
    <row r="33" spans="1:192" ht="12.75" hidden="1" customHeight="1" outlineLevel="1">
      <c r="B33" s="617" t="s">
        <v>36</v>
      </c>
      <c r="C33" s="291"/>
      <c r="D33" s="137"/>
      <c r="E33" s="137"/>
      <c r="F33" s="137"/>
      <c r="G33" s="538"/>
      <c r="H33" s="291" t="str">
        <f>IFERROR(H31/F31-1,"")</f>
      </c>
      <c r="I33" s="107" t="str">
        <f>IFERROR(I31/H31-1,"")</f>
      </c>
      <c r="J33" s="107" t="str">
        <f>IFERROR(J31/I31-1,"")</f>
      </c>
      <c r="K33" s="107" t="str">
        <f>IFERROR(K31/J31-1,"")</f>
      </c>
      <c r="L33" s="293"/>
      <c r="M33" s="291" t="str">
        <f>IFERROR(M31/K31-1,"")</f>
      </c>
      <c r="N33" s="107" t="str">
        <f>IFERROR(N31/M31-1,"")</f>
      </c>
      <c r="O33" s="107" t="str">
        <f>IFERROR(O31/N31-1,"")</f>
      </c>
      <c r="P33" s="107" t="str">
        <f>IFERROR(P31/O31-1,"")</f>
      </c>
      <c r="Q33" s="293"/>
      <c r="R33" s="291" t="str">
        <f>IFERROR(R31/P31-1,"")</f>
      </c>
      <c r="S33" s="107" t="str">
        <f>IFERROR(S31/R31-1,"")</f>
      </c>
      <c r="T33" s="107" t="str">
        <f>IFERROR(T31/S31-1,"")</f>
      </c>
      <c r="U33" s="107" t="str">
        <f>IFERROR(U31/T31-1,"")</f>
      </c>
      <c r="V33" s="293"/>
      <c r="W33" s="291" t="str">
        <f>IFERROR(W31/U31-1,"")</f>
      </c>
      <c r="X33" s="107" t="str">
        <f>IFERROR(X31/W31-1,"")</f>
      </c>
      <c r="Y33" s="107" t="str">
        <f>IFERROR(Y31/X31-1,"")</f>
      </c>
      <c r="Z33" s="107" t="str">
        <f>IFERROR(Z31/Y31-1,"")</f>
      </c>
      <c r="AA33" s="293"/>
      <c r="AB33" s="291" t="str">
        <f>IFERROR(AB31/Z31-1,"")</f>
      </c>
      <c r="AC33" s="107" t="str">
        <f>IFERROR(AC31/AB31-1,"")</f>
      </c>
      <c r="AD33" s="107" t="str">
        <f>IFERROR(AD31/AC31-1,"")</f>
      </c>
      <c r="AE33" s="107" t="str">
        <f>IFERROR(AE31/AD31-1,"")</f>
      </c>
      <c r="AF33" s="293"/>
      <c r="AG33" s="291" t="str">
        <f>IFERROR(AG31/AE31-1,"")</f>
      </c>
      <c r="AH33" s="107" t="str">
        <f>IFERROR(AH31/AG31-1,"")</f>
      </c>
      <c r="AI33" s="107" t="str">
        <f>IFERROR(AI31/AH31-1,"")</f>
      </c>
      <c r="AJ33" s="107" t="str">
        <f>IFERROR(AJ31/AI31-1,"")</f>
      </c>
      <c r="AK33" s="293"/>
      <c r="AL33" s="291" t="str">
        <f>IFERROR(AL31/AJ31-1,"")</f>
      </c>
      <c r="AM33" s="107" t="str">
        <f>IFERROR(AM31/AL31-1,"")</f>
      </c>
      <c r="AN33" s="107" t="str">
        <f>IFERROR(AN31/AM31-1,"")</f>
      </c>
      <c r="AO33" s="107" t="str">
        <f>IFERROR(AO31/AN31-1,"")</f>
      </c>
      <c r="AP33" s="293"/>
      <c r="AQ33" s="291" t="str">
        <f>IFERROR(AQ31/AO31-1,"")</f>
      </c>
      <c r="AR33" s="107" t="str">
        <f>IFERROR(AR31/AQ31-1,"")</f>
      </c>
      <c r="AS33" s="107" t="str">
        <f>IFERROR(AS31/AR31-1,"")</f>
      </c>
      <c r="AT33" s="107" t="str">
        <f>IFERROR(AT31/AS31-1,"")</f>
      </c>
      <c r="AU33" s="293"/>
      <c r="AV33" s="291" t="str">
        <f>IFERROR(AV31/AT31-1,"")</f>
      </c>
      <c r="AW33" s="107" t="str">
        <f>IFERROR(AW31/AV31-1,"")</f>
      </c>
      <c r="AX33" s="107" t="str">
        <f>IFERROR(AX31/AW31-1,"")</f>
      </c>
      <c r="AY33" s="107" t="str">
        <f>IFERROR(AY31/AX31-1,"")</f>
      </c>
      <c r="AZ33" s="293"/>
      <c r="BA33" s="291" t="str">
        <f>IFERROR(BA31/AY31-1,"")</f>
      </c>
      <c r="BB33" s="107" t="str">
        <f>IFERROR(BB31/BA31-1,"")</f>
      </c>
      <c r="BC33" s="107" t="str">
        <f>IFERROR(BC31/BB31-1,"")</f>
      </c>
      <c r="BD33" s="107" t="str">
        <f>IFERROR(BD31/BC31-1,"")</f>
      </c>
      <c r="BE33" s="293"/>
      <c r="BF33" s="291" t="str">
        <f>IFERROR(BF31/BD31-1,"")</f>
      </c>
      <c r="BG33" s="107" t="str">
        <f>IFERROR(BG31/BF31-1,"")</f>
      </c>
      <c r="BH33" s="107" t="str">
        <f>IFERROR(BH31/BG31-1,"")</f>
      </c>
      <c r="BI33" s="107" t="str">
        <f>IFERROR(BI31/BH31-1,"")</f>
      </c>
      <c r="BJ33" s="293"/>
      <c r="BK33" s="291" t="str">
        <f>IFERROR(BK31/BI31-1,"")</f>
      </c>
      <c r="BL33" s="107" t="str">
        <f>IFERROR(BL31/BK31-1,"")</f>
      </c>
      <c r="BM33" s="107" t="str">
        <f>IFERROR(BM31/BL31-1,"")</f>
      </c>
      <c r="BN33" s="107" t="str">
        <f>IFERROR(BN31/BM31-1,"")</f>
      </c>
      <c r="BO33" s="293"/>
      <c r="BP33" s="291" t="str">
        <f>IFERROR(BP31/BN31-1,"")</f>
      </c>
      <c r="BQ33" s="107" t="str">
        <f>IFERROR(BQ31/BP31-1,"")</f>
      </c>
      <c r="BR33" s="107" t="str">
        <f>IFERROR(BR31/BQ31-1,"")</f>
      </c>
      <c r="BS33" s="107" t="str">
        <f>IFERROR(BS31/BR31-1,"")</f>
      </c>
      <c r="BT33" s="293"/>
      <c r="BU33" s="291" t="str">
        <f>IFERROR(BU31/BS31-1,"")</f>
      </c>
      <c r="BV33" s="107" t="str">
        <f>IFERROR(BV31/BU31-1,"")</f>
      </c>
      <c r="BW33" s="107" t="str">
        <f>IFERROR(BW31/BV31-1,"")</f>
      </c>
      <c r="BX33" s="107" t="str">
        <f>IFERROR(BX31/BW31-1,"")</f>
      </c>
      <c r="BY33" s="293"/>
      <c r="BZ33" s="291" t="str">
        <f>IFERROR(BZ31/BX31-1,"")</f>
      </c>
      <c r="CA33" s="107" t="str">
        <f>IFERROR(CA31/BZ31-1,"")</f>
      </c>
      <c r="CB33" s="107" t="str">
        <f>IFERROR(CB31/CA31-1,"")</f>
      </c>
      <c r="CC33" s="107" t="str">
        <f>IFERROR(CC31/CB31-1,"")</f>
      </c>
      <c r="CD33" s="293"/>
      <c r="CE33" s="291" t="str">
        <f>IFERROR(CE31/CC31-1,"")</f>
      </c>
      <c r="CF33" s="107" t="str">
        <f>IFERROR(CF31/CE31-1,"")</f>
      </c>
      <c r="CG33" s="107" t="str">
        <f>IFERROR(CG31/CF31-1,"")</f>
      </c>
      <c r="CH33" s="107" t="str">
        <f>IFERROR(CH31/CG31-1,"")</f>
      </c>
      <c r="CI33" s="293"/>
      <c r="CJ33" s="291" t="str">
        <f>IFERROR(CJ31/CH31-1,"")</f>
      </c>
      <c r="CK33" s="107" t="str">
        <f>IFERROR(CK31/CJ31-1,"")</f>
      </c>
      <c r="CL33" s="107" t="str">
        <f>IFERROR(CL31/CK31-1,"")</f>
      </c>
      <c r="CM33" s="107" t="str">
        <f>IFERROR(CM31/CL31-1,"")</f>
      </c>
      <c r="CN33" s="293"/>
      <c r="CO33" s="291" t="str">
        <f>IFERROR(CO31/CM31-1,"")</f>
      </c>
      <c r="CP33" s="107" t="str">
        <f>IFERROR(CP31/CO31-1,"")</f>
      </c>
      <c r="CQ33" s="107" t="str">
        <f>IFERROR(CQ31/CP31-1,"")</f>
      </c>
      <c r="CR33" s="107" t="str">
        <f>IFERROR(CR31/CQ31-1,"")</f>
      </c>
      <c r="CS33" s="293"/>
      <c r="CT33" s="291" t="str">
        <f>IFERROR(CT31/CR31-1,"")</f>
      </c>
      <c r="CU33" s="107" t="str">
        <f>IFERROR(CU31/CT31-1,"")</f>
      </c>
      <c r="CV33" s="107" t="str">
        <f>IFERROR(CV31/CU31-1,"")</f>
      </c>
      <c r="CW33" s="107" t="str">
        <f>IFERROR(CW31/CV31-1,"")</f>
      </c>
      <c r="CX33" s="293"/>
      <c r="CY33" s="291" t="str">
        <f>IFERROR(CY31/CW31-1,"")</f>
      </c>
      <c r="CZ33" s="107" t="str">
        <f>IFERROR(CZ31/CY31-1,"")</f>
      </c>
      <c r="DA33" s="107" t="str">
        <f>IFERROR(DA31/CZ31-1,"")</f>
      </c>
      <c r="DB33" s="107" t="str">
        <f>IFERROR(DB31/DA31-1,"")</f>
      </c>
      <c r="DC33" s="293"/>
      <c r="DD33" s="291"/>
      <c r="DE33" s="107"/>
      <c r="DF33" s="107"/>
      <c r="DG33" s="107"/>
      <c r="DH33" s="293"/>
      <c r="DI33" s="291" t="str">
        <f>IFERROR(DI31/DG31-1,"")</f>
      </c>
      <c r="DJ33" s="107">
        <f>IFERROR(DJ31/DI31-1,"")</f>
      </c>
      <c r="DK33" s="107">
        <f>IFERROR(DK31/DJ31-1,"")</f>
      </c>
      <c r="DL33" s="107">
        <f>IFERROR(DL31/DK31-1,"")</f>
      </c>
      <c r="DM33" s="293"/>
      <c r="DN33" s="291">
        <f>IFERROR(DN31/DL31-1,"")</f>
      </c>
      <c r="DO33" s="107">
        <f>IFERROR(DO31/DN31-1,"")</f>
      </c>
      <c r="DP33" s="107">
        <f>IFERROR(DP31/DO31-1,"")</f>
      </c>
      <c r="DQ33" s="107">
        <f>IFERROR(DQ31/DP31-1,"")</f>
      </c>
      <c r="DR33" s="293"/>
      <c r="DS33" s="291">
        <f>IFERROR(DS31/DQ31-1,"")</f>
      </c>
      <c r="DT33" s="107">
        <f>IFERROR(DT31/DS31-1,"")</f>
      </c>
      <c r="DU33" s="107">
        <f>IFERROR(DU31/DT31-1,"")</f>
      </c>
      <c r="DV33" s="107">
        <f>IFERROR(DV31/DU31-1,"")</f>
      </c>
      <c r="DW33" s="293"/>
      <c r="DX33" s="291">
        <f>IFERROR(DX31/DV31-1,"")</f>
      </c>
      <c r="DY33" s="107">
        <f>IFERROR(DY31/DX31-1,"")</f>
      </c>
      <c r="DZ33" s="107">
        <f>IFERROR(DZ31/DY31-1,"")</f>
      </c>
      <c r="EA33" s="107">
        <f>IFERROR(EA31/DZ31-1,"")</f>
      </c>
      <c r="EB33" s="293"/>
      <c r="EC33" s="291">
        <f>IFERROR(EC31/EA31-1,"")</f>
      </c>
      <c r="ED33" s="107">
        <f>IFERROR(ED31/EC31-1,"")</f>
      </c>
      <c r="EE33" s="107">
        <f>IFERROR(EE31/ED31-1,"")</f>
      </c>
      <c r="EF33" s="107">
        <f>IFERROR(EF31/EE31-1,"")</f>
      </c>
      <c r="EG33" s="293"/>
      <c r="EH33" s="291">
        <f>IFERROR(EH31/EF31-1,"")</f>
      </c>
      <c r="EI33" s="107">
        <f>IFERROR(EI31/EH31-1,"")</f>
      </c>
      <c r="EJ33" s="107">
        <f>IFERROR(EJ31/EI31-1,"")</f>
      </c>
      <c r="EK33" s="107">
        <f>IFERROR(EK31/EJ31-1,"")</f>
      </c>
      <c r="EL33" s="293"/>
      <c r="EM33" s="291">
        <f>IFERROR(EM31/EK31-1,"")</f>
      </c>
      <c r="EN33" s="107">
        <f>IFERROR(EN31/EM31-1,"")</f>
      </c>
      <c r="EO33" s="107">
        <f>IFERROR(EO31/EN31-1,"")</f>
      </c>
      <c r="EP33" s="107">
        <f>IFERROR(EP31/EO31-1,"")</f>
      </c>
      <c r="EQ33" s="293"/>
      <c r="ER33" s="291">
        <f>IFERROR(ER31/EP31-1,"")</f>
      </c>
      <c r="ES33" s="107">
        <f>IFERROR(ES31/ER31-1,"")</f>
      </c>
      <c r="ET33" s="468">
        <f>IFERROR(ET31/ES31-1,"")</f>
      </c>
      <c r="EU33" s="468">
        <f>IFERROR(EU31/ET31-1,"")</f>
      </c>
      <c r="EV33" s="293"/>
      <c r="EW33" s="349">
        <f>IFERROR(EW31/EU31-1,"")</f>
      </c>
      <c r="EX33" s="468">
        <f>IFERROR(EX31/EW31-1,"")</f>
      </c>
      <c r="EY33" s="468">
        <f>IFERROR(EY31/EX31-1,"")</f>
      </c>
      <c r="EZ33" s="468">
        <f>IFERROR(EZ31/EY31-1,"")</f>
      </c>
      <c r="FA33" s="293"/>
      <c r="FB33" s="291"/>
      <c r="FC33" s="107"/>
      <c r="FD33" s="107"/>
      <c r="FE33" s="107"/>
      <c r="FF33" s="293"/>
      <c r="FG33" s="291"/>
      <c r="FH33" s="107"/>
      <c r="FI33" s="107"/>
      <c r="FJ33" s="107"/>
      <c r="FK33" s="293"/>
      <c r="FL33" s="291"/>
      <c r="FM33" s="107"/>
      <c r="FN33" s="107"/>
      <c r="FO33" s="107"/>
      <c r="FP33" s="293"/>
      <c r="FQ33" s="291"/>
      <c r="FR33" s="107"/>
      <c r="FS33" s="107"/>
      <c r="FT33" s="107"/>
      <c r="FU33" s="293"/>
      <c r="FV33" s="291"/>
      <c r="FW33" s="107"/>
      <c r="FX33" s="107"/>
      <c r="FY33" s="107"/>
      <c r="FZ33" s="293"/>
      <c r="GA33" s="291"/>
      <c r="GB33" s="107"/>
      <c r="GC33" s="107"/>
      <c r="GD33" s="107"/>
      <c r="GE33" s="293"/>
      <c r="GF33" s="291"/>
      <c r="GG33" s="107"/>
      <c r="GH33" s="107"/>
      <c r="GI33" s="107"/>
      <c r="GJ33" s="293"/>
    </row>
    <row r="34" spans="1:192" ht="12.75" hidden="1" customHeight="1" outlineLevel="1">
      <c r="B34" s="617" t="s">
        <v>484</v>
      </c>
      <c r="C34" s="291"/>
      <c r="D34" s="137"/>
      <c r="E34" s="137"/>
      <c r="F34" s="137"/>
      <c r="G34" s="538"/>
      <c r="H34" s="291"/>
      <c r="I34" s="107"/>
      <c r="J34" s="107"/>
      <c r="K34" s="107"/>
      <c r="L34" s="293"/>
      <c r="M34" s="291"/>
      <c r="N34" s="107"/>
      <c r="O34" s="107"/>
      <c r="P34" s="107"/>
      <c r="Q34" s="293"/>
      <c r="R34" s="291"/>
      <c r="S34" s="107"/>
      <c r="T34" s="107"/>
      <c r="U34" s="107"/>
      <c r="V34" s="293"/>
      <c r="W34" s="291"/>
      <c r="X34" s="107"/>
      <c r="Y34" s="107"/>
      <c r="Z34" s="107"/>
      <c r="AA34" s="293"/>
      <c r="AB34" s="291"/>
      <c r="AC34" s="107"/>
      <c r="AD34" s="107"/>
      <c r="AE34" s="107"/>
      <c r="AF34" s="293"/>
      <c r="AG34" s="291"/>
      <c r="AH34" s="107"/>
      <c r="AI34" s="107"/>
      <c r="AJ34" s="107"/>
      <c r="AK34" s="293"/>
      <c r="AL34" s="291"/>
      <c r="AM34" s="107"/>
      <c r="AN34" s="107"/>
      <c r="AO34" s="107"/>
      <c r="AP34" s="293"/>
      <c r="AQ34" s="291"/>
      <c r="AR34" s="107"/>
      <c r="AS34" s="107"/>
      <c r="AT34" s="107"/>
      <c r="AU34" s="293"/>
      <c r="AV34" s="291"/>
      <c r="AW34" s="107"/>
      <c r="AX34" s="107"/>
      <c r="AY34" s="107"/>
      <c r="AZ34" s="293"/>
      <c r="BA34" s="291"/>
      <c r="BB34" s="107"/>
      <c r="BC34" s="107"/>
      <c r="BD34" s="107"/>
      <c r="BE34" s="293"/>
      <c r="BF34" s="291"/>
      <c r="BG34" s="107"/>
      <c r="BH34" s="107"/>
      <c r="BI34" s="107"/>
      <c r="BJ34" s="293"/>
      <c r="BK34" s="291"/>
      <c r="BL34" s="107"/>
      <c r="BM34" s="107"/>
      <c r="BN34" s="107"/>
      <c r="BO34" s="293"/>
      <c r="BP34" s="291"/>
      <c r="BQ34" s="107"/>
      <c r="BR34" s="107"/>
      <c r="BS34" s="107"/>
      <c r="BT34" s="293"/>
      <c r="BU34" s="291"/>
      <c r="BV34" s="107"/>
      <c r="BW34" s="107"/>
      <c r="BX34" s="107"/>
      <c r="BY34" s="293"/>
      <c r="BZ34" s="291"/>
      <c r="CA34" s="107"/>
      <c r="CB34" s="107"/>
      <c r="CC34" s="107"/>
      <c r="CD34" s="293"/>
      <c r="CE34" s="291"/>
      <c r="CF34" s="107"/>
      <c r="CG34" s="107"/>
      <c r="CH34" s="107"/>
      <c r="CI34" s="293"/>
      <c r="CJ34" s="291"/>
      <c r="CK34" s="107"/>
      <c r="CL34" s="107"/>
      <c r="CM34" s="107"/>
      <c r="CN34" s="293"/>
      <c r="CO34" s="291"/>
      <c r="CP34" s="107"/>
      <c r="CQ34" s="107"/>
      <c r="CR34" s="107"/>
      <c r="CS34" s="293"/>
      <c r="CT34" s="291"/>
      <c r="CU34" s="107"/>
      <c r="CV34" s="107"/>
      <c r="CW34" s="107"/>
      <c r="CX34" s="293"/>
      <c r="CY34" s="291"/>
      <c r="CZ34" s="107"/>
      <c r="DA34" s="107"/>
      <c r="DB34" s="107"/>
      <c r="DC34" s="293"/>
      <c r="DD34" s="291"/>
      <c r="DE34" s="107"/>
      <c r="DF34" s="107"/>
      <c r="DG34" s="107"/>
      <c r="DH34" s="293"/>
      <c r="DI34" s="463"/>
      <c r="DJ34" s="463"/>
      <c r="DK34" s="463"/>
      <c r="DL34" s="463"/>
      <c r="DM34" s="466"/>
      <c r="DN34" s="463">
        <f t="shared" ref="DN34:FA34" si="40">DN31-DI31</f>
      </c>
      <c r="DO34" s="463">
        <f t="shared" si="40"/>
      </c>
      <c r="DP34" s="463">
        <f t="shared" si="40"/>
      </c>
      <c r="DQ34" s="463">
        <f t="shared" si="40"/>
      </c>
      <c r="DR34" s="466">
        <f t="shared" si="40"/>
      </c>
      <c r="DS34" s="463">
        <f t="shared" si="40"/>
      </c>
      <c r="DT34" s="463">
        <f t="shared" si="40"/>
      </c>
      <c r="DU34" s="463">
        <f t="shared" si="40"/>
      </c>
      <c r="DV34" s="463">
        <f t="shared" si="40"/>
      </c>
      <c r="DW34" s="466">
        <f t="shared" si="40"/>
      </c>
      <c r="DX34" s="463">
        <f t="shared" si="40"/>
      </c>
      <c r="DY34" s="463">
        <f t="shared" si="40"/>
      </c>
      <c r="DZ34" s="463">
        <f t="shared" si="40"/>
      </c>
      <c r="EA34" s="463">
        <f t="shared" si="40"/>
      </c>
      <c r="EB34" s="466">
        <f t="shared" si="40"/>
      </c>
      <c r="EC34" s="463">
        <f t="shared" si="40"/>
      </c>
      <c r="ED34" s="463">
        <f t="shared" si="40"/>
      </c>
      <c r="EE34" s="463">
        <f t="shared" si="40"/>
      </c>
      <c r="EF34" s="463">
        <f t="shared" si="40"/>
      </c>
      <c r="EG34" s="466">
        <f t="shared" si="40"/>
      </c>
      <c r="EH34" s="463">
        <f t="shared" si="40"/>
      </c>
      <c r="EI34" s="463">
        <f t="shared" si="40"/>
      </c>
      <c r="EJ34" s="463">
        <f t="shared" si="40"/>
      </c>
      <c r="EK34" s="463">
        <f t="shared" si="40"/>
      </c>
      <c r="EL34" s="466">
        <f t="shared" si="40"/>
      </c>
      <c r="EM34" s="463">
        <f t="shared" si="40"/>
      </c>
      <c r="EN34" s="463">
        <f t="shared" si="40"/>
      </c>
      <c r="EO34" s="463">
        <f t="shared" si="40"/>
      </c>
      <c r="EP34" s="463">
        <f t="shared" si="40"/>
      </c>
      <c r="EQ34" s="466">
        <f t="shared" si="40"/>
      </c>
      <c r="ER34" s="463">
        <f t="shared" si="40"/>
      </c>
      <c r="ES34" s="463">
        <f t="shared" si="40"/>
      </c>
      <c r="ET34" s="1399">
        <f t="shared" si="40"/>
      </c>
      <c r="EU34" s="1399">
        <f t="shared" si="40"/>
      </c>
      <c r="EV34" s="466">
        <f t="shared" si="40"/>
      </c>
      <c r="EW34" s="1399">
        <f t="shared" si="40"/>
      </c>
      <c r="EX34" s="1399">
        <f t="shared" si="40"/>
      </c>
      <c r="EY34" s="1399">
        <f t="shared" si="40"/>
      </c>
      <c r="EZ34" s="1399">
        <f t="shared" si="40"/>
      </c>
      <c r="FA34" s="466">
        <f t="shared" si="40"/>
      </c>
      <c r="FB34" s="291"/>
      <c r="FC34" s="107"/>
      <c r="FD34" s="107"/>
      <c r="FE34" s="107"/>
      <c r="FF34" s="293"/>
      <c r="FG34" s="291"/>
      <c r="FH34" s="107"/>
      <c r="FI34" s="107"/>
      <c r="FJ34" s="107"/>
      <c r="FK34" s="293"/>
      <c r="FL34" s="291"/>
      <c r="FM34" s="107"/>
      <c r="FN34" s="107"/>
      <c r="FO34" s="107"/>
      <c r="FP34" s="293"/>
      <c r="FQ34" s="291"/>
      <c r="FR34" s="107"/>
      <c r="FS34" s="107"/>
      <c r="FT34" s="107"/>
      <c r="FU34" s="293"/>
      <c r="FV34" s="291"/>
      <c r="FW34" s="107"/>
      <c r="FX34" s="107"/>
      <c r="FY34" s="107"/>
      <c r="FZ34" s="293"/>
      <c r="GA34" s="291"/>
      <c r="GB34" s="107"/>
      <c r="GC34" s="107"/>
      <c r="GD34" s="107"/>
      <c r="GE34" s="293"/>
      <c r="GF34" s="291"/>
      <c r="GG34" s="107"/>
      <c r="GH34" s="107"/>
      <c r="GI34" s="107"/>
      <c r="GJ34" s="293"/>
    </row>
    <row r="35" spans="1:192" ht="12.75" hidden="1" customHeight="1" outlineLevel="1">
      <c r="B35" s="617" t="s">
        <v>485</v>
      </c>
      <c r="C35" s="291"/>
      <c r="D35" s="137"/>
      <c r="E35" s="137"/>
      <c r="F35" s="137"/>
      <c r="G35" s="538"/>
      <c r="H35" s="291"/>
      <c r="I35" s="107"/>
      <c r="J35" s="107"/>
      <c r="K35" s="107"/>
      <c r="L35" s="293"/>
      <c r="M35" s="291"/>
      <c r="N35" s="107"/>
      <c r="O35" s="107"/>
      <c r="P35" s="107"/>
      <c r="Q35" s="293"/>
      <c r="R35" s="291"/>
      <c r="S35" s="107"/>
      <c r="T35" s="107"/>
      <c r="U35" s="107"/>
      <c r="V35" s="293"/>
      <c r="W35" s="291"/>
      <c r="X35" s="107"/>
      <c r="Y35" s="107"/>
      <c r="Z35" s="107"/>
      <c r="AA35" s="293"/>
      <c r="AB35" s="291"/>
      <c r="AC35" s="107"/>
      <c r="AD35" s="107"/>
      <c r="AE35" s="107"/>
      <c r="AF35" s="293"/>
      <c r="AG35" s="291"/>
      <c r="AH35" s="107"/>
      <c r="AI35" s="107"/>
      <c r="AJ35" s="107"/>
      <c r="AK35" s="293"/>
      <c r="AL35" s="291"/>
      <c r="AM35" s="107"/>
      <c r="AN35" s="107"/>
      <c r="AO35" s="107"/>
      <c r="AP35" s="293"/>
      <c r="AQ35" s="291"/>
      <c r="AR35" s="107"/>
      <c r="AS35" s="107"/>
      <c r="AT35" s="107"/>
      <c r="AU35" s="293"/>
      <c r="AV35" s="291"/>
      <c r="AW35" s="107"/>
      <c r="AX35" s="107"/>
      <c r="AY35" s="107"/>
      <c r="AZ35" s="293"/>
      <c r="BA35" s="291"/>
      <c r="BB35" s="107"/>
      <c r="BC35" s="107"/>
      <c r="BD35" s="107"/>
      <c r="BE35" s="293"/>
      <c r="BF35" s="291"/>
      <c r="BG35" s="107"/>
      <c r="BH35" s="107"/>
      <c r="BI35" s="107"/>
      <c r="BJ35" s="293"/>
      <c r="BK35" s="291"/>
      <c r="BL35" s="107"/>
      <c r="BM35" s="107"/>
      <c r="BN35" s="107"/>
      <c r="BO35" s="293"/>
      <c r="BP35" s="291"/>
      <c r="BQ35" s="107"/>
      <c r="BR35" s="107"/>
      <c r="BS35" s="107"/>
      <c r="BT35" s="293"/>
      <c r="BU35" s="291"/>
      <c r="BV35" s="107"/>
      <c r="BW35" s="107"/>
      <c r="BX35" s="107"/>
      <c r="BY35" s="293"/>
      <c r="BZ35" s="291"/>
      <c r="CA35" s="107"/>
      <c r="CB35" s="107"/>
      <c r="CC35" s="107"/>
      <c r="CD35" s="293"/>
      <c r="CE35" s="291"/>
      <c r="CF35" s="107"/>
      <c r="CG35" s="107"/>
      <c r="CH35" s="107"/>
      <c r="CI35" s="293"/>
      <c r="CJ35" s="291"/>
      <c r="CK35" s="107"/>
      <c r="CL35" s="107"/>
      <c r="CM35" s="107"/>
      <c r="CN35" s="293"/>
      <c r="CO35" s="291"/>
      <c r="CP35" s="107"/>
      <c r="CQ35" s="107"/>
      <c r="CR35" s="107"/>
      <c r="CS35" s="293"/>
      <c r="CT35" s="291"/>
      <c r="CU35" s="107"/>
      <c r="CV35" s="107"/>
      <c r="CW35" s="107"/>
      <c r="CX35" s="293"/>
      <c r="CY35" s="291"/>
      <c r="CZ35" s="107"/>
      <c r="DA35" s="107"/>
      <c r="DB35" s="107"/>
      <c r="DC35" s="293"/>
      <c r="DD35" s="291"/>
      <c r="DE35" s="107"/>
      <c r="DF35" s="107"/>
      <c r="DG35" s="107"/>
      <c r="DH35" s="293"/>
      <c r="DI35" s="470"/>
      <c r="DJ35" s="463">
        <f>DJ31-DI31</f>
      </c>
      <c r="DK35" s="463">
        <f>DK31-DJ31</f>
      </c>
      <c r="DL35" s="463">
        <f>DL31-DK31</f>
      </c>
      <c r="DM35" s="293"/>
      <c r="DN35" s="470">
        <f>DN31-DL31</f>
      </c>
      <c r="DO35" s="463">
        <f>DO31-DN31</f>
      </c>
      <c r="DP35" s="463">
        <f>DP31-DO31</f>
      </c>
      <c r="DQ35" s="463">
        <f>DQ31-DP31</f>
      </c>
      <c r="DR35" s="293"/>
      <c r="DS35" s="470">
        <f>DS31-DQ31</f>
      </c>
      <c r="DT35" s="463">
        <f>DT31-DS31</f>
      </c>
      <c r="DU35" s="463">
        <f>DU31-DT31</f>
      </c>
      <c r="DV35" s="463">
        <f>DV31-DU31</f>
      </c>
      <c r="DW35" s="293"/>
      <c r="DX35" s="470">
        <f>DX31-DV31</f>
      </c>
      <c r="DY35" s="463">
        <f>DY31-DX31</f>
      </c>
      <c r="DZ35" s="463">
        <f>DZ31-DY31</f>
      </c>
      <c r="EA35" s="463">
        <f>EA31-DZ31</f>
      </c>
      <c r="EB35" s="293"/>
      <c r="EC35" s="470">
        <f>EC31-EA31</f>
      </c>
      <c r="ED35" s="463">
        <f>ED31-EC31</f>
      </c>
      <c r="EE35" s="463">
        <f>EE31-ED31</f>
      </c>
      <c r="EF35" s="463">
        <f>EF31-EE31</f>
      </c>
      <c r="EG35" s="293"/>
      <c r="EH35" s="470">
        <f>EH31-EF31</f>
      </c>
      <c r="EI35" s="463">
        <f>EI31-EH31</f>
      </c>
      <c r="EJ35" s="463">
        <f>EJ31-EI31</f>
      </c>
      <c r="EK35" s="463">
        <f>EK31-EJ31</f>
      </c>
      <c r="EL35" s="293"/>
      <c r="EM35" s="470">
        <f>EM31-EK31</f>
      </c>
      <c r="EN35" s="463">
        <f>EN31-EM31</f>
      </c>
      <c r="EO35" s="463">
        <f>EO31-EN31</f>
      </c>
      <c r="EP35" s="463">
        <f>EP31-EO31</f>
      </c>
      <c r="EQ35" s="293"/>
      <c r="ER35" s="470">
        <f>ER31-EP31</f>
      </c>
      <c r="ES35" s="463">
        <f>ES31-ER31</f>
      </c>
      <c r="ET35" s="1399">
        <f>ET31-ES31</f>
      </c>
      <c r="EU35" s="1399">
        <f>EU31-ET31</f>
      </c>
      <c r="EV35" s="293"/>
      <c r="EW35" s="1590">
        <f>EW31-EU31</f>
      </c>
      <c r="EX35" s="1399">
        <f>EX31-EW31</f>
      </c>
      <c r="EY35" s="1399">
        <f>EY31-EX31</f>
      </c>
      <c r="EZ35" s="1399">
        <f>EZ31-EY31</f>
      </c>
      <c r="FA35" s="293"/>
      <c r="FB35" s="291"/>
      <c r="FC35" s="107"/>
      <c r="FD35" s="107"/>
      <c r="FE35" s="107"/>
      <c r="FF35" s="293"/>
      <c r="FG35" s="291"/>
      <c r="FH35" s="107"/>
      <c r="FI35" s="107"/>
      <c r="FJ35" s="107"/>
      <c r="FK35" s="293"/>
      <c r="FL35" s="291"/>
      <c r="FM35" s="107"/>
      <c r="FN35" s="107"/>
      <c r="FO35" s="107"/>
      <c r="FP35" s="293"/>
      <c r="FQ35" s="291"/>
      <c r="FR35" s="107"/>
      <c r="FS35" s="107"/>
      <c r="FT35" s="107"/>
      <c r="FU35" s="293"/>
      <c r="FV35" s="291"/>
      <c r="FW35" s="107"/>
      <c r="FX35" s="107"/>
      <c r="FY35" s="107"/>
      <c r="FZ35" s="293"/>
      <c r="GA35" s="291"/>
      <c r="GB35" s="107"/>
      <c r="GC35" s="107"/>
      <c r="GD35" s="107"/>
      <c r="GE35" s="293"/>
      <c r="GF35" s="291"/>
      <c r="GG35" s="107"/>
      <c r="GH35" s="107"/>
      <c r="GI35" s="107"/>
      <c r="GJ35" s="293"/>
    </row>
    <row r="36" spans="1:192" ht="12.75" hidden="1" customHeight="1" outlineLevel="1">
      <c r="B36" s="617" t="s">
        <v>288</v>
      </c>
      <c r="C36" s="291" t="str">
        <f t="shared" ref="C36:AH36" si="41">IFERROR(C31/C10,"")</f>
      </c>
      <c r="D36" s="137" t="str">
        <f t="shared" si="41"/>
      </c>
      <c r="E36" s="137" t="str">
        <f t="shared" si="41"/>
      </c>
      <c r="F36" s="137" t="str">
        <f t="shared" si="41"/>
      </c>
      <c r="G36" s="538" t="str">
        <f t="shared" si="41"/>
      </c>
      <c r="H36" s="291" t="str">
        <f t="shared" si="41"/>
      </c>
      <c r="I36" s="107" t="str">
        <f t="shared" si="41"/>
      </c>
      <c r="J36" s="107" t="str">
        <f t="shared" si="41"/>
      </c>
      <c r="K36" s="107" t="str">
        <f t="shared" si="41"/>
      </c>
      <c r="L36" s="293" t="str">
        <f t="shared" si="41"/>
      </c>
      <c r="M36" s="291" t="str">
        <f t="shared" si="41"/>
      </c>
      <c r="N36" s="107" t="str">
        <f t="shared" si="41"/>
      </c>
      <c r="O36" s="107" t="str">
        <f t="shared" si="41"/>
      </c>
      <c r="P36" s="107" t="str">
        <f t="shared" si="41"/>
      </c>
      <c r="Q36" s="293" t="str">
        <f t="shared" si="41"/>
      </c>
      <c r="R36" s="291" t="str">
        <f t="shared" si="41"/>
      </c>
      <c r="S36" s="107" t="str">
        <f t="shared" si="41"/>
      </c>
      <c r="T36" s="107" t="str">
        <f t="shared" si="41"/>
      </c>
      <c r="U36" s="107" t="str">
        <f t="shared" si="41"/>
      </c>
      <c r="V36" s="293" t="str">
        <f t="shared" si="41"/>
      </c>
      <c r="W36" s="291" t="str">
        <f t="shared" si="41"/>
      </c>
      <c r="X36" s="107" t="str">
        <f t="shared" si="41"/>
      </c>
      <c r="Y36" s="107" t="str">
        <f t="shared" si="41"/>
      </c>
      <c r="Z36" s="107" t="str">
        <f t="shared" si="41"/>
      </c>
      <c r="AA36" s="293" t="str">
        <f t="shared" si="41"/>
      </c>
      <c r="AB36" s="291" t="str">
        <f t="shared" si="41"/>
      </c>
      <c r="AC36" s="107" t="str">
        <f t="shared" si="41"/>
      </c>
      <c r="AD36" s="107" t="str">
        <f t="shared" si="41"/>
      </c>
      <c r="AE36" s="107" t="str">
        <f t="shared" si="41"/>
      </c>
      <c r="AF36" s="293" t="str">
        <f t="shared" si="41"/>
      </c>
      <c r="AG36" s="291" t="str">
        <f t="shared" si="41"/>
      </c>
      <c r="AH36" s="107" t="str">
        <f t="shared" si="41"/>
      </c>
      <c r="AI36" s="107" t="str">
        <f t="shared" ref="AI36:BN36" si="42">IFERROR(AI31/AI10,"")</f>
      </c>
      <c r="AJ36" s="107" t="str">
        <f t="shared" si="42"/>
      </c>
      <c r="AK36" s="293" t="str">
        <f t="shared" si="42"/>
      </c>
      <c r="AL36" s="291" t="str">
        <f t="shared" si="42"/>
      </c>
      <c r="AM36" s="107" t="str">
        <f t="shared" si="42"/>
      </c>
      <c r="AN36" s="107" t="str">
        <f t="shared" si="42"/>
      </c>
      <c r="AO36" s="107" t="str">
        <f t="shared" si="42"/>
      </c>
      <c r="AP36" s="293" t="str">
        <f t="shared" si="42"/>
      </c>
      <c r="AQ36" s="291" t="str">
        <f t="shared" si="42"/>
      </c>
      <c r="AR36" s="107" t="str">
        <f t="shared" si="42"/>
      </c>
      <c r="AS36" s="107" t="str">
        <f t="shared" si="42"/>
      </c>
      <c r="AT36" s="107" t="str">
        <f t="shared" si="42"/>
      </c>
      <c r="AU36" s="293" t="str">
        <f t="shared" si="42"/>
      </c>
      <c r="AV36" s="291" t="str">
        <f t="shared" si="42"/>
      </c>
      <c r="AW36" s="107" t="str">
        <f t="shared" si="42"/>
      </c>
      <c r="AX36" s="107" t="str">
        <f t="shared" si="42"/>
      </c>
      <c r="AY36" s="107" t="str">
        <f t="shared" si="42"/>
      </c>
      <c r="AZ36" s="293" t="str">
        <f t="shared" si="42"/>
      </c>
      <c r="BA36" s="291" t="str">
        <f t="shared" si="42"/>
      </c>
      <c r="BB36" s="107" t="str">
        <f t="shared" si="42"/>
      </c>
      <c r="BC36" s="107" t="str">
        <f t="shared" si="42"/>
      </c>
      <c r="BD36" s="107" t="str">
        <f t="shared" si="42"/>
      </c>
      <c r="BE36" s="293" t="str">
        <f t="shared" si="42"/>
      </c>
      <c r="BF36" s="291" t="str">
        <f t="shared" si="42"/>
      </c>
      <c r="BG36" s="107" t="str">
        <f t="shared" si="42"/>
      </c>
      <c r="BH36" s="107" t="str">
        <f t="shared" si="42"/>
      </c>
      <c r="BI36" s="107" t="str">
        <f t="shared" si="42"/>
      </c>
      <c r="BJ36" s="293" t="str">
        <f t="shared" si="42"/>
      </c>
      <c r="BK36" s="291" t="str">
        <f t="shared" si="42"/>
      </c>
      <c r="BL36" s="107" t="str">
        <f t="shared" si="42"/>
      </c>
      <c r="BM36" s="107" t="str">
        <f t="shared" si="42"/>
      </c>
      <c r="BN36" s="107" t="str">
        <f t="shared" si="42"/>
      </c>
      <c r="BO36" s="293" t="str">
        <f t="shared" ref="BO36:CT36" si="43">IFERROR(BO31/BO10,"")</f>
      </c>
      <c r="BP36" s="291" t="str">
        <f t="shared" si="43"/>
      </c>
      <c r="BQ36" s="107" t="str">
        <f t="shared" si="43"/>
      </c>
      <c r="BR36" s="107" t="str">
        <f t="shared" si="43"/>
      </c>
      <c r="BS36" s="107" t="str">
        <f t="shared" si="43"/>
      </c>
      <c r="BT36" s="293" t="str">
        <f t="shared" si="43"/>
      </c>
      <c r="BU36" s="291" t="str">
        <f t="shared" si="43"/>
      </c>
      <c r="BV36" s="107" t="str">
        <f t="shared" si="43"/>
      </c>
      <c r="BW36" s="107" t="str">
        <f t="shared" si="43"/>
      </c>
      <c r="BX36" s="107" t="str">
        <f t="shared" si="43"/>
      </c>
      <c r="BY36" s="293" t="str">
        <f t="shared" si="43"/>
      </c>
      <c r="BZ36" s="291" t="str">
        <f t="shared" si="43"/>
      </c>
      <c r="CA36" s="107" t="str">
        <f t="shared" si="43"/>
      </c>
      <c r="CB36" s="107" t="str">
        <f t="shared" si="43"/>
      </c>
      <c r="CC36" s="107" t="str">
        <f t="shared" si="43"/>
      </c>
      <c r="CD36" s="293" t="str">
        <f t="shared" si="43"/>
      </c>
      <c r="CE36" s="291" t="str">
        <f t="shared" si="43"/>
      </c>
      <c r="CF36" s="107" t="str">
        <f t="shared" si="43"/>
      </c>
      <c r="CG36" s="107" t="str">
        <f t="shared" si="43"/>
      </c>
      <c r="CH36" s="107" t="str">
        <f t="shared" si="43"/>
      </c>
      <c r="CI36" s="293" t="str">
        <f t="shared" si="43"/>
      </c>
      <c r="CJ36" s="291" t="str">
        <f t="shared" si="43"/>
      </c>
      <c r="CK36" s="107" t="str">
        <f t="shared" si="43"/>
      </c>
      <c r="CL36" s="107" t="str">
        <f t="shared" si="43"/>
      </c>
      <c r="CM36" s="107" t="str">
        <f t="shared" si="43"/>
      </c>
      <c r="CN36" s="293" t="str">
        <f t="shared" si="43"/>
      </c>
      <c r="CO36" s="291" t="str">
        <f t="shared" si="43"/>
      </c>
      <c r="CP36" s="107" t="str">
        <f t="shared" si="43"/>
      </c>
      <c r="CQ36" s="107" t="str">
        <f t="shared" si="43"/>
      </c>
      <c r="CR36" s="107" t="str">
        <f t="shared" si="43"/>
      </c>
      <c r="CS36" s="293" t="str">
        <f t="shared" si="43"/>
      </c>
      <c r="CT36" s="291" t="str">
        <f t="shared" si="43"/>
      </c>
      <c r="CU36" s="107" t="str">
        <f t="shared" ref="CU36:DC36" si="44">IFERROR(CU31/CU10,"")</f>
      </c>
      <c r="CV36" s="107" t="str">
        <f t="shared" si="44"/>
      </c>
      <c r="CW36" s="107" t="str">
        <f t="shared" si="44"/>
      </c>
      <c r="CX36" s="293" t="str">
        <f t="shared" si="44"/>
      </c>
      <c r="CY36" s="291" t="str">
        <f t="shared" si="44"/>
      </c>
      <c r="CZ36" s="107" t="str">
        <f t="shared" si="44"/>
      </c>
      <c r="DA36" s="107" t="str">
        <f t="shared" si="44"/>
      </c>
      <c r="DB36" s="107" t="str">
        <f t="shared" si="44"/>
      </c>
      <c r="DC36" s="293" t="str">
        <f t="shared" si="44"/>
      </c>
      <c r="DD36" s="291"/>
      <c r="DE36" s="107"/>
      <c r="DF36" s="107"/>
      <c r="DG36" s="107"/>
      <c r="DH36" s="293"/>
      <c r="DI36" s="291">
        <f t="shared" ref="DI36:ES36" si="45">IFERROR(DI31/DI10,"")</f>
      </c>
      <c r="DJ36" s="107">
        <f t="shared" si="45"/>
      </c>
      <c r="DK36" s="107">
        <f t="shared" si="45"/>
      </c>
      <c r="DL36" s="107">
        <f t="shared" si="45"/>
      </c>
      <c r="DM36" s="293">
        <f t="shared" si="45"/>
      </c>
      <c r="DN36" s="291">
        <f t="shared" si="45"/>
      </c>
      <c r="DO36" s="107">
        <f t="shared" si="45"/>
      </c>
      <c r="DP36" s="107">
        <f t="shared" si="45"/>
      </c>
      <c r="DQ36" s="107">
        <f t="shared" si="45"/>
      </c>
      <c r="DR36" s="293">
        <f t="shared" si="45"/>
      </c>
      <c r="DS36" s="291">
        <f t="shared" si="45"/>
      </c>
      <c r="DT36" s="107">
        <f t="shared" si="45"/>
      </c>
      <c r="DU36" s="107">
        <f t="shared" si="45"/>
      </c>
      <c r="DV36" s="107">
        <f t="shared" si="45"/>
      </c>
      <c r="DW36" s="293">
        <f t="shared" si="45"/>
      </c>
      <c r="DX36" s="291">
        <f t="shared" si="45"/>
      </c>
      <c r="DY36" s="107">
        <f t="shared" si="45"/>
      </c>
      <c r="DZ36" s="107">
        <f t="shared" si="45"/>
      </c>
      <c r="EA36" s="107">
        <f t="shared" si="45"/>
      </c>
      <c r="EB36" s="293">
        <f t="shared" si="45"/>
      </c>
      <c r="EC36" s="291">
        <f t="shared" si="45"/>
      </c>
      <c r="ED36" s="107">
        <f t="shared" si="45"/>
      </c>
      <c r="EE36" s="107">
        <f t="shared" si="45"/>
      </c>
      <c r="EF36" s="107">
        <f t="shared" si="45"/>
      </c>
      <c r="EG36" s="293">
        <f t="shared" si="45"/>
      </c>
      <c r="EH36" s="291">
        <f t="shared" si="45"/>
      </c>
      <c r="EI36" s="107">
        <f t="shared" si="45"/>
      </c>
      <c r="EJ36" s="107">
        <f t="shared" si="45"/>
      </c>
      <c r="EK36" s="107">
        <f t="shared" si="45"/>
      </c>
      <c r="EL36" s="293">
        <f t="shared" si="45"/>
      </c>
      <c r="EM36" s="291">
        <f t="shared" si="45"/>
      </c>
      <c r="EN36" s="107">
        <f t="shared" si="45"/>
      </c>
      <c r="EO36" s="107">
        <f t="shared" si="45"/>
      </c>
      <c r="EP36" s="107">
        <f t="shared" si="45"/>
      </c>
      <c r="EQ36" s="293">
        <f t="shared" si="45"/>
      </c>
      <c r="ER36" s="291">
        <f t="shared" si="45"/>
      </c>
      <c r="ES36" s="107">
        <f t="shared" si="45"/>
      </c>
      <c r="ET36" s="468">
        <f>IFERROR(ET31/ET10,"")</f>
      </c>
      <c r="EU36" s="468">
        <f>IFERROR(EU31/EU10,"")</f>
      </c>
      <c r="EV36" s="293">
        <f>IFERROR(EV31/EV10,"")</f>
      </c>
      <c r="EW36" s="349">
        <f t="shared" ref="EW36:EX36" si="46">IFERROR(EW31/EW10,"")</f>
      </c>
      <c r="EX36" s="468">
        <f t="shared" si="46"/>
      </c>
      <c r="EY36" s="468">
        <f>IFERROR(EY31/EY10,"")</f>
      </c>
      <c r="EZ36" s="468">
        <f>IFERROR(EZ31/EZ10,"")</f>
      </c>
      <c r="FA36" s="293">
        <f>IFERROR(FA31/FA10,"")</f>
      </c>
      <c r="FB36" s="631"/>
      <c r="FC36" s="631"/>
      <c r="FD36" s="631"/>
      <c r="FE36" s="631"/>
      <c r="FF36" s="293"/>
      <c r="FG36" s="631"/>
      <c r="FH36" s="631"/>
      <c r="FI36" s="631"/>
      <c r="FJ36" s="631"/>
      <c r="FK36" s="293"/>
      <c r="FL36" s="631"/>
      <c r="FM36" s="631"/>
      <c r="FN36" s="631"/>
      <c r="FO36" s="631"/>
      <c r="FP36" s="293"/>
      <c r="FQ36" s="631"/>
      <c r="FR36" s="631"/>
      <c r="FS36" s="631"/>
      <c r="FT36" s="631"/>
      <c r="FU36" s="293"/>
      <c r="FV36" s="631"/>
      <c r="FW36" s="631"/>
      <c r="FX36" s="631"/>
      <c r="FY36" s="631"/>
      <c r="FZ36" s="293"/>
      <c r="GA36" s="631"/>
      <c r="GB36" s="631"/>
      <c r="GC36" s="631"/>
      <c r="GD36" s="631"/>
      <c r="GE36" s="293"/>
      <c r="GF36" s="631"/>
      <c r="GG36" s="631"/>
      <c r="GH36" s="631"/>
      <c r="GI36" s="631"/>
      <c r="GJ36" s="293"/>
    </row>
    <row r="37" spans="1:192" ht="12.75" hidden="1" customHeight="1" outlineLevel="1">
      <c r="B37" s="309"/>
      <c r="C37" s="294"/>
      <c r="D37" s="295"/>
      <c r="E37" s="295"/>
      <c r="F37" s="295"/>
      <c r="G37" s="296"/>
      <c r="H37" s="294"/>
      <c r="I37" s="295"/>
      <c r="J37" s="295"/>
      <c r="K37" s="295"/>
      <c r="L37" s="296"/>
      <c r="M37" s="294"/>
      <c r="N37" s="295"/>
      <c r="O37" s="295"/>
      <c r="P37" s="295"/>
      <c r="Q37" s="296"/>
      <c r="R37" s="294"/>
      <c r="S37" s="295"/>
      <c r="T37" s="295"/>
      <c r="U37" s="295"/>
      <c r="V37" s="296"/>
      <c r="W37" s="294"/>
      <c r="X37" s="295"/>
      <c r="Y37" s="295"/>
      <c r="Z37" s="295"/>
      <c r="AA37" s="296"/>
      <c r="AB37" s="294"/>
      <c r="AC37" s="295"/>
      <c r="AD37" s="295"/>
      <c r="AE37" s="295"/>
      <c r="AF37" s="296"/>
      <c r="AG37" s="294"/>
      <c r="AH37" s="295"/>
      <c r="AI37" s="295"/>
      <c r="AJ37" s="295"/>
      <c r="AK37" s="296"/>
      <c r="AL37" s="294"/>
      <c r="AM37" s="295"/>
      <c r="AN37" s="295"/>
      <c r="AO37" s="295"/>
      <c r="AP37" s="296"/>
      <c r="AQ37" s="294"/>
      <c r="AR37" s="295"/>
      <c r="AS37" s="295"/>
      <c r="AT37" s="295"/>
      <c r="AU37" s="296"/>
      <c r="AV37" s="294"/>
      <c r="AW37" s="295"/>
      <c r="AX37" s="295"/>
      <c r="AY37" s="295"/>
      <c r="AZ37" s="296"/>
      <c r="BA37" s="294"/>
      <c r="BB37" s="295"/>
      <c r="BC37" s="295"/>
      <c r="BD37" s="295"/>
      <c r="BE37" s="296"/>
      <c r="BF37" s="294"/>
      <c r="BG37" s="295"/>
      <c r="BH37" s="295"/>
      <c r="BI37" s="295"/>
      <c r="BJ37" s="296"/>
      <c r="BK37" s="294"/>
      <c r="BL37" s="295"/>
      <c r="BM37" s="295"/>
      <c r="BN37" s="295"/>
      <c r="BO37" s="296"/>
      <c r="BP37" s="294"/>
      <c r="BQ37" s="295"/>
      <c r="BR37" s="295"/>
      <c r="BS37" s="295"/>
      <c r="BT37" s="296"/>
      <c r="BU37" s="294"/>
      <c r="BV37" s="295"/>
      <c r="BW37" s="295"/>
      <c r="BX37" s="295"/>
      <c r="BY37" s="296"/>
      <c r="BZ37" s="294"/>
      <c r="CA37" s="295"/>
      <c r="CB37" s="295"/>
      <c r="CC37" s="295"/>
      <c r="CD37" s="296"/>
      <c r="CE37" s="294"/>
      <c r="CF37" s="295"/>
      <c r="CG37" s="295"/>
      <c r="CH37" s="295"/>
      <c r="CI37" s="296"/>
      <c r="CJ37" s="294"/>
      <c r="CK37" s="295"/>
      <c r="CL37" s="295"/>
      <c r="CM37" s="295"/>
      <c r="CN37" s="296"/>
      <c r="CO37" s="294"/>
      <c r="CP37" s="295"/>
      <c r="CQ37" s="295"/>
      <c r="CR37" s="295"/>
      <c r="CS37" s="296"/>
      <c r="CT37" s="294"/>
      <c r="CU37" s="295"/>
      <c r="CV37" s="295"/>
      <c r="CW37" s="295"/>
      <c r="CX37" s="296"/>
      <c r="CY37" s="294"/>
      <c r="CZ37" s="295"/>
      <c r="DA37" s="295"/>
      <c r="DB37" s="295"/>
      <c r="DC37" s="296"/>
      <c r="DD37" s="294"/>
      <c r="DE37" s="295"/>
      <c r="DF37" s="295"/>
      <c r="DG37" s="295"/>
      <c r="DH37" s="296"/>
      <c r="DI37" s="294"/>
      <c r="DJ37" s="295"/>
      <c r="DK37" s="295"/>
      <c r="DL37" s="295"/>
      <c r="DM37" s="296"/>
      <c r="DN37" s="294"/>
      <c r="DO37" s="295"/>
      <c r="DP37" s="295"/>
      <c r="DQ37" s="295"/>
      <c r="DR37" s="296"/>
      <c r="DS37" s="294"/>
      <c r="DT37" s="295"/>
      <c r="DU37" s="295"/>
      <c r="DV37" s="295"/>
      <c r="DW37" s="296"/>
      <c r="DX37" s="294"/>
      <c r="DY37" s="295"/>
      <c r="DZ37" s="295"/>
      <c r="EA37" s="295"/>
      <c r="EB37" s="296"/>
      <c r="EC37" s="294"/>
      <c r="ED37" s="295"/>
      <c r="EE37" s="295"/>
      <c r="EF37" s="295"/>
      <c r="EG37" s="296"/>
      <c r="EH37" s="294"/>
      <c r="EI37" s="295"/>
      <c r="EJ37" s="295"/>
      <c r="EK37" s="295"/>
      <c r="EL37" s="296"/>
      <c r="EM37" s="294"/>
      <c r="EN37" s="295"/>
      <c r="EO37" s="295"/>
      <c r="EP37" s="295"/>
      <c r="EQ37" s="296"/>
      <c r="ER37" s="104"/>
      <c r="ES37" s="295"/>
      <c r="ET37" s="469"/>
      <c r="EU37" s="469"/>
      <c r="EV37" s="296"/>
      <c r="EW37" s="980"/>
      <c r="EX37" s="469"/>
      <c r="EY37" s="469"/>
      <c r="EZ37" s="469"/>
      <c r="FA37" s="296"/>
      <c r="FB37" s="294"/>
      <c r="FC37" s="295"/>
      <c r="FD37" s="295"/>
      <c r="FE37" s="295"/>
      <c r="FF37" s="296"/>
      <c r="FG37" s="294"/>
      <c r="FH37" s="295"/>
      <c r="FI37" s="295"/>
      <c r="FJ37" s="295"/>
      <c r="FK37" s="296"/>
      <c r="FL37" s="294"/>
      <c r="FM37" s="295"/>
      <c r="FN37" s="295"/>
      <c r="FO37" s="295"/>
      <c r="FP37" s="296"/>
      <c r="FQ37" s="294"/>
      <c r="FR37" s="295"/>
      <c r="FS37" s="295"/>
      <c r="FT37" s="295"/>
      <c r="FU37" s="296"/>
      <c r="FV37" s="294"/>
      <c r="FW37" s="295"/>
      <c r="FX37" s="295"/>
      <c r="FY37" s="295"/>
      <c r="FZ37" s="296"/>
      <c r="GA37" s="294"/>
      <c r="GB37" s="295"/>
      <c r="GC37" s="295"/>
      <c r="GD37" s="295"/>
      <c r="GE37" s="296"/>
      <c r="GF37" s="294"/>
      <c r="GG37" s="295"/>
      <c r="GH37" s="295"/>
      <c r="GI37" s="295"/>
      <c r="GJ37" s="296"/>
    </row>
    <row r="38" spans="1:192" s="461" customFormat="1" ht="12.75" hidden="1" customHeight="1" outlineLevel="1">
      <c r="A38" s="370"/>
      <c r="B38" s="625" t="s">
        <v>160</v>
      </c>
      <c r="C38" s="626"/>
      <c r="D38" s="626"/>
      <c r="E38" s="626"/>
      <c r="F38" s="626"/>
      <c r="G38" s="627"/>
      <c r="H38" s="626"/>
      <c r="I38" s="626"/>
      <c r="J38" s="626"/>
      <c r="K38" s="626"/>
      <c r="L38" s="627"/>
      <c r="M38" s="626"/>
      <c r="N38" s="626"/>
      <c r="O38" s="626"/>
      <c r="P38" s="626"/>
      <c r="Q38" s="627"/>
      <c r="R38" s="626"/>
      <c r="S38" s="626"/>
      <c r="T38" s="626"/>
      <c r="U38" s="626"/>
      <c r="V38" s="627"/>
      <c r="W38" s="626"/>
      <c r="X38" s="626"/>
      <c r="Y38" s="626"/>
      <c r="Z38" s="626"/>
      <c r="AA38" s="627"/>
      <c r="AB38" s="626"/>
      <c r="AC38" s="626"/>
      <c r="AD38" s="626"/>
      <c r="AE38" s="626"/>
      <c r="AF38" s="627"/>
      <c r="AG38" s="626"/>
      <c r="AH38" s="626"/>
      <c r="AI38" s="626"/>
      <c r="AJ38" s="626"/>
      <c r="AK38" s="627"/>
      <c r="AL38" s="626"/>
      <c r="AM38" s="626"/>
      <c r="AN38" s="626"/>
      <c r="AO38" s="626"/>
      <c r="AP38" s="627"/>
      <c r="AQ38" s="626"/>
      <c r="AR38" s="626"/>
      <c r="AS38" s="626"/>
      <c r="AT38" s="626"/>
      <c r="AU38" s="627"/>
      <c r="AV38" s="626"/>
      <c r="AW38" s="626"/>
      <c r="AX38" s="626"/>
      <c r="AY38" s="626"/>
      <c r="AZ38" s="627"/>
      <c r="BA38" s="626"/>
      <c r="BB38" s="626"/>
      <c r="BC38" s="626"/>
      <c r="BD38" s="626"/>
      <c r="BE38" s="627"/>
      <c r="BF38" s="626"/>
      <c r="BG38" s="626"/>
      <c r="BH38" s="626"/>
      <c r="BI38" s="626"/>
      <c r="BJ38" s="627"/>
      <c r="BK38" s="626"/>
      <c r="BL38" s="626"/>
      <c r="BM38" s="626"/>
      <c r="BN38" s="626"/>
      <c r="BO38" s="627"/>
      <c r="BP38" s="626"/>
      <c r="BQ38" s="626"/>
      <c r="BR38" s="626"/>
      <c r="BS38" s="626"/>
      <c r="BT38" s="627"/>
      <c r="BU38" s="626"/>
      <c r="BV38" s="626"/>
      <c r="BW38" s="626"/>
      <c r="BX38" s="626"/>
      <c r="BY38" s="627"/>
      <c r="BZ38" s="626"/>
      <c r="CA38" s="626"/>
      <c r="CB38" s="626"/>
      <c r="CC38" s="626"/>
      <c r="CD38" s="627"/>
      <c r="CE38" s="626"/>
      <c r="CF38" s="626"/>
      <c r="CG38" s="626"/>
      <c r="CH38" s="626"/>
      <c r="CI38" s="627"/>
      <c r="CJ38" s="626"/>
      <c r="CK38" s="626"/>
      <c r="CL38" s="626"/>
      <c r="CM38" s="626"/>
      <c r="CN38" s="627"/>
      <c r="CO38" s="626"/>
      <c r="CP38" s="626"/>
      <c r="CQ38" s="626"/>
      <c r="CR38" s="626"/>
      <c r="CS38" s="627"/>
      <c r="CT38" s="626"/>
      <c r="CU38" s="626"/>
      <c r="CV38" s="626"/>
      <c r="CW38" s="626"/>
      <c r="CX38" s="627"/>
      <c r="CY38" s="626"/>
      <c r="CZ38" s="626"/>
      <c r="DA38" s="626"/>
      <c r="DB38" s="626"/>
      <c r="DC38" s="627"/>
      <c r="DD38" s="626"/>
      <c r="DE38" s="626"/>
      <c r="DF38" s="626"/>
      <c r="DG38" s="626"/>
      <c r="DH38" s="627"/>
      <c r="DI38" s="626">
        <v>4263</v>
      </c>
      <c r="DJ38" s="626">
        <v>4523</v>
      </c>
      <c r="DK38" s="626">
        <v>4985</v>
      </c>
      <c r="DL38" s="626">
        <v>5315</v>
      </c>
      <c r="DM38" s="627">
        <f>SUM(DI38:DL38)</f>
      </c>
      <c r="DN38" s="626">
        <v>5298</v>
      </c>
      <c r="DO38" s="626">
        <v>5566</v>
      </c>
      <c r="DP38" s="626">
        <v>5844</v>
      </c>
      <c r="DQ38" s="626">
        <v>6225</v>
      </c>
      <c r="DR38" s="627">
        <f>SUM(DN38:DQ38)</f>
      </c>
      <c r="DS38" s="626">
        <v>6256</v>
      </c>
      <c r="DT38" s="626">
        <v>6538</v>
      </c>
      <c r="DU38" s="626">
        <v>6729</v>
      </c>
      <c r="DV38" s="626">
        <v>7114</v>
      </c>
      <c r="DW38" s="627">
        <f>SUM(DS38:DV38)</f>
      </c>
      <c r="DX38" s="626">
        <v>7101</v>
      </c>
      <c r="DY38" s="626">
        <v>7392</v>
      </c>
      <c r="DZ38" s="626">
        <v>7599</v>
      </c>
      <c r="EA38" s="626">
        <v>7969</v>
      </c>
      <c r="EB38" s="627">
        <f>SUM(DX38:EA38)</f>
      </c>
      <c r="EC38" s="626">
        <v>7405</v>
      </c>
      <c r="ED38" s="626">
        <v>8136</v>
      </c>
      <c r="EE38" s="626">
        <v>8768</v>
      </c>
      <c r="EF38" s="626">
        <v>9704</v>
      </c>
      <c r="EG38" s="627">
        <f>SUM(EC38:EF38)</f>
      </c>
      <c r="EH38" s="626">
        <v>9854</v>
      </c>
      <c r="EI38" s="626">
        <v>10629</v>
      </c>
      <c r="EJ38" s="626">
        <v>11031</v>
      </c>
      <c r="EK38" s="626">
        <v>12072</v>
      </c>
      <c r="EL38" s="627">
        <f>SUM(EH38:EK38)</f>
      </c>
      <c r="EM38" s="626">
        <v>11150</v>
      </c>
      <c r="EN38" s="626">
        <v>11798</v>
      </c>
      <c r="EO38" s="626">
        <v>12187</v>
      </c>
      <c r="EP38" s="626">
        <v>12924</v>
      </c>
      <c r="EQ38" s="627">
        <f>SUM(EM38:EP38)</f>
      </c>
      <c r="ER38" s="626">
        <v>12771</v>
      </c>
      <c r="ES38" s="626">
        <v>13659</v>
      </c>
      <c r="ET38" s="629">
        <v>14166</v>
      </c>
      <c r="EU38" s="629">
        <v>18246</v>
      </c>
      <c r="EV38" s="627">
        <f>SUM(ER38:EU38)</f>
      </c>
      <c r="EW38" s="629">
        <v>16805</v>
      </c>
      <c r="EX38" s="629">
        <v>17943</v>
      </c>
      <c r="EY38" s="629">
        <v>18882</v>
      </c>
      <c r="EZ38" s="629">
        <v>20700</v>
      </c>
      <c r="FA38" s="627">
        <f>SUM(EW38:EZ38)</f>
      </c>
      <c r="FB38" s="609"/>
      <c r="FC38" s="609"/>
      <c r="FD38" s="609"/>
      <c r="FE38" s="609"/>
      <c r="FF38" s="627"/>
      <c r="FG38" s="609"/>
      <c r="FH38" s="609"/>
      <c r="FI38" s="609"/>
      <c r="FJ38" s="609"/>
      <c r="FK38" s="627"/>
      <c r="FL38" s="609"/>
      <c r="FM38" s="609"/>
      <c r="FN38" s="609"/>
      <c r="FO38" s="609"/>
      <c r="FP38" s="627"/>
      <c r="FQ38" s="609"/>
      <c r="FR38" s="609"/>
      <c r="FS38" s="609"/>
      <c r="FT38" s="609"/>
      <c r="FU38" s="627"/>
      <c r="FV38" s="609"/>
      <c r="FW38" s="609"/>
      <c r="FX38" s="609"/>
      <c r="FY38" s="609"/>
      <c r="FZ38" s="627"/>
      <c r="GA38" s="609"/>
      <c r="GB38" s="609"/>
      <c r="GC38" s="609"/>
      <c r="GD38" s="609"/>
      <c r="GE38" s="627"/>
      <c r="GF38" s="609"/>
      <c r="GG38" s="609"/>
      <c r="GH38" s="609"/>
      <c r="GI38" s="609"/>
      <c r="GJ38" s="627"/>
    </row>
    <row r="39" spans="1:192" ht="12.75" hidden="1" customHeight="1" outlineLevel="1">
      <c r="B39" s="617" t="s">
        <v>34</v>
      </c>
      <c r="C39" s="291"/>
      <c r="D39" s="107"/>
      <c r="E39" s="107"/>
      <c r="F39" s="107"/>
      <c r="G39" s="536"/>
      <c r="H39" s="291" t="str">
        <f t="shared" ref="H39:AM39" si="47">IFERROR(H38/C38-1,"")</f>
      </c>
      <c r="I39" s="107" t="str">
        <f t="shared" si="47"/>
      </c>
      <c r="J39" s="107" t="str">
        <f t="shared" si="47"/>
      </c>
      <c r="K39" s="107" t="str">
        <f t="shared" si="47"/>
      </c>
      <c r="L39" s="292" t="str">
        <f t="shared" si="47"/>
      </c>
      <c r="M39" s="291" t="str">
        <f t="shared" si="47"/>
      </c>
      <c r="N39" s="107" t="str">
        <f t="shared" si="47"/>
      </c>
      <c r="O39" s="107" t="str">
        <f t="shared" si="47"/>
      </c>
      <c r="P39" s="107" t="str">
        <f t="shared" si="47"/>
      </c>
      <c r="Q39" s="292" t="str">
        <f t="shared" si="47"/>
      </c>
      <c r="R39" s="291" t="str">
        <f t="shared" si="47"/>
      </c>
      <c r="S39" s="107" t="str">
        <f t="shared" si="47"/>
      </c>
      <c r="T39" s="107" t="str">
        <f t="shared" si="47"/>
      </c>
      <c r="U39" s="107" t="str">
        <f t="shared" si="47"/>
      </c>
      <c r="V39" s="292" t="str">
        <f t="shared" si="47"/>
      </c>
      <c r="W39" s="291" t="str">
        <f t="shared" si="47"/>
      </c>
      <c r="X39" s="107" t="str">
        <f t="shared" si="47"/>
      </c>
      <c r="Y39" s="107" t="str">
        <f t="shared" si="47"/>
      </c>
      <c r="Z39" s="107" t="str">
        <f t="shared" si="47"/>
      </c>
      <c r="AA39" s="292" t="str">
        <f t="shared" si="47"/>
      </c>
      <c r="AB39" s="291" t="str">
        <f t="shared" si="47"/>
      </c>
      <c r="AC39" s="107" t="str">
        <f t="shared" si="47"/>
      </c>
      <c r="AD39" s="107" t="str">
        <f t="shared" si="47"/>
      </c>
      <c r="AE39" s="107" t="str">
        <f t="shared" si="47"/>
      </c>
      <c r="AF39" s="292" t="str">
        <f t="shared" si="47"/>
      </c>
      <c r="AG39" s="291" t="str">
        <f t="shared" si="47"/>
      </c>
      <c r="AH39" s="107" t="str">
        <f t="shared" si="47"/>
      </c>
      <c r="AI39" s="107" t="str">
        <f t="shared" si="47"/>
      </c>
      <c r="AJ39" s="107" t="str">
        <f t="shared" si="47"/>
      </c>
      <c r="AK39" s="292" t="str">
        <f t="shared" si="47"/>
      </c>
      <c r="AL39" s="291" t="str">
        <f t="shared" si="47"/>
      </c>
      <c r="AM39" s="107" t="str">
        <f t="shared" si="47"/>
      </c>
      <c r="AN39" s="107" t="str">
        <f t="shared" ref="AN39:BS39" si="48">IFERROR(AN38/AI38-1,"")</f>
      </c>
      <c r="AO39" s="107" t="str">
        <f t="shared" si="48"/>
      </c>
      <c r="AP39" s="292" t="str">
        <f t="shared" si="48"/>
      </c>
      <c r="AQ39" s="291" t="str">
        <f t="shared" si="48"/>
      </c>
      <c r="AR39" s="107" t="str">
        <f t="shared" si="48"/>
      </c>
      <c r="AS39" s="107" t="str">
        <f t="shared" si="48"/>
      </c>
      <c r="AT39" s="107" t="str">
        <f t="shared" si="48"/>
      </c>
      <c r="AU39" s="292" t="str">
        <f t="shared" si="48"/>
      </c>
      <c r="AV39" s="291" t="str">
        <f t="shared" si="48"/>
      </c>
      <c r="AW39" s="107" t="str">
        <f t="shared" si="48"/>
      </c>
      <c r="AX39" s="107" t="str">
        <f t="shared" si="48"/>
      </c>
      <c r="AY39" s="107" t="str">
        <f t="shared" si="48"/>
      </c>
      <c r="AZ39" s="292" t="str">
        <f t="shared" si="48"/>
      </c>
      <c r="BA39" s="291" t="str">
        <f t="shared" si="48"/>
      </c>
      <c r="BB39" s="107" t="str">
        <f t="shared" si="48"/>
      </c>
      <c r="BC39" s="107" t="str">
        <f t="shared" si="48"/>
      </c>
      <c r="BD39" s="107" t="str">
        <f t="shared" si="48"/>
      </c>
      <c r="BE39" s="292" t="str">
        <f t="shared" si="48"/>
      </c>
      <c r="BF39" s="291" t="str">
        <f t="shared" si="48"/>
      </c>
      <c r="BG39" s="107" t="str">
        <f t="shared" si="48"/>
      </c>
      <c r="BH39" s="107" t="str">
        <f t="shared" si="48"/>
      </c>
      <c r="BI39" s="107" t="str">
        <f t="shared" si="48"/>
      </c>
      <c r="BJ39" s="292" t="str">
        <f t="shared" si="48"/>
      </c>
      <c r="BK39" s="291" t="str">
        <f t="shared" si="48"/>
      </c>
      <c r="BL39" s="107" t="str">
        <f t="shared" si="48"/>
      </c>
      <c r="BM39" s="107" t="str">
        <f t="shared" si="48"/>
      </c>
      <c r="BN39" s="107" t="str">
        <f t="shared" si="48"/>
      </c>
      <c r="BO39" s="292" t="str">
        <f t="shared" si="48"/>
      </c>
      <c r="BP39" s="291" t="str">
        <f t="shared" si="48"/>
      </c>
      <c r="BQ39" s="107" t="str">
        <f t="shared" si="48"/>
      </c>
      <c r="BR39" s="107" t="str">
        <f t="shared" si="48"/>
      </c>
      <c r="BS39" s="107" t="str">
        <f t="shared" si="48"/>
      </c>
      <c r="BT39" s="292" t="str">
        <f t="shared" ref="BT39:CY39" si="49">IFERROR(BT38/BO38-1,"")</f>
      </c>
      <c r="BU39" s="291" t="str">
        <f t="shared" si="49"/>
      </c>
      <c r="BV39" s="107" t="str">
        <f t="shared" si="49"/>
      </c>
      <c r="BW39" s="107" t="str">
        <f t="shared" si="49"/>
      </c>
      <c r="BX39" s="107" t="str">
        <f t="shared" si="49"/>
      </c>
      <c r="BY39" s="292" t="str">
        <f t="shared" si="49"/>
      </c>
      <c r="BZ39" s="291" t="str">
        <f t="shared" si="49"/>
      </c>
      <c r="CA39" s="107" t="str">
        <f t="shared" si="49"/>
      </c>
      <c r="CB39" s="107" t="str">
        <f t="shared" si="49"/>
      </c>
      <c r="CC39" s="107" t="str">
        <f t="shared" si="49"/>
      </c>
      <c r="CD39" s="292" t="str">
        <f t="shared" si="49"/>
      </c>
      <c r="CE39" s="291" t="str">
        <f t="shared" si="49"/>
      </c>
      <c r="CF39" s="107" t="str">
        <f t="shared" si="49"/>
      </c>
      <c r="CG39" s="107" t="str">
        <f t="shared" si="49"/>
      </c>
      <c r="CH39" s="107" t="str">
        <f t="shared" si="49"/>
      </c>
      <c r="CI39" s="292" t="str">
        <f t="shared" si="49"/>
      </c>
      <c r="CJ39" s="291" t="str">
        <f t="shared" si="49"/>
      </c>
      <c r="CK39" s="107" t="str">
        <f t="shared" si="49"/>
      </c>
      <c r="CL39" s="107" t="str">
        <f t="shared" si="49"/>
      </c>
      <c r="CM39" s="107" t="str">
        <f t="shared" si="49"/>
      </c>
      <c r="CN39" s="292" t="str">
        <f t="shared" si="49"/>
      </c>
      <c r="CO39" s="291" t="str">
        <f t="shared" si="49"/>
      </c>
      <c r="CP39" s="107" t="str">
        <f t="shared" si="49"/>
      </c>
      <c r="CQ39" s="107" t="str">
        <f t="shared" si="49"/>
      </c>
      <c r="CR39" s="107" t="str">
        <f t="shared" si="49"/>
      </c>
      <c r="CS39" s="292" t="str">
        <f t="shared" si="49"/>
      </c>
      <c r="CT39" s="291" t="str">
        <f t="shared" si="49"/>
      </c>
      <c r="CU39" s="107" t="str">
        <f t="shared" si="49"/>
      </c>
      <c r="CV39" s="107" t="str">
        <f t="shared" si="49"/>
      </c>
      <c r="CW39" s="107" t="str">
        <f t="shared" si="49"/>
      </c>
      <c r="CX39" s="292" t="str">
        <f t="shared" si="49"/>
      </c>
      <c r="CY39" s="291" t="str">
        <f t="shared" si="49"/>
      </c>
      <c r="CZ39" s="107" t="str">
        <f t="shared" ref="CZ39:EE39" si="50">IFERROR(CZ38/CU38-1,"")</f>
      </c>
      <c r="DA39" s="107" t="str">
        <f t="shared" si="50"/>
      </c>
      <c r="DB39" s="107" t="str">
        <f t="shared" si="50"/>
      </c>
      <c r="DC39" s="292" t="str">
        <f t="shared" si="50"/>
      </c>
      <c r="DD39" s="291"/>
      <c r="DE39" s="107"/>
      <c r="DF39" s="107"/>
      <c r="DG39" s="107"/>
      <c r="DH39" s="292"/>
      <c r="DI39" s="291" t="str">
        <f t="shared" si="50"/>
      </c>
      <c r="DJ39" s="107" t="str">
        <f t="shared" si="50"/>
      </c>
      <c r="DK39" s="107" t="str">
        <f t="shared" si="50"/>
      </c>
      <c r="DL39" s="107" t="str">
        <f t="shared" si="50"/>
      </c>
      <c r="DM39" s="292" t="str">
        <f t="shared" si="50"/>
      </c>
      <c r="DN39" s="291">
        <f t="shared" si="50"/>
      </c>
      <c r="DO39" s="107">
        <f t="shared" si="50"/>
      </c>
      <c r="DP39" s="107">
        <f t="shared" si="50"/>
      </c>
      <c r="DQ39" s="107">
        <f t="shared" si="50"/>
      </c>
      <c r="DR39" s="292">
        <f t="shared" si="50"/>
      </c>
      <c r="DS39" s="291">
        <f t="shared" si="50"/>
      </c>
      <c r="DT39" s="107">
        <f t="shared" si="50"/>
      </c>
      <c r="DU39" s="107">
        <f t="shared" si="50"/>
      </c>
      <c r="DV39" s="107">
        <f t="shared" si="50"/>
      </c>
      <c r="DW39" s="292">
        <f t="shared" si="50"/>
      </c>
      <c r="DX39" s="291">
        <f t="shared" si="50"/>
      </c>
      <c r="DY39" s="107">
        <f t="shared" si="50"/>
      </c>
      <c r="DZ39" s="107">
        <f t="shared" si="50"/>
      </c>
      <c r="EA39" s="107">
        <f t="shared" si="50"/>
      </c>
      <c r="EB39" s="292">
        <f t="shared" si="50"/>
      </c>
      <c r="EC39" s="291">
        <f t="shared" si="50"/>
      </c>
      <c r="ED39" s="107">
        <f t="shared" si="50"/>
      </c>
      <c r="EE39" s="107">
        <f t="shared" si="50"/>
      </c>
      <c r="EF39" s="107">
        <f t="shared" ref="EF39:FA39" si="51">IFERROR(EF38/EA38-1,"")</f>
      </c>
      <c r="EG39" s="292">
        <f t="shared" si="51"/>
      </c>
      <c r="EH39" s="291">
        <f t="shared" si="51"/>
      </c>
      <c r="EI39" s="107">
        <f t="shared" si="51"/>
      </c>
      <c r="EJ39" s="107">
        <f t="shared" si="51"/>
      </c>
      <c r="EK39" s="107">
        <f t="shared" si="51"/>
      </c>
      <c r="EL39" s="292">
        <f t="shared" si="51"/>
      </c>
      <c r="EM39" s="291">
        <f t="shared" si="51"/>
      </c>
      <c r="EN39" s="107">
        <f t="shared" si="51"/>
      </c>
      <c r="EO39" s="107">
        <f t="shared" si="51"/>
      </c>
      <c r="EP39" s="107">
        <f t="shared" si="51"/>
      </c>
      <c r="EQ39" s="292">
        <f t="shared" si="51"/>
      </c>
      <c r="ER39" s="291">
        <f t="shared" si="51"/>
      </c>
      <c r="ES39" s="107">
        <f t="shared" si="51"/>
      </c>
      <c r="ET39" s="107">
        <f t="shared" si="51"/>
      </c>
      <c r="EU39" s="468">
        <f t="shared" si="51"/>
      </c>
      <c r="EV39" s="292">
        <f t="shared" si="51"/>
      </c>
      <c r="EW39" s="291">
        <f t="shared" si="51"/>
      </c>
      <c r="EX39" s="468">
        <f t="shared" si="51"/>
      </c>
      <c r="EY39" s="468">
        <f t="shared" si="51"/>
      </c>
      <c r="EZ39" s="468">
        <f t="shared" si="51"/>
      </c>
      <c r="FA39" s="292">
        <f t="shared" si="51"/>
      </c>
      <c r="FB39" s="291"/>
      <c r="FC39" s="107"/>
      <c r="FD39" s="107"/>
      <c r="FE39" s="107"/>
      <c r="FF39" s="292"/>
      <c r="FG39" s="291"/>
      <c r="FH39" s="107"/>
      <c r="FI39" s="107"/>
      <c r="FJ39" s="107"/>
      <c r="FK39" s="292"/>
      <c r="FL39" s="291"/>
      <c r="FM39" s="107"/>
      <c r="FN39" s="107"/>
      <c r="FO39" s="107"/>
      <c r="FP39" s="292"/>
      <c r="FQ39" s="291"/>
      <c r="FR39" s="107"/>
      <c r="FS39" s="107"/>
      <c r="FT39" s="107"/>
      <c r="FU39" s="292"/>
      <c r="FV39" s="291"/>
      <c r="FW39" s="107"/>
      <c r="FX39" s="107"/>
      <c r="FY39" s="107"/>
      <c r="FZ39" s="292"/>
      <c r="GA39" s="291"/>
      <c r="GB39" s="107"/>
      <c r="GC39" s="107"/>
      <c r="GD39" s="107"/>
      <c r="GE39" s="292"/>
      <c r="GF39" s="291"/>
      <c r="GG39" s="107"/>
      <c r="GH39" s="107"/>
      <c r="GI39" s="107"/>
      <c r="GJ39" s="292"/>
    </row>
    <row r="40" spans="1:192" ht="12.75" hidden="1" customHeight="1" outlineLevel="1">
      <c r="B40" s="617" t="s">
        <v>36</v>
      </c>
      <c r="C40" s="291"/>
      <c r="D40" s="137"/>
      <c r="E40" s="137"/>
      <c r="F40" s="137"/>
      <c r="G40" s="538"/>
      <c r="H40" s="291" t="str">
        <f>IFERROR(H38/F38-1,"")</f>
      </c>
      <c r="I40" s="107" t="str">
        <f>IFERROR(I38/H38-1,"")</f>
      </c>
      <c r="J40" s="107" t="str">
        <f>IFERROR(J38/I38-1,"")</f>
      </c>
      <c r="K40" s="107" t="str">
        <f>IFERROR(K38/J38-1,"")</f>
      </c>
      <c r="L40" s="293"/>
      <c r="M40" s="291" t="str">
        <f>IFERROR(M38/K38-1,"")</f>
      </c>
      <c r="N40" s="107" t="str">
        <f>IFERROR(N38/M38-1,"")</f>
      </c>
      <c r="O40" s="107" t="str">
        <f>IFERROR(O38/N38-1,"")</f>
      </c>
      <c r="P40" s="107" t="str">
        <f>IFERROR(P38/O38-1,"")</f>
      </c>
      <c r="Q40" s="293"/>
      <c r="R40" s="291" t="str">
        <f>IFERROR(R38/P38-1,"")</f>
      </c>
      <c r="S40" s="107" t="str">
        <f>IFERROR(S38/R38-1,"")</f>
      </c>
      <c r="T40" s="107" t="str">
        <f>IFERROR(T38/S38-1,"")</f>
      </c>
      <c r="U40" s="107" t="str">
        <f>IFERROR(U38/T38-1,"")</f>
      </c>
      <c r="V40" s="293"/>
      <c r="W40" s="291" t="str">
        <f>IFERROR(W38/U38-1,"")</f>
      </c>
      <c r="X40" s="107" t="str">
        <f>IFERROR(X38/W38-1,"")</f>
      </c>
      <c r="Y40" s="107" t="str">
        <f>IFERROR(Y38/X38-1,"")</f>
      </c>
      <c r="Z40" s="107" t="str">
        <f>IFERROR(Z38/Y38-1,"")</f>
      </c>
      <c r="AA40" s="293"/>
      <c r="AB40" s="291" t="str">
        <f>IFERROR(AB38/Z38-1,"")</f>
      </c>
      <c r="AC40" s="107" t="str">
        <f>IFERROR(AC38/AB38-1,"")</f>
      </c>
      <c r="AD40" s="107" t="str">
        <f>IFERROR(AD38/AC38-1,"")</f>
      </c>
      <c r="AE40" s="107" t="str">
        <f>IFERROR(AE38/AD38-1,"")</f>
      </c>
      <c r="AF40" s="293"/>
      <c r="AG40" s="291" t="str">
        <f>IFERROR(AG38/AE38-1,"")</f>
      </c>
      <c r="AH40" s="107" t="str">
        <f>IFERROR(AH38/AG38-1,"")</f>
      </c>
      <c r="AI40" s="107" t="str">
        <f>IFERROR(AI38/AH38-1,"")</f>
      </c>
      <c r="AJ40" s="107" t="str">
        <f>IFERROR(AJ38/AI38-1,"")</f>
      </c>
      <c r="AK40" s="293"/>
      <c r="AL40" s="291" t="str">
        <f>IFERROR(AL38/AJ38-1,"")</f>
      </c>
      <c r="AM40" s="107" t="str">
        <f>IFERROR(AM38/AL38-1,"")</f>
      </c>
      <c r="AN40" s="107" t="str">
        <f>IFERROR(AN38/AM38-1,"")</f>
      </c>
      <c r="AO40" s="107" t="str">
        <f>IFERROR(AO38/AN38-1,"")</f>
      </c>
      <c r="AP40" s="293"/>
      <c r="AQ40" s="291" t="str">
        <f>IFERROR(AQ38/AO38-1,"")</f>
      </c>
      <c r="AR40" s="107" t="str">
        <f>IFERROR(AR38/AQ38-1,"")</f>
      </c>
      <c r="AS40" s="107" t="str">
        <f>IFERROR(AS38/AR38-1,"")</f>
      </c>
      <c r="AT40" s="107" t="str">
        <f>IFERROR(AT38/AS38-1,"")</f>
      </c>
      <c r="AU40" s="293"/>
      <c r="AV40" s="291" t="str">
        <f>IFERROR(AV38/AT38-1,"")</f>
      </c>
      <c r="AW40" s="107" t="str">
        <f>IFERROR(AW38/AV38-1,"")</f>
      </c>
      <c r="AX40" s="107" t="str">
        <f>IFERROR(AX38/AW38-1,"")</f>
      </c>
      <c r="AY40" s="107" t="str">
        <f>IFERROR(AY38/AX38-1,"")</f>
      </c>
      <c r="AZ40" s="293"/>
      <c r="BA40" s="291" t="str">
        <f>IFERROR(BA38/AY38-1,"")</f>
      </c>
      <c r="BB40" s="107" t="str">
        <f>IFERROR(BB38/BA38-1,"")</f>
      </c>
      <c r="BC40" s="107" t="str">
        <f>IFERROR(BC38/BB38-1,"")</f>
      </c>
      <c r="BD40" s="107" t="str">
        <f>IFERROR(BD38/BC38-1,"")</f>
      </c>
      <c r="BE40" s="293"/>
      <c r="BF40" s="291" t="str">
        <f>IFERROR(BF38/BD38-1,"")</f>
      </c>
      <c r="BG40" s="107" t="str">
        <f>IFERROR(BG38/BF38-1,"")</f>
      </c>
      <c r="BH40" s="107" t="str">
        <f>IFERROR(BH38/BG38-1,"")</f>
      </c>
      <c r="BI40" s="107" t="str">
        <f>IFERROR(BI38/BH38-1,"")</f>
      </c>
      <c r="BJ40" s="293"/>
      <c r="BK40" s="291" t="str">
        <f>IFERROR(BK38/BI38-1,"")</f>
      </c>
      <c r="BL40" s="107" t="str">
        <f>IFERROR(BL38/BK38-1,"")</f>
      </c>
      <c r="BM40" s="107" t="str">
        <f>IFERROR(BM38/BL38-1,"")</f>
      </c>
      <c r="BN40" s="107" t="str">
        <f>IFERROR(BN38/BM38-1,"")</f>
      </c>
      <c r="BO40" s="293"/>
      <c r="BP40" s="291" t="str">
        <f>IFERROR(BP38/BN38-1,"")</f>
      </c>
      <c r="BQ40" s="107" t="str">
        <f>IFERROR(BQ38/BP38-1,"")</f>
      </c>
      <c r="BR40" s="107" t="str">
        <f>IFERROR(BR38/BQ38-1,"")</f>
      </c>
      <c r="BS40" s="107" t="str">
        <f>IFERROR(BS38/BR38-1,"")</f>
      </c>
      <c r="BT40" s="293"/>
      <c r="BU40" s="291" t="str">
        <f>IFERROR(BU38/BS38-1,"")</f>
      </c>
      <c r="BV40" s="107" t="str">
        <f>IFERROR(BV38/BU38-1,"")</f>
      </c>
      <c r="BW40" s="107" t="str">
        <f>IFERROR(BW38/BV38-1,"")</f>
      </c>
      <c r="BX40" s="107" t="str">
        <f>IFERROR(BX38/BW38-1,"")</f>
      </c>
      <c r="BY40" s="293"/>
      <c r="BZ40" s="291" t="str">
        <f>IFERROR(BZ38/BX38-1,"")</f>
      </c>
      <c r="CA40" s="107" t="str">
        <f>IFERROR(CA38/BZ38-1,"")</f>
      </c>
      <c r="CB40" s="107" t="str">
        <f>IFERROR(CB38/CA38-1,"")</f>
      </c>
      <c r="CC40" s="107" t="str">
        <f>IFERROR(CC38/CB38-1,"")</f>
      </c>
      <c r="CD40" s="293"/>
      <c r="CE40" s="291" t="str">
        <f>IFERROR(CE38/CC38-1,"")</f>
      </c>
      <c r="CF40" s="107" t="str">
        <f>IFERROR(CF38/CE38-1,"")</f>
      </c>
      <c r="CG40" s="107" t="str">
        <f>IFERROR(CG38/CF38-1,"")</f>
      </c>
      <c r="CH40" s="107" t="str">
        <f>IFERROR(CH38/CG38-1,"")</f>
      </c>
      <c r="CI40" s="293"/>
      <c r="CJ40" s="291" t="str">
        <f>IFERROR(CJ38/CH38-1,"")</f>
      </c>
      <c r="CK40" s="107" t="str">
        <f>IFERROR(CK38/CJ38-1,"")</f>
      </c>
      <c r="CL40" s="107" t="str">
        <f>IFERROR(CL38/CK38-1,"")</f>
      </c>
      <c r="CM40" s="107" t="str">
        <f>IFERROR(CM38/CL38-1,"")</f>
      </c>
      <c r="CN40" s="293"/>
      <c r="CO40" s="291" t="str">
        <f>IFERROR(CO38/CM38-1,"")</f>
      </c>
      <c r="CP40" s="107" t="str">
        <f>IFERROR(CP38/CO38-1,"")</f>
      </c>
      <c r="CQ40" s="107" t="str">
        <f>IFERROR(CQ38/CP38-1,"")</f>
      </c>
      <c r="CR40" s="107" t="str">
        <f>IFERROR(CR38/CQ38-1,"")</f>
      </c>
      <c r="CS40" s="293"/>
      <c r="CT40" s="291" t="str">
        <f>IFERROR(CT38/CR38-1,"")</f>
      </c>
      <c r="CU40" s="107" t="str">
        <f>IFERROR(CU38/CT38-1,"")</f>
      </c>
      <c r="CV40" s="107" t="str">
        <f>IFERROR(CV38/CU38-1,"")</f>
      </c>
      <c r="CW40" s="107" t="str">
        <f>IFERROR(CW38/CV38-1,"")</f>
      </c>
      <c r="CX40" s="293"/>
      <c r="CY40" s="291" t="str">
        <f>IFERROR(CY38/CW38-1,"")</f>
      </c>
      <c r="CZ40" s="107" t="str">
        <f>IFERROR(CZ38/CY38-1,"")</f>
      </c>
      <c r="DA40" s="107" t="str">
        <f>IFERROR(DA38/CZ38-1,"")</f>
      </c>
      <c r="DB40" s="107" t="str">
        <f>IFERROR(DB38/DA38-1,"")</f>
      </c>
      <c r="DC40" s="293"/>
      <c r="DD40" s="291"/>
      <c r="DE40" s="107"/>
      <c r="DF40" s="107"/>
      <c r="DG40" s="107"/>
      <c r="DH40" s="293"/>
      <c r="DI40" s="291" t="str">
        <f>IFERROR(DI38/DG38-1,"")</f>
      </c>
      <c r="DJ40" s="107">
        <f>IFERROR(DJ38/DI38-1,"")</f>
      </c>
      <c r="DK40" s="107">
        <f>IFERROR(DK38/DJ38-1,"")</f>
      </c>
      <c r="DL40" s="107">
        <f>IFERROR(DL38/DK38-1,"")</f>
      </c>
      <c r="DM40" s="293"/>
      <c r="DN40" s="291">
        <f>IFERROR(DN38/DL38-1,"")</f>
      </c>
      <c r="DO40" s="107">
        <f>IFERROR(DO38/DN38-1,"")</f>
      </c>
      <c r="DP40" s="107">
        <f>IFERROR(DP38/DO38-1,"")</f>
      </c>
      <c r="DQ40" s="107">
        <f>IFERROR(DQ38/DP38-1,"")</f>
      </c>
      <c r="DR40" s="293"/>
      <c r="DS40" s="291">
        <f>IFERROR(DS38/DQ38-1,"")</f>
      </c>
      <c r="DT40" s="107">
        <f>IFERROR(DT38/DS38-1,"")</f>
      </c>
      <c r="DU40" s="107">
        <f>IFERROR(DU38/DT38-1,"")</f>
      </c>
      <c r="DV40" s="107">
        <f>IFERROR(DV38/DU38-1,"")</f>
      </c>
      <c r="DW40" s="293"/>
      <c r="DX40" s="291">
        <f>IFERROR(DX38/DV38-1,"")</f>
      </c>
      <c r="DY40" s="107">
        <f>IFERROR(DY38/DX38-1,"")</f>
      </c>
      <c r="DZ40" s="107">
        <f>IFERROR(DZ38/DY38-1,"")</f>
      </c>
      <c r="EA40" s="107">
        <f>IFERROR(EA38/DZ38-1,"")</f>
      </c>
      <c r="EB40" s="293"/>
      <c r="EC40" s="291">
        <f>IFERROR(EC38/EA38-1,"")</f>
      </c>
      <c r="ED40" s="107">
        <f>IFERROR(ED38/EC38-1,"")</f>
      </c>
      <c r="EE40" s="107">
        <f>IFERROR(EE38/ED38-1,"")</f>
      </c>
      <c r="EF40" s="107">
        <f>IFERROR(EF38/EE38-1,"")</f>
      </c>
      <c r="EG40" s="293"/>
      <c r="EH40" s="291">
        <f>IFERROR(EH38/EF38-1,"")</f>
      </c>
      <c r="EI40" s="107">
        <f>IFERROR(EI38/EH38-1,"")</f>
      </c>
      <c r="EJ40" s="107">
        <f>IFERROR(EJ38/EI38-1,"")</f>
      </c>
      <c r="EK40" s="107">
        <f>IFERROR(EK38/EJ38-1,"")</f>
      </c>
      <c r="EL40" s="293"/>
      <c r="EM40" s="291">
        <f>IFERROR(EM38/EK38-1,"")</f>
      </c>
      <c r="EN40" s="107">
        <f>IFERROR(EN38/EM38-1,"")</f>
      </c>
      <c r="EO40" s="107">
        <f>IFERROR(EO38/EN38-1,"")</f>
      </c>
      <c r="EP40" s="107">
        <f>IFERROR(EP38/EO38-1,"")</f>
      </c>
      <c r="EQ40" s="293"/>
      <c r="ER40" s="291">
        <f>IFERROR(ER38/EP38-1,"")</f>
      </c>
      <c r="ES40" s="107">
        <f>IFERROR(ES38/ER38-1,"")</f>
      </c>
      <c r="ET40" s="107">
        <f>IFERROR(ET38/ES38-1,"")</f>
      </c>
      <c r="EU40" s="468">
        <f>IFERROR(EU38/ET38-1,"")</f>
      </c>
      <c r="EV40" s="293"/>
      <c r="EW40" s="291">
        <f>IFERROR(EW38/EU38-1,"")</f>
      </c>
      <c r="EX40" s="468">
        <f>IFERROR(EX38/EW38-1,"")</f>
      </c>
      <c r="EY40" s="468">
        <f>IFERROR(EY38/EX38-1,"")</f>
      </c>
      <c r="EZ40" s="468">
        <f>IFERROR(EZ38/EY38-1,"")</f>
      </c>
      <c r="FA40" s="293"/>
      <c r="FB40" s="291"/>
      <c r="FC40" s="107"/>
      <c r="FD40" s="107"/>
      <c r="FE40" s="107"/>
      <c r="FF40" s="293"/>
      <c r="FG40" s="291"/>
      <c r="FH40" s="107"/>
      <c r="FI40" s="107"/>
      <c r="FJ40" s="107"/>
      <c r="FK40" s="293"/>
      <c r="FL40" s="291"/>
      <c r="FM40" s="107"/>
      <c r="FN40" s="107"/>
      <c r="FO40" s="107"/>
      <c r="FP40" s="293"/>
      <c r="FQ40" s="291"/>
      <c r="FR40" s="107"/>
      <c r="FS40" s="107"/>
      <c r="FT40" s="107"/>
      <c r="FU40" s="293"/>
      <c r="FV40" s="291"/>
      <c r="FW40" s="107"/>
      <c r="FX40" s="107"/>
      <c r="FY40" s="107"/>
      <c r="FZ40" s="293"/>
      <c r="GA40" s="291"/>
      <c r="GB40" s="107"/>
      <c r="GC40" s="107"/>
      <c r="GD40" s="107"/>
      <c r="GE40" s="293"/>
      <c r="GF40" s="291"/>
      <c r="GG40" s="107"/>
      <c r="GH40" s="107"/>
      <c r="GI40" s="107"/>
      <c r="GJ40" s="293"/>
    </row>
    <row r="41" spans="1:192" ht="12.75" hidden="1" customHeight="1" outlineLevel="1">
      <c r="B41" s="617" t="s">
        <v>484</v>
      </c>
      <c r="C41" s="291"/>
      <c r="D41" s="137"/>
      <c r="E41" s="137"/>
      <c r="F41" s="137"/>
      <c r="G41" s="538"/>
      <c r="H41" s="291"/>
      <c r="I41" s="107"/>
      <c r="J41" s="107"/>
      <c r="K41" s="107"/>
      <c r="L41" s="293"/>
      <c r="M41" s="291"/>
      <c r="N41" s="107"/>
      <c r="O41" s="107"/>
      <c r="P41" s="107"/>
      <c r="Q41" s="293"/>
      <c r="R41" s="291"/>
      <c r="S41" s="107"/>
      <c r="T41" s="107"/>
      <c r="U41" s="107"/>
      <c r="V41" s="293"/>
      <c r="W41" s="291"/>
      <c r="X41" s="107"/>
      <c r="Y41" s="107"/>
      <c r="Z41" s="107"/>
      <c r="AA41" s="293"/>
      <c r="AB41" s="291"/>
      <c r="AC41" s="107"/>
      <c r="AD41" s="107"/>
      <c r="AE41" s="107"/>
      <c r="AF41" s="293"/>
      <c r="AG41" s="291"/>
      <c r="AH41" s="107"/>
      <c r="AI41" s="107"/>
      <c r="AJ41" s="107"/>
      <c r="AK41" s="293"/>
      <c r="AL41" s="291"/>
      <c r="AM41" s="107"/>
      <c r="AN41" s="107"/>
      <c r="AO41" s="107"/>
      <c r="AP41" s="293"/>
      <c r="AQ41" s="291"/>
      <c r="AR41" s="107"/>
      <c r="AS41" s="107"/>
      <c r="AT41" s="107"/>
      <c r="AU41" s="293"/>
      <c r="AV41" s="291"/>
      <c r="AW41" s="107"/>
      <c r="AX41" s="107"/>
      <c r="AY41" s="107"/>
      <c r="AZ41" s="293"/>
      <c r="BA41" s="291"/>
      <c r="BB41" s="107"/>
      <c r="BC41" s="107"/>
      <c r="BD41" s="107"/>
      <c r="BE41" s="293"/>
      <c r="BF41" s="291"/>
      <c r="BG41" s="107"/>
      <c r="BH41" s="107"/>
      <c r="BI41" s="107"/>
      <c r="BJ41" s="293"/>
      <c r="BK41" s="291"/>
      <c r="BL41" s="107"/>
      <c r="BM41" s="107"/>
      <c r="BN41" s="107"/>
      <c r="BO41" s="293"/>
      <c r="BP41" s="291"/>
      <c r="BQ41" s="107"/>
      <c r="BR41" s="107"/>
      <c r="BS41" s="107"/>
      <c r="BT41" s="293"/>
      <c r="BU41" s="291"/>
      <c r="BV41" s="107"/>
      <c r="BW41" s="107"/>
      <c r="BX41" s="107"/>
      <c r="BY41" s="293"/>
      <c r="BZ41" s="291"/>
      <c r="CA41" s="107"/>
      <c r="CB41" s="107"/>
      <c r="CC41" s="107"/>
      <c r="CD41" s="293"/>
      <c r="CE41" s="291"/>
      <c r="CF41" s="107"/>
      <c r="CG41" s="107"/>
      <c r="CH41" s="107"/>
      <c r="CI41" s="293"/>
      <c r="CJ41" s="291"/>
      <c r="CK41" s="107"/>
      <c r="CL41" s="107"/>
      <c r="CM41" s="107"/>
      <c r="CN41" s="293"/>
      <c r="CO41" s="291"/>
      <c r="CP41" s="107"/>
      <c r="CQ41" s="107"/>
      <c r="CR41" s="107"/>
      <c r="CS41" s="293"/>
      <c r="CT41" s="291"/>
      <c r="CU41" s="107"/>
      <c r="CV41" s="107"/>
      <c r="CW41" s="107"/>
      <c r="CX41" s="293"/>
      <c r="CY41" s="291"/>
      <c r="CZ41" s="107"/>
      <c r="DA41" s="107"/>
      <c r="DB41" s="107"/>
      <c r="DC41" s="293"/>
      <c r="DD41" s="291"/>
      <c r="DE41" s="107"/>
      <c r="DF41" s="107"/>
      <c r="DG41" s="107"/>
      <c r="DH41" s="293"/>
      <c r="DI41" s="463"/>
      <c r="DJ41" s="463"/>
      <c r="DK41" s="463"/>
      <c r="DL41" s="463"/>
      <c r="DM41" s="466"/>
      <c r="DN41" s="463">
        <f t="shared" ref="DN41:FA41" si="52">DN38-DI38</f>
      </c>
      <c r="DO41" s="463">
        <f t="shared" si="52"/>
      </c>
      <c r="DP41" s="463">
        <f t="shared" si="52"/>
      </c>
      <c r="DQ41" s="463">
        <f t="shared" si="52"/>
      </c>
      <c r="DR41" s="466">
        <f t="shared" si="52"/>
      </c>
      <c r="DS41" s="463">
        <f t="shared" si="52"/>
      </c>
      <c r="DT41" s="463">
        <f t="shared" si="52"/>
      </c>
      <c r="DU41" s="463">
        <f t="shared" si="52"/>
      </c>
      <c r="DV41" s="463">
        <f t="shared" si="52"/>
      </c>
      <c r="DW41" s="466">
        <f t="shared" si="52"/>
      </c>
      <c r="DX41" s="463">
        <f t="shared" si="52"/>
      </c>
      <c r="DY41" s="463">
        <f t="shared" si="52"/>
      </c>
      <c r="DZ41" s="463">
        <f t="shared" si="52"/>
      </c>
      <c r="EA41" s="463">
        <f t="shared" si="52"/>
      </c>
      <c r="EB41" s="466">
        <f t="shared" si="52"/>
      </c>
      <c r="EC41" s="463">
        <f t="shared" si="52"/>
      </c>
      <c r="ED41" s="463">
        <f t="shared" si="52"/>
      </c>
      <c r="EE41" s="463">
        <f t="shared" si="52"/>
      </c>
      <c r="EF41" s="463">
        <f t="shared" si="52"/>
      </c>
      <c r="EG41" s="466">
        <f t="shared" si="52"/>
      </c>
      <c r="EH41" s="463">
        <f t="shared" si="52"/>
      </c>
      <c r="EI41" s="463">
        <f t="shared" si="52"/>
      </c>
      <c r="EJ41" s="463">
        <f t="shared" si="52"/>
      </c>
      <c r="EK41" s="463">
        <f t="shared" si="52"/>
      </c>
      <c r="EL41" s="466">
        <f t="shared" si="52"/>
      </c>
      <c r="EM41" s="463">
        <f t="shared" si="52"/>
      </c>
      <c r="EN41" s="463">
        <f t="shared" si="52"/>
      </c>
      <c r="EO41" s="463">
        <f t="shared" si="52"/>
      </c>
      <c r="EP41" s="463">
        <f t="shared" si="52"/>
      </c>
      <c r="EQ41" s="466">
        <f t="shared" si="52"/>
      </c>
      <c r="ER41" s="463">
        <f t="shared" si="52"/>
      </c>
      <c r="ES41" s="463">
        <f t="shared" si="52"/>
      </c>
      <c r="ET41" s="463">
        <f t="shared" si="52"/>
      </c>
      <c r="EU41" s="1399">
        <f t="shared" si="52"/>
      </c>
      <c r="EV41" s="466">
        <f t="shared" si="52"/>
      </c>
      <c r="EW41" s="463">
        <f t="shared" si="52"/>
      </c>
      <c r="EX41" s="1399">
        <f t="shared" si="52"/>
      </c>
      <c r="EY41" s="1399">
        <f t="shared" si="52"/>
      </c>
      <c r="EZ41" s="1399">
        <f t="shared" si="52"/>
      </c>
      <c r="FA41" s="466">
        <f t="shared" si="52"/>
      </c>
      <c r="FB41" s="291"/>
      <c r="FC41" s="107"/>
      <c r="FD41" s="107"/>
      <c r="FE41" s="107"/>
      <c r="FF41" s="293"/>
      <c r="FG41" s="291"/>
      <c r="FH41" s="107"/>
      <c r="FI41" s="107"/>
      <c r="FJ41" s="107"/>
      <c r="FK41" s="293"/>
      <c r="FL41" s="291"/>
      <c r="FM41" s="107"/>
      <c r="FN41" s="107"/>
      <c r="FO41" s="107"/>
      <c r="FP41" s="293"/>
      <c r="FQ41" s="291"/>
      <c r="FR41" s="107"/>
      <c r="FS41" s="107"/>
      <c r="FT41" s="107"/>
      <c r="FU41" s="293"/>
      <c r="FV41" s="291"/>
      <c r="FW41" s="107"/>
      <c r="FX41" s="107"/>
      <c r="FY41" s="107"/>
      <c r="FZ41" s="293"/>
      <c r="GA41" s="291"/>
      <c r="GB41" s="107"/>
      <c r="GC41" s="107"/>
      <c r="GD41" s="107"/>
      <c r="GE41" s="293"/>
      <c r="GF41" s="291"/>
      <c r="GG41" s="107"/>
      <c r="GH41" s="107"/>
      <c r="GI41" s="107"/>
      <c r="GJ41" s="293"/>
    </row>
    <row r="42" spans="1:192" ht="12.75" hidden="1" customHeight="1" outlineLevel="1">
      <c r="B42" s="617" t="s">
        <v>485</v>
      </c>
      <c r="C42" s="291"/>
      <c r="D42" s="137"/>
      <c r="E42" s="137"/>
      <c r="F42" s="137"/>
      <c r="G42" s="538"/>
      <c r="H42" s="291"/>
      <c r="I42" s="107"/>
      <c r="J42" s="107"/>
      <c r="K42" s="107"/>
      <c r="L42" s="293"/>
      <c r="M42" s="291"/>
      <c r="N42" s="107"/>
      <c r="O42" s="107"/>
      <c r="P42" s="107"/>
      <c r="Q42" s="293"/>
      <c r="R42" s="291"/>
      <c r="S42" s="107"/>
      <c r="T42" s="107"/>
      <c r="U42" s="107"/>
      <c r="V42" s="293"/>
      <c r="W42" s="291"/>
      <c r="X42" s="107"/>
      <c r="Y42" s="107"/>
      <c r="Z42" s="107"/>
      <c r="AA42" s="293"/>
      <c r="AB42" s="291"/>
      <c r="AC42" s="107"/>
      <c r="AD42" s="107"/>
      <c r="AE42" s="107"/>
      <c r="AF42" s="293"/>
      <c r="AG42" s="291"/>
      <c r="AH42" s="107"/>
      <c r="AI42" s="107"/>
      <c r="AJ42" s="107"/>
      <c r="AK42" s="293"/>
      <c r="AL42" s="291"/>
      <c r="AM42" s="107"/>
      <c r="AN42" s="107"/>
      <c r="AO42" s="107"/>
      <c r="AP42" s="293"/>
      <c r="AQ42" s="291"/>
      <c r="AR42" s="107"/>
      <c r="AS42" s="107"/>
      <c r="AT42" s="107"/>
      <c r="AU42" s="293"/>
      <c r="AV42" s="291"/>
      <c r="AW42" s="107"/>
      <c r="AX42" s="107"/>
      <c r="AY42" s="107"/>
      <c r="AZ42" s="293"/>
      <c r="BA42" s="291"/>
      <c r="BB42" s="107"/>
      <c r="BC42" s="107"/>
      <c r="BD42" s="107"/>
      <c r="BE42" s="293"/>
      <c r="BF42" s="291"/>
      <c r="BG42" s="107"/>
      <c r="BH42" s="107"/>
      <c r="BI42" s="107"/>
      <c r="BJ42" s="293"/>
      <c r="BK42" s="291"/>
      <c r="BL42" s="107"/>
      <c r="BM42" s="107"/>
      <c r="BN42" s="107"/>
      <c r="BO42" s="293"/>
      <c r="BP42" s="291"/>
      <c r="BQ42" s="107"/>
      <c r="BR42" s="107"/>
      <c r="BS42" s="107"/>
      <c r="BT42" s="293"/>
      <c r="BU42" s="291"/>
      <c r="BV42" s="107"/>
      <c r="BW42" s="107"/>
      <c r="BX42" s="107"/>
      <c r="BY42" s="293"/>
      <c r="BZ42" s="291"/>
      <c r="CA42" s="107"/>
      <c r="CB42" s="107"/>
      <c r="CC42" s="107"/>
      <c r="CD42" s="293"/>
      <c r="CE42" s="291"/>
      <c r="CF42" s="107"/>
      <c r="CG42" s="107"/>
      <c r="CH42" s="107"/>
      <c r="CI42" s="293"/>
      <c r="CJ42" s="291"/>
      <c r="CK42" s="107"/>
      <c r="CL42" s="107"/>
      <c r="CM42" s="107"/>
      <c r="CN42" s="293"/>
      <c r="CO42" s="291"/>
      <c r="CP42" s="107"/>
      <c r="CQ42" s="107"/>
      <c r="CR42" s="107"/>
      <c r="CS42" s="293"/>
      <c r="CT42" s="291"/>
      <c r="CU42" s="107"/>
      <c r="CV42" s="107"/>
      <c r="CW42" s="107"/>
      <c r="CX42" s="293"/>
      <c r="CY42" s="291"/>
      <c r="CZ42" s="107"/>
      <c r="DA42" s="107"/>
      <c r="DB42" s="107"/>
      <c r="DC42" s="293"/>
      <c r="DD42" s="291"/>
      <c r="DE42" s="107"/>
      <c r="DF42" s="107"/>
      <c r="DG42" s="107"/>
      <c r="DH42" s="293"/>
      <c r="DI42" s="470"/>
      <c r="DJ42" s="463">
        <f>DJ38-DI38</f>
      </c>
      <c r="DK42" s="463">
        <f>DK38-DJ38</f>
      </c>
      <c r="DL42" s="463">
        <f>DL38-DK38</f>
      </c>
      <c r="DM42" s="293"/>
      <c r="DN42" s="470">
        <f>DN38-DL38</f>
      </c>
      <c r="DO42" s="463">
        <f>DO38-DN38</f>
      </c>
      <c r="DP42" s="463">
        <f>DP38-DO38</f>
      </c>
      <c r="DQ42" s="463">
        <f>DQ38-DP38</f>
      </c>
      <c r="DR42" s="293"/>
      <c r="DS42" s="470">
        <f>DS38-DQ38</f>
      </c>
      <c r="DT42" s="463">
        <f>DT38-DS38</f>
      </c>
      <c r="DU42" s="463">
        <f>DU38-DT38</f>
      </c>
      <c r="DV42" s="463">
        <f>DV38-DU38</f>
      </c>
      <c r="DW42" s="293"/>
      <c r="DX42" s="470">
        <f>DX38-DV38</f>
      </c>
      <c r="DY42" s="463">
        <f>DY38-DX38</f>
      </c>
      <c r="DZ42" s="463">
        <f>DZ38-DY38</f>
      </c>
      <c r="EA42" s="463">
        <f>EA38-DZ38</f>
      </c>
      <c r="EB42" s="293"/>
      <c r="EC42" s="470">
        <f>EC38-EA38</f>
      </c>
      <c r="ED42" s="463">
        <f>ED38-EC38</f>
      </c>
      <c r="EE42" s="463">
        <f>EE38-ED38</f>
      </c>
      <c r="EF42" s="463">
        <f>EF38-EE38</f>
      </c>
      <c r="EG42" s="293"/>
      <c r="EH42" s="470">
        <f>EH38-EF38</f>
      </c>
      <c r="EI42" s="463">
        <f>EI38-EH38</f>
      </c>
      <c r="EJ42" s="463">
        <f>EJ38-EI38</f>
      </c>
      <c r="EK42" s="463">
        <f>EK38-EJ38</f>
      </c>
      <c r="EL42" s="293"/>
      <c r="EM42" s="470">
        <f>EM38-EK38</f>
      </c>
      <c r="EN42" s="463">
        <f>EN38-EM38</f>
      </c>
      <c r="EO42" s="463">
        <f>EO38-EN38</f>
      </c>
      <c r="EP42" s="463">
        <f>EP38-EO38</f>
      </c>
      <c r="EQ42" s="293"/>
      <c r="ER42" s="470">
        <f>ER38-EP38</f>
      </c>
      <c r="ES42" s="463">
        <f>ES38-ER38</f>
      </c>
      <c r="ET42" s="463">
        <f>ET38-ES38</f>
      </c>
      <c r="EU42" s="1399">
        <f>EU38-ET38</f>
      </c>
      <c r="EV42" s="293"/>
      <c r="EW42" s="470">
        <f>EW38-EU38</f>
      </c>
      <c r="EX42" s="1399">
        <f>EX38-EW38</f>
      </c>
      <c r="EY42" s="1399">
        <f>EY38-EX38</f>
      </c>
      <c r="EZ42" s="1399">
        <f>EZ38-EY38</f>
      </c>
      <c r="FA42" s="293"/>
      <c r="FB42" s="291"/>
      <c r="FC42" s="107"/>
      <c r="FD42" s="107"/>
      <c r="FE42" s="107"/>
      <c r="FF42" s="293"/>
      <c r="FG42" s="291"/>
      <c r="FH42" s="107"/>
      <c r="FI42" s="107"/>
      <c r="FJ42" s="107"/>
      <c r="FK42" s="293"/>
      <c r="FL42" s="291"/>
      <c r="FM42" s="107"/>
      <c r="FN42" s="107"/>
      <c r="FO42" s="107"/>
      <c r="FP42" s="293"/>
      <c r="FQ42" s="291"/>
      <c r="FR42" s="107"/>
      <c r="FS42" s="107"/>
      <c r="FT42" s="107"/>
      <c r="FU42" s="293"/>
      <c r="FV42" s="291"/>
      <c r="FW42" s="107"/>
      <c r="FX42" s="107"/>
      <c r="FY42" s="107"/>
      <c r="FZ42" s="293"/>
      <c r="GA42" s="291"/>
      <c r="GB42" s="107"/>
      <c r="GC42" s="107"/>
      <c r="GD42" s="107"/>
      <c r="GE42" s="293"/>
      <c r="GF42" s="291"/>
      <c r="GG42" s="107"/>
      <c r="GH42" s="107"/>
      <c r="GI42" s="107"/>
      <c r="GJ42" s="293"/>
    </row>
    <row r="43" spans="1:192" ht="12.75" hidden="1" customHeight="1" outlineLevel="1">
      <c r="B43" s="617" t="s">
        <v>289</v>
      </c>
      <c r="C43" s="291" t="str">
        <f t="shared" ref="C43:AH43" si="53">IFERROR(C38/C17,"")</f>
      </c>
      <c r="D43" s="137" t="str">
        <f t="shared" si="53"/>
      </c>
      <c r="E43" s="137" t="str">
        <f t="shared" si="53"/>
      </c>
      <c r="F43" s="137" t="str">
        <f t="shared" si="53"/>
      </c>
      <c r="G43" s="538" t="str">
        <f t="shared" si="53"/>
      </c>
      <c r="H43" s="291" t="str">
        <f t="shared" si="53"/>
      </c>
      <c r="I43" s="107" t="str">
        <f t="shared" si="53"/>
      </c>
      <c r="J43" s="107" t="str">
        <f t="shared" si="53"/>
      </c>
      <c r="K43" s="107" t="str">
        <f t="shared" si="53"/>
      </c>
      <c r="L43" s="293" t="str">
        <f t="shared" si="53"/>
      </c>
      <c r="M43" s="291" t="str">
        <f t="shared" si="53"/>
      </c>
      <c r="N43" s="107" t="str">
        <f t="shared" si="53"/>
      </c>
      <c r="O43" s="107" t="str">
        <f t="shared" si="53"/>
      </c>
      <c r="P43" s="107" t="str">
        <f t="shared" si="53"/>
      </c>
      <c r="Q43" s="293" t="str">
        <f t="shared" si="53"/>
      </c>
      <c r="R43" s="291" t="str">
        <f t="shared" si="53"/>
      </c>
      <c r="S43" s="107" t="str">
        <f t="shared" si="53"/>
      </c>
      <c r="T43" s="107" t="str">
        <f t="shared" si="53"/>
      </c>
      <c r="U43" s="107" t="str">
        <f t="shared" si="53"/>
      </c>
      <c r="V43" s="293" t="str">
        <f t="shared" si="53"/>
      </c>
      <c r="W43" s="291" t="str">
        <f t="shared" si="53"/>
      </c>
      <c r="X43" s="107" t="str">
        <f t="shared" si="53"/>
      </c>
      <c r="Y43" s="107" t="str">
        <f t="shared" si="53"/>
      </c>
      <c r="Z43" s="107" t="str">
        <f t="shared" si="53"/>
      </c>
      <c r="AA43" s="293" t="str">
        <f t="shared" si="53"/>
      </c>
      <c r="AB43" s="291" t="str">
        <f t="shared" si="53"/>
      </c>
      <c r="AC43" s="107" t="str">
        <f t="shared" si="53"/>
      </c>
      <c r="AD43" s="107" t="str">
        <f t="shared" si="53"/>
      </c>
      <c r="AE43" s="107" t="str">
        <f t="shared" si="53"/>
      </c>
      <c r="AF43" s="293" t="str">
        <f t="shared" si="53"/>
      </c>
      <c r="AG43" s="291" t="str">
        <f t="shared" si="53"/>
      </c>
      <c r="AH43" s="107" t="str">
        <f t="shared" si="53"/>
      </c>
      <c r="AI43" s="107" t="str">
        <f t="shared" ref="AI43:BN43" si="54">IFERROR(AI38/AI17,"")</f>
      </c>
      <c r="AJ43" s="107" t="str">
        <f t="shared" si="54"/>
      </c>
      <c r="AK43" s="293" t="str">
        <f t="shared" si="54"/>
      </c>
      <c r="AL43" s="291" t="str">
        <f t="shared" si="54"/>
      </c>
      <c r="AM43" s="107" t="str">
        <f t="shared" si="54"/>
      </c>
      <c r="AN43" s="107" t="str">
        <f t="shared" si="54"/>
      </c>
      <c r="AO43" s="107" t="str">
        <f t="shared" si="54"/>
      </c>
      <c r="AP43" s="293" t="str">
        <f t="shared" si="54"/>
      </c>
      <c r="AQ43" s="291" t="str">
        <f t="shared" si="54"/>
      </c>
      <c r="AR43" s="107" t="str">
        <f t="shared" si="54"/>
      </c>
      <c r="AS43" s="107" t="str">
        <f t="shared" si="54"/>
      </c>
      <c r="AT43" s="107" t="str">
        <f t="shared" si="54"/>
      </c>
      <c r="AU43" s="293" t="str">
        <f t="shared" si="54"/>
      </c>
      <c r="AV43" s="291" t="str">
        <f t="shared" si="54"/>
      </c>
      <c r="AW43" s="107" t="str">
        <f t="shared" si="54"/>
      </c>
      <c r="AX43" s="107" t="str">
        <f t="shared" si="54"/>
      </c>
      <c r="AY43" s="107" t="str">
        <f t="shared" si="54"/>
      </c>
      <c r="AZ43" s="293" t="str">
        <f t="shared" si="54"/>
      </c>
      <c r="BA43" s="291" t="str">
        <f t="shared" si="54"/>
      </c>
      <c r="BB43" s="107" t="str">
        <f t="shared" si="54"/>
      </c>
      <c r="BC43" s="107" t="str">
        <f t="shared" si="54"/>
      </c>
      <c r="BD43" s="107" t="str">
        <f t="shared" si="54"/>
      </c>
      <c r="BE43" s="293" t="str">
        <f t="shared" si="54"/>
      </c>
      <c r="BF43" s="291" t="str">
        <f t="shared" si="54"/>
      </c>
      <c r="BG43" s="107" t="str">
        <f t="shared" si="54"/>
      </c>
      <c r="BH43" s="107" t="str">
        <f t="shared" si="54"/>
      </c>
      <c r="BI43" s="107" t="str">
        <f t="shared" si="54"/>
      </c>
      <c r="BJ43" s="293" t="str">
        <f t="shared" si="54"/>
      </c>
      <c r="BK43" s="291" t="str">
        <f t="shared" si="54"/>
      </c>
      <c r="BL43" s="107" t="str">
        <f t="shared" si="54"/>
      </c>
      <c r="BM43" s="107" t="str">
        <f t="shared" si="54"/>
      </c>
      <c r="BN43" s="107" t="str">
        <f t="shared" si="54"/>
      </c>
      <c r="BO43" s="293" t="str">
        <f t="shared" ref="BO43:CT43" si="55">IFERROR(BO38/BO17,"")</f>
      </c>
      <c r="BP43" s="291" t="str">
        <f t="shared" si="55"/>
      </c>
      <c r="BQ43" s="107" t="str">
        <f t="shared" si="55"/>
      </c>
      <c r="BR43" s="107" t="str">
        <f t="shared" si="55"/>
      </c>
      <c r="BS43" s="107" t="str">
        <f t="shared" si="55"/>
      </c>
      <c r="BT43" s="293" t="str">
        <f t="shared" si="55"/>
      </c>
      <c r="BU43" s="291" t="str">
        <f t="shared" si="55"/>
      </c>
      <c r="BV43" s="107" t="str">
        <f t="shared" si="55"/>
      </c>
      <c r="BW43" s="107" t="str">
        <f t="shared" si="55"/>
      </c>
      <c r="BX43" s="107" t="str">
        <f t="shared" si="55"/>
      </c>
      <c r="BY43" s="293" t="str">
        <f t="shared" si="55"/>
      </c>
      <c r="BZ43" s="291" t="str">
        <f t="shared" si="55"/>
      </c>
      <c r="CA43" s="107" t="str">
        <f t="shared" si="55"/>
      </c>
      <c r="CB43" s="107" t="str">
        <f t="shared" si="55"/>
      </c>
      <c r="CC43" s="107" t="str">
        <f t="shared" si="55"/>
      </c>
      <c r="CD43" s="293" t="str">
        <f t="shared" si="55"/>
      </c>
      <c r="CE43" s="291" t="str">
        <f t="shared" si="55"/>
      </c>
      <c r="CF43" s="107" t="str">
        <f t="shared" si="55"/>
      </c>
      <c r="CG43" s="107" t="str">
        <f t="shared" si="55"/>
      </c>
      <c r="CH43" s="107" t="str">
        <f t="shared" si="55"/>
      </c>
      <c r="CI43" s="293" t="str">
        <f t="shared" si="55"/>
      </c>
      <c r="CJ43" s="291" t="str">
        <f t="shared" si="55"/>
      </c>
      <c r="CK43" s="107" t="str">
        <f t="shared" si="55"/>
      </c>
      <c r="CL43" s="107" t="str">
        <f t="shared" si="55"/>
      </c>
      <c r="CM43" s="107" t="str">
        <f t="shared" si="55"/>
      </c>
      <c r="CN43" s="293" t="str">
        <f t="shared" si="55"/>
      </c>
      <c r="CO43" s="291" t="str">
        <f t="shared" si="55"/>
      </c>
      <c r="CP43" s="107" t="str">
        <f t="shared" si="55"/>
      </c>
      <c r="CQ43" s="107" t="str">
        <f t="shared" si="55"/>
      </c>
      <c r="CR43" s="107" t="str">
        <f t="shared" si="55"/>
      </c>
      <c r="CS43" s="293" t="str">
        <f t="shared" si="55"/>
      </c>
      <c r="CT43" s="291" t="str">
        <f t="shared" si="55"/>
      </c>
      <c r="CU43" s="107" t="str">
        <f t="shared" ref="CU43:DZ43" si="56">IFERROR(CU38/CU17,"")</f>
      </c>
      <c r="CV43" s="107" t="str">
        <f t="shared" si="56"/>
      </c>
      <c r="CW43" s="107" t="str">
        <f t="shared" si="56"/>
      </c>
      <c r="CX43" s="293" t="str">
        <f t="shared" si="56"/>
      </c>
      <c r="CY43" s="291" t="str">
        <f t="shared" si="56"/>
      </c>
      <c r="CZ43" s="107" t="str">
        <f t="shared" si="56"/>
      </c>
      <c r="DA43" s="107" t="str">
        <f t="shared" si="56"/>
      </c>
      <c r="DB43" s="107" t="str">
        <f t="shared" si="56"/>
      </c>
      <c r="DC43" s="293" t="str">
        <f t="shared" si="56"/>
      </c>
      <c r="DD43" s="291" t="str">
        <f t="shared" si="56"/>
      </c>
      <c r="DE43" s="107" t="str">
        <f t="shared" si="56"/>
      </c>
      <c r="DF43" s="107" t="str">
        <f t="shared" si="56"/>
      </c>
      <c r="DG43" s="107" t="str">
        <f t="shared" si="56"/>
      </c>
      <c r="DH43" s="293" t="str">
        <f t="shared" si="56"/>
      </c>
      <c r="DI43" s="291">
        <f t="shared" si="56"/>
      </c>
      <c r="DJ43" s="107">
        <f t="shared" si="56"/>
      </c>
      <c r="DK43" s="107">
        <f t="shared" si="56"/>
      </c>
      <c r="DL43" s="107">
        <f t="shared" si="56"/>
      </c>
      <c r="DM43" s="293">
        <f t="shared" si="56"/>
      </c>
      <c r="DN43" s="291">
        <f t="shared" si="56"/>
      </c>
      <c r="DO43" s="107">
        <f t="shared" si="56"/>
      </c>
      <c r="DP43" s="107">
        <f t="shared" si="56"/>
      </c>
      <c r="DQ43" s="107">
        <f t="shared" si="56"/>
      </c>
      <c r="DR43" s="293">
        <f t="shared" si="56"/>
      </c>
      <c r="DS43" s="291">
        <f t="shared" si="56"/>
      </c>
      <c r="DT43" s="107">
        <f t="shared" si="56"/>
      </c>
      <c r="DU43" s="107">
        <f t="shared" si="56"/>
      </c>
      <c r="DV43" s="107">
        <f t="shared" si="56"/>
      </c>
      <c r="DW43" s="293">
        <f t="shared" si="56"/>
      </c>
      <c r="DX43" s="291">
        <f t="shared" si="56"/>
      </c>
      <c r="DY43" s="107">
        <f t="shared" si="56"/>
      </c>
      <c r="DZ43" s="107">
        <f t="shared" si="56"/>
      </c>
      <c r="EA43" s="107">
        <f t="shared" ref="EA43:ES43" si="57">IFERROR(EA38/EA17,"")</f>
      </c>
      <c r="EB43" s="293">
        <f t="shared" si="57"/>
      </c>
      <c r="EC43" s="291">
        <f t="shared" si="57"/>
      </c>
      <c r="ED43" s="107">
        <f t="shared" si="57"/>
      </c>
      <c r="EE43" s="107">
        <f t="shared" si="57"/>
      </c>
      <c r="EF43" s="107">
        <f t="shared" si="57"/>
      </c>
      <c r="EG43" s="293">
        <f t="shared" si="57"/>
      </c>
      <c r="EH43" s="291">
        <f t="shared" si="57"/>
      </c>
      <c r="EI43" s="107">
        <f t="shared" si="57"/>
      </c>
      <c r="EJ43" s="107">
        <f t="shared" si="57"/>
      </c>
      <c r="EK43" s="107">
        <f t="shared" si="57"/>
      </c>
      <c r="EL43" s="293">
        <f t="shared" si="57"/>
      </c>
      <c r="EM43" s="291">
        <f t="shared" si="57"/>
      </c>
      <c r="EN43" s="107">
        <f t="shared" si="57"/>
      </c>
      <c r="EO43" s="107">
        <f t="shared" si="57"/>
      </c>
      <c r="EP43" s="107">
        <f t="shared" si="57"/>
      </c>
      <c r="EQ43" s="293">
        <f t="shared" si="57"/>
      </c>
      <c r="ER43" s="291">
        <f t="shared" si="57"/>
      </c>
      <c r="ES43" s="107">
        <f t="shared" si="57"/>
      </c>
      <c r="ET43" s="107">
        <f>IFERROR(ET38/ET17,"")</f>
      </c>
      <c r="EU43" s="468">
        <f>IFERROR(EU38/EU17,"")</f>
      </c>
      <c r="EV43" s="293">
        <f>IFERROR(EV38/EV17,"")</f>
      </c>
      <c r="EW43" s="291">
        <f t="shared" ref="EW43:EX43" si="58">IFERROR(EW38/EW17,"")</f>
      </c>
      <c r="EX43" s="468">
        <f t="shared" si="58"/>
      </c>
      <c r="EY43" s="468">
        <f>IFERROR(EY38/EY17,"")</f>
      </c>
      <c r="EZ43" s="468">
        <f>IFERROR(EZ38/EZ17,"")</f>
      </c>
      <c r="FA43" s="293">
        <f>IFERROR(FA38/FA17,"")</f>
      </c>
      <c r="FB43" s="631"/>
      <c r="FC43" s="631"/>
      <c r="FD43" s="631"/>
      <c r="FE43" s="631"/>
      <c r="FF43" s="293"/>
      <c r="FG43" s="631"/>
      <c r="FH43" s="631"/>
      <c r="FI43" s="631"/>
      <c r="FJ43" s="631"/>
      <c r="FK43" s="293"/>
      <c r="FL43" s="631"/>
      <c r="FM43" s="631"/>
      <c r="FN43" s="631"/>
      <c r="FO43" s="631"/>
      <c r="FP43" s="293"/>
      <c r="FQ43" s="631"/>
      <c r="FR43" s="631"/>
      <c r="FS43" s="631"/>
      <c r="FT43" s="631"/>
      <c r="FU43" s="293"/>
      <c r="FV43" s="631"/>
      <c r="FW43" s="631"/>
      <c r="FX43" s="631"/>
      <c r="FY43" s="631"/>
      <c r="FZ43" s="293"/>
      <c r="GA43" s="631"/>
      <c r="GB43" s="631"/>
      <c r="GC43" s="631"/>
      <c r="GD43" s="631"/>
      <c r="GE43" s="293"/>
      <c r="GF43" s="631"/>
      <c r="GG43" s="631"/>
      <c r="GH43" s="631"/>
      <c r="GI43" s="631"/>
      <c r="GJ43" s="293"/>
    </row>
    <row r="44" spans="1:192" ht="12.75" hidden="1" customHeight="1" outlineLevel="1">
      <c r="C44" s="294"/>
      <c r="D44" s="295"/>
      <c r="E44" s="295"/>
      <c r="F44" s="295"/>
      <c r="G44" s="296"/>
      <c r="H44" s="294"/>
      <c r="I44" s="295"/>
      <c r="J44" s="295"/>
      <c r="K44" s="295"/>
      <c r="L44" s="296"/>
      <c r="M44" s="294"/>
      <c r="N44" s="295"/>
      <c r="O44" s="295"/>
      <c r="P44" s="295"/>
      <c r="Q44" s="296"/>
      <c r="R44" s="294"/>
      <c r="S44" s="295"/>
      <c r="T44" s="295"/>
      <c r="U44" s="295"/>
      <c r="V44" s="296"/>
      <c r="W44" s="294"/>
      <c r="X44" s="295"/>
      <c r="Y44" s="295"/>
      <c r="Z44" s="295"/>
      <c r="AA44" s="296"/>
      <c r="AB44" s="294"/>
      <c r="AC44" s="295"/>
      <c r="AD44" s="295"/>
      <c r="AE44" s="295"/>
      <c r="AF44" s="296"/>
      <c r="AG44" s="294"/>
      <c r="AH44" s="295"/>
      <c r="AI44" s="295"/>
      <c r="AJ44" s="295"/>
      <c r="AK44" s="296"/>
      <c r="AL44" s="294"/>
      <c r="AM44" s="295"/>
      <c r="AN44" s="295"/>
      <c r="AO44" s="295"/>
      <c r="AP44" s="296"/>
      <c r="AQ44" s="294"/>
      <c r="AR44" s="295"/>
      <c r="AS44" s="295"/>
      <c r="AT44" s="295"/>
      <c r="AU44" s="296"/>
      <c r="AV44" s="294"/>
      <c r="AW44" s="295"/>
      <c r="AX44" s="295"/>
      <c r="AY44" s="295"/>
      <c r="AZ44" s="296"/>
      <c r="BA44" s="294"/>
      <c r="BB44" s="295"/>
      <c r="BC44" s="295"/>
      <c r="BD44" s="295"/>
      <c r="BE44" s="296"/>
      <c r="BF44" s="294"/>
      <c r="BG44" s="295"/>
      <c r="BH44" s="295"/>
      <c r="BI44" s="295"/>
      <c r="BJ44" s="296"/>
      <c r="BK44" s="294"/>
      <c r="BL44" s="295"/>
      <c r="BM44" s="295"/>
      <c r="BN44" s="295"/>
      <c r="BO44" s="296"/>
      <c r="BP44" s="294"/>
      <c r="BQ44" s="295"/>
      <c r="BR44" s="295"/>
      <c r="BS44" s="295"/>
      <c r="BT44" s="296"/>
      <c r="BU44" s="294"/>
      <c r="BV44" s="295"/>
      <c r="BW44" s="295"/>
      <c r="BX44" s="295"/>
      <c r="BY44" s="296"/>
      <c r="BZ44" s="294"/>
      <c r="CA44" s="295"/>
      <c r="CB44" s="295"/>
      <c r="CC44" s="295"/>
      <c r="CD44" s="296"/>
      <c r="CE44" s="294"/>
      <c r="CF44" s="295"/>
      <c r="CG44" s="295"/>
      <c r="CH44" s="295"/>
      <c r="CI44" s="296"/>
      <c r="CJ44" s="294"/>
      <c r="CK44" s="295"/>
      <c r="CL44" s="295"/>
      <c r="CM44" s="295"/>
      <c r="CN44" s="296"/>
      <c r="CO44" s="294"/>
      <c r="CP44" s="295"/>
      <c r="CQ44" s="295"/>
      <c r="CR44" s="295"/>
      <c r="CS44" s="296"/>
      <c r="CT44" s="294"/>
      <c r="CU44" s="295"/>
      <c r="CV44" s="295"/>
      <c r="CW44" s="295"/>
      <c r="CX44" s="296"/>
      <c r="CY44" s="294"/>
      <c r="CZ44" s="295"/>
      <c r="DA44" s="295"/>
      <c r="DB44" s="295"/>
      <c r="DC44" s="296"/>
      <c r="DD44" s="294"/>
      <c r="DE44" s="295"/>
      <c r="DF44" s="295"/>
      <c r="DG44" s="295"/>
      <c r="DH44" s="296"/>
      <c r="DI44" s="294"/>
      <c r="DJ44" s="295"/>
      <c r="DK44" s="295"/>
      <c r="DL44" s="295"/>
      <c r="DM44" s="296"/>
      <c r="DN44" s="294"/>
      <c r="DO44" s="295"/>
      <c r="DP44" s="295"/>
      <c r="DQ44" s="295"/>
      <c r="DR44" s="296"/>
      <c r="DS44" s="294"/>
      <c r="DT44" s="295"/>
      <c r="DU44" s="295"/>
      <c r="DV44" s="295"/>
      <c r="DW44" s="296"/>
      <c r="DX44" s="294"/>
      <c r="DY44" s="295"/>
      <c r="DZ44" s="295"/>
      <c r="EA44" s="295"/>
      <c r="EB44" s="296"/>
      <c r="EC44" s="294"/>
      <c r="ED44" s="295"/>
      <c r="EE44" s="295"/>
      <c r="EF44" s="295"/>
      <c r="EG44" s="296"/>
      <c r="EH44" s="294"/>
      <c r="EI44" s="295"/>
      <c r="EJ44" s="295"/>
      <c r="EK44" s="295"/>
      <c r="EL44" s="296"/>
      <c r="EM44" s="294"/>
      <c r="EN44" s="295"/>
      <c r="EO44" s="295"/>
      <c r="EP44" s="295"/>
      <c r="EQ44" s="296"/>
      <c r="ER44" s="104"/>
      <c r="ES44" s="295"/>
      <c r="ET44" s="814"/>
      <c r="EU44" s="1491"/>
      <c r="EV44" s="296"/>
      <c r="EW44" s="104"/>
      <c r="EX44" s="469"/>
      <c r="EY44" s="469"/>
      <c r="EZ44" s="295"/>
      <c r="FA44" s="296"/>
      <c r="FB44" s="294"/>
      <c r="FC44" s="295"/>
      <c r="FD44" s="295"/>
      <c r="FE44" s="295"/>
      <c r="FF44" s="296"/>
      <c r="FG44" s="294"/>
      <c r="FH44" s="295"/>
      <c r="FI44" s="295"/>
      <c r="FJ44" s="295"/>
      <c r="FK44" s="296"/>
      <c r="FL44" s="294"/>
      <c r="FM44" s="295"/>
      <c r="FN44" s="295"/>
      <c r="FO44" s="295"/>
      <c r="FP44" s="296"/>
      <c r="FQ44" s="294"/>
      <c r="FR44" s="295"/>
      <c r="FS44" s="295"/>
      <c r="FT44" s="295"/>
      <c r="FU44" s="296"/>
      <c r="FV44" s="294"/>
      <c r="FW44" s="295"/>
      <c r="FX44" s="295"/>
      <c r="FY44" s="295"/>
      <c r="FZ44" s="296"/>
      <c r="GA44" s="294"/>
      <c r="GB44" s="295"/>
      <c r="GC44" s="295"/>
      <c r="GD44" s="295"/>
      <c r="GE44" s="296"/>
      <c r="GF44" s="294"/>
      <c r="GG44" s="295"/>
      <c r="GH44" s="295"/>
      <c r="GI44" s="295"/>
      <c r="GJ44" s="296"/>
    </row>
    <row r="45" spans="1:192" s="461" customFormat="1" ht="12.75" customHeight="1" collapsed="1">
      <c r="A45" s="68" t="s">
        <v>381</v>
      </c>
      <c r="B45" s="621" t="s">
        <v>144</v>
      </c>
      <c r="C45" s="624">
        <v>186</v>
      </c>
      <c r="D45" s="624">
        <v>222</v>
      </c>
      <c r="E45" s="624">
        <v>235</v>
      </c>
      <c r="F45" s="624">
        <v>234</v>
      </c>
      <c r="G45" s="622">
        <f>SUM(C45:F45)</f>
      </c>
      <c r="H45" s="624">
        <v>322</v>
      </c>
      <c r="I45" s="624">
        <v>330</v>
      </c>
      <c r="J45" s="624">
        <v>295</v>
      </c>
      <c r="K45" s="624">
        <v>241</v>
      </c>
      <c r="L45" s="622">
        <f>SUM(H45:K45)</f>
      </c>
      <c r="M45" s="624">
        <v>250</v>
      </c>
      <c r="N45" s="624">
        <v>296</v>
      </c>
      <c r="O45" s="624">
        <v>297</v>
      </c>
      <c r="P45" s="624">
        <v>242</v>
      </c>
      <c r="Q45" s="622">
        <f>SUM(M45:P45)</f>
      </c>
      <c r="R45" s="624">
        <v>253</v>
      </c>
      <c r="S45" s="624">
        <v>313</v>
      </c>
      <c r="T45" s="624">
        <v>317</v>
      </c>
      <c r="U45" s="624">
        <v>314</v>
      </c>
      <c r="V45" s="622">
        <f>SUM(R45:U45)</f>
      </c>
      <c r="W45" s="624">
        <v>649</v>
      </c>
      <c r="X45" s="624">
        <v>788</v>
      </c>
      <c r="Y45" s="624">
        <v>708</v>
      </c>
      <c r="Z45" s="624">
        <v>669</v>
      </c>
      <c r="AA45" s="622">
        <f>SUM(W45:Z45)</f>
      </c>
      <c r="AB45" s="624">
        <v>712</v>
      </c>
      <c r="AC45" s="624">
        <v>756</v>
      </c>
      <c r="AD45" s="624">
        <v>752</v>
      </c>
      <c r="AE45" s="624">
        <v>782</v>
      </c>
      <c r="AF45" s="622">
        <f>SUM(AB45:AE45)</f>
      </c>
      <c r="AG45" s="624">
        <v>825</v>
      </c>
      <c r="AH45" s="624">
        <v>864</v>
      </c>
      <c r="AI45" s="624">
        <v>899</v>
      </c>
      <c r="AJ45" s="624">
        <v>867</v>
      </c>
      <c r="AK45" s="622">
        <f>SUM(AG45:AJ45)</f>
      </c>
      <c r="AL45" s="624">
        <v>884</v>
      </c>
      <c r="AM45" s="624">
        <v>1544</v>
      </c>
      <c r="AN45" s="624">
        <v>1395</v>
      </c>
      <c r="AO45" s="624">
        <v>1368</v>
      </c>
      <c r="AP45" s="622">
        <f>SUM(AL45:AO45)</f>
      </c>
      <c r="AQ45" s="624">
        <v>1344</v>
      </c>
      <c r="AR45" s="624">
        <v>2137</v>
      </c>
      <c r="AS45" s="624">
        <v>1274</v>
      </c>
      <c r="AT45" s="624">
        <v>1304</v>
      </c>
      <c r="AU45" s="622">
        <f>SUM(AQ45:AT45)</f>
      </c>
      <c r="AV45" s="624">
        <v>1480</v>
      </c>
      <c r="AW45" s="624">
        <v>2344</v>
      </c>
      <c r="AX45" s="624">
        <v>1411</v>
      </c>
      <c r="AY45" s="624">
        <v>1481</v>
      </c>
      <c r="AZ45" s="622">
        <f>SUM(AV45:AY45)</f>
      </c>
      <c r="BA45" s="624">
        <v>1405</v>
      </c>
      <c r="BB45" s="624">
        <v>1875</v>
      </c>
      <c r="BC45" s="624">
        <v>1363</v>
      </c>
      <c r="BD45" s="624">
        <f>6200-BC45-BB45-BA45</f>
      </c>
      <c r="BE45" s="622">
        <f>SUM(BA45:BD45)</f>
      </c>
      <c r="BF45" s="624">
        <v>1253</v>
      </c>
      <c r="BG45" s="624">
        <v>2239</v>
      </c>
      <c r="BH45" s="624">
        <v>2028</v>
      </c>
      <c r="BI45" s="624">
        <v>2130</v>
      </c>
      <c r="BJ45" s="622">
        <f>SUM(BF45:BI45)</f>
      </c>
      <c r="BK45" s="624">
        <v>1696</v>
      </c>
      <c r="BL45" s="624">
        <v>3620</v>
      </c>
      <c r="BM45" s="624">
        <v>2140</v>
      </c>
      <c r="BN45" s="624">
        <v>3237</v>
      </c>
      <c r="BO45" s="622">
        <f>SUM(BK45:BN45)</f>
      </c>
      <c r="BP45" s="624">
        <v>2675</v>
      </c>
      <c r="BQ45" s="624">
        <v>3543</v>
      </c>
      <c r="BR45" s="624">
        <v>2514</v>
      </c>
      <c r="BS45" s="624">
        <v>2866</v>
      </c>
      <c r="BT45" s="622">
        <f>SUM(BP45:BS45)</f>
      </c>
      <c r="BU45" s="624">
        <v>2848</v>
      </c>
      <c r="BV45" s="624">
        <v>3907</v>
      </c>
      <c r="BW45" s="624">
        <v>2814</v>
      </c>
      <c r="BX45" s="624">
        <v>2586</v>
      </c>
      <c r="BY45" s="622">
        <f>SUM(BU45:BX45)</f>
      </c>
      <c r="BZ45" s="624">
        <v>2842</v>
      </c>
      <c r="CA45" s="624">
        <v>3628</v>
      </c>
      <c r="CB45" s="624">
        <v>2755</v>
      </c>
      <c r="CC45" s="624">
        <v>3170</v>
      </c>
      <c r="CD45" s="622">
        <f>SUM(BZ45:CC45)</f>
      </c>
      <c r="CE45" s="624">
        <v>3139</v>
      </c>
      <c r="CF45" s="624">
        <v>4833</v>
      </c>
      <c r="CG45" s="624">
        <v>3897</v>
      </c>
      <c r="CH45" s="624">
        <v>3708</v>
      </c>
      <c r="CI45" s="622">
        <f>SUM(CE45:CH45)</f>
      </c>
      <c r="CJ45" s="624">
        <v>3777</v>
      </c>
      <c r="CK45" s="624">
        <v>5638</v>
      </c>
      <c r="CL45" s="624">
        <v>3952</v>
      </c>
      <c r="CM45" s="624">
        <v>4163</v>
      </c>
      <c r="CN45" s="622">
        <f>SUM(CJ45:CM45)</f>
      </c>
      <c r="CO45" s="624">
        <v>4168</v>
      </c>
      <c r="CP45" s="624">
        <v>5692</v>
      </c>
      <c r="CQ45" s="624">
        <v>4787</v>
      </c>
      <c r="CR45" s="624">
        <v>5602</v>
      </c>
      <c r="CS45" s="622">
        <f>SUM(CO45:CR45)</f>
      </c>
      <c r="CT45" s="624">
        <v>5145</v>
      </c>
      <c r="CU45" s="624">
        <v>8322</v>
      </c>
      <c r="CV45" s="624">
        <v>5978</v>
      </c>
      <c r="CW45" s="624">
        <v>7633</v>
      </c>
      <c r="CX45" s="622">
        <f>SUM(CT45:CW45)</f>
      </c>
      <c r="CY45" s="624">
        <v>8273</v>
      </c>
      <c r="CZ45" s="624">
        <v>10136</v>
      </c>
      <c r="DA45" s="624">
        <v>7161</v>
      </c>
      <c r="DB45" s="624">
        <v>7468</v>
      </c>
      <c r="DC45" s="622">
        <f>SUM(CY45:DB45)</f>
      </c>
      <c r="DD45" s="624">
        <v>7207</v>
      </c>
      <c r="DE45" s="624">
        <v>9872</v>
      </c>
      <c r="DF45" s="624">
        <v>7722</v>
      </c>
      <c r="DG45" s="624">
        <v>7979</v>
      </c>
      <c r="DH45" s="622">
        <f>SUM(DD45:DG45)</f>
      </c>
      <c r="DI45" s="619">
        <f>DI38+DI31</f>
      </c>
      <c r="DJ45" s="619">
        <f>DJ38+DJ31</f>
      </c>
      <c r="DK45" s="619">
        <f>DK38+DK31</f>
      </c>
      <c r="DL45" s="619">
        <f>DL38+DL31</f>
      </c>
      <c r="DM45" s="622">
        <f>SUM(DI45:DL45)</f>
      </c>
      <c r="DN45" s="619">
        <f>DN38+DN31</f>
      </c>
      <c r="DO45" s="619">
        <f>DO38+DO31</f>
      </c>
      <c r="DP45" s="619">
        <f>DP38+DP31</f>
      </c>
      <c r="DQ45" s="619">
        <f>DQ38+DQ31</f>
      </c>
      <c r="DR45" s="622">
        <f>SUM(DN45:DQ45)</f>
      </c>
      <c r="DS45" s="619">
        <f>DS38+DS31</f>
      </c>
      <c r="DT45" s="619">
        <f>DT38+DT31</f>
      </c>
      <c r="DU45" s="619">
        <f>DU38+DU31</f>
      </c>
      <c r="DV45" s="619">
        <f>DV38+DV31</f>
      </c>
      <c r="DW45" s="622">
        <f>SUM(DS45:DV45)</f>
      </c>
      <c r="DX45" s="619">
        <f>DX38+DX31</f>
      </c>
      <c r="DY45" s="619">
        <f>DY38+DY31</f>
      </c>
      <c r="DZ45" s="619">
        <f>DZ38+DZ31</f>
      </c>
      <c r="EA45" s="619">
        <f>EA38+EA31</f>
      </c>
      <c r="EB45" s="622">
        <f>SUM(DX45:EA45)</f>
      </c>
      <c r="EC45" s="619">
        <f>EC38+EC31</f>
      </c>
      <c r="ED45" s="619">
        <f>ED38+ED31</f>
      </c>
      <c r="EE45" s="619">
        <f>EE38+EE31</f>
      </c>
      <c r="EF45" s="619">
        <f>EF38+EF31</f>
      </c>
      <c r="EG45" s="622">
        <f>SUM(EC45:EF45)</f>
      </c>
      <c r="EH45" s="619">
        <f>EH38+EH31</f>
      </c>
      <c r="EI45" s="619">
        <f>EI38+EI31</f>
      </c>
      <c r="EJ45" s="619">
        <f>EJ38+EJ31</f>
      </c>
      <c r="EK45" s="619">
        <f>EK38+EK31</f>
      </c>
      <c r="EL45" s="622">
        <f>SUM(EH45:EK45)</f>
      </c>
      <c r="EM45" s="619">
        <f>EM38+EM31</f>
      </c>
      <c r="EN45" s="619">
        <f>EN38+EN31</f>
      </c>
      <c r="EO45" s="619">
        <f>EO38+EO31</f>
      </c>
      <c r="EP45" s="619">
        <f>EP38+EP31</f>
      </c>
      <c r="EQ45" s="622">
        <f>SUM(EM45:EP45)</f>
      </c>
      <c r="ER45" s="619">
        <f>ER38+ER31</f>
      </c>
      <c r="ES45" s="619">
        <f>ES38+ES31</f>
      </c>
      <c r="ET45" s="619">
        <f>ET38+ET31</f>
      </c>
      <c r="EU45" s="982">
        <f>EU38+EU31</f>
      </c>
      <c r="EV45" s="622">
        <f>SUM(ER45:EU45)</f>
      </c>
      <c r="EW45" s="619">
        <f>EW38+EW31</f>
      </c>
      <c r="EX45" s="982">
        <f>EX38+EX31</f>
      </c>
      <c r="EY45" s="982">
        <f>EY38+EY31</f>
      </c>
      <c r="EZ45" s="982">
        <f>EZ38+EZ31</f>
      </c>
      <c r="FA45" s="622">
        <f>SUM(EW45:EZ45)</f>
      </c>
      <c r="FB45" s="619">
        <f>FB24-FB66</f>
      </c>
      <c r="FC45" s="619">
        <f>FC24-FC66</f>
      </c>
      <c r="FD45" s="619">
        <f>FD24-FD66</f>
      </c>
      <c r="FE45" s="619">
        <f>FE24-FE66</f>
      </c>
      <c r="FF45" s="622">
        <f>SUM(FB45:FE45)</f>
      </c>
      <c r="FG45" s="619">
        <f>FG24-FG66</f>
      </c>
      <c r="FH45" s="619">
        <f>FH24-FH66</f>
      </c>
      <c r="FI45" s="619">
        <f>FI24-FI66</f>
      </c>
      <c r="FJ45" s="619">
        <f>FJ24-FJ66</f>
      </c>
      <c r="FK45" s="622">
        <f>SUM(FG45:FJ45)</f>
      </c>
      <c r="FL45" s="619">
        <f>FL24-FL66</f>
      </c>
      <c r="FM45" s="619">
        <f>FM24-FM66</f>
      </c>
      <c r="FN45" s="619">
        <f>FN24-FN66</f>
      </c>
      <c r="FO45" s="619">
        <f>FO24-FO66</f>
      </c>
      <c r="FP45" s="622">
        <f>SUM(FL45:FO45)</f>
      </c>
      <c r="FQ45" s="619">
        <f>FQ24-FQ66</f>
      </c>
      <c r="FR45" s="619">
        <f>FR24-FR66</f>
      </c>
      <c r="FS45" s="619">
        <f>FS24-FS66</f>
      </c>
      <c r="FT45" s="619">
        <f>FT24-FT66</f>
      </c>
      <c r="FU45" s="622">
        <f>SUM(FQ45:FT45)</f>
      </c>
      <c r="FV45" s="619">
        <f>FV24-FV66</f>
      </c>
      <c r="FW45" s="619">
        <f>FW24-FW66</f>
      </c>
      <c r="FX45" s="619">
        <f>FX24-FX66</f>
      </c>
      <c r="FY45" s="619">
        <f>FY24-FY66</f>
      </c>
      <c r="FZ45" s="622">
        <f>SUM(FV45:FY45)</f>
      </c>
      <c r="GA45" s="619">
        <f>GA24-GA66</f>
      </c>
      <c r="GB45" s="619">
        <f>GB24-GB66</f>
      </c>
      <c r="GC45" s="619">
        <f>GC24-GC66</f>
      </c>
      <c r="GD45" s="619">
        <f>GD24-GD66</f>
      </c>
      <c r="GE45" s="622">
        <f>SUM(GA45:GD45)</f>
      </c>
      <c r="GF45" s="619">
        <f>GF24-GF66</f>
      </c>
      <c r="GG45" s="619">
        <f>GG24-GG66</f>
      </c>
      <c r="GH45" s="619">
        <f>GH24-GH66</f>
      </c>
      <c r="GI45" s="619">
        <f>GI24-GI66</f>
      </c>
      <c r="GJ45" s="622">
        <f>SUM(GF45:GI45)</f>
      </c>
    </row>
    <row r="46" spans="1:192" ht="12.75" customHeight="1">
      <c r="A46" s="68" t="s">
        <v>382</v>
      </c>
      <c r="B46" s="617" t="s">
        <v>34</v>
      </c>
      <c r="C46" s="291"/>
      <c r="D46" s="107"/>
      <c r="E46" s="107"/>
      <c r="F46" s="107"/>
      <c r="G46" s="536"/>
      <c r="H46" s="291">
        <f t="shared" ref="H46:AM46" si="59">IFERROR(H45/C45-1,"")</f>
      </c>
      <c r="I46" s="107">
        <f t="shared" si="59"/>
      </c>
      <c r="J46" s="107">
        <f t="shared" si="59"/>
      </c>
      <c r="K46" s="107">
        <f t="shared" si="59"/>
      </c>
      <c r="L46" s="292">
        <f t="shared" si="59"/>
      </c>
      <c r="M46" s="291">
        <f t="shared" si="59"/>
      </c>
      <c r="N46" s="107">
        <f t="shared" si="59"/>
      </c>
      <c r="O46" s="107">
        <f t="shared" si="59"/>
      </c>
      <c r="P46" s="107">
        <f t="shared" si="59"/>
      </c>
      <c r="Q46" s="292">
        <f t="shared" si="59"/>
      </c>
      <c r="R46" s="291">
        <f t="shared" si="59"/>
      </c>
      <c r="S46" s="107">
        <f t="shared" si="59"/>
      </c>
      <c r="T46" s="107">
        <f t="shared" si="59"/>
      </c>
      <c r="U46" s="107">
        <f t="shared" si="59"/>
      </c>
      <c r="V46" s="292">
        <f t="shared" si="59"/>
      </c>
      <c r="W46" s="291">
        <f t="shared" si="59"/>
      </c>
      <c r="X46" s="107">
        <f t="shared" si="59"/>
      </c>
      <c r="Y46" s="107">
        <f t="shared" si="59"/>
      </c>
      <c r="Z46" s="107">
        <f t="shared" si="59"/>
      </c>
      <c r="AA46" s="292">
        <f t="shared" si="59"/>
      </c>
      <c r="AB46" s="291">
        <f t="shared" si="59"/>
      </c>
      <c r="AC46" s="107">
        <f t="shared" si="59"/>
      </c>
      <c r="AD46" s="107">
        <f t="shared" si="59"/>
      </c>
      <c r="AE46" s="107">
        <f t="shared" si="59"/>
      </c>
      <c r="AF46" s="292">
        <f t="shared" si="59"/>
      </c>
      <c r="AG46" s="291">
        <f t="shared" si="59"/>
      </c>
      <c r="AH46" s="107">
        <f t="shared" si="59"/>
      </c>
      <c r="AI46" s="107">
        <f t="shared" si="59"/>
      </c>
      <c r="AJ46" s="107">
        <f t="shared" si="59"/>
      </c>
      <c r="AK46" s="292">
        <f t="shared" si="59"/>
      </c>
      <c r="AL46" s="291">
        <f t="shared" si="59"/>
      </c>
      <c r="AM46" s="107">
        <f t="shared" si="59"/>
      </c>
      <c r="AN46" s="107">
        <f t="shared" ref="AN46:BS46" si="60">IFERROR(AN45/AI45-1,"")</f>
      </c>
      <c r="AO46" s="107">
        <f t="shared" si="60"/>
      </c>
      <c r="AP46" s="292">
        <f t="shared" si="60"/>
      </c>
      <c r="AQ46" s="291">
        <f t="shared" si="60"/>
      </c>
      <c r="AR46" s="107">
        <f t="shared" si="60"/>
      </c>
      <c r="AS46" s="107">
        <f t="shared" si="60"/>
      </c>
      <c r="AT46" s="107">
        <f t="shared" si="60"/>
      </c>
      <c r="AU46" s="292">
        <f t="shared" si="60"/>
      </c>
      <c r="AV46" s="291">
        <f t="shared" si="60"/>
      </c>
      <c r="AW46" s="107">
        <f t="shared" si="60"/>
      </c>
      <c r="AX46" s="107">
        <f t="shared" si="60"/>
      </c>
      <c r="AY46" s="107">
        <f t="shared" si="60"/>
      </c>
      <c r="AZ46" s="292">
        <f t="shared" si="60"/>
      </c>
      <c r="BA46" s="291">
        <f t="shared" si="60"/>
      </c>
      <c r="BB46" s="107">
        <f t="shared" si="60"/>
      </c>
      <c r="BC46" s="107">
        <f t="shared" si="60"/>
      </c>
      <c r="BD46" s="107">
        <f t="shared" si="60"/>
      </c>
      <c r="BE46" s="292">
        <f t="shared" si="60"/>
      </c>
      <c r="BF46" s="291">
        <f t="shared" si="60"/>
      </c>
      <c r="BG46" s="107">
        <f t="shared" si="60"/>
      </c>
      <c r="BH46" s="107">
        <f t="shared" si="60"/>
      </c>
      <c r="BI46" s="107">
        <f t="shared" si="60"/>
      </c>
      <c r="BJ46" s="292">
        <f t="shared" si="60"/>
      </c>
      <c r="BK46" s="291">
        <f t="shared" si="60"/>
      </c>
      <c r="BL46" s="107">
        <f t="shared" si="60"/>
      </c>
      <c r="BM46" s="107">
        <f t="shared" si="60"/>
      </c>
      <c r="BN46" s="107">
        <f t="shared" si="60"/>
      </c>
      <c r="BO46" s="292">
        <f t="shared" si="60"/>
      </c>
      <c r="BP46" s="291">
        <f t="shared" si="60"/>
      </c>
      <c r="BQ46" s="107">
        <f t="shared" si="60"/>
      </c>
      <c r="BR46" s="107">
        <f t="shared" si="60"/>
      </c>
      <c r="BS46" s="107">
        <f t="shared" si="60"/>
      </c>
      <c r="BT46" s="292">
        <f t="shared" ref="BT46:CY46" si="61">IFERROR(BT45/BO45-1,"")</f>
      </c>
      <c r="BU46" s="291">
        <f t="shared" si="61"/>
      </c>
      <c r="BV46" s="107">
        <f t="shared" si="61"/>
      </c>
      <c r="BW46" s="107">
        <f t="shared" si="61"/>
      </c>
      <c r="BX46" s="107">
        <f t="shared" si="61"/>
      </c>
      <c r="BY46" s="292">
        <f t="shared" si="61"/>
      </c>
      <c r="BZ46" s="291">
        <f t="shared" si="61"/>
      </c>
      <c r="CA46" s="107">
        <f t="shared" si="61"/>
      </c>
      <c r="CB46" s="107">
        <f t="shared" si="61"/>
      </c>
      <c r="CC46" s="107">
        <f t="shared" si="61"/>
      </c>
      <c r="CD46" s="292">
        <f t="shared" si="61"/>
      </c>
      <c r="CE46" s="291">
        <f t="shared" si="61"/>
      </c>
      <c r="CF46" s="107">
        <f t="shared" si="61"/>
      </c>
      <c r="CG46" s="107">
        <f t="shared" si="61"/>
      </c>
      <c r="CH46" s="107">
        <f t="shared" si="61"/>
      </c>
      <c r="CI46" s="292">
        <f t="shared" si="61"/>
      </c>
      <c r="CJ46" s="291">
        <f t="shared" si="61"/>
      </c>
      <c r="CK46" s="107">
        <f t="shared" si="61"/>
      </c>
      <c r="CL46" s="107">
        <f t="shared" si="61"/>
      </c>
      <c r="CM46" s="107">
        <f t="shared" si="61"/>
      </c>
      <c r="CN46" s="292">
        <f t="shared" si="61"/>
      </c>
      <c r="CO46" s="291">
        <f t="shared" si="61"/>
      </c>
      <c r="CP46" s="107">
        <f t="shared" si="61"/>
      </c>
      <c r="CQ46" s="107">
        <f t="shared" si="61"/>
      </c>
      <c r="CR46" s="107">
        <f t="shared" si="61"/>
      </c>
      <c r="CS46" s="292">
        <f t="shared" si="61"/>
      </c>
      <c r="CT46" s="291">
        <f t="shared" si="61"/>
      </c>
      <c r="CU46" s="107">
        <f t="shared" si="61"/>
      </c>
      <c r="CV46" s="107">
        <f t="shared" si="61"/>
      </c>
      <c r="CW46" s="107">
        <f t="shared" si="61"/>
      </c>
      <c r="CX46" s="292">
        <f t="shared" si="61"/>
      </c>
      <c r="CY46" s="291">
        <f t="shared" si="61"/>
      </c>
      <c r="CZ46" s="107">
        <f t="shared" ref="CZ46:EE46" si="62">IFERROR(CZ45/CU45-1,"")</f>
      </c>
      <c r="DA46" s="107">
        <f t="shared" si="62"/>
      </c>
      <c r="DB46" s="107">
        <f t="shared" si="62"/>
      </c>
      <c r="DC46" s="292">
        <f t="shared" si="62"/>
      </c>
      <c r="DD46" s="291">
        <f t="shared" si="62"/>
      </c>
      <c r="DE46" s="107">
        <f t="shared" si="62"/>
      </c>
      <c r="DF46" s="107">
        <f t="shared" si="62"/>
      </c>
      <c r="DG46" s="107">
        <f t="shared" si="62"/>
      </c>
      <c r="DH46" s="292">
        <f t="shared" si="62"/>
      </c>
      <c r="DI46" s="291">
        <f t="shared" si="62"/>
      </c>
      <c r="DJ46" s="107">
        <f t="shared" si="62"/>
      </c>
      <c r="DK46" s="107">
        <f t="shared" si="62"/>
      </c>
      <c r="DL46" s="107">
        <f t="shared" si="62"/>
      </c>
      <c r="DM46" s="292">
        <f t="shared" si="62"/>
      </c>
      <c r="DN46" s="291">
        <f t="shared" si="62"/>
      </c>
      <c r="DO46" s="107">
        <f t="shared" si="62"/>
      </c>
      <c r="DP46" s="107">
        <f t="shared" si="62"/>
      </c>
      <c r="DQ46" s="107">
        <f t="shared" si="62"/>
      </c>
      <c r="DR46" s="292">
        <f t="shared" si="62"/>
      </c>
      <c r="DS46" s="291">
        <f t="shared" si="62"/>
      </c>
      <c r="DT46" s="107">
        <f t="shared" si="62"/>
      </c>
      <c r="DU46" s="107">
        <f t="shared" si="62"/>
      </c>
      <c r="DV46" s="107">
        <f t="shared" si="62"/>
      </c>
      <c r="DW46" s="292">
        <f t="shared" si="62"/>
      </c>
      <c r="DX46" s="291">
        <f t="shared" si="62"/>
      </c>
      <c r="DY46" s="107">
        <f t="shared" si="62"/>
      </c>
      <c r="DZ46" s="107">
        <f t="shared" si="62"/>
      </c>
      <c r="EA46" s="107">
        <f t="shared" si="62"/>
      </c>
      <c r="EB46" s="292">
        <f t="shared" si="62"/>
      </c>
      <c r="EC46" s="291">
        <f t="shared" si="62"/>
      </c>
      <c r="ED46" s="107">
        <f t="shared" si="62"/>
      </c>
      <c r="EE46" s="107">
        <f t="shared" si="62"/>
      </c>
      <c r="EF46" s="107">
        <f t="shared" ref="EF46:FK46" si="63">IFERROR(EF45/EA45-1,"")</f>
      </c>
      <c r="EG46" s="292">
        <f t="shared" si="63"/>
      </c>
      <c r="EH46" s="291">
        <f t="shared" si="63"/>
      </c>
      <c r="EI46" s="107">
        <f t="shared" si="63"/>
      </c>
      <c r="EJ46" s="107">
        <f t="shared" si="63"/>
      </c>
      <c r="EK46" s="107">
        <f t="shared" si="63"/>
      </c>
      <c r="EL46" s="292">
        <f t="shared" si="63"/>
      </c>
      <c r="EM46" s="291">
        <f t="shared" si="63"/>
      </c>
      <c r="EN46" s="107">
        <f t="shared" si="63"/>
      </c>
      <c r="EO46" s="107">
        <f t="shared" si="63"/>
      </c>
      <c r="EP46" s="107">
        <f t="shared" si="63"/>
      </c>
      <c r="EQ46" s="292">
        <f t="shared" si="63"/>
      </c>
      <c r="ER46" s="291">
        <f t="shared" si="63"/>
      </c>
      <c r="ES46" s="107">
        <f t="shared" si="63"/>
      </c>
      <c r="ET46" s="107">
        <f t="shared" si="63"/>
      </c>
      <c r="EU46" s="107">
        <f t="shared" si="63"/>
      </c>
      <c r="EV46" s="292">
        <f t="shared" si="63"/>
      </c>
      <c r="EW46" s="291">
        <f t="shared" si="63"/>
      </c>
      <c r="EX46" s="468">
        <f t="shared" si="63"/>
      </c>
      <c r="EY46" s="468">
        <f t="shared" si="63"/>
      </c>
      <c r="EZ46" s="107">
        <f t="shared" si="63"/>
      </c>
      <c r="FA46" s="292">
        <f t="shared" si="63"/>
      </c>
      <c r="FB46" s="291">
        <f t="shared" si="63"/>
      </c>
      <c r="FC46" s="107">
        <f t="shared" si="63"/>
      </c>
      <c r="FD46" s="107">
        <f t="shared" si="63"/>
      </c>
      <c r="FE46" s="107">
        <f t="shared" si="63"/>
      </c>
      <c r="FF46" s="292">
        <f t="shared" si="63"/>
      </c>
      <c r="FG46" s="291">
        <f t="shared" si="63"/>
      </c>
      <c r="FH46" s="107">
        <f t="shared" si="63"/>
      </c>
      <c r="FI46" s="107">
        <f t="shared" si="63"/>
      </c>
      <c r="FJ46" s="107">
        <f t="shared" si="63"/>
      </c>
      <c r="FK46" s="292">
        <f t="shared" si="63"/>
      </c>
      <c r="FL46" s="291">
        <f t="shared" ref="FL46:FZ46" si="64">IFERROR(FL45/FG45-1,"")</f>
      </c>
      <c r="FM46" s="107">
        <f t="shared" si="64"/>
      </c>
      <c r="FN46" s="107">
        <f t="shared" si="64"/>
      </c>
      <c r="FO46" s="107">
        <f t="shared" si="64"/>
      </c>
      <c r="FP46" s="292">
        <f t="shared" si="64"/>
      </c>
      <c r="FQ46" s="291">
        <f t="shared" si="64"/>
      </c>
      <c r="FR46" s="107">
        <f t="shared" si="64"/>
      </c>
      <c r="FS46" s="107">
        <f t="shared" si="64"/>
      </c>
      <c r="FT46" s="107">
        <f t="shared" si="64"/>
      </c>
      <c r="FU46" s="292">
        <f t="shared" si="64"/>
      </c>
      <c r="FV46" s="291">
        <f t="shared" si="64"/>
      </c>
      <c r="FW46" s="107">
        <f t="shared" si="64"/>
      </c>
      <c r="FX46" s="107">
        <f t="shared" si="64"/>
      </c>
      <c r="FY46" s="107">
        <f t="shared" si="64"/>
      </c>
      <c r="FZ46" s="292">
        <f t="shared" si="64"/>
      </c>
      <c r="GA46" s="291">
        <f t="shared" ref="GA46:GJ46" si="65">IFERROR(GA45/FV45-1,"")</f>
      </c>
      <c r="GB46" s="107">
        <f t="shared" si="65"/>
      </c>
      <c r="GC46" s="107">
        <f t="shared" si="65"/>
      </c>
      <c r="GD46" s="107">
        <f t="shared" si="65"/>
      </c>
      <c r="GE46" s="292">
        <f t="shared" si="65"/>
      </c>
      <c r="GF46" s="291">
        <f t="shared" si="65"/>
      </c>
      <c r="GG46" s="107">
        <f t="shared" si="65"/>
      </c>
      <c r="GH46" s="107">
        <f t="shared" si="65"/>
      </c>
      <c r="GI46" s="107">
        <f t="shared" si="65"/>
      </c>
      <c r="GJ46" s="292">
        <f t="shared" si="65"/>
      </c>
    </row>
    <row r="47" spans="1:192" ht="12.75" customHeight="1">
      <c r="A47" s="68" t="s">
        <v>383</v>
      </c>
      <c r="B47" s="617" t="s">
        <v>36</v>
      </c>
      <c r="C47" s="291"/>
      <c r="D47" s="137"/>
      <c r="E47" s="137"/>
      <c r="F47" s="137"/>
      <c r="G47" s="538"/>
      <c r="H47" s="291">
        <f>IFERROR(H45/F45-1,"")</f>
      </c>
      <c r="I47" s="107">
        <f>IFERROR(I45/H45-1,"")</f>
      </c>
      <c r="J47" s="107">
        <f>IFERROR(J45/I45-1,"")</f>
      </c>
      <c r="K47" s="107">
        <f>IFERROR(K45/J45-1,"")</f>
      </c>
      <c r="L47" s="293"/>
      <c r="M47" s="291">
        <f>IFERROR(M45/K45-1,"")</f>
      </c>
      <c r="N47" s="107">
        <f>IFERROR(N45/M45-1,"")</f>
      </c>
      <c r="O47" s="107">
        <f>IFERROR(O45/N45-1,"")</f>
      </c>
      <c r="P47" s="107">
        <f>IFERROR(P45/O45-1,"")</f>
      </c>
      <c r="Q47" s="293"/>
      <c r="R47" s="291">
        <f>IFERROR(R45/P45-1,"")</f>
      </c>
      <c r="S47" s="107">
        <f>IFERROR(S45/R45-1,"")</f>
      </c>
      <c r="T47" s="107">
        <f>IFERROR(T45/S45-1,"")</f>
      </c>
      <c r="U47" s="107">
        <f>IFERROR(U45/T45-1,"")</f>
      </c>
      <c r="V47" s="293"/>
      <c r="W47" s="291">
        <f>IFERROR(W45/U45-1,"")</f>
      </c>
      <c r="X47" s="107">
        <f>IFERROR(X45/W45-1,"")</f>
      </c>
      <c r="Y47" s="107">
        <f>IFERROR(Y45/X45-1,"")</f>
      </c>
      <c r="Z47" s="107">
        <f>IFERROR(Z45/Y45-1,"")</f>
      </c>
      <c r="AA47" s="293"/>
      <c r="AB47" s="291">
        <f>IFERROR(AB45/Z45-1,"")</f>
      </c>
      <c r="AC47" s="107">
        <f>IFERROR(AC45/AB45-1,"")</f>
      </c>
      <c r="AD47" s="107">
        <f>IFERROR(AD45/AC45-1,"")</f>
      </c>
      <c r="AE47" s="107">
        <f>IFERROR(AE45/AD45-1,"")</f>
      </c>
      <c r="AF47" s="293"/>
      <c r="AG47" s="291">
        <f>IFERROR(AG45/AE45-1,"")</f>
      </c>
      <c r="AH47" s="107">
        <f>IFERROR(AH45/AG45-1,"")</f>
      </c>
      <c r="AI47" s="107">
        <f>IFERROR(AI45/AH45-1,"")</f>
      </c>
      <c r="AJ47" s="107">
        <f>IFERROR(AJ45/AI45-1,"")</f>
      </c>
      <c r="AK47" s="293"/>
      <c r="AL47" s="291">
        <f>IFERROR(AL45/AJ45-1,"")</f>
      </c>
      <c r="AM47" s="107">
        <f>IFERROR(AM45/AL45-1,"")</f>
      </c>
      <c r="AN47" s="107">
        <f>IFERROR(AN45/AM45-1,"")</f>
      </c>
      <c r="AO47" s="107">
        <f>IFERROR(AO45/AN45-1,"")</f>
      </c>
      <c r="AP47" s="293"/>
      <c r="AQ47" s="291">
        <f>IFERROR(AQ45/AO45-1,"")</f>
      </c>
      <c r="AR47" s="107">
        <f>IFERROR(AR45/AQ45-1,"")</f>
      </c>
      <c r="AS47" s="107">
        <f>IFERROR(AS45/AR45-1,"")</f>
      </c>
      <c r="AT47" s="107">
        <f>IFERROR(AT45/AS45-1,"")</f>
      </c>
      <c r="AU47" s="293"/>
      <c r="AV47" s="291">
        <f>IFERROR(AV45/AT45-1,"")</f>
      </c>
      <c r="AW47" s="107">
        <f>IFERROR(AW45/AV45-1,"")</f>
      </c>
      <c r="AX47" s="107">
        <f>IFERROR(AX45/AW45-1,"")</f>
      </c>
      <c r="AY47" s="107">
        <f>IFERROR(AY45/AX45-1,"")</f>
      </c>
      <c r="AZ47" s="293"/>
      <c r="BA47" s="291">
        <f>IFERROR(BA45/AY45-1,"")</f>
      </c>
      <c r="BB47" s="107">
        <f>IFERROR(BB45/BA45-1,"")</f>
      </c>
      <c r="BC47" s="107">
        <f>IFERROR(BC45/BB45-1,"")</f>
      </c>
      <c r="BD47" s="107">
        <f>IFERROR(BD45/BC45-1,"")</f>
      </c>
      <c r="BE47" s="293"/>
      <c r="BF47" s="291">
        <f>IFERROR(BF45/BD45-1,"")</f>
      </c>
      <c r="BG47" s="107">
        <f>IFERROR(BG45/BF45-1,"")</f>
      </c>
      <c r="BH47" s="107">
        <f>IFERROR(BH45/BG45-1,"")</f>
      </c>
      <c r="BI47" s="107">
        <f>IFERROR(BI45/BH45-1,"")</f>
      </c>
      <c r="BJ47" s="293"/>
      <c r="BK47" s="291">
        <f>IFERROR(BK45/BI45-1,"")</f>
      </c>
      <c r="BL47" s="107">
        <f>IFERROR(BL45/BK45-1,"")</f>
      </c>
      <c r="BM47" s="107">
        <f>IFERROR(BM45/BL45-1,"")</f>
      </c>
      <c r="BN47" s="107">
        <f>IFERROR(BN45/BM45-1,"")</f>
      </c>
      <c r="BO47" s="293"/>
      <c r="BP47" s="291">
        <f>IFERROR(BP45/BN45-1,"")</f>
      </c>
      <c r="BQ47" s="107">
        <f>IFERROR(BQ45/BP45-1,"")</f>
      </c>
      <c r="BR47" s="107">
        <f>IFERROR(BR45/BQ45-1,"")</f>
      </c>
      <c r="BS47" s="107">
        <f>IFERROR(BS45/BR45-1,"")</f>
      </c>
      <c r="BT47" s="293"/>
      <c r="BU47" s="291">
        <f>IFERROR(BU45/BS45-1,"")</f>
      </c>
      <c r="BV47" s="107">
        <f>IFERROR(BV45/BU45-1,"")</f>
      </c>
      <c r="BW47" s="107">
        <f>IFERROR(BW45/BV45-1,"")</f>
      </c>
      <c r="BX47" s="107">
        <f>IFERROR(BX45/BW45-1,"")</f>
      </c>
      <c r="BY47" s="293"/>
      <c r="BZ47" s="291">
        <f>IFERROR(BZ45/BX45-1,"")</f>
      </c>
      <c r="CA47" s="107">
        <f>IFERROR(CA45/BZ45-1,"")</f>
      </c>
      <c r="CB47" s="107">
        <f>IFERROR(CB45/CA45-1,"")</f>
      </c>
      <c r="CC47" s="107">
        <f>IFERROR(CC45/CB45-1,"")</f>
      </c>
      <c r="CD47" s="293"/>
      <c r="CE47" s="291">
        <f>IFERROR(CE45/CC45-1,"")</f>
      </c>
      <c r="CF47" s="107">
        <f>IFERROR(CF45/CE45-1,"")</f>
      </c>
      <c r="CG47" s="107">
        <f>IFERROR(CG45/CF45-1,"")</f>
      </c>
      <c r="CH47" s="107">
        <f>IFERROR(CH45/CG45-1,"")</f>
      </c>
      <c r="CI47" s="293"/>
      <c r="CJ47" s="291">
        <f>IFERROR(CJ45/CH45-1,"")</f>
      </c>
      <c r="CK47" s="107">
        <f>IFERROR(CK45/CJ45-1,"")</f>
      </c>
      <c r="CL47" s="107">
        <f>IFERROR(CL45/CK45-1,"")</f>
      </c>
      <c r="CM47" s="107">
        <f>IFERROR(CM45/CL45-1,"")</f>
      </c>
      <c r="CN47" s="293"/>
      <c r="CO47" s="291">
        <f>IFERROR(CO45/CM45-1,"")</f>
      </c>
      <c r="CP47" s="107">
        <f>IFERROR(CP45/CO45-1,"")</f>
      </c>
      <c r="CQ47" s="107">
        <f>IFERROR(CQ45/CP45-1,"")</f>
      </c>
      <c r="CR47" s="107">
        <f>IFERROR(CR45/CQ45-1,"")</f>
      </c>
      <c r="CS47" s="293"/>
      <c r="CT47" s="291">
        <f>IFERROR(CT45/CR45-1,"")</f>
      </c>
      <c r="CU47" s="107">
        <f>IFERROR(CU45/CT45-1,"")</f>
      </c>
      <c r="CV47" s="107">
        <f>IFERROR(CV45/CU45-1,"")</f>
      </c>
      <c r="CW47" s="107">
        <f>IFERROR(CW45/CV45-1,"")</f>
      </c>
      <c r="CX47" s="293"/>
      <c r="CY47" s="291">
        <f>IFERROR(CY45/CW45-1,"")</f>
      </c>
      <c r="CZ47" s="107">
        <f>IFERROR(CZ45/CY45-1,"")</f>
      </c>
      <c r="DA47" s="107">
        <f>IFERROR(DA45/CZ45-1,"")</f>
      </c>
      <c r="DB47" s="107">
        <f>IFERROR(DB45/DA45-1,"")</f>
      </c>
      <c r="DC47" s="293"/>
      <c r="DD47" s="291">
        <f>IFERROR(DD45/DB45-1,"")</f>
      </c>
      <c r="DE47" s="107">
        <f>IFERROR(DE45/DD45-1,"")</f>
      </c>
      <c r="DF47" s="107">
        <f>IFERROR(DF45/DE45-1,"")</f>
      </c>
      <c r="DG47" s="107">
        <f>IFERROR(DG45/DF45-1,"")</f>
      </c>
      <c r="DH47" s="293"/>
      <c r="DI47" s="291">
        <f>IFERROR(DI45/DG45-1,"")</f>
      </c>
      <c r="DJ47" s="107">
        <f>IFERROR(DJ45/DI45-1,"")</f>
      </c>
      <c r="DK47" s="107">
        <f>IFERROR(DK45/DJ45-1,"")</f>
      </c>
      <c r="DL47" s="107">
        <f>IFERROR(DL45/DK45-1,"")</f>
      </c>
      <c r="DM47" s="293"/>
      <c r="DN47" s="291">
        <f>IFERROR(DN45/DL45-1,"")</f>
      </c>
      <c r="DO47" s="107">
        <f>IFERROR(DO45/DN45-1,"")</f>
      </c>
      <c r="DP47" s="107">
        <f>IFERROR(DP45/DO45-1,"")</f>
      </c>
      <c r="DQ47" s="107">
        <f>IFERROR(DQ45/DP45-1,"")</f>
      </c>
      <c r="DR47" s="293"/>
      <c r="DS47" s="291">
        <f>IFERROR(DS45/DQ45-1,"")</f>
      </c>
      <c r="DT47" s="107">
        <f>IFERROR(DT45/DS45-1,"")</f>
      </c>
      <c r="DU47" s="107">
        <f>IFERROR(DU45/DT45-1,"")</f>
      </c>
      <c r="DV47" s="107">
        <f>IFERROR(DV45/DU45-1,"")</f>
      </c>
      <c r="DW47" s="293"/>
      <c r="DX47" s="291">
        <f>IFERROR(DX45/DV45-1,"")</f>
      </c>
      <c r="DY47" s="107">
        <f>IFERROR(DY45/DX45-1,"")</f>
      </c>
      <c r="DZ47" s="107">
        <f>IFERROR(DZ45/DY45-1,"")</f>
      </c>
      <c r="EA47" s="107">
        <f>IFERROR(EA45/DZ45-1,"")</f>
      </c>
      <c r="EB47" s="293"/>
      <c r="EC47" s="291">
        <f>IFERROR(EC45/EA45-1,"")</f>
      </c>
      <c r="ED47" s="107">
        <f>IFERROR(ED45/EC45-1,"")</f>
      </c>
      <c r="EE47" s="107">
        <f>IFERROR(EE45/ED45-1,"")</f>
      </c>
      <c r="EF47" s="107">
        <f>IFERROR(EF45/EE45-1,"")</f>
      </c>
      <c r="EG47" s="293"/>
      <c r="EH47" s="291">
        <f>IFERROR(EH45/EF45-1,"")</f>
      </c>
      <c r="EI47" s="107">
        <f>IFERROR(EI45/EH45-1,"")</f>
      </c>
      <c r="EJ47" s="107">
        <f>IFERROR(EJ45/EI45-1,"")</f>
      </c>
      <c r="EK47" s="107">
        <f>IFERROR(EK45/EJ45-1,"")</f>
      </c>
      <c r="EL47" s="293"/>
      <c r="EM47" s="291">
        <f>IFERROR(EM45/EK45-1,"")</f>
      </c>
      <c r="EN47" s="107">
        <f>IFERROR(EN45/EM45-1,"")</f>
      </c>
      <c r="EO47" s="107">
        <f>IFERROR(EO45/EN45-1,"")</f>
      </c>
      <c r="EP47" s="107">
        <f>IFERROR(EP45/EO45-1,"")</f>
      </c>
      <c r="EQ47" s="293"/>
      <c r="ER47" s="291">
        <f>IFERROR(ER45/EP45-1,"")</f>
      </c>
      <c r="ES47" s="107">
        <f>IFERROR(ES45/ER45-1,"")</f>
      </c>
      <c r="ET47" s="107">
        <f>IFERROR(ET45/ES45-1,"")</f>
      </c>
      <c r="EU47" s="107">
        <f>IFERROR(EU45/ET45-1,"")</f>
      </c>
      <c r="EV47" s="293"/>
      <c r="EW47" s="291">
        <f>IFERROR(EW45/EU45-1,"")</f>
      </c>
      <c r="EX47" s="468">
        <f>IFERROR(EX45/EW45-1,"")</f>
      </c>
      <c r="EY47" s="468">
        <f>IFERROR(EY45/EX45-1,"")</f>
      </c>
      <c r="EZ47" s="107">
        <f>IFERROR(EZ45/EY45-1,"")</f>
      </c>
      <c r="FA47" s="293"/>
      <c r="FB47" s="291">
        <f>IFERROR(FB45/EZ45-1,"")</f>
      </c>
      <c r="FC47" s="107">
        <f>IFERROR(FC45/FB45-1,"")</f>
      </c>
      <c r="FD47" s="107">
        <f>IFERROR(FD45/FC45-1,"")</f>
      </c>
      <c r="FE47" s="107">
        <f>IFERROR(FE45/FD45-1,"")</f>
      </c>
      <c r="FF47" s="293"/>
      <c r="FG47" s="291">
        <f>IFERROR(FG45/FE45-1,"")</f>
      </c>
      <c r="FH47" s="107">
        <f>IFERROR(FH45/FG45-1,"")</f>
      </c>
      <c r="FI47" s="107">
        <f>IFERROR(FI45/FH45-1,"")</f>
      </c>
      <c r="FJ47" s="107">
        <f>IFERROR(FJ45/FI45-1,"")</f>
      </c>
      <c r="FK47" s="293"/>
      <c r="FL47" s="291">
        <f>IFERROR(FL45/FJ45-1,"")</f>
      </c>
      <c r="FM47" s="107">
        <f>IFERROR(FM45/FL45-1,"")</f>
      </c>
      <c r="FN47" s="107">
        <f>IFERROR(FN45/FM45-1,"")</f>
      </c>
      <c r="FO47" s="107">
        <f>IFERROR(FO45/FN45-1,"")</f>
      </c>
      <c r="FP47" s="293"/>
      <c r="FQ47" s="291">
        <f>IFERROR(FQ45/FO45-1,"")</f>
      </c>
      <c r="FR47" s="107">
        <f>IFERROR(FR45/FQ45-1,"")</f>
      </c>
      <c r="FS47" s="107">
        <f>IFERROR(FS45/FR45-1,"")</f>
      </c>
      <c r="FT47" s="107">
        <f>IFERROR(FT45/FS45-1,"")</f>
      </c>
      <c r="FU47" s="293"/>
      <c r="FV47" s="291">
        <f>IFERROR(FV45/FT45-1,"")</f>
      </c>
      <c r="FW47" s="107">
        <f>IFERROR(FW45/FV45-1,"")</f>
      </c>
      <c r="FX47" s="107">
        <f>IFERROR(FX45/FW45-1,"")</f>
      </c>
      <c r="FY47" s="107">
        <f>IFERROR(FY45/FX45-1,"")</f>
      </c>
      <c r="FZ47" s="293"/>
      <c r="GA47" s="291">
        <f>IFERROR(GA45/FY45-1,"")</f>
      </c>
      <c r="GB47" s="107">
        <f>IFERROR(GB45/GA45-1,"")</f>
      </c>
      <c r="GC47" s="107">
        <f>IFERROR(GC45/GB45-1,"")</f>
      </c>
      <c r="GD47" s="107">
        <f>IFERROR(GD45/GC45-1,"")</f>
      </c>
      <c r="GE47" s="293"/>
      <c r="GF47" s="291">
        <f>IFERROR(GF45/GD45-1,"")</f>
      </c>
      <c r="GG47" s="107">
        <f>IFERROR(GG45/GF45-1,"")</f>
      </c>
      <c r="GH47" s="107">
        <f>IFERROR(GH45/GG45-1,"")</f>
      </c>
      <c r="GI47" s="107">
        <f>IFERROR(GI45/GH45-1,"")</f>
      </c>
      <c r="GJ47" s="293"/>
    </row>
    <row r="48" spans="1:192" ht="12.75" customHeight="1">
      <c r="B48" s="617" t="s">
        <v>484</v>
      </c>
      <c r="C48" s="463"/>
      <c r="D48" s="463"/>
      <c r="E48" s="463"/>
      <c r="F48" s="463"/>
      <c r="G48" s="466"/>
      <c r="H48" s="463">
        <f t="shared" ref="H48:AM48" si="66">H45-C45</f>
      </c>
      <c r="I48" s="463">
        <f t="shared" si="66"/>
      </c>
      <c r="J48" s="463">
        <f t="shared" si="66"/>
      </c>
      <c r="K48" s="463">
        <f t="shared" si="66"/>
      </c>
      <c r="L48" s="466">
        <f t="shared" si="66"/>
      </c>
      <c r="M48" s="463">
        <f t="shared" si="66"/>
      </c>
      <c r="N48" s="463">
        <f t="shared" si="66"/>
      </c>
      <c r="O48" s="463">
        <f t="shared" si="66"/>
      </c>
      <c r="P48" s="463">
        <f t="shared" si="66"/>
      </c>
      <c r="Q48" s="466">
        <f t="shared" si="66"/>
      </c>
      <c r="R48" s="463">
        <f t="shared" si="66"/>
      </c>
      <c r="S48" s="463">
        <f t="shared" si="66"/>
      </c>
      <c r="T48" s="463">
        <f t="shared" si="66"/>
      </c>
      <c r="U48" s="463">
        <f t="shared" si="66"/>
      </c>
      <c r="V48" s="466">
        <f t="shared" si="66"/>
      </c>
      <c r="W48" s="463">
        <f t="shared" si="66"/>
      </c>
      <c r="X48" s="463">
        <f t="shared" si="66"/>
      </c>
      <c r="Y48" s="463">
        <f t="shared" si="66"/>
      </c>
      <c r="Z48" s="463">
        <f t="shared" si="66"/>
      </c>
      <c r="AA48" s="466">
        <f t="shared" si="66"/>
      </c>
      <c r="AB48" s="463">
        <f t="shared" si="66"/>
      </c>
      <c r="AC48" s="463">
        <f t="shared" si="66"/>
      </c>
      <c r="AD48" s="463">
        <f t="shared" si="66"/>
      </c>
      <c r="AE48" s="463">
        <f t="shared" si="66"/>
      </c>
      <c r="AF48" s="466">
        <f t="shared" si="66"/>
      </c>
      <c r="AG48" s="463">
        <f t="shared" si="66"/>
      </c>
      <c r="AH48" s="463">
        <f t="shared" si="66"/>
      </c>
      <c r="AI48" s="463">
        <f t="shared" si="66"/>
      </c>
      <c r="AJ48" s="463">
        <f t="shared" si="66"/>
      </c>
      <c r="AK48" s="466">
        <f t="shared" si="66"/>
      </c>
      <c r="AL48" s="463">
        <f t="shared" si="66"/>
      </c>
      <c r="AM48" s="463">
        <f t="shared" si="66"/>
      </c>
      <c r="AN48" s="463">
        <f t="shared" ref="AN48:BS48" si="67">AN45-AI45</f>
      </c>
      <c r="AO48" s="463">
        <f t="shared" si="67"/>
      </c>
      <c r="AP48" s="466">
        <f t="shared" si="67"/>
      </c>
      <c r="AQ48" s="463">
        <f t="shared" si="67"/>
      </c>
      <c r="AR48" s="463">
        <f t="shared" si="67"/>
      </c>
      <c r="AS48" s="463">
        <f t="shared" si="67"/>
      </c>
      <c r="AT48" s="463">
        <f t="shared" si="67"/>
      </c>
      <c r="AU48" s="466">
        <f t="shared" si="67"/>
      </c>
      <c r="AV48" s="463">
        <f t="shared" si="67"/>
      </c>
      <c r="AW48" s="463">
        <f t="shared" si="67"/>
      </c>
      <c r="AX48" s="463">
        <f t="shared" si="67"/>
      </c>
      <c r="AY48" s="463">
        <f t="shared" si="67"/>
      </c>
      <c r="AZ48" s="466">
        <f t="shared" si="67"/>
      </c>
      <c r="BA48" s="463">
        <f t="shared" si="67"/>
      </c>
      <c r="BB48" s="463">
        <f t="shared" si="67"/>
      </c>
      <c r="BC48" s="463">
        <f t="shared" si="67"/>
      </c>
      <c r="BD48" s="463">
        <f t="shared" si="67"/>
      </c>
      <c r="BE48" s="466">
        <f t="shared" si="67"/>
      </c>
      <c r="BF48" s="463">
        <f t="shared" si="67"/>
      </c>
      <c r="BG48" s="463">
        <f t="shared" si="67"/>
      </c>
      <c r="BH48" s="463">
        <f t="shared" si="67"/>
      </c>
      <c r="BI48" s="463">
        <f t="shared" si="67"/>
      </c>
      <c r="BJ48" s="466">
        <f t="shared" si="67"/>
      </c>
      <c r="BK48" s="463">
        <f t="shared" si="67"/>
      </c>
      <c r="BL48" s="463">
        <f t="shared" si="67"/>
      </c>
      <c r="BM48" s="463">
        <f t="shared" si="67"/>
      </c>
      <c r="BN48" s="463">
        <f t="shared" si="67"/>
      </c>
      <c r="BO48" s="466">
        <f t="shared" si="67"/>
      </c>
      <c r="BP48" s="463">
        <f t="shared" si="67"/>
      </c>
      <c r="BQ48" s="463">
        <f t="shared" si="67"/>
      </c>
      <c r="BR48" s="463">
        <f t="shared" si="67"/>
      </c>
      <c r="BS48" s="463">
        <f t="shared" si="67"/>
      </c>
      <c r="BT48" s="466">
        <f t="shared" ref="BT48:CY48" si="68">BT45-BO45</f>
      </c>
      <c r="BU48" s="463">
        <f t="shared" si="68"/>
      </c>
      <c r="BV48" s="463">
        <f t="shared" si="68"/>
      </c>
      <c r="BW48" s="463">
        <f t="shared" si="68"/>
      </c>
      <c r="BX48" s="463">
        <f t="shared" si="68"/>
      </c>
      <c r="BY48" s="466">
        <f t="shared" si="68"/>
      </c>
      <c r="BZ48" s="463">
        <f t="shared" si="68"/>
      </c>
      <c r="CA48" s="463">
        <f t="shared" si="68"/>
      </c>
      <c r="CB48" s="463">
        <f t="shared" si="68"/>
      </c>
      <c r="CC48" s="463">
        <f t="shared" si="68"/>
      </c>
      <c r="CD48" s="466">
        <f t="shared" si="68"/>
      </c>
      <c r="CE48" s="463">
        <f t="shared" si="68"/>
      </c>
      <c r="CF48" s="463">
        <f t="shared" si="68"/>
      </c>
      <c r="CG48" s="463">
        <f t="shared" si="68"/>
      </c>
      <c r="CH48" s="463">
        <f t="shared" si="68"/>
      </c>
      <c r="CI48" s="466">
        <f t="shared" si="68"/>
      </c>
      <c r="CJ48" s="463">
        <f t="shared" si="68"/>
      </c>
      <c r="CK48" s="463">
        <f t="shared" si="68"/>
      </c>
      <c r="CL48" s="463">
        <f t="shared" si="68"/>
      </c>
      <c r="CM48" s="463">
        <f t="shared" si="68"/>
      </c>
      <c r="CN48" s="466">
        <f t="shared" si="68"/>
      </c>
      <c r="CO48" s="463">
        <f t="shared" si="68"/>
      </c>
      <c r="CP48" s="463">
        <f t="shared" si="68"/>
      </c>
      <c r="CQ48" s="463">
        <f t="shared" si="68"/>
      </c>
      <c r="CR48" s="463">
        <f t="shared" si="68"/>
      </c>
      <c r="CS48" s="466">
        <f t="shared" si="68"/>
      </c>
      <c r="CT48" s="463">
        <f t="shared" si="68"/>
      </c>
      <c r="CU48" s="463">
        <f t="shared" si="68"/>
      </c>
      <c r="CV48" s="463">
        <f t="shared" si="68"/>
      </c>
      <c r="CW48" s="463">
        <f t="shared" si="68"/>
      </c>
      <c r="CX48" s="466">
        <f t="shared" si="68"/>
      </c>
      <c r="CY48" s="463">
        <f t="shared" si="68"/>
      </c>
      <c r="CZ48" s="463">
        <f t="shared" ref="CZ48:EE48" si="69">CZ45-CU45</f>
      </c>
      <c r="DA48" s="463">
        <f t="shared" si="69"/>
      </c>
      <c r="DB48" s="463">
        <f t="shared" si="69"/>
      </c>
      <c r="DC48" s="466">
        <f t="shared" si="69"/>
      </c>
      <c r="DD48" s="463">
        <f t="shared" si="69"/>
      </c>
      <c r="DE48" s="463">
        <f t="shared" si="69"/>
      </c>
      <c r="DF48" s="463">
        <f t="shared" si="69"/>
      </c>
      <c r="DG48" s="463">
        <f t="shared" si="69"/>
      </c>
      <c r="DH48" s="466">
        <f t="shared" si="69"/>
      </c>
      <c r="DI48" s="463">
        <f t="shared" si="69"/>
      </c>
      <c r="DJ48" s="463">
        <f t="shared" si="69"/>
      </c>
      <c r="DK48" s="463">
        <f t="shared" si="69"/>
      </c>
      <c r="DL48" s="463">
        <f t="shared" si="69"/>
      </c>
      <c r="DM48" s="466">
        <f t="shared" si="69"/>
      </c>
      <c r="DN48" s="463">
        <f t="shared" si="69"/>
      </c>
      <c r="DO48" s="463">
        <f t="shared" si="69"/>
      </c>
      <c r="DP48" s="463">
        <f t="shared" si="69"/>
      </c>
      <c r="DQ48" s="463">
        <f t="shared" si="69"/>
      </c>
      <c r="DR48" s="466">
        <f t="shared" si="69"/>
      </c>
      <c r="DS48" s="463">
        <f t="shared" si="69"/>
      </c>
      <c r="DT48" s="463">
        <f t="shared" si="69"/>
      </c>
      <c r="DU48" s="463">
        <f t="shared" si="69"/>
      </c>
      <c r="DV48" s="463">
        <f t="shared" si="69"/>
      </c>
      <c r="DW48" s="466">
        <f t="shared" si="69"/>
      </c>
      <c r="DX48" s="463">
        <f t="shared" si="69"/>
      </c>
      <c r="DY48" s="463">
        <f t="shared" si="69"/>
      </c>
      <c r="DZ48" s="463">
        <f t="shared" si="69"/>
      </c>
      <c r="EA48" s="463">
        <f t="shared" si="69"/>
      </c>
      <c r="EB48" s="466">
        <f t="shared" si="69"/>
      </c>
      <c r="EC48" s="463">
        <f t="shared" si="69"/>
      </c>
      <c r="ED48" s="463">
        <f t="shared" si="69"/>
      </c>
      <c r="EE48" s="463">
        <f t="shared" si="69"/>
      </c>
      <c r="EF48" s="463">
        <f t="shared" ref="EF48:FK48" si="70">EF45-EA45</f>
      </c>
      <c r="EG48" s="466">
        <f t="shared" si="70"/>
      </c>
      <c r="EH48" s="463">
        <f t="shared" si="70"/>
      </c>
      <c r="EI48" s="463">
        <f t="shared" si="70"/>
      </c>
      <c r="EJ48" s="463">
        <f t="shared" si="70"/>
      </c>
      <c r="EK48" s="463">
        <f t="shared" si="70"/>
      </c>
      <c r="EL48" s="466">
        <f t="shared" si="70"/>
      </c>
      <c r="EM48" s="463">
        <f t="shared" si="70"/>
      </c>
      <c r="EN48" s="463">
        <f t="shared" si="70"/>
      </c>
      <c r="EO48" s="463">
        <f t="shared" si="70"/>
      </c>
      <c r="EP48" s="463">
        <f t="shared" si="70"/>
      </c>
      <c r="EQ48" s="466">
        <f t="shared" si="70"/>
      </c>
      <c r="ER48" s="463">
        <f t="shared" si="70"/>
      </c>
      <c r="ES48" s="463">
        <f t="shared" si="70"/>
      </c>
      <c r="ET48" s="463">
        <f t="shared" si="70"/>
      </c>
      <c r="EU48" s="463">
        <f t="shared" si="70"/>
      </c>
      <c r="EV48" s="466">
        <f t="shared" si="70"/>
      </c>
      <c r="EW48" s="463">
        <f t="shared" si="70"/>
      </c>
      <c r="EX48" s="1399">
        <f t="shared" si="70"/>
      </c>
      <c r="EY48" s="1399">
        <f t="shared" si="70"/>
      </c>
      <c r="EZ48" s="463">
        <f t="shared" si="70"/>
      </c>
      <c r="FA48" s="466">
        <f t="shared" si="70"/>
      </c>
      <c r="FB48" s="463">
        <f t="shared" si="70"/>
      </c>
      <c r="FC48" s="463">
        <f t="shared" si="70"/>
      </c>
      <c r="FD48" s="463">
        <f t="shared" si="70"/>
      </c>
      <c r="FE48" s="463">
        <f t="shared" si="70"/>
      </c>
      <c r="FF48" s="466">
        <f t="shared" si="70"/>
      </c>
      <c r="FG48" s="463">
        <f t="shared" si="70"/>
      </c>
      <c r="FH48" s="463">
        <f t="shared" si="70"/>
      </c>
      <c r="FI48" s="463">
        <f t="shared" si="70"/>
      </c>
      <c r="FJ48" s="463">
        <f t="shared" si="70"/>
      </c>
      <c r="FK48" s="466">
        <f t="shared" si="70"/>
      </c>
      <c r="FL48" s="463">
        <f t="shared" ref="FL48:FZ48" si="71">FL45-FG45</f>
      </c>
      <c r="FM48" s="463">
        <f t="shared" si="71"/>
      </c>
      <c r="FN48" s="463">
        <f t="shared" si="71"/>
      </c>
      <c r="FO48" s="463">
        <f t="shared" si="71"/>
      </c>
      <c r="FP48" s="466">
        <f t="shared" si="71"/>
      </c>
      <c r="FQ48" s="463">
        <f t="shared" si="71"/>
      </c>
      <c r="FR48" s="463">
        <f t="shared" si="71"/>
      </c>
      <c r="FS48" s="463">
        <f t="shared" si="71"/>
      </c>
      <c r="FT48" s="463">
        <f t="shared" si="71"/>
      </c>
      <c r="FU48" s="466">
        <f t="shared" si="71"/>
      </c>
      <c r="FV48" s="463">
        <f t="shared" si="71"/>
      </c>
      <c r="FW48" s="463">
        <f t="shared" si="71"/>
      </c>
      <c r="FX48" s="463">
        <f t="shared" si="71"/>
      </c>
      <c r="FY48" s="463">
        <f t="shared" si="71"/>
      </c>
      <c r="FZ48" s="466">
        <f t="shared" si="71"/>
      </c>
      <c r="GA48" s="463">
        <f t="shared" ref="GA48:GJ48" si="72">GA45-FV45</f>
      </c>
      <c r="GB48" s="463">
        <f t="shared" si="72"/>
      </c>
      <c r="GC48" s="463">
        <f t="shared" si="72"/>
      </c>
      <c r="GD48" s="463">
        <f t="shared" si="72"/>
      </c>
      <c r="GE48" s="466">
        <f t="shared" si="72"/>
      </c>
      <c r="GF48" s="463">
        <f t="shared" si="72"/>
      </c>
      <c r="GG48" s="463">
        <f t="shared" si="72"/>
      </c>
      <c r="GH48" s="463">
        <f t="shared" si="72"/>
      </c>
      <c r="GI48" s="463">
        <f t="shared" si="72"/>
      </c>
      <c r="GJ48" s="466">
        <f t="shared" si="72"/>
      </c>
    </row>
    <row r="49" spans="1:192" ht="12.75" customHeight="1">
      <c r="B49" s="617" t="s">
        <v>485</v>
      </c>
      <c r="C49" s="470"/>
      <c r="D49" s="463">
        <f>D45-C45</f>
      </c>
      <c r="E49" s="463">
        <f>E45-D45</f>
      </c>
      <c r="F49" s="463">
        <f>F45-E45</f>
      </c>
      <c r="G49" s="293"/>
      <c r="H49" s="470">
        <f>H45-F45</f>
      </c>
      <c r="I49" s="463">
        <f>I45-H45</f>
      </c>
      <c r="J49" s="463">
        <f>J45-I45</f>
      </c>
      <c r="K49" s="463">
        <f>K45-J45</f>
      </c>
      <c r="L49" s="293"/>
      <c r="M49" s="470">
        <f>M45-K45</f>
      </c>
      <c r="N49" s="463">
        <f>N45-M45</f>
      </c>
      <c r="O49" s="463">
        <f>O45-N45</f>
      </c>
      <c r="P49" s="463">
        <f>P45-O45</f>
      </c>
      <c r="Q49" s="293"/>
      <c r="R49" s="470">
        <f>R45-P45</f>
      </c>
      <c r="S49" s="463">
        <f>S45-R45</f>
      </c>
      <c r="T49" s="463">
        <f>T45-S45</f>
      </c>
      <c r="U49" s="463">
        <f>U45-T45</f>
      </c>
      <c r="V49" s="293"/>
      <c r="W49" s="470">
        <f>W45-U45</f>
      </c>
      <c r="X49" s="463">
        <f>X45-W45</f>
      </c>
      <c r="Y49" s="463">
        <f>Y45-X45</f>
      </c>
      <c r="Z49" s="463">
        <f>Z45-Y45</f>
      </c>
      <c r="AA49" s="293"/>
      <c r="AB49" s="470">
        <f>AB45-Z45</f>
      </c>
      <c r="AC49" s="463">
        <f>AC45-AB45</f>
      </c>
      <c r="AD49" s="463">
        <f>AD45-AC45</f>
      </c>
      <c r="AE49" s="463">
        <f>AE45-AD45</f>
      </c>
      <c r="AF49" s="293"/>
      <c r="AG49" s="470">
        <f>AG45-AE45</f>
      </c>
      <c r="AH49" s="463">
        <f>AH45-AG45</f>
      </c>
      <c r="AI49" s="463">
        <f>AI45-AH45</f>
      </c>
      <c r="AJ49" s="463">
        <f>AJ45-AI45</f>
      </c>
      <c r="AK49" s="293"/>
      <c r="AL49" s="470">
        <f>AL45-AJ45</f>
      </c>
      <c r="AM49" s="463">
        <f>AM45-AL45</f>
      </c>
      <c r="AN49" s="463">
        <f>AN45-AM45</f>
      </c>
      <c r="AO49" s="463">
        <f>AO45-AN45</f>
      </c>
      <c r="AP49" s="293"/>
      <c r="AQ49" s="470">
        <f>AQ45-AO45</f>
      </c>
      <c r="AR49" s="463">
        <f>AR45-AQ45</f>
      </c>
      <c r="AS49" s="463">
        <f>AS45-AR45</f>
      </c>
      <c r="AT49" s="463">
        <f>AT45-AS45</f>
      </c>
      <c r="AU49" s="293"/>
      <c r="AV49" s="470">
        <f>AV45-AT45</f>
      </c>
      <c r="AW49" s="463">
        <f>AW45-AV45</f>
      </c>
      <c r="AX49" s="463">
        <f>AX45-AW45</f>
      </c>
      <c r="AY49" s="463">
        <f>AY45-AX45</f>
      </c>
      <c r="AZ49" s="293"/>
      <c r="BA49" s="470">
        <f>BA45-AY45</f>
      </c>
      <c r="BB49" s="463">
        <f>BB45-BA45</f>
      </c>
      <c r="BC49" s="463">
        <f>BC45-BB45</f>
      </c>
      <c r="BD49" s="463">
        <f>BD45-BC45</f>
      </c>
      <c r="BE49" s="293"/>
      <c r="BF49" s="470">
        <f>BF45-BD45</f>
      </c>
      <c r="BG49" s="463">
        <f>BG45-BF45</f>
      </c>
      <c r="BH49" s="463">
        <f>BH45-BG45</f>
      </c>
      <c r="BI49" s="463">
        <f>BI45-BH45</f>
      </c>
      <c r="BJ49" s="293"/>
      <c r="BK49" s="470">
        <f>BK45-BI45</f>
      </c>
      <c r="BL49" s="463">
        <f>BL45-BK45</f>
      </c>
      <c r="BM49" s="463">
        <f>BM45-BL45</f>
      </c>
      <c r="BN49" s="463">
        <f>BN45-BM45</f>
      </c>
      <c r="BO49" s="293"/>
      <c r="BP49" s="470">
        <f>BP45-BN45</f>
      </c>
      <c r="BQ49" s="463">
        <f>BQ45-BP45</f>
      </c>
      <c r="BR49" s="463">
        <f>BR45-BQ45</f>
      </c>
      <c r="BS49" s="463">
        <f>BS45-BR45</f>
      </c>
      <c r="BT49" s="293"/>
      <c r="BU49" s="470">
        <f>BU45-BS45</f>
      </c>
      <c r="BV49" s="463">
        <f>BV45-BU45</f>
      </c>
      <c r="BW49" s="463">
        <f>BW45-BV45</f>
      </c>
      <c r="BX49" s="463">
        <f>BX45-BW45</f>
      </c>
      <c r="BY49" s="293"/>
      <c r="BZ49" s="470">
        <f>BZ45-BX45</f>
      </c>
      <c r="CA49" s="463">
        <f>CA45-BZ45</f>
      </c>
      <c r="CB49" s="463">
        <f>CB45-CA45</f>
      </c>
      <c r="CC49" s="463">
        <f>CC45-CB45</f>
      </c>
      <c r="CD49" s="293"/>
      <c r="CE49" s="470">
        <f>CE45-CC45</f>
      </c>
      <c r="CF49" s="463">
        <f>CF45-CE45</f>
      </c>
      <c r="CG49" s="463">
        <f>CG45-CF45</f>
      </c>
      <c r="CH49" s="463">
        <f>CH45-CG45</f>
      </c>
      <c r="CI49" s="293"/>
      <c r="CJ49" s="470">
        <f>CJ45-CH45</f>
      </c>
      <c r="CK49" s="463">
        <f>CK45-CJ45</f>
      </c>
      <c r="CL49" s="463">
        <f>CL45-CK45</f>
      </c>
      <c r="CM49" s="463">
        <f>CM45-CL45</f>
      </c>
      <c r="CN49" s="293"/>
      <c r="CO49" s="470">
        <f>CO45-CM45</f>
      </c>
      <c r="CP49" s="463">
        <f>CP45-CO45</f>
      </c>
      <c r="CQ49" s="463">
        <f>CQ45-CP45</f>
      </c>
      <c r="CR49" s="463">
        <f>CR45-CQ45</f>
      </c>
      <c r="CS49" s="293"/>
      <c r="CT49" s="470">
        <f>CT45-CR45</f>
      </c>
      <c r="CU49" s="463">
        <f>CU45-CT45</f>
      </c>
      <c r="CV49" s="463">
        <f>CV45-CU45</f>
      </c>
      <c r="CW49" s="463">
        <f>CW45-CV45</f>
      </c>
      <c r="CX49" s="293"/>
      <c r="CY49" s="470">
        <f>CY45-CW45</f>
      </c>
      <c r="CZ49" s="463">
        <f>CZ45-CY45</f>
      </c>
      <c r="DA49" s="463">
        <f>DA45-CZ45</f>
      </c>
      <c r="DB49" s="463">
        <f>DB45-DA45</f>
      </c>
      <c r="DC49" s="293"/>
      <c r="DD49" s="470">
        <f>DD45-DB45</f>
      </c>
      <c r="DE49" s="463">
        <f>DE45-DD45</f>
      </c>
      <c r="DF49" s="463">
        <f>DF45-DE45</f>
      </c>
      <c r="DG49" s="463">
        <f>DG45-DF45</f>
      </c>
      <c r="DH49" s="293"/>
      <c r="DI49" s="470">
        <f>DI45-DG45</f>
      </c>
      <c r="DJ49" s="463">
        <f>DJ45-DI45</f>
      </c>
      <c r="DK49" s="463">
        <f>DK45-DJ45</f>
      </c>
      <c r="DL49" s="463">
        <f>DL45-DK45</f>
      </c>
      <c r="DM49" s="293"/>
      <c r="DN49" s="470">
        <f>DN45-DL45</f>
      </c>
      <c r="DO49" s="463">
        <f>DO45-DN45</f>
      </c>
      <c r="DP49" s="463">
        <f>DP45-DO45</f>
      </c>
      <c r="DQ49" s="463">
        <f>DQ45-DP45</f>
      </c>
      <c r="DR49" s="293"/>
      <c r="DS49" s="470">
        <f>DS45-DQ45</f>
      </c>
      <c r="DT49" s="463">
        <f>DT45-DS45</f>
      </c>
      <c r="DU49" s="463">
        <f>DU45-DT45</f>
      </c>
      <c r="DV49" s="463">
        <f>DV45-DU45</f>
      </c>
      <c r="DW49" s="293"/>
      <c r="DX49" s="470">
        <f>DX45-DV45</f>
      </c>
      <c r="DY49" s="463">
        <f>DY45-DX45</f>
      </c>
      <c r="DZ49" s="463">
        <f>DZ45-DY45</f>
      </c>
      <c r="EA49" s="463">
        <f>EA45-DZ45</f>
      </c>
      <c r="EB49" s="293"/>
      <c r="EC49" s="470">
        <f>EC45-EA45</f>
      </c>
      <c r="ED49" s="463">
        <f>ED45-EC45</f>
      </c>
      <c r="EE49" s="463">
        <f>EE45-ED45</f>
      </c>
      <c r="EF49" s="463">
        <f>EF45-EE45</f>
      </c>
      <c r="EG49" s="293"/>
      <c r="EH49" s="470">
        <f>EH45-EF45</f>
      </c>
      <c r="EI49" s="463">
        <f>EI45-EH45</f>
      </c>
      <c r="EJ49" s="463">
        <f>EJ45-EI45</f>
      </c>
      <c r="EK49" s="463">
        <f>EK45-EJ45</f>
      </c>
      <c r="EL49" s="293"/>
      <c r="EM49" s="470">
        <f>EM45-EK45</f>
      </c>
      <c r="EN49" s="463">
        <f>EN45-EM45</f>
      </c>
      <c r="EO49" s="463">
        <f>EO45-EN45</f>
      </c>
      <c r="EP49" s="463">
        <f>EP45-EO45</f>
      </c>
      <c r="EQ49" s="293"/>
      <c r="ER49" s="470">
        <f>ER45-EP45</f>
      </c>
      <c r="ES49" s="463">
        <f>ES45-ER45</f>
      </c>
      <c r="ET49" s="463">
        <f>ET45-ES45</f>
      </c>
      <c r="EU49" s="463">
        <f>EU45-ET45</f>
      </c>
      <c r="EV49" s="293"/>
      <c r="EW49" s="470">
        <f>EW45-EU45</f>
      </c>
      <c r="EX49" s="1399">
        <f>EX45-EW45</f>
      </c>
      <c r="EY49" s="1399">
        <f>EY45-EX45</f>
      </c>
      <c r="EZ49" s="463">
        <f>EZ45-EY45</f>
      </c>
      <c r="FA49" s="293"/>
      <c r="FB49" s="470">
        <f>FB45-EZ45</f>
      </c>
      <c r="FC49" s="463">
        <f>FC45-FB45</f>
      </c>
      <c r="FD49" s="463">
        <f>FD45-FC45</f>
      </c>
      <c r="FE49" s="463">
        <f>FE45-FD45</f>
      </c>
      <c r="FF49" s="293"/>
      <c r="FG49" s="470">
        <f>FG45-FE45</f>
      </c>
      <c r="FH49" s="463">
        <f>FH45-FG45</f>
      </c>
      <c r="FI49" s="463">
        <f>FI45-FH45</f>
      </c>
      <c r="FJ49" s="463">
        <f>FJ45-FI45</f>
      </c>
      <c r="FK49" s="293"/>
      <c r="FL49" s="470">
        <f>FL45-FJ45</f>
      </c>
      <c r="FM49" s="463">
        <f>FM45-FL45</f>
      </c>
      <c r="FN49" s="463">
        <f>FN45-FM45</f>
      </c>
      <c r="FO49" s="463">
        <f>FO45-FN45</f>
      </c>
      <c r="FP49" s="293"/>
      <c r="FQ49" s="470">
        <f>FQ45-FO45</f>
      </c>
      <c r="FR49" s="463">
        <f>FR45-FQ45</f>
      </c>
      <c r="FS49" s="463">
        <f>FS45-FR45</f>
      </c>
      <c r="FT49" s="463">
        <f>FT45-FS45</f>
      </c>
      <c r="FU49" s="293"/>
      <c r="FV49" s="470">
        <f>FV45-FT45</f>
      </c>
      <c r="FW49" s="463">
        <f>FW45-FV45</f>
      </c>
      <c r="FX49" s="463">
        <f>FX45-FW45</f>
      </c>
      <c r="FY49" s="463">
        <f>FY45-FX45</f>
      </c>
      <c r="FZ49" s="293"/>
      <c r="GA49" s="470">
        <f>GA45-FY45</f>
      </c>
      <c r="GB49" s="463">
        <f>GB45-GA45</f>
      </c>
      <c r="GC49" s="463">
        <f>GC45-GB45</f>
      </c>
      <c r="GD49" s="463">
        <f>GD45-GC45</f>
      </c>
      <c r="GE49" s="293"/>
      <c r="GF49" s="470">
        <f>GF45-GD45</f>
      </c>
      <c r="GG49" s="463">
        <f>GG45-GF45</f>
      </c>
      <c r="GH49" s="463">
        <f>GH45-GG45</f>
      </c>
      <c r="GI49" s="463">
        <f>GI45-GH45</f>
      </c>
      <c r="GJ49" s="293"/>
    </row>
    <row r="50" spans="1:192" ht="12.75" customHeight="1">
      <c r="B50" s="617"/>
      <c r="C50" s="470"/>
      <c r="D50" s="463"/>
      <c r="E50" s="463"/>
      <c r="F50" s="463"/>
      <c r="G50" s="293"/>
      <c r="H50" s="470"/>
      <c r="I50" s="463"/>
      <c r="J50" s="463"/>
      <c r="K50" s="463"/>
      <c r="L50" s="293"/>
      <c r="M50" s="470"/>
      <c r="N50" s="463"/>
      <c r="O50" s="463"/>
      <c r="P50" s="463"/>
      <c r="Q50" s="293"/>
      <c r="R50" s="470"/>
      <c r="S50" s="463"/>
      <c r="T50" s="463"/>
      <c r="U50" s="463"/>
      <c r="V50" s="293"/>
      <c r="W50" s="470"/>
      <c r="X50" s="463"/>
      <c r="Y50" s="463"/>
      <c r="Z50" s="463"/>
      <c r="AA50" s="293"/>
      <c r="AB50" s="470"/>
      <c r="AC50" s="463"/>
      <c r="AD50" s="463"/>
      <c r="AE50" s="463"/>
      <c r="AF50" s="293"/>
      <c r="AG50" s="470"/>
      <c r="AH50" s="463"/>
      <c r="AI50" s="463"/>
      <c r="AJ50" s="463"/>
      <c r="AK50" s="293"/>
      <c r="AL50" s="470"/>
      <c r="AM50" s="463"/>
      <c r="AN50" s="463"/>
      <c r="AO50" s="463"/>
      <c r="AP50" s="293"/>
      <c r="AQ50" s="470"/>
      <c r="AR50" s="463"/>
      <c r="AS50" s="463"/>
      <c r="AT50" s="463"/>
      <c r="AU50" s="293"/>
      <c r="AV50" s="470"/>
      <c r="AW50" s="463"/>
      <c r="AX50" s="463"/>
      <c r="AY50" s="463"/>
      <c r="AZ50" s="293"/>
      <c r="BA50" s="470"/>
      <c r="BB50" s="463"/>
      <c r="BC50" s="463"/>
      <c r="BD50" s="463"/>
      <c r="BE50" s="293"/>
      <c r="BF50" s="470"/>
      <c r="BG50" s="463"/>
      <c r="BH50" s="463"/>
      <c r="BI50" s="463"/>
      <c r="BJ50" s="293"/>
      <c r="BK50" s="470"/>
      <c r="BL50" s="463"/>
      <c r="BM50" s="463"/>
      <c r="BN50" s="463"/>
      <c r="BO50" s="293"/>
      <c r="BP50" s="470"/>
      <c r="BQ50" s="463"/>
      <c r="BR50" s="463"/>
      <c r="BS50" s="463"/>
      <c r="BT50" s="293"/>
      <c r="BU50" s="470"/>
      <c r="BV50" s="463"/>
      <c r="BW50" s="463"/>
      <c r="BX50" s="463"/>
      <c r="BY50" s="293"/>
      <c r="BZ50" s="470"/>
      <c r="CA50" s="463"/>
      <c r="CB50" s="463"/>
      <c r="CC50" s="463"/>
      <c r="CD50" s="293"/>
      <c r="CE50" s="470"/>
      <c r="CF50" s="463"/>
      <c r="CG50" s="463"/>
      <c r="CH50" s="463"/>
      <c r="CI50" s="293"/>
      <c r="CJ50" s="470"/>
      <c r="CK50" s="463"/>
      <c r="CL50" s="463"/>
      <c r="CM50" s="463"/>
      <c r="CN50" s="293"/>
      <c r="CO50" s="470"/>
      <c r="CP50" s="463"/>
      <c r="CQ50" s="463"/>
      <c r="CR50" s="463"/>
      <c r="CS50" s="293"/>
      <c r="CT50" s="470"/>
      <c r="CU50" s="463"/>
      <c r="CV50" s="463"/>
      <c r="CW50" s="463"/>
      <c r="CX50" s="293"/>
      <c r="CY50" s="470"/>
      <c r="CZ50" s="463"/>
      <c r="DA50" s="463"/>
      <c r="DB50" s="463"/>
      <c r="DC50" s="293"/>
      <c r="DD50" s="470"/>
      <c r="DE50" s="463"/>
      <c r="DF50" s="463"/>
      <c r="DG50" s="463"/>
      <c r="DH50" s="293"/>
      <c r="DI50" s="470"/>
      <c r="DJ50" s="463"/>
      <c r="DK50" s="463"/>
      <c r="DL50" s="463"/>
      <c r="DM50" s="293"/>
      <c r="DN50" s="470"/>
      <c r="DO50" s="463"/>
      <c r="DP50" s="463"/>
      <c r="DQ50" s="463"/>
      <c r="DR50" s="293"/>
      <c r="DS50" s="470"/>
      <c r="DT50" s="463"/>
      <c r="DU50" s="463"/>
      <c r="DV50" s="463"/>
      <c r="DW50" s="293"/>
      <c r="DX50" s="470"/>
      <c r="DY50" s="463"/>
      <c r="DZ50" s="463"/>
      <c r="EA50" s="463"/>
      <c r="EB50" s="293"/>
      <c r="EC50" s="470"/>
      <c r="ED50" s="463"/>
      <c r="EE50" s="463"/>
      <c r="EF50" s="463"/>
      <c r="EG50" s="293"/>
      <c r="EH50" s="470"/>
      <c r="EI50" s="463"/>
      <c r="EJ50" s="463"/>
      <c r="EK50" s="463"/>
      <c r="EL50" s="293"/>
      <c r="EM50" s="470"/>
      <c r="EN50" s="463"/>
      <c r="EO50" s="463"/>
      <c r="EP50" s="463"/>
      <c r="EQ50" s="293"/>
      <c r="ER50" s="470"/>
      <c r="ES50" s="463"/>
      <c r="ET50" s="463"/>
      <c r="EU50" s="463"/>
      <c r="EV50" s="293"/>
      <c r="EW50" s="470"/>
      <c r="EX50" s="1399"/>
      <c r="EY50" s="463"/>
      <c r="EZ50" s="463"/>
      <c r="FA50" s="293"/>
      <c r="FB50" s="470"/>
      <c r="FC50" s="463"/>
      <c r="FD50" s="463"/>
      <c r="FE50" s="463"/>
      <c r="FF50" s="293"/>
      <c r="FG50" s="470"/>
      <c r="FH50" s="463"/>
      <c r="FI50" s="463"/>
      <c r="FJ50" s="463"/>
      <c r="FK50" s="293"/>
      <c r="FL50" s="470"/>
      <c r="FM50" s="463"/>
      <c r="FN50" s="463"/>
      <c r="FO50" s="463"/>
      <c r="FP50" s="293"/>
      <c r="FQ50" s="470"/>
      <c r="FR50" s="463"/>
      <c r="FS50" s="463"/>
      <c r="FT50" s="463"/>
      <c r="FU50" s="293"/>
      <c r="FV50" s="470"/>
      <c r="FW50" s="463"/>
      <c r="FX50" s="463"/>
      <c r="FY50" s="463"/>
      <c r="FZ50" s="293"/>
      <c r="GA50" s="470"/>
      <c r="GB50" s="463"/>
      <c r="GC50" s="463"/>
      <c r="GD50" s="463"/>
      <c r="GE50" s="293"/>
      <c r="GF50" s="470"/>
      <c r="GG50" s="463"/>
      <c r="GH50" s="463"/>
      <c r="GI50" s="463"/>
      <c r="GJ50" s="293"/>
    </row>
    <row r="51" spans="1:192" s="461" customFormat="1" ht="12.75" hidden="1" customHeight="1" outlineLevel="1">
      <c r="A51" s="68" t="s">
        <v>381</v>
      </c>
      <c r="B51" s="625" t="s">
        <v>488</v>
      </c>
      <c r="C51" s="624"/>
      <c r="D51" s="624"/>
      <c r="E51" s="624"/>
      <c r="F51" s="624"/>
      <c r="G51" s="622"/>
      <c r="H51" s="624"/>
      <c r="I51" s="624"/>
      <c r="J51" s="624"/>
      <c r="K51" s="624"/>
      <c r="L51" s="622"/>
      <c r="M51" s="624"/>
      <c r="N51" s="624"/>
      <c r="O51" s="624"/>
      <c r="P51" s="624"/>
      <c r="Q51" s="622"/>
      <c r="R51" s="624"/>
      <c r="S51" s="624"/>
      <c r="T51" s="624"/>
      <c r="U51" s="624"/>
      <c r="V51" s="622"/>
      <c r="W51" s="624"/>
      <c r="X51" s="624"/>
      <c r="Y51" s="624"/>
      <c r="Z51" s="624"/>
      <c r="AA51" s="622"/>
      <c r="AB51" s="624"/>
      <c r="AC51" s="624"/>
      <c r="AD51" s="624"/>
      <c r="AE51" s="624"/>
      <c r="AF51" s="622"/>
      <c r="AG51" s="624"/>
      <c r="AH51" s="624"/>
      <c r="AI51" s="624"/>
      <c r="AJ51" s="624"/>
      <c r="AK51" s="622"/>
      <c r="AL51" s="624"/>
      <c r="AM51" s="624"/>
      <c r="AN51" s="624"/>
      <c r="AO51" s="624"/>
      <c r="AP51" s="622"/>
      <c r="AQ51" s="624"/>
      <c r="AR51" s="624"/>
      <c r="AS51" s="624"/>
      <c r="AT51" s="624"/>
      <c r="AU51" s="622"/>
      <c r="AV51" s="624"/>
      <c r="AW51" s="624"/>
      <c r="AX51" s="624"/>
      <c r="AY51" s="624"/>
      <c r="AZ51" s="622"/>
      <c r="BA51" s="624"/>
      <c r="BB51" s="624"/>
      <c r="BC51" s="624"/>
      <c r="BD51" s="624"/>
      <c r="BE51" s="622"/>
      <c r="BF51" s="624"/>
      <c r="BG51" s="624"/>
      <c r="BH51" s="624"/>
      <c r="BI51" s="624"/>
      <c r="BJ51" s="622"/>
      <c r="BK51" s="624"/>
      <c r="BL51" s="624"/>
      <c r="BM51" s="624"/>
      <c r="BN51" s="624"/>
      <c r="BO51" s="622"/>
      <c r="BP51" s="624"/>
      <c r="BQ51" s="624"/>
      <c r="BR51" s="624"/>
      <c r="BS51" s="624"/>
      <c r="BT51" s="622"/>
      <c r="BU51" s="624"/>
      <c r="BV51" s="624"/>
      <c r="BW51" s="624"/>
      <c r="BX51" s="624"/>
      <c r="BY51" s="622"/>
      <c r="BZ51" s="624"/>
      <c r="CA51" s="624"/>
      <c r="CB51" s="624"/>
      <c r="CC51" s="624"/>
      <c r="CD51" s="622"/>
      <c r="CE51" s="624"/>
      <c r="CF51" s="624"/>
      <c r="CG51" s="624"/>
      <c r="CH51" s="624"/>
      <c r="CI51" s="622"/>
      <c r="CJ51" s="624"/>
      <c r="CK51" s="624"/>
      <c r="CL51" s="624"/>
      <c r="CM51" s="624"/>
      <c r="CN51" s="622"/>
      <c r="CO51" s="624"/>
      <c r="CP51" s="624"/>
      <c r="CQ51" s="624"/>
      <c r="CR51" s="624"/>
      <c r="CS51" s="622"/>
      <c r="CT51" s="624"/>
      <c r="CU51" s="624"/>
      <c r="CV51" s="624"/>
      <c r="CW51" s="624"/>
      <c r="CX51" s="622"/>
      <c r="CY51" s="820">
        <f>PBP!CY58</f>
      </c>
      <c r="CZ51" s="820">
        <f>PBP!CZ58</f>
      </c>
      <c r="DA51" s="820">
        <f>PBP!DA58</f>
      </c>
      <c r="DB51" s="820">
        <f>PBP!DB58</f>
      </c>
      <c r="DC51" s="830">
        <f>PBP!DC58</f>
      </c>
      <c r="DD51" s="820">
        <f>PBP!DD58</f>
      </c>
      <c r="DE51" s="820">
        <f>PBP!DE58</f>
      </c>
      <c r="DF51" s="820">
        <f>PBP!DF58</f>
      </c>
      <c r="DG51" s="820">
        <f>PBP!DG58</f>
      </c>
      <c r="DH51" s="830">
        <f>PBP!DH58</f>
      </c>
      <c r="DI51" s="820">
        <f>PBP!DI58</f>
      </c>
      <c r="DJ51" s="820">
        <f>PBP!DJ58</f>
      </c>
      <c r="DK51" s="820">
        <f>PBP!DK58</f>
      </c>
      <c r="DL51" s="820">
        <f>PBP!DL58</f>
      </c>
      <c r="DM51" s="830">
        <f>PBP!DM58</f>
      </c>
      <c r="DN51" s="820">
        <f>PBP!DN58</f>
      </c>
      <c r="DO51" s="820">
        <f>PBP!DO58</f>
      </c>
      <c r="DP51" s="820">
        <f>PBP!DP58</f>
      </c>
      <c r="DQ51" s="820">
        <f>PBP!DQ58</f>
      </c>
      <c r="DR51" s="830">
        <f>PBP!DR58</f>
      </c>
      <c r="DS51" s="820">
        <f>PBP!DS58</f>
      </c>
      <c r="DT51" s="820">
        <f>PBP!DT58</f>
      </c>
      <c r="DU51" s="820">
        <f>PBP!DU58</f>
      </c>
      <c r="DV51" s="820">
        <f>PBP!DV58</f>
      </c>
      <c r="DW51" s="830">
        <f>PBP!DW58</f>
      </c>
      <c r="DX51" s="820">
        <f>PBP!DX58</f>
      </c>
      <c r="DY51" s="820">
        <f>PBP!DY58</f>
      </c>
      <c r="DZ51" s="820">
        <f>PBP!DZ58</f>
      </c>
      <c r="EA51" s="820">
        <f>PBP!EA58</f>
      </c>
      <c r="EB51" s="830">
        <f>PBP!EB58</f>
      </c>
      <c r="EC51" s="820">
        <f>PBP!EC58</f>
      </c>
      <c r="ED51" s="820">
        <f>PBP!ED58</f>
      </c>
      <c r="EE51" s="820">
        <f>PBP!EE58</f>
      </c>
      <c r="EF51" s="820">
        <f>PBP!EF58</f>
      </c>
      <c r="EG51" s="830">
        <f>PBP!EG58</f>
      </c>
      <c r="EH51" s="820">
        <f>PBP!EH58</f>
      </c>
      <c r="EI51" s="820">
        <f>PBP!EI58</f>
      </c>
      <c r="EJ51" s="820">
        <f>PBP!EJ58</f>
      </c>
      <c r="EK51" s="820">
        <f>PBP!EK58</f>
      </c>
      <c r="EL51" s="830">
        <f>PBP!EL58</f>
      </c>
      <c r="EM51" s="820">
        <f>PBP!EM58</f>
      </c>
      <c r="EN51" s="820">
        <f>PBP!EN58</f>
      </c>
      <c r="EO51" s="820">
        <f>PBP!EO58</f>
      </c>
      <c r="EP51" s="820">
        <f>PBP!EP58</f>
      </c>
      <c r="EQ51" s="830">
        <f>PBP!EQ58</f>
      </c>
      <c r="ER51" s="820">
        <f>PBP!ER23</f>
      </c>
      <c r="ES51" s="820">
        <f>PBP!ES23</f>
      </c>
      <c r="ET51" s="820">
        <f>PBP!ET23</f>
      </c>
      <c r="EU51" s="820">
        <f>PBP!EU23</f>
      </c>
      <c r="EV51" s="830">
        <f>PBP!EV23</f>
      </c>
      <c r="EW51" s="820">
        <f>PBP!EW23</f>
      </c>
      <c r="EX51" s="820">
        <f>PBP!EX23</f>
      </c>
      <c r="EY51" s="820">
        <f>PBP!EY23</f>
      </c>
      <c r="EZ51" s="820">
        <f>PBP!EZ23</f>
      </c>
      <c r="FA51" s="830">
        <f>PBP!FA23</f>
      </c>
      <c r="FB51" s="820">
        <f>PBP!FB23</f>
      </c>
      <c r="FC51" s="820">
        <f>PBP!FC23</f>
      </c>
      <c r="FD51" s="820">
        <f>PBP!FD23</f>
      </c>
      <c r="FE51" s="820">
        <f>PBP!FE23</f>
      </c>
      <c r="FF51" s="830">
        <f>PBP!FF23</f>
      </c>
      <c r="FG51" s="820">
        <f>PBP!FG23</f>
      </c>
      <c r="FH51" s="820">
        <f>PBP!FH23</f>
      </c>
      <c r="FI51" s="820">
        <f>PBP!FI23</f>
      </c>
      <c r="FJ51" s="820">
        <f>PBP!FJ23</f>
      </c>
      <c r="FK51" s="830">
        <f>PBP!FK23</f>
      </c>
      <c r="FL51" s="820">
        <f>PBP!FL23</f>
      </c>
      <c r="FM51" s="820">
        <f>PBP!FM23</f>
      </c>
      <c r="FN51" s="820">
        <f>PBP!FN23</f>
      </c>
      <c r="FO51" s="820">
        <f>PBP!FO23</f>
      </c>
      <c r="FP51" s="830">
        <f>PBP!FP23</f>
      </c>
      <c r="FQ51" s="820">
        <f>PBP!FQ23</f>
      </c>
      <c r="FR51" s="820">
        <f>PBP!FR23</f>
      </c>
      <c r="FS51" s="820">
        <f>PBP!FS23</f>
      </c>
      <c r="FT51" s="820">
        <f>PBP!FT23</f>
      </c>
      <c r="FU51" s="830">
        <f>PBP!FU23</f>
      </c>
      <c r="FV51" s="820">
        <f>PBP!FV23</f>
      </c>
      <c r="FW51" s="820">
        <f>PBP!FW23</f>
      </c>
      <c r="FX51" s="820">
        <f>PBP!FX23</f>
      </c>
      <c r="FY51" s="820">
        <f>PBP!FY23</f>
      </c>
      <c r="FZ51" s="830">
        <f>PBP!FZ23</f>
      </c>
      <c r="GA51" s="820">
        <f>PBP!GA23</f>
      </c>
      <c r="GB51" s="820">
        <f>PBP!GB23</f>
      </c>
      <c r="GC51" s="820">
        <f>PBP!GC23</f>
      </c>
      <c r="GD51" s="820">
        <f>PBP!GD23</f>
      </c>
      <c r="GE51" s="830">
        <f>PBP!GE23</f>
      </c>
      <c r="GF51" s="820">
        <f>PBP!GF23</f>
      </c>
      <c r="GG51" s="820">
        <f>PBP!GG23</f>
      </c>
      <c r="GH51" s="820">
        <f>PBP!GH23</f>
      </c>
      <c r="GI51" s="820">
        <f>PBP!GI23</f>
      </c>
      <c r="GJ51" s="830">
        <f>PBP!GJ23</f>
      </c>
    </row>
    <row r="52" spans="1:192" ht="12.75" hidden="1" customHeight="1" outlineLevel="1">
      <c r="A52" s="68" t="s">
        <v>382</v>
      </c>
      <c r="B52" s="617" t="s">
        <v>34</v>
      </c>
      <c r="C52" s="291"/>
      <c r="D52" s="107"/>
      <c r="E52" s="107"/>
      <c r="F52" s="107"/>
      <c r="G52" s="536"/>
      <c r="H52" s="291"/>
      <c r="I52" s="107"/>
      <c r="J52" s="107"/>
      <c r="K52" s="107"/>
      <c r="L52" s="292"/>
      <c r="M52" s="291"/>
      <c r="N52" s="107"/>
      <c r="O52" s="107"/>
      <c r="P52" s="107"/>
      <c r="Q52" s="292"/>
      <c r="R52" s="291"/>
      <c r="S52" s="107"/>
      <c r="T52" s="107"/>
      <c r="U52" s="107"/>
      <c r="V52" s="292"/>
      <c r="W52" s="291"/>
      <c r="X52" s="107"/>
      <c r="Y52" s="107"/>
      <c r="Z52" s="107"/>
      <c r="AA52" s="292"/>
      <c r="AB52" s="291"/>
      <c r="AC52" s="107"/>
      <c r="AD52" s="107"/>
      <c r="AE52" s="107"/>
      <c r="AF52" s="292"/>
      <c r="AG52" s="291"/>
      <c r="AH52" s="107"/>
      <c r="AI52" s="107"/>
      <c r="AJ52" s="107"/>
      <c r="AK52" s="292"/>
      <c r="AL52" s="291"/>
      <c r="AM52" s="107"/>
      <c r="AN52" s="107"/>
      <c r="AO52" s="107"/>
      <c r="AP52" s="292"/>
      <c r="AQ52" s="291"/>
      <c r="AR52" s="107"/>
      <c r="AS52" s="107"/>
      <c r="AT52" s="107"/>
      <c r="AU52" s="292"/>
      <c r="AV52" s="291"/>
      <c r="AW52" s="107"/>
      <c r="AX52" s="107"/>
      <c r="AY52" s="107"/>
      <c r="AZ52" s="292"/>
      <c r="BA52" s="291"/>
      <c r="BB52" s="107"/>
      <c r="BC52" s="107"/>
      <c r="BD52" s="107"/>
      <c r="BE52" s="292"/>
      <c r="BF52" s="291"/>
      <c r="BG52" s="107"/>
      <c r="BH52" s="107"/>
      <c r="BI52" s="107"/>
      <c r="BJ52" s="292"/>
      <c r="BK52" s="291"/>
      <c r="BL52" s="107"/>
      <c r="BM52" s="107"/>
      <c r="BN52" s="107"/>
      <c r="BO52" s="292"/>
      <c r="BP52" s="291"/>
      <c r="BQ52" s="107"/>
      <c r="BR52" s="107"/>
      <c r="BS52" s="107"/>
      <c r="BT52" s="292"/>
      <c r="BU52" s="291"/>
      <c r="BV52" s="107"/>
      <c r="BW52" s="107"/>
      <c r="BX52" s="107"/>
      <c r="BY52" s="292"/>
      <c r="BZ52" s="291"/>
      <c r="CA52" s="107"/>
      <c r="CB52" s="107"/>
      <c r="CC52" s="107"/>
      <c r="CD52" s="292"/>
      <c r="CE52" s="291"/>
      <c r="CF52" s="107"/>
      <c r="CG52" s="107"/>
      <c r="CH52" s="107"/>
      <c r="CI52" s="292"/>
      <c r="CJ52" s="291"/>
      <c r="CK52" s="107"/>
      <c r="CL52" s="107"/>
      <c r="CM52" s="107"/>
      <c r="CN52" s="292"/>
      <c r="CO52" s="291"/>
      <c r="CP52" s="107"/>
      <c r="CQ52" s="107"/>
      <c r="CR52" s="107"/>
      <c r="CS52" s="292"/>
      <c r="CT52" s="291"/>
      <c r="CU52" s="107"/>
      <c r="CV52" s="107"/>
      <c r="CW52" s="107"/>
      <c r="CX52" s="292"/>
      <c r="CY52" s="291" t="str">
        <f t="shared" ref="CY52:ED52" si="73">IFERROR(CY51/CT51-1,"")</f>
      </c>
      <c r="CZ52" s="107" t="str">
        <f t="shared" si="73"/>
      </c>
      <c r="DA52" s="107" t="str">
        <f t="shared" si="73"/>
      </c>
      <c r="DB52" s="107" t="str">
        <f t="shared" si="73"/>
      </c>
      <c r="DC52" s="292" t="str">
        <f t="shared" si="73"/>
      </c>
      <c r="DD52" s="291">
        <f t="shared" si="73"/>
      </c>
      <c r="DE52" s="107">
        <f t="shared" si="73"/>
      </c>
      <c r="DF52" s="107">
        <f t="shared" si="73"/>
      </c>
      <c r="DG52" s="107">
        <f t="shared" si="73"/>
      </c>
      <c r="DH52" s="292">
        <f t="shared" si="73"/>
      </c>
      <c r="DI52" s="291">
        <f t="shared" si="73"/>
      </c>
      <c r="DJ52" s="107">
        <f t="shared" si="73"/>
      </c>
      <c r="DK52" s="107">
        <f t="shared" si="73"/>
      </c>
      <c r="DL52" s="107">
        <f t="shared" si="73"/>
      </c>
      <c r="DM52" s="292">
        <f t="shared" si="73"/>
      </c>
      <c r="DN52" s="291">
        <f t="shared" si="73"/>
      </c>
      <c r="DO52" s="107">
        <f t="shared" si="73"/>
      </c>
      <c r="DP52" s="107">
        <f t="shared" si="73"/>
      </c>
      <c r="DQ52" s="107">
        <f t="shared" si="73"/>
      </c>
      <c r="DR52" s="292">
        <f t="shared" si="73"/>
      </c>
      <c r="DS52" s="291">
        <f t="shared" si="73"/>
      </c>
      <c r="DT52" s="107">
        <f t="shared" si="73"/>
      </c>
      <c r="DU52" s="107">
        <f t="shared" si="73"/>
      </c>
      <c r="DV52" s="107">
        <f t="shared" si="73"/>
      </c>
      <c r="DW52" s="292">
        <f t="shared" si="73"/>
      </c>
      <c r="DX52" s="291">
        <f t="shared" si="73"/>
      </c>
      <c r="DY52" s="107">
        <f t="shared" si="73"/>
      </c>
      <c r="DZ52" s="107">
        <f t="shared" si="73"/>
      </c>
      <c r="EA52" s="107">
        <f t="shared" si="73"/>
      </c>
      <c r="EB52" s="292">
        <f t="shared" si="73"/>
      </c>
      <c r="EC52" s="291">
        <f t="shared" si="73"/>
      </c>
      <c r="ED52" s="107">
        <f t="shared" si="73"/>
      </c>
      <c r="EE52" s="107">
        <f t="shared" ref="EE52:FJ52" si="74">IFERROR(EE51/DZ51-1,"")</f>
      </c>
      <c r="EF52" s="107">
        <f t="shared" si="74"/>
      </c>
      <c r="EG52" s="292">
        <f t="shared" si="74"/>
      </c>
      <c r="EH52" s="291">
        <f t="shared" si="74"/>
      </c>
      <c r="EI52" s="107">
        <f t="shared" si="74"/>
      </c>
      <c r="EJ52" s="107">
        <f t="shared" si="74"/>
      </c>
      <c r="EK52" s="107">
        <f t="shared" si="74"/>
      </c>
      <c r="EL52" s="292">
        <f t="shared" si="74"/>
      </c>
      <c r="EM52" s="291">
        <f t="shared" si="74"/>
      </c>
      <c r="EN52" s="107">
        <f t="shared" si="74"/>
      </c>
      <c r="EO52" s="107">
        <f t="shared" si="74"/>
      </c>
      <c r="EP52" s="107">
        <f t="shared" si="74"/>
      </c>
      <c r="EQ52" s="292">
        <f t="shared" si="74"/>
      </c>
      <c r="ER52" s="291">
        <f t="shared" si="74"/>
      </c>
      <c r="ES52" s="107">
        <f t="shared" si="74"/>
      </c>
      <c r="ET52" s="107">
        <f t="shared" si="74"/>
      </c>
      <c r="EU52" s="107">
        <f t="shared" si="74"/>
      </c>
      <c r="EV52" s="292">
        <f t="shared" si="74"/>
      </c>
      <c r="EW52" s="291">
        <f t="shared" si="74"/>
      </c>
      <c r="EX52" s="291">
        <f t="shared" si="74"/>
      </c>
      <c r="EY52" s="107">
        <f t="shared" si="74"/>
      </c>
      <c r="EZ52" s="107">
        <f t="shared" si="74"/>
      </c>
      <c r="FA52" s="292">
        <f t="shared" si="74"/>
      </c>
      <c r="FB52" s="291">
        <f t="shared" si="74"/>
      </c>
      <c r="FC52" s="107">
        <f t="shared" si="74"/>
      </c>
      <c r="FD52" s="107">
        <f t="shared" si="74"/>
      </c>
      <c r="FE52" s="107">
        <f t="shared" si="74"/>
      </c>
      <c r="FF52" s="292">
        <f t="shared" si="74"/>
      </c>
      <c r="FG52" s="291">
        <f t="shared" si="74"/>
      </c>
      <c r="FH52" s="107">
        <f t="shared" si="74"/>
      </c>
      <c r="FI52" s="107">
        <f t="shared" si="74"/>
      </c>
      <c r="FJ52" s="107">
        <f t="shared" si="74"/>
      </c>
      <c r="FK52" s="292">
        <f t="shared" ref="FK52:GE52" si="75">IFERROR(FK51/FF51-1,"")</f>
      </c>
      <c r="FL52" s="291">
        <f t="shared" si="75"/>
      </c>
      <c r="FM52" s="107">
        <f t="shared" si="75"/>
      </c>
      <c r="FN52" s="107">
        <f t="shared" si="75"/>
      </c>
      <c r="FO52" s="107">
        <f t="shared" si="75"/>
      </c>
      <c r="FP52" s="292">
        <f t="shared" si="75"/>
      </c>
      <c r="FQ52" s="291">
        <f t="shared" si="75"/>
      </c>
      <c r="FR52" s="107">
        <f t="shared" si="75"/>
      </c>
      <c r="FS52" s="107">
        <f t="shared" si="75"/>
      </c>
      <c r="FT52" s="107">
        <f t="shared" si="75"/>
      </c>
      <c r="FU52" s="292">
        <f t="shared" si="75"/>
      </c>
      <c r="FV52" s="291">
        <f t="shared" si="75"/>
      </c>
      <c r="FW52" s="107">
        <f t="shared" si="75"/>
      </c>
      <c r="FX52" s="107">
        <f t="shared" si="75"/>
      </c>
      <c r="FY52" s="107">
        <f t="shared" si="75"/>
      </c>
      <c r="FZ52" s="292">
        <f t="shared" si="75"/>
      </c>
      <c r="GA52" s="291">
        <f t="shared" si="75"/>
      </c>
      <c r="GB52" s="107">
        <f t="shared" si="75"/>
      </c>
      <c r="GC52" s="107">
        <f t="shared" si="75"/>
      </c>
      <c r="GD52" s="107">
        <f t="shared" si="75"/>
      </c>
      <c r="GE52" s="292">
        <f t="shared" si="75"/>
      </c>
      <c r="GF52" s="291">
        <f t="shared" ref="GF52" si="76">IFERROR(GF51/GA51-1,"")</f>
      </c>
      <c r="GG52" s="107">
        <f t="shared" ref="GG52" si="77">IFERROR(GG51/GB51-1,"")</f>
      </c>
      <c r="GH52" s="107">
        <f t="shared" ref="GH52" si="78">IFERROR(GH51/GC51-1,"")</f>
      </c>
      <c r="GI52" s="107">
        <f t="shared" ref="GI52" si="79">IFERROR(GI51/GD51-1,"")</f>
      </c>
      <c r="GJ52" s="292">
        <f t="shared" ref="GJ52" si="80">IFERROR(GJ51/GE51-1,"")</f>
      </c>
    </row>
    <row r="53" spans="1:192" ht="12.75" hidden="1" customHeight="1" outlineLevel="1">
      <c r="A53" s="68" t="s">
        <v>383</v>
      </c>
      <c r="B53" s="617" t="s">
        <v>36</v>
      </c>
      <c r="C53" s="291"/>
      <c r="D53" s="137"/>
      <c r="E53" s="137"/>
      <c r="F53" s="137"/>
      <c r="G53" s="538"/>
      <c r="H53" s="291"/>
      <c r="I53" s="107"/>
      <c r="J53" s="107"/>
      <c r="K53" s="107"/>
      <c r="L53" s="293"/>
      <c r="M53" s="291"/>
      <c r="N53" s="107"/>
      <c r="O53" s="107"/>
      <c r="P53" s="107"/>
      <c r="Q53" s="293"/>
      <c r="R53" s="291"/>
      <c r="S53" s="107"/>
      <c r="T53" s="107"/>
      <c r="U53" s="107"/>
      <c r="V53" s="293"/>
      <c r="W53" s="291"/>
      <c r="X53" s="107"/>
      <c r="Y53" s="107"/>
      <c r="Z53" s="107"/>
      <c r="AA53" s="293"/>
      <c r="AB53" s="291"/>
      <c r="AC53" s="107"/>
      <c r="AD53" s="107"/>
      <c r="AE53" s="107"/>
      <c r="AF53" s="293"/>
      <c r="AG53" s="291"/>
      <c r="AH53" s="107"/>
      <c r="AI53" s="107"/>
      <c r="AJ53" s="107"/>
      <c r="AK53" s="293"/>
      <c r="AL53" s="291"/>
      <c r="AM53" s="107"/>
      <c r="AN53" s="107"/>
      <c r="AO53" s="107"/>
      <c r="AP53" s="293"/>
      <c r="AQ53" s="291"/>
      <c r="AR53" s="107"/>
      <c r="AS53" s="107"/>
      <c r="AT53" s="107"/>
      <c r="AU53" s="293"/>
      <c r="AV53" s="291"/>
      <c r="AW53" s="107"/>
      <c r="AX53" s="107"/>
      <c r="AY53" s="107"/>
      <c r="AZ53" s="293"/>
      <c r="BA53" s="291"/>
      <c r="BB53" s="107"/>
      <c r="BC53" s="107"/>
      <c r="BD53" s="107"/>
      <c r="BE53" s="293"/>
      <c r="BF53" s="291"/>
      <c r="BG53" s="107"/>
      <c r="BH53" s="107"/>
      <c r="BI53" s="107"/>
      <c r="BJ53" s="293"/>
      <c r="BK53" s="291"/>
      <c r="BL53" s="107"/>
      <c r="BM53" s="107"/>
      <c r="BN53" s="107"/>
      <c r="BO53" s="293"/>
      <c r="BP53" s="291"/>
      <c r="BQ53" s="107"/>
      <c r="BR53" s="107"/>
      <c r="BS53" s="107"/>
      <c r="BT53" s="293"/>
      <c r="BU53" s="291"/>
      <c r="BV53" s="107"/>
      <c r="BW53" s="107"/>
      <c r="BX53" s="107"/>
      <c r="BY53" s="293"/>
      <c r="BZ53" s="291"/>
      <c r="CA53" s="107"/>
      <c r="CB53" s="107"/>
      <c r="CC53" s="107"/>
      <c r="CD53" s="293"/>
      <c r="CE53" s="291"/>
      <c r="CF53" s="107"/>
      <c r="CG53" s="107"/>
      <c r="CH53" s="107"/>
      <c r="CI53" s="293"/>
      <c r="CJ53" s="291"/>
      <c r="CK53" s="107"/>
      <c r="CL53" s="107"/>
      <c r="CM53" s="107"/>
      <c r="CN53" s="293"/>
      <c r="CO53" s="291"/>
      <c r="CP53" s="107"/>
      <c r="CQ53" s="107"/>
      <c r="CR53" s="107"/>
      <c r="CS53" s="293"/>
      <c r="CT53" s="291"/>
      <c r="CU53" s="107"/>
      <c r="CV53" s="107"/>
      <c r="CW53" s="107"/>
      <c r="CX53" s="293"/>
      <c r="CY53" s="291" t="str">
        <f>IFERROR(CY51/CW51-1,"")</f>
      </c>
      <c r="CZ53" s="107">
        <f>IFERROR(CZ51/CY51-1,"")</f>
      </c>
      <c r="DA53" s="107">
        <f>IFERROR(DA51/CZ51-1,"")</f>
      </c>
      <c r="DB53" s="107">
        <f>IFERROR(DB51/DA51-1,"")</f>
      </c>
      <c r="DC53" s="293"/>
      <c r="DD53" s="291">
        <f>IFERROR(DD51/DB51-1,"")</f>
      </c>
      <c r="DE53" s="107">
        <f>IFERROR(DE51/DD51-1,"")</f>
      </c>
      <c r="DF53" s="107">
        <f>IFERROR(DF51/DE51-1,"")</f>
      </c>
      <c r="DG53" s="107">
        <f>IFERROR(DG51/DF51-1,"")</f>
      </c>
      <c r="DH53" s="293"/>
      <c r="DI53" s="291">
        <f>IFERROR(DI51/DG51-1,"")</f>
      </c>
      <c r="DJ53" s="107">
        <f>IFERROR(DJ51/DI51-1,"")</f>
      </c>
      <c r="DK53" s="107">
        <f>IFERROR(DK51/DJ51-1,"")</f>
      </c>
      <c r="DL53" s="107">
        <f>IFERROR(DL51/DK51-1,"")</f>
      </c>
      <c r="DM53" s="293"/>
      <c r="DN53" s="291">
        <f>IFERROR(DN51/DL51-1,"")</f>
      </c>
      <c r="DO53" s="107">
        <f>IFERROR(DO51/DN51-1,"")</f>
      </c>
      <c r="DP53" s="107">
        <f>IFERROR(DP51/DO51-1,"")</f>
      </c>
      <c r="DQ53" s="107">
        <f>IFERROR(DQ51/DP51-1,"")</f>
      </c>
      <c r="DR53" s="293"/>
      <c r="DS53" s="291">
        <f>IFERROR(DS51/DQ51-1,"")</f>
      </c>
      <c r="DT53" s="107">
        <f>IFERROR(DT51/DS51-1,"")</f>
      </c>
      <c r="DU53" s="107">
        <f>IFERROR(DU51/DT51-1,"")</f>
      </c>
      <c r="DV53" s="107">
        <f>IFERROR(DV51/DU51-1,"")</f>
      </c>
      <c r="DW53" s="293"/>
      <c r="DX53" s="291">
        <f>IFERROR(DX51/DV51-1,"")</f>
      </c>
      <c r="DY53" s="107">
        <f>IFERROR(DY51/DX51-1,"")</f>
      </c>
      <c r="DZ53" s="107">
        <f>IFERROR(DZ51/DY51-1,"")</f>
      </c>
      <c r="EA53" s="107">
        <f>IFERROR(EA51/DZ51-1,"")</f>
      </c>
      <c r="EB53" s="293"/>
      <c r="EC53" s="291">
        <f>IFERROR(EC51/EA51-1,"")</f>
      </c>
      <c r="ED53" s="107">
        <f>IFERROR(ED51/EC51-1,"")</f>
      </c>
      <c r="EE53" s="107">
        <f>IFERROR(EE51/ED51-1,"")</f>
      </c>
      <c r="EF53" s="107">
        <f>IFERROR(EF51/EE51-1,"")</f>
      </c>
      <c r="EG53" s="293"/>
      <c r="EH53" s="291">
        <f>IFERROR(EH51/EF51-1,"")</f>
      </c>
      <c r="EI53" s="107">
        <f>IFERROR(EI51/EH51-1,"")</f>
      </c>
      <c r="EJ53" s="107">
        <f>IFERROR(EJ51/EI51-1,"")</f>
      </c>
      <c r="EK53" s="107">
        <f>IFERROR(EK51/EJ51-1,"")</f>
      </c>
      <c r="EL53" s="293"/>
      <c r="EM53" s="291">
        <f>IFERROR(EM51/EK51-1,"")</f>
      </c>
      <c r="EN53" s="107">
        <f>IFERROR(EN51/EM51-1,"")</f>
      </c>
      <c r="EO53" s="107">
        <f>IFERROR(EO51/EN51-1,"")</f>
      </c>
      <c r="EP53" s="107">
        <f>IFERROR(EP51/EO51-1,"")</f>
      </c>
      <c r="EQ53" s="293"/>
      <c r="ER53" s="291">
        <f>IFERROR(ER51/EP51-1,"")</f>
      </c>
      <c r="ES53" s="107">
        <f>IFERROR(ES51/ER51-1,"")</f>
      </c>
      <c r="ET53" s="107">
        <f>IFERROR(ET51/ES51-1,"")</f>
      </c>
      <c r="EU53" s="107">
        <f>IFERROR(EU51/ET51-1,"")</f>
      </c>
      <c r="EV53" s="293"/>
      <c r="EW53" s="291">
        <f>IFERROR(EW51/EU51-1,"")</f>
      </c>
      <c r="EX53" s="291">
        <f>IFERROR(EX51/EV51-1,"")</f>
      </c>
      <c r="EY53" s="107">
        <f>IFERROR(EY51/EX51-1,"")</f>
      </c>
      <c r="EZ53" s="107">
        <f>IFERROR(EZ51/EY51-1,"")</f>
      </c>
      <c r="FA53" s="293"/>
      <c r="FB53" s="291">
        <f>IFERROR(FB51/EZ51-1,"")</f>
      </c>
      <c r="FC53" s="107">
        <f>IFERROR(FC51/FB51-1,"")</f>
      </c>
      <c r="FD53" s="107">
        <f>IFERROR(FD51/FC51-1,"")</f>
      </c>
      <c r="FE53" s="107">
        <f>IFERROR(FE51/FD51-1,"")</f>
      </c>
      <c r="FF53" s="293"/>
      <c r="FG53" s="291">
        <f>IFERROR(FG51/FE51-1,"")</f>
      </c>
      <c r="FH53" s="107">
        <f>IFERROR(FH51/FG51-1,"")</f>
      </c>
      <c r="FI53" s="107">
        <f>IFERROR(FI51/FH51-1,"")</f>
      </c>
      <c r="FJ53" s="107">
        <f>IFERROR(FJ51/FI51-1,"")</f>
      </c>
      <c r="FK53" s="293"/>
      <c r="FL53" s="291">
        <f>IFERROR(FL51/FJ51-1,"")</f>
      </c>
      <c r="FM53" s="107">
        <f>IFERROR(FM51/FL51-1,"")</f>
      </c>
      <c r="FN53" s="107">
        <f>IFERROR(FN51/FM51-1,"")</f>
      </c>
      <c r="FO53" s="107">
        <f>IFERROR(FO51/FN51-1,"")</f>
      </c>
      <c r="FP53" s="293"/>
      <c r="FQ53" s="291">
        <f>IFERROR(FQ51/FO51-1,"")</f>
      </c>
      <c r="FR53" s="107">
        <f>IFERROR(FR51/FQ51-1,"")</f>
      </c>
      <c r="FS53" s="107">
        <f>IFERROR(FS51/FR51-1,"")</f>
      </c>
      <c r="FT53" s="107">
        <f>IFERROR(FT51/FS51-1,"")</f>
      </c>
      <c r="FU53" s="293"/>
      <c r="FV53" s="291">
        <f>IFERROR(FV51/FT51-1,"")</f>
      </c>
      <c r="FW53" s="107">
        <f>IFERROR(FW51/FV51-1,"")</f>
      </c>
      <c r="FX53" s="107">
        <f>IFERROR(FX51/FW51-1,"")</f>
      </c>
      <c r="FY53" s="107">
        <f>IFERROR(FY51/FX51-1,"")</f>
      </c>
      <c r="FZ53" s="293"/>
      <c r="GA53" s="291">
        <f>IFERROR(GA51/FY51-1,"")</f>
      </c>
      <c r="GB53" s="107">
        <f>IFERROR(GB51/GA51-1,"")</f>
      </c>
      <c r="GC53" s="107">
        <f>IFERROR(GC51/GB51-1,"")</f>
      </c>
      <c r="GD53" s="107">
        <f>IFERROR(GD51/GC51-1,"")</f>
      </c>
      <c r="GE53" s="293"/>
      <c r="GF53" s="291">
        <f>IFERROR(GF51/GD51-1,"")</f>
      </c>
      <c r="GG53" s="107">
        <f>IFERROR(GG51/GF51-1,"")</f>
      </c>
      <c r="GH53" s="107">
        <f>IFERROR(GH51/GG51-1,"")</f>
      </c>
      <c r="GI53" s="107">
        <f>IFERROR(GI51/GH51-1,"")</f>
      </c>
      <c r="GJ53" s="293"/>
    </row>
    <row r="54" spans="1:192" s="1200" customFormat="1" ht="12.75" hidden="1" customHeight="1" outlineLevel="1">
      <c r="A54" s="1272"/>
      <c r="B54" s="618" t="s">
        <v>259</v>
      </c>
      <c r="C54" s="920"/>
      <c r="D54" s="920"/>
      <c r="E54" s="920"/>
      <c r="F54" s="920"/>
      <c r="G54" s="1248"/>
      <c r="H54" s="920"/>
      <c r="I54" s="920"/>
      <c r="J54" s="920"/>
      <c r="K54" s="920"/>
      <c r="L54" s="1248"/>
      <c r="M54" s="920"/>
      <c r="N54" s="920"/>
      <c r="O54" s="920"/>
      <c r="P54" s="920"/>
      <c r="Q54" s="1248"/>
      <c r="R54" s="920"/>
      <c r="S54" s="920"/>
      <c r="T54" s="920"/>
      <c r="U54" s="920"/>
      <c r="V54" s="1248"/>
      <c r="W54" s="920"/>
      <c r="X54" s="920"/>
      <c r="Y54" s="920"/>
      <c r="Z54" s="920"/>
      <c r="AA54" s="1248"/>
      <c r="AB54" s="920"/>
      <c r="AC54" s="920"/>
      <c r="AD54" s="920"/>
      <c r="AE54" s="920"/>
      <c r="AF54" s="1248"/>
      <c r="AG54" s="920"/>
      <c r="AH54" s="920"/>
      <c r="AI54" s="920"/>
      <c r="AJ54" s="920"/>
      <c r="AK54" s="1248"/>
      <c r="AL54" s="920"/>
      <c r="AM54" s="920"/>
      <c r="AN54" s="920"/>
      <c r="AO54" s="920"/>
      <c r="AP54" s="1248"/>
      <c r="AQ54" s="920"/>
      <c r="AR54" s="920"/>
      <c r="AS54" s="920"/>
      <c r="AT54" s="920"/>
      <c r="AU54" s="1248"/>
      <c r="AV54" s="920"/>
      <c r="AW54" s="920"/>
      <c r="AX54" s="920"/>
      <c r="AY54" s="920"/>
      <c r="AZ54" s="1248"/>
      <c r="BA54" s="920"/>
      <c r="BB54" s="920"/>
      <c r="BC54" s="920"/>
      <c r="BD54" s="920"/>
      <c r="BE54" s="1248"/>
      <c r="BF54" s="920"/>
      <c r="BG54" s="920"/>
      <c r="BH54" s="920"/>
      <c r="BI54" s="920"/>
      <c r="BJ54" s="1248"/>
      <c r="BK54" s="920"/>
      <c r="BL54" s="920"/>
      <c r="BM54" s="920"/>
      <c r="BN54" s="920"/>
      <c r="BO54" s="1248"/>
      <c r="BP54" s="920"/>
      <c r="BQ54" s="920"/>
      <c r="BR54" s="920"/>
      <c r="BS54" s="920"/>
      <c r="BT54" s="1248"/>
      <c r="BU54" s="920"/>
      <c r="BV54" s="920"/>
      <c r="BW54" s="920"/>
      <c r="BX54" s="920"/>
      <c r="BY54" s="1248"/>
      <c r="BZ54" s="920"/>
      <c r="CA54" s="920"/>
      <c r="CB54" s="920"/>
      <c r="CC54" s="920"/>
      <c r="CD54" s="1248"/>
      <c r="CE54" s="920"/>
      <c r="CF54" s="920"/>
      <c r="CG54" s="920"/>
      <c r="CH54" s="920"/>
      <c r="CI54" s="1248"/>
      <c r="CJ54" s="920"/>
      <c r="CK54" s="920"/>
      <c r="CL54" s="920"/>
      <c r="CM54" s="920"/>
      <c r="CN54" s="1248"/>
      <c r="CO54" s="920"/>
      <c r="CP54" s="920"/>
      <c r="CQ54" s="920"/>
      <c r="CR54" s="920"/>
      <c r="CS54" s="1248"/>
      <c r="CT54" s="920"/>
      <c r="CU54" s="920"/>
      <c r="CV54" s="920"/>
      <c r="CW54" s="920"/>
      <c r="CX54" s="1248"/>
      <c r="CY54" s="1334">
        <f>PBP!CY63</f>
      </c>
      <c r="CZ54" s="1334">
        <f>PBP!CZ63</f>
      </c>
      <c r="DA54" s="1334">
        <f>PBP!DA63</f>
      </c>
      <c r="DB54" s="1334">
        <f>PBP!DB63</f>
      </c>
      <c r="DC54" s="1335">
        <f>PBP!DC63</f>
      </c>
      <c r="DD54" s="1334">
        <f>PBP!DD63</f>
      </c>
      <c r="DE54" s="1334">
        <f>PBP!DE63</f>
      </c>
      <c r="DF54" s="1334">
        <f>PBP!DF63</f>
      </c>
      <c r="DG54" s="1334">
        <f>PBP!DG63</f>
      </c>
      <c r="DH54" s="1335">
        <f>PBP!DH63</f>
      </c>
      <c r="DI54" s="1334">
        <f>PBP!DI63</f>
      </c>
      <c r="DJ54" s="1334">
        <f>PBP!DJ63</f>
      </c>
      <c r="DK54" s="1334">
        <f>PBP!DK63</f>
      </c>
      <c r="DL54" s="1334">
        <f>PBP!DL63</f>
      </c>
      <c r="DM54" s="1335">
        <f>PBP!DM63</f>
      </c>
      <c r="DN54" s="1334">
        <f>PBP!DN63</f>
      </c>
      <c r="DO54" s="1334">
        <f>PBP!DO63</f>
      </c>
      <c r="DP54" s="1334">
        <f>PBP!DP63</f>
      </c>
      <c r="DQ54" s="1334">
        <f>PBP!DQ63</f>
      </c>
      <c r="DR54" s="1335">
        <f>PBP!DR63</f>
      </c>
      <c r="DS54" s="1334">
        <f>PBP!DS63</f>
      </c>
      <c r="DT54" s="1334">
        <f>PBP!DT63</f>
      </c>
      <c r="DU54" s="1334">
        <f>PBP!DU63</f>
      </c>
      <c r="DV54" s="1334">
        <f>PBP!DV63</f>
      </c>
      <c r="DW54" s="1335">
        <f>PBP!DW63</f>
      </c>
      <c r="DX54" s="1334">
        <f>PBP!DX63</f>
      </c>
      <c r="DY54" s="1334">
        <f>PBP!DY63</f>
      </c>
      <c r="DZ54" s="1334">
        <f>PBP!DZ63</f>
      </c>
      <c r="EA54" s="1334">
        <f>PBP!EA63</f>
      </c>
      <c r="EB54" s="1335">
        <f>PBP!EB63</f>
      </c>
      <c r="EC54" s="1334">
        <f>PBP!EC63</f>
      </c>
      <c r="ED54" s="1334">
        <f>PBP!ED63</f>
      </c>
      <c r="EE54" s="1334">
        <f>PBP!EE63</f>
      </c>
      <c r="EF54" s="1334">
        <f>PBP!EF63</f>
      </c>
      <c r="EG54" s="1335">
        <f>PBP!EG63</f>
      </c>
      <c r="EH54" s="1334">
        <f>PBP!EH63</f>
      </c>
      <c r="EI54" s="1334">
        <f>PBP!EI63</f>
      </c>
      <c r="EJ54" s="1334">
        <f>PBP!EJ63</f>
      </c>
      <c r="EK54" s="1334">
        <f>PBP!EK63</f>
      </c>
      <c r="EL54" s="1335">
        <f>PBP!EL63</f>
      </c>
      <c r="EM54" s="1334">
        <f>PBP!EM63</f>
      </c>
      <c r="EN54" s="1334">
        <f>PBP!EN63</f>
      </c>
      <c r="EO54" s="1334">
        <f>PBP!EO63</f>
      </c>
      <c r="EP54" s="1334">
        <f>PBP!EP63</f>
      </c>
      <c r="EQ54" s="1335">
        <f>PBP!EQ63</f>
      </c>
      <c r="ER54" s="1334">
        <f>PBP!ER28</f>
      </c>
      <c r="ES54" s="1334">
        <f>PBP!ES28</f>
      </c>
      <c r="ET54" s="1334">
        <f>PBP!ET28</f>
      </c>
      <c r="EU54" s="1334">
        <f>PBP!EU28</f>
      </c>
      <c r="EV54" s="1335">
        <f>PBP!EV28</f>
      </c>
      <c r="EW54" s="1334">
        <f>PBP!EW28</f>
      </c>
      <c r="EX54" s="1334">
        <f>PBP!EX28</f>
      </c>
      <c r="EY54" s="1334">
        <f>PBP!EY28</f>
      </c>
      <c r="EZ54" s="1334">
        <f>PBP!EZ28</f>
      </c>
      <c r="FA54" s="1335">
        <f>PBP!FA28</f>
      </c>
      <c r="FB54" s="1334">
        <f>PBP!FB28</f>
      </c>
      <c r="FC54" s="1334">
        <f>PBP!FC28</f>
      </c>
      <c r="FD54" s="1334">
        <f>PBP!FD28</f>
      </c>
      <c r="FE54" s="1334">
        <f>PBP!FE28</f>
      </c>
      <c r="FF54" s="1335">
        <f>PBP!FF28</f>
      </c>
      <c r="FG54" s="1334">
        <f>PBP!FG28</f>
      </c>
      <c r="FH54" s="1334">
        <f>PBP!FH28</f>
      </c>
      <c r="FI54" s="1334">
        <f>PBP!FI28</f>
      </c>
      <c r="FJ54" s="1334">
        <f>PBP!FJ28</f>
      </c>
      <c r="FK54" s="1335">
        <f>PBP!FK28</f>
      </c>
      <c r="FL54" s="1334">
        <f>PBP!FL28</f>
      </c>
      <c r="FM54" s="1334">
        <f>PBP!FM28</f>
      </c>
      <c r="FN54" s="1334">
        <f>PBP!FN28</f>
      </c>
      <c r="FO54" s="1334">
        <f>PBP!FO28</f>
      </c>
      <c r="FP54" s="1335">
        <f>PBP!FP28</f>
      </c>
      <c r="FQ54" s="1334">
        <f>PBP!FQ28</f>
      </c>
      <c r="FR54" s="1334">
        <f>PBP!FR28</f>
      </c>
      <c r="FS54" s="1334">
        <f>PBP!FS28</f>
      </c>
      <c r="FT54" s="1334">
        <f>PBP!FT28</f>
      </c>
      <c r="FU54" s="1335">
        <f>PBP!FU28</f>
      </c>
      <c r="FV54" s="1334">
        <f>PBP!FV28</f>
      </c>
      <c r="FW54" s="1334">
        <f>PBP!FW28</f>
      </c>
      <c r="FX54" s="1334">
        <f>PBP!FX28</f>
      </c>
      <c r="FY54" s="1334">
        <f>PBP!FY28</f>
      </c>
      <c r="FZ54" s="1335">
        <f>PBP!FZ28</f>
      </c>
      <c r="GA54" s="1334">
        <f>PBP!GA28</f>
      </c>
      <c r="GB54" s="1334">
        <f>PBP!GB28</f>
      </c>
      <c r="GC54" s="1334">
        <f>PBP!GC28</f>
      </c>
      <c r="GD54" s="1334">
        <f>PBP!GD28</f>
      </c>
      <c r="GE54" s="1335">
        <f>PBP!GE28</f>
      </c>
      <c r="GF54" s="1334">
        <f>PBP!GF28</f>
      </c>
      <c r="GG54" s="1334">
        <f>PBP!GG28</f>
      </c>
      <c r="GH54" s="1334">
        <f>PBP!GH28</f>
      </c>
      <c r="GI54" s="1334">
        <f>PBP!GI28</f>
      </c>
      <c r="GJ54" s="1335">
        <f>PBP!GJ28</f>
      </c>
    </row>
    <row r="55" spans="1:192" ht="12.75" hidden="1" customHeight="1" outlineLevel="1">
      <c r="B55" s="617"/>
      <c r="C55" s="470"/>
      <c r="D55" s="463"/>
      <c r="E55" s="463"/>
      <c r="F55" s="463"/>
      <c r="G55" s="293"/>
      <c r="H55" s="470"/>
      <c r="I55" s="463"/>
      <c r="J55" s="463"/>
      <c r="K55" s="463"/>
      <c r="L55" s="293"/>
      <c r="M55" s="470"/>
      <c r="N55" s="463"/>
      <c r="O55" s="463"/>
      <c r="P55" s="463"/>
      <c r="Q55" s="293"/>
      <c r="R55" s="470"/>
      <c r="S55" s="463"/>
      <c r="T55" s="463"/>
      <c r="U55" s="463"/>
      <c r="V55" s="293"/>
      <c r="W55" s="470"/>
      <c r="X55" s="463"/>
      <c r="Y55" s="463"/>
      <c r="Z55" s="463"/>
      <c r="AA55" s="293"/>
      <c r="AB55" s="470"/>
      <c r="AC55" s="463"/>
      <c r="AD55" s="463"/>
      <c r="AE55" s="463"/>
      <c r="AF55" s="293"/>
      <c r="AG55" s="470"/>
      <c r="AH55" s="463"/>
      <c r="AI55" s="463"/>
      <c r="AJ55" s="463"/>
      <c r="AK55" s="293"/>
      <c r="AL55" s="470"/>
      <c r="AM55" s="463"/>
      <c r="AN55" s="463"/>
      <c r="AO55" s="463"/>
      <c r="AP55" s="293"/>
      <c r="AQ55" s="470"/>
      <c r="AR55" s="463"/>
      <c r="AS55" s="463"/>
      <c r="AT55" s="463"/>
      <c r="AU55" s="293"/>
      <c r="AV55" s="470"/>
      <c r="AW55" s="463"/>
      <c r="AX55" s="463"/>
      <c r="AY55" s="463"/>
      <c r="AZ55" s="293"/>
      <c r="BA55" s="470"/>
      <c r="BB55" s="463"/>
      <c r="BC55" s="463"/>
      <c r="BD55" s="463"/>
      <c r="BE55" s="293"/>
      <c r="BF55" s="470"/>
      <c r="BG55" s="463"/>
      <c r="BH55" s="463"/>
      <c r="BI55" s="463"/>
      <c r="BJ55" s="293"/>
      <c r="BK55" s="470"/>
      <c r="BL55" s="463"/>
      <c r="BM55" s="463"/>
      <c r="BN55" s="463"/>
      <c r="BO55" s="293"/>
      <c r="BP55" s="470"/>
      <c r="BQ55" s="463"/>
      <c r="BR55" s="463"/>
      <c r="BS55" s="463"/>
      <c r="BT55" s="293"/>
      <c r="BU55" s="470"/>
      <c r="BV55" s="463"/>
      <c r="BW55" s="463"/>
      <c r="BX55" s="463"/>
      <c r="BY55" s="293"/>
      <c r="BZ55" s="470"/>
      <c r="CA55" s="463"/>
      <c r="CB55" s="463"/>
      <c r="CC55" s="463"/>
      <c r="CD55" s="293"/>
      <c r="CE55" s="470"/>
      <c r="CF55" s="463"/>
      <c r="CG55" s="463"/>
      <c r="CH55" s="463"/>
      <c r="CI55" s="293"/>
      <c r="CJ55" s="470"/>
      <c r="CK55" s="463"/>
      <c r="CL55" s="463"/>
      <c r="CM55" s="463"/>
      <c r="CN55" s="293"/>
      <c r="CO55" s="470"/>
      <c r="CP55" s="463"/>
      <c r="CQ55" s="463"/>
      <c r="CR55" s="463"/>
      <c r="CS55" s="293"/>
      <c r="CT55" s="470"/>
      <c r="CU55" s="463"/>
      <c r="CV55" s="463"/>
      <c r="CW55" s="463"/>
      <c r="CX55" s="293"/>
      <c r="CY55" s="470"/>
      <c r="CZ55" s="463"/>
      <c r="DA55" s="463"/>
      <c r="DB55" s="463"/>
      <c r="DC55" s="293"/>
      <c r="DD55" s="470"/>
      <c r="DE55" s="463"/>
      <c r="DF55" s="463"/>
      <c r="DG55" s="463"/>
      <c r="DH55" s="293"/>
      <c r="DI55" s="470"/>
      <c r="DJ55" s="463"/>
      <c r="DK55" s="463"/>
      <c r="DL55" s="463"/>
      <c r="DM55" s="293"/>
      <c r="DN55" s="470"/>
      <c r="DO55" s="463"/>
      <c r="DP55" s="463"/>
      <c r="DQ55" s="463"/>
      <c r="DR55" s="293"/>
      <c r="DS55" s="470"/>
      <c r="DT55" s="463"/>
      <c r="DU55" s="463"/>
      <c r="DV55" s="463"/>
      <c r="DW55" s="293"/>
      <c r="DX55" s="470"/>
      <c r="DY55" s="463"/>
      <c r="DZ55" s="463"/>
      <c r="EA55" s="463"/>
      <c r="EB55" s="293"/>
      <c r="EC55" s="470"/>
      <c r="ED55" s="463"/>
      <c r="EE55" s="463"/>
      <c r="EF55" s="463"/>
      <c r="EG55" s="293"/>
      <c r="EH55" s="470"/>
      <c r="EI55" s="463"/>
      <c r="EJ55" s="463"/>
      <c r="EK55" s="463"/>
      <c r="EL55" s="293"/>
      <c r="EM55" s="470"/>
      <c r="EN55" s="463"/>
      <c r="EO55" s="463"/>
      <c r="EP55" s="463"/>
      <c r="EQ55" s="293"/>
      <c r="ER55" s="470"/>
      <c r="ES55" s="463"/>
      <c r="ET55" s="463"/>
      <c r="EU55" s="463"/>
      <c r="EV55" s="293"/>
      <c r="EW55" s="470"/>
      <c r="EX55" s="470"/>
      <c r="EY55" s="463"/>
      <c r="EZ55" s="463"/>
      <c r="FA55" s="293"/>
      <c r="FB55" s="470"/>
      <c r="FC55" s="463"/>
      <c r="FD55" s="463"/>
      <c r="FE55" s="463"/>
      <c r="FF55" s="293"/>
      <c r="FG55" s="470"/>
      <c r="FH55" s="463"/>
      <c r="FI55" s="463"/>
      <c r="FJ55" s="463"/>
      <c r="FK55" s="293"/>
      <c r="FL55" s="470"/>
      <c r="FM55" s="463"/>
      <c r="FN55" s="463"/>
      <c r="FO55" s="463"/>
      <c r="FP55" s="293"/>
      <c r="FQ55" s="470"/>
      <c r="FR55" s="463"/>
      <c r="FS55" s="463"/>
      <c r="FT55" s="463"/>
      <c r="FU55" s="293"/>
      <c r="FV55" s="470"/>
      <c r="FW55" s="463"/>
      <c r="FX55" s="463"/>
      <c r="FY55" s="463"/>
      <c r="FZ55" s="293"/>
      <c r="GA55" s="470"/>
      <c r="GB55" s="463"/>
      <c r="GC55" s="463"/>
      <c r="GD55" s="463"/>
      <c r="GE55" s="293"/>
      <c r="GF55" s="470"/>
      <c r="GG55" s="463"/>
      <c r="GH55" s="463"/>
      <c r="GI55" s="463"/>
      <c r="GJ55" s="293"/>
    </row>
    <row r="56" spans="1:192" s="461" customFormat="1" ht="12.75" hidden="1" customHeight="1" outlineLevel="1">
      <c r="A56" s="68" t="s">
        <v>381</v>
      </c>
      <c r="B56" s="625" t="s">
        <v>264</v>
      </c>
      <c r="C56" s="624"/>
      <c r="D56" s="624"/>
      <c r="E56" s="624"/>
      <c r="F56" s="624"/>
      <c r="G56" s="622"/>
      <c r="H56" s="624"/>
      <c r="I56" s="624"/>
      <c r="J56" s="624"/>
      <c r="K56" s="624"/>
      <c r="L56" s="622"/>
      <c r="M56" s="624"/>
      <c r="N56" s="624"/>
      <c r="O56" s="624"/>
      <c r="P56" s="624"/>
      <c r="Q56" s="622"/>
      <c r="R56" s="624"/>
      <c r="S56" s="624"/>
      <c r="T56" s="624"/>
      <c r="U56" s="624"/>
      <c r="V56" s="622"/>
      <c r="W56" s="624"/>
      <c r="X56" s="624"/>
      <c r="Y56" s="624"/>
      <c r="Z56" s="624"/>
      <c r="AA56" s="622"/>
      <c r="AB56" s="624"/>
      <c r="AC56" s="624"/>
      <c r="AD56" s="624"/>
      <c r="AE56" s="624"/>
      <c r="AF56" s="622"/>
      <c r="AG56" s="624"/>
      <c r="AH56" s="624"/>
      <c r="AI56" s="624"/>
      <c r="AJ56" s="624"/>
      <c r="AK56" s="622"/>
      <c r="AL56" s="624"/>
      <c r="AM56" s="624"/>
      <c r="AN56" s="624"/>
      <c r="AO56" s="624"/>
      <c r="AP56" s="622"/>
      <c r="AQ56" s="624"/>
      <c r="AR56" s="624"/>
      <c r="AS56" s="624"/>
      <c r="AT56" s="624"/>
      <c r="AU56" s="622"/>
      <c r="AV56" s="624"/>
      <c r="AW56" s="624"/>
      <c r="AX56" s="624"/>
      <c r="AY56" s="624"/>
      <c r="AZ56" s="622"/>
      <c r="BA56" s="624"/>
      <c r="BB56" s="624"/>
      <c r="BC56" s="624"/>
      <c r="BD56" s="624"/>
      <c r="BE56" s="622"/>
      <c r="BF56" s="624"/>
      <c r="BG56" s="624"/>
      <c r="BH56" s="624"/>
      <c r="BI56" s="624"/>
      <c r="BJ56" s="622"/>
      <c r="BK56" s="624"/>
      <c r="BL56" s="624"/>
      <c r="BM56" s="624"/>
      <c r="BN56" s="624"/>
      <c r="BO56" s="622"/>
      <c r="BP56" s="624"/>
      <c r="BQ56" s="624"/>
      <c r="BR56" s="624"/>
      <c r="BS56" s="624"/>
      <c r="BT56" s="622"/>
      <c r="BU56" s="624"/>
      <c r="BV56" s="624"/>
      <c r="BW56" s="624"/>
      <c r="BX56" s="624"/>
      <c r="BY56" s="622"/>
      <c r="BZ56" s="624"/>
      <c r="CA56" s="624"/>
      <c r="CB56" s="624"/>
      <c r="CC56" s="624"/>
      <c r="CD56" s="622"/>
      <c r="CE56" s="624"/>
      <c r="CF56" s="624"/>
      <c r="CG56" s="624"/>
      <c r="CH56" s="624"/>
      <c r="CI56" s="622"/>
      <c r="CJ56" s="624"/>
      <c r="CK56" s="624"/>
      <c r="CL56" s="624"/>
      <c r="CM56" s="624"/>
      <c r="CN56" s="622"/>
      <c r="CO56" s="624"/>
      <c r="CP56" s="624"/>
      <c r="CQ56" s="624"/>
      <c r="CR56" s="624"/>
      <c r="CS56" s="622"/>
      <c r="CT56" s="624"/>
      <c r="CU56" s="624"/>
      <c r="CV56" s="624"/>
      <c r="CW56" s="624"/>
      <c r="CX56" s="622"/>
      <c r="CY56" s="820">
        <f>IC!CY58</f>
      </c>
      <c r="CZ56" s="820">
        <f>IC!CZ58</f>
      </c>
      <c r="DA56" s="820">
        <f>IC!DA58</f>
      </c>
      <c r="DB56" s="820">
        <f>IC!DB58</f>
      </c>
      <c r="DC56" s="830">
        <f>IC!DC58</f>
      </c>
      <c r="DD56" s="820">
        <f>IC!DD58</f>
      </c>
      <c r="DE56" s="820">
        <f>IC!DE58</f>
      </c>
      <c r="DF56" s="820">
        <f>IC!DF58</f>
      </c>
      <c r="DG56" s="820">
        <f>IC!DG58</f>
      </c>
      <c r="DH56" s="830">
        <f>IC!DH58</f>
      </c>
      <c r="DI56" s="820">
        <f>IC!DI58</f>
      </c>
      <c r="DJ56" s="820">
        <f>IC!DJ58</f>
      </c>
      <c r="DK56" s="820">
        <f>IC!DK58</f>
      </c>
      <c r="DL56" s="820">
        <f>IC!DL58</f>
      </c>
      <c r="DM56" s="830">
        <f>IC!DM58</f>
      </c>
      <c r="DN56" s="820">
        <f>IC!DN58</f>
      </c>
      <c r="DO56" s="820">
        <f>IC!DO58</f>
      </c>
      <c r="DP56" s="820">
        <f>IC!DP58</f>
      </c>
      <c r="DQ56" s="820">
        <f>IC!DQ58</f>
      </c>
      <c r="DR56" s="830">
        <f>IC!DR58</f>
      </c>
      <c r="DS56" s="820">
        <f>IC!DS58</f>
      </c>
      <c r="DT56" s="820">
        <f>IC!DT58</f>
      </c>
      <c r="DU56" s="820">
        <f>IC!DU58</f>
      </c>
      <c r="DV56" s="820">
        <f>IC!DV58</f>
      </c>
      <c r="DW56" s="830">
        <f>IC!DW58</f>
      </c>
      <c r="DX56" s="820">
        <f>IC!DX58</f>
      </c>
      <c r="DY56" s="820">
        <f>IC!DY58</f>
      </c>
      <c r="DZ56" s="820">
        <f>IC!DZ58</f>
      </c>
      <c r="EA56" s="820">
        <f>IC!EA58</f>
      </c>
      <c r="EB56" s="830">
        <f>IC!EB58</f>
      </c>
      <c r="EC56" s="820">
        <f>IC!EC58</f>
      </c>
      <c r="ED56" s="820">
        <f>IC!ED58</f>
      </c>
      <c r="EE56" s="820">
        <f>IC!EE58</f>
      </c>
      <c r="EF56" s="820">
        <f>IC!EF58</f>
      </c>
      <c r="EG56" s="830">
        <f>IC!EG58</f>
      </c>
      <c r="EH56" s="820">
        <f>IC!EH58</f>
      </c>
      <c r="EI56" s="820">
        <f>IC!EI58</f>
      </c>
      <c r="EJ56" s="820">
        <f>IC!EJ58</f>
      </c>
      <c r="EK56" s="820">
        <f>IC!EK58</f>
      </c>
      <c r="EL56" s="830">
        <f>IC!EL58</f>
      </c>
      <c r="EM56" s="820">
        <f>IC!EM58</f>
      </c>
      <c r="EN56" s="820">
        <f>IC!EN58</f>
      </c>
      <c r="EO56" s="820">
        <f>IC!EO58</f>
      </c>
      <c r="EP56" s="820">
        <f>IC!EP58</f>
      </c>
      <c r="EQ56" s="830">
        <f>IC!EQ58</f>
      </c>
      <c r="ER56" s="820">
        <f>IC!ER23</f>
      </c>
      <c r="ES56" s="820">
        <f>IC!ES23</f>
      </c>
      <c r="ET56" s="820">
        <f>IC!ET23</f>
      </c>
      <c r="EU56" s="820">
        <f>IC!EU23</f>
      </c>
      <c r="EV56" s="830">
        <f>IC!EV23</f>
      </c>
      <c r="EW56" s="820">
        <f>IC!EW23</f>
      </c>
      <c r="EX56" s="820">
        <f>IC!EX23</f>
      </c>
      <c r="EY56" s="820">
        <f>IC!EY23</f>
      </c>
      <c r="EZ56" s="820">
        <f>IC!EZ23</f>
      </c>
      <c r="FA56" s="830">
        <f>IC!FA23</f>
      </c>
      <c r="FB56" s="820">
        <f>IC!FB23</f>
      </c>
      <c r="FC56" s="820">
        <f>IC!FC23</f>
      </c>
      <c r="FD56" s="820">
        <f>IC!FD23</f>
      </c>
      <c r="FE56" s="820">
        <f>IC!FE23</f>
      </c>
      <c r="FF56" s="830">
        <f>IC!FF23</f>
      </c>
      <c r="FG56" s="820">
        <f>IC!FG23</f>
      </c>
      <c r="FH56" s="820">
        <f>IC!FH23</f>
      </c>
      <c r="FI56" s="820">
        <f>IC!FI23</f>
      </c>
      <c r="FJ56" s="820">
        <f>IC!FJ23</f>
      </c>
      <c r="FK56" s="830">
        <f>IC!FK23</f>
      </c>
      <c r="FL56" s="820">
        <f>IC!FL23</f>
      </c>
      <c r="FM56" s="820">
        <f>IC!FM23</f>
      </c>
      <c r="FN56" s="820">
        <f>IC!FN23</f>
      </c>
      <c r="FO56" s="820">
        <f>IC!FO23</f>
      </c>
      <c r="FP56" s="830">
        <f>IC!FP23</f>
      </c>
      <c r="FQ56" s="820">
        <f>IC!FQ23</f>
      </c>
      <c r="FR56" s="820">
        <f>IC!FR23</f>
      </c>
      <c r="FS56" s="820">
        <f>IC!FS23</f>
      </c>
      <c r="FT56" s="820">
        <f>IC!FT23</f>
      </c>
      <c r="FU56" s="830">
        <f>IC!FU23</f>
      </c>
      <c r="FV56" s="820">
        <f>IC!FV23</f>
      </c>
      <c r="FW56" s="820">
        <f>IC!FW23</f>
      </c>
      <c r="FX56" s="820">
        <f>IC!FX23</f>
      </c>
      <c r="FY56" s="820">
        <f>IC!FY23</f>
      </c>
      <c r="FZ56" s="830">
        <f>IC!FZ23</f>
      </c>
      <c r="GA56" s="820">
        <f>IC!GA23</f>
      </c>
      <c r="GB56" s="820">
        <f>IC!GB23</f>
      </c>
      <c r="GC56" s="820">
        <f>IC!GC23</f>
      </c>
      <c r="GD56" s="820">
        <f>IC!GD23</f>
      </c>
      <c r="GE56" s="830">
        <f>IC!GE23</f>
      </c>
      <c r="GF56" s="820">
        <f>IC!GF23</f>
      </c>
      <c r="GG56" s="820">
        <f>IC!GG23</f>
      </c>
      <c r="GH56" s="820">
        <f>IC!GH23</f>
      </c>
      <c r="GI56" s="820">
        <f>IC!GI23</f>
      </c>
      <c r="GJ56" s="830">
        <f>IC!GJ23</f>
      </c>
    </row>
    <row r="57" spans="1:192" ht="12.75" hidden="1" customHeight="1" outlineLevel="1">
      <c r="A57" s="68" t="s">
        <v>382</v>
      </c>
      <c r="B57" s="617" t="s">
        <v>34</v>
      </c>
      <c r="C57" s="291"/>
      <c r="D57" s="107"/>
      <c r="E57" s="107"/>
      <c r="F57" s="107"/>
      <c r="G57" s="536"/>
      <c r="H57" s="291"/>
      <c r="I57" s="107"/>
      <c r="J57" s="107"/>
      <c r="K57" s="107"/>
      <c r="L57" s="292"/>
      <c r="M57" s="291"/>
      <c r="N57" s="107"/>
      <c r="O57" s="107"/>
      <c r="P57" s="107"/>
      <c r="Q57" s="292"/>
      <c r="R57" s="291"/>
      <c r="S57" s="107"/>
      <c r="T57" s="107"/>
      <c r="U57" s="107"/>
      <c r="V57" s="292"/>
      <c r="W57" s="291"/>
      <c r="X57" s="107"/>
      <c r="Y57" s="107"/>
      <c r="Z57" s="107"/>
      <c r="AA57" s="292"/>
      <c r="AB57" s="291"/>
      <c r="AC57" s="107"/>
      <c r="AD57" s="107"/>
      <c r="AE57" s="107"/>
      <c r="AF57" s="292"/>
      <c r="AG57" s="291"/>
      <c r="AH57" s="107"/>
      <c r="AI57" s="107"/>
      <c r="AJ57" s="107"/>
      <c r="AK57" s="292"/>
      <c r="AL57" s="291"/>
      <c r="AM57" s="107"/>
      <c r="AN57" s="107"/>
      <c r="AO57" s="107"/>
      <c r="AP57" s="292"/>
      <c r="AQ57" s="291"/>
      <c r="AR57" s="107"/>
      <c r="AS57" s="107"/>
      <c r="AT57" s="107"/>
      <c r="AU57" s="292"/>
      <c r="AV57" s="291"/>
      <c r="AW57" s="107"/>
      <c r="AX57" s="107"/>
      <c r="AY57" s="107"/>
      <c r="AZ57" s="292"/>
      <c r="BA57" s="291"/>
      <c r="BB57" s="107"/>
      <c r="BC57" s="107"/>
      <c r="BD57" s="107"/>
      <c r="BE57" s="292"/>
      <c r="BF57" s="291"/>
      <c r="BG57" s="107"/>
      <c r="BH57" s="107"/>
      <c r="BI57" s="107"/>
      <c r="BJ57" s="292"/>
      <c r="BK57" s="291"/>
      <c r="BL57" s="107"/>
      <c r="BM57" s="107"/>
      <c r="BN57" s="107"/>
      <c r="BO57" s="292"/>
      <c r="BP57" s="291"/>
      <c r="BQ57" s="107"/>
      <c r="BR57" s="107"/>
      <c r="BS57" s="107"/>
      <c r="BT57" s="292"/>
      <c r="BU57" s="291"/>
      <c r="BV57" s="107"/>
      <c r="BW57" s="107"/>
      <c r="BX57" s="107"/>
      <c r="BY57" s="292"/>
      <c r="BZ57" s="291"/>
      <c r="CA57" s="107"/>
      <c r="CB57" s="107"/>
      <c r="CC57" s="107"/>
      <c r="CD57" s="292"/>
      <c r="CE57" s="291"/>
      <c r="CF57" s="107"/>
      <c r="CG57" s="107"/>
      <c r="CH57" s="107"/>
      <c r="CI57" s="292"/>
      <c r="CJ57" s="291"/>
      <c r="CK57" s="107"/>
      <c r="CL57" s="107"/>
      <c r="CM57" s="107"/>
      <c r="CN57" s="292"/>
      <c r="CO57" s="291"/>
      <c r="CP57" s="107"/>
      <c r="CQ57" s="107"/>
      <c r="CR57" s="107"/>
      <c r="CS57" s="292"/>
      <c r="CT57" s="291"/>
      <c r="CU57" s="107"/>
      <c r="CV57" s="107"/>
      <c r="CW57" s="107"/>
      <c r="CX57" s="292"/>
      <c r="CY57" s="291" t="str">
        <f t="shared" ref="CY57:ED57" si="81">IFERROR(CY56/CT56-1,"")</f>
      </c>
      <c r="CZ57" s="107" t="str">
        <f t="shared" si="81"/>
      </c>
      <c r="DA57" s="107" t="str">
        <f t="shared" si="81"/>
      </c>
      <c r="DB57" s="107" t="str">
        <f t="shared" si="81"/>
      </c>
      <c r="DC57" s="292" t="str">
        <f t="shared" si="81"/>
      </c>
      <c r="DD57" s="291">
        <f t="shared" si="81"/>
      </c>
      <c r="DE57" s="107">
        <f t="shared" si="81"/>
      </c>
      <c r="DF57" s="107">
        <f t="shared" si="81"/>
      </c>
      <c r="DG57" s="107">
        <f t="shared" si="81"/>
      </c>
      <c r="DH57" s="292">
        <f t="shared" si="81"/>
      </c>
      <c r="DI57" s="291">
        <f t="shared" si="81"/>
      </c>
      <c r="DJ57" s="107">
        <f t="shared" si="81"/>
      </c>
      <c r="DK57" s="107">
        <f t="shared" si="81"/>
      </c>
      <c r="DL57" s="107">
        <f t="shared" si="81"/>
      </c>
      <c r="DM57" s="292">
        <f t="shared" si="81"/>
      </c>
      <c r="DN57" s="291">
        <f t="shared" si="81"/>
      </c>
      <c r="DO57" s="107">
        <f t="shared" si="81"/>
      </c>
      <c r="DP57" s="107">
        <f t="shared" si="81"/>
      </c>
      <c r="DQ57" s="107">
        <f t="shared" si="81"/>
      </c>
      <c r="DR57" s="292">
        <f t="shared" si="81"/>
      </c>
      <c r="DS57" s="291">
        <f t="shared" si="81"/>
      </c>
      <c r="DT57" s="107">
        <f t="shared" si="81"/>
      </c>
      <c r="DU57" s="107">
        <f t="shared" si="81"/>
      </c>
      <c r="DV57" s="107">
        <f t="shared" si="81"/>
      </c>
      <c r="DW57" s="292">
        <f t="shared" si="81"/>
      </c>
      <c r="DX57" s="291">
        <f t="shared" si="81"/>
      </c>
      <c r="DY57" s="107">
        <f t="shared" si="81"/>
      </c>
      <c r="DZ57" s="107">
        <f t="shared" si="81"/>
      </c>
      <c r="EA57" s="107">
        <f t="shared" si="81"/>
      </c>
      <c r="EB57" s="292">
        <f t="shared" si="81"/>
      </c>
      <c r="EC57" s="291">
        <f t="shared" si="81"/>
      </c>
      <c r="ED57" s="107">
        <f t="shared" si="81"/>
      </c>
      <c r="EE57" s="107">
        <f t="shared" ref="EE57:FJ57" si="82">IFERROR(EE56/DZ56-1,"")</f>
      </c>
      <c r="EF57" s="107">
        <f t="shared" si="82"/>
      </c>
      <c r="EG57" s="292">
        <f t="shared" si="82"/>
      </c>
      <c r="EH57" s="291">
        <f t="shared" si="82"/>
      </c>
      <c r="EI57" s="107">
        <f t="shared" si="82"/>
      </c>
      <c r="EJ57" s="107">
        <f t="shared" si="82"/>
      </c>
      <c r="EK57" s="107">
        <f t="shared" si="82"/>
      </c>
      <c r="EL57" s="292">
        <f t="shared" si="82"/>
      </c>
      <c r="EM57" s="291">
        <f t="shared" si="82"/>
      </c>
      <c r="EN57" s="107">
        <f t="shared" si="82"/>
      </c>
      <c r="EO57" s="107">
        <f t="shared" si="82"/>
      </c>
      <c r="EP57" s="107">
        <f t="shared" si="82"/>
      </c>
      <c r="EQ57" s="292">
        <f t="shared" si="82"/>
      </c>
      <c r="ER57" s="291">
        <f t="shared" si="82"/>
      </c>
      <c r="ES57" s="107">
        <f t="shared" si="82"/>
      </c>
      <c r="ET57" s="107">
        <f t="shared" si="82"/>
      </c>
      <c r="EU57" s="107">
        <f t="shared" si="82"/>
      </c>
      <c r="EV57" s="292">
        <f t="shared" si="82"/>
      </c>
      <c r="EW57" s="291">
        <f t="shared" si="82"/>
      </c>
      <c r="EX57" s="291">
        <f t="shared" si="82"/>
      </c>
      <c r="EY57" s="107">
        <f t="shared" si="82"/>
      </c>
      <c r="EZ57" s="107">
        <f t="shared" si="82"/>
      </c>
      <c r="FA57" s="292">
        <f t="shared" si="82"/>
      </c>
      <c r="FB57" s="291">
        <f t="shared" si="82"/>
      </c>
      <c r="FC57" s="107">
        <f t="shared" si="82"/>
      </c>
      <c r="FD57" s="107">
        <f t="shared" si="82"/>
      </c>
      <c r="FE57" s="107">
        <f t="shared" si="82"/>
      </c>
      <c r="FF57" s="292">
        <f t="shared" si="82"/>
      </c>
      <c r="FG57" s="291">
        <f t="shared" si="82"/>
      </c>
      <c r="FH57" s="107">
        <f t="shared" si="82"/>
      </c>
      <c r="FI57" s="107">
        <f t="shared" si="82"/>
      </c>
      <c r="FJ57" s="107">
        <f t="shared" si="82"/>
      </c>
      <c r="FK57" s="292">
        <f t="shared" ref="FK57:GE57" si="83">IFERROR(FK56/FF56-1,"")</f>
      </c>
      <c r="FL57" s="291">
        <f t="shared" si="83"/>
      </c>
      <c r="FM57" s="107">
        <f t="shared" si="83"/>
      </c>
      <c r="FN57" s="107">
        <f t="shared" si="83"/>
      </c>
      <c r="FO57" s="107">
        <f t="shared" si="83"/>
      </c>
      <c r="FP57" s="292">
        <f t="shared" si="83"/>
      </c>
      <c r="FQ57" s="291">
        <f t="shared" si="83"/>
      </c>
      <c r="FR57" s="107">
        <f t="shared" si="83"/>
      </c>
      <c r="FS57" s="107">
        <f t="shared" si="83"/>
      </c>
      <c r="FT57" s="107">
        <f t="shared" si="83"/>
      </c>
      <c r="FU57" s="292">
        <f t="shared" si="83"/>
      </c>
      <c r="FV57" s="291">
        <f t="shared" si="83"/>
      </c>
      <c r="FW57" s="107">
        <f t="shared" si="83"/>
      </c>
      <c r="FX57" s="107">
        <f t="shared" si="83"/>
      </c>
      <c r="FY57" s="107">
        <f t="shared" si="83"/>
      </c>
      <c r="FZ57" s="292">
        <f t="shared" si="83"/>
      </c>
      <c r="GA57" s="291">
        <f t="shared" si="83"/>
      </c>
      <c r="GB57" s="107">
        <f t="shared" si="83"/>
      </c>
      <c r="GC57" s="107">
        <f t="shared" si="83"/>
      </c>
      <c r="GD57" s="107">
        <f t="shared" si="83"/>
      </c>
      <c r="GE57" s="292">
        <f t="shared" si="83"/>
      </c>
      <c r="GF57" s="291">
        <f t="shared" ref="GF57" si="84">IFERROR(GF56/GA56-1,"")</f>
      </c>
      <c r="GG57" s="107">
        <f t="shared" ref="GG57" si="85">IFERROR(GG56/GB56-1,"")</f>
      </c>
      <c r="GH57" s="107">
        <f t="shared" ref="GH57" si="86">IFERROR(GH56/GC56-1,"")</f>
      </c>
      <c r="GI57" s="107">
        <f t="shared" ref="GI57" si="87">IFERROR(GI56/GD56-1,"")</f>
      </c>
      <c r="GJ57" s="292">
        <f t="shared" ref="GJ57" si="88">IFERROR(GJ56/GE56-1,"")</f>
      </c>
    </row>
    <row r="58" spans="1:192" ht="12.75" hidden="1" customHeight="1" outlineLevel="1">
      <c r="A58" s="68" t="s">
        <v>383</v>
      </c>
      <c r="B58" s="617" t="s">
        <v>36</v>
      </c>
      <c r="C58" s="291"/>
      <c r="D58" s="137"/>
      <c r="E58" s="137"/>
      <c r="F58" s="137"/>
      <c r="G58" s="538"/>
      <c r="H58" s="291"/>
      <c r="I58" s="107"/>
      <c r="J58" s="107"/>
      <c r="K58" s="107"/>
      <c r="L58" s="293"/>
      <c r="M58" s="291"/>
      <c r="N58" s="107"/>
      <c r="O58" s="107"/>
      <c r="P58" s="107"/>
      <c r="Q58" s="293"/>
      <c r="R58" s="291"/>
      <c r="S58" s="107"/>
      <c r="T58" s="107"/>
      <c r="U58" s="107"/>
      <c r="V58" s="293"/>
      <c r="W58" s="291"/>
      <c r="X58" s="107"/>
      <c r="Y58" s="107"/>
      <c r="Z58" s="107"/>
      <c r="AA58" s="293"/>
      <c r="AB58" s="291"/>
      <c r="AC58" s="107"/>
      <c r="AD58" s="107"/>
      <c r="AE58" s="107"/>
      <c r="AF58" s="293"/>
      <c r="AG58" s="291"/>
      <c r="AH58" s="107"/>
      <c r="AI58" s="107"/>
      <c r="AJ58" s="107"/>
      <c r="AK58" s="293"/>
      <c r="AL58" s="291"/>
      <c r="AM58" s="107"/>
      <c r="AN58" s="107"/>
      <c r="AO58" s="107"/>
      <c r="AP58" s="293"/>
      <c r="AQ58" s="291"/>
      <c r="AR58" s="107"/>
      <c r="AS58" s="107"/>
      <c r="AT58" s="107"/>
      <c r="AU58" s="293"/>
      <c r="AV58" s="291"/>
      <c r="AW58" s="107"/>
      <c r="AX58" s="107"/>
      <c r="AY58" s="107"/>
      <c r="AZ58" s="293"/>
      <c r="BA58" s="291"/>
      <c r="BB58" s="107"/>
      <c r="BC58" s="107"/>
      <c r="BD58" s="107"/>
      <c r="BE58" s="293"/>
      <c r="BF58" s="291"/>
      <c r="BG58" s="107"/>
      <c r="BH58" s="107"/>
      <c r="BI58" s="107"/>
      <c r="BJ58" s="293"/>
      <c r="BK58" s="291"/>
      <c r="BL58" s="107"/>
      <c r="BM58" s="107"/>
      <c r="BN58" s="107"/>
      <c r="BO58" s="293"/>
      <c r="BP58" s="291"/>
      <c r="BQ58" s="107"/>
      <c r="BR58" s="107"/>
      <c r="BS58" s="107"/>
      <c r="BT58" s="293"/>
      <c r="BU58" s="291"/>
      <c r="BV58" s="107"/>
      <c r="BW58" s="107"/>
      <c r="BX58" s="107"/>
      <c r="BY58" s="293"/>
      <c r="BZ58" s="291"/>
      <c r="CA58" s="107"/>
      <c r="CB58" s="107"/>
      <c r="CC58" s="107"/>
      <c r="CD58" s="293"/>
      <c r="CE58" s="291"/>
      <c r="CF58" s="107"/>
      <c r="CG58" s="107"/>
      <c r="CH58" s="107"/>
      <c r="CI58" s="293"/>
      <c r="CJ58" s="291"/>
      <c r="CK58" s="107"/>
      <c r="CL58" s="107"/>
      <c r="CM58" s="107"/>
      <c r="CN58" s="293"/>
      <c r="CO58" s="291"/>
      <c r="CP58" s="107"/>
      <c r="CQ58" s="107"/>
      <c r="CR58" s="107"/>
      <c r="CS58" s="293"/>
      <c r="CT58" s="291"/>
      <c r="CU58" s="107"/>
      <c r="CV58" s="107"/>
      <c r="CW58" s="107"/>
      <c r="CX58" s="293"/>
      <c r="CY58" s="291" t="str">
        <f>IFERROR(CY56/CW56-1,"")</f>
      </c>
      <c r="CZ58" s="107">
        <f>IFERROR(CZ56/CY56-1,"")</f>
      </c>
      <c r="DA58" s="107">
        <f>IFERROR(DA56/CZ56-1,"")</f>
      </c>
      <c r="DB58" s="107">
        <f>IFERROR(DB56/DA56-1,"")</f>
      </c>
      <c r="DC58" s="293"/>
      <c r="DD58" s="291">
        <f>IFERROR(DD56/DB56-1,"")</f>
      </c>
      <c r="DE58" s="107">
        <f>IFERROR(DE56/DD56-1,"")</f>
      </c>
      <c r="DF58" s="107">
        <f>IFERROR(DF56/DE56-1,"")</f>
      </c>
      <c r="DG58" s="107">
        <f>IFERROR(DG56/DF56-1,"")</f>
      </c>
      <c r="DH58" s="293"/>
      <c r="DI58" s="291">
        <f>IFERROR(DI56/DG56-1,"")</f>
      </c>
      <c r="DJ58" s="107">
        <f>IFERROR(DJ56/DI56-1,"")</f>
      </c>
      <c r="DK58" s="107">
        <f>IFERROR(DK56/DJ56-1,"")</f>
      </c>
      <c r="DL58" s="107">
        <f>IFERROR(DL56/DK56-1,"")</f>
      </c>
      <c r="DM58" s="293"/>
      <c r="DN58" s="291">
        <f>IFERROR(DN56/DL56-1,"")</f>
      </c>
      <c r="DO58" s="107">
        <f>IFERROR(DO56/DN56-1,"")</f>
      </c>
      <c r="DP58" s="107">
        <f>IFERROR(DP56/DO56-1,"")</f>
      </c>
      <c r="DQ58" s="107">
        <f>IFERROR(DQ56/DP56-1,"")</f>
      </c>
      <c r="DR58" s="293"/>
      <c r="DS58" s="291">
        <f>IFERROR(DS56/DQ56-1,"")</f>
      </c>
      <c r="DT58" s="107">
        <f>IFERROR(DT56/DS56-1,"")</f>
      </c>
      <c r="DU58" s="107">
        <f>IFERROR(DU56/DT56-1,"")</f>
      </c>
      <c r="DV58" s="107">
        <f>IFERROR(DV56/DU56-1,"")</f>
      </c>
      <c r="DW58" s="293"/>
      <c r="DX58" s="291">
        <f>IFERROR(DX56/DV56-1,"")</f>
      </c>
      <c r="DY58" s="107">
        <f>IFERROR(DY56/DX56-1,"")</f>
      </c>
      <c r="DZ58" s="107">
        <f>IFERROR(DZ56/DY56-1,"")</f>
      </c>
      <c r="EA58" s="107">
        <f>IFERROR(EA56/DZ56-1,"")</f>
      </c>
      <c r="EB58" s="293"/>
      <c r="EC58" s="291">
        <f>IFERROR(EC56/EA56-1,"")</f>
      </c>
      <c r="ED58" s="107">
        <f>IFERROR(ED56/EC56-1,"")</f>
      </c>
      <c r="EE58" s="107">
        <f>IFERROR(EE56/ED56-1,"")</f>
      </c>
      <c r="EF58" s="107">
        <f>IFERROR(EF56/EE56-1,"")</f>
      </c>
      <c r="EG58" s="293"/>
      <c r="EH58" s="291">
        <f>IFERROR(EH56/EF56-1,"")</f>
      </c>
      <c r="EI58" s="107">
        <f>IFERROR(EI56/EH56-1,"")</f>
      </c>
      <c r="EJ58" s="107">
        <f>IFERROR(EJ56/EI56-1,"")</f>
      </c>
      <c r="EK58" s="107">
        <f>IFERROR(EK56/EJ56-1,"")</f>
      </c>
      <c r="EL58" s="293"/>
      <c r="EM58" s="291">
        <f>IFERROR(EM56/EK56-1,"")</f>
      </c>
      <c r="EN58" s="107">
        <f>IFERROR(EN56/EM56-1,"")</f>
      </c>
      <c r="EO58" s="107">
        <f>IFERROR(EO56/EN56-1,"")</f>
      </c>
      <c r="EP58" s="107">
        <f>IFERROR(EP56/EO56-1,"")</f>
      </c>
      <c r="EQ58" s="293"/>
      <c r="ER58" s="291">
        <f>IFERROR(ER56/EP56-1,"")</f>
      </c>
      <c r="ES58" s="107">
        <f>IFERROR(ES56/ER56-1,"")</f>
      </c>
      <c r="ET58" s="107">
        <f>IFERROR(ET56/ES56-1,"")</f>
      </c>
      <c r="EU58" s="107">
        <f>IFERROR(EU56/ET56-1,"")</f>
      </c>
      <c r="EV58" s="293"/>
      <c r="EW58" s="291">
        <f>IFERROR(EW56/EU56-1,"")</f>
      </c>
      <c r="EX58" s="291">
        <f>IFERROR(EX56/EV56-1,"")</f>
      </c>
      <c r="EY58" s="107">
        <f>IFERROR(EY56/EX56-1,"")</f>
      </c>
      <c r="EZ58" s="107">
        <f>IFERROR(EZ56/EY56-1,"")</f>
      </c>
      <c r="FA58" s="293"/>
      <c r="FB58" s="291">
        <f>IFERROR(FB56/EZ56-1,"")</f>
      </c>
      <c r="FC58" s="107">
        <f>IFERROR(FC56/FB56-1,"")</f>
      </c>
      <c r="FD58" s="107">
        <f>IFERROR(FD56/FC56-1,"")</f>
      </c>
      <c r="FE58" s="107">
        <f>IFERROR(FE56/FD56-1,"")</f>
      </c>
      <c r="FF58" s="293"/>
      <c r="FG58" s="291">
        <f>IFERROR(FG56/FE56-1,"")</f>
      </c>
      <c r="FH58" s="107">
        <f>IFERROR(FH56/FG56-1,"")</f>
      </c>
      <c r="FI58" s="107">
        <f>IFERROR(FI56/FH56-1,"")</f>
      </c>
      <c r="FJ58" s="107">
        <f>IFERROR(FJ56/FI56-1,"")</f>
      </c>
      <c r="FK58" s="293"/>
      <c r="FL58" s="291">
        <f>IFERROR(FL56/FJ56-1,"")</f>
      </c>
      <c r="FM58" s="107">
        <f>IFERROR(FM56/FL56-1,"")</f>
      </c>
      <c r="FN58" s="107">
        <f>IFERROR(FN56/FM56-1,"")</f>
      </c>
      <c r="FO58" s="107">
        <f>IFERROR(FO56/FN56-1,"")</f>
      </c>
      <c r="FP58" s="293"/>
      <c r="FQ58" s="291">
        <f>IFERROR(FQ56/FO56-1,"")</f>
      </c>
      <c r="FR58" s="107">
        <f>IFERROR(FR56/FQ56-1,"")</f>
      </c>
      <c r="FS58" s="107">
        <f>IFERROR(FS56/FR56-1,"")</f>
      </c>
      <c r="FT58" s="107">
        <f>IFERROR(FT56/FS56-1,"")</f>
      </c>
      <c r="FU58" s="293"/>
      <c r="FV58" s="291">
        <f>IFERROR(FV56/FT56-1,"")</f>
      </c>
      <c r="FW58" s="107">
        <f>IFERROR(FW56/FV56-1,"")</f>
      </c>
      <c r="FX58" s="107">
        <f>IFERROR(FX56/FW56-1,"")</f>
      </c>
      <c r="FY58" s="107">
        <f>IFERROR(FY56/FX56-1,"")</f>
      </c>
      <c r="FZ58" s="293"/>
      <c r="GA58" s="291">
        <f>IFERROR(GA56/FY56-1,"")</f>
      </c>
      <c r="GB58" s="107">
        <f>IFERROR(GB56/GA56-1,"")</f>
      </c>
      <c r="GC58" s="107">
        <f>IFERROR(GC56/GB56-1,"")</f>
      </c>
      <c r="GD58" s="107">
        <f>IFERROR(GD56/GC56-1,"")</f>
      </c>
      <c r="GE58" s="293"/>
      <c r="GF58" s="291">
        <f>IFERROR(GF56/GD56-1,"")</f>
      </c>
      <c r="GG58" s="107">
        <f>IFERROR(GG56/GF56-1,"")</f>
      </c>
      <c r="GH58" s="107">
        <f>IFERROR(GH56/GG56-1,"")</f>
      </c>
      <c r="GI58" s="107">
        <f>IFERROR(GI56/GH56-1,"")</f>
      </c>
      <c r="GJ58" s="293"/>
    </row>
    <row r="59" spans="1:192" s="1200" customFormat="1" ht="12.75" hidden="1" customHeight="1" outlineLevel="1">
      <c r="A59" s="1272"/>
      <c r="B59" s="618" t="s">
        <v>259</v>
      </c>
      <c r="C59" s="920"/>
      <c r="D59" s="920"/>
      <c r="E59" s="920"/>
      <c r="F59" s="920"/>
      <c r="G59" s="1248"/>
      <c r="H59" s="920"/>
      <c r="I59" s="920"/>
      <c r="J59" s="920"/>
      <c r="K59" s="920"/>
      <c r="L59" s="1248"/>
      <c r="M59" s="920"/>
      <c r="N59" s="920"/>
      <c r="O59" s="920"/>
      <c r="P59" s="920"/>
      <c r="Q59" s="1248"/>
      <c r="R59" s="920"/>
      <c r="S59" s="920"/>
      <c r="T59" s="920"/>
      <c r="U59" s="920"/>
      <c r="V59" s="1248"/>
      <c r="W59" s="920"/>
      <c r="X59" s="920"/>
      <c r="Y59" s="920"/>
      <c r="Z59" s="920"/>
      <c r="AA59" s="1248"/>
      <c r="AB59" s="920"/>
      <c r="AC59" s="920"/>
      <c r="AD59" s="920"/>
      <c r="AE59" s="920"/>
      <c r="AF59" s="1248"/>
      <c r="AG59" s="920"/>
      <c r="AH59" s="920"/>
      <c r="AI59" s="920"/>
      <c r="AJ59" s="920"/>
      <c r="AK59" s="1248"/>
      <c r="AL59" s="920"/>
      <c r="AM59" s="920"/>
      <c r="AN59" s="920"/>
      <c r="AO59" s="920"/>
      <c r="AP59" s="1248"/>
      <c r="AQ59" s="920"/>
      <c r="AR59" s="920"/>
      <c r="AS59" s="920"/>
      <c r="AT59" s="920"/>
      <c r="AU59" s="1248"/>
      <c r="AV59" s="920"/>
      <c r="AW59" s="920"/>
      <c r="AX59" s="920"/>
      <c r="AY59" s="920"/>
      <c r="AZ59" s="1248"/>
      <c r="BA59" s="920"/>
      <c r="BB59" s="920"/>
      <c r="BC59" s="920"/>
      <c r="BD59" s="920"/>
      <c r="BE59" s="1248"/>
      <c r="BF59" s="920"/>
      <c r="BG59" s="920"/>
      <c r="BH59" s="920"/>
      <c r="BI59" s="920"/>
      <c r="BJ59" s="1248"/>
      <c r="BK59" s="920"/>
      <c r="BL59" s="920"/>
      <c r="BM59" s="920"/>
      <c r="BN59" s="920"/>
      <c r="BO59" s="1248"/>
      <c r="BP59" s="920"/>
      <c r="BQ59" s="920"/>
      <c r="BR59" s="920"/>
      <c r="BS59" s="920"/>
      <c r="BT59" s="1248"/>
      <c r="BU59" s="920"/>
      <c r="BV59" s="920"/>
      <c r="BW59" s="920"/>
      <c r="BX59" s="920"/>
      <c r="BY59" s="1248"/>
      <c r="BZ59" s="920"/>
      <c r="CA59" s="920"/>
      <c r="CB59" s="920"/>
      <c r="CC59" s="920"/>
      <c r="CD59" s="1248"/>
      <c r="CE59" s="920"/>
      <c r="CF59" s="920"/>
      <c r="CG59" s="920"/>
      <c r="CH59" s="920"/>
      <c r="CI59" s="1248"/>
      <c r="CJ59" s="920"/>
      <c r="CK59" s="920"/>
      <c r="CL59" s="920"/>
      <c r="CM59" s="920"/>
      <c r="CN59" s="1248"/>
      <c r="CO59" s="920"/>
      <c r="CP59" s="920"/>
      <c r="CQ59" s="920"/>
      <c r="CR59" s="920"/>
      <c r="CS59" s="1248"/>
      <c r="CT59" s="920"/>
      <c r="CU59" s="920"/>
      <c r="CV59" s="920"/>
      <c r="CW59" s="920"/>
      <c r="CX59" s="1248"/>
      <c r="CY59" s="1334">
        <f>IC!CY63</f>
      </c>
      <c r="CZ59" s="1334">
        <f>IC!CZ63</f>
      </c>
      <c r="DA59" s="1334">
        <f>IC!DA63</f>
      </c>
      <c r="DB59" s="1334">
        <f>IC!DB63</f>
      </c>
      <c r="DC59" s="1335">
        <f>IC!DC63</f>
      </c>
      <c r="DD59" s="1334">
        <f>IC!DD63</f>
      </c>
      <c r="DE59" s="1334">
        <f>IC!DE63</f>
      </c>
      <c r="DF59" s="1334">
        <f>IC!DF63</f>
      </c>
      <c r="DG59" s="1334">
        <f>IC!DG63</f>
      </c>
      <c r="DH59" s="1335">
        <f>IC!DH63</f>
      </c>
      <c r="DI59" s="1334">
        <f>IC!DI63</f>
      </c>
      <c r="DJ59" s="1334">
        <f>IC!DJ63</f>
      </c>
      <c r="DK59" s="1334">
        <f>IC!DK63</f>
      </c>
      <c r="DL59" s="1334">
        <f>IC!DL63</f>
      </c>
      <c r="DM59" s="1335">
        <f>IC!DM63</f>
      </c>
      <c r="DN59" s="1334">
        <f>IC!DN63</f>
      </c>
      <c r="DO59" s="1334">
        <f>IC!DO63</f>
      </c>
      <c r="DP59" s="1334">
        <f>IC!DP63</f>
      </c>
      <c r="DQ59" s="1334">
        <f>IC!DQ63</f>
      </c>
      <c r="DR59" s="1335">
        <f>IC!DR63</f>
      </c>
      <c r="DS59" s="1334">
        <f>IC!DS63</f>
      </c>
      <c r="DT59" s="1334">
        <f>IC!DT63</f>
      </c>
      <c r="DU59" s="1334">
        <f>IC!DU63</f>
      </c>
      <c r="DV59" s="1334">
        <f>IC!DV63</f>
      </c>
      <c r="DW59" s="1335">
        <f>IC!DW63</f>
      </c>
      <c r="DX59" s="1334">
        <f>IC!DX63</f>
      </c>
      <c r="DY59" s="1334">
        <f>IC!DY63</f>
      </c>
      <c r="DZ59" s="1334">
        <f>IC!DZ63</f>
      </c>
      <c r="EA59" s="1334">
        <f>IC!EA63</f>
      </c>
      <c r="EB59" s="1335">
        <f>IC!EB63</f>
      </c>
      <c r="EC59" s="1334">
        <f>IC!EC63</f>
      </c>
      <c r="ED59" s="1334">
        <f>IC!ED63</f>
      </c>
      <c r="EE59" s="1334">
        <f>IC!EE63</f>
      </c>
      <c r="EF59" s="1334">
        <f>IC!EF63</f>
      </c>
      <c r="EG59" s="1335">
        <f>IC!EG63</f>
      </c>
      <c r="EH59" s="1334">
        <f>IC!EH63</f>
      </c>
      <c r="EI59" s="1334">
        <f>IC!EI63</f>
      </c>
      <c r="EJ59" s="1334">
        <f>IC!EJ63</f>
      </c>
      <c r="EK59" s="1334">
        <f>IC!EK63</f>
      </c>
      <c r="EL59" s="1335">
        <f>IC!EL63</f>
      </c>
      <c r="EM59" s="1334">
        <f>IC!EM63</f>
      </c>
      <c r="EN59" s="1334">
        <f>IC!EN63</f>
      </c>
      <c r="EO59" s="1334">
        <f>IC!EO63</f>
      </c>
      <c r="EP59" s="1334">
        <f>IC!EP63</f>
      </c>
      <c r="EQ59" s="1335">
        <f>IC!EQ63</f>
      </c>
      <c r="ER59" s="1334">
        <f>IC!ER28</f>
      </c>
      <c r="ES59" s="1334">
        <f>IC!ES28</f>
      </c>
      <c r="ET59" s="1334">
        <f>IC!ET28</f>
      </c>
      <c r="EU59" s="1334">
        <f>IC!EU28</f>
      </c>
      <c r="EV59" s="1335">
        <f>IC!EV28</f>
      </c>
      <c r="EW59" s="1334">
        <f>IC!EW28</f>
      </c>
      <c r="EX59" s="1334">
        <f>IC!EX28</f>
      </c>
      <c r="EY59" s="1334">
        <f>IC!EY28</f>
      </c>
      <c r="EZ59" s="1334">
        <f>IC!EZ28</f>
      </c>
      <c r="FA59" s="1335">
        <f>IC!FA28</f>
      </c>
      <c r="FB59" s="1334">
        <f>IC!FB28</f>
      </c>
      <c r="FC59" s="1334">
        <f>IC!FC28</f>
      </c>
      <c r="FD59" s="1334">
        <f>IC!FD28</f>
      </c>
      <c r="FE59" s="1334">
        <f>IC!FE28</f>
      </c>
      <c r="FF59" s="1335">
        <f>IC!FF28</f>
      </c>
      <c r="FG59" s="1334">
        <f>IC!FG28</f>
      </c>
      <c r="FH59" s="1334">
        <f>IC!FH28</f>
      </c>
      <c r="FI59" s="1334">
        <f>IC!FI28</f>
      </c>
      <c r="FJ59" s="1334">
        <f>IC!FJ28</f>
      </c>
      <c r="FK59" s="1335">
        <f>IC!FK28</f>
      </c>
      <c r="FL59" s="1334">
        <f>IC!FL28</f>
      </c>
      <c r="FM59" s="1334">
        <f>IC!FM28</f>
      </c>
      <c r="FN59" s="1334">
        <f>IC!FN28</f>
      </c>
      <c r="FO59" s="1334">
        <f>IC!FO28</f>
      </c>
      <c r="FP59" s="1335">
        <f>IC!FP28</f>
      </c>
      <c r="FQ59" s="1334">
        <f>IC!FQ28</f>
      </c>
      <c r="FR59" s="1334">
        <f>IC!FR28</f>
      </c>
      <c r="FS59" s="1334">
        <f>IC!FS28</f>
      </c>
      <c r="FT59" s="1334">
        <f>IC!FT28</f>
      </c>
      <c r="FU59" s="1335">
        <f>IC!FU28</f>
      </c>
      <c r="FV59" s="1334">
        <f>IC!FV28</f>
      </c>
      <c r="FW59" s="1334">
        <f>IC!FW28</f>
      </c>
      <c r="FX59" s="1334">
        <f>IC!FX28</f>
      </c>
      <c r="FY59" s="1334">
        <f>IC!FY28</f>
      </c>
      <c r="FZ59" s="1335">
        <f>IC!FZ28</f>
      </c>
      <c r="GA59" s="1334">
        <f>IC!GA28</f>
      </c>
      <c r="GB59" s="1334">
        <f>IC!GB28</f>
      </c>
      <c r="GC59" s="1334">
        <f>IC!GC28</f>
      </c>
      <c r="GD59" s="1334">
        <f>IC!GD28</f>
      </c>
      <c r="GE59" s="1335">
        <f>IC!GE28</f>
      </c>
      <c r="GF59" s="1334">
        <f>IC!GF28</f>
      </c>
      <c r="GG59" s="1334">
        <f>IC!GG28</f>
      </c>
      <c r="GH59" s="1334">
        <f>IC!GH28</f>
      </c>
      <c r="GI59" s="1334">
        <f>IC!GI28</f>
      </c>
      <c r="GJ59" s="1335">
        <f>IC!GJ28</f>
      </c>
    </row>
    <row r="60" spans="1:192" ht="12.75" hidden="1" customHeight="1" outlineLevel="1">
      <c r="B60" s="617"/>
      <c r="C60" s="470"/>
      <c r="D60" s="463"/>
      <c r="E60" s="463"/>
      <c r="F60" s="463"/>
      <c r="G60" s="293"/>
      <c r="H60" s="470"/>
      <c r="I60" s="463"/>
      <c r="J60" s="463"/>
      <c r="K60" s="463"/>
      <c r="L60" s="293"/>
      <c r="M60" s="470"/>
      <c r="N60" s="463"/>
      <c r="O60" s="463"/>
      <c r="P60" s="463"/>
      <c r="Q60" s="293"/>
      <c r="R60" s="470"/>
      <c r="S60" s="463"/>
      <c r="T60" s="463"/>
      <c r="U60" s="463"/>
      <c r="V60" s="293"/>
      <c r="W60" s="470"/>
      <c r="X60" s="463"/>
      <c r="Y60" s="463"/>
      <c r="Z60" s="463"/>
      <c r="AA60" s="293"/>
      <c r="AB60" s="470"/>
      <c r="AC60" s="463"/>
      <c r="AD60" s="463"/>
      <c r="AE60" s="463"/>
      <c r="AF60" s="293"/>
      <c r="AG60" s="470"/>
      <c r="AH60" s="463"/>
      <c r="AI60" s="463"/>
      <c r="AJ60" s="463"/>
      <c r="AK60" s="293"/>
      <c r="AL60" s="470"/>
      <c r="AM60" s="463"/>
      <c r="AN60" s="463"/>
      <c r="AO60" s="463"/>
      <c r="AP60" s="293"/>
      <c r="AQ60" s="470"/>
      <c r="AR60" s="463"/>
      <c r="AS60" s="463"/>
      <c r="AT60" s="463"/>
      <c r="AU60" s="293"/>
      <c r="AV60" s="470"/>
      <c r="AW60" s="463"/>
      <c r="AX60" s="463"/>
      <c r="AY60" s="463"/>
      <c r="AZ60" s="293"/>
      <c r="BA60" s="470"/>
      <c r="BB60" s="463"/>
      <c r="BC60" s="463"/>
      <c r="BD60" s="463"/>
      <c r="BE60" s="293"/>
      <c r="BF60" s="470"/>
      <c r="BG60" s="463"/>
      <c r="BH60" s="463"/>
      <c r="BI60" s="463"/>
      <c r="BJ60" s="293"/>
      <c r="BK60" s="470"/>
      <c r="BL60" s="463"/>
      <c r="BM60" s="463"/>
      <c r="BN60" s="463"/>
      <c r="BO60" s="293"/>
      <c r="BP60" s="470"/>
      <c r="BQ60" s="463"/>
      <c r="BR60" s="463"/>
      <c r="BS60" s="463"/>
      <c r="BT60" s="293"/>
      <c r="BU60" s="470"/>
      <c r="BV60" s="463"/>
      <c r="BW60" s="463"/>
      <c r="BX60" s="463"/>
      <c r="BY60" s="293"/>
      <c r="BZ60" s="470"/>
      <c r="CA60" s="463"/>
      <c r="CB60" s="463"/>
      <c r="CC60" s="463"/>
      <c r="CD60" s="293"/>
      <c r="CE60" s="470"/>
      <c r="CF60" s="463"/>
      <c r="CG60" s="463"/>
      <c r="CH60" s="463"/>
      <c r="CI60" s="293"/>
      <c r="CJ60" s="470"/>
      <c r="CK60" s="463"/>
      <c r="CL60" s="463"/>
      <c r="CM60" s="463"/>
      <c r="CN60" s="293"/>
      <c r="CO60" s="470"/>
      <c r="CP60" s="463"/>
      <c r="CQ60" s="463"/>
      <c r="CR60" s="463"/>
      <c r="CS60" s="293"/>
      <c r="CT60" s="470"/>
      <c r="CU60" s="463"/>
      <c r="CV60" s="463"/>
      <c r="CW60" s="463"/>
      <c r="CX60" s="293"/>
      <c r="CY60" s="470"/>
      <c r="CZ60" s="463"/>
      <c r="DA60" s="463"/>
      <c r="DB60" s="463"/>
      <c r="DC60" s="293"/>
      <c r="DD60" s="470"/>
      <c r="DE60" s="463"/>
      <c r="DF60" s="463"/>
      <c r="DG60" s="463"/>
      <c r="DH60" s="293"/>
      <c r="DI60" s="470"/>
      <c r="DJ60" s="463"/>
      <c r="DK60" s="463"/>
      <c r="DL60" s="463"/>
      <c r="DM60" s="293"/>
      <c r="DN60" s="470"/>
      <c r="DO60" s="463"/>
      <c r="DP60" s="463"/>
      <c r="DQ60" s="463"/>
      <c r="DR60" s="293"/>
      <c r="DS60" s="470"/>
      <c r="DT60" s="463"/>
      <c r="DU60" s="463"/>
      <c r="DV60" s="463"/>
      <c r="DW60" s="293"/>
      <c r="DX60" s="470"/>
      <c r="DY60" s="463"/>
      <c r="DZ60" s="463"/>
      <c r="EA60" s="463"/>
      <c r="EB60" s="293"/>
      <c r="EC60" s="470"/>
      <c r="ED60" s="463"/>
      <c r="EE60" s="463"/>
      <c r="EF60" s="463"/>
      <c r="EG60" s="293"/>
      <c r="EH60" s="470"/>
      <c r="EI60" s="463"/>
      <c r="EJ60" s="463"/>
      <c r="EK60" s="463"/>
      <c r="EL60" s="293"/>
      <c r="EM60" s="470"/>
      <c r="EN60" s="463"/>
      <c r="EO60" s="463"/>
      <c r="EP60" s="463"/>
      <c r="EQ60" s="293"/>
      <c r="ER60" s="470"/>
      <c r="ES60" s="463"/>
      <c r="ET60" s="463"/>
      <c r="EU60" s="463"/>
      <c r="EV60" s="293"/>
      <c r="EW60" s="470"/>
      <c r="EX60" s="470"/>
      <c r="EY60" s="463"/>
      <c r="EZ60" s="463"/>
      <c r="FA60" s="293"/>
      <c r="FB60" s="470"/>
      <c r="FC60" s="463"/>
      <c r="FD60" s="463"/>
      <c r="FE60" s="463"/>
      <c r="FF60" s="293"/>
      <c r="FG60" s="470"/>
      <c r="FH60" s="463"/>
      <c r="FI60" s="463"/>
      <c r="FJ60" s="463"/>
      <c r="FK60" s="293"/>
      <c r="FL60" s="470"/>
      <c r="FM60" s="463"/>
      <c r="FN60" s="463"/>
      <c r="FO60" s="463"/>
      <c r="FP60" s="293"/>
      <c r="FQ60" s="470"/>
      <c r="FR60" s="463"/>
      <c r="FS60" s="463"/>
      <c r="FT60" s="463"/>
      <c r="FU60" s="293"/>
      <c r="FV60" s="470"/>
      <c r="FW60" s="463"/>
      <c r="FX60" s="463"/>
      <c r="FY60" s="463"/>
      <c r="FZ60" s="293"/>
      <c r="GA60" s="470"/>
      <c r="GB60" s="463"/>
      <c r="GC60" s="463"/>
      <c r="GD60" s="463"/>
      <c r="GE60" s="293"/>
      <c r="GF60" s="470"/>
      <c r="GG60" s="463"/>
      <c r="GH60" s="463"/>
      <c r="GI60" s="463"/>
      <c r="GJ60" s="293"/>
    </row>
    <row r="61" spans="1:192" s="461" customFormat="1" ht="12.75" hidden="1" customHeight="1" outlineLevel="1">
      <c r="A61" s="68" t="s">
        <v>381</v>
      </c>
      <c r="B61" s="625" t="s">
        <v>266</v>
      </c>
      <c r="C61" s="624"/>
      <c r="D61" s="624"/>
      <c r="E61" s="624"/>
      <c r="F61" s="624"/>
      <c r="G61" s="622"/>
      <c r="H61" s="624"/>
      <c r="I61" s="624"/>
      <c r="J61" s="624"/>
      <c r="K61" s="624"/>
      <c r="L61" s="622"/>
      <c r="M61" s="624"/>
      <c r="N61" s="624"/>
      <c r="O61" s="624"/>
      <c r="P61" s="624"/>
      <c r="Q61" s="622"/>
      <c r="R61" s="624"/>
      <c r="S61" s="624"/>
      <c r="T61" s="624"/>
      <c r="U61" s="624"/>
      <c r="V61" s="622"/>
      <c r="W61" s="624"/>
      <c r="X61" s="624"/>
      <c r="Y61" s="624"/>
      <c r="Z61" s="624"/>
      <c r="AA61" s="622"/>
      <c r="AB61" s="624"/>
      <c r="AC61" s="624"/>
      <c r="AD61" s="624"/>
      <c r="AE61" s="624"/>
      <c r="AF61" s="622"/>
      <c r="AG61" s="624"/>
      <c r="AH61" s="624"/>
      <c r="AI61" s="624"/>
      <c r="AJ61" s="624"/>
      <c r="AK61" s="622"/>
      <c r="AL61" s="624"/>
      <c r="AM61" s="624"/>
      <c r="AN61" s="624"/>
      <c r="AO61" s="624"/>
      <c r="AP61" s="622"/>
      <c r="AQ61" s="624"/>
      <c r="AR61" s="624"/>
      <c r="AS61" s="624"/>
      <c r="AT61" s="624"/>
      <c r="AU61" s="622"/>
      <c r="AV61" s="624"/>
      <c r="AW61" s="624"/>
      <c r="AX61" s="624"/>
      <c r="AY61" s="624"/>
      <c r="AZ61" s="622"/>
      <c r="BA61" s="624"/>
      <c r="BB61" s="624"/>
      <c r="BC61" s="624"/>
      <c r="BD61" s="624"/>
      <c r="BE61" s="622"/>
      <c r="BF61" s="624"/>
      <c r="BG61" s="624"/>
      <c r="BH61" s="624"/>
      <c r="BI61" s="624"/>
      <c r="BJ61" s="622"/>
      <c r="BK61" s="624"/>
      <c r="BL61" s="624"/>
      <c r="BM61" s="624"/>
      <c r="BN61" s="624"/>
      <c r="BO61" s="622"/>
      <c r="BP61" s="624"/>
      <c r="BQ61" s="624"/>
      <c r="BR61" s="624"/>
      <c r="BS61" s="624"/>
      <c r="BT61" s="622"/>
      <c r="BU61" s="624"/>
      <c r="BV61" s="624"/>
      <c r="BW61" s="624"/>
      <c r="BX61" s="624"/>
      <c r="BY61" s="622"/>
      <c r="BZ61" s="624"/>
      <c r="CA61" s="624"/>
      <c r="CB61" s="624"/>
      <c r="CC61" s="624"/>
      <c r="CD61" s="622"/>
      <c r="CE61" s="624"/>
      <c r="CF61" s="624"/>
      <c r="CG61" s="624"/>
      <c r="CH61" s="624"/>
      <c r="CI61" s="622"/>
      <c r="CJ61" s="624"/>
      <c r="CK61" s="624"/>
      <c r="CL61" s="624"/>
      <c r="CM61" s="624"/>
      <c r="CN61" s="622"/>
      <c r="CO61" s="624"/>
      <c r="CP61" s="624"/>
      <c r="CQ61" s="624"/>
      <c r="CR61" s="624"/>
      <c r="CS61" s="622"/>
      <c r="CT61" s="624"/>
      <c r="CU61" s="624"/>
      <c r="CV61" s="624"/>
      <c r="CW61" s="624"/>
      <c r="CX61" s="622"/>
      <c r="CY61" s="820">
        <f>Company1738!CY58</f>
      </c>
      <c r="CZ61" s="820">
        <f>Company1738!CZ58</f>
      </c>
      <c r="DA61" s="820">
        <f>Company1738!DA58</f>
      </c>
      <c r="DB61" s="820">
        <f>Company1738!DB58</f>
      </c>
      <c r="DC61" s="830">
        <f>Company1738!DC58</f>
      </c>
      <c r="DD61" s="820">
        <f>Company1738!DD58</f>
      </c>
      <c r="DE61" s="820">
        <f>Company1738!DE58</f>
      </c>
      <c r="DF61" s="820">
        <f>Company1738!DF58</f>
      </c>
      <c r="DG61" s="820">
        <f>Company1738!DG58</f>
      </c>
      <c r="DH61" s="830">
        <f>Company1738!DH58</f>
      </c>
      <c r="DI61" s="820">
        <f>Company1738!DI58</f>
      </c>
      <c r="DJ61" s="820">
        <f>Company1738!DJ58</f>
      </c>
      <c r="DK61" s="820">
        <f>Company1738!DK58</f>
      </c>
      <c r="DL61" s="820">
        <f>Company1738!DL58</f>
      </c>
      <c r="DM61" s="830">
        <f>Company1738!DM58</f>
      </c>
      <c r="DN61" s="820">
        <f>Company1738!DN58</f>
      </c>
      <c r="DO61" s="820">
        <f>Company1738!DO58</f>
      </c>
      <c r="DP61" s="820">
        <f>Company1738!DP58</f>
      </c>
      <c r="DQ61" s="820">
        <f>Company1738!DQ58</f>
      </c>
      <c r="DR61" s="830">
        <f>Company1738!DR58</f>
      </c>
      <c r="DS61" s="820">
        <f>Company1738!DS58</f>
      </c>
      <c r="DT61" s="820">
        <f>Company1738!DT58</f>
      </c>
      <c r="DU61" s="820">
        <f>Company1738!DU58</f>
      </c>
      <c r="DV61" s="820">
        <f>Company1738!DV58</f>
      </c>
      <c r="DW61" s="830">
        <f>Company1738!DW58</f>
      </c>
      <c r="DX61" s="820">
        <f>Company1738!DX58</f>
      </c>
      <c r="DY61" s="820">
        <f>Company1738!DY58</f>
      </c>
      <c r="DZ61" s="820">
        <f>Company1738!DZ58</f>
      </c>
      <c r="EA61" s="820">
        <f>Company1738!EA58</f>
      </c>
      <c r="EB61" s="830">
        <f>Company1738!EB58</f>
      </c>
      <c r="EC61" s="820">
        <f>Company1738!EC58</f>
      </c>
      <c r="ED61" s="820">
        <f>Company1738!ED58</f>
      </c>
      <c r="EE61" s="820">
        <f>Company1738!EE58</f>
      </c>
      <c r="EF61" s="820">
        <f>Company1738!EF58</f>
      </c>
      <c r="EG61" s="830">
        <f>Company1738!EG58</f>
      </c>
      <c r="EH61" s="820">
        <f>Company1738!EH58</f>
      </c>
      <c r="EI61" s="820">
        <f>Company1738!EI58</f>
      </c>
      <c r="EJ61" s="820">
        <f>Company1738!EJ58</f>
      </c>
      <c r="EK61" s="820">
        <f>Company1738!EK58</f>
      </c>
      <c r="EL61" s="830">
        <f>Company1738!EL58</f>
      </c>
      <c r="EM61" s="820">
        <f>Company1738!EM58</f>
      </c>
      <c r="EN61" s="820">
        <f>Company1738!EN58</f>
      </c>
      <c r="EO61" s="820">
        <f>Company1738!EO58</f>
      </c>
      <c r="EP61" s="820">
        <f>Company1738!EP58</f>
      </c>
      <c r="EQ61" s="830">
        <f>Company1738!EQ58</f>
      </c>
      <c r="ER61" s="820">
        <f>Company1738!ER23</f>
      </c>
      <c r="ES61" s="820">
        <f>Company1738!ES23</f>
      </c>
      <c r="ET61" s="820">
        <f>Company1738!ET23</f>
      </c>
      <c r="EU61" s="820">
        <f>Company1738!EU23</f>
      </c>
      <c r="EV61" s="830">
        <f>Company1738!EV23</f>
      </c>
      <c r="EW61" s="820">
        <f>Company1738!EW23</f>
      </c>
      <c r="EX61" s="820">
        <f>Company1738!EX23</f>
      </c>
      <c r="EY61" s="820">
        <f>Company1738!EY23</f>
      </c>
      <c r="EZ61" s="820">
        <f>Company1738!EZ23</f>
      </c>
      <c r="FA61" s="830">
        <f>Company1738!FA23</f>
      </c>
      <c r="FB61" s="820">
        <f>Company1738!FB23</f>
      </c>
      <c r="FC61" s="820">
        <f>Company1738!FC23</f>
      </c>
      <c r="FD61" s="820">
        <f>Company1738!FD23</f>
      </c>
      <c r="FE61" s="820">
        <f>Company1738!FE23</f>
      </c>
      <c r="FF61" s="830">
        <f>Company1738!FF23</f>
      </c>
      <c r="FG61" s="820">
        <f>Company1738!FG23</f>
      </c>
      <c r="FH61" s="820">
        <f>Company1738!FH23</f>
      </c>
      <c r="FI61" s="820">
        <f>Company1738!FI23</f>
      </c>
      <c r="FJ61" s="820">
        <f>Company1738!FJ23</f>
      </c>
      <c r="FK61" s="830">
        <f>Company1738!FK23</f>
      </c>
      <c r="FL61" s="820">
        <f>Company1738!FL23</f>
      </c>
      <c r="FM61" s="820">
        <f>Company1738!FM23</f>
      </c>
      <c r="FN61" s="820">
        <f>Company1738!FN23</f>
      </c>
      <c r="FO61" s="820">
        <f>Company1738!FO23</f>
      </c>
      <c r="FP61" s="830">
        <f>Company1738!FP23</f>
      </c>
      <c r="FQ61" s="820">
        <f>Company1738!FQ23</f>
      </c>
      <c r="FR61" s="820">
        <f>Company1738!FR23</f>
      </c>
      <c r="FS61" s="820">
        <f>Company1738!FS23</f>
      </c>
      <c r="FT61" s="820">
        <f>Company1738!FT23</f>
      </c>
      <c r="FU61" s="830">
        <f>Company1738!FU23</f>
      </c>
      <c r="FV61" s="820">
        <f>Company1738!FV23</f>
      </c>
      <c r="FW61" s="820">
        <f>Company1738!FW23</f>
      </c>
      <c r="FX61" s="820">
        <f>Company1738!FX23</f>
      </c>
      <c r="FY61" s="820">
        <f>Company1738!FY23</f>
      </c>
      <c r="FZ61" s="830">
        <f>Company1738!FZ23</f>
      </c>
      <c r="GA61" s="820">
        <f>Company1738!GA23</f>
      </c>
      <c r="GB61" s="820">
        <f>Company1738!GB23</f>
      </c>
      <c r="GC61" s="820">
        <f>Company1738!GC23</f>
      </c>
      <c r="GD61" s="820">
        <f>Company1738!GD23</f>
      </c>
      <c r="GE61" s="830">
        <f>Company1738!GE23</f>
      </c>
      <c r="GF61" s="820">
        <f>Company1738!GF23</f>
      </c>
      <c r="GG61" s="820">
        <f>Company1738!GG23</f>
      </c>
      <c r="GH61" s="820">
        <f>Company1738!GH23</f>
      </c>
      <c r="GI61" s="820">
        <f>Company1738!GI23</f>
      </c>
      <c r="GJ61" s="830">
        <f>Company1738!GJ23</f>
      </c>
    </row>
    <row r="62" spans="1:192" ht="12.75" hidden="1" customHeight="1" outlineLevel="1">
      <c r="A62" s="68" t="s">
        <v>382</v>
      </c>
      <c r="B62" s="617" t="s">
        <v>34</v>
      </c>
      <c r="C62" s="291"/>
      <c r="D62" s="107"/>
      <c r="E62" s="107"/>
      <c r="F62" s="107"/>
      <c r="G62" s="536"/>
      <c r="H62" s="291"/>
      <c r="I62" s="107"/>
      <c r="J62" s="107"/>
      <c r="K62" s="107"/>
      <c r="L62" s="292"/>
      <c r="M62" s="291"/>
      <c r="N62" s="107"/>
      <c r="O62" s="107"/>
      <c r="P62" s="107"/>
      <c r="Q62" s="292"/>
      <c r="R62" s="291"/>
      <c r="S62" s="107"/>
      <c r="T62" s="107"/>
      <c r="U62" s="107"/>
      <c r="V62" s="292"/>
      <c r="W62" s="291"/>
      <c r="X62" s="107"/>
      <c r="Y62" s="107"/>
      <c r="Z62" s="107"/>
      <c r="AA62" s="292"/>
      <c r="AB62" s="291"/>
      <c r="AC62" s="107"/>
      <c r="AD62" s="107"/>
      <c r="AE62" s="107"/>
      <c r="AF62" s="292"/>
      <c r="AG62" s="291"/>
      <c r="AH62" s="107"/>
      <c r="AI62" s="107"/>
      <c r="AJ62" s="107"/>
      <c r="AK62" s="292"/>
      <c r="AL62" s="291"/>
      <c r="AM62" s="107"/>
      <c r="AN62" s="107"/>
      <c r="AO62" s="107"/>
      <c r="AP62" s="292"/>
      <c r="AQ62" s="291"/>
      <c r="AR62" s="107"/>
      <c r="AS62" s="107"/>
      <c r="AT62" s="107"/>
      <c r="AU62" s="292"/>
      <c r="AV62" s="291"/>
      <c r="AW62" s="107"/>
      <c r="AX62" s="107"/>
      <c r="AY62" s="107"/>
      <c r="AZ62" s="292"/>
      <c r="BA62" s="291"/>
      <c r="BB62" s="107"/>
      <c r="BC62" s="107"/>
      <c r="BD62" s="107"/>
      <c r="BE62" s="292"/>
      <c r="BF62" s="291"/>
      <c r="BG62" s="107"/>
      <c r="BH62" s="107"/>
      <c r="BI62" s="107"/>
      <c r="BJ62" s="292"/>
      <c r="BK62" s="291"/>
      <c r="BL62" s="107"/>
      <c r="BM62" s="107"/>
      <c r="BN62" s="107"/>
      <c r="BO62" s="292"/>
      <c r="BP62" s="291"/>
      <c r="BQ62" s="107"/>
      <c r="BR62" s="107"/>
      <c r="BS62" s="107"/>
      <c r="BT62" s="292"/>
      <c r="BU62" s="291"/>
      <c r="BV62" s="107"/>
      <c r="BW62" s="107"/>
      <c r="BX62" s="107"/>
      <c r="BY62" s="292"/>
      <c r="BZ62" s="291"/>
      <c r="CA62" s="107"/>
      <c r="CB62" s="107"/>
      <c r="CC62" s="107"/>
      <c r="CD62" s="292"/>
      <c r="CE62" s="291"/>
      <c r="CF62" s="107"/>
      <c r="CG62" s="107"/>
      <c r="CH62" s="107"/>
      <c r="CI62" s="292"/>
      <c r="CJ62" s="291"/>
      <c r="CK62" s="107"/>
      <c r="CL62" s="107"/>
      <c r="CM62" s="107"/>
      <c r="CN62" s="292"/>
      <c r="CO62" s="291"/>
      <c r="CP62" s="107"/>
      <c r="CQ62" s="107"/>
      <c r="CR62" s="107"/>
      <c r="CS62" s="292"/>
      <c r="CT62" s="291"/>
      <c r="CU62" s="107"/>
      <c r="CV62" s="107"/>
      <c r="CW62" s="107"/>
      <c r="CX62" s="292"/>
      <c r="CY62" s="291" t="str">
        <f t="shared" ref="CY62:ED62" si="89">IFERROR(CY61/CT61-1,"")</f>
      </c>
      <c r="CZ62" s="107" t="str">
        <f t="shared" si="89"/>
      </c>
      <c r="DA62" s="107" t="str">
        <f t="shared" si="89"/>
      </c>
      <c r="DB62" s="107" t="str">
        <f t="shared" si="89"/>
      </c>
      <c r="DC62" s="292" t="str">
        <f t="shared" si="89"/>
      </c>
      <c r="DD62" s="291">
        <f t="shared" si="89"/>
      </c>
      <c r="DE62" s="107">
        <f t="shared" si="89"/>
      </c>
      <c r="DF62" s="107">
        <f t="shared" si="89"/>
      </c>
      <c r="DG62" s="107">
        <f t="shared" si="89"/>
      </c>
      <c r="DH62" s="292">
        <f t="shared" si="89"/>
      </c>
      <c r="DI62" s="291">
        <f t="shared" si="89"/>
      </c>
      <c r="DJ62" s="107">
        <f t="shared" si="89"/>
      </c>
      <c r="DK62" s="107">
        <f t="shared" si="89"/>
      </c>
      <c r="DL62" s="107">
        <f t="shared" si="89"/>
      </c>
      <c r="DM62" s="292">
        <f t="shared" si="89"/>
      </c>
      <c r="DN62" s="291">
        <f t="shared" si="89"/>
      </c>
      <c r="DO62" s="107">
        <f t="shared" si="89"/>
      </c>
      <c r="DP62" s="107">
        <f t="shared" si="89"/>
      </c>
      <c r="DQ62" s="107">
        <f t="shared" si="89"/>
      </c>
      <c r="DR62" s="292">
        <f t="shared" si="89"/>
      </c>
      <c r="DS62" s="291">
        <f t="shared" si="89"/>
      </c>
      <c r="DT62" s="107">
        <f t="shared" si="89"/>
      </c>
      <c r="DU62" s="107">
        <f t="shared" si="89"/>
      </c>
      <c r="DV62" s="107">
        <f t="shared" si="89"/>
      </c>
      <c r="DW62" s="292">
        <f t="shared" si="89"/>
      </c>
      <c r="DX62" s="291">
        <f t="shared" si="89"/>
      </c>
      <c r="DY62" s="107">
        <f t="shared" si="89"/>
      </c>
      <c r="DZ62" s="107">
        <f t="shared" si="89"/>
      </c>
      <c r="EA62" s="107">
        <f t="shared" si="89"/>
      </c>
      <c r="EB62" s="292">
        <f t="shared" si="89"/>
      </c>
      <c r="EC62" s="291">
        <f t="shared" si="89"/>
      </c>
      <c r="ED62" s="107">
        <f t="shared" si="89"/>
      </c>
      <c r="EE62" s="107">
        <f t="shared" ref="EE62:FJ62" si="90">IFERROR(EE61/DZ61-1,"")</f>
      </c>
      <c r="EF62" s="107">
        <f t="shared" si="90"/>
      </c>
      <c r="EG62" s="292">
        <f t="shared" si="90"/>
      </c>
      <c r="EH62" s="291">
        <f t="shared" si="90"/>
      </c>
      <c r="EI62" s="107">
        <f t="shared" si="90"/>
      </c>
      <c r="EJ62" s="107">
        <f t="shared" si="90"/>
      </c>
      <c r="EK62" s="107">
        <f t="shared" si="90"/>
      </c>
      <c r="EL62" s="292">
        <f t="shared" si="90"/>
      </c>
      <c r="EM62" s="291">
        <f t="shared" si="90"/>
      </c>
      <c r="EN62" s="107">
        <f t="shared" si="90"/>
      </c>
      <c r="EO62" s="107">
        <f t="shared" si="90"/>
      </c>
      <c r="EP62" s="107">
        <f t="shared" si="90"/>
      </c>
      <c r="EQ62" s="292">
        <f t="shared" si="90"/>
      </c>
      <c r="ER62" s="291">
        <f t="shared" si="90"/>
      </c>
      <c r="ES62" s="107">
        <f t="shared" si="90"/>
      </c>
      <c r="ET62" s="107">
        <f t="shared" si="90"/>
      </c>
      <c r="EU62" s="107">
        <f t="shared" si="90"/>
      </c>
      <c r="EV62" s="292">
        <f t="shared" si="90"/>
      </c>
      <c r="EW62" s="291">
        <f t="shared" si="90"/>
      </c>
      <c r="EX62" s="291">
        <f t="shared" si="90"/>
      </c>
      <c r="EY62" s="107">
        <f t="shared" si="90"/>
      </c>
      <c r="EZ62" s="107">
        <f t="shared" si="90"/>
      </c>
      <c r="FA62" s="292">
        <f t="shared" si="90"/>
      </c>
      <c r="FB62" s="291">
        <f t="shared" si="90"/>
      </c>
      <c r="FC62" s="107">
        <f t="shared" si="90"/>
      </c>
      <c r="FD62" s="107">
        <f t="shared" si="90"/>
      </c>
      <c r="FE62" s="107">
        <f t="shared" si="90"/>
      </c>
      <c r="FF62" s="292">
        <f t="shared" si="90"/>
      </c>
      <c r="FG62" s="291">
        <f t="shared" si="90"/>
      </c>
      <c r="FH62" s="107">
        <f t="shared" si="90"/>
      </c>
      <c r="FI62" s="107">
        <f t="shared" si="90"/>
      </c>
      <c r="FJ62" s="107">
        <f t="shared" si="90"/>
      </c>
      <c r="FK62" s="292">
        <f t="shared" ref="FK62:GE62" si="91">IFERROR(FK61/FF61-1,"")</f>
      </c>
      <c r="FL62" s="291">
        <f t="shared" si="91"/>
      </c>
      <c r="FM62" s="107">
        <f t="shared" si="91"/>
      </c>
      <c r="FN62" s="107">
        <f t="shared" si="91"/>
      </c>
      <c r="FO62" s="107">
        <f t="shared" si="91"/>
      </c>
      <c r="FP62" s="292">
        <f t="shared" si="91"/>
      </c>
      <c r="FQ62" s="291">
        <f t="shared" si="91"/>
      </c>
      <c r="FR62" s="107">
        <f t="shared" si="91"/>
      </c>
      <c r="FS62" s="107">
        <f t="shared" si="91"/>
      </c>
      <c r="FT62" s="107">
        <f t="shared" si="91"/>
      </c>
      <c r="FU62" s="292">
        <f t="shared" si="91"/>
      </c>
      <c r="FV62" s="291">
        <f t="shared" si="91"/>
      </c>
      <c r="FW62" s="107">
        <f t="shared" si="91"/>
      </c>
      <c r="FX62" s="107">
        <f t="shared" si="91"/>
      </c>
      <c r="FY62" s="107">
        <f t="shared" si="91"/>
      </c>
      <c r="FZ62" s="292">
        <f t="shared" si="91"/>
      </c>
      <c r="GA62" s="291">
        <f t="shared" si="91"/>
      </c>
      <c r="GB62" s="107">
        <f t="shared" si="91"/>
      </c>
      <c r="GC62" s="107">
        <f t="shared" si="91"/>
      </c>
      <c r="GD62" s="107">
        <f t="shared" si="91"/>
      </c>
      <c r="GE62" s="292">
        <f t="shared" si="91"/>
      </c>
      <c r="GF62" s="291">
        <f t="shared" ref="GF62" si="92">IFERROR(GF61/GA61-1,"")</f>
      </c>
      <c r="GG62" s="107">
        <f t="shared" ref="GG62" si="93">IFERROR(GG61/GB61-1,"")</f>
      </c>
      <c r="GH62" s="107">
        <f t="shared" ref="GH62" si="94">IFERROR(GH61/GC61-1,"")</f>
      </c>
      <c r="GI62" s="107">
        <f t="shared" ref="GI62" si="95">IFERROR(GI61/GD61-1,"")</f>
      </c>
      <c r="GJ62" s="292">
        <f t="shared" ref="GJ62" si="96">IFERROR(GJ61/GE61-1,"")</f>
      </c>
    </row>
    <row r="63" spans="1:192" ht="12.75" hidden="1" customHeight="1" outlineLevel="1">
      <c r="A63" s="68" t="s">
        <v>383</v>
      </c>
      <c r="B63" s="617" t="s">
        <v>36</v>
      </c>
      <c r="C63" s="291"/>
      <c r="D63" s="137"/>
      <c r="E63" s="137"/>
      <c r="F63" s="137"/>
      <c r="G63" s="538"/>
      <c r="H63" s="291"/>
      <c r="I63" s="107"/>
      <c r="J63" s="107"/>
      <c r="K63" s="107"/>
      <c r="L63" s="293"/>
      <c r="M63" s="291"/>
      <c r="N63" s="107"/>
      <c r="O63" s="107"/>
      <c r="P63" s="107"/>
      <c r="Q63" s="293"/>
      <c r="R63" s="291"/>
      <c r="S63" s="107"/>
      <c r="T63" s="107"/>
      <c r="U63" s="107"/>
      <c r="V63" s="293"/>
      <c r="W63" s="291"/>
      <c r="X63" s="107"/>
      <c r="Y63" s="107"/>
      <c r="Z63" s="107"/>
      <c r="AA63" s="293"/>
      <c r="AB63" s="291"/>
      <c r="AC63" s="107"/>
      <c r="AD63" s="107"/>
      <c r="AE63" s="107"/>
      <c r="AF63" s="293"/>
      <c r="AG63" s="291"/>
      <c r="AH63" s="107"/>
      <c r="AI63" s="107"/>
      <c r="AJ63" s="107"/>
      <c r="AK63" s="293"/>
      <c r="AL63" s="291"/>
      <c r="AM63" s="107"/>
      <c r="AN63" s="107"/>
      <c r="AO63" s="107"/>
      <c r="AP63" s="293"/>
      <c r="AQ63" s="291"/>
      <c r="AR63" s="107"/>
      <c r="AS63" s="107"/>
      <c r="AT63" s="107"/>
      <c r="AU63" s="293"/>
      <c r="AV63" s="291"/>
      <c r="AW63" s="107"/>
      <c r="AX63" s="107"/>
      <c r="AY63" s="107"/>
      <c r="AZ63" s="293"/>
      <c r="BA63" s="291"/>
      <c r="BB63" s="107"/>
      <c r="BC63" s="107"/>
      <c r="BD63" s="107"/>
      <c r="BE63" s="293"/>
      <c r="BF63" s="291"/>
      <c r="BG63" s="107"/>
      <c r="BH63" s="107"/>
      <c r="BI63" s="107"/>
      <c r="BJ63" s="293"/>
      <c r="BK63" s="291"/>
      <c r="BL63" s="107"/>
      <c r="BM63" s="107"/>
      <c r="BN63" s="107"/>
      <c r="BO63" s="293"/>
      <c r="BP63" s="291"/>
      <c r="BQ63" s="107"/>
      <c r="BR63" s="107"/>
      <c r="BS63" s="107"/>
      <c r="BT63" s="293"/>
      <c r="BU63" s="291"/>
      <c r="BV63" s="107"/>
      <c r="BW63" s="107"/>
      <c r="BX63" s="107"/>
      <c r="BY63" s="293"/>
      <c r="BZ63" s="291"/>
      <c r="CA63" s="107"/>
      <c r="CB63" s="107"/>
      <c r="CC63" s="107"/>
      <c r="CD63" s="466"/>
      <c r="CE63" s="291"/>
      <c r="CF63" s="107"/>
      <c r="CG63" s="107"/>
      <c r="CH63" s="107"/>
      <c r="CI63" s="293"/>
      <c r="CJ63" s="291"/>
      <c r="CK63" s="107"/>
      <c r="CL63" s="107"/>
      <c r="CM63" s="107"/>
      <c r="CN63" s="293"/>
      <c r="CO63" s="291"/>
      <c r="CP63" s="107"/>
      <c r="CQ63" s="107"/>
      <c r="CR63" s="107"/>
      <c r="CS63" s="293"/>
      <c r="CT63" s="291"/>
      <c r="CU63" s="107"/>
      <c r="CV63" s="107"/>
      <c r="CW63" s="107"/>
      <c r="CX63" s="293"/>
      <c r="CY63" s="291" t="str">
        <f>IFERROR(CY61/CW61-1,"")</f>
      </c>
      <c r="CZ63" s="107">
        <f>IFERROR(CZ61/CY61-1,"")</f>
      </c>
      <c r="DA63" s="107">
        <f>IFERROR(DA61/CZ61-1,"")</f>
      </c>
      <c r="DB63" s="107">
        <f>IFERROR(DB61/DA61-1,"")</f>
      </c>
      <c r="DC63" s="293"/>
      <c r="DD63" s="291">
        <f>IFERROR(DD61/DB61-1,"")</f>
      </c>
      <c r="DE63" s="107">
        <f>IFERROR(DE61/DD61-1,"")</f>
      </c>
      <c r="DF63" s="107">
        <f>IFERROR(DF61/DE61-1,"")</f>
      </c>
      <c r="DG63" s="107">
        <f>IFERROR(DG61/DF61-1,"")</f>
      </c>
      <c r="DH63" s="293"/>
      <c r="DI63" s="291">
        <f>IFERROR(DI61/DG61-1,"")</f>
      </c>
      <c r="DJ63" s="107">
        <f>IFERROR(DJ61/DI61-1,"")</f>
      </c>
      <c r="DK63" s="107">
        <f>IFERROR(DK61/DJ61-1,"")</f>
      </c>
      <c r="DL63" s="107">
        <f>IFERROR(DL61/DK61-1,"")</f>
      </c>
      <c r="DM63" s="293"/>
      <c r="DN63" s="291">
        <f>IFERROR(DN61/DL61-1,"")</f>
      </c>
      <c r="DO63" s="107">
        <f>IFERROR(DO61/DN61-1,"")</f>
      </c>
      <c r="DP63" s="107">
        <f>IFERROR(DP61/DO61-1,"")</f>
      </c>
      <c r="DQ63" s="107">
        <f>IFERROR(DQ61/DP61-1,"")</f>
      </c>
      <c r="DR63" s="293"/>
      <c r="DS63" s="291">
        <f>IFERROR(DS61/DQ61-1,"")</f>
      </c>
      <c r="DT63" s="107">
        <f>IFERROR(DT61/DS61-1,"")</f>
      </c>
      <c r="DU63" s="107">
        <f>IFERROR(DU61/DT61-1,"")</f>
      </c>
      <c r="DV63" s="107">
        <f>IFERROR(DV61/DU61-1,"")</f>
      </c>
      <c r="DW63" s="293"/>
      <c r="DX63" s="291">
        <f>IFERROR(DX61/DV61-1,"")</f>
      </c>
      <c r="DY63" s="107">
        <f>IFERROR(DY61/DX61-1,"")</f>
      </c>
      <c r="DZ63" s="107">
        <f>IFERROR(DZ61/DY61-1,"")</f>
      </c>
      <c r="EA63" s="107">
        <f>IFERROR(EA61/DZ61-1,"")</f>
      </c>
      <c r="EB63" s="293"/>
      <c r="EC63" s="291">
        <f>IFERROR(EC61/EA61-1,"")</f>
      </c>
      <c r="ED63" s="107">
        <f>IFERROR(ED61/EC61-1,"")</f>
      </c>
      <c r="EE63" s="107">
        <f>IFERROR(EE61/ED61-1,"")</f>
      </c>
      <c r="EF63" s="107">
        <f>IFERROR(EF61/EE61-1,"")</f>
      </c>
      <c r="EG63" s="293"/>
      <c r="EH63" s="291">
        <f>IFERROR(EH61/EF61-1,"")</f>
      </c>
      <c r="EI63" s="107">
        <f>IFERROR(EI61/EH61-1,"")</f>
      </c>
      <c r="EJ63" s="107">
        <f>IFERROR(EJ61/EI61-1,"")</f>
      </c>
      <c r="EK63" s="107">
        <f>IFERROR(EK61/EJ61-1,"")</f>
      </c>
      <c r="EL63" s="293"/>
      <c r="EM63" s="291">
        <f>IFERROR(EM61/EK61-1,"")</f>
      </c>
      <c r="EN63" s="107">
        <f>IFERROR(EN61/EM61-1,"")</f>
      </c>
      <c r="EO63" s="107">
        <f>IFERROR(EO61/EN61-1,"")</f>
      </c>
      <c r="EP63" s="107">
        <f>IFERROR(EP61/EO61-1,"")</f>
      </c>
      <c r="EQ63" s="293"/>
      <c r="ER63" s="291">
        <f>IFERROR(ER61/EP61-1,"")</f>
      </c>
      <c r="ES63" s="107">
        <f>IFERROR(ES61/ER61-1,"")</f>
      </c>
      <c r="ET63" s="107">
        <f>IFERROR(ET61/ES61-1,"")</f>
      </c>
      <c r="EU63" s="107">
        <f>IFERROR(EU61/ET61-1,"")</f>
      </c>
      <c r="EV63" s="293"/>
      <c r="EW63" s="291">
        <f>IFERROR(EW61/EU61-1,"")</f>
      </c>
      <c r="EX63" s="291">
        <f>IFERROR(EX61/EV61-1,"")</f>
      </c>
      <c r="EY63" s="107">
        <f>IFERROR(EY61/EX61-1,"")</f>
      </c>
      <c r="EZ63" s="107">
        <f>IFERROR(EZ61/EY61-1,"")</f>
      </c>
      <c r="FA63" s="293"/>
      <c r="FB63" s="291">
        <f>IFERROR(FB61/EZ61-1,"")</f>
      </c>
      <c r="FC63" s="107">
        <f>IFERROR(FC61/FB61-1,"")</f>
      </c>
      <c r="FD63" s="107">
        <f>IFERROR(FD61/FC61-1,"")</f>
      </c>
      <c r="FE63" s="107">
        <f>IFERROR(FE61/FD61-1,"")</f>
      </c>
      <c r="FF63" s="293"/>
      <c r="FG63" s="291">
        <f>IFERROR(FG61/FE61-1,"")</f>
      </c>
      <c r="FH63" s="107">
        <f>IFERROR(FH61/FG61-1,"")</f>
      </c>
      <c r="FI63" s="107">
        <f>IFERROR(FI61/FH61-1,"")</f>
      </c>
      <c r="FJ63" s="107">
        <f>IFERROR(FJ61/FI61-1,"")</f>
      </c>
      <c r="FK63" s="293"/>
      <c r="FL63" s="291">
        <f>IFERROR(FL61/FJ61-1,"")</f>
      </c>
      <c r="FM63" s="107">
        <f>IFERROR(FM61/FL61-1,"")</f>
      </c>
      <c r="FN63" s="107">
        <f>IFERROR(FN61/FM61-1,"")</f>
      </c>
      <c r="FO63" s="107">
        <f>IFERROR(FO61/FN61-1,"")</f>
      </c>
      <c r="FP63" s="293"/>
      <c r="FQ63" s="291">
        <f>IFERROR(FQ61/FO61-1,"")</f>
      </c>
      <c r="FR63" s="107">
        <f>IFERROR(FR61/FQ61-1,"")</f>
      </c>
      <c r="FS63" s="107">
        <f>IFERROR(FS61/FR61-1,"")</f>
      </c>
      <c r="FT63" s="107">
        <f>IFERROR(FT61/FS61-1,"")</f>
      </c>
      <c r="FU63" s="293"/>
      <c r="FV63" s="291">
        <f>IFERROR(FV61/FT61-1,"")</f>
      </c>
      <c r="FW63" s="107">
        <f>IFERROR(FW61/FV61-1,"")</f>
      </c>
      <c r="FX63" s="107">
        <f>IFERROR(FX61/FW61-1,"")</f>
      </c>
      <c r="FY63" s="107">
        <f>IFERROR(FY61/FX61-1,"")</f>
      </c>
      <c r="FZ63" s="293"/>
      <c r="GA63" s="291">
        <f>IFERROR(GA61/FY61-1,"")</f>
      </c>
      <c r="GB63" s="107">
        <f>IFERROR(GB61/GA61-1,"")</f>
      </c>
      <c r="GC63" s="107">
        <f>IFERROR(GC61/GB61-1,"")</f>
      </c>
      <c r="GD63" s="107">
        <f>IFERROR(GD61/GC61-1,"")</f>
      </c>
      <c r="GE63" s="293"/>
      <c r="GF63" s="291">
        <f>IFERROR(GF61/GD61-1,"")</f>
      </c>
      <c r="GG63" s="107">
        <f>IFERROR(GG61/GF61-1,"")</f>
      </c>
      <c r="GH63" s="107">
        <f>IFERROR(GH61/GG61-1,"")</f>
      </c>
      <c r="GI63" s="107">
        <f>IFERROR(GI61/GH61-1,"")</f>
      </c>
      <c r="GJ63" s="293"/>
    </row>
    <row r="64" spans="1:192" s="1200" customFormat="1" ht="12.75" hidden="1" customHeight="1" outlineLevel="1">
      <c r="A64" s="1272"/>
      <c r="B64" s="618" t="s">
        <v>259</v>
      </c>
      <c r="C64" s="920"/>
      <c r="D64" s="920"/>
      <c r="E64" s="920"/>
      <c r="F64" s="920"/>
      <c r="G64" s="1248"/>
      <c r="H64" s="920"/>
      <c r="I64" s="920"/>
      <c r="J64" s="920"/>
      <c r="K64" s="920"/>
      <c r="L64" s="1248"/>
      <c r="M64" s="920"/>
      <c r="N64" s="920"/>
      <c r="O64" s="920"/>
      <c r="P64" s="920"/>
      <c r="Q64" s="1248"/>
      <c r="R64" s="920"/>
      <c r="S64" s="920"/>
      <c r="T64" s="920"/>
      <c r="U64" s="920"/>
      <c r="V64" s="1248"/>
      <c r="W64" s="920"/>
      <c r="X64" s="920"/>
      <c r="Y64" s="920"/>
      <c r="Z64" s="920"/>
      <c r="AA64" s="1248"/>
      <c r="AB64" s="920"/>
      <c r="AC64" s="920"/>
      <c r="AD64" s="920"/>
      <c r="AE64" s="920"/>
      <c r="AF64" s="1248"/>
      <c r="AG64" s="920"/>
      <c r="AH64" s="920"/>
      <c r="AI64" s="920"/>
      <c r="AJ64" s="920"/>
      <c r="AK64" s="1248"/>
      <c r="AL64" s="920"/>
      <c r="AM64" s="920"/>
      <c r="AN64" s="920"/>
      <c r="AO64" s="920"/>
      <c r="AP64" s="1248"/>
      <c r="AQ64" s="920"/>
      <c r="AR64" s="920"/>
      <c r="AS64" s="920"/>
      <c r="AT64" s="920"/>
      <c r="AU64" s="1248"/>
      <c r="AV64" s="920"/>
      <c r="AW64" s="920"/>
      <c r="AX64" s="920"/>
      <c r="AY64" s="920"/>
      <c r="AZ64" s="1248"/>
      <c r="BA64" s="920"/>
      <c r="BB64" s="920"/>
      <c r="BC64" s="920"/>
      <c r="BD64" s="920"/>
      <c r="BE64" s="1248"/>
      <c r="BF64" s="920"/>
      <c r="BG64" s="920"/>
      <c r="BH64" s="920"/>
      <c r="BI64" s="920"/>
      <c r="BJ64" s="1248"/>
      <c r="BK64" s="920"/>
      <c r="BL64" s="920"/>
      <c r="BM64" s="920"/>
      <c r="BN64" s="920"/>
      <c r="BO64" s="1248"/>
      <c r="BP64" s="920"/>
      <c r="BQ64" s="920"/>
      <c r="BR64" s="920"/>
      <c r="BS64" s="920"/>
      <c r="BT64" s="1248"/>
      <c r="BU64" s="920"/>
      <c r="BV64" s="920"/>
      <c r="BW64" s="920"/>
      <c r="BX64" s="920"/>
      <c r="BY64" s="1248"/>
      <c r="BZ64" s="920"/>
      <c r="CA64" s="920"/>
      <c r="CB64" s="920"/>
      <c r="CC64" s="920"/>
      <c r="CD64" s="1248"/>
      <c r="CE64" s="920"/>
      <c r="CF64" s="920"/>
      <c r="CG64" s="920"/>
      <c r="CH64" s="920"/>
      <c r="CI64" s="1248"/>
      <c r="CJ64" s="920"/>
      <c r="CK64" s="920"/>
      <c r="CL64" s="920"/>
      <c r="CM64" s="920"/>
      <c r="CN64" s="1248"/>
      <c r="CO64" s="920"/>
      <c r="CP64" s="920"/>
      <c r="CQ64" s="920"/>
      <c r="CR64" s="920"/>
      <c r="CS64" s="1248"/>
      <c r="CT64" s="920"/>
      <c r="CU64" s="920"/>
      <c r="CV64" s="920"/>
      <c r="CW64" s="920"/>
      <c r="CX64" s="1248"/>
      <c r="CY64" s="1334">
        <f>Company1738!CY63</f>
      </c>
      <c r="CZ64" s="1334">
        <f>Company1738!CZ63</f>
      </c>
      <c r="DA64" s="1334">
        <f>Company1738!DA63</f>
      </c>
      <c r="DB64" s="1334">
        <f>Company1738!DB63</f>
      </c>
      <c r="DC64" s="1335">
        <f>Company1738!DC63</f>
      </c>
      <c r="DD64" s="1334">
        <f>Company1738!DD63</f>
      </c>
      <c r="DE64" s="1334">
        <f>Company1738!DE63</f>
      </c>
      <c r="DF64" s="1334">
        <f>Company1738!DF63</f>
      </c>
      <c r="DG64" s="1334">
        <f>Company1738!DG63</f>
      </c>
      <c r="DH64" s="1335">
        <f>Company1738!DH63</f>
      </c>
      <c r="DI64" s="1334">
        <f>Company1738!DI63</f>
      </c>
      <c r="DJ64" s="1334">
        <f>Company1738!DJ63</f>
      </c>
      <c r="DK64" s="1334">
        <f>Company1738!DK63</f>
      </c>
      <c r="DL64" s="1334">
        <f>Company1738!DL63</f>
      </c>
      <c r="DM64" s="1335">
        <f>Company1738!DM63</f>
      </c>
      <c r="DN64" s="1334">
        <f>Company1738!DN63</f>
      </c>
      <c r="DO64" s="1334">
        <f>Company1738!DO63</f>
      </c>
      <c r="DP64" s="1334">
        <f>Company1738!DP63</f>
      </c>
      <c r="DQ64" s="1334">
        <f>Company1738!DQ63</f>
      </c>
      <c r="DR64" s="1335">
        <f>Company1738!DR63</f>
      </c>
      <c r="DS64" s="1334">
        <f>Company1738!DS63</f>
      </c>
      <c r="DT64" s="1334">
        <f>Company1738!DT63</f>
      </c>
      <c r="DU64" s="1334">
        <f>Company1738!DU63</f>
      </c>
      <c r="DV64" s="1334">
        <f>Company1738!DV63</f>
      </c>
      <c r="DW64" s="1335">
        <f>Company1738!DW63</f>
      </c>
      <c r="DX64" s="1334">
        <f>Company1738!DX63</f>
      </c>
      <c r="DY64" s="1334">
        <f>Company1738!DY63</f>
      </c>
      <c r="DZ64" s="1334">
        <f>Company1738!DZ63</f>
      </c>
      <c r="EA64" s="1334">
        <f>Company1738!EA63</f>
      </c>
      <c r="EB64" s="1335">
        <f>Company1738!EB63</f>
      </c>
      <c r="EC64" s="1334">
        <f>Company1738!EC63</f>
      </c>
      <c r="ED64" s="1334">
        <f>Company1738!ED63</f>
      </c>
      <c r="EE64" s="1334">
        <f>Company1738!EE63</f>
      </c>
      <c r="EF64" s="1334">
        <f>Company1738!EF63</f>
      </c>
      <c r="EG64" s="1335">
        <f>Company1738!EG63</f>
      </c>
      <c r="EH64" s="1334">
        <f>Company1738!EH63</f>
      </c>
      <c r="EI64" s="1334">
        <f>Company1738!EI63</f>
      </c>
      <c r="EJ64" s="1334">
        <f>Company1738!EJ63</f>
      </c>
      <c r="EK64" s="1334">
        <f>Company1738!EK63</f>
      </c>
      <c r="EL64" s="1335">
        <f>Company1738!EL63</f>
      </c>
      <c r="EM64" s="1334">
        <f>Company1738!EM63</f>
      </c>
      <c r="EN64" s="1334">
        <f>Company1738!EN63</f>
      </c>
      <c r="EO64" s="1334">
        <f>Company1738!EO63</f>
      </c>
      <c r="EP64" s="1334">
        <f>Company1738!EP63</f>
      </c>
      <c r="EQ64" s="1335">
        <f>Company1738!EQ63</f>
      </c>
      <c r="ER64" s="1334">
        <f>Company1738!ER28</f>
      </c>
      <c r="ES64" s="1334">
        <f>Company1738!ES28</f>
      </c>
      <c r="ET64" s="1334">
        <f>Company1738!ET28</f>
      </c>
      <c r="EU64" s="1495">
        <f>Company1738!EU28</f>
      </c>
      <c r="EV64" s="1335">
        <f>Company1738!EV28</f>
      </c>
      <c r="EW64" s="1334">
        <f>Company1738!EW28</f>
      </c>
      <c r="EX64" s="1334">
        <f>Company1738!EX28</f>
      </c>
      <c r="EY64" s="1334">
        <f>Company1738!EY28</f>
      </c>
      <c r="EZ64" s="1334">
        <f>Company1738!EZ28</f>
      </c>
      <c r="FA64" s="1335">
        <f>Company1738!FA28</f>
      </c>
      <c r="FB64" s="1334">
        <f>Company1738!FB28</f>
      </c>
      <c r="FC64" s="1334">
        <f>Company1738!FC28</f>
      </c>
      <c r="FD64" s="1334">
        <f>Company1738!FD28</f>
      </c>
      <c r="FE64" s="1334">
        <f>Company1738!FE28</f>
      </c>
      <c r="FF64" s="1335">
        <f>Company1738!FF28</f>
      </c>
      <c r="FG64" s="1334">
        <f>Company1738!FG28</f>
      </c>
      <c r="FH64" s="1334">
        <f>Company1738!FH28</f>
      </c>
      <c r="FI64" s="1334">
        <f>Company1738!FI28</f>
      </c>
      <c r="FJ64" s="1334">
        <f>Company1738!FJ28</f>
      </c>
      <c r="FK64" s="1335">
        <f>Company1738!FK28</f>
      </c>
      <c r="FL64" s="1334">
        <f>Company1738!FL28</f>
      </c>
      <c r="FM64" s="1334">
        <f>Company1738!FM28</f>
      </c>
      <c r="FN64" s="1334">
        <f>Company1738!FN28</f>
      </c>
      <c r="FO64" s="1334">
        <f>Company1738!FO28</f>
      </c>
      <c r="FP64" s="1335">
        <f>Company1738!FP28</f>
      </c>
      <c r="FQ64" s="1334">
        <f>Company1738!FQ28</f>
      </c>
      <c r="FR64" s="1334">
        <f>Company1738!FR28</f>
      </c>
      <c r="FS64" s="1334">
        <f>Company1738!FS28</f>
      </c>
      <c r="FT64" s="1334">
        <f>Company1738!FT28</f>
      </c>
      <c r="FU64" s="1335">
        <f>Company1738!FU28</f>
      </c>
      <c r="FV64" s="1334">
        <f>Company1738!FV28</f>
      </c>
      <c r="FW64" s="1334">
        <f>Company1738!FW28</f>
      </c>
      <c r="FX64" s="1334">
        <f>Company1738!FX28</f>
      </c>
      <c r="FY64" s="1334">
        <f>Company1738!FY28</f>
      </c>
      <c r="FZ64" s="1335">
        <f>Company1738!FZ28</f>
      </c>
      <c r="GA64" s="1334">
        <f>Company1738!GA28</f>
      </c>
      <c r="GB64" s="1334">
        <f>Company1738!GB28</f>
      </c>
      <c r="GC64" s="1334">
        <f>Company1738!GC28</f>
      </c>
      <c r="GD64" s="1334">
        <f>Company1738!GD28</f>
      </c>
      <c r="GE64" s="1335">
        <f>Company1738!GE28</f>
      </c>
      <c r="GF64" s="1334">
        <f>Company1738!GF28</f>
      </c>
      <c r="GG64" s="1334">
        <f>Company1738!GG28</f>
      </c>
      <c r="GH64" s="1334">
        <f>Company1738!GH28</f>
      </c>
      <c r="GI64" s="1334">
        <f>Company1738!GI28</f>
      </c>
      <c r="GJ64" s="1335">
        <f>Company1738!GJ28</f>
      </c>
    </row>
    <row r="65" spans="1:192" ht="12.75" hidden="1" customHeight="1" outlineLevel="1">
      <c r="C65" s="294"/>
      <c r="D65" s="295"/>
      <c r="E65" s="295"/>
      <c r="F65" s="295"/>
      <c r="G65" s="296"/>
      <c r="H65" s="294"/>
      <c r="I65" s="295"/>
      <c r="J65" s="295"/>
      <c r="K65" s="295"/>
      <c r="L65" s="296"/>
      <c r="M65" s="294"/>
      <c r="N65" s="295"/>
      <c r="O65" s="295"/>
      <c r="P65" s="295"/>
      <c r="Q65" s="296"/>
      <c r="R65" s="294"/>
      <c r="S65" s="295"/>
      <c r="T65" s="295"/>
      <c r="U65" s="295"/>
      <c r="V65" s="296"/>
      <c r="W65" s="294"/>
      <c r="X65" s="295"/>
      <c r="Y65" s="295"/>
      <c r="Z65" s="295"/>
      <c r="AA65" s="296"/>
      <c r="AB65" s="294"/>
      <c r="AC65" s="295"/>
      <c r="AD65" s="295"/>
      <c r="AE65" s="295"/>
      <c r="AF65" s="296"/>
      <c r="AG65" s="294"/>
      <c r="AH65" s="295"/>
      <c r="AI65" s="295"/>
      <c r="AJ65" s="295"/>
      <c r="AK65" s="296"/>
      <c r="AL65" s="294"/>
      <c r="AM65" s="295"/>
      <c r="AN65" s="295"/>
      <c r="AO65" s="295"/>
      <c r="AP65" s="296"/>
      <c r="AQ65" s="294"/>
      <c r="AR65" s="295"/>
      <c r="AS65" s="295"/>
      <c r="AT65" s="295"/>
      <c r="AU65" s="296"/>
      <c r="AV65" s="294"/>
      <c r="AW65" s="295"/>
      <c r="AX65" s="295"/>
      <c r="AY65" s="295"/>
      <c r="AZ65" s="296"/>
      <c r="BA65" s="294"/>
      <c r="BB65" s="295"/>
      <c r="BC65" s="295"/>
      <c r="BD65" s="295"/>
      <c r="BE65" s="296"/>
      <c r="BF65" s="294"/>
      <c r="BG65" s="295"/>
      <c r="BH65" s="295"/>
      <c r="BI65" s="295"/>
      <c r="BJ65" s="296"/>
      <c r="BK65" s="294"/>
      <c r="BL65" s="295"/>
      <c r="BM65" s="295"/>
      <c r="BN65" s="295"/>
      <c r="BO65" s="296"/>
      <c r="BP65" s="294"/>
      <c r="BQ65" s="295"/>
      <c r="BR65" s="295"/>
      <c r="BS65" s="295"/>
      <c r="BT65" s="296"/>
      <c r="BU65" s="294"/>
      <c r="BV65" s="295"/>
      <c r="BW65" s="295"/>
      <c r="BX65" s="295"/>
      <c r="BY65" s="296"/>
      <c r="BZ65" s="294"/>
      <c r="CA65" s="295"/>
      <c r="CB65" s="295"/>
      <c r="CC65" s="295"/>
      <c r="CD65" s="296"/>
      <c r="CE65" s="294"/>
      <c r="CF65" s="295"/>
      <c r="CG65" s="295"/>
      <c r="CH65" s="295"/>
      <c r="CI65" s="296"/>
      <c r="CJ65" s="294"/>
      <c r="CK65" s="295"/>
      <c r="CL65" s="295"/>
      <c r="CM65" s="295"/>
      <c r="CN65" s="296"/>
      <c r="CO65" s="294"/>
      <c r="CP65" s="295"/>
      <c r="CQ65" s="295"/>
      <c r="CR65" s="295"/>
      <c r="CS65" s="296"/>
      <c r="CT65" s="294"/>
      <c r="CU65" s="295"/>
      <c r="CV65" s="295"/>
      <c r="CW65" s="295"/>
      <c r="CX65" s="296"/>
      <c r="CY65" s="294"/>
      <c r="CZ65" s="295"/>
      <c r="DA65" s="295"/>
      <c r="DB65" s="295"/>
      <c r="DC65" s="296"/>
      <c r="DD65" s="294"/>
      <c r="DE65" s="295"/>
      <c r="DF65" s="295"/>
      <c r="DG65" s="295"/>
      <c r="DH65" s="296"/>
      <c r="DI65" s="294"/>
      <c r="DJ65" s="295"/>
      <c r="DK65" s="295"/>
      <c r="DL65" s="295"/>
      <c r="DM65" s="296"/>
      <c r="DN65" s="294"/>
      <c r="DO65" s="295"/>
      <c r="DP65" s="295"/>
      <c r="DQ65" s="295"/>
      <c r="DR65" s="296"/>
      <c r="DS65" s="294"/>
      <c r="DT65" s="295"/>
      <c r="DU65" s="295"/>
      <c r="DV65" s="295"/>
      <c r="DW65" s="296"/>
      <c r="DX65" s="294"/>
      <c r="DY65" s="295"/>
      <c r="DZ65" s="295"/>
      <c r="EA65" s="295"/>
      <c r="EB65" s="296"/>
      <c r="EC65" s="294"/>
      <c r="ED65" s="295"/>
      <c r="EE65" s="295"/>
      <c r="EF65" s="295"/>
      <c r="EG65" s="296"/>
      <c r="EH65" s="294"/>
      <c r="EI65" s="295"/>
      <c r="EJ65" s="295"/>
      <c r="EK65" s="295"/>
      <c r="EL65" s="296"/>
      <c r="EM65" s="294"/>
      <c r="EN65" s="295"/>
      <c r="EO65" s="295"/>
      <c r="EP65" s="295"/>
      <c r="EQ65" s="296"/>
      <c r="ER65" s="104"/>
      <c r="ES65" s="295"/>
      <c r="ET65" s="295"/>
      <c r="EU65" s="469"/>
      <c r="EV65" s="296"/>
      <c r="EW65" s="294"/>
      <c r="EX65" s="295"/>
      <c r="EY65" s="295"/>
      <c r="EZ65" s="469"/>
      <c r="FA65" s="296"/>
      <c r="FB65" s="294"/>
      <c r="FC65" s="295"/>
      <c r="FD65" s="295"/>
      <c r="FE65" s="295"/>
      <c r="FF65" s="296"/>
      <c r="FG65" s="294"/>
      <c r="FH65" s="295"/>
      <c r="FI65" s="295"/>
      <c r="FJ65" s="295"/>
      <c r="FK65" s="296"/>
      <c r="FL65" s="294"/>
      <c r="FM65" s="295"/>
      <c r="FN65" s="295"/>
      <c r="FO65" s="295"/>
      <c r="FP65" s="296"/>
      <c r="FQ65" s="294"/>
      <c r="FR65" s="295"/>
      <c r="FS65" s="295"/>
      <c r="FT65" s="295"/>
      <c r="FU65" s="296"/>
      <c r="FV65" s="294"/>
      <c r="FW65" s="295"/>
      <c r="FX65" s="295"/>
      <c r="FY65" s="295"/>
      <c r="FZ65" s="296"/>
      <c r="GA65" s="294"/>
      <c r="GB65" s="295"/>
      <c r="GC65" s="295"/>
      <c r="GD65" s="295"/>
      <c r="GE65" s="296"/>
      <c r="GF65" s="294"/>
      <c r="GG65" s="295"/>
      <c r="GH65" s="295"/>
      <c r="GI65" s="295"/>
      <c r="GJ65" s="296"/>
    </row>
    <row r="66" spans="1:192" s="623" customFormat="1" ht="12.75" customHeight="1" collapsed="1">
      <c r="A66" s="787" t="s">
        <v>344</v>
      </c>
      <c r="B66" s="621" t="s">
        <v>38</v>
      </c>
      <c r="C66" s="619">
        <f>C24-C45</f>
      </c>
      <c r="D66" s="619">
        <f>D24-D45</f>
      </c>
      <c r="E66" s="619">
        <f>E24-E45</f>
      </c>
      <c r="F66" s="619">
        <f>F24-F45</f>
      </c>
      <c r="G66" s="622">
        <f>SUM(C66:F66)</f>
      </c>
      <c r="H66" s="619">
        <f>H24-H45</f>
      </c>
      <c r="I66" s="619">
        <f>I24-I45</f>
      </c>
      <c r="J66" s="619">
        <f>J24-J45</f>
      </c>
      <c r="K66" s="619">
        <f>K24-K45</f>
      </c>
      <c r="L66" s="622">
        <f>SUM(H66:K66)</f>
      </c>
      <c r="M66" s="619">
        <f>M24-M45</f>
      </c>
      <c r="N66" s="619">
        <f>N24-N45</f>
      </c>
      <c r="O66" s="619">
        <f>O24-O45</f>
      </c>
      <c r="P66" s="619">
        <f>P24-P45</f>
      </c>
      <c r="Q66" s="622">
        <f>SUM(M66:P66)</f>
      </c>
      <c r="R66" s="619">
        <f>R24-R45</f>
      </c>
      <c r="S66" s="619">
        <f>S24-S45</f>
      </c>
      <c r="T66" s="619">
        <f>T24-T45</f>
      </c>
      <c r="U66" s="619">
        <f>U24-U45</f>
      </c>
      <c r="V66" s="622">
        <f>SUM(R66:U66)</f>
      </c>
      <c r="W66" s="619">
        <f>W24-W45</f>
      </c>
      <c r="X66" s="619">
        <f>X24-X45</f>
      </c>
      <c r="Y66" s="619">
        <f>Y24-Y45</f>
      </c>
      <c r="Z66" s="619">
        <f>Z24-Z45</f>
      </c>
      <c r="AA66" s="622">
        <f>SUM(W66:Z66)</f>
      </c>
      <c r="AB66" s="619">
        <f>AB24-AB45</f>
      </c>
      <c r="AC66" s="619">
        <f>AC24-AC45</f>
      </c>
      <c r="AD66" s="619">
        <f>AD24-AD45</f>
      </c>
      <c r="AE66" s="619">
        <f>AE24-AE45</f>
      </c>
      <c r="AF66" s="622">
        <f>SUM(AB66:AE66)</f>
      </c>
      <c r="AG66" s="619">
        <f>AG24-AG45</f>
      </c>
      <c r="AH66" s="619">
        <f>AH24-AH45</f>
      </c>
      <c r="AI66" s="619">
        <f>AI24-AI45</f>
      </c>
      <c r="AJ66" s="619">
        <f>AJ24-AJ45</f>
      </c>
      <c r="AK66" s="622">
        <f>SUM(AG66:AJ66)</f>
      </c>
      <c r="AL66" s="619">
        <f>AL24-AL45</f>
      </c>
      <c r="AM66" s="619">
        <f>AM24-AM45</f>
      </c>
      <c r="AN66" s="619">
        <f>AN24-AN45</f>
      </c>
      <c r="AO66" s="619">
        <f>AO24-AO45</f>
      </c>
      <c r="AP66" s="622">
        <f>SUM(AL66:AO66)</f>
      </c>
      <c r="AQ66" s="619">
        <f>AQ24-AQ45</f>
      </c>
      <c r="AR66" s="619">
        <f>AR24-AR45</f>
      </c>
      <c r="AS66" s="619">
        <f>AS24-AS45</f>
      </c>
      <c r="AT66" s="619">
        <f>AT24-AT45</f>
      </c>
      <c r="AU66" s="622">
        <f>SUM(AQ66:AT66)</f>
      </c>
      <c r="AV66" s="619">
        <f>AV24-AV45</f>
      </c>
      <c r="AW66" s="619">
        <f>AW24-AW45</f>
      </c>
      <c r="AX66" s="619">
        <f>AX24-AX45</f>
      </c>
      <c r="AY66" s="619">
        <f>AY24-AY45</f>
      </c>
      <c r="AZ66" s="622">
        <f>SUM(AV66:AY66)</f>
      </c>
      <c r="BA66" s="619">
        <f>BA24-BA45</f>
      </c>
      <c r="BB66" s="619">
        <f>BB24-BB45</f>
      </c>
      <c r="BC66" s="619">
        <f>BC24-BC45</f>
      </c>
      <c r="BD66" s="619">
        <f>BD24-BD45</f>
      </c>
      <c r="BE66" s="622">
        <f>SUM(BA66:BD66)</f>
      </c>
      <c r="BF66" s="619">
        <f>BF24-BF45</f>
      </c>
      <c r="BG66" s="619">
        <f>BG24-BG45</f>
      </c>
      <c r="BH66" s="619">
        <f>BH24-BH45</f>
      </c>
      <c r="BI66" s="619">
        <f>BI24-BI45</f>
      </c>
      <c r="BJ66" s="622">
        <f>SUM(BF66:BI66)</f>
      </c>
      <c r="BK66" s="619">
        <f>BK24-BK45</f>
      </c>
      <c r="BL66" s="619">
        <f>BL24-BL45</f>
      </c>
      <c r="BM66" s="619">
        <f>BM24-BM45</f>
      </c>
      <c r="BN66" s="619">
        <f>BN24-BN45</f>
      </c>
      <c r="BO66" s="622">
        <f>SUM(BK66:BN66)</f>
      </c>
      <c r="BP66" s="619">
        <f>BP24-BP45</f>
      </c>
      <c r="BQ66" s="619">
        <f>BQ24-BQ45</f>
      </c>
      <c r="BR66" s="619">
        <f>BR24-BR45</f>
      </c>
      <c r="BS66" s="619">
        <f>BS24-BS45</f>
      </c>
      <c r="BT66" s="622">
        <f>SUM(BP66:BS66)</f>
      </c>
      <c r="BU66" s="619">
        <f>BU24-BU45</f>
      </c>
      <c r="BV66" s="619">
        <f>BV24-BV45</f>
      </c>
      <c r="BW66" s="619">
        <f>BW24-BW45</f>
      </c>
      <c r="BX66" s="619">
        <f>BX24-BX45</f>
      </c>
      <c r="BY66" s="622">
        <f>SUM(BU66:BX66)</f>
      </c>
      <c r="BZ66" s="619">
        <f>BZ24-BZ45</f>
      </c>
      <c r="CA66" s="619">
        <f>CA24-CA45</f>
      </c>
      <c r="CB66" s="619">
        <f>CB24-CB45</f>
      </c>
      <c r="CC66" s="619">
        <f>CC24-CC45</f>
      </c>
      <c r="CD66" s="622">
        <f>SUM(BZ66:CC66)</f>
      </c>
      <c r="CE66" s="619">
        <f>CE24-CE45</f>
      </c>
      <c r="CF66" s="619">
        <f>CF24-CF45</f>
      </c>
      <c r="CG66" s="619">
        <f>CG24-CG45</f>
      </c>
      <c r="CH66" s="619">
        <f>CH24-CH45</f>
      </c>
      <c r="CI66" s="622">
        <f>SUM(CE66:CH66)</f>
      </c>
      <c r="CJ66" s="619">
        <f>CJ24-CJ45</f>
      </c>
      <c r="CK66" s="619">
        <f>CK24-CK45</f>
      </c>
      <c r="CL66" s="619">
        <f>CL24-CL45</f>
      </c>
      <c r="CM66" s="619">
        <f>CM24-CM45</f>
      </c>
      <c r="CN66" s="622">
        <f>SUM(CJ66:CM66)</f>
      </c>
      <c r="CO66" s="619">
        <f>CO24-CO45</f>
      </c>
      <c r="CP66" s="619">
        <f>CP24-CP45</f>
      </c>
      <c r="CQ66" s="619">
        <f>CQ24-CQ45</f>
      </c>
      <c r="CR66" s="619">
        <f>CR24-CR45</f>
      </c>
      <c r="CS66" s="622">
        <f>SUM(CO66:CR66)</f>
      </c>
      <c r="CT66" s="619">
        <f>CT24-CT45</f>
      </c>
      <c r="CU66" s="619">
        <f>CU24-CU45</f>
      </c>
      <c r="CV66" s="619">
        <f>CV24-CV45</f>
      </c>
      <c r="CW66" s="619">
        <f>CW24-CW45</f>
      </c>
      <c r="CX66" s="622">
        <f>SUM(CT66:CW66)</f>
      </c>
      <c r="CY66" s="619">
        <f>CY24-CY45</f>
      </c>
      <c r="CZ66" s="619">
        <f>CZ24-CZ45</f>
      </c>
      <c r="DA66" s="619">
        <f>DA24-DA45</f>
      </c>
      <c r="DB66" s="619">
        <f>DB24-DB45</f>
      </c>
      <c r="DC66" s="622">
        <f>SUM(CY66:DB66)</f>
      </c>
      <c r="DD66" s="619">
        <f>DD24-DD45</f>
      </c>
      <c r="DE66" s="619">
        <f>DE24-DE45</f>
      </c>
      <c r="DF66" s="619">
        <f>DF24-DF45</f>
      </c>
      <c r="DG66" s="619">
        <f>DG24-DG45</f>
      </c>
      <c r="DH66" s="622">
        <f>SUM(DD66:DG66)</f>
      </c>
      <c r="DI66" s="619">
        <f>DI24-DI45</f>
      </c>
      <c r="DJ66" s="619">
        <f>DJ24-DJ45</f>
      </c>
      <c r="DK66" s="619">
        <f>DK24-DK45</f>
      </c>
      <c r="DL66" s="619">
        <f>DL24-DL45</f>
      </c>
      <c r="DM66" s="622">
        <f>SUM(DI66:DL66)</f>
      </c>
      <c r="DN66" s="619">
        <f>DN24-DN45</f>
      </c>
      <c r="DO66" s="619">
        <f>DO24-DO45</f>
      </c>
      <c r="DP66" s="619">
        <f>DP24-DP45</f>
      </c>
      <c r="DQ66" s="619">
        <f>DQ24-DQ45</f>
      </c>
      <c r="DR66" s="622">
        <f>SUM(DN66:DQ66)</f>
      </c>
      <c r="DS66" s="619">
        <f>DS24-DS45</f>
      </c>
      <c r="DT66" s="619">
        <f>DT24-DT45</f>
      </c>
      <c r="DU66" s="619">
        <f>DU24-DU45</f>
      </c>
      <c r="DV66" s="619">
        <f>DV24-DV45</f>
      </c>
      <c r="DW66" s="622">
        <f>SUM(DS66:DV66)</f>
      </c>
      <c r="DX66" s="619">
        <f>DX24-DX45</f>
      </c>
      <c r="DY66" s="619">
        <f>DY24-DY45</f>
      </c>
      <c r="DZ66" s="619">
        <f>DZ24-DZ45</f>
      </c>
      <c r="EA66" s="619">
        <f>EA24-EA45</f>
      </c>
      <c r="EB66" s="622">
        <f>SUM(DX66:EA66)</f>
      </c>
      <c r="EC66" s="619">
        <f>EC24-EC45</f>
      </c>
      <c r="ED66" s="619">
        <f>ED24-ED45</f>
      </c>
      <c r="EE66" s="619">
        <f>EE24-EE45</f>
      </c>
      <c r="EF66" s="619">
        <f>EF24-EF45</f>
      </c>
      <c r="EG66" s="622">
        <f>SUM(EC66:EF66)</f>
      </c>
      <c r="EH66" s="619">
        <f>EH24-EH45</f>
      </c>
      <c r="EI66" s="619">
        <f>EI24-EI45</f>
      </c>
      <c r="EJ66" s="619">
        <f>EJ24-EJ45</f>
      </c>
      <c r="EK66" s="619">
        <f>EK24-EK45</f>
      </c>
      <c r="EL66" s="622">
        <f>SUM(EH66:EK66)</f>
      </c>
      <c r="EM66" s="619">
        <f>EM24-EM45</f>
      </c>
      <c r="EN66" s="619">
        <f>EN24-EN45</f>
      </c>
      <c r="EO66" s="619">
        <f>EO24-EO45</f>
      </c>
      <c r="EP66" s="619">
        <f>EP24-EP45</f>
      </c>
      <c r="EQ66" s="622">
        <f>SUM(EM66:EP66)</f>
      </c>
      <c r="ER66" s="619">
        <f>ER24-ER45</f>
      </c>
      <c r="ES66" s="619">
        <f>ES24-ES45</f>
      </c>
      <c r="ET66" s="619">
        <f>ET24-ET45</f>
      </c>
      <c r="EU66" s="982">
        <f>EU24-EU45</f>
      </c>
      <c r="EV66" s="622">
        <f>SUM(ER66:EU66)</f>
      </c>
      <c r="EW66" s="619">
        <f>EW24-EW45</f>
      </c>
      <c r="EX66" s="619">
        <f>EX24-EX45</f>
      </c>
      <c r="EY66" s="619">
        <f>EY24-EY45</f>
      </c>
      <c r="EZ66" s="982">
        <f>EZ24-EZ45</f>
      </c>
      <c r="FA66" s="622">
        <f>SUM(EW66:EZ66)</f>
      </c>
      <c r="FB66" s="619">
        <f t="shared" ref="FB66:GE66" si="97">FB51+FB56+FB61</f>
      </c>
      <c r="FC66" s="619">
        <f t="shared" si="97"/>
      </c>
      <c r="FD66" s="619">
        <f t="shared" si="97"/>
      </c>
      <c r="FE66" s="619">
        <f t="shared" si="97"/>
      </c>
      <c r="FF66" s="829">
        <f t="shared" si="97"/>
      </c>
      <c r="FG66" s="619">
        <f t="shared" si="97"/>
      </c>
      <c r="FH66" s="619">
        <f t="shared" si="97"/>
      </c>
      <c r="FI66" s="619">
        <f t="shared" si="97"/>
      </c>
      <c r="FJ66" s="619">
        <f t="shared" si="97"/>
      </c>
      <c r="FK66" s="829">
        <f t="shared" si="97"/>
      </c>
      <c r="FL66" s="619">
        <f t="shared" si="97"/>
      </c>
      <c r="FM66" s="619">
        <f t="shared" si="97"/>
      </c>
      <c r="FN66" s="619">
        <f t="shared" si="97"/>
      </c>
      <c r="FO66" s="619">
        <f t="shared" si="97"/>
      </c>
      <c r="FP66" s="829">
        <f t="shared" si="97"/>
      </c>
      <c r="FQ66" s="619">
        <f t="shared" si="97"/>
      </c>
      <c r="FR66" s="619">
        <f t="shared" si="97"/>
      </c>
      <c r="FS66" s="619">
        <f t="shared" si="97"/>
      </c>
      <c r="FT66" s="619">
        <f t="shared" si="97"/>
      </c>
      <c r="FU66" s="829">
        <f t="shared" si="97"/>
      </c>
      <c r="FV66" s="619">
        <f t="shared" si="97"/>
      </c>
      <c r="FW66" s="619">
        <f t="shared" si="97"/>
      </c>
      <c r="FX66" s="619">
        <f t="shared" si="97"/>
      </c>
      <c r="FY66" s="619">
        <f t="shared" si="97"/>
      </c>
      <c r="FZ66" s="829">
        <f t="shared" si="97"/>
      </c>
      <c r="GA66" s="619">
        <f t="shared" si="97"/>
      </c>
      <c r="GB66" s="619">
        <f t="shared" si="97"/>
      </c>
      <c r="GC66" s="619">
        <f t="shared" si="97"/>
      </c>
      <c r="GD66" s="619">
        <f t="shared" si="97"/>
      </c>
      <c r="GE66" s="829">
        <f t="shared" si="97"/>
      </c>
      <c r="GF66" s="619">
        <f t="shared" ref="GF66:GJ66" si="98">GF51+GF56+GF61</f>
      </c>
      <c r="GG66" s="619">
        <f t="shared" si="98"/>
      </c>
      <c r="GH66" s="619">
        <f t="shared" si="98"/>
      </c>
      <c r="GI66" s="619">
        <f t="shared" si="98"/>
      </c>
      <c r="GJ66" s="829">
        <f t="shared" si="98"/>
      </c>
    </row>
    <row r="67" spans="1:192" ht="12.75" customHeight="1">
      <c r="A67" s="68" t="s">
        <v>345</v>
      </c>
      <c r="B67" s="617" t="s">
        <v>34</v>
      </c>
      <c r="C67" s="291"/>
      <c r="D67" s="107"/>
      <c r="E67" s="107"/>
      <c r="F67" s="107"/>
      <c r="G67" s="536"/>
      <c r="H67" s="291">
        <f t="shared" ref="H67:AM67" si="99">IFERROR(H66/C66-1,"")</f>
      </c>
      <c r="I67" s="107">
        <f t="shared" si="99"/>
      </c>
      <c r="J67" s="107">
        <f t="shared" si="99"/>
      </c>
      <c r="K67" s="107">
        <f t="shared" si="99"/>
      </c>
      <c r="L67" s="292">
        <f t="shared" si="99"/>
      </c>
      <c r="M67" s="291">
        <f t="shared" si="99"/>
      </c>
      <c r="N67" s="107">
        <f t="shared" si="99"/>
      </c>
      <c r="O67" s="107">
        <f t="shared" si="99"/>
      </c>
      <c r="P67" s="107">
        <f t="shared" si="99"/>
      </c>
      <c r="Q67" s="292">
        <f t="shared" si="99"/>
      </c>
      <c r="R67" s="291">
        <f t="shared" si="99"/>
      </c>
      <c r="S67" s="107">
        <f t="shared" si="99"/>
      </c>
      <c r="T67" s="107">
        <f t="shared" si="99"/>
      </c>
      <c r="U67" s="107">
        <f t="shared" si="99"/>
      </c>
      <c r="V67" s="292">
        <f t="shared" si="99"/>
      </c>
      <c r="W67" s="291">
        <f t="shared" si="99"/>
      </c>
      <c r="X67" s="107">
        <f t="shared" si="99"/>
      </c>
      <c r="Y67" s="107">
        <f t="shared" si="99"/>
      </c>
      <c r="Z67" s="107">
        <f t="shared" si="99"/>
      </c>
      <c r="AA67" s="292">
        <f t="shared" si="99"/>
      </c>
      <c r="AB67" s="291">
        <f t="shared" si="99"/>
      </c>
      <c r="AC67" s="107">
        <f t="shared" si="99"/>
      </c>
      <c r="AD67" s="107">
        <f t="shared" si="99"/>
      </c>
      <c r="AE67" s="107">
        <f t="shared" si="99"/>
      </c>
      <c r="AF67" s="292">
        <f t="shared" si="99"/>
      </c>
      <c r="AG67" s="291">
        <f t="shared" si="99"/>
      </c>
      <c r="AH67" s="107">
        <f t="shared" si="99"/>
      </c>
      <c r="AI67" s="107">
        <f t="shared" si="99"/>
      </c>
      <c r="AJ67" s="107">
        <f t="shared" si="99"/>
      </c>
      <c r="AK67" s="292">
        <f t="shared" si="99"/>
      </c>
      <c r="AL67" s="291">
        <f t="shared" si="99"/>
      </c>
      <c r="AM67" s="107">
        <f t="shared" si="99"/>
      </c>
      <c r="AN67" s="107">
        <f t="shared" ref="AN67:BS67" si="100">IFERROR(AN66/AI66-1,"")</f>
      </c>
      <c r="AO67" s="107">
        <f t="shared" si="100"/>
      </c>
      <c r="AP67" s="292">
        <f t="shared" si="100"/>
      </c>
      <c r="AQ67" s="291">
        <f t="shared" si="100"/>
      </c>
      <c r="AR67" s="107">
        <f t="shared" si="100"/>
      </c>
      <c r="AS67" s="107">
        <f t="shared" si="100"/>
      </c>
      <c r="AT67" s="107">
        <f t="shared" si="100"/>
      </c>
      <c r="AU67" s="292">
        <f t="shared" si="100"/>
      </c>
      <c r="AV67" s="291">
        <f t="shared" si="100"/>
      </c>
      <c r="AW67" s="107">
        <f t="shared" si="100"/>
      </c>
      <c r="AX67" s="107">
        <f t="shared" si="100"/>
      </c>
      <c r="AY67" s="107">
        <f t="shared" si="100"/>
      </c>
      <c r="AZ67" s="292">
        <f t="shared" si="100"/>
      </c>
      <c r="BA67" s="291">
        <f t="shared" si="100"/>
      </c>
      <c r="BB67" s="107">
        <f t="shared" si="100"/>
      </c>
      <c r="BC67" s="107">
        <f t="shared" si="100"/>
      </c>
      <c r="BD67" s="107">
        <f t="shared" si="100"/>
      </c>
      <c r="BE67" s="292">
        <f t="shared" si="100"/>
      </c>
      <c r="BF67" s="291">
        <f t="shared" si="100"/>
      </c>
      <c r="BG67" s="107">
        <f t="shared" si="100"/>
      </c>
      <c r="BH67" s="107">
        <f t="shared" si="100"/>
      </c>
      <c r="BI67" s="107">
        <f t="shared" si="100"/>
      </c>
      <c r="BJ67" s="292">
        <f t="shared" si="100"/>
      </c>
      <c r="BK67" s="291">
        <f t="shared" si="100"/>
      </c>
      <c r="BL67" s="107">
        <f t="shared" si="100"/>
      </c>
      <c r="BM67" s="107">
        <f t="shared" si="100"/>
      </c>
      <c r="BN67" s="107">
        <f t="shared" si="100"/>
      </c>
      <c r="BO67" s="292">
        <f t="shared" si="100"/>
      </c>
      <c r="BP67" s="291">
        <f t="shared" si="100"/>
      </c>
      <c r="BQ67" s="107">
        <f t="shared" si="100"/>
      </c>
      <c r="BR67" s="107">
        <f t="shared" si="100"/>
      </c>
      <c r="BS67" s="107">
        <f t="shared" si="100"/>
      </c>
      <c r="BT67" s="292">
        <f t="shared" ref="BT67:CY67" si="101">IFERROR(BT66/BO66-1,"")</f>
      </c>
      <c r="BU67" s="291">
        <f t="shared" si="101"/>
      </c>
      <c r="BV67" s="107">
        <f t="shared" si="101"/>
      </c>
      <c r="BW67" s="107">
        <f t="shared" si="101"/>
      </c>
      <c r="BX67" s="107">
        <f t="shared" si="101"/>
      </c>
      <c r="BY67" s="292">
        <f t="shared" si="101"/>
      </c>
      <c r="BZ67" s="291">
        <f t="shared" si="101"/>
      </c>
      <c r="CA67" s="107">
        <f t="shared" si="101"/>
      </c>
      <c r="CB67" s="107">
        <f t="shared" si="101"/>
      </c>
      <c r="CC67" s="107">
        <f t="shared" si="101"/>
      </c>
      <c r="CD67" s="292">
        <f t="shared" si="101"/>
      </c>
      <c r="CE67" s="291">
        <f t="shared" si="101"/>
      </c>
      <c r="CF67" s="107">
        <f t="shared" si="101"/>
      </c>
      <c r="CG67" s="107">
        <f t="shared" si="101"/>
      </c>
      <c r="CH67" s="107">
        <f t="shared" si="101"/>
      </c>
      <c r="CI67" s="292">
        <f t="shared" si="101"/>
      </c>
      <c r="CJ67" s="291">
        <f t="shared" si="101"/>
      </c>
      <c r="CK67" s="107">
        <f t="shared" si="101"/>
      </c>
      <c r="CL67" s="107">
        <f t="shared" si="101"/>
      </c>
      <c r="CM67" s="107">
        <f t="shared" si="101"/>
      </c>
      <c r="CN67" s="292">
        <f t="shared" si="101"/>
      </c>
      <c r="CO67" s="291">
        <f t="shared" si="101"/>
      </c>
      <c r="CP67" s="107">
        <f t="shared" si="101"/>
      </c>
      <c r="CQ67" s="107">
        <f t="shared" si="101"/>
      </c>
      <c r="CR67" s="107">
        <f t="shared" si="101"/>
      </c>
      <c r="CS67" s="292">
        <f t="shared" si="101"/>
      </c>
      <c r="CT67" s="291">
        <f t="shared" si="101"/>
      </c>
      <c r="CU67" s="107">
        <f t="shared" si="101"/>
      </c>
      <c r="CV67" s="107">
        <f t="shared" si="101"/>
      </c>
      <c r="CW67" s="107">
        <f t="shared" si="101"/>
      </c>
      <c r="CX67" s="292">
        <f t="shared" si="101"/>
      </c>
      <c r="CY67" s="291">
        <f t="shared" si="101"/>
      </c>
      <c r="CZ67" s="107">
        <f t="shared" ref="CZ67:EE67" si="102">IFERROR(CZ66/CU66-1,"")</f>
      </c>
      <c r="DA67" s="107">
        <f t="shared" si="102"/>
      </c>
      <c r="DB67" s="107">
        <f t="shared" si="102"/>
      </c>
      <c r="DC67" s="292">
        <f t="shared" si="102"/>
      </c>
      <c r="DD67" s="291">
        <f t="shared" si="102"/>
      </c>
      <c r="DE67" s="107">
        <f t="shared" si="102"/>
      </c>
      <c r="DF67" s="107">
        <f t="shared" si="102"/>
      </c>
      <c r="DG67" s="107">
        <f t="shared" si="102"/>
      </c>
      <c r="DH67" s="292">
        <f t="shared" si="102"/>
      </c>
      <c r="DI67" s="291">
        <f t="shared" si="102"/>
      </c>
      <c r="DJ67" s="107">
        <f t="shared" si="102"/>
      </c>
      <c r="DK67" s="107">
        <f t="shared" si="102"/>
      </c>
      <c r="DL67" s="107">
        <f t="shared" si="102"/>
      </c>
      <c r="DM67" s="292">
        <f t="shared" si="102"/>
      </c>
      <c r="DN67" s="291">
        <f t="shared" si="102"/>
      </c>
      <c r="DO67" s="107">
        <f t="shared" si="102"/>
      </c>
      <c r="DP67" s="107">
        <f t="shared" si="102"/>
      </c>
      <c r="DQ67" s="107">
        <f t="shared" si="102"/>
      </c>
      <c r="DR67" s="292">
        <f t="shared" si="102"/>
      </c>
      <c r="DS67" s="291">
        <f t="shared" si="102"/>
      </c>
      <c r="DT67" s="107">
        <f t="shared" si="102"/>
      </c>
      <c r="DU67" s="107">
        <f t="shared" si="102"/>
      </c>
      <c r="DV67" s="107">
        <f t="shared" si="102"/>
      </c>
      <c r="DW67" s="292">
        <f t="shared" si="102"/>
      </c>
      <c r="DX67" s="291">
        <f t="shared" si="102"/>
      </c>
      <c r="DY67" s="107">
        <f t="shared" si="102"/>
      </c>
      <c r="DZ67" s="107">
        <f t="shared" si="102"/>
      </c>
      <c r="EA67" s="107">
        <f t="shared" si="102"/>
      </c>
      <c r="EB67" s="292">
        <f t="shared" si="102"/>
      </c>
      <c r="EC67" s="291">
        <f t="shared" si="102"/>
      </c>
      <c r="ED67" s="107">
        <f t="shared" si="102"/>
      </c>
      <c r="EE67" s="107">
        <f t="shared" si="102"/>
      </c>
      <c r="EF67" s="107">
        <f t="shared" ref="EF67:FK67" si="103">IFERROR(EF66/EA66-1,"")</f>
      </c>
      <c r="EG67" s="292">
        <f t="shared" si="103"/>
      </c>
      <c r="EH67" s="291">
        <f t="shared" si="103"/>
      </c>
      <c r="EI67" s="107">
        <f t="shared" si="103"/>
      </c>
      <c r="EJ67" s="107">
        <f t="shared" si="103"/>
      </c>
      <c r="EK67" s="107">
        <f t="shared" si="103"/>
      </c>
      <c r="EL67" s="292">
        <f t="shared" si="103"/>
      </c>
      <c r="EM67" s="291">
        <f t="shared" si="103"/>
      </c>
      <c r="EN67" s="107">
        <f t="shared" si="103"/>
      </c>
      <c r="EO67" s="107">
        <f t="shared" si="103"/>
      </c>
      <c r="EP67" s="107">
        <f t="shared" si="103"/>
      </c>
      <c r="EQ67" s="292">
        <f t="shared" si="103"/>
      </c>
      <c r="ER67" s="291">
        <f t="shared" si="103"/>
      </c>
      <c r="ES67" s="107">
        <f t="shared" si="103"/>
      </c>
      <c r="ET67" s="107">
        <f t="shared" si="103"/>
      </c>
      <c r="EU67" s="468">
        <f t="shared" si="103"/>
      </c>
      <c r="EV67" s="292">
        <f t="shared" si="103"/>
      </c>
      <c r="EW67" s="291">
        <f t="shared" si="103"/>
      </c>
      <c r="EX67" s="107">
        <f t="shared" si="103"/>
      </c>
      <c r="EY67" s="107">
        <f t="shared" si="103"/>
      </c>
      <c r="EZ67" s="468">
        <f t="shared" si="103"/>
      </c>
      <c r="FA67" s="292">
        <f t="shared" si="103"/>
      </c>
      <c r="FB67" s="291">
        <f t="shared" si="103"/>
      </c>
      <c r="FC67" s="107">
        <f t="shared" si="103"/>
      </c>
      <c r="FD67" s="107">
        <f t="shared" si="103"/>
      </c>
      <c r="FE67" s="107">
        <f t="shared" si="103"/>
      </c>
      <c r="FF67" s="292">
        <f t="shared" si="103"/>
      </c>
      <c r="FG67" s="291">
        <f t="shared" si="103"/>
      </c>
      <c r="FH67" s="107">
        <f t="shared" si="103"/>
      </c>
      <c r="FI67" s="107">
        <f t="shared" si="103"/>
      </c>
      <c r="FJ67" s="107">
        <f t="shared" si="103"/>
      </c>
      <c r="FK67" s="292">
        <f t="shared" si="103"/>
      </c>
      <c r="FL67" s="291">
        <f t="shared" ref="FL67:FZ67" si="104">IFERROR(FL66/FG66-1,"")</f>
      </c>
      <c r="FM67" s="107">
        <f t="shared" si="104"/>
      </c>
      <c r="FN67" s="107">
        <f t="shared" si="104"/>
      </c>
      <c r="FO67" s="107">
        <f t="shared" si="104"/>
      </c>
      <c r="FP67" s="292">
        <f t="shared" si="104"/>
      </c>
      <c r="FQ67" s="291">
        <f t="shared" si="104"/>
      </c>
      <c r="FR67" s="107">
        <f t="shared" si="104"/>
      </c>
      <c r="FS67" s="107">
        <f t="shared" si="104"/>
      </c>
      <c r="FT67" s="107">
        <f t="shared" si="104"/>
      </c>
      <c r="FU67" s="292">
        <f t="shared" si="104"/>
      </c>
      <c r="FV67" s="291">
        <f t="shared" si="104"/>
      </c>
      <c r="FW67" s="107">
        <f t="shared" si="104"/>
      </c>
      <c r="FX67" s="107">
        <f t="shared" si="104"/>
      </c>
      <c r="FY67" s="107">
        <f t="shared" si="104"/>
      </c>
      <c r="FZ67" s="292">
        <f t="shared" si="104"/>
      </c>
      <c r="GA67" s="291">
        <f t="shared" ref="GA67:GJ67" si="105">IFERROR(GA66/FV66-1,"")</f>
      </c>
      <c r="GB67" s="107">
        <f t="shared" si="105"/>
      </c>
      <c r="GC67" s="107">
        <f t="shared" si="105"/>
      </c>
      <c r="GD67" s="107">
        <f t="shared" si="105"/>
      </c>
      <c r="GE67" s="292">
        <f t="shared" si="105"/>
      </c>
      <c r="GF67" s="291">
        <f t="shared" si="105"/>
      </c>
      <c r="GG67" s="107">
        <f t="shared" si="105"/>
      </c>
      <c r="GH67" s="107">
        <f t="shared" si="105"/>
      </c>
      <c r="GI67" s="107">
        <f t="shared" si="105"/>
      </c>
      <c r="GJ67" s="292">
        <f t="shared" si="105"/>
      </c>
    </row>
    <row r="68" spans="1:192" ht="12.75" customHeight="1">
      <c r="A68" s="68" t="s">
        <v>346</v>
      </c>
      <c r="B68" s="617" t="s">
        <v>36</v>
      </c>
      <c r="C68" s="291"/>
      <c r="D68" s="137"/>
      <c r="E68" s="137"/>
      <c r="F68" s="137"/>
      <c r="G68" s="538"/>
      <c r="H68" s="291">
        <f>IFERROR(H66/F66-1,"")</f>
      </c>
      <c r="I68" s="107">
        <f>IFERROR(I66/H66-1,"")</f>
      </c>
      <c r="J68" s="107">
        <f>IFERROR(J66/I66-1,"")</f>
      </c>
      <c r="K68" s="107">
        <f>IFERROR(K66/J66-1,"")</f>
      </c>
      <c r="L68" s="293"/>
      <c r="M68" s="291">
        <f>IFERROR(M66/K66-1,"")</f>
      </c>
      <c r="N68" s="107">
        <f>IFERROR(N66/M66-1,"")</f>
      </c>
      <c r="O68" s="107">
        <f>IFERROR(O66/N66-1,"")</f>
      </c>
      <c r="P68" s="107">
        <f>IFERROR(P66/O66-1,"")</f>
      </c>
      <c r="Q68" s="293"/>
      <c r="R68" s="291">
        <f>IFERROR(R66/P66-1,"")</f>
      </c>
      <c r="S68" s="107">
        <f>IFERROR(S66/R66-1,"")</f>
      </c>
      <c r="T68" s="107">
        <f>IFERROR(T66/S66-1,"")</f>
      </c>
      <c r="U68" s="107">
        <f>IFERROR(U66/T66-1,"")</f>
      </c>
      <c r="V68" s="293"/>
      <c r="W68" s="291">
        <f>IFERROR(W66/U66-1,"")</f>
      </c>
      <c r="X68" s="107">
        <f>IFERROR(X66/W66-1,"")</f>
      </c>
      <c r="Y68" s="107">
        <f>IFERROR(Y66/X66-1,"")</f>
      </c>
      <c r="Z68" s="107">
        <f>IFERROR(Z66/Y66-1,"")</f>
      </c>
      <c r="AA68" s="293"/>
      <c r="AB68" s="291">
        <f>IFERROR(AB66/Z66-1,"")</f>
      </c>
      <c r="AC68" s="107">
        <f>IFERROR(AC66/AB66-1,"")</f>
      </c>
      <c r="AD68" s="107">
        <f>IFERROR(AD66/AC66-1,"")</f>
      </c>
      <c r="AE68" s="107">
        <f>IFERROR(AE66/AD66-1,"")</f>
      </c>
      <c r="AF68" s="293"/>
      <c r="AG68" s="291">
        <f>IFERROR(AG66/AE66-1,"")</f>
      </c>
      <c r="AH68" s="107">
        <f>IFERROR(AH66/AG66-1,"")</f>
      </c>
      <c r="AI68" s="107">
        <f>IFERROR(AI66/AH66-1,"")</f>
      </c>
      <c r="AJ68" s="107">
        <f>IFERROR(AJ66/AI66-1,"")</f>
      </c>
      <c r="AK68" s="293"/>
      <c r="AL68" s="291">
        <f>IFERROR(AL66/AJ66-1,"")</f>
      </c>
      <c r="AM68" s="107">
        <f>IFERROR(AM66/AL66-1,"")</f>
      </c>
      <c r="AN68" s="107">
        <f>IFERROR(AN66/AM66-1,"")</f>
      </c>
      <c r="AO68" s="107">
        <f>IFERROR(AO66/AN66-1,"")</f>
      </c>
      <c r="AP68" s="293"/>
      <c r="AQ68" s="291">
        <f>IFERROR(AQ66/AO66-1,"")</f>
      </c>
      <c r="AR68" s="107">
        <f>IFERROR(AR66/AQ66-1,"")</f>
      </c>
      <c r="AS68" s="107">
        <f>IFERROR(AS66/AR66-1,"")</f>
      </c>
      <c r="AT68" s="107">
        <f>IFERROR(AT66/AS66-1,"")</f>
      </c>
      <c r="AU68" s="293"/>
      <c r="AV68" s="291">
        <f>IFERROR(AV66/AT66-1,"")</f>
      </c>
      <c r="AW68" s="107">
        <f>IFERROR(AW66/AV66-1,"")</f>
      </c>
      <c r="AX68" s="107">
        <f>IFERROR(AX66/AW66-1,"")</f>
      </c>
      <c r="AY68" s="107">
        <f>IFERROR(AY66/AX66-1,"")</f>
      </c>
      <c r="AZ68" s="293"/>
      <c r="BA68" s="291">
        <f>IFERROR(BA66/AY66-1,"")</f>
      </c>
      <c r="BB68" s="107">
        <f>IFERROR(BB66/BA66-1,"")</f>
      </c>
      <c r="BC68" s="107">
        <f>IFERROR(BC66/BB66-1,"")</f>
      </c>
      <c r="BD68" s="107">
        <f>IFERROR(BD66/BC66-1,"")</f>
      </c>
      <c r="BE68" s="293"/>
      <c r="BF68" s="291">
        <f>IFERROR(BF66/BD66-1,"")</f>
      </c>
      <c r="BG68" s="107">
        <f>IFERROR(BG66/BF66-1,"")</f>
      </c>
      <c r="BH68" s="107">
        <f>IFERROR(BH66/BG66-1,"")</f>
      </c>
      <c r="BI68" s="107">
        <f>IFERROR(BI66/BH66-1,"")</f>
      </c>
      <c r="BJ68" s="293"/>
      <c r="BK68" s="291">
        <f>IFERROR(BK66/BI66-1,"")</f>
      </c>
      <c r="BL68" s="107">
        <f>IFERROR(BL66/BK66-1,"")</f>
      </c>
      <c r="BM68" s="107">
        <f>IFERROR(BM66/BL66-1,"")</f>
      </c>
      <c r="BN68" s="107">
        <f>IFERROR(BN66/BM66-1,"")</f>
      </c>
      <c r="BO68" s="293"/>
      <c r="BP68" s="291">
        <f>IFERROR(BP66/BN66-1,"")</f>
      </c>
      <c r="BQ68" s="107">
        <f>IFERROR(BQ66/BP66-1,"")</f>
      </c>
      <c r="BR68" s="107">
        <f>IFERROR(BR66/BQ66-1,"")</f>
      </c>
      <c r="BS68" s="107">
        <f>IFERROR(BS66/BR66-1,"")</f>
      </c>
      <c r="BT68" s="293"/>
      <c r="BU68" s="291">
        <f>IFERROR(BU66/BS66-1,"")</f>
      </c>
      <c r="BV68" s="107">
        <f>IFERROR(BV66/BU66-1,"")</f>
      </c>
      <c r="BW68" s="107">
        <f>IFERROR(BW66/BV66-1,"")</f>
      </c>
      <c r="BX68" s="107">
        <f>IFERROR(BX66/BW66-1,"")</f>
      </c>
      <c r="BY68" s="293"/>
      <c r="BZ68" s="291">
        <f>IFERROR(BZ66/BX66-1,"")</f>
      </c>
      <c r="CA68" s="107">
        <f>IFERROR(CA66/BZ66-1,"")</f>
      </c>
      <c r="CB68" s="107">
        <f>IFERROR(CB66/CA66-1,"")</f>
      </c>
      <c r="CC68" s="107">
        <f>IFERROR(CC66/CB66-1,"")</f>
      </c>
      <c r="CD68" s="293"/>
      <c r="CE68" s="291">
        <f>IFERROR(CE66/CC66-1,"")</f>
      </c>
      <c r="CF68" s="107">
        <f>IFERROR(CF66/CE66-1,"")</f>
      </c>
      <c r="CG68" s="107">
        <f>IFERROR(CG66/CF66-1,"")</f>
      </c>
      <c r="CH68" s="107">
        <f>IFERROR(CH66/CG66-1,"")</f>
      </c>
      <c r="CI68" s="293"/>
      <c r="CJ68" s="291">
        <f>IFERROR(CJ66/CH66-1,"")</f>
      </c>
      <c r="CK68" s="107">
        <f>IFERROR(CK66/CJ66-1,"")</f>
      </c>
      <c r="CL68" s="107">
        <f>IFERROR(CL66/CK66-1,"")</f>
      </c>
      <c r="CM68" s="107">
        <f>IFERROR(CM66/CL66-1,"")</f>
      </c>
      <c r="CN68" s="293"/>
      <c r="CO68" s="291">
        <f>IFERROR(CO66/CM66-1,"")</f>
      </c>
      <c r="CP68" s="107">
        <f>IFERROR(CP66/CO66-1,"")</f>
      </c>
      <c r="CQ68" s="107">
        <f>IFERROR(CQ66/CP66-1,"")</f>
      </c>
      <c r="CR68" s="107">
        <f>IFERROR(CR66/CQ66-1,"")</f>
      </c>
      <c r="CS68" s="293"/>
      <c r="CT68" s="291">
        <f>IFERROR(CT66/CR66-1,"")</f>
      </c>
      <c r="CU68" s="107">
        <f>IFERROR(CU66/CT66-1,"")</f>
      </c>
      <c r="CV68" s="107">
        <f>IFERROR(CV66/CU66-1,"")</f>
      </c>
      <c r="CW68" s="107">
        <f>IFERROR(CW66/CV66-1,"")</f>
      </c>
      <c r="CX68" s="293"/>
      <c r="CY68" s="291">
        <f>IFERROR(CY66/CW66-1,"")</f>
      </c>
      <c r="CZ68" s="107">
        <f>IFERROR(CZ66/CY66-1,"")</f>
      </c>
      <c r="DA68" s="107">
        <f>IFERROR(DA66/CZ66-1,"")</f>
      </c>
      <c r="DB68" s="107">
        <f>IFERROR(DB66/DA66-1,"")</f>
      </c>
      <c r="DC68" s="293"/>
      <c r="DD68" s="291">
        <f>IFERROR(DD66/DB66-1,"")</f>
      </c>
      <c r="DE68" s="107">
        <f>IFERROR(DE66/DD66-1,"")</f>
      </c>
      <c r="DF68" s="107">
        <f>IFERROR(DF66/DE66-1,"")</f>
      </c>
      <c r="DG68" s="107">
        <f>IFERROR(DG66/DF66-1,"")</f>
      </c>
      <c r="DH68" s="293"/>
      <c r="DI68" s="291">
        <f>IFERROR(DI66/DG66-1,"")</f>
      </c>
      <c r="DJ68" s="107">
        <f>IFERROR(DJ66/DI66-1,"")</f>
      </c>
      <c r="DK68" s="107">
        <f>IFERROR(DK66/DJ66-1,"")</f>
      </c>
      <c r="DL68" s="107">
        <f>IFERROR(DL66/DK66-1,"")</f>
      </c>
      <c r="DM68" s="293"/>
      <c r="DN68" s="291">
        <f>IFERROR(DN66/DL66-1,"")</f>
      </c>
      <c r="DO68" s="107">
        <f>IFERROR(DO66/DN66-1,"")</f>
      </c>
      <c r="DP68" s="107">
        <f>IFERROR(DP66/DO66-1,"")</f>
      </c>
      <c r="DQ68" s="107">
        <f>IFERROR(DQ66/DP66-1,"")</f>
      </c>
      <c r="DR68" s="293"/>
      <c r="DS68" s="291">
        <f>IFERROR(DS66/DQ66-1,"")</f>
      </c>
      <c r="DT68" s="107">
        <f>IFERROR(DT66/DS66-1,"")</f>
      </c>
      <c r="DU68" s="107">
        <f>IFERROR(DU66/DT66-1,"")</f>
      </c>
      <c r="DV68" s="107">
        <f>IFERROR(DV66/DU66-1,"")</f>
      </c>
      <c r="DW68" s="293"/>
      <c r="DX68" s="291">
        <f>IFERROR(DX66/DV66-1,"")</f>
      </c>
      <c r="DY68" s="107">
        <f>IFERROR(DY66/DX66-1,"")</f>
      </c>
      <c r="DZ68" s="107">
        <f>IFERROR(DZ66/DY66-1,"")</f>
      </c>
      <c r="EA68" s="107">
        <f>IFERROR(EA66/DZ66-1,"")</f>
      </c>
      <c r="EB68" s="293"/>
      <c r="EC68" s="291">
        <f>IFERROR(EC66/EA66-1,"")</f>
      </c>
      <c r="ED68" s="107">
        <f>IFERROR(ED66/EC66-1,"")</f>
      </c>
      <c r="EE68" s="107">
        <f>IFERROR(EE66/ED66-1,"")</f>
      </c>
      <c r="EF68" s="107">
        <f>IFERROR(EF66/EE66-1,"")</f>
      </c>
      <c r="EG68" s="293"/>
      <c r="EH68" s="291">
        <f>IFERROR(EH66/EF66-1,"")</f>
      </c>
      <c r="EI68" s="107">
        <f>IFERROR(EI66/EH66-1,"")</f>
      </c>
      <c r="EJ68" s="107">
        <f>IFERROR(EJ66/EI66-1,"")</f>
      </c>
      <c r="EK68" s="107">
        <f>IFERROR(EK66/EJ66-1,"")</f>
      </c>
      <c r="EL68" s="293"/>
      <c r="EM68" s="291">
        <f>IFERROR(EM66/EK66-1,"")</f>
      </c>
      <c r="EN68" s="107">
        <f>IFERROR(EN66/EM66-1,"")</f>
      </c>
      <c r="EO68" s="107">
        <f>IFERROR(EO66/EN66-1,"")</f>
      </c>
      <c r="EP68" s="107">
        <f>IFERROR(EP66/EO66-1,"")</f>
      </c>
      <c r="EQ68" s="293"/>
      <c r="ER68" s="291">
        <f>IFERROR(ER66/EP66-1,"")</f>
      </c>
      <c r="ES68" s="107">
        <f>IFERROR(ES66/ER66-1,"")</f>
      </c>
      <c r="ET68" s="107">
        <f>IFERROR(ET66/ES66-1,"")</f>
      </c>
      <c r="EU68" s="468">
        <f>IFERROR(EU66/ET66-1,"")</f>
      </c>
      <c r="EV68" s="293"/>
      <c r="EW68" s="291">
        <f>IFERROR(EW66/EU66-1,"")</f>
      </c>
      <c r="EX68" s="107">
        <f>IFERROR(EX66/EW66-1,"")</f>
      </c>
      <c r="EY68" s="107">
        <f>IFERROR(EY66/EX66-1,"")</f>
      </c>
      <c r="EZ68" s="468">
        <f>IFERROR(EZ66/EY66-1,"")</f>
      </c>
      <c r="FA68" s="293"/>
      <c r="FB68" s="291">
        <f>IFERROR(FB66/EZ66-1,"")</f>
      </c>
      <c r="FC68" s="107">
        <f>IFERROR(FC66/FB66-1,"")</f>
      </c>
      <c r="FD68" s="107">
        <f>IFERROR(FD66/FC66-1,"")</f>
      </c>
      <c r="FE68" s="107">
        <f>IFERROR(FE66/FD66-1,"")</f>
      </c>
      <c r="FF68" s="293"/>
      <c r="FG68" s="291">
        <f>IFERROR(FG66/FE66-1,"")</f>
      </c>
      <c r="FH68" s="107">
        <f>IFERROR(FH66/FG66-1,"")</f>
      </c>
      <c r="FI68" s="107">
        <f>IFERROR(FI66/FH66-1,"")</f>
      </c>
      <c r="FJ68" s="107">
        <f>IFERROR(FJ66/FI66-1,"")</f>
      </c>
      <c r="FK68" s="293"/>
      <c r="FL68" s="291">
        <f>IFERROR(FL66/FJ66-1,"")</f>
      </c>
      <c r="FM68" s="107">
        <f>IFERROR(FM66/FL66-1,"")</f>
      </c>
      <c r="FN68" s="107">
        <f>IFERROR(FN66/FM66-1,"")</f>
      </c>
      <c r="FO68" s="107">
        <f>IFERROR(FO66/FN66-1,"")</f>
      </c>
      <c r="FP68" s="293"/>
      <c r="FQ68" s="291">
        <f>IFERROR(FQ66/FO66-1,"")</f>
      </c>
      <c r="FR68" s="107">
        <f>IFERROR(FR66/FQ66-1,"")</f>
      </c>
      <c r="FS68" s="107">
        <f>IFERROR(FS66/FR66-1,"")</f>
      </c>
      <c r="FT68" s="107">
        <f>IFERROR(FT66/FS66-1,"")</f>
      </c>
      <c r="FU68" s="293"/>
      <c r="FV68" s="291">
        <f>IFERROR(FV66/FT66-1,"")</f>
      </c>
      <c r="FW68" s="107">
        <f>IFERROR(FW66/FV66-1,"")</f>
      </c>
      <c r="FX68" s="107">
        <f>IFERROR(FX66/FW66-1,"")</f>
      </c>
      <c r="FY68" s="107">
        <f>IFERROR(FY66/FX66-1,"")</f>
      </c>
      <c r="FZ68" s="293"/>
      <c r="GA68" s="291">
        <f>IFERROR(GA66/FY66-1,"")</f>
      </c>
      <c r="GB68" s="107">
        <f>IFERROR(GB66/GA66-1,"")</f>
      </c>
      <c r="GC68" s="107">
        <f>IFERROR(GC66/GB66-1,"")</f>
      </c>
      <c r="GD68" s="107">
        <f>IFERROR(GD66/GC66-1,"")</f>
      </c>
      <c r="GE68" s="293"/>
      <c r="GF68" s="291">
        <f>IFERROR(GF66/GD66-1,"")</f>
      </c>
      <c r="GG68" s="107">
        <f>IFERROR(GG66/GF66-1,"")</f>
      </c>
      <c r="GH68" s="107">
        <f>IFERROR(GH66/GG66-1,"")</f>
      </c>
      <c r="GI68" s="107">
        <f>IFERROR(GI66/GH66-1,"")</f>
      </c>
      <c r="GJ68" s="293"/>
    </row>
    <row r="69" spans="1:192" ht="12.75" hidden="1" customHeight="1" outlineLevel="1">
      <c r="B69" s="617" t="s">
        <v>486</v>
      </c>
      <c r="C69" s="463"/>
      <c r="D69" s="463"/>
      <c r="E69" s="463"/>
      <c r="F69" s="463"/>
      <c r="G69" s="466"/>
      <c r="H69" s="463">
        <f t="shared" ref="H69:AM69" si="106">H66-C66</f>
      </c>
      <c r="I69" s="463">
        <f t="shared" si="106"/>
      </c>
      <c r="J69" s="463">
        <f t="shared" si="106"/>
      </c>
      <c r="K69" s="463">
        <f t="shared" si="106"/>
      </c>
      <c r="L69" s="466">
        <f t="shared" si="106"/>
      </c>
      <c r="M69" s="463">
        <f t="shared" si="106"/>
      </c>
      <c r="N69" s="463">
        <f t="shared" si="106"/>
      </c>
      <c r="O69" s="463">
        <f t="shared" si="106"/>
      </c>
      <c r="P69" s="463">
        <f t="shared" si="106"/>
      </c>
      <c r="Q69" s="466">
        <f t="shared" si="106"/>
      </c>
      <c r="R69" s="463">
        <f t="shared" si="106"/>
      </c>
      <c r="S69" s="463">
        <f t="shared" si="106"/>
      </c>
      <c r="T69" s="463">
        <f t="shared" si="106"/>
      </c>
      <c r="U69" s="463">
        <f t="shared" si="106"/>
      </c>
      <c r="V69" s="466">
        <f t="shared" si="106"/>
      </c>
      <c r="W69" s="463">
        <f t="shared" si="106"/>
      </c>
      <c r="X69" s="463">
        <f t="shared" si="106"/>
      </c>
      <c r="Y69" s="463">
        <f t="shared" si="106"/>
      </c>
      <c r="Z69" s="463">
        <f t="shared" si="106"/>
      </c>
      <c r="AA69" s="466">
        <f t="shared" si="106"/>
      </c>
      <c r="AB69" s="463">
        <f t="shared" si="106"/>
      </c>
      <c r="AC69" s="463">
        <f t="shared" si="106"/>
      </c>
      <c r="AD69" s="463">
        <f t="shared" si="106"/>
      </c>
      <c r="AE69" s="463">
        <f t="shared" si="106"/>
      </c>
      <c r="AF69" s="466">
        <f t="shared" si="106"/>
      </c>
      <c r="AG69" s="463">
        <f t="shared" si="106"/>
      </c>
      <c r="AH69" s="463">
        <f t="shared" si="106"/>
      </c>
      <c r="AI69" s="463">
        <f t="shared" si="106"/>
      </c>
      <c r="AJ69" s="463">
        <f t="shared" si="106"/>
      </c>
      <c r="AK69" s="466">
        <f t="shared" si="106"/>
      </c>
      <c r="AL69" s="463">
        <f t="shared" si="106"/>
      </c>
      <c r="AM69" s="463">
        <f t="shared" si="106"/>
      </c>
      <c r="AN69" s="463">
        <f t="shared" ref="AN69:BS69" si="107">AN66-AI66</f>
      </c>
      <c r="AO69" s="463">
        <f t="shared" si="107"/>
      </c>
      <c r="AP69" s="466">
        <f t="shared" si="107"/>
      </c>
      <c r="AQ69" s="463">
        <f t="shared" si="107"/>
      </c>
      <c r="AR69" s="463">
        <f t="shared" si="107"/>
      </c>
      <c r="AS69" s="463">
        <f t="shared" si="107"/>
      </c>
      <c r="AT69" s="463">
        <f t="shared" si="107"/>
      </c>
      <c r="AU69" s="466">
        <f t="shared" si="107"/>
      </c>
      <c r="AV69" s="463">
        <f t="shared" si="107"/>
      </c>
      <c r="AW69" s="463">
        <f t="shared" si="107"/>
      </c>
      <c r="AX69" s="463">
        <f t="shared" si="107"/>
      </c>
      <c r="AY69" s="463">
        <f t="shared" si="107"/>
      </c>
      <c r="AZ69" s="466">
        <f t="shared" si="107"/>
      </c>
      <c r="BA69" s="463">
        <f t="shared" si="107"/>
      </c>
      <c r="BB69" s="463">
        <f t="shared" si="107"/>
      </c>
      <c r="BC69" s="463">
        <f t="shared" si="107"/>
      </c>
      <c r="BD69" s="463">
        <f t="shared" si="107"/>
      </c>
      <c r="BE69" s="466">
        <f t="shared" si="107"/>
      </c>
      <c r="BF69" s="463">
        <f t="shared" si="107"/>
      </c>
      <c r="BG69" s="463">
        <f t="shared" si="107"/>
      </c>
      <c r="BH69" s="463">
        <f t="shared" si="107"/>
      </c>
      <c r="BI69" s="463">
        <f t="shared" si="107"/>
      </c>
      <c r="BJ69" s="466">
        <f t="shared" si="107"/>
      </c>
      <c r="BK69" s="463">
        <f t="shared" si="107"/>
      </c>
      <c r="BL69" s="463">
        <f t="shared" si="107"/>
      </c>
      <c r="BM69" s="463">
        <f t="shared" si="107"/>
      </c>
      <c r="BN69" s="463">
        <f t="shared" si="107"/>
      </c>
      <c r="BO69" s="466">
        <f t="shared" si="107"/>
      </c>
      <c r="BP69" s="463">
        <f t="shared" si="107"/>
      </c>
      <c r="BQ69" s="463">
        <f t="shared" si="107"/>
      </c>
      <c r="BR69" s="463">
        <f t="shared" si="107"/>
      </c>
      <c r="BS69" s="463">
        <f t="shared" si="107"/>
      </c>
      <c r="BT69" s="466">
        <f t="shared" ref="BT69:CY69" si="108">BT66-BO66</f>
      </c>
      <c r="BU69" s="463">
        <f t="shared" si="108"/>
      </c>
      <c r="BV69" s="463">
        <f t="shared" si="108"/>
      </c>
      <c r="BW69" s="463">
        <f t="shared" si="108"/>
      </c>
      <c r="BX69" s="463">
        <f t="shared" si="108"/>
      </c>
      <c r="BY69" s="466">
        <f t="shared" si="108"/>
      </c>
      <c r="BZ69" s="463">
        <f t="shared" si="108"/>
      </c>
      <c r="CA69" s="463">
        <f t="shared" si="108"/>
      </c>
      <c r="CB69" s="463">
        <f t="shared" si="108"/>
      </c>
      <c r="CC69" s="463">
        <f t="shared" si="108"/>
      </c>
      <c r="CD69" s="466">
        <f t="shared" si="108"/>
      </c>
      <c r="CE69" s="463">
        <f t="shared" si="108"/>
      </c>
      <c r="CF69" s="463">
        <f t="shared" si="108"/>
      </c>
      <c r="CG69" s="463">
        <f t="shared" si="108"/>
      </c>
      <c r="CH69" s="463">
        <f t="shared" si="108"/>
      </c>
      <c r="CI69" s="466">
        <f t="shared" si="108"/>
      </c>
      <c r="CJ69" s="463">
        <f t="shared" si="108"/>
      </c>
      <c r="CK69" s="463">
        <f t="shared" si="108"/>
      </c>
      <c r="CL69" s="463">
        <f t="shared" si="108"/>
      </c>
      <c r="CM69" s="463">
        <f t="shared" si="108"/>
      </c>
      <c r="CN69" s="466">
        <f t="shared" si="108"/>
      </c>
      <c r="CO69" s="463">
        <f t="shared" si="108"/>
      </c>
      <c r="CP69" s="463">
        <f t="shared" si="108"/>
      </c>
      <c r="CQ69" s="463">
        <f t="shared" si="108"/>
      </c>
      <c r="CR69" s="463">
        <f t="shared" si="108"/>
      </c>
      <c r="CS69" s="466">
        <f t="shared" si="108"/>
      </c>
      <c r="CT69" s="463">
        <f t="shared" si="108"/>
      </c>
      <c r="CU69" s="463">
        <f t="shared" si="108"/>
      </c>
      <c r="CV69" s="463">
        <f t="shared" si="108"/>
      </c>
      <c r="CW69" s="463">
        <f t="shared" si="108"/>
      </c>
      <c r="CX69" s="466">
        <f t="shared" si="108"/>
      </c>
      <c r="CY69" s="463">
        <f t="shared" si="108"/>
      </c>
      <c r="CZ69" s="463">
        <f t="shared" ref="CZ69:EE69" si="109">CZ66-CU66</f>
      </c>
      <c r="DA69" s="463">
        <f t="shared" si="109"/>
      </c>
      <c r="DB69" s="463">
        <f t="shared" si="109"/>
      </c>
      <c r="DC69" s="466">
        <f t="shared" si="109"/>
      </c>
      <c r="DD69" s="463">
        <f t="shared" si="109"/>
      </c>
      <c r="DE69" s="463">
        <f t="shared" si="109"/>
      </c>
      <c r="DF69" s="463">
        <f t="shared" si="109"/>
      </c>
      <c r="DG69" s="463">
        <f t="shared" si="109"/>
      </c>
      <c r="DH69" s="466">
        <f t="shared" si="109"/>
      </c>
      <c r="DI69" s="463">
        <f t="shared" si="109"/>
      </c>
      <c r="DJ69" s="463">
        <f t="shared" si="109"/>
      </c>
      <c r="DK69" s="463">
        <f t="shared" si="109"/>
      </c>
      <c r="DL69" s="463">
        <f t="shared" si="109"/>
      </c>
      <c r="DM69" s="466">
        <f t="shared" si="109"/>
      </c>
      <c r="DN69" s="463">
        <f t="shared" si="109"/>
      </c>
      <c r="DO69" s="463">
        <f t="shared" si="109"/>
      </c>
      <c r="DP69" s="463">
        <f t="shared" si="109"/>
      </c>
      <c r="DQ69" s="463">
        <f t="shared" si="109"/>
      </c>
      <c r="DR69" s="466">
        <f t="shared" si="109"/>
      </c>
      <c r="DS69" s="463">
        <f t="shared" si="109"/>
      </c>
      <c r="DT69" s="463">
        <f t="shared" si="109"/>
      </c>
      <c r="DU69" s="463">
        <f t="shared" si="109"/>
      </c>
      <c r="DV69" s="463">
        <f t="shared" si="109"/>
      </c>
      <c r="DW69" s="466">
        <f t="shared" si="109"/>
      </c>
      <c r="DX69" s="463">
        <f t="shared" si="109"/>
      </c>
      <c r="DY69" s="463">
        <f t="shared" si="109"/>
      </c>
      <c r="DZ69" s="463">
        <f t="shared" si="109"/>
      </c>
      <c r="EA69" s="463">
        <f t="shared" si="109"/>
      </c>
      <c r="EB69" s="466">
        <f t="shared" si="109"/>
      </c>
      <c r="EC69" s="463">
        <f t="shared" si="109"/>
      </c>
      <c r="ED69" s="463">
        <f t="shared" si="109"/>
      </c>
      <c r="EE69" s="463">
        <f t="shared" si="109"/>
      </c>
      <c r="EF69" s="463">
        <f t="shared" ref="EF69:FK69" si="110">EF66-EA66</f>
      </c>
      <c r="EG69" s="466">
        <f t="shared" si="110"/>
      </c>
      <c r="EH69" s="463">
        <f t="shared" si="110"/>
      </c>
      <c r="EI69" s="463">
        <f t="shared" si="110"/>
      </c>
      <c r="EJ69" s="463">
        <f t="shared" si="110"/>
      </c>
      <c r="EK69" s="463">
        <f t="shared" si="110"/>
      </c>
      <c r="EL69" s="466">
        <f t="shared" si="110"/>
      </c>
      <c r="EM69" s="463">
        <f t="shared" si="110"/>
      </c>
      <c r="EN69" s="463">
        <f t="shared" si="110"/>
      </c>
      <c r="EO69" s="463">
        <f t="shared" si="110"/>
      </c>
      <c r="EP69" s="463">
        <f t="shared" si="110"/>
      </c>
      <c r="EQ69" s="466">
        <f t="shared" si="110"/>
      </c>
      <c r="ER69" s="463">
        <f t="shared" si="110"/>
      </c>
      <c r="ES69" s="463">
        <f t="shared" si="110"/>
      </c>
      <c r="ET69" s="463">
        <f t="shared" si="110"/>
      </c>
      <c r="EU69" s="1399">
        <f t="shared" si="110"/>
      </c>
      <c r="EV69" s="466">
        <f t="shared" si="110"/>
      </c>
      <c r="EW69" s="463">
        <f t="shared" si="110"/>
      </c>
      <c r="EX69" s="463">
        <f t="shared" si="110"/>
      </c>
      <c r="EY69" s="463">
        <f t="shared" si="110"/>
      </c>
      <c r="EZ69" s="1399">
        <f t="shared" si="110"/>
      </c>
      <c r="FA69" s="466">
        <f t="shared" si="110"/>
      </c>
      <c r="FB69" s="463">
        <f t="shared" si="110"/>
      </c>
      <c r="FC69" s="463">
        <f t="shared" si="110"/>
      </c>
      <c r="FD69" s="463">
        <f t="shared" si="110"/>
      </c>
      <c r="FE69" s="463">
        <f t="shared" si="110"/>
      </c>
      <c r="FF69" s="466">
        <f t="shared" si="110"/>
      </c>
      <c r="FG69" s="463">
        <f t="shared" si="110"/>
      </c>
      <c r="FH69" s="463">
        <f t="shared" si="110"/>
      </c>
      <c r="FI69" s="463">
        <f t="shared" si="110"/>
      </c>
      <c r="FJ69" s="463">
        <f t="shared" si="110"/>
      </c>
      <c r="FK69" s="466">
        <f t="shared" si="110"/>
      </c>
      <c r="FL69" s="463">
        <f t="shared" ref="FL69:GE69" si="111">FL66-FG66</f>
      </c>
      <c r="FM69" s="463">
        <f t="shared" si="111"/>
      </c>
      <c r="FN69" s="463">
        <f t="shared" si="111"/>
      </c>
      <c r="FO69" s="463">
        <f t="shared" si="111"/>
      </c>
      <c r="FP69" s="466">
        <f t="shared" si="111"/>
      </c>
      <c r="FQ69" s="463">
        <f t="shared" si="111"/>
      </c>
      <c r="FR69" s="463">
        <f t="shared" si="111"/>
      </c>
      <c r="FS69" s="463">
        <f t="shared" si="111"/>
      </c>
      <c r="FT69" s="463">
        <f t="shared" si="111"/>
      </c>
      <c r="FU69" s="466">
        <f t="shared" si="111"/>
      </c>
      <c r="FV69" s="463">
        <f t="shared" si="111"/>
      </c>
      <c r="FW69" s="463">
        <f t="shared" si="111"/>
      </c>
      <c r="FX69" s="463">
        <f t="shared" si="111"/>
      </c>
      <c r="FY69" s="463">
        <f t="shared" si="111"/>
      </c>
      <c r="FZ69" s="466">
        <f t="shared" si="111"/>
      </c>
      <c r="GA69" s="463">
        <f t="shared" si="111"/>
      </c>
      <c r="GB69" s="463">
        <f t="shared" si="111"/>
      </c>
      <c r="GC69" s="463">
        <f t="shared" si="111"/>
      </c>
      <c r="GD69" s="463">
        <f t="shared" si="111"/>
      </c>
      <c r="GE69" s="466">
        <f t="shared" si="111"/>
      </c>
      <c r="GF69" s="463">
        <f t="shared" ref="GF69" si="112">GF66-GA66</f>
      </c>
      <c r="GG69" s="463">
        <f t="shared" ref="GG69" si="113">GG66-GB66</f>
      </c>
      <c r="GH69" s="463">
        <f t="shared" ref="GH69" si="114">GH66-GC66</f>
      </c>
      <c r="GI69" s="463">
        <f t="shared" ref="GI69" si="115">GI66-GD66</f>
      </c>
      <c r="GJ69" s="466">
        <f t="shared" ref="GJ69" si="116">GJ66-GE66</f>
      </c>
    </row>
    <row r="70" spans="1:192" ht="12.75" hidden="1" customHeight="1" outlineLevel="1">
      <c r="B70" s="617" t="s">
        <v>487</v>
      </c>
      <c r="C70" s="470"/>
      <c r="D70" s="463">
        <f>D66-C66</f>
      </c>
      <c r="E70" s="463">
        <f>E66-D66</f>
      </c>
      <c r="F70" s="463">
        <f>F66-E66</f>
      </c>
      <c r="G70" s="293"/>
      <c r="H70" s="470">
        <f>H66-F66</f>
      </c>
      <c r="I70" s="463">
        <f>I66-H66</f>
      </c>
      <c r="J70" s="463">
        <f>J66-I66</f>
      </c>
      <c r="K70" s="463">
        <f>K66-J66</f>
      </c>
      <c r="L70" s="293"/>
      <c r="M70" s="470">
        <f>M66-K66</f>
      </c>
      <c r="N70" s="463">
        <f>N66-M66</f>
      </c>
      <c r="O70" s="463">
        <f>O66-N66</f>
      </c>
      <c r="P70" s="463">
        <f>P66-O66</f>
      </c>
      <c r="Q70" s="293"/>
      <c r="R70" s="470">
        <f>R66-P66</f>
      </c>
      <c r="S70" s="463">
        <f>S66-R66</f>
      </c>
      <c r="T70" s="463">
        <f>T66-S66</f>
      </c>
      <c r="U70" s="463">
        <f>U66-T66</f>
      </c>
      <c r="V70" s="293"/>
      <c r="W70" s="470">
        <f>W66-U66</f>
      </c>
      <c r="X70" s="463">
        <f>X66-W66</f>
      </c>
      <c r="Y70" s="463">
        <f>Y66-X66</f>
      </c>
      <c r="Z70" s="463">
        <f>Z66-Y66</f>
      </c>
      <c r="AA70" s="293"/>
      <c r="AB70" s="470">
        <f>AB66-Z66</f>
      </c>
      <c r="AC70" s="463">
        <f>AC66-AB66</f>
      </c>
      <c r="AD70" s="463">
        <f>AD66-AC66</f>
      </c>
      <c r="AE70" s="463">
        <f>AE66-AD66</f>
      </c>
      <c r="AF70" s="293"/>
      <c r="AG70" s="470">
        <f>AG66-AE66</f>
      </c>
      <c r="AH70" s="463">
        <f>AH66-AG66</f>
      </c>
      <c r="AI70" s="463">
        <f>AI66-AH66</f>
      </c>
      <c r="AJ70" s="463">
        <f>AJ66-AI66</f>
      </c>
      <c r="AK70" s="293"/>
      <c r="AL70" s="470">
        <f>AL66-AJ66</f>
      </c>
      <c r="AM70" s="463">
        <f>AM66-AL66</f>
      </c>
      <c r="AN70" s="463">
        <f>AN66-AM66</f>
      </c>
      <c r="AO70" s="463">
        <f>AO66-AN66</f>
      </c>
      <c r="AP70" s="293"/>
      <c r="AQ70" s="470">
        <f>AQ66-AO66</f>
      </c>
      <c r="AR70" s="463">
        <f>AR66-AQ66</f>
      </c>
      <c r="AS70" s="463">
        <f>AS66-AR66</f>
      </c>
      <c r="AT70" s="463">
        <f>AT66-AS66</f>
      </c>
      <c r="AU70" s="293"/>
      <c r="AV70" s="470">
        <f>AV66-AT66</f>
      </c>
      <c r="AW70" s="463">
        <f>AW66-AV66</f>
      </c>
      <c r="AX70" s="463">
        <f>AX66-AW66</f>
      </c>
      <c r="AY70" s="463">
        <f>AY66-AX66</f>
      </c>
      <c r="AZ70" s="293"/>
      <c r="BA70" s="470">
        <f>BA66-AY66</f>
      </c>
      <c r="BB70" s="463">
        <f>BB66-BA66</f>
      </c>
      <c r="BC70" s="463">
        <f>BC66-BB66</f>
      </c>
      <c r="BD70" s="463">
        <f>BD66-BC66</f>
      </c>
      <c r="BE70" s="293"/>
      <c r="BF70" s="470">
        <f>BF66-BD66</f>
      </c>
      <c r="BG70" s="463">
        <f>BG66-BF66</f>
      </c>
      <c r="BH70" s="463">
        <f>BH66-BG66</f>
      </c>
      <c r="BI70" s="463">
        <f>BI66-BH66</f>
      </c>
      <c r="BJ70" s="293"/>
      <c r="BK70" s="470">
        <f>BK66-BI66</f>
      </c>
      <c r="BL70" s="463">
        <f>BL66-BK66</f>
      </c>
      <c r="BM70" s="463">
        <f>BM66-BL66</f>
      </c>
      <c r="BN70" s="463">
        <f>BN66-BM66</f>
      </c>
      <c r="BO70" s="293"/>
      <c r="BP70" s="470">
        <f>BP66-BN66</f>
      </c>
      <c r="BQ70" s="463">
        <f>BQ66-BP66</f>
      </c>
      <c r="BR70" s="463">
        <f>BR66-BQ66</f>
      </c>
      <c r="BS70" s="463">
        <f>BS66-BR66</f>
      </c>
      <c r="BT70" s="293"/>
      <c r="BU70" s="470">
        <f>BU66-BS66</f>
      </c>
      <c r="BV70" s="463">
        <f>BV66-BU66</f>
      </c>
      <c r="BW70" s="463">
        <f>BW66-BV66</f>
      </c>
      <c r="BX70" s="463">
        <f>BX66-BW66</f>
      </c>
      <c r="BY70" s="293"/>
      <c r="BZ70" s="470">
        <f>BZ66-BX66</f>
      </c>
      <c r="CA70" s="463">
        <f>CA66-BZ66</f>
      </c>
      <c r="CB70" s="463">
        <f>CB66-CA66</f>
      </c>
      <c r="CC70" s="463">
        <f>CC66-CB66</f>
      </c>
      <c r="CD70" s="293"/>
      <c r="CE70" s="470">
        <f>CE66-CC66</f>
      </c>
      <c r="CF70" s="463">
        <f>CF66-CE66</f>
      </c>
      <c r="CG70" s="463">
        <f>CG66-CF66</f>
      </c>
      <c r="CH70" s="463">
        <f>CH66-CG66</f>
      </c>
      <c r="CI70" s="293"/>
      <c r="CJ70" s="470">
        <f>CJ66-CH66</f>
      </c>
      <c r="CK70" s="463">
        <f>CK66-CJ66</f>
      </c>
      <c r="CL70" s="463">
        <f>CL66-CK66</f>
      </c>
      <c r="CM70" s="463">
        <f>CM66-CL66</f>
      </c>
      <c r="CN70" s="293"/>
      <c r="CO70" s="470">
        <f>CO66-CM66</f>
      </c>
      <c r="CP70" s="463">
        <f>CP66-CO66</f>
      </c>
      <c r="CQ70" s="463">
        <f>CQ66-CP66</f>
      </c>
      <c r="CR70" s="463">
        <f>CR66-CQ66</f>
      </c>
      <c r="CS70" s="293"/>
      <c r="CT70" s="470">
        <f>CT66-CR66</f>
      </c>
      <c r="CU70" s="463">
        <f>CU66-CT66</f>
      </c>
      <c r="CV70" s="463">
        <f>CV66-CU66</f>
      </c>
      <c r="CW70" s="463">
        <f>CW66-CV66</f>
      </c>
      <c r="CX70" s="293"/>
      <c r="CY70" s="470">
        <f>CY66-CW66</f>
      </c>
      <c r="CZ70" s="463">
        <f>CZ66-CY66</f>
      </c>
      <c r="DA70" s="463">
        <f>DA66-CZ66</f>
      </c>
      <c r="DB70" s="463">
        <f>DB66-DA66</f>
      </c>
      <c r="DC70" s="293"/>
      <c r="DD70" s="470">
        <f>DD66-DB66</f>
      </c>
      <c r="DE70" s="463">
        <f>DE66-DD66</f>
      </c>
      <c r="DF70" s="463">
        <f>DF66-DE66</f>
      </c>
      <c r="DG70" s="463">
        <f>DG66-DF66</f>
      </c>
      <c r="DH70" s="293"/>
      <c r="DI70" s="470">
        <f>DI66-DG66</f>
      </c>
      <c r="DJ70" s="463">
        <f>DJ66-DI66</f>
      </c>
      <c r="DK70" s="463">
        <f>DK66-DJ66</f>
      </c>
      <c r="DL70" s="463">
        <f>DL66-DK66</f>
      </c>
      <c r="DM70" s="293"/>
      <c r="DN70" s="470">
        <f>DN66-DL66</f>
      </c>
      <c r="DO70" s="463">
        <f>DO66-DN66</f>
      </c>
      <c r="DP70" s="463">
        <f>DP66-DO66</f>
      </c>
      <c r="DQ70" s="463">
        <f>DQ66-DP66</f>
      </c>
      <c r="DR70" s="293"/>
      <c r="DS70" s="470">
        <f>DS66-DQ66</f>
      </c>
      <c r="DT70" s="463">
        <f>DT66-DS66</f>
      </c>
      <c r="DU70" s="463">
        <f>DU66-DT66</f>
      </c>
      <c r="DV70" s="463">
        <f>DV66-DU66</f>
      </c>
      <c r="DW70" s="293"/>
      <c r="DX70" s="470">
        <f>DX66-DV66</f>
      </c>
      <c r="DY70" s="463">
        <f>DY66-DX66</f>
      </c>
      <c r="DZ70" s="463">
        <f>DZ66-DY66</f>
      </c>
      <c r="EA70" s="463">
        <f>EA66-DZ66</f>
      </c>
      <c r="EB70" s="293"/>
      <c r="EC70" s="470">
        <f>EC66-EA66</f>
      </c>
      <c r="ED70" s="463">
        <f>ED66-EC66</f>
      </c>
      <c r="EE70" s="463">
        <f>EE66-ED66</f>
      </c>
      <c r="EF70" s="463">
        <f>EF66-EE66</f>
      </c>
      <c r="EG70" s="293"/>
      <c r="EH70" s="470">
        <f>EH66-EF66</f>
      </c>
      <c r="EI70" s="463">
        <f>EI66-EH66</f>
      </c>
      <c r="EJ70" s="463">
        <f>EJ66-EI66</f>
      </c>
      <c r="EK70" s="463">
        <f>EK66-EJ66</f>
      </c>
      <c r="EL70" s="293"/>
      <c r="EM70" s="470">
        <f>EM66-EK66</f>
      </c>
      <c r="EN70" s="463">
        <f>EN66-EM66</f>
      </c>
      <c r="EO70" s="463">
        <f>EO66-EN66</f>
      </c>
      <c r="EP70" s="463">
        <f>EP66-EO66</f>
      </c>
      <c r="EQ70" s="293"/>
      <c r="ER70" s="470">
        <f>ER66-EP66</f>
      </c>
      <c r="ES70" s="463">
        <f>ES66-ER66</f>
      </c>
      <c r="ET70" s="1399">
        <f>ET66-ES66</f>
      </c>
      <c r="EU70" s="1399">
        <f>EU66-ET66</f>
      </c>
      <c r="EV70" s="293"/>
      <c r="EW70" s="470">
        <f>EW66-EU66</f>
      </c>
      <c r="EX70" s="463">
        <f>EX66-EW66</f>
      </c>
      <c r="EY70" s="1399">
        <f>EY66-EX66</f>
      </c>
      <c r="EZ70" s="1399">
        <f>EZ66-EY66</f>
      </c>
      <c r="FA70" s="293"/>
      <c r="FB70" s="470">
        <f>FB66-EZ66</f>
      </c>
      <c r="FC70" s="463">
        <f>FC66-FB66</f>
      </c>
      <c r="FD70" s="463">
        <f>FD66-FC66</f>
      </c>
      <c r="FE70" s="463">
        <f>FE66-FD66</f>
      </c>
      <c r="FF70" s="293"/>
      <c r="FG70" s="470">
        <f>FG66-FE66</f>
      </c>
      <c r="FH70" s="463">
        <f>FH66-FG66</f>
      </c>
      <c r="FI70" s="463">
        <f>FI66-FH66</f>
      </c>
      <c r="FJ70" s="463">
        <f>FJ66-FI66</f>
      </c>
      <c r="FK70" s="293"/>
      <c r="FL70" s="470">
        <f>FL66-FJ66</f>
      </c>
      <c r="FM70" s="463">
        <f>FM66-FL66</f>
      </c>
      <c r="FN70" s="463">
        <f>FN66-FM66</f>
      </c>
      <c r="FO70" s="463">
        <f>FO66-FN66</f>
      </c>
      <c r="FP70" s="293"/>
      <c r="FQ70" s="470">
        <f>FQ66-FO66</f>
      </c>
      <c r="FR70" s="463">
        <f>FR66-FQ66</f>
      </c>
      <c r="FS70" s="463">
        <f>FS66-FR66</f>
      </c>
      <c r="FT70" s="463">
        <f>FT66-FS66</f>
      </c>
      <c r="FU70" s="293"/>
      <c r="FV70" s="470">
        <f>FV66-FT66</f>
      </c>
      <c r="FW70" s="463">
        <f>FW66-FV66</f>
      </c>
      <c r="FX70" s="463">
        <f>FX66-FW66</f>
      </c>
      <c r="FY70" s="463">
        <f>FY66-FX66</f>
      </c>
      <c r="FZ70" s="293"/>
      <c r="GA70" s="470">
        <f>GA66-FY66</f>
      </c>
      <c r="GB70" s="463">
        <f>GB66-GA66</f>
      </c>
      <c r="GC70" s="463">
        <f>GC66-GB66</f>
      </c>
      <c r="GD70" s="463">
        <f>GD66-GC66</f>
      </c>
      <c r="GE70" s="293"/>
      <c r="GF70" s="470">
        <f>GF66-GD66</f>
      </c>
      <c r="GG70" s="463">
        <f>GG66-GF66</f>
      </c>
      <c r="GH70" s="463">
        <f>GH66-GG66</f>
      </c>
      <c r="GI70" s="463">
        <f>GI66-GH66</f>
      </c>
      <c r="GJ70" s="293"/>
    </row>
    <row r="71" spans="1:192" s="1263" customFormat="1" ht="12.75" customHeight="1" collapsed="1">
      <c r="A71" s="1260" t="s">
        <v>350</v>
      </c>
      <c r="B71" s="1564" t="s">
        <v>39</v>
      </c>
      <c r="C71" s="1565">
        <f>IFERROR(C66/C$24,"")</f>
      </c>
      <c r="D71" s="1565">
        <f t="shared" ref="D71:BO71" si="117">IFERROR(D66/D$24,"")</f>
      </c>
      <c r="E71" s="1565">
        <f t="shared" si="117"/>
      </c>
      <c r="F71" s="1565">
        <f t="shared" si="117"/>
      </c>
      <c r="G71" s="1566">
        <f t="shared" si="117"/>
      </c>
      <c r="H71" s="1565">
        <f>IFERROR(H66/H$24,"")</f>
      </c>
      <c r="I71" s="1565">
        <f t="shared" si="117"/>
      </c>
      <c r="J71" s="1565">
        <f t="shared" si="117"/>
      </c>
      <c r="K71" s="1565">
        <f t="shared" si="117"/>
      </c>
      <c r="L71" s="1566">
        <f t="shared" si="117"/>
      </c>
      <c r="M71" s="1565">
        <f>IFERROR(M66/M$24,"")</f>
      </c>
      <c r="N71" s="1565">
        <f t="shared" si="117"/>
      </c>
      <c r="O71" s="1565">
        <f t="shared" si="117"/>
      </c>
      <c r="P71" s="1565">
        <f t="shared" si="117"/>
      </c>
      <c r="Q71" s="1566">
        <f t="shared" si="117"/>
      </c>
      <c r="R71" s="1565">
        <f>IFERROR(R66/R$24,"")</f>
      </c>
      <c r="S71" s="1565">
        <f t="shared" si="117"/>
      </c>
      <c r="T71" s="1565">
        <f t="shared" si="117"/>
      </c>
      <c r="U71" s="1565">
        <f t="shared" si="117"/>
      </c>
      <c r="V71" s="1566">
        <f t="shared" si="117"/>
      </c>
      <c r="W71" s="1565">
        <f>IFERROR(W66/W$24,"")</f>
      </c>
      <c r="X71" s="1565">
        <f t="shared" si="117"/>
      </c>
      <c r="Y71" s="1565">
        <f t="shared" si="117"/>
      </c>
      <c r="Z71" s="1565">
        <f t="shared" si="117"/>
      </c>
      <c r="AA71" s="1566">
        <f t="shared" si="117"/>
      </c>
      <c r="AB71" s="1565">
        <f>IFERROR(AB66/AB$24,"")</f>
      </c>
      <c r="AC71" s="1565">
        <f t="shared" si="117"/>
      </c>
      <c r="AD71" s="1565">
        <f t="shared" si="117"/>
      </c>
      <c r="AE71" s="1565">
        <f t="shared" si="117"/>
      </c>
      <c r="AF71" s="1566">
        <f t="shared" si="117"/>
      </c>
      <c r="AG71" s="1565">
        <f>IFERROR(AG66/AG$24,"")</f>
      </c>
      <c r="AH71" s="1565">
        <f t="shared" si="117"/>
      </c>
      <c r="AI71" s="1565">
        <f t="shared" si="117"/>
      </c>
      <c r="AJ71" s="1565">
        <f t="shared" si="117"/>
      </c>
      <c r="AK71" s="1566">
        <f t="shared" si="117"/>
      </c>
      <c r="AL71" s="1565">
        <f>IFERROR(AL66/AL$24,"")</f>
      </c>
      <c r="AM71" s="1565">
        <f t="shared" si="117"/>
      </c>
      <c r="AN71" s="1565">
        <f t="shared" si="117"/>
      </c>
      <c r="AO71" s="1565">
        <f t="shared" si="117"/>
      </c>
      <c r="AP71" s="1566">
        <f t="shared" si="117"/>
      </c>
      <c r="AQ71" s="1565">
        <f>IFERROR(AQ66/AQ$24,"")</f>
      </c>
      <c r="AR71" s="1565">
        <f t="shared" si="117"/>
      </c>
      <c r="AS71" s="1565">
        <f t="shared" si="117"/>
      </c>
      <c r="AT71" s="1565">
        <f t="shared" si="117"/>
      </c>
      <c r="AU71" s="1566">
        <f t="shared" si="117"/>
      </c>
      <c r="AV71" s="1565">
        <f>IFERROR(AV66/AV$24,"")</f>
      </c>
      <c r="AW71" s="1565">
        <f t="shared" si="117"/>
      </c>
      <c r="AX71" s="1565">
        <f t="shared" si="117"/>
      </c>
      <c r="AY71" s="1565">
        <f t="shared" si="117"/>
      </c>
      <c r="AZ71" s="1566">
        <f t="shared" si="117"/>
      </c>
      <c r="BA71" s="1565">
        <f>IFERROR(BA66/BA$24,"")</f>
      </c>
      <c r="BB71" s="1565">
        <f t="shared" si="117"/>
      </c>
      <c r="BC71" s="1565">
        <f t="shared" si="117"/>
      </c>
      <c r="BD71" s="1565">
        <f t="shared" si="117"/>
      </c>
      <c r="BE71" s="1566">
        <f t="shared" si="117"/>
      </c>
      <c r="BF71" s="1565">
        <f>IFERROR(BF66/BF$24,"")</f>
      </c>
      <c r="BG71" s="1565">
        <f t="shared" si="117"/>
      </c>
      <c r="BH71" s="1565">
        <f t="shared" si="117"/>
      </c>
      <c r="BI71" s="1565">
        <f t="shared" si="117"/>
      </c>
      <c r="BJ71" s="1566">
        <f t="shared" si="117"/>
      </c>
      <c r="BK71" s="1565">
        <f>IFERROR(BK66/BK$24,"")</f>
      </c>
      <c r="BL71" s="1565">
        <f t="shared" si="117"/>
      </c>
      <c r="BM71" s="1565">
        <f t="shared" si="117"/>
      </c>
      <c r="BN71" s="1565">
        <f t="shared" si="117"/>
      </c>
      <c r="BO71" s="1566">
        <f t="shared" si="117"/>
      </c>
      <c r="BP71" s="1565">
        <f>IFERROR(BP66/BP$24,"")</f>
      </c>
      <c r="BQ71" s="1565">
        <f t="shared" ref="BQ71:CD71" si="118">IFERROR(BQ66/BQ$24,"")</f>
      </c>
      <c r="BR71" s="1565">
        <f t="shared" si="118"/>
      </c>
      <c r="BS71" s="1565">
        <f t="shared" si="118"/>
      </c>
      <c r="BT71" s="1566">
        <f t="shared" si="118"/>
      </c>
      <c r="BU71" s="1565">
        <f>IFERROR(BU66/BU$24,"")</f>
      </c>
      <c r="BV71" s="1565">
        <f t="shared" si="118"/>
      </c>
      <c r="BW71" s="1565">
        <f t="shared" si="118"/>
      </c>
      <c r="BX71" s="1565">
        <f t="shared" si="118"/>
      </c>
      <c r="BY71" s="1566">
        <f t="shared" si="118"/>
      </c>
      <c r="BZ71" s="1565">
        <f>IFERROR(BZ66/BZ$24,"")</f>
      </c>
      <c r="CA71" s="1565">
        <f t="shared" si="118"/>
      </c>
      <c r="CB71" s="1565">
        <f t="shared" si="118"/>
      </c>
      <c r="CC71" s="1565">
        <f t="shared" si="118"/>
      </c>
      <c r="CD71" s="1566">
        <f t="shared" si="118"/>
      </c>
      <c r="CE71" s="1565">
        <f>IFERROR(CE66/CE$24,"")</f>
      </c>
      <c r="CF71" s="1565">
        <f t="shared" ref="CF71:DC71" si="119">IFERROR(CF66/CF$24,"")</f>
      </c>
      <c r="CG71" s="1565">
        <f t="shared" si="119"/>
      </c>
      <c r="CH71" s="1565">
        <f t="shared" si="119"/>
      </c>
      <c r="CI71" s="1566">
        <f t="shared" si="119"/>
      </c>
      <c r="CJ71" s="1565">
        <f>IFERROR(CJ66/CJ$24,"")</f>
      </c>
      <c r="CK71" s="1565">
        <f t="shared" si="119"/>
      </c>
      <c r="CL71" s="1565">
        <f t="shared" si="119"/>
      </c>
      <c r="CM71" s="1565">
        <f t="shared" si="119"/>
      </c>
      <c r="CN71" s="1566">
        <f t="shared" si="119"/>
      </c>
      <c r="CO71" s="1565">
        <f>IFERROR(CO66/CO$24,"")</f>
      </c>
      <c r="CP71" s="1565">
        <f t="shared" si="119"/>
      </c>
      <c r="CQ71" s="1565">
        <f t="shared" si="119"/>
      </c>
      <c r="CR71" s="1565">
        <f t="shared" si="119"/>
      </c>
      <c r="CS71" s="1566">
        <f t="shared" si="119"/>
      </c>
      <c r="CT71" s="1565">
        <f>IFERROR(CT66/CT$24,"")</f>
      </c>
      <c r="CU71" s="1565">
        <f t="shared" si="119"/>
      </c>
      <c r="CV71" s="1565">
        <f t="shared" si="119"/>
      </c>
      <c r="CW71" s="1565">
        <f t="shared" si="119"/>
      </c>
      <c r="CX71" s="1566">
        <f t="shared" si="119"/>
      </c>
      <c r="CY71" s="1565">
        <f>IFERROR(CY66/CY$24,"")</f>
      </c>
      <c r="CZ71" s="1565">
        <f t="shared" si="119"/>
      </c>
      <c r="DA71" s="1565">
        <f t="shared" si="119"/>
      </c>
      <c r="DB71" s="1565">
        <f t="shared" si="119"/>
      </c>
      <c r="DC71" s="1566">
        <f t="shared" si="119"/>
      </c>
      <c r="DD71" s="1565">
        <f>IFERROR(DD66/DD$24,"")</f>
      </c>
      <c r="DE71" s="1565">
        <f t="shared" ref="DE71:EB71" si="120">IFERROR(DE66/DE$24,"")</f>
      </c>
      <c r="DF71" s="1565">
        <f t="shared" si="120"/>
      </c>
      <c r="DG71" s="1565">
        <f t="shared" si="120"/>
      </c>
      <c r="DH71" s="1566">
        <f t="shared" si="120"/>
      </c>
      <c r="DI71" s="1565">
        <f>IFERROR(DI66/DI$24,"")</f>
      </c>
      <c r="DJ71" s="1565">
        <f t="shared" si="120"/>
      </c>
      <c r="DK71" s="1565">
        <f t="shared" si="120"/>
      </c>
      <c r="DL71" s="1565">
        <f t="shared" si="120"/>
      </c>
      <c r="DM71" s="1566">
        <f t="shared" si="120"/>
      </c>
      <c r="DN71" s="1565">
        <f>IFERROR(DN66/DN$24,"")</f>
      </c>
      <c r="DO71" s="1565">
        <f t="shared" si="120"/>
      </c>
      <c r="DP71" s="1565">
        <f t="shared" si="120"/>
      </c>
      <c r="DQ71" s="1565">
        <f t="shared" si="120"/>
      </c>
      <c r="DR71" s="1566">
        <f t="shared" si="120"/>
      </c>
      <c r="DS71" s="1565">
        <f>IFERROR(DS66/DS$24,"")</f>
      </c>
      <c r="DT71" s="1565">
        <f t="shared" si="120"/>
      </c>
      <c r="DU71" s="1565">
        <f t="shared" si="120"/>
      </c>
      <c r="DV71" s="1565">
        <f t="shared" si="120"/>
      </c>
      <c r="DW71" s="1566">
        <f t="shared" si="120"/>
      </c>
      <c r="DX71" s="1565">
        <f>IFERROR(DX66/DX$24,"")</f>
      </c>
      <c r="DY71" s="1565">
        <f t="shared" si="120"/>
      </c>
      <c r="DZ71" s="1565">
        <f t="shared" si="120"/>
      </c>
      <c r="EA71" s="1565">
        <f t="shared" si="120"/>
      </c>
      <c r="EB71" s="1566">
        <f t="shared" si="120"/>
      </c>
      <c r="EC71" s="1565">
        <f>IFERROR(EC66/EC$24,"")</f>
      </c>
      <c r="ED71" s="1565">
        <f t="shared" ref="ED71:EQ71" si="121">IFERROR(ED66/ED$24,"")</f>
      </c>
      <c r="EE71" s="1565">
        <f t="shared" si="121"/>
      </c>
      <c r="EF71" s="1565">
        <f t="shared" si="121"/>
      </c>
      <c r="EG71" s="1566">
        <f t="shared" si="121"/>
      </c>
      <c r="EH71" s="1565">
        <f>IFERROR(EH66/EH$24,"")</f>
      </c>
      <c r="EI71" s="1565">
        <f t="shared" si="121"/>
      </c>
      <c r="EJ71" s="1565">
        <f t="shared" si="121"/>
      </c>
      <c r="EK71" s="1565">
        <f t="shared" si="121"/>
      </c>
      <c r="EL71" s="1566">
        <f t="shared" si="121"/>
      </c>
      <c r="EM71" s="1565">
        <f>IFERROR(EM66/EM$24,"")</f>
      </c>
      <c r="EN71" s="1565">
        <f t="shared" si="121"/>
      </c>
      <c r="EO71" s="1565">
        <f t="shared" si="121"/>
      </c>
      <c r="EP71" s="1565">
        <f t="shared" si="121"/>
      </c>
      <c r="EQ71" s="1566">
        <f t="shared" si="121"/>
      </c>
      <c r="ER71" s="1565">
        <f t="shared" ref="ER71:EW71" si="122">IFERROR(ER66/ER$24,"")</f>
      </c>
      <c r="ES71" s="1565">
        <f t="shared" si="122"/>
      </c>
      <c r="ET71" s="1567">
        <f t="shared" si="122"/>
      </c>
      <c r="EU71" s="1567">
        <f t="shared" si="122"/>
      </c>
      <c r="EV71" s="1566">
        <f t="shared" si="122"/>
      </c>
      <c r="EW71" s="1565">
        <f t="shared" si="122"/>
      </c>
      <c r="EX71" s="1565">
        <f t="shared" ref="EX71:FA71" si="123">IFERROR(EX66/EX$24,"")</f>
      </c>
      <c r="EY71" s="1567">
        <f t="shared" si="123"/>
      </c>
      <c r="EZ71" s="1567">
        <f t="shared" si="123"/>
      </c>
      <c r="FA71" s="1566">
        <f t="shared" si="123"/>
      </c>
      <c r="FB71" s="1565">
        <f t="shared" ref="FB71:FZ71" si="124">IFERROR(FB66/FB$24,"")</f>
      </c>
      <c r="FC71" s="1565">
        <f t="shared" si="124"/>
      </c>
      <c r="FD71" s="1565">
        <f t="shared" si="124"/>
      </c>
      <c r="FE71" s="1565">
        <f t="shared" si="124"/>
      </c>
      <c r="FF71" s="1566">
        <f t="shared" si="124"/>
      </c>
      <c r="FG71" s="1565">
        <f t="shared" si="124"/>
      </c>
      <c r="FH71" s="1565">
        <f t="shared" si="124"/>
      </c>
      <c r="FI71" s="1565">
        <f t="shared" si="124"/>
      </c>
      <c r="FJ71" s="1565">
        <f t="shared" si="124"/>
      </c>
      <c r="FK71" s="1566">
        <f t="shared" si="124"/>
      </c>
      <c r="FL71" s="1565">
        <f t="shared" si="124"/>
      </c>
      <c r="FM71" s="1565">
        <f t="shared" si="124"/>
      </c>
      <c r="FN71" s="1565">
        <f t="shared" si="124"/>
      </c>
      <c r="FO71" s="1565">
        <f t="shared" si="124"/>
      </c>
      <c r="FP71" s="1566">
        <f t="shared" si="124"/>
      </c>
      <c r="FQ71" s="1565">
        <f t="shared" si="124"/>
      </c>
      <c r="FR71" s="1565">
        <f t="shared" si="124"/>
      </c>
      <c r="FS71" s="1565">
        <f t="shared" si="124"/>
      </c>
      <c r="FT71" s="1565">
        <f t="shared" si="124"/>
      </c>
      <c r="FU71" s="1566">
        <f t="shared" si="124"/>
      </c>
      <c r="FV71" s="1565">
        <f t="shared" si="124"/>
      </c>
      <c r="FW71" s="1565">
        <f t="shared" si="124"/>
      </c>
      <c r="FX71" s="1565">
        <f t="shared" si="124"/>
      </c>
      <c r="FY71" s="1565">
        <f t="shared" si="124"/>
      </c>
      <c r="FZ71" s="1566">
        <f t="shared" si="124"/>
      </c>
      <c r="GA71" s="1565">
        <f t="shared" ref="GA71:GJ71" si="125">IFERROR(GA66/GA$24,"")</f>
      </c>
      <c r="GB71" s="1565">
        <f t="shared" si="125"/>
      </c>
      <c r="GC71" s="1565">
        <f t="shared" si="125"/>
      </c>
      <c r="GD71" s="1565">
        <f t="shared" si="125"/>
      </c>
      <c r="GE71" s="1566">
        <f t="shared" si="125"/>
      </c>
      <c r="GF71" s="1565">
        <f t="shared" si="125"/>
      </c>
      <c r="GG71" s="1565">
        <f t="shared" si="125"/>
      </c>
      <c r="GH71" s="1565">
        <f t="shared" si="125"/>
      </c>
      <c r="GI71" s="1565">
        <f t="shared" si="125"/>
      </c>
      <c r="GJ71" s="1566">
        <f t="shared" si="125"/>
      </c>
    </row>
    <row r="72" spans="1:192" s="1263" customFormat="1" ht="12.75" customHeight="1">
      <c r="A72" s="1260"/>
      <c r="B72" s="1564"/>
      <c r="C72" s="1565"/>
      <c r="D72" s="1565"/>
      <c r="E72" s="1565"/>
      <c r="F72" s="1565"/>
      <c r="G72" s="1566"/>
      <c r="H72" s="1565"/>
      <c r="I72" s="1565"/>
      <c r="J72" s="1565"/>
      <c r="K72" s="1565"/>
      <c r="L72" s="1566"/>
      <c r="M72" s="1565"/>
      <c r="N72" s="1565"/>
      <c r="O72" s="1565"/>
      <c r="P72" s="1565"/>
      <c r="Q72" s="1566"/>
      <c r="R72" s="1565"/>
      <c r="S72" s="1565"/>
      <c r="T72" s="1565"/>
      <c r="U72" s="1565"/>
      <c r="V72" s="1566"/>
      <c r="W72" s="1565"/>
      <c r="X72" s="1565"/>
      <c r="Y72" s="1565"/>
      <c r="Z72" s="1565"/>
      <c r="AA72" s="1566"/>
      <c r="AB72" s="1565"/>
      <c r="AC72" s="1565"/>
      <c r="AD72" s="1565"/>
      <c r="AE72" s="1565"/>
      <c r="AF72" s="1566"/>
      <c r="AG72" s="1565"/>
      <c r="AH72" s="1565"/>
      <c r="AI72" s="1565"/>
      <c r="AJ72" s="1565"/>
      <c r="AK72" s="1566"/>
      <c r="AL72" s="1565"/>
      <c r="AM72" s="1565"/>
      <c r="AN72" s="1565"/>
      <c r="AO72" s="1565"/>
      <c r="AP72" s="1566"/>
      <c r="AQ72" s="1565"/>
      <c r="AR72" s="1565"/>
      <c r="AS72" s="1565"/>
      <c r="AT72" s="1565"/>
      <c r="AU72" s="1566"/>
      <c r="AV72" s="1565"/>
      <c r="AW72" s="1565"/>
      <c r="AX72" s="1565"/>
      <c r="AY72" s="1565"/>
      <c r="AZ72" s="1566"/>
      <c r="BA72" s="1565"/>
      <c r="BB72" s="1565"/>
      <c r="BC72" s="1565"/>
      <c r="BD72" s="1565"/>
      <c r="BE72" s="1566"/>
      <c r="BF72" s="1565"/>
      <c r="BG72" s="1565"/>
      <c r="BH72" s="1565"/>
      <c r="BI72" s="1565"/>
      <c r="BJ72" s="1566"/>
      <c r="BK72" s="1565"/>
      <c r="BL72" s="1565"/>
      <c r="BM72" s="1565"/>
      <c r="BN72" s="1565"/>
      <c r="BO72" s="1566"/>
      <c r="BP72" s="1565"/>
      <c r="BQ72" s="1565"/>
      <c r="BR72" s="1565"/>
      <c r="BS72" s="1565"/>
      <c r="BT72" s="1566"/>
      <c r="BU72" s="1565"/>
      <c r="BV72" s="1565"/>
      <c r="BW72" s="1565"/>
      <c r="BX72" s="1565"/>
      <c r="BY72" s="1566"/>
      <c r="BZ72" s="1565"/>
      <c r="CA72" s="1565"/>
      <c r="CB72" s="1565"/>
      <c r="CC72" s="1565"/>
      <c r="CD72" s="1566"/>
      <c r="CE72" s="1565"/>
      <c r="CF72" s="1565"/>
      <c r="CG72" s="1565"/>
      <c r="CH72" s="1565"/>
      <c r="CI72" s="1566"/>
      <c r="CJ72" s="1565"/>
      <c r="CK72" s="1565"/>
      <c r="CL72" s="1565"/>
      <c r="CM72" s="1565"/>
      <c r="CN72" s="1566"/>
      <c r="CO72" s="1565"/>
      <c r="CP72" s="1565"/>
      <c r="CQ72" s="1565"/>
      <c r="CR72" s="1565"/>
      <c r="CS72" s="1566"/>
      <c r="CT72" s="1565"/>
      <c r="CU72" s="1565"/>
      <c r="CV72" s="1565"/>
      <c r="CW72" s="1565"/>
      <c r="CX72" s="1566"/>
      <c r="CY72" s="1565"/>
      <c r="CZ72" s="1565"/>
      <c r="DA72" s="1565"/>
      <c r="DB72" s="1565"/>
      <c r="DC72" s="1566"/>
      <c r="DD72" s="1565"/>
      <c r="DE72" s="1565"/>
      <c r="DF72" s="1565"/>
      <c r="DG72" s="1565"/>
      <c r="DH72" s="1566"/>
      <c r="DI72" s="1565"/>
      <c r="DJ72" s="1565"/>
      <c r="DK72" s="1565"/>
      <c r="DL72" s="1565"/>
      <c r="DM72" s="1566"/>
      <c r="DN72" s="1565"/>
      <c r="DO72" s="1565"/>
      <c r="DP72" s="1565"/>
      <c r="DQ72" s="1565"/>
      <c r="DR72" s="1566"/>
      <c r="DS72" s="1565"/>
      <c r="DT72" s="1565"/>
      <c r="DU72" s="1565"/>
      <c r="DV72" s="1565"/>
      <c r="DW72" s="1566"/>
      <c r="DX72" s="1565"/>
      <c r="DY72" s="1565"/>
      <c r="DZ72" s="1565"/>
      <c r="EA72" s="1565"/>
      <c r="EB72" s="1566"/>
      <c r="EC72" s="1565"/>
      <c r="ED72" s="1565"/>
      <c r="EE72" s="1565"/>
      <c r="EF72" s="1565"/>
      <c r="EG72" s="1566"/>
      <c r="EH72" s="1565"/>
      <c r="EI72" s="1565"/>
      <c r="EJ72" s="1565"/>
      <c r="EK72" s="1565"/>
      <c r="EL72" s="1566"/>
      <c r="EM72" s="1565"/>
      <c r="EN72" s="1565"/>
      <c r="EO72" s="1565"/>
      <c r="EP72" s="1565"/>
      <c r="EQ72" s="1566"/>
      <c r="ER72" s="1565"/>
      <c r="ES72" s="1565"/>
      <c r="ET72" s="1567"/>
      <c r="EU72" s="1567"/>
      <c r="EV72" s="1566"/>
      <c r="EW72" s="1565"/>
      <c r="EX72" s="1565"/>
      <c r="EY72" s="1567"/>
      <c r="EZ72" s="1567"/>
      <c r="FA72" s="1566"/>
      <c r="FB72" s="1565"/>
      <c r="FC72" s="1565"/>
      <c r="FD72" s="1565"/>
      <c r="FE72" s="1565"/>
      <c r="FF72" s="1566"/>
      <c r="FG72" s="1565"/>
      <c r="FH72" s="1565"/>
      <c r="FI72" s="1565"/>
      <c r="FJ72" s="1565"/>
      <c r="FK72" s="1566"/>
      <c r="FL72" s="1565"/>
      <c r="FM72" s="1565"/>
      <c r="FN72" s="1565"/>
      <c r="FO72" s="1565"/>
      <c r="FP72" s="1566"/>
      <c r="FQ72" s="1565"/>
      <c r="FR72" s="1565"/>
      <c r="FS72" s="1565"/>
      <c r="FT72" s="1565"/>
      <c r="FU72" s="1566"/>
      <c r="FV72" s="1565"/>
      <c r="FW72" s="1565"/>
      <c r="FX72" s="1565"/>
      <c r="FY72" s="1565"/>
      <c r="FZ72" s="1566"/>
      <c r="GA72" s="1565"/>
      <c r="GB72" s="1565"/>
      <c r="GC72" s="1565"/>
      <c r="GD72" s="1565"/>
      <c r="GE72" s="1566"/>
      <c r="GF72" s="1565"/>
      <c r="GG72" s="1565"/>
      <c r="GH72" s="1565"/>
      <c r="GI72" s="1565"/>
      <c r="GJ72" s="1566"/>
    </row>
    <row r="73" spans="1:192" s="1241" customFormat="1" ht="12.75" customHeight="1">
      <c r="A73" s="1237"/>
      <c r="B73" s="618" t="s">
        <v>2088</v>
      </c>
      <c r="C73" s="920"/>
      <c r="D73" s="920"/>
      <c r="E73" s="920"/>
      <c r="F73" s="920"/>
      <c r="G73" s="504"/>
      <c r="H73" s="1438"/>
      <c r="I73" s="1438"/>
      <c r="J73" s="1438"/>
      <c r="K73" s="1438"/>
      <c r="L73" s="504"/>
      <c r="M73" s="1438"/>
      <c r="N73" s="1438"/>
      <c r="O73" s="1438"/>
      <c r="P73" s="1438"/>
      <c r="Q73" s="504"/>
      <c r="R73" s="1438"/>
      <c r="S73" s="1438"/>
      <c r="T73" s="1438"/>
      <c r="U73" s="1438"/>
      <c r="V73" s="504"/>
      <c r="W73" s="1438"/>
      <c r="X73" s="1438"/>
      <c r="Y73" s="1438"/>
      <c r="Z73" s="1438"/>
      <c r="AA73" s="504"/>
      <c r="AB73" s="1438"/>
      <c r="AC73" s="1438"/>
      <c r="AD73" s="1438"/>
      <c r="AE73" s="1438"/>
      <c r="AF73" s="504"/>
      <c r="AG73" s="1438"/>
      <c r="AH73" s="1438"/>
      <c r="AI73" s="1438"/>
      <c r="AJ73" s="1438"/>
      <c r="AK73" s="504"/>
      <c r="AL73" s="1438"/>
      <c r="AM73" s="1438"/>
      <c r="AN73" s="1438"/>
      <c r="AO73" s="1438"/>
      <c r="AP73" s="504"/>
      <c r="AQ73" s="1438"/>
      <c r="AR73" s="1438"/>
      <c r="AS73" s="1438"/>
      <c r="AT73" s="1438"/>
      <c r="AU73" s="504"/>
      <c r="AV73" s="1438"/>
      <c r="AW73" s="1438"/>
      <c r="AX73" s="1438"/>
      <c r="AY73" s="1438"/>
      <c r="AZ73" s="504"/>
      <c r="BA73" s="1438"/>
      <c r="BB73" s="1438"/>
      <c r="BC73" s="1438"/>
      <c r="BD73" s="1438"/>
      <c r="BE73" s="504"/>
      <c r="BF73" s="1438">
        <f>BF45-BS!BF137</f>
      </c>
      <c r="BG73" s="1438">
        <f>BG45-BS!BG137</f>
      </c>
      <c r="BH73" s="1438">
        <f>BH45-BS!BH137</f>
      </c>
      <c r="BI73" s="1438">
        <f>BI45-BS!BI137</f>
      </c>
      <c r="BJ73" s="504">
        <f>BJ45-BS!BJ137</f>
      </c>
      <c r="BK73" s="1438">
        <f>BK45-BS!BK137</f>
      </c>
      <c r="BL73" s="1438">
        <f>BL45-BS!BL137</f>
      </c>
      <c r="BM73" s="1438">
        <f>BM45-BS!BM137</f>
      </c>
      <c r="BN73" s="1438">
        <f>BN45-BS!BN137</f>
      </c>
      <c r="BO73" s="504">
        <f>BO45-BS!BO137</f>
      </c>
      <c r="BP73" s="1438">
        <f>BP45-BS!BP137</f>
      </c>
      <c r="BQ73" s="1438">
        <f>BQ45-BS!BQ137</f>
      </c>
      <c r="BR73" s="1438">
        <f>BR45-BS!BR137</f>
      </c>
      <c r="BS73" s="1438">
        <f>BS45-BS!BS137</f>
      </c>
      <c r="BT73" s="504">
        <f>BT45-BS!BT137</f>
      </c>
      <c r="BU73" s="1438">
        <f>BU45-BS!BU137</f>
      </c>
      <c r="BV73" s="1438">
        <f>BV45-BS!BV137</f>
      </c>
      <c r="BW73" s="1438">
        <f>BW45-BS!BW137</f>
      </c>
      <c r="BX73" s="1438">
        <f>BX45-BS!BX137</f>
      </c>
      <c r="BY73" s="504">
        <f>BY45-BS!BY137</f>
      </c>
      <c r="BZ73" s="1438">
        <f>BZ45-BS!BZ137</f>
      </c>
      <c r="CA73" s="1438">
        <f>CA45-BS!CA137</f>
      </c>
      <c r="CB73" s="1438">
        <f>CB45-BS!CB137</f>
      </c>
      <c r="CC73" s="1438">
        <f>CC45-BS!CC137</f>
      </c>
      <c r="CD73" s="504">
        <f>CD45-BS!CD137</f>
      </c>
      <c r="CE73" s="1438">
        <f>CE45-BS!CE137</f>
      </c>
      <c r="CF73" s="1438">
        <f>CF45-BS!CF137</f>
      </c>
      <c r="CG73" s="1438">
        <f>CG45-BS!CG137</f>
      </c>
      <c r="CH73" s="1438">
        <f>CH45-BS!CH137</f>
      </c>
      <c r="CI73" s="504">
        <f>CI45-BS!CI137</f>
      </c>
      <c r="CJ73" s="1438">
        <f>CJ45-BS!CJ137</f>
      </c>
      <c r="CK73" s="1438">
        <f>CK45-BS!CK137</f>
      </c>
      <c r="CL73" s="1438">
        <f>CL45-BS!CL137</f>
      </c>
      <c r="CM73" s="1438">
        <f>CM45-BS!CM137</f>
      </c>
      <c r="CN73" s="504">
        <f>CN45-BS!CN137</f>
      </c>
      <c r="CO73" s="1438">
        <f>CO45-BS!CO137</f>
      </c>
      <c r="CP73" s="1438">
        <f>CP45-BS!CP137</f>
      </c>
      <c r="CQ73" s="1438">
        <f>CQ45-BS!CQ137</f>
      </c>
      <c r="CR73" s="1438">
        <f>CR45-BS!CR137</f>
      </c>
      <c r="CS73" s="504">
        <f>CS45-BS!CS137</f>
      </c>
      <c r="CT73" s="1438">
        <f>CT45-BS!CT137</f>
      </c>
      <c r="CU73" s="1438">
        <f>CU45-BS!CU137</f>
      </c>
      <c r="CV73" s="1438">
        <f>CV45-BS!CV137</f>
      </c>
      <c r="CW73" s="1438">
        <f>CW45-BS!CW137</f>
      </c>
      <c r="CX73" s="504">
        <f>CX45-BS!CX137</f>
      </c>
      <c r="CY73" s="1438">
        <f>CY45-BS!CY137</f>
      </c>
      <c r="CZ73" s="1438">
        <f>CZ45-BS!CZ137</f>
      </c>
      <c r="DA73" s="1438">
        <f>DA45-BS!DA137</f>
      </c>
      <c r="DB73" s="1438">
        <f>DB45-BS!DB137</f>
      </c>
      <c r="DC73" s="504">
        <f>DC45-BS!DC137</f>
      </c>
      <c r="DD73" s="1438">
        <f>DD45-BS!DD137</f>
      </c>
      <c r="DE73" s="1438">
        <f>DE45-BS!DE137</f>
      </c>
      <c r="DF73" s="1438">
        <f>DF45-BS!DF137</f>
      </c>
      <c r="DG73" s="1438">
        <f>DG45-BS!DG137</f>
      </c>
      <c r="DH73" s="504">
        <f>DH45-BS!DH137</f>
      </c>
      <c r="DI73" s="1438">
        <f>DI45-BS!DI137</f>
      </c>
      <c r="DJ73" s="1438">
        <f>DJ45-BS!DJ137</f>
      </c>
      <c r="DK73" s="1438">
        <f>DK45-BS!DK137</f>
      </c>
      <c r="DL73" s="1438">
        <f>DL45-BS!DL137</f>
      </c>
      <c r="DM73" s="504">
        <f>DM45-BS!DM137</f>
      </c>
      <c r="DN73" s="1438">
        <f>DN45-BS!DN137</f>
      </c>
      <c r="DO73" s="1438">
        <f>DO45-BS!DO137</f>
      </c>
      <c r="DP73" s="1438">
        <f>DP45-BS!DP137</f>
      </c>
      <c r="DQ73" s="1438">
        <f>DQ45-BS!DQ137</f>
      </c>
      <c r="DR73" s="504">
        <f>DR45-BS!DR137</f>
      </c>
      <c r="DS73" s="1438">
        <f>DS45-BS!DS137</f>
      </c>
      <c r="DT73" s="1438">
        <f>DT45-BS!DT137</f>
      </c>
      <c r="DU73" s="1438">
        <f>DU45-BS!DU137</f>
      </c>
      <c r="DV73" s="1438">
        <f>DV45-BS!DV137</f>
      </c>
      <c r="DW73" s="504">
        <f>DW45-BS!DW137</f>
      </c>
      <c r="DX73" s="1438">
        <f>DX45-BS!DX137</f>
      </c>
      <c r="DY73" s="1438">
        <f>DY45-BS!DY137</f>
      </c>
      <c r="DZ73" s="1438">
        <f>DZ45-BS!DZ137</f>
      </c>
      <c r="EA73" s="1438">
        <f>EA45-BS!EA137</f>
      </c>
      <c r="EB73" s="504">
        <f>EB45-BS!EB137</f>
      </c>
      <c r="EC73" s="1438">
        <f>EC45-BS!EC137</f>
      </c>
      <c r="ED73" s="1438">
        <f>ED45-BS!ED137</f>
      </c>
      <c r="EE73" s="1438">
        <f>EE45-BS!EE137</f>
      </c>
      <c r="EF73" s="1438">
        <f>EF45-BS!EF137</f>
      </c>
      <c r="EG73" s="504">
        <f>EG45-BS!EG137</f>
      </c>
      <c r="EH73" s="1438">
        <f>EH45-BS!EH137</f>
      </c>
      <c r="EI73" s="1438">
        <f>EI45-BS!EI137</f>
      </c>
      <c r="EJ73" s="1438">
        <f>EJ45-BS!EJ137</f>
      </c>
      <c r="EK73" s="1438">
        <f>EK45-BS!EK137</f>
      </c>
      <c r="EL73" s="504">
        <f>EL45-BS!EL137</f>
      </c>
      <c r="EM73" s="1438">
        <f>EM45-BS!EM137</f>
      </c>
      <c r="EN73" s="1438">
        <f>EN45-BS!EN137</f>
      </c>
      <c r="EO73" s="1438">
        <f>EO45-BS!EO137</f>
      </c>
      <c r="EP73" s="1438">
        <f>EP45-BS!EP137</f>
      </c>
      <c r="EQ73" s="504">
        <f>EQ45-BS!EQ137</f>
      </c>
      <c r="ER73" s="1438">
        <f>ER45-BS!ER137</f>
      </c>
      <c r="ES73" s="1438">
        <f>ES45-BS!ES137</f>
      </c>
      <c r="ET73" s="1729">
        <f>ET45-BS!ET137</f>
      </c>
      <c r="EU73" s="1729">
        <f>EU45-BS!EU137</f>
      </c>
      <c r="EV73" s="504">
        <f>EV45-BS!EV137</f>
      </c>
      <c r="EW73" s="1438">
        <f>EW45-BS!EW137</f>
      </c>
      <c r="EX73" s="1438">
        <f>EX45-BS!EX137</f>
      </c>
      <c r="EY73" s="1729">
        <f>EY45-BS!EY137</f>
      </c>
      <c r="EZ73" s="1729">
        <f>EZ45-BS!EZ137</f>
      </c>
      <c r="FA73" s="504">
        <f>FA45-BS!FA137</f>
      </c>
      <c r="FB73" s="1438">
        <f>FB45-BS!FB137</f>
      </c>
      <c r="FC73" s="1438">
        <f>FC45-BS!FC137</f>
      </c>
      <c r="FD73" s="1438">
        <f>FD45-BS!FD137</f>
      </c>
      <c r="FE73" s="1438">
        <f>FE45-BS!FE137</f>
      </c>
      <c r="FF73" s="504">
        <f>FF45-BS!FF137</f>
      </c>
      <c r="FG73" s="1438">
        <f>FG45-BS!FG137</f>
      </c>
      <c r="FH73" s="1438">
        <f>FH45-BS!FH137</f>
      </c>
      <c r="FI73" s="1438">
        <f>FI45-BS!FI137</f>
      </c>
      <c r="FJ73" s="1438">
        <f>FJ45-BS!FJ137</f>
      </c>
      <c r="FK73" s="504">
        <f>FK45-BS!FK137</f>
      </c>
      <c r="FL73" s="1438">
        <f>FL45-BS!FL137</f>
      </c>
      <c r="FM73" s="1438">
        <f>FM45-BS!FM137</f>
      </c>
      <c r="FN73" s="1438">
        <f>FN45-BS!FN137</f>
      </c>
      <c r="FO73" s="1438">
        <f>FO45-BS!FO137</f>
      </c>
      <c r="FP73" s="504">
        <f>FP45-BS!FP137</f>
      </c>
      <c r="FQ73" s="1438">
        <f>FQ45-BS!FQ137</f>
      </c>
      <c r="FR73" s="1438">
        <f>FR45-BS!FR137</f>
      </c>
      <c r="FS73" s="1438">
        <f>FS45-BS!FS137</f>
      </c>
      <c r="FT73" s="1438">
        <f>FT45-BS!FT137</f>
      </c>
      <c r="FU73" s="504">
        <f>FU45-BS!FU137</f>
      </c>
      <c r="FV73" s="1438">
        <f>FV45-BS!FV137</f>
      </c>
      <c r="FW73" s="1438">
        <f>FW45-BS!FW137</f>
      </c>
      <c r="FX73" s="1438">
        <f>FX45-BS!FX137</f>
      </c>
      <c r="FY73" s="1438">
        <f>FY45-BS!FY137</f>
      </c>
      <c r="FZ73" s="504">
        <f>FZ45-BS!FZ137</f>
      </c>
      <c r="GA73" s="1438">
        <f>GA45-BS!GA137</f>
      </c>
      <c r="GB73" s="1438">
        <f>GB45-BS!GB137</f>
      </c>
      <c r="GC73" s="1438">
        <f>GC45-BS!GC137</f>
      </c>
      <c r="GD73" s="1438">
        <f>GD45-BS!GD137</f>
      </c>
      <c r="GE73" s="504">
        <f>GE45-BS!GE137</f>
      </c>
      <c r="GF73" s="1438">
        <f>GF45-BS!GF137</f>
      </c>
      <c r="GG73" s="1438">
        <f>GG45-BS!GG137</f>
      </c>
      <c r="GH73" s="1438">
        <f>GH45-BS!GH137</f>
      </c>
      <c r="GI73" s="1438">
        <f>GI45-BS!GI137</f>
      </c>
      <c r="GJ73" s="504">
        <f>GJ45-BS!GJ137</f>
      </c>
    </row>
    <row r="74" spans="1:192" s="1241" customFormat="1" ht="12.75" customHeight="1">
      <c r="A74" s="1237"/>
      <c r="B74" s="618" t="s">
        <v>2089</v>
      </c>
      <c r="C74" s="920"/>
      <c r="D74" s="920"/>
      <c r="E74" s="920"/>
      <c r="F74" s="920"/>
      <c r="G74" s="504"/>
      <c r="H74" s="1438"/>
      <c r="I74" s="1438"/>
      <c r="J74" s="1438"/>
      <c r="K74" s="1438"/>
      <c r="L74" s="504"/>
      <c r="M74" s="1438"/>
      <c r="N74" s="1438"/>
      <c r="O74" s="1438"/>
      <c r="P74" s="1438"/>
      <c r="Q74" s="504"/>
      <c r="R74" s="1438"/>
      <c r="S74" s="1438"/>
      <c r="T74" s="1438"/>
      <c r="U74" s="1438"/>
      <c r="V74" s="504"/>
      <c r="W74" s="1438"/>
      <c r="X74" s="1438"/>
      <c r="Y74" s="1438"/>
      <c r="Z74" s="1438"/>
      <c r="AA74" s="504"/>
      <c r="AB74" s="1438"/>
      <c r="AC74" s="1438"/>
      <c r="AD74" s="1438"/>
      <c r="AE74" s="1438"/>
      <c r="AF74" s="504"/>
      <c r="AG74" s="1438"/>
      <c r="AH74" s="1438"/>
      <c r="AI74" s="1438"/>
      <c r="AJ74" s="1438"/>
      <c r="AK74" s="504"/>
      <c r="AL74" s="1438"/>
      <c r="AM74" s="1438"/>
      <c r="AN74" s="1438"/>
      <c r="AO74" s="1438"/>
      <c r="AP74" s="504"/>
      <c r="AQ74" s="1438"/>
      <c r="AR74" s="1438"/>
      <c r="AS74" s="1438"/>
      <c r="AT74" s="1438"/>
      <c r="AU74" s="504"/>
      <c r="AV74" s="1438"/>
      <c r="AW74" s="1438"/>
      <c r="AX74" s="1438"/>
      <c r="AY74" s="1438"/>
      <c r="AZ74" s="504"/>
      <c r="BA74" s="1438"/>
      <c r="BB74" s="1438"/>
      <c r="BC74" s="1438"/>
      <c r="BD74" s="1438"/>
      <c r="BE74" s="504"/>
      <c r="BF74" s="1462">
        <f t="shared" ref="BF74:CK74" si="126">(BF24-BF73)/BF24</f>
      </c>
      <c r="BG74" s="1462">
        <f t="shared" si="126"/>
      </c>
      <c r="BH74" s="1462">
        <f t="shared" si="126"/>
      </c>
      <c r="BI74" s="1462">
        <f t="shared" si="126"/>
      </c>
      <c r="BJ74" s="1730">
        <f t="shared" si="126"/>
      </c>
      <c r="BK74" s="1462">
        <f t="shared" si="126"/>
      </c>
      <c r="BL74" s="1462">
        <f t="shared" si="126"/>
      </c>
      <c r="BM74" s="1462">
        <f t="shared" si="126"/>
      </c>
      <c r="BN74" s="1462">
        <f t="shared" si="126"/>
      </c>
      <c r="BO74" s="1730">
        <f t="shared" si="126"/>
      </c>
      <c r="BP74" s="1462">
        <f t="shared" si="126"/>
      </c>
      <c r="BQ74" s="1462">
        <f t="shared" si="126"/>
      </c>
      <c r="BR74" s="1462">
        <f t="shared" si="126"/>
      </c>
      <c r="BS74" s="1462">
        <f t="shared" si="126"/>
      </c>
      <c r="BT74" s="1730">
        <f t="shared" si="126"/>
      </c>
      <c r="BU74" s="1462">
        <f t="shared" si="126"/>
      </c>
      <c r="BV74" s="1462">
        <f t="shared" si="126"/>
      </c>
      <c r="BW74" s="1462">
        <f t="shared" si="126"/>
      </c>
      <c r="BX74" s="1462">
        <f t="shared" si="126"/>
      </c>
      <c r="BY74" s="1730">
        <f t="shared" si="126"/>
      </c>
      <c r="BZ74" s="1462">
        <f t="shared" si="126"/>
      </c>
      <c r="CA74" s="1462">
        <f t="shared" si="126"/>
      </c>
      <c r="CB74" s="1462">
        <f t="shared" si="126"/>
      </c>
      <c r="CC74" s="1462">
        <f t="shared" si="126"/>
      </c>
      <c r="CD74" s="1730">
        <f t="shared" si="126"/>
      </c>
      <c r="CE74" s="1462">
        <f t="shared" si="126"/>
      </c>
      <c r="CF74" s="1462">
        <f t="shared" si="126"/>
      </c>
      <c r="CG74" s="1462">
        <f t="shared" si="126"/>
      </c>
      <c r="CH74" s="1462">
        <f t="shared" si="126"/>
      </c>
      <c r="CI74" s="1730">
        <f t="shared" si="126"/>
      </c>
      <c r="CJ74" s="1462">
        <f t="shared" si="126"/>
      </c>
      <c r="CK74" s="1462">
        <f t="shared" si="126"/>
      </c>
      <c r="CL74" s="1462">
        <f t="shared" ref="CL74:DQ74" si="127">(CL24-CL73)/CL24</f>
      </c>
      <c r="CM74" s="1462">
        <f t="shared" si="127"/>
      </c>
      <c r="CN74" s="1730">
        <f t="shared" si="127"/>
      </c>
      <c r="CO74" s="1462">
        <f t="shared" si="127"/>
      </c>
      <c r="CP74" s="1462">
        <f t="shared" si="127"/>
      </c>
      <c r="CQ74" s="1462">
        <f t="shared" si="127"/>
      </c>
      <c r="CR74" s="1462">
        <f t="shared" si="127"/>
      </c>
      <c r="CS74" s="1730">
        <f t="shared" si="127"/>
      </c>
      <c r="CT74" s="1462">
        <f t="shared" si="127"/>
      </c>
      <c r="CU74" s="1462">
        <f t="shared" si="127"/>
      </c>
      <c r="CV74" s="1462">
        <f t="shared" si="127"/>
      </c>
      <c r="CW74" s="1462">
        <f t="shared" si="127"/>
      </c>
      <c r="CX74" s="1730">
        <f t="shared" si="127"/>
      </c>
      <c r="CY74" s="1462">
        <f t="shared" si="127"/>
      </c>
      <c r="CZ74" s="1462">
        <f t="shared" si="127"/>
      </c>
      <c r="DA74" s="1462">
        <f t="shared" si="127"/>
      </c>
      <c r="DB74" s="1462">
        <f t="shared" si="127"/>
      </c>
      <c r="DC74" s="1730">
        <f t="shared" si="127"/>
      </c>
      <c r="DD74" s="1462">
        <f t="shared" si="127"/>
      </c>
      <c r="DE74" s="1462">
        <f t="shared" si="127"/>
      </c>
      <c r="DF74" s="1462">
        <f t="shared" si="127"/>
      </c>
      <c r="DG74" s="1462">
        <f t="shared" si="127"/>
      </c>
      <c r="DH74" s="1730">
        <f t="shared" si="127"/>
      </c>
      <c r="DI74" s="1462">
        <f t="shared" si="127"/>
      </c>
      <c r="DJ74" s="1462">
        <f t="shared" si="127"/>
      </c>
      <c r="DK74" s="1462">
        <f t="shared" si="127"/>
      </c>
      <c r="DL74" s="1462">
        <f t="shared" si="127"/>
      </c>
      <c r="DM74" s="1730">
        <f t="shared" si="127"/>
      </c>
      <c r="DN74" s="1462">
        <f t="shared" si="127"/>
      </c>
      <c r="DO74" s="1462">
        <f t="shared" si="127"/>
      </c>
      <c r="DP74" s="1462">
        <f t="shared" si="127"/>
      </c>
      <c r="DQ74" s="1462">
        <f t="shared" si="127"/>
      </c>
      <c r="DR74" s="1730">
        <f t="shared" ref="DR74:EW74" si="128">(DR24-DR73)/DR24</f>
      </c>
      <c r="DS74" s="1462">
        <f t="shared" si="128"/>
      </c>
      <c r="DT74" s="1462">
        <f t="shared" si="128"/>
      </c>
      <c r="DU74" s="1462">
        <f t="shared" si="128"/>
      </c>
      <c r="DV74" s="1462">
        <f t="shared" si="128"/>
      </c>
      <c r="DW74" s="1730">
        <f t="shared" si="128"/>
      </c>
      <c r="DX74" s="1462">
        <f t="shared" si="128"/>
      </c>
      <c r="DY74" s="1462">
        <f t="shared" si="128"/>
      </c>
      <c r="DZ74" s="1462">
        <f t="shared" si="128"/>
      </c>
      <c r="EA74" s="1462">
        <f t="shared" si="128"/>
      </c>
      <c r="EB74" s="1730">
        <f t="shared" si="128"/>
      </c>
      <c r="EC74" s="1462">
        <f t="shared" si="128"/>
      </c>
      <c r="ED74" s="1462">
        <f t="shared" si="128"/>
      </c>
      <c r="EE74" s="1462">
        <f t="shared" si="128"/>
      </c>
      <c r="EF74" s="1462">
        <f t="shared" si="128"/>
      </c>
      <c r="EG74" s="1730">
        <f t="shared" si="128"/>
      </c>
      <c r="EH74" s="1462">
        <f t="shared" si="128"/>
      </c>
      <c r="EI74" s="1462">
        <f t="shared" si="128"/>
      </c>
      <c r="EJ74" s="1462">
        <f t="shared" si="128"/>
      </c>
      <c r="EK74" s="1462">
        <f t="shared" si="128"/>
      </c>
      <c r="EL74" s="1730">
        <f t="shared" si="128"/>
      </c>
      <c r="EM74" s="1462">
        <f t="shared" si="128"/>
      </c>
      <c r="EN74" s="1462">
        <f t="shared" si="128"/>
      </c>
      <c r="EO74" s="1462">
        <f t="shared" si="128"/>
      </c>
      <c r="EP74" s="1462">
        <f t="shared" si="128"/>
      </c>
      <c r="EQ74" s="1730">
        <f t="shared" si="128"/>
      </c>
      <c r="ER74" s="1462">
        <f t="shared" si="128"/>
      </c>
      <c r="ES74" s="1462">
        <f t="shared" si="128"/>
      </c>
      <c r="ET74" s="1489">
        <f t="shared" si="128"/>
      </c>
      <c r="EU74" s="1489">
        <f t="shared" si="128"/>
      </c>
      <c r="EV74" s="1730">
        <f t="shared" si="128"/>
      </c>
      <c r="EW74" s="1462">
        <f t="shared" si="128"/>
      </c>
      <c r="EX74" s="1462">
        <f t="shared" ref="EX74:GC74" si="129">(EX24-EX73)/EX24</f>
      </c>
      <c r="EY74" s="1489">
        <f t="shared" si="129"/>
      </c>
      <c r="EZ74" s="1489">
        <f t="shared" si="129"/>
      </c>
      <c r="FA74" s="1730">
        <f t="shared" si="129"/>
      </c>
      <c r="FB74" s="1462">
        <f t="shared" si="129"/>
      </c>
      <c r="FC74" s="1462">
        <f t="shared" si="129"/>
      </c>
      <c r="FD74" s="1462">
        <f t="shared" si="129"/>
      </c>
      <c r="FE74" s="1462">
        <f t="shared" si="129"/>
      </c>
      <c r="FF74" s="1730">
        <f t="shared" si="129"/>
      </c>
      <c r="FG74" s="1462">
        <f t="shared" si="129"/>
      </c>
      <c r="FH74" s="1462">
        <f t="shared" si="129"/>
      </c>
      <c r="FI74" s="1462">
        <f t="shared" si="129"/>
      </c>
      <c r="FJ74" s="1462">
        <f t="shared" si="129"/>
      </c>
      <c r="FK74" s="1730">
        <f t="shared" si="129"/>
      </c>
      <c r="FL74" s="1462">
        <f t="shared" si="129"/>
      </c>
      <c r="FM74" s="1462">
        <f t="shared" si="129"/>
      </c>
      <c r="FN74" s="1462">
        <f t="shared" si="129"/>
      </c>
      <c r="FO74" s="1462">
        <f t="shared" si="129"/>
      </c>
      <c r="FP74" s="1730">
        <f t="shared" si="129"/>
      </c>
      <c r="FQ74" s="1462">
        <f t="shared" si="129"/>
      </c>
      <c r="FR74" s="1462">
        <f t="shared" si="129"/>
      </c>
      <c r="FS74" s="1462">
        <f t="shared" si="129"/>
      </c>
      <c r="FT74" s="1462">
        <f t="shared" si="129"/>
      </c>
      <c r="FU74" s="1730">
        <f t="shared" si="129"/>
      </c>
      <c r="FV74" s="1462">
        <f t="shared" si="129"/>
      </c>
      <c r="FW74" s="1462">
        <f t="shared" si="129"/>
      </c>
      <c r="FX74" s="1462">
        <f t="shared" si="129"/>
      </c>
      <c r="FY74" s="1462">
        <f t="shared" si="129"/>
      </c>
      <c r="FZ74" s="1730">
        <f t="shared" si="129"/>
      </c>
      <c r="GA74" s="1462">
        <f t="shared" si="129"/>
      </c>
      <c r="GB74" s="1462">
        <f t="shared" si="129"/>
      </c>
      <c r="GC74" s="1462">
        <f t="shared" si="129"/>
      </c>
      <c r="GD74" s="1462">
        <f t="shared" ref="GD74:GJ74" si="130">(GD24-GD73)/GD24</f>
      </c>
      <c r="GE74" s="1730">
        <f t="shared" si="130"/>
      </c>
      <c r="GF74" s="1462">
        <f t="shared" si="130"/>
      </c>
      <c r="GG74" s="1462">
        <f t="shared" si="130"/>
      </c>
      <c r="GH74" s="1462">
        <f t="shared" si="130"/>
      </c>
      <c r="GI74" s="1462">
        <f t="shared" si="130"/>
      </c>
      <c r="GJ74" s="1730">
        <f t="shared" si="130"/>
      </c>
    </row>
    <row r="75" spans="1:192" ht="12.75" customHeight="1">
      <c r="B75" s="616"/>
      <c r="C75" s="298"/>
      <c r="D75" s="295"/>
      <c r="E75" s="295"/>
      <c r="F75" s="295"/>
      <c r="G75" s="296"/>
      <c r="H75" s="298"/>
      <c r="I75" s="295"/>
      <c r="J75" s="295"/>
      <c r="K75" s="295"/>
      <c r="L75" s="296"/>
      <c r="M75" s="298"/>
      <c r="N75" s="295"/>
      <c r="O75" s="295"/>
      <c r="P75" s="295"/>
      <c r="Q75" s="296"/>
      <c r="R75" s="298"/>
      <c r="S75" s="295"/>
      <c r="T75" s="295"/>
      <c r="U75" s="295"/>
      <c r="V75" s="296"/>
      <c r="W75" s="298"/>
      <c r="X75" s="295"/>
      <c r="Y75" s="295"/>
      <c r="Z75" s="295"/>
      <c r="AA75" s="296"/>
      <c r="AB75" s="298"/>
      <c r="AC75" s="295"/>
      <c r="AD75" s="295"/>
      <c r="AE75" s="295"/>
      <c r="AF75" s="296"/>
      <c r="AG75" s="298"/>
      <c r="AH75" s="295"/>
      <c r="AI75" s="295"/>
      <c r="AJ75" s="295"/>
      <c r="AK75" s="296"/>
      <c r="AL75" s="298"/>
      <c r="AM75" s="295"/>
      <c r="AN75" s="295"/>
      <c r="AO75" s="295"/>
      <c r="AP75" s="296"/>
      <c r="AQ75" s="298"/>
      <c r="AR75" s="295"/>
      <c r="AS75" s="295"/>
      <c r="AT75" s="295"/>
      <c r="AU75" s="296"/>
      <c r="AV75" s="298"/>
      <c r="AW75" s="295"/>
      <c r="AX75" s="295"/>
      <c r="AY75" s="295"/>
      <c r="AZ75" s="296"/>
      <c r="BA75" s="298"/>
      <c r="BB75" s="295"/>
      <c r="BC75" s="295"/>
      <c r="BD75" s="295"/>
      <c r="BE75" s="296"/>
      <c r="BF75" s="298"/>
      <c r="BG75" s="295"/>
      <c r="BH75" s="295"/>
      <c r="BI75" s="295"/>
      <c r="BJ75" s="296"/>
      <c r="BK75" s="298"/>
      <c r="BL75" s="295"/>
      <c r="BM75" s="295"/>
      <c r="BN75" s="295"/>
      <c r="BO75" s="296"/>
      <c r="BP75" s="298"/>
      <c r="BQ75" s="295"/>
      <c r="BR75" s="295"/>
      <c r="BS75" s="295"/>
      <c r="BT75" s="296"/>
      <c r="BU75" s="298"/>
      <c r="BV75" s="295"/>
      <c r="BW75" s="295"/>
      <c r="BX75" s="295"/>
      <c r="BY75" s="296"/>
      <c r="BZ75" s="298"/>
      <c r="CA75" s="295"/>
      <c r="CB75" s="295"/>
      <c r="CC75" s="295"/>
      <c r="CD75" s="296"/>
      <c r="CE75" s="298"/>
      <c r="CF75" s="295"/>
      <c r="CG75" s="295"/>
      <c r="CH75" s="295"/>
      <c r="CI75" s="296"/>
      <c r="CJ75" s="298"/>
      <c r="CK75" s="295"/>
      <c r="CL75" s="295"/>
      <c r="CM75" s="295"/>
      <c r="CN75" s="296"/>
      <c r="CO75" s="298"/>
      <c r="CP75" s="295"/>
      <c r="CQ75" s="295"/>
      <c r="CR75" s="295"/>
      <c r="CS75" s="296"/>
      <c r="CT75" s="298"/>
      <c r="CU75" s="295"/>
      <c r="CV75" s="295"/>
      <c r="CW75" s="295"/>
      <c r="CX75" s="296"/>
      <c r="CY75" s="298"/>
      <c r="CZ75" s="295"/>
      <c r="DA75" s="295"/>
      <c r="DB75" s="295"/>
      <c r="DC75" s="296"/>
      <c r="DD75" s="298"/>
      <c r="DE75" s="295"/>
      <c r="DF75" s="295"/>
      <c r="DG75" s="295"/>
      <c r="DH75" s="296"/>
      <c r="DI75" s="298"/>
      <c r="DJ75" s="295"/>
      <c r="DK75" s="295"/>
      <c r="DL75" s="295"/>
      <c r="DM75" s="296"/>
      <c r="DN75" s="298"/>
      <c r="DO75" s="295"/>
      <c r="DP75" s="295"/>
      <c r="DQ75" s="295"/>
      <c r="DR75" s="296"/>
      <c r="DS75" s="298"/>
      <c r="DT75" s="295"/>
      <c r="DU75" s="295"/>
      <c r="DV75" s="295"/>
      <c r="DW75" s="296"/>
      <c r="DX75" s="298"/>
      <c r="DY75" s="295"/>
      <c r="DZ75" s="295"/>
      <c r="EA75" s="295"/>
      <c r="EB75" s="296"/>
      <c r="EC75" s="298"/>
      <c r="ED75" s="295"/>
      <c r="EE75" s="295"/>
      <c r="EF75" s="295"/>
      <c r="EG75" s="296"/>
      <c r="EH75" s="298"/>
      <c r="EI75" s="295"/>
      <c r="EJ75" s="295"/>
      <c r="EK75" s="295"/>
      <c r="EL75" s="296"/>
      <c r="EM75" s="298"/>
      <c r="EN75" s="295"/>
      <c r="EO75" s="295"/>
      <c r="EP75" s="295"/>
      <c r="EQ75" s="296"/>
      <c r="ER75" s="298"/>
      <c r="ES75" s="295"/>
      <c r="ET75" s="469"/>
      <c r="EU75" s="469"/>
      <c r="EV75" s="296"/>
      <c r="EW75" s="1591"/>
      <c r="EX75" s="295" t="s">
        <v>316</v>
      </c>
      <c r="EY75" s="469"/>
      <c r="EZ75" s="469"/>
      <c r="FA75" s="296"/>
      <c r="FB75" s="298"/>
      <c r="FC75" s="295"/>
      <c r="FD75" s="295"/>
      <c r="FE75" s="295"/>
      <c r="FF75" s="296"/>
      <c r="FG75" s="298"/>
      <c r="FH75" s="295"/>
      <c r="FI75" s="295"/>
      <c r="FJ75" s="295"/>
      <c r="FK75" s="296"/>
      <c r="FL75" s="298"/>
      <c r="FM75" s="295"/>
      <c r="FN75" s="295"/>
      <c r="FO75" s="295"/>
      <c r="FP75" s="296"/>
      <c r="FQ75" s="298"/>
      <c r="FR75" s="295"/>
      <c r="FS75" s="295"/>
      <c r="FT75" s="295"/>
      <c r="FU75" s="296"/>
      <c r="FV75" s="298"/>
      <c r="FW75" s="295"/>
      <c r="FX75" s="295"/>
      <c r="FY75" s="295"/>
      <c r="FZ75" s="296"/>
      <c r="GA75" s="298"/>
      <c r="GB75" s="295"/>
      <c r="GC75" s="295"/>
      <c r="GD75" s="295"/>
      <c r="GE75" s="296"/>
      <c r="GF75" s="298"/>
      <c r="GG75" s="295"/>
      <c r="GH75" s="295"/>
      <c r="GI75" s="295"/>
      <c r="GJ75" s="296"/>
    </row>
    <row r="76" spans="1:192" s="461" customFormat="1" ht="12.75" customHeight="1">
      <c r="A76" s="788"/>
      <c r="B76" s="625" t="s">
        <v>145</v>
      </c>
      <c r="C76" s="444">
        <v>178</v>
      </c>
      <c r="D76" s="452">
        <v>199</v>
      </c>
      <c r="E76" s="452">
        <v>219</v>
      </c>
      <c r="F76" s="452">
        <v>264</v>
      </c>
      <c r="G76" s="627">
        <f>SUM(C76:F76)</f>
      </c>
      <c r="H76" s="444">
        <v>302</v>
      </c>
      <c r="I76" s="452">
        <v>313</v>
      </c>
      <c r="J76" s="452">
        <v>364</v>
      </c>
      <c r="K76" s="452">
        <v>453</v>
      </c>
      <c r="L76" s="627">
        <f>SUM(H76:K76)</f>
      </c>
      <c r="M76" s="444">
        <v>432</v>
      </c>
      <c r="N76" s="452">
        <v>485</v>
      </c>
      <c r="O76" s="452">
        <v>492</v>
      </c>
      <c r="P76" s="452">
        <v>516</v>
      </c>
      <c r="Q76" s="627">
        <f>SUM(M76:P76)</f>
      </c>
      <c r="R76" s="444">
        <v>567</v>
      </c>
      <c r="S76" s="452">
        <v>627</v>
      </c>
      <c r="T76" s="452">
        <v>597</v>
      </c>
      <c r="U76" s="452">
        <v>711</v>
      </c>
      <c r="V76" s="627">
        <f>SUM(R76:U76)</f>
      </c>
      <c r="W76" s="444">
        <v>651</v>
      </c>
      <c r="X76" s="452">
        <v>715</v>
      </c>
      <c r="Y76" s="452">
        <v>664</v>
      </c>
      <c r="Z76" s="452">
        <v>940</v>
      </c>
      <c r="AA76" s="627">
        <f>SUM(W76:Z76)</f>
      </c>
      <c r="AB76" s="444">
        <v>834</v>
      </c>
      <c r="AC76" s="452">
        <v>911</v>
      </c>
      <c r="AD76" s="452">
        <v>990</v>
      </c>
      <c r="AE76" s="452">
        <v>1040</v>
      </c>
      <c r="AF76" s="627">
        <f>SUM(AB76:AE76)</f>
      </c>
      <c r="AG76" s="444">
        <v>956</v>
      </c>
      <c r="AH76" s="452">
        <v>990</v>
      </c>
      <c r="AI76" s="452">
        <v>1069</v>
      </c>
      <c r="AJ76" s="452">
        <v>1364</v>
      </c>
      <c r="AK76" s="627">
        <f>SUM(AG76:AJ76)</f>
      </c>
      <c r="AL76" s="444">
        <v>1013</v>
      </c>
      <c r="AM76" s="452">
        <v>1044</v>
      </c>
      <c r="AN76" s="452">
        <v>1066</v>
      </c>
      <c r="AO76" s="452">
        <v>1184</v>
      </c>
      <c r="AP76" s="627">
        <f>SUM(AL76:AO76)</f>
      </c>
      <c r="AQ76" s="444">
        <v>1707</v>
      </c>
      <c r="AR76" s="452">
        <v>1515</v>
      </c>
      <c r="AS76" s="452">
        <v>1692</v>
      </c>
      <c r="AT76" s="452">
        <v>1681</v>
      </c>
      <c r="AU76" s="627">
        <f>SUM(AQ76:AT76)</f>
      </c>
      <c r="AV76" s="444">
        <v>1611</v>
      </c>
      <c r="AW76" s="452">
        <v>2971</v>
      </c>
      <c r="AX76" s="452">
        <v>1538</v>
      </c>
      <c r="AY76" s="452">
        <v>1659</v>
      </c>
      <c r="AZ76" s="627">
        <f>SUM(AV76:AY76)</f>
      </c>
      <c r="BA76" s="444">
        <v>1530</v>
      </c>
      <c r="BB76" s="452">
        <v>1421</v>
      </c>
      <c r="BC76" s="452">
        <v>1482</v>
      </c>
      <c r="BD76" s="452">
        <f>6184-BC76-BB76-BA76</f>
      </c>
      <c r="BE76" s="627">
        <f>SUM(BA76:BD76)</f>
      </c>
      <c r="BF76" s="444">
        <v>1515</v>
      </c>
      <c r="BG76" s="452">
        <v>1591</v>
      </c>
      <c r="BH76" s="452">
        <v>1617</v>
      </c>
      <c r="BI76" s="452">
        <v>1861</v>
      </c>
      <c r="BJ76" s="627">
        <f>SUM(BF76:BI76)</f>
      </c>
      <c r="BK76" s="444">
        <v>1786</v>
      </c>
      <c r="BL76" s="452">
        <v>1637</v>
      </c>
      <c r="BM76" s="452">
        <v>1750</v>
      </c>
      <c r="BN76" s="452">
        <v>1948</v>
      </c>
      <c r="BO76" s="627">
        <f>SUM(BK76:BN76)</f>
      </c>
      <c r="BP76" s="444">
        <v>1837</v>
      </c>
      <c r="BQ76" s="452">
        <v>1885</v>
      </c>
      <c r="BR76" s="452">
        <v>2035</v>
      </c>
      <c r="BS76" s="452">
        <v>2407</v>
      </c>
      <c r="BT76" s="627">
        <f>SUM(BP76:BS76)</f>
      </c>
      <c r="BU76" s="444">
        <v>2283</v>
      </c>
      <c r="BV76" s="452">
        <v>2290</v>
      </c>
      <c r="BW76" s="452">
        <v>2212</v>
      </c>
      <c r="BX76" s="452">
        <v>2225</v>
      </c>
      <c r="BY76" s="627">
        <f>SUM(BU76:BX76)</f>
      </c>
      <c r="BZ76" s="444">
        <v>2065</v>
      </c>
      <c r="CA76" s="452">
        <v>2079</v>
      </c>
      <c r="CB76" s="452">
        <v>2220</v>
      </c>
      <c r="CC76" s="452">
        <v>2350</v>
      </c>
      <c r="CD76" s="627">
        <f>SUM(BZ76:CC76)</f>
      </c>
      <c r="CE76" s="444">
        <v>2196</v>
      </c>
      <c r="CF76" s="452">
        <v>2185</v>
      </c>
      <c r="CG76" s="452">
        <v>2269</v>
      </c>
      <c r="CH76" s="452">
        <v>2393</v>
      </c>
      <c r="CI76" s="627">
        <f>SUM(CE76:CH76)</f>
      </c>
      <c r="CJ76" s="444">
        <v>2329</v>
      </c>
      <c r="CK76" s="452">
        <v>2371</v>
      </c>
      <c r="CL76" s="452">
        <v>2517</v>
      </c>
      <c r="CM76" s="452">
        <v>2594</v>
      </c>
      <c r="CN76" s="627">
        <f>SUM(CJ76:CM76)</f>
      </c>
      <c r="CO76" s="444">
        <v>2460</v>
      </c>
      <c r="CP76" s="452">
        <v>2528</v>
      </c>
      <c r="CQ76" s="452">
        <v>2640</v>
      </c>
      <c r="CR76" s="452">
        <v>2783</v>
      </c>
      <c r="CS76" s="627">
        <f>SUM(CO76:CR76)</f>
      </c>
      <c r="CT76" s="444">
        <v>2767</v>
      </c>
      <c r="CU76" s="452">
        <v>2748</v>
      </c>
      <c r="CV76" s="452">
        <v>2743</v>
      </c>
      <c r="CW76" s="452">
        <v>3123</v>
      </c>
      <c r="CX76" s="627">
        <f>SUM(CT76:CW76)</f>
      </c>
      <c r="CY76" s="444">
        <v>3065</v>
      </c>
      <c r="CZ76" s="452">
        <v>2903</v>
      </c>
      <c r="DA76" s="452">
        <v>2984</v>
      </c>
      <c r="DB76" s="452">
        <v>3094</v>
      </c>
      <c r="DC76" s="627">
        <f>SUM(CY76:DB76)</f>
      </c>
      <c r="DD76" s="444">
        <v>2962</v>
      </c>
      <c r="DE76" s="452">
        <v>2900</v>
      </c>
      <c r="DF76" s="452">
        <v>2980</v>
      </c>
      <c r="DG76" s="452">
        <v>3146</v>
      </c>
      <c r="DH76" s="627">
        <f>SUM(DD76:DG76)</f>
      </c>
      <c r="DI76" s="444">
        <v>3106</v>
      </c>
      <c r="DJ76" s="452">
        <v>3062</v>
      </c>
      <c r="DK76" s="452">
        <v>3355</v>
      </c>
      <c r="DL76" s="452">
        <v>3514</v>
      </c>
      <c r="DM76" s="627">
        <f>SUM(DI76:DL76)</f>
      </c>
      <c r="DN76" s="444">
        <v>3574</v>
      </c>
      <c r="DO76" s="452">
        <v>3504</v>
      </c>
      <c r="DP76" s="452">
        <v>3715</v>
      </c>
      <c r="DQ76" s="452">
        <v>3933</v>
      </c>
      <c r="DR76" s="627">
        <f>SUM(DN76:DQ76)</f>
      </c>
      <c r="DS76" s="444">
        <v>3977</v>
      </c>
      <c r="DT76" s="452">
        <v>4070</v>
      </c>
      <c r="DU76" s="452">
        <v>4316</v>
      </c>
      <c r="DV76" s="452">
        <v>4513</v>
      </c>
      <c r="DW76" s="627">
        <f>SUM(DS76:DV76)</f>
      </c>
      <c r="DX76" s="444">
        <v>4565</v>
      </c>
      <c r="DY76" s="452">
        <v>4603</v>
      </c>
      <c r="DZ76" s="452">
        <v>4887</v>
      </c>
      <c r="EA76" s="452">
        <v>5214</v>
      </c>
      <c r="EB76" s="627">
        <f>SUM(DX76:EA76)</f>
      </c>
      <c r="EC76" s="444">
        <v>4926</v>
      </c>
      <c r="ED76" s="452">
        <v>4899</v>
      </c>
      <c r="EE76" s="452">
        <v>5204</v>
      </c>
      <c r="EF76" s="452">
        <v>5687</v>
      </c>
      <c r="EG76" s="627">
        <f>SUM(EC76:EF76)</f>
      </c>
      <c r="EH76" s="444">
        <v>5599</v>
      </c>
      <c r="EI76" s="452">
        <v>5758</v>
      </c>
      <c r="EJ76" s="452">
        <v>6306</v>
      </c>
      <c r="EK76" s="452">
        <v>6849</v>
      </c>
      <c r="EL76" s="627">
        <f>SUM(EH76:EK76)</f>
      </c>
      <c r="EM76" s="444">
        <v>6628</v>
      </c>
      <c r="EN76" s="452">
        <v>6844</v>
      </c>
      <c r="EO76" s="452">
        <v>6984</v>
      </c>
      <c r="EP76" s="452">
        <v>6739</v>
      </c>
      <c r="EQ76" s="627">
        <f>SUM(EM76:EP76)</f>
      </c>
      <c r="ER76" s="444">
        <v>6659</v>
      </c>
      <c r="ES76" s="452">
        <v>7142</v>
      </c>
      <c r="ET76" s="629">
        <v>7653</v>
      </c>
      <c r="EU76" s="629">
        <v>8056</v>
      </c>
      <c r="EV76" s="627">
        <f>SUM(ER76:EU76)</f>
      </c>
      <c r="EW76" s="629">
        <v>7544</v>
      </c>
      <c r="EX76" s="629">
        <v>7917</v>
      </c>
      <c r="EY76" s="629">
        <v>8198</v>
      </c>
      <c r="EZ76" s="629">
        <v>8829</v>
      </c>
      <c r="FA76" s="627">
        <f>SUM(EW76:EZ76)</f>
      </c>
      <c r="FB76" s="609">
        <f>FB$24*FB81</f>
      </c>
      <c r="FC76" s="609">
        <f>FC$24*FC81</f>
      </c>
      <c r="FD76" s="609">
        <f>FD$24*FD81</f>
      </c>
      <c r="FE76" s="609">
        <f>FE$24*FE81</f>
      </c>
      <c r="FF76" s="620">
        <f>SUM(FB76:FE76)</f>
      </c>
      <c r="FG76" s="609">
        <f>FG$24*FG81</f>
      </c>
      <c r="FH76" s="609">
        <f>FH$24*FH81</f>
      </c>
      <c r="FI76" s="609">
        <f>FI$24*FI81</f>
      </c>
      <c r="FJ76" s="609">
        <f>FJ$24*FJ81</f>
      </c>
      <c r="FK76" s="620">
        <f>SUM(FG76:FJ76)</f>
      </c>
      <c r="FL76" s="609">
        <f>FL$24*FL81</f>
      </c>
      <c r="FM76" s="609">
        <f>FM$24*FM81</f>
      </c>
      <c r="FN76" s="609">
        <f>FN$24*FN81</f>
      </c>
      <c r="FO76" s="609">
        <f>FO$24*FO81</f>
      </c>
      <c r="FP76" s="620">
        <f>SUM(FL76:FO76)</f>
      </c>
      <c r="FQ76" s="609">
        <f>FQ$24*FQ81</f>
      </c>
      <c r="FR76" s="609">
        <f>FR$24*FR81</f>
      </c>
      <c r="FS76" s="609">
        <f>FS$24*FS81</f>
      </c>
      <c r="FT76" s="609">
        <f>FT$24*FT81</f>
      </c>
      <c r="FU76" s="620">
        <f>SUM(FQ76:FT76)</f>
      </c>
      <c r="FV76" s="609">
        <f>FV$24*FV81</f>
      </c>
      <c r="FW76" s="609">
        <f>FW$24*FW81</f>
      </c>
      <c r="FX76" s="609">
        <f>FX$24*FX81</f>
      </c>
      <c r="FY76" s="609">
        <f>FY$24*FY81</f>
      </c>
      <c r="FZ76" s="620">
        <f>SUM(FV76:FY76)</f>
      </c>
      <c r="GA76" s="609">
        <f>GA$24*GA81</f>
      </c>
      <c r="GB76" s="609">
        <f>GB$24*GB81</f>
      </c>
      <c r="GC76" s="609">
        <f>GC$24*GC81</f>
      </c>
      <c r="GD76" s="609">
        <f>GD$24*GD81</f>
      </c>
      <c r="GE76" s="620">
        <f>SUM(GA76:GD76)</f>
      </c>
      <c r="GF76" s="609">
        <f>GF$24*GF81</f>
      </c>
      <c r="GG76" s="609">
        <f>GG$24*GG81</f>
      </c>
      <c r="GH76" s="609">
        <f>GH$24*GH81</f>
      </c>
      <c r="GI76" s="609">
        <f>GI$24*GI81</f>
      </c>
      <c r="GJ76" s="620">
        <f>SUM(GF76:GI76)</f>
      </c>
    </row>
    <row r="77" spans="1:192" ht="12.75" customHeight="1">
      <c r="A77" s="789"/>
      <c r="B77" s="617" t="s">
        <v>34</v>
      </c>
      <c r="C77" s="291"/>
      <c r="D77" s="107"/>
      <c r="E77" s="107"/>
      <c r="F77" s="107"/>
      <c r="G77" s="536"/>
      <c r="H77" s="291">
        <f t="shared" ref="H77:AM77" si="131">IFERROR(H76/C76-1,"")</f>
      </c>
      <c r="I77" s="107">
        <f t="shared" si="131"/>
      </c>
      <c r="J77" s="107">
        <f t="shared" si="131"/>
      </c>
      <c r="K77" s="107">
        <f t="shared" si="131"/>
      </c>
      <c r="L77" s="292">
        <f t="shared" si="131"/>
      </c>
      <c r="M77" s="291">
        <f t="shared" si="131"/>
      </c>
      <c r="N77" s="107">
        <f t="shared" si="131"/>
      </c>
      <c r="O77" s="107">
        <f t="shared" si="131"/>
      </c>
      <c r="P77" s="107">
        <f t="shared" si="131"/>
      </c>
      <c r="Q77" s="292">
        <f t="shared" si="131"/>
      </c>
      <c r="R77" s="291">
        <f t="shared" si="131"/>
      </c>
      <c r="S77" s="107">
        <f t="shared" si="131"/>
      </c>
      <c r="T77" s="107">
        <f t="shared" si="131"/>
      </c>
      <c r="U77" s="107">
        <f t="shared" si="131"/>
      </c>
      <c r="V77" s="292">
        <f t="shared" si="131"/>
      </c>
      <c r="W77" s="291">
        <f t="shared" si="131"/>
      </c>
      <c r="X77" s="107">
        <f t="shared" si="131"/>
      </c>
      <c r="Y77" s="107">
        <f t="shared" si="131"/>
      </c>
      <c r="Z77" s="107">
        <f t="shared" si="131"/>
      </c>
      <c r="AA77" s="292">
        <f t="shared" si="131"/>
      </c>
      <c r="AB77" s="291">
        <f t="shared" si="131"/>
      </c>
      <c r="AC77" s="107">
        <f t="shared" si="131"/>
      </c>
      <c r="AD77" s="107">
        <f t="shared" si="131"/>
      </c>
      <c r="AE77" s="107">
        <f t="shared" si="131"/>
      </c>
      <c r="AF77" s="292">
        <f t="shared" si="131"/>
      </c>
      <c r="AG77" s="291">
        <f t="shared" si="131"/>
      </c>
      <c r="AH77" s="107">
        <f t="shared" si="131"/>
      </c>
      <c r="AI77" s="107">
        <f t="shared" si="131"/>
      </c>
      <c r="AJ77" s="107">
        <f t="shared" si="131"/>
      </c>
      <c r="AK77" s="292">
        <f t="shared" si="131"/>
      </c>
      <c r="AL77" s="291">
        <f t="shared" si="131"/>
      </c>
      <c r="AM77" s="107">
        <f t="shared" si="131"/>
      </c>
      <c r="AN77" s="107">
        <f t="shared" ref="AN77:BS77" si="132">IFERROR(AN76/AI76-1,"")</f>
      </c>
      <c r="AO77" s="107">
        <f t="shared" si="132"/>
      </c>
      <c r="AP77" s="292">
        <f t="shared" si="132"/>
      </c>
      <c r="AQ77" s="291">
        <f t="shared" si="132"/>
      </c>
      <c r="AR77" s="107">
        <f t="shared" si="132"/>
      </c>
      <c r="AS77" s="107">
        <f t="shared" si="132"/>
      </c>
      <c r="AT77" s="107">
        <f t="shared" si="132"/>
      </c>
      <c r="AU77" s="292">
        <f t="shared" si="132"/>
      </c>
      <c r="AV77" s="291">
        <f t="shared" si="132"/>
      </c>
      <c r="AW77" s="107">
        <f t="shared" si="132"/>
      </c>
      <c r="AX77" s="107">
        <f t="shared" si="132"/>
      </c>
      <c r="AY77" s="107">
        <f t="shared" si="132"/>
      </c>
      <c r="AZ77" s="292">
        <f t="shared" si="132"/>
      </c>
      <c r="BA77" s="291">
        <f t="shared" si="132"/>
      </c>
      <c r="BB77" s="107">
        <f t="shared" si="132"/>
      </c>
      <c r="BC77" s="107">
        <f t="shared" si="132"/>
      </c>
      <c r="BD77" s="107">
        <f t="shared" si="132"/>
      </c>
      <c r="BE77" s="292">
        <f t="shared" si="132"/>
      </c>
      <c r="BF77" s="291">
        <f t="shared" si="132"/>
      </c>
      <c r="BG77" s="107">
        <f t="shared" si="132"/>
      </c>
      <c r="BH77" s="107">
        <f t="shared" si="132"/>
      </c>
      <c r="BI77" s="107">
        <f t="shared" si="132"/>
      </c>
      <c r="BJ77" s="292">
        <f t="shared" si="132"/>
      </c>
      <c r="BK77" s="291">
        <f t="shared" si="132"/>
      </c>
      <c r="BL77" s="107">
        <f t="shared" si="132"/>
      </c>
      <c r="BM77" s="107">
        <f t="shared" si="132"/>
      </c>
      <c r="BN77" s="107">
        <f t="shared" si="132"/>
      </c>
      <c r="BO77" s="292">
        <f t="shared" si="132"/>
      </c>
      <c r="BP77" s="291">
        <f t="shared" si="132"/>
      </c>
      <c r="BQ77" s="107">
        <f t="shared" si="132"/>
      </c>
      <c r="BR77" s="107">
        <f t="shared" si="132"/>
      </c>
      <c r="BS77" s="107">
        <f t="shared" si="132"/>
      </c>
      <c r="BT77" s="292">
        <f t="shared" ref="BT77:CY77" si="133">IFERROR(BT76/BO76-1,"")</f>
      </c>
      <c r="BU77" s="291">
        <f t="shared" si="133"/>
      </c>
      <c r="BV77" s="107">
        <f t="shared" si="133"/>
      </c>
      <c r="BW77" s="107">
        <f t="shared" si="133"/>
      </c>
      <c r="BX77" s="107">
        <f t="shared" si="133"/>
      </c>
      <c r="BY77" s="292">
        <f t="shared" si="133"/>
      </c>
      <c r="BZ77" s="291">
        <f t="shared" si="133"/>
      </c>
      <c r="CA77" s="107">
        <f t="shared" si="133"/>
      </c>
      <c r="CB77" s="107">
        <f t="shared" si="133"/>
      </c>
      <c r="CC77" s="107">
        <f t="shared" si="133"/>
      </c>
      <c r="CD77" s="292">
        <f t="shared" si="133"/>
      </c>
      <c r="CE77" s="291">
        <f t="shared" si="133"/>
      </c>
      <c r="CF77" s="107">
        <f t="shared" si="133"/>
      </c>
      <c r="CG77" s="107">
        <f t="shared" si="133"/>
      </c>
      <c r="CH77" s="107">
        <f t="shared" si="133"/>
      </c>
      <c r="CI77" s="292">
        <f t="shared" si="133"/>
      </c>
      <c r="CJ77" s="291">
        <f t="shared" si="133"/>
      </c>
      <c r="CK77" s="107">
        <f t="shared" si="133"/>
      </c>
      <c r="CL77" s="107">
        <f t="shared" si="133"/>
      </c>
      <c r="CM77" s="107">
        <f t="shared" si="133"/>
      </c>
      <c r="CN77" s="292">
        <f t="shared" si="133"/>
      </c>
      <c r="CO77" s="291">
        <f t="shared" si="133"/>
      </c>
      <c r="CP77" s="107">
        <f t="shared" si="133"/>
      </c>
      <c r="CQ77" s="107">
        <f t="shared" si="133"/>
      </c>
      <c r="CR77" s="107">
        <f t="shared" si="133"/>
      </c>
      <c r="CS77" s="292">
        <f t="shared" si="133"/>
      </c>
      <c r="CT77" s="291">
        <f t="shared" si="133"/>
      </c>
      <c r="CU77" s="107">
        <f t="shared" si="133"/>
      </c>
      <c r="CV77" s="107">
        <f t="shared" si="133"/>
      </c>
      <c r="CW77" s="107">
        <f t="shared" si="133"/>
      </c>
      <c r="CX77" s="292">
        <f t="shared" si="133"/>
      </c>
      <c r="CY77" s="291">
        <f t="shared" si="133"/>
      </c>
      <c r="CZ77" s="107">
        <f t="shared" ref="CZ77:EE77" si="134">IFERROR(CZ76/CU76-1,"")</f>
      </c>
      <c r="DA77" s="107">
        <f t="shared" si="134"/>
      </c>
      <c r="DB77" s="107">
        <f t="shared" si="134"/>
      </c>
      <c r="DC77" s="292">
        <f t="shared" si="134"/>
      </c>
      <c r="DD77" s="291">
        <f t="shared" si="134"/>
      </c>
      <c r="DE77" s="107">
        <f t="shared" si="134"/>
      </c>
      <c r="DF77" s="107">
        <f t="shared" si="134"/>
      </c>
      <c r="DG77" s="107">
        <f t="shared" si="134"/>
      </c>
      <c r="DH77" s="292">
        <f t="shared" si="134"/>
      </c>
      <c r="DI77" s="291">
        <f t="shared" si="134"/>
      </c>
      <c r="DJ77" s="107">
        <f t="shared" si="134"/>
      </c>
      <c r="DK77" s="107">
        <f t="shared" si="134"/>
      </c>
      <c r="DL77" s="107">
        <f t="shared" si="134"/>
      </c>
      <c r="DM77" s="292">
        <f t="shared" si="134"/>
      </c>
      <c r="DN77" s="291">
        <f t="shared" si="134"/>
      </c>
      <c r="DO77" s="107">
        <f t="shared" si="134"/>
      </c>
      <c r="DP77" s="107">
        <f t="shared" si="134"/>
      </c>
      <c r="DQ77" s="107">
        <f t="shared" si="134"/>
      </c>
      <c r="DR77" s="292">
        <f t="shared" si="134"/>
      </c>
      <c r="DS77" s="291">
        <f t="shared" si="134"/>
      </c>
      <c r="DT77" s="107">
        <f t="shared" si="134"/>
      </c>
      <c r="DU77" s="107">
        <f t="shared" si="134"/>
      </c>
      <c r="DV77" s="107">
        <f t="shared" si="134"/>
      </c>
      <c r="DW77" s="292">
        <f t="shared" si="134"/>
      </c>
      <c r="DX77" s="291">
        <f t="shared" si="134"/>
      </c>
      <c r="DY77" s="107">
        <f t="shared" si="134"/>
      </c>
      <c r="DZ77" s="107">
        <f t="shared" si="134"/>
      </c>
      <c r="EA77" s="107">
        <f t="shared" si="134"/>
      </c>
      <c r="EB77" s="292">
        <f t="shared" si="134"/>
      </c>
      <c r="EC77" s="291">
        <f t="shared" si="134"/>
      </c>
      <c r="ED77" s="107">
        <f t="shared" si="134"/>
      </c>
      <c r="EE77" s="107">
        <f t="shared" si="134"/>
      </c>
      <c r="EF77" s="107">
        <f t="shared" ref="EF77:FK77" si="135">IFERROR(EF76/EA76-1,"")</f>
      </c>
      <c r="EG77" s="292">
        <f t="shared" si="135"/>
      </c>
      <c r="EH77" s="291">
        <f t="shared" si="135"/>
      </c>
      <c r="EI77" s="107">
        <f t="shared" si="135"/>
      </c>
      <c r="EJ77" s="107">
        <f t="shared" si="135"/>
      </c>
      <c r="EK77" s="107">
        <f t="shared" si="135"/>
      </c>
      <c r="EL77" s="292">
        <f t="shared" si="135"/>
      </c>
      <c r="EM77" s="291">
        <f t="shared" si="135"/>
      </c>
      <c r="EN77" s="107">
        <f t="shared" si="135"/>
      </c>
      <c r="EO77" s="107">
        <f t="shared" si="135"/>
      </c>
      <c r="EP77" s="107">
        <f t="shared" si="135"/>
      </c>
      <c r="EQ77" s="292">
        <f t="shared" si="135"/>
      </c>
      <c r="ER77" s="291">
        <f t="shared" si="135"/>
      </c>
      <c r="ES77" s="107">
        <f t="shared" si="135"/>
      </c>
      <c r="ET77" s="468">
        <f t="shared" si="135"/>
      </c>
      <c r="EU77" s="468">
        <f t="shared" si="135"/>
      </c>
      <c r="EV77" s="292">
        <f t="shared" si="135"/>
      </c>
      <c r="EW77" s="349">
        <f t="shared" si="135"/>
      </c>
      <c r="EX77" s="468">
        <f t="shared" si="135"/>
      </c>
      <c r="EY77" s="468">
        <f t="shared" si="135"/>
      </c>
      <c r="EZ77" s="468">
        <f t="shared" si="135"/>
      </c>
      <c r="FA77" s="292">
        <f t="shared" si="135"/>
      </c>
      <c r="FB77" s="291">
        <f t="shared" si="135"/>
      </c>
      <c r="FC77" s="107">
        <f t="shared" si="135"/>
      </c>
      <c r="FD77" s="107">
        <f t="shared" si="135"/>
      </c>
      <c r="FE77" s="107">
        <f t="shared" si="135"/>
      </c>
      <c r="FF77" s="292">
        <f t="shared" si="135"/>
      </c>
      <c r="FG77" s="291">
        <f t="shared" si="135"/>
      </c>
      <c r="FH77" s="107">
        <f t="shared" si="135"/>
      </c>
      <c r="FI77" s="107">
        <f t="shared" si="135"/>
      </c>
      <c r="FJ77" s="107">
        <f t="shared" si="135"/>
      </c>
      <c r="FK77" s="292">
        <f t="shared" si="135"/>
      </c>
      <c r="FL77" s="291">
        <f t="shared" ref="FL77:FZ77" si="136">IFERROR(FL76/FG76-1,"")</f>
      </c>
      <c r="FM77" s="107">
        <f t="shared" si="136"/>
      </c>
      <c r="FN77" s="107">
        <f t="shared" si="136"/>
      </c>
      <c r="FO77" s="107">
        <f t="shared" si="136"/>
      </c>
      <c r="FP77" s="292">
        <f t="shared" si="136"/>
      </c>
      <c r="FQ77" s="291">
        <f t="shared" si="136"/>
      </c>
      <c r="FR77" s="107">
        <f t="shared" si="136"/>
      </c>
      <c r="FS77" s="107">
        <f t="shared" si="136"/>
      </c>
      <c r="FT77" s="107">
        <f t="shared" si="136"/>
      </c>
      <c r="FU77" s="292">
        <f t="shared" si="136"/>
      </c>
      <c r="FV77" s="291">
        <f t="shared" si="136"/>
      </c>
      <c r="FW77" s="107">
        <f t="shared" si="136"/>
      </c>
      <c r="FX77" s="107">
        <f t="shared" si="136"/>
      </c>
      <c r="FY77" s="107">
        <f t="shared" si="136"/>
      </c>
      <c r="FZ77" s="292">
        <f t="shared" si="136"/>
      </c>
      <c r="GA77" s="291">
        <f t="shared" ref="GA77:GJ77" si="137">IFERROR(GA76/FV76-1,"")</f>
      </c>
      <c r="GB77" s="107">
        <f t="shared" si="137"/>
      </c>
      <c r="GC77" s="107">
        <f t="shared" si="137"/>
      </c>
      <c r="GD77" s="107">
        <f t="shared" si="137"/>
      </c>
      <c r="GE77" s="292">
        <f t="shared" si="137"/>
      </c>
      <c r="GF77" s="291">
        <f t="shared" si="137"/>
      </c>
      <c r="GG77" s="107">
        <f t="shared" si="137"/>
      </c>
      <c r="GH77" s="107">
        <f t="shared" si="137"/>
      </c>
      <c r="GI77" s="107">
        <f t="shared" si="137"/>
      </c>
      <c r="GJ77" s="292">
        <f t="shared" si="137"/>
      </c>
    </row>
    <row r="78" spans="1:192" ht="12.75" customHeight="1">
      <c r="A78" s="789"/>
      <c r="B78" s="617" t="s">
        <v>36</v>
      </c>
      <c r="C78" s="291"/>
      <c r="D78" s="137"/>
      <c r="E78" s="137"/>
      <c r="F78" s="137"/>
      <c r="G78" s="538"/>
      <c r="H78" s="291">
        <f>IFERROR(H76/F76-1,"")</f>
      </c>
      <c r="I78" s="107">
        <f>IFERROR(I76/H76-1,"")</f>
      </c>
      <c r="J78" s="107">
        <f>IFERROR(J76/I76-1,"")</f>
      </c>
      <c r="K78" s="107">
        <f>IFERROR(K76/J76-1,"")</f>
      </c>
      <c r="L78" s="293"/>
      <c r="M78" s="291">
        <f>IFERROR(M76/K76-1,"")</f>
      </c>
      <c r="N78" s="107">
        <f>IFERROR(N76/M76-1,"")</f>
      </c>
      <c r="O78" s="107">
        <f>IFERROR(O76/N76-1,"")</f>
      </c>
      <c r="P78" s="107">
        <f>IFERROR(P76/O76-1,"")</f>
      </c>
      <c r="Q78" s="293"/>
      <c r="R78" s="291">
        <f>IFERROR(R76/P76-1,"")</f>
      </c>
      <c r="S78" s="107">
        <f>IFERROR(S76/R76-1,"")</f>
      </c>
      <c r="T78" s="107">
        <f>IFERROR(T76/S76-1,"")</f>
      </c>
      <c r="U78" s="107">
        <f>IFERROR(U76/T76-1,"")</f>
      </c>
      <c r="V78" s="293"/>
      <c r="W78" s="291">
        <f>IFERROR(W76/U76-1,"")</f>
      </c>
      <c r="X78" s="107">
        <f>IFERROR(X76/W76-1,"")</f>
      </c>
      <c r="Y78" s="107">
        <f>IFERROR(Y76/X76-1,"")</f>
      </c>
      <c r="Z78" s="107">
        <f>IFERROR(Z76/Y76-1,"")</f>
      </c>
      <c r="AA78" s="293"/>
      <c r="AB78" s="291">
        <f>IFERROR(AB76/Z76-1,"")</f>
      </c>
      <c r="AC78" s="107">
        <f>IFERROR(AC76/AB76-1,"")</f>
      </c>
      <c r="AD78" s="107">
        <f>IFERROR(AD76/AC76-1,"")</f>
      </c>
      <c r="AE78" s="107">
        <f>IFERROR(AE76/AD76-1,"")</f>
      </c>
      <c r="AF78" s="293"/>
      <c r="AG78" s="291">
        <f>IFERROR(AG76/AE76-1,"")</f>
      </c>
      <c r="AH78" s="107">
        <f>IFERROR(AH76/AG76-1,"")</f>
      </c>
      <c r="AI78" s="107">
        <f>IFERROR(AI76/AH76-1,"")</f>
      </c>
      <c r="AJ78" s="107">
        <f>IFERROR(AJ76/AI76-1,"")</f>
      </c>
      <c r="AK78" s="293"/>
      <c r="AL78" s="291">
        <f>IFERROR(AL76/AJ76-1,"")</f>
      </c>
      <c r="AM78" s="107">
        <f>IFERROR(AM76/AL76-1,"")</f>
      </c>
      <c r="AN78" s="107">
        <f>IFERROR(AN76/AM76-1,"")</f>
      </c>
      <c r="AO78" s="107">
        <f>IFERROR(AO76/AN76-1,"")</f>
      </c>
      <c r="AP78" s="293"/>
      <c r="AQ78" s="291">
        <f>IFERROR(AQ76/AO76-1,"")</f>
      </c>
      <c r="AR78" s="107">
        <f>IFERROR(AR76/AQ76-1,"")</f>
      </c>
      <c r="AS78" s="107">
        <f>IFERROR(AS76/AR76-1,"")</f>
      </c>
      <c r="AT78" s="107">
        <f>IFERROR(AT76/AS76-1,"")</f>
      </c>
      <c r="AU78" s="293"/>
      <c r="AV78" s="291">
        <f>IFERROR(AV76/AT76-1,"")</f>
      </c>
      <c r="AW78" s="107">
        <f>IFERROR(AW76/AV76-1,"")</f>
      </c>
      <c r="AX78" s="107">
        <f>IFERROR(AX76/AW76-1,"")</f>
      </c>
      <c r="AY78" s="107">
        <f>IFERROR(AY76/AX76-1,"")</f>
      </c>
      <c r="AZ78" s="293"/>
      <c r="BA78" s="291">
        <f>IFERROR(BA76/AY76-1,"")</f>
      </c>
      <c r="BB78" s="107">
        <f>IFERROR(BB76/BA76-1,"")</f>
      </c>
      <c r="BC78" s="107">
        <f>IFERROR(BC76/BB76-1,"")</f>
      </c>
      <c r="BD78" s="107">
        <f>IFERROR(BD76/BC76-1,"")</f>
      </c>
      <c r="BE78" s="293"/>
      <c r="BF78" s="291">
        <f>IFERROR(BF76/BD76-1,"")</f>
      </c>
      <c r="BG78" s="107">
        <f>IFERROR(BG76/BF76-1,"")</f>
      </c>
      <c r="BH78" s="107">
        <f>IFERROR(BH76/BG76-1,"")</f>
      </c>
      <c r="BI78" s="107">
        <f>IFERROR(BI76/BH76-1,"")</f>
      </c>
      <c r="BJ78" s="293"/>
      <c r="BK78" s="291">
        <f>IFERROR(BK76/BI76-1,"")</f>
      </c>
      <c r="BL78" s="107">
        <f>IFERROR(BL76/BK76-1,"")</f>
      </c>
      <c r="BM78" s="107">
        <f>IFERROR(BM76/BL76-1,"")</f>
      </c>
      <c r="BN78" s="107">
        <f>IFERROR(BN76/BM76-1,"")</f>
      </c>
      <c r="BO78" s="293"/>
      <c r="BP78" s="291">
        <f>IFERROR(BP76/BN76-1,"")</f>
      </c>
      <c r="BQ78" s="107">
        <f>IFERROR(BQ76/BP76-1,"")</f>
      </c>
      <c r="BR78" s="107">
        <f>IFERROR(BR76/BQ76-1,"")</f>
      </c>
      <c r="BS78" s="107">
        <f>IFERROR(BS76/BR76-1,"")</f>
      </c>
      <c r="BT78" s="293"/>
      <c r="BU78" s="291">
        <f>IFERROR(BU76/BS76-1,"")</f>
      </c>
      <c r="BV78" s="107">
        <f>IFERROR(BV76/BU76-1,"")</f>
      </c>
      <c r="BW78" s="107">
        <f>IFERROR(BW76/BV76-1,"")</f>
      </c>
      <c r="BX78" s="107">
        <f>IFERROR(BX76/BW76-1,"")</f>
      </c>
      <c r="BY78" s="293"/>
      <c r="BZ78" s="291">
        <f>IFERROR(BZ76/BX76-1,"")</f>
      </c>
      <c r="CA78" s="107">
        <f>IFERROR(CA76/BZ76-1,"")</f>
      </c>
      <c r="CB78" s="107">
        <f>IFERROR(CB76/CA76-1,"")</f>
      </c>
      <c r="CC78" s="107">
        <f>IFERROR(CC76/CB76-1,"")</f>
      </c>
      <c r="CD78" s="293"/>
      <c r="CE78" s="291">
        <f>IFERROR(CE76/CC76-1,"")</f>
      </c>
      <c r="CF78" s="107">
        <f>IFERROR(CF76/CE76-1,"")</f>
      </c>
      <c r="CG78" s="107">
        <f>IFERROR(CG76/CF76-1,"")</f>
      </c>
      <c r="CH78" s="107">
        <f>IFERROR(CH76/CG76-1,"")</f>
      </c>
      <c r="CI78" s="293"/>
      <c r="CJ78" s="291">
        <f>IFERROR(CJ76/CH76-1,"")</f>
      </c>
      <c r="CK78" s="107">
        <f>IFERROR(CK76/CJ76-1,"")</f>
      </c>
      <c r="CL78" s="107">
        <f>IFERROR(CL76/CK76-1,"")</f>
      </c>
      <c r="CM78" s="107">
        <f>IFERROR(CM76/CL76-1,"")</f>
      </c>
      <c r="CN78" s="293"/>
      <c r="CO78" s="291">
        <f>IFERROR(CO76/CM76-1,"")</f>
      </c>
      <c r="CP78" s="107">
        <f>IFERROR(CP76/CO76-1,"")</f>
      </c>
      <c r="CQ78" s="107">
        <f>IFERROR(CQ76/CP76-1,"")</f>
      </c>
      <c r="CR78" s="107">
        <f>IFERROR(CR76/CQ76-1,"")</f>
      </c>
      <c r="CS78" s="293"/>
      <c r="CT78" s="291">
        <f>IFERROR(CT76/CR76-1,"")</f>
      </c>
      <c r="CU78" s="107">
        <f>IFERROR(CU76/CT76-1,"")</f>
      </c>
      <c r="CV78" s="107">
        <f>IFERROR(CV76/CU76-1,"")</f>
      </c>
      <c r="CW78" s="107">
        <f>IFERROR(CW76/CV76-1,"")</f>
      </c>
      <c r="CX78" s="293"/>
      <c r="CY78" s="291">
        <f>IFERROR(CY76/CW76-1,"")</f>
      </c>
      <c r="CZ78" s="107">
        <f>IFERROR(CZ76/CY76-1,"")</f>
      </c>
      <c r="DA78" s="107">
        <f>IFERROR(DA76/CZ76-1,"")</f>
      </c>
      <c r="DB78" s="107">
        <f>IFERROR(DB76/DA76-1,"")</f>
      </c>
      <c r="DC78" s="293"/>
      <c r="DD78" s="291">
        <f>IFERROR(DD76/DB76-1,"")</f>
      </c>
      <c r="DE78" s="107">
        <f>IFERROR(DE76/DD76-1,"")</f>
      </c>
      <c r="DF78" s="107">
        <f>IFERROR(DF76/DE76-1,"")</f>
      </c>
      <c r="DG78" s="107">
        <f>IFERROR(DG76/DF76-1,"")</f>
      </c>
      <c r="DH78" s="293"/>
      <c r="DI78" s="291">
        <f>IFERROR(DI76/DG76-1,"")</f>
      </c>
      <c r="DJ78" s="107">
        <f>IFERROR(DJ76/DI76-1,"")</f>
      </c>
      <c r="DK78" s="107">
        <f>IFERROR(DK76/DJ76-1,"")</f>
      </c>
      <c r="DL78" s="107">
        <f>IFERROR(DL76/DK76-1,"")</f>
      </c>
      <c r="DM78" s="293"/>
      <c r="DN78" s="291">
        <f>IFERROR(DN76/DL76-1,"")</f>
      </c>
      <c r="DO78" s="107">
        <f>IFERROR(DO76/DN76-1,"")</f>
      </c>
      <c r="DP78" s="107">
        <f>IFERROR(DP76/DO76-1,"")</f>
      </c>
      <c r="DQ78" s="107">
        <f>IFERROR(DQ76/DP76-1,"")</f>
      </c>
      <c r="DR78" s="293"/>
      <c r="DS78" s="291">
        <f>IFERROR(DS76/DQ76-1,"")</f>
      </c>
      <c r="DT78" s="107">
        <f>IFERROR(DT76/DS76-1,"")</f>
      </c>
      <c r="DU78" s="107">
        <f>IFERROR(DU76/DT76-1,"")</f>
      </c>
      <c r="DV78" s="107">
        <f>IFERROR(DV76/DU76-1,"")</f>
      </c>
      <c r="DW78" s="293"/>
      <c r="DX78" s="291">
        <f>IFERROR(DX76/DV76-1,"")</f>
      </c>
      <c r="DY78" s="107">
        <f>IFERROR(DY76/DX76-1,"")</f>
      </c>
      <c r="DZ78" s="107">
        <f>IFERROR(DZ76/DY76-1,"")</f>
      </c>
      <c r="EA78" s="107">
        <f>IFERROR(EA76/DZ76-1,"")</f>
      </c>
      <c r="EB78" s="293"/>
      <c r="EC78" s="291">
        <f>IFERROR(EC76/EA76-1,"")</f>
      </c>
      <c r="ED78" s="107">
        <f>IFERROR(ED76/EC76-1,"")</f>
      </c>
      <c r="EE78" s="107">
        <f>IFERROR(EE76/ED76-1,"")</f>
      </c>
      <c r="EF78" s="107">
        <f>IFERROR(EF76/EE76-1,"")</f>
      </c>
      <c r="EG78" s="293"/>
      <c r="EH78" s="291">
        <f>IFERROR(EH76/EF76-1,"")</f>
      </c>
      <c r="EI78" s="107">
        <f>IFERROR(EI76/EH76-1,"")</f>
      </c>
      <c r="EJ78" s="107">
        <f>IFERROR(EJ76/EI76-1,"")</f>
      </c>
      <c r="EK78" s="107">
        <f>IFERROR(EK76/EJ76-1,"")</f>
      </c>
      <c r="EL78" s="293"/>
      <c r="EM78" s="291">
        <f>IFERROR(EM76/EK76-1,"")</f>
      </c>
      <c r="EN78" s="107">
        <f>IFERROR(EN76/EM76-1,"")</f>
      </c>
      <c r="EO78" s="107">
        <f>IFERROR(EO76/EN76-1,"")</f>
      </c>
      <c r="EP78" s="107">
        <f>IFERROR(EP76/EO76-1,"")</f>
      </c>
      <c r="EQ78" s="293"/>
      <c r="ER78" s="291">
        <f>IFERROR(ER76/EP76-1,"")</f>
      </c>
      <c r="ES78" s="107">
        <f>IFERROR(ES76/ER76-1,"")</f>
      </c>
      <c r="ET78" s="468">
        <f>IFERROR(ET76/ES76-1,"")</f>
      </c>
      <c r="EU78" s="468">
        <f>IFERROR(EU76/ET76-1,"")</f>
      </c>
      <c r="EV78" s="293"/>
      <c r="EW78" s="349">
        <f>IFERROR(EW76/EU76-1,"")</f>
      </c>
      <c r="EX78" s="468">
        <f>IFERROR(EX76/EW76-1,"")</f>
      </c>
      <c r="EY78" s="468">
        <f>IFERROR(EY76/EX76-1,"")</f>
      </c>
      <c r="EZ78" s="468">
        <f>IFERROR(EZ76/EY76-1,"")</f>
      </c>
      <c r="FA78" s="293"/>
      <c r="FB78" s="291">
        <f>IFERROR(FB76/EZ76-1,"")</f>
      </c>
      <c r="FC78" s="107">
        <f>IFERROR(FC76/FB76-1,"")</f>
      </c>
      <c r="FD78" s="107">
        <f>IFERROR(FD76/FC76-1,"")</f>
      </c>
      <c r="FE78" s="107">
        <f>IFERROR(FE76/FD76-1,"")</f>
      </c>
      <c r="FF78" s="293"/>
      <c r="FG78" s="291">
        <f>IFERROR(FG76/FE76-1,"")</f>
      </c>
      <c r="FH78" s="107">
        <f>IFERROR(FH76/FG76-1,"")</f>
      </c>
      <c r="FI78" s="107">
        <f>IFERROR(FI76/FH76-1,"")</f>
      </c>
      <c r="FJ78" s="107">
        <f>IFERROR(FJ76/FI76-1,"")</f>
      </c>
      <c r="FK78" s="293"/>
      <c r="FL78" s="291">
        <f>IFERROR(FL76/FJ76-1,"")</f>
      </c>
      <c r="FM78" s="107">
        <f>IFERROR(FM76/FL76-1,"")</f>
      </c>
      <c r="FN78" s="107">
        <f>IFERROR(FN76/FM76-1,"")</f>
      </c>
      <c r="FO78" s="107">
        <f>IFERROR(FO76/FN76-1,"")</f>
      </c>
      <c r="FP78" s="293"/>
      <c r="FQ78" s="291">
        <f>IFERROR(FQ76/FO76-1,"")</f>
      </c>
      <c r="FR78" s="107">
        <f>IFERROR(FR76/FQ76-1,"")</f>
      </c>
      <c r="FS78" s="107">
        <f>IFERROR(FS76/FR76-1,"")</f>
      </c>
      <c r="FT78" s="107">
        <f>IFERROR(FT76/FS76-1,"")</f>
      </c>
      <c r="FU78" s="293"/>
      <c r="FV78" s="291">
        <f>IFERROR(FV76/FT76-1,"")</f>
      </c>
      <c r="FW78" s="107">
        <f>IFERROR(FW76/FV76-1,"")</f>
      </c>
      <c r="FX78" s="107">
        <f>IFERROR(FX76/FW76-1,"")</f>
      </c>
      <c r="FY78" s="107">
        <f>IFERROR(FY76/FX76-1,"")</f>
      </c>
      <c r="FZ78" s="293"/>
      <c r="GA78" s="291">
        <f>IFERROR(GA76/FY76-1,"")</f>
      </c>
      <c r="GB78" s="107">
        <f>IFERROR(GB76/GA76-1,"")</f>
      </c>
      <c r="GC78" s="107">
        <f>IFERROR(GC76/GB76-1,"")</f>
      </c>
      <c r="GD78" s="107">
        <f>IFERROR(GD76/GC76-1,"")</f>
      </c>
      <c r="GE78" s="293"/>
      <c r="GF78" s="291">
        <f>IFERROR(GF76/GD76-1,"")</f>
      </c>
      <c r="GG78" s="107">
        <f>IFERROR(GG76/GF76-1,"")</f>
      </c>
      <c r="GH78" s="107">
        <f>IFERROR(GH76/GG76-1,"")</f>
      </c>
      <c r="GI78" s="107">
        <f>IFERROR(GI76/GH76-1,"")</f>
      </c>
      <c r="GJ78" s="293"/>
    </row>
    <row r="79" spans="1:192" ht="12.75" customHeight="1">
      <c r="B79" s="617" t="s">
        <v>1939</v>
      </c>
      <c r="C79" s="463"/>
      <c r="D79" s="463"/>
      <c r="E79" s="463"/>
      <c r="F79" s="463"/>
      <c r="G79" s="466"/>
      <c r="H79" s="463">
        <f t="shared" ref="H79:AM79" si="138">H76-C76</f>
      </c>
      <c r="I79" s="463">
        <f t="shared" si="138"/>
      </c>
      <c r="J79" s="463">
        <f t="shared" si="138"/>
      </c>
      <c r="K79" s="463">
        <f t="shared" si="138"/>
      </c>
      <c r="L79" s="466">
        <f t="shared" si="138"/>
      </c>
      <c r="M79" s="463">
        <f t="shared" si="138"/>
      </c>
      <c r="N79" s="463">
        <f t="shared" si="138"/>
      </c>
      <c r="O79" s="463">
        <f t="shared" si="138"/>
      </c>
      <c r="P79" s="463">
        <f t="shared" si="138"/>
      </c>
      <c r="Q79" s="466">
        <f t="shared" si="138"/>
      </c>
      <c r="R79" s="463">
        <f t="shared" si="138"/>
      </c>
      <c r="S79" s="463">
        <f t="shared" si="138"/>
      </c>
      <c r="T79" s="463">
        <f t="shared" si="138"/>
      </c>
      <c r="U79" s="463">
        <f t="shared" si="138"/>
      </c>
      <c r="V79" s="466">
        <f t="shared" si="138"/>
      </c>
      <c r="W79" s="463">
        <f t="shared" si="138"/>
      </c>
      <c r="X79" s="463">
        <f t="shared" si="138"/>
      </c>
      <c r="Y79" s="463">
        <f t="shared" si="138"/>
      </c>
      <c r="Z79" s="463">
        <f t="shared" si="138"/>
      </c>
      <c r="AA79" s="466">
        <f t="shared" si="138"/>
      </c>
      <c r="AB79" s="463">
        <f t="shared" si="138"/>
      </c>
      <c r="AC79" s="463">
        <f t="shared" si="138"/>
      </c>
      <c r="AD79" s="463">
        <f t="shared" si="138"/>
      </c>
      <c r="AE79" s="463">
        <f t="shared" si="138"/>
      </c>
      <c r="AF79" s="466">
        <f t="shared" si="138"/>
      </c>
      <c r="AG79" s="463">
        <f t="shared" si="138"/>
      </c>
      <c r="AH79" s="463">
        <f t="shared" si="138"/>
      </c>
      <c r="AI79" s="463">
        <f t="shared" si="138"/>
      </c>
      <c r="AJ79" s="463">
        <f t="shared" si="138"/>
      </c>
      <c r="AK79" s="466">
        <f t="shared" si="138"/>
      </c>
      <c r="AL79" s="463">
        <f t="shared" si="138"/>
      </c>
      <c r="AM79" s="463">
        <f t="shared" si="138"/>
      </c>
      <c r="AN79" s="463">
        <f t="shared" ref="AN79:BS79" si="139">AN76-AI76</f>
      </c>
      <c r="AO79" s="463">
        <f t="shared" si="139"/>
      </c>
      <c r="AP79" s="466">
        <f t="shared" si="139"/>
      </c>
      <c r="AQ79" s="463">
        <f t="shared" si="139"/>
      </c>
      <c r="AR79" s="463">
        <f t="shared" si="139"/>
      </c>
      <c r="AS79" s="463">
        <f t="shared" si="139"/>
      </c>
      <c r="AT79" s="463">
        <f t="shared" si="139"/>
      </c>
      <c r="AU79" s="466">
        <f t="shared" si="139"/>
      </c>
      <c r="AV79" s="463">
        <f t="shared" si="139"/>
      </c>
      <c r="AW79" s="463">
        <f t="shared" si="139"/>
      </c>
      <c r="AX79" s="463">
        <f t="shared" si="139"/>
      </c>
      <c r="AY79" s="463">
        <f t="shared" si="139"/>
      </c>
      <c r="AZ79" s="466">
        <f t="shared" si="139"/>
      </c>
      <c r="BA79" s="463">
        <f t="shared" si="139"/>
      </c>
      <c r="BB79" s="463">
        <f t="shared" si="139"/>
      </c>
      <c r="BC79" s="463">
        <f t="shared" si="139"/>
      </c>
      <c r="BD79" s="463">
        <f t="shared" si="139"/>
      </c>
      <c r="BE79" s="466">
        <f t="shared" si="139"/>
      </c>
      <c r="BF79" s="463">
        <f t="shared" si="139"/>
      </c>
      <c r="BG79" s="463">
        <f t="shared" si="139"/>
      </c>
      <c r="BH79" s="463">
        <f t="shared" si="139"/>
      </c>
      <c r="BI79" s="463">
        <f t="shared" si="139"/>
      </c>
      <c r="BJ79" s="466">
        <f t="shared" si="139"/>
      </c>
      <c r="BK79" s="463">
        <f t="shared" si="139"/>
      </c>
      <c r="BL79" s="463">
        <f t="shared" si="139"/>
      </c>
      <c r="BM79" s="463">
        <f t="shared" si="139"/>
      </c>
      <c r="BN79" s="463">
        <f t="shared" si="139"/>
      </c>
      <c r="BO79" s="466">
        <f t="shared" si="139"/>
      </c>
      <c r="BP79" s="463">
        <f t="shared" si="139"/>
      </c>
      <c r="BQ79" s="463">
        <f t="shared" si="139"/>
      </c>
      <c r="BR79" s="463">
        <f t="shared" si="139"/>
      </c>
      <c r="BS79" s="463">
        <f t="shared" si="139"/>
      </c>
      <c r="BT79" s="466">
        <f t="shared" ref="BT79:CY79" si="140">BT76-BO76</f>
      </c>
      <c r="BU79" s="463">
        <f t="shared" si="140"/>
      </c>
      <c r="BV79" s="463">
        <f t="shared" si="140"/>
      </c>
      <c r="BW79" s="463">
        <f t="shared" si="140"/>
      </c>
      <c r="BX79" s="463">
        <f t="shared" si="140"/>
      </c>
      <c r="BY79" s="466">
        <f t="shared" si="140"/>
      </c>
      <c r="BZ79" s="463">
        <f t="shared" si="140"/>
      </c>
      <c r="CA79" s="463">
        <f t="shared" si="140"/>
      </c>
      <c r="CB79" s="463">
        <f t="shared" si="140"/>
      </c>
      <c r="CC79" s="463">
        <f t="shared" si="140"/>
      </c>
      <c r="CD79" s="466">
        <f t="shared" si="140"/>
      </c>
      <c r="CE79" s="463">
        <f t="shared" si="140"/>
      </c>
      <c r="CF79" s="463">
        <f t="shared" si="140"/>
      </c>
      <c r="CG79" s="463">
        <f t="shared" si="140"/>
      </c>
      <c r="CH79" s="463">
        <f t="shared" si="140"/>
      </c>
      <c r="CI79" s="466">
        <f t="shared" si="140"/>
      </c>
      <c r="CJ79" s="463">
        <f t="shared" si="140"/>
      </c>
      <c r="CK79" s="463">
        <f t="shared" si="140"/>
      </c>
      <c r="CL79" s="463">
        <f t="shared" si="140"/>
      </c>
      <c r="CM79" s="463">
        <f t="shared" si="140"/>
      </c>
      <c r="CN79" s="466">
        <f t="shared" si="140"/>
      </c>
      <c r="CO79" s="463">
        <f t="shared" si="140"/>
      </c>
      <c r="CP79" s="463">
        <f t="shared" si="140"/>
      </c>
      <c r="CQ79" s="463">
        <f t="shared" si="140"/>
      </c>
      <c r="CR79" s="463">
        <f t="shared" si="140"/>
      </c>
      <c r="CS79" s="466">
        <f t="shared" si="140"/>
      </c>
      <c r="CT79" s="463">
        <f t="shared" si="140"/>
      </c>
      <c r="CU79" s="463">
        <f t="shared" si="140"/>
      </c>
      <c r="CV79" s="463">
        <f t="shared" si="140"/>
      </c>
      <c r="CW79" s="463">
        <f t="shared" si="140"/>
      </c>
      <c r="CX79" s="466">
        <f t="shared" si="140"/>
      </c>
      <c r="CY79" s="463">
        <f t="shared" si="140"/>
      </c>
      <c r="CZ79" s="463">
        <f t="shared" ref="CZ79:EE79" si="141">CZ76-CU76</f>
      </c>
      <c r="DA79" s="463">
        <f t="shared" si="141"/>
      </c>
      <c r="DB79" s="463">
        <f t="shared" si="141"/>
      </c>
      <c r="DC79" s="466">
        <f t="shared" si="141"/>
      </c>
      <c r="DD79" s="463">
        <f t="shared" si="141"/>
      </c>
      <c r="DE79" s="463">
        <f t="shared" si="141"/>
      </c>
      <c r="DF79" s="463">
        <f t="shared" si="141"/>
      </c>
      <c r="DG79" s="463">
        <f t="shared" si="141"/>
      </c>
      <c r="DH79" s="466">
        <f t="shared" si="141"/>
      </c>
      <c r="DI79" s="463">
        <f t="shared" si="141"/>
      </c>
      <c r="DJ79" s="463">
        <f t="shared" si="141"/>
      </c>
      <c r="DK79" s="463">
        <f t="shared" si="141"/>
      </c>
      <c r="DL79" s="463">
        <f t="shared" si="141"/>
      </c>
      <c r="DM79" s="466">
        <f t="shared" si="141"/>
      </c>
      <c r="DN79" s="463">
        <f t="shared" si="141"/>
      </c>
      <c r="DO79" s="463">
        <f t="shared" si="141"/>
      </c>
      <c r="DP79" s="463">
        <f t="shared" si="141"/>
      </c>
      <c r="DQ79" s="463">
        <f t="shared" si="141"/>
      </c>
      <c r="DR79" s="466">
        <f t="shared" si="141"/>
      </c>
      <c r="DS79" s="463">
        <f t="shared" si="141"/>
      </c>
      <c r="DT79" s="463">
        <f t="shared" si="141"/>
      </c>
      <c r="DU79" s="463">
        <f t="shared" si="141"/>
      </c>
      <c r="DV79" s="463">
        <f t="shared" si="141"/>
      </c>
      <c r="DW79" s="466">
        <f t="shared" si="141"/>
      </c>
      <c r="DX79" s="463">
        <f t="shared" si="141"/>
      </c>
      <c r="DY79" s="463">
        <f t="shared" si="141"/>
      </c>
      <c r="DZ79" s="463">
        <f t="shared" si="141"/>
      </c>
      <c r="EA79" s="463">
        <f t="shared" si="141"/>
      </c>
      <c r="EB79" s="466">
        <f t="shared" si="141"/>
      </c>
      <c r="EC79" s="463">
        <f t="shared" si="141"/>
      </c>
      <c r="ED79" s="463">
        <f t="shared" si="141"/>
      </c>
      <c r="EE79" s="463">
        <f t="shared" si="141"/>
      </c>
      <c r="EF79" s="463">
        <f t="shared" ref="EF79:FK79" si="142">EF76-EA76</f>
      </c>
      <c r="EG79" s="466">
        <f t="shared" si="142"/>
      </c>
      <c r="EH79" s="463">
        <f t="shared" si="142"/>
      </c>
      <c r="EI79" s="463">
        <f t="shared" si="142"/>
      </c>
      <c r="EJ79" s="463">
        <f t="shared" si="142"/>
      </c>
      <c r="EK79" s="463">
        <f t="shared" si="142"/>
      </c>
      <c r="EL79" s="466">
        <f t="shared" si="142"/>
      </c>
      <c r="EM79" s="463">
        <f t="shared" si="142"/>
      </c>
      <c r="EN79" s="463">
        <f t="shared" si="142"/>
      </c>
      <c r="EO79" s="463">
        <f t="shared" si="142"/>
      </c>
      <c r="EP79" s="463">
        <f t="shared" si="142"/>
      </c>
      <c r="EQ79" s="466">
        <f t="shared" si="142"/>
      </c>
      <c r="ER79" s="463">
        <f t="shared" si="142"/>
      </c>
      <c r="ES79" s="463">
        <f t="shared" si="142"/>
      </c>
      <c r="ET79" s="1399">
        <f t="shared" si="142"/>
      </c>
      <c r="EU79" s="1399">
        <f t="shared" si="142"/>
      </c>
      <c r="EV79" s="466">
        <f t="shared" si="142"/>
      </c>
      <c r="EW79" s="1399">
        <f t="shared" si="142"/>
      </c>
      <c r="EX79" s="1399">
        <f t="shared" si="142"/>
      </c>
      <c r="EY79" s="1399">
        <f t="shared" si="142"/>
      </c>
      <c r="EZ79" s="1399">
        <f t="shared" si="142"/>
      </c>
      <c r="FA79" s="466">
        <f t="shared" si="142"/>
      </c>
      <c r="FB79" s="463">
        <f t="shared" si="142"/>
      </c>
      <c r="FC79" s="463">
        <f t="shared" si="142"/>
      </c>
      <c r="FD79" s="1399">
        <f t="shared" si="142"/>
      </c>
      <c r="FE79" s="463">
        <f t="shared" si="142"/>
      </c>
      <c r="FF79" s="466">
        <f t="shared" si="142"/>
      </c>
      <c r="FG79" s="463">
        <f t="shared" si="142"/>
      </c>
      <c r="FH79" s="463">
        <f t="shared" si="142"/>
      </c>
      <c r="FI79" s="463">
        <f t="shared" si="142"/>
      </c>
      <c r="FJ79" s="463">
        <f t="shared" si="142"/>
      </c>
      <c r="FK79" s="466">
        <f t="shared" si="142"/>
      </c>
      <c r="FL79" s="463">
        <f t="shared" ref="FL79:GE79" si="143">FL76-FG76</f>
      </c>
      <c r="FM79" s="463">
        <f t="shared" si="143"/>
      </c>
      <c r="FN79" s="463">
        <f t="shared" si="143"/>
      </c>
      <c r="FO79" s="463">
        <f t="shared" si="143"/>
      </c>
      <c r="FP79" s="466">
        <f t="shared" si="143"/>
      </c>
      <c r="FQ79" s="463">
        <f t="shared" si="143"/>
      </c>
      <c r="FR79" s="463">
        <f t="shared" si="143"/>
      </c>
      <c r="FS79" s="463">
        <f t="shared" si="143"/>
      </c>
      <c r="FT79" s="463">
        <f t="shared" si="143"/>
      </c>
      <c r="FU79" s="466">
        <f t="shared" si="143"/>
      </c>
      <c r="FV79" s="463">
        <f t="shared" si="143"/>
      </c>
      <c r="FW79" s="463">
        <f t="shared" si="143"/>
      </c>
      <c r="FX79" s="463">
        <f t="shared" si="143"/>
      </c>
      <c r="FY79" s="463">
        <f t="shared" si="143"/>
      </c>
      <c r="FZ79" s="466">
        <f t="shared" si="143"/>
      </c>
      <c r="GA79" s="463">
        <f t="shared" si="143"/>
      </c>
      <c r="GB79" s="463">
        <f t="shared" si="143"/>
      </c>
      <c r="GC79" s="463">
        <f t="shared" si="143"/>
      </c>
      <c r="GD79" s="463">
        <f t="shared" si="143"/>
      </c>
      <c r="GE79" s="466">
        <f t="shared" si="143"/>
      </c>
      <c r="GF79" s="463">
        <f t="shared" ref="GF79" si="144">GF76-GA76</f>
      </c>
      <c r="GG79" s="463">
        <f t="shared" ref="GG79" si="145">GG76-GB76</f>
      </c>
      <c r="GH79" s="463">
        <f t="shared" ref="GH79" si="146">GH76-GC76</f>
      </c>
      <c r="GI79" s="463">
        <f t="shared" ref="GI79" si="147">GI76-GD76</f>
      </c>
      <c r="GJ79" s="466">
        <f t="shared" ref="GJ79" si="148">GJ76-GE76</f>
      </c>
    </row>
    <row r="80" spans="1:192" ht="12.75" customHeight="1">
      <c r="B80" s="617" t="s">
        <v>1940</v>
      </c>
      <c r="C80" s="470"/>
      <c r="D80" s="463">
        <f>D76-C76</f>
      </c>
      <c r="E80" s="463">
        <f>E76-D76</f>
      </c>
      <c r="F80" s="463">
        <f>F76-E76</f>
      </c>
      <c r="G80" s="293"/>
      <c r="H80" s="470">
        <f>H76-F76</f>
      </c>
      <c r="I80" s="463">
        <f>I76-H76</f>
      </c>
      <c r="J80" s="463">
        <f>J76-I76</f>
      </c>
      <c r="K80" s="463">
        <f>K76-J76</f>
      </c>
      <c r="L80" s="293"/>
      <c r="M80" s="470">
        <f>M76-K76</f>
      </c>
      <c r="N80" s="463">
        <f>N76-M76</f>
      </c>
      <c r="O80" s="463">
        <f>O76-N76</f>
      </c>
      <c r="P80" s="463">
        <f>P76-O76</f>
      </c>
      <c r="Q80" s="293"/>
      <c r="R80" s="470">
        <f>R76-P76</f>
      </c>
      <c r="S80" s="463">
        <f>S76-R76</f>
      </c>
      <c r="T80" s="463">
        <f>T76-S76</f>
      </c>
      <c r="U80" s="463">
        <f>U76-T76</f>
      </c>
      <c r="V80" s="293"/>
      <c r="W80" s="470">
        <f>W76-U76</f>
      </c>
      <c r="X80" s="463">
        <f>X76-W76</f>
      </c>
      <c r="Y80" s="463">
        <f>Y76-X76</f>
      </c>
      <c r="Z80" s="463">
        <f>Z76-Y76</f>
      </c>
      <c r="AA80" s="293"/>
      <c r="AB80" s="470">
        <f>AB76-Z76</f>
      </c>
      <c r="AC80" s="463">
        <f>AC76-AB76</f>
      </c>
      <c r="AD80" s="463">
        <f>AD76-AC76</f>
      </c>
      <c r="AE80" s="463">
        <f>AE76-AD76</f>
      </c>
      <c r="AF80" s="293"/>
      <c r="AG80" s="470">
        <f>AG76-AE76</f>
      </c>
      <c r="AH80" s="463">
        <f>AH76-AG76</f>
      </c>
      <c r="AI80" s="463">
        <f>AI76-AH76</f>
      </c>
      <c r="AJ80" s="463">
        <f>AJ76-AI76</f>
      </c>
      <c r="AK80" s="293"/>
      <c r="AL80" s="470">
        <f>AL76-AJ76</f>
      </c>
      <c r="AM80" s="463">
        <f>AM76-AL76</f>
      </c>
      <c r="AN80" s="463">
        <f>AN76-AM76</f>
      </c>
      <c r="AO80" s="463">
        <f>AO76-AN76</f>
      </c>
      <c r="AP80" s="293"/>
      <c r="AQ80" s="470">
        <f>AQ76-AO76</f>
      </c>
      <c r="AR80" s="463">
        <f>AR76-AQ76</f>
      </c>
      <c r="AS80" s="463">
        <f>AS76-AR76</f>
      </c>
      <c r="AT80" s="463">
        <f>AT76-AS76</f>
      </c>
      <c r="AU80" s="293"/>
      <c r="AV80" s="470">
        <f>AV76-AT76</f>
      </c>
      <c r="AW80" s="463">
        <f>AW76-AV76</f>
      </c>
      <c r="AX80" s="463">
        <f>AX76-AW76</f>
      </c>
      <c r="AY80" s="463">
        <f>AY76-AX76</f>
      </c>
      <c r="AZ80" s="293"/>
      <c r="BA80" s="470">
        <f>BA76-AY76</f>
      </c>
      <c r="BB80" s="463">
        <f>BB76-BA76</f>
      </c>
      <c r="BC80" s="463">
        <f>BC76-BB76</f>
      </c>
      <c r="BD80" s="463">
        <f>BD76-BC76</f>
      </c>
      <c r="BE80" s="293"/>
      <c r="BF80" s="470">
        <f>BF76-BD76</f>
      </c>
      <c r="BG80" s="463">
        <f>BG76-BF76</f>
      </c>
      <c r="BH80" s="463">
        <f>BH76-BG76</f>
      </c>
      <c r="BI80" s="463">
        <f>BI76-BH76</f>
      </c>
      <c r="BJ80" s="293"/>
      <c r="BK80" s="470">
        <f>BK76-BI76</f>
      </c>
      <c r="BL80" s="463">
        <f>BL76-BK76</f>
      </c>
      <c r="BM80" s="463">
        <f>BM76-BL76</f>
      </c>
      <c r="BN80" s="463">
        <f>BN76-BM76</f>
      </c>
      <c r="BO80" s="293"/>
      <c r="BP80" s="470">
        <f>BP76-BN76</f>
      </c>
      <c r="BQ80" s="463">
        <f>BQ76-BP76</f>
      </c>
      <c r="BR80" s="463">
        <f>BR76-BQ76</f>
      </c>
      <c r="BS80" s="463">
        <f>BS76-BR76</f>
      </c>
      <c r="BT80" s="293"/>
      <c r="BU80" s="470">
        <f>BU76-BS76</f>
      </c>
      <c r="BV80" s="463">
        <f>BV76-BU76</f>
      </c>
      <c r="BW80" s="463">
        <f>BW76-BV76</f>
      </c>
      <c r="BX80" s="463">
        <f>BX76-BW76</f>
      </c>
      <c r="BY80" s="293"/>
      <c r="BZ80" s="470">
        <f>BZ76-BX76</f>
      </c>
      <c r="CA80" s="463">
        <f>CA76-BZ76</f>
      </c>
      <c r="CB80" s="463">
        <f>CB76-CA76</f>
      </c>
      <c r="CC80" s="463">
        <f>CC76-CB76</f>
      </c>
      <c r="CD80" s="293"/>
      <c r="CE80" s="470">
        <f>CE76-CC76</f>
      </c>
      <c r="CF80" s="463">
        <f>CF76-CE76</f>
      </c>
      <c r="CG80" s="463">
        <f>CG76-CF76</f>
      </c>
      <c r="CH80" s="463">
        <f>CH76-CG76</f>
      </c>
      <c r="CI80" s="293"/>
      <c r="CJ80" s="470">
        <f>CJ76-CH76</f>
      </c>
      <c r="CK80" s="463">
        <f>CK76-CJ76</f>
      </c>
      <c r="CL80" s="463">
        <f>CL76-CK76</f>
      </c>
      <c r="CM80" s="463">
        <f>CM76-CL76</f>
      </c>
      <c r="CN80" s="293"/>
      <c r="CO80" s="470">
        <f>CO76-CM76</f>
      </c>
      <c r="CP80" s="463">
        <f>CP76-CO76</f>
      </c>
      <c r="CQ80" s="463">
        <f>CQ76-CP76</f>
      </c>
      <c r="CR80" s="463">
        <f>CR76-CQ76</f>
      </c>
      <c r="CS80" s="293"/>
      <c r="CT80" s="470">
        <f>CT76-CR76</f>
      </c>
      <c r="CU80" s="463">
        <f>CU76-CT76</f>
      </c>
      <c r="CV80" s="463">
        <f>CV76-CU76</f>
      </c>
      <c r="CW80" s="463">
        <f>CW76-CV76</f>
      </c>
      <c r="CX80" s="293"/>
      <c r="CY80" s="470">
        <f>CY76-CW76</f>
      </c>
      <c r="CZ80" s="463">
        <f>CZ76-CY76</f>
      </c>
      <c r="DA80" s="463">
        <f>DA76-CZ76</f>
      </c>
      <c r="DB80" s="463">
        <f>DB76-DA76</f>
      </c>
      <c r="DC80" s="293"/>
      <c r="DD80" s="470">
        <f>DD76-DB76</f>
      </c>
      <c r="DE80" s="463">
        <f>DE76-DD76</f>
      </c>
      <c r="DF80" s="463">
        <f>DF76-DE76</f>
      </c>
      <c r="DG80" s="463">
        <f>DG76-DF76</f>
      </c>
      <c r="DH80" s="293"/>
      <c r="DI80" s="470">
        <f>DI76-DG76</f>
      </c>
      <c r="DJ80" s="463">
        <f>DJ76-DI76</f>
      </c>
      <c r="DK80" s="463">
        <f>DK76-DJ76</f>
      </c>
      <c r="DL80" s="463">
        <f>DL76-DK76</f>
      </c>
      <c r="DM80" s="293"/>
      <c r="DN80" s="470">
        <f>DN76-DL76</f>
      </c>
      <c r="DO80" s="463">
        <f>DO76-DN76</f>
      </c>
      <c r="DP80" s="463">
        <f>DP76-DO76</f>
      </c>
      <c r="DQ80" s="463">
        <f>DQ76-DP76</f>
      </c>
      <c r="DR80" s="293"/>
      <c r="DS80" s="470">
        <f>DS76-DQ76</f>
      </c>
      <c r="DT80" s="463">
        <f>DT76-DS76</f>
      </c>
      <c r="DU80" s="463">
        <f>DU76-DT76</f>
      </c>
      <c r="DV80" s="463">
        <f>DV76-DU76</f>
      </c>
      <c r="DW80" s="293"/>
      <c r="DX80" s="470">
        <f>DX76-DV76</f>
      </c>
      <c r="DY80" s="463">
        <f>DY76-DX76</f>
      </c>
      <c r="DZ80" s="463">
        <f>DZ76-DY76</f>
      </c>
      <c r="EA80" s="463">
        <f>EA76-DZ76</f>
      </c>
      <c r="EB80" s="293"/>
      <c r="EC80" s="470">
        <f>EC76-EA76</f>
      </c>
      <c r="ED80" s="463">
        <f>ED76-EC76</f>
      </c>
      <c r="EE80" s="463">
        <f>EE76-ED76</f>
      </c>
      <c r="EF80" s="463">
        <f>EF76-EE76</f>
      </c>
      <c r="EG80" s="293"/>
      <c r="EH80" s="470">
        <f>EH76-EF76</f>
      </c>
      <c r="EI80" s="463">
        <f>EI76-EH76</f>
      </c>
      <c r="EJ80" s="463">
        <f>EJ76-EI76</f>
      </c>
      <c r="EK80" s="463">
        <f>EK76-EJ76</f>
      </c>
      <c r="EL80" s="293"/>
      <c r="EM80" s="470">
        <f>EM76-EK76</f>
      </c>
      <c r="EN80" s="463">
        <f>EN76-EM76</f>
      </c>
      <c r="EO80" s="463">
        <f>EO76-EN76</f>
      </c>
      <c r="EP80" s="463">
        <f>EP76-EO76</f>
      </c>
      <c r="EQ80" s="293"/>
      <c r="ER80" s="470">
        <f>ER76-EP76</f>
      </c>
      <c r="ES80" s="463">
        <f>ES76-ER76</f>
      </c>
      <c r="ET80" s="1399">
        <f>ET76-ES76</f>
      </c>
      <c r="EU80" s="1399">
        <f>EU76-ET76</f>
      </c>
      <c r="EV80" s="293"/>
      <c r="EW80" s="1590">
        <f>EW76-EU76</f>
      </c>
      <c r="EX80" s="1399">
        <f>EX76-EW76</f>
      </c>
      <c r="EY80" s="1399">
        <f>EY76-EX76</f>
      </c>
      <c r="EZ80" s="1399">
        <f>EZ76-EY76</f>
      </c>
      <c r="FA80" s="293"/>
      <c r="FB80" s="470">
        <f>FB76-EZ76</f>
      </c>
      <c r="FC80" s="463">
        <f>FC76-FB76</f>
      </c>
      <c r="FD80" s="1399">
        <f>FD76-FC76</f>
      </c>
      <c r="FE80" s="463">
        <f>FE76-FD76</f>
      </c>
      <c r="FF80" s="293"/>
      <c r="FG80" s="470">
        <f>FG76-FE76</f>
      </c>
      <c r="FH80" s="463">
        <f>FH76-FG76</f>
      </c>
      <c r="FI80" s="463">
        <f>FI76-FH76</f>
      </c>
      <c r="FJ80" s="463">
        <f>FJ76-FI76</f>
      </c>
      <c r="FK80" s="293"/>
      <c r="FL80" s="470">
        <f>FL76-FJ76</f>
      </c>
      <c r="FM80" s="463">
        <f>FM76-FL76</f>
      </c>
      <c r="FN80" s="463">
        <f>FN76-FM76</f>
      </c>
      <c r="FO80" s="463">
        <f>FO76-FN76</f>
      </c>
      <c r="FP80" s="293"/>
      <c r="FQ80" s="470">
        <f>FQ76-FO76</f>
      </c>
      <c r="FR80" s="463">
        <f>FR76-FQ76</f>
      </c>
      <c r="FS80" s="463">
        <f>FS76-FR76</f>
      </c>
      <c r="FT80" s="463">
        <f>FT76-FS76</f>
      </c>
      <c r="FU80" s="293"/>
      <c r="FV80" s="470">
        <f>FV76-FT76</f>
      </c>
      <c r="FW80" s="463">
        <f>FW76-FV76</f>
      </c>
      <c r="FX80" s="463">
        <f>FX76-FW76</f>
      </c>
      <c r="FY80" s="463">
        <f>FY76-FX76</f>
      </c>
      <c r="FZ80" s="293"/>
      <c r="GA80" s="470">
        <f>GA76-FY76</f>
      </c>
      <c r="GB80" s="463">
        <f>GB76-GA76</f>
      </c>
      <c r="GC80" s="463">
        <f>GC76-GB76</f>
      </c>
      <c r="GD80" s="463">
        <f>GD76-GC76</f>
      </c>
      <c r="GE80" s="293"/>
      <c r="GF80" s="470">
        <f>GF76-GD76</f>
      </c>
      <c r="GG80" s="463">
        <f>GG76-GF76</f>
      </c>
      <c r="GH80" s="463">
        <f>GH76-GG76</f>
      </c>
      <c r="GI80" s="463">
        <f>GI76-GH76</f>
      </c>
      <c r="GJ80" s="293"/>
    </row>
    <row r="81" spans="1:192" s="1241" customFormat="1" ht="12.75" customHeight="1">
      <c r="A81" s="1254"/>
      <c r="B81" s="618" t="s">
        <v>257</v>
      </c>
      <c r="C81" s="924">
        <f t="shared" ref="C81:AH81" si="149">IFERROR(C76/C$24,"")</f>
      </c>
      <c r="D81" s="924">
        <f t="shared" si="149"/>
      </c>
      <c r="E81" s="924">
        <f t="shared" si="149"/>
      </c>
      <c r="F81" s="924">
        <f t="shared" si="149"/>
      </c>
      <c r="G81" s="1240">
        <f t="shared" si="149"/>
      </c>
      <c r="H81" s="924">
        <f t="shared" si="149"/>
      </c>
      <c r="I81" s="924">
        <f t="shared" si="149"/>
      </c>
      <c r="J81" s="924">
        <f t="shared" si="149"/>
      </c>
      <c r="K81" s="924">
        <f t="shared" si="149"/>
      </c>
      <c r="L81" s="1240">
        <f t="shared" si="149"/>
      </c>
      <c r="M81" s="924">
        <f t="shared" si="149"/>
      </c>
      <c r="N81" s="924">
        <f t="shared" si="149"/>
      </c>
      <c r="O81" s="924">
        <f t="shared" si="149"/>
      </c>
      <c r="P81" s="924">
        <f t="shared" si="149"/>
      </c>
      <c r="Q81" s="1240">
        <f t="shared" si="149"/>
      </c>
      <c r="R81" s="924">
        <f t="shared" si="149"/>
      </c>
      <c r="S81" s="924">
        <f t="shared" si="149"/>
      </c>
      <c r="T81" s="924">
        <f t="shared" si="149"/>
      </c>
      <c r="U81" s="924">
        <f t="shared" si="149"/>
      </c>
      <c r="V81" s="1240">
        <f t="shared" si="149"/>
      </c>
      <c r="W81" s="924">
        <f t="shared" si="149"/>
      </c>
      <c r="X81" s="924">
        <f t="shared" si="149"/>
      </c>
      <c r="Y81" s="924">
        <f t="shared" si="149"/>
      </c>
      <c r="Z81" s="924">
        <f t="shared" si="149"/>
      </c>
      <c r="AA81" s="1240">
        <f t="shared" si="149"/>
      </c>
      <c r="AB81" s="924">
        <f t="shared" si="149"/>
      </c>
      <c r="AC81" s="924">
        <f t="shared" si="149"/>
      </c>
      <c r="AD81" s="924">
        <f t="shared" si="149"/>
      </c>
      <c r="AE81" s="924">
        <f t="shared" si="149"/>
      </c>
      <c r="AF81" s="1240">
        <f t="shared" si="149"/>
      </c>
      <c r="AG81" s="924">
        <f t="shared" si="149"/>
      </c>
      <c r="AH81" s="924">
        <f t="shared" si="149"/>
      </c>
      <c r="AI81" s="924">
        <f t="shared" ref="AI81:BN81" si="150">IFERROR(AI76/AI$24,"")</f>
      </c>
      <c r="AJ81" s="924">
        <f t="shared" si="150"/>
      </c>
      <c r="AK81" s="1240">
        <f t="shared" si="150"/>
      </c>
      <c r="AL81" s="924">
        <f t="shared" si="150"/>
      </c>
      <c r="AM81" s="924">
        <f t="shared" si="150"/>
      </c>
      <c r="AN81" s="924">
        <f t="shared" si="150"/>
      </c>
      <c r="AO81" s="924">
        <f t="shared" si="150"/>
      </c>
      <c r="AP81" s="1240">
        <f t="shared" si="150"/>
      </c>
      <c r="AQ81" s="924">
        <f t="shared" si="150"/>
      </c>
      <c r="AR81" s="924">
        <f t="shared" si="150"/>
      </c>
      <c r="AS81" s="924">
        <f t="shared" si="150"/>
      </c>
      <c r="AT81" s="924">
        <f t="shared" si="150"/>
      </c>
      <c r="AU81" s="1240">
        <f t="shared" si="150"/>
      </c>
      <c r="AV81" s="924">
        <f t="shared" si="150"/>
      </c>
      <c r="AW81" s="924">
        <f t="shared" si="150"/>
      </c>
      <c r="AX81" s="924">
        <f t="shared" si="150"/>
      </c>
      <c r="AY81" s="924">
        <f t="shared" si="150"/>
      </c>
      <c r="AZ81" s="1240">
        <f t="shared" si="150"/>
      </c>
      <c r="BA81" s="924">
        <f t="shared" si="150"/>
      </c>
      <c r="BB81" s="924">
        <f t="shared" si="150"/>
      </c>
      <c r="BC81" s="924">
        <f t="shared" si="150"/>
      </c>
      <c r="BD81" s="924">
        <f t="shared" si="150"/>
      </c>
      <c r="BE81" s="1240">
        <f t="shared" si="150"/>
      </c>
      <c r="BF81" s="924">
        <f t="shared" si="150"/>
      </c>
      <c r="BG81" s="924">
        <f t="shared" si="150"/>
      </c>
      <c r="BH81" s="924">
        <f t="shared" si="150"/>
      </c>
      <c r="BI81" s="924">
        <f t="shared" si="150"/>
      </c>
      <c r="BJ81" s="1240">
        <f t="shared" si="150"/>
      </c>
      <c r="BK81" s="924">
        <f t="shared" si="150"/>
      </c>
      <c r="BL81" s="924">
        <f t="shared" si="150"/>
      </c>
      <c r="BM81" s="924">
        <f t="shared" si="150"/>
      </c>
      <c r="BN81" s="924">
        <f t="shared" si="150"/>
      </c>
      <c r="BO81" s="1240">
        <f t="shared" ref="BO81:CT81" si="151">IFERROR(BO76/BO$24,"")</f>
      </c>
      <c r="BP81" s="924">
        <f t="shared" si="151"/>
      </c>
      <c r="BQ81" s="924">
        <f t="shared" si="151"/>
      </c>
      <c r="BR81" s="924">
        <f t="shared" si="151"/>
      </c>
      <c r="BS81" s="924">
        <f t="shared" si="151"/>
      </c>
      <c r="BT81" s="1240">
        <f t="shared" si="151"/>
      </c>
      <c r="BU81" s="924">
        <f t="shared" si="151"/>
      </c>
      <c r="BV81" s="924">
        <f t="shared" si="151"/>
      </c>
      <c r="BW81" s="924">
        <f t="shared" si="151"/>
      </c>
      <c r="BX81" s="924">
        <f t="shared" si="151"/>
      </c>
      <c r="BY81" s="1240">
        <f t="shared" si="151"/>
      </c>
      <c r="BZ81" s="924">
        <f t="shared" si="151"/>
      </c>
      <c r="CA81" s="924">
        <f t="shared" si="151"/>
      </c>
      <c r="CB81" s="924">
        <f t="shared" si="151"/>
      </c>
      <c r="CC81" s="924">
        <f t="shared" si="151"/>
      </c>
      <c r="CD81" s="1240">
        <f t="shared" si="151"/>
      </c>
      <c r="CE81" s="924">
        <f t="shared" si="151"/>
      </c>
      <c r="CF81" s="924">
        <f t="shared" si="151"/>
      </c>
      <c r="CG81" s="924">
        <f t="shared" si="151"/>
      </c>
      <c r="CH81" s="924">
        <f t="shared" si="151"/>
      </c>
      <c r="CI81" s="1240">
        <f t="shared" si="151"/>
      </c>
      <c r="CJ81" s="924">
        <f t="shared" si="151"/>
      </c>
      <c r="CK81" s="924">
        <f t="shared" si="151"/>
      </c>
      <c r="CL81" s="924">
        <f t="shared" si="151"/>
      </c>
      <c r="CM81" s="924">
        <f t="shared" si="151"/>
      </c>
      <c r="CN81" s="1240">
        <f t="shared" si="151"/>
      </c>
      <c r="CO81" s="924">
        <f t="shared" si="151"/>
      </c>
      <c r="CP81" s="924">
        <f t="shared" si="151"/>
      </c>
      <c r="CQ81" s="924">
        <f t="shared" si="151"/>
      </c>
      <c r="CR81" s="924">
        <f t="shared" si="151"/>
      </c>
      <c r="CS81" s="1240">
        <f t="shared" si="151"/>
      </c>
      <c r="CT81" s="924">
        <f t="shared" si="151"/>
      </c>
      <c r="CU81" s="924">
        <f t="shared" ref="CU81:DZ81" si="152">IFERROR(CU76/CU$24,"")</f>
      </c>
      <c r="CV81" s="924">
        <f t="shared" si="152"/>
      </c>
      <c r="CW81" s="924">
        <f t="shared" si="152"/>
      </c>
      <c r="CX81" s="1240">
        <f t="shared" si="152"/>
      </c>
      <c r="CY81" s="924">
        <f t="shared" si="152"/>
      </c>
      <c r="CZ81" s="924">
        <f t="shared" si="152"/>
      </c>
      <c r="DA81" s="924">
        <f t="shared" si="152"/>
      </c>
      <c r="DB81" s="924">
        <f t="shared" si="152"/>
      </c>
      <c r="DC81" s="1240">
        <f t="shared" si="152"/>
      </c>
      <c r="DD81" s="924">
        <f t="shared" si="152"/>
      </c>
      <c r="DE81" s="924">
        <f t="shared" si="152"/>
      </c>
      <c r="DF81" s="924">
        <f t="shared" si="152"/>
      </c>
      <c r="DG81" s="924">
        <f t="shared" si="152"/>
      </c>
      <c r="DH81" s="1240">
        <f t="shared" si="152"/>
      </c>
      <c r="DI81" s="924">
        <f t="shared" si="152"/>
      </c>
      <c r="DJ81" s="924">
        <f t="shared" si="152"/>
      </c>
      <c r="DK81" s="924">
        <f t="shared" si="152"/>
      </c>
      <c r="DL81" s="924">
        <f t="shared" si="152"/>
      </c>
      <c r="DM81" s="1240">
        <f t="shared" si="152"/>
      </c>
      <c r="DN81" s="924">
        <f t="shared" si="152"/>
      </c>
      <c r="DO81" s="924">
        <f t="shared" si="152"/>
      </c>
      <c r="DP81" s="924">
        <f t="shared" si="152"/>
      </c>
      <c r="DQ81" s="924">
        <f t="shared" si="152"/>
      </c>
      <c r="DR81" s="1240">
        <f t="shared" si="152"/>
      </c>
      <c r="DS81" s="924">
        <f t="shared" si="152"/>
      </c>
      <c r="DT81" s="924">
        <f t="shared" si="152"/>
      </c>
      <c r="DU81" s="924">
        <f t="shared" si="152"/>
      </c>
      <c r="DV81" s="924">
        <f t="shared" si="152"/>
      </c>
      <c r="DW81" s="1240">
        <f t="shared" si="152"/>
      </c>
      <c r="DX81" s="924">
        <f t="shared" si="152"/>
      </c>
      <c r="DY81" s="924">
        <f t="shared" si="152"/>
      </c>
      <c r="DZ81" s="924">
        <f t="shared" si="152"/>
      </c>
      <c r="EA81" s="924">
        <f t="shared" ref="EA81:ER81" si="153">IFERROR(EA76/EA$24,"")</f>
      </c>
      <c r="EB81" s="1240">
        <f t="shared" si="153"/>
      </c>
      <c r="EC81" s="924">
        <f t="shared" si="153"/>
      </c>
      <c r="ED81" s="924">
        <f t="shared" si="153"/>
      </c>
      <c r="EE81" s="924">
        <f t="shared" si="153"/>
      </c>
      <c r="EF81" s="924">
        <f t="shared" si="153"/>
      </c>
      <c r="EG81" s="1240">
        <f t="shared" si="153"/>
      </c>
      <c r="EH81" s="924">
        <f t="shared" si="153"/>
      </c>
      <c r="EI81" s="924">
        <f t="shared" si="153"/>
      </c>
      <c r="EJ81" s="924">
        <f t="shared" si="153"/>
      </c>
      <c r="EK81" s="924">
        <f t="shared" si="153"/>
      </c>
      <c r="EL81" s="1240">
        <f t="shared" si="153"/>
      </c>
      <c r="EM81" s="924">
        <f t="shared" si="153"/>
      </c>
      <c r="EN81" s="924">
        <f t="shared" si="153"/>
      </c>
      <c r="EO81" s="924">
        <f t="shared" si="153"/>
      </c>
      <c r="EP81" s="924">
        <f t="shared" si="153"/>
      </c>
      <c r="EQ81" s="1240">
        <f t="shared" si="153"/>
      </c>
      <c r="ER81" s="924">
        <f t="shared" si="153"/>
      </c>
      <c r="ES81" s="924">
        <f>IFERROR(ES76/ES$24,"")</f>
      </c>
      <c r="ET81" s="1356">
        <f>IFERROR(ET76/ET$24,"")</f>
      </c>
      <c r="EU81" s="1356">
        <f>IFERROR(EU76/EU$24,"")</f>
      </c>
      <c r="EV81" s="1240">
        <f>IFERROR(EV76/EV$24,"")</f>
      </c>
      <c r="EW81" s="1356">
        <f t="shared" ref="EW81" si="154">IFERROR(EW76/EW$24,"")</f>
      </c>
      <c r="EX81" s="1356">
        <f>IFERROR(EX76/EX$24,"")</f>
      </c>
      <c r="EY81" s="1356">
        <f>IFERROR(EY76/EY$24,"")</f>
      </c>
      <c r="EZ81" s="1356">
        <f>IFERROR(EZ76/EZ$24,"")</f>
      </c>
      <c r="FA81" s="1240">
        <f>IFERROR(FA76/FA$24,"")</f>
      </c>
      <c r="FB81" s="1117">
        <f>EW81-0.75%</f>
      </c>
      <c r="FC81" s="1117">
        <f t="shared" ref="FC81" si="155">EX81-0.9%</f>
      </c>
      <c r="FD81" s="1117">
        <f t="shared" ref="FD81" si="156">EY81-0.9%</f>
      </c>
      <c r="FE81" s="1117">
        <f t="shared" ref="FE81" si="157">EZ81-0.9%</f>
      </c>
      <c r="FF81" s="893">
        <f>IFERROR(FF76/FF$24,"--")</f>
      </c>
      <c r="FG81" s="1117">
        <f t="shared" ref="FG81:FJ81" si="158">FB81-0.25%</f>
      </c>
      <c r="FH81" s="1117">
        <f t="shared" si="158"/>
      </c>
      <c r="FI81" s="1117">
        <f t="shared" si="158"/>
      </c>
      <c r="FJ81" s="1117">
        <f t="shared" si="158"/>
      </c>
      <c r="FK81" s="893">
        <f>IFERROR(FK76/FK$24,"--")</f>
      </c>
      <c r="FL81" s="1117">
        <f>FG81-0.2%</f>
      </c>
      <c r="FM81" s="1117">
        <f>FH81-0.2%</f>
      </c>
      <c r="FN81" s="1117">
        <f>FI81-0.2%</f>
      </c>
      <c r="FO81" s="1117">
        <f>FJ81-0.2%</f>
      </c>
      <c r="FP81" s="893">
        <f>IFERROR(FP76/FP$24,"--")</f>
      </c>
      <c r="FQ81" s="1117">
        <f>FL81-0.2%</f>
      </c>
      <c r="FR81" s="1117">
        <f>FM81-0.2%</f>
      </c>
      <c r="FS81" s="1117">
        <f>FN81-0.2%</f>
      </c>
      <c r="FT81" s="1117">
        <f>FO81-0.2%</f>
      </c>
      <c r="FU81" s="893">
        <f>IFERROR(FU76/FU$24,"--")</f>
      </c>
      <c r="FV81" s="1117">
        <f>FQ81-0.2%</f>
      </c>
      <c r="FW81" s="1117">
        <f>FR81-0.2%</f>
      </c>
      <c r="FX81" s="1117">
        <f>FS81-0.2%</f>
      </c>
      <c r="FY81" s="1117">
        <f>FT81-0.2%</f>
      </c>
      <c r="FZ81" s="893">
        <f>IFERROR(FZ76/FZ$24,"--")</f>
      </c>
      <c r="GA81" s="1117">
        <f>FV81-0.2%</f>
      </c>
      <c r="GB81" s="1117">
        <f>FW81-0.2%</f>
      </c>
      <c r="GC81" s="1117">
        <f>FX81-0.2%</f>
      </c>
      <c r="GD81" s="1117">
        <f>FY81-0.2%</f>
      </c>
      <c r="GE81" s="893">
        <f>IFERROR(GE76/GE$24,"--")</f>
      </c>
      <c r="GF81" s="1117">
        <f>GA81-0.2%</f>
      </c>
      <c r="GG81" s="1117">
        <f>GB81-0.2%</f>
      </c>
      <c r="GH81" s="1117">
        <f>GC81-0.2%</f>
      </c>
      <c r="GI81" s="1117">
        <f>GD81-0.2%</f>
      </c>
      <c r="GJ81" s="893">
        <f>IFERROR(GJ76/GJ$24,"--")</f>
      </c>
    </row>
    <row r="82" spans="1:192" ht="12.75" customHeight="1">
      <c r="A82" s="790"/>
      <c r="B82" s="310"/>
      <c r="C82" s="106"/>
      <c r="D82" s="107"/>
      <c r="E82" s="107"/>
      <c r="F82" s="107"/>
      <c r="G82" s="293"/>
      <c r="H82" s="106"/>
      <c r="I82" s="107"/>
      <c r="J82" s="107"/>
      <c r="K82" s="107"/>
      <c r="L82" s="293"/>
      <c r="M82" s="106"/>
      <c r="N82" s="107"/>
      <c r="O82" s="107"/>
      <c r="P82" s="107"/>
      <c r="Q82" s="293"/>
      <c r="R82" s="106"/>
      <c r="S82" s="107"/>
      <c r="T82" s="107"/>
      <c r="U82" s="107"/>
      <c r="V82" s="293"/>
      <c r="W82" s="106"/>
      <c r="X82" s="107"/>
      <c r="Y82" s="107"/>
      <c r="Z82" s="107"/>
      <c r="AA82" s="293"/>
      <c r="AB82" s="106"/>
      <c r="AC82" s="107"/>
      <c r="AD82" s="107"/>
      <c r="AE82" s="107"/>
      <c r="AF82" s="293"/>
      <c r="AG82" s="106"/>
      <c r="AH82" s="107"/>
      <c r="AI82" s="107"/>
      <c r="AJ82" s="107"/>
      <c r="AK82" s="293"/>
      <c r="AL82" s="106"/>
      <c r="AM82" s="107"/>
      <c r="AN82" s="107"/>
      <c r="AO82" s="107"/>
      <c r="AP82" s="293"/>
      <c r="AQ82" s="106"/>
      <c r="AR82" s="107"/>
      <c r="AS82" s="107"/>
      <c r="AT82" s="107"/>
      <c r="AU82" s="293"/>
      <c r="AV82" s="106"/>
      <c r="AW82" s="107"/>
      <c r="AX82" s="107"/>
      <c r="AY82" s="107"/>
      <c r="AZ82" s="293"/>
      <c r="BA82" s="106"/>
      <c r="BB82" s="107"/>
      <c r="BC82" s="107"/>
      <c r="BD82" s="107"/>
      <c r="BE82" s="293"/>
      <c r="BF82" s="106"/>
      <c r="BG82" s="107"/>
      <c r="BH82" s="107"/>
      <c r="BI82" s="107"/>
      <c r="BJ82" s="293"/>
      <c r="BK82" s="106"/>
      <c r="BL82" s="107"/>
      <c r="BM82" s="107"/>
      <c r="BN82" s="107"/>
      <c r="BO82" s="293"/>
      <c r="BP82" s="106"/>
      <c r="BQ82" s="107"/>
      <c r="BR82" s="107"/>
      <c r="BS82" s="107"/>
      <c r="BT82" s="293"/>
      <c r="BU82" s="106"/>
      <c r="BV82" s="107"/>
      <c r="BW82" s="107"/>
      <c r="BX82" s="107"/>
      <c r="BY82" s="293"/>
      <c r="BZ82" s="106"/>
      <c r="CA82" s="107"/>
      <c r="CB82" s="107"/>
      <c r="CC82" s="107"/>
      <c r="CD82" s="293"/>
      <c r="CE82" s="106"/>
      <c r="CF82" s="107"/>
      <c r="CG82" s="107"/>
      <c r="CH82" s="107"/>
      <c r="CI82" s="293"/>
      <c r="CJ82" s="106"/>
      <c r="CK82" s="107"/>
      <c r="CL82" s="107"/>
      <c r="CM82" s="107"/>
      <c r="CN82" s="293"/>
      <c r="CO82" s="106"/>
      <c r="CP82" s="107"/>
      <c r="CQ82" s="107"/>
      <c r="CR82" s="107"/>
      <c r="CS82" s="293"/>
      <c r="CT82" s="106"/>
      <c r="CU82" s="107"/>
      <c r="CV82" s="107"/>
      <c r="CW82" s="107"/>
      <c r="CX82" s="293"/>
      <c r="CY82" s="106"/>
      <c r="CZ82" s="107"/>
      <c r="DA82" s="107"/>
      <c r="DB82" s="107"/>
      <c r="DC82" s="293"/>
      <c r="DD82" s="106"/>
      <c r="DE82" s="107"/>
      <c r="DF82" s="107"/>
      <c r="DG82" s="107"/>
      <c r="DH82" s="293"/>
      <c r="DI82" s="106"/>
      <c r="DJ82" s="107"/>
      <c r="DK82" s="107"/>
      <c r="DL82" s="107"/>
      <c r="DM82" s="293"/>
      <c r="DN82" s="106"/>
      <c r="DO82" s="107"/>
      <c r="DP82" s="107"/>
      <c r="DQ82" s="107"/>
      <c r="DR82" s="293"/>
      <c r="DS82" s="106"/>
      <c r="DT82" s="107"/>
      <c r="DU82" s="107"/>
      <c r="DV82" s="107"/>
      <c r="DW82" s="293"/>
      <c r="DX82" s="106"/>
      <c r="DY82" s="107"/>
      <c r="DZ82" s="107"/>
      <c r="EA82" s="107"/>
      <c r="EB82" s="293"/>
      <c r="EC82" s="106"/>
      <c r="ED82" s="107"/>
      <c r="EE82" s="107"/>
      <c r="EF82" s="107"/>
      <c r="EG82" s="293"/>
      <c r="EH82" s="106"/>
      <c r="EI82" s="107"/>
      <c r="EJ82" s="107"/>
      <c r="EK82" s="107"/>
      <c r="EL82" s="293"/>
      <c r="EM82" s="106"/>
      <c r="EN82" s="107"/>
      <c r="EO82" s="107"/>
      <c r="EP82" s="107"/>
      <c r="EQ82" s="293"/>
      <c r="ER82" s="106"/>
      <c r="ES82" s="107"/>
      <c r="ET82" s="468"/>
      <c r="EU82" s="468"/>
      <c r="EV82" s="293"/>
      <c r="EW82" s="882"/>
      <c r="EX82" s="468"/>
      <c r="EY82" s="468"/>
      <c r="EZ82" s="468"/>
      <c r="FA82" s="293"/>
      <c r="FB82" s="106"/>
      <c r="FC82" s="107"/>
      <c r="FD82" s="107"/>
      <c r="FE82" s="107"/>
      <c r="FF82" s="293"/>
      <c r="FG82" s="106"/>
      <c r="FH82" s="107"/>
      <c r="FI82" s="107"/>
      <c r="FJ82" s="107"/>
      <c r="FK82" s="293"/>
      <c r="FL82" s="106"/>
      <c r="FM82" s="107"/>
      <c r="FN82" s="107"/>
      <c r="FO82" s="107"/>
      <c r="FP82" s="293"/>
      <c r="FQ82" s="106"/>
      <c r="FR82" s="107"/>
      <c r="FS82" s="107"/>
      <c r="FT82" s="107"/>
      <c r="FU82" s="293"/>
      <c r="FV82" s="106"/>
      <c r="FW82" s="107"/>
      <c r="FX82" s="107"/>
      <c r="FY82" s="107"/>
      <c r="FZ82" s="293"/>
      <c r="GA82" s="106"/>
      <c r="GB82" s="107"/>
      <c r="GC82" s="107"/>
      <c r="GD82" s="107"/>
      <c r="GE82" s="293"/>
      <c r="GF82" s="106"/>
      <c r="GG82" s="107"/>
      <c r="GH82" s="107"/>
      <c r="GI82" s="107"/>
      <c r="GJ82" s="293"/>
    </row>
    <row r="83" spans="1:192" s="461" customFormat="1" ht="12.75" customHeight="1">
      <c r="A83" s="370"/>
      <c r="B83" s="625" t="s">
        <v>146</v>
      </c>
      <c r="C83" s="626">
        <v>395</v>
      </c>
      <c r="D83" s="626">
        <v>479</v>
      </c>
      <c r="E83" s="626">
        <v>516</v>
      </c>
      <c r="F83" s="626">
        <v>505</v>
      </c>
      <c r="G83" s="627">
        <f>SUM(C83:F83)</f>
      </c>
      <c r="H83" s="626">
        <v>621</v>
      </c>
      <c r="I83" s="626">
        <v>690</v>
      </c>
      <c r="J83" s="626">
        <v>685</v>
      </c>
      <c r="K83" s="626">
        <v>661</v>
      </c>
      <c r="L83" s="627">
        <f>SUM(H83:K83)</f>
      </c>
      <c r="M83" s="626">
        <v>625</v>
      </c>
      <c r="N83" s="626">
        <v>737</v>
      </c>
      <c r="O83" s="626">
        <v>750</v>
      </c>
      <c r="P83" s="626">
        <v>744</v>
      </c>
      <c r="Q83" s="627">
        <f>SUM(M83:P83)</f>
      </c>
      <c r="R83" s="626">
        <v>788</v>
      </c>
      <c r="S83" s="626">
        <v>876</v>
      </c>
      <c r="T83" s="626">
        <v>829</v>
      </c>
      <c r="U83" s="626">
        <v>919</v>
      </c>
      <c r="V83" s="627">
        <f>SUM(R83:U83)</f>
      </c>
      <c r="W83" s="626">
        <v>688</v>
      </c>
      <c r="X83" s="626">
        <v>794</v>
      </c>
      <c r="Y83" s="626">
        <v>849</v>
      </c>
      <c r="Z83" s="626">
        <v>900</v>
      </c>
      <c r="AA83" s="627">
        <f>SUM(W83:Z83)</f>
      </c>
      <c r="AB83" s="626">
        <v>903</v>
      </c>
      <c r="AC83" s="626">
        <v>1027</v>
      </c>
      <c r="AD83" s="626">
        <v>1042</v>
      </c>
      <c r="AE83" s="626">
        <v>1169</v>
      </c>
      <c r="AF83" s="627">
        <f>SUM(AB83:AE83)</f>
      </c>
      <c r="AG83" s="626">
        <v>1038</v>
      </c>
      <c r="AH83" s="626">
        <v>1290</v>
      </c>
      <c r="AI83" s="626">
        <v>1198</v>
      </c>
      <c r="AJ83" s="626">
        <v>1359</v>
      </c>
      <c r="AK83" s="627">
        <f>SUM(AG83:AJ83)</f>
      </c>
      <c r="AL83" s="626">
        <v>1145</v>
      </c>
      <c r="AM83" s="626">
        <v>1479</v>
      </c>
      <c r="AN83" s="626">
        <v>1240</v>
      </c>
      <c r="AO83" s="626">
        <v>1543</v>
      </c>
      <c r="AP83" s="627">
        <f>SUM(AL83:AO83)</f>
      </c>
      <c r="AQ83" s="626">
        <v>1415</v>
      </c>
      <c r="AR83" s="626">
        <v>2159</v>
      </c>
      <c r="AS83" s="626">
        <v>1700</v>
      </c>
      <c r="AT83" s="626">
        <v>2288</v>
      </c>
      <c r="AU83" s="627">
        <f>SUM(AQ83:AT83)</f>
      </c>
      <c r="AV83" s="626">
        <v>1505</v>
      </c>
      <c r="AW83" s="626">
        <v>2467</v>
      </c>
      <c r="AX83" s="626">
        <v>1928</v>
      </c>
      <c r="AY83" s="626">
        <v>2409</v>
      </c>
      <c r="AZ83" s="627">
        <f>SUM(AV83:AY83)</f>
      </c>
      <c r="BA83" s="626">
        <v>1664</v>
      </c>
      <c r="BB83" s="626">
        <v>2122</v>
      </c>
      <c r="BC83" s="626">
        <v>2070</v>
      </c>
      <c r="BD83" s="626">
        <f>8677-BC83-BB83-BA83</f>
      </c>
      <c r="BE83" s="627">
        <f>SUM(BA83:BD83)</f>
      </c>
      <c r="BF83" s="626">
        <v>1945</v>
      </c>
      <c r="BG83" s="626">
        <v>2689</v>
      </c>
      <c r="BH83" s="626">
        <v>2362</v>
      </c>
      <c r="BI83" s="626">
        <v>2822</v>
      </c>
      <c r="BJ83" s="627">
        <f>SUM(BF83:BI83)</f>
      </c>
      <c r="BK83" s="626">
        <v>2191</v>
      </c>
      <c r="BL83" s="626">
        <v>2999</v>
      </c>
      <c r="BM83" s="626">
        <v>2936</v>
      </c>
      <c r="BN83" s="626">
        <v>3329</v>
      </c>
      <c r="BO83" s="627">
        <f>SUM(BK83:BN83)</f>
      </c>
      <c r="BP83" s="626">
        <v>2614</v>
      </c>
      <c r="BQ83" s="626">
        <v>3392</v>
      </c>
      <c r="BR83" s="626">
        <v>3155</v>
      </c>
      <c r="BS83" s="626">
        <v>3878</v>
      </c>
      <c r="BT83" s="627">
        <f>SUM(BP83:BS83)</f>
      </c>
      <c r="BU83" s="626">
        <v>3044</v>
      </c>
      <c r="BV83" s="626">
        <v>3662</v>
      </c>
      <c r="BW83" s="626">
        <v>2981</v>
      </c>
      <c r="BX83" s="626">
        <v>3192</v>
      </c>
      <c r="BY83" s="627">
        <f>SUM(BU83:BX83)</f>
      </c>
      <c r="BZ83" s="626">
        <v>2790</v>
      </c>
      <c r="CA83" s="626">
        <v>3619</v>
      </c>
      <c r="CB83" s="626">
        <v>3203</v>
      </c>
      <c r="CC83" s="626">
        <v>3602</v>
      </c>
      <c r="CD83" s="627">
        <f>SUM(BZ83:CC83)</f>
      </c>
      <c r="CE83" s="626">
        <v>2806</v>
      </c>
      <c r="CF83" s="626">
        <v>3825</v>
      </c>
      <c r="CG83" s="626">
        <v>3393</v>
      </c>
      <c r="CH83" s="626">
        <v>3916</v>
      </c>
      <c r="CI83" s="627">
        <f>SUM(CE83:CH83)</f>
      </c>
      <c r="CJ83" s="626">
        <v>2900</v>
      </c>
      <c r="CK83" s="626">
        <v>3762</v>
      </c>
      <c r="CL83" s="626">
        <v>3414</v>
      </c>
      <c r="CM83" s="626">
        <v>3781</v>
      </c>
      <c r="CN83" s="627">
        <f>SUM(CJ83:CM83)</f>
      </c>
      <c r="CO83" s="626">
        <v>2945</v>
      </c>
      <c r="CP83" s="626">
        <v>4309</v>
      </c>
      <c r="CQ83" s="626">
        <v>3794</v>
      </c>
      <c r="CR83" s="626">
        <v>4228</v>
      </c>
      <c r="CS83" s="627">
        <f>SUM(CO83:CR83)</f>
      </c>
      <c r="CT83" s="626">
        <v>3304</v>
      </c>
      <c r="CU83" s="626">
        <v>4283</v>
      </c>
      <c r="CV83" s="626">
        <v>3542</v>
      </c>
      <c r="CW83" s="626">
        <v>4682</v>
      </c>
      <c r="CX83" s="627">
        <f>SUM(CT83:CW83)</f>
      </c>
      <c r="CY83" s="626">
        <v>3728</v>
      </c>
      <c r="CZ83" s="626">
        <v>4315</v>
      </c>
      <c r="DA83" s="626">
        <v>3709</v>
      </c>
      <c r="DB83" s="626">
        <v>3961</v>
      </c>
      <c r="DC83" s="627">
        <f>SUM(CY83:DB83)</f>
      </c>
      <c r="DD83" s="626">
        <v>3333</v>
      </c>
      <c r="DE83" s="626">
        <v>3960</v>
      </c>
      <c r="DF83" s="626">
        <v>3406</v>
      </c>
      <c r="DG83" s="626">
        <v>3998</v>
      </c>
      <c r="DH83" s="627">
        <f>SUM(DD83:DG83)</f>
      </c>
      <c r="DI83" s="626">
        <v>3218</v>
      </c>
      <c r="DJ83" s="626">
        <v>4079</v>
      </c>
      <c r="DK83" s="626">
        <v>3872</v>
      </c>
      <c r="DL83" s="626">
        <v>4292</v>
      </c>
      <c r="DM83" s="627">
        <f>SUM(DI83:DL83)</f>
      </c>
      <c r="DN83" s="626">
        <v>3812</v>
      </c>
      <c r="DO83" s="626">
        <v>4562</v>
      </c>
      <c r="DP83" s="626">
        <v>4335</v>
      </c>
      <c r="DQ83" s="626">
        <v>4760</v>
      </c>
      <c r="DR83" s="627">
        <f>SUM(DN83:DQ83)</f>
      </c>
      <c r="DS83" s="626">
        <v>4098</v>
      </c>
      <c r="DT83" s="626">
        <v>4588</v>
      </c>
      <c r="DU83" s="626">
        <v>4565</v>
      </c>
      <c r="DV83" s="626">
        <v>4962</v>
      </c>
      <c r="DW83" s="627">
        <f>SUM(DS83:DV83)</f>
      </c>
      <c r="DX83" s="626">
        <v>4337</v>
      </c>
      <c r="DY83" s="626">
        <v>4933</v>
      </c>
      <c r="DZ83" s="626">
        <v>4911</v>
      </c>
      <c r="EA83" s="626">
        <v>5417</v>
      </c>
      <c r="EB83" s="627">
        <f>SUM(DX83:EA83)</f>
      </c>
      <c r="EC83" s="626">
        <v>4231</v>
      </c>
      <c r="ED83" s="626">
        <v>4947</v>
      </c>
      <c r="EE83" s="626">
        <v>5082</v>
      </c>
      <c r="EF83" s="626">
        <v>5857</v>
      </c>
      <c r="EG83" s="627">
        <f>SUM(EC83:EF83)</f>
      </c>
      <c r="EH83" s="626">
        <v>4547</v>
      </c>
      <c r="EI83" s="626">
        <v>5379</v>
      </c>
      <c r="EJ83" s="626">
        <v>5595</v>
      </c>
      <c r="EK83" s="626">
        <v>6304</v>
      </c>
      <c r="EL83" s="627">
        <f>SUM(EH83:EK83)</f>
      </c>
      <c r="EM83" s="626">
        <v>5126</v>
      </c>
      <c r="EN83" s="626">
        <v>5679</v>
      </c>
      <c r="EO83" s="626">
        <v>5750</v>
      </c>
      <c r="EP83" s="626">
        <v>6204</v>
      </c>
      <c r="EQ83" s="627">
        <f>SUM(EM83:EP83)</f>
      </c>
      <c r="ER83" s="626">
        <v>5187</v>
      </c>
      <c r="ES83" s="626">
        <v>6246</v>
      </c>
      <c r="ET83" s="629">
        <v>6207</v>
      </c>
      <c r="EU83" s="629">
        <v>6816</v>
      </c>
      <c r="EV83" s="627">
        <f>SUM(ER83:EU83)</f>
      </c>
      <c r="EW83" s="629">
        <v>5717</v>
      </c>
      <c r="EX83" s="629">
        <v>6440</v>
      </c>
      <c r="EY83" s="629">
        <v>6212</v>
      </c>
      <c r="EZ83" s="629">
        <v>7285</v>
      </c>
      <c r="FA83" s="627">
        <f>SUM(EW83:EZ83)</f>
      </c>
      <c r="FB83" s="609">
        <f>FB$24*FB88</f>
      </c>
      <c r="FC83" s="609">
        <f>FC$24*FC88</f>
      </c>
      <c r="FD83" s="609">
        <f>FD$24*FD88</f>
      </c>
      <c r="FE83" s="609">
        <f>FE$24*FE88</f>
      </c>
      <c r="FF83" s="620">
        <f>SUM(FB83:FE83)</f>
      </c>
      <c r="FG83" s="609">
        <f>FG$24*FG88</f>
      </c>
      <c r="FH83" s="609">
        <f>FH$24*FH88</f>
      </c>
      <c r="FI83" s="609">
        <f>FI$24*FI88</f>
      </c>
      <c r="FJ83" s="609">
        <f>FJ$24*FJ88</f>
      </c>
      <c r="FK83" s="620">
        <f>SUM(FG83:FJ83)</f>
      </c>
      <c r="FL83" s="609">
        <f>FL$24*FL88</f>
      </c>
      <c r="FM83" s="609">
        <f>FM$24*FM88</f>
      </c>
      <c r="FN83" s="609">
        <f>FN$24*FN88</f>
      </c>
      <c r="FO83" s="609">
        <f>FO$24*FO88</f>
      </c>
      <c r="FP83" s="620">
        <f>SUM(FL83:FO83)</f>
      </c>
      <c r="FQ83" s="609">
        <f>FQ$24*FQ88</f>
      </c>
      <c r="FR83" s="609">
        <f>FR$24*FR88</f>
      </c>
      <c r="FS83" s="609">
        <f>FS$24*FS88</f>
      </c>
      <c r="FT83" s="609">
        <f>FT$24*FT88</f>
      </c>
      <c r="FU83" s="620">
        <f>SUM(FQ83:FT83)</f>
      </c>
      <c r="FV83" s="609">
        <f>FV$24*FV88</f>
      </c>
      <c r="FW83" s="609">
        <f>FW$24*FW88</f>
      </c>
      <c r="FX83" s="609">
        <f>FX$24*FX88</f>
      </c>
      <c r="FY83" s="609">
        <f>FY$24*FY88</f>
      </c>
      <c r="FZ83" s="620">
        <f>SUM(FV83:FY83)</f>
      </c>
      <c r="GA83" s="609">
        <f>GA$24*GA88</f>
      </c>
      <c r="GB83" s="609">
        <f>GB$24*GB88</f>
      </c>
      <c r="GC83" s="609">
        <f>GC$24*GC88</f>
      </c>
      <c r="GD83" s="609">
        <f>GD$24*GD88</f>
      </c>
      <c r="GE83" s="620">
        <f>SUM(GA83:GD83)</f>
      </c>
      <c r="GF83" s="609">
        <f>GF$24*GF88</f>
      </c>
      <c r="GG83" s="609">
        <f>GG$24*GG88</f>
      </c>
      <c r="GH83" s="609">
        <f>GH$24*GH88</f>
      </c>
      <c r="GI83" s="609">
        <f>GI$24*GI88</f>
      </c>
      <c r="GJ83" s="620">
        <f>SUM(GF83:GI83)</f>
      </c>
    </row>
    <row r="84" spans="1:192" ht="12.75" customHeight="1">
      <c r="A84" s="791"/>
      <c r="B84" s="617" t="s">
        <v>34</v>
      </c>
      <c r="C84" s="291"/>
      <c r="D84" s="107"/>
      <c r="E84" s="107"/>
      <c r="F84" s="107"/>
      <c r="G84" s="536"/>
      <c r="H84" s="291">
        <f t="shared" ref="H84:AM84" si="159">IFERROR(H83/C83-1,"")</f>
      </c>
      <c r="I84" s="107">
        <f t="shared" si="159"/>
      </c>
      <c r="J84" s="107">
        <f t="shared" si="159"/>
      </c>
      <c r="K84" s="107">
        <f t="shared" si="159"/>
      </c>
      <c r="L84" s="292">
        <f t="shared" si="159"/>
      </c>
      <c r="M84" s="291">
        <f t="shared" si="159"/>
      </c>
      <c r="N84" s="107">
        <f t="shared" si="159"/>
      </c>
      <c r="O84" s="107">
        <f t="shared" si="159"/>
      </c>
      <c r="P84" s="107">
        <f t="shared" si="159"/>
      </c>
      <c r="Q84" s="292">
        <f t="shared" si="159"/>
      </c>
      <c r="R84" s="291">
        <f t="shared" si="159"/>
      </c>
      <c r="S84" s="107">
        <f t="shared" si="159"/>
      </c>
      <c r="T84" s="107">
        <f t="shared" si="159"/>
      </c>
      <c r="U84" s="107">
        <f t="shared" si="159"/>
      </c>
      <c r="V84" s="292">
        <f t="shared" si="159"/>
      </c>
      <c r="W84" s="291">
        <f t="shared" si="159"/>
      </c>
      <c r="X84" s="107">
        <f t="shared" si="159"/>
      </c>
      <c r="Y84" s="107">
        <f t="shared" si="159"/>
      </c>
      <c r="Z84" s="107">
        <f t="shared" si="159"/>
      </c>
      <c r="AA84" s="292">
        <f t="shared" si="159"/>
      </c>
      <c r="AB84" s="291">
        <f t="shared" si="159"/>
      </c>
      <c r="AC84" s="107">
        <f t="shared" si="159"/>
      </c>
      <c r="AD84" s="107">
        <f t="shared" si="159"/>
      </c>
      <c r="AE84" s="107">
        <f t="shared" si="159"/>
      </c>
      <c r="AF84" s="292">
        <f t="shared" si="159"/>
      </c>
      <c r="AG84" s="291">
        <f t="shared" si="159"/>
      </c>
      <c r="AH84" s="107">
        <f t="shared" si="159"/>
      </c>
      <c r="AI84" s="107">
        <f t="shared" si="159"/>
      </c>
      <c r="AJ84" s="107">
        <f t="shared" si="159"/>
      </c>
      <c r="AK84" s="292">
        <f t="shared" si="159"/>
      </c>
      <c r="AL84" s="291">
        <f t="shared" si="159"/>
      </c>
      <c r="AM84" s="107">
        <f t="shared" si="159"/>
      </c>
      <c r="AN84" s="107">
        <f t="shared" ref="AN84:BS84" si="160">IFERROR(AN83/AI83-1,"")</f>
      </c>
      <c r="AO84" s="107">
        <f t="shared" si="160"/>
      </c>
      <c r="AP84" s="292">
        <f t="shared" si="160"/>
      </c>
      <c r="AQ84" s="291">
        <f t="shared" si="160"/>
      </c>
      <c r="AR84" s="107">
        <f t="shared" si="160"/>
      </c>
      <c r="AS84" s="107">
        <f t="shared" si="160"/>
      </c>
      <c r="AT84" s="107">
        <f t="shared" si="160"/>
      </c>
      <c r="AU84" s="292">
        <f t="shared" si="160"/>
      </c>
      <c r="AV84" s="291">
        <f t="shared" si="160"/>
      </c>
      <c r="AW84" s="107">
        <f t="shared" si="160"/>
      </c>
      <c r="AX84" s="107">
        <f t="shared" si="160"/>
      </c>
      <c r="AY84" s="107">
        <f t="shared" si="160"/>
      </c>
      <c r="AZ84" s="292">
        <f t="shared" si="160"/>
      </c>
      <c r="BA84" s="291">
        <f t="shared" si="160"/>
      </c>
      <c r="BB84" s="107">
        <f t="shared" si="160"/>
      </c>
      <c r="BC84" s="107">
        <f t="shared" si="160"/>
      </c>
      <c r="BD84" s="107">
        <f t="shared" si="160"/>
      </c>
      <c r="BE84" s="292">
        <f t="shared" si="160"/>
      </c>
      <c r="BF84" s="291">
        <f t="shared" si="160"/>
      </c>
      <c r="BG84" s="107">
        <f t="shared" si="160"/>
      </c>
      <c r="BH84" s="107">
        <f t="shared" si="160"/>
      </c>
      <c r="BI84" s="107">
        <f t="shared" si="160"/>
      </c>
      <c r="BJ84" s="292">
        <f t="shared" si="160"/>
      </c>
      <c r="BK84" s="291">
        <f t="shared" si="160"/>
      </c>
      <c r="BL84" s="107">
        <f t="shared" si="160"/>
      </c>
      <c r="BM84" s="107">
        <f t="shared" si="160"/>
      </c>
      <c r="BN84" s="107">
        <f t="shared" si="160"/>
      </c>
      <c r="BO84" s="292">
        <f t="shared" si="160"/>
      </c>
      <c r="BP84" s="291">
        <f t="shared" si="160"/>
      </c>
      <c r="BQ84" s="107">
        <f t="shared" si="160"/>
      </c>
      <c r="BR84" s="107">
        <f t="shared" si="160"/>
      </c>
      <c r="BS84" s="107">
        <f t="shared" si="160"/>
      </c>
      <c r="BT84" s="292">
        <f t="shared" ref="BT84:CY84" si="161">IFERROR(BT83/BO83-1,"")</f>
      </c>
      <c r="BU84" s="291">
        <f t="shared" si="161"/>
      </c>
      <c r="BV84" s="107">
        <f t="shared" si="161"/>
      </c>
      <c r="BW84" s="107">
        <f t="shared" si="161"/>
      </c>
      <c r="BX84" s="107">
        <f t="shared" si="161"/>
      </c>
      <c r="BY84" s="292">
        <f t="shared" si="161"/>
      </c>
      <c r="BZ84" s="291">
        <f t="shared" si="161"/>
      </c>
      <c r="CA84" s="107">
        <f t="shared" si="161"/>
      </c>
      <c r="CB84" s="107">
        <f t="shared" si="161"/>
      </c>
      <c r="CC84" s="107">
        <f t="shared" si="161"/>
      </c>
      <c r="CD84" s="292">
        <f t="shared" si="161"/>
      </c>
      <c r="CE84" s="291">
        <f t="shared" si="161"/>
      </c>
      <c r="CF84" s="107">
        <f t="shared" si="161"/>
      </c>
      <c r="CG84" s="107">
        <f t="shared" si="161"/>
      </c>
      <c r="CH84" s="107">
        <f t="shared" si="161"/>
      </c>
      <c r="CI84" s="292">
        <f t="shared" si="161"/>
      </c>
      <c r="CJ84" s="291">
        <f t="shared" si="161"/>
      </c>
      <c r="CK84" s="107">
        <f t="shared" si="161"/>
      </c>
      <c r="CL84" s="107">
        <f t="shared" si="161"/>
      </c>
      <c r="CM84" s="107">
        <f t="shared" si="161"/>
      </c>
      <c r="CN84" s="292">
        <f t="shared" si="161"/>
      </c>
      <c r="CO84" s="291">
        <f t="shared" si="161"/>
      </c>
      <c r="CP84" s="107">
        <f t="shared" si="161"/>
      </c>
      <c r="CQ84" s="107">
        <f t="shared" si="161"/>
      </c>
      <c r="CR84" s="107">
        <f t="shared" si="161"/>
      </c>
      <c r="CS84" s="292">
        <f t="shared" si="161"/>
      </c>
      <c r="CT84" s="291">
        <f t="shared" si="161"/>
      </c>
      <c r="CU84" s="107">
        <f t="shared" si="161"/>
      </c>
      <c r="CV84" s="107">
        <f t="shared" si="161"/>
      </c>
      <c r="CW84" s="107">
        <f t="shared" si="161"/>
      </c>
      <c r="CX84" s="292">
        <f t="shared" si="161"/>
      </c>
      <c r="CY84" s="291">
        <f t="shared" si="161"/>
      </c>
      <c r="CZ84" s="107">
        <f t="shared" ref="CZ84:EE84" si="162">IFERROR(CZ83/CU83-1,"")</f>
      </c>
      <c r="DA84" s="107">
        <f t="shared" si="162"/>
      </c>
      <c r="DB84" s="107">
        <f t="shared" si="162"/>
      </c>
      <c r="DC84" s="292">
        <f t="shared" si="162"/>
      </c>
      <c r="DD84" s="291">
        <f t="shared" si="162"/>
      </c>
      <c r="DE84" s="107">
        <f t="shared" si="162"/>
      </c>
      <c r="DF84" s="107">
        <f t="shared" si="162"/>
      </c>
      <c r="DG84" s="107">
        <f t="shared" si="162"/>
      </c>
      <c r="DH84" s="292">
        <f t="shared" si="162"/>
      </c>
      <c r="DI84" s="291">
        <f t="shared" si="162"/>
      </c>
      <c r="DJ84" s="107">
        <f t="shared" si="162"/>
      </c>
      <c r="DK84" s="107">
        <f t="shared" si="162"/>
      </c>
      <c r="DL84" s="107">
        <f t="shared" si="162"/>
      </c>
      <c r="DM84" s="292">
        <f t="shared" si="162"/>
      </c>
      <c r="DN84" s="291">
        <f t="shared" si="162"/>
      </c>
      <c r="DO84" s="107">
        <f t="shared" si="162"/>
      </c>
      <c r="DP84" s="107">
        <f t="shared" si="162"/>
      </c>
      <c r="DQ84" s="107">
        <f t="shared" si="162"/>
      </c>
      <c r="DR84" s="292">
        <f t="shared" si="162"/>
      </c>
      <c r="DS84" s="291">
        <f t="shared" si="162"/>
      </c>
      <c r="DT84" s="107">
        <f t="shared" si="162"/>
      </c>
      <c r="DU84" s="107">
        <f t="shared" si="162"/>
      </c>
      <c r="DV84" s="107">
        <f t="shared" si="162"/>
      </c>
      <c r="DW84" s="292">
        <f t="shared" si="162"/>
      </c>
      <c r="DX84" s="291">
        <f t="shared" si="162"/>
      </c>
      <c r="DY84" s="107">
        <f t="shared" si="162"/>
      </c>
      <c r="DZ84" s="107">
        <f t="shared" si="162"/>
      </c>
      <c r="EA84" s="107">
        <f t="shared" si="162"/>
      </c>
      <c r="EB84" s="292">
        <f t="shared" si="162"/>
      </c>
      <c r="EC84" s="291">
        <f t="shared" si="162"/>
      </c>
      <c r="ED84" s="107">
        <f t="shared" si="162"/>
      </c>
      <c r="EE84" s="107">
        <f t="shared" si="162"/>
      </c>
      <c r="EF84" s="107">
        <f t="shared" ref="EF84:FK84" si="163">IFERROR(EF83/EA83-1,"")</f>
      </c>
      <c r="EG84" s="292">
        <f t="shared" si="163"/>
      </c>
      <c r="EH84" s="291">
        <f t="shared" si="163"/>
      </c>
      <c r="EI84" s="107">
        <f t="shared" si="163"/>
      </c>
      <c r="EJ84" s="107">
        <f t="shared" si="163"/>
      </c>
      <c r="EK84" s="107">
        <f t="shared" si="163"/>
      </c>
      <c r="EL84" s="292">
        <f t="shared" si="163"/>
      </c>
      <c r="EM84" s="291">
        <f t="shared" si="163"/>
      </c>
      <c r="EN84" s="107">
        <f t="shared" si="163"/>
      </c>
      <c r="EO84" s="107">
        <f t="shared" si="163"/>
      </c>
      <c r="EP84" s="107">
        <f t="shared" si="163"/>
      </c>
      <c r="EQ84" s="292">
        <f t="shared" si="163"/>
      </c>
      <c r="ER84" s="291">
        <f t="shared" si="163"/>
      </c>
      <c r="ES84" s="107">
        <f t="shared" si="163"/>
      </c>
      <c r="ET84" s="468">
        <f t="shared" si="163"/>
      </c>
      <c r="EU84" s="468">
        <f t="shared" si="163"/>
      </c>
      <c r="EV84" s="292">
        <f t="shared" si="163"/>
      </c>
      <c r="EW84" s="349">
        <f t="shared" si="163"/>
      </c>
      <c r="EX84" s="468">
        <f t="shared" si="163"/>
      </c>
      <c r="EY84" s="468">
        <f t="shared" si="163"/>
      </c>
      <c r="EZ84" s="468">
        <f t="shared" si="163"/>
      </c>
      <c r="FA84" s="292">
        <f t="shared" si="163"/>
      </c>
      <c r="FB84" s="291">
        <f t="shared" si="163"/>
      </c>
      <c r="FC84" s="107">
        <f t="shared" si="163"/>
      </c>
      <c r="FD84" s="107">
        <f t="shared" si="163"/>
      </c>
      <c r="FE84" s="107">
        <f t="shared" si="163"/>
      </c>
      <c r="FF84" s="292">
        <f t="shared" si="163"/>
      </c>
      <c r="FG84" s="291">
        <f t="shared" si="163"/>
      </c>
      <c r="FH84" s="107">
        <f t="shared" si="163"/>
      </c>
      <c r="FI84" s="107">
        <f t="shared" si="163"/>
      </c>
      <c r="FJ84" s="107">
        <f t="shared" si="163"/>
      </c>
      <c r="FK84" s="292">
        <f t="shared" si="163"/>
      </c>
      <c r="FL84" s="291">
        <f t="shared" ref="FL84:FZ84" si="164">IFERROR(FL83/FG83-1,"")</f>
      </c>
      <c r="FM84" s="107">
        <f t="shared" si="164"/>
      </c>
      <c r="FN84" s="107">
        <f t="shared" si="164"/>
      </c>
      <c r="FO84" s="107">
        <f t="shared" si="164"/>
      </c>
      <c r="FP84" s="292">
        <f t="shared" si="164"/>
      </c>
      <c r="FQ84" s="291">
        <f t="shared" si="164"/>
      </c>
      <c r="FR84" s="107">
        <f t="shared" si="164"/>
      </c>
      <c r="FS84" s="107">
        <f t="shared" si="164"/>
      </c>
      <c r="FT84" s="107">
        <f t="shared" si="164"/>
      </c>
      <c r="FU84" s="292">
        <f t="shared" si="164"/>
      </c>
      <c r="FV84" s="291">
        <f t="shared" si="164"/>
      </c>
      <c r="FW84" s="107">
        <f t="shared" si="164"/>
      </c>
      <c r="FX84" s="107">
        <f t="shared" si="164"/>
      </c>
      <c r="FY84" s="107">
        <f t="shared" si="164"/>
      </c>
      <c r="FZ84" s="292">
        <f t="shared" si="164"/>
      </c>
      <c r="GA84" s="291">
        <f t="shared" ref="GA84:GJ84" si="165">IFERROR(GA83/FV83-1,"")</f>
      </c>
      <c r="GB84" s="107">
        <f t="shared" si="165"/>
      </c>
      <c r="GC84" s="107">
        <f t="shared" si="165"/>
      </c>
      <c r="GD84" s="107">
        <f t="shared" si="165"/>
      </c>
      <c r="GE84" s="292">
        <f t="shared" si="165"/>
      </c>
      <c r="GF84" s="291">
        <f t="shared" si="165"/>
      </c>
      <c r="GG84" s="107">
        <f t="shared" si="165"/>
      </c>
      <c r="GH84" s="107">
        <f t="shared" si="165"/>
      </c>
      <c r="GI84" s="107">
        <f t="shared" si="165"/>
      </c>
      <c r="GJ84" s="292">
        <f t="shared" si="165"/>
      </c>
    </row>
    <row r="85" spans="1:192" ht="12.75" customHeight="1">
      <c r="A85" s="792"/>
      <c r="B85" s="617" t="s">
        <v>36</v>
      </c>
      <c r="C85" s="291"/>
      <c r="D85" s="137"/>
      <c r="E85" s="137"/>
      <c r="F85" s="137"/>
      <c r="G85" s="538"/>
      <c r="H85" s="291">
        <f>IFERROR(H83/F83-1,"")</f>
      </c>
      <c r="I85" s="107">
        <f>IFERROR(I83/H83-1,"")</f>
      </c>
      <c r="J85" s="107">
        <f>IFERROR(J83/I83-1,"")</f>
      </c>
      <c r="K85" s="107">
        <f>IFERROR(K83/J83-1,"")</f>
      </c>
      <c r="L85" s="293"/>
      <c r="M85" s="291">
        <f>IFERROR(M83/K83-1,"")</f>
      </c>
      <c r="N85" s="107">
        <f>IFERROR(N83/M83-1,"")</f>
      </c>
      <c r="O85" s="107">
        <f>IFERROR(O83/N83-1,"")</f>
      </c>
      <c r="P85" s="107">
        <f>IFERROR(P83/O83-1,"")</f>
      </c>
      <c r="Q85" s="293"/>
      <c r="R85" s="291">
        <f>IFERROR(R83/P83-1,"")</f>
      </c>
      <c r="S85" s="107">
        <f>IFERROR(S83/R83-1,"")</f>
      </c>
      <c r="T85" s="107">
        <f>IFERROR(T83/S83-1,"")</f>
      </c>
      <c r="U85" s="107">
        <f>IFERROR(U83/T83-1,"")</f>
      </c>
      <c r="V85" s="293"/>
      <c r="W85" s="291">
        <f>IFERROR(W83/U83-1,"")</f>
      </c>
      <c r="X85" s="107">
        <f>IFERROR(X83/W83-1,"")</f>
      </c>
      <c r="Y85" s="107">
        <f>IFERROR(Y83/X83-1,"")</f>
      </c>
      <c r="Z85" s="107">
        <f>IFERROR(Z83/Y83-1,"")</f>
      </c>
      <c r="AA85" s="293"/>
      <c r="AB85" s="291">
        <f>IFERROR(AB83/Z83-1,"")</f>
      </c>
      <c r="AC85" s="107">
        <f>IFERROR(AC83/AB83-1,"")</f>
      </c>
      <c r="AD85" s="107">
        <f>IFERROR(AD83/AC83-1,"")</f>
      </c>
      <c r="AE85" s="107">
        <f>IFERROR(AE83/AD83-1,"")</f>
      </c>
      <c r="AF85" s="293"/>
      <c r="AG85" s="291">
        <f>IFERROR(AG83/AE83-1,"")</f>
      </c>
      <c r="AH85" s="107">
        <f>IFERROR(AH83/AG83-1,"")</f>
      </c>
      <c r="AI85" s="107">
        <f>IFERROR(AI83/AH83-1,"")</f>
      </c>
      <c r="AJ85" s="107">
        <f>IFERROR(AJ83/AI83-1,"")</f>
      </c>
      <c r="AK85" s="293"/>
      <c r="AL85" s="291">
        <f>IFERROR(AL83/AJ83-1,"")</f>
      </c>
      <c r="AM85" s="107">
        <f>IFERROR(AM83/AL83-1,"")</f>
      </c>
      <c r="AN85" s="107">
        <f>IFERROR(AN83/AM83-1,"")</f>
      </c>
      <c r="AO85" s="107">
        <f>IFERROR(AO83/AN83-1,"")</f>
      </c>
      <c r="AP85" s="293"/>
      <c r="AQ85" s="291">
        <f>IFERROR(AQ83/AO83-1,"")</f>
      </c>
      <c r="AR85" s="107">
        <f>IFERROR(AR83/AQ83-1,"")</f>
      </c>
      <c r="AS85" s="107">
        <f>IFERROR(AS83/AR83-1,"")</f>
      </c>
      <c r="AT85" s="107">
        <f>IFERROR(AT83/AS83-1,"")</f>
      </c>
      <c r="AU85" s="293"/>
      <c r="AV85" s="291">
        <f>IFERROR(AV83/AT83-1,"")</f>
      </c>
      <c r="AW85" s="107">
        <f>IFERROR(AW83/AV83-1,"")</f>
      </c>
      <c r="AX85" s="107">
        <f>IFERROR(AX83/AW83-1,"")</f>
      </c>
      <c r="AY85" s="107">
        <f>IFERROR(AY83/AX83-1,"")</f>
      </c>
      <c r="AZ85" s="293"/>
      <c r="BA85" s="291">
        <f>IFERROR(BA83/AY83-1,"")</f>
      </c>
      <c r="BB85" s="107">
        <f>IFERROR(BB83/BA83-1,"")</f>
      </c>
      <c r="BC85" s="107">
        <f>IFERROR(BC83/BB83-1,"")</f>
      </c>
      <c r="BD85" s="107">
        <f>IFERROR(BD83/BC83-1,"")</f>
      </c>
      <c r="BE85" s="293"/>
      <c r="BF85" s="291">
        <f>IFERROR(BF83/BD83-1,"")</f>
      </c>
      <c r="BG85" s="107">
        <f>IFERROR(BG83/BF83-1,"")</f>
      </c>
      <c r="BH85" s="107">
        <f>IFERROR(BH83/BG83-1,"")</f>
      </c>
      <c r="BI85" s="107">
        <f>IFERROR(BI83/BH83-1,"")</f>
      </c>
      <c r="BJ85" s="293"/>
      <c r="BK85" s="291">
        <f>IFERROR(BK83/BI83-1,"")</f>
      </c>
      <c r="BL85" s="107">
        <f>IFERROR(BL83/BK83-1,"")</f>
      </c>
      <c r="BM85" s="107">
        <f>IFERROR(BM83/BL83-1,"")</f>
      </c>
      <c r="BN85" s="107">
        <f>IFERROR(BN83/BM83-1,"")</f>
      </c>
      <c r="BO85" s="293"/>
      <c r="BP85" s="291">
        <f>IFERROR(BP83/BN83-1,"")</f>
      </c>
      <c r="BQ85" s="107">
        <f>IFERROR(BQ83/BP83-1,"")</f>
      </c>
      <c r="BR85" s="107">
        <f>IFERROR(BR83/BQ83-1,"")</f>
      </c>
      <c r="BS85" s="107">
        <f>IFERROR(BS83/BR83-1,"")</f>
      </c>
      <c r="BT85" s="293"/>
      <c r="BU85" s="291">
        <f>IFERROR(BU83/BS83-1,"")</f>
      </c>
      <c r="BV85" s="107">
        <f>IFERROR(BV83/BU83-1,"")</f>
      </c>
      <c r="BW85" s="107">
        <f>IFERROR(BW83/BV83-1,"")</f>
      </c>
      <c r="BX85" s="107">
        <f>IFERROR(BX83/BW83-1,"")</f>
      </c>
      <c r="BY85" s="293"/>
      <c r="BZ85" s="291">
        <f>IFERROR(BZ83/BX83-1,"")</f>
      </c>
      <c r="CA85" s="107">
        <f>IFERROR(CA83/BZ83-1,"")</f>
      </c>
      <c r="CB85" s="107">
        <f>IFERROR(CB83/CA83-1,"")</f>
      </c>
      <c r="CC85" s="107">
        <f>IFERROR(CC83/CB83-1,"")</f>
      </c>
      <c r="CD85" s="293"/>
      <c r="CE85" s="291">
        <f>IFERROR(CE83/CC83-1,"")</f>
      </c>
      <c r="CF85" s="107">
        <f>IFERROR(CF83/CE83-1,"")</f>
      </c>
      <c r="CG85" s="107">
        <f>IFERROR(CG83/CF83-1,"")</f>
      </c>
      <c r="CH85" s="107">
        <f>IFERROR(CH83/CG83-1,"")</f>
      </c>
      <c r="CI85" s="293"/>
      <c r="CJ85" s="291">
        <f>IFERROR(CJ83/CH83-1,"")</f>
      </c>
      <c r="CK85" s="107">
        <f>IFERROR(CK83/CJ83-1,"")</f>
      </c>
      <c r="CL85" s="107">
        <f>IFERROR(CL83/CK83-1,"")</f>
      </c>
      <c r="CM85" s="107">
        <f>IFERROR(CM83/CL83-1,"")</f>
      </c>
      <c r="CN85" s="293"/>
      <c r="CO85" s="291">
        <f>IFERROR(CO83/CM83-1,"")</f>
      </c>
      <c r="CP85" s="107">
        <f>IFERROR(CP83/CO83-1,"")</f>
      </c>
      <c r="CQ85" s="107">
        <f>IFERROR(CQ83/CP83-1,"")</f>
      </c>
      <c r="CR85" s="107">
        <f>IFERROR(CR83/CQ83-1,"")</f>
      </c>
      <c r="CS85" s="293"/>
      <c r="CT85" s="291">
        <f>IFERROR(CT83/CR83-1,"")</f>
      </c>
      <c r="CU85" s="107">
        <f>IFERROR(CU83/CT83-1,"")</f>
      </c>
      <c r="CV85" s="107">
        <f>IFERROR(CV83/CU83-1,"")</f>
      </c>
      <c r="CW85" s="107">
        <f>IFERROR(CW83/CV83-1,"")</f>
      </c>
      <c r="CX85" s="293"/>
      <c r="CY85" s="291">
        <f>IFERROR(CY83/CW83-1,"")</f>
      </c>
      <c r="CZ85" s="107">
        <f>IFERROR(CZ83/CY83-1,"")</f>
      </c>
      <c r="DA85" s="107">
        <f>IFERROR(DA83/CZ83-1,"")</f>
      </c>
      <c r="DB85" s="107">
        <f>IFERROR(DB83/DA83-1,"")</f>
      </c>
      <c r="DC85" s="293"/>
      <c r="DD85" s="291">
        <f>IFERROR(DD83/DB83-1,"")</f>
      </c>
      <c r="DE85" s="107">
        <f>IFERROR(DE83/DD83-1,"")</f>
      </c>
      <c r="DF85" s="107">
        <f>IFERROR(DF83/DE83-1,"")</f>
      </c>
      <c r="DG85" s="107">
        <f>IFERROR(DG83/DF83-1,"")</f>
      </c>
      <c r="DH85" s="293"/>
      <c r="DI85" s="291">
        <f>IFERROR(DI83/DG83-1,"")</f>
      </c>
      <c r="DJ85" s="107">
        <f>IFERROR(DJ83/DI83-1,"")</f>
      </c>
      <c r="DK85" s="107">
        <f>IFERROR(DK83/DJ83-1,"")</f>
      </c>
      <c r="DL85" s="107">
        <f>IFERROR(DL83/DK83-1,"")</f>
      </c>
      <c r="DM85" s="293"/>
      <c r="DN85" s="291">
        <f>IFERROR(DN83/DL83-1,"")</f>
      </c>
      <c r="DO85" s="107">
        <f>IFERROR(DO83/DN83-1,"")</f>
      </c>
      <c r="DP85" s="107">
        <f>IFERROR(DP83/DO83-1,"")</f>
      </c>
      <c r="DQ85" s="107">
        <f>IFERROR(DQ83/DP83-1,"")</f>
      </c>
      <c r="DR85" s="293"/>
      <c r="DS85" s="291">
        <f>IFERROR(DS83/DQ83-1,"")</f>
      </c>
      <c r="DT85" s="107">
        <f>IFERROR(DT83/DS83-1,"")</f>
      </c>
      <c r="DU85" s="107">
        <f>IFERROR(DU83/DT83-1,"")</f>
      </c>
      <c r="DV85" s="107">
        <f>IFERROR(DV83/DU83-1,"")</f>
      </c>
      <c r="DW85" s="293"/>
      <c r="DX85" s="291">
        <f>IFERROR(DX83/DV83-1,"")</f>
      </c>
      <c r="DY85" s="107">
        <f>IFERROR(DY83/DX83-1,"")</f>
      </c>
      <c r="DZ85" s="107">
        <f>IFERROR(DZ83/DY83-1,"")</f>
      </c>
      <c r="EA85" s="107">
        <f>IFERROR(EA83/DZ83-1,"")</f>
      </c>
      <c r="EB85" s="293"/>
      <c r="EC85" s="291">
        <f>IFERROR(EC83/EA83-1,"")</f>
      </c>
      <c r="ED85" s="107">
        <f>IFERROR(ED83/EC83-1,"")</f>
      </c>
      <c r="EE85" s="107">
        <f>IFERROR(EE83/ED83-1,"")</f>
      </c>
      <c r="EF85" s="107">
        <f>IFERROR(EF83/EE83-1,"")</f>
      </c>
      <c r="EG85" s="293"/>
      <c r="EH85" s="291">
        <f>IFERROR(EH83/EF83-1,"")</f>
      </c>
      <c r="EI85" s="107">
        <f>IFERROR(EI83/EH83-1,"")</f>
      </c>
      <c r="EJ85" s="107">
        <f>IFERROR(EJ83/EI83-1,"")</f>
      </c>
      <c r="EK85" s="107">
        <f>IFERROR(EK83/EJ83-1,"")</f>
      </c>
      <c r="EL85" s="293"/>
      <c r="EM85" s="291">
        <f>IFERROR(EM83/EK83-1,"")</f>
      </c>
      <c r="EN85" s="107">
        <f>IFERROR(EN83/EM83-1,"")</f>
      </c>
      <c r="EO85" s="107">
        <f>IFERROR(EO83/EN83-1,"")</f>
      </c>
      <c r="EP85" s="107">
        <f>IFERROR(EP83/EO83-1,"")</f>
      </c>
      <c r="EQ85" s="293"/>
      <c r="ER85" s="291">
        <f>IFERROR(ER83/EP83-1,"")</f>
      </c>
      <c r="ES85" s="107">
        <f>IFERROR(ES83/ER83-1,"")</f>
      </c>
      <c r="ET85" s="468">
        <f>IFERROR(ET83/ES83-1,"")</f>
      </c>
      <c r="EU85" s="468">
        <f>IFERROR(EU83/ET83-1,"")</f>
      </c>
      <c r="EV85" s="293"/>
      <c r="EW85" s="349">
        <f>IFERROR(EW83/EU83-1,"")</f>
      </c>
      <c r="EX85" s="468">
        <f>IFERROR(EX83/EW83-1,"")</f>
      </c>
      <c r="EY85" s="468">
        <f>IFERROR(EY83/EX83-1,"")</f>
      </c>
      <c r="EZ85" s="468">
        <f>IFERROR(EZ83/EY83-1,"")</f>
      </c>
      <c r="FA85" s="293"/>
      <c r="FB85" s="291">
        <f>IFERROR(FB83/EZ83-1,"")</f>
      </c>
      <c r="FC85" s="107">
        <f>IFERROR(FC83/FB83-1,"")</f>
      </c>
      <c r="FD85" s="107">
        <f>IFERROR(FD83/FC83-1,"")</f>
      </c>
      <c r="FE85" s="107">
        <f>IFERROR(FE83/FD83-1,"")</f>
      </c>
      <c r="FF85" s="293"/>
      <c r="FG85" s="291">
        <f>IFERROR(FG83/FE83-1,"")</f>
      </c>
      <c r="FH85" s="107">
        <f>IFERROR(FH83/FG83-1,"")</f>
      </c>
      <c r="FI85" s="107">
        <f>IFERROR(FI83/FH83-1,"")</f>
      </c>
      <c r="FJ85" s="107">
        <f>IFERROR(FJ83/FI83-1,"")</f>
      </c>
      <c r="FK85" s="293"/>
      <c r="FL85" s="291">
        <f>IFERROR(FL83/FJ83-1,"")</f>
      </c>
      <c r="FM85" s="107">
        <f>IFERROR(FM83/FL83-1,"")</f>
      </c>
      <c r="FN85" s="107">
        <f>IFERROR(FN83/FM83-1,"")</f>
      </c>
      <c r="FO85" s="107">
        <f>IFERROR(FO83/FN83-1,"")</f>
      </c>
      <c r="FP85" s="293"/>
      <c r="FQ85" s="291">
        <f>IFERROR(FQ83/FO83-1,"")</f>
      </c>
      <c r="FR85" s="107">
        <f>IFERROR(FR83/FQ83-1,"")</f>
      </c>
      <c r="FS85" s="107">
        <f>IFERROR(FS83/FR83-1,"")</f>
      </c>
      <c r="FT85" s="107">
        <f>IFERROR(FT83/FS83-1,"")</f>
      </c>
      <c r="FU85" s="293"/>
      <c r="FV85" s="291">
        <f>IFERROR(FV83/FT83-1,"")</f>
      </c>
      <c r="FW85" s="107">
        <f>IFERROR(FW83/FV83-1,"")</f>
      </c>
      <c r="FX85" s="107">
        <f>IFERROR(FX83/FW83-1,"")</f>
      </c>
      <c r="FY85" s="107">
        <f>IFERROR(FY83/FX83-1,"")</f>
      </c>
      <c r="FZ85" s="293"/>
      <c r="GA85" s="291">
        <f>IFERROR(GA83/FY83-1,"")</f>
      </c>
      <c r="GB85" s="107">
        <f>IFERROR(GB83/GA83-1,"")</f>
      </c>
      <c r="GC85" s="107">
        <f>IFERROR(GC83/GB83-1,"")</f>
      </c>
      <c r="GD85" s="107">
        <f>IFERROR(GD83/GC83-1,"")</f>
      </c>
      <c r="GE85" s="293"/>
      <c r="GF85" s="291">
        <f>IFERROR(GF83/GD83-1,"")</f>
      </c>
      <c r="GG85" s="107">
        <f>IFERROR(GG83/GF83-1,"")</f>
      </c>
      <c r="GH85" s="107">
        <f>IFERROR(GH83/GG83-1,"")</f>
      </c>
      <c r="GI85" s="107">
        <f>IFERROR(GI83/GH83-1,"")</f>
      </c>
      <c r="GJ85" s="293"/>
    </row>
    <row r="86" spans="1:192" ht="12.75" customHeight="1">
      <c r="B86" s="617" t="s">
        <v>1939</v>
      </c>
      <c r="C86" s="463"/>
      <c r="D86" s="463"/>
      <c r="E86" s="463"/>
      <c r="F86" s="463"/>
      <c r="G86" s="466"/>
      <c r="H86" s="463">
        <f t="shared" ref="H86:AM86" si="166">H83-C83</f>
      </c>
      <c r="I86" s="463">
        <f t="shared" si="166"/>
      </c>
      <c r="J86" s="463">
        <f t="shared" si="166"/>
      </c>
      <c r="K86" s="463">
        <f t="shared" si="166"/>
      </c>
      <c r="L86" s="466">
        <f t="shared" si="166"/>
      </c>
      <c r="M86" s="463">
        <f t="shared" si="166"/>
      </c>
      <c r="N86" s="463">
        <f t="shared" si="166"/>
      </c>
      <c r="O86" s="463">
        <f t="shared" si="166"/>
      </c>
      <c r="P86" s="463">
        <f t="shared" si="166"/>
      </c>
      <c r="Q86" s="466">
        <f t="shared" si="166"/>
      </c>
      <c r="R86" s="463">
        <f t="shared" si="166"/>
      </c>
      <c r="S86" s="463">
        <f t="shared" si="166"/>
      </c>
      <c r="T86" s="463">
        <f t="shared" si="166"/>
      </c>
      <c r="U86" s="463">
        <f t="shared" si="166"/>
      </c>
      <c r="V86" s="466">
        <f t="shared" si="166"/>
      </c>
      <c r="W86" s="463">
        <f t="shared" si="166"/>
      </c>
      <c r="X86" s="463">
        <f t="shared" si="166"/>
      </c>
      <c r="Y86" s="463">
        <f t="shared" si="166"/>
      </c>
      <c r="Z86" s="463">
        <f t="shared" si="166"/>
      </c>
      <c r="AA86" s="466">
        <f t="shared" si="166"/>
      </c>
      <c r="AB86" s="463">
        <f t="shared" si="166"/>
      </c>
      <c r="AC86" s="463">
        <f t="shared" si="166"/>
      </c>
      <c r="AD86" s="463">
        <f t="shared" si="166"/>
      </c>
      <c r="AE86" s="463">
        <f t="shared" si="166"/>
      </c>
      <c r="AF86" s="466">
        <f t="shared" si="166"/>
      </c>
      <c r="AG86" s="463">
        <f t="shared" si="166"/>
      </c>
      <c r="AH86" s="463">
        <f t="shared" si="166"/>
      </c>
      <c r="AI86" s="463">
        <f t="shared" si="166"/>
      </c>
      <c r="AJ86" s="463">
        <f t="shared" si="166"/>
      </c>
      <c r="AK86" s="466">
        <f t="shared" si="166"/>
      </c>
      <c r="AL86" s="463">
        <f t="shared" si="166"/>
      </c>
      <c r="AM86" s="463">
        <f t="shared" si="166"/>
      </c>
      <c r="AN86" s="463">
        <f t="shared" ref="AN86:BS86" si="167">AN83-AI83</f>
      </c>
      <c r="AO86" s="463">
        <f t="shared" si="167"/>
      </c>
      <c r="AP86" s="466">
        <f t="shared" si="167"/>
      </c>
      <c r="AQ86" s="463">
        <f t="shared" si="167"/>
      </c>
      <c r="AR86" s="463">
        <f t="shared" si="167"/>
      </c>
      <c r="AS86" s="463">
        <f t="shared" si="167"/>
      </c>
      <c r="AT86" s="463">
        <f t="shared" si="167"/>
      </c>
      <c r="AU86" s="466">
        <f t="shared" si="167"/>
      </c>
      <c r="AV86" s="463">
        <f t="shared" si="167"/>
      </c>
      <c r="AW86" s="463">
        <f t="shared" si="167"/>
      </c>
      <c r="AX86" s="463">
        <f t="shared" si="167"/>
      </c>
      <c r="AY86" s="463">
        <f t="shared" si="167"/>
      </c>
      <c r="AZ86" s="466">
        <f t="shared" si="167"/>
      </c>
      <c r="BA86" s="463">
        <f t="shared" si="167"/>
      </c>
      <c r="BB86" s="463">
        <f t="shared" si="167"/>
      </c>
      <c r="BC86" s="463">
        <f t="shared" si="167"/>
      </c>
      <c r="BD86" s="463">
        <f t="shared" si="167"/>
      </c>
      <c r="BE86" s="466">
        <f t="shared" si="167"/>
      </c>
      <c r="BF86" s="463">
        <f t="shared" si="167"/>
      </c>
      <c r="BG86" s="463">
        <f t="shared" si="167"/>
      </c>
      <c r="BH86" s="463">
        <f t="shared" si="167"/>
      </c>
      <c r="BI86" s="463">
        <f t="shared" si="167"/>
      </c>
      <c r="BJ86" s="466">
        <f t="shared" si="167"/>
      </c>
      <c r="BK86" s="463">
        <f t="shared" si="167"/>
      </c>
      <c r="BL86" s="463">
        <f t="shared" si="167"/>
      </c>
      <c r="BM86" s="463">
        <f t="shared" si="167"/>
      </c>
      <c r="BN86" s="463">
        <f t="shared" si="167"/>
      </c>
      <c r="BO86" s="466">
        <f t="shared" si="167"/>
      </c>
      <c r="BP86" s="463">
        <f t="shared" si="167"/>
      </c>
      <c r="BQ86" s="463">
        <f t="shared" si="167"/>
      </c>
      <c r="BR86" s="463">
        <f t="shared" si="167"/>
      </c>
      <c r="BS86" s="463">
        <f t="shared" si="167"/>
      </c>
      <c r="BT86" s="466">
        <f t="shared" ref="BT86:CY86" si="168">BT83-BO83</f>
      </c>
      <c r="BU86" s="463">
        <f t="shared" si="168"/>
      </c>
      <c r="BV86" s="463">
        <f t="shared" si="168"/>
      </c>
      <c r="BW86" s="463">
        <f t="shared" si="168"/>
      </c>
      <c r="BX86" s="463">
        <f t="shared" si="168"/>
      </c>
      <c r="BY86" s="466">
        <f t="shared" si="168"/>
      </c>
      <c r="BZ86" s="463">
        <f t="shared" si="168"/>
      </c>
      <c r="CA86" s="463">
        <f t="shared" si="168"/>
      </c>
      <c r="CB86" s="463">
        <f t="shared" si="168"/>
      </c>
      <c r="CC86" s="463">
        <f t="shared" si="168"/>
      </c>
      <c r="CD86" s="466">
        <f t="shared" si="168"/>
      </c>
      <c r="CE86" s="463">
        <f t="shared" si="168"/>
      </c>
      <c r="CF86" s="463">
        <f t="shared" si="168"/>
      </c>
      <c r="CG86" s="463">
        <f t="shared" si="168"/>
      </c>
      <c r="CH86" s="463">
        <f t="shared" si="168"/>
      </c>
      <c r="CI86" s="466">
        <f t="shared" si="168"/>
      </c>
      <c r="CJ86" s="463">
        <f t="shared" si="168"/>
      </c>
      <c r="CK86" s="463">
        <f t="shared" si="168"/>
      </c>
      <c r="CL86" s="463">
        <f t="shared" si="168"/>
      </c>
      <c r="CM86" s="463">
        <f t="shared" si="168"/>
      </c>
      <c r="CN86" s="466">
        <f t="shared" si="168"/>
      </c>
      <c r="CO86" s="463">
        <f t="shared" si="168"/>
      </c>
      <c r="CP86" s="463">
        <f t="shared" si="168"/>
      </c>
      <c r="CQ86" s="463">
        <f t="shared" si="168"/>
      </c>
      <c r="CR86" s="463">
        <f t="shared" si="168"/>
      </c>
      <c r="CS86" s="466">
        <f t="shared" si="168"/>
      </c>
      <c r="CT86" s="463">
        <f t="shared" si="168"/>
      </c>
      <c r="CU86" s="463">
        <f t="shared" si="168"/>
      </c>
      <c r="CV86" s="463">
        <f t="shared" si="168"/>
      </c>
      <c r="CW86" s="463">
        <f t="shared" si="168"/>
      </c>
      <c r="CX86" s="466">
        <f t="shared" si="168"/>
      </c>
      <c r="CY86" s="463">
        <f t="shared" si="168"/>
      </c>
      <c r="CZ86" s="463">
        <f t="shared" ref="CZ86:EE86" si="169">CZ83-CU83</f>
      </c>
      <c r="DA86" s="463">
        <f t="shared" si="169"/>
      </c>
      <c r="DB86" s="463">
        <f t="shared" si="169"/>
      </c>
      <c r="DC86" s="466">
        <f t="shared" si="169"/>
      </c>
      <c r="DD86" s="463">
        <f t="shared" si="169"/>
      </c>
      <c r="DE86" s="463">
        <f t="shared" si="169"/>
      </c>
      <c r="DF86" s="463">
        <f t="shared" si="169"/>
      </c>
      <c r="DG86" s="463">
        <f t="shared" si="169"/>
      </c>
      <c r="DH86" s="466">
        <f t="shared" si="169"/>
      </c>
      <c r="DI86" s="463">
        <f t="shared" si="169"/>
      </c>
      <c r="DJ86" s="463">
        <f t="shared" si="169"/>
      </c>
      <c r="DK86" s="463">
        <f t="shared" si="169"/>
      </c>
      <c r="DL86" s="463">
        <f t="shared" si="169"/>
      </c>
      <c r="DM86" s="466">
        <f t="shared" si="169"/>
      </c>
      <c r="DN86" s="463">
        <f t="shared" si="169"/>
      </c>
      <c r="DO86" s="463">
        <f t="shared" si="169"/>
      </c>
      <c r="DP86" s="463">
        <f t="shared" si="169"/>
      </c>
      <c r="DQ86" s="463">
        <f t="shared" si="169"/>
      </c>
      <c r="DR86" s="466">
        <f t="shared" si="169"/>
      </c>
      <c r="DS86" s="463">
        <f t="shared" si="169"/>
      </c>
      <c r="DT86" s="463">
        <f t="shared" si="169"/>
      </c>
      <c r="DU86" s="463">
        <f t="shared" si="169"/>
      </c>
      <c r="DV86" s="463">
        <f t="shared" si="169"/>
      </c>
      <c r="DW86" s="466">
        <f t="shared" si="169"/>
      </c>
      <c r="DX86" s="463">
        <f t="shared" si="169"/>
      </c>
      <c r="DY86" s="463">
        <f t="shared" si="169"/>
      </c>
      <c r="DZ86" s="463">
        <f t="shared" si="169"/>
      </c>
      <c r="EA86" s="463">
        <f t="shared" si="169"/>
      </c>
      <c r="EB86" s="466">
        <f t="shared" si="169"/>
      </c>
      <c r="EC86" s="463">
        <f t="shared" si="169"/>
      </c>
      <c r="ED86" s="463">
        <f t="shared" si="169"/>
      </c>
      <c r="EE86" s="463">
        <f t="shared" si="169"/>
      </c>
      <c r="EF86" s="463">
        <f t="shared" ref="EF86:FK86" si="170">EF83-EA83</f>
      </c>
      <c r="EG86" s="466">
        <f t="shared" si="170"/>
      </c>
      <c r="EH86" s="463">
        <f t="shared" si="170"/>
      </c>
      <c r="EI86" s="463">
        <f t="shared" si="170"/>
      </c>
      <c r="EJ86" s="463">
        <f t="shared" si="170"/>
      </c>
      <c r="EK86" s="463">
        <f t="shared" si="170"/>
      </c>
      <c r="EL86" s="466">
        <f t="shared" si="170"/>
      </c>
      <c r="EM86" s="463">
        <f t="shared" si="170"/>
      </c>
      <c r="EN86" s="463">
        <f t="shared" si="170"/>
      </c>
      <c r="EO86" s="463">
        <f t="shared" si="170"/>
      </c>
      <c r="EP86" s="463">
        <f t="shared" si="170"/>
      </c>
      <c r="EQ86" s="466">
        <f t="shared" si="170"/>
      </c>
      <c r="ER86" s="463">
        <f t="shared" si="170"/>
      </c>
      <c r="ES86" s="463">
        <f t="shared" si="170"/>
      </c>
      <c r="ET86" s="1399">
        <f t="shared" si="170"/>
      </c>
      <c r="EU86" s="1399">
        <f t="shared" si="170"/>
      </c>
      <c r="EV86" s="466">
        <f t="shared" si="170"/>
      </c>
      <c r="EW86" s="1399">
        <f t="shared" si="170"/>
      </c>
      <c r="EX86" s="1399">
        <f t="shared" si="170"/>
      </c>
      <c r="EY86" s="1399">
        <f t="shared" si="170"/>
      </c>
      <c r="EZ86" s="1399">
        <f t="shared" si="170"/>
      </c>
      <c r="FA86" s="466">
        <f t="shared" si="170"/>
      </c>
      <c r="FB86" s="463">
        <f t="shared" si="170"/>
      </c>
      <c r="FC86" s="463">
        <f t="shared" si="170"/>
      </c>
      <c r="FD86" s="463">
        <f t="shared" si="170"/>
      </c>
      <c r="FE86" s="463">
        <f t="shared" si="170"/>
      </c>
      <c r="FF86" s="466">
        <f t="shared" si="170"/>
      </c>
      <c r="FG86" s="463">
        <f t="shared" si="170"/>
      </c>
      <c r="FH86" s="463">
        <f t="shared" si="170"/>
      </c>
      <c r="FI86" s="463">
        <f t="shared" si="170"/>
      </c>
      <c r="FJ86" s="463">
        <f t="shared" si="170"/>
      </c>
      <c r="FK86" s="466">
        <f t="shared" si="170"/>
      </c>
      <c r="FL86" s="463">
        <f t="shared" ref="FL86:GE86" si="171">FL83-FG83</f>
      </c>
      <c r="FM86" s="463">
        <f t="shared" si="171"/>
      </c>
      <c r="FN86" s="463">
        <f t="shared" si="171"/>
      </c>
      <c r="FO86" s="463">
        <f t="shared" si="171"/>
      </c>
      <c r="FP86" s="466">
        <f t="shared" si="171"/>
      </c>
      <c r="FQ86" s="463">
        <f t="shared" si="171"/>
      </c>
      <c r="FR86" s="463">
        <f t="shared" si="171"/>
      </c>
      <c r="FS86" s="463">
        <f t="shared" si="171"/>
      </c>
      <c r="FT86" s="463">
        <f t="shared" si="171"/>
      </c>
      <c r="FU86" s="466">
        <f t="shared" si="171"/>
      </c>
      <c r="FV86" s="463">
        <f t="shared" si="171"/>
      </c>
      <c r="FW86" s="463">
        <f t="shared" si="171"/>
      </c>
      <c r="FX86" s="463">
        <f t="shared" si="171"/>
      </c>
      <c r="FY86" s="463">
        <f t="shared" si="171"/>
      </c>
      <c r="FZ86" s="466">
        <f t="shared" si="171"/>
      </c>
      <c r="GA86" s="463">
        <f t="shared" si="171"/>
      </c>
      <c r="GB86" s="463">
        <f t="shared" si="171"/>
      </c>
      <c r="GC86" s="463">
        <f t="shared" si="171"/>
      </c>
      <c r="GD86" s="463">
        <f t="shared" si="171"/>
      </c>
      <c r="GE86" s="466">
        <f t="shared" si="171"/>
      </c>
      <c r="GF86" s="463">
        <f t="shared" ref="GF86" si="172">GF83-GA83</f>
      </c>
      <c r="GG86" s="463">
        <f t="shared" ref="GG86" si="173">GG83-GB83</f>
      </c>
      <c r="GH86" s="463">
        <f t="shared" ref="GH86" si="174">GH83-GC83</f>
      </c>
      <c r="GI86" s="463">
        <f t="shared" ref="GI86" si="175">GI83-GD83</f>
      </c>
      <c r="GJ86" s="466">
        <f t="shared" ref="GJ86" si="176">GJ83-GE83</f>
      </c>
    </row>
    <row r="87" spans="1:192" ht="12.75" customHeight="1">
      <c r="B87" s="617" t="s">
        <v>1940</v>
      </c>
      <c r="C87" s="470"/>
      <c r="D87" s="463">
        <f>D83-C83</f>
      </c>
      <c r="E87" s="463">
        <f>E83-D83</f>
      </c>
      <c r="F87" s="463">
        <f>F83-E83</f>
      </c>
      <c r="G87" s="293"/>
      <c r="H87" s="470">
        <f>H83-F83</f>
      </c>
      <c r="I87" s="463">
        <f>I83-H83</f>
      </c>
      <c r="J87" s="463">
        <f>J83-I83</f>
      </c>
      <c r="K87" s="463">
        <f>K83-J83</f>
      </c>
      <c r="L87" s="293"/>
      <c r="M87" s="470">
        <f>M83-K83</f>
      </c>
      <c r="N87" s="463">
        <f>N83-M83</f>
      </c>
      <c r="O87" s="463">
        <f>O83-N83</f>
      </c>
      <c r="P87" s="463">
        <f>P83-O83</f>
      </c>
      <c r="Q87" s="293"/>
      <c r="R87" s="470">
        <f>R83-P83</f>
      </c>
      <c r="S87" s="463">
        <f>S83-R83</f>
      </c>
      <c r="T87" s="463">
        <f>T83-S83</f>
      </c>
      <c r="U87" s="463">
        <f>U83-T83</f>
      </c>
      <c r="V87" s="293"/>
      <c r="W87" s="470">
        <f>W83-U83</f>
      </c>
      <c r="X87" s="463">
        <f>X83-W83</f>
      </c>
      <c r="Y87" s="463">
        <f>Y83-X83</f>
      </c>
      <c r="Z87" s="463">
        <f>Z83-Y83</f>
      </c>
      <c r="AA87" s="293"/>
      <c r="AB87" s="470">
        <f>AB83-Z83</f>
      </c>
      <c r="AC87" s="463">
        <f>AC83-AB83</f>
      </c>
      <c r="AD87" s="463">
        <f>AD83-AC83</f>
      </c>
      <c r="AE87" s="463">
        <f>AE83-AD83</f>
      </c>
      <c r="AF87" s="293"/>
      <c r="AG87" s="470">
        <f>AG83-AE83</f>
      </c>
      <c r="AH87" s="463">
        <f>AH83-AG83</f>
      </c>
      <c r="AI87" s="463">
        <f>AI83-AH83</f>
      </c>
      <c r="AJ87" s="463">
        <f>AJ83-AI83</f>
      </c>
      <c r="AK87" s="293"/>
      <c r="AL87" s="470">
        <f>AL83-AJ83</f>
      </c>
      <c r="AM87" s="463">
        <f>AM83-AL83</f>
      </c>
      <c r="AN87" s="463">
        <f>AN83-AM83</f>
      </c>
      <c r="AO87" s="463">
        <f>AO83-AN83</f>
      </c>
      <c r="AP87" s="293"/>
      <c r="AQ87" s="470">
        <f>AQ83-AO83</f>
      </c>
      <c r="AR87" s="463">
        <f>AR83-AQ83</f>
      </c>
      <c r="AS87" s="463">
        <f>AS83-AR83</f>
      </c>
      <c r="AT87" s="463">
        <f>AT83-AS83</f>
      </c>
      <c r="AU87" s="293"/>
      <c r="AV87" s="470">
        <f>AV83-AT83</f>
      </c>
      <c r="AW87" s="463">
        <f>AW83-AV83</f>
      </c>
      <c r="AX87" s="463">
        <f>AX83-AW83</f>
      </c>
      <c r="AY87" s="463">
        <f>AY83-AX83</f>
      </c>
      <c r="AZ87" s="293"/>
      <c r="BA87" s="470">
        <f>BA83-AY83</f>
      </c>
      <c r="BB87" s="463">
        <f>BB83-BA83</f>
      </c>
      <c r="BC87" s="463">
        <f>BC83-BB83</f>
      </c>
      <c r="BD87" s="463">
        <f>BD83-BC83</f>
      </c>
      <c r="BE87" s="293"/>
      <c r="BF87" s="470">
        <f>BF83-BD83</f>
      </c>
      <c r="BG87" s="463">
        <f>BG83-BF83</f>
      </c>
      <c r="BH87" s="463">
        <f>BH83-BG83</f>
      </c>
      <c r="BI87" s="463">
        <f>BI83-BH83</f>
      </c>
      <c r="BJ87" s="293"/>
      <c r="BK87" s="470">
        <f>BK83-BI83</f>
      </c>
      <c r="BL87" s="463">
        <f>BL83-BK83</f>
      </c>
      <c r="BM87" s="463">
        <f>BM83-BL83</f>
      </c>
      <c r="BN87" s="463">
        <f>BN83-BM83</f>
      </c>
      <c r="BO87" s="293"/>
      <c r="BP87" s="470">
        <f>BP83-BN83</f>
      </c>
      <c r="BQ87" s="463">
        <f>BQ83-BP83</f>
      </c>
      <c r="BR87" s="463">
        <f>BR83-BQ83</f>
      </c>
      <c r="BS87" s="463">
        <f>BS83-BR83</f>
      </c>
      <c r="BT87" s="293"/>
      <c r="BU87" s="470">
        <f>BU83-BS83</f>
      </c>
      <c r="BV87" s="463">
        <f>BV83-BU83</f>
      </c>
      <c r="BW87" s="463">
        <f>BW83-BV83</f>
      </c>
      <c r="BX87" s="463">
        <f>BX83-BW83</f>
      </c>
      <c r="BY87" s="293"/>
      <c r="BZ87" s="470">
        <f>BZ83-BX83</f>
      </c>
      <c r="CA87" s="463">
        <f>CA83-BZ83</f>
      </c>
      <c r="CB87" s="463">
        <f>CB83-CA83</f>
      </c>
      <c r="CC87" s="463">
        <f>CC83-CB83</f>
      </c>
      <c r="CD87" s="293"/>
      <c r="CE87" s="470">
        <f>CE83-CC83</f>
      </c>
      <c r="CF87" s="463">
        <f>CF83-CE83</f>
      </c>
      <c r="CG87" s="463">
        <f>CG83-CF83</f>
      </c>
      <c r="CH87" s="463">
        <f>CH83-CG83</f>
      </c>
      <c r="CI87" s="293"/>
      <c r="CJ87" s="470">
        <f>CJ83-CH83</f>
      </c>
      <c r="CK87" s="463">
        <f>CK83-CJ83</f>
      </c>
      <c r="CL87" s="463">
        <f>CL83-CK83</f>
      </c>
      <c r="CM87" s="463">
        <f>CM83-CL83</f>
      </c>
      <c r="CN87" s="293"/>
      <c r="CO87" s="470">
        <f>CO83-CM83</f>
      </c>
      <c r="CP87" s="463">
        <f>CP83-CO83</f>
      </c>
      <c r="CQ87" s="463">
        <f>CQ83-CP83</f>
      </c>
      <c r="CR87" s="463">
        <f>CR83-CQ83</f>
      </c>
      <c r="CS87" s="293"/>
      <c r="CT87" s="470">
        <f>CT83-CR83</f>
      </c>
      <c r="CU87" s="463">
        <f>CU83-CT83</f>
      </c>
      <c r="CV87" s="463">
        <f>CV83-CU83</f>
      </c>
      <c r="CW87" s="463">
        <f>CW83-CV83</f>
      </c>
      <c r="CX87" s="293"/>
      <c r="CY87" s="470">
        <f>CY83-CW83</f>
      </c>
      <c r="CZ87" s="463">
        <f>CZ83-CY83</f>
      </c>
      <c r="DA87" s="463">
        <f>DA83-CZ83</f>
      </c>
      <c r="DB87" s="463">
        <f>DB83-DA83</f>
      </c>
      <c r="DC87" s="293"/>
      <c r="DD87" s="470">
        <f>DD83-DB83</f>
      </c>
      <c r="DE87" s="463">
        <f>DE83-DD83</f>
      </c>
      <c r="DF87" s="463">
        <f>DF83-DE83</f>
      </c>
      <c r="DG87" s="463">
        <f>DG83-DF83</f>
      </c>
      <c r="DH87" s="293"/>
      <c r="DI87" s="470">
        <f>DI83-DG83</f>
      </c>
      <c r="DJ87" s="463">
        <f>DJ83-DI83</f>
      </c>
      <c r="DK87" s="463">
        <f>DK83-DJ83</f>
      </c>
      <c r="DL87" s="463">
        <f>DL83-DK83</f>
      </c>
      <c r="DM87" s="293"/>
      <c r="DN87" s="470">
        <f>DN83-DL83</f>
      </c>
      <c r="DO87" s="463">
        <f>DO83-DN83</f>
      </c>
      <c r="DP87" s="463">
        <f>DP83-DO83</f>
      </c>
      <c r="DQ87" s="463">
        <f>DQ83-DP83</f>
      </c>
      <c r="DR87" s="293"/>
      <c r="DS87" s="470">
        <f>DS83-DQ83</f>
      </c>
      <c r="DT87" s="463">
        <f>DT83-DS83</f>
      </c>
      <c r="DU87" s="463">
        <f>DU83-DT83</f>
      </c>
      <c r="DV87" s="463">
        <f>DV83-DU83</f>
      </c>
      <c r="DW87" s="293"/>
      <c r="DX87" s="470">
        <f>DX83-DV83</f>
      </c>
      <c r="DY87" s="463">
        <f>DY83-DX83</f>
      </c>
      <c r="DZ87" s="463">
        <f>DZ83-DY83</f>
      </c>
      <c r="EA87" s="463">
        <f>EA83-DZ83</f>
      </c>
      <c r="EB87" s="293"/>
      <c r="EC87" s="470">
        <f>EC83-EA83</f>
      </c>
      <c r="ED87" s="463">
        <f>ED83-EC83</f>
      </c>
      <c r="EE87" s="463">
        <f>EE83-ED83</f>
      </c>
      <c r="EF87" s="463">
        <f>EF83-EE83</f>
      </c>
      <c r="EG87" s="293"/>
      <c r="EH87" s="470">
        <f>EH83-EF83</f>
      </c>
      <c r="EI87" s="463">
        <f>EI83-EH83</f>
      </c>
      <c r="EJ87" s="463">
        <f>EJ83-EI83</f>
      </c>
      <c r="EK87" s="463">
        <f>EK83-EJ83</f>
      </c>
      <c r="EL87" s="293"/>
      <c r="EM87" s="470">
        <f>EM83-EK83</f>
      </c>
      <c r="EN87" s="463">
        <f>EN83-EM83</f>
      </c>
      <c r="EO87" s="463">
        <f>EO83-EN83</f>
      </c>
      <c r="EP87" s="463">
        <f>EP83-EO83</f>
      </c>
      <c r="EQ87" s="293"/>
      <c r="ER87" s="470">
        <f>ER83-EP83</f>
      </c>
      <c r="ES87" s="463">
        <f>ES83-ER83</f>
      </c>
      <c r="ET87" s="1399">
        <f>ET83-ES83</f>
      </c>
      <c r="EU87" s="1399">
        <f>EU83-ET83</f>
      </c>
      <c r="EV87" s="293"/>
      <c r="EW87" s="1590">
        <f>EW83-EU83</f>
      </c>
      <c r="EX87" s="1399">
        <f>EX83-EW83</f>
      </c>
      <c r="EY87" s="1399">
        <f>EY83-EX83</f>
      </c>
      <c r="EZ87" s="1399">
        <f>EZ83-EY83</f>
      </c>
      <c r="FA87" s="293"/>
      <c r="FB87" s="470">
        <f>FB83-EZ83</f>
      </c>
      <c r="FC87" s="463">
        <f>FC83-FB83</f>
      </c>
      <c r="FD87" s="463">
        <f>FD83-FC83</f>
      </c>
      <c r="FE87" s="463">
        <f>FE83-FD83</f>
      </c>
      <c r="FF87" s="293"/>
      <c r="FG87" s="470">
        <f>FG83-FE83</f>
      </c>
      <c r="FH87" s="463">
        <f>FH83-FG83</f>
      </c>
      <c r="FI87" s="463">
        <f>FI83-FH83</f>
      </c>
      <c r="FJ87" s="463">
        <f>FJ83-FI83</f>
      </c>
      <c r="FK87" s="293"/>
      <c r="FL87" s="470">
        <f>FL83-FJ83</f>
      </c>
      <c r="FM87" s="463">
        <f>FM83-FL83</f>
      </c>
      <c r="FN87" s="463">
        <f>FN83-FM83</f>
      </c>
      <c r="FO87" s="463">
        <f>FO83-FN83</f>
      </c>
      <c r="FP87" s="293"/>
      <c r="FQ87" s="470">
        <f>FQ83-FO83</f>
      </c>
      <c r="FR87" s="463">
        <f>FR83-FQ83</f>
      </c>
      <c r="FS87" s="463">
        <f>FS83-FR83</f>
      </c>
      <c r="FT87" s="463">
        <f>FT83-FS83</f>
      </c>
      <c r="FU87" s="293"/>
      <c r="FV87" s="470">
        <f>FV83-FT83</f>
      </c>
      <c r="FW87" s="463">
        <f>FW83-FV83</f>
      </c>
      <c r="FX87" s="463">
        <f>FX83-FW83</f>
      </c>
      <c r="FY87" s="463">
        <f>FY83-FX83</f>
      </c>
      <c r="FZ87" s="293"/>
      <c r="GA87" s="470">
        <f>GA83-FY83</f>
      </c>
      <c r="GB87" s="463">
        <f>GB83-GA83</f>
      </c>
      <c r="GC87" s="463">
        <f>GC83-GB83</f>
      </c>
      <c r="GD87" s="463">
        <f>GD83-GC83</f>
      </c>
      <c r="GE87" s="293"/>
      <c r="GF87" s="470">
        <f>GF83-GD83</f>
      </c>
      <c r="GG87" s="463">
        <f>GG83-GF83</f>
      </c>
      <c r="GH87" s="463">
        <f>GH83-GG83</f>
      </c>
      <c r="GI87" s="463">
        <f>GI83-GH83</f>
      </c>
      <c r="GJ87" s="293"/>
    </row>
    <row r="88" spans="1:192" s="1241" customFormat="1" ht="12.75" customHeight="1">
      <c r="A88" s="1254"/>
      <c r="B88" s="618" t="s">
        <v>257</v>
      </c>
      <c r="C88" s="924">
        <f t="shared" ref="C88:AH88" si="177">IFERROR(C83/C$24,"")</f>
      </c>
      <c r="D88" s="924">
        <f t="shared" si="177"/>
      </c>
      <c r="E88" s="924">
        <f t="shared" si="177"/>
      </c>
      <c r="F88" s="924">
        <f t="shared" si="177"/>
      </c>
      <c r="G88" s="1240">
        <f t="shared" si="177"/>
      </c>
      <c r="H88" s="924">
        <f t="shared" si="177"/>
      </c>
      <c r="I88" s="924">
        <f t="shared" si="177"/>
      </c>
      <c r="J88" s="924">
        <f t="shared" si="177"/>
      </c>
      <c r="K88" s="924">
        <f t="shared" si="177"/>
      </c>
      <c r="L88" s="1240">
        <f t="shared" si="177"/>
      </c>
      <c r="M88" s="924">
        <f t="shared" si="177"/>
      </c>
      <c r="N88" s="924">
        <f t="shared" si="177"/>
      </c>
      <c r="O88" s="924">
        <f t="shared" si="177"/>
      </c>
      <c r="P88" s="924">
        <f t="shared" si="177"/>
      </c>
      <c r="Q88" s="1240">
        <f t="shared" si="177"/>
      </c>
      <c r="R88" s="924">
        <f t="shared" si="177"/>
      </c>
      <c r="S88" s="924">
        <f t="shared" si="177"/>
      </c>
      <c r="T88" s="924">
        <f t="shared" si="177"/>
      </c>
      <c r="U88" s="924">
        <f t="shared" si="177"/>
      </c>
      <c r="V88" s="1240">
        <f t="shared" si="177"/>
      </c>
      <c r="W88" s="924">
        <f t="shared" si="177"/>
      </c>
      <c r="X88" s="924">
        <f t="shared" si="177"/>
      </c>
      <c r="Y88" s="924">
        <f t="shared" si="177"/>
      </c>
      <c r="Z88" s="924">
        <f t="shared" si="177"/>
      </c>
      <c r="AA88" s="1240">
        <f t="shared" si="177"/>
      </c>
      <c r="AB88" s="924">
        <f t="shared" si="177"/>
      </c>
      <c r="AC88" s="924">
        <f t="shared" si="177"/>
      </c>
      <c r="AD88" s="924">
        <f t="shared" si="177"/>
      </c>
      <c r="AE88" s="924">
        <f t="shared" si="177"/>
      </c>
      <c r="AF88" s="1240">
        <f t="shared" si="177"/>
      </c>
      <c r="AG88" s="924">
        <f t="shared" si="177"/>
      </c>
      <c r="AH88" s="924">
        <f t="shared" si="177"/>
      </c>
      <c r="AI88" s="924">
        <f t="shared" ref="AI88:BN88" si="178">IFERROR(AI83/AI$24,"")</f>
      </c>
      <c r="AJ88" s="924">
        <f t="shared" si="178"/>
      </c>
      <c r="AK88" s="1240">
        <f t="shared" si="178"/>
      </c>
      <c r="AL88" s="924">
        <f t="shared" si="178"/>
      </c>
      <c r="AM88" s="924">
        <f t="shared" si="178"/>
      </c>
      <c r="AN88" s="924">
        <f t="shared" si="178"/>
      </c>
      <c r="AO88" s="924">
        <f t="shared" si="178"/>
      </c>
      <c r="AP88" s="1240">
        <f t="shared" si="178"/>
      </c>
      <c r="AQ88" s="924">
        <f t="shared" si="178"/>
      </c>
      <c r="AR88" s="924">
        <f t="shared" si="178"/>
      </c>
      <c r="AS88" s="924">
        <f t="shared" si="178"/>
      </c>
      <c r="AT88" s="924">
        <f t="shared" si="178"/>
      </c>
      <c r="AU88" s="1240">
        <f t="shared" si="178"/>
      </c>
      <c r="AV88" s="924">
        <f t="shared" si="178"/>
      </c>
      <c r="AW88" s="924">
        <f t="shared" si="178"/>
      </c>
      <c r="AX88" s="924">
        <f t="shared" si="178"/>
      </c>
      <c r="AY88" s="924">
        <f t="shared" si="178"/>
      </c>
      <c r="AZ88" s="1240">
        <f t="shared" si="178"/>
      </c>
      <c r="BA88" s="924">
        <f t="shared" si="178"/>
      </c>
      <c r="BB88" s="924">
        <f t="shared" si="178"/>
      </c>
      <c r="BC88" s="924">
        <f t="shared" si="178"/>
      </c>
      <c r="BD88" s="924">
        <f t="shared" si="178"/>
      </c>
      <c r="BE88" s="1240">
        <f t="shared" si="178"/>
      </c>
      <c r="BF88" s="924">
        <f t="shared" si="178"/>
      </c>
      <c r="BG88" s="924">
        <f t="shared" si="178"/>
      </c>
      <c r="BH88" s="924">
        <f t="shared" si="178"/>
      </c>
      <c r="BI88" s="924">
        <f t="shared" si="178"/>
      </c>
      <c r="BJ88" s="1240">
        <f t="shared" si="178"/>
      </c>
      <c r="BK88" s="924">
        <f t="shared" si="178"/>
      </c>
      <c r="BL88" s="924">
        <f t="shared" si="178"/>
      </c>
      <c r="BM88" s="924">
        <f t="shared" si="178"/>
      </c>
      <c r="BN88" s="924">
        <f t="shared" si="178"/>
      </c>
      <c r="BO88" s="1240">
        <f t="shared" ref="BO88:CT88" si="179">IFERROR(BO83/BO$24,"")</f>
      </c>
      <c r="BP88" s="924">
        <f t="shared" si="179"/>
      </c>
      <c r="BQ88" s="924">
        <f t="shared" si="179"/>
      </c>
      <c r="BR88" s="924">
        <f t="shared" si="179"/>
      </c>
      <c r="BS88" s="924">
        <f t="shared" si="179"/>
      </c>
      <c r="BT88" s="1240">
        <f t="shared" si="179"/>
      </c>
      <c r="BU88" s="924">
        <f t="shared" si="179"/>
      </c>
      <c r="BV88" s="924">
        <f t="shared" si="179"/>
      </c>
      <c r="BW88" s="924">
        <f t="shared" si="179"/>
      </c>
      <c r="BX88" s="924">
        <f t="shared" si="179"/>
      </c>
      <c r="BY88" s="1240">
        <f t="shared" si="179"/>
      </c>
      <c r="BZ88" s="924">
        <f t="shared" si="179"/>
      </c>
      <c r="CA88" s="924">
        <f t="shared" si="179"/>
      </c>
      <c r="CB88" s="924">
        <f t="shared" si="179"/>
      </c>
      <c r="CC88" s="924">
        <f t="shared" si="179"/>
      </c>
      <c r="CD88" s="1240">
        <f t="shared" si="179"/>
      </c>
      <c r="CE88" s="924">
        <f t="shared" si="179"/>
      </c>
      <c r="CF88" s="924">
        <f t="shared" si="179"/>
      </c>
      <c r="CG88" s="924">
        <f t="shared" si="179"/>
      </c>
      <c r="CH88" s="924">
        <f t="shared" si="179"/>
      </c>
      <c r="CI88" s="1240">
        <f t="shared" si="179"/>
      </c>
      <c r="CJ88" s="924">
        <f t="shared" si="179"/>
      </c>
      <c r="CK88" s="924">
        <f t="shared" si="179"/>
      </c>
      <c r="CL88" s="924">
        <f t="shared" si="179"/>
      </c>
      <c r="CM88" s="924">
        <f t="shared" si="179"/>
      </c>
      <c r="CN88" s="1240">
        <f t="shared" si="179"/>
      </c>
      <c r="CO88" s="924">
        <f t="shared" si="179"/>
      </c>
      <c r="CP88" s="924">
        <f t="shared" si="179"/>
      </c>
      <c r="CQ88" s="924">
        <f t="shared" si="179"/>
      </c>
      <c r="CR88" s="924">
        <f t="shared" si="179"/>
      </c>
      <c r="CS88" s="1240">
        <f t="shared" si="179"/>
      </c>
      <c r="CT88" s="924">
        <f t="shared" si="179"/>
      </c>
      <c r="CU88" s="924">
        <f t="shared" ref="CU88:DZ88" si="180">IFERROR(CU83/CU$24,"")</f>
      </c>
      <c r="CV88" s="924">
        <f t="shared" si="180"/>
      </c>
      <c r="CW88" s="924">
        <f t="shared" si="180"/>
      </c>
      <c r="CX88" s="1240">
        <f t="shared" si="180"/>
      </c>
      <c r="CY88" s="924">
        <f t="shared" si="180"/>
      </c>
      <c r="CZ88" s="924">
        <f t="shared" si="180"/>
      </c>
      <c r="DA88" s="924">
        <f t="shared" si="180"/>
      </c>
      <c r="DB88" s="924">
        <f t="shared" si="180"/>
      </c>
      <c r="DC88" s="1240">
        <f t="shared" si="180"/>
      </c>
      <c r="DD88" s="924">
        <f t="shared" si="180"/>
      </c>
      <c r="DE88" s="924">
        <f t="shared" si="180"/>
      </c>
      <c r="DF88" s="924">
        <f t="shared" si="180"/>
      </c>
      <c r="DG88" s="924">
        <f t="shared" si="180"/>
      </c>
      <c r="DH88" s="1240">
        <f t="shared" si="180"/>
      </c>
      <c r="DI88" s="924">
        <f t="shared" si="180"/>
      </c>
      <c r="DJ88" s="924">
        <f t="shared" si="180"/>
      </c>
      <c r="DK88" s="924">
        <f t="shared" si="180"/>
      </c>
      <c r="DL88" s="924">
        <f t="shared" si="180"/>
      </c>
      <c r="DM88" s="1240">
        <f t="shared" si="180"/>
      </c>
      <c r="DN88" s="924">
        <f t="shared" si="180"/>
      </c>
      <c r="DO88" s="924">
        <f t="shared" si="180"/>
      </c>
      <c r="DP88" s="924">
        <f t="shared" si="180"/>
      </c>
      <c r="DQ88" s="924">
        <f t="shared" si="180"/>
      </c>
      <c r="DR88" s="1240">
        <f t="shared" si="180"/>
      </c>
      <c r="DS88" s="924">
        <f t="shared" si="180"/>
      </c>
      <c r="DT88" s="924">
        <f t="shared" si="180"/>
      </c>
      <c r="DU88" s="924">
        <f t="shared" si="180"/>
      </c>
      <c r="DV88" s="924">
        <f t="shared" si="180"/>
      </c>
      <c r="DW88" s="1240">
        <f t="shared" si="180"/>
      </c>
      <c r="DX88" s="924">
        <f t="shared" si="180"/>
      </c>
      <c r="DY88" s="924">
        <f t="shared" si="180"/>
      </c>
      <c r="DZ88" s="924">
        <f t="shared" si="180"/>
      </c>
      <c r="EA88" s="924">
        <f t="shared" ref="EA88:ES88" si="181">IFERROR(EA83/EA$24,"")</f>
      </c>
      <c r="EB88" s="1240">
        <f t="shared" si="181"/>
      </c>
      <c r="EC88" s="924">
        <f t="shared" si="181"/>
      </c>
      <c r="ED88" s="924">
        <f t="shared" si="181"/>
      </c>
      <c r="EE88" s="924">
        <f t="shared" si="181"/>
      </c>
      <c r="EF88" s="924">
        <f t="shared" si="181"/>
      </c>
      <c r="EG88" s="1240">
        <f t="shared" si="181"/>
      </c>
      <c r="EH88" s="924">
        <f t="shared" si="181"/>
      </c>
      <c r="EI88" s="924">
        <f t="shared" si="181"/>
      </c>
      <c r="EJ88" s="924">
        <f t="shared" si="181"/>
      </c>
      <c r="EK88" s="924">
        <f t="shared" si="181"/>
      </c>
      <c r="EL88" s="1240">
        <f t="shared" si="181"/>
      </c>
      <c r="EM88" s="924">
        <f t="shared" si="181"/>
      </c>
      <c r="EN88" s="924">
        <f t="shared" si="181"/>
      </c>
      <c r="EO88" s="924">
        <f t="shared" si="181"/>
      </c>
      <c r="EP88" s="924">
        <f t="shared" si="181"/>
      </c>
      <c r="EQ88" s="1240">
        <f t="shared" si="181"/>
      </c>
      <c r="ER88" s="924">
        <f t="shared" si="181"/>
      </c>
      <c r="ES88" s="924">
        <f t="shared" si="181"/>
      </c>
      <c r="ET88" s="1356">
        <f>IFERROR(ET83/ET$24,"")</f>
      </c>
      <c r="EU88" s="1356">
        <f>IFERROR(EU83/EU$24,"")</f>
      </c>
      <c r="EV88" s="1240">
        <f>IFERROR(EV83/EV$24,"")</f>
      </c>
      <c r="EW88" s="1356">
        <f t="shared" ref="EW88:EX88" si="182">IFERROR(EW83/EW$24,"")</f>
      </c>
      <c r="EX88" s="1356">
        <f t="shared" si="182"/>
      </c>
      <c r="EY88" s="1356">
        <f>IFERROR(EY83/EY$24,"")</f>
      </c>
      <c r="EZ88" s="1356">
        <f>IFERROR(EZ83/EZ$24,"")</f>
      </c>
      <c r="FA88" s="1240">
        <f>IFERROR(FA83/FA$24,"")</f>
      </c>
      <c r="FB88" s="1117">
        <f>EW88-0.75%</f>
      </c>
      <c r="FC88" s="1117">
        <f t="shared" ref="FC88:FE88" si="183">EX88-0.9%</f>
      </c>
      <c r="FD88" s="1117">
        <f t="shared" si="183"/>
      </c>
      <c r="FE88" s="1117">
        <f t="shared" si="183"/>
      </c>
      <c r="FF88" s="893">
        <f>IFERROR(FF83/FF$24,"--")</f>
      </c>
      <c r="FG88" s="1117">
        <f>FB88-0.25%</f>
      </c>
      <c r="FH88" s="1117">
        <f t="shared" ref="FH88:FJ88" si="184">FC88-0.25%</f>
      </c>
      <c r="FI88" s="1117">
        <f t="shared" si="184"/>
      </c>
      <c r="FJ88" s="1117">
        <f t="shared" si="184"/>
      </c>
      <c r="FK88" s="893">
        <f>IFERROR(FK83/FK$24,"--")</f>
      </c>
      <c r="FL88" s="1117">
        <f>FG88-0.2%</f>
      </c>
      <c r="FM88" s="1117">
        <f>FH88-0.2%</f>
      </c>
      <c r="FN88" s="1117">
        <f>FI88-0.2%</f>
      </c>
      <c r="FO88" s="1117">
        <f>FJ88-0.2%</f>
      </c>
      <c r="FP88" s="893">
        <f>IFERROR(FP83/FP$24,"--")</f>
      </c>
      <c r="FQ88" s="1117">
        <f>FL88-0.2%</f>
      </c>
      <c r="FR88" s="1117">
        <f>FM88-0.2%</f>
      </c>
      <c r="FS88" s="1117">
        <f>FN88-0.2%</f>
      </c>
      <c r="FT88" s="1117">
        <f>FO88-0.2%</f>
      </c>
      <c r="FU88" s="893">
        <f>IFERROR(FU83/FU$24,"--")</f>
      </c>
      <c r="FV88" s="1117">
        <f>FQ88-0.2%</f>
      </c>
      <c r="FW88" s="1117">
        <f>FR88-0.2%</f>
      </c>
      <c r="FX88" s="1117">
        <f>FS88-0.2%</f>
      </c>
      <c r="FY88" s="1117">
        <f>FT88-0.2%</f>
      </c>
      <c r="FZ88" s="893">
        <f>IFERROR(FZ83/FZ$24,"--")</f>
      </c>
      <c r="GA88" s="1117">
        <f>FV88-0.2%</f>
      </c>
      <c r="GB88" s="1117">
        <f>FW88-0.2%</f>
      </c>
      <c r="GC88" s="1117">
        <f>FX88-0.2%</f>
      </c>
      <c r="GD88" s="1117">
        <f>FY88-0.2%</f>
      </c>
      <c r="GE88" s="893">
        <f>IFERROR(GE83/GE$24,"--")</f>
      </c>
      <c r="GF88" s="1117">
        <f>GA88-0.2%</f>
      </c>
      <c r="GG88" s="1117">
        <f>GB88-0.2%</f>
      </c>
      <c r="GH88" s="1117">
        <f>GC88-0.2%</f>
      </c>
      <c r="GI88" s="1117">
        <f>GD88-0.2%</f>
      </c>
      <c r="GJ88" s="893">
        <f>IFERROR(GJ83/GJ$24,"--")</f>
      </c>
    </row>
    <row r="89" spans="1:192" s="335" customFormat="1" ht="12.75" customHeight="1">
      <c r="A89" s="790"/>
      <c r="B89" s="69"/>
      <c r="C89" s="106"/>
      <c r="D89" s="107"/>
      <c r="E89" s="107"/>
      <c r="F89" s="346"/>
      <c r="G89" s="347"/>
      <c r="H89" s="106"/>
      <c r="I89" s="107"/>
      <c r="J89" s="107"/>
      <c r="K89" s="346"/>
      <c r="L89" s="347"/>
      <c r="M89" s="106"/>
      <c r="N89" s="107"/>
      <c r="O89" s="107"/>
      <c r="P89" s="346"/>
      <c r="Q89" s="347"/>
      <c r="R89" s="106"/>
      <c r="S89" s="107"/>
      <c r="T89" s="107"/>
      <c r="U89" s="346"/>
      <c r="V89" s="347"/>
      <c r="W89" s="106"/>
      <c r="X89" s="107"/>
      <c r="Y89" s="107"/>
      <c r="Z89" s="346"/>
      <c r="AA89" s="347"/>
      <c r="AB89" s="106"/>
      <c r="AC89" s="107"/>
      <c r="AD89" s="107"/>
      <c r="AE89" s="346"/>
      <c r="AF89" s="347"/>
      <c r="AG89" s="106"/>
      <c r="AH89" s="107"/>
      <c r="AI89" s="107"/>
      <c r="AJ89" s="346"/>
      <c r="AK89" s="347"/>
      <c r="AL89" s="106"/>
      <c r="AM89" s="107"/>
      <c r="AN89" s="107"/>
      <c r="AO89" s="346"/>
      <c r="AP89" s="347"/>
      <c r="AQ89" s="106"/>
      <c r="AR89" s="107"/>
      <c r="AS89" s="107"/>
      <c r="AT89" s="346"/>
      <c r="AU89" s="347"/>
      <c r="AV89" s="106"/>
      <c r="AW89" s="107"/>
      <c r="AX89" s="107"/>
      <c r="AY89" s="346"/>
      <c r="AZ89" s="347"/>
      <c r="BA89" s="106"/>
      <c r="BB89" s="107"/>
      <c r="BC89" s="107"/>
      <c r="BD89" s="346"/>
      <c r="BE89" s="347"/>
      <c r="BF89" s="106"/>
      <c r="BG89" s="107"/>
      <c r="BH89" s="107"/>
      <c r="BI89" s="346"/>
      <c r="BJ89" s="347"/>
      <c r="BK89" s="106"/>
      <c r="BL89" s="107"/>
      <c r="BM89" s="107"/>
      <c r="BN89" s="346"/>
      <c r="BO89" s="347"/>
      <c r="BP89" s="106"/>
      <c r="BQ89" s="107"/>
      <c r="BR89" s="107"/>
      <c r="BS89" s="346"/>
      <c r="BT89" s="347"/>
      <c r="BU89" s="106"/>
      <c r="BV89" s="107"/>
      <c r="BW89" s="107"/>
      <c r="BX89" s="346"/>
      <c r="BY89" s="347"/>
      <c r="BZ89" s="106"/>
      <c r="CA89" s="107"/>
      <c r="CB89" s="107"/>
      <c r="CC89" s="346"/>
      <c r="CD89" s="347"/>
      <c r="CE89" s="106"/>
      <c r="CF89" s="107"/>
      <c r="CG89" s="107"/>
      <c r="CH89" s="346"/>
      <c r="CI89" s="347"/>
      <c r="CJ89" s="106"/>
      <c r="CK89" s="107"/>
      <c r="CL89" s="107"/>
      <c r="CM89" s="346"/>
      <c r="CN89" s="347"/>
      <c r="CO89" s="106"/>
      <c r="CP89" s="107"/>
      <c r="CQ89" s="107"/>
      <c r="CR89" s="346"/>
      <c r="CS89" s="347"/>
      <c r="CT89" s="106"/>
      <c r="CU89" s="107"/>
      <c r="CV89" s="107"/>
      <c r="CW89" s="346"/>
      <c r="CX89" s="347"/>
      <c r="CY89" s="106"/>
      <c r="CZ89" s="107"/>
      <c r="DA89" s="107"/>
      <c r="DB89" s="346"/>
      <c r="DC89" s="347"/>
      <c r="DD89" s="106"/>
      <c r="DE89" s="107"/>
      <c r="DF89" s="107"/>
      <c r="DG89" s="346"/>
      <c r="DH89" s="347"/>
      <c r="DI89" s="106"/>
      <c r="DJ89" s="107"/>
      <c r="DK89" s="107"/>
      <c r="DL89" s="346"/>
      <c r="DM89" s="347"/>
      <c r="DN89" s="106"/>
      <c r="DO89" s="107"/>
      <c r="DP89" s="107"/>
      <c r="DQ89" s="346"/>
      <c r="DR89" s="347"/>
      <c r="DS89" s="106"/>
      <c r="DT89" s="107"/>
      <c r="DU89" s="107"/>
      <c r="DV89" s="346"/>
      <c r="DW89" s="347"/>
      <c r="DX89" s="106"/>
      <c r="DY89" s="107"/>
      <c r="DZ89" s="107"/>
      <c r="EA89" s="346"/>
      <c r="EB89" s="347"/>
      <c r="EC89" s="106"/>
      <c r="ED89" s="107"/>
      <c r="EE89" s="107"/>
      <c r="EF89" s="346"/>
      <c r="EG89" s="347"/>
      <c r="EH89" s="106"/>
      <c r="EI89" s="107"/>
      <c r="EJ89" s="107"/>
      <c r="EK89" s="346"/>
      <c r="EL89" s="347"/>
      <c r="EM89" s="106"/>
      <c r="EN89" s="107"/>
      <c r="EO89" s="107"/>
      <c r="EP89" s="346"/>
      <c r="EQ89" s="347"/>
      <c r="ER89" s="106"/>
      <c r="ES89" s="107"/>
      <c r="ET89" s="468"/>
      <c r="EU89" s="1496"/>
      <c r="EV89" s="347"/>
      <c r="EW89" s="882"/>
      <c r="EX89" s="468"/>
      <c r="EY89" s="468"/>
      <c r="EZ89" s="1496"/>
      <c r="FA89" s="347"/>
      <c r="FB89" s="106"/>
      <c r="FC89" s="107"/>
      <c r="FD89" s="107"/>
      <c r="FE89" s="346"/>
      <c r="FF89" s="347"/>
      <c r="FG89" s="106"/>
      <c r="FH89" s="107"/>
      <c r="FI89" s="107"/>
      <c r="FJ89" s="346"/>
      <c r="FK89" s="347"/>
      <c r="FL89" s="106"/>
      <c r="FM89" s="107"/>
      <c r="FN89" s="107"/>
      <c r="FO89" s="346"/>
      <c r="FP89" s="347"/>
      <c r="FQ89" s="106"/>
      <c r="FR89" s="107"/>
      <c r="FS89" s="107"/>
      <c r="FT89" s="346"/>
      <c r="FU89" s="347"/>
      <c r="FV89" s="106"/>
      <c r="FW89" s="107"/>
      <c r="FX89" s="107"/>
      <c r="FY89" s="346"/>
      <c r="FZ89" s="347"/>
      <c r="GA89" s="106"/>
      <c r="GB89" s="107"/>
      <c r="GC89" s="107"/>
      <c r="GD89" s="346"/>
      <c r="GE89" s="347"/>
      <c r="GF89" s="106"/>
      <c r="GG89" s="107"/>
      <c r="GH89" s="107"/>
      <c r="GI89" s="346"/>
      <c r="GJ89" s="347"/>
    </row>
    <row r="90" spans="1:192" s="461" customFormat="1" ht="12.75" customHeight="1">
      <c r="A90" s="370"/>
      <c r="B90" s="625" t="s">
        <v>147</v>
      </c>
      <c r="C90" s="626">
        <v>51</v>
      </c>
      <c r="D90" s="626">
        <v>62</v>
      </c>
      <c r="E90" s="626">
        <v>68</v>
      </c>
      <c r="F90" s="626">
        <v>86</v>
      </c>
      <c r="G90" s="627">
        <f>SUM(C90:F90)</f>
      </c>
      <c r="H90" s="626">
        <v>63</v>
      </c>
      <c r="I90" s="626">
        <v>76</v>
      </c>
      <c r="J90" s="626">
        <v>87</v>
      </c>
      <c r="K90" s="626">
        <v>90</v>
      </c>
      <c r="L90" s="627">
        <f>SUM(H90:K90)</f>
      </c>
      <c r="M90" s="626">
        <v>86</v>
      </c>
      <c r="N90" s="626">
        <v>81</v>
      </c>
      <c r="O90" s="626">
        <v>101</v>
      </c>
      <c r="P90" s="626">
        <v>94</v>
      </c>
      <c r="Q90" s="627">
        <f>SUM(M90:P90)</f>
      </c>
      <c r="R90" s="626">
        <v>95</v>
      </c>
      <c r="S90" s="626">
        <v>106</v>
      </c>
      <c r="T90" s="626">
        <v>104</v>
      </c>
      <c r="U90" s="626">
        <v>128</v>
      </c>
      <c r="V90" s="627">
        <f>SUM(R90:U90)</f>
      </c>
      <c r="W90" s="626">
        <v>99</v>
      </c>
      <c r="X90" s="626">
        <v>149</v>
      </c>
      <c r="Y90" s="626">
        <v>144</v>
      </c>
      <c r="Z90" s="626">
        <v>297</v>
      </c>
      <c r="AA90" s="627">
        <f>SUM(W90:Z90)</f>
      </c>
      <c r="AB90" s="626">
        <v>143</v>
      </c>
      <c r="AC90" s="626">
        <v>506</v>
      </c>
      <c r="AD90" s="626">
        <v>176</v>
      </c>
      <c r="AE90" s="626">
        <v>184</v>
      </c>
      <c r="AF90" s="627">
        <f>SUM(AB90:AE90)</f>
      </c>
      <c r="AG90" s="626">
        <v>170</v>
      </c>
      <c r="AH90" s="626">
        <v>212</v>
      </c>
      <c r="AI90" s="626">
        <v>239</v>
      </c>
      <c r="AJ90" s="626">
        <v>236</v>
      </c>
      <c r="AK90" s="627">
        <f>SUM(AG90:AJ90)</f>
      </c>
      <c r="AL90" s="626">
        <v>187</v>
      </c>
      <c r="AM90" s="626">
        <v>833</v>
      </c>
      <c r="AN90" s="626">
        <v>246</v>
      </c>
      <c r="AO90" s="626">
        <v>284</v>
      </c>
      <c r="AP90" s="627">
        <f>SUM(AL90:AO90)</f>
      </c>
      <c r="AQ90" s="626">
        <v>252</v>
      </c>
      <c r="AR90" s="626">
        <v>497</v>
      </c>
      <c r="AS90" s="626">
        <v>425</v>
      </c>
      <c r="AT90" s="626">
        <v>1252</v>
      </c>
      <c r="AU90" s="627">
        <f>SUM(AQ90:AT90)</f>
      </c>
      <c r="AV90" s="626">
        <v>471</v>
      </c>
      <c r="AW90" s="626">
        <v>896</v>
      </c>
      <c r="AX90" s="626">
        <v>3020</v>
      </c>
      <c r="AY90" s="626">
        <v>610</v>
      </c>
      <c r="AZ90" s="627">
        <f>SUM(AV90:AY90)</f>
      </c>
      <c r="BA90" s="626">
        <v>1096</v>
      </c>
      <c r="BB90" s="626">
        <v>651</v>
      </c>
      <c r="BC90" s="626">
        <v>1376</v>
      </c>
      <c r="BD90" s="626">
        <f>4166-BC90-BB90-BA90</f>
      </c>
      <c r="BE90" s="627">
        <f>SUM(BA90:BD90)</f>
      </c>
      <c r="BF90" s="626">
        <v>982</v>
      </c>
      <c r="BG90" s="626">
        <v>661</v>
      </c>
      <c r="BH90" s="626">
        <v>1005</v>
      </c>
      <c r="BI90" s="626">
        <v>1110</v>
      </c>
      <c r="BJ90" s="627">
        <f>SUM(BF90:BI90)</f>
      </c>
      <c r="BK90" s="626">
        <v>664</v>
      </c>
      <c r="BL90" s="626">
        <v>814</v>
      </c>
      <c r="BM90" s="626">
        <v>983</v>
      </c>
      <c r="BN90" s="626">
        <v>868</v>
      </c>
      <c r="BO90" s="627">
        <f>SUM(BK90:BN90)</f>
      </c>
      <c r="BP90" s="626">
        <v>718</v>
      </c>
      <c r="BQ90" s="626">
        <v>1066</v>
      </c>
      <c r="BR90" s="626">
        <v>2341</v>
      </c>
      <c r="BS90" s="626">
        <v>1002</v>
      </c>
      <c r="BT90" s="627">
        <f>SUM(BP90:BS90)</f>
      </c>
      <c r="BU90" s="626">
        <v>887</v>
      </c>
      <c r="BV90" s="626">
        <v>831</v>
      </c>
      <c r="BW90" s="626">
        <v>913</v>
      </c>
      <c r="BX90" s="626">
        <v>1069</v>
      </c>
      <c r="BY90" s="627">
        <f>SUM(BU90:BX90)</f>
      </c>
      <c r="BZ90" s="626">
        <v>741</v>
      </c>
      <c r="CA90" s="626">
        <v>1124</v>
      </c>
      <c r="CB90" s="626">
        <v>1152</v>
      </c>
      <c r="CC90" s="626">
        <v>987</v>
      </c>
      <c r="CD90" s="627">
        <f>SUM(BZ90:CC90)</f>
      </c>
      <c r="CE90" s="626">
        <v>938</v>
      </c>
      <c r="CF90" s="626">
        <v>945</v>
      </c>
      <c r="CG90" s="626">
        <v>1160</v>
      </c>
      <c r="CH90" s="626">
        <v>1179</v>
      </c>
      <c r="CI90" s="627">
        <f>SUM(CE90:CH90)</f>
      </c>
      <c r="CJ90" s="626">
        <v>1163</v>
      </c>
      <c r="CK90" s="626">
        <v>1120</v>
      </c>
      <c r="CL90" s="626">
        <v>1150</v>
      </c>
      <c r="CM90" s="626">
        <v>1136</v>
      </c>
      <c r="CN90" s="627">
        <f>SUM(CJ90:CM90)</f>
      </c>
      <c r="CO90" s="626">
        <v>1127</v>
      </c>
      <c r="CP90" s="626">
        <v>1156</v>
      </c>
      <c r="CQ90" s="626">
        <v>1656</v>
      </c>
      <c r="CR90" s="626">
        <v>1210</v>
      </c>
      <c r="CS90" s="627">
        <f>SUM(CO90:CR90)</f>
      </c>
      <c r="CT90" s="626">
        <v>979</v>
      </c>
      <c r="CU90" s="626">
        <v>1197</v>
      </c>
      <c r="CV90" s="626">
        <v>1166</v>
      </c>
      <c r="CW90" s="626">
        <v>1335</v>
      </c>
      <c r="CX90" s="627">
        <f>SUM(CT90:CW90)</f>
      </c>
      <c r="CY90" s="626">
        <v>1151</v>
      </c>
      <c r="CZ90" s="626">
        <v>1097</v>
      </c>
      <c r="DA90" s="626">
        <v>1091</v>
      </c>
      <c r="DB90" s="626">
        <v>1272</v>
      </c>
      <c r="DC90" s="627">
        <f>SUM(CY90:DB90)</f>
      </c>
      <c r="DD90" s="626">
        <v>1084</v>
      </c>
      <c r="DE90" s="626">
        <v>1038</v>
      </c>
      <c r="DF90" s="626">
        <v>1140</v>
      </c>
      <c r="DG90" s="626">
        <v>1301</v>
      </c>
      <c r="DH90" s="627">
        <f>SUM(DD90:DG90)</f>
      </c>
      <c r="DI90" s="626">
        <v>1045</v>
      </c>
      <c r="DJ90" s="626">
        <v>879</v>
      </c>
      <c r="DK90" s="626">
        <v>1202</v>
      </c>
      <c r="DL90" s="626">
        <v>1355</v>
      </c>
      <c r="DM90" s="627">
        <f>SUM(DI90:DL90)</f>
      </c>
      <c r="DN90" s="626">
        <v>1166</v>
      </c>
      <c r="DO90" s="626">
        <v>1109</v>
      </c>
      <c r="DP90" s="626">
        <v>1208</v>
      </c>
      <c r="DQ90" s="626">
        <v>1271</v>
      </c>
      <c r="DR90" s="627">
        <f>SUM(DN90:DQ90)</f>
      </c>
      <c r="DS90" s="626">
        <v>1149</v>
      </c>
      <c r="DT90" s="626">
        <v>1132</v>
      </c>
      <c r="DU90" s="626">
        <v>1179</v>
      </c>
      <c r="DV90" s="626">
        <v>1425</v>
      </c>
      <c r="DW90" s="627">
        <f>SUM(DS90:DV90)</f>
      </c>
      <c r="DX90" s="626">
        <v>1061</v>
      </c>
      <c r="DY90" s="626">
        <v>1121</v>
      </c>
      <c r="DZ90" s="626">
        <v>1273</v>
      </c>
      <c r="EA90" s="626">
        <v>1656</v>
      </c>
      <c r="EB90" s="627">
        <f>SUM(DX90:EA90)</f>
      </c>
      <c r="EC90" s="626">
        <v>1119</v>
      </c>
      <c r="ED90" s="626">
        <v>1139</v>
      </c>
      <c r="EE90" s="626">
        <v>1327</v>
      </c>
      <c r="EF90" s="626">
        <v>1522</v>
      </c>
      <c r="EG90" s="627">
        <f>SUM(EC90:EF90)</f>
      </c>
      <c r="EH90" s="626">
        <v>1287</v>
      </c>
      <c r="EI90" s="626">
        <v>1384</v>
      </c>
      <c r="EJ90" s="626">
        <v>1480</v>
      </c>
      <c r="EK90" s="626">
        <v>1749</v>
      </c>
      <c r="EL90" s="627">
        <f>SUM(EH90:EK90)</f>
      </c>
      <c r="EM90" s="626">
        <v>1398</v>
      </c>
      <c r="EN90" s="626">
        <v>2337</v>
      </c>
      <c r="EO90" s="626">
        <v>1643</v>
      </c>
      <c r="EP90" s="626">
        <v>2197</v>
      </c>
      <c r="EQ90" s="627">
        <f>SUM(EM90:EP90)</f>
      </c>
      <c r="ER90" s="626">
        <v>1474</v>
      </c>
      <c r="ES90" s="626">
        <v>1977</v>
      </c>
      <c r="ET90" s="629">
        <v>1912</v>
      </c>
      <c r="EU90" s="629">
        <v>2246</v>
      </c>
      <c r="EV90" s="627">
        <f>SUM(ER90:EU90)</f>
      </c>
      <c r="EW90" s="629">
        <v>1673</v>
      </c>
      <c r="EX90" s="629">
        <v>1823</v>
      </c>
      <c r="EY90" s="629">
        <v>1737</v>
      </c>
      <c r="EZ90" s="629">
        <v>1990</v>
      </c>
      <c r="FA90" s="627">
        <f>SUM(EW90:EZ90)</f>
      </c>
      <c r="FB90" s="609">
        <f>FB$24*FB95</f>
      </c>
      <c r="FC90" s="609">
        <f>FC$24*FC95</f>
      </c>
      <c r="FD90" s="609">
        <f>FD$24*FD95</f>
      </c>
      <c r="FE90" s="609">
        <f>FE$24*FE95</f>
      </c>
      <c r="FF90" s="620">
        <f>SUM(FB90:FE90)</f>
      </c>
      <c r="FG90" s="609">
        <f>FG$24*FG95</f>
      </c>
      <c r="FH90" s="609">
        <f>FH$24*FH95</f>
      </c>
      <c r="FI90" s="609">
        <f>FI$24*FI95</f>
      </c>
      <c r="FJ90" s="609">
        <f>FJ$24*FJ95</f>
      </c>
      <c r="FK90" s="620">
        <f>SUM(FG90:FJ90)</f>
      </c>
      <c r="FL90" s="609">
        <f>FL$24*FL95</f>
      </c>
      <c r="FM90" s="609">
        <f>FM$24*FM95</f>
      </c>
      <c r="FN90" s="609">
        <f>FN$24*FN95</f>
      </c>
      <c r="FO90" s="609">
        <f>FO$24*FO95</f>
      </c>
      <c r="FP90" s="620">
        <f>SUM(FL90:FO90)</f>
      </c>
      <c r="FQ90" s="609">
        <f>FQ$24*FQ95</f>
      </c>
      <c r="FR90" s="609">
        <f>FR$24*FR95</f>
      </c>
      <c r="FS90" s="609">
        <f>FS$24*FS95</f>
      </c>
      <c r="FT90" s="609">
        <f>FT$24*FT95</f>
      </c>
      <c r="FU90" s="620">
        <f>SUM(FQ90:FT90)</f>
      </c>
      <c r="FV90" s="609">
        <f>FV$24*FV95</f>
      </c>
      <c r="FW90" s="609">
        <f>FW$24*FW95</f>
      </c>
      <c r="FX90" s="609">
        <f>FX$24*FX95</f>
      </c>
      <c r="FY90" s="609">
        <f>FY$24*FY95</f>
      </c>
      <c r="FZ90" s="620">
        <f>SUM(FV90:FY90)</f>
      </c>
      <c r="GA90" s="609">
        <f>GA$24*GA95</f>
      </c>
      <c r="GB90" s="609">
        <f>GB$24*GB95</f>
      </c>
      <c r="GC90" s="609">
        <f>GC$24*GC95</f>
      </c>
      <c r="GD90" s="609">
        <f>GD$24*GD95</f>
      </c>
      <c r="GE90" s="620">
        <f>SUM(GA90:GD90)</f>
      </c>
      <c r="GF90" s="609">
        <f>GF$24*GF95</f>
      </c>
      <c r="GG90" s="609">
        <f>GG$24*GG95</f>
      </c>
      <c r="GH90" s="609">
        <f>GH$24*GH95</f>
      </c>
      <c r="GI90" s="609">
        <f>GI$24*GI95</f>
      </c>
      <c r="GJ90" s="620">
        <f>SUM(GF90:GI90)</f>
      </c>
    </row>
    <row r="91" spans="1:192" ht="12.75" customHeight="1">
      <c r="A91" s="791"/>
      <c r="B91" s="617" t="s">
        <v>34</v>
      </c>
      <c r="C91" s="291"/>
      <c r="D91" s="107"/>
      <c r="E91" s="107"/>
      <c r="F91" s="107"/>
      <c r="G91" s="536"/>
      <c r="H91" s="291">
        <f t="shared" ref="H91:AM91" si="185">IFERROR(H90/C90-1,"")</f>
      </c>
      <c r="I91" s="107">
        <f t="shared" si="185"/>
      </c>
      <c r="J91" s="107">
        <f t="shared" si="185"/>
      </c>
      <c r="K91" s="107">
        <f t="shared" si="185"/>
      </c>
      <c r="L91" s="292">
        <f t="shared" si="185"/>
      </c>
      <c r="M91" s="291">
        <f t="shared" si="185"/>
      </c>
      <c r="N91" s="107">
        <f t="shared" si="185"/>
      </c>
      <c r="O91" s="107">
        <f t="shared" si="185"/>
      </c>
      <c r="P91" s="107">
        <f t="shared" si="185"/>
      </c>
      <c r="Q91" s="292">
        <f t="shared" si="185"/>
      </c>
      <c r="R91" s="291">
        <f t="shared" si="185"/>
      </c>
      <c r="S91" s="107">
        <f t="shared" si="185"/>
      </c>
      <c r="T91" s="107">
        <f t="shared" si="185"/>
      </c>
      <c r="U91" s="107">
        <f t="shared" si="185"/>
      </c>
      <c r="V91" s="292">
        <f t="shared" si="185"/>
      </c>
      <c r="W91" s="291">
        <f t="shared" si="185"/>
      </c>
      <c r="X91" s="107">
        <f t="shared" si="185"/>
      </c>
      <c r="Y91" s="107">
        <f t="shared" si="185"/>
      </c>
      <c r="Z91" s="107">
        <f t="shared" si="185"/>
      </c>
      <c r="AA91" s="292">
        <f t="shared" si="185"/>
      </c>
      <c r="AB91" s="291">
        <f t="shared" si="185"/>
      </c>
      <c r="AC91" s="107">
        <f t="shared" si="185"/>
      </c>
      <c r="AD91" s="107">
        <f t="shared" si="185"/>
      </c>
      <c r="AE91" s="107">
        <f t="shared" si="185"/>
      </c>
      <c r="AF91" s="292">
        <f t="shared" si="185"/>
      </c>
      <c r="AG91" s="291">
        <f t="shared" si="185"/>
      </c>
      <c r="AH91" s="107">
        <f t="shared" si="185"/>
      </c>
      <c r="AI91" s="107">
        <f t="shared" si="185"/>
      </c>
      <c r="AJ91" s="107">
        <f t="shared" si="185"/>
      </c>
      <c r="AK91" s="292">
        <f t="shared" si="185"/>
      </c>
      <c r="AL91" s="291">
        <f t="shared" si="185"/>
      </c>
      <c r="AM91" s="107">
        <f t="shared" si="185"/>
      </c>
      <c r="AN91" s="107">
        <f t="shared" ref="AN91:BS91" si="186">IFERROR(AN90/AI90-1,"")</f>
      </c>
      <c r="AO91" s="107">
        <f t="shared" si="186"/>
      </c>
      <c r="AP91" s="292">
        <f t="shared" si="186"/>
      </c>
      <c r="AQ91" s="291">
        <f t="shared" si="186"/>
      </c>
      <c r="AR91" s="107">
        <f t="shared" si="186"/>
      </c>
      <c r="AS91" s="107">
        <f t="shared" si="186"/>
      </c>
      <c r="AT91" s="107">
        <f t="shared" si="186"/>
      </c>
      <c r="AU91" s="292">
        <f t="shared" si="186"/>
      </c>
      <c r="AV91" s="291">
        <f t="shared" si="186"/>
      </c>
      <c r="AW91" s="107">
        <f t="shared" si="186"/>
      </c>
      <c r="AX91" s="107">
        <f t="shared" si="186"/>
      </c>
      <c r="AY91" s="107">
        <f t="shared" si="186"/>
      </c>
      <c r="AZ91" s="292">
        <f t="shared" si="186"/>
      </c>
      <c r="BA91" s="291">
        <f t="shared" si="186"/>
      </c>
      <c r="BB91" s="107">
        <f t="shared" si="186"/>
      </c>
      <c r="BC91" s="107">
        <f t="shared" si="186"/>
      </c>
      <c r="BD91" s="107">
        <f t="shared" si="186"/>
      </c>
      <c r="BE91" s="292">
        <f t="shared" si="186"/>
      </c>
      <c r="BF91" s="291">
        <f t="shared" si="186"/>
      </c>
      <c r="BG91" s="107">
        <f t="shared" si="186"/>
      </c>
      <c r="BH91" s="107">
        <f t="shared" si="186"/>
      </c>
      <c r="BI91" s="107">
        <f t="shared" si="186"/>
      </c>
      <c r="BJ91" s="292">
        <f t="shared" si="186"/>
      </c>
      <c r="BK91" s="291">
        <f t="shared" si="186"/>
      </c>
      <c r="BL91" s="107">
        <f t="shared" si="186"/>
      </c>
      <c r="BM91" s="107">
        <f t="shared" si="186"/>
      </c>
      <c r="BN91" s="107">
        <f t="shared" si="186"/>
      </c>
      <c r="BO91" s="292">
        <f t="shared" si="186"/>
      </c>
      <c r="BP91" s="291">
        <f t="shared" si="186"/>
      </c>
      <c r="BQ91" s="107">
        <f t="shared" si="186"/>
      </c>
      <c r="BR91" s="107">
        <f t="shared" si="186"/>
      </c>
      <c r="BS91" s="107">
        <f t="shared" si="186"/>
      </c>
      <c r="BT91" s="292">
        <f t="shared" ref="BT91:CY91" si="187">IFERROR(BT90/BO90-1,"")</f>
      </c>
      <c r="BU91" s="291">
        <f t="shared" si="187"/>
      </c>
      <c r="BV91" s="107">
        <f t="shared" si="187"/>
      </c>
      <c r="BW91" s="107">
        <f t="shared" si="187"/>
      </c>
      <c r="BX91" s="107">
        <f t="shared" si="187"/>
      </c>
      <c r="BY91" s="292">
        <f t="shared" si="187"/>
      </c>
      <c r="BZ91" s="291">
        <f t="shared" si="187"/>
      </c>
      <c r="CA91" s="107">
        <f t="shared" si="187"/>
      </c>
      <c r="CB91" s="107">
        <f t="shared" si="187"/>
      </c>
      <c r="CC91" s="107">
        <f t="shared" si="187"/>
      </c>
      <c r="CD91" s="292">
        <f t="shared" si="187"/>
      </c>
      <c r="CE91" s="291">
        <f t="shared" si="187"/>
      </c>
      <c r="CF91" s="107">
        <f t="shared" si="187"/>
      </c>
      <c r="CG91" s="107">
        <f t="shared" si="187"/>
      </c>
      <c r="CH91" s="107">
        <f t="shared" si="187"/>
      </c>
      <c r="CI91" s="292">
        <f t="shared" si="187"/>
      </c>
      <c r="CJ91" s="291">
        <f t="shared" si="187"/>
      </c>
      <c r="CK91" s="107">
        <f t="shared" si="187"/>
      </c>
      <c r="CL91" s="107">
        <f t="shared" si="187"/>
      </c>
      <c r="CM91" s="107">
        <f t="shared" si="187"/>
      </c>
      <c r="CN91" s="292">
        <f t="shared" si="187"/>
      </c>
      <c r="CO91" s="291">
        <f t="shared" si="187"/>
      </c>
      <c r="CP91" s="107">
        <f t="shared" si="187"/>
      </c>
      <c r="CQ91" s="107">
        <f t="shared" si="187"/>
      </c>
      <c r="CR91" s="107">
        <f t="shared" si="187"/>
      </c>
      <c r="CS91" s="292">
        <f t="shared" si="187"/>
      </c>
      <c r="CT91" s="291">
        <f t="shared" si="187"/>
      </c>
      <c r="CU91" s="107">
        <f t="shared" si="187"/>
      </c>
      <c r="CV91" s="107">
        <f t="shared" si="187"/>
      </c>
      <c r="CW91" s="107">
        <f t="shared" si="187"/>
      </c>
      <c r="CX91" s="292">
        <f t="shared" si="187"/>
      </c>
      <c r="CY91" s="291">
        <f t="shared" si="187"/>
      </c>
      <c r="CZ91" s="107">
        <f t="shared" ref="CZ91:EE91" si="188">IFERROR(CZ90/CU90-1,"")</f>
      </c>
      <c r="DA91" s="107">
        <f t="shared" si="188"/>
      </c>
      <c r="DB91" s="107">
        <f t="shared" si="188"/>
      </c>
      <c r="DC91" s="292">
        <f t="shared" si="188"/>
      </c>
      <c r="DD91" s="291">
        <f t="shared" si="188"/>
      </c>
      <c r="DE91" s="107">
        <f t="shared" si="188"/>
      </c>
      <c r="DF91" s="107">
        <f t="shared" si="188"/>
      </c>
      <c r="DG91" s="107">
        <f t="shared" si="188"/>
      </c>
      <c r="DH91" s="292">
        <f t="shared" si="188"/>
      </c>
      <c r="DI91" s="291">
        <f t="shared" si="188"/>
      </c>
      <c r="DJ91" s="107">
        <f t="shared" si="188"/>
      </c>
      <c r="DK91" s="107">
        <f t="shared" si="188"/>
      </c>
      <c r="DL91" s="107">
        <f t="shared" si="188"/>
      </c>
      <c r="DM91" s="292">
        <f t="shared" si="188"/>
      </c>
      <c r="DN91" s="291">
        <f t="shared" si="188"/>
      </c>
      <c r="DO91" s="107">
        <f t="shared" si="188"/>
      </c>
      <c r="DP91" s="107">
        <f t="shared" si="188"/>
      </c>
      <c r="DQ91" s="107">
        <f t="shared" si="188"/>
      </c>
      <c r="DR91" s="292">
        <f t="shared" si="188"/>
      </c>
      <c r="DS91" s="291">
        <f t="shared" si="188"/>
      </c>
      <c r="DT91" s="107">
        <f t="shared" si="188"/>
      </c>
      <c r="DU91" s="107">
        <f t="shared" si="188"/>
      </c>
      <c r="DV91" s="107">
        <f t="shared" si="188"/>
      </c>
      <c r="DW91" s="292">
        <f t="shared" si="188"/>
      </c>
      <c r="DX91" s="291">
        <f t="shared" si="188"/>
      </c>
      <c r="DY91" s="107">
        <f t="shared" si="188"/>
      </c>
      <c r="DZ91" s="107">
        <f t="shared" si="188"/>
      </c>
      <c r="EA91" s="107">
        <f t="shared" si="188"/>
      </c>
      <c r="EB91" s="292">
        <f t="shared" si="188"/>
      </c>
      <c r="EC91" s="291">
        <f t="shared" si="188"/>
      </c>
      <c r="ED91" s="107">
        <f t="shared" si="188"/>
      </c>
      <c r="EE91" s="107">
        <f t="shared" si="188"/>
      </c>
      <c r="EF91" s="107">
        <f t="shared" ref="EF91:FK91" si="189">IFERROR(EF90/EA90-1,"")</f>
      </c>
      <c r="EG91" s="292">
        <f t="shared" si="189"/>
      </c>
      <c r="EH91" s="291">
        <f t="shared" si="189"/>
      </c>
      <c r="EI91" s="107">
        <f t="shared" si="189"/>
      </c>
      <c r="EJ91" s="107">
        <f t="shared" si="189"/>
      </c>
      <c r="EK91" s="107">
        <f t="shared" si="189"/>
      </c>
      <c r="EL91" s="292">
        <f t="shared" si="189"/>
      </c>
      <c r="EM91" s="291">
        <f t="shared" si="189"/>
      </c>
      <c r="EN91" s="107">
        <f t="shared" si="189"/>
      </c>
      <c r="EO91" s="107">
        <f t="shared" si="189"/>
      </c>
      <c r="EP91" s="107">
        <f t="shared" si="189"/>
      </c>
      <c r="EQ91" s="292">
        <f t="shared" si="189"/>
      </c>
      <c r="ER91" s="291">
        <f t="shared" si="189"/>
      </c>
      <c r="ES91" s="107">
        <f t="shared" si="189"/>
      </c>
      <c r="ET91" s="468">
        <f t="shared" si="189"/>
      </c>
      <c r="EU91" s="468">
        <f t="shared" si="189"/>
      </c>
      <c r="EV91" s="292">
        <f t="shared" si="189"/>
      </c>
      <c r="EW91" s="291">
        <f t="shared" si="189"/>
      </c>
      <c r="EX91" s="107">
        <f t="shared" si="189"/>
      </c>
      <c r="EY91" s="468">
        <f t="shared" si="189"/>
      </c>
      <c r="EZ91" s="468">
        <f t="shared" si="189"/>
      </c>
      <c r="FA91" s="292">
        <f t="shared" si="189"/>
      </c>
      <c r="FB91" s="291">
        <f t="shared" si="189"/>
      </c>
      <c r="FC91" s="107">
        <f t="shared" si="189"/>
      </c>
      <c r="FD91" s="107">
        <f t="shared" si="189"/>
      </c>
      <c r="FE91" s="107">
        <f t="shared" si="189"/>
      </c>
      <c r="FF91" s="292">
        <f t="shared" si="189"/>
      </c>
      <c r="FG91" s="291">
        <f t="shared" si="189"/>
      </c>
      <c r="FH91" s="107">
        <f t="shared" si="189"/>
      </c>
      <c r="FI91" s="107">
        <f t="shared" si="189"/>
      </c>
      <c r="FJ91" s="107">
        <f t="shared" si="189"/>
      </c>
      <c r="FK91" s="292">
        <f t="shared" si="189"/>
      </c>
      <c r="FL91" s="291">
        <f t="shared" ref="FL91:FZ91" si="190">IFERROR(FL90/FG90-1,"")</f>
      </c>
      <c r="FM91" s="107">
        <f t="shared" si="190"/>
      </c>
      <c r="FN91" s="107">
        <f t="shared" si="190"/>
      </c>
      <c r="FO91" s="107">
        <f t="shared" si="190"/>
      </c>
      <c r="FP91" s="292">
        <f t="shared" si="190"/>
      </c>
      <c r="FQ91" s="291">
        <f t="shared" si="190"/>
      </c>
      <c r="FR91" s="107">
        <f t="shared" si="190"/>
      </c>
      <c r="FS91" s="107">
        <f t="shared" si="190"/>
      </c>
      <c r="FT91" s="107">
        <f t="shared" si="190"/>
      </c>
      <c r="FU91" s="292">
        <f t="shared" si="190"/>
      </c>
      <c r="FV91" s="291">
        <f t="shared" si="190"/>
      </c>
      <c r="FW91" s="107">
        <f t="shared" si="190"/>
      </c>
      <c r="FX91" s="107">
        <f t="shared" si="190"/>
      </c>
      <c r="FY91" s="107">
        <f t="shared" si="190"/>
      </c>
      <c r="FZ91" s="292">
        <f t="shared" si="190"/>
      </c>
      <c r="GA91" s="291">
        <f t="shared" ref="GA91:GJ91" si="191">IFERROR(GA90/FV90-1,"")</f>
      </c>
      <c r="GB91" s="107">
        <f t="shared" si="191"/>
      </c>
      <c r="GC91" s="107">
        <f t="shared" si="191"/>
      </c>
      <c r="GD91" s="107">
        <f t="shared" si="191"/>
      </c>
      <c r="GE91" s="292">
        <f t="shared" si="191"/>
      </c>
      <c r="GF91" s="291">
        <f t="shared" si="191"/>
      </c>
      <c r="GG91" s="107">
        <f t="shared" si="191"/>
      </c>
      <c r="GH91" s="107">
        <f t="shared" si="191"/>
      </c>
      <c r="GI91" s="107">
        <f t="shared" si="191"/>
      </c>
      <c r="GJ91" s="292">
        <f t="shared" si="191"/>
      </c>
    </row>
    <row r="92" spans="1:192" ht="12.75" customHeight="1">
      <c r="A92" s="792"/>
      <c r="B92" s="617" t="s">
        <v>36</v>
      </c>
      <c r="C92" s="291"/>
      <c r="D92" s="137"/>
      <c r="E92" s="137"/>
      <c r="F92" s="137"/>
      <c r="G92" s="538"/>
      <c r="H92" s="291">
        <f>IFERROR(H90/F90-1,"")</f>
      </c>
      <c r="I92" s="107">
        <f>IFERROR(I90/H90-1,"")</f>
      </c>
      <c r="J92" s="107">
        <f>IFERROR(J90/I90-1,"")</f>
      </c>
      <c r="K92" s="107">
        <f>IFERROR(K90/J90-1,"")</f>
      </c>
      <c r="L92" s="293"/>
      <c r="M92" s="291">
        <f>IFERROR(M90/K90-1,"")</f>
      </c>
      <c r="N92" s="107">
        <f>IFERROR(N90/M90-1,"")</f>
      </c>
      <c r="O92" s="107">
        <f>IFERROR(O90/N90-1,"")</f>
      </c>
      <c r="P92" s="107">
        <f>IFERROR(P90/O90-1,"")</f>
      </c>
      <c r="Q92" s="293"/>
      <c r="R92" s="291">
        <f>IFERROR(R90/P90-1,"")</f>
      </c>
      <c r="S92" s="107">
        <f>IFERROR(S90/R90-1,"")</f>
      </c>
      <c r="T92" s="107">
        <f>IFERROR(T90/S90-1,"")</f>
      </c>
      <c r="U92" s="107">
        <f>IFERROR(U90/T90-1,"")</f>
      </c>
      <c r="V92" s="293"/>
      <c r="W92" s="291">
        <f>IFERROR(W90/U90-1,"")</f>
      </c>
      <c r="X92" s="107">
        <f>IFERROR(X90/W90-1,"")</f>
      </c>
      <c r="Y92" s="107">
        <f>IFERROR(Y90/X90-1,"")</f>
      </c>
      <c r="Z92" s="107">
        <f>IFERROR(Z90/Y90-1,"")</f>
      </c>
      <c r="AA92" s="293"/>
      <c r="AB92" s="291">
        <f>IFERROR(AB90/Z90-1,"")</f>
      </c>
      <c r="AC92" s="107">
        <f>IFERROR(AC90/AB90-1,"")</f>
      </c>
      <c r="AD92" s="107">
        <f>IFERROR(AD90/AC90-1,"")</f>
      </c>
      <c r="AE92" s="107">
        <f>IFERROR(AE90/AD90-1,"")</f>
      </c>
      <c r="AF92" s="293"/>
      <c r="AG92" s="291">
        <f>IFERROR(AG90/AE90-1,"")</f>
      </c>
      <c r="AH92" s="107">
        <f>IFERROR(AH90/AG90-1,"")</f>
      </c>
      <c r="AI92" s="107">
        <f>IFERROR(AI90/AH90-1,"")</f>
      </c>
      <c r="AJ92" s="107">
        <f>IFERROR(AJ90/AI90-1,"")</f>
      </c>
      <c r="AK92" s="293"/>
      <c r="AL92" s="291">
        <f>IFERROR(AL90/AJ90-1,"")</f>
      </c>
      <c r="AM92" s="107">
        <f>IFERROR(AM90/AL90-1,"")</f>
      </c>
      <c r="AN92" s="107">
        <f>IFERROR(AN90/AM90-1,"")</f>
      </c>
      <c r="AO92" s="107">
        <f>IFERROR(AO90/AN90-1,"")</f>
      </c>
      <c r="AP92" s="293"/>
      <c r="AQ92" s="291">
        <f>IFERROR(AQ90/AO90-1,"")</f>
      </c>
      <c r="AR92" s="107">
        <f>IFERROR(AR90/AQ90-1,"")</f>
      </c>
      <c r="AS92" s="107">
        <f>IFERROR(AS90/AR90-1,"")</f>
      </c>
      <c r="AT92" s="107">
        <f>IFERROR(AT90/AS90-1,"")</f>
      </c>
      <c r="AU92" s="293"/>
      <c r="AV92" s="291">
        <f>IFERROR(AV90/AT90-1,"")</f>
      </c>
      <c r="AW92" s="107">
        <f>IFERROR(AW90/AV90-1,"")</f>
      </c>
      <c r="AX92" s="107">
        <f>IFERROR(AX90/AW90-1,"")</f>
      </c>
      <c r="AY92" s="107">
        <f>IFERROR(AY90/AX90-1,"")</f>
      </c>
      <c r="AZ92" s="293"/>
      <c r="BA92" s="291">
        <f>IFERROR(BA90/AY90-1,"")</f>
      </c>
      <c r="BB92" s="107">
        <f>IFERROR(BB90/BA90-1,"")</f>
      </c>
      <c r="BC92" s="107">
        <f>IFERROR(BC90/BB90-1,"")</f>
      </c>
      <c r="BD92" s="107">
        <f>IFERROR(BD90/BC90-1,"")</f>
      </c>
      <c r="BE92" s="293"/>
      <c r="BF92" s="291">
        <f>IFERROR(BF90/BD90-1,"")</f>
      </c>
      <c r="BG92" s="107">
        <f>IFERROR(BG90/BF90-1,"")</f>
      </c>
      <c r="BH92" s="107">
        <f>IFERROR(BH90/BG90-1,"")</f>
      </c>
      <c r="BI92" s="107">
        <f>IFERROR(BI90/BH90-1,"")</f>
      </c>
      <c r="BJ92" s="293"/>
      <c r="BK92" s="291">
        <f>IFERROR(BK90/BI90-1,"")</f>
      </c>
      <c r="BL92" s="107">
        <f>IFERROR(BL90/BK90-1,"")</f>
      </c>
      <c r="BM92" s="107">
        <f>IFERROR(BM90/BL90-1,"")</f>
      </c>
      <c r="BN92" s="107">
        <f>IFERROR(BN90/BM90-1,"")</f>
      </c>
      <c r="BO92" s="293"/>
      <c r="BP92" s="291">
        <f>IFERROR(BP90/BN90-1,"")</f>
      </c>
      <c r="BQ92" s="107">
        <f>IFERROR(BQ90/BP90-1,"")</f>
      </c>
      <c r="BR92" s="107">
        <f>IFERROR(BR90/BQ90-1,"")</f>
      </c>
      <c r="BS92" s="107">
        <f>IFERROR(BS90/BR90-1,"")</f>
      </c>
      <c r="BT92" s="293"/>
      <c r="BU92" s="291">
        <f>IFERROR(BU90/BS90-1,"")</f>
      </c>
      <c r="BV92" s="107">
        <f>IFERROR(BV90/BU90-1,"")</f>
      </c>
      <c r="BW92" s="107">
        <f>IFERROR(BW90/BV90-1,"")</f>
      </c>
      <c r="BX92" s="107">
        <f>IFERROR(BX90/BW90-1,"")</f>
      </c>
      <c r="BY92" s="293"/>
      <c r="BZ92" s="291">
        <f>IFERROR(BZ90/BX90-1,"")</f>
      </c>
      <c r="CA92" s="107">
        <f>IFERROR(CA90/BZ90-1,"")</f>
      </c>
      <c r="CB92" s="107">
        <f>IFERROR(CB90/CA90-1,"")</f>
      </c>
      <c r="CC92" s="107">
        <f>IFERROR(CC90/CB90-1,"")</f>
      </c>
      <c r="CD92" s="293"/>
      <c r="CE92" s="291">
        <f>IFERROR(CE90/CC90-1,"")</f>
      </c>
      <c r="CF92" s="107">
        <f>IFERROR(CF90/CE90-1,"")</f>
      </c>
      <c r="CG92" s="107">
        <f>IFERROR(CG90/CF90-1,"")</f>
      </c>
      <c r="CH92" s="107">
        <f>IFERROR(CH90/CG90-1,"")</f>
      </c>
      <c r="CI92" s="293"/>
      <c r="CJ92" s="291">
        <f>IFERROR(CJ90/CH90-1,"")</f>
      </c>
      <c r="CK92" s="107">
        <f>IFERROR(CK90/CJ90-1,"")</f>
      </c>
      <c r="CL92" s="107">
        <f>IFERROR(CL90/CK90-1,"")</f>
      </c>
      <c r="CM92" s="107">
        <f>IFERROR(CM90/CL90-1,"")</f>
      </c>
      <c r="CN92" s="293"/>
      <c r="CO92" s="291">
        <f>IFERROR(CO90/CM90-1,"")</f>
      </c>
      <c r="CP92" s="107">
        <f>IFERROR(CP90/CO90-1,"")</f>
      </c>
      <c r="CQ92" s="107">
        <f>IFERROR(CQ90/CP90-1,"")</f>
      </c>
      <c r="CR92" s="107">
        <f>IFERROR(CR90/CQ90-1,"")</f>
      </c>
      <c r="CS92" s="293"/>
      <c r="CT92" s="291">
        <f>IFERROR(CT90/CR90-1,"")</f>
      </c>
      <c r="CU92" s="107">
        <f>IFERROR(CU90/CT90-1,"")</f>
      </c>
      <c r="CV92" s="107">
        <f>IFERROR(CV90/CU90-1,"")</f>
      </c>
      <c r="CW92" s="107">
        <f>IFERROR(CW90/CV90-1,"")</f>
      </c>
      <c r="CX92" s="293"/>
      <c r="CY92" s="291">
        <f>IFERROR(CY90/CW90-1,"")</f>
      </c>
      <c r="CZ92" s="107">
        <f>IFERROR(CZ90/CY90-1,"")</f>
      </c>
      <c r="DA92" s="107">
        <f>IFERROR(DA90/CZ90-1,"")</f>
      </c>
      <c r="DB92" s="107">
        <f>IFERROR(DB90/DA90-1,"")</f>
      </c>
      <c r="DC92" s="293"/>
      <c r="DD92" s="291">
        <f>IFERROR(DD90/DB90-1,"")</f>
      </c>
      <c r="DE92" s="107">
        <f>IFERROR(DE90/DD90-1,"")</f>
      </c>
      <c r="DF92" s="107">
        <f>IFERROR(DF90/DE90-1,"")</f>
      </c>
      <c r="DG92" s="107">
        <f>IFERROR(DG90/DF90-1,"")</f>
      </c>
      <c r="DH92" s="293"/>
      <c r="DI92" s="291">
        <f>IFERROR(DI90/DG90-1,"")</f>
      </c>
      <c r="DJ92" s="107">
        <f>IFERROR(DJ90/DI90-1,"")</f>
      </c>
      <c r="DK92" s="107">
        <f>IFERROR(DK90/DJ90-1,"")</f>
      </c>
      <c r="DL92" s="107">
        <f>IFERROR(DL90/DK90-1,"")</f>
      </c>
      <c r="DM92" s="293"/>
      <c r="DN92" s="291">
        <f>IFERROR(DN90/DL90-1,"")</f>
      </c>
      <c r="DO92" s="107">
        <f>IFERROR(DO90/DN90-1,"")</f>
      </c>
      <c r="DP92" s="107">
        <f>IFERROR(DP90/DO90-1,"")</f>
      </c>
      <c r="DQ92" s="107">
        <f>IFERROR(DQ90/DP90-1,"")</f>
      </c>
      <c r="DR92" s="293"/>
      <c r="DS92" s="291">
        <f>IFERROR(DS90/DQ90-1,"")</f>
      </c>
      <c r="DT92" s="107">
        <f>IFERROR(DT90/DS90-1,"")</f>
      </c>
      <c r="DU92" s="107">
        <f>IFERROR(DU90/DT90-1,"")</f>
      </c>
      <c r="DV92" s="107">
        <f>IFERROR(DV90/DU90-1,"")</f>
      </c>
      <c r="DW92" s="293"/>
      <c r="DX92" s="291">
        <f>IFERROR(DX90/DV90-1,"")</f>
      </c>
      <c r="DY92" s="107">
        <f>IFERROR(DY90/DX90-1,"")</f>
      </c>
      <c r="DZ92" s="107">
        <f>IFERROR(DZ90/DY90-1,"")</f>
      </c>
      <c r="EA92" s="107">
        <f>IFERROR(EA90/DZ90-1,"")</f>
      </c>
      <c r="EB92" s="293"/>
      <c r="EC92" s="291">
        <f>IFERROR(EC90/EA90-1,"")</f>
      </c>
      <c r="ED92" s="107">
        <f>IFERROR(ED90/EC90-1,"")</f>
      </c>
      <c r="EE92" s="107">
        <f>IFERROR(EE90/ED90-1,"")</f>
      </c>
      <c r="EF92" s="107">
        <f>IFERROR(EF90/EE90-1,"")</f>
      </c>
      <c r="EG92" s="293"/>
      <c r="EH92" s="291">
        <f>IFERROR(EH90/EF90-1,"")</f>
      </c>
      <c r="EI92" s="107">
        <f>IFERROR(EI90/EH90-1,"")</f>
      </c>
      <c r="EJ92" s="107">
        <f>IFERROR(EJ90/EI90-1,"")</f>
      </c>
      <c r="EK92" s="107">
        <f>IFERROR(EK90/EJ90-1,"")</f>
      </c>
      <c r="EL92" s="293"/>
      <c r="EM92" s="291">
        <f>IFERROR(EM90/EK90-1,"")</f>
      </c>
      <c r="EN92" s="107">
        <f>IFERROR(EN90/EM90-1,"")</f>
      </c>
      <c r="EO92" s="107">
        <f>IFERROR(EO90/EN90-1,"")</f>
      </c>
      <c r="EP92" s="107">
        <f>IFERROR(EP90/EO90-1,"")</f>
      </c>
      <c r="EQ92" s="293"/>
      <c r="ER92" s="291">
        <f>IFERROR(ER90/EP90-1,"")</f>
      </c>
      <c r="ES92" s="107">
        <f>IFERROR(ES90/ER90-1,"")</f>
      </c>
      <c r="ET92" s="107">
        <f>IFERROR(ET90/ES90-1,"")</f>
      </c>
      <c r="EU92" s="468">
        <f>IFERROR(EU90/ET90-1,"")</f>
      </c>
      <c r="EV92" s="293"/>
      <c r="EW92" s="291">
        <f>IFERROR(EW90/EU90-1,"")</f>
      </c>
      <c r="EX92" s="107">
        <f>IFERROR(EX90/EW90-1,"")</f>
      </c>
      <c r="EY92" s="468">
        <f>IFERROR(EY90/EX90-1,"")</f>
      </c>
      <c r="EZ92" s="468">
        <f>IFERROR(EZ90/EY90-1,"")</f>
      </c>
      <c r="FA92" s="293"/>
      <c r="FB92" s="291">
        <f>IFERROR(FB90/EZ90-1,"")</f>
      </c>
      <c r="FC92" s="107">
        <f>IFERROR(FC90/FB90-1,"")</f>
      </c>
      <c r="FD92" s="107">
        <f>IFERROR(FD90/FC90-1,"")</f>
      </c>
      <c r="FE92" s="107">
        <f>IFERROR(FE90/FD90-1,"")</f>
      </c>
      <c r="FF92" s="293"/>
      <c r="FG92" s="291">
        <f>IFERROR(FG90/FE90-1,"")</f>
      </c>
      <c r="FH92" s="107">
        <f>IFERROR(FH90/FG90-1,"")</f>
      </c>
      <c r="FI92" s="107">
        <f>IFERROR(FI90/FH90-1,"")</f>
      </c>
      <c r="FJ92" s="107">
        <f>IFERROR(FJ90/FI90-1,"")</f>
      </c>
      <c r="FK92" s="293"/>
      <c r="FL92" s="291">
        <f>IFERROR(FL90/FJ90-1,"")</f>
      </c>
      <c r="FM92" s="107">
        <f>IFERROR(FM90/FL90-1,"")</f>
      </c>
      <c r="FN92" s="107">
        <f>IFERROR(FN90/FM90-1,"")</f>
      </c>
      <c r="FO92" s="107">
        <f>IFERROR(FO90/FN90-1,"")</f>
      </c>
      <c r="FP92" s="293"/>
      <c r="FQ92" s="291">
        <f>IFERROR(FQ90/FO90-1,"")</f>
      </c>
      <c r="FR92" s="107">
        <f>IFERROR(FR90/FQ90-1,"")</f>
      </c>
      <c r="FS92" s="107">
        <f>IFERROR(FS90/FR90-1,"")</f>
      </c>
      <c r="FT92" s="107">
        <f>IFERROR(FT90/FS90-1,"")</f>
      </c>
      <c r="FU92" s="293"/>
      <c r="FV92" s="291">
        <f>IFERROR(FV90/FT90-1,"")</f>
      </c>
      <c r="FW92" s="107">
        <f>IFERROR(FW90/FV90-1,"")</f>
      </c>
      <c r="FX92" s="107">
        <f>IFERROR(FX90/FW90-1,"")</f>
      </c>
      <c r="FY92" s="107">
        <f>IFERROR(FY90/FX90-1,"")</f>
      </c>
      <c r="FZ92" s="293"/>
      <c r="GA92" s="291">
        <f>IFERROR(GA90/FY90-1,"")</f>
      </c>
      <c r="GB92" s="107">
        <f>IFERROR(GB90/GA90-1,"")</f>
      </c>
      <c r="GC92" s="107">
        <f>IFERROR(GC90/GB90-1,"")</f>
      </c>
      <c r="GD92" s="107">
        <f>IFERROR(GD90/GC90-1,"")</f>
      </c>
      <c r="GE92" s="293"/>
      <c r="GF92" s="291">
        <f>IFERROR(GF90/GD90-1,"")</f>
      </c>
      <c r="GG92" s="107">
        <f>IFERROR(GG90/GF90-1,"")</f>
      </c>
      <c r="GH92" s="107">
        <f>IFERROR(GH90/GG90-1,"")</f>
      </c>
      <c r="GI92" s="107">
        <f>IFERROR(GI90/GH90-1,"")</f>
      </c>
      <c r="GJ92" s="293"/>
    </row>
    <row r="93" spans="1:192" ht="12.75" customHeight="1">
      <c r="B93" s="617" t="s">
        <v>1939</v>
      </c>
      <c r="C93" s="463"/>
      <c r="D93" s="463"/>
      <c r="E93" s="463"/>
      <c r="F93" s="463"/>
      <c r="G93" s="466"/>
      <c r="H93" s="463">
        <f t="shared" ref="H93:AM93" si="192">H90-C90</f>
      </c>
      <c r="I93" s="463">
        <f t="shared" si="192"/>
      </c>
      <c r="J93" s="463">
        <f t="shared" si="192"/>
      </c>
      <c r="K93" s="463">
        <f t="shared" si="192"/>
      </c>
      <c r="L93" s="466">
        <f t="shared" si="192"/>
      </c>
      <c r="M93" s="463">
        <f t="shared" si="192"/>
      </c>
      <c r="N93" s="463">
        <f t="shared" si="192"/>
      </c>
      <c r="O93" s="463">
        <f t="shared" si="192"/>
      </c>
      <c r="P93" s="463">
        <f t="shared" si="192"/>
      </c>
      <c r="Q93" s="466">
        <f t="shared" si="192"/>
      </c>
      <c r="R93" s="463">
        <f t="shared" si="192"/>
      </c>
      <c r="S93" s="463">
        <f t="shared" si="192"/>
      </c>
      <c r="T93" s="463">
        <f t="shared" si="192"/>
      </c>
      <c r="U93" s="463">
        <f t="shared" si="192"/>
      </c>
      <c r="V93" s="466">
        <f t="shared" si="192"/>
      </c>
      <c r="W93" s="463">
        <f t="shared" si="192"/>
      </c>
      <c r="X93" s="463">
        <f t="shared" si="192"/>
      </c>
      <c r="Y93" s="463">
        <f t="shared" si="192"/>
      </c>
      <c r="Z93" s="463">
        <f t="shared" si="192"/>
      </c>
      <c r="AA93" s="466">
        <f t="shared" si="192"/>
      </c>
      <c r="AB93" s="463">
        <f t="shared" si="192"/>
      </c>
      <c r="AC93" s="463">
        <f t="shared" si="192"/>
      </c>
      <c r="AD93" s="463">
        <f t="shared" si="192"/>
      </c>
      <c r="AE93" s="463">
        <f t="shared" si="192"/>
      </c>
      <c r="AF93" s="466">
        <f t="shared" si="192"/>
      </c>
      <c r="AG93" s="463">
        <f t="shared" si="192"/>
      </c>
      <c r="AH93" s="463">
        <f t="shared" si="192"/>
      </c>
      <c r="AI93" s="463">
        <f t="shared" si="192"/>
      </c>
      <c r="AJ93" s="463">
        <f t="shared" si="192"/>
      </c>
      <c r="AK93" s="466">
        <f t="shared" si="192"/>
      </c>
      <c r="AL93" s="463">
        <f t="shared" si="192"/>
      </c>
      <c r="AM93" s="463">
        <f t="shared" si="192"/>
      </c>
      <c r="AN93" s="463">
        <f t="shared" ref="AN93:BS93" si="193">AN90-AI90</f>
      </c>
      <c r="AO93" s="463">
        <f t="shared" si="193"/>
      </c>
      <c r="AP93" s="466">
        <f t="shared" si="193"/>
      </c>
      <c r="AQ93" s="463">
        <f t="shared" si="193"/>
      </c>
      <c r="AR93" s="463">
        <f t="shared" si="193"/>
      </c>
      <c r="AS93" s="463">
        <f t="shared" si="193"/>
      </c>
      <c r="AT93" s="463">
        <f t="shared" si="193"/>
      </c>
      <c r="AU93" s="466">
        <f t="shared" si="193"/>
      </c>
      <c r="AV93" s="463">
        <f t="shared" si="193"/>
      </c>
      <c r="AW93" s="463">
        <f t="shared" si="193"/>
      </c>
      <c r="AX93" s="463">
        <f t="shared" si="193"/>
      </c>
      <c r="AY93" s="463">
        <f t="shared" si="193"/>
      </c>
      <c r="AZ93" s="466">
        <f t="shared" si="193"/>
      </c>
      <c r="BA93" s="463">
        <f t="shared" si="193"/>
      </c>
      <c r="BB93" s="463">
        <f t="shared" si="193"/>
      </c>
      <c r="BC93" s="463">
        <f t="shared" si="193"/>
      </c>
      <c r="BD93" s="463">
        <f t="shared" si="193"/>
      </c>
      <c r="BE93" s="466">
        <f t="shared" si="193"/>
      </c>
      <c r="BF93" s="463">
        <f t="shared" si="193"/>
      </c>
      <c r="BG93" s="463">
        <f t="shared" si="193"/>
      </c>
      <c r="BH93" s="463">
        <f t="shared" si="193"/>
      </c>
      <c r="BI93" s="463">
        <f t="shared" si="193"/>
      </c>
      <c r="BJ93" s="466">
        <f t="shared" si="193"/>
      </c>
      <c r="BK93" s="463">
        <f t="shared" si="193"/>
      </c>
      <c r="BL93" s="463">
        <f t="shared" si="193"/>
      </c>
      <c r="BM93" s="463">
        <f t="shared" si="193"/>
      </c>
      <c r="BN93" s="463">
        <f t="shared" si="193"/>
      </c>
      <c r="BO93" s="466">
        <f t="shared" si="193"/>
      </c>
      <c r="BP93" s="463">
        <f t="shared" si="193"/>
      </c>
      <c r="BQ93" s="463">
        <f t="shared" si="193"/>
      </c>
      <c r="BR93" s="463">
        <f t="shared" si="193"/>
      </c>
      <c r="BS93" s="463">
        <f t="shared" si="193"/>
      </c>
      <c r="BT93" s="466">
        <f t="shared" ref="BT93:CY93" si="194">BT90-BO90</f>
      </c>
      <c r="BU93" s="463">
        <f t="shared" si="194"/>
      </c>
      <c r="BV93" s="463">
        <f t="shared" si="194"/>
      </c>
      <c r="BW93" s="463">
        <f t="shared" si="194"/>
      </c>
      <c r="BX93" s="463">
        <f t="shared" si="194"/>
      </c>
      <c r="BY93" s="466">
        <f t="shared" si="194"/>
      </c>
      <c r="BZ93" s="463">
        <f t="shared" si="194"/>
      </c>
      <c r="CA93" s="463">
        <f t="shared" si="194"/>
      </c>
      <c r="CB93" s="463">
        <f t="shared" si="194"/>
      </c>
      <c r="CC93" s="463">
        <f t="shared" si="194"/>
      </c>
      <c r="CD93" s="466">
        <f t="shared" si="194"/>
      </c>
      <c r="CE93" s="463">
        <f t="shared" si="194"/>
      </c>
      <c r="CF93" s="463">
        <f t="shared" si="194"/>
      </c>
      <c r="CG93" s="463">
        <f t="shared" si="194"/>
      </c>
      <c r="CH93" s="463">
        <f t="shared" si="194"/>
      </c>
      <c r="CI93" s="466">
        <f t="shared" si="194"/>
      </c>
      <c r="CJ93" s="463">
        <f t="shared" si="194"/>
      </c>
      <c r="CK93" s="463">
        <f t="shared" si="194"/>
      </c>
      <c r="CL93" s="463">
        <f t="shared" si="194"/>
      </c>
      <c r="CM93" s="463">
        <f t="shared" si="194"/>
      </c>
      <c r="CN93" s="466">
        <f t="shared" si="194"/>
      </c>
      <c r="CO93" s="463">
        <f t="shared" si="194"/>
      </c>
      <c r="CP93" s="463">
        <f t="shared" si="194"/>
      </c>
      <c r="CQ93" s="463">
        <f t="shared" si="194"/>
      </c>
      <c r="CR93" s="463">
        <f t="shared" si="194"/>
      </c>
      <c r="CS93" s="466">
        <f t="shared" si="194"/>
      </c>
      <c r="CT93" s="463">
        <f t="shared" si="194"/>
      </c>
      <c r="CU93" s="463">
        <f t="shared" si="194"/>
      </c>
      <c r="CV93" s="463">
        <f t="shared" si="194"/>
      </c>
      <c r="CW93" s="463">
        <f t="shared" si="194"/>
      </c>
      <c r="CX93" s="466">
        <f t="shared" si="194"/>
      </c>
      <c r="CY93" s="463">
        <f t="shared" si="194"/>
      </c>
      <c r="CZ93" s="463">
        <f t="shared" ref="CZ93:EE93" si="195">CZ90-CU90</f>
      </c>
      <c r="DA93" s="463">
        <f t="shared" si="195"/>
      </c>
      <c r="DB93" s="463">
        <f t="shared" si="195"/>
      </c>
      <c r="DC93" s="466">
        <f t="shared" si="195"/>
      </c>
      <c r="DD93" s="463">
        <f t="shared" si="195"/>
      </c>
      <c r="DE93" s="463">
        <f t="shared" si="195"/>
      </c>
      <c r="DF93" s="463">
        <f t="shared" si="195"/>
      </c>
      <c r="DG93" s="463">
        <f t="shared" si="195"/>
      </c>
      <c r="DH93" s="466">
        <f t="shared" si="195"/>
      </c>
      <c r="DI93" s="463">
        <f t="shared" si="195"/>
      </c>
      <c r="DJ93" s="463">
        <f t="shared" si="195"/>
      </c>
      <c r="DK93" s="463">
        <f t="shared" si="195"/>
      </c>
      <c r="DL93" s="463">
        <f t="shared" si="195"/>
      </c>
      <c r="DM93" s="466">
        <f t="shared" si="195"/>
      </c>
      <c r="DN93" s="463">
        <f t="shared" si="195"/>
      </c>
      <c r="DO93" s="463">
        <f t="shared" si="195"/>
      </c>
      <c r="DP93" s="463">
        <f t="shared" si="195"/>
      </c>
      <c r="DQ93" s="463">
        <f t="shared" si="195"/>
      </c>
      <c r="DR93" s="466">
        <f t="shared" si="195"/>
      </c>
      <c r="DS93" s="463">
        <f t="shared" si="195"/>
      </c>
      <c r="DT93" s="463">
        <f t="shared" si="195"/>
      </c>
      <c r="DU93" s="463">
        <f t="shared" si="195"/>
      </c>
      <c r="DV93" s="463">
        <f t="shared" si="195"/>
      </c>
      <c r="DW93" s="466">
        <f t="shared" si="195"/>
      </c>
      <c r="DX93" s="463">
        <f t="shared" si="195"/>
      </c>
      <c r="DY93" s="463">
        <f t="shared" si="195"/>
      </c>
      <c r="DZ93" s="463">
        <f t="shared" si="195"/>
      </c>
      <c r="EA93" s="463">
        <f t="shared" si="195"/>
      </c>
      <c r="EB93" s="466">
        <f t="shared" si="195"/>
      </c>
      <c r="EC93" s="463">
        <f t="shared" si="195"/>
      </c>
      <c r="ED93" s="463">
        <f t="shared" si="195"/>
      </c>
      <c r="EE93" s="463">
        <f t="shared" si="195"/>
      </c>
      <c r="EF93" s="463">
        <f t="shared" ref="EF93:FK93" si="196">EF90-EA90</f>
      </c>
      <c r="EG93" s="466">
        <f t="shared" si="196"/>
      </c>
      <c r="EH93" s="463">
        <f t="shared" si="196"/>
      </c>
      <c r="EI93" s="463">
        <f t="shared" si="196"/>
      </c>
      <c r="EJ93" s="463">
        <f t="shared" si="196"/>
      </c>
      <c r="EK93" s="463">
        <f t="shared" si="196"/>
      </c>
      <c r="EL93" s="466">
        <f t="shared" si="196"/>
      </c>
      <c r="EM93" s="463">
        <f t="shared" si="196"/>
      </c>
      <c r="EN93" s="463">
        <f t="shared" si="196"/>
      </c>
      <c r="EO93" s="463">
        <f t="shared" si="196"/>
      </c>
      <c r="EP93" s="463">
        <f t="shared" si="196"/>
      </c>
      <c r="EQ93" s="466">
        <f t="shared" si="196"/>
      </c>
      <c r="ER93" s="463">
        <f t="shared" si="196"/>
      </c>
      <c r="ES93" s="463">
        <f t="shared" si="196"/>
      </c>
      <c r="ET93" s="463">
        <f t="shared" si="196"/>
      </c>
      <c r="EU93" s="1399">
        <f t="shared" si="196"/>
      </c>
      <c r="EV93" s="466">
        <f t="shared" si="196"/>
      </c>
      <c r="EW93" s="463">
        <f t="shared" si="196"/>
      </c>
      <c r="EX93" s="463">
        <f t="shared" si="196"/>
      </c>
      <c r="EY93" s="1399">
        <f t="shared" si="196"/>
      </c>
      <c r="EZ93" s="1399">
        <f t="shared" si="196"/>
      </c>
      <c r="FA93" s="466">
        <f t="shared" si="196"/>
      </c>
      <c r="FB93" s="463">
        <f t="shared" si="196"/>
      </c>
      <c r="FC93" s="463">
        <f t="shared" si="196"/>
      </c>
      <c r="FD93" s="463">
        <f t="shared" si="196"/>
      </c>
      <c r="FE93" s="463">
        <f t="shared" si="196"/>
      </c>
      <c r="FF93" s="466">
        <f t="shared" si="196"/>
      </c>
      <c r="FG93" s="463">
        <f t="shared" si="196"/>
      </c>
      <c r="FH93" s="463">
        <f t="shared" si="196"/>
      </c>
      <c r="FI93" s="463">
        <f t="shared" si="196"/>
      </c>
      <c r="FJ93" s="463">
        <f t="shared" si="196"/>
      </c>
      <c r="FK93" s="466">
        <f t="shared" si="196"/>
      </c>
      <c r="FL93" s="463">
        <f t="shared" ref="FL93:GE93" si="197">FL90-FG90</f>
      </c>
      <c r="FM93" s="463">
        <f t="shared" si="197"/>
      </c>
      <c r="FN93" s="463">
        <f t="shared" si="197"/>
      </c>
      <c r="FO93" s="463">
        <f t="shared" si="197"/>
      </c>
      <c r="FP93" s="466">
        <f t="shared" si="197"/>
      </c>
      <c r="FQ93" s="463">
        <f t="shared" si="197"/>
      </c>
      <c r="FR93" s="463">
        <f t="shared" si="197"/>
      </c>
      <c r="FS93" s="463">
        <f t="shared" si="197"/>
      </c>
      <c r="FT93" s="463">
        <f t="shared" si="197"/>
      </c>
      <c r="FU93" s="466">
        <f t="shared" si="197"/>
      </c>
      <c r="FV93" s="463">
        <f t="shared" si="197"/>
      </c>
      <c r="FW93" s="463">
        <f t="shared" si="197"/>
      </c>
      <c r="FX93" s="463">
        <f t="shared" si="197"/>
      </c>
      <c r="FY93" s="463">
        <f t="shared" si="197"/>
      </c>
      <c r="FZ93" s="466">
        <f t="shared" si="197"/>
      </c>
      <c r="GA93" s="463">
        <f t="shared" si="197"/>
      </c>
      <c r="GB93" s="463">
        <f t="shared" si="197"/>
      </c>
      <c r="GC93" s="463">
        <f t="shared" si="197"/>
      </c>
      <c r="GD93" s="463">
        <f t="shared" si="197"/>
      </c>
      <c r="GE93" s="466">
        <f t="shared" si="197"/>
      </c>
      <c r="GF93" s="463">
        <f t="shared" ref="GF93" si="198">GF90-GA90</f>
      </c>
      <c r="GG93" s="463">
        <f t="shared" ref="GG93" si="199">GG90-GB90</f>
      </c>
      <c r="GH93" s="463">
        <f t="shared" ref="GH93" si="200">GH90-GC90</f>
      </c>
      <c r="GI93" s="463">
        <f t="shared" ref="GI93" si="201">GI90-GD90</f>
      </c>
      <c r="GJ93" s="466">
        <f t="shared" ref="GJ93" si="202">GJ90-GE90</f>
      </c>
    </row>
    <row r="94" spans="1:192" ht="12.75" customHeight="1">
      <c r="B94" s="617" t="s">
        <v>1940</v>
      </c>
      <c r="C94" s="470"/>
      <c r="D94" s="463">
        <f>D90-C90</f>
      </c>
      <c r="E94" s="463">
        <f>E90-D90</f>
      </c>
      <c r="F94" s="463">
        <f>F90-E90</f>
      </c>
      <c r="G94" s="293"/>
      <c r="H94" s="470">
        <f>H90-F90</f>
      </c>
      <c r="I94" s="463">
        <f>I90-H90</f>
      </c>
      <c r="J94" s="463">
        <f>J90-I90</f>
      </c>
      <c r="K94" s="463">
        <f>K90-J90</f>
      </c>
      <c r="L94" s="293"/>
      <c r="M94" s="470">
        <f>M90-K90</f>
      </c>
      <c r="N94" s="463">
        <f>N90-M90</f>
      </c>
      <c r="O94" s="463">
        <f>O90-N90</f>
      </c>
      <c r="P94" s="463">
        <f>P90-O90</f>
      </c>
      <c r="Q94" s="293"/>
      <c r="R94" s="470">
        <f>R90-P90</f>
      </c>
      <c r="S94" s="463">
        <f>S90-R90</f>
      </c>
      <c r="T94" s="463">
        <f>T90-S90</f>
      </c>
      <c r="U94" s="463">
        <f>U90-T90</f>
      </c>
      <c r="V94" s="293"/>
      <c r="W94" s="470">
        <f>W90-U90</f>
      </c>
      <c r="X94" s="463">
        <f>X90-W90</f>
      </c>
      <c r="Y94" s="463">
        <f>Y90-X90</f>
      </c>
      <c r="Z94" s="463">
        <f>Z90-Y90</f>
      </c>
      <c r="AA94" s="293"/>
      <c r="AB94" s="470">
        <f>AB90-Z90</f>
      </c>
      <c r="AC94" s="463">
        <f>AC90-AB90</f>
      </c>
      <c r="AD94" s="463">
        <f>AD90-AC90</f>
      </c>
      <c r="AE94" s="463">
        <f>AE90-AD90</f>
      </c>
      <c r="AF94" s="293"/>
      <c r="AG94" s="470">
        <f>AG90-AE90</f>
      </c>
      <c r="AH94" s="463">
        <f>AH90-AG90</f>
      </c>
      <c r="AI94" s="463">
        <f>AI90-AH90</f>
      </c>
      <c r="AJ94" s="463">
        <f>AJ90-AI90</f>
      </c>
      <c r="AK94" s="293"/>
      <c r="AL94" s="470">
        <f>AL90-AJ90</f>
      </c>
      <c r="AM94" s="463">
        <f>AM90-AL90</f>
      </c>
      <c r="AN94" s="463">
        <f>AN90-AM90</f>
      </c>
      <c r="AO94" s="463">
        <f>AO90-AN90</f>
      </c>
      <c r="AP94" s="293"/>
      <c r="AQ94" s="470">
        <f>AQ90-AO90</f>
      </c>
      <c r="AR94" s="463">
        <f>AR90-AQ90</f>
      </c>
      <c r="AS94" s="463">
        <f>AS90-AR90</f>
      </c>
      <c r="AT94" s="463">
        <f>AT90-AS90</f>
      </c>
      <c r="AU94" s="293"/>
      <c r="AV94" s="470">
        <f>AV90-AT90</f>
      </c>
      <c r="AW94" s="463">
        <f>AW90-AV90</f>
      </c>
      <c r="AX94" s="463">
        <f>AX90-AW90</f>
      </c>
      <c r="AY94" s="463">
        <f>AY90-AX90</f>
      </c>
      <c r="AZ94" s="293"/>
      <c r="BA94" s="470">
        <f>BA90-AY90</f>
      </c>
      <c r="BB94" s="463">
        <f>BB90-BA90</f>
      </c>
      <c r="BC94" s="463">
        <f>BC90-BB90</f>
      </c>
      <c r="BD94" s="463">
        <f>BD90-BC90</f>
      </c>
      <c r="BE94" s="293"/>
      <c r="BF94" s="470">
        <f>BF90-BD90</f>
      </c>
      <c r="BG94" s="463">
        <f>BG90-BF90</f>
      </c>
      <c r="BH94" s="463">
        <f>BH90-BG90</f>
      </c>
      <c r="BI94" s="463">
        <f>BI90-BH90</f>
      </c>
      <c r="BJ94" s="293"/>
      <c r="BK94" s="470">
        <f>BK90-BI90</f>
      </c>
      <c r="BL94" s="463">
        <f>BL90-BK90</f>
      </c>
      <c r="BM94" s="463">
        <f>BM90-BL90</f>
      </c>
      <c r="BN94" s="463">
        <f>BN90-BM90</f>
      </c>
      <c r="BO94" s="293"/>
      <c r="BP94" s="470">
        <f>BP90-BN90</f>
      </c>
      <c r="BQ94" s="463">
        <f>BQ90-BP90</f>
      </c>
      <c r="BR94" s="463">
        <f>BR90-BQ90</f>
      </c>
      <c r="BS94" s="463">
        <f>BS90-BR90</f>
      </c>
      <c r="BT94" s="293"/>
      <c r="BU94" s="470">
        <f>BU90-BS90</f>
      </c>
      <c r="BV94" s="463">
        <f>BV90-BU90</f>
      </c>
      <c r="BW94" s="463">
        <f>BW90-BV90</f>
      </c>
      <c r="BX94" s="463">
        <f>BX90-BW90</f>
      </c>
      <c r="BY94" s="293"/>
      <c r="BZ94" s="470">
        <f>BZ90-BX90</f>
      </c>
      <c r="CA94" s="463">
        <f>CA90-BZ90</f>
      </c>
      <c r="CB94" s="463">
        <f>CB90-CA90</f>
      </c>
      <c r="CC94" s="463">
        <f>CC90-CB90</f>
      </c>
      <c r="CD94" s="293"/>
      <c r="CE94" s="470">
        <f>CE90-CC90</f>
      </c>
      <c r="CF94" s="463">
        <f>CF90-CE90</f>
      </c>
      <c r="CG94" s="463">
        <f>CG90-CF90</f>
      </c>
      <c r="CH94" s="463">
        <f>CH90-CG90</f>
      </c>
      <c r="CI94" s="293"/>
      <c r="CJ94" s="470">
        <f>CJ90-CH90</f>
      </c>
      <c r="CK94" s="463">
        <f>CK90-CJ90</f>
      </c>
      <c r="CL94" s="463">
        <f>CL90-CK90</f>
      </c>
      <c r="CM94" s="463">
        <f>CM90-CL90</f>
      </c>
      <c r="CN94" s="293"/>
      <c r="CO94" s="470">
        <f>CO90-CM90</f>
      </c>
      <c r="CP94" s="463">
        <f>CP90-CO90</f>
      </c>
      <c r="CQ94" s="463">
        <f>CQ90-CP90</f>
      </c>
      <c r="CR94" s="463">
        <f>CR90-CQ90</f>
      </c>
      <c r="CS94" s="293"/>
      <c r="CT94" s="470">
        <f>CT90-CR90</f>
      </c>
      <c r="CU94" s="463">
        <f>CU90-CT90</f>
      </c>
      <c r="CV94" s="463">
        <f>CV90-CU90</f>
      </c>
      <c r="CW94" s="463">
        <f>CW90-CV90</f>
      </c>
      <c r="CX94" s="293"/>
      <c r="CY94" s="470">
        <f>CY90-CW90</f>
      </c>
      <c r="CZ94" s="463">
        <f>CZ90-CY90</f>
      </c>
      <c r="DA94" s="463">
        <f>DA90-CZ90</f>
      </c>
      <c r="DB94" s="463">
        <f>DB90-DA90</f>
      </c>
      <c r="DC94" s="293"/>
      <c r="DD94" s="470">
        <f>DD90-DB90</f>
      </c>
      <c r="DE94" s="463">
        <f>DE90-DD90</f>
      </c>
      <c r="DF94" s="463">
        <f>DF90-DE90</f>
      </c>
      <c r="DG94" s="463">
        <f>DG90-DF90</f>
      </c>
      <c r="DH94" s="293"/>
      <c r="DI94" s="470">
        <f>DI90-DG90</f>
      </c>
      <c r="DJ94" s="463">
        <f>DJ90-DI90</f>
      </c>
      <c r="DK94" s="463">
        <f>DK90-DJ90</f>
      </c>
      <c r="DL94" s="463">
        <f>DL90-DK90</f>
      </c>
      <c r="DM94" s="293"/>
      <c r="DN94" s="470">
        <f>DN90-DL90</f>
      </c>
      <c r="DO94" s="463">
        <f>DO90-DN90</f>
      </c>
      <c r="DP94" s="463">
        <f>DP90-DO90</f>
      </c>
      <c r="DQ94" s="463">
        <f>DQ90-DP90</f>
      </c>
      <c r="DR94" s="293"/>
      <c r="DS94" s="470">
        <f>DS90-DQ90</f>
      </c>
      <c r="DT94" s="463">
        <f>DT90-DS90</f>
      </c>
      <c r="DU94" s="463">
        <f>DU90-DT90</f>
      </c>
      <c r="DV94" s="463">
        <f>DV90-DU90</f>
      </c>
      <c r="DW94" s="293"/>
      <c r="DX94" s="470">
        <f>DX90-DV90</f>
      </c>
      <c r="DY94" s="463">
        <f>DY90-DX90</f>
      </c>
      <c r="DZ94" s="463">
        <f>DZ90-DY90</f>
      </c>
      <c r="EA94" s="463">
        <f>EA90-DZ90</f>
      </c>
      <c r="EB94" s="293"/>
      <c r="EC94" s="470">
        <f>EC90-EA90</f>
      </c>
      <c r="ED94" s="463">
        <f>ED90-EC90</f>
      </c>
      <c r="EE94" s="463">
        <f>EE90-ED90</f>
      </c>
      <c r="EF94" s="463">
        <f>EF90-EE90</f>
      </c>
      <c r="EG94" s="293"/>
      <c r="EH94" s="470">
        <f>EH90-EF90</f>
      </c>
      <c r="EI94" s="463">
        <f>EI90-EH90</f>
      </c>
      <c r="EJ94" s="463">
        <f>EJ90-EI90</f>
      </c>
      <c r="EK94" s="463">
        <f>EK90-EJ90</f>
      </c>
      <c r="EL94" s="293"/>
      <c r="EM94" s="470">
        <f>EM90-EK90</f>
      </c>
      <c r="EN94" s="463">
        <f>EN90-EM90</f>
      </c>
      <c r="EO94" s="463">
        <f>EO90-EN90</f>
      </c>
      <c r="EP94" s="463">
        <f>EP90-EO90</f>
      </c>
      <c r="EQ94" s="293"/>
      <c r="ER94" s="470">
        <f>ER90-EP90</f>
      </c>
      <c r="ES94" s="463">
        <f>ES90-ER90</f>
      </c>
      <c r="ET94" s="463">
        <f>ET90-ES90</f>
      </c>
      <c r="EU94" s="463">
        <f>EU90-ET90</f>
      </c>
      <c r="EV94" s="293"/>
      <c r="EW94" s="470">
        <f>EW90-EU90</f>
      </c>
      <c r="EX94" s="463">
        <f>EX90-EW90</f>
      </c>
      <c r="EY94" s="1399">
        <f>EY90-EX90</f>
      </c>
      <c r="EZ94" s="463">
        <f>EZ90-EY90</f>
      </c>
      <c r="FA94" s="293"/>
      <c r="FB94" s="470">
        <f>FB90-EZ90</f>
      </c>
      <c r="FC94" s="463">
        <f>FC90-FB90</f>
      </c>
      <c r="FD94" s="463">
        <f>FD90-FC90</f>
      </c>
      <c r="FE94" s="463">
        <f>FE90-FD90</f>
      </c>
      <c r="FF94" s="293"/>
      <c r="FG94" s="470">
        <f>FG90-FE90</f>
      </c>
      <c r="FH94" s="463">
        <f>FH90-FG90</f>
      </c>
      <c r="FI94" s="463">
        <f>FI90-FH90</f>
      </c>
      <c r="FJ94" s="463">
        <f>FJ90-FI90</f>
      </c>
      <c r="FK94" s="293"/>
      <c r="FL94" s="470">
        <f>FL90-FJ90</f>
      </c>
      <c r="FM94" s="463">
        <f>FM90-FL90</f>
      </c>
      <c r="FN94" s="463">
        <f>FN90-FM90</f>
      </c>
      <c r="FO94" s="463">
        <f>FO90-FN90</f>
      </c>
      <c r="FP94" s="293"/>
      <c r="FQ94" s="470">
        <f>FQ90-FO90</f>
      </c>
      <c r="FR94" s="463">
        <f>FR90-FQ90</f>
      </c>
      <c r="FS94" s="463">
        <f>FS90-FR90</f>
      </c>
      <c r="FT94" s="463">
        <f>FT90-FS90</f>
      </c>
      <c r="FU94" s="293"/>
      <c r="FV94" s="470">
        <f>FV90-FT90</f>
      </c>
      <c r="FW94" s="463">
        <f>FW90-FV90</f>
      </c>
      <c r="FX94" s="463">
        <f>FX90-FW90</f>
      </c>
      <c r="FY94" s="463">
        <f>FY90-FX90</f>
      </c>
      <c r="FZ94" s="293"/>
      <c r="GA94" s="470">
        <f>GA90-FY90</f>
      </c>
      <c r="GB94" s="463">
        <f>GB90-GA90</f>
      </c>
      <c r="GC94" s="463">
        <f>GC90-GB90</f>
      </c>
      <c r="GD94" s="463">
        <f>GD90-GC90</f>
      </c>
      <c r="GE94" s="293"/>
      <c r="GF94" s="470">
        <f>GF90-GD90</f>
      </c>
      <c r="GG94" s="463">
        <f>GG90-GF90</f>
      </c>
      <c r="GH94" s="463">
        <f>GH90-GG90</f>
      </c>
      <c r="GI94" s="463">
        <f>GI90-GH90</f>
      </c>
      <c r="GJ94" s="293"/>
    </row>
    <row r="95" spans="1:192" s="1241" customFormat="1" ht="12.75" customHeight="1">
      <c r="A95" s="1254"/>
      <c r="B95" s="618" t="s">
        <v>257</v>
      </c>
      <c r="C95" s="924">
        <f t="shared" ref="C95:AH95" si="203">IFERROR(C90/C$24,"")</f>
      </c>
      <c r="D95" s="924">
        <f t="shared" si="203"/>
      </c>
      <c r="E95" s="924">
        <f t="shared" si="203"/>
      </c>
      <c r="F95" s="924">
        <f t="shared" si="203"/>
      </c>
      <c r="G95" s="1240">
        <f t="shared" si="203"/>
      </c>
      <c r="H95" s="924">
        <f t="shared" si="203"/>
      </c>
      <c r="I95" s="924">
        <f t="shared" si="203"/>
      </c>
      <c r="J95" s="924">
        <f t="shared" si="203"/>
      </c>
      <c r="K95" s="924">
        <f t="shared" si="203"/>
      </c>
      <c r="L95" s="1240">
        <f t="shared" si="203"/>
      </c>
      <c r="M95" s="924">
        <f t="shared" si="203"/>
      </c>
      <c r="N95" s="924">
        <f t="shared" si="203"/>
      </c>
      <c r="O95" s="924">
        <f t="shared" si="203"/>
      </c>
      <c r="P95" s="924">
        <f t="shared" si="203"/>
      </c>
      <c r="Q95" s="1240">
        <f t="shared" si="203"/>
      </c>
      <c r="R95" s="924">
        <f t="shared" si="203"/>
      </c>
      <c r="S95" s="924">
        <f t="shared" si="203"/>
      </c>
      <c r="T95" s="924">
        <f t="shared" si="203"/>
      </c>
      <c r="U95" s="924">
        <f t="shared" si="203"/>
      </c>
      <c r="V95" s="1240">
        <f t="shared" si="203"/>
      </c>
      <c r="W95" s="924">
        <f t="shared" si="203"/>
      </c>
      <c r="X95" s="924">
        <f t="shared" si="203"/>
      </c>
      <c r="Y95" s="924">
        <f t="shared" si="203"/>
      </c>
      <c r="Z95" s="924">
        <f t="shared" si="203"/>
      </c>
      <c r="AA95" s="1240">
        <f t="shared" si="203"/>
      </c>
      <c r="AB95" s="924">
        <f t="shared" si="203"/>
      </c>
      <c r="AC95" s="924">
        <f t="shared" si="203"/>
      </c>
      <c r="AD95" s="924">
        <f t="shared" si="203"/>
      </c>
      <c r="AE95" s="924">
        <f t="shared" si="203"/>
      </c>
      <c r="AF95" s="1240">
        <f t="shared" si="203"/>
      </c>
      <c r="AG95" s="924">
        <f t="shared" si="203"/>
      </c>
      <c r="AH95" s="924">
        <f t="shared" si="203"/>
      </c>
      <c r="AI95" s="924">
        <f t="shared" ref="AI95:BN95" si="204">IFERROR(AI90/AI$24,"")</f>
      </c>
      <c r="AJ95" s="924">
        <f t="shared" si="204"/>
      </c>
      <c r="AK95" s="1240">
        <f t="shared" si="204"/>
      </c>
      <c r="AL95" s="924">
        <f t="shared" si="204"/>
      </c>
      <c r="AM95" s="924">
        <f t="shared" si="204"/>
      </c>
      <c r="AN95" s="924">
        <f t="shared" si="204"/>
      </c>
      <c r="AO95" s="924">
        <f t="shared" si="204"/>
      </c>
      <c r="AP95" s="1240">
        <f t="shared" si="204"/>
      </c>
      <c r="AQ95" s="924">
        <f t="shared" si="204"/>
      </c>
      <c r="AR95" s="924">
        <f t="shared" si="204"/>
      </c>
      <c r="AS95" s="924">
        <f t="shared" si="204"/>
      </c>
      <c r="AT95" s="924">
        <f t="shared" si="204"/>
      </c>
      <c r="AU95" s="1240">
        <f t="shared" si="204"/>
      </c>
      <c r="AV95" s="924">
        <f t="shared" si="204"/>
      </c>
      <c r="AW95" s="924">
        <f t="shared" si="204"/>
      </c>
      <c r="AX95" s="924">
        <f t="shared" si="204"/>
      </c>
      <c r="AY95" s="924">
        <f t="shared" si="204"/>
      </c>
      <c r="AZ95" s="1240">
        <f t="shared" si="204"/>
      </c>
      <c r="BA95" s="924">
        <f t="shared" si="204"/>
      </c>
      <c r="BB95" s="924">
        <f t="shared" si="204"/>
      </c>
      <c r="BC95" s="924">
        <f t="shared" si="204"/>
      </c>
      <c r="BD95" s="924">
        <f t="shared" si="204"/>
      </c>
      <c r="BE95" s="1240">
        <f t="shared" si="204"/>
      </c>
      <c r="BF95" s="924">
        <f t="shared" si="204"/>
      </c>
      <c r="BG95" s="924">
        <f t="shared" si="204"/>
      </c>
      <c r="BH95" s="924">
        <f t="shared" si="204"/>
      </c>
      <c r="BI95" s="924">
        <f t="shared" si="204"/>
      </c>
      <c r="BJ95" s="1240">
        <f t="shared" si="204"/>
      </c>
      <c r="BK95" s="924">
        <f t="shared" si="204"/>
      </c>
      <c r="BL95" s="924">
        <f t="shared" si="204"/>
      </c>
      <c r="BM95" s="924">
        <f t="shared" si="204"/>
      </c>
      <c r="BN95" s="924">
        <f t="shared" si="204"/>
      </c>
      <c r="BO95" s="1240">
        <f t="shared" ref="BO95:CT95" si="205">IFERROR(BO90/BO$24,"")</f>
      </c>
      <c r="BP95" s="924">
        <f t="shared" si="205"/>
      </c>
      <c r="BQ95" s="924">
        <f t="shared" si="205"/>
      </c>
      <c r="BR95" s="924">
        <f t="shared" si="205"/>
      </c>
      <c r="BS95" s="924">
        <f t="shared" si="205"/>
      </c>
      <c r="BT95" s="1240">
        <f t="shared" si="205"/>
      </c>
      <c r="BU95" s="924">
        <f t="shared" si="205"/>
      </c>
      <c r="BV95" s="924">
        <f t="shared" si="205"/>
      </c>
      <c r="BW95" s="924">
        <f t="shared" si="205"/>
      </c>
      <c r="BX95" s="924">
        <f t="shared" si="205"/>
      </c>
      <c r="BY95" s="1240">
        <f t="shared" si="205"/>
      </c>
      <c r="BZ95" s="924">
        <f t="shared" si="205"/>
      </c>
      <c r="CA95" s="924">
        <f t="shared" si="205"/>
      </c>
      <c r="CB95" s="924">
        <f t="shared" si="205"/>
      </c>
      <c r="CC95" s="924">
        <f t="shared" si="205"/>
      </c>
      <c r="CD95" s="1240">
        <f t="shared" si="205"/>
      </c>
      <c r="CE95" s="924">
        <f t="shared" si="205"/>
      </c>
      <c r="CF95" s="924">
        <f t="shared" si="205"/>
      </c>
      <c r="CG95" s="924">
        <f t="shared" si="205"/>
      </c>
      <c r="CH95" s="924">
        <f t="shared" si="205"/>
      </c>
      <c r="CI95" s="1240">
        <f t="shared" si="205"/>
      </c>
      <c r="CJ95" s="924">
        <f t="shared" si="205"/>
      </c>
      <c r="CK95" s="924">
        <f t="shared" si="205"/>
      </c>
      <c r="CL95" s="924">
        <f t="shared" si="205"/>
      </c>
      <c r="CM95" s="924">
        <f t="shared" si="205"/>
      </c>
      <c r="CN95" s="1240">
        <f t="shared" si="205"/>
      </c>
      <c r="CO95" s="924">
        <f t="shared" si="205"/>
      </c>
      <c r="CP95" s="924">
        <f t="shared" si="205"/>
      </c>
      <c r="CQ95" s="924">
        <f t="shared" si="205"/>
      </c>
      <c r="CR95" s="924">
        <f t="shared" si="205"/>
      </c>
      <c r="CS95" s="1240">
        <f t="shared" si="205"/>
      </c>
      <c r="CT95" s="924">
        <f t="shared" si="205"/>
      </c>
      <c r="CU95" s="924">
        <f t="shared" ref="CU95:DZ95" si="206">IFERROR(CU90/CU$24,"")</f>
      </c>
      <c r="CV95" s="924">
        <f t="shared" si="206"/>
      </c>
      <c r="CW95" s="924">
        <f t="shared" si="206"/>
      </c>
      <c r="CX95" s="1240">
        <f t="shared" si="206"/>
      </c>
      <c r="CY95" s="924">
        <f t="shared" si="206"/>
      </c>
      <c r="CZ95" s="924">
        <f t="shared" si="206"/>
      </c>
      <c r="DA95" s="924">
        <f t="shared" si="206"/>
      </c>
      <c r="DB95" s="924">
        <f t="shared" si="206"/>
      </c>
      <c r="DC95" s="1240">
        <f t="shared" si="206"/>
      </c>
      <c r="DD95" s="924">
        <f t="shared" si="206"/>
      </c>
      <c r="DE95" s="924">
        <f t="shared" si="206"/>
      </c>
      <c r="DF95" s="924">
        <f t="shared" si="206"/>
      </c>
      <c r="DG95" s="924">
        <f t="shared" si="206"/>
      </c>
      <c r="DH95" s="1240">
        <f t="shared" si="206"/>
      </c>
      <c r="DI95" s="924">
        <f t="shared" si="206"/>
      </c>
      <c r="DJ95" s="924">
        <f t="shared" si="206"/>
      </c>
      <c r="DK95" s="924">
        <f t="shared" si="206"/>
      </c>
      <c r="DL95" s="924">
        <f t="shared" si="206"/>
      </c>
      <c r="DM95" s="1240">
        <f t="shared" si="206"/>
      </c>
      <c r="DN95" s="924">
        <f t="shared" si="206"/>
      </c>
      <c r="DO95" s="924">
        <f t="shared" si="206"/>
      </c>
      <c r="DP95" s="924">
        <f t="shared" si="206"/>
      </c>
      <c r="DQ95" s="924">
        <f t="shared" si="206"/>
      </c>
      <c r="DR95" s="1240">
        <f t="shared" si="206"/>
      </c>
      <c r="DS95" s="924">
        <f t="shared" si="206"/>
      </c>
      <c r="DT95" s="924">
        <f t="shared" si="206"/>
      </c>
      <c r="DU95" s="924">
        <f t="shared" si="206"/>
      </c>
      <c r="DV95" s="924">
        <f t="shared" si="206"/>
      </c>
      <c r="DW95" s="1240">
        <f t="shared" si="206"/>
      </c>
      <c r="DX95" s="924">
        <f t="shared" si="206"/>
      </c>
      <c r="DY95" s="924">
        <f t="shared" si="206"/>
      </c>
      <c r="DZ95" s="924">
        <f t="shared" si="206"/>
      </c>
      <c r="EA95" s="924">
        <f t="shared" ref="EA95:ER95" si="207">IFERROR(EA90/EA$24,"")</f>
      </c>
      <c r="EB95" s="1240">
        <f t="shared" si="207"/>
      </c>
      <c r="EC95" s="924">
        <f t="shared" si="207"/>
      </c>
      <c r="ED95" s="924">
        <f t="shared" si="207"/>
      </c>
      <c r="EE95" s="924">
        <f t="shared" si="207"/>
      </c>
      <c r="EF95" s="924">
        <f t="shared" si="207"/>
      </c>
      <c r="EG95" s="1240">
        <f t="shared" si="207"/>
      </c>
      <c r="EH95" s="924">
        <f t="shared" si="207"/>
      </c>
      <c r="EI95" s="924">
        <f t="shared" si="207"/>
      </c>
      <c r="EJ95" s="924">
        <f t="shared" si="207"/>
      </c>
      <c r="EK95" s="924">
        <f t="shared" si="207"/>
      </c>
      <c r="EL95" s="1240">
        <f t="shared" si="207"/>
      </c>
      <c r="EM95" s="924">
        <f t="shared" si="207"/>
      </c>
      <c r="EN95" s="924">
        <f t="shared" si="207"/>
      </c>
      <c r="EO95" s="924">
        <f t="shared" si="207"/>
      </c>
      <c r="EP95" s="924">
        <f t="shared" si="207"/>
      </c>
      <c r="EQ95" s="1240">
        <f t="shared" si="207"/>
      </c>
      <c r="ER95" s="924">
        <f t="shared" si="207"/>
      </c>
      <c r="ES95" s="924">
        <f>IFERROR(ES90/ES$24,"")</f>
      </c>
      <c r="ET95" s="924">
        <f>IFERROR(ET90/ET$24,"")</f>
      </c>
      <c r="EU95" s="924">
        <f>IFERROR(EU90/EU$24,"")</f>
      </c>
      <c r="EV95" s="1240">
        <f>IFERROR(EV90/EV$24,"")</f>
      </c>
      <c r="EW95" s="924">
        <f t="shared" ref="EW95" si="208">IFERROR(EW90/EW$24,"")</f>
      </c>
      <c r="EX95" s="924">
        <f>IFERROR(EX90/EX$24,"")</f>
      </c>
      <c r="EY95" s="1356">
        <f>IFERROR(EY90/EY$24,"")</f>
      </c>
      <c r="EZ95" s="1356">
        <f>IFERROR(EZ90/EZ$24,"")</f>
      </c>
      <c r="FA95" s="1240">
        <f>IFERROR(FA90/FA$24,"")</f>
      </c>
      <c r="FB95" s="1117">
        <f>EW95-0.3%</f>
      </c>
      <c r="FC95" s="1117">
        <f t="shared" ref="FC95:FE95" si="209">EX95-0.25%</f>
      </c>
      <c r="FD95" s="1117">
        <f t="shared" si="209"/>
      </c>
      <c r="FE95" s="1117">
        <f t="shared" si="209"/>
      </c>
      <c r="FF95" s="893">
        <f>IFERROR(FF90/FF$24,"")</f>
      </c>
      <c r="FG95" s="1117">
        <f>FB95-0.2%</f>
      </c>
      <c r="FH95" s="1117">
        <f>FC95-0.2%</f>
      </c>
      <c r="FI95" s="1117">
        <f>FD95-0.2%</f>
      </c>
      <c r="FJ95" s="1117">
        <f>FE95-0.2%</f>
      </c>
      <c r="FK95" s="893">
        <f>IFERROR(FK90/FK$24,"")</f>
      </c>
      <c r="FL95" s="1117">
        <f>FG95-0.2%</f>
      </c>
      <c r="FM95" s="1117">
        <f>FH95-0.2%</f>
      </c>
      <c r="FN95" s="1117">
        <f>FI95-0.2%</f>
      </c>
      <c r="FO95" s="1117">
        <f>FJ95-0.2%</f>
      </c>
      <c r="FP95" s="893">
        <f>IFERROR(FP90/FP$24,"")</f>
      </c>
      <c r="FQ95" s="1117">
        <f>FL95-0.2%</f>
      </c>
      <c r="FR95" s="1117">
        <f>FM95-0.2%</f>
      </c>
      <c r="FS95" s="1117">
        <f>FN95-0.2%</f>
      </c>
      <c r="FT95" s="1117">
        <f>FO95-0.2%</f>
      </c>
      <c r="FU95" s="893">
        <f>IFERROR(FU90/FU$24,"")</f>
      </c>
      <c r="FV95" s="1117">
        <f>FQ95-0.2%</f>
      </c>
      <c r="FW95" s="1117">
        <f>FR95-0.2%</f>
      </c>
      <c r="FX95" s="1117">
        <f>FS95-0.2%</f>
      </c>
      <c r="FY95" s="1117">
        <f>FT95-0.2%</f>
      </c>
      <c r="FZ95" s="893">
        <f>IFERROR(FZ90/FZ$24,"")</f>
      </c>
      <c r="GA95" s="1117">
        <f>FV95-0.2%</f>
      </c>
      <c r="GB95" s="1117">
        <f>FW95-0.2%</f>
      </c>
      <c r="GC95" s="1117">
        <f>FX95-0.2%</f>
      </c>
      <c r="GD95" s="1117">
        <f>FY95-0.2%</f>
      </c>
      <c r="GE95" s="893">
        <f>IFERROR(GE90/GE$24,"")</f>
      </c>
      <c r="GF95" s="1117">
        <f>GA95-0.2%</f>
      </c>
      <c r="GG95" s="1117">
        <f>GB95-0.2%</f>
      </c>
      <c r="GH95" s="1117">
        <f>GC95-0.2%</f>
      </c>
      <c r="GI95" s="1117">
        <f>GD95-0.2%</f>
      </c>
      <c r="GJ95" s="893">
        <f>IFERROR(GJ90/GJ$24,"")</f>
      </c>
    </row>
    <row r="96" spans="1:192" s="335" customFormat="1" ht="12.75" customHeight="1">
      <c r="A96" s="790"/>
      <c r="B96" s="69"/>
      <c r="C96" s="106"/>
      <c r="D96" s="107"/>
      <c r="E96" s="107"/>
      <c r="F96" s="346"/>
      <c r="G96" s="347"/>
      <c r="H96" s="106"/>
      <c r="I96" s="107"/>
      <c r="J96" s="107"/>
      <c r="K96" s="346"/>
      <c r="L96" s="347"/>
      <c r="M96" s="106"/>
      <c r="N96" s="107"/>
      <c r="O96" s="107"/>
      <c r="P96" s="346"/>
      <c r="Q96" s="347"/>
      <c r="R96" s="106"/>
      <c r="S96" s="107"/>
      <c r="T96" s="107"/>
      <c r="U96" s="346"/>
      <c r="V96" s="347"/>
      <c r="W96" s="106"/>
      <c r="X96" s="107"/>
      <c r="Y96" s="107"/>
      <c r="Z96" s="346"/>
      <c r="AA96" s="347"/>
      <c r="AB96" s="106"/>
      <c r="AC96" s="107"/>
      <c r="AD96" s="107"/>
      <c r="AE96" s="346"/>
      <c r="AF96" s="347"/>
      <c r="AG96" s="106"/>
      <c r="AH96" s="107"/>
      <c r="AI96" s="107"/>
      <c r="AJ96" s="346"/>
      <c r="AK96" s="347"/>
      <c r="AL96" s="106"/>
      <c r="AM96" s="107"/>
      <c r="AN96" s="107"/>
      <c r="AO96" s="346"/>
      <c r="AP96" s="347"/>
      <c r="AQ96" s="106"/>
      <c r="AR96" s="107"/>
      <c r="AS96" s="107"/>
      <c r="AT96" s="346"/>
      <c r="AU96" s="347"/>
      <c r="AV96" s="106"/>
      <c r="AW96" s="107"/>
      <c r="AX96" s="107"/>
      <c r="AY96" s="346"/>
      <c r="AZ96" s="347"/>
      <c r="BA96" s="106"/>
      <c r="BB96" s="107"/>
      <c r="BC96" s="107"/>
      <c r="BD96" s="346"/>
      <c r="BE96" s="347"/>
      <c r="BF96" s="106"/>
      <c r="BG96" s="107"/>
      <c r="BH96" s="107"/>
      <c r="BI96" s="346"/>
      <c r="BJ96" s="347"/>
      <c r="BK96" s="106"/>
      <c r="BL96" s="107"/>
      <c r="BM96" s="107"/>
      <c r="BN96" s="346"/>
      <c r="BO96" s="347"/>
      <c r="BP96" s="106"/>
      <c r="BQ96" s="107"/>
      <c r="BR96" s="107"/>
      <c r="BS96" s="346"/>
      <c r="BT96" s="347"/>
      <c r="BU96" s="106"/>
      <c r="BV96" s="107"/>
      <c r="BW96" s="107"/>
      <c r="BX96" s="346"/>
      <c r="BY96" s="347"/>
      <c r="BZ96" s="106"/>
      <c r="CA96" s="107"/>
      <c r="CB96" s="107"/>
      <c r="CC96" s="346"/>
      <c r="CD96" s="347"/>
      <c r="CE96" s="106"/>
      <c r="CF96" s="107"/>
      <c r="CG96" s="107"/>
      <c r="CH96" s="346"/>
      <c r="CI96" s="347"/>
      <c r="CJ96" s="106"/>
      <c r="CK96" s="107"/>
      <c r="CL96" s="107"/>
      <c r="CM96" s="346"/>
      <c r="CN96" s="347"/>
      <c r="CO96" s="106"/>
      <c r="CP96" s="107"/>
      <c r="CQ96" s="107"/>
      <c r="CR96" s="346"/>
      <c r="CS96" s="347"/>
      <c r="CT96" s="106"/>
      <c r="CU96" s="107"/>
      <c r="CV96" s="107"/>
      <c r="CW96" s="346"/>
      <c r="CX96" s="347"/>
      <c r="CY96" s="106"/>
      <c r="CZ96" s="107"/>
      <c r="DA96" s="107"/>
      <c r="DB96" s="346"/>
      <c r="DC96" s="347"/>
      <c r="DD96" s="106"/>
      <c r="DE96" s="107"/>
      <c r="DF96" s="107"/>
      <c r="DG96" s="346"/>
      <c r="DH96" s="347"/>
      <c r="DI96" s="106"/>
      <c r="DJ96" s="107"/>
      <c r="DK96" s="107"/>
      <c r="DL96" s="346"/>
      <c r="DM96" s="347"/>
      <c r="DN96" s="106"/>
      <c r="DO96" s="107"/>
      <c r="DP96" s="107"/>
      <c r="DQ96" s="346"/>
      <c r="DR96" s="347"/>
      <c r="DS96" s="106"/>
      <c r="DT96" s="107"/>
      <c r="DU96" s="107"/>
      <c r="DV96" s="346"/>
      <c r="DW96" s="347"/>
      <c r="DX96" s="106"/>
      <c r="DY96" s="107"/>
      <c r="DZ96" s="107"/>
      <c r="EA96" s="346"/>
      <c r="EB96" s="347"/>
      <c r="EC96" s="106"/>
      <c r="ED96" s="107"/>
      <c r="EE96" s="107"/>
      <c r="EF96" s="346"/>
      <c r="EG96" s="347"/>
      <c r="EH96" s="106"/>
      <c r="EI96" s="107"/>
      <c r="EJ96" s="107"/>
      <c r="EK96" s="346"/>
      <c r="EL96" s="347"/>
      <c r="EM96" s="106"/>
      <c r="EN96" s="107"/>
      <c r="EO96" s="107"/>
      <c r="EP96" s="346"/>
      <c r="EQ96" s="347"/>
      <c r="ER96" s="348"/>
      <c r="ES96" s="107"/>
      <c r="ET96" s="107"/>
      <c r="EU96" s="346"/>
      <c r="EV96" s="347"/>
      <c r="EW96" s="106"/>
      <c r="EX96" s="107"/>
      <c r="EY96" s="468"/>
      <c r="EZ96" s="1496"/>
      <c r="FA96" s="347"/>
      <c r="FB96" s="106"/>
      <c r="FC96" s="107"/>
      <c r="FD96" s="107"/>
      <c r="FE96" s="346"/>
      <c r="FF96" s="347"/>
      <c r="FG96" s="106"/>
      <c r="FH96" s="107"/>
      <c r="FI96" s="107"/>
      <c r="FJ96" s="346"/>
      <c r="FK96" s="347"/>
      <c r="FL96" s="106"/>
      <c r="FM96" s="107"/>
      <c r="FN96" s="107"/>
      <c r="FO96" s="346"/>
      <c r="FP96" s="347"/>
      <c r="FQ96" s="106"/>
      <c r="FR96" s="107"/>
      <c r="FS96" s="107"/>
      <c r="FT96" s="346"/>
      <c r="FU96" s="347"/>
      <c r="FV96" s="106"/>
      <c r="FW96" s="107"/>
      <c r="FX96" s="107"/>
      <c r="FY96" s="346"/>
      <c r="FZ96" s="347"/>
      <c r="GA96" s="106"/>
      <c r="GB96" s="107"/>
      <c r="GC96" s="107"/>
      <c r="GD96" s="346"/>
      <c r="GE96" s="347"/>
      <c r="GF96" s="106"/>
      <c r="GG96" s="107"/>
      <c r="GH96" s="107"/>
      <c r="GI96" s="346"/>
      <c r="GJ96" s="347"/>
    </row>
    <row r="97" spans="1:192" s="461" customFormat="1" ht="12.75" hidden="1" customHeight="1" outlineLevel="1">
      <c r="A97" s="370"/>
      <c r="B97" s="625" t="s">
        <v>166</v>
      </c>
      <c r="C97" s="626">
        <v>0</v>
      </c>
      <c r="D97" s="626">
        <v>0</v>
      </c>
      <c r="E97" s="626">
        <v>0</v>
      </c>
      <c r="F97" s="626">
        <v>0</v>
      </c>
      <c r="G97" s="627">
        <f>SUM(C97:F97)</f>
      </c>
      <c r="H97" s="626">
        <v>0</v>
      </c>
      <c r="I97" s="626">
        <v>0</v>
      </c>
      <c r="J97" s="626">
        <v>0</v>
      </c>
      <c r="K97" s="626">
        <v>0</v>
      </c>
      <c r="L97" s="627">
        <f>SUM(H97:K97)</f>
      </c>
      <c r="M97" s="626">
        <v>0</v>
      </c>
      <c r="N97" s="626">
        <v>0</v>
      </c>
      <c r="O97" s="626">
        <v>0</v>
      </c>
      <c r="P97" s="626">
        <v>0</v>
      </c>
      <c r="Q97" s="627">
        <f>SUM(M97:P97)</f>
      </c>
      <c r="R97" s="626">
        <v>0</v>
      </c>
      <c r="S97" s="626">
        <v>0</v>
      </c>
      <c r="T97" s="626">
        <v>0</v>
      </c>
      <c r="U97" s="626">
        <v>0</v>
      </c>
      <c r="V97" s="627">
        <f>SUM(R97:U97)</f>
      </c>
      <c r="W97" s="626">
        <v>0</v>
      </c>
      <c r="X97" s="626">
        <v>0</v>
      </c>
      <c r="Y97" s="626">
        <v>0</v>
      </c>
      <c r="Z97" s="626">
        <v>0</v>
      </c>
      <c r="AA97" s="627">
        <f>SUM(W97:Z97)</f>
      </c>
      <c r="AB97" s="626">
        <v>0</v>
      </c>
      <c r="AC97" s="626">
        <v>0</v>
      </c>
      <c r="AD97" s="626">
        <v>0</v>
      </c>
      <c r="AE97" s="626">
        <v>0</v>
      </c>
      <c r="AF97" s="627">
        <f>SUM(AB97:AE97)</f>
      </c>
      <c r="AG97" s="626">
        <v>0</v>
      </c>
      <c r="AH97" s="626">
        <v>0</v>
      </c>
      <c r="AI97" s="626">
        <v>0</v>
      </c>
      <c r="AJ97" s="626">
        <v>0</v>
      </c>
      <c r="AK97" s="627">
        <f>SUM(AG97:AJ97)</f>
      </c>
      <c r="AL97" s="626">
        <v>0</v>
      </c>
      <c r="AM97" s="626">
        <v>0</v>
      </c>
      <c r="AN97" s="626">
        <v>0</v>
      </c>
      <c r="AO97" s="626">
        <v>0</v>
      </c>
      <c r="AP97" s="627">
        <f>SUM(AL97:AO97)</f>
      </c>
      <c r="AQ97" s="626">
        <v>0</v>
      </c>
      <c r="AR97" s="626">
        <v>0</v>
      </c>
      <c r="AS97" s="626">
        <v>0</v>
      </c>
      <c r="AT97" s="626">
        <v>0</v>
      </c>
      <c r="AU97" s="627">
        <f>SUM(AQ97:AT97)</f>
      </c>
      <c r="AV97" s="626">
        <v>0</v>
      </c>
      <c r="AW97" s="626">
        <v>0</v>
      </c>
      <c r="AX97" s="626">
        <v>0</v>
      </c>
      <c r="AY97" s="626">
        <v>0</v>
      </c>
      <c r="AZ97" s="627">
        <f>SUM(AV97:AY97)</f>
      </c>
      <c r="BA97" s="626">
        <v>0</v>
      </c>
      <c r="BB97" s="626">
        <v>0</v>
      </c>
      <c r="BC97" s="626">
        <v>0</v>
      </c>
      <c r="BD97" s="626">
        <v>0</v>
      </c>
      <c r="BE97" s="627">
        <f>SUM(BA97:BD97)</f>
      </c>
      <c r="BF97" s="626">
        <v>0</v>
      </c>
      <c r="BG97" s="626">
        <v>0</v>
      </c>
      <c r="BH97" s="626">
        <v>0</v>
      </c>
      <c r="BI97" s="626">
        <v>0</v>
      </c>
      <c r="BJ97" s="627">
        <f>SUM(BF97:BI97)</f>
      </c>
      <c r="BK97" s="626">
        <v>0</v>
      </c>
      <c r="BL97" s="626">
        <v>0</v>
      </c>
      <c r="BM97" s="626">
        <v>0</v>
      </c>
      <c r="BN97" s="626">
        <v>0</v>
      </c>
      <c r="BO97" s="627">
        <f>SUM(BK97:BN97)</f>
      </c>
      <c r="BP97" s="626">
        <v>0</v>
      </c>
      <c r="BQ97" s="626">
        <v>0</v>
      </c>
      <c r="BR97" s="626">
        <v>0</v>
      </c>
      <c r="BS97" s="626">
        <v>0</v>
      </c>
      <c r="BT97" s="627">
        <f>SUM(BP97:BS97)</f>
      </c>
      <c r="BU97" s="626">
        <v>0</v>
      </c>
      <c r="BV97" s="626">
        <v>0</v>
      </c>
      <c r="BW97" s="626">
        <v>0</v>
      </c>
      <c r="BX97" s="626">
        <v>0</v>
      </c>
      <c r="BY97" s="627">
        <f>SUM(BU97:BX97)</f>
      </c>
      <c r="BZ97" s="626">
        <v>0</v>
      </c>
      <c r="CA97" s="626">
        <v>0</v>
      </c>
      <c r="CB97" s="626">
        <v>0</v>
      </c>
      <c r="CC97" s="626">
        <v>0</v>
      </c>
      <c r="CD97" s="627">
        <f>SUM(BZ97:CC97)</f>
      </c>
      <c r="CE97" s="626">
        <v>0</v>
      </c>
      <c r="CF97" s="626">
        <v>0</v>
      </c>
      <c r="CG97" s="626">
        <v>0</v>
      </c>
      <c r="CH97" s="626">
        <v>0</v>
      </c>
      <c r="CI97" s="627">
        <f>SUM(CE97:CH97)</f>
      </c>
      <c r="CJ97" s="626">
        <v>0</v>
      </c>
      <c r="CK97" s="626">
        <v>0</v>
      </c>
      <c r="CL97" s="626">
        <v>0</v>
      </c>
      <c r="CM97" s="629">
        <v>6193</v>
      </c>
      <c r="CN97" s="627">
        <f>SUM(CJ97:CM97)</f>
      </c>
      <c r="CO97" s="626">
        <v>0</v>
      </c>
      <c r="CP97" s="626">
        <v>0</v>
      </c>
      <c r="CQ97" s="626">
        <v>0</v>
      </c>
      <c r="CR97" s="626">
        <v>0</v>
      </c>
      <c r="CS97" s="627">
        <f>SUM(CO97:CR97)</f>
      </c>
      <c r="CT97" s="626">
        <v>0</v>
      </c>
      <c r="CU97" s="626">
        <v>0</v>
      </c>
      <c r="CV97" s="626">
        <v>0</v>
      </c>
      <c r="CW97" s="626">
        <v>127</v>
      </c>
      <c r="CX97" s="627">
        <f>SUM(CT97:CW97)</f>
      </c>
      <c r="CY97" s="626">
        <v>1140</v>
      </c>
      <c r="CZ97" s="626">
        <v>243</v>
      </c>
      <c r="DA97" s="626">
        <v>190</v>
      </c>
      <c r="DB97" s="626">
        <v>8438</v>
      </c>
      <c r="DC97" s="627">
        <f>SUM(CY97:DB97)</f>
      </c>
      <c r="DD97" s="626">
        <v>0</v>
      </c>
      <c r="DE97" s="626">
        <v>0</v>
      </c>
      <c r="DF97" s="626">
        <v>0</v>
      </c>
      <c r="DG97" s="626">
        <v>1110</v>
      </c>
      <c r="DH97" s="627">
        <f>SUM(DD97:DG97)</f>
      </c>
      <c r="DI97" s="626">
        <v>0</v>
      </c>
      <c r="DJ97" s="626">
        <v>0</v>
      </c>
      <c r="DK97" s="626">
        <v>0</v>
      </c>
      <c r="DL97" s="626">
        <v>306</v>
      </c>
      <c r="DM97" s="627">
        <f>SUM(DI97:DL97)</f>
      </c>
      <c r="DN97" s="626">
        <v>0</v>
      </c>
      <c r="DO97" s="626">
        <v>0</v>
      </c>
      <c r="DP97" s="626">
        <v>0</v>
      </c>
      <c r="DQ97" s="626">
        <v>0</v>
      </c>
      <c r="DR97" s="627">
        <f>SUM(DN97:DQ97)</f>
      </c>
      <c r="DS97" s="626">
        <v>0</v>
      </c>
      <c r="DT97" s="626">
        <v>0</v>
      </c>
      <c r="DU97" s="626">
        <v>0</v>
      </c>
      <c r="DV97" s="626">
        <v>0</v>
      </c>
      <c r="DW97" s="627">
        <f>SUM(DS97:DV97)</f>
      </c>
      <c r="DX97" s="626">
        <v>0</v>
      </c>
      <c r="DY97" s="626">
        <v>0</v>
      </c>
      <c r="DZ97" s="626">
        <v>0</v>
      </c>
      <c r="EA97" s="626">
        <v>0</v>
      </c>
      <c r="EB97" s="627">
        <f>SUM(DX97:EA97)</f>
      </c>
      <c r="EC97" s="626">
        <v>0</v>
      </c>
      <c r="ED97" s="626">
        <v>0</v>
      </c>
      <c r="EE97" s="626">
        <v>0</v>
      </c>
      <c r="EF97" s="626">
        <v>0</v>
      </c>
      <c r="EG97" s="627">
        <f>SUM(EC97:EF97)</f>
      </c>
      <c r="EH97" s="626">
        <v>0</v>
      </c>
      <c r="EI97" s="626">
        <v>0</v>
      </c>
      <c r="EJ97" s="626">
        <v>0</v>
      </c>
      <c r="EK97" s="626">
        <v>0</v>
      </c>
      <c r="EL97" s="627">
        <f>SUM(EH97:EK97)</f>
      </c>
      <c r="EM97" s="626">
        <v>0</v>
      </c>
      <c r="EN97" s="626">
        <v>0</v>
      </c>
      <c r="EO97" s="626">
        <v>0</v>
      </c>
      <c r="EP97" s="626">
        <v>0</v>
      </c>
      <c r="EQ97" s="627">
        <f>SUM(EM97:EP97)</f>
      </c>
      <c r="ER97" s="626">
        <v>0</v>
      </c>
      <c r="ES97" s="626">
        <v>0</v>
      </c>
      <c r="ET97" s="626">
        <v>0</v>
      </c>
      <c r="EU97" s="609">
        <v>0</v>
      </c>
      <c r="EV97" s="627">
        <f>SUM(ER97:EU97)</f>
      </c>
      <c r="EW97" s="629">
        <v>0</v>
      </c>
      <c r="EX97" s="626">
        <v>0</v>
      </c>
      <c r="EY97" s="629">
        <v>0</v>
      </c>
      <c r="EZ97" s="629">
        <v>0</v>
      </c>
      <c r="FA97" s="627">
        <f>SUM(EW97:EZ97)</f>
      </c>
      <c r="FB97" s="609">
        <f>FB100*FB24</f>
      </c>
      <c r="FC97" s="609">
        <f>FC100*FC24</f>
      </c>
      <c r="FD97" s="609">
        <f>FD100*FD24</f>
      </c>
      <c r="FE97" s="609">
        <f>FE100*FE24</f>
      </c>
      <c r="FF97" s="627">
        <f>SUM(FB97:FE97)</f>
      </c>
      <c r="FG97" s="609">
        <f>FG100*FG24</f>
      </c>
      <c r="FH97" s="609">
        <f>FH100*FH24</f>
      </c>
      <c r="FI97" s="609">
        <f>FI100*FI24</f>
      </c>
      <c r="FJ97" s="609">
        <f>FJ100*FJ24</f>
      </c>
      <c r="FK97" s="627">
        <f>SUM(FG97:FJ97)</f>
      </c>
      <c r="FL97" s="609">
        <f>FL100*FL24</f>
      </c>
      <c r="FM97" s="609">
        <f>FM100*FM24</f>
      </c>
      <c r="FN97" s="609">
        <f>FN100*FN24</f>
      </c>
      <c r="FO97" s="609">
        <f>FO100*FO24</f>
      </c>
      <c r="FP97" s="627">
        <f>SUM(FL97:FO97)</f>
      </c>
      <c r="FQ97" s="609">
        <f>FQ100*FQ24</f>
      </c>
      <c r="FR97" s="609">
        <f>FR100*FR24</f>
      </c>
      <c r="FS97" s="609">
        <f>FS100*FS24</f>
      </c>
      <c r="FT97" s="609">
        <f>FT100*FT24</f>
      </c>
      <c r="FU97" s="627">
        <f>SUM(FQ97:FT97)</f>
      </c>
      <c r="FV97" s="609">
        <f>FV100*FV24</f>
      </c>
      <c r="FW97" s="609">
        <f>FW100*FW24</f>
      </c>
      <c r="FX97" s="609">
        <f>FX100*FX24</f>
      </c>
      <c r="FY97" s="609">
        <f>FY100*FY24</f>
      </c>
      <c r="FZ97" s="627">
        <f>SUM(FV97:FY97)</f>
      </c>
      <c r="GA97" s="609">
        <f>GA100*GA24</f>
      </c>
      <c r="GB97" s="609">
        <f>GB100*GB24</f>
      </c>
      <c r="GC97" s="609">
        <f>GC100*GC24</f>
      </c>
      <c r="GD97" s="609">
        <f>GD100*GD24</f>
      </c>
      <c r="GE97" s="627">
        <f>SUM(GA97:GD97)</f>
      </c>
      <c r="GF97" s="609">
        <f>GF100*GF24</f>
      </c>
      <c r="GG97" s="609">
        <f>GG100*GG24</f>
      </c>
      <c r="GH97" s="609">
        <f>GH100*GH24</f>
      </c>
      <c r="GI97" s="609">
        <f>GI100*GI24</f>
      </c>
      <c r="GJ97" s="627">
        <f>SUM(GF97:GI97)</f>
      </c>
    </row>
    <row r="98" spans="1:192" ht="12.75" hidden="1" customHeight="1" outlineLevel="1">
      <c r="A98" s="791"/>
      <c r="B98" s="617" t="s">
        <v>34</v>
      </c>
      <c r="C98" s="291"/>
      <c r="D98" s="107"/>
      <c r="E98" s="107"/>
      <c r="F98" s="107"/>
      <c r="G98" s="536"/>
      <c r="H98" s="291" t="str">
        <f t="shared" ref="H98:AM98" si="210">IFERROR(H97/C97-1,"")</f>
      </c>
      <c r="I98" s="107" t="str">
        <f t="shared" si="210"/>
      </c>
      <c r="J98" s="107" t="str">
        <f t="shared" si="210"/>
      </c>
      <c r="K98" s="107" t="str">
        <f t="shared" si="210"/>
      </c>
      <c r="L98" s="292" t="str">
        <f t="shared" si="210"/>
      </c>
      <c r="M98" s="291" t="str">
        <f t="shared" si="210"/>
      </c>
      <c r="N98" s="107" t="str">
        <f t="shared" si="210"/>
      </c>
      <c r="O98" s="107" t="str">
        <f t="shared" si="210"/>
      </c>
      <c r="P98" s="107" t="str">
        <f t="shared" si="210"/>
      </c>
      <c r="Q98" s="292" t="str">
        <f t="shared" si="210"/>
      </c>
      <c r="R98" s="291" t="str">
        <f t="shared" si="210"/>
      </c>
      <c r="S98" s="107" t="str">
        <f t="shared" si="210"/>
      </c>
      <c r="T98" s="107" t="str">
        <f t="shared" si="210"/>
      </c>
      <c r="U98" s="107" t="str">
        <f t="shared" si="210"/>
      </c>
      <c r="V98" s="292" t="str">
        <f t="shared" si="210"/>
      </c>
      <c r="W98" s="291" t="str">
        <f t="shared" si="210"/>
      </c>
      <c r="X98" s="107" t="str">
        <f t="shared" si="210"/>
      </c>
      <c r="Y98" s="107" t="str">
        <f t="shared" si="210"/>
      </c>
      <c r="Z98" s="107" t="str">
        <f t="shared" si="210"/>
      </c>
      <c r="AA98" s="292" t="str">
        <f t="shared" si="210"/>
      </c>
      <c r="AB98" s="291" t="str">
        <f t="shared" si="210"/>
      </c>
      <c r="AC98" s="107" t="str">
        <f t="shared" si="210"/>
      </c>
      <c r="AD98" s="107" t="str">
        <f t="shared" si="210"/>
      </c>
      <c r="AE98" s="107" t="str">
        <f t="shared" si="210"/>
      </c>
      <c r="AF98" s="292" t="str">
        <f t="shared" si="210"/>
      </c>
      <c r="AG98" s="291" t="str">
        <f t="shared" si="210"/>
      </c>
      <c r="AH98" s="107" t="str">
        <f t="shared" si="210"/>
      </c>
      <c r="AI98" s="107" t="str">
        <f t="shared" si="210"/>
      </c>
      <c r="AJ98" s="107" t="str">
        <f t="shared" si="210"/>
      </c>
      <c r="AK98" s="292" t="str">
        <f t="shared" si="210"/>
      </c>
      <c r="AL98" s="291" t="str">
        <f t="shared" si="210"/>
      </c>
      <c r="AM98" s="107" t="str">
        <f t="shared" si="210"/>
      </c>
      <c r="AN98" s="107" t="str">
        <f t="shared" ref="AN98:BS98" si="211">IFERROR(AN97/AI97-1,"")</f>
      </c>
      <c r="AO98" s="107" t="str">
        <f t="shared" si="211"/>
      </c>
      <c r="AP98" s="292" t="str">
        <f t="shared" si="211"/>
      </c>
      <c r="AQ98" s="291" t="str">
        <f t="shared" si="211"/>
      </c>
      <c r="AR98" s="107" t="str">
        <f t="shared" si="211"/>
      </c>
      <c r="AS98" s="107" t="str">
        <f t="shared" si="211"/>
      </c>
      <c r="AT98" s="107" t="str">
        <f t="shared" si="211"/>
      </c>
      <c r="AU98" s="292" t="str">
        <f t="shared" si="211"/>
      </c>
      <c r="AV98" s="291" t="str">
        <f t="shared" si="211"/>
      </c>
      <c r="AW98" s="107" t="str">
        <f t="shared" si="211"/>
      </c>
      <c r="AX98" s="107" t="str">
        <f t="shared" si="211"/>
      </c>
      <c r="AY98" s="107" t="str">
        <f t="shared" si="211"/>
      </c>
      <c r="AZ98" s="292" t="str">
        <f t="shared" si="211"/>
      </c>
      <c r="BA98" s="291" t="str">
        <f t="shared" si="211"/>
      </c>
      <c r="BB98" s="107" t="str">
        <f t="shared" si="211"/>
      </c>
      <c r="BC98" s="107" t="str">
        <f t="shared" si="211"/>
      </c>
      <c r="BD98" s="107" t="str">
        <f t="shared" si="211"/>
      </c>
      <c r="BE98" s="292" t="str">
        <f t="shared" si="211"/>
      </c>
      <c r="BF98" s="291" t="str">
        <f t="shared" si="211"/>
      </c>
      <c r="BG98" s="107" t="str">
        <f t="shared" si="211"/>
      </c>
      <c r="BH98" s="107" t="str">
        <f t="shared" si="211"/>
      </c>
      <c r="BI98" s="107" t="str">
        <f t="shared" si="211"/>
      </c>
      <c r="BJ98" s="292" t="str">
        <f t="shared" si="211"/>
      </c>
      <c r="BK98" s="291" t="str">
        <f t="shared" si="211"/>
      </c>
      <c r="BL98" s="107" t="str">
        <f t="shared" si="211"/>
      </c>
      <c r="BM98" s="107" t="str">
        <f t="shared" si="211"/>
      </c>
      <c r="BN98" s="107" t="str">
        <f t="shared" si="211"/>
      </c>
      <c r="BO98" s="292" t="str">
        <f t="shared" si="211"/>
      </c>
      <c r="BP98" s="291" t="str">
        <f t="shared" si="211"/>
      </c>
      <c r="BQ98" s="107" t="str">
        <f t="shared" si="211"/>
      </c>
      <c r="BR98" s="107" t="str">
        <f t="shared" si="211"/>
      </c>
      <c r="BS98" s="107" t="str">
        <f t="shared" si="211"/>
      </c>
      <c r="BT98" s="292" t="str">
        <f t="shared" ref="BT98:CY98" si="212">IFERROR(BT97/BO97-1,"")</f>
      </c>
      <c r="BU98" s="291" t="str">
        <f t="shared" si="212"/>
      </c>
      <c r="BV98" s="107" t="str">
        <f t="shared" si="212"/>
      </c>
      <c r="BW98" s="107" t="str">
        <f t="shared" si="212"/>
      </c>
      <c r="BX98" s="107" t="str">
        <f t="shared" si="212"/>
      </c>
      <c r="BY98" s="292" t="str">
        <f t="shared" si="212"/>
      </c>
      <c r="BZ98" s="291" t="str">
        <f t="shared" si="212"/>
      </c>
      <c r="CA98" s="107" t="str">
        <f t="shared" si="212"/>
      </c>
      <c r="CB98" s="107" t="str">
        <f t="shared" si="212"/>
      </c>
      <c r="CC98" s="107" t="str">
        <f t="shared" si="212"/>
      </c>
      <c r="CD98" s="292" t="str">
        <f t="shared" si="212"/>
      </c>
      <c r="CE98" s="291" t="str">
        <f t="shared" si="212"/>
      </c>
      <c r="CF98" s="107" t="str">
        <f t="shared" si="212"/>
      </c>
      <c r="CG98" s="107" t="str">
        <f t="shared" si="212"/>
      </c>
      <c r="CH98" s="107" t="str">
        <f t="shared" si="212"/>
      </c>
      <c r="CI98" s="292" t="str">
        <f t="shared" si="212"/>
      </c>
      <c r="CJ98" s="291" t="str">
        <f t="shared" si="212"/>
      </c>
      <c r="CK98" s="107" t="str">
        <f t="shared" si="212"/>
      </c>
      <c r="CL98" s="107" t="str">
        <f t="shared" si="212"/>
      </c>
      <c r="CM98" s="107" t="str">
        <f t="shared" si="212"/>
      </c>
      <c r="CN98" s="292" t="str">
        <f t="shared" si="212"/>
      </c>
      <c r="CO98" s="291" t="str">
        <f t="shared" si="212"/>
      </c>
      <c r="CP98" s="107" t="str">
        <f t="shared" si="212"/>
      </c>
      <c r="CQ98" s="107" t="str">
        <f t="shared" si="212"/>
      </c>
      <c r="CR98" s="107">
        <f t="shared" si="212"/>
      </c>
      <c r="CS98" s="292">
        <f t="shared" si="212"/>
      </c>
      <c r="CT98" s="291" t="str">
        <f t="shared" si="212"/>
      </c>
      <c r="CU98" s="107" t="str">
        <f t="shared" si="212"/>
      </c>
      <c r="CV98" s="107" t="str">
        <f t="shared" si="212"/>
      </c>
      <c r="CW98" s="107" t="str">
        <f t="shared" si="212"/>
      </c>
      <c r="CX98" s="292" t="str">
        <f t="shared" si="212"/>
      </c>
      <c r="CY98" s="291" t="str">
        <f t="shared" si="212"/>
      </c>
      <c r="CZ98" s="107" t="str">
        <f t="shared" ref="CZ98:DM98" si="213">IFERROR(CZ97/CU97-1,"")</f>
      </c>
      <c r="DA98" s="107" t="str">
        <f t="shared" si="213"/>
      </c>
      <c r="DB98" s="107">
        <f t="shared" si="213"/>
      </c>
      <c r="DC98" s="292">
        <f t="shared" si="213"/>
      </c>
      <c r="DD98" s="291">
        <f t="shared" si="213"/>
      </c>
      <c r="DE98" s="107">
        <f t="shared" si="213"/>
      </c>
      <c r="DF98" s="107">
        <f t="shared" si="213"/>
      </c>
      <c r="DG98" s="107">
        <f t="shared" si="213"/>
      </c>
      <c r="DH98" s="292">
        <f t="shared" si="213"/>
      </c>
      <c r="DI98" s="291" t="str">
        <f t="shared" si="213"/>
      </c>
      <c r="DJ98" s="107" t="str">
        <f t="shared" si="213"/>
      </c>
      <c r="DK98" s="107" t="str">
        <f t="shared" si="213"/>
      </c>
      <c r="DL98" s="107">
        <f t="shared" si="213"/>
      </c>
      <c r="DM98" s="292">
        <f t="shared" si="213"/>
      </c>
      <c r="DN98" s="291"/>
      <c r="DO98" s="107"/>
      <c r="DP98" s="107"/>
      <c r="DQ98" s="107"/>
      <c r="DR98" s="292"/>
      <c r="DS98" s="291"/>
      <c r="DT98" s="107"/>
      <c r="DU98" s="107"/>
      <c r="DV98" s="107"/>
      <c r="DW98" s="292"/>
      <c r="DX98" s="291"/>
      <c r="DY98" s="107"/>
      <c r="DZ98" s="107"/>
      <c r="EA98" s="107"/>
      <c r="EB98" s="292"/>
      <c r="EC98" s="291"/>
      <c r="ED98" s="107"/>
      <c r="EE98" s="107"/>
      <c r="EF98" s="107"/>
      <c r="EG98" s="292"/>
      <c r="EH98" s="291"/>
      <c r="EI98" s="107"/>
      <c r="EJ98" s="107"/>
      <c r="EK98" s="107"/>
      <c r="EL98" s="292"/>
      <c r="EM98" s="291"/>
      <c r="EN98" s="107"/>
      <c r="EO98" s="107"/>
      <c r="EP98" s="107"/>
      <c r="EQ98" s="292"/>
      <c r="ER98" s="291"/>
      <c r="ES98" s="107"/>
      <c r="ET98" s="107"/>
      <c r="EU98" s="107" t="str">
        <f t="shared" ref="EU98:FK98" si="214">IFERROR(EU97/EP97-1,"")</f>
      </c>
      <c r="EV98" s="292"/>
      <c r="EW98" s="349"/>
      <c r="EX98" s="107"/>
      <c r="EY98" s="468"/>
      <c r="EZ98" s="468" t="str">
        <f t="shared" si="214"/>
      </c>
      <c r="FA98" s="292"/>
      <c r="FB98" s="291" t="str">
        <f t="shared" si="214"/>
      </c>
      <c r="FC98" s="107" t="str">
        <f t="shared" si="214"/>
      </c>
      <c r="FD98" s="107" t="str">
        <f t="shared" si="214"/>
      </c>
      <c r="FE98" s="107" t="str">
        <f t="shared" si="214"/>
      </c>
      <c r="FF98" s="292" t="str">
        <f t="shared" si="214"/>
      </c>
      <c r="FG98" s="291" t="str">
        <f t="shared" si="214"/>
      </c>
      <c r="FH98" s="107" t="str">
        <f t="shared" si="214"/>
      </c>
      <c r="FI98" s="107" t="str">
        <f t="shared" si="214"/>
      </c>
      <c r="FJ98" s="107" t="str">
        <f t="shared" si="214"/>
      </c>
      <c r="FK98" s="292" t="str">
        <f t="shared" si="214"/>
      </c>
      <c r="FL98" s="291" t="str">
        <f t="shared" ref="FL98:FZ98" si="215">IFERROR(FL97/FG97-1,"")</f>
      </c>
      <c r="FM98" s="107" t="str">
        <f t="shared" si="215"/>
      </c>
      <c r="FN98" s="107" t="str">
        <f t="shared" si="215"/>
      </c>
      <c r="FO98" s="107" t="str">
        <f t="shared" si="215"/>
      </c>
      <c r="FP98" s="292" t="str">
        <f t="shared" si="215"/>
      </c>
      <c r="FQ98" s="291" t="str">
        <f t="shared" si="215"/>
      </c>
      <c r="FR98" s="107" t="str">
        <f t="shared" si="215"/>
      </c>
      <c r="FS98" s="107" t="str">
        <f t="shared" si="215"/>
      </c>
      <c r="FT98" s="107" t="str">
        <f t="shared" si="215"/>
      </c>
      <c r="FU98" s="292" t="str">
        <f t="shared" si="215"/>
      </c>
      <c r="FV98" s="291" t="str">
        <f t="shared" si="215"/>
      </c>
      <c r="FW98" s="107" t="str">
        <f t="shared" si="215"/>
      </c>
      <c r="FX98" s="107" t="str">
        <f t="shared" si="215"/>
      </c>
      <c r="FY98" s="107" t="str">
        <f t="shared" si="215"/>
      </c>
      <c r="FZ98" s="292" t="str">
        <f t="shared" si="215"/>
      </c>
      <c r="GA98" s="291" t="str">
        <f t="shared" ref="GA98:GJ98" si="216">IFERROR(GA97/FV97-1,"")</f>
      </c>
      <c r="GB98" s="107" t="str">
        <f t="shared" si="216"/>
      </c>
      <c r="GC98" s="107" t="str">
        <f t="shared" si="216"/>
      </c>
      <c r="GD98" s="107" t="str">
        <f t="shared" si="216"/>
      </c>
      <c r="GE98" s="292" t="str">
        <f t="shared" si="216"/>
      </c>
      <c r="GF98" s="291" t="str">
        <f t="shared" si="216"/>
      </c>
      <c r="GG98" s="107" t="str">
        <f t="shared" si="216"/>
      </c>
      <c r="GH98" s="107" t="str">
        <f t="shared" si="216"/>
      </c>
      <c r="GI98" s="107" t="str">
        <f t="shared" si="216"/>
      </c>
      <c r="GJ98" s="292" t="str">
        <f t="shared" si="216"/>
      </c>
    </row>
    <row r="99" spans="1:192" ht="12.75" hidden="1" customHeight="1" outlineLevel="1">
      <c r="A99" s="792"/>
      <c r="B99" s="617" t="s">
        <v>36</v>
      </c>
      <c r="C99" s="291"/>
      <c r="D99" s="137"/>
      <c r="E99" s="137"/>
      <c r="F99" s="137"/>
      <c r="G99" s="538"/>
      <c r="H99" s="291" t="str">
        <f>IFERROR(H97/F97-1,"")</f>
      </c>
      <c r="I99" s="107" t="str">
        <f>IFERROR(I97/H97-1,"")</f>
      </c>
      <c r="J99" s="107" t="str">
        <f>IFERROR(J97/I97-1,"")</f>
      </c>
      <c r="K99" s="107" t="str">
        <f>IFERROR(K97/J97-1,"")</f>
      </c>
      <c r="L99" s="293"/>
      <c r="M99" s="291" t="str">
        <f>IFERROR(M97/K97-1,"")</f>
      </c>
      <c r="N99" s="107" t="str">
        <f>IFERROR(N97/M97-1,"")</f>
      </c>
      <c r="O99" s="107" t="str">
        <f>IFERROR(O97/N97-1,"")</f>
      </c>
      <c r="P99" s="107" t="str">
        <f>IFERROR(P97/O97-1,"")</f>
      </c>
      <c r="Q99" s="293"/>
      <c r="R99" s="291" t="str">
        <f>IFERROR(R97/P97-1,"")</f>
      </c>
      <c r="S99" s="107" t="str">
        <f>IFERROR(S97/R97-1,"")</f>
      </c>
      <c r="T99" s="107" t="str">
        <f>IFERROR(T97/S97-1,"")</f>
      </c>
      <c r="U99" s="107" t="str">
        <f>IFERROR(U97/T97-1,"")</f>
      </c>
      <c r="V99" s="293"/>
      <c r="W99" s="291" t="str">
        <f>IFERROR(W97/U97-1,"")</f>
      </c>
      <c r="X99" s="107" t="str">
        <f>IFERROR(X97/W97-1,"")</f>
      </c>
      <c r="Y99" s="107" t="str">
        <f>IFERROR(Y97/X97-1,"")</f>
      </c>
      <c r="Z99" s="107" t="str">
        <f>IFERROR(Z97/Y97-1,"")</f>
      </c>
      <c r="AA99" s="293"/>
      <c r="AB99" s="291" t="str">
        <f>IFERROR(AB97/Z97-1,"")</f>
      </c>
      <c r="AC99" s="107" t="str">
        <f>IFERROR(AC97/AB97-1,"")</f>
      </c>
      <c r="AD99" s="107" t="str">
        <f>IFERROR(AD97/AC97-1,"")</f>
      </c>
      <c r="AE99" s="107" t="str">
        <f>IFERROR(AE97/AD97-1,"")</f>
      </c>
      <c r="AF99" s="293"/>
      <c r="AG99" s="291" t="str">
        <f>IFERROR(AG97/AE97-1,"")</f>
      </c>
      <c r="AH99" s="107" t="str">
        <f>IFERROR(AH97/AG97-1,"")</f>
      </c>
      <c r="AI99" s="107" t="str">
        <f>IFERROR(AI97/AH97-1,"")</f>
      </c>
      <c r="AJ99" s="107" t="str">
        <f>IFERROR(AJ97/AI97-1,"")</f>
      </c>
      <c r="AK99" s="293"/>
      <c r="AL99" s="291" t="str">
        <f>IFERROR(AL97/AJ97-1,"")</f>
      </c>
      <c r="AM99" s="107" t="str">
        <f>IFERROR(AM97/AL97-1,"")</f>
      </c>
      <c r="AN99" s="107" t="str">
        <f>IFERROR(AN97/AM97-1,"")</f>
      </c>
      <c r="AO99" s="107" t="str">
        <f>IFERROR(AO97/AN97-1,"")</f>
      </c>
      <c r="AP99" s="293"/>
      <c r="AQ99" s="291" t="str">
        <f>IFERROR(AQ97/AO97-1,"")</f>
      </c>
      <c r="AR99" s="107" t="str">
        <f>IFERROR(AR97/AQ97-1,"")</f>
      </c>
      <c r="AS99" s="107" t="str">
        <f>IFERROR(AS97/AR97-1,"")</f>
      </c>
      <c r="AT99" s="107" t="str">
        <f>IFERROR(AT97/AS97-1,"")</f>
      </c>
      <c r="AU99" s="293"/>
      <c r="AV99" s="291" t="str">
        <f>IFERROR(AV97/AT97-1,"")</f>
      </c>
      <c r="AW99" s="107" t="str">
        <f>IFERROR(AW97/AV97-1,"")</f>
      </c>
      <c r="AX99" s="107" t="str">
        <f>IFERROR(AX97/AW97-1,"")</f>
      </c>
      <c r="AY99" s="107" t="str">
        <f>IFERROR(AY97/AX97-1,"")</f>
      </c>
      <c r="AZ99" s="293"/>
      <c r="BA99" s="291" t="str">
        <f>IFERROR(BA97/AY97-1,"")</f>
      </c>
      <c r="BB99" s="107" t="str">
        <f>IFERROR(BB97/BA97-1,"")</f>
      </c>
      <c r="BC99" s="107" t="str">
        <f>IFERROR(BC97/BB97-1,"")</f>
      </c>
      <c r="BD99" s="107" t="str">
        <f>IFERROR(BD97/BC97-1,"")</f>
      </c>
      <c r="BE99" s="293"/>
      <c r="BF99" s="291" t="str">
        <f>IFERROR(BF97/BD97-1,"")</f>
      </c>
      <c r="BG99" s="107" t="str">
        <f>IFERROR(BG97/BF97-1,"")</f>
      </c>
      <c r="BH99" s="107" t="str">
        <f>IFERROR(BH97/BG97-1,"")</f>
      </c>
      <c r="BI99" s="107" t="str">
        <f>IFERROR(BI97/BH97-1,"")</f>
      </c>
      <c r="BJ99" s="293"/>
      <c r="BK99" s="291" t="str">
        <f>IFERROR(BK97/BI97-1,"")</f>
      </c>
      <c r="BL99" s="107" t="str">
        <f>IFERROR(BL97/BK97-1,"")</f>
      </c>
      <c r="BM99" s="107" t="str">
        <f>IFERROR(BM97/BL97-1,"")</f>
      </c>
      <c r="BN99" s="107" t="str">
        <f>IFERROR(BN97/BM97-1,"")</f>
      </c>
      <c r="BO99" s="293"/>
      <c r="BP99" s="291" t="str">
        <f>IFERROR(BP97/BN97-1,"")</f>
      </c>
      <c r="BQ99" s="107" t="str">
        <f>IFERROR(BQ97/BP97-1,"")</f>
      </c>
      <c r="BR99" s="107" t="str">
        <f>IFERROR(BR97/BQ97-1,"")</f>
      </c>
      <c r="BS99" s="107" t="str">
        <f>IFERROR(BS97/BR97-1,"")</f>
      </c>
      <c r="BT99" s="293"/>
      <c r="BU99" s="291" t="str">
        <f>IFERROR(BU97/BS97-1,"")</f>
      </c>
      <c r="BV99" s="107" t="str">
        <f>IFERROR(BV97/BU97-1,"")</f>
      </c>
      <c r="BW99" s="107" t="str">
        <f>IFERROR(BW97/BV97-1,"")</f>
      </c>
      <c r="BX99" s="107" t="str">
        <f>IFERROR(BX97/BW97-1,"")</f>
      </c>
      <c r="BY99" s="293"/>
      <c r="BZ99" s="291" t="str">
        <f>IFERROR(BZ97/BX97-1,"")</f>
      </c>
      <c r="CA99" s="107" t="str">
        <f>IFERROR(CA97/BZ97-1,"")</f>
      </c>
      <c r="CB99" s="107" t="str">
        <f>IFERROR(CB97/CA97-1,"")</f>
      </c>
      <c r="CC99" s="107" t="str">
        <f>IFERROR(CC97/CB97-1,"")</f>
      </c>
      <c r="CD99" s="293"/>
      <c r="CE99" s="291" t="str">
        <f>IFERROR(CE97/CC97-1,"")</f>
      </c>
      <c r="CF99" s="107" t="str">
        <f>IFERROR(CF97/CE97-1,"")</f>
      </c>
      <c r="CG99" s="107" t="str">
        <f>IFERROR(CG97/CF97-1,"")</f>
      </c>
      <c r="CH99" s="107" t="str">
        <f>IFERROR(CH97/CG97-1,"")</f>
      </c>
      <c r="CI99" s="293"/>
      <c r="CJ99" s="291" t="str">
        <f>IFERROR(CJ97/CH97-1,"")</f>
      </c>
      <c r="CK99" s="107" t="str">
        <f>IFERROR(CK97/CJ97-1,"")</f>
      </c>
      <c r="CL99" s="107" t="str">
        <f>IFERROR(CL97/CK97-1,"")</f>
      </c>
      <c r="CM99" s="107" t="str">
        <f>IFERROR(CM97/CL97-1,"")</f>
      </c>
      <c r="CN99" s="293"/>
      <c r="CO99" s="291">
        <f>IFERROR(CO97/CM97-1,"")</f>
      </c>
      <c r="CP99" s="107" t="str">
        <f>IFERROR(CP97/CO97-1,"")</f>
      </c>
      <c r="CQ99" s="107" t="str">
        <f>IFERROR(CQ97/CP97-1,"")</f>
      </c>
      <c r="CR99" s="107" t="str">
        <f>IFERROR(CR97/CQ97-1,"")</f>
      </c>
      <c r="CS99" s="293"/>
      <c r="CT99" s="291" t="str">
        <f>IFERROR(CT97/CR97-1,"")</f>
      </c>
      <c r="CU99" s="107" t="str">
        <f>IFERROR(CU97/CT97-1,"")</f>
      </c>
      <c r="CV99" s="107" t="str">
        <f>IFERROR(CV97/CU97-1,"")</f>
      </c>
      <c r="CW99" s="107" t="str">
        <f>IFERROR(CW97/CV97-1,"")</f>
      </c>
      <c r="CX99" s="293"/>
      <c r="CY99" s="291">
        <f>IFERROR(CY97/CW97-1,"")</f>
      </c>
      <c r="CZ99" s="107">
        <f>IFERROR(CZ97/CY97-1,"")</f>
      </c>
      <c r="DA99" s="107">
        <f>IFERROR(DA97/CZ97-1,"")</f>
      </c>
      <c r="DB99" s="107">
        <f>IFERROR(DB97/DA97-1,"")</f>
      </c>
      <c r="DC99" s="293"/>
      <c r="DD99" s="291">
        <f>IFERROR(DD97/DB97-1,"")</f>
      </c>
      <c r="DE99" s="107" t="str">
        <f>IFERROR(DE97/DD97-1,"")</f>
      </c>
      <c r="DF99" s="107" t="str">
        <f>IFERROR(DF97/DE97-1,"")</f>
      </c>
      <c r="DG99" s="107" t="str">
        <f>IFERROR(DG97/DF97-1,"")</f>
      </c>
      <c r="DH99" s="293"/>
      <c r="DI99" s="291">
        <f>IFERROR(DI97/DG97-1,"")</f>
      </c>
      <c r="DJ99" s="107" t="str">
        <f>IFERROR(DJ97/DI97-1,"")</f>
      </c>
      <c r="DK99" s="107" t="str">
        <f>IFERROR(DK97/DJ97-1,"")</f>
      </c>
      <c r="DL99" s="107" t="str">
        <f>IFERROR(DL97/DK97-1,"")</f>
      </c>
      <c r="DM99" s="293"/>
      <c r="DN99" s="291"/>
      <c r="DO99" s="107"/>
      <c r="DP99" s="107"/>
      <c r="DQ99" s="107"/>
      <c r="DR99" s="293"/>
      <c r="DS99" s="291"/>
      <c r="DT99" s="107"/>
      <c r="DU99" s="107"/>
      <c r="DV99" s="107"/>
      <c r="DW99" s="293"/>
      <c r="DX99" s="291"/>
      <c r="DY99" s="107"/>
      <c r="DZ99" s="107"/>
      <c r="EA99" s="107"/>
      <c r="EB99" s="293"/>
      <c r="EC99" s="291"/>
      <c r="ED99" s="107"/>
      <c r="EE99" s="107"/>
      <c r="EF99" s="107"/>
      <c r="EG99" s="293"/>
      <c r="EH99" s="291"/>
      <c r="EI99" s="107"/>
      <c r="EJ99" s="107"/>
      <c r="EK99" s="107"/>
      <c r="EL99" s="293"/>
      <c r="EM99" s="291"/>
      <c r="EN99" s="107"/>
      <c r="EO99" s="107"/>
      <c r="EP99" s="107"/>
      <c r="EQ99" s="293"/>
      <c r="ER99" s="291"/>
      <c r="ES99" s="107"/>
      <c r="ET99" s="107"/>
      <c r="EU99" s="107" t="str">
        <f>IFERROR(EU97/ET97-1,"")</f>
      </c>
      <c r="EV99" s="293"/>
      <c r="EW99" s="349"/>
      <c r="EX99" s="107"/>
      <c r="EY99" s="468"/>
      <c r="EZ99" s="468" t="str">
        <f>IFERROR(EZ97/EY97-1,"")</f>
      </c>
      <c r="FA99" s="293"/>
      <c r="FB99" s="291" t="str">
        <f>IFERROR(FB97/EZ97-1,"")</f>
      </c>
      <c r="FC99" s="107" t="str">
        <f>IFERROR(FC97/FB97-1,"")</f>
      </c>
      <c r="FD99" s="107" t="str">
        <f>IFERROR(FD97/FC97-1,"")</f>
      </c>
      <c r="FE99" s="107" t="str">
        <f>IFERROR(FE97/FD97-1,"")</f>
      </c>
      <c r="FF99" s="293"/>
      <c r="FG99" s="291" t="str">
        <f>IFERROR(FG97/FE97-1,"")</f>
      </c>
      <c r="FH99" s="107" t="str">
        <f>IFERROR(FH97/FG97-1,"")</f>
      </c>
      <c r="FI99" s="107" t="str">
        <f>IFERROR(FI97/FH97-1,"")</f>
      </c>
      <c r="FJ99" s="107" t="str">
        <f>IFERROR(FJ97/FI97-1,"")</f>
      </c>
      <c r="FK99" s="293"/>
      <c r="FL99" s="291" t="str">
        <f>IFERROR(FL97/FJ97-1,"")</f>
      </c>
      <c r="FM99" s="107" t="str">
        <f>IFERROR(FM97/FL97-1,"")</f>
      </c>
      <c r="FN99" s="107" t="str">
        <f>IFERROR(FN97/FM97-1,"")</f>
      </c>
      <c r="FO99" s="107" t="str">
        <f>IFERROR(FO97/FN97-1,"")</f>
      </c>
      <c r="FP99" s="293"/>
      <c r="FQ99" s="291" t="str">
        <f>IFERROR(FQ97/FO97-1,"")</f>
      </c>
      <c r="FR99" s="107" t="str">
        <f>IFERROR(FR97/FQ97-1,"")</f>
      </c>
      <c r="FS99" s="107" t="str">
        <f>IFERROR(FS97/FR97-1,"")</f>
      </c>
      <c r="FT99" s="107" t="str">
        <f>IFERROR(FT97/FS97-1,"")</f>
      </c>
      <c r="FU99" s="293"/>
      <c r="FV99" s="291" t="str">
        <f>IFERROR(FV97/FT97-1,"")</f>
      </c>
      <c r="FW99" s="107" t="str">
        <f>IFERROR(FW97/FV97-1,"")</f>
      </c>
      <c r="FX99" s="107" t="str">
        <f>IFERROR(FX97/FW97-1,"")</f>
      </c>
      <c r="FY99" s="107" t="str">
        <f>IFERROR(FY97/FX97-1,"")</f>
      </c>
      <c r="FZ99" s="293"/>
      <c r="GA99" s="291" t="str">
        <f>IFERROR(GA97/FY97-1,"")</f>
      </c>
      <c r="GB99" s="107" t="str">
        <f>IFERROR(GB97/GA97-1,"")</f>
      </c>
      <c r="GC99" s="107" t="str">
        <f>IFERROR(GC97/GB97-1,"")</f>
      </c>
      <c r="GD99" s="107" t="str">
        <f>IFERROR(GD97/GC97-1,"")</f>
      </c>
      <c r="GE99" s="293"/>
      <c r="GF99" s="291" t="str">
        <f>IFERROR(GF97/GD97-1,"")</f>
      </c>
      <c r="GG99" s="107" t="str">
        <f>IFERROR(GG97/GF97-1,"")</f>
      </c>
      <c r="GH99" s="107" t="str">
        <f>IFERROR(GH97/GG97-1,"")</f>
      </c>
      <c r="GI99" s="107" t="str">
        <f>IFERROR(GI97/GH97-1,"")</f>
      </c>
      <c r="GJ99" s="293"/>
    </row>
    <row r="100" spans="1:192" ht="12.75" hidden="1" customHeight="1" outlineLevel="1">
      <c r="A100" s="792"/>
      <c r="B100" s="617" t="s">
        <v>257</v>
      </c>
      <c r="C100" s="107">
        <f t="shared" ref="C100:AH100" si="217">IFERROR(C97/C$24,"")</f>
      </c>
      <c r="D100" s="107">
        <f t="shared" si="217"/>
      </c>
      <c r="E100" s="107">
        <f t="shared" si="217"/>
      </c>
      <c r="F100" s="107">
        <f t="shared" si="217"/>
      </c>
      <c r="G100" s="292">
        <f t="shared" si="217"/>
      </c>
      <c r="H100" s="107">
        <f t="shared" si="217"/>
      </c>
      <c r="I100" s="107">
        <f t="shared" si="217"/>
      </c>
      <c r="J100" s="107">
        <f t="shared" si="217"/>
      </c>
      <c r="K100" s="107">
        <f t="shared" si="217"/>
      </c>
      <c r="L100" s="292">
        <f t="shared" si="217"/>
      </c>
      <c r="M100" s="107">
        <f t="shared" si="217"/>
      </c>
      <c r="N100" s="107">
        <f t="shared" si="217"/>
      </c>
      <c r="O100" s="107">
        <f t="shared" si="217"/>
      </c>
      <c r="P100" s="107">
        <f t="shared" si="217"/>
      </c>
      <c r="Q100" s="292">
        <f t="shared" si="217"/>
      </c>
      <c r="R100" s="107">
        <f t="shared" si="217"/>
      </c>
      <c r="S100" s="107">
        <f t="shared" si="217"/>
      </c>
      <c r="T100" s="107">
        <f t="shared" si="217"/>
      </c>
      <c r="U100" s="107">
        <f t="shared" si="217"/>
      </c>
      <c r="V100" s="292">
        <f t="shared" si="217"/>
      </c>
      <c r="W100" s="107">
        <f t="shared" si="217"/>
      </c>
      <c r="X100" s="107">
        <f t="shared" si="217"/>
      </c>
      <c r="Y100" s="107">
        <f t="shared" si="217"/>
      </c>
      <c r="Z100" s="107">
        <f t="shared" si="217"/>
      </c>
      <c r="AA100" s="292">
        <f t="shared" si="217"/>
      </c>
      <c r="AB100" s="107">
        <f t="shared" si="217"/>
      </c>
      <c r="AC100" s="107">
        <f t="shared" si="217"/>
      </c>
      <c r="AD100" s="107">
        <f t="shared" si="217"/>
      </c>
      <c r="AE100" s="107">
        <f t="shared" si="217"/>
      </c>
      <c r="AF100" s="292">
        <f t="shared" si="217"/>
      </c>
      <c r="AG100" s="107">
        <f t="shared" si="217"/>
      </c>
      <c r="AH100" s="107">
        <f t="shared" si="217"/>
      </c>
      <c r="AI100" s="107">
        <f t="shared" ref="AI100:BN100" si="218">IFERROR(AI97/AI$24,"")</f>
      </c>
      <c r="AJ100" s="107">
        <f t="shared" si="218"/>
      </c>
      <c r="AK100" s="292">
        <f t="shared" si="218"/>
      </c>
      <c r="AL100" s="107">
        <f t="shared" si="218"/>
      </c>
      <c r="AM100" s="107">
        <f t="shared" si="218"/>
      </c>
      <c r="AN100" s="107">
        <f t="shared" si="218"/>
      </c>
      <c r="AO100" s="107">
        <f t="shared" si="218"/>
      </c>
      <c r="AP100" s="292">
        <f t="shared" si="218"/>
      </c>
      <c r="AQ100" s="107">
        <f t="shared" si="218"/>
      </c>
      <c r="AR100" s="107">
        <f t="shared" si="218"/>
      </c>
      <c r="AS100" s="107">
        <f t="shared" si="218"/>
      </c>
      <c r="AT100" s="107">
        <f t="shared" si="218"/>
      </c>
      <c r="AU100" s="292">
        <f t="shared" si="218"/>
      </c>
      <c r="AV100" s="107">
        <f t="shared" si="218"/>
      </c>
      <c r="AW100" s="107">
        <f t="shared" si="218"/>
      </c>
      <c r="AX100" s="107">
        <f t="shared" si="218"/>
      </c>
      <c r="AY100" s="107">
        <f t="shared" si="218"/>
      </c>
      <c r="AZ100" s="292">
        <f t="shared" si="218"/>
      </c>
      <c r="BA100" s="107">
        <f t="shared" si="218"/>
      </c>
      <c r="BB100" s="107">
        <f t="shared" si="218"/>
      </c>
      <c r="BC100" s="107">
        <f t="shared" si="218"/>
      </c>
      <c r="BD100" s="107">
        <f t="shared" si="218"/>
      </c>
      <c r="BE100" s="292">
        <f t="shared" si="218"/>
      </c>
      <c r="BF100" s="107">
        <f t="shared" si="218"/>
      </c>
      <c r="BG100" s="107">
        <f t="shared" si="218"/>
      </c>
      <c r="BH100" s="107">
        <f t="shared" si="218"/>
      </c>
      <c r="BI100" s="107">
        <f t="shared" si="218"/>
      </c>
      <c r="BJ100" s="292">
        <f t="shared" si="218"/>
      </c>
      <c r="BK100" s="107">
        <f t="shared" si="218"/>
      </c>
      <c r="BL100" s="107">
        <f t="shared" si="218"/>
      </c>
      <c r="BM100" s="107">
        <f t="shared" si="218"/>
      </c>
      <c r="BN100" s="107">
        <f t="shared" si="218"/>
      </c>
      <c r="BO100" s="292">
        <f t="shared" ref="BO100:CT100" si="219">IFERROR(BO97/BO$24,"")</f>
      </c>
      <c r="BP100" s="107">
        <f t="shared" si="219"/>
      </c>
      <c r="BQ100" s="107">
        <f t="shared" si="219"/>
      </c>
      <c r="BR100" s="107">
        <f t="shared" si="219"/>
      </c>
      <c r="BS100" s="107">
        <f t="shared" si="219"/>
      </c>
      <c r="BT100" s="292">
        <f t="shared" si="219"/>
      </c>
      <c r="BU100" s="107">
        <f t="shared" si="219"/>
      </c>
      <c r="BV100" s="107">
        <f t="shared" si="219"/>
      </c>
      <c r="BW100" s="107">
        <f t="shared" si="219"/>
      </c>
      <c r="BX100" s="107">
        <f t="shared" si="219"/>
      </c>
      <c r="BY100" s="292">
        <f t="shared" si="219"/>
      </c>
      <c r="BZ100" s="107">
        <f t="shared" si="219"/>
      </c>
      <c r="CA100" s="107">
        <f t="shared" si="219"/>
      </c>
      <c r="CB100" s="107">
        <f t="shared" si="219"/>
      </c>
      <c r="CC100" s="107">
        <f t="shared" si="219"/>
      </c>
      <c r="CD100" s="292">
        <f t="shared" si="219"/>
      </c>
      <c r="CE100" s="107">
        <f t="shared" si="219"/>
      </c>
      <c r="CF100" s="107">
        <f t="shared" si="219"/>
      </c>
      <c r="CG100" s="107">
        <f t="shared" si="219"/>
      </c>
      <c r="CH100" s="107">
        <f t="shared" si="219"/>
      </c>
      <c r="CI100" s="292">
        <f t="shared" si="219"/>
      </c>
      <c r="CJ100" s="107">
        <f t="shared" si="219"/>
      </c>
      <c r="CK100" s="107">
        <f t="shared" si="219"/>
      </c>
      <c r="CL100" s="107">
        <f t="shared" si="219"/>
      </c>
      <c r="CM100" s="107">
        <f t="shared" si="219"/>
      </c>
      <c r="CN100" s="292">
        <f t="shared" si="219"/>
      </c>
      <c r="CO100" s="107">
        <f t="shared" si="219"/>
      </c>
      <c r="CP100" s="107">
        <f t="shared" si="219"/>
      </c>
      <c r="CQ100" s="107">
        <f t="shared" si="219"/>
      </c>
      <c r="CR100" s="107">
        <f t="shared" si="219"/>
      </c>
      <c r="CS100" s="292">
        <f t="shared" si="219"/>
      </c>
      <c r="CT100" s="107">
        <f t="shared" si="219"/>
      </c>
      <c r="CU100" s="107">
        <f t="shared" ref="CU100:DZ100" si="220">IFERROR(CU97/CU$24,"")</f>
      </c>
      <c r="CV100" s="107">
        <f t="shared" si="220"/>
      </c>
      <c r="CW100" s="107">
        <f t="shared" si="220"/>
      </c>
      <c r="CX100" s="292">
        <f t="shared" si="220"/>
      </c>
      <c r="CY100" s="107">
        <f t="shared" si="220"/>
      </c>
      <c r="CZ100" s="107">
        <f t="shared" si="220"/>
      </c>
      <c r="DA100" s="107">
        <f t="shared" si="220"/>
      </c>
      <c r="DB100" s="107">
        <f t="shared" si="220"/>
      </c>
      <c r="DC100" s="292">
        <f t="shared" si="220"/>
      </c>
      <c r="DD100" s="107">
        <f t="shared" si="220"/>
      </c>
      <c r="DE100" s="107">
        <f t="shared" si="220"/>
      </c>
      <c r="DF100" s="107">
        <f t="shared" si="220"/>
      </c>
      <c r="DG100" s="107">
        <f t="shared" si="220"/>
      </c>
      <c r="DH100" s="292">
        <f t="shared" si="220"/>
      </c>
      <c r="DI100" s="107">
        <f t="shared" si="220"/>
      </c>
      <c r="DJ100" s="107">
        <f t="shared" si="220"/>
      </c>
      <c r="DK100" s="107">
        <f t="shared" si="220"/>
      </c>
      <c r="DL100" s="107">
        <f t="shared" si="220"/>
      </c>
      <c r="DM100" s="292">
        <f t="shared" si="220"/>
      </c>
      <c r="DN100" s="107">
        <f t="shared" si="220"/>
      </c>
      <c r="DO100" s="107">
        <f t="shared" si="220"/>
      </c>
      <c r="DP100" s="107">
        <f t="shared" si="220"/>
      </c>
      <c r="DQ100" s="107">
        <f t="shared" si="220"/>
      </c>
      <c r="DR100" s="292">
        <f t="shared" si="220"/>
      </c>
      <c r="DS100" s="107">
        <f t="shared" si="220"/>
      </c>
      <c r="DT100" s="107">
        <f t="shared" si="220"/>
      </c>
      <c r="DU100" s="107">
        <f t="shared" si="220"/>
      </c>
      <c r="DV100" s="107">
        <f t="shared" si="220"/>
      </c>
      <c r="DW100" s="292">
        <f t="shared" si="220"/>
      </c>
      <c r="DX100" s="107">
        <f t="shared" si="220"/>
      </c>
      <c r="DY100" s="107">
        <f t="shared" si="220"/>
      </c>
      <c r="DZ100" s="107">
        <f t="shared" si="220"/>
      </c>
      <c r="EA100" s="107">
        <f t="shared" ref="EA100:EW100" si="221">IFERROR(EA97/EA$24,"")</f>
      </c>
      <c r="EB100" s="292">
        <f t="shared" si="221"/>
      </c>
      <c r="EC100" s="107">
        <f t="shared" si="221"/>
      </c>
      <c r="ED100" s="107">
        <f t="shared" si="221"/>
      </c>
      <c r="EE100" s="107">
        <f t="shared" si="221"/>
      </c>
      <c r="EF100" s="107">
        <f t="shared" si="221"/>
      </c>
      <c r="EG100" s="292">
        <f t="shared" si="221"/>
      </c>
      <c r="EH100" s="107">
        <f t="shared" si="221"/>
      </c>
      <c r="EI100" s="107">
        <f t="shared" si="221"/>
      </c>
      <c r="EJ100" s="107">
        <f t="shared" si="221"/>
      </c>
      <c r="EK100" s="107">
        <f t="shared" si="221"/>
      </c>
      <c r="EL100" s="292">
        <f t="shared" si="221"/>
      </c>
      <c r="EM100" s="107">
        <f t="shared" si="221"/>
      </c>
      <c r="EN100" s="107">
        <f t="shared" si="221"/>
      </c>
      <c r="EO100" s="107">
        <f t="shared" si="221"/>
      </c>
      <c r="EP100" s="107">
        <f t="shared" si="221"/>
      </c>
      <c r="EQ100" s="292">
        <f t="shared" si="221"/>
      </c>
      <c r="ER100" s="107">
        <f t="shared" si="221"/>
      </c>
      <c r="ES100" s="107">
        <f t="shared" si="221"/>
      </c>
      <c r="ET100" s="107">
        <f t="shared" si="221"/>
      </c>
      <c r="EU100" s="107">
        <f t="shared" si="221"/>
      </c>
      <c r="EV100" s="292">
        <f t="shared" si="221"/>
      </c>
      <c r="EW100" s="468">
        <f t="shared" si="221"/>
      </c>
      <c r="EX100" s="107">
        <f t="shared" ref="EX100:FA100" si="222">IFERROR(EX97/EX$24,"")</f>
      </c>
      <c r="EY100" s="468">
        <f t="shared" si="222"/>
      </c>
      <c r="EZ100" s="468">
        <f t="shared" si="222"/>
      </c>
      <c r="FA100" s="292">
        <f t="shared" si="222"/>
      </c>
      <c r="FB100" s="114">
        <v>0</v>
      </c>
      <c r="FC100" s="114">
        <f>FB100</f>
      </c>
      <c r="FD100" s="114">
        <f>FC100</f>
      </c>
      <c r="FE100" s="114">
        <f>FD100</f>
      </c>
      <c r="FF100" s="292">
        <f>IFERROR(FF97/FF$24,"--")</f>
      </c>
      <c r="FG100" s="114">
        <v>0</v>
      </c>
      <c r="FH100" s="114">
        <f>FG100</f>
      </c>
      <c r="FI100" s="114">
        <f>FH100</f>
      </c>
      <c r="FJ100" s="114">
        <f>FI100</f>
      </c>
      <c r="FK100" s="292">
        <f>IFERROR(FK97/FK$24,"--")</f>
      </c>
      <c r="FL100" s="114">
        <v>0</v>
      </c>
      <c r="FM100" s="114">
        <f>FL100</f>
      </c>
      <c r="FN100" s="114">
        <f>FM100</f>
      </c>
      <c r="FO100" s="114">
        <f>FN100</f>
      </c>
      <c r="FP100" s="292">
        <f>IFERROR(FP97/FP$24,"--")</f>
      </c>
      <c r="FQ100" s="114">
        <v>0</v>
      </c>
      <c r="FR100" s="114">
        <f>FQ100</f>
      </c>
      <c r="FS100" s="114">
        <f>FR100</f>
      </c>
      <c r="FT100" s="114">
        <f>FS100</f>
      </c>
      <c r="FU100" s="292">
        <f>IFERROR(FU97/FU$24,"--")</f>
      </c>
      <c r="FV100" s="114">
        <v>0</v>
      </c>
      <c r="FW100" s="114">
        <f>FV100</f>
      </c>
      <c r="FX100" s="114">
        <f>FW100</f>
      </c>
      <c r="FY100" s="114">
        <f>FX100</f>
      </c>
      <c r="FZ100" s="292">
        <f>IFERROR(FZ97/FZ$24,"--")</f>
      </c>
      <c r="GA100" s="114">
        <v>0</v>
      </c>
      <c r="GB100" s="114">
        <f>GA100</f>
      </c>
      <c r="GC100" s="114">
        <f>GB100</f>
      </c>
      <c r="GD100" s="114">
        <f>GC100</f>
      </c>
      <c r="GE100" s="292">
        <f>IFERROR(GE97/GE$24,"--")</f>
      </c>
      <c r="GF100" s="114">
        <v>0</v>
      </c>
      <c r="GG100" s="114">
        <f>GF100</f>
      </c>
      <c r="GH100" s="114">
        <f>GG100</f>
      </c>
      <c r="GI100" s="114">
        <f>GH100</f>
      </c>
      <c r="GJ100" s="292">
        <f>IFERROR(GJ97/GJ$24,"--")</f>
      </c>
    </row>
    <row r="101" spans="1:192" s="335" customFormat="1" ht="12.75" hidden="1" customHeight="1" outlineLevel="1">
      <c r="A101" s="790"/>
      <c r="B101" s="69"/>
      <c r="C101" s="106"/>
      <c r="D101" s="107"/>
      <c r="E101" s="107"/>
      <c r="F101" s="346"/>
      <c r="G101" s="347"/>
      <c r="H101" s="106"/>
      <c r="I101" s="107"/>
      <c r="J101" s="107"/>
      <c r="K101" s="346"/>
      <c r="L101" s="347"/>
      <c r="M101" s="106"/>
      <c r="N101" s="107"/>
      <c r="O101" s="107"/>
      <c r="P101" s="346"/>
      <c r="Q101" s="347"/>
      <c r="R101" s="106"/>
      <c r="S101" s="107"/>
      <c r="T101" s="107"/>
      <c r="U101" s="346"/>
      <c r="V101" s="347"/>
      <c r="W101" s="106"/>
      <c r="X101" s="107"/>
      <c r="Y101" s="107"/>
      <c r="Z101" s="346"/>
      <c r="AA101" s="347"/>
      <c r="AB101" s="106"/>
      <c r="AC101" s="107"/>
      <c r="AD101" s="107"/>
      <c r="AE101" s="346"/>
      <c r="AF101" s="347"/>
      <c r="AG101" s="106"/>
      <c r="AH101" s="107"/>
      <c r="AI101" s="107"/>
      <c r="AJ101" s="346"/>
      <c r="AK101" s="347"/>
      <c r="AL101" s="106"/>
      <c r="AM101" s="107"/>
      <c r="AN101" s="107"/>
      <c r="AO101" s="346"/>
      <c r="AP101" s="347"/>
      <c r="AQ101" s="106"/>
      <c r="AR101" s="107"/>
      <c r="AS101" s="107"/>
      <c r="AT101" s="346"/>
      <c r="AU101" s="347"/>
      <c r="AV101" s="106"/>
      <c r="AW101" s="107"/>
      <c r="AX101" s="107"/>
      <c r="AY101" s="346"/>
      <c r="AZ101" s="347"/>
      <c r="BA101" s="106"/>
      <c r="BB101" s="107"/>
      <c r="BC101" s="107"/>
      <c r="BD101" s="346"/>
      <c r="BE101" s="347"/>
      <c r="BF101" s="106"/>
      <c r="BG101" s="107"/>
      <c r="BH101" s="107"/>
      <c r="BI101" s="346"/>
      <c r="BJ101" s="347"/>
      <c r="BK101" s="106"/>
      <c r="BL101" s="107"/>
      <c r="BM101" s="107"/>
      <c r="BN101" s="346"/>
      <c r="BO101" s="347"/>
      <c r="BP101" s="106"/>
      <c r="BQ101" s="107"/>
      <c r="BR101" s="107"/>
      <c r="BS101" s="346"/>
      <c r="BT101" s="347"/>
      <c r="BU101" s="106"/>
      <c r="BV101" s="107"/>
      <c r="BW101" s="107"/>
      <c r="BX101" s="346"/>
      <c r="BY101" s="347"/>
      <c r="BZ101" s="106"/>
      <c r="CA101" s="107"/>
      <c r="CB101" s="107"/>
      <c r="CC101" s="346"/>
      <c r="CD101" s="347"/>
      <c r="CE101" s="106"/>
      <c r="CF101" s="107"/>
      <c r="CG101" s="107"/>
      <c r="CH101" s="346"/>
      <c r="CI101" s="347"/>
      <c r="CJ101" s="106"/>
      <c r="CK101" s="107"/>
      <c r="CL101" s="107"/>
      <c r="CM101" s="346"/>
      <c r="CN101" s="347"/>
      <c r="CO101" s="106"/>
      <c r="CP101" s="107"/>
      <c r="CQ101" s="107"/>
      <c r="CR101" s="346"/>
      <c r="CS101" s="347"/>
      <c r="CT101" s="106"/>
      <c r="CU101" s="107"/>
      <c r="CV101" s="107"/>
      <c r="CW101" s="346"/>
      <c r="CX101" s="347"/>
      <c r="CY101" s="106"/>
      <c r="CZ101" s="107"/>
      <c r="DA101" s="107"/>
      <c r="DB101" s="346"/>
      <c r="DC101" s="347"/>
      <c r="DD101" s="106"/>
      <c r="DE101" s="107"/>
      <c r="DF101" s="107"/>
      <c r="DG101" s="346"/>
      <c r="DH101" s="347"/>
      <c r="DI101" s="106"/>
      <c r="DJ101" s="107"/>
      <c r="DK101" s="107"/>
      <c r="DL101" s="346"/>
      <c r="DM101" s="347"/>
      <c r="DN101" s="106"/>
      <c r="DO101" s="107"/>
      <c r="DP101" s="107"/>
      <c r="DQ101" s="346"/>
      <c r="DR101" s="347"/>
      <c r="DS101" s="106"/>
      <c r="DT101" s="107"/>
      <c r="DU101" s="107"/>
      <c r="DV101" s="346"/>
      <c r="DW101" s="347"/>
      <c r="DX101" s="106"/>
      <c r="DY101" s="107"/>
      <c r="DZ101" s="107"/>
      <c r="EA101" s="346"/>
      <c r="EB101" s="347"/>
      <c r="EC101" s="106"/>
      <c r="ED101" s="107"/>
      <c r="EE101" s="107"/>
      <c r="EF101" s="346"/>
      <c r="EG101" s="347"/>
      <c r="EH101" s="106"/>
      <c r="EI101" s="107"/>
      <c r="EJ101" s="107"/>
      <c r="EK101" s="346"/>
      <c r="EL101" s="347"/>
      <c r="EM101" s="106"/>
      <c r="EN101" s="107"/>
      <c r="EO101" s="107"/>
      <c r="EP101" s="346"/>
      <c r="EQ101" s="347"/>
      <c r="ER101" s="106"/>
      <c r="ES101" s="107"/>
      <c r="ET101" s="107"/>
      <c r="EU101" s="346"/>
      <c r="EV101" s="347"/>
      <c r="EW101" s="882"/>
      <c r="EX101" s="107"/>
      <c r="EY101" s="468"/>
      <c r="EZ101" s="1496"/>
      <c r="FA101" s="347"/>
      <c r="FB101" s="106"/>
      <c r="FC101" s="107"/>
      <c r="FD101" s="107"/>
      <c r="FE101" s="346"/>
      <c r="FF101" s="347"/>
      <c r="FG101" s="106"/>
      <c r="FH101" s="107"/>
      <c r="FI101" s="107"/>
      <c r="FJ101" s="346"/>
      <c r="FK101" s="347"/>
      <c r="FL101" s="106"/>
      <c r="FM101" s="107"/>
      <c r="FN101" s="107"/>
      <c r="FO101" s="346"/>
      <c r="FP101" s="347"/>
      <c r="FQ101" s="106"/>
      <c r="FR101" s="107"/>
      <c r="FS101" s="107"/>
      <c r="FT101" s="346"/>
      <c r="FU101" s="347"/>
      <c r="FV101" s="106"/>
      <c r="FW101" s="107"/>
      <c r="FX101" s="107"/>
      <c r="FY101" s="346"/>
      <c r="FZ101" s="347"/>
      <c r="GA101" s="106"/>
      <c r="GB101" s="107"/>
      <c r="GC101" s="107"/>
      <c r="GD101" s="346"/>
      <c r="GE101" s="347"/>
      <c r="GF101" s="106"/>
      <c r="GG101" s="107"/>
      <c r="GH101" s="107"/>
      <c r="GI101" s="346"/>
      <c r="GJ101" s="347"/>
    </row>
    <row r="102" spans="1:192" s="461" customFormat="1" ht="12.75" hidden="1" customHeight="1" outlineLevel="1">
      <c r="A102" s="370"/>
      <c r="B102" s="625" t="s">
        <v>415</v>
      </c>
      <c r="C102" s="626">
        <v>0</v>
      </c>
      <c r="D102" s="626">
        <v>0</v>
      </c>
      <c r="E102" s="626">
        <v>0</v>
      </c>
      <c r="F102" s="626">
        <v>0</v>
      </c>
      <c r="G102" s="627">
        <f>SUM(C102:F102)</f>
      </c>
      <c r="H102" s="626">
        <v>0</v>
      </c>
      <c r="I102" s="626">
        <v>0</v>
      </c>
      <c r="J102" s="626">
        <v>0</v>
      </c>
      <c r="K102" s="626">
        <v>0</v>
      </c>
      <c r="L102" s="627">
        <f>SUM(H102:K102)</f>
      </c>
      <c r="M102" s="626">
        <v>0</v>
      </c>
      <c r="N102" s="626">
        <v>0</v>
      </c>
      <c r="O102" s="626">
        <v>0</v>
      </c>
      <c r="P102" s="626">
        <v>0</v>
      </c>
      <c r="Q102" s="627">
        <f>SUM(M102:P102)</f>
      </c>
      <c r="R102" s="626">
        <v>0</v>
      </c>
      <c r="S102" s="626">
        <v>0</v>
      </c>
      <c r="T102" s="626">
        <v>0</v>
      </c>
      <c r="U102" s="626">
        <v>0</v>
      </c>
      <c r="V102" s="627">
        <f>SUM(R102:U102)</f>
      </c>
      <c r="W102" s="626">
        <v>0</v>
      </c>
      <c r="X102" s="626">
        <v>0</v>
      </c>
      <c r="Y102" s="626">
        <v>0</v>
      </c>
      <c r="Z102" s="626">
        <v>0</v>
      </c>
      <c r="AA102" s="627">
        <f>SUM(W102:Z102)</f>
      </c>
      <c r="AB102" s="626"/>
      <c r="AC102" s="626"/>
      <c r="AD102" s="626"/>
      <c r="AE102" s="626"/>
      <c r="AF102" s="627">
        <f>SUM(AB102:AE102)</f>
      </c>
      <c r="AG102" s="626">
        <v>0</v>
      </c>
      <c r="AH102" s="626">
        <v>0</v>
      </c>
      <c r="AI102" s="626">
        <v>0</v>
      </c>
      <c r="AJ102" s="626">
        <v>0</v>
      </c>
      <c r="AK102" s="627">
        <f>SUM(AG102:AJ102)</f>
      </c>
      <c r="AL102" s="626">
        <v>0</v>
      </c>
      <c r="AM102" s="626">
        <v>0</v>
      </c>
      <c r="AN102" s="626">
        <v>0</v>
      </c>
      <c r="AO102" s="626">
        <v>0</v>
      </c>
      <c r="AP102" s="627">
        <f>SUM(AL102:AO102)</f>
      </c>
      <c r="AQ102" s="626">
        <v>0</v>
      </c>
      <c r="AR102" s="626">
        <v>0</v>
      </c>
      <c r="AS102" s="626">
        <v>0</v>
      </c>
      <c r="AT102" s="626">
        <v>0</v>
      </c>
      <c r="AU102" s="627">
        <f>SUM(AQ102:AT102)</f>
      </c>
      <c r="AV102" s="626">
        <v>0</v>
      </c>
      <c r="AW102" s="626">
        <v>0</v>
      </c>
      <c r="AX102" s="626">
        <v>0</v>
      </c>
      <c r="AY102" s="626">
        <v>0</v>
      </c>
      <c r="AZ102" s="627">
        <f>SUM(AV102:AY102)</f>
      </c>
      <c r="BA102" s="626">
        <v>0</v>
      </c>
      <c r="BB102" s="626">
        <v>0</v>
      </c>
      <c r="BC102" s="626">
        <v>0</v>
      </c>
      <c r="BD102" s="626">
        <v>0</v>
      </c>
      <c r="BE102" s="627">
        <f>SUM(BA102:BD102)</f>
      </c>
      <c r="BF102" s="626">
        <v>0</v>
      </c>
      <c r="BG102" s="626">
        <v>0</v>
      </c>
      <c r="BH102" s="626">
        <v>0</v>
      </c>
      <c r="BI102" s="626">
        <v>0</v>
      </c>
      <c r="BJ102" s="627">
        <f>SUM(BF102:BI102)</f>
      </c>
      <c r="BK102" s="626">
        <v>0</v>
      </c>
      <c r="BL102" s="626">
        <v>0</v>
      </c>
      <c r="BM102" s="626">
        <v>0</v>
      </c>
      <c r="BN102" s="626">
        <v>0</v>
      </c>
      <c r="BO102" s="627">
        <f>SUM(BK102:BN102)</f>
      </c>
      <c r="BP102" s="626">
        <v>0</v>
      </c>
      <c r="BQ102" s="626">
        <v>0</v>
      </c>
      <c r="BR102" s="626">
        <v>0</v>
      </c>
      <c r="BS102" s="626">
        <v>0</v>
      </c>
      <c r="BT102" s="627">
        <f>SUM(BP102:BS102)</f>
      </c>
      <c r="BU102" s="626">
        <v>0</v>
      </c>
      <c r="BV102" s="626">
        <v>0</v>
      </c>
      <c r="BW102" s="626">
        <v>290</v>
      </c>
      <c r="BX102" s="626">
        <v>40</v>
      </c>
      <c r="BY102" s="627">
        <f>SUM(BU102:BX102)</f>
      </c>
      <c r="BZ102" s="626">
        <v>0</v>
      </c>
      <c r="CA102" s="626">
        <v>59</v>
      </c>
      <c r="CB102" s="626">
        <v>0</v>
      </c>
      <c r="CC102" s="626">
        <v>0</v>
      </c>
      <c r="CD102" s="627">
        <f>SUM(BZ102:CC102)</f>
      </c>
      <c r="CE102" s="626">
        <v>0</v>
      </c>
      <c r="CF102" s="626">
        <v>0</v>
      </c>
      <c r="CG102" s="626">
        <v>0</v>
      </c>
      <c r="CH102" s="626">
        <v>0</v>
      </c>
      <c r="CI102" s="627">
        <f>SUM(CE102:CH102)</f>
      </c>
      <c r="CJ102" s="626">
        <v>0</v>
      </c>
      <c r="CK102" s="626">
        <v>0</v>
      </c>
      <c r="CL102" s="626">
        <v>0</v>
      </c>
      <c r="CM102" s="629">
        <v>0</v>
      </c>
      <c r="CN102" s="627">
        <f>SUM(CJ102:CM102)</f>
      </c>
      <c r="CO102" s="626">
        <v>0</v>
      </c>
      <c r="CP102" s="626">
        <v>0</v>
      </c>
      <c r="CQ102" s="626">
        <v>0</v>
      </c>
      <c r="CR102" s="626">
        <v>0</v>
      </c>
      <c r="CS102" s="627">
        <f>SUM(CO102:CR102)</f>
      </c>
      <c r="CT102" s="626">
        <v>0</v>
      </c>
      <c r="CU102" s="626">
        <v>0</v>
      </c>
      <c r="CV102" s="626">
        <v>0</v>
      </c>
      <c r="CW102" s="626">
        <v>0</v>
      </c>
      <c r="CX102" s="627">
        <f>SUM(CT102:CW102)</f>
      </c>
      <c r="CY102" s="626">
        <v>0</v>
      </c>
      <c r="CZ102" s="626">
        <v>0</v>
      </c>
      <c r="DA102" s="626">
        <v>0</v>
      </c>
      <c r="DB102" s="626">
        <v>0</v>
      </c>
      <c r="DC102" s="627">
        <f>SUM(CY102:DB102)</f>
      </c>
      <c r="DD102" s="626">
        <v>0</v>
      </c>
      <c r="DE102" s="626">
        <v>0</v>
      </c>
      <c r="DF102" s="626">
        <v>0</v>
      </c>
      <c r="DG102" s="626">
        <v>0</v>
      </c>
      <c r="DH102" s="627">
        <f>SUM(DD102:DG102)</f>
      </c>
      <c r="DI102" s="626">
        <v>0</v>
      </c>
      <c r="DJ102" s="626">
        <v>0</v>
      </c>
      <c r="DK102" s="626">
        <v>0</v>
      </c>
      <c r="DL102" s="626">
        <v>0</v>
      </c>
      <c r="DM102" s="627">
        <f>SUM(DI102:DL102)</f>
      </c>
      <c r="DN102" s="626">
        <v>0</v>
      </c>
      <c r="DO102" s="626">
        <v>0</v>
      </c>
      <c r="DP102" s="626">
        <v>0</v>
      </c>
      <c r="DQ102" s="626">
        <v>0</v>
      </c>
      <c r="DR102" s="627">
        <f>SUM(DN102:DQ102)</f>
      </c>
      <c r="DS102" s="626">
        <v>0</v>
      </c>
      <c r="DT102" s="626">
        <v>0</v>
      </c>
      <c r="DU102" s="626">
        <v>0</v>
      </c>
      <c r="DV102" s="626">
        <v>0</v>
      </c>
      <c r="DW102" s="627">
        <f>SUM(DS102:DV102)</f>
      </c>
      <c r="DX102" s="626">
        <v>0</v>
      </c>
      <c r="DY102" s="626">
        <v>0</v>
      </c>
      <c r="DZ102" s="626">
        <v>0</v>
      </c>
      <c r="EA102" s="626">
        <v>0</v>
      </c>
      <c r="EB102" s="627">
        <f>SUM(DX102:EA102)</f>
      </c>
      <c r="EC102" s="626">
        <v>0</v>
      </c>
      <c r="ED102" s="626">
        <v>0</v>
      </c>
      <c r="EE102" s="626">
        <v>0</v>
      </c>
      <c r="EF102" s="626">
        <v>0</v>
      </c>
      <c r="EG102" s="627">
        <f>SUM(EC102:EF102)</f>
      </c>
      <c r="EH102" s="626">
        <v>0</v>
      </c>
      <c r="EI102" s="626">
        <v>0</v>
      </c>
      <c r="EJ102" s="626">
        <v>0</v>
      </c>
      <c r="EK102" s="626">
        <v>0</v>
      </c>
      <c r="EL102" s="627">
        <f>SUM(EH102:EK102)</f>
      </c>
      <c r="EM102" s="626">
        <v>0</v>
      </c>
      <c r="EN102" s="626">
        <v>0</v>
      </c>
      <c r="EO102" s="626">
        <v>0</v>
      </c>
      <c r="EP102" s="626">
        <v>0</v>
      </c>
      <c r="EQ102" s="627">
        <f>SUM(EM102:EP102)</f>
      </c>
      <c r="ER102" s="626">
        <v>0</v>
      </c>
      <c r="ES102" s="626">
        <v>0</v>
      </c>
      <c r="ET102" s="626">
        <v>0</v>
      </c>
      <c r="EU102" s="609">
        <v>0</v>
      </c>
      <c r="EV102" s="627">
        <f>SUM(ER102:EU102)</f>
      </c>
      <c r="EW102" s="629">
        <v>0</v>
      </c>
      <c r="EX102" s="626">
        <v>0</v>
      </c>
      <c r="EY102" s="629">
        <v>0</v>
      </c>
      <c r="EZ102" s="629">
        <v>0</v>
      </c>
      <c r="FA102" s="627">
        <f>SUM(EW102:EZ102)</f>
      </c>
      <c r="FB102" s="609">
        <f>FB105*FB31</f>
      </c>
      <c r="FC102" s="609">
        <f>FC105*FC31</f>
      </c>
      <c r="FD102" s="609">
        <f>FD105*FD31</f>
      </c>
      <c r="FE102" s="609">
        <f>FE105*FE31</f>
      </c>
      <c r="FF102" s="627">
        <f>SUM(FB102:FE102)</f>
      </c>
      <c r="FG102" s="609">
        <f>FG105*FG31</f>
      </c>
      <c r="FH102" s="609">
        <f>FH105*FH31</f>
      </c>
      <c r="FI102" s="609">
        <f>FI105*FI31</f>
      </c>
      <c r="FJ102" s="609">
        <f>FJ105*FJ31</f>
      </c>
      <c r="FK102" s="627">
        <f>SUM(FG102:FJ102)</f>
      </c>
      <c r="FL102" s="609">
        <f>FL105*FL31</f>
      </c>
      <c r="FM102" s="609">
        <f>FM105*FM31</f>
      </c>
      <c r="FN102" s="609">
        <f>FN105*FN31</f>
      </c>
      <c r="FO102" s="609">
        <f>FO105*FO31</f>
      </c>
      <c r="FP102" s="627">
        <f>SUM(FL102:FO102)</f>
      </c>
      <c r="FQ102" s="609">
        <f>FQ105*FQ31</f>
      </c>
      <c r="FR102" s="609">
        <f>FR105*FR31</f>
      </c>
      <c r="FS102" s="609">
        <f>FS105*FS31</f>
      </c>
      <c r="FT102" s="609">
        <f>FT105*FT31</f>
      </c>
      <c r="FU102" s="627">
        <f>SUM(FQ102:FT102)</f>
      </c>
      <c r="FV102" s="609">
        <f>FV105*FV31</f>
      </c>
      <c r="FW102" s="609">
        <f>FW105*FW31</f>
      </c>
      <c r="FX102" s="609">
        <f>FX105*FX31</f>
      </c>
      <c r="FY102" s="609">
        <f>FY105*FY31</f>
      </c>
      <c r="FZ102" s="627">
        <f>SUM(FV102:FY102)</f>
      </c>
      <c r="GA102" s="609">
        <f>GA105*GA31</f>
      </c>
      <c r="GB102" s="609">
        <f>GB105*GB31</f>
      </c>
      <c r="GC102" s="609">
        <f>GC105*GC31</f>
      </c>
      <c r="GD102" s="609">
        <f>GD105*GD31</f>
      </c>
      <c r="GE102" s="627">
        <f>SUM(GA102:GD102)</f>
      </c>
      <c r="GF102" s="609">
        <f>GF105*GF31</f>
      </c>
      <c r="GG102" s="609">
        <f>GG105*GG31</f>
      </c>
      <c r="GH102" s="609">
        <f>GH105*GH31</f>
      </c>
      <c r="GI102" s="609">
        <f>GI105*GI31</f>
      </c>
      <c r="GJ102" s="627">
        <f>SUM(GF102:GI102)</f>
      </c>
    </row>
    <row r="103" spans="1:192" ht="12.75" hidden="1" customHeight="1" outlineLevel="1">
      <c r="A103" s="791"/>
      <c r="B103" s="617" t="s">
        <v>34</v>
      </c>
      <c r="C103" s="291"/>
      <c r="D103" s="107"/>
      <c r="E103" s="107"/>
      <c r="F103" s="107"/>
      <c r="G103" s="536"/>
      <c r="H103" s="291" t="str">
        <f t="shared" ref="H103:AM103" si="223">IFERROR(H102/C102-1,"")</f>
      </c>
      <c r="I103" s="107" t="str">
        <f t="shared" si="223"/>
      </c>
      <c r="J103" s="107" t="str">
        <f t="shared" si="223"/>
      </c>
      <c r="K103" s="107" t="str">
        <f t="shared" si="223"/>
      </c>
      <c r="L103" s="292" t="str">
        <f t="shared" si="223"/>
      </c>
      <c r="M103" s="291" t="str">
        <f t="shared" si="223"/>
      </c>
      <c r="N103" s="107" t="str">
        <f t="shared" si="223"/>
      </c>
      <c r="O103" s="107" t="str">
        <f t="shared" si="223"/>
      </c>
      <c r="P103" s="107" t="str">
        <f t="shared" si="223"/>
      </c>
      <c r="Q103" s="292" t="str">
        <f t="shared" si="223"/>
      </c>
      <c r="R103" s="291" t="str">
        <f t="shared" si="223"/>
      </c>
      <c r="S103" s="107" t="str">
        <f t="shared" si="223"/>
      </c>
      <c r="T103" s="107" t="str">
        <f t="shared" si="223"/>
      </c>
      <c r="U103" s="107" t="str">
        <f t="shared" si="223"/>
      </c>
      <c r="V103" s="292" t="str">
        <f t="shared" si="223"/>
      </c>
      <c r="W103" s="291" t="str">
        <f t="shared" si="223"/>
      </c>
      <c r="X103" s="107" t="str">
        <f t="shared" si="223"/>
      </c>
      <c r="Y103" s="107" t="str">
        <f t="shared" si="223"/>
      </c>
      <c r="Z103" s="107" t="str">
        <f t="shared" si="223"/>
      </c>
      <c r="AA103" s="292" t="str">
        <f t="shared" si="223"/>
      </c>
      <c r="AB103" s="291" t="str">
        <f t="shared" si="223"/>
      </c>
      <c r="AC103" s="107" t="str">
        <f t="shared" si="223"/>
      </c>
      <c r="AD103" s="107" t="str">
        <f t="shared" si="223"/>
      </c>
      <c r="AE103" s="107" t="str">
        <f t="shared" si="223"/>
      </c>
      <c r="AF103" s="292" t="str">
        <f t="shared" si="223"/>
      </c>
      <c r="AG103" s="291" t="str">
        <f t="shared" si="223"/>
      </c>
      <c r="AH103" s="107" t="str">
        <f t="shared" si="223"/>
      </c>
      <c r="AI103" s="107" t="str">
        <f t="shared" si="223"/>
      </c>
      <c r="AJ103" s="107" t="str">
        <f t="shared" si="223"/>
      </c>
      <c r="AK103" s="292" t="str">
        <f t="shared" si="223"/>
      </c>
      <c r="AL103" s="291" t="str">
        <f t="shared" si="223"/>
      </c>
      <c r="AM103" s="107" t="str">
        <f t="shared" si="223"/>
      </c>
      <c r="AN103" s="107" t="str">
        <f t="shared" ref="AN103:BS103" si="224">IFERROR(AN102/AI102-1,"")</f>
      </c>
      <c r="AO103" s="107" t="str">
        <f t="shared" si="224"/>
      </c>
      <c r="AP103" s="292" t="str">
        <f t="shared" si="224"/>
      </c>
      <c r="AQ103" s="291" t="str">
        <f t="shared" si="224"/>
      </c>
      <c r="AR103" s="107" t="str">
        <f t="shared" si="224"/>
      </c>
      <c r="AS103" s="107" t="str">
        <f t="shared" si="224"/>
      </c>
      <c r="AT103" s="107" t="str">
        <f t="shared" si="224"/>
      </c>
      <c r="AU103" s="292" t="str">
        <f t="shared" si="224"/>
      </c>
      <c r="AV103" s="291" t="str">
        <f t="shared" si="224"/>
      </c>
      <c r="AW103" s="107" t="str">
        <f t="shared" si="224"/>
      </c>
      <c r="AX103" s="107" t="str">
        <f t="shared" si="224"/>
      </c>
      <c r="AY103" s="107" t="str">
        <f t="shared" si="224"/>
      </c>
      <c r="AZ103" s="292" t="str">
        <f t="shared" si="224"/>
      </c>
      <c r="BA103" s="291" t="str">
        <f t="shared" si="224"/>
      </c>
      <c r="BB103" s="107" t="str">
        <f t="shared" si="224"/>
      </c>
      <c r="BC103" s="107" t="str">
        <f t="shared" si="224"/>
      </c>
      <c r="BD103" s="107" t="str">
        <f t="shared" si="224"/>
      </c>
      <c r="BE103" s="292" t="str">
        <f t="shared" si="224"/>
      </c>
      <c r="BF103" s="291" t="str">
        <f t="shared" si="224"/>
      </c>
      <c r="BG103" s="107" t="str">
        <f t="shared" si="224"/>
      </c>
      <c r="BH103" s="107" t="str">
        <f t="shared" si="224"/>
      </c>
      <c r="BI103" s="107" t="str">
        <f t="shared" si="224"/>
      </c>
      <c r="BJ103" s="292" t="str">
        <f t="shared" si="224"/>
      </c>
      <c r="BK103" s="291" t="str">
        <f t="shared" si="224"/>
      </c>
      <c r="BL103" s="107" t="str">
        <f t="shared" si="224"/>
      </c>
      <c r="BM103" s="107" t="str">
        <f t="shared" si="224"/>
      </c>
      <c r="BN103" s="107" t="str">
        <f t="shared" si="224"/>
      </c>
      <c r="BO103" s="292" t="str">
        <f t="shared" si="224"/>
      </c>
      <c r="BP103" s="291" t="str">
        <f t="shared" si="224"/>
      </c>
      <c r="BQ103" s="107" t="str">
        <f t="shared" si="224"/>
      </c>
      <c r="BR103" s="107" t="str">
        <f t="shared" si="224"/>
      </c>
      <c r="BS103" s="107" t="str">
        <f t="shared" si="224"/>
      </c>
      <c r="BT103" s="292" t="str">
        <f t="shared" ref="BT103:CY103" si="225">IFERROR(BT102/BO102-1,"")</f>
      </c>
      <c r="BU103" s="291" t="str">
        <f t="shared" si="225"/>
      </c>
      <c r="BV103" s="107" t="str">
        <f t="shared" si="225"/>
      </c>
      <c r="BW103" s="107" t="str">
        <f t="shared" si="225"/>
      </c>
      <c r="BX103" s="107" t="str">
        <f t="shared" si="225"/>
      </c>
      <c r="BY103" s="292" t="str">
        <f t="shared" si="225"/>
      </c>
      <c r="BZ103" s="291" t="str">
        <f t="shared" si="225"/>
      </c>
      <c r="CA103" s="107" t="str">
        <f t="shared" si="225"/>
      </c>
      <c r="CB103" s="107">
        <f t="shared" si="225"/>
      </c>
      <c r="CC103" s="107">
        <f t="shared" si="225"/>
      </c>
      <c r="CD103" s="292">
        <f t="shared" si="225"/>
      </c>
      <c r="CE103" s="291" t="str">
        <f t="shared" si="225"/>
      </c>
      <c r="CF103" s="107">
        <f t="shared" si="225"/>
      </c>
      <c r="CG103" s="107" t="str">
        <f t="shared" si="225"/>
      </c>
      <c r="CH103" s="107" t="str">
        <f t="shared" si="225"/>
      </c>
      <c r="CI103" s="292">
        <f t="shared" si="225"/>
      </c>
      <c r="CJ103" s="291" t="str">
        <f t="shared" si="225"/>
      </c>
      <c r="CK103" s="107" t="str">
        <f t="shared" si="225"/>
      </c>
      <c r="CL103" s="107" t="str">
        <f t="shared" si="225"/>
      </c>
      <c r="CM103" s="107" t="str">
        <f t="shared" si="225"/>
      </c>
      <c r="CN103" s="292" t="str">
        <f t="shared" si="225"/>
      </c>
      <c r="CO103" s="291" t="str">
        <f t="shared" si="225"/>
      </c>
      <c r="CP103" s="107" t="str">
        <f t="shared" si="225"/>
      </c>
      <c r="CQ103" s="107" t="str">
        <f t="shared" si="225"/>
      </c>
      <c r="CR103" s="107" t="str">
        <f t="shared" si="225"/>
      </c>
      <c r="CS103" s="292" t="str">
        <f t="shared" si="225"/>
      </c>
      <c r="CT103" s="291" t="str">
        <f t="shared" si="225"/>
      </c>
      <c r="CU103" s="107" t="str">
        <f t="shared" si="225"/>
      </c>
      <c r="CV103" s="107" t="str">
        <f t="shared" si="225"/>
      </c>
      <c r="CW103" s="107" t="str">
        <f t="shared" si="225"/>
      </c>
      <c r="CX103" s="292" t="str">
        <f t="shared" si="225"/>
      </c>
      <c r="CY103" s="291" t="str">
        <f t="shared" si="225"/>
      </c>
      <c r="CZ103" s="107" t="str">
        <f t="shared" ref="CZ103:EE103" si="226">IFERROR(CZ102/CU102-1,"")</f>
      </c>
      <c r="DA103" s="107" t="str">
        <f t="shared" si="226"/>
      </c>
      <c r="DB103" s="107" t="str">
        <f t="shared" si="226"/>
      </c>
      <c r="DC103" s="292" t="str">
        <f t="shared" si="226"/>
      </c>
      <c r="DD103" s="291" t="str">
        <f t="shared" si="226"/>
      </c>
      <c r="DE103" s="107" t="str">
        <f t="shared" si="226"/>
      </c>
      <c r="DF103" s="107" t="str">
        <f t="shared" si="226"/>
      </c>
      <c r="DG103" s="107" t="str">
        <f t="shared" si="226"/>
      </c>
      <c r="DH103" s="292" t="str">
        <f t="shared" si="226"/>
      </c>
      <c r="DI103" s="291" t="str">
        <f t="shared" si="226"/>
      </c>
      <c r="DJ103" s="107" t="str">
        <f t="shared" si="226"/>
      </c>
      <c r="DK103" s="107" t="str">
        <f t="shared" si="226"/>
      </c>
      <c r="DL103" s="107" t="str">
        <f t="shared" si="226"/>
      </c>
      <c r="DM103" s="292" t="str">
        <f t="shared" si="226"/>
      </c>
      <c r="DN103" s="291" t="str">
        <f t="shared" si="226"/>
      </c>
      <c r="DO103" s="107" t="str">
        <f t="shared" si="226"/>
      </c>
      <c r="DP103" s="107" t="str">
        <f t="shared" si="226"/>
      </c>
      <c r="DQ103" s="107" t="str">
        <f t="shared" si="226"/>
      </c>
      <c r="DR103" s="292" t="str">
        <f t="shared" si="226"/>
      </c>
      <c r="DS103" s="291" t="str">
        <f t="shared" si="226"/>
      </c>
      <c r="DT103" s="107" t="str">
        <f t="shared" si="226"/>
      </c>
      <c r="DU103" s="107" t="str">
        <f t="shared" si="226"/>
      </c>
      <c r="DV103" s="107" t="str">
        <f t="shared" si="226"/>
      </c>
      <c r="DW103" s="292" t="str">
        <f t="shared" si="226"/>
      </c>
      <c r="DX103" s="291" t="str">
        <f t="shared" si="226"/>
      </c>
      <c r="DY103" s="107" t="str">
        <f t="shared" si="226"/>
      </c>
      <c r="DZ103" s="107" t="str">
        <f t="shared" si="226"/>
      </c>
      <c r="EA103" s="107" t="str">
        <f t="shared" si="226"/>
      </c>
      <c r="EB103" s="292" t="str">
        <f t="shared" si="226"/>
      </c>
      <c r="EC103" s="291" t="str">
        <f t="shared" si="226"/>
      </c>
      <c r="ED103" s="107" t="str">
        <f t="shared" si="226"/>
      </c>
      <c r="EE103" s="107" t="str">
        <f t="shared" si="226"/>
      </c>
      <c r="EF103" s="107" t="str">
        <f t="shared" ref="EF103:FK103" si="227">IFERROR(EF102/EA102-1,"")</f>
      </c>
      <c r="EG103" s="292" t="str">
        <f t="shared" si="227"/>
      </c>
      <c r="EH103" s="291" t="str">
        <f t="shared" si="227"/>
      </c>
      <c r="EI103" s="107" t="str">
        <f t="shared" si="227"/>
      </c>
      <c r="EJ103" s="107" t="str">
        <f t="shared" si="227"/>
      </c>
      <c r="EK103" s="107" t="str">
        <f t="shared" si="227"/>
      </c>
      <c r="EL103" s="292" t="str">
        <f t="shared" si="227"/>
      </c>
      <c r="EM103" s="291" t="str">
        <f t="shared" si="227"/>
      </c>
      <c r="EN103" s="107" t="str">
        <f t="shared" si="227"/>
      </c>
      <c r="EO103" s="107" t="str">
        <f t="shared" si="227"/>
      </c>
      <c r="EP103" s="107" t="str">
        <f t="shared" si="227"/>
      </c>
      <c r="EQ103" s="292" t="str">
        <f t="shared" si="227"/>
      </c>
      <c r="ER103" s="291" t="str">
        <f t="shared" si="227"/>
      </c>
      <c r="ES103" s="107" t="str">
        <f t="shared" si="227"/>
      </c>
      <c r="ET103" s="107" t="str">
        <f t="shared" si="227"/>
      </c>
      <c r="EU103" s="107" t="str">
        <f t="shared" si="227"/>
      </c>
      <c r="EV103" s="292" t="str">
        <f t="shared" si="227"/>
      </c>
      <c r="EW103" s="349" t="str">
        <f t="shared" si="227"/>
      </c>
      <c r="EX103" s="107" t="str">
        <f t="shared" si="227"/>
      </c>
      <c r="EY103" s="468" t="str">
        <f t="shared" si="227"/>
      </c>
      <c r="EZ103" s="468" t="str">
        <f t="shared" si="227"/>
      </c>
      <c r="FA103" s="292" t="str">
        <f t="shared" si="227"/>
      </c>
      <c r="FB103" s="291" t="str">
        <f t="shared" si="227"/>
      </c>
      <c r="FC103" s="107" t="str">
        <f t="shared" si="227"/>
      </c>
      <c r="FD103" s="107" t="str">
        <f t="shared" si="227"/>
      </c>
      <c r="FE103" s="107" t="str">
        <f t="shared" si="227"/>
      </c>
      <c r="FF103" s="292" t="str">
        <f t="shared" si="227"/>
      </c>
      <c r="FG103" s="291" t="str">
        <f t="shared" si="227"/>
      </c>
      <c r="FH103" s="107" t="str">
        <f t="shared" si="227"/>
      </c>
      <c r="FI103" s="107" t="str">
        <f t="shared" si="227"/>
      </c>
      <c r="FJ103" s="107" t="str">
        <f t="shared" si="227"/>
      </c>
      <c r="FK103" s="292" t="str">
        <f t="shared" si="227"/>
      </c>
      <c r="FL103" s="291" t="str">
        <f t="shared" ref="FL103:GE103" si="228">IFERROR(FL102/FG102-1,"")</f>
      </c>
      <c r="FM103" s="107" t="str">
        <f t="shared" si="228"/>
      </c>
      <c r="FN103" s="107" t="str">
        <f t="shared" si="228"/>
      </c>
      <c r="FO103" s="107" t="str">
        <f t="shared" si="228"/>
      </c>
      <c r="FP103" s="292" t="str">
        <f t="shared" si="228"/>
      </c>
      <c r="FQ103" s="291" t="str">
        <f t="shared" si="228"/>
      </c>
      <c r="FR103" s="107" t="str">
        <f t="shared" si="228"/>
      </c>
      <c r="FS103" s="107" t="str">
        <f t="shared" si="228"/>
      </c>
      <c r="FT103" s="107" t="str">
        <f t="shared" si="228"/>
      </c>
      <c r="FU103" s="292" t="str">
        <f t="shared" si="228"/>
      </c>
      <c r="FV103" s="291" t="str">
        <f t="shared" si="228"/>
      </c>
      <c r="FW103" s="107" t="str">
        <f t="shared" si="228"/>
      </c>
      <c r="FX103" s="107" t="str">
        <f t="shared" si="228"/>
      </c>
      <c r="FY103" s="107" t="str">
        <f t="shared" si="228"/>
      </c>
      <c r="FZ103" s="292" t="str">
        <f t="shared" si="228"/>
      </c>
      <c r="GA103" s="291" t="str">
        <f t="shared" si="228"/>
      </c>
      <c r="GB103" s="107" t="str">
        <f t="shared" si="228"/>
      </c>
      <c r="GC103" s="107" t="str">
        <f t="shared" si="228"/>
      </c>
      <c r="GD103" s="107" t="str">
        <f t="shared" si="228"/>
      </c>
      <c r="GE103" s="292" t="str">
        <f t="shared" si="228"/>
      </c>
      <c r="GF103" s="291" t="str">
        <f t="shared" ref="GF103" si="229">IFERROR(GF102/GA102-1,"")</f>
      </c>
      <c r="GG103" s="107" t="str">
        <f t="shared" ref="GG103" si="230">IFERROR(GG102/GB102-1,"")</f>
      </c>
      <c r="GH103" s="107" t="str">
        <f t="shared" ref="GH103" si="231">IFERROR(GH102/GC102-1,"")</f>
      </c>
      <c r="GI103" s="107" t="str">
        <f t="shared" ref="GI103" si="232">IFERROR(GI102/GD102-1,"")</f>
      </c>
      <c r="GJ103" s="292" t="str">
        <f t="shared" ref="GJ103" si="233">IFERROR(GJ102/GE102-1,"")</f>
      </c>
    </row>
    <row r="104" spans="1:192" ht="12.75" hidden="1" customHeight="1" outlineLevel="1">
      <c r="A104" s="792"/>
      <c r="B104" s="617" t="s">
        <v>36</v>
      </c>
      <c r="C104" s="291"/>
      <c r="D104" s="137"/>
      <c r="E104" s="137"/>
      <c r="F104" s="137"/>
      <c r="G104" s="538"/>
      <c r="H104" s="291" t="str">
        <f>IFERROR(H102/F102-1,"")</f>
      </c>
      <c r="I104" s="107" t="str">
        <f>IFERROR(I102/H102-1,"")</f>
      </c>
      <c r="J104" s="107" t="str">
        <f>IFERROR(J102/I102-1,"")</f>
      </c>
      <c r="K104" s="107" t="str">
        <f>IFERROR(K102/J102-1,"")</f>
      </c>
      <c r="L104" s="293"/>
      <c r="M104" s="291" t="str">
        <f>IFERROR(M102/K102-1,"")</f>
      </c>
      <c r="N104" s="107" t="str">
        <f>IFERROR(N102/M102-1,"")</f>
      </c>
      <c r="O104" s="107" t="str">
        <f>IFERROR(O102/N102-1,"")</f>
      </c>
      <c r="P104" s="107" t="str">
        <f>IFERROR(P102/O102-1,"")</f>
      </c>
      <c r="Q104" s="293"/>
      <c r="R104" s="291" t="str">
        <f>IFERROR(R102/P102-1,"")</f>
      </c>
      <c r="S104" s="107" t="str">
        <f>IFERROR(S102/R102-1,"")</f>
      </c>
      <c r="T104" s="107" t="str">
        <f>IFERROR(T102/S102-1,"")</f>
      </c>
      <c r="U104" s="107" t="str">
        <f>IFERROR(U102/T102-1,"")</f>
      </c>
      <c r="V104" s="293"/>
      <c r="W104" s="291" t="str">
        <f>IFERROR(W102/U102-1,"")</f>
      </c>
      <c r="X104" s="107" t="str">
        <f>IFERROR(X102/W102-1,"")</f>
      </c>
      <c r="Y104" s="107" t="str">
        <f>IFERROR(Y102/X102-1,"")</f>
      </c>
      <c r="Z104" s="107" t="str">
        <f>IFERROR(Z102/Y102-1,"")</f>
      </c>
      <c r="AA104" s="293"/>
      <c r="AB104" s="291" t="str">
        <f>IFERROR(AB102/Z102-1,"")</f>
      </c>
      <c r="AC104" s="107" t="str">
        <f>IFERROR(AC102/AB102-1,"")</f>
      </c>
      <c r="AD104" s="107" t="str">
        <f>IFERROR(AD102/AC102-1,"")</f>
      </c>
      <c r="AE104" s="107" t="str">
        <f>IFERROR(AE102/AD102-1,"")</f>
      </c>
      <c r="AF104" s="293"/>
      <c r="AG104" s="291" t="str">
        <f>IFERROR(AG102/AE102-1,"")</f>
      </c>
      <c r="AH104" s="107" t="str">
        <f>IFERROR(AH102/AG102-1,"")</f>
      </c>
      <c r="AI104" s="107" t="str">
        <f>IFERROR(AI102/AH102-1,"")</f>
      </c>
      <c r="AJ104" s="107" t="str">
        <f>IFERROR(AJ102/AI102-1,"")</f>
      </c>
      <c r="AK104" s="293"/>
      <c r="AL104" s="291" t="str">
        <f>IFERROR(AL102/AJ102-1,"")</f>
      </c>
      <c r="AM104" s="107" t="str">
        <f>IFERROR(AM102/AL102-1,"")</f>
      </c>
      <c r="AN104" s="107" t="str">
        <f>IFERROR(AN102/AM102-1,"")</f>
      </c>
      <c r="AO104" s="107" t="str">
        <f>IFERROR(AO102/AN102-1,"")</f>
      </c>
      <c r="AP104" s="293"/>
      <c r="AQ104" s="291" t="str">
        <f>IFERROR(AQ102/AO102-1,"")</f>
      </c>
      <c r="AR104" s="107" t="str">
        <f>IFERROR(AR102/AQ102-1,"")</f>
      </c>
      <c r="AS104" s="107" t="str">
        <f>IFERROR(AS102/AR102-1,"")</f>
      </c>
      <c r="AT104" s="107" t="str">
        <f>IFERROR(AT102/AS102-1,"")</f>
      </c>
      <c r="AU104" s="293"/>
      <c r="AV104" s="291" t="str">
        <f>IFERROR(AV102/AT102-1,"")</f>
      </c>
      <c r="AW104" s="107" t="str">
        <f>IFERROR(AW102/AV102-1,"")</f>
      </c>
      <c r="AX104" s="107" t="str">
        <f>IFERROR(AX102/AW102-1,"")</f>
      </c>
      <c r="AY104" s="107" t="str">
        <f>IFERROR(AY102/AX102-1,"")</f>
      </c>
      <c r="AZ104" s="293"/>
      <c r="BA104" s="291" t="str">
        <f>IFERROR(BA102/AY102-1,"")</f>
      </c>
      <c r="BB104" s="107" t="str">
        <f>IFERROR(BB102/BA102-1,"")</f>
      </c>
      <c r="BC104" s="107" t="str">
        <f>IFERROR(BC102/BB102-1,"")</f>
      </c>
      <c r="BD104" s="107" t="str">
        <f>IFERROR(BD102/BC102-1,"")</f>
      </c>
      <c r="BE104" s="293"/>
      <c r="BF104" s="291" t="str">
        <f>IFERROR(BF102/BD102-1,"")</f>
      </c>
      <c r="BG104" s="107" t="str">
        <f>IFERROR(BG102/BF102-1,"")</f>
      </c>
      <c r="BH104" s="107" t="str">
        <f>IFERROR(BH102/BG102-1,"")</f>
      </c>
      <c r="BI104" s="107" t="str">
        <f>IFERROR(BI102/BH102-1,"")</f>
      </c>
      <c r="BJ104" s="293"/>
      <c r="BK104" s="291" t="str">
        <f>IFERROR(BK102/BI102-1,"")</f>
      </c>
      <c r="BL104" s="107" t="str">
        <f>IFERROR(BL102/BK102-1,"")</f>
      </c>
      <c r="BM104" s="107" t="str">
        <f>IFERROR(BM102/BL102-1,"")</f>
      </c>
      <c r="BN104" s="107" t="str">
        <f>IFERROR(BN102/BM102-1,"")</f>
      </c>
      <c r="BO104" s="293"/>
      <c r="BP104" s="291" t="str">
        <f>IFERROR(BP102/BN102-1,"")</f>
      </c>
      <c r="BQ104" s="107" t="str">
        <f>IFERROR(BQ102/BP102-1,"")</f>
      </c>
      <c r="BR104" s="107" t="str">
        <f>IFERROR(BR102/BQ102-1,"")</f>
      </c>
      <c r="BS104" s="107" t="str">
        <f>IFERROR(BS102/BR102-1,"")</f>
      </c>
      <c r="BT104" s="293"/>
      <c r="BU104" s="291" t="str">
        <f>IFERROR(BU102/BS102-1,"")</f>
      </c>
      <c r="BV104" s="107" t="str">
        <f>IFERROR(BV102/BU102-1,"")</f>
      </c>
      <c r="BW104" s="107" t="str">
        <f>IFERROR(BW102/BV102-1,"")</f>
      </c>
      <c r="BX104" s="107">
        <f>IFERROR(BX102/BW102-1,"")</f>
      </c>
      <c r="BY104" s="293"/>
      <c r="BZ104" s="291">
        <f>IFERROR(BZ102/BX102-1,"")</f>
      </c>
      <c r="CA104" s="107" t="str">
        <f>IFERROR(CA102/BZ102-1,"")</f>
      </c>
      <c r="CB104" s="107">
        <f>IFERROR(CB102/CA102-1,"")</f>
      </c>
      <c r="CC104" s="107" t="str">
        <f>IFERROR(CC102/CB102-1,"")</f>
      </c>
      <c r="CD104" s="293"/>
      <c r="CE104" s="291" t="str">
        <f>IFERROR(CE102/CC102-1,"")</f>
      </c>
      <c r="CF104" s="107" t="str">
        <f>IFERROR(CF102/CE102-1,"")</f>
      </c>
      <c r="CG104" s="107" t="str">
        <f>IFERROR(CG102/CF102-1,"")</f>
      </c>
      <c r="CH104" s="107" t="str">
        <f>IFERROR(CH102/CG102-1,"")</f>
      </c>
      <c r="CI104" s="293"/>
      <c r="CJ104" s="291" t="str">
        <f>IFERROR(CJ102/CH102-1,"")</f>
      </c>
      <c r="CK104" s="107" t="str">
        <f>IFERROR(CK102/CJ102-1,"")</f>
      </c>
      <c r="CL104" s="107" t="str">
        <f>IFERROR(CL102/CK102-1,"")</f>
      </c>
      <c r="CM104" s="107" t="str">
        <f>IFERROR(CM102/CL102-1,"")</f>
      </c>
      <c r="CN104" s="293"/>
      <c r="CO104" s="291" t="str">
        <f>IFERROR(CO102/CM102-1,"")</f>
      </c>
      <c r="CP104" s="107" t="str">
        <f>IFERROR(CP102/CO102-1,"")</f>
      </c>
      <c r="CQ104" s="107" t="str">
        <f>IFERROR(CQ102/CP102-1,"")</f>
      </c>
      <c r="CR104" s="107" t="str">
        <f>IFERROR(CR102/CQ102-1,"")</f>
      </c>
      <c r="CS104" s="293"/>
      <c r="CT104" s="291" t="str">
        <f>IFERROR(CT102/CR102-1,"")</f>
      </c>
      <c r="CU104" s="107" t="str">
        <f>IFERROR(CU102/CT102-1,"")</f>
      </c>
      <c r="CV104" s="107" t="str">
        <f>IFERROR(CV102/CU102-1,"")</f>
      </c>
      <c r="CW104" s="107" t="str">
        <f>IFERROR(CW102/CV102-1,"")</f>
      </c>
      <c r="CX104" s="293"/>
      <c r="CY104" s="291" t="str">
        <f>IFERROR(CY102/CW102-1,"")</f>
      </c>
      <c r="CZ104" s="107" t="str">
        <f>IFERROR(CZ102/CY102-1,"")</f>
      </c>
      <c r="DA104" s="107" t="str">
        <f>IFERROR(DA102/CZ102-1,"")</f>
      </c>
      <c r="DB104" s="107" t="str">
        <f>IFERROR(DB102/DA102-1,"")</f>
      </c>
      <c r="DC104" s="293"/>
      <c r="DD104" s="291" t="str">
        <f>IFERROR(DD102/DB102-1,"")</f>
      </c>
      <c r="DE104" s="107" t="str">
        <f>IFERROR(DE102/DD102-1,"")</f>
      </c>
      <c r="DF104" s="107" t="str">
        <f>IFERROR(DF102/DE102-1,"")</f>
      </c>
      <c r="DG104" s="107" t="str">
        <f>IFERROR(DG102/DF102-1,"")</f>
      </c>
      <c r="DH104" s="293"/>
      <c r="DI104" s="291" t="str">
        <f>IFERROR(DI102/DG102-1,"")</f>
      </c>
      <c r="DJ104" s="107" t="str">
        <f>IFERROR(DJ102/DI102-1,"")</f>
      </c>
      <c r="DK104" s="107" t="str">
        <f>IFERROR(DK102/DJ102-1,"")</f>
      </c>
      <c r="DL104" s="107" t="str">
        <f>IFERROR(DL102/DK102-1,"")</f>
      </c>
      <c r="DM104" s="293"/>
      <c r="DN104" s="291" t="str">
        <f>IFERROR(DN102/DL102-1,"")</f>
      </c>
      <c r="DO104" s="107" t="str">
        <f>IFERROR(DO102/DN102-1,"")</f>
      </c>
      <c r="DP104" s="107" t="str">
        <f>IFERROR(DP102/DO102-1,"")</f>
      </c>
      <c r="DQ104" s="107" t="str">
        <f>IFERROR(DQ102/DP102-1,"")</f>
      </c>
      <c r="DR104" s="293"/>
      <c r="DS104" s="291" t="str">
        <f>IFERROR(DS102/DQ102-1,"")</f>
      </c>
      <c r="DT104" s="107" t="str">
        <f>IFERROR(DT102/DS102-1,"")</f>
      </c>
      <c r="DU104" s="107" t="str">
        <f>IFERROR(DU102/DT102-1,"")</f>
      </c>
      <c r="DV104" s="107" t="str">
        <f>IFERROR(DV102/DU102-1,"")</f>
      </c>
      <c r="DW104" s="293"/>
      <c r="DX104" s="291" t="str">
        <f>IFERROR(DX102/DV102-1,"")</f>
      </c>
      <c r="DY104" s="107" t="str">
        <f>IFERROR(DY102/DX102-1,"")</f>
      </c>
      <c r="DZ104" s="107" t="str">
        <f>IFERROR(DZ102/DY102-1,"")</f>
      </c>
      <c r="EA104" s="107" t="str">
        <f>IFERROR(EA102/DZ102-1,"")</f>
      </c>
      <c r="EB104" s="293"/>
      <c r="EC104" s="291" t="str">
        <f>IFERROR(EC102/EA102-1,"")</f>
      </c>
      <c r="ED104" s="107" t="str">
        <f>IFERROR(ED102/EC102-1,"")</f>
      </c>
      <c r="EE104" s="107" t="str">
        <f>IFERROR(EE102/ED102-1,"")</f>
      </c>
      <c r="EF104" s="107" t="str">
        <f>IFERROR(EF102/EE102-1,"")</f>
      </c>
      <c r="EG104" s="293"/>
      <c r="EH104" s="291" t="str">
        <f>IFERROR(EH102/EF102-1,"")</f>
      </c>
      <c r="EI104" s="107" t="str">
        <f>IFERROR(EI102/EH102-1,"")</f>
      </c>
      <c r="EJ104" s="107" t="str">
        <f>IFERROR(EJ102/EI102-1,"")</f>
      </c>
      <c r="EK104" s="107" t="str">
        <f>IFERROR(EK102/EJ102-1,"")</f>
      </c>
      <c r="EL104" s="293"/>
      <c r="EM104" s="291" t="str">
        <f>IFERROR(EM102/EK102-1,"")</f>
      </c>
      <c r="EN104" s="107" t="str">
        <f>IFERROR(EN102/EM102-1,"")</f>
      </c>
      <c r="EO104" s="107" t="str">
        <f>IFERROR(EO102/EN102-1,"")</f>
      </c>
      <c r="EP104" s="107" t="str">
        <f>IFERROR(EP102/EO102-1,"")</f>
      </c>
      <c r="EQ104" s="293"/>
      <c r="ER104" s="291" t="str">
        <f>IFERROR(ER102/EP102-1,"")</f>
      </c>
      <c r="ES104" s="107" t="str">
        <f>IFERROR(ES102/ER102-1,"")</f>
      </c>
      <c r="ET104" s="107" t="str">
        <f>IFERROR(ET102/ES102-1,"")</f>
      </c>
      <c r="EU104" s="107" t="str">
        <f>IFERROR(EU102/ET102-1,"")</f>
      </c>
      <c r="EV104" s="293"/>
      <c r="EW104" s="349" t="str">
        <f>IFERROR(EW102/EU102-1,"")</f>
      </c>
      <c r="EX104" s="107" t="str">
        <f>IFERROR(EX102/EW102-1,"")</f>
      </c>
      <c r="EY104" s="468" t="str">
        <f>IFERROR(EY102/EX102-1,"")</f>
      </c>
      <c r="EZ104" s="468" t="str">
        <f>IFERROR(EZ102/EY102-1,"")</f>
      </c>
      <c r="FA104" s="293"/>
      <c r="FB104" s="291" t="str">
        <f>IFERROR(FB102/EZ102-1,"")</f>
      </c>
      <c r="FC104" s="107" t="str">
        <f>IFERROR(FC102/FB102-1,"")</f>
      </c>
      <c r="FD104" s="107" t="str">
        <f>IFERROR(FD102/FC102-1,"")</f>
      </c>
      <c r="FE104" s="107" t="str">
        <f>IFERROR(FE102/FD102-1,"")</f>
      </c>
      <c r="FF104" s="293"/>
      <c r="FG104" s="291" t="str">
        <f>IFERROR(FG102/FE102-1,"")</f>
      </c>
      <c r="FH104" s="107" t="str">
        <f>IFERROR(FH102/FG102-1,"")</f>
      </c>
      <c r="FI104" s="107" t="str">
        <f>IFERROR(FI102/FH102-1,"")</f>
      </c>
      <c r="FJ104" s="107" t="str">
        <f>IFERROR(FJ102/FI102-1,"")</f>
      </c>
      <c r="FK104" s="293"/>
      <c r="FL104" s="291" t="str">
        <f>IFERROR(FL102/FJ102-1,"")</f>
      </c>
      <c r="FM104" s="107" t="str">
        <f>IFERROR(FM102/FL102-1,"")</f>
      </c>
      <c r="FN104" s="107" t="str">
        <f>IFERROR(FN102/FM102-1,"")</f>
      </c>
      <c r="FO104" s="107" t="str">
        <f>IFERROR(FO102/FN102-1,"")</f>
      </c>
      <c r="FP104" s="293"/>
      <c r="FQ104" s="291" t="str">
        <f>IFERROR(FQ102/FO102-1,"")</f>
      </c>
      <c r="FR104" s="107" t="str">
        <f>IFERROR(FR102/FQ102-1,"")</f>
      </c>
      <c r="FS104" s="107" t="str">
        <f>IFERROR(FS102/FR102-1,"")</f>
      </c>
      <c r="FT104" s="107" t="str">
        <f>IFERROR(FT102/FS102-1,"")</f>
      </c>
      <c r="FU104" s="293"/>
      <c r="FV104" s="291" t="str">
        <f>IFERROR(FV102/FT102-1,"")</f>
      </c>
      <c r="FW104" s="107" t="str">
        <f>IFERROR(FW102/FV102-1,"")</f>
      </c>
      <c r="FX104" s="107" t="str">
        <f>IFERROR(FX102/FW102-1,"")</f>
      </c>
      <c r="FY104" s="107" t="str">
        <f>IFERROR(FY102/FX102-1,"")</f>
      </c>
      <c r="FZ104" s="293"/>
      <c r="GA104" s="291" t="str">
        <f>IFERROR(GA102/FY102-1,"")</f>
      </c>
      <c r="GB104" s="107" t="str">
        <f>IFERROR(GB102/GA102-1,"")</f>
      </c>
      <c r="GC104" s="107" t="str">
        <f>IFERROR(GC102/GB102-1,"")</f>
      </c>
      <c r="GD104" s="107" t="str">
        <f>IFERROR(GD102/GC102-1,"")</f>
      </c>
      <c r="GE104" s="293"/>
      <c r="GF104" s="291" t="str">
        <f>IFERROR(GF102/GD102-1,"")</f>
      </c>
      <c r="GG104" s="107" t="str">
        <f>IFERROR(GG102/GF102-1,"")</f>
      </c>
      <c r="GH104" s="107" t="str">
        <f>IFERROR(GH102/GG102-1,"")</f>
      </c>
      <c r="GI104" s="107" t="str">
        <f>IFERROR(GI102/GH102-1,"")</f>
      </c>
      <c r="GJ104" s="293"/>
    </row>
    <row r="105" spans="1:192" ht="12.75" hidden="1" customHeight="1" outlineLevel="1">
      <c r="A105" s="792"/>
      <c r="B105" s="617" t="s">
        <v>257</v>
      </c>
      <c r="C105" s="107">
        <f t="shared" ref="C105:BN105" si="234">IFERROR(C102/C$24,"")</f>
      </c>
      <c r="D105" s="107">
        <f t="shared" si="234"/>
      </c>
      <c r="E105" s="107">
        <f t="shared" si="234"/>
      </c>
      <c r="F105" s="107">
        <f t="shared" si="234"/>
      </c>
      <c r="G105" s="292">
        <f t="shared" si="234"/>
      </c>
      <c r="H105" s="107">
        <f t="shared" si="234"/>
      </c>
      <c r="I105" s="107">
        <f t="shared" si="234"/>
      </c>
      <c r="J105" s="107">
        <f t="shared" si="234"/>
      </c>
      <c r="K105" s="107">
        <f t="shared" si="234"/>
      </c>
      <c r="L105" s="292">
        <f t="shared" si="234"/>
      </c>
      <c r="M105" s="107">
        <f t="shared" si="234"/>
      </c>
      <c r="N105" s="107">
        <f t="shared" si="234"/>
      </c>
      <c r="O105" s="107">
        <f t="shared" si="234"/>
      </c>
      <c r="P105" s="107">
        <f t="shared" si="234"/>
      </c>
      <c r="Q105" s="292">
        <f t="shared" si="234"/>
      </c>
      <c r="R105" s="107">
        <f t="shared" si="234"/>
      </c>
      <c r="S105" s="107">
        <f t="shared" si="234"/>
      </c>
      <c r="T105" s="107">
        <f t="shared" si="234"/>
      </c>
      <c r="U105" s="107">
        <f t="shared" si="234"/>
      </c>
      <c r="V105" s="292">
        <f t="shared" si="234"/>
      </c>
      <c r="W105" s="107">
        <f t="shared" si="234"/>
      </c>
      <c r="X105" s="107">
        <f t="shared" si="234"/>
      </c>
      <c r="Y105" s="107">
        <f t="shared" si="234"/>
      </c>
      <c r="Z105" s="107">
        <f t="shared" si="234"/>
      </c>
      <c r="AA105" s="292">
        <f t="shared" si="234"/>
      </c>
      <c r="AB105" s="107">
        <f t="shared" si="234"/>
      </c>
      <c r="AC105" s="107">
        <f t="shared" si="234"/>
      </c>
      <c r="AD105" s="107">
        <f t="shared" si="234"/>
      </c>
      <c r="AE105" s="107">
        <f t="shared" si="234"/>
      </c>
      <c r="AF105" s="292">
        <f t="shared" si="234"/>
      </c>
      <c r="AG105" s="107">
        <f t="shared" si="234"/>
      </c>
      <c r="AH105" s="107">
        <f t="shared" si="234"/>
      </c>
      <c r="AI105" s="107">
        <f t="shared" si="234"/>
      </c>
      <c r="AJ105" s="107">
        <f t="shared" si="234"/>
      </c>
      <c r="AK105" s="292">
        <f t="shared" si="234"/>
      </c>
      <c r="AL105" s="107">
        <f t="shared" si="234"/>
      </c>
      <c r="AM105" s="107">
        <f t="shared" si="234"/>
      </c>
      <c r="AN105" s="107">
        <f t="shared" si="234"/>
      </c>
      <c r="AO105" s="107">
        <f t="shared" si="234"/>
      </c>
      <c r="AP105" s="292">
        <f t="shared" si="234"/>
      </c>
      <c r="AQ105" s="107">
        <f t="shared" si="234"/>
      </c>
      <c r="AR105" s="107">
        <f t="shared" si="234"/>
      </c>
      <c r="AS105" s="107">
        <f t="shared" si="234"/>
      </c>
      <c r="AT105" s="107">
        <f t="shared" si="234"/>
      </c>
      <c r="AU105" s="292">
        <f t="shared" si="234"/>
      </c>
      <c r="AV105" s="107">
        <f t="shared" si="234"/>
      </c>
      <c r="AW105" s="107">
        <f t="shared" si="234"/>
      </c>
      <c r="AX105" s="107">
        <f t="shared" si="234"/>
      </c>
      <c r="AY105" s="107">
        <f t="shared" si="234"/>
      </c>
      <c r="AZ105" s="292">
        <f t="shared" si="234"/>
      </c>
      <c r="BA105" s="107">
        <f t="shared" si="234"/>
      </c>
      <c r="BB105" s="107">
        <f t="shared" si="234"/>
      </c>
      <c r="BC105" s="107">
        <f t="shared" si="234"/>
      </c>
      <c r="BD105" s="107">
        <f t="shared" si="234"/>
      </c>
      <c r="BE105" s="292">
        <f t="shared" si="234"/>
      </c>
      <c r="BF105" s="107">
        <f t="shared" si="234"/>
      </c>
      <c r="BG105" s="107">
        <f t="shared" si="234"/>
      </c>
      <c r="BH105" s="107">
        <f t="shared" si="234"/>
      </c>
      <c r="BI105" s="107">
        <f t="shared" si="234"/>
      </c>
      <c r="BJ105" s="292">
        <f t="shared" si="234"/>
      </c>
      <c r="BK105" s="107">
        <f t="shared" si="234"/>
      </c>
      <c r="BL105" s="107">
        <f t="shared" si="234"/>
      </c>
      <c r="BM105" s="107">
        <f t="shared" si="234"/>
      </c>
      <c r="BN105" s="107">
        <f t="shared" si="234"/>
      </c>
      <c r="BO105" s="292">
        <f t="shared" ref="BO105:DZ105" si="235">IFERROR(BO102/BO$24,"")</f>
      </c>
      <c r="BP105" s="107">
        <f t="shared" si="235"/>
      </c>
      <c r="BQ105" s="107">
        <f t="shared" si="235"/>
      </c>
      <c r="BR105" s="107">
        <f t="shared" si="235"/>
      </c>
      <c r="BS105" s="107">
        <f t="shared" si="235"/>
      </c>
      <c r="BT105" s="292">
        <f t="shared" si="235"/>
      </c>
      <c r="BU105" s="107">
        <f t="shared" si="235"/>
      </c>
      <c r="BV105" s="107">
        <f t="shared" si="235"/>
      </c>
      <c r="BW105" s="107">
        <f t="shared" si="235"/>
      </c>
      <c r="BX105" s="107">
        <f t="shared" si="235"/>
      </c>
      <c r="BY105" s="292">
        <f t="shared" si="235"/>
      </c>
      <c r="BZ105" s="107">
        <f t="shared" si="235"/>
      </c>
      <c r="CA105" s="107">
        <f t="shared" si="235"/>
      </c>
      <c r="CB105" s="107">
        <f t="shared" si="235"/>
      </c>
      <c r="CC105" s="107">
        <f t="shared" si="235"/>
      </c>
      <c r="CD105" s="292">
        <f t="shared" si="235"/>
      </c>
      <c r="CE105" s="107">
        <f t="shared" si="235"/>
      </c>
      <c r="CF105" s="107">
        <f t="shared" si="235"/>
      </c>
      <c r="CG105" s="107">
        <f t="shared" si="235"/>
      </c>
      <c r="CH105" s="107">
        <f t="shared" si="235"/>
      </c>
      <c r="CI105" s="292">
        <f t="shared" si="235"/>
      </c>
      <c r="CJ105" s="107">
        <f t="shared" si="235"/>
      </c>
      <c r="CK105" s="107">
        <f t="shared" si="235"/>
      </c>
      <c r="CL105" s="107">
        <f t="shared" si="235"/>
      </c>
      <c r="CM105" s="107">
        <f t="shared" si="235"/>
      </c>
      <c r="CN105" s="292">
        <f t="shared" si="235"/>
      </c>
      <c r="CO105" s="107">
        <f t="shared" si="235"/>
      </c>
      <c r="CP105" s="107">
        <f t="shared" si="235"/>
      </c>
      <c r="CQ105" s="107">
        <f t="shared" si="235"/>
      </c>
      <c r="CR105" s="107">
        <f t="shared" si="235"/>
      </c>
      <c r="CS105" s="292">
        <f t="shared" si="235"/>
      </c>
      <c r="CT105" s="107">
        <f t="shared" si="235"/>
      </c>
      <c r="CU105" s="107">
        <f t="shared" si="235"/>
      </c>
      <c r="CV105" s="107">
        <f t="shared" si="235"/>
      </c>
      <c r="CW105" s="107">
        <f t="shared" si="235"/>
      </c>
      <c r="CX105" s="292">
        <f t="shared" si="235"/>
      </c>
      <c r="CY105" s="107">
        <f t="shared" si="235"/>
      </c>
      <c r="CZ105" s="107">
        <f t="shared" si="235"/>
      </c>
      <c r="DA105" s="107">
        <f t="shared" si="235"/>
      </c>
      <c r="DB105" s="107">
        <f t="shared" si="235"/>
      </c>
      <c r="DC105" s="292">
        <f t="shared" si="235"/>
      </c>
      <c r="DD105" s="107">
        <f t="shared" si="235"/>
      </c>
      <c r="DE105" s="107">
        <f t="shared" si="235"/>
      </c>
      <c r="DF105" s="107">
        <f t="shared" si="235"/>
      </c>
      <c r="DG105" s="107">
        <f t="shared" si="235"/>
      </c>
      <c r="DH105" s="292">
        <f t="shared" si="235"/>
      </c>
      <c r="DI105" s="107">
        <f t="shared" si="235"/>
      </c>
      <c r="DJ105" s="107">
        <f t="shared" si="235"/>
      </c>
      <c r="DK105" s="107">
        <f t="shared" si="235"/>
      </c>
      <c r="DL105" s="107">
        <f t="shared" si="235"/>
      </c>
      <c r="DM105" s="292">
        <f t="shared" si="235"/>
      </c>
      <c r="DN105" s="107">
        <f t="shared" si="235"/>
      </c>
      <c r="DO105" s="107">
        <f t="shared" si="235"/>
      </c>
      <c r="DP105" s="107">
        <f t="shared" si="235"/>
      </c>
      <c r="DQ105" s="107">
        <f t="shared" si="235"/>
      </c>
      <c r="DR105" s="292">
        <f t="shared" si="235"/>
      </c>
      <c r="DS105" s="107">
        <f t="shared" si="235"/>
      </c>
      <c r="DT105" s="107">
        <f t="shared" si="235"/>
      </c>
      <c r="DU105" s="107">
        <f t="shared" si="235"/>
      </c>
      <c r="DV105" s="107">
        <f t="shared" si="235"/>
      </c>
      <c r="DW105" s="292">
        <f t="shared" si="235"/>
      </c>
      <c r="DX105" s="107">
        <f t="shared" si="235"/>
      </c>
      <c r="DY105" s="107">
        <f t="shared" si="235"/>
      </c>
      <c r="DZ105" s="107">
        <f t="shared" si="235"/>
      </c>
      <c r="EA105" s="107">
        <f t="shared" ref="EA105:EW105" si="236">IFERROR(EA102/EA$24,"")</f>
      </c>
      <c r="EB105" s="292">
        <f t="shared" si="236"/>
      </c>
      <c r="EC105" s="107">
        <f t="shared" si="236"/>
      </c>
      <c r="ED105" s="107">
        <f t="shared" si="236"/>
      </c>
      <c r="EE105" s="107">
        <f t="shared" si="236"/>
      </c>
      <c r="EF105" s="107">
        <f t="shared" si="236"/>
      </c>
      <c r="EG105" s="292">
        <f t="shared" si="236"/>
      </c>
      <c r="EH105" s="107">
        <f t="shared" si="236"/>
      </c>
      <c r="EI105" s="107">
        <f t="shared" si="236"/>
      </c>
      <c r="EJ105" s="107">
        <f t="shared" si="236"/>
      </c>
      <c r="EK105" s="107">
        <f t="shared" si="236"/>
      </c>
      <c r="EL105" s="292">
        <f t="shared" si="236"/>
      </c>
      <c r="EM105" s="107">
        <f t="shared" si="236"/>
      </c>
      <c r="EN105" s="107">
        <f t="shared" si="236"/>
      </c>
      <c r="EO105" s="107">
        <f t="shared" si="236"/>
      </c>
      <c r="EP105" s="107">
        <f t="shared" si="236"/>
      </c>
      <c r="EQ105" s="292">
        <f t="shared" si="236"/>
      </c>
      <c r="ER105" s="107">
        <f t="shared" si="236"/>
      </c>
      <c r="ES105" s="107">
        <f t="shared" si="236"/>
      </c>
      <c r="ET105" s="107">
        <f t="shared" si="236"/>
      </c>
      <c r="EU105" s="107">
        <f t="shared" si="236"/>
      </c>
      <c r="EV105" s="292">
        <f t="shared" si="236"/>
      </c>
      <c r="EW105" s="468">
        <f t="shared" si="236"/>
      </c>
      <c r="EX105" s="107">
        <f t="shared" ref="EX105:FA105" si="237">IFERROR(EX102/EX$24,"")</f>
      </c>
      <c r="EY105" s="468">
        <f t="shared" si="237"/>
      </c>
      <c r="EZ105" s="468">
        <f t="shared" si="237"/>
      </c>
      <c r="FA105" s="292">
        <f t="shared" si="237"/>
      </c>
      <c r="FB105" s="114">
        <v>0</v>
      </c>
      <c r="FC105" s="114">
        <f>FB105</f>
      </c>
      <c r="FD105" s="114">
        <f>FC105</f>
      </c>
      <c r="FE105" s="114">
        <f>FD105</f>
      </c>
      <c r="FF105" s="292">
        <f>IFERROR(FF102/FF$24,"--")</f>
      </c>
      <c r="FG105" s="114">
        <v>0</v>
      </c>
      <c r="FH105" s="114">
        <f>FG105</f>
      </c>
      <c r="FI105" s="114">
        <f>FH105</f>
      </c>
      <c r="FJ105" s="114">
        <f>FI105</f>
      </c>
      <c r="FK105" s="292">
        <f>IFERROR(FK102/FK$24,"--")</f>
      </c>
      <c r="FL105" s="114">
        <v>0</v>
      </c>
      <c r="FM105" s="114">
        <f>FL105</f>
      </c>
      <c r="FN105" s="114">
        <f>FM105</f>
      </c>
      <c r="FO105" s="114">
        <f>FN105</f>
      </c>
      <c r="FP105" s="292">
        <f>IFERROR(FP102/FP$24,"--")</f>
      </c>
      <c r="FQ105" s="114">
        <v>0</v>
      </c>
      <c r="FR105" s="114">
        <f>FQ105</f>
      </c>
      <c r="FS105" s="114">
        <f>FR105</f>
      </c>
      <c r="FT105" s="114">
        <f>FS105</f>
      </c>
      <c r="FU105" s="292">
        <f>IFERROR(FU102/FU$24,"--")</f>
      </c>
      <c r="FV105" s="114">
        <v>0</v>
      </c>
      <c r="FW105" s="114">
        <f>FV105</f>
      </c>
      <c r="FX105" s="114">
        <f>FW105</f>
      </c>
      <c r="FY105" s="114">
        <f>FX105</f>
      </c>
      <c r="FZ105" s="292">
        <f>IFERROR(FZ102/FZ$24,"--")</f>
      </c>
      <c r="GA105" s="114">
        <v>0</v>
      </c>
      <c r="GB105" s="114">
        <f>GA105</f>
      </c>
      <c r="GC105" s="114">
        <f>GB105</f>
      </c>
      <c r="GD105" s="114">
        <f>GC105</f>
      </c>
      <c r="GE105" s="292">
        <f>IFERROR(GE102/GE$24,"--")</f>
      </c>
      <c r="GF105" s="114">
        <v>0</v>
      </c>
      <c r="GG105" s="114">
        <f>GF105</f>
      </c>
      <c r="GH105" s="114">
        <f>GG105</f>
      </c>
      <c r="GI105" s="114">
        <f>GH105</f>
      </c>
      <c r="GJ105" s="292">
        <f>IFERROR(GJ102/GJ$24,"--")</f>
      </c>
    </row>
    <row r="106" spans="1:192" s="335" customFormat="1" ht="12.75" hidden="1" customHeight="1" outlineLevel="1">
      <c r="A106" s="790"/>
      <c r="B106" s="69"/>
      <c r="C106" s="106"/>
      <c r="D106" s="107"/>
      <c r="E106" s="107"/>
      <c r="F106" s="346"/>
      <c r="G106" s="347"/>
      <c r="H106" s="106"/>
      <c r="I106" s="107"/>
      <c r="J106" s="107"/>
      <c r="K106" s="346"/>
      <c r="L106" s="347"/>
      <c r="M106" s="106"/>
      <c r="N106" s="107"/>
      <c r="O106" s="107"/>
      <c r="P106" s="346"/>
      <c r="Q106" s="347"/>
      <c r="R106" s="106"/>
      <c r="S106" s="107"/>
      <c r="T106" s="107"/>
      <c r="U106" s="346"/>
      <c r="V106" s="347"/>
      <c r="W106" s="106"/>
      <c r="X106" s="107"/>
      <c r="Y106" s="107"/>
      <c r="Z106" s="346"/>
      <c r="AA106" s="347"/>
      <c r="AB106" s="106"/>
      <c r="AC106" s="107"/>
      <c r="AD106" s="107"/>
      <c r="AE106" s="346"/>
      <c r="AF106" s="347"/>
      <c r="AG106" s="106"/>
      <c r="AH106" s="107"/>
      <c r="AI106" s="107"/>
      <c r="AJ106" s="346"/>
      <c r="AK106" s="347"/>
      <c r="AL106" s="106"/>
      <c r="AM106" s="107"/>
      <c r="AN106" s="107"/>
      <c r="AO106" s="346"/>
      <c r="AP106" s="347"/>
      <c r="AQ106" s="106"/>
      <c r="AR106" s="107"/>
      <c r="AS106" s="107"/>
      <c r="AT106" s="346"/>
      <c r="AU106" s="347"/>
      <c r="AV106" s="106"/>
      <c r="AW106" s="107"/>
      <c r="AX106" s="107"/>
      <c r="AY106" s="346"/>
      <c r="AZ106" s="347"/>
      <c r="BA106" s="106"/>
      <c r="BB106" s="107"/>
      <c r="BC106" s="107"/>
      <c r="BD106" s="346"/>
      <c r="BE106" s="347"/>
      <c r="BF106" s="106"/>
      <c r="BG106" s="107"/>
      <c r="BH106" s="107"/>
      <c r="BI106" s="346"/>
      <c r="BJ106" s="347"/>
      <c r="BK106" s="106"/>
      <c r="BL106" s="107"/>
      <c r="BM106" s="107"/>
      <c r="BN106" s="346"/>
      <c r="BO106" s="347"/>
      <c r="BP106" s="106"/>
      <c r="BQ106" s="107"/>
      <c r="BR106" s="107"/>
      <c r="BS106" s="346"/>
      <c r="BT106" s="347"/>
      <c r="BU106" s="106"/>
      <c r="BV106" s="107"/>
      <c r="BW106" s="107"/>
      <c r="BX106" s="346"/>
      <c r="BY106" s="347"/>
      <c r="BZ106" s="106"/>
      <c r="CA106" s="107"/>
      <c r="CB106" s="107"/>
      <c r="CC106" s="346"/>
      <c r="CD106" s="347"/>
      <c r="CE106" s="106"/>
      <c r="CF106" s="107"/>
      <c r="CG106" s="107"/>
      <c r="CH106" s="346"/>
      <c r="CI106" s="347"/>
      <c r="CJ106" s="106"/>
      <c r="CK106" s="107"/>
      <c r="CL106" s="107"/>
      <c r="CM106" s="346"/>
      <c r="CN106" s="347"/>
      <c r="CO106" s="106"/>
      <c r="CP106" s="107"/>
      <c r="CQ106" s="107"/>
      <c r="CR106" s="346"/>
      <c r="CS106" s="347"/>
      <c r="CT106" s="106"/>
      <c r="CU106" s="107"/>
      <c r="CV106" s="107"/>
      <c r="CW106" s="346"/>
      <c r="CX106" s="347"/>
      <c r="CY106" s="106"/>
      <c r="CZ106" s="107"/>
      <c r="DA106" s="107"/>
      <c r="DB106" s="346"/>
      <c r="DC106" s="347"/>
      <c r="DD106" s="106"/>
      <c r="DE106" s="107"/>
      <c r="DF106" s="107"/>
      <c r="DG106" s="346"/>
      <c r="DH106" s="347"/>
      <c r="DI106" s="106"/>
      <c r="DJ106" s="107"/>
      <c r="DK106" s="107"/>
      <c r="DL106" s="346"/>
      <c r="DM106" s="347"/>
      <c r="DN106" s="106"/>
      <c r="DO106" s="107"/>
      <c r="DP106" s="107"/>
      <c r="DQ106" s="346"/>
      <c r="DR106" s="347"/>
      <c r="DS106" s="106"/>
      <c r="DT106" s="107"/>
      <c r="DU106" s="107"/>
      <c r="DV106" s="346"/>
      <c r="DW106" s="347"/>
      <c r="DX106" s="106"/>
      <c r="DY106" s="107"/>
      <c r="DZ106" s="107"/>
      <c r="EA106" s="346"/>
      <c r="EB106" s="347"/>
      <c r="EC106" s="106"/>
      <c r="ED106" s="107"/>
      <c r="EE106" s="107"/>
      <c r="EF106" s="346"/>
      <c r="EG106" s="347"/>
      <c r="EH106" s="106"/>
      <c r="EI106" s="107"/>
      <c r="EJ106" s="107"/>
      <c r="EK106" s="346"/>
      <c r="EL106" s="347"/>
      <c r="EM106" s="106"/>
      <c r="EN106" s="107"/>
      <c r="EO106" s="107"/>
      <c r="EP106" s="346"/>
      <c r="EQ106" s="347"/>
      <c r="ER106" s="106"/>
      <c r="ES106" s="107"/>
      <c r="ET106" s="107"/>
      <c r="EU106" s="346"/>
      <c r="EV106" s="347"/>
      <c r="EW106" s="882"/>
      <c r="EX106" s="107"/>
      <c r="EY106" s="468"/>
      <c r="EZ106" s="1496"/>
      <c r="FA106" s="347"/>
      <c r="FB106" s="106"/>
      <c r="FC106" s="107"/>
      <c r="FD106" s="107"/>
      <c r="FE106" s="346"/>
      <c r="FF106" s="347"/>
      <c r="FG106" s="106"/>
      <c r="FH106" s="107"/>
      <c r="FI106" s="107"/>
      <c r="FJ106" s="346"/>
      <c r="FK106" s="347"/>
      <c r="FL106" s="106"/>
      <c r="FM106" s="107"/>
      <c r="FN106" s="107"/>
      <c r="FO106" s="346"/>
      <c r="FP106" s="347"/>
      <c r="FQ106" s="106"/>
      <c r="FR106" s="107"/>
      <c r="FS106" s="107"/>
      <c r="FT106" s="346"/>
      <c r="FU106" s="347"/>
      <c r="FV106" s="106"/>
      <c r="FW106" s="107"/>
      <c r="FX106" s="107"/>
      <c r="FY106" s="346"/>
      <c r="FZ106" s="347"/>
      <c r="GA106" s="106"/>
      <c r="GB106" s="107"/>
      <c r="GC106" s="107"/>
      <c r="GD106" s="346"/>
      <c r="GE106" s="347"/>
      <c r="GF106" s="106"/>
      <c r="GG106" s="107"/>
      <c r="GH106" s="107"/>
      <c r="GI106" s="346"/>
      <c r="GJ106" s="347"/>
    </row>
    <row r="107" spans="1:192" s="461" customFormat="1" ht="12.75" hidden="1" customHeight="1" outlineLevel="1">
      <c r="A107" s="370"/>
      <c r="B107" s="625" t="s">
        <v>416</v>
      </c>
      <c r="C107" s="626">
        <v>0</v>
      </c>
      <c r="D107" s="626">
        <v>0</v>
      </c>
      <c r="E107" s="626">
        <v>0</v>
      </c>
      <c r="F107" s="626">
        <v>0</v>
      </c>
      <c r="G107" s="627">
        <f>SUM(C107:F107)</f>
      </c>
      <c r="H107" s="626">
        <v>0</v>
      </c>
      <c r="I107" s="626">
        <v>0</v>
      </c>
      <c r="J107" s="626">
        <v>0</v>
      </c>
      <c r="K107" s="626">
        <v>0</v>
      </c>
      <c r="L107" s="627">
        <f>SUM(H107:K107)</f>
      </c>
      <c r="M107" s="626">
        <v>0</v>
      </c>
      <c r="N107" s="626">
        <v>0</v>
      </c>
      <c r="O107" s="626">
        <v>0</v>
      </c>
      <c r="P107" s="626">
        <v>0</v>
      </c>
      <c r="Q107" s="627">
        <f>SUM(M107:P107)</f>
      </c>
      <c r="R107" s="626">
        <v>296</v>
      </c>
      <c r="S107" s="626">
        <v>0</v>
      </c>
      <c r="T107" s="626">
        <v>0</v>
      </c>
      <c r="U107" s="626">
        <v>0</v>
      </c>
      <c r="V107" s="627">
        <f>SUM(R107:U107)</f>
      </c>
      <c r="W107" s="626">
        <v>24</v>
      </c>
      <c r="X107" s="626">
        <v>35</v>
      </c>
      <c r="Y107" s="626">
        <v>1</v>
      </c>
      <c r="Z107" s="626">
        <v>55</v>
      </c>
      <c r="AA107" s="627">
        <f>SUM(W107:Z107)</f>
      </c>
      <c r="AB107" s="626">
        <v>25</v>
      </c>
      <c r="AC107" s="626">
        <v>-6</v>
      </c>
      <c r="AD107" s="626">
        <v>-32</v>
      </c>
      <c r="AE107" s="626">
        <v>105</v>
      </c>
      <c r="AF107" s="627">
        <f>SUM(AB107:AE107)</f>
      </c>
      <c r="AG107" s="626">
        <v>375</v>
      </c>
      <c r="AH107" s="626">
        <v>0</v>
      </c>
      <c r="AI107" s="626">
        <v>0</v>
      </c>
      <c r="AJ107" s="626">
        <v>0</v>
      </c>
      <c r="AK107" s="627">
        <f>SUM(AG107:AJ107)</f>
      </c>
      <c r="AL107" s="626">
        <v>0</v>
      </c>
      <c r="AM107" s="626">
        <v>0</v>
      </c>
      <c r="AN107" s="626">
        <v>0</v>
      </c>
      <c r="AO107" s="626">
        <v>0</v>
      </c>
      <c r="AP107" s="627">
        <f>SUM(AL107:AO107)</f>
      </c>
      <c r="AQ107" s="626">
        <v>0</v>
      </c>
      <c r="AR107" s="626">
        <v>0</v>
      </c>
      <c r="AS107" s="626">
        <v>0</v>
      </c>
      <c r="AT107" s="626">
        <v>0</v>
      </c>
      <c r="AU107" s="627">
        <f>SUM(AQ107:AT107)</f>
      </c>
      <c r="AV107" s="626">
        <v>0</v>
      </c>
      <c r="AW107" s="626">
        <v>0</v>
      </c>
      <c r="AX107" s="626">
        <v>0</v>
      </c>
      <c r="AY107" s="626">
        <v>0</v>
      </c>
      <c r="AZ107" s="627">
        <f>SUM(AV107:AY107)</f>
      </c>
      <c r="BA107" s="626">
        <v>0</v>
      </c>
      <c r="BB107" s="626">
        <v>0</v>
      </c>
      <c r="BC107" s="626">
        <v>0</v>
      </c>
      <c r="BD107" s="626">
        <v>0</v>
      </c>
      <c r="BE107" s="627">
        <f>SUM(BA107:BD107)</f>
      </c>
      <c r="BF107" s="626">
        <v>0</v>
      </c>
      <c r="BG107" s="626">
        <v>0</v>
      </c>
      <c r="BH107" s="626">
        <v>0</v>
      </c>
      <c r="BI107" s="626">
        <v>0</v>
      </c>
      <c r="BJ107" s="627">
        <f>SUM(BF107:BI107)</f>
      </c>
      <c r="BK107" s="626">
        <v>0</v>
      </c>
      <c r="BL107" s="626">
        <v>0</v>
      </c>
      <c r="BM107" s="626">
        <v>0</v>
      </c>
      <c r="BN107" s="626">
        <v>0</v>
      </c>
      <c r="BO107" s="627">
        <f>SUM(BK107:BN107)</f>
      </c>
      <c r="BP107" s="626">
        <v>0</v>
      </c>
      <c r="BQ107" s="626">
        <v>0</v>
      </c>
      <c r="BR107" s="626">
        <v>0</v>
      </c>
      <c r="BS107" s="626">
        <v>0</v>
      </c>
      <c r="BT107" s="627">
        <f>SUM(BP107:BS107)</f>
      </c>
      <c r="BU107" s="626">
        <v>0</v>
      </c>
      <c r="BV107" s="626">
        <v>0</v>
      </c>
      <c r="BW107" s="626">
        <v>0</v>
      </c>
      <c r="BX107" s="626">
        <v>0</v>
      </c>
      <c r="BY107" s="627">
        <f>SUM(BU107:BX107)</f>
      </c>
      <c r="BZ107" s="626">
        <v>0</v>
      </c>
      <c r="CA107" s="626">
        <v>0</v>
      </c>
      <c r="CB107" s="626">
        <v>0</v>
      </c>
      <c r="CC107" s="626">
        <v>0</v>
      </c>
      <c r="CD107" s="627">
        <f>SUM(BZ107:CC107)</f>
      </c>
      <c r="CE107" s="626">
        <v>0</v>
      </c>
      <c r="CF107" s="626">
        <v>0</v>
      </c>
      <c r="CG107" s="626">
        <v>0</v>
      </c>
      <c r="CH107" s="626">
        <v>0</v>
      </c>
      <c r="CI107" s="627">
        <f>SUM(CE107:CH107)</f>
      </c>
      <c r="CJ107" s="626">
        <v>0</v>
      </c>
      <c r="CK107" s="626">
        <v>0</v>
      </c>
      <c r="CL107" s="626">
        <v>0</v>
      </c>
      <c r="CM107" s="629">
        <v>0</v>
      </c>
      <c r="CN107" s="627">
        <f>SUM(CJ107:CM107)</f>
      </c>
      <c r="CO107" s="626">
        <v>0</v>
      </c>
      <c r="CP107" s="626">
        <v>0</v>
      </c>
      <c r="CQ107" s="626">
        <v>0</v>
      </c>
      <c r="CR107" s="626">
        <v>0</v>
      </c>
      <c r="CS107" s="627">
        <f>SUM(CO107:CR107)</f>
      </c>
      <c r="CT107" s="626">
        <v>0</v>
      </c>
      <c r="CU107" s="626">
        <v>0</v>
      </c>
      <c r="CV107" s="626">
        <v>0</v>
      </c>
      <c r="CW107" s="626">
        <v>0</v>
      </c>
      <c r="CX107" s="627">
        <f>SUM(CT107:CW107)</f>
      </c>
      <c r="CY107" s="626">
        <v>0</v>
      </c>
      <c r="CZ107" s="626">
        <v>0</v>
      </c>
      <c r="DA107" s="626">
        <v>0</v>
      </c>
      <c r="DB107" s="626">
        <v>0</v>
      </c>
      <c r="DC107" s="627">
        <f>SUM(CY107:DB107)</f>
      </c>
      <c r="DD107" s="626">
        <v>0</v>
      </c>
      <c r="DE107" s="626">
        <v>0</v>
      </c>
      <c r="DF107" s="626">
        <v>0</v>
      </c>
      <c r="DG107" s="626">
        <v>0</v>
      </c>
      <c r="DH107" s="627">
        <f>SUM(DD107:DG107)</f>
      </c>
      <c r="DI107" s="626">
        <v>0</v>
      </c>
      <c r="DJ107" s="626">
        <v>0</v>
      </c>
      <c r="DK107" s="626">
        <v>0</v>
      </c>
      <c r="DL107" s="626">
        <v>0</v>
      </c>
      <c r="DM107" s="627">
        <f>SUM(DI107:DL107)</f>
      </c>
      <c r="DN107" s="626">
        <v>0</v>
      </c>
      <c r="DO107" s="626">
        <v>0</v>
      </c>
      <c r="DP107" s="626">
        <v>0</v>
      </c>
      <c r="DQ107" s="626">
        <v>0</v>
      </c>
      <c r="DR107" s="627">
        <f>SUM(DN107:DQ107)</f>
      </c>
      <c r="DS107" s="626">
        <v>0</v>
      </c>
      <c r="DT107" s="626">
        <v>0</v>
      </c>
      <c r="DU107" s="626">
        <v>0</v>
      </c>
      <c r="DV107" s="626">
        <v>0</v>
      </c>
      <c r="DW107" s="627">
        <f>SUM(DS107:DV107)</f>
      </c>
      <c r="DX107" s="626">
        <v>0</v>
      </c>
      <c r="DY107" s="626">
        <v>0</v>
      </c>
      <c r="DZ107" s="626">
        <v>0</v>
      </c>
      <c r="EA107" s="626">
        <v>0</v>
      </c>
      <c r="EB107" s="627">
        <f>SUM(DX107:EA107)</f>
      </c>
      <c r="EC107" s="626">
        <v>0</v>
      </c>
      <c r="ED107" s="626">
        <v>0</v>
      </c>
      <c r="EE107" s="626">
        <v>0</v>
      </c>
      <c r="EF107" s="626">
        <v>0</v>
      </c>
      <c r="EG107" s="627">
        <f>SUM(EC107:EF107)</f>
      </c>
      <c r="EH107" s="626">
        <v>0</v>
      </c>
      <c r="EI107" s="626">
        <v>0</v>
      </c>
      <c r="EJ107" s="626">
        <v>0</v>
      </c>
      <c r="EK107" s="626">
        <v>0</v>
      </c>
      <c r="EL107" s="627">
        <f>SUM(EH107:EK107)</f>
      </c>
      <c r="EM107" s="626">
        <v>0</v>
      </c>
      <c r="EN107" s="626">
        <v>0</v>
      </c>
      <c r="EO107" s="626">
        <v>0</v>
      </c>
      <c r="EP107" s="626">
        <v>0</v>
      </c>
      <c r="EQ107" s="627">
        <f>SUM(EM107:EP107)</f>
      </c>
      <c r="ER107" s="626">
        <v>0</v>
      </c>
      <c r="ES107" s="626">
        <v>0</v>
      </c>
      <c r="ET107" s="626">
        <v>0</v>
      </c>
      <c r="EU107" s="609">
        <v>0</v>
      </c>
      <c r="EV107" s="627">
        <f>SUM(ER107:EU107)</f>
      </c>
      <c r="EW107" s="629">
        <v>0</v>
      </c>
      <c r="EX107" s="626">
        <v>0</v>
      </c>
      <c r="EY107" s="629">
        <v>0</v>
      </c>
      <c r="EZ107" s="629">
        <v>0</v>
      </c>
      <c r="FA107" s="627">
        <f>SUM(EW107:EZ107)</f>
      </c>
      <c r="FB107" s="609">
        <f>FB110*FB38</f>
      </c>
      <c r="FC107" s="609">
        <f>FC110*FC38</f>
      </c>
      <c r="FD107" s="609">
        <f>FD110*FD38</f>
      </c>
      <c r="FE107" s="609">
        <f>FE110*FE38</f>
      </c>
      <c r="FF107" s="627">
        <f>SUM(FB107:FE107)</f>
      </c>
      <c r="FG107" s="609">
        <f>FG110*FG38</f>
      </c>
      <c r="FH107" s="609">
        <f>FH110*FH38</f>
      </c>
      <c r="FI107" s="609">
        <f>FI110*FI38</f>
      </c>
      <c r="FJ107" s="609">
        <f>FJ110*FJ38</f>
      </c>
      <c r="FK107" s="627">
        <f>SUM(FG107:FJ107)</f>
      </c>
      <c r="FL107" s="609">
        <f>FL110*FL38</f>
      </c>
      <c r="FM107" s="609">
        <f>FM110*FM38</f>
      </c>
      <c r="FN107" s="609">
        <f>FN110*FN38</f>
      </c>
      <c r="FO107" s="609">
        <f>FO110*FO38</f>
      </c>
      <c r="FP107" s="627">
        <f>SUM(FL107:FO107)</f>
      </c>
      <c r="FQ107" s="609">
        <f>FQ110*FQ38</f>
      </c>
      <c r="FR107" s="609">
        <f>FR110*FR38</f>
      </c>
      <c r="FS107" s="609">
        <f>FS110*FS38</f>
      </c>
      <c r="FT107" s="609">
        <f>FT110*FT38</f>
      </c>
      <c r="FU107" s="627">
        <f>SUM(FQ107:FT107)</f>
      </c>
      <c r="FV107" s="609">
        <f>FV110*FV38</f>
      </c>
      <c r="FW107" s="609">
        <f>FW110*FW38</f>
      </c>
      <c r="FX107" s="609">
        <f>FX110*FX38</f>
      </c>
      <c r="FY107" s="609">
        <f>FY110*FY38</f>
      </c>
      <c r="FZ107" s="627">
        <f>SUM(FV107:FY107)</f>
      </c>
      <c r="GA107" s="609">
        <f>GA110*GA38</f>
      </c>
      <c r="GB107" s="609">
        <f>GB110*GB38</f>
      </c>
      <c r="GC107" s="609">
        <f>GC110*GC38</f>
      </c>
      <c r="GD107" s="609">
        <f>GD110*GD38</f>
      </c>
      <c r="GE107" s="627">
        <f>SUM(GA107:GD107)</f>
      </c>
      <c r="GF107" s="609">
        <f>GF110*GF38</f>
      </c>
      <c r="GG107" s="609">
        <f>GG110*GG38</f>
      </c>
      <c r="GH107" s="609">
        <f>GH110*GH38</f>
      </c>
      <c r="GI107" s="609">
        <f>GI110*GI38</f>
      </c>
      <c r="GJ107" s="627">
        <f>SUM(GF107:GI107)</f>
      </c>
    </row>
    <row r="108" spans="1:192" ht="12.75" hidden="1" customHeight="1" outlineLevel="1">
      <c r="A108" s="791"/>
      <c r="B108" s="617" t="s">
        <v>34</v>
      </c>
      <c r="C108" s="291"/>
      <c r="D108" s="107"/>
      <c r="E108" s="107"/>
      <c r="F108" s="107"/>
      <c r="G108" s="536"/>
      <c r="H108" s="291" t="str">
        <f t="shared" ref="H108:AM108" si="238">IFERROR(H107/C107-1,"")</f>
      </c>
      <c r="I108" s="107" t="str">
        <f t="shared" si="238"/>
      </c>
      <c r="J108" s="107" t="str">
        <f t="shared" si="238"/>
      </c>
      <c r="K108" s="107" t="str">
        <f t="shared" si="238"/>
      </c>
      <c r="L108" s="292" t="str">
        <f t="shared" si="238"/>
      </c>
      <c r="M108" s="291" t="str">
        <f t="shared" si="238"/>
      </c>
      <c r="N108" s="107" t="str">
        <f t="shared" si="238"/>
      </c>
      <c r="O108" s="107" t="str">
        <f t="shared" si="238"/>
      </c>
      <c r="P108" s="107" t="str">
        <f t="shared" si="238"/>
      </c>
      <c r="Q108" s="292" t="str">
        <f t="shared" si="238"/>
      </c>
      <c r="R108" s="291" t="str">
        <f t="shared" si="238"/>
      </c>
      <c r="S108" s="107" t="str">
        <f t="shared" si="238"/>
      </c>
      <c r="T108" s="107" t="str">
        <f t="shared" si="238"/>
      </c>
      <c r="U108" s="107" t="str">
        <f t="shared" si="238"/>
      </c>
      <c r="V108" s="292" t="str">
        <f t="shared" si="238"/>
      </c>
      <c r="W108" s="291">
        <f t="shared" si="238"/>
      </c>
      <c r="X108" s="107" t="str">
        <f t="shared" si="238"/>
      </c>
      <c r="Y108" s="107" t="str">
        <f t="shared" si="238"/>
      </c>
      <c r="Z108" s="107" t="str">
        <f t="shared" si="238"/>
      </c>
      <c r="AA108" s="292">
        <f t="shared" si="238"/>
      </c>
      <c r="AB108" s="291">
        <f t="shared" si="238"/>
      </c>
      <c r="AC108" s="107">
        <f t="shared" si="238"/>
      </c>
      <c r="AD108" s="107">
        <f t="shared" si="238"/>
      </c>
      <c r="AE108" s="107">
        <f t="shared" si="238"/>
      </c>
      <c r="AF108" s="292">
        <f t="shared" si="238"/>
      </c>
      <c r="AG108" s="291">
        <f t="shared" si="238"/>
      </c>
      <c r="AH108" s="107">
        <f t="shared" si="238"/>
      </c>
      <c r="AI108" s="107">
        <f t="shared" si="238"/>
      </c>
      <c r="AJ108" s="107">
        <f t="shared" si="238"/>
      </c>
      <c r="AK108" s="292">
        <f t="shared" si="238"/>
      </c>
      <c r="AL108" s="291">
        <f t="shared" si="238"/>
      </c>
      <c r="AM108" s="107" t="str">
        <f t="shared" si="238"/>
      </c>
      <c r="AN108" s="107" t="str">
        <f t="shared" ref="AN108:BS108" si="239">IFERROR(AN107/AI107-1,"")</f>
      </c>
      <c r="AO108" s="107" t="str">
        <f t="shared" si="239"/>
      </c>
      <c r="AP108" s="292">
        <f t="shared" si="239"/>
      </c>
      <c r="AQ108" s="291" t="str">
        <f t="shared" si="239"/>
      </c>
      <c r="AR108" s="107" t="str">
        <f t="shared" si="239"/>
      </c>
      <c r="AS108" s="107" t="str">
        <f t="shared" si="239"/>
      </c>
      <c r="AT108" s="107" t="str">
        <f t="shared" si="239"/>
      </c>
      <c r="AU108" s="292" t="str">
        <f t="shared" si="239"/>
      </c>
      <c r="AV108" s="291" t="str">
        <f t="shared" si="239"/>
      </c>
      <c r="AW108" s="107" t="str">
        <f t="shared" si="239"/>
      </c>
      <c r="AX108" s="107" t="str">
        <f t="shared" si="239"/>
      </c>
      <c r="AY108" s="107" t="str">
        <f t="shared" si="239"/>
      </c>
      <c r="AZ108" s="292" t="str">
        <f t="shared" si="239"/>
      </c>
      <c r="BA108" s="291" t="str">
        <f t="shared" si="239"/>
      </c>
      <c r="BB108" s="107" t="str">
        <f t="shared" si="239"/>
      </c>
      <c r="BC108" s="107" t="str">
        <f t="shared" si="239"/>
      </c>
      <c r="BD108" s="107" t="str">
        <f t="shared" si="239"/>
      </c>
      <c r="BE108" s="292" t="str">
        <f t="shared" si="239"/>
      </c>
      <c r="BF108" s="291" t="str">
        <f t="shared" si="239"/>
      </c>
      <c r="BG108" s="107" t="str">
        <f t="shared" si="239"/>
      </c>
      <c r="BH108" s="107" t="str">
        <f t="shared" si="239"/>
      </c>
      <c r="BI108" s="107" t="str">
        <f t="shared" si="239"/>
      </c>
      <c r="BJ108" s="292" t="str">
        <f t="shared" si="239"/>
      </c>
      <c r="BK108" s="291" t="str">
        <f t="shared" si="239"/>
      </c>
      <c r="BL108" s="107" t="str">
        <f t="shared" si="239"/>
      </c>
      <c r="BM108" s="107" t="str">
        <f t="shared" si="239"/>
      </c>
      <c r="BN108" s="107" t="str">
        <f t="shared" si="239"/>
      </c>
      <c r="BO108" s="292" t="str">
        <f t="shared" si="239"/>
      </c>
      <c r="BP108" s="291" t="str">
        <f t="shared" si="239"/>
      </c>
      <c r="BQ108" s="107" t="str">
        <f t="shared" si="239"/>
      </c>
      <c r="BR108" s="107" t="str">
        <f t="shared" si="239"/>
      </c>
      <c r="BS108" s="107" t="str">
        <f t="shared" si="239"/>
      </c>
      <c r="BT108" s="292" t="str">
        <f t="shared" ref="BT108:CY108" si="240">IFERROR(BT107/BO107-1,"")</f>
      </c>
      <c r="BU108" s="291" t="str">
        <f t="shared" si="240"/>
      </c>
      <c r="BV108" s="107" t="str">
        <f t="shared" si="240"/>
      </c>
      <c r="BW108" s="107" t="str">
        <f t="shared" si="240"/>
      </c>
      <c r="BX108" s="107" t="str">
        <f t="shared" si="240"/>
      </c>
      <c r="BY108" s="292" t="str">
        <f t="shared" si="240"/>
      </c>
      <c r="BZ108" s="291" t="str">
        <f t="shared" si="240"/>
      </c>
      <c r="CA108" s="107" t="str">
        <f t="shared" si="240"/>
      </c>
      <c r="CB108" s="107" t="str">
        <f t="shared" si="240"/>
      </c>
      <c r="CC108" s="107" t="str">
        <f t="shared" si="240"/>
      </c>
      <c r="CD108" s="292" t="str">
        <f t="shared" si="240"/>
      </c>
      <c r="CE108" s="291" t="str">
        <f t="shared" si="240"/>
      </c>
      <c r="CF108" s="107" t="str">
        <f t="shared" si="240"/>
      </c>
      <c r="CG108" s="107" t="str">
        <f t="shared" si="240"/>
      </c>
      <c r="CH108" s="107" t="str">
        <f t="shared" si="240"/>
      </c>
      <c r="CI108" s="292" t="str">
        <f t="shared" si="240"/>
      </c>
      <c r="CJ108" s="291" t="str">
        <f t="shared" si="240"/>
      </c>
      <c r="CK108" s="107" t="str">
        <f t="shared" si="240"/>
      </c>
      <c r="CL108" s="107" t="str">
        <f t="shared" si="240"/>
      </c>
      <c r="CM108" s="107" t="str">
        <f t="shared" si="240"/>
      </c>
      <c r="CN108" s="292" t="str">
        <f t="shared" si="240"/>
      </c>
      <c r="CO108" s="291" t="str">
        <f t="shared" si="240"/>
      </c>
      <c r="CP108" s="107" t="str">
        <f t="shared" si="240"/>
      </c>
      <c r="CQ108" s="107" t="str">
        <f t="shared" si="240"/>
      </c>
      <c r="CR108" s="107" t="str">
        <f t="shared" si="240"/>
      </c>
      <c r="CS108" s="292" t="str">
        <f t="shared" si="240"/>
      </c>
      <c r="CT108" s="291" t="str">
        <f t="shared" si="240"/>
      </c>
      <c r="CU108" s="107" t="str">
        <f t="shared" si="240"/>
      </c>
      <c r="CV108" s="107" t="str">
        <f t="shared" si="240"/>
      </c>
      <c r="CW108" s="107" t="str">
        <f t="shared" si="240"/>
      </c>
      <c r="CX108" s="292" t="str">
        <f t="shared" si="240"/>
      </c>
      <c r="CY108" s="291" t="str">
        <f t="shared" si="240"/>
      </c>
      <c r="CZ108" s="107" t="str">
        <f t="shared" ref="CZ108:EE108" si="241">IFERROR(CZ107/CU107-1,"")</f>
      </c>
      <c r="DA108" s="107" t="str">
        <f t="shared" si="241"/>
      </c>
      <c r="DB108" s="107" t="str">
        <f t="shared" si="241"/>
      </c>
      <c r="DC108" s="292" t="str">
        <f t="shared" si="241"/>
      </c>
      <c r="DD108" s="291" t="str">
        <f t="shared" si="241"/>
      </c>
      <c r="DE108" s="107" t="str">
        <f t="shared" si="241"/>
      </c>
      <c r="DF108" s="107" t="str">
        <f t="shared" si="241"/>
      </c>
      <c r="DG108" s="107" t="str">
        <f t="shared" si="241"/>
      </c>
      <c r="DH108" s="292" t="str">
        <f t="shared" si="241"/>
      </c>
      <c r="DI108" s="291" t="str">
        <f t="shared" si="241"/>
      </c>
      <c r="DJ108" s="107" t="str">
        <f t="shared" si="241"/>
      </c>
      <c r="DK108" s="107" t="str">
        <f t="shared" si="241"/>
      </c>
      <c r="DL108" s="107" t="str">
        <f t="shared" si="241"/>
      </c>
      <c r="DM108" s="292" t="str">
        <f t="shared" si="241"/>
      </c>
      <c r="DN108" s="291" t="str">
        <f t="shared" si="241"/>
      </c>
      <c r="DO108" s="107" t="str">
        <f t="shared" si="241"/>
      </c>
      <c r="DP108" s="107" t="str">
        <f t="shared" si="241"/>
      </c>
      <c r="DQ108" s="107" t="str">
        <f t="shared" si="241"/>
      </c>
      <c r="DR108" s="292" t="str">
        <f t="shared" si="241"/>
      </c>
      <c r="DS108" s="291" t="str">
        <f t="shared" si="241"/>
      </c>
      <c r="DT108" s="107" t="str">
        <f t="shared" si="241"/>
      </c>
      <c r="DU108" s="107" t="str">
        <f t="shared" si="241"/>
      </c>
      <c r="DV108" s="107" t="str">
        <f t="shared" si="241"/>
      </c>
      <c r="DW108" s="292" t="str">
        <f t="shared" si="241"/>
      </c>
      <c r="DX108" s="291" t="str">
        <f t="shared" si="241"/>
      </c>
      <c r="DY108" s="107" t="str">
        <f t="shared" si="241"/>
      </c>
      <c r="DZ108" s="107" t="str">
        <f t="shared" si="241"/>
      </c>
      <c r="EA108" s="107" t="str">
        <f t="shared" si="241"/>
      </c>
      <c r="EB108" s="292" t="str">
        <f t="shared" si="241"/>
      </c>
      <c r="EC108" s="291" t="str">
        <f t="shared" si="241"/>
      </c>
      <c r="ED108" s="107" t="str">
        <f t="shared" si="241"/>
      </c>
      <c r="EE108" s="107" t="str">
        <f t="shared" si="241"/>
      </c>
      <c r="EF108" s="107" t="str">
        <f t="shared" ref="EF108:FK108" si="242">IFERROR(EF107/EA107-1,"")</f>
      </c>
      <c r="EG108" s="292" t="str">
        <f t="shared" si="242"/>
      </c>
      <c r="EH108" s="291" t="str">
        <f t="shared" si="242"/>
      </c>
      <c r="EI108" s="107" t="str">
        <f t="shared" si="242"/>
      </c>
      <c r="EJ108" s="107" t="str">
        <f t="shared" si="242"/>
      </c>
      <c r="EK108" s="107" t="str">
        <f t="shared" si="242"/>
      </c>
      <c r="EL108" s="292" t="str">
        <f t="shared" si="242"/>
      </c>
      <c r="EM108" s="291" t="str">
        <f t="shared" si="242"/>
      </c>
      <c r="EN108" s="107" t="str">
        <f t="shared" si="242"/>
      </c>
      <c r="EO108" s="107" t="str">
        <f t="shared" si="242"/>
      </c>
      <c r="EP108" s="107" t="str">
        <f t="shared" si="242"/>
      </c>
      <c r="EQ108" s="292" t="str">
        <f t="shared" si="242"/>
      </c>
      <c r="ER108" s="291" t="str">
        <f t="shared" si="242"/>
      </c>
      <c r="ES108" s="107" t="str">
        <f t="shared" si="242"/>
      </c>
      <c r="ET108" s="107" t="str">
        <f t="shared" si="242"/>
      </c>
      <c r="EU108" s="107" t="str">
        <f t="shared" si="242"/>
      </c>
      <c r="EV108" s="292" t="str">
        <f t="shared" si="242"/>
      </c>
      <c r="EW108" s="291" t="str">
        <f t="shared" si="242"/>
      </c>
      <c r="EX108" s="107" t="str">
        <f t="shared" si="242"/>
      </c>
      <c r="EY108" s="107" t="str">
        <f t="shared" si="242"/>
      </c>
      <c r="EZ108" s="468" t="str">
        <f t="shared" si="242"/>
      </c>
      <c r="FA108" s="292" t="str">
        <f t="shared" si="242"/>
      </c>
      <c r="FB108" s="291" t="str">
        <f t="shared" si="242"/>
      </c>
      <c r="FC108" s="107" t="str">
        <f t="shared" si="242"/>
      </c>
      <c r="FD108" s="107" t="str">
        <f t="shared" si="242"/>
      </c>
      <c r="FE108" s="107" t="str">
        <f t="shared" si="242"/>
      </c>
      <c r="FF108" s="292" t="str">
        <f t="shared" si="242"/>
      </c>
      <c r="FG108" s="291" t="str">
        <f t="shared" si="242"/>
      </c>
      <c r="FH108" s="107" t="str">
        <f t="shared" si="242"/>
      </c>
      <c r="FI108" s="107" t="str">
        <f t="shared" si="242"/>
      </c>
      <c r="FJ108" s="107" t="str">
        <f t="shared" si="242"/>
      </c>
      <c r="FK108" s="292" t="str">
        <f t="shared" si="242"/>
      </c>
      <c r="FL108" s="291" t="str">
        <f t="shared" ref="FL108:GE108" si="243">IFERROR(FL107/FG107-1,"")</f>
      </c>
      <c r="FM108" s="107" t="str">
        <f t="shared" si="243"/>
      </c>
      <c r="FN108" s="107" t="str">
        <f t="shared" si="243"/>
      </c>
      <c r="FO108" s="107" t="str">
        <f t="shared" si="243"/>
      </c>
      <c r="FP108" s="292" t="str">
        <f t="shared" si="243"/>
      </c>
      <c r="FQ108" s="291" t="str">
        <f t="shared" si="243"/>
      </c>
      <c r="FR108" s="107" t="str">
        <f t="shared" si="243"/>
      </c>
      <c r="FS108" s="107" t="str">
        <f t="shared" si="243"/>
      </c>
      <c r="FT108" s="107" t="str">
        <f t="shared" si="243"/>
      </c>
      <c r="FU108" s="292" t="str">
        <f t="shared" si="243"/>
      </c>
      <c r="FV108" s="291" t="str">
        <f t="shared" si="243"/>
      </c>
      <c r="FW108" s="107" t="str">
        <f t="shared" si="243"/>
      </c>
      <c r="FX108" s="107" t="str">
        <f t="shared" si="243"/>
      </c>
      <c r="FY108" s="107" t="str">
        <f t="shared" si="243"/>
      </c>
      <c r="FZ108" s="292" t="str">
        <f t="shared" si="243"/>
      </c>
      <c r="GA108" s="291" t="str">
        <f t="shared" si="243"/>
      </c>
      <c r="GB108" s="107" t="str">
        <f t="shared" si="243"/>
      </c>
      <c r="GC108" s="107" t="str">
        <f t="shared" si="243"/>
      </c>
      <c r="GD108" s="107" t="str">
        <f t="shared" si="243"/>
      </c>
      <c r="GE108" s="292" t="str">
        <f t="shared" si="243"/>
      </c>
      <c r="GF108" s="291" t="str">
        <f t="shared" ref="GF108" si="244">IFERROR(GF107/GA107-1,"")</f>
      </c>
      <c r="GG108" s="107" t="str">
        <f t="shared" ref="GG108" si="245">IFERROR(GG107/GB107-1,"")</f>
      </c>
      <c r="GH108" s="107" t="str">
        <f t="shared" ref="GH108" si="246">IFERROR(GH107/GC107-1,"")</f>
      </c>
      <c r="GI108" s="107" t="str">
        <f t="shared" ref="GI108" si="247">IFERROR(GI107/GD107-1,"")</f>
      </c>
      <c r="GJ108" s="292" t="str">
        <f t="shared" ref="GJ108" si="248">IFERROR(GJ107/GE107-1,"")</f>
      </c>
    </row>
    <row r="109" spans="1:192" ht="12.75" hidden="1" customHeight="1" outlineLevel="1">
      <c r="A109" s="792"/>
      <c r="B109" s="617" t="s">
        <v>36</v>
      </c>
      <c r="C109" s="291"/>
      <c r="D109" s="137"/>
      <c r="E109" s="137"/>
      <c r="F109" s="137"/>
      <c r="G109" s="538"/>
      <c r="H109" s="291" t="str">
        <f>IFERROR(H107/F107-1,"")</f>
      </c>
      <c r="I109" s="107" t="str">
        <f>IFERROR(I107/H107-1,"")</f>
      </c>
      <c r="J109" s="107" t="str">
        <f>IFERROR(J107/I107-1,"")</f>
      </c>
      <c r="K109" s="107" t="str">
        <f>IFERROR(K107/J107-1,"")</f>
      </c>
      <c r="L109" s="293"/>
      <c r="M109" s="291" t="str">
        <f>IFERROR(M107/K107-1,"")</f>
      </c>
      <c r="N109" s="107" t="str">
        <f>IFERROR(N107/M107-1,"")</f>
      </c>
      <c r="O109" s="107" t="str">
        <f>IFERROR(O107/N107-1,"")</f>
      </c>
      <c r="P109" s="107" t="str">
        <f>IFERROR(P107/O107-1,"")</f>
      </c>
      <c r="Q109" s="293"/>
      <c r="R109" s="291" t="str">
        <f>IFERROR(R107/P107-1,"")</f>
      </c>
      <c r="S109" s="107">
        <f>IFERROR(S107/R107-1,"")</f>
      </c>
      <c r="T109" s="107" t="str">
        <f>IFERROR(T107/S107-1,"")</f>
      </c>
      <c r="U109" s="107" t="str">
        <f>IFERROR(U107/T107-1,"")</f>
      </c>
      <c r="V109" s="293"/>
      <c r="W109" s="291" t="str">
        <f>IFERROR(W107/U107-1,"")</f>
      </c>
      <c r="X109" s="107">
        <f>IFERROR(X107/W107-1,"")</f>
      </c>
      <c r="Y109" s="107">
        <f>IFERROR(Y107/X107-1,"")</f>
      </c>
      <c r="Z109" s="107">
        <f>IFERROR(Z107/Y107-1,"")</f>
      </c>
      <c r="AA109" s="293"/>
      <c r="AB109" s="291">
        <f>IFERROR(AB107/Z107-1,"")</f>
      </c>
      <c r="AC109" s="107">
        <f>IFERROR(AC107/AB107-1,"")</f>
      </c>
      <c r="AD109" s="107">
        <f>IFERROR(AD107/AC107-1,"")</f>
      </c>
      <c r="AE109" s="107">
        <f>IFERROR(AE107/AD107-1,"")</f>
      </c>
      <c r="AF109" s="293"/>
      <c r="AG109" s="291">
        <f>IFERROR(AG107/AE107-1,"")</f>
      </c>
      <c r="AH109" s="107">
        <f>IFERROR(AH107/AG107-1,"")</f>
      </c>
      <c r="AI109" s="107" t="str">
        <f>IFERROR(AI107/AH107-1,"")</f>
      </c>
      <c r="AJ109" s="107" t="str">
        <f>IFERROR(AJ107/AI107-1,"")</f>
      </c>
      <c r="AK109" s="293"/>
      <c r="AL109" s="291" t="str">
        <f>IFERROR(AL107/AJ107-1,"")</f>
      </c>
      <c r="AM109" s="107" t="str">
        <f>IFERROR(AM107/AL107-1,"")</f>
      </c>
      <c r="AN109" s="107" t="str">
        <f>IFERROR(AN107/AM107-1,"")</f>
      </c>
      <c r="AO109" s="107" t="str">
        <f>IFERROR(AO107/AN107-1,"")</f>
      </c>
      <c r="AP109" s="293"/>
      <c r="AQ109" s="291" t="str">
        <f>IFERROR(AQ107/AO107-1,"")</f>
      </c>
      <c r="AR109" s="107" t="str">
        <f>IFERROR(AR107/AQ107-1,"")</f>
      </c>
      <c r="AS109" s="107" t="str">
        <f>IFERROR(AS107/AR107-1,"")</f>
      </c>
      <c r="AT109" s="107" t="str">
        <f>IFERROR(AT107/AS107-1,"")</f>
      </c>
      <c r="AU109" s="293"/>
      <c r="AV109" s="291" t="str">
        <f>IFERROR(AV107/AT107-1,"")</f>
      </c>
      <c r="AW109" s="107" t="str">
        <f>IFERROR(AW107/AV107-1,"")</f>
      </c>
      <c r="AX109" s="107" t="str">
        <f>IFERROR(AX107/AW107-1,"")</f>
      </c>
      <c r="AY109" s="107" t="str">
        <f>IFERROR(AY107/AX107-1,"")</f>
      </c>
      <c r="AZ109" s="293"/>
      <c r="BA109" s="291" t="str">
        <f>IFERROR(BA107/AY107-1,"")</f>
      </c>
      <c r="BB109" s="107" t="str">
        <f>IFERROR(BB107/BA107-1,"")</f>
      </c>
      <c r="BC109" s="107" t="str">
        <f>IFERROR(BC107/BB107-1,"")</f>
      </c>
      <c r="BD109" s="107" t="str">
        <f>IFERROR(BD107/BC107-1,"")</f>
      </c>
      <c r="BE109" s="293"/>
      <c r="BF109" s="291" t="str">
        <f>IFERROR(BF107/BD107-1,"")</f>
      </c>
      <c r="BG109" s="107" t="str">
        <f>IFERROR(BG107/BF107-1,"")</f>
      </c>
      <c r="BH109" s="107" t="str">
        <f>IFERROR(BH107/BG107-1,"")</f>
      </c>
      <c r="BI109" s="107" t="str">
        <f>IFERROR(BI107/BH107-1,"")</f>
      </c>
      <c r="BJ109" s="293"/>
      <c r="BK109" s="291" t="str">
        <f>IFERROR(BK107/BI107-1,"")</f>
      </c>
      <c r="BL109" s="107" t="str">
        <f>IFERROR(BL107/BK107-1,"")</f>
      </c>
      <c r="BM109" s="107" t="str">
        <f>IFERROR(BM107/BL107-1,"")</f>
      </c>
      <c r="BN109" s="107" t="str">
        <f>IFERROR(BN107/BM107-1,"")</f>
      </c>
      <c r="BO109" s="293"/>
      <c r="BP109" s="291" t="str">
        <f>IFERROR(BP107/BN107-1,"")</f>
      </c>
      <c r="BQ109" s="107" t="str">
        <f>IFERROR(BQ107/BP107-1,"")</f>
      </c>
      <c r="BR109" s="107" t="str">
        <f>IFERROR(BR107/BQ107-1,"")</f>
      </c>
      <c r="BS109" s="107" t="str">
        <f>IFERROR(BS107/BR107-1,"")</f>
      </c>
      <c r="BT109" s="293"/>
      <c r="BU109" s="291" t="str">
        <f>IFERROR(BU107/BS107-1,"")</f>
      </c>
      <c r="BV109" s="107" t="str">
        <f>IFERROR(BV107/BU107-1,"")</f>
      </c>
      <c r="BW109" s="107" t="str">
        <f>IFERROR(BW107/BV107-1,"")</f>
      </c>
      <c r="BX109" s="107" t="str">
        <f>IFERROR(BX107/BW107-1,"")</f>
      </c>
      <c r="BY109" s="293"/>
      <c r="BZ109" s="291" t="str">
        <f>IFERROR(BZ107/BX107-1,"")</f>
      </c>
      <c r="CA109" s="107" t="str">
        <f>IFERROR(CA107/BZ107-1,"")</f>
      </c>
      <c r="CB109" s="107" t="str">
        <f>IFERROR(CB107/CA107-1,"")</f>
      </c>
      <c r="CC109" s="107" t="str">
        <f>IFERROR(CC107/CB107-1,"")</f>
      </c>
      <c r="CD109" s="293"/>
      <c r="CE109" s="291" t="str">
        <f>IFERROR(CE107/CC107-1,"")</f>
      </c>
      <c r="CF109" s="107" t="str">
        <f>IFERROR(CF107/CE107-1,"")</f>
      </c>
      <c r="CG109" s="107" t="str">
        <f>IFERROR(CG107/CF107-1,"")</f>
      </c>
      <c r="CH109" s="107" t="str">
        <f>IFERROR(CH107/CG107-1,"")</f>
      </c>
      <c r="CI109" s="293"/>
      <c r="CJ109" s="291" t="str">
        <f>IFERROR(CJ107/CH107-1,"")</f>
      </c>
      <c r="CK109" s="107" t="str">
        <f>IFERROR(CK107/CJ107-1,"")</f>
      </c>
      <c r="CL109" s="107" t="str">
        <f>IFERROR(CL107/CK107-1,"")</f>
      </c>
      <c r="CM109" s="107" t="str">
        <f>IFERROR(CM107/CL107-1,"")</f>
      </c>
      <c r="CN109" s="293"/>
      <c r="CO109" s="291" t="str">
        <f>IFERROR(CO107/CM107-1,"")</f>
      </c>
      <c r="CP109" s="107" t="str">
        <f>IFERROR(CP107/CO107-1,"")</f>
      </c>
      <c r="CQ109" s="107" t="str">
        <f>IFERROR(CQ107/CP107-1,"")</f>
      </c>
      <c r="CR109" s="107" t="str">
        <f>IFERROR(CR107/CQ107-1,"")</f>
      </c>
      <c r="CS109" s="293"/>
      <c r="CT109" s="291" t="str">
        <f>IFERROR(CT107/CR107-1,"")</f>
      </c>
      <c r="CU109" s="107" t="str">
        <f>IFERROR(CU107/CT107-1,"")</f>
      </c>
      <c r="CV109" s="107" t="str">
        <f>IFERROR(CV107/CU107-1,"")</f>
      </c>
      <c r="CW109" s="107" t="str">
        <f>IFERROR(CW107/CV107-1,"")</f>
      </c>
      <c r="CX109" s="293"/>
      <c r="CY109" s="291" t="str">
        <f>IFERROR(CY107/CW107-1,"")</f>
      </c>
      <c r="CZ109" s="107" t="str">
        <f>IFERROR(CZ107/CY107-1,"")</f>
      </c>
      <c r="DA109" s="107" t="str">
        <f>IFERROR(DA107/CZ107-1,"")</f>
      </c>
      <c r="DB109" s="107" t="str">
        <f>IFERROR(DB107/DA107-1,"")</f>
      </c>
      <c r="DC109" s="293"/>
      <c r="DD109" s="291" t="str">
        <f>IFERROR(DD107/DB107-1,"")</f>
      </c>
      <c r="DE109" s="107" t="str">
        <f>IFERROR(DE107/DD107-1,"")</f>
      </c>
      <c r="DF109" s="107" t="str">
        <f>IFERROR(DF107/DE107-1,"")</f>
      </c>
      <c r="DG109" s="107" t="str">
        <f>IFERROR(DG107/DF107-1,"")</f>
      </c>
      <c r="DH109" s="293"/>
      <c r="DI109" s="291" t="str">
        <f>IFERROR(DI107/DG107-1,"")</f>
      </c>
      <c r="DJ109" s="107" t="str">
        <f>IFERROR(DJ107/DI107-1,"")</f>
      </c>
      <c r="DK109" s="107" t="str">
        <f>IFERROR(DK107/DJ107-1,"")</f>
      </c>
      <c r="DL109" s="107" t="str">
        <f>IFERROR(DL107/DK107-1,"")</f>
      </c>
      <c r="DM109" s="293"/>
      <c r="DN109" s="291" t="str">
        <f>IFERROR(DN107/DL107-1,"")</f>
      </c>
      <c r="DO109" s="107" t="str">
        <f>IFERROR(DO107/DN107-1,"")</f>
      </c>
      <c r="DP109" s="107" t="str">
        <f>IFERROR(DP107/DO107-1,"")</f>
      </c>
      <c r="DQ109" s="107" t="str">
        <f>IFERROR(DQ107/DP107-1,"")</f>
      </c>
      <c r="DR109" s="293"/>
      <c r="DS109" s="291" t="str">
        <f>IFERROR(DS107/DQ107-1,"")</f>
      </c>
      <c r="DT109" s="107" t="str">
        <f>IFERROR(DT107/DS107-1,"")</f>
      </c>
      <c r="DU109" s="107" t="str">
        <f>IFERROR(DU107/DT107-1,"")</f>
      </c>
      <c r="DV109" s="107" t="str">
        <f>IFERROR(DV107/DU107-1,"")</f>
      </c>
      <c r="DW109" s="293"/>
      <c r="DX109" s="291" t="str">
        <f>IFERROR(DX107/DV107-1,"")</f>
      </c>
      <c r="DY109" s="107" t="str">
        <f>IFERROR(DY107/DX107-1,"")</f>
      </c>
      <c r="DZ109" s="107" t="str">
        <f>IFERROR(DZ107/DY107-1,"")</f>
      </c>
      <c r="EA109" s="107" t="str">
        <f>IFERROR(EA107/DZ107-1,"")</f>
      </c>
      <c r="EB109" s="293"/>
      <c r="EC109" s="291" t="str">
        <f>IFERROR(EC107/EA107-1,"")</f>
      </c>
      <c r="ED109" s="107" t="str">
        <f>IFERROR(ED107/EC107-1,"")</f>
      </c>
      <c r="EE109" s="107" t="str">
        <f>IFERROR(EE107/ED107-1,"")</f>
      </c>
      <c r="EF109" s="107" t="str">
        <f>IFERROR(EF107/EE107-1,"")</f>
      </c>
      <c r="EG109" s="293"/>
      <c r="EH109" s="291" t="str">
        <f>IFERROR(EH107/EF107-1,"")</f>
      </c>
      <c r="EI109" s="107" t="str">
        <f>IFERROR(EI107/EH107-1,"")</f>
      </c>
      <c r="EJ109" s="107" t="str">
        <f>IFERROR(EJ107/EI107-1,"")</f>
      </c>
      <c r="EK109" s="107" t="str">
        <f>IFERROR(EK107/EJ107-1,"")</f>
      </c>
      <c r="EL109" s="293"/>
      <c r="EM109" s="291" t="str">
        <f>IFERROR(EM107/EK107-1,"")</f>
      </c>
      <c r="EN109" s="107" t="str">
        <f>IFERROR(EN107/EM107-1,"")</f>
      </c>
      <c r="EO109" s="107" t="str">
        <f>IFERROR(EO107/EN107-1,"")</f>
      </c>
      <c r="EP109" s="107" t="str">
        <f>IFERROR(EP107/EO107-1,"")</f>
      </c>
      <c r="EQ109" s="293"/>
      <c r="ER109" s="291" t="str">
        <f>IFERROR(ER107/EP107-1,"")</f>
      </c>
      <c r="ES109" s="107" t="str">
        <f>IFERROR(ES107/ER107-1,"")</f>
      </c>
      <c r="ET109" s="107" t="str">
        <f>IFERROR(ET107/ES107-1,"")</f>
      </c>
      <c r="EU109" s="107" t="str">
        <f>IFERROR(EU107/ET107-1,"")</f>
      </c>
      <c r="EV109" s="293"/>
      <c r="EW109" s="291" t="str">
        <f>IFERROR(EW107/EU107-1,"")</f>
      </c>
      <c r="EX109" s="107" t="str">
        <f>IFERROR(EX107/EW107-1,"")</f>
      </c>
      <c r="EY109" s="107" t="str">
        <f>IFERROR(EY107/EX107-1,"")</f>
      </c>
      <c r="EZ109" s="468" t="str">
        <f>IFERROR(EZ107/EY107-1,"")</f>
      </c>
      <c r="FA109" s="293"/>
      <c r="FB109" s="291" t="str">
        <f>IFERROR(FB107/EZ107-1,"")</f>
      </c>
      <c r="FC109" s="107" t="str">
        <f>IFERROR(FC107/FB107-1,"")</f>
      </c>
      <c r="FD109" s="107" t="str">
        <f>IFERROR(FD107/FC107-1,"")</f>
      </c>
      <c r="FE109" s="107" t="str">
        <f>IFERROR(FE107/FD107-1,"")</f>
      </c>
      <c r="FF109" s="293"/>
      <c r="FG109" s="291" t="str">
        <f>IFERROR(FG107/FE107-1,"")</f>
      </c>
      <c r="FH109" s="107" t="str">
        <f>IFERROR(FH107/FG107-1,"")</f>
      </c>
      <c r="FI109" s="107" t="str">
        <f>IFERROR(FI107/FH107-1,"")</f>
      </c>
      <c r="FJ109" s="107" t="str">
        <f>IFERROR(FJ107/FI107-1,"")</f>
      </c>
      <c r="FK109" s="293"/>
      <c r="FL109" s="291" t="str">
        <f>IFERROR(FL107/FJ107-1,"")</f>
      </c>
      <c r="FM109" s="107" t="str">
        <f>IFERROR(FM107/FL107-1,"")</f>
      </c>
      <c r="FN109" s="107" t="str">
        <f>IFERROR(FN107/FM107-1,"")</f>
      </c>
      <c r="FO109" s="107" t="str">
        <f>IFERROR(FO107/FN107-1,"")</f>
      </c>
      <c r="FP109" s="293"/>
      <c r="FQ109" s="291" t="str">
        <f>IFERROR(FQ107/FO107-1,"")</f>
      </c>
      <c r="FR109" s="107" t="str">
        <f>IFERROR(FR107/FQ107-1,"")</f>
      </c>
      <c r="FS109" s="107" t="str">
        <f>IFERROR(FS107/FR107-1,"")</f>
      </c>
      <c r="FT109" s="107" t="str">
        <f>IFERROR(FT107/FS107-1,"")</f>
      </c>
      <c r="FU109" s="293"/>
      <c r="FV109" s="291" t="str">
        <f>IFERROR(FV107/FT107-1,"")</f>
      </c>
      <c r="FW109" s="107" t="str">
        <f>IFERROR(FW107/FV107-1,"")</f>
      </c>
      <c r="FX109" s="107" t="str">
        <f>IFERROR(FX107/FW107-1,"")</f>
      </c>
      <c r="FY109" s="107" t="str">
        <f>IFERROR(FY107/FX107-1,"")</f>
      </c>
      <c r="FZ109" s="293"/>
      <c r="GA109" s="291" t="str">
        <f>IFERROR(GA107/FY107-1,"")</f>
      </c>
      <c r="GB109" s="107" t="str">
        <f>IFERROR(GB107/GA107-1,"")</f>
      </c>
      <c r="GC109" s="107" t="str">
        <f>IFERROR(GC107/GB107-1,"")</f>
      </c>
      <c r="GD109" s="107" t="str">
        <f>IFERROR(GD107/GC107-1,"")</f>
      </c>
      <c r="GE109" s="293"/>
      <c r="GF109" s="291" t="str">
        <f>IFERROR(GF107/GD107-1,"")</f>
      </c>
      <c r="GG109" s="107" t="str">
        <f>IFERROR(GG107/GF107-1,"")</f>
      </c>
      <c r="GH109" s="107" t="str">
        <f>IFERROR(GH107/GG107-1,"")</f>
      </c>
      <c r="GI109" s="107" t="str">
        <f>IFERROR(GI107/GH107-1,"")</f>
      </c>
      <c r="GJ109" s="293"/>
    </row>
    <row r="110" spans="1:192" ht="12.75" hidden="1" customHeight="1" outlineLevel="1">
      <c r="A110" s="792"/>
      <c r="B110" s="617" t="s">
        <v>257</v>
      </c>
      <c r="C110" s="107">
        <f t="shared" ref="C110:BN110" si="249">IFERROR(C107/C$24,"")</f>
      </c>
      <c r="D110" s="107">
        <f t="shared" si="249"/>
      </c>
      <c r="E110" s="107">
        <f t="shared" si="249"/>
      </c>
      <c r="F110" s="107">
        <f t="shared" si="249"/>
      </c>
      <c r="G110" s="292">
        <f t="shared" si="249"/>
      </c>
      <c r="H110" s="107">
        <f t="shared" si="249"/>
      </c>
      <c r="I110" s="107">
        <f t="shared" si="249"/>
      </c>
      <c r="J110" s="107">
        <f t="shared" si="249"/>
      </c>
      <c r="K110" s="107">
        <f t="shared" si="249"/>
      </c>
      <c r="L110" s="292">
        <f t="shared" si="249"/>
      </c>
      <c r="M110" s="107">
        <f t="shared" si="249"/>
      </c>
      <c r="N110" s="107">
        <f t="shared" si="249"/>
      </c>
      <c r="O110" s="107">
        <f t="shared" si="249"/>
      </c>
      <c r="P110" s="107">
        <f t="shared" si="249"/>
      </c>
      <c r="Q110" s="292">
        <f t="shared" si="249"/>
      </c>
      <c r="R110" s="107">
        <f t="shared" si="249"/>
      </c>
      <c r="S110" s="107">
        <f t="shared" si="249"/>
      </c>
      <c r="T110" s="107">
        <f t="shared" si="249"/>
      </c>
      <c r="U110" s="107">
        <f t="shared" si="249"/>
      </c>
      <c r="V110" s="292">
        <f t="shared" si="249"/>
      </c>
      <c r="W110" s="107">
        <f t="shared" si="249"/>
      </c>
      <c r="X110" s="107">
        <f t="shared" si="249"/>
      </c>
      <c r="Y110" s="107">
        <f t="shared" si="249"/>
      </c>
      <c r="Z110" s="107">
        <f t="shared" si="249"/>
      </c>
      <c r="AA110" s="292">
        <f t="shared" si="249"/>
      </c>
      <c r="AB110" s="107">
        <f t="shared" si="249"/>
      </c>
      <c r="AC110" s="107">
        <f t="shared" si="249"/>
      </c>
      <c r="AD110" s="107">
        <f t="shared" si="249"/>
      </c>
      <c r="AE110" s="107">
        <f t="shared" si="249"/>
      </c>
      <c r="AF110" s="292">
        <f t="shared" si="249"/>
      </c>
      <c r="AG110" s="107">
        <f t="shared" si="249"/>
      </c>
      <c r="AH110" s="107">
        <f t="shared" si="249"/>
      </c>
      <c r="AI110" s="107">
        <f t="shared" si="249"/>
      </c>
      <c r="AJ110" s="107">
        <f t="shared" si="249"/>
      </c>
      <c r="AK110" s="292">
        <f t="shared" si="249"/>
      </c>
      <c r="AL110" s="107">
        <f t="shared" si="249"/>
      </c>
      <c r="AM110" s="107">
        <f t="shared" si="249"/>
      </c>
      <c r="AN110" s="107">
        <f t="shared" si="249"/>
      </c>
      <c r="AO110" s="107">
        <f t="shared" si="249"/>
      </c>
      <c r="AP110" s="292">
        <f t="shared" si="249"/>
      </c>
      <c r="AQ110" s="107">
        <f t="shared" si="249"/>
      </c>
      <c r="AR110" s="107">
        <f t="shared" si="249"/>
      </c>
      <c r="AS110" s="107">
        <f t="shared" si="249"/>
      </c>
      <c r="AT110" s="107">
        <f t="shared" si="249"/>
      </c>
      <c r="AU110" s="292">
        <f t="shared" si="249"/>
      </c>
      <c r="AV110" s="107">
        <f t="shared" si="249"/>
      </c>
      <c r="AW110" s="107">
        <f t="shared" si="249"/>
      </c>
      <c r="AX110" s="107">
        <f t="shared" si="249"/>
      </c>
      <c r="AY110" s="107">
        <f t="shared" si="249"/>
      </c>
      <c r="AZ110" s="292">
        <f t="shared" si="249"/>
      </c>
      <c r="BA110" s="107">
        <f t="shared" si="249"/>
      </c>
      <c r="BB110" s="107">
        <f t="shared" si="249"/>
      </c>
      <c r="BC110" s="107">
        <f t="shared" si="249"/>
      </c>
      <c r="BD110" s="107">
        <f t="shared" si="249"/>
      </c>
      <c r="BE110" s="292">
        <f t="shared" si="249"/>
      </c>
      <c r="BF110" s="107">
        <f t="shared" si="249"/>
      </c>
      <c r="BG110" s="107">
        <f t="shared" si="249"/>
      </c>
      <c r="BH110" s="107">
        <f t="shared" si="249"/>
      </c>
      <c r="BI110" s="107">
        <f t="shared" si="249"/>
      </c>
      <c r="BJ110" s="292">
        <f t="shared" si="249"/>
      </c>
      <c r="BK110" s="107">
        <f t="shared" si="249"/>
      </c>
      <c r="BL110" s="107">
        <f t="shared" si="249"/>
      </c>
      <c r="BM110" s="107">
        <f t="shared" si="249"/>
      </c>
      <c r="BN110" s="107">
        <f t="shared" si="249"/>
      </c>
      <c r="BO110" s="292">
        <f t="shared" ref="BO110:DZ110" si="250">IFERROR(BO107/BO$24,"")</f>
      </c>
      <c r="BP110" s="107">
        <f t="shared" si="250"/>
      </c>
      <c r="BQ110" s="107">
        <f t="shared" si="250"/>
      </c>
      <c r="BR110" s="107">
        <f t="shared" si="250"/>
      </c>
      <c r="BS110" s="107">
        <f t="shared" si="250"/>
      </c>
      <c r="BT110" s="292">
        <f t="shared" si="250"/>
      </c>
      <c r="BU110" s="107">
        <f t="shared" si="250"/>
      </c>
      <c r="BV110" s="107">
        <f t="shared" si="250"/>
      </c>
      <c r="BW110" s="107">
        <f t="shared" si="250"/>
      </c>
      <c r="BX110" s="107">
        <f t="shared" si="250"/>
      </c>
      <c r="BY110" s="292">
        <f t="shared" si="250"/>
      </c>
      <c r="BZ110" s="107">
        <f t="shared" si="250"/>
      </c>
      <c r="CA110" s="107">
        <f t="shared" si="250"/>
      </c>
      <c r="CB110" s="107">
        <f t="shared" si="250"/>
      </c>
      <c r="CC110" s="107">
        <f t="shared" si="250"/>
      </c>
      <c r="CD110" s="292">
        <f t="shared" si="250"/>
      </c>
      <c r="CE110" s="107">
        <f t="shared" si="250"/>
      </c>
      <c r="CF110" s="107">
        <f t="shared" si="250"/>
      </c>
      <c r="CG110" s="107">
        <f t="shared" si="250"/>
      </c>
      <c r="CH110" s="107">
        <f t="shared" si="250"/>
      </c>
      <c r="CI110" s="292">
        <f t="shared" si="250"/>
      </c>
      <c r="CJ110" s="107">
        <f t="shared" si="250"/>
      </c>
      <c r="CK110" s="107">
        <f t="shared" si="250"/>
      </c>
      <c r="CL110" s="107">
        <f t="shared" si="250"/>
      </c>
      <c r="CM110" s="107">
        <f t="shared" si="250"/>
      </c>
      <c r="CN110" s="292">
        <f t="shared" si="250"/>
      </c>
      <c r="CO110" s="107">
        <f t="shared" si="250"/>
      </c>
      <c r="CP110" s="107">
        <f t="shared" si="250"/>
      </c>
      <c r="CQ110" s="107">
        <f t="shared" si="250"/>
      </c>
      <c r="CR110" s="107">
        <f t="shared" si="250"/>
      </c>
      <c r="CS110" s="292">
        <f t="shared" si="250"/>
      </c>
      <c r="CT110" s="107">
        <f t="shared" si="250"/>
      </c>
      <c r="CU110" s="107">
        <f t="shared" si="250"/>
      </c>
      <c r="CV110" s="107">
        <f t="shared" si="250"/>
      </c>
      <c r="CW110" s="107">
        <f t="shared" si="250"/>
      </c>
      <c r="CX110" s="292">
        <f t="shared" si="250"/>
      </c>
      <c r="CY110" s="107">
        <f t="shared" si="250"/>
      </c>
      <c r="CZ110" s="107">
        <f t="shared" si="250"/>
      </c>
      <c r="DA110" s="107">
        <f t="shared" si="250"/>
      </c>
      <c r="DB110" s="107">
        <f t="shared" si="250"/>
      </c>
      <c r="DC110" s="292">
        <f t="shared" si="250"/>
      </c>
      <c r="DD110" s="107">
        <f t="shared" si="250"/>
      </c>
      <c r="DE110" s="107">
        <f t="shared" si="250"/>
      </c>
      <c r="DF110" s="107">
        <f t="shared" si="250"/>
      </c>
      <c r="DG110" s="107">
        <f t="shared" si="250"/>
      </c>
      <c r="DH110" s="292">
        <f t="shared" si="250"/>
      </c>
      <c r="DI110" s="107">
        <f t="shared" si="250"/>
      </c>
      <c r="DJ110" s="107">
        <f t="shared" si="250"/>
      </c>
      <c r="DK110" s="107">
        <f t="shared" si="250"/>
      </c>
      <c r="DL110" s="107">
        <f t="shared" si="250"/>
      </c>
      <c r="DM110" s="292">
        <f t="shared" si="250"/>
      </c>
      <c r="DN110" s="107">
        <f t="shared" si="250"/>
      </c>
      <c r="DO110" s="107">
        <f t="shared" si="250"/>
      </c>
      <c r="DP110" s="107">
        <f t="shared" si="250"/>
      </c>
      <c r="DQ110" s="107">
        <f t="shared" si="250"/>
      </c>
      <c r="DR110" s="292">
        <f t="shared" si="250"/>
      </c>
      <c r="DS110" s="107">
        <f t="shared" si="250"/>
      </c>
      <c r="DT110" s="107">
        <f t="shared" si="250"/>
      </c>
      <c r="DU110" s="107">
        <f t="shared" si="250"/>
      </c>
      <c r="DV110" s="107">
        <f t="shared" si="250"/>
      </c>
      <c r="DW110" s="292">
        <f t="shared" si="250"/>
      </c>
      <c r="DX110" s="107">
        <f t="shared" si="250"/>
      </c>
      <c r="DY110" s="107">
        <f t="shared" si="250"/>
      </c>
      <c r="DZ110" s="107">
        <f t="shared" si="250"/>
      </c>
      <c r="EA110" s="107">
        <f t="shared" ref="EA110:EW110" si="251">IFERROR(EA107/EA$24,"")</f>
      </c>
      <c r="EB110" s="292">
        <f t="shared" si="251"/>
      </c>
      <c r="EC110" s="107">
        <f t="shared" si="251"/>
      </c>
      <c r="ED110" s="107">
        <f t="shared" si="251"/>
      </c>
      <c r="EE110" s="107">
        <f t="shared" si="251"/>
      </c>
      <c r="EF110" s="107">
        <f t="shared" si="251"/>
      </c>
      <c r="EG110" s="292">
        <f t="shared" si="251"/>
      </c>
      <c r="EH110" s="107">
        <f t="shared" si="251"/>
      </c>
      <c r="EI110" s="107">
        <f t="shared" si="251"/>
      </c>
      <c r="EJ110" s="107">
        <f t="shared" si="251"/>
      </c>
      <c r="EK110" s="107">
        <f t="shared" si="251"/>
      </c>
      <c r="EL110" s="292">
        <f t="shared" si="251"/>
      </c>
      <c r="EM110" s="107">
        <f t="shared" si="251"/>
      </c>
      <c r="EN110" s="107">
        <f t="shared" si="251"/>
      </c>
      <c r="EO110" s="107">
        <f t="shared" si="251"/>
      </c>
      <c r="EP110" s="107">
        <f t="shared" si="251"/>
      </c>
      <c r="EQ110" s="292">
        <f t="shared" si="251"/>
      </c>
      <c r="ER110" s="107">
        <f t="shared" si="251"/>
      </c>
      <c r="ES110" s="107">
        <f t="shared" si="251"/>
      </c>
      <c r="ET110" s="107">
        <f t="shared" si="251"/>
      </c>
      <c r="EU110" s="107">
        <f t="shared" si="251"/>
      </c>
      <c r="EV110" s="292">
        <f t="shared" si="251"/>
      </c>
      <c r="EW110" s="107">
        <f t="shared" si="251"/>
      </c>
      <c r="EX110" s="107">
        <f t="shared" ref="EX110:FA110" si="252">IFERROR(EX107/EX$24,"")</f>
      </c>
      <c r="EY110" s="107">
        <f t="shared" si="252"/>
      </c>
      <c r="EZ110" s="468">
        <f t="shared" si="252"/>
      </c>
      <c r="FA110" s="292">
        <f t="shared" si="252"/>
      </c>
      <c r="FB110" s="114">
        <v>0</v>
      </c>
      <c r="FC110" s="114">
        <f>FB110</f>
      </c>
      <c r="FD110" s="114">
        <f>FC110</f>
      </c>
      <c r="FE110" s="114">
        <f>FD110</f>
      </c>
      <c r="FF110" s="292">
        <f>IFERROR(FF107/FF$24,"--")</f>
      </c>
      <c r="FG110" s="114">
        <v>0</v>
      </c>
      <c r="FH110" s="114">
        <f>FG110</f>
      </c>
      <c r="FI110" s="114">
        <f>FH110</f>
      </c>
      <c r="FJ110" s="114">
        <f>FI110</f>
      </c>
      <c r="FK110" s="292">
        <f>IFERROR(FK107/FK$24,"--")</f>
      </c>
      <c r="FL110" s="114">
        <v>0</v>
      </c>
      <c r="FM110" s="114">
        <f>FL110</f>
      </c>
      <c r="FN110" s="114">
        <f>FM110</f>
      </c>
      <c r="FO110" s="114">
        <f>FN110</f>
      </c>
      <c r="FP110" s="292">
        <f>IFERROR(FP107/FP$24,"--")</f>
      </c>
      <c r="FQ110" s="114">
        <v>0</v>
      </c>
      <c r="FR110" s="114">
        <f>FQ110</f>
      </c>
      <c r="FS110" s="114">
        <f>FR110</f>
      </c>
      <c r="FT110" s="114">
        <f>FS110</f>
      </c>
      <c r="FU110" s="292">
        <f>IFERROR(FU107/FU$24,"--")</f>
      </c>
      <c r="FV110" s="114">
        <v>0</v>
      </c>
      <c r="FW110" s="114">
        <f>FV110</f>
      </c>
      <c r="FX110" s="114">
        <f>FW110</f>
      </c>
      <c r="FY110" s="114">
        <f>FX110</f>
      </c>
      <c r="FZ110" s="292">
        <f>IFERROR(FZ107/FZ$24,"--")</f>
      </c>
      <c r="GA110" s="114">
        <v>0</v>
      </c>
      <c r="GB110" s="114">
        <f>GA110</f>
      </c>
      <c r="GC110" s="114">
        <f>GB110</f>
      </c>
      <c r="GD110" s="114">
        <f>GC110</f>
      </c>
      <c r="GE110" s="292">
        <f>IFERROR(GE107/GE$24,"--")</f>
      </c>
      <c r="GF110" s="114">
        <v>0</v>
      </c>
      <c r="GG110" s="114">
        <f>GF110</f>
      </c>
      <c r="GH110" s="114">
        <f>GG110</f>
      </c>
      <c r="GI110" s="114">
        <f>GH110</f>
      </c>
      <c r="GJ110" s="292">
        <f>IFERROR(GJ107/GJ$24,"--")</f>
      </c>
    </row>
    <row r="111" spans="1:192" ht="12.75" hidden="1" customHeight="1" outlineLevel="1">
      <c r="A111" s="792"/>
      <c r="B111" s="617"/>
      <c r="C111" s="107"/>
      <c r="D111" s="107"/>
      <c r="E111" s="107"/>
      <c r="F111" s="107"/>
      <c r="G111" s="292"/>
      <c r="H111" s="107"/>
      <c r="I111" s="107"/>
      <c r="J111" s="107"/>
      <c r="K111" s="107"/>
      <c r="L111" s="292"/>
      <c r="M111" s="107"/>
      <c r="N111" s="107"/>
      <c r="O111" s="107"/>
      <c r="P111" s="107"/>
      <c r="Q111" s="292"/>
      <c r="R111" s="107"/>
      <c r="S111" s="107"/>
      <c r="T111" s="107"/>
      <c r="U111" s="107"/>
      <c r="V111" s="292"/>
      <c r="W111" s="107"/>
      <c r="X111" s="107"/>
      <c r="Y111" s="107"/>
      <c r="Z111" s="107"/>
      <c r="AA111" s="292"/>
      <c r="AB111" s="107"/>
      <c r="AC111" s="107"/>
      <c r="AD111" s="107"/>
      <c r="AE111" s="107"/>
      <c r="AF111" s="292"/>
      <c r="AG111" s="107"/>
      <c r="AH111" s="107"/>
      <c r="AI111" s="107"/>
      <c r="AJ111" s="107"/>
      <c r="AK111" s="292"/>
      <c r="AL111" s="107"/>
      <c r="AM111" s="107"/>
      <c r="AN111" s="107"/>
      <c r="AO111" s="107"/>
      <c r="AP111" s="292"/>
      <c r="AQ111" s="107"/>
      <c r="AR111" s="107"/>
      <c r="AS111" s="107"/>
      <c r="AT111" s="107"/>
      <c r="AU111" s="292"/>
      <c r="AV111" s="107"/>
      <c r="AW111" s="107"/>
      <c r="AX111" s="107"/>
      <c r="AY111" s="107"/>
      <c r="AZ111" s="292"/>
      <c r="BA111" s="107"/>
      <c r="BB111" s="107"/>
      <c r="BC111" s="107"/>
      <c r="BD111" s="107"/>
      <c r="BE111" s="292"/>
      <c r="BF111" s="107"/>
      <c r="BG111" s="107"/>
      <c r="BH111" s="107"/>
      <c r="BI111" s="107"/>
      <c r="BJ111" s="292"/>
      <c r="BK111" s="107"/>
      <c r="BL111" s="107"/>
      <c r="BM111" s="107"/>
      <c r="BN111" s="107"/>
      <c r="BO111" s="292"/>
      <c r="BP111" s="107"/>
      <c r="BQ111" s="107"/>
      <c r="BR111" s="107"/>
      <c r="BS111" s="107"/>
      <c r="BT111" s="292"/>
      <c r="BU111" s="107"/>
      <c r="BV111" s="107"/>
      <c r="BW111" s="107"/>
      <c r="BX111" s="107"/>
      <c r="BY111" s="292"/>
      <c r="BZ111" s="107"/>
      <c r="CA111" s="107"/>
      <c r="CB111" s="107"/>
      <c r="CC111" s="107"/>
      <c r="CD111" s="809"/>
      <c r="CE111" s="107"/>
      <c r="CF111" s="107"/>
      <c r="CG111" s="107"/>
      <c r="CH111" s="107"/>
      <c r="CI111" s="292"/>
      <c r="CJ111" s="107"/>
      <c r="CK111" s="107"/>
      <c r="CL111" s="107"/>
      <c r="CM111" s="107"/>
      <c r="CN111" s="292"/>
      <c r="CO111" s="107"/>
      <c r="CP111" s="107"/>
      <c r="CQ111" s="107"/>
      <c r="CR111" s="107"/>
      <c r="CS111" s="292"/>
      <c r="CT111" s="107"/>
      <c r="CU111" s="107"/>
      <c r="CV111" s="107"/>
      <c r="CW111" s="107"/>
      <c r="CX111" s="292"/>
      <c r="CY111" s="107"/>
      <c r="CZ111" s="107"/>
      <c r="DA111" s="107"/>
      <c r="DB111" s="107"/>
      <c r="DC111" s="292"/>
      <c r="DD111" s="107"/>
      <c r="DE111" s="107"/>
      <c r="DF111" s="107"/>
      <c r="DG111" s="107"/>
      <c r="DH111" s="292"/>
      <c r="DI111" s="107"/>
      <c r="DJ111" s="107"/>
      <c r="DK111" s="107"/>
      <c r="DL111" s="107"/>
      <c r="DM111" s="292"/>
      <c r="DN111" s="107"/>
      <c r="DO111" s="107"/>
      <c r="DP111" s="107"/>
      <c r="DQ111" s="107"/>
      <c r="DR111" s="292"/>
      <c r="DS111" s="107"/>
      <c r="DT111" s="107"/>
      <c r="DU111" s="107"/>
      <c r="DV111" s="107"/>
      <c r="DW111" s="292"/>
      <c r="DX111" s="107"/>
      <c r="DY111" s="107"/>
      <c r="DZ111" s="107"/>
      <c r="EA111" s="107"/>
      <c r="EB111" s="292"/>
      <c r="EC111" s="107"/>
      <c r="ED111" s="107"/>
      <c r="EE111" s="107"/>
      <c r="EF111" s="107"/>
      <c r="EG111" s="292"/>
      <c r="EH111" s="107"/>
      <c r="EI111" s="107"/>
      <c r="EJ111" s="107"/>
      <c r="EK111" s="107"/>
      <c r="EL111" s="292"/>
      <c r="EM111" s="107"/>
      <c r="EN111" s="107"/>
      <c r="EO111" s="107"/>
      <c r="EP111" s="107"/>
      <c r="EQ111" s="292"/>
      <c r="ER111" s="107"/>
      <c r="ES111" s="107"/>
      <c r="ET111" s="107"/>
      <c r="EU111" s="107"/>
      <c r="EV111" s="292"/>
      <c r="EW111" s="107"/>
      <c r="EX111" s="114"/>
      <c r="EY111" s="107"/>
      <c r="EZ111" s="114"/>
      <c r="FA111" s="292"/>
      <c r="FB111" s="114"/>
      <c r="FC111" s="114"/>
      <c r="FD111" s="114"/>
      <c r="FE111" s="114"/>
      <c r="FF111" s="292"/>
      <c r="FG111" s="114"/>
      <c r="FH111" s="114"/>
      <c r="FI111" s="114"/>
      <c r="FJ111" s="114"/>
      <c r="FK111" s="292"/>
      <c r="FL111" s="114"/>
      <c r="FM111" s="114"/>
      <c r="FN111" s="114"/>
      <c r="FO111" s="114"/>
      <c r="FP111" s="292"/>
      <c r="FQ111" s="114"/>
      <c r="FR111" s="114"/>
      <c r="FS111" s="114"/>
      <c r="FT111" s="114"/>
      <c r="FU111" s="292"/>
      <c r="FV111" s="114"/>
      <c r="FW111" s="114"/>
      <c r="FX111" s="114"/>
      <c r="FY111" s="114"/>
      <c r="FZ111" s="292"/>
      <c r="GA111" s="114"/>
      <c r="GB111" s="114"/>
      <c r="GC111" s="114"/>
      <c r="GD111" s="114"/>
      <c r="GE111" s="292"/>
      <c r="GF111" s="114"/>
      <c r="GG111" s="114"/>
      <c r="GH111" s="114"/>
      <c r="GI111" s="114"/>
      <c r="GJ111" s="292"/>
    </row>
    <row r="112" spans="1:192" s="623" customFormat="1" ht="12.75" customHeight="1" collapsed="1">
      <c r="A112" s="68" t="s">
        <v>365</v>
      </c>
      <c r="B112" s="632" t="s">
        <v>148</v>
      </c>
      <c r="C112" s="619">
        <f>SUM(C76,C83,C90,C97,C102,C107)</f>
      </c>
      <c r="D112" s="619">
        <f>SUM(D76,D83,D90,D97,D102,D107)</f>
      </c>
      <c r="E112" s="619">
        <f>SUM(E76,E83,E90,E97,E102,E107)</f>
      </c>
      <c r="F112" s="619">
        <f>SUM(F76,F83,F90,F97,F102,F107)</f>
      </c>
      <c r="G112" s="622">
        <f>SUM(C112:F112)</f>
      </c>
      <c r="H112" s="619">
        <f>SUM(H76,H83,H90,H97,H102,H107)</f>
      </c>
      <c r="I112" s="619">
        <f>SUM(I76,I83,I90,I97,I102,I107)</f>
      </c>
      <c r="J112" s="619">
        <f>SUM(J76,J83,J90,J97,J102,J107)</f>
      </c>
      <c r="K112" s="619">
        <f>SUM(K76,K83,K90,K97,K102,K107)</f>
      </c>
      <c r="L112" s="622">
        <f>SUM(H112:K112)</f>
      </c>
      <c r="M112" s="619">
        <f>SUM(M76,M83,M90,M97,M102,M107)</f>
      </c>
      <c r="N112" s="619">
        <f>SUM(N76,N83,N90,N97,N102,N107)</f>
      </c>
      <c r="O112" s="619">
        <f>SUM(O76,O83,O90,O97,O102,O107)</f>
      </c>
      <c r="P112" s="619">
        <f>SUM(P76,P83,P90,P97,P102,P107)</f>
      </c>
      <c r="Q112" s="622">
        <f>SUM(M112:P112)</f>
      </c>
      <c r="R112" s="619">
        <f>SUM(R76,R83,R90,R97,R102,R107)</f>
      </c>
      <c r="S112" s="619">
        <f>SUM(S76,S83,S90,S97,S102,S107)</f>
      </c>
      <c r="T112" s="619">
        <f>SUM(T76,T83,T90,T97,T102,T107)</f>
      </c>
      <c r="U112" s="619">
        <f>SUM(U76,U83,U90,U97,U102,U107)</f>
      </c>
      <c r="V112" s="622">
        <f>SUM(R112:U112)</f>
      </c>
      <c r="W112" s="619">
        <f>SUM(W76,W83,W90,W97,W102,W107)</f>
      </c>
      <c r="X112" s="619">
        <f>SUM(X76,X83,X90,X97,X102,X107)</f>
      </c>
      <c r="Y112" s="619">
        <f>SUM(Y76,Y83,Y90,Y97,Y102,Y107)</f>
      </c>
      <c r="Z112" s="619">
        <f>SUM(Z76,Z83,Z90,Z97,Z102,Z107)</f>
      </c>
      <c r="AA112" s="622">
        <f>SUM(W112:Z112)</f>
      </c>
      <c r="AB112" s="619">
        <f>SUM(AB76,AB83,AB90,AB97,AB102,AB107)</f>
      </c>
      <c r="AC112" s="619">
        <f>SUM(AC76,AC83,AC90,AC97,AC102,AC107)</f>
      </c>
      <c r="AD112" s="619">
        <f>SUM(AD76,AD83,AD90,AD97,AD102,AD107)</f>
      </c>
      <c r="AE112" s="619">
        <f>SUM(AE76,AE83,AE90,AE97,AE102,AE107)</f>
      </c>
      <c r="AF112" s="622">
        <f>SUM(AB112:AE112)</f>
      </c>
      <c r="AG112" s="619">
        <f>SUM(AG76,AG83,AG90,AG97,AG102)</f>
      </c>
      <c r="AH112" s="619">
        <f>SUM(AH76,AH83,AH90,AH97,AH102,AH107)</f>
      </c>
      <c r="AI112" s="619">
        <f>SUM(AI76,AI83,AI90,AI97,AI102,AI107)</f>
      </c>
      <c r="AJ112" s="619">
        <f>SUM(AJ76,AJ83,AJ90,AJ97,AJ102,AJ107)</f>
      </c>
      <c r="AK112" s="622">
        <f>SUM(AG112:AJ112)</f>
      </c>
      <c r="AL112" s="619">
        <f>SUM(AL76,AL83,AL90,AL97,AL102,AL107)</f>
      </c>
      <c r="AM112" s="619">
        <f>SUM(AM76,AM83,AM90,AM97,AM102,AM107)</f>
      </c>
      <c r="AN112" s="619">
        <f>SUM(AN76,AN83,AN90,AN97,AN102,AN107)</f>
      </c>
      <c r="AO112" s="619">
        <f>SUM(AO76,AO83,AO90,AO97,AO102,AO107)</f>
      </c>
      <c r="AP112" s="622">
        <f>SUM(AL112:AO112)</f>
      </c>
      <c r="AQ112" s="619">
        <f>SUM(AQ76,AQ83,AQ90,AQ97,AQ102,AQ107)</f>
      </c>
      <c r="AR112" s="619">
        <f>SUM(AR76,AR83,AR90,AR97,AR102,AR107)</f>
      </c>
      <c r="AS112" s="619">
        <f>SUM(AS76,AS83,AS90,AS97,AS102,AS107)</f>
      </c>
      <c r="AT112" s="619">
        <f>SUM(AT76,AT83,AT90,AT97,AT102,AT107)</f>
      </c>
      <c r="AU112" s="622">
        <f>SUM(AQ112:AT112)</f>
      </c>
      <c r="AV112" s="619">
        <f>SUM(AV76,AV83,AV90,AV97,AV102,AV107)</f>
      </c>
      <c r="AW112" s="619">
        <f>SUM(AW76,AW83,AW90,AW97,AW102,AW107)</f>
      </c>
      <c r="AX112" s="619">
        <f>SUM(AX76,AX83,AX90,AX97,AX102,AX107)</f>
      </c>
      <c r="AY112" s="619">
        <f>SUM(AY76,AY83,AY90,AY97,AY102,AY107)</f>
      </c>
      <c r="AZ112" s="622">
        <f>SUM(AV112:AY112)</f>
      </c>
      <c r="BA112" s="619">
        <f>SUM(BA76,BA83,BA90,BA97,BA102,BA107)</f>
      </c>
      <c r="BB112" s="619">
        <f>SUM(BB76,BB83,BB90,BB97,BB102,BB107)</f>
      </c>
      <c r="BC112" s="619">
        <f>SUM(BC76,BC83,BC90,BC97,BC102,BC107)</f>
      </c>
      <c r="BD112" s="619">
        <f>SUM(BD76,BD83,BD90,BD97,BD102,BD107)</f>
      </c>
      <c r="BE112" s="622">
        <f>SUM(BA112:BD112)</f>
      </c>
      <c r="BF112" s="619">
        <f>SUM(BF76,BF83,BF90,BF97,BF102,BF107)</f>
      </c>
      <c r="BG112" s="619">
        <f>SUM(BG76,BG83,BG90,BG97,BG102,BG107)</f>
      </c>
      <c r="BH112" s="619">
        <f>SUM(BH76,BH83,BH90,BH97,BH102,BH107)</f>
      </c>
      <c r="BI112" s="619">
        <f>SUM(BI76,BI83,BI90,BI97,BI102,BI107)</f>
      </c>
      <c r="BJ112" s="622">
        <f>SUM(BF112:BI112)</f>
      </c>
      <c r="BK112" s="619">
        <f>SUM(BK76,BK83,BK90,BK97,BK102,BK107)</f>
      </c>
      <c r="BL112" s="619">
        <f>SUM(BL76,BL83,BL90,BL97,BL102,BL107)</f>
      </c>
      <c r="BM112" s="619">
        <f>SUM(BM76,BM83,BM90,BM97,BM102,BM107)</f>
      </c>
      <c r="BN112" s="619">
        <f>SUM(BN76,BN83,BN90,BN97,BN102,BN107)</f>
      </c>
      <c r="BO112" s="622">
        <f>SUM(BK112:BN112)</f>
      </c>
      <c r="BP112" s="619">
        <f>SUM(BP76,BP83,BP90,BP97,BP102,BP107)</f>
      </c>
      <c r="BQ112" s="619">
        <f>SUM(BQ76,BQ83,BQ90,BQ97,BQ102,BQ107)</f>
      </c>
      <c r="BR112" s="619">
        <f>SUM(BR76,BR83,BR90,BR97,BR102,BR107)</f>
      </c>
      <c r="BS112" s="619">
        <f>SUM(BS76,BS83,BS90,BS97,BS102,BS107)</f>
      </c>
      <c r="BT112" s="622">
        <f>SUM(BP112:BS112)</f>
      </c>
      <c r="BU112" s="619">
        <f>SUM(BU76,BU83,BU90,BU97,BU102,BU107)</f>
      </c>
      <c r="BV112" s="619">
        <f>SUM(BV76,BV83,BV90,BV97,BV102,BV107)</f>
      </c>
      <c r="BW112" s="619">
        <f>SUM(BW76,BW83,BW90,BW97,BW102,BW107)</f>
      </c>
      <c r="BX112" s="619">
        <f>SUM(BX76,BX83,BX90,BX97,BX102,BX107)</f>
      </c>
      <c r="BY112" s="622">
        <f>SUM(BU112:BX112)</f>
      </c>
      <c r="BZ112" s="619">
        <f>SUM(BZ76,BZ83,BZ90,BZ97,BZ102,BZ107)</f>
      </c>
      <c r="CA112" s="619">
        <f>SUM(CA76,CA83,CA90,CA97,CA102,CA107)</f>
      </c>
      <c r="CB112" s="619">
        <f>SUM(CB76,CB83,CB90,CB97,CB102,CB107)</f>
      </c>
      <c r="CC112" s="619">
        <f>SUM(CC76,CC83,CC90,CC97,CC102,CC107)</f>
      </c>
      <c r="CD112" s="622">
        <f>SUM(BZ112:CC112)</f>
      </c>
      <c r="CE112" s="619">
        <f>SUM(CE76,CE83,CE90,CE97,CE102,CE107)</f>
      </c>
      <c r="CF112" s="619">
        <f>SUM(CF76,CF83,CF90,CF97,CF102,CF107)</f>
      </c>
      <c r="CG112" s="619">
        <f>SUM(CG76,CG83,CG90,CG97,CG102,CG107)</f>
      </c>
      <c r="CH112" s="619">
        <f>SUM(CH76,CH83,CH90,CH97,CH102,CH107)</f>
      </c>
      <c r="CI112" s="622">
        <f>SUM(CE112:CH112)</f>
      </c>
      <c r="CJ112" s="619">
        <f>SUM(CJ76,CJ83,CJ90,CJ97,CJ102,CJ107)</f>
      </c>
      <c r="CK112" s="619">
        <f>SUM(CK76,CK83,CK90,CK97,CK102,CK107)</f>
      </c>
      <c r="CL112" s="619">
        <f>SUM(CL76,CL83,CL90,CL97,CL102,CL107)</f>
      </c>
      <c r="CM112" s="619">
        <f>SUM(CM76,CM83,CM90,CM97,CM102,CM107)</f>
      </c>
      <c r="CN112" s="622">
        <f>SUM(CJ112:CM112)</f>
      </c>
      <c r="CO112" s="619">
        <f>SUM(CO76,CO83,CO90,CO97,CO102,CO107)</f>
      </c>
      <c r="CP112" s="619">
        <f>SUM(CP76,CP83,CP90,CP97,CP102,CP107)</f>
      </c>
      <c r="CQ112" s="619">
        <f>SUM(CQ76,CQ83,CQ90,CQ97,CQ102,CQ107)</f>
      </c>
      <c r="CR112" s="619">
        <f>SUM(CR76,CR83,CR90,CR97,CR102,CR107)</f>
      </c>
      <c r="CS112" s="622">
        <f>SUM(CO112:CR112)</f>
      </c>
      <c r="CT112" s="619">
        <f>SUM(CT76,CT83,CT90,CT97,CT102,CT107)</f>
      </c>
      <c r="CU112" s="619">
        <f>SUM(CU76,CU83,CU90,CU97,CU102,CU107)</f>
      </c>
      <c r="CV112" s="619">
        <f>SUM(CV76,CV83,CV90,CV97,CV102,CV107)</f>
      </c>
      <c r="CW112" s="619">
        <f>SUM(CW76,CW83,CW90,CW97,CW102,CW107)</f>
      </c>
      <c r="CX112" s="622">
        <f>SUM(CT112:CW112)</f>
      </c>
      <c r="CY112" s="619">
        <f>SUM(CY76,CY83,CY90,CY97,CY102,CY107)</f>
      </c>
      <c r="CZ112" s="619">
        <f>SUM(CZ76,CZ83,CZ90,CZ97,CZ102,CZ107)</f>
      </c>
      <c r="DA112" s="619">
        <f>SUM(DA76,DA83,DA90,DA97,DA102,DA107)</f>
      </c>
      <c r="DB112" s="619">
        <f>SUM(DB76,DB83,DB90,DB97,DB102,DB107)</f>
      </c>
      <c r="DC112" s="622">
        <f>SUM(CY112:DB112)</f>
      </c>
      <c r="DD112" s="619">
        <f>SUM(DD76,DD83,DD90,DD97,DD102,DD107)</f>
      </c>
      <c r="DE112" s="619">
        <f>SUM(DE76,DE83,DE90,DE97,DE102,DE107)</f>
      </c>
      <c r="DF112" s="619">
        <f>SUM(DF76,DF83,DF90,DF97,DF102,DF107)</f>
      </c>
      <c r="DG112" s="619">
        <f>SUM(DG76,DG83,DG90,DG97,DG102,DG107)</f>
      </c>
      <c r="DH112" s="622">
        <f>SUM(DD112:DG112)</f>
      </c>
      <c r="DI112" s="619">
        <f>SUM(DI76,DI83,DI90,DI97,DI102,DI107)</f>
      </c>
      <c r="DJ112" s="619">
        <f>SUM(DJ76,DJ83,DJ90,DJ97,DJ102,DJ107)</f>
      </c>
      <c r="DK112" s="619">
        <f>SUM(DK76,DK83,DK90,DK97,DK102,DK107)</f>
      </c>
      <c r="DL112" s="619">
        <f>SUM(DL76,DL83,DL90,DL97,DL102,DL107)</f>
      </c>
      <c r="DM112" s="622">
        <f>SUM(DI112:DL112)</f>
      </c>
      <c r="DN112" s="619">
        <f>SUM(DN76,DN83,DN90,DN97,DN102,DN107)</f>
      </c>
      <c r="DO112" s="619">
        <f>SUM(DO76,DO83,DO90,DO97,DO102,DO107)</f>
      </c>
      <c r="DP112" s="619">
        <f>SUM(DP76,DP83,DP90,DP97,DP102,DP107)</f>
      </c>
      <c r="DQ112" s="619">
        <f>SUM(DQ76,DQ83,DQ90,DQ97,DQ102,DQ107)</f>
      </c>
      <c r="DR112" s="622">
        <f>SUM(DN112:DQ112)</f>
      </c>
      <c r="DS112" s="619">
        <f>SUM(DS76,DS83,DS90,DS97,DS102,DS107)</f>
      </c>
      <c r="DT112" s="619">
        <f>SUM(DT76,DT83,DT90,DT97,DT102,DT107)</f>
      </c>
      <c r="DU112" s="619">
        <f>SUM(DU76,DU83,DU90,DU97,DU102,DU107)</f>
      </c>
      <c r="DV112" s="619">
        <f>SUM(DV76,DV83,DV90,DV97,DV102,DV107)</f>
      </c>
      <c r="DW112" s="622">
        <f>SUM(DS112:DV112)</f>
      </c>
      <c r="DX112" s="619">
        <f>SUM(DX76,DX83,DX90,DX97,DX102,DX107)</f>
      </c>
      <c r="DY112" s="619">
        <f>SUM(DY76,DY83,DY90,DY97,DY102,DY107)</f>
      </c>
      <c r="DZ112" s="619">
        <f>SUM(DZ76,DZ83,DZ90,DZ97,DZ102,DZ107)</f>
      </c>
      <c r="EA112" s="619">
        <f>SUM(EA76,EA83,EA90,EA97,EA102,EA107)</f>
      </c>
      <c r="EB112" s="622">
        <f>SUM(DX112:EA112)</f>
      </c>
      <c r="EC112" s="619">
        <f>SUM(EC76,EC83,EC90,EC97,EC102,EC107)</f>
      </c>
      <c r="ED112" s="619">
        <f>SUM(ED76,ED83,ED90,ED97,ED102,ED107)</f>
      </c>
      <c r="EE112" s="619">
        <f>SUM(EE76,EE83,EE90,EE97,EE102,EE107)</f>
      </c>
      <c r="EF112" s="619">
        <f>SUM(EF76,EF83,EF90,EF97,EF102,EF107)</f>
      </c>
      <c r="EG112" s="622">
        <f>SUM(EC112:EF112)</f>
      </c>
      <c r="EH112" s="619">
        <f>SUM(EH76,EH83,EH90,EH97,EH102,EH107)</f>
      </c>
      <c r="EI112" s="619">
        <f>SUM(EI76,EI83,EI90,EI97,EI102,EI107)</f>
      </c>
      <c r="EJ112" s="619">
        <f>SUM(EJ76,EJ83,EJ90,EJ97,EJ102,EJ107)</f>
      </c>
      <c r="EK112" s="619">
        <f>SUM(EK76,EK83,EK90,EK97,EK102,EK107)</f>
      </c>
      <c r="EL112" s="622">
        <f>SUM(EH112:EK112)</f>
      </c>
      <c r="EM112" s="619">
        <f>SUM(EM76,EM83,EM90,EM97,EM102,EM107)</f>
      </c>
      <c r="EN112" s="619">
        <f>SUM(EN76,EN83,EN90,EN97,EN102,EN107)</f>
      </c>
      <c r="EO112" s="619">
        <f>SUM(EO76,EO83,EO90,EO97,EO102,EO107)</f>
      </c>
      <c r="EP112" s="619">
        <f>SUM(EP76,EP83,EP90,EP97,EP102,EP107)</f>
      </c>
      <c r="EQ112" s="622">
        <f>SUM(EM112:EP112)</f>
      </c>
      <c r="ER112" s="619">
        <f>SUM(ER76,ER83,ER90,ER97,ER102,ER107)</f>
      </c>
      <c r="ES112" s="619">
        <f>SUM(ES76,ES83,ES90,ES97,ES102,ES107)</f>
      </c>
      <c r="ET112" s="619">
        <f>SUM(ET76,ET83,ET90,ET97,ET102,ET107)</f>
      </c>
      <c r="EU112" s="619">
        <f>SUM(EU76,EU83,EU90,EU97,EU102,EU107)</f>
      </c>
      <c r="EV112" s="622">
        <f>SUM(ER112:EU112)</f>
      </c>
      <c r="EW112" s="619">
        <f>SUM(EW76,EW83,EW90,EW97,EW102,EW107)</f>
      </c>
      <c r="EX112" s="619">
        <f>SUM(EX76,EX83,EX90,EX97,EX102,EX107)</f>
      </c>
      <c r="EY112" s="619">
        <f>SUM(EY76,EY83,EY90,EY97,EY102,EY107)</f>
      </c>
      <c r="EZ112" s="619">
        <f>SUM(EZ76,EZ83,EZ90,EZ97,EZ102,EZ107)</f>
      </c>
      <c r="FA112" s="622">
        <f>SUM(EW112:EZ112)</f>
      </c>
      <c r="FB112" s="619">
        <f>SUM(FB76,FB83,FB90,FB97,FB102,FB107)</f>
      </c>
      <c r="FC112" s="619">
        <f>SUM(FC76,FC83,FC90,FC97,FC102,FC107)</f>
      </c>
      <c r="FD112" s="619">
        <f>SUM(FD76,FD83,FD90,FD97,FD102,FD107)</f>
      </c>
      <c r="FE112" s="619">
        <f>SUM(FE76,FE83,FE90,FE97,FE102,FE107)</f>
      </c>
      <c r="FF112" s="622">
        <f>SUM(FB112:FE112)</f>
      </c>
      <c r="FG112" s="619">
        <f>SUM(FG76,FG83,FG90,FG97,FG102,FG107)</f>
      </c>
      <c r="FH112" s="619">
        <f>SUM(FH76,FH83,FH90,FH97,FH102,FH107)</f>
      </c>
      <c r="FI112" s="619">
        <f>SUM(FI76,FI83,FI90,FI97,FI102,FI107)</f>
      </c>
      <c r="FJ112" s="619">
        <f>SUM(FJ76,FJ83,FJ90,FJ97,FJ102,FJ107)</f>
      </c>
      <c r="FK112" s="622">
        <f>SUM(FG112:FJ112)</f>
      </c>
      <c r="FL112" s="619">
        <f>SUM(FL76,FL83,FL90,FL97,FL102,FL107)</f>
      </c>
      <c r="FM112" s="619">
        <f>SUM(FM76,FM83,FM90,FM97,FM102,FM107)</f>
      </c>
      <c r="FN112" s="619">
        <f>SUM(FN76,FN83,FN90,FN97,FN102,FN107)</f>
      </c>
      <c r="FO112" s="619">
        <f>SUM(FO76,FO83,FO90,FO97,FO102,FO107)</f>
      </c>
      <c r="FP112" s="622">
        <f>SUM(FL112:FO112)</f>
      </c>
      <c r="FQ112" s="619">
        <f>SUM(FQ76,FQ83,FQ90,FQ97,FQ102,FQ107)</f>
      </c>
      <c r="FR112" s="619">
        <f>SUM(FR76,FR83,FR90,FR97,FR102,FR107)</f>
      </c>
      <c r="FS112" s="619">
        <f>SUM(FS76,FS83,FS90,FS97,FS102,FS107)</f>
      </c>
      <c r="FT112" s="619">
        <f>SUM(FT76,FT83,FT90,FT97,FT102,FT107)</f>
      </c>
      <c r="FU112" s="622">
        <f>SUM(FQ112:FT112)</f>
      </c>
      <c r="FV112" s="619">
        <f>SUM(FV76,FV83,FV90,FV97,FV102,FV107)</f>
      </c>
      <c r="FW112" s="619">
        <f>SUM(FW76,FW83,FW90,FW97,FW102,FW107)</f>
      </c>
      <c r="FX112" s="619">
        <f>SUM(FX76,FX83,FX90,FX97,FX102,FX107)</f>
      </c>
      <c r="FY112" s="619">
        <f>SUM(FY76,FY83,FY90,FY97,FY102,FY107)</f>
      </c>
      <c r="FZ112" s="622">
        <f>SUM(FV112:FY112)</f>
      </c>
      <c r="GA112" s="619">
        <f>SUM(GA76,GA83,GA90,GA97,GA102,GA107)</f>
      </c>
      <c r="GB112" s="619">
        <f>SUM(GB76,GB83,GB90,GB97,GB102,GB107)</f>
      </c>
      <c r="GC112" s="619">
        <f>SUM(GC76,GC83,GC90,GC97,GC102,GC107)</f>
      </c>
      <c r="GD112" s="619">
        <f>SUM(GD76,GD83,GD90,GD97,GD102,GD107)</f>
      </c>
      <c r="GE112" s="622">
        <f>SUM(GA112:GD112)</f>
      </c>
      <c r="GF112" s="619">
        <f>SUM(GF76,GF83,GF90,GF97,GF102,GF107)</f>
      </c>
      <c r="GG112" s="619">
        <f>SUM(GG76,GG83,GG90,GG97,GG102,GG107)</f>
      </c>
      <c r="GH112" s="619">
        <f>SUM(GH76,GH83,GH90,GH97,GH102,GH107)</f>
      </c>
      <c r="GI112" s="619">
        <f>SUM(GI76,GI83,GI90,GI97,GI102,GI107)</f>
      </c>
      <c r="GJ112" s="622">
        <f>SUM(GF112:GI112)</f>
      </c>
    </row>
    <row r="113" spans="1:192" ht="12.75" customHeight="1">
      <c r="A113" s="68" t="s">
        <v>367</v>
      </c>
      <c r="B113" s="617" t="s">
        <v>34</v>
      </c>
      <c r="C113" s="291"/>
      <c r="D113" s="107"/>
      <c r="E113" s="107"/>
      <c r="F113" s="107"/>
      <c r="G113" s="536"/>
      <c r="H113" s="291">
        <f t="shared" ref="H113:AM113" si="253">IFERROR(H112/C112-1,"")</f>
      </c>
      <c r="I113" s="107">
        <f t="shared" si="253"/>
      </c>
      <c r="J113" s="107">
        <f t="shared" si="253"/>
      </c>
      <c r="K113" s="107">
        <f t="shared" si="253"/>
      </c>
      <c r="L113" s="292">
        <f t="shared" si="253"/>
      </c>
      <c r="M113" s="291">
        <f t="shared" si="253"/>
      </c>
      <c r="N113" s="107">
        <f t="shared" si="253"/>
      </c>
      <c r="O113" s="107">
        <f t="shared" si="253"/>
      </c>
      <c r="P113" s="107">
        <f t="shared" si="253"/>
      </c>
      <c r="Q113" s="292">
        <f t="shared" si="253"/>
      </c>
      <c r="R113" s="291">
        <f t="shared" si="253"/>
      </c>
      <c r="S113" s="107">
        <f t="shared" si="253"/>
      </c>
      <c r="T113" s="107">
        <f t="shared" si="253"/>
      </c>
      <c r="U113" s="107">
        <f t="shared" si="253"/>
      </c>
      <c r="V113" s="292">
        <f t="shared" si="253"/>
      </c>
      <c r="W113" s="291">
        <f t="shared" si="253"/>
      </c>
      <c r="X113" s="107">
        <f t="shared" si="253"/>
      </c>
      <c r="Y113" s="107">
        <f t="shared" si="253"/>
      </c>
      <c r="Z113" s="107">
        <f t="shared" si="253"/>
      </c>
      <c r="AA113" s="292">
        <f t="shared" si="253"/>
      </c>
      <c r="AB113" s="291">
        <f t="shared" si="253"/>
      </c>
      <c r="AC113" s="107">
        <f t="shared" si="253"/>
      </c>
      <c r="AD113" s="107">
        <f t="shared" si="253"/>
      </c>
      <c r="AE113" s="107">
        <f t="shared" si="253"/>
      </c>
      <c r="AF113" s="292">
        <f t="shared" si="253"/>
      </c>
      <c r="AG113" s="291">
        <f t="shared" si="253"/>
      </c>
      <c r="AH113" s="107">
        <f t="shared" si="253"/>
      </c>
      <c r="AI113" s="107">
        <f t="shared" si="253"/>
      </c>
      <c r="AJ113" s="107">
        <f t="shared" si="253"/>
      </c>
      <c r="AK113" s="292">
        <f t="shared" si="253"/>
      </c>
      <c r="AL113" s="291">
        <f t="shared" si="253"/>
      </c>
      <c r="AM113" s="107">
        <f t="shared" si="253"/>
      </c>
      <c r="AN113" s="107">
        <f t="shared" ref="AN113:BS113" si="254">IFERROR(AN112/AI112-1,"")</f>
      </c>
      <c r="AO113" s="107">
        <f t="shared" si="254"/>
      </c>
      <c r="AP113" s="292">
        <f t="shared" si="254"/>
      </c>
      <c r="AQ113" s="291">
        <f t="shared" si="254"/>
      </c>
      <c r="AR113" s="107">
        <f t="shared" si="254"/>
      </c>
      <c r="AS113" s="107">
        <f t="shared" si="254"/>
      </c>
      <c r="AT113" s="107">
        <f t="shared" si="254"/>
      </c>
      <c r="AU113" s="292">
        <f t="shared" si="254"/>
      </c>
      <c r="AV113" s="291">
        <f t="shared" si="254"/>
      </c>
      <c r="AW113" s="107">
        <f t="shared" si="254"/>
      </c>
      <c r="AX113" s="107">
        <f t="shared" si="254"/>
      </c>
      <c r="AY113" s="107">
        <f t="shared" si="254"/>
      </c>
      <c r="AZ113" s="292">
        <f t="shared" si="254"/>
      </c>
      <c r="BA113" s="291">
        <f t="shared" si="254"/>
      </c>
      <c r="BB113" s="107">
        <f t="shared" si="254"/>
      </c>
      <c r="BC113" s="107">
        <f t="shared" si="254"/>
      </c>
      <c r="BD113" s="107">
        <f t="shared" si="254"/>
      </c>
      <c r="BE113" s="292">
        <f t="shared" si="254"/>
      </c>
      <c r="BF113" s="291">
        <f t="shared" si="254"/>
      </c>
      <c r="BG113" s="107">
        <f t="shared" si="254"/>
      </c>
      <c r="BH113" s="107">
        <f t="shared" si="254"/>
      </c>
      <c r="BI113" s="107">
        <f t="shared" si="254"/>
      </c>
      <c r="BJ113" s="292">
        <f t="shared" si="254"/>
      </c>
      <c r="BK113" s="291">
        <f t="shared" si="254"/>
      </c>
      <c r="BL113" s="107">
        <f t="shared" si="254"/>
      </c>
      <c r="BM113" s="107">
        <f t="shared" si="254"/>
      </c>
      <c r="BN113" s="107">
        <f t="shared" si="254"/>
      </c>
      <c r="BO113" s="292">
        <f t="shared" si="254"/>
      </c>
      <c r="BP113" s="291">
        <f t="shared" si="254"/>
      </c>
      <c r="BQ113" s="107">
        <f t="shared" si="254"/>
      </c>
      <c r="BR113" s="107">
        <f t="shared" si="254"/>
      </c>
      <c r="BS113" s="107">
        <f t="shared" si="254"/>
      </c>
      <c r="BT113" s="292">
        <f t="shared" ref="BT113:CY113" si="255">IFERROR(BT112/BO112-1,"")</f>
      </c>
      <c r="BU113" s="291">
        <f t="shared" si="255"/>
      </c>
      <c r="BV113" s="107">
        <f t="shared" si="255"/>
      </c>
      <c r="BW113" s="107">
        <f t="shared" si="255"/>
      </c>
      <c r="BX113" s="107">
        <f t="shared" si="255"/>
      </c>
      <c r="BY113" s="292">
        <f t="shared" si="255"/>
      </c>
      <c r="BZ113" s="291">
        <f t="shared" si="255"/>
      </c>
      <c r="CA113" s="107">
        <f t="shared" si="255"/>
      </c>
      <c r="CB113" s="107">
        <f t="shared" si="255"/>
      </c>
      <c r="CC113" s="107">
        <f t="shared" si="255"/>
      </c>
      <c r="CD113" s="292">
        <f t="shared" si="255"/>
      </c>
      <c r="CE113" s="291">
        <f t="shared" si="255"/>
      </c>
      <c r="CF113" s="107">
        <f t="shared" si="255"/>
      </c>
      <c r="CG113" s="107">
        <f t="shared" si="255"/>
      </c>
      <c r="CH113" s="107">
        <f t="shared" si="255"/>
      </c>
      <c r="CI113" s="292">
        <f t="shared" si="255"/>
      </c>
      <c r="CJ113" s="291">
        <f t="shared" si="255"/>
      </c>
      <c r="CK113" s="107">
        <f t="shared" si="255"/>
      </c>
      <c r="CL113" s="107">
        <f t="shared" si="255"/>
      </c>
      <c r="CM113" s="107">
        <f t="shared" si="255"/>
      </c>
      <c r="CN113" s="292">
        <f t="shared" si="255"/>
      </c>
      <c r="CO113" s="291">
        <f t="shared" si="255"/>
      </c>
      <c r="CP113" s="107">
        <f t="shared" si="255"/>
      </c>
      <c r="CQ113" s="107">
        <f t="shared" si="255"/>
      </c>
      <c r="CR113" s="107">
        <f t="shared" si="255"/>
      </c>
      <c r="CS113" s="292">
        <f t="shared" si="255"/>
      </c>
      <c r="CT113" s="291">
        <f t="shared" si="255"/>
      </c>
      <c r="CU113" s="107">
        <f t="shared" si="255"/>
      </c>
      <c r="CV113" s="107">
        <f t="shared" si="255"/>
      </c>
      <c r="CW113" s="107">
        <f t="shared" si="255"/>
      </c>
      <c r="CX113" s="292">
        <f t="shared" si="255"/>
      </c>
      <c r="CY113" s="291">
        <f t="shared" si="255"/>
      </c>
      <c r="CZ113" s="107">
        <f t="shared" ref="CZ113:EE113" si="256">IFERROR(CZ112/CU112-1,"")</f>
      </c>
      <c r="DA113" s="107">
        <f t="shared" si="256"/>
      </c>
      <c r="DB113" s="107">
        <f t="shared" si="256"/>
      </c>
      <c r="DC113" s="292">
        <f t="shared" si="256"/>
      </c>
      <c r="DD113" s="291">
        <f t="shared" si="256"/>
      </c>
      <c r="DE113" s="107">
        <f t="shared" si="256"/>
      </c>
      <c r="DF113" s="107">
        <f t="shared" si="256"/>
      </c>
      <c r="DG113" s="107">
        <f t="shared" si="256"/>
      </c>
      <c r="DH113" s="292">
        <f t="shared" si="256"/>
      </c>
      <c r="DI113" s="291">
        <f t="shared" si="256"/>
      </c>
      <c r="DJ113" s="107">
        <f t="shared" si="256"/>
      </c>
      <c r="DK113" s="107">
        <f t="shared" si="256"/>
      </c>
      <c r="DL113" s="107">
        <f t="shared" si="256"/>
      </c>
      <c r="DM113" s="292">
        <f t="shared" si="256"/>
      </c>
      <c r="DN113" s="291">
        <f t="shared" si="256"/>
      </c>
      <c r="DO113" s="107">
        <f t="shared" si="256"/>
      </c>
      <c r="DP113" s="107">
        <f t="shared" si="256"/>
      </c>
      <c r="DQ113" s="107">
        <f t="shared" si="256"/>
      </c>
      <c r="DR113" s="292">
        <f t="shared" si="256"/>
      </c>
      <c r="DS113" s="291">
        <f t="shared" si="256"/>
      </c>
      <c r="DT113" s="107">
        <f t="shared" si="256"/>
      </c>
      <c r="DU113" s="107">
        <f t="shared" si="256"/>
      </c>
      <c r="DV113" s="107">
        <f t="shared" si="256"/>
      </c>
      <c r="DW113" s="292">
        <f t="shared" si="256"/>
      </c>
      <c r="DX113" s="291">
        <f t="shared" si="256"/>
      </c>
      <c r="DY113" s="107">
        <f t="shared" si="256"/>
      </c>
      <c r="DZ113" s="107">
        <f t="shared" si="256"/>
      </c>
      <c r="EA113" s="107">
        <f t="shared" si="256"/>
      </c>
      <c r="EB113" s="292">
        <f t="shared" si="256"/>
      </c>
      <c r="EC113" s="291">
        <f t="shared" si="256"/>
      </c>
      <c r="ED113" s="107">
        <f t="shared" si="256"/>
      </c>
      <c r="EE113" s="107">
        <f t="shared" si="256"/>
      </c>
      <c r="EF113" s="107">
        <f t="shared" ref="EF113:FK113" si="257">IFERROR(EF112/EA112-1,"")</f>
      </c>
      <c r="EG113" s="292">
        <f t="shared" si="257"/>
      </c>
      <c r="EH113" s="291">
        <f t="shared" si="257"/>
      </c>
      <c r="EI113" s="107">
        <f t="shared" si="257"/>
      </c>
      <c r="EJ113" s="107">
        <f t="shared" si="257"/>
      </c>
      <c r="EK113" s="107">
        <f t="shared" si="257"/>
      </c>
      <c r="EL113" s="292">
        <f t="shared" si="257"/>
      </c>
      <c r="EM113" s="291">
        <f t="shared" si="257"/>
      </c>
      <c r="EN113" s="107">
        <f t="shared" si="257"/>
      </c>
      <c r="EO113" s="107">
        <f t="shared" si="257"/>
      </c>
      <c r="EP113" s="107">
        <f t="shared" si="257"/>
      </c>
      <c r="EQ113" s="292">
        <f t="shared" si="257"/>
      </c>
      <c r="ER113" s="291">
        <f t="shared" si="257"/>
      </c>
      <c r="ES113" s="107">
        <f t="shared" si="257"/>
      </c>
      <c r="ET113" s="107">
        <f t="shared" si="257"/>
      </c>
      <c r="EU113" s="107">
        <f t="shared" si="257"/>
      </c>
      <c r="EV113" s="292">
        <f t="shared" si="257"/>
      </c>
      <c r="EW113" s="291">
        <f t="shared" si="257"/>
      </c>
      <c r="EX113" s="107">
        <f t="shared" si="257"/>
      </c>
      <c r="EY113" s="107">
        <f t="shared" si="257"/>
      </c>
      <c r="EZ113" s="107">
        <f t="shared" si="257"/>
      </c>
      <c r="FA113" s="292">
        <f t="shared" si="257"/>
      </c>
      <c r="FB113" s="291">
        <f t="shared" si="257"/>
      </c>
      <c r="FC113" s="107">
        <f t="shared" si="257"/>
      </c>
      <c r="FD113" s="107">
        <f t="shared" si="257"/>
      </c>
      <c r="FE113" s="107">
        <f t="shared" si="257"/>
      </c>
      <c r="FF113" s="292">
        <f t="shared" si="257"/>
      </c>
      <c r="FG113" s="291">
        <f t="shared" si="257"/>
      </c>
      <c r="FH113" s="107">
        <f t="shared" si="257"/>
      </c>
      <c r="FI113" s="107">
        <f t="shared" si="257"/>
      </c>
      <c r="FJ113" s="107">
        <f t="shared" si="257"/>
      </c>
      <c r="FK113" s="292">
        <f t="shared" si="257"/>
      </c>
      <c r="FL113" s="291">
        <f t="shared" ref="FL113:FZ113" si="258">IFERROR(FL112/FG112-1,"")</f>
      </c>
      <c r="FM113" s="107">
        <f t="shared" si="258"/>
      </c>
      <c r="FN113" s="107">
        <f t="shared" si="258"/>
      </c>
      <c r="FO113" s="107">
        <f t="shared" si="258"/>
      </c>
      <c r="FP113" s="292">
        <f t="shared" si="258"/>
      </c>
      <c r="FQ113" s="291">
        <f t="shared" si="258"/>
      </c>
      <c r="FR113" s="107">
        <f t="shared" si="258"/>
      </c>
      <c r="FS113" s="107">
        <f t="shared" si="258"/>
      </c>
      <c r="FT113" s="107">
        <f t="shared" si="258"/>
      </c>
      <c r="FU113" s="292">
        <f t="shared" si="258"/>
      </c>
      <c r="FV113" s="291">
        <f t="shared" si="258"/>
      </c>
      <c r="FW113" s="107">
        <f t="shared" si="258"/>
      </c>
      <c r="FX113" s="107">
        <f t="shared" si="258"/>
      </c>
      <c r="FY113" s="107">
        <f t="shared" si="258"/>
      </c>
      <c r="FZ113" s="292">
        <f t="shared" si="258"/>
      </c>
      <c r="GA113" s="291">
        <f t="shared" ref="GA113:GJ113" si="259">IFERROR(GA112/FV112-1,"")</f>
      </c>
      <c r="GB113" s="107">
        <f t="shared" si="259"/>
      </c>
      <c r="GC113" s="107">
        <f t="shared" si="259"/>
      </c>
      <c r="GD113" s="107">
        <f t="shared" si="259"/>
      </c>
      <c r="GE113" s="292">
        <f t="shared" si="259"/>
      </c>
      <c r="GF113" s="291">
        <f t="shared" si="259"/>
      </c>
      <c r="GG113" s="107">
        <f t="shared" si="259"/>
      </c>
      <c r="GH113" s="107">
        <f t="shared" si="259"/>
      </c>
      <c r="GI113" s="107">
        <f t="shared" si="259"/>
      </c>
      <c r="GJ113" s="292">
        <f t="shared" si="259"/>
      </c>
    </row>
    <row r="114" spans="1:192" ht="12.75" customHeight="1">
      <c r="A114" s="68" t="s">
        <v>366</v>
      </c>
      <c r="B114" s="617" t="s">
        <v>36</v>
      </c>
      <c r="C114" s="291"/>
      <c r="D114" s="137"/>
      <c r="E114" s="137"/>
      <c r="F114" s="137"/>
      <c r="G114" s="538"/>
      <c r="H114" s="291">
        <f>IFERROR(H112/F112-1,"")</f>
      </c>
      <c r="I114" s="107">
        <f>IFERROR(I112/H112-1,"")</f>
      </c>
      <c r="J114" s="107">
        <f>IFERROR(J112/I112-1,"")</f>
      </c>
      <c r="K114" s="107">
        <f>IFERROR(K112/J112-1,"")</f>
      </c>
      <c r="L114" s="293"/>
      <c r="M114" s="291">
        <f>IFERROR(M112/K112-1,"")</f>
      </c>
      <c r="N114" s="107">
        <f>IFERROR(N112/M112-1,"")</f>
      </c>
      <c r="O114" s="107">
        <f>IFERROR(O112/N112-1,"")</f>
      </c>
      <c r="P114" s="107">
        <f>IFERROR(P112/O112-1,"")</f>
      </c>
      <c r="Q114" s="293"/>
      <c r="R114" s="291">
        <f>IFERROR(R112/P112-1,"")</f>
      </c>
      <c r="S114" s="107">
        <f>IFERROR(S112/R112-1,"")</f>
      </c>
      <c r="T114" s="107">
        <f>IFERROR(T112/S112-1,"")</f>
      </c>
      <c r="U114" s="107">
        <f>IFERROR(U112/T112-1,"")</f>
      </c>
      <c r="V114" s="293"/>
      <c r="W114" s="291">
        <f>IFERROR(W112/U112-1,"")</f>
      </c>
      <c r="X114" s="107">
        <f>IFERROR(X112/W112-1,"")</f>
      </c>
      <c r="Y114" s="107">
        <f>IFERROR(Y112/X112-1,"")</f>
      </c>
      <c r="Z114" s="107">
        <f>IFERROR(Z112/Y112-1,"")</f>
      </c>
      <c r="AA114" s="293"/>
      <c r="AB114" s="291">
        <f>IFERROR(AB112/Z112-1,"")</f>
      </c>
      <c r="AC114" s="107">
        <f>IFERROR(AC112/AB112-1,"")</f>
      </c>
      <c r="AD114" s="107">
        <f>IFERROR(AD112/AC112-1,"")</f>
      </c>
      <c r="AE114" s="107">
        <f>IFERROR(AE112/AD112-1,"")</f>
      </c>
      <c r="AF114" s="293"/>
      <c r="AG114" s="291">
        <f>IFERROR(AG112/AE112-1,"")</f>
      </c>
      <c r="AH114" s="107">
        <f>IFERROR(AH112/AG112-1,"")</f>
      </c>
      <c r="AI114" s="107">
        <f>IFERROR(AI112/AH112-1,"")</f>
      </c>
      <c r="AJ114" s="107">
        <f>IFERROR(AJ112/AI112-1,"")</f>
      </c>
      <c r="AK114" s="293"/>
      <c r="AL114" s="291">
        <f>IFERROR(AL112/AJ112-1,"")</f>
      </c>
      <c r="AM114" s="107">
        <f>IFERROR(AM112/AL112-1,"")</f>
      </c>
      <c r="AN114" s="107">
        <f>IFERROR(AN112/AM112-1,"")</f>
      </c>
      <c r="AO114" s="107">
        <f>IFERROR(AO112/AN112-1,"")</f>
      </c>
      <c r="AP114" s="293"/>
      <c r="AQ114" s="291">
        <f>IFERROR(AQ112/AO112-1,"")</f>
      </c>
      <c r="AR114" s="107">
        <f>IFERROR(AR112/AQ112-1,"")</f>
      </c>
      <c r="AS114" s="107">
        <f>IFERROR(AS112/AR112-1,"")</f>
      </c>
      <c r="AT114" s="107">
        <f>IFERROR(AT112/AS112-1,"")</f>
      </c>
      <c r="AU114" s="293"/>
      <c r="AV114" s="291">
        <f>IFERROR(AV112/AT112-1,"")</f>
      </c>
      <c r="AW114" s="107">
        <f>IFERROR(AW112/AV112-1,"")</f>
      </c>
      <c r="AX114" s="107">
        <f>IFERROR(AX112/AW112-1,"")</f>
      </c>
      <c r="AY114" s="107">
        <f>IFERROR(AY112/AX112-1,"")</f>
      </c>
      <c r="AZ114" s="293"/>
      <c r="BA114" s="291">
        <f>IFERROR(BA112/AY112-1,"")</f>
      </c>
      <c r="BB114" s="107">
        <f>IFERROR(BB112/BA112-1,"")</f>
      </c>
      <c r="BC114" s="107">
        <f>IFERROR(BC112/BB112-1,"")</f>
      </c>
      <c r="BD114" s="107">
        <f>IFERROR(BD112/BC112-1,"")</f>
      </c>
      <c r="BE114" s="293"/>
      <c r="BF114" s="291">
        <f>IFERROR(BF112/BD112-1,"")</f>
      </c>
      <c r="BG114" s="107">
        <f>IFERROR(BG112/BF112-1,"")</f>
      </c>
      <c r="BH114" s="107">
        <f>IFERROR(BH112/BG112-1,"")</f>
      </c>
      <c r="BI114" s="107">
        <f>IFERROR(BI112/BH112-1,"")</f>
      </c>
      <c r="BJ114" s="293"/>
      <c r="BK114" s="291">
        <f>IFERROR(BK112/BI112-1,"")</f>
      </c>
      <c r="BL114" s="107">
        <f>IFERROR(BL112/BK112-1,"")</f>
      </c>
      <c r="BM114" s="107">
        <f>IFERROR(BM112/BL112-1,"")</f>
      </c>
      <c r="BN114" s="107">
        <f>IFERROR(BN112/BM112-1,"")</f>
      </c>
      <c r="BO114" s="293"/>
      <c r="BP114" s="291">
        <f>IFERROR(BP112/BN112-1,"")</f>
      </c>
      <c r="BQ114" s="107">
        <f>IFERROR(BQ112/BP112-1,"")</f>
      </c>
      <c r="BR114" s="107">
        <f>IFERROR(BR112/BQ112-1,"")</f>
      </c>
      <c r="BS114" s="107">
        <f>IFERROR(BS112/BR112-1,"")</f>
      </c>
      <c r="BT114" s="293"/>
      <c r="BU114" s="291">
        <f>IFERROR(BU112/BS112-1,"")</f>
      </c>
      <c r="BV114" s="107">
        <f>IFERROR(BV112/BU112-1,"")</f>
      </c>
      <c r="BW114" s="107">
        <f>IFERROR(BW112/BV112-1,"")</f>
      </c>
      <c r="BX114" s="107">
        <f>IFERROR(BX112/BW112-1,"")</f>
      </c>
      <c r="BY114" s="293"/>
      <c r="BZ114" s="291">
        <f>IFERROR(BZ112/BX112-1,"")</f>
      </c>
      <c r="CA114" s="107">
        <f>IFERROR(CA112/BZ112-1,"")</f>
      </c>
      <c r="CB114" s="107">
        <f>IFERROR(CB112/CA112-1,"")</f>
      </c>
      <c r="CC114" s="107">
        <f>IFERROR(CC112/CB112-1,"")</f>
      </c>
      <c r="CD114" s="293"/>
      <c r="CE114" s="291">
        <f>IFERROR(CE112/CC112-1,"")</f>
      </c>
      <c r="CF114" s="107">
        <f>IFERROR(CF112/CE112-1,"")</f>
      </c>
      <c r="CG114" s="107">
        <f>IFERROR(CG112/CF112-1,"")</f>
      </c>
      <c r="CH114" s="107">
        <f>IFERROR(CH112/CG112-1,"")</f>
      </c>
      <c r="CI114" s="293"/>
      <c r="CJ114" s="291">
        <f>IFERROR(CJ112/CH112-1,"")</f>
      </c>
      <c r="CK114" s="107">
        <f>IFERROR(CK112/CJ112-1,"")</f>
      </c>
      <c r="CL114" s="107">
        <f>IFERROR(CL112/CK112-1,"")</f>
      </c>
      <c r="CM114" s="107">
        <f>IFERROR(CM112/CL112-1,"")</f>
      </c>
      <c r="CN114" s="293"/>
      <c r="CO114" s="291">
        <f>IFERROR(CO112/CM112-1,"")</f>
      </c>
      <c r="CP114" s="107">
        <f>IFERROR(CP112/CO112-1,"")</f>
      </c>
      <c r="CQ114" s="107">
        <f>IFERROR(CQ112/CP112-1,"")</f>
      </c>
      <c r="CR114" s="107">
        <f>IFERROR(CR112/CQ112-1,"")</f>
      </c>
      <c r="CS114" s="293"/>
      <c r="CT114" s="291">
        <f>IFERROR(CT112/CR112-1,"")</f>
      </c>
      <c r="CU114" s="107">
        <f>IFERROR(CU112/CT112-1,"")</f>
      </c>
      <c r="CV114" s="107">
        <f>IFERROR(CV112/CU112-1,"")</f>
      </c>
      <c r="CW114" s="107">
        <f>IFERROR(CW112/CV112-1,"")</f>
      </c>
      <c r="CX114" s="293"/>
      <c r="CY114" s="291">
        <f>IFERROR(CY112/CW112-1,"")</f>
      </c>
      <c r="CZ114" s="107">
        <f>IFERROR(CZ112/CY112-1,"")</f>
      </c>
      <c r="DA114" s="107">
        <f>IFERROR(DA112/CZ112-1,"")</f>
      </c>
      <c r="DB114" s="107">
        <f>IFERROR(DB112/DA112-1,"")</f>
      </c>
      <c r="DC114" s="293"/>
      <c r="DD114" s="291">
        <f>IFERROR(DD112/DB112-1,"")</f>
      </c>
      <c r="DE114" s="107">
        <f>IFERROR(DE112/DD112-1,"")</f>
      </c>
      <c r="DF114" s="107">
        <f>IFERROR(DF112/DE112-1,"")</f>
      </c>
      <c r="DG114" s="107">
        <f>IFERROR(DG112/DF112-1,"")</f>
      </c>
      <c r="DH114" s="293"/>
      <c r="DI114" s="291">
        <f>IFERROR(DI112/DG112-1,"")</f>
      </c>
      <c r="DJ114" s="107">
        <f>IFERROR(DJ112/DI112-1,"")</f>
      </c>
      <c r="DK114" s="107">
        <f>IFERROR(DK112/DJ112-1,"")</f>
      </c>
      <c r="DL114" s="107">
        <f>IFERROR(DL112/DK112-1,"")</f>
      </c>
      <c r="DM114" s="293"/>
      <c r="DN114" s="291">
        <f>IFERROR(DN112/DL112-1,"")</f>
      </c>
      <c r="DO114" s="107">
        <f>IFERROR(DO112/DN112-1,"")</f>
      </c>
      <c r="DP114" s="107">
        <f>IFERROR(DP112/DO112-1,"")</f>
      </c>
      <c r="DQ114" s="107">
        <f>IFERROR(DQ112/DP112-1,"")</f>
      </c>
      <c r="DR114" s="293"/>
      <c r="DS114" s="291">
        <f>IFERROR(DS112/DQ112-1,"")</f>
      </c>
      <c r="DT114" s="107">
        <f>IFERROR(DT112/DS112-1,"")</f>
      </c>
      <c r="DU114" s="107">
        <f>IFERROR(DU112/DT112-1,"")</f>
      </c>
      <c r="DV114" s="107">
        <f>IFERROR(DV112/DU112-1,"")</f>
      </c>
      <c r="DW114" s="293"/>
      <c r="DX114" s="291">
        <f>IFERROR(DX112/DV112-1,"")</f>
      </c>
      <c r="DY114" s="107">
        <f>IFERROR(DY112/DX112-1,"")</f>
      </c>
      <c r="DZ114" s="107">
        <f>IFERROR(DZ112/DY112-1,"")</f>
      </c>
      <c r="EA114" s="107">
        <f>IFERROR(EA112/DZ112-1,"")</f>
      </c>
      <c r="EB114" s="293"/>
      <c r="EC114" s="291">
        <f>IFERROR(EC112/EA112-1,"")</f>
      </c>
      <c r="ED114" s="107">
        <f>IFERROR(ED112/EC112-1,"")</f>
      </c>
      <c r="EE114" s="107">
        <f>IFERROR(EE112/ED112-1,"")</f>
      </c>
      <c r="EF114" s="107">
        <f>IFERROR(EF112/EE112-1,"")</f>
      </c>
      <c r="EG114" s="293"/>
      <c r="EH114" s="291">
        <f>IFERROR(EH112/EF112-1,"")</f>
      </c>
      <c r="EI114" s="107">
        <f>IFERROR(EI112/EH112-1,"")</f>
      </c>
      <c r="EJ114" s="107">
        <f>IFERROR(EJ112/EI112-1,"")</f>
      </c>
      <c r="EK114" s="107">
        <f>IFERROR(EK112/EJ112-1,"")</f>
      </c>
      <c r="EL114" s="293"/>
      <c r="EM114" s="291">
        <f>IFERROR(EM112/EK112-1,"")</f>
      </c>
      <c r="EN114" s="107">
        <f>IFERROR(EN112/EM112-1,"")</f>
      </c>
      <c r="EO114" s="107">
        <f>IFERROR(EO112/EN112-1,"")</f>
      </c>
      <c r="EP114" s="107">
        <f>IFERROR(EP112/EO112-1,"")</f>
      </c>
      <c r="EQ114" s="293"/>
      <c r="ER114" s="291">
        <f>IFERROR(ER112/EP112-1,"")</f>
      </c>
      <c r="ES114" s="107">
        <f>IFERROR(ES112/ER112-1,"")</f>
      </c>
      <c r="ET114" s="107">
        <f>IFERROR(ET112/ES112-1,"")</f>
      </c>
      <c r="EU114" s="107">
        <f>IFERROR(EU112/ET112-1,"")</f>
      </c>
      <c r="EV114" s="293"/>
      <c r="EW114" s="291">
        <f>IFERROR(EW112/EU112-1,"")</f>
      </c>
      <c r="EX114" s="107">
        <f>IFERROR(EX112/EW112-1,"")</f>
      </c>
      <c r="EY114" s="107">
        <f>IFERROR(EY112/EX112-1,"")</f>
      </c>
      <c r="EZ114" s="107">
        <f>IFERROR(EZ112/EY112-1,"")</f>
      </c>
      <c r="FA114" s="293"/>
      <c r="FB114" s="291">
        <f>IFERROR(FB112/EZ112-1,"")</f>
      </c>
      <c r="FC114" s="107">
        <f>IFERROR(FC112/FB112-1,"")</f>
      </c>
      <c r="FD114" s="107">
        <f>IFERROR(FD112/FC112-1,"")</f>
      </c>
      <c r="FE114" s="107">
        <f>IFERROR(FE112/FD112-1,"")</f>
      </c>
      <c r="FF114" s="293"/>
      <c r="FG114" s="291">
        <f>IFERROR(FG112/FE112-1,"")</f>
      </c>
      <c r="FH114" s="107">
        <f>IFERROR(FH112/FG112-1,"")</f>
      </c>
      <c r="FI114" s="107">
        <f>IFERROR(FI112/FH112-1,"")</f>
      </c>
      <c r="FJ114" s="107">
        <f>IFERROR(FJ112/FI112-1,"")</f>
      </c>
      <c r="FK114" s="293"/>
      <c r="FL114" s="291">
        <f>IFERROR(FL112/FJ112-1,"")</f>
      </c>
      <c r="FM114" s="107">
        <f>IFERROR(FM112/FL112-1,"")</f>
      </c>
      <c r="FN114" s="107">
        <f>IFERROR(FN112/FM112-1,"")</f>
      </c>
      <c r="FO114" s="107">
        <f>IFERROR(FO112/FN112-1,"")</f>
      </c>
      <c r="FP114" s="293"/>
      <c r="FQ114" s="291">
        <f>IFERROR(FQ112/FO112-1,"")</f>
      </c>
      <c r="FR114" s="107">
        <f>IFERROR(FR112/FQ112-1,"")</f>
      </c>
      <c r="FS114" s="107">
        <f>IFERROR(FS112/FR112-1,"")</f>
      </c>
      <c r="FT114" s="107">
        <f>IFERROR(FT112/FS112-1,"")</f>
      </c>
      <c r="FU114" s="293"/>
      <c r="FV114" s="291">
        <f>IFERROR(FV112/FT112-1,"")</f>
      </c>
      <c r="FW114" s="107">
        <f>IFERROR(FW112/FV112-1,"")</f>
      </c>
      <c r="FX114" s="107">
        <f>IFERROR(FX112/FW112-1,"")</f>
      </c>
      <c r="FY114" s="107">
        <f>IFERROR(FY112/FX112-1,"")</f>
      </c>
      <c r="FZ114" s="293"/>
      <c r="GA114" s="291">
        <f>IFERROR(GA112/FY112-1,"")</f>
      </c>
      <c r="GB114" s="107">
        <f>IFERROR(GB112/GA112-1,"")</f>
      </c>
      <c r="GC114" s="107">
        <f>IFERROR(GC112/GB112-1,"")</f>
      </c>
      <c r="GD114" s="107">
        <f>IFERROR(GD112/GC112-1,"")</f>
      </c>
      <c r="GE114" s="293"/>
      <c r="GF114" s="291">
        <f>IFERROR(GF112/GD112-1,"")</f>
      </c>
      <c r="GG114" s="107">
        <f>IFERROR(GG112/GF112-1,"")</f>
      </c>
      <c r="GH114" s="107">
        <f>IFERROR(GH112/GG112-1,"")</f>
      </c>
      <c r="GI114" s="107">
        <f>IFERROR(GI112/GH112-1,"")</f>
      </c>
      <c r="GJ114" s="293"/>
    </row>
    <row r="115" spans="1:192" ht="12.75" customHeight="1">
      <c r="B115" s="617" t="s">
        <v>1939</v>
      </c>
      <c r="C115" s="463"/>
      <c r="D115" s="463"/>
      <c r="E115" s="463"/>
      <c r="F115" s="463"/>
      <c r="G115" s="466"/>
      <c r="H115" s="463">
        <f t="shared" ref="H115:AM115" si="260">H112-C112</f>
      </c>
      <c r="I115" s="463">
        <f t="shared" si="260"/>
      </c>
      <c r="J115" s="463">
        <f t="shared" si="260"/>
      </c>
      <c r="K115" s="463">
        <f t="shared" si="260"/>
      </c>
      <c r="L115" s="466">
        <f t="shared" si="260"/>
      </c>
      <c r="M115" s="463">
        <f t="shared" si="260"/>
      </c>
      <c r="N115" s="463">
        <f t="shared" si="260"/>
      </c>
      <c r="O115" s="463">
        <f t="shared" si="260"/>
      </c>
      <c r="P115" s="463">
        <f t="shared" si="260"/>
      </c>
      <c r="Q115" s="466">
        <f t="shared" si="260"/>
      </c>
      <c r="R115" s="463">
        <f t="shared" si="260"/>
      </c>
      <c r="S115" s="463">
        <f t="shared" si="260"/>
      </c>
      <c r="T115" s="463">
        <f t="shared" si="260"/>
      </c>
      <c r="U115" s="463">
        <f t="shared" si="260"/>
      </c>
      <c r="V115" s="466">
        <f t="shared" si="260"/>
      </c>
      <c r="W115" s="463">
        <f t="shared" si="260"/>
      </c>
      <c r="X115" s="463">
        <f t="shared" si="260"/>
      </c>
      <c r="Y115" s="463">
        <f t="shared" si="260"/>
      </c>
      <c r="Z115" s="463">
        <f t="shared" si="260"/>
      </c>
      <c r="AA115" s="466">
        <f t="shared" si="260"/>
      </c>
      <c r="AB115" s="463">
        <f t="shared" si="260"/>
      </c>
      <c r="AC115" s="463">
        <f t="shared" si="260"/>
      </c>
      <c r="AD115" s="463">
        <f t="shared" si="260"/>
      </c>
      <c r="AE115" s="463">
        <f t="shared" si="260"/>
      </c>
      <c r="AF115" s="466">
        <f t="shared" si="260"/>
      </c>
      <c r="AG115" s="463">
        <f t="shared" si="260"/>
      </c>
      <c r="AH115" s="463">
        <f t="shared" si="260"/>
      </c>
      <c r="AI115" s="463">
        <f t="shared" si="260"/>
      </c>
      <c r="AJ115" s="463">
        <f t="shared" si="260"/>
      </c>
      <c r="AK115" s="466">
        <f t="shared" si="260"/>
      </c>
      <c r="AL115" s="463">
        <f t="shared" si="260"/>
      </c>
      <c r="AM115" s="463">
        <f t="shared" si="260"/>
      </c>
      <c r="AN115" s="463">
        <f t="shared" ref="AN115:BS115" si="261">AN112-AI112</f>
      </c>
      <c r="AO115" s="463">
        <f t="shared" si="261"/>
      </c>
      <c r="AP115" s="466">
        <f t="shared" si="261"/>
      </c>
      <c r="AQ115" s="463">
        <f t="shared" si="261"/>
      </c>
      <c r="AR115" s="463">
        <f t="shared" si="261"/>
      </c>
      <c r="AS115" s="463">
        <f t="shared" si="261"/>
      </c>
      <c r="AT115" s="463">
        <f t="shared" si="261"/>
      </c>
      <c r="AU115" s="466">
        <f t="shared" si="261"/>
      </c>
      <c r="AV115" s="463">
        <f t="shared" si="261"/>
      </c>
      <c r="AW115" s="463">
        <f t="shared" si="261"/>
      </c>
      <c r="AX115" s="463">
        <f t="shared" si="261"/>
      </c>
      <c r="AY115" s="463">
        <f t="shared" si="261"/>
      </c>
      <c r="AZ115" s="466">
        <f t="shared" si="261"/>
      </c>
      <c r="BA115" s="463">
        <f t="shared" si="261"/>
      </c>
      <c r="BB115" s="463">
        <f t="shared" si="261"/>
      </c>
      <c r="BC115" s="463">
        <f t="shared" si="261"/>
      </c>
      <c r="BD115" s="463">
        <f t="shared" si="261"/>
      </c>
      <c r="BE115" s="466">
        <f t="shared" si="261"/>
      </c>
      <c r="BF115" s="463">
        <f t="shared" si="261"/>
      </c>
      <c r="BG115" s="463">
        <f t="shared" si="261"/>
      </c>
      <c r="BH115" s="463">
        <f t="shared" si="261"/>
      </c>
      <c r="BI115" s="463">
        <f t="shared" si="261"/>
      </c>
      <c r="BJ115" s="466">
        <f t="shared" si="261"/>
      </c>
      <c r="BK115" s="463">
        <f t="shared" si="261"/>
      </c>
      <c r="BL115" s="463">
        <f t="shared" si="261"/>
      </c>
      <c r="BM115" s="463">
        <f t="shared" si="261"/>
      </c>
      <c r="BN115" s="463">
        <f t="shared" si="261"/>
      </c>
      <c r="BO115" s="466">
        <f t="shared" si="261"/>
      </c>
      <c r="BP115" s="463">
        <f t="shared" si="261"/>
      </c>
      <c r="BQ115" s="463">
        <f t="shared" si="261"/>
      </c>
      <c r="BR115" s="463">
        <f t="shared" si="261"/>
      </c>
      <c r="BS115" s="463">
        <f t="shared" si="261"/>
      </c>
      <c r="BT115" s="466">
        <f t="shared" ref="BT115:CY115" si="262">BT112-BO112</f>
      </c>
      <c r="BU115" s="463">
        <f t="shared" si="262"/>
      </c>
      <c r="BV115" s="463">
        <f t="shared" si="262"/>
      </c>
      <c r="BW115" s="463">
        <f t="shared" si="262"/>
      </c>
      <c r="BX115" s="463">
        <f t="shared" si="262"/>
      </c>
      <c r="BY115" s="466">
        <f t="shared" si="262"/>
      </c>
      <c r="BZ115" s="463">
        <f t="shared" si="262"/>
      </c>
      <c r="CA115" s="463">
        <f t="shared" si="262"/>
      </c>
      <c r="CB115" s="463">
        <f t="shared" si="262"/>
      </c>
      <c r="CC115" s="463">
        <f t="shared" si="262"/>
      </c>
      <c r="CD115" s="466">
        <f t="shared" si="262"/>
      </c>
      <c r="CE115" s="463">
        <f t="shared" si="262"/>
      </c>
      <c r="CF115" s="463">
        <f t="shared" si="262"/>
      </c>
      <c r="CG115" s="463">
        <f t="shared" si="262"/>
      </c>
      <c r="CH115" s="463">
        <f t="shared" si="262"/>
      </c>
      <c r="CI115" s="466">
        <f t="shared" si="262"/>
      </c>
      <c r="CJ115" s="463">
        <f t="shared" si="262"/>
      </c>
      <c r="CK115" s="463">
        <f t="shared" si="262"/>
      </c>
      <c r="CL115" s="463">
        <f t="shared" si="262"/>
      </c>
      <c r="CM115" s="463">
        <f t="shared" si="262"/>
      </c>
      <c r="CN115" s="466">
        <f t="shared" si="262"/>
      </c>
      <c r="CO115" s="463">
        <f t="shared" si="262"/>
      </c>
      <c r="CP115" s="463">
        <f t="shared" si="262"/>
      </c>
      <c r="CQ115" s="463">
        <f t="shared" si="262"/>
      </c>
      <c r="CR115" s="463">
        <f t="shared" si="262"/>
      </c>
      <c r="CS115" s="466">
        <f t="shared" si="262"/>
      </c>
      <c r="CT115" s="463">
        <f t="shared" si="262"/>
      </c>
      <c r="CU115" s="463">
        <f t="shared" si="262"/>
      </c>
      <c r="CV115" s="463">
        <f t="shared" si="262"/>
      </c>
      <c r="CW115" s="463">
        <f t="shared" si="262"/>
      </c>
      <c r="CX115" s="466">
        <f t="shared" si="262"/>
      </c>
      <c r="CY115" s="463">
        <f t="shared" si="262"/>
      </c>
      <c r="CZ115" s="463">
        <f t="shared" ref="CZ115:EE115" si="263">CZ112-CU112</f>
      </c>
      <c r="DA115" s="463">
        <f t="shared" si="263"/>
      </c>
      <c r="DB115" s="463">
        <f t="shared" si="263"/>
      </c>
      <c r="DC115" s="466">
        <f t="shared" si="263"/>
      </c>
      <c r="DD115" s="463">
        <f t="shared" si="263"/>
      </c>
      <c r="DE115" s="463">
        <f t="shared" si="263"/>
      </c>
      <c r="DF115" s="463">
        <f t="shared" si="263"/>
      </c>
      <c r="DG115" s="463">
        <f t="shared" si="263"/>
      </c>
      <c r="DH115" s="466">
        <f t="shared" si="263"/>
      </c>
      <c r="DI115" s="463">
        <f t="shared" si="263"/>
      </c>
      <c r="DJ115" s="463">
        <f t="shared" si="263"/>
      </c>
      <c r="DK115" s="463">
        <f t="shared" si="263"/>
      </c>
      <c r="DL115" s="463">
        <f t="shared" si="263"/>
      </c>
      <c r="DM115" s="466">
        <f t="shared" si="263"/>
      </c>
      <c r="DN115" s="463">
        <f t="shared" si="263"/>
      </c>
      <c r="DO115" s="463">
        <f t="shared" si="263"/>
      </c>
      <c r="DP115" s="463">
        <f t="shared" si="263"/>
      </c>
      <c r="DQ115" s="463">
        <f t="shared" si="263"/>
      </c>
      <c r="DR115" s="466">
        <f t="shared" si="263"/>
      </c>
      <c r="DS115" s="463">
        <f t="shared" si="263"/>
      </c>
      <c r="DT115" s="463">
        <f t="shared" si="263"/>
      </c>
      <c r="DU115" s="463">
        <f t="shared" si="263"/>
      </c>
      <c r="DV115" s="463">
        <f t="shared" si="263"/>
      </c>
      <c r="DW115" s="466">
        <f t="shared" si="263"/>
      </c>
      <c r="DX115" s="463">
        <f t="shared" si="263"/>
      </c>
      <c r="DY115" s="463">
        <f t="shared" si="263"/>
      </c>
      <c r="DZ115" s="463">
        <f t="shared" si="263"/>
      </c>
      <c r="EA115" s="463">
        <f t="shared" si="263"/>
      </c>
      <c r="EB115" s="466">
        <f t="shared" si="263"/>
      </c>
      <c r="EC115" s="463">
        <f t="shared" si="263"/>
      </c>
      <c r="ED115" s="463">
        <f t="shared" si="263"/>
      </c>
      <c r="EE115" s="463">
        <f t="shared" si="263"/>
      </c>
      <c r="EF115" s="463">
        <f t="shared" ref="EF115:FK115" si="264">EF112-EA112</f>
      </c>
      <c r="EG115" s="466">
        <f t="shared" si="264"/>
      </c>
      <c r="EH115" s="463">
        <f t="shared" si="264"/>
      </c>
      <c r="EI115" s="463">
        <f t="shared" si="264"/>
      </c>
      <c r="EJ115" s="463">
        <f t="shared" si="264"/>
      </c>
      <c r="EK115" s="463">
        <f t="shared" si="264"/>
      </c>
      <c r="EL115" s="466">
        <f t="shared" si="264"/>
      </c>
      <c r="EM115" s="463">
        <f t="shared" si="264"/>
      </c>
      <c r="EN115" s="463">
        <f t="shared" si="264"/>
      </c>
      <c r="EO115" s="463">
        <f t="shared" si="264"/>
      </c>
      <c r="EP115" s="463">
        <f t="shared" si="264"/>
      </c>
      <c r="EQ115" s="466">
        <f t="shared" si="264"/>
      </c>
      <c r="ER115" s="463">
        <f t="shared" si="264"/>
      </c>
      <c r="ES115" s="463">
        <f t="shared" si="264"/>
      </c>
      <c r="ET115" s="463">
        <f t="shared" si="264"/>
      </c>
      <c r="EU115" s="463">
        <f t="shared" si="264"/>
      </c>
      <c r="EV115" s="466">
        <f t="shared" si="264"/>
      </c>
      <c r="EW115" s="463">
        <f t="shared" si="264"/>
      </c>
      <c r="EX115" s="463">
        <f t="shared" si="264"/>
      </c>
      <c r="EY115" s="463">
        <f t="shared" si="264"/>
      </c>
      <c r="EZ115" s="463">
        <f t="shared" si="264"/>
      </c>
      <c r="FA115" s="466">
        <f t="shared" si="264"/>
      </c>
      <c r="FB115" s="463">
        <f t="shared" si="264"/>
      </c>
      <c r="FC115" s="463">
        <f t="shared" si="264"/>
      </c>
      <c r="FD115" s="463">
        <f t="shared" si="264"/>
      </c>
      <c r="FE115" s="463">
        <f t="shared" si="264"/>
      </c>
      <c r="FF115" s="466">
        <f t="shared" si="264"/>
      </c>
      <c r="FG115" s="463">
        <f t="shared" si="264"/>
      </c>
      <c r="FH115" s="463">
        <f t="shared" si="264"/>
      </c>
      <c r="FI115" s="463">
        <f t="shared" si="264"/>
      </c>
      <c r="FJ115" s="463">
        <f t="shared" si="264"/>
      </c>
      <c r="FK115" s="466">
        <f t="shared" si="264"/>
      </c>
      <c r="FL115" s="463">
        <f t="shared" ref="FL115:GE115" si="265">FL112-FG112</f>
      </c>
      <c r="FM115" s="463">
        <f t="shared" si="265"/>
      </c>
      <c r="FN115" s="463">
        <f t="shared" si="265"/>
      </c>
      <c r="FO115" s="463">
        <f t="shared" si="265"/>
      </c>
      <c r="FP115" s="466">
        <f t="shared" si="265"/>
      </c>
      <c r="FQ115" s="463">
        <f t="shared" si="265"/>
      </c>
      <c r="FR115" s="463">
        <f t="shared" si="265"/>
      </c>
      <c r="FS115" s="463">
        <f t="shared" si="265"/>
      </c>
      <c r="FT115" s="463">
        <f t="shared" si="265"/>
      </c>
      <c r="FU115" s="466">
        <f t="shared" si="265"/>
      </c>
      <c r="FV115" s="463">
        <f t="shared" si="265"/>
      </c>
      <c r="FW115" s="463">
        <f t="shared" si="265"/>
      </c>
      <c r="FX115" s="463">
        <f t="shared" si="265"/>
      </c>
      <c r="FY115" s="463">
        <f t="shared" si="265"/>
      </c>
      <c r="FZ115" s="466">
        <f t="shared" si="265"/>
      </c>
      <c r="GA115" s="463">
        <f t="shared" si="265"/>
      </c>
      <c r="GB115" s="463">
        <f t="shared" si="265"/>
      </c>
      <c r="GC115" s="463">
        <f t="shared" si="265"/>
      </c>
      <c r="GD115" s="463">
        <f t="shared" si="265"/>
      </c>
      <c r="GE115" s="466">
        <f t="shared" si="265"/>
      </c>
      <c r="GF115" s="463">
        <f t="shared" ref="GF115" si="266">GF112-GA112</f>
      </c>
      <c r="GG115" s="463">
        <f t="shared" ref="GG115" si="267">GG112-GB112</f>
      </c>
      <c r="GH115" s="463">
        <f t="shared" ref="GH115" si="268">GH112-GC112</f>
      </c>
      <c r="GI115" s="463">
        <f t="shared" ref="GI115" si="269">GI112-GD112</f>
      </c>
      <c r="GJ115" s="466">
        <f t="shared" ref="GJ115" si="270">GJ112-GE112</f>
      </c>
    </row>
    <row r="116" spans="1:192" ht="12.75" customHeight="1">
      <c r="B116" s="617" t="s">
        <v>1940</v>
      </c>
      <c r="C116" s="470"/>
      <c r="D116" s="463">
        <f>D112-C112</f>
      </c>
      <c r="E116" s="463">
        <f>E112-D112</f>
      </c>
      <c r="F116" s="463">
        <f>F112-E112</f>
      </c>
      <c r="G116" s="293"/>
      <c r="H116" s="470">
        <f>H112-F112</f>
      </c>
      <c r="I116" s="463">
        <f>I112-H112</f>
      </c>
      <c r="J116" s="463">
        <f>J112-I112</f>
      </c>
      <c r="K116" s="463">
        <f>K112-J112</f>
      </c>
      <c r="L116" s="293"/>
      <c r="M116" s="470">
        <f>M112-K112</f>
      </c>
      <c r="N116" s="463">
        <f>N112-M112</f>
      </c>
      <c r="O116" s="463">
        <f>O112-N112</f>
      </c>
      <c r="P116" s="463">
        <f>P112-O112</f>
      </c>
      <c r="Q116" s="293"/>
      <c r="R116" s="470">
        <f>R112-P112</f>
      </c>
      <c r="S116" s="463">
        <f>S112-R112</f>
      </c>
      <c r="T116" s="463">
        <f>T112-S112</f>
      </c>
      <c r="U116" s="463">
        <f>U112-T112</f>
      </c>
      <c r="V116" s="293"/>
      <c r="W116" s="470">
        <f>W112-U112</f>
      </c>
      <c r="X116" s="463">
        <f>X112-W112</f>
      </c>
      <c r="Y116" s="463">
        <f>Y112-X112</f>
      </c>
      <c r="Z116" s="463">
        <f>Z112-Y112</f>
      </c>
      <c r="AA116" s="293"/>
      <c r="AB116" s="470">
        <f>AB112-Z112</f>
      </c>
      <c r="AC116" s="463">
        <f>AC112-AB112</f>
      </c>
      <c r="AD116" s="463">
        <f>AD112-AC112</f>
      </c>
      <c r="AE116" s="463">
        <f>AE112-AD112</f>
      </c>
      <c r="AF116" s="293"/>
      <c r="AG116" s="470">
        <f>AG112-AE112</f>
      </c>
      <c r="AH116" s="463">
        <f>AH112-AG112</f>
      </c>
      <c r="AI116" s="463">
        <f>AI112-AH112</f>
      </c>
      <c r="AJ116" s="463">
        <f>AJ112-AI112</f>
      </c>
      <c r="AK116" s="293"/>
      <c r="AL116" s="470">
        <f>AL112-AJ112</f>
      </c>
      <c r="AM116" s="463">
        <f>AM112-AL112</f>
      </c>
      <c r="AN116" s="463">
        <f>AN112-AM112</f>
      </c>
      <c r="AO116" s="463">
        <f>AO112-AN112</f>
      </c>
      <c r="AP116" s="293"/>
      <c r="AQ116" s="470">
        <f>AQ112-AO112</f>
      </c>
      <c r="AR116" s="463">
        <f>AR112-AQ112</f>
      </c>
      <c r="AS116" s="463">
        <f>AS112-AR112</f>
      </c>
      <c r="AT116" s="463">
        <f>AT112-AS112</f>
      </c>
      <c r="AU116" s="293"/>
      <c r="AV116" s="470">
        <f>AV112-AT112</f>
      </c>
      <c r="AW116" s="463">
        <f>AW112-AV112</f>
      </c>
      <c r="AX116" s="463">
        <f>AX112-AW112</f>
      </c>
      <c r="AY116" s="463">
        <f>AY112-AX112</f>
      </c>
      <c r="AZ116" s="293"/>
      <c r="BA116" s="470">
        <f>BA112-AY112</f>
      </c>
      <c r="BB116" s="463">
        <f>BB112-BA112</f>
      </c>
      <c r="BC116" s="463">
        <f>BC112-BB112</f>
      </c>
      <c r="BD116" s="463">
        <f>BD112-BC112</f>
      </c>
      <c r="BE116" s="293"/>
      <c r="BF116" s="470">
        <f>BF112-BD112</f>
      </c>
      <c r="BG116" s="463">
        <f>BG112-BF112</f>
      </c>
      <c r="BH116" s="463">
        <f>BH112-BG112</f>
      </c>
      <c r="BI116" s="463">
        <f>BI112-BH112</f>
      </c>
      <c r="BJ116" s="293"/>
      <c r="BK116" s="470">
        <f>BK112-BI112</f>
      </c>
      <c r="BL116" s="463">
        <f>BL112-BK112</f>
      </c>
      <c r="BM116" s="463">
        <f>BM112-BL112</f>
      </c>
      <c r="BN116" s="463">
        <f>BN112-BM112</f>
      </c>
      <c r="BO116" s="293"/>
      <c r="BP116" s="470">
        <f>BP112-BN112</f>
      </c>
      <c r="BQ116" s="463">
        <f>BQ112-BP112</f>
      </c>
      <c r="BR116" s="463">
        <f>BR112-BQ112</f>
      </c>
      <c r="BS116" s="463">
        <f>BS112-BR112</f>
      </c>
      <c r="BT116" s="293"/>
      <c r="BU116" s="470">
        <f>BU112-BS112</f>
      </c>
      <c r="BV116" s="463">
        <f>BV112-BU112</f>
      </c>
      <c r="BW116" s="463">
        <f>BW112-BV112</f>
      </c>
      <c r="BX116" s="463">
        <f>BX112-BW112</f>
      </c>
      <c r="BY116" s="293"/>
      <c r="BZ116" s="470">
        <f>BZ112-BX112</f>
      </c>
      <c r="CA116" s="463">
        <f>CA112-BZ112</f>
      </c>
      <c r="CB116" s="463">
        <f>CB112-CA112</f>
      </c>
      <c r="CC116" s="463">
        <f>CC112-CB112</f>
      </c>
      <c r="CD116" s="293"/>
      <c r="CE116" s="470">
        <f>CE112-CC112</f>
      </c>
      <c r="CF116" s="463">
        <f>CF112-CE112</f>
      </c>
      <c r="CG116" s="463">
        <f>CG112-CF112</f>
      </c>
      <c r="CH116" s="463">
        <f>CH112-CG112</f>
      </c>
      <c r="CI116" s="293"/>
      <c r="CJ116" s="470">
        <f>CJ112-CH112</f>
      </c>
      <c r="CK116" s="463">
        <f>CK112-CJ112</f>
      </c>
      <c r="CL116" s="463">
        <f>CL112-CK112</f>
      </c>
      <c r="CM116" s="463">
        <f>CM112-CL112</f>
      </c>
      <c r="CN116" s="293"/>
      <c r="CO116" s="470">
        <f>CO112-CM112</f>
      </c>
      <c r="CP116" s="463">
        <f>CP112-CO112</f>
      </c>
      <c r="CQ116" s="463">
        <f>CQ112-CP112</f>
      </c>
      <c r="CR116" s="463">
        <f>CR112-CQ112</f>
      </c>
      <c r="CS116" s="293"/>
      <c r="CT116" s="470">
        <f>CT112-CR112</f>
      </c>
      <c r="CU116" s="463">
        <f>CU112-CT112</f>
      </c>
      <c r="CV116" s="463">
        <f>CV112-CU112</f>
      </c>
      <c r="CW116" s="463">
        <f>CW112-CV112</f>
      </c>
      <c r="CX116" s="293"/>
      <c r="CY116" s="470">
        <f>CY112-CW112</f>
      </c>
      <c r="CZ116" s="463">
        <f>CZ112-CY112</f>
      </c>
      <c r="DA116" s="463">
        <f>DA112-CZ112</f>
      </c>
      <c r="DB116" s="463">
        <f>DB112-DA112</f>
      </c>
      <c r="DC116" s="293"/>
      <c r="DD116" s="470">
        <f>DD112-DB112</f>
      </c>
      <c r="DE116" s="463">
        <f>DE112-DD112</f>
      </c>
      <c r="DF116" s="463">
        <f>DF112-DE112</f>
      </c>
      <c r="DG116" s="463">
        <f>DG112-DF112</f>
      </c>
      <c r="DH116" s="293"/>
      <c r="DI116" s="470">
        <f>DI112-DG112</f>
      </c>
      <c r="DJ116" s="463">
        <f>DJ112-DI112</f>
      </c>
      <c r="DK116" s="463">
        <f>DK112-DJ112</f>
      </c>
      <c r="DL116" s="463">
        <f>DL112-DK112</f>
      </c>
      <c r="DM116" s="293"/>
      <c r="DN116" s="470">
        <f>DN112-DL112</f>
      </c>
      <c r="DO116" s="463">
        <f>DO112-DN112</f>
      </c>
      <c r="DP116" s="463">
        <f>DP112-DO112</f>
      </c>
      <c r="DQ116" s="463">
        <f>DQ112-DP112</f>
      </c>
      <c r="DR116" s="293"/>
      <c r="DS116" s="470">
        <f>DS112-DQ112</f>
      </c>
      <c r="DT116" s="463">
        <f>DT112-DS112</f>
      </c>
      <c r="DU116" s="463">
        <f>DU112-DT112</f>
      </c>
      <c r="DV116" s="463">
        <f>DV112-DU112</f>
      </c>
      <c r="DW116" s="293"/>
      <c r="DX116" s="470">
        <f>DX112-DV112</f>
      </c>
      <c r="DY116" s="463">
        <f>DY112-DX112</f>
      </c>
      <c r="DZ116" s="463">
        <f>DZ112-DY112</f>
      </c>
      <c r="EA116" s="463">
        <f>EA112-DZ112</f>
      </c>
      <c r="EB116" s="293"/>
      <c r="EC116" s="470">
        <f>EC112-EA112</f>
      </c>
      <c r="ED116" s="463">
        <f>ED112-EC112</f>
      </c>
      <c r="EE116" s="463">
        <f>EE112-ED112</f>
      </c>
      <c r="EF116" s="463">
        <f>EF112-EE112</f>
      </c>
      <c r="EG116" s="293"/>
      <c r="EH116" s="470">
        <f>EH112-EF112</f>
      </c>
      <c r="EI116" s="463">
        <f>EI112-EH112</f>
      </c>
      <c r="EJ116" s="463">
        <f>EJ112-EI112</f>
      </c>
      <c r="EK116" s="463">
        <f>EK112-EJ112</f>
      </c>
      <c r="EL116" s="293"/>
      <c r="EM116" s="470">
        <f>EM112-EK112</f>
      </c>
      <c r="EN116" s="463">
        <f>EN112-EM112</f>
      </c>
      <c r="EO116" s="463">
        <f>EO112-EN112</f>
      </c>
      <c r="EP116" s="463">
        <f>EP112-EO112</f>
      </c>
      <c r="EQ116" s="293"/>
      <c r="ER116" s="470">
        <f>ER112-EP112</f>
      </c>
      <c r="ES116" s="463">
        <f>ES112-ER112</f>
      </c>
      <c r="ET116" s="463">
        <f>ET112-ES112</f>
      </c>
      <c r="EU116" s="463">
        <f>EU112-ET112</f>
      </c>
      <c r="EV116" s="293"/>
      <c r="EW116" s="470">
        <f>EW112-EU112</f>
      </c>
      <c r="EX116" s="463">
        <f>EX112-EW112</f>
      </c>
      <c r="EY116" s="463">
        <f>EY112-EX112</f>
      </c>
      <c r="EZ116" s="463">
        <f>EZ112-EY112</f>
      </c>
      <c r="FA116" s="293"/>
      <c r="FB116" s="470">
        <f>FB112-EZ112</f>
      </c>
      <c r="FC116" s="463">
        <f>FC112-FB112</f>
      </c>
      <c r="FD116" s="463">
        <f>FD112-FC112</f>
      </c>
      <c r="FE116" s="463">
        <f>FE112-FD112</f>
      </c>
      <c r="FF116" s="293"/>
      <c r="FG116" s="470">
        <f>FG112-FE112</f>
      </c>
      <c r="FH116" s="463">
        <f>FH112-FG112</f>
      </c>
      <c r="FI116" s="463">
        <f>FI112-FH112</f>
      </c>
      <c r="FJ116" s="463">
        <f>FJ112-FI112</f>
      </c>
      <c r="FK116" s="293"/>
      <c r="FL116" s="470">
        <f>FL112-FJ112</f>
      </c>
      <c r="FM116" s="463">
        <f>FM112-FL112</f>
      </c>
      <c r="FN116" s="463">
        <f>FN112-FM112</f>
      </c>
      <c r="FO116" s="463">
        <f>FO112-FN112</f>
      </c>
      <c r="FP116" s="293"/>
      <c r="FQ116" s="470">
        <f>FQ112-FO112</f>
      </c>
      <c r="FR116" s="463">
        <f>FR112-FQ112</f>
      </c>
      <c r="FS116" s="463">
        <f>FS112-FR112</f>
      </c>
      <c r="FT116" s="463">
        <f>FT112-FS112</f>
      </c>
      <c r="FU116" s="293"/>
      <c r="FV116" s="470">
        <f>FV112-FT112</f>
      </c>
      <c r="FW116" s="463">
        <f>FW112-FV112</f>
      </c>
      <c r="FX116" s="463">
        <f>FX112-FW112</f>
      </c>
      <c r="FY116" s="463">
        <f>FY112-FX112</f>
      </c>
      <c r="FZ116" s="293"/>
      <c r="GA116" s="470">
        <f>GA112-FY112</f>
      </c>
      <c r="GB116" s="463">
        <f>GB112-GA112</f>
      </c>
      <c r="GC116" s="463">
        <f>GC112-GB112</f>
      </c>
      <c r="GD116" s="463">
        <f>GD112-GC112</f>
      </c>
      <c r="GE116" s="293"/>
      <c r="GF116" s="470">
        <f>GF112-GD112</f>
      </c>
      <c r="GG116" s="463">
        <f>GG112-GF112</f>
      </c>
      <c r="GH116" s="463">
        <f>GH112-GG112</f>
      </c>
      <c r="GI116" s="463">
        <f>GI112-GH112</f>
      </c>
      <c r="GJ116" s="293"/>
    </row>
    <row r="117" spans="1:192" s="341" customFormat="1" ht="12.75" customHeight="1">
      <c r="A117" s="774"/>
      <c r="B117" s="342"/>
      <c r="C117" s="343"/>
      <c r="D117" s="344"/>
      <c r="E117" s="344"/>
      <c r="F117" s="344"/>
      <c r="G117" s="345"/>
      <c r="H117" s="343"/>
      <c r="I117" s="344"/>
      <c r="J117" s="344"/>
      <c r="K117" s="344"/>
      <c r="L117" s="345"/>
      <c r="M117" s="343"/>
      <c r="N117" s="344"/>
      <c r="O117" s="344"/>
      <c r="P117" s="344"/>
      <c r="Q117" s="345"/>
      <c r="R117" s="343"/>
      <c r="S117" s="344"/>
      <c r="T117" s="344"/>
      <c r="U117" s="344"/>
      <c r="V117" s="345"/>
      <c r="W117" s="343"/>
      <c r="X117" s="344"/>
      <c r="Y117" s="344"/>
      <c r="Z117" s="344"/>
      <c r="AA117" s="345"/>
      <c r="AB117" s="343"/>
      <c r="AC117" s="344"/>
      <c r="AD117" s="344"/>
      <c r="AE117" s="344"/>
      <c r="AF117" s="345"/>
      <c r="AG117" s="343"/>
      <c r="AH117" s="344"/>
      <c r="AI117" s="344"/>
      <c r="AJ117" s="344"/>
      <c r="AK117" s="345"/>
      <c r="AL117" s="343"/>
      <c r="AM117" s="344"/>
      <c r="AN117" s="344"/>
      <c r="AO117" s="344"/>
      <c r="AP117" s="345"/>
      <c r="AQ117" s="343"/>
      <c r="AR117" s="344"/>
      <c r="AS117" s="344"/>
      <c r="AT117" s="344"/>
      <c r="AU117" s="345"/>
      <c r="AV117" s="343"/>
      <c r="AW117" s="344"/>
      <c r="AX117" s="344"/>
      <c r="AY117" s="344"/>
      <c r="AZ117" s="345"/>
      <c r="BA117" s="343"/>
      <c r="BB117" s="344"/>
      <c r="BC117" s="344"/>
      <c r="BD117" s="344"/>
      <c r="BE117" s="345"/>
      <c r="BF117" s="343"/>
      <c r="BG117" s="344"/>
      <c r="BH117" s="344"/>
      <c r="BI117" s="344"/>
      <c r="BJ117" s="345"/>
      <c r="BK117" s="343"/>
      <c r="BL117" s="344"/>
      <c r="BM117" s="344"/>
      <c r="BN117" s="344"/>
      <c r="BO117" s="345"/>
      <c r="BP117" s="343"/>
      <c r="BQ117" s="344"/>
      <c r="BR117" s="344"/>
      <c r="BS117" s="344"/>
      <c r="BT117" s="345"/>
      <c r="BU117" s="343"/>
      <c r="BV117" s="344"/>
      <c r="BW117" s="344"/>
      <c r="BX117" s="344"/>
      <c r="BY117" s="345"/>
      <c r="BZ117" s="343"/>
      <c r="CA117" s="344"/>
      <c r="CB117" s="344"/>
      <c r="CC117" s="344"/>
      <c r="CD117" s="345"/>
      <c r="CE117" s="343"/>
      <c r="CF117" s="344"/>
      <c r="CG117" s="344"/>
      <c r="CH117" s="344"/>
      <c r="CI117" s="345"/>
      <c r="CJ117" s="343"/>
      <c r="CK117" s="344"/>
      <c r="CL117" s="344"/>
      <c r="CM117" s="344"/>
      <c r="CN117" s="345"/>
      <c r="CO117" s="343"/>
      <c r="CP117" s="344"/>
      <c r="CQ117" s="344"/>
      <c r="CR117" s="344"/>
      <c r="CS117" s="345"/>
      <c r="CT117" s="343"/>
      <c r="CU117" s="344"/>
      <c r="CV117" s="344"/>
      <c r="CW117" s="344"/>
      <c r="CX117" s="345"/>
      <c r="CY117" s="343"/>
      <c r="CZ117" s="344"/>
      <c r="DA117" s="344"/>
      <c r="DB117" s="344"/>
      <c r="DC117" s="345"/>
      <c r="DD117" s="343"/>
      <c r="DE117" s="344"/>
      <c r="DF117" s="344"/>
      <c r="DG117" s="344"/>
      <c r="DH117" s="345"/>
      <c r="DI117" s="343"/>
      <c r="DJ117" s="344"/>
      <c r="DK117" s="344"/>
      <c r="DL117" s="344"/>
      <c r="DM117" s="345"/>
      <c r="DN117" s="343"/>
      <c r="DO117" s="344"/>
      <c r="DP117" s="344"/>
      <c r="DQ117" s="344"/>
      <c r="DR117" s="345"/>
      <c r="DS117" s="343"/>
      <c r="DT117" s="344"/>
      <c r="DU117" s="344"/>
      <c r="DV117" s="344"/>
      <c r="DW117" s="345"/>
      <c r="DX117" s="343"/>
      <c r="DY117" s="344"/>
      <c r="DZ117" s="344"/>
      <c r="EA117" s="344"/>
      <c r="EB117" s="345"/>
      <c r="EC117" s="343"/>
      <c r="ED117" s="344"/>
      <c r="EE117" s="344"/>
      <c r="EF117" s="344"/>
      <c r="EG117" s="345"/>
      <c r="EH117" s="343"/>
      <c r="EI117" s="344"/>
      <c r="EJ117" s="344"/>
      <c r="EK117" s="344"/>
      <c r="EL117" s="345"/>
      <c r="EM117" s="343"/>
      <c r="EN117" s="344"/>
      <c r="EO117" s="344"/>
      <c r="EP117" s="344"/>
      <c r="EQ117" s="345"/>
      <c r="ER117" s="343"/>
      <c r="ES117" s="344"/>
      <c r="ET117" s="344"/>
      <c r="EU117" s="344"/>
      <c r="EV117" s="1670"/>
      <c r="EW117" s="343"/>
      <c r="EX117" s="344"/>
      <c r="EY117" s="344"/>
      <c r="EZ117" s="344"/>
      <c r="FA117" s="1670"/>
      <c r="FB117" s="343"/>
      <c r="FC117" s="1640"/>
      <c r="FD117" s="344"/>
      <c r="FE117" s="344"/>
      <c r="FF117" s="1670"/>
      <c r="FG117" s="343"/>
      <c r="FH117" s="1640"/>
      <c r="FI117" s="344"/>
      <c r="FJ117" s="344"/>
      <c r="FK117" s="1670"/>
      <c r="FL117" s="343"/>
      <c r="FM117" s="1640"/>
      <c r="FN117" s="344"/>
      <c r="FO117" s="344"/>
      <c r="FP117" s="345"/>
      <c r="FQ117" s="343"/>
      <c r="FR117" s="1640"/>
      <c r="FS117" s="344"/>
      <c r="FT117" s="344"/>
      <c r="FU117" s="345"/>
      <c r="FV117" s="343"/>
      <c r="FW117" s="1640"/>
      <c r="FX117" s="344"/>
      <c r="FY117" s="344"/>
      <c r="FZ117" s="345"/>
      <c r="GA117" s="343"/>
      <c r="GB117" s="344"/>
      <c r="GC117" s="344"/>
      <c r="GD117" s="344"/>
      <c r="GE117" s="345"/>
      <c r="GF117" s="343"/>
      <c r="GG117" s="344"/>
      <c r="GH117" s="344"/>
      <c r="GI117" s="344"/>
      <c r="GJ117" s="345"/>
    </row>
    <row r="118" spans="1:192" s="623" customFormat="1" ht="12.75" customHeight="1">
      <c r="A118" s="68" t="s">
        <v>347</v>
      </c>
      <c r="B118" s="621" t="s">
        <v>149</v>
      </c>
      <c r="C118" s="619">
        <f>C66-C112</f>
      </c>
      <c r="D118" s="619">
        <f>D66-D112</f>
      </c>
      <c r="E118" s="619">
        <f>E66-E112</f>
      </c>
      <c r="F118" s="619">
        <f>F66-F112</f>
      </c>
      <c r="G118" s="622">
        <f>SUM(C118:F118)</f>
      </c>
      <c r="H118" s="619">
        <f>H66-H112</f>
      </c>
      <c r="I118" s="619">
        <f>I66-I112</f>
      </c>
      <c r="J118" s="619">
        <f>J66-J112</f>
      </c>
      <c r="K118" s="619">
        <f>K66-K112</f>
      </c>
      <c r="L118" s="622">
        <f>SUM(H118:K118)</f>
      </c>
      <c r="M118" s="619">
        <f>M66-M112</f>
      </c>
      <c r="N118" s="619">
        <f>N66-N112</f>
      </c>
      <c r="O118" s="619">
        <f>O66-O112</f>
      </c>
      <c r="P118" s="619">
        <f>P66-P112</f>
      </c>
      <c r="Q118" s="622">
        <f>SUM(M118:P118)</f>
      </c>
      <c r="R118" s="619">
        <f>R66-R112</f>
      </c>
      <c r="S118" s="619">
        <f>S66-S112</f>
      </c>
      <c r="T118" s="619">
        <f>T66-T112</f>
      </c>
      <c r="U118" s="619">
        <f>U66-U112</f>
      </c>
      <c r="V118" s="622">
        <f>SUM(R118:U118)</f>
      </c>
      <c r="W118" s="619">
        <f>W66-W112</f>
      </c>
      <c r="X118" s="619">
        <f>X66-X112</f>
      </c>
      <c r="Y118" s="619">
        <f>Y66-Y112</f>
      </c>
      <c r="Z118" s="619">
        <f>Z66-Z112</f>
      </c>
      <c r="AA118" s="622">
        <f>SUM(W118:Z118)</f>
      </c>
      <c r="AB118" s="619">
        <f>AB66-AB112</f>
      </c>
      <c r="AC118" s="619">
        <f>AC66-AC112</f>
      </c>
      <c r="AD118" s="619">
        <f>AD66-AD112</f>
      </c>
      <c r="AE118" s="619">
        <f>AE66-AE112</f>
      </c>
      <c r="AF118" s="622">
        <f>SUM(AB118:AE118)</f>
      </c>
      <c r="AG118" s="619">
        <f>AG66-AG112</f>
      </c>
      <c r="AH118" s="619">
        <f>AH66-AH112</f>
      </c>
      <c r="AI118" s="619">
        <f>AI66-AI112</f>
      </c>
      <c r="AJ118" s="619">
        <f>AJ66-AJ112</f>
      </c>
      <c r="AK118" s="622">
        <f>SUM(AG118:AJ118)</f>
      </c>
      <c r="AL118" s="619">
        <f>AL66-AL112</f>
      </c>
      <c r="AM118" s="619">
        <f>AM66-AM112</f>
      </c>
      <c r="AN118" s="619">
        <f>AN66-AN112</f>
      </c>
      <c r="AO118" s="619">
        <f>AO66-AO112</f>
      </c>
      <c r="AP118" s="622">
        <f>SUM(AL118:AO118)</f>
      </c>
      <c r="AQ118" s="619">
        <f>AQ66-AQ112</f>
      </c>
      <c r="AR118" s="619">
        <f>AR66-AR112</f>
      </c>
      <c r="AS118" s="619">
        <f>AS66-AS112</f>
      </c>
      <c r="AT118" s="619">
        <f>AT66-AT112</f>
      </c>
      <c r="AU118" s="622">
        <f>SUM(AQ118:AT118)</f>
      </c>
      <c r="AV118" s="619">
        <f>AV66-AV112</f>
      </c>
      <c r="AW118" s="619">
        <f>AW66-AW112</f>
      </c>
      <c r="AX118" s="619">
        <f>AX66-AX112</f>
      </c>
      <c r="AY118" s="619">
        <f>AY66-AY112</f>
      </c>
      <c r="AZ118" s="622">
        <f>SUM(AV118:AY118)</f>
      </c>
      <c r="BA118" s="619">
        <f>BA66-BA112</f>
      </c>
      <c r="BB118" s="619">
        <f>BB66-BB112</f>
      </c>
      <c r="BC118" s="619">
        <f>BC66-BC112</f>
      </c>
      <c r="BD118" s="619">
        <f>BD66-BD112</f>
      </c>
      <c r="BE118" s="622">
        <f>SUM(BA118:BD118)</f>
      </c>
      <c r="BF118" s="619">
        <f>BF66-BF112</f>
      </c>
      <c r="BG118" s="619">
        <f>BG66-BG112</f>
      </c>
      <c r="BH118" s="619">
        <f>BH66-BH112</f>
      </c>
      <c r="BI118" s="619">
        <f>BI66-BI112</f>
      </c>
      <c r="BJ118" s="622">
        <f>SUM(BF118:BI118)</f>
      </c>
      <c r="BK118" s="619">
        <f>BK66-BK112</f>
      </c>
      <c r="BL118" s="619">
        <f>BL66-BL112</f>
      </c>
      <c r="BM118" s="619">
        <f>BM66-BM112</f>
      </c>
      <c r="BN118" s="619">
        <f>BN66-BN112</f>
      </c>
      <c r="BO118" s="622">
        <f>SUM(BK118:BN118)</f>
      </c>
      <c r="BP118" s="619">
        <f>BP66-BP112</f>
      </c>
      <c r="BQ118" s="619">
        <f>BQ66-BQ112</f>
      </c>
      <c r="BR118" s="619">
        <f>BR66-BR112</f>
      </c>
      <c r="BS118" s="619">
        <f>BS66-BS112</f>
      </c>
      <c r="BT118" s="622">
        <f>SUM(BP118:BS118)</f>
      </c>
      <c r="BU118" s="619">
        <f>BU66-BU112</f>
      </c>
      <c r="BV118" s="619">
        <f>BV66-BV112</f>
      </c>
      <c r="BW118" s="619">
        <f>BW66-BW112</f>
      </c>
      <c r="BX118" s="619">
        <f>BX66-BX112</f>
      </c>
      <c r="BY118" s="622">
        <f>SUM(BU118:BX118)</f>
      </c>
      <c r="BZ118" s="619">
        <f>BZ66-BZ112</f>
      </c>
      <c r="CA118" s="619">
        <f>CA66-CA112</f>
      </c>
      <c r="CB118" s="619">
        <f>CB66-CB112</f>
      </c>
      <c r="CC118" s="619">
        <f>CC66-CC112</f>
      </c>
      <c r="CD118" s="622">
        <f>SUM(BZ118:CC118)</f>
      </c>
      <c r="CE118" s="619">
        <f>CE66-CE112</f>
      </c>
      <c r="CF118" s="619">
        <f>CF66-CF112</f>
      </c>
      <c r="CG118" s="619">
        <f>CG66-CG112</f>
      </c>
      <c r="CH118" s="619">
        <f>CH66-CH112</f>
      </c>
      <c r="CI118" s="622">
        <f>SUM(CE118:CH118)</f>
      </c>
      <c r="CJ118" s="619">
        <f>CJ66-CJ112</f>
      </c>
      <c r="CK118" s="619">
        <f>CK66-CK112</f>
      </c>
      <c r="CL118" s="619">
        <f>CL66-CL112</f>
      </c>
      <c r="CM118" s="619">
        <f>CM66-CM112</f>
      </c>
      <c r="CN118" s="622">
        <f>SUM(CJ118:CM118)</f>
      </c>
      <c r="CO118" s="619">
        <f>CO66-CO112</f>
      </c>
      <c r="CP118" s="619">
        <f>CP66-CP112</f>
      </c>
      <c r="CQ118" s="619">
        <f>CQ66-CQ112</f>
      </c>
      <c r="CR118" s="619">
        <f>CR66-CR112</f>
      </c>
      <c r="CS118" s="622">
        <f>SUM(CO118:CR118)</f>
      </c>
      <c r="CT118" s="619">
        <f>CT66-CT112</f>
      </c>
      <c r="CU118" s="619">
        <f>CU66-CU112</f>
      </c>
      <c r="CV118" s="619">
        <f>CV66-CV112</f>
      </c>
      <c r="CW118" s="619">
        <f>CW66-CW112</f>
      </c>
      <c r="CX118" s="622">
        <f>SUM(CT118:CW118)</f>
      </c>
      <c r="CY118" s="619">
        <f>CY66-CY112</f>
      </c>
      <c r="CZ118" s="619">
        <f>CZ66-CZ112</f>
      </c>
      <c r="DA118" s="619">
        <f>DA66-DA112</f>
      </c>
      <c r="DB118" s="619">
        <f>DB66-DB112</f>
      </c>
      <c r="DC118" s="622">
        <f>SUM(CY118:DB118)</f>
      </c>
      <c r="DD118" s="619">
        <f>DD66-DD112</f>
      </c>
      <c r="DE118" s="619">
        <f>DE66-DE112</f>
      </c>
      <c r="DF118" s="619">
        <f>DF66-DF112</f>
      </c>
      <c r="DG118" s="619">
        <f>DG66-DG112</f>
      </c>
      <c r="DH118" s="622">
        <f>SUM(DD118:DG118)</f>
      </c>
      <c r="DI118" s="619">
        <f>DI66-DI112</f>
      </c>
      <c r="DJ118" s="619">
        <f>DJ66-DJ112</f>
      </c>
      <c r="DK118" s="619">
        <f>DK66-DK112</f>
      </c>
      <c r="DL118" s="619">
        <f>DL66-DL112</f>
      </c>
      <c r="DM118" s="622">
        <f>SUM(DI118:DL118)</f>
      </c>
      <c r="DN118" s="619">
        <f>DN66-DN112</f>
      </c>
      <c r="DO118" s="619">
        <f>DO66-DO112</f>
      </c>
      <c r="DP118" s="619">
        <f>DP66-DP112</f>
      </c>
      <c r="DQ118" s="619">
        <f>DQ66-DQ112</f>
      </c>
      <c r="DR118" s="622">
        <f>SUM(DN118:DQ118)</f>
      </c>
      <c r="DS118" s="619">
        <f>DS66-DS112</f>
      </c>
      <c r="DT118" s="619">
        <f>DT66-DT112</f>
      </c>
      <c r="DU118" s="619">
        <f>DU66-DU112</f>
      </c>
      <c r="DV118" s="619">
        <f>DV66-DV112</f>
      </c>
      <c r="DW118" s="622">
        <f>SUM(DS118:DV118)</f>
      </c>
      <c r="DX118" s="619">
        <f>DX66-DX112</f>
      </c>
      <c r="DY118" s="619">
        <f>DY66-DY112</f>
      </c>
      <c r="DZ118" s="619">
        <f>DZ66-DZ112</f>
      </c>
      <c r="EA118" s="619">
        <f>EA66-EA112</f>
      </c>
      <c r="EB118" s="622">
        <f>SUM(DX118:EA118)</f>
      </c>
      <c r="EC118" s="619">
        <f>EC66-EC112</f>
      </c>
      <c r="ED118" s="619">
        <f>ED66-ED112</f>
      </c>
      <c r="EE118" s="619">
        <f>EE66-EE112</f>
      </c>
      <c r="EF118" s="619">
        <f>EF66-EF112</f>
      </c>
      <c r="EG118" s="622">
        <f>SUM(EC118:EF118)</f>
      </c>
      <c r="EH118" s="619">
        <f>EH66-EH112</f>
      </c>
      <c r="EI118" s="619">
        <f>EI66-EI112</f>
      </c>
      <c r="EJ118" s="619">
        <f>EJ66-EJ112</f>
      </c>
      <c r="EK118" s="619">
        <f>EK66-EK112</f>
      </c>
      <c r="EL118" s="622">
        <f>SUM(EH118:EK118)</f>
      </c>
      <c r="EM118" s="619">
        <f>EM66-EM112</f>
      </c>
      <c r="EN118" s="619">
        <f>EN66-EN112</f>
      </c>
      <c r="EO118" s="619">
        <f>EO66-EO112</f>
      </c>
      <c r="EP118" s="619">
        <f>EP66-EP112</f>
      </c>
      <c r="EQ118" s="622">
        <f>SUM(EM118:EP118)</f>
      </c>
      <c r="ER118" s="619">
        <f>ER66-ER112</f>
      </c>
      <c r="ES118" s="619">
        <f>ES66-ES112</f>
      </c>
      <c r="ET118" s="619">
        <f>ET66-ET112</f>
      </c>
      <c r="EU118" s="619">
        <f>EU66-EU112</f>
      </c>
      <c r="EV118" s="622">
        <f>SUM(ER118:EU118)</f>
      </c>
      <c r="EW118" s="619">
        <f>EW66-EW112</f>
      </c>
      <c r="EX118" s="619">
        <f>EX66-EX112</f>
      </c>
      <c r="EY118" s="619">
        <f>EY66-EY112</f>
      </c>
      <c r="EZ118" s="619">
        <f>EZ66-EZ112</f>
      </c>
      <c r="FA118" s="622">
        <f>SUM(EW118:EZ118)</f>
      </c>
      <c r="FB118" s="619">
        <f>FB66-FB112</f>
      </c>
      <c r="FC118" s="619">
        <f>FC66-FC112</f>
      </c>
      <c r="FD118" s="619">
        <f>FD66-FD112</f>
      </c>
      <c r="FE118" s="619">
        <f>FE66-FE112</f>
      </c>
      <c r="FF118" s="622">
        <f>SUM(FB118:FE118)</f>
      </c>
      <c r="FG118" s="619">
        <f>FG66-FG112</f>
      </c>
      <c r="FH118" s="619">
        <f>FH66-FH112</f>
      </c>
      <c r="FI118" s="619">
        <f>FI66-FI112</f>
      </c>
      <c r="FJ118" s="619">
        <f>FJ66-FJ112</f>
      </c>
      <c r="FK118" s="622">
        <f>SUM(FG118:FJ118)</f>
      </c>
      <c r="FL118" s="619">
        <f>FL66-FL112</f>
      </c>
      <c r="FM118" s="619">
        <f>FM66-FM112</f>
      </c>
      <c r="FN118" s="619">
        <f>FN66-FN112</f>
      </c>
      <c r="FO118" s="619">
        <f>FO66-FO112</f>
      </c>
      <c r="FP118" s="622">
        <f>SUM(FL118:FO118)</f>
      </c>
      <c r="FQ118" s="619">
        <f>FQ66-FQ112</f>
      </c>
      <c r="FR118" s="619">
        <f>FR66-FR112</f>
      </c>
      <c r="FS118" s="619">
        <f>FS66-FS112</f>
      </c>
      <c r="FT118" s="619">
        <f>FT66-FT112</f>
      </c>
      <c r="FU118" s="622">
        <f>SUM(FQ118:FT118)</f>
      </c>
      <c r="FV118" s="619">
        <f>FV66-FV112</f>
      </c>
      <c r="FW118" s="619">
        <f>FW66-FW112</f>
      </c>
      <c r="FX118" s="619">
        <f>FX66-FX112</f>
      </c>
      <c r="FY118" s="619">
        <f>FY66-FY112</f>
      </c>
      <c r="FZ118" s="622">
        <f>SUM(FV118:FY118)</f>
      </c>
      <c r="GA118" s="619">
        <f>GA66-GA112</f>
      </c>
      <c r="GB118" s="619">
        <f>GB66-GB112</f>
      </c>
      <c r="GC118" s="619">
        <f>GC66-GC112</f>
      </c>
      <c r="GD118" s="619">
        <f>GD66-GD112</f>
      </c>
      <c r="GE118" s="622">
        <f>SUM(GA118:GD118)</f>
      </c>
      <c r="GF118" s="619">
        <f>GF66-GF112</f>
      </c>
      <c r="GG118" s="619">
        <f>GG66-GG112</f>
      </c>
      <c r="GH118" s="619">
        <f>GH66-GH112</f>
      </c>
      <c r="GI118" s="619">
        <f>GI66-GI112</f>
      </c>
      <c r="GJ118" s="622">
        <f>SUM(GF118:GI118)</f>
      </c>
    </row>
    <row r="119" spans="1:192" ht="12.75" customHeight="1">
      <c r="A119" s="68" t="s">
        <v>349</v>
      </c>
      <c r="B119" s="617" t="s">
        <v>34</v>
      </c>
      <c r="C119" s="291"/>
      <c r="D119" s="107"/>
      <c r="E119" s="107"/>
      <c r="F119" s="107"/>
      <c r="G119" s="536"/>
      <c r="H119" s="291">
        <f t="shared" ref="H119:AM119" si="271">IFERROR(H118/C118-1,"")</f>
      </c>
      <c r="I119" s="107">
        <f t="shared" si="271"/>
      </c>
      <c r="J119" s="107">
        <f t="shared" si="271"/>
      </c>
      <c r="K119" s="107">
        <f t="shared" si="271"/>
      </c>
      <c r="L119" s="292">
        <f t="shared" si="271"/>
      </c>
      <c r="M119" s="291">
        <f t="shared" si="271"/>
      </c>
      <c r="N119" s="107">
        <f t="shared" si="271"/>
      </c>
      <c r="O119" s="107">
        <f t="shared" si="271"/>
      </c>
      <c r="P119" s="107">
        <f t="shared" si="271"/>
      </c>
      <c r="Q119" s="292">
        <f t="shared" si="271"/>
      </c>
      <c r="R119" s="291">
        <f t="shared" si="271"/>
      </c>
      <c r="S119" s="107">
        <f t="shared" si="271"/>
      </c>
      <c r="T119" s="107">
        <f t="shared" si="271"/>
      </c>
      <c r="U119" s="107">
        <f t="shared" si="271"/>
      </c>
      <c r="V119" s="292">
        <f t="shared" si="271"/>
      </c>
      <c r="W119" s="291">
        <f t="shared" si="271"/>
      </c>
      <c r="X119" s="107">
        <f t="shared" si="271"/>
      </c>
      <c r="Y119" s="107">
        <f t="shared" si="271"/>
      </c>
      <c r="Z119" s="107">
        <f t="shared" si="271"/>
      </c>
      <c r="AA119" s="292">
        <f t="shared" si="271"/>
      </c>
      <c r="AB119" s="291">
        <f t="shared" si="271"/>
      </c>
      <c r="AC119" s="107">
        <f t="shared" si="271"/>
      </c>
      <c r="AD119" s="107">
        <f t="shared" si="271"/>
      </c>
      <c r="AE119" s="107">
        <f t="shared" si="271"/>
      </c>
      <c r="AF119" s="292">
        <f t="shared" si="271"/>
      </c>
      <c r="AG119" s="291">
        <f t="shared" si="271"/>
      </c>
      <c r="AH119" s="107">
        <f t="shared" si="271"/>
      </c>
      <c r="AI119" s="107">
        <f t="shared" si="271"/>
      </c>
      <c r="AJ119" s="107">
        <f t="shared" si="271"/>
      </c>
      <c r="AK119" s="292">
        <f t="shared" si="271"/>
      </c>
      <c r="AL119" s="291">
        <f t="shared" si="271"/>
      </c>
      <c r="AM119" s="107">
        <f t="shared" si="271"/>
      </c>
      <c r="AN119" s="107">
        <f t="shared" ref="AN119:BS119" si="272">IFERROR(AN118/AI118-1,"")</f>
      </c>
      <c r="AO119" s="107">
        <f t="shared" si="272"/>
      </c>
      <c r="AP119" s="292">
        <f t="shared" si="272"/>
      </c>
      <c r="AQ119" s="291">
        <f t="shared" si="272"/>
      </c>
      <c r="AR119" s="107">
        <f t="shared" si="272"/>
      </c>
      <c r="AS119" s="107">
        <f t="shared" si="272"/>
      </c>
      <c r="AT119" s="107">
        <f t="shared" si="272"/>
      </c>
      <c r="AU119" s="292">
        <f t="shared" si="272"/>
      </c>
      <c r="AV119" s="291">
        <f t="shared" si="272"/>
      </c>
      <c r="AW119" s="107">
        <f t="shared" si="272"/>
      </c>
      <c r="AX119" s="107">
        <f t="shared" si="272"/>
      </c>
      <c r="AY119" s="107">
        <f t="shared" si="272"/>
      </c>
      <c r="AZ119" s="292">
        <f t="shared" si="272"/>
      </c>
      <c r="BA119" s="291">
        <f t="shared" si="272"/>
      </c>
      <c r="BB119" s="107">
        <f t="shared" si="272"/>
      </c>
      <c r="BC119" s="107">
        <f t="shared" si="272"/>
      </c>
      <c r="BD119" s="107">
        <f t="shared" si="272"/>
      </c>
      <c r="BE119" s="292">
        <f t="shared" si="272"/>
      </c>
      <c r="BF119" s="291">
        <f t="shared" si="272"/>
      </c>
      <c r="BG119" s="107">
        <f t="shared" si="272"/>
      </c>
      <c r="BH119" s="107">
        <f t="shared" si="272"/>
      </c>
      <c r="BI119" s="107">
        <f t="shared" si="272"/>
      </c>
      <c r="BJ119" s="292">
        <f t="shared" si="272"/>
      </c>
      <c r="BK119" s="291">
        <f t="shared" si="272"/>
      </c>
      <c r="BL119" s="107">
        <f t="shared" si="272"/>
      </c>
      <c r="BM119" s="107">
        <f t="shared" si="272"/>
      </c>
      <c r="BN119" s="107">
        <f t="shared" si="272"/>
      </c>
      <c r="BO119" s="292">
        <f t="shared" si="272"/>
      </c>
      <c r="BP119" s="291">
        <f t="shared" si="272"/>
      </c>
      <c r="BQ119" s="107">
        <f t="shared" si="272"/>
      </c>
      <c r="BR119" s="107">
        <f t="shared" si="272"/>
      </c>
      <c r="BS119" s="107">
        <f t="shared" si="272"/>
      </c>
      <c r="BT119" s="292">
        <f t="shared" ref="BT119:CY119" si="273">IFERROR(BT118/BO118-1,"")</f>
      </c>
      <c r="BU119" s="291">
        <f t="shared" si="273"/>
      </c>
      <c r="BV119" s="107">
        <f t="shared" si="273"/>
      </c>
      <c r="BW119" s="107">
        <f t="shared" si="273"/>
      </c>
      <c r="BX119" s="107">
        <f t="shared" si="273"/>
      </c>
      <c r="BY119" s="292">
        <f t="shared" si="273"/>
      </c>
      <c r="BZ119" s="291">
        <f t="shared" si="273"/>
      </c>
      <c r="CA119" s="107">
        <f t="shared" si="273"/>
      </c>
      <c r="CB119" s="107">
        <f t="shared" si="273"/>
      </c>
      <c r="CC119" s="107">
        <f t="shared" si="273"/>
      </c>
      <c r="CD119" s="292">
        <f t="shared" si="273"/>
      </c>
      <c r="CE119" s="291">
        <f t="shared" si="273"/>
      </c>
      <c r="CF119" s="107">
        <f t="shared" si="273"/>
      </c>
      <c r="CG119" s="107">
        <f t="shared" si="273"/>
      </c>
      <c r="CH119" s="107">
        <f t="shared" si="273"/>
      </c>
      <c r="CI119" s="292">
        <f t="shared" si="273"/>
      </c>
      <c r="CJ119" s="291">
        <f t="shared" si="273"/>
      </c>
      <c r="CK119" s="107">
        <f t="shared" si="273"/>
      </c>
      <c r="CL119" s="107">
        <f t="shared" si="273"/>
      </c>
      <c r="CM119" s="107">
        <f t="shared" si="273"/>
      </c>
      <c r="CN119" s="292">
        <f t="shared" si="273"/>
      </c>
      <c r="CO119" s="291">
        <f t="shared" si="273"/>
      </c>
      <c r="CP119" s="107">
        <f t="shared" si="273"/>
      </c>
      <c r="CQ119" s="107">
        <f t="shared" si="273"/>
      </c>
      <c r="CR119" s="107">
        <f t="shared" si="273"/>
      </c>
      <c r="CS119" s="292">
        <f t="shared" si="273"/>
      </c>
      <c r="CT119" s="291">
        <f t="shared" si="273"/>
      </c>
      <c r="CU119" s="107">
        <f t="shared" si="273"/>
      </c>
      <c r="CV119" s="107">
        <f t="shared" si="273"/>
      </c>
      <c r="CW119" s="107">
        <f t="shared" si="273"/>
      </c>
      <c r="CX119" s="292">
        <f t="shared" si="273"/>
      </c>
      <c r="CY119" s="291">
        <f t="shared" si="273"/>
      </c>
      <c r="CZ119" s="107">
        <f t="shared" ref="CZ119:EE119" si="274">IFERROR(CZ118/CU118-1,"")</f>
      </c>
      <c r="DA119" s="107">
        <f t="shared" si="274"/>
      </c>
      <c r="DB119" s="107">
        <f t="shared" si="274"/>
      </c>
      <c r="DC119" s="292">
        <f t="shared" si="274"/>
      </c>
      <c r="DD119" s="291">
        <f t="shared" si="274"/>
      </c>
      <c r="DE119" s="107">
        <f t="shared" si="274"/>
      </c>
      <c r="DF119" s="107">
        <f t="shared" si="274"/>
      </c>
      <c r="DG119" s="107">
        <f t="shared" si="274"/>
      </c>
      <c r="DH119" s="292">
        <f t="shared" si="274"/>
      </c>
      <c r="DI119" s="291">
        <f t="shared" si="274"/>
      </c>
      <c r="DJ119" s="107">
        <f t="shared" si="274"/>
      </c>
      <c r="DK119" s="107">
        <f t="shared" si="274"/>
      </c>
      <c r="DL119" s="107">
        <f t="shared" si="274"/>
      </c>
      <c r="DM119" s="292">
        <f t="shared" si="274"/>
      </c>
      <c r="DN119" s="291">
        <f t="shared" si="274"/>
      </c>
      <c r="DO119" s="107">
        <f t="shared" si="274"/>
      </c>
      <c r="DP119" s="107">
        <f t="shared" si="274"/>
      </c>
      <c r="DQ119" s="107">
        <f t="shared" si="274"/>
      </c>
      <c r="DR119" s="292">
        <f t="shared" si="274"/>
      </c>
      <c r="DS119" s="291">
        <f t="shared" si="274"/>
      </c>
      <c r="DT119" s="107">
        <f t="shared" si="274"/>
      </c>
      <c r="DU119" s="107">
        <f t="shared" si="274"/>
      </c>
      <c r="DV119" s="107">
        <f t="shared" si="274"/>
      </c>
      <c r="DW119" s="292">
        <f t="shared" si="274"/>
      </c>
      <c r="DX119" s="291">
        <f t="shared" si="274"/>
      </c>
      <c r="DY119" s="107">
        <f t="shared" si="274"/>
      </c>
      <c r="DZ119" s="107">
        <f t="shared" si="274"/>
      </c>
      <c r="EA119" s="107">
        <f t="shared" si="274"/>
      </c>
      <c r="EB119" s="292">
        <f t="shared" si="274"/>
      </c>
      <c r="EC119" s="291">
        <f t="shared" si="274"/>
      </c>
      <c r="ED119" s="107">
        <f t="shared" si="274"/>
      </c>
      <c r="EE119" s="107">
        <f t="shared" si="274"/>
      </c>
      <c r="EF119" s="107">
        <f t="shared" ref="EF119:FK119" si="275">IFERROR(EF118/EA118-1,"")</f>
      </c>
      <c r="EG119" s="292">
        <f t="shared" si="275"/>
      </c>
      <c r="EH119" s="291">
        <f t="shared" si="275"/>
      </c>
      <c r="EI119" s="107">
        <f t="shared" si="275"/>
      </c>
      <c r="EJ119" s="107">
        <f t="shared" si="275"/>
      </c>
      <c r="EK119" s="107">
        <f t="shared" si="275"/>
      </c>
      <c r="EL119" s="292">
        <f t="shared" si="275"/>
      </c>
      <c r="EM119" s="291">
        <f t="shared" si="275"/>
      </c>
      <c r="EN119" s="107">
        <f t="shared" si="275"/>
      </c>
      <c r="EO119" s="107">
        <f t="shared" si="275"/>
      </c>
      <c r="EP119" s="107">
        <f t="shared" si="275"/>
      </c>
      <c r="EQ119" s="292">
        <f t="shared" si="275"/>
      </c>
      <c r="ER119" s="291">
        <f t="shared" si="275"/>
      </c>
      <c r="ES119" s="107">
        <f t="shared" si="275"/>
      </c>
      <c r="ET119" s="107">
        <f t="shared" si="275"/>
      </c>
      <c r="EU119" s="107">
        <f t="shared" si="275"/>
      </c>
      <c r="EV119" s="292">
        <f t="shared" si="275"/>
      </c>
      <c r="EW119" s="291">
        <f t="shared" si="275"/>
      </c>
      <c r="EX119" s="107">
        <f t="shared" si="275"/>
      </c>
      <c r="EY119" s="107">
        <f t="shared" si="275"/>
      </c>
      <c r="EZ119" s="107">
        <f t="shared" si="275"/>
      </c>
      <c r="FA119" s="292">
        <f t="shared" si="275"/>
      </c>
      <c r="FB119" s="291">
        <f t="shared" si="275"/>
      </c>
      <c r="FC119" s="107">
        <f t="shared" si="275"/>
      </c>
      <c r="FD119" s="107">
        <f t="shared" si="275"/>
      </c>
      <c r="FE119" s="107">
        <f t="shared" si="275"/>
      </c>
      <c r="FF119" s="292">
        <f t="shared" si="275"/>
      </c>
      <c r="FG119" s="291">
        <f t="shared" si="275"/>
      </c>
      <c r="FH119" s="107">
        <f t="shared" si="275"/>
      </c>
      <c r="FI119" s="107">
        <f t="shared" si="275"/>
      </c>
      <c r="FJ119" s="107">
        <f t="shared" si="275"/>
      </c>
      <c r="FK119" s="292">
        <f t="shared" si="275"/>
      </c>
      <c r="FL119" s="291">
        <f t="shared" ref="FL119:FZ119" si="276">IFERROR(FL118/FG118-1,"")</f>
      </c>
      <c r="FM119" s="107">
        <f t="shared" si="276"/>
      </c>
      <c r="FN119" s="107">
        <f t="shared" si="276"/>
      </c>
      <c r="FO119" s="107">
        <f t="shared" si="276"/>
      </c>
      <c r="FP119" s="292">
        <f t="shared" si="276"/>
      </c>
      <c r="FQ119" s="291">
        <f t="shared" si="276"/>
      </c>
      <c r="FR119" s="107">
        <f t="shared" si="276"/>
      </c>
      <c r="FS119" s="107">
        <f t="shared" si="276"/>
      </c>
      <c r="FT119" s="107">
        <f t="shared" si="276"/>
      </c>
      <c r="FU119" s="292">
        <f t="shared" si="276"/>
      </c>
      <c r="FV119" s="291">
        <f t="shared" si="276"/>
      </c>
      <c r="FW119" s="107">
        <f t="shared" si="276"/>
      </c>
      <c r="FX119" s="107">
        <f t="shared" si="276"/>
      </c>
      <c r="FY119" s="107">
        <f t="shared" si="276"/>
      </c>
      <c r="FZ119" s="292">
        <f t="shared" si="276"/>
      </c>
      <c r="GA119" s="291">
        <f t="shared" ref="GA119:GJ119" si="277">IFERROR(GA118/FV118-1,"")</f>
      </c>
      <c r="GB119" s="107">
        <f t="shared" si="277"/>
      </c>
      <c r="GC119" s="107">
        <f t="shared" si="277"/>
      </c>
      <c r="GD119" s="107">
        <f t="shared" si="277"/>
      </c>
      <c r="GE119" s="292">
        <f t="shared" si="277"/>
      </c>
      <c r="GF119" s="291">
        <f t="shared" si="277"/>
      </c>
      <c r="GG119" s="107">
        <f t="shared" si="277"/>
      </c>
      <c r="GH119" s="107">
        <f t="shared" si="277"/>
      </c>
      <c r="GI119" s="107">
        <f t="shared" si="277"/>
      </c>
      <c r="GJ119" s="292">
        <f t="shared" si="277"/>
      </c>
    </row>
    <row r="120" spans="1:192" ht="12.75" customHeight="1">
      <c r="A120" s="68" t="s">
        <v>348</v>
      </c>
      <c r="B120" s="617" t="s">
        <v>36</v>
      </c>
      <c r="C120" s="291"/>
      <c r="D120" s="137"/>
      <c r="E120" s="137"/>
      <c r="F120" s="137"/>
      <c r="G120" s="538"/>
      <c r="H120" s="291">
        <f>IFERROR(H118/F118-1,"")</f>
      </c>
      <c r="I120" s="107">
        <f>IFERROR(I118/H118-1,"")</f>
      </c>
      <c r="J120" s="107">
        <f>IFERROR(J118/I118-1,"")</f>
      </c>
      <c r="K120" s="107">
        <f>IFERROR(K118/J118-1,"")</f>
      </c>
      <c r="L120" s="293"/>
      <c r="M120" s="291">
        <f>IFERROR(M118/K118-1,"")</f>
      </c>
      <c r="N120" s="107">
        <f>IFERROR(N118/M118-1,"")</f>
      </c>
      <c r="O120" s="107">
        <f>IFERROR(O118/N118-1,"")</f>
      </c>
      <c r="P120" s="107">
        <f>IFERROR(P118/O118-1,"")</f>
      </c>
      <c r="Q120" s="293"/>
      <c r="R120" s="291">
        <f>IFERROR(R118/P118-1,"")</f>
      </c>
      <c r="S120" s="107">
        <f>IFERROR(S118/R118-1,"")</f>
      </c>
      <c r="T120" s="107">
        <f>IFERROR(T118/S118-1,"")</f>
      </c>
      <c r="U120" s="107">
        <f>IFERROR(U118/T118-1,"")</f>
      </c>
      <c r="V120" s="293"/>
      <c r="W120" s="291">
        <f>IFERROR(W118/U118-1,"")</f>
      </c>
      <c r="X120" s="107">
        <f>IFERROR(X118/W118-1,"")</f>
      </c>
      <c r="Y120" s="107">
        <f>IFERROR(Y118/X118-1,"")</f>
      </c>
      <c r="Z120" s="107">
        <f>IFERROR(Z118/Y118-1,"")</f>
      </c>
      <c r="AA120" s="293"/>
      <c r="AB120" s="291">
        <f>IFERROR(AB118/Z118-1,"")</f>
      </c>
      <c r="AC120" s="107">
        <f>IFERROR(AC118/AB118-1,"")</f>
      </c>
      <c r="AD120" s="107">
        <f>IFERROR(AD118/AC118-1,"")</f>
      </c>
      <c r="AE120" s="107">
        <f>IFERROR(AE118/AD118-1,"")</f>
      </c>
      <c r="AF120" s="293"/>
      <c r="AG120" s="291">
        <f>IFERROR(AG118/AE118-1,"")</f>
      </c>
      <c r="AH120" s="107">
        <f>IFERROR(AH118/AG118-1,"")</f>
      </c>
      <c r="AI120" s="107">
        <f>IFERROR(AI118/AH118-1,"")</f>
      </c>
      <c r="AJ120" s="107">
        <f>IFERROR(AJ118/AI118-1,"")</f>
      </c>
      <c r="AK120" s="293"/>
      <c r="AL120" s="291">
        <f>IFERROR(AL118/AJ118-1,"")</f>
      </c>
      <c r="AM120" s="107">
        <f>IFERROR(AM118/AL118-1,"")</f>
      </c>
      <c r="AN120" s="107">
        <f>IFERROR(AN118/AM118-1,"")</f>
      </c>
      <c r="AO120" s="107">
        <f>IFERROR(AO118/AN118-1,"")</f>
      </c>
      <c r="AP120" s="293"/>
      <c r="AQ120" s="291">
        <f>IFERROR(AQ118/AO118-1,"")</f>
      </c>
      <c r="AR120" s="107">
        <f>IFERROR(AR118/AQ118-1,"")</f>
      </c>
      <c r="AS120" s="107">
        <f>IFERROR(AS118/AR118-1,"")</f>
      </c>
      <c r="AT120" s="107">
        <f>IFERROR(AT118/AS118-1,"")</f>
      </c>
      <c r="AU120" s="293"/>
      <c r="AV120" s="291">
        <f>IFERROR(AV118/AT118-1,"")</f>
      </c>
      <c r="AW120" s="107">
        <f>IFERROR(AW118/AV118-1,"")</f>
      </c>
      <c r="AX120" s="107">
        <f>IFERROR(AX118/AW118-1,"")</f>
      </c>
      <c r="AY120" s="107">
        <f>IFERROR(AY118/AX118-1,"")</f>
      </c>
      <c r="AZ120" s="293"/>
      <c r="BA120" s="291">
        <f>IFERROR(BA118/AY118-1,"")</f>
      </c>
      <c r="BB120" s="107">
        <f>IFERROR(BB118/BA118-1,"")</f>
      </c>
      <c r="BC120" s="107">
        <f>IFERROR(BC118/BB118-1,"")</f>
      </c>
      <c r="BD120" s="107">
        <f>IFERROR(BD118/BC118-1,"")</f>
      </c>
      <c r="BE120" s="293"/>
      <c r="BF120" s="291">
        <f>IFERROR(BF118/BD118-1,"")</f>
      </c>
      <c r="BG120" s="107">
        <f>IFERROR(BG118/BF118-1,"")</f>
      </c>
      <c r="BH120" s="107">
        <f>IFERROR(BH118/BG118-1,"")</f>
      </c>
      <c r="BI120" s="107">
        <f>IFERROR(BI118/BH118-1,"")</f>
      </c>
      <c r="BJ120" s="293"/>
      <c r="BK120" s="291">
        <f>IFERROR(BK118/BI118-1,"")</f>
      </c>
      <c r="BL120" s="107">
        <f>IFERROR(BL118/BK118-1,"")</f>
      </c>
      <c r="BM120" s="107">
        <f>IFERROR(BM118/BL118-1,"")</f>
      </c>
      <c r="BN120" s="107">
        <f>IFERROR(BN118/BM118-1,"")</f>
      </c>
      <c r="BO120" s="293"/>
      <c r="BP120" s="291">
        <f>IFERROR(BP118/BN118-1,"")</f>
      </c>
      <c r="BQ120" s="107">
        <f>IFERROR(BQ118/BP118-1,"")</f>
      </c>
      <c r="BR120" s="107">
        <f>IFERROR(BR118/BQ118-1,"")</f>
      </c>
      <c r="BS120" s="107">
        <f>IFERROR(BS118/BR118-1,"")</f>
      </c>
      <c r="BT120" s="293"/>
      <c r="BU120" s="291">
        <f>IFERROR(BU118/BS118-1,"")</f>
      </c>
      <c r="BV120" s="107">
        <f>IFERROR(BV118/BU118-1,"")</f>
      </c>
      <c r="BW120" s="107">
        <f>IFERROR(BW118/BV118-1,"")</f>
      </c>
      <c r="BX120" s="107">
        <f>IFERROR(BX118/BW118-1,"")</f>
      </c>
      <c r="BY120" s="293"/>
      <c r="BZ120" s="291">
        <f>IFERROR(BZ118/BX118-1,"")</f>
      </c>
      <c r="CA120" s="107">
        <f>IFERROR(CA118/BZ118-1,"")</f>
      </c>
      <c r="CB120" s="107">
        <f>IFERROR(CB118/CA118-1,"")</f>
      </c>
      <c r="CC120" s="107">
        <f>IFERROR(CC118/CB118-1,"")</f>
      </c>
      <c r="CD120" s="293"/>
      <c r="CE120" s="291">
        <f>IFERROR(CE118/CC118-1,"")</f>
      </c>
      <c r="CF120" s="107">
        <f>IFERROR(CF118/CE118-1,"")</f>
      </c>
      <c r="CG120" s="107">
        <f>IFERROR(CG118/CF118-1,"")</f>
      </c>
      <c r="CH120" s="107">
        <f>IFERROR(CH118/CG118-1,"")</f>
      </c>
      <c r="CI120" s="293"/>
      <c r="CJ120" s="291">
        <f>IFERROR(CJ118/CH118-1,"")</f>
      </c>
      <c r="CK120" s="107">
        <f>IFERROR(CK118/CJ118-1,"")</f>
      </c>
      <c r="CL120" s="107">
        <f>IFERROR(CL118/CK118-1,"")</f>
      </c>
      <c r="CM120" s="107">
        <f>IFERROR(CM118/CL118-1,"")</f>
      </c>
      <c r="CN120" s="293"/>
      <c r="CO120" s="291">
        <f>IFERROR(CO118/CM118-1,"")</f>
      </c>
      <c r="CP120" s="107">
        <f>IFERROR(CP118/CO118-1,"")</f>
      </c>
      <c r="CQ120" s="107">
        <f>IFERROR(CQ118/CP118-1,"")</f>
      </c>
      <c r="CR120" s="107">
        <f>IFERROR(CR118/CQ118-1,"")</f>
      </c>
      <c r="CS120" s="293"/>
      <c r="CT120" s="291">
        <f>IFERROR(CT118/CR118-1,"")</f>
      </c>
      <c r="CU120" s="107">
        <f>IFERROR(CU118/CT118-1,"")</f>
      </c>
      <c r="CV120" s="107">
        <f>IFERROR(CV118/CU118-1,"")</f>
      </c>
      <c r="CW120" s="107">
        <f>IFERROR(CW118/CV118-1,"")</f>
      </c>
      <c r="CX120" s="293"/>
      <c r="CY120" s="291">
        <f>IFERROR(CY118/CW118-1,"")</f>
      </c>
      <c r="CZ120" s="107">
        <f>IFERROR(CZ118/CY118-1,"")</f>
      </c>
      <c r="DA120" s="107">
        <f>IFERROR(DA118/CZ118-1,"")</f>
      </c>
      <c r="DB120" s="107">
        <f>IFERROR(DB118/DA118-1,"")</f>
      </c>
      <c r="DC120" s="293"/>
      <c r="DD120" s="291">
        <f>IFERROR(DD118/DB118-1,"")</f>
      </c>
      <c r="DE120" s="107">
        <f>IFERROR(DE118/DD118-1,"")</f>
      </c>
      <c r="DF120" s="107">
        <f>IFERROR(DF118/DE118-1,"")</f>
      </c>
      <c r="DG120" s="107">
        <f>IFERROR(DG118/DF118-1,"")</f>
      </c>
      <c r="DH120" s="293"/>
      <c r="DI120" s="291">
        <f>IFERROR(DI118/DG118-1,"")</f>
      </c>
      <c r="DJ120" s="107">
        <f>IFERROR(DJ118/DI118-1,"")</f>
      </c>
      <c r="DK120" s="107">
        <f>IFERROR(DK118/DJ118-1,"")</f>
      </c>
      <c r="DL120" s="107">
        <f>IFERROR(DL118/DK118-1,"")</f>
      </c>
      <c r="DM120" s="293"/>
      <c r="DN120" s="291">
        <f>IFERROR(DN118/DL118-1,"")</f>
      </c>
      <c r="DO120" s="107">
        <f>IFERROR(DO118/DN118-1,"")</f>
      </c>
      <c r="DP120" s="107">
        <f>IFERROR(DP118/DO118-1,"")</f>
      </c>
      <c r="DQ120" s="107">
        <f>IFERROR(DQ118/DP118-1,"")</f>
      </c>
      <c r="DR120" s="293"/>
      <c r="DS120" s="291">
        <f>IFERROR(DS118/DQ118-1,"")</f>
      </c>
      <c r="DT120" s="107">
        <f>IFERROR(DT118/DS118-1,"")</f>
      </c>
      <c r="DU120" s="107">
        <f>IFERROR(DU118/DT118-1,"")</f>
      </c>
      <c r="DV120" s="107">
        <f>IFERROR(DV118/DU118-1,"")</f>
      </c>
      <c r="DW120" s="293"/>
      <c r="DX120" s="291">
        <f>IFERROR(DX118/DV118-1,"")</f>
      </c>
      <c r="DY120" s="107">
        <f>IFERROR(DY118/DX118-1,"")</f>
      </c>
      <c r="DZ120" s="107">
        <f>IFERROR(DZ118/DY118-1,"")</f>
      </c>
      <c r="EA120" s="107">
        <f>IFERROR(EA118/DZ118-1,"")</f>
      </c>
      <c r="EB120" s="293"/>
      <c r="EC120" s="291">
        <f>IFERROR(EC118/EA118-1,"")</f>
      </c>
      <c r="ED120" s="107">
        <f>IFERROR(ED118/EC118-1,"")</f>
      </c>
      <c r="EE120" s="107">
        <f>IFERROR(EE118/ED118-1,"")</f>
      </c>
      <c r="EF120" s="107">
        <f>IFERROR(EF118/EE118-1,"")</f>
      </c>
      <c r="EG120" s="293"/>
      <c r="EH120" s="291">
        <f>IFERROR(EH118/EF118-1,"")</f>
      </c>
      <c r="EI120" s="107">
        <f>IFERROR(EI118/EH118-1,"")</f>
      </c>
      <c r="EJ120" s="107">
        <f>IFERROR(EJ118/EI118-1,"")</f>
      </c>
      <c r="EK120" s="107">
        <f>IFERROR(EK118/EJ118-1,"")</f>
      </c>
      <c r="EL120" s="293"/>
      <c r="EM120" s="291">
        <f>IFERROR(EM118/EK118-1,"")</f>
      </c>
      <c r="EN120" s="107">
        <f>IFERROR(EN118/EM118-1,"")</f>
      </c>
      <c r="EO120" s="107">
        <f>IFERROR(EO118/EN118-1,"")</f>
      </c>
      <c r="EP120" s="107">
        <f>IFERROR(EP118/EO118-1,"")</f>
      </c>
      <c r="EQ120" s="293"/>
      <c r="ER120" s="291">
        <f>IFERROR(ER118/EP118-1,"")</f>
      </c>
      <c r="ES120" s="107">
        <f>IFERROR(ES118/ER118-1,"")</f>
      </c>
      <c r="ET120" s="107">
        <f>IFERROR(ET118/ES118-1,"")</f>
      </c>
      <c r="EU120" s="107">
        <f>IFERROR(EU118/ET118-1,"")</f>
      </c>
      <c r="EV120" s="293"/>
      <c r="EW120" s="291">
        <f>IFERROR(EW118/EU118-1,"")</f>
      </c>
      <c r="EX120" s="107">
        <f>IFERROR(EX118/EW118-1,"")</f>
      </c>
      <c r="EY120" s="107">
        <f>IFERROR(EY118/EX118-1,"")</f>
      </c>
      <c r="EZ120" s="107">
        <f>IFERROR(EZ118/EY118-1,"")</f>
      </c>
      <c r="FA120" s="293"/>
      <c r="FB120" s="291">
        <f>IFERROR(FB118/EZ118-1,"")</f>
      </c>
      <c r="FC120" s="107">
        <f>IFERROR(FC118/FB118-1,"")</f>
      </c>
      <c r="FD120" s="107">
        <f>IFERROR(FD118/FC118-1,"")</f>
      </c>
      <c r="FE120" s="107">
        <f>IFERROR(FE118/FD118-1,"")</f>
      </c>
      <c r="FF120" s="293"/>
      <c r="FG120" s="291">
        <f>IFERROR(FG118/FE118-1,"")</f>
      </c>
      <c r="FH120" s="107">
        <f>IFERROR(FH118/FG118-1,"")</f>
      </c>
      <c r="FI120" s="107">
        <f>IFERROR(FI118/FH118-1,"")</f>
      </c>
      <c r="FJ120" s="107">
        <f>IFERROR(FJ118/FI118-1,"")</f>
      </c>
      <c r="FK120" s="293"/>
      <c r="FL120" s="291">
        <f>IFERROR(FL118/FJ118-1,"")</f>
      </c>
      <c r="FM120" s="107">
        <f>IFERROR(FM118/FL118-1,"")</f>
      </c>
      <c r="FN120" s="107">
        <f>IFERROR(FN118/FM118-1,"")</f>
      </c>
      <c r="FO120" s="107">
        <f>IFERROR(FO118/FN118-1,"")</f>
      </c>
      <c r="FP120" s="293"/>
      <c r="FQ120" s="291">
        <f>IFERROR(FQ118/FO118-1,"")</f>
      </c>
      <c r="FR120" s="107">
        <f>IFERROR(FR118/FQ118-1,"")</f>
      </c>
      <c r="FS120" s="107">
        <f>IFERROR(FS118/FR118-1,"")</f>
      </c>
      <c r="FT120" s="107">
        <f>IFERROR(FT118/FS118-1,"")</f>
      </c>
      <c r="FU120" s="293"/>
      <c r="FV120" s="291">
        <f>IFERROR(FV118/FT118-1,"")</f>
      </c>
      <c r="FW120" s="107">
        <f>IFERROR(FW118/FV118-1,"")</f>
      </c>
      <c r="FX120" s="107">
        <f>IFERROR(FX118/FW118-1,"")</f>
      </c>
      <c r="FY120" s="107">
        <f>IFERROR(FY118/FX118-1,"")</f>
      </c>
      <c r="FZ120" s="293"/>
      <c r="GA120" s="291">
        <f>IFERROR(GA118/FY118-1,"")</f>
      </c>
      <c r="GB120" s="107">
        <f>IFERROR(GB118/GA118-1,"")</f>
      </c>
      <c r="GC120" s="107">
        <f>IFERROR(GC118/GB118-1,"")</f>
      </c>
      <c r="GD120" s="107">
        <f>IFERROR(GD118/GC118-1,"")</f>
      </c>
      <c r="GE120" s="293"/>
      <c r="GF120" s="291">
        <f>IFERROR(GF118/GD118-1,"")</f>
      </c>
      <c r="GG120" s="107">
        <f>IFERROR(GG118/GF118-1,"")</f>
      </c>
      <c r="GH120" s="107">
        <f>IFERROR(GH118/GG118-1,"")</f>
      </c>
      <c r="GI120" s="107">
        <f>IFERROR(GI118/GH118-1,"")</f>
      </c>
      <c r="GJ120" s="293"/>
    </row>
    <row r="121" spans="1:192" ht="12.75" customHeight="1">
      <c r="B121" s="617" t="s">
        <v>486</v>
      </c>
      <c r="C121" s="463"/>
      <c r="D121" s="463"/>
      <c r="E121" s="463"/>
      <c r="F121" s="463"/>
      <c r="G121" s="466"/>
      <c r="H121" s="463">
        <f t="shared" ref="H121:AM121" si="278">H118-C118</f>
      </c>
      <c r="I121" s="463">
        <f t="shared" si="278"/>
      </c>
      <c r="J121" s="463">
        <f t="shared" si="278"/>
      </c>
      <c r="K121" s="463">
        <f t="shared" si="278"/>
      </c>
      <c r="L121" s="466">
        <f t="shared" si="278"/>
      </c>
      <c r="M121" s="463">
        <f t="shared" si="278"/>
      </c>
      <c r="N121" s="463">
        <f t="shared" si="278"/>
      </c>
      <c r="O121" s="463">
        <f t="shared" si="278"/>
      </c>
      <c r="P121" s="463">
        <f t="shared" si="278"/>
      </c>
      <c r="Q121" s="466">
        <f t="shared" si="278"/>
      </c>
      <c r="R121" s="463">
        <f t="shared" si="278"/>
      </c>
      <c r="S121" s="463">
        <f t="shared" si="278"/>
      </c>
      <c r="T121" s="463">
        <f t="shared" si="278"/>
      </c>
      <c r="U121" s="463">
        <f t="shared" si="278"/>
      </c>
      <c r="V121" s="466">
        <f t="shared" si="278"/>
      </c>
      <c r="W121" s="463">
        <f t="shared" si="278"/>
      </c>
      <c r="X121" s="463">
        <f t="shared" si="278"/>
      </c>
      <c r="Y121" s="463">
        <f t="shared" si="278"/>
      </c>
      <c r="Z121" s="463">
        <f t="shared" si="278"/>
      </c>
      <c r="AA121" s="466">
        <f t="shared" si="278"/>
      </c>
      <c r="AB121" s="463">
        <f t="shared" si="278"/>
      </c>
      <c r="AC121" s="463">
        <f t="shared" si="278"/>
      </c>
      <c r="AD121" s="463">
        <f t="shared" si="278"/>
      </c>
      <c r="AE121" s="463">
        <f t="shared" si="278"/>
      </c>
      <c r="AF121" s="466">
        <f t="shared" si="278"/>
      </c>
      <c r="AG121" s="463">
        <f t="shared" si="278"/>
      </c>
      <c r="AH121" s="463">
        <f t="shared" si="278"/>
      </c>
      <c r="AI121" s="463">
        <f t="shared" si="278"/>
      </c>
      <c r="AJ121" s="463">
        <f t="shared" si="278"/>
      </c>
      <c r="AK121" s="466">
        <f t="shared" si="278"/>
      </c>
      <c r="AL121" s="463">
        <f t="shared" si="278"/>
      </c>
      <c r="AM121" s="463">
        <f t="shared" si="278"/>
      </c>
      <c r="AN121" s="463">
        <f t="shared" ref="AN121:BS121" si="279">AN118-AI118</f>
      </c>
      <c r="AO121" s="463">
        <f t="shared" si="279"/>
      </c>
      <c r="AP121" s="466">
        <f t="shared" si="279"/>
      </c>
      <c r="AQ121" s="463">
        <f t="shared" si="279"/>
      </c>
      <c r="AR121" s="463">
        <f t="shared" si="279"/>
      </c>
      <c r="AS121" s="463">
        <f t="shared" si="279"/>
      </c>
      <c r="AT121" s="463">
        <f t="shared" si="279"/>
      </c>
      <c r="AU121" s="466">
        <f t="shared" si="279"/>
      </c>
      <c r="AV121" s="463">
        <f t="shared" si="279"/>
      </c>
      <c r="AW121" s="463">
        <f t="shared" si="279"/>
      </c>
      <c r="AX121" s="463">
        <f t="shared" si="279"/>
      </c>
      <c r="AY121" s="463">
        <f t="shared" si="279"/>
      </c>
      <c r="AZ121" s="466">
        <f t="shared" si="279"/>
      </c>
      <c r="BA121" s="463">
        <f t="shared" si="279"/>
      </c>
      <c r="BB121" s="463">
        <f t="shared" si="279"/>
      </c>
      <c r="BC121" s="463">
        <f t="shared" si="279"/>
      </c>
      <c r="BD121" s="463">
        <f t="shared" si="279"/>
      </c>
      <c r="BE121" s="466">
        <f t="shared" si="279"/>
      </c>
      <c r="BF121" s="463">
        <f t="shared" si="279"/>
      </c>
      <c r="BG121" s="463">
        <f t="shared" si="279"/>
      </c>
      <c r="BH121" s="463">
        <f t="shared" si="279"/>
      </c>
      <c r="BI121" s="463">
        <f t="shared" si="279"/>
      </c>
      <c r="BJ121" s="466">
        <f t="shared" si="279"/>
      </c>
      <c r="BK121" s="463">
        <f t="shared" si="279"/>
      </c>
      <c r="BL121" s="463">
        <f t="shared" si="279"/>
      </c>
      <c r="BM121" s="463">
        <f t="shared" si="279"/>
      </c>
      <c r="BN121" s="463">
        <f t="shared" si="279"/>
      </c>
      <c r="BO121" s="466">
        <f t="shared" si="279"/>
      </c>
      <c r="BP121" s="463">
        <f t="shared" si="279"/>
      </c>
      <c r="BQ121" s="463">
        <f t="shared" si="279"/>
      </c>
      <c r="BR121" s="463">
        <f t="shared" si="279"/>
      </c>
      <c r="BS121" s="463">
        <f t="shared" si="279"/>
      </c>
      <c r="BT121" s="466">
        <f t="shared" ref="BT121:CY121" si="280">BT118-BO118</f>
      </c>
      <c r="BU121" s="463">
        <f t="shared" si="280"/>
      </c>
      <c r="BV121" s="463">
        <f t="shared" si="280"/>
      </c>
      <c r="BW121" s="463">
        <f t="shared" si="280"/>
      </c>
      <c r="BX121" s="463">
        <f t="shared" si="280"/>
      </c>
      <c r="BY121" s="466">
        <f t="shared" si="280"/>
      </c>
      <c r="BZ121" s="463">
        <f t="shared" si="280"/>
      </c>
      <c r="CA121" s="463">
        <f t="shared" si="280"/>
      </c>
      <c r="CB121" s="463">
        <f t="shared" si="280"/>
      </c>
      <c r="CC121" s="463">
        <f t="shared" si="280"/>
      </c>
      <c r="CD121" s="466">
        <f t="shared" si="280"/>
      </c>
      <c r="CE121" s="463">
        <f t="shared" si="280"/>
      </c>
      <c r="CF121" s="463">
        <f t="shared" si="280"/>
      </c>
      <c r="CG121" s="463">
        <f t="shared" si="280"/>
      </c>
      <c r="CH121" s="463">
        <f t="shared" si="280"/>
      </c>
      <c r="CI121" s="466">
        <f t="shared" si="280"/>
      </c>
      <c r="CJ121" s="463">
        <f t="shared" si="280"/>
      </c>
      <c r="CK121" s="463">
        <f t="shared" si="280"/>
      </c>
      <c r="CL121" s="463">
        <f t="shared" si="280"/>
      </c>
      <c r="CM121" s="463">
        <f t="shared" si="280"/>
      </c>
      <c r="CN121" s="466">
        <f t="shared" si="280"/>
      </c>
      <c r="CO121" s="463">
        <f t="shared" si="280"/>
      </c>
      <c r="CP121" s="463">
        <f t="shared" si="280"/>
      </c>
      <c r="CQ121" s="463">
        <f t="shared" si="280"/>
      </c>
      <c r="CR121" s="463">
        <f t="shared" si="280"/>
      </c>
      <c r="CS121" s="466">
        <f t="shared" si="280"/>
      </c>
      <c r="CT121" s="463">
        <f t="shared" si="280"/>
      </c>
      <c r="CU121" s="463">
        <f t="shared" si="280"/>
      </c>
      <c r="CV121" s="463">
        <f t="shared" si="280"/>
      </c>
      <c r="CW121" s="463">
        <f t="shared" si="280"/>
      </c>
      <c r="CX121" s="466">
        <f t="shared" si="280"/>
      </c>
      <c r="CY121" s="463">
        <f t="shared" si="280"/>
      </c>
      <c r="CZ121" s="463">
        <f t="shared" ref="CZ121:EE121" si="281">CZ118-CU118</f>
      </c>
      <c r="DA121" s="463">
        <f t="shared" si="281"/>
      </c>
      <c r="DB121" s="463">
        <f t="shared" si="281"/>
      </c>
      <c r="DC121" s="466">
        <f t="shared" si="281"/>
      </c>
      <c r="DD121" s="463">
        <f t="shared" si="281"/>
      </c>
      <c r="DE121" s="463">
        <f t="shared" si="281"/>
      </c>
      <c r="DF121" s="463">
        <f t="shared" si="281"/>
      </c>
      <c r="DG121" s="463">
        <f t="shared" si="281"/>
      </c>
      <c r="DH121" s="466">
        <f t="shared" si="281"/>
      </c>
      <c r="DI121" s="463">
        <f t="shared" si="281"/>
      </c>
      <c r="DJ121" s="463">
        <f t="shared" si="281"/>
      </c>
      <c r="DK121" s="463">
        <f t="shared" si="281"/>
      </c>
      <c r="DL121" s="463">
        <f t="shared" si="281"/>
      </c>
      <c r="DM121" s="466">
        <f t="shared" si="281"/>
      </c>
      <c r="DN121" s="463">
        <f t="shared" si="281"/>
      </c>
      <c r="DO121" s="463">
        <f t="shared" si="281"/>
      </c>
      <c r="DP121" s="463">
        <f t="shared" si="281"/>
      </c>
      <c r="DQ121" s="463">
        <f t="shared" si="281"/>
      </c>
      <c r="DR121" s="466">
        <f t="shared" si="281"/>
      </c>
      <c r="DS121" s="463">
        <f t="shared" si="281"/>
      </c>
      <c r="DT121" s="463">
        <f t="shared" si="281"/>
      </c>
      <c r="DU121" s="463">
        <f t="shared" si="281"/>
      </c>
      <c r="DV121" s="463">
        <f t="shared" si="281"/>
      </c>
      <c r="DW121" s="466">
        <f t="shared" si="281"/>
      </c>
      <c r="DX121" s="463">
        <f t="shared" si="281"/>
      </c>
      <c r="DY121" s="463">
        <f t="shared" si="281"/>
      </c>
      <c r="DZ121" s="463">
        <f t="shared" si="281"/>
      </c>
      <c r="EA121" s="463">
        <f t="shared" si="281"/>
      </c>
      <c r="EB121" s="466">
        <f t="shared" si="281"/>
      </c>
      <c r="EC121" s="463">
        <f t="shared" si="281"/>
      </c>
      <c r="ED121" s="463">
        <f t="shared" si="281"/>
      </c>
      <c r="EE121" s="463">
        <f t="shared" si="281"/>
      </c>
      <c r="EF121" s="463">
        <f t="shared" ref="EF121:FK121" si="282">EF118-EA118</f>
      </c>
      <c r="EG121" s="466">
        <f t="shared" si="282"/>
      </c>
      <c r="EH121" s="463">
        <f t="shared" si="282"/>
      </c>
      <c r="EI121" s="463">
        <f t="shared" si="282"/>
      </c>
      <c r="EJ121" s="463">
        <f t="shared" si="282"/>
      </c>
      <c r="EK121" s="463">
        <f t="shared" si="282"/>
      </c>
      <c r="EL121" s="466">
        <f t="shared" si="282"/>
      </c>
      <c r="EM121" s="463">
        <f t="shared" si="282"/>
      </c>
      <c r="EN121" s="463">
        <f t="shared" si="282"/>
      </c>
      <c r="EO121" s="463">
        <f t="shared" si="282"/>
      </c>
      <c r="EP121" s="463">
        <f t="shared" si="282"/>
      </c>
      <c r="EQ121" s="466">
        <f t="shared" si="282"/>
      </c>
      <c r="ER121" s="463">
        <f t="shared" si="282"/>
      </c>
      <c r="ES121" s="463">
        <f t="shared" si="282"/>
      </c>
      <c r="ET121" s="463">
        <f t="shared" si="282"/>
      </c>
      <c r="EU121" s="463">
        <f t="shared" si="282"/>
      </c>
      <c r="EV121" s="466">
        <f t="shared" si="282"/>
      </c>
      <c r="EW121" s="463">
        <f t="shared" si="282"/>
      </c>
      <c r="EX121" s="463">
        <f t="shared" si="282"/>
      </c>
      <c r="EY121" s="463">
        <f t="shared" si="282"/>
      </c>
      <c r="EZ121" s="463">
        <f t="shared" si="282"/>
      </c>
      <c r="FA121" s="466">
        <f t="shared" si="282"/>
      </c>
      <c r="FB121" s="463">
        <f t="shared" si="282"/>
      </c>
      <c r="FC121" s="463">
        <f t="shared" si="282"/>
      </c>
      <c r="FD121" s="463">
        <f t="shared" si="282"/>
      </c>
      <c r="FE121" s="463">
        <f t="shared" si="282"/>
      </c>
      <c r="FF121" s="466">
        <f t="shared" si="282"/>
      </c>
      <c r="FG121" s="463">
        <f t="shared" si="282"/>
      </c>
      <c r="FH121" s="463">
        <f t="shared" si="282"/>
      </c>
      <c r="FI121" s="463">
        <f t="shared" si="282"/>
      </c>
      <c r="FJ121" s="463">
        <f t="shared" si="282"/>
      </c>
      <c r="FK121" s="466">
        <f t="shared" si="282"/>
      </c>
      <c r="FL121" s="463">
        <f t="shared" ref="FL121:GE121" si="283">FL118-FG118</f>
      </c>
      <c r="FM121" s="463">
        <f t="shared" si="283"/>
      </c>
      <c r="FN121" s="463">
        <f t="shared" si="283"/>
      </c>
      <c r="FO121" s="463">
        <f t="shared" si="283"/>
      </c>
      <c r="FP121" s="466">
        <f t="shared" si="283"/>
      </c>
      <c r="FQ121" s="463">
        <f t="shared" si="283"/>
      </c>
      <c r="FR121" s="463">
        <f t="shared" si="283"/>
      </c>
      <c r="FS121" s="463">
        <f t="shared" si="283"/>
      </c>
      <c r="FT121" s="463">
        <f t="shared" si="283"/>
      </c>
      <c r="FU121" s="466">
        <f t="shared" si="283"/>
      </c>
      <c r="FV121" s="463">
        <f t="shared" si="283"/>
      </c>
      <c r="FW121" s="463">
        <f t="shared" si="283"/>
      </c>
      <c r="FX121" s="463">
        <f t="shared" si="283"/>
      </c>
      <c r="FY121" s="463">
        <f t="shared" si="283"/>
      </c>
      <c r="FZ121" s="466">
        <f t="shared" si="283"/>
      </c>
      <c r="GA121" s="463">
        <f t="shared" si="283"/>
      </c>
      <c r="GB121" s="463">
        <f t="shared" si="283"/>
      </c>
      <c r="GC121" s="463">
        <f t="shared" si="283"/>
      </c>
      <c r="GD121" s="463">
        <f t="shared" si="283"/>
      </c>
      <c r="GE121" s="466">
        <f t="shared" si="283"/>
      </c>
      <c r="GF121" s="463">
        <f t="shared" ref="GF121" si="284">GF118-GA118</f>
      </c>
      <c r="GG121" s="463">
        <f t="shared" ref="GG121" si="285">GG118-GB118</f>
      </c>
      <c r="GH121" s="463">
        <f t="shared" ref="GH121" si="286">GH118-GC118</f>
      </c>
      <c r="GI121" s="463">
        <f t="shared" ref="GI121" si="287">GI118-GD118</f>
      </c>
      <c r="GJ121" s="466">
        <f t="shared" ref="GJ121" si="288">GJ118-GE118</f>
      </c>
    </row>
    <row r="122" spans="1:192" ht="12.75" customHeight="1">
      <c r="B122" s="617" t="s">
        <v>487</v>
      </c>
      <c r="C122" s="470"/>
      <c r="D122" s="463">
        <f>D118-C118</f>
      </c>
      <c r="E122" s="463">
        <f>E118-D118</f>
      </c>
      <c r="F122" s="463">
        <f>F118-E118</f>
      </c>
      <c r="G122" s="293"/>
      <c r="H122" s="470">
        <f>H118-F118</f>
      </c>
      <c r="I122" s="463">
        <f>I118-H118</f>
      </c>
      <c r="J122" s="463">
        <f>J118-I118</f>
      </c>
      <c r="K122" s="463">
        <f>K118-J118</f>
      </c>
      <c r="L122" s="293"/>
      <c r="M122" s="470">
        <f>M118-K118</f>
      </c>
      <c r="N122" s="463">
        <f>N118-M118</f>
      </c>
      <c r="O122" s="463">
        <f>O118-N118</f>
      </c>
      <c r="P122" s="463">
        <f>P118-O118</f>
      </c>
      <c r="Q122" s="293"/>
      <c r="R122" s="470">
        <f>R118-P118</f>
      </c>
      <c r="S122" s="463">
        <f>S118-R118</f>
      </c>
      <c r="T122" s="463">
        <f>T118-S118</f>
      </c>
      <c r="U122" s="463">
        <f>U118-T118</f>
      </c>
      <c r="V122" s="293"/>
      <c r="W122" s="470">
        <f>W118-U118</f>
      </c>
      <c r="X122" s="463">
        <f>X118-W118</f>
      </c>
      <c r="Y122" s="463">
        <f>Y118-X118</f>
      </c>
      <c r="Z122" s="463">
        <f>Z118-Y118</f>
      </c>
      <c r="AA122" s="293"/>
      <c r="AB122" s="470">
        <f>AB118-Z118</f>
      </c>
      <c r="AC122" s="463">
        <f>AC118-AB118</f>
      </c>
      <c r="AD122" s="463">
        <f>AD118-AC118</f>
      </c>
      <c r="AE122" s="463">
        <f>AE118-AD118</f>
      </c>
      <c r="AF122" s="293"/>
      <c r="AG122" s="470">
        <f>AG118-AE118</f>
      </c>
      <c r="AH122" s="463">
        <f>AH118-AG118</f>
      </c>
      <c r="AI122" s="463">
        <f>AI118-AH118</f>
      </c>
      <c r="AJ122" s="463">
        <f>AJ118-AI118</f>
      </c>
      <c r="AK122" s="293"/>
      <c r="AL122" s="470">
        <f>AL118-AJ118</f>
      </c>
      <c r="AM122" s="463">
        <f>AM118-AL118</f>
      </c>
      <c r="AN122" s="463">
        <f>AN118-AM118</f>
      </c>
      <c r="AO122" s="463">
        <f>AO118-AN118</f>
      </c>
      <c r="AP122" s="293"/>
      <c r="AQ122" s="470">
        <f>AQ118-AO118</f>
      </c>
      <c r="AR122" s="463">
        <f>AR118-AQ118</f>
      </c>
      <c r="AS122" s="463">
        <f>AS118-AR118</f>
      </c>
      <c r="AT122" s="463">
        <f>AT118-AS118</f>
      </c>
      <c r="AU122" s="293"/>
      <c r="AV122" s="470">
        <f>AV118-AT118</f>
      </c>
      <c r="AW122" s="463">
        <f>AW118-AV118</f>
      </c>
      <c r="AX122" s="463">
        <f>AX118-AW118</f>
      </c>
      <c r="AY122" s="463">
        <f>AY118-AX118</f>
      </c>
      <c r="AZ122" s="293"/>
      <c r="BA122" s="470">
        <f>BA118-AY118</f>
      </c>
      <c r="BB122" s="463">
        <f>BB118-BA118</f>
      </c>
      <c r="BC122" s="463">
        <f>BC118-BB118</f>
      </c>
      <c r="BD122" s="463">
        <f>BD118-BC118</f>
      </c>
      <c r="BE122" s="293"/>
      <c r="BF122" s="470">
        <f>BF118-BD118</f>
      </c>
      <c r="BG122" s="463">
        <f>BG118-BF118</f>
      </c>
      <c r="BH122" s="463">
        <f>BH118-BG118</f>
      </c>
      <c r="BI122" s="463">
        <f>BI118-BH118</f>
      </c>
      <c r="BJ122" s="293"/>
      <c r="BK122" s="470">
        <f>BK118-BI118</f>
      </c>
      <c r="BL122" s="463">
        <f>BL118-BK118</f>
      </c>
      <c r="BM122" s="463">
        <f>BM118-BL118</f>
      </c>
      <c r="BN122" s="463">
        <f>BN118-BM118</f>
      </c>
      <c r="BO122" s="293"/>
      <c r="BP122" s="470">
        <f>BP118-BN118</f>
      </c>
      <c r="BQ122" s="463">
        <f>BQ118-BP118</f>
      </c>
      <c r="BR122" s="463">
        <f>BR118-BQ118</f>
      </c>
      <c r="BS122" s="463">
        <f>BS118-BR118</f>
      </c>
      <c r="BT122" s="293"/>
      <c r="BU122" s="470">
        <f>BU118-BS118</f>
      </c>
      <c r="BV122" s="463">
        <f>BV118-BU118</f>
      </c>
      <c r="BW122" s="463">
        <f>BW118-BV118</f>
      </c>
      <c r="BX122" s="463">
        <f>BX118-BW118</f>
      </c>
      <c r="BY122" s="293"/>
      <c r="BZ122" s="470">
        <f>BZ118-BX118</f>
      </c>
      <c r="CA122" s="463">
        <f>CA118-BZ118</f>
      </c>
      <c r="CB122" s="463">
        <f>CB118-CA118</f>
      </c>
      <c r="CC122" s="463">
        <f>CC118-CB118</f>
      </c>
      <c r="CD122" s="293"/>
      <c r="CE122" s="470">
        <f>CE118-CC118</f>
      </c>
      <c r="CF122" s="463">
        <f>CF118-CE118</f>
      </c>
      <c r="CG122" s="463">
        <f>CG118-CF118</f>
      </c>
      <c r="CH122" s="463">
        <f>CH118-CG118</f>
      </c>
      <c r="CI122" s="293"/>
      <c r="CJ122" s="470">
        <f>CJ118-CH118</f>
      </c>
      <c r="CK122" s="463">
        <f>CK118-CJ118</f>
      </c>
      <c r="CL122" s="463">
        <f>CL118-CK118</f>
      </c>
      <c r="CM122" s="463">
        <f>CM118-CL118</f>
      </c>
      <c r="CN122" s="293"/>
      <c r="CO122" s="470">
        <f>CO118-CM118</f>
      </c>
      <c r="CP122" s="463">
        <f>CP118-CO118</f>
      </c>
      <c r="CQ122" s="463">
        <f>CQ118-CP118</f>
      </c>
      <c r="CR122" s="463">
        <f>CR118-CQ118</f>
      </c>
      <c r="CS122" s="293"/>
      <c r="CT122" s="470">
        <f>CT118-CR118</f>
      </c>
      <c r="CU122" s="463">
        <f>CU118-CT118</f>
      </c>
      <c r="CV122" s="463">
        <f>CV118-CU118</f>
      </c>
      <c r="CW122" s="463">
        <f>CW118-CV118</f>
      </c>
      <c r="CX122" s="293"/>
      <c r="CY122" s="470">
        <f>CY118-CW118</f>
      </c>
      <c r="CZ122" s="463">
        <f>CZ118-CY118</f>
      </c>
      <c r="DA122" s="463">
        <f>DA118-CZ118</f>
      </c>
      <c r="DB122" s="463">
        <f>DB118-DA118</f>
      </c>
      <c r="DC122" s="293"/>
      <c r="DD122" s="470">
        <f>DD118-DB118</f>
      </c>
      <c r="DE122" s="463">
        <f>DE118-DD118</f>
      </c>
      <c r="DF122" s="463">
        <f>DF118-DE118</f>
      </c>
      <c r="DG122" s="463">
        <f>DG118-DF118</f>
      </c>
      <c r="DH122" s="293"/>
      <c r="DI122" s="470">
        <f>DI118-DG118</f>
      </c>
      <c r="DJ122" s="463">
        <f>DJ118-DI118</f>
      </c>
      <c r="DK122" s="463">
        <f>DK118-DJ118</f>
      </c>
      <c r="DL122" s="463">
        <f>DL118-DK118</f>
      </c>
      <c r="DM122" s="293"/>
      <c r="DN122" s="470">
        <f>DN118-DL118</f>
      </c>
      <c r="DO122" s="463">
        <f>DO118-DN118</f>
      </c>
      <c r="DP122" s="463">
        <f>DP118-DO118</f>
      </c>
      <c r="DQ122" s="463">
        <f>DQ118-DP118</f>
      </c>
      <c r="DR122" s="293"/>
      <c r="DS122" s="470">
        <f>DS118-DQ118</f>
      </c>
      <c r="DT122" s="463">
        <f>DT118-DS118</f>
      </c>
      <c r="DU122" s="463">
        <f>DU118-DT118</f>
      </c>
      <c r="DV122" s="463">
        <f>DV118-DU118</f>
      </c>
      <c r="DW122" s="293"/>
      <c r="DX122" s="470">
        <f>DX118-DV118</f>
      </c>
      <c r="DY122" s="463">
        <f>DY118-DX118</f>
      </c>
      <c r="DZ122" s="463">
        <f>DZ118-DY118</f>
      </c>
      <c r="EA122" s="463">
        <f>EA118-DZ118</f>
      </c>
      <c r="EB122" s="293"/>
      <c r="EC122" s="470">
        <f>EC118-EA118</f>
      </c>
      <c r="ED122" s="463">
        <f>ED118-EC118</f>
      </c>
      <c r="EE122" s="463">
        <f>EE118-ED118</f>
      </c>
      <c r="EF122" s="463">
        <f>EF118-EE118</f>
      </c>
      <c r="EG122" s="293"/>
      <c r="EH122" s="470">
        <f>EH118-EF118</f>
      </c>
      <c r="EI122" s="463">
        <f>EI118-EH118</f>
      </c>
      <c r="EJ122" s="463">
        <f>EJ118-EI118</f>
      </c>
      <c r="EK122" s="463">
        <f>EK118-EJ118</f>
      </c>
      <c r="EL122" s="293"/>
      <c r="EM122" s="470">
        <f>EM118-EK118</f>
      </c>
      <c r="EN122" s="463">
        <f>EN118-EM118</f>
      </c>
      <c r="EO122" s="463">
        <f>EO118-EN118</f>
      </c>
      <c r="EP122" s="463">
        <f>EP118-EO118</f>
      </c>
      <c r="EQ122" s="293"/>
      <c r="ER122" s="470">
        <f>ER118-EP118</f>
      </c>
      <c r="ES122" s="463">
        <f>ES118-ER118</f>
      </c>
      <c r="ET122" s="463">
        <f>ET118-ES118</f>
      </c>
      <c r="EU122" s="463">
        <f>EU118-ET118</f>
      </c>
      <c r="EV122" s="293"/>
      <c r="EW122" s="470">
        <f>EW118-EU118</f>
      </c>
      <c r="EX122" s="463">
        <f>EX118-EW118</f>
      </c>
      <c r="EY122" s="463">
        <f>EY118-EX118</f>
      </c>
      <c r="EZ122" s="463">
        <f>EZ118-EY118</f>
      </c>
      <c r="FA122" s="293"/>
      <c r="FB122" s="470">
        <f>FB118-EZ118</f>
      </c>
      <c r="FC122" s="463">
        <f>FC118-FB118</f>
      </c>
      <c r="FD122" s="463">
        <f>FD118-FC118</f>
      </c>
      <c r="FE122" s="463">
        <f>FE118-FD118</f>
      </c>
      <c r="FF122" s="293"/>
      <c r="FG122" s="470">
        <f>FG118-FE118</f>
      </c>
      <c r="FH122" s="463">
        <f>FH118-FG118</f>
      </c>
      <c r="FI122" s="463">
        <f>FI118-FH118</f>
      </c>
      <c r="FJ122" s="463">
        <f>FJ118-FI118</f>
      </c>
      <c r="FK122" s="293"/>
      <c r="FL122" s="470">
        <f>FL118-FJ118</f>
      </c>
      <c r="FM122" s="463">
        <f>FM118-FL118</f>
      </c>
      <c r="FN122" s="463">
        <f>FN118-FM118</f>
      </c>
      <c r="FO122" s="463">
        <f>FO118-FN118</f>
      </c>
      <c r="FP122" s="293"/>
      <c r="FQ122" s="470">
        <f>FQ118-FO118</f>
      </c>
      <c r="FR122" s="463">
        <f>FR118-FQ118</f>
      </c>
      <c r="FS122" s="463">
        <f>FS118-FR118</f>
      </c>
      <c r="FT122" s="463">
        <f>FT118-FS118</f>
      </c>
      <c r="FU122" s="293"/>
      <c r="FV122" s="470">
        <f>FV118-FT118</f>
      </c>
      <c r="FW122" s="463">
        <f>FW118-FV118</f>
      </c>
      <c r="FX122" s="463">
        <f>FX118-FW118</f>
      </c>
      <c r="FY122" s="463">
        <f>FY118-FX118</f>
      </c>
      <c r="FZ122" s="293"/>
      <c r="GA122" s="470">
        <f>GA118-FY118</f>
      </c>
      <c r="GB122" s="463">
        <f>GB118-GA118</f>
      </c>
      <c r="GC122" s="463">
        <f>GC118-GB118</f>
      </c>
      <c r="GD122" s="463">
        <f>GD118-GC118</f>
      </c>
      <c r="GE122" s="293"/>
      <c r="GF122" s="470">
        <f>GF118-GD118</f>
      </c>
      <c r="GG122" s="463">
        <f>GG118-GF118</f>
      </c>
      <c r="GH122" s="463">
        <f>GH118-GG118</f>
      </c>
      <c r="GI122" s="463">
        <f>GI118-GH118</f>
      </c>
      <c r="GJ122" s="293"/>
    </row>
    <row r="123" spans="1:192" s="1263" customFormat="1" ht="12.75" customHeight="1">
      <c r="A123" s="1260" t="s">
        <v>351</v>
      </c>
      <c r="B123" s="1499" t="s">
        <v>263</v>
      </c>
      <c r="C123" s="1261">
        <f t="shared" ref="C123:AH123" si="289">IFERROR(C118/C$24,"--")</f>
      </c>
      <c r="D123" s="1261">
        <f t="shared" si="289"/>
      </c>
      <c r="E123" s="1261">
        <f t="shared" si="289"/>
      </c>
      <c r="F123" s="1261">
        <f t="shared" si="289"/>
      </c>
      <c r="G123" s="1262">
        <f t="shared" si="289"/>
      </c>
      <c r="H123" s="1261">
        <f t="shared" si="289"/>
      </c>
      <c r="I123" s="1261">
        <f t="shared" si="289"/>
      </c>
      <c r="J123" s="1261">
        <f t="shared" si="289"/>
      </c>
      <c r="K123" s="1261">
        <f t="shared" si="289"/>
      </c>
      <c r="L123" s="1262">
        <f t="shared" si="289"/>
      </c>
      <c r="M123" s="1261">
        <f t="shared" si="289"/>
      </c>
      <c r="N123" s="1261">
        <f t="shared" si="289"/>
      </c>
      <c r="O123" s="1261">
        <f t="shared" si="289"/>
      </c>
      <c r="P123" s="1261">
        <f t="shared" si="289"/>
      </c>
      <c r="Q123" s="1262">
        <f t="shared" si="289"/>
      </c>
      <c r="R123" s="1261">
        <f t="shared" si="289"/>
      </c>
      <c r="S123" s="1261">
        <f t="shared" si="289"/>
      </c>
      <c r="T123" s="1261">
        <f t="shared" si="289"/>
      </c>
      <c r="U123" s="1261">
        <f t="shared" si="289"/>
      </c>
      <c r="V123" s="1262">
        <f t="shared" si="289"/>
      </c>
      <c r="W123" s="1261">
        <f t="shared" si="289"/>
      </c>
      <c r="X123" s="1261">
        <f t="shared" si="289"/>
      </c>
      <c r="Y123" s="1261">
        <f t="shared" si="289"/>
      </c>
      <c r="Z123" s="1261">
        <f t="shared" si="289"/>
      </c>
      <c r="AA123" s="1262">
        <f t="shared" si="289"/>
      </c>
      <c r="AB123" s="1261">
        <f t="shared" si="289"/>
      </c>
      <c r="AC123" s="1261">
        <f t="shared" si="289"/>
      </c>
      <c r="AD123" s="1261">
        <f t="shared" si="289"/>
      </c>
      <c r="AE123" s="1261">
        <f t="shared" si="289"/>
      </c>
      <c r="AF123" s="1262">
        <f t="shared" si="289"/>
      </c>
      <c r="AG123" s="1261">
        <f t="shared" si="289"/>
      </c>
      <c r="AH123" s="1261">
        <f t="shared" si="289"/>
      </c>
      <c r="AI123" s="1261">
        <f t="shared" ref="AI123:BN123" si="290">IFERROR(AI118/AI$24,"--")</f>
      </c>
      <c r="AJ123" s="1261">
        <f t="shared" si="290"/>
      </c>
      <c r="AK123" s="1262">
        <f t="shared" si="290"/>
      </c>
      <c r="AL123" s="1261">
        <f t="shared" si="290"/>
      </c>
      <c r="AM123" s="1261">
        <f t="shared" si="290"/>
      </c>
      <c r="AN123" s="1261">
        <f t="shared" si="290"/>
      </c>
      <c r="AO123" s="1261">
        <f t="shared" si="290"/>
      </c>
      <c r="AP123" s="1262">
        <f t="shared" si="290"/>
      </c>
      <c r="AQ123" s="1261">
        <f t="shared" si="290"/>
      </c>
      <c r="AR123" s="1261">
        <f t="shared" si="290"/>
      </c>
      <c r="AS123" s="1261">
        <f t="shared" si="290"/>
      </c>
      <c r="AT123" s="1261">
        <f t="shared" si="290"/>
      </c>
      <c r="AU123" s="1262">
        <f t="shared" si="290"/>
      </c>
      <c r="AV123" s="1261">
        <f t="shared" si="290"/>
      </c>
      <c r="AW123" s="1261">
        <f t="shared" si="290"/>
      </c>
      <c r="AX123" s="1261">
        <f t="shared" si="290"/>
      </c>
      <c r="AY123" s="1261">
        <f t="shared" si="290"/>
      </c>
      <c r="AZ123" s="1262">
        <f t="shared" si="290"/>
      </c>
      <c r="BA123" s="1261">
        <f t="shared" si="290"/>
      </c>
      <c r="BB123" s="1261">
        <f t="shared" si="290"/>
      </c>
      <c r="BC123" s="1261">
        <f t="shared" si="290"/>
      </c>
      <c r="BD123" s="1261">
        <f t="shared" si="290"/>
      </c>
      <c r="BE123" s="1262">
        <f t="shared" si="290"/>
      </c>
      <c r="BF123" s="1261">
        <f t="shared" si="290"/>
      </c>
      <c r="BG123" s="1261">
        <f t="shared" si="290"/>
      </c>
      <c r="BH123" s="1261">
        <f t="shared" si="290"/>
      </c>
      <c r="BI123" s="1261">
        <f t="shared" si="290"/>
      </c>
      <c r="BJ123" s="1262">
        <f t="shared" si="290"/>
      </c>
      <c r="BK123" s="1261">
        <f t="shared" si="290"/>
      </c>
      <c r="BL123" s="1261">
        <f t="shared" si="290"/>
      </c>
      <c r="BM123" s="1261">
        <f t="shared" si="290"/>
      </c>
      <c r="BN123" s="1261">
        <f t="shared" si="290"/>
      </c>
      <c r="BO123" s="1262">
        <f t="shared" ref="BO123:CT123" si="291">IFERROR(BO118/BO$24,"--")</f>
      </c>
      <c r="BP123" s="1261">
        <f t="shared" si="291"/>
      </c>
      <c r="BQ123" s="1261">
        <f t="shared" si="291"/>
      </c>
      <c r="BR123" s="1261">
        <f t="shared" si="291"/>
      </c>
      <c r="BS123" s="1261">
        <f t="shared" si="291"/>
      </c>
      <c r="BT123" s="1262">
        <f t="shared" si="291"/>
      </c>
      <c r="BU123" s="1261">
        <f t="shared" si="291"/>
      </c>
      <c r="BV123" s="1261">
        <f t="shared" si="291"/>
      </c>
      <c r="BW123" s="1261">
        <f t="shared" si="291"/>
      </c>
      <c r="BX123" s="1261">
        <f t="shared" si="291"/>
      </c>
      <c r="BY123" s="1262">
        <f t="shared" si="291"/>
      </c>
      <c r="BZ123" s="1261">
        <f t="shared" si="291"/>
      </c>
      <c r="CA123" s="1261">
        <f t="shared" si="291"/>
      </c>
      <c r="CB123" s="1261">
        <f t="shared" si="291"/>
      </c>
      <c r="CC123" s="1261">
        <f t="shared" si="291"/>
      </c>
      <c r="CD123" s="1262">
        <f t="shared" si="291"/>
      </c>
      <c r="CE123" s="1261">
        <f t="shared" si="291"/>
      </c>
      <c r="CF123" s="1261">
        <f t="shared" si="291"/>
      </c>
      <c r="CG123" s="1261">
        <f t="shared" si="291"/>
      </c>
      <c r="CH123" s="1261">
        <f t="shared" si="291"/>
      </c>
      <c r="CI123" s="1262">
        <f t="shared" si="291"/>
      </c>
      <c r="CJ123" s="1261">
        <f t="shared" si="291"/>
      </c>
      <c r="CK123" s="1261">
        <f t="shared" si="291"/>
      </c>
      <c r="CL123" s="1261">
        <f t="shared" si="291"/>
      </c>
      <c r="CM123" s="1261">
        <f t="shared" si="291"/>
      </c>
      <c r="CN123" s="1262">
        <f t="shared" si="291"/>
      </c>
      <c r="CO123" s="1261">
        <f t="shared" si="291"/>
      </c>
      <c r="CP123" s="1261">
        <f t="shared" si="291"/>
      </c>
      <c r="CQ123" s="1261">
        <f t="shared" si="291"/>
      </c>
      <c r="CR123" s="1261">
        <f t="shared" si="291"/>
      </c>
      <c r="CS123" s="1262">
        <f t="shared" si="291"/>
      </c>
      <c r="CT123" s="1261">
        <f t="shared" si="291"/>
      </c>
      <c r="CU123" s="1261">
        <f t="shared" ref="CU123:DZ123" si="292">IFERROR(CU118/CU$24,"--")</f>
      </c>
      <c r="CV123" s="1261">
        <f t="shared" si="292"/>
      </c>
      <c r="CW123" s="1261">
        <f t="shared" si="292"/>
      </c>
      <c r="CX123" s="1262">
        <f t="shared" si="292"/>
      </c>
      <c r="CY123" s="1261">
        <f t="shared" si="292"/>
      </c>
      <c r="CZ123" s="1261">
        <f t="shared" si="292"/>
      </c>
      <c r="DA123" s="1261">
        <f t="shared" si="292"/>
      </c>
      <c r="DB123" s="1261">
        <f t="shared" si="292"/>
      </c>
      <c r="DC123" s="1262">
        <f t="shared" si="292"/>
      </c>
      <c r="DD123" s="1261">
        <f t="shared" si="292"/>
      </c>
      <c r="DE123" s="1261">
        <f t="shared" si="292"/>
      </c>
      <c r="DF123" s="1261">
        <f t="shared" si="292"/>
      </c>
      <c r="DG123" s="1261">
        <f t="shared" si="292"/>
      </c>
      <c r="DH123" s="1262">
        <f t="shared" si="292"/>
      </c>
      <c r="DI123" s="1261">
        <f t="shared" si="292"/>
      </c>
      <c r="DJ123" s="1261">
        <f t="shared" si="292"/>
      </c>
      <c r="DK123" s="1261">
        <f t="shared" si="292"/>
      </c>
      <c r="DL123" s="1261">
        <f t="shared" si="292"/>
      </c>
      <c r="DM123" s="1262">
        <f t="shared" si="292"/>
      </c>
      <c r="DN123" s="1261">
        <f t="shared" si="292"/>
      </c>
      <c r="DO123" s="1261">
        <f t="shared" si="292"/>
      </c>
      <c r="DP123" s="1261">
        <f t="shared" si="292"/>
      </c>
      <c r="DQ123" s="1261">
        <f t="shared" si="292"/>
      </c>
      <c r="DR123" s="1262">
        <f t="shared" si="292"/>
      </c>
      <c r="DS123" s="1261">
        <f t="shared" si="292"/>
      </c>
      <c r="DT123" s="1261">
        <f t="shared" si="292"/>
      </c>
      <c r="DU123" s="1261">
        <f t="shared" si="292"/>
      </c>
      <c r="DV123" s="1261">
        <f t="shared" si="292"/>
      </c>
      <c r="DW123" s="1262">
        <f t="shared" si="292"/>
      </c>
      <c r="DX123" s="1261">
        <f t="shared" si="292"/>
      </c>
      <c r="DY123" s="1261">
        <f t="shared" si="292"/>
      </c>
      <c r="DZ123" s="1261">
        <f t="shared" si="292"/>
      </c>
      <c r="EA123" s="1261">
        <f t="shared" ref="EA123:FF123" si="293">IFERROR(EA118/EA$24,"--")</f>
      </c>
      <c r="EB123" s="1262">
        <f t="shared" si="293"/>
      </c>
      <c r="EC123" s="1261">
        <f t="shared" si="293"/>
      </c>
      <c r="ED123" s="1261">
        <f t="shared" si="293"/>
      </c>
      <c r="EE123" s="1261">
        <f t="shared" si="293"/>
      </c>
      <c r="EF123" s="1261">
        <f t="shared" si="293"/>
      </c>
      <c r="EG123" s="1262">
        <f t="shared" si="293"/>
      </c>
      <c r="EH123" s="1500">
        <f t="shared" si="293"/>
      </c>
      <c r="EI123" s="1500">
        <f t="shared" si="293"/>
      </c>
      <c r="EJ123" s="1500">
        <f t="shared" si="293"/>
      </c>
      <c r="EK123" s="1261">
        <f t="shared" si="293"/>
      </c>
      <c r="EL123" s="1501">
        <f t="shared" si="293"/>
      </c>
      <c r="EM123" s="1500">
        <f t="shared" si="293"/>
      </c>
      <c r="EN123" s="1500">
        <f t="shared" si="293"/>
      </c>
      <c r="EO123" s="1500">
        <f t="shared" si="293"/>
      </c>
      <c r="EP123" s="1261">
        <f t="shared" si="293"/>
      </c>
      <c r="EQ123" s="1501">
        <f t="shared" si="293"/>
      </c>
      <c r="ER123" s="1261">
        <f t="shared" si="293"/>
      </c>
      <c r="ES123" s="1500">
        <f>IFERROR(ES118/ES$24,"--")</f>
      </c>
      <c r="ET123" s="1500">
        <f>IFERROR(ET118/ET$24,"--")</f>
      </c>
      <c r="EU123" s="1261">
        <f>IFERROR(EU118/EU$24,"--")</f>
      </c>
      <c r="EV123" s="1501">
        <f>IFERROR(EV118/EV$24,"--")</f>
      </c>
      <c r="EW123" s="1261">
        <f t="shared" ref="EW123" si="294">IFERROR(EW118/EW$24,"--")</f>
      </c>
      <c r="EX123" s="1500">
        <f>IFERROR(EX118/EX$24,"--")</f>
      </c>
      <c r="EY123" s="1500">
        <f>IFERROR(EY118/EY$24,"--")</f>
      </c>
      <c r="EZ123" s="1261">
        <f>IFERROR(EZ118/EZ$24,"--")</f>
      </c>
      <c r="FA123" s="1501">
        <f>IFERROR(FA118/FA$24,"--")</f>
      </c>
      <c r="FB123" s="1261">
        <f t="shared" si="293"/>
      </c>
      <c r="FC123" s="1261">
        <f t="shared" si="293"/>
      </c>
      <c r="FD123" s="1261">
        <f t="shared" si="293"/>
      </c>
      <c r="FE123" s="1261">
        <f t="shared" si="293"/>
      </c>
      <c r="FF123" s="1262">
        <f t="shared" si="293"/>
      </c>
      <c r="FG123" s="1261">
        <f t="shared" ref="FG123:FP123" si="295">IFERROR(FG118/FG$24,"--")</f>
      </c>
      <c r="FH123" s="1261">
        <f t="shared" si="295"/>
      </c>
      <c r="FI123" s="1261">
        <f t="shared" si="295"/>
      </c>
      <c r="FJ123" s="1261">
        <f t="shared" si="295"/>
      </c>
      <c r="FK123" s="1262">
        <f t="shared" si="295"/>
      </c>
      <c r="FL123" s="1261">
        <f t="shared" si="295"/>
      </c>
      <c r="FM123" s="1261">
        <f t="shared" si="295"/>
      </c>
      <c r="FN123" s="1261">
        <f t="shared" si="295"/>
      </c>
      <c r="FO123" s="1261">
        <f t="shared" si="295"/>
      </c>
      <c r="FP123" s="1262">
        <f t="shared" si="295"/>
      </c>
      <c r="FQ123" s="1261">
        <f t="shared" ref="FQ123:FZ123" si="296">IFERROR(FQ118/FQ$24,"--")</f>
      </c>
      <c r="FR123" s="1261">
        <f t="shared" si="296"/>
      </c>
      <c r="FS123" s="1261">
        <f t="shared" si="296"/>
      </c>
      <c r="FT123" s="1261">
        <f t="shared" si="296"/>
      </c>
      <c r="FU123" s="1262">
        <f t="shared" si="296"/>
      </c>
      <c r="FV123" s="1261">
        <f t="shared" si="296"/>
      </c>
      <c r="FW123" s="1261">
        <f t="shared" si="296"/>
      </c>
      <c r="FX123" s="1261">
        <f t="shared" si="296"/>
      </c>
      <c r="FY123" s="1261">
        <f t="shared" si="296"/>
      </c>
      <c r="FZ123" s="1262">
        <f t="shared" si="296"/>
      </c>
      <c r="GA123" s="1261">
        <f t="shared" ref="GA123:GJ123" si="297">IFERROR(GA118/GA$24,"--")</f>
      </c>
      <c r="GB123" s="1261">
        <f t="shared" si="297"/>
      </c>
      <c r="GC123" s="1261">
        <f t="shared" si="297"/>
      </c>
      <c r="GD123" s="1261">
        <f t="shared" si="297"/>
      </c>
      <c r="GE123" s="1262">
        <f t="shared" si="297"/>
      </c>
      <c r="GF123" s="1261">
        <f t="shared" si="297"/>
      </c>
      <c r="GG123" s="1261">
        <f t="shared" si="297"/>
      </c>
      <c r="GH123" s="1261">
        <f t="shared" si="297"/>
      </c>
      <c r="GI123" s="1261">
        <f t="shared" si="297"/>
      </c>
      <c r="GJ123" s="1262">
        <f t="shared" si="297"/>
      </c>
    </row>
    <row r="124" spans="1:192" s="1259" customFormat="1" ht="12.75" customHeight="1">
      <c r="A124" s="1255"/>
      <c r="B124" s="1256" t="s">
        <v>286</v>
      </c>
      <c r="C124" s="1244"/>
      <c r="D124" s="1244"/>
      <c r="E124" s="1244"/>
      <c r="F124" s="1244"/>
      <c r="G124" s="1242"/>
      <c r="H124" s="1244"/>
      <c r="I124" s="1244"/>
      <c r="J124" s="1244"/>
      <c r="K124" s="1244"/>
      <c r="L124" s="1242"/>
      <c r="M124" s="1244"/>
      <c r="N124" s="1244"/>
      <c r="O124" s="1244"/>
      <c r="P124" s="1244"/>
      <c r="Q124" s="1242"/>
      <c r="R124" s="1244"/>
      <c r="S124" s="1244"/>
      <c r="T124" s="1244"/>
      <c r="U124" s="1244"/>
      <c r="V124" s="1242"/>
      <c r="W124" s="1244"/>
      <c r="X124" s="1244"/>
      <c r="Y124" s="1244"/>
      <c r="Z124" s="1244"/>
      <c r="AA124" s="1242"/>
      <c r="AB124" s="1244"/>
      <c r="AC124" s="1244"/>
      <c r="AD124" s="1244"/>
      <c r="AE124" s="1244"/>
      <c r="AF124" s="1242"/>
      <c r="AG124" s="1244"/>
      <c r="AH124" s="1244"/>
      <c r="AI124" s="1244"/>
      <c r="AJ124" s="1244"/>
      <c r="AK124" s="1242"/>
      <c r="AL124" s="1244"/>
      <c r="AM124" s="1244"/>
      <c r="AN124" s="1244"/>
      <c r="AO124" s="1244"/>
      <c r="AP124" s="1242"/>
      <c r="AQ124" s="1244"/>
      <c r="AR124" s="1244"/>
      <c r="AS124" s="1244"/>
      <c r="AT124" s="1244"/>
      <c r="AU124" s="1242"/>
      <c r="AV124" s="1244"/>
      <c r="AW124" s="1244"/>
      <c r="AX124" s="1244"/>
      <c r="AY124" s="1244"/>
      <c r="AZ124" s="1242"/>
      <c r="BA124" s="1244"/>
      <c r="BB124" s="1244"/>
      <c r="BC124" s="1244"/>
      <c r="BD124" s="1244"/>
      <c r="BE124" s="1242"/>
      <c r="BF124" s="1244"/>
      <c r="BG124" s="1244"/>
      <c r="BH124" s="1244"/>
      <c r="BI124" s="1244"/>
      <c r="BJ124" s="1242"/>
      <c r="BK124" s="1244"/>
      <c r="BL124" s="1244"/>
      <c r="BM124" s="1244"/>
      <c r="BN124" s="1244"/>
      <c r="BO124" s="1242"/>
      <c r="BP124" s="1244"/>
      <c r="BQ124" s="1244"/>
      <c r="BR124" s="1244"/>
      <c r="BS124" s="1244"/>
      <c r="BT124" s="1242"/>
      <c r="BU124" s="1244"/>
      <c r="BV124" s="1244"/>
      <c r="BW124" s="1244"/>
      <c r="BX124" s="1244"/>
      <c r="BY124" s="1242"/>
      <c r="BZ124" s="1244"/>
      <c r="CA124" s="1244"/>
      <c r="CB124" s="1244"/>
      <c r="CC124" s="1244"/>
      <c r="CD124" s="1242"/>
      <c r="CE124" s="1244"/>
      <c r="CF124" s="1244"/>
      <c r="CG124" s="1244"/>
      <c r="CH124" s="1244"/>
      <c r="CI124" s="1242"/>
      <c r="CJ124" s="1244"/>
      <c r="CK124" s="1244"/>
      <c r="CL124" s="1244"/>
      <c r="CM124" s="1244"/>
      <c r="CN124" s="1242"/>
      <c r="CO124" s="1244"/>
      <c r="CP124" s="1244"/>
      <c r="CQ124" s="1244"/>
      <c r="CR124" s="1244"/>
      <c r="CS124" s="1242"/>
      <c r="CT124" s="1244"/>
      <c r="CU124" s="1244"/>
      <c r="CV124" s="1244"/>
      <c r="CW124" s="1244"/>
      <c r="CX124" s="1242"/>
      <c r="CY124" s="1244"/>
      <c r="CZ124" s="1244"/>
      <c r="DA124" s="1244"/>
      <c r="DB124" s="1244"/>
      <c r="DC124" s="1242"/>
      <c r="DD124" s="1244"/>
      <c r="DE124" s="1244"/>
      <c r="DF124" s="1244"/>
      <c r="DG124" s="1244"/>
      <c r="DH124" s="1242"/>
      <c r="DI124" s="1244"/>
      <c r="DJ124" s="1244"/>
      <c r="DK124" s="1244"/>
      <c r="DL124" s="1244"/>
      <c r="DM124" s="1242"/>
      <c r="DN124" s="1244"/>
      <c r="DO124" s="1244"/>
      <c r="DP124" s="1244"/>
      <c r="DQ124" s="1244"/>
      <c r="DR124" s="1242">
        <f t="shared" ref="DR124:FA124" si="298">(DR123-DM123)*10000</f>
      </c>
      <c r="DS124" s="1244">
        <f t="shared" si="298"/>
      </c>
      <c r="DT124" s="1244">
        <f t="shared" si="298"/>
      </c>
      <c r="DU124" s="1244">
        <f t="shared" si="298"/>
      </c>
      <c r="DV124" s="1244">
        <f t="shared" si="298"/>
      </c>
      <c r="DW124" s="1242">
        <f t="shared" si="298"/>
      </c>
      <c r="DX124" s="1244">
        <f t="shared" si="298"/>
      </c>
      <c r="DY124" s="1244">
        <f t="shared" si="298"/>
      </c>
      <c r="DZ124" s="1244">
        <f t="shared" si="298"/>
      </c>
      <c r="EA124" s="1244">
        <f t="shared" si="298"/>
      </c>
      <c r="EB124" s="1242">
        <f t="shared" si="298"/>
      </c>
      <c r="EC124" s="1244">
        <f t="shared" si="298"/>
      </c>
      <c r="ED124" s="1244">
        <f t="shared" si="298"/>
      </c>
      <c r="EE124" s="1244">
        <f t="shared" si="298"/>
      </c>
      <c r="EF124" s="1244">
        <f t="shared" si="298"/>
      </c>
      <c r="EG124" s="1242">
        <f t="shared" si="298"/>
      </c>
      <c r="EH124" s="1257">
        <f t="shared" si="298"/>
      </c>
      <c r="EI124" s="1257">
        <f t="shared" si="298"/>
      </c>
      <c r="EJ124" s="1257">
        <f t="shared" si="298"/>
      </c>
      <c r="EK124" s="1244">
        <f t="shared" si="298"/>
      </c>
      <c r="EL124" s="1258">
        <f t="shared" si="298"/>
      </c>
      <c r="EM124" s="1257">
        <f t="shared" si="298"/>
      </c>
      <c r="EN124" s="1257">
        <f t="shared" si="298"/>
      </c>
      <c r="EO124" s="1257">
        <f t="shared" si="298"/>
      </c>
      <c r="EP124" s="1244">
        <f t="shared" si="298"/>
      </c>
      <c r="EQ124" s="1258">
        <f t="shared" si="298"/>
      </c>
      <c r="ER124" s="1244">
        <f t="shared" si="298"/>
      </c>
      <c r="ES124" s="1244">
        <f t="shared" si="298"/>
      </c>
      <c r="ET124" s="1257">
        <f t="shared" si="298"/>
      </c>
      <c r="EU124" s="1244">
        <f t="shared" si="298"/>
      </c>
      <c r="EV124" s="1258">
        <f t="shared" si="298"/>
      </c>
      <c r="EW124" s="1244">
        <f t="shared" si="298"/>
      </c>
      <c r="EX124" s="1244">
        <f t="shared" si="298"/>
      </c>
      <c r="EY124" s="1257">
        <f t="shared" si="298"/>
      </c>
      <c r="EZ124" s="1244">
        <f t="shared" si="298"/>
      </c>
      <c r="FA124" s="1258">
        <f t="shared" si="298"/>
      </c>
      <c r="FB124" s="1244">
        <f t="shared" ref="FB124:GC124" si="299">(FB123-EW123)*10000</f>
      </c>
      <c r="FC124" s="1244">
        <f t="shared" si="299"/>
      </c>
      <c r="FD124" s="1244">
        <f t="shared" si="299"/>
      </c>
      <c r="FE124" s="1244">
        <f t="shared" si="299"/>
      </c>
      <c r="FF124" s="1242">
        <f t="shared" si="299"/>
      </c>
      <c r="FG124" s="1244">
        <f t="shared" si="299"/>
      </c>
      <c r="FH124" s="1244">
        <f t="shared" si="299"/>
      </c>
      <c r="FI124" s="1244">
        <f t="shared" si="299"/>
      </c>
      <c r="FJ124" s="1244">
        <f t="shared" si="299"/>
      </c>
      <c r="FK124" s="1242">
        <f t="shared" si="299"/>
      </c>
      <c r="FL124" s="1244">
        <f t="shared" si="299"/>
      </c>
      <c r="FM124" s="1244">
        <f t="shared" si="299"/>
      </c>
      <c r="FN124" s="1244">
        <f t="shared" si="299"/>
      </c>
      <c r="FO124" s="1244">
        <f t="shared" si="299"/>
      </c>
      <c r="FP124" s="1242">
        <f t="shared" si="299"/>
      </c>
      <c r="FQ124" s="1244">
        <f t="shared" si="299"/>
      </c>
      <c r="FR124" s="1244">
        <f t="shared" si="299"/>
      </c>
      <c r="FS124" s="1244">
        <f t="shared" si="299"/>
      </c>
      <c r="FT124" s="1244">
        <f t="shared" si="299"/>
      </c>
      <c r="FU124" s="1242">
        <f t="shared" si="299"/>
      </c>
      <c r="FV124" s="1244">
        <f t="shared" si="299"/>
      </c>
      <c r="FW124" s="1244">
        <f t="shared" si="299"/>
      </c>
      <c r="FX124" s="1244">
        <f t="shared" si="299"/>
      </c>
      <c r="FY124" s="1244">
        <f t="shared" si="299"/>
      </c>
      <c r="FZ124" s="1242">
        <f t="shared" si="299"/>
      </c>
      <c r="GA124" s="1244">
        <f t="shared" si="299"/>
      </c>
      <c r="GB124" s="1244">
        <f t="shared" si="299"/>
      </c>
      <c r="GC124" s="1244">
        <f t="shared" si="299"/>
      </c>
      <c r="GD124" s="1244">
        <f>(GD123-FY123)*10000</f>
      </c>
      <c r="GE124" s="1242">
        <f>(GE123-FZ123)*10000</f>
      </c>
      <c r="GF124" s="1244">
        <f t="shared" ref="GF124" si="300">(GF123-GA123)*10000</f>
      </c>
      <c r="GG124" s="1244">
        <f t="shared" ref="GG124" si="301">(GG123-GB123)*10000</f>
      </c>
      <c r="GH124" s="1244">
        <f t="shared" ref="GH124" si="302">(GH123-GC123)*10000</f>
      </c>
      <c r="GI124" s="1244">
        <f>(GI123-GD123)*10000</f>
      </c>
      <c r="GJ124" s="1242">
        <f>(GJ123-GE123)*10000</f>
      </c>
    </row>
    <row r="125" spans="1:192" s="1259" customFormat="1" ht="12.75" customHeight="1">
      <c r="A125" s="1255"/>
      <c r="B125" s="1256"/>
      <c r="C125" s="1244"/>
      <c r="D125" s="1244"/>
      <c r="E125" s="1244"/>
      <c r="F125" s="1244"/>
      <c r="G125" s="1242"/>
      <c r="H125" s="1244"/>
      <c r="I125" s="1244"/>
      <c r="J125" s="1244"/>
      <c r="K125" s="1244"/>
      <c r="L125" s="1242"/>
      <c r="M125" s="1244"/>
      <c r="N125" s="1244"/>
      <c r="O125" s="1244"/>
      <c r="P125" s="1244"/>
      <c r="Q125" s="1242"/>
      <c r="R125" s="1244"/>
      <c r="S125" s="1244"/>
      <c r="T125" s="1244"/>
      <c r="U125" s="1244"/>
      <c r="V125" s="1242"/>
      <c r="W125" s="1244"/>
      <c r="X125" s="1244"/>
      <c r="Y125" s="1244"/>
      <c r="Z125" s="1244"/>
      <c r="AA125" s="1242"/>
      <c r="AB125" s="1244"/>
      <c r="AC125" s="1244"/>
      <c r="AD125" s="1244"/>
      <c r="AE125" s="1244"/>
      <c r="AF125" s="1242"/>
      <c r="AG125" s="1244"/>
      <c r="AH125" s="1244"/>
      <c r="AI125" s="1244"/>
      <c r="AJ125" s="1244"/>
      <c r="AK125" s="1242"/>
      <c r="AL125" s="1244"/>
      <c r="AM125" s="1244"/>
      <c r="AN125" s="1244"/>
      <c r="AO125" s="1244"/>
      <c r="AP125" s="1242"/>
      <c r="AQ125" s="1244"/>
      <c r="AR125" s="1244"/>
      <c r="AS125" s="1244"/>
      <c r="AT125" s="1244"/>
      <c r="AU125" s="1242"/>
      <c r="AV125" s="1244"/>
      <c r="AW125" s="1244"/>
      <c r="AX125" s="1244"/>
      <c r="AY125" s="1244"/>
      <c r="AZ125" s="1242"/>
      <c r="BA125" s="1244"/>
      <c r="BB125" s="1244"/>
      <c r="BC125" s="1244"/>
      <c r="BD125" s="1244"/>
      <c r="BE125" s="1242"/>
      <c r="BF125" s="1244"/>
      <c r="BG125" s="1244"/>
      <c r="BH125" s="1244"/>
      <c r="BI125" s="1244"/>
      <c r="BJ125" s="1242"/>
      <c r="BK125" s="1244"/>
      <c r="BL125" s="1244"/>
      <c r="BM125" s="1244"/>
      <c r="BN125" s="1244"/>
      <c r="BO125" s="1242"/>
      <c r="BP125" s="1244"/>
      <c r="BQ125" s="1244"/>
      <c r="BR125" s="1244"/>
      <c r="BS125" s="1244"/>
      <c r="BT125" s="1242"/>
      <c r="BU125" s="1244"/>
      <c r="BV125" s="1244"/>
      <c r="BW125" s="1244"/>
      <c r="BX125" s="1244"/>
      <c r="BY125" s="1242"/>
      <c r="BZ125" s="1244"/>
      <c r="CA125" s="1244"/>
      <c r="CB125" s="1244"/>
      <c r="CC125" s="1244"/>
      <c r="CD125" s="1242"/>
      <c r="CE125" s="1244"/>
      <c r="CF125" s="1244"/>
      <c r="CG125" s="1244"/>
      <c r="CH125" s="1244"/>
      <c r="CI125" s="1242"/>
      <c r="CJ125" s="1244"/>
      <c r="CK125" s="1244"/>
      <c r="CL125" s="1244"/>
      <c r="CM125" s="1244"/>
      <c r="CN125" s="1242"/>
      <c r="CO125" s="1244"/>
      <c r="CP125" s="1244"/>
      <c r="CQ125" s="1244"/>
      <c r="CR125" s="1244"/>
      <c r="CS125" s="1242"/>
      <c r="CT125" s="1244"/>
      <c r="CU125" s="1244"/>
      <c r="CV125" s="1244"/>
      <c r="CW125" s="1244"/>
      <c r="CX125" s="1242"/>
      <c r="CY125" s="1244"/>
      <c r="CZ125" s="1244"/>
      <c r="DA125" s="1244"/>
      <c r="DB125" s="1244"/>
      <c r="DC125" s="1242"/>
      <c r="DD125" s="1244"/>
      <c r="DE125" s="1244"/>
      <c r="DF125" s="1244"/>
      <c r="DG125" s="1244"/>
      <c r="DH125" s="1242"/>
      <c r="DI125" s="1244"/>
      <c r="DJ125" s="1244"/>
      <c r="DK125" s="1244"/>
      <c r="DL125" s="1244"/>
      <c r="DM125" s="1242"/>
      <c r="DN125" s="1244"/>
      <c r="DO125" s="1244"/>
      <c r="DP125" s="1244"/>
      <c r="DQ125" s="1244"/>
      <c r="DR125" s="1242"/>
      <c r="DS125" s="1244"/>
      <c r="DT125" s="1244"/>
      <c r="DU125" s="1244"/>
      <c r="DV125" s="1244"/>
      <c r="DW125" s="1242"/>
      <c r="DX125" s="1244"/>
      <c r="DY125" s="1244"/>
      <c r="DZ125" s="1244"/>
      <c r="EA125" s="1244"/>
      <c r="EB125" s="1242"/>
      <c r="EC125" s="1244"/>
      <c r="ED125" s="1244"/>
      <c r="EE125" s="1244"/>
      <c r="EF125" s="1244"/>
      <c r="EG125" s="1242"/>
      <c r="EH125" s="1257"/>
      <c r="EI125" s="1257"/>
      <c r="EJ125" s="1257"/>
      <c r="EK125" s="1244"/>
      <c r="EL125" s="1258"/>
      <c r="EM125" s="1257"/>
      <c r="EN125" s="1257"/>
      <c r="EO125" s="1257"/>
      <c r="EP125" s="1244"/>
      <c r="EQ125" s="1258"/>
      <c r="ER125" s="1244"/>
      <c r="ES125" s="1244"/>
      <c r="ET125" s="1257"/>
      <c r="EU125" s="1244"/>
      <c r="EV125" s="1258"/>
      <c r="EW125" s="1244"/>
      <c r="EX125" s="458"/>
      <c r="EY125" s="1244"/>
      <c r="EZ125" s="1244"/>
      <c r="FA125" s="1242"/>
      <c r="FB125" s="1244"/>
      <c r="FC125" s="458"/>
      <c r="FD125" s="1244"/>
      <c r="FE125" s="1244"/>
      <c r="FF125" s="1242"/>
      <c r="FG125" s="1503"/>
      <c r="FH125" s="458"/>
      <c r="FI125" s="1244"/>
      <c r="FJ125" s="1244"/>
      <c r="FK125" s="1242"/>
      <c r="FL125" s="1244"/>
      <c r="FM125" s="458"/>
      <c r="FN125" s="1244"/>
      <c r="FO125" s="1244"/>
      <c r="FP125" s="1242"/>
      <c r="FQ125" s="1244"/>
      <c r="FR125" s="458"/>
      <c r="FS125" s="1244"/>
      <c r="FT125" s="1244"/>
      <c r="FU125" s="1242"/>
      <c r="FV125" s="1244"/>
      <c r="FW125" s="458"/>
      <c r="FX125" s="1244"/>
      <c r="FY125" s="1244"/>
      <c r="FZ125" s="1242"/>
      <c r="GA125" s="1244"/>
      <c r="GB125" s="458"/>
      <c r="GC125" s="1244"/>
      <c r="GD125" s="1244"/>
      <c r="GE125" s="1242"/>
      <c r="GF125" s="1244"/>
      <c r="GG125" s="458"/>
      <c r="GH125" s="1244"/>
      <c r="GI125" s="1244"/>
      <c r="GJ125" s="1242"/>
    </row>
    <row r="126" spans="1:192" s="461" customFormat="1" ht="12.75" hidden="1" customHeight="1" outlineLevel="1">
      <c r="A126" s="370"/>
      <c r="B126" s="1689" t="s">
        <v>1933</v>
      </c>
      <c r="C126" s="633"/>
      <c r="D126" s="634"/>
      <c r="E126" s="634"/>
      <c r="F126" s="634"/>
      <c r="G126" s="1690"/>
      <c r="H126" s="633"/>
      <c r="I126" s="634"/>
      <c r="J126" s="634"/>
      <c r="K126" s="634"/>
      <c r="L126" s="1690"/>
      <c r="M126" s="633"/>
      <c r="N126" s="634"/>
      <c r="O126" s="634"/>
      <c r="P126" s="634"/>
      <c r="Q126" s="1690"/>
      <c r="R126" s="633"/>
      <c r="S126" s="634"/>
      <c r="T126" s="634"/>
      <c r="U126" s="634"/>
      <c r="V126" s="1690"/>
      <c r="W126" s="633"/>
      <c r="X126" s="634"/>
      <c r="Y126" s="634"/>
      <c r="Z126" s="634"/>
      <c r="AA126" s="1690"/>
      <c r="AB126" s="633"/>
      <c r="AC126" s="634"/>
      <c r="AD126" s="634"/>
      <c r="AE126" s="634"/>
      <c r="AF126" s="1690"/>
      <c r="AG126" s="633"/>
      <c r="AH126" s="634"/>
      <c r="AI126" s="634"/>
      <c r="AJ126" s="634"/>
      <c r="AK126" s="1690"/>
      <c r="AL126" s="633"/>
      <c r="AM126" s="634"/>
      <c r="AN126" s="634"/>
      <c r="AO126" s="634"/>
      <c r="AP126" s="1690"/>
      <c r="AQ126" s="633"/>
      <c r="AR126" s="634"/>
      <c r="AS126" s="634"/>
      <c r="AT126" s="634"/>
      <c r="AU126" s="1690"/>
      <c r="AV126" s="633"/>
      <c r="AW126" s="634"/>
      <c r="AX126" s="634"/>
      <c r="AY126" s="634"/>
      <c r="AZ126" s="1690"/>
      <c r="BA126" s="633"/>
      <c r="BB126" s="634"/>
      <c r="BC126" s="634"/>
      <c r="BD126" s="634"/>
      <c r="BE126" s="1690"/>
      <c r="BF126" s="633"/>
      <c r="BG126" s="634"/>
      <c r="BH126" s="634"/>
      <c r="BI126" s="634"/>
      <c r="BJ126" s="1690"/>
      <c r="BK126" s="633"/>
      <c r="BL126" s="634"/>
      <c r="BM126" s="634"/>
      <c r="BN126" s="634"/>
      <c r="BO126" s="1690"/>
      <c r="BP126" s="633"/>
      <c r="BQ126" s="634"/>
      <c r="BR126" s="634"/>
      <c r="BS126" s="634"/>
      <c r="BT126" s="1690"/>
      <c r="BU126" s="633"/>
      <c r="BV126" s="634"/>
      <c r="BW126" s="634"/>
      <c r="BX126" s="634"/>
      <c r="BY126" s="1690"/>
      <c r="BZ126" s="633"/>
      <c r="CA126" s="634"/>
      <c r="CB126" s="634"/>
      <c r="CC126" s="634"/>
      <c r="CD126" s="1690"/>
      <c r="CE126" s="633"/>
      <c r="CF126" s="634"/>
      <c r="CG126" s="634"/>
      <c r="CH126" s="634"/>
      <c r="CI126" s="1690"/>
      <c r="CJ126" s="633"/>
      <c r="CK126" s="634"/>
      <c r="CL126" s="634"/>
      <c r="CM126" s="634"/>
      <c r="CN126" s="1690"/>
      <c r="CO126" s="633"/>
      <c r="CP126" s="634"/>
      <c r="CQ126" s="634"/>
      <c r="CR126" s="634"/>
      <c r="CS126" s="1690"/>
      <c r="CT126" s="633"/>
      <c r="CU126" s="634"/>
      <c r="CV126" s="634"/>
      <c r="CW126" s="634"/>
      <c r="CX126" s="1690"/>
      <c r="CY126" s="633"/>
      <c r="CZ126" s="634"/>
      <c r="DA126" s="634"/>
      <c r="DB126" s="634"/>
      <c r="DC126" s="1690"/>
      <c r="DD126" s="633"/>
      <c r="DE126" s="634"/>
      <c r="DF126" s="634"/>
      <c r="DG126" s="634"/>
      <c r="DH126" s="1690"/>
      <c r="DI126" s="633"/>
      <c r="DJ126" s="634"/>
      <c r="DK126" s="634"/>
      <c r="DL126" s="634"/>
      <c r="DM126" s="1690"/>
      <c r="DN126" s="633"/>
      <c r="DO126" s="634"/>
      <c r="DP126" s="634"/>
      <c r="DQ126" s="634"/>
      <c r="DR126" s="1690"/>
      <c r="DS126" s="633">
        <v>681</v>
      </c>
      <c r="DT126" s="634">
        <v>704</v>
      </c>
      <c r="DU126" s="634">
        <v>668</v>
      </c>
      <c r="DV126" s="615">
        <f t="shared" ref="DV126:DV131" si="303">DW126-DU126-DT126-DS126</f>
      </c>
      <c r="DW126" s="1675">
        <v>2762</v>
      </c>
      <c r="DX126" s="633">
        <v>724</v>
      </c>
      <c r="DY126" s="634">
        <v>688</v>
      </c>
      <c r="DZ126" s="634">
        <v>673</v>
      </c>
      <c r="EA126" s="615">
        <f t="shared" ref="EA126:EA131" si="304">EB126-DZ126-DY126-DX126</f>
      </c>
      <c r="EB126" s="1675">
        <v>2680</v>
      </c>
      <c r="EC126" s="633">
        <v>570</v>
      </c>
      <c r="ED126" s="634">
        <v>545</v>
      </c>
      <c r="EE126" s="634">
        <v>519</v>
      </c>
      <c r="EF126" s="615">
        <f t="shared" ref="EF126:EF131" si="305">EG126-EE126-ED126-EC126</f>
      </c>
      <c r="EG126" s="1675">
        <v>2131</v>
      </c>
      <c r="EH126" s="633">
        <v>520</v>
      </c>
      <c r="EI126" s="634">
        <v>503</v>
      </c>
      <c r="EJ126" s="634">
        <v>519</v>
      </c>
      <c r="EK126" s="615">
        <f t="shared" ref="EK126:EK131" si="306">EL126-EJ126-EI126-EH126</f>
      </c>
      <c r="EL126" s="1731">
        <v>2094</v>
      </c>
      <c r="EM126" s="633">
        <v>641</v>
      </c>
      <c r="EN126" s="634">
        <v>700</v>
      </c>
      <c r="EO126" s="634">
        <v>748</v>
      </c>
      <c r="EP126" s="615">
        <f t="shared" ref="EP126:EP131" si="307">EQ126-EO126-EN126-EM126</f>
      </c>
      <c r="EQ126" s="1731">
        <v>2994</v>
      </c>
      <c r="ER126" s="633">
        <v>1166</v>
      </c>
      <c r="ES126" s="939">
        <v>734</v>
      </c>
      <c r="ET126" s="1688">
        <v>619</v>
      </c>
      <c r="EU126" s="615">
        <f t="shared" ref="EU126:EU131" si="308">EV126-ET126-ES126-ER126</f>
      </c>
      <c r="EV126" s="1731">
        <v>3157</v>
      </c>
      <c r="EW126" s="1688">
        <v>681</v>
      </c>
      <c r="EX126" s="1688">
        <v>600</v>
      </c>
      <c r="EY126" s="1688">
        <v>597</v>
      </c>
      <c r="EZ126" s="615">
        <f t="shared" ref="EZ126:EZ131" si="309">FA126-EY126-EX126-EW126</f>
      </c>
      <c r="FA126" s="1731">
        <v>2647</v>
      </c>
      <c r="FB126" s="852">
        <f t="shared" ref="FB126:GD126" si="310">FB216</f>
      </c>
      <c r="FC126" s="852">
        <f t="shared" si="310"/>
      </c>
      <c r="FD126" s="852">
        <f t="shared" si="310"/>
      </c>
      <c r="FE126" s="852">
        <f t="shared" si="310"/>
      </c>
      <c r="FF126" s="853">
        <f>SUM(FB126:FE126)</f>
      </c>
      <c r="FG126" s="1049">
        <f t="shared" si="310"/>
      </c>
      <c r="FH126" s="852">
        <f t="shared" si="310"/>
      </c>
      <c r="FI126" s="852">
        <f t="shared" si="310"/>
      </c>
      <c r="FJ126" s="852">
        <f t="shared" si="310"/>
      </c>
      <c r="FK126" s="853">
        <f>SUM(FG126:FJ126)</f>
      </c>
      <c r="FL126" s="852">
        <f t="shared" si="310"/>
      </c>
      <c r="FM126" s="852">
        <f t="shared" si="310"/>
      </c>
      <c r="FN126" s="852">
        <f t="shared" si="310"/>
      </c>
      <c r="FO126" s="852">
        <f t="shared" si="310"/>
      </c>
      <c r="FP126" s="853">
        <f>SUM(FL126:FO126)</f>
      </c>
      <c r="FQ126" s="852">
        <f t="shared" si="310"/>
      </c>
      <c r="FR126" s="852">
        <f t="shared" si="310"/>
      </c>
      <c r="FS126" s="852">
        <f t="shared" si="310"/>
      </c>
      <c r="FT126" s="852">
        <f t="shared" si="310"/>
      </c>
      <c r="FU126" s="853">
        <f>SUM(FQ126:FT126)</f>
      </c>
      <c r="FV126" s="852">
        <f t="shared" si="310"/>
      </c>
      <c r="FW126" s="852">
        <f t="shared" si="310"/>
      </c>
      <c r="FX126" s="852">
        <f t="shared" si="310"/>
      </c>
      <c r="FY126" s="852">
        <f t="shared" si="310"/>
      </c>
      <c r="FZ126" s="853">
        <f>SUM(FV126:FY126)</f>
      </c>
      <c r="GA126" s="852">
        <f t="shared" si="310"/>
      </c>
      <c r="GB126" s="852">
        <f t="shared" si="310"/>
      </c>
      <c r="GC126" s="852">
        <f t="shared" si="310"/>
      </c>
      <c r="GD126" s="852">
        <f t="shared" si="310"/>
      </c>
      <c r="GE126" s="853">
        <f>SUM(GA126:GD126)</f>
      </c>
      <c r="GF126" s="852">
        <f t="shared" ref="GF126:GI126" si="311">GF216</f>
      </c>
      <c r="GG126" s="852">
        <f t="shared" si="311"/>
      </c>
      <c r="GH126" s="852">
        <f t="shared" si="311"/>
      </c>
      <c r="GI126" s="852">
        <f t="shared" si="311"/>
      </c>
      <c r="GJ126" s="853">
        <f>SUM(GF126:GI126)</f>
      </c>
    </row>
    <row r="127" spans="1:192" s="461" customFormat="1" ht="12.75" hidden="1" customHeight="1" outlineLevel="1">
      <c r="A127" s="370"/>
      <c r="B127" s="1689" t="s">
        <v>1932</v>
      </c>
      <c r="C127" s="633"/>
      <c r="D127" s="634"/>
      <c r="E127" s="634"/>
      <c r="F127" s="634"/>
      <c r="G127" s="1690"/>
      <c r="H127" s="633"/>
      <c r="I127" s="634"/>
      <c r="J127" s="634"/>
      <c r="K127" s="634"/>
      <c r="L127" s="1690"/>
      <c r="M127" s="633"/>
      <c r="N127" s="634"/>
      <c r="O127" s="634"/>
      <c r="P127" s="634"/>
      <c r="Q127" s="1690"/>
      <c r="R127" s="633"/>
      <c r="S127" s="634"/>
      <c r="T127" s="634"/>
      <c r="U127" s="634"/>
      <c r="V127" s="1690"/>
      <c r="W127" s="633"/>
      <c r="X127" s="634"/>
      <c r="Y127" s="634"/>
      <c r="Z127" s="634"/>
      <c r="AA127" s="1690"/>
      <c r="AB127" s="633"/>
      <c r="AC127" s="634"/>
      <c r="AD127" s="634"/>
      <c r="AE127" s="634"/>
      <c r="AF127" s="1690"/>
      <c r="AG127" s="633"/>
      <c r="AH127" s="634"/>
      <c r="AI127" s="634"/>
      <c r="AJ127" s="634"/>
      <c r="AK127" s="1690"/>
      <c r="AL127" s="633"/>
      <c r="AM127" s="634"/>
      <c r="AN127" s="634"/>
      <c r="AO127" s="634"/>
      <c r="AP127" s="1690"/>
      <c r="AQ127" s="633"/>
      <c r="AR127" s="634"/>
      <c r="AS127" s="634"/>
      <c r="AT127" s="634"/>
      <c r="AU127" s="1690"/>
      <c r="AV127" s="633"/>
      <c r="AW127" s="634"/>
      <c r="AX127" s="634"/>
      <c r="AY127" s="634"/>
      <c r="AZ127" s="1690"/>
      <c r="BA127" s="633"/>
      <c r="BB127" s="634"/>
      <c r="BC127" s="634"/>
      <c r="BD127" s="634"/>
      <c r="BE127" s="1690"/>
      <c r="BF127" s="633"/>
      <c r="BG127" s="634"/>
      <c r="BH127" s="634"/>
      <c r="BI127" s="634"/>
      <c r="BJ127" s="1690"/>
      <c r="BK127" s="633"/>
      <c r="BL127" s="634"/>
      <c r="BM127" s="634"/>
      <c r="BN127" s="634"/>
      <c r="BO127" s="1690"/>
      <c r="BP127" s="633"/>
      <c r="BQ127" s="634"/>
      <c r="BR127" s="634"/>
      <c r="BS127" s="634"/>
      <c r="BT127" s="1690"/>
      <c r="BU127" s="633"/>
      <c r="BV127" s="634"/>
      <c r="BW127" s="634"/>
      <c r="BX127" s="634"/>
      <c r="BY127" s="1690"/>
      <c r="BZ127" s="633"/>
      <c r="CA127" s="634"/>
      <c r="CB127" s="634"/>
      <c r="CC127" s="634"/>
      <c r="CD127" s="1690"/>
      <c r="CE127" s="633"/>
      <c r="CF127" s="634"/>
      <c r="CG127" s="634"/>
      <c r="CH127" s="634"/>
      <c r="CI127" s="1690"/>
      <c r="CJ127" s="633"/>
      <c r="CK127" s="634"/>
      <c r="CL127" s="634"/>
      <c r="CM127" s="634"/>
      <c r="CN127" s="1690"/>
      <c r="CO127" s="633"/>
      <c r="CP127" s="634"/>
      <c r="CQ127" s="634"/>
      <c r="CR127" s="634"/>
      <c r="CS127" s="1690"/>
      <c r="CT127" s="633"/>
      <c r="CU127" s="634"/>
      <c r="CV127" s="634"/>
      <c r="CW127" s="634"/>
      <c r="CX127" s="1690"/>
      <c r="CY127" s="633"/>
      <c r="CZ127" s="634"/>
      <c r="DA127" s="634"/>
      <c r="DB127" s="634"/>
      <c r="DC127" s="1690"/>
      <c r="DD127" s="633"/>
      <c r="DE127" s="634"/>
      <c r="DF127" s="634"/>
      <c r="DG127" s="634"/>
      <c r="DH127" s="1690"/>
      <c r="DI127" s="633"/>
      <c r="DJ127" s="634"/>
      <c r="DK127" s="634"/>
      <c r="DL127" s="634"/>
      <c r="DM127" s="1690"/>
      <c r="DN127" s="633"/>
      <c r="DO127" s="634"/>
      <c r="DP127" s="634"/>
      <c r="DQ127" s="634"/>
      <c r="DR127" s="1690"/>
      <c r="DS127" s="633">
        <v>-674</v>
      </c>
      <c r="DT127" s="634">
        <v>-672</v>
      </c>
      <c r="DU127" s="634">
        <v>-671</v>
      </c>
      <c r="DV127" s="615">
        <f t="shared" si="303"/>
      </c>
      <c r="DW127" s="1675">
        <v>-2686</v>
      </c>
      <c r="DX127" s="633">
        <v>-637</v>
      </c>
      <c r="DY127" s="634">
        <v>-654</v>
      </c>
      <c r="DZ127" s="634">
        <v>-614</v>
      </c>
      <c r="EA127" s="615">
        <f t="shared" si="304"/>
      </c>
      <c r="EB127" s="1675">
        <v>-2591</v>
      </c>
      <c r="EC127" s="633">
        <v>-589</v>
      </c>
      <c r="ED127" s="634">
        <v>-571</v>
      </c>
      <c r="EE127" s="634">
        <v>-633</v>
      </c>
      <c r="EF127" s="615">
        <f t="shared" si="305"/>
      </c>
      <c r="EG127" s="1675">
        <v>-2346</v>
      </c>
      <c r="EH127" s="633">
        <v>-539</v>
      </c>
      <c r="EI127" s="634">
        <v>-525</v>
      </c>
      <c r="EJ127" s="634">
        <v>-503</v>
      </c>
      <c r="EK127" s="615">
        <f t="shared" si="306"/>
      </c>
      <c r="EL127" s="1731">
        <v>-2063</v>
      </c>
      <c r="EM127" s="633">
        <v>-500</v>
      </c>
      <c r="EN127" s="634">
        <v>-490</v>
      </c>
      <c r="EO127" s="634">
        <v>-496</v>
      </c>
      <c r="EP127" s="615">
        <f t="shared" si="307"/>
      </c>
      <c r="EQ127" s="1731">
        <v>-1968</v>
      </c>
      <c r="ER127" s="633">
        <v>-525</v>
      </c>
      <c r="ES127" s="939">
        <v>-909</v>
      </c>
      <c r="ET127" s="1688">
        <v>-800</v>
      </c>
      <c r="EU127" s="615">
        <f t="shared" si="308"/>
      </c>
      <c r="EV127" s="1731">
        <v>-2935</v>
      </c>
      <c r="EW127" s="1688">
        <v>-582</v>
      </c>
      <c r="EX127" s="1688">
        <v>-594</v>
      </c>
      <c r="EY127" s="1688">
        <v>-594</v>
      </c>
      <c r="EZ127" s="615">
        <f t="shared" si="309"/>
      </c>
      <c r="FA127" s="1731">
        <v>-2385</v>
      </c>
      <c r="FB127" s="852">
        <f t="shared" ref="FB127:GD127" si="312">FB221</f>
      </c>
      <c r="FC127" s="852">
        <f t="shared" si="312"/>
      </c>
      <c r="FD127" s="852">
        <f t="shared" si="312"/>
      </c>
      <c r="FE127" s="852">
        <f t="shared" si="312"/>
      </c>
      <c r="FF127" s="853">
        <f>SUM(FB127:FE127)</f>
      </c>
      <c r="FG127" s="1049">
        <f t="shared" si="312"/>
      </c>
      <c r="FH127" s="852">
        <f t="shared" si="312"/>
      </c>
      <c r="FI127" s="852">
        <f t="shared" si="312"/>
      </c>
      <c r="FJ127" s="852">
        <f t="shared" si="312"/>
      </c>
      <c r="FK127" s="853">
        <f>SUM(FG127:FJ127)</f>
      </c>
      <c r="FL127" s="852">
        <f t="shared" si="312"/>
      </c>
      <c r="FM127" s="852">
        <f t="shared" si="312"/>
      </c>
      <c r="FN127" s="852">
        <f t="shared" si="312"/>
      </c>
      <c r="FO127" s="852">
        <f t="shared" si="312"/>
      </c>
      <c r="FP127" s="853">
        <f>SUM(FL127:FO127)</f>
      </c>
      <c r="FQ127" s="852">
        <f t="shared" si="312"/>
      </c>
      <c r="FR127" s="852">
        <f t="shared" si="312"/>
      </c>
      <c r="FS127" s="852">
        <f t="shared" si="312"/>
      </c>
      <c r="FT127" s="852">
        <f t="shared" si="312"/>
      </c>
      <c r="FU127" s="853">
        <f>SUM(FQ127:FT127)</f>
      </c>
      <c r="FV127" s="852">
        <f t="shared" si="312"/>
      </c>
      <c r="FW127" s="852">
        <f t="shared" si="312"/>
      </c>
      <c r="FX127" s="852">
        <f t="shared" si="312"/>
      </c>
      <c r="FY127" s="852">
        <f t="shared" si="312"/>
      </c>
      <c r="FZ127" s="853">
        <f>SUM(FV127:FY127)</f>
      </c>
      <c r="GA127" s="852">
        <f t="shared" si="312"/>
      </c>
      <c r="GB127" s="852">
        <f t="shared" si="312"/>
      </c>
      <c r="GC127" s="852">
        <f t="shared" si="312"/>
      </c>
      <c r="GD127" s="852">
        <f t="shared" si="312"/>
      </c>
      <c r="GE127" s="853">
        <f>SUM(GA127:GD127)</f>
      </c>
      <c r="GF127" s="852">
        <f t="shared" ref="GF127:GI127" si="313">GF221</f>
      </c>
      <c r="GG127" s="852">
        <f t="shared" si="313"/>
      </c>
      <c r="GH127" s="852">
        <f t="shared" si="313"/>
      </c>
      <c r="GI127" s="852">
        <f t="shared" si="313"/>
      </c>
      <c r="GJ127" s="853">
        <f>SUM(GF127:GI127)</f>
      </c>
    </row>
    <row r="128" spans="1:192" s="461" customFormat="1" ht="12.75" hidden="1" customHeight="1" outlineLevel="1">
      <c r="A128" s="370"/>
      <c r="B128" s="1689" t="s">
        <v>1934</v>
      </c>
      <c r="C128" s="633"/>
      <c r="D128" s="634"/>
      <c r="E128" s="634"/>
      <c r="F128" s="634"/>
      <c r="G128" s="1690"/>
      <c r="H128" s="633"/>
      <c r="I128" s="634"/>
      <c r="J128" s="634"/>
      <c r="K128" s="634"/>
      <c r="L128" s="1690"/>
      <c r="M128" s="633"/>
      <c r="N128" s="634"/>
      <c r="O128" s="634"/>
      <c r="P128" s="634"/>
      <c r="Q128" s="1690"/>
      <c r="R128" s="633"/>
      <c r="S128" s="634"/>
      <c r="T128" s="634"/>
      <c r="U128" s="634"/>
      <c r="V128" s="1690"/>
      <c r="W128" s="633"/>
      <c r="X128" s="634"/>
      <c r="Y128" s="634"/>
      <c r="Z128" s="634"/>
      <c r="AA128" s="1690"/>
      <c r="AB128" s="633"/>
      <c r="AC128" s="634"/>
      <c r="AD128" s="634"/>
      <c r="AE128" s="634"/>
      <c r="AF128" s="1690"/>
      <c r="AG128" s="633"/>
      <c r="AH128" s="634"/>
      <c r="AI128" s="634"/>
      <c r="AJ128" s="634"/>
      <c r="AK128" s="1690"/>
      <c r="AL128" s="633"/>
      <c r="AM128" s="634"/>
      <c r="AN128" s="634"/>
      <c r="AO128" s="634"/>
      <c r="AP128" s="1690"/>
      <c r="AQ128" s="633"/>
      <c r="AR128" s="634"/>
      <c r="AS128" s="634"/>
      <c r="AT128" s="634"/>
      <c r="AU128" s="1690"/>
      <c r="AV128" s="633"/>
      <c r="AW128" s="634"/>
      <c r="AX128" s="634"/>
      <c r="AY128" s="634"/>
      <c r="AZ128" s="1690"/>
      <c r="BA128" s="633"/>
      <c r="BB128" s="634"/>
      <c r="BC128" s="634"/>
      <c r="BD128" s="634"/>
      <c r="BE128" s="1690"/>
      <c r="BF128" s="633"/>
      <c r="BG128" s="634"/>
      <c r="BH128" s="634"/>
      <c r="BI128" s="634"/>
      <c r="BJ128" s="1690"/>
      <c r="BK128" s="633"/>
      <c r="BL128" s="634"/>
      <c r="BM128" s="634"/>
      <c r="BN128" s="634"/>
      <c r="BO128" s="1690"/>
      <c r="BP128" s="633"/>
      <c r="BQ128" s="634"/>
      <c r="BR128" s="634"/>
      <c r="BS128" s="634"/>
      <c r="BT128" s="1690"/>
      <c r="BU128" s="633"/>
      <c r="BV128" s="634"/>
      <c r="BW128" s="634"/>
      <c r="BX128" s="634"/>
      <c r="BY128" s="1690"/>
      <c r="BZ128" s="633"/>
      <c r="CA128" s="634"/>
      <c r="CB128" s="634"/>
      <c r="CC128" s="634"/>
      <c r="CD128" s="1690"/>
      <c r="CE128" s="633"/>
      <c r="CF128" s="634"/>
      <c r="CG128" s="634"/>
      <c r="CH128" s="634"/>
      <c r="CI128" s="1690"/>
      <c r="CJ128" s="633"/>
      <c r="CK128" s="634"/>
      <c r="CL128" s="634"/>
      <c r="CM128" s="634"/>
      <c r="CN128" s="1690"/>
      <c r="CO128" s="633"/>
      <c r="CP128" s="634"/>
      <c r="CQ128" s="634"/>
      <c r="CR128" s="634"/>
      <c r="CS128" s="1690"/>
      <c r="CT128" s="633"/>
      <c r="CU128" s="634"/>
      <c r="CV128" s="634"/>
      <c r="CW128" s="634"/>
      <c r="CX128" s="1690"/>
      <c r="CY128" s="633"/>
      <c r="CZ128" s="634"/>
      <c r="DA128" s="634"/>
      <c r="DB128" s="634"/>
      <c r="DC128" s="1690"/>
      <c r="DD128" s="633"/>
      <c r="DE128" s="634"/>
      <c r="DF128" s="634"/>
      <c r="DG128" s="634"/>
      <c r="DH128" s="1690"/>
      <c r="DI128" s="633"/>
      <c r="DJ128" s="634"/>
      <c r="DK128" s="634"/>
      <c r="DL128" s="634"/>
      <c r="DM128" s="1690"/>
      <c r="DN128" s="633"/>
      <c r="DO128" s="634"/>
      <c r="DP128" s="634"/>
      <c r="DQ128" s="634"/>
      <c r="DR128" s="1690"/>
      <c r="DS128" s="633">
        <v>243</v>
      </c>
      <c r="DT128" s="634">
        <v>94</v>
      </c>
      <c r="DU128" s="634">
        <v>44</v>
      </c>
      <c r="DV128" s="615">
        <f t="shared" si="303"/>
      </c>
      <c r="DW128" s="1675">
        <v>648</v>
      </c>
      <c r="DX128" s="633">
        <v>-57</v>
      </c>
      <c r="DY128" s="634">
        <v>162</v>
      </c>
      <c r="DZ128" s="634">
        <v>-101</v>
      </c>
      <c r="EA128" s="615">
        <f t="shared" si="304"/>
      </c>
      <c r="EB128" s="1675">
        <v>32</v>
      </c>
      <c r="EC128" s="633">
        <v>125</v>
      </c>
      <c r="ED128" s="634">
        <v>359</v>
      </c>
      <c r="EE128" s="634">
        <v>353</v>
      </c>
      <c r="EF128" s="615">
        <f t="shared" si="305"/>
      </c>
      <c r="EG128" s="1675">
        <v>1232</v>
      </c>
      <c r="EH128" s="633">
        <v>371</v>
      </c>
      <c r="EI128" s="634">
        <v>300</v>
      </c>
      <c r="EJ128" s="634">
        <v>-76</v>
      </c>
      <c r="EK128" s="615">
        <f t="shared" si="306"/>
      </c>
      <c r="EL128" s="1731">
        <v>461</v>
      </c>
      <c r="EM128" s="633">
        <v>13</v>
      </c>
      <c r="EN128" s="634">
        <v>-15</v>
      </c>
      <c r="EO128" s="634">
        <v>105</v>
      </c>
      <c r="EP128" s="615">
        <f t="shared" si="307"/>
      </c>
      <c r="EQ128" s="1731">
        <v>260</v>
      </c>
      <c r="ER128" s="633">
        <v>-107</v>
      </c>
      <c r="ES128" s="939">
        <v>69</v>
      </c>
      <c r="ET128" s="1688">
        <v>-25</v>
      </c>
      <c r="EU128" s="615">
        <f t="shared" si="308"/>
      </c>
      <c r="EV128" s="1731">
        <v>-118</v>
      </c>
      <c r="EW128" s="1688">
        <v>463</v>
      </c>
      <c r="EX128" s="1688">
        <v>-860</v>
      </c>
      <c r="EY128" s="1688">
        <v>111</v>
      </c>
      <c r="EZ128" s="615">
        <f t="shared" si="309"/>
      </c>
      <c r="FA128" s="1731">
        <v>-349</v>
      </c>
      <c r="FB128" s="939"/>
      <c r="FC128" s="939"/>
      <c r="FD128" s="939"/>
      <c r="FE128" s="939"/>
      <c r="FF128" s="853"/>
      <c r="FG128" s="1688"/>
      <c r="FH128" s="939"/>
      <c r="FI128" s="939"/>
      <c r="FJ128" s="939"/>
      <c r="FK128" s="853"/>
      <c r="FL128" s="939"/>
      <c r="FM128" s="939"/>
      <c r="FN128" s="939"/>
      <c r="FO128" s="939"/>
      <c r="FP128" s="853"/>
      <c r="FQ128" s="939"/>
      <c r="FR128" s="939"/>
      <c r="FS128" s="939"/>
      <c r="FT128" s="939"/>
      <c r="FU128" s="853"/>
      <c r="FV128" s="939"/>
      <c r="FW128" s="939"/>
      <c r="FX128" s="939"/>
      <c r="FY128" s="939"/>
      <c r="FZ128" s="853"/>
      <c r="GA128" s="939"/>
      <c r="GB128" s="939"/>
      <c r="GC128" s="939"/>
      <c r="GD128" s="939"/>
      <c r="GE128" s="853"/>
      <c r="GF128" s="939"/>
      <c r="GG128" s="939"/>
      <c r="GH128" s="939"/>
      <c r="GI128" s="939"/>
      <c r="GJ128" s="853"/>
    </row>
    <row r="129" spans="1:192" s="461" customFormat="1" ht="12.75" hidden="1" customHeight="1" outlineLevel="1">
      <c r="A129" s="370"/>
      <c r="B129" s="1689" t="s">
        <v>1935</v>
      </c>
      <c r="C129" s="633"/>
      <c r="D129" s="634"/>
      <c r="E129" s="634"/>
      <c r="F129" s="634"/>
      <c r="G129" s="1690"/>
      <c r="H129" s="633"/>
      <c r="I129" s="634"/>
      <c r="J129" s="634"/>
      <c r="K129" s="634"/>
      <c r="L129" s="1690"/>
      <c r="M129" s="633"/>
      <c r="N129" s="634"/>
      <c r="O129" s="634"/>
      <c r="P129" s="634"/>
      <c r="Q129" s="1690"/>
      <c r="R129" s="633"/>
      <c r="S129" s="634"/>
      <c r="T129" s="634"/>
      <c r="U129" s="634"/>
      <c r="V129" s="1690"/>
      <c r="W129" s="633"/>
      <c r="X129" s="634"/>
      <c r="Y129" s="634"/>
      <c r="Z129" s="634"/>
      <c r="AA129" s="1690"/>
      <c r="AB129" s="633"/>
      <c r="AC129" s="634"/>
      <c r="AD129" s="634"/>
      <c r="AE129" s="634"/>
      <c r="AF129" s="1690"/>
      <c r="AG129" s="633"/>
      <c r="AH129" s="634"/>
      <c r="AI129" s="634"/>
      <c r="AJ129" s="634"/>
      <c r="AK129" s="1690"/>
      <c r="AL129" s="633"/>
      <c r="AM129" s="634"/>
      <c r="AN129" s="634"/>
      <c r="AO129" s="634"/>
      <c r="AP129" s="1690"/>
      <c r="AQ129" s="633"/>
      <c r="AR129" s="634"/>
      <c r="AS129" s="634"/>
      <c r="AT129" s="634"/>
      <c r="AU129" s="1690"/>
      <c r="AV129" s="633"/>
      <c r="AW129" s="634"/>
      <c r="AX129" s="634"/>
      <c r="AY129" s="634"/>
      <c r="AZ129" s="1690"/>
      <c r="BA129" s="633"/>
      <c r="BB129" s="634"/>
      <c r="BC129" s="634"/>
      <c r="BD129" s="634"/>
      <c r="BE129" s="1690"/>
      <c r="BF129" s="633"/>
      <c r="BG129" s="634"/>
      <c r="BH129" s="634"/>
      <c r="BI129" s="634"/>
      <c r="BJ129" s="1690"/>
      <c r="BK129" s="633"/>
      <c r="BL129" s="634"/>
      <c r="BM129" s="634"/>
      <c r="BN129" s="634"/>
      <c r="BO129" s="1690"/>
      <c r="BP129" s="633"/>
      <c r="BQ129" s="634"/>
      <c r="BR129" s="634"/>
      <c r="BS129" s="634"/>
      <c r="BT129" s="1690"/>
      <c r="BU129" s="633"/>
      <c r="BV129" s="634"/>
      <c r="BW129" s="634"/>
      <c r="BX129" s="634"/>
      <c r="BY129" s="1690"/>
      <c r="BZ129" s="633"/>
      <c r="CA129" s="634"/>
      <c r="CB129" s="634"/>
      <c r="CC129" s="634"/>
      <c r="CD129" s="1690"/>
      <c r="CE129" s="633"/>
      <c r="CF129" s="634"/>
      <c r="CG129" s="634"/>
      <c r="CH129" s="634"/>
      <c r="CI129" s="1690"/>
      <c r="CJ129" s="633"/>
      <c r="CK129" s="634"/>
      <c r="CL129" s="634"/>
      <c r="CM129" s="634"/>
      <c r="CN129" s="1690"/>
      <c r="CO129" s="633"/>
      <c r="CP129" s="634"/>
      <c r="CQ129" s="634"/>
      <c r="CR129" s="634"/>
      <c r="CS129" s="1690"/>
      <c r="CT129" s="633"/>
      <c r="CU129" s="634"/>
      <c r="CV129" s="634"/>
      <c r="CW129" s="634"/>
      <c r="CX129" s="1690"/>
      <c r="CY129" s="633"/>
      <c r="CZ129" s="634"/>
      <c r="DA129" s="634"/>
      <c r="DB129" s="634"/>
      <c r="DC129" s="1690"/>
      <c r="DD129" s="633"/>
      <c r="DE129" s="634"/>
      <c r="DF129" s="634"/>
      <c r="DG129" s="634"/>
      <c r="DH129" s="1690"/>
      <c r="DI129" s="633"/>
      <c r="DJ129" s="634"/>
      <c r="DK129" s="634"/>
      <c r="DL129" s="634"/>
      <c r="DM129" s="1690"/>
      <c r="DN129" s="633"/>
      <c r="DO129" s="634"/>
      <c r="DP129" s="634"/>
      <c r="DQ129" s="634"/>
      <c r="DR129" s="1690"/>
      <c r="DS129" s="633">
        <v>-3</v>
      </c>
      <c r="DT129" s="634">
        <v>41</v>
      </c>
      <c r="DU129" s="634">
        <v>51</v>
      </c>
      <c r="DV129" s="615">
        <f t="shared" si="303"/>
      </c>
      <c r="DW129" s="1675">
        <v>144</v>
      </c>
      <c r="DX129" s="633">
        <v>46</v>
      </c>
      <c r="DY129" s="634">
        <v>41</v>
      </c>
      <c r="DZ129" s="634">
        <v>49</v>
      </c>
      <c r="EA129" s="615">
        <f t="shared" si="304"/>
      </c>
      <c r="EB129" s="1675">
        <v>187</v>
      </c>
      <c r="EC129" s="633">
        <v>3</v>
      </c>
      <c r="ED129" s="634">
        <v>-5</v>
      </c>
      <c r="EE129" s="634">
        <v>-2</v>
      </c>
      <c r="EF129" s="615">
        <f t="shared" si="305"/>
      </c>
      <c r="EG129" s="1675">
        <v>17</v>
      </c>
      <c r="EH129" s="633">
        <v>-7</v>
      </c>
      <c r="EI129" s="634">
        <v>7</v>
      </c>
      <c r="EJ129" s="634">
        <v>-29</v>
      </c>
      <c r="EK129" s="615">
        <f t="shared" si="306"/>
      </c>
      <c r="EL129" s="1731">
        <v>-52</v>
      </c>
      <c r="EM129" s="633">
        <v>9</v>
      </c>
      <c r="EN129" s="634">
        <v>-199</v>
      </c>
      <c r="EO129" s="634">
        <v>-65</v>
      </c>
      <c r="EP129" s="615">
        <f t="shared" si="307"/>
      </c>
      <c r="EQ129" s="1731">
        <v>-456</v>
      </c>
      <c r="ER129" s="633">
        <v>93</v>
      </c>
      <c r="ES129" s="939">
        <v>-267</v>
      </c>
      <c r="ET129" s="1688">
        <v>-24</v>
      </c>
      <c r="EU129" s="615">
        <f t="shared" si="308"/>
      </c>
      <c r="EV129" s="1731">
        <v>-187</v>
      </c>
      <c r="EW129" s="1688">
        <v>-338</v>
      </c>
      <c r="EX129" s="1688">
        <v>-116</v>
      </c>
      <c r="EY129" s="1688">
        <v>187</v>
      </c>
      <c r="EZ129" s="615">
        <f t="shared" si="309"/>
      </c>
      <c r="FA129" s="1731">
        <v>-260</v>
      </c>
      <c r="FB129" s="939"/>
      <c r="FC129" s="939"/>
      <c r="FD129" s="939"/>
      <c r="FE129" s="939"/>
      <c r="FF129" s="853"/>
      <c r="FG129" s="1688"/>
      <c r="FH129" s="939"/>
      <c r="FI129" s="939"/>
      <c r="FJ129" s="939"/>
      <c r="FK129" s="853"/>
      <c r="FL129" s="939"/>
      <c r="FM129" s="939"/>
      <c r="FN129" s="939"/>
      <c r="FO129" s="939"/>
      <c r="FP129" s="853"/>
      <c r="FQ129" s="939"/>
      <c r="FR129" s="939"/>
      <c r="FS129" s="939"/>
      <c r="FT129" s="939"/>
      <c r="FU129" s="853"/>
      <c r="FV129" s="939"/>
      <c r="FW129" s="939"/>
      <c r="FX129" s="939"/>
      <c r="FY129" s="939"/>
      <c r="FZ129" s="853"/>
      <c r="GA129" s="939"/>
      <c r="GB129" s="939"/>
      <c r="GC129" s="939"/>
      <c r="GD129" s="939"/>
      <c r="GE129" s="853"/>
      <c r="GF129" s="939"/>
      <c r="GG129" s="939"/>
      <c r="GH129" s="939"/>
      <c r="GI129" s="939"/>
      <c r="GJ129" s="853"/>
    </row>
    <row r="130" spans="1:192" s="461" customFormat="1" ht="12.75" hidden="1" customHeight="1" outlineLevel="1">
      <c r="A130" s="370"/>
      <c r="B130" s="1689" t="s">
        <v>1936</v>
      </c>
      <c r="C130" s="633"/>
      <c r="D130" s="634"/>
      <c r="E130" s="634"/>
      <c r="F130" s="634"/>
      <c r="G130" s="1690"/>
      <c r="H130" s="633"/>
      <c r="I130" s="634"/>
      <c r="J130" s="634"/>
      <c r="K130" s="634"/>
      <c r="L130" s="1690"/>
      <c r="M130" s="633"/>
      <c r="N130" s="634"/>
      <c r="O130" s="634"/>
      <c r="P130" s="634"/>
      <c r="Q130" s="1690"/>
      <c r="R130" s="633"/>
      <c r="S130" s="634"/>
      <c r="T130" s="634"/>
      <c r="U130" s="634"/>
      <c r="V130" s="1690"/>
      <c r="W130" s="633"/>
      <c r="X130" s="634"/>
      <c r="Y130" s="634"/>
      <c r="Z130" s="634"/>
      <c r="AA130" s="1690"/>
      <c r="AB130" s="633"/>
      <c r="AC130" s="634"/>
      <c r="AD130" s="634"/>
      <c r="AE130" s="634"/>
      <c r="AF130" s="1690"/>
      <c r="AG130" s="633"/>
      <c r="AH130" s="634"/>
      <c r="AI130" s="634"/>
      <c r="AJ130" s="634"/>
      <c r="AK130" s="1690"/>
      <c r="AL130" s="633"/>
      <c r="AM130" s="634"/>
      <c r="AN130" s="634"/>
      <c r="AO130" s="634"/>
      <c r="AP130" s="1690"/>
      <c r="AQ130" s="633"/>
      <c r="AR130" s="634"/>
      <c r="AS130" s="634"/>
      <c r="AT130" s="634"/>
      <c r="AU130" s="1690"/>
      <c r="AV130" s="633"/>
      <c r="AW130" s="634"/>
      <c r="AX130" s="634"/>
      <c r="AY130" s="634"/>
      <c r="AZ130" s="1690"/>
      <c r="BA130" s="633"/>
      <c r="BB130" s="634"/>
      <c r="BC130" s="634"/>
      <c r="BD130" s="634"/>
      <c r="BE130" s="1690"/>
      <c r="BF130" s="633"/>
      <c r="BG130" s="634"/>
      <c r="BH130" s="634"/>
      <c r="BI130" s="634"/>
      <c r="BJ130" s="1690"/>
      <c r="BK130" s="633"/>
      <c r="BL130" s="634"/>
      <c r="BM130" s="634"/>
      <c r="BN130" s="634"/>
      <c r="BO130" s="1690"/>
      <c r="BP130" s="633"/>
      <c r="BQ130" s="634"/>
      <c r="BR130" s="634"/>
      <c r="BS130" s="634"/>
      <c r="BT130" s="1690"/>
      <c r="BU130" s="633"/>
      <c r="BV130" s="634"/>
      <c r="BW130" s="634"/>
      <c r="BX130" s="634"/>
      <c r="BY130" s="1690"/>
      <c r="BZ130" s="633"/>
      <c r="CA130" s="634"/>
      <c r="CB130" s="634"/>
      <c r="CC130" s="634"/>
      <c r="CD130" s="1690"/>
      <c r="CE130" s="633"/>
      <c r="CF130" s="634"/>
      <c r="CG130" s="634"/>
      <c r="CH130" s="634"/>
      <c r="CI130" s="1690"/>
      <c r="CJ130" s="633"/>
      <c r="CK130" s="634"/>
      <c r="CL130" s="634"/>
      <c r="CM130" s="634"/>
      <c r="CN130" s="1690"/>
      <c r="CO130" s="633"/>
      <c r="CP130" s="634"/>
      <c r="CQ130" s="634"/>
      <c r="CR130" s="634"/>
      <c r="CS130" s="1690"/>
      <c r="CT130" s="633"/>
      <c r="CU130" s="634"/>
      <c r="CV130" s="634"/>
      <c r="CW130" s="634"/>
      <c r="CX130" s="1690"/>
      <c r="CY130" s="633"/>
      <c r="CZ130" s="634"/>
      <c r="DA130" s="634"/>
      <c r="DB130" s="634"/>
      <c r="DC130" s="1690"/>
      <c r="DD130" s="633"/>
      <c r="DE130" s="634"/>
      <c r="DF130" s="634"/>
      <c r="DG130" s="634"/>
      <c r="DH130" s="1690"/>
      <c r="DI130" s="633"/>
      <c r="DJ130" s="634"/>
      <c r="DK130" s="634"/>
      <c r="DL130" s="634"/>
      <c r="DM130" s="1690"/>
      <c r="DN130" s="633"/>
      <c r="DO130" s="634"/>
      <c r="DP130" s="634"/>
      <c r="DQ130" s="634"/>
      <c r="DR130" s="1690"/>
      <c r="DS130" s="633">
        <v>5</v>
      </c>
      <c r="DT130" s="634">
        <v>-74</v>
      </c>
      <c r="DU130" s="634">
        <v>37</v>
      </c>
      <c r="DV130" s="615">
        <f t="shared" si="303"/>
      </c>
      <c r="DW130" s="1675">
        <v>-82</v>
      </c>
      <c r="DX130" s="633">
        <v>-58</v>
      </c>
      <c r="DY130" s="634">
        <v>-24</v>
      </c>
      <c r="DZ130" s="634">
        <v>-136</v>
      </c>
      <c r="EA130" s="615">
        <f t="shared" si="304"/>
      </c>
      <c r="EB130" s="1675">
        <v>-191</v>
      </c>
      <c r="EC130" s="633">
        <v>139</v>
      </c>
      <c r="ED130" s="634">
        <v>42</v>
      </c>
      <c r="EE130" s="634">
        <v>-55</v>
      </c>
      <c r="EF130" s="615">
        <f t="shared" si="305"/>
      </c>
      <c r="EG130" s="1675">
        <v>54</v>
      </c>
      <c r="EH130" s="633">
        <v>-65</v>
      </c>
      <c r="EI130" s="634">
        <v>-13</v>
      </c>
      <c r="EJ130" s="634">
        <v>-74</v>
      </c>
      <c r="EK130" s="615">
        <f t="shared" si="306"/>
      </c>
      <c r="EL130" s="1731">
        <v>-75</v>
      </c>
      <c r="EM130" s="633">
        <v>-78</v>
      </c>
      <c r="EN130" s="634">
        <v>-18</v>
      </c>
      <c r="EO130" s="634">
        <v>122</v>
      </c>
      <c r="EP130" s="615">
        <f t="shared" si="307"/>
      </c>
      <c r="EQ130" s="1731">
        <v>181</v>
      </c>
      <c r="ER130" s="633">
        <v>-101</v>
      </c>
      <c r="ES130" s="939">
        <v>36</v>
      </c>
      <c r="ET130" s="1688">
        <v>-138</v>
      </c>
      <c r="EU130" s="615">
        <f t="shared" si="308"/>
      </c>
      <c r="EV130" s="1731">
        <v>-244</v>
      </c>
      <c r="EW130" s="1688">
        <v>176</v>
      </c>
      <c r="EX130" s="1688">
        <v>-153</v>
      </c>
      <c r="EY130" s="1688">
        <v>89</v>
      </c>
      <c r="EZ130" s="615">
        <f t="shared" si="309"/>
      </c>
      <c r="FA130" s="1731">
        <v>171</v>
      </c>
      <c r="FB130" s="939"/>
      <c r="FC130" s="939"/>
      <c r="FD130" s="939"/>
      <c r="FE130" s="939"/>
      <c r="FF130" s="853"/>
      <c r="FG130" s="1688"/>
      <c r="FH130" s="939"/>
      <c r="FI130" s="939"/>
      <c r="FJ130" s="939"/>
      <c r="FK130" s="853"/>
      <c r="FL130" s="939"/>
      <c r="FM130" s="939"/>
      <c r="FN130" s="939"/>
      <c r="FO130" s="939"/>
      <c r="FP130" s="853"/>
      <c r="FQ130" s="939"/>
      <c r="FR130" s="939"/>
      <c r="FS130" s="939"/>
      <c r="FT130" s="939"/>
      <c r="FU130" s="853"/>
      <c r="FV130" s="939"/>
      <c r="FW130" s="939"/>
      <c r="FX130" s="939"/>
      <c r="FY130" s="939"/>
      <c r="FZ130" s="853"/>
      <c r="GA130" s="939"/>
      <c r="GB130" s="939"/>
      <c r="GC130" s="939"/>
      <c r="GD130" s="939"/>
      <c r="GE130" s="853"/>
      <c r="GF130" s="939"/>
      <c r="GG130" s="939"/>
      <c r="GH130" s="939"/>
      <c r="GI130" s="939"/>
      <c r="GJ130" s="853"/>
    </row>
    <row r="131" spans="1:192" s="461" customFormat="1" ht="12.75" hidden="1" customHeight="1" outlineLevel="1">
      <c r="A131" s="370"/>
      <c r="B131" s="1689" t="s">
        <v>129</v>
      </c>
      <c r="C131" s="633"/>
      <c r="D131" s="634"/>
      <c r="E131" s="634"/>
      <c r="F131" s="634"/>
      <c r="G131" s="1690"/>
      <c r="H131" s="633"/>
      <c r="I131" s="634"/>
      <c r="J131" s="634"/>
      <c r="K131" s="634"/>
      <c r="L131" s="1690"/>
      <c r="M131" s="633"/>
      <c r="N131" s="634"/>
      <c r="O131" s="634"/>
      <c r="P131" s="634"/>
      <c r="Q131" s="1690"/>
      <c r="R131" s="633"/>
      <c r="S131" s="634"/>
      <c r="T131" s="634"/>
      <c r="U131" s="634"/>
      <c r="V131" s="1690"/>
      <c r="W131" s="633"/>
      <c r="X131" s="634"/>
      <c r="Y131" s="634"/>
      <c r="Z131" s="634"/>
      <c r="AA131" s="1690"/>
      <c r="AB131" s="633"/>
      <c r="AC131" s="634"/>
      <c r="AD131" s="634"/>
      <c r="AE131" s="634"/>
      <c r="AF131" s="1690"/>
      <c r="AG131" s="633"/>
      <c r="AH131" s="634"/>
      <c r="AI131" s="634"/>
      <c r="AJ131" s="634"/>
      <c r="AK131" s="1690"/>
      <c r="AL131" s="633"/>
      <c r="AM131" s="634"/>
      <c r="AN131" s="634"/>
      <c r="AO131" s="634"/>
      <c r="AP131" s="1690"/>
      <c r="AQ131" s="633"/>
      <c r="AR131" s="634"/>
      <c r="AS131" s="634"/>
      <c r="AT131" s="634"/>
      <c r="AU131" s="1690"/>
      <c r="AV131" s="633"/>
      <c r="AW131" s="634"/>
      <c r="AX131" s="634"/>
      <c r="AY131" s="634"/>
      <c r="AZ131" s="1690"/>
      <c r="BA131" s="633"/>
      <c r="BB131" s="634"/>
      <c r="BC131" s="634"/>
      <c r="BD131" s="634"/>
      <c r="BE131" s="1690"/>
      <c r="BF131" s="633"/>
      <c r="BG131" s="634"/>
      <c r="BH131" s="634"/>
      <c r="BI131" s="634"/>
      <c r="BJ131" s="1690"/>
      <c r="BK131" s="633"/>
      <c r="BL131" s="634"/>
      <c r="BM131" s="634"/>
      <c r="BN131" s="634"/>
      <c r="BO131" s="1690"/>
      <c r="BP131" s="633"/>
      <c r="BQ131" s="634"/>
      <c r="BR131" s="634"/>
      <c r="BS131" s="634"/>
      <c r="BT131" s="1690"/>
      <c r="BU131" s="633"/>
      <c r="BV131" s="634"/>
      <c r="BW131" s="634"/>
      <c r="BX131" s="634"/>
      <c r="BY131" s="1690"/>
      <c r="BZ131" s="633"/>
      <c r="CA131" s="634"/>
      <c r="CB131" s="634"/>
      <c r="CC131" s="634"/>
      <c r="CD131" s="1690"/>
      <c r="CE131" s="633"/>
      <c r="CF131" s="634"/>
      <c r="CG131" s="634"/>
      <c r="CH131" s="634"/>
      <c r="CI131" s="1690"/>
      <c r="CJ131" s="633"/>
      <c r="CK131" s="634"/>
      <c r="CL131" s="634"/>
      <c r="CM131" s="634"/>
      <c r="CN131" s="1690"/>
      <c r="CO131" s="633"/>
      <c r="CP131" s="634"/>
      <c r="CQ131" s="634"/>
      <c r="CR131" s="634"/>
      <c r="CS131" s="1690"/>
      <c r="CT131" s="633"/>
      <c r="CU131" s="634"/>
      <c r="CV131" s="634"/>
      <c r="CW131" s="634"/>
      <c r="CX131" s="1690"/>
      <c r="CY131" s="633"/>
      <c r="CZ131" s="634"/>
      <c r="DA131" s="634"/>
      <c r="DB131" s="634"/>
      <c r="DC131" s="1690"/>
      <c r="DD131" s="633"/>
      <c r="DE131" s="634"/>
      <c r="DF131" s="634"/>
      <c r="DG131" s="634"/>
      <c r="DH131" s="1690"/>
      <c r="DI131" s="633"/>
      <c r="DJ131" s="634"/>
      <c r="DK131" s="634"/>
      <c r="DL131" s="634"/>
      <c r="DM131" s="1690"/>
      <c r="DN131" s="633"/>
      <c r="DO131" s="634"/>
      <c r="DP131" s="634"/>
      <c r="DQ131" s="634"/>
      <c r="DR131" s="1690"/>
      <c r="DS131" s="633">
        <v>14</v>
      </c>
      <c r="DT131" s="634">
        <v>34</v>
      </c>
      <c r="DU131" s="634">
        <v>16</v>
      </c>
      <c r="DV131" s="615">
        <f t="shared" si="303"/>
      </c>
      <c r="DW131" s="1675">
        <v>-57</v>
      </c>
      <c r="DX131" s="633">
        <v>-18</v>
      </c>
      <c r="DY131" s="634">
        <v>-19</v>
      </c>
      <c r="DZ131" s="634">
        <v>-3</v>
      </c>
      <c r="EA131" s="615">
        <f t="shared" si="304"/>
      </c>
      <c r="EB131" s="1675">
        <v>-40</v>
      </c>
      <c r="EC131" s="633">
        <v>0</v>
      </c>
      <c r="ED131" s="634">
        <v>70</v>
      </c>
      <c r="EE131" s="634">
        <v>6</v>
      </c>
      <c r="EF131" s="615">
        <f t="shared" si="305"/>
      </c>
      <c r="EG131" s="1675">
        <v>98</v>
      </c>
      <c r="EH131" s="633">
        <v>6</v>
      </c>
      <c r="EI131" s="634">
        <v>-4</v>
      </c>
      <c r="EJ131" s="634">
        <v>-11</v>
      </c>
      <c r="EK131" s="615">
        <f t="shared" si="306"/>
      </c>
      <c r="EL131" s="1731">
        <v>-32</v>
      </c>
      <c r="EM131" s="633">
        <v>-31</v>
      </c>
      <c r="EN131" s="634">
        <v>-38</v>
      </c>
      <c r="EO131" s="634">
        <v>-93</v>
      </c>
      <c r="EP131" s="615">
        <f t="shared" si="307"/>
      </c>
      <c r="EQ131" s="1731">
        <v>-223</v>
      </c>
      <c r="ER131" s="633">
        <v>-137</v>
      </c>
      <c r="ES131" s="939">
        <v>-169</v>
      </c>
      <c r="ET131" s="1688">
        <v>-486</v>
      </c>
      <c r="EU131" s="615">
        <f t="shared" si="308"/>
      </c>
      <c r="EV131" s="1731">
        <v>-1319</v>
      </c>
      <c r="EW131" s="1688">
        <v>-683</v>
      </c>
      <c r="EX131" s="1688">
        <v>-1165</v>
      </c>
      <c r="EY131" s="1688">
        <v>-1013</v>
      </c>
      <c r="EZ131" s="615">
        <f t="shared" si="309"/>
      </c>
      <c r="FA131" s="1731">
        <v>-4725</v>
      </c>
      <c r="FB131" s="939">
        <v>-1625</v>
      </c>
      <c r="FC131" s="939">
        <v>-1100</v>
      </c>
      <c r="FD131" s="939">
        <v>-1000</v>
      </c>
      <c r="FE131" s="939">
        <v>-900</v>
      </c>
      <c r="FF131" s="853">
        <f>SUM(FB131:FE131)</f>
      </c>
      <c r="FG131" s="1688">
        <v>-500</v>
      </c>
      <c r="FH131" s="939">
        <v>-200</v>
      </c>
      <c r="FI131" s="939">
        <v>-100</v>
      </c>
      <c r="FJ131" s="939">
        <v>-100</v>
      </c>
      <c r="FK131" s="853">
        <f>SUM(FG131:FJ131)</f>
      </c>
      <c r="FL131" s="939">
        <v>-100</v>
      </c>
      <c r="FM131" s="939">
        <f>FL131</f>
      </c>
      <c r="FN131" s="939">
        <f>FM131</f>
      </c>
      <c r="FO131" s="939">
        <f>FN131</f>
      </c>
      <c r="FP131" s="853">
        <f>SUM(FL131:FO131)</f>
      </c>
      <c r="FQ131" s="939">
        <v>-100</v>
      </c>
      <c r="FR131" s="939">
        <f>FQ131</f>
      </c>
      <c r="FS131" s="939">
        <f>FR131</f>
      </c>
      <c r="FT131" s="939">
        <f>FS131</f>
      </c>
      <c r="FU131" s="853">
        <f>SUM(FQ131:FT131)</f>
      </c>
      <c r="FV131" s="939"/>
      <c r="FW131" s="939"/>
      <c r="FX131" s="939"/>
      <c r="FY131" s="939"/>
      <c r="FZ131" s="853">
        <f>SUM(FV131:FY131)</f>
      </c>
      <c r="GA131" s="939"/>
      <c r="GB131" s="939"/>
      <c r="GC131" s="939"/>
      <c r="GD131" s="939"/>
      <c r="GE131" s="853">
        <f>SUM(GA131:GD131)</f>
      </c>
      <c r="GF131" s="939"/>
      <c r="GG131" s="939"/>
      <c r="GH131" s="939"/>
      <c r="GI131" s="939"/>
      <c r="GJ131" s="853">
        <f>SUM(GF131:GI131)</f>
      </c>
    </row>
    <row r="132" spans="1:192" s="461" customFormat="1" ht="12.75" customHeight="1" collapsed="1">
      <c r="A132" s="370" t="s">
        <v>376</v>
      </c>
      <c r="B132" s="1483" t="s">
        <v>164</v>
      </c>
      <c r="C132" s="1484">
        <f>36-2</f>
      </c>
      <c r="D132" s="1485">
        <f>42-5</f>
      </c>
      <c r="E132" s="1485">
        <f>48-5</f>
      </c>
      <c r="F132" s="1485">
        <f>65-46-4</f>
      </c>
      <c r="G132" s="627">
        <f>SUM(C132:F132)</f>
      </c>
      <c r="H132" s="1484">
        <f>66-4</f>
      </c>
      <c r="I132" s="1485">
        <f>76+23</f>
      </c>
      <c r="J132" s="1485">
        <f>86+4</f>
      </c>
      <c r="K132" s="1485">
        <f>92-42</f>
      </c>
      <c r="L132" s="627">
        <f>SUM(H132:K132)</f>
      </c>
      <c r="M132" s="1484">
        <f>92-49</f>
      </c>
      <c r="N132" s="1485">
        <f>105-46</f>
      </c>
      <c r="O132" s="1485">
        <f>119-84</f>
      </c>
      <c r="P132" s="1486">
        <f>127-80</f>
      </c>
      <c r="Q132" s="627">
        <f>SUM(M132:P132)</f>
      </c>
      <c r="R132" s="1484">
        <f>142-71</f>
      </c>
      <c r="S132" s="1485">
        <f>157-50</f>
      </c>
      <c r="T132" s="1485">
        <f>190-60</f>
      </c>
      <c r="U132" s="1485">
        <f>214-49</f>
      </c>
      <c r="V132" s="627">
        <f>SUM(R132:U132)</f>
      </c>
      <c r="W132" s="1484">
        <f>261+160</f>
      </c>
      <c r="X132" s="1485">
        <v>337</v>
      </c>
      <c r="Y132" s="1485">
        <v>720</v>
      </c>
      <c r="Z132" s="1485">
        <v>485</v>
      </c>
      <c r="AA132" s="627">
        <f>SUM(W132:Z132)</f>
      </c>
      <c r="AB132" s="1484">
        <f>397+156</f>
      </c>
      <c r="AC132" s="1485">
        <v>773</v>
      </c>
      <c r="AD132" s="1485">
        <v>885</v>
      </c>
      <c r="AE132" s="1485">
        <v>1127</v>
      </c>
      <c r="AF132" s="627">
        <f>SUM(AB132:AE132)</f>
      </c>
      <c r="AG132" s="1484">
        <f>-52+1127</f>
      </c>
      <c r="AH132" s="1485">
        <f>-28+751</f>
      </c>
      <c r="AI132" s="1485">
        <f>-46+706</f>
      </c>
      <c r="AJ132" s="1485">
        <f>-33-2620</f>
      </c>
      <c r="AK132" s="627">
        <f>SUM(AG132:AJ132)</f>
      </c>
      <c r="AL132" s="1484">
        <f>-30-980</f>
      </c>
      <c r="AM132" s="1485">
        <f>-37+553</f>
      </c>
      <c r="AN132" s="1485">
        <f>-11+739</f>
      </c>
      <c r="AO132" s="1485">
        <f>-14-617</f>
      </c>
      <c r="AP132" s="627">
        <f>SUM(AL132:AO132)</f>
      </c>
      <c r="AQ132" s="1484">
        <f>-22+41</f>
      </c>
      <c r="AR132" s="1485">
        <f>-12+375</f>
      </c>
      <c r="AS132" s="1485">
        <f>-19+472</f>
      </c>
      <c r="AT132" s="1485">
        <f>689-15</f>
      </c>
      <c r="AU132" s="627">
        <f>SUM(AQ132:AT132)</f>
      </c>
      <c r="AV132" s="1484">
        <f>-10+763</f>
      </c>
      <c r="AW132" s="1485">
        <f>-5+842</f>
      </c>
      <c r="AX132" s="1485">
        <f>-11+1012</f>
      </c>
      <c r="AY132" s="1485">
        <f>1+570</f>
      </c>
      <c r="AZ132" s="627">
        <f>SUM(AV132:AY132)</f>
      </c>
      <c r="BA132" s="1484">
        <v>279</v>
      </c>
      <c r="BB132" s="1485">
        <v>420</v>
      </c>
      <c r="BC132" s="1485">
        <v>496</v>
      </c>
      <c r="BD132" s="1485">
        <v>872</v>
      </c>
      <c r="BE132" s="627">
        <f>SUM(BA132:BD132)</f>
      </c>
      <c r="BF132" s="1484">
        <v>506</v>
      </c>
      <c r="BG132" s="1485">
        <v>480</v>
      </c>
      <c r="BH132" s="1485">
        <v>427</v>
      </c>
      <c r="BI132" s="1485">
        <v>377</v>
      </c>
      <c r="BJ132" s="627">
        <f>SUM(BF132:BI132)</f>
      </c>
      <c r="BK132" s="1484">
        <v>567</v>
      </c>
      <c r="BL132" s="1485">
        <v>333</v>
      </c>
      <c r="BM132" s="1485">
        <v>382</v>
      </c>
      <c r="BN132" s="1485">
        <v>295</v>
      </c>
      <c r="BO132" s="627">
        <f>SUM(BK132:BN132)</f>
      </c>
      <c r="BP132" s="1484">
        <v>298</v>
      </c>
      <c r="BQ132" s="1485">
        <v>339</v>
      </c>
      <c r="BR132" s="1485">
        <v>401</v>
      </c>
      <c r="BS132" s="1485">
        <v>284</v>
      </c>
      <c r="BT132" s="627">
        <f>SUM(BP132:BS132)</f>
      </c>
      <c r="BU132" s="1484">
        <v>-8</v>
      </c>
      <c r="BV132" s="1485">
        <v>-301</v>
      </c>
      <c r="BW132" s="1485">
        <v>-388</v>
      </c>
      <c r="BX132" s="1485">
        <v>155</v>
      </c>
      <c r="BY132" s="627">
        <f>SUM(BU132:BX132)</f>
      </c>
      <c r="BZ132" s="1484">
        <v>283</v>
      </c>
      <c r="CA132" s="1485">
        <v>370</v>
      </c>
      <c r="CB132" s="1485">
        <v>168</v>
      </c>
      <c r="CC132" s="1485">
        <v>94</v>
      </c>
      <c r="CD132" s="627">
        <f>SUM(BZ132:CC132)</f>
      </c>
      <c r="CE132" s="1484">
        <v>114</v>
      </c>
      <c r="CF132" s="1485">
        <v>332</v>
      </c>
      <c r="CG132" s="1485">
        <v>316</v>
      </c>
      <c r="CH132" s="1485">
        <v>148</v>
      </c>
      <c r="CI132" s="627">
        <f>SUM(CE132:CH132)</f>
      </c>
      <c r="CJ132" s="1484">
        <v>103</v>
      </c>
      <c r="CK132" s="1485">
        <v>245</v>
      </c>
      <c r="CL132" s="1485">
        <v>-11</v>
      </c>
      <c r="CM132" s="1485">
        <v>167</v>
      </c>
      <c r="CN132" s="627">
        <f>SUM(CJ132:CM132)</f>
      </c>
      <c r="CO132" s="1484">
        <v>226</v>
      </c>
      <c r="CP132" s="1485">
        <v>-1</v>
      </c>
      <c r="CQ132" s="1485">
        <v>-9</v>
      </c>
      <c r="CR132" s="1485">
        <v>72</v>
      </c>
      <c r="CS132" s="627">
        <f>SUM(CO132:CR132)</f>
      </c>
      <c r="CT132" s="1484">
        <v>74</v>
      </c>
      <c r="CU132" s="1485">
        <v>-91</v>
      </c>
      <c r="CV132" s="1485">
        <v>-17</v>
      </c>
      <c r="CW132" s="1485">
        <v>95</v>
      </c>
      <c r="CX132" s="627">
        <f>SUM(CT132:CW132)</f>
      </c>
      <c r="CY132" s="1484">
        <v>52</v>
      </c>
      <c r="CZ132" s="1485">
        <v>74</v>
      </c>
      <c r="DA132" s="1485">
        <v>-77</v>
      </c>
      <c r="DB132" s="1485">
        <v>297</v>
      </c>
      <c r="DC132" s="627">
        <f>SUM(CY132:DB132)</f>
      </c>
      <c r="DD132" s="1484">
        <v>-280</v>
      </c>
      <c r="DE132" s="1485">
        <v>-171</v>
      </c>
      <c r="DF132" s="1485">
        <v>-247</v>
      </c>
      <c r="DG132" s="1485">
        <v>267</v>
      </c>
      <c r="DH132" s="627">
        <f>SUM(DD132:DG132)</f>
      </c>
      <c r="DI132" s="1484">
        <v>112</v>
      </c>
      <c r="DJ132" s="1485">
        <v>117</v>
      </c>
      <c r="DK132" s="1485">
        <v>371</v>
      </c>
      <c r="DL132" s="1485">
        <v>276</v>
      </c>
      <c r="DM132" s="627">
        <f>SUM(DI132:DL132)</f>
      </c>
      <c r="DN132" s="1484">
        <v>276</v>
      </c>
      <c r="DO132" s="1485">
        <v>490</v>
      </c>
      <c r="DP132" s="1485">
        <v>349</v>
      </c>
      <c r="DQ132" s="1485">
        <v>301</v>
      </c>
      <c r="DR132" s="627">
        <f>SUM(DN132:DQ132)</f>
      </c>
      <c r="DS132" s="1487">
        <f t="shared" ref="DS132:EO132" si="314">SUM(DS126:DS131)</f>
      </c>
      <c r="DT132" s="1487">
        <f t="shared" si="314"/>
      </c>
      <c r="DU132" s="1487">
        <f t="shared" si="314"/>
      </c>
      <c r="DV132" s="1487">
        <f t="shared" si="314"/>
      </c>
      <c r="DW132" s="1488">
        <f t="shared" si="314"/>
      </c>
      <c r="DX132" s="1487">
        <f t="shared" si="314"/>
      </c>
      <c r="DY132" s="1487">
        <f t="shared" si="314"/>
      </c>
      <c r="DZ132" s="1487">
        <f t="shared" si="314"/>
      </c>
      <c r="EA132" s="1487">
        <f t="shared" si="314"/>
      </c>
      <c r="EB132" s="1488">
        <f t="shared" si="314"/>
      </c>
      <c r="EC132" s="1487">
        <f t="shared" si="314"/>
      </c>
      <c r="ED132" s="1487">
        <f t="shared" si="314"/>
      </c>
      <c r="EE132" s="1487">
        <f t="shared" si="314"/>
      </c>
      <c r="EF132" s="1487">
        <f t="shared" si="314"/>
      </c>
      <c r="EG132" s="1488">
        <f t="shared" si="314"/>
      </c>
      <c r="EH132" s="1487">
        <f t="shared" si="314"/>
      </c>
      <c r="EI132" s="1487">
        <f t="shared" si="314"/>
      </c>
      <c r="EJ132" s="1487">
        <f t="shared" si="314"/>
      </c>
      <c r="EK132" s="1487">
        <f t="shared" si="314"/>
      </c>
      <c r="EL132" s="1488">
        <f t="shared" si="314"/>
      </c>
      <c r="EM132" s="1487">
        <f t="shared" si="314"/>
      </c>
      <c r="EN132" s="1487">
        <f t="shared" si="314"/>
      </c>
      <c r="EO132" s="1487">
        <f t="shared" si="314"/>
      </c>
      <c r="EP132" s="1485">
        <v>473</v>
      </c>
      <c r="EQ132" s="1488">
        <f>SUM(EQ126:EQ131)</f>
      </c>
      <c r="ER132" s="1487">
        <f>SUM(ER126:ER131)</f>
      </c>
      <c r="ES132" s="609">
        <f>SUM(ES126:ES131)</f>
      </c>
      <c r="ET132" s="1487">
        <f>SUM(ET126:ET131)</f>
      </c>
      <c r="EU132" s="629">
        <v>-675</v>
      </c>
      <c r="EV132" s="1488">
        <f>SUM(ER132:EU132)</f>
      </c>
      <c r="EW132" s="1487">
        <f>SUM(EW126:EW131)</f>
      </c>
      <c r="EX132" s="1487">
        <f>SUM(EX126:EX131)</f>
      </c>
      <c r="EY132" s="1487">
        <f>SUM(EY126:EY131)</f>
      </c>
      <c r="EZ132" s="629">
        <f>SUM(EZ126:EZ131)</f>
      </c>
      <c r="FA132" s="1488">
        <f>SUM(EW132:EZ132)</f>
      </c>
      <c r="FB132" s="609">
        <f>SUM(FB126:FB131)</f>
      </c>
      <c r="FC132" s="609">
        <f>SUM(FC126:FC131)</f>
      </c>
      <c r="FD132" s="609">
        <f>SUM(FD126:FD131)</f>
      </c>
      <c r="FE132" s="609">
        <f>SUM(FE126:FE131)</f>
      </c>
      <c r="FF132" s="620">
        <f>SUM(FB132:FE132)</f>
      </c>
      <c r="FG132" s="609">
        <f>SUM(FG126:FG131)</f>
      </c>
      <c r="FH132" s="609">
        <f>SUM(FH126:FH131)</f>
      </c>
      <c r="FI132" s="609">
        <f>SUM(FI126:FI131)</f>
      </c>
      <c r="FJ132" s="609">
        <f>SUM(FJ126:FJ131)</f>
      </c>
      <c r="FK132" s="620">
        <f>SUM(FG132:FJ132)</f>
      </c>
      <c r="FL132" s="609">
        <f>SUM(FL126:FL131)</f>
      </c>
      <c r="FM132" s="609">
        <f>SUM(FM126:FM131)</f>
      </c>
      <c r="FN132" s="609">
        <f>SUM(FN126:FN131)</f>
      </c>
      <c r="FO132" s="609">
        <f>SUM(FO126:FO131)</f>
      </c>
      <c r="FP132" s="620">
        <f>SUM(FL132:FO132)</f>
      </c>
      <c r="FQ132" s="609">
        <f>SUM(FQ126:FQ131)</f>
      </c>
      <c r="FR132" s="609">
        <f>SUM(FR126:FR131)</f>
      </c>
      <c r="FS132" s="609">
        <f>SUM(FS126:FS131)</f>
      </c>
      <c r="FT132" s="609">
        <f>SUM(FT126:FT131)</f>
      </c>
      <c r="FU132" s="620">
        <f>SUM(FQ132:FT132)</f>
      </c>
      <c r="FV132" s="609">
        <f>SUM(FV126:FV131)</f>
      </c>
      <c r="FW132" s="609">
        <f>SUM(FW126:FW131)</f>
      </c>
      <c r="FX132" s="609">
        <f>SUM(FX126:FX131)</f>
      </c>
      <c r="FY132" s="609">
        <f>SUM(FY126:FY131)</f>
      </c>
      <c r="FZ132" s="620">
        <f>SUM(FV132:FY132)</f>
      </c>
      <c r="GA132" s="609">
        <f>SUM(GA126:GA131)</f>
      </c>
      <c r="GB132" s="609">
        <f>SUM(GB126:GB131)</f>
      </c>
      <c r="GC132" s="609">
        <f>SUM(GC126:GC131)</f>
      </c>
      <c r="GD132" s="609">
        <f>SUM(GD126:GD131)</f>
      </c>
      <c r="GE132" s="620">
        <f>SUM(GA132:GD132)</f>
      </c>
      <c r="GF132" s="609">
        <f>SUM(GF126:GF131)</f>
      </c>
      <c r="GG132" s="609">
        <f>SUM(GG126:GG131)</f>
      </c>
      <c r="GH132" s="609">
        <f>SUM(GH126:GH131)</f>
      </c>
      <c r="GI132" s="609">
        <f>SUM(GI126:GI131)</f>
      </c>
      <c r="GJ132" s="620">
        <f>SUM(GF132:GI132)</f>
      </c>
    </row>
    <row r="133" spans="1:192" s="314" customFormat="1" ht="12.75" customHeight="1">
      <c r="A133" s="274"/>
      <c r="B133" s="1455"/>
      <c r="C133" s="1456"/>
      <c r="D133" s="1457"/>
      <c r="E133" s="1457"/>
      <c r="F133" s="1457"/>
      <c r="G133" s="1458"/>
      <c r="H133" s="1456"/>
      <c r="I133" s="1457"/>
      <c r="J133" s="1457"/>
      <c r="K133" s="1457"/>
      <c r="L133" s="1458"/>
      <c r="M133" s="1456"/>
      <c r="N133" s="1457"/>
      <c r="O133" s="1457"/>
      <c r="P133" s="1457"/>
      <c r="Q133" s="1458"/>
      <c r="R133" s="1456"/>
      <c r="S133" s="1457"/>
      <c r="T133" s="1457"/>
      <c r="U133" s="1457"/>
      <c r="V133" s="1458"/>
      <c r="W133" s="1456"/>
      <c r="X133" s="1457"/>
      <c r="Y133" s="1457"/>
      <c r="Z133" s="1457"/>
      <c r="AA133" s="1458"/>
      <c r="AB133" s="1456"/>
      <c r="AC133" s="1457"/>
      <c r="AD133" s="1457"/>
      <c r="AE133" s="1457"/>
      <c r="AF133" s="1458"/>
      <c r="AG133" s="1456"/>
      <c r="AH133" s="1457"/>
      <c r="AI133" s="1457"/>
      <c r="AJ133" s="1457"/>
      <c r="AK133" s="1458"/>
      <c r="AL133" s="1456"/>
      <c r="AM133" s="1457"/>
      <c r="AN133" s="1457"/>
      <c r="AO133" s="1457"/>
      <c r="AP133" s="1458"/>
      <c r="AQ133" s="1456"/>
      <c r="AR133" s="1457"/>
      <c r="AS133" s="1457"/>
      <c r="AT133" s="1457"/>
      <c r="AU133" s="1458"/>
      <c r="AV133" s="1456"/>
      <c r="AW133" s="1457"/>
      <c r="AX133" s="1457"/>
      <c r="AY133" s="1457"/>
      <c r="AZ133" s="1458"/>
      <c r="BA133" s="1456"/>
      <c r="BB133" s="1457"/>
      <c r="BC133" s="1457"/>
      <c r="BD133" s="1457"/>
      <c r="BE133" s="1458"/>
      <c r="BF133" s="1456"/>
      <c r="BG133" s="1457"/>
      <c r="BH133" s="1457"/>
      <c r="BI133" s="1457"/>
      <c r="BJ133" s="1458"/>
      <c r="BK133" s="1456"/>
      <c r="BL133" s="1457"/>
      <c r="BM133" s="1457"/>
      <c r="BN133" s="1457"/>
      <c r="BO133" s="1458"/>
      <c r="BP133" s="1456"/>
      <c r="BQ133" s="1457"/>
      <c r="BR133" s="1457"/>
      <c r="BS133" s="1457"/>
      <c r="BT133" s="1458"/>
      <c r="BU133" s="1456"/>
      <c r="BV133" s="1457"/>
      <c r="BW133" s="1457"/>
      <c r="BX133" s="1457"/>
      <c r="BY133" s="1458"/>
      <c r="BZ133" s="1456"/>
      <c r="CA133" s="1457"/>
      <c r="CB133" s="1457"/>
      <c r="CC133" s="1457"/>
      <c r="CD133" s="1458"/>
      <c r="CE133" s="1456"/>
      <c r="CF133" s="1457"/>
      <c r="CG133" s="1457"/>
      <c r="CH133" s="1457"/>
      <c r="CI133" s="1458"/>
      <c r="CJ133" s="1456"/>
      <c r="CK133" s="1457"/>
      <c r="CL133" s="1457"/>
      <c r="CM133" s="1457"/>
      <c r="CN133" s="1458"/>
      <c r="CO133" s="1456"/>
      <c r="CP133" s="1457"/>
      <c r="CQ133" s="1457"/>
      <c r="CR133" s="1457"/>
      <c r="CS133" s="1458"/>
      <c r="CT133" s="1456"/>
      <c r="CU133" s="1457"/>
      <c r="CV133" s="1457"/>
      <c r="CW133" s="1457"/>
      <c r="CX133" s="1458"/>
      <c r="CY133" s="1456"/>
      <c r="CZ133" s="1457"/>
      <c r="DA133" s="1457"/>
      <c r="DB133" s="1457"/>
      <c r="DC133" s="1458"/>
      <c r="DD133" s="1456"/>
      <c r="DE133" s="1457"/>
      <c r="DF133" s="1457"/>
      <c r="DG133" s="1457"/>
      <c r="DH133" s="1458"/>
      <c r="DI133" s="1456"/>
      <c r="DJ133" s="1457"/>
      <c r="DK133" s="1457"/>
      <c r="DL133" s="1457"/>
      <c r="DM133" s="1458"/>
      <c r="DN133" s="1456"/>
      <c r="DO133" s="1457"/>
      <c r="DP133" s="1457"/>
      <c r="DQ133" s="1457"/>
      <c r="DR133" s="1458"/>
      <c r="DS133" s="1456"/>
      <c r="DT133" s="1457"/>
      <c r="DU133" s="1457"/>
      <c r="DV133" s="1457"/>
      <c r="DW133" s="1458"/>
      <c r="DX133" s="1456"/>
      <c r="DY133" s="1457"/>
      <c r="DZ133" s="1457"/>
      <c r="EA133" s="1457"/>
      <c r="EB133" s="1458"/>
      <c r="EC133" s="1456"/>
      <c r="ED133" s="1457"/>
      <c r="EE133" s="1457"/>
      <c r="EF133" s="1457"/>
      <c r="EG133" s="1458"/>
      <c r="EH133" s="1456"/>
      <c r="EI133" s="1457"/>
      <c r="EJ133" s="1457"/>
      <c r="EK133" s="1457"/>
      <c r="EL133" s="1459"/>
      <c r="EM133" s="1456"/>
      <c r="EN133" s="507"/>
      <c r="EO133" s="1457"/>
      <c r="EP133" s="1457"/>
      <c r="EQ133" s="1459"/>
      <c r="ER133" s="1456"/>
      <c r="ES133" s="507"/>
      <c r="ET133" s="1460"/>
      <c r="EU133" s="507"/>
      <c r="EV133" s="1459"/>
      <c r="EW133" s="507"/>
      <c r="EX133" s="507"/>
      <c r="EY133" s="507"/>
      <c r="EZ133" s="507"/>
      <c r="FA133" s="1459"/>
      <c r="FB133" s="507"/>
      <c r="FC133" s="507"/>
      <c r="FD133" s="507"/>
      <c r="FE133" s="507"/>
      <c r="FF133" s="845"/>
      <c r="FG133" s="1460"/>
      <c r="FH133" s="507"/>
      <c r="FI133" s="507"/>
      <c r="FJ133" s="507"/>
      <c r="FK133" s="845"/>
      <c r="FL133" s="507"/>
      <c r="FM133" s="507"/>
      <c r="FN133" s="507"/>
      <c r="FO133" s="507"/>
      <c r="FP133" s="845"/>
      <c r="FQ133" s="507"/>
      <c r="FR133" s="507"/>
      <c r="FS133" s="507"/>
      <c r="FT133" s="507"/>
      <c r="FU133" s="845"/>
      <c r="FV133" s="507"/>
      <c r="FW133" s="507"/>
      <c r="FX133" s="507"/>
      <c r="FY133" s="507"/>
      <c r="FZ133" s="845"/>
      <c r="GA133" s="507"/>
      <c r="GB133" s="507"/>
      <c r="GC133" s="507"/>
      <c r="GD133" s="507"/>
      <c r="GE133" s="845"/>
      <c r="GF133" s="507"/>
      <c r="GG133" s="507"/>
      <c r="GH133" s="507"/>
      <c r="GI133" s="507"/>
      <c r="GJ133" s="845"/>
    </row>
    <row r="134" spans="1:192" s="314" customFormat="1" ht="12.75" customHeight="1">
      <c r="A134" s="274"/>
      <c r="B134" s="621" t="s">
        <v>150</v>
      </c>
      <c r="C134" s="312">
        <f>C118+C132</f>
      </c>
      <c r="D134" s="312">
        <f>D118+D132</f>
      </c>
      <c r="E134" s="312">
        <f>E118+E132</f>
      </c>
      <c r="F134" s="312">
        <f>F118+F132</f>
      </c>
      <c r="G134" s="319">
        <f>SUM(C134:F134)</f>
      </c>
      <c r="H134" s="312">
        <f>H118+H132</f>
      </c>
      <c r="I134" s="312">
        <f>I118+I132</f>
      </c>
      <c r="J134" s="312">
        <f>J118+J132</f>
      </c>
      <c r="K134" s="312">
        <f>K118+K132</f>
      </c>
      <c r="L134" s="319">
        <f>SUM(H134:K134)</f>
      </c>
      <c r="M134" s="312">
        <f>M118+M132</f>
      </c>
      <c r="N134" s="312">
        <f>N118+N132</f>
      </c>
      <c r="O134" s="312">
        <f>O118+O132</f>
      </c>
      <c r="P134" s="312">
        <f>P118+P132</f>
      </c>
      <c r="Q134" s="319">
        <f>SUM(M134:P134)</f>
      </c>
      <c r="R134" s="312">
        <f>R118+R132</f>
      </c>
      <c r="S134" s="312">
        <f>S118+S132</f>
      </c>
      <c r="T134" s="312">
        <f>T118+T132</f>
      </c>
      <c r="U134" s="312">
        <f>U118+U132</f>
      </c>
      <c r="V134" s="319">
        <f>SUM(R134:U134)</f>
      </c>
      <c r="W134" s="312">
        <f>W118+W132</f>
      </c>
      <c r="X134" s="312">
        <f>X118+X132</f>
      </c>
      <c r="Y134" s="312">
        <f>Y118+Y132</f>
      </c>
      <c r="Z134" s="312">
        <f>Z118+Z132</f>
      </c>
      <c r="AA134" s="319">
        <f>SUM(W134:Z134)</f>
      </c>
      <c r="AB134" s="312">
        <f>AB118+AB132</f>
      </c>
      <c r="AC134" s="312">
        <f>AC118+AC132</f>
      </c>
      <c r="AD134" s="312">
        <f>AD118+AD132</f>
      </c>
      <c r="AE134" s="312">
        <f>AE118+AE132</f>
      </c>
      <c r="AF134" s="319">
        <f>SUM(AB134:AE134)</f>
      </c>
      <c r="AG134" s="312">
        <f>AG118+AG132</f>
      </c>
      <c r="AH134" s="312">
        <f>AH118+AH132</f>
      </c>
      <c r="AI134" s="312">
        <f>AI118+AI132</f>
      </c>
      <c r="AJ134" s="312">
        <f>AJ118+AJ132</f>
      </c>
      <c r="AK134" s="319">
        <f>SUM(AG134:AJ134)</f>
      </c>
      <c r="AL134" s="312">
        <f>AL118+AL132</f>
      </c>
      <c r="AM134" s="312">
        <f>AM118+AM132</f>
      </c>
      <c r="AN134" s="312">
        <f>AN118+AN132</f>
      </c>
      <c r="AO134" s="312">
        <f>AO118+AO132</f>
      </c>
      <c r="AP134" s="319">
        <f>SUM(AL134:AO134)</f>
      </c>
      <c r="AQ134" s="312">
        <f>AQ118+AQ132</f>
      </c>
      <c r="AR134" s="312">
        <f>AR118+AR132</f>
      </c>
      <c r="AS134" s="312">
        <f>AS118+AS132</f>
      </c>
      <c r="AT134" s="312">
        <f>AT118+AT132</f>
      </c>
      <c r="AU134" s="319">
        <f>SUM(AQ134:AT134)</f>
      </c>
      <c r="AV134" s="312">
        <f>AV118+AV132</f>
      </c>
      <c r="AW134" s="312">
        <f>AW118+AW132</f>
      </c>
      <c r="AX134" s="312">
        <f>AX118+AX132</f>
      </c>
      <c r="AY134" s="312">
        <f>AY118+AY132</f>
      </c>
      <c r="AZ134" s="319">
        <f>SUM(AV134:AY134)</f>
      </c>
      <c r="BA134" s="312">
        <f>BA118+BA132</f>
      </c>
      <c r="BB134" s="312">
        <f>BB118+BB132</f>
      </c>
      <c r="BC134" s="312">
        <f>BC118+BC132</f>
      </c>
      <c r="BD134" s="312">
        <f>BD118+BD132</f>
      </c>
      <c r="BE134" s="319">
        <f>SUM(BA134:BD134)</f>
      </c>
      <c r="BF134" s="312">
        <f>BF118+BF132</f>
      </c>
      <c r="BG134" s="312">
        <f>BG118+BG132</f>
      </c>
      <c r="BH134" s="312">
        <f>BH118+BH132</f>
      </c>
      <c r="BI134" s="312">
        <f>BI118+BI132</f>
      </c>
      <c r="BJ134" s="319">
        <f>SUM(BF134:BI134)</f>
      </c>
      <c r="BK134" s="312">
        <f>BK118+BK132</f>
      </c>
      <c r="BL134" s="312">
        <f>BL118+BL132</f>
      </c>
      <c r="BM134" s="312">
        <f>BM118+BM132</f>
      </c>
      <c r="BN134" s="312">
        <f>BN118+BN132</f>
      </c>
      <c r="BO134" s="319">
        <f>SUM(BK134:BN134)</f>
      </c>
      <c r="BP134" s="312">
        <f>BP118+BP132</f>
      </c>
      <c r="BQ134" s="312">
        <f>BQ118+BQ132</f>
      </c>
      <c r="BR134" s="312">
        <f>BR118+BR132</f>
      </c>
      <c r="BS134" s="312">
        <f>BS118+BS132</f>
      </c>
      <c r="BT134" s="319">
        <f>SUM(BP134:BS134)</f>
      </c>
      <c r="BU134" s="312">
        <f>BU118+BU132</f>
      </c>
      <c r="BV134" s="312">
        <f>BV118+BV132</f>
      </c>
      <c r="BW134" s="312">
        <f>BW118+BW132</f>
      </c>
      <c r="BX134" s="312">
        <f>BX118+BX132</f>
      </c>
      <c r="BY134" s="319">
        <f>SUM(BU134:BX134)</f>
      </c>
      <c r="BZ134" s="312">
        <f>BZ118+BZ132</f>
      </c>
      <c r="CA134" s="312">
        <f>CA118+CA132</f>
      </c>
      <c r="CB134" s="312">
        <f>CB118+CB132</f>
      </c>
      <c r="CC134" s="312">
        <f>CC118+CC132</f>
      </c>
      <c r="CD134" s="319">
        <f>SUM(BZ134:CC134)</f>
      </c>
      <c r="CE134" s="312">
        <f>CE118+CE132</f>
      </c>
      <c r="CF134" s="312">
        <f>CF118+CF132</f>
      </c>
      <c r="CG134" s="312">
        <f>CG118+CG132</f>
      </c>
      <c r="CH134" s="312">
        <f>CH118+CH132</f>
      </c>
      <c r="CI134" s="319">
        <f>SUM(CE134:CH134)</f>
      </c>
      <c r="CJ134" s="312">
        <f>CJ118+CJ132</f>
      </c>
      <c r="CK134" s="312">
        <f>CK118+CK132</f>
      </c>
      <c r="CL134" s="312">
        <f>CL118+CL132</f>
      </c>
      <c r="CM134" s="312">
        <f>CM118+CM132</f>
      </c>
      <c r="CN134" s="319">
        <f>SUM(CJ134:CM134)</f>
      </c>
      <c r="CO134" s="312">
        <f>CO118+CO132</f>
      </c>
      <c r="CP134" s="312">
        <f>CP118+CP132</f>
      </c>
      <c r="CQ134" s="312">
        <f>CQ118+CQ132</f>
      </c>
      <c r="CR134" s="312">
        <f>CR118+CR132</f>
      </c>
      <c r="CS134" s="319">
        <f>SUM(CO134:CR134)</f>
      </c>
      <c r="CT134" s="312">
        <f>CT118+CT132</f>
      </c>
      <c r="CU134" s="312">
        <f>CU118+CU132</f>
      </c>
      <c r="CV134" s="312">
        <f>CV118+CV132</f>
      </c>
      <c r="CW134" s="312">
        <f>CW118+CW132</f>
      </c>
      <c r="CX134" s="319">
        <f>SUM(CT134:CW134)</f>
      </c>
      <c r="CY134" s="312">
        <f>CY118+CY132</f>
      </c>
      <c r="CZ134" s="312">
        <f>CZ118+CZ132</f>
      </c>
      <c r="DA134" s="312">
        <f>DA118+DA132</f>
      </c>
      <c r="DB134" s="312">
        <f>DB118+DB132</f>
      </c>
      <c r="DC134" s="319">
        <f>SUM(CY134:DB134)</f>
      </c>
      <c r="DD134" s="312">
        <f>DD118+DD132</f>
      </c>
      <c r="DE134" s="312">
        <f>DE118+DE132</f>
      </c>
      <c r="DF134" s="312">
        <f>DF118+DF132</f>
      </c>
      <c r="DG134" s="312">
        <f>DG118+DG132</f>
      </c>
      <c r="DH134" s="319">
        <f>SUM(DD134:DG134)</f>
      </c>
      <c r="DI134" s="312">
        <f>DI118+DI132</f>
      </c>
      <c r="DJ134" s="312">
        <f>DJ118+DJ132</f>
      </c>
      <c r="DK134" s="312">
        <f>DK118+DK132</f>
      </c>
      <c r="DL134" s="312">
        <f>DL118+DL132</f>
      </c>
      <c r="DM134" s="319">
        <f>SUM(DI134:DL134)</f>
      </c>
      <c r="DN134" s="312">
        <f>DN118+DN132</f>
      </c>
      <c r="DO134" s="312">
        <f>DO118+DO132</f>
      </c>
      <c r="DP134" s="312">
        <f>DP118+DP132</f>
      </c>
      <c r="DQ134" s="312">
        <f>DQ118+DQ132</f>
      </c>
      <c r="DR134" s="319">
        <f>SUM(DN134:DQ134)</f>
      </c>
      <c r="DS134" s="312">
        <f>DS118+DS132</f>
      </c>
      <c r="DT134" s="312">
        <f>DT118+DT132</f>
      </c>
      <c r="DU134" s="312">
        <f>DU118+DU132</f>
      </c>
      <c r="DV134" s="312">
        <f>DV118+DV132</f>
      </c>
      <c r="DW134" s="319">
        <f>SUM(DS134:DV134)</f>
      </c>
      <c r="DX134" s="312">
        <f>DX118+DX132</f>
      </c>
      <c r="DY134" s="312">
        <f>DY118+DY132</f>
      </c>
      <c r="DZ134" s="312">
        <f>DZ118+DZ132</f>
      </c>
      <c r="EA134" s="312">
        <f>EA118+EA132</f>
      </c>
      <c r="EB134" s="319">
        <f>SUM(DX134:EA134)</f>
      </c>
      <c r="EC134" s="312">
        <f>EC118+EC132</f>
      </c>
      <c r="ED134" s="312">
        <f>ED118+ED132</f>
      </c>
      <c r="EE134" s="312">
        <f>EE118+EE132</f>
      </c>
      <c r="EF134" s="312">
        <f>EF118+EF132</f>
      </c>
      <c r="EG134" s="319">
        <f>SUM(EC134:EF134)</f>
      </c>
      <c r="EH134" s="312">
        <f>EH118+EH132</f>
      </c>
      <c r="EI134" s="312">
        <f>EI118+EI132</f>
      </c>
      <c r="EJ134" s="312">
        <f>EJ118+EJ132</f>
      </c>
      <c r="EK134" s="312">
        <f>EK118+EK132</f>
      </c>
      <c r="EL134" s="320">
        <f>SUM(EH134:EK134)</f>
      </c>
      <c r="EM134" s="312">
        <f>EM118+EM132</f>
      </c>
      <c r="EN134" s="312">
        <f>EN118+EN132</f>
      </c>
      <c r="EO134" s="312">
        <f>EO118+EO132</f>
      </c>
      <c r="EP134" s="312">
        <f>EP118+EP132</f>
      </c>
      <c r="EQ134" s="320">
        <f>SUM(EM134:EP134)</f>
      </c>
      <c r="ER134" s="312">
        <f>ER118+ER132</f>
      </c>
      <c r="ES134" s="312">
        <f>ES118+ES132</f>
      </c>
      <c r="ET134" s="1159">
        <f>ET118+ET132</f>
      </c>
      <c r="EU134" s="1159">
        <f>EU118+EU132</f>
      </c>
      <c r="EV134" s="320">
        <f>SUM(ER134:EU134)</f>
      </c>
      <c r="EW134" s="312">
        <f>EW118+EW132</f>
      </c>
      <c r="EX134" s="312">
        <f>EX118+EX132</f>
      </c>
      <c r="EY134" s="1159">
        <f>EY118+EY132</f>
      </c>
      <c r="EZ134" s="1159">
        <f>EZ118+EZ132</f>
      </c>
      <c r="FA134" s="320">
        <f>SUM(EW134:EZ134)</f>
      </c>
      <c r="FB134" s="312">
        <f>FB118+FB132</f>
      </c>
      <c r="FC134" s="312">
        <f>FC118+FC132</f>
      </c>
      <c r="FD134" s="312">
        <f>FD118+FD132</f>
      </c>
      <c r="FE134" s="312">
        <f>FE118+FE132</f>
      </c>
      <c r="FF134" s="319">
        <f>SUM(FB134:FE134)</f>
      </c>
      <c r="FG134" s="1159">
        <f>FG118+FG132</f>
      </c>
      <c r="FH134" s="312">
        <f>FH118+FH132</f>
      </c>
      <c r="FI134" s="312">
        <f>FI118+FI132</f>
      </c>
      <c r="FJ134" s="312">
        <f>FJ118+FJ132</f>
      </c>
      <c r="FK134" s="319">
        <f>SUM(FG134:FJ134)</f>
      </c>
      <c r="FL134" s="312">
        <f>FL118+FL132</f>
      </c>
      <c r="FM134" s="312">
        <f>FM118+FM132</f>
      </c>
      <c r="FN134" s="312">
        <f>FN118+FN132</f>
      </c>
      <c r="FO134" s="312">
        <f>FO118+FO132</f>
      </c>
      <c r="FP134" s="319">
        <f>SUM(FL134:FO134)</f>
      </c>
      <c r="FQ134" s="312">
        <f>FQ118+FQ132</f>
      </c>
      <c r="FR134" s="312">
        <f>FR118+FR132</f>
      </c>
      <c r="FS134" s="312">
        <f>FS118+FS132</f>
      </c>
      <c r="FT134" s="312">
        <f>FT118+FT132</f>
      </c>
      <c r="FU134" s="319">
        <f>SUM(FQ134:FT134)</f>
      </c>
      <c r="FV134" s="312">
        <f>FV118+FV132</f>
      </c>
      <c r="FW134" s="312">
        <f>FW118+FW132</f>
      </c>
      <c r="FX134" s="312">
        <f>FX118+FX132</f>
      </c>
      <c r="FY134" s="312">
        <f>FY118+FY132</f>
      </c>
      <c r="FZ134" s="319">
        <f>SUM(FV134:FY134)</f>
      </c>
      <c r="GA134" s="312">
        <f>GA118+GA132</f>
      </c>
      <c r="GB134" s="312">
        <f>GB118+GB132</f>
      </c>
      <c r="GC134" s="312">
        <f>GC118+GC132</f>
      </c>
      <c r="GD134" s="312">
        <f>GD118+GD132</f>
      </c>
      <c r="GE134" s="319">
        <f>SUM(GA134:GD134)</f>
      </c>
      <c r="GF134" s="312">
        <f>GF118+GF132</f>
      </c>
      <c r="GG134" s="312">
        <f>GG118+GG132</f>
      </c>
      <c r="GH134" s="312">
        <f>GH118+GH132</f>
      </c>
      <c r="GI134" s="312">
        <f>GI118+GI132</f>
      </c>
      <c r="GJ134" s="319">
        <f>SUM(GF134:GI134)</f>
      </c>
    </row>
    <row r="135" spans="1:192" s="335" customFormat="1" ht="12.75" customHeight="1">
      <c r="A135" s="790"/>
      <c r="B135" s="310"/>
      <c r="C135" s="291"/>
      <c r="D135" s="107"/>
      <c r="E135" s="107"/>
      <c r="F135" s="107"/>
      <c r="G135" s="292"/>
      <c r="H135" s="291"/>
      <c r="I135" s="107"/>
      <c r="J135" s="107"/>
      <c r="K135" s="107"/>
      <c r="L135" s="292"/>
      <c r="M135" s="291"/>
      <c r="N135" s="107"/>
      <c r="O135" s="107"/>
      <c r="P135" s="107"/>
      <c r="Q135" s="292"/>
      <c r="R135" s="291"/>
      <c r="S135" s="107"/>
      <c r="T135" s="107"/>
      <c r="U135" s="107"/>
      <c r="V135" s="292"/>
      <c r="W135" s="291"/>
      <c r="X135" s="107"/>
      <c r="Y135" s="107"/>
      <c r="Z135" s="107"/>
      <c r="AA135" s="292"/>
      <c r="AB135" s="291"/>
      <c r="AC135" s="107"/>
      <c r="AD135" s="107"/>
      <c r="AE135" s="107"/>
      <c r="AF135" s="292"/>
      <c r="AG135" s="291"/>
      <c r="AH135" s="107"/>
      <c r="AI135" s="107"/>
      <c r="AJ135" s="107"/>
      <c r="AK135" s="292"/>
      <c r="AL135" s="291"/>
      <c r="AM135" s="107"/>
      <c r="AN135" s="107"/>
      <c r="AO135" s="107"/>
      <c r="AP135" s="292"/>
      <c r="AQ135" s="291"/>
      <c r="AR135" s="107"/>
      <c r="AS135" s="107"/>
      <c r="AT135" s="107"/>
      <c r="AU135" s="292"/>
      <c r="AV135" s="291"/>
      <c r="AW135" s="107"/>
      <c r="AX135" s="107"/>
      <c r="AY135" s="107"/>
      <c r="AZ135" s="292"/>
      <c r="BA135" s="291"/>
      <c r="BB135" s="107"/>
      <c r="BC135" s="107"/>
      <c r="BD135" s="107"/>
      <c r="BE135" s="292"/>
      <c r="BF135" s="291"/>
      <c r="BG135" s="107"/>
      <c r="BH135" s="107"/>
      <c r="BI135" s="107"/>
      <c r="BJ135" s="292"/>
      <c r="BK135" s="291"/>
      <c r="BL135" s="107"/>
      <c r="BM135" s="107"/>
      <c r="BN135" s="107"/>
      <c r="BO135" s="292"/>
      <c r="BP135" s="291"/>
      <c r="BQ135" s="107"/>
      <c r="BR135" s="107"/>
      <c r="BS135" s="107"/>
      <c r="BT135" s="292"/>
      <c r="BU135" s="291"/>
      <c r="BV135" s="107"/>
      <c r="BW135" s="107"/>
      <c r="BX135" s="107"/>
      <c r="BY135" s="292"/>
      <c r="BZ135" s="291"/>
      <c r="CA135" s="107"/>
      <c r="CB135" s="107"/>
      <c r="CC135" s="107"/>
      <c r="CD135" s="292"/>
      <c r="CE135" s="291"/>
      <c r="CF135" s="107"/>
      <c r="CG135" s="107"/>
      <c r="CH135" s="107"/>
      <c r="CI135" s="292"/>
      <c r="CJ135" s="291"/>
      <c r="CK135" s="107"/>
      <c r="CL135" s="107"/>
      <c r="CM135" s="107"/>
      <c r="CN135" s="292"/>
      <c r="CO135" s="291"/>
      <c r="CP135" s="107"/>
      <c r="CQ135" s="107"/>
      <c r="CR135" s="107"/>
      <c r="CS135" s="292"/>
      <c r="CT135" s="291"/>
      <c r="CU135" s="107"/>
      <c r="CV135" s="107"/>
      <c r="CW135" s="107"/>
      <c r="CX135" s="292"/>
      <c r="CY135" s="291"/>
      <c r="CZ135" s="107"/>
      <c r="DA135" s="107"/>
      <c r="DB135" s="107"/>
      <c r="DC135" s="292"/>
      <c r="DD135" s="291"/>
      <c r="DE135" s="107"/>
      <c r="DF135" s="107"/>
      <c r="DG135" s="107"/>
      <c r="DH135" s="292"/>
      <c r="DI135" s="291"/>
      <c r="DJ135" s="107"/>
      <c r="DK135" s="107"/>
      <c r="DL135" s="107"/>
      <c r="DM135" s="292"/>
      <c r="DN135" s="291"/>
      <c r="DO135" s="107"/>
      <c r="DP135" s="107"/>
      <c r="DQ135" s="107"/>
      <c r="DR135" s="292"/>
      <c r="DS135" s="291"/>
      <c r="DT135" s="107"/>
      <c r="DU135" s="107"/>
      <c r="DV135" s="107"/>
      <c r="DW135" s="292"/>
      <c r="DX135" s="291"/>
      <c r="DY135" s="107"/>
      <c r="DZ135" s="107"/>
      <c r="EA135" s="107"/>
      <c r="EB135" s="292"/>
      <c r="EC135" s="291"/>
      <c r="ED135" s="107"/>
      <c r="EE135" s="107"/>
      <c r="EF135" s="107"/>
      <c r="EG135" s="292"/>
      <c r="EH135" s="291"/>
      <c r="EI135" s="107"/>
      <c r="EJ135" s="107"/>
      <c r="EK135" s="107"/>
      <c r="EL135" s="138"/>
      <c r="EM135" s="291"/>
      <c r="EN135" s="107"/>
      <c r="EO135" s="107"/>
      <c r="EP135" s="107"/>
      <c r="EQ135" s="138"/>
      <c r="ER135" s="291"/>
      <c r="ES135" s="107"/>
      <c r="ET135" s="468"/>
      <c r="EU135" s="468"/>
      <c r="EV135" s="138"/>
      <c r="EW135" s="291"/>
      <c r="EX135" s="463"/>
      <c r="EY135" s="107"/>
      <c r="EZ135" s="107"/>
      <c r="FA135" s="138"/>
      <c r="FB135" s="291"/>
      <c r="FC135" s="463"/>
      <c r="FD135" s="107"/>
      <c r="FE135" s="107"/>
      <c r="FF135" s="292"/>
      <c r="FG135" s="291"/>
      <c r="FH135" s="463"/>
      <c r="FI135" s="107"/>
      <c r="FJ135" s="107"/>
      <c r="FK135" s="292"/>
      <c r="FL135" s="291"/>
      <c r="FM135" s="463"/>
      <c r="FN135" s="107"/>
      <c r="FO135" s="107"/>
      <c r="FP135" s="292"/>
      <c r="FQ135" s="291"/>
      <c r="FR135" s="463"/>
      <c r="FS135" s="107"/>
      <c r="FT135" s="107"/>
      <c r="FU135" s="292"/>
      <c r="FV135" s="291"/>
      <c r="FW135" s="463"/>
      <c r="FX135" s="107"/>
      <c r="FY135" s="107"/>
      <c r="FZ135" s="292"/>
      <c r="GA135" s="291"/>
      <c r="GB135" s="463"/>
      <c r="GC135" s="107"/>
      <c r="GD135" s="107"/>
      <c r="GE135" s="292"/>
      <c r="GF135" s="291"/>
      <c r="GG135" s="463"/>
      <c r="GH135" s="107"/>
      <c r="GI135" s="107"/>
      <c r="GJ135" s="292"/>
    </row>
    <row r="136" spans="1:192" s="461" customFormat="1" ht="12.75" customHeight="1">
      <c r="A136" s="370" t="s">
        <v>375</v>
      </c>
      <c r="B136" s="699" t="s">
        <v>291</v>
      </c>
      <c r="C136" s="633">
        <v>155</v>
      </c>
      <c r="D136" s="634">
        <v>184</v>
      </c>
      <c r="E136" s="634">
        <v>196</v>
      </c>
      <c r="F136" s="634">
        <v>179</v>
      </c>
      <c r="G136" s="504">
        <f>SUM(C136:F136)</f>
      </c>
      <c r="H136" s="633">
        <v>271</v>
      </c>
      <c r="I136" s="634">
        <v>310</v>
      </c>
      <c r="J136" s="634">
        <v>302</v>
      </c>
      <c r="K136" s="634">
        <v>301</v>
      </c>
      <c r="L136" s="504">
        <f>SUM(H136:K136)</f>
      </c>
      <c r="M136" s="633">
        <v>331</v>
      </c>
      <c r="N136" s="634">
        <v>399</v>
      </c>
      <c r="O136" s="634">
        <v>561</v>
      </c>
      <c r="P136" s="634">
        <v>569</v>
      </c>
      <c r="Q136" s="504">
        <f>SUM(M136:P136)</f>
      </c>
      <c r="R136" s="633">
        <v>539</v>
      </c>
      <c r="S136" s="634">
        <v>637</v>
      </c>
      <c r="T136" s="634">
        <v>720</v>
      </c>
      <c r="U136" s="634">
        <v>731</v>
      </c>
      <c r="V136" s="504">
        <f>SUM(R136:U136)</f>
      </c>
      <c r="W136" s="633">
        <v>820</v>
      </c>
      <c r="X136" s="634">
        <v>1068</v>
      </c>
      <c r="Y136" s="634">
        <v>1032</v>
      </c>
      <c r="Z136" s="634">
        <v>1186</v>
      </c>
      <c r="AA136" s="504">
        <f>SUM(W136:Z136)</f>
      </c>
      <c r="AB136" s="633">
        <v>1129</v>
      </c>
      <c r="AC136" s="634">
        <v>1255</v>
      </c>
      <c r="AD136" s="634">
        <v>1228</v>
      </c>
      <c r="AE136" s="634">
        <v>1242</v>
      </c>
      <c r="AF136" s="504">
        <f>SUM(AB136:AE136)</f>
      </c>
      <c r="AG136" s="633">
        <v>1271</v>
      </c>
      <c r="AH136" s="634">
        <v>1293</v>
      </c>
      <c r="AI136" s="634">
        <v>1207</v>
      </c>
      <c r="AJ136" s="634">
        <v>33</v>
      </c>
      <c r="AK136" s="504">
        <f>SUM(AG136:AJ136)</f>
      </c>
      <c r="AL136" s="633">
        <v>604</v>
      </c>
      <c r="AM136" s="634">
        <v>1074</v>
      </c>
      <c r="AN136" s="634">
        <v>1288</v>
      </c>
      <c r="AO136" s="634">
        <v>718</v>
      </c>
      <c r="AP136" s="504">
        <f>SUM(AL136:AO136)</f>
      </c>
      <c r="AQ136" s="633">
        <v>1006</v>
      </c>
      <c r="AR136" s="634">
        <v>731</v>
      </c>
      <c r="AS136" s="634">
        <v>1055</v>
      </c>
      <c r="AT136" s="634">
        <v>731</v>
      </c>
      <c r="AU136" s="504">
        <f>SUM(AQ136:AT136)</f>
      </c>
      <c r="AV136" s="633">
        <v>1287</v>
      </c>
      <c r="AW136" s="634">
        <v>763</v>
      </c>
      <c r="AX136" s="634">
        <v>964</v>
      </c>
      <c r="AY136" s="634">
        <v>1014</v>
      </c>
      <c r="AZ136" s="504">
        <f>SUM(AV136:AY136)</f>
      </c>
      <c r="BA136" s="633">
        <v>1245</v>
      </c>
      <c r="BB136" s="634">
        <v>1706</v>
      </c>
      <c r="BC136" s="634">
        <v>1262</v>
      </c>
      <c r="BD136" s="634">
        <v>161</v>
      </c>
      <c r="BE136" s="504">
        <f>SUM(BA136:BD136)</f>
      </c>
      <c r="BF136" s="633">
        <v>1411</v>
      </c>
      <c r="BG136" s="634">
        <v>1484</v>
      </c>
      <c r="BH136" s="634">
        <v>1338</v>
      </c>
      <c r="BI136" s="634">
        <v>1430</v>
      </c>
      <c r="BJ136" s="504">
        <f>SUM(BF136:BI136)</f>
      </c>
      <c r="BK136" s="633">
        <v>1563</v>
      </c>
      <c r="BL136" s="634">
        <v>1179</v>
      </c>
      <c r="BM136" s="634">
        <v>2045</v>
      </c>
      <c r="BN136" s="634">
        <v>1249</v>
      </c>
      <c r="BO136" s="504">
        <f>SUM(BK136:BN136)</f>
      </c>
      <c r="BP136" s="633">
        <v>1927</v>
      </c>
      <c r="BQ136" s="634">
        <v>2113</v>
      </c>
      <c r="BR136" s="634">
        <v>422</v>
      </c>
      <c r="BS136" s="634">
        <v>1671</v>
      </c>
      <c r="BT136" s="504">
        <f>SUM(BP136:BS136)</f>
      </c>
      <c r="BU136" s="633">
        <v>1618</v>
      </c>
      <c r="BV136" s="634">
        <v>1464</v>
      </c>
      <c r="BW136" s="634">
        <v>1073</v>
      </c>
      <c r="BX136" s="634">
        <v>1097</v>
      </c>
      <c r="BY136" s="504">
        <f>SUM(BU136:BX136)</f>
      </c>
      <c r="BZ136" s="633">
        <v>1191</v>
      </c>
      <c r="CA136" s="634">
        <v>2221</v>
      </c>
      <c r="CB136" s="634">
        <v>1335</v>
      </c>
      <c r="CC136" s="634">
        <v>1506</v>
      </c>
      <c r="CD136" s="504">
        <f>SUM(BZ136:CC136)</f>
      </c>
      <c r="CE136" s="633">
        <v>1820</v>
      </c>
      <c r="CF136" s="634">
        <v>1863</v>
      </c>
      <c r="CG136" s="634">
        <v>793</v>
      </c>
      <c r="CH136" s="634">
        <v>445</v>
      </c>
      <c r="CI136" s="504">
        <f>SUM(CE136:CH136)</f>
      </c>
      <c r="CJ136" s="633">
        <v>1568</v>
      </c>
      <c r="CK136" s="634">
        <v>1615</v>
      </c>
      <c r="CL136" s="634">
        <v>1255</v>
      </c>
      <c r="CM136" s="634">
        <v>851</v>
      </c>
      <c r="CN136" s="504">
        <f>SUM(CJ136:CM136)</f>
      </c>
      <c r="CO136" s="633">
        <v>1068</v>
      </c>
      <c r="CP136" s="634">
        <v>1393</v>
      </c>
      <c r="CQ136" s="634">
        <v>1548</v>
      </c>
      <c r="CR136" s="634">
        <v>1180</v>
      </c>
      <c r="CS136" s="504">
        <f>SUM(CO136:CR136)</f>
      </c>
      <c r="CT136" s="633">
        <v>1164</v>
      </c>
      <c r="CU136" s="634">
        <v>1320</v>
      </c>
      <c r="CV136" s="634">
        <v>1297</v>
      </c>
      <c r="CW136" s="634">
        <v>1965</v>
      </c>
      <c r="CX136" s="504">
        <f>SUM(CT136:CW136)</f>
      </c>
      <c r="CY136" s="633">
        <v>1356</v>
      </c>
      <c r="CZ136" s="634">
        <v>1987</v>
      </c>
      <c r="DA136" s="634">
        <v>1532</v>
      </c>
      <c r="DB136" s="634">
        <v>1439</v>
      </c>
      <c r="DC136" s="504">
        <f>SUM(CY136:DB136)</f>
      </c>
      <c r="DD136" s="633">
        <v>893</v>
      </c>
      <c r="DE136" s="634">
        <v>857</v>
      </c>
      <c r="DF136" s="634">
        <v>1280</v>
      </c>
      <c r="DG136" s="634">
        <v>225</v>
      </c>
      <c r="DH136" s="504">
        <f>SUM(DD136:DG136)</f>
      </c>
      <c r="DI136" s="633">
        <v>1160</v>
      </c>
      <c r="DJ136" s="634">
        <v>1755</v>
      </c>
      <c r="DK136" s="634">
        <v>1608</v>
      </c>
      <c r="DL136" s="634">
        <v>-111</v>
      </c>
      <c r="DM136" s="504">
        <f>SUM(DI136:DL136)</f>
      </c>
      <c r="DN136" s="633">
        <v>1408</v>
      </c>
      <c r="DO136" s="634">
        <v>15471</v>
      </c>
      <c r="DP136" s="634">
        <v>1217</v>
      </c>
      <c r="DQ136" s="634">
        <v>1807</v>
      </c>
      <c r="DR136" s="504">
        <f>SUM(DN136:DQ136)</f>
      </c>
      <c r="DS136" s="633">
        <v>1397</v>
      </c>
      <c r="DT136" s="634">
        <v>1965</v>
      </c>
      <c r="DU136" s="634">
        <v>1677</v>
      </c>
      <c r="DV136" s="634">
        <v>-591</v>
      </c>
      <c r="DW136" s="504">
        <f>SUM(DS136:DV136)</f>
      </c>
      <c r="DX136" s="633">
        <v>2008</v>
      </c>
      <c r="DY136" s="634">
        <v>2436</v>
      </c>
      <c r="DZ136" s="634">
        <v>2091</v>
      </c>
      <c r="EA136" s="634">
        <v>2220</v>
      </c>
      <c r="EB136" s="504">
        <f>SUM(DX136:EA136)</f>
      </c>
      <c r="EC136" s="633">
        <v>2231</v>
      </c>
      <c r="ED136" s="634">
        <v>2874</v>
      </c>
      <c r="EE136" s="634">
        <v>1779</v>
      </c>
      <c r="EF136" s="634">
        <v>2947</v>
      </c>
      <c r="EG136" s="504">
        <f>SUM(EC136:EF136)</f>
      </c>
      <c r="EH136" s="633">
        <v>19</v>
      </c>
      <c r="EI136" s="634">
        <v>3750</v>
      </c>
      <c r="EJ136" s="634">
        <v>3462</v>
      </c>
      <c r="EK136" s="634">
        <v>3747</v>
      </c>
      <c r="EL136" s="635">
        <f>SUM(EH136:EK136)</f>
      </c>
      <c r="EM136" s="633">
        <v>4016</v>
      </c>
      <c r="EN136" s="634">
        <v>3914</v>
      </c>
      <c r="EO136" s="634">
        <v>4374</v>
      </c>
      <c r="EP136" s="634">
        <v>4646</v>
      </c>
      <c r="EQ136" s="635">
        <f>SUM(EM136:EP136)</f>
      </c>
      <c r="ER136" s="633">
        <v>4993</v>
      </c>
      <c r="ES136" s="634">
        <v>4656</v>
      </c>
      <c r="ET136" s="961">
        <v>4788</v>
      </c>
      <c r="EU136" s="961">
        <v>5214</v>
      </c>
      <c r="EV136" s="635">
        <f>SUM(ER136:EU136)</f>
      </c>
      <c r="EW136" s="961">
        <v>5602</v>
      </c>
      <c r="EX136" s="961">
        <v>5257</v>
      </c>
      <c r="EY136" s="961">
        <v>5553</v>
      </c>
      <c r="EZ136" s="961">
        <v>5383</v>
      </c>
      <c r="FA136" s="635">
        <f>SUM(EW136:EZ136)</f>
      </c>
      <c r="FB136" s="615">
        <f>FB137*FB134</f>
      </c>
      <c r="FC136" s="615">
        <f>FC137*FC134</f>
      </c>
      <c r="FD136" s="615">
        <f>FD137*FD134</f>
      </c>
      <c r="FE136" s="615">
        <f>FE137*FE134</f>
      </c>
      <c r="FF136" s="504">
        <f>SUM(FB136:FE136)</f>
      </c>
      <c r="FG136" s="615">
        <f>FG137*FG134</f>
      </c>
      <c r="FH136" s="615">
        <f>FH137*FH134</f>
      </c>
      <c r="FI136" s="615">
        <f>FI137*FI134</f>
      </c>
      <c r="FJ136" s="615">
        <f>FJ137*FJ134</f>
      </c>
      <c r="FK136" s="504">
        <f>SUM(FG136:FJ136)</f>
      </c>
      <c r="FL136" s="615">
        <f>FL137*FL134</f>
      </c>
      <c r="FM136" s="615">
        <f>FM137*FM134</f>
      </c>
      <c r="FN136" s="615">
        <f>FN137*FN134</f>
      </c>
      <c r="FO136" s="615">
        <f>FO137*FO134</f>
      </c>
      <c r="FP136" s="504">
        <f>SUM(FL136:FO136)</f>
      </c>
      <c r="FQ136" s="615">
        <f>FQ137*FQ134</f>
      </c>
      <c r="FR136" s="615">
        <f>FR137*FR134</f>
      </c>
      <c r="FS136" s="615">
        <f>FS137*FS134</f>
      </c>
      <c r="FT136" s="615">
        <f>FT137*FT134</f>
      </c>
      <c r="FU136" s="504">
        <f>SUM(FQ136:FT136)</f>
      </c>
      <c r="FV136" s="615">
        <f>FV137*FV134</f>
      </c>
      <c r="FW136" s="615">
        <f>FW137*FW134</f>
      </c>
      <c r="FX136" s="615">
        <f>FX137*FX134</f>
      </c>
      <c r="FY136" s="615">
        <f>FY137*FY134</f>
      </c>
      <c r="FZ136" s="504">
        <f>SUM(FV136:FY136)</f>
      </c>
      <c r="GA136" s="615">
        <f>GA137*GA134</f>
      </c>
      <c r="GB136" s="615">
        <f>GB137*GB134</f>
      </c>
      <c r="GC136" s="615">
        <f>GC137*GC134</f>
      </c>
      <c r="GD136" s="615">
        <f>GD137*GD134</f>
      </c>
      <c r="GE136" s="504">
        <f>SUM(GA136:GD136)</f>
      </c>
      <c r="GF136" s="615">
        <f>GF137*GF134</f>
      </c>
      <c r="GG136" s="615">
        <f>GG137*GG134</f>
      </c>
      <c r="GH136" s="615">
        <f>GH137*GH134</f>
      </c>
      <c r="GI136" s="615">
        <f>GI137*GI134</f>
      </c>
      <c r="GJ136" s="504">
        <f>SUM(GF136:GI136)</f>
      </c>
    </row>
    <row r="137" spans="1:192" s="1200" customFormat="1" ht="12.75" customHeight="1">
      <c r="A137" s="1272"/>
      <c r="B137" s="618" t="s">
        <v>189</v>
      </c>
      <c r="C137" s="1721">
        <f t="shared" ref="C137:AH137" si="315">IFERROR(C136/C134,"--")</f>
      </c>
      <c r="D137" s="920">
        <f t="shared" si="315"/>
      </c>
      <c r="E137" s="920">
        <f t="shared" si="315"/>
      </c>
      <c r="F137" s="920">
        <f t="shared" si="315"/>
      </c>
      <c r="G137" s="1248">
        <f t="shared" si="315"/>
      </c>
      <c r="H137" s="1721">
        <f t="shared" si="315"/>
      </c>
      <c r="I137" s="920">
        <f t="shared" si="315"/>
      </c>
      <c r="J137" s="920">
        <f t="shared" si="315"/>
      </c>
      <c r="K137" s="920">
        <f t="shared" si="315"/>
      </c>
      <c r="L137" s="1248">
        <f t="shared" si="315"/>
      </c>
      <c r="M137" s="1721">
        <f t="shared" si="315"/>
      </c>
      <c r="N137" s="920">
        <f t="shared" si="315"/>
      </c>
      <c r="O137" s="920">
        <f t="shared" si="315"/>
      </c>
      <c r="P137" s="920">
        <f t="shared" si="315"/>
      </c>
      <c r="Q137" s="1248">
        <f t="shared" si="315"/>
      </c>
      <c r="R137" s="1721">
        <f t="shared" si="315"/>
      </c>
      <c r="S137" s="920">
        <f t="shared" si="315"/>
      </c>
      <c r="T137" s="920">
        <f t="shared" si="315"/>
      </c>
      <c r="U137" s="920">
        <f t="shared" si="315"/>
      </c>
      <c r="V137" s="1248">
        <f t="shared" si="315"/>
      </c>
      <c r="W137" s="1721">
        <f t="shared" si="315"/>
      </c>
      <c r="X137" s="920">
        <f t="shared" si="315"/>
      </c>
      <c r="Y137" s="920">
        <f t="shared" si="315"/>
      </c>
      <c r="Z137" s="920">
        <f t="shared" si="315"/>
      </c>
      <c r="AA137" s="1248">
        <f t="shared" si="315"/>
      </c>
      <c r="AB137" s="1721">
        <f t="shared" si="315"/>
      </c>
      <c r="AC137" s="920">
        <f t="shared" si="315"/>
      </c>
      <c r="AD137" s="920">
        <f t="shared" si="315"/>
      </c>
      <c r="AE137" s="920">
        <f t="shared" si="315"/>
      </c>
      <c r="AF137" s="1248">
        <f t="shared" si="315"/>
      </c>
      <c r="AG137" s="1721">
        <f t="shared" si="315"/>
      </c>
      <c r="AH137" s="920">
        <f t="shared" si="315"/>
      </c>
      <c r="AI137" s="920">
        <f t="shared" ref="AI137:BN137" si="316">IFERROR(AI136/AI134,"--")</f>
      </c>
      <c r="AJ137" s="920">
        <f t="shared" si="316"/>
      </c>
      <c r="AK137" s="1248">
        <f t="shared" si="316"/>
      </c>
      <c r="AL137" s="1721">
        <f t="shared" si="316"/>
      </c>
      <c r="AM137" s="920">
        <f t="shared" si="316"/>
      </c>
      <c r="AN137" s="920">
        <f t="shared" si="316"/>
      </c>
      <c r="AO137" s="920">
        <f t="shared" si="316"/>
      </c>
      <c r="AP137" s="1248">
        <f t="shared" si="316"/>
      </c>
      <c r="AQ137" s="1721">
        <f t="shared" si="316"/>
      </c>
      <c r="AR137" s="920">
        <f t="shared" si="316"/>
      </c>
      <c r="AS137" s="920">
        <f t="shared" si="316"/>
      </c>
      <c r="AT137" s="920">
        <f t="shared" si="316"/>
      </c>
      <c r="AU137" s="1248">
        <f t="shared" si="316"/>
      </c>
      <c r="AV137" s="1721">
        <f t="shared" si="316"/>
      </c>
      <c r="AW137" s="920">
        <f t="shared" si="316"/>
      </c>
      <c r="AX137" s="920">
        <f t="shared" si="316"/>
      </c>
      <c r="AY137" s="920">
        <f t="shared" si="316"/>
      </c>
      <c r="AZ137" s="1248">
        <f t="shared" si="316"/>
      </c>
      <c r="BA137" s="1721">
        <f t="shared" si="316"/>
      </c>
      <c r="BB137" s="920">
        <f t="shared" si="316"/>
      </c>
      <c r="BC137" s="920">
        <f t="shared" si="316"/>
      </c>
      <c r="BD137" s="920">
        <f t="shared" si="316"/>
      </c>
      <c r="BE137" s="1248">
        <f t="shared" si="316"/>
      </c>
      <c r="BF137" s="1721">
        <f t="shared" si="316"/>
      </c>
      <c r="BG137" s="920">
        <f t="shared" si="316"/>
      </c>
      <c r="BH137" s="920">
        <f t="shared" si="316"/>
      </c>
      <c r="BI137" s="920">
        <f t="shared" si="316"/>
      </c>
      <c r="BJ137" s="1248">
        <f t="shared" si="316"/>
      </c>
      <c r="BK137" s="1721">
        <f t="shared" si="316"/>
      </c>
      <c r="BL137" s="920">
        <f t="shared" si="316"/>
      </c>
      <c r="BM137" s="920">
        <f t="shared" si="316"/>
      </c>
      <c r="BN137" s="920">
        <f t="shared" si="316"/>
      </c>
      <c r="BO137" s="1248">
        <f t="shared" ref="BO137:CT137" si="317">IFERROR(BO136/BO134,"--")</f>
      </c>
      <c r="BP137" s="1721">
        <f t="shared" si="317"/>
      </c>
      <c r="BQ137" s="920">
        <f t="shared" si="317"/>
      </c>
      <c r="BR137" s="920">
        <f t="shared" si="317"/>
      </c>
      <c r="BS137" s="920">
        <f t="shared" si="317"/>
      </c>
      <c r="BT137" s="1248">
        <f t="shared" si="317"/>
      </c>
      <c r="BU137" s="1721">
        <f t="shared" si="317"/>
      </c>
      <c r="BV137" s="920">
        <f t="shared" si="317"/>
      </c>
      <c r="BW137" s="920">
        <f t="shared" si="317"/>
      </c>
      <c r="BX137" s="920">
        <f t="shared" si="317"/>
      </c>
      <c r="BY137" s="1248">
        <f t="shared" si="317"/>
      </c>
      <c r="BZ137" s="1721">
        <f t="shared" si="317"/>
      </c>
      <c r="CA137" s="920">
        <f t="shared" si="317"/>
      </c>
      <c r="CB137" s="920">
        <f t="shared" si="317"/>
      </c>
      <c r="CC137" s="920">
        <f t="shared" si="317"/>
      </c>
      <c r="CD137" s="1248">
        <f t="shared" si="317"/>
      </c>
      <c r="CE137" s="1721">
        <f t="shared" si="317"/>
      </c>
      <c r="CF137" s="920">
        <f t="shared" si="317"/>
      </c>
      <c r="CG137" s="920">
        <f t="shared" si="317"/>
      </c>
      <c r="CH137" s="920">
        <f t="shared" si="317"/>
      </c>
      <c r="CI137" s="1248">
        <f t="shared" si="317"/>
      </c>
      <c r="CJ137" s="1721">
        <f t="shared" si="317"/>
      </c>
      <c r="CK137" s="920">
        <f t="shared" si="317"/>
      </c>
      <c r="CL137" s="920">
        <f t="shared" si="317"/>
      </c>
      <c r="CM137" s="920">
        <f t="shared" si="317"/>
      </c>
      <c r="CN137" s="1248">
        <f t="shared" si="317"/>
      </c>
      <c r="CO137" s="1721">
        <f t="shared" si="317"/>
      </c>
      <c r="CP137" s="920">
        <f t="shared" si="317"/>
      </c>
      <c r="CQ137" s="920">
        <f t="shared" si="317"/>
      </c>
      <c r="CR137" s="920">
        <f t="shared" si="317"/>
      </c>
      <c r="CS137" s="1248">
        <f t="shared" si="317"/>
      </c>
      <c r="CT137" s="1721">
        <f t="shared" si="317"/>
      </c>
      <c r="CU137" s="920">
        <f t="shared" ref="CU137:DZ137" si="318">IFERROR(CU136/CU134,"--")</f>
      </c>
      <c r="CV137" s="920">
        <f t="shared" si="318"/>
      </c>
      <c r="CW137" s="920">
        <f t="shared" si="318"/>
      </c>
      <c r="CX137" s="1248">
        <f t="shared" si="318"/>
      </c>
      <c r="CY137" s="1721">
        <f t="shared" si="318"/>
      </c>
      <c r="CZ137" s="920">
        <f t="shared" si="318"/>
      </c>
      <c r="DA137" s="920">
        <f t="shared" si="318"/>
      </c>
      <c r="DB137" s="920">
        <f t="shared" si="318"/>
      </c>
      <c r="DC137" s="1248">
        <f t="shared" si="318"/>
      </c>
      <c r="DD137" s="1721">
        <f t="shared" si="318"/>
      </c>
      <c r="DE137" s="920">
        <f t="shared" si="318"/>
      </c>
      <c r="DF137" s="920">
        <f t="shared" si="318"/>
      </c>
      <c r="DG137" s="920">
        <f t="shared" si="318"/>
      </c>
      <c r="DH137" s="1248">
        <f t="shared" si="318"/>
      </c>
      <c r="DI137" s="1721">
        <f t="shared" si="318"/>
      </c>
      <c r="DJ137" s="920">
        <f t="shared" si="318"/>
      </c>
      <c r="DK137" s="920">
        <f t="shared" si="318"/>
      </c>
      <c r="DL137" s="920">
        <f t="shared" si="318"/>
      </c>
      <c r="DM137" s="1248">
        <f t="shared" si="318"/>
      </c>
      <c r="DN137" s="1721">
        <f t="shared" si="318"/>
      </c>
      <c r="DO137" s="920">
        <f t="shared" si="318"/>
      </c>
      <c r="DP137" s="920">
        <f t="shared" si="318"/>
      </c>
      <c r="DQ137" s="920">
        <f t="shared" si="318"/>
      </c>
      <c r="DR137" s="1248">
        <f t="shared" si="318"/>
      </c>
      <c r="DS137" s="1721">
        <f t="shared" si="318"/>
      </c>
      <c r="DT137" s="920">
        <f t="shared" si="318"/>
      </c>
      <c r="DU137" s="920">
        <f t="shared" si="318"/>
      </c>
      <c r="DV137" s="920">
        <f t="shared" si="318"/>
      </c>
      <c r="DW137" s="1248">
        <f t="shared" si="318"/>
      </c>
      <c r="DX137" s="1721">
        <f t="shared" si="318"/>
      </c>
      <c r="DY137" s="920">
        <f t="shared" si="318"/>
      </c>
      <c r="DZ137" s="920">
        <f t="shared" si="318"/>
      </c>
      <c r="EA137" s="920">
        <f t="shared" ref="EA137:FF137" si="319">IFERROR(EA136/EA134,"--")</f>
      </c>
      <c r="EB137" s="1248">
        <f t="shared" si="319"/>
      </c>
      <c r="EC137" s="1721">
        <f t="shared" si="319"/>
      </c>
      <c r="ED137" s="920">
        <f t="shared" si="319"/>
      </c>
      <c r="EE137" s="920">
        <f t="shared" si="319"/>
      </c>
      <c r="EF137" s="920">
        <f t="shared" si="319"/>
      </c>
      <c r="EG137" s="1248">
        <f t="shared" si="319"/>
      </c>
      <c r="EH137" s="1474">
        <f t="shared" si="319"/>
      </c>
      <c r="EI137" s="1441">
        <f t="shared" si="319"/>
      </c>
      <c r="EJ137" s="1441">
        <f t="shared" si="319"/>
      </c>
      <c r="EK137" s="1441">
        <f t="shared" si="319"/>
      </c>
      <c r="EL137" s="1722">
        <f t="shared" si="319"/>
      </c>
      <c r="EM137" s="1474">
        <f t="shared" si="319"/>
      </c>
      <c r="EN137" s="1441">
        <f t="shared" si="319"/>
      </c>
      <c r="EO137" s="1441">
        <f t="shared" si="319"/>
      </c>
      <c r="EP137" s="1441">
        <f t="shared" si="319"/>
      </c>
      <c r="EQ137" s="1722">
        <f t="shared" si="319"/>
      </c>
      <c r="ER137" s="1721">
        <f t="shared" si="319"/>
      </c>
      <c r="ES137" s="1441">
        <f>IFERROR(ES136/ES134,"--")</f>
      </c>
      <c r="ET137" s="1723">
        <f>IFERROR(ET136/ET134,"--")</f>
      </c>
      <c r="EU137" s="1723">
        <f>IFERROR(EU136/EU134,"--")</f>
      </c>
      <c r="EV137" s="1722">
        <f>IFERROR(EV136/EV134,"--")</f>
      </c>
      <c r="EW137" s="1721">
        <f t="shared" si="319"/>
      </c>
      <c r="EX137" s="924">
        <f>IFERROR(EX136/EX134,"--")</f>
      </c>
      <c r="EY137" s="1723">
        <f>IFERROR(EY136/EY134,"--")</f>
      </c>
      <c r="EZ137" s="1723">
        <f>IFERROR(EZ136/EZ134,"--")</f>
      </c>
      <c r="FA137" s="1722">
        <f>IFERROR(FA136/FA134,"--")</f>
      </c>
      <c r="FB137" s="1117">
        <v>0.19500000000000001</v>
      </c>
      <c r="FC137" s="1117">
        <f>FB137</f>
      </c>
      <c r="FD137" s="1117">
        <f>FC137</f>
      </c>
      <c r="FE137" s="1117">
        <f>FD137</f>
      </c>
      <c r="FF137" s="1248">
        <f t="shared" si="319"/>
      </c>
      <c r="FG137" s="1117">
        <f>FB137</f>
      </c>
      <c r="FH137" s="1117">
        <f>FG137</f>
      </c>
      <c r="FI137" s="1117">
        <f>FH137</f>
      </c>
      <c r="FJ137" s="1117">
        <f>FI137</f>
      </c>
      <c r="FK137" s="1248">
        <f>IFERROR(FK136/FK134,"--")</f>
      </c>
      <c r="FL137" s="1117">
        <f>FG137</f>
      </c>
      <c r="FM137" s="1117">
        <f>FL137</f>
      </c>
      <c r="FN137" s="1117">
        <f>FM137</f>
      </c>
      <c r="FO137" s="1117">
        <f>FN137</f>
      </c>
      <c r="FP137" s="1248">
        <f>IFERROR(FP136/FP134,"--")</f>
      </c>
      <c r="FQ137" s="1117">
        <f>FL137</f>
      </c>
      <c r="FR137" s="1117">
        <f>FQ137</f>
      </c>
      <c r="FS137" s="1117">
        <f>FR137</f>
      </c>
      <c r="FT137" s="1117">
        <f>FS137</f>
      </c>
      <c r="FU137" s="1248">
        <f>IFERROR(FU136/FU134,"--")</f>
      </c>
      <c r="FV137" s="1117">
        <f>FQ137</f>
      </c>
      <c r="FW137" s="1117">
        <f>FV137</f>
      </c>
      <c r="FX137" s="1117">
        <f>FW137</f>
      </c>
      <c r="FY137" s="1117">
        <f>FX137</f>
      </c>
      <c r="FZ137" s="1248">
        <f>IFERROR(FZ136/FZ134,"--")</f>
      </c>
      <c r="GA137" s="1117">
        <f>FV137</f>
      </c>
      <c r="GB137" s="1117">
        <f>GA137</f>
      </c>
      <c r="GC137" s="1117">
        <f>GB137</f>
      </c>
      <c r="GD137" s="1117">
        <f>GC137</f>
      </c>
      <c r="GE137" s="1248">
        <f>IFERROR(GE136/GE134,"--")</f>
      </c>
      <c r="GF137" s="1117">
        <f>GA137</f>
      </c>
      <c r="GG137" s="1117">
        <f>GF137</f>
      </c>
      <c r="GH137" s="1117">
        <f>GG137</f>
      </c>
      <c r="GI137" s="1117">
        <f>GH137</f>
      </c>
      <c r="GJ137" s="1248">
        <f>IFERROR(GJ136/GJ134,"--")</f>
      </c>
    </row>
    <row r="138" spans="1:192" s="335" customFormat="1" ht="12.75" customHeight="1">
      <c r="A138" s="68"/>
      <c r="C138" s="291"/>
      <c r="D138" s="107"/>
      <c r="E138" s="107"/>
      <c r="F138" s="107"/>
      <c r="G138" s="338"/>
      <c r="H138" s="291"/>
      <c r="I138" s="107"/>
      <c r="J138" s="107"/>
      <c r="K138" s="107"/>
      <c r="L138" s="338"/>
      <c r="M138" s="291"/>
      <c r="N138" s="107"/>
      <c r="O138" s="107"/>
      <c r="P138" s="107"/>
      <c r="Q138" s="338"/>
      <c r="R138" s="291"/>
      <c r="S138" s="107"/>
      <c r="T138" s="107"/>
      <c r="U138" s="107"/>
      <c r="V138" s="338"/>
      <c r="W138" s="291"/>
      <c r="X138" s="107"/>
      <c r="Y138" s="107"/>
      <c r="Z138" s="107"/>
      <c r="AA138" s="338"/>
      <c r="AB138" s="291"/>
      <c r="AC138" s="107"/>
      <c r="AD138" s="107"/>
      <c r="AE138" s="107"/>
      <c r="AF138" s="338"/>
      <c r="AG138" s="291"/>
      <c r="AH138" s="107"/>
      <c r="AI138" s="107"/>
      <c r="AJ138" s="107"/>
      <c r="AK138" s="338"/>
      <c r="AL138" s="291"/>
      <c r="AM138" s="107"/>
      <c r="AN138" s="107"/>
      <c r="AO138" s="107"/>
      <c r="AP138" s="338"/>
      <c r="AQ138" s="291"/>
      <c r="AR138" s="107"/>
      <c r="AS138" s="107"/>
      <c r="AT138" s="107"/>
      <c r="AU138" s="338"/>
      <c r="AV138" s="291"/>
      <c r="AW138" s="107"/>
      <c r="AX138" s="107"/>
      <c r="AY138" s="107"/>
      <c r="AZ138" s="338"/>
      <c r="BA138" s="291"/>
      <c r="BB138" s="107"/>
      <c r="BC138" s="107"/>
      <c r="BD138" s="107"/>
      <c r="BE138" s="338"/>
      <c r="BF138" s="291"/>
      <c r="BG138" s="107"/>
      <c r="BH138" s="107"/>
      <c r="BI138" s="107"/>
      <c r="BJ138" s="338"/>
      <c r="BK138" s="291"/>
      <c r="BL138" s="107"/>
      <c r="BM138" s="107"/>
      <c r="BN138" s="107"/>
      <c r="BO138" s="338"/>
      <c r="BP138" s="291"/>
      <c r="BQ138" s="107"/>
      <c r="BR138" s="107"/>
      <c r="BS138" s="107"/>
      <c r="BT138" s="338"/>
      <c r="BU138" s="291"/>
      <c r="BV138" s="107"/>
      <c r="BW138" s="107"/>
      <c r="BX138" s="107"/>
      <c r="BY138" s="338"/>
      <c r="BZ138" s="291"/>
      <c r="CA138" s="107"/>
      <c r="CB138" s="107"/>
      <c r="CC138" s="107"/>
      <c r="CD138" s="338"/>
      <c r="CE138" s="291"/>
      <c r="CF138" s="107"/>
      <c r="CG138" s="107"/>
      <c r="CH138" s="107"/>
      <c r="CI138" s="338"/>
      <c r="CJ138" s="291"/>
      <c r="CK138" s="107"/>
      <c r="CL138" s="107"/>
      <c r="CM138" s="107"/>
      <c r="CN138" s="338"/>
      <c r="CO138" s="291"/>
      <c r="CP138" s="107"/>
      <c r="CQ138" s="107"/>
      <c r="CR138" s="107"/>
      <c r="CS138" s="338"/>
      <c r="CT138" s="291"/>
      <c r="CU138" s="107"/>
      <c r="CV138" s="107"/>
      <c r="CW138" s="107"/>
      <c r="CX138" s="338"/>
      <c r="CY138" s="291"/>
      <c r="CZ138" s="107"/>
      <c r="DA138" s="107"/>
      <c r="DB138" s="107"/>
      <c r="DC138" s="338"/>
      <c r="DD138" s="291"/>
      <c r="DE138" s="107"/>
      <c r="DF138" s="107"/>
      <c r="DG138" s="107"/>
      <c r="DH138" s="338"/>
      <c r="DI138" s="291"/>
      <c r="DJ138" s="107"/>
      <c r="DK138" s="107"/>
      <c r="DL138" s="107"/>
      <c r="DM138" s="338"/>
      <c r="DN138" s="291"/>
      <c r="DO138" s="107"/>
      <c r="DP138" s="107"/>
      <c r="DQ138" s="107"/>
      <c r="DR138" s="338"/>
      <c r="DS138" s="291"/>
      <c r="DT138" s="107"/>
      <c r="DU138" s="107"/>
      <c r="DV138" s="107"/>
      <c r="DW138" s="338"/>
      <c r="DX138" s="291"/>
      <c r="DY138" s="107"/>
      <c r="DZ138" s="107"/>
      <c r="EA138" s="107"/>
      <c r="EB138" s="338"/>
      <c r="EC138" s="291"/>
      <c r="ED138" s="107"/>
      <c r="EE138" s="107"/>
      <c r="EF138" s="107"/>
      <c r="EG138" s="338"/>
      <c r="EH138" s="291"/>
      <c r="EI138" s="107"/>
      <c r="EJ138" s="107"/>
      <c r="EK138" s="107"/>
      <c r="EL138" s="339"/>
      <c r="EM138" s="291"/>
      <c r="EN138" s="107"/>
      <c r="EO138" s="107"/>
      <c r="EP138" s="107"/>
      <c r="EQ138" s="339"/>
      <c r="ER138" s="291"/>
      <c r="ES138" s="107"/>
      <c r="ET138" s="468"/>
      <c r="EU138" s="468"/>
      <c r="EV138" s="339"/>
      <c r="EW138" s="291"/>
      <c r="EX138" s="107"/>
      <c r="EY138" s="468"/>
      <c r="EZ138" s="107"/>
      <c r="FA138" s="339"/>
      <c r="FB138" s="291"/>
      <c r="FC138" s="107"/>
      <c r="FD138" s="107"/>
      <c r="FE138" s="107"/>
      <c r="FF138" s="338"/>
      <c r="FG138" s="291"/>
      <c r="FH138" s="107"/>
      <c r="FI138" s="107"/>
      <c r="FJ138" s="107"/>
      <c r="FK138" s="338"/>
      <c r="FL138" s="291"/>
      <c r="FM138" s="107"/>
      <c r="FN138" s="107"/>
      <c r="FO138" s="107"/>
      <c r="FP138" s="338"/>
      <c r="FQ138" s="291"/>
      <c r="FR138" s="107"/>
      <c r="FS138" s="107"/>
      <c r="FT138" s="107"/>
      <c r="FU138" s="338"/>
      <c r="FV138" s="291"/>
      <c r="FW138" s="107"/>
      <c r="FX138" s="107"/>
      <c r="FY138" s="107"/>
      <c r="FZ138" s="338"/>
      <c r="GA138" s="291"/>
      <c r="GB138" s="107"/>
      <c r="GC138" s="107"/>
      <c r="GD138" s="107"/>
      <c r="GE138" s="338"/>
      <c r="GF138" s="291"/>
      <c r="GG138" s="107"/>
      <c r="GH138" s="107"/>
      <c r="GI138" s="107"/>
      <c r="GJ138" s="338"/>
    </row>
    <row r="139" spans="1:192" s="314" customFormat="1" ht="12.75" customHeight="1">
      <c r="A139" s="793"/>
      <c r="B139" s="621" t="s">
        <v>151</v>
      </c>
      <c r="C139" s="322">
        <f>C134-C136</f>
      </c>
      <c r="D139" s="322">
        <f>D134-D136</f>
      </c>
      <c r="E139" s="322">
        <f>E134-E136</f>
      </c>
      <c r="F139" s="322">
        <f>F134-F136</f>
      </c>
      <c r="G139" s="323">
        <f>SUM(C139:F139)</f>
      </c>
      <c r="H139" s="322">
        <f>H134-H136</f>
      </c>
      <c r="I139" s="322">
        <f>I134-I136</f>
      </c>
      <c r="J139" s="322">
        <f>J134-J136</f>
      </c>
      <c r="K139" s="322">
        <f>K134-K136</f>
      </c>
      <c r="L139" s="323">
        <f>SUM(H139:K139)</f>
      </c>
      <c r="M139" s="322">
        <f>M134-M136</f>
      </c>
      <c r="N139" s="322">
        <f>N134-N136</f>
      </c>
      <c r="O139" s="322">
        <f>O134-O136</f>
      </c>
      <c r="P139" s="322">
        <f>P134-P136</f>
      </c>
      <c r="Q139" s="323">
        <f>SUM(M139:P139)</f>
      </c>
      <c r="R139" s="322">
        <f>R134-R136</f>
      </c>
      <c r="S139" s="322">
        <f>S134-S136</f>
      </c>
      <c r="T139" s="322">
        <f>T134-T136</f>
      </c>
      <c r="U139" s="322">
        <f>U134-U136</f>
      </c>
      <c r="V139" s="323">
        <f>SUM(R139:U139)</f>
      </c>
      <c r="W139" s="322">
        <f>W134-W136</f>
      </c>
      <c r="X139" s="322">
        <f>X134-X136</f>
      </c>
      <c r="Y139" s="322">
        <f>Y134-Y136</f>
      </c>
      <c r="Z139" s="322">
        <f>Z134-Z136</f>
      </c>
      <c r="AA139" s="323">
        <f>SUM(W139:Z139)</f>
      </c>
      <c r="AB139" s="322">
        <f>AB134-AB136</f>
      </c>
      <c r="AC139" s="322">
        <f>AC134-AC136</f>
      </c>
      <c r="AD139" s="322">
        <f>AD134-AD136</f>
      </c>
      <c r="AE139" s="322">
        <f>AE134-AE136</f>
      </c>
      <c r="AF139" s="323">
        <f>SUM(AB139:AE139)</f>
      </c>
      <c r="AG139" s="322">
        <f>AG134-AG136-AG107</f>
      </c>
      <c r="AH139" s="322">
        <f>AH134-AH136</f>
      </c>
      <c r="AI139" s="322">
        <f>AI134-AI136</f>
      </c>
      <c r="AJ139" s="322">
        <f>AJ134-AJ136</f>
      </c>
      <c r="AK139" s="323">
        <f>SUM(AG139:AJ139)</f>
      </c>
      <c r="AL139" s="322">
        <f>AL134-AL136</f>
      </c>
      <c r="AM139" s="322">
        <f>AM134-AM136</f>
      </c>
      <c r="AN139" s="322">
        <f>AN134-AN136</f>
      </c>
      <c r="AO139" s="322">
        <f>AO134-AO136</f>
      </c>
      <c r="AP139" s="323">
        <f>SUM(AL139:AO139)</f>
      </c>
      <c r="AQ139" s="322">
        <f>AQ134-AQ136</f>
      </c>
      <c r="AR139" s="322">
        <f>AR134-AR136</f>
      </c>
      <c r="AS139" s="322">
        <f>AS134-AS136</f>
      </c>
      <c r="AT139" s="322">
        <f>AT134-AT136</f>
      </c>
      <c r="AU139" s="323">
        <f>SUM(AQ139:AT139)</f>
      </c>
      <c r="AV139" s="322">
        <f>AV134-AV136</f>
      </c>
      <c r="AW139" s="322">
        <f>AW134-AW136</f>
      </c>
      <c r="AX139" s="322">
        <f>AX134-AX136</f>
      </c>
      <c r="AY139" s="322">
        <f>AY134-AY136</f>
      </c>
      <c r="AZ139" s="323">
        <f>SUM(AV139:AY139)</f>
      </c>
      <c r="BA139" s="322">
        <f>BA134-BA136</f>
      </c>
      <c r="BB139" s="322">
        <f>BB134-BB136</f>
      </c>
      <c r="BC139" s="322">
        <f>BC134-BC136</f>
      </c>
      <c r="BD139" s="322">
        <f>BD134-BD136</f>
      </c>
      <c r="BE139" s="323">
        <f>SUM(BA139:BD139)</f>
      </c>
      <c r="BF139" s="322">
        <f>BF134-BF136</f>
      </c>
      <c r="BG139" s="322">
        <f>BG134-BG136</f>
      </c>
      <c r="BH139" s="322">
        <f>BH134-BH136</f>
      </c>
      <c r="BI139" s="322">
        <f>BI134-BI136</f>
      </c>
      <c r="BJ139" s="323">
        <f>SUM(BF139:BI139)</f>
      </c>
      <c r="BK139" s="322">
        <f>BK134-BK136</f>
      </c>
      <c r="BL139" s="322">
        <f>BL134-BL136</f>
      </c>
      <c r="BM139" s="322">
        <f>BM134-BM136</f>
      </c>
      <c r="BN139" s="322">
        <f>BN134-BN136</f>
      </c>
      <c r="BO139" s="323">
        <f>SUM(BK139:BN139)</f>
      </c>
      <c r="BP139" s="322">
        <f>BP134-BP136</f>
      </c>
      <c r="BQ139" s="322">
        <f>BQ134-BQ136</f>
      </c>
      <c r="BR139" s="322">
        <f>BR134-BR136</f>
      </c>
      <c r="BS139" s="322">
        <f>BS134-BS136</f>
      </c>
      <c r="BT139" s="323">
        <f>SUM(BP139:BS139)</f>
      </c>
      <c r="BU139" s="322">
        <f>BU134-BU136</f>
      </c>
      <c r="BV139" s="322">
        <f>BV134-BV136</f>
      </c>
      <c r="BW139" s="322">
        <f>BW134-BW136</f>
      </c>
      <c r="BX139" s="322">
        <f>BX134-BX136</f>
      </c>
      <c r="BY139" s="323">
        <f>SUM(BU139:BX139)</f>
      </c>
      <c r="BZ139" s="322">
        <f>BZ134-BZ136</f>
      </c>
      <c r="CA139" s="322">
        <f>CA134-CA136</f>
      </c>
      <c r="CB139" s="322">
        <f>CB134-CB136</f>
      </c>
      <c r="CC139" s="322">
        <f>CC134-CC136</f>
      </c>
      <c r="CD139" s="323">
        <f>SUM(BZ139:CC139)</f>
      </c>
      <c r="CE139" s="322">
        <f>CE134-CE136</f>
      </c>
      <c r="CF139" s="322">
        <f>CF134-CF136</f>
      </c>
      <c r="CG139" s="322">
        <f>CG134-CG136</f>
      </c>
      <c r="CH139" s="322">
        <f>CH134-CH136</f>
      </c>
      <c r="CI139" s="323">
        <f>SUM(CE139:CH139)</f>
      </c>
      <c r="CJ139" s="322">
        <f>CJ134-CJ136</f>
      </c>
      <c r="CK139" s="322">
        <f>CK134-CK136</f>
      </c>
      <c r="CL139" s="322">
        <f>CL134-CL136</f>
      </c>
      <c r="CM139" s="322">
        <f>CM134-CM136</f>
      </c>
      <c r="CN139" s="323">
        <f>SUM(CJ139:CM139)</f>
      </c>
      <c r="CO139" s="322">
        <f>CO134-CO136</f>
      </c>
      <c r="CP139" s="322">
        <f>CP134-CP136</f>
      </c>
      <c r="CQ139" s="322">
        <f>CQ134-CQ136</f>
      </c>
      <c r="CR139" s="322">
        <f>CR134-CR136</f>
      </c>
      <c r="CS139" s="323">
        <f>SUM(CO139:CR139)</f>
      </c>
      <c r="CT139" s="322">
        <f>CT134-CT136</f>
      </c>
      <c r="CU139" s="322">
        <f>CU134-CU136</f>
      </c>
      <c r="CV139" s="322">
        <f>CV134-CV136</f>
      </c>
      <c r="CW139" s="322">
        <f>CW134-CW136</f>
      </c>
      <c r="CX139" s="323">
        <f>SUM(CT139:CW139)</f>
      </c>
      <c r="CY139" s="322">
        <f>CY134-CY136</f>
      </c>
      <c r="CZ139" s="322">
        <f>CZ134-CZ136</f>
      </c>
      <c r="DA139" s="322">
        <f>DA134-DA136</f>
      </c>
      <c r="DB139" s="322">
        <f>DB134-DB136</f>
      </c>
      <c r="DC139" s="323">
        <f>SUM(CY139:DB139)</f>
      </c>
      <c r="DD139" s="322">
        <f>DD134-DD136</f>
      </c>
      <c r="DE139" s="322">
        <f>DE134-DE136</f>
      </c>
      <c r="DF139" s="322">
        <f>DF134-DF136</f>
      </c>
      <c r="DG139" s="322">
        <f>DG134-DG136</f>
      </c>
      <c r="DH139" s="323">
        <f>SUM(DD139:DG139)</f>
      </c>
      <c r="DI139" s="322">
        <f>DI134-DI136</f>
      </c>
      <c r="DJ139" s="322">
        <f>DJ134-DJ136</f>
      </c>
      <c r="DK139" s="322">
        <f>DK134-DK136</f>
      </c>
      <c r="DL139" s="322">
        <f>DL134-DL136</f>
      </c>
      <c r="DM139" s="323">
        <f>SUM(DI139:DL139)</f>
      </c>
      <c r="DN139" s="322">
        <f>DN134-DN136</f>
      </c>
      <c r="DO139" s="322">
        <f>DO134-DO136</f>
      </c>
      <c r="DP139" s="322">
        <f>DP134-DP136</f>
      </c>
      <c r="DQ139" s="322">
        <f>DQ134-DQ136</f>
      </c>
      <c r="DR139" s="323">
        <f>SUM(DN139:DQ139)</f>
      </c>
      <c r="DS139" s="322">
        <f>DS134-DS136</f>
      </c>
      <c r="DT139" s="322">
        <f>DT134-DT136</f>
      </c>
      <c r="DU139" s="322">
        <f>DU134-DU136</f>
      </c>
      <c r="DV139" s="322">
        <f>DV134-DV136</f>
      </c>
      <c r="DW139" s="323">
        <f>SUM(DS139:DV139)</f>
      </c>
      <c r="DX139" s="322">
        <f>DX134-DX136</f>
      </c>
      <c r="DY139" s="322">
        <f>DY134-DY136</f>
      </c>
      <c r="DZ139" s="322">
        <f>DZ134-DZ136</f>
      </c>
      <c r="EA139" s="322">
        <f>EA134-EA136</f>
      </c>
      <c r="EB139" s="323">
        <f>SUM(DX139:EA139)</f>
      </c>
      <c r="EC139" s="322">
        <f>EC134-EC136</f>
      </c>
      <c r="ED139" s="322">
        <f>ED134-ED136</f>
      </c>
      <c r="EE139" s="322">
        <f>EE134-EE136</f>
      </c>
      <c r="EF139" s="322">
        <f>EF134-EF136</f>
      </c>
      <c r="EG139" s="323">
        <f>SUM(EC139:EF139)</f>
      </c>
      <c r="EH139" s="322">
        <f>EH134-EH136</f>
      </c>
      <c r="EI139" s="322">
        <f>EI134-EI136</f>
      </c>
      <c r="EJ139" s="322">
        <f>EJ134-EJ136</f>
      </c>
      <c r="EK139" s="322">
        <f>EK134-EK136</f>
      </c>
      <c r="EL139" s="324">
        <f>SUM(EH139:EK139)</f>
      </c>
      <c r="EM139" s="322">
        <f>EM134-EM136</f>
      </c>
      <c r="EN139" s="322">
        <f>EN134-EN136</f>
      </c>
      <c r="EO139" s="322">
        <f>EO134-EO136</f>
      </c>
      <c r="EP139" s="322">
        <f>EP134-EP136</f>
      </c>
      <c r="EQ139" s="324">
        <f>SUM(EM139:EP139)</f>
      </c>
      <c r="ER139" s="322">
        <f>ER134-ER136</f>
      </c>
      <c r="ES139" s="322">
        <f>ES134-ES136</f>
      </c>
      <c r="ET139" s="332">
        <f>ET134-ET136</f>
      </c>
      <c r="EU139" s="332">
        <f>EU134-EU136</f>
      </c>
      <c r="EV139" s="324">
        <f>SUM(ER139:EU139)</f>
      </c>
      <c r="EW139" s="322">
        <f>EW134-EW136</f>
      </c>
      <c r="EX139" s="322">
        <f>EX134-EX136</f>
      </c>
      <c r="EY139" s="332">
        <f>EY134-EY136</f>
      </c>
      <c r="EZ139" s="332">
        <f>EZ134-EZ136</f>
      </c>
      <c r="FA139" s="324">
        <f>SUM(EW139:EZ139)</f>
      </c>
      <c r="FB139" s="322">
        <f>FB134-FB136</f>
      </c>
      <c r="FC139" s="322">
        <f>FC134-FC136</f>
      </c>
      <c r="FD139" s="322">
        <f>FD134-FD136</f>
      </c>
      <c r="FE139" s="322">
        <f>FE134-FE136</f>
      </c>
      <c r="FF139" s="323">
        <f>SUM(FB139:FE139)</f>
      </c>
      <c r="FG139" s="322">
        <f>FG134-FG136</f>
      </c>
      <c r="FH139" s="322">
        <f>FH134-FH136</f>
      </c>
      <c r="FI139" s="322">
        <f>FI134-FI136</f>
      </c>
      <c r="FJ139" s="322">
        <f>FJ134-FJ136</f>
      </c>
      <c r="FK139" s="323">
        <f>SUM(FG139:FJ139)</f>
      </c>
      <c r="FL139" s="322">
        <f>FL134-FL136</f>
      </c>
      <c r="FM139" s="322">
        <f>FM134-FM136</f>
      </c>
      <c r="FN139" s="322">
        <f>FN134-FN136</f>
      </c>
      <c r="FO139" s="322">
        <f>FO134-FO136</f>
      </c>
      <c r="FP139" s="323">
        <f>SUM(FL139:FO139)</f>
      </c>
      <c r="FQ139" s="322">
        <f>FQ134-FQ136</f>
      </c>
      <c r="FR139" s="322">
        <f>FR134-FR136</f>
      </c>
      <c r="FS139" s="322">
        <f>FS134-FS136</f>
      </c>
      <c r="FT139" s="322">
        <f>FT134-FT136</f>
      </c>
      <c r="FU139" s="323">
        <f>SUM(FQ139:FT139)</f>
      </c>
      <c r="FV139" s="322">
        <f>FV134-FV136</f>
      </c>
      <c r="FW139" s="322">
        <f>FW134-FW136</f>
      </c>
      <c r="FX139" s="322">
        <f>FX134-FX136</f>
      </c>
      <c r="FY139" s="322">
        <f>FY134-FY136</f>
      </c>
      <c r="FZ139" s="323">
        <f>SUM(FV139:FY139)</f>
      </c>
      <c r="GA139" s="322">
        <f>GA134-GA136</f>
      </c>
      <c r="GB139" s="322">
        <f>GB134-GB136</f>
      </c>
      <c r="GC139" s="322">
        <f>GC134-GC136</f>
      </c>
      <c r="GD139" s="322">
        <f>GD134-GD136</f>
      </c>
      <c r="GE139" s="323">
        <f>SUM(GA139:GD139)</f>
      </c>
      <c r="GF139" s="322">
        <f>GF134-GF136</f>
      </c>
      <c r="GG139" s="322">
        <f>GG134-GG136</f>
      </c>
      <c r="GH139" s="322">
        <f>GH134-GH136</f>
      </c>
      <c r="GI139" s="322">
        <f>GI134-GI136</f>
      </c>
      <c r="GJ139" s="323">
        <f>SUM(GF139:GI139)</f>
      </c>
    </row>
    <row r="140" spans="1:192" ht="12.75" customHeight="1">
      <c r="B140" s="617" t="s">
        <v>287</v>
      </c>
      <c r="C140" s="298">
        <f t="shared" ref="C140:AH140" si="320">IFERROR(C139/C24,"--")</f>
      </c>
      <c r="D140" s="295">
        <f t="shared" si="320"/>
      </c>
      <c r="E140" s="295">
        <f t="shared" si="320"/>
      </c>
      <c r="F140" s="295">
        <f t="shared" si="320"/>
      </c>
      <c r="G140" s="297">
        <f t="shared" si="320"/>
      </c>
      <c r="H140" s="298">
        <f t="shared" si="320"/>
      </c>
      <c r="I140" s="295">
        <f t="shared" si="320"/>
      </c>
      <c r="J140" s="295">
        <f t="shared" si="320"/>
      </c>
      <c r="K140" s="295">
        <f t="shared" si="320"/>
      </c>
      <c r="L140" s="297">
        <f t="shared" si="320"/>
      </c>
      <c r="M140" s="298">
        <f t="shared" si="320"/>
      </c>
      <c r="N140" s="295">
        <f t="shared" si="320"/>
      </c>
      <c r="O140" s="295">
        <f t="shared" si="320"/>
      </c>
      <c r="P140" s="295">
        <f t="shared" si="320"/>
      </c>
      <c r="Q140" s="297">
        <f t="shared" si="320"/>
      </c>
      <c r="R140" s="298">
        <f t="shared" si="320"/>
      </c>
      <c r="S140" s="295">
        <f t="shared" si="320"/>
      </c>
      <c r="T140" s="295">
        <f t="shared" si="320"/>
      </c>
      <c r="U140" s="295">
        <f t="shared" si="320"/>
      </c>
      <c r="V140" s="297">
        <f t="shared" si="320"/>
      </c>
      <c r="W140" s="298">
        <f t="shared" si="320"/>
      </c>
      <c r="X140" s="295">
        <f t="shared" si="320"/>
      </c>
      <c r="Y140" s="295">
        <f t="shared" si="320"/>
      </c>
      <c r="Z140" s="295">
        <f t="shared" si="320"/>
      </c>
      <c r="AA140" s="297">
        <f t="shared" si="320"/>
      </c>
      <c r="AB140" s="298">
        <f t="shared" si="320"/>
      </c>
      <c r="AC140" s="295">
        <f t="shared" si="320"/>
      </c>
      <c r="AD140" s="295">
        <f t="shared" si="320"/>
      </c>
      <c r="AE140" s="295">
        <f t="shared" si="320"/>
      </c>
      <c r="AF140" s="297">
        <f t="shared" si="320"/>
      </c>
      <c r="AG140" s="298">
        <f t="shared" si="320"/>
      </c>
      <c r="AH140" s="295">
        <f t="shared" si="320"/>
      </c>
      <c r="AI140" s="295">
        <f t="shared" ref="AI140:BN140" si="321">IFERROR(AI139/AI24,"--")</f>
      </c>
      <c r="AJ140" s="295">
        <f t="shared" si="321"/>
      </c>
      <c r="AK140" s="297">
        <f t="shared" si="321"/>
      </c>
      <c r="AL140" s="298">
        <f t="shared" si="321"/>
      </c>
      <c r="AM140" s="295">
        <f t="shared" si="321"/>
      </c>
      <c r="AN140" s="295">
        <f t="shared" si="321"/>
      </c>
      <c r="AO140" s="295">
        <f t="shared" si="321"/>
      </c>
      <c r="AP140" s="297">
        <f t="shared" si="321"/>
      </c>
      <c r="AQ140" s="298">
        <f t="shared" si="321"/>
      </c>
      <c r="AR140" s="295">
        <f t="shared" si="321"/>
      </c>
      <c r="AS140" s="295">
        <f t="shared" si="321"/>
      </c>
      <c r="AT140" s="295">
        <f t="shared" si="321"/>
      </c>
      <c r="AU140" s="297">
        <f t="shared" si="321"/>
      </c>
      <c r="AV140" s="298">
        <f t="shared" si="321"/>
      </c>
      <c r="AW140" s="295">
        <f t="shared" si="321"/>
      </c>
      <c r="AX140" s="295">
        <f t="shared" si="321"/>
      </c>
      <c r="AY140" s="295">
        <f t="shared" si="321"/>
      </c>
      <c r="AZ140" s="297">
        <f t="shared" si="321"/>
      </c>
      <c r="BA140" s="298">
        <f t="shared" si="321"/>
      </c>
      <c r="BB140" s="295">
        <f t="shared" si="321"/>
      </c>
      <c r="BC140" s="295">
        <f t="shared" si="321"/>
      </c>
      <c r="BD140" s="295">
        <f t="shared" si="321"/>
      </c>
      <c r="BE140" s="297">
        <f t="shared" si="321"/>
      </c>
      <c r="BF140" s="298">
        <f t="shared" si="321"/>
      </c>
      <c r="BG140" s="295">
        <f t="shared" si="321"/>
      </c>
      <c r="BH140" s="295">
        <f t="shared" si="321"/>
      </c>
      <c r="BI140" s="295">
        <f t="shared" si="321"/>
      </c>
      <c r="BJ140" s="297">
        <f t="shared" si="321"/>
      </c>
      <c r="BK140" s="298">
        <f t="shared" si="321"/>
      </c>
      <c r="BL140" s="295">
        <f t="shared" si="321"/>
      </c>
      <c r="BM140" s="295">
        <f t="shared" si="321"/>
      </c>
      <c r="BN140" s="295">
        <f t="shared" si="321"/>
      </c>
      <c r="BO140" s="297">
        <f t="shared" ref="BO140:CT140" si="322">IFERROR(BO139/BO24,"--")</f>
      </c>
      <c r="BP140" s="298">
        <f t="shared" si="322"/>
      </c>
      <c r="BQ140" s="295">
        <f t="shared" si="322"/>
      </c>
      <c r="BR140" s="295">
        <f t="shared" si="322"/>
      </c>
      <c r="BS140" s="295">
        <f t="shared" si="322"/>
      </c>
      <c r="BT140" s="297">
        <f t="shared" si="322"/>
      </c>
      <c r="BU140" s="298">
        <f t="shared" si="322"/>
      </c>
      <c r="BV140" s="295">
        <f t="shared" si="322"/>
      </c>
      <c r="BW140" s="295">
        <f t="shared" si="322"/>
      </c>
      <c r="BX140" s="295">
        <f t="shared" si="322"/>
      </c>
      <c r="BY140" s="297">
        <f t="shared" si="322"/>
      </c>
      <c r="BZ140" s="298">
        <f t="shared" si="322"/>
      </c>
      <c r="CA140" s="295">
        <f t="shared" si="322"/>
      </c>
      <c r="CB140" s="295">
        <f t="shared" si="322"/>
      </c>
      <c r="CC140" s="295">
        <f t="shared" si="322"/>
      </c>
      <c r="CD140" s="297">
        <f t="shared" si="322"/>
      </c>
      <c r="CE140" s="298">
        <f t="shared" si="322"/>
      </c>
      <c r="CF140" s="295">
        <f t="shared" si="322"/>
      </c>
      <c r="CG140" s="295">
        <f t="shared" si="322"/>
      </c>
      <c r="CH140" s="295">
        <f t="shared" si="322"/>
      </c>
      <c r="CI140" s="297">
        <f t="shared" si="322"/>
      </c>
      <c r="CJ140" s="298">
        <f t="shared" si="322"/>
      </c>
      <c r="CK140" s="295">
        <f t="shared" si="322"/>
      </c>
      <c r="CL140" s="295">
        <f t="shared" si="322"/>
      </c>
      <c r="CM140" s="295">
        <f t="shared" si="322"/>
      </c>
      <c r="CN140" s="297">
        <f t="shared" si="322"/>
      </c>
      <c r="CO140" s="298">
        <f t="shared" si="322"/>
      </c>
      <c r="CP140" s="295">
        <f t="shared" si="322"/>
      </c>
      <c r="CQ140" s="295">
        <f t="shared" si="322"/>
      </c>
      <c r="CR140" s="295">
        <f t="shared" si="322"/>
      </c>
      <c r="CS140" s="297">
        <f t="shared" si="322"/>
      </c>
      <c r="CT140" s="298">
        <f t="shared" si="322"/>
      </c>
      <c r="CU140" s="295">
        <f t="shared" ref="CU140:DZ140" si="323">IFERROR(CU139/CU24,"--")</f>
      </c>
      <c r="CV140" s="295">
        <f t="shared" si="323"/>
      </c>
      <c r="CW140" s="295">
        <f t="shared" si="323"/>
      </c>
      <c r="CX140" s="297">
        <f t="shared" si="323"/>
      </c>
      <c r="CY140" s="298">
        <f t="shared" si="323"/>
      </c>
      <c r="CZ140" s="295">
        <f t="shared" si="323"/>
      </c>
      <c r="DA140" s="295">
        <f t="shared" si="323"/>
      </c>
      <c r="DB140" s="295">
        <f t="shared" si="323"/>
      </c>
      <c r="DC140" s="297">
        <f t="shared" si="323"/>
      </c>
      <c r="DD140" s="298">
        <f t="shared" si="323"/>
      </c>
      <c r="DE140" s="295">
        <f t="shared" si="323"/>
      </c>
      <c r="DF140" s="295">
        <f t="shared" si="323"/>
      </c>
      <c r="DG140" s="295">
        <f t="shared" si="323"/>
      </c>
      <c r="DH140" s="297">
        <f t="shared" si="323"/>
      </c>
      <c r="DI140" s="298">
        <f t="shared" si="323"/>
      </c>
      <c r="DJ140" s="295">
        <f t="shared" si="323"/>
      </c>
      <c r="DK140" s="295">
        <f t="shared" si="323"/>
      </c>
      <c r="DL140" s="295">
        <f t="shared" si="323"/>
      </c>
      <c r="DM140" s="297">
        <f t="shared" si="323"/>
      </c>
      <c r="DN140" s="298">
        <f t="shared" si="323"/>
      </c>
      <c r="DO140" s="295">
        <f t="shared" si="323"/>
      </c>
      <c r="DP140" s="295">
        <f t="shared" si="323"/>
      </c>
      <c r="DQ140" s="295">
        <f t="shared" si="323"/>
      </c>
      <c r="DR140" s="297">
        <f t="shared" si="323"/>
      </c>
      <c r="DS140" s="298">
        <f t="shared" si="323"/>
      </c>
      <c r="DT140" s="295">
        <f t="shared" si="323"/>
      </c>
      <c r="DU140" s="295">
        <f t="shared" si="323"/>
      </c>
      <c r="DV140" s="295">
        <f t="shared" si="323"/>
      </c>
      <c r="DW140" s="297">
        <f t="shared" si="323"/>
      </c>
      <c r="DX140" s="298">
        <f t="shared" si="323"/>
      </c>
      <c r="DY140" s="295">
        <f t="shared" si="323"/>
      </c>
      <c r="DZ140" s="295">
        <f t="shared" si="323"/>
      </c>
      <c r="EA140" s="295">
        <f t="shared" ref="EA140:FF140" si="324">IFERROR(EA139/EA24,"--")</f>
      </c>
      <c r="EB140" s="297">
        <f t="shared" si="324"/>
      </c>
      <c r="EC140" s="298">
        <f t="shared" si="324"/>
      </c>
      <c r="ED140" s="295">
        <f t="shared" si="324"/>
      </c>
      <c r="EE140" s="295">
        <f t="shared" si="324"/>
      </c>
      <c r="EF140" s="295">
        <f t="shared" si="324"/>
      </c>
      <c r="EG140" s="297">
        <f t="shared" si="324"/>
      </c>
      <c r="EH140" s="136">
        <f t="shared" si="324"/>
      </c>
      <c r="EI140" s="105">
        <f t="shared" si="324"/>
      </c>
      <c r="EJ140" s="105">
        <f t="shared" si="324"/>
      </c>
      <c r="EK140" s="105">
        <f t="shared" si="324"/>
      </c>
      <c r="EL140" s="122">
        <f t="shared" si="324"/>
      </c>
      <c r="EM140" s="136">
        <f t="shared" si="324"/>
      </c>
      <c r="EN140" s="105">
        <f t="shared" si="324"/>
      </c>
      <c r="EO140" s="105">
        <f t="shared" si="324"/>
      </c>
      <c r="EP140" s="105">
        <f t="shared" si="324"/>
      </c>
      <c r="EQ140" s="122">
        <f t="shared" si="324"/>
      </c>
      <c r="ER140" s="298">
        <f t="shared" si="324"/>
      </c>
      <c r="ES140" s="295">
        <f t="shared" si="324"/>
      </c>
      <c r="ET140" s="781">
        <f t="shared" si="324"/>
      </c>
      <c r="EU140" s="781">
        <f t="shared" si="324"/>
      </c>
      <c r="EV140" s="122">
        <f t="shared" si="324"/>
      </c>
      <c r="EW140" s="298">
        <f t="shared" ref="EW140:FA140" si="325">IFERROR(EW139/EW24,"--")</f>
      </c>
      <c r="EX140" s="295">
        <f t="shared" si="325"/>
      </c>
      <c r="EY140" s="781">
        <f t="shared" si="325"/>
      </c>
      <c r="EZ140" s="781">
        <f t="shared" si="325"/>
      </c>
      <c r="FA140" s="122">
        <f t="shared" si="325"/>
      </c>
      <c r="FB140" s="298">
        <f t="shared" si="324"/>
      </c>
      <c r="FC140" s="295">
        <f t="shared" si="324"/>
      </c>
      <c r="FD140" s="295">
        <f t="shared" si="324"/>
      </c>
      <c r="FE140" s="295">
        <f t="shared" si="324"/>
      </c>
      <c r="FF140" s="297">
        <f t="shared" si="324"/>
      </c>
      <c r="FG140" s="298">
        <f t="shared" ref="FG140:GE140" si="326">IFERROR(FG139/FG24,"--")</f>
      </c>
      <c r="FH140" s="295">
        <f t="shared" si="326"/>
      </c>
      <c r="FI140" s="295">
        <f t="shared" si="326"/>
      </c>
      <c r="FJ140" s="295">
        <f t="shared" si="326"/>
      </c>
      <c r="FK140" s="297">
        <f t="shared" si="326"/>
      </c>
      <c r="FL140" s="298">
        <f t="shared" si="326"/>
      </c>
      <c r="FM140" s="295">
        <f t="shared" si="326"/>
      </c>
      <c r="FN140" s="295">
        <f t="shared" si="326"/>
      </c>
      <c r="FO140" s="295">
        <f t="shared" si="326"/>
      </c>
      <c r="FP140" s="297">
        <f t="shared" si="326"/>
      </c>
      <c r="FQ140" s="298">
        <f t="shared" si="326"/>
      </c>
      <c r="FR140" s="295">
        <f t="shared" si="326"/>
      </c>
      <c r="FS140" s="295">
        <f t="shared" si="326"/>
      </c>
      <c r="FT140" s="295">
        <f t="shared" si="326"/>
      </c>
      <c r="FU140" s="297">
        <f t="shared" si="326"/>
      </c>
      <c r="FV140" s="298">
        <f t="shared" si="326"/>
      </c>
      <c r="FW140" s="295">
        <f t="shared" si="326"/>
      </c>
      <c r="FX140" s="295">
        <f t="shared" si="326"/>
      </c>
      <c r="FY140" s="295">
        <f t="shared" si="326"/>
      </c>
      <c r="FZ140" s="297">
        <f t="shared" si="326"/>
      </c>
      <c r="GA140" s="298">
        <f t="shared" si="326"/>
      </c>
      <c r="GB140" s="295">
        <f t="shared" si="326"/>
      </c>
      <c r="GC140" s="295">
        <f t="shared" si="326"/>
      </c>
      <c r="GD140" s="295">
        <f t="shared" si="326"/>
      </c>
      <c r="GE140" s="297">
        <f t="shared" si="326"/>
      </c>
      <c r="GF140" s="298">
        <f t="shared" ref="GF140:GJ140" si="327">IFERROR(GF139/GF24,"--")</f>
      </c>
      <c r="GG140" s="295">
        <f t="shared" si="327"/>
      </c>
      <c r="GH140" s="295">
        <f t="shared" si="327"/>
      </c>
      <c r="GI140" s="295">
        <f t="shared" si="327"/>
      </c>
      <c r="GJ140" s="297">
        <f t="shared" si="327"/>
      </c>
    </row>
    <row r="141" spans="1:192" s="335" customFormat="1" ht="12.75" customHeight="1">
      <c r="A141" s="68"/>
      <c r="B141" s="310"/>
      <c r="C141" s="291"/>
      <c r="D141" s="107"/>
      <c r="E141" s="107"/>
      <c r="F141" s="107"/>
      <c r="G141" s="336"/>
      <c r="H141" s="291"/>
      <c r="I141" s="107"/>
      <c r="J141" s="107"/>
      <c r="K141" s="107"/>
      <c r="L141" s="336"/>
      <c r="M141" s="291"/>
      <c r="N141" s="107"/>
      <c r="O141" s="107"/>
      <c r="P141" s="107"/>
      <c r="Q141" s="336"/>
      <c r="R141" s="291"/>
      <c r="S141" s="107"/>
      <c r="T141" s="107"/>
      <c r="U141" s="107"/>
      <c r="V141" s="336"/>
      <c r="W141" s="291"/>
      <c r="X141" s="107"/>
      <c r="Y141" s="107"/>
      <c r="Z141" s="107"/>
      <c r="AA141" s="336"/>
      <c r="AB141" s="291"/>
      <c r="AC141" s="107"/>
      <c r="AD141" s="107"/>
      <c r="AE141" s="107"/>
      <c r="AF141" s="336"/>
      <c r="AG141" s="291"/>
      <c r="AH141" s="107"/>
      <c r="AI141" s="107"/>
      <c r="AJ141" s="107"/>
      <c r="AK141" s="336"/>
      <c r="AL141" s="291"/>
      <c r="AM141" s="107"/>
      <c r="AN141" s="107"/>
      <c r="AO141" s="107"/>
      <c r="AP141" s="336"/>
      <c r="AQ141" s="291"/>
      <c r="AR141" s="107"/>
      <c r="AS141" s="107"/>
      <c r="AT141" s="107"/>
      <c r="AU141" s="336"/>
      <c r="AV141" s="291"/>
      <c r="AW141" s="107"/>
      <c r="AX141" s="107"/>
      <c r="AY141" s="107"/>
      <c r="AZ141" s="336"/>
      <c r="BA141" s="291"/>
      <c r="BB141" s="107"/>
      <c r="BC141" s="107"/>
      <c r="BD141" s="107"/>
      <c r="BE141" s="336"/>
      <c r="BF141" s="291"/>
      <c r="BG141" s="107"/>
      <c r="BH141" s="107"/>
      <c r="BI141" s="107"/>
      <c r="BJ141" s="336"/>
      <c r="BK141" s="291"/>
      <c r="BL141" s="107"/>
      <c r="BM141" s="107"/>
      <c r="BN141" s="107"/>
      <c r="BO141" s="336"/>
      <c r="BP141" s="291"/>
      <c r="BQ141" s="107"/>
      <c r="BR141" s="107"/>
      <c r="BS141" s="107"/>
      <c r="BT141" s="336"/>
      <c r="BU141" s="291"/>
      <c r="BV141" s="107"/>
      <c r="BW141" s="107"/>
      <c r="BX141" s="107"/>
      <c r="BY141" s="336"/>
      <c r="BZ141" s="291"/>
      <c r="CA141" s="107"/>
      <c r="CB141" s="107"/>
      <c r="CC141" s="107"/>
      <c r="CD141" s="336"/>
      <c r="CE141" s="291"/>
      <c r="CF141" s="107"/>
      <c r="CG141" s="107"/>
      <c r="CH141" s="107"/>
      <c r="CI141" s="336"/>
      <c r="CJ141" s="291"/>
      <c r="CK141" s="107"/>
      <c r="CL141" s="107"/>
      <c r="CM141" s="107"/>
      <c r="CN141" s="336"/>
      <c r="CO141" s="291"/>
      <c r="CP141" s="107"/>
      <c r="CQ141" s="107"/>
      <c r="CR141" s="107"/>
      <c r="CS141" s="336"/>
      <c r="CT141" s="291"/>
      <c r="CU141" s="107"/>
      <c r="CV141" s="107"/>
      <c r="CW141" s="107"/>
      <c r="CX141" s="336"/>
      <c r="CY141" s="291"/>
      <c r="CZ141" s="107"/>
      <c r="DA141" s="107"/>
      <c r="DB141" s="107"/>
      <c r="DC141" s="336"/>
      <c r="DD141" s="291"/>
      <c r="DE141" s="107"/>
      <c r="DF141" s="107"/>
      <c r="DG141" s="107"/>
      <c r="DH141" s="336"/>
      <c r="DI141" s="291"/>
      <c r="DJ141" s="107"/>
      <c r="DK141" s="107"/>
      <c r="DL141" s="107"/>
      <c r="DM141" s="336"/>
      <c r="DN141" s="291"/>
      <c r="DO141" s="107"/>
      <c r="DP141" s="107"/>
      <c r="DQ141" s="107"/>
      <c r="DR141" s="336"/>
      <c r="DS141" s="291"/>
      <c r="DT141" s="107"/>
      <c r="DU141" s="107"/>
      <c r="DV141" s="107"/>
      <c r="DW141" s="336"/>
      <c r="DX141" s="291"/>
      <c r="DY141" s="107"/>
      <c r="DZ141" s="107"/>
      <c r="EA141" s="107"/>
      <c r="EB141" s="336"/>
      <c r="EC141" s="291"/>
      <c r="ED141" s="107"/>
      <c r="EE141" s="107"/>
      <c r="EF141" s="107"/>
      <c r="EG141" s="336"/>
      <c r="EH141" s="291"/>
      <c r="EI141" s="107"/>
      <c r="EJ141" s="107"/>
      <c r="EK141" s="107"/>
      <c r="EL141" s="337"/>
      <c r="EM141" s="291"/>
      <c r="EN141" s="107"/>
      <c r="EO141" s="107"/>
      <c r="EP141" s="107"/>
      <c r="EQ141" s="337"/>
      <c r="ER141" s="291"/>
      <c r="ES141" s="107"/>
      <c r="ET141" s="468"/>
      <c r="EU141" s="468"/>
      <c r="EV141" s="337"/>
      <c r="EW141" s="291"/>
      <c r="EX141" s="107"/>
      <c r="EY141" s="468"/>
      <c r="EZ141" s="468"/>
      <c r="FA141" s="337"/>
      <c r="FB141" s="291"/>
      <c r="FC141" s="107"/>
      <c r="FD141" s="107"/>
      <c r="FE141" s="107"/>
      <c r="FF141" s="336"/>
      <c r="FG141" s="291"/>
      <c r="FH141" s="107"/>
      <c r="FI141" s="107"/>
      <c r="FJ141" s="107"/>
      <c r="FK141" s="336"/>
      <c r="FL141" s="291"/>
      <c r="FM141" s="107"/>
      <c r="FN141" s="107"/>
      <c r="FO141" s="107"/>
      <c r="FP141" s="336"/>
      <c r="FQ141" s="291"/>
      <c r="FR141" s="107"/>
      <c r="FS141" s="107"/>
      <c r="FT141" s="107"/>
      <c r="FU141" s="336"/>
      <c r="FV141" s="291"/>
      <c r="FW141" s="107"/>
      <c r="FX141" s="107"/>
      <c r="FY141" s="107"/>
      <c r="FZ141" s="336"/>
      <c r="GA141" s="291"/>
      <c r="GB141" s="107"/>
      <c r="GC141" s="107"/>
      <c r="GD141" s="107"/>
      <c r="GE141" s="336"/>
      <c r="GF141" s="291"/>
      <c r="GG141" s="107"/>
      <c r="GH141" s="107"/>
      <c r="GI141" s="107"/>
      <c r="GJ141" s="336"/>
    </row>
    <row r="142" spans="1:192" s="335" customFormat="1" ht="12.75" customHeight="1">
      <c r="A142" s="68"/>
      <c r="B142" s="698" t="s">
        <v>319</v>
      </c>
      <c r="C142" s="291"/>
      <c r="D142" s="107"/>
      <c r="E142" s="107"/>
      <c r="F142" s="107"/>
      <c r="G142" s="336"/>
      <c r="H142" s="291"/>
      <c r="I142" s="107"/>
      <c r="J142" s="107"/>
      <c r="K142" s="107"/>
      <c r="L142" s="336"/>
      <c r="M142" s="291"/>
      <c r="N142" s="107"/>
      <c r="O142" s="107"/>
      <c r="P142" s="107"/>
      <c r="Q142" s="336"/>
      <c r="R142" s="291"/>
      <c r="S142" s="107"/>
      <c r="T142" s="107"/>
      <c r="U142" s="107"/>
      <c r="V142" s="336"/>
      <c r="W142" s="291"/>
      <c r="X142" s="107"/>
      <c r="Y142" s="107"/>
      <c r="Z142" s="107"/>
      <c r="AA142" s="336"/>
      <c r="AB142" s="291"/>
      <c r="AC142" s="107"/>
      <c r="AD142" s="107"/>
      <c r="AE142" s="107"/>
      <c r="AF142" s="336"/>
      <c r="AG142" s="291"/>
      <c r="AH142" s="107"/>
      <c r="AI142" s="107"/>
      <c r="AJ142" s="107"/>
      <c r="AK142" s="336"/>
      <c r="AL142" s="291"/>
      <c r="AM142" s="107"/>
      <c r="AN142" s="107"/>
      <c r="AO142" s="107"/>
      <c r="AP142" s="336"/>
      <c r="AQ142" s="291"/>
      <c r="AR142" s="107"/>
      <c r="AS142" s="107"/>
      <c r="AT142" s="107"/>
      <c r="AU142" s="336"/>
      <c r="AV142" s="291"/>
      <c r="AW142" s="107"/>
      <c r="AX142" s="107"/>
      <c r="AY142" s="107"/>
      <c r="AZ142" s="336"/>
      <c r="BA142" s="291"/>
      <c r="BB142" s="107"/>
      <c r="BC142" s="107"/>
      <c r="BD142" s="107"/>
      <c r="BE142" s="336"/>
      <c r="BF142" s="291"/>
      <c r="BG142" s="107"/>
      <c r="BH142" s="107"/>
      <c r="BI142" s="107"/>
      <c r="BJ142" s="336"/>
      <c r="BK142" s="291"/>
      <c r="BL142" s="107"/>
      <c r="BM142" s="107"/>
      <c r="BN142" s="107"/>
      <c r="BO142" s="336"/>
      <c r="BP142" s="291"/>
      <c r="BQ142" s="107"/>
      <c r="BR142" s="107"/>
      <c r="BS142" s="107"/>
      <c r="BT142" s="336"/>
      <c r="BU142" s="291"/>
      <c r="BV142" s="107"/>
      <c r="BW142" s="107"/>
      <c r="BX142" s="107"/>
      <c r="BY142" s="336"/>
      <c r="BZ142" s="291"/>
      <c r="CA142" s="107"/>
      <c r="CB142" s="107"/>
      <c r="CC142" s="107"/>
      <c r="CD142" s="336"/>
      <c r="CE142" s="291"/>
      <c r="CF142" s="107"/>
      <c r="CG142" s="107"/>
      <c r="CH142" s="107"/>
      <c r="CI142" s="336"/>
      <c r="CJ142" s="291"/>
      <c r="CK142" s="107"/>
      <c r="CL142" s="107"/>
      <c r="CM142" s="107"/>
      <c r="CN142" s="336"/>
      <c r="CO142" s="291"/>
      <c r="CP142" s="107"/>
      <c r="CQ142" s="107"/>
      <c r="CR142" s="107"/>
      <c r="CS142" s="336"/>
      <c r="CT142" s="291"/>
      <c r="CU142" s="107"/>
      <c r="CV142" s="107"/>
      <c r="CW142" s="107"/>
      <c r="CX142" s="336"/>
      <c r="CY142" s="291"/>
      <c r="CZ142" s="107"/>
      <c r="DA142" s="107"/>
      <c r="DB142" s="107"/>
      <c r="DC142" s="336"/>
      <c r="DD142" s="291"/>
      <c r="DE142" s="107"/>
      <c r="DF142" s="107"/>
      <c r="DG142" s="107"/>
      <c r="DH142" s="336"/>
      <c r="DI142" s="291"/>
      <c r="DJ142" s="107"/>
      <c r="DK142" s="107"/>
      <c r="DL142" s="107"/>
      <c r="DM142" s="336"/>
      <c r="DN142" s="291"/>
      <c r="DO142" s="107"/>
      <c r="DP142" s="107"/>
      <c r="DQ142" s="107"/>
      <c r="DR142" s="336"/>
      <c r="DS142" s="291"/>
      <c r="DT142" s="107"/>
      <c r="DU142" s="107"/>
      <c r="DV142" s="107"/>
      <c r="DW142" s="336"/>
      <c r="DX142" s="291"/>
      <c r="DY142" s="107"/>
      <c r="DZ142" s="107"/>
      <c r="EA142" s="107"/>
      <c r="EB142" s="336"/>
      <c r="EC142" s="291"/>
      <c r="ED142" s="107"/>
      <c r="EE142" s="107"/>
      <c r="EF142" s="107"/>
      <c r="EG142" s="336"/>
      <c r="EH142" s="349"/>
      <c r="EI142" s="107"/>
      <c r="EJ142" s="107"/>
      <c r="EK142" s="107"/>
      <c r="EL142" s="337"/>
      <c r="EM142" s="291"/>
      <c r="EN142" s="107"/>
      <c r="EO142" s="107"/>
      <c r="EP142" s="107"/>
      <c r="EQ142" s="337"/>
      <c r="ER142" s="291"/>
      <c r="ES142" s="107"/>
      <c r="ET142" s="468"/>
      <c r="EU142" s="468"/>
      <c r="EV142" s="337"/>
      <c r="EW142" s="291"/>
      <c r="EX142" s="107"/>
      <c r="EY142" s="468"/>
      <c r="EZ142" s="468"/>
      <c r="FA142" s="337"/>
      <c r="FB142" s="291"/>
      <c r="FC142" s="107"/>
      <c r="FD142" s="107"/>
      <c r="FE142" s="107"/>
      <c r="FF142" s="336"/>
      <c r="FG142" s="291"/>
      <c r="FH142" s="107"/>
      <c r="FI142" s="107"/>
      <c r="FJ142" s="107"/>
      <c r="FK142" s="336"/>
      <c r="FL142" s="291"/>
      <c r="FM142" s="107"/>
      <c r="FN142" s="107"/>
      <c r="FO142" s="107"/>
      <c r="FP142" s="336"/>
      <c r="FQ142" s="291"/>
      <c r="FR142" s="107"/>
      <c r="FS142" s="107"/>
      <c r="FT142" s="107"/>
      <c r="FU142" s="336"/>
      <c r="FV142" s="291"/>
      <c r="FW142" s="107"/>
      <c r="FX142" s="107"/>
      <c r="FY142" s="107"/>
      <c r="FZ142" s="336"/>
      <c r="GA142" s="291"/>
      <c r="GB142" s="107"/>
      <c r="GC142" s="107"/>
      <c r="GD142" s="107"/>
      <c r="GE142" s="336"/>
      <c r="GF142" s="291"/>
      <c r="GG142" s="107"/>
      <c r="GH142" s="107"/>
      <c r="GI142" s="107"/>
      <c r="GJ142" s="336"/>
    </row>
    <row r="143" spans="1:192" ht="12.75" customHeight="1">
      <c r="A143" s="68" t="s">
        <v>384</v>
      </c>
      <c r="B143" s="700" t="s">
        <v>153</v>
      </c>
      <c r="C143" s="299">
        <f t="shared" ref="C143:AH143" si="328">IFERROR(C139/C151,"--")</f>
      </c>
      <c r="D143" s="299">
        <f t="shared" si="328"/>
      </c>
      <c r="E143" s="299">
        <f t="shared" si="328"/>
      </c>
      <c r="F143" s="299">
        <f t="shared" si="328"/>
      </c>
      <c r="G143" s="300">
        <f t="shared" si="328"/>
      </c>
      <c r="H143" s="299">
        <f t="shared" si="328"/>
      </c>
      <c r="I143" s="299">
        <f t="shared" si="328"/>
      </c>
      <c r="J143" s="299">
        <f t="shared" si="328"/>
      </c>
      <c r="K143" s="299">
        <f t="shared" si="328"/>
      </c>
      <c r="L143" s="300">
        <f t="shared" si="328"/>
      </c>
      <c r="M143" s="299">
        <f t="shared" si="328"/>
      </c>
      <c r="N143" s="299">
        <f t="shared" si="328"/>
      </c>
      <c r="O143" s="299">
        <f t="shared" si="328"/>
      </c>
      <c r="P143" s="299">
        <f t="shared" si="328"/>
      </c>
      <c r="Q143" s="300">
        <f t="shared" si="328"/>
      </c>
      <c r="R143" s="299">
        <f t="shared" si="328"/>
      </c>
      <c r="S143" s="299">
        <f t="shared" si="328"/>
      </c>
      <c r="T143" s="299">
        <f t="shared" si="328"/>
      </c>
      <c r="U143" s="299">
        <f t="shared" si="328"/>
      </c>
      <c r="V143" s="300">
        <f t="shared" si="328"/>
      </c>
      <c r="W143" s="299">
        <f t="shared" si="328"/>
      </c>
      <c r="X143" s="299">
        <f t="shared" si="328"/>
      </c>
      <c r="Y143" s="299">
        <f t="shared" si="328"/>
      </c>
      <c r="Z143" s="299">
        <f t="shared" si="328"/>
      </c>
      <c r="AA143" s="300">
        <f t="shared" si="328"/>
      </c>
      <c r="AB143" s="299">
        <f t="shared" si="328"/>
      </c>
      <c r="AC143" s="299">
        <f t="shared" si="328"/>
      </c>
      <c r="AD143" s="299">
        <f t="shared" si="328"/>
      </c>
      <c r="AE143" s="299">
        <f t="shared" si="328"/>
      </c>
      <c r="AF143" s="300">
        <f t="shared" si="328"/>
      </c>
      <c r="AG143" s="299">
        <f t="shared" si="328"/>
      </c>
      <c r="AH143" s="299">
        <f t="shared" si="328"/>
      </c>
      <c r="AI143" s="299">
        <f t="shared" ref="AI143:BN143" si="329">IFERROR(AI139/AI151,"--")</f>
      </c>
      <c r="AJ143" s="299">
        <f t="shared" si="329"/>
      </c>
      <c r="AK143" s="300">
        <f t="shared" si="329"/>
      </c>
      <c r="AL143" s="299">
        <f t="shared" si="329"/>
      </c>
      <c r="AM143" s="299">
        <f t="shared" si="329"/>
      </c>
      <c r="AN143" s="299">
        <f t="shared" si="329"/>
      </c>
      <c r="AO143" s="299">
        <f t="shared" si="329"/>
      </c>
      <c r="AP143" s="300">
        <f t="shared" si="329"/>
      </c>
      <c r="AQ143" s="299">
        <f t="shared" si="329"/>
      </c>
      <c r="AR143" s="299">
        <f t="shared" si="329"/>
      </c>
      <c r="AS143" s="299">
        <f t="shared" si="329"/>
      </c>
      <c r="AT143" s="299">
        <f t="shared" si="329"/>
      </c>
      <c r="AU143" s="300">
        <f t="shared" si="329"/>
      </c>
      <c r="AV143" s="299">
        <f t="shared" si="329"/>
      </c>
      <c r="AW143" s="299">
        <f t="shared" si="329"/>
      </c>
      <c r="AX143" s="299">
        <f t="shared" si="329"/>
      </c>
      <c r="AY143" s="299">
        <f t="shared" si="329"/>
      </c>
      <c r="AZ143" s="300">
        <f t="shared" si="329"/>
      </c>
      <c r="BA143" s="299">
        <f t="shared" si="329"/>
      </c>
      <c r="BB143" s="299">
        <f t="shared" si="329"/>
      </c>
      <c r="BC143" s="299">
        <f t="shared" si="329"/>
      </c>
      <c r="BD143" s="299">
        <f t="shared" si="329"/>
      </c>
      <c r="BE143" s="300">
        <f t="shared" si="329"/>
      </c>
      <c r="BF143" s="299">
        <f t="shared" si="329"/>
      </c>
      <c r="BG143" s="299">
        <f t="shared" si="329"/>
      </c>
      <c r="BH143" s="299">
        <f t="shared" si="329"/>
      </c>
      <c r="BI143" s="299">
        <f t="shared" si="329"/>
      </c>
      <c r="BJ143" s="300">
        <f t="shared" si="329"/>
      </c>
      <c r="BK143" s="299">
        <f t="shared" si="329"/>
      </c>
      <c r="BL143" s="299">
        <f t="shared" si="329"/>
      </c>
      <c r="BM143" s="299">
        <f t="shared" si="329"/>
      </c>
      <c r="BN143" s="299">
        <f t="shared" si="329"/>
      </c>
      <c r="BO143" s="300">
        <f t="shared" ref="BO143:CT143" si="330">IFERROR(BO139/BO151,"--")</f>
      </c>
      <c r="BP143" s="299">
        <f t="shared" si="330"/>
      </c>
      <c r="BQ143" s="299">
        <f t="shared" si="330"/>
      </c>
      <c r="BR143" s="299">
        <f t="shared" si="330"/>
      </c>
      <c r="BS143" s="299">
        <f t="shared" si="330"/>
      </c>
      <c r="BT143" s="300">
        <f t="shared" si="330"/>
      </c>
      <c r="BU143" s="299">
        <f t="shared" si="330"/>
      </c>
      <c r="BV143" s="299">
        <f t="shared" si="330"/>
      </c>
      <c r="BW143" s="299">
        <f t="shared" si="330"/>
      </c>
      <c r="BX143" s="299">
        <f t="shared" si="330"/>
      </c>
      <c r="BY143" s="300">
        <f t="shared" si="330"/>
      </c>
      <c r="BZ143" s="299">
        <f t="shared" si="330"/>
      </c>
      <c r="CA143" s="299">
        <f t="shared" si="330"/>
      </c>
      <c r="CB143" s="299">
        <f t="shared" si="330"/>
      </c>
      <c r="CC143" s="299">
        <f t="shared" si="330"/>
      </c>
      <c r="CD143" s="300">
        <f t="shared" si="330"/>
      </c>
      <c r="CE143" s="299">
        <f t="shared" si="330"/>
      </c>
      <c r="CF143" s="299">
        <f t="shared" si="330"/>
      </c>
      <c r="CG143" s="299">
        <f t="shared" si="330"/>
      </c>
      <c r="CH143" s="299">
        <f t="shared" si="330"/>
      </c>
      <c r="CI143" s="300">
        <f t="shared" si="330"/>
      </c>
      <c r="CJ143" s="299">
        <f t="shared" si="330"/>
      </c>
      <c r="CK143" s="299">
        <f t="shared" si="330"/>
      </c>
      <c r="CL143" s="299">
        <f t="shared" si="330"/>
      </c>
      <c r="CM143" s="299">
        <f t="shared" si="330"/>
      </c>
      <c r="CN143" s="300">
        <f t="shared" si="330"/>
      </c>
      <c r="CO143" s="299">
        <f t="shared" si="330"/>
      </c>
      <c r="CP143" s="299">
        <f t="shared" si="330"/>
      </c>
      <c r="CQ143" s="299">
        <f t="shared" si="330"/>
      </c>
      <c r="CR143" s="299">
        <f t="shared" si="330"/>
      </c>
      <c r="CS143" s="300">
        <f t="shared" si="330"/>
      </c>
      <c r="CT143" s="299">
        <f t="shared" si="330"/>
      </c>
      <c r="CU143" s="299">
        <f t="shared" ref="CU143:DZ143" si="331">IFERROR(CU139/CU151,"--")</f>
      </c>
      <c r="CV143" s="299">
        <f t="shared" si="331"/>
      </c>
      <c r="CW143" s="299">
        <f t="shared" si="331"/>
      </c>
      <c r="CX143" s="300">
        <f t="shared" si="331"/>
      </c>
      <c r="CY143" s="299">
        <f t="shared" si="331"/>
      </c>
      <c r="CZ143" s="299">
        <f t="shared" si="331"/>
      </c>
      <c r="DA143" s="299">
        <f t="shared" si="331"/>
      </c>
      <c r="DB143" s="299">
        <f t="shared" si="331"/>
      </c>
      <c r="DC143" s="300">
        <f t="shared" si="331"/>
      </c>
      <c r="DD143" s="299">
        <f t="shared" si="331"/>
      </c>
      <c r="DE143" s="299">
        <f t="shared" si="331"/>
      </c>
      <c r="DF143" s="299">
        <f t="shared" si="331"/>
      </c>
      <c r="DG143" s="299">
        <f t="shared" si="331"/>
      </c>
      <c r="DH143" s="300">
        <f t="shared" si="331"/>
      </c>
      <c r="DI143" s="299">
        <f t="shared" si="331"/>
      </c>
      <c r="DJ143" s="299">
        <f t="shared" si="331"/>
      </c>
      <c r="DK143" s="299">
        <f t="shared" si="331"/>
      </c>
      <c r="DL143" s="299">
        <f t="shared" si="331"/>
      </c>
      <c r="DM143" s="300">
        <f t="shared" si="331"/>
      </c>
      <c r="DN143" s="299">
        <f t="shared" si="331"/>
      </c>
      <c r="DO143" s="299">
        <f t="shared" si="331"/>
      </c>
      <c r="DP143" s="299">
        <f t="shared" si="331"/>
      </c>
      <c r="DQ143" s="299">
        <f t="shared" si="331"/>
      </c>
      <c r="DR143" s="300">
        <f t="shared" si="331"/>
      </c>
      <c r="DS143" s="299">
        <f t="shared" si="331"/>
      </c>
      <c r="DT143" s="299">
        <f t="shared" si="331"/>
      </c>
      <c r="DU143" s="299">
        <f t="shared" si="331"/>
      </c>
      <c r="DV143" s="299">
        <f t="shared" si="331"/>
      </c>
      <c r="DW143" s="300">
        <f t="shared" si="331"/>
      </c>
      <c r="DX143" s="299">
        <f t="shared" si="331"/>
      </c>
      <c r="DY143" s="299">
        <f t="shared" si="331"/>
      </c>
      <c r="DZ143" s="299">
        <f t="shared" si="331"/>
      </c>
      <c r="EA143" s="299">
        <f t="shared" ref="EA143:FF143" si="332">IFERROR(EA139/EA151,"--")</f>
      </c>
      <c r="EB143" s="300">
        <f t="shared" si="332"/>
      </c>
      <c r="EC143" s="299">
        <f t="shared" si="332"/>
      </c>
      <c r="ED143" s="299">
        <f t="shared" si="332"/>
      </c>
      <c r="EE143" s="299">
        <f t="shared" si="332"/>
      </c>
      <c r="EF143" s="299">
        <f t="shared" si="332"/>
      </c>
      <c r="EG143" s="300">
        <f t="shared" si="332"/>
      </c>
      <c r="EH143" s="333">
        <f t="shared" si="332"/>
      </c>
      <c r="EI143" s="305">
        <f t="shared" si="332"/>
      </c>
      <c r="EJ143" s="305">
        <f t="shared" si="332"/>
      </c>
      <c r="EK143" s="305">
        <f t="shared" si="332"/>
      </c>
      <c r="EL143" s="306">
        <f t="shared" si="332"/>
      </c>
      <c r="EM143" s="305">
        <f t="shared" si="332"/>
      </c>
      <c r="EN143" s="305">
        <f t="shared" si="332"/>
      </c>
      <c r="EO143" s="305">
        <f t="shared" si="332"/>
      </c>
      <c r="EP143" s="305">
        <f t="shared" si="332"/>
      </c>
      <c r="EQ143" s="306">
        <f t="shared" si="332"/>
      </c>
      <c r="ER143" s="299">
        <f t="shared" si="332"/>
      </c>
      <c r="ES143" s="299">
        <f t="shared" si="332"/>
      </c>
      <c r="ET143" s="333">
        <f>IFERROR(ET139/ET151,"--")</f>
      </c>
      <c r="EU143" s="333">
        <f>IFERROR(EU139/EU151,"--")</f>
      </c>
      <c r="EV143" s="306">
        <f>IFERROR(EV139/EV151,"--")</f>
      </c>
      <c r="EW143" s="299">
        <f t="shared" ref="EW143:EX143" si="333">IFERROR(EW139/EW151,"--")</f>
      </c>
      <c r="EX143" s="299">
        <f t="shared" si="333"/>
      </c>
      <c r="EY143" s="333">
        <f>IFERROR(EY139/EY151,"--")</f>
      </c>
      <c r="EZ143" s="333">
        <f>IFERROR(EZ139/EZ151,"--")</f>
      </c>
      <c r="FA143" s="306">
        <f>IFERROR(FA139/FA151,"--")</f>
      </c>
      <c r="FB143" s="299">
        <f t="shared" si="332"/>
      </c>
      <c r="FC143" s="299">
        <f t="shared" si="332"/>
      </c>
      <c r="FD143" s="299">
        <f t="shared" si="332"/>
      </c>
      <c r="FE143" s="299">
        <f t="shared" si="332"/>
      </c>
      <c r="FF143" s="300">
        <f t="shared" si="332"/>
      </c>
      <c r="FG143" s="299">
        <f t="shared" ref="FG143:FZ143" si="334">IFERROR(FG139/FG151,"--")</f>
      </c>
      <c r="FH143" s="299">
        <f t="shared" si="334"/>
      </c>
      <c r="FI143" s="299">
        <f t="shared" si="334"/>
      </c>
      <c r="FJ143" s="299">
        <f t="shared" si="334"/>
      </c>
      <c r="FK143" s="300">
        <f t="shared" si="334"/>
      </c>
      <c r="FL143" s="299">
        <f t="shared" si="334"/>
      </c>
      <c r="FM143" s="299">
        <f t="shared" si="334"/>
      </c>
      <c r="FN143" s="299">
        <f t="shared" si="334"/>
      </c>
      <c r="FO143" s="299">
        <f t="shared" si="334"/>
      </c>
      <c r="FP143" s="300">
        <f t="shared" si="334"/>
      </c>
      <c r="FQ143" s="299">
        <f t="shared" si="334"/>
      </c>
      <c r="FR143" s="299">
        <f t="shared" si="334"/>
      </c>
      <c r="FS143" s="299">
        <f t="shared" si="334"/>
      </c>
      <c r="FT143" s="299">
        <f t="shared" si="334"/>
      </c>
      <c r="FU143" s="300">
        <f t="shared" si="334"/>
      </c>
      <c r="FV143" s="299">
        <f t="shared" si="334"/>
      </c>
      <c r="FW143" s="299">
        <f t="shared" si="334"/>
      </c>
      <c r="FX143" s="299">
        <f t="shared" si="334"/>
      </c>
      <c r="FY143" s="299">
        <f t="shared" si="334"/>
      </c>
      <c r="FZ143" s="300">
        <f t="shared" si="334"/>
      </c>
      <c r="GA143" s="299">
        <f t="shared" ref="GA143:GJ143" si="335">IFERROR(GA139/GA151,"--")</f>
      </c>
      <c r="GB143" s="299">
        <f t="shared" si="335"/>
      </c>
      <c r="GC143" s="299">
        <f t="shared" si="335"/>
      </c>
      <c r="GD143" s="299">
        <f t="shared" si="335"/>
      </c>
      <c r="GE143" s="300">
        <f t="shared" si="335"/>
      </c>
      <c r="GF143" s="299">
        <f t="shared" si="335"/>
      </c>
      <c r="GG143" s="299">
        <f t="shared" si="335"/>
      </c>
      <c r="GH143" s="299">
        <f t="shared" si="335"/>
      </c>
      <c r="GI143" s="299">
        <f t="shared" si="335"/>
      </c>
      <c r="GJ143" s="300">
        <f t="shared" si="335"/>
      </c>
    </row>
    <row r="144" spans="1:192" ht="12.75" customHeight="1">
      <c r="A144" s="68" t="s">
        <v>385</v>
      </c>
      <c r="B144" s="617" t="s">
        <v>34</v>
      </c>
      <c r="C144" s="295" t="str">
        <f>IFERROR(C143/#REF!-1,"")</f>
      </c>
      <c r="D144" s="295" t="str">
        <f>IFERROR(D143/#REF!-1,"")</f>
      </c>
      <c r="E144" s="295" t="str">
        <f>IFERROR(E143/#REF!-1,"")</f>
      </c>
      <c r="F144" s="295" t="str">
        <f t="shared" ref="F144:BQ144" si="336">IFERROR(F143/A143-1,"")</f>
      </c>
      <c r="G144" s="297" t="str">
        <f t="shared" si="336"/>
      </c>
      <c r="H144" s="295">
        <f t="shared" si="336"/>
      </c>
      <c r="I144" s="295">
        <f t="shared" si="336"/>
      </c>
      <c r="J144" s="295">
        <f t="shared" si="336"/>
      </c>
      <c r="K144" s="295">
        <f t="shared" si="336"/>
      </c>
      <c r="L144" s="297">
        <f t="shared" si="336"/>
      </c>
      <c r="M144" s="295">
        <f t="shared" si="336"/>
      </c>
      <c r="N144" s="295">
        <f t="shared" si="336"/>
      </c>
      <c r="O144" s="295">
        <f t="shared" si="336"/>
      </c>
      <c r="P144" s="295">
        <f t="shared" si="336"/>
      </c>
      <c r="Q144" s="297">
        <f t="shared" si="336"/>
      </c>
      <c r="R144" s="295">
        <f t="shared" si="336"/>
      </c>
      <c r="S144" s="295">
        <f t="shared" si="336"/>
      </c>
      <c r="T144" s="295">
        <f t="shared" si="336"/>
      </c>
      <c r="U144" s="295">
        <f t="shared" si="336"/>
      </c>
      <c r="V144" s="297">
        <f t="shared" si="336"/>
      </c>
      <c r="W144" s="295">
        <f t="shared" si="336"/>
      </c>
      <c r="X144" s="295">
        <f t="shared" si="336"/>
      </c>
      <c r="Y144" s="295">
        <f t="shared" si="336"/>
      </c>
      <c r="Z144" s="295">
        <f t="shared" si="336"/>
      </c>
      <c r="AA144" s="297">
        <f t="shared" si="336"/>
      </c>
      <c r="AB144" s="295">
        <f t="shared" si="336"/>
      </c>
      <c r="AC144" s="295">
        <f t="shared" si="336"/>
      </c>
      <c r="AD144" s="295">
        <f t="shared" si="336"/>
      </c>
      <c r="AE144" s="295">
        <f t="shared" si="336"/>
      </c>
      <c r="AF144" s="297">
        <f t="shared" si="336"/>
      </c>
      <c r="AG144" s="295">
        <f t="shared" si="336"/>
      </c>
      <c r="AH144" s="295">
        <f t="shared" si="336"/>
      </c>
      <c r="AI144" s="295">
        <f t="shared" si="336"/>
      </c>
      <c r="AJ144" s="295">
        <f t="shared" si="336"/>
      </c>
      <c r="AK144" s="297">
        <f t="shared" si="336"/>
      </c>
      <c r="AL144" s="295">
        <f t="shared" si="336"/>
      </c>
      <c r="AM144" s="295">
        <f t="shared" si="336"/>
      </c>
      <c r="AN144" s="295">
        <f t="shared" si="336"/>
      </c>
      <c r="AO144" s="295">
        <f t="shared" si="336"/>
      </c>
      <c r="AP144" s="297">
        <f t="shared" si="336"/>
      </c>
      <c r="AQ144" s="295">
        <f t="shared" si="336"/>
      </c>
      <c r="AR144" s="295">
        <f t="shared" si="336"/>
      </c>
      <c r="AS144" s="295">
        <f t="shared" si="336"/>
      </c>
      <c r="AT144" s="295">
        <f t="shared" si="336"/>
      </c>
      <c r="AU144" s="297">
        <f t="shared" si="336"/>
      </c>
      <c r="AV144" s="295">
        <f t="shared" si="336"/>
      </c>
      <c r="AW144" s="295">
        <f t="shared" si="336"/>
      </c>
      <c r="AX144" s="295">
        <f t="shared" si="336"/>
      </c>
      <c r="AY144" s="295">
        <f t="shared" si="336"/>
      </c>
      <c r="AZ144" s="297">
        <f t="shared" si="336"/>
      </c>
      <c r="BA144" s="295">
        <f t="shared" si="336"/>
      </c>
      <c r="BB144" s="295">
        <f t="shared" si="336"/>
      </c>
      <c r="BC144" s="295">
        <f t="shared" si="336"/>
      </c>
      <c r="BD144" s="295">
        <f t="shared" si="336"/>
      </c>
      <c r="BE144" s="297">
        <f t="shared" si="336"/>
      </c>
      <c r="BF144" s="295">
        <f t="shared" si="336"/>
      </c>
      <c r="BG144" s="295">
        <f t="shared" si="336"/>
      </c>
      <c r="BH144" s="295">
        <f t="shared" si="336"/>
      </c>
      <c r="BI144" s="295">
        <f t="shared" si="336"/>
      </c>
      <c r="BJ144" s="297">
        <f t="shared" si="336"/>
      </c>
      <c r="BK144" s="295">
        <f t="shared" si="336"/>
      </c>
      <c r="BL144" s="295">
        <f t="shared" si="336"/>
      </c>
      <c r="BM144" s="295">
        <f t="shared" si="336"/>
      </c>
      <c r="BN144" s="295">
        <f t="shared" si="336"/>
      </c>
      <c r="BO144" s="297">
        <f t="shared" si="336"/>
      </c>
      <c r="BP144" s="295">
        <f t="shared" si="336"/>
      </c>
      <c r="BQ144" s="295">
        <f t="shared" si="336"/>
      </c>
      <c r="BR144" s="295">
        <f t="shared" ref="BR144:EC144" si="337">IFERROR(BR143/BM143-1,"")</f>
      </c>
      <c r="BS144" s="295">
        <f t="shared" si="337"/>
      </c>
      <c r="BT144" s="297">
        <f t="shared" si="337"/>
      </c>
      <c r="BU144" s="295">
        <f t="shared" si="337"/>
      </c>
      <c r="BV144" s="295">
        <f t="shared" si="337"/>
      </c>
      <c r="BW144" s="295">
        <f t="shared" si="337"/>
      </c>
      <c r="BX144" s="295">
        <f t="shared" si="337"/>
      </c>
      <c r="BY144" s="297">
        <f t="shared" si="337"/>
      </c>
      <c r="BZ144" s="295">
        <f t="shared" si="337"/>
      </c>
      <c r="CA144" s="295">
        <f t="shared" si="337"/>
      </c>
      <c r="CB144" s="295">
        <f t="shared" si="337"/>
      </c>
      <c r="CC144" s="295">
        <f t="shared" si="337"/>
      </c>
      <c r="CD144" s="297">
        <f t="shared" si="337"/>
      </c>
      <c r="CE144" s="295">
        <f t="shared" si="337"/>
      </c>
      <c r="CF144" s="295">
        <f t="shared" si="337"/>
      </c>
      <c r="CG144" s="295">
        <f t="shared" si="337"/>
      </c>
      <c r="CH144" s="295">
        <f t="shared" si="337"/>
      </c>
      <c r="CI144" s="297">
        <f t="shared" si="337"/>
      </c>
      <c r="CJ144" s="295">
        <f t="shared" si="337"/>
      </c>
      <c r="CK144" s="295">
        <f t="shared" si="337"/>
      </c>
      <c r="CL144" s="295">
        <f t="shared" si="337"/>
      </c>
      <c r="CM144" s="295">
        <f t="shared" si="337"/>
      </c>
      <c r="CN144" s="297">
        <f t="shared" si="337"/>
      </c>
      <c r="CO144" s="295">
        <f t="shared" si="337"/>
      </c>
      <c r="CP144" s="295">
        <f t="shared" si="337"/>
      </c>
      <c r="CQ144" s="295">
        <f t="shared" si="337"/>
      </c>
      <c r="CR144" s="295">
        <f t="shared" si="337"/>
      </c>
      <c r="CS144" s="297">
        <f t="shared" si="337"/>
      </c>
      <c r="CT144" s="295">
        <f t="shared" si="337"/>
      </c>
      <c r="CU144" s="295">
        <f t="shared" si="337"/>
      </c>
      <c r="CV144" s="295">
        <f t="shared" si="337"/>
      </c>
      <c r="CW144" s="295">
        <f t="shared" si="337"/>
      </c>
      <c r="CX144" s="297">
        <f t="shared" si="337"/>
      </c>
      <c r="CY144" s="295">
        <f t="shared" si="337"/>
      </c>
      <c r="CZ144" s="295">
        <f t="shared" si="337"/>
      </c>
      <c r="DA144" s="295">
        <f t="shared" si="337"/>
      </c>
      <c r="DB144" s="295">
        <f t="shared" si="337"/>
      </c>
      <c r="DC144" s="297">
        <f t="shared" si="337"/>
      </c>
      <c r="DD144" s="295">
        <f t="shared" si="337"/>
      </c>
      <c r="DE144" s="295">
        <f t="shared" si="337"/>
      </c>
      <c r="DF144" s="295">
        <f t="shared" si="337"/>
      </c>
      <c r="DG144" s="295">
        <f t="shared" si="337"/>
      </c>
      <c r="DH144" s="297">
        <f t="shared" si="337"/>
      </c>
      <c r="DI144" s="295">
        <f t="shared" si="337"/>
      </c>
      <c r="DJ144" s="295">
        <f t="shared" si="337"/>
      </c>
      <c r="DK144" s="295">
        <f t="shared" si="337"/>
      </c>
      <c r="DL144" s="295">
        <f t="shared" si="337"/>
      </c>
      <c r="DM144" s="297">
        <f t="shared" si="337"/>
      </c>
      <c r="DN144" s="295">
        <f t="shared" si="337"/>
      </c>
      <c r="DO144" s="295">
        <f t="shared" si="337"/>
      </c>
      <c r="DP144" s="295">
        <f t="shared" si="337"/>
      </c>
      <c r="DQ144" s="295">
        <f t="shared" si="337"/>
      </c>
      <c r="DR144" s="297">
        <f t="shared" si="337"/>
      </c>
      <c r="DS144" s="295">
        <f t="shared" si="337"/>
      </c>
      <c r="DT144" s="295">
        <f t="shared" si="337"/>
      </c>
      <c r="DU144" s="295">
        <f t="shared" si="337"/>
      </c>
      <c r="DV144" s="295">
        <f t="shared" si="337"/>
      </c>
      <c r="DW144" s="297">
        <f t="shared" si="337"/>
      </c>
      <c r="DX144" s="295">
        <f t="shared" si="337"/>
      </c>
      <c r="DY144" s="295">
        <f t="shared" si="337"/>
      </c>
      <c r="DZ144" s="295">
        <f t="shared" si="337"/>
      </c>
      <c r="EA144" s="295">
        <f t="shared" si="337"/>
      </c>
      <c r="EB144" s="297">
        <f t="shared" si="337"/>
      </c>
      <c r="EC144" s="295">
        <f t="shared" si="337"/>
      </c>
      <c r="ED144" s="295">
        <f t="shared" ref="ED144:FY144" si="338">IFERROR(ED143/DY143-1,"")</f>
      </c>
      <c r="EE144" s="295">
        <f t="shared" si="338"/>
      </c>
      <c r="EF144" s="295">
        <f t="shared" si="338"/>
      </c>
      <c r="EG144" s="297">
        <f t="shared" si="338"/>
      </c>
      <c r="EH144" s="781">
        <f t="shared" si="338"/>
      </c>
      <c r="EI144" s="105">
        <f t="shared" si="338"/>
      </c>
      <c r="EJ144" s="105">
        <f t="shared" si="338"/>
      </c>
      <c r="EK144" s="105">
        <f t="shared" si="338"/>
      </c>
      <c r="EL144" s="122">
        <f t="shared" si="338"/>
      </c>
      <c r="EM144" s="105">
        <f t="shared" si="338"/>
      </c>
      <c r="EN144" s="105">
        <f t="shared" si="338"/>
      </c>
      <c r="EO144" s="105">
        <f t="shared" si="338"/>
      </c>
      <c r="EP144" s="105">
        <f t="shared" si="338"/>
      </c>
      <c r="EQ144" s="122">
        <f t="shared" si="338"/>
      </c>
      <c r="ER144" s="295">
        <f t="shared" si="338"/>
      </c>
      <c r="ES144" s="295">
        <f t="shared" si="338"/>
      </c>
      <c r="ET144" s="781">
        <f t="shared" si="338"/>
      </c>
      <c r="EU144" s="781">
        <f t="shared" si="338"/>
      </c>
      <c r="EV144" s="122">
        <f t="shared" si="338"/>
      </c>
      <c r="EW144" s="295">
        <f t="shared" si="338"/>
      </c>
      <c r="EX144" s="295">
        <f t="shared" si="338"/>
      </c>
      <c r="EY144" s="781">
        <f t="shared" si="338"/>
      </c>
      <c r="EZ144" s="781">
        <f t="shared" si="338"/>
      </c>
      <c r="FA144" s="122">
        <f t="shared" si="338"/>
      </c>
      <c r="FB144" s="295">
        <f t="shared" si="338"/>
      </c>
      <c r="FC144" s="295">
        <f t="shared" si="338"/>
      </c>
      <c r="FD144" s="295">
        <f t="shared" si="338"/>
      </c>
      <c r="FE144" s="295">
        <f t="shared" si="338"/>
      </c>
      <c r="FF144" s="297">
        <f t="shared" si="338"/>
      </c>
      <c r="FG144" s="295">
        <f t="shared" si="338"/>
      </c>
      <c r="FH144" s="295">
        <f t="shared" si="338"/>
      </c>
      <c r="FI144" s="295">
        <f t="shared" si="338"/>
      </c>
      <c r="FJ144" s="295">
        <f t="shared" si="338"/>
      </c>
      <c r="FK144" s="297">
        <f t="shared" si="338"/>
      </c>
      <c r="FL144" s="295">
        <f t="shared" si="338"/>
      </c>
      <c r="FM144" s="295">
        <f t="shared" si="338"/>
      </c>
      <c r="FN144" s="295">
        <f t="shared" si="338"/>
      </c>
      <c r="FO144" s="295">
        <f t="shared" si="338"/>
      </c>
      <c r="FP144" s="297">
        <f t="shared" si="338"/>
      </c>
      <c r="FQ144" s="295">
        <f t="shared" si="338"/>
      </c>
      <c r="FR144" s="295">
        <f t="shared" si="338"/>
      </c>
      <c r="FS144" s="295">
        <f t="shared" si="338"/>
      </c>
      <c r="FT144" s="295">
        <f t="shared" si="338"/>
      </c>
      <c r="FU144" s="297">
        <f t="shared" si="338"/>
      </c>
      <c r="FV144" s="295">
        <f t="shared" si="338"/>
      </c>
      <c r="FW144" s="295">
        <f t="shared" si="338"/>
      </c>
      <c r="FX144" s="295">
        <f t="shared" si="338"/>
      </c>
      <c r="FY144" s="295">
        <f t="shared" si="338"/>
      </c>
      <c r="FZ144" s="297">
        <f t="shared" ref="FZ144:GE144" si="339">IFERROR(FZ143/FU143-1,"")</f>
      </c>
      <c r="GA144" s="295">
        <f t="shared" si="339"/>
      </c>
      <c r="GB144" s="295">
        <f t="shared" si="339"/>
      </c>
      <c r="GC144" s="295">
        <f t="shared" si="339"/>
      </c>
      <c r="GD144" s="295">
        <f t="shared" si="339"/>
      </c>
      <c r="GE144" s="297">
        <f t="shared" si="339"/>
      </c>
      <c r="GF144" s="295">
        <f t="shared" ref="GF144" si="340">IFERROR(GF143/GA143-1,"")</f>
      </c>
      <c r="GG144" s="295">
        <f t="shared" ref="GG144" si="341">IFERROR(GG143/GB143-1,"")</f>
      </c>
      <c r="GH144" s="295">
        <f t="shared" ref="GH144" si="342">IFERROR(GH143/GC143-1,"")</f>
      </c>
      <c r="GI144" s="295">
        <f t="shared" ref="GI144" si="343">IFERROR(GI143/GD143-1,"")</f>
      </c>
      <c r="GJ144" s="297">
        <f t="shared" ref="GJ144" si="344">IFERROR(GJ143/GE143-1,"")</f>
      </c>
    </row>
    <row r="145" spans="1:192" ht="12.75" customHeight="1">
      <c r="B145" s="617" t="s">
        <v>36</v>
      </c>
      <c r="C145" s="291"/>
      <c r="D145" s="137"/>
      <c r="E145" s="137"/>
      <c r="F145" s="137"/>
      <c r="G145" s="538"/>
      <c r="H145" s="291">
        <f>IFERROR(H143/F143-1,"")</f>
      </c>
      <c r="I145" s="107">
        <f>IFERROR(I143/H143-1,"")</f>
      </c>
      <c r="J145" s="107">
        <f>IFERROR(J143/I143-1,"")</f>
      </c>
      <c r="K145" s="107">
        <f>IFERROR(K143/J143-1,"")</f>
      </c>
      <c r="L145" s="293"/>
      <c r="M145" s="291">
        <f>IFERROR(M143/K143-1,"")</f>
      </c>
      <c r="N145" s="107">
        <f>IFERROR(N143/M143-1,"")</f>
      </c>
      <c r="O145" s="107">
        <f>IFERROR(O143/N143-1,"")</f>
      </c>
      <c r="P145" s="107">
        <f>IFERROR(P143/O143-1,"")</f>
      </c>
      <c r="Q145" s="293"/>
      <c r="R145" s="291">
        <f>IFERROR(R143/P143-1,"")</f>
      </c>
      <c r="S145" s="107">
        <f>IFERROR(S143/R143-1,"")</f>
      </c>
      <c r="T145" s="107">
        <f>IFERROR(T143/S143-1,"")</f>
      </c>
      <c r="U145" s="107">
        <f>IFERROR(U143/T143-1,"")</f>
      </c>
      <c r="V145" s="293"/>
      <c r="W145" s="291">
        <f>IFERROR(W143/U143-1,"")</f>
      </c>
      <c r="X145" s="107">
        <f>IFERROR(X143/W143-1,"")</f>
      </c>
      <c r="Y145" s="107">
        <f>IFERROR(Y143/X143-1,"")</f>
      </c>
      <c r="Z145" s="107">
        <f>IFERROR(Z143/Y143-1,"")</f>
      </c>
      <c r="AA145" s="293"/>
      <c r="AB145" s="291">
        <f>IFERROR(AB143/Z143-1,"")</f>
      </c>
      <c r="AC145" s="107">
        <f>IFERROR(AC143/AB143-1,"")</f>
      </c>
      <c r="AD145" s="107">
        <f>IFERROR(AD143/AC143-1,"")</f>
      </c>
      <c r="AE145" s="107">
        <f>IFERROR(AE143/AD143-1,"")</f>
      </c>
      <c r="AF145" s="293"/>
      <c r="AG145" s="291">
        <f>IFERROR(AG143/AE143-1,"")</f>
      </c>
      <c r="AH145" s="107">
        <f>IFERROR(AH143/AG143-1,"")</f>
      </c>
      <c r="AI145" s="107">
        <f>IFERROR(AI143/AH143-1,"")</f>
      </c>
      <c r="AJ145" s="107">
        <f>IFERROR(AJ143/AI143-1,"")</f>
      </c>
      <c r="AK145" s="293"/>
      <c r="AL145" s="291">
        <f>IFERROR(AL143/AJ143-1,"")</f>
      </c>
      <c r="AM145" s="107">
        <f>IFERROR(AM143/AL143-1,"")</f>
      </c>
      <c r="AN145" s="107">
        <f>IFERROR(AN143/AM143-1,"")</f>
      </c>
      <c r="AO145" s="107">
        <f>IFERROR(AO143/AN143-1,"")</f>
      </c>
      <c r="AP145" s="293"/>
      <c r="AQ145" s="291">
        <f>IFERROR(AQ143/AO143-1,"")</f>
      </c>
      <c r="AR145" s="107">
        <f>IFERROR(AR143/AQ143-1,"")</f>
      </c>
      <c r="AS145" s="107">
        <f>IFERROR(AS143/AR143-1,"")</f>
      </c>
      <c r="AT145" s="107">
        <f>IFERROR(AT143/AS143-1,"")</f>
      </c>
      <c r="AU145" s="293"/>
      <c r="AV145" s="291">
        <f>IFERROR(AV143/AT143-1,"")</f>
      </c>
      <c r="AW145" s="107">
        <f>IFERROR(AW143/AV143-1,"")</f>
      </c>
      <c r="AX145" s="107">
        <f>IFERROR(AX143/AW143-1,"")</f>
      </c>
      <c r="AY145" s="107">
        <f>IFERROR(AY143/AX143-1,"")</f>
      </c>
      <c r="AZ145" s="293"/>
      <c r="BA145" s="291">
        <f>IFERROR(BA143/AY143-1,"")</f>
      </c>
      <c r="BB145" s="107">
        <f>IFERROR(BB143/BA143-1,"")</f>
      </c>
      <c r="BC145" s="107">
        <f>IFERROR(BC143/BB143-1,"")</f>
      </c>
      <c r="BD145" s="107">
        <f>IFERROR(BD143/BC143-1,"")</f>
      </c>
      <c r="BE145" s="293"/>
      <c r="BF145" s="291">
        <f>IFERROR(BF143/BD143-1,"")</f>
      </c>
      <c r="BG145" s="107">
        <f>IFERROR(BG143/BF143-1,"")</f>
      </c>
      <c r="BH145" s="107">
        <f>IFERROR(BH143/BG143-1,"")</f>
      </c>
      <c r="BI145" s="107">
        <f>IFERROR(BI143/BH143-1,"")</f>
      </c>
      <c r="BJ145" s="293"/>
      <c r="BK145" s="291">
        <f>IFERROR(BK143/BI143-1,"")</f>
      </c>
      <c r="BL145" s="107">
        <f>IFERROR(BL143/BK143-1,"")</f>
      </c>
      <c r="BM145" s="107">
        <f>IFERROR(BM143/BL143-1,"")</f>
      </c>
      <c r="BN145" s="107">
        <f>IFERROR(BN143/BM143-1,"")</f>
      </c>
      <c r="BO145" s="293"/>
      <c r="BP145" s="291">
        <f>IFERROR(BP143/BN143-1,"")</f>
      </c>
      <c r="BQ145" s="107">
        <f>IFERROR(BQ143/BP143-1,"")</f>
      </c>
      <c r="BR145" s="107">
        <f>IFERROR(BR143/BQ143-1,"")</f>
      </c>
      <c r="BS145" s="107">
        <f>IFERROR(BS143/BR143-1,"")</f>
      </c>
      <c r="BT145" s="293"/>
      <c r="BU145" s="291">
        <f>IFERROR(BU143/BS143-1,"")</f>
      </c>
      <c r="BV145" s="107">
        <f>IFERROR(BV143/BU143-1,"")</f>
      </c>
      <c r="BW145" s="107">
        <f>IFERROR(BW143/BV143-1,"")</f>
      </c>
      <c r="BX145" s="107">
        <f>IFERROR(BX143/BW143-1,"")</f>
      </c>
      <c r="BY145" s="293"/>
      <c r="BZ145" s="291">
        <f>IFERROR(BZ143/BX143-1,"")</f>
      </c>
      <c r="CA145" s="107">
        <f>IFERROR(CA143/BZ143-1,"")</f>
      </c>
      <c r="CB145" s="107">
        <f>IFERROR(CB143/CA143-1,"")</f>
      </c>
      <c r="CC145" s="107">
        <f>IFERROR(CC143/CB143-1,"")</f>
      </c>
      <c r="CD145" s="293"/>
      <c r="CE145" s="291">
        <f>IFERROR(CE143/CC143-1,"")</f>
      </c>
      <c r="CF145" s="107">
        <f>IFERROR(CF143/CE143-1,"")</f>
      </c>
      <c r="CG145" s="107">
        <f>IFERROR(CG143/CF143-1,"")</f>
      </c>
      <c r="CH145" s="107">
        <f>IFERROR(CH143/CG143-1,"")</f>
      </c>
      <c r="CI145" s="293"/>
      <c r="CJ145" s="291">
        <f>IFERROR(CJ143/CH143-1,"")</f>
      </c>
      <c r="CK145" s="107">
        <f>IFERROR(CK143/CJ143-1,"")</f>
      </c>
      <c r="CL145" s="107">
        <f>IFERROR(CL143/CK143-1,"")</f>
      </c>
      <c r="CM145" s="107">
        <f>IFERROR(CM143/CL143-1,"")</f>
      </c>
      <c r="CN145" s="293"/>
      <c r="CO145" s="291">
        <f>IFERROR(CO143/CM143-1,"")</f>
      </c>
      <c r="CP145" s="107">
        <f>IFERROR(CP143/CO143-1,"")</f>
      </c>
      <c r="CQ145" s="107">
        <f>IFERROR(CQ143/CP143-1,"")</f>
      </c>
      <c r="CR145" s="107">
        <f>IFERROR(CR143/CQ143-1,"")</f>
      </c>
      <c r="CS145" s="293"/>
      <c r="CT145" s="291">
        <f>IFERROR(CT143/CR143-1,"")</f>
      </c>
      <c r="CU145" s="107">
        <f>IFERROR(CU143/CT143-1,"")</f>
      </c>
      <c r="CV145" s="107">
        <f>IFERROR(CV143/CU143-1,"")</f>
      </c>
      <c r="CW145" s="107">
        <f>IFERROR(CW143/CV143-1,"")</f>
      </c>
      <c r="CX145" s="293"/>
      <c r="CY145" s="291">
        <f>IFERROR(CY143/CW143-1,"")</f>
      </c>
      <c r="CZ145" s="107">
        <f>IFERROR(CZ143/CY143-1,"")</f>
      </c>
      <c r="DA145" s="107">
        <f>IFERROR(DA143/CZ143-1,"")</f>
      </c>
      <c r="DB145" s="107">
        <f>IFERROR(DB143/DA143-1,"")</f>
      </c>
      <c r="DC145" s="293"/>
      <c r="DD145" s="291">
        <f>IFERROR(DD143/DB143-1,"")</f>
      </c>
      <c r="DE145" s="107">
        <f>IFERROR(DE143/DD143-1,"")</f>
      </c>
      <c r="DF145" s="107">
        <f>IFERROR(DF143/DE143-1,"")</f>
      </c>
      <c r="DG145" s="107">
        <f>IFERROR(DG143/DF143-1,"")</f>
      </c>
      <c r="DH145" s="293"/>
      <c r="DI145" s="291">
        <f>IFERROR(DI143/DG143-1,"")</f>
      </c>
      <c r="DJ145" s="107">
        <f>IFERROR(DJ143/DI143-1,"")</f>
      </c>
      <c r="DK145" s="107">
        <f>IFERROR(DK143/DJ143-1,"")</f>
      </c>
      <c r="DL145" s="107">
        <f>IFERROR(DL143/DK143-1,"")</f>
      </c>
      <c r="DM145" s="293"/>
      <c r="DN145" s="291">
        <f>IFERROR(DN143/DL143-1,"")</f>
      </c>
      <c r="DO145" s="107">
        <f>IFERROR(DO143/DN143-1,"")</f>
      </c>
      <c r="DP145" s="107">
        <f>IFERROR(DP143/DO143-1,"")</f>
      </c>
      <c r="DQ145" s="107">
        <f>IFERROR(DQ143/DP143-1,"")</f>
      </c>
      <c r="DR145" s="293"/>
      <c r="DS145" s="291">
        <f>IFERROR(DS143/DQ143-1,"")</f>
      </c>
      <c r="DT145" s="107">
        <f>IFERROR(DT143/DS143-1,"")</f>
      </c>
      <c r="DU145" s="107">
        <f>IFERROR(DU143/DT143-1,"")</f>
      </c>
      <c r="DV145" s="107">
        <f>IFERROR(DV143/DU143-1,"")</f>
      </c>
      <c r="DW145" s="293"/>
      <c r="DX145" s="291">
        <f>IFERROR(DX143/DV143-1,"")</f>
      </c>
      <c r="DY145" s="107">
        <f>IFERROR(DY143/DX143-1,"")</f>
      </c>
      <c r="DZ145" s="107">
        <f>IFERROR(DZ143/DY143-1,"")</f>
      </c>
      <c r="EA145" s="107">
        <f>IFERROR(EA143/DZ143-1,"")</f>
      </c>
      <c r="EB145" s="293"/>
      <c r="EC145" s="291">
        <f>IFERROR(EC143/EA143-1,"")</f>
      </c>
      <c r="ED145" s="107">
        <f>IFERROR(ED143/EC143-1,"")</f>
      </c>
      <c r="EE145" s="107">
        <f>IFERROR(EE143/ED143-1,"")</f>
      </c>
      <c r="EF145" s="107">
        <f>IFERROR(EF143/EE143-1,"")</f>
      </c>
      <c r="EG145" s="293"/>
      <c r="EH145" s="291">
        <f>IFERROR(EH143/EF143-1,"")</f>
      </c>
      <c r="EI145" s="107">
        <f>IFERROR(EI143/EH143-1,"")</f>
      </c>
      <c r="EJ145" s="107">
        <f>IFERROR(EJ143/EI143-1,"")</f>
      </c>
      <c r="EK145" s="107">
        <f>IFERROR(EK143/EJ143-1,"")</f>
      </c>
      <c r="EL145" s="293"/>
      <c r="EM145" s="291">
        <f>IFERROR(EM143/EK143-1,"")</f>
      </c>
      <c r="EN145" s="107">
        <f>IFERROR(EN143/EM143-1,"")</f>
      </c>
      <c r="EO145" s="107">
        <f>IFERROR(EO143/EN143-1,"")</f>
      </c>
      <c r="EP145" s="107">
        <f>IFERROR(EP143/EO143-1,"")</f>
      </c>
      <c r="EQ145" s="293"/>
      <c r="ER145" s="291">
        <f>IFERROR(ER143/EP143-1,"")</f>
      </c>
      <c r="ES145" s="107">
        <f>IFERROR(ES143/ER143-1,"")</f>
      </c>
      <c r="ET145" s="468">
        <f>IFERROR(ET143/ES143-1,"")</f>
      </c>
      <c r="EU145" s="468">
        <f>IFERROR(EU143/ET143-1,"")</f>
      </c>
      <c r="EV145" s="293"/>
      <c r="EW145" s="291">
        <f>IFERROR(EW143/EU143-1,"")</f>
      </c>
      <c r="EX145" s="107">
        <f>IFERROR(EX143/EW143-1,"")</f>
      </c>
      <c r="EY145" s="468">
        <f>IFERROR(EY143/EX143-1,"")</f>
      </c>
      <c r="EZ145" s="468">
        <f>IFERROR(EZ143/EY143-1,"")</f>
      </c>
      <c r="FA145" s="293"/>
      <c r="FB145" s="291">
        <f>IFERROR(FB143/EZ143-1,"")</f>
      </c>
      <c r="FC145" s="107">
        <f>IFERROR(FC143/FB143-1,"")</f>
      </c>
      <c r="FD145" s="107">
        <f>IFERROR(FD143/FC143-1,"")</f>
      </c>
      <c r="FE145" s="107">
        <f>IFERROR(FE143/FD143-1,"")</f>
      </c>
      <c r="FF145" s="293"/>
      <c r="FG145" s="291">
        <f>IFERROR(FG143/FE143-1,"")</f>
      </c>
      <c r="FH145" s="107">
        <f>IFERROR(FH143/FG143-1,"")</f>
      </c>
      <c r="FI145" s="107">
        <f>IFERROR(FI143/FH143-1,"")</f>
      </c>
      <c r="FJ145" s="107">
        <f>IFERROR(FJ143/FI143-1,"")</f>
      </c>
      <c r="FK145" s="293"/>
      <c r="FL145" s="291">
        <f>IFERROR(FL143/FJ143-1,"")</f>
      </c>
      <c r="FM145" s="107">
        <f>IFERROR(FM143/FL143-1,"")</f>
      </c>
      <c r="FN145" s="107">
        <f>IFERROR(FN143/FM143-1,"")</f>
      </c>
      <c r="FO145" s="107">
        <f>IFERROR(FO143/FN143-1,"")</f>
      </c>
      <c r="FP145" s="293"/>
      <c r="FQ145" s="291">
        <f>IFERROR(FQ143/FO143-1,"")</f>
      </c>
      <c r="FR145" s="107">
        <f>IFERROR(FR143/FQ143-1,"")</f>
      </c>
      <c r="FS145" s="107">
        <f>IFERROR(FS143/FR143-1,"")</f>
      </c>
      <c r="FT145" s="107">
        <f>IFERROR(FT143/FS143-1,"")</f>
      </c>
      <c r="FU145" s="293"/>
      <c r="FV145" s="291">
        <f>IFERROR(FV143/FT143-1,"")</f>
      </c>
      <c r="FW145" s="107">
        <f>IFERROR(FW143/FV143-1,"")</f>
      </c>
      <c r="FX145" s="107">
        <f>IFERROR(FX143/FW143-1,"")</f>
      </c>
      <c r="FY145" s="107">
        <f>IFERROR(FY143/FX143-1,"")</f>
      </c>
      <c r="FZ145" s="293"/>
      <c r="GA145" s="291">
        <f>IFERROR(GA143/FY143-1,"")</f>
      </c>
      <c r="GB145" s="107">
        <f>IFERROR(GB143/GA143-1,"")</f>
      </c>
      <c r="GC145" s="107">
        <f>IFERROR(GC143/GB143-1,"")</f>
      </c>
      <c r="GD145" s="107">
        <f>IFERROR(GD143/GC143-1,"")</f>
      </c>
      <c r="GE145" s="293"/>
      <c r="GF145" s="291">
        <f>IFERROR(GF143/GD143-1,"")</f>
      </c>
      <c r="GG145" s="107">
        <f>IFERROR(GG143/GF143-1,"")</f>
      </c>
      <c r="GH145" s="107">
        <f>IFERROR(GH143/GG143-1,"")</f>
      </c>
      <c r="GI145" s="107">
        <f>IFERROR(GI143/GH143-1,"")</f>
      </c>
      <c r="GJ145" s="293"/>
    </row>
    <row r="146" spans="1:192" ht="12.75" customHeight="1">
      <c r="B146" s="617"/>
      <c r="C146" s="295"/>
      <c r="D146" s="295"/>
      <c r="E146" s="295"/>
      <c r="F146" s="295"/>
      <c r="G146" s="297"/>
      <c r="H146" s="295"/>
      <c r="I146" s="295"/>
      <c r="J146" s="295"/>
      <c r="K146" s="295"/>
      <c r="L146" s="297"/>
      <c r="M146" s="295"/>
      <c r="N146" s="295"/>
      <c r="O146" s="295"/>
      <c r="P146" s="295"/>
      <c r="Q146" s="297"/>
      <c r="R146" s="295"/>
      <c r="S146" s="295"/>
      <c r="T146" s="295"/>
      <c r="U146" s="295"/>
      <c r="V146" s="297"/>
      <c r="W146" s="295"/>
      <c r="X146" s="295"/>
      <c r="Y146" s="295"/>
      <c r="Z146" s="295"/>
      <c r="AA146" s="297"/>
      <c r="AB146" s="295"/>
      <c r="AC146" s="295"/>
      <c r="AD146" s="295"/>
      <c r="AE146" s="295"/>
      <c r="AF146" s="297"/>
      <c r="AG146" s="295"/>
      <c r="AH146" s="295"/>
      <c r="AI146" s="295"/>
      <c r="AJ146" s="295"/>
      <c r="AK146" s="297"/>
      <c r="AL146" s="295"/>
      <c r="AM146" s="295"/>
      <c r="AN146" s="295"/>
      <c r="AO146" s="295"/>
      <c r="AP146" s="297"/>
      <c r="AQ146" s="295"/>
      <c r="AR146" s="295"/>
      <c r="AS146" s="295"/>
      <c r="AT146" s="295"/>
      <c r="AU146" s="297"/>
      <c r="AV146" s="295"/>
      <c r="AW146" s="295"/>
      <c r="AX146" s="295"/>
      <c r="AY146" s="295"/>
      <c r="AZ146" s="297"/>
      <c r="BA146" s="295"/>
      <c r="BB146" s="295"/>
      <c r="BC146" s="295"/>
      <c r="BD146" s="295"/>
      <c r="BE146" s="297"/>
      <c r="BF146" s="295"/>
      <c r="BG146" s="295"/>
      <c r="BH146" s="295"/>
      <c r="BI146" s="295"/>
      <c r="BJ146" s="297"/>
      <c r="BK146" s="295"/>
      <c r="BL146" s="295"/>
      <c r="BM146" s="295"/>
      <c r="BN146" s="295"/>
      <c r="BO146" s="297"/>
      <c r="BP146" s="295"/>
      <c r="BQ146" s="295"/>
      <c r="BR146" s="295"/>
      <c r="BS146" s="295"/>
      <c r="BT146" s="297"/>
      <c r="BU146" s="295"/>
      <c r="BV146" s="295"/>
      <c r="BW146" s="295"/>
      <c r="BX146" s="295"/>
      <c r="BY146" s="297"/>
      <c r="BZ146" s="295"/>
      <c r="CA146" s="295"/>
      <c r="CB146" s="295"/>
      <c r="CC146" s="295"/>
      <c r="CD146" s="297"/>
      <c r="CE146" s="295"/>
      <c r="CF146" s="295"/>
      <c r="CG146" s="295"/>
      <c r="CH146" s="295"/>
      <c r="CI146" s="297"/>
      <c r="CJ146" s="295"/>
      <c r="CK146" s="295"/>
      <c r="CL146" s="295"/>
      <c r="CM146" s="295"/>
      <c r="CN146" s="297"/>
      <c r="CO146" s="295"/>
      <c r="CP146" s="295"/>
      <c r="CQ146" s="295"/>
      <c r="CR146" s="295"/>
      <c r="CS146" s="297"/>
      <c r="CT146" s="295"/>
      <c r="CU146" s="295"/>
      <c r="CV146" s="295"/>
      <c r="CW146" s="295"/>
      <c r="CX146" s="297"/>
      <c r="CY146" s="295"/>
      <c r="CZ146" s="295"/>
      <c r="DA146" s="295"/>
      <c r="DB146" s="295"/>
      <c r="DC146" s="297"/>
      <c r="DD146" s="295"/>
      <c r="DE146" s="295"/>
      <c r="DF146" s="295"/>
      <c r="DG146" s="295"/>
      <c r="DH146" s="297"/>
      <c r="DI146" s="295"/>
      <c r="DJ146" s="295"/>
      <c r="DK146" s="295"/>
      <c r="DL146" s="295"/>
      <c r="DM146" s="297"/>
      <c r="DN146" s="295"/>
      <c r="DO146" s="295"/>
      <c r="DP146" s="295"/>
      <c r="DQ146" s="295"/>
      <c r="DR146" s="297"/>
      <c r="DS146" s="295"/>
      <c r="DT146" s="295"/>
      <c r="DU146" s="295"/>
      <c r="DV146" s="295"/>
      <c r="DW146" s="297"/>
      <c r="DX146" s="295"/>
      <c r="DY146" s="295"/>
      <c r="DZ146" s="295"/>
      <c r="EA146" s="295"/>
      <c r="EB146" s="297"/>
      <c r="EC146" s="295"/>
      <c r="ED146" s="295"/>
      <c r="EE146" s="295"/>
      <c r="EF146" s="295"/>
      <c r="EG146" s="297"/>
      <c r="EH146" s="781"/>
      <c r="EI146" s="105"/>
      <c r="EJ146" s="105"/>
      <c r="EK146" s="105"/>
      <c r="EL146" s="122"/>
      <c r="EM146" s="105"/>
      <c r="EN146" s="105"/>
      <c r="EO146" s="105"/>
      <c r="EP146" s="105"/>
      <c r="EQ146" s="122"/>
      <c r="ER146" s="295"/>
      <c r="ES146" s="295"/>
      <c r="ET146" s="781"/>
      <c r="EU146" s="781"/>
      <c r="EV146" s="122"/>
      <c r="EW146" s="295"/>
      <c r="EX146" s="295"/>
      <c r="EY146" s="781"/>
      <c r="EZ146" s="781"/>
      <c r="FA146" s="122"/>
      <c r="FB146" s="295"/>
      <c r="FC146" s="295"/>
      <c r="FD146" s="295"/>
      <c r="FE146" s="295"/>
      <c r="FF146" s="297"/>
      <c r="FG146" s="295"/>
      <c r="FH146" s="295"/>
      <c r="FI146" s="295"/>
      <c r="FJ146" s="295"/>
      <c r="FK146" s="297"/>
      <c r="FL146" s="295"/>
      <c r="FM146" s="295"/>
      <c r="FN146" s="295"/>
      <c r="FO146" s="295"/>
      <c r="FP146" s="297"/>
      <c r="FQ146" s="295"/>
      <c r="FR146" s="295"/>
      <c r="FS146" s="295"/>
      <c r="FT146" s="295"/>
      <c r="FU146" s="297"/>
      <c r="FV146" s="295"/>
      <c r="FW146" s="295"/>
      <c r="FX146" s="295"/>
      <c r="FY146" s="295"/>
      <c r="FZ146" s="297"/>
      <c r="GA146" s="295"/>
      <c r="GB146" s="295"/>
      <c r="GC146" s="295"/>
      <c r="GD146" s="295"/>
      <c r="GE146" s="297"/>
      <c r="GF146" s="295"/>
      <c r="GG146" s="295"/>
      <c r="GH146" s="295"/>
      <c r="GI146" s="295"/>
      <c r="GJ146" s="297"/>
    </row>
    <row r="147" spans="1:192" ht="12.75" customHeight="1">
      <c r="A147" s="68" t="s">
        <v>1879</v>
      </c>
      <c r="B147" s="1208" t="s">
        <v>154</v>
      </c>
      <c r="C147" s="1209">
        <f>IFERROR(C$139/C152,"--")</f>
      </c>
      <c r="D147" s="1209">
        <f>IFERROR(D$139/D152,"--")</f>
      </c>
      <c r="E147" s="1209">
        <f>IFERROR(E$139/E152,"--")</f>
      </c>
      <c r="F147" s="1209">
        <f>IFERROR(F$139/F152,"--")</f>
      </c>
      <c r="G147" s="1210">
        <f>IFERROR(G139/G152,"--")</f>
      </c>
      <c r="H147" s="1209">
        <f>IFERROR(H$139/H152,"--")</f>
      </c>
      <c r="I147" s="1209">
        <f>IFERROR(I$139/I152,"--")</f>
      </c>
      <c r="J147" s="1209">
        <f>IFERROR(J$139/J152,"--")</f>
      </c>
      <c r="K147" s="1209">
        <f>IFERROR(K$139/K152,"--")</f>
      </c>
      <c r="L147" s="1210">
        <f>IFERROR(L139/L152,"--")</f>
      </c>
      <c r="M147" s="1209">
        <f>IFERROR(M$139/M152,"--")</f>
      </c>
      <c r="N147" s="1209">
        <f>IFERROR(N$139/N152,"--")</f>
      </c>
      <c r="O147" s="1209">
        <f>IFERROR(O$139/O152,"--")</f>
      </c>
      <c r="P147" s="1209">
        <f>IFERROR(P$139/P152,"--")</f>
      </c>
      <c r="Q147" s="1210">
        <f>IFERROR(Q139/Q152,"--")</f>
      </c>
      <c r="R147" s="1209">
        <f>IFERROR(R$139/R152,"--")</f>
      </c>
      <c r="S147" s="1209">
        <f>IFERROR(S$139/S152,"--")</f>
      </c>
      <c r="T147" s="1209">
        <f>IFERROR(T$139/T152,"--")</f>
      </c>
      <c r="U147" s="1209">
        <f>IFERROR(U$139/U152,"--")</f>
      </c>
      <c r="V147" s="1210">
        <f>IFERROR(V139/V152,"--")</f>
      </c>
      <c r="W147" s="1209">
        <f>IFERROR(W$139/W152,"--")</f>
      </c>
      <c r="X147" s="1209">
        <f>IFERROR(X$139/X152,"--")</f>
      </c>
      <c r="Y147" s="1209">
        <f>IFERROR(Y$139/Y152,"--")</f>
      </c>
      <c r="Z147" s="1209">
        <f>IFERROR(Z$139/Z152,"--")</f>
      </c>
      <c r="AA147" s="1210">
        <f>IFERROR(AA139/AA152,"--")</f>
      </c>
      <c r="AB147" s="1209">
        <f>IFERROR(AB$139/AB152,"--")</f>
      </c>
      <c r="AC147" s="1209">
        <f>IFERROR(AC$139/AC152,"--")</f>
      </c>
      <c r="AD147" s="1209">
        <f>IFERROR(AD$139/AD152,"--")</f>
      </c>
      <c r="AE147" s="1209">
        <f>IFERROR(AE$139/AE152,"--")</f>
      </c>
      <c r="AF147" s="1210">
        <f>IFERROR(AF139/AF152,"--")</f>
      </c>
      <c r="AG147" s="1209">
        <f>IFERROR(AG$139/AG152,"--")</f>
      </c>
      <c r="AH147" s="1209">
        <f>IFERROR(AH$139/AH152,"--")</f>
      </c>
      <c r="AI147" s="1209">
        <f>IFERROR(AI$139/AI152,"--")</f>
      </c>
      <c r="AJ147" s="1209">
        <f>IFERROR(AJ$139/AJ152,"--")</f>
      </c>
      <c r="AK147" s="1210">
        <f>IFERROR(AK139/AK152,"--")</f>
      </c>
      <c r="AL147" s="1209">
        <f>IFERROR(AL$139/AL152,"--")</f>
      </c>
      <c r="AM147" s="1209">
        <f>IFERROR(AM$139/AM152,"--")</f>
      </c>
      <c r="AN147" s="1209">
        <f>IFERROR(AN$139/AN152,"--")</f>
      </c>
      <c r="AO147" s="1209">
        <f>IFERROR(AO$139/AO152,"--")</f>
      </c>
      <c r="AP147" s="1210">
        <f>IFERROR(AP139/AP152,"--")</f>
      </c>
      <c r="AQ147" s="1209">
        <f>IFERROR(AQ$139/AQ152,"--")</f>
      </c>
      <c r="AR147" s="1209">
        <f>IFERROR(AR$139/AR152,"--")</f>
      </c>
      <c r="AS147" s="1209">
        <f>IFERROR(AS$139/AS152,"--")</f>
      </c>
      <c r="AT147" s="1209">
        <f>IFERROR(AT$139/AT152,"--")</f>
      </c>
      <c r="AU147" s="1210">
        <f>IFERROR(AU139/AU152,"--")</f>
      </c>
      <c r="AV147" s="1209">
        <f>IFERROR(AV$139/AV152,"--")</f>
      </c>
      <c r="AW147" s="1209">
        <f>IFERROR(AW$139/AW152,"--")</f>
      </c>
      <c r="AX147" s="1209">
        <f>IFERROR(AX$139/AX152,"--")</f>
      </c>
      <c r="AY147" s="1209">
        <f>IFERROR(AY$139/AY152,"--")</f>
      </c>
      <c r="AZ147" s="1210">
        <f>IFERROR(AZ139/AZ152,"--")</f>
      </c>
      <c r="BA147" s="1209">
        <f>IFERROR(BA$139/BA152,"--")</f>
      </c>
      <c r="BB147" s="1209">
        <f>IFERROR(BB$139/BB152,"--")</f>
      </c>
      <c r="BC147" s="1209">
        <f>IFERROR(BC$139/BC152,"--")</f>
      </c>
      <c r="BD147" s="1209">
        <f>IFERROR(BD$139/BD152,"--")</f>
      </c>
      <c r="BE147" s="1210">
        <f>IFERROR(BE139/BE152,"--")</f>
      </c>
      <c r="BF147" s="1209">
        <f>IFERROR(BF$139/BF152,"--")</f>
      </c>
      <c r="BG147" s="1209">
        <f>IFERROR(BG$139/BG152,"--")</f>
      </c>
      <c r="BH147" s="1209">
        <f>IFERROR(BH$139/BH152,"--")</f>
      </c>
      <c r="BI147" s="1209">
        <f>IFERROR(BI$139/BI152,"--")</f>
      </c>
      <c r="BJ147" s="1210">
        <f>IFERROR(BJ139/BJ152,"--")</f>
      </c>
      <c r="BK147" s="1209">
        <f>IFERROR(BK$139/BK152,"--")</f>
      </c>
      <c r="BL147" s="1209">
        <f>IFERROR(BL$139/BL152,"--")</f>
      </c>
      <c r="BM147" s="1209">
        <f>IFERROR(BM$139/BM152,"--")</f>
      </c>
      <c r="BN147" s="1209">
        <f>IFERROR(BN$139/BN152,"--")</f>
      </c>
      <c r="BO147" s="1210">
        <f>IFERROR(BO139/BO152,"--")</f>
      </c>
      <c r="BP147" s="1209">
        <f>IFERROR(BP$139/BP152,"--")</f>
      </c>
      <c r="BQ147" s="1209">
        <f>IFERROR(BQ$139/BQ152,"--")</f>
      </c>
      <c r="BR147" s="1209">
        <f>IFERROR(BR$139/BR152,"--")</f>
      </c>
      <c r="BS147" s="1209">
        <f>IFERROR(BS$139/BS152,"--")</f>
      </c>
      <c r="BT147" s="1210">
        <f>IFERROR(BT139/BT152,"--")</f>
      </c>
      <c r="BU147" s="1209">
        <f>IFERROR(BU$139/BU152,"--")</f>
      </c>
      <c r="BV147" s="1209">
        <f>IFERROR(BV$139/BV152,"--")</f>
      </c>
      <c r="BW147" s="1209">
        <f>IFERROR(BW$139/BW152,"--")</f>
      </c>
      <c r="BX147" s="1209">
        <f>IFERROR(BX$139/BX152,"--")</f>
      </c>
      <c r="BY147" s="1210">
        <f>IFERROR(BY139/BY152,"--")</f>
      </c>
      <c r="BZ147" s="1209">
        <f>IFERROR(BZ$139/BZ152,"--")</f>
      </c>
      <c r="CA147" s="1209">
        <f>IFERROR(CA$139/CA152,"--")</f>
      </c>
      <c r="CB147" s="1209">
        <f>IFERROR(CB$139/CB152,"--")</f>
      </c>
      <c r="CC147" s="1209">
        <f>IFERROR(CC$139/CC152,"--")</f>
      </c>
      <c r="CD147" s="1210">
        <f>IFERROR(CD139/CD152,"--")</f>
      </c>
      <c r="CE147" s="1209">
        <f>IFERROR(CE$139/CE152,"--")</f>
      </c>
      <c r="CF147" s="1209">
        <f>IFERROR(CF$139/CF152,"--")</f>
      </c>
      <c r="CG147" s="1209">
        <f>IFERROR(CG$139/CG152,"--")</f>
      </c>
      <c r="CH147" s="1209">
        <f>IFERROR(CH$139/CH152,"--")</f>
      </c>
      <c r="CI147" s="1210">
        <f>IFERROR(CI139/CI152,"--")</f>
      </c>
      <c r="CJ147" s="1209">
        <f>IFERROR(CJ$139/CJ152,"--")</f>
      </c>
      <c r="CK147" s="1209">
        <f>IFERROR(CK$139/CK152,"--")</f>
      </c>
      <c r="CL147" s="1209">
        <f>IFERROR(CL$139/CL152,"--")</f>
      </c>
      <c r="CM147" s="1209">
        <f>IFERROR(CM$139/CM152,"--")</f>
      </c>
      <c r="CN147" s="1210">
        <f>IFERROR(CN139/CN152,"--")</f>
      </c>
      <c r="CO147" s="1209">
        <f>IFERROR(CO$139/CO152,"--")</f>
      </c>
      <c r="CP147" s="1209">
        <f>IFERROR(CP$139/CP152,"--")</f>
      </c>
      <c r="CQ147" s="1209">
        <f>IFERROR(CQ$139/CQ152,"--")</f>
      </c>
      <c r="CR147" s="1209">
        <f>IFERROR(CR$139/CR152,"--")</f>
      </c>
      <c r="CS147" s="1210">
        <f>IFERROR(CS139/CS152,"--")</f>
      </c>
      <c r="CT147" s="1209">
        <f>IFERROR(CT$139/CT152,"--")</f>
      </c>
      <c r="CU147" s="1209">
        <f>IFERROR(CU$139/CU152,"--")</f>
      </c>
      <c r="CV147" s="1209">
        <f>IFERROR(CV$139/CV152,"--")</f>
      </c>
      <c r="CW147" s="1209">
        <f>IFERROR(CW$139/CW152,"--")</f>
      </c>
      <c r="CX147" s="1210">
        <f>IFERROR(CX139/CX152,"--")</f>
      </c>
      <c r="CY147" s="1209">
        <f>IFERROR(CY$139/CY152,"--")</f>
      </c>
      <c r="CZ147" s="1209">
        <f>IFERROR(CZ$139/CZ152,"--")</f>
      </c>
      <c r="DA147" s="1209">
        <f>IFERROR(DA$139/DA152,"--")</f>
      </c>
      <c r="DB147" s="1209">
        <f>IFERROR(DB$139/DB152,"--")</f>
      </c>
      <c r="DC147" s="1210">
        <f>IFERROR(DC139/DC152,"--")</f>
      </c>
      <c r="DD147" s="1209">
        <f>IFERROR(DD$139/DD152,"--")</f>
      </c>
      <c r="DE147" s="1209">
        <f>IFERROR(DE$139/DE152,"--")</f>
      </c>
      <c r="DF147" s="1209">
        <f>IFERROR(DF$139/DF152,"--")</f>
      </c>
      <c r="DG147" s="1209">
        <f>IFERROR(DG$139/DG152,"--")</f>
      </c>
      <c r="DH147" s="1210">
        <f>IFERROR(DH139/DH152,"--")</f>
      </c>
      <c r="DI147" s="1209">
        <f>IFERROR(DI$139/DI152,"--")</f>
      </c>
      <c r="DJ147" s="1209">
        <f>IFERROR(DJ$139/DJ152,"--")</f>
      </c>
      <c r="DK147" s="1209">
        <f>IFERROR(DK$139/DK152,"--")</f>
      </c>
      <c r="DL147" s="1209">
        <f>IFERROR(DL$139/DL152,"--")</f>
      </c>
      <c r="DM147" s="1210">
        <f>IFERROR(DM139/DM152,"--")</f>
      </c>
      <c r="DN147" s="1209">
        <f>IFERROR(DN$139/DN152,"--")</f>
      </c>
      <c r="DO147" s="1209">
        <f>IFERROR(DO$139/DO152,"--")</f>
      </c>
      <c r="DP147" s="1209">
        <f>IFERROR(DP$139/DP152,"--")</f>
      </c>
      <c r="DQ147" s="1209">
        <f>IFERROR(DQ$139/DQ152,"--")</f>
      </c>
      <c r="DR147" s="1210">
        <f>IFERROR(DR139/DR152,"--")</f>
      </c>
      <c r="DS147" s="1209">
        <f>IFERROR(DS$139/DS152,"--")</f>
      </c>
      <c r="DT147" s="1209">
        <f>IFERROR(DT$139/DT152,"--")</f>
      </c>
      <c r="DU147" s="1209">
        <f>IFERROR(DU$139/DU152,"--")</f>
      </c>
      <c r="DV147" s="1209">
        <f>IFERROR(DV$139/DV152,"--")</f>
      </c>
      <c r="DW147" s="1210">
        <f>IFERROR(DW139/DW152,"--")</f>
      </c>
      <c r="DX147" s="1209">
        <f>IFERROR(DX$139/DX152,"--")</f>
      </c>
      <c r="DY147" s="1209">
        <f>IFERROR(DY$139/DY152,"--")</f>
      </c>
      <c r="DZ147" s="1209">
        <f>IFERROR(DZ$139/DZ152,"--")</f>
      </c>
      <c r="EA147" s="1209">
        <f>IFERROR(EA$139/EA152,"--")</f>
      </c>
      <c r="EB147" s="1210">
        <f>IFERROR(EB139/EB152,"--")</f>
      </c>
      <c r="EC147" s="1209">
        <f>IFERROR(EC$139/EC152,"--")</f>
      </c>
      <c r="ED147" s="1209">
        <f>IFERROR(ED$139/ED152,"--")</f>
      </c>
      <c r="EE147" s="1209">
        <f>IFERROR(EE$139/EE152,"--")</f>
      </c>
      <c r="EF147" s="1209">
        <f>IFERROR(EF$139/EF152,"--")</f>
      </c>
      <c r="EG147" s="1210">
        <f>IFERROR(EG139/EG152,"--")</f>
      </c>
      <c r="EH147" s="1211">
        <f>IFERROR(EH$139/EH152,"--")</f>
      </c>
      <c r="EI147" s="1212">
        <f>IFERROR(EI$139/EI152,"--")</f>
      </c>
      <c r="EJ147" s="1212">
        <f>IFERROR(EJ$139/EJ152,"--")</f>
      </c>
      <c r="EK147" s="1212">
        <f>IFERROR(EK$139/EK152,"--")</f>
      </c>
      <c r="EL147" s="1213">
        <f>IFERROR(EL139/EL152,"--")</f>
      </c>
      <c r="EM147" s="1211">
        <f>IFERROR(EM$139/EM152,"--")</f>
      </c>
      <c r="EN147" s="1212">
        <f>IFERROR(EN$139/EN152,"--")</f>
      </c>
      <c r="EO147" s="1212">
        <f>IFERROR(EO$139/EO152,"--")</f>
      </c>
      <c r="EP147" s="1212">
        <f>IFERROR(EP$139/EP152,"--")</f>
      </c>
      <c r="EQ147" s="1213">
        <f>IFERROR(EQ139/EQ152,"--")</f>
      </c>
      <c r="ER147" s="1209">
        <f>IFERROR(ER$139/ER152,"--")</f>
      </c>
      <c r="ES147" s="1209">
        <f>IFERROR(ES$139/ES152,"--")</f>
      </c>
      <c r="ET147" s="1211">
        <f>IFERROR(ET$139/ET152,"--")</f>
      </c>
      <c r="EU147" s="1211">
        <f>IFERROR(EU$139/EU152,"--")</f>
      </c>
      <c r="EV147" s="1213">
        <f>IFERROR(EV139/EV152,"--")</f>
      </c>
      <c r="EW147" s="1209">
        <f>IFERROR(EW$139/EW152,"--")</f>
      </c>
      <c r="EX147" s="1209">
        <f>IFERROR(EX$139/EX152,"--")</f>
      </c>
      <c r="EY147" s="1211">
        <f>IFERROR(EY$139/EY152,"--")</f>
      </c>
      <c r="EZ147" s="1211">
        <f>IFERROR(EZ$139/EZ152,"--")</f>
      </c>
      <c r="FA147" s="1213">
        <f>IFERROR(FA139/FA152,"--")</f>
      </c>
      <c r="FB147" s="1209">
        <f>IFERROR(FB$139/FB152,"--")</f>
      </c>
      <c r="FC147" s="1209">
        <f>IFERROR(FC$139/FC152,"--")</f>
      </c>
      <c r="FD147" s="1209">
        <f>IFERROR(FD$139/FD152,"--")</f>
      </c>
      <c r="FE147" s="1209">
        <f>IFERROR(FE$139/FE152,"--")</f>
      </c>
      <c r="FF147" s="1210">
        <f>IFERROR(FF139/FF152,"--")</f>
      </c>
      <c r="FG147" s="1209">
        <f>IFERROR(FG$139/FG152,"--")</f>
      </c>
      <c r="FH147" s="1209">
        <f>IFERROR(FH$139/FH152,"--")</f>
      </c>
      <c r="FI147" s="1209">
        <f>IFERROR(FI$139/FI152,"--")</f>
      </c>
      <c r="FJ147" s="1209">
        <f>IFERROR(FJ$139/FJ152,"--")</f>
      </c>
      <c r="FK147" s="1210">
        <f>IFERROR(FK139/FK152,"--")</f>
      </c>
      <c r="FL147" s="1209">
        <f>IFERROR(FL$139/FL152,"--")</f>
      </c>
      <c r="FM147" s="1209">
        <f>IFERROR(FM$139/FM152,"--")</f>
      </c>
      <c r="FN147" s="1209">
        <f>IFERROR(FN$139/FN152,"--")</f>
      </c>
      <c r="FO147" s="1209">
        <f>IFERROR(FO$139/FO152,"--")</f>
      </c>
      <c r="FP147" s="1210">
        <f>IFERROR(FP139/FP152,"--")</f>
      </c>
      <c r="FQ147" s="1209">
        <f>IFERROR(FQ$139/FQ152,"--")</f>
      </c>
      <c r="FR147" s="1209">
        <f>IFERROR(FR$139/FR152,"--")</f>
      </c>
      <c r="FS147" s="1209">
        <f>IFERROR(FS$139/FS152,"--")</f>
      </c>
      <c r="FT147" s="1209">
        <f>IFERROR(FT$139/FT152,"--")</f>
      </c>
      <c r="FU147" s="1210">
        <f>IFERROR(FU139/FU152,"--")</f>
      </c>
      <c r="FV147" s="1209">
        <f>IFERROR(FV$139/FV152,"--")</f>
      </c>
      <c r="FW147" s="1209">
        <f>IFERROR(FW$139/FW152,"--")</f>
      </c>
      <c r="FX147" s="1209">
        <f>IFERROR(FX$139/FX152,"--")</f>
      </c>
      <c r="FY147" s="1209">
        <f>IFERROR(FY$139/FY152,"--")</f>
      </c>
      <c r="FZ147" s="1210">
        <f>IFERROR(FZ139/FZ152,"--")</f>
      </c>
      <c r="GA147" s="1209">
        <f>IFERROR(GA$139/GA152,"--")</f>
      </c>
      <c r="GB147" s="1209">
        <f>IFERROR(GB$139/GB152,"--")</f>
      </c>
      <c r="GC147" s="1209">
        <f>IFERROR(GC$139/GC152,"--")</f>
      </c>
      <c r="GD147" s="1209">
        <f>IFERROR(GD$139/GD152,"--")</f>
      </c>
      <c r="GE147" s="1210">
        <f>IFERROR(GE139/GE152,"--")</f>
      </c>
      <c r="GF147" s="1209">
        <f>IFERROR(GF$139/GF152,"--")</f>
      </c>
      <c r="GG147" s="1209">
        <f>IFERROR(GG$139/GG152,"--")</f>
      </c>
      <c r="GH147" s="1209">
        <f>IFERROR(GH$139/GH152,"--")</f>
      </c>
      <c r="GI147" s="1209">
        <f>IFERROR(GI$139/GI152,"--")</f>
      </c>
      <c r="GJ147" s="1210">
        <f>IFERROR(GJ139/GJ152,"--")</f>
      </c>
    </row>
    <row r="148" spans="1:192" ht="12.75" customHeight="1">
      <c r="A148" s="68" t="s">
        <v>1880</v>
      </c>
      <c r="B148" s="617" t="s">
        <v>34</v>
      </c>
      <c r="C148" s="295" t="str">
        <f>IFERROR(C147/#REF!-1,"")</f>
      </c>
      <c r="D148" s="295" t="str">
        <f>IFERROR(D147/#REF!-1,"")</f>
      </c>
      <c r="E148" s="295" t="str">
        <f>IFERROR(E147/#REF!-1,"")</f>
      </c>
      <c r="F148" s="295" t="str">
        <f t="shared" ref="F148:BQ148" si="345">IFERROR(F147/A147-1,"")</f>
      </c>
      <c r="G148" s="297" t="str">
        <f t="shared" si="345"/>
      </c>
      <c r="H148" s="295">
        <f t="shared" si="345"/>
      </c>
      <c r="I148" s="295">
        <f t="shared" si="345"/>
      </c>
      <c r="J148" s="295">
        <f t="shared" si="345"/>
      </c>
      <c r="K148" s="295">
        <f t="shared" si="345"/>
      </c>
      <c r="L148" s="297">
        <f t="shared" si="345"/>
      </c>
      <c r="M148" s="295">
        <f t="shared" si="345"/>
      </c>
      <c r="N148" s="295">
        <f t="shared" si="345"/>
      </c>
      <c r="O148" s="295">
        <f t="shared" si="345"/>
      </c>
      <c r="P148" s="295">
        <f t="shared" si="345"/>
      </c>
      <c r="Q148" s="297">
        <f t="shared" si="345"/>
      </c>
      <c r="R148" s="295">
        <f t="shared" si="345"/>
      </c>
      <c r="S148" s="295">
        <f t="shared" si="345"/>
      </c>
      <c r="T148" s="295">
        <f t="shared" si="345"/>
      </c>
      <c r="U148" s="295">
        <f t="shared" si="345"/>
      </c>
      <c r="V148" s="297">
        <f t="shared" si="345"/>
      </c>
      <c r="W148" s="295">
        <f t="shared" si="345"/>
      </c>
      <c r="X148" s="295">
        <f t="shared" si="345"/>
      </c>
      <c r="Y148" s="295">
        <f t="shared" si="345"/>
      </c>
      <c r="Z148" s="295">
        <f t="shared" si="345"/>
      </c>
      <c r="AA148" s="297">
        <f t="shared" si="345"/>
      </c>
      <c r="AB148" s="295">
        <f t="shared" si="345"/>
      </c>
      <c r="AC148" s="295">
        <f t="shared" si="345"/>
      </c>
      <c r="AD148" s="295">
        <f t="shared" si="345"/>
      </c>
      <c r="AE148" s="295">
        <f t="shared" si="345"/>
      </c>
      <c r="AF148" s="297">
        <f t="shared" si="345"/>
      </c>
      <c r="AG148" s="295">
        <f t="shared" si="345"/>
      </c>
      <c r="AH148" s="295">
        <f t="shared" si="345"/>
      </c>
      <c r="AI148" s="295">
        <f t="shared" si="345"/>
      </c>
      <c r="AJ148" s="295">
        <f t="shared" si="345"/>
      </c>
      <c r="AK148" s="297">
        <f t="shared" si="345"/>
      </c>
      <c r="AL148" s="295">
        <f t="shared" si="345"/>
      </c>
      <c r="AM148" s="295">
        <f t="shared" si="345"/>
      </c>
      <c r="AN148" s="295">
        <f t="shared" si="345"/>
      </c>
      <c r="AO148" s="295">
        <f t="shared" si="345"/>
      </c>
      <c r="AP148" s="297">
        <f t="shared" si="345"/>
      </c>
      <c r="AQ148" s="295">
        <f t="shared" si="345"/>
      </c>
      <c r="AR148" s="295">
        <f t="shared" si="345"/>
      </c>
      <c r="AS148" s="295">
        <f t="shared" si="345"/>
      </c>
      <c r="AT148" s="295">
        <f t="shared" si="345"/>
      </c>
      <c r="AU148" s="297">
        <f t="shared" si="345"/>
      </c>
      <c r="AV148" s="295">
        <f t="shared" si="345"/>
      </c>
      <c r="AW148" s="295">
        <f t="shared" si="345"/>
      </c>
      <c r="AX148" s="295">
        <f t="shared" si="345"/>
      </c>
      <c r="AY148" s="295">
        <f t="shared" si="345"/>
      </c>
      <c r="AZ148" s="297">
        <f t="shared" si="345"/>
      </c>
      <c r="BA148" s="295">
        <f t="shared" si="345"/>
      </c>
      <c r="BB148" s="295">
        <f t="shared" si="345"/>
      </c>
      <c r="BC148" s="295">
        <f t="shared" si="345"/>
      </c>
      <c r="BD148" s="295">
        <f t="shared" si="345"/>
      </c>
      <c r="BE148" s="297">
        <f t="shared" si="345"/>
      </c>
      <c r="BF148" s="295">
        <f t="shared" si="345"/>
      </c>
      <c r="BG148" s="295">
        <f t="shared" si="345"/>
      </c>
      <c r="BH148" s="295">
        <f t="shared" si="345"/>
      </c>
      <c r="BI148" s="295">
        <f t="shared" si="345"/>
      </c>
      <c r="BJ148" s="297">
        <f t="shared" si="345"/>
      </c>
      <c r="BK148" s="295">
        <f t="shared" si="345"/>
      </c>
      <c r="BL148" s="295">
        <f t="shared" si="345"/>
      </c>
      <c r="BM148" s="295">
        <f t="shared" si="345"/>
      </c>
      <c r="BN148" s="295">
        <f t="shared" si="345"/>
      </c>
      <c r="BO148" s="297">
        <f t="shared" si="345"/>
      </c>
      <c r="BP148" s="295">
        <f t="shared" si="345"/>
      </c>
      <c r="BQ148" s="295">
        <f t="shared" si="345"/>
      </c>
      <c r="BR148" s="295">
        <f t="shared" ref="BR148:EC148" si="346">IFERROR(BR147/BM147-1,"")</f>
      </c>
      <c r="BS148" s="295">
        <f t="shared" si="346"/>
      </c>
      <c r="BT148" s="297">
        <f t="shared" si="346"/>
      </c>
      <c r="BU148" s="295">
        <f t="shared" si="346"/>
      </c>
      <c r="BV148" s="295">
        <f t="shared" si="346"/>
      </c>
      <c r="BW148" s="295">
        <f t="shared" si="346"/>
      </c>
      <c r="BX148" s="295">
        <f t="shared" si="346"/>
      </c>
      <c r="BY148" s="297">
        <f t="shared" si="346"/>
      </c>
      <c r="BZ148" s="295">
        <f t="shared" si="346"/>
      </c>
      <c r="CA148" s="295">
        <f t="shared" si="346"/>
      </c>
      <c r="CB148" s="295">
        <f t="shared" si="346"/>
      </c>
      <c r="CC148" s="295">
        <f t="shared" si="346"/>
      </c>
      <c r="CD148" s="297">
        <f t="shared" si="346"/>
      </c>
      <c r="CE148" s="295">
        <f t="shared" si="346"/>
      </c>
      <c r="CF148" s="295">
        <f t="shared" si="346"/>
      </c>
      <c r="CG148" s="295">
        <f t="shared" si="346"/>
      </c>
      <c r="CH148" s="295">
        <f t="shared" si="346"/>
      </c>
      <c r="CI148" s="297">
        <f t="shared" si="346"/>
      </c>
      <c r="CJ148" s="295">
        <f t="shared" si="346"/>
      </c>
      <c r="CK148" s="295">
        <f t="shared" si="346"/>
      </c>
      <c r="CL148" s="295">
        <f t="shared" si="346"/>
      </c>
      <c r="CM148" s="295">
        <f t="shared" si="346"/>
      </c>
      <c r="CN148" s="297">
        <f t="shared" si="346"/>
      </c>
      <c r="CO148" s="295">
        <f t="shared" si="346"/>
      </c>
      <c r="CP148" s="295">
        <f t="shared" si="346"/>
      </c>
      <c r="CQ148" s="295">
        <f t="shared" si="346"/>
      </c>
      <c r="CR148" s="295">
        <f t="shared" si="346"/>
      </c>
      <c r="CS148" s="297">
        <f t="shared" si="346"/>
      </c>
      <c r="CT148" s="295">
        <f t="shared" si="346"/>
      </c>
      <c r="CU148" s="295">
        <f t="shared" si="346"/>
      </c>
      <c r="CV148" s="295">
        <f t="shared" si="346"/>
      </c>
      <c r="CW148" s="295">
        <f t="shared" si="346"/>
      </c>
      <c r="CX148" s="297">
        <f t="shared" si="346"/>
      </c>
      <c r="CY148" s="295">
        <f t="shared" si="346"/>
      </c>
      <c r="CZ148" s="295">
        <f t="shared" si="346"/>
      </c>
      <c r="DA148" s="295">
        <f t="shared" si="346"/>
      </c>
      <c r="DB148" s="295">
        <f t="shared" si="346"/>
      </c>
      <c r="DC148" s="297">
        <f t="shared" si="346"/>
      </c>
      <c r="DD148" s="295">
        <f t="shared" si="346"/>
      </c>
      <c r="DE148" s="295">
        <f t="shared" si="346"/>
      </c>
      <c r="DF148" s="295">
        <f t="shared" si="346"/>
      </c>
      <c r="DG148" s="295">
        <f t="shared" si="346"/>
      </c>
      <c r="DH148" s="297">
        <f t="shared" si="346"/>
      </c>
      <c r="DI148" s="295">
        <f t="shared" si="346"/>
      </c>
      <c r="DJ148" s="295">
        <f t="shared" si="346"/>
      </c>
      <c r="DK148" s="295">
        <f t="shared" si="346"/>
      </c>
      <c r="DL148" s="295">
        <f t="shared" si="346"/>
      </c>
      <c r="DM148" s="297">
        <f t="shared" si="346"/>
      </c>
      <c r="DN148" s="295">
        <f t="shared" si="346"/>
      </c>
      <c r="DO148" s="295">
        <f t="shared" si="346"/>
      </c>
      <c r="DP148" s="295">
        <f t="shared" si="346"/>
      </c>
      <c r="DQ148" s="295">
        <f t="shared" si="346"/>
      </c>
      <c r="DR148" s="297">
        <f t="shared" si="346"/>
      </c>
      <c r="DS148" s="295">
        <f t="shared" si="346"/>
      </c>
      <c r="DT148" s="295">
        <f t="shared" si="346"/>
      </c>
      <c r="DU148" s="295">
        <f t="shared" si="346"/>
      </c>
      <c r="DV148" s="295">
        <f t="shared" si="346"/>
      </c>
      <c r="DW148" s="297">
        <f t="shared" si="346"/>
      </c>
      <c r="DX148" s="295">
        <f t="shared" si="346"/>
      </c>
      <c r="DY148" s="295">
        <f t="shared" si="346"/>
      </c>
      <c r="DZ148" s="295">
        <f t="shared" si="346"/>
      </c>
      <c r="EA148" s="295">
        <f t="shared" si="346"/>
      </c>
      <c r="EB148" s="297">
        <f t="shared" si="346"/>
      </c>
      <c r="EC148" s="295">
        <f t="shared" si="346"/>
      </c>
      <c r="ED148" s="295">
        <f t="shared" ref="ED148:FY148" si="347">IFERROR(ED147/DY147-1,"")</f>
      </c>
      <c r="EE148" s="295">
        <f t="shared" si="347"/>
      </c>
      <c r="EF148" s="295">
        <f t="shared" si="347"/>
      </c>
      <c r="EG148" s="297">
        <f t="shared" si="347"/>
      </c>
      <c r="EH148" s="781">
        <f t="shared" si="347"/>
      </c>
      <c r="EI148" s="105">
        <f t="shared" si="347"/>
      </c>
      <c r="EJ148" s="105">
        <f t="shared" si="347"/>
      </c>
      <c r="EK148" s="105">
        <f t="shared" si="347"/>
      </c>
      <c r="EL148" s="122">
        <f t="shared" si="347"/>
      </c>
      <c r="EM148" s="105">
        <f t="shared" si="347"/>
      </c>
      <c r="EN148" s="105">
        <f t="shared" si="347"/>
      </c>
      <c r="EO148" s="105">
        <f t="shared" si="347"/>
      </c>
      <c r="EP148" s="105">
        <f t="shared" si="347"/>
      </c>
      <c r="EQ148" s="122">
        <f t="shared" si="347"/>
      </c>
      <c r="ER148" s="295">
        <f t="shared" si="347"/>
      </c>
      <c r="ES148" s="295">
        <f t="shared" si="347"/>
      </c>
      <c r="ET148" s="781">
        <f t="shared" si="347"/>
      </c>
      <c r="EU148" s="781">
        <f t="shared" si="347"/>
      </c>
      <c r="EV148" s="122">
        <f t="shared" si="347"/>
      </c>
      <c r="EW148" s="295">
        <f t="shared" si="347"/>
      </c>
      <c r="EX148" s="295">
        <f t="shared" si="347"/>
      </c>
      <c r="EY148" s="781">
        <f t="shared" si="347"/>
      </c>
      <c r="EZ148" s="781">
        <f t="shared" si="347"/>
      </c>
      <c r="FA148" s="122">
        <f t="shared" si="347"/>
      </c>
      <c r="FB148" s="295">
        <f t="shared" si="347"/>
      </c>
      <c r="FC148" s="295">
        <f t="shared" si="347"/>
      </c>
      <c r="FD148" s="295">
        <f t="shared" si="347"/>
      </c>
      <c r="FE148" s="295">
        <f t="shared" si="347"/>
      </c>
      <c r="FF148" s="297">
        <f t="shared" si="347"/>
      </c>
      <c r="FG148" s="295">
        <f t="shared" si="347"/>
      </c>
      <c r="FH148" s="295">
        <f t="shared" si="347"/>
      </c>
      <c r="FI148" s="295">
        <f t="shared" si="347"/>
      </c>
      <c r="FJ148" s="295">
        <f t="shared" si="347"/>
      </c>
      <c r="FK148" s="297">
        <f t="shared" si="347"/>
      </c>
      <c r="FL148" s="295">
        <f t="shared" si="347"/>
      </c>
      <c r="FM148" s="295">
        <f t="shared" si="347"/>
      </c>
      <c r="FN148" s="295">
        <f t="shared" si="347"/>
      </c>
      <c r="FO148" s="295">
        <f t="shared" si="347"/>
      </c>
      <c r="FP148" s="297">
        <f t="shared" si="347"/>
      </c>
      <c r="FQ148" s="295">
        <f t="shared" si="347"/>
      </c>
      <c r="FR148" s="295">
        <f t="shared" si="347"/>
      </c>
      <c r="FS148" s="295">
        <f t="shared" si="347"/>
      </c>
      <c r="FT148" s="295">
        <f t="shared" si="347"/>
      </c>
      <c r="FU148" s="297">
        <f t="shared" si="347"/>
      </c>
      <c r="FV148" s="295">
        <f t="shared" si="347"/>
      </c>
      <c r="FW148" s="295">
        <f t="shared" si="347"/>
      </c>
      <c r="FX148" s="295">
        <f t="shared" si="347"/>
      </c>
      <c r="FY148" s="295">
        <f t="shared" si="347"/>
      </c>
      <c r="FZ148" s="297">
        <f t="shared" ref="FZ148:GE148" si="348">IFERROR(FZ147/FU147-1,"")</f>
      </c>
      <c r="GA148" s="295">
        <f t="shared" si="348"/>
      </c>
      <c r="GB148" s="295">
        <f t="shared" si="348"/>
      </c>
      <c r="GC148" s="295">
        <f t="shared" si="348"/>
      </c>
      <c r="GD148" s="295">
        <f t="shared" si="348"/>
      </c>
      <c r="GE148" s="297">
        <f t="shared" si="348"/>
      </c>
      <c r="GF148" s="295">
        <f t="shared" ref="GF148" si="349">IFERROR(GF147/GA147-1,"")</f>
      </c>
      <c r="GG148" s="295">
        <f t="shared" ref="GG148" si="350">IFERROR(GG147/GB147-1,"")</f>
      </c>
      <c r="GH148" s="295">
        <f t="shared" ref="GH148" si="351">IFERROR(GH147/GC147-1,"")</f>
      </c>
      <c r="GI148" s="295">
        <f t="shared" ref="GI148" si="352">IFERROR(GI147/GD147-1,"")</f>
      </c>
      <c r="GJ148" s="297">
        <f t="shared" ref="GJ148" si="353">IFERROR(GJ147/GE147-1,"")</f>
      </c>
    </row>
    <row r="149" spans="1:192" ht="12.75" customHeight="1">
      <c r="A149" s="68" t="s">
        <v>1881</v>
      </c>
      <c r="B149" s="617" t="s">
        <v>36</v>
      </c>
      <c r="C149" s="291"/>
      <c r="D149" s="137"/>
      <c r="E149" s="137"/>
      <c r="F149" s="137"/>
      <c r="G149" s="538"/>
      <c r="H149" s="291">
        <f>IFERROR(H147/F147-1,"")</f>
      </c>
      <c r="I149" s="107">
        <f>IFERROR(I147/H147-1,"")</f>
      </c>
      <c r="J149" s="107">
        <f>IFERROR(J147/I147-1,"")</f>
      </c>
      <c r="K149" s="107">
        <f>IFERROR(K147/J147-1,"")</f>
      </c>
      <c r="L149" s="293"/>
      <c r="M149" s="291">
        <f>IFERROR(M147/K147-1,"")</f>
      </c>
      <c r="N149" s="107">
        <f>IFERROR(N147/M147-1,"")</f>
      </c>
      <c r="O149" s="107">
        <f>IFERROR(O147/N147-1,"")</f>
      </c>
      <c r="P149" s="107">
        <f>IFERROR(P147/O147-1,"")</f>
      </c>
      <c r="Q149" s="293"/>
      <c r="R149" s="291">
        <f>IFERROR(R147/P147-1,"")</f>
      </c>
      <c r="S149" s="107">
        <f>IFERROR(S147/R147-1,"")</f>
      </c>
      <c r="T149" s="107">
        <f>IFERROR(T147/S147-1,"")</f>
      </c>
      <c r="U149" s="107">
        <f>IFERROR(U147/T147-1,"")</f>
      </c>
      <c r="V149" s="293"/>
      <c r="W149" s="291">
        <f>IFERROR(W147/U147-1,"")</f>
      </c>
      <c r="X149" s="107">
        <f>IFERROR(X147/W147-1,"")</f>
      </c>
      <c r="Y149" s="107">
        <f>IFERROR(Y147/X147-1,"")</f>
      </c>
      <c r="Z149" s="107">
        <f>IFERROR(Z147/Y147-1,"")</f>
      </c>
      <c r="AA149" s="293"/>
      <c r="AB149" s="291">
        <f>IFERROR(AB147/Z147-1,"")</f>
      </c>
      <c r="AC149" s="107">
        <f>IFERROR(AC147/AB147-1,"")</f>
      </c>
      <c r="AD149" s="107">
        <f>IFERROR(AD147/AC147-1,"")</f>
      </c>
      <c r="AE149" s="107">
        <f>IFERROR(AE147/AD147-1,"")</f>
      </c>
      <c r="AF149" s="293"/>
      <c r="AG149" s="291">
        <f>IFERROR(AG147/AE147-1,"")</f>
      </c>
      <c r="AH149" s="107">
        <f>IFERROR(AH147/AG147-1,"")</f>
      </c>
      <c r="AI149" s="107">
        <f>IFERROR(AI147/AH147-1,"")</f>
      </c>
      <c r="AJ149" s="107">
        <f>IFERROR(AJ147/AI147-1,"")</f>
      </c>
      <c r="AK149" s="293"/>
      <c r="AL149" s="291">
        <f>IFERROR(AL147/AJ147-1,"")</f>
      </c>
      <c r="AM149" s="107">
        <f>IFERROR(AM147/AL147-1,"")</f>
      </c>
      <c r="AN149" s="107">
        <f>IFERROR(AN147/AM147-1,"")</f>
      </c>
      <c r="AO149" s="107">
        <f>IFERROR(AO147/AN147-1,"")</f>
      </c>
      <c r="AP149" s="293"/>
      <c r="AQ149" s="291">
        <f>IFERROR(AQ147/AO147-1,"")</f>
      </c>
      <c r="AR149" s="107">
        <f>IFERROR(AR147/AQ147-1,"")</f>
      </c>
      <c r="AS149" s="107">
        <f>IFERROR(AS147/AR147-1,"")</f>
      </c>
      <c r="AT149" s="107">
        <f>IFERROR(AT147/AS147-1,"")</f>
      </c>
      <c r="AU149" s="293"/>
      <c r="AV149" s="291">
        <f>IFERROR(AV147/AT147-1,"")</f>
      </c>
      <c r="AW149" s="107">
        <f>IFERROR(AW147/AV147-1,"")</f>
      </c>
      <c r="AX149" s="107">
        <f>IFERROR(AX147/AW147-1,"")</f>
      </c>
      <c r="AY149" s="107">
        <f>IFERROR(AY147/AX147-1,"")</f>
      </c>
      <c r="AZ149" s="293"/>
      <c r="BA149" s="291">
        <f>IFERROR(BA147/AY147-1,"")</f>
      </c>
      <c r="BB149" s="107">
        <f>IFERROR(BB147/BA147-1,"")</f>
      </c>
      <c r="BC149" s="107">
        <f>IFERROR(BC147/BB147-1,"")</f>
      </c>
      <c r="BD149" s="107">
        <f>IFERROR(BD147/BC147-1,"")</f>
      </c>
      <c r="BE149" s="293"/>
      <c r="BF149" s="291">
        <f>IFERROR(BF147/BD147-1,"")</f>
      </c>
      <c r="BG149" s="107">
        <f>IFERROR(BG147/BF147-1,"")</f>
      </c>
      <c r="BH149" s="107">
        <f>IFERROR(BH147/BG147-1,"")</f>
      </c>
      <c r="BI149" s="107">
        <f>IFERROR(BI147/BH147-1,"")</f>
      </c>
      <c r="BJ149" s="293"/>
      <c r="BK149" s="291">
        <f>IFERROR(BK147/BI147-1,"")</f>
      </c>
      <c r="BL149" s="107">
        <f>IFERROR(BL147/BK147-1,"")</f>
      </c>
      <c r="BM149" s="107">
        <f>IFERROR(BM147/BL147-1,"")</f>
      </c>
      <c r="BN149" s="107">
        <f>IFERROR(BN147/BM147-1,"")</f>
      </c>
      <c r="BO149" s="293"/>
      <c r="BP149" s="291">
        <f>IFERROR(BP147/BN147-1,"")</f>
      </c>
      <c r="BQ149" s="107">
        <f>IFERROR(BQ147/BP147-1,"")</f>
      </c>
      <c r="BR149" s="107">
        <f>IFERROR(BR147/BQ147-1,"")</f>
      </c>
      <c r="BS149" s="107">
        <f>IFERROR(BS147/BR147-1,"")</f>
      </c>
      <c r="BT149" s="293"/>
      <c r="BU149" s="291">
        <f>IFERROR(BU147/BS147-1,"")</f>
      </c>
      <c r="BV149" s="107">
        <f>IFERROR(BV147/BU147-1,"")</f>
      </c>
      <c r="BW149" s="107">
        <f>IFERROR(BW147/BV147-1,"")</f>
      </c>
      <c r="BX149" s="107">
        <f>IFERROR(BX147/BW147-1,"")</f>
      </c>
      <c r="BY149" s="293"/>
      <c r="BZ149" s="291">
        <f>IFERROR(BZ147/BX147-1,"")</f>
      </c>
      <c r="CA149" s="107">
        <f>IFERROR(CA147/BZ147-1,"")</f>
      </c>
      <c r="CB149" s="107">
        <f>IFERROR(CB147/CA147-1,"")</f>
      </c>
      <c r="CC149" s="107">
        <f>IFERROR(CC147/CB147-1,"")</f>
      </c>
      <c r="CD149" s="293"/>
      <c r="CE149" s="291">
        <f>IFERROR(CE147/CC147-1,"")</f>
      </c>
      <c r="CF149" s="107">
        <f>IFERROR(CF147/CE147-1,"")</f>
      </c>
      <c r="CG149" s="107">
        <f>IFERROR(CG147/CF147-1,"")</f>
      </c>
      <c r="CH149" s="107">
        <f>IFERROR(CH147/CG147-1,"")</f>
      </c>
      <c r="CI149" s="921">
        <f>EV147/CI147</f>
      </c>
      <c r="CJ149" s="291">
        <f>IFERROR(CJ147/CH147-1,"")</f>
      </c>
      <c r="CK149" s="107">
        <f>IFERROR(CK147/CJ147-1,"")</f>
      </c>
      <c r="CL149" s="107">
        <f>IFERROR(CL147/CK147-1,"")</f>
      </c>
      <c r="CM149" s="107">
        <f>IFERROR(CM147/CL147-1,"")</f>
      </c>
      <c r="CN149" s="293"/>
      <c r="CO149" s="291">
        <f>IFERROR(CO147/CM147-1,"")</f>
      </c>
      <c r="CP149" s="107">
        <f>IFERROR(CP147/CO147-1,"")</f>
      </c>
      <c r="CQ149" s="107">
        <f>IFERROR(CQ147/CP147-1,"")</f>
      </c>
      <c r="CR149" s="107">
        <f>IFERROR(CR147/CQ147-1,"")</f>
      </c>
      <c r="CS149" s="293"/>
      <c r="CT149" s="291">
        <f>IFERROR(CT147/CR147-1,"")</f>
      </c>
      <c r="CU149" s="107">
        <f>IFERROR(CU147/CT147-1,"")</f>
      </c>
      <c r="CV149" s="107">
        <f>IFERROR(CV147/CU147-1,"")</f>
      </c>
      <c r="CW149" s="107">
        <f>IFERROR(CW147/CV147-1,"")</f>
      </c>
      <c r="CX149" s="293"/>
      <c r="CY149" s="291">
        <f>IFERROR(CY147/CW147-1,"")</f>
      </c>
      <c r="CZ149" s="107">
        <f>IFERROR(CZ147/CY147-1,"")</f>
      </c>
      <c r="DA149" s="107">
        <f>IFERROR(DA147/CZ147-1,"")</f>
      </c>
      <c r="DB149" s="107">
        <f>IFERROR(DB147/DA147-1,"")</f>
      </c>
      <c r="DC149" s="293"/>
      <c r="DD149" s="291">
        <f>IFERROR(DD147/DB147-1,"")</f>
      </c>
      <c r="DE149" s="107">
        <f>IFERROR(DE147/DD147-1,"")</f>
      </c>
      <c r="DF149" s="107">
        <f>IFERROR(DF147/DE147-1,"")</f>
      </c>
      <c r="DG149" s="107">
        <f>IFERROR(DG147/DF147-1,"")</f>
      </c>
      <c r="DH149" s="293"/>
      <c r="DI149" s="291">
        <f>IFERROR(DI147/DG147-1,"")</f>
      </c>
      <c r="DJ149" s="107">
        <f>IFERROR(DJ147/DI147-1,"")</f>
      </c>
      <c r="DK149" s="107">
        <f>IFERROR(DK147/DJ147-1,"")</f>
      </c>
      <c r="DL149" s="107">
        <f>IFERROR(DL147/DK147-1,"")</f>
      </c>
      <c r="DM149" s="293"/>
      <c r="DN149" s="291">
        <f>IFERROR(DN147/DL147-1,"")</f>
      </c>
      <c r="DO149" s="107">
        <f>IFERROR(DO147/DN147-1,"")</f>
      </c>
      <c r="DP149" s="107">
        <f>IFERROR(DP147/DO147-1,"")</f>
      </c>
      <c r="DQ149" s="107">
        <f>IFERROR(DQ147/DP147-1,"")</f>
      </c>
      <c r="DR149" s="293"/>
      <c r="DS149" s="291">
        <f>IFERROR(DS147/DQ147-1,"")</f>
      </c>
      <c r="DT149" s="107">
        <f>IFERROR(DT147/DS147-1,"")</f>
      </c>
      <c r="DU149" s="107">
        <f>IFERROR(DU147/DT147-1,"")</f>
      </c>
      <c r="DV149" s="107">
        <f>IFERROR(DV147/DU147-1,"")</f>
      </c>
      <c r="DW149" s="293"/>
      <c r="DX149" s="291">
        <f>IFERROR(DX147/DV147-1,"")</f>
      </c>
      <c r="DY149" s="107">
        <f>IFERROR(DY147/DX147-1,"")</f>
      </c>
      <c r="DZ149" s="107">
        <f>IFERROR(DZ147/DY147-1,"")</f>
      </c>
      <c r="EA149" s="107">
        <f>IFERROR(EA147/DZ147-1,"")</f>
      </c>
      <c r="EB149" s="293"/>
      <c r="EC149" s="291">
        <f>IFERROR(EC147/EA147-1,"")</f>
      </c>
      <c r="ED149" s="107">
        <f>IFERROR(ED147/EC147-1,"")</f>
      </c>
      <c r="EE149" s="107">
        <f>IFERROR(EE147/ED147-1,"")</f>
      </c>
      <c r="EF149" s="107">
        <f>IFERROR(EF147/EE147-1,"")</f>
      </c>
      <c r="EG149" s="293"/>
      <c r="EH149" s="291">
        <f>IFERROR(EH147/EF147-1,"")</f>
      </c>
      <c r="EI149" s="107">
        <f>IFERROR(EI147/EH147-1,"")</f>
      </c>
      <c r="EJ149" s="107">
        <f>IFERROR(EJ147/EI147-1,"")</f>
      </c>
      <c r="EK149" s="107">
        <f>IFERROR(EK147/EJ147-1,"")</f>
      </c>
      <c r="EL149" s="293"/>
      <c r="EM149" s="291">
        <f>IFERROR(EM147/EK147-1,"")</f>
      </c>
      <c r="EN149" s="107">
        <f>IFERROR(EN147/EM147-1,"")</f>
      </c>
      <c r="EO149" s="107">
        <f>IFERROR(EO147/EN147-1,"")</f>
      </c>
      <c r="EP149" s="107">
        <f>IFERROR(EP147/EO147-1,"")</f>
      </c>
      <c r="EQ149" s="293"/>
      <c r="ER149" s="291">
        <f>IFERROR(ER147/EP147-1,"")</f>
      </c>
      <c r="ES149" s="107">
        <f>IFERROR(ES147/ER147-1,"")</f>
      </c>
      <c r="ET149" s="468">
        <f>IFERROR(ET147/ES147-1,"")</f>
      </c>
      <c r="EU149" s="468">
        <f>IFERROR(EU147/ET147-1,"")</f>
      </c>
      <c r="EV149" s="293"/>
      <c r="EW149" s="291">
        <f>IFERROR(EW147/EU147-1,"")</f>
      </c>
      <c r="EX149" s="107">
        <f>IFERROR(EX147/EW147-1,"")</f>
      </c>
      <c r="EY149" s="468">
        <f>IFERROR(EY147/EX147-1,"")</f>
      </c>
      <c r="EZ149" s="468">
        <f>IFERROR(EZ147/EY147-1,"")</f>
      </c>
      <c r="FA149" s="293"/>
      <c r="FB149" s="291">
        <f>IFERROR(FB147/EZ147-1,"")</f>
      </c>
      <c r="FC149" s="107">
        <f>IFERROR(FC147/FB147-1,"")</f>
      </c>
      <c r="FD149" s="107">
        <f>IFERROR(FD147/FC147-1,"")</f>
      </c>
      <c r="FE149" s="107">
        <f>IFERROR(FE147/FD147-1,"")</f>
      </c>
      <c r="FF149" s="293"/>
      <c r="FG149" s="291">
        <f>IFERROR(FG147/FE147-1,"")</f>
      </c>
      <c r="FH149" s="107">
        <f>IFERROR(FH147/FG147-1,"")</f>
      </c>
      <c r="FI149" s="107">
        <f>IFERROR(FI147/FH147-1,"")</f>
      </c>
      <c r="FJ149" s="107">
        <f>IFERROR(FJ147/FI147-1,"")</f>
      </c>
      <c r="FK149" s="293"/>
      <c r="FL149" s="291">
        <f>IFERROR(FL147/FJ147-1,"")</f>
      </c>
      <c r="FM149" s="107">
        <f>IFERROR(FM147/FL147-1,"")</f>
      </c>
      <c r="FN149" s="107">
        <f>IFERROR(FN147/FM147-1,"")</f>
      </c>
      <c r="FO149" s="107">
        <f>IFERROR(FO147/FN147-1,"")</f>
      </c>
      <c r="FP149" s="293"/>
      <c r="FQ149" s="291">
        <f>IFERROR(FQ147/FO147-1,"")</f>
      </c>
      <c r="FR149" s="107">
        <f>IFERROR(FR147/FQ147-1,"")</f>
      </c>
      <c r="FS149" s="107">
        <f>IFERROR(FS147/FR147-1,"")</f>
      </c>
      <c r="FT149" s="107">
        <f>IFERROR(FT147/FS147-1,"")</f>
      </c>
      <c r="FU149" s="293"/>
      <c r="FV149" s="291">
        <f>IFERROR(FV147/FT147-1,"")</f>
      </c>
      <c r="FW149" s="107">
        <f>IFERROR(FW147/FV147-1,"")</f>
      </c>
      <c r="FX149" s="107">
        <f>IFERROR(FX147/FW147-1,"")</f>
      </c>
      <c r="FY149" s="107">
        <f>IFERROR(FY147/FX147-1,"")</f>
      </c>
      <c r="FZ149" s="293"/>
      <c r="GA149" s="291">
        <f>IFERROR(GA147/FY147-1,"")</f>
      </c>
      <c r="GB149" s="107">
        <f>IFERROR(GB147/GA147-1,"")</f>
      </c>
      <c r="GC149" s="107">
        <f>IFERROR(GC147/GB147-1,"")</f>
      </c>
      <c r="GD149" s="107">
        <f>IFERROR(GD147/GC147-1,"")</f>
      </c>
      <c r="GE149" s="293"/>
      <c r="GF149" s="291">
        <f>IFERROR(GF147/GD147-1,"")</f>
      </c>
      <c r="GG149" s="107">
        <f>IFERROR(GG147/GF147-1,"")</f>
      </c>
      <c r="GH149" s="107">
        <f>IFERROR(GH147/GG147-1,"")</f>
      </c>
      <c r="GI149" s="107">
        <f>IFERROR(GI147/GH147-1,"")</f>
      </c>
      <c r="GJ149" s="293"/>
    </row>
    <row r="150" spans="1:192" s="335" customFormat="1" ht="12.75" customHeight="1">
      <c r="A150" s="68"/>
      <c r="B150" s="684"/>
      <c r="C150" s="302"/>
      <c r="D150" s="302"/>
      <c r="E150" s="302"/>
      <c r="F150" s="302"/>
      <c r="G150" s="303"/>
      <c r="H150" s="302"/>
      <c r="I150" s="302"/>
      <c r="J150" s="302"/>
      <c r="K150" s="302"/>
      <c r="L150" s="303"/>
      <c r="M150" s="302"/>
      <c r="N150" s="302"/>
      <c r="O150" s="302"/>
      <c r="P150" s="302"/>
      <c r="Q150" s="303"/>
      <c r="R150" s="302"/>
      <c r="S150" s="302"/>
      <c r="T150" s="302"/>
      <c r="U150" s="302"/>
      <c r="V150" s="303"/>
      <c r="W150" s="302"/>
      <c r="X150" s="302"/>
      <c r="Y150" s="302"/>
      <c r="Z150" s="302"/>
      <c r="AA150" s="303"/>
      <c r="AB150" s="302"/>
      <c r="AC150" s="302"/>
      <c r="AD150" s="302"/>
      <c r="AE150" s="302"/>
      <c r="AF150" s="303"/>
      <c r="AG150" s="302"/>
      <c r="AH150" s="302"/>
      <c r="AI150" s="302"/>
      <c r="AJ150" s="302"/>
      <c r="AK150" s="303"/>
      <c r="AL150" s="302"/>
      <c r="AM150" s="302"/>
      <c r="AN150" s="302"/>
      <c r="AO150" s="302"/>
      <c r="AP150" s="303"/>
      <c r="AQ150" s="302"/>
      <c r="AR150" s="302"/>
      <c r="AS150" s="302"/>
      <c r="AT150" s="302"/>
      <c r="AU150" s="303"/>
      <c r="AV150" s="302"/>
      <c r="AW150" s="302"/>
      <c r="AX150" s="302"/>
      <c r="AY150" s="302"/>
      <c r="AZ150" s="303"/>
      <c r="BA150" s="302"/>
      <c r="BB150" s="302"/>
      <c r="BC150" s="302"/>
      <c r="BD150" s="302"/>
      <c r="BE150" s="303"/>
      <c r="BF150" s="302"/>
      <c r="BG150" s="302"/>
      <c r="BH150" s="302"/>
      <c r="BI150" s="302"/>
      <c r="BJ150" s="303"/>
      <c r="BK150" s="302"/>
      <c r="BL150" s="302"/>
      <c r="BM150" s="302"/>
      <c r="BN150" s="302"/>
      <c r="BO150" s="303"/>
      <c r="BP150" s="302"/>
      <c r="BQ150" s="302"/>
      <c r="BR150" s="302"/>
      <c r="BS150" s="302"/>
      <c r="BT150" s="303"/>
      <c r="BU150" s="302"/>
      <c r="BV150" s="302"/>
      <c r="BW150" s="302"/>
      <c r="BX150" s="302"/>
      <c r="BY150" s="303"/>
      <c r="BZ150" s="302"/>
      <c r="CA150" s="302"/>
      <c r="CB150" s="302"/>
      <c r="CC150" s="302"/>
      <c r="CD150" s="303"/>
      <c r="CE150" s="302"/>
      <c r="CF150" s="302"/>
      <c r="CG150" s="302"/>
      <c r="CH150" s="302"/>
      <c r="CI150" s="303"/>
      <c r="CJ150" s="302"/>
      <c r="CK150" s="302"/>
      <c r="CL150" s="302"/>
      <c r="CM150" s="302"/>
      <c r="CN150" s="303"/>
      <c r="CO150" s="302"/>
      <c r="CP150" s="302"/>
      <c r="CQ150" s="302"/>
      <c r="CR150" s="302"/>
      <c r="CS150" s="303"/>
      <c r="CT150" s="302"/>
      <c r="CU150" s="302"/>
      <c r="CV150" s="302"/>
      <c r="CW150" s="302"/>
      <c r="CX150" s="303"/>
      <c r="CY150" s="302"/>
      <c r="CZ150" s="302"/>
      <c r="DA150" s="302"/>
      <c r="DB150" s="302"/>
      <c r="DC150" s="303"/>
      <c r="DD150" s="302"/>
      <c r="DE150" s="302"/>
      <c r="DF150" s="302"/>
      <c r="DG150" s="302"/>
      <c r="DH150" s="303"/>
      <c r="DI150" s="302"/>
      <c r="DJ150" s="302"/>
      <c r="DK150" s="302"/>
      <c r="DL150" s="302"/>
      <c r="DM150" s="303"/>
      <c r="DN150" s="302"/>
      <c r="DO150" s="302"/>
      <c r="DP150" s="302"/>
      <c r="DQ150" s="302"/>
      <c r="DR150" s="303"/>
      <c r="DS150" s="302"/>
      <c r="DT150" s="302"/>
      <c r="DU150" s="302"/>
      <c r="DV150" s="302"/>
      <c r="DW150" s="303"/>
      <c r="DX150" s="302"/>
      <c r="DY150" s="302"/>
      <c r="DZ150" s="302"/>
      <c r="EA150" s="302"/>
      <c r="EB150" s="303"/>
      <c r="EC150" s="302"/>
      <c r="ED150" s="302"/>
      <c r="EE150" s="302"/>
      <c r="EF150" s="302"/>
      <c r="EG150" s="303"/>
      <c r="EH150" s="302"/>
      <c r="EI150" s="302"/>
      <c r="EJ150" s="1264"/>
      <c r="EK150" s="302"/>
      <c r="EL150" s="307"/>
      <c r="EM150" s="302"/>
      <c r="EN150" s="302"/>
      <c r="EO150" s="1264"/>
      <c r="EP150" s="302"/>
      <c r="EQ150" s="307"/>
      <c r="ER150" s="302"/>
      <c r="ES150" s="302"/>
      <c r="ET150" s="1264"/>
      <c r="EU150" s="302"/>
      <c r="EV150" s="1265"/>
      <c r="EW150" s="1264"/>
      <c r="EX150" s="1264"/>
      <c r="EY150" s="1264"/>
      <c r="EZ150" s="1758"/>
      <c r="FA150" s="1265"/>
      <c r="FB150" s="1264"/>
      <c r="FC150" s="1264"/>
      <c r="FD150" s="1264"/>
      <c r="FE150" s="302"/>
      <c r="FF150" s="1265"/>
      <c r="FG150" s="1264"/>
      <c r="FH150" s="1264"/>
      <c r="FI150" s="1264"/>
      <c r="FJ150" s="1264"/>
      <c r="FK150" s="1265"/>
      <c r="FL150" s="1264"/>
      <c r="FM150" s="1264"/>
      <c r="FN150" s="1264"/>
      <c r="FO150" s="1264"/>
      <c r="FP150" s="1265"/>
      <c r="FQ150" s="1264"/>
      <c r="FR150" s="1264"/>
      <c r="FS150" s="1264"/>
      <c r="FT150" s="1264"/>
      <c r="FU150" s="1265"/>
      <c r="FV150" s="1264"/>
      <c r="FW150" s="1264"/>
      <c r="FX150" s="1264"/>
      <c r="FY150" s="1264"/>
      <c r="FZ150" s="1265"/>
      <c r="GA150" s="1264"/>
      <c r="GB150" s="1264"/>
      <c r="GC150" s="1264"/>
      <c r="GD150" s="1264"/>
      <c r="GE150" s="1265"/>
      <c r="GF150" s="1264"/>
      <c r="GG150" s="1264"/>
      <c r="GH150" s="1264"/>
      <c r="GI150" s="1264"/>
      <c r="GJ150" s="1265"/>
    </row>
    <row r="151" spans="1:192" s="314" customFormat="1" ht="12.75" customHeight="1">
      <c r="A151" s="274" t="s">
        <v>386</v>
      </c>
      <c r="B151" s="701" t="s">
        <v>155</v>
      </c>
      <c r="C151" s="275">
        <v>622</v>
      </c>
      <c r="D151" s="275">
        <v>625</v>
      </c>
      <c r="E151" s="275">
        <v>626</v>
      </c>
      <c r="F151" s="275">
        <v>635</v>
      </c>
      <c r="G151" s="325">
        <f>AVERAGE(C151:F151)</f>
      </c>
      <c r="H151" s="275">
        <v>640</v>
      </c>
      <c r="I151" s="275">
        <v>638</v>
      </c>
      <c r="J151" s="275">
        <v>639</v>
      </c>
      <c r="K151" s="275">
        <v>645</v>
      </c>
      <c r="L151" s="325">
        <f>AVERAGE(H151:K151)</f>
      </c>
      <c r="M151" s="927">
        <v>1294</v>
      </c>
      <c r="N151" s="927">
        <v>1200</v>
      </c>
      <c r="O151" s="927">
        <v>2400</v>
      </c>
      <c r="P151" s="927">
        <v>2400</v>
      </c>
      <c r="Q151" s="325">
        <f>AVERAGE(M151:P151)</f>
      </c>
      <c r="R151" s="927">
        <v>1333</v>
      </c>
      <c r="S151" s="927">
        <v>1220</v>
      </c>
      <c r="T151" s="927">
        <v>2450</v>
      </c>
      <c r="U151" s="927">
        <v>2550</v>
      </c>
      <c r="V151" s="325">
        <f>AVERAGE(R151:U151)</f>
      </c>
      <c r="W151" s="927">
        <v>2475</v>
      </c>
      <c r="X151" s="927">
        <v>2500</v>
      </c>
      <c r="Y151" s="927">
        <v>5100</v>
      </c>
      <c r="Z151" s="275">
        <v>5100</v>
      </c>
      <c r="AA151" s="325">
        <f>AVERAGE(W151:Z151)</f>
      </c>
      <c r="AB151" s="927">
        <v>5100</v>
      </c>
      <c r="AC151" s="927">
        <v>5200</v>
      </c>
      <c r="AD151" s="927">
        <v>5200</v>
      </c>
      <c r="AE151" s="275">
        <v>5250</v>
      </c>
      <c r="AF151" s="325">
        <f>AVERAGE(AB151:AE151)</f>
      </c>
      <c r="AG151" s="275">
        <v>5299</v>
      </c>
      <c r="AH151" s="275">
        <v>5330</v>
      </c>
      <c r="AI151" s="275">
        <v>5336</v>
      </c>
      <c r="AJ151" s="275">
        <v>5381</v>
      </c>
      <c r="AK151" s="325">
        <f>AVERAGE(AG151:AJ151)</f>
      </c>
      <c r="AL151" s="275">
        <v>5398</v>
      </c>
      <c r="AM151" s="275">
        <v>5395</v>
      </c>
      <c r="AN151" s="275">
        <v>5415</v>
      </c>
      <c r="AO151" s="275">
        <v>5415</v>
      </c>
      <c r="AP151" s="325">
        <f>AVERAGE(AL151:AO151)</f>
      </c>
      <c r="AQ151" s="275">
        <v>10739</v>
      </c>
      <c r="AR151" s="275">
        <v>10703</v>
      </c>
      <c r="AS151" s="275">
        <v>10715</v>
      </c>
      <c r="AT151" s="275">
        <v>10737</v>
      </c>
      <c r="AU151" s="325">
        <f>AVERAGE(AQ151:AT151)</f>
      </c>
      <c r="AV151" s="275">
        <v>10811</v>
      </c>
      <c r="AW151" s="275">
        <v>10810</v>
      </c>
      <c r="AX151" s="275">
        <v>10785</v>
      </c>
      <c r="AY151" s="275">
        <v>10806</v>
      </c>
      <c r="AZ151" s="325">
        <f>AVERAGE(AV151:AY151)</f>
      </c>
      <c r="BA151" s="275">
        <v>10873</v>
      </c>
      <c r="BB151" s="275">
        <v>10877</v>
      </c>
      <c r="BC151" s="275">
        <v>10856</v>
      </c>
      <c r="BD151" s="275">
        <v>10750</v>
      </c>
      <c r="BE151" s="325">
        <f>AVERAGE(BA151:BD151)</f>
      </c>
      <c r="BF151" s="275">
        <v>10696</v>
      </c>
      <c r="BG151" s="275">
        <v>10560</v>
      </c>
      <c r="BH151" s="275">
        <v>10303</v>
      </c>
      <c r="BI151" s="275">
        <v>10186</v>
      </c>
      <c r="BJ151" s="325">
        <f>AVERAGE(BF151:BI151)</f>
      </c>
      <c r="BK151" s="275">
        <v>9929</v>
      </c>
      <c r="BL151" s="275">
        <v>9806</v>
      </c>
      <c r="BM151" s="275">
        <v>9725</v>
      </c>
      <c r="BN151" s="275">
        <v>9507</v>
      </c>
      <c r="BO151" s="325">
        <f>AVERAGE(BK151:BN151)</f>
      </c>
      <c r="BP151" s="275">
        <v>9380</v>
      </c>
      <c r="BQ151" s="275">
        <v>9361</v>
      </c>
      <c r="BR151" s="275">
        <v>9307</v>
      </c>
      <c r="BS151" s="275">
        <v>9264</v>
      </c>
      <c r="BT151" s="325">
        <f>AVERAGE(BP151:BS151)</f>
      </c>
      <c r="BU151" s="275">
        <v>9084</v>
      </c>
      <c r="BV151" s="275">
        <v>8903</v>
      </c>
      <c r="BW151" s="275">
        <v>8891</v>
      </c>
      <c r="BX151" s="275">
        <v>8901</v>
      </c>
      <c r="BY151" s="325">
        <f>AVERAGE(BU151:BX151)</f>
      </c>
      <c r="BZ151" s="275">
        <v>8914</v>
      </c>
      <c r="CA151" s="275">
        <v>8856</v>
      </c>
      <c r="CB151" s="275">
        <v>8767</v>
      </c>
      <c r="CC151" s="275">
        <v>8712</v>
      </c>
      <c r="CD151" s="325">
        <f>AVERAGE(BZ151:CC151)</f>
      </c>
      <c r="CE151" s="275">
        <v>8614</v>
      </c>
      <c r="CF151" s="275">
        <v>8497</v>
      </c>
      <c r="CG151" s="275">
        <v>8420</v>
      </c>
      <c r="CH151" s="275">
        <v>8429</v>
      </c>
      <c r="CI151" s="325">
        <f>AVERAGE(CE151:CH151)</f>
      </c>
      <c r="CJ151" s="275">
        <v>8392</v>
      </c>
      <c r="CK151" s="275">
        <v>8402</v>
      </c>
      <c r="CL151" s="275">
        <v>8401</v>
      </c>
      <c r="CM151" s="275">
        <v>8388</v>
      </c>
      <c r="CN151" s="325">
        <f>AVERAGE(CJ151:CM151)</f>
      </c>
      <c r="CO151" s="275">
        <v>8396</v>
      </c>
      <c r="CP151" s="275">
        <v>8393</v>
      </c>
      <c r="CQ151" s="275">
        <v>8364</v>
      </c>
      <c r="CR151" s="275">
        <v>8345</v>
      </c>
      <c r="CS151" s="325">
        <f>AVERAGE(CO151:CR151)</f>
      </c>
      <c r="CT151" s="275">
        <v>8339</v>
      </c>
      <c r="CU151" s="275">
        <v>8326</v>
      </c>
      <c r="CV151" s="275">
        <v>8284</v>
      </c>
      <c r="CW151" s="275">
        <v>8246</v>
      </c>
      <c r="CX151" s="325">
        <f>AVERAGE(CT151:CW151)</f>
      </c>
      <c r="CY151" s="275">
        <v>8249</v>
      </c>
      <c r="CZ151" s="275">
        <v>8228</v>
      </c>
      <c r="DA151" s="275">
        <v>8167</v>
      </c>
      <c r="DB151" s="275">
        <v>8061</v>
      </c>
      <c r="DC151" s="325">
        <f>AVERAGE(CY151:DB151)</f>
      </c>
      <c r="DD151" s="275">
        <v>7996</v>
      </c>
      <c r="DE151" s="275">
        <v>7964</v>
      </c>
      <c r="DF151" s="275">
        <v>7895</v>
      </c>
      <c r="DG151" s="275">
        <v>7842</v>
      </c>
      <c r="DH151" s="325">
        <f>AVERAGE(DD151:DG151)</f>
      </c>
      <c r="DI151" s="275">
        <v>7789</v>
      </c>
      <c r="DJ151" s="275">
        <v>7755</v>
      </c>
      <c r="DK151" s="275">
        <v>7725</v>
      </c>
      <c r="DL151" s="275">
        <v>7715</v>
      </c>
      <c r="DM151" s="325">
        <f>AVERAGE(DI151:DL151)</f>
      </c>
      <c r="DN151" s="275">
        <v>7708</v>
      </c>
      <c r="DO151" s="275">
        <v>7710</v>
      </c>
      <c r="DP151" s="275">
        <v>7698</v>
      </c>
      <c r="DQ151" s="275">
        <v>7683</v>
      </c>
      <c r="DR151" s="325">
        <f>AVERAGE(DN151:DQ151)</f>
      </c>
      <c r="DS151" s="275">
        <v>7673</v>
      </c>
      <c r="DT151" s="275">
        <v>7692</v>
      </c>
      <c r="DU151" s="275">
        <v>7672</v>
      </c>
      <c r="DV151" s="275">
        <v>7655</v>
      </c>
      <c r="DW151" s="325">
        <f>AVERAGE(DS151:DV151)</f>
      </c>
      <c r="DX151" s="275">
        <v>7634</v>
      </c>
      <c r="DY151" s="275">
        <v>7621</v>
      </c>
      <c r="DZ151" s="275">
        <v>7602</v>
      </c>
      <c r="EA151" s="275">
        <v>7580</v>
      </c>
      <c r="EB151" s="325">
        <f>AVERAGE(DX151:EA151)</f>
      </c>
      <c r="EC151" s="275">
        <v>7566</v>
      </c>
      <c r="ED151" s="275">
        <v>7555</v>
      </c>
      <c r="EE151" s="275">
        <v>7539</v>
      </c>
      <c r="EF151" s="275">
        <v>7527</v>
      </c>
      <c r="EG151" s="1198">
        <v>7547</v>
      </c>
      <c r="EH151" s="275">
        <v>7513</v>
      </c>
      <c r="EI151" s="275">
        <v>7505</v>
      </c>
      <c r="EJ151" s="275">
        <v>7493</v>
      </c>
      <c r="EK151" s="275">
        <v>7474</v>
      </c>
      <c r="EL151" s="1197">
        <v>7496</v>
      </c>
      <c r="EM151" s="275">
        <v>7457</v>
      </c>
      <c r="EN151" s="275">
        <v>7451</v>
      </c>
      <c r="EO151" s="275">
        <v>7441</v>
      </c>
      <c r="EP151" s="275">
        <v>7434</v>
      </c>
      <c r="EQ151" s="1197">
        <v>7446</v>
      </c>
      <c r="ER151" s="275">
        <v>7429</v>
      </c>
      <c r="ES151" s="275">
        <v>7432</v>
      </c>
      <c r="ET151" s="927">
        <v>7431</v>
      </c>
      <c r="EU151" s="927">
        <v>7433</v>
      </c>
      <c r="EV151" s="325">
        <f>AVERAGE(ER151:EU151)</f>
      </c>
      <c r="EW151" s="927">
        <v>7433</v>
      </c>
      <c r="EX151" s="927">
        <v>7435</v>
      </c>
      <c r="EY151" s="927">
        <v>7434</v>
      </c>
      <c r="EZ151" s="927">
        <v>7432</v>
      </c>
      <c r="FA151" s="325">
        <f>AVERAGE(EW151:EZ151)</f>
      </c>
      <c r="FB151" s="697">
        <f>'Share Count'!FB13</f>
      </c>
      <c r="FC151" s="697">
        <f>'Share Count'!FC13</f>
      </c>
      <c r="FD151" s="697">
        <f>'Share Count'!FD13</f>
      </c>
      <c r="FE151" s="697">
        <f>'Share Count'!FE13</f>
      </c>
      <c r="FF151" s="325">
        <f>AVERAGE(FB151:FE151)</f>
      </c>
      <c r="FG151" s="697">
        <f>'Share Count'!FG13</f>
      </c>
      <c r="FH151" s="697">
        <f>'Share Count'!FH13</f>
      </c>
      <c r="FI151" s="697">
        <f>'Share Count'!FI13</f>
      </c>
      <c r="FJ151" s="697">
        <f>'Share Count'!FJ13</f>
      </c>
      <c r="FK151" s="325">
        <f>AVERAGE(FG151:FJ151)</f>
      </c>
      <c r="FL151" s="697">
        <f>'Share Count'!FL13</f>
      </c>
      <c r="FM151" s="697">
        <f>'Share Count'!FM13</f>
      </c>
      <c r="FN151" s="697">
        <f>'Share Count'!FN13</f>
      </c>
      <c r="FO151" s="697">
        <f>'Share Count'!FO13</f>
      </c>
      <c r="FP151" s="325">
        <f>AVERAGE(FL151:FO151)</f>
      </c>
      <c r="FQ151" s="697">
        <f>'Share Count'!FQ13</f>
      </c>
      <c r="FR151" s="697">
        <f>'Share Count'!FR13</f>
      </c>
      <c r="FS151" s="697">
        <f>'Share Count'!FS13</f>
      </c>
      <c r="FT151" s="697">
        <f>'Share Count'!FT13</f>
      </c>
      <c r="FU151" s="325">
        <f>AVERAGE(FQ151:FT151)</f>
      </c>
      <c r="FV151" s="697">
        <f>'Share Count'!FV13</f>
      </c>
      <c r="FW151" s="697">
        <f>'Share Count'!FW13</f>
      </c>
      <c r="FX151" s="697">
        <f>'Share Count'!FX13</f>
      </c>
      <c r="FY151" s="697">
        <f>'Share Count'!FY13</f>
      </c>
      <c r="FZ151" s="325">
        <f>AVERAGE(FV151:FY151)</f>
      </c>
      <c r="GA151" s="697">
        <f>'Share Count'!GA13</f>
      </c>
      <c r="GB151" s="697">
        <f>'Share Count'!GB13</f>
      </c>
      <c r="GC151" s="697">
        <f>'Share Count'!GC13</f>
      </c>
      <c r="GD151" s="697">
        <f>'Share Count'!GD13</f>
      </c>
      <c r="GE151" s="325">
        <f>AVERAGE(GA151:GD151)</f>
      </c>
      <c r="GF151" s="697">
        <f>'Share Count'!GF13</f>
      </c>
      <c r="GG151" s="697">
        <f>'Share Count'!GG13</f>
      </c>
      <c r="GH151" s="697">
        <f>'Share Count'!GH13</f>
      </c>
      <c r="GI151" s="697">
        <f>'Share Count'!GI13</f>
      </c>
      <c r="GJ151" s="325">
        <f>AVERAGE(GF151:GI151)</f>
      </c>
    </row>
    <row r="152" spans="1:192" s="314" customFormat="1" ht="12.75" customHeight="1">
      <c r="A152" s="274" t="s">
        <v>371</v>
      </c>
      <c r="B152" s="701" t="s">
        <v>156</v>
      </c>
      <c r="C152" s="275">
        <v>622</v>
      </c>
      <c r="D152" s="275">
        <v>625</v>
      </c>
      <c r="E152" s="275">
        <v>626</v>
      </c>
      <c r="F152" s="275">
        <v>635</v>
      </c>
      <c r="G152" s="325">
        <f>AVERAGE(C152:F152)</f>
      </c>
      <c r="H152" s="275">
        <v>640</v>
      </c>
      <c r="I152" s="275">
        <v>638</v>
      </c>
      <c r="J152" s="275">
        <v>639</v>
      </c>
      <c r="K152" s="275">
        <v>645</v>
      </c>
      <c r="L152" s="325">
        <f>AVERAGE(H152:K152)</f>
      </c>
      <c r="M152" s="927">
        <v>1300</v>
      </c>
      <c r="N152" s="927">
        <v>1300</v>
      </c>
      <c r="O152" s="927">
        <v>2600</v>
      </c>
      <c r="P152" s="927">
        <v>2650</v>
      </c>
      <c r="Q152" s="325">
        <f>AVERAGE(M152:P152)</f>
      </c>
      <c r="R152" s="927">
        <v>1340</v>
      </c>
      <c r="S152" s="927">
        <v>1340</v>
      </c>
      <c r="T152" s="927">
        <v>2700</v>
      </c>
      <c r="U152" s="927">
        <v>2800</v>
      </c>
      <c r="V152" s="325">
        <f>AVERAGE(R152:U152)</f>
      </c>
      <c r="W152" s="927">
        <v>2700</v>
      </c>
      <c r="X152" s="927">
        <v>2700</v>
      </c>
      <c r="Y152" s="927">
        <v>5500</v>
      </c>
      <c r="Z152" s="275">
        <v>5521</v>
      </c>
      <c r="AA152" s="325">
        <f>AVERAGE(W152:Z152)</f>
      </c>
      <c r="AB152" s="927">
        <v>5500</v>
      </c>
      <c r="AC152" s="927">
        <v>5500</v>
      </c>
      <c r="AD152" s="927">
        <v>5500</v>
      </c>
      <c r="AE152" s="275">
        <v>5537</v>
      </c>
      <c r="AF152" s="325">
        <f>AVERAGE(AB152:AE152)</f>
      </c>
      <c r="AG152" s="275">
        <v>5557</v>
      </c>
      <c r="AH152" s="275">
        <v>5570</v>
      </c>
      <c r="AI152" s="275">
        <v>5563</v>
      </c>
      <c r="AJ152" s="275">
        <v>5592</v>
      </c>
      <c r="AK152" s="325">
        <f>AVERAGE(AG152:AJ152)</f>
      </c>
      <c r="AL152" s="275">
        <v>5567</v>
      </c>
      <c r="AM152" s="275">
        <v>5556</v>
      </c>
      <c r="AN152" s="275">
        <v>5564</v>
      </c>
      <c r="AO152" s="275">
        <v>5530</v>
      </c>
      <c r="AP152" s="325">
        <f>AVERAGE(AL152:AO152)</f>
      </c>
      <c r="AQ152" s="275">
        <v>10933</v>
      </c>
      <c r="AR152" s="275">
        <v>10846</v>
      </c>
      <c r="AS152" s="275">
        <v>10837</v>
      </c>
      <c r="AT152" s="275">
        <v>10862</v>
      </c>
      <c r="AU152" s="325">
        <f>AVERAGE(AQ152:AT152)</f>
      </c>
      <c r="AV152" s="275">
        <v>10885</v>
      </c>
      <c r="AW152" s="275">
        <v>10899</v>
      </c>
      <c r="AX152" s="275">
        <v>10856</v>
      </c>
      <c r="AY152" s="275">
        <v>10864</v>
      </c>
      <c r="AZ152" s="325">
        <f>AVERAGE(AV152:AY152)</f>
      </c>
      <c r="BA152" s="275">
        <v>10920</v>
      </c>
      <c r="BB152" s="275">
        <v>10956</v>
      </c>
      <c r="BC152" s="275">
        <v>10931</v>
      </c>
      <c r="BD152" s="275">
        <v>10819</v>
      </c>
      <c r="BE152" s="325">
        <f>AVERAGE(BA152:BD152)</f>
      </c>
      <c r="BF152" s="275">
        <v>10772</v>
      </c>
      <c r="BG152" s="275">
        <v>10638</v>
      </c>
      <c r="BH152" s="275">
        <v>10415</v>
      </c>
      <c r="BI152" s="275">
        <v>10255</v>
      </c>
      <c r="BJ152" s="325">
        <f>AVERAGE(BF152:BI152)</f>
      </c>
      <c r="BK152" s="275">
        <v>10010</v>
      </c>
      <c r="BL152" s="275">
        <v>9942</v>
      </c>
      <c r="BM152" s="275">
        <v>9862</v>
      </c>
      <c r="BN152" s="275">
        <v>9657</v>
      </c>
      <c r="BO152" s="325">
        <f>AVERAGE(BK152:BN152)</f>
      </c>
      <c r="BP152" s="275">
        <v>9513</v>
      </c>
      <c r="BQ152" s="275">
        <v>9503</v>
      </c>
      <c r="BR152" s="275">
        <v>9428</v>
      </c>
      <c r="BS152" s="275">
        <v>9380</v>
      </c>
      <c r="BT152" s="325">
        <f>AVERAGE(BP152:BS152)</f>
      </c>
      <c r="BU152" s="275">
        <v>9183</v>
      </c>
      <c r="BV152" s="275">
        <v>8914</v>
      </c>
      <c r="BW152" s="275">
        <v>8904</v>
      </c>
      <c r="BX152" s="275">
        <v>8928</v>
      </c>
      <c r="BY152" s="325">
        <f>AVERAGE(BU152:BX152)</f>
      </c>
      <c r="BZ152" s="275">
        <v>8983</v>
      </c>
      <c r="CA152" s="275">
        <v>8951</v>
      </c>
      <c r="CB152" s="275">
        <v>8876</v>
      </c>
      <c r="CC152" s="275">
        <v>8821</v>
      </c>
      <c r="CD152" s="325">
        <f>AVERAGE(BZ152:CC152)</f>
      </c>
      <c r="CE152" s="275">
        <v>8695</v>
      </c>
      <c r="CF152" s="275">
        <v>8570</v>
      </c>
      <c r="CG152" s="275">
        <v>8510</v>
      </c>
      <c r="CH152" s="275">
        <v>8521</v>
      </c>
      <c r="CI152" s="325">
        <f>AVERAGE(CE152:CH152)</f>
      </c>
      <c r="CJ152" s="275">
        <v>8490</v>
      </c>
      <c r="CK152" s="275">
        <v>8465</v>
      </c>
      <c r="CL152" s="275">
        <v>8498</v>
      </c>
      <c r="CM152" s="275">
        <v>8388</v>
      </c>
      <c r="CN152" s="325">
        <f>AVERAGE(CJ152:CM152)</f>
      </c>
      <c r="CO152" s="275">
        <v>8494</v>
      </c>
      <c r="CP152" s="275">
        <v>8444</v>
      </c>
      <c r="CQ152" s="275">
        <v>8429</v>
      </c>
      <c r="CR152" s="275">
        <v>8442</v>
      </c>
      <c r="CS152" s="325">
        <f>AVERAGE(CO152:CR152)</f>
      </c>
      <c r="CT152" s="275">
        <v>8434</v>
      </c>
      <c r="CU152" s="275">
        <v>8395</v>
      </c>
      <c r="CV152" s="275">
        <v>8367</v>
      </c>
      <c r="CW152" s="275">
        <v>8345</v>
      </c>
      <c r="CX152" s="325">
        <f>AVERAGE(CT152:CW152)</f>
      </c>
      <c r="CY152" s="275">
        <v>8351</v>
      </c>
      <c r="CZ152" s="275">
        <v>8297</v>
      </c>
      <c r="DA152" s="275">
        <v>8237</v>
      </c>
      <c r="DB152" s="275">
        <v>8061</v>
      </c>
      <c r="DC152" s="325">
        <f>AVERAGE(CY152:DB152)</f>
      </c>
      <c r="DD152" s="275">
        <v>8066</v>
      </c>
      <c r="DE152" s="275">
        <v>8028</v>
      </c>
      <c r="DF152" s="275">
        <v>7985</v>
      </c>
      <c r="DG152" s="275">
        <v>7929</v>
      </c>
      <c r="DH152" s="325">
        <f>AVERAGE(DD152:DG152)</f>
      </c>
      <c r="DI152" s="275">
        <v>7876</v>
      </c>
      <c r="DJ152" s="275">
        <v>7830</v>
      </c>
      <c r="DK152" s="275">
        <v>7813</v>
      </c>
      <c r="DL152" s="275">
        <v>7806</v>
      </c>
      <c r="DM152" s="325">
        <f>AVERAGE(DI152:DL152)</f>
      </c>
      <c r="DN152" s="275">
        <v>7799</v>
      </c>
      <c r="DO152" s="275">
        <v>7710</v>
      </c>
      <c r="DP152" s="275">
        <v>7794</v>
      </c>
      <c r="DQ152" s="275">
        <v>7775</v>
      </c>
      <c r="DR152" s="325">
        <f>AVERAGE(DN152:DQ152)</f>
      </c>
      <c r="DS152" s="275">
        <v>7766</v>
      </c>
      <c r="DT152" s="275">
        <v>7768</v>
      </c>
      <c r="DU152" s="275">
        <v>7744</v>
      </c>
      <c r="DV152" s="275">
        <v>7730</v>
      </c>
      <c r="DW152" s="325">
        <f>AVERAGE(DS152:DV152)</f>
      </c>
      <c r="DX152" s="275">
        <v>7710</v>
      </c>
      <c r="DY152" s="275">
        <v>7691</v>
      </c>
      <c r="DZ152" s="275">
        <v>7675</v>
      </c>
      <c r="EA152" s="275">
        <v>7650</v>
      </c>
      <c r="EB152" s="325">
        <f>AVERAGE(DX152:EA152)</f>
      </c>
      <c r="EC152" s="275">
        <v>7637</v>
      </c>
      <c r="ED152" s="275">
        <v>7616</v>
      </c>
      <c r="EE152" s="275">
        <v>7597</v>
      </c>
      <c r="EF152" s="275">
        <v>7581</v>
      </c>
      <c r="EG152" s="1198">
        <v>7608</v>
      </c>
      <c r="EH152" s="275">
        <v>7567</v>
      </c>
      <c r="EI152" s="275">
        <v>7555</v>
      </c>
      <c r="EJ152" s="275">
        <v>7534</v>
      </c>
      <c r="EK152" s="275">
        <v>7506</v>
      </c>
      <c r="EL152" s="1197">
        <v>7540</v>
      </c>
      <c r="EM152" s="275">
        <v>7485</v>
      </c>
      <c r="EN152" s="275">
        <v>7473</v>
      </c>
      <c r="EO152" s="275">
        <v>7464</v>
      </c>
      <c r="EP152" s="275">
        <v>7467</v>
      </c>
      <c r="EQ152" s="1197">
        <v>7472</v>
      </c>
      <c r="ER152" s="275">
        <v>7462</v>
      </c>
      <c r="ES152" s="275">
        <v>7468</v>
      </c>
      <c r="ET152" s="927">
        <v>7472</v>
      </c>
      <c r="EU152" s="927">
        <v>7472</v>
      </c>
      <c r="EV152" s="325">
        <f>AVERAGE(ER152:EU152)</f>
      </c>
      <c r="EW152" s="927">
        <v>7470</v>
      </c>
      <c r="EX152" s="927">
        <v>7468</v>
      </c>
      <c r="EY152" s="927">
        <v>7461</v>
      </c>
      <c r="EZ152" s="927">
        <v>7461</v>
      </c>
      <c r="FA152" s="325">
        <f>AVERAGE(EW152:EZ152)</f>
      </c>
      <c r="FB152" s="697">
        <f>'Share Count'!FB17</f>
      </c>
      <c r="FC152" s="697">
        <f>'Share Count'!FC17</f>
      </c>
      <c r="FD152" s="697">
        <f>'Share Count'!FD17</f>
      </c>
      <c r="FE152" s="697">
        <f>'Share Count'!FE17</f>
      </c>
      <c r="FF152" s="325">
        <f>AVERAGE(FB152:FE152)</f>
      </c>
      <c r="FG152" s="697">
        <f>'Share Count'!FG17</f>
      </c>
      <c r="FH152" s="697">
        <f>'Share Count'!FH17</f>
      </c>
      <c r="FI152" s="697">
        <f>'Share Count'!FI17</f>
      </c>
      <c r="FJ152" s="697">
        <f>'Share Count'!FJ17</f>
      </c>
      <c r="FK152" s="325">
        <f>AVERAGE(FG152:FJ152)</f>
      </c>
      <c r="FL152" s="697">
        <f>'Share Count'!FL17</f>
      </c>
      <c r="FM152" s="697">
        <f>'Share Count'!FM17</f>
      </c>
      <c r="FN152" s="697">
        <f>'Share Count'!FN17</f>
      </c>
      <c r="FO152" s="697">
        <f>'Share Count'!FO17</f>
      </c>
      <c r="FP152" s="325">
        <f>AVERAGE(FL152:FO152)</f>
      </c>
      <c r="FQ152" s="697">
        <f>'Share Count'!FQ17</f>
      </c>
      <c r="FR152" s="697">
        <f>'Share Count'!FR17</f>
      </c>
      <c r="FS152" s="697">
        <f>'Share Count'!FS17</f>
      </c>
      <c r="FT152" s="697">
        <f>'Share Count'!FT17</f>
      </c>
      <c r="FU152" s="325">
        <f>AVERAGE(FQ152:FT152)</f>
      </c>
      <c r="FV152" s="697">
        <f>'Share Count'!FV17</f>
      </c>
      <c r="FW152" s="697">
        <f>'Share Count'!FW17</f>
      </c>
      <c r="FX152" s="697">
        <f>'Share Count'!FX17</f>
      </c>
      <c r="FY152" s="697">
        <f>'Share Count'!FY17</f>
      </c>
      <c r="FZ152" s="325">
        <f>AVERAGE(FV152:FY152)</f>
      </c>
      <c r="GA152" s="697">
        <f>'Share Count'!GA17</f>
      </c>
      <c r="GB152" s="697">
        <f>'Share Count'!GB17</f>
      </c>
      <c r="GC152" s="697">
        <f>'Share Count'!GC17</f>
      </c>
      <c r="GD152" s="697">
        <f>'Share Count'!GD17</f>
      </c>
      <c r="GE152" s="325">
        <f>AVERAGE(GA152:GD152)</f>
      </c>
      <c r="GF152" s="697">
        <f>'Share Count'!GF17</f>
      </c>
      <c r="GG152" s="697">
        <f>'Share Count'!GG17</f>
      </c>
      <c r="GH152" s="697">
        <f>'Share Count'!GH17</f>
      </c>
      <c r="GI152" s="697">
        <f>'Share Count'!GI17</f>
      </c>
      <c r="GJ152" s="325">
        <f>AVERAGE(GF152:GI152)</f>
      </c>
    </row>
    <row r="153" spans="1:192" s="314" customFormat="1" ht="12.75" customHeight="1">
      <c r="A153" s="274"/>
      <c r="B153" s="701"/>
      <c r="C153" s="275"/>
      <c r="D153" s="275"/>
      <c r="E153" s="275"/>
      <c r="F153" s="275"/>
      <c r="G153" s="325"/>
      <c r="H153" s="275"/>
      <c r="I153" s="275"/>
      <c r="J153" s="275"/>
      <c r="K153" s="275"/>
      <c r="L153" s="325"/>
      <c r="M153" s="927"/>
      <c r="N153" s="927"/>
      <c r="O153" s="927"/>
      <c r="P153" s="927"/>
      <c r="Q153" s="325"/>
      <c r="R153" s="927"/>
      <c r="S153" s="927"/>
      <c r="T153" s="927"/>
      <c r="U153" s="927"/>
      <c r="V153" s="325"/>
      <c r="W153" s="927"/>
      <c r="X153" s="927"/>
      <c r="Y153" s="927"/>
      <c r="Z153" s="275"/>
      <c r="AA153" s="325"/>
      <c r="AB153" s="927"/>
      <c r="AC153" s="927"/>
      <c r="AD153" s="927"/>
      <c r="AE153" s="275"/>
      <c r="AF153" s="325"/>
      <c r="AG153" s="275"/>
      <c r="AH153" s="275"/>
      <c r="AI153" s="275"/>
      <c r="AJ153" s="275"/>
      <c r="AK153" s="325"/>
      <c r="AL153" s="275"/>
      <c r="AM153" s="275"/>
      <c r="AN153" s="275"/>
      <c r="AO153" s="275"/>
      <c r="AP153" s="325"/>
      <c r="AQ153" s="275"/>
      <c r="AR153" s="275"/>
      <c r="AS153" s="275"/>
      <c r="AT153" s="275"/>
      <c r="AU153" s="325"/>
      <c r="AV153" s="275"/>
      <c r="AW153" s="275"/>
      <c r="AX153" s="275"/>
      <c r="AY153" s="275"/>
      <c r="AZ153" s="325"/>
      <c r="BA153" s="275"/>
      <c r="BB153" s="275"/>
      <c r="BC153" s="275"/>
      <c r="BD153" s="275"/>
      <c r="BE153" s="325"/>
      <c r="BF153" s="275"/>
      <c r="BG153" s="275"/>
      <c r="BH153" s="275"/>
      <c r="BI153" s="275"/>
      <c r="BJ153" s="325"/>
      <c r="BK153" s="275"/>
      <c r="BL153" s="275"/>
      <c r="BM153" s="275"/>
      <c r="BN153" s="275"/>
      <c r="BO153" s="325"/>
      <c r="BP153" s="275"/>
      <c r="BQ153" s="275"/>
      <c r="BR153" s="275"/>
      <c r="BS153" s="275"/>
      <c r="BT153" s="325"/>
      <c r="BU153" s="275"/>
      <c r="BV153" s="275"/>
      <c r="BW153" s="275"/>
      <c r="BX153" s="275"/>
      <c r="BY153" s="325"/>
      <c r="BZ153" s="275"/>
      <c r="CA153" s="275"/>
      <c r="CB153" s="275"/>
      <c r="CC153" s="275"/>
      <c r="CD153" s="325"/>
      <c r="CE153" s="275"/>
      <c r="CF153" s="275"/>
      <c r="CG153" s="275"/>
      <c r="CH153" s="275"/>
      <c r="CI153" s="325"/>
      <c r="CJ153" s="275"/>
      <c r="CK153" s="275"/>
      <c r="CL153" s="275"/>
      <c r="CM153" s="275"/>
      <c r="CN153" s="325"/>
      <c r="CO153" s="275"/>
      <c r="CP153" s="275"/>
      <c r="CQ153" s="275"/>
      <c r="CR153" s="275"/>
      <c r="CS153" s="325"/>
      <c r="CT153" s="275"/>
      <c r="CU153" s="275"/>
      <c r="CV153" s="275"/>
      <c r="CW153" s="275"/>
      <c r="CX153" s="325"/>
      <c r="CY153" s="275"/>
      <c r="CZ153" s="275"/>
      <c r="DA153" s="275"/>
      <c r="DB153" s="275"/>
      <c r="DC153" s="325"/>
      <c r="DD153" s="275"/>
      <c r="DE153" s="275"/>
      <c r="DF153" s="275"/>
      <c r="DG153" s="275"/>
      <c r="DH153" s="325"/>
      <c r="DI153" s="275"/>
      <c r="DJ153" s="275"/>
      <c r="DK153" s="275"/>
      <c r="DL153" s="275"/>
      <c r="DM153" s="325"/>
      <c r="DN153" s="275"/>
      <c r="DO153" s="275"/>
      <c r="DP153" s="275"/>
      <c r="DQ153" s="275"/>
      <c r="DR153" s="325"/>
      <c r="DS153" s="275"/>
      <c r="DT153" s="275"/>
      <c r="DU153" s="275"/>
      <c r="DV153" s="275"/>
      <c r="DW153" s="325"/>
      <c r="DX153" s="275"/>
      <c r="DY153" s="275"/>
      <c r="DZ153" s="275"/>
      <c r="EA153" s="275"/>
      <c r="EB153" s="325"/>
      <c r="EC153" s="275"/>
      <c r="ED153" s="275"/>
      <c r="EE153" s="275"/>
      <c r="EF153" s="275"/>
      <c r="EG153" s="1198"/>
      <c r="EH153" s="275"/>
      <c r="EI153" s="275"/>
      <c r="EJ153" s="275"/>
      <c r="EK153" s="275"/>
      <c r="EL153" s="1197"/>
      <c r="EM153" s="275"/>
      <c r="EN153" s="275"/>
      <c r="EO153" s="1568"/>
      <c r="EP153" s="275"/>
      <c r="EQ153" s="1197"/>
      <c r="ER153" s="275"/>
      <c r="ES153" s="275"/>
      <c r="ET153" s="1568"/>
      <c r="EU153" s="1517"/>
      <c r="EV153" s="325"/>
      <c r="EW153" s="697"/>
      <c r="EX153" s="697"/>
      <c r="EY153" s="1568"/>
      <c r="EZ153" s="1568"/>
      <c r="FA153" s="325"/>
      <c r="FB153" s="697"/>
      <c r="FC153" s="697"/>
      <c r="FD153" s="697"/>
      <c r="FE153" s="1568"/>
      <c r="FF153" s="325"/>
      <c r="FG153" s="697"/>
      <c r="FH153" s="697"/>
      <c r="FI153" s="697"/>
      <c r="FJ153" s="697"/>
      <c r="FK153" s="325"/>
      <c r="FL153" s="697"/>
      <c r="FM153" s="697"/>
      <c r="FN153" s="697"/>
      <c r="FO153" s="697"/>
      <c r="FP153" s="325"/>
      <c r="FQ153" s="697"/>
      <c r="FR153" s="697"/>
      <c r="FS153" s="697"/>
      <c r="FT153" s="697"/>
      <c r="FU153" s="325"/>
      <c r="FV153" s="697"/>
      <c r="FW153" s="697"/>
      <c r="FX153" s="697"/>
      <c r="FY153" s="697"/>
      <c r="FZ153" s="325"/>
      <c r="GA153" s="697"/>
      <c r="GB153" s="697"/>
      <c r="GC153" s="697"/>
      <c r="GD153" s="697"/>
      <c r="GE153" s="325"/>
      <c r="GF153" s="697"/>
      <c r="GG153" s="697"/>
      <c r="GH153" s="697"/>
      <c r="GI153" s="697"/>
      <c r="GJ153" s="325"/>
    </row>
    <row r="154" spans="1:192" s="314" customFormat="1" ht="12.75" customHeight="1">
      <c r="A154" s="274"/>
      <c r="B154" s="999" t="s">
        <v>1839</v>
      </c>
      <c r="C154" s="275"/>
      <c r="D154" s="275"/>
      <c r="E154" s="275"/>
      <c r="F154" s="275"/>
      <c r="G154" s="325"/>
      <c r="H154" s="275"/>
      <c r="I154" s="275"/>
      <c r="J154" s="275"/>
      <c r="K154" s="275"/>
      <c r="L154" s="325"/>
      <c r="M154" s="927"/>
      <c r="N154" s="927"/>
      <c r="O154" s="927"/>
      <c r="P154" s="927"/>
      <c r="Q154" s="325"/>
      <c r="R154" s="927"/>
      <c r="S154" s="927"/>
      <c r="T154" s="927"/>
      <c r="U154" s="927"/>
      <c r="V154" s="325"/>
      <c r="W154" s="927"/>
      <c r="X154" s="927"/>
      <c r="Y154" s="927"/>
      <c r="Z154" s="275"/>
      <c r="AA154" s="325"/>
      <c r="AB154" s="927"/>
      <c r="AC154" s="927"/>
      <c r="AD154" s="927"/>
      <c r="AE154" s="275"/>
      <c r="AF154" s="325"/>
      <c r="AG154" s="275"/>
      <c r="AH154" s="275"/>
      <c r="AI154" s="275"/>
      <c r="AJ154" s="275"/>
      <c r="AK154" s="325"/>
      <c r="AL154" s="275"/>
      <c r="AM154" s="275"/>
      <c r="AN154" s="275"/>
      <c r="AO154" s="275"/>
      <c r="AP154" s="325"/>
      <c r="AQ154" s="275"/>
      <c r="AR154" s="275"/>
      <c r="AS154" s="275"/>
      <c r="AT154" s="275"/>
      <c r="AU154" s="325"/>
      <c r="AV154" s="275"/>
      <c r="AW154" s="275"/>
      <c r="AX154" s="275"/>
      <c r="AY154" s="275"/>
      <c r="AZ154" s="325"/>
      <c r="BA154" s="275"/>
      <c r="BB154" s="275"/>
      <c r="BC154" s="275"/>
      <c r="BD154" s="275"/>
      <c r="BE154" s="325"/>
      <c r="BF154" s="275"/>
      <c r="BG154" s="275"/>
      <c r="BH154" s="275"/>
      <c r="BI154" s="275"/>
      <c r="BJ154" s="325"/>
      <c r="BK154" s="275"/>
      <c r="BL154" s="275"/>
      <c r="BM154" s="275"/>
      <c r="BN154" s="275"/>
      <c r="BO154" s="325"/>
      <c r="BP154" s="275"/>
      <c r="BQ154" s="275"/>
      <c r="BR154" s="275"/>
      <c r="BS154" s="275"/>
      <c r="BT154" s="325"/>
      <c r="BU154" s="275"/>
      <c r="BV154" s="275"/>
      <c r="BW154" s="275"/>
      <c r="BX154" s="275"/>
      <c r="BY154" s="325"/>
      <c r="BZ154" s="275"/>
      <c r="CA154" s="275"/>
      <c r="CB154" s="275"/>
      <c r="CC154" s="275"/>
      <c r="CD154" s="325"/>
      <c r="CE154" s="275"/>
      <c r="CF154" s="275"/>
      <c r="CG154" s="275"/>
      <c r="CH154" s="275"/>
      <c r="CI154" s="325"/>
      <c r="CJ154" s="275"/>
      <c r="CK154" s="275"/>
      <c r="CL154" s="275"/>
      <c r="CM154" s="275"/>
      <c r="CN154" s="325"/>
      <c r="CO154" s="275"/>
      <c r="CP154" s="275"/>
      <c r="CQ154" s="275"/>
      <c r="CR154" s="275"/>
      <c r="CS154" s="325"/>
      <c r="CT154" s="275"/>
      <c r="CU154" s="275"/>
      <c r="CV154" s="275"/>
      <c r="CW154" s="275"/>
      <c r="CX154" s="325"/>
      <c r="CY154" s="275"/>
      <c r="CZ154" s="275"/>
      <c r="DA154" s="275"/>
      <c r="DB154" s="275"/>
      <c r="DC154" s="325"/>
      <c r="DD154" s="275"/>
      <c r="DE154" s="275"/>
      <c r="DF154" s="275"/>
      <c r="DG154" s="275"/>
      <c r="DH154" s="325"/>
      <c r="DI154" s="275"/>
      <c r="DJ154" s="275"/>
      <c r="DK154" s="275"/>
      <c r="DL154" s="275"/>
      <c r="DM154" s="325"/>
      <c r="DN154" s="275"/>
      <c r="DO154" s="275"/>
      <c r="DP154" s="275"/>
      <c r="DQ154" s="275"/>
      <c r="DR154" s="325"/>
      <c r="DS154" s="275"/>
      <c r="DT154" s="275"/>
      <c r="DU154" s="275"/>
      <c r="DV154" s="275"/>
      <c r="DW154" s="325"/>
      <c r="DX154" s="275"/>
      <c r="DY154" s="275"/>
      <c r="DZ154" s="275"/>
      <c r="EA154" s="275"/>
      <c r="EB154" s="325"/>
      <c r="EC154" s="275"/>
      <c r="ED154" s="275"/>
      <c r="EE154" s="275"/>
      <c r="EF154" s="275"/>
      <c r="EG154" s="1198"/>
      <c r="EH154" s="275"/>
      <c r="EI154" s="275"/>
      <c r="EJ154" s="275"/>
      <c r="EK154" s="275"/>
      <c r="EL154" s="1197"/>
      <c r="EM154" s="275"/>
      <c r="EN154" s="275"/>
      <c r="EO154" s="275"/>
      <c r="EP154" s="275"/>
      <c r="EQ154" s="1197"/>
      <c r="ER154" s="275"/>
      <c r="ES154" s="275"/>
      <c r="ET154" s="1517"/>
      <c r="EU154" s="1517"/>
      <c r="EV154" s="325"/>
      <c r="EW154" s="697"/>
      <c r="EX154" s="697"/>
      <c r="EY154" s="697"/>
      <c r="EZ154" s="697"/>
      <c r="FA154" s="325"/>
      <c r="FB154" s="697"/>
      <c r="FC154" s="697"/>
      <c r="FD154" s="697"/>
      <c r="FE154" s="697"/>
      <c r="FF154" s="325"/>
      <c r="FG154" s="697"/>
      <c r="FH154" s="697"/>
      <c r="FI154" s="697"/>
      <c r="FJ154" s="697"/>
      <c r="FK154" s="325"/>
      <c r="FL154" s="697"/>
      <c r="FM154" s="697"/>
      <c r="FN154" s="697"/>
      <c r="FO154" s="697"/>
      <c r="FP154" s="325"/>
      <c r="FQ154" s="697"/>
      <c r="FR154" s="697"/>
      <c r="FS154" s="697"/>
      <c r="FT154" s="697"/>
      <c r="FU154" s="325"/>
      <c r="FV154" s="697"/>
      <c r="FW154" s="697"/>
      <c r="FX154" s="697"/>
      <c r="FY154" s="697"/>
      <c r="FZ154" s="325"/>
      <c r="GA154" s="697"/>
      <c r="GB154" s="697"/>
      <c r="GC154" s="697"/>
      <c r="GD154" s="697"/>
      <c r="GE154" s="325"/>
      <c r="GF154" s="697"/>
      <c r="GG154" s="697"/>
      <c r="GH154" s="697"/>
      <c r="GI154" s="697"/>
      <c r="GJ154" s="325"/>
    </row>
    <row r="155" spans="1:192" s="461" customFormat="1" ht="12.75" customHeight="1" outlineLevel="2">
      <c r="A155" s="370"/>
      <c r="B155" s="986" t="s">
        <v>1840</v>
      </c>
      <c r="C155" s="493"/>
      <c r="D155" s="493"/>
      <c r="E155" s="493"/>
      <c r="F155" s="493"/>
      <c r="G155" s="1175"/>
      <c r="H155" s="493"/>
      <c r="I155" s="493"/>
      <c r="J155" s="493"/>
      <c r="K155" s="493"/>
      <c r="L155" s="1175"/>
      <c r="M155" s="815"/>
      <c r="N155" s="815"/>
      <c r="O155" s="815"/>
      <c r="P155" s="815"/>
      <c r="Q155" s="1175"/>
      <c r="R155" s="815"/>
      <c r="S155" s="815"/>
      <c r="T155" s="815"/>
      <c r="U155" s="815"/>
      <c r="V155" s="1175"/>
      <c r="W155" s="815"/>
      <c r="X155" s="815"/>
      <c r="Y155" s="815"/>
      <c r="Z155" s="493"/>
      <c r="AA155" s="1175"/>
      <c r="AB155" s="815"/>
      <c r="AC155" s="815"/>
      <c r="AD155" s="815"/>
      <c r="AE155" s="493"/>
      <c r="AF155" s="1175"/>
      <c r="AG155" s="493"/>
      <c r="AH155" s="493"/>
      <c r="AI155" s="493"/>
      <c r="AJ155" s="493"/>
      <c r="AK155" s="1175"/>
      <c r="AL155" s="493"/>
      <c r="AM155" s="493"/>
      <c r="AN155" s="493"/>
      <c r="AO155" s="493"/>
      <c r="AP155" s="1175"/>
      <c r="AQ155" s="493"/>
      <c r="AR155" s="493"/>
      <c r="AS155" s="493"/>
      <c r="AT155" s="493"/>
      <c r="AU155" s="1175"/>
      <c r="AV155" s="493"/>
      <c r="AW155" s="493"/>
      <c r="AX155" s="493"/>
      <c r="AY155" s="493"/>
      <c r="AZ155" s="1175"/>
      <c r="BA155" s="1218"/>
      <c r="BB155" s="1218"/>
      <c r="BC155" s="1218"/>
      <c r="BD155" s="1218"/>
      <c r="BE155" s="1219"/>
      <c r="BF155" s="1218"/>
      <c r="BG155" s="1218"/>
      <c r="BH155" s="1218"/>
      <c r="BI155" s="1218"/>
      <c r="BJ155" s="1219"/>
      <c r="BK155" s="1218"/>
      <c r="BL155" s="1218"/>
      <c r="BM155" s="1218"/>
      <c r="BN155" s="1218"/>
      <c r="BO155" s="1219"/>
      <c r="BP155" s="1218"/>
      <c r="BQ155" s="1218"/>
      <c r="BR155" s="1218"/>
      <c r="BS155" s="1218"/>
      <c r="BT155" s="1219"/>
      <c r="BU155" s="1218"/>
      <c r="BV155" s="1218"/>
      <c r="BW155" s="1218"/>
      <c r="BX155" s="1218"/>
      <c r="BY155" s="1219"/>
      <c r="BZ155" s="1218"/>
      <c r="CA155" s="1218"/>
      <c r="CB155" s="1218"/>
      <c r="CC155" s="1218"/>
      <c r="CD155" s="1219"/>
      <c r="CE155" s="1218"/>
      <c r="CF155" s="1218"/>
      <c r="CG155" s="1218"/>
      <c r="CH155" s="1218"/>
      <c r="CI155" s="1219"/>
      <c r="CJ155" s="1218"/>
      <c r="CK155" s="1218"/>
      <c r="CL155" s="1218"/>
      <c r="CM155" s="1218"/>
      <c r="CN155" s="1219"/>
      <c r="CO155" s="1218"/>
      <c r="CP155" s="1218"/>
      <c r="CQ155" s="1218"/>
      <c r="CR155" s="1218"/>
      <c r="CS155" s="1219"/>
      <c r="CT155" s="1218"/>
      <c r="CU155" s="1218"/>
      <c r="CV155" s="1218"/>
      <c r="CW155" s="1218"/>
      <c r="CX155" s="1219"/>
      <c r="CY155" s="1218">
        <v>0</v>
      </c>
      <c r="CZ155" s="1218">
        <v>0</v>
      </c>
      <c r="DA155" s="1218">
        <v>0</v>
      </c>
      <c r="DB155" s="1218">
        <v>0</v>
      </c>
      <c r="DC155" s="1219">
        <f t="shared" ref="DC155:DC163" si="354">SUM(CY155:DB155)</f>
      </c>
      <c r="DD155" s="1218">
        <v>0</v>
      </c>
      <c r="DE155" s="1218">
        <v>0</v>
      </c>
      <c r="DF155" s="1218">
        <v>0</v>
      </c>
      <c r="DG155" s="1218">
        <v>0</v>
      </c>
      <c r="DH155" s="1219">
        <f t="shared" ref="DH155:DH163" si="355">SUM(DD155:DG155)</f>
      </c>
      <c r="DI155" s="1218">
        <v>0</v>
      </c>
      <c r="DJ155" s="1218">
        <v>0</v>
      </c>
      <c r="DK155" s="1218">
        <v>0</v>
      </c>
      <c r="DL155" s="1218">
        <v>0</v>
      </c>
      <c r="DM155" s="1219">
        <f t="shared" ref="DM155:DM163" si="356">SUM(DI155:DL155)</f>
      </c>
      <c r="DN155" s="1218">
        <v>0</v>
      </c>
      <c r="DO155" s="1218">
        <v>0</v>
      </c>
      <c r="DP155" s="1218">
        <v>0</v>
      </c>
      <c r="DQ155" s="1218">
        <v>0</v>
      </c>
      <c r="DR155" s="1219">
        <f t="shared" ref="DR155:DR163" si="357">SUM(DN155:DQ155)</f>
      </c>
      <c r="DS155" s="1218">
        <v>0</v>
      </c>
      <c r="DT155" s="1218">
        <v>0</v>
      </c>
      <c r="DU155" s="1218">
        <v>0</v>
      </c>
      <c r="DV155" s="1218">
        <v>0</v>
      </c>
      <c r="DW155" s="1219">
        <f t="shared" ref="DW155:DW163" si="358">SUM(DS155:DV155)</f>
      </c>
      <c r="DX155" s="1218">
        <v>0</v>
      </c>
      <c r="DY155" s="1218">
        <v>0</v>
      </c>
      <c r="DZ155" s="1218">
        <v>0</v>
      </c>
      <c r="EA155" s="1218">
        <v>0</v>
      </c>
      <c r="EB155" s="1219">
        <f t="shared" ref="EB155:EB163" si="359">SUM(DX155:EA155)</f>
      </c>
      <c r="EC155" s="1218">
        <v>0</v>
      </c>
      <c r="ED155" s="1218">
        <v>0</v>
      </c>
      <c r="EE155" s="1218">
        <v>0</v>
      </c>
      <c r="EF155" s="1218">
        <v>0</v>
      </c>
      <c r="EG155" s="1219">
        <f t="shared" ref="EG155:EG163" si="360">SUM(EC155:EF155)</f>
      </c>
      <c r="EH155" s="1218">
        <v>0</v>
      </c>
      <c r="EI155" s="1218">
        <v>0</v>
      </c>
      <c r="EJ155" s="1218">
        <v>0</v>
      </c>
      <c r="EK155" s="1218">
        <v>0</v>
      </c>
      <c r="EL155" s="1219">
        <f t="shared" ref="EL155:EL163" si="361">SUM(EH155:EK155)</f>
      </c>
      <c r="EM155" s="1218">
        <v>0</v>
      </c>
      <c r="EN155" s="1218">
        <v>0</v>
      </c>
      <c r="EO155" s="1218">
        <v>0</v>
      </c>
      <c r="EP155" s="1218">
        <v>0</v>
      </c>
      <c r="EQ155" s="1219">
        <f t="shared" ref="EQ155:EQ163" si="362">SUM(EM155:EP155)</f>
      </c>
      <c r="ER155" s="1218">
        <v>0</v>
      </c>
      <c r="ES155" s="1218">
        <v>0</v>
      </c>
      <c r="ET155" s="1518">
        <v>0</v>
      </c>
      <c r="EU155" s="1518">
        <v>0</v>
      </c>
      <c r="EV155" s="1223">
        <f t="shared" ref="EV155:EV163" si="363">SUM(ER155:EU155)</f>
      </c>
      <c r="EW155" s="1218">
        <v>0</v>
      </c>
      <c r="EX155" s="1218">
        <v>0</v>
      </c>
      <c r="EY155" s="1218">
        <v>0</v>
      </c>
      <c r="EZ155" s="1218">
        <v>0</v>
      </c>
      <c r="FA155" s="1223">
        <f t="shared" ref="FA155:FA163" si="364">SUM(EW155:EZ155)</f>
      </c>
      <c r="FB155" s="690"/>
      <c r="FC155" s="690"/>
      <c r="FD155" s="690"/>
      <c r="FE155" s="690"/>
      <c r="FF155" s="1175"/>
      <c r="FG155" s="690"/>
      <c r="FH155" s="690"/>
      <c r="FI155" s="690"/>
      <c r="FJ155" s="690"/>
      <c r="FK155" s="1175"/>
      <c r="FL155" s="690"/>
      <c r="FM155" s="690"/>
      <c r="FN155" s="690"/>
      <c r="FO155" s="690"/>
      <c r="FP155" s="1175"/>
      <c r="FQ155" s="690"/>
      <c r="FR155" s="690"/>
      <c r="FS155" s="690"/>
      <c r="FT155" s="690"/>
      <c r="FU155" s="1175"/>
      <c r="FV155" s="690"/>
      <c r="FW155" s="690"/>
      <c r="FX155" s="690"/>
      <c r="FY155" s="690"/>
      <c r="FZ155" s="1175"/>
      <c r="GA155" s="690"/>
      <c r="GB155" s="690"/>
      <c r="GC155" s="690"/>
      <c r="GD155" s="690"/>
      <c r="GE155" s="1175"/>
      <c r="GF155" s="690"/>
      <c r="GG155" s="690"/>
      <c r="GH155" s="690"/>
      <c r="GI155" s="690"/>
      <c r="GJ155" s="1175"/>
    </row>
    <row r="156" spans="1:192" s="461" customFormat="1" ht="12.75" customHeight="1" outlineLevel="2">
      <c r="A156" s="370"/>
      <c r="B156" s="986" t="s">
        <v>1844</v>
      </c>
      <c r="C156" s="493"/>
      <c r="D156" s="493"/>
      <c r="E156" s="493"/>
      <c r="F156" s="493"/>
      <c r="G156" s="1175"/>
      <c r="H156" s="493"/>
      <c r="I156" s="493"/>
      <c r="J156" s="493"/>
      <c r="K156" s="493"/>
      <c r="L156" s="1175"/>
      <c r="M156" s="815"/>
      <c r="N156" s="815"/>
      <c r="O156" s="815"/>
      <c r="P156" s="815"/>
      <c r="Q156" s="1175"/>
      <c r="R156" s="815"/>
      <c r="S156" s="815"/>
      <c r="T156" s="815"/>
      <c r="U156" s="815"/>
      <c r="V156" s="1175"/>
      <c r="W156" s="815"/>
      <c r="X156" s="815"/>
      <c r="Y156" s="815"/>
      <c r="Z156" s="493"/>
      <c r="AA156" s="1175"/>
      <c r="AB156" s="815"/>
      <c r="AC156" s="815"/>
      <c r="AD156" s="815"/>
      <c r="AE156" s="493"/>
      <c r="AF156" s="1175"/>
      <c r="AG156" s="493"/>
      <c r="AH156" s="493"/>
      <c r="AI156" s="493"/>
      <c r="AJ156" s="493"/>
      <c r="AK156" s="1175"/>
      <c r="AL156" s="493"/>
      <c r="AM156" s="493"/>
      <c r="AN156" s="493"/>
      <c r="AO156" s="493"/>
      <c r="AP156" s="1175"/>
      <c r="AQ156" s="493"/>
      <c r="AR156" s="493"/>
      <c r="AS156" s="493"/>
      <c r="AT156" s="493"/>
      <c r="AU156" s="1175"/>
      <c r="AV156" s="493"/>
      <c r="AW156" s="493"/>
      <c r="AX156" s="493"/>
      <c r="AY156" s="493"/>
      <c r="AZ156" s="1175"/>
      <c r="BA156" s="1218"/>
      <c r="BB156" s="1218"/>
      <c r="BC156" s="1218"/>
      <c r="BD156" s="1218"/>
      <c r="BE156" s="1219"/>
      <c r="BF156" s="1218"/>
      <c r="BG156" s="1218"/>
      <c r="BH156" s="1218"/>
      <c r="BI156" s="1218"/>
      <c r="BJ156" s="1219"/>
      <c r="BK156" s="1218"/>
      <c r="BL156" s="1218"/>
      <c r="BM156" s="1218"/>
      <c r="BN156" s="1218"/>
      <c r="BO156" s="1219"/>
      <c r="BP156" s="1218"/>
      <c r="BQ156" s="1218"/>
      <c r="BR156" s="1218"/>
      <c r="BS156" s="1218"/>
      <c r="BT156" s="1219"/>
      <c r="BU156" s="1218"/>
      <c r="BV156" s="1218"/>
      <c r="BW156" s="1218"/>
      <c r="BX156" s="1218"/>
      <c r="BY156" s="1219"/>
      <c r="BZ156" s="1218"/>
      <c r="CA156" s="1218"/>
      <c r="CB156" s="1218"/>
      <c r="CC156" s="1218"/>
      <c r="CD156" s="1219"/>
      <c r="CE156" s="1218"/>
      <c r="CF156" s="1218"/>
      <c r="CG156" s="1218"/>
      <c r="CH156" s="1218"/>
      <c r="CI156" s="1219"/>
      <c r="CJ156" s="1218"/>
      <c r="CK156" s="1218"/>
      <c r="CL156" s="1218"/>
      <c r="CM156" s="1218"/>
      <c r="CN156" s="1219"/>
      <c r="CO156" s="1218"/>
      <c r="CP156" s="1218"/>
      <c r="CQ156" s="1218"/>
      <c r="CR156" s="1218"/>
      <c r="CS156" s="1219"/>
      <c r="CT156" s="1218"/>
      <c r="CU156" s="1218"/>
      <c r="CV156" s="1218"/>
      <c r="CW156" s="1218"/>
      <c r="CX156" s="1219"/>
      <c r="CY156" s="1218">
        <v>0</v>
      </c>
      <c r="CZ156" s="1218">
        <v>0</v>
      </c>
      <c r="DA156" s="1218">
        <v>0</v>
      </c>
      <c r="DB156" s="1218">
        <v>0</v>
      </c>
      <c r="DC156" s="1219">
        <f t="shared" si="354"/>
      </c>
      <c r="DD156" s="1218">
        <v>0</v>
      </c>
      <c r="DE156" s="1218">
        <v>0</v>
      </c>
      <c r="DF156" s="1218">
        <v>0</v>
      </c>
      <c r="DG156" s="1218">
        <v>0</v>
      </c>
      <c r="DH156" s="1219">
        <f t="shared" si="355"/>
      </c>
      <c r="DI156" s="1218">
        <v>0</v>
      </c>
      <c r="DJ156" s="1218">
        <v>0</v>
      </c>
      <c r="DK156" s="1218">
        <v>0</v>
      </c>
      <c r="DL156" s="1218">
        <v>0</v>
      </c>
      <c r="DM156" s="1219">
        <f t="shared" si="356"/>
      </c>
      <c r="DN156" s="1218">
        <v>0</v>
      </c>
      <c r="DO156" s="1218">
        <v>0</v>
      </c>
      <c r="DP156" s="1218">
        <v>0</v>
      </c>
      <c r="DQ156" s="1218">
        <v>0</v>
      </c>
      <c r="DR156" s="1219">
        <f t="shared" si="357"/>
      </c>
      <c r="DS156" s="1218">
        <v>0</v>
      </c>
      <c r="DT156" s="1218">
        <v>0</v>
      </c>
      <c r="DU156" s="1218">
        <v>0</v>
      </c>
      <c r="DV156" s="1218">
        <v>0</v>
      </c>
      <c r="DW156" s="1219">
        <f t="shared" si="358"/>
      </c>
      <c r="DX156" s="1218">
        <v>0</v>
      </c>
      <c r="DY156" s="1218">
        <v>0</v>
      </c>
      <c r="DZ156" s="1218">
        <v>0</v>
      </c>
      <c r="EA156" s="1218">
        <v>0</v>
      </c>
      <c r="EB156" s="1219">
        <f t="shared" si="359"/>
      </c>
      <c r="EC156" s="1218">
        <v>0</v>
      </c>
      <c r="ED156" s="1218">
        <v>0</v>
      </c>
      <c r="EE156" s="1218">
        <v>0</v>
      </c>
      <c r="EF156" s="1218">
        <v>0</v>
      </c>
      <c r="EG156" s="1219">
        <f t="shared" si="360"/>
      </c>
      <c r="EH156" s="1218">
        <v>0</v>
      </c>
      <c r="EI156" s="1218">
        <v>0</v>
      </c>
      <c r="EJ156" s="1218">
        <v>0</v>
      </c>
      <c r="EK156" s="1218">
        <v>0</v>
      </c>
      <c r="EL156" s="1219">
        <f t="shared" si="361"/>
      </c>
      <c r="EM156" s="1218">
        <v>0</v>
      </c>
      <c r="EN156" s="1218">
        <v>0</v>
      </c>
      <c r="EO156" s="1218">
        <v>0</v>
      </c>
      <c r="EP156" s="1218">
        <v>0</v>
      </c>
      <c r="EQ156" s="1219">
        <f t="shared" si="362"/>
      </c>
      <c r="ER156" s="1218">
        <v>0</v>
      </c>
      <c r="ES156" s="1218">
        <v>0</v>
      </c>
      <c r="ET156" s="1518">
        <v>0</v>
      </c>
      <c r="EU156" s="1518">
        <v>0</v>
      </c>
      <c r="EV156" s="1223">
        <f t="shared" si="363"/>
      </c>
      <c r="EW156" s="1218">
        <v>0</v>
      </c>
      <c r="EX156" s="1218">
        <v>0</v>
      </c>
      <c r="EY156" s="1218">
        <v>0</v>
      </c>
      <c r="EZ156" s="1218">
        <v>0</v>
      </c>
      <c r="FA156" s="1223">
        <f t="shared" si="364"/>
      </c>
      <c r="FB156" s="690"/>
      <c r="FC156" s="690"/>
      <c r="FD156" s="690"/>
      <c r="FE156" s="690"/>
      <c r="FF156" s="1175"/>
      <c r="FG156" s="690"/>
      <c r="FH156" s="690"/>
      <c r="FI156" s="690"/>
      <c r="FJ156" s="690"/>
      <c r="FK156" s="1175"/>
      <c r="FL156" s="690"/>
      <c r="FM156" s="690"/>
      <c r="FN156" s="690"/>
      <c r="FO156" s="690"/>
      <c r="FP156" s="1175"/>
      <c r="FQ156" s="690"/>
      <c r="FR156" s="690"/>
      <c r="FS156" s="690"/>
      <c r="FT156" s="690"/>
      <c r="FU156" s="1175"/>
      <c r="FV156" s="690"/>
      <c r="FW156" s="690"/>
      <c r="FX156" s="690"/>
      <c r="FY156" s="690"/>
      <c r="FZ156" s="1175"/>
      <c r="GA156" s="690"/>
      <c r="GB156" s="690"/>
      <c r="GC156" s="690"/>
      <c r="GD156" s="690"/>
      <c r="GE156" s="1175"/>
      <c r="GF156" s="690"/>
      <c r="GG156" s="690"/>
      <c r="GH156" s="690"/>
      <c r="GI156" s="690"/>
      <c r="GJ156" s="1175"/>
    </row>
    <row r="157" spans="1:192" s="461" customFormat="1" ht="12.75" customHeight="1" outlineLevel="2">
      <c r="A157" s="370"/>
      <c r="B157" s="986" t="s">
        <v>1845</v>
      </c>
      <c r="C157" s="493"/>
      <c r="D157" s="493"/>
      <c r="E157" s="493"/>
      <c r="F157" s="493"/>
      <c r="G157" s="1175"/>
      <c r="H157" s="493"/>
      <c r="I157" s="493"/>
      <c r="J157" s="493"/>
      <c r="K157" s="493"/>
      <c r="L157" s="1175"/>
      <c r="M157" s="815"/>
      <c r="N157" s="815"/>
      <c r="O157" s="815"/>
      <c r="P157" s="815"/>
      <c r="Q157" s="1175"/>
      <c r="R157" s="815"/>
      <c r="S157" s="815"/>
      <c r="T157" s="815"/>
      <c r="U157" s="815"/>
      <c r="V157" s="1175"/>
      <c r="W157" s="815"/>
      <c r="X157" s="815"/>
      <c r="Y157" s="815"/>
      <c r="Z157" s="493"/>
      <c r="AA157" s="1175"/>
      <c r="AB157" s="815"/>
      <c r="AC157" s="815"/>
      <c r="AD157" s="815"/>
      <c r="AE157" s="493"/>
      <c r="AF157" s="1175"/>
      <c r="AG157" s="493"/>
      <c r="AH157" s="493"/>
      <c r="AI157" s="493"/>
      <c r="AJ157" s="493"/>
      <c r="AK157" s="1175"/>
      <c r="AL157" s="493"/>
      <c r="AM157" s="493"/>
      <c r="AN157" s="493"/>
      <c r="AO157" s="493"/>
      <c r="AP157" s="1175"/>
      <c r="AQ157" s="493"/>
      <c r="AR157" s="493"/>
      <c r="AS157" s="493"/>
      <c r="AT157" s="493"/>
      <c r="AU157" s="1175"/>
      <c r="AV157" s="493"/>
      <c r="AW157" s="493"/>
      <c r="AX157" s="493"/>
      <c r="AY157" s="493"/>
      <c r="AZ157" s="1175"/>
      <c r="BA157" s="1218"/>
      <c r="BB157" s="1218"/>
      <c r="BC157" s="1218"/>
      <c r="BD157" s="1218"/>
      <c r="BE157" s="1219"/>
      <c r="BF157" s="1218"/>
      <c r="BG157" s="1218"/>
      <c r="BH157" s="1218"/>
      <c r="BI157" s="1218"/>
      <c r="BJ157" s="1219"/>
      <c r="BK157" s="1218"/>
      <c r="BL157" s="1218"/>
      <c r="BM157" s="1218"/>
      <c r="BN157" s="1218"/>
      <c r="BO157" s="1219"/>
      <c r="BP157" s="1218"/>
      <c r="BQ157" s="1218"/>
      <c r="BR157" s="1218"/>
      <c r="BS157" s="1218"/>
      <c r="BT157" s="1219"/>
      <c r="BU157" s="1218"/>
      <c r="BV157" s="1218"/>
      <c r="BW157" s="1218"/>
      <c r="BX157" s="1218"/>
      <c r="BY157" s="1219"/>
      <c r="BZ157" s="1218"/>
      <c r="CA157" s="1218"/>
      <c r="CB157" s="1218"/>
      <c r="CC157" s="1218"/>
      <c r="CD157" s="1219"/>
      <c r="CE157" s="1218"/>
      <c r="CF157" s="1218"/>
      <c r="CG157" s="1218"/>
      <c r="CH157" s="1218"/>
      <c r="CI157" s="1219"/>
      <c r="CJ157" s="1218"/>
      <c r="CK157" s="1218"/>
      <c r="CL157" s="1218"/>
      <c r="CM157" s="1218"/>
      <c r="CN157" s="1219"/>
      <c r="CO157" s="1218"/>
      <c r="CP157" s="1218"/>
      <c r="CQ157" s="1218"/>
      <c r="CR157" s="1218"/>
      <c r="CS157" s="1219"/>
      <c r="CT157" s="1218"/>
      <c r="CU157" s="1218"/>
      <c r="CV157" s="1218"/>
      <c r="CW157" s="1218"/>
      <c r="CX157" s="1219"/>
      <c r="CY157" s="1218">
        <v>0</v>
      </c>
      <c r="CZ157" s="1218">
        <v>0</v>
      </c>
      <c r="DA157" s="1218">
        <v>0</v>
      </c>
      <c r="DB157" s="1218">
        <v>0</v>
      </c>
      <c r="DC157" s="1219">
        <f t="shared" si="354"/>
      </c>
      <c r="DD157" s="1218">
        <v>0</v>
      </c>
      <c r="DE157" s="1218">
        <v>0</v>
      </c>
      <c r="DF157" s="1218">
        <v>0</v>
      </c>
      <c r="DG157" s="1218">
        <v>0</v>
      </c>
      <c r="DH157" s="1219">
        <f t="shared" si="355"/>
      </c>
      <c r="DI157" s="1218">
        <v>0</v>
      </c>
      <c r="DJ157" s="1218">
        <v>0</v>
      </c>
      <c r="DK157" s="1218">
        <v>0</v>
      </c>
      <c r="DL157" s="1218">
        <v>0</v>
      </c>
      <c r="DM157" s="1219">
        <f t="shared" si="356"/>
      </c>
      <c r="DN157" s="1218">
        <v>0</v>
      </c>
      <c r="DO157" s="1218">
        <v>0</v>
      </c>
      <c r="DP157" s="1218">
        <v>0</v>
      </c>
      <c r="DQ157" s="1218">
        <v>0</v>
      </c>
      <c r="DR157" s="1219">
        <f t="shared" si="357"/>
      </c>
      <c r="DS157" s="1218">
        <v>0</v>
      </c>
      <c r="DT157" s="1218">
        <v>0</v>
      </c>
      <c r="DU157" s="1218">
        <v>0</v>
      </c>
      <c r="DV157" s="1218">
        <v>0</v>
      </c>
      <c r="DW157" s="1219">
        <f t="shared" si="358"/>
      </c>
      <c r="DX157" s="1218">
        <v>0</v>
      </c>
      <c r="DY157" s="1218">
        <v>0</v>
      </c>
      <c r="DZ157" s="1218">
        <v>0</v>
      </c>
      <c r="EA157" s="1218">
        <v>0</v>
      </c>
      <c r="EB157" s="1219">
        <f t="shared" si="359"/>
      </c>
      <c r="EC157" s="1218">
        <v>0</v>
      </c>
      <c r="ED157" s="1218">
        <v>0</v>
      </c>
      <c r="EE157" s="1218">
        <v>0</v>
      </c>
      <c r="EF157" s="1218">
        <v>0</v>
      </c>
      <c r="EG157" s="1219">
        <f t="shared" si="360"/>
      </c>
      <c r="EH157" s="1218">
        <v>0</v>
      </c>
      <c r="EI157" s="1218">
        <v>0</v>
      </c>
      <c r="EJ157" s="1218">
        <v>0</v>
      </c>
      <c r="EK157" s="1218">
        <v>0</v>
      </c>
      <c r="EL157" s="1219">
        <f t="shared" si="361"/>
      </c>
      <c r="EM157" s="1218">
        <v>0</v>
      </c>
      <c r="EN157" s="1218">
        <v>0</v>
      </c>
      <c r="EO157" s="1218">
        <v>0</v>
      </c>
      <c r="EP157" s="1218">
        <v>0</v>
      </c>
      <c r="EQ157" s="1219">
        <f t="shared" si="362"/>
      </c>
      <c r="ER157" s="1218">
        <v>0</v>
      </c>
      <c r="ES157" s="1218">
        <v>0</v>
      </c>
      <c r="ET157" s="1518">
        <v>0</v>
      </c>
      <c r="EU157" s="1518">
        <v>0</v>
      </c>
      <c r="EV157" s="1223">
        <f t="shared" si="363"/>
      </c>
      <c r="EW157" s="1218">
        <v>0</v>
      </c>
      <c r="EX157" s="1218">
        <v>0</v>
      </c>
      <c r="EY157" s="1218">
        <v>0</v>
      </c>
      <c r="EZ157" s="1218">
        <v>0</v>
      </c>
      <c r="FA157" s="1223">
        <f t="shared" si="364"/>
      </c>
      <c r="FB157" s="690"/>
      <c r="FC157" s="690"/>
      <c r="FD157" s="690"/>
      <c r="FE157" s="690"/>
      <c r="FF157" s="1175"/>
      <c r="FG157" s="690"/>
      <c r="FH157" s="690"/>
      <c r="FI157" s="690"/>
      <c r="FJ157" s="690"/>
      <c r="FK157" s="1175"/>
      <c r="FL157" s="690"/>
      <c r="FM157" s="690"/>
      <c r="FN157" s="690"/>
      <c r="FO157" s="690"/>
      <c r="FP157" s="1175"/>
      <c r="FQ157" s="690"/>
      <c r="FR157" s="690"/>
      <c r="FS157" s="690"/>
      <c r="FT157" s="690"/>
      <c r="FU157" s="1175"/>
      <c r="FV157" s="690"/>
      <c r="FW157" s="690"/>
      <c r="FX157" s="690"/>
      <c r="FY157" s="690"/>
      <c r="FZ157" s="1175"/>
      <c r="GA157" s="690"/>
      <c r="GB157" s="690"/>
      <c r="GC157" s="690"/>
      <c r="GD157" s="690"/>
      <c r="GE157" s="1175"/>
      <c r="GF157" s="690"/>
      <c r="GG157" s="690"/>
      <c r="GH157" s="690"/>
      <c r="GI157" s="690"/>
      <c r="GJ157" s="1175"/>
    </row>
    <row r="158" spans="1:192" s="461" customFormat="1" ht="12.75" customHeight="1" outlineLevel="2">
      <c r="A158" s="370"/>
      <c r="B158" s="986" t="s">
        <v>1846</v>
      </c>
      <c r="C158" s="493"/>
      <c r="D158" s="493"/>
      <c r="E158" s="493"/>
      <c r="F158" s="493"/>
      <c r="G158" s="1175"/>
      <c r="H158" s="493"/>
      <c r="I158" s="493"/>
      <c r="J158" s="493"/>
      <c r="K158" s="493"/>
      <c r="L158" s="1175"/>
      <c r="M158" s="815"/>
      <c r="N158" s="815"/>
      <c r="O158" s="815"/>
      <c r="P158" s="815"/>
      <c r="Q158" s="1175"/>
      <c r="R158" s="815"/>
      <c r="S158" s="815"/>
      <c r="T158" s="815"/>
      <c r="U158" s="815"/>
      <c r="V158" s="1175"/>
      <c r="W158" s="815"/>
      <c r="X158" s="815"/>
      <c r="Y158" s="815"/>
      <c r="Z158" s="493"/>
      <c r="AA158" s="1175"/>
      <c r="AB158" s="815"/>
      <c r="AC158" s="815"/>
      <c r="AD158" s="815"/>
      <c r="AE158" s="493"/>
      <c r="AF158" s="1175"/>
      <c r="AG158" s="493"/>
      <c r="AH158" s="493"/>
      <c r="AI158" s="493"/>
      <c r="AJ158" s="493"/>
      <c r="AK158" s="1175"/>
      <c r="AL158" s="493"/>
      <c r="AM158" s="493"/>
      <c r="AN158" s="493"/>
      <c r="AO158" s="493"/>
      <c r="AP158" s="1175"/>
      <c r="AQ158" s="493"/>
      <c r="AR158" s="493"/>
      <c r="AS158" s="493"/>
      <c r="AT158" s="493"/>
      <c r="AU158" s="1175"/>
      <c r="AV158" s="493"/>
      <c r="AW158" s="493"/>
      <c r="AX158" s="493"/>
      <c r="AY158" s="493"/>
      <c r="AZ158" s="1175"/>
      <c r="BA158" s="1218"/>
      <c r="BB158" s="1218"/>
      <c r="BC158" s="1218"/>
      <c r="BD158" s="1218"/>
      <c r="BE158" s="1219"/>
      <c r="BF158" s="1218"/>
      <c r="BG158" s="1218"/>
      <c r="BH158" s="1218"/>
      <c r="BI158" s="1218"/>
      <c r="BJ158" s="1219"/>
      <c r="BK158" s="1218"/>
      <c r="BL158" s="1218"/>
      <c r="BM158" s="1218"/>
      <c r="BN158" s="1218"/>
      <c r="BO158" s="1219"/>
      <c r="BP158" s="1218"/>
      <c r="BQ158" s="1218"/>
      <c r="BR158" s="1218"/>
      <c r="BS158" s="1218"/>
      <c r="BT158" s="1219"/>
      <c r="BU158" s="1218"/>
      <c r="BV158" s="1218"/>
      <c r="BW158" s="1218"/>
      <c r="BX158" s="1218"/>
      <c r="BY158" s="1219"/>
      <c r="BZ158" s="1218"/>
      <c r="CA158" s="1218"/>
      <c r="CB158" s="1218"/>
      <c r="CC158" s="1218"/>
      <c r="CD158" s="1219"/>
      <c r="CE158" s="1218"/>
      <c r="CF158" s="1218"/>
      <c r="CG158" s="1218"/>
      <c r="CH158" s="1218"/>
      <c r="CI158" s="1219"/>
      <c r="CJ158" s="1218"/>
      <c r="CK158" s="1218"/>
      <c r="CL158" s="1218"/>
      <c r="CM158" s="1218"/>
      <c r="CN158" s="1219"/>
      <c r="CO158" s="1218"/>
      <c r="CP158" s="1218"/>
      <c r="CQ158" s="1218"/>
      <c r="CR158" s="1218"/>
      <c r="CS158" s="1219"/>
      <c r="CT158" s="1218"/>
      <c r="CU158" s="1218"/>
      <c r="CV158" s="1218"/>
      <c r="CW158" s="1218"/>
      <c r="CX158" s="1219"/>
      <c r="CY158" s="1218">
        <v>0</v>
      </c>
      <c r="CZ158" s="1218">
        <v>0</v>
      </c>
      <c r="DA158" s="1218">
        <v>0</v>
      </c>
      <c r="DB158" s="1218">
        <v>0</v>
      </c>
      <c r="DC158" s="1219">
        <f t="shared" si="354"/>
      </c>
      <c r="DD158" s="1218">
        <v>0</v>
      </c>
      <c r="DE158" s="1218">
        <v>0</v>
      </c>
      <c r="DF158" s="1218">
        <v>0</v>
      </c>
      <c r="DG158" s="1218">
        <v>0</v>
      </c>
      <c r="DH158" s="1219">
        <f t="shared" si="355"/>
      </c>
      <c r="DI158" s="1218">
        <v>0</v>
      </c>
      <c r="DJ158" s="1218">
        <v>0</v>
      </c>
      <c r="DK158" s="1218">
        <v>0</v>
      </c>
      <c r="DL158" s="1218">
        <v>0</v>
      </c>
      <c r="DM158" s="1219">
        <f t="shared" si="356"/>
      </c>
      <c r="DN158" s="1218">
        <v>0</v>
      </c>
      <c r="DO158" s="1218">
        <v>0</v>
      </c>
      <c r="DP158" s="1218">
        <v>0</v>
      </c>
      <c r="DQ158" s="1218">
        <v>0</v>
      </c>
      <c r="DR158" s="1219">
        <f t="shared" si="357"/>
      </c>
      <c r="DS158" s="1218">
        <v>0</v>
      </c>
      <c r="DT158" s="1218">
        <v>0</v>
      </c>
      <c r="DU158" s="1218">
        <v>0</v>
      </c>
      <c r="DV158" s="1218">
        <v>0</v>
      </c>
      <c r="DW158" s="1219">
        <f t="shared" si="358"/>
      </c>
      <c r="DX158" s="1218">
        <v>0</v>
      </c>
      <c r="DY158" s="1218">
        <v>0</v>
      </c>
      <c r="DZ158" s="1218">
        <v>0</v>
      </c>
      <c r="EA158" s="1218">
        <v>0</v>
      </c>
      <c r="EB158" s="1219">
        <f t="shared" si="359"/>
      </c>
      <c r="EC158" s="1218">
        <v>0</v>
      </c>
      <c r="ED158" s="1218">
        <v>0</v>
      </c>
      <c r="EE158" s="1218">
        <v>0</v>
      </c>
      <c r="EF158" s="1218">
        <v>0</v>
      </c>
      <c r="EG158" s="1219">
        <f t="shared" si="360"/>
      </c>
      <c r="EH158" s="1218">
        <v>0</v>
      </c>
      <c r="EI158" s="1218">
        <v>0</v>
      </c>
      <c r="EJ158" s="1218">
        <v>0</v>
      </c>
      <c r="EK158" s="1218">
        <v>0</v>
      </c>
      <c r="EL158" s="1219">
        <f t="shared" si="361"/>
      </c>
      <c r="EM158" s="1218">
        <v>0</v>
      </c>
      <c r="EN158" s="1218">
        <v>0</v>
      </c>
      <c r="EO158" s="1218">
        <v>0</v>
      </c>
      <c r="EP158" s="1218">
        <v>0</v>
      </c>
      <c r="EQ158" s="1219">
        <f t="shared" si="362"/>
      </c>
      <c r="ER158" s="1218">
        <v>0</v>
      </c>
      <c r="ES158" s="1218">
        <v>0</v>
      </c>
      <c r="ET158" s="1518">
        <v>0</v>
      </c>
      <c r="EU158" s="1518">
        <v>0</v>
      </c>
      <c r="EV158" s="1223">
        <f t="shared" si="363"/>
      </c>
      <c r="EW158" s="1218">
        <v>0</v>
      </c>
      <c r="EX158" s="1218">
        <v>0</v>
      </c>
      <c r="EY158" s="1218">
        <v>0</v>
      </c>
      <c r="EZ158" s="1218">
        <v>0</v>
      </c>
      <c r="FA158" s="1223">
        <f t="shared" si="364"/>
      </c>
      <c r="FB158" s="690"/>
      <c r="FC158" s="690"/>
      <c r="FD158" s="690"/>
      <c r="FE158" s="690"/>
      <c r="FF158" s="1175"/>
      <c r="FG158" s="690"/>
      <c r="FH158" s="690"/>
      <c r="FI158" s="690"/>
      <c r="FJ158" s="690"/>
      <c r="FK158" s="1175"/>
      <c r="FL158" s="690"/>
      <c r="FM158" s="690"/>
      <c r="FN158" s="690"/>
      <c r="FO158" s="690"/>
      <c r="FP158" s="1175"/>
      <c r="FQ158" s="690"/>
      <c r="FR158" s="690"/>
      <c r="FS158" s="690"/>
      <c r="FT158" s="690"/>
      <c r="FU158" s="1175"/>
      <c r="FV158" s="690"/>
      <c r="FW158" s="690"/>
      <c r="FX158" s="690"/>
      <c r="FY158" s="690"/>
      <c r="FZ158" s="1175"/>
      <c r="GA158" s="690"/>
      <c r="GB158" s="690"/>
      <c r="GC158" s="690"/>
      <c r="GD158" s="690"/>
      <c r="GE158" s="1175"/>
      <c r="GF158" s="690"/>
      <c r="GG158" s="690"/>
      <c r="GH158" s="690"/>
      <c r="GI158" s="690"/>
      <c r="GJ158" s="1175"/>
    </row>
    <row r="159" spans="1:192" s="461" customFormat="1" ht="12.75" customHeight="1" outlineLevel="2">
      <c r="A159" s="370"/>
      <c r="B159" s="986" t="s">
        <v>1847</v>
      </c>
      <c r="C159" s="493"/>
      <c r="D159" s="493"/>
      <c r="E159" s="493"/>
      <c r="F159" s="493"/>
      <c r="G159" s="1175"/>
      <c r="H159" s="493"/>
      <c r="I159" s="493"/>
      <c r="J159" s="493"/>
      <c r="K159" s="493"/>
      <c r="L159" s="1175"/>
      <c r="M159" s="815"/>
      <c r="N159" s="815"/>
      <c r="O159" s="815"/>
      <c r="P159" s="815"/>
      <c r="Q159" s="1175"/>
      <c r="R159" s="815"/>
      <c r="S159" s="815"/>
      <c r="T159" s="815"/>
      <c r="U159" s="815"/>
      <c r="V159" s="1175"/>
      <c r="W159" s="815"/>
      <c r="X159" s="815"/>
      <c r="Y159" s="815"/>
      <c r="Z159" s="493"/>
      <c r="AA159" s="1175"/>
      <c r="AB159" s="815"/>
      <c r="AC159" s="815"/>
      <c r="AD159" s="815"/>
      <c r="AE159" s="493"/>
      <c r="AF159" s="1175"/>
      <c r="AG159" s="493"/>
      <c r="AH159" s="493"/>
      <c r="AI159" s="493"/>
      <c r="AJ159" s="493"/>
      <c r="AK159" s="1175"/>
      <c r="AL159" s="493"/>
      <c r="AM159" s="493"/>
      <c r="AN159" s="493"/>
      <c r="AO159" s="493"/>
      <c r="AP159" s="1175"/>
      <c r="AQ159" s="493"/>
      <c r="AR159" s="493"/>
      <c r="AS159" s="493"/>
      <c r="AT159" s="493"/>
      <c r="AU159" s="1175"/>
      <c r="AV159" s="493"/>
      <c r="AW159" s="493"/>
      <c r="AX159" s="493"/>
      <c r="AY159" s="493"/>
      <c r="AZ159" s="1175"/>
      <c r="BA159" s="1218"/>
      <c r="BB159" s="1218"/>
      <c r="BC159" s="1218"/>
      <c r="BD159" s="1218"/>
      <c r="BE159" s="1219"/>
      <c r="BF159" s="1218"/>
      <c r="BG159" s="1218"/>
      <c r="BH159" s="1218"/>
      <c r="BI159" s="1218"/>
      <c r="BJ159" s="1219"/>
      <c r="BK159" s="1218"/>
      <c r="BL159" s="1218"/>
      <c r="BM159" s="1218"/>
      <c r="BN159" s="1218"/>
      <c r="BO159" s="1219"/>
      <c r="BP159" s="1218"/>
      <c r="BQ159" s="1218"/>
      <c r="BR159" s="1218"/>
      <c r="BS159" s="1218"/>
      <c r="BT159" s="1219"/>
      <c r="BU159" s="1218"/>
      <c r="BV159" s="1218"/>
      <c r="BW159" s="1218"/>
      <c r="BX159" s="1218"/>
      <c r="BY159" s="1219"/>
      <c r="BZ159" s="1218"/>
      <c r="CA159" s="1218"/>
      <c r="CB159" s="1218"/>
      <c r="CC159" s="1218"/>
      <c r="CD159" s="1219"/>
      <c r="CE159" s="1218"/>
      <c r="CF159" s="1218"/>
      <c r="CG159" s="1218"/>
      <c r="CH159" s="1218"/>
      <c r="CI159" s="1219"/>
      <c r="CJ159" s="1218"/>
      <c r="CK159" s="1218"/>
      <c r="CL159" s="1218"/>
      <c r="CM159" s="1218"/>
      <c r="CN159" s="1219"/>
      <c r="CO159" s="1218"/>
      <c r="CP159" s="1218"/>
      <c r="CQ159" s="1218"/>
      <c r="CR159" s="1218"/>
      <c r="CS159" s="1219"/>
      <c r="CT159" s="1218"/>
      <c r="CU159" s="1218"/>
      <c r="CV159" s="1218"/>
      <c r="CW159" s="1218"/>
      <c r="CX159" s="1219"/>
      <c r="CY159" s="1218">
        <v>0</v>
      </c>
      <c r="CZ159" s="1218">
        <v>0</v>
      </c>
      <c r="DA159" s="1218">
        <v>0</v>
      </c>
      <c r="DB159" s="1218">
        <v>0</v>
      </c>
      <c r="DC159" s="1219">
        <f t="shared" si="354"/>
      </c>
      <c r="DD159" s="1218">
        <v>0</v>
      </c>
      <c r="DE159" s="1218">
        <v>0</v>
      </c>
      <c r="DF159" s="1218">
        <v>0</v>
      </c>
      <c r="DG159" s="1218">
        <v>0</v>
      </c>
      <c r="DH159" s="1219">
        <f t="shared" si="355"/>
      </c>
      <c r="DI159" s="1218">
        <v>0</v>
      </c>
      <c r="DJ159" s="1218">
        <v>0</v>
      </c>
      <c r="DK159" s="1218">
        <v>0</v>
      </c>
      <c r="DL159" s="1218">
        <v>0</v>
      </c>
      <c r="DM159" s="1219">
        <f t="shared" si="356"/>
      </c>
      <c r="DN159" s="1218">
        <v>0</v>
      </c>
      <c r="DO159" s="1218">
        <v>0</v>
      </c>
      <c r="DP159" s="1218">
        <v>0</v>
      </c>
      <c r="DQ159" s="1218">
        <v>0</v>
      </c>
      <c r="DR159" s="1219">
        <f t="shared" si="357"/>
      </c>
      <c r="DS159" s="1218">
        <v>0</v>
      </c>
      <c r="DT159" s="1218">
        <v>0</v>
      </c>
      <c r="DU159" s="1218">
        <v>0</v>
      </c>
      <c r="DV159" s="1218">
        <v>0</v>
      </c>
      <c r="DW159" s="1219">
        <f t="shared" si="358"/>
      </c>
      <c r="DX159" s="1218">
        <v>0</v>
      </c>
      <c r="DY159" s="1218">
        <v>0</v>
      </c>
      <c r="DZ159" s="1218">
        <v>0</v>
      </c>
      <c r="EA159" s="1218">
        <v>0</v>
      </c>
      <c r="EB159" s="1219">
        <f t="shared" si="359"/>
      </c>
      <c r="EC159" s="1218">
        <v>0</v>
      </c>
      <c r="ED159" s="1218">
        <v>0</v>
      </c>
      <c r="EE159" s="1218">
        <v>0</v>
      </c>
      <c r="EF159" s="1218">
        <v>0</v>
      </c>
      <c r="EG159" s="1219">
        <f t="shared" si="360"/>
      </c>
      <c r="EH159" s="1218">
        <v>0</v>
      </c>
      <c r="EI159" s="1218">
        <v>0</v>
      </c>
      <c r="EJ159" s="1218">
        <v>0</v>
      </c>
      <c r="EK159" s="1218">
        <v>0</v>
      </c>
      <c r="EL159" s="1219">
        <f t="shared" si="361"/>
      </c>
      <c r="EM159" s="1218">
        <v>0</v>
      </c>
      <c r="EN159" s="1218">
        <v>0</v>
      </c>
      <c r="EO159" s="1218">
        <v>0</v>
      </c>
      <c r="EP159" s="1218">
        <v>0</v>
      </c>
      <c r="EQ159" s="1219">
        <f t="shared" si="362"/>
      </c>
      <c r="ER159" s="1218">
        <v>0</v>
      </c>
      <c r="ES159" s="1218">
        <v>0</v>
      </c>
      <c r="ET159" s="1518">
        <v>0</v>
      </c>
      <c r="EU159" s="1518">
        <v>0</v>
      </c>
      <c r="EV159" s="1223">
        <f t="shared" si="363"/>
      </c>
      <c r="EW159" s="1218">
        <v>0</v>
      </c>
      <c r="EX159" s="1218">
        <v>0</v>
      </c>
      <c r="EY159" s="1218">
        <v>0</v>
      </c>
      <c r="EZ159" s="1218">
        <v>0</v>
      </c>
      <c r="FA159" s="1223">
        <f t="shared" si="364"/>
      </c>
      <c r="FB159" s="690"/>
      <c r="FC159" s="690"/>
      <c r="FD159" s="690"/>
      <c r="FE159" s="690"/>
      <c r="FF159" s="1175"/>
      <c r="FG159" s="690"/>
      <c r="FH159" s="690"/>
      <c r="FI159" s="690"/>
      <c r="FJ159" s="690"/>
      <c r="FK159" s="1175"/>
      <c r="FL159" s="690"/>
      <c r="FM159" s="690"/>
      <c r="FN159" s="690"/>
      <c r="FO159" s="690"/>
      <c r="FP159" s="1175"/>
      <c r="FQ159" s="690"/>
      <c r="FR159" s="690"/>
      <c r="FS159" s="690"/>
      <c r="FT159" s="690"/>
      <c r="FU159" s="1175"/>
      <c r="FV159" s="690"/>
      <c r="FW159" s="690"/>
      <c r="FX159" s="690"/>
      <c r="FY159" s="690"/>
      <c r="FZ159" s="1175"/>
      <c r="GA159" s="690"/>
      <c r="GB159" s="690"/>
      <c r="GC159" s="690"/>
      <c r="GD159" s="690"/>
      <c r="GE159" s="1175"/>
      <c r="GF159" s="690"/>
      <c r="GG159" s="690"/>
      <c r="GH159" s="690"/>
      <c r="GI159" s="690"/>
      <c r="GJ159" s="1175"/>
    </row>
    <row r="160" spans="1:192" s="461" customFormat="1" ht="12.75" customHeight="1" outlineLevel="2">
      <c r="A160" s="370"/>
      <c r="B160" s="986" t="s">
        <v>1848</v>
      </c>
      <c r="C160" s="493"/>
      <c r="D160" s="493"/>
      <c r="E160" s="493"/>
      <c r="F160" s="493"/>
      <c r="G160" s="1175"/>
      <c r="H160" s="493"/>
      <c r="I160" s="493"/>
      <c r="J160" s="493"/>
      <c r="K160" s="493"/>
      <c r="L160" s="1175"/>
      <c r="M160" s="815"/>
      <c r="N160" s="815"/>
      <c r="O160" s="815"/>
      <c r="P160" s="815"/>
      <c r="Q160" s="1175"/>
      <c r="R160" s="815"/>
      <c r="S160" s="815"/>
      <c r="T160" s="815"/>
      <c r="U160" s="815"/>
      <c r="V160" s="1175"/>
      <c r="W160" s="815"/>
      <c r="X160" s="815"/>
      <c r="Y160" s="815"/>
      <c r="Z160" s="493"/>
      <c r="AA160" s="1175"/>
      <c r="AB160" s="815"/>
      <c r="AC160" s="815"/>
      <c r="AD160" s="815"/>
      <c r="AE160" s="493"/>
      <c r="AF160" s="1175"/>
      <c r="AG160" s="493"/>
      <c r="AH160" s="493"/>
      <c r="AI160" s="493"/>
      <c r="AJ160" s="493"/>
      <c r="AK160" s="1175"/>
      <c r="AL160" s="493"/>
      <c r="AM160" s="493"/>
      <c r="AN160" s="493"/>
      <c r="AO160" s="493"/>
      <c r="AP160" s="1175"/>
      <c r="AQ160" s="493"/>
      <c r="AR160" s="493"/>
      <c r="AS160" s="493"/>
      <c r="AT160" s="493"/>
      <c r="AU160" s="1175"/>
      <c r="AV160" s="493"/>
      <c r="AW160" s="493"/>
      <c r="AX160" s="493"/>
      <c r="AY160" s="493"/>
      <c r="AZ160" s="1175"/>
      <c r="BA160" s="1218"/>
      <c r="BB160" s="1218"/>
      <c r="BC160" s="1218"/>
      <c r="BD160" s="1218"/>
      <c r="BE160" s="1223"/>
      <c r="BF160" s="1218"/>
      <c r="BG160" s="1218"/>
      <c r="BH160" s="1218"/>
      <c r="BI160" s="1218"/>
      <c r="BJ160" s="1223"/>
      <c r="BK160" s="1218"/>
      <c r="BL160" s="1218"/>
      <c r="BM160" s="1218"/>
      <c r="BN160" s="1218"/>
      <c r="BO160" s="1223"/>
      <c r="BP160" s="1218"/>
      <c r="BQ160" s="1218"/>
      <c r="BR160" s="1218"/>
      <c r="BS160" s="1218"/>
      <c r="BT160" s="1223"/>
      <c r="BU160" s="1218"/>
      <c r="BV160" s="1218"/>
      <c r="BW160" s="1218"/>
      <c r="BX160" s="1218"/>
      <c r="BY160" s="1223"/>
      <c r="BZ160" s="1218"/>
      <c r="CA160" s="1218"/>
      <c r="CB160" s="1218"/>
      <c r="CC160" s="1218"/>
      <c r="CD160" s="1223"/>
      <c r="CE160" s="1218"/>
      <c r="CF160" s="1218"/>
      <c r="CG160" s="1218"/>
      <c r="CH160" s="1218"/>
      <c r="CI160" s="1223"/>
      <c r="CJ160" s="1218"/>
      <c r="CK160" s="1218"/>
      <c r="CL160" s="1218"/>
      <c r="CM160" s="1218"/>
      <c r="CN160" s="1223"/>
      <c r="CO160" s="1218"/>
      <c r="CP160" s="1218"/>
      <c r="CQ160" s="1218"/>
      <c r="CR160" s="1218"/>
      <c r="CS160" s="1223"/>
      <c r="CT160" s="1218"/>
      <c r="CU160" s="1218"/>
      <c r="CV160" s="1218"/>
      <c r="CW160" s="1218"/>
      <c r="CX160" s="1223"/>
      <c r="CY160" s="1218">
        <v>0</v>
      </c>
      <c r="CZ160" s="1218">
        <v>0</v>
      </c>
      <c r="DA160" s="1218">
        <v>0</v>
      </c>
      <c r="DB160" s="1218">
        <v>0</v>
      </c>
      <c r="DC160" s="1223">
        <f t="shared" si="354"/>
      </c>
      <c r="DD160" s="493">
        <v>1281</v>
      </c>
      <c r="DE160" s="493">
        <v>1897</v>
      </c>
      <c r="DF160" s="493">
        <v>1545</v>
      </c>
      <c r="DG160" s="493">
        <v>2028</v>
      </c>
      <c r="DH160" s="1223">
        <f t="shared" si="355"/>
      </c>
      <c r="DI160" s="1218">
        <v>0</v>
      </c>
      <c r="DJ160" s="1218">
        <v>0</v>
      </c>
      <c r="DK160" s="1218">
        <v>0</v>
      </c>
      <c r="DL160" s="1218">
        <v>0</v>
      </c>
      <c r="DM160" s="1219">
        <f t="shared" si="356"/>
      </c>
      <c r="DN160" s="1218">
        <v>0</v>
      </c>
      <c r="DO160" s="1218">
        <v>0</v>
      </c>
      <c r="DP160" s="1218">
        <v>0</v>
      </c>
      <c r="DQ160" s="1218">
        <v>0</v>
      </c>
      <c r="DR160" s="1219">
        <f t="shared" si="357"/>
      </c>
      <c r="DS160" s="1218">
        <v>0</v>
      </c>
      <c r="DT160" s="1218">
        <v>0</v>
      </c>
      <c r="DU160" s="1218">
        <v>0</v>
      </c>
      <c r="DV160" s="1218">
        <v>0</v>
      </c>
      <c r="DW160" s="1219">
        <f t="shared" si="358"/>
      </c>
      <c r="DX160" s="1218">
        <v>0</v>
      </c>
      <c r="DY160" s="1218">
        <v>0</v>
      </c>
      <c r="DZ160" s="1218">
        <v>0</v>
      </c>
      <c r="EA160" s="1218">
        <v>0</v>
      </c>
      <c r="EB160" s="1219">
        <f t="shared" si="359"/>
      </c>
      <c r="EC160" s="1218">
        <v>0</v>
      </c>
      <c r="ED160" s="1218">
        <v>0</v>
      </c>
      <c r="EE160" s="1218">
        <v>0</v>
      </c>
      <c r="EF160" s="1218">
        <v>0</v>
      </c>
      <c r="EG160" s="1219">
        <f t="shared" si="360"/>
      </c>
      <c r="EH160" s="1218">
        <v>0</v>
      </c>
      <c r="EI160" s="1218">
        <v>0</v>
      </c>
      <c r="EJ160" s="1218">
        <v>0</v>
      </c>
      <c r="EK160" s="1218">
        <v>0</v>
      </c>
      <c r="EL160" s="1219">
        <f t="shared" si="361"/>
      </c>
      <c r="EM160" s="1218">
        <v>0</v>
      </c>
      <c r="EN160" s="1218">
        <v>0</v>
      </c>
      <c r="EO160" s="1218">
        <v>0</v>
      </c>
      <c r="EP160" s="1218">
        <v>0</v>
      </c>
      <c r="EQ160" s="1219">
        <f t="shared" si="362"/>
      </c>
      <c r="ER160" s="1218">
        <v>0</v>
      </c>
      <c r="ES160" s="1218">
        <v>0</v>
      </c>
      <c r="ET160" s="1518">
        <v>0</v>
      </c>
      <c r="EU160" s="1518">
        <v>0</v>
      </c>
      <c r="EV160" s="1223">
        <f t="shared" si="363"/>
      </c>
      <c r="EW160" s="1218">
        <v>0</v>
      </c>
      <c r="EX160" s="1218">
        <v>0</v>
      </c>
      <c r="EY160" s="1218">
        <v>0</v>
      </c>
      <c r="EZ160" s="1218">
        <v>0</v>
      </c>
      <c r="FA160" s="1223">
        <f t="shared" si="364"/>
      </c>
      <c r="FB160" s="690"/>
      <c r="FC160" s="690"/>
      <c r="FD160" s="690"/>
      <c r="FE160" s="690"/>
      <c r="FF160" s="1175"/>
      <c r="FG160" s="690"/>
      <c r="FH160" s="690"/>
      <c r="FI160" s="690"/>
      <c r="FJ160" s="690"/>
      <c r="FK160" s="1175"/>
      <c r="FL160" s="690"/>
      <c r="FM160" s="690"/>
      <c r="FN160" s="690"/>
      <c r="FO160" s="690"/>
      <c r="FP160" s="1175"/>
      <c r="FQ160" s="690"/>
      <c r="FR160" s="690"/>
      <c r="FS160" s="690"/>
      <c r="FT160" s="690"/>
      <c r="FU160" s="1175"/>
      <c r="FV160" s="690"/>
      <c r="FW160" s="690"/>
      <c r="FX160" s="690"/>
      <c r="FY160" s="690"/>
      <c r="FZ160" s="1175"/>
      <c r="GA160" s="690"/>
      <c r="GB160" s="690"/>
      <c r="GC160" s="690"/>
      <c r="GD160" s="690"/>
      <c r="GE160" s="1175"/>
      <c r="GF160" s="690"/>
      <c r="GG160" s="690"/>
      <c r="GH160" s="690"/>
      <c r="GI160" s="690"/>
      <c r="GJ160" s="1175"/>
    </row>
    <row r="161" spans="1:192" s="461" customFormat="1" ht="12.75" customHeight="1" outlineLevel="2">
      <c r="A161" s="370"/>
      <c r="B161" s="986" t="s">
        <v>1851</v>
      </c>
      <c r="C161" s="493"/>
      <c r="D161" s="493"/>
      <c r="E161" s="493"/>
      <c r="F161" s="493"/>
      <c r="G161" s="1175"/>
      <c r="H161" s="493"/>
      <c r="I161" s="493"/>
      <c r="J161" s="493"/>
      <c r="K161" s="493"/>
      <c r="L161" s="1175"/>
      <c r="M161" s="815"/>
      <c r="N161" s="815"/>
      <c r="O161" s="815"/>
      <c r="P161" s="815"/>
      <c r="Q161" s="1175"/>
      <c r="R161" s="815"/>
      <c r="S161" s="815"/>
      <c r="T161" s="815"/>
      <c r="U161" s="815"/>
      <c r="V161" s="1175"/>
      <c r="W161" s="815"/>
      <c r="X161" s="815"/>
      <c r="Y161" s="815"/>
      <c r="Z161" s="493"/>
      <c r="AA161" s="1175"/>
      <c r="AB161" s="815"/>
      <c r="AC161" s="815"/>
      <c r="AD161" s="815"/>
      <c r="AE161" s="493"/>
      <c r="AF161" s="1175"/>
      <c r="AG161" s="493"/>
      <c r="AH161" s="493"/>
      <c r="AI161" s="493"/>
      <c r="AJ161" s="493"/>
      <c r="AK161" s="1175"/>
      <c r="AL161" s="493"/>
      <c r="AM161" s="493"/>
      <c r="AN161" s="493"/>
      <c r="AO161" s="493"/>
      <c r="AP161" s="1175"/>
      <c r="AQ161" s="493"/>
      <c r="AR161" s="493"/>
      <c r="AS161" s="493"/>
      <c r="AT161" s="493"/>
      <c r="AU161" s="1175"/>
      <c r="AV161" s="493"/>
      <c r="AW161" s="493"/>
      <c r="AX161" s="493"/>
      <c r="AY161" s="493"/>
      <c r="AZ161" s="1175"/>
      <c r="BA161" s="1218"/>
      <c r="BB161" s="1218"/>
      <c r="BC161" s="1218"/>
      <c r="BD161" s="1218"/>
      <c r="BE161" s="1223"/>
      <c r="BF161" s="1218"/>
      <c r="BG161" s="1218"/>
      <c r="BH161" s="1218"/>
      <c r="BI161" s="1218"/>
      <c r="BJ161" s="1223"/>
      <c r="BK161" s="1218"/>
      <c r="BL161" s="1218"/>
      <c r="BM161" s="1218"/>
      <c r="BN161" s="1218"/>
      <c r="BO161" s="1223"/>
      <c r="BP161" s="1218"/>
      <c r="BQ161" s="1218"/>
      <c r="BR161" s="1218"/>
      <c r="BS161" s="1218"/>
      <c r="BT161" s="1223"/>
      <c r="BU161" s="1218"/>
      <c r="BV161" s="1218"/>
      <c r="BW161" s="1218"/>
      <c r="BX161" s="1218"/>
      <c r="BY161" s="1223"/>
      <c r="BZ161" s="1218"/>
      <c r="CA161" s="1218"/>
      <c r="CB161" s="1218"/>
      <c r="CC161" s="1218"/>
      <c r="CD161" s="1223"/>
      <c r="CE161" s="1218"/>
      <c r="CF161" s="1218"/>
      <c r="CG161" s="1218"/>
      <c r="CH161" s="1218"/>
      <c r="CI161" s="1223"/>
      <c r="CJ161" s="1218"/>
      <c r="CK161" s="1218"/>
      <c r="CL161" s="1218"/>
      <c r="CM161" s="1218"/>
      <c r="CN161" s="1223"/>
      <c r="CO161" s="1218"/>
      <c r="CP161" s="1218"/>
      <c r="CQ161" s="1218"/>
      <c r="CR161" s="1218"/>
      <c r="CS161" s="1223"/>
      <c r="CT161" s="1218"/>
      <c r="CU161" s="1218">
        <v>1329</v>
      </c>
      <c r="CV161" s="1218">
        <v>-1658</v>
      </c>
      <c r="CW161" s="1218"/>
      <c r="CX161" s="1223"/>
      <c r="CY161" s="1218">
        <v>0</v>
      </c>
      <c r="CZ161" s="1218">
        <v>0</v>
      </c>
      <c r="DA161" s="1218">
        <v>0</v>
      </c>
      <c r="DB161" s="1218">
        <v>0</v>
      </c>
      <c r="DC161" s="1219">
        <f t="shared" si="354"/>
      </c>
      <c r="DD161" s="1218">
        <v>0</v>
      </c>
      <c r="DE161" s="1218">
        <v>0</v>
      </c>
      <c r="DF161" s="1218">
        <v>0</v>
      </c>
      <c r="DG161" s="1218">
        <v>0</v>
      </c>
      <c r="DH161" s="1219">
        <f t="shared" si="355"/>
      </c>
      <c r="DI161" s="1218">
        <v>0</v>
      </c>
      <c r="DJ161" s="1218">
        <v>0</v>
      </c>
      <c r="DK161" s="1218">
        <v>0</v>
      </c>
      <c r="DL161" s="1218">
        <v>0</v>
      </c>
      <c r="DM161" s="1219">
        <f t="shared" si="356"/>
      </c>
      <c r="DN161" s="1218">
        <v>0</v>
      </c>
      <c r="DO161" s="1218">
        <v>0</v>
      </c>
      <c r="DP161" s="1218">
        <v>0</v>
      </c>
      <c r="DQ161" s="1218">
        <v>0</v>
      </c>
      <c r="DR161" s="1219">
        <f t="shared" si="357"/>
      </c>
      <c r="DS161" s="1218">
        <v>0</v>
      </c>
      <c r="DT161" s="1218">
        <v>0</v>
      </c>
      <c r="DU161" s="1218">
        <v>0</v>
      </c>
      <c r="DV161" s="1218">
        <v>0</v>
      </c>
      <c r="DW161" s="1219">
        <f t="shared" si="358"/>
      </c>
      <c r="DX161" s="1218">
        <v>0</v>
      </c>
      <c r="DY161" s="1218">
        <v>0</v>
      </c>
      <c r="DZ161" s="1218">
        <v>0</v>
      </c>
      <c r="EA161" s="1218">
        <v>0</v>
      </c>
      <c r="EB161" s="1219">
        <f t="shared" si="359"/>
      </c>
      <c r="EC161" s="1218">
        <v>0</v>
      </c>
      <c r="ED161" s="1218">
        <v>0</v>
      </c>
      <c r="EE161" s="1218">
        <v>0</v>
      </c>
      <c r="EF161" s="1218">
        <v>0</v>
      </c>
      <c r="EG161" s="1219">
        <f t="shared" si="360"/>
      </c>
      <c r="EH161" s="1218">
        <v>0</v>
      </c>
      <c r="EI161" s="1218">
        <v>0</v>
      </c>
      <c r="EJ161" s="1218">
        <v>0</v>
      </c>
      <c r="EK161" s="1218">
        <v>0</v>
      </c>
      <c r="EL161" s="1219">
        <f t="shared" si="361"/>
      </c>
      <c r="EM161" s="1218">
        <v>0</v>
      </c>
      <c r="EN161" s="1218">
        <v>0</v>
      </c>
      <c r="EO161" s="1218">
        <v>0</v>
      </c>
      <c r="EP161" s="1218">
        <v>0</v>
      </c>
      <c r="EQ161" s="1219">
        <f t="shared" si="362"/>
      </c>
      <c r="ER161" s="1218">
        <v>0</v>
      </c>
      <c r="ES161" s="1218">
        <v>0</v>
      </c>
      <c r="ET161" s="1518">
        <v>0</v>
      </c>
      <c r="EU161" s="1518">
        <v>0</v>
      </c>
      <c r="EV161" s="1223">
        <f t="shared" si="363"/>
      </c>
      <c r="EW161" s="1218">
        <v>0</v>
      </c>
      <c r="EX161" s="1218">
        <v>0</v>
      </c>
      <c r="EY161" s="1218">
        <v>0</v>
      </c>
      <c r="EZ161" s="1218">
        <v>0</v>
      </c>
      <c r="FA161" s="1223">
        <f t="shared" si="364"/>
      </c>
      <c r="FB161" s="690"/>
      <c r="FC161" s="690"/>
      <c r="FD161" s="690"/>
      <c r="FE161" s="690"/>
      <c r="FF161" s="1175"/>
      <c r="FG161" s="690"/>
      <c r="FH161" s="690"/>
      <c r="FI161" s="690"/>
      <c r="FJ161" s="690"/>
      <c r="FK161" s="1175"/>
      <c r="FL161" s="690"/>
      <c r="FM161" s="690"/>
      <c r="FN161" s="690"/>
      <c r="FO161" s="690"/>
      <c r="FP161" s="1175"/>
      <c r="FQ161" s="690"/>
      <c r="FR161" s="690"/>
      <c r="FS161" s="690"/>
      <c r="FT161" s="690"/>
      <c r="FU161" s="1175"/>
      <c r="FV161" s="690"/>
      <c r="FW161" s="690"/>
      <c r="FX161" s="690"/>
      <c r="FY161" s="690"/>
      <c r="FZ161" s="1175"/>
      <c r="GA161" s="690"/>
      <c r="GB161" s="690"/>
      <c r="GC161" s="690"/>
      <c r="GD161" s="690"/>
      <c r="GE161" s="1175"/>
      <c r="GF161" s="690"/>
      <c r="GG161" s="690"/>
      <c r="GH161" s="690"/>
      <c r="GI161" s="690"/>
      <c r="GJ161" s="1175"/>
    </row>
    <row r="162" spans="1:192" s="461" customFormat="1" ht="12.75" customHeight="1" outlineLevel="2">
      <c r="A162" s="370"/>
      <c r="B162" s="986" t="s">
        <v>1852</v>
      </c>
      <c r="C162" s="493"/>
      <c r="D162" s="493"/>
      <c r="E162" s="493"/>
      <c r="F162" s="493"/>
      <c r="G162" s="1175"/>
      <c r="H162" s="493"/>
      <c r="I162" s="493"/>
      <c r="J162" s="493"/>
      <c r="K162" s="493"/>
      <c r="L162" s="1175"/>
      <c r="M162" s="815"/>
      <c r="N162" s="815"/>
      <c r="O162" s="815"/>
      <c r="P162" s="815"/>
      <c r="Q162" s="1175"/>
      <c r="R162" s="815"/>
      <c r="S162" s="815"/>
      <c r="T162" s="815"/>
      <c r="U162" s="815"/>
      <c r="V162" s="1175"/>
      <c r="W162" s="815"/>
      <c r="X162" s="815"/>
      <c r="Y162" s="815"/>
      <c r="Z162" s="493"/>
      <c r="AA162" s="1175"/>
      <c r="AB162" s="815"/>
      <c r="AC162" s="815"/>
      <c r="AD162" s="815"/>
      <c r="AE162" s="493"/>
      <c r="AF162" s="1175"/>
      <c r="AG162" s="493"/>
      <c r="AH162" s="493"/>
      <c r="AI162" s="493"/>
      <c r="AJ162" s="493"/>
      <c r="AK162" s="1175"/>
      <c r="AL162" s="493"/>
      <c r="AM162" s="493"/>
      <c r="AN162" s="493"/>
      <c r="AO162" s="493"/>
      <c r="AP162" s="1175"/>
      <c r="AQ162" s="493"/>
      <c r="AR162" s="493"/>
      <c r="AS162" s="493"/>
      <c r="AT162" s="493"/>
      <c r="AU162" s="1175"/>
      <c r="AV162" s="493"/>
      <c r="AW162" s="493"/>
      <c r="AX162" s="493"/>
      <c r="AY162" s="493"/>
      <c r="AZ162" s="1175"/>
      <c r="BA162" s="1218"/>
      <c r="BB162" s="1218"/>
      <c r="BC162" s="1218"/>
      <c r="BD162" s="1218"/>
      <c r="BE162" s="1223"/>
      <c r="BF162" s="1218"/>
      <c r="BG162" s="1218"/>
      <c r="BH162" s="1218"/>
      <c r="BI162" s="1218"/>
      <c r="BJ162" s="1223"/>
      <c r="BK162" s="1218"/>
      <c r="BL162" s="1218"/>
      <c r="BM162" s="1218"/>
      <c r="BN162" s="1218"/>
      <c r="BO162" s="1223"/>
      <c r="BP162" s="1218"/>
      <c r="BQ162" s="1218"/>
      <c r="BR162" s="1218"/>
      <c r="BS162" s="1218"/>
      <c r="BT162" s="1223"/>
      <c r="BU162" s="1218"/>
      <c r="BV162" s="1218"/>
      <c r="BW162" s="1218"/>
      <c r="BX162" s="1218"/>
      <c r="BY162" s="1223"/>
      <c r="BZ162" s="1218"/>
      <c r="CA162" s="1218"/>
      <c r="CB162" s="1218"/>
      <c r="CC162" s="1218"/>
      <c r="CD162" s="1223"/>
      <c r="CE162" s="1218"/>
      <c r="CF162" s="1218"/>
      <c r="CG162" s="1218"/>
      <c r="CH162" s="1218"/>
      <c r="CI162" s="1223"/>
      <c r="CJ162" s="1218"/>
      <c r="CK162" s="1218"/>
      <c r="CL162" s="1218"/>
      <c r="CM162" s="1218"/>
      <c r="CN162" s="1223"/>
      <c r="CO162" s="1218"/>
      <c r="CP162" s="1218"/>
      <c r="CQ162" s="1218"/>
      <c r="CR162" s="1218"/>
      <c r="CS162" s="1223"/>
      <c r="CT162" s="1218"/>
      <c r="CU162" s="1218"/>
      <c r="CV162" s="1218"/>
      <c r="CW162" s="1218"/>
      <c r="CX162" s="1223"/>
      <c r="CY162" s="1218">
        <v>0</v>
      </c>
      <c r="CZ162" s="1218">
        <v>0</v>
      </c>
      <c r="DA162" s="1218">
        <v>0</v>
      </c>
      <c r="DB162" s="1218">
        <v>0</v>
      </c>
      <c r="DC162" s="1219">
        <f t="shared" si="354"/>
      </c>
      <c r="DD162" s="1218">
        <v>0</v>
      </c>
      <c r="DE162" s="1218">
        <v>0</v>
      </c>
      <c r="DF162" s="1218">
        <v>0</v>
      </c>
      <c r="DG162" s="1218">
        <v>0</v>
      </c>
      <c r="DH162" s="1219">
        <f t="shared" si="355"/>
      </c>
      <c r="DI162" s="1218">
        <v>0</v>
      </c>
      <c r="DJ162" s="1218">
        <v>0</v>
      </c>
      <c r="DK162" s="1218">
        <v>0</v>
      </c>
      <c r="DL162" s="1218">
        <v>0</v>
      </c>
      <c r="DM162" s="1219">
        <f t="shared" si="356"/>
      </c>
      <c r="DN162" s="1218">
        <v>0</v>
      </c>
      <c r="DO162" s="1218">
        <v>0</v>
      </c>
      <c r="DP162" s="1218">
        <v>0</v>
      </c>
      <c r="DQ162" s="1218">
        <v>0</v>
      </c>
      <c r="DR162" s="1219">
        <f t="shared" si="357"/>
      </c>
      <c r="DS162" s="1218">
        <v>0</v>
      </c>
      <c r="DT162" s="1218">
        <v>0</v>
      </c>
      <c r="DU162" s="1218">
        <v>0</v>
      </c>
      <c r="DV162" s="1218">
        <v>0</v>
      </c>
      <c r="DW162" s="1219">
        <f t="shared" si="358"/>
      </c>
      <c r="DX162" s="1218">
        <v>0</v>
      </c>
      <c r="DY162" s="1218">
        <v>0</v>
      </c>
      <c r="DZ162" s="1218">
        <v>0</v>
      </c>
      <c r="EA162" s="1218">
        <v>0</v>
      </c>
      <c r="EB162" s="1219">
        <f t="shared" si="359"/>
      </c>
      <c r="EC162" s="1218">
        <v>0</v>
      </c>
      <c r="ED162" s="1218">
        <v>0</v>
      </c>
      <c r="EE162" s="1218">
        <v>0</v>
      </c>
      <c r="EF162" s="1218">
        <v>0</v>
      </c>
      <c r="EG162" s="1219">
        <f t="shared" si="360"/>
      </c>
      <c r="EH162" s="1218">
        <v>0</v>
      </c>
      <c r="EI162" s="1218">
        <v>0</v>
      </c>
      <c r="EJ162" s="1218">
        <v>0</v>
      </c>
      <c r="EK162" s="1218">
        <v>0</v>
      </c>
      <c r="EL162" s="1219">
        <f t="shared" si="361"/>
      </c>
      <c r="EM162" s="1218">
        <v>0</v>
      </c>
      <c r="EN162" s="1218">
        <v>0</v>
      </c>
      <c r="EO162" s="1218">
        <v>0</v>
      </c>
      <c r="EP162" s="1218">
        <v>0</v>
      </c>
      <c r="EQ162" s="1219">
        <f t="shared" si="362"/>
      </c>
      <c r="ER162" s="1218">
        <v>0</v>
      </c>
      <c r="ES162" s="1218">
        <v>0</v>
      </c>
      <c r="ET162" s="1518">
        <v>0</v>
      </c>
      <c r="EU162" s="1518">
        <v>0</v>
      </c>
      <c r="EV162" s="1223">
        <f t="shared" si="363"/>
      </c>
      <c r="EW162" s="1218">
        <v>0</v>
      </c>
      <c r="EX162" s="1218">
        <v>0</v>
      </c>
      <c r="EY162" s="1218">
        <v>0</v>
      </c>
      <c r="EZ162" s="1218">
        <v>0</v>
      </c>
      <c r="FA162" s="1223">
        <f t="shared" si="364"/>
      </c>
      <c r="FB162" s="690"/>
      <c r="FC162" s="690"/>
      <c r="FD162" s="690"/>
      <c r="FE162" s="690"/>
      <c r="FF162" s="1175"/>
      <c r="FG162" s="690"/>
      <c r="FH162" s="690"/>
      <c r="FI162" s="690"/>
      <c r="FJ162" s="690"/>
      <c r="FK162" s="1175"/>
      <c r="FL162" s="690"/>
      <c r="FM162" s="690"/>
      <c r="FN162" s="690"/>
      <c r="FO162" s="690"/>
      <c r="FP162" s="1175"/>
      <c r="FQ162" s="690"/>
      <c r="FR162" s="690"/>
      <c r="FS162" s="690"/>
      <c r="FT162" s="690"/>
      <c r="FU162" s="1175"/>
      <c r="FV162" s="690"/>
      <c r="FW162" s="690"/>
      <c r="FX162" s="690"/>
      <c r="FY162" s="690"/>
      <c r="FZ162" s="1175"/>
      <c r="GA162" s="690"/>
      <c r="GB162" s="690"/>
      <c r="GC162" s="690"/>
      <c r="GD162" s="690"/>
      <c r="GE162" s="1175"/>
      <c r="GF162" s="690"/>
      <c r="GG162" s="690"/>
      <c r="GH162" s="690"/>
      <c r="GI162" s="690"/>
      <c r="GJ162" s="1175"/>
    </row>
    <row r="163" spans="1:192" s="461" customFormat="1" ht="12.75" customHeight="1" outlineLevel="2">
      <c r="A163" s="370"/>
      <c r="B163" s="986" t="s">
        <v>1853</v>
      </c>
      <c r="C163" s="493"/>
      <c r="D163" s="493"/>
      <c r="E163" s="493"/>
      <c r="F163" s="493"/>
      <c r="G163" s="1175"/>
      <c r="H163" s="493"/>
      <c r="I163" s="493"/>
      <c r="J163" s="493"/>
      <c r="K163" s="493"/>
      <c r="L163" s="1175"/>
      <c r="M163" s="815"/>
      <c r="N163" s="815"/>
      <c r="O163" s="815"/>
      <c r="P163" s="815"/>
      <c r="Q163" s="1175"/>
      <c r="R163" s="815"/>
      <c r="S163" s="815"/>
      <c r="T163" s="815"/>
      <c r="U163" s="815"/>
      <c r="V163" s="1175"/>
      <c r="W163" s="815"/>
      <c r="X163" s="815"/>
      <c r="Y163" s="815"/>
      <c r="Z163" s="493"/>
      <c r="AA163" s="1175"/>
      <c r="AB163" s="815"/>
      <c r="AC163" s="815"/>
      <c r="AD163" s="815"/>
      <c r="AE163" s="493"/>
      <c r="AF163" s="1175"/>
      <c r="AG163" s="493"/>
      <c r="AH163" s="493"/>
      <c r="AI163" s="493"/>
      <c r="AJ163" s="493"/>
      <c r="AK163" s="1175"/>
      <c r="AL163" s="493"/>
      <c r="AM163" s="493"/>
      <c r="AN163" s="493"/>
      <c r="AO163" s="493"/>
      <c r="AP163" s="1175"/>
      <c r="AQ163" s="493"/>
      <c r="AR163" s="493"/>
      <c r="AS163" s="493"/>
      <c r="AT163" s="493"/>
      <c r="AU163" s="1175"/>
      <c r="AV163" s="493"/>
      <c r="AW163" s="493"/>
      <c r="AX163" s="493"/>
      <c r="AY163" s="493"/>
      <c r="AZ163" s="1175"/>
      <c r="BA163" s="1218"/>
      <c r="BB163" s="1218"/>
      <c r="BC163" s="1218"/>
      <c r="BD163" s="1218"/>
      <c r="BE163" s="1223"/>
      <c r="BF163" s="1218"/>
      <c r="BG163" s="1218"/>
      <c r="BH163" s="1218"/>
      <c r="BI163" s="1218"/>
      <c r="BJ163" s="1223"/>
      <c r="BK163" s="1218"/>
      <c r="BL163" s="1218"/>
      <c r="BM163" s="1218"/>
      <c r="BN163" s="1218"/>
      <c r="BO163" s="1223"/>
      <c r="BP163" s="1218"/>
      <c r="BQ163" s="1218"/>
      <c r="BR163" s="1218"/>
      <c r="BS163" s="1218"/>
      <c r="BT163" s="1223"/>
      <c r="BU163" s="1218"/>
      <c r="BV163" s="1218"/>
      <c r="BW163" s="1218"/>
      <c r="BX163" s="1218"/>
      <c r="BY163" s="1223"/>
      <c r="BZ163" s="1218"/>
      <c r="CA163" s="1218"/>
      <c r="CB163" s="1218"/>
      <c r="CC163" s="1218"/>
      <c r="CD163" s="1223"/>
      <c r="CE163" s="1218"/>
      <c r="CF163" s="1218"/>
      <c r="CG163" s="1218"/>
      <c r="CH163" s="1218"/>
      <c r="CI163" s="1223"/>
      <c r="CJ163" s="1218"/>
      <c r="CK163" s="1218"/>
      <c r="CL163" s="1218"/>
      <c r="CM163" s="1218"/>
      <c r="CN163" s="1223"/>
      <c r="CO163" s="1218"/>
      <c r="CP163" s="1218"/>
      <c r="CQ163" s="1218"/>
      <c r="CR163" s="1218"/>
      <c r="CS163" s="1223"/>
      <c r="CT163" s="1218"/>
      <c r="CU163" s="1218"/>
      <c r="CV163" s="1218"/>
      <c r="CW163" s="1218"/>
      <c r="CX163" s="1223"/>
      <c r="CY163" s="1218">
        <v>0</v>
      </c>
      <c r="CZ163" s="1218">
        <v>0</v>
      </c>
      <c r="DA163" s="1218">
        <v>0</v>
      </c>
      <c r="DB163" s="1218">
        <v>0</v>
      </c>
      <c r="DC163" s="1219">
        <f t="shared" si="354"/>
      </c>
      <c r="DD163" s="1218">
        <v>0</v>
      </c>
      <c r="DE163" s="1218">
        <v>0</v>
      </c>
      <c r="DF163" s="1218">
        <v>0</v>
      </c>
      <c r="DG163" s="1218">
        <v>0</v>
      </c>
      <c r="DH163" s="1219">
        <f t="shared" si="355"/>
      </c>
      <c r="DI163" s="1218">
        <v>0</v>
      </c>
      <c r="DJ163" s="1218">
        <v>0</v>
      </c>
      <c r="DK163" s="1218">
        <v>0</v>
      </c>
      <c r="DL163" s="1218">
        <v>0</v>
      </c>
      <c r="DM163" s="1219">
        <f t="shared" si="356"/>
      </c>
      <c r="DN163" s="1218">
        <v>0</v>
      </c>
      <c r="DO163" s="1218">
        <v>0</v>
      </c>
      <c r="DP163" s="1218">
        <v>0</v>
      </c>
      <c r="DQ163" s="1218">
        <v>0</v>
      </c>
      <c r="DR163" s="1219">
        <f t="shared" si="357"/>
      </c>
      <c r="DS163" s="1218">
        <v>0</v>
      </c>
      <c r="DT163" s="1218">
        <v>0</v>
      </c>
      <c r="DU163" s="1218">
        <v>0</v>
      </c>
      <c r="DV163" s="1218">
        <v>0</v>
      </c>
      <c r="DW163" s="1219">
        <f t="shared" si="358"/>
      </c>
      <c r="DX163" s="1218">
        <v>0</v>
      </c>
      <c r="DY163" s="1218">
        <v>0</v>
      </c>
      <c r="DZ163" s="1218">
        <v>0</v>
      </c>
      <c r="EA163" s="1218">
        <v>0</v>
      </c>
      <c r="EB163" s="1219">
        <f t="shared" si="359"/>
      </c>
      <c r="EC163" s="1218">
        <v>0</v>
      </c>
      <c r="ED163" s="1218">
        <v>0</v>
      </c>
      <c r="EE163" s="1218">
        <v>0</v>
      </c>
      <c r="EF163" s="1218">
        <v>0</v>
      </c>
      <c r="EG163" s="1219">
        <f t="shared" si="360"/>
      </c>
      <c r="EH163" s="1218">
        <v>0</v>
      </c>
      <c r="EI163" s="1218">
        <v>0</v>
      </c>
      <c r="EJ163" s="1218">
        <v>0</v>
      </c>
      <c r="EK163" s="1218">
        <v>0</v>
      </c>
      <c r="EL163" s="1219">
        <f t="shared" si="361"/>
      </c>
      <c r="EM163" s="1218">
        <v>0</v>
      </c>
      <c r="EN163" s="1218">
        <v>0</v>
      </c>
      <c r="EO163" s="1218">
        <v>0</v>
      </c>
      <c r="EP163" s="1218">
        <v>0</v>
      </c>
      <c r="EQ163" s="1219">
        <f t="shared" si="362"/>
      </c>
      <c r="ER163" s="1218">
        <v>0</v>
      </c>
      <c r="ES163" s="1218">
        <v>0</v>
      </c>
      <c r="ET163" s="1518">
        <v>0</v>
      </c>
      <c r="EU163" s="1518">
        <v>0</v>
      </c>
      <c r="EV163" s="1223">
        <f t="shared" si="363"/>
      </c>
      <c r="EW163" s="1218">
        <v>0</v>
      </c>
      <c r="EX163" s="1218">
        <v>0</v>
      </c>
      <c r="EY163" s="1218">
        <v>0</v>
      </c>
      <c r="EZ163" s="1218">
        <v>0</v>
      </c>
      <c r="FA163" s="1223">
        <f t="shared" si="364"/>
      </c>
      <c r="FB163" s="690"/>
      <c r="FC163" s="690"/>
      <c r="FD163" s="690"/>
      <c r="FE163" s="690"/>
      <c r="FF163" s="1175"/>
      <c r="FG163" s="690"/>
      <c r="FH163" s="690"/>
      <c r="FI163" s="690"/>
      <c r="FJ163" s="690"/>
      <c r="FK163" s="1175"/>
      <c r="FL163" s="690"/>
      <c r="FM163" s="690"/>
      <c r="FN163" s="690"/>
      <c r="FO163" s="690"/>
      <c r="FP163" s="1175"/>
      <c r="FQ163" s="690"/>
      <c r="FR163" s="690"/>
      <c r="FS163" s="690"/>
      <c r="FT163" s="690"/>
      <c r="FU163" s="1175"/>
      <c r="FV163" s="690"/>
      <c r="FW163" s="690"/>
      <c r="FX163" s="690"/>
      <c r="FY163" s="690"/>
      <c r="FZ163" s="1175"/>
      <c r="GA163" s="690"/>
      <c r="GB163" s="690"/>
      <c r="GC163" s="690"/>
      <c r="GD163" s="690"/>
      <c r="GE163" s="1175"/>
      <c r="GF163" s="690"/>
      <c r="GG163" s="690"/>
      <c r="GH163" s="690"/>
      <c r="GI163" s="690"/>
      <c r="GJ163" s="1175"/>
    </row>
    <row r="164" spans="1:192" s="314" customFormat="1" ht="12.75" customHeight="1" outlineLevel="1">
      <c r="A164" s="793"/>
      <c r="B164" s="621" t="s">
        <v>1849</v>
      </c>
      <c r="C164" s="322"/>
      <c r="D164" s="322"/>
      <c r="E164" s="322"/>
      <c r="F164" s="322"/>
      <c r="G164" s="323"/>
      <c r="H164" s="322"/>
      <c r="I164" s="322"/>
      <c r="J164" s="322"/>
      <c r="K164" s="322"/>
      <c r="L164" s="323"/>
      <c r="M164" s="322"/>
      <c r="N164" s="322"/>
      <c r="O164" s="322"/>
      <c r="P164" s="322"/>
      <c r="Q164" s="323"/>
      <c r="R164" s="322"/>
      <c r="S164" s="322"/>
      <c r="T164" s="322"/>
      <c r="U164" s="322"/>
      <c r="V164" s="323"/>
      <c r="W164" s="322"/>
      <c r="X164" s="322"/>
      <c r="Y164" s="322"/>
      <c r="Z164" s="322"/>
      <c r="AA164" s="323"/>
      <c r="AB164" s="322"/>
      <c r="AC164" s="322"/>
      <c r="AD164" s="322"/>
      <c r="AE164" s="322"/>
      <c r="AF164" s="323"/>
      <c r="AG164" s="322"/>
      <c r="AH164" s="322"/>
      <c r="AI164" s="322"/>
      <c r="AJ164" s="322"/>
      <c r="AK164" s="323"/>
      <c r="AL164" s="322"/>
      <c r="AM164" s="322"/>
      <c r="AN164" s="322"/>
      <c r="AO164" s="322"/>
      <c r="AP164" s="323"/>
      <c r="AQ164" s="322"/>
      <c r="AR164" s="322"/>
      <c r="AS164" s="322"/>
      <c r="AT164" s="322"/>
      <c r="AU164" s="323"/>
      <c r="AV164" s="322"/>
      <c r="AW164" s="322"/>
      <c r="AX164" s="322"/>
      <c r="AY164" s="322"/>
      <c r="AZ164" s="323"/>
      <c r="BA164" s="322"/>
      <c r="BB164" s="322"/>
      <c r="BC164" s="322"/>
      <c r="BD164" s="322"/>
      <c r="BE164" s="324"/>
      <c r="BF164" s="322"/>
      <c r="BG164" s="322"/>
      <c r="BH164" s="322"/>
      <c r="BI164" s="322"/>
      <c r="BJ164" s="324"/>
      <c r="BK164" s="322"/>
      <c r="BL164" s="322"/>
      <c r="BM164" s="322"/>
      <c r="BN164" s="322"/>
      <c r="BO164" s="324"/>
      <c r="BP164" s="322"/>
      <c r="BQ164" s="322"/>
      <c r="BR164" s="322"/>
      <c r="BS164" s="322"/>
      <c r="BT164" s="324"/>
      <c r="BU164" s="322"/>
      <c r="BV164" s="322"/>
      <c r="BW164" s="322"/>
      <c r="BX164" s="322"/>
      <c r="BY164" s="324"/>
      <c r="BZ164" s="322"/>
      <c r="CA164" s="322"/>
      <c r="CB164" s="322"/>
      <c r="CC164" s="322"/>
      <c r="CD164" s="324"/>
      <c r="CE164" s="322"/>
      <c r="CF164" s="322"/>
      <c r="CG164" s="322"/>
      <c r="CH164" s="322"/>
      <c r="CI164" s="324"/>
      <c r="CJ164" s="322"/>
      <c r="CK164" s="322"/>
      <c r="CL164" s="322"/>
      <c r="CM164" s="322"/>
      <c r="CN164" s="324"/>
      <c r="CO164" s="322"/>
      <c r="CP164" s="322"/>
      <c r="CQ164" s="322"/>
      <c r="CR164" s="322"/>
      <c r="CS164" s="324"/>
      <c r="CT164" s="322"/>
      <c r="CU164" s="322"/>
      <c r="CV164" s="322"/>
      <c r="CW164" s="322"/>
      <c r="CX164" s="324"/>
      <c r="CY164" s="322">
        <f t="shared" ref="CY164:ED164" si="365">CY$24+SUM(CY155:CY163)</f>
      </c>
      <c r="CZ164" s="322">
        <f t="shared" si="365"/>
      </c>
      <c r="DA164" s="322">
        <f t="shared" si="365"/>
      </c>
      <c r="DB164" s="322">
        <f t="shared" si="365"/>
      </c>
      <c r="DC164" s="324">
        <f t="shared" si="365"/>
      </c>
      <c r="DD164" s="322">
        <f t="shared" si="365"/>
      </c>
      <c r="DE164" s="322">
        <f t="shared" si="365"/>
      </c>
      <c r="DF164" s="322">
        <f t="shared" si="365"/>
      </c>
      <c r="DG164" s="322">
        <f t="shared" si="365"/>
      </c>
      <c r="DH164" s="324">
        <f t="shared" si="365"/>
      </c>
      <c r="DI164" s="322">
        <f t="shared" si="365"/>
      </c>
      <c r="DJ164" s="322">
        <f t="shared" si="365"/>
      </c>
      <c r="DK164" s="322">
        <f t="shared" si="365"/>
      </c>
      <c r="DL164" s="322">
        <f t="shared" si="365"/>
      </c>
      <c r="DM164" s="324">
        <f t="shared" si="365"/>
      </c>
      <c r="DN164" s="322">
        <f t="shared" si="365"/>
      </c>
      <c r="DO164" s="322">
        <f t="shared" si="365"/>
      </c>
      <c r="DP164" s="322">
        <f t="shared" si="365"/>
      </c>
      <c r="DQ164" s="322">
        <f t="shared" si="365"/>
      </c>
      <c r="DR164" s="324">
        <f t="shared" si="365"/>
      </c>
      <c r="DS164" s="322">
        <f t="shared" si="365"/>
      </c>
      <c r="DT164" s="322">
        <f t="shared" si="365"/>
      </c>
      <c r="DU164" s="322">
        <f t="shared" si="365"/>
      </c>
      <c r="DV164" s="322">
        <f t="shared" si="365"/>
      </c>
      <c r="DW164" s="324">
        <f t="shared" si="365"/>
      </c>
      <c r="DX164" s="322">
        <f t="shared" si="365"/>
      </c>
      <c r="DY164" s="322">
        <f t="shared" si="365"/>
      </c>
      <c r="DZ164" s="322">
        <f t="shared" si="365"/>
      </c>
      <c r="EA164" s="322">
        <f t="shared" si="365"/>
      </c>
      <c r="EB164" s="324">
        <f t="shared" si="365"/>
      </c>
      <c r="EC164" s="322">
        <f t="shared" si="365"/>
      </c>
      <c r="ED164" s="322">
        <f t="shared" si="365"/>
      </c>
      <c r="EE164" s="322">
        <f t="shared" ref="EE164:FA164" si="366">EE$24+SUM(EE155:EE163)</f>
      </c>
      <c r="EF164" s="322">
        <f t="shared" si="366"/>
      </c>
      <c r="EG164" s="324">
        <f t="shared" si="366"/>
      </c>
      <c r="EH164" s="322">
        <f t="shared" si="366"/>
      </c>
      <c r="EI164" s="322">
        <f t="shared" si="366"/>
      </c>
      <c r="EJ164" s="322">
        <f t="shared" si="366"/>
      </c>
      <c r="EK164" s="322">
        <f t="shared" si="366"/>
      </c>
      <c r="EL164" s="324">
        <f t="shared" si="366"/>
      </c>
      <c r="EM164" s="322">
        <f t="shared" si="366"/>
      </c>
      <c r="EN164" s="322">
        <f t="shared" si="366"/>
      </c>
      <c r="EO164" s="322">
        <f t="shared" si="366"/>
      </c>
      <c r="EP164" s="322">
        <f t="shared" si="366"/>
      </c>
      <c r="EQ164" s="324">
        <f t="shared" si="366"/>
      </c>
      <c r="ER164" s="322">
        <f t="shared" si="366"/>
      </c>
      <c r="ES164" s="322">
        <f t="shared" si="366"/>
      </c>
      <c r="ET164" s="332">
        <f t="shared" si="366"/>
      </c>
      <c r="EU164" s="332">
        <f t="shared" si="366"/>
      </c>
      <c r="EV164" s="324">
        <f t="shared" si="366"/>
      </c>
      <c r="EW164" s="322">
        <f t="shared" si="366"/>
      </c>
      <c r="EX164" s="322">
        <f t="shared" si="366"/>
      </c>
      <c r="EY164" s="332">
        <f t="shared" si="366"/>
      </c>
      <c r="EZ164" s="332">
        <f t="shared" si="366"/>
      </c>
      <c r="FA164" s="324">
        <f t="shared" si="366"/>
      </c>
      <c r="FB164" s="322"/>
      <c r="FC164" s="322"/>
      <c r="FD164" s="322"/>
      <c r="FE164" s="322"/>
      <c r="FF164" s="323"/>
      <c r="FG164" s="322"/>
      <c r="FH164" s="322"/>
      <c r="FI164" s="322"/>
      <c r="FJ164" s="322"/>
      <c r="FK164" s="323"/>
      <c r="FL164" s="322"/>
      <c r="FM164" s="322"/>
      <c r="FN164" s="322"/>
      <c r="FO164" s="322"/>
      <c r="FP164" s="323"/>
      <c r="FQ164" s="322"/>
      <c r="FR164" s="322"/>
      <c r="FS164" s="322"/>
      <c r="FT164" s="322"/>
      <c r="FU164" s="323"/>
      <c r="FV164" s="322"/>
      <c r="FW164" s="322"/>
      <c r="FX164" s="322"/>
      <c r="FY164" s="322"/>
      <c r="FZ164" s="323"/>
      <c r="GA164" s="322"/>
      <c r="GB164" s="322"/>
      <c r="GC164" s="322"/>
      <c r="GD164" s="322"/>
      <c r="GE164" s="323"/>
      <c r="GF164" s="322"/>
      <c r="GG164" s="322"/>
      <c r="GH164" s="322"/>
      <c r="GI164" s="322"/>
      <c r="GJ164" s="323"/>
    </row>
    <row r="165" spans="1:192" s="1227" customFormat="1" ht="12.75" customHeight="1" outlineLevel="1">
      <c r="A165" s="1224"/>
      <c r="B165" s="1228" t="s">
        <v>34</v>
      </c>
      <c r="C165" s="1225" t="str">
        <f>IFERROR(C164/#REF!-1,"")</f>
      </c>
      <c r="D165" s="1225" t="str">
        <f>IFERROR(D164/#REF!-1,"")</f>
      </c>
      <c r="E165" s="1225" t="str">
        <f>IFERROR(E164/#REF!-1,"")</f>
      </c>
      <c r="F165" s="1225" t="str">
        <f t="shared" ref="F165:AK165" si="367">IFERROR(F164/A164-1,"")</f>
      </c>
      <c r="G165" s="1226" t="str">
        <f t="shared" si="367"/>
      </c>
      <c r="H165" s="1225" t="str">
        <f t="shared" si="367"/>
      </c>
      <c r="I165" s="1225" t="str">
        <f t="shared" si="367"/>
      </c>
      <c r="J165" s="1225" t="str">
        <f t="shared" si="367"/>
      </c>
      <c r="K165" s="1225" t="str">
        <f t="shared" si="367"/>
      </c>
      <c r="L165" s="1226" t="str">
        <f t="shared" si="367"/>
      </c>
      <c r="M165" s="1225" t="str">
        <f t="shared" si="367"/>
      </c>
      <c r="N165" s="1225" t="str">
        <f t="shared" si="367"/>
      </c>
      <c r="O165" s="1225" t="str">
        <f t="shared" si="367"/>
      </c>
      <c r="P165" s="1225" t="str">
        <f t="shared" si="367"/>
      </c>
      <c r="Q165" s="1226" t="str">
        <f t="shared" si="367"/>
      </c>
      <c r="R165" s="1225" t="str">
        <f t="shared" si="367"/>
      </c>
      <c r="S165" s="1225" t="str">
        <f t="shared" si="367"/>
      </c>
      <c r="T165" s="1225" t="str">
        <f t="shared" si="367"/>
      </c>
      <c r="U165" s="1225" t="str">
        <f t="shared" si="367"/>
      </c>
      <c r="V165" s="1226" t="str">
        <f t="shared" si="367"/>
      </c>
      <c r="W165" s="1225" t="str">
        <f t="shared" si="367"/>
      </c>
      <c r="X165" s="1225" t="str">
        <f t="shared" si="367"/>
      </c>
      <c r="Y165" s="1225" t="str">
        <f t="shared" si="367"/>
      </c>
      <c r="Z165" s="1225" t="str">
        <f t="shared" si="367"/>
      </c>
      <c r="AA165" s="1226" t="str">
        <f t="shared" si="367"/>
      </c>
      <c r="AB165" s="1225" t="str">
        <f t="shared" si="367"/>
      </c>
      <c r="AC165" s="1225" t="str">
        <f t="shared" si="367"/>
      </c>
      <c r="AD165" s="1225" t="str">
        <f t="shared" si="367"/>
      </c>
      <c r="AE165" s="1225" t="str">
        <f t="shared" si="367"/>
      </c>
      <c r="AF165" s="1226" t="str">
        <f t="shared" si="367"/>
      </c>
      <c r="AG165" s="1225" t="str">
        <f t="shared" si="367"/>
      </c>
      <c r="AH165" s="1225" t="str">
        <f t="shared" si="367"/>
      </c>
      <c r="AI165" s="1225" t="str">
        <f t="shared" si="367"/>
      </c>
      <c r="AJ165" s="1225" t="str">
        <f t="shared" si="367"/>
      </c>
      <c r="AK165" s="1226" t="str">
        <f t="shared" si="367"/>
      </c>
      <c r="AL165" s="1225" t="str">
        <f t="shared" ref="AL165:BQ165" si="368">IFERROR(AL164/AG164-1,"")</f>
      </c>
      <c r="AM165" s="1225" t="str">
        <f t="shared" si="368"/>
      </c>
      <c r="AN165" s="1225" t="str">
        <f t="shared" si="368"/>
      </c>
      <c r="AO165" s="1225" t="str">
        <f t="shared" si="368"/>
      </c>
      <c r="AP165" s="1226" t="str">
        <f t="shared" si="368"/>
      </c>
      <c r="AQ165" s="1225" t="str">
        <f t="shared" si="368"/>
      </c>
      <c r="AR165" s="1225" t="str">
        <f t="shared" si="368"/>
      </c>
      <c r="AS165" s="1225" t="str">
        <f t="shared" si="368"/>
      </c>
      <c r="AT165" s="1225" t="str">
        <f t="shared" si="368"/>
      </c>
      <c r="AU165" s="1226" t="str">
        <f t="shared" si="368"/>
      </c>
      <c r="AV165" s="1225" t="str">
        <f t="shared" si="368"/>
      </c>
      <c r="AW165" s="1225" t="str">
        <f t="shared" si="368"/>
      </c>
      <c r="AX165" s="1225" t="str">
        <f t="shared" si="368"/>
      </c>
      <c r="AY165" s="1225" t="str">
        <f t="shared" si="368"/>
      </c>
      <c r="AZ165" s="1226" t="str">
        <f t="shared" si="368"/>
      </c>
      <c r="BA165" s="1229" t="str">
        <f t="shared" si="368"/>
      </c>
      <c r="BB165" s="1229" t="str">
        <f t="shared" si="368"/>
      </c>
      <c r="BC165" s="1229" t="str">
        <f t="shared" si="368"/>
      </c>
      <c r="BD165" s="1229" t="str">
        <f t="shared" si="368"/>
      </c>
      <c r="BE165" s="1230" t="str">
        <f t="shared" si="368"/>
      </c>
      <c r="BF165" s="1229" t="str">
        <f t="shared" si="368"/>
      </c>
      <c r="BG165" s="1229" t="str">
        <f t="shared" si="368"/>
      </c>
      <c r="BH165" s="1229" t="str">
        <f t="shared" si="368"/>
      </c>
      <c r="BI165" s="1229" t="str">
        <f t="shared" si="368"/>
      </c>
      <c r="BJ165" s="1230" t="str">
        <f t="shared" si="368"/>
      </c>
      <c r="BK165" s="1229" t="str">
        <f t="shared" si="368"/>
      </c>
      <c r="BL165" s="1229" t="str">
        <f t="shared" si="368"/>
      </c>
      <c r="BM165" s="1229" t="str">
        <f t="shared" si="368"/>
      </c>
      <c r="BN165" s="1229" t="str">
        <f t="shared" si="368"/>
      </c>
      <c r="BO165" s="1230" t="str">
        <f t="shared" si="368"/>
      </c>
      <c r="BP165" s="1229" t="str">
        <f t="shared" si="368"/>
      </c>
      <c r="BQ165" s="1229" t="str">
        <f t="shared" si="368"/>
      </c>
      <c r="BR165" s="1229" t="str">
        <f t="shared" ref="BR165:CW165" si="369">IFERROR(BR164/BM164-1,"")</f>
      </c>
      <c r="BS165" s="1229" t="str">
        <f t="shared" si="369"/>
      </c>
      <c r="BT165" s="1230" t="str">
        <f t="shared" si="369"/>
      </c>
      <c r="BU165" s="1229" t="str">
        <f t="shared" si="369"/>
      </c>
      <c r="BV165" s="1229" t="str">
        <f t="shared" si="369"/>
      </c>
      <c r="BW165" s="1229" t="str">
        <f t="shared" si="369"/>
      </c>
      <c r="BX165" s="1229" t="str">
        <f t="shared" si="369"/>
      </c>
      <c r="BY165" s="1230" t="str">
        <f t="shared" si="369"/>
      </c>
      <c r="BZ165" s="1229" t="str">
        <f t="shared" si="369"/>
      </c>
      <c r="CA165" s="1229" t="str">
        <f t="shared" si="369"/>
      </c>
      <c r="CB165" s="1229" t="str">
        <f t="shared" si="369"/>
      </c>
      <c r="CC165" s="1229" t="str">
        <f t="shared" si="369"/>
      </c>
      <c r="CD165" s="1230" t="str">
        <f t="shared" si="369"/>
      </c>
      <c r="CE165" s="1229" t="str">
        <f t="shared" si="369"/>
      </c>
      <c r="CF165" s="1229" t="str">
        <f t="shared" si="369"/>
      </c>
      <c r="CG165" s="1229" t="str">
        <f t="shared" si="369"/>
      </c>
      <c r="CH165" s="1229" t="str">
        <f t="shared" si="369"/>
      </c>
      <c r="CI165" s="1230" t="str">
        <f t="shared" si="369"/>
      </c>
      <c r="CJ165" s="1229" t="str">
        <f t="shared" si="369"/>
      </c>
      <c r="CK165" s="1229" t="str">
        <f t="shared" si="369"/>
      </c>
      <c r="CL165" s="1229" t="str">
        <f t="shared" si="369"/>
      </c>
      <c r="CM165" s="1229" t="str">
        <f t="shared" si="369"/>
      </c>
      <c r="CN165" s="1230" t="str">
        <f t="shared" si="369"/>
      </c>
      <c r="CO165" s="1229" t="str">
        <f t="shared" si="369"/>
      </c>
      <c r="CP165" s="1229" t="str">
        <f t="shared" si="369"/>
      </c>
      <c r="CQ165" s="1229" t="str">
        <f t="shared" si="369"/>
      </c>
      <c r="CR165" s="1229" t="str">
        <f t="shared" si="369"/>
      </c>
      <c r="CS165" s="1230" t="str">
        <f t="shared" si="369"/>
      </c>
      <c r="CT165" s="1229" t="str">
        <f t="shared" si="369"/>
      </c>
      <c r="CU165" s="1229" t="str">
        <f t="shared" si="369"/>
      </c>
      <c r="CV165" s="1229" t="str">
        <f t="shared" si="369"/>
      </c>
      <c r="CW165" s="1229" t="str">
        <f t="shared" si="369"/>
      </c>
      <c r="CX165" s="1230" t="str">
        <f>IFERROR(CX164/CS164-1,"")</f>
      </c>
      <c r="CY165" s="1229" t="str">
        <f>IFERROR(CY164/CT164-1,"")</f>
      </c>
      <c r="CZ165" s="1229" t="str">
        <f>IFERROR(CZ164/CU164-1,"")</f>
      </c>
      <c r="DA165" s="1229" t="str">
        <f>IFERROR(DA164/CV164-1,"")</f>
      </c>
      <c r="DB165" s="1229" t="str">
        <f>IFERROR(DB164/CW164-1,"")</f>
      </c>
      <c r="DC165" s="1230" t="str">
        <f t="shared" ref="DC165:FA165" si="370">IFERROR(DC164/CX164-1,"")</f>
      </c>
      <c r="DD165" s="1229">
        <f t="shared" si="370"/>
      </c>
      <c r="DE165" s="1229">
        <f t="shared" si="370"/>
      </c>
      <c r="DF165" s="1229">
        <f t="shared" si="370"/>
      </c>
      <c r="DG165" s="1229">
        <f t="shared" si="370"/>
      </c>
      <c r="DH165" s="1230">
        <f t="shared" si="370"/>
      </c>
      <c r="DI165" s="1229">
        <f t="shared" si="370"/>
      </c>
      <c r="DJ165" s="1229">
        <f t="shared" si="370"/>
      </c>
      <c r="DK165" s="1229">
        <f t="shared" si="370"/>
      </c>
      <c r="DL165" s="1229">
        <f t="shared" si="370"/>
      </c>
      <c r="DM165" s="1230">
        <f t="shared" si="370"/>
      </c>
      <c r="DN165" s="1229">
        <f t="shared" si="370"/>
      </c>
      <c r="DO165" s="1229">
        <f t="shared" si="370"/>
      </c>
      <c r="DP165" s="1229">
        <f t="shared" si="370"/>
      </c>
      <c r="DQ165" s="1229">
        <f t="shared" si="370"/>
      </c>
      <c r="DR165" s="1230">
        <f t="shared" si="370"/>
      </c>
      <c r="DS165" s="1229">
        <f t="shared" si="370"/>
      </c>
      <c r="DT165" s="1229">
        <f t="shared" si="370"/>
      </c>
      <c r="DU165" s="1229">
        <f t="shared" si="370"/>
      </c>
      <c r="DV165" s="1229">
        <f t="shared" si="370"/>
      </c>
      <c r="DW165" s="1230">
        <f t="shared" si="370"/>
      </c>
      <c r="DX165" s="1229">
        <f t="shared" si="370"/>
      </c>
      <c r="DY165" s="1229">
        <f t="shared" si="370"/>
      </c>
      <c r="DZ165" s="1229">
        <f t="shared" si="370"/>
      </c>
      <c r="EA165" s="1229">
        <f t="shared" si="370"/>
      </c>
      <c r="EB165" s="1230">
        <f t="shared" si="370"/>
      </c>
      <c r="EC165" s="1229">
        <f t="shared" si="370"/>
      </c>
      <c r="ED165" s="1229">
        <f t="shared" si="370"/>
      </c>
      <c r="EE165" s="1229">
        <f t="shared" si="370"/>
      </c>
      <c r="EF165" s="1229">
        <f t="shared" si="370"/>
      </c>
      <c r="EG165" s="1230">
        <f t="shared" si="370"/>
      </c>
      <c r="EH165" s="1229">
        <f t="shared" si="370"/>
      </c>
      <c r="EI165" s="1229">
        <f t="shared" si="370"/>
      </c>
      <c r="EJ165" s="1229">
        <f t="shared" si="370"/>
      </c>
      <c r="EK165" s="1229">
        <f t="shared" si="370"/>
      </c>
      <c r="EL165" s="1230">
        <f t="shared" si="370"/>
      </c>
      <c r="EM165" s="1229">
        <f t="shared" si="370"/>
      </c>
      <c r="EN165" s="1229">
        <f t="shared" si="370"/>
      </c>
      <c r="EO165" s="1229">
        <f t="shared" si="370"/>
      </c>
      <c r="EP165" s="1229">
        <f t="shared" si="370"/>
      </c>
      <c r="EQ165" s="1230">
        <f t="shared" si="370"/>
      </c>
      <c r="ER165" s="1229">
        <f t="shared" si="370"/>
      </c>
      <c r="ES165" s="1229">
        <f t="shared" si="370"/>
      </c>
      <c r="ET165" s="1519">
        <f t="shared" si="370"/>
      </c>
      <c r="EU165" s="1519">
        <f t="shared" si="370"/>
      </c>
      <c r="EV165" s="1230">
        <f t="shared" si="370"/>
      </c>
      <c r="EW165" s="1229">
        <f t="shared" si="370"/>
      </c>
      <c r="EX165" s="1229">
        <f t="shared" si="370"/>
      </c>
      <c r="EY165" s="1519">
        <f t="shared" si="370"/>
      </c>
      <c r="EZ165" s="1519">
        <f t="shared" si="370"/>
      </c>
      <c r="FA165" s="1230">
        <f t="shared" si="370"/>
      </c>
      <c r="FB165" s="1225"/>
      <c r="FC165" s="1225"/>
      <c r="FD165" s="1225"/>
      <c r="FE165" s="1225"/>
      <c r="FF165" s="1226"/>
      <c r="FG165" s="1225"/>
      <c r="FH165" s="1225"/>
      <c r="FI165" s="1225"/>
      <c r="FJ165" s="1225"/>
      <c r="FK165" s="1226"/>
      <c r="FL165" s="1225"/>
      <c r="FM165" s="1225"/>
      <c r="FN165" s="1225"/>
      <c r="FO165" s="1225"/>
      <c r="FP165" s="1226"/>
      <c r="FQ165" s="1225"/>
      <c r="FR165" s="1225"/>
      <c r="FS165" s="1225"/>
      <c r="FT165" s="1225"/>
      <c r="FU165" s="1226"/>
      <c r="FV165" s="1225"/>
      <c r="FW165" s="1225"/>
      <c r="FX165" s="1225"/>
      <c r="FY165" s="1225"/>
      <c r="FZ165" s="1226"/>
      <c r="GA165" s="1225"/>
      <c r="GB165" s="1225"/>
      <c r="GC165" s="1225"/>
      <c r="GD165" s="1225"/>
      <c r="GE165" s="1226"/>
      <c r="GF165" s="1225"/>
      <c r="GG165" s="1225"/>
      <c r="GH165" s="1225"/>
      <c r="GI165" s="1225"/>
      <c r="GJ165" s="1226"/>
    </row>
    <row r="166" spans="1:192" s="1227" customFormat="1" ht="12.75" customHeight="1" outlineLevel="1">
      <c r="A166" s="1224"/>
      <c r="B166" s="1228" t="s">
        <v>1850</v>
      </c>
      <c r="C166" s="1231"/>
      <c r="D166" s="1231"/>
      <c r="E166" s="1231"/>
      <c r="F166" s="1231"/>
      <c r="G166" s="1232"/>
      <c r="H166" s="1231"/>
      <c r="I166" s="1231"/>
      <c r="J166" s="1231"/>
      <c r="K166" s="1231"/>
      <c r="L166" s="1232"/>
      <c r="M166" s="1231"/>
      <c r="N166" s="1231"/>
      <c r="O166" s="1231"/>
      <c r="P166" s="1231"/>
      <c r="Q166" s="1232"/>
      <c r="R166" s="1231"/>
      <c r="S166" s="1231"/>
      <c r="T166" s="1231"/>
      <c r="U166" s="1231"/>
      <c r="V166" s="1232"/>
      <c r="W166" s="1231"/>
      <c r="X166" s="1231"/>
      <c r="Y166" s="1231"/>
      <c r="Z166" s="1231"/>
      <c r="AA166" s="1232"/>
      <c r="AB166" s="1231"/>
      <c r="AC166" s="1231"/>
      <c r="AD166" s="1231"/>
      <c r="AE166" s="1231"/>
      <c r="AF166" s="1232"/>
      <c r="AG166" s="1231"/>
      <c r="AH166" s="1231"/>
      <c r="AI166" s="1231"/>
      <c r="AJ166" s="1231"/>
      <c r="AK166" s="1232"/>
      <c r="AL166" s="1231"/>
      <c r="AM166" s="1231"/>
      <c r="AN166" s="1231"/>
      <c r="AO166" s="1231"/>
      <c r="AP166" s="1232"/>
      <c r="AQ166" s="1231"/>
      <c r="AR166" s="1231"/>
      <c r="AS166" s="1231"/>
      <c r="AT166" s="1231"/>
      <c r="AU166" s="1232"/>
      <c r="AV166" s="1231"/>
      <c r="AW166" s="1231"/>
      <c r="AX166" s="1231"/>
      <c r="AY166" s="1231"/>
      <c r="AZ166" s="1232"/>
      <c r="BA166" s="1233"/>
      <c r="BB166" s="1233"/>
      <c r="BC166" s="1233"/>
      <c r="BD166" s="1233"/>
      <c r="BE166" s="1234"/>
      <c r="BF166" s="1233"/>
      <c r="BG166" s="1233"/>
      <c r="BH166" s="1233"/>
      <c r="BI166" s="1233"/>
      <c r="BJ166" s="1234"/>
      <c r="BK166" s="1233"/>
      <c r="BL166" s="1233"/>
      <c r="BM166" s="1233"/>
      <c r="BN166" s="1233"/>
      <c r="BO166" s="1234"/>
      <c r="BP166" s="1233"/>
      <c r="BQ166" s="1233"/>
      <c r="BR166" s="1233"/>
      <c r="BS166" s="1233"/>
      <c r="BT166" s="1234"/>
      <c r="BU166" s="1233"/>
      <c r="BV166" s="1233"/>
      <c r="BW166" s="1233"/>
      <c r="BX166" s="1233"/>
      <c r="BY166" s="1234"/>
      <c r="BZ166" s="1233"/>
      <c r="CA166" s="1233"/>
      <c r="CB166" s="1233"/>
      <c r="CC166" s="1233"/>
      <c r="CD166" s="1234"/>
      <c r="CE166" s="1233"/>
      <c r="CF166" s="1233"/>
      <c r="CG166" s="1233"/>
      <c r="CH166" s="1233"/>
      <c r="CI166" s="1234"/>
      <c r="CJ166" s="1233"/>
      <c r="CK166" s="1233"/>
      <c r="CL166" s="1233"/>
      <c r="CM166" s="1233"/>
      <c r="CN166" s="1234"/>
      <c r="CO166" s="1233"/>
      <c r="CP166" s="1233"/>
      <c r="CQ166" s="1233"/>
      <c r="CR166" s="1233"/>
      <c r="CS166" s="1234"/>
      <c r="CT166" s="1233"/>
      <c r="CU166" s="1233"/>
      <c r="CV166" s="1233">
        <v>0.08</v>
      </c>
      <c r="CW166" s="1233">
        <v>0.22</v>
      </c>
      <c r="CX166" s="1234"/>
      <c r="CY166" s="1233"/>
      <c r="CZ166" s="1233"/>
      <c r="DA166" s="1233">
        <v>0.09</v>
      </c>
      <c r="DB166" s="1233">
        <v>-0.05</v>
      </c>
      <c r="DC166" s="1234"/>
      <c r="DD166" s="1233">
        <v>-0.02</v>
      </c>
      <c r="DE166" s="1233">
        <v>0.03</v>
      </c>
      <c r="DF166" s="1233">
        <v>0.05</v>
      </c>
      <c r="DG166" s="1233">
        <v>0.05</v>
      </c>
      <c r="DH166" s="1234"/>
      <c r="DI166" s="1233">
        <v>0.05</v>
      </c>
      <c r="DJ166" s="1233">
        <v>0.04</v>
      </c>
      <c r="DK166" s="1233">
        <v>7.0000000000000007E-2</v>
      </c>
      <c r="DL166" s="1233">
        <v>0.1</v>
      </c>
      <c r="DM166" s="1234"/>
      <c r="DN166" s="1233">
        <v>0.11</v>
      </c>
      <c r="DO166" s="1233">
        <v>0.11</v>
      </c>
      <c r="DP166" s="1233">
        <v>0.13</v>
      </c>
      <c r="DQ166" s="1233">
        <v>0.15</v>
      </c>
      <c r="DR166" s="1234"/>
      <c r="DS166" s="1233">
        <v>0.18</v>
      </c>
      <c r="DT166" s="1233">
        <v>0.13</v>
      </c>
      <c r="DU166" s="1233">
        <v>0.16</v>
      </c>
      <c r="DV166" s="1233">
        <v>0.14000000000000001</v>
      </c>
      <c r="DW166" s="1234"/>
      <c r="DX166" s="1233">
        <v>0.15</v>
      </c>
      <c r="DY166" s="1233">
        <v>0.15</v>
      </c>
      <c r="DZ166" s="1233">
        <v>0.16</v>
      </c>
      <c r="EA166" s="1233">
        <v>0.15</v>
      </c>
      <c r="EB166" s="1234"/>
      <c r="EC166" s="1233">
        <v>0.12</v>
      </c>
      <c r="ED166" s="1233">
        <v>0.15</v>
      </c>
      <c r="EE166" s="1233">
        <v>0.16</v>
      </c>
      <c r="EF166" s="1233">
        <v>0.17</v>
      </c>
      <c r="EG166" s="1234">
        <v>0.15</v>
      </c>
      <c r="EH166" s="1233">
        <v>0.2</v>
      </c>
      <c r="EI166" s="1233">
        <v>0.21</v>
      </c>
      <c r="EJ166" s="1233">
        <v>0.19</v>
      </c>
      <c r="EK166" s="1233"/>
      <c r="EL166" s="1234"/>
      <c r="EM166" s="1233">
        <v>0.16</v>
      </c>
      <c r="EN166" s="1233">
        <v>7.0000000000000007E-2</v>
      </c>
      <c r="EO166" s="1233">
        <v>0.1</v>
      </c>
      <c r="EP166" s="1233"/>
      <c r="EQ166" s="1234">
        <v>0.11</v>
      </c>
      <c r="ER166" s="1233">
        <v>0.12</v>
      </c>
      <c r="ES166" s="1233">
        <v>0.16</v>
      </c>
      <c r="ET166" s="1520">
        <v>0.17</v>
      </c>
      <c r="EU166" s="1498"/>
      <c r="EV166" s="1234">
        <v>0.15</v>
      </c>
      <c r="EW166" s="1520">
        <v>0.16</v>
      </c>
      <c r="EX166" s="1520">
        <v>0.12</v>
      </c>
      <c r="EY166" s="1520">
        <v>0.15</v>
      </c>
      <c r="EZ166" s="1520">
        <v>0.17</v>
      </c>
      <c r="FA166" s="1234">
        <v>0.15</v>
      </c>
      <c r="FB166" s="1225"/>
      <c r="FC166" s="1225"/>
      <c r="FD166" s="1225"/>
      <c r="FE166" s="1225"/>
      <c r="FF166" s="1226"/>
      <c r="FG166" s="1225"/>
      <c r="FH166" s="1225"/>
      <c r="FI166" s="1225"/>
      <c r="FJ166" s="1225"/>
      <c r="FK166" s="1226"/>
      <c r="FL166" s="1225"/>
      <c r="FM166" s="1225"/>
      <c r="FN166" s="1225"/>
      <c r="FO166" s="1225"/>
      <c r="FP166" s="1226"/>
      <c r="FQ166" s="1225"/>
      <c r="FR166" s="1225"/>
      <c r="FS166" s="1225"/>
      <c r="FT166" s="1225"/>
      <c r="FU166" s="1226"/>
      <c r="FV166" s="1225"/>
      <c r="FW166" s="1225"/>
      <c r="FX166" s="1225"/>
      <c r="FY166" s="1225"/>
      <c r="FZ166" s="1226"/>
      <c r="GA166" s="1225"/>
      <c r="GB166" s="1225"/>
      <c r="GC166" s="1225"/>
      <c r="GD166" s="1225"/>
      <c r="GE166" s="1226"/>
      <c r="GF166" s="1225"/>
      <c r="GG166" s="1225"/>
      <c r="GH166" s="1225"/>
      <c r="GI166" s="1225"/>
      <c r="GJ166" s="1226"/>
    </row>
    <row r="167" spans="1:192" s="314" customFormat="1" ht="12.75" customHeight="1" outlineLevel="1">
      <c r="A167" s="793"/>
      <c r="B167" s="992"/>
      <c r="C167" s="1220"/>
      <c r="D167" s="1220"/>
      <c r="E167" s="1220"/>
      <c r="F167" s="1220"/>
      <c r="G167" s="1221"/>
      <c r="H167" s="1220"/>
      <c r="I167" s="1220"/>
      <c r="J167" s="1220"/>
      <c r="K167" s="1220"/>
      <c r="L167" s="1221"/>
      <c r="M167" s="1220"/>
      <c r="N167" s="1220"/>
      <c r="O167" s="1220"/>
      <c r="P167" s="1220"/>
      <c r="Q167" s="1221"/>
      <c r="R167" s="1220"/>
      <c r="S167" s="1220"/>
      <c r="T167" s="1220"/>
      <c r="U167" s="1220"/>
      <c r="V167" s="1221"/>
      <c r="W167" s="1220"/>
      <c r="X167" s="1220"/>
      <c r="Y167" s="1220"/>
      <c r="Z167" s="1220"/>
      <c r="AA167" s="1221"/>
      <c r="AB167" s="1220"/>
      <c r="AC167" s="1220"/>
      <c r="AD167" s="1220"/>
      <c r="AE167" s="1220"/>
      <c r="AF167" s="1221"/>
      <c r="AG167" s="1220"/>
      <c r="AH167" s="1220"/>
      <c r="AI167" s="1220"/>
      <c r="AJ167" s="1220"/>
      <c r="AK167" s="1221"/>
      <c r="AL167" s="1220"/>
      <c r="AM167" s="1220"/>
      <c r="AN167" s="1220"/>
      <c r="AO167" s="1220"/>
      <c r="AP167" s="1221"/>
      <c r="AQ167" s="1220"/>
      <c r="AR167" s="1220"/>
      <c r="AS167" s="1220"/>
      <c r="AT167" s="1220"/>
      <c r="AU167" s="1221"/>
      <c r="AV167" s="1220"/>
      <c r="AW167" s="1220"/>
      <c r="AX167" s="1220"/>
      <c r="AY167" s="1220"/>
      <c r="AZ167" s="1221"/>
      <c r="BA167" s="1220"/>
      <c r="BB167" s="1220"/>
      <c r="BC167" s="1220"/>
      <c r="BD167" s="1220"/>
      <c r="BE167" s="1221"/>
      <c r="BF167" s="1220"/>
      <c r="BG167" s="1220"/>
      <c r="BH167" s="1220"/>
      <c r="BI167" s="1220"/>
      <c r="BJ167" s="1221"/>
      <c r="BK167" s="1220"/>
      <c r="BL167" s="1220"/>
      <c r="BM167" s="1220"/>
      <c r="BN167" s="1220"/>
      <c r="BO167" s="1221"/>
      <c r="BP167" s="1220"/>
      <c r="BQ167" s="1220"/>
      <c r="BR167" s="1220"/>
      <c r="BS167" s="1220"/>
      <c r="BT167" s="1221"/>
      <c r="BU167" s="1220"/>
      <c r="BV167" s="1220"/>
      <c r="BW167" s="1220"/>
      <c r="BX167" s="1220"/>
      <c r="BY167" s="1221"/>
      <c r="BZ167" s="1220"/>
      <c r="CA167" s="1220"/>
      <c r="CB167" s="1220"/>
      <c r="CC167" s="1220"/>
      <c r="CD167" s="1221"/>
      <c r="CE167" s="1220"/>
      <c r="CF167" s="1220"/>
      <c r="CG167" s="1220"/>
      <c r="CH167" s="1220"/>
      <c r="CI167" s="1221"/>
      <c r="CJ167" s="1220"/>
      <c r="CK167" s="1220"/>
      <c r="CL167" s="1220"/>
      <c r="CM167" s="1220"/>
      <c r="CN167" s="1221"/>
      <c r="CO167" s="1220"/>
      <c r="CP167" s="1220"/>
      <c r="CQ167" s="1220"/>
      <c r="CR167" s="1220"/>
      <c r="CS167" s="1221"/>
      <c r="CT167" s="1220"/>
      <c r="CU167" s="1220"/>
      <c r="CV167" s="1220"/>
      <c r="CW167" s="1220"/>
      <c r="CX167" s="1221"/>
      <c r="CY167" s="1220"/>
      <c r="CZ167" s="1220"/>
      <c r="DA167" s="1220"/>
      <c r="DB167" s="1220"/>
      <c r="DC167" s="1221"/>
      <c r="DD167" s="1220"/>
      <c r="DE167" s="1220"/>
      <c r="DF167" s="1220"/>
      <c r="DG167" s="1220"/>
      <c r="DH167" s="1221"/>
      <c r="DI167" s="1220"/>
      <c r="DJ167" s="1220"/>
      <c r="DK167" s="1220"/>
      <c r="DL167" s="1220"/>
      <c r="DM167" s="1221"/>
      <c r="DN167" s="1220"/>
      <c r="DO167" s="1220"/>
      <c r="DP167" s="1220"/>
      <c r="DQ167" s="1220"/>
      <c r="DR167" s="1221"/>
      <c r="DS167" s="1220"/>
      <c r="DT167" s="1220"/>
      <c r="DU167" s="1220"/>
      <c r="DV167" s="1220"/>
      <c r="DW167" s="1221"/>
      <c r="DX167" s="1220"/>
      <c r="DY167" s="1220"/>
      <c r="DZ167" s="1220"/>
      <c r="EA167" s="1220"/>
      <c r="EB167" s="1221"/>
      <c r="EC167" s="1220"/>
      <c r="ED167" s="1220"/>
      <c r="EE167" s="1220"/>
      <c r="EF167" s="1220"/>
      <c r="EG167" s="1221"/>
      <c r="EH167" s="1220"/>
      <c r="EI167" s="1220"/>
      <c r="EJ167" s="1220"/>
      <c r="EK167" s="1220"/>
      <c r="EL167" s="645"/>
      <c r="EM167" s="1218"/>
      <c r="EN167" s="1218"/>
      <c r="EO167" s="1218"/>
      <c r="EP167" s="1218"/>
      <c r="EQ167" s="1219"/>
      <c r="ER167" s="1218"/>
      <c r="ES167" s="1218"/>
      <c r="ET167" s="1521"/>
      <c r="EU167" s="1521"/>
      <c r="EV167" s="1221"/>
      <c r="EW167" s="1220"/>
      <c r="EX167" s="1650"/>
      <c r="EY167" s="1220"/>
      <c r="EZ167" s="1220"/>
      <c r="FA167" s="1221"/>
      <c r="FB167" s="1220"/>
      <c r="FC167" s="1220"/>
      <c r="FD167" s="1220"/>
      <c r="FE167" s="1220"/>
      <c r="FF167" s="1221"/>
      <c r="FG167" s="1220"/>
      <c r="FH167" s="1220"/>
      <c r="FI167" s="1220"/>
      <c r="FJ167" s="1220"/>
      <c r="FK167" s="1221"/>
      <c r="FL167" s="1220"/>
      <c r="FM167" s="1220"/>
      <c r="FN167" s="1220"/>
      <c r="FO167" s="1220"/>
      <c r="FP167" s="1221"/>
      <c r="FQ167" s="1220"/>
      <c r="FR167" s="1220"/>
      <c r="FS167" s="1220"/>
      <c r="FT167" s="1220"/>
      <c r="FU167" s="1221"/>
      <c r="FV167" s="1220"/>
      <c r="FW167" s="1220"/>
      <c r="FX167" s="1220"/>
      <c r="FY167" s="1220"/>
      <c r="FZ167" s="1221"/>
      <c r="GA167" s="1220"/>
      <c r="GB167" s="1220"/>
      <c r="GC167" s="1220"/>
      <c r="GD167" s="1220"/>
      <c r="GE167" s="1221"/>
      <c r="GF167" s="1220"/>
      <c r="GG167" s="1220"/>
      <c r="GH167" s="1220"/>
      <c r="GI167" s="1220"/>
      <c r="GJ167" s="1221"/>
    </row>
    <row r="168" spans="1:192" s="461" customFormat="1" ht="12.75" customHeight="1" outlineLevel="2">
      <c r="A168" s="370"/>
      <c r="B168" s="986" t="s">
        <v>1840</v>
      </c>
      <c r="C168" s="493"/>
      <c r="D168" s="493"/>
      <c r="E168" s="493"/>
      <c r="F168" s="493"/>
      <c r="G168" s="1175"/>
      <c r="H168" s="493"/>
      <c r="I168" s="493"/>
      <c r="J168" s="493"/>
      <c r="K168" s="493"/>
      <c r="L168" s="1175"/>
      <c r="M168" s="815"/>
      <c r="N168" s="815"/>
      <c r="O168" s="815"/>
      <c r="P168" s="815"/>
      <c r="Q168" s="1175"/>
      <c r="R168" s="815"/>
      <c r="S168" s="815"/>
      <c r="T168" s="815"/>
      <c r="U168" s="815"/>
      <c r="V168" s="1175"/>
      <c r="W168" s="815"/>
      <c r="X168" s="815"/>
      <c r="Y168" s="815"/>
      <c r="Z168" s="493"/>
      <c r="AA168" s="1175"/>
      <c r="AB168" s="815"/>
      <c r="AC168" s="815"/>
      <c r="AD168" s="815"/>
      <c r="AE168" s="493"/>
      <c r="AF168" s="1175"/>
      <c r="AG168" s="493"/>
      <c r="AH168" s="493"/>
      <c r="AI168" s="493"/>
      <c r="AJ168" s="493"/>
      <c r="AK168" s="1175"/>
      <c r="AL168" s="493"/>
      <c r="AM168" s="493"/>
      <c r="AN168" s="493"/>
      <c r="AO168" s="493"/>
      <c r="AP168" s="1175"/>
      <c r="AQ168" s="493"/>
      <c r="AR168" s="493"/>
      <c r="AS168" s="493"/>
      <c r="AT168" s="493"/>
      <c r="AU168" s="1175"/>
      <c r="AV168" s="493"/>
      <c r="AW168" s="493"/>
      <c r="AX168" s="493"/>
      <c r="AY168" s="493"/>
      <c r="AZ168" s="1175"/>
      <c r="BA168" s="1218"/>
      <c r="BB168" s="1218"/>
      <c r="BC168" s="1218"/>
      <c r="BD168" s="1218"/>
      <c r="BE168" s="1219"/>
      <c r="BF168" s="1218"/>
      <c r="BG168" s="1218"/>
      <c r="BH168" s="1218"/>
      <c r="BI168" s="1218"/>
      <c r="BJ168" s="1219"/>
      <c r="BK168" s="1218"/>
      <c r="BL168" s="1218"/>
      <c r="BM168" s="1218"/>
      <c r="BN168" s="1218"/>
      <c r="BO168" s="1219"/>
      <c r="BP168" s="1218"/>
      <c r="BQ168" s="1218"/>
      <c r="BR168" s="1218"/>
      <c r="BS168" s="1218"/>
      <c r="BT168" s="1219"/>
      <c r="BU168" s="1218"/>
      <c r="BV168" s="1218"/>
      <c r="BW168" s="1218"/>
      <c r="BX168" s="1218"/>
      <c r="BY168" s="1219"/>
      <c r="BZ168" s="1218"/>
      <c r="CA168" s="1218"/>
      <c r="CB168" s="1218"/>
      <c r="CC168" s="1218"/>
      <c r="CD168" s="1219"/>
      <c r="CE168" s="1218"/>
      <c r="CF168" s="1218"/>
      <c r="CG168" s="1218"/>
      <c r="CH168" s="1218"/>
      <c r="CI168" s="1219"/>
      <c r="CJ168" s="1218"/>
      <c r="CK168" s="1218"/>
      <c r="CL168" s="1218"/>
      <c r="CM168" s="1218"/>
      <c r="CN168" s="1219"/>
      <c r="CO168" s="1218"/>
      <c r="CP168" s="1218"/>
      <c r="CQ168" s="1218"/>
      <c r="CR168" s="1218"/>
      <c r="CS168" s="1219"/>
      <c r="CT168" s="1218"/>
      <c r="CU168" s="1218"/>
      <c r="CV168" s="1218"/>
      <c r="CW168" s="1218"/>
      <c r="CX168" s="1219"/>
      <c r="CY168" s="1218">
        <v>0</v>
      </c>
      <c r="CZ168" s="1218">
        <v>0</v>
      </c>
      <c r="DA168" s="1218">
        <v>0</v>
      </c>
      <c r="DB168" s="1218">
        <v>0</v>
      </c>
      <c r="DC168" s="1219">
        <f t="shared" ref="DC168:DC176" si="371">SUM(CY168:DB168)</f>
      </c>
      <c r="DD168" s="1218">
        <v>0</v>
      </c>
      <c r="DE168" s="1218">
        <v>0</v>
      </c>
      <c r="DF168" s="1218">
        <v>0</v>
      </c>
      <c r="DG168" s="1218">
        <v>0</v>
      </c>
      <c r="DH168" s="1219">
        <f t="shared" ref="DH168:DH176" si="372">SUM(DD168:DG168)</f>
      </c>
      <c r="DI168" s="1218">
        <v>0</v>
      </c>
      <c r="DJ168" s="1218">
        <v>0</v>
      </c>
      <c r="DK168" s="1218">
        <v>0</v>
      </c>
      <c r="DL168" s="1218">
        <v>0</v>
      </c>
      <c r="DM168" s="1219">
        <f t="shared" ref="DM168:DM176" si="373">SUM(DI168:DL168)</f>
      </c>
      <c r="DN168" s="1218">
        <v>0</v>
      </c>
      <c r="DO168" s="1218">
        <v>0</v>
      </c>
      <c r="DP168" s="1218">
        <v>0</v>
      </c>
      <c r="DQ168" s="1218">
        <v>0</v>
      </c>
      <c r="DR168" s="1219">
        <f t="shared" ref="DR168:DR176" si="374">SUM(DN168:DQ168)</f>
      </c>
      <c r="DS168" s="1218">
        <v>0</v>
      </c>
      <c r="DT168" s="1218">
        <v>0</v>
      </c>
      <c r="DU168" s="1218">
        <v>0</v>
      </c>
      <c r="DV168" s="1218">
        <v>0</v>
      </c>
      <c r="DW168" s="1219">
        <f t="shared" ref="DW168:DW176" si="375">SUM(DS168:DV168)</f>
      </c>
      <c r="DX168" s="1218">
        <v>0</v>
      </c>
      <c r="DY168" s="1218">
        <v>0</v>
      </c>
      <c r="DZ168" s="1218">
        <v>0</v>
      </c>
      <c r="EA168" s="1218">
        <v>0</v>
      </c>
      <c r="EB168" s="1219">
        <f t="shared" ref="EB168:EB176" si="376">SUM(DX168:EA168)</f>
      </c>
      <c r="EC168" s="1218">
        <v>0</v>
      </c>
      <c r="ED168" s="1218">
        <v>0</v>
      </c>
      <c r="EE168" s="1218">
        <v>0</v>
      </c>
      <c r="EF168" s="1218">
        <v>0</v>
      </c>
      <c r="EG168" s="1219">
        <f t="shared" ref="EG168:EG176" si="377">SUM(EC168:EF168)</f>
      </c>
      <c r="EH168" s="1218">
        <v>0</v>
      </c>
      <c r="EI168" s="1218">
        <v>0</v>
      </c>
      <c r="EJ168" s="1218">
        <v>0</v>
      </c>
      <c r="EK168" s="1218">
        <v>0</v>
      </c>
      <c r="EL168" s="1219">
        <f t="shared" ref="EL168:EL176" si="378">SUM(EH168:EK168)</f>
      </c>
      <c r="EM168" s="493">
        <v>0</v>
      </c>
      <c r="EN168" s="493">
        <v>1171</v>
      </c>
      <c r="EO168" s="493">
        <v>0</v>
      </c>
      <c r="EP168" s="493">
        <v>0</v>
      </c>
      <c r="EQ168" s="762">
        <v>1171</v>
      </c>
      <c r="ER168" s="493">
        <v>0</v>
      </c>
      <c r="ES168" s="493">
        <v>0</v>
      </c>
      <c r="ET168" s="815">
        <v>0</v>
      </c>
      <c r="EU168" s="815">
        <v>0</v>
      </c>
      <c r="EV168" s="1223">
        <f t="shared" ref="EV168:EV176" si="379">SUM(ER168:EU168)</f>
      </c>
      <c r="EW168" s="493">
        <v>0</v>
      </c>
      <c r="EX168" s="493">
        <v>0</v>
      </c>
      <c r="EY168" s="493">
        <v>0</v>
      </c>
      <c r="EZ168" s="493">
        <v>0</v>
      </c>
      <c r="FA168" s="1223">
        <f t="shared" ref="FA168:FA176" si="380">SUM(EW168:EZ168)</f>
      </c>
      <c r="FB168" s="690"/>
      <c r="FC168" s="690"/>
      <c r="FD168" s="690"/>
      <c r="FE168" s="690"/>
      <c r="FF168" s="1175"/>
      <c r="FG168" s="690"/>
      <c r="FH168" s="690"/>
      <c r="FI168" s="690"/>
      <c r="FJ168" s="690"/>
      <c r="FK168" s="1175"/>
      <c r="FL168" s="690"/>
      <c r="FM168" s="690"/>
      <c r="FN168" s="690"/>
      <c r="FO168" s="690"/>
      <c r="FP168" s="1175"/>
      <c r="FQ168" s="690"/>
      <c r="FR168" s="690"/>
      <c r="FS168" s="690"/>
      <c r="FT168" s="690"/>
      <c r="FU168" s="1175"/>
      <c r="FV168" s="690"/>
      <c r="FW168" s="690"/>
      <c r="FX168" s="690"/>
      <c r="FY168" s="690"/>
      <c r="FZ168" s="1175"/>
      <c r="GA168" s="690"/>
      <c r="GB168" s="690"/>
      <c r="GC168" s="690"/>
      <c r="GD168" s="690"/>
      <c r="GE168" s="1175"/>
      <c r="GF168" s="690"/>
      <c r="GG168" s="690"/>
      <c r="GH168" s="690"/>
      <c r="GI168" s="690"/>
      <c r="GJ168" s="1175"/>
    </row>
    <row r="169" spans="1:192" s="461" customFormat="1" ht="12.75" customHeight="1" outlineLevel="2">
      <c r="A169" s="370"/>
      <c r="B169" s="986" t="s">
        <v>1844</v>
      </c>
      <c r="C169" s="493"/>
      <c r="D169" s="493"/>
      <c r="E169" s="493"/>
      <c r="F169" s="493"/>
      <c r="G169" s="1175"/>
      <c r="H169" s="493"/>
      <c r="I169" s="493"/>
      <c r="J169" s="493"/>
      <c r="K169" s="493"/>
      <c r="L169" s="1175"/>
      <c r="M169" s="815"/>
      <c r="N169" s="815"/>
      <c r="O169" s="815"/>
      <c r="P169" s="815"/>
      <c r="Q169" s="1175"/>
      <c r="R169" s="815"/>
      <c r="S169" s="815"/>
      <c r="T169" s="815"/>
      <c r="U169" s="815"/>
      <c r="V169" s="1175"/>
      <c r="W169" s="815"/>
      <c r="X169" s="815"/>
      <c r="Y169" s="815"/>
      <c r="Z169" s="493"/>
      <c r="AA169" s="1175"/>
      <c r="AB169" s="815"/>
      <c r="AC169" s="815"/>
      <c r="AD169" s="815"/>
      <c r="AE169" s="493"/>
      <c r="AF169" s="1175"/>
      <c r="AG169" s="493"/>
      <c r="AH169" s="493"/>
      <c r="AI169" s="493"/>
      <c r="AJ169" s="493"/>
      <c r="AK169" s="1175"/>
      <c r="AL169" s="493"/>
      <c r="AM169" s="493"/>
      <c r="AN169" s="493"/>
      <c r="AO169" s="493"/>
      <c r="AP169" s="1175"/>
      <c r="AQ169" s="493"/>
      <c r="AR169" s="493"/>
      <c r="AS169" s="493"/>
      <c r="AT169" s="493"/>
      <c r="AU169" s="1175"/>
      <c r="AV169" s="493"/>
      <c r="AW169" s="493"/>
      <c r="AX169" s="493"/>
      <c r="AY169" s="493"/>
      <c r="AZ169" s="1175"/>
      <c r="BA169" s="1218"/>
      <c r="BB169" s="1218"/>
      <c r="BC169" s="1218"/>
      <c r="BD169" s="1218"/>
      <c r="BE169" s="1219"/>
      <c r="BF169" s="1218"/>
      <c r="BG169" s="1218"/>
      <c r="BH169" s="1218"/>
      <c r="BI169" s="1218"/>
      <c r="BJ169" s="1219"/>
      <c r="BK169" s="1218"/>
      <c r="BL169" s="1218"/>
      <c r="BM169" s="1218"/>
      <c r="BN169" s="1218"/>
      <c r="BO169" s="1219"/>
      <c r="BP169" s="1218"/>
      <c r="BQ169" s="1218"/>
      <c r="BR169" s="1218"/>
      <c r="BS169" s="1218"/>
      <c r="BT169" s="1219"/>
      <c r="BU169" s="1218"/>
      <c r="BV169" s="1218"/>
      <c r="BW169" s="1218"/>
      <c r="BX169" s="1218"/>
      <c r="BY169" s="1219"/>
      <c r="BZ169" s="1218"/>
      <c r="CA169" s="1218"/>
      <c r="CB169" s="1218"/>
      <c r="CC169" s="1218"/>
      <c r="CD169" s="1219"/>
      <c r="CE169" s="1218"/>
      <c r="CF169" s="1218"/>
      <c r="CG169" s="1218"/>
      <c r="CH169" s="1218"/>
      <c r="CI169" s="1219"/>
      <c r="CJ169" s="1218"/>
      <c r="CK169" s="1218"/>
      <c r="CL169" s="1218"/>
      <c r="CM169" s="1218"/>
      <c r="CN169" s="1219"/>
      <c r="CO169" s="1218"/>
      <c r="CP169" s="1218"/>
      <c r="CQ169" s="1218"/>
      <c r="CR169" s="1218"/>
      <c r="CS169" s="1219"/>
      <c r="CT169" s="1218"/>
      <c r="CU169" s="1218"/>
      <c r="CV169" s="1218"/>
      <c r="CW169" s="1218"/>
      <c r="CX169" s="1219"/>
      <c r="CY169" s="1218">
        <v>0</v>
      </c>
      <c r="CZ169" s="1218">
        <v>0</v>
      </c>
      <c r="DA169" s="1218">
        <v>0</v>
      </c>
      <c r="DB169" s="1218">
        <v>0</v>
      </c>
      <c r="DC169" s="1219">
        <f t="shared" si="371"/>
      </c>
      <c r="DD169" s="1218">
        <v>0</v>
      </c>
      <c r="DE169" s="1218">
        <v>0</v>
      </c>
      <c r="DF169" s="1218">
        <v>0</v>
      </c>
      <c r="DG169" s="1218">
        <v>0</v>
      </c>
      <c r="DH169" s="1219">
        <f t="shared" si="372"/>
      </c>
      <c r="DI169" s="1218">
        <v>0</v>
      </c>
      <c r="DJ169" s="1218">
        <v>0</v>
      </c>
      <c r="DK169" s="1218">
        <v>0</v>
      </c>
      <c r="DL169" s="1218">
        <v>0</v>
      </c>
      <c r="DM169" s="1219">
        <f t="shared" si="373"/>
      </c>
      <c r="DN169" s="1218">
        <v>0</v>
      </c>
      <c r="DO169" s="1218">
        <v>0</v>
      </c>
      <c r="DP169" s="1218">
        <v>0</v>
      </c>
      <c r="DQ169" s="1218">
        <v>0</v>
      </c>
      <c r="DR169" s="1219">
        <f t="shared" si="374"/>
      </c>
      <c r="DS169" s="1218">
        <v>0</v>
      </c>
      <c r="DT169" s="1218">
        <v>0</v>
      </c>
      <c r="DU169" s="1218">
        <v>0</v>
      </c>
      <c r="DV169" s="1218">
        <v>0</v>
      </c>
      <c r="DW169" s="1219">
        <f t="shared" si="375"/>
      </c>
      <c r="DX169" s="1218">
        <v>0</v>
      </c>
      <c r="DY169" s="1218">
        <v>0</v>
      </c>
      <c r="DZ169" s="1218">
        <v>0</v>
      </c>
      <c r="EA169" s="1218">
        <v>0</v>
      </c>
      <c r="EB169" s="1219">
        <f t="shared" si="376"/>
      </c>
      <c r="EC169" s="1218">
        <v>0</v>
      </c>
      <c r="ED169" s="1218">
        <v>0</v>
      </c>
      <c r="EE169" s="1218">
        <v>0</v>
      </c>
      <c r="EF169" s="1218">
        <v>0</v>
      </c>
      <c r="EG169" s="1219">
        <f t="shared" si="377"/>
      </c>
      <c r="EH169" s="1218">
        <v>0</v>
      </c>
      <c r="EI169" s="1218">
        <v>0</v>
      </c>
      <c r="EJ169" s="1218">
        <v>0</v>
      </c>
      <c r="EK169" s="1218">
        <v>0</v>
      </c>
      <c r="EL169" s="1219">
        <f t="shared" si="378"/>
      </c>
      <c r="EM169" s="1218">
        <v>0</v>
      </c>
      <c r="EN169" s="1218">
        <v>0</v>
      </c>
      <c r="EO169" s="1218">
        <v>0</v>
      </c>
      <c r="EP169" s="1218">
        <v>0</v>
      </c>
      <c r="EQ169" s="1219">
        <f t="shared" ref="EQ169:EQ176" si="381">SUM(EM169:EP169)</f>
      </c>
      <c r="ER169" s="1218">
        <v>0</v>
      </c>
      <c r="ES169" s="1218">
        <v>0</v>
      </c>
      <c r="ET169" s="1518">
        <v>0</v>
      </c>
      <c r="EU169" s="1518">
        <v>0</v>
      </c>
      <c r="EV169" s="1223">
        <f t="shared" si="379"/>
      </c>
      <c r="EW169" s="1218">
        <v>0</v>
      </c>
      <c r="EX169" s="1218">
        <v>0</v>
      </c>
      <c r="EY169" s="1218">
        <v>0</v>
      </c>
      <c r="EZ169" s="1218">
        <v>0</v>
      </c>
      <c r="FA169" s="1223">
        <f t="shared" si="380"/>
      </c>
      <c r="FB169" s="690"/>
      <c r="FC169" s="690"/>
      <c r="FD169" s="690"/>
      <c r="FE169" s="690"/>
      <c r="FF169" s="1175"/>
      <c r="FG169" s="690"/>
      <c r="FH169" s="690"/>
      <c r="FI169" s="690"/>
      <c r="FJ169" s="690"/>
      <c r="FK169" s="1175"/>
      <c r="FL169" s="690"/>
      <c r="FM169" s="690"/>
      <c r="FN169" s="690"/>
      <c r="FO169" s="690"/>
      <c r="FP169" s="1175"/>
      <c r="FQ169" s="690"/>
      <c r="FR169" s="690"/>
      <c r="FS169" s="690"/>
      <c r="FT169" s="690"/>
      <c r="FU169" s="1175"/>
      <c r="FV169" s="690"/>
      <c r="FW169" s="690"/>
      <c r="FX169" s="690"/>
      <c r="FY169" s="690"/>
      <c r="FZ169" s="1175"/>
      <c r="GA169" s="690"/>
      <c r="GB169" s="690"/>
      <c r="GC169" s="690"/>
      <c r="GD169" s="690"/>
      <c r="GE169" s="1175"/>
      <c r="GF169" s="690"/>
      <c r="GG169" s="690"/>
      <c r="GH169" s="690"/>
      <c r="GI169" s="690"/>
      <c r="GJ169" s="1175"/>
    </row>
    <row r="170" spans="1:192" s="461" customFormat="1" ht="12.75" customHeight="1" outlineLevel="2">
      <c r="A170" s="370"/>
      <c r="B170" s="986" t="s">
        <v>1845</v>
      </c>
      <c r="C170" s="493"/>
      <c r="D170" s="493"/>
      <c r="E170" s="493"/>
      <c r="F170" s="493"/>
      <c r="G170" s="1175"/>
      <c r="H170" s="493"/>
      <c r="I170" s="493"/>
      <c r="J170" s="493"/>
      <c r="K170" s="493"/>
      <c r="L170" s="1175"/>
      <c r="M170" s="815"/>
      <c r="N170" s="815"/>
      <c r="O170" s="815"/>
      <c r="P170" s="815"/>
      <c r="Q170" s="1175"/>
      <c r="R170" s="815"/>
      <c r="S170" s="815"/>
      <c r="T170" s="815"/>
      <c r="U170" s="815"/>
      <c r="V170" s="1175"/>
      <c r="W170" s="815"/>
      <c r="X170" s="815"/>
      <c r="Y170" s="815"/>
      <c r="Z170" s="493"/>
      <c r="AA170" s="1175"/>
      <c r="AB170" s="815"/>
      <c r="AC170" s="815"/>
      <c r="AD170" s="815"/>
      <c r="AE170" s="493"/>
      <c r="AF170" s="1175"/>
      <c r="AG170" s="493"/>
      <c r="AH170" s="493"/>
      <c r="AI170" s="493"/>
      <c r="AJ170" s="493"/>
      <c r="AK170" s="1175"/>
      <c r="AL170" s="493"/>
      <c r="AM170" s="493"/>
      <c r="AN170" s="493"/>
      <c r="AO170" s="493"/>
      <c r="AP170" s="1175"/>
      <c r="AQ170" s="493"/>
      <c r="AR170" s="493"/>
      <c r="AS170" s="493"/>
      <c r="AT170" s="493"/>
      <c r="AU170" s="1175"/>
      <c r="AV170" s="493"/>
      <c r="AW170" s="493"/>
      <c r="AX170" s="493"/>
      <c r="AY170" s="493"/>
      <c r="AZ170" s="1175"/>
      <c r="BA170" s="1218"/>
      <c r="BB170" s="1218"/>
      <c r="BC170" s="1218"/>
      <c r="BD170" s="1218"/>
      <c r="BE170" s="1219"/>
      <c r="BF170" s="1218"/>
      <c r="BG170" s="1218"/>
      <c r="BH170" s="1218"/>
      <c r="BI170" s="1218"/>
      <c r="BJ170" s="1219"/>
      <c r="BK170" s="1218"/>
      <c r="BL170" s="1218"/>
      <c r="BM170" s="1218"/>
      <c r="BN170" s="1218"/>
      <c r="BO170" s="1219"/>
      <c r="BP170" s="1218"/>
      <c r="BQ170" s="1218"/>
      <c r="BR170" s="1218"/>
      <c r="BS170" s="1218"/>
      <c r="BT170" s="1219"/>
      <c r="BU170" s="1218"/>
      <c r="BV170" s="1218"/>
      <c r="BW170" s="1218"/>
      <c r="BX170" s="1218"/>
      <c r="BY170" s="1219"/>
      <c r="BZ170" s="1218"/>
      <c r="CA170" s="1218"/>
      <c r="CB170" s="1218"/>
      <c r="CC170" s="1218"/>
      <c r="CD170" s="1219"/>
      <c r="CE170" s="1218"/>
      <c r="CF170" s="1218"/>
      <c r="CG170" s="1218"/>
      <c r="CH170" s="1218"/>
      <c r="CI170" s="1219"/>
      <c r="CJ170" s="1218"/>
      <c r="CK170" s="1218"/>
      <c r="CL170" s="1218"/>
      <c r="CM170" s="1218"/>
      <c r="CN170" s="1219"/>
      <c r="CO170" s="1218"/>
      <c r="CP170" s="1218"/>
      <c r="CQ170" s="1218"/>
      <c r="CR170" s="1218"/>
      <c r="CS170" s="1219"/>
      <c r="CT170" s="1218"/>
      <c r="CU170" s="1218"/>
      <c r="CV170" s="1218"/>
      <c r="CW170" s="1218"/>
      <c r="CX170" s="1219"/>
      <c r="CY170" s="1218">
        <v>0</v>
      </c>
      <c r="CZ170" s="1218">
        <v>0</v>
      </c>
      <c r="DA170" s="1218">
        <v>0</v>
      </c>
      <c r="DB170" s="1218">
        <v>0</v>
      </c>
      <c r="DC170" s="1219">
        <f t="shared" si="371"/>
      </c>
      <c r="DD170" s="1218">
        <v>0</v>
      </c>
      <c r="DE170" s="1218">
        <v>0</v>
      </c>
      <c r="DF170" s="1218">
        <v>0</v>
      </c>
      <c r="DG170" s="1218">
        <v>0</v>
      </c>
      <c r="DH170" s="1219">
        <f t="shared" si="372"/>
      </c>
      <c r="DI170" s="1218">
        <v>0</v>
      </c>
      <c r="DJ170" s="1218">
        <v>0</v>
      </c>
      <c r="DK170" s="1218">
        <v>0</v>
      </c>
      <c r="DL170" s="1218">
        <v>0</v>
      </c>
      <c r="DM170" s="1219">
        <f t="shared" si="373"/>
      </c>
      <c r="DN170" s="1218">
        <v>0</v>
      </c>
      <c r="DO170" s="1218">
        <v>0</v>
      </c>
      <c r="DP170" s="1218">
        <v>0</v>
      </c>
      <c r="DQ170" s="1218">
        <v>0</v>
      </c>
      <c r="DR170" s="1219">
        <f t="shared" si="374"/>
      </c>
      <c r="DS170" s="1218">
        <v>0</v>
      </c>
      <c r="DT170" s="1218">
        <v>0</v>
      </c>
      <c r="DU170" s="1218">
        <v>0</v>
      </c>
      <c r="DV170" s="1218">
        <v>0</v>
      </c>
      <c r="DW170" s="1219">
        <f t="shared" si="375"/>
      </c>
      <c r="DX170" s="1218">
        <v>0</v>
      </c>
      <c r="DY170" s="1218">
        <v>0</v>
      </c>
      <c r="DZ170" s="1218">
        <v>0</v>
      </c>
      <c r="EA170" s="1218">
        <v>0</v>
      </c>
      <c r="EB170" s="1219">
        <f t="shared" si="376"/>
      </c>
      <c r="EC170" s="1218">
        <v>0</v>
      </c>
      <c r="ED170" s="1218">
        <v>0</v>
      </c>
      <c r="EE170" s="1218">
        <v>0</v>
      </c>
      <c r="EF170" s="1218">
        <v>0</v>
      </c>
      <c r="EG170" s="1219">
        <f t="shared" si="377"/>
      </c>
      <c r="EH170" s="1218">
        <v>0</v>
      </c>
      <c r="EI170" s="1218">
        <v>0</v>
      </c>
      <c r="EJ170" s="1218">
        <v>0</v>
      </c>
      <c r="EK170" s="1218">
        <v>0</v>
      </c>
      <c r="EL170" s="1219">
        <f t="shared" si="378"/>
      </c>
      <c r="EM170" s="1218">
        <v>0</v>
      </c>
      <c r="EN170" s="1218">
        <v>0</v>
      </c>
      <c r="EO170" s="1218">
        <v>0</v>
      </c>
      <c r="EP170" s="1218">
        <v>0</v>
      </c>
      <c r="EQ170" s="1219">
        <f t="shared" si="381"/>
      </c>
      <c r="ER170" s="1218">
        <v>0</v>
      </c>
      <c r="ES170" s="1218">
        <v>0</v>
      </c>
      <c r="ET170" s="1518">
        <v>0</v>
      </c>
      <c r="EU170" s="1518">
        <v>0</v>
      </c>
      <c r="EV170" s="1223">
        <f t="shared" si="379"/>
      </c>
      <c r="EW170" s="1218">
        <v>0</v>
      </c>
      <c r="EX170" s="1218">
        <v>0</v>
      </c>
      <c r="EY170" s="1218">
        <v>0</v>
      </c>
      <c r="EZ170" s="1218">
        <v>0</v>
      </c>
      <c r="FA170" s="1223">
        <f t="shared" si="380"/>
      </c>
      <c r="FB170" s="690"/>
      <c r="FC170" s="690"/>
      <c r="FD170" s="690"/>
      <c r="FE170" s="690"/>
      <c r="FF170" s="1175"/>
      <c r="FG170" s="690"/>
      <c r="FH170" s="690"/>
      <c r="FI170" s="690"/>
      <c r="FJ170" s="690"/>
      <c r="FK170" s="1175"/>
      <c r="FL170" s="690"/>
      <c r="FM170" s="690"/>
      <c r="FN170" s="690"/>
      <c r="FO170" s="690"/>
      <c r="FP170" s="1175"/>
      <c r="FQ170" s="690"/>
      <c r="FR170" s="690"/>
      <c r="FS170" s="690"/>
      <c r="FT170" s="690"/>
      <c r="FU170" s="1175"/>
      <c r="FV170" s="690"/>
      <c r="FW170" s="690"/>
      <c r="FX170" s="690"/>
      <c r="FY170" s="690"/>
      <c r="FZ170" s="1175"/>
      <c r="GA170" s="690"/>
      <c r="GB170" s="690"/>
      <c r="GC170" s="690"/>
      <c r="GD170" s="690"/>
      <c r="GE170" s="1175"/>
      <c r="GF170" s="690"/>
      <c r="GG170" s="690"/>
      <c r="GH170" s="690"/>
      <c r="GI170" s="690"/>
      <c r="GJ170" s="1175"/>
    </row>
    <row r="171" spans="1:192" s="461" customFormat="1" ht="12.75" customHeight="1" outlineLevel="2">
      <c r="A171" s="370"/>
      <c r="B171" s="986" t="s">
        <v>1846</v>
      </c>
      <c r="C171" s="493"/>
      <c r="D171" s="493"/>
      <c r="E171" s="493"/>
      <c r="F171" s="493"/>
      <c r="G171" s="1175"/>
      <c r="H171" s="493"/>
      <c r="I171" s="493"/>
      <c r="J171" s="493"/>
      <c r="K171" s="493"/>
      <c r="L171" s="1175"/>
      <c r="M171" s="815"/>
      <c r="N171" s="815"/>
      <c r="O171" s="815"/>
      <c r="P171" s="815"/>
      <c r="Q171" s="1175"/>
      <c r="R171" s="815"/>
      <c r="S171" s="815"/>
      <c r="T171" s="815"/>
      <c r="U171" s="815"/>
      <c r="V171" s="1175"/>
      <c r="W171" s="815"/>
      <c r="X171" s="815"/>
      <c r="Y171" s="815"/>
      <c r="Z171" s="493"/>
      <c r="AA171" s="1175"/>
      <c r="AB171" s="815"/>
      <c r="AC171" s="815"/>
      <c r="AD171" s="815"/>
      <c r="AE171" s="493"/>
      <c r="AF171" s="1175"/>
      <c r="AG171" s="493"/>
      <c r="AH171" s="493"/>
      <c r="AI171" s="493"/>
      <c r="AJ171" s="493"/>
      <c r="AK171" s="1175"/>
      <c r="AL171" s="493"/>
      <c r="AM171" s="493"/>
      <c r="AN171" s="493"/>
      <c r="AO171" s="493"/>
      <c r="AP171" s="1175"/>
      <c r="AQ171" s="493"/>
      <c r="AR171" s="493"/>
      <c r="AS171" s="493"/>
      <c r="AT171" s="493"/>
      <c r="AU171" s="1175"/>
      <c r="AV171" s="493"/>
      <c r="AW171" s="493"/>
      <c r="AX171" s="493"/>
      <c r="AY171" s="493"/>
      <c r="AZ171" s="1175"/>
      <c r="BA171" s="1218"/>
      <c r="BB171" s="1218"/>
      <c r="BC171" s="1218"/>
      <c r="BD171" s="1218"/>
      <c r="BE171" s="1219"/>
      <c r="BF171" s="1218"/>
      <c r="BG171" s="1218"/>
      <c r="BH171" s="1218"/>
      <c r="BI171" s="1218"/>
      <c r="BJ171" s="1219"/>
      <c r="BK171" s="1218"/>
      <c r="BL171" s="1218"/>
      <c r="BM171" s="1218"/>
      <c r="BN171" s="1218"/>
      <c r="BO171" s="1219"/>
      <c r="BP171" s="1218"/>
      <c r="BQ171" s="1218"/>
      <c r="BR171" s="1218"/>
      <c r="BS171" s="1218"/>
      <c r="BT171" s="1219"/>
      <c r="BU171" s="1218"/>
      <c r="BV171" s="1218"/>
      <c r="BW171" s="1218"/>
      <c r="BX171" s="1218"/>
      <c r="BY171" s="1219"/>
      <c r="BZ171" s="1218"/>
      <c r="CA171" s="1218"/>
      <c r="CB171" s="1218"/>
      <c r="CC171" s="1218"/>
      <c r="CD171" s="1219"/>
      <c r="CE171" s="1218"/>
      <c r="CF171" s="1218"/>
      <c r="CG171" s="1218"/>
      <c r="CH171" s="1218"/>
      <c r="CI171" s="1219"/>
      <c r="CJ171" s="1218"/>
      <c r="CK171" s="1218"/>
      <c r="CL171" s="1218"/>
      <c r="CM171" s="1218"/>
      <c r="CN171" s="1219"/>
      <c r="CO171" s="1218"/>
      <c r="CP171" s="1218"/>
      <c r="CQ171" s="1218"/>
      <c r="CR171" s="1218"/>
      <c r="CS171" s="1219"/>
      <c r="CT171" s="1218"/>
      <c r="CU171" s="1218"/>
      <c r="CV171" s="1218"/>
      <c r="CW171" s="1218"/>
      <c r="CX171" s="1219"/>
      <c r="CY171" s="1218">
        <v>0</v>
      </c>
      <c r="CZ171" s="1218">
        <v>0</v>
      </c>
      <c r="DA171" s="1218">
        <v>0</v>
      </c>
      <c r="DB171" s="1218">
        <v>0</v>
      </c>
      <c r="DC171" s="1219">
        <f t="shared" si="371"/>
      </c>
      <c r="DD171" s="1218">
        <v>0</v>
      </c>
      <c r="DE171" s="1218">
        <v>0</v>
      </c>
      <c r="DF171" s="1218">
        <v>0</v>
      </c>
      <c r="DG171" s="1218">
        <v>0</v>
      </c>
      <c r="DH171" s="1219">
        <f t="shared" si="372"/>
      </c>
      <c r="DI171" s="1218">
        <v>0</v>
      </c>
      <c r="DJ171" s="1218">
        <v>0</v>
      </c>
      <c r="DK171" s="1218">
        <v>0</v>
      </c>
      <c r="DL171" s="1218">
        <v>0</v>
      </c>
      <c r="DM171" s="1219">
        <f t="shared" si="373"/>
      </c>
      <c r="DN171" s="1218">
        <v>0</v>
      </c>
      <c r="DO171" s="1218">
        <v>0</v>
      </c>
      <c r="DP171" s="1218">
        <v>0</v>
      </c>
      <c r="DQ171" s="1218">
        <v>0</v>
      </c>
      <c r="DR171" s="1219">
        <f t="shared" si="374"/>
      </c>
      <c r="DS171" s="1218">
        <v>0</v>
      </c>
      <c r="DT171" s="1218">
        <v>0</v>
      </c>
      <c r="DU171" s="1218">
        <v>0</v>
      </c>
      <c r="DV171" s="1218">
        <v>0</v>
      </c>
      <c r="DW171" s="1219">
        <f t="shared" si="375"/>
      </c>
      <c r="DX171" s="1218">
        <v>0</v>
      </c>
      <c r="DY171" s="1218">
        <v>0</v>
      </c>
      <c r="DZ171" s="1218">
        <v>0</v>
      </c>
      <c r="EA171" s="1218">
        <v>0</v>
      </c>
      <c r="EB171" s="1219">
        <f t="shared" si="376"/>
      </c>
      <c r="EC171" s="1218">
        <v>0</v>
      </c>
      <c r="ED171" s="1218">
        <v>0</v>
      </c>
      <c r="EE171" s="1218">
        <v>0</v>
      </c>
      <c r="EF171" s="1218">
        <v>0</v>
      </c>
      <c r="EG171" s="1219">
        <f t="shared" si="377"/>
      </c>
      <c r="EH171" s="1218">
        <v>0</v>
      </c>
      <c r="EI171" s="1218">
        <v>0</v>
      </c>
      <c r="EJ171" s="1218">
        <v>0</v>
      </c>
      <c r="EK171" s="1218">
        <v>0</v>
      </c>
      <c r="EL171" s="1219">
        <f t="shared" si="378"/>
      </c>
      <c r="EM171" s="1218">
        <v>0</v>
      </c>
      <c r="EN171" s="1218">
        <v>0</v>
      </c>
      <c r="EO171" s="1218">
        <v>0</v>
      </c>
      <c r="EP171" s="1218">
        <v>0</v>
      </c>
      <c r="EQ171" s="1219">
        <f t="shared" si="381"/>
      </c>
      <c r="ER171" s="1218">
        <v>0</v>
      </c>
      <c r="ES171" s="1218">
        <v>0</v>
      </c>
      <c r="ET171" s="1518">
        <v>0</v>
      </c>
      <c r="EU171" s="1518">
        <v>0</v>
      </c>
      <c r="EV171" s="1223">
        <f t="shared" si="379"/>
      </c>
      <c r="EW171" s="1218">
        <v>0</v>
      </c>
      <c r="EX171" s="1218">
        <v>0</v>
      </c>
      <c r="EY171" s="1218">
        <v>0</v>
      </c>
      <c r="EZ171" s="1218">
        <v>0</v>
      </c>
      <c r="FA171" s="1223">
        <f t="shared" si="380"/>
      </c>
      <c r="FB171" s="690"/>
      <c r="FC171" s="690"/>
      <c r="FD171" s="690"/>
      <c r="FE171" s="690"/>
      <c r="FF171" s="1175"/>
      <c r="FG171" s="690"/>
      <c r="FH171" s="690"/>
      <c r="FI171" s="690"/>
      <c r="FJ171" s="690"/>
      <c r="FK171" s="1175"/>
      <c r="FL171" s="690"/>
      <c r="FM171" s="690"/>
      <c r="FN171" s="690"/>
      <c r="FO171" s="690"/>
      <c r="FP171" s="1175"/>
      <c r="FQ171" s="690"/>
      <c r="FR171" s="690"/>
      <c r="FS171" s="690"/>
      <c r="FT171" s="690"/>
      <c r="FU171" s="1175"/>
      <c r="FV171" s="690"/>
      <c r="FW171" s="690"/>
      <c r="FX171" s="690"/>
      <c r="FY171" s="690"/>
      <c r="FZ171" s="1175"/>
      <c r="GA171" s="690"/>
      <c r="GB171" s="690"/>
      <c r="GC171" s="690"/>
      <c r="GD171" s="690"/>
      <c r="GE171" s="1175"/>
      <c r="GF171" s="690"/>
      <c r="GG171" s="690"/>
      <c r="GH171" s="690"/>
      <c r="GI171" s="690"/>
      <c r="GJ171" s="1175"/>
    </row>
    <row r="172" spans="1:192" s="461" customFormat="1" ht="12.75" customHeight="1" outlineLevel="2">
      <c r="A172" s="370"/>
      <c r="B172" s="986" t="s">
        <v>1847</v>
      </c>
      <c r="C172" s="493"/>
      <c r="D172" s="493"/>
      <c r="E172" s="493"/>
      <c r="F172" s="493"/>
      <c r="G172" s="1175"/>
      <c r="H172" s="493"/>
      <c r="I172" s="493"/>
      <c r="J172" s="493"/>
      <c r="K172" s="493"/>
      <c r="L172" s="1175"/>
      <c r="M172" s="815"/>
      <c r="N172" s="815"/>
      <c r="O172" s="815"/>
      <c r="P172" s="815"/>
      <c r="Q172" s="1175"/>
      <c r="R172" s="815"/>
      <c r="S172" s="815"/>
      <c r="T172" s="815"/>
      <c r="U172" s="815"/>
      <c r="V172" s="1175"/>
      <c r="W172" s="815"/>
      <c r="X172" s="815"/>
      <c r="Y172" s="815"/>
      <c r="Z172" s="493"/>
      <c r="AA172" s="1175"/>
      <c r="AB172" s="815"/>
      <c r="AC172" s="815"/>
      <c r="AD172" s="815"/>
      <c r="AE172" s="493"/>
      <c r="AF172" s="1175"/>
      <c r="AG172" s="493"/>
      <c r="AH172" s="493"/>
      <c r="AI172" s="493"/>
      <c r="AJ172" s="493"/>
      <c r="AK172" s="1175"/>
      <c r="AL172" s="493"/>
      <c r="AM172" s="493"/>
      <c r="AN172" s="493"/>
      <c r="AO172" s="493"/>
      <c r="AP172" s="1175"/>
      <c r="AQ172" s="493"/>
      <c r="AR172" s="493"/>
      <c r="AS172" s="493"/>
      <c r="AT172" s="493"/>
      <c r="AU172" s="1175"/>
      <c r="AV172" s="493"/>
      <c r="AW172" s="493"/>
      <c r="AX172" s="493"/>
      <c r="AY172" s="493"/>
      <c r="AZ172" s="1175"/>
      <c r="BA172" s="493"/>
      <c r="BB172" s="493"/>
      <c r="BC172" s="493"/>
      <c r="BD172" s="493"/>
      <c r="BE172" s="1223"/>
      <c r="BF172" s="493"/>
      <c r="BG172" s="493"/>
      <c r="BH172" s="493"/>
      <c r="BI172" s="493"/>
      <c r="BJ172" s="1223"/>
      <c r="BK172" s="493"/>
      <c r="BL172" s="493"/>
      <c r="BM172" s="493"/>
      <c r="BN172" s="493"/>
      <c r="BO172" s="1223"/>
      <c r="BP172" s="493"/>
      <c r="BQ172" s="493"/>
      <c r="BR172" s="493"/>
      <c r="BS172" s="493"/>
      <c r="BT172" s="1223"/>
      <c r="BU172" s="493"/>
      <c r="BV172" s="493"/>
      <c r="BW172" s="493"/>
      <c r="BX172" s="493"/>
      <c r="BY172" s="1223"/>
      <c r="BZ172" s="493"/>
      <c r="CA172" s="493"/>
      <c r="CB172" s="493"/>
      <c r="CC172" s="493"/>
      <c r="CD172" s="1223"/>
      <c r="CE172" s="493"/>
      <c r="CF172" s="493"/>
      <c r="CG172" s="493"/>
      <c r="CH172" s="493"/>
      <c r="CI172" s="1223"/>
      <c r="CJ172" s="493"/>
      <c r="CK172" s="493"/>
      <c r="CL172" s="493"/>
      <c r="CM172" s="493"/>
      <c r="CN172" s="1223"/>
      <c r="CO172" s="493"/>
      <c r="CP172" s="493"/>
      <c r="CQ172" s="493"/>
      <c r="CR172" s="493"/>
      <c r="CS172" s="1223"/>
      <c r="CT172" s="493"/>
      <c r="CU172" s="493"/>
      <c r="CV172" s="493"/>
      <c r="CW172" s="493"/>
      <c r="CX172" s="1223"/>
      <c r="CY172" s="493">
        <v>0</v>
      </c>
      <c r="CZ172" s="493">
        <v>0</v>
      </c>
      <c r="DA172" s="493">
        <v>0</v>
      </c>
      <c r="DB172" s="493">
        <v>8438</v>
      </c>
      <c r="DC172" s="1223">
        <f t="shared" si="371"/>
      </c>
      <c r="DD172" s="1218">
        <v>0</v>
      </c>
      <c r="DE172" s="1218">
        <v>0</v>
      </c>
      <c r="DF172" s="1218">
        <v>0</v>
      </c>
      <c r="DG172" s="493">
        <v>1110</v>
      </c>
      <c r="DH172" s="1223">
        <f t="shared" si="372"/>
      </c>
      <c r="DI172" s="1218">
        <v>0</v>
      </c>
      <c r="DJ172" s="1218">
        <v>0</v>
      </c>
      <c r="DK172" s="1218">
        <v>0</v>
      </c>
      <c r="DL172" s="493">
        <v>306</v>
      </c>
      <c r="DM172" s="1223">
        <f t="shared" si="373"/>
      </c>
      <c r="DN172" s="1218">
        <v>0</v>
      </c>
      <c r="DO172" s="1218">
        <v>0</v>
      </c>
      <c r="DP172" s="1218">
        <v>0</v>
      </c>
      <c r="DQ172" s="1218">
        <v>0</v>
      </c>
      <c r="DR172" s="1219">
        <f t="shared" si="374"/>
      </c>
      <c r="DS172" s="1218">
        <v>0</v>
      </c>
      <c r="DT172" s="1218">
        <v>0</v>
      </c>
      <c r="DU172" s="1218">
        <v>0</v>
      </c>
      <c r="DV172" s="1218">
        <v>0</v>
      </c>
      <c r="DW172" s="1219">
        <f t="shared" si="375"/>
      </c>
      <c r="DX172" s="1218">
        <v>0</v>
      </c>
      <c r="DY172" s="1218">
        <v>0</v>
      </c>
      <c r="DZ172" s="1218">
        <v>0</v>
      </c>
      <c r="EA172" s="1218">
        <v>0</v>
      </c>
      <c r="EB172" s="1219">
        <f t="shared" si="376"/>
      </c>
      <c r="EC172" s="1218">
        <v>0</v>
      </c>
      <c r="ED172" s="1218">
        <v>0</v>
      </c>
      <c r="EE172" s="1218">
        <v>0</v>
      </c>
      <c r="EF172" s="1218">
        <v>0</v>
      </c>
      <c r="EG172" s="1219">
        <f t="shared" si="377"/>
      </c>
      <c r="EH172" s="1218">
        <v>0</v>
      </c>
      <c r="EI172" s="1218">
        <v>0</v>
      </c>
      <c r="EJ172" s="1218">
        <v>0</v>
      </c>
      <c r="EK172" s="1218">
        <v>0</v>
      </c>
      <c r="EL172" s="1219">
        <f t="shared" si="378"/>
      </c>
      <c r="EM172" s="1218">
        <v>0</v>
      </c>
      <c r="EN172" s="1218">
        <v>0</v>
      </c>
      <c r="EO172" s="1218">
        <v>0</v>
      </c>
      <c r="EP172" s="1218">
        <v>0</v>
      </c>
      <c r="EQ172" s="1219">
        <f t="shared" si="381"/>
      </c>
      <c r="ER172" s="1218">
        <v>0</v>
      </c>
      <c r="ES172" s="1218">
        <v>0</v>
      </c>
      <c r="ET172" s="1518">
        <v>0</v>
      </c>
      <c r="EU172" s="1518">
        <v>0</v>
      </c>
      <c r="EV172" s="1223">
        <f t="shared" si="379"/>
      </c>
      <c r="EW172" s="1218">
        <v>0</v>
      </c>
      <c r="EX172" s="1218">
        <v>0</v>
      </c>
      <c r="EY172" s="1218">
        <v>0</v>
      </c>
      <c r="EZ172" s="1218">
        <v>0</v>
      </c>
      <c r="FA172" s="1223">
        <f t="shared" si="380"/>
      </c>
      <c r="FB172" s="690"/>
      <c r="FC172" s="690"/>
      <c r="FD172" s="690"/>
      <c r="FE172" s="690"/>
      <c r="FF172" s="1175"/>
      <c r="FG172" s="690"/>
      <c r="FH172" s="690"/>
      <c r="FI172" s="690"/>
      <c r="FJ172" s="690"/>
      <c r="FK172" s="1175"/>
      <c r="FL172" s="690"/>
      <c r="FM172" s="690"/>
      <c r="FN172" s="690"/>
      <c r="FO172" s="690"/>
      <c r="FP172" s="1175"/>
      <c r="FQ172" s="690"/>
      <c r="FR172" s="690"/>
      <c r="FS172" s="690"/>
      <c r="FT172" s="690"/>
      <c r="FU172" s="1175"/>
      <c r="FV172" s="690"/>
      <c r="FW172" s="690"/>
      <c r="FX172" s="690"/>
      <c r="FY172" s="690"/>
      <c r="FZ172" s="1175"/>
      <c r="GA172" s="690"/>
      <c r="GB172" s="690"/>
      <c r="GC172" s="690"/>
      <c r="GD172" s="690"/>
      <c r="GE172" s="1175"/>
      <c r="GF172" s="690"/>
      <c r="GG172" s="690"/>
      <c r="GH172" s="690"/>
      <c r="GI172" s="690"/>
      <c r="GJ172" s="1175"/>
    </row>
    <row r="173" spans="1:192" s="461" customFormat="1" ht="12.75" customHeight="1" outlineLevel="2">
      <c r="A173" s="370"/>
      <c r="B173" s="986" t="s">
        <v>1848</v>
      </c>
      <c r="C173" s="493"/>
      <c r="D173" s="493"/>
      <c r="E173" s="493"/>
      <c r="F173" s="493"/>
      <c r="G173" s="1175"/>
      <c r="H173" s="493"/>
      <c r="I173" s="493"/>
      <c r="J173" s="493"/>
      <c r="K173" s="493"/>
      <c r="L173" s="1175"/>
      <c r="M173" s="815"/>
      <c r="N173" s="815"/>
      <c r="O173" s="815"/>
      <c r="P173" s="815"/>
      <c r="Q173" s="1175"/>
      <c r="R173" s="815"/>
      <c r="S173" s="815"/>
      <c r="T173" s="815"/>
      <c r="U173" s="815"/>
      <c r="V173" s="1175"/>
      <c r="W173" s="815"/>
      <c r="X173" s="815"/>
      <c r="Y173" s="815"/>
      <c r="Z173" s="493"/>
      <c r="AA173" s="1175"/>
      <c r="AB173" s="815"/>
      <c r="AC173" s="815"/>
      <c r="AD173" s="815"/>
      <c r="AE173" s="493"/>
      <c r="AF173" s="1175"/>
      <c r="AG173" s="493"/>
      <c r="AH173" s="493"/>
      <c r="AI173" s="493"/>
      <c r="AJ173" s="493"/>
      <c r="AK173" s="1175"/>
      <c r="AL173" s="493"/>
      <c r="AM173" s="493"/>
      <c r="AN173" s="493"/>
      <c r="AO173" s="493"/>
      <c r="AP173" s="1175"/>
      <c r="AQ173" s="493"/>
      <c r="AR173" s="493"/>
      <c r="AS173" s="493"/>
      <c r="AT173" s="493"/>
      <c r="AU173" s="1175"/>
      <c r="AV173" s="493"/>
      <c r="AW173" s="493"/>
      <c r="AX173" s="493"/>
      <c r="AY173" s="493"/>
      <c r="AZ173" s="1175"/>
      <c r="BA173" s="1218"/>
      <c r="BB173" s="493"/>
      <c r="BC173" s="1218"/>
      <c r="BD173" s="1218"/>
      <c r="BE173" s="1223"/>
      <c r="BF173" s="1218"/>
      <c r="BG173" s="493"/>
      <c r="BH173" s="1218"/>
      <c r="BI173" s="1218"/>
      <c r="BJ173" s="1223"/>
      <c r="BK173" s="1218"/>
      <c r="BL173" s="493"/>
      <c r="BM173" s="1218"/>
      <c r="BN173" s="1218"/>
      <c r="BO173" s="1223"/>
      <c r="BP173" s="1218"/>
      <c r="BQ173" s="493"/>
      <c r="BR173" s="1218"/>
      <c r="BS173" s="1218"/>
      <c r="BT173" s="1223"/>
      <c r="BU173" s="1218"/>
      <c r="BV173" s="493"/>
      <c r="BW173" s="1218"/>
      <c r="BX173" s="1218"/>
      <c r="BY173" s="1223"/>
      <c r="BZ173" s="1218"/>
      <c r="CA173" s="493"/>
      <c r="CB173" s="1218"/>
      <c r="CC173" s="1218"/>
      <c r="CD173" s="1223"/>
      <c r="CE173" s="1218"/>
      <c r="CF173" s="493"/>
      <c r="CG173" s="1218"/>
      <c r="CH173" s="1218"/>
      <c r="CI173" s="1223"/>
      <c r="CJ173" s="1218"/>
      <c r="CK173" s="493"/>
      <c r="CL173" s="1218"/>
      <c r="CM173" s="1218"/>
      <c r="CN173" s="1223"/>
      <c r="CO173" s="1218"/>
      <c r="CP173" s="493"/>
      <c r="CQ173" s="1218"/>
      <c r="CR173" s="1218"/>
      <c r="CS173" s="1223"/>
      <c r="CT173" s="1218"/>
      <c r="CU173" s="493"/>
      <c r="CV173" s="1218"/>
      <c r="CW173" s="1218"/>
      <c r="CX173" s="1223"/>
      <c r="CY173" s="1218">
        <v>0</v>
      </c>
      <c r="CZ173" s="493">
        <v>0</v>
      </c>
      <c r="DA173" s="1218">
        <v>0</v>
      </c>
      <c r="DB173" s="1218">
        <v>0</v>
      </c>
      <c r="DC173" s="1223">
        <f t="shared" si="371"/>
      </c>
      <c r="DD173" s="493">
        <v>1281</v>
      </c>
      <c r="DE173" s="493">
        <v>1897</v>
      </c>
      <c r="DF173" s="493">
        <v>1545</v>
      </c>
      <c r="DG173" s="493">
        <v>2028</v>
      </c>
      <c r="DH173" s="1223">
        <f t="shared" si="372"/>
      </c>
      <c r="DI173" s="1218">
        <v>0</v>
      </c>
      <c r="DJ173" s="1218">
        <v>0</v>
      </c>
      <c r="DK173" s="1218">
        <v>0</v>
      </c>
      <c r="DL173" s="1218">
        <v>0</v>
      </c>
      <c r="DM173" s="1219">
        <f t="shared" si="373"/>
      </c>
      <c r="DN173" s="1218">
        <v>0</v>
      </c>
      <c r="DO173" s="1218">
        <v>0</v>
      </c>
      <c r="DP173" s="1218">
        <v>0</v>
      </c>
      <c r="DQ173" s="1218">
        <v>0</v>
      </c>
      <c r="DR173" s="1219">
        <f t="shared" si="374"/>
      </c>
      <c r="DS173" s="1218">
        <v>0</v>
      </c>
      <c r="DT173" s="1218">
        <v>0</v>
      </c>
      <c r="DU173" s="1218">
        <v>0</v>
      </c>
      <c r="DV173" s="1218">
        <v>0</v>
      </c>
      <c r="DW173" s="1219">
        <f t="shared" si="375"/>
      </c>
      <c r="DX173" s="1218">
        <v>0</v>
      </c>
      <c r="DY173" s="1218">
        <v>0</v>
      </c>
      <c r="DZ173" s="1218">
        <v>0</v>
      </c>
      <c r="EA173" s="1218">
        <v>0</v>
      </c>
      <c r="EB173" s="1219">
        <f t="shared" si="376"/>
      </c>
      <c r="EC173" s="1218">
        <v>0</v>
      </c>
      <c r="ED173" s="1218">
        <v>0</v>
      </c>
      <c r="EE173" s="1218">
        <v>0</v>
      </c>
      <c r="EF173" s="1218">
        <v>0</v>
      </c>
      <c r="EG173" s="1219">
        <f t="shared" si="377"/>
      </c>
      <c r="EH173" s="1218">
        <v>0</v>
      </c>
      <c r="EI173" s="1218">
        <v>0</v>
      </c>
      <c r="EJ173" s="1218">
        <v>0</v>
      </c>
      <c r="EK173" s="1218">
        <v>0</v>
      </c>
      <c r="EL173" s="1219">
        <f t="shared" si="378"/>
      </c>
      <c r="EM173" s="1218">
        <v>0</v>
      </c>
      <c r="EN173" s="1218">
        <v>0</v>
      </c>
      <c r="EO173" s="1218">
        <v>0</v>
      </c>
      <c r="EP173" s="1218">
        <v>0</v>
      </c>
      <c r="EQ173" s="1219">
        <f t="shared" si="381"/>
      </c>
      <c r="ER173" s="1218">
        <v>0</v>
      </c>
      <c r="ES173" s="1218">
        <v>0</v>
      </c>
      <c r="ET173" s="1518">
        <v>0</v>
      </c>
      <c r="EU173" s="1518">
        <v>0</v>
      </c>
      <c r="EV173" s="1223">
        <f t="shared" si="379"/>
      </c>
      <c r="EW173" s="1218">
        <v>0</v>
      </c>
      <c r="EX173" s="1218">
        <v>0</v>
      </c>
      <c r="EY173" s="1218">
        <v>0</v>
      </c>
      <c r="EZ173" s="1218">
        <v>0</v>
      </c>
      <c r="FA173" s="1223">
        <f t="shared" si="380"/>
      </c>
      <c r="FB173" s="690"/>
      <c r="FC173" s="690"/>
      <c r="FD173" s="690"/>
      <c r="FE173" s="690"/>
      <c r="FF173" s="1175"/>
      <c r="FG173" s="690"/>
      <c r="FH173" s="690"/>
      <c r="FI173" s="690"/>
      <c r="FJ173" s="690"/>
      <c r="FK173" s="1175"/>
      <c r="FL173" s="690"/>
      <c r="FM173" s="690"/>
      <c r="FN173" s="690"/>
      <c r="FO173" s="690"/>
      <c r="FP173" s="1175"/>
      <c r="FQ173" s="690"/>
      <c r="FR173" s="690"/>
      <c r="FS173" s="690"/>
      <c r="FT173" s="690"/>
      <c r="FU173" s="1175"/>
      <c r="FV173" s="690"/>
      <c r="FW173" s="690"/>
      <c r="FX173" s="690"/>
      <c r="FY173" s="690"/>
      <c r="FZ173" s="1175"/>
      <c r="GA173" s="690"/>
      <c r="GB173" s="690"/>
      <c r="GC173" s="690"/>
      <c r="GD173" s="690"/>
      <c r="GE173" s="1175"/>
      <c r="GF173" s="690"/>
      <c r="GG173" s="690"/>
      <c r="GH173" s="690"/>
      <c r="GI173" s="690"/>
      <c r="GJ173" s="1175"/>
    </row>
    <row r="174" spans="1:192" s="461" customFormat="1" ht="12.75" customHeight="1" outlineLevel="2">
      <c r="A174" s="370"/>
      <c r="B174" s="986" t="s">
        <v>1851</v>
      </c>
      <c r="C174" s="493"/>
      <c r="D174" s="493"/>
      <c r="E174" s="493"/>
      <c r="F174" s="493"/>
      <c r="G174" s="1175"/>
      <c r="H174" s="493"/>
      <c r="I174" s="493"/>
      <c r="J174" s="493"/>
      <c r="K174" s="493"/>
      <c r="L174" s="1175"/>
      <c r="M174" s="815"/>
      <c r="N174" s="815"/>
      <c r="O174" s="815"/>
      <c r="P174" s="815"/>
      <c r="Q174" s="1175"/>
      <c r="R174" s="815"/>
      <c r="S174" s="815"/>
      <c r="T174" s="815"/>
      <c r="U174" s="815"/>
      <c r="V174" s="1175"/>
      <c r="W174" s="815"/>
      <c r="X174" s="815"/>
      <c r="Y174" s="815"/>
      <c r="Z174" s="493"/>
      <c r="AA174" s="1175"/>
      <c r="AB174" s="815"/>
      <c r="AC174" s="815"/>
      <c r="AD174" s="815"/>
      <c r="AE174" s="493"/>
      <c r="AF174" s="1175"/>
      <c r="AG174" s="493"/>
      <c r="AH174" s="493"/>
      <c r="AI174" s="493"/>
      <c r="AJ174" s="493"/>
      <c r="AK174" s="1175"/>
      <c r="AL174" s="493"/>
      <c r="AM174" s="493"/>
      <c r="AN174" s="493"/>
      <c r="AO174" s="493"/>
      <c r="AP174" s="1175"/>
      <c r="AQ174" s="493"/>
      <c r="AR174" s="493"/>
      <c r="AS174" s="493"/>
      <c r="AT174" s="493"/>
      <c r="AU174" s="1175"/>
      <c r="AV174" s="493"/>
      <c r="AW174" s="493"/>
      <c r="AX174" s="493"/>
      <c r="AY174" s="493"/>
      <c r="AZ174" s="1175"/>
      <c r="BA174" s="1218"/>
      <c r="BB174" s="493"/>
      <c r="BC174" s="1218"/>
      <c r="BD174" s="1218"/>
      <c r="BE174" s="1223"/>
      <c r="BF174" s="1218"/>
      <c r="BG174" s="493"/>
      <c r="BH174" s="1218"/>
      <c r="BI174" s="1218"/>
      <c r="BJ174" s="1223"/>
      <c r="BK174" s="1218"/>
      <c r="BL174" s="493"/>
      <c r="BM174" s="1218"/>
      <c r="BN174" s="1218"/>
      <c r="BO174" s="1223"/>
      <c r="BP174" s="1218"/>
      <c r="BQ174" s="493"/>
      <c r="BR174" s="1218"/>
      <c r="BS174" s="1218"/>
      <c r="BT174" s="1223"/>
      <c r="BU174" s="1218"/>
      <c r="BV174" s="493"/>
      <c r="BW174" s="1218"/>
      <c r="BX174" s="1218"/>
      <c r="BY174" s="1223"/>
      <c r="BZ174" s="1218"/>
      <c r="CA174" s="493"/>
      <c r="CB174" s="1218"/>
      <c r="CC174" s="1218"/>
      <c r="CD174" s="1223"/>
      <c r="CE174" s="1218"/>
      <c r="CF174" s="493"/>
      <c r="CG174" s="1218"/>
      <c r="CH174" s="1218"/>
      <c r="CI174" s="1223"/>
      <c r="CJ174" s="1218"/>
      <c r="CK174" s="493"/>
      <c r="CL174" s="1218"/>
      <c r="CM174" s="1218"/>
      <c r="CN174" s="1223"/>
      <c r="CO174" s="1218"/>
      <c r="CP174" s="493"/>
      <c r="CQ174" s="1218"/>
      <c r="CR174" s="1218"/>
      <c r="CS174" s="1223"/>
      <c r="CT174" s="1218"/>
      <c r="CU174" s="493">
        <v>1329</v>
      </c>
      <c r="CV174" s="1218">
        <v>-1658</v>
      </c>
      <c r="CW174" s="1218"/>
      <c r="CX174" s="1223"/>
      <c r="CY174" s="1218">
        <v>0</v>
      </c>
      <c r="CZ174" s="1218">
        <v>0</v>
      </c>
      <c r="DA174" s="1218">
        <v>0</v>
      </c>
      <c r="DB174" s="1218">
        <v>0</v>
      </c>
      <c r="DC174" s="1219">
        <f t="shared" si="371"/>
      </c>
      <c r="DD174" s="1218">
        <v>0</v>
      </c>
      <c r="DE174" s="1218">
        <v>0</v>
      </c>
      <c r="DF174" s="1218">
        <v>0</v>
      </c>
      <c r="DG174" s="1218">
        <v>0</v>
      </c>
      <c r="DH174" s="1219">
        <f t="shared" si="372"/>
      </c>
      <c r="DI174" s="1218">
        <v>0</v>
      </c>
      <c r="DJ174" s="1218">
        <v>0</v>
      </c>
      <c r="DK174" s="1218">
        <v>0</v>
      </c>
      <c r="DL174" s="1218">
        <v>0</v>
      </c>
      <c r="DM174" s="1219">
        <f t="shared" si="373"/>
      </c>
      <c r="DN174" s="1218">
        <v>0</v>
      </c>
      <c r="DO174" s="1218">
        <v>0</v>
      </c>
      <c r="DP174" s="1218">
        <v>0</v>
      </c>
      <c r="DQ174" s="1218">
        <v>0</v>
      </c>
      <c r="DR174" s="1219">
        <f t="shared" si="374"/>
      </c>
      <c r="DS174" s="1218">
        <v>0</v>
      </c>
      <c r="DT174" s="1218">
        <v>0</v>
      </c>
      <c r="DU174" s="1218">
        <v>0</v>
      </c>
      <c r="DV174" s="1218">
        <v>0</v>
      </c>
      <c r="DW174" s="1219">
        <f t="shared" si="375"/>
      </c>
      <c r="DX174" s="1218">
        <v>0</v>
      </c>
      <c r="DY174" s="1218">
        <v>0</v>
      </c>
      <c r="DZ174" s="1218">
        <v>0</v>
      </c>
      <c r="EA174" s="1218">
        <v>0</v>
      </c>
      <c r="EB174" s="1219">
        <f t="shared" si="376"/>
      </c>
      <c r="EC174" s="1218">
        <v>0</v>
      </c>
      <c r="ED174" s="1218">
        <v>0</v>
      </c>
      <c r="EE174" s="1218">
        <v>0</v>
      </c>
      <c r="EF174" s="1218">
        <v>0</v>
      </c>
      <c r="EG174" s="1219">
        <f t="shared" si="377"/>
      </c>
      <c r="EH174" s="1218">
        <v>0</v>
      </c>
      <c r="EI174" s="1218">
        <v>0</v>
      </c>
      <c r="EJ174" s="1218">
        <v>0</v>
      </c>
      <c r="EK174" s="1218">
        <v>0</v>
      </c>
      <c r="EL174" s="1219">
        <f t="shared" si="378"/>
      </c>
      <c r="EM174" s="1218">
        <v>0</v>
      </c>
      <c r="EN174" s="1218">
        <v>0</v>
      </c>
      <c r="EO174" s="1218">
        <v>0</v>
      </c>
      <c r="EP174" s="1218">
        <v>0</v>
      </c>
      <c r="EQ174" s="1219">
        <f t="shared" si="381"/>
      </c>
      <c r="ER174" s="1218">
        <v>0</v>
      </c>
      <c r="ES174" s="1218">
        <v>0</v>
      </c>
      <c r="ET174" s="1518">
        <v>0</v>
      </c>
      <c r="EU174" s="1518">
        <v>0</v>
      </c>
      <c r="EV174" s="1223">
        <f t="shared" si="379"/>
      </c>
      <c r="EW174" s="1218">
        <v>0</v>
      </c>
      <c r="EX174" s="1218">
        <v>0</v>
      </c>
      <c r="EY174" s="1218">
        <v>0</v>
      </c>
      <c r="EZ174" s="1218">
        <v>0</v>
      </c>
      <c r="FA174" s="1223">
        <f t="shared" si="380"/>
      </c>
      <c r="FB174" s="690"/>
      <c r="FC174" s="690"/>
      <c r="FD174" s="690"/>
      <c r="FE174" s="690"/>
      <c r="FF174" s="1175"/>
      <c r="FG174" s="690"/>
      <c r="FH174" s="690"/>
      <c r="FI174" s="690"/>
      <c r="FJ174" s="690"/>
      <c r="FK174" s="1175"/>
      <c r="FL174" s="690"/>
      <c r="FM174" s="690"/>
      <c r="FN174" s="690"/>
      <c r="FO174" s="690"/>
      <c r="FP174" s="1175"/>
      <c r="FQ174" s="690"/>
      <c r="FR174" s="690"/>
      <c r="FS174" s="690"/>
      <c r="FT174" s="690"/>
      <c r="FU174" s="1175"/>
      <c r="FV174" s="690"/>
      <c r="FW174" s="690"/>
      <c r="FX174" s="690"/>
      <c r="FY174" s="690"/>
      <c r="FZ174" s="1175"/>
      <c r="GA174" s="690"/>
      <c r="GB174" s="690"/>
      <c r="GC174" s="690"/>
      <c r="GD174" s="690"/>
      <c r="GE174" s="1175"/>
      <c r="GF174" s="690"/>
      <c r="GG174" s="690"/>
      <c r="GH174" s="690"/>
      <c r="GI174" s="690"/>
      <c r="GJ174" s="1175"/>
    </row>
    <row r="175" spans="1:192" s="461" customFormat="1" ht="12.75" customHeight="1" outlineLevel="2">
      <c r="A175" s="370"/>
      <c r="B175" s="986" t="s">
        <v>1852</v>
      </c>
      <c r="C175" s="493"/>
      <c r="D175" s="493"/>
      <c r="E175" s="493"/>
      <c r="F175" s="493"/>
      <c r="G175" s="1175"/>
      <c r="H175" s="493"/>
      <c r="I175" s="493"/>
      <c r="J175" s="493"/>
      <c r="K175" s="493"/>
      <c r="L175" s="1175"/>
      <c r="M175" s="815"/>
      <c r="N175" s="815"/>
      <c r="O175" s="815"/>
      <c r="P175" s="815"/>
      <c r="Q175" s="1175"/>
      <c r="R175" s="815"/>
      <c r="S175" s="815"/>
      <c r="T175" s="815"/>
      <c r="U175" s="815"/>
      <c r="V175" s="1175"/>
      <c r="W175" s="815"/>
      <c r="X175" s="815"/>
      <c r="Y175" s="815"/>
      <c r="Z175" s="493"/>
      <c r="AA175" s="1175"/>
      <c r="AB175" s="815"/>
      <c r="AC175" s="815"/>
      <c r="AD175" s="815"/>
      <c r="AE175" s="493"/>
      <c r="AF175" s="1175"/>
      <c r="AG175" s="493"/>
      <c r="AH175" s="493"/>
      <c r="AI175" s="493"/>
      <c r="AJ175" s="493"/>
      <c r="AK175" s="1175"/>
      <c r="AL175" s="493"/>
      <c r="AM175" s="493"/>
      <c r="AN175" s="493"/>
      <c r="AO175" s="493"/>
      <c r="AP175" s="1175"/>
      <c r="AQ175" s="493"/>
      <c r="AR175" s="493"/>
      <c r="AS175" s="493"/>
      <c r="AT175" s="493"/>
      <c r="AU175" s="1175"/>
      <c r="AV175" s="493"/>
      <c r="AW175" s="493"/>
      <c r="AX175" s="493"/>
      <c r="AY175" s="493"/>
      <c r="AZ175" s="1175"/>
      <c r="BA175" s="1218"/>
      <c r="BB175" s="1218"/>
      <c r="BC175" s="1218"/>
      <c r="BD175" s="1218"/>
      <c r="BE175" s="1223"/>
      <c r="BF175" s="1218"/>
      <c r="BG175" s="1218"/>
      <c r="BH175" s="1218"/>
      <c r="BI175" s="1218"/>
      <c r="BJ175" s="1223"/>
      <c r="BK175" s="1218"/>
      <c r="BL175" s="1218"/>
      <c r="BM175" s="1218"/>
      <c r="BN175" s="1218"/>
      <c r="BO175" s="1223"/>
      <c r="BP175" s="1218"/>
      <c r="BQ175" s="1218"/>
      <c r="BR175" s="1218"/>
      <c r="BS175" s="1218"/>
      <c r="BT175" s="1223"/>
      <c r="BU175" s="1218"/>
      <c r="BV175" s="1218"/>
      <c r="BW175" s="1218"/>
      <c r="BX175" s="1218"/>
      <c r="BY175" s="1223"/>
      <c r="BZ175" s="1218"/>
      <c r="CA175" s="1218"/>
      <c r="CB175" s="1218"/>
      <c r="CC175" s="1218"/>
      <c r="CD175" s="1223"/>
      <c r="CE175" s="1218"/>
      <c r="CF175" s="1218"/>
      <c r="CG175" s="1218"/>
      <c r="CH175" s="1218"/>
      <c r="CI175" s="1223"/>
      <c r="CJ175" s="1218"/>
      <c r="CK175" s="1218"/>
      <c r="CL175" s="1218"/>
      <c r="CM175" s="1218"/>
      <c r="CN175" s="1223"/>
      <c r="CO175" s="1218"/>
      <c r="CP175" s="1218"/>
      <c r="CQ175" s="1218"/>
      <c r="CR175" s="1218"/>
      <c r="CS175" s="1223"/>
      <c r="CT175" s="1218"/>
      <c r="CU175" s="1218"/>
      <c r="CV175" s="1218">
        <v>733</v>
      </c>
      <c r="CW175" s="1218"/>
      <c r="CX175" s="1223"/>
      <c r="CY175" s="1218">
        <v>0</v>
      </c>
      <c r="CZ175" s="1218">
        <v>0</v>
      </c>
      <c r="DA175" s="1218">
        <v>0</v>
      </c>
      <c r="DB175" s="1218">
        <v>0</v>
      </c>
      <c r="DC175" s="1219">
        <f t="shared" si="371"/>
      </c>
      <c r="DD175" s="1218">
        <v>0</v>
      </c>
      <c r="DE175" s="1218">
        <v>0</v>
      </c>
      <c r="DF175" s="1218">
        <v>0</v>
      </c>
      <c r="DG175" s="1218">
        <v>0</v>
      </c>
      <c r="DH175" s="1219">
        <f t="shared" si="372"/>
      </c>
      <c r="DI175" s="1218">
        <v>0</v>
      </c>
      <c r="DJ175" s="1218">
        <v>0</v>
      </c>
      <c r="DK175" s="1218">
        <v>0</v>
      </c>
      <c r="DL175" s="1218">
        <v>0</v>
      </c>
      <c r="DM175" s="1219">
        <f t="shared" si="373"/>
      </c>
      <c r="DN175" s="1218">
        <v>0</v>
      </c>
      <c r="DO175" s="1218">
        <v>0</v>
      </c>
      <c r="DP175" s="1218">
        <v>0</v>
      </c>
      <c r="DQ175" s="1218">
        <v>0</v>
      </c>
      <c r="DR175" s="1219">
        <f t="shared" si="374"/>
      </c>
      <c r="DS175" s="1218">
        <v>0</v>
      </c>
      <c r="DT175" s="1218">
        <v>0</v>
      </c>
      <c r="DU175" s="1218">
        <v>0</v>
      </c>
      <c r="DV175" s="1218">
        <v>0</v>
      </c>
      <c r="DW175" s="1219">
        <f t="shared" si="375"/>
      </c>
      <c r="DX175" s="1218">
        <v>0</v>
      </c>
      <c r="DY175" s="1218">
        <v>0</v>
      </c>
      <c r="DZ175" s="1218">
        <v>0</v>
      </c>
      <c r="EA175" s="1218">
        <v>0</v>
      </c>
      <c r="EB175" s="1219">
        <f t="shared" si="376"/>
      </c>
      <c r="EC175" s="1218">
        <v>0</v>
      </c>
      <c r="ED175" s="1218">
        <v>0</v>
      </c>
      <c r="EE175" s="1218">
        <v>0</v>
      </c>
      <c r="EF175" s="1218">
        <v>0</v>
      </c>
      <c r="EG175" s="1219">
        <f t="shared" si="377"/>
      </c>
      <c r="EH175" s="1218">
        <v>0</v>
      </c>
      <c r="EI175" s="1218">
        <v>0</v>
      </c>
      <c r="EJ175" s="1218">
        <v>0</v>
      </c>
      <c r="EK175" s="1218">
        <v>0</v>
      </c>
      <c r="EL175" s="1219">
        <f t="shared" si="378"/>
      </c>
      <c r="EM175" s="1218">
        <v>0</v>
      </c>
      <c r="EN175" s="1218">
        <v>0</v>
      </c>
      <c r="EO175" s="1218">
        <v>0</v>
      </c>
      <c r="EP175" s="1218">
        <v>0</v>
      </c>
      <c r="EQ175" s="1219">
        <f t="shared" si="381"/>
      </c>
      <c r="ER175" s="1218">
        <v>0</v>
      </c>
      <c r="ES175" s="1218">
        <v>0</v>
      </c>
      <c r="ET175" s="1518">
        <v>0</v>
      </c>
      <c r="EU175" s="1518">
        <v>0</v>
      </c>
      <c r="EV175" s="1223">
        <f t="shared" si="379"/>
      </c>
      <c r="EW175" s="1218">
        <v>0</v>
      </c>
      <c r="EX175" s="1218">
        <v>0</v>
      </c>
      <c r="EY175" s="1218">
        <v>0</v>
      </c>
      <c r="EZ175" s="1218">
        <v>0</v>
      </c>
      <c r="FA175" s="1223">
        <f t="shared" si="380"/>
      </c>
      <c r="FB175" s="690"/>
      <c r="FC175" s="690"/>
      <c r="FD175" s="690"/>
      <c r="FE175" s="690"/>
      <c r="FF175" s="1175"/>
      <c r="FG175" s="690"/>
      <c r="FH175" s="690"/>
      <c r="FI175" s="690"/>
      <c r="FJ175" s="690"/>
      <c r="FK175" s="1175"/>
      <c r="FL175" s="690"/>
      <c r="FM175" s="690"/>
      <c r="FN175" s="690"/>
      <c r="FO175" s="690"/>
      <c r="FP175" s="1175"/>
      <c r="FQ175" s="690"/>
      <c r="FR175" s="690"/>
      <c r="FS175" s="690"/>
      <c r="FT175" s="690"/>
      <c r="FU175" s="1175"/>
      <c r="FV175" s="690"/>
      <c r="FW175" s="690"/>
      <c r="FX175" s="690"/>
      <c r="FY175" s="690"/>
      <c r="FZ175" s="1175"/>
      <c r="GA175" s="690"/>
      <c r="GB175" s="690"/>
      <c r="GC175" s="690"/>
      <c r="GD175" s="690"/>
      <c r="GE175" s="1175"/>
      <c r="GF175" s="690"/>
      <c r="GG175" s="690"/>
      <c r="GH175" s="690"/>
      <c r="GI175" s="690"/>
      <c r="GJ175" s="1175"/>
    </row>
    <row r="176" spans="1:192" s="461" customFormat="1" ht="12.75" customHeight="1" outlineLevel="2">
      <c r="A176" s="370"/>
      <c r="B176" s="986" t="s">
        <v>1853</v>
      </c>
      <c r="C176" s="493"/>
      <c r="D176" s="493"/>
      <c r="E176" s="493"/>
      <c r="F176" s="493"/>
      <c r="G176" s="1175"/>
      <c r="H176" s="493"/>
      <c r="I176" s="493"/>
      <c r="J176" s="493"/>
      <c r="K176" s="493"/>
      <c r="L176" s="1175"/>
      <c r="M176" s="815"/>
      <c r="N176" s="815"/>
      <c r="O176" s="815"/>
      <c r="P176" s="815"/>
      <c r="Q176" s="1175"/>
      <c r="R176" s="815"/>
      <c r="S176" s="815"/>
      <c r="T176" s="815"/>
      <c r="U176" s="815"/>
      <c r="V176" s="1175"/>
      <c r="W176" s="815"/>
      <c r="X176" s="815"/>
      <c r="Y176" s="815"/>
      <c r="Z176" s="493"/>
      <c r="AA176" s="1175"/>
      <c r="AB176" s="815"/>
      <c r="AC176" s="815"/>
      <c r="AD176" s="815"/>
      <c r="AE176" s="493"/>
      <c r="AF176" s="1175"/>
      <c r="AG176" s="493"/>
      <c r="AH176" s="493"/>
      <c r="AI176" s="493"/>
      <c r="AJ176" s="493"/>
      <c r="AK176" s="1175"/>
      <c r="AL176" s="493"/>
      <c r="AM176" s="493"/>
      <c r="AN176" s="493"/>
      <c r="AO176" s="493"/>
      <c r="AP176" s="1175"/>
      <c r="AQ176" s="493"/>
      <c r="AR176" s="493"/>
      <c r="AS176" s="493"/>
      <c r="AT176" s="493"/>
      <c r="AU176" s="1175"/>
      <c r="AV176" s="493"/>
      <c r="AW176" s="493"/>
      <c r="AX176" s="493"/>
      <c r="AY176" s="493"/>
      <c r="AZ176" s="1175"/>
      <c r="BA176" s="1218"/>
      <c r="BB176" s="1218"/>
      <c r="BC176" s="1218"/>
      <c r="BD176" s="1218"/>
      <c r="BE176" s="1223"/>
      <c r="BF176" s="1218"/>
      <c r="BG176" s="1218"/>
      <c r="BH176" s="1218"/>
      <c r="BI176" s="1218"/>
      <c r="BJ176" s="1223"/>
      <c r="BK176" s="1218"/>
      <c r="BL176" s="1218"/>
      <c r="BM176" s="1218"/>
      <c r="BN176" s="1218"/>
      <c r="BO176" s="1223"/>
      <c r="BP176" s="1218"/>
      <c r="BQ176" s="1218"/>
      <c r="BR176" s="1218"/>
      <c r="BS176" s="1218"/>
      <c r="BT176" s="1223"/>
      <c r="BU176" s="1218"/>
      <c r="BV176" s="1218"/>
      <c r="BW176" s="1218"/>
      <c r="BX176" s="1218"/>
      <c r="BY176" s="1223"/>
      <c r="BZ176" s="1218"/>
      <c r="CA176" s="1218"/>
      <c r="CB176" s="1218"/>
      <c r="CC176" s="1218"/>
      <c r="CD176" s="1223"/>
      <c r="CE176" s="1218"/>
      <c r="CF176" s="1218"/>
      <c r="CG176" s="1218"/>
      <c r="CH176" s="1218"/>
      <c r="CI176" s="1223"/>
      <c r="CJ176" s="1218"/>
      <c r="CK176" s="1218"/>
      <c r="CL176" s="1218"/>
      <c r="CM176" s="1218"/>
      <c r="CN176" s="1223"/>
      <c r="CO176" s="1218"/>
      <c r="CP176" s="1218"/>
      <c r="CQ176" s="1218"/>
      <c r="CR176" s="1218"/>
      <c r="CS176" s="1223"/>
      <c r="CT176" s="1218"/>
      <c r="CU176" s="1218"/>
      <c r="CV176" s="1218"/>
      <c r="CW176" s="1218"/>
      <c r="CX176" s="1223"/>
      <c r="CY176" s="1218">
        <v>0</v>
      </c>
      <c r="CZ176" s="1218">
        <v>0</v>
      </c>
      <c r="DA176" s="1218">
        <v>0</v>
      </c>
      <c r="DB176" s="1218">
        <v>0</v>
      </c>
      <c r="DC176" s="1219">
        <f t="shared" si="371"/>
      </c>
      <c r="DD176" s="1218">
        <v>0</v>
      </c>
      <c r="DE176" s="1218">
        <v>0</v>
      </c>
      <c r="DF176" s="1218">
        <v>0</v>
      </c>
      <c r="DG176" s="1218">
        <v>0</v>
      </c>
      <c r="DH176" s="1219">
        <f t="shared" si="372"/>
      </c>
      <c r="DI176" s="1218">
        <v>0</v>
      </c>
      <c r="DJ176" s="1218">
        <v>0</v>
      </c>
      <c r="DK176" s="1218">
        <v>0</v>
      </c>
      <c r="DL176" s="1218">
        <v>0</v>
      </c>
      <c r="DM176" s="1219">
        <f t="shared" si="373"/>
      </c>
      <c r="DN176" s="1218">
        <v>0</v>
      </c>
      <c r="DO176" s="1218">
        <v>0</v>
      </c>
      <c r="DP176" s="1218">
        <v>0</v>
      </c>
      <c r="DQ176" s="1218">
        <v>0</v>
      </c>
      <c r="DR176" s="1219">
        <f t="shared" si="374"/>
      </c>
      <c r="DS176" s="1218">
        <v>0</v>
      </c>
      <c r="DT176" s="1218">
        <v>0</v>
      </c>
      <c r="DU176" s="1218">
        <v>0</v>
      </c>
      <c r="DV176" s="1218">
        <v>0</v>
      </c>
      <c r="DW176" s="1219">
        <f t="shared" si="375"/>
      </c>
      <c r="DX176" s="1218">
        <v>0</v>
      </c>
      <c r="DY176" s="1218">
        <v>0</v>
      </c>
      <c r="DZ176" s="1218">
        <v>0</v>
      </c>
      <c r="EA176" s="1218">
        <v>0</v>
      </c>
      <c r="EB176" s="1219">
        <f t="shared" si="376"/>
      </c>
      <c r="EC176" s="1218">
        <v>0</v>
      </c>
      <c r="ED176" s="1218">
        <v>0</v>
      </c>
      <c r="EE176" s="1218">
        <v>0</v>
      </c>
      <c r="EF176" s="1218">
        <v>0</v>
      </c>
      <c r="EG176" s="1219">
        <f t="shared" si="377"/>
      </c>
      <c r="EH176" s="1218">
        <v>0</v>
      </c>
      <c r="EI176" s="1218">
        <v>0</v>
      </c>
      <c r="EJ176" s="1218">
        <v>0</v>
      </c>
      <c r="EK176" s="1218">
        <v>0</v>
      </c>
      <c r="EL176" s="1219">
        <f t="shared" si="378"/>
      </c>
      <c r="EM176" s="1218">
        <v>0</v>
      </c>
      <c r="EN176" s="1218">
        <v>0</v>
      </c>
      <c r="EO176" s="1218">
        <v>0</v>
      </c>
      <c r="EP176" s="1218">
        <v>0</v>
      </c>
      <c r="EQ176" s="1219">
        <f t="shared" si="381"/>
      </c>
      <c r="ER176" s="1218">
        <v>0</v>
      </c>
      <c r="ES176" s="1218">
        <v>0</v>
      </c>
      <c r="ET176" s="1518">
        <v>0</v>
      </c>
      <c r="EU176" s="1518">
        <v>0</v>
      </c>
      <c r="EV176" s="1223">
        <f t="shared" si="379"/>
      </c>
      <c r="EW176" s="1218">
        <v>0</v>
      </c>
      <c r="EX176" s="1218">
        <v>0</v>
      </c>
      <c r="EY176" s="1218">
        <v>0</v>
      </c>
      <c r="EZ176" s="1218">
        <v>0</v>
      </c>
      <c r="FA176" s="1223">
        <f t="shared" si="380"/>
      </c>
      <c r="FB176" s="690"/>
      <c r="FC176" s="690"/>
      <c r="FD176" s="690"/>
      <c r="FE176" s="690"/>
      <c r="FF176" s="1175"/>
      <c r="FG176" s="690"/>
      <c r="FH176" s="690"/>
      <c r="FI176" s="690"/>
      <c r="FJ176" s="690"/>
      <c r="FK176" s="1175"/>
      <c r="FL176" s="690"/>
      <c r="FM176" s="690"/>
      <c r="FN176" s="690"/>
      <c r="FO176" s="690"/>
      <c r="FP176" s="1175"/>
      <c r="FQ176" s="690"/>
      <c r="FR176" s="690"/>
      <c r="FS176" s="690"/>
      <c r="FT176" s="690"/>
      <c r="FU176" s="1175"/>
      <c r="FV176" s="690"/>
      <c r="FW176" s="690"/>
      <c r="FX176" s="690"/>
      <c r="FY176" s="690"/>
      <c r="FZ176" s="1175"/>
      <c r="GA176" s="690"/>
      <c r="GB176" s="690"/>
      <c r="GC176" s="690"/>
      <c r="GD176" s="690"/>
      <c r="GE176" s="1175"/>
      <c r="GF176" s="690"/>
      <c r="GG176" s="690"/>
      <c r="GH176" s="690"/>
      <c r="GI176" s="690"/>
      <c r="GJ176" s="1175"/>
    </row>
    <row r="177" spans="1:192" s="314" customFormat="1" ht="12.75" customHeight="1" outlineLevel="1">
      <c r="A177" s="793"/>
      <c r="B177" s="621" t="s">
        <v>1841</v>
      </c>
      <c r="C177" s="322"/>
      <c r="D177" s="322"/>
      <c r="E177" s="322"/>
      <c r="F177" s="322"/>
      <c r="G177" s="323"/>
      <c r="H177" s="322"/>
      <c r="I177" s="322"/>
      <c r="J177" s="322"/>
      <c r="K177" s="322"/>
      <c r="L177" s="323"/>
      <c r="M177" s="322"/>
      <c r="N177" s="322"/>
      <c r="O177" s="322"/>
      <c r="P177" s="322"/>
      <c r="Q177" s="323"/>
      <c r="R177" s="322"/>
      <c r="S177" s="322"/>
      <c r="T177" s="322"/>
      <c r="U177" s="322"/>
      <c r="V177" s="323"/>
      <c r="W177" s="322"/>
      <c r="X177" s="322"/>
      <c r="Y177" s="322"/>
      <c r="Z177" s="322"/>
      <c r="AA177" s="323"/>
      <c r="AB177" s="322"/>
      <c r="AC177" s="322"/>
      <c r="AD177" s="322"/>
      <c r="AE177" s="322"/>
      <c r="AF177" s="323"/>
      <c r="AG177" s="322"/>
      <c r="AH177" s="322"/>
      <c r="AI177" s="322"/>
      <c r="AJ177" s="322"/>
      <c r="AK177" s="323"/>
      <c r="AL177" s="322"/>
      <c r="AM177" s="322"/>
      <c r="AN177" s="322"/>
      <c r="AO177" s="322"/>
      <c r="AP177" s="323"/>
      <c r="AQ177" s="322"/>
      <c r="AR177" s="322"/>
      <c r="AS177" s="322"/>
      <c r="AT177" s="322"/>
      <c r="AU177" s="323"/>
      <c r="AV177" s="322"/>
      <c r="AW177" s="322"/>
      <c r="AX177" s="322"/>
      <c r="AY177" s="322"/>
      <c r="AZ177" s="323"/>
      <c r="BA177" s="322"/>
      <c r="BB177" s="322"/>
      <c r="BC177" s="322"/>
      <c r="BD177" s="322"/>
      <c r="BE177" s="323"/>
      <c r="BF177" s="322"/>
      <c r="BG177" s="322"/>
      <c r="BH177" s="322"/>
      <c r="BI177" s="322"/>
      <c r="BJ177" s="323"/>
      <c r="BK177" s="322"/>
      <c r="BL177" s="322"/>
      <c r="BM177" s="322"/>
      <c r="BN177" s="322"/>
      <c r="BO177" s="323"/>
      <c r="BP177" s="322"/>
      <c r="BQ177" s="322"/>
      <c r="BR177" s="322"/>
      <c r="BS177" s="322"/>
      <c r="BT177" s="323"/>
      <c r="BU177" s="322"/>
      <c r="BV177" s="322"/>
      <c r="BW177" s="322"/>
      <c r="BX177" s="322"/>
      <c r="BY177" s="323"/>
      <c r="BZ177" s="322"/>
      <c r="CA177" s="322"/>
      <c r="CB177" s="322"/>
      <c r="CC177" s="322"/>
      <c r="CD177" s="323"/>
      <c r="CE177" s="322"/>
      <c r="CF177" s="322"/>
      <c r="CG177" s="322"/>
      <c r="CH177" s="322"/>
      <c r="CI177" s="323"/>
      <c r="CJ177" s="322"/>
      <c r="CK177" s="322"/>
      <c r="CL177" s="322"/>
      <c r="CM177" s="322"/>
      <c r="CN177" s="323"/>
      <c r="CO177" s="322"/>
      <c r="CP177" s="322"/>
      <c r="CQ177" s="322"/>
      <c r="CR177" s="322"/>
      <c r="CS177" s="323"/>
      <c r="CT177" s="322"/>
      <c r="CU177" s="322"/>
      <c r="CV177" s="322"/>
      <c r="CW177" s="322"/>
      <c r="CX177" s="323"/>
      <c r="CY177" s="322">
        <f t="shared" ref="CY177:ED177" si="382">CY$118+SUM(CY168:CY176)</f>
      </c>
      <c r="CZ177" s="322">
        <f t="shared" si="382"/>
      </c>
      <c r="DA177" s="322">
        <f t="shared" si="382"/>
      </c>
      <c r="DB177" s="322">
        <f t="shared" si="382"/>
      </c>
      <c r="DC177" s="323">
        <f t="shared" si="382"/>
      </c>
      <c r="DD177" s="322">
        <f t="shared" si="382"/>
      </c>
      <c r="DE177" s="322">
        <f t="shared" si="382"/>
      </c>
      <c r="DF177" s="322">
        <f t="shared" si="382"/>
      </c>
      <c r="DG177" s="322">
        <f t="shared" si="382"/>
      </c>
      <c r="DH177" s="323">
        <f t="shared" si="382"/>
      </c>
      <c r="DI177" s="322">
        <f t="shared" si="382"/>
      </c>
      <c r="DJ177" s="322">
        <f t="shared" si="382"/>
      </c>
      <c r="DK177" s="322">
        <f t="shared" si="382"/>
      </c>
      <c r="DL177" s="322">
        <f t="shared" si="382"/>
      </c>
      <c r="DM177" s="323">
        <f t="shared" si="382"/>
      </c>
      <c r="DN177" s="322">
        <f t="shared" si="382"/>
      </c>
      <c r="DO177" s="322">
        <f t="shared" si="382"/>
      </c>
      <c r="DP177" s="322">
        <f t="shared" si="382"/>
      </c>
      <c r="DQ177" s="322">
        <f t="shared" si="382"/>
      </c>
      <c r="DR177" s="323">
        <f t="shared" si="382"/>
      </c>
      <c r="DS177" s="322">
        <f t="shared" si="382"/>
      </c>
      <c r="DT177" s="322">
        <f t="shared" si="382"/>
      </c>
      <c r="DU177" s="322">
        <f t="shared" si="382"/>
      </c>
      <c r="DV177" s="322">
        <f t="shared" si="382"/>
      </c>
      <c r="DW177" s="323">
        <f t="shared" si="382"/>
      </c>
      <c r="DX177" s="322">
        <f t="shared" si="382"/>
      </c>
      <c r="DY177" s="322">
        <f t="shared" si="382"/>
      </c>
      <c r="DZ177" s="322">
        <f t="shared" si="382"/>
      </c>
      <c r="EA177" s="322">
        <f t="shared" si="382"/>
      </c>
      <c r="EB177" s="323">
        <f t="shared" si="382"/>
      </c>
      <c r="EC177" s="322">
        <f t="shared" si="382"/>
      </c>
      <c r="ED177" s="322">
        <f t="shared" si="382"/>
      </c>
      <c r="EE177" s="322">
        <f t="shared" ref="EE177:FA177" si="383">EE$118+SUM(EE168:EE176)</f>
      </c>
      <c r="EF177" s="322">
        <f t="shared" si="383"/>
      </c>
      <c r="EG177" s="323">
        <f t="shared" si="383"/>
      </c>
      <c r="EH177" s="322">
        <f t="shared" si="383"/>
      </c>
      <c r="EI177" s="322">
        <f t="shared" si="383"/>
      </c>
      <c r="EJ177" s="322">
        <f t="shared" si="383"/>
      </c>
      <c r="EK177" s="322">
        <f t="shared" si="383"/>
      </c>
      <c r="EL177" s="324">
        <f t="shared" si="383"/>
      </c>
      <c r="EM177" s="322">
        <f t="shared" si="383"/>
      </c>
      <c r="EN177" s="322">
        <f t="shared" si="383"/>
      </c>
      <c r="EO177" s="322">
        <f t="shared" si="383"/>
      </c>
      <c r="EP177" s="322">
        <f t="shared" si="383"/>
      </c>
      <c r="EQ177" s="324">
        <f t="shared" si="383"/>
      </c>
      <c r="ER177" s="322">
        <f t="shared" si="383"/>
      </c>
      <c r="ES177" s="322">
        <f t="shared" si="383"/>
      </c>
      <c r="ET177" s="332">
        <f t="shared" si="383"/>
      </c>
      <c r="EU177" s="332">
        <f t="shared" si="383"/>
      </c>
      <c r="EV177" s="324">
        <f t="shared" si="383"/>
      </c>
      <c r="EW177" s="322">
        <f t="shared" si="383"/>
      </c>
      <c r="EX177" s="322">
        <f t="shared" si="383"/>
      </c>
      <c r="EY177" s="332">
        <f t="shared" si="383"/>
      </c>
      <c r="EZ177" s="332">
        <f t="shared" si="383"/>
      </c>
      <c r="FA177" s="324">
        <f t="shared" si="383"/>
      </c>
      <c r="FB177" s="322"/>
      <c r="FC177" s="322"/>
      <c r="FD177" s="322"/>
      <c r="FE177" s="322"/>
      <c r="FF177" s="323"/>
      <c r="FG177" s="322"/>
      <c r="FH177" s="322"/>
      <c r="FI177" s="322"/>
      <c r="FJ177" s="322"/>
      <c r="FK177" s="323"/>
      <c r="FL177" s="322"/>
      <c r="FM177" s="322"/>
      <c r="FN177" s="322"/>
      <c r="FO177" s="322"/>
      <c r="FP177" s="323"/>
      <c r="FQ177" s="322"/>
      <c r="FR177" s="322"/>
      <c r="FS177" s="322"/>
      <c r="FT177" s="322"/>
      <c r="FU177" s="323"/>
      <c r="FV177" s="322"/>
      <c r="FW177" s="322"/>
      <c r="FX177" s="322"/>
      <c r="FY177" s="322"/>
      <c r="FZ177" s="323"/>
      <c r="GA177" s="322"/>
      <c r="GB177" s="322"/>
      <c r="GC177" s="322"/>
      <c r="GD177" s="322"/>
      <c r="GE177" s="323"/>
      <c r="GF177" s="322"/>
      <c r="GG177" s="322"/>
      <c r="GH177" s="322"/>
      <c r="GI177" s="322"/>
      <c r="GJ177" s="323"/>
    </row>
    <row r="178" spans="1:192" s="1227" customFormat="1" ht="12.75" customHeight="1" outlineLevel="1">
      <c r="A178" s="1224"/>
      <c r="B178" s="1228" t="s">
        <v>34</v>
      </c>
      <c r="C178" s="1225" t="str">
        <f>IFERROR(C177/#REF!-1,"")</f>
      </c>
      <c r="D178" s="1225" t="str">
        <f>IFERROR(D177/#REF!-1,"")</f>
      </c>
      <c r="E178" s="1225" t="str">
        <f>IFERROR(E177/#REF!-1,"")</f>
      </c>
      <c r="F178" s="1225" t="str">
        <f t="shared" ref="F178:AK178" si="384">IFERROR(F177/A177-1,"")</f>
      </c>
      <c r="G178" s="1226" t="str">
        <f t="shared" si="384"/>
      </c>
      <c r="H178" s="1225" t="str">
        <f t="shared" si="384"/>
      </c>
      <c r="I178" s="1225" t="str">
        <f t="shared" si="384"/>
      </c>
      <c r="J178" s="1225" t="str">
        <f t="shared" si="384"/>
      </c>
      <c r="K178" s="1225" t="str">
        <f t="shared" si="384"/>
      </c>
      <c r="L178" s="1226" t="str">
        <f t="shared" si="384"/>
      </c>
      <c r="M178" s="1225" t="str">
        <f t="shared" si="384"/>
      </c>
      <c r="N178" s="1225" t="str">
        <f t="shared" si="384"/>
      </c>
      <c r="O178" s="1225" t="str">
        <f t="shared" si="384"/>
      </c>
      <c r="P178" s="1225" t="str">
        <f t="shared" si="384"/>
      </c>
      <c r="Q178" s="1226" t="str">
        <f t="shared" si="384"/>
      </c>
      <c r="R178" s="1225" t="str">
        <f t="shared" si="384"/>
      </c>
      <c r="S178" s="1225" t="str">
        <f t="shared" si="384"/>
      </c>
      <c r="T178" s="1225" t="str">
        <f t="shared" si="384"/>
      </c>
      <c r="U178" s="1225" t="str">
        <f t="shared" si="384"/>
      </c>
      <c r="V178" s="1226" t="str">
        <f t="shared" si="384"/>
      </c>
      <c r="W178" s="1225" t="str">
        <f t="shared" si="384"/>
      </c>
      <c r="X178" s="1225" t="str">
        <f t="shared" si="384"/>
      </c>
      <c r="Y178" s="1225" t="str">
        <f t="shared" si="384"/>
      </c>
      <c r="Z178" s="1225" t="str">
        <f t="shared" si="384"/>
      </c>
      <c r="AA178" s="1226" t="str">
        <f t="shared" si="384"/>
      </c>
      <c r="AB178" s="1225" t="str">
        <f t="shared" si="384"/>
      </c>
      <c r="AC178" s="1225" t="str">
        <f t="shared" si="384"/>
      </c>
      <c r="AD178" s="1225" t="str">
        <f t="shared" si="384"/>
      </c>
      <c r="AE178" s="1225" t="str">
        <f t="shared" si="384"/>
      </c>
      <c r="AF178" s="1226" t="str">
        <f t="shared" si="384"/>
      </c>
      <c r="AG178" s="1225" t="str">
        <f t="shared" si="384"/>
      </c>
      <c r="AH178" s="1225" t="str">
        <f t="shared" si="384"/>
      </c>
      <c r="AI178" s="1225" t="str">
        <f t="shared" si="384"/>
      </c>
      <c r="AJ178" s="1225" t="str">
        <f t="shared" si="384"/>
      </c>
      <c r="AK178" s="1226" t="str">
        <f t="shared" si="384"/>
      </c>
      <c r="AL178" s="1225" t="str">
        <f t="shared" ref="AL178:BQ178" si="385">IFERROR(AL177/AG177-1,"")</f>
      </c>
      <c r="AM178" s="1225" t="str">
        <f t="shared" si="385"/>
      </c>
      <c r="AN178" s="1225" t="str">
        <f t="shared" si="385"/>
      </c>
      <c r="AO178" s="1225" t="str">
        <f t="shared" si="385"/>
      </c>
      <c r="AP178" s="1226" t="str">
        <f t="shared" si="385"/>
      </c>
      <c r="AQ178" s="1225" t="str">
        <f t="shared" si="385"/>
      </c>
      <c r="AR178" s="1225" t="str">
        <f t="shared" si="385"/>
      </c>
      <c r="AS178" s="1225" t="str">
        <f t="shared" si="385"/>
      </c>
      <c r="AT178" s="1225" t="str">
        <f t="shared" si="385"/>
      </c>
      <c r="AU178" s="1226" t="str">
        <f t="shared" si="385"/>
      </c>
      <c r="AV178" s="1225" t="str">
        <f t="shared" si="385"/>
      </c>
      <c r="AW178" s="1225" t="str">
        <f t="shared" si="385"/>
      </c>
      <c r="AX178" s="1225" t="str">
        <f t="shared" si="385"/>
      </c>
      <c r="AY178" s="1225" t="str">
        <f t="shared" si="385"/>
      </c>
      <c r="AZ178" s="1226" t="str">
        <f t="shared" si="385"/>
      </c>
      <c r="BA178" s="1229" t="str">
        <f t="shared" si="385"/>
      </c>
      <c r="BB178" s="1229" t="str">
        <f t="shared" si="385"/>
      </c>
      <c r="BC178" s="1229" t="str">
        <f t="shared" si="385"/>
      </c>
      <c r="BD178" s="1229" t="str">
        <f t="shared" si="385"/>
      </c>
      <c r="BE178" s="1230" t="str">
        <f t="shared" si="385"/>
      </c>
      <c r="BF178" s="1229" t="str">
        <f t="shared" si="385"/>
      </c>
      <c r="BG178" s="1229" t="str">
        <f t="shared" si="385"/>
      </c>
      <c r="BH178" s="1229" t="str">
        <f t="shared" si="385"/>
      </c>
      <c r="BI178" s="1229" t="str">
        <f t="shared" si="385"/>
      </c>
      <c r="BJ178" s="1230" t="str">
        <f t="shared" si="385"/>
      </c>
      <c r="BK178" s="1229" t="str">
        <f t="shared" si="385"/>
      </c>
      <c r="BL178" s="1229" t="str">
        <f t="shared" si="385"/>
      </c>
      <c r="BM178" s="1229" t="str">
        <f t="shared" si="385"/>
      </c>
      <c r="BN178" s="1229" t="str">
        <f t="shared" si="385"/>
      </c>
      <c r="BO178" s="1230" t="str">
        <f t="shared" si="385"/>
      </c>
      <c r="BP178" s="1229" t="str">
        <f t="shared" si="385"/>
      </c>
      <c r="BQ178" s="1229" t="str">
        <f t="shared" si="385"/>
      </c>
      <c r="BR178" s="1229" t="str">
        <f t="shared" ref="BR178:CW178" si="386">IFERROR(BR177/BM177-1,"")</f>
      </c>
      <c r="BS178" s="1229" t="str">
        <f t="shared" si="386"/>
      </c>
      <c r="BT178" s="1230" t="str">
        <f t="shared" si="386"/>
      </c>
      <c r="BU178" s="1229" t="str">
        <f t="shared" si="386"/>
      </c>
      <c r="BV178" s="1229" t="str">
        <f t="shared" si="386"/>
      </c>
      <c r="BW178" s="1229" t="str">
        <f t="shared" si="386"/>
      </c>
      <c r="BX178" s="1229" t="str">
        <f t="shared" si="386"/>
      </c>
      <c r="BY178" s="1230" t="str">
        <f t="shared" si="386"/>
      </c>
      <c r="BZ178" s="1229" t="str">
        <f t="shared" si="386"/>
      </c>
      <c r="CA178" s="1229" t="str">
        <f t="shared" si="386"/>
      </c>
      <c r="CB178" s="1229" t="str">
        <f t="shared" si="386"/>
      </c>
      <c r="CC178" s="1229" t="str">
        <f t="shared" si="386"/>
      </c>
      <c r="CD178" s="1230" t="str">
        <f t="shared" si="386"/>
      </c>
      <c r="CE178" s="1229" t="str">
        <f t="shared" si="386"/>
      </c>
      <c r="CF178" s="1229" t="str">
        <f t="shared" si="386"/>
      </c>
      <c r="CG178" s="1229" t="str">
        <f t="shared" si="386"/>
      </c>
      <c r="CH178" s="1229" t="str">
        <f t="shared" si="386"/>
      </c>
      <c r="CI178" s="1230" t="str">
        <f t="shared" si="386"/>
      </c>
      <c r="CJ178" s="1229" t="str">
        <f t="shared" si="386"/>
      </c>
      <c r="CK178" s="1229" t="str">
        <f t="shared" si="386"/>
      </c>
      <c r="CL178" s="1229" t="str">
        <f t="shared" si="386"/>
      </c>
      <c r="CM178" s="1229" t="str">
        <f t="shared" si="386"/>
      </c>
      <c r="CN178" s="1230" t="str">
        <f t="shared" si="386"/>
      </c>
      <c r="CO178" s="1229" t="str">
        <f t="shared" si="386"/>
      </c>
      <c r="CP178" s="1229" t="str">
        <f t="shared" si="386"/>
      </c>
      <c r="CQ178" s="1229" t="str">
        <f t="shared" si="386"/>
      </c>
      <c r="CR178" s="1229" t="str">
        <f t="shared" si="386"/>
      </c>
      <c r="CS178" s="1230" t="str">
        <f t="shared" si="386"/>
      </c>
      <c r="CT178" s="1229" t="str">
        <f t="shared" si="386"/>
      </c>
      <c r="CU178" s="1229" t="str">
        <f t="shared" si="386"/>
      </c>
      <c r="CV178" s="1229" t="str">
        <f t="shared" si="386"/>
      </c>
      <c r="CW178" s="1229" t="str">
        <f t="shared" si="386"/>
      </c>
      <c r="CX178" s="1230" t="str">
        <f t="shared" ref="CX178:EC178" si="387">IFERROR(CX177/CS177-1,"")</f>
      </c>
      <c r="CY178" s="1229" t="str">
        <f t="shared" si="387"/>
      </c>
      <c r="CZ178" s="1229" t="str">
        <f t="shared" si="387"/>
      </c>
      <c r="DA178" s="1229" t="str">
        <f t="shared" si="387"/>
      </c>
      <c r="DB178" s="1229" t="str">
        <f t="shared" si="387"/>
      </c>
      <c r="DC178" s="1230" t="str">
        <f t="shared" si="387"/>
      </c>
      <c r="DD178" s="1229">
        <f t="shared" si="387"/>
      </c>
      <c r="DE178" s="1229">
        <f t="shared" si="387"/>
      </c>
      <c r="DF178" s="1229">
        <f t="shared" si="387"/>
      </c>
      <c r="DG178" s="1229">
        <f t="shared" si="387"/>
      </c>
      <c r="DH178" s="1230">
        <f t="shared" si="387"/>
      </c>
      <c r="DI178" s="1229">
        <f t="shared" si="387"/>
      </c>
      <c r="DJ178" s="1229">
        <f t="shared" si="387"/>
      </c>
      <c r="DK178" s="1229">
        <f t="shared" si="387"/>
      </c>
      <c r="DL178" s="1229">
        <f t="shared" si="387"/>
      </c>
      <c r="DM178" s="1230">
        <f t="shared" si="387"/>
      </c>
      <c r="DN178" s="1229">
        <f t="shared" si="387"/>
      </c>
      <c r="DO178" s="1229">
        <f t="shared" si="387"/>
      </c>
      <c r="DP178" s="1229">
        <f t="shared" si="387"/>
      </c>
      <c r="DQ178" s="1229">
        <f t="shared" si="387"/>
      </c>
      <c r="DR178" s="1230">
        <f t="shared" si="387"/>
      </c>
      <c r="DS178" s="1229">
        <f t="shared" si="387"/>
      </c>
      <c r="DT178" s="1229">
        <f t="shared" si="387"/>
      </c>
      <c r="DU178" s="1229">
        <f t="shared" si="387"/>
      </c>
      <c r="DV178" s="1229">
        <f t="shared" si="387"/>
      </c>
      <c r="DW178" s="1230">
        <f t="shared" si="387"/>
      </c>
      <c r="DX178" s="1229">
        <f t="shared" si="387"/>
      </c>
      <c r="DY178" s="1229">
        <f t="shared" si="387"/>
      </c>
      <c r="DZ178" s="1229">
        <f t="shared" si="387"/>
      </c>
      <c r="EA178" s="1229">
        <f t="shared" si="387"/>
      </c>
      <c r="EB178" s="1230">
        <f t="shared" si="387"/>
      </c>
      <c r="EC178" s="1229">
        <f t="shared" si="387"/>
      </c>
      <c r="ED178" s="1229">
        <f t="shared" ref="ED178:FA178" si="388">IFERROR(ED177/DY177-1,"")</f>
      </c>
      <c r="EE178" s="1229">
        <f t="shared" si="388"/>
      </c>
      <c r="EF178" s="1229">
        <f t="shared" si="388"/>
      </c>
      <c r="EG178" s="1230">
        <f t="shared" si="388"/>
      </c>
      <c r="EH178" s="1229">
        <f t="shared" si="388"/>
      </c>
      <c r="EI178" s="1229">
        <f t="shared" si="388"/>
      </c>
      <c r="EJ178" s="1229">
        <f t="shared" si="388"/>
      </c>
      <c r="EK178" s="1229">
        <f t="shared" si="388"/>
      </c>
      <c r="EL178" s="1230">
        <f t="shared" si="388"/>
      </c>
      <c r="EM178" s="1229">
        <f t="shared" si="388"/>
      </c>
      <c r="EN178" s="1229">
        <f t="shared" si="388"/>
      </c>
      <c r="EO178" s="1229">
        <f t="shared" si="388"/>
      </c>
      <c r="EP178" s="1229">
        <f t="shared" si="388"/>
      </c>
      <c r="EQ178" s="1230">
        <f t="shared" si="388"/>
      </c>
      <c r="ER178" s="1229">
        <f t="shared" si="388"/>
      </c>
      <c r="ES178" s="1229">
        <f t="shared" si="388"/>
      </c>
      <c r="ET178" s="1519">
        <f t="shared" si="388"/>
      </c>
      <c r="EU178" s="1519">
        <f t="shared" si="388"/>
      </c>
      <c r="EV178" s="1230">
        <f t="shared" si="388"/>
      </c>
      <c r="EW178" s="1229">
        <f t="shared" si="388"/>
      </c>
      <c r="EX178" s="1229">
        <f t="shared" si="388"/>
      </c>
      <c r="EY178" s="1519">
        <f t="shared" si="388"/>
      </c>
      <c r="EZ178" s="1519">
        <f t="shared" si="388"/>
      </c>
      <c r="FA178" s="1230">
        <f t="shared" si="388"/>
      </c>
      <c r="FB178" s="1225"/>
      <c r="FC178" s="1225"/>
      <c r="FD178" s="1225"/>
      <c r="FE178" s="1225"/>
      <c r="FF178" s="1226"/>
      <c r="FG178" s="1225"/>
      <c r="FH178" s="1225"/>
      <c r="FI178" s="1225"/>
      <c r="FJ178" s="1225"/>
      <c r="FK178" s="1226"/>
      <c r="FL178" s="1225"/>
      <c r="FM178" s="1225"/>
      <c r="FN178" s="1225"/>
      <c r="FO178" s="1225"/>
      <c r="FP178" s="1226"/>
      <c r="FQ178" s="1225"/>
      <c r="FR178" s="1225"/>
      <c r="FS178" s="1225"/>
      <c r="FT178" s="1225"/>
      <c r="FU178" s="1226"/>
      <c r="FV178" s="1225"/>
      <c r="FW178" s="1225"/>
      <c r="FX178" s="1225"/>
      <c r="FY178" s="1225"/>
      <c r="FZ178" s="1226"/>
      <c r="GA178" s="1225"/>
      <c r="GB178" s="1225"/>
      <c r="GC178" s="1225"/>
      <c r="GD178" s="1225"/>
      <c r="GE178" s="1226"/>
      <c r="GF178" s="1225"/>
      <c r="GG178" s="1225"/>
      <c r="GH178" s="1225"/>
      <c r="GI178" s="1225"/>
      <c r="GJ178" s="1226"/>
    </row>
    <row r="179" spans="1:192" s="1227" customFormat="1" ht="12.75" customHeight="1" outlineLevel="1">
      <c r="A179" s="1224"/>
      <c r="B179" s="1228" t="s">
        <v>1850</v>
      </c>
      <c r="C179" s="1231"/>
      <c r="D179" s="1231"/>
      <c r="E179" s="1231"/>
      <c r="F179" s="1231"/>
      <c r="G179" s="1232"/>
      <c r="H179" s="1231"/>
      <c r="I179" s="1231"/>
      <c r="J179" s="1231"/>
      <c r="K179" s="1231"/>
      <c r="L179" s="1232"/>
      <c r="M179" s="1231"/>
      <c r="N179" s="1231"/>
      <c r="O179" s="1231"/>
      <c r="P179" s="1231"/>
      <c r="Q179" s="1232"/>
      <c r="R179" s="1231"/>
      <c r="S179" s="1231"/>
      <c r="T179" s="1231"/>
      <c r="U179" s="1231"/>
      <c r="V179" s="1232"/>
      <c r="W179" s="1231"/>
      <c r="X179" s="1231"/>
      <c r="Y179" s="1231"/>
      <c r="Z179" s="1231"/>
      <c r="AA179" s="1232"/>
      <c r="AB179" s="1231"/>
      <c r="AC179" s="1231"/>
      <c r="AD179" s="1231"/>
      <c r="AE179" s="1231"/>
      <c r="AF179" s="1232"/>
      <c r="AG179" s="1231"/>
      <c r="AH179" s="1231"/>
      <c r="AI179" s="1231"/>
      <c r="AJ179" s="1231"/>
      <c r="AK179" s="1232"/>
      <c r="AL179" s="1231"/>
      <c r="AM179" s="1231"/>
      <c r="AN179" s="1231"/>
      <c r="AO179" s="1231"/>
      <c r="AP179" s="1232"/>
      <c r="AQ179" s="1231"/>
      <c r="AR179" s="1231"/>
      <c r="AS179" s="1231"/>
      <c r="AT179" s="1231"/>
      <c r="AU179" s="1232"/>
      <c r="AV179" s="1231"/>
      <c r="AW179" s="1231"/>
      <c r="AX179" s="1231"/>
      <c r="AY179" s="1231"/>
      <c r="AZ179" s="1232"/>
      <c r="BA179" s="1233"/>
      <c r="BB179" s="1233"/>
      <c r="BC179" s="1233"/>
      <c r="BD179" s="1233"/>
      <c r="BE179" s="1234"/>
      <c r="BF179" s="1233"/>
      <c r="BG179" s="1233"/>
      <c r="BH179" s="1233"/>
      <c r="BI179" s="1233"/>
      <c r="BJ179" s="1234"/>
      <c r="BK179" s="1233"/>
      <c r="BL179" s="1233"/>
      <c r="BM179" s="1233"/>
      <c r="BN179" s="1233"/>
      <c r="BO179" s="1234"/>
      <c r="BP179" s="1233"/>
      <c r="BQ179" s="1233"/>
      <c r="BR179" s="1233"/>
      <c r="BS179" s="1233"/>
      <c r="BT179" s="1234"/>
      <c r="BU179" s="1233"/>
      <c r="BV179" s="1233"/>
      <c r="BW179" s="1233"/>
      <c r="BX179" s="1233"/>
      <c r="BY179" s="1234"/>
      <c r="BZ179" s="1233"/>
      <c r="CA179" s="1233"/>
      <c r="CB179" s="1233"/>
      <c r="CC179" s="1233"/>
      <c r="CD179" s="1234"/>
      <c r="CE179" s="1233"/>
      <c r="CF179" s="1233"/>
      <c r="CG179" s="1233"/>
      <c r="CH179" s="1233"/>
      <c r="CI179" s="1234"/>
      <c r="CJ179" s="1233"/>
      <c r="CK179" s="1233"/>
      <c r="CL179" s="1233"/>
      <c r="CM179" s="1233"/>
      <c r="CN179" s="1234"/>
      <c r="CO179" s="1233"/>
      <c r="CP179" s="1233"/>
      <c r="CQ179" s="1233"/>
      <c r="CR179" s="1233"/>
      <c r="CS179" s="1234"/>
      <c r="CT179" s="1233"/>
      <c r="CU179" s="1233"/>
      <c r="CV179" s="1233">
        <v>0.04</v>
      </c>
      <c r="CW179" s="1233">
        <v>0.23</v>
      </c>
      <c r="CX179" s="1234"/>
      <c r="CY179" s="1233"/>
      <c r="CZ179" s="1233"/>
      <c r="DA179" s="1233">
        <v>-0.04</v>
      </c>
      <c r="DB179" s="1233">
        <v>-7.0000000000000007E-2</v>
      </c>
      <c r="DC179" s="1234"/>
      <c r="DD179" s="1233">
        <v>0.11</v>
      </c>
      <c r="DE179" s="1233">
        <v>0.13</v>
      </c>
      <c r="DF179" s="1233">
        <v>0.1</v>
      </c>
      <c r="DG179" s="1233">
        <v>0.06</v>
      </c>
      <c r="DH179" s="1234"/>
      <c r="DI179" s="1233">
        <v>0.04</v>
      </c>
      <c r="DJ179" s="1233">
        <v>0.08</v>
      </c>
      <c r="DK179" s="1233">
        <v>0.05</v>
      </c>
      <c r="DL179" s="1233">
        <v>0.16</v>
      </c>
      <c r="DM179" s="1234"/>
      <c r="DN179" s="1233">
        <v>0.15</v>
      </c>
      <c r="DO179" s="1233">
        <v>0.1</v>
      </c>
      <c r="DP179" s="1233">
        <v>0.2</v>
      </c>
      <c r="DQ179" s="1233">
        <v>0.24</v>
      </c>
      <c r="DR179" s="1234"/>
      <c r="DS179" s="1233">
        <v>0.28000000000000003</v>
      </c>
      <c r="DT179" s="1233">
        <v>0.18</v>
      </c>
      <c r="DU179" s="1233">
        <v>0.27</v>
      </c>
      <c r="DV179" s="1233">
        <v>0.24</v>
      </c>
      <c r="DW179" s="1234"/>
      <c r="DX179" s="1233">
        <v>0.32</v>
      </c>
      <c r="DY179" s="1233">
        <v>0.39</v>
      </c>
      <c r="DZ179" s="1233">
        <v>0.28000000000000003</v>
      </c>
      <c r="EA179" s="1233">
        <v>0.12</v>
      </c>
      <c r="EB179" s="1234"/>
      <c r="EC179" s="1233">
        <v>0.25</v>
      </c>
      <c r="ED179" s="1233">
        <v>0.26</v>
      </c>
      <c r="EE179" s="1233">
        <v>0.27</v>
      </c>
      <c r="EF179" s="1233">
        <v>0.35</v>
      </c>
      <c r="EG179" s="1234">
        <v>0.28000000000000003</v>
      </c>
      <c r="EH179" s="1233">
        <v>0.24</v>
      </c>
      <c r="EI179" s="1233">
        <v>0.23</v>
      </c>
      <c r="EJ179" s="1233">
        <v>0.21</v>
      </c>
      <c r="EK179" s="1233"/>
      <c r="EL179" s="1234"/>
      <c r="EM179" s="1233">
        <v>0.15</v>
      </c>
      <c r="EN179" s="1233">
        <v>0.06</v>
      </c>
      <c r="EO179" s="1233">
        <v>0.15</v>
      </c>
      <c r="EP179" s="1233"/>
      <c r="EQ179" s="1234">
        <v>0.14000000000000001</v>
      </c>
      <c r="ER179" s="1233">
        <v>0.24</v>
      </c>
      <c r="ES179" s="1233">
        <v>0.23</v>
      </c>
      <c r="ET179" s="1520">
        <v>0.23</v>
      </c>
      <c r="EU179" s="1520"/>
      <c r="EV179" s="1234">
        <v>0.21</v>
      </c>
      <c r="EW179" s="1520">
        <v>0.14000000000000001</v>
      </c>
      <c r="EX179" s="1520">
        <v>0.16</v>
      </c>
      <c r="EY179" s="1520">
        <v>0.19</v>
      </c>
      <c r="EZ179" s="1520">
        <v>0.22</v>
      </c>
      <c r="FA179" s="1234">
        <v>0.18</v>
      </c>
      <c r="FB179" s="1225"/>
      <c r="FC179" s="1225"/>
      <c r="FD179" s="1225"/>
      <c r="FE179" s="1225"/>
      <c r="FF179" s="1226"/>
      <c r="FG179" s="1225"/>
      <c r="FH179" s="1225"/>
      <c r="FI179" s="1225"/>
      <c r="FJ179" s="1225"/>
      <c r="FK179" s="1226"/>
      <c r="FL179" s="1225"/>
      <c r="FM179" s="1225"/>
      <c r="FN179" s="1225"/>
      <c r="FO179" s="1225"/>
      <c r="FP179" s="1226"/>
      <c r="FQ179" s="1225"/>
      <c r="FR179" s="1225"/>
      <c r="FS179" s="1225"/>
      <c r="FT179" s="1225"/>
      <c r="FU179" s="1226"/>
      <c r="FV179" s="1225"/>
      <c r="FW179" s="1225"/>
      <c r="FX179" s="1225"/>
      <c r="FY179" s="1225"/>
      <c r="FZ179" s="1226"/>
      <c r="GA179" s="1225"/>
      <c r="GB179" s="1225"/>
      <c r="GC179" s="1225"/>
      <c r="GD179" s="1225"/>
      <c r="GE179" s="1226"/>
      <c r="GF179" s="1225"/>
      <c r="GG179" s="1225"/>
      <c r="GH179" s="1225"/>
      <c r="GI179" s="1225"/>
      <c r="GJ179" s="1226"/>
    </row>
    <row r="180" spans="1:192" s="314" customFormat="1" ht="12.75" customHeight="1" outlineLevel="1">
      <c r="A180" s="274"/>
      <c r="B180" s="701"/>
      <c r="C180" s="275"/>
      <c r="D180" s="275"/>
      <c r="E180" s="275"/>
      <c r="F180" s="275"/>
      <c r="G180" s="325"/>
      <c r="H180" s="275"/>
      <c r="I180" s="275"/>
      <c r="J180" s="275"/>
      <c r="K180" s="275"/>
      <c r="L180" s="325"/>
      <c r="M180" s="927"/>
      <c r="N180" s="927"/>
      <c r="O180" s="927"/>
      <c r="P180" s="927"/>
      <c r="Q180" s="325"/>
      <c r="R180" s="927"/>
      <c r="S180" s="927"/>
      <c r="T180" s="927"/>
      <c r="U180" s="927"/>
      <c r="V180" s="325"/>
      <c r="W180" s="927"/>
      <c r="X180" s="927"/>
      <c r="Y180" s="927"/>
      <c r="Z180" s="275"/>
      <c r="AA180" s="325"/>
      <c r="AB180" s="927"/>
      <c r="AC180" s="927"/>
      <c r="AD180" s="927"/>
      <c r="AE180" s="275"/>
      <c r="AF180" s="325"/>
      <c r="AG180" s="275"/>
      <c r="AH180" s="275"/>
      <c r="AI180" s="275"/>
      <c r="AJ180" s="275"/>
      <c r="AK180" s="325"/>
      <c r="AL180" s="275"/>
      <c r="AM180" s="275"/>
      <c r="AN180" s="275"/>
      <c r="AO180" s="275"/>
      <c r="AP180" s="325"/>
      <c r="AQ180" s="275"/>
      <c r="AR180" s="275"/>
      <c r="AS180" s="275"/>
      <c r="AT180" s="275"/>
      <c r="AU180" s="325"/>
      <c r="AV180" s="275"/>
      <c r="AW180" s="275"/>
      <c r="AX180" s="275"/>
      <c r="AY180" s="275"/>
      <c r="AZ180" s="325"/>
      <c r="BA180" s="275"/>
      <c r="BB180" s="275"/>
      <c r="BC180" s="275"/>
      <c r="BD180" s="275"/>
      <c r="BE180" s="325"/>
      <c r="BF180" s="275"/>
      <c r="BG180" s="275"/>
      <c r="BH180" s="275"/>
      <c r="BI180" s="275"/>
      <c r="BJ180" s="325"/>
      <c r="BK180" s="275"/>
      <c r="BL180" s="275"/>
      <c r="BM180" s="275"/>
      <c r="BN180" s="275"/>
      <c r="BO180" s="325"/>
      <c r="BP180" s="275"/>
      <c r="BQ180" s="275"/>
      <c r="BR180" s="275"/>
      <c r="BS180" s="275"/>
      <c r="BT180" s="325"/>
      <c r="BU180" s="275"/>
      <c r="BV180" s="275"/>
      <c r="BW180" s="275"/>
      <c r="BX180" s="275"/>
      <c r="BY180" s="325"/>
      <c r="BZ180" s="275"/>
      <c r="CA180" s="275"/>
      <c r="CB180" s="275"/>
      <c r="CC180" s="275"/>
      <c r="CD180" s="325"/>
      <c r="CE180" s="275"/>
      <c r="CF180" s="275"/>
      <c r="CG180" s="275"/>
      <c r="CH180" s="275"/>
      <c r="CI180" s="325"/>
      <c r="CJ180" s="275"/>
      <c r="CK180" s="275"/>
      <c r="CL180" s="275"/>
      <c r="CM180" s="275"/>
      <c r="CN180" s="325"/>
      <c r="CO180" s="275"/>
      <c r="CP180" s="275"/>
      <c r="CQ180" s="275"/>
      <c r="CR180" s="275"/>
      <c r="CS180" s="325"/>
      <c r="CT180" s="275"/>
      <c r="CU180" s="275"/>
      <c r="CV180" s="275"/>
      <c r="CW180" s="275"/>
      <c r="CX180" s="325"/>
      <c r="CY180" s="275"/>
      <c r="CZ180" s="275"/>
      <c r="DA180" s="275"/>
      <c r="DB180" s="275"/>
      <c r="DC180" s="325"/>
      <c r="DD180" s="275"/>
      <c r="DE180" s="275"/>
      <c r="DF180" s="275"/>
      <c r="DG180" s="275"/>
      <c r="DH180" s="325"/>
      <c r="DI180" s="275"/>
      <c r="DJ180" s="275"/>
      <c r="DK180" s="275"/>
      <c r="DL180" s="275"/>
      <c r="DM180" s="325"/>
      <c r="DN180" s="275"/>
      <c r="DO180" s="275"/>
      <c r="DP180" s="275"/>
      <c r="DQ180" s="275"/>
      <c r="DR180" s="325"/>
      <c r="DS180" s="275"/>
      <c r="DT180" s="275"/>
      <c r="DU180" s="275"/>
      <c r="DV180" s="275"/>
      <c r="DW180" s="325"/>
      <c r="DX180" s="275"/>
      <c r="DY180" s="275"/>
      <c r="DZ180" s="275"/>
      <c r="EA180" s="275"/>
      <c r="EB180" s="325"/>
      <c r="EC180" s="275"/>
      <c r="ED180" s="275"/>
      <c r="EE180" s="275"/>
      <c r="EF180" s="275"/>
      <c r="EG180" s="1198"/>
      <c r="EH180" s="275"/>
      <c r="EI180" s="275"/>
      <c r="EJ180" s="275"/>
      <c r="EK180" s="275"/>
      <c r="EL180" s="1197"/>
      <c r="EM180" s="275"/>
      <c r="EN180" s="275"/>
      <c r="EO180" s="275"/>
      <c r="EP180" s="275"/>
      <c r="EQ180" s="1197"/>
      <c r="ER180" s="275"/>
      <c r="ES180" s="275"/>
      <c r="ET180" s="1517"/>
      <c r="EU180" s="927"/>
      <c r="EV180" s="325"/>
      <c r="EW180" s="697"/>
      <c r="EX180" s="275"/>
      <c r="EY180" s="275"/>
      <c r="EZ180" s="697"/>
      <c r="FA180" s="325"/>
      <c r="FB180" s="697"/>
      <c r="FC180" s="697"/>
      <c r="FD180" s="697"/>
      <c r="FE180" s="697"/>
      <c r="FF180" s="325"/>
      <c r="FG180" s="697"/>
      <c r="FH180" s="697"/>
      <c r="FI180" s="697"/>
      <c r="FJ180" s="697"/>
      <c r="FK180" s="325"/>
      <c r="FL180" s="697"/>
      <c r="FM180" s="697"/>
      <c r="FN180" s="697"/>
      <c r="FO180" s="697"/>
      <c r="FP180" s="325"/>
      <c r="FQ180" s="697"/>
      <c r="FR180" s="697"/>
      <c r="FS180" s="697"/>
      <c r="FT180" s="697"/>
      <c r="FU180" s="325"/>
      <c r="FV180" s="697"/>
      <c r="FW180" s="697"/>
      <c r="FX180" s="697"/>
      <c r="FY180" s="697"/>
      <c r="FZ180" s="325"/>
      <c r="GA180" s="697"/>
      <c r="GB180" s="697"/>
      <c r="GC180" s="697"/>
      <c r="GD180" s="697"/>
      <c r="GE180" s="325"/>
      <c r="GF180" s="697"/>
      <c r="GG180" s="697"/>
      <c r="GH180" s="697"/>
      <c r="GI180" s="697"/>
      <c r="GJ180" s="325"/>
    </row>
    <row r="181" spans="1:192" s="461" customFormat="1" ht="12.75" customHeight="1" outlineLevel="2">
      <c r="A181" s="370"/>
      <c r="B181" s="986" t="s">
        <v>1840</v>
      </c>
      <c r="C181" s="493"/>
      <c r="D181" s="493"/>
      <c r="E181" s="493"/>
      <c r="F181" s="493"/>
      <c r="G181" s="1175"/>
      <c r="H181" s="493"/>
      <c r="I181" s="493"/>
      <c r="J181" s="493"/>
      <c r="K181" s="493"/>
      <c r="L181" s="1175"/>
      <c r="M181" s="815"/>
      <c r="N181" s="815"/>
      <c r="O181" s="815"/>
      <c r="P181" s="815"/>
      <c r="Q181" s="1175"/>
      <c r="R181" s="815"/>
      <c r="S181" s="815"/>
      <c r="T181" s="815"/>
      <c r="U181" s="815"/>
      <c r="V181" s="1175"/>
      <c r="W181" s="815"/>
      <c r="X181" s="815"/>
      <c r="Y181" s="815"/>
      <c r="Z181" s="493"/>
      <c r="AA181" s="1175"/>
      <c r="AB181" s="815"/>
      <c r="AC181" s="815"/>
      <c r="AD181" s="815"/>
      <c r="AE181" s="493"/>
      <c r="AF181" s="1175"/>
      <c r="AG181" s="493"/>
      <c r="AH181" s="493"/>
      <c r="AI181" s="493"/>
      <c r="AJ181" s="493"/>
      <c r="AK181" s="1175"/>
      <c r="AL181" s="493"/>
      <c r="AM181" s="493"/>
      <c r="AN181" s="493"/>
      <c r="AO181" s="493"/>
      <c r="AP181" s="1175"/>
      <c r="AQ181" s="493"/>
      <c r="AR181" s="493"/>
      <c r="AS181" s="493"/>
      <c r="AT181" s="493"/>
      <c r="AU181" s="1175"/>
      <c r="AV181" s="493"/>
      <c r="AW181" s="493"/>
      <c r="AX181" s="493"/>
      <c r="AY181" s="493"/>
      <c r="AZ181" s="1175"/>
      <c r="BA181" s="1218"/>
      <c r="BB181" s="1218"/>
      <c r="BC181" s="1218"/>
      <c r="BD181" s="1218"/>
      <c r="BE181" s="1219"/>
      <c r="BF181" s="1218"/>
      <c r="BG181" s="1218"/>
      <c r="BH181" s="1218"/>
      <c r="BI181" s="1218"/>
      <c r="BJ181" s="1219"/>
      <c r="BK181" s="1218"/>
      <c r="BL181" s="1218"/>
      <c r="BM181" s="1218"/>
      <c r="BN181" s="1218"/>
      <c r="BO181" s="1219"/>
      <c r="BP181" s="1218"/>
      <c r="BQ181" s="1218"/>
      <c r="BR181" s="1218"/>
      <c r="BS181" s="1218"/>
      <c r="BT181" s="1219"/>
      <c r="BU181" s="1218"/>
      <c r="BV181" s="1218"/>
      <c r="BW181" s="1218"/>
      <c r="BX181" s="1218"/>
      <c r="BY181" s="1219"/>
      <c r="BZ181" s="1218"/>
      <c r="CA181" s="1218"/>
      <c r="CB181" s="1218"/>
      <c r="CC181" s="1218"/>
      <c r="CD181" s="1219"/>
      <c r="CE181" s="1218"/>
      <c r="CF181" s="1218"/>
      <c r="CG181" s="1218"/>
      <c r="CH181" s="1218"/>
      <c r="CI181" s="1219"/>
      <c r="CJ181" s="1218"/>
      <c r="CK181" s="1218"/>
      <c r="CL181" s="1218"/>
      <c r="CM181" s="1218"/>
      <c r="CN181" s="1219"/>
      <c r="CO181" s="1218"/>
      <c r="CP181" s="1218"/>
      <c r="CQ181" s="1218"/>
      <c r="CR181" s="1218"/>
      <c r="CS181" s="1219"/>
      <c r="CT181" s="1218"/>
      <c r="CU181" s="1218"/>
      <c r="CV181" s="1218"/>
      <c r="CW181" s="1218"/>
      <c r="CX181" s="1219"/>
      <c r="CY181" s="1218">
        <v>0</v>
      </c>
      <c r="CZ181" s="1218">
        <v>0</v>
      </c>
      <c r="DA181" s="1218">
        <v>0</v>
      </c>
      <c r="DB181" s="1218">
        <v>0</v>
      </c>
      <c r="DC181" s="1219">
        <f t="shared" ref="DC181:DC189" si="389">SUM(CY181:DB181)</f>
      </c>
      <c r="DD181" s="1218">
        <v>0</v>
      </c>
      <c r="DE181" s="1218">
        <v>0</v>
      </c>
      <c r="DF181" s="1218">
        <v>0</v>
      </c>
      <c r="DG181" s="1218">
        <v>0</v>
      </c>
      <c r="DH181" s="1219">
        <f t="shared" ref="DH181:DH189" si="390">SUM(DD181:DG181)</f>
      </c>
      <c r="DI181" s="1218">
        <v>0</v>
      </c>
      <c r="DJ181" s="1218">
        <v>0</v>
      </c>
      <c r="DK181" s="1218">
        <v>0</v>
      </c>
      <c r="DL181" s="1218">
        <v>0</v>
      </c>
      <c r="DM181" s="1219">
        <f t="shared" ref="DM181:DM189" si="391">SUM(DI181:DL181)</f>
      </c>
      <c r="DN181" s="1218">
        <v>0</v>
      </c>
      <c r="DO181" s="1218">
        <v>0</v>
      </c>
      <c r="DP181" s="1218">
        <v>0</v>
      </c>
      <c r="DQ181" s="1218">
        <v>0</v>
      </c>
      <c r="DR181" s="1219">
        <f t="shared" ref="DR181:DR189" si="392">SUM(DN181:DQ181)</f>
      </c>
      <c r="DS181" s="1218">
        <v>0</v>
      </c>
      <c r="DT181" s="1218">
        <v>0</v>
      </c>
      <c r="DU181" s="1218">
        <v>0</v>
      </c>
      <c r="DV181" s="1218">
        <v>0</v>
      </c>
      <c r="DW181" s="1219">
        <f>SUM(DS181:DV181)</f>
      </c>
      <c r="DX181" s="1218">
        <v>0</v>
      </c>
      <c r="DY181" s="1218">
        <v>0</v>
      </c>
      <c r="DZ181" s="1218">
        <v>0</v>
      </c>
      <c r="EA181" s="1218">
        <v>0</v>
      </c>
      <c r="EB181" s="1219">
        <f t="shared" ref="EB181:EB189" si="393">SUM(DX181:EA181)</f>
      </c>
      <c r="EC181" s="1218">
        <v>0</v>
      </c>
      <c r="ED181" s="1218">
        <v>0</v>
      </c>
      <c r="EE181" s="1218">
        <v>0</v>
      </c>
      <c r="EF181" s="1218">
        <v>0</v>
      </c>
      <c r="EG181" s="1219">
        <f>SUM(EC181:EF181)</f>
      </c>
      <c r="EH181" s="1218">
        <v>0</v>
      </c>
      <c r="EI181" s="1218">
        <v>0</v>
      </c>
      <c r="EJ181" s="1218">
        <v>0</v>
      </c>
      <c r="EK181" s="1218">
        <v>0</v>
      </c>
      <c r="EL181" s="1219">
        <f>SUM(EH181:EK181)</f>
      </c>
      <c r="EM181" s="1218">
        <v>0</v>
      </c>
      <c r="EN181" s="493">
        <v>946</v>
      </c>
      <c r="EO181" s="1218">
        <v>0</v>
      </c>
      <c r="EP181" s="1218">
        <v>0</v>
      </c>
      <c r="EQ181" s="762">
        <v>946</v>
      </c>
      <c r="ER181" s="1218">
        <v>0</v>
      </c>
      <c r="ES181" s="1218">
        <v>0</v>
      </c>
      <c r="ET181" s="1518">
        <v>0</v>
      </c>
      <c r="EU181" s="1518">
        <v>0</v>
      </c>
      <c r="EV181" s="1223">
        <f t="shared" ref="EV181:EV189" si="394">SUM(ER181:EU181)</f>
      </c>
      <c r="EW181" s="1218">
        <v>0</v>
      </c>
      <c r="EX181" s="493">
        <v>0</v>
      </c>
      <c r="EY181" s="493">
        <v>0</v>
      </c>
      <c r="EZ181" s="493">
        <v>0</v>
      </c>
      <c r="FA181" s="1223">
        <f t="shared" ref="FA181:FA189" si="395">SUM(EW181:EZ181)</f>
      </c>
      <c r="FB181" s="690"/>
      <c r="FC181" s="690"/>
      <c r="FD181" s="690"/>
      <c r="FE181" s="690"/>
      <c r="FF181" s="1175"/>
      <c r="FG181" s="690"/>
      <c r="FH181" s="690"/>
      <c r="FI181" s="690"/>
      <c r="FJ181" s="690"/>
      <c r="FK181" s="1175"/>
      <c r="FL181" s="690"/>
      <c r="FM181" s="690"/>
      <c r="FN181" s="690"/>
      <c r="FO181" s="690"/>
      <c r="FP181" s="1175"/>
      <c r="FQ181" s="690"/>
      <c r="FR181" s="690"/>
      <c r="FS181" s="690"/>
      <c r="FT181" s="690"/>
      <c r="FU181" s="1175"/>
      <c r="FV181" s="690"/>
      <c r="FW181" s="690"/>
      <c r="FX181" s="690"/>
      <c r="FY181" s="690"/>
      <c r="FZ181" s="1175"/>
      <c r="GA181" s="690"/>
      <c r="GB181" s="690"/>
      <c r="GC181" s="690"/>
      <c r="GD181" s="690"/>
      <c r="GE181" s="1175"/>
      <c r="GF181" s="690"/>
      <c r="GG181" s="690"/>
      <c r="GH181" s="690"/>
      <c r="GI181" s="690"/>
      <c r="GJ181" s="1175"/>
    </row>
    <row r="182" spans="1:192" s="461" customFormat="1" ht="12.75" customHeight="1" outlineLevel="2">
      <c r="A182" s="370"/>
      <c r="B182" s="986" t="s">
        <v>1844</v>
      </c>
      <c r="C182" s="493"/>
      <c r="D182" s="493"/>
      <c r="E182" s="493"/>
      <c r="F182" s="493"/>
      <c r="G182" s="1175"/>
      <c r="H182" s="493"/>
      <c r="I182" s="493"/>
      <c r="J182" s="493"/>
      <c r="K182" s="493"/>
      <c r="L182" s="1175"/>
      <c r="M182" s="815"/>
      <c r="N182" s="815"/>
      <c r="O182" s="815"/>
      <c r="P182" s="815"/>
      <c r="Q182" s="1175"/>
      <c r="R182" s="815"/>
      <c r="S182" s="815"/>
      <c r="T182" s="815"/>
      <c r="U182" s="815"/>
      <c r="V182" s="1175"/>
      <c r="W182" s="815"/>
      <c r="X182" s="815"/>
      <c r="Y182" s="815"/>
      <c r="Z182" s="493"/>
      <c r="AA182" s="1175"/>
      <c r="AB182" s="815"/>
      <c r="AC182" s="815"/>
      <c r="AD182" s="815"/>
      <c r="AE182" s="493"/>
      <c r="AF182" s="1175"/>
      <c r="AG182" s="493"/>
      <c r="AH182" s="493"/>
      <c r="AI182" s="493"/>
      <c r="AJ182" s="493"/>
      <c r="AK182" s="1175"/>
      <c r="AL182" s="493"/>
      <c r="AM182" s="493"/>
      <c r="AN182" s="493"/>
      <c r="AO182" s="493"/>
      <c r="AP182" s="1175"/>
      <c r="AQ182" s="493"/>
      <c r="AR182" s="493"/>
      <c r="AS182" s="493"/>
      <c r="AT182" s="493"/>
      <c r="AU182" s="1175"/>
      <c r="AV182" s="493"/>
      <c r="AW182" s="493"/>
      <c r="AX182" s="493"/>
      <c r="AY182" s="493"/>
      <c r="AZ182" s="1175"/>
      <c r="BA182" s="1218"/>
      <c r="BB182" s="1218"/>
      <c r="BC182" s="1218"/>
      <c r="BD182" s="1218"/>
      <c r="BE182" s="1219"/>
      <c r="BF182" s="1218"/>
      <c r="BG182" s="1218"/>
      <c r="BH182" s="1218"/>
      <c r="BI182" s="1218"/>
      <c r="BJ182" s="1219"/>
      <c r="BK182" s="1218"/>
      <c r="BL182" s="1218"/>
      <c r="BM182" s="1218"/>
      <c r="BN182" s="1218"/>
      <c r="BO182" s="1219"/>
      <c r="BP182" s="1218"/>
      <c r="BQ182" s="1218"/>
      <c r="BR182" s="1218"/>
      <c r="BS182" s="1218"/>
      <c r="BT182" s="1219"/>
      <c r="BU182" s="1218"/>
      <c r="BV182" s="1218"/>
      <c r="BW182" s="1218"/>
      <c r="BX182" s="1218"/>
      <c r="BY182" s="1219"/>
      <c r="BZ182" s="1218"/>
      <c r="CA182" s="1218"/>
      <c r="CB182" s="1218"/>
      <c r="CC182" s="1218"/>
      <c r="CD182" s="1219"/>
      <c r="CE182" s="1218"/>
      <c r="CF182" s="1218"/>
      <c r="CG182" s="1218"/>
      <c r="CH182" s="1218"/>
      <c r="CI182" s="1219"/>
      <c r="CJ182" s="1218"/>
      <c r="CK182" s="1218"/>
      <c r="CL182" s="1218"/>
      <c r="CM182" s="1218"/>
      <c r="CN182" s="1219"/>
      <c r="CO182" s="1218"/>
      <c r="CP182" s="1218"/>
      <c r="CQ182" s="1218"/>
      <c r="CR182" s="1218"/>
      <c r="CS182" s="1219"/>
      <c r="CT182" s="1218"/>
      <c r="CU182" s="1218"/>
      <c r="CV182" s="1218"/>
      <c r="CW182" s="1218"/>
      <c r="CX182" s="1219"/>
      <c r="CY182" s="1218">
        <v>0</v>
      </c>
      <c r="CZ182" s="1218">
        <v>0</v>
      </c>
      <c r="DA182" s="1218">
        <v>0</v>
      </c>
      <c r="DB182" s="1218">
        <v>0</v>
      </c>
      <c r="DC182" s="1219">
        <f t="shared" si="389"/>
      </c>
      <c r="DD182" s="1218">
        <v>0</v>
      </c>
      <c r="DE182" s="1218">
        <v>0</v>
      </c>
      <c r="DF182" s="1218">
        <v>0</v>
      </c>
      <c r="DG182" s="1218">
        <v>0</v>
      </c>
      <c r="DH182" s="1219">
        <f t="shared" si="390"/>
      </c>
      <c r="DI182" s="1218">
        <v>0</v>
      </c>
      <c r="DJ182" s="1218">
        <v>0</v>
      </c>
      <c r="DK182" s="1218">
        <v>0</v>
      </c>
      <c r="DL182" s="1218">
        <v>0</v>
      </c>
      <c r="DM182" s="1219">
        <f t="shared" si="391"/>
      </c>
      <c r="DN182" s="1218">
        <v>0</v>
      </c>
      <c r="DO182" s="1218">
        <v>0</v>
      </c>
      <c r="DP182" s="1218">
        <v>0</v>
      </c>
      <c r="DQ182" s="1218">
        <v>0</v>
      </c>
      <c r="DR182" s="1219">
        <f t="shared" si="392"/>
      </c>
      <c r="DS182" s="1218">
        <v>0</v>
      </c>
      <c r="DT182" s="1218">
        <v>0</v>
      </c>
      <c r="DU182" s="1218">
        <v>0</v>
      </c>
      <c r="DV182" s="493">
        <v>-2567</v>
      </c>
      <c r="DW182" s="494">
        <v>-2567</v>
      </c>
      <c r="DX182" s="1218">
        <v>0</v>
      </c>
      <c r="DY182" s="1218">
        <v>0</v>
      </c>
      <c r="DZ182" s="1218">
        <v>0</v>
      </c>
      <c r="EA182" s="1218">
        <v>0</v>
      </c>
      <c r="EB182" s="1219">
        <f t="shared" si="393"/>
      </c>
      <c r="EC182" s="1218">
        <v>0</v>
      </c>
      <c r="ED182" s="1218">
        <v>0</v>
      </c>
      <c r="EE182" s="1218">
        <v>0</v>
      </c>
      <c r="EF182" s="1218">
        <v>0</v>
      </c>
      <c r="EG182" s="1219">
        <f>SUM(EC182:EF182)</f>
      </c>
      <c r="EH182" s="493">
        <v>-3291</v>
      </c>
      <c r="EI182" s="493">
        <v>0</v>
      </c>
      <c r="EJ182" s="493">
        <v>0</v>
      </c>
      <c r="EK182" s="493">
        <v>0</v>
      </c>
      <c r="EL182" s="762">
        <v>-3291</v>
      </c>
      <c r="EM182" s="1218">
        <v>0</v>
      </c>
      <c r="EN182" s="1218">
        <v>0</v>
      </c>
      <c r="EO182" s="1218">
        <v>0</v>
      </c>
      <c r="EP182" s="1218">
        <v>0</v>
      </c>
      <c r="EQ182" s="1219">
        <f t="shared" ref="EQ182:EQ189" si="396">SUM(EM182:EP182)</f>
      </c>
      <c r="ER182" s="1218">
        <v>0</v>
      </c>
      <c r="ES182" s="1218">
        <v>0</v>
      </c>
      <c r="ET182" s="1518">
        <v>0</v>
      </c>
      <c r="EU182" s="1518">
        <v>0</v>
      </c>
      <c r="EV182" s="1223">
        <f t="shared" si="394"/>
      </c>
      <c r="EW182" s="1218">
        <v>0</v>
      </c>
      <c r="EX182" s="1218">
        <v>0</v>
      </c>
      <c r="EY182" s="1218">
        <v>0</v>
      </c>
      <c r="EZ182" s="1218">
        <v>0</v>
      </c>
      <c r="FA182" s="1223">
        <f t="shared" si="395"/>
      </c>
      <c r="FB182" s="690"/>
      <c r="FC182" s="690"/>
      <c r="FD182" s="690"/>
      <c r="FE182" s="690"/>
      <c r="FF182" s="1175"/>
      <c r="FG182" s="690"/>
      <c r="FH182" s="690"/>
      <c r="FI182" s="690"/>
      <c r="FJ182" s="690"/>
      <c r="FK182" s="1175"/>
      <c r="FL182" s="690"/>
      <c r="FM182" s="690"/>
      <c r="FN182" s="690"/>
      <c r="FO182" s="690"/>
      <c r="FP182" s="1175"/>
      <c r="FQ182" s="690"/>
      <c r="FR182" s="690"/>
      <c r="FS182" s="690"/>
      <c r="FT182" s="690"/>
      <c r="FU182" s="1175"/>
      <c r="FV182" s="690"/>
      <c r="FW182" s="690"/>
      <c r="FX182" s="690"/>
      <c r="FY182" s="690"/>
      <c r="FZ182" s="1175"/>
      <c r="GA182" s="690"/>
      <c r="GB182" s="690"/>
      <c r="GC182" s="690"/>
      <c r="GD182" s="690"/>
      <c r="GE182" s="1175"/>
      <c r="GF182" s="690"/>
      <c r="GG182" s="690"/>
      <c r="GH182" s="690"/>
      <c r="GI182" s="690"/>
      <c r="GJ182" s="1175"/>
    </row>
    <row r="183" spans="1:192" s="461" customFormat="1" ht="12.75" customHeight="1" outlineLevel="2">
      <c r="A183" s="370"/>
      <c r="B183" s="986" t="s">
        <v>1845</v>
      </c>
      <c r="C183" s="493"/>
      <c r="D183" s="493"/>
      <c r="E183" s="493"/>
      <c r="F183" s="493"/>
      <c r="G183" s="1175"/>
      <c r="H183" s="493"/>
      <c r="I183" s="493"/>
      <c r="J183" s="493"/>
      <c r="K183" s="493"/>
      <c r="L183" s="1175"/>
      <c r="M183" s="815"/>
      <c r="N183" s="815"/>
      <c r="O183" s="815"/>
      <c r="P183" s="815"/>
      <c r="Q183" s="1175"/>
      <c r="R183" s="815"/>
      <c r="S183" s="815"/>
      <c r="T183" s="815"/>
      <c r="U183" s="815"/>
      <c r="V183" s="1175"/>
      <c r="W183" s="815"/>
      <c r="X183" s="815"/>
      <c r="Y183" s="815"/>
      <c r="Z183" s="493"/>
      <c r="AA183" s="1175"/>
      <c r="AB183" s="815"/>
      <c r="AC183" s="815"/>
      <c r="AD183" s="815"/>
      <c r="AE183" s="493"/>
      <c r="AF183" s="1175"/>
      <c r="AG183" s="493"/>
      <c r="AH183" s="493"/>
      <c r="AI183" s="493"/>
      <c r="AJ183" s="493"/>
      <c r="AK183" s="1175"/>
      <c r="AL183" s="493"/>
      <c r="AM183" s="493"/>
      <c r="AN183" s="493"/>
      <c r="AO183" s="493"/>
      <c r="AP183" s="1175"/>
      <c r="AQ183" s="493"/>
      <c r="AR183" s="493"/>
      <c r="AS183" s="493"/>
      <c r="AT183" s="493"/>
      <c r="AU183" s="1175"/>
      <c r="AV183" s="493"/>
      <c r="AW183" s="493"/>
      <c r="AX183" s="493"/>
      <c r="AY183" s="493"/>
      <c r="AZ183" s="1175"/>
      <c r="BA183" s="1218"/>
      <c r="BB183" s="1218"/>
      <c r="BC183" s="1218"/>
      <c r="BD183" s="1218"/>
      <c r="BE183" s="1219"/>
      <c r="BF183" s="1218"/>
      <c r="BG183" s="1218"/>
      <c r="BH183" s="1218"/>
      <c r="BI183" s="1218"/>
      <c r="BJ183" s="1219"/>
      <c r="BK183" s="1218"/>
      <c r="BL183" s="1218"/>
      <c r="BM183" s="1218"/>
      <c r="BN183" s="1218"/>
      <c r="BO183" s="1219"/>
      <c r="BP183" s="1218"/>
      <c r="BQ183" s="1218"/>
      <c r="BR183" s="1218"/>
      <c r="BS183" s="1218"/>
      <c r="BT183" s="1219"/>
      <c r="BU183" s="1218"/>
      <c r="BV183" s="1218"/>
      <c r="BW183" s="1218"/>
      <c r="BX183" s="1218"/>
      <c r="BY183" s="1219"/>
      <c r="BZ183" s="1218"/>
      <c r="CA183" s="1218"/>
      <c r="CB183" s="1218"/>
      <c r="CC183" s="1218"/>
      <c r="CD183" s="1219"/>
      <c r="CE183" s="1218"/>
      <c r="CF183" s="1218"/>
      <c r="CG183" s="1218"/>
      <c r="CH183" s="1218"/>
      <c r="CI183" s="1219"/>
      <c r="CJ183" s="1218"/>
      <c r="CK183" s="1218"/>
      <c r="CL183" s="1218"/>
      <c r="CM183" s="1218"/>
      <c r="CN183" s="1219"/>
      <c r="CO183" s="1218"/>
      <c r="CP183" s="1218"/>
      <c r="CQ183" s="1218"/>
      <c r="CR183" s="1218"/>
      <c r="CS183" s="1219"/>
      <c r="CT183" s="1218"/>
      <c r="CU183" s="1218"/>
      <c r="CV183" s="1218"/>
      <c r="CW183" s="1218"/>
      <c r="CX183" s="1219"/>
      <c r="CY183" s="1218">
        <v>0</v>
      </c>
      <c r="CZ183" s="1218">
        <v>0</v>
      </c>
      <c r="DA183" s="1218">
        <v>0</v>
      </c>
      <c r="DB183" s="1218">
        <v>0</v>
      </c>
      <c r="DC183" s="1219">
        <f t="shared" si="389"/>
      </c>
      <c r="DD183" s="1218">
        <v>0</v>
      </c>
      <c r="DE183" s="1218">
        <v>0</v>
      </c>
      <c r="DF183" s="1218">
        <v>0</v>
      </c>
      <c r="DG183" s="1218">
        <v>0</v>
      </c>
      <c r="DH183" s="1219">
        <f t="shared" si="390"/>
      </c>
      <c r="DI183" s="1218">
        <v>0</v>
      </c>
      <c r="DJ183" s="1218">
        <v>0</v>
      </c>
      <c r="DK183" s="1218">
        <v>0</v>
      </c>
      <c r="DL183" s="1218">
        <v>0</v>
      </c>
      <c r="DM183" s="1219">
        <f t="shared" si="391"/>
      </c>
      <c r="DN183" s="1218">
        <v>0</v>
      </c>
      <c r="DO183" s="1218">
        <v>0</v>
      </c>
      <c r="DP183" s="1218">
        <v>0</v>
      </c>
      <c r="DQ183" s="1218">
        <v>0</v>
      </c>
      <c r="DR183" s="1219">
        <f t="shared" si="392"/>
      </c>
      <c r="DS183" s="1218">
        <v>0</v>
      </c>
      <c r="DT183" s="1218">
        <v>0</v>
      </c>
      <c r="DU183" s="1218">
        <v>0</v>
      </c>
      <c r="DV183" s="1218">
        <v>0</v>
      </c>
      <c r="DW183" s="1219">
        <f t="shared" ref="DW183:DW189" si="397">SUM(DS183:DV183)</f>
      </c>
      <c r="DX183" s="1218">
        <v>0</v>
      </c>
      <c r="DY183" s="1218">
        <v>0</v>
      </c>
      <c r="DZ183" s="1218">
        <v>0</v>
      </c>
      <c r="EA183" s="1218">
        <v>0</v>
      </c>
      <c r="EB183" s="1219">
        <f t="shared" si="393"/>
      </c>
      <c r="EC183" s="1218">
        <v>0</v>
      </c>
      <c r="ED183" s="1218">
        <v>0</v>
      </c>
      <c r="EE183" s="493">
        <v>-620</v>
      </c>
      <c r="EF183" s="1218">
        <v>0</v>
      </c>
      <c r="EG183" s="494">
        <v>-620</v>
      </c>
      <c r="EH183" s="1218">
        <v>0</v>
      </c>
      <c r="EI183" s="1218">
        <v>0</v>
      </c>
      <c r="EJ183" s="1218">
        <v>0</v>
      </c>
      <c r="EK183" s="1218">
        <v>0</v>
      </c>
      <c r="EL183" s="1219">
        <f t="shared" ref="EL183:EL189" si="398">SUM(EH183:EK183)</f>
      </c>
      <c r="EM183" s="1218">
        <v>0</v>
      </c>
      <c r="EN183" s="1218">
        <v>0</v>
      </c>
      <c r="EO183" s="1218">
        <v>0</v>
      </c>
      <c r="EP183" s="1218">
        <v>0</v>
      </c>
      <c r="EQ183" s="1219">
        <f t="shared" si="396"/>
      </c>
      <c r="ER183" s="1218">
        <v>0</v>
      </c>
      <c r="ES183" s="1218">
        <v>0</v>
      </c>
      <c r="ET183" s="1518">
        <v>0</v>
      </c>
      <c r="EU183" s="1518">
        <v>0</v>
      </c>
      <c r="EV183" s="1223">
        <f t="shared" si="394"/>
      </c>
      <c r="EW183" s="1218">
        <v>0</v>
      </c>
      <c r="EX183" s="1218">
        <v>0</v>
      </c>
      <c r="EY183" s="1218">
        <v>0</v>
      </c>
      <c r="EZ183" s="1218">
        <v>0</v>
      </c>
      <c r="FA183" s="1223">
        <f t="shared" si="395"/>
      </c>
      <c r="FB183" s="690"/>
      <c r="FC183" s="690"/>
      <c r="FD183" s="690"/>
      <c r="FE183" s="690"/>
      <c r="FF183" s="1175"/>
      <c r="FG183" s="690"/>
      <c r="FH183" s="690"/>
      <c r="FI183" s="690"/>
      <c r="FJ183" s="690"/>
      <c r="FK183" s="1175"/>
      <c r="FL183" s="690"/>
      <c r="FM183" s="690"/>
      <c r="FN183" s="690"/>
      <c r="FO183" s="690"/>
      <c r="FP183" s="1175"/>
      <c r="FQ183" s="690"/>
      <c r="FR183" s="690"/>
      <c r="FS183" s="690"/>
      <c r="FT183" s="690"/>
      <c r="FU183" s="1175"/>
      <c r="FV183" s="690"/>
      <c r="FW183" s="690"/>
      <c r="FX183" s="690"/>
      <c r="FY183" s="690"/>
      <c r="FZ183" s="1175"/>
      <c r="GA183" s="690"/>
      <c r="GB183" s="690"/>
      <c r="GC183" s="690"/>
      <c r="GD183" s="690"/>
      <c r="GE183" s="1175"/>
      <c r="GF183" s="690"/>
      <c r="GG183" s="690"/>
      <c r="GH183" s="690"/>
      <c r="GI183" s="690"/>
      <c r="GJ183" s="1175"/>
    </row>
    <row r="184" spans="1:192" s="461" customFormat="1" ht="12.75" customHeight="1" outlineLevel="2">
      <c r="A184" s="370"/>
      <c r="B184" s="986" t="s">
        <v>1846</v>
      </c>
      <c r="C184" s="493"/>
      <c r="D184" s="493"/>
      <c r="E184" s="493"/>
      <c r="F184" s="493"/>
      <c r="G184" s="1175"/>
      <c r="H184" s="493"/>
      <c r="I184" s="493"/>
      <c r="J184" s="493"/>
      <c r="K184" s="493"/>
      <c r="L184" s="1175"/>
      <c r="M184" s="815"/>
      <c r="N184" s="815"/>
      <c r="O184" s="815"/>
      <c r="P184" s="815"/>
      <c r="Q184" s="1175"/>
      <c r="R184" s="815"/>
      <c r="S184" s="815"/>
      <c r="T184" s="815"/>
      <c r="U184" s="815"/>
      <c r="V184" s="1175"/>
      <c r="W184" s="815"/>
      <c r="X184" s="815"/>
      <c r="Y184" s="815"/>
      <c r="Z184" s="493"/>
      <c r="AA184" s="1175"/>
      <c r="AB184" s="815"/>
      <c r="AC184" s="815"/>
      <c r="AD184" s="815"/>
      <c r="AE184" s="493"/>
      <c r="AF184" s="1175"/>
      <c r="AG184" s="493"/>
      <c r="AH184" s="493"/>
      <c r="AI184" s="493"/>
      <c r="AJ184" s="493"/>
      <c r="AK184" s="1175"/>
      <c r="AL184" s="493"/>
      <c r="AM184" s="493"/>
      <c r="AN184" s="493"/>
      <c r="AO184" s="493"/>
      <c r="AP184" s="1175"/>
      <c r="AQ184" s="493"/>
      <c r="AR184" s="493"/>
      <c r="AS184" s="493"/>
      <c r="AT184" s="493"/>
      <c r="AU184" s="1175"/>
      <c r="AV184" s="493"/>
      <c r="AW184" s="493"/>
      <c r="AX184" s="493"/>
      <c r="AY184" s="493"/>
      <c r="AZ184" s="1175"/>
      <c r="BA184" s="1218"/>
      <c r="BB184" s="1218"/>
      <c r="BC184" s="1218"/>
      <c r="BD184" s="1218"/>
      <c r="BE184" s="1219"/>
      <c r="BF184" s="1218"/>
      <c r="BG184" s="1218"/>
      <c r="BH184" s="1218"/>
      <c r="BI184" s="1218"/>
      <c r="BJ184" s="1219"/>
      <c r="BK184" s="1218"/>
      <c r="BL184" s="1218"/>
      <c r="BM184" s="1218"/>
      <c r="BN184" s="1218"/>
      <c r="BO184" s="1219"/>
      <c r="BP184" s="1218"/>
      <c r="BQ184" s="1218"/>
      <c r="BR184" s="1218"/>
      <c r="BS184" s="1218"/>
      <c r="BT184" s="1219"/>
      <c r="BU184" s="1218"/>
      <c r="BV184" s="1218"/>
      <c r="BW184" s="1218"/>
      <c r="BX184" s="1218"/>
      <c r="BY184" s="1219"/>
      <c r="BZ184" s="1218"/>
      <c r="CA184" s="1218"/>
      <c r="CB184" s="1218"/>
      <c r="CC184" s="1218"/>
      <c r="CD184" s="1219"/>
      <c r="CE184" s="1218"/>
      <c r="CF184" s="1218"/>
      <c r="CG184" s="1218"/>
      <c r="CH184" s="1218"/>
      <c r="CI184" s="1219"/>
      <c r="CJ184" s="1218"/>
      <c r="CK184" s="1218"/>
      <c r="CL184" s="1218"/>
      <c r="CM184" s="1218"/>
      <c r="CN184" s="1219"/>
      <c r="CO184" s="1218"/>
      <c r="CP184" s="1218"/>
      <c r="CQ184" s="1218"/>
      <c r="CR184" s="1218"/>
      <c r="CS184" s="1219"/>
      <c r="CT184" s="1218"/>
      <c r="CU184" s="1218"/>
      <c r="CV184" s="1218"/>
      <c r="CW184" s="1218"/>
      <c r="CX184" s="1219"/>
      <c r="CY184" s="1218">
        <v>0</v>
      </c>
      <c r="CZ184" s="1218">
        <v>0</v>
      </c>
      <c r="DA184" s="1218">
        <v>0</v>
      </c>
      <c r="DB184" s="1218">
        <v>0</v>
      </c>
      <c r="DC184" s="1219">
        <f t="shared" si="389"/>
      </c>
      <c r="DD184" s="1218">
        <v>0</v>
      </c>
      <c r="DE184" s="1218">
        <v>0</v>
      </c>
      <c r="DF184" s="1218">
        <v>0</v>
      </c>
      <c r="DG184" s="1218">
        <v>0</v>
      </c>
      <c r="DH184" s="1219">
        <f t="shared" si="390"/>
      </c>
      <c r="DI184" s="1218">
        <v>0</v>
      </c>
      <c r="DJ184" s="1218">
        <v>0</v>
      </c>
      <c r="DK184" s="1218">
        <v>0</v>
      </c>
      <c r="DL184" s="1218">
        <v>0</v>
      </c>
      <c r="DM184" s="1219">
        <f t="shared" si="391"/>
      </c>
      <c r="DN184" s="1218">
        <v>0</v>
      </c>
      <c r="DO184" s="493">
        <v>13800</v>
      </c>
      <c r="DP184" s="1218">
        <v>0</v>
      </c>
      <c r="DQ184" s="493">
        <v>-104</v>
      </c>
      <c r="DR184" s="1223">
        <f t="shared" si="392"/>
      </c>
      <c r="DS184" s="1218">
        <v>0</v>
      </c>
      <c r="DT184" s="493">
        <v>157</v>
      </c>
      <c r="DU184" s="1218">
        <v>0</v>
      </c>
      <c r="DV184" s="1218">
        <v>0</v>
      </c>
      <c r="DW184" s="1223">
        <f t="shared" si="397"/>
      </c>
      <c r="DX184" s="1218">
        <v>0</v>
      </c>
      <c r="DY184" s="1218">
        <v>0</v>
      </c>
      <c r="DZ184" s="1218">
        <v>0</v>
      </c>
      <c r="EA184" s="1218">
        <v>0</v>
      </c>
      <c r="EB184" s="1219">
        <f t="shared" si="393"/>
      </c>
      <c r="EC184" s="1218">
        <v>0</v>
      </c>
      <c r="ED184" s="1218">
        <v>0</v>
      </c>
      <c r="EE184" s="1218">
        <v>0</v>
      </c>
      <c r="EF184" s="1218">
        <v>0</v>
      </c>
      <c r="EG184" s="1219">
        <f t="shared" ref="EG184:EG189" si="399">SUM(EC184:EF184)</f>
      </c>
      <c r="EH184" s="1218">
        <v>0</v>
      </c>
      <c r="EI184" s="1218">
        <v>0</v>
      </c>
      <c r="EJ184" s="1218">
        <v>0</v>
      </c>
      <c r="EK184" s="1218">
        <v>0</v>
      </c>
      <c r="EL184" s="1219">
        <f t="shared" si="398"/>
      </c>
      <c r="EM184" s="1218">
        <v>0</v>
      </c>
      <c r="EN184" s="1218">
        <v>0</v>
      </c>
      <c r="EO184" s="1218">
        <v>0</v>
      </c>
      <c r="EP184" s="1218">
        <v>0</v>
      </c>
      <c r="EQ184" s="1219">
        <f t="shared" si="396"/>
      </c>
      <c r="ER184" s="1218">
        <v>0</v>
      </c>
      <c r="ES184" s="1218">
        <v>0</v>
      </c>
      <c r="ET184" s="1518">
        <v>0</v>
      </c>
      <c r="EU184" s="1518">
        <v>0</v>
      </c>
      <c r="EV184" s="1223">
        <f t="shared" si="394"/>
      </c>
      <c r="EW184" s="1218">
        <v>0</v>
      </c>
      <c r="EX184" s="1218">
        <v>0</v>
      </c>
      <c r="EY184" s="1218">
        <v>0</v>
      </c>
      <c r="EZ184" s="1218">
        <v>0</v>
      </c>
      <c r="FA184" s="1223">
        <f t="shared" si="395"/>
      </c>
      <c r="FB184" s="690"/>
      <c r="FC184" s="690"/>
      <c r="FD184" s="690"/>
      <c r="FE184" s="690"/>
      <c r="FF184" s="1175"/>
      <c r="FG184" s="690"/>
      <c r="FH184" s="690"/>
      <c r="FI184" s="690"/>
      <c r="FJ184" s="690"/>
      <c r="FK184" s="1175"/>
      <c r="FL184" s="690"/>
      <c r="FM184" s="690"/>
      <c r="FN184" s="690"/>
      <c r="FO184" s="690"/>
      <c r="FP184" s="1175"/>
      <c r="FQ184" s="690"/>
      <c r="FR184" s="690"/>
      <c r="FS184" s="690"/>
      <c r="FT184" s="690"/>
      <c r="FU184" s="1175"/>
      <c r="FV184" s="690"/>
      <c r="FW184" s="690"/>
      <c r="FX184" s="690"/>
      <c r="FY184" s="690"/>
      <c r="FZ184" s="1175"/>
      <c r="GA184" s="690"/>
      <c r="GB184" s="690"/>
      <c r="GC184" s="690"/>
      <c r="GD184" s="690"/>
      <c r="GE184" s="1175"/>
      <c r="GF184" s="690"/>
      <c r="GG184" s="690"/>
      <c r="GH184" s="690"/>
      <c r="GI184" s="690"/>
      <c r="GJ184" s="1175"/>
    </row>
    <row r="185" spans="1:192" s="461" customFormat="1" ht="12.75" customHeight="1" outlineLevel="2">
      <c r="A185" s="370"/>
      <c r="B185" s="986" t="s">
        <v>1847</v>
      </c>
      <c r="C185" s="493"/>
      <c r="D185" s="493"/>
      <c r="E185" s="493"/>
      <c r="F185" s="493"/>
      <c r="G185" s="1175"/>
      <c r="H185" s="493"/>
      <c r="I185" s="493"/>
      <c r="J185" s="493"/>
      <c r="K185" s="493"/>
      <c r="L185" s="1175"/>
      <c r="M185" s="815"/>
      <c r="N185" s="815"/>
      <c r="O185" s="815"/>
      <c r="P185" s="815"/>
      <c r="Q185" s="1175"/>
      <c r="R185" s="815"/>
      <c r="S185" s="815"/>
      <c r="T185" s="815"/>
      <c r="U185" s="815"/>
      <c r="V185" s="1175"/>
      <c r="W185" s="815"/>
      <c r="X185" s="815"/>
      <c r="Y185" s="815"/>
      <c r="Z185" s="493"/>
      <c r="AA185" s="1175"/>
      <c r="AB185" s="815"/>
      <c r="AC185" s="815"/>
      <c r="AD185" s="815"/>
      <c r="AE185" s="493"/>
      <c r="AF185" s="1175"/>
      <c r="AG185" s="493"/>
      <c r="AH185" s="493"/>
      <c r="AI185" s="493"/>
      <c r="AJ185" s="493"/>
      <c r="AK185" s="1175"/>
      <c r="AL185" s="493"/>
      <c r="AM185" s="493"/>
      <c r="AN185" s="493"/>
      <c r="AO185" s="493"/>
      <c r="AP185" s="1175"/>
      <c r="AQ185" s="493"/>
      <c r="AR185" s="493"/>
      <c r="AS185" s="493"/>
      <c r="AT185" s="493"/>
      <c r="AU185" s="1175"/>
      <c r="AV185" s="493"/>
      <c r="AW185" s="493"/>
      <c r="AX185" s="493"/>
      <c r="AY185" s="493"/>
      <c r="AZ185" s="1175"/>
      <c r="BA185" s="493"/>
      <c r="BB185" s="493"/>
      <c r="BC185" s="493"/>
      <c r="BD185" s="493"/>
      <c r="BE185" s="1223"/>
      <c r="BF185" s="493"/>
      <c r="BG185" s="493"/>
      <c r="BH185" s="493"/>
      <c r="BI185" s="493"/>
      <c r="BJ185" s="1223"/>
      <c r="BK185" s="493"/>
      <c r="BL185" s="493"/>
      <c r="BM185" s="493"/>
      <c r="BN185" s="493"/>
      <c r="BO185" s="1223"/>
      <c r="BP185" s="493"/>
      <c r="BQ185" s="493"/>
      <c r="BR185" s="493"/>
      <c r="BS185" s="493"/>
      <c r="BT185" s="1223"/>
      <c r="BU185" s="493"/>
      <c r="BV185" s="493"/>
      <c r="BW185" s="493"/>
      <c r="BX185" s="493"/>
      <c r="BY185" s="1223"/>
      <c r="BZ185" s="493"/>
      <c r="CA185" s="493"/>
      <c r="CB185" s="493"/>
      <c r="CC185" s="493"/>
      <c r="CD185" s="1223"/>
      <c r="CE185" s="493"/>
      <c r="CF185" s="493"/>
      <c r="CG185" s="493"/>
      <c r="CH185" s="493"/>
      <c r="CI185" s="1223"/>
      <c r="CJ185" s="493"/>
      <c r="CK185" s="493"/>
      <c r="CL185" s="493"/>
      <c r="CM185" s="493"/>
      <c r="CN185" s="1223"/>
      <c r="CO185" s="493"/>
      <c r="CP185" s="493"/>
      <c r="CQ185" s="493"/>
      <c r="CR185" s="493"/>
      <c r="CS185" s="1223"/>
      <c r="CT185" s="493"/>
      <c r="CU185" s="493"/>
      <c r="CV185" s="493"/>
      <c r="CW185" s="493"/>
      <c r="CX185" s="1223"/>
      <c r="CY185" s="493">
        <v>0</v>
      </c>
      <c r="CZ185" s="493">
        <v>0</v>
      </c>
      <c r="DA185" s="493">
        <v>0</v>
      </c>
      <c r="DB185" s="493">
        <v>8262</v>
      </c>
      <c r="DC185" s="1223">
        <f t="shared" si="389"/>
      </c>
      <c r="DD185" s="1218">
        <v>0</v>
      </c>
      <c r="DE185" s="1218">
        <v>0</v>
      </c>
      <c r="DF185" s="1218">
        <v>0</v>
      </c>
      <c r="DG185" s="493">
        <v>895</v>
      </c>
      <c r="DH185" s="1223">
        <f t="shared" si="390"/>
      </c>
      <c r="DI185" s="1218">
        <v>0</v>
      </c>
      <c r="DJ185" s="1218">
        <v>0</v>
      </c>
      <c r="DK185" s="1218">
        <v>0</v>
      </c>
      <c r="DL185" s="493">
        <v>243</v>
      </c>
      <c r="DM185" s="1223">
        <f t="shared" si="391"/>
      </c>
      <c r="DN185" s="1218">
        <v>0</v>
      </c>
      <c r="DO185" s="1218">
        <v>0</v>
      </c>
      <c r="DP185" s="1218">
        <v>0</v>
      </c>
      <c r="DQ185" s="1218">
        <v>0</v>
      </c>
      <c r="DR185" s="1219">
        <f t="shared" si="392"/>
      </c>
      <c r="DS185" s="1218">
        <v>0</v>
      </c>
      <c r="DT185" s="1218">
        <v>0</v>
      </c>
      <c r="DU185" s="1218">
        <v>0</v>
      </c>
      <c r="DV185" s="1218">
        <v>0</v>
      </c>
      <c r="DW185" s="1219">
        <f t="shared" si="397"/>
      </c>
      <c r="DX185" s="1218">
        <v>0</v>
      </c>
      <c r="DY185" s="1218">
        <v>0</v>
      </c>
      <c r="DZ185" s="1218">
        <v>0</v>
      </c>
      <c r="EA185" s="1218">
        <v>0</v>
      </c>
      <c r="EB185" s="1219">
        <f t="shared" si="393"/>
      </c>
      <c r="EC185" s="1218">
        <v>0</v>
      </c>
      <c r="ED185" s="1218">
        <v>0</v>
      </c>
      <c r="EE185" s="1218">
        <v>0</v>
      </c>
      <c r="EF185" s="1218">
        <v>0</v>
      </c>
      <c r="EG185" s="1219">
        <f t="shared" si="399"/>
      </c>
      <c r="EH185" s="1218">
        <v>0</v>
      </c>
      <c r="EI185" s="1218">
        <v>0</v>
      </c>
      <c r="EJ185" s="1218">
        <v>0</v>
      </c>
      <c r="EK185" s="1218">
        <v>0</v>
      </c>
      <c r="EL185" s="1219">
        <f t="shared" si="398"/>
      </c>
      <c r="EM185" s="1218">
        <v>0</v>
      </c>
      <c r="EN185" s="1218">
        <v>0</v>
      </c>
      <c r="EO185" s="1218">
        <v>0</v>
      </c>
      <c r="EP185" s="1218">
        <v>0</v>
      </c>
      <c r="EQ185" s="1219">
        <f t="shared" si="396"/>
      </c>
      <c r="ER185" s="1218">
        <v>0</v>
      </c>
      <c r="ES185" s="1218">
        <v>0</v>
      </c>
      <c r="ET185" s="1518">
        <v>0</v>
      </c>
      <c r="EU185" s="1518">
        <v>0</v>
      </c>
      <c r="EV185" s="1223">
        <f t="shared" si="394"/>
      </c>
      <c r="EW185" s="1218">
        <v>0</v>
      </c>
      <c r="EX185" s="1218">
        <v>0</v>
      </c>
      <c r="EY185" s="1218">
        <v>0</v>
      </c>
      <c r="EZ185" s="1218">
        <v>0</v>
      </c>
      <c r="FA185" s="1223">
        <f t="shared" si="395"/>
      </c>
      <c r="FB185" s="690"/>
      <c r="FC185" s="690"/>
      <c r="FD185" s="690"/>
      <c r="FE185" s="690"/>
      <c r="FF185" s="1175"/>
      <c r="FG185" s="690"/>
      <c r="FH185" s="690"/>
      <c r="FI185" s="690"/>
      <c r="FJ185" s="690"/>
      <c r="FK185" s="1175"/>
      <c r="FL185" s="690"/>
      <c r="FM185" s="690"/>
      <c r="FN185" s="690"/>
      <c r="FO185" s="690"/>
      <c r="FP185" s="1175"/>
      <c r="FQ185" s="690"/>
      <c r="FR185" s="690"/>
      <c r="FS185" s="690"/>
      <c r="FT185" s="690"/>
      <c r="FU185" s="1175"/>
      <c r="FV185" s="690"/>
      <c r="FW185" s="690"/>
      <c r="FX185" s="690"/>
      <c r="FY185" s="690"/>
      <c r="FZ185" s="1175"/>
      <c r="GA185" s="690"/>
      <c r="GB185" s="690"/>
      <c r="GC185" s="690"/>
      <c r="GD185" s="690"/>
      <c r="GE185" s="1175"/>
      <c r="GF185" s="690"/>
      <c r="GG185" s="690"/>
      <c r="GH185" s="690"/>
      <c r="GI185" s="690"/>
      <c r="GJ185" s="1175"/>
    </row>
    <row r="186" spans="1:192" s="461" customFormat="1" ht="12.75" customHeight="1" outlineLevel="2">
      <c r="A186" s="370"/>
      <c r="B186" s="986" t="s">
        <v>1848</v>
      </c>
      <c r="C186" s="493"/>
      <c r="D186" s="493"/>
      <c r="E186" s="493"/>
      <c r="F186" s="493"/>
      <c r="G186" s="1175"/>
      <c r="H186" s="493"/>
      <c r="I186" s="493"/>
      <c r="J186" s="493"/>
      <c r="K186" s="493"/>
      <c r="L186" s="1175"/>
      <c r="M186" s="815"/>
      <c r="N186" s="815"/>
      <c r="O186" s="815"/>
      <c r="P186" s="815"/>
      <c r="Q186" s="1175"/>
      <c r="R186" s="815"/>
      <c r="S186" s="815"/>
      <c r="T186" s="815"/>
      <c r="U186" s="815"/>
      <c r="V186" s="1175"/>
      <c r="W186" s="815"/>
      <c r="X186" s="815"/>
      <c r="Y186" s="815"/>
      <c r="Z186" s="493"/>
      <c r="AA186" s="1175"/>
      <c r="AB186" s="815"/>
      <c r="AC186" s="815"/>
      <c r="AD186" s="815"/>
      <c r="AE186" s="493"/>
      <c r="AF186" s="1175"/>
      <c r="AG186" s="493"/>
      <c r="AH186" s="493"/>
      <c r="AI186" s="493"/>
      <c r="AJ186" s="493"/>
      <c r="AK186" s="1175"/>
      <c r="AL186" s="493"/>
      <c r="AM186" s="493"/>
      <c r="AN186" s="493"/>
      <c r="AO186" s="493"/>
      <c r="AP186" s="1175"/>
      <c r="AQ186" s="493"/>
      <c r="AR186" s="493"/>
      <c r="AS186" s="493"/>
      <c r="AT186" s="493"/>
      <c r="AU186" s="1175"/>
      <c r="AV186" s="493"/>
      <c r="AW186" s="493"/>
      <c r="AX186" s="493"/>
      <c r="AY186" s="493"/>
      <c r="AZ186" s="1175"/>
      <c r="BA186" s="1218"/>
      <c r="BB186" s="493"/>
      <c r="BC186" s="1218"/>
      <c r="BD186" s="1218"/>
      <c r="BE186" s="1223"/>
      <c r="BF186" s="1218"/>
      <c r="BG186" s="493"/>
      <c r="BH186" s="1218"/>
      <c r="BI186" s="1218"/>
      <c r="BJ186" s="1223"/>
      <c r="BK186" s="1218"/>
      <c r="BL186" s="493"/>
      <c r="BM186" s="1218"/>
      <c r="BN186" s="1218"/>
      <c r="BO186" s="1223"/>
      <c r="BP186" s="1218"/>
      <c r="BQ186" s="493"/>
      <c r="BR186" s="1218"/>
      <c r="BS186" s="1218"/>
      <c r="BT186" s="1223"/>
      <c r="BU186" s="1218"/>
      <c r="BV186" s="493"/>
      <c r="BW186" s="1218"/>
      <c r="BX186" s="1218"/>
      <c r="BY186" s="1223"/>
      <c r="BZ186" s="1218"/>
      <c r="CA186" s="493"/>
      <c r="CB186" s="1218"/>
      <c r="CC186" s="1218"/>
      <c r="CD186" s="1223"/>
      <c r="CE186" s="1218"/>
      <c r="CF186" s="493"/>
      <c r="CG186" s="1218"/>
      <c r="CH186" s="1218"/>
      <c r="CI186" s="1223"/>
      <c r="CJ186" s="1218"/>
      <c r="CK186" s="493"/>
      <c r="CL186" s="1218"/>
      <c r="CM186" s="1218"/>
      <c r="CN186" s="1223"/>
      <c r="CO186" s="1218"/>
      <c r="CP186" s="493"/>
      <c r="CQ186" s="1218"/>
      <c r="CR186" s="1218"/>
      <c r="CS186" s="1223"/>
      <c r="CT186" s="1218"/>
      <c r="CU186" s="493"/>
      <c r="CV186" s="1218"/>
      <c r="CW186" s="1218"/>
      <c r="CX186" s="1223"/>
      <c r="CY186" s="1218">
        <v>0</v>
      </c>
      <c r="CZ186" s="493">
        <v>0</v>
      </c>
      <c r="DA186" s="1218">
        <v>0</v>
      </c>
      <c r="DB186" s="1218">
        <v>0</v>
      </c>
      <c r="DC186" s="1223">
        <f t="shared" si="389"/>
      </c>
      <c r="DD186" s="493">
        <v>760</v>
      </c>
      <c r="DE186" s="493">
        <v>1277</v>
      </c>
      <c r="DF186" s="493">
        <v>1217</v>
      </c>
      <c r="DG186" s="493">
        <v>1467</v>
      </c>
      <c r="DH186" s="1223">
        <f t="shared" si="390"/>
      </c>
      <c r="DI186" s="1218">
        <v>0</v>
      </c>
      <c r="DJ186" s="1218">
        <v>0</v>
      </c>
      <c r="DK186" s="1218">
        <v>0</v>
      </c>
      <c r="DL186" s="1218">
        <v>0</v>
      </c>
      <c r="DM186" s="1219">
        <f t="shared" si="391"/>
      </c>
      <c r="DN186" s="1218">
        <v>0</v>
      </c>
      <c r="DO186" s="1218">
        <v>0</v>
      </c>
      <c r="DP186" s="1218">
        <v>0</v>
      </c>
      <c r="DQ186" s="1218">
        <v>0</v>
      </c>
      <c r="DR186" s="1219">
        <f t="shared" si="392"/>
      </c>
      <c r="DS186" s="1218">
        <v>0</v>
      </c>
      <c r="DT186" s="1218">
        <v>0</v>
      </c>
      <c r="DU186" s="1218">
        <v>0</v>
      </c>
      <c r="DV186" s="1218">
        <v>0</v>
      </c>
      <c r="DW186" s="1219">
        <f t="shared" si="397"/>
      </c>
      <c r="DX186" s="1218">
        <v>0</v>
      </c>
      <c r="DY186" s="1218">
        <v>0</v>
      </c>
      <c r="DZ186" s="1218">
        <v>0</v>
      </c>
      <c r="EA186" s="1218">
        <v>0</v>
      </c>
      <c r="EB186" s="1219">
        <f t="shared" si="393"/>
      </c>
      <c r="EC186" s="1218">
        <v>0</v>
      </c>
      <c r="ED186" s="1218">
        <v>0</v>
      </c>
      <c r="EE186" s="1218">
        <v>0</v>
      </c>
      <c r="EF186" s="1218">
        <v>0</v>
      </c>
      <c r="EG186" s="1219">
        <f t="shared" si="399"/>
      </c>
      <c r="EH186" s="1218">
        <v>0</v>
      </c>
      <c r="EI186" s="1218">
        <v>0</v>
      </c>
      <c r="EJ186" s="1218">
        <v>0</v>
      </c>
      <c r="EK186" s="1218">
        <v>0</v>
      </c>
      <c r="EL186" s="1219">
        <f t="shared" si="398"/>
      </c>
      <c r="EM186" s="1218">
        <v>0</v>
      </c>
      <c r="EN186" s="1218">
        <v>0</v>
      </c>
      <c r="EO186" s="1218">
        <v>0</v>
      </c>
      <c r="EP186" s="1218">
        <v>0</v>
      </c>
      <c r="EQ186" s="1219">
        <f t="shared" si="396"/>
      </c>
      <c r="ER186" s="1218">
        <v>0</v>
      </c>
      <c r="ES186" s="1218">
        <v>0</v>
      </c>
      <c r="ET186" s="1518">
        <v>0</v>
      </c>
      <c r="EU186" s="1518">
        <v>0</v>
      </c>
      <c r="EV186" s="1223">
        <f t="shared" si="394"/>
      </c>
      <c r="EW186" s="1218">
        <v>0</v>
      </c>
      <c r="EX186" s="1218">
        <v>0</v>
      </c>
      <c r="EY186" s="1218">
        <v>0</v>
      </c>
      <c r="EZ186" s="1218">
        <v>0</v>
      </c>
      <c r="FA186" s="1223">
        <f t="shared" si="395"/>
      </c>
      <c r="FB186" s="690"/>
      <c r="FC186" s="690"/>
      <c r="FD186" s="690"/>
      <c r="FE186" s="690"/>
      <c r="FF186" s="1175"/>
      <c r="FG186" s="690"/>
      <c r="FH186" s="690"/>
      <c r="FI186" s="690"/>
      <c r="FJ186" s="690"/>
      <c r="FK186" s="1175"/>
      <c r="FL186" s="690"/>
      <c r="FM186" s="690"/>
      <c r="FN186" s="690"/>
      <c r="FO186" s="690"/>
      <c r="FP186" s="1175"/>
      <c r="FQ186" s="690"/>
      <c r="FR186" s="690"/>
      <c r="FS186" s="690"/>
      <c r="FT186" s="690"/>
      <c r="FU186" s="1175"/>
      <c r="FV186" s="690"/>
      <c r="FW186" s="690"/>
      <c r="FX186" s="690"/>
      <c r="FY186" s="690"/>
      <c r="FZ186" s="1175"/>
      <c r="GA186" s="690"/>
      <c r="GB186" s="690"/>
      <c r="GC186" s="690"/>
      <c r="GD186" s="690"/>
      <c r="GE186" s="1175"/>
      <c r="GF186" s="690"/>
      <c r="GG186" s="690"/>
      <c r="GH186" s="690"/>
      <c r="GI186" s="690"/>
      <c r="GJ186" s="1175"/>
    </row>
    <row r="187" spans="1:192" s="461" customFormat="1" ht="12.75" customHeight="1" outlineLevel="2">
      <c r="A187" s="370"/>
      <c r="B187" s="986" t="s">
        <v>1851</v>
      </c>
      <c r="C187" s="493"/>
      <c r="D187" s="493"/>
      <c r="E187" s="493"/>
      <c r="F187" s="493"/>
      <c r="G187" s="1175"/>
      <c r="H187" s="493"/>
      <c r="I187" s="493"/>
      <c r="J187" s="493"/>
      <c r="K187" s="493"/>
      <c r="L187" s="1175"/>
      <c r="M187" s="815"/>
      <c r="N187" s="815"/>
      <c r="O187" s="815"/>
      <c r="P187" s="815"/>
      <c r="Q187" s="1175"/>
      <c r="R187" s="815"/>
      <c r="S187" s="815"/>
      <c r="T187" s="815"/>
      <c r="U187" s="815"/>
      <c r="V187" s="1175"/>
      <c r="W187" s="815"/>
      <c r="X187" s="815"/>
      <c r="Y187" s="815"/>
      <c r="Z187" s="493"/>
      <c r="AA187" s="1175"/>
      <c r="AB187" s="815"/>
      <c r="AC187" s="815"/>
      <c r="AD187" s="815"/>
      <c r="AE187" s="493"/>
      <c r="AF187" s="1175"/>
      <c r="AG187" s="493"/>
      <c r="AH187" s="493"/>
      <c r="AI187" s="493"/>
      <c r="AJ187" s="493"/>
      <c r="AK187" s="1175"/>
      <c r="AL187" s="493"/>
      <c r="AM187" s="493"/>
      <c r="AN187" s="493"/>
      <c r="AO187" s="493"/>
      <c r="AP187" s="1175"/>
      <c r="AQ187" s="493"/>
      <c r="AR187" s="493"/>
      <c r="AS187" s="493"/>
      <c r="AT187" s="493"/>
      <c r="AU187" s="1175"/>
      <c r="AV187" s="493"/>
      <c r="AW187" s="493"/>
      <c r="AX187" s="493"/>
      <c r="AY187" s="493"/>
      <c r="AZ187" s="1175"/>
      <c r="BA187" s="1218"/>
      <c r="BB187" s="493"/>
      <c r="BC187" s="1218"/>
      <c r="BD187" s="1218"/>
      <c r="BE187" s="1223"/>
      <c r="BF187" s="1218"/>
      <c r="BG187" s="493"/>
      <c r="BH187" s="1218"/>
      <c r="BI187" s="1218"/>
      <c r="BJ187" s="1223"/>
      <c r="BK187" s="1218"/>
      <c r="BL187" s="493"/>
      <c r="BM187" s="1218"/>
      <c r="BN187" s="1218"/>
      <c r="BO187" s="1223"/>
      <c r="BP187" s="1218"/>
      <c r="BQ187" s="493"/>
      <c r="BR187" s="1218"/>
      <c r="BS187" s="1218"/>
      <c r="BT187" s="1223"/>
      <c r="BU187" s="1218"/>
      <c r="BV187" s="493"/>
      <c r="BW187" s="1218"/>
      <c r="BX187" s="1218"/>
      <c r="BY187" s="1223"/>
      <c r="BZ187" s="1218"/>
      <c r="CA187" s="493"/>
      <c r="CB187" s="1218"/>
      <c r="CC187" s="1218"/>
      <c r="CD187" s="1223"/>
      <c r="CE187" s="1218"/>
      <c r="CF187" s="493"/>
      <c r="CG187" s="1218"/>
      <c r="CH187" s="1218"/>
      <c r="CI187" s="1223"/>
      <c r="CJ187" s="1218"/>
      <c r="CK187" s="493"/>
      <c r="CL187" s="1218"/>
      <c r="CM187" s="1218"/>
      <c r="CN187" s="1223"/>
      <c r="CO187" s="1218"/>
      <c r="CP187" s="493"/>
      <c r="CQ187" s="1218"/>
      <c r="CR187" s="1218"/>
      <c r="CS187" s="1223"/>
      <c r="CT187" s="1218"/>
      <c r="CU187" s="493"/>
      <c r="CV187" s="1218"/>
      <c r="CW187" s="1218"/>
      <c r="CX187" s="1223"/>
      <c r="CY187" s="1218">
        <v>0</v>
      </c>
      <c r="CZ187" s="1218">
        <v>0</v>
      </c>
      <c r="DA187" s="1218">
        <v>0</v>
      </c>
      <c r="DB187" s="1218">
        <v>0</v>
      </c>
      <c r="DC187" s="1219">
        <f t="shared" si="389"/>
      </c>
      <c r="DD187" s="1218">
        <v>0</v>
      </c>
      <c r="DE187" s="1218">
        <v>0</v>
      </c>
      <c r="DF187" s="1218">
        <v>0</v>
      </c>
      <c r="DG187" s="1218">
        <v>0</v>
      </c>
      <c r="DH187" s="1219">
        <f t="shared" si="390"/>
      </c>
      <c r="DI187" s="1218">
        <v>0</v>
      </c>
      <c r="DJ187" s="1218">
        <v>0</v>
      </c>
      <c r="DK187" s="1218">
        <v>0</v>
      </c>
      <c r="DL187" s="1218">
        <v>0</v>
      </c>
      <c r="DM187" s="1219">
        <f t="shared" si="391"/>
      </c>
      <c r="DN187" s="1218">
        <v>0</v>
      </c>
      <c r="DO187" s="1218">
        <v>0</v>
      </c>
      <c r="DP187" s="1218">
        <v>0</v>
      </c>
      <c r="DQ187" s="1218">
        <v>0</v>
      </c>
      <c r="DR187" s="1219">
        <f t="shared" si="392"/>
      </c>
      <c r="DS187" s="1218">
        <v>0</v>
      </c>
      <c r="DT187" s="1218">
        <v>0</v>
      </c>
      <c r="DU187" s="1218">
        <v>0</v>
      </c>
      <c r="DV187" s="1218">
        <v>0</v>
      </c>
      <c r="DW187" s="1219">
        <f t="shared" si="397"/>
      </c>
      <c r="DX187" s="1218">
        <v>0</v>
      </c>
      <c r="DY187" s="1218">
        <v>0</v>
      </c>
      <c r="DZ187" s="1218">
        <v>0</v>
      </c>
      <c r="EA187" s="1218">
        <v>0</v>
      </c>
      <c r="EB187" s="1219">
        <f t="shared" si="393"/>
      </c>
      <c r="EC187" s="1218">
        <v>0</v>
      </c>
      <c r="ED187" s="1218">
        <v>0</v>
      </c>
      <c r="EE187" s="1218">
        <v>0</v>
      </c>
      <c r="EF187" s="1218">
        <v>0</v>
      </c>
      <c r="EG187" s="1219">
        <f t="shared" si="399"/>
      </c>
      <c r="EH187" s="1218">
        <v>0</v>
      </c>
      <c r="EI187" s="1218">
        <v>0</v>
      </c>
      <c r="EJ187" s="1218">
        <v>0</v>
      </c>
      <c r="EK187" s="1218">
        <v>0</v>
      </c>
      <c r="EL187" s="1219">
        <f t="shared" si="398"/>
      </c>
      <c r="EM187" s="1218">
        <v>0</v>
      </c>
      <c r="EN187" s="1218">
        <v>0</v>
      </c>
      <c r="EO187" s="1218">
        <v>0</v>
      </c>
      <c r="EP187" s="1218">
        <v>0</v>
      </c>
      <c r="EQ187" s="1219">
        <f t="shared" si="396"/>
      </c>
      <c r="ER187" s="1218">
        <v>0</v>
      </c>
      <c r="ES187" s="1218">
        <v>0</v>
      </c>
      <c r="ET187" s="1518">
        <v>0</v>
      </c>
      <c r="EU187" s="1518">
        <v>0</v>
      </c>
      <c r="EV187" s="1223">
        <f t="shared" si="394"/>
      </c>
      <c r="EW187" s="1218">
        <v>0</v>
      </c>
      <c r="EX187" s="1218">
        <v>0</v>
      </c>
      <c r="EY187" s="1218">
        <v>0</v>
      </c>
      <c r="EZ187" s="1218">
        <v>0</v>
      </c>
      <c r="FA187" s="1223">
        <f t="shared" si="395"/>
      </c>
      <c r="FB187" s="690"/>
      <c r="FC187" s="690"/>
      <c r="FD187" s="690"/>
      <c r="FE187" s="690"/>
      <c r="FF187" s="1175"/>
      <c r="FG187" s="690"/>
      <c r="FH187" s="690"/>
      <c r="FI187" s="690"/>
      <c r="FJ187" s="690"/>
      <c r="FK187" s="1175"/>
      <c r="FL187" s="690"/>
      <c r="FM187" s="690"/>
      <c r="FN187" s="690"/>
      <c r="FO187" s="690"/>
      <c r="FP187" s="1175"/>
      <c r="FQ187" s="690"/>
      <c r="FR187" s="690"/>
      <c r="FS187" s="690"/>
      <c r="FT187" s="690"/>
      <c r="FU187" s="1175"/>
      <c r="FV187" s="690"/>
      <c r="FW187" s="690"/>
      <c r="FX187" s="690"/>
      <c r="FY187" s="690"/>
      <c r="FZ187" s="1175"/>
      <c r="GA187" s="690"/>
      <c r="GB187" s="690"/>
      <c r="GC187" s="690"/>
      <c r="GD187" s="690"/>
      <c r="GE187" s="1175"/>
      <c r="GF187" s="690"/>
      <c r="GG187" s="690"/>
      <c r="GH187" s="690"/>
      <c r="GI187" s="690"/>
      <c r="GJ187" s="1175"/>
    </row>
    <row r="188" spans="1:192" s="461" customFormat="1" ht="12.75" customHeight="1" outlineLevel="2">
      <c r="A188" s="370"/>
      <c r="B188" s="986" t="s">
        <v>1852</v>
      </c>
      <c r="C188" s="493"/>
      <c r="D188" s="493"/>
      <c r="E188" s="493"/>
      <c r="F188" s="493"/>
      <c r="G188" s="1175"/>
      <c r="H188" s="493"/>
      <c r="I188" s="493"/>
      <c r="J188" s="493"/>
      <c r="K188" s="493"/>
      <c r="L188" s="1175"/>
      <c r="M188" s="815"/>
      <c r="N188" s="815"/>
      <c r="O188" s="815"/>
      <c r="P188" s="815"/>
      <c r="Q188" s="1175"/>
      <c r="R188" s="815"/>
      <c r="S188" s="815"/>
      <c r="T188" s="815"/>
      <c r="U188" s="815"/>
      <c r="V188" s="1175"/>
      <c r="W188" s="815"/>
      <c r="X188" s="815"/>
      <c r="Y188" s="815"/>
      <c r="Z188" s="493"/>
      <c r="AA188" s="1175"/>
      <c r="AB188" s="815"/>
      <c r="AC188" s="815"/>
      <c r="AD188" s="815"/>
      <c r="AE188" s="493"/>
      <c r="AF188" s="1175"/>
      <c r="AG188" s="493"/>
      <c r="AH188" s="493"/>
      <c r="AI188" s="493"/>
      <c r="AJ188" s="493"/>
      <c r="AK188" s="1175"/>
      <c r="AL188" s="493"/>
      <c r="AM188" s="493"/>
      <c r="AN188" s="493"/>
      <c r="AO188" s="493"/>
      <c r="AP188" s="1175"/>
      <c r="AQ188" s="493"/>
      <c r="AR188" s="493"/>
      <c r="AS188" s="493"/>
      <c r="AT188" s="493"/>
      <c r="AU188" s="1175"/>
      <c r="AV188" s="493"/>
      <c r="AW188" s="493"/>
      <c r="AX188" s="493"/>
      <c r="AY188" s="493"/>
      <c r="AZ188" s="1175"/>
      <c r="BA188" s="1218"/>
      <c r="BB188" s="493"/>
      <c r="BC188" s="1218"/>
      <c r="BD188" s="1218"/>
      <c r="BE188" s="1223"/>
      <c r="BF188" s="1218"/>
      <c r="BG188" s="493"/>
      <c r="BH188" s="1218"/>
      <c r="BI188" s="1218"/>
      <c r="BJ188" s="1223"/>
      <c r="BK188" s="1218"/>
      <c r="BL188" s="493"/>
      <c r="BM188" s="1218"/>
      <c r="BN188" s="1218"/>
      <c r="BO188" s="1223"/>
      <c r="BP188" s="1218"/>
      <c r="BQ188" s="493"/>
      <c r="BR188" s="1218"/>
      <c r="BS188" s="1218"/>
      <c r="BT188" s="1223"/>
      <c r="BU188" s="1218"/>
      <c r="BV188" s="493"/>
      <c r="BW188" s="1218"/>
      <c r="BX188" s="1218"/>
      <c r="BY188" s="1223"/>
      <c r="BZ188" s="1218"/>
      <c r="CA188" s="493"/>
      <c r="CB188" s="1218"/>
      <c r="CC188" s="1218"/>
      <c r="CD188" s="1223"/>
      <c r="CE188" s="1218"/>
      <c r="CF188" s="493"/>
      <c r="CG188" s="1218"/>
      <c r="CH188" s="1218"/>
      <c r="CI188" s="1223"/>
      <c r="CJ188" s="1218"/>
      <c r="CK188" s="493"/>
      <c r="CL188" s="1218"/>
      <c r="CM188" s="1218"/>
      <c r="CN188" s="1223"/>
      <c r="CO188" s="1218"/>
      <c r="CP188" s="493"/>
      <c r="CQ188" s="1218"/>
      <c r="CR188" s="1218"/>
      <c r="CS188" s="1223"/>
      <c r="CT188" s="1218"/>
      <c r="CU188" s="493"/>
      <c r="CV188" s="1218"/>
      <c r="CW188" s="1218"/>
      <c r="CX188" s="1223"/>
      <c r="CY188" s="1218">
        <v>0</v>
      </c>
      <c r="CZ188" s="1218">
        <v>0</v>
      </c>
      <c r="DA188" s="1218">
        <v>0</v>
      </c>
      <c r="DB188" s="1218">
        <v>0</v>
      </c>
      <c r="DC188" s="1219">
        <f t="shared" si="389"/>
      </c>
      <c r="DD188" s="1218">
        <v>0</v>
      </c>
      <c r="DE188" s="1218">
        <v>0</v>
      </c>
      <c r="DF188" s="1218">
        <v>0</v>
      </c>
      <c r="DG188" s="1218">
        <v>0</v>
      </c>
      <c r="DH188" s="1219">
        <f t="shared" si="390"/>
      </c>
      <c r="DI188" s="1218">
        <v>0</v>
      </c>
      <c r="DJ188" s="1218">
        <v>0</v>
      </c>
      <c r="DK188" s="1218">
        <v>0</v>
      </c>
      <c r="DL188" s="1218">
        <v>0</v>
      </c>
      <c r="DM188" s="1219">
        <f t="shared" si="391"/>
      </c>
      <c r="DN188" s="1218">
        <v>0</v>
      </c>
      <c r="DO188" s="1218">
        <v>0</v>
      </c>
      <c r="DP188" s="1218">
        <v>0</v>
      </c>
      <c r="DQ188" s="1218">
        <v>0</v>
      </c>
      <c r="DR188" s="1219">
        <f t="shared" si="392"/>
      </c>
      <c r="DS188" s="1218">
        <v>0</v>
      </c>
      <c r="DT188" s="1218">
        <v>0</v>
      </c>
      <c r="DU188" s="1218">
        <v>0</v>
      </c>
      <c r="DV188" s="1218">
        <v>0</v>
      </c>
      <c r="DW188" s="1219">
        <f t="shared" si="397"/>
      </c>
      <c r="DX188" s="1218">
        <v>0</v>
      </c>
      <c r="DY188" s="1218">
        <v>0</v>
      </c>
      <c r="DZ188" s="1218">
        <v>0</v>
      </c>
      <c r="EA188" s="1218">
        <v>0</v>
      </c>
      <c r="EB188" s="1219">
        <f t="shared" si="393"/>
      </c>
      <c r="EC188" s="1218">
        <v>0</v>
      </c>
      <c r="ED188" s="1218">
        <v>0</v>
      </c>
      <c r="EE188" s="1218">
        <v>0</v>
      </c>
      <c r="EF188" s="1218">
        <v>0</v>
      </c>
      <c r="EG188" s="1219">
        <f t="shared" si="399"/>
      </c>
      <c r="EH188" s="1218">
        <v>0</v>
      </c>
      <c r="EI188" s="1218">
        <v>0</v>
      </c>
      <c r="EJ188" s="1218">
        <v>0</v>
      </c>
      <c r="EK188" s="1218">
        <v>0</v>
      </c>
      <c r="EL188" s="1219">
        <f t="shared" si="398"/>
      </c>
      <c r="EM188" s="1218">
        <v>0</v>
      </c>
      <c r="EN188" s="1218">
        <v>0</v>
      </c>
      <c r="EO188" s="1218">
        <v>0</v>
      </c>
      <c r="EP188" s="1218">
        <v>0</v>
      </c>
      <c r="EQ188" s="1219">
        <f t="shared" si="396"/>
      </c>
      <c r="ER188" s="1218">
        <v>0</v>
      </c>
      <c r="ES188" s="1218">
        <v>0</v>
      </c>
      <c r="ET188" s="1518">
        <v>0</v>
      </c>
      <c r="EU188" s="1518">
        <v>0</v>
      </c>
      <c r="EV188" s="1223">
        <f t="shared" si="394"/>
      </c>
      <c r="EW188" s="1218">
        <v>0</v>
      </c>
      <c r="EX188" s="1218">
        <v>0</v>
      </c>
      <c r="EY188" s="1218">
        <v>0</v>
      </c>
      <c r="EZ188" s="1218">
        <v>0</v>
      </c>
      <c r="FA188" s="1223">
        <f t="shared" si="395"/>
      </c>
      <c r="FB188" s="690"/>
      <c r="FC188" s="690"/>
      <c r="FD188" s="690"/>
      <c r="FE188" s="690"/>
      <c r="FF188" s="1175"/>
      <c r="FG188" s="690"/>
      <c r="FH188" s="690"/>
      <c r="FI188" s="690"/>
      <c r="FJ188" s="690"/>
      <c r="FK188" s="1175"/>
      <c r="FL188" s="690"/>
      <c r="FM188" s="690"/>
      <c r="FN188" s="690"/>
      <c r="FO188" s="690"/>
      <c r="FP188" s="1175"/>
      <c r="FQ188" s="690"/>
      <c r="FR188" s="690"/>
      <c r="FS188" s="690"/>
      <c r="FT188" s="690"/>
      <c r="FU188" s="1175"/>
      <c r="FV188" s="690"/>
      <c r="FW188" s="690"/>
      <c r="FX188" s="690"/>
      <c r="FY188" s="690"/>
      <c r="FZ188" s="1175"/>
      <c r="GA188" s="690"/>
      <c r="GB188" s="690"/>
      <c r="GC188" s="690"/>
      <c r="GD188" s="690"/>
      <c r="GE188" s="1175"/>
      <c r="GF188" s="690"/>
      <c r="GG188" s="690"/>
      <c r="GH188" s="690"/>
      <c r="GI188" s="690"/>
      <c r="GJ188" s="1175"/>
    </row>
    <row r="189" spans="1:192" s="461" customFormat="1" ht="12.75" customHeight="1" outlineLevel="2">
      <c r="A189" s="370"/>
      <c r="B189" s="986" t="s">
        <v>1853</v>
      </c>
      <c r="C189" s="493"/>
      <c r="D189" s="493"/>
      <c r="E189" s="493"/>
      <c r="F189" s="493"/>
      <c r="G189" s="1175"/>
      <c r="H189" s="493"/>
      <c r="I189" s="493"/>
      <c r="J189" s="493"/>
      <c r="K189" s="493"/>
      <c r="L189" s="1175"/>
      <c r="M189" s="815"/>
      <c r="N189" s="815"/>
      <c r="O189" s="815"/>
      <c r="P189" s="815"/>
      <c r="Q189" s="1175"/>
      <c r="R189" s="815"/>
      <c r="S189" s="815"/>
      <c r="T189" s="815"/>
      <c r="U189" s="815"/>
      <c r="V189" s="1175"/>
      <c r="W189" s="815"/>
      <c r="X189" s="815"/>
      <c r="Y189" s="815"/>
      <c r="Z189" s="493"/>
      <c r="AA189" s="1175"/>
      <c r="AB189" s="815"/>
      <c r="AC189" s="815"/>
      <c r="AD189" s="815"/>
      <c r="AE189" s="493"/>
      <c r="AF189" s="1175"/>
      <c r="AG189" s="493"/>
      <c r="AH189" s="493"/>
      <c r="AI189" s="493"/>
      <c r="AJ189" s="493"/>
      <c r="AK189" s="1175"/>
      <c r="AL189" s="493"/>
      <c r="AM189" s="493"/>
      <c r="AN189" s="493"/>
      <c r="AO189" s="493"/>
      <c r="AP189" s="1175"/>
      <c r="AQ189" s="493"/>
      <c r="AR189" s="493"/>
      <c r="AS189" s="493"/>
      <c r="AT189" s="493"/>
      <c r="AU189" s="1175"/>
      <c r="AV189" s="493"/>
      <c r="AW189" s="493"/>
      <c r="AX189" s="493"/>
      <c r="AY189" s="493"/>
      <c r="AZ189" s="1175"/>
      <c r="BA189" s="1218"/>
      <c r="BB189" s="493"/>
      <c r="BC189" s="1218"/>
      <c r="BD189" s="1218"/>
      <c r="BE189" s="1223"/>
      <c r="BF189" s="1218"/>
      <c r="BG189" s="493"/>
      <c r="BH189" s="1218"/>
      <c r="BI189" s="1218"/>
      <c r="BJ189" s="1223"/>
      <c r="BK189" s="1218"/>
      <c r="BL189" s="493"/>
      <c r="BM189" s="1218"/>
      <c r="BN189" s="1218"/>
      <c r="BO189" s="1223"/>
      <c r="BP189" s="1218"/>
      <c r="BQ189" s="493"/>
      <c r="BR189" s="1218"/>
      <c r="BS189" s="1218"/>
      <c r="BT189" s="1223"/>
      <c r="BU189" s="1218"/>
      <c r="BV189" s="493"/>
      <c r="BW189" s="1218"/>
      <c r="BX189" s="1218"/>
      <c r="BY189" s="1223"/>
      <c r="BZ189" s="1218"/>
      <c r="CA189" s="493"/>
      <c r="CB189" s="1218"/>
      <c r="CC189" s="1218"/>
      <c r="CD189" s="1223"/>
      <c r="CE189" s="1218"/>
      <c r="CF189" s="493"/>
      <c r="CG189" s="1218"/>
      <c r="CH189" s="1218"/>
      <c r="CI189" s="1223"/>
      <c r="CJ189" s="1218"/>
      <c r="CK189" s="493"/>
      <c r="CL189" s="1218"/>
      <c r="CM189" s="1218"/>
      <c r="CN189" s="1223"/>
      <c r="CO189" s="1218"/>
      <c r="CP189" s="493"/>
      <c r="CQ189" s="1218"/>
      <c r="CR189" s="1218"/>
      <c r="CS189" s="1223"/>
      <c r="CT189" s="1218"/>
      <c r="CU189" s="493"/>
      <c r="CV189" s="1218"/>
      <c r="CW189" s="1218"/>
      <c r="CX189" s="1223"/>
      <c r="CY189" s="1218">
        <v>0</v>
      </c>
      <c r="CZ189" s="1218">
        <v>0</v>
      </c>
      <c r="DA189" s="1218">
        <v>0</v>
      </c>
      <c r="DB189" s="1218">
        <v>0</v>
      </c>
      <c r="DC189" s="1219">
        <f t="shared" si="389"/>
      </c>
      <c r="DD189" s="1218">
        <v>0</v>
      </c>
      <c r="DE189" s="1218">
        <v>0</v>
      </c>
      <c r="DF189" s="1218">
        <v>0</v>
      </c>
      <c r="DG189" s="1218">
        <v>0</v>
      </c>
      <c r="DH189" s="1219">
        <f t="shared" si="390"/>
      </c>
      <c r="DI189" s="1218">
        <v>0</v>
      </c>
      <c r="DJ189" s="1218">
        <v>0</v>
      </c>
      <c r="DK189" s="1218">
        <v>0</v>
      </c>
      <c r="DL189" s="1218">
        <v>0</v>
      </c>
      <c r="DM189" s="1219">
        <f t="shared" si="391"/>
      </c>
      <c r="DN189" s="1218">
        <v>0</v>
      </c>
      <c r="DO189" s="1218">
        <v>0</v>
      </c>
      <c r="DP189" s="1218">
        <v>0</v>
      </c>
      <c r="DQ189" s="1218">
        <v>0</v>
      </c>
      <c r="DR189" s="1219">
        <f t="shared" si="392"/>
      </c>
      <c r="DS189" s="1218">
        <v>0</v>
      </c>
      <c r="DT189" s="1218">
        <v>0</v>
      </c>
      <c r="DU189" s="1218">
        <v>0</v>
      </c>
      <c r="DV189" s="1218">
        <v>0</v>
      </c>
      <c r="DW189" s="1219">
        <f t="shared" si="397"/>
      </c>
      <c r="DX189" s="1218">
        <v>0</v>
      </c>
      <c r="DY189" s="1218">
        <v>0</v>
      </c>
      <c r="DZ189" s="1218">
        <v>0</v>
      </c>
      <c r="EA189" s="1218">
        <v>0</v>
      </c>
      <c r="EB189" s="1219">
        <f t="shared" si="393"/>
      </c>
      <c r="EC189" s="1218">
        <v>0</v>
      </c>
      <c r="ED189" s="1218">
        <v>0</v>
      </c>
      <c r="EE189" s="1218">
        <v>0</v>
      </c>
      <c r="EF189" s="1218">
        <v>0</v>
      </c>
      <c r="EG189" s="1219">
        <f t="shared" si="399"/>
      </c>
      <c r="EH189" s="1218">
        <v>0</v>
      </c>
      <c r="EI189" s="1218">
        <v>0</v>
      </c>
      <c r="EJ189" s="1218">
        <v>0</v>
      </c>
      <c r="EK189" s="1218">
        <v>0</v>
      </c>
      <c r="EL189" s="1219">
        <f t="shared" si="398"/>
      </c>
      <c r="EM189" s="1218">
        <v>0</v>
      </c>
      <c r="EN189" s="1218">
        <v>0</v>
      </c>
      <c r="EO189" s="1218">
        <v>0</v>
      </c>
      <c r="EP189" s="1218">
        <v>0</v>
      </c>
      <c r="EQ189" s="1219">
        <f t="shared" si="396"/>
      </c>
      <c r="ER189" s="1218">
        <v>0</v>
      </c>
      <c r="ES189" s="1218">
        <v>0</v>
      </c>
      <c r="ET189" s="1518">
        <v>0</v>
      </c>
      <c r="EU189" s="1518">
        <v>0</v>
      </c>
      <c r="EV189" s="1223">
        <f t="shared" si="394"/>
      </c>
      <c r="EW189" s="1218">
        <v>0</v>
      </c>
      <c r="EX189" s="1218">
        <v>0</v>
      </c>
      <c r="EY189" s="1218">
        <v>0</v>
      </c>
      <c r="EZ189" s="1218">
        <v>0</v>
      </c>
      <c r="FA189" s="1223">
        <f t="shared" si="395"/>
      </c>
      <c r="FB189" s="690"/>
      <c r="FC189" s="690"/>
      <c r="FD189" s="690"/>
      <c r="FE189" s="690"/>
      <c r="FF189" s="1175"/>
      <c r="FG189" s="690"/>
      <c r="FH189" s="690"/>
      <c r="FI189" s="690"/>
      <c r="FJ189" s="690"/>
      <c r="FK189" s="1175"/>
      <c r="FL189" s="690"/>
      <c r="FM189" s="690"/>
      <c r="FN189" s="690"/>
      <c r="FO189" s="690"/>
      <c r="FP189" s="1175"/>
      <c r="FQ189" s="690"/>
      <c r="FR189" s="690"/>
      <c r="FS189" s="690"/>
      <c r="FT189" s="690"/>
      <c r="FU189" s="1175"/>
      <c r="FV189" s="690"/>
      <c r="FW189" s="690"/>
      <c r="FX189" s="690"/>
      <c r="FY189" s="690"/>
      <c r="FZ189" s="1175"/>
      <c r="GA189" s="690"/>
      <c r="GB189" s="690"/>
      <c r="GC189" s="690"/>
      <c r="GD189" s="690"/>
      <c r="GE189" s="1175"/>
      <c r="GF189" s="690"/>
      <c r="GG189" s="690"/>
      <c r="GH189" s="690"/>
      <c r="GI189" s="690"/>
      <c r="GJ189" s="1175"/>
    </row>
    <row r="190" spans="1:192" s="314" customFormat="1" ht="12.75" customHeight="1" outlineLevel="1">
      <c r="A190" s="793"/>
      <c r="B190" s="621" t="s">
        <v>1842</v>
      </c>
      <c r="C190" s="322"/>
      <c r="D190" s="322"/>
      <c r="E190" s="322"/>
      <c r="F190" s="322"/>
      <c r="G190" s="323"/>
      <c r="H190" s="322"/>
      <c r="I190" s="322"/>
      <c r="J190" s="322"/>
      <c r="K190" s="322"/>
      <c r="L190" s="323"/>
      <c r="M190" s="322"/>
      <c r="N190" s="322"/>
      <c r="O190" s="322"/>
      <c r="P190" s="322"/>
      <c r="Q190" s="323"/>
      <c r="R190" s="322"/>
      <c r="S190" s="322"/>
      <c r="T190" s="322"/>
      <c r="U190" s="322"/>
      <c r="V190" s="323"/>
      <c r="W190" s="322"/>
      <c r="X190" s="322"/>
      <c r="Y190" s="322"/>
      <c r="Z190" s="322"/>
      <c r="AA190" s="323"/>
      <c r="AB190" s="322"/>
      <c r="AC190" s="322"/>
      <c r="AD190" s="322"/>
      <c r="AE190" s="322"/>
      <c r="AF190" s="323"/>
      <c r="AG190" s="322"/>
      <c r="AH190" s="322"/>
      <c r="AI190" s="322"/>
      <c r="AJ190" s="322"/>
      <c r="AK190" s="323"/>
      <c r="AL190" s="322"/>
      <c r="AM190" s="322"/>
      <c r="AN190" s="322"/>
      <c r="AO190" s="322"/>
      <c r="AP190" s="323"/>
      <c r="AQ190" s="322"/>
      <c r="AR190" s="322"/>
      <c r="AS190" s="322"/>
      <c r="AT190" s="322"/>
      <c r="AU190" s="323"/>
      <c r="AV190" s="322"/>
      <c r="AW190" s="322"/>
      <c r="AX190" s="322"/>
      <c r="AY190" s="322"/>
      <c r="AZ190" s="323"/>
      <c r="BA190" s="322"/>
      <c r="BB190" s="322"/>
      <c r="BC190" s="322"/>
      <c r="BD190" s="322"/>
      <c r="BE190" s="323"/>
      <c r="BF190" s="322"/>
      <c r="BG190" s="322"/>
      <c r="BH190" s="322"/>
      <c r="BI190" s="322"/>
      <c r="BJ190" s="323"/>
      <c r="BK190" s="322"/>
      <c r="BL190" s="322"/>
      <c r="BM190" s="322"/>
      <c r="BN190" s="322"/>
      <c r="BO190" s="323"/>
      <c r="BP190" s="322"/>
      <c r="BQ190" s="322"/>
      <c r="BR190" s="322"/>
      <c r="BS190" s="322"/>
      <c r="BT190" s="323"/>
      <c r="BU190" s="322"/>
      <c r="BV190" s="322"/>
      <c r="BW190" s="322"/>
      <c r="BX190" s="322"/>
      <c r="BY190" s="323"/>
      <c r="BZ190" s="322"/>
      <c r="CA190" s="322"/>
      <c r="CB190" s="322"/>
      <c r="CC190" s="322"/>
      <c r="CD190" s="323"/>
      <c r="CE190" s="322"/>
      <c r="CF190" s="322"/>
      <c r="CG190" s="322"/>
      <c r="CH190" s="322"/>
      <c r="CI190" s="323"/>
      <c r="CJ190" s="322"/>
      <c r="CK190" s="322"/>
      <c r="CL190" s="322"/>
      <c r="CM190" s="322"/>
      <c r="CN190" s="323"/>
      <c r="CO190" s="322"/>
      <c r="CP190" s="322"/>
      <c r="CQ190" s="322"/>
      <c r="CR190" s="322"/>
      <c r="CS190" s="323"/>
      <c r="CT190" s="322"/>
      <c r="CU190" s="322"/>
      <c r="CV190" s="322"/>
      <c r="CW190" s="322"/>
      <c r="CX190" s="323"/>
      <c r="CY190" s="322">
        <f t="shared" ref="CY190:ED190" si="400">CY139+SUM(CY181:CY189)</f>
      </c>
      <c r="CZ190" s="322">
        <f t="shared" si="400"/>
      </c>
      <c r="DA190" s="322">
        <f t="shared" si="400"/>
      </c>
      <c r="DB190" s="322">
        <f t="shared" si="400"/>
      </c>
      <c r="DC190" s="323">
        <f t="shared" si="400"/>
      </c>
      <c r="DD190" s="322">
        <f t="shared" si="400"/>
      </c>
      <c r="DE190" s="322">
        <f t="shared" si="400"/>
      </c>
      <c r="DF190" s="322">
        <f t="shared" si="400"/>
      </c>
      <c r="DG190" s="322">
        <f t="shared" si="400"/>
      </c>
      <c r="DH190" s="323">
        <f t="shared" si="400"/>
      </c>
      <c r="DI190" s="322">
        <f t="shared" si="400"/>
      </c>
      <c r="DJ190" s="322">
        <f t="shared" si="400"/>
      </c>
      <c r="DK190" s="322">
        <f t="shared" si="400"/>
      </c>
      <c r="DL190" s="322">
        <f t="shared" si="400"/>
      </c>
      <c r="DM190" s="323">
        <f t="shared" si="400"/>
      </c>
      <c r="DN190" s="322">
        <f t="shared" si="400"/>
      </c>
      <c r="DO190" s="322">
        <f t="shared" si="400"/>
      </c>
      <c r="DP190" s="322">
        <f t="shared" si="400"/>
      </c>
      <c r="DQ190" s="322">
        <f t="shared" si="400"/>
      </c>
      <c r="DR190" s="323">
        <f t="shared" si="400"/>
      </c>
      <c r="DS190" s="322">
        <f t="shared" si="400"/>
      </c>
      <c r="DT190" s="322">
        <f t="shared" si="400"/>
      </c>
      <c r="DU190" s="322">
        <f t="shared" si="400"/>
      </c>
      <c r="DV190" s="322">
        <f t="shared" si="400"/>
      </c>
      <c r="DW190" s="323">
        <f t="shared" si="400"/>
      </c>
      <c r="DX190" s="322">
        <f t="shared" si="400"/>
      </c>
      <c r="DY190" s="322">
        <f t="shared" si="400"/>
      </c>
      <c r="DZ190" s="322">
        <f t="shared" si="400"/>
      </c>
      <c r="EA190" s="322">
        <f t="shared" si="400"/>
      </c>
      <c r="EB190" s="323">
        <f t="shared" si="400"/>
      </c>
      <c r="EC190" s="322">
        <f t="shared" si="400"/>
      </c>
      <c r="ED190" s="322">
        <f t="shared" si="400"/>
      </c>
      <c r="EE190" s="322">
        <f t="shared" ref="EE190:FA190" si="401">EE139+SUM(EE181:EE189)</f>
      </c>
      <c r="EF190" s="322">
        <f t="shared" si="401"/>
      </c>
      <c r="EG190" s="323">
        <f t="shared" si="401"/>
      </c>
      <c r="EH190" s="322">
        <f t="shared" si="401"/>
      </c>
      <c r="EI190" s="322">
        <f t="shared" si="401"/>
      </c>
      <c r="EJ190" s="322">
        <f t="shared" si="401"/>
      </c>
      <c r="EK190" s="322">
        <f t="shared" si="401"/>
      </c>
      <c r="EL190" s="324">
        <f t="shared" si="401"/>
      </c>
      <c r="EM190" s="322">
        <f t="shared" si="401"/>
      </c>
      <c r="EN190" s="322">
        <f t="shared" si="401"/>
      </c>
      <c r="EO190" s="322">
        <f t="shared" si="401"/>
      </c>
      <c r="EP190" s="322">
        <f t="shared" si="401"/>
      </c>
      <c r="EQ190" s="324">
        <f t="shared" si="401"/>
      </c>
      <c r="ER190" s="322">
        <f t="shared" si="401"/>
      </c>
      <c r="ES190" s="322">
        <f t="shared" si="401"/>
      </c>
      <c r="ET190" s="332">
        <f t="shared" si="401"/>
      </c>
      <c r="EU190" s="332">
        <f t="shared" si="401"/>
      </c>
      <c r="EV190" s="324">
        <f t="shared" si="401"/>
      </c>
      <c r="EW190" s="322">
        <f t="shared" si="401"/>
      </c>
      <c r="EX190" s="322">
        <f t="shared" si="401"/>
      </c>
      <c r="EY190" s="332">
        <f t="shared" si="401"/>
      </c>
      <c r="EZ190" s="332">
        <f t="shared" si="401"/>
      </c>
      <c r="FA190" s="324">
        <f t="shared" si="401"/>
      </c>
      <c r="FB190" s="322"/>
      <c r="FC190" s="322"/>
      <c r="FD190" s="322"/>
      <c r="FE190" s="322"/>
      <c r="FF190" s="323"/>
      <c r="FG190" s="322"/>
      <c r="FH190" s="322"/>
      <c r="FI190" s="322"/>
      <c r="FJ190" s="322"/>
      <c r="FK190" s="323"/>
      <c r="FL190" s="322"/>
      <c r="FM190" s="322"/>
      <c r="FN190" s="322"/>
      <c r="FO190" s="322"/>
      <c r="FP190" s="323"/>
      <c r="FQ190" s="322"/>
      <c r="FR190" s="322"/>
      <c r="FS190" s="322"/>
      <c r="FT190" s="322"/>
      <c r="FU190" s="323"/>
      <c r="FV190" s="322"/>
      <c r="FW190" s="322"/>
      <c r="FX190" s="322"/>
      <c r="FY190" s="322"/>
      <c r="FZ190" s="323"/>
      <c r="GA190" s="322"/>
      <c r="GB190" s="322"/>
      <c r="GC190" s="322"/>
      <c r="GD190" s="322"/>
      <c r="GE190" s="323"/>
      <c r="GF190" s="322"/>
      <c r="GG190" s="322"/>
      <c r="GH190" s="322"/>
      <c r="GI190" s="322"/>
      <c r="GJ190" s="323"/>
    </row>
    <row r="191" spans="1:192" s="1227" customFormat="1" ht="12.75" customHeight="1" outlineLevel="1">
      <c r="A191" s="1224"/>
      <c r="B191" s="1228" t="s">
        <v>34</v>
      </c>
      <c r="C191" s="1225" t="str">
        <f>IFERROR(C190/#REF!-1,"")</f>
      </c>
      <c r="D191" s="1225" t="str">
        <f>IFERROR(D190/#REF!-1,"")</f>
      </c>
      <c r="E191" s="1225" t="str">
        <f>IFERROR(E190/#REF!-1,"")</f>
      </c>
      <c r="F191" s="1225" t="str">
        <f t="shared" ref="F191:AK191" si="402">IFERROR(F190/A190-1,"")</f>
      </c>
      <c r="G191" s="1226" t="str">
        <f t="shared" si="402"/>
      </c>
      <c r="H191" s="1225" t="str">
        <f t="shared" si="402"/>
      </c>
      <c r="I191" s="1225" t="str">
        <f t="shared" si="402"/>
      </c>
      <c r="J191" s="1225" t="str">
        <f t="shared" si="402"/>
      </c>
      <c r="K191" s="1225" t="str">
        <f t="shared" si="402"/>
      </c>
      <c r="L191" s="1226" t="str">
        <f t="shared" si="402"/>
      </c>
      <c r="M191" s="1225" t="str">
        <f t="shared" si="402"/>
      </c>
      <c r="N191" s="1225" t="str">
        <f t="shared" si="402"/>
      </c>
      <c r="O191" s="1225" t="str">
        <f t="shared" si="402"/>
      </c>
      <c r="P191" s="1225" t="str">
        <f t="shared" si="402"/>
      </c>
      <c r="Q191" s="1226" t="str">
        <f t="shared" si="402"/>
      </c>
      <c r="R191" s="1225" t="str">
        <f t="shared" si="402"/>
      </c>
      <c r="S191" s="1225" t="str">
        <f t="shared" si="402"/>
      </c>
      <c r="T191" s="1225" t="str">
        <f t="shared" si="402"/>
      </c>
      <c r="U191" s="1225" t="str">
        <f t="shared" si="402"/>
      </c>
      <c r="V191" s="1226" t="str">
        <f t="shared" si="402"/>
      </c>
      <c r="W191" s="1225" t="str">
        <f t="shared" si="402"/>
      </c>
      <c r="X191" s="1225" t="str">
        <f t="shared" si="402"/>
      </c>
      <c r="Y191" s="1225" t="str">
        <f t="shared" si="402"/>
      </c>
      <c r="Z191" s="1225" t="str">
        <f t="shared" si="402"/>
      </c>
      <c r="AA191" s="1226" t="str">
        <f t="shared" si="402"/>
      </c>
      <c r="AB191" s="1225" t="str">
        <f t="shared" si="402"/>
      </c>
      <c r="AC191" s="1225" t="str">
        <f t="shared" si="402"/>
      </c>
      <c r="AD191" s="1225" t="str">
        <f t="shared" si="402"/>
      </c>
      <c r="AE191" s="1225" t="str">
        <f t="shared" si="402"/>
      </c>
      <c r="AF191" s="1226" t="str">
        <f t="shared" si="402"/>
      </c>
      <c r="AG191" s="1225" t="str">
        <f t="shared" si="402"/>
      </c>
      <c r="AH191" s="1225" t="str">
        <f t="shared" si="402"/>
      </c>
      <c r="AI191" s="1225" t="str">
        <f t="shared" si="402"/>
      </c>
      <c r="AJ191" s="1225" t="str">
        <f t="shared" si="402"/>
      </c>
      <c r="AK191" s="1226" t="str">
        <f t="shared" si="402"/>
      </c>
      <c r="AL191" s="1225" t="str">
        <f t="shared" ref="AL191:BQ191" si="403">IFERROR(AL190/AG190-1,"")</f>
      </c>
      <c r="AM191" s="1225" t="str">
        <f t="shared" si="403"/>
      </c>
      <c r="AN191" s="1225" t="str">
        <f t="shared" si="403"/>
      </c>
      <c r="AO191" s="1225" t="str">
        <f t="shared" si="403"/>
      </c>
      <c r="AP191" s="1226" t="str">
        <f t="shared" si="403"/>
      </c>
      <c r="AQ191" s="1225" t="str">
        <f t="shared" si="403"/>
      </c>
      <c r="AR191" s="1225" t="str">
        <f t="shared" si="403"/>
      </c>
      <c r="AS191" s="1225" t="str">
        <f t="shared" si="403"/>
      </c>
      <c r="AT191" s="1225" t="str">
        <f t="shared" si="403"/>
      </c>
      <c r="AU191" s="1226" t="str">
        <f t="shared" si="403"/>
      </c>
      <c r="AV191" s="1225" t="str">
        <f t="shared" si="403"/>
      </c>
      <c r="AW191" s="1225" t="str">
        <f t="shared" si="403"/>
      </c>
      <c r="AX191" s="1225" t="str">
        <f t="shared" si="403"/>
      </c>
      <c r="AY191" s="1225" t="str">
        <f t="shared" si="403"/>
      </c>
      <c r="AZ191" s="1226" t="str">
        <f t="shared" si="403"/>
      </c>
      <c r="BA191" s="1229" t="str">
        <f t="shared" si="403"/>
      </c>
      <c r="BB191" s="1229" t="str">
        <f t="shared" si="403"/>
      </c>
      <c r="BC191" s="1229" t="str">
        <f t="shared" si="403"/>
      </c>
      <c r="BD191" s="1229" t="str">
        <f t="shared" si="403"/>
      </c>
      <c r="BE191" s="1230" t="str">
        <f t="shared" si="403"/>
      </c>
      <c r="BF191" s="1229" t="str">
        <f t="shared" si="403"/>
      </c>
      <c r="BG191" s="1229" t="str">
        <f t="shared" si="403"/>
      </c>
      <c r="BH191" s="1229" t="str">
        <f t="shared" si="403"/>
      </c>
      <c r="BI191" s="1229" t="str">
        <f t="shared" si="403"/>
      </c>
      <c r="BJ191" s="1230" t="str">
        <f t="shared" si="403"/>
      </c>
      <c r="BK191" s="1229" t="str">
        <f t="shared" si="403"/>
      </c>
      <c r="BL191" s="1229" t="str">
        <f t="shared" si="403"/>
      </c>
      <c r="BM191" s="1229" t="str">
        <f t="shared" si="403"/>
      </c>
      <c r="BN191" s="1229" t="str">
        <f t="shared" si="403"/>
      </c>
      <c r="BO191" s="1230" t="str">
        <f t="shared" si="403"/>
      </c>
      <c r="BP191" s="1229" t="str">
        <f t="shared" si="403"/>
      </c>
      <c r="BQ191" s="1229" t="str">
        <f t="shared" si="403"/>
      </c>
      <c r="BR191" s="1229" t="str">
        <f t="shared" ref="BR191:CW191" si="404">IFERROR(BR190/BM190-1,"")</f>
      </c>
      <c r="BS191" s="1229" t="str">
        <f t="shared" si="404"/>
      </c>
      <c r="BT191" s="1230" t="str">
        <f t="shared" si="404"/>
      </c>
      <c r="BU191" s="1229" t="str">
        <f t="shared" si="404"/>
      </c>
      <c r="BV191" s="1229" t="str">
        <f t="shared" si="404"/>
      </c>
      <c r="BW191" s="1229" t="str">
        <f t="shared" si="404"/>
      </c>
      <c r="BX191" s="1229" t="str">
        <f t="shared" si="404"/>
      </c>
      <c r="BY191" s="1230" t="str">
        <f t="shared" si="404"/>
      </c>
      <c r="BZ191" s="1229" t="str">
        <f t="shared" si="404"/>
      </c>
      <c r="CA191" s="1229" t="str">
        <f t="shared" si="404"/>
      </c>
      <c r="CB191" s="1229" t="str">
        <f t="shared" si="404"/>
      </c>
      <c r="CC191" s="1229" t="str">
        <f t="shared" si="404"/>
      </c>
      <c r="CD191" s="1230" t="str">
        <f t="shared" si="404"/>
      </c>
      <c r="CE191" s="1229" t="str">
        <f t="shared" si="404"/>
      </c>
      <c r="CF191" s="1229" t="str">
        <f t="shared" si="404"/>
      </c>
      <c r="CG191" s="1229" t="str">
        <f t="shared" si="404"/>
      </c>
      <c r="CH191" s="1229" t="str">
        <f t="shared" si="404"/>
      </c>
      <c r="CI191" s="1230" t="str">
        <f t="shared" si="404"/>
      </c>
      <c r="CJ191" s="1229" t="str">
        <f t="shared" si="404"/>
      </c>
      <c r="CK191" s="1229" t="str">
        <f t="shared" si="404"/>
      </c>
      <c r="CL191" s="1229" t="str">
        <f t="shared" si="404"/>
      </c>
      <c r="CM191" s="1229" t="str">
        <f t="shared" si="404"/>
      </c>
      <c r="CN191" s="1230" t="str">
        <f t="shared" si="404"/>
      </c>
      <c r="CO191" s="1229" t="str">
        <f t="shared" si="404"/>
      </c>
      <c r="CP191" s="1229" t="str">
        <f t="shared" si="404"/>
      </c>
      <c r="CQ191" s="1229" t="str">
        <f t="shared" si="404"/>
      </c>
      <c r="CR191" s="1229" t="str">
        <f t="shared" si="404"/>
      </c>
      <c r="CS191" s="1230" t="str">
        <f t="shared" si="404"/>
      </c>
      <c r="CT191" s="1229" t="str">
        <f t="shared" si="404"/>
      </c>
      <c r="CU191" s="1229" t="str">
        <f t="shared" si="404"/>
      </c>
      <c r="CV191" s="1229" t="str">
        <f t="shared" si="404"/>
      </c>
      <c r="CW191" s="1229" t="str">
        <f t="shared" si="404"/>
      </c>
      <c r="CX191" s="1230" t="str">
        <f t="shared" ref="CX191:EC191" si="405">IFERROR(CX190/CS190-1,"")</f>
      </c>
      <c r="CY191" s="1229" t="str">
        <f t="shared" si="405"/>
      </c>
      <c r="CZ191" s="1229" t="str">
        <f t="shared" si="405"/>
      </c>
      <c r="DA191" s="1229" t="str">
        <f t="shared" si="405"/>
      </c>
      <c r="DB191" s="1229" t="str">
        <f t="shared" si="405"/>
      </c>
      <c r="DC191" s="1230" t="str">
        <f t="shared" si="405"/>
      </c>
      <c r="DD191" s="1229">
        <f t="shared" si="405"/>
      </c>
      <c r="DE191" s="1229">
        <f t="shared" si="405"/>
      </c>
      <c r="DF191" s="1229">
        <f t="shared" si="405"/>
      </c>
      <c r="DG191" s="1229">
        <f t="shared" si="405"/>
      </c>
      <c r="DH191" s="1230">
        <f t="shared" si="405"/>
      </c>
      <c r="DI191" s="1229">
        <f t="shared" si="405"/>
      </c>
      <c r="DJ191" s="1229">
        <f t="shared" si="405"/>
      </c>
      <c r="DK191" s="1229">
        <f t="shared" si="405"/>
      </c>
      <c r="DL191" s="1229">
        <f t="shared" si="405"/>
      </c>
      <c r="DM191" s="1230">
        <f t="shared" si="405"/>
      </c>
      <c r="DN191" s="1229">
        <f t="shared" si="405"/>
      </c>
      <c r="DO191" s="1229">
        <f t="shared" si="405"/>
      </c>
      <c r="DP191" s="1229">
        <f t="shared" si="405"/>
      </c>
      <c r="DQ191" s="1229">
        <f t="shared" si="405"/>
      </c>
      <c r="DR191" s="1230">
        <f t="shared" si="405"/>
      </c>
      <c r="DS191" s="1229">
        <f t="shared" si="405"/>
      </c>
      <c r="DT191" s="1229">
        <f t="shared" si="405"/>
      </c>
      <c r="DU191" s="1229">
        <f t="shared" si="405"/>
      </c>
      <c r="DV191" s="1229">
        <f t="shared" si="405"/>
      </c>
      <c r="DW191" s="1230">
        <f t="shared" si="405"/>
      </c>
      <c r="DX191" s="1229">
        <f t="shared" si="405"/>
      </c>
      <c r="DY191" s="1229">
        <f t="shared" si="405"/>
      </c>
      <c r="DZ191" s="1229">
        <f t="shared" si="405"/>
      </c>
      <c r="EA191" s="1229">
        <f t="shared" si="405"/>
      </c>
      <c r="EB191" s="1230">
        <f t="shared" si="405"/>
      </c>
      <c r="EC191" s="1229">
        <f t="shared" si="405"/>
      </c>
      <c r="ED191" s="1229">
        <f t="shared" ref="ED191:FA191" si="406">IFERROR(ED190/DY190-1,"")</f>
      </c>
      <c r="EE191" s="1229">
        <f t="shared" si="406"/>
      </c>
      <c r="EF191" s="1229">
        <f t="shared" si="406"/>
      </c>
      <c r="EG191" s="1230">
        <f t="shared" si="406"/>
      </c>
      <c r="EH191" s="1229">
        <f t="shared" si="406"/>
      </c>
      <c r="EI191" s="1229">
        <f t="shared" si="406"/>
      </c>
      <c r="EJ191" s="1229">
        <f t="shared" si="406"/>
      </c>
      <c r="EK191" s="1229">
        <f t="shared" si="406"/>
      </c>
      <c r="EL191" s="1230">
        <f t="shared" si="406"/>
      </c>
      <c r="EM191" s="1229">
        <f t="shared" si="406"/>
      </c>
      <c r="EN191" s="1229">
        <f t="shared" si="406"/>
      </c>
      <c r="EO191" s="1229">
        <f t="shared" si="406"/>
      </c>
      <c r="EP191" s="1229">
        <f t="shared" si="406"/>
      </c>
      <c r="EQ191" s="1230">
        <f t="shared" si="406"/>
      </c>
      <c r="ER191" s="1229">
        <f t="shared" si="406"/>
      </c>
      <c r="ES191" s="1229">
        <f t="shared" si="406"/>
      </c>
      <c r="ET191" s="1519">
        <f t="shared" si="406"/>
      </c>
      <c r="EU191" s="1519">
        <f t="shared" si="406"/>
      </c>
      <c r="EV191" s="1230">
        <f t="shared" si="406"/>
      </c>
      <c r="EW191" s="1229">
        <f t="shared" si="406"/>
      </c>
      <c r="EX191" s="1229">
        <f t="shared" si="406"/>
      </c>
      <c r="EY191" s="1519">
        <f t="shared" si="406"/>
      </c>
      <c r="EZ191" s="1519">
        <f t="shared" si="406"/>
      </c>
      <c r="FA191" s="1230">
        <f t="shared" si="406"/>
      </c>
      <c r="FB191" s="1225"/>
      <c r="FC191" s="1225"/>
      <c r="FD191" s="1225"/>
      <c r="FE191" s="1225"/>
      <c r="FF191" s="1226"/>
      <c r="FG191" s="1225"/>
      <c r="FH191" s="1225"/>
      <c r="FI191" s="1225"/>
      <c r="FJ191" s="1225"/>
      <c r="FK191" s="1226"/>
      <c r="FL191" s="1225"/>
      <c r="FM191" s="1225"/>
      <c r="FN191" s="1225"/>
      <c r="FO191" s="1225"/>
      <c r="FP191" s="1226"/>
      <c r="FQ191" s="1225"/>
      <c r="FR191" s="1225"/>
      <c r="FS191" s="1225"/>
      <c r="FT191" s="1225"/>
      <c r="FU191" s="1226"/>
      <c r="FV191" s="1225"/>
      <c r="FW191" s="1225"/>
      <c r="FX191" s="1225"/>
      <c r="FY191" s="1225"/>
      <c r="FZ191" s="1226"/>
      <c r="GA191" s="1225"/>
      <c r="GB191" s="1225"/>
      <c r="GC191" s="1225"/>
      <c r="GD191" s="1225"/>
      <c r="GE191" s="1226"/>
      <c r="GF191" s="1225"/>
      <c r="GG191" s="1225"/>
      <c r="GH191" s="1225"/>
      <c r="GI191" s="1225"/>
      <c r="GJ191" s="1226"/>
    </row>
    <row r="192" spans="1:192" s="1227" customFormat="1" ht="12.75" customHeight="1" outlineLevel="1">
      <c r="A192" s="1224"/>
      <c r="B192" s="1228" t="s">
        <v>1850</v>
      </c>
      <c r="C192" s="1231"/>
      <c r="D192" s="1231"/>
      <c r="E192" s="1231"/>
      <c r="F192" s="1231"/>
      <c r="G192" s="1232"/>
      <c r="H192" s="1231"/>
      <c r="I192" s="1231"/>
      <c r="J192" s="1231"/>
      <c r="K192" s="1231"/>
      <c r="L192" s="1232"/>
      <c r="M192" s="1231"/>
      <c r="N192" s="1231"/>
      <c r="O192" s="1231"/>
      <c r="P192" s="1231"/>
      <c r="Q192" s="1232"/>
      <c r="R192" s="1231"/>
      <c r="S192" s="1231"/>
      <c r="T192" s="1231"/>
      <c r="U192" s="1231"/>
      <c r="V192" s="1232"/>
      <c r="W192" s="1231"/>
      <c r="X192" s="1231"/>
      <c r="Y192" s="1231"/>
      <c r="Z192" s="1231"/>
      <c r="AA192" s="1232"/>
      <c r="AB192" s="1231"/>
      <c r="AC192" s="1231"/>
      <c r="AD192" s="1231"/>
      <c r="AE192" s="1231"/>
      <c r="AF192" s="1232"/>
      <c r="AG192" s="1231"/>
      <c r="AH192" s="1231"/>
      <c r="AI192" s="1231"/>
      <c r="AJ192" s="1231"/>
      <c r="AK192" s="1232"/>
      <c r="AL192" s="1231"/>
      <c r="AM192" s="1231"/>
      <c r="AN192" s="1231"/>
      <c r="AO192" s="1231"/>
      <c r="AP192" s="1232"/>
      <c r="AQ192" s="1231"/>
      <c r="AR192" s="1231"/>
      <c r="AS192" s="1231"/>
      <c r="AT192" s="1231"/>
      <c r="AU192" s="1232"/>
      <c r="AV192" s="1231"/>
      <c r="AW192" s="1231"/>
      <c r="AX192" s="1231"/>
      <c r="AY192" s="1231"/>
      <c r="AZ192" s="1232"/>
      <c r="BA192" s="1233"/>
      <c r="BB192" s="1233"/>
      <c r="BC192" s="1233"/>
      <c r="BD192" s="1233"/>
      <c r="BE192" s="1234"/>
      <c r="BF192" s="1233"/>
      <c r="BG192" s="1233"/>
      <c r="BH192" s="1233"/>
      <c r="BI192" s="1233"/>
      <c r="BJ192" s="1234"/>
      <c r="BK192" s="1233"/>
      <c r="BL192" s="1233"/>
      <c r="BM192" s="1233"/>
      <c r="BN192" s="1233"/>
      <c r="BO192" s="1234"/>
      <c r="BP192" s="1233"/>
      <c r="BQ192" s="1233"/>
      <c r="BR192" s="1233"/>
      <c r="BS192" s="1233"/>
      <c r="BT192" s="1234"/>
      <c r="BU192" s="1233"/>
      <c r="BV192" s="1233"/>
      <c r="BW192" s="1233"/>
      <c r="BX192" s="1233"/>
      <c r="BY192" s="1234"/>
      <c r="BZ192" s="1233"/>
      <c r="CA192" s="1233"/>
      <c r="CB192" s="1233"/>
      <c r="CC192" s="1233"/>
      <c r="CD192" s="1234"/>
      <c r="CE192" s="1233"/>
      <c r="CF192" s="1233"/>
      <c r="CG192" s="1233"/>
      <c r="CH192" s="1233"/>
      <c r="CI192" s="1234"/>
      <c r="CJ192" s="1233"/>
      <c r="CK192" s="1233"/>
      <c r="CL192" s="1233"/>
      <c r="CM192" s="1233"/>
      <c r="CN192" s="1234"/>
      <c r="CO192" s="1233"/>
      <c r="CP192" s="1233"/>
      <c r="CQ192" s="1233"/>
      <c r="CR192" s="1233"/>
      <c r="CS192" s="1234"/>
      <c r="CT192" s="1233"/>
      <c r="CU192" s="1233"/>
      <c r="CV192" s="1233"/>
      <c r="CW192" s="1233"/>
      <c r="CX192" s="1234"/>
      <c r="CY192" s="1233"/>
      <c r="CZ192" s="1233"/>
      <c r="DA192" s="1233"/>
      <c r="DB192" s="1233">
        <v>-0.03</v>
      </c>
      <c r="DC192" s="1234"/>
      <c r="DD192" s="1233">
        <v>0.11</v>
      </c>
      <c r="DE192" s="1233">
        <v>0.2</v>
      </c>
      <c r="DF192" s="1233">
        <v>0.06</v>
      </c>
      <c r="DG192" s="1233">
        <v>0.23</v>
      </c>
      <c r="DH192" s="1234"/>
      <c r="DI192" s="1233">
        <v>0.1</v>
      </c>
      <c r="DJ192" s="1233">
        <v>0.1</v>
      </c>
      <c r="DK192" s="1233">
        <v>0.16</v>
      </c>
      <c r="DL192" s="1233">
        <v>0.42</v>
      </c>
      <c r="DM192" s="1234"/>
      <c r="DN192" s="1233">
        <v>0.16</v>
      </c>
      <c r="DO192" s="1233">
        <v>0.2</v>
      </c>
      <c r="DP192" s="1233">
        <v>0.31</v>
      </c>
      <c r="DQ192" s="1233">
        <v>0.02</v>
      </c>
      <c r="DR192" s="1234"/>
      <c r="DS192" s="1233">
        <v>0.32</v>
      </c>
      <c r="DT192" s="1233">
        <v>0.13</v>
      </c>
      <c r="DU192" s="1233">
        <v>0.2</v>
      </c>
      <c r="DV192" s="1233">
        <v>0.24</v>
      </c>
      <c r="DW192" s="1234"/>
      <c r="DX192" s="1233">
        <v>0.25</v>
      </c>
      <c r="DY192" s="1233">
        <v>0.39</v>
      </c>
      <c r="DZ192" s="1233">
        <v>0.26</v>
      </c>
      <c r="EA192" s="1233">
        <v>0.08</v>
      </c>
      <c r="EB192" s="1234"/>
      <c r="EC192" s="1233">
        <v>0.28000000000000003</v>
      </c>
      <c r="ED192" s="1233">
        <v>0.28999999999999998</v>
      </c>
      <c r="EE192" s="1233">
        <v>0.32</v>
      </c>
      <c r="EF192" s="1233">
        <v>0.4</v>
      </c>
      <c r="EG192" s="1234">
        <v>0.33</v>
      </c>
      <c r="EH192" s="1233">
        <v>0.21</v>
      </c>
      <c r="EI192" s="1233">
        <v>0.17</v>
      </c>
      <c r="EJ192" s="1233">
        <v>0.16</v>
      </c>
      <c r="EK192" s="1233"/>
      <c r="EL192" s="1234"/>
      <c r="EM192" s="1233">
        <v>0.1</v>
      </c>
      <c r="EN192" s="1233">
        <v>0.01</v>
      </c>
      <c r="EO192" s="1233">
        <v>0.14000000000000001</v>
      </c>
      <c r="EP192" s="1233"/>
      <c r="EQ192" s="1234">
        <v>0.11</v>
      </c>
      <c r="ER192" s="1233">
        <v>0.26</v>
      </c>
      <c r="ES192" s="1233">
        <v>0.23</v>
      </c>
      <c r="ET192" s="1520">
        <v>0.2</v>
      </c>
      <c r="EU192" s="1520"/>
      <c r="EV192" s="1234">
        <v>0.2</v>
      </c>
      <c r="EW192" s="1520">
        <v>0.1</v>
      </c>
      <c r="EX192" s="1520">
        <v>0.1</v>
      </c>
      <c r="EY192" s="1520">
        <v>0.19</v>
      </c>
      <c r="EZ192" s="1520">
        <v>0.22</v>
      </c>
      <c r="FA192" s="1234">
        <v>0.15</v>
      </c>
      <c r="FB192" s="1225"/>
      <c r="FC192" s="1225"/>
      <c r="FD192" s="1225"/>
      <c r="FE192" s="1225"/>
      <c r="FF192" s="1226"/>
      <c r="FG192" s="1225"/>
      <c r="FH192" s="1225"/>
      <c r="FI192" s="1225"/>
      <c r="FJ192" s="1225"/>
      <c r="FK192" s="1226"/>
      <c r="FL192" s="1225"/>
      <c r="FM192" s="1225"/>
      <c r="FN192" s="1225"/>
      <c r="FO192" s="1225"/>
      <c r="FP192" s="1226"/>
      <c r="FQ192" s="1225"/>
      <c r="FR192" s="1225"/>
      <c r="FS192" s="1225"/>
      <c r="FT192" s="1225"/>
      <c r="FU192" s="1226"/>
      <c r="FV192" s="1225"/>
      <c r="FW192" s="1225"/>
      <c r="FX192" s="1225"/>
      <c r="FY192" s="1225"/>
      <c r="FZ192" s="1226"/>
      <c r="GA192" s="1225"/>
      <c r="GB192" s="1225"/>
      <c r="GC192" s="1225"/>
      <c r="GD192" s="1225"/>
      <c r="GE192" s="1226"/>
      <c r="GF192" s="1225"/>
      <c r="GG192" s="1225"/>
      <c r="GH192" s="1225"/>
      <c r="GI192" s="1225"/>
      <c r="GJ192" s="1226"/>
    </row>
    <row r="193" spans="1:192" s="314" customFormat="1" ht="12.75" customHeight="1" outlineLevel="1">
      <c r="A193" s="274"/>
      <c r="B193" s="701"/>
      <c r="C193" s="275"/>
      <c r="D193" s="275"/>
      <c r="E193" s="275"/>
      <c r="F193" s="275"/>
      <c r="G193" s="325"/>
      <c r="H193" s="275"/>
      <c r="I193" s="275"/>
      <c r="J193" s="275"/>
      <c r="K193" s="275"/>
      <c r="L193" s="325"/>
      <c r="M193" s="927"/>
      <c r="N193" s="927"/>
      <c r="O193" s="927"/>
      <c r="P193" s="927"/>
      <c r="Q193" s="325"/>
      <c r="R193" s="927"/>
      <c r="S193" s="927"/>
      <c r="T193" s="927"/>
      <c r="U193" s="927"/>
      <c r="V193" s="325"/>
      <c r="W193" s="927"/>
      <c r="X193" s="927"/>
      <c r="Y193" s="927"/>
      <c r="Z193" s="275"/>
      <c r="AA193" s="325"/>
      <c r="AB193" s="927"/>
      <c r="AC193" s="927"/>
      <c r="AD193" s="927"/>
      <c r="AE193" s="275"/>
      <c r="AF193" s="325"/>
      <c r="AG193" s="275"/>
      <c r="AH193" s="275"/>
      <c r="AI193" s="275"/>
      <c r="AJ193" s="275"/>
      <c r="AK193" s="325"/>
      <c r="AL193" s="275"/>
      <c r="AM193" s="275"/>
      <c r="AN193" s="275"/>
      <c r="AO193" s="275"/>
      <c r="AP193" s="325"/>
      <c r="AQ193" s="275"/>
      <c r="AR193" s="275"/>
      <c r="AS193" s="275"/>
      <c r="AT193" s="275"/>
      <c r="AU193" s="325"/>
      <c r="AV193" s="275"/>
      <c r="AW193" s="275"/>
      <c r="AX193" s="275"/>
      <c r="AY193" s="275"/>
      <c r="AZ193" s="325"/>
      <c r="BA193" s="275"/>
      <c r="BB193" s="275"/>
      <c r="BC193" s="275"/>
      <c r="BD193" s="275"/>
      <c r="BE193" s="325"/>
      <c r="BF193" s="275"/>
      <c r="BG193" s="275"/>
      <c r="BH193" s="275"/>
      <c r="BI193" s="275"/>
      <c r="BJ193" s="325"/>
      <c r="BK193" s="275"/>
      <c r="BL193" s="275"/>
      <c r="BM193" s="275"/>
      <c r="BN193" s="275"/>
      <c r="BO193" s="325"/>
      <c r="BP193" s="275"/>
      <c r="BQ193" s="275"/>
      <c r="BR193" s="275"/>
      <c r="BS193" s="275"/>
      <c r="BT193" s="325"/>
      <c r="BU193" s="275"/>
      <c r="BV193" s="275"/>
      <c r="BW193" s="275"/>
      <c r="BX193" s="275"/>
      <c r="BY193" s="325"/>
      <c r="BZ193" s="275"/>
      <c r="CA193" s="275"/>
      <c r="CB193" s="275"/>
      <c r="CC193" s="275"/>
      <c r="CD193" s="325"/>
      <c r="CE193" s="275"/>
      <c r="CF193" s="275"/>
      <c r="CG193" s="275"/>
      <c r="CH193" s="275"/>
      <c r="CI193" s="325"/>
      <c r="CJ193" s="275"/>
      <c r="CK193" s="275"/>
      <c r="CL193" s="275"/>
      <c r="CM193" s="275"/>
      <c r="CN193" s="325"/>
      <c r="CO193" s="275"/>
      <c r="CP193" s="275"/>
      <c r="CQ193" s="275"/>
      <c r="CR193" s="275"/>
      <c r="CS193" s="325"/>
      <c r="CT193" s="275"/>
      <c r="CU193" s="275"/>
      <c r="CV193" s="275"/>
      <c r="CW193" s="275"/>
      <c r="CX193" s="325"/>
      <c r="CY193" s="275"/>
      <c r="CZ193" s="275"/>
      <c r="DA193" s="275"/>
      <c r="DB193" s="275"/>
      <c r="DC193" s="325"/>
      <c r="DD193" s="275"/>
      <c r="DE193" s="275"/>
      <c r="DF193" s="275"/>
      <c r="DG193" s="275"/>
      <c r="DH193" s="325"/>
      <c r="DI193" s="275"/>
      <c r="DJ193" s="275"/>
      <c r="DK193" s="275"/>
      <c r="DL193" s="275"/>
      <c r="DM193" s="325"/>
      <c r="DN193" s="275"/>
      <c r="DO193" s="275"/>
      <c r="DP193" s="275"/>
      <c r="DQ193" s="275"/>
      <c r="DR193" s="325"/>
      <c r="DS193" s="275"/>
      <c r="DT193" s="275"/>
      <c r="DU193" s="275"/>
      <c r="DV193" s="275"/>
      <c r="DW193" s="325"/>
      <c r="DX193" s="275"/>
      <c r="DY193" s="275"/>
      <c r="DZ193" s="275"/>
      <c r="EA193" s="275"/>
      <c r="EB193" s="325"/>
      <c r="EC193" s="275"/>
      <c r="ED193" s="275"/>
      <c r="EE193" s="275"/>
      <c r="EF193" s="275"/>
      <c r="EG193" s="1198"/>
      <c r="EH193" s="275"/>
      <c r="EI193" s="275"/>
      <c r="EJ193" s="275"/>
      <c r="EK193" s="275"/>
      <c r="EL193" s="1197"/>
      <c r="EM193" s="275"/>
      <c r="EN193" s="275"/>
      <c r="EO193" s="275"/>
      <c r="EP193" s="275"/>
      <c r="EQ193" s="1197"/>
      <c r="ER193" s="275"/>
      <c r="ES193" s="275"/>
      <c r="ET193" s="1517"/>
      <c r="EU193" s="927"/>
      <c r="EV193" s="325"/>
      <c r="EW193" s="697"/>
      <c r="EX193" s="275"/>
      <c r="EY193" s="275"/>
      <c r="EZ193" s="697"/>
      <c r="FA193" s="325"/>
      <c r="FB193" s="697"/>
      <c r="FC193" s="697"/>
      <c r="FD193" s="697"/>
      <c r="FE193" s="697"/>
      <c r="FF193" s="325"/>
      <c r="FG193" s="697"/>
      <c r="FH193" s="697"/>
      <c r="FI193" s="697"/>
      <c r="FJ193" s="697"/>
      <c r="FK193" s="325"/>
      <c r="FL193" s="697"/>
      <c r="FM193" s="697"/>
      <c r="FN193" s="697"/>
      <c r="FO193" s="697"/>
      <c r="FP193" s="325"/>
      <c r="FQ193" s="697"/>
      <c r="FR193" s="697"/>
      <c r="FS193" s="697"/>
      <c r="FT193" s="697"/>
      <c r="FU193" s="325"/>
      <c r="FV193" s="697"/>
      <c r="FW193" s="697"/>
      <c r="FX193" s="697"/>
      <c r="FY193" s="697"/>
      <c r="FZ193" s="325"/>
      <c r="GA193" s="697"/>
      <c r="GB193" s="697"/>
      <c r="GC193" s="697"/>
      <c r="GD193" s="697"/>
      <c r="GE193" s="325"/>
      <c r="GF193" s="697"/>
      <c r="GG193" s="697"/>
      <c r="GH193" s="697"/>
      <c r="GI193" s="697"/>
      <c r="GJ193" s="325"/>
    </row>
    <row r="194" spans="1:192" ht="12.75" customHeight="1" outlineLevel="2">
      <c r="B194" s="986" t="s">
        <v>1840</v>
      </c>
      <c r="C194" s="1214"/>
      <c r="D194" s="1214"/>
      <c r="E194" s="1214"/>
      <c r="F194" s="1214"/>
      <c r="G194" s="1215"/>
      <c r="H194" s="1214"/>
      <c r="I194" s="1214"/>
      <c r="J194" s="1214"/>
      <c r="K194" s="1214"/>
      <c r="L194" s="1215"/>
      <c r="M194" s="1214"/>
      <c r="N194" s="1214"/>
      <c r="O194" s="1214"/>
      <c r="P194" s="1214"/>
      <c r="Q194" s="1215"/>
      <c r="R194" s="1214"/>
      <c r="S194" s="1214"/>
      <c r="T194" s="1214"/>
      <c r="U194" s="1214"/>
      <c r="V194" s="1215"/>
      <c r="W194" s="1214"/>
      <c r="X194" s="1214"/>
      <c r="Y194" s="1214"/>
      <c r="Z194" s="1214"/>
      <c r="AA194" s="1215"/>
      <c r="AB194" s="1214"/>
      <c r="AC194" s="1214"/>
      <c r="AD194" s="1214"/>
      <c r="AE194" s="1214"/>
      <c r="AF194" s="1215"/>
      <c r="AG194" s="1214"/>
      <c r="AH194" s="1214"/>
      <c r="AI194" s="1214"/>
      <c r="AJ194" s="1214"/>
      <c r="AK194" s="1215"/>
      <c r="AL194" s="1214"/>
      <c r="AM194" s="1214"/>
      <c r="AN194" s="1214"/>
      <c r="AO194" s="1214"/>
      <c r="AP194" s="1215"/>
      <c r="AQ194" s="1214"/>
      <c r="AR194" s="1214"/>
      <c r="AS194" s="1214"/>
      <c r="AT194" s="1214"/>
      <c r="AU194" s="1215"/>
      <c r="AV194" s="1214"/>
      <c r="AW194" s="1214"/>
      <c r="AX194" s="1214"/>
      <c r="AY194" s="1214"/>
      <c r="AZ194" s="1215"/>
      <c r="BA194" s="1218"/>
      <c r="BB194" s="1218"/>
      <c r="BC194" s="1218"/>
      <c r="BD194" s="1218"/>
      <c r="BE194" s="1219"/>
      <c r="BF194" s="1218"/>
      <c r="BG194" s="1218"/>
      <c r="BH194" s="1218"/>
      <c r="BI194" s="1218"/>
      <c r="BJ194" s="1219"/>
      <c r="BK194" s="1218"/>
      <c r="BL194" s="1218"/>
      <c r="BM194" s="1218"/>
      <c r="BN194" s="1218"/>
      <c r="BO194" s="1219"/>
      <c r="BP194" s="1218"/>
      <c r="BQ194" s="1218"/>
      <c r="BR194" s="1218"/>
      <c r="BS194" s="1218"/>
      <c r="BT194" s="1219"/>
      <c r="BU194" s="1218"/>
      <c r="BV194" s="1218"/>
      <c r="BW194" s="1218"/>
      <c r="BX194" s="1218"/>
      <c r="BY194" s="1219"/>
      <c r="BZ194" s="1218"/>
      <c r="CA194" s="1218"/>
      <c r="CB194" s="1218"/>
      <c r="CC194" s="1218"/>
      <c r="CD194" s="1219"/>
      <c r="CE194" s="1218"/>
      <c r="CF194" s="1218"/>
      <c r="CG194" s="1218"/>
      <c r="CH194" s="1218"/>
      <c r="CI194" s="1219"/>
      <c r="CJ194" s="1218"/>
      <c r="CK194" s="1218"/>
      <c r="CL194" s="1218"/>
      <c r="CM194" s="1218"/>
      <c r="CN194" s="1219"/>
      <c r="CO194" s="1218"/>
      <c r="CP194" s="1218"/>
      <c r="CQ194" s="1218"/>
      <c r="CR194" s="1218"/>
      <c r="CS194" s="1219"/>
      <c r="CT194" s="1218"/>
      <c r="CU194" s="1218"/>
      <c r="CV194" s="1218"/>
      <c r="CW194" s="1218"/>
      <c r="CX194" s="1219"/>
      <c r="CY194" s="1218">
        <v>0</v>
      </c>
      <c r="CZ194" s="1218">
        <v>0</v>
      </c>
      <c r="DA194" s="1218">
        <v>0</v>
      </c>
      <c r="DB194" s="1218">
        <v>0</v>
      </c>
      <c r="DC194" s="1219">
        <f t="shared" ref="DC194:DC202" si="407">SUM(CY194:DB194)</f>
      </c>
      <c r="DD194" s="1218">
        <v>0</v>
      </c>
      <c r="DE194" s="1218">
        <v>0</v>
      </c>
      <c r="DF194" s="1218">
        <v>0</v>
      </c>
      <c r="DG194" s="1218">
        <v>0</v>
      </c>
      <c r="DH194" s="1219">
        <f t="shared" ref="DH194:DH202" si="408">SUM(DD194:DG194)</f>
      </c>
      <c r="DI194" s="1218">
        <v>0</v>
      </c>
      <c r="DJ194" s="1218">
        <v>0</v>
      </c>
      <c r="DK194" s="1218">
        <v>0</v>
      </c>
      <c r="DL194" s="1218">
        <v>0</v>
      </c>
      <c r="DM194" s="1219">
        <f t="shared" ref="DM194:DM202" si="409">SUM(DI194:DL194)</f>
      </c>
      <c r="DN194" s="1218">
        <v>0</v>
      </c>
      <c r="DO194" s="1218">
        <v>0</v>
      </c>
      <c r="DP194" s="1218">
        <v>0</v>
      </c>
      <c r="DQ194" s="1218">
        <v>0</v>
      </c>
      <c r="DR194" s="1219">
        <f t="shared" ref="DR194:DR202" si="410">SUM(DN194:DQ194)</f>
      </c>
      <c r="DS194" s="1218">
        <v>0</v>
      </c>
      <c r="DT194" s="1218">
        <v>0</v>
      </c>
      <c r="DU194" s="1218">
        <v>0</v>
      </c>
      <c r="DV194" s="1218">
        <v>0</v>
      </c>
      <c r="DW194" s="1219">
        <f>SUM(DS194:DV194)</f>
      </c>
      <c r="DX194" s="1218">
        <v>0</v>
      </c>
      <c r="DY194" s="1218">
        <v>0</v>
      </c>
      <c r="DZ194" s="1218">
        <v>0</v>
      </c>
      <c r="EA194" s="1218">
        <v>0</v>
      </c>
      <c r="EB194" s="1219">
        <f t="shared" ref="EB194:EB202" si="411">SUM(DX194:EA194)</f>
      </c>
      <c r="EC194" s="1218">
        <v>0</v>
      </c>
      <c r="ED194" s="1218">
        <v>0</v>
      </c>
      <c r="EE194" s="1218">
        <v>0</v>
      </c>
      <c r="EF194" s="1218">
        <v>0</v>
      </c>
      <c r="EG194" s="1219">
        <f>SUM(EC194:EF194)</f>
      </c>
      <c r="EH194" s="1218">
        <v>0</v>
      </c>
      <c r="EI194" s="1218">
        <v>0</v>
      </c>
      <c r="EJ194" s="1218">
        <v>0</v>
      </c>
      <c r="EK194" s="1218">
        <v>0</v>
      </c>
      <c r="EL194" s="1219">
        <f>SUM(EH194:EK194)</f>
      </c>
      <c r="EM194" s="1218">
        <v>0</v>
      </c>
      <c r="EN194" s="1214">
        <v>0.12</v>
      </c>
      <c r="EO194" s="1218">
        <v>0</v>
      </c>
      <c r="EP194" s="1218">
        <v>0</v>
      </c>
      <c r="EQ194" s="1217">
        <v>0.13</v>
      </c>
      <c r="ER194" s="1218">
        <v>0</v>
      </c>
      <c r="ES194" s="1218">
        <v>0</v>
      </c>
      <c r="ET194" s="1518">
        <v>0</v>
      </c>
      <c r="EU194" s="1518">
        <v>0</v>
      </c>
      <c r="EV194" s="1223">
        <f t="shared" ref="EV194:EV202" si="412">SUM(ER194:EU194)</f>
      </c>
      <c r="EW194" s="1218">
        <v>0</v>
      </c>
      <c r="EX194" s="493">
        <v>0</v>
      </c>
      <c r="EY194" s="493">
        <v>0</v>
      </c>
      <c r="EZ194" s="493">
        <v>0</v>
      </c>
      <c r="FA194" s="1223">
        <f t="shared" ref="FA194:FA202" si="413">SUM(EW194:EZ194)</f>
      </c>
      <c r="FB194" s="299"/>
      <c r="FC194" s="299"/>
      <c r="FD194" s="299"/>
      <c r="FE194" s="299"/>
      <c r="FF194" s="300"/>
      <c r="FG194" s="299"/>
      <c r="FH194" s="299"/>
      <c r="FI194" s="299"/>
      <c r="FJ194" s="299"/>
      <c r="FK194" s="300"/>
      <c r="FL194" s="299"/>
      <c r="FM194" s="299"/>
      <c r="FN194" s="299"/>
      <c r="FO194" s="299"/>
      <c r="FP194" s="300"/>
      <c r="FQ194" s="299"/>
      <c r="FR194" s="299"/>
      <c r="FS194" s="299"/>
      <c r="FT194" s="299"/>
      <c r="FU194" s="300"/>
      <c r="FV194" s="299"/>
      <c r="FW194" s="299"/>
      <c r="FX194" s="299"/>
      <c r="FY194" s="299"/>
      <c r="FZ194" s="300"/>
      <c r="GA194" s="299"/>
      <c r="GB194" s="299"/>
      <c r="GC194" s="299"/>
      <c r="GD194" s="299"/>
      <c r="GE194" s="300"/>
      <c r="GF194" s="299"/>
      <c r="GG194" s="299"/>
      <c r="GH194" s="299"/>
      <c r="GI194" s="299"/>
      <c r="GJ194" s="300"/>
    </row>
    <row r="195" spans="1:192" ht="12.75" customHeight="1" outlineLevel="2">
      <c r="B195" s="986" t="s">
        <v>1844</v>
      </c>
      <c r="C195" s="1214"/>
      <c r="D195" s="1214"/>
      <c r="E195" s="1214"/>
      <c r="F195" s="1214"/>
      <c r="G195" s="1215"/>
      <c r="H195" s="1214"/>
      <c r="I195" s="1214"/>
      <c r="J195" s="1214"/>
      <c r="K195" s="1214"/>
      <c r="L195" s="1215"/>
      <c r="M195" s="1214"/>
      <c r="N195" s="1214"/>
      <c r="O195" s="1214"/>
      <c r="P195" s="1214"/>
      <c r="Q195" s="1215"/>
      <c r="R195" s="1214"/>
      <c r="S195" s="1214"/>
      <c r="T195" s="1214"/>
      <c r="U195" s="1214"/>
      <c r="V195" s="1215"/>
      <c r="W195" s="1214"/>
      <c r="X195" s="1214"/>
      <c r="Y195" s="1214"/>
      <c r="Z195" s="1214"/>
      <c r="AA195" s="1215"/>
      <c r="AB195" s="1214"/>
      <c r="AC195" s="1214"/>
      <c r="AD195" s="1214"/>
      <c r="AE195" s="1214"/>
      <c r="AF195" s="1215"/>
      <c r="AG195" s="1214"/>
      <c r="AH195" s="1214"/>
      <c r="AI195" s="1214"/>
      <c r="AJ195" s="1214"/>
      <c r="AK195" s="1215"/>
      <c r="AL195" s="1214"/>
      <c r="AM195" s="1214"/>
      <c r="AN195" s="1214"/>
      <c r="AO195" s="1214"/>
      <c r="AP195" s="1215"/>
      <c r="AQ195" s="1214"/>
      <c r="AR195" s="1214"/>
      <c r="AS195" s="1214"/>
      <c r="AT195" s="1214"/>
      <c r="AU195" s="1215"/>
      <c r="AV195" s="1214"/>
      <c r="AW195" s="1214"/>
      <c r="AX195" s="1214"/>
      <c r="AY195" s="1214"/>
      <c r="AZ195" s="1215"/>
      <c r="BA195" s="1218"/>
      <c r="BB195" s="1218"/>
      <c r="BC195" s="1218"/>
      <c r="BD195" s="1218"/>
      <c r="BE195" s="1219"/>
      <c r="BF195" s="1218"/>
      <c r="BG195" s="1218"/>
      <c r="BH195" s="1218"/>
      <c r="BI195" s="1218"/>
      <c r="BJ195" s="1219"/>
      <c r="BK195" s="1218"/>
      <c r="BL195" s="1218"/>
      <c r="BM195" s="1218"/>
      <c r="BN195" s="1218"/>
      <c r="BO195" s="1219"/>
      <c r="BP195" s="1218"/>
      <c r="BQ195" s="1218"/>
      <c r="BR195" s="1218"/>
      <c r="BS195" s="1218"/>
      <c r="BT195" s="1219"/>
      <c r="BU195" s="1218"/>
      <c r="BV195" s="1218"/>
      <c r="BW195" s="1218"/>
      <c r="BX195" s="1218"/>
      <c r="BY195" s="1219"/>
      <c r="BZ195" s="1218"/>
      <c r="CA195" s="1218"/>
      <c r="CB195" s="1218"/>
      <c r="CC195" s="1218"/>
      <c r="CD195" s="1219"/>
      <c r="CE195" s="1218"/>
      <c r="CF195" s="1218"/>
      <c r="CG195" s="1218"/>
      <c r="CH195" s="1218"/>
      <c r="CI195" s="1219"/>
      <c r="CJ195" s="1218"/>
      <c r="CK195" s="1218"/>
      <c r="CL195" s="1218"/>
      <c r="CM195" s="1218"/>
      <c r="CN195" s="1219"/>
      <c r="CO195" s="1218"/>
      <c r="CP195" s="1218"/>
      <c r="CQ195" s="1218"/>
      <c r="CR195" s="1218"/>
      <c r="CS195" s="1219"/>
      <c r="CT195" s="1218"/>
      <c r="CU195" s="1218"/>
      <c r="CV195" s="1218"/>
      <c r="CW195" s="1218"/>
      <c r="CX195" s="1219"/>
      <c r="CY195" s="1218">
        <v>0</v>
      </c>
      <c r="CZ195" s="1218">
        <v>0</v>
      </c>
      <c r="DA195" s="1218">
        <v>0</v>
      </c>
      <c r="DB195" s="1218">
        <v>0</v>
      </c>
      <c r="DC195" s="1219">
        <f t="shared" si="407"/>
      </c>
      <c r="DD195" s="1218">
        <v>0</v>
      </c>
      <c r="DE195" s="1218">
        <v>0</v>
      </c>
      <c r="DF195" s="1218">
        <v>0</v>
      </c>
      <c r="DG195" s="1218">
        <v>0</v>
      </c>
      <c r="DH195" s="1219">
        <f t="shared" si="408"/>
      </c>
      <c r="DI195" s="1218">
        <v>0</v>
      </c>
      <c r="DJ195" s="1218">
        <v>0</v>
      </c>
      <c r="DK195" s="1218">
        <v>0</v>
      </c>
      <c r="DL195" s="1218">
        <v>0</v>
      </c>
      <c r="DM195" s="1219">
        <f t="shared" si="409"/>
      </c>
      <c r="DN195" s="1218">
        <v>0</v>
      </c>
      <c r="DO195" s="1218">
        <v>0</v>
      </c>
      <c r="DP195" s="1218">
        <v>0</v>
      </c>
      <c r="DQ195" s="1218">
        <v>0</v>
      </c>
      <c r="DR195" s="1219">
        <f t="shared" si="410"/>
      </c>
      <c r="DS195" s="1218">
        <v>0</v>
      </c>
      <c r="DT195" s="1218">
        <v>0</v>
      </c>
      <c r="DU195" s="1218">
        <v>0</v>
      </c>
      <c r="DV195" s="1218">
        <v>0</v>
      </c>
      <c r="DW195" s="1219">
        <f>SUM(DS195:DV195)</f>
      </c>
      <c r="DX195" s="1218">
        <v>0</v>
      </c>
      <c r="DY195" s="1218">
        <v>0</v>
      </c>
      <c r="DZ195" s="1218">
        <v>0</v>
      </c>
      <c r="EA195" s="1218">
        <v>0</v>
      </c>
      <c r="EB195" s="1219">
        <f t="shared" si="411"/>
      </c>
      <c r="EC195" s="1218">
        <v>0</v>
      </c>
      <c r="ED195" s="1218">
        <v>0</v>
      </c>
      <c r="EE195" s="1218">
        <v>0</v>
      </c>
      <c r="EF195" s="1218">
        <v>0</v>
      </c>
      <c r="EG195" s="1219">
        <f>SUM(EC195:EF195)</f>
      </c>
      <c r="EH195" s="1216">
        <v>-0.44</v>
      </c>
      <c r="EI195" s="1218">
        <v>0</v>
      </c>
      <c r="EJ195" s="1218">
        <v>0</v>
      </c>
      <c r="EK195" s="1218">
        <v>0</v>
      </c>
      <c r="EL195" s="1217">
        <v>-0.44</v>
      </c>
      <c r="EM195" s="1218">
        <v>0</v>
      </c>
      <c r="EN195" s="1218">
        <v>0</v>
      </c>
      <c r="EO195" s="1218">
        <v>0</v>
      </c>
      <c r="EP195" s="1218">
        <v>0</v>
      </c>
      <c r="EQ195" s="1219">
        <f t="shared" ref="EQ195:EQ202" si="414">SUM(EM195:EP195)</f>
      </c>
      <c r="ER195" s="1218">
        <v>0</v>
      </c>
      <c r="ES195" s="1218">
        <v>0</v>
      </c>
      <c r="ET195" s="1518">
        <v>0</v>
      </c>
      <c r="EU195" s="1518">
        <v>0</v>
      </c>
      <c r="EV195" s="1223">
        <f t="shared" si="412"/>
      </c>
      <c r="EW195" s="1218">
        <v>0</v>
      </c>
      <c r="EX195" s="1218">
        <v>0</v>
      </c>
      <c r="EY195" s="1218">
        <v>0</v>
      </c>
      <c r="EZ195" s="1218">
        <v>0</v>
      </c>
      <c r="FA195" s="1223">
        <f t="shared" si="413"/>
      </c>
      <c r="FB195" s="299"/>
      <c r="FC195" s="299"/>
      <c r="FD195" s="299"/>
      <c r="FE195" s="299"/>
      <c r="FF195" s="300"/>
      <c r="FG195" s="299"/>
      <c r="FH195" s="299"/>
      <c r="FI195" s="299"/>
      <c r="FJ195" s="299"/>
      <c r="FK195" s="300"/>
      <c r="FL195" s="299"/>
      <c r="FM195" s="299"/>
      <c r="FN195" s="299"/>
      <c r="FO195" s="299"/>
      <c r="FP195" s="300"/>
      <c r="FQ195" s="299"/>
      <c r="FR195" s="299"/>
      <c r="FS195" s="299"/>
      <c r="FT195" s="299"/>
      <c r="FU195" s="300"/>
      <c r="FV195" s="299"/>
      <c r="FW195" s="299"/>
      <c r="FX195" s="299"/>
      <c r="FY195" s="299"/>
      <c r="FZ195" s="300"/>
      <c r="GA195" s="299"/>
      <c r="GB195" s="299"/>
      <c r="GC195" s="299"/>
      <c r="GD195" s="299"/>
      <c r="GE195" s="300"/>
      <c r="GF195" s="299"/>
      <c r="GG195" s="299"/>
      <c r="GH195" s="299"/>
      <c r="GI195" s="299"/>
      <c r="GJ195" s="300"/>
    </row>
    <row r="196" spans="1:192" ht="12.75" customHeight="1" outlineLevel="2">
      <c r="B196" s="986" t="s">
        <v>1845</v>
      </c>
      <c r="C196" s="1214"/>
      <c r="D196" s="1214"/>
      <c r="E196" s="1214"/>
      <c r="F196" s="1214"/>
      <c r="G196" s="1215"/>
      <c r="H196" s="1214"/>
      <c r="I196" s="1214"/>
      <c r="J196" s="1214"/>
      <c r="K196" s="1214"/>
      <c r="L196" s="1215"/>
      <c r="M196" s="1214"/>
      <c r="N196" s="1214"/>
      <c r="O196" s="1214"/>
      <c r="P196" s="1214"/>
      <c r="Q196" s="1215"/>
      <c r="R196" s="1214"/>
      <c r="S196" s="1214"/>
      <c r="T196" s="1214"/>
      <c r="U196" s="1214"/>
      <c r="V196" s="1215"/>
      <c r="W196" s="1214"/>
      <c r="X196" s="1214"/>
      <c r="Y196" s="1214"/>
      <c r="Z196" s="1214"/>
      <c r="AA196" s="1215"/>
      <c r="AB196" s="1214"/>
      <c r="AC196" s="1214"/>
      <c r="AD196" s="1214"/>
      <c r="AE196" s="1214"/>
      <c r="AF196" s="1215"/>
      <c r="AG196" s="1214"/>
      <c r="AH196" s="1214"/>
      <c r="AI196" s="1214"/>
      <c r="AJ196" s="1214"/>
      <c r="AK196" s="1215"/>
      <c r="AL196" s="1214"/>
      <c r="AM196" s="1214"/>
      <c r="AN196" s="1214"/>
      <c r="AO196" s="1214"/>
      <c r="AP196" s="1215"/>
      <c r="AQ196" s="1214"/>
      <c r="AR196" s="1214"/>
      <c r="AS196" s="1214"/>
      <c r="AT196" s="1214"/>
      <c r="AU196" s="1215"/>
      <c r="AV196" s="1214"/>
      <c r="AW196" s="1214"/>
      <c r="AX196" s="1214"/>
      <c r="AY196" s="1214"/>
      <c r="AZ196" s="1215"/>
      <c r="BA196" s="1218"/>
      <c r="BB196" s="1218"/>
      <c r="BC196" s="1218"/>
      <c r="BD196" s="1218"/>
      <c r="BE196" s="1219"/>
      <c r="BF196" s="1218"/>
      <c r="BG196" s="1218"/>
      <c r="BH196" s="1218"/>
      <c r="BI196" s="1218"/>
      <c r="BJ196" s="1219"/>
      <c r="BK196" s="1218"/>
      <c r="BL196" s="1218"/>
      <c r="BM196" s="1218"/>
      <c r="BN196" s="1218"/>
      <c r="BO196" s="1219"/>
      <c r="BP196" s="1218"/>
      <c r="BQ196" s="1218"/>
      <c r="BR196" s="1218"/>
      <c r="BS196" s="1218"/>
      <c r="BT196" s="1219"/>
      <c r="BU196" s="1218"/>
      <c r="BV196" s="1218"/>
      <c r="BW196" s="1218"/>
      <c r="BX196" s="1218"/>
      <c r="BY196" s="1219"/>
      <c r="BZ196" s="1218"/>
      <c r="CA196" s="1218"/>
      <c r="CB196" s="1218"/>
      <c r="CC196" s="1218"/>
      <c r="CD196" s="1219"/>
      <c r="CE196" s="1218"/>
      <c r="CF196" s="1218"/>
      <c r="CG196" s="1218"/>
      <c r="CH196" s="1218"/>
      <c r="CI196" s="1219"/>
      <c r="CJ196" s="1218"/>
      <c r="CK196" s="1218"/>
      <c r="CL196" s="1218"/>
      <c r="CM196" s="1218"/>
      <c r="CN196" s="1219"/>
      <c r="CO196" s="1218"/>
      <c r="CP196" s="1218"/>
      <c r="CQ196" s="1218"/>
      <c r="CR196" s="1218"/>
      <c r="CS196" s="1219"/>
      <c r="CT196" s="1218"/>
      <c r="CU196" s="1218"/>
      <c r="CV196" s="1218"/>
      <c r="CW196" s="1218"/>
      <c r="CX196" s="1219"/>
      <c r="CY196" s="1218">
        <v>0</v>
      </c>
      <c r="CZ196" s="1218">
        <v>0</v>
      </c>
      <c r="DA196" s="1218">
        <v>0</v>
      </c>
      <c r="DB196" s="1218">
        <v>0</v>
      </c>
      <c r="DC196" s="1219">
        <f t="shared" si="407"/>
      </c>
      <c r="DD196" s="1218">
        <v>0</v>
      </c>
      <c r="DE196" s="1218">
        <v>0</v>
      </c>
      <c r="DF196" s="1218">
        <v>0</v>
      </c>
      <c r="DG196" s="1218">
        <v>0</v>
      </c>
      <c r="DH196" s="1219">
        <f t="shared" si="408"/>
      </c>
      <c r="DI196" s="1218">
        <v>0</v>
      </c>
      <c r="DJ196" s="1218">
        <v>0</v>
      </c>
      <c r="DK196" s="1218">
        <v>0</v>
      </c>
      <c r="DL196" s="1218">
        <v>0</v>
      </c>
      <c r="DM196" s="1219">
        <f t="shared" si="409"/>
      </c>
      <c r="DN196" s="1218">
        <v>0</v>
      </c>
      <c r="DO196" s="1218">
        <v>0</v>
      </c>
      <c r="DP196" s="1218">
        <v>0</v>
      </c>
      <c r="DQ196" s="1218">
        <v>0</v>
      </c>
      <c r="DR196" s="1219">
        <f t="shared" si="410"/>
      </c>
      <c r="DS196" s="1218">
        <v>0</v>
      </c>
      <c r="DT196" s="1218">
        <v>0</v>
      </c>
      <c r="DU196" s="1218">
        <v>0</v>
      </c>
      <c r="DV196" s="1214">
        <v>-0.34</v>
      </c>
      <c r="DW196" s="1215">
        <v>-0.34</v>
      </c>
      <c r="DX196" s="1218">
        <v>0</v>
      </c>
      <c r="DY196" s="1218">
        <v>0</v>
      </c>
      <c r="DZ196" s="1218">
        <v>0</v>
      </c>
      <c r="EA196" s="1218">
        <v>0</v>
      </c>
      <c r="EB196" s="1219">
        <f t="shared" si="411"/>
      </c>
      <c r="EC196" s="1218">
        <v>0</v>
      </c>
      <c r="ED196" s="1218">
        <v>0</v>
      </c>
      <c r="EE196" s="1214">
        <v>-0.08</v>
      </c>
      <c r="EF196" s="1218">
        <v>0</v>
      </c>
      <c r="EG196" s="1215">
        <v>-0.08</v>
      </c>
      <c r="EH196" s="1218">
        <v>0</v>
      </c>
      <c r="EI196" s="1218">
        <v>0</v>
      </c>
      <c r="EJ196" s="1218">
        <v>0</v>
      </c>
      <c r="EK196" s="1218">
        <v>0</v>
      </c>
      <c r="EL196" s="1219">
        <f t="shared" ref="EL196:EL202" si="415">SUM(EH196:EK196)</f>
      </c>
      <c r="EM196" s="1218">
        <v>0</v>
      </c>
      <c r="EN196" s="1218">
        <v>0</v>
      </c>
      <c r="EO196" s="1218">
        <v>0</v>
      </c>
      <c r="EP196" s="1218">
        <v>0</v>
      </c>
      <c r="EQ196" s="1219">
        <f t="shared" si="414"/>
      </c>
      <c r="ER196" s="1218">
        <v>0</v>
      </c>
      <c r="ES196" s="1218">
        <v>0</v>
      </c>
      <c r="ET196" s="1518">
        <v>0</v>
      </c>
      <c r="EU196" s="1518">
        <v>0</v>
      </c>
      <c r="EV196" s="1223">
        <f t="shared" si="412"/>
      </c>
      <c r="EW196" s="1218">
        <v>0</v>
      </c>
      <c r="EX196" s="1218">
        <v>0</v>
      </c>
      <c r="EY196" s="1218">
        <v>0</v>
      </c>
      <c r="EZ196" s="1218">
        <v>0</v>
      </c>
      <c r="FA196" s="1223">
        <f t="shared" si="413"/>
      </c>
      <c r="FB196" s="299"/>
      <c r="FC196" s="299"/>
      <c r="FD196" s="299"/>
      <c r="FE196" s="299"/>
      <c r="FF196" s="300"/>
      <c r="FG196" s="299"/>
      <c r="FH196" s="299"/>
      <c r="FI196" s="299"/>
      <c r="FJ196" s="299"/>
      <c r="FK196" s="300"/>
      <c r="FL196" s="299"/>
      <c r="FM196" s="299"/>
      <c r="FN196" s="299"/>
      <c r="FO196" s="299"/>
      <c r="FP196" s="300"/>
      <c r="FQ196" s="299"/>
      <c r="FR196" s="299"/>
      <c r="FS196" s="299"/>
      <c r="FT196" s="299"/>
      <c r="FU196" s="300"/>
      <c r="FV196" s="299"/>
      <c r="FW196" s="299"/>
      <c r="FX196" s="299"/>
      <c r="FY196" s="299"/>
      <c r="FZ196" s="300"/>
      <c r="GA196" s="299"/>
      <c r="GB196" s="299"/>
      <c r="GC196" s="299"/>
      <c r="GD196" s="299"/>
      <c r="GE196" s="300"/>
      <c r="GF196" s="299"/>
      <c r="GG196" s="299"/>
      <c r="GH196" s="299"/>
      <c r="GI196" s="299"/>
      <c r="GJ196" s="300"/>
    </row>
    <row r="197" spans="1:192" ht="12.75" customHeight="1" outlineLevel="2">
      <c r="B197" s="986" t="s">
        <v>1846</v>
      </c>
      <c r="C197" s="1214"/>
      <c r="D197" s="1214"/>
      <c r="E197" s="1214"/>
      <c r="F197" s="1214"/>
      <c r="G197" s="1215"/>
      <c r="H197" s="1214"/>
      <c r="I197" s="1214"/>
      <c r="J197" s="1214"/>
      <c r="K197" s="1214"/>
      <c r="L197" s="1215"/>
      <c r="M197" s="1214"/>
      <c r="N197" s="1214"/>
      <c r="O197" s="1214"/>
      <c r="P197" s="1214"/>
      <c r="Q197" s="1215"/>
      <c r="R197" s="1214"/>
      <c r="S197" s="1214"/>
      <c r="T197" s="1214"/>
      <c r="U197" s="1214"/>
      <c r="V197" s="1215"/>
      <c r="W197" s="1214"/>
      <c r="X197" s="1214"/>
      <c r="Y197" s="1214"/>
      <c r="Z197" s="1214"/>
      <c r="AA197" s="1215"/>
      <c r="AB197" s="1214"/>
      <c r="AC197" s="1214"/>
      <c r="AD197" s="1214"/>
      <c r="AE197" s="1214"/>
      <c r="AF197" s="1215"/>
      <c r="AG197" s="1214"/>
      <c r="AH197" s="1214"/>
      <c r="AI197" s="1214"/>
      <c r="AJ197" s="1214"/>
      <c r="AK197" s="1215"/>
      <c r="AL197" s="1214"/>
      <c r="AM197" s="1214"/>
      <c r="AN197" s="1214"/>
      <c r="AO197" s="1214"/>
      <c r="AP197" s="1215"/>
      <c r="AQ197" s="1214"/>
      <c r="AR197" s="1214"/>
      <c r="AS197" s="1214"/>
      <c r="AT197" s="1214"/>
      <c r="AU197" s="1215"/>
      <c r="AV197" s="1214"/>
      <c r="AW197" s="1214"/>
      <c r="AX197" s="1214"/>
      <c r="AY197" s="1214"/>
      <c r="AZ197" s="1215"/>
      <c r="BA197" s="1218"/>
      <c r="BB197" s="1218"/>
      <c r="BC197" s="1218"/>
      <c r="BD197" s="1218"/>
      <c r="BE197" s="1219"/>
      <c r="BF197" s="1218"/>
      <c r="BG197" s="1218"/>
      <c r="BH197" s="1218"/>
      <c r="BI197" s="1218"/>
      <c r="BJ197" s="1219"/>
      <c r="BK197" s="1218"/>
      <c r="BL197" s="1218"/>
      <c r="BM197" s="1218"/>
      <c r="BN197" s="1218"/>
      <c r="BO197" s="1219"/>
      <c r="BP197" s="1218"/>
      <c r="BQ197" s="1218"/>
      <c r="BR197" s="1218"/>
      <c r="BS197" s="1218"/>
      <c r="BT197" s="1219"/>
      <c r="BU197" s="1218"/>
      <c r="BV197" s="1218"/>
      <c r="BW197" s="1218"/>
      <c r="BX197" s="1218"/>
      <c r="BY197" s="1219"/>
      <c r="BZ197" s="1218"/>
      <c r="CA197" s="1218"/>
      <c r="CB197" s="1218"/>
      <c r="CC197" s="1218"/>
      <c r="CD197" s="1219"/>
      <c r="CE197" s="1218"/>
      <c r="CF197" s="1218"/>
      <c r="CG197" s="1218"/>
      <c r="CH197" s="1218"/>
      <c r="CI197" s="1219"/>
      <c r="CJ197" s="1218"/>
      <c r="CK197" s="1218"/>
      <c r="CL197" s="1218"/>
      <c r="CM197" s="1218"/>
      <c r="CN197" s="1219"/>
      <c r="CO197" s="1218"/>
      <c r="CP197" s="1218"/>
      <c r="CQ197" s="1218"/>
      <c r="CR197" s="1218"/>
      <c r="CS197" s="1219"/>
      <c r="CT197" s="1218"/>
      <c r="CU197" s="1218"/>
      <c r="CV197" s="1218"/>
      <c r="CW197" s="1218"/>
      <c r="CX197" s="1219"/>
      <c r="CY197" s="1218">
        <v>0</v>
      </c>
      <c r="CZ197" s="1218">
        <v>0</v>
      </c>
      <c r="DA197" s="1218">
        <v>0</v>
      </c>
      <c r="DB197" s="1218">
        <v>0</v>
      </c>
      <c r="DC197" s="1219">
        <f t="shared" si="407"/>
      </c>
      <c r="DD197" s="1218">
        <v>0</v>
      </c>
      <c r="DE197" s="1218">
        <v>0</v>
      </c>
      <c r="DF197" s="1218">
        <v>0</v>
      </c>
      <c r="DG197" s="1218">
        <v>0</v>
      </c>
      <c r="DH197" s="1219">
        <f t="shared" si="408"/>
      </c>
      <c r="DI197" s="1218">
        <v>0</v>
      </c>
      <c r="DJ197" s="1218">
        <v>0</v>
      </c>
      <c r="DK197" s="1218">
        <v>0</v>
      </c>
      <c r="DL197" s="1218">
        <v>0</v>
      </c>
      <c r="DM197" s="1219">
        <f t="shared" si="409"/>
      </c>
      <c r="DN197" s="1218">
        <v>0</v>
      </c>
      <c r="DO197" s="1214">
        <v>1.78</v>
      </c>
      <c r="DP197" s="1218">
        <v>0</v>
      </c>
      <c r="DQ197" s="1214">
        <v>-0.01</v>
      </c>
      <c r="DR197" s="1222">
        <f t="shared" si="410"/>
      </c>
      <c r="DS197" s="1218">
        <v>0</v>
      </c>
      <c r="DT197" s="1214">
        <v>0.02</v>
      </c>
      <c r="DU197" s="1218">
        <v>0</v>
      </c>
      <c r="DV197" s="1218">
        <v>0</v>
      </c>
      <c r="DW197" s="1222">
        <f t="shared" ref="DW197:DW202" si="416">SUM(DS197:DV197)</f>
      </c>
      <c r="DX197" s="1218">
        <v>0</v>
      </c>
      <c r="DY197" s="1218">
        <v>0</v>
      </c>
      <c r="DZ197" s="1218">
        <v>0</v>
      </c>
      <c r="EA197" s="1218">
        <v>0</v>
      </c>
      <c r="EB197" s="1219">
        <f t="shared" si="411"/>
      </c>
      <c r="EC197" s="1218">
        <v>0</v>
      </c>
      <c r="ED197" s="1218">
        <v>0</v>
      </c>
      <c r="EE197" s="1218">
        <v>0</v>
      </c>
      <c r="EF197" s="1218">
        <v>0</v>
      </c>
      <c r="EG197" s="1219">
        <f t="shared" ref="EG197:EG202" si="417">SUM(EC197:EF197)</f>
      </c>
      <c r="EH197" s="1218">
        <v>0</v>
      </c>
      <c r="EI197" s="1218">
        <v>0</v>
      </c>
      <c r="EJ197" s="1218">
        <v>0</v>
      </c>
      <c r="EK197" s="1218">
        <v>0</v>
      </c>
      <c r="EL197" s="1219">
        <f t="shared" si="415"/>
      </c>
      <c r="EM197" s="1218">
        <v>0</v>
      </c>
      <c r="EN197" s="1218">
        <v>0</v>
      </c>
      <c r="EO197" s="1218">
        <v>0</v>
      </c>
      <c r="EP197" s="1218">
        <v>0</v>
      </c>
      <c r="EQ197" s="1219">
        <f t="shared" si="414"/>
      </c>
      <c r="ER197" s="1218">
        <v>0</v>
      </c>
      <c r="ES197" s="1218">
        <v>0</v>
      </c>
      <c r="ET197" s="1518">
        <v>0</v>
      </c>
      <c r="EU197" s="1518">
        <v>0</v>
      </c>
      <c r="EV197" s="1223">
        <f t="shared" si="412"/>
      </c>
      <c r="EW197" s="1218">
        <v>0</v>
      </c>
      <c r="EX197" s="1218">
        <v>0</v>
      </c>
      <c r="EY197" s="1218">
        <v>0</v>
      </c>
      <c r="EZ197" s="1218">
        <v>0</v>
      </c>
      <c r="FA197" s="1223">
        <f t="shared" si="413"/>
      </c>
      <c r="FB197" s="299"/>
      <c r="FC197" s="299"/>
      <c r="FD197" s="299"/>
      <c r="FE197" s="299"/>
      <c r="FF197" s="300"/>
      <c r="FG197" s="299"/>
      <c r="FH197" s="299"/>
      <c r="FI197" s="299"/>
      <c r="FJ197" s="299"/>
      <c r="FK197" s="300"/>
      <c r="FL197" s="299"/>
      <c r="FM197" s="299"/>
      <c r="FN197" s="299"/>
      <c r="FO197" s="299"/>
      <c r="FP197" s="300"/>
      <c r="FQ197" s="299"/>
      <c r="FR197" s="299"/>
      <c r="FS197" s="299"/>
      <c r="FT197" s="299"/>
      <c r="FU197" s="300"/>
      <c r="FV197" s="299"/>
      <c r="FW197" s="299"/>
      <c r="FX197" s="299"/>
      <c r="FY197" s="299"/>
      <c r="FZ197" s="300"/>
      <c r="GA197" s="299"/>
      <c r="GB197" s="299"/>
      <c r="GC197" s="299"/>
      <c r="GD197" s="299"/>
      <c r="GE197" s="300"/>
      <c r="GF197" s="299"/>
      <c r="GG197" s="299"/>
      <c r="GH197" s="299"/>
      <c r="GI197" s="299"/>
      <c r="GJ197" s="300"/>
    </row>
    <row r="198" spans="1:192" ht="12.75" customHeight="1" outlineLevel="2">
      <c r="B198" s="986" t="s">
        <v>1847</v>
      </c>
      <c r="C198" s="1214"/>
      <c r="D198" s="1214"/>
      <c r="E198" s="1214"/>
      <c r="F198" s="1214"/>
      <c r="G198" s="1215"/>
      <c r="H198" s="1214"/>
      <c r="I198" s="1214"/>
      <c r="J198" s="1214"/>
      <c r="K198" s="1214"/>
      <c r="L198" s="1215"/>
      <c r="M198" s="1214"/>
      <c r="N198" s="1214"/>
      <c r="O198" s="1214"/>
      <c r="P198" s="1214"/>
      <c r="Q198" s="1215"/>
      <c r="R198" s="1214"/>
      <c r="S198" s="1214"/>
      <c r="T198" s="1214"/>
      <c r="U198" s="1214"/>
      <c r="V198" s="1215"/>
      <c r="W198" s="1214"/>
      <c r="X198" s="1214"/>
      <c r="Y198" s="1214"/>
      <c r="Z198" s="1214"/>
      <c r="AA198" s="1215"/>
      <c r="AB198" s="1214"/>
      <c r="AC198" s="1214"/>
      <c r="AD198" s="1214"/>
      <c r="AE198" s="1214"/>
      <c r="AF198" s="1215"/>
      <c r="AG198" s="1214"/>
      <c r="AH198" s="1214"/>
      <c r="AI198" s="1214"/>
      <c r="AJ198" s="1214"/>
      <c r="AK198" s="1215"/>
      <c r="AL198" s="1214"/>
      <c r="AM198" s="1214"/>
      <c r="AN198" s="1214"/>
      <c r="AO198" s="1214"/>
      <c r="AP198" s="1215"/>
      <c r="AQ198" s="1214"/>
      <c r="AR198" s="1214"/>
      <c r="AS198" s="1214"/>
      <c r="AT198" s="1214"/>
      <c r="AU198" s="1215"/>
      <c r="AV198" s="1214"/>
      <c r="AW198" s="1214"/>
      <c r="AX198" s="1214"/>
      <c r="AY198" s="1214"/>
      <c r="AZ198" s="1215"/>
      <c r="BA198" s="1218"/>
      <c r="BB198" s="1218"/>
      <c r="BC198" s="1218"/>
      <c r="BD198" s="1214"/>
      <c r="BE198" s="1222"/>
      <c r="BF198" s="1218"/>
      <c r="BG198" s="1218"/>
      <c r="BH198" s="1218"/>
      <c r="BI198" s="1214"/>
      <c r="BJ198" s="1222"/>
      <c r="BK198" s="1218"/>
      <c r="BL198" s="1218"/>
      <c r="BM198" s="1218"/>
      <c r="BN198" s="1214"/>
      <c r="BO198" s="1222"/>
      <c r="BP198" s="1218"/>
      <c r="BQ198" s="1218"/>
      <c r="BR198" s="1218"/>
      <c r="BS198" s="1214"/>
      <c r="BT198" s="1222"/>
      <c r="BU198" s="1218"/>
      <c r="BV198" s="1218"/>
      <c r="BW198" s="1218"/>
      <c r="BX198" s="1214"/>
      <c r="BY198" s="1222"/>
      <c r="BZ198" s="1218"/>
      <c r="CA198" s="1218"/>
      <c r="CB198" s="1218"/>
      <c r="CC198" s="1214"/>
      <c r="CD198" s="1222"/>
      <c r="CE198" s="1218"/>
      <c r="CF198" s="1218"/>
      <c r="CG198" s="1218"/>
      <c r="CH198" s="1214"/>
      <c r="CI198" s="1222"/>
      <c r="CJ198" s="1218"/>
      <c r="CK198" s="1218"/>
      <c r="CL198" s="1218"/>
      <c r="CM198" s="1214"/>
      <c r="CN198" s="1222"/>
      <c r="CO198" s="1218"/>
      <c r="CP198" s="1218"/>
      <c r="CQ198" s="1218"/>
      <c r="CR198" s="1214"/>
      <c r="CS198" s="1222"/>
      <c r="CT198" s="1218"/>
      <c r="CU198" s="1218"/>
      <c r="CV198" s="1218"/>
      <c r="CW198" s="1214"/>
      <c r="CX198" s="1222"/>
      <c r="CY198" s="1218">
        <v>0</v>
      </c>
      <c r="CZ198" s="1218">
        <v>0</v>
      </c>
      <c r="DA198" s="1218">
        <v>0</v>
      </c>
      <c r="DB198" s="1214">
        <v>1.02</v>
      </c>
      <c r="DC198" s="1222">
        <f t="shared" si="407"/>
      </c>
      <c r="DD198" s="1218">
        <v>0</v>
      </c>
      <c r="DE198" s="1218">
        <v>0</v>
      </c>
      <c r="DF198" s="1218">
        <v>0</v>
      </c>
      <c r="DG198" s="1214">
        <v>0.11</v>
      </c>
      <c r="DH198" s="1222">
        <f t="shared" si="408"/>
      </c>
      <c r="DI198" s="1218">
        <v>0</v>
      </c>
      <c r="DJ198" s="1218">
        <v>0</v>
      </c>
      <c r="DK198" s="1218">
        <v>0</v>
      </c>
      <c r="DL198" s="1214">
        <v>0.03</v>
      </c>
      <c r="DM198" s="1222">
        <f t="shared" si="409"/>
      </c>
      <c r="DN198" s="1218">
        <v>0</v>
      </c>
      <c r="DO198" s="1218">
        <v>0</v>
      </c>
      <c r="DP198" s="1218">
        <v>0</v>
      </c>
      <c r="DQ198" s="1218">
        <v>0</v>
      </c>
      <c r="DR198" s="1219">
        <f t="shared" si="410"/>
      </c>
      <c r="DS198" s="1218">
        <v>0</v>
      </c>
      <c r="DT198" s="1218">
        <v>0</v>
      </c>
      <c r="DU198" s="1218">
        <v>0</v>
      </c>
      <c r="DV198" s="1218">
        <v>0</v>
      </c>
      <c r="DW198" s="1219">
        <f t="shared" si="416"/>
      </c>
      <c r="DX198" s="1218">
        <v>0</v>
      </c>
      <c r="DY198" s="1218">
        <v>0</v>
      </c>
      <c r="DZ198" s="1218">
        <v>0</v>
      </c>
      <c r="EA198" s="1218">
        <v>0</v>
      </c>
      <c r="EB198" s="1219">
        <f t="shared" si="411"/>
      </c>
      <c r="EC198" s="1218">
        <v>0</v>
      </c>
      <c r="ED198" s="1218">
        <v>0</v>
      </c>
      <c r="EE198" s="1218">
        <v>0</v>
      </c>
      <c r="EF198" s="1218">
        <v>0</v>
      </c>
      <c r="EG198" s="1219">
        <f t="shared" si="417"/>
      </c>
      <c r="EH198" s="1218">
        <v>0</v>
      </c>
      <c r="EI198" s="1218">
        <v>0</v>
      </c>
      <c r="EJ198" s="1218">
        <v>0</v>
      </c>
      <c r="EK198" s="1218">
        <v>0</v>
      </c>
      <c r="EL198" s="1219">
        <f t="shared" si="415"/>
      </c>
      <c r="EM198" s="1218">
        <v>0</v>
      </c>
      <c r="EN198" s="1218">
        <v>0</v>
      </c>
      <c r="EO198" s="1218">
        <v>0</v>
      </c>
      <c r="EP198" s="1218">
        <v>0</v>
      </c>
      <c r="EQ198" s="1219">
        <f t="shared" si="414"/>
      </c>
      <c r="ER198" s="1218">
        <v>0</v>
      </c>
      <c r="ES198" s="1218">
        <v>0</v>
      </c>
      <c r="ET198" s="1518">
        <v>0</v>
      </c>
      <c r="EU198" s="1518">
        <v>0</v>
      </c>
      <c r="EV198" s="1223">
        <f t="shared" si="412"/>
      </c>
      <c r="EW198" s="1218">
        <v>0</v>
      </c>
      <c r="EX198" s="1218">
        <v>0</v>
      </c>
      <c r="EY198" s="1218">
        <v>0</v>
      </c>
      <c r="EZ198" s="1218">
        <v>0</v>
      </c>
      <c r="FA198" s="1223">
        <f t="shared" si="413"/>
      </c>
      <c r="FB198" s="299"/>
      <c r="FC198" s="299"/>
      <c r="FD198" s="299"/>
      <c r="FE198" s="299"/>
      <c r="FF198" s="300"/>
      <c r="FG198" s="299"/>
      <c r="FH198" s="299"/>
      <c r="FI198" s="299"/>
      <c r="FJ198" s="299"/>
      <c r="FK198" s="300"/>
      <c r="FL198" s="299"/>
      <c r="FM198" s="299"/>
      <c r="FN198" s="299"/>
      <c r="FO198" s="299"/>
      <c r="FP198" s="300"/>
      <c r="FQ198" s="299"/>
      <c r="FR198" s="299"/>
      <c r="FS198" s="299"/>
      <c r="FT198" s="299"/>
      <c r="FU198" s="300"/>
      <c r="FV198" s="299"/>
      <c r="FW198" s="299"/>
      <c r="FX198" s="299"/>
      <c r="FY198" s="299"/>
      <c r="FZ198" s="300"/>
      <c r="GA198" s="299"/>
      <c r="GB198" s="299"/>
      <c r="GC198" s="299"/>
      <c r="GD198" s="299"/>
      <c r="GE198" s="300"/>
      <c r="GF198" s="299"/>
      <c r="GG198" s="299"/>
      <c r="GH198" s="299"/>
      <c r="GI198" s="299"/>
      <c r="GJ198" s="300"/>
    </row>
    <row r="199" spans="1:192" ht="12.75" customHeight="1" outlineLevel="2">
      <c r="B199" s="986" t="s">
        <v>1848</v>
      </c>
      <c r="C199" s="1214"/>
      <c r="D199" s="1214"/>
      <c r="E199" s="1214"/>
      <c r="F199" s="1214"/>
      <c r="G199" s="1215"/>
      <c r="H199" s="1214"/>
      <c r="I199" s="1214"/>
      <c r="J199" s="1214"/>
      <c r="K199" s="1214"/>
      <c r="L199" s="1215"/>
      <c r="M199" s="1214"/>
      <c r="N199" s="1214"/>
      <c r="O199" s="1214"/>
      <c r="P199" s="1214"/>
      <c r="Q199" s="1215"/>
      <c r="R199" s="1214"/>
      <c r="S199" s="1214"/>
      <c r="T199" s="1214"/>
      <c r="U199" s="1214"/>
      <c r="V199" s="1215"/>
      <c r="W199" s="1214"/>
      <c r="X199" s="1214"/>
      <c r="Y199" s="1214"/>
      <c r="Z199" s="1214"/>
      <c r="AA199" s="1215"/>
      <c r="AB199" s="1214"/>
      <c r="AC199" s="1214"/>
      <c r="AD199" s="1214"/>
      <c r="AE199" s="1214"/>
      <c r="AF199" s="1215"/>
      <c r="AG199" s="1214"/>
      <c r="AH199" s="1214"/>
      <c r="AI199" s="1214"/>
      <c r="AJ199" s="1214"/>
      <c r="AK199" s="1215"/>
      <c r="AL199" s="1214"/>
      <c r="AM199" s="1214"/>
      <c r="AN199" s="1214"/>
      <c r="AO199" s="1214"/>
      <c r="AP199" s="1215"/>
      <c r="AQ199" s="1214"/>
      <c r="AR199" s="1214"/>
      <c r="AS199" s="1214"/>
      <c r="AT199" s="1214"/>
      <c r="AU199" s="1215"/>
      <c r="AV199" s="1214"/>
      <c r="AW199" s="1214"/>
      <c r="AX199" s="1214"/>
      <c r="AY199" s="1214"/>
      <c r="AZ199" s="1215"/>
      <c r="BA199" s="1218"/>
      <c r="BB199" s="1218"/>
      <c r="BC199" s="1218"/>
      <c r="BD199" s="1218"/>
      <c r="BE199" s="1222"/>
      <c r="BF199" s="1218"/>
      <c r="BG199" s="1218"/>
      <c r="BH199" s="1218"/>
      <c r="BI199" s="1218"/>
      <c r="BJ199" s="1222"/>
      <c r="BK199" s="1218"/>
      <c r="BL199" s="1218"/>
      <c r="BM199" s="1218"/>
      <c r="BN199" s="1218"/>
      <c r="BO199" s="1222"/>
      <c r="BP199" s="1218"/>
      <c r="BQ199" s="1218"/>
      <c r="BR199" s="1218"/>
      <c r="BS199" s="1218"/>
      <c r="BT199" s="1222"/>
      <c r="BU199" s="1218"/>
      <c r="BV199" s="1218"/>
      <c r="BW199" s="1218"/>
      <c r="BX199" s="1218"/>
      <c r="BY199" s="1222"/>
      <c r="BZ199" s="1218"/>
      <c r="CA199" s="1218"/>
      <c r="CB199" s="1218"/>
      <c r="CC199" s="1218"/>
      <c r="CD199" s="1222"/>
      <c r="CE199" s="1218"/>
      <c r="CF199" s="1218"/>
      <c r="CG199" s="1218"/>
      <c r="CH199" s="1218"/>
      <c r="CI199" s="1222"/>
      <c r="CJ199" s="1218"/>
      <c r="CK199" s="1218"/>
      <c r="CL199" s="1218"/>
      <c r="CM199" s="1218"/>
      <c r="CN199" s="1222"/>
      <c r="CO199" s="1218"/>
      <c r="CP199" s="1218"/>
      <c r="CQ199" s="1218"/>
      <c r="CR199" s="1218"/>
      <c r="CS199" s="1222"/>
      <c r="CT199" s="1218"/>
      <c r="CU199" s="1218"/>
      <c r="CV199" s="1218"/>
      <c r="CW199" s="1218"/>
      <c r="CX199" s="1222"/>
      <c r="CY199" s="1218">
        <v>0</v>
      </c>
      <c r="CZ199" s="1218">
        <v>0</v>
      </c>
      <c r="DA199" s="1218">
        <v>0</v>
      </c>
      <c r="DB199" s="1218">
        <v>0</v>
      </c>
      <c r="DC199" s="1222">
        <f t="shared" si="407"/>
      </c>
      <c r="DD199" s="1214">
        <v>0.1</v>
      </c>
      <c r="DE199" s="1214">
        <v>0.16</v>
      </c>
      <c r="DF199" s="1214">
        <v>0.15</v>
      </c>
      <c r="DG199" s="1214">
        <v>0.19</v>
      </c>
      <c r="DH199" s="1222">
        <f t="shared" si="408"/>
      </c>
      <c r="DI199" s="1218">
        <v>0</v>
      </c>
      <c r="DJ199" s="1218">
        <v>0</v>
      </c>
      <c r="DK199" s="1218">
        <v>0</v>
      </c>
      <c r="DL199" s="1218">
        <v>0</v>
      </c>
      <c r="DM199" s="1219">
        <f t="shared" si="409"/>
      </c>
      <c r="DN199" s="1218">
        <v>0</v>
      </c>
      <c r="DO199" s="1218">
        <v>0</v>
      </c>
      <c r="DP199" s="1218">
        <v>0</v>
      </c>
      <c r="DQ199" s="1218">
        <v>0</v>
      </c>
      <c r="DR199" s="1219">
        <f t="shared" si="410"/>
      </c>
      <c r="DS199" s="1218">
        <v>0</v>
      </c>
      <c r="DT199" s="1218">
        <v>0</v>
      </c>
      <c r="DU199" s="1218">
        <v>0</v>
      </c>
      <c r="DV199" s="1218">
        <v>0</v>
      </c>
      <c r="DW199" s="1219">
        <f t="shared" si="416"/>
      </c>
      <c r="DX199" s="1218">
        <v>0</v>
      </c>
      <c r="DY199" s="1218">
        <v>0</v>
      </c>
      <c r="DZ199" s="1218">
        <v>0</v>
      </c>
      <c r="EA199" s="1218">
        <v>0</v>
      </c>
      <c r="EB199" s="1219">
        <f t="shared" si="411"/>
      </c>
      <c r="EC199" s="1218">
        <v>0</v>
      </c>
      <c r="ED199" s="1218">
        <v>0</v>
      </c>
      <c r="EE199" s="1218">
        <v>0</v>
      </c>
      <c r="EF199" s="1218">
        <v>0</v>
      </c>
      <c r="EG199" s="1219">
        <f t="shared" si="417"/>
      </c>
      <c r="EH199" s="1218">
        <v>0</v>
      </c>
      <c r="EI199" s="1218">
        <v>0</v>
      </c>
      <c r="EJ199" s="1218">
        <v>0</v>
      </c>
      <c r="EK199" s="1218">
        <v>0</v>
      </c>
      <c r="EL199" s="1219">
        <f t="shared" si="415"/>
      </c>
      <c r="EM199" s="1218">
        <v>0</v>
      </c>
      <c r="EN199" s="1218">
        <v>0</v>
      </c>
      <c r="EO199" s="1218">
        <v>0</v>
      </c>
      <c r="EP199" s="1218">
        <v>0</v>
      </c>
      <c r="EQ199" s="1219">
        <f t="shared" si="414"/>
      </c>
      <c r="ER199" s="1218">
        <v>0</v>
      </c>
      <c r="ES199" s="1218">
        <v>0</v>
      </c>
      <c r="ET199" s="1518">
        <v>0</v>
      </c>
      <c r="EU199" s="1518">
        <v>0</v>
      </c>
      <c r="EV199" s="1223">
        <f t="shared" si="412"/>
      </c>
      <c r="EW199" s="1218">
        <v>0</v>
      </c>
      <c r="EX199" s="1218">
        <v>0</v>
      </c>
      <c r="EY199" s="1218">
        <v>0</v>
      </c>
      <c r="EZ199" s="1218">
        <v>0</v>
      </c>
      <c r="FA199" s="1223">
        <f t="shared" si="413"/>
      </c>
      <c r="FB199" s="299"/>
      <c r="FC199" s="299"/>
      <c r="FD199" s="299"/>
      <c r="FE199" s="299"/>
      <c r="FF199" s="300"/>
      <c r="FG199" s="299"/>
      <c r="FH199" s="299"/>
      <c r="FI199" s="299"/>
      <c r="FJ199" s="299"/>
      <c r="FK199" s="300"/>
      <c r="FL199" s="299"/>
      <c r="FM199" s="299"/>
      <c r="FN199" s="299"/>
      <c r="FO199" s="299"/>
      <c r="FP199" s="300"/>
      <c r="FQ199" s="299"/>
      <c r="FR199" s="299"/>
      <c r="FS199" s="299"/>
      <c r="FT199" s="299"/>
      <c r="FU199" s="300"/>
      <c r="FV199" s="299"/>
      <c r="FW199" s="299"/>
      <c r="FX199" s="299"/>
      <c r="FY199" s="299"/>
      <c r="FZ199" s="300"/>
      <c r="GA199" s="299"/>
      <c r="GB199" s="299"/>
      <c r="GC199" s="299"/>
      <c r="GD199" s="299"/>
      <c r="GE199" s="300"/>
      <c r="GF199" s="299"/>
      <c r="GG199" s="299"/>
      <c r="GH199" s="299"/>
      <c r="GI199" s="299"/>
      <c r="GJ199" s="300"/>
    </row>
    <row r="200" spans="1:192" ht="12.75" customHeight="1" outlineLevel="2">
      <c r="B200" s="986" t="s">
        <v>1851</v>
      </c>
      <c r="C200" s="1214"/>
      <c r="D200" s="1214"/>
      <c r="E200" s="1214"/>
      <c r="F200" s="1214"/>
      <c r="G200" s="1215"/>
      <c r="H200" s="1214"/>
      <c r="I200" s="1214"/>
      <c r="J200" s="1214"/>
      <c r="K200" s="1214"/>
      <c r="L200" s="1215"/>
      <c r="M200" s="1214"/>
      <c r="N200" s="1214"/>
      <c r="O200" s="1214"/>
      <c r="P200" s="1214"/>
      <c r="Q200" s="1215"/>
      <c r="R200" s="1214"/>
      <c r="S200" s="1214"/>
      <c r="T200" s="1214"/>
      <c r="U200" s="1214"/>
      <c r="V200" s="1215"/>
      <c r="W200" s="1214"/>
      <c r="X200" s="1214"/>
      <c r="Y200" s="1214"/>
      <c r="Z200" s="1214"/>
      <c r="AA200" s="1215"/>
      <c r="AB200" s="1214"/>
      <c r="AC200" s="1214"/>
      <c r="AD200" s="1214"/>
      <c r="AE200" s="1214"/>
      <c r="AF200" s="1215"/>
      <c r="AG200" s="1214"/>
      <c r="AH200" s="1214"/>
      <c r="AI200" s="1214"/>
      <c r="AJ200" s="1214"/>
      <c r="AK200" s="1215"/>
      <c r="AL200" s="1214"/>
      <c r="AM200" s="1214"/>
      <c r="AN200" s="1214"/>
      <c r="AO200" s="1214"/>
      <c r="AP200" s="1215"/>
      <c r="AQ200" s="1214"/>
      <c r="AR200" s="1214"/>
      <c r="AS200" s="1214"/>
      <c r="AT200" s="1214"/>
      <c r="AU200" s="1215"/>
      <c r="AV200" s="1214"/>
      <c r="AW200" s="1214"/>
      <c r="AX200" s="1214"/>
      <c r="AY200" s="1214"/>
      <c r="AZ200" s="1215"/>
      <c r="BA200" s="1218"/>
      <c r="BB200" s="1218"/>
      <c r="BC200" s="1218"/>
      <c r="BD200" s="1214"/>
      <c r="BE200" s="1222"/>
      <c r="BF200" s="1218"/>
      <c r="BG200" s="1218"/>
      <c r="BH200" s="1218"/>
      <c r="BI200" s="1214"/>
      <c r="BJ200" s="1222"/>
      <c r="BK200" s="1218"/>
      <c r="BL200" s="1218"/>
      <c r="BM200" s="1218"/>
      <c r="BN200" s="1214"/>
      <c r="BO200" s="1222"/>
      <c r="BP200" s="1218"/>
      <c r="BQ200" s="1218"/>
      <c r="BR200" s="1218"/>
      <c r="BS200" s="1214"/>
      <c r="BT200" s="1222"/>
      <c r="BU200" s="1218"/>
      <c r="BV200" s="1218"/>
      <c r="BW200" s="1218"/>
      <c r="BX200" s="1214"/>
      <c r="BY200" s="1222"/>
      <c r="BZ200" s="1218"/>
      <c r="CA200" s="1218"/>
      <c r="CB200" s="1218"/>
      <c r="CC200" s="1214"/>
      <c r="CD200" s="1222"/>
      <c r="CE200" s="1218"/>
      <c r="CF200" s="1218"/>
      <c r="CG200" s="1218"/>
      <c r="CH200" s="1214"/>
      <c r="CI200" s="1222"/>
      <c r="CJ200" s="1218"/>
      <c r="CK200" s="1218"/>
      <c r="CL200" s="1218"/>
      <c r="CM200" s="1214"/>
      <c r="CN200" s="1222"/>
      <c r="CO200" s="1218"/>
      <c r="CP200" s="1218"/>
      <c r="CQ200" s="1218"/>
      <c r="CR200" s="1214"/>
      <c r="CS200" s="1222"/>
      <c r="CT200" s="1218"/>
      <c r="CU200" s="1218"/>
      <c r="CV200" s="1214">
        <v>-0.16</v>
      </c>
      <c r="CW200" s="1214"/>
      <c r="CX200" s="1222"/>
      <c r="CY200" s="1218">
        <v>0</v>
      </c>
      <c r="CZ200" s="1218">
        <v>0</v>
      </c>
      <c r="DA200" s="1218">
        <v>0</v>
      </c>
      <c r="DB200" s="1218">
        <v>0</v>
      </c>
      <c r="DC200" s="1219">
        <f t="shared" si="407"/>
      </c>
      <c r="DD200" s="1218">
        <v>0</v>
      </c>
      <c r="DE200" s="1218">
        <v>0</v>
      </c>
      <c r="DF200" s="1218">
        <v>0</v>
      </c>
      <c r="DG200" s="1218">
        <v>0</v>
      </c>
      <c r="DH200" s="1219">
        <f t="shared" si="408"/>
      </c>
      <c r="DI200" s="1218">
        <v>0</v>
      </c>
      <c r="DJ200" s="1218">
        <v>0</v>
      </c>
      <c r="DK200" s="1218">
        <v>0</v>
      </c>
      <c r="DL200" s="1218">
        <v>0</v>
      </c>
      <c r="DM200" s="1219">
        <f t="shared" si="409"/>
      </c>
      <c r="DN200" s="1218">
        <v>0</v>
      </c>
      <c r="DO200" s="1218">
        <v>0</v>
      </c>
      <c r="DP200" s="1218">
        <v>0</v>
      </c>
      <c r="DQ200" s="1218">
        <v>0</v>
      </c>
      <c r="DR200" s="1219">
        <f t="shared" si="410"/>
      </c>
      <c r="DS200" s="1218">
        <v>0</v>
      </c>
      <c r="DT200" s="1218">
        <v>0</v>
      </c>
      <c r="DU200" s="1218">
        <v>0</v>
      </c>
      <c r="DV200" s="1218">
        <v>0</v>
      </c>
      <c r="DW200" s="1219">
        <f t="shared" si="416"/>
      </c>
      <c r="DX200" s="1218">
        <v>0</v>
      </c>
      <c r="DY200" s="1218">
        <v>0</v>
      </c>
      <c r="DZ200" s="1218">
        <v>0</v>
      </c>
      <c r="EA200" s="1218">
        <v>0</v>
      </c>
      <c r="EB200" s="1219">
        <f t="shared" si="411"/>
      </c>
      <c r="EC200" s="1218">
        <v>0</v>
      </c>
      <c r="ED200" s="1218">
        <v>0</v>
      </c>
      <c r="EE200" s="1218">
        <v>0</v>
      </c>
      <c r="EF200" s="1218">
        <v>0</v>
      </c>
      <c r="EG200" s="1219">
        <f t="shared" si="417"/>
      </c>
      <c r="EH200" s="1218">
        <v>0</v>
      </c>
      <c r="EI200" s="1218">
        <v>0</v>
      </c>
      <c r="EJ200" s="1218">
        <v>0</v>
      </c>
      <c r="EK200" s="1218">
        <v>0</v>
      </c>
      <c r="EL200" s="1219">
        <f t="shared" si="415"/>
      </c>
      <c r="EM200" s="1218">
        <v>0</v>
      </c>
      <c r="EN200" s="1218">
        <v>0</v>
      </c>
      <c r="EO200" s="1218">
        <v>0</v>
      </c>
      <c r="EP200" s="1218">
        <v>0</v>
      </c>
      <c r="EQ200" s="1219">
        <f t="shared" si="414"/>
      </c>
      <c r="ER200" s="1218">
        <v>0</v>
      </c>
      <c r="ES200" s="1218">
        <v>0</v>
      </c>
      <c r="ET200" s="1518">
        <v>0</v>
      </c>
      <c r="EU200" s="1518">
        <v>0</v>
      </c>
      <c r="EV200" s="1223">
        <f t="shared" si="412"/>
      </c>
      <c r="EW200" s="1218">
        <v>0</v>
      </c>
      <c r="EX200" s="1218">
        <v>0</v>
      </c>
      <c r="EY200" s="1218">
        <v>0</v>
      </c>
      <c r="EZ200" s="1218">
        <v>0</v>
      </c>
      <c r="FA200" s="1223">
        <f t="shared" si="413"/>
      </c>
      <c r="FB200" s="299"/>
      <c r="FC200" s="299"/>
      <c r="FD200" s="299"/>
      <c r="FE200" s="299"/>
      <c r="FF200" s="300"/>
      <c r="FG200" s="299"/>
      <c r="FH200" s="299"/>
      <c r="FI200" s="299"/>
      <c r="FJ200" s="299"/>
      <c r="FK200" s="300"/>
      <c r="FL200" s="299"/>
      <c r="FM200" s="299"/>
      <c r="FN200" s="299"/>
      <c r="FO200" s="299"/>
      <c r="FP200" s="300"/>
      <c r="FQ200" s="299"/>
      <c r="FR200" s="299"/>
      <c r="FS200" s="299"/>
      <c r="FT200" s="299"/>
      <c r="FU200" s="300"/>
      <c r="FV200" s="299"/>
      <c r="FW200" s="299"/>
      <c r="FX200" s="299"/>
      <c r="FY200" s="299"/>
      <c r="FZ200" s="300"/>
      <c r="GA200" s="299"/>
      <c r="GB200" s="299"/>
      <c r="GC200" s="299"/>
      <c r="GD200" s="299"/>
      <c r="GE200" s="300"/>
      <c r="GF200" s="299"/>
      <c r="GG200" s="299"/>
      <c r="GH200" s="299"/>
      <c r="GI200" s="299"/>
      <c r="GJ200" s="300"/>
    </row>
    <row r="201" spans="1:192" ht="12.75" customHeight="1" outlineLevel="2">
      <c r="B201" s="986" t="s">
        <v>1852</v>
      </c>
      <c r="C201" s="1214"/>
      <c r="D201" s="1214"/>
      <c r="E201" s="1214"/>
      <c r="F201" s="1214"/>
      <c r="G201" s="1215"/>
      <c r="H201" s="1214"/>
      <c r="I201" s="1214"/>
      <c r="J201" s="1214"/>
      <c r="K201" s="1214"/>
      <c r="L201" s="1215"/>
      <c r="M201" s="1214"/>
      <c r="N201" s="1214"/>
      <c r="O201" s="1214"/>
      <c r="P201" s="1214"/>
      <c r="Q201" s="1215"/>
      <c r="R201" s="1214"/>
      <c r="S201" s="1214"/>
      <c r="T201" s="1214"/>
      <c r="U201" s="1214"/>
      <c r="V201" s="1215"/>
      <c r="W201" s="1214"/>
      <c r="X201" s="1214"/>
      <c r="Y201" s="1214"/>
      <c r="Z201" s="1214"/>
      <c r="AA201" s="1215"/>
      <c r="AB201" s="1214"/>
      <c r="AC201" s="1214"/>
      <c r="AD201" s="1214"/>
      <c r="AE201" s="1214"/>
      <c r="AF201" s="1215"/>
      <c r="AG201" s="1214"/>
      <c r="AH201" s="1214"/>
      <c r="AI201" s="1214"/>
      <c r="AJ201" s="1214"/>
      <c r="AK201" s="1215"/>
      <c r="AL201" s="1214"/>
      <c r="AM201" s="1214"/>
      <c r="AN201" s="1214"/>
      <c r="AO201" s="1214"/>
      <c r="AP201" s="1215"/>
      <c r="AQ201" s="1214"/>
      <c r="AR201" s="1214"/>
      <c r="AS201" s="1214"/>
      <c r="AT201" s="1214"/>
      <c r="AU201" s="1215"/>
      <c r="AV201" s="1214"/>
      <c r="AW201" s="1214"/>
      <c r="AX201" s="1214"/>
      <c r="AY201" s="1214"/>
      <c r="AZ201" s="1215"/>
      <c r="BA201" s="1218"/>
      <c r="BB201" s="1218"/>
      <c r="BC201" s="1218"/>
      <c r="BD201" s="1214"/>
      <c r="BE201" s="1222"/>
      <c r="BF201" s="1218"/>
      <c r="BG201" s="1218"/>
      <c r="BH201" s="1218"/>
      <c r="BI201" s="1214"/>
      <c r="BJ201" s="1222"/>
      <c r="BK201" s="1218"/>
      <c r="BL201" s="1218"/>
      <c r="BM201" s="1218"/>
      <c r="BN201" s="1214"/>
      <c r="BO201" s="1222"/>
      <c r="BP201" s="1218"/>
      <c r="BQ201" s="1218"/>
      <c r="BR201" s="1218"/>
      <c r="BS201" s="1214"/>
      <c r="BT201" s="1222"/>
      <c r="BU201" s="1218"/>
      <c r="BV201" s="1218"/>
      <c r="BW201" s="1218"/>
      <c r="BX201" s="1214"/>
      <c r="BY201" s="1222"/>
      <c r="BZ201" s="1218"/>
      <c r="CA201" s="1218"/>
      <c r="CB201" s="1218"/>
      <c r="CC201" s="1214"/>
      <c r="CD201" s="1222"/>
      <c r="CE201" s="1218"/>
      <c r="CF201" s="1218"/>
      <c r="CG201" s="1218"/>
      <c r="CH201" s="1214"/>
      <c r="CI201" s="1222"/>
      <c r="CJ201" s="1218"/>
      <c r="CK201" s="1218"/>
      <c r="CL201" s="1218"/>
      <c r="CM201" s="1214"/>
      <c r="CN201" s="1222"/>
      <c r="CO201" s="1218"/>
      <c r="CP201" s="1218"/>
      <c r="CQ201" s="1218"/>
      <c r="CR201" s="1214"/>
      <c r="CS201" s="1222"/>
      <c r="CT201" s="1218"/>
      <c r="CU201" s="1218"/>
      <c r="CV201" s="1214">
        <v>0.09</v>
      </c>
      <c r="CW201" s="1214"/>
      <c r="CX201" s="1222"/>
      <c r="CY201" s="1218">
        <v>0</v>
      </c>
      <c r="CZ201" s="1218">
        <v>0</v>
      </c>
      <c r="DA201" s="1218">
        <v>0</v>
      </c>
      <c r="DB201" s="1218">
        <v>0</v>
      </c>
      <c r="DC201" s="1219">
        <f t="shared" si="407"/>
      </c>
      <c r="DD201" s="1218">
        <v>0</v>
      </c>
      <c r="DE201" s="1218">
        <v>0</v>
      </c>
      <c r="DF201" s="1218">
        <v>0</v>
      </c>
      <c r="DG201" s="1218">
        <v>0</v>
      </c>
      <c r="DH201" s="1219">
        <f t="shared" si="408"/>
      </c>
      <c r="DI201" s="1218">
        <v>0</v>
      </c>
      <c r="DJ201" s="1218">
        <v>0</v>
      </c>
      <c r="DK201" s="1218">
        <v>0</v>
      </c>
      <c r="DL201" s="1218">
        <v>0</v>
      </c>
      <c r="DM201" s="1219">
        <f t="shared" si="409"/>
      </c>
      <c r="DN201" s="1218">
        <v>0</v>
      </c>
      <c r="DO201" s="1218">
        <v>0</v>
      </c>
      <c r="DP201" s="1218">
        <v>0</v>
      </c>
      <c r="DQ201" s="1218">
        <v>0</v>
      </c>
      <c r="DR201" s="1219">
        <f t="shared" si="410"/>
      </c>
      <c r="DS201" s="1218">
        <v>0</v>
      </c>
      <c r="DT201" s="1218">
        <v>0</v>
      </c>
      <c r="DU201" s="1218">
        <v>0</v>
      </c>
      <c r="DV201" s="1218">
        <v>0</v>
      </c>
      <c r="DW201" s="1219">
        <f t="shared" si="416"/>
      </c>
      <c r="DX201" s="1218">
        <v>0</v>
      </c>
      <c r="DY201" s="1218">
        <v>0</v>
      </c>
      <c r="DZ201" s="1218">
        <v>0</v>
      </c>
      <c r="EA201" s="1218">
        <v>0</v>
      </c>
      <c r="EB201" s="1219">
        <f t="shared" si="411"/>
      </c>
      <c r="EC201" s="1218">
        <v>0</v>
      </c>
      <c r="ED201" s="1218">
        <v>0</v>
      </c>
      <c r="EE201" s="1218">
        <v>0</v>
      </c>
      <c r="EF201" s="1218">
        <v>0</v>
      </c>
      <c r="EG201" s="1219">
        <f t="shared" si="417"/>
      </c>
      <c r="EH201" s="1218">
        <v>0</v>
      </c>
      <c r="EI201" s="1218">
        <v>0</v>
      </c>
      <c r="EJ201" s="1218">
        <v>0</v>
      </c>
      <c r="EK201" s="1218">
        <v>0</v>
      </c>
      <c r="EL201" s="1219">
        <f t="shared" si="415"/>
      </c>
      <c r="EM201" s="1218">
        <v>0</v>
      </c>
      <c r="EN201" s="1218">
        <v>0</v>
      </c>
      <c r="EO201" s="1218">
        <v>0</v>
      </c>
      <c r="EP201" s="1218">
        <v>0</v>
      </c>
      <c r="EQ201" s="1219">
        <f t="shared" si="414"/>
      </c>
      <c r="ER201" s="1218">
        <v>0</v>
      </c>
      <c r="ES201" s="1218">
        <v>0</v>
      </c>
      <c r="ET201" s="1518">
        <v>0</v>
      </c>
      <c r="EU201" s="1518">
        <v>0</v>
      </c>
      <c r="EV201" s="1223">
        <f t="shared" si="412"/>
      </c>
      <c r="EW201" s="1218">
        <v>0</v>
      </c>
      <c r="EX201" s="1218">
        <v>0</v>
      </c>
      <c r="EY201" s="1218">
        <v>0</v>
      </c>
      <c r="EZ201" s="1218">
        <v>0</v>
      </c>
      <c r="FA201" s="1223">
        <f t="shared" si="413"/>
      </c>
      <c r="FB201" s="299"/>
      <c r="FC201" s="299"/>
      <c r="FD201" s="299"/>
      <c r="FE201" s="299"/>
      <c r="FF201" s="300"/>
      <c r="FG201" s="299"/>
      <c r="FH201" s="299"/>
      <c r="FI201" s="299"/>
      <c r="FJ201" s="299"/>
      <c r="FK201" s="300"/>
      <c r="FL201" s="299"/>
      <c r="FM201" s="299"/>
      <c r="FN201" s="299"/>
      <c r="FO201" s="299"/>
      <c r="FP201" s="300"/>
      <c r="FQ201" s="299"/>
      <c r="FR201" s="299"/>
      <c r="FS201" s="299"/>
      <c r="FT201" s="299"/>
      <c r="FU201" s="300"/>
      <c r="FV201" s="299"/>
      <c r="FW201" s="299"/>
      <c r="FX201" s="299"/>
      <c r="FY201" s="299"/>
      <c r="FZ201" s="300"/>
      <c r="GA201" s="299"/>
      <c r="GB201" s="299"/>
      <c r="GC201" s="299"/>
      <c r="GD201" s="299"/>
      <c r="GE201" s="300"/>
      <c r="GF201" s="299"/>
      <c r="GG201" s="299"/>
      <c r="GH201" s="299"/>
      <c r="GI201" s="299"/>
      <c r="GJ201" s="300"/>
    </row>
    <row r="202" spans="1:192" ht="12.75" customHeight="1" outlineLevel="2">
      <c r="B202" s="986" t="s">
        <v>1853</v>
      </c>
      <c r="C202" s="1214"/>
      <c r="D202" s="1214"/>
      <c r="E202" s="1214"/>
      <c r="F202" s="1214"/>
      <c r="G202" s="1215"/>
      <c r="H202" s="1214"/>
      <c r="I202" s="1214"/>
      <c r="J202" s="1214"/>
      <c r="K202" s="1214"/>
      <c r="L202" s="1215"/>
      <c r="M202" s="1214"/>
      <c r="N202" s="1214"/>
      <c r="O202" s="1214"/>
      <c r="P202" s="1214"/>
      <c r="Q202" s="1215"/>
      <c r="R202" s="1214"/>
      <c r="S202" s="1214"/>
      <c r="T202" s="1214"/>
      <c r="U202" s="1214"/>
      <c r="V202" s="1215"/>
      <c r="W202" s="1214"/>
      <c r="X202" s="1214"/>
      <c r="Y202" s="1214"/>
      <c r="Z202" s="1214"/>
      <c r="AA202" s="1215"/>
      <c r="AB202" s="1214"/>
      <c r="AC202" s="1214"/>
      <c r="AD202" s="1214"/>
      <c r="AE202" s="1214"/>
      <c r="AF202" s="1215"/>
      <c r="AG202" s="1214"/>
      <c r="AH202" s="1214"/>
      <c r="AI202" s="1214"/>
      <c r="AJ202" s="1214"/>
      <c r="AK202" s="1215"/>
      <c r="AL202" s="1214"/>
      <c r="AM202" s="1214"/>
      <c r="AN202" s="1214"/>
      <c r="AO202" s="1214"/>
      <c r="AP202" s="1215"/>
      <c r="AQ202" s="1214"/>
      <c r="AR202" s="1214"/>
      <c r="AS202" s="1214"/>
      <c r="AT202" s="1214"/>
      <c r="AU202" s="1215"/>
      <c r="AV202" s="1214"/>
      <c r="AW202" s="1214"/>
      <c r="AX202" s="1214"/>
      <c r="AY202" s="1214"/>
      <c r="AZ202" s="1215"/>
      <c r="BA202" s="1218"/>
      <c r="BB202" s="1218"/>
      <c r="BC202" s="1218"/>
      <c r="BD202" s="1214"/>
      <c r="BE202" s="1222"/>
      <c r="BF202" s="1218"/>
      <c r="BG202" s="1218"/>
      <c r="BH202" s="1218"/>
      <c r="BI202" s="1214"/>
      <c r="BJ202" s="1222"/>
      <c r="BK202" s="1218"/>
      <c r="BL202" s="1218"/>
      <c r="BM202" s="1218"/>
      <c r="BN202" s="1214"/>
      <c r="BO202" s="1222"/>
      <c r="BP202" s="1218"/>
      <c r="BQ202" s="1218"/>
      <c r="BR202" s="1218"/>
      <c r="BS202" s="1214"/>
      <c r="BT202" s="1222"/>
      <c r="BU202" s="1218"/>
      <c r="BV202" s="1218"/>
      <c r="BW202" s="1218"/>
      <c r="BX202" s="1214"/>
      <c r="BY202" s="1222"/>
      <c r="BZ202" s="1218"/>
      <c r="CA202" s="1218"/>
      <c r="CB202" s="1218"/>
      <c r="CC202" s="1214"/>
      <c r="CD202" s="1222"/>
      <c r="CE202" s="1218"/>
      <c r="CF202" s="1218"/>
      <c r="CG202" s="1218"/>
      <c r="CH202" s="1214"/>
      <c r="CI202" s="1222"/>
      <c r="CJ202" s="1218"/>
      <c r="CK202" s="1218"/>
      <c r="CL202" s="1218"/>
      <c r="CM202" s="1214"/>
      <c r="CN202" s="1222"/>
      <c r="CO202" s="1218"/>
      <c r="CP202" s="1218"/>
      <c r="CQ202" s="1218"/>
      <c r="CR202" s="1214"/>
      <c r="CS202" s="1222"/>
      <c r="CT202" s="1218"/>
      <c r="CU202" s="1218"/>
      <c r="CV202" s="1214"/>
      <c r="CW202" s="1214"/>
      <c r="CX202" s="1222"/>
      <c r="CY202" s="1218">
        <v>0</v>
      </c>
      <c r="CZ202" s="1218">
        <v>0</v>
      </c>
      <c r="DA202" s="1218">
        <v>0</v>
      </c>
      <c r="DB202" s="1218">
        <v>0</v>
      </c>
      <c r="DC202" s="1219">
        <f t="shared" si="407"/>
      </c>
      <c r="DD202" s="1218">
        <v>0</v>
      </c>
      <c r="DE202" s="1218">
        <v>0</v>
      </c>
      <c r="DF202" s="1218">
        <v>0</v>
      </c>
      <c r="DG202" s="1218">
        <v>0</v>
      </c>
      <c r="DH202" s="1219">
        <f t="shared" si="408"/>
      </c>
      <c r="DI202" s="1218">
        <v>0</v>
      </c>
      <c r="DJ202" s="1218">
        <v>0</v>
      </c>
      <c r="DK202" s="1218">
        <v>0</v>
      </c>
      <c r="DL202" s="1218">
        <v>0</v>
      </c>
      <c r="DM202" s="1219">
        <f t="shared" si="409"/>
      </c>
      <c r="DN202" s="1218">
        <v>0</v>
      </c>
      <c r="DO202" s="1218">
        <v>0</v>
      </c>
      <c r="DP202" s="1218">
        <v>0</v>
      </c>
      <c r="DQ202" s="1218">
        <v>0</v>
      </c>
      <c r="DR202" s="1219">
        <f t="shared" si="410"/>
      </c>
      <c r="DS202" s="1218">
        <v>0</v>
      </c>
      <c r="DT202" s="1218">
        <v>0</v>
      </c>
      <c r="DU202" s="1218">
        <v>0</v>
      </c>
      <c r="DV202" s="1218">
        <v>0</v>
      </c>
      <c r="DW202" s="1219">
        <f t="shared" si="416"/>
      </c>
      <c r="DX202" s="1218">
        <v>0</v>
      </c>
      <c r="DY202" s="1218">
        <v>0</v>
      </c>
      <c r="DZ202" s="1218">
        <v>0</v>
      </c>
      <c r="EA202" s="1218">
        <v>0</v>
      </c>
      <c r="EB202" s="1219">
        <f t="shared" si="411"/>
      </c>
      <c r="EC202" s="1218">
        <v>0</v>
      </c>
      <c r="ED202" s="1218">
        <v>0</v>
      </c>
      <c r="EE202" s="1218">
        <v>0</v>
      </c>
      <c r="EF202" s="1218">
        <v>0</v>
      </c>
      <c r="EG202" s="1219">
        <f t="shared" si="417"/>
      </c>
      <c r="EH202" s="1218">
        <v>0</v>
      </c>
      <c r="EI202" s="1218">
        <v>0</v>
      </c>
      <c r="EJ202" s="1218">
        <v>0</v>
      </c>
      <c r="EK202" s="1218">
        <v>0</v>
      </c>
      <c r="EL202" s="1219">
        <f t="shared" si="415"/>
      </c>
      <c r="EM202" s="1218">
        <v>0</v>
      </c>
      <c r="EN202" s="1218">
        <v>0</v>
      </c>
      <c r="EO202" s="1218">
        <v>0</v>
      </c>
      <c r="EP202" s="1218">
        <v>0</v>
      </c>
      <c r="EQ202" s="1219">
        <f t="shared" si="414"/>
      </c>
      <c r="ER202" s="1218">
        <v>0</v>
      </c>
      <c r="ES202" s="1218">
        <v>0</v>
      </c>
      <c r="ET202" s="1518">
        <v>0</v>
      </c>
      <c r="EU202" s="1518">
        <v>0</v>
      </c>
      <c r="EV202" s="1223">
        <f t="shared" si="412"/>
      </c>
      <c r="EW202" s="1218">
        <v>0</v>
      </c>
      <c r="EX202" s="1218">
        <v>0</v>
      </c>
      <c r="EY202" s="1218">
        <v>0</v>
      </c>
      <c r="EZ202" s="1218">
        <v>0</v>
      </c>
      <c r="FA202" s="1223">
        <f t="shared" si="413"/>
      </c>
      <c r="FB202" s="299"/>
      <c r="FC202" s="299"/>
      <c r="FD202" s="299"/>
      <c r="FE202" s="299"/>
      <c r="FF202" s="300"/>
      <c r="FG202" s="299"/>
      <c r="FH202" s="299"/>
      <c r="FI202" s="299"/>
      <c r="FJ202" s="299"/>
      <c r="FK202" s="300"/>
      <c r="FL202" s="299"/>
      <c r="FM202" s="299"/>
      <c r="FN202" s="299"/>
      <c r="FO202" s="299"/>
      <c r="FP202" s="300"/>
      <c r="FQ202" s="299"/>
      <c r="FR202" s="299"/>
      <c r="FS202" s="299"/>
      <c r="FT202" s="299"/>
      <c r="FU202" s="300"/>
      <c r="FV202" s="299"/>
      <c r="FW202" s="299"/>
      <c r="FX202" s="299"/>
      <c r="FY202" s="299"/>
      <c r="FZ202" s="300"/>
      <c r="GA202" s="299"/>
      <c r="GB202" s="299"/>
      <c r="GC202" s="299"/>
      <c r="GD202" s="299"/>
      <c r="GE202" s="300"/>
      <c r="GF202" s="299"/>
      <c r="GG202" s="299"/>
      <c r="GH202" s="299"/>
      <c r="GI202" s="299"/>
      <c r="GJ202" s="300"/>
    </row>
    <row r="203" spans="1:192" ht="12.75" customHeight="1" outlineLevel="1">
      <c r="A203" s="68" t="s">
        <v>319</v>
      </c>
      <c r="B203" s="1208" t="s">
        <v>1843</v>
      </c>
      <c r="C203" s="1209"/>
      <c r="D203" s="1209"/>
      <c r="E203" s="1209"/>
      <c r="F203" s="1209"/>
      <c r="G203" s="1210"/>
      <c r="H203" s="1209"/>
      <c r="I203" s="1209"/>
      <c r="J203" s="1209"/>
      <c r="K203" s="1209"/>
      <c r="L203" s="1210"/>
      <c r="M203" s="1209"/>
      <c r="N203" s="1209"/>
      <c r="O203" s="1209"/>
      <c r="P203" s="1209"/>
      <c r="Q203" s="1210"/>
      <c r="R203" s="1209"/>
      <c r="S203" s="1209"/>
      <c r="T203" s="1209"/>
      <c r="U203" s="1209"/>
      <c r="V203" s="1210"/>
      <c r="W203" s="1209"/>
      <c r="X203" s="1209"/>
      <c r="Y203" s="1209"/>
      <c r="Z203" s="1209"/>
      <c r="AA203" s="1210"/>
      <c r="AB203" s="1209"/>
      <c r="AC203" s="1209"/>
      <c r="AD203" s="1209"/>
      <c r="AE203" s="1209"/>
      <c r="AF203" s="1210"/>
      <c r="AG203" s="1209"/>
      <c r="AH203" s="1209"/>
      <c r="AI203" s="1209"/>
      <c r="AJ203" s="1209"/>
      <c r="AK203" s="1210"/>
      <c r="AL203" s="1209"/>
      <c r="AM203" s="1209"/>
      <c r="AN203" s="1209"/>
      <c r="AO203" s="1209"/>
      <c r="AP203" s="1210"/>
      <c r="AQ203" s="1209"/>
      <c r="AR203" s="1209"/>
      <c r="AS203" s="1209"/>
      <c r="AT203" s="1209"/>
      <c r="AU203" s="1210"/>
      <c r="AV203" s="1209"/>
      <c r="AW203" s="1209"/>
      <c r="AX203" s="1209"/>
      <c r="AY203" s="1209"/>
      <c r="AZ203" s="1210"/>
      <c r="BA203" s="1209"/>
      <c r="BB203" s="1209"/>
      <c r="BC203" s="1209"/>
      <c r="BD203" s="1209"/>
      <c r="BE203" s="1210"/>
      <c r="BF203" s="1209"/>
      <c r="BG203" s="1209"/>
      <c r="BH203" s="1209"/>
      <c r="BI203" s="1209"/>
      <c r="BJ203" s="1210"/>
      <c r="BK203" s="1209"/>
      <c r="BL203" s="1209"/>
      <c r="BM203" s="1209"/>
      <c r="BN203" s="1209"/>
      <c r="BO203" s="1210"/>
      <c r="BP203" s="1209"/>
      <c r="BQ203" s="1209"/>
      <c r="BR203" s="1209"/>
      <c r="BS203" s="1209"/>
      <c r="BT203" s="1210"/>
      <c r="BU203" s="1209"/>
      <c r="BV203" s="1209"/>
      <c r="BW203" s="1209"/>
      <c r="BX203" s="1209"/>
      <c r="BY203" s="1210"/>
      <c r="BZ203" s="1209"/>
      <c r="CA203" s="1209"/>
      <c r="CB203" s="1209"/>
      <c r="CC203" s="1209"/>
      <c r="CD203" s="1210"/>
      <c r="CE203" s="1209"/>
      <c r="CF203" s="1209"/>
      <c r="CG203" s="1209"/>
      <c r="CH203" s="1209"/>
      <c r="CI203" s="1210"/>
      <c r="CJ203" s="1209"/>
      <c r="CK203" s="1209"/>
      <c r="CL203" s="1209"/>
      <c r="CM203" s="1209"/>
      <c r="CN203" s="1210"/>
      <c r="CO203" s="1209"/>
      <c r="CP203" s="1209"/>
      <c r="CQ203" s="1209"/>
      <c r="CR203" s="1209"/>
      <c r="CS203" s="1210"/>
      <c r="CT203" s="1209"/>
      <c r="CU203" s="1209"/>
      <c r="CV203" s="1209"/>
      <c r="CW203" s="1209"/>
      <c r="CX203" s="1210"/>
      <c r="CY203" s="1209">
        <f t="shared" ref="CY203:ED203" si="418">CY$147+SUM(CY194:CY202)</f>
      </c>
      <c r="CZ203" s="1209">
        <f t="shared" si="418"/>
      </c>
      <c r="DA203" s="1209">
        <f t="shared" si="418"/>
      </c>
      <c r="DB203" s="1209">
        <f t="shared" si="418"/>
      </c>
      <c r="DC203" s="1210">
        <f t="shared" si="418"/>
      </c>
      <c r="DD203" s="1209">
        <f t="shared" si="418"/>
      </c>
      <c r="DE203" s="1209">
        <f t="shared" si="418"/>
      </c>
      <c r="DF203" s="1209">
        <f t="shared" si="418"/>
      </c>
      <c r="DG203" s="1209">
        <f t="shared" si="418"/>
      </c>
      <c r="DH203" s="1210">
        <f t="shared" si="418"/>
      </c>
      <c r="DI203" s="1209">
        <f t="shared" si="418"/>
      </c>
      <c r="DJ203" s="1209">
        <f t="shared" si="418"/>
      </c>
      <c r="DK203" s="1209">
        <f t="shared" si="418"/>
      </c>
      <c r="DL203" s="1209">
        <f t="shared" si="418"/>
      </c>
      <c r="DM203" s="1210">
        <f t="shared" si="418"/>
      </c>
      <c r="DN203" s="1209">
        <f t="shared" si="418"/>
      </c>
      <c r="DO203" s="1209">
        <f t="shared" si="418"/>
      </c>
      <c r="DP203" s="1209">
        <f t="shared" si="418"/>
      </c>
      <c r="DQ203" s="1209">
        <f t="shared" si="418"/>
      </c>
      <c r="DR203" s="1210">
        <f t="shared" si="418"/>
      </c>
      <c r="DS203" s="1209">
        <f t="shared" si="418"/>
      </c>
      <c r="DT203" s="1209">
        <f t="shared" si="418"/>
      </c>
      <c r="DU203" s="1209">
        <f t="shared" si="418"/>
      </c>
      <c r="DV203" s="1209">
        <f t="shared" si="418"/>
      </c>
      <c r="DW203" s="1210">
        <f t="shared" si="418"/>
      </c>
      <c r="DX203" s="1209">
        <f t="shared" si="418"/>
      </c>
      <c r="DY203" s="1209">
        <f t="shared" si="418"/>
      </c>
      <c r="DZ203" s="1209">
        <f t="shared" si="418"/>
      </c>
      <c r="EA203" s="1209">
        <f t="shared" si="418"/>
      </c>
      <c r="EB203" s="1210">
        <f t="shared" si="418"/>
      </c>
      <c r="EC203" s="1209">
        <f t="shared" si="418"/>
      </c>
      <c r="ED203" s="1209">
        <f t="shared" si="418"/>
      </c>
      <c r="EE203" s="1209">
        <f t="shared" ref="EE203:FA203" si="419">EE$147+SUM(EE194:EE202)</f>
      </c>
      <c r="EF203" s="1209">
        <f t="shared" si="419"/>
      </c>
      <c r="EG203" s="1210">
        <f t="shared" si="419"/>
      </c>
      <c r="EH203" s="1211">
        <f t="shared" si="419"/>
      </c>
      <c r="EI203" s="1212">
        <f t="shared" si="419"/>
      </c>
      <c r="EJ203" s="1212">
        <f t="shared" si="419"/>
      </c>
      <c r="EK203" s="1212">
        <f t="shared" si="419"/>
      </c>
      <c r="EL203" s="1213">
        <f t="shared" si="419"/>
      </c>
      <c r="EM203" s="1211">
        <f t="shared" si="419"/>
      </c>
      <c r="EN203" s="1212">
        <f t="shared" si="419"/>
      </c>
      <c r="EO203" s="1212">
        <f t="shared" si="419"/>
      </c>
      <c r="EP203" s="1212">
        <f t="shared" si="419"/>
      </c>
      <c r="EQ203" s="1213">
        <f t="shared" si="419"/>
      </c>
      <c r="ER203" s="1209">
        <f t="shared" si="419"/>
      </c>
      <c r="ES203" s="1209">
        <f t="shared" si="419"/>
      </c>
      <c r="ET203" s="1211">
        <f t="shared" si="419"/>
      </c>
      <c r="EU203" s="1211">
        <f t="shared" si="419"/>
      </c>
      <c r="EV203" s="1213">
        <f t="shared" si="419"/>
      </c>
      <c r="EW203" s="1209">
        <f t="shared" si="419"/>
      </c>
      <c r="EX203" s="1209">
        <f t="shared" si="419"/>
      </c>
      <c r="EY203" s="1211">
        <f t="shared" si="419"/>
      </c>
      <c r="EZ203" s="1211">
        <f t="shared" si="419"/>
      </c>
      <c r="FA203" s="1213">
        <f t="shared" si="419"/>
      </c>
      <c r="FB203" s="1209"/>
      <c r="FC203" s="1209"/>
      <c r="FD203" s="1209"/>
      <c r="FE203" s="1209"/>
      <c r="FF203" s="1210"/>
      <c r="FG203" s="1209"/>
      <c r="FH203" s="1209"/>
      <c r="FI203" s="1209"/>
      <c r="FJ203" s="1209"/>
      <c r="FK203" s="1210"/>
      <c r="FL203" s="1209"/>
      <c r="FM203" s="1209"/>
      <c r="FN203" s="1209"/>
      <c r="FO203" s="1209"/>
      <c r="FP203" s="1210"/>
      <c r="FQ203" s="1209"/>
      <c r="FR203" s="1209"/>
      <c r="FS203" s="1209"/>
      <c r="FT203" s="1209"/>
      <c r="FU203" s="1210"/>
      <c r="FV203" s="1209"/>
      <c r="FW203" s="1209"/>
      <c r="FX203" s="1209"/>
      <c r="FY203" s="1209"/>
      <c r="FZ203" s="1210"/>
      <c r="GA203" s="1209"/>
      <c r="GB203" s="1209"/>
      <c r="GC203" s="1209"/>
      <c r="GD203" s="1209"/>
      <c r="GE203" s="1210"/>
      <c r="GF203" s="1209"/>
      <c r="GG203" s="1209"/>
      <c r="GH203" s="1209"/>
      <c r="GI203" s="1209"/>
      <c r="GJ203" s="1210"/>
    </row>
    <row r="204" spans="1:192" s="1227" customFormat="1" ht="12.75" customHeight="1" outlineLevel="1">
      <c r="A204" s="1224" t="s">
        <v>352</v>
      </c>
      <c r="B204" s="1228" t="s">
        <v>34</v>
      </c>
      <c r="C204" s="1225" t="str">
        <f>IFERROR(C203/#REF!-1,"")</f>
      </c>
      <c r="D204" s="1225" t="str">
        <f>IFERROR(D203/#REF!-1,"")</f>
      </c>
      <c r="E204" s="1225" t="str">
        <f>IFERROR(E203/#REF!-1,"")</f>
      </c>
      <c r="F204" s="1225" t="str">
        <f t="shared" ref="F204:AK204" si="420">IFERROR(F203/A203-1,"")</f>
      </c>
      <c r="G204" s="1226" t="str">
        <f t="shared" si="420"/>
      </c>
      <c r="H204" s="1225" t="str">
        <f t="shared" si="420"/>
      </c>
      <c r="I204" s="1225" t="str">
        <f t="shared" si="420"/>
      </c>
      <c r="J204" s="1225" t="str">
        <f t="shared" si="420"/>
      </c>
      <c r="K204" s="1225" t="str">
        <f t="shared" si="420"/>
      </c>
      <c r="L204" s="1226" t="str">
        <f t="shared" si="420"/>
      </c>
      <c r="M204" s="1225" t="str">
        <f t="shared" si="420"/>
      </c>
      <c r="N204" s="1225" t="str">
        <f t="shared" si="420"/>
      </c>
      <c r="O204" s="1225" t="str">
        <f t="shared" si="420"/>
      </c>
      <c r="P204" s="1225" t="str">
        <f t="shared" si="420"/>
      </c>
      <c r="Q204" s="1226" t="str">
        <f t="shared" si="420"/>
      </c>
      <c r="R204" s="1225" t="str">
        <f t="shared" si="420"/>
      </c>
      <c r="S204" s="1225" t="str">
        <f t="shared" si="420"/>
      </c>
      <c r="T204" s="1225" t="str">
        <f t="shared" si="420"/>
      </c>
      <c r="U204" s="1225" t="str">
        <f t="shared" si="420"/>
      </c>
      <c r="V204" s="1226" t="str">
        <f t="shared" si="420"/>
      </c>
      <c r="W204" s="1225" t="str">
        <f t="shared" si="420"/>
      </c>
      <c r="X204" s="1225" t="str">
        <f t="shared" si="420"/>
      </c>
      <c r="Y204" s="1225" t="str">
        <f t="shared" si="420"/>
      </c>
      <c r="Z204" s="1225" t="str">
        <f t="shared" si="420"/>
      </c>
      <c r="AA204" s="1226" t="str">
        <f t="shared" si="420"/>
      </c>
      <c r="AB204" s="1225" t="str">
        <f t="shared" si="420"/>
      </c>
      <c r="AC204" s="1225" t="str">
        <f t="shared" si="420"/>
      </c>
      <c r="AD204" s="1225" t="str">
        <f t="shared" si="420"/>
      </c>
      <c r="AE204" s="1225" t="str">
        <f t="shared" si="420"/>
      </c>
      <c r="AF204" s="1226" t="str">
        <f t="shared" si="420"/>
      </c>
      <c r="AG204" s="1225" t="str">
        <f t="shared" si="420"/>
      </c>
      <c r="AH204" s="1225" t="str">
        <f t="shared" si="420"/>
      </c>
      <c r="AI204" s="1225" t="str">
        <f t="shared" si="420"/>
      </c>
      <c r="AJ204" s="1225" t="str">
        <f t="shared" si="420"/>
      </c>
      <c r="AK204" s="1226" t="str">
        <f t="shared" si="420"/>
      </c>
      <c r="AL204" s="1225" t="str">
        <f t="shared" ref="AL204:BQ204" si="421">IFERROR(AL203/AG203-1,"")</f>
      </c>
      <c r="AM204" s="1225" t="str">
        <f t="shared" si="421"/>
      </c>
      <c r="AN204" s="1225" t="str">
        <f t="shared" si="421"/>
      </c>
      <c r="AO204" s="1225" t="str">
        <f t="shared" si="421"/>
      </c>
      <c r="AP204" s="1226" t="str">
        <f t="shared" si="421"/>
      </c>
      <c r="AQ204" s="1225" t="str">
        <f t="shared" si="421"/>
      </c>
      <c r="AR204" s="1225" t="str">
        <f t="shared" si="421"/>
      </c>
      <c r="AS204" s="1225" t="str">
        <f t="shared" si="421"/>
      </c>
      <c r="AT204" s="1225" t="str">
        <f t="shared" si="421"/>
      </c>
      <c r="AU204" s="1226" t="str">
        <f t="shared" si="421"/>
      </c>
      <c r="AV204" s="1225" t="str">
        <f t="shared" si="421"/>
      </c>
      <c r="AW204" s="1225" t="str">
        <f t="shared" si="421"/>
      </c>
      <c r="AX204" s="1225" t="str">
        <f t="shared" si="421"/>
      </c>
      <c r="AY204" s="1225" t="str">
        <f t="shared" si="421"/>
      </c>
      <c r="AZ204" s="1226" t="str">
        <f t="shared" si="421"/>
      </c>
      <c r="BA204" s="1229" t="str">
        <f t="shared" si="421"/>
      </c>
      <c r="BB204" s="1229" t="str">
        <f t="shared" si="421"/>
      </c>
      <c r="BC204" s="1229" t="str">
        <f t="shared" si="421"/>
      </c>
      <c r="BD204" s="1229" t="str">
        <f t="shared" si="421"/>
      </c>
      <c r="BE204" s="1230" t="str">
        <f t="shared" si="421"/>
      </c>
      <c r="BF204" s="1229" t="str">
        <f t="shared" si="421"/>
      </c>
      <c r="BG204" s="1229" t="str">
        <f t="shared" si="421"/>
      </c>
      <c r="BH204" s="1229" t="str">
        <f t="shared" si="421"/>
      </c>
      <c r="BI204" s="1229" t="str">
        <f t="shared" si="421"/>
      </c>
      <c r="BJ204" s="1230" t="str">
        <f t="shared" si="421"/>
      </c>
      <c r="BK204" s="1229" t="str">
        <f t="shared" si="421"/>
      </c>
      <c r="BL204" s="1229" t="str">
        <f t="shared" si="421"/>
      </c>
      <c r="BM204" s="1229" t="str">
        <f t="shared" si="421"/>
      </c>
      <c r="BN204" s="1229" t="str">
        <f t="shared" si="421"/>
      </c>
      <c r="BO204" s="1230" t="str">
        <f t="shared" si="421"/>
      </c>
      <c r="BP204" s="1229" t="str">
        <f t="shared" si="421"/>
      </c>
      <c r="BQ204" s="1229" t="str">
        <f t="shared" si="421"/>
      </c>
      <c r="BR204" s="1229" t="str">
        <f t="shared" ref="BR204:CW204" si="422">IFERROR(BR203/BM203-1,"")</f>
      </c>
      <c r="BS204" s="1229" t="str">
        <f t="shared" si="422"/>
      </c>
      <c r="BT204" s="1230" t="str">
        <f t="shared" si="422"/>
      </c>
      <c r="BU204" s="1229" t="str">
        <f t="shared" si="422"/>
      </c>
      <c r="BV204" s="1229" t="str">
        <f t="shared" si="422"/>
      </c>
      <c r="BW204" s="1229" t="str">
        <f t="shared" si="422"/>
      </c>
      <c r="BX204" s="1229" t="str">
        <f t="shared" si="422"/>
      </c>
      <c r="BY204" s="1230" t="str">
        <f t="shared" si="422"/>
      </c>
      <c r="BZ204" s="1229" t="str">
        <f t="shared" si="422"/>
      </c>
      <c r="CA204" s="1229" t="str">
        <f t="shared" si="422"/>
      </c>
      <c r="CB204" s="1229" t="str">
        <f t="shared" si="422"/>
      </c>
      <c r="CC204" s="1229" t="str">
        <f t="shared" si="422"/>
      </c>
      <c r="CD204" s="1230" t="str">
        <f t="shared" si="422"/>
      </c>
      <c r="CE204" s="1229" t="str">
        <f t="shared" si="422"/>
      </c>
      <c r="CF204" s="1229" t="str">
        <f t="shared" si="422"/>
      </c>
      <c r="CG204" s="1229" t="str">
        <f t="shared" si="422"/>
      </c>
      <c r="CH204" s="1229" t="str">
        <f t="shared" si="422"/>
      </c>
      <c r="CI204" s="1230" t="str">
        <f t="shared" si="422"/>
      </c>
      <c r="CJ204" s="1229" t="str">
        <f t="shared" si="422"/>
      </c>
      <c r="CK204" s="1229" t="str">
        <f t="shared" si="422"/>
      </c>
      <c r="CL204" s="1229" t="str">
        <f t="shared" si="422"/>
      </c>
      <c r="CM204" s="1229" t="str">
        <f t="shared" si="422"/>
      </c>
      <c r="CN204" s="1230" t="str">
        <f t="shared" si="422"/>
      </c>
      <c r="CO204" s="1229" t="str">
        <f t="shared" si="422"/>
      </c>
      <c r="CP204" s="1229" t="str">
        <f t="shared" si="422"/>
      </c>
      <c r="CQ204" s="1229" t="str">
        <f t="shared" si="422"/>
      </c>
      <c r="CR204" s="1229" t="str">
        <f t="shared" si="422"/>
      </c>
      <c r="CS204" s="1230" t="str">
        <f t="shared" si="422"/>
      </c>
      <c r="CT204" s="1229" t="str">
        <f t="shared" si="422"/>
      </c>
      <c r="CU204" s="1229" t="str">
        <f t="shared" si="422"/>
      </c>
      <c r="CV204" s="1229" t="str">
        <f t="shared" si="422"/>
      </c>
      <c r="CW204" s="1229" t="str">
        <f t="shared" si="422"/>
      </c>
      <c r="CX204" s="1230" t="str">
        <f t="shared" ref="CX204:EC204" si="423">IFERROR(CX203/CS203-1,"")</f>
      </c>
      <c r="CY204" s="1229" t="str">
        <f t="shared" si="423"/>
      </c>
      <c r="CZ204" s="1229" t="str">
        <f t="shared" si="423"/>
      </c>
      <c r="DA204" s="1229" t="str">
        <f t="shared" si="423"/>
      </c>
      <c r="DB204" s="1229" t="str">
        <f t="shared" si="423"/>
      </c>
      <c r="DC204" s="1230" t="str">
        <f t="shared" si="423"/>
      </c>
      <c r="DD204" s="1229">
        <f t="shared" si="423"/>
      </c>
      <c r="DE204" s="1229">
        <f t="shared" si="423"/>
      </c>
      <c r="DF204" s="1229">
        <f t="shared" si="423"/>
      </c>
      <c r="DG204" s="1229">
        <f t="shared" si="423"/>
      </c>
      <c r="DH204" s="1230">
        <f t="shared" si="423"/>
      </c>
      <c r="DI204" s="1229">
        <f t="shared" si="423"/>
      </c>
      <c r="DJ204" s="1229">
        <f t="shared" si="423"/>
      </c>
      <c r="DK204" s="1229">
        <f t="shared" si="423"/>
      </c>
      <c r="DL204" s="1229">
        <f t="shared" si="423"/>
      </c>
      <c r="DM204" s="1230">
        <f t="shared" si="423"/>
      </c>
      <c r="DN204" s="1229">
        <f t="shared" si="423"/>
      </c>
      <c r="DO204" s="1229">
        <f t="shared" si="423"/>
      </c>
      <c r="DP204" s="1229">
        <f t="shared" si="423"/>
      </c>
      <c r="DQ204" s="1229">
        <f t="shared" si="423"/>
      </c>
      <c r="DR204" s="1230">
        <f t="shared" si="423"/>
      </c>
      <c r="DS204" s="1229">
        <f t="shared" si="423"/>
      </c>
      <c r="DT204" s="1229">
        <f t="shared" si="423"/>
      </c>
      <c r="DU204" s="1229">
        <f t="shared" si="423"/>
      </c>
      <c r="DV204" s="1229">
        <f t="shared" si="423"/>
      </c>
      <c r="DW204" s="1230">
        <f t="shared" si="423"/>
      </c>
      <c r="DX204" s="1229">
        <f t="shared" si="423"/>
      </c>
      <c r="DY204" s="1229">
        <f t="shared" si="423"/>
      </c>
      <c r="DZ204" s="1229">
        <f t="shared" si="423"/>
      </c>
      <c r="EA204" s="1229">
        <f t="shared" si="423"/>
      </c>
      <c r="EB204" s="1230">
        <f t="shared" si="423"/>
      </c>
      <c r="EC204" s="1229">
        <f t="shared" si="423"/>
      </c>
      <c r="ED204" s="1229">
        <f t="shared" ref="ED204:FA204" si="424">IFERROR(ED203/DY203-1,"")</f>
      </c>
      <c r="EE204" s="1229">
        <f t="shared" si="424"/>
      </c>
      <c r="EF204" s="1229">
        <f t="shared" si="424"/>
      </c>
      <c r="EG204" s="1230">
        <f t="shared" si="424"/>
      </c>
      <c r="EH204" s="1229">
        <f t="shared" si="424"/>
      </c>
      <c r="EI204" s="1229">
        <f t="shared" si="424"/>
      </c>
      <c r="EJ204" s="1229">
        <f t="shared" si="424"/>
      </c>
      <c r="EK204" s="1229">
        <f t="shared" si="424"/>
      </c>
      <c r="EL204" s="1230">
        <f t="shared" si="424"/>
      </c>
      <c r="EM204" s="1229">
        <f t="shared" si="424"/>
      </c>
      <c r="EN204" s="1229">
        <f t="shared" si="424"/>
      </c>
      <c r="EO204" s="1229">
        <f t="shared" si="424"/>
      </c>
      <c r="EP204" s="1229">
        <f t="shared" si="424"/>
      </c>
      <c r="EQ204" s="1230">
        <f t="shared" si="424"/>
      </c>
      <c r="ER204" s="1229">
        <f t="shared" si="424"/>
      </c>
      <c r="ES204" s="1229">
        <f t="shared" si="424"/>
      </c>
      <c r="ET204" s="1519">
        <f t="shared" si="424"/>
      </c>
      <c r="EU204" s="1519">
        <f t="shared" si="424"/>
      </c>
      <c r="EV204" s="1230">
        <f t="shared" si="424"/>
      </c>
      <c r="EW204" s="1229">
        <f t="shared" si="424"/>
      </c>
      <c r="EX204" s="1229">
        <f t="shared" si="424"/>
      </c>
      <c r="EY204" s="1519">
        <f t="shared" si="424"/>
      </c>
      <c r="EZ204" s="1519">
        <f t="shared" si="424"/>
      </c>
      <c r="FA204" s="1230">
        <f t="shared" si="424"/>
      </c>
      <c r="FB204" s="1225"/>
      <c r="FC204" s="1225"/>
      <c r="FD204" s="1225"/>
      <c r="FE204" s="1225"/>
      <c r="FF204" s="1226"/>
      <c r="FG204" s="1225"/>
      <c r="FH204" s="1225"/>
      <c r="FI204" s="1225"/>
      <c r="FJ204" s="1225"/>
      <c r="FK204" s="1226"/>
      <c r="FL204" s="1225"/>
      <c r="FM204" s="1225"/>
      <c r="FN204" s="1225"/>
      <c r="FO204" s="1225"/>
      <c r="FP204" s="1226"/>
      <c r="FQ204" s="1225"/>
      <c r="FR204" s="1225"/>
      <c r="FS204" s="1225"/>
      <c r="FT204" s="1225"/>
      <c r="FU204" s="1226"/>
      <c r="FV204" s="1225"/>
      <c r="FW204" s="1225"/>
      <c r="FX204" s="1225"/>
      <c r="FY204" s="1225"/>
      <c r="FZ204" s="1226"/>
      <c r="GA204" s="1225"/>
      <c r="GB204" s="1225"/>
      <c r="GC204" s="1225"/>
      <c r="GD204" s="1225"/>
      <c r="GE204" s="1226"/>
      <c r="GF204" s="1225"/>
      <c r="GG204" s="1225"/>
      <c r="GH204" s="1225"/>
      <c r="GI204" s="1225"/>
      <c r="GJ204" s="1226"/>
    </row>
    <row r="205" spans="1:192" s="1227" customFormat="1" ht="12.75" customHeight="1" outlineLevel="1">
      <c r="A205" s="1224" t="s">
        <v>1882</v>
      </c>
      <c r="B205" s="1228" t="s">
        <v>1850</v>
      </c>
      <c r="C205" s="1231"/>
      <c r="D205" s="1231"/>
      <c r="E205" s="1231"/>
      <c r="F205" s="1231"/>
      <c r="G205" s="1232"/>
      <c r="H205" s="1231"/>
      <c r="I205" s="1231"/>
      <c r="J205" s="1231"/>
      <c r="K205" s="1231"/>
      <c r="L205" s="1232"/>
      <c r="M205" s="1231"/>
      <c r="N205" s="1231"/>
      <c r="O205" s="1231"/>
      <c r="P205" s="1231"/>
      <c r="Q205" s="1232"/>
      <c r="R205" s="1231"/>
      <c r="S205" s="1231"/>
      <c r="T205" s="1231"/>
      <c r="U205" s="1231"/>
      <c r="V205" s="1232"/>
      <c r="W205" s="1231"/>
      <c r="X205" s="1231"/>
      <c r="Y205" s="1231"/>
      <c r="Z205" s="1231"/>
      <c r="AA205" s="1232"/>
      <c r="AB205" s="1231"/>
      <c r="AC205" s="1231"/>
      <c r="AD205" s="1231"/>
      <c r="AE205" s="1231"/>
      <c r="AF205" s="1232"/>
      <c r="AG205" s="1231"/>
      <c r="AH205" s="1231"/>
      <c r="AI205" s="1231"/>
      <c r="AJ205" s="1231"/>
      <c r="AK205" s="1232"/>
      <c r="AL205" s="1231"/>
      <c r="AM205" s="1231"/>
      <c r="AN205" s="1231"/>
      <c r="AO205" s="1231"/>
      <c r="AP205" s="1232"/>
      <c r="AQ205" s="1231"/>
      <c r="AR205" s="1231"/>
      <c r="AS205" s="1231"/>
      <c r="AT205" s="1231"/>
      <c r="AU205" s="1232"/>
      <c r="AV205" s="1231"/>
      <c r="AW205" s="1231"/>
      <c r="AX205" s="1231"/>
      <c r="AY205" s="1231"/>
      <c r="AZ205" s="1232"/>
      <c r="BA205" s="1233"/>
      <c r="BB205" s="1233"/>
      <c r="BC205" s="1233"/>
      <c r="BD205" s="1233"/>
      <c r="BE205" s="1234"/>
      <c r="BF205" s="1233"/>
      <c r="BG205" s="1233"/>
      <c r="BH205" s="1233"/>
      <c r="BI205" s="1233"/>
      <c r="BJ205" s="1234"/>
      <c r="BK205" s="1233"/>
      <c r="BL205" s="1233"/>
      <c r="BM205" s="1233"/>
      <c r="BN205" s="1233"/>
      <c r="BO205" s="1234"/>
      <c r="BP205" s="1233"/>
      <c r="BQ205" s="1233"/>
      <c r="BR205" s="1233"/>
      <c r="BS205" s="1233"/>
      <c r="BT205" s="1234"/>
      <c r="BU205" s="1233"/>
      <c r="BV205" s="1233"/>
      <c r="BW205" s="1233"/>
      <c r="BX205" s="1233"/>
      <c r="BY205" s="1234"/>
      <c r="BZ205" s="1233"/>
      <c r="CA205" s="1233"/>
      <c r="CB205" s="1233"/>
      <c r="CC205" s="1233"/>
      <c r="CD205" s="1234"/>
      <c r="CE205" s="1233"/>
      <c r="CF205" s="1233"/>
      <c r="CG205" s="1233"/>
      <c r="CH205" s="1233"/>
      <c r="CI205" s="1234"/>
      <c r="CJ205" s="1233"/>
      <c r="CK205" s="1233"/>
      <c r="CL205" s="1233"/>
      <c r="CM205" s="1233"/>
      <c r="CN205" s="1234"/>
      <c r="CO205" s="1233"/>
      <c r="CP205" s="1233"/>
      <c r="CQ205" s="1233"/>
      <c r="CR205" s="1233"/>
      <c r="CS205" s="1234"/>
      <c r="CT205" s="1233"/>
      <c r="CU205" s="1233"/>
      <c r="CV205" s="1233">
        <v>0.05</v>
      </c>
      <c r="CW205" s="1233">
        <v>0.06</v>
      </c>
      <c r="CX205" s="1234"/>
      <c r="CY205" s="1233"/>
      <c r="CZ205" s="1233"/>
      <c r="DA205" s="1233">
        <v>-7.0000000000000007E-2</v>
      </c>
      <c r="DB205" s="1233">
        <v>0.11</v>
      </c>
      <c r="DC205" s="1234"/>
      <c r="DD205" s="1233">
        <v>0.15</v>
      </c>
      <c r="DE205" s="1233">
        <v>0.23</v>
      </c>
      <c r="DF205" s="1233">
        <v>0.1</v>
      </c>
      <c r="DG205" s="1233">
        <v>0.27</v>
      </c>
      <c r="DH205" s="1234"/>
      <c r="DI205" s="1233">
        <v>0.13</v>
      </c>
      <c r="DJ205" s="1233">
        <v>0.13</v>
      </c>
      <c r="DK205" s="1233">
        <v>0.19</v>
      </c>
      <c r="DL205" s="1233">
        <v>0.43</v>
      </c>
      <c r="DM205" s="1234"/>
      <c r="DN205" s="1233">
        <v>0.17</v>
      </c>
      <c r="DO205" s="1233">
        <v>0.2</v>
      </c>
      <c r="DP205" s="1233">
        <v>0.31</v>
      </c>
      <c r="DQ205" s="1233">
        <v>0.03</v>
      </c>
      <c r="DR205" s="1234"/>
      <c r="DS205" s="1233">
        <v>0.33</v>
      </c>
      <c r="DT205" s="1233">
        <v>0.14000000000000001</v>
      </c>
      <c r="DU205" s="1233">
        <v>0.22</v>
      </c>
      <c r="DV205" s="1233">
        <v>0.24</v>
      </c>
      <c r="DW205" s="1234"/>
      <c r="DX205" s="1233">
        <v>0.25</v>
      </c>
      <c r="DY205" s="1233">
        <v>0.41</v>
      </c>
      <c r="DZ205" s="1233">
        <v>0.27</v>
      </c>
      <c r="EA205" s="1233">
        <v>0.09</v>
      </c>
      <c r="EB205" s="1234"/>
      <c r="EC205" s="1233">
        <v>0.3</v>
      </c>
      <c r="ED205" s="1233">
        <v>0.31</v>
      </c>
      <c r="EE205" s="1233">
        <v>0.34</v>
      </c>
      <c r="EF205" s="1233">
        <v>0.42</v>
      </c>
      <c r="EG205" s="1234">
        <v>0.34</v>
      </c>
      <c r="EH205" s="1233">
        <v>0.22</v>
      </c>
      <c r="EI205" s="1233">
        <v>0.18</v>
      </c>
      <c r="EJ205" s="1233">
        <v>0.17</v>
      </c>
      <c r="EK205" s="1233"/>
      <c r="EL205" s="1234"/>
      <c r="EM205" s="1233">
        <v>0.11</v>
      </c>
      <c r="EN205" s="1233">
        <v>0.02</v>
      </c>
      <c r="EO205" s="1233">
        <v>0.14000000000000001</v>
      </c>
      <c r="EP205" s="1233"/>
      <c r="EQ205" s="1234">
        <v>0.12</v>
      </c>
      <c r="ER205" s="1233">
        <v>0.26</v>
      </c>
      <c r="ES205" s="1233">
        <v>0.23</v>
      </c>
      <c r="ET205" s="1520">
        <v>0.2</v>
      </c>
      <c r="EU205" s="1498"/>
      <c r="EV205" s="1234">
        <v>0.2</v>
      </c>
      <c r="EW205" s="1520">
        <v>0.1</v>
      </c>
      <c r="EX205" s="1520">
        <v>0.1</v>
      </c>
      <c r="EY205" s="1520">
        <v>0.19</v>
      </c>
      <c r="EZ205" s="1520">
        <v>0.22</v>
      </c>
      <c r="FA205" s="1234">
        <v>0.16</v>
      </c>
      <c r="FB205" s="1225"/>
      <c r="FC205" s="1225"/>
      <c r="FD205" s="1225"/>
      <c r="FE205" s="1225"/>
      <c r="FF205" s="1226"/>
      <c r="FG205" s="1225"/>
      <c r="FH205" s="1225"/>
      <c r="FI205" s="1225"/>
      <c r="FJ205" s="1225"/>
      <c r="FK205" s="1226"/>
      <c r="FL205" s="1225"/>
      <c r="FM205" s="1225"/>
      <c r="FN205" s="1225"/>
      <c r="FO205" s="1225"/>
      <c r="FP205" s="1226"/>
      <c r="FQ205" s="1225"/>
      <c r="FR205" s="1225"/>
      <c r="FS205" s="1225"/>
      <c r="FT205" s="1225"/>
      <c r="FU205" s="1226"/>
      <c r="FV205" s="1225"/>
      <c r="FW205" s="1225"/>
      <c r="FX205" s="1225"/>
      <c r="FY205" s="1225"/>
      <c r="FZ205" s="1226"/>
      <c r="GA205" s="1225"/>
      <c r="GB205" s="1225"/>
      <c r="GC205" s="1225"/>
      <c r="GD205" s="1225"/>
      <c r="GE205" s="1226"/>
      <c r="GF205" s="1225"/>
      <c r="GG205" s="1225"/>
      <c r="GH205" s="1225"/>
      <c r="GI205" s="1225"/>
      <c r="GJ205" s="1226"/>
    </row>
    <row r="206" spans="1:192" s="1227" customFormat="1" ht="12.75" customHeight="1">
      <c r="A206" s="1224"/>
      <c r="B206" s="1228"/>
      <c r="C206" s="1225"/>
      <c r="D206" s="1225"/>
      <c r="E206" s="1225"/>
      <c r="F206" s="1225"/>
      <c r="G206" s="1226"/>
      <c r="H206" s="1225"/>
      <c r="I206" s="1225"/>
      <c r="J206" s="1225"/>
      <c r="K206" s="1225"/>
      <c r="L206" s="1226"/>
      <c r="M206" s="1225"/>
      <c r="N206" s="1225"/>
      <c r="O206" s="1225"/>
      <c r="P206" s="1225"/>
      <c r="Q206" s="1226"/>
      <c r="R206" s="1225"/>
      <c r="S206" s="1225"/>
      <c r="T206" s="1225"/>
      <c r="U206" s="1225"/>
      <c r="V206" s="1226"/>
      <c r="W206" s="1225"/>
      <c r="X206" s="1225"/>
      <c r="Y206" s="1225"/>
      <c r="Z206" s="1225"/>
      <c r="AA206" s="1226"/>
      <c r="AB206" s="1225"/>
      <c r="AC206" s="1225"/>
      <c r="AD206" s="1225"/>
      <c r="AE206" s="1225"/>
      <c r="AF206" s="1226"/>
      <c r="AG206" s="1225"/>
      <c r="AH206" s="1225"/>
      <c r="AI206" s="1225"/>
      <c r="AJ206" s="1225"/>
      <c r="AK206" s="1226"/>
      <c r="AL206" s="1225"/>
      <c r="AM206" s="1225"/>
      <c r="AN206" s="1225"/>
      <c r="AO206" s="1225"/>
      <c r="AP206" s="1226"/>
      <c r="AQ206" s="1225"/>
      <c r="AR206" s="1225"/>
      <c r="AS206" s="1225"/>
      <c r="AT206" s="1225"/>
      <c r="AU206" s="1226"/>
      <c r="AV206" s="1225"/>
      <c r="AW206" s="1225"/>
      <c r="AX206" s="1225"/>
      <c r="AY206" s="1225"/>
      <c r="AZ206" s="1226"/>
      <c r="BA206" s="1229"/>
      <c r="BB206" s="1229"/>
      <c r="BC206" s="1229"/>
      <c r="BD206" s="1229"/>
      <c r="BE206" s="1230"/>
      <c r="BF206" s="1229"/>
      <c r="BG206" s="1229"/>
      <c r="BH206" s="1229"/>
      <c r="BI206" s="1229"/>
      <c r="BJ206" s="1230"/>
      <c r="BK206" s="1229"/>
      <c r="BL206" s="1229"/>
      <c r="BM206" s="1229"/>
      <c r="BN206" s="1229"/>
      <c r="BO206" s="1230"/>
      <c r="BP206" s="1229"/>
      <c r="BQ206" s="1229"/>
      <c r="BR206" s="1229"/>
      <c r="BS206" s="1229"/>
      <c r="BT206" s="1230"/>
      <c r="BU206" s="1229"/>
      <c r="BV206" s="1229"/>
      <c r="BW206" s="1229"/>
      <c r="BX206" s="1229"/>
      <c r="BY206" s="1230"/>
      <c r="BZ206" s="1229"/>
      <c r="CA206" s="1229"/>
      <c r="CB206" s="1229"/>
      <c r="CC206" s="1229"/>
      <c r="CD206" s="1230"/>
      <c r="CE206" s="1229"/>
      <c r="CF206" s="1229"/>
      <c r="CG206" s="1229"/>
      <c r="CH206" s="1229"/>
      <c r="CI206" s="1230"/>
      <c r="CJ206" s="1229"/>
      <c r="CK206" s="1229"/>
      <c r="CL206" s="1229"/>
      <c r="CM206" s="1229"/>
      <c r="CN206" s="1230"/>
      <c r="CO206" s="1229"/>
      <c r="CP206" s="1229"/>
      <c r="CQ206" s="1229"/>
      <c r="CR206" s="1229"/>
      <c r="CS206" s="1230"/>
      <c r="CT206" s="1229"/>
      <c r="CU206" s="1229"/>
      <c r="CV206" s="1229"/>
      <c r="CW206" s="1229"/>
      <c r="CX206" s="1230"/>
      <c r="CY206" s="1229"/>
      <c r="CZ206" s="1229"/>
      <c r="DA206" s="1229"/>
      <c r="DB206" s="1229"/>
      <c r="DC206" s="1230"/>
      <c r="DD206" s="1229"/>
      <c r="DE206" s="1229"/>
      <c r="DF206" s="1229"/>
      <c r="DG206" s="1229"/>
      <c r="DH206" s="1230"/>
      <c r="DI206" s="1229"/>
      <c r="DJ206" s="1229"/>
      <c r="DK206" s="1229"/>
      <c r="DL206" s="1229"/>
      <c r="DM206" s="1230"/>
      <c r="DN206" s="1229"/>
      <c r="DO206" s="1229"/>
      <c r="DP206" s="1229"/>
      <c r="DQ206" s="1229"/>
      <c r="DR206" s="1230"/>
      <c r="DS206" s="1229"/>
      <c r="DT206" s="1229"/>
      <c r="DU206" s="1229"/>
      <c r="DV206" s="1229"/>
      <c r="DW206" s="1230"/>
      <c r="DX206" s="1229"/>
      <c r="DY206" s="1229"/>
      <c r="DZ206" s="1229"/>
      <c r="EA206" s="1229"/>
      <c r="EB206" s="1230"/>
      <c r="EC206" s="1229"/>
      <c r="ED206" s="1229"/>
      <c r="EE206" s="1229"/>
      <c r="EF206" s="1229"/>
      <c r="EG206" s="1230"/>
      <c r="EH206" s="1229"/>
      <c r="EI206" s="1229"/>
      <c r="EJ206" s="1229"/>
      <c r="EK206" s="1229"/>
      <c r="EL206" s="1230"/>
      <c r="EM206" s="1229"/>
      <c r="EN206" s="1229"/>
      <c r="EO206" s="1229"/>
      <c r="EP206" s="1229"/>
      <c r="EQ206" s="1230"/>
      <c r="ER206" s="1229"/>
      <c r="ES206" s="1229"/>
      <c r="ET206" s="1522"/>
      <c r="EU206" s="1522"/>
      <c r="EV206" s="1226"/>
      <c r="EW206" s="1225"/>
      <c r="EX206" s="1231"/>
      <c r="EY206" s="1673"/>
      <c r="EZ206" s="1225"/>
      <c r="FA206" s="1226"/>
      <c r="FB206" s="1225"/>
      <c r="FC206" s="1225"/>
      <c r="FD206" s="1225"/>
      <c r="FE206" s="1225"/>
      <c r="FF206" s="1226"/>
      <c r="FG206" s="1225"/>
      <c r="FH206" s="1225"/>
      <c r="FI206" s="1225"/>
      <c r="FJ206" s="1225"/>
      <c r="FK206" s="1226"/>
      <c r="FL206" s="1225"/>
      <c r="FM206" s="1225"/>
      <c r="FN206" s="1225"/>
      <c r="FO206" s="1225"/>
      <c r="FP206" s="1226"/>
      <c r="FQ206" s="1225"/>
      <c r="FR206" s="1225"/>
      <c r="FS206" s="1225"/>
      <c r="FT206" s="1225"/>
      <c r="FU206" s="1226"/>
      <c r="FV206" s="1225"/>
      <c r="FW206" s="1225"/>
      <c r="FX206" s="1225"/>
      <c r="FY206" s="1225"/>
      <c r="FZ206" s="1226"/>
      <c r="GA206" s="1225"/>
      <c r="GB206" s="1225"/>
      <c r="GC206" s="1225"/>
      <c r="GD206" s="1225"/>
      <c r="GE206" s="1226"/>
      <c r="GF206" s="1225"/>
      <c r="GG206" s="1225"/>
      <c r="GH206" s="1225"/>
      <c r="GI206" s="1225"/>
      <c r="GJ206" s="1226"/>
    </row>
    <row r="207" spans="1:192" s="335" customFormat="1" ht="12.75" customHeight="1">
      <c r="A207" s="68"/>
      <c r="B207" s="698" t="s">
        <v>165</v>
      </c>
      <c r="C207" s="291"/>
      <c r="D207" s="107"/>
      <c r="E207" s="107"/>
      <c r="F207" s="107"/>
      <c r="G207" s="336"/>
      <c r="H207" s="291"/>
      <c r="I207" s="107"/>
      <c r="J207" s="107"/>
      <c r="K207" s="107"/>
      <c r="L207" s="336"/>
      <c r="M207" s="291"/>
      <c r="N207" s="107"/>
      <c r="O207" s="107"/>
      <c r="P207" s="107"/>
      <c r="Q207" s="336"/>
      <c r="R207" s="291"/>
      <c r="S207" s="107"/>
      <c r="T207" s="107"/>
      <c r="U207" s="107"/>
      <c r="V207" s="336"/>
      <c r="W207" s="291"/>
      <c r="X207" s="107"/>
      <c r="Y207" s="107"/>
      <c r="Z207" s="107"/>
      <c r="AA207" s="336"/>
      <c r="AB207" s="291"/>
      <c r="AC207" s="107"/>
      <c r="AD207" s="107"/>
      <c r="AE207" s="107"/>
      <c r="AF207" s="336"/>
      <c r="AG207" s="291"/>
      <c r="AH207" s="107"/>
      <c r="AI207" s="107"/>
      <c r="AJ207" s="107"/>
      <c r="AK207" s="336"/>
      <c r="AL207" s="291"/>
      <c r="AM207" s="107"/>
      <c r="AN207" s="107"/>
      <c r="AO207" s="107"/>
      <c r="AP207" s="336"/>
      <c r="AQ207" s="291"/>
      <c r="AR207" s="107"/>
      <c r="AS207" s="107"/>
      <c r="AT207" s="107"/>
      <c r="AU207" s="336"/>
      <c r="AV207" s="291"/>
      <c r="AW207" s="107"/>
      <c r="AX207" s="107"/>
      <c r="AY207" s="107"/>
      <c r="AZ207" s="336"/>
      <c r="BA207" s="291"/>
      <c r="BB207" s="107"/>
      <c r="BC207" s="107"/>
      <c r="BD207" s="107"/>
      <c r="BE207" s="336"/>
      <c r="BF207" s="291"/>
      <c r="BG207" s="107"/>
      <c r="BH207" s="107"/>
      <c r="BI207" s="107"/>
      <c r="BJ207" s="336"/>
      <c r="BK207" s="291"/>
      <c r="BL207" s="107"/>
      <c r="BM207" s="107"/>
      <c r="BN207" s="107"/>
      <c r="BO207" s="336"/>
      <c r="BP207" s="291"/>
      <c r="BQ207" s="107"/>
      <c r="BR207" s="107"/>
      <c r="BS207" s="107"/>
      <c r="BT207" s="336"/>
      <c r="BU207" s="291"/>
      <c r="BV207" s="107"/>
      <c r="BW207" s="107"/>
      <c r="BX207" s="107"/>
      <c r="BY207" s="336"/>
      <c r="BZ207" s="291"/>
      <c r="CA207" s="107"/>
      <c r="CB207" s="107"/>
      <c r="CC207" s="107"/>
      <c r="CD207" s="336"/>
      <c r="CE207" s="291"/>
      <c r="CF207" s="107"/>
      <c r="CG207" s="107"/>
      <c r="CH207" s="107"/>
      <c r="CI207" s="336"/>
      <c r="CJ207" s="291"/>
      <c r="CK207" s="107"/>
      <c r="CL207" s="107"/>
      <c r="CM207" s="107"/>
      <c r="CN207" s="336"/>
      <c r="CO207" s="291"/>
      <c r="CP207" s="107"/>
      <c r="CQ207" s="107"/>
      <c r="CR207" s="107"/>
      <c r="CS207" s="336"/>
      <c r="CT207" s="291"/>
      <c r="CU207" s="107"/>
      <c r="CV207" s="107"/>
      <c r="CW207" s="107"/>
      <c r="CX207" s="336"/>
      <c r="CY207" s="291"/>
      <c r="CZ207" s="107"/>
      <c r="DA207" s="107"/>
      <c r="DB207" s="107"/>
      <c r="DC207" s="336"/>
      <c r="DD207" s="291"/>
      <c r="DE207" s="107"/>
      <c r="DF207" s="107"/>
      <c r="DG207" s="107"/>
      <c r="DH207" s="336"/>
      <c r="DI207" s="291"/>
      <c r="DJ207" s="107"/>
      <c r="DK207" s="107"/>
      <c r="DL207" s="107"/>
      <c r="DM207" s="336"/>
      <c r="DN207" s="291"/>
      <c r="DO207" s="107"/>
      <c r="DP207" s="107"/>
      <c r="DQ207" s="107"/>
      <c r="DR207" s="336"/>
      <c r="DS207" s="291"/>
      <c r="DT207" s="107"/>
      <c r="DU207" s="107"/>
      <c r="DV207" s="107"/>
      <c r="DW207" s="336"/>
      <c r="DX207" s="291"/>
      <c r="DY207" s="107"/>
      <c r="DZ207" s="107"/>
      <c r="EA207" s="107"/>
      <c r="EB207" s="336"/>
      <c r="EC207" s="291"/>
      <c r="ED207" s="107"/>
      <c r="EE207" s="107"/>
      <c r="EF207" s="107"/>
      <c r="EG207" s="336"/>
      <c r="EH207" s="291"/>
      <c r="EI207" s="107"/>
      <c r="EJ207" s="107"/>
      <c r="EK207" s="107"/>
      <c r="EL207" s="337"/>
      <c r="EM207" s="291"/>
      <c r="EN207" s="107"/>
      <c r="EO207" s="107"/>
      <c r="EP207" s="107"/>
      <c r="EQ207" s="337"/>
      <c r="ER207" s="291"/>
      <c r="ES207" s="107"/>
      <c r="ET207" s="107"/>
      <c r="EU207" s="107"/>
      <c r="EV207" s="336"/>
      <c r="EW207" s="291"/>
      <c r="EX207" s="412"/>
      <c r="EY207" s="114"/>
      <c r="EZ207" s="107"/>
      <c r="FA207" s="336"/>
      <c r="FB207" s="291"/>
      <c r="FC207" s="107"/>
      <c r="FD207" s="107"/>
      <c r="FE207" s="107"/>
      <c r="FF207" s="336"/>
      <c r="FG207" s="291"/>
      <c r="FH207" s="107"/>
      <c r="FI207" s="107"/>
      <c r="FJ207" s="107"/>
      <c r="FK207" s="336"/>
      <c r="FL207" s="291"/>
      <c r="FM207" s="107"/>
      <c r="FN207" s="107"/>
      <c r="FO207" s="107"/>
      <c r="FP207" s="336"/>
      <c r="FQ207" s="291"/>
      <c r="FR207" s="107"/>
      <c r="FS207" s="107"/>
      <c r="FT207" s="107"/>
      <c r="FU207" s="336"/>
      <c r="FV207" s="291"/>
      <c r="FW207" s="107"/>
      <c r="FX207" s="107"/>
      <c r="FY207" s="107"/>
      <c r="FZ207" s="336"/>
      <c r="GA207" s="291"/>
      <c r="GB207" s="107"/>
      <c r="GC207" s="107"/>
      <c r="GD207" s="107"/>
      <c r="GE207" s="336"/>
      <c r="GF207" s="291"/>
      <c r="GG207" s="107"/>
      <c r="GH207" s="107"/>
      <c r="GI207" s="107"/>
      <c r="GJ207" s="336"/>
    </row>
    <row r="208" spans="1:192" s="314" customFormat="1" ht="12.75" hidden="1" customHeight="1" outlineLevel="1">
      <c r="A208" s="274"/>
      <c r="B208" s="327" t="s">
        <v>161</v>
      </c>
      <c r="C208" s="276"/>
      <c r="D208" s="275"/>
      <c r="E208" s="275"/>
      <c r="F208" s="275"/>
      <c r="G208" s="321"/>
      <c r="H208" s="276"/>
      <c r="I208" s="275"/>
      <c r="J208" s="275"/>
      <c r="K208" s="275"/>
      <c r="L208" s="321"/>
      <c r="M208" s="276"/>
      <c r="N208" s="275"/>
      <c r="O208" s="275"/>
      <c r="P208" s="275"/>
      <c r="Q208" s="321"/>
      <c r="R208" s="276"/>
      <c r="S208" s="275"/>
      <c r="T208" s="275"/>
      <c r="U208" s="275"/>
      <c r="V208" s="321"/>
      <c r="W208" s="276"/>
      <c r="X208" s="275"/>
      <c r="Y208" s="275"/>
      <c r="Z208" s="275"/>
      <c r="AA208" s="321"/>
      <c r="AB208" s="276"/>
      <c r="AC208" s="275"/>
      <c r="AD208" s="275"/>
      <c r="AE208" s="275"/>
      <c r="AF208" s="321"/>
      <c r="AG208" s="276"/>
      <c r="AH208" s="275"/>
      <c r="AI208" s="275"/>
      <c r="AJ208" s="275"/>
      <c r="AK208" s="321"/>
      <c r="AL208" s="276"/>
      <c r="AM208" s="275"/>
      <c r="AN208" s="275"/>
      <c r="AO208" s="275"/>
      <c r="AP208" s="321"/>
      <c r="AQ208" s="276"/>
      <c r="AR208" s="275"/>
      <c r="AS208" s="275"/>
      <c r="AT208" s="275"/>
      <c r="AU208" s="321"/>
      <c r="AV208" s="276"/>
      <c r="AW208" s="275"/>
      <c r="AX208" s="275"/>
      <c r="AY208" s="275"/>
      <c r="AZ208" s="321"/>
      <c r="BA208" s="276"/>
      <c r="BB208" s="275"/>
      <c r="BC208" s="275"/>
      <c r="BD208" s="275"/>
      <c r="BE208" s="321"/>
      <c r="BF208" s="276"/>
      <c r="BG208" s="275"/>
      <c r="BH208" s="275"/>
      <c r="BI208" s="275"/>
      <c r="BJ208" s="321"/>
      <c r="BK208" s="276"/>
      <c r="BL208" s="275"/>
      <c r="BM208" s="275"/>
      <c r="BN208" s="275"/>
      <c r="BO208" s="321"/>
      <c r="BP208" s="276"/>
      <c r="BQ208" s="275"/>
      <c r="BR208" s="275"/>
      <c r="BS208" s="275"/>
      <c r="BT208" s="321"/>
      <c r="BU208" s="276"/>
      <c r="BV208" s="275"/>
      <c r="BW208" s="275"/>
      <c r="BX208" s="275"/>
      <c r="BY208" s="321"/>
      <c r="BZ208" s="276"/>
      <c r="CA208" s="275"/>
      <c r="CB208" s="275"/>
      <c r="CC208" s="275"/>
      <c r="CD208" s="321"/>
      <c r="CE208" s="276">
        <v>-506</v>
      </c>
      <c r="CF208" s="275">
        <v>-80</v>
      </c>
      <c r="CG208" s="275">
        <v>-70</v>
      </c>
      <c r="CH208" s="275">
        <f>-627-CG208-CF208-CE208</f>
      </c>
      <c r="CI208" s="321">
        <f>SUM(CE208:CH208)</f>
      </c>
      <c r="CJ208" s="276">
        <v>160</v>
      </c>
      <c r="CK208" s="275">
        <v>76</v>
      </c>
      <c r="CL208" s="275">
        <v>-44</v>
      </c>
      <c r="CM208" s="275">
        <v>63</v>
      </c>
      <c r="CN208" s="321">
        <f>SUM(CJ208:CM208)</f>
      </c>
      <c r="CO208" s="276">
        <v>-45</v>
      </c>
      <c r="CP208" s="275">
        <v>-9</v>
      </c>
      <c r="CQ208" s="275">
        <v>35</v>
      </c>
      <c r="CR208" s="275">
        <v>-7</v>
      </c>
      <c r="CS208" s="321">
        <f>SUM(CO208:CR208)</f>
      </c>
      <c r="CT208" s="276">
        <v>-26</v>
      </c>
      <c r="CU208" s="275">
        <v>43</v>
      </c>
      <c r="CV208" s="275">
        <v>-31</v>
      </c>
      <c r="CW208" s="275">
        <v>-21</v>
      </c>
      <c r="CX208" s="321">
        <f>SUM(CT208:CW208)</f>
      </c>
      <c r="CY208" s="276">
        <v>319</v>
      </c>
      <c r="CZ208" s="275">
        <v>247</v>
      </c>
      <c r="DA208" s="275">
        <v>401</v>
      </c>
      <c r="DB208" s="275">
        <v>-408</v>
      </c>
      <c r="DC208" s="321">
        <f>SUM(CY208:DB208)</f>
      </c>
      <c r="DD208" s="276">
        <v>57</v>
      </c>
      <c r="DE208" s="275">
        <v>-49</v>
      </c>
      <c r="DF208" s="275">
        <v>-285</v>
      </c>
      <c r="DG208" s="275">
        <v>39</v>
      </c>
      <c r="DH208" s="321">
        <f>SUM(DD208:DG208)</f>
      </c>
      <c r="DI208" s="276">
        <v>-37</v>
      </c>
      <c r="DJ208" s="275">
        <v>280</v>
      </c>
      <c r="DK208" s="275">
        <v>-225</v>
      </c>
      <c r="DL208" s="275">
        <v>-236</v>
      </c>
      <c r="DM208" s="321">
        <f>SUM(DI208:DL208)</f>
      </c>
      <c r="DN208" s="276">
        <v>-106</v>
      </c>
      <c r="DO208" s="275">
        <v>-7</v>
      </c>
      <c r="DP208" s="275">
        <v>7</v>
      </c>
      <c r="DQ208" s="275">
        <v>145</v>
      </c>
      <c r="DR208" s="321">
        <f>SUM(DN208:DQ208)</f>
      </c>
      <c r="DS208" s="276">
        <v>-45</v>
      </c>
      <c r="DT208" s="275">
        <v>-15</v>
      </c>
      <c r="DU208" s="275">
        <v>-33</v>
      </c>
      <c r="DV208" s="275">
        <v>-80</v>
      </c>
      <c r="DW208" s="321">
        <f>SUM(DS208:DV208)</f>
      </c>
      <c r="DX208" s="276">
        <v>-2</v>
      </c>
      <c r="DY208" s="275">
        <v>-4</v>
      </c>
      <c r="DZ208" s="275">
        <v>-36</v>
      </c>
      <c r="EA208" s="275">
        <v>4</v>
      </c>
      <c r="EB208" s="321">
        <f>SUM(DX208:EA208)</f>
      </c>
      <c r="EC208" s="276">
        <v>4</v>
      </c>
      <c r="ED208" s="275">
        <v>8</v>
      </c>
      <c r="EE208" s="275">
        <v>18</v>
      </c>
      <c r="EF208" s="275">
        <v>-11</v>
      </c>
      <c r="EG208" s="321">
        <f>SUM(EC208:EF208)</f>
      </c>
      <c r="EH208" s="276">
        <v>2</v>
      </c>
      <c r="EI208" s="275">
        <v>0</v>
      </c>
      <c r="EJ208" s="275">
        <v>6</v>
      </c>
      <c r="EK208" s="275">
        <v>-2</v>
      </c>
      <c r="EL208" s="321">
        <f>SUM(EH208:EK208)</f>
      </c>
      <c r="EM208" s="276">
        <v>7</v>
      </c>
      <c r="EN208" s="275">
        <v>-32</v>
      </c>
      <c r="EO208" s="275">
        <v>-9</v>
      </c>
      <c r="EP208" s="275">
        <v>20</v>
      </c>
      <c r="EQ208" s="321">
        <f>SUM(EM208:EP208)</f>
      </c>
      <c r="ER208" s="448">
        <v>21</v>
      </c>
      <c r="ES208" s="275">
        <v>-3</v>
      </c>
      <c r="ET208" s="815">
        <v>10</v>
      </c>
      <c r="EU208" s="815">
        <v>-4</v>
      </c>
      <c r="EV208" s="321">
        <f>SUM(ER208:EU208)</f>
      </c>
      <c r="EW208" s="815">
        <v>-10</v>
      </c>
      <c r="EX208" s="815">
        <v>34</v>
      </c>
      <c r="EY208" s="815">
        <v>-20</v>
      </c>
      <c r="EZ208" s="1710"/>
      <c r="FA208" s="321">
        <f>SUM(EW208:EZ208)</f>
      </c>
      <c r="FB208" s="458"/>
      <c r="FC208" s="458"/>
      <c r="FD208" s="458"/>
      <c r="FE208" s="458"/>
      <c r="FF208" s="459"/>
      <c r="FG208" s="458"/>
      <c r="FH208" s="458"/>
      <c r="FI208" s="458"/>
      <c r="FJ208" s="458"/>
      <c r="FK208" s="459"/>
      <c r="FL208" s="458"/>
      <c r="FM208" s="458"/>
      <c r="FN208" s="458"/>
      <c r="FO208" s="458"/>
      <c r="FP208" s="459"/>
      <c r="FQ208" s="458"/>
      <c r="FR208" s="458"/>
      <c r="FS208" s="458"/>
      <c r="FT208" s="458"/>
      <c r="FU208" s="459"/>
      <c r="FV208" s="458"/>
      <c r="FW208" s="458"/>
      <c r="FX208" s="458"/>
      <c r="FY208" s="458"/>
      <c r="FZ208" s="459"/>
      <c r="GA208" s="458"/>
      <c r="GB208" s="458"/>
      <c r="GC208" s="458"/>
      <c r="GD208" s="458"/>
      <c r="GE208" s="459"/>
      <c r="GF208" s="458"/>
      <c r="GG208" s="458"/>
      <c r="GH208" s="458"/>
      <c r="GI208" s="458"/>
      <c r="GJ208" s="459"/>
    </row>
    <row r="209" spans="1:192" s="314" customFormat="1" ht="12.75" hidden="1" customHeight="1" outlineLevel="1">
      <c r="A209" s="274"/>
      <c r="B209" s="327" t="s">
        <v>162</v>
      </c>
      <c r="C209" s="276"/>
      <c r="D209" s="275"/>
      <c r="E209" s="275"/>
      <c r="F209" s="275"/>
      <c r="G209" s="321"/>
      <c r="H209" s="276"/>
      <c r="I209" s="275"/>
      <c r="J209" s="275"/>
      <c r="K209" s="275"/>
      <c r="L209" s="321"/>
      <c r="M209" s="276"/>
      <c r="N209" s="275"/>
      <c r="O209" s="275"/>
      <c r="P209" s="275"/>
      <c r="Q209" s="321"/>
      <c r="R209" s="276"/>
      <c r="S209" s="275"/>
      <c r="T209" s="275"/>
      <c r="U209" s="275"/>
      <c r="V209" s="321"/>
      <c r="W209" s="276"/>
      <c r="X209" s="275"/>
      <c r="Y209" s="275"/>
      <c r="Z209" s="275"/>
      <c r="AA209" s="321"/>
      <c r="AB209" s="276"/>
      <c r="AC209" s="275"/>
      <c r="AD209" s="275"/>
      <c r="AE209" s="275"/>
      <c r="AF209" s="321"/>
      <c r="AG209" s="276"/>
      <c r="AH209" s="275"/>
      <c r="AI209" s="275"/>
      <c r="AJ209" s="275"/>
      <c r="AK209" s="321"/>
      <c r="AL209" s="276"/>
      <c r="AM209" s="275"/>
      <c r="AN209" s="275"/>
      <c r="AO209" s="275"/>
      <c r="AP209" s="321"/>
      <c r="AQ209" s="276"/>
      <c r="AR209" s="275"/>
      <c r="AS209" s="275"/>
      <c r="AT209" s="275"/>
      <c r="AU209" s="321"/>
      <c r="AV209" s="276"/>
      <c r="AW209" s="275"/>
      <c r="AX209" s="275"/>
      <c r="AY209" s="275"/>
      <c r="AZ209" s="321"/>
      <c r="BA209" s="276"/>
      <c r="BB209" s="275"/>
      <c r="BC209" s="275"/>
      <c r="BD209" s="275"/>
      <c r="BE209" s="321"/>
      <c r="BF209" s="276"/>
      <c r="BG209" s="275"/>
      <c r="BH209" s="275"/>
      <c r="BI209" s="275"/>
      <c r="BJ209" s="321"/>
      <c r="BK209" s="276"/>
      <c r="BL209" s="275"/>
      <c r="BM209" s="275"/>
      <c r="BN209" s="275"/>
      <c r="BO209" s="321"/>
      <c r="BP209" s="276"/>
      <c r="BQ209" s="275"/>
      <c r="BR209" s="275"/>
      <c r="BS209" s="275"/>
      <c r="BT209" s="321"/>
      <c r="BU209" s="276"/>
      <c r="BV209" s="275"/>
      <c r="BW209" s="275"/>
      <c r="BX209" s="275"/>
      <c r="BY209" s="321"/>
      <c r="BZ209" s="276"/>
      <c r="CA209" s="275"/>
      <c r="CB209" s="275"/>
      <c r="CC209" s="275"/>
      <c r="CD209" s="321"/>
      <c r="CE209" s="276">
        <v>732</v>
      </c>
      <c r="CF209" s="275">
        <v>284</v>
      </c>
      <c r="CG209" s="275">
        <v>83</v>
      </c>
      <c r="CH209" s="275">
        <f>1054-CG209-CF209-CE209</f>
      </c>
      <c r="CI209" s="321">
        <f>SUM(CE209:CH209)</f>
      </c>
      <c r="CJ209" s="276">
        <v>-1149</v>
      </c>
      <c r="CK209" s="275">
        <v>124</v>
      </c>
      <c r="CL209" s="275">
        <v>474</v>
      </c>
      <c r="CM209" s="275">
        <v>161</v>
      </c>
      <c r="CN209" s="321">
        <f>SUM(CJ209:CM209)</f>
      </c>
      <c r="CO209" s="276">
        <v>274</v>
      </c>
      <c r="CP209" s="275">
        <v>192</v>
      </c>
      <c r="CQ209" s="275">
        <v>278</v>
      </c>
      <c r="CR209" s="275">
        <v>-381</v>
      </c>
      <c r="CS209" s="321">
        <f>SUM(CO209:CR209)</f>
      </c>
      <c r="CT209" s="276">
        <v>952</v>
      </c>
      <c r="CU209" s="275">
        <v>482</v>
      </c>
      <c r="CV209" s="275">
        <v>68</v>
      </c>
      <c r="CW209" s="275">
        <v>235</v>
      </c>
      <c r="CX209" s="321">
        <f>SUM(CT209:CW209)</f>
      </c>
      <c r="CY209" s="276">
        <v>-189</v>
      </c>
      <c r="CZ209" s="275">
        <v>-231</v>
      </c>
      <c r="DA209" s="275">
        <v>125</v>
      </c>
      <c r="DB209" s="275">
        <v>-67</v>
      </c>
      <c r="DC209" s="321">
        <f>SUM(CY209:DB209)</f>
      </c>
      <c r="DD209" s="276">
        <v>-571</v>
      </c>
      <c r="DE209" s="275">
        <v>160</v>
      </c>
      <c r="DF209" s="275">
        <v>345</v>
      </c>
      <c r="DG209" s="275">
        <v>-162</v>
      </c>
      <c r="DH209" s="321">
        <f>SUM(DD209:DG209)</f>
      </c>
      <c r="DI209" s="276">
        <v>83</v>
      </c>
      <c r="DJ209" s="275">
        <v>-994</v>
      </c>
      <c r="DK209" s="275">
        <v>65</v>
      </c>
      <c r="DL209" s="275">
        <v>-270</v>
      </c>
      <c r="DM209" s="321">
        <f>SUM(DI209:DL209)</f>
      </c>
      <c r="DN209" s="276">
        <v>-288</v>
      </c>
      <c r="DO209" s="275">
        <v>-878</v>
      </c>
      <c r="DP209" s="275">
        <v>-1016</v>
      </c>
      <c r="DQ209" s="275">
        <v>-535</v>
      </c>
      <c r="DR209" s="321">
        <f>SUM(DN209:DQ209)</f>
      </c>
      <c r="DS209" s="276">
        <v>-261</v>
      </c>
      <c r="DT209" s="275">
        <v>881</v>
      </c>
      <c r="DU209" s="275">
        <v>714</v>
      </c>
      <c r="DV209" s="275">
        <v>1071</v>
      </c>
      <c r="DW209" s="321">
        <f>SUM(DS209:DV209)</f>
      </c>
      <c r="DX209" s="276">
        <v>577</v>
      </c>
      <c r="DY209" s="275">
        <v>-420</v>
      </c>
      <c r="DZ209" s="275">
        <v>3508</v>
      </c>
      <c r="EA209" s="275">
        <v>325</v>
      </c>
      <c r="EB209" s="321">
        <f>SUM(DX209:EA209)</f>
      </c>
      <c r="EC209" s="276">
        <v>-201</v>
      </c>
      <c r="ED209" s="275">
        <v>-492</v>
      </c>
      <c r="EE209" s="275">
        <v>-1705</v>
      </c>
      <c r="EF209" s="275">
        <v>132</v>
      </c>
      <c r="EG209" s="321">
        <f>SUM(EC209:EF209)</f>
      </c>
      <c r="EH209" s="276">
        <v>-422</v>
      </c>
      <c r="EI209" s="275">
        <v>-743</v>
      </c>
      <c r="EJ209" s="275">
        <v>-2882</v>
      </c>
      <c r="EK209" s="275">
        <v>-1313</v>
      </c>
      <c r="EL209" s="321">
        <f>SUM(EH209:EK209)</f>
      </c>
      <c r="EM209" s="276">
        <v>-1897</v>
      </c>
      <c r="EN209" s="275">
        <v>348</v>
      </c>
      <c r="EO209" s="275">
        <v>753</v>
      </c>
      <c r="EP209" s="275">
        <v>-648</v>
      </c>
      <c r="EQ209" s="321">
        <f>SUM(EM209:EP209)</f>
      </c>
      <c r="ER209" s="448">
        <v>-260</v>
      </c>
      <c r="ES209" s="275">
        <v>1331</v>
      </c>
      <c r="ET209" s="815">
        <v>-202</v>
      </c>
      <c r="EU209" s="815">
        <v>88</v>
      </c>
      <c r="EV209" s="321">
        <f>SUM(ER209:EU209)</f>
      </c>
      <c r="EW209" s="815">
        <v>1114</v>
      </c>
      <c r="EX209" s="815">
        <v>-434</v>
      </c>
      <c r="EY209" s="815">
        <v>450</v>
      </c>
      <c r="EZ209" s="1710"/>
      <c r="FA209" s="321">
        <f>SUM(EW209:EZ209)</f>
      </c>
      <c r="FB209" s="458"/>
      <c r="FC209" s="458"/>
      <c r="FD209" s="458"/>
      <c r="FE209" s="458"/>
      <c r="FF209" s="459"/>
      <c r="FG209" s="458"/>
      <c r="FH209" s="458"/>
      <c r="FI209" s="458"/>
      <c r="FJ209" s="458"/>
      <c r="FK209" s="459"/>
      <c r="FL209" s="458"/>
      <c r="FM209" s="458"/>
      <c r="FN209" s="458"/>
      <c r="FO209" s="458"/>
      <c r="FP209" s="459"/>
      <c r="FQ209" s="458"/>
      <c r="FR209" s="458"/>
      <c r="FS209" s="458"/>
      <c r="FT209" s="458"/>
      <c r="FU209" s="459"/>
      <c r="FV209" s="458"/>
      <c r="FW209" s="458"/>
      <c r="FX209" s="458"/>
      <c r="FY209" s="458"/>
      <c r="FZ209" s="459"/>
      <c r="GA209" s="458"/>
      <c r="GB209" s="458"/>
      <c r="GC209" s="458"/>
      <c r="GD209" s="458"/>
      <c r="GE209" s="459"/>
      <c r="GF209" s="458"/>
      <c r="GG209" s="458"/>
      <c r="GH209" s="458"/>
      <c r="GI209" s="458"/>
      <c r="GJ209" s="459"/>
    </row>
    <row r="210" spans="1:192" s="314" customFormat="1" ht="12.75" hidden="1" customHeight="1" outlineLevel="1">
      <c r="A210" s="274"/>
      <c r="B210" s="327" t="s">
        <v>163</v>
      </c>
      <c r="C210" s="276"/>
      <c r="D210" s="275"/>
      <c r="E210" s="275"/>
      <c r="F210" s="275"/>
      <c r="G210" s="321"/>
      <c r="H210" s="276"/>
      <c r="I210" s="275"/>
      <c r="J210" s="275"/>
      <c r="K210" s="275"/>
      <c r="L210" s="321"/>
      <c r="M210" s="276"/>
      <c r="N210" s="275"/>
      <c r="O210" s="275"/>
      <c r="P210" s="275"/>
      <c r="Q210" s="321"/>
      <c r="R210" s="276"/>
      <c r="S210" s="275"/>
      <c r="T210" s="275"/>
      <c r="U210" s="275"/>
      <c r="V210" s="321"/>
      <c r="W210" s="276"/>
      <c r="X210" s="275"/>
      <c r="Y210" s="275"/>
      <c r="Z210" s="275"/>
      <c r="AA210" s="321"/>
      <c r="AB210" s="276"/>
      <c r="AC210" s="275"/>
      <c r="AD210" s="275"/>
      <c r="AE210" s="275"/>
      <c r="AF210" s="321"/>
      <c r="AG210" s="276"/>
      <c r="AH210" s="275"/>
      <c r="AI210" s="275"/>
      <c r="AJ210" s="275"/>
      <c r="AK210" s="321"/>
      <c r="AL210" s="276"/>
      <c r="AM210" s="275"/>
      <c r="AN210" s="275"/>
      <c r="AO210" s="275"/>
      <c r="AP210" s="321"/>
      <c r="AQ210" s="276"/>
      <c r="AR210" s="275"/>
      <c r="AS210" s="275"/>
      <c r="AT210" s="275"/>
      <c r="AU210" s="321"/>
      <c r="AV210" s="276"/>
      <c r="AW210" s="275"/>
      <c r="AX210" s="275"/>
      <c r="AY210" s="275"/>
      <c r="AZ210" s="321"/>
      <c r="BA210" s="276"/>
      <c r="BB210" s="275"/>
      <c r="BC210" s="275"/>
      <c r="BD210" s="275"/>
      <c r="BE210" s="321"/>
      <c r="BF210" s="276"/>
      <c r="BG210" s="275"/>
      <c r="BH210" s="275"/>
      <c r="BI210" s="275"/>
      <c r="BJ210" s="321"/>
      <c r="BK210" s="276"/>
      <c r="BL210" s="275"/>
      <c r="BM210" s="275"/>
      <c r="BN210" s="275"/>
      <c r="BO210" s="321"/>
      <c r="BP210" s="276"/>
      <c r="BQ210" s="275"/>
      <c r="BR210" s="275"/>
      <c r="BS210" s="275"/>
      <c r="BT210" s="321"/>
      <c r="BU210" s="276"/>
      <c r="BV210" s="275"/>
      <c r="BW210" s="275"/>
      <c r="BX210" s="275"/>
      <c r="BY210" s="321"/>
      <c r="BZ210" s="276"/>
      <c r="CA210" s="275"/>
      <c r="CB210" s="275"/>
      <c r="CC210" s="275"/>
      <c r="CD210" s="321"/>
      <c r="CE210" s="276">
        <v>238</v>
      </c>
      <c r="CF210" s="275">
        <v>-26</v>
      </c>
      <c r="CG210" s="275">
        <v>99</v>
      </c>
      <c r="CH210" s="275">
        <f>381-CG210-CF210-CE210</f>
      </c>
      <c r="CI210" s="321">
        <f>SUM(CE210:CH210)</f>
      </c>
      <c r="CJ210" s="276">
        <v>-123</v>
      </c>
      <c r="CK210" s="275">
        <v>-125</v>
      </c>
      <c r="CL210" s="275">
        <v>76</v>
      </c>
      <c r="CM210" s="275">
        <v>-134</v>
      </c>
      <c r="CN210" s="321">
        <f>SUM(CJ210:CM210)</f>
      </c>
      <c r="CO210" s="276">
        <v>169</v>
      </c>
      <c r="CP210" s="275">
        <v>3</v>
      </c>
      <c r="CQ210" s="275">
        <v>-114</v>
      </c>
      <c r="CR210" s="275">
        <v>-74</v>
      </c>
      <c r="CS210" s="321">
        <f>SUM(CO210:CR210)</f>
      </c>
      <c r="CT210" s="276">
        <v>62</v>
      </c>
      <c r="CU210" s="275">
        <v>21</v>
      </c>
      <c r="CV210" s="275">
        <v>18</v>
      </c>
      <c r="CW210" s="275">
        <v>162</v>
      </c>
      <c r="CX210" s="321">
        <f>SUM(CT210:CW210)</f>
      </c>
      <c r="CY210" s="276">
        <v>-81</v>
      </c>
      <c r="CZ210" s="275">
        <v>-390</v>
      </c>
      <c r="DA210" s="275">
        <v>-438</v>
      </c>
      <c r="DB210" s="275">
        <v>-474</v>
      </c>
      <c r="DC210" s="321">
        <f>SUM(CY210:DB210)</f>
      </c>
      <c r="DD210" s="276">
        <v>-270</v>
      </c>
      <c r="DE210" s="275">
        <v>-76</v>
      </c>
      <c r="DF210" s="275">
        <v>7</v>
      </c>
      <c r="DG210" s="275">
        <v>-180</v>
      </c>
      <c r="DH210" s="321">
        <f>SUM(DD210:DG210)</f>
      </c>
      <c r="DI210" s="276">
        <v>98</v>
      </c>
      <c r="DJ210" s="275">
        <v>-455</v>
      </c>
      <c r="DK210" s="275">
        <v>292</v>
      </c>
      <c r="DL210" s="275">
        <v>293</v>
      </c>
      <c r="DM210" s="321">
        <f>SUM(DI210:DL210)</f>
      </c>
      <c r="DN210" s="276">
        <v>293</v>
      </c>
      <c r="DO210" s="275">
        <v>-40</v>
      </c>
      <c r="DP210" s="275">
        <v>255</v>
      </c>
      <c r="DQ210" s="275">
        <v>-686</v>
      </c>
      <c r="DR210" s="321">
        <f>SUM(DN210:DQ210)</f>
      </c>
      <c r="DS210" s="276">
        <v>-55</v>
      </c>
      <c r="DT210" s="275">
        <v>-264</v>
      </c>
      <c r="DU210" s="275">
        <v>67</v>
      </c>
      <c r="DV210" s="275">
        <v>-66</v>
      </c>
      <c r="DW210" s="321">
        <f>SUM(DS210:DV210)</f>
      </c>
      <c r="DX210" s="276">
        <v>-296</v>
      </c>
      <c r="DY210" s="275">
        <v>230</v>
      </c>
      <c r="DZ210" s="275">
        <v>-541</v>
      </c>
      <c r="EA210" s="275">
        <v>181</v>
      </c>
      <c r="EB210" s="321">
        <f>SUM(DX210:EA210)</f>
      </c>
      <c r="EC210" s="276">
        <v>111</v>
      </c>
      <c r="ED210" s="275">
        <v>741</v>
      </c>
      <c r="EE210" s="275">
        <v>-218</v>
      </c>
      <c r="EF210" s="275">
        <v>239</v>
      </c>
      <c r="EG210" s="321">
        <f>SUM(EC210:EF210)</f>
      </c>
      <c r="EH210" s="276">
        <v>-119</v>
      </c>
      <c r="EI210" s="275">
        <v>-103</v>
      </c>
      <c r="EJ210" s="275">
        <v>-37</v>
      </c>
      <c r="EK210" s="275">
        <v>-887</v>
      </c>
      <c r="EL210" s="321">
        <f>SUM(EH210:EK210)</f>
      </c>
      <c r="EM210" s="276">
        <v>-775</v>
      </c>
      <c r="EN210" s="275">
        <v>570</v>
      </c>
      <c r="EO210" s="275">
        <v>69</v>
      </c>
      <c r="EP210" s="275">
        <v>-71</v>
      </c>
      <c r="EQ210" s="321">
        <f>SUM(EM210:EP210)</f>
      </c>
      <c r="ER210" s="448">
        <v>-355</v>
      </c>
      <c r="ES210" s="275">
        <v>660</v>
      </c>
      <c r="ET210" s="815">
        <v>-294</v>
      </c>
      <c r="EU210" s="815">
        <v>-239</v>
      </c>
      <c r="EV210" s="321">
        <f>SUM(ER210:EU210)</f>
      </c>
      <c r="EW210" s="815">
        <v>304</v>
      </c>
      <c r="EX210" s="815">
        <v>-1034</v>
      </c>
      <c r="EY210" s="815">
        <v>353</v>
      </c>
      <c r="EZ210" s="1710"/>
      <c r="FA210" s="321">
        <f>SUM(EW210:EZ210)</f>
      </c>
      <c r="FB210" s="458"/>
      <c r="FC210" s="458"/>
      <c r="FD210" s="458"/>
      <c r="FE210" s="458"/>
      <c r="FF210" s="459"/>
      <c r="FG210" s="458"/>
      <c r="FH210" s="458"/>
      <c r="FI210" s="458"/>
      <c r="FJ210" s="458"/>
      <c r="FK210" s="459"/>
      <c r="FL210" s="458"/>
      <c r="FM210" s="458"/>
      <c r="FN210" s="458"/>
      <c r="FO210" s="458"/>
      <c r="FP210" s="459"/>
      <c r="FQ210" s="458"/>
      <c r="FR210" s="458"/>
      <c r="FS210" s="458"/>
      <c r="FT210" s="458"/>
      <c r="FU210" s="459"/>
      <c r="FV210" s="458"/>
      <c r="FW210" s="458"/>
      <c r="FX210" s="458"/>
      <c r="FY210" s="458"/>
      <c r="FZ210" s="459"/>
      <c r="GA210" s="458"/>
      <c r="GB210" s="458"/>
      <c r="GC210" s="458"/>
      <c r="GD210" s="458"/>
      <c r="GE210" s="459"/>
      <c r="GF210" s="458"/>
      <c r="GG210" s="458"/>
      <c r="GH210" s="458"/>
      <c r="GI210" s="458"/>
      <c r="GJ210" s="459"/>
    </row>
    <row r="211" spans="1:192" s="328" customFormat="1" ht="12.75" hidden="1" customHeight="1" outlineLevel="1">
      <c r="A211" s="274"/>
      <c r="B211" s="700" t="s">
        <v>152</v>
      </c>
      <c r="C211" s="329"/>
      <c r="D211" s="330"/>
      <c r="E211" s="330"/>
      <c r="F211" s="330"/>
      <c r="G211" s="331"/>
      <c r="H211" s="329"/>
      <c r="I211" s="330"/>
      <c r="J211" s="330"/>
      <c r="K211" s="330"/>
      <c r="L211" s="331"/>
      <c r="M211" s="329"/>
      <c r="N211" s="330"/>
      <c r="O211" s="330"/>
      <c r="P211" s="330"/>
      <c r="Q211" s="331"/>
      <c r="R211" s="329"/>
      <c r="S211" s="330"/>
      <c r="T211" s="330"/>
      <c r="U211" s="330"/>
      <c r="V211" s="331"/>
      <c r="W211" s="329"/>
      <c r="X211" s="330"/>
      <c r="Y211" s="330"/>
      <c r="Z211" s="330"/>
      <c r="AA211" s="331"/>
      <c r="AB211" s="329"/>
      <c r="AC211" s="330"/>
      <c r="AD211" s="330"/>
      <c r="AE211" s="330"/>
      <c r="AF211" s="331"/>
      <c r="AG211" s="329"/>
      <c r="AH211" s="330"/>
      <c r="AI211" s="330"/>
      <c r="AJ211" s="330"/>
      <c r="AK211" s="331"/>
      <c r="AL211" s="329"/>
      <c r="AM211" s="330"/>
      <c r="AN211" s="330"/>
      <c r="AO211" s="330"/>
      <c r="AP211" s="331"/>
      <c r="AQ211" s="329"/>
      <c r="AR211" s="330"/>
      <c r="AS211" s="330"/>
      <c r="AT211" s="330"/>
      <c r="AU211" s="331"/>
      <c r="AV211" s="329"/>
      <c r="AW211" s="330"/>
      <c r="AX211" s="330"/>
      <c r="AY211" s="330"/>
      <c r="AZ211" s="331"/>
      <c r="BA211" s="329"/>
      <c r="BB211" s="330"/>
      <c r="BC211" s="330"/>
      <c r="BD211" s="330"/>
      <c r="BE211" s="321"/>
      <c r="BF211" s="329"/>
      <c r="BG211" s="330"/>
      <c r="BH211" s="330"/>
      <c r="BI211" s="330"/>
      <c r="BJ211" s="321"/>
      <c r="BK211" s="329"/>
      <c r="BL211" s="330"/>
      <c r="BM211" s="330"/>
      <c r="BN211" s="330"/>
      <c r="BO211" s="321"/>
      <c r="BP211" s="329"/>
      <c r="BQ211" s="330"/>
      <c r="BR211" s="330"/>
      <c r="BS211" s="330"/>
      <c r="BT211" s="321"/>
      <c r="BU211" s="329"/>
      <c r="BV211" s="330"/>
      <c r="BW211" s="330"/>
      <c r="BX211" s="330"/>
      <c r="BY211" s="321"/>
      <c r="BZ211" s="329"/>
      <c r="CA211" s="330"/>
      <c r="CB211" s="330"/>
      <c r="CC211" s="330"/>
      <c r="CD211" s="321"/>
      <c r="CE211" s="329">
        <f>SUM(CE208:CE210)</f>
      </c>
      <c r="CF211" s="330">
        <f>SUM(CF208:CF210)</f>
      </c>
      <c r="CG211" s="330">
        <f>SUM(CG208:CG210)</f>
      </c>
      <c r="CH211" s="330">
        <f>SUM(CH208:CH210)</f>
      </c>
      <c r="CI211" s="321">
        <f>SUM(CE211:CH211)</f>
      </c>
      <c r="CJ211" s="329">
        <f>SUM(CJ208:CJ210)</f>
      </c>
      <c r="CK211" s="330">
        <f>SUM(CK208:CK210)</f>
      </c>
      <c r="CL211" s="330">
        <f>SUM(CL208:CL210)</f>
      </c>
      <c r="CM211" s="330">
        <f>SUM(CM208:CM210)</f>
      </c>
      <c r="CN211" s="321">
        <f>SUM(CJ211:CM211)</f>
      </c>
      <c r="CO211" s="329">
        <f>SUM(CO208:CO210)</f>
      </c>
      <c r="CP211" s="330">
        <f>SUM(CP208:CP210)</f>
      </c>
      <c r="CQ211" s="330">
        <f>SUM(CQ208:CQ210)</f>
      </c>
      <c r="CR211" s="330">
        <f>SUM(CR208:CR210)</f>
      </c>
      <c r="CS211" s="321">
        <f>SUM(CO211:CR211)</f>
      </c>
      <c r="CT211" s="329">
        <f>SUM(CT208:CT210)</f>
      </c>
      <c r="CU211" s="330">
        <f>SUM(CU208:CU210)</f>
      </c>
      <c r="CV211" s="330">
        <f>SUM(CV208:CV210)</f>
      </c>
      <c r="CW211" s="330">
        <f>SUM(CW208:CW210)</f>
      </c>
      <c r="CX211" s="321">
        <f>SUM(CT211:CW211)</f>
      </c>
      <c r="CY211" s="329">
        <f>SUM(CY208:CY210)</f>
      </c>
      <c r="CZ211" s="330">
        <f>SUM(CZ208:CZ210)</f>
      </c>
      <c r="DA211" s="330">
        <f>SUM(DA208:DA210)</f>
      </c>
      <c r="DB211" s="330">
        <f>SUM(DB208:DB210)</f>
      </c>
      <c r="DC211" s="321">
        <f>SUM(CY211:DB211)</f>
      </c>
      <c r="DD211" s="329">
        <f>SUM(DD208:DD210)</f>
      </c>
      <c r="DE211" s="330">
        <f>SUM(DE208:DE210)</f>
      </c>
      <c r="DF211" s="330">
        <f>SUM(DF208:DF210)</f>
      </c>
      <c r="DG211" s="330">
        <f>SUM(DG208:DG210)</f>
      </c>
      <c r="DH211" s="321">
        <f>SUM(DD211:DG211)</f>
      </c>
      <c r="DI211" s="329">
        <f>SUM(DI208:DI210)</f>
      </c>
      <c r="DJ211" s="330">
        <f>SUM(DJ208:DJ210)</f>
      </c>
      <c r="DK211" s="330">
        <f>SUM(DK208:DK210)</f>
      </c>
      <c r="DL211" s="330">
        <f>SUM(DL208:DL210)</f>
      </c>
      <c r="DM211" s="321">
        <f>SUM(DI211:DL211)</f>
      </c>
      <c r="DN211" s="329">
        <f>SUM(DN208:DN210)</f>
      </c>
      <c r="DO211" s="330">
        <f>SUM(DO208:DO210)</f>
      </c>
      <c r="DP211" s="330">
        <f>SUM(DP208:DP210)</f>
      </c>
      <c r="DQ211" s="330">
        <f>SUM(DQ208:DQ210)</f>
      </c>
      <c r="DR211" s="321">
        <f>SUM(DN211:DQ211)</f>
      </c>
      <c r="DS211" s="329">
        <f>SUM(DS208:DS210)</f>
      </c>
      <c r="DT211" s="330">
        <f>SUM(DT208:DT210)</f>
      </c>
      <c r="DU211" s="330">
        <f>SUM(DU208:DU210)</f>
      </c>
      <c r="DV211" s="330">
        <f>SUM(DV208:DV210)</f>
      </c>
      <c r="DW211" s="321">
        <f>SUM(DS211:DV211)</f>
      </c>
      <c r="DX211" s="329">
        <f>SUM(DX208:DX210)</f>
      </c>
      <c r="DY211" s="330">
        <f>SUM(DY208:DY210)</f>
      </c>
      <c r="DZ211" s="330">
        <f>SUM(DZ208:DZ210)</f>
      </c>
      <c r="EA211" s="330">
        <f>SUM(EA208:EA210)</f>
      </c>
      <c r="EB211" s="321">
        <f>SUM(DX211:EA211)</f>
      </c>
      <c r="EC211" s="329">
        <f>SUM(EC208:EC210)</f>
      </c>
      <c r="ED211" s="330">
        <f>SUM(ED208:ED210)</f>
      </c>
      <c r="EE211" s="330">
        <f>SUM(EE208:EE210)</f>
      </c>
      <c r="EF211" s="330">
        <f>SUM(EF208:EF210)</f>
      </c>
      <c r="EG211" s="321">
        <f>SUM(EC211:EF211)</f>
      </c>
      <c r="EH211" s="329">
        <f>SUM(EH208:EH210)</f>
      </c>
      <c r="EI211" s="330">
        <f>SUM(EI208:EI210)</f>
      </c>
      <c r="EJ211" s="330">
        <f>SUM(EJ208:EJ210)</f>
      </c>
      <c r="EK211" s="330">
        <f>SUM(EK208:EK210)</f>
      </c>
      <c r="EL211" s="321">
        <f>SUM(EH211:EK211)</f>
      </c>
      <c r="EM211" s="329">
        <f>SUM(EM208:EM210)</f>
      </c>
      <c r="EN211" s="330">
        <f>SUM(EN208:EN210)</f>
      </c>
      <c r="EO211" s="330">
        <f>SUM(EO208:EO210)</f>
      </c>
      <c r="EP211" s="330">
        <f>SUM(EP208:EP210)</f>
      </c>
      <c r="EQ211" s="321">
        <f>SUM(EM211:EP211)</f>
      </c>
      <c r="ER211" s="447">
        <f>SUM(ER208:ER210)</f>
      </c>
      <c r="ES211" s="330">
        <f>SUM(ES208:ES210)</f>
      </c>
      <c r="ET211" s="330">
        <f>SUM(ET208:ET210)</f>
      </c>
      <c r="EU211" s="330">
        <f>SUM(EU208:EU210)</f>
      </c>
      <c r="EV211" s="321">
        <f>SUM(ER211:EU211)</f>
      </c>
      <c r="EW211" s="447">
        <f>SUM(EW208:EW210)</f>
      </c>
      <c r="EX211" s="330">
        <f>SUM(EX208:EX210)</f>
      </c>
      <c r="EY211" s="330">
        <f>SUM(EY208:EY210)</f>
      </c>
      <c r="EZ211" s="330">
        <f>SUM(EZ208:EZ210)</f>
      </c>
      <c r="FA211" s="321">
        <f>SUM(EW211:EZ211)</f>
      </c>
      <c r="FB211" s="447"/>
      <c r="FC211" s="458"/>
      <c r="FD211" s="458"/>
      <c r="FE211" s="458"/>
      <c r="FF211" s="504"/>
      <c r="FG211" s="447"/>
      <c r="FH211" s="458"/>
      <c r="FI211" s="458"/>
      <c r="FJ211" s="458"/>
      <c r="FK211" s="504"/>
      <c r="FL211" s="447"/>
      <c r="FM211" s="458"/>
      <c r="FN211" s="458"/>
      <c r="FO211" s="458"/>
      <c r="FP211" s="504"/>
      <c r="FQ211" s="447"/>
      <c r="FR211" s="458"/>
      <c r="FS211" s="458"/>
      <c r="FT211" s="458"/>
      <c r="FU211" s="504"/>
      <c r="FV211" s="447"/>
      <c r="FW211" s="458"/>
      <c r="FX211" s="458"/>
      <c r="FY211" s="458"/>
      <c r="FZ211" s="504"/>
      <c r="GA211" s="447"/>
      <c r="GB211" s="458"/>
      <c r="GC211" s="458"/>
      <c r="GD211" s="458"/>
      <c r="GE211" s="504"/>
      <c r="GF211" s="447"/>
      <c r="GG211" s="458"/>
      <c r="GH211" s="458"/>
      <c r="GI211" s="458"/>
      <c r="GJ211" s="504"/>
    </row>
    <row r="212" spans="1:192" s="314" customFormat="1" ht="12.75" hidden="1" customHeight="1" outlineLevel="1">
      <c r="A212" s="793"/>
      <c r="B212" s="621" t="s">
        <v>290</v>
      </c>
      <c r="C212" s="326"/>
      <c r="D212" s="326"/>
      <c r="E212" s="326"/>
      <c r="F212" s="326"/>
      <c r="G212" s="323"/>
      <c r="H212" s="326"/>
      <c r="I212" s="326"/>
      <c r="J212" s="326"/>
      <c r="K212" s="326"/>
      <c r="L212" s="323"/>
      <c r="M212" s="326"/>
      <c r="N212" s="326"/>
      <c r="O212" s="326"/>
      <c r="P212" s="326"/>
      <c r="Q212" s="323"/>
      <c r="R212" s="326"/>
      <c r="S212" s="326"/>
      <c r="T212" s="326"/>
      <c r="U212" s="326"/>
      <c r="V212" s="323"/>
      <c r="W212" s="326"/>
      <c r="X212" s="326"/>
      <c r="Y212" s="326"/>
      <c r="Z212" s="326"/>
      <c r="AA212" s="323"/>
      <c r="AB212" s="326"/>
      <c r="AC212" s="326"/>
      <c r="AD212" s="326"/>
      <c r="AE212" s="326"/>
      <c r="AF212" s="323"/>
      <c r="AG212" s="326"/>
      <c r="AH212" s="326"/>
      <c r="AI212" s="326"/>
      <c r="AJ212" s="326"/>
      <c r="AK212" s="323"/>
      <c r="AL212" s="326"/>
      <c r="AM212" s="326"/>
      <c r="AN212" s="326"/>
      <c r="AO212" s="326"/>
      <c r="AP212" s="323"/>
      <c r="AQ212" s="326"/>
      <c r="AR212" s="326"/>
      <c r="AS212" s="326"/>
      <c r="AT212" s="326"/>
      <c r="AU212" s="323"/>
      <c r="AV212" s="326"/>
      <c r="AW212" s="326"/>
      <c r="AX212" s="326"/>
      <c r="AY212" s="326"/>
      <c r="AZ212" s="323"/>
      <c r="BA212" s="326"/>
      <c r="BB212" s="326"/>
      <c r="BC212" s="326"/>
      <c r="BD212" s="326"/>
      <c r="BE212" s="323"/>
      <c r="BF212" s="326"/>
      <c r="BG212" s="326"/>
      <c r="BH212" s="326"/>
      <c r="BI212" s="326"/>
      <c r="BJ212" s="323"/>
      <c r="BK212" s="326"/>
      <c r="BL212" s="326"/>
      <c r="BM212" s="326"/>
      <c r="BN212" s="326"/>
      <c r="BO212" s="323"/>
      <c r="BP212" s="326"/>
      <c r="BQ212" s="326"/>
      <c r="BR212" s="326"/>
      <c r="BS212" s="326"/>
      <c r="BT212" s="323"/>
      <c r="BU212" s="326"/>
      <c r="BV212" s="326"/>
      <c r="BW212" s="326"/>
      <c r="BX212" s="326"/>
      <c r="BY212" s="323"/>
      <c r="BZ212" s="326"/>
      <c r="CA212" s="326"/>
      <c r="CB212" s="326"/>
      <c r="CC212" s="326"/>
      <c r="CD212" s="323"/>
      <c r="CE212" s="326">
        <f>CE139+CE211</f>
      </c>
      <c r="CF212" s="326">
        <f>CF139+CF211</f>
      </c>
      <c r="CG212" s="326">
        <f>CG139+CG211</f>
      </c>
      <c r="CH212" s="326">
        <f>CH139+CH211</f>
      </c>
      <c r="CI212" s="323">
        <f>SUM(CE212:CH212)</f>
      </c>
      <c r="CJ212" s="326">
        <f>CJ139+CJ211</f>
      </c>
      <c r="CK212" s="326">
        <f>CK139+CK211</f>
      </c>
      <c r="CL212" s="326">
        <f>CL139+CL211</f>
      </c>
      <c r="CM212" s="326">
        <f>CM139+CM211</f>
      </c>
      <c r="CN212" s="323">
        <f>SUM(CJ212:CM212)</f>
      </c>
      <c r="CO212" s="326">
        <f>CO139+CO211</f>
      </c>
      <c r="CP212" s="326">
        <f>CP139+CP211</f>
      </c>
      <c r="CQ212" s="326">
        <f>CQ139+CQ211</f>
      </c>
      <c r="CR212" s="326">
        <f>CR139+CR211</f>
      </c>
      <c r="CS212" s="323">
        <f>SUM(CO212:CR212)</f>
      </c>
      <c r="CT212" s="326">
        <f>CT139+CT211</f>
      </c>
      <c r="CU212" s="326">
        <f>CU139+CU211</f>
      </c>
      <c r="CV212" s="326">
        <f>CV139+CV211</f>
      </c>
      <c r="CW212" s="326">
        <f>CW139+CW211</f>
      </c>
      <c r="CX212" s="323">
        <f>SUM(CT212:CW212)</f>
      </c>
      <c r="CY212" s="326">
        <f>CY139+CY211</f>
      </c>
      <c r="CZ212" s="326">
        <f>CZ139+CZ211</f>
      </c>
      <c r="DA212" s="326">
        <f>DA139+DA211</f>
      </c>
      <c r="DB212" s="326">
        <f>DB139+DB211</f>
      </c>
      <c r="DC212" s="323">
        <f>SUM(CY212:DB212)</f>
      </c>
      <c r="DD212" s="326">
        <f>DD139+DD211</f>
      </c>
      <c r="DE212" s="326">
        <f>DE139+DE211</f>
      </c>
      <c r="DF212" s="326">
        <f>DF139+DF211</f>
      </c>
      <c r="DG212" s="326">
        <f>DG139+DG211</f>
      </c>
      <c r="DH212" s="323">
        <f>SUM(DD212:DG212)</f>
      </c>
      <c r="DI212" s="326">
        <f>DI139+DI211</f>
      </c>
      <c r="DJ212" s="326">
        <f>DJ139+DJ211</f>
      </c>
      <c r="DK212" s="326">
        <f>DK139+DK211</f>
      </c>
      <c r="DL212" s="326">
        <f>DL139+DL211</f>
      </c>
      <c r="DM212" s="323">
        <f>SUM(DI212:DL212)</f>
      </c>
      <c r="DN212" s="326">
        <f>DN139+DN211</f>
      </c>
      <c r="DO212" s="326">
        <f>DO139+DO211</f>
      </c>
      <c r="DP212" s="326">
        <f>DP139+DP211</f>
      </c>
      <c r="DQ212" s="326">
        <f>DQ139+DQ211</f>
      </c>
      <c r="DR212" s="323">
        <f>SUM(DN212:DQ212)</f>
      </c>
      <c r="DS212" s="326">
        <f>DS139+DS211</f>
      </c>
      <c r="DT212" s="326">
        <f>DT139+DT211</f>
      </c>
      <c r="DU212" s="326">
        <f>DU139+DU211</f>
      </c>
      <c r="DV212" s="326">
        <f>DV139+DV211</f>
      </c>
      <c r="DW212" s="323">
        <f>SUM(DS212:DV212)</f>
      </c>
      <c r="DX212" s="326">
        <f>DX139+DX211</f>
      </c>
      <c r="DY212" s="326">
        <f>DY139+DY211</f>
      </c>
      <c r="DZ212" s="326">
        <f>DZ139+DZ211</f>
      </c>
      <c r="EA212" s="326">
        <f>EA139+EA211</f>
      </c>
      <c r="EB212" s="323">
        <f>SUM(DX212:EA212)</f>
      </c>
      <c r="EC212" s="326">
        <f>EC139+EC211</f>
      </c>
      <c r="ED212" s="326">
        <f>ED139+ED211</f>
      </c>
      <c r="EE212" s="326">
        <f>EE139+EE211</f>
      </c>
      <c r="EF212" s="326">
        <f>EF139+EF211</f>
      </c>
      <c r="EG212" s="323">
        <f>SUM(EC212:EF212)</f>
      </c>
      <c r="EH212" s="332">
        <f>EH139+EH211</f>
      </c>
      <c r="EI212" s="322">
        <f>EI139+EI211</f>
      </c>
      <c r="EJ212" s="322">
        <f>EJ139+EJ211</f>
      </c>
      <c r="EK212" s="322">
        <f>EK139+EK211</f>
      </c>
      <c r="EL212" s="323">
        <f>SUM(EH212:EK212)</f>
      </c>
      <c r="EM212" s="322">
        <f>EM139+EM211</f>
      </c>
      <c r="EN212" s="322">
        <f>EN139+EN211</f>
      </c>
      <c r="EO212" s="322">
        <f>EO139+EO211</f>
      </c>
      <c r="EP212" s="322">
        <f>EP139+EP211</f>
      </c>
      <c r="EQ212" s="323">
        <f>SUM(EM212:EP212)</f>
      </c>
      <c r="ER212" s="636">
        <f>ER139+ER211</f>
      </c>
      <c r="ES212" s="322">
        <f>ES139+ES211</f>
      </c>
      <c r="ET212" s="322">
        <f>ET139+ET211</f>
      </c>
      <c r="EU212" s="322">
        <f>EU139+EU211</f>
      </c>
      <c r="EV212" s="323">
        <f>SUM(ER212:EU212)</f>
      </c>
      <c r="EW212" s="636">
        <f>EW139+EW211</f>
      </c>
      <c r="EX212" s="322">
        <f>EX139+EX211</f>
      </c>
      <c r="EY212" s="322">
        <f>EY139+EY211</f>
      </c>
      <c r="EZ212" s="322">
        <f>EZ139+EZ211</f>
      </c>
      <c r="FA212" s="323">
        <f>SUM(EW212:EZ212)</f>
      </c>
      <c r="FB212" s="636">
        <f>FB139+FB211</f>
      </c>
      <c r="FC212" s="636">
        <f>FC139+FC211</f>
      </c>
      <c r="FD212" s="636">
        <f>FD139+FD211</f>
      </c>
      <c r="FE212" s="636">
        <f>FE139+FE211</f>
      </c>
      <c r="FF212" s="637">
        <f>SUM(FB212:FE212)</f>
      </c>
      <c r="FG212" s="636">
        <f>FG139+FG211</f>
      </c>
      <c r="FH212" s="636">
        <f>FH139+FH211</f>
      </c>
      <c r="FI212" s="636">
        <f>FI139+FI211</f>
      </c>
      <c r="FJ212" s="636">
        <f>FJ139+FJ211</f>
      </c>
      <c r="FK212" s="637">
        <f>SUM(FG212:FJ212)</f>
      </c>
      <c r="FL212" s="636">
        <f>FL139+FL211</f>
      </c>
      <c r="FM212" s="636">
        <f>FM139+FM211</f>
      </c>
      <c r="FN212" s="636">
        <f>FN139+FN211</f>
      </c>
      <c r="FO212" s="636">
        <f>FO139+FO211</f>
      </c>
      <c r="FP212" s="637">
        <f>SUM(FL212:FO212)</f>
      </c>
      <c r="FQ212" s="636">
        <f>FQ139+FQ211</f>
      </c>
      <c r="FR212" s="636">
        <f>FR139+FR211</f>
      </c>
      <c r="FS212" s="636">
        <f>FS139+FS211</f>
      </c>
      <c r="FT212" s="636">
        <f>FT139+FT211</f>
      </c>
      <c r="FU212" s="637">
        <f>SUM(FQ212:FT212)</f>
      </c>
      <c r="FV212" s="636">
        <f>FV139+FV211</f>
      </c>
      <c r="FW212" s="636">
        <f>FW139+FW211</f>
      </c>
      <c r="FX212" s="636">
        <f>FX139+FX211</f>
      </c>
      <c r="FY212" s="636">
        <f>FY139+FY211</f>
      </c>
      <c r="FZ212" s="637">
        <f>SUM(FV212:FY212)</f>
      </c>
      <c r="GA212" s="636">
        <f>GA139+GA211</f>
      </c>
      <c r="GB212" s="636">
        <f>GB139+GB211</f>
      </c>
      <c r="GC212" s="636">
        <f>GC139+GC211</f>
      </c>
      <c r="GD212" s="636">
        <f>GD139+GD211</f>
      </c>
      <c r="GE212" s="637">
        <f>SUM(GA212:GD212)</f>
      </c>
      <c r="GF212" s="636">
        <f>GF139+GF211</f>
      </c>
      <c r="GG212" s="636">
        <f>GG139+GG211</f>
      </c>
      <c r="GH212" s="636">
        <f>GH139+GH211</f>
      </c>
      <c r="GI212" s="636">
        <f>GI139+GI211</f>
      </c>
      <c r="GJ212" s="637">
        <f>SUM(GF212:GI212)</f>
      </c>
    </row>
    <row r="213" spans="1:192" s="1227" customFormat="1" ht="12.75" hidden="1" customHeight="1" outlineLevel="1">
      <c r="A213" s="1224"/>
      <c r="B213" s="1228" t="s">
        <v>34</v>
      </c>
      <c r="C213" s="1225"/>
      <c r="D213" s="1225"/>
      <c r="E213" s="1225"/>
      <c r="F213" s="1225"/>
      <c r="G213" s="1226"/>
      <c r="H213" s="1225"/>
      <c r="I213" s="1225"/>
      <c r="J213" s="1225"/>
      <c r="K213" s="1225"/>
      <c r="L213" s="1226"/>
      <c r="M213" s="1225"/>
      <c r="N213" s="1225"/>
      <c r="O213" s="1225"/>
      <c r="P213" s="1225"/>
      <c r="Q213" s="1226"/>
      <c r="R213" s="1225"/>
      <c r="S213" s="1225"/>
      <c r="T213" s="1225"/>
      <c r="U213" s="1225"/>
      <c r="V213" s="1226"/>
      <c r="W213" s="1225"/>
      <c r="X213" s="1225"/>
      <c r="Y213" s="1225"/>
      <c r="Z213" s="1225"/>
      <c r="AA213" s="1226"/>
      <c r="AB213" s="1225"/>
      <c r="AC213" s="1225"/>
      <c r="AD213" s="1225"/>
      <c r="AE213" s="1225"/>
      <c r="AF213" s="1226"/>
      <c r="AG213" s="1225"/>
      <c r="AH213" s="1225"/>
      <c r="AI213" s="1225"/>
      <c r="AJ213" s="1225"/>
      <c r="AK213" s="1226"/>
      <c r="AL213" s="1225"/>
      <c r="AM213" s="1225"/>
      <c r="AN213" s="1225"/>
      <c r="AO213" s="1225"/>
      <c r="AP213" s="1226"/>
      <c r="AQ213" s="1225"/>
      <c r="AR213" s="1225"/>
      <c r="AS213" s="1225"/>
      <c r="AT213" s="1225"/>
      <c r="AU213" s="1226"/>
      <c r="AV213" s="1225"/>
      <c r="AW213" s="1225"/>
      <c r="AX213" s="1225"/>
      <c r="AY213" s="1225"/>
      <c r="AZ213" s="1226"/>
      <c r="BA213" s="1229"/>
      <c r="BB213" s="1229"/>
      <c r="BC213" s="1229"/>
      <c r="BD213" s="1229"/>
      <c r="BE213" s="1230"/>
      <c r="BF213" s="1229"/>
      <c r="BG213" s="1229"/>
      <c r="BH213" s="1229"/>
      <c r="BI213" s="1229"/>
      <c r="BJ213" s="1230"/>
      <c r="BK213" s="1229"/>
      <c r="BL213" s="1229"/>
      <c r="BM213" s="1229"/>
      <c r="BN213" s="1229"/>
      <c r="BO213" s="1230"/>
      <c r="BP213" s="1229"/>
      <c r="BQ213" s="1229"/>
      <c r="BR213" s="1229"/>
      <c r="BS213" s="1229"/>
      <c r="BT213" s="1230"/>
      <c r="BU213" s="1229"/>
      <c r="BV213" s="1229"/>
      <c r="BW213" s="1229"/>
      <c r="BX213" s="1229"/>
      <c r="BY213" s="1230"/>
      <c r="BZ213" s="1229"/>
      <c r="CA213" s="1229"/>
      <c r="CB213" s="1229"/>
      <c r="CC213" s="1229"/>
      <c r="CD213" s="1230"/>
      <c r="CE213" s="1229" t="str">
        <f t="shared" ref="CE213:CY213" si="425">IFERROR(CE212/BZ212-1,"")</f>
      </c>
      <c r="CF213" s="1229" t="str">
        <f t="shared" si="425"/>
      </c>
      <c r="CG213" s="1229" t="str">
        <f t="shared" si="425"/>
      </c>
      <c r="CH213" s="1229" t="str">
        <f t="shared" si="425"/>
      </c>
      <c r="CI213" s="1230" t="str">
        <f t="shared" si="425"/>
      </c>
      <c r="CJ213" s="1229">
        <f t="shared" si="425"/>
      </c>
      <c r="CK213" s="1229">
        <f t="shared" si="425"/>
      </c>
      <c r="CL213" s="1229">
        <f t="shared" si="425"/>
      </c>
      <c r="CM213" s="1229">
        <f t="shared" si="425"/>
      </c>
      <c r="CN213" s="1230">
        <f t="shared" si="425"/>
      </c>
      <c r="CO213" s="1229">
        <f t="shared" si="425"/>
      </c>
      <c r="CP213" s="1229">
        <f t="shared" si="425"/>
      </c>
      <c r="CQ213" s="1229">
        <f t="shared" si="425"/>
      </c>
      <c r="CR213" s="1229">
        <f t="shared" si="425"/>
      </c>
      <c r="CS213" s="1230">
        <f t="shared" si="425"/>
      </c>
      <c r="CT213" s="1229">
        <f t="shared" si="425"/>
      </c>
      <c r="CU213" s="1229">
        <f t="shared" si="425"/>
      </c>
      <c r="CV213" s="1229">
        <f t="shared" si="425"/>
      </c>
      <c r="CW213" s="1229">
        <f t="shared" si="425"/>
      </c>
      <c r="CX213" s="1230">
        <f t="shared" si="425"/>
      </c>
      <c r="CY213" s="1229">
        <f t="shared" si="425"/>
      </c>
      <c r="CZ213" s="1229">
        <f t="shared" ref="CZ213:EE213" si="426">IFERROR(CZ212/CU212-1,"")</f>
      </c>
      <c r="DA213" s="1229">
        <f t="shared" si="426"/>
      </c>
      <c r="DB213" s="1229">
        <f t="shared" si="426"/>
      </c>
      <c r="DC213" s="1230">
        <f t="shared" si="426"/>
      </c>
      <c r="DD213" s="1229">
        <f t="shared" si="426"/>
      </c>
      <c r="DE213" s="1229">
        <f t="shared" si="426"/>
      </c>
      <c r="DF213" s="1229">
        <f t="shared" si="426"/>
      </c>
      <c r="DG213" s="1229">
        <f t="shared" si="426"/>
      </c>
      <c r="DH213" s="1230">
        <f t="shared" si="426"/>
      </c>
      <c r="DI213" s="1229">
        <f t="shared" si="426"/>
      </c>
      <c r="DJ213" s="1229">
        <f t="shared" si="426"/>
      </c>
      <c r="DK213" s="1229">
        <f t="shared" si="426"/>
      </c>
      <c r="DL213" s="1229">
        <f t="shared" si="426"/>
      </c>
      <c r="DM213" s="1230">
        <f t="shared" si="426"/>
      </c>
      <c r="DN213" s="1229">
        <f t="shared" si="426"/>
      </c>
      <c r="DO213" s="1229">
        <f t="shared" si="426"/>
      </c>
      <c r="DP213" s="1229">
        <f t="shared" si="426"/>
      </c>
      <c r="DQ213" s="1229">
        <f t="shared" si="426"/>
      </c>
      <c r="DR213" s="1230">
        <f t="shared" si="426"/>
      </c>
      <c r="DS213" s="1229">
        <f t="shared" si="426"/>
      </c>
      <c r="DT213" s="1229">
        <f t="shared" si="426"/>
      </c>
      <c r="DU213" s="1229">
        <f t="shared" si="426"/>
      </c>
      <c r="DV213" s="1229">
        <f t="shared" si="426"/>
      </c>
      <c r="DW213" s="1230">
        <f t="shared" si="426"/>
      </c>
      <c r="DX213" s="1229">
        <f t="shared" si="426"/>
      </c>
      <c r="DY213" s="1229">
        <f t="shared" si="426"/>
      </c>
      <c r="DZ213" s="1229">
        <f t="shared" si="426"/>
      </c>
      <c r="EA213" s="1229">
        <f t="shared" si="426"/>
      </c>
      <c r="EB213" s="1230">
        <f t="shared" si="426"/>
      </c>
      <c r="EC213" s="1229">
        <f t="shared" si="426"/>
      </c>
      <c r="ED213" s="1229">
        <f t="shared" si="426"/>
      </c>
      <c r="EE213" s="1229">
        <f t="shared" si="426"/>
      </c>
      <c r="EF213" s="1229">
        <f t="shared" ref="EF213:FA213" si="427">IFERROR(EF212/EA212-1,"")</f>
      </c>
      <c r="EG213" s="1230">
        <f t="shared" si="427"/>
      </c>
      <c r="EH213" s="1229">
        <f t="shared" si="427"/>
      </c>
      <c r="EI213" s="1229">
        <f t="shared" si="427"/>
      </c>
      <c r="EJ213" s="1229">
        <f t="shared" si="427"/>
      </c>
      <c r="EK213" s="1229">
        <f t="shared" si="427"/>
      </c>
      <c r="EL213" s="1230">
        <f t="shared" si="427"/>
      </c>
      <c r="EM213" s="1229">
        <f t="shared" si="427"/>
      </c>
      <c r="EN213" s="1229">
        <f t="shared" si="427"/>
      </c>
      <c r="EO213" s="1229">
        <f t="shared" si="427"/>
      </c>
      <c r="EP213" s="1229">
        <f t="shared" si="427"/>
      </c>
      <c r="EQ213" s="1230">
        <f t="shared" si="427"/>
      </c>
      <c r="ER213" s="1229">
        <f t="shared" si="427"/>
      </c>
      <c r="ES213" s="1229">
        <f t="shared" si="427"/>
      </c>
      <c r="ET213" s="1229">
        <f t="shared" si="427"/>
      </c>
      <c r="EU213" s="1229">
        <f t="shared" si="427"/>
      </c>
      <c r="EV213" s="1230">
        <f t="shared" si="427"/>
      </c>
      <c r="EW213" s="1229">
        <f t="shared" si="427"/>
      </c>
      <c r="EX213" s="1229">
        <f t="shared" si="427"/>
      </c>
      <c r="EY213" s="1229">
        <f t="shared" si="427"/>
      </c>
      <c r="EZ213" s="1229">
        <f t="shared" si="427"/>
      </c>
      <c r="FA213" s="1230">
        <f t="shared" si="427"/>
      </c>
      <c r="FB213" s="1225"/>
      <c r="FC213" s="1225"/>
      <c r="FD213" s="1225"/>
      <c r="FE213" s="1225"/>
      <c r="FF213" s="1226"/>
      <c r="FG213" s="1225"/>
      <c r="FH213" s="1225"/>
      <c r="FI213" s="1225"/>
      <c r="FJ213" s="1225"/>
      <c r="FK213" s="1226"/>
      <c r="FL213" s="1225"/>
      <c r="FM213" s="1225"/>
      <c r="FN213" s="1225"/>
      <c r="FO213" s="1225"/>
      <c r="FP213" s="1226"/>
      <c r="FQ213" s="1225"/>
      <c r="FR213" s="1225"/>
      <c r="FS213" s="1225"/>
      <c r="FT213" s="1225"/>
      <c r="FU213" s="1226"/>
      <c r="FV213" s="1225"/>
      <c r="FW213" s="1225"/>
      <c r="FX213" s="1225"/>
      <c r="FY213" s="1225"/>
      <c r="FZ213" s="1226"/>
      <c r="GA213" s="1225"/>
      <c r="GB213" s="1225"/>
      <c r="GC213" s="1225"/>
      <c r="GD213" s="1225"/>
      <c r="GE213" s="1226"/>
      <c r="GF213" s="1225"/>
      <c r="GG213" s="1225"/>
      <c r="GH213" s="1225"/>
      <c r="GI213" s="1225"/>
      <c r="GJ213" s="1226"/>
    </row>
    <row r="214" spans="1:192" s="1227" customFormat="1" ht="12.75" customHeight="1" collapsed="1">
      <c r="A214" s="1224"/>
      <c r="B214" s="1228"/>
      <c r="C214" s="1225"/>
      <c r="D214" s="1225"/>
      <c r="E214" s="1225"/>
      <c r="F214" s="1225"/>
      <c r="G214" s="1226"/>
      <c r="H214" s="1225"/>
      <c r="I214" s="1225"/>
      <c r="J214" s="1225"/>
      <c r="K214" s="1225"/>
      <c r="L214" s="1226"/>
      <c r="M214" s="1225"/>
      <c r="N214" s="1225"/>
      <c r="O214" s="1225"/>
      <c r="P214" s="1225"/>
      <c r="Q214" s="1226"/>
      <c r="R214" s="1225"/>
      <c r="S214" s="1225"/>
      <c r="T214" s="1225"/>
      <c r="U214" s="1225"/>
      <c r="V214" s="1226"/>
      <c r="W214" s="1225"/>
      <c r="X214" s="1225"/>
      <c r="Y214" s="1225"/>
      <c r="Z214" s="1225"/>
      <c r="AA214" s="1226"/>
      <c r="AB214" s="1225"/>
      <c r="AC214" s="1225"/>
      <c r="AD214" s="1225"/>
      <c r="AE214" s="1225"/>
      <c r="AF214" s="1226"/>
      <c r="AG214" s="1225"/>
      <c r="AH214" s="1225"/>
      <c r="AI214" s="1225"/>
      <c r="AJ214" s="1225"/>
      <c r="AK214" s="1226"/>
      <c r="AL214" s="1225"/>
      <c r="AM214" s="1225"/>
      <c r="AN214" s="1225"/>
      <c r="AO214" s="1225"/>
      <c r="AP214" s="1226"/>
      <c r="AQ214" s="1225"/>
      <c r="AR214" s="1225"/>
      <c r="AS214" s="1225"/>
      <c r="AT214" s="1225"/>
      <c r="AU214" s="1226"/>
      <c r="AV214" s="1225"/>
      <c r="AW214" s="1225"/>
      <c r="AX214" s="1225"/>
      <c r="AY214" s="1225"/>
      <c r="AZ214" s="1226"/>
      <c r="BA214" s="1229"/>
      <c r="BB214" s="1229"/>
      <c r="BC214" s="1229"/>
      <c r="BD214" s="1229"/>
      <c r="BE214" s="1230"/>
      <c r="BF214" s="1229"/>
      <c r="BG214" s="1229"/>
      <c r="BH214" s="1229"/>
      <c r="BI214" s="1229"/>
      <c r="BJ214" s="1230"/>
      <c r="BK214" s="1229"/>
      <c r="BL214" s="1229"/>
      <c r="BM214" s="1229"/>
      <c r="BN214" s="1229"/>
      <c r="BO214" s="1230"/>
      <c r="BP214" s="1229"/>
      <c r="BQ214" s="1229"/>
      <c r="BR214" s="1229"/>
      <c r="BS214" s="1229"/>
      <c r="BT214" s="1230"/>
      <c r="BU214" s="1229"/>
      <c r="BV214" s="1229"/>
      <c r="BW214" s="1229"/>
      <c r="BX214" s="1229"/>
      <c r="BY214" s="1230"/>
      <c r="BZ214" s="1229"/>
      <c r="CA214" s="1229"/>
      <c r="CB214" s="1229"/>
      <c r="CC214" s="1229"/>
      <c r="CD214" s="1230"/>
      <c r="CE214" s="1229"/>
      <c r="CF214" s="1229"/>
      <c r="CG214" s="1229"/>
      <c r="CH214" s="1229"/>
      <c r="CI214" s="1230"/>
      <c r="CJ214" s="1229"/>
      <c r="CK214" s="1229"/>
      <c r="CL214" s="1229"/>
      <c r="CM214" s="1229"/>
      <c r="CN214" s="1230"/>
      <c r="CO214" s="1229"/>
      <c r="CP214" s="1229"/>
      <c r="CQ214" s="1229"/>
      <c r="CR214" s="1229"/>
      <c r="CS214" s="1230"/>
      <c r="CT214" s="1229"/>
      <c r="CU214" s="1229"/>
      <c r="CV214" s="1229"/>
      <c r="CW214" s="1229"/>
      <c r="CX214" s="1230"/>
      <c r="CY214" s="1229"/>
      <c r="CZ214" s="1229"/>
      <c r="DA214" s="1229"/>
      <c r="DB214" s="1229"/>
      <c r="DC214" s="1230"/>
      <c r="DD214" s="1229"/>
      <c r="DE214" s="1229"/>
      <c r="DF214" s="1229"/>
      <c r="DG214" s="1229"/>
      <c r="DH214" s="1230"/>
      <c r="DI214" s="1229"/>
      <c r="DJ214" s="1229"/>
      <c r="DK214" s="1229"/>
      <c r="DL214" s="1229"/>
      <c r="DM214" s="1230"/>
      <c r="DN214" s="1229"/>
      <c r="DO214" s="1229"/>
      <c r="DP214" s="1229"/>
      <c r="DQ214" s="1229"/>
      <c r="DR214" s="1230"/>
      <c r="DS214" s="1229"/>
      <c r="DT214" s="1229"/>
      <c r="DU214" s="1229"/>
      <c r="DV214" s="1229"/>
      <c r="DW214" s="1230"/>
      <c r="DX214" s="1229"/>
      <c r="DY214" s="1229"/>
      <c r="DZ214" s="1229"/>
      <c r="EA214" s="1229"/>
      <c r="EB214" s="1230"/>
      <c r="EC214" s="1229"/>
      <c r="ED214" s="1229"/>
      <c r="EE214" s="1229"/>
      <c r="EF214" s="1229"/>
      <c r="EG214" s="1230"/>
      <c r="EH214" s="1229"/>
      <c r="EI214" s="1229"/>
      <c r="EJ214" s="1229"/>
      <c r="EK214" s="1229"/>
      <c r="EL214" s="1230"/>
      <c r="EM214" s="1229"/>
      <c r="EN214" s="1229"/>
      <c r="EO214" s="1229"/>
      <c r="EP214" s="1229"/>
      <c r="EQ214" s="1230"/>
      <c r="ER214" s="1229"/>
      <c r="ES214" s="1229"/>
      <c r="ET214" s="1229"/>
      <c r="EU214" s="1225"/>
      <c r="EV214" s="1230"/>
      <c r="EW214" s="1229"/>
      <c r="EX214" s="1225"/>
      <c r="EY214" s="1229"/>
      <c r="EZ214" s="1225"/>
      <c r="FA214" s="1230"/>
      <c r="FB214" s="1225"/>
      <c r="FC214" s="1225"/>
      <c r="FD214" s="1225"/>
      <c r="FE214" s="1225"/>
      <c r="FF214" s="1226"/>
      <c r="FG214" s="1225"/>
      <c r="FH214" s="1225"/>
      <c r="FI214" s="1225"/>
      <c r="FJ214" s="1225"/>
      <c r="FK214" s="1226"/>
      <c r="FL214" s="1225"/>
      <c r="FM214" s="1225"/>
      <c r="FN214" s="1225"/>
      <c r="FO214" s="1225"/>
      <c r="FP214" s="1226"/>
      <c r="FQ214" s="1225"/>
      <c r="FR214" s="1225"/>
      <c r="FS214" s="1225"/>
      <c r="FT214" s="1225"/>
      <c r="FU214" s="1226"/>
      <c r="FV214" s="1225"/>
      <c r="FW214" s="1225"/>
      <c r="FX214" s="1225"/>
      <c r="FY214" s="1225"/>
      <c r="FZ214" s="1226"/>
      <c r="GA214" s="1225"/>
      <c r="GB214" s="1225"/>
      <c r="GC214" s="1225"/>
      <c r="GD214" s="1225"/>
      <c r="GE214" s="1226"/>
      <c r="GF214" s="1225"/>
      <c r="GG214" s="1225"/>
      <c r="GH214" s="1225"/>
      <c r="GI214" s="1225"/>
      <c r="GJ214" s="1226"/>
    </row>
    <row r="215" spans="1:192" s="1227" customFormat="1" ht="12.75" customHeight="1">
      <c r="A215" s="1224"/>
      <c r="B215" s="698" t="s">
        <v>2028</v>
      </c>
      <c r="C215" s="1225"/>
      <c r="D215" s="1225"/>
      <c r="E215" s="1225"/>
      <c r="F215" s="1225"/>
      <c r="G215" s="1226"/>
      <c r="H215" s="1225"/>
      <c r="I215" s="1225"/>
      <c r="J215" s="1225"/>
      <c r="K215" s="1225"/>
      <c r="L215" s="1226"/>
      <c r="M215" s="1225"/>
      <c r="N215" s="1225"/>
      <c r="O215" s="1225"/>
      <c r="P215" s="1225"/>
      <c r="Q215" s="1226"/>
      <c r="R215" s="1225"/>
      <c r="S215" s="1225"/>
      <c r="T215" s="1225"/>
      <c r="U215" s="1225"/>
      <c r="V215" s="1226"/>
      <c r="W215" s="1225"/>
      <c r="X215" s="1225"/>
      <c r="Y215" s="1225"/>
      <c r="Z215" s="1225"/>
      <c r="AA215" s="1226"/>
      <c r="AB215" s="1225"/>
      <c r="AC215" s="1225"/>
      <c r="AD215" s="1225"/>
      <c r="AE215" s="1225"/>
      <c r="AF215" s="1226"/>
      <c r="AG215" s="1225"/>
      <c r="AH215" s="1225"/>
      <c r="AI215" s="1225"/>
      <c r="AJ215" s="1225"/>
      <c r="AK215" s="1226"/>
      <c r="AL215" s="1225"/>
      <c r="AM215" s="1225"/>
      <c r="AN215" s="1225"/>
      <c r="AO215" s="1225"/>
      <c r="AP215" s="1226"/>
      <c r="AQ215" s="1225"/>
      <c r="AR215" s="1225"/>
      <c r="AS215" s="1225"/>
      <c r="AT215" s="1225"/>
      <c r="AU215" s="1226"/>
      <c r="AV215" s="1225"/>
      <c r="AW215" s="1225"/>
      <c r="AX215" s="1225"/>
      <c r="AY215" s="1225"/>
      <c r="AZ215" s="1226"/>
      <c r="BA215" s="1229"/>
      <c r="BB215" s="1229"/>
      <c r="BC215" s="1229"/>
      <c r="BD215" s="1229"/>
      <c r="BE215" s="1230"/>
      <c r="BF215" s="1229"/>
      <c r="BG215" s="1229"/>
      <c r="BH215" s="1229"/>
      <c r="BI215" s="1229"/>
      <c r="BJ215" s="1230"/>
      <c r="BK215" s="1229"/>
      <c r="BL215" s="1229"/>
      <c r="BM215" s="1229"/>
      <c r="BN215" s="1229"/>
      <c r="BO215" s="1230"/>
      <c r="BP215" s="1229"/>
      <c r="BQ215" s="1229"/>
      <c r="BR215" s="1229"/>
      <c r="BS215" s="1229"/>
      <c r="BT215" s="1230"/>
      <c r="BU215" s="1229"/>
      <c r="BV215" s="1229"/>
      <c r="BW215" s="1229"/>
      <c r="BX215" s="1229"/>
      <c r="BY215" s="1230"/>
      <c r="BZ215" s="1229"/>
      <c r="CA215" s="1229"/>
      <c r="CB215" s="1229"/>
      <c r="CC215" s="1229"/>
      <c r="CD215" s="1230"/>
      <c r="CE215" s="1229"/>
      <c r="CF215" s="1229"/>
      <c r="CG215" s="1229"/>
      <c r="CH215" s="1229"/>
      <c r="CI215" s="1230"/>
      <c r="CJ215" s="1229"/>
      <c r="CK215" s="1229"/>
      <c r="CL215" s="1229"/>
      <c r="CM215" s="1229"/>
      <c r="CN215" s="1230"/>
      <c r="CO215" s="1229"/>
      <c r="CP215" s="1229"/>
      <c r="CQ215" s="1229"/>
      <c r="CR215" s="1229"/>
      <c r="CS215" s="1230"/>
      <c r="CT215" s="1229"/>
      <c r="CU215" s="1229"/>
      <c r="CV215" s="1229"/>
      <c r="CW215" s="1229"/>
      <c r="CX215" s="1230"/>
      <c r="CY215" s="1229"/>
      <c r="CZ215" s="1229"/>
      <c r="DA215" s="1229"/>
      <c r="DB215" s="1229"/>
      <c r="DC215" s="1230"/>
      <c r="DD215" s="1229"/>
      <c r="DE215" s="1229"/>
      <c r="DF215" s="1229"/>
      <c r="DG215" s="1229"/>
      <c r="DH215" s="1230"/>
      <c r="DI215" s="1229"/>
      <c r="DJ215" s="1229"/>
      <c r="DK215" s="1229"/>
      <c r="DL215" s="1229"/>
      <c r="DM215" s="1230"/>
      <c r="DN215" s="1229"/>
      <c r="DO215" s="1229"/>
      <c r="DP215" s="1229"/>
      <c r="DQ215" s="1229"/>
      <c r="DR215" s="1230"/>
      <c r="DS215" s="1229"/>
      <c r="DT215" s="1229"/>
      <c r="DU215" s="1229"/>
      <c r="DV215" s="1229"/>
      <c r="DW215" s="1230"/>
      <c r="DX215" s="1229"/>
      <c r="DY215" s="1229"/>
      <c r="DZ215" s="1229"/>
      <c r="EA215" s="1229"/>
      <c r="EB215" s="1230"/>
      <c r="EC215" s="1229"/>
      <c r="ED215" s="1229"/>
      <c r="EE215" s="1229"/>
      <c r="EF215" s="1229"/>
      <c r="EG215" s="1230"/>
      <c r="EH215" s="1229"/>
      <c r="EI215" s="1229"/>
      <c r="EJ215" s="1229"/>
      <c r="EK215" s="1229"/>
      <c r="EL215" s="1230"/>
      <c r="EM215" s="1229"/>
      <c r="EN215" s="1229"/>
      <c r="EO215" s="1229"/>
      <c r="EP215" s="1229"/>
      <c r="EQ215" s="1230"/>
      <c r="ER215" s="1229"/>
      <c r="ES215" s="1229"/>
      <c r="ET215" s="1229"/>
      <c r="EU215" s="1225"/>
      <c r="EV215" s="1582"/>
      <c r="EW215" s="1229"/>
      <c r="EX215" s="1225"/>
      <c r="EY215" s="1229"/>
      <c r="EZ215" s="1225"/>
      <c r="FA215" s="1582"/>
      <c r="FB215" s="1225"/>
      <c r="FC215" s="1225"/>
      <c r="FD215" s="1225"/>
      <c r="FE215" s="1225"/>
      <c r="FF215" s="1226"/>
      <c r="FG215" s="1225"/>
      <c r="FH215" s="1225"/>
      <c r="FI215" s="1225"/>
      <c r="FJ215" s="1225"/>
      <c r="FK215" s="1226"/>
      <c r="FL215" s="1225"/>
      <c r="FM215" s="1225"/>
      <c r="FN215" s="1225"/>
      <c r="FO215" s="1225"/>
      <c r="FP215" s="1226"/>
      <c r="FQ215" s="1225"/>
      <c r="FR215" s="1225"/>
      <c r="FS215" s="1225"/>
      <c r="FT215" s="1225"/>
      <c r="FU215" s="1226"/>
      <c r="FV215" s="1225"/>
      <c r="FW215" s="1225"/>
      <c r="FX215" s="1225"/>
      <c r="FY215" s="1225"/>
      <c r="FZ215" s="1226"/>
      <c r="GA215" s="1225"/>
      <c r="GB215" s="1225"/>
      <c r="GC215" s="1225"/>
      <c r="GD215" s="1225"/>
      <c r="GE215" s="1226"/>
      <c r="GF215" s="1225"/>
      <c r="GG215" s="1225"/>
      <c r="GH215" s="1225"/>
      <c r="GI215" s="1225"/>
      <c r="GJ215" s="1226"/>
    </row>
    <row r="216" spans="1:192" s="314" customFormat="1" ht="12.75" hidden="1" customHeight="1" outlineLevel="1">
      <c r="A216" s="279"/>
      <c r="B216" s="625" t="s">
        <v>1933</v>
      </c>
      <c r="C216" s="1573"/>
      <c r="D216" s="1573"/>
      <c r="E216" s="1573"/>
      <c r="F216" s="1573"/>
      <c r="G216" s="1574"/>
      <c r="H216" s="1573"/>
      <c r="I216" s="1573"/>
      <c r="J216" s="1573"/>
      <c r="K216" s="1573"/>
      <c r="L216" s="1574"/>
      <c r="M216" s="1573"/>
      <c r="N216" s="1573"/>
      <c r="O216" s="1573"/>
      <c r="P216" s="1573"/>
      <c r="Q216" s="1574"/>
      <c r="R216" s="1573"/>
      <c r="S216" s="1573"/>
      <c r="T216" s="1573"/>
      <c r="U216" s="1573"/>
      <c r="V216" s="1574"/>
      <c r="W216" s="1573"/>
      <c r="X216" s="1573"/>
      <c r="Y216" s="1573"/>
      <c r="Z216" s="1573"/>
      <c r="AA216" s="1574"/>
      <c r="AB216" s="1573"/>
      <c r="AC216" s="1573"/>
      <c r="AD216" s="1573"/>
      <c r="AE216" s="1573"/>
      <c r="AF216" s="1574"/>
      <c r="AG216" s="1573"/>
      <c r="AH216" s="1573"/>
      <c r="AI216" s="1573"/>
      <c r="AJ216" s="1573"/>
      <c r="AK216" s="1574"/>
      <c r="AL216" s="1573"/>
      <c r="AM216" s="1573"/>
      <c r="AN216" s="1573"/>
      <c r="AO216" s="1573"/>
      <c r="AP216" s="1574"/>
      <c r="AQ216" s="1573"/>
      <c r="AR216" s="1573"/>
      <c r="AS216" s="1573"/>
      <c r="AT216" s="1573"/>
      <c r="AU216" s="1574"/>
      <c r="AV216" s="1573"/>
      <c r="AW216" s="1573"/>
      <c r="AX216" s="1573"/>
      <c r="AY216" s="1573"/>
      <c r="AZ216" s="1574"/>
      <c r="BA216" s="1573"/>
      <c r="BB216" s="1573"/>
      <c r="BC216" s="1573"/>
      <c r="BD216" s="1573"/>
      <c r="BE216" s="1574"/>
      <c r="BF216" s="1573"/>
      <c r="BG216" s="1573"/>
      <c r="BH216" s="1573"/>
      <c r="BI216" s="1573"/>
      <c r="BJ216" s="1574"/>
      <c r="BK216" s="1573"/>
      <c r="BL216" s="1573"/>
      <c r="BM216" s="1573"/>
      <c r="BN216" s="1573"/>
      <c r="BO216" s="1574"/>
      <c r="BP216" s="1573"/>
      <c r="BQ216" s="1573"/>
      <c r="BR216" s="1573"/>
      <c r="BS216" s="1573"/>
      <c r="BT216" s="1574"/>
      <c r="BU216" s="1573"/>
      <c r="BV216" s="1573"/>
      <c r="BW216" s="1573"/>
      <c r="BX216" s="1573"/>
      <c r="BY216" s="1574"/>
      <c r="BZ216" s="1573"/>
      <c r="CA216" s="1573"/>
      <c r="CB216" s="1573"/>
      <c r="CC216" s="1573"/>
      <c r="CD216" s="1574"/>
      <c r="CE216" s="1573"/>
      <c r="CF216" s="1573"/>
      <c r="CG216" s="1573"/>
      <c r="CH216" s="1573"/>
      <c r="CI216" s="1574"/>
      <c r="CJ216" s="1573"/>
      <c r="CK216" s="1573"/>
      <c r="CL216" s="1573"/>
      <c r="CM216" s="1573"/>
      <c r="CN216" s="1574"/>
      <c r="CO216" s="1573"/>
      <c r="CP216" s="1573"/>
      <c r="CQ216" s="1573"/>
      <c r="CR216" s="1573"/>
      <c r="CS216" s="1574"/>
      <c r="CT216" s="1573"/>
      <c r="CU216" s="1573"/>
      <c r="CV216" s="1573"/>
      <c r="CW216" s="1573"/>
      <c r="CX216" s="1574"/>
      <c r="CY216" s="1573"/>
      <c r="CZ216" s="1573"/>
      <c r="DA216" s="1573"/>
      <c r="DB216" s="1573"/>
      <c r="DC216" s="1574"/>
      <c r="DD216" s="1573"/>
      <c r="DE216" s="1573"/>
      <c r="DF216" s="1573"/>
      <c r="DG216" s="1573"/>
      <c r="DH216" s="1574"/>
      <c r="DI216" s="1573"/>
      <c r="DJ216" s="1573"/>
      <c r="DK216" s="1573"/>
      <c r="DL216" s="1573"/>
      <c r="DM216" s="1574"/>
      <c r="DN216" s="1573"/>
      <c r="DO216" s="1573"/>
      <c r="DP216" s="1573"/>
      <c r="DQ216" s="1573"/>
      <c r="DR216" s="1574"/>
      <c r="DS216" s="1573">
        <f t="shared" ref="DS216:EU216" si="428">DS126</f>
      </c>
      <c r="DT216" s="1573">
        <f t="shared" si="428"/>
      </c>
      <c r="DU216" s="1573">
        <f t="shared" si="428"/>
      </c>
      <c r="DV216" s="1573">
        <f t="shared" si="428"/>
      </c>
      <c r="DW216" s="1574">
        <f t="shared" si="428"/>
      </c>
      <c r="DX216" s="1573">
        <f t="shared" si="428"/>
      </c>
      <c r="DY216" s="1573">
        <f t="shared" si="428"/>
      </c>
      <c r="DZ216" s="1573">
        <f t="shared" si="428"/>
      </c>
      <c r="EA216" s="1573">
        <f t="shared" si="428"/>
      </c>
      <c r="EB216" s="1574">
        <f t="shared" ref="EB216" si="429">EB126</f>
      </c>
      <c r="EC216" s="1573">
        <f t="shared" si="428"/>
      </c>
      <c r="ED216" s="1573">
        <f t="shared" si="428"/>
      </c>
      <c r="EE216" s="1573">
        <f t="shared" si="428"/>
      </c>
      <c r="EF216" s="1573">
        <f t="shared" si="428"/>
      </c>
      <c r="EG216" s="1574">
        <f t="shared" ref="EG216" si="430">EG126</f>
      </c>
      <c r="EH216" s="1575">
        <f t="shared" si="428"/>
      </c>
      <c r="EI216" s="1576">
        <f t="shared" si="428"/>
      </c>
      <c r="EJ216" s="1576">
        <f t="shared" si="428"/>
      </c>
      <c r="EK216" s="1576">
        <f t="shared" si="428"/>
      </c>
      <c r="EL216" s="1574">
        <f t="shared" ref="EL216" si="431">EL126</f>
      </c>
      <c r="EM216" s="1576">
        <f t="shared" si="428"/>
      </c>
      <c r="EN216" s="1576">
        <f t="shared" si="428"/>
      </c>
      <c r="EO216" s="1576">
        <f t="shared" si="428"/>
      </c>
      <c r="EP216" s="1576">
        <f t="shared" si="428"/>
      </c>
      <c r="EQ216" s="1574">
        <f t="shared" ref="EQ216" si="432">EQ126</f>
      </c>
      <c r="ER216" s="1573">
        <f t="shared" si="428"/>
      </c>
      <c r="ES216" s="1576">
        <f t="shared" si="428"/>
      </c>
      <c r="ET216" s="1576">
        <f t="shared" si="428"/>
      </c>
      <c r="EU216" s="1576">
        <f t="shared" si="428"/>
      </c>
      <c r="EV216" s="1574">
        <f t="shared" ref="EV216" si="433">EV126</f>
      </c>
      <c r="EW216" s="1573">
        <f t="shared" ref="EW216:FA216" si="434">EW126</f>
      </c>
      <c r="EX216" s="1576">
        <f t="shared" si="434"/>
      </c>
      <c r="EY216" s="1576">
        <f t="shared" si="434"/>
      </c>
      <c r="EZ216" s="1576">
        <f t="shared" si="434"/>
      </c>
      <c r="FA216" s="1574">
        <f t="shared" si="434"/>
      </c>
      <c r="FB216" s="1573">
        <f>(FB218*FB219)/4</f>
      </c>
      <c r="FC216" s="1573">
        <f>(FC218*FC219)/4</f>
      </c>
      <c r="FD216" s="1573">
        <f>(FD218*FD219)/4</f>
      </c>
      <c r="FE216" s="1573">
        <f>(FE218*FE219)/4</f>
      </c>
      <c r="FF216" s="1574">
        <f t="shared" ref="FF216" si="435">FF126</f>
      </c>
      <c r="FG216" s="1573">
        <f>(FG218*FG219)/4</f>
      </c>
      <c r="FH216" s="1573">
        <f>(FH218*FH219)/4</f>
      </c>
      <c r="FI216" s="1573">
        <f>(FI218*FI219)/4</f>
      </c>
      <c r="FJ216" s="1573">
        <f>(FJ218*FJ219)/4</f>
      </c>
      <c r="FK216" s="1574">
        <f t="shared" ref="FK216" si="436">FK126</f>
      </c>
      <c r="FL216" s="1573">
        <f>(FL218*FL219)/4</f>
      </c>
      <c r="FM216" s="1573">
        <f>(FM218*FM219)/4</f>
      </c>
      <c r="FN216" s="1573">
        <f>(FN218*FN219)/4</f>
      </c>
      <c r="FO216" s="1573">
        <f>(FO218*FO219)/4</f>
      </c>
      <c r="FP216" s="1574">
        <f t="shared" ref="FP216" si="437">FP126</f>
      </c>
      <c r="FQ216" s="1573">
        <f>(FQ218*FQ219)/4</f>
      </c>
      <c r="FR216" s="1573">
        <f>(FR218*FR219)/4</f>
      </c>
      <c r="FS216" s="1573">
        <f>(FS218*FS219)/4</f>
      </c>
      <c r="FT216" s="1573">
        <f>(FT218*FT219)/4</f>
      </c>
      <c r="FU216" s="1574">
        <f t="shared" ref="FU216" si="438">FU126</f>
      </c>
      <c r="FV216" s="1573">
        <f>(FV218*FV219)/4</f>
      </c>
      <c r="FW216" s="1573">
        <f>(FW218*FW219)/4</f>
      </c>
      <c r="FX216" s="1573">
        <f>(FX218*FX219)/4</f>
      </c>
      <c r="FY216" s="1573">
        <f>(FY218*FY219)/4</f>
      </c>
      <c r="FZ216" s="1574">
        <f t="shared" ref="FZ216" si="439">FZ126</f>
      </c>
      <c r="GA216" s="1573">
        <f>(GA218*GA219)/4</f>
      </c>
      <c r="GB216" s="1573">
        <f>(GB218*GB219)/4</f>
      </c>
      <c r="GC216" s="1573">
        <f>(GC218*GC219)/4</f>
      </c>
      <c r="GD216" s="1573">
        <f>(GD218*GD219)/4</f>
      </c>
      <c r="GE216" s="1574">
        <f t="shared" ref="GE216" si="440">GE126</f>
      </c>
      <c r="GF216" s="1573">
        <f>(GF218*GF219)/4</f>
      </c>
      <c r="GG216" s="1573">
        <f>(GG218*GG219)/4</f>
      </c>
      <c r="GH216" s="1573">
        <f>(GH218*GH219)/4</f>
      </c>
      <c r="GI216" s="1573">
        <f>(GI218*GI219)/4</f>
      </c>
      <c r="GJ216" s="1574">
        <f t="shared" ref="GJ216" si="441">GJ126</f>
      </c>
    </row>
    <row r="217" spans="1:192" s="1227" customFormat="1" ht="12.75" hidden="1" customHeight="1" outlineLevel="1">
      <c r="A217" s="1224"/>
      <c r="B217" s="1228" t="s">
        <v>34</v>
      </c>
      <c r="C217" s="1225"/>
      <c r="D217" s="1225"/>
      <c r="E217" s="1225"/>
      <c r="F217" s="1225"/>
      <c r="G217" s="1226"/>
      <c r="H217" s="1225"/>
      <c r="I217" s="1225"/>
      <c r="J217" s="1225"/>
      <c r="K217" s="1225"/>
      <c r="L217" s="1226"/>
      <c r="M217" s="1225"/>
      <c r="N217" s="1225"/>
      <c r="O217" s="1225"/>
      <c r="P217" s="1225"/>
      <c r="Q217" s="1226"/>
      <c r="R217" s="1225"/>
      <c r="S217" s="1225"/>
      <c r="T217" s="1225"/>
      <c r="U217" s="1225"/>
      <c r="V217" s="1226"/>
      <c r="W217" s="1225"/>
      <c r="X217" s="1225"/>
      <c r="Y217" s="1225"/>
      <c r="Z217" s="1225"/>
      <c r="AA217" s="1226"/>
      <c r="AB217" s="1225"/>
      <c r="AC217" s="1225"/>
      <c r="AD217" s="1225"/>
      <c r="AE217" s="1225"/>
      <c r="AF217" s="1226"/>
      <c r="AG217" s="1225"/>
      <c r="AH217" s="1225"/>
      <c r="AI217" s="1225"/>
      <c r="AJ217" s="1225"/>
      <c r="AK217" s="1226"/>
      <c r="AL217" s="1225"/>
      <c r="AM217" s="1225"/>
      <c r="AN217" s="1225"/>
      <c r="AO217" s="1225"/>
      <c r="AP217" s="1226"/>
      <c r="AQ217" s="1225"/>
      <c r="AR217" s="1225"/>
      <c r="AS217" s="1225"/>
      <c r="AT217" s="1225"/>
      <c r="AU217" s="1226"/>
      <c r="AV217" s="1225"/>
      <c r="AW217" s="1225"/>
      <c r="AX217" s="1225"/>
      <c r="AY217" s="1225"/>
      <c r="AZ217" s="1226"/>
      <c r="BA217" s="1229"/>
      <c r="BB217" s="1229"/>
      <c r="BC217" s="1229"/>
      <c r="BD217" s="1229"/>
      <c r="BE217" s="1230"/>
      <c r="BF217" s="1229"/>
      <c r="BG217" s="1229"/>
      <c r="BH217" s="1229"/>
      <c r="BI217" s="1229"/>
      <c r="BJ217" s="1230"/>
      <c r="BK217" s="1229"/>
      <c r="BL217" s="1229"/>
      <c r="BM217" s="1229"/>
      <c r="BN217" s="1229"/>
      <c r="BO217" s="1230"/>
      <c r="BP217" s="1229"/>
      <c r="BQ217" s="1229"/>
      <c r="BR217" s="1229"/>
      <c r="BS217" s="1229"/>
      <c r="BT217" s="1230"/>
      <c r="BU217" s="1229"/>
      <c r="BV217" s="1229"/>
      <c r="BW217" s="1229"/>
      <c r="BX217" s="1229"/>
      <c r="BY217" s="1230"/>
      <c r="BZ217" s="1229"/>
      <c r="CA217" s="1229"/>
      <c r="CB217" s="1229"/>
      <c r="CC217" s="1229"/>
      <c r="CD217" s="1230"/>
      <c r="CE217" s="1229" t="str">
        <f t="shared" ref="CE217:DJ217" si="442">IFERROR(CE216/BZ216-1,"")</f>
      </c>
      <c r="CF217" s="1229" t="str">
        <f t="shared" si="442"/>
      </c>
      <c r="CG217" s="1229" t="str">
        <f t="shared" si="442"/>
      </c>
      <c r="CH217" s="1229" t="str">
        <f t="shared" si="442"/>
      </c>
      <c r="CI217" s="1230" t="str">
        <f t="shared" si="442"/>
      </c>
      <c r="CJ217" s="1229" t="str">
        <f t="shared" si="442"/>
      </c>
      <c r="CK217" s="1229" t="str">
        <f t="shared" si="442"/>
      </c>
      <c r="CL217" s="1229" t="str">
        <f t="shared" si="442"/>
      </c>
      <c r="CM217" s="1229" t="str">
        <f t="shared" si="442"/>
      </c>
      <c r="CN217" s="1230" t="str">
        <f t="shared" si="442"/>
      </c>
      <c r="CO217" s="1229" t="str">
        <f t="shared" si="442"/>
      </c>
      <c r="CP217" s="1229" t="str">
        <f t="shared" si="442"/>
      </c>
      <c r="CQ217" s="1229" t="str">
        <f t="shared" si="442"/>
      </c>
      <c r="CR217" s="1229" t="str">
        <f t="shared" si="442"/>
      </c>
      <c r="CS217" s="1230" t="str">
        <f t="shared" si="442"/>
      </c>
      <c r="CT217" s="1229" t="str">
        <f t="shared" si="442"/>
      </c>
      <c r="CU217" s="1229" t="str">
        <f t="shared" si="442"/>
      </c>
      <c r="CV217" s="1229" t="str">
        <f t="shared" si="442"/>
      </c>
      <c r="CW217" s="1229" t="str">
        <f t="shared" si="442"/>
      </c>
      <c r="CX217" s="1230" t="str">
        <f t="shared" si="442"/>
      </c>
      <c r="CY217" s="1229" t="str">
        <f t="shared" si="442"/>
      </c>
      <c r="CZ217" s="1229" t="str">
        <f t="shared" si="442"/>
      </c>
      <c r="DA217" s="1229" t="str">
        <f t="shared" si="442"/>
      </c>
      <c r="DB217" s="1229" t="str">
        <f t="shared" si="442"/>
      </c>
      <c r="DC217" s="1230" t="str">
        <f t="shared" si="442"/>
      </c>
      <c r="DD217" s="1229" t="str">
        <f t="shared" si="442"/>
      </c>
      <c r="DE217" s="1229" t="str">
        <f t="shared" si="442"/>
      </c>
      <c r="DF217" s="1229" t="str">
        <f t="shared" si="442"/>
      </c>
      <c r="DG217" s="1229" t="str">
        <f t="shared" si="442"/>
      </c>
      <c r="DH217" s="1230" t="str">
        <f t="shared" si="442"/>
      </c>
      <c r="DI217" s="1229" t="str">
        <f t="shared" si="442"/>
      </c>
      <c r="DJ217" s="1229" t="str">
        <f t="shared" si="442"/>
      </c>
      <c r="DK217" s="1229" t="str">
        <f t="shared" ref="DK217:EQ217" si="443">IFERROR(DK216/DF216-1,"")</f>
      </c>
      <c r="DL217" s="1229" t="str">
        <f t="shared" si="443"/>
      </c>
      <c r="DM217" s="1230" t="str">
        <f t="shared" si="443"/>
      </c>
      <c r="DN217" s="1229" t="str">
        <f t="shared" si="443"/>
      </c>
      <c r="DO217" s="1229" t="str">
        <f t="shared" si="443"/>
      </c>
      <c r="DP217" s="1229" t="str">
        <f t="shared" si="443"/>
      </c>
      <c r="DQ217" s="1229" t="str">
        <f t="shared" si="443"/>
      </c>
      <c r="DR217" s="1230" t="str">
        <f t="shared" si="443"/>
      </c>
      <c r="DS217" s="1229" t="str">
        <f t="shared" si="443"/>
      </c>
      <c r="DT217" s="1229" t="str">
        <f t="shared" si="443"/>
      </c>
      <c r="DU217" s="1229" t="str">
        <f t="shared" si="443"/>
      </c>
      <c r="DV217" s="1229" t="str">
        <f t="shared" si="443"/>
      </c>
      <c r="DW217" s="1230" t="str">
        <f t="shared" si="443"/>
      </c>
      <c r="DX217" s="1229">
        <f t="shared" si="443"/>
      </c>
      <c r="DY217" s="1229">
        <f t="shared" si="443"/>
      </c>
      <c r="DZ217" s="1229">
        <f t="shared" si="443"/>
      </c>
      <c r="EA217" s="1229">
        <f t="shared" si="443"/>
      </c>
      <c r="EB217" s="1230">
        <f t="shared" si="443"/>
      </c>
      <c r="EC217" s="1229">
        <f t="shared" si="443"/>
      </c>
      <c r="ED217" s="1229">
        <f t="shared" si="443"/>
      </c>
      <c r="EE217" s="1229">
        <f t="shared" si="443"/>
      </c>
      <c r="EF217" s="1229">
        <f t="shared" si="443"/>
      </c>
      <c r="EG217" s="1230">
        <f t="shared" si="443"/>
      </c>
      <c r="EH217" s="1229">
        <f t="shared" si="443"/>
      </c>
      <c r="EI217" s="1229">
        <f t="shared" si="443"/>
      </c>
      <c r="EJ217" s="1229">
        <f t="shared" si="443"/>
      </c>
      <c r="EK217" s="1229">
        <f t="shared" si="443"/>
      </c>
      <c r="EL217" s="1230">
        <f t="shared" si="443"/>
      </c>
      <c r="EM217" s="1229">
        <f t="shared" si="443"/>
      </c>
      <c r="EN217" s="1229">
        <f t="shared" si="443"/>
      </c>
      <c r="EO217" s="1229">
        <f t="shared" si="443"/>
      </c>
      <c r="EP217" s="1229">
        <f t="shared" si="443"/>
      </c>
      <c r="EQ217" s="1230">
        <f t="shared" si="443"/>
      </c>
      <c r="ER217" s="1229">
        <f t="shared" ref="ER217:GE217" si="444">IFERROR(ER216/EM216-1,"")</f>
      </c>
      <c r="ES217" s="1229">
        <f t="shared" si="444"/>
      </c>
      <c r="ET217" s="1229">
        <f t="shared" si="444"/>
      </c>
      <c r="EU217" s="1229">
        <f t="shared" si="444"/>
      </c>
      <c r="EV217" s="1230">
        <f t="shared" si="444"/>
      </c>
      <c r="EW217" s="1229">
        <f t="shared" si="444"/>
      </c>
      <c r="EX217" s="1229">
        <f t="shared" si="444"/>
      </c>
      <c r="EY217" s="1229">
        <f t="shared" si="444"/>
      </c>
      <c r="EZ217" s="1229">
        <f t="shared" si="444"/>
      </c>
      <c r="FA217" s="1230">
        <f t="shared" si="444"/>
      </c>
      <c r="FB217" s="1229">
        <f t="shared" si="444"/>
      </c>
      <c r="FC217" s="1229">
        <f t="shared" si="444"/>
      </c>
      <c r="FD217" s="1229">
        <f t="shared" si="444"/>
      </c>
      <c r="FE217" s="1229">
        <f t="shared" si="444"/>
      </c>
      <c r="FF217" s="1230">
        <f t="shared" si="444"/>
      </c>
      <c r="FG217" s="1229">
        <f t="shared" si="444"/>
      </c>
      <c r="FH217" s="1229">
        <f t="shared" si="444"/>
      </c>
      <c r="FI217" s="1229">
        <f t="shared" si="444"/>
      </c>
      <c r="FJ217" s="1229">
        <f t="shared" si="444"/>
      </c>
      <c r="FK217" s="1230">
        <f t="shared" si="444"/>
      </c>
      <c r="FL217" s="1229">
        <f t="shared" si="444"/>
      </c>
      <c r="FM217" s="1229">
        <f t="shared" si="444"/>
      </c>
      <c r="FN217" s="1229">
        <f t="shared" si="444"/>
      </c>
      <c r="FO217" s="1229">
        <f t="shared" si="444"/>
      </c>
      <c r="FP217" s="1230">
        <f t="shared" si="444"/>
      </c>
      <c r="FQ217" s="1229">
        <f t="shared" si="444"/>
      </c>
      <c r="FR217" s="1229">
        <f t="shared" si="444"/>
      </c>
      <c r="FS217" s="1229">
        <f t="shared" si="444"/>
      </c>
      <c r="FT217" s="1229">
        <f t="shared" si="444"/>
      </c>
      <c r="FU217" s="1230">
        <f t="shared" si="444"/>
      </c>
      <c r="FV217" s="1229">
        <f t="shared" si="444"/>
      </c>
      <c r="FW217" s="1229">
        <f t="shared" si="444"/>
      </c>
      <c r="FX217" s="1229">
        <f t="shared" si="444"/>
      </c>
      <c r="FY217" s="1229">
        <f t="shared" si="444"/>
      </c>
      <c r="FZ217" s="1230">
        <f t="shared" si="444"/>
      </c>
      <c r="GA217" s="1229">
        <f t="shared" si="444"/>
      </c>
      <c r="GB217" s="1229">
        <f t="shared" si="444"/>
      </c>
      <c r="GC217" s="1229">
        <f t="shared" si="444"/>
      </c>
      <c r="GD217" s="1229">
        <f t="shared" si="444"/>
      </c>
      <c r="GE217" s="1230">
        <f t="shared" si="444"/>
      </c>
      <c r="GF217" s="1229">
        <f t="shared" ref="GF217" si="445">IFERROR(GF216/GA216-1,"")</f>
      </c>
      <c r="GG217" s="1229">
        <f t="shared" ref="GG217" si="446">IFERROR(GG216/GB216-1,"")</f>
      </c>
      <c r="GH217" s="1229">
        <f t="shared" ref="GH217" si="447">IFERROR(GH216/GC216-1,"")</f>
      </c>
      <c r="GI217" s="1229">
        <f t="shared" ref="GI217" si="448">IFERROR(GI216/GD216-1,"")</f>
      </c>
      <c r="GJ217" s="1230">
        <f t="shared" ref="GJ217" si="449">IFERROR(GJ216/GE216-1,"")</f>
      </c>
    </row>
    <row r="218" spans="1:192" s="314" customFormat="1" ht="12.75" hidden="1" customHeight="1" outlineLevel="1">
      <c r="A218" s="793"/>
      <c r="B218" s="1581" t="s">
        <v>2024</v>
      </c>
      <c r="C218" s="1571"/>
      <c r="D218" s="1571"/>
      <c r="E218" s="1571"/>
      <c r="F218" s="1571"/>
      <c r="G218" s="1572"/>
      <c r="H218" s="1571"/>
      <c r="I218" s="1571"/>
      <c r="J218" s="1571"/>
      <c r="K218" s="1571"/>
      <c r="L218" s="1572"/>
      <c r="M218" s="1571"/>
      <c r="N218" s="1571"/>
      <c r="O218" s="1571"/>
      <c r="P218" s="1571"/>
      <c r="Q218" s="1572"/>
      <c r="R218" s="1571"/>
      <c r="S218" s="1571"/>
      <c r="T218" s="1571"/>
      <c r="U218" s="1571"/>
      <c r="V218" s="1572"/>
      <c r="W218" s="1571"/>
      <c r="X218" s="1571"/>
      <c r="Y218" s="1571"/>
      <c r="Z218" s="1571"/>
      <c r="AA218" s="1572"/>
      <c r="AB218" s="1571"/>
      <c r="AC218" s="1571"/>
      <c r="AD218" s="1571"/>
      <c r="AE218" s="1571"/>
      <c r="AF218" s="1572"/>
      <c r="AG218" s="1571"/>
      <c r="AH218" s="1571"/>
      <c r="AI218" s="1571"/>
      <c r="AJ218" s="1571"/>
      <c r="AK218" s="1572"/>
      <c r="AL218" s="1571"/>
      <c r="AM218" s="1571"/>
      <c r="AN218" s="1571"/>
      <c r="AO218" s="1571"/>
      <c r="AP218" s="1572"/>
      <c r="AQ218" s="1571"/>
      <c r="AR218" s="1571"/>
      <c r="AS218" s="1571"/>
      <c r="AT218" s="1571"/>
      <c r="AU218" s="1572"/>
      <c r="AV218" s="1571"/>
      <c r="AW218" s="1571"/>
      <c r="AX218" s="1571"/>
      <c r="AY218" s="1571"/>
      <c r="AZ218" s="1572"/>
      <c r="BA218" s="1571"/>
      <c r="BB218" s="1571"/>
      <c r="BC218" s="1571"/>
      <c r="BD218" s="1571"/>
      <c r="BE218" s="1572"/>
      <c r="BF218" s="1571"/>
      <c r="BG218" s="1571"/>
      <c r="BH218" s="1571"/>
      <c r="BI218" s="1571"/>
      <c r="BJ218" s="1572"/>
      <c r="BK218" s="1571"/>
      <c r="BL218" s="1571"/>
      <c r="BM218" s="1571"/>
      <c r="BN218" s="1571"/>
      <c r="BO218" s="1572"/>
      <c r="BP218" s="1571"/>
      <c r="BQ218" s="1571"/>
      <c r="BR218" s="1571"/>
      <c r="BS218" s="1571"/>
      <c r="BT218" s="1572"/>
      <c r="BU218" s="1571"/>
      <c r="BV218" s="1571"/>
      <c r="BW218" s="1571"/>
      <c r="BX218" s="1571"/>
      <c r="BY218" s="1572"/>
      <c r="BZ218" s="1571"/>
      <c r="CA218" s="1571"/>
      <c r="CB218" s="1571"/>
      <c r="CC218" s="1571"/>
      <c r="CD218" s="1572"/>
      <c r="CE218" s="1571"/>
      <c r="CF218" s="1571"/>
      <c r="CG218" s="1571"/>
      <c r="CH218" s="1571"/>
      <c r="CI218" s="1572"/>
      <c r="CJ218" s="1571"/>
      <c r="CK218" s="1571"/>
      <c r="CL218" s="1571"/>
      <c r="CM218" s="1571"/>
      <c r="CN218" s="1572"/>
      <c r="CO218" s="1571"/>
      <c r="CP218" s="1571"/>
      <c r="CQ218" s="1571"/>
      <c r="CR218" s="1571"/>
      <c r="CS218" s="1572"/>
      <c r="CT218" s="1571"/>
      <c r="CU218" s="1571"/>
      <c r="CV218" s="1571"/>
      <c r="CW218" s="1571"/>
      <c r="CX218" s="1572"/>
      <c r="CY218" s="1571"/>
      <c r="CZ218" s="1571"/>
      <c r="DA218" s="1571"/>
      <c r="DB218" s="1571"/>
      <c r="DC218" s="1572"/>
      <c r="DD218" s="1571"/>
      <c r="DE218" s="1571"/>
      <c r="DF218" s="1571"/>
      <c r="DG218" s="1571"/>
      <c r="DH218" s="1572"/>
      <c r="DI218" s="1571"/>
      <c r="DJ218" s="1571"/>
      <c r="DK218" s="1571"/>
      <c r="DL218" s="1571"/>
      <c r="DM218" s="1572"/>
      <c r="DN218" s="1571"/>
      <c r="DO218" s="1571"/>
      <c r="DP218" s="1571"/>
      <c r="DQ218" s="1571"/>
      <c r="DR218" s="1395">
        <f>BS!DR10</f>
      </c>
      <c r="DS218" s="1394">
        <f>BS!DQ10</f>
      </c>
      <c r="DT218" s="1394">
        <f>BS!DS10</f>
      </c>
      <c r="DU218" s="1394">
        <f>BS!DT10</f>
      </c>
      <c r="DV218" s="1394">
        <f>BS!DU10</f>
      </c>
      <c r="DW218" s="1395">
        <f>BS!DW10</f>
      </c>
      <c r="DX218" s="1394">
        <f>BS!DV10</f>
      </c>
      <c r="DY218" s="1394">
        <f>BS!DX10</f>
      </c>
      <c r="DZ218" s="1394">
        <f>BS!DY10</f>
      </c>
      <c r="EA218" s="1394">
        <f>BS!DZ10</f>
      </c>
      <c r="EB218" s="1395">
        <f>BS!EB10</f>
      </c>
      <c r="EC218" s="1394">
        <f>BS!EA10</f>
      </c>
      <c r="ED218" s="1394">
        <f>BS!EC10</f>
      </c>
      <c r="EE218" s="1394">
        <f>BS!ED10</f>
      </c>
      <c r="EF218" s="1394">
        <f>BS!EE10</f>
      </c>
      <c r="EG218" s="1395">
        <f>BS!EG10</f>
      </c>
      <c r="EH218" s="1394">
        <f>BS!EF10</f>
      </c>
      <c r="EI218" s="1394">
        <f>BS!EH10</f>
      </c>
      <c r="EJ218" s="1394">
        <f>BS!EI10</f>
      </c>
      <c r="EK218" s="1394">
        <f>BS!EJ10</f>
      </c>
      <c r="EL218" s="1395">
        <f>BS!EL10</f>
      </c>
      <c r="EM218" s="1394">
        <f>BS!EK10</f>
      </c>
      <c r="EN218" s="1394">
        <f>BS!EM10</f>
      </c>
      <c r="EO218" s="1394">
        <f>BS!EN10</f>
      </c>
      <c r="EP218" s="1394">
        <f>BS!EO10</f>
      </c>
      <c r="EQ218" s="1395">
        <f>BS!EQ10</f>
      </c>
      <c r="ER218" s="1394">
        <f>BS!EP10</f>
      </c>
      <c r="ES218" s="1394">
        <f>BS!ER10</f>
      </c>
      <c r="ET218" s="1394">
        <f>BS!ES10</f>
      </c>
      <c r="EU218" s="1394">
        <f>BS!ET10</f>
      </c>
      <c r="EV218" s="1395">
        <f>BS!EV10</f>
      </c>
      <c r="EW218" s="1394">
        <f>BS!EU10</f>
      </c>
      <c r="EX218" s="1394">
        <f>BS!EW10</f>
      </c>
      <c r="EY218" s="1394">
        <f>BS!EX10</f>
      </c>
      <c r="EZ218" s="1394">
        <f>BS!EY10</f>
      </c>
      <c r="FA218" s="1395">
        <f>BS!FA10</f>
      </c>
      <c r="FB218" s="1394">
        <f>BS!EZ10</f>
      </c>
      <c r="FC218" s="1394">
        <f>BS!FB10</f>
      </c>
      <c r="FD218" s="1394">
        <f>BS!FC10</f>
      </c>
      <c r="FE218" s="1394">
        <f>BS!FD10</f>
      </c>
      <c r="FF218" s="1395">
        <f>BS!FF10</f>
      </c>
      <c r="FG218" s="1394">
        <f>BS!FE10</f>
      </c>
      <c r="FH218" s="1394">
        <f>BS!FG10</f>
      </c>
      <c r="FI218" s="1394">
        <f>BS!FH10</f>
      </c>
      <c r="FJ218" s="1394">
        <f>BS!FI10</f>
      </c>
      <c r="FK218" s="1395">
        <f>BS!FK10</f>
      </c>
      <c r="FL218" s="1394">
        <f>BS!FJ10</f>
      </c>
      <c r="FM218" s="1394">
        <f>BS!FL10</f>
      </c>
      <c r="FN218" s="1394">
        <f>BS!FM10</f>
      </c>
      <c r="FO218" s="1394">
        <f>BS!FN10</f>
      </c>
      <c r="FP218" s="1395">
        <f>BS!FP10</f>
      </c>
      <c r="FQ218" s="1394">
        <f>BS!FO10</f>
      </c>
      <c r="FR218" s="1394">
        <f>BS!FQ10</f>
      </c>
      <c r="FS218" s="1394">
        <f>BS!FR10</f>
      </c>
      <c r="FT218" s="1394">
        <f>BS!FS10</f>
      </c>
      <c r="FU218" s="1395">
        <f>BS!FU10</f>
      </c>
      <c r="FV218" s="1394">
        <f>BS!FT10</f>
      </c>
      <c r="FW218" s="1394">
        <f>BS!FV10</f>
      </c>
      <c r="FX218" s="1394">
        <f>BS!FW10</f>
      </c>
      <c r="FY218" s="1394">
        <f>BS!FX10</f>
      </c>
      <c r="FZ218" s="1395">
        <f>BS!FZ10</f>
      </c>
      <c r="GA218" s="1394">
        <f>BS!FY10</f>
      </c>
      <c r="GB218" s="1394">
        <f>BS!GA10</f>
      </c>
      <c r="GC218" s="1394">
        <f>BS!GB10</f>
      </c>
      <c r="GD218" s="1394">
        <f>BS!GC10</f>
      </c>
      <c r="GE218" s="1395">
        <f>BS!GE10</f>
      </c>
      <c r="GF218" s="1394">
        <f>BS!GD10</f>
      </c>
      <c r="GG218" s="1394">
        <f>BS!GF10</f>
      </c>
      <c r="GH218" s="1394">
        <f>BS!GG10</f>
      </c>
      <c r="GI218" s="1394">
        <f>BS!GH10</f>
      </c>
      <c r="GJ218" s="1395">
        <f>BS!GJ10</f>
      </c>
    </row>
    <row r="219" spans="1:192" s="314" customFormat="1" ht="12.75" hidden="1" customHeight="1" outlineLevel="1">
      <c r="A219" s="793"/>
      <c r="B219" s="1581" t="s">
        <v>2023</v>
      </c>
      <c r="C219" s="1571"/>
      <c r="D219" s="1571"/>
      <c r="E219" s="1571"/>
      <c r="F219" s="1571"/>
      <c r="G219" s="1572"/>
      <c r="H219" s="1571"/>
      <c r="I219" s="1571"/>
      <c r="J219" s="1571"/>
      <c r="K219" s="1571"/>
      <c r="L219" s="1572"/>
      <c r="M219" s="1571"/>
      <c r="N219" s="1571"/>
      <c r="O219" s="1571"/>
      <c r="P219" s="1571"/>
      <c r="Q219" s="1572"/>
      <c r="R219" s="1571"/>
      <c r="S219" s="1571"/>
      <c r="T219" s="1571"/>
      <c r="U219" s="1571"/>
      <c r="V219" s="1572"/>
      <c r="W219" s="1571"/>
      <c r="X219" s="1571"/>
      <c r="Y219" s="1571"/>
      <c r="Z219" s="1571"/>
      <c r="AA219" s="1572"/>
      <c r="AB219" s="1571"/>
      <c r="AC219" s="1571"/>
      <c r="AD219" s="1571"/>
      <c r="AE219" s="1571"/>
      <c r="AF219" s="1572"/>
      <c r="AG219" s="1571"/>
      <c r="AH219" s="1571"/>
      <c r="AI219" s="1571"/>
      <c r="AJ219" s="1571"/>
      <c r="AK219" s="1572"/>
      <c r="AL219" s="1571"/>
      <c r="AM219" s="1571"/>
      <c r="AN219" s="1571"/>
      <c r="AO219" s="1571"/>
      <c r="AP219" s="1572"/>
      <c r="AQ219" s="1571"/>
      <c r="AR219" s="1571"/>
      <c r="AS219" s="1571"/>
      <c r="AT219" s="1571"/>
      <c r="AU219" s="1572"/>
      <c r="AV219" s="1571"/>
      <c r="AW219" s="1571"/>
      <c r="AX219" s="1571"/>
      <c r="AY219" s="1571"/>
      <c r="AZ219" s="1572"/>
      <c r="BA219" s="1571"/>
      <c r="BB219" s="1571"/>
      <c r="BC219" s="1571"/>
      <c r="BD219" s="1571"/>
      <c r="BE219" s="1572"/>
      <c r="BF219" s="1571"/>
      <c r="BG219" s="1571"/>
      <c r="BH219" s="1571"/>
      <c r="BI219" s="1571"/>
      <c r="BJ219" s="1572"/>
      <c r="BK219" s="1571"/>
      <c r="BL219" s="1571"/>
      <c r="BM219" s="1571"/>
      <c r="BN219" s="1571"/>
      <c r="BO219" s="1572"/>
      <c r="BP219" s="1571"/>
      <c r="BQ219" s="1571"/>
      <c r="BR219" s="1571"/>
      <c r="BS219" s="1571"/>
      <c r="BT219" s="1572"/>
      <c r="BU219" s="1571"/>
      <c r="BV219" s="1571"/>
      <c r="BW219" s="1571"/>
      <c r="BX219" s="1571"/>
      <c r="BY219" s="1572"/>
      <c r="BZ219" s="1571"/>
      <c r="CA219" s="1571"/>
      <c r="CB219" s="1571"/>
      <c r="CC219" s="1571"/>
      <c r="CD219" s="1572"/>
      <c r="CE219" s="1571"/>
      <c r="CF219" s="1571"/>
      <c r="CG219" s="1571"/>
      <c r="CH219" s="1571"/>
      <c r="CI219" s="1572"/>
      <c r="CJ219" s="1571"/>
      <c r="CK219" s="1571"/>
      <c r="CL219" s="1571"/>
      <c r="CM219" s="1571"/>
      <c r="CN219" s="1572"/>
      <c r="CO219" s="1571"/>
      <c r="CP219" s="1571"/>
      <c r="CQ219" s="1571"/>
      <c r="CR219" s="1571"/>
      <c r="CS219" s="1572"/>
      <c r="CT219" s="1571"/>
      <c r="CU219" s="1571"/>
      <c r="CV219" s="1571"/>
      <c r="CW219" s="1571"/>
      <c r="CX219" s="1572"/>
      <c r="CY219" s="1571"/>
      <c r="CZ219" s="1571"/>
      <c r="DA219" s="1571"/>
      <c r="DB219" s="1571"/>
      <c r="DC219" s="1572"/>
      <c r="DD219" s="1571"/>
      <c r="DE219" s="1571"/>
      <c r="DF219" s="1571"/>
      <c r="DG219" s="1571"/>
      <c r="DH219" s="1572"/>
      <c r="DI219" s="1571"/>
      <c r="DJ219" s="1571"/>
      <c r="DK219" s="1571"/>
      <c r="DL219" s="1571"/>
      <c r="DM219" s="1572"/>
      <c r="DN219" s="1571"/>
      <c r="DO219" s="1571"/>
      <c r="DP219" s="1571"/>
      <c r="DQ219" s="1571"/>
      <c r="DR219" s="1572"/>
      <c r="DS219" s="1577">
        <f>DS216*4/DS218</f>
      </c>
      <c r="DT219" s="1577">
        <f>DT216*4/DT218</f>
      </c>
      <c r="DU219" s="1577">
        <f>DU216*4/DU218</f>
      </c>
      <c r="DV219" s="1577">
        <f>DV216*4/DV218</f>
      </c>
      <c r="DW219" s="1578">
        <f>DW216/AVERAGE(DW218,DR218)</f>
      </c>
      <c r="DX219" s="1577">
        <f>DX216*4/DX218</f>
      </c>
      <c r="DY219" s="1577">
        <f>DY216*4/DY218</f>
      </c>
      <c r="DZ219" s="1577">
        <f>DZ216*4/DZ218</f>
      </c>
      <c r="EA219" s="1577">
        <f>EA216*4/EA218</f>
      </c>
      <c r="EB219" s="1578">
        <f>EB216/AVERAGE(EB218,DW218)</f>
      </c>
      <c r="EC219" s="1577">
        <f>EC216*4/EC218</f>
      </c>
      <c r="ED219" s="1577">
        <f>ED216*4/ED218</f>
      </c>
      <c r="EE219" s="1577">
        <f>EE216*4/EE218</f>
      </c>
      <c r="EF219" s="1577">
        <f>EF216*4/EF218</f>
      </c>
      <c r="EG219" s="1578">
        <f>EG216/AVERAGE(EG218,EB218)</f>
      </c>
      <c r="EH219" s="1577">
        <f>EH216*4/EH218</f>
      </c>
      <c r="EI219" s="1577">
        <f>EI216*4/EI218</f>
      </c>
      <c r="EJ219" s="1577">
        <f>EJ216*4/EJ218</f>
      </c>
      <c r="EK219" s="1577">
        <f>EK216*4/EK218</f>
      </c>
      <c r="EL219" s="1578">
        <f>EL216/AVERAGE(EL218,EG218)</f>
      </c>
      <c r="EM219" s="1577">
        <f>EM216*4/EM218</f>
      </c>
      <c r="EN219" s="1577">
        <f>EN216*4/EN218</f>
      </c>
      <c r="EO219" s="1577">
        <f>EO216*4/EO218</f>
      </c>
      <c r="EP219" s="1577">
        <f>EP216*4/EP218</f>
      </c>
      <c r="EQ219" s="1578">
        <f>EQ216/AVERAGE(EQ218,EL218)</f>
      </c>
      <c r="ER219" s="1577">
        <f>ER216*4/ER218</f>
      </c>
      <c r="ES219" s="1577">
        <f>ES216*4/ES218</f>
      </c>
      <c r="ET219" s="1577">
        <f>ET216*4/ET218</f>
      </c>
      <c r="EU219" s="1577">
        <f>EU216*4/EU218</f>
      </c>
      <c r="EV219" s="1578">
        <f>EV216/AVERAGE(EV218,EQ218)</f>
      </c>
      <c r="EW219" s="1577">
        <f>EW216*4/EW218</f>
      </c>
      <c r="EX219" s="1577">
        <f>EX216*4/EX218</f>
      </c>
      <c r="EY219" s="1577">
        <f>EY216*4/EY218</f>
      </c>
      <c r="EZ219" s="1577">
        <f>EZ216*4/EZ218</f>
      </c>
      <c r="FA219" s="1578">
        <f>FA216/AVERAGE(FA218,EV218)</f>
      </c>
      <c r="FB219" s="1579">
        <v>0.125</v>
      </c>
      <c r="FC219" s="1579">
        <f>FB219</f>
      </c>
      <c r="FD219" s="1579">
        <f>FC219</f>
      </c>
      <c r="FE219" s="1579">
        <f>FD219</f>
      </c>
      <c r="FF219" s="1578">
        <f>FF216/AVERAGE(FF218,FA218)</f>
      </c>
      <c r="FG219" s="1579">
        <f>FB219-1%</f>
      </c>
      <c r="FH219" s="1579">
        <f>FG219</f>
      </c>
      <c r="FI219" s="1579">
        <f>FH219</f>
      </c>
      <c r="FJ219" s="1579">
        <f>FI219</f>
      </c>
      <c r="FK219" s="1578">
        <f>FK216/AVERAGE(FK218,FF218)</f>
      </c>
      <c r="FL219" s="1579">
        <f>FG219-1%</f>
      </c>
      <c r="FM219" s="1579">
        <f>FL219</f>
      </c>
      <c r="FN219" s="1579">
        <f>FM219</f>
      </c>
      <c r="FO219" s="1579">
        <f>FN219</f>
      </c>
      <c r="FP219" s="1578">
        <f>FP216/AVERAGE(FP218,FK218)</f>
      </c>
      <c r="FQ219" s="1579">
        <f>FL219-1%</f>
      </c>
      <c r="FR219" s="1579">
        <f>FQ219</f>
      </c>
      <c r="FS219" s="1579">
        <f>FR219</f>
      </c>
      <c r="FT219" s="1579">
        <f>FS219</f>
      </c>
      <c r="FU219" s="1578">
        <f>FU216/AVERAGE(FU218,FP218)</f>
      </c>
      <c r="FV219" s="1579">
        <f>FQ219-1%</f>
      </c>
      <c r="FW219" s="1579">
        <f>FV219</f>
      </c>
      <c r="FX219" s="1579">
        <f>FW219</f>
      </c>
      <c r="FY219" s="1579">
        <f>FX219</f>
      </c>
      <c r="FZ219" s="1578">
        <f>FZ216/AVERAGE(FZ218,FU218)</f>
      </c>
      <c r="GA219" s="1579">
        <f>FV219-1%</f>
      </c>
      <c r="GB219" s="1579">
        <f>GA219</f>
      </c>
      <c r="GC219" s="1579">
        <f>GB219</f>
      </c>
      <c r="GD219" s="1579">
        <f>GC219</f>
      </c>
      <c r="GE219" s="1578">
        <f>GE216/AVERAGE(GE218,FZ218)</f>
      </c>
      <c r="GF219" s="1579">
        <f>GA219-1%</f>
      </c>
      <c r="GG219" s="1579">
        <f>GF219</f>
      </c>
      <c r="GH219" s="1579">
        <f>GG219</f>
      </c>
      <c r="GI219" s="1579">
        <f>GH219</f>
      </c>
      <c r="GJ219" s="1578">
        <f>GJ216/AVERAGE(GJ218,GE218)</f>
      </c>
    </row>
    <row r="220" spans="1:192" s="1227" customFormat="1" ht="12.75" hidden="1" customHeight="1" outlineLevel="1">
      <c r="A220" s="1224"/>
      <c r="B220" s="1228"/>
      <c r="C220" s="1225"/>
      <c r="D220" s="1225"/>
      <c r="E220" s="1225"/>
      <c r="F220" s="1225"/>
      <c r="G220" s="1226"/>
      <c r="H220" s="1225"/>
      <c r="I220" s="1225"/>
      <c r="J220" s="1225"/>
      <c r="K220" s="1225"/>
      <c r="L220" s="1226"/>
      <c r="M220" s="1225"/>
      <c r="N220" s="1225"/>
      <c r="O220" s="1225"/>
      <c r="P220" s="1225"/>
      <c r="Q220" s="1226"/>
      <c r="R220" s="1225"/>
      <c r="S220" s="1225"/>
      <c r="T220" s="1225"/>
      <c r="U220" s="1225"/>
      <c r="V220" s="1226"/>
      <c r="W220" s="1225"/>
      <c r="X220" s="1225"/>
      <c r="Y220" s="1225"/>
      <c r="Z220" s="1225"/>
      <c r="AA220" s="1226"/>
      <c r="AB220" s="1225"/>
      <c r="AC220" s="1225"/>
      <c r="AD220" s="1225"/>
      <c r="AE220" s="1225"/>
      <c r="AF220" s="1226"/>
      <c r="AG220" s="1225"/>
      <c r="AH220" s="1225"/>
      <c r="AI220" s="1225"/>
      <c r="AJ220" s="1225"/>
      <c r="AK220" s="1226"/>
      <c r="AL220" s="1225"/>
      <c r="AM220" s="1225"/>
      <c r="AN220" s="1225"/>
      <c r="AO220" s="1225"/>
      <c r="AP220" s="1226"/>
      <c r="AQ220" s="1225"/>
      <c r="AR220" s="1225"/>
      <c r="AS220" s="1225"/>
      <c r="AT220" s="1225"/>
      <c r="AU220" s="1226"/>
      <c r="AV220" s="1225"/>
      <c r="AW220" s="1225"/>
      <c r="AX220" s="1225"/>
      <c r="AY220" s="1225"/>
      <c r="AZ220" s="1226"/>
      <c r="BA220" s="1229"/>
      <c r="BB220" s="1229"/>
      <c r="BC220" s="1229"/>
      <c r="BD220" s="1229"/>
      <c r="BE220" s="1230"/>
      <c r="BF220" s="1229"/>
      <c r="BG220" s="1229"/>
      <c r="BH220" s="1229"/>
      <c r="BI220" s="1229"/>
      <c r="BJ220" s="1230"/>
      <c r="BK220" s="1229"/>
      <c r="BL220" s="1229"/>
      <c r="BM220" s="1229"/>
      <c r="BN220" s="1229"/>
      <c r="BO220" s="1230"/>
      <c r="BP220" s="1229"/>
      <c r="BQ220" s="1229"/>
      <c r="BR220" s="1229"/>
      <c r="BS220" s="1229"/>
      <c r="BT220" s="1230"/>
      <c r="BU220" s="1229"/>
      <c r="BV220" s="1229"/>
      <c r="BW220" s="1229"/>
      <c r="BX220" s="1229"/>
      <c r="BY220" s="1230"/>
      <c r="BZ220" s="1229"/>
      <c r="CA220" s="1229"/>
      <c r="CB220" s="1229"/>
      <c r="CC220" s="1229"/>
      <c r="CD220" s="1230"/>
      <c r="CE220" s="1229"/>
      <c r="CF220" s="1229"/>
      <c r="CG220" s="1229"/>
      <c r="CH220" s="1229"/>
      <c r="CI220" s="1230"/>
      <c r="CJ220" s="1229"/>
      <c r="CK220" s="1229"/>
      <c r="CL220" s="1229"/>
      <c r="CM220" s="1229"/>
      <c r="CN220" s="1230"/>
      <c r="CO220" s="1229"/>
      <c r="CP220" s="1229"/>
      <c r="CQ220" s="1229"/>
      <c r="CR220" s="1229"/>
      <c r="CS220" s="1230"/>
      <c r="CT220" s="1229"/>
      <c r="CU220" s="1229"/>
      <c r="CV220" s="1229"/>
      <c r="CW220" s="1229"/>
      <c r="CX220" s="1230"/>
      <c r="CY220" s="1229"/>
      <c r="CZ220" s="1229"/>
      <c r="DA220" s="1229"/>
      <c r="DB220" s="1229"/>
      <c r="DC220" s="1230"/>
      <c r="DD220" s="1229"/>
      <c r="DE220" s="1229"/>
      <c r="DF220" s="1229"/>
      <c r="DG220" s="1229"/>
      <c r="DH220" s="1230"/>
      <c r="DI220" s="1229"/>
      <c r="DJ220" s="1229"/>
      <c r="DK220" s="1229"/>
      <c r="DL220" s="1229"/>
      <c r="DM220" s="1230"/>
      <c r="DN220" s="1229"/>
      <c r="DO220" s="1229"/>
      <c r="DP220" s="1229"/>
      <c r="DQ220" s="1229"/>
      <c r="DR220" s="1230"/>
      <c r="DS220" s="1229"/>
      <c r="DT220" s="1229"/>
      <c r="DU220" s="1229"/>
      <c r="DV220" s="1229"/>
      <c r="DW220" s="1230"/>
      <c r="DX220" s="1229"/>
      <c r="DY220" s="1229"/>
      <c r="DZ220" s="1229"/>
      <c r="EA220" s="1229"/>
      <c r="EB220" s="1230"/>
      <c r="EC220" s="1229"/>
      <c r="ED220" s="1229"/>
      <c r="EE220" s="1229"/>
      <c r="EF220" s="1229"/>
      <c r="EG220" s="1230"/>
      <c r="EH220" s="1229"/>
      <c r="EI220" s="1229"/>
      <c r="EJ220" s="1229"/>
      <c r="EK220" s="1229"/>
      <c r="EL220" s="1230"/>
      <c r="EM220" s="1229"/>
      <c r="EN220" s="1229"/>
      <c r="EO220" s="1229"/>
      <c r="EP220" s="1229"/>
      <c r="EQ220" s="1230"/>
      <c r="ER220" s="1229"/>
      <c r="ES220" s="1229"/>
      <c r="ET220" s="1229"/>
      <c r="EU220" s="1225"/>
      <c r="EV220" s="1230"/>
      <c r="EW220" s="1229"/>
      <c r="EX220" s="1229"/>
      <c r="EY220" s="1229"/>
      <c r="EZ220" s="1225"/>
      <c r="FA220" s="1230"/>
      <c r="FB220" s="1225"/>
      <c r="FC220" s="1225"/>
      <c r="FD220" s="1225"/>
      <c r="FE220" s="1225"/>
      <c r="FF220" s="1226"/>
      <c r="FG220" s="1225"/>
      <c r="FH220" s="1225"/>
      <c r="FI220" s="1225"/>
      <c r="FJ220" s="1225"/>
      <c r="FK220" s="1226"/>
      <c r="FL220" s="1225"/>
      <c r="FM220" s="1225"/>
      <c r="FN220" s="1225"/>
      <c r="FO220" s="1225"/>
      <c r="FP220" s="1226"/>
      <c r="FQ220" s="1225"/>
      <c r="FR220" s="1225"/>
      <c r="FS220" s="1225"/>
      <c r="FT220" s="1225"/>
      <c r="FU220" s="1226"/>
      <c r="FV220" s="1225"/>
      <c r="FW220" s="1225"/>
      <c r="FX220" s="1225"/>
      <c r="FY220" s="1225"/>
      <c r="FZ220" s="1226"/>
      <c r="GA220" s="1225"/>
      <c r="GB220" s="1225"/>
      <c r="GC220" s="1225"/>
      <c r="GD220" s="1225"/>
      <c r="GE220" s="1226"/>
      <c r="GF220" s="1225"/>
      <c r="GG220" s="1225"/>
      <c r="GH220" s="1225"/>
      <c r="GI220" s="1225"/>
      <c r="GJ220" s="1226"/>
    </row>
    <row r="221" spans="1:192" s="314" customFormat="1" ht="12.75" hidden="1" customHeight="1" outlineLevel="1">
      <c r="A221" s="279"/>
      <c r="B221" s="625" t="s">
        <v>1932</v>
      </c>
      <c r="C221" s="1573"/>
      <c r="D221" s="1573"/>
      <c r="E221" s="1573"/>
      <c r="F221" s="1573"/>
      <c r="G221" s="1574"/>
      <c r="H221" s="1573"/>
      <c r="I221" s="1573"/>
      <c r="J221" s="1573"/>
      <c r="K221" s="1573"/>
      <c r="L221" s="1574"/>
      <c r="M221" s="1573"/>
      <c r="N221" s="1573"/>
      <c r="O221" s="1573"/>
      <c r="P221" s="1573"/>
      <c r="Q221" s="1574"/>
      <c r="R221" s="1573"/>
      <c r="S221" s="1573"/>
      <c r="T221" s="1573"/>
      <c r="U221" s="1573"/>
      <c r="V221" s="1574"/>
      <c r="W221" s="1573"/>
      <c r="X221" s="1573"/>
      <c r="Y221" s="1573"/>
      <c r="Z221" s="1573"/>
      <c r="AA221" s="1574"/>
      <c r="AB221" s="1573"/>
      <c r="AC221" s="1573"/>
      <c r="AD221" s="1573"/>
      <c r="AE221" s="1573"/>
      <c r="AF221" s="1574"/>
      <c r="AG221" s="1573"/>
      <c r="AH221" s="1573"/>
      <c r="AI221" s="1573"/>
      <c r="AJ221" s="1573"/>
      <c r="AK221" s="1574"/>
      <c r="AL221" s="1573"/>
      <c r="AM221" s="1573"/>
      <c r="AN221" s="1573"/>
      <c r="AO221" s="1573"/>
      <c r="AP221" s="1574"/>
      <c r="AQ221" s="1573"/>
      <c r="AR221" s="1573"/>
      <c r="AS221" s="1573"/>
      <c r="AT221" s="1573"/>
      <c r="AU221" s="1574"/>
      <c r="AV221" s="1573"/>
      <c r="AW221" s="1573"/>
      <c r="AX221" s="1573"/>
      <c r="AY221" s="1573"/>
      <c r="AZ221" s="1574"/>
      <c r="BA221" s="1573"/>
      <c r="BB221" s="1573"/>
      <c r="BC221" s="1573"/>
      <c r="BD221" s="1573"/>
      <c r="BE221" s="1574"/>
      <c r="BF221" s="1573"/>
      <c r="BG221" s="1573"/>
      <c r="BH221" s="1573"/>
      <c r="BI221" s="1573"/>
      <c r="BJ221" s="1574"/>
      <c r="BK221" s="1573"/>
      <c r="BL221" s="1573"/>
      <c r="BM221" s="1573"/>
      <c r="BN221" s="1573"/>
      <c r="BO221" s="1574"/>
      <c r="BP221" s="1573"/>
      <c r="BQ221" s="1573"/>
      <c r="BR221" s="1573"/>
      <c r="BS221" s="1573"/>
      <c r="BT221" s="1574"/>
      <c r="BU221" s="1573"/>
      <c r="BV221" s="1573"/>
      <c r="BW221" s="1573"/>
      <c r="BX221" s="1573"/>
      <c r="BY221" s="1574"/>
      <c r="BZ221" s="1573"/>
      <c r="CA221" s="1573"/>
      <c r="CB221" s="1573"/>
      <c r="CC221" s="1573"/>
      <c r="CD221" s="1574"/>
      <c r="CE221" s="1573"/>
      <c r="CF221" s="1573"/>
      <c r="CG221" s="1573"/>
      <c r="CH221" s="1573"/>
      <c r="CI221" s="1574"/>
      <c r="CJ221" s="1573"/>
      <c r="CK221" s="1573"/>
      <c r="CL221" s="1573"/>
      <c r="CM221" s="1573"/>
      <c r="CN221" s="1574"/>
      <c r="CO221" s="1573"/>
      <c r="CP221" s="1573"/>
      <c r="CQ221" s="1573"/>
      <c r="CR221" s="1573"/>
      <c r="CS221" s="1574"/>
      <c r="CT221" s="1573"/>
      <c r="CU221" s="1573"/>
      <c r="CV221" s="1573"/>
      <c r="CW221" s="1573"/>
      <c r="CX221" s="1574"/>
      <c r="CY221" s="1573"/>
      <c r="CZ221" s="1573"/>
      <c r="DA221" s="1573"/>
      <c r="DB221" s="1573"/>
      <c r="DC221" s="1574"/>
      <c r="DD221" s="1573"/>
      <c r="DE221" s="1573"/>
      <c r="DF221" s="1573"/>
      <c r="DG221" s="1573"/>
      <c r="DH221" s="1574"/>
      <c r="DI221" s="1573"/>
      <c r="DJ221" s="1573"/>
      <c r="DK221" s="1573"/>
      <c r="DL221" s="1573"/>
      <c r="DM221" s="1574"/>
      <c r="DN221" s="1573"/>
      <c r="DO221" s="1573"/>
      <c r="DP221" s="1573"/>
      <c r="DQ221" s="1573"/>
      <c r="DR221" s="1574"/>
      <c r="DS221" s="1573">
        <f t="shared" ref="DS221:EV221" si="450">DS127</f>
      </c>
      <c r="DT221" s="1573">
        <f t="shared" si="450"/>
      </c>
      <c r="DU221" s="1573">
        <f t="shared" si="450"/>
      </c>
      <c r="DV221" s="1573">
        <f t="shared" si="450"/>
      </c>
      <c r="DW221" s="1574">
        <f t="shared" ref="DW221" si="451">DW127</f>
      </c>
      <c r="DX221" s="1573">
        <f t="shared" si="450"/>
      </c>
      <c r="DY221" s="1573">
        <f t="shared" si="450"/>
      </c>
      <c r="DZ221" s="1573">
        <f t="shared" si="450"/>
      </c>
      <c r="EA221" s="1573">
        <f t="shared" si="450"/>
      </c>
      <c r="EB221" s="1574">
        <f t="shared" ref="EB221" si="452">EB127</f>
      </c>
      <c r="EC221" s="1573">
        <f t="shared" si="450"/>
      </c>
      <c r="ED221" s="1573">
        <f t="shared" si="450"/>
      </c>
      <c r="EE221" s="1573">
        <f t="shared" si="450"/>
      </c>
      <c r="EF221" s="1573">
        <f t="shared" si="450"/>
      </c>
      <c r="EG221" s="1574">
        <f t="shared" ref="EG221" si="453">EG127</f>
      </c>
      <c r="EH221" s="1575">
        <f t="shared" si="450"/>
      </c>
      <c r="EI221" s="1576">
        <f t="shared" si="450"/>
      </c>
      <c r="EJ221" s="1576">
        <f t="shared" si="450"/>
      </c>
      <c r="EK221" s="1576">
        <f t="shared" si="450"/>
      </c>
      <c r="EL221" s="1574">
        <f t="shared" ref="EL221" si="454">EL127</f>
      </c>
      <c r="EM221" s="1576">
        <f t="shared" si="450"/>
      </c>
      <c r="EN221" s="1576">
        <f t="shared" si="450"/>
      </c>
      <c r="EO221" s="1576">
        <f t="shared" si="450"/>
      </c>
      <c r="EP221" s="1576">
        <f t="shared" si="450"/>
      </c>
      <c r="EQ221" s="1574">
        <f t="shared" ref="EQ221" si="455">EQ127</f>
      </c>
      <c r="ER221" s="1573">
        <f t="shared" si="450"/>
      </c>
      <c r="ES221" s="1576">
        <f t="shared" si="450"/>
      </c>
      <c r="ET221" s="1576">
        <f t="shared" si="450"/>
      </c>
      <c r="EU221" s="1576">
        <f t="shared" si="450"/>
      </c>
      <c r="EV221" s="1574">
        <f t="shared" si="450"/>
      </c>
      <c r="EW221" s="1573">
        <f t="shared" ref="EW221:FA221" si="456">EW127</f>
      </c>
      <c r="EX221" s="1576">
        <f t="shared" si="456"/>
      </c>
      <c r="EY221" s="1576">
        <f t="shared" si="456"/>
      </c>
      <c r="EZ221" s="1576">
        <f t="shared" si="456"/>
      </c>
      <c r="FA221" s="1574">
        <f t="shared" si="456"/>
      </c>
      <c r="FB221" s="1573">
        <f t="shared" ref="FB221:GD221" si="457">FB223*FB224/4</f>
      </c>
      <c r="FC221" s="1573">
        <f t="shared" si="457"/>
      </c>
      <c r="FD221" s="1573">
        <f t="shared" si="457"/>
      </c>
      <c r="FE221" s="1573">
        <f t="shared" si="457"/>
      </c>
      <c r="FF221" s="1574">
        <f t="shared" ref="FF221" si="458">FF127</f>
      </c>
      <c r="FG221" s="1573">
        <f t="shared" si="457"/>
      </c>
      <c r="FH221" s="1573">
        <f t="shared" si="457"/>
      </c>
      <c r="FI221" s="1573">
        <f t="shared" si="457"/>
      </c>
      <c r="FJ221" s="1573">
        <f t="shared" si="457"/>
      </c>
      <c r="FK221" s="1574">
        <f t="shared" ref="FK221" si="459">FK127</f>
      </c>
      <c r="FL221" s="1573">
        <f t="shared" si="457"/>
      </c>
      <c r="FM221" s="1573">
        <f t="shared" si="457"/>
      </c>
      <c r="FN221" s="1573">
        <f t="shared" si="457"/>
      </c>
      <c r="FO221" s="1573">
        <f t="shared" si="457"/>
      </c>
      <c r="FP221" s="1574">
        <f t="shared" ref="FP221" si="460">FP127</f>
      </c>
      <c r="FQ221" s="1573">
        <f t="shared" si="457"/>
      </c>
      <c r="FR221" s="1573">
        <f t="shared" si="457"/>
      </c>
      <c r="FS221" s="1573">
        <f t="shared" si="457"/>
      </c>
      <c r="FT221" s="1573">
        <f t="shared" si="457"/>
      </c>
      <c r="FU221" s="1574">
        <f t="shared" ref="FU221" si="461">FU127</f>
      </c>
      <c r="FV221" s="1573">
        <f t="shared" si="457"/>
      </c>
      <c r="FW221" s="1573">
        <f t="shared" si="457"/>
      </c>
      <c r="FX221" s="1573">
        <f t="shared" si="457"/>
      </c>
      <c r="FY221" s="1573">
        <f t="shared" si="457"/>
      </c>
      <c r="FZ221" s="1574">
        <f t="shared" ref="FZ221" si="462">FZ127</f>
      </c>
      <c r="GA221" s="1573">
        <f t="shared" si="457"/>
      </c>
      <c r="GB221" s="1573">
        <f t="shared" si="457"/>
      </c>
      <c r="GC221" s="1573">
        <f t="shared" si="457"/>
      </c>
      <c r="GD221" s="1573">
        <f t="shared" si="457"/>
      </c>
      <c r="GE221" s="1574">
        <f t="shared" ref="GE221" si="463">GE127</f>
      </c>
      <c r="GF221" s="1573">
        <f t="shared" ref="GF221:GI221" si="464">GF223*GF224/4</f>
      </c>
      <c r="GG221" s="1573">
        <f t="shared" si="464"/>
      </c>
      <c r="GH221" s="1573">
        <f t="shared" si="464"/>
      </c>
      <c r="GI221" s="1573">
        <f t="shared" si="464"/>
      </c>
      <c r="GJ221" s="1574">
        <f t="shared" ref="GJ221" si="465">GJ127</f>
      </c>
    </row>
    <row r="222" spans="1:192" s="1227" customFormat="1" ht="12.75" hidden="1" customHeight="1" outlineLevel="1">
      <c r="A222" s="1224"/>
      <c r="B222" s="1228" t="s">
        <v>34</v>
      </c>
      <c r="C222" s="1225"/>
      <c r="D222" s="1225"/>
      <c r="E222" s="1225"/>
      <c r="F222" s="1225"/>
      <c r="G222" s="1226"/>
      <c r="H222" s="1225"/>
      <c r="I222" s="1225"/>
      <c r="J222" s="1225"/>
      <c r="K222" s="1225"/>
      <c r="L222" s="1226"/>
      <c r="M222" s="1225"/>
      <c r="N222" s="1225"/>
      <c r="O222" s="1225"/>
      <c r="P222" s="1225"/>
      <c r="Q222" s="1226"/>
      <c r="R222" s="1225"/>
      <c r="S222" s="1225"/>
      <c r="T222" s="1225"/>
      <c r="U222" s="1225"/>
      <c r="V222" s="1226"/>
      <c r="W222" s="1225"/>
      <c r="X222" s="1225"/>
      <c r="Y222" s="1225"/>
      <c r="Z222" s="1225"/>
      <c r="AA222" s="1226"/>
      <c r="AB222" s="1225"/>
      <c r="AC222" s="1225"/>
      <c r="AD222" s="1225"/>
      <c r="AE222" s="1225"/>
      <c r="AF222" s="1226"/>
      <c r="AG222" s="1225"/>
      <c r="AH222" s="1225"/>
      <c r="AI222" s="1225"/>
      <c r="AJ222" s="1225"/>
      <c r="AK222" s="1226"/>
      <c r="AL222" s="1225"/>
      <c r="AM222" s="1225"/>
      <c r="AN222" s="1225"/>
      <c r="AO222" s="1225"/>
      <c r="AP222" s="1226"/>
      <c r="AQ222" s="1225"/>
      <c r="AR222" s="1225"/>
      <c r="AS222" s="1225"/>
      <c r="AT222" s="1225"/>
      <c r="AU222" s="1226"/>
      <c r="AV222" s="1225"/>
      <c r="AW222" s="1225"/>
      <c r="AX222" s="1225"/>
      <c r="AY222" s="1225"/>
      <c r="AZ222" s="1226"/>
      <c r="BA222" s="1229"/>
      <c r="BB222" s="1229"/>
      <c r="BC222" s="1229"/>
      <c r="BD222" s="1229"/>
      <c r="BE222" s="1230"/>
      <c r="BF222" s="1229"/>
      <c r="BG222" s="1229"/>
      <c r="BH222" s="1229"/>
      <c r="BI222" s="1229"/>
      <c r="BJ222" s="1230"/>
      <c r="BK222" s="1229"/>
      <c r="BL222" s="1229"/>
      <c r="BM222" s="1229"/>
      <c r="BN222" s="1229"/>
      <c r="BO222" s="1230"/>
      <c r="BP222" s="1229"/>
      <c r="BQ222" s="1229"/>
      <c r="BR222" s="1229"/>
      <c r="BS222" s="1229"/>
      <c r="BT222" s="1230"/>
      <c r="BU222" s="1229"/>
      <c r="BV222" s="1229"/>
      <c r="BW222" s="1229"/>
      <c r="BX222" s="1229"/>
      <c r="BY222" s="1230"/>
      <c r="BZ222" s="1229"/>
      <c r="CA222" s="1229"/>
      <c r="CB222" s="1229"/>
      <c r="CC222" s="1229"/>
      <c r="CD222" s="1230"/>
      <c r="CE222" s="1229" t="str">
        <f t="shared" ref="CE222:DJ222" si="466">IFERROR(CE221/BZ221-1,"")</f>
      </c>
      <c r="CF222" s="1229" t="str">
        <f t="shared" si="466"/>
      </c>
      <c r="CG222" s="1229" t="str">
        <f t="shared" si="466"/>
      </c>
      <c r="CH222" s="1229" t="str">
        <f t="shared" si="466"/>
      </c>
      <c r="CI222" s="1230" t="str">
        <f t="shared" si="466"/>
      </c>
      <c r="CJ222" s="1229" t="str">
        <f t="shared" si="466"/>
      </c>
      <c r="CK222" s="1229" t="str">
        <f t="shared" si="466"/>
      </c>
      <c r="CL222" s="1229" t="str">
        <f t="shared" si="466"/>
      </c>
      <c r="CM222" s="1229" t="str">
        <f t="shared" si="466"/>
      </c>
      <c r="CN222" s="1230" t="str">
        <f t="shared" si="466"/>
      </c>
      <c r="CO222" s="1229" t="str">
        <f t="shared" si="466"/>
      </c>
      <c r="CP222" s="1229" t="str">
        <f t="shared" si="466"/>
      </c>
      <c r="CQ222" s="1229" t="str">
        <f t="shared" si="466"/>
      </c>
      <c r="CR222" s="1229" t="str">
        <f t="shared" si="466"/>
      </c>
      <c r="CS222" s="1230" t="str">
        <f t="shared" si="466"/>
      </c>
      <c r="CT222" s="1229" t="str">
        <f t="shared" si="466"/>
      </c>
      <c r="CU222" s="1229" t="str">
        <f t="shared" si="466"/>
      </c>
      <c r="CV222" s="1229" t="str">
        <f t="shared" si="466"/>
      </c>
      <c r="CW222" s="1229" t="str">
        <f t="shared" si="466"/>
      </c>
      <c r="CX222" s="1230" t="str">
        <f t="shared" si="466"/>
      </c>
      <c r="CY222" s="1229" t="str">
        <f t="shared" si="466"/>
      </c>
      <c r="CZ222" s="1229" t="str">
        <f t="shared" si="466"/>
      </c>
      <c r="DA222" s="1229" t="str">
        <f t="shared" si="466"/>
      </c>
      <c r="DB222" s="1229" t="str">
        <f t="shared" si="466"/>
      </c>
      <c r="DC222" s="1230" t="str">
        <f t="shared" si="466"/>
      </c>
      <c r="DD222" s="1229" t="str">
        <f t="shared" si="466"/>
      </c>
      <c r="DE222" s="1229" t="str">
        <f t="shared" si="466"/>
      </c>
      <c r="DF222" s="1229" t="str">
        <f t="shared" si="466"/>
      </c>
      <c r="DG222" s="1229" t="str">
        <f t="shared" si="466"/>
      </c>
      <c r="DH222" s="1230" t="str">
        <f t="shared" si="466"/>
      </c>
      <c r="DI222" s="1229" t="str">
        <f t="shared" si="466"/>
      </c>
      <c r="DJ222" s="1229" t="str">
        <f t="shared" si="466"/>
      </c>
      <c r="DK222" s="1229" t="str">
        <f t="shared" ref="DK222:EP222" si="467">IFERROR(DK221/DF221-1,"")</f>
      </c>
      <c r="DL222" s="1229" t="str">
        <f t="shared" si="467"/>
      </c>
      <c r="DM222" s="1230" t="str">
        <f t="shared" si="467"/>
      </c>
      <c r="DN222" s="1229" t="str">
        <f t="shared" si="467"/>
      </c>
      <c r="DO222" s="1229" t="str">
        <f t="shared" si="467"/>
      </c>
      <c r="DP222" s="1229" t="str">
        <f t="shared" si="467"/>
      </c>
      <c r="DQ222" s="1229" t="str">
        <f t="shared" si="467"/>
      </c>
      <c r="DR222" s="1230" t="str">
        <f t="shared" si="467"/>
      </c>
      <c r="DS222" s="1229" t="str">
        <f t="shared" si="467"/>
      </c>
      <c r="DT222" s="1229" t="str">
        <f t="shared" si="467"/>
      </c>
      <c r="DU222" s="1229" t="str">
        <f t="shared" si="467"/>
      </c>
      <c r="DV222" s="1229" t="str">
        <f t="shared" si="467"/>
      </c>
      <c r="DW222" s="1230" t="str">
        <f t="shared" si="467"/>
      </c>
      <c r="DX222" s="1229">
        <f t="shared" si="467"/>
      </c>
      <c r="DY222" s="1229">
        <f t="shared" si="467"/>
      </c>
      <c r="DZ222" s="1229">
        <f t="shared" si="467"/>
      </c>
      <c r="EA222" s="1229">
        <f t="shared" si="467"/>
      </c>
      <c r="EB222" s="1230">
        <f t="shared" si="467"/>
      </c>
      <c r="EC222" s="1229">
        <f t="shared" si="467"/>
      </c>
      <c r="ED222" s="1229">
        <f t="shared" si="467"/>
      </c>
      <c r="EE222" s="1229">
        <f t="shared" si="467"/>
      </c>
      <c r="EF222" s="1229">
        <f t="shared" si="467"/>
      </c>
      <c r="EG222" s="1230">
        <f t="shared" si="467"/>
      </c>
      <c r="EH222" s="1229">
        <f t="shared" si="467"/>
      </c>
      <c r="EI222" s="1229">
        <f t="shared" si="467"/>
      </c>
      <c r="EJ222" s="1229">
        <f t="shared" si="467"/>
      </c>
      <c r="EK222" s="1229">
        <f t="shared" si="467"/>
      </c>
      <c r="EL222" s="1230">
        <f t="shared" si="467"/>
      </c>
      <c r="EM222" s="1229">
        <f t="shared" si="467"/>
      </c>
      <c r="EN222" s="1229">
        <f t="shared" si="467"/>
      </c>
      <c r="EO222" s="1229">
        <f t="shared" si="467"/>
      </c>
      <c r="EP222" s="1229">
        <f t="shared" si="467"/>
      </c>
      <c r="EQ222" s="1230">
        <f t="shared" ref="EQ222:FV222" si="468">IFERROR(EQ221/EL221-1,"")</f>
      </c>
      <c r="ER222" s="1229">
        <f t="shared" si="468"/>
      </c>
      <c r="ES222" s="1229">
        <f t="shared" si="468"/>
      </c>
      <c r="ET222" s="1229">
        <f t="shared" si="468"/>
      </c>
      <c r="EU222" s="1229">
        <f t="shared" si="468"/>
      </c>
      <c r="EV222" s="1230">
        <f t="shared" si="468"/>
      </c>
      <c r="EW222" s="1229">
        <f t="shared" si="468"/>
      </c>
      <c r="EX222" s="1229">
        <f t="shared" si="468"/>
      </c>
      <c r="EY222" s="1229">
        <f t="shared" si="468"/>
      </c>
      <c r="EZ222" s="1229">
        <f t="shared" si="468"/>
      </c>
      <c r="FA222" s="1230">
        <f t="shared" si="468"/>
      </c>
      <c r="FB222" s="1229">
        <f t="shared" si="468"/>
      </c>
      <c r="FC222" s="1229">
        <f t="shared" si="468"/>
      </c>
      <c r="FD222" s="1229">
        <f t="shared" si="468"/>
      </c>
      <c r="FE222" s="1229">
        <f t="shared" si="468"/>
      </c>
      <c r="FF222" s="1230">
        <f t="shared" si="468"/>
      </c>
      <c r="FG222" s="1229">
        <f t="shared" si="468"/>
      </c>
      <c r="FH222" s="1229">
        <f t="shared" si="468"/>
      </c>
      <c r="FI222" s="1229">
        <f t="shared" si="468"/>
      </c>
      <c r="FJ222" s="1229">
        <f t="shared" si="468"/>
      </c>
      <c r="FK222" s="1230">
        <f t="shared" si="468"/>
      </c>
      <c r="FL222" s="1229">
        <f t="shared" si="468"/>
      </c>
      <c r="FM222" s="1229">
        <f t="shared" si="468"/>
      </c>
      <c r="FN222" s="1229">
        <f t="shared" si="468"/>
      </c>
      <c r="FO222" s="1229">
        <f t="shared" si="468"/>
      </c>
      <c r="FP222" s="1230">
        <f t="shared" si="468"/>
      </c>
      <c r="FQ222" s="1229">
        <f t="shared" si="468"/>
      </c>
      <c r="FR222" s="1229">
        <f t="shared" si="468"/>
      </c>
      <c r="FS222" s="1229">
        <f t="shared" si="468"/>
      </c>
      <c r="FT222" s="1229">
        <f t="shared" si="468"/>
      </c>
      <c r="FU222" s="1230">
        <f t="shared" si="468"/>
      </c>
      <c r="FV222" s="1229">
        <f t="shared" si="468"/>
      </c>
      <c r="FW222" s="1229">
        <f t="shared" ref="FW222:GE222" si="469">IFERROR(FW221/FR221-1,"")</f>
      </c>
      <c r="FX222" s="1229">
        <f t="shared" si="469"/>
      </c>
      <c r="FY222" s="1229">
        <f t="shared" si="469"/>
      </c>
      <c r="FZ222" s="1230">
        <f t="shared" si="469"/>
      </c>
      <c r="GA222" s="1229">
        <f t="shared" si="469"/>
      </c>
      <c r="GB222" s="1229">
        <f t="shared" si="469"/>
      </c>
      <c r="GC222" s="1229">
        <f t="shared" si="469"/>
      </c>
      <c r="GD222" s="1229">
        <f t="shared" si="469"/>
      </c>
      <c r="GE222" s="1230">
        <f t="shared" si="469"/>
      </c>
      <c r="GF222" s="1229">
        <f t="shared" ref="GF222" si="470">IFERROR(GF221/GA221-1,"")</f>
      </c>
      <c r="GG222" s="1229">
        <f t="shared" ref="GG222" si="471">IFERROR(GG221/GB221-1,"")</f>
      </c>
      <c r="GH222" s="1229">
        <f t="shared" ref="GH222" si="472">IFERROR(GH221/GC221-1,"")</f>
      </c>
      <c r="GI222" s="1229">
        <f t="shared" ref="GI222" si="473">IFERROR(GI221/GD221-1,"")</f>
      </c>
      <c r="GJ222" s="1230">
        <f t="shared" ref="GJ222" si="474">IFERROR(GJ221/GE221-1,"")</f>
      </c>
    </row>
    <row r="223" spans="1:192" s="314" customFormat="1" ht="12.75" hidden="1" customHeight="1" outlineLevel="1">
      <c r="A223" s="793"/>
      <c r="B223" s="1581" t="s">
        <v>2025</v>
      </c>
      <c r="C223" s="1571"/>
      <c r="D223" s="1571"/>
      <c r="E223" s="1571"/>
      <c r="F223" s="1571"/>
      <c r="G223" s="1572"/>
      <c r="H223" s="1571"/>
      <c r="I223" s="1571"/>
      <c r="J223" s="1571"/>
      <c r="K223" s="1571"/>
      <c r="L223" s="1572"/>
      <c r="M223" s="1571"/>
      <c r="N223" s="1571"/>
      <c r="O223" s="1571"/>
      <c r="P223" s="1571"/>
      <c r="Q223" s="1572"/>
      <c r="R223" s="1571"/>
      <c r="S223" s="1571"/>
      <c r="T223" s="1571"/>
      <c r="U223" s="1571"/>
      <c r="V223" s="1572"/>
      <c r="W223" s="1571"/>
      <c r="X223" s="1571"/>
      <c r="Y223" s="1571"/>
      <c r="Z223" s="1571"/>
      <c r="AA223" s="1572"/>
      <c r="AB223" s="1571"/>
      <c r="AC223" s="1571"/>
      <c r="AD223" s="1571"/>
      <c r="AE223" s="1571"/>
      <c r="AF223" s="1572"/>
      <c r="AG223" s="1571"/>
      <c r="AH223" s="1571"/>
      <c r="AI223" s="1571"/>
      <c r="AJ223" s="1571"/>
      <c r="AK223" s="1572"/>
      <c r="AL223" s="1571"/>
      <c r="AM223" s="1571"/>
      <c r="AN223" s="1571"/>
      <c r="AO223" s="1571"/>
      <c r="AP223" s="1572"/>
      <c r="AQ223" s="1571"/>
      <c r="AR223" s="1571"/>
      <c r="AS223" s="1571"/>
      <c r="AT223" s="1571"/>
      <c r="AU223" s="1572"/>
      <c r="AV223" s="1571"/>
      <c r="AW223" s="1571"/>
      <c r="AX223" s="1571"/>
      <c r="AY223" s="1571"/>
      <c r="AZ223" s="1572"/>
      <c r="BA223" s="1571"/>
      <c r="BB223" s="1571"/>
      <c r="BC223" s="1571"/>
      <c r="BD223" s="1571"/>
      <c r="BE223" s="1572"/>
      <c r="BF223" s="1571"/>
      <c r="BG223" s="1571"/>
      <c r="BH223" s="1571"/>
      <c r="BI223" s="1571"/>
      <c r="BJ223" s="1572"/>
      <c r="BK223" s="1571"/>
      <c r="BL223" s="1571"/>
      <c r="BM223" s="1571"/>
      <c r="BN223" s="1571"/>
      <c r="BO223" s="1572"/>
      <c r="BP223" s="1571"/>
      <c r="BQ223" s="1571"/>
      <c r="BR223" s="1571"/>
      <c r="BS223" s="1571"/>
      <c r="BT223" s="1572"/>
      <c r="BU223" s="1571"/>
      <c r="BV223" s="1571"/>
      <c r="BW223" s="1571"/>
      <c r="BX223" s="1571"/>
      <c r="BY223" s="1572"/>
      <c r="BZ223" s="1571"/>
      <c r="CA223" s="1571"/>
      <c r="CB223" s="1571"/>
      <c r="CC223" s="1571"/>
      <c r="CD223" s="1572"/>
      <c r="CE223" s="1571"/>
      <c r="CF223" s="1571"/>
      <c r="CG223" s="1571"/>
      <c r="CH223" s="1571"/>
      <c r="CI223" s="1572"/>
      <c r="CJ223" s="1571"/>
      <c r="CK223" s="1571"/>
      <c r="CL223" s="1571"/>
      <c r="CM223" s="1571"/>
      <c r="CN223" s="1572"/>
      <c r="CO223" s="1571"/>
      <c r="CP223" s="1571"/>
      <c r="CQ223" s="1571"/>
      <c r="CR223" s="1571"/>
      <c r="CS223" s="1572"/>
      <c r="CT223" s="1571"/>
      <c r="CU223" s="1571"/>
      <c r="CV223" s="1571"/>
      <c r="CW223" s="1571"/>
      <c r="CX223" s="1572"/>
      <c r="CY223" s="1571"/>
      <c r="CZ223" s="1571"/>
      <c r="DA223" s="1571"/>
      <c r="DB223" s="1571"/>
      <c r="DC223" s="1572"/>
      <c r="DD223" s="1571"/>
      <c r="DE223" s="1571"/>
      <c r="DF223" s="1571"/>
      <c r="DG223" s="1571"/>
      <c r="DH223" s="1572"/>
      <c r="DI223" s="1571"/>
      <c r="DJ223" s="1571"/>
      <c r="DK223" s="1571"/>
      <c r="DL223" s="1571"/>
      <c r="DM223" s="1572"/>
      <c r="DN223" s="1571"/>
      <c r="DO223" s="1571"/>
      <c r="DP223" s="1571"/>
      <c r="DQ223" s="1571"/>
      <c r="DR223" s="1572"/>
      <c r="DS223" s="1394">
        <f>BS!DQ59</f>
      </c>
      <c r="DT223" s="1394">
        <f>BS!DS59</f>
      </c>
      <c r="DU223" s="1394">
        <f>BS!DT59</f>
      </c>
      <c r="DV223" s="1394">
        <f>BS!DU59</f>
      </c>
      <c r="DW223" s="1395">
        <f>BS!DW59</f>
      </c>
      <c r="DX223" s="1394">
        <f>BS!DV59</f>
      </c>
      <c r="DY223" s="1394">
        <f>BS!DX59</f>
      </c>
      <c r="DZ223" s="1394">
        <f>BS!DY59</f>
      </c>
      <c r="EA223" s="1394">
        <f>BS!DZ59</f>
      </c>
      <c r="EB223" s="1395">
        <f>BS!EB59</f>
      </c>
      <c r="EC223" s="1394">
        <f>BS!EA59</f>
      </c>
      <c r="ED223" s="1394">
        <f>BS!EC59</f>
      </c>
      <c r="EE223" s="1394">
        <f>BS!ED59</f>
      </c>
      <c r="EF223" s="1394">
        <f>BS!EE59</f>
      </c>
      <c r="EG223" s="1395">
        <f>BS!EG59</f>
      </c>
      <c r="EH223" s="1394">
        <f>BS!EF59</f>
      </c>
      <c r="EI223" s="1394">
        <f>BS!EH59</f>
      </c>
      <c r="EJ223" s="1394">
        <f>BS!EI59</f>
      </c>
      <c r="EK223" s="1394">
        <f>BS!EJ59</f>
      </c>
      <c r="EL223" s="1395">
        <f>BS!EL59</f>
      </c>
      <c r="EM223" s="1394">
        <f>BS!EK59</f>
      </c>
      <c r="EN223" s="1394">
        <f>BS!EM59</f>
      </c>
      <c r="EO223" s="1394">
        <f>BS!EN59</f>
      </c>
      <c r="EP223" s="1394">
        <f>BS!EO59</f>
      </c>
      <c r="EQ223" s="1395">
        <f>BS!EQ59</f>
      </c>
      <c r="ER223" s="1394">
        <f>BS!EP59</f>
      </c>
      <c r="ES223" s="1394">
        <f>BS!ER59</f>
      </c>
      <c r="ET223" s="1394">
        <f>BS!ES59</f>
      </c>
      <c r="EU223" s="1394">
        <f>BS!ET59</f>
      </c>
      <c r="EV223" s="1395">
        <f>BS!EV59</f>
      </c>
      <c r="EW223" s="1394">
        <f>BS!EU59</f>
      </c>
      <c r="EX223" s="1394">
        <f>BS!EW59</f>
      </c>
      <c r="EY223" s="1394">
        <f>BS!EX59</f>
      </c>
      <c r="EZ223" s="1394">
        <f>BS!EY59</f>
      </c>
      <c r="FA223" s="1395">
        <f>BS!FA59</f>
      </c>
      <c r="FB223" s="1394">
        <f>BS!EZ59</f>
      </c>
      <c r="FC223" s="1394">
        <f>BS!FB59</f>
      </c>
      <c r="FD223" s="1394">
        <f>BS!FC59</f>
      </c>
      <c r="FE223" s="1394">
        <f>BS!FD59</f>
      </c>
      <c r="FF223" s="1395">
        <f>BS!FF59</f>
      </c>
      <c r="FG223" s="1394">
        <f>BS!FE59</f>
      </c>
      <c r="FH223" s="1394">
        <f>BS!FG59</f>
      </c>
      <c r="FI223" s="1394">
        <f>BS!FH59</f>
      </c>
      <c r="FJ223" s="1394">
        <f>BS!FI59</f>
      </c>
      <c r="FK223" s="1395">
        <f>BS!FK59</f>
      </c>
      <c r="FL223" s="1394">
        <f>BS!FJ59</f>
      </c>
      <c r="FM223" s="1394">
        <f>BS!FL59</f>
      </c>
      <c r="FN223" s="1394">
        <f>BS!FM59</f>
      </c>
      <c r="FO223" s="1394">
        <f>BS!FN59</f>
      </c>
      <c r="FP223" s="1395">
        <f>BS!FP59</f>
      </c>
      <c r="FQ223" s="1394">
        <f>BS!FO59</f>
      </c>
      <c r="FR223" s="1394">
        <f>BS!FQ59</f>
      </c>
      <c r="FS223" s="1394">
        <f>BS!FR59</f>
      </c>
      <c r="FT223" s="1394">
        <f>BS!FS59</f>
      </c>
      <c r="FU223" s="1395">
        <f>BS!FU59</f>
      </c>
      <c r="FV223" s="1394">
        <f>BS!FT59</f>
      </c>
      <c r="FW223" s="1394">
        <f>BS!FV59</f>
      </c>
      <c r="FX223" s="1394">
        <f>BS!FW59</f>
      </c>
      <c r="FY223" s="1394">
        <f>BS!FX59</f>
      </c>
      <c r="FZ223" s="1395">
        <f>BS!FZ59</f>
      </c>
      <c r="GA223" s="1394">
        <f>BS!FY59</f>
      </c>
      <c r="GB223" s="1394">
        <f>BS!GA59</f>
      </c>
      <c r="GC223" s="1394">
        <f>BS!GB59</f>
      </c>
      <c r="GD223" s="1394">
        <f>BS!GC59</f>
      </c>
      <c r="GE223" s="1395">
        <f>BS!GE59</f>
      </c>
      <c r="GF223" s="1394">
        <f>BS!GD59</f>
      </c>
      <c r="GG223" s="1394">
        <f>BS!GF59</f>
      </c>
      <c r="GH223" s="1394">
        <f>BS!GG59</f>
      </c>
      <c r="GI223" s="1394">
        <f>BS!GH59</f>
      </c>
      <c r="GJ223" s="1395">
        <f>BS!GJ59</f>
      </c>
    </row>
    <row r="224" spans="1:192" s="314" customFormat="1" ht="12.75" hidden="1" customHeight="1" outlineLevel="1">
      <c r="A224" s="793"/>
      <c r="B224" s="1581" t="s">
        <v>2026</v>
      </c>
      <c r="C224" s="1571"/>
      <c r="D224" s="1571"/>
      <c r="E224" s="1571"/>
      <c r="F224" s="1571"/>
      <c r="G224" s="1572"/>
      <c r="H224" s="1571"/>
      <c r="I224" s="1571"/>
      <c r="J224" s="1571"/>
      <c r="K224" s="1571"/>
      <c r="L224" s="1572"/>
      <c r="M224" s="1571"/>
      <c r="N224" s="1571"/>
      <c r="O224" s="1571"/>
      <c r="P224" s="1571"/>
      <c r="Q224" s="1572"/>
      <c r="R224" s="1571"/>
      <c r="S224" s="1571"/>
      <c r="T224" s="1571"/>
      <c r="U224" s="1571"/>
      <c r="V224" s="1572"/>
      <c r="W224" s="1571"/>
      <c r="X224" s="1571"/>
      <c r="Y224" s="1571"/>
      <c r="Z224" s="1571"/>
      <c r="AA224" s="1572"/>
      <c r="AB224" s="1571"/>
      <c r="AC224" s="1571"/>
      <c r="AD224" s="1571"/>
      <c r="AE224" s="1571"/>
      <c r="AF224" s="1572"/>
      <c r="AG224" s="1571"/>
      <c r="AH224" s="1571"/>
      <c r="AI224" s="1571"/>
      <c r="AJ224" s="1571"/>
      <c r="AK224" s="1572"/>
      <c r="AL224" s="1571"/>
      <c r="AM224" s="1571"/>
      <c r="AN224" s="1571"/>
      <c r="AO224" s="1571"/>
      <c r="AP224" s="1572"/>
      <c r="AQ224" s="1571"/>
      <c r="AR224" s="1571"/>
      <c r="AS224" s="1571"/>
      <c r="AT224" s="1571"/>
      <c r="AU224" s="1572"/>
      <c r="AV224" s="1571"/>
      <c r="AW224" s="1571"/>
      <c r="AX224" s="1571"/>
      <c r="AY224" s="1571"/>
      <c r="AZ224" s="1572"/>
      <c r="BA224" s="1571"/>
      <c r="BB224" s="1571"/>
      <c r="BC224" s="1571"/>
      <c r="BD224" s="1571"/>
      <c r="BE224" s="1572"/>
      <c r="BF224" s="1571"/>
      <c r="BG224" s="1571"/>
      <c r="BH224" s="1571"/>
      <c r="BI224" s="1571"/>
      <c r="BJ224" s="1572"/>
      <c r="BK224" s="1571"/>
      <c r="BL224" s="1571"/>
      <c r="BM224" s="1571"/>
      <c r="BN224" s="1571"/>
      <c r="BO224" s="1572"/>
      <c r="BP224" s="1571"/>
      <c r="BQ224" s="1571"/>
      <c r="BR224" s="1571"/>
      <c r="BS224" s="1571"/>
      <c r="BT224" s="1572"/>
      <c r="BU224" s="1571"/>
      <c r="BV224" s="1571"/>
      <c r="BW224" s="1571"/>
      <c r="BX224" s="1571"/>
      <c r="BY224" s="1572"/>
      <c r="BZ224" s="1571"/>
      <c r="CA224" s="1571"/>
      <c r="CB224" s="1571"/>
      <c r="CC224" s="1571"/>
      <c r="CD224" s="1572"/>
      <c r="CE224" s="1571"/>
      <c r="CF224" s="1571"/>
      <c r="CG224" s="1571"/>
      <c r="CH224" s="1571"/>
      <c r="CI224" s="1572"/>
      <c r="CJ224" s="1571"/>
      <c r="CK224" s="1571"/>
      <c r="CL224" s="1571"/>
      <c r="CM224" s="1571"/>
      <c r="CN224" s="1572"/>
      <c r="CO224" s="1571"/>
      <c r="CP224" s="1571"/>
      <c r="CQ224" s="1571"/>
      <c r="CR224" s="1571"/>
      <c r="CS224" s="1572"/>
      <c r="CT224" s="1571"/>
      <c r="CU224" s="1571"/>
      <c r="CV224" s="1571"/>
      <c r="CW224" s="1571"/>
      <c r="CX224" s="1572"/>
      <c r="CY224" s="1571"/>
      <c r="CZ224" s="1571"/>
      <c r="DA224" s="1571"/>
      <c r="DB224" s="1571"/>
      <c r="DC224" s="1572"/>
      <c r="DD224" s="1571"/>
      <c r="DE224" s="1571"/>
      <c r="DF224" s="1571"/>
      <c r="DG224" s="1571"/>
      <c r="DH224" s="1572"/>
      <c r="DI224" s="1571"/>
      <c r="DJ224" s="1571"/>
      <c r="DK224" s="1571"/>
      <c r="DL224" s="1571"/>
      <c r="DM224" s="1572"/>
      <c r="DN224" s="1571"/>
      <c r="DO224" s="1571"/>
      <c r="DP224" s="1571"/>
      <c r="DQ224" s="1571"/>
      <c r="DR224" s="1572"/>
      <c r="DS224" s="1577">
        <f>DS221*4/DS223</f>
      </c>
      <c r="DT224" s="1577">
        <f>DT221*4/DT223</f>
      </c>
      <c r="DU224" s="1577">
        <f>DU221*4/DU223</f>
      </c>
      <c r="DV224" s="1577">
        <f>DV221*4/DV223</f>
      </c>
      <c r="DW224" s="1578">
        <f>DW221/AVERAGE(DW223,DR223)</f>
      </c>
      <c r="DX224" s="1577">
        <f>DX221*4/DX223</f>
      </c>
      <c r="DY224" s="1577">
        <f>DY221*4/DY223</f>
      </c>
      <c r="DZ224" s="1577">
        <f>DZ221*4/DZ223</f>
      </c>
      <c r="EA224" s="1577">
        <f>EA221*4/EA223</f>
      </c>
      <c r="EB224" s="1578">
        <f>EB221/AVERAGE(EB223,DW223)</f>
      </c>
      <c r="EC224" s="1577">
        <f>EC221*4/EC223</f>
      </c>
      <c r="ED224" s="1577">
        <f>ED221*4/ED223</f>
      </c>
      <c r="EE224" s="1577">
        <f>EE221*4/EE223</f>
      </c>
      <c r="EF224" s="1577">
        <f>EF221*4/EF223</f>
      </c>
      <c r="EG224" s="1578">
        <f>EG221/AVERAGE(EG223,EB223)</f>
      </c>
      <c r="EH224" s="1577">
        <f>EH221*4/EH223</f>
      </c>
      <c r="EI224" s="1577">
        <f>EI221*4/EI223</f>
      </c>
      <c r="EJ224" s="1577">
        <f>EJ221*4/EJ223</f>
      </c>
      <c r="EK224" s="1577">
        <f>EK221*4/EK223</f>
      </c>
      <c r="EL224" s="1578">
        <f>EL221/AVERAGE(EL223,EG223)</f>
      </c>
      <c r="EM224" s="1577">
        <f>EM221*4/EM223</f>
      </c>
      <c r="EN224" s="1577">
        <f>EN221*4/EN223</f>
      </c>
      <c r="EO224" s="1577">
        <f>EO221*4/EO223</f>
      </c>
      <c r="EP224" s="1577">
        <f>EP221*4/EP223</f>
      </c>
      <c r="EQ224" s="1578">
        <f>EQ221/AVERAGE(EQ223,EL223)</f>
      </c>
      <c r="ER224" s="1577">
        <f>ER221*4/ER223</f>
      </c>
      <c r="ES224" s="1577">
        <f>ES221*4/ES223</f>
      </c>
      <c r="ET224" s="1577">
        <f>ET221*4/ET223</f>
      </c>
      <c r="EU224" s="1577">
        <f>EU221*4/EU223</f>
      </c>
      <c r="EV224" s="1578">
        <f>EV221/AVERAGE(EV223,EQ223)</f>
      </c>
      <c r="EW224" s="1577">
        <f>EW221*4/EW223</f>
      </c>
      <c r="EX224" s="1577">
        <f>EX221*4/EX223</f>
      </c>
      <c r="EY224" s="1577">
        <f>EY221*4/EY223</f>
      </c>
      <c r="EZ224" s="1577">
        <f>EZ221*4/EZ223</f>
      </c>
      <c r="FA224" s="1578">
        <f>FA221/AVERAGE(FA223,EV223)</f>
      </c>
      <c r="FB224" s="1579">
        <f>EZ224</f>
      </c>
      <c r="FC224" s="1579">
        <f>FB224</f>
      </c>
      <c r="FD224" s="1579">
        <f>FC224</f>
      </c>
      <c r="FE224" s="1579">
        <f>FD224</f>
      </c>
      <c r="FF224" s="1578">
        <f>FF221/AVERAGE(FF223,FA223)</f>
      </c>
      <c r="FG224" s="1579">
        <f>FE224</f>
      </c>
      <c r="FH224" s="1579">
        <f>FG224</f>
      </c>
      <c r="FI224" s="1579">
        <f>FH224</f>
      </c>
      <c r="FJ224" s="1579">
        <f>FI224</f>
      </c>
      <c r="FK224" s="1578">
        <f>FK221/AVERAGE(FK223,FF223)</f>
      </c>
      <c r="FL224" s="1579">
        <f>FG224</f>
      </c>
      <c r="FM224" s="1579">
        <f>FL224</f>
      </c>
      <c r="FN224" s="1579">
        <f>FM224</f>
      </c>
      <c r="FO224" s="1579">
        <f>FN224</f>
      </c>
      <c r="FP224" s="1578">
        <f>FP221/AVERAGE(FP223,FK223)</f>
      </c>
      <c r="FQ224" s="1579">
        <f>FL224</f>
      </c>
      <c r="FR224" s="1579">
        <f>FQ224</f>
      </c>
      <c r="FS224" s="1579">
        <f>FR224</f>
      </c>
      <c r="FT224" s="1579">
        <f>FS224</f>
      </c>
      <c r="FU224" s="1578">
        <f>FU221/AVERAGE(FU223,FP223)</f>
      </c>
      <c r="FV224" s="1579">
        <f>FQ224</f>
      </c>
      <c r="FW224" s="1579">
        <f>FV224</f>
      </c>
      <c r="FX224" s="1579">
        <f>FW224</f>
      </c>
      <c r="FY224" s="1579">
        <f>FX224</f>
      </c>
      <c r="FZ224" s="1578">
        <f>FZ221/AVERAGE(FZ223,FU223)</f>
      </c>
      <c r="GA224" s="1579">
        <f>FY224</f>
      </c>
      <c r="GB224" s="1579">
        <f>GA224</f>
      </c>
      <c r="GC224" s="1579">
        <f>GB224</f>
      </c>
      <c r="GD224" s="1579">
        <f>GC224</f>
      </c>
      <c r="GE224" s="1578">
        <f>GE221/AVERAGE(GE223,FZ223)</f>
      </c>
      <c r="GF224" s="1579">
        <f>GD224</f>
      </c>
      <c r="GG224" s="1579">
        <f>GF224</f>
      </c>
      <c r="GH224" s="1579">
        <f>GG224</f>
      </c>
      <c r="GI224" s="1579">
        <f>GH224</f>
      </c>
      <c r="GJ224" s="1578">
        <f>GJ221/AVERAGE(GJ223,GE223)</f>
      </c>
    </row>
    <row r="225" spans="1:192" s="314" customFormat="1" ht="12.75" hidden="1" customHeight="1" outlineLevel="1">
      <c r="A225" s="793"/>
      <c r="B225" s="1581"/>
      <c r="C225" s="1571"/>
      <c r="D225" s="1571"/>
      <c r="E225" s="1571"/>
      <c r="F225" s="1571"/>
      <c r="G225" s="1572"/>
      <c r="H225" s="1571"/>
      <c r="I225" s="1571"/>
      <c r="J225" s="1571"/>
      <c r="K225" s="1571"/>
      <c r="L225" s="1572"/>
      <c r="M225" s="1571"/>
      <c r="N225" s="1571"/>
      <c r="O225" s="1571"/>
      <c r="P225" s="1571"/>
      <c r="Q225" s="1572"/>
      <c r="R225" s="1571"/>
      <c r="S225" s="1571"/>
      <c r="T225" s="1571"/>
      <c r="U225" s="1571"/>
      <c r="V225" s="1572"/>
      <c r="W225" s="1571"/>
      <c r="X225" s="1571"/>
      <c r="Y225" s="1571"/>
      <c r="Z225" s="1571"/>
      <c r="AA225" s="1572"/>
      <c r="AB225" s="1571"/>
      <c r="AC225" s="1571"/>
      <c r="AD225" s="1571"/>
      <c r="AE225" s="1571"/>
      <c r="AF225" s="1572"/>
      <c r="AG225" s="1571"/>
      <c r="AH225" s="1571"/>
      <c r="AI225" s="1571"/>
      <c r="AJ225" s="1571"/>
      <c r="AK225" s="1572"/>
      <c r="AL225" s="1571"/>
      <c r="AM225" s="1571"/>
      <c r="AN225" s="1571"/>
      <c r="AO225" s="1571"/>
      <c r="AP225" s="1572"/>
      <c r="AQ225" s="1571"/>
      <c r="AR225" s="1571"/>
      <c r="AS225" s="1571"/>
      <c r="AT225" s="1571"/>
      <c r="AU225" s="1572"/>
      <c r="AV225" s="1571"/>
      <c r="AW225" s="1571"/>
      <c r="AX225" s="1571"/>
      <c r="AY225" s="1571"/>
      <c r="AZ225" s="1572"/>
      <c r="BA225" s="1571"/>
      <c r="BB225" s="1571"/>
      <c r="BC225" s="1571"/>
      <c r="BD225" s="1571"/>
      <c r="BE225" s="1572"/>
      <c r="BF225" s="1571"/>
      <c r="BG225" s="1571"/>
      <c r="BH225" s="1571"/>
      <c r="BI225" s="1571"/>
      <c r="BJ225" s="1572"/>
      <c r="BK225" s="1571"/>
      <c r="BL225" s="1571"/>
      <c r="BM225" s="1571"/>
      <c r="BN225" s="1571"/>
      <c r="BO225" s="1572"/>
      <c r="BP225" s="1571"/>
      <c r="BQ225" s="1571"/>
      <c r="BR225" s="1571"/>
      <c r="BS225" s="1571"/>
      <c r="BT225" s="1572"/>
      <c r="BU225" s="1571"/>
      <c r="BV225" s="1571"/>
      <c r="BW225" s="1571"/>
      <c r="BX225" s="1571"/>
      <c r="BY225" s="1572"/>
      <c r="BZ225" s="1571"/>
      <c r="CA225" s="1571"/>
      <c r="CB225" s="1571"/>
      <c r="CC225" s="1571"/>
      <c r="CD225" s="1572"/>
      <c r="CE225" s="1571"/>
      <c r="CF225" s="1571"/>
      <c r="CG225" s="1571"/>
      <c r="CH225" s="1571"/>
      <c r="CI225" s="1572"/>
      <c r="CJ225" s="1571"/>
      <c r="CK225" s="1571"/>
      <c r="CL225" s="1571"/>
      <c r="CM225" s="1571"/>
      <c r="CN225" s="1572"/>
      <c r="CO225" s="1571"/>
      <c r="CP225" s="1571"/>
      <c r="CQ225" s="1571"/>
      <c r="CR225" s="1571"/>
      <c r="CS225" s="1572"/>
      <c r="CT225" s="1571"/>
      <c r="CU225" s="1571"/>
      <c r="CV225" s="1571"/>
      <c r="CW225" s="1571"/>
      <c r="CX225" s="1572"/>
      <c r="CY225" s="1571"/>
      <c r="CZ225" s="1571"/>
      <c r="DA225" s="1571"/>
      <c r="DB225" s="1571"/>
      <c r="DC225" s="1572"/>
      <c r="DD225" s="1571"/>
      <c r="DE225" s="1571"/>
      <c r="DF225" s="1571"/>
      <c r="DG225" s="1571"/>
      <c r="DH225" s="1572"/>
      <c r="DI225" s="1571"/>
      <c r="DJ225" s="1571"/>
      <c r="DK225" s="1571"/>
      <c r="DL225" s="1571"/>
      <c r="DM225" s="1572"/>
      <c r="DN225" s="1571"/>
      <c r="DO225" s="1571"/>
      <c r="DP225" s="1571"/>
      <c r="DQ225" s="1571"/>
      <c r="DR225" s="1572"/>
      <c r="DS225" s="1577"/>
      <c r="DT225" s="1577"/>
      <c r="DU225" s="1577"/>
      <c r="DV225" s="1577"/>
      <c r="DW225" s="1578"/>
      <c r="DX225" s="1577"/>
      <c r="DY225" s="1577"/>
      <c r="DZ225" s="1577"/>
      <c r="EA225" s="1577"/>
      <c r="EB225" s="1578"/>
      <c r="EC225" s="1577"/>
      <c r="ED225" s="1577"/>
      <c r="EE225" s="1577"/>
      <c r="EF225" s="1577"/>
      <c r="EG225" s="1578"/>
      <c r="EH225" s="1577"/>
      <c r="EI225" s="1577"/>
      <c r="EJ225" s="1577"/>
      <c r="EK225" s="1577"/>
      <c r="EL225" s="1578"/>
      <c r="EM225" s="1577"/>
      <c r="EN225" s="1577"/>
      <c r="EO225" s="1577"/>
      <c r="EP225" s="1577"/>
      <c r="EQ225" s="1578"/>
      <c r="ER225" s="1577"/>
      <c r="ES225" s="1577"/>
      <c r="ET225" s="1577"/>
      <c r="EU225" s="1577"/>
      <c r="EV225" s="1578"/>
      <c r="EW225" s="1577"/>
      <c r="EX225" s="1577"/>
      <c r="EY225" s="1577"/>
      <c r="EZ225" s="1577"/>
      <c r="FA225" s="1578"/>
      <c r="FB225" s="1579"/>
      <c r="FC225" s="1579"/>
      <c r="FD225" s="1579"/>
      <c r="FE225" s="1579"/>
      <c r="FF225" s="1578"/>
      <c r="FG225" s="1579"/>
      <c r="FH225" s="1579"/>
      <c r="FI225" s="1579"/>
      <c r="FJ225" s="1579"/>
      <c r="FK225" s="1578"/>
      <c r="FL225" s="1579"/>
      <c r="FM225" s="1579"/>
      <c r="FN225" s="1579"/>
      <c r="FO225" s="1579"/>
      <c r="FP225" s="1578"/>
      <c r="FQ225" s="1579"/>
      <c r="FR225" s="1579"/>
      <c r="FS225" s="1579"/>
      <c r="FT225" s="1579"/>
      <c r="FU225" s="1578"/>
      <c r="FV225" s="1579"/>
      <c r="FW225" s="1579"/>
      <c r="FX225" s="1579"/>
      <c r="FY225" s="1579"/>
      <c r="FZ225" s="1578"/>
      <c r="GA225" s="1579"/>
      <c r="GB225" s="1579"/>
      <c r="GC225" s="1579"/>
      <c r="GD225" s="1579"/>
      <c r="GE225" s="1578"/>
      <c r="GF225" s="1579"/>
      <c r="GG225" s="1579"/>
      <c r="GH225" s="1579"/>
      <c r="GI225" s="1579"/>
      <c r="GJ225" s="1578"/>
    </row>
    <row r="226" spans="1:192" s="317" customFormat="1" ht="12.75" hidden="1" customHeight="1" outlineLevel="1">
      <c r="A226" s="793"/>
      <c r="B226" s="621" t="s">
        <v>2027</v>
      </c>
      <c r="C226" s="636"/>
      <c r="D226" s="636"/>
      <c r="E226" s="636"/>
      <c r="F226" s="636"/>
      <c r="G226" s="637"/>
      <c r="H226" s="636"/>
      <c r="I226" s="636"/>
      <c r="J226" s="636"/>
      <c r="K226" s="636"/>
      <c r="L226" s="637"/>
      <c r="M226" s="636"/>
      <c r="N226" s="636"/>
      <c r="O226" s="636"/>
      <c r="P226" s="636"/>
      <c r="Q226" s="637"/>
      <c r="R226" s="636"/>
      <c r="S226" s="636"/>
      <c r="T226" s="636"/>
      <c r="U226" s="636"/>
      <c r="V226" s="637"/>
      <c r="W226" s="636"/>
      <c r="X226" s="636"/>
      <c r="Y226" s="636"/>
      <c r="Z226" s="636"/>
      <c r="AA226" s="637"/>
      <c r="AB226" s="636"/>
      <c r="AC226" s="636"/>
      <c r="AD226" s="636"/>
      <c r="AE226" s="636"/>
      <c r="AF226" s="637"/>
      <c r="AG226" s="636"/>
      <c r="AH226" s="636"/>
      <c r="AI226" s="636"/>
      <c r="AJ226" s="636"/>
      <c r="AK226" s="637"/>
      <c r="AL226" s="636"/>
      <c r="AM226" s="636"/>
      <c r="AN226" s="636"/>
      <c r="AO226" s="636"/>
      <c r="AP226" s="637"/>
      <c r="AQ226" s="636"/>
      <c r="AR226" s="636"/>
      <c r="AS226" s="636"/>
      <c r="AT226" s="636"/>
      <c r="AU226" s="637"/>
      <c r="AV226" s="636"/>
      <c r="AW226" s="636"/>
      <c r="AX226" s="636"/>
      <c r="AY226" s="636"/>
      <c r="AZ226" s="637"/>
      <c r="BA226" s="636"/>
      <c r="BB226" s="636"/>
      <c r="BC226" s="636"/>
      <c r="BD226" s="636"/>
      <c r="BE226" s="637"/>
      <c r="BF226" s="636"/>
      <c r="BG226" s="636"/>
      <c r="BH226" s="636"/>
      <c r="BI226" s="636"/>
      <c r="BJ226" s="637"/>
      <c r="BK226" s="636"/>
      <c r="BL226" s="636"/>
      <c r="BM226" s="636"/>
      <c r="BN226" s="636"/>
      <c r="BO226" s="637"/>
      <c r="BP226" s="636"/>
      <c r="BQ226" s="636"/>
      <c r="BR226" s="636"/>
      <c r="BS226" s="636"/>
      <c r="BT226" s="637"/>
      <c r="BU226" s="636"/>
      <c r="BV226" s="636"/>
      <c r="BW226" s="636"/>
      <c r="BX226" s="636"/>
      <c r="BY226" s="637"/>
      <c r="BZ226" s="636"/>
      <c r="CA226" s="636"/>
      <c r="CB226" s="636"/>
      <c r="CC226" s="636"/>
      <c r="CD226" s="637"/>
      <c r="CE226" s="636"/>
      <c r="CF226" s="636"/>
      <c r="CG226" s="636"/>
      <c r="CH226" s="636"/>
      <c r="CI226" s="637"/>
      <c r="CJ226" s="636"/>
      <c r="CK226" s="636"/>
      <c r="CL226" s="636"/>
      <c r="CM226" s="636"/>
      <c r="CN226" s="637"/>
      <c r="CO226" s="636"/>
      <c r="CP226" s="636"/>
      <c r="CQ226" s="636"/>
      <c r="CR226" s="636"/>
      <c r="CS226" s="637"/>
      <c r="CT226" s="636"/>
      <c r="CU226" s="636"/>
      <c r="CV226" s="636"/>
      <c r="CW226" s="636"/>
      <c r="CX226" s="637"/>
      <c r="CY226" s="636"/>
      <c r="CZ226" s="636"/>
      <c r="DA226" s="636"/>
      <c r="DB226" s="636"/>
      <c r="DC226" s="637"/>
      <c r="DD226" s="636"/>
      <c r="DE226" s="636"/>
      <c r="DF226" s="636"/>
      <c r="DG226" s="636"/>
      <c r="DH226" s="637"/>
      <c r="DI226" s="636"/>
      <c r="DJ226" s="636"/>
      <c r="DK226" s="636"/>
      <c r="DL226" s="636"/>
      <c r="DM226" s="637"/>
      <c r="DN226" s="636"/>
      <c r="DO226" s="636"/>
      <c r="DP226" s="636"/>
      <c r="DQ226" s="636"/>
      <c r="DR226" s="637"/>
      <c r="DS226" s="636">
        <f t="shared" ref="DS226:EV226" si="475">DS216+DS221</f>
      </c>
      <c r="DT226" s="636">
        <f t="shared" si="475"/>
      </c>
      <c r="DU226" s="636">
        <f t="shared" si="475"/>
      </c>
      <c r="DV226" s="636">
        <f t="shared" si="475"/>
      </c>
      <c r="DW226" s="637">
        <f t="shared" si="475"/>
      </c>
      <c r="DX226" s="636">
        <f t="shared" si="475"/>
      </c>
      <c r="DY226" s="636">
        <f t="shared" si="475"/>
      </c>
      <c r="DZ226" s="636">
        <f t="shared" si="475"/>
      </c>
      <c r="EA226" s="636">
        <f t="shared" si="475"/>
      </c>
      <c r="EB226" s="637">
        <f t="shared" si="475"/>
      </c>
      <c r="EC226" s="636">
        <f t="shared" si="475"/>
      </c>
      <c r="ED226" s="636">
        <f t="shared" si="475"/>
      </c>
      <c r="EE226" s="636">
        <f t="shared" si="475"/>
      </c>
      <c r="EF226" s="636">
        <f t="shared" si="475"/>
      </c>
      <c r="EG226" s="637">
        <f t="shared" si="475"/>
      </c>
      <c r="EH226" s="1392">
        <f t="shared" si="475"/>
      </c>
      <c r="EI226" s="1393">
        <f t="shared" si="475"/>
      </c>
      <c r="EJ226" s="1393">
        <f t="shared" si="475"/>
      </c>
      <c r="EK226" s="1393">
        <f t="shared" si="475"/>
      </c>
      <c r="EL226" s="637">
        <f t="shared" si="475"/>
      </c>
      <c r="EM226" s="1393">
        <f t="shared" si="475"/>
      </c>
      <c r="EN226" s="1393">
        <f t="shared" si="475"/>
      </c>
      <c r="EO226" s="1393">
        <f t="shared" si="475"/>
      </c>
      <c r="EP226" s="1393">
        <f t="shared" si="475"/>
      </c>
      <c r="EQ226" s="637">
        <f t="shared" si="475"/>
      </c>
      <c r="ER226" s="636">
        <f t="shared" si="475"/>
      </c>
      <c r="ES226" s="1393">
        <f t="shared" si="475"/>
      </c>
      <c r="ET226" s="1393">
        <f t="shared" si="475"/>
      </c>
      <c r="EU226" s="1393">
        <f t="shared" si="475"/>
      </c>
      <c r="EV226" s="637">
        <f t="shared" si="475"/>
      </c>
      <c r="EW226" s="636">
        <f t="shared" ref="EW226:FA226" si="476">EW216+EW221</f>
      </c>
      <c r="EX226" s="1393">
        <f t="shared" si="476"/>
      </c>
      <c r="EY226" s="1393">
        <f t="shared" si="476"/>
      </c>
      <c r="EZ226" s="1393">
        <f t="shared" si="476"/>
      </c>
      <c r="FA226" s="637">
        <f t="shared" si="476"/>
      </c>
      <c r="FB226" s="636">
        <f t="shared" ref="FB226:GE226" si="477">FB216+FB221</f>
      </c>
      <c r="FC226" s="636">
        <f t="shared" si="477"/>
      </c>
      <c r="FD226" s="636">
        <f t="shared" si="477"/>
      </c>
      <c r="FE226" s="636">
        <f t="shared" si="477"/>
      </c>
      <c r="FF226" s="637">
        <f t="shared" si="477"/>
      </c>
      <c r="FG226" s="636">
        <f t="shared" si="477"/>
      </c>
      <c r="FH226" s="636">
        <f t="shared" si="477"/>
      </c>
      <c r="FI226" s="636">
        <f t="shared" si="477"/>
      </c>
      <c r="FJ226" s="636">
        <f t="shared" si="477"/>
      </c>
      <c r="FK226" s="637">
        <f t="shared" si="477"/>
      </c>
      <c r="FL226" s="636">
        <f t="shared" si="477"/>
      </c>
      <c r="FM226" s="636">
        <f t="shared" si="477"/>
      </c>
      <c r="FN226" s="636">
        <f t="shared" si="477"/>
      </c>
      <c r="FO226" s="636">
        <f t="shared" si="477"/>
      </c>
      <c r="FP226" s="637">
        <f t="shared" si="477"/>
      </c>
      <c r="FQ226" s="636">
        <f t="shared" si="477"/>
      </c>
      <c r="FR226" s="636">
        <f t="shared" si="477"/>
      </c>
      <c r="FS226" s="636">
        <f t="shared" si="477"/>
      </c>
      <c r="FT226" s="636">
        <f t="shared" si="477"/>
      </c>
      <c r="FU226" s="637">
        <f t="shared" si="477"/>
      </c>
      <c r="FV226" s="636">
        <f t="shared" si="477"/>
      </c>
      <c r="FW226" s="636">
        <f t="shared" si="477"/>
      </c>
      <c r="FX226" s="636">
        <f t="shared" si="477"/>
      </c>
      <c r="FY226" s="636">
        <f t="shared" si="477"/>
      </c>
      <c r="FZ226" s="637">
        <f t="shared" si="477"/>
      </c>
      <c r="GA226" s="636">
        <f t="shared" si="477"/>
      </c>
      <c r="GB226" s="636">
        <f t="shared" si="477"/>
      </c>
      <c r="GC226" s="636">
        <f t="shared" si="477"/>
      </c>
      <c r="GD226" s="636">
        <f t="shared" si="477"/>
      </c>
      <c r="GE226" s="637">
        <f t="shared" si="477"/>
      </c>
      <c r="GF226" s="636">
        <f t="shared" ref="GF226:GJ226" si="478">GF216+GF221</f>
      </c>
      <c r="GG226" s="636">
        <f t="shared" si="478"/>
      </c>
      <c r="GH226" s="636">
        <f t="shared" si="478"/>
      </c>
      <c r="GI226" s="636">
        <f t="shared" si="478"/>
      </c>
      <c r="GJ226" s="637">
        <f t="shared" si="478"/>
      </c>
    </row>
    <row r="227" spans="1:192" s="1227" customFormat="1" ht="12.75" hidden="1" customHeight="1" outlineLevel="1">
      <c r="A227" s="1224"/>
      <c r="B227" s="1228" t="s">
        <v>34</v>
      </c>
      <c r="C227" s="1225"/>
      <c r="D227" s="1225"/>
      <c r="E227" s="1225"/>
      <c r="F227" s="1225"/>
      <c r="G227" s="1226"/>
      <c r="H227" s="1225"/>
      <c r="I227" s="1225"/>
      <c r="J227" s="1225"/>
      <c r="K227" s="1225"/>
      <c r="L227" s="1226"/>
      <c r="M227" s="1225"/>
      <c r="N227" s="1225"/>
      <c r="O227" s="1225"/>
      <c r="P227" s="1225"/>
      <c r="Q227" s="1226"/>
      <c r="R227" s="1225"/>
      <c r="S227" s="1225"/>
      <c r="T227" s="1225"/>
      <c r="U227" s="1225"/>
      <c r="V227" s="1226"/>
      <c r="W227" s="1225"/>
      <c r="X227" s="1225"/>
      <c r="Y227" s="1225"/>
      <c r="Z227" s="1225"/>
      <c r="AA227" s="1226"/>
      <c r="AB227" s="1225"/>
      <c r="AC227" s="1225"/>
      <c r="AD227" s="1225"/>
      <c r="AE227" s="1225"/>
      <c r="AF227" s="1226"/>
      <c r="AG227" s="1225"/>
      <c r="AH227" s="1225"/>
      <c r="AI227" s="1225"/>
      <c r="AJ227" s="1225"/>
      <c r="AK227" s="1226"/>
      <c r="AL227" s="1225"/>
      <c r="AM227" s="1225"/>
      <c r="AN227" s="1225"/>
      <c r="AO227" s="1225"/>
      <c r="AP227" s="1226"/>
      <c r="AQ227" s="1225"/>
      <c r="AR227" s="1225"/>
      <c r="AS227" s="1225"/>
      <c r="AT227" s="1225"/>
      <c r="AU227" s="1226"/>
      <c r="AV227" s="1225"/>
      <c r="AW227" s="1225"/>
      <c r="AX227" s="1225"/>
      <c r="AY227" s="1225"/>
      <c r="AZ227" s="1226"/>
      <c r="BA227" s="1229"/>
      <c r="BB227" s="1229"/>
      <c r="BC227" s="1229"/>
      <c r="BD227" s="1229"/>
      <c r="BE227" s="1230"/>
      <c r="BF227" s="1229"/>
      <c r="BG227" s="1229"/>
      <c r="BH227" s="1229"/>
      <c r="BI227" s="1229"/>
      <c r="BJ227" s="1230"/>
      <c r="BK227" s="1229"/>
      <c r="BL227" s="1229"/>
      <c r="BM227" s="1229"/>
      <c r="BN227" s="1229"/>
      <c r="BO227" s="1230"/>
      <c r="BP227" s="1229"/>
      <c r="BQ227" s="1229"/>
      <c r="BR227" s="1229"/>
      <c r="BS227" s="1229"/>
      <c r="BT227" s="1230"/>
      <c r="BU227" s="1229"/>
      <c r="BV227" s="1229"/>
      <c r="BW227" s="1229"/>
      <c r="BX227" s="1229"/>
      <c r="BY227" s="1230"/>
      <c r="BZ227" s="1229"/>
      <c r="CA227" s="1229"/>
      <c r="CB227" s="1229"/>
      <c r="CC227" s="1229"/>
      <c r="CD227" s="1230"/>
      <c r="CE227" s="1229" t="str">
        <f t="shared" ref="CE227:DJ227" si="479">IFERROR(CE226/BZ226-1,"")</f>
      </c>
      <c r="CF227" s="1229" t="str">
        <f t="shared" si="479"/>
      </c>
      <c r="CG227" s="1229" t="str">
        <f t="shared" si="479"/>
      </c>
      <c r="CH227" s="1229" t="str">
        <f t="shared" si="479"/>
      </c>
      <c r="CI227" s="1230" t="str">
        <f t="shared" si="479"/>
      </c>
      <c r="CJ227" s="1229" t="str">
        <f t="shared" si="479"/>
      </c>
      <c r="CK227" s="1229" t="str">
        <f t="shared" si="479"/>
      </c>
      <c r="CL227" s="1229" t="str">
        <f t="shared" si="479"/>
      </c>
      <c r="CM227" s="1229" t="str">
        <f t="shared" si="479"/>
      </c>
      <c r="CN227" s="1230" t="str">
        <f t="shared" si="479"/>
      </c>
      <c r="CO227" s="1229" t="str">
        <f t="shared" si="479"/>
      </c>
      <c r="CP227" s="1229" t="str">
        <f t="shared" si="479"/>
      </c>
      <c r="CQ227" s="1229" t="str">
        <f t="shared" si="479"/>
      </c>
      <c r="CR227" s="1229" t="str">
        <f t="shared" si="479"/>
      </c>
      <c r="CS227" s="1230" t="str">
        <f t="shared" si="479"/>
      </c>
      <c r="CT227" s="1229" t="str">
        <f t="shared" si="479"/>
      </c>
      <c r="CU227" s="1229" t="str">
        <f t="shared" si="479"/>
      </c>
      <c r="CV227" s="1229" t="str">
        <f t="shared" si="479"/>
      </c>
      <c r="CW227" s="1229" t="str">
        <f t="shared" si="479"/>
      </c>
      <c r="CX227" s="1230" t="str">
        <f t="shared" si="479"/>
      </c>
      <c r="CY227" s="1229" t="str">
        <f t="shared" si="479"/>
      </c>
      <c r="CZ227" s="1229" t="str">
        <f t="shared" si="479"/>
      </c>
      <c r="DA227" s="1229" t="str">
        <f t="shared" si="479"/>
      </c>
      <c r="DB227" s="1229" t="str">
        <f t="shared" si="479"/>
      </c>
      <c r="DC227" s="1230" t="str">
        <f t="shared" si="479"/>
      </c>
      <c r="DD227" s="1229" t="str">
        <f t="shared" si="479"/>
      </c>
      <c r="DE227" s="1229" t="str">
        <f t="shared" si="479"/>
      </c>
      <c r="DF227" s="1229" t="str">
        <f t="shared" si="479"/>
      </c>
      <c r="DG227" s="1229" t="str">
        <f t="shared" si="479"/>
      </c>
      <c r="DH227" s="1230" t="str">
        <f t="shared" si="479"/>
      </c>
      <c r="DI227" s="1229" t="str">
        <f t="shared" si="479"/>
      </c>
      <c r="DJ227" s="1229" t="str">
        <f t="shared" si="479"/>
      </c>
      <c r="DK227" s="1229" t="str">
        <f t="shared" ref="DK227:EP227" si="480">IFERROR(DK226/DF226-1,"")</f>
      </c>
      <c r="DL227" s="1229" t="str">
        <f t="shared" si="480"/>
      </c>
      <c r="DM227" s="1230" t="str">
        <f t="shared" si="480"/>
      </c>
      <c r="DN227" s="1229" t="str">
        <f t="shared" si="480"/>
      </c>
      <c r="DO227" s="1229" t="str">
        <f t="shared" si="480"/>
      </c>
      <c r="DP227" s="1229" t="str">
        <f t="shared" si="480"/>
      </c>
      <c r="DQ227" s="1229" t="str">
        <f t="shared" si="480"/>
      </c>
      <c r="DR227" s="1230" t="str">
        <f t="shared" si="480"/>
      </c>
      <c r="DS227" s="1229" t="str">
        <f t="shared" si="480"/>
      </c>
      <c r="DT227" s="1229" t="str">
        <f t="shared" si="480"/>
      </c>
      <c r="DU227" s="1229" t="str">
        <f t="shared" si="480"/>
      </c>
      <c r="DV227" s="1229" t="str">
        <f t="shared" si="480"/>
      </c>
      <c r="DW227" s="1230" t="str">
        <f t="shared" si="480"/>
      </c>
      <c r="DX227" s="1229">
        <f t="shared" si="480"/>
      </c>
      <c r="DY227" s="1229">
        <f t="shared" si="480"/>
      </c>
      <c r="DZ227" s="1229">
        <f t="shared" si="480"/>
      </c>
      <c r="EA227" s="1229">
        <f t="shared" si="480"/>
      </c>
      <c r="EB227" s="1230">
        <f t="shared" si="480"/>
      </c>
      <c r="EC227" s="1229">
        <f t="shared" si="480"/>
      </c>
      <c r="ED227" s="1229">
        <f t="shared" si="480"/>
      </c>
      <c r="EE227" s="1229">
        <f t="shared" si="480"/>
      </c>
      <c r="EF227" s="1229">
        <f t="shared" si="480"/>
      </c>
      <c r="EG227" s="1230">
        <f t="shared" si="480"/>
      </c>
      <c r="EH227" s="1229">
        <f t="shared" si="480"/>
      </c>
      <c r="EI227" s="1229">
        <f t="shared" si="480"/>
      </c>
      <c r="EJ227" s="1229">
        <f t="shared" si="480"/>
      </c>
      <c r="EK227" s="1229">
        <f t="shared" si="480"/>
      </c>
      <c r="EL227" s="1230">
        <f t="shared" si="480"/>
      </c>
      <c r="EM227" s="1229">
        <f t="shared" si="480"/>
      </c>
      <c r="EN227" s="1229">
        <f t="shared" si="480"/>
      </c>
      <c r="EO227" s="1229">
        <f t="shared" si="480"/>
      </c>
      <c r="EP227" s="1229">
        <f t="shared" si="480"/>
      </c>
      <c r="EQ227" s="1230">
        <f t="shared" ref="EQ227:FV227" si="481">IFERROR(EQ226/EL226-1,"")</f>
      </c>
      <c r="ER227" s="1229">
        <f t="shared" si="481"/>
      </c>
      <c r="ES227" s="1229">
        <f t="shared" si="481"/>
      </c>
      <c r="ET227" s="1229">
        <f t="shared" si="481"/>
      </c>
      <c r="EU227" s="1229">
        <f t="shared" si="481"/>
      </c>
      <c r="EV227" s="1230">
        <f t="shared" si="481"/>
      </c>
      <c r="EW227" s="1229">
        <f t="shared" si="481"/>
      </c>
      <c r="EX227" s="1229">
        <f t="shared" si="481"/>
      </c>
      <c r="EY227" s="1229">
        <f t="shared" si="481"/>
      </c>
      <c r="EZ227" s="1229">
        <f t="shared" si="481"/>
      </c>
      <c r="FA227" s="1230">
        <f t="shared" si="481"/>
      </c>
      <c r="FB227" s="1229">
        <f t="shared" si="481"/>
      </c>
      <c r="FC227" s="1229">
        <f t="shared" si="481"/>
      </c>
      <c r="FD227" s="1229">
        <f t="shared" si="481"/>
      </c>
      <c r="FE227" s="1229">
        <f t="shared" si="481"/>
      </c>
      <c r="FF227" s="1580">
        <f t="shared" si="481"/>
      </c>
      <c r="FG227" s="1229">
        <f t="shared" si="481"/>
      </c>
      <c r="FH227" s="1229">
        <f t="shared" si="481"/>
      </c>
      <c r="FI227" s="1229">
        <f t="shared" si="481"/>
      </c>
      <c r="FJ227" s="1229">
        <f t="shared" si="481"/>
      </c>
      <c r="FK227" s="1580">
        <f t="shared" si="481"/>
      </c>
      <c r="FL227" s="1229">
        <f t="shared" si="481"/>
      </c>
      <c r="FM227" s="1229">
        <f t="shared" si="481"/>
      </c>
      <c r="FN227" s="1229">
        <f t="shared" si="481"/>
      </c>
      <c r="FO227" s="1229">
        <f t="shared" si="481"/>
      </c>
      <c r="FP227" s="1580">
        <f t="shared" si="481"/>
      </c>
      <c r="FQ227" s="1229">
        <f t="shared" si="481"/>
      </c>
      <c r="FR227" s="1229">
        <f t="shared" si="481"/>
      </c>
      <c r="FS227" s="1229">
        <f t="shared" si="481"/>
      </c>
      <c r="FT227" s="1229">
        <f t="shared" si="481"/>
      </c>
      <c r="FU227" s="1580">
        <f t="shared" si="481"/>
      </c>
      <c r="FV227" s="1229">
        <f t="shared" si="481"/>
      </c>
      <c r="FW227" s="1229">
        <f t="shared" ref="FW227:GE227" si="482">IFERROR(FW226/FR226-1,"")</f>
      </c>
      <c r="FX227" s="1229">
        <f t="shared" si="482"/>
      </c>
      <c r="FY227" s="1229">
        <f t="shared" si="482"/>
      </c>
      <c r="FZ227" s="1580">
        <f t="shared" si="482"/>
      </c>
      <c r="GA227" s="1229">
        <f t="shared" si="482"/>
      </c>
      <c r="GB227" s="1229">
        <f t="shared" si="482"/>
      </c>
      <c r="GC227" s="1229">
        <f t="shared" si="482"/>
      </c>
      <c r="GD227" s="1229">
        <f t="shared" si="482"/>
      </c>
      <c r="GE227" s="1580">
        <f t="shared" si="482"/>
      </c>
      <c r="GF227" s="1229">
        <f t="shared" ref="GF227" si="483">IFERROR(GF226/GA226-1,"")</f>
      </c>
      <c r="GG227" s="1229">
        <f t="shared" ref="GG227" si="484">IFERROR(GG226/GB226-1,"")</f>
      </c>
      <c r="GH227" s="1229">
        <f t="shared" ref="GH227" si="485">IFERROR(GH226/GC226-1,"")</f>
      </c>
      <c r="GI227" s="1229">
        <f t="shared" ref="GI227" si="486">IFERROR(GI226/GD226-1,"")</f>
      </c>
      <c r="GJ227" s="1580">
        <f t="shared" ref="GJ227" si="487">IFERROR(GJ226/GE226-1,"")</f>
      </c>
    </row>
    <row r="228" spans="1:192" s="314" customFormat="1" ht="12.75" customHeight="1" collapsed="1">
      <c r="A228" s="793"/>
      <c r="B228" s="1581"/>
      <c r="C228" s="1571"/>
      <c r="D228" s="1571"/>
      <c r="E228" s="1571"/>
      <c r="F228" s="1571"/>
      <c r="G228" s="1572"/>
      <c r="H228" s="1571"/>
      <c r="I228" s="1571"/>
      <c r="J228" s="1571"/>
      <c r="K228" s="1571"/>
      <c r="L228" s="1572"/>
      <c r="M228" s="1571"/>
      <c r="N228" s="1571"/>
      <c r="O228" s="1571"/>
      <c r="P228" s="1571"/>
      <c r="Q228" s="1572"/>
      <c r="R228" s="1571"/>
      <c r="S228" s="1571"/>
      <c r="T228" s="1571"/>
      <c r="U228" s="1571"/>
      <c r="V228" s="1572"/>
      <c r="W228" s="1571"/>
      <c r="X228" s="1571"/>
      <c r="Y228" s="1571"/>
      <c r="Z228" s="1571"/>
      <c r="AA228" s="1572"/>
      <c r="AB228" s="1571"/>
      <c r="AC228" s="1571"/>
      <c r="AD228" s="1571"/>
      <c r="AE228" s="1571"/>
      <c r="AF228" s="1572"/>
      <c r="AG228" s="1571"/>
      <c r="AH228" s="1571"/>
      <c r="AI228" s="1571"/>
      <c r="AJ228" s="1571"/>
      <c r="AK228" s="1572"/>
      <c r="AL228" s="1571"/>
      <c r="AM228" s="1571"/>
      <c r="AN228" s="1571"/>
      <c r="AO228" s="1571"/>
      <c r="AP228" s="1572"/>
      <c r="AQ228" s="1571"/>
      <c r="AR228" s="1571"/>
      <c r="AS228" s="1571"/>
      <c r="AT228" s="1571"/>
      <c r="AU228" s="1572"/>
      <c r="AV228" s="1571"/>
      <c r="AW228" s="1571"/>
      <c r="AX228" s="1571"/>
      <c r="AY228" s="1571"/>
      <c r="AZ228" s="1572"/>
      <c r="BA228" s="1571"/>
      <c r="BB228" s="1571"/>
      <c r="BC228" s="1571"/>
      <c r="BD228" s="1571"/>
      <c r="BE228" s="1572"/>
      <c r="BF228" s="1571"/>
      <c r="BG228" s="1571"/>
      <c r="BH228" s="1571"/>
      <c r="BI228" s="1571"/>
      <c r="BJ228" s="1572"/>
      <c r="BK228" s="1571"/>
      <c r="BL228" s="1571"/>
      <c r="BM228" s="1571"/>
      <c r="BN228" s="1571"/>
      <c r="BO228" s="1572"/>
      <c r="BP228" s="1571"/>
      <c r="BQ228" s="1571"/>
      <c r="BR228" s="1571"/>
      <c r="BS228" s="1571"/>
      <c r="BT228" s="1572"/>
      <c r="BU228" s="1571"/>
      <c r="BV228" s="1571"/>
      <c r="BW228" s="1571"/>
      <c r="BX228" s="1571"/>
      <c r="BY228" s="1572"/>
      <c r="BZ228" s="1571"/>
      <c r="CA228" s="1571"/>
      <c r="CB228" s="1571"/>
      <c r="CC228" s="1571"/>
      <c r="CD228" s="1572"/>
      <c r="CE228" s="1571"/>
      <c r="CF228" s="1571"/>
      <c r="CG228" s="1571"/>
      <c r="CH228" s="1571"/>
      <c r="CI228" s="1572"/>
      <c r="CJ228" s="1571"/>
      <c r="CK228" s="1571"/>
      <c r="CL228" s="1571"/>
      <c r="CM228" s="1571"/>
      <c r="CN228" s="1572"/>
      <c r="CO228" s="1571"/>
      <c r="CP228" s="1571"/>
      <c r="CQ228" s="1571"/>
      <c r="CR228" s="1571"/>
      <c r="CS228" s="1572"/>
      <c r="CT228" s="1571"/>
      <c r="CU228" s="1571"/>
      <c r="CV228" s="1571"/>
      <c r="CW228" s="1571"/>
      <c r="CX228" s="1572"/>
      <c r="CY228" s="1571"/>
      <c r="CZ228" s="1571"/>
      <c r="DA228" s="1571"/>
      <c r="DB228" s="1571"/>
      <c r="DC228" s="1572"/>
      <c r="DD228" s="1571"/>
      <c r="DE228" s="1571"/>
      <c r="DF228" s="1571"/>
      <c r="DG228" s="1571"/>
      <c r="DH228" s="1572"/>
      <c r="DI228" s="1571"/>
      <c r="DJ228" s="1571"/>
      <c r="DK228" s="1571"/>
      <c r="DL228" s="1571"/>
      <c r="DM228" s="1572"/>
      <c r="DN228" s="1571"/>
      <c r="DO228" s="1571"/>
      <c r="DP228" s="1571"/>
      <c r="DQ228" s="1571"/>
      <c r="DR228" s="1572"/>
      <c r="DS228" s="1577"/>
      <c r="DT228" s="1577"/>
      <c r="DU228" s="1577"/>
      <c r="DV228" s="1577"/>
      <c r="DW228" s="1578"/>
      <c r="DX228" s="1577"/>
      <c r="DY228" s="1577"/>
      <c r="DZ228" s="1577"/>
      <c r="EA228" s="1577"/>
      <c r="EB228" s="1578"/>
      <c r="EC228" s="1577"/>
      <c r="ED228" s="1577"/>
      <c r="EE228" s="1577"/>
      <c r="EF228" s="1577"/>
      <c r="EG228" s="1578"/>
      <c r="EH228" s="1577"/>
      <c r="EI228" s="1577"/>
      <c r="EJ228" s="1577"/>
      <c r="EK228" s="1577"/>
      <c r="EL228" s="1578"/>
      <c r="EM228" s="1577"/>
      <c r="EN228" s="1577"/>
      <c r="EO228" s="1577"/>
      <c r="EP228" s="1577"/>
      <c r="EQ228" s="1578"/>
      <c r="ER228" s="1577"/>
      <c r="ES228" s="1577"/>
      <c r="ET228" s="1577"/>
      <c r="EU228" s="1577"/>
      <c r="EV228" s="1578"/>
      <c r="EW228" s="1577"/>
      <c r="EX228" s="1577"/>
      <c r="EY228" s="1577"/>
      <c r="EZ228" s="1577"/>
      <c r="FA228" s="1578"/>
      <c r="FB228" s="1579"/>
      <c r="FC228" s="1579"/>
      <c r="FD228" s="1579"/>
      <c r="FE228" s="1579"/>
      <c r="FF228" s="1578"/>
      <c r="FG228" s="1579"/>
      <c r="FH228" s="1579"/>
      <c r="FI228" s="1579"/>
      <c r="FJ228" s="1579"/>
      <c r="FK228" s="1578"/>
      <c r="FL228" s="1579"/>
      <c r="FM228" s="1579"/>
      <c r="FN228" s="1579"/>
      <c r="FO228" s="1579"/>
      <c r="FP228" s="1578"/>
      <c r="FQ228" s="1579"/>
      <c r="FR228" s="1579"/>
      <c r="FS228" s="1579"/>
      <c r="FT228" s="1579"/>
      <c r="FU228" s="1578"/>
      <c r="FV228" s="1579"/>
      <c r="FW228" s="1579"/>
      <c r="FX228" s="1579"/>
      <c r="FY228" s="1579"/>
      <c r="FZ228" s="1578"/>
      <c r="GA228" s="1579"/>
      <c r="GB228" s="1579"/>
      <c r="GC228" s="1579"/>
      <c r="GD228" s="1579"/>
      <c r="GE228" s="1578"/>
      <c r="GF228" s="1579"/>
      <c r="GG228" s="1579"/>
      <c r="GH228" s="1579"/>
      <c r="GI228" s="1579"/>
      <c r="GJ228" s="1578"/>
    </row>
    <row r="229" spans="1:192" s="1227" customFormat="1" ht="12.75" customHeight="1">
      <c r="A229" s="1224"/>
      <c r="B229" s="698" t="s">
        <v>614</v>
      </c>
      <c r="C229" s="1225"/>
      <c r="D229" s="1225"/>
      <c r="E229" s="1225"/>
      <c r="F229" s="1225"/>
      <c r="G229" s="1226"/>
      <c r="H229" s="1225"/>
      <c r="I229" s="1225"/>
      <c r="J229" s="1225"/>
      <c r="K229" s="1225"/>
      <c r="L229" s="1226"/>
      <c r="M229" s="1225"/>
      <c r="N229" s="1225"/>
      <c r="O229" s="1225"/>
      <c r="P229" s="1225"/>
      <c r="Q229" s="1226"/>
      <c r="R229" s="1225"/>
      <c r="S229" s="1225"/>
      <c r="T229" s="1225"/>
      <c r="U229" s="1225"/>
      <c r="V229" s="1226"/>
      <c r="W229" s="1225"/>
      <c r="X229" s="1225"/>
      <c r="Y229" s="1225"/>
      <c r="Z229" s="1225"/>
      <c r="AA229" s="1226"/>
      <c r="AB229" s="1225"/>
      <c r="AC229" s="1225"/>
      <c r="AD229" s="1225"/>
      <c r="AE229" s="1225"/>
      <c r="AF229" s="1226"/>
      <c r="AG229" s="1225"/>
      <c r="AH229" s="1225"/>
      <c r="AI229" s="1225"/>
      <c r="AJ229" s="1225"/>
      <c r="AK229" s="1226"/>
      <c r="AL229" s="1225"/>
      <c r="AM229" s="1225"/>
      <c r="AN229" s="1225"/>
      <c r="AO229" s="1225"/>
      <c r="AP229" s="1226"/>
      <c r="AQ229" s="1225"/>
      <c r="AR229" s="1225"/>
      <c r="AS229" s="1225"/>
      <c r="AT229" s="1225"/>
      <c r="AU229" s="1226"/>
      <c r="AV229" s="1225"/>
      <c r="AW229" s="1225"/>
      <c r="AX229" s="1225"/>
      <c r="AY229" s="1225"/>
      <c r="AZ229" s="1226"/>
      <c r="BA229" s="1229"/>
      <c r="BB229" s="1229"/>
      <c r="BC229" s="1229"/>
      <c r="BD229" s="1229"/>
      <c r="BE229" s="1230"/>
      <c r="BF229" s="1229"/>
      <c r="BG229" s="1229"/>
      <c r="BH229" s="1229"/>
      <c r="BI229" s="1229"/>
      <c r="BJ229" s="1230"/>
      <c r="BK229" s="1229"/>
      <c r="BL229" s="1229"/>
      <c r="BM229" s="1229"/>
      <c r="BN229" s="1229"/>
      <c r="BO229" s="1230"/>
      <c r="BP229" s="1229"/>
      <c r="BQ229" s="1229"/>
      <c r="BR229" s="1229"/>
      <c r="BS229" s="1229"/>
      <c r="BT229" s="1230"/>
      <c r="BU229" s="1229"/>
      <c r="BV229" s="1229"/>
      <c r="BW229" s="1229"/>
      <c r="BX229" s="1229"/>
      <c r="BY229" s="1230"/>
      <c r="BZ229" s="1229"/>
      <c r="CA229" s="1229"/>
      <c r="CB229" s="1229"/>
      <c r="CC229" s="1229"/>
      <c r="CD229" s="1230"/>
      <c r="CE229" s="1229"/>
      <c r="CF229" s="1229"/>
      <c r="CG229" s="1229"/>
      <c r="CH229" s="1229"/>
      <c r="CI229" s="1230"/>
      <c r="CJ229" s="1229"/>
      <c r="CK229" s="1229"/>
      <c r="CL229" s="1229"/>
      <c r="CM229" s="1229"/>
      <c r="CN229" s="1230"/>
      <c r="CO229" s="1229"/>
      <c r="CP229" s="1229"/>
      <c r="CQ229" s="1229"/>
      <c r="CR229" s="1229"/>
      <c r="CS229" s="1230"/>
      <c r="CT229" s="1229"/>
      <c r="CU229" s="1229"/>
      <c r="CV229" s="1229"/>
      <c r="CW229" s="1229"/>
      <c r="CX229" s="1230"/>
      <c r="CY229" s="1229"/>
      <c r="CZ229" s="1229"/>
      <c r="DA229" s="1229"/>
      <c r="DB229" s="1229"/>
      <c r="DC229" s="1230"/>
      <c r="DD229" s="1229"/>
      <c r="DE229" s="1229"/>
      <c r="DF229" s="1229"/>
      <c r="DG229" s="1229"/>
      <c r="DH229" s="1230"/>
      <c r="DI229" s="1229"/>
      <c r="DJ229" s="1229"/>
      <c r="DK229" s="1229"/>
      <c r="DL229" s="1229"/>
      <c r="DM229" s="1230"/>
      <c r="DN229" s="1229"/>
      <c r="DO229" s="1229"/>
      <c r="DP229" s="1229"/>
      <c r="DQ229" s="1229"/>
      <c r="DR229" s="1230"/>
      <c r="DS229" s="1229"/>
      <c r="DT229" s="1229"/>
      <c r="DU229" s="1229"/>
      <c r="DV229" s="1229"/>
      <c r="DW229" s="1230"/>
      <c r="DX229" s="1229"/>
      <c r="DY229" s="1229"/>
      <c r="DZ229" s="1229"/>
      <c r="EA229" s="1229"/>
      <c r="EB229" s="1230"/>
      <c r="EC229" s="1229"/>
      <c r="ED229" s="1229"/>
      <c r="EE229" s="1229"/>
      <c r="EF229" s="1229"/>
      <c r="EG229" s="1230"/>
      <c r="EH229" s="1229"/>
      <c r="EI229" s="1229"/>
      <c r="EJ229" s="1229"/>
      <c r="EK229" s="1229"/>
      <c r="EL229" s="1230"/>
      <c r="EM229" s="1229"/>
      <c r="EN229" s="1229"/>
      <c r="EO229" s="1229"/>
      <c r="EP229" s="1229"/>
      <c r="EQ229" s="1230"/>
      <c r="ER229" s="1229"/>
      <c r="ES229" s="1229"/>
      <c r="ET229" s="1229"/>
      <c r="EU229" s="1225"/>
      <c r="EV229" s="1230"/>
      <c r="EW229" s="1229"/>
      <c r="EX229" s="1229"/>
      <c r="EY229" s="1229"/>
      <c r="EZ229" s="1225"/>
      <c r="FA229" s="1230"/>
      <c r="FB229" s="1225"/>
      <c r="FC229" s="1225"/>
      <c r="FD229" s="1225"/>
      <c r="FE229" s="1225"/>
      <c r="FF229" s="1226"/>
      <c r="FG229" s="1225"/>
      <c r="FH229" s="1225"/>
      <c r="FI229" s="1225"/>
      <c r="FJ229" s="1225"/>
      <c r="FK229" s="1226"/>
      <c r="FL229" s="1225"/>
      <c r="FM229" s="1225"/>
      <c r="FN229" s="1225"/>
      <c r="FO229" s="1225"/>
      <c r="FP229" s="1226"/>
      <c r="FQ229" s="1225"/>
      <c r="FR229" s="1225"/>
      <c r="FS229" s="1225"/>
      <c r="FT229" s="1225"/>
      <c r="FU229" s="1226"/>
      <c r="FV229" s="1225"/>
      <c r="FW229" s="1225"/>
      <c r="FX229" s="1225"/>
      <c r="FY229" s="1225"/>
      <c r="FZ229" s="1226"/>
      <c r="GA229" s="1225"/>
      <c r="GB229" s="1225"/>
      <c r="GC229" s="1225"/>
      <c r="GD229" s="1225"/>
      <c r="GE229" s="1226"/>
      <c r="GF229" s="1225"/>
      <c r="GG229" s="1225"/>
      <c r="GH229" s="1225"/>
      <c r="GI229" s="1225"/>
      <c r="GJ229" s="1226"/>
    </row>
    <row r="230" spans="1:192" s="1227" customFormat="1" ht="12.75" hidden="1" customHeight="1" outlineLevel="1">
      <c r="A230" s="1224"/>
      <c r="B230" s="327" t="s">
        <v>620</v>
      </c>
      <c r="C230" s="1390">
        <f t="shared" ref="C230:AH230" si="488">C118</f>
      </c>
      <c r="D230" s="1390">
        <f t="shared" si="488"/>
      </c>
      <c r="E230" s="1390">
        <f t="shared" si="488"/>
      </c>
      <c r="F230" s="1390">
        <f t="shared" si="488"/>
      </c>
      <c r="G230" s="1175">
        <f t="shared" si="488"/>
      </c>
      <c r="H230" s="1390">
        <f t="shared" si="488"/>
      </c>
      <c r="I230" s="1390">
        <f t="shared" si="488"/>
      </c>
      <c r="J230" s="1390">
        <f t="shared" si="488"/>
      </c>
      <c r="K230" s="1390">
        <f t="shared" si="488"/>
      </c>
      <c r="L230" s="1175">
        <f t="shared" si="488"/>
      </c>
      <c r="M230" s="1390">
        <f t="shared" si="488"/>
      </c>
      <c r="N230" s="1390">
        <f t="shared" si="488"/>
      </c>
      <c r="O230" s="1390">
        <f t="shared" si="488"/>
      </c>
      <c r="P230" s="1390">
        <f t="shared" si="488"/>
      </c>
      <c r="Q230" s="1175">
        <f t="shared" si="488"/>
      </c>
      <c r="R230" s="1390">
        <f t="shared" si="488"/>
      </c>
      <c r="S230" s="1390">
        <f t="shared" si="488"/>
      </c>
      <c r="T230" s="1390">
        <f t="shared" si="488"/>
      </c>
      <c r="U230" s="1390">
        <f t="shared" si="488"/>
      </c>
      <c r="V230" s="1175">
        <f t="shared" si="488"/>
      </c>
      <c r="W230" s="1390">
        <f t="shared" si="488"/>
      </c>
      <c r="X230" s="1390">
        <f t="shared" si="488"/>
      </c>
      <c r="Y230" s="1390">
        <f t="shared" si="488"/>
      </c>
      <c r="Z230" s="1390">
        <f t="shared" si="488"/>
      </c>
      <c r="AA230" s="1175">
        <f t="shared" si="488"/>
      </c>
      <c r="AB230" s="1390">
        <f t="shared" si="488"/>
      </c>
      <c r="AC230" s="1390">
        <f t="shared" si="488"/>
      </c>
      <c r="AD230" s="1390">
        <f t="shared" si="488"/>
      </c>
      <c r="AE230" s="1390">
        <f t="shared" si="488"/>
      </c>
      <c r="AF230" s="1175">
        <f t="shared" si="488"/>
      </c>
      <c r="AG230" s="1390">
        <f t="shared" si="488"/>
      </c>
      <c r="AH230" s="1390">
        <f t="shared" si="488"/>
      </c>
      <c r="AI230" s="1390">
        <f t="shared" ref="AI230:BN230" si="489">AI118</f>
      </c>
      <c r="AJ230" s="1390">
        <f t="shared" si="489"/>
      </c>
      <c r="AK230" s="1175">
        <f t="shared" si="489"/>
      </c>
      <c r="AL230" s="1390">
        <f t="shared" si="489"/>
      </c>
      <c r="AM230" s="1390">
        <f t="shared" si="489"/>
      </c>
      <c r="AN230" s="1390">
        <f t="shared" si="489"/>
      </c>
      <c r="AO230" s="1390">
        <f t="shared" si="489"/>
      </c>
      <c r="AP230" s="1175">
        <f t="shared" si="489"/>
      </c>
      <c r="AQ230" s="1390">
        <f t="shared" si="489"/>
      </c>
      <c r="AR230" s="1390">
        <f t="shared" si="489"/>
      </c>
      <c r="AS230" s="1390">
        <f t="shared" si="489"/>
      </c>
      <c r="AT230" s="1390">
        <f t="shared" si="489"/>
      </c>
      <c r="AU230" s="1175">
        <f t="shared" si="489"/>
      </c>
      <c r="AV230" s="1390">
        <f t="shared" si="489"/>
      </c>
      <c r="AW230" s="1390">
        <f t="shared" si="489"/>
      </c>
      <c r="AX230" s="1390">
        <f t="shared" si="489"/>
      </c>
      <c r="AY230" s="1390">
        <f t="shared" si="489"/>
      </c>
      <c r="AZ230" s="1175">
        <f t="shared" si="489"/>
      </c>
      <c r="BA230" s="1390">
        <f t="shared" si="489"/>
      </c>
      <c r="BB230" s="1390">
        <f t="shared" si="489"/>
      </c>
      <c r="BC230" s="1390">
        <f t="shared" si="489"/>
      </c>
      <c r="BD230" s="1390">
        <f t="shared" si="489"/>
      </c>
      <c r="BE230" s="1391">
        <f t="shared" si="489"/>
      </c>
      <c r="BF230" s="1390">
        <f t="shared" si="489"/>
      </c>
      <c r="BG230" s="1390">
        <f t="shared" si="489"/>
      </c>
      <c r="BH230" s="1390">
        <f t="shared" si="489"/>
      </c>
      <c r="BI230" s="1390">
        <f t="shared" si="489"/>
      </c>
      <c r="BJ230" s="1391">
        <f t="shared" si="489"/>
      </c>
      <c r="BK230" s="1390">
        <f t="shared" si="489"/>
      </c>
      <c r="BL230" s="1390">
        <f t="shared" si="489"/>
      </c>
      <c r="BM230" s="1390">
        <f t="shared" si="489"/>
      </c>
      <c r="BN230" s="1390">
        <f t="shared" si="489"/>
      </c>
      <c r="BO230" s="1391">
        <f t="shared" ref="BO230:CT230" si="490">BO118</f>
      </c>
      <c r="BP230" s="1390">
        <f t="shared" si="490"/>
      </c>
      <c r="BQ230" s="1390">
        <f t="shared" si="490"/>
      </c>
      <c r="BR230" s="1390">
        <f t="shared" si="490"/>
      </c>
      <c r="BS230" s="1390">
        <f t="shared" si="490"/>
      </c>
      <c r="BT230" s="1391">
        <f t="shared" si="490"/>
      </c>
      <c r="BU230" s="1390">
        <f t="shared" si="490"/>
      </c>
      <c r="BV230" s="1390">
        <f t="shared" si="490"/>
      </c>
      <c r="BW230" s="1390">
        <f t="shared" si="490"/>
      </c>
      <c r="BX230" s="1390">
        <f t="shared" si="490"/>
      </c>
      <c r="BY230" s="1391">
        <f t="shared" si="490"/>
      </c>
      <c r="BZ230" s="1390">
        <f t="shared" si="490"/>
      </c>
      <c r="CA230" s="1390">
        <f t="shared" si="490"/>
      </c>
      <c r="CB230" s="1390">
        <f t="shared" si="490"/>
      </c>
      <c r="CC230" s="1390">
        <f t="shared" si="490"/>
      </c>
      <c r="CD230" s="1391">
        <f t="shared" si="490"/>
      </c>
      <c r="CE230" s="1390">
        <f t="shared" si="490"/>
      </c>
      <c r="CF230" s="1390">
        <f t="shared" si="490"/>
      </c>
      <c r="CG230" s="1390">
        <f t="shared" si="490"/>
      </c>
      <c r="CH230" s="1390">
        <f t="shared" si="490"/>
      </c>
      <c r="CI230" s="1391">
        <f t="shared" si="490"/>
      </c>
      <c r="CJ230" s="1390">
        <f t="shared" si="490"/>
      </c>
      <c r="CK230" s="1390">
        <f t="shared" si="490"/>
      </c>
      <c r="CL230" s="1390">
        <f t="shared" si="490"/>
      </c>
      <c r="CM230" s="1390">
        <f t="shared" si="490"/>
      </c>
      <c r="CN230" s="1391">
        <f t="shared" si="490"/>
      </c>
      <c r="CO230" s="1390">
        <f t="shared" si="490"/>
      </c>
      <c r="CP230" s="1390">
        <f t="shared" si="490"/>
      </c>
      <c r="CQ230" s="1390">
        <f t="shared" si="490"/>
      </c>
      <c r="CR230" s="1390">
        <f t="shared" si="490"/>
      </c>
      <c r="CS230" s="1391">
        <f t="shared" si="490"/>
      </c>
      <c r="CT230" s="1390">
        <f t="shared" si="490"/>
      </c>
      <c r="CU230" s="1390">
        <f t="shared" ref="CU230:DZ230" si="491">CU118</f>
      </c>
      <c r="CV230" s="1390">
        <f t="shared" si="491"/>
      </c>
      <c r="CW230" s="1390">
        <f t="shared" si="491"/>
      </c>
      <c r="CX230" s="1391">
        <f t="shared" si="491"/>
      </c>
      <c r="CY230" s="1390">
        <f t="shared" si="491"/>
      </c>
      <c r="CZ230" s="1390">
        <f t="shared" si="491"/>
      </c>
      <c r="DA230" s="1390">
        <f t="shared" si="491"/>
      </c>
      <c r="DB230" s="1390">
        <f t="shared" si="491"/>
      </c>
      <c r="DC230" s="1391">
        <f t="shared" si="491"/>
      </c>
      <c r="DD230" s="1390">
        <f t="shared" si="491"/>
      </c>
      <c r="DE230" s="1390">
        <f t="shared" si="491"/>
      </c>
      <c r="DF230" s="1390">
        <f t="shared" si="491"/>
      </c>
      <c r="DG230" s="1390">
        <f t="shared" si="491"/>
      </c>
      <c r="DH230" s="1391">
        <f t="shared" si="491"/>
      </c>
      <c r="DI230" s="1390">
        <f t="shared" si="491"/>
      </c>
      <c r="DJ230" s="1390">
        <f t="shared" si="491"/>
      </c>
      <c r="DK230" s="1390">
        <f t="shared" si="491"/>
      </c>
      <c r="DL230" s="1390">
        <f t="shared" si="491"/>
      </c>
      <c r="DM230" s="1391">
        <f t="shared" si="491"/>
      </c>
      <c r="DN230" s="1390">
        <f t="shared" si="491"/>
      </c>
      <c r="DO230" s="1390">
        <f t="shared" si="491"/>
      </c>
      <c r="DP230" s="1390">
        <f t="shared" si="491"/>
      </c>
      <c r="DQ230" s="1390">
        <f t="shared" si="491"/>
      </c>
      <c r="DR230" s="1391">
        <f t="shared" si="491"/>
      </c>
      <c r="DS230" s="1390">
        <f t="shared" si="491"/>
      </c>
      <c r="DT230" s="1390">
        <f t="shared" si="491"/>
      </c>
      <c r="DU230" s="1390">
        <f t="shared" si="491"/>
      </c>
      <c r="DV230" s="1390">
        <f t="shared" si="491"/>
      </c>
      <c r="DW230" s="1391">
        <f t="shared" si="491"/>
      </c>
      <c r="DX230" s="1390">
        <f t="shared" si="491"/>
      </c>
      <c r="DY230" s="1390">
        <f t="shared" si="491"/>
      </c>
      <c r="DZ230" s="1390">
        <f t="shared" si="491"/>
      </c>
      <c r="EA230" s="1390">
        <f t="shared" ref="EA230:FF230" si="492">EA118</f>
      </c>
      <c r="EB230" s="1391">
        <f t="shared" si="492"/>
      </c>
      <c r="EC230" s="1390">
        <f t="shared" si="492"/>
      </c>
      <c r="ED230" s="1390">
        <f t="shared" si="492"/>
      </c>
      <c r="EE230" s="1390">
        <f t="shared" si="492"/>
      </c>
      <c r="EF230" s="1390">
        <f t="shared" si="492"/>
      </c>
      <c r="EG230" s="1391">
        <f t="shared" si="492"/>
      </c>
      <c r="EH230" s="1390">
        <f t="shared" si="492"/>
      </c>
      <c r="EI230" s="1390">
        <f t="shared" si="492"/>
      </c>
      <c r="EJ230" s="1390">
        <f t="shared" si="492"/>
      </c>
      <c r="EK230" s="1390">
        <f t="shared" si="492"/>
      </c>
      <c r="EL230" s="1391">
        <f t="shared" si="492"/>
      </c>
      <c r="EM230" s="1390">
        <f t="shared" si="492"/>
      </c>
      <c r="EN230" s="1390">
        <f t="shared" si="492"/>
      </c>
      <c r="EO230" s="1390">
        <f t="shared" si="492"/>
      </c>
      <c r="EP230" s="1390">
        <f t="shared" si="492"/>
      </c>
      <c r="EQ230" s="1391">
        <f t="shared" si="492"/>
      </c>
      <c r="ER230" s="1390">
        <f t="shared" si="492"/>
      </c>
      <c r="ES230" s="1390">
        <f t="shared" si="492"/>
      </c>
      <c r="ET230" s="1390">
        <f t="shared" si="492"/>
      </c>
      <c r="EU230" s="1390">
        <f t="shared" si="492"/>
      </c>
      <c r="EV230" s="1391">
        <f t="shared" si="492"/>
      </c>
      <c r="EW230" s="1390">
        <f t="shared" ref="EW230:FA230" si="493">EW118</f>
      </c>
      <c r="EX230" s="1390">
        <f t="shared" si="493"/>
      </c>
      <c r="EY230" s="1390">
        <f t="shared" si="493"/>
      </c>
      <c r="EZ230" s="1390">
        <f t="shared" si="493"/>
      </c>
      <c r="FA230" s="1391">
        <f t="shared" si="493"/>
      </c>
      <c r="FB230" s="1390">
        <f t="shared" si="492"/>
      </c>
      <c r="FC230" s="1390">
        <f t="shared" si="492"/>
      </c>
      <c r="FD230" s="1390">
        <f t="shared" si="492"/>
      </c>
      <c r="FE230" s="1390">
        <f t="shared" si="492"/>
      </c>
      <c r="FF230" s="1175">
        <f t="shared" si="492"/>
      </c>
      <c r="FG230" s="1390">
        <f t="shared" ref="FG230:GE230" si="494">FG118</f>
      </c>
      <c r="FH230" s="1390">
        <f t="shared" si="494"/>
      </c>
      <c r="FI230" s="1390">
        <f t="shared" si="494"/>
      </c>
      <c r="FJ230" s="1390">
        <f t="shared" si="494"/>
      </c>
      <c r="FK230" s="1175">
        <f t="shared" si="494"/>
      </c>
      <c r="FL230" s="1390">
        <f t="shared" si="494"/>
      </c>
      <c r="FM230" s="1390">
        <f t="shared" si="494"/>
      </c>
      <c r="FN230" s="1390">
        <f t="shared" si="494"/>
      </c>
      <c r="FO230" s="1390">
        <f t="shared" si="494"/>
      </c>
      <c r="FP230" s="1175">
        <f t="shared" si="494"/>
      </c>
      <c r="FQ230" s="1390">
        <f t="shared" si="494"/>
      </c>
      <c r="FR230" s="1390">
        <f t="shared" si="494"/>
      </c>
      <c r="FS230" s="1390">
        <f t="shared" si="494"/>
      </c>
      <c r="FT230" s="1390">
        <f t="shared" si="494"/>
      </c>
      <c r="FU230" s="1175">
        <f t="shared" si="494"/>
      </c>
      <c r="FV230" s="1390">
        <f t="shared" si="494"/>
      </c>
      <c r="FW230" s="1390">
        <f t="shared" si="494"/>
      </c>
      <c r="FX230" s="1390">
        <f t="shared" si="494"/>
      </c>
      <c r="FY230" s="1390">
        <f t="shared" si="494"/>
      </c>
      <c r="FZ230" s="1175">
        <f t="shared" si="494"/>
      </c>
      <c r="GA230" s="1390">
        <f t="shared" si="494"/>
      </c>
      <c r="GB230" s="1390">
        <f t="shared" si="494"/>
      </c>
      <c r="GC230" s="1390">
        <f t="shared" si="494"/>
      </c>
      <c r="GD230" s="1390">
        <f t="shared" si="494"/>
      </c>
      <c r="GE230" s="1175">
        <f t="shared" si="494"/>
      </c>
      <c r="GF230" s="1390">
        <f t="shared" ref="GF230:GJ230" si="495">GF118</f>
      </c>
      <c r="GG230" s="1390">
        <f t="shared" si="495"/>
      </c>
      <c r="GH230" s="1390">
        <f t="shared" si="495"/>
      </c>
      <c r="GI230" s="1390">
        <f t="shared" si="495"/>
      </c>
      <c r="GJ230" s="1175">
        <f t="shared" si="495"/>
      </c>
    </row>
    <row r="231" spans="1:192" s="314" customFormat="1" ht="12.75" hidden="1" customHeight="1" outlineLevel="1">
      <c r="A231" s="279"/>
      <c r="B231" s="327" t="s">
        <v>1903</v>
      </c>
      <c r="C231" s="1394">
        <f>CF!C13</f>
      </c>
      <c r="D231" s="1394">
        <f>CF!D13</f>
      </c>
      <c r="E231" s="1394">
        <f>CF!E13</f>
      </c>
      <c r="F231" s="1394">
        <f>CF!F13</f>
      </c>
      <c r="G231" s="1395">
        <f>CF!G13</f>
      </c>
      <c r="H231" s="1394">
        <f>CF!H13</f>
      </c>
      <c r="I231" s="1394">
        <f>CF!I13</f>
      </c>
      <c r="J231" s="1394">
        <f>CF!J13</f>
      </c>
      <c r="K231" s="1394">
        <f>CF!K13</f>
      </c>
      <c r="L231" s="1395">
        <f>CF!L13</f>
      </c>
      <c r="M231" s="1394">
        <f>CF!M13</f>
      </c>
      <c r="N231" s="1394">
        <f>CF!N13</f>
      </c>
      <c r="O231" s="1394">
        <f>CF!O13</f>
      </c>
      <c r="P231" s="1394">
        <f>CF!P13</f>
      </c>
      <c r="Q231" s="1395">
        <f>CF!Q13</f>
      </c>
      <c r="R231" s="1394">
        <f>CF!R13</f>
      </c>
      <c r="S231" s="1394">
        <f>CF!S13</f>
      </c>
      <c r="T231" s="1394">
        <f>CF!T13</f>
      </c>
      <c r="U231" s="1394">
        <f>CF!U13</f>
      </c>
      <c r="V231" s="1395">
        <f>CF!V13</f>
      </c>
      <c r="W231" s="1394">
        <f>CF!W13</f>
      </c>
      <c r="X231" s="1394">
        <f>CF!X13</f>
      </c>
      <c r="Y231" s="1394">
        <f>CF!Y13</f>
      </c>
      <c r="Z231" s="1394">
        <f>CF!Z13</f>
      </c>
      <c r="AA231" s="1395">
        <f>CF!AA13</f>
      </c>
      <c r="AB231" s="1394">
        <f>CF!AB13</f>
      </c>
      <c r="AC231" s="1394">
        <f>CF!AC13</f>
      </c>
      <c r="AD231" s="1394">
        <f>CF!AD13</f>
      </c>
      <c r="AE231" s="1394">
        <f>CF!AE13</f>
      </c>
      <c r="AF231" s="1395">
        <f>CF!AF13</f>
      </c>
      <c r="AG231" s="1394">
        <f>CF!AG13</f>
      </c>
      <c r="AH231" s="1394">
        <f>CF!AH13</f>
      </c>
      <c r="AI231" s="1394">
        <f>CF!AI13</f>
      </c>
      <c r="AJ231" s="1394">
        <f>CF!AJ13</f>
      </c>
      <c r="AK231" s="1395">
        <f>CF!AK13</f>
      </c>
      <c r="AL231" s="1394">
        <f>CF!AL13</f>
      </c>
      <c r="AM231" s="1394">
        <f>CF!AM13</f>
      </c>
      <c r="AN231" s="1394">
        <f>CF!AN13</f>
      </c>
      <c r="AO231" s="1394">
        <f>CF!AO13</f>
      </c>
      <c r="AP231" s="1395">
        <f>CF!AP13</f>
      </c>
      <c r="AQ231" s="1394">
        <f>CF!AQ13</f>
      </c>
      <c r="AR231" s="1394">
        <f>CF!AR13</f>
      </c>
      <c r="AS231" s="1394">
        <f>CF!AS13</f>
      </c>
      <c r="AT231" s="1394">
        <f>CF!AT13</f>
      </c>
      <c r="AU231" s="1395">
        <f>CF!AU13</f>
      </c>
      <c r="AV231" s="1394">
        <f>CF!AV13</f>
      </c>
      <c r="AW231" s="1394">
        <f>CF!AW13</f>
      </c>
      <c r="AX231" s="1394">
        <f>CF!AX13</f>
      </c>
      <c r="AY231" s="1394">
        <f>CF!AY13</f>
      </c>
      <c r="AZ231" s="1395">
        <f>CF!AZ13</f>
      </c>
      <c r="BA231" s="1394">
        <f>CF!BA13</f>
      </c>
      <c r="BB231" s="1394">
        <f>CF!BB13</f>
      </c>
      <c r="BC231" s="1394">
        <f>CF!BC13</f>
      </c>
      <c r="BD231" s="1394">
        <f>CF!BD13</f>
      </c>
      <c r="BE231" s="691">
        <f>CF!BE13</f>
      </c>
      <c r="BF231" s="1394">
        <f>CF!BF13</f>
      </c>
      <c r="BG231" s="1394">
        <f>CF!BG13</f>
      </c>
      <c r="BH231" s="1394">
        <f>CF!BH13</f>
      </c>
      <c r="BI231" s="1394">
        <f>CF!BI13</f>
      </c>
      <c r="BJ231" s="691">
        <f>CF!BJ13</f>
      </c>
      <c r="BK231" s="1394">
        <f>CF!BK13</f>
      </c>
      <c r="BL231" s="1394">
        <f>CF!BL13</f>
      </c>
      <c r="BM231" s="1394">
        <f>CF!BM13</f>
      </c>
      <c r="BN231" s="1394">
        <f>CF!BN13</f>
      </c>
      <c r="BO231" s="691">
        <f>CF!BO13</f>
      </c>
      <c r="BP231" s="1394">
        <f>CF!BP13</f>
      </c>
      <c r="BQ231" s="1394">
        <f>CF!BQ13</f>
      </c>
      <c r="BR231" s="1394">
        <f>CF!BR13</f>
      </c>
      <c r="BS231" s="1394">
        <f>CF!BS13</f>
      </c>
      <c r="BT231" s="691">
        <f>CF!BT13</f>
      </c>
      <c r="BU231" s="1394">
        <f>CF!BU13</f>
      </c>
      <c r="BV231" s="1394">
        <f>CF!BV13</f>
      </c>
      <c r="BW231" s="1394">
        <f>CF!BW13</f>
      </c>
      <c r="BX231" s="1394">
        <f>CF!BX13</f>
      </c>
      <c r="BY231" s="691">
        <f>CF!BY13</f>
      </c>
      <c r="BZ231" s="1394">
        <f>CF!BZ13</f>
      </c>
      <c r="CA231" s="1394">
        <f>CF!CA13</f>
      </c>
      <c r="CB231" s="1394">
        <f>CF!CB13</f>
      </c>
      <c r="CC231" s="1394">
        <f>CF!CC13</f>
      </c>
      <c r="CD231" s="691">
        <f>CF!CD13</f>
      </c>
      <c r="CE231" s="1394">
        <f>CF!CE13</f>
      </c>
      <c r="CF231" s="1394">
        <f>CF!CF13</f>
      </c>
      <c r="CG231" s="1394">
        <f>CF!CG13</f>
      </c>
      <c r="CH231" s="1394">
        <f>CF!CH13</f>
      </c>
      <c r="CI231" s="691">
        <f>CF!CI13</f>
      </c>
      <c r="CJ231" s="1394">
        <f>CF!CJ13</f>
      </c>
      <c r="CK231" s="1394">
        <f>CF!CK13</f>
      </c>
      <c r="CL231" s="1394">
        <f>CF!CL13</f>
      </c>
      <c r="CM231" s="1394">
        <f>CF!CM13</f>
      </c>
      <c r="CN231" s="691">
        <f>CF!CN13</f>
      </c>
      <c r="CO231" s="1394">
        <f>CF!CO13</f>
      </c>
      <c r="CP231" s="1394">
        <f>CF!CP13</f>
      </c>
      <c r="CQ231" s="1394">
        <f>CF!CQ13</f>
      </c>
      <c r="CR231" s="1394">
        <f>CF!CR13</f>
      </c>
      <c r="CS231" s="691">
        <f>CF!CS13</f>
      </c>
      <c r="CT231" s="1394">
        <f>CF!CT13</f>
      </c>
      <c r="CU231" s="1394">
        <f>CF!CU13</f>
      </c>
      <c r="CV231" s="1394">
        <f>CF!CV13</f>
      </c>
      <c r="CW231" s="1394">
        <f>CF!CW13</f>
      </c>
      <c r="CX231" s="691">
        <f>CF!CX13</f>
      </c>
      <c r="CY231" s="1394">
        <f>CF!CY13</f>
      </c>
      <c r="CZ231" s="1394">
        <f>CF!CZ13</f>
      </c>
      <c r="DA231" s="1394">
        <f>CF!DA13</f>
      </c>
      <c r="DB231" s="1394">
        <f>CF!DB13</f>
      </c>
      <c r="DC231" s="691">
        <f>CF!DC13</f>
      </c>
      <c r="DD231" s="1394">
        <f>CF!DD13</f>
      </c>
      <c r="DE231" s="1394">
        <f>CF!DE13</f>
      </c>
      <c r="DF231" s="1394">
        <f>CF!DF13</f>
      </c>
      <c r="DG231" s="1394">
        <f>CF!DG13</f>
      </c>
      <c r="DH231" s="691">
        <f>CF!DH13</f>
      </c>
      <c r="DI231" s="1394">
        <f>CF!DI13</f>
      </c>
      <c r="DJ231" s="1394">
        <f>CF!DJ13</f>
      </c>
      <c r="DK231" s="1394">
        <f>CF!DK13</f>
      </c>
      <c r="DL231" s="1394">
        <f>CF!DL13</f>
      </c>
      <c r="DM231" s="691">
        <f>CF!DM13</f>
      </c>
      <c r="DN231" s="1394">
        <f>CF!DN13</f>
      </c>
      <c r="DO231" s="1394">
        <f>CF!DO13</f>
      </c>
      <c r="DP231" s="1394">
        <f>CF!DP13</f>
      </c>
      <c r="DQ231" s="1394">
        <f>CF!DQ13</f>
      </c>
      <c r="DR231" s="691">
        <f>CF!DR13</f>
      </c>
      <c r="DS231" s="1394">
        <f>CF!DS13</f>
      </c>
      <c r="DT231" s="1394">
        <f>CF!DT13</f>
      </c>
      <c r="DU231" s="1394">
        <f>CF!DU13</f>
      </c>
      <c r="DV231" s="1394">
        <f>CF!DV13</f>
      </c>
      <c r="DW231" s="691">
        <f>CF!DW13</f>
      </c>
      <c r="DX231" s="1394">
        <f>CF!DX13</f>
      </c>
      <c r="DY231" s="1394">
        <f>CF!DY13</f>
      </c>
      <c r="DZ231" s="1394">
        <f>CF!DZ13</f>
      </c>
      <c r="EA231" s="1394">
        <f>CF!EA13</f>
      </c>
      <c r="EB231" s="691">
        <f>CF!EB13</f>
      </c>
      <c r="EC231" s="1394">
        <f>CF!EC13</f>
      </c>
      <c r="ED231" s="1394">
        <f>CF!ED13</f>
      </c>
      <c r="EE231" s="1394">
        <f>CF!EE13</f>
      </c>
      <c r="EF231" s="1394">
        <f>CF!EF13</f>
      </c>
      <c r="EG231" s="691">
        <f>CF!EG13</f>
      </c>
      <c r="EH231" s="1394">
        <f>CF!EH13</f>
      </c>
      <c r="EI231" s="1394">
        <f>CF!EI13</f>
      </c>
      <c r="EJ231" s="1394">
        <f>CF!EJ13</f>
      </c>
      <c r="EK231" s="1394">
        <f>CF!EK13</f>
      </c>
      <c r="EL231" s="691">
        <f>CF!EL13</f>
      </c>
      <c r="EM231" s="1394">
        <f>CF!EM13</f>
      </c>
      <c r="EN231" s="1394">
        <f>CF!EN13</f>
      </c>
      <c r="EO231" s="1394">
        <f>CF!EO13</f>
      </c>
      <c r="EP231" s="1394">
        <f>CF!EP13</f>
      </c>
      <c r="EQ231" s="691">
        <f>CF!EQ13</f>
      </c>
      <c r="ER231" s="1394">
        <f>CF!ER13</f>
      </c>
      <c r="ES231" s="1394">
        <f>CF!ES13</f>
      </c>
      <c r="ET231" s="1394">
        <f>CF!ET13</f>
      </c>
      <c r="EU231" s="1394">
        <f>CF!EU13</f>
      </c>
      <c r="EV231" s="691">
        <f>CF!EV13</f>
      </c>
      <c r="EW231" s="1394">
        <f>CF!EW13</f>
      </c>
      <c r="EX231" s="1394">
        <f>CF!EX13</f>
      </c>
      <c r="EY231" s="1394">
        <f>CF!EY13</f>
      </c>
      <c r="EZ231" s="1394">
        <f>CF!EZ13</f>
      </c>
      <c r="FA231" s="691">
        <f>CF!FA13</f>
      </c>
      <c r="FB231" s="1394">
        <f>CF!FB13</f>
      </c>
      <c r="FC231" s="1394">
        <f>CF!FC13</f>
      </c>
      <c r="FD231" s="1394">
        <f>CF!FD13</f>
      </c>
      <c r="FE231" s="1394">
        <f>CF!FE13</f>
      </c>
      <c r="FF231" s="1395">
        <f>CF!FF13</f>
      </c>
      <c r="FG231" s="1394">
        <f>CF!FG13</f>
      </c>
      <c r="FH231" s="1394">
        <f>CF!FH13</f>
      </c>
      <c r="FI231" s="1394">
        <f>CF!FI13</f>
      </c>
      <c r="FJ231" s="1394">
        <f>CF!FJ13</f>
      </c>
      <c r="FK231" s="1395">
        <f>CF!FK13</f>
      </c>
      <c r="FL231" s="1394">
        <f>CF!FL13</f>
      </c>
      <c r="FM231" s="1394">
        <f>CF!FM13</f>
      </c>
      <c r="FN231" s="1394">
        <f>CF!FN13</f>
      </c>
      <c r="FO231" s="1394">
        <f>CF!FO13</f>
      </c>
      <c r="FP231" s="1395">
        <f>CF!FP13</f>
      </c>
      <c r="FQ231" s="1394">
        <f>CF!FQ13</f>
      </c>
      <c r="FR231" s="1394">
        <f>CF!FR13</f>
      </c>
      <c r="FS231" s="1394">
        <f>CF!FS13</f>
      </c>
      <c r="FT231" s="1394">
        <f>CF!FT13</f>
      </c>
      <c r="FU231" s="1395">
        <f>CF!FU13</f>
      </c>
      <c r="FV231" s="1394">
        <f>CF!FV13</f>
      </c>
      <c r="FW231" s="1394">
        <f>CF!FW13</f>
      </c>
      <c r="FX231" s="1394">
        <f>CF!FX13</f>
      </c>
      <c r="FY231" s="1394">
        <f>CF!FY13</f>
      </c>
      <c r="FZ231" s="1395">
        <f>CF!FZ13</f>
      </c>
      <c r="GA231" s="1394">
        <f>CF!GA13</f>
      </c>
      <c r="GB231" s="1394">
        <f>CF!GB13</f>
      </c>
      <c r="GC231" s="1394">
        <f>CF!GC13</f>
      </c>
      <c r="GD231" s="1394">
        <f>CF!GD13</f>
      </c>
      <c r="GE231" s="1395">
        <f>CF!GE13</f>
      </c>
      <c r="GF231" s="1394">
        <f>CF!GF13</f>
      </c>
      <c r="GG231" s="1394">
        <f>CF!GG13</f>
      </c>
      <c r="GH231" s="1394">
        <f>CF!GH13</f>
      </c>
      <c r="GI231" s="1394">
        <f>CF!GI13</f>
      </c>
      <c r="GJ231" s="1395">
        <f>CF!GJ13</f>
      </c>
    </row>
    <row r="232" spans="1:192" s="314" customFormat="1" ht="12.75" hidden="1" customHeight="1" outlineLevel="1">
      <c r="A232" s="793"/>
      <c r="B232" s="621" t="s">
        <v>614</v>
      </c>
      <c r="C232" s="636">
        <f t="shared" ref="C232:AH232" si="496">C230+C231</f>
      </c>
      <c r="D232" s="636">
        <f t="shared" si="496"/>
      </c>
      <c r="E232" s="636">
        <f t="shared" si="496"/>
      </c>
      <c r="F232" s="636">
        <f t="shared" si="496"/>
      </c>
      <c r="G232" s="637">
        <f t="shared" si="496"/>
      </c>
      <c r="H232" s="636">
        <f t="shared" si="496"/>
      </c>
      <c r="I232" s="636">
        <f t="shared" si="496"/>
      </c>
      <c r="J232" s="636">
        <f t="shared" si="496"/>
      </c>
      <c r="K232" s="636">
        <f t="shared" si="496"/>
      </c>
      <c r="L232" s="637">
        <f t="shared" si="496"/>
      </c>
      <c r="M232" s="636">
        <f t="shared" si="496"/>
      </c>
      <c r="N232" s="636">
        <f t="shared" si="496"/>
      </c>
      <c r="O232" s="636">
        <f t="shared" si="496"/>
      </c>
      <c r="P232" s="636">
        <f t="shared" si="496"/>
      </c>
      <c r="Q232" s="637">
        <f t="shared" si="496"/>
      </c>
      <c r="R232" s="636">
        <f t="shared" si="496"/>
      </c>
      <c r="S232" s="636">
        <f t="shared" si="496"/>
      </c>
      <c r="T232" s="636">
        <f t="shared" si="496"/>
      </c>
      <c r="U232" s="636">
        <f t="shared" si="496"/>
      </c>
      <c r="V232" s="637">
        <f t="shared" si="496"/>
      </c>
      <c r="W232" s="636">
        <f t="shared" si="496"/>
      </c>
      <c r="X232" s="636">
        <f t="shared" si="496"/>
      </c>
      <c r="Y232" s="636">
        <f t="shared" si="496"/>
      </c>
      <c r="Z232" s="636">
        <f t="shared" si="496"/>
      </c>
      <c r="AA232" s="637">
        <f t="shared" si="496"/>
      </c>
      <c r="AB232" s="636">
        <f t="shared" si="496"/>
      </c>
      <c r="AC232" s="636">
        <f t="shared" si="496"/>
      </c>
      <c r="AD232" s="636">
        <f t="shared" si="496"/>
      </c>
      <c r="AE232" s="636">
        <f t="shared" si="496"/>
      </c>
      <c r="AF232" s="637">
        <f t="shared" si="496"/>
      </c>
      <c r="AG232" s="636">
        <f t="shared" si="496"/>
      </c>
      <c r="AH232" s="636">
        <f t="shared" si="496"/>
      </c>
      <c r="AI232" s="636">
        <f t="shared" ref="AI232:BN232" si="497">AI230+AI231</f>
      </c>
      <c r="AJ232" s="636">
        <f t="shared" si="497"/>
      </c>
      <c r="AK232" s="637">
        <f t="shared" si="497"/>
      </c>
      <c r="AL232" s="636">
        <f t="shared" si="497"/>
      </c>
      <c r="AM232" s="636">
        <f t="shared" si="497"/>
      </c>
      <c r="AN232" s="636">
        <f t="shared" si="497"/>
      </c>
      <c r="AO232" s="636">
        <f t="shared" si="497"/>
      </c>
      <c r="AP232" s="637">
        <f t="shared" si="497"/>
      </c>
      <c r="AQ232" s="636">
        <f t="shared" si="497"/>
      </c>
      <c r="AR232" s="636">
        <f t="shared" si="497"/>
      </c>
      <c r="AS232" s="636">
        <f t="shared" si="497"/>
      </c>
      <c r="AT232" s="636">
        <f t="shared" si="497"/>
      </c>
      <c r="AU232" s="637">
        <f t="shared" si="497"/>
      </c>
      <c r="AV232" s="636">
        <f t="shared" si="497"/>
      </c>
      <c r="AW232" s="636">
        <f t="shared" si="497"/>
      </c>
      <c r="AX232" s="636">
        <f t="shared" si="497"/>
      </c>
      <c r="AY232" s="636">
        <f t="shared" si="497"/>
      </c>
      <c r="AZ232" s="637">
        <f t="shared" si="497"/>
      </c>
      <c r="BA232" s="636">
        <f t="shared" si="497"/>
      </c>
      <c r="BB232" s="636">
        <f t="shared" si="497"/>
      </c>
      <c r="BC232" s="636">
        <f t="shared" si="497"/>
      </c>
      <c r="BD232" s="636">
        <f t="shared" si="497"/>
      </c>
      <c r="BE232" s="637">
        <f t="shared" si="497"/>
      </c>
      <c r="BF232" s="636">
        <f t="shared" si="497"/>
      </c>
      <c r="BG232" s="636">
        <f t="shared" si="497"/>
      </c>
      <c r="BH232" s="636">
        <f t="shared" si="497"/>
      </c>
      <c r="BI232" s="636">
        <f t="shared" si="497"/>
      </c>
      <c r="BJ232" s="637">
        <f t="shared" si="497"/>
      </c>
      <c r="BK232" s="636">
        <f t="shared" si="497"/>
      </c>
      <c r="BL232" s="636">
        <f t="shared" si="497"/>
      </c>
      <c r="BM232" s="636">
        <f t="shared" si="497"/>
      </c>
      <c r="BN232" s="636">
        <f t="shared" si="497"/>
      </c>
      <c r="BO232" s="637">
        <f t="shared" ref="BO232:CT232" si="498">BO230+BO231</f>
      </c>
      <c r="BP232" s="636">
        <f t="shared" si="498"/>
      </c>
      <c r="BQ232" s="636">
        <f t="shared" si="498"/>
      </c>
      <c r="BR232" s="636">
        <f t="shared" si="498"/>
      </c>
      <c r="BS232" s="636">
        <f t="shared" si="498"/>
      </c>
      <c r="BT232" s="637">
        <f t="shared" si="498"/>
      </c>
      <c r="BU232" s="636">
        <f t="shared" si="498"/>
      </c>
      <c r="BV232" s="636">
        <f t="shared" si="498"/>
      </c>
      <c r="BW232" s="636">
        <f t="shared" si="498"/>
      </c>
      <c r="BX232" s="636">
        <f t="shared" si="498"/>
      </c>
      <c r="BY232" s="637">
        <f t="shared" si="498"/>
      </c>
      <c r="BZ232" s="636">
        <f t="shared" si="498"/>
      </c>
      <c r="CA232" s="636">
        <f t="shared" si="498"/>
      </c>
      <c r="CB232" s="636">
        <f t="shared" si="498"/>
      </c>
      <c r="CC232" s="636">
        <f t="shared" si="498"/>
      </c>
      <c r="CD232" s="637">
        <f t="shared" si="498"/>
      </c>
      <c r="CE232" s="636">
        <f t="shared" si="498"/>
      </c>
      <c r="CF232" s="636">
        <f t="shared" si="498"/>
      </c>
      <c r="CG232" s="636">
        <f t="shared" si="498"/>
      </c>
      <c r="CH232" s="636">
        <f t="shared" si="498"/>
      </c>
      <c r="CI232" s="637">
        <f t="shared" si="498"/>
      </c>
      <c r="CJ232" s="636">
        <f t="shared" si="498"/>
      </c>
      <c r="CK232" s="636">
        <f t="shared" si="498"/>
      </c>
      <c r="CL232" s="636">
        <f t="shared" si="498"/>
      </c>
      <c r="CM232" s="636">
        <f t="shared" si="498"/>
      </c>
      <c r="CN232" s="637">
        <f t="shared" si="498"/>
      </c>
      <c r="CO232" s="636">
        <f t="shared" si="498"/>
      </c>
      <c r="CP232" s="636">
        <f t="shared" si="498"/>
      </c>
      <c r="CQ232" s="636">
        <f t="shared" si="498"/>
      </c>
      <c r="CR232" s="636">
        <f t="shared" si="498"/>
      </c>
      <c r="CS232" s="637">
        <f t="shared" si="498"/>
      </c>
      <c r="CT232" s="636">
        <f t="shared" si="498"/>
      </c>
      <c r="CU232" s="636">
        <f t="shared" ref="CU232:DZ232" si="499">CU230+CU231</f>
      </c>
      <c r="CV232" s="636">
        <f t="shared" si="499"/>
      </c>
      <c r="CW232" s="636">
        <f t="shared" si="499"/>
      </c>
      <c r="CX232" s="637">
        <f t="shared" si="499"/>
      </c>
      <c r="CY232" s="636">
        <f t="shared" si="499"/>
      </c>
      <c r="CZ232" s="636">
        <f t="shared" si="499"/>
      </c>
      <c r="DA232" s="636">
        <f t="shared" si="499"/>
      </c>
      <c r="DB232" s="636">
        <f t="shared" si="499"/>
      </c>
      <c r="DC232" s="637">
        <f t="shared" si="499"/>
      </c>
      <c r="DD232" s="636">
        <f t="shared" si="499"/>
      </c>
      <c r="DE232" s="636">
        <f t="shared" si="499"/>
      </c>
      <c r="DF232" s="636">
        <f t="shared" si="499"/>
      </c>
      <c r="DG232" s="636">
        <f t="shared" si="499"/>
      </c>
      <c r="DH232" s="637">
        <f t="shared" si="499"/>
      </c>
      <c r="DI232" s="636">
        <f t="shared" si="499"/>
      </c>
      <c r="DJ232" s="636">
        <f t="shared" si="499"/>
      </c>
      <c r="DK232" s="636">
        <f t="shared" si="499"/>
      </c>
      <c r="DL232" s="636">
        <f t="shared" si="499"/>
      </c>
      <c r="DM232" s="637">
        <f t="shared" si="499"/>
      </c>
      <c r="DN232" s="636">
        <f t="shared" si="499"/>
      </c>
      <c r="DO232" s="636">
        <f t="shared" si="499"/>
      </c>
      <c r="DP232" s="636">
        <f t="shared" si="499"/>
      </c>
      <c r="DQ232" s="636">
        <f t="shared" si="499"/>
      </c>
      <c r="DR232" s="637">
        <f t="shared" si="499"/>
      </c>
      <c r="DS232" s="636">
        <f t="shared" si="499"/>
      </c>
      <c r="DT232" s="636">
        <f t="shared" si="499"/>
      </c>
      <c r="DU232" s="636">
        <f t="shared" si="499"/>
      </c>
      <c r="DV232" s="636">
        <f t="shared" si="499"/>
      </c>
      <c r="DW232" s="637">
        <f t="shared" si="499"/>
      </c>
      <c r="DX232" s="636">
        <f t="shared" si="499"/>
      </c>
      <c r="DY232" s="636">
        <f t="shared" si="499"/>
      </c>
      <c r="DZ232" s="636">
        <f t="shared" si="499"/>
      </c>
      <c r="EA232" s="636">
        <f t="shared" ref="EA232:FF232" si="500">EA230+EA231</f>
      </c>
      <c r="EB232" s="637">
        <f t="shared" si="500"/>
      </c>
      <c r="EC232" s="636">
        <f t="shared" si="500"/>
      </c>
      <c r="ED232" s="636">
        <f t="shared" si="500"/>
      </c>
      <c r="EE232" s="636">
        <f t="shared" si="500"/>
      </c>
      <c r="EF232" s="636">
        <f t="shared" si="500"/>
      </c>
      <c r="EG232" s="637">
        <f t="shared" si="500"/>
      </c>
      <c r="EH232" s="1392">
        <f t="shared" si="500"/>
      </c>
      <c r="EI232" s="1393">
        <f t="shared" si="500"/>
      </c>
      <c r="EJ232" s="1393">
        <f t="shared" si="500"/>
      </c>
      <c r="EK232" s="1393">
        <f t="shared" si="500"/>
      </c>
      <c r="EL232" s="637">
        <f t="shared" si="500"/>
      </c>
      <c r="EM232" s="1393">
        <f t="shared" si="500"/>
      </c>
      <c r="EN232" s="1393">
        <f t="shared" si="500"/>
      </c>
      <c r="EO232" s="1393">
        <f t="shared" si="500"/>
      </c>
      <c r="EP232" s="1393">
        <f t="shared" si="500"/>
      </c>
      <c r="EQ232" s="637">
        <f t="shared" si="500"/>
      </c>
      <c r="ER232" s="636">
        <f t="shared" si="500"/>
      </c>
      <c r="ES232" s="1393">
        <f t="shared" si="500"/>
      </c>
      <c r="ET232" s="1393">
        <f t="shared" si="500"/>
      </c>
      <c r="EU232" s="1393">
        <f>EU230+EU231</f>
      </c>
      <c r="EV232" s="637">
        <f>EV230+EV231</f>
      </c>
      <c r="EW232" s="636">
        <f t="shared" ref="EW232:EY232" si="501">EW230+EW231</f>
      </c>
      <c r="EX232" s="1393">
        <f t="shared" si="501"/>
      </c>
      <c r="EY232" s="1393">
        <f t="shared" si="501"/>
      </c>
      <c r="EZ232" s="1393">
        <f>EZ230+EZ231</f>
      </c>
      <c r="FA232" s="637">
        <f>FA230+FA231</f>
      </c>
      <c r="FB232" s="636">
        <f t="shared" si="500"/>
      </c>
      <c r="FC232" s="636">
        <f t="shared" si="500"/>
      </c>
      <c r="FD232" s="636">
        <f t="shared" si="500"/>
      </c>
      <c r="FE232" s="636">
        <f t="shared" si="500"/>
      </c>
      <c r="FF232" s="637">
        <f t="shared" si="500"/>
      </c>
      <c r="FG232" s="636">
        <f t="shared" ref="FG232:FZ232" si="502">FG230+FG231</f>
      </c>
      <c r="FH232" s="636">
        <f t="shared" si="502"/>
      </c>
      <c r="FI232" s="636">
        <f t="shared" si="502"/>
      </c>
      <c r="FJ232" s="636">
        <f t="shared" si="502"/>
      </c>
      <c r="FK232" s="637">
        <f t="shared" si="502"/>
      </c>
      <c r="FL232" s="636">
        <f t="shared" si="502"/>
      </c>
      <c r="FM232" s="636">
        <f t="shared" si="502"/>
      </c>
      <c r="FN232" s="636">
        <f t="shared" si="502"/>
      </c>
      <c r="FO232" s="636">
        <f t="shared" si="502"/>
      </c>
      <c r="FP232" s="637">
        <f t="shared" si="502"/>
      </c>
      <c r="FQ232" s="636">
        <f t="shared" si="502"/>
      </c>
      <c r="FR232" s="636">
        <f t="shared" si="502"/>
      </c>
      <c r="FS232" s="636">
        <f t="shared" si="502"/>
      </c>
      <c r="FT232" s="636">
        <f t="shared" si="502"/>
      </c>
      <c r="FU232" s="637">
        <f t="shared" si="502"/>
      </c>
      <c r="FV232" s="636">
        <f t="shared" si="502"/>
      </c>
      <c r="FW232" s="636">
        <f t="shared" si="502"/>
      </c>
      <c r="FX232" s="636">
        <f t="shared" si="502"/>
      </c>
      <c r="FY232" s="636">
        <f t="shared" si="502"/>
      </c>
      <c r="FZ232" s="637">
        <f t="shared" si="502"/>
      </c>
      <c r="GA232" s="636">
        <f t="shared" ref="GA232:GJ232" si="503">GA230+GA231</f>
      </c>
      <c r="GB232" s="636">
        <f t="shared" si="503"/>
      </c>
      <c r="GC232" s="636">
        <f t="shared" si="503"/>
      </c>
      <c r="GD232" s="636">
        <f t="shared" si="503"/>
      </c>
      <c r="GE232" s="637">
        <f t="shared" si="503"/>
      </c>
      <c r="GF232" s="636">
        <f t="shared" si="503"/>
      </c>
      <c r="GG232" s="636">
        <f t="shared" si="503"/>
      </c>
      <c r="GH232" s="636">
        <f t="shared" si="503"/>
      </c>
      <c r="GI232" s="636">
        <f t="shared" si="503"/>
      </c>
      <c r="GJ232" s="637">
        <f t="shared" si="503"/>
      </c>
    </row>
    <row r="233" spans="1:192" ht="12.75" hidden="1" customHeight="1" outlineLevel="1">
      <c r="A233" s="68" t="s">
        <v>1880</v>
      </c>
      <c r="B233" s="617" t="s">
        <v>34</v>
      </c>
      <c r="C233" s="295" t="str">
        <f>IFERROR(C232/#REF!-1,"")</f>
      </c>
      <c r="D233" s="295" t="str">
        <f>IFERROR(D232/#REF!-1,"")</f>
      </c>
      <c r="E233" s="295" t="str">
        <f>IFERROR(E232/#REF!-1,"")</f>
      </c>
      <c r="F233" s="295" t="str">
        <f t="shared" ref="F233:AK233" si="504">IFERROR(F232/A232-1,"")</f>
      </c>
      <c r="G233" s="297" t="str">
        <f t="shared" si="504"/>
      </c>
      <c r="H233" s="295">
        <f t="shared" si="504"/>
      </c>
      <c r="I233" s="295">
        <f t="shared" si="504"/>
      </c>
      <c r="J233" s="295">
        <f t="shared" si="504"/>
      </c>
      <c r="K233" s="295">
        <f t="shared" si="504"/>
      </c>
      <c r="L233" s="297">
        <f t="shared" si="504"/>
      </c>
      <c r="M233" s="295">
        <f t="shared" si="504"/>
      </c>
      <c r="N233" s="295">
        <f t="shared" si="504"/>
      </c>
      <c r="O233" s="295">
        <f t="shared" si="504"/>
      </c>
      <c r="P233" s="295">
        <f t="shared" si="504"/>
      </c>
      <c r="Q233" s="297">
        <f t="shared" si="504"/>
      </c>
      <c r="R233" s="295">
        <f t="shared" si="504"/>
      </c>
      <c r="S233" s="295">
        <f t="shared" si="504"/>
      </c>
      <c r="T233" s="295">
        <f t="shared" si="504"/>
      </c>
      <c r="U233" s="295">
        <f t="shared" si="504"/>
      </c>
      <c r="V233" s="297">
        <f t="shared" si="504"/>
      </c>
      <c r="W233" s="295">
        <f t="shared" si="504"/>
      </c>
      <c r="X233" s="295">
        <f t="shared" si="504"/>
      </c>
      <c r="Y233" s="295">
        <f t="shared" si="504"/>
      </c>
      <c r="Z233" s="295">
        <f t="shared" si="504"/>
      </c>
      <c r="AA233" s="297">
        <f t="shared" si="504"/>
      </c>
      <c r="AB233" s="295">
        <f t="shared" si="504"/>
      </c>
      <c r="AC233" s="295">
        <f t="shared" si="504"/>
      </c>
      <c r="AD233" s="295">
        <f t="shared" si="504"/>
      </c>
      <c r="AE233" s="295">
        <f t="shared" si="504"/>
      </c>
      <c r="AF233" s="297">
        <f t="shared" si="504"/>
      </c>
      <c r="AG233" s="295">
        <f t="shared" si="504"/>
      </c>
      <c r="AH233" s="295">
        <f t="shared" si="504"/>
      </c>
      <c r="AI233" s="295">
        <f t="shared" si="504"/>
      </c>
      <c r="AJ233" s="295">
        <f t="shared" si="504"/>
      </c>
      <c r="AK233" s="297">
        <f t="shared" si="504"/>
      </c>
      <c r="AL233" s="295">
        <f t="shared" ref="AL233:BQ233" si="505">IFERROR(AL232/AG232-1,"")</f>
      </c>
      <c r="AM233" s="295">
        <f t="shared" si="505"/>
      </c>
      <c r="AN233" s="295">
        <f t="shared" si="505"/>
      </c>
      <c r="AO233" s="295">
        <f t="shared" si="505"/>
      </c>
      <c r="AP233" s="297">
        <f t="shared" si="505"/>
      </c>
      <c r="AQ233" s="295">
        <f t="shared" si="505"/>
      </c>
      <c r="AR233" s="295">
        <f t="shared" si="505"/>
      </c>
      <c r="AS233" s="295">
        <f t="shared" si="505"/>
      </c>
      <c r="AT233" s="295">
        <f t="shared" si="505"/>
      </c>
      <c r="AU233" s="297">
        <f t="shared" si="505"/>
      </c>
      <c r="AV233" s="295">
        <f t="shared" si="505"/>
      </c>
      <c r="AW233" s="295">
        <f t="shared" si="505"/>
      </c>
      <c r="AX233" s="295">
        <f t="shared" si="505"/>
      </c>
      <c r="AY233" s="295">
        <f t="shared" si="505"/>
      </c>
      <c r="AZ233" s="297">
        <f t="shared" si="505"/>
      </c>
      <c r="BA233" s="295">
        <f t="shared" si="505"/>
      </c>
      <c r="BB233" s="295">
        <f t="shared" si="505"/>
      </c>
      <c r="BC233" s="295">
        <f t="shared" si="505"/>
      </c>
      <c r="BD233" s="295">
        <f t="shared" si="505"/>
      </c>
      <c r="BE233" s="297">
        <f t="shared" si="505"/>
      </c>
      <c r="BF233" s="295">
        <f t="shared" si="505"/>
      </c>
      <c r="BG233" s="295">
        <f t="shared" si="505"/>
      </c>
      <c r="BH233" s="295">
        <f t="shared" si="505"/>
      </c>
      <c r="BI233" s="295">
        <f t="shared" si="505"/>
      </c>
      <c r="BJ233" s="297">
        <f t="shared" si="505"/>
      </c>
      <c r="BK233" s="295">
        <f t="shared" si="505"/>
      </c>
      <c r="BL233" s="295">
        <f t="shared" si="505"/>
      </c>
      <c r="BM233" s="295">
        <f t="shared" si="505"/>
      </c>
      <c r="BN233" s="295">
        <f t="shared" si="505"/>
      </c>
      <c r="BO233" s="297">
        <f t="shared" si="505"/>
      </c>
      <c r="BP233" s="295">
        <f t="shared" si="505"/>
      </c>
      <c r="BQ233" s="295">
        <f t="shared" si="505"/>
      </c>
      <c r="BR233" s="295">
        <f t="shared" ref="BR233:CW233" si="506">IFERROR(BR232/BM232-1,"")</f>
      </c>
      <c r="BS233" s="295">
        <f t="shared" si="506"/>
      </c>
      <c r="BT233" s="297">
        <f t="shared" si="506"/>
      </c>
      <c r="BU233" s="295">
        <f t="shared" si="506"/>
      </c>
      <c r="BV233" s="295">
        <f t="shared" si="506"/>
      </c>
      <c r="BW233" s="295">
        <f t="shared" si="506"/>
      </c>
      <c r="BX233" s="295">
        <f t="shared" si="506"/>
      </c>
      <c r="BY233" s="297">
        <f t="shared" si="506"/>
      </c>
      <c r="BZ233" s="295">
        <f t="shared" si="506"/>
      </c>
      <c r="CA233" s="295">
        <f t="shared" si="506"/>
      </c>
      <c r="CB233" s="295">
        <f t="shared" si="506"/>
      </c>
      <c r="CC233" s="295">
        <f t="shared" si="506"/>
      </c>
      <c r="CD233" s="297">
        <f t="shared" si="506"/>
      </c>
      <c r="CE233" s="295">
        <f t="shared" si="506"/>
      </c>
      <c r="CF233" s="295">
        <f t="shared" si="506"/>
      </c>
      <c r="CG233" s="295">
        <f t="shared" si="506"/>
      </c>
      <c r="CH233" s="295">
        <f t="shared" si="506"/>
      </c>
      <c r="CI233" s="297">
        <f t="shared" si="506"/>
      </c>
      <c r="CJ233" s="295">
        <f t="shared" si="506"/>
      </c>
      <c r="CK233" s="295">
        <f t="shared" si="506"/>
      </c>
      <c r="CL233" s="295">
        <f t="shared" si="506"/>
      </c>
      <c r="CM233" s="295">
        <f t="shared" si="506"/>
      </c>
      <c r="CN233" s="297">
        <f t="shared" si="506"/>
      </c>
      <c r="CO233" s="295">
        <f t="shared" si="506"/>
      </c>
      <c r="CP233" s="295">
        <f t="shared" si="506"/>
      </c>
      <c r="CQ233" s="295">
        <f t="shared" si="506"/>
      </c>
      <c r="CR233" s="295">
        <f t="shared" si="506"/>
      </c>
      <c r="CS233" s="297">
        <f t="shared" si="506"/>
      </c>
      <c r="CT233" s="295">
        <f t="shared" si="506"/>
      </c>
      <c r="CU233" s="295">
        <f t="shared" si="506"/>
      </c>
      <c r="CV233" s="295">
        <f t="shared" si="506"/>
      </c>
      <c r="CW233" s="295">
        <f t="shared" si="506"/>
      </c>
      <c r="CX233" s="297">
        <f t="shared" ref="CX233:EC233" si="507">IFERROR(CX232/CS232-1,"")</f>
      </c>
      <c r="CY233" s="295">
        <f t="shared" si="507"/>
      </c>
      <c r="CZ233" s="295">
        <f t="shared" si="507"/>
      </c>
      <c r="DA233" s="295">
        <f t="shared" si="507"/>
      </c>
      <c r="DB233" s="295">
        <f t="shared" si="507"/>
      </c>
      <c r="DC233" s="297">
        <f t="shared" si="507"/>
      </c>
      <c r="DD233" s="295">
        <f t="shared" si="507"/>
      </c>
      <c r="DE233" s="295">
        <f t="shared" si="507"/>
      </c>
      <c r="DF233" s="295">
        <f t="shared" si="507"/>
      </c>
      <c r="DG233" s="295">
        <f t="shared" si="507"/>
      </c>
      <c r="DH233" s="297">
        <f t="shared" si="507"/>
      </c>
      <c r="DI233" s="295">
        <f t="shared" si="507"/>
      </c>
      <c r="DJ233" s="295">
        <f t="shared" si="507"/>
      </c>
      <c r="DK233" s="295">
        <f t="shared" si="507"/>
      </c>
      <c r="DL233" s="295">
        <f t="shared" si="507"/>
      </c>
      <c r="DM233" s="297">
        <f t="shared" si="507"/>
      </c>
      <c r="DN233" s="295">
        <f t="shared" si="507"/>
      </c>
      <c r="DO233" s="295">
        <f t="shared" si="507"/>
      </c>
      <c r="DP233" s="295">
        <f t="shared" si="507"/>
      </c>
      <c r="DQ233" s="295">
        <f t="shared" si="507"/>
      </c>
      <c r="DR233" s="297">
        <f t="shared" si="507"/>
      </c>
      <c r="DS233" s="295">
        <f t="shared" si="507"/>
      </c>
      <c r="DT233" s="295">
        <f t="shared" si="507"/>
      </c>
      <c r="DU233" s="295">
        <f t="shared" si="507"/>
      </c>
      <c r="DV233" s="295">
        <f t="shared" si="507"/>
      </c>
      <c r="DW233" s="297">
        <f t="shared" si="507"/>
      </c>
      <c r="DX233" s="295">
        <f t="shared" si="507"/>
      </c>
      <c r="DY233" s="295">
        <f t="shared" si="507"/>
      </c>
      <c r="DZ233" s="295">
        <f t="shared" si="507"/>
      </c>
      <c r="EA233" s="295">
        <f t="shared" si="507"/>
      </c>
      <c r="EB233" s="297">
        <f t="shared" si="507"/>
      </c>
      <c r="EC233" s="295">
        <f t="shared" si="507"/>
      </c>
      <c r="ED233" s="295">
        <f t="shared" ref="ED233:FI233" si="508">IFERROR(ED232/DY232-1,"")</f>
      </c>
      <c r="EE233" s="295">
        <f t="shared" si="508"/>
      </c>
      <c r="EF233" s="295">
        <f t="shared" si="508"/>
      </c>
      <c r="EG233" s="297">
        <f t="shared" si="508"/>
      </c>
      <c r="EH233" s="781">
        <f t="shared" si="508"/>
      </c>
      <c r="EI233" s="105">
        <f t="shared" si="508"/>
      </c>
      <c r="EJ233" s="105">
        <f t="shared" si="508"/>
      </c>
      <c r="EK233" s="105">
        <f t="shared" si="508"/>
      </c>
      <c r="EL233" s="122">
        <f t="shared" si="508"/>
      </c>
      <c r="EM233" s="105">
        <f t="shared" si="508"/>
      </c>
      <c r="EN233" s="105">
        <f t="shared" si="508"/>
      </c>
      <c r="EO233" s="105">
        <f t="shared" si="508"/>
      </c>
      <c r="EP233" s="105">
        <f t="shared" si="508"/>
      </c>
      <c r="EQ233" s="122">
        <f t="shared" si="508"/>
      </c>
      <c r="ER233" s="295">
        <f t="shared" si="508"/>
      </c>
      <c r="ES233" s="295">
        <f t="shared" si="508"/>
      </c>
      <c r="ET233" s="105">
        <f t="shared" si="508"/>
      </c>
      <c r="EU233" s="105">
        <f t="shared" si="508"/>
      </c>
      <c r="EV233" s="122">
        <f t="shared" si="508"/>
      </c>
      <c r="EW233" s="295">
        <f t="shared" si="508"/>
      </c>
      <c r="EX233" s="295">
        <f t="shared" si="508"/>
      </c>
      <c r="EY233" s="105">
        <f t="shared" si="508"/>
      </c>
      <c r="EZ233" s="105">
        <f t="shared" si="508"/>
      </c>
      <c r="FA233" s="122">
        <f t="shared" si="508"/>
      </c>
      <c r="FB233" s="295">
        <f t="shared" si="508"/>
      </c>
      <c r="FC233" s="295">
        <f t="shared" si="508"/>
      </c>
      <c r="FD233" s="295">
        <f t="shared" si="508"/>
      </c>
      <c r="FE233" s="295">
        <f t="shared" si="508"/>
      </c>
      <c r="FF233" s="297">
        <f t="shared" si="508"/>
      </c>
      <c r="FG233" s="295">
        <f t="shared" si="508"/>
      </c>
      <c r="FH233" s="295">
        <f t="shared" si="508"/>
      </c>
      <c r="FI233" s="295">
        <f t="shared" si="508"/>
      </c>
      <c r="FJ233" s="295">
        <f t="shared" ref="FJ233:GE233" si="509">IFERROR(FJ232/FE232-1,"")</f>
      </c>
      <c r="FK233" s="297">
        <f t="shared" si="509"/>
      </c>
      <c r="FL233" s="295">
        <f t="shared" si="509"/>
      </c>
      <c r="FM233" s="295">
        <f t="shared" si="509"/>
      </c>
      <c r="FN233" s="295">
        <f t="shared" si="509"/>
      </c>
      <c r="FO233" s="295">
        <f t="shared" si="509"/>
      </c>
      <c r="FP233" s="297">
        <f t="shared" si="509"/>
      </c>
      <c r="FQ233" s="295">
        <f t="shared" si="509"/>
      </c>
      <c r="FR233" s="295">
        <f t="shared" si="509"/>
      </c>
      <c r="FS233" s="295">
        <f t="shared" si="509"/>
      </c>
      <c r="FT233" s="295">
        <f t="shared" si="509"/>
      </c>
      <c r="FU233" s="297">
        <f t="shared" si="509"/>
      </c>
      <c r="FV233" s="295">
        <f t="shared" si="509"/>
      </c>
      <c r="FW233" s="295">
        <f t="shared" si="509"/>
      </c>
      <c r="FX233" s="295">
        <f t="shared" si="509"/>
      </c>
      <c r="FY233" s="295">
        <f t="shared" si="509"/>
      </c>
      <c r="FZ233" s="297">
        <f t="shared" si="509"/>
      </c>
      <c r="GA233" s="295">
        <f t="shared" si="509"/>
      </c>
      <c r="GB233" s="295">
        <f t="shared" si="509"/>
      </c>
      <c r="GC233" s="295">
        <f t="shared" si="509"/>
      </c>
      <c r="GD233" s="295">
        <f t="shared" si="509"/>
      </c>
      <c r="GE233" s="297">
        <f t="shared" si="509"/>
      </c>
      <c r="GF233" s="295">
        <f t="shared" ref="GF233" si="510">IFERROR(GF232/GA232-1,"")</f>
      </c>
      <c r="GG233" s="295">
        <f t="shared" ref="GG233" si="511">IFERROR(GG232/GB232-1,"")</f>
      </c>
      <c r="GH233" s="295">
        <f t="shared" ref="GH233" si="512">IFERROR(GH232/GC232-1,"")</f>
      </c>
      <c r="GI233" s="295">
        <f t="shared" ref="GI233" si="513">IFERROR(GI232/GD232-1,"")</f>
      </c>
      <c r="GJ233" s="297">
        <f t="shared" ref="GJ233" si="514">IFERROR(GJ232/GE232-1,"")</f>
      </c>
    </row>
    <row r="234" spans="1:192" ht="12.75" customHeight="1" collapsed="1">
      <c r="B234" s="702"/>
      <c r="C234" s="248"/>
      <c r="D234" s="266"/>
      <c r="E234" s="266"/>
      <c r="F234" s="266"/>
      <c r="G234" s="304"/>
      <c r="H234" s="248"/>
      <c r="I234" s="266"/>
      <c r="J234" s="266"/>
      <c r="K234" s="266"/>
      <c r="L234" s="304"/>
      <c r="M234" s="248"/>
      <c r="N234" s="266"/>
      <c r="O234" s="266"/>
      <c r="P234" s="266"/>
      <c r="Q234" s="304"/>
      <c r="R234" s="248"/>
      <c r="S234" s="266"/>
      <c r="T234" s="266"/>
      <c r="U234" s="266"/>
      <c r="V234" s="304"/>
      <c r="W234" s="248"/>
      <c r="X234" s="266"/>
      <c r="Y234" s="266"/>
      <c r="Z234" s="266"/>
      <c r="AA234" s="304"/>
      <c r="AB234" s="248"/>
      <c r="AC234" s="266"/>
      <c r="AD234" s="266"/>
      <c r="AE234" s="266"/>
      <c r="AF234" s="304"/>
      <c r="AG234" s="248"/>
      <c r="AH234" s="266"/>
      <c r="AI234" s="266"/>
      <c r="AJ234" s="266"/>
      <c r="AK234" s="304"/>
      <c r="AL234" s="248"/>
      <c r="AM234" s="266"/>
      <c r="AN234" s="266"/>
      <c r="AO234" s="266"/>
      <c r="AP234" s="304"/>
      <c r="AQ234" s="248"/>
      <c r="AR234" s="266"/>
      <c r="AS234" s="266"/>
      <c r="AT234" s="266"/>
      <c r="AU234" s="304"/>
      <c r="AV234" s="248"/>
      <c r="AW234" s="266"/>
      <c r="AX234" s="266"/>
      <c r="AY234" s="266"/>
      <c r="AZ234" s="304"/>
      <c r="BA234" s="248"/>
      <c r="BB234" s="266"/>
      <c r="BC234" s="266"/>
      <c r="BD234" s="266"/>
      <c r="BE234" s="304"/>
      <c r="BF234" s="248"/>
      <c r="BG234" s="266"/>
      <c r="BH234" s="266"/>
      <c r="BI234" s="266"/>
      <c r="BJ234" s="304"/>
      <c r="BK234" s="248"/>
      <c r="BL234" s="266"/>
      <c r="BM234" s="266"/>
      <c r="BN234" s="266"/>
      <c r="BO234" s="304"/>
      <c r="BP234" s="248"/>
      <c r="BQ234" s="266"/>
      <c r="BR234" s="266"/>
      <c r="BS234" s="266"/>
      <c r="BT234" s="304"/>
      <c r="BU234" s="248"/>
      <c r="BV234" s="266"/>
      <c r="BW234" s="266"/>
      <c r="BX234" s="266"/>
      <c r="BY234" s="304"/>
      <c r="BZ234" s="248"/>
      <c r="CA234" s="266"/>
      <c r="CB234" s="266"/>
      <c r="CC234" s="266"/>
      <c r="CD234" s="304"/>
      <c r="CE234" s="248"/>
      <c r="CF234" s="266"/>
      <c r="CG234" s="266"/>
      <c r="CH234" s="266"/>
      <c r="CI234" s="304"/>
      <c r="CJ234" s="248"/>
      <c r="CK234" s="266"/>
      <c r="CL234" s="266"/>
      <c r="CM234" s="266"/>
      <c r="CN234" s="304"/>
      <c r="CO234" s="248"/>
      <c r="CP234" s="266"/>
      <c r="CQ234" s="266"/>
      <c r="CR234" s="266"/>
      <c r="CS234" s="304"/>
      <c r="CT234" s="248"/>
      <c r="CU234" s="266"/>
      <c r="CV234" s="266"/>
      <c r="CW234" s="266"/>
      <c r="CX234" s="304"/>
      <c r="CY234" s="248"/>
      <c r="CZ234" s="266"/>
      <c r="DA234" s="266"/>
      <c r="DB234" s="266"/>
      <c r="DC234" s="304"/>
      <c r="DD234" s="248"/>
      <c r="DE234" s="266"/>
      <c r="DF234" s="266"/>
      <c r="DG234" s="266"/>
      <c r="DH234" s="304"/>
      <c r="DI234" s="248"/>
      <c r="DJ234" s="266"/>
      <c r="DK234" s="266"/>
      <c r="DL234" s="266"/>
      <c r="DM234" s="304"/>
      <c r="DN234" s="248"/>
      <c r="DO234" s="266"/>
      <c r="DP234" s="266"/>
      <c r="DQ234" s="266"/>
      <c r="DR234" s="304"/>
      <c r="DS234" s="248"/>
      <c r="DT234" s="266"/>
      <c r="DU234" s="266"/>
      <c r="DV234" s="266"/>
      <c r="DW234" s="304"/>
      <c r="DX234" s="248"/>
      <c r="DY234" s="266"/>
      <c r="DZ234" s="266"/>
      <c r="EA234" s="266"/>
      <c r="EB234" s="304"/>
      <c r="EC234" s="248"/>
      <c r="ED234" s="266"/>
      <c r="EE234" s="266"/>
      <c r="EF234" s="266"/>
      <c r="EG234" s="304"/>
      <c r="EH234" s="248"/>
      <c r="EI234" s="266"/>
      <c r="EJ234" s="266"/>
      <c r="EK234" s="266"/>
      <c r="EL234" s="308"/>
      <c r="EM234" s="248"/>
      <c r="EN234" s="266"/>
      <c r="EO234" s="266"/>
      <c r="EP234" s="266"/>
      <c r="EQ234" s="308"/>
      <c r="ER234" s="248"/>
      <c r="ES234" s="266"/>
      <c r="ET234" s="266"/>
      <c r="EU234" s="266"/>
      <c r="EV234" s="304"/>
      <c r="EW234" s="248"/>
      <c r="EX234" s="266"/>
      <c r="EY234" s="266"/>
      <c r="EZ234" s="266"/>
      <c r="FA234" s="304"/>
      <c r="FB234" s="248"/>
      <c r="FC234" s="266"/>
      <c r="FD234" s="266"/>
      <c r="FE234" s="266"/>
      <c r="FF234" s="304"/>
      <c r="FG234" s="248"/>
      <c r="FH234" s="266"/>
      <c r="FI234" s="266"/>
      <c r="FJ234" s="266"/>
      <c r="FK234" s="304"/>
      <c r="FL234" s="248"/>
      <c r="FM234" s="266"/>
      <c r="FN234" s="266"/>
      <c r="FO234" s="266"/>
      <c r="FP234" s="304"/>
      <c r="FQ234" s="248"/>
      <c r="FR234" s="266"/>
      <c r="FS234" s="266"/>
      <c r="FT234" s="266"/>
      <c r="FU234" s="304"/>
      <c r="FV234" s="248"/>
      <c r="FW234" s="266"/>
      <c r="FX234" s="266"/>
      <c r="FY234" s="266"/>
      <c r="FZ234" s="304"/>
      <c r="GA234" s="248"/>
      <c r="GB234" s="266"/>
      <c r="GC234" s="266"/>
      <c r="GD234" s="266"/>
      <c r="GE234" s="304"/>
      <c r="GF234" s="248"/>
      <c r="GG234" s="266"/>
      <c r="GH234" s="266"/>
      <c r="GI234" s="266"/>
      <c r="GJ234" s="304"/>
    </row>
    <row r="235" spans="1:192" s="473" customFormat="1" ht="12.75" customHeight="1">
      <c r="A235" s="783"/>
      <c r="B235" s="821"/>
      <c r="C235" s="822"/>
      <c r="D235" s="268"/>
      <c r="E235" s="268"/>
      <c r="F235" s="268"/>
      <c r="G235" s="823"/>
      <c r="H235" s="822"/>
      <c r="I235" s="268"/>
      <c r="J235" s="268"/>
      <c r="K235" s="268"/>
      <c r="L235" s="823"/>
      <c r="M235" s="822"/>
      <c r="N235" s="268"/>
      <c r="O235" s="268"/>
      <c r="P235" s="268"/>
      <c r="Q235" s="823"/>
      <c r="R235" s="822"/>
      <c r="S235" s="268"/>
      <c r="T235" s="268"/>
      <c r="U235" s="268"/>
      <c r="V235" s="823"/>
      <c r="W235" s="822"/>
      <c r="X235" s="268"/>
      <c r="Y235" s="268"/>
      <c r="Z235" s="268"/>
      <c r="AA235" s="823"/>
      <c r="AB235" s="822"/>
      <c r="AC235" s="268"/>
      <c r="AD235" s="268"/>
      <c r="AE235" s="268"/>
      <c r="AF235" s="823"/>
      <c r="AG235" s="822"/>
      <c r="AH235" s="268"/>
      <c r="AI235" s="268"/>
      <c r="AJ235" s="268"/>
      <c r="AK235" s="823"/>
      <c r="AL235" s="822"/>
      <c r="AM235" s="268"/>
      <c r="AN235" s="268"/>
      <c r="AO235" s="268"/>
      <c r="AP235" s="823"/>
      <c r="AQ235" s="822"/>
      <c r="AR235" s="268"/>
      <c r="AS235" s="268"/>
      <c r="AT235" s="268"/>
      <c r="AU235" s="823"/>
      <c r="AV235" s="822"/>
      <c r="AW235" s="268"/>
      <c r="AX235" s="268"/>
      <c r="AY235" s="268"/>
      <c r="AZ235" s="823"/>
      <c r="BA235" s="822"/>
      <c r="BB235" s="268"/>
      <c r="BC235" s="268"/>
      <c r="BD235" s="268"/>
      <c r="BE235" s="823"/>
      <c r="BF235" s="822"/>
      <c r="BG235" s="268"/>
      <c r="BH235" s="268"/>
      <c r="BI235" s="268"/>
      <c r="BJ235" s="823"/>
      <c r="BK235" s="822"/>
      <c r="BL235" s="268"/>
      <c r="BM235" s="268"/>
      <c r="BN235" s="268"/>
      <c r="BO235" s="823"/>
      <c r="BP235" s="822"/>
      <c r="BQ235" s="268"/>
      <c r="BR235" s="268"/>
      <c r="BS235" s="268"/>
      <c r="BT235" s="823"/>
      <c r="BU235" s="822"/>
      <c r="BV235" s="268"/>
      <c r="BW235" s="268"/>
      <c r="BX235" s="268"/>
      <c r="BY235" s="823"/>
      <c r="BZ235" s="822"/>
      <c r="CA235" s="268"/>
      <c r="CB235" s="268"/>
      <c r="CC235" s="268"/>
      <c r="CD235" s="823"/>
      <c r="CE235" s="822"/>
      <c r="CF235" s="268"/>
      <c r="CG235" s="268"/>
      <c r="CH235" s="268"/>
      <c r="CI235" s="823"/>
      <c r="CJ235" s="822"/>
      <c r="CK235" s="268"/>
      <c r="CL235" s="268"/>
      <c r="CM235" s="268"/>
      <c r="CN235" s="823"/>
      <c r="CO235" s="822"/>
      <c r="CP235" s="268"/>
      <c r="CQ235" s="268"/>
      <c r="CR235" s="268"/>
      <c r="CS235" s="823"/>
      <c r="CT235" s="822"/>
      <c r="CU235" s="268"/>
      <c r="CV235" s="268"/>
      <c r="CW235" s="268"/>
      <c r="CX235" s="823"/>
      <c r="CY235" s="822"/>
      <c r="CZ235" s="268"/>
      <c r="DA235" s="268"/>
      <c r="DB235" s="268"/>
      <c r="DC235" s="823"/>
      <c r="DD235" s="822"/>
      <c r="DE235" s="268"/>
      <c r="DF235" s="268"/>
      <c r="DG235" s="268"/>
      <c r="DH235" s="823"/>
      <c r="DI235" s="822"/>
      <c r="DJ235" s="268"/>
      <c r="DK235" s="268"/>
      <c r="DL235" s="268"/>
      <c r="DM235" s="823"/>
      <c r="DN235" s="822"/>
      <c r="DO235" s="268"/>
      <c r="DP235" s="268"/>
      <c r="DQ235" s="268"/>
      <c r="DR235" s="823"/>
      <c r="DS235" s="822"/>
      <c r="DT235" s="268"/>
      <c r="DU235" s="268"/>
      <c r="DV235" s="268"/>
      <c r="DW235" s="823"/>
      <c r="DX235" s="822"/>
      <c r="DY235" s="268"/>
      <c r="DZ235" s="268"/>
      <c r="EA235" s="268"/>
      <c r="EB235" s="823"/>
      <c r="EC235" s="822"/>
      <c r="ED235" s="268"/>
      <c r="EE235" s="268"/>
      <c r="EF235" s="268"/>
      <c r="EG235" s="823"/>
      <c r="EH235" s="822"/>
      <c r="EI235" s="268"/>
      <c r="EJ235" s="268"/>
      <c r="EK235" s="268"/>
      <c r="EL235" s="824"/>
      <c r="EM235" s="822"/>
      <c r="EN235" s="268"/>
      <c r="EO235" s="268"/>
      <c r="EP235" s="268"/>
      <c r="EQ235" s="824"/>
      <c r="ER235" s="822"/>
      <c r="ES235" s="268"/>
      <c r="ET235" s="268"/>
      <c r="EU235" s="268"/>
      <c r="EV235" s="823"/>
      <c r="EW235" s="822"/>
      <c r="EX235" s="268"/>
      <c r="EY235" s="268"/>
      <c r="EZ235" s="268"/>
      <c r="FA235" s="823"/>
      <c r="FB235" s="822"/>
      <c r="FC235" s="268"/>
      <c r="FD235" s="268"/>
      <c r="FE235" s="268"/>
      <c r="FF235" s="823"/>
      <c r="FG235" s="822"/>
      <c r="FH235" s="268"/>
      <c r="FI235" s="268"/>
      <c r="FJ235" s="268"/>
      <c r="FK235" s="823"/>
      <c r="FL235" s="822"/>
      <c r="FM235" s="268"/>
      <c r="FN235" s="268"/>
      <c r="FO235" s="268"/>
      <c r="FP235" s="823"/>
      <c r="FQ235" s="822"/>
      <c r="FR235" s="268"/>
      <c r="FS235" s="268"/>
      <c r="FT235" s="268"/>
      <c r="FU235" s="823"/>
      <c r="FV235" s="822"/>
      <c r="FW235" s="268"/>
      <c r="FX235" s="268"/>
      <c r="FY235" s="268"/>
      <c r="FZ235" s="823"/>
      <c r="GA235" s="822"/>
      <c r="GB235" s="268"/>
      <c r="GC235" s="268"/>
      <c r="GD235" s="268"/>
      <c r="GE235" s="823"/>
      <c r="GF235" s="822"/>
      <c r="GG235" s="268"/>
      <c r="GH235" s="268"/>
      <c r="GI235" s="268"/>
      <c r="GJ235" s="823"/>
    </row>
    <row r="236" spans="1:192" s="473" customFormat="1" ht="12.75" customHeight="1">
      <c r="A236" s="783"/>
      <c r="B236" s="821"/>
      <c r="C236" s="822"/>
      <c r="D236" s="268"/>
      <c r="E236" s="268"/>
      <c r="F236" s="268"/>
      <c r="G236" s="823"/>
      <c r="H236" s="822"/>
      <c r="I236" s="268"/>
      <c r="J236" s="268"/>
      <c r="K236" s="268"/>
      <c r="L236" s="823"/>
      <c r="M236" s="822"/>
      <c r="N236" s="268"/>
      <c r="O236" s="268"/>
      <c r="P236" s="268"/>
      <c r="Q236" s="823"/>
      <c r="R236" s="822"/>
      <c r="S236" s="268"/>
      <c r="T236" s="268"/>
      <c r="U236" s="268"/>
      <c r="V236" s="823"/>
      <c r="W236" s="822"/>
      <c r="X236" s="268"/>
      <c r="Y236" s="268"/>
      <c r="Z236" s="268"/>
      <c r="AA236" s="823"/>
      <c r="AB236" s="822"/>
      <c r="AC236" s="268"/>
      <c r="AD236" s="268"/>
      <c r="AE236" s="268"/>
      <c r="AF236" s="823"/>
      <c r="AG236" s="822"/>
      <c r="AH236" s="268"/>
      <c r="AI236" s="268"/>
      <c r="AJ236" s="268"/>
      <c r="AK236" s="823"/>
      <c r="AL236" s="822"/>
      <c r="AM236" s="268"/>
      <c r="AN236" s="268"/>
      <c r="AO236" s="268"/>
      <c r="AP236" s="823"/>
      <c r="AQ236" s="822"/>
      <c r="AR236" s="268"/>
      <c r="AS236" s="268"/>
      <c r="AT236" s="268"/>
      <c r="AU236" s="823"/>
      <c r="AV236" s="822"/>
      <c r="AW236" s="268"/>
      <c r="AX236" s="268"/>
      <c r="AY236" s="268"/>
      <c r="AZ236" s="823"/>
      <c r="BA236" s="822"/>
      <c r="BB236" s="268"/>
      <c r="BC236" s="268"/>
      <c r="BD236" s="268"/>
      <c r="BE236" s="823"/>
      <c r="BF236" s="822"/>
      <c r="BG236" s="268"/>
      <c r="BH236" s="268"/>
      <c r="BI236" s="268"/>
      <c r="BJ236" s="823"/>
      <c r="BK236" s="822"/>
      <c r="BL236" s="268"/>
      <c r="BM236" s="268"/>
      <c r="BN236" s="268"/>
      <c r="BO236" s="823"/>
      <c r="BP236" s="822"/>
      <c r="BQ236" s="268"/>
      <c r="BR236" s="268"/>
      <c r="BS236" s="268"/>
      <c r="BT236" s="823"/>
      <c r="BU236" s="822"/>
      <c r="BV236" s="268"/>
      <c r="BW236" s="268"/>
      <c r="BX236" s="268"/>
      <c r="BY236" s="823"/>
      <c r="BZ236" s="822"/>
      <c r="CA236" s="268"/>
      <c r="CB236" s="268"/>
      <c r="CC236" s="268"/>
      <c r="CD236" s="823"/>
      <c r="CE236" s="822"/>
      <c r="CF236" s="268"/>
      <c r="CG236" s="268"/>
      <c r="CH236" s="268"/>
      <c r="CI236" s="823"/>
      <c r="CJ236" s="822"/>
      <c r="CK236" s="268"/>
      <c r="CL236" s="268"/>
      <c r="CM236" s="268"/>
      <c r="CN236" s="823"/>
      <c r="CO236" s="822"/>
      <c r="CP236" s="268"/>
      <c r="CQ236" s="268"/>
      <c r="CR236" s="268"/>
      <c r="CS236" s="823"/>
      <c r="CT236" s="822"/>
      <c r="CU236" s="268"/>
      <c r="CV236" s="268"/>
      <c r="CW236" s="268"/>
      <c r="CX236" s="823"/>
      <c r="CY236" s="822"/>
      <c r="CZ236" s="268"/>
      <c r="DA236" s="268"/>
      <c r="DB236" s="268"/>
      <c r="DC236" s="823"/>
      <c r="DD236" s="822"/>
      <c r="DE236" s="268"/>
      <c r="DF236" s="268"/>
      <c r="DG236" s="268"/>
      <c r="DH236" s="823"/>
      <c r="DI236" s="822"/>
      <c r="DJ236" s="268"/>
      <c r="DK236" s="268"/>
      <c r="DL236" s="268"/>
      <c r="DM236" s="823"/>
      <c r="DN236" s="822"/>
      <c r="DO236" s="268"/>
      <c r="DP236" s="268"/>
      <c r="DQ236" s="268"/>
      <c r="DR236" s="823"/>
      <c r="DS236" s="822"/>
      <c r="DT236" s="268"/>
      <c r="DU236" s="268"/>
      <c r="DV236" s="268"/>
      <c r="DW236" s="823"/>
      <c r="DX236" s="822"/>
      <c r="DY236" s="268"/>
      <c r="DZ236" s="268"/>
      <c r="EA236" s="268"/>
      <c r="EB236" s="823"/>
      <c r="EC236" s="822"/>
      <c r="ED236" s="268"/>
      <c r="EE236" s="268"/>
      <c r="EF236" s="268"/>
      <c r="EG236" s="823"/>
      <c r="EH236" s="822"/>
      <c r="EI236" s="268"/>
      <c r="EJ236" s="268"/>
      <c r="EK236" s="268"/>
      <c r="EL236" s="824"/>
      <c r="EM236" s="822"/>
      <c r="EN236" s="268"/>
      <c r="EO236" s="268"/>
      <c r="EP236" s="268"/>
      <c r="EQ236" s="824"/>
      <c r="ER236" s="822"/>
      <c r="ES236" s="268"/>
      <c r="ET236" s="268"/>
      <c r="EU236" s="268"/>
      <c r="EV236" s="823"/>
      <c r="EW236" s="822"/>
      <c r="EX236" s="268"/>
      <c r="EY236" s="268"/>
      <c r="EZ236" s="268"/>
      <c r="FA236" s="823"/>
      <c r="FB236" s="822"/>
      <c r="FC236" s="268"/>
      <c r="FD236" s="268"/>
      <c r="FE236" s="268"/>
      <c r="FF236" s="823"/>
      <c r="FG236" s="822"/>
      <c r="FH236" s="268"/>
      <c r="FI236" s="268"/>
      <c r="FJ236" s="268"/>
      <c r="FK236" s="823"/>
      <c r="FL236" s="822"/>
      <c r="FM236" s="268"/>
      <c r="FN236" s="268"/>
      <c r="FO236" s="268"/>
      <c r="FP236" s="823"/>
      <c r="FQ236" s="822"/>
      <c r="FR236" s="268"/>
      <c r="FS236" s="268"/>
      <c r="FT236" s="268"/>
      <c r="FU236" s="823"/>
      <c r="FV236" s="822"/>
      <c r="FW236" s="268"/>
      <c r="FX236" s="268"/>
      <c r="FY236" s="268"/>
      <c r="FZ236" s="823"/>
      <c r="GA236" s="822"/>
      <c r="GB236" s="268"/>
      <c r="GC236" s="268"/>
      <c r="GD236" s="268"/>
      <c r="GE236" s="823"/>
      <c r="GF236" s="822"/>
      <c r="GG236" s="268"/>
      <c r="GH236" s="268"/>
      <c r="GI236" s="268"/>
      <c r="GJ236" s="823"/>
    </row>
    <row r="237" spans="1:192" s="473" customFormat="1" ht="12.75" customHeight="1">
      <c r="A237" s="783"/>
      <c r="B237" s="821"/>
      <c r="C237" s="822"/>
      <c r="D237" s="268"/>
      <c r="E237" s="268"/>
      <c r="F237" s="268"/>
      <c r="G237" s="823"/>
      <c r="H237" s="822"/>
      <c r="I237" s="268"/>
      <c r="J237" s="268"/>
      <c r="K237" s="268"/>
      <c r="L237" s="823"/>
      <c r="M237" s="822"/>
      <c r="N237" s="268"/>
      <c r="O237" s="268"/>
      <c r="P237" s="268"/>
      <c r="Q237" s="823"/>
      <c r="R237" s="822"/>
      <c r="S237" s="268"/>
      <c r="T237" s="268"/>
      <c r="U237" s="268"/>
      <c r="V237" s="823"/>
      <c r="W237" s="822"/>
      <c r="X237" s="268"/>
      <c r="Y237" s="268"/>
      <c r="Z237" s="268"/>
      <c r="AA237" s="823"/>
      <c r="AB237" s="822"/>
      <c r="AC237" s="268"/>
      <c r="AD237" s="268"/>
      <c r="AE237" s="268"/>
      <c r="AF237" s="823"/>
      <c r="AG237" s="822"/>
      <c r="AH237" s="268"/>
      <c r="AI237" s="268"/>
      <c r="AJ237" s="268"/>
      <c r="AK237" s="823"/>
      <c r="AL237" s="822"/>
      <c r="AM237" s="268"/>
      <c r="AN237" s="268"/>
      <c r="AO237" s="268"/>
      <c r="AP237" s="823"/>
      <c r="AQ237" s="822"/>
      <c r="AR237" s="268"/>
      <c r="AS237" s="268"/>
      <c r="AT237" s="268"/>
      <c r="AU237" s="823"/>
      <c r="AV237" s="822"/>
      <c r="AW237" s="268"/>
      <c r="AX237" s="268"/>
      <c r="AY237" s="268"/>
      <c r="AZ237" s="823"/>
      <c r="BA237" s="822"/>
      <c r="BB237" s="268"/>
      <c r="BC237" s="268"/>
      <c r="BD237" s="268"/>
      <c r="BE237" s="823"/>
      <c r="BF237" s="822"/>
      <c r="BG237" s="268"/>
      <c r="BH237" s="268"/>
      <c r="BI237" s="268"/>
      <c r="BJ237" s="823"/>
      <c r="BK237" s="822"/>
      <c r="BL237" s="268"/>
      <c r="BM237" s="268"/>
      <c r="BN237" s="268"/>
      <c r="BO237" s="823"/>
      <c r="BP237" s="822"/>
      <c r="BQ237" s="268"/>
      <c r="BR237" s="268"/>
      <c r="BS237" s="268"/>
      <c r="BT237" s="823"/>
      <c r="BU237" s="822"/>
      <c r="BV237" s="268"/>
      <c r="BW237" s="268"/>
      <c r="BX237" s="268"/>
      <c r="BY237" s="823"/>
      <c r="BZ237" s="822"/>
      <c r="CA237" s="268"/>
      <c r="CB237" s="268"/>
      <c r="CC237" s="268"/>
      <c r="CD237" s="823"/>
      <c r="CE237" s="822"/>
      <c r="CF237" s="268"/>
      <c r="CG237" s="268"/>
      <c r="CH237" s="268"/>
      <c r="CI237" s="823"/>
      <c r="CJ237" s="822"/>
      <c r="CK237" s="268"/>
      <c r="CL237" s="268"/>
      <c r="CM237" s="268"/>
      <c r="CN237" s="823"/>
      <c r="CO237" s="822"/>
      <c r="CP237" s="268"/>
      <c r="CQ237" s="268"/>
      <c r="CR237" s="268"/>
      <c r="CS237" s="823"/>
      <c r="CT237" s="822"/>
      <c r="CU237" s="268"/>
      <c r="CV237" s="268"/>
      <c r="CW237" s="268"/>
      <c r="CX237" s="823"/>
      <c r="CY237" s="822"/>
      <c r="CZ237" s="268"/>
      <c r="DA237" s="268"/>
      <c r="DB237" s="268"/>
      <c r="DC237" s="823"/>
      <c r="DD237" s="822"/>
      <c r="DE237" s="268"/>
      <c r="DF237" s="268"/>
      <c r="DG237" s="268"/>
      <c r="DH237" s="823"/>
      <c r="DI237" s="822"/>
      <c r="DJ237" s="268"/>
      <c r="DK237" s="268"/>
      <c r="DL237" s="268"/>
      <c r="DM237" s="823"/>
      <c r="DN237" s="822"/>
      <c r="DO237" s="268"/>
      <c r="DP237" s="268"/>
      <c r="DQ237" s="268"/>
      <c r="DR237" s="823"/>
      <c r="DS237" s="822"/>
      <c r="DT237" s="268"/>
      <c r="DU237" s="268"/>
      <c r="DV237" s="268"/>
      <c r="DW237" s="823"/>
      <c r="DX237" s="822"/>
      <c r="DY237" s="268"/>
      <c r="DZ237" s="268"/>
      <c r="EA237" s="268"/>
      <c r="EB237" s="823"/>
      <c r="EC237" s="822"/>
      <c r="ED237" s="268"/>
      <c r="EE237" s="268"/>
      <c r="EF237" s="268"/>
      <c r="EG237" s="823"/>
      <c r="EH237" s="822"/>
      <c r="EI237" s="268"/>
      <c r="EJ237" s="268"/>
      <c r="EK237" s="268"/>
      <c r="EL237" s="824"/>
      <c r="EM237" s="822"/>
      <c r="EN237" s="268"/>
      <c r="EO237" s="268"/>
      <c r="EP237" s="268"/>
      <c r="EQ237" s="824"/>
      <c r="ER237" s="822"/>
      <c r="ES237" s="268"/>
      <c r="ET237" s="268"/>
      <c r="EU237" s="268"/>
      <c r="EV237" s="823"/>
      <c r="EW237" s="822"/>
      <c r="EX237" s="268"/>
      <c r="EY237" s="268"/>
      <c r="EZ237" s="268"/>
      <c r="FA237" s="823"/>
      <c r="FB237" s="822"/>
      <c r="FC237" s="268"/>
      <c r="FD237" s="268"/>
      <c r="FE237" s="268"/>
      <c r="FF237" s="823"/>
      <c r="FG237" s="822"/>
      <c r="FH237" s="268"/>
      <c r="FI237" s="268"/>
      <c r="FJ237" s="268"/>
      <c r="FK237" s="823"/>
      <c r="FL237" s="822"/>
      <c r="FM237" s="268"/>
      <c r="FN237" s="268"/>
      <c r="FO237" s="268"/>
      <c r="FP237" s="823"/>
      <c r="FQ237" s="822"/>
      <c r="FR237" s="268"/>
      <c r="FS237" s="268"/>
      <c r="FT237" s="268"/>
      <c r="FU237" s="823"/>
      <c r="FV237" s="822"/>
      <c r="FW237" s="268"/>
      <c r="FX237" s="268"/>
      <c r="FY237" s="268"/>
      <c r="FZ237" s="823"/>
      <c r="GA237" s="822"/>
      <c r="GB237" s="268"/>
      <c r="GC237" s="268"/>
      <c r="GD237" s="268"/>
      <c r="GE237" s="823"/>
      <c r="GF237" s="822"/>
      <c r="GG237" s="268"/>
      <c r="GH237" s="268"/>
      <c r="GI237" s="268"/>
      <c r="GJ237" s="823"/>
    </row>
    <row r="238" spans="1:192" s="473" customFormat="1" ht="12.75" customHeight="1">
      <c r="A238" s="783"/>
      <c r="B238" s="821"/>
      <c r="C238" s="822"/>
      <c r="D238" s="268"/>
      <c r="E238" s="268"/>
      <c r="F238" s="268"/>
      <c r="G238" s="823"/>
      <c r="H238" s="822"/>
      <c r="I238" s="268"/>
      <c r="J238" s="268"/>
      <c r="K238" s="268"/>
      <c r="L238" s="823"/>
      <c r="M238" s="822"/>
      <c r="N238" s="268"/>
      <c r="O238" s="268"/>
      <c r="P238" s="268"/>
      <c r="Q238" s="823"/>
      <c r="R238" s="822"/>
      <c r="S238" s="268"/>
      <c r="T238" s="268"/>
      <c r="U238" s="268"/>
      <c r="V238" s="823"/>
      <c r="W238" s="822"/>
      <c r="X238" s="268"/>
      <c r="Y238" s="268"/>
      <c r="Z238" s="268"/>
      <c r="AA238" s="823"/>
      <c r="AB238" s="822"/>
      <c r="AC238" s="268"/>
      <c r="AD238" s="268"/>
      <c r="AE238" s="268"/>
      <c r="AF238" s="823"/>
      <c r="AG238" s="822"/>
      <c r="AH238" s="268"/>
      <c r="AI238" s="268"/>
      <c r="AJ238" s="268"/>
      <c r="AK238" s="823"/>
      <c r="AL238" s="822"/>
      <c r="AM238" s="268"/>
      <c r="AN238" s="268"/>
      <c r="AO238" s="268"/>
      <c r="AP238" s="823"/>
      <c r="AQ238" s="822"/>
      <c r="AR238" s="268"/>
      <c r="AS238" s="268"/>
      <c r="AT238" s="268"/>
      <c r="AU238" s="823"/>
      <c r="AV238" s="822"/>
      <c r="AW238" s="268"/>
      <c r="AX238" s="268"/>
      <c r="AY238" s="268"/>
      <c r="AZ238" s="823"/>
      <c r="BA238" s="822"/>
      <c r="BB238" s="268"/>
      <c r="BC238" s="268"/>
      <c r="BD238" s="268"/>
      <c r="BE238" s="823"/>
      <c r="BF238" s="822"/>
      <c r="BG238" s="268"/>
      <c r="BH238" s="268"/>
      <c r="BI238" s="268"/>
      <c r="BJ238" s="823"/>
      <c r="BK238" s="822"/>
      <c r="BL238" s="268"/>
      <c r="BM238" s="268"/>
      <c r="BN238" s="268"/>
      <c r="BO238" s="823"/>
      <c r="BP238" s="822"/>
      <c r="BQ238" s="268"/>
      <c r="BR238" s="268"/>
      <c r="BS238" s="268"/>
      <c r="BT238" s="823"/>
      <c r="BU238" s="822"/>
      <c r="BV238" s="268"/>
      <c r="BW238" s="268"/>
      <c r="BX238" s="268"/>
      <c r="BY238" s="823"/>
      <c r="BZ238" s="822"/>
      <c r="CA238" s="268"/>
      <c r="CB238" s="268"/>
      <c r="CC238" s="268"/>
      <c r="CD238" s="823"/>
      <c r="CE238" s="822"/>
      <c r="CF238" s="268"/>
      <c r="CG238" s="268"/>
      <c r="CH238" s="268"/>
      <c r="CI238" s="823"/>
      <c r="CJ238" s="822"/>
      <c r="CK238" s="268"/>
      <c r="CL238" s="268"/>
      <c r="CM238" s="268"/>
      <c r="CN238" s="823"/>
      <c r="CO238" s="822"/>
      <c r="CP238" s="268"/>
      <c r="CQ238" s="268"/>
      <c r="CR238" s="268"/>
      <c r="CS238" s="823"/>
      <c r="CT238" s="822"/>
      <c r="CU238" s="268"/>
      <c r="CV238" s="268"/>
      <c r="CW238" s="268"/>
      <c r="CX238" s="823"/>
      <c r="CY238" s="822"/>
      <c r="CZ238" s="268"/>
      <c r="DA238" s="268"/>
      <c r="DB238" s="268"/>
      <c r="DC238" s="823"/>
      <c r="DD238" s="822"/>
      <c r="DE238" s="268"/>
      <c r="DF238" s="268"/>
      <c r="DG238" s="268"/>
      <c r="DH238" s="823"/>
      <c r="DI238" s="822"/>
      <c r="DJ238" s="268"/>
      <c r="DK238" s="268"/>
      <c r="DL238" s="268"/>
      <c r="DM238" s="823"/>
      <c r="DN238" s="822"/>
      <c r="DO238" s="268"/>
      <c r="DP238" s="268"/>
      <c r="DQ238" s="268"/>
      <c r="DR238" s="823"/>
      <c r="DS238" s="822"/>
      <c r="DT238" s="268"/>
      <c r="DU238" s="268"/>
      <c r="DV238" s="268"/>
      <c r="DW238" s="823"/>
      <c r="DX238" s="822"/>
      <c r="DY238" s="268"/>
      <c r="DZ238" s="268"/>
      <c r="EA238" s="268"/>
      <c r="EB238" s="823"/>
      <c r="EC238" s="822"/>
      <c r="ED238" s="268"/>
      <c r="EE238" s="268"/>
      <c r="EF238" s="268"/>
      <c r="EG238" s="823"/>
      <c r="EH238" s="822"/>
      <c r="EI238" s="268"/>
      <c r="EJ238" s="268"/>
      <c r="EK238" s="268"/>
      <c r="EL238" s="824"/>
      <c r="EM238" s="822"/>
      <c r="EN238" s="268"/>
      <c r="EO238" s="268"/>
      <c r="EP238" s="268"/>
      <c r="EQ238" s="824"/>
      <c r="ER238" s="822"/>
      <c r="ES238" s="268"/>
      <c r="ET238" s="268"/>
      <c r="EU238" s="268"/>
      <c r="EV238" s="823"/>
      <c r="EW238" s="822"/>
      <c r="EX238" s="268"/>
      <c r="EY238" s="268"/>
      <c r="EZ238" s="268"/>
      <c r="FA238" s="823"/>
      <c r="FB238" s="822"/>
      <c r="FC238" s="268"/>
      <c r="FD238" s="268"/>
      <c r="FE238" s="268"/>
      <c r="FF238" s="823"/>
      <c r="FG238" s="822"/>
      <c r="FH238" s="268"/>
      <c r="FI238" s="268"/>
      <c r="FJ238" s="268"/>
      <c r="FK238" s="823"/>
      <c r="FL238" s="822"/>
      <c r="FM238" s="268"/>
      <c r="FN238" s="268"/>
      <c r="FO238" s="268"/>
      <c r="FP238" s="823"/>
      <c r="FQ238" s="822"/>
      <c r="FR238" s="268"/>
      <c r="FS238" s="268"/>
      <c r="FT238" s="268"/>
      <c r="FU238" s="823"/>
      <c r="FV238" s="822"/>
      <c r="FW238" s="268"/>
      <c r="FX238" s="268"/>
      <c r="FY238" s="268"/>
      <c r="FZ238" s="823"/>
      <c r="GA238" s="822"/>
      <c r="GB238" s="268"/>
      <c r="GC238" s="268"/>
      <c r="GD238" s="268"/>
      <c r="GE238" s="823"/>
      <c r="GF238" s="822"/>
      <c r="GG238" s="268"/>
      <c r="GH238" s="268"/>
      <c r="GI238" s="268"/>
      <c r="GJ238" s="823"/>
    </row>
    <row r="239" spans="1:192" s="473" customFormat="1" ht="12.75" customHeight="1">
      <c r="A239" s="783"/>
      <c r="B239" s="821"/>
      <c r="C239" s="822"/>
      <c r="D239" s="268"/>
      <c r="E239" s="268"/>
      <c r="F239" s="268"/>
      <c r="G239" s="823"/>
      <c r="H239" s="822"/>
      <c r="I239" s="268"/>
      <c r="J239" s="268"/>
      <c r="K239" s="268"/>
      <c r="L239" s="823"/>
      <c r="M239" s="822"/>
      <c r="N239" s="268"/>
      <c r="O239" s="268"/>
      <c r="P239" s="268"/>
      <c r="Q239" s="823"/>
      <c r="R239" s="822"/>
      <c r="S239" s="268"/>
      <c r="T239" s="268"/>
      <c r="U239" s="268"/>
      <c r="V239" s="823"/>
      <c r="W239" s="822"/>
      <c r="X239" s="268"/>
      <c r="Y239" s="268"/>
      <c r="Z239" s="268"/>
      <c r="AA239" s="823"/>
      <c r="AB239" s="822"/>
      <c r="AC239" s="268"/>
      <c r="AD239" s="268"/>
      <c r="AE239" s="268"/>
      <c r="AF239" s="823"/>
      <c r="AG239" s="822"/>
      <c r="AH239" s="268"/>
      <c r="AI239" s="268"/>
      <c r="AJ239" s="268"/>
      <c r="AK239" s="823"/>
      <c r="AL239" s="822"/>
      <c r="AM239" s="268"/>
      <c r="AN239" s="268"/>
      <c r="AO239" s="268"/>
      <c r="AP239" s="823"/>
      <c r="AQ239" s="822"/>
      <c r="AR239" s="268"/>
      <c r="AS239" s="268"/>
      <c r="AT239" s="268"/>
      <c r="AU239" s="823"/>
      <c r="AV239" s="822"/>
      <c r="AW239" s="268"/>
      <c r="AX239" s="268"/>
      <c r="AY239" s="268"/>
      <c r="AZ239" s="823"/>
      <c r="BA239" s="822"/>
      <c r="BB239" s="268"/>
      <c r="BC239" s="268"/>
      <c r="BD239" s="268"/>
      <c r="BE239" s="823"/>
      <c r="BF239" s="822"/>
      <c r="BG239" s="268"/>
      <c r="BH239" s="268"/>
      <c r="BI239" s="268"/>
      <c r="BJ239" s="823"/>
      <c r="BK239" s="822"/>
      <c r="BL239" s="268"/>
      <c r="BM239" s="268"/>
      <c r="BN239" s="268"/>
      <c r="BO239" s="823"/>
      <c r="BP239" s="822"/>
      <c r="BQ239" s="268"/>
      <c r="BR239" s="268"/>
      <c r="BS239" s="268"/>
      <c r="BT239" s="823"/>
      <c r="BU239" s="822"/>
      <c r="BV239" s="268"/>
      <c r="BW239" s="268"/>
      <c r="BX239" s="268"/>
      <c r="BY239" s="823"/>
      <c r="BZ239" s="822"/>
      <c r="CA239" s="268"/>
      <c r="CB239" s="268"/>
      <c r="CC239" s="268"/>
      <c r="CD239" s="823"/>
      <c r="CE239" s="822"/>
      <c r="CF239" s="268"/>
      <c r="CG239" s="268"/>
      <c r="CH239" s="268"/>
      <c r="CI239" s="823"/>
      <c r="CJ239" s="822"/>
      <c r="CK239" s="268"/>
      <c r="CL239" s="268"/>
      <c r="CM239" s="268"/>
      <c r="CN239" s="823"/>
      <c r="CO239" s="822"/>
      <c r="CP239" s="268"/>
      <c r="CQ239" s="268"/>
      <c r="CR239" s="268"/>
      <c r="CS239" s="823"/>
      <c r="CT239" s="822"/>
      <c r="CU239" s="268"/>
      <c r="CV239" s="268"/>
      <c r="CW239" s="268"/>
      <c r="CX239" s="823"/>
      <c r="CY239" s="822"/>
      <c r="CZ239" s="268"/>
      <c r="DA239" s="268"/>
      <c r="DB239" s="268"/>
      <c r="DC239" s="823"/>
      <c r="DD239" s="822"/>
      <c r="DE239" s="268"/>
      <c r="DF239" s="268"/>
      <c r="DG239" s="268"/>
      <c r="DH239" s="823"/>
      <c r="DI239" s="822"/>
      <c r="DJ239" s="268"/>
      <c r="DK239" s="268"/>
      <c r="DL239" s="268"/>
      <c r="DM239" s="823"/>
      <c r="DN239" s="822"/>
      <c r="DO239" s="268"/>
      <c r="DP239" s="268"/>
      <c r="DQ239" s="268"/>
      <c r="DR239" s="823"/>
      <c r="DS239" s="822"/>
      <c r="DT239" s="268"/>
      <c r="DU239" s="268"/>
      <c r="DV239" s="268"/>
      <c r="DW239" s="823"/>
      <c r="DX239" s="822"/>
      <c r="DY239" s="268"/>
      <c r="DZ239" s="268"/>
      <c r="EA239" s="268"/>
      <c r="EB239" s="823"/>
      <c r="EC239" s="822"/>
      <c r="ED239" s="268"/>
      <c r="EE239" s="268"/>
      <c r="EF239" s="268"/>
      <c r="EG239" s="823"/>
      <c r="EH239" s="822"/>
      <c r="EI239" s="268"/>
      <c r="EJ239" s="268"/>
      <c r="EK239" s="268"/>
      <c r="EL239" s="824"/>
      <c r="EM239" s="822"/>
      <c r="EN239" s="268"/>
      <c r="EO239" s="268"/>
      <c r="EP239" s="268"/>
      <c r="EQ239" s="824"/>
      <c r="ER239" s="822"/>
      <c r="ES239" s="268"/>
      <c r="ET239" s="268"/>
      <c r="EU239" s="268"/>
      <c r="EV239" s="823"/>
      <c r="EW239" s="822"/>
      <c r="EX239" s="268"/>
      <c r="EY239" s="268"/>
      <c r="EZ239" s="268"/>
      <c r="FA239" s="823"/>
      <c r="FB239" s="822"/>
      <c r="FC239" s="268"/>
      <c r="FD239" s="268"/>
      <c r="FE239" s="268"/>
      <c r="FF239" s="823"/>
      <c r="FG239" s="822"/>
      <c r="FH239" s="268"/>
      <c r="FI239" s="268"/>
      <c r="FJ239" s="268"/>
      <c r="FK239" s="823"/>
      <c r="FL239" s="822"/>
      <c r="FM239" s="268"/>
      <c r="FN239" s="268"/>
      <c r="FO239" s="268"/>
      <c r="FP239" s="823"/>
      <c r="FQ239" s="822"/>
      <c r="FR239" s="268"/>
      <c r="FS239" s="268"/>
      <c r="FT239" s="268"/>
      <c r="FU239" s="823"/>
      <c r="FV239" s="822"/>
      <c r="FW239" s="268"/>
      <c r="FX239" s="268"/>
      <c r="FY239" s="268"/>
      <c r="FZ239" s="823"/>
      <c r="GA239" s="822"/>
      <c r="GB239" s="268"/>
      <c r="GC239" s="268"/>
      <c r="GD239" s="268"/>
      <c r="GE239" s="823"/>
      <c r="GF239" s="822"/>
      <c r="GG239" s="268"/>
      <c r="GH239" s="268"/>
      <c r="GI239" s="268"/>
      <c r="GJ239" s="823"/>
    </row>
    <row r="240" spans="1:192" s="473" customFormat="1" ht="12.75" customHeight="1">
      <c r="A240" s="783"/>
      <c r="B240" s="821"/>
      <c r="C240" s="822"/>
      <c r="D240" s="268"/>
      <c r="E240" s="268"/>
      <c r="F240" s="268"/>
      <c r="G240" s="823"/>
      <c r="H240" s="822"/>
      <c r="I240" s="268"/>
      <c r="J240" s="268"/>
      <c r="K240" s="268"/>
      <c r="L240" s="823"/>
      <c r="M240" s="822"/>
      <c r="N240" s="268"/>
      <c r="O240" s="268"/>
      <c r="P240" s="268"/>
      <c r="Q240" s="823"/>
      <c r="R240" s="822"/>
      <c r="S240" s="268"/>
      <c r="T240" s="268"/>
      <c r="U240" s="268"/>
      <c r="V240" s="823"/>
      <c r="W240" s="822"/>
      <c r="X240" s="268"/>
      <c r="Y240" s="268"/>
      <c r="Z240" s="268"/>
      <c r="AA240" s="823"/>
      <c r="AB240" s="822"/>
      <c r="AC240" s="268"/>
      <c r="AD240" s="268"/>
      <c r="AE240" s="268"/>
      <c r="AF240" s="823"/>
      <c r="AG240" s="822"/>
      <c r="AH240" s="268"/>
      <c r="AI240" s="268"/>
      <c r="AJ240" s="268"/>
      <c r="AK240" s="823"/>
      <c r="AL240" s="822"/>
      <c r="AM240" s="268"/>
      <c r="AN240" s="268"/>
      <c r="AO240" s="268"/>
      <c r="AP240" s="823"/>
      <c r="AQ240" s="822"/>
      <c r="AR240" s="268"/>
      <c r="AS240" s="268"/>
      <c r="AT240" s="268"/>
      <c r="AU240" s="823"/>
      <c r="AV240" s="822"/>
      <c r="AW240" s="268"/>
      <c r="AX240" s="268"/>
      <c r="AY240" s="268"/>
      <c r="AZ240" s="823"/>
      <c r="BA240" s="822"/>
      <c r="BB240" s="268"/>
      <c r="BC240" s="268"/>
      <c r="BD240" s="268"/>
      <c r="BE240" s="823"/>
      <c r="BF240" s="822"/>
      <c r="BG240" s="268"/>
      <c r="BH240" s="268"/>
      <c r="BI240" s="268"/>
      <c r="BJ240" s="823"/>
      <c r="BK240" s="822"/>
      <c r="BL240" s="268"/>
      <c r="BM240" s="268"/>
      <c r="BN240" s="268"/>
      <c r="BO240" s="823"/>
      <c r="BP240" s="822"/>
      <c r="BQ240" s="268"/>
      <c r="BR240" s="268"/>
      <c r="BS240" s="268"/>
      <c r="BT240" s="823"/>
      <c r="BU240" s="822"/>
      <c r="BV240" s="268"/>
      <c r="BW240" s="268"/>
      <c r="BX240" s="268"/>
      <c r="BY240" s="823"/>
      <c r="BZ240" s="822"/>
      <c r="CA240" s="268"/>
      <c r="CB240" s="268"/>
      <c r="CC240" s="268"/>
      <c r="CD240" s="823"/>
      <c r="CE240" s="822"/>
      <c r="CF240" s="268"/>
      <c r="CG240" s="268"/>
      <c r="CH240" s="268"/>
      <c r="CI240" s="823"/>
      <c r="CJ240" s="822"/>
      <c r="CK240" s="268"/>
      <c r="CL240" s="268"/>
      <c r="CM240" s="268"/>
      <c r="CN240" s="823"/>
      <c r="CO240" s="822"/>
      <c r="CP240" s="268"/>
      <c r="CQ240" s="268"/>
      <c r="CR240" s="268"/>
      <c r="CS240" s="823"/>
      <c r="CT240" s="822"/>
      <c r="CU240" s="268"/>
      <c r="CV240" s="268"/>
      <c r="CW240" s="268"/>
      <c r="CX240" s="823"/>
      <c r="CY240" s="822"/>
      <c r="CZ240" s="268"/>
      <c r="DA240" s="268"/>
      <c r="DB240" s="268"/>
      <c r="DC240" s="823"/>
      <c r="DD240" s="822"/>
      <c r="DE240" s="268"/>
      <c r="DF240" s="268"/>
      <c r="DG240" s="268"/>
      <c r="DH240" s="823"/>
      <c r="DI240" s="822"/>
      <c r="DJ240" s="268"/>
      <c r="DK240" s="268"/>
      <c r="DL240" s="268"/>
      <c r="DM240" s="823"/>
      <c r="DN240" s="822"/>
      <c r="DO240" s="268"/>
      <c r="DP240" s="268"/>
      <c r="DQ240" s="268"/>
      <c r="DR240" s="823"/>
      <c r="DS240" s="822"/>
      <c r="DT240" s="268"/>
      <c r="DU240" s="268"/>
      <c r="DV240" s="268"/>
      <c r="DW240" s="823"/>
      <c r="DX240" s="822"/>
      <c r="DY240" s="268"/>
      <c r="DZ240" s="268"/>
      <c r="EA240" s="268"/>
      <c r="EB240" s="823"/>
      <c r="EC240" s="822"/>
      <c r="ED240" s="268"/>
      <c r="EE240" s="268"/>
      <c r="EF240" s="268"/>
      <c r="EG240" s="823"/>
      <c r="EH240" s="822"/>
      <c r="EI240" s="268"/>
      <c r="EJ240" s="268"/>
      <c r="EK240" s="268"/>
      <c r="EL240" s="824"/>
      <c r="EM240" s="822"/>
      <c r="EN240" s="268"/>
      <c r="EO240" s="268"/>
      <c r="EP240" s="268"/>
      <c r="EQ240" s="824"/>
      <c r="ER240" s="822"/>
      <c r="ES240" s="268"/>
      <c r="ET240" s="268"/>
      <c r="EU240" s="268"/>
      <c r="EV240" s="823"/>
      <c r="EW240" s="822"/>
      <c r="EX240" s="268"/>
      <c r="EY240" s="268"/>
      <c r="EZ240" s="268"/>
      <c r="FA240" s="823"/>
      <c r="FB240" s="822"/>
      <c r="FC240" s="268"/>
      <c r="FD240" s="268"/>
      <c r="FE240" s="268"/>
      <c r="FF240" s="823"/>
      <c r="FG240" s="822"/>
      <c r="FH240" s="268"/>
      <c r="FI240" s="268"/>
      <c r="FJ240" s="268"/>
      <c r="FK240" s="823"/>
      <c r="FL240" s="822"/>
      <c r="FM240" s="268"/>
      <c r="FN240" s="268"/>
      <c r="FO240" s="268"/>
      <c r="FP240" s="823"/>
      <c r="FQ240" s="822"/>
      <c r="FR240" s="268"/>
      <c r="FS240" s="268"/>
      <c r="FT240" s="268"/>
      <c r="FU240" s="823"/>
      <c r="FV240" s="822"/>
      <c r="FW240" s="268"/>
      <c r="FX240" s="268"/>
      <c r="FY240" s="268"/>
      <c r="FZ240" s="823"/>
      <c r="GA240" s="822"/>
      <c r="GB240" s="268"/>
      <c r="GC240" s="268"/>
      <c r="GD240" s="268"/>
      <c r="GE240" s="823"/>
      <c r="GF240" s="822"/>
      <c r="GG240" s="268"/>
      <c r="GH240" s="268"/>
      <c r="GI240" s="268"/>
      <c r="GJ240" s="823"/>
    </row>
    <row r="241" spans="1:192" s="473" customFormat="1" ht="12.75" customHeight="1">
      <c r="A241" s="783"/>
      <c r="B241" s="821"/>
      <c r="C241" s="822"/>
      <c r="D241" s="268"/>
      <c r="E241" s="268"/>
      <c r="F241" s="268"/>
      <c r="G241" s="823"/>
      <c r="H241" s="822"/>
      <c r="I241" s="268"/>
      <c r="J241" s="268"/>
      <c r="K241" s="268"/>
      <c r="L241" s="823"/>
      <c r="M241" s="822"/>
      <c r="N241" s="268"/>
      <c r="O241" s="268"/>
      <c r="P241" s="268"/>
      <c r="Q241" s="823"/>
      <c r="R241" s="822"/>
      <c r="S241" s="268"/>
      <c r="T241" s="268"/>
      <c r="U241" s="268"/>
      <c r="V241" s="823"/>
      <c r="W241" s="822"/>
      <c r="X241" s="268"/>
      <c r="Y241" s="268"/>
      <c r="Z241" s="268"/>
      <c r="AA241" s="823"/>
      <c r="AB241" s="822"/>
      <c r="AC241" s="268"/>
      <c r="AD241" s="268"/>
      <c r="AE241" s="268"/>
      <c r="AF241" s="823"/>
      <c r="AG241" s="822"/>
      <c r="AH241" s="268"/>
      <c r="AI241" s="268"/>
      <c r="AJ241" s="268"/>
      <c r="AK241" s="823"/>
      <c r="AL241" s="822"/>
      <c r="AM241" s="268"/>
      <c r="AN241" s="268"/>
      <c r="AO241" s="268"/>
      <c r="AP241" s="823"/>
      <c r="AQ241" s="822"/>
      <c r="AR241" s="268"/>
      <c r="AS241" s="268"/>
      <c r="AT241" s="268"/>
      <c r="AU241" s="823"/>
      <c r="AV241" s="822"/>
      <c r="AW241" s="268"/>
      <c r="AX241" s="268"/>
      <c r="AY241" s="268"/>
      <c r="AZ241" s="823"/>
      <c r="BA241" s="822"/>
      <c r="BB241" s="268"/>
      <c r="BC241" s="268"/>
      <c r="BD241" s="268"/>
      <c r="BE241" s="823"/>
      <c r="BF241" s="822"/>
      <c r="BG241" s="268"/>
      <c r="BH241" s="268"/>
      <c r="BI241" s="268"/>
      <c r="BJ241" s="823"/>
      <c r="BK241" s="822"/>
      <c r="BL241" s="268"/>
      <c r="BM241" s="268"/>
      <c r="BN241" s="268"/>
      <c r="BO241" s="823"/>
      <c r="BP241" s="822"/>
      <c r="BQ241" s="268"/>
      <c r="BR241" s="268"/>
      <c r="BS241" s="268"/>
      <c r="BT241" s="823"/>
      <c r="BU241" s="822"/>
      <c r="BV241" s="268"/>
      <c r="BW241" s="268"/>
      <c r="BX241" s="268"/>
      <c r="BY241" s="823"/>
      <c r="BZ241" s="822"/>
      <c r="CA241" s="268"/>
      <c r="CB241" s="268"/>
      <c r="CC241" s="268"/>
      <c r="CD241" s="823"/>
      <c r="CE241" s="822"/>
      <c r="CF241" s="268"/>
      <c r="CG241" s="268"/>
      <c r="CH241" s="268"/>
      <c r="CI241" s="823"/>
      <c r="CJ241" s="822"/>
      <c r="CK241" s="268"/>
      <c r="CL241" s="268"/>
      <c r="CM241" s="268"/>
      <c r="CN241" s="823"/>
      <c r="CO241" s="822"/>
      <c r="CP241" s="268"/>
      <c r="CQ241" s="268"/>
      <c r="CR241" s="268"/>
      <c r="CS241" s="823"/>
      <c r="CT241" s="822"/>
      <c r="CU241" s="268"/>
      <c r="CV241" s="268"/>
      <c r="CW241" s="268"/>
      <c r="CX241" s="823"/>
      <c r="CY241" s="822"/>
      <c r="CZ241" s="268"/>
      <c r="DA241" s="268"/>
      <c r="DB241" s="268"/>
      <c r="DC241" s="823"/>
      <c r="DD241" s="822"/>
      <c r="DE241" s="268"/>
      <c r="DF241" s="268"/>
      <c r="DG241" s="268"/>
      <c r="DH241" s="823"/>
      <c r="DI241" s="822"/>
      <c r="DJ241" s="268"/>
      <c r="DK241" s="268"/>
      <c r="DL241" s="268"/>
      <c r="DM241" s="823"/>
      <c r="DN241" s="822"/>
      <c r="DO241" s="268"/>
      <c r="DP241" s="268"/>
      <c r="DQ241" s="268"/>
      <c r="DR241" s="823"/>
      <c r="DS241" s="822"/>
      <c r="DT241" s="268"/>
      <c r="DU241" s="268"/>
      <c r="DV241" s="268"/>
      <c r="DW241" s="823"/>
      <c r="DX241" s="822"/>
      <c r="DY241" s="268"/>
      <c r="DZ241" s="268"/>
      <c r="EA241" s="268"/>
      <c r="EB241" s="823"/>
      <c r="EC241" s="822"/>
      <c r="ED241" s="268"/>
      <c r="EE241" s="268"/>
      <c r="EF241" s="268"/>
      <c r="EG241" s="823"/>
      <c r="EH241" s="822"/>
      <c r="EI241" s="268"/>
      <c r="EJ241" s="268"/>
      <c r="EK241" s="268"/>
      <c r="EL241" s="824"/>
      <c r="EM241" s="822"/>
      <c r="EN241" s="268"/>
      <c r="EO241" s="268"/>
      <c r="EP241" s="268"/>
      <c r="EQ241" s="824"/>
      <c r="ER241" s="822"/>
      <c r="ES241" s="268"/>
      <c r="ET241" s="268"/>
      <c r="EU241" s="268"/>
      <c r="EV241" s="823"/>
      <c r="EW241" s="822"/>
      <c r="EX241" s="268"/>
      <c r="EY241" s="268"/>
      <c r="EZ241" s="268"/>
      <c r="FA241" s="823"/>
      <c r="FB241" s="822"/>
      <c r="FC241" s="268"/>
      <c r="FD241" s="268"/>
      <c r="FE241" s="268"/>
      <c r="FF241" s="823"/>
      <c r="FG241" s="822"/>
      <c r="FH241" s="268"/>
      <c r="FI241" s="268"/>
      <c r="FJ241" s="268"/>
      <c r="FK241" s="823"/>
      <c r="FL241" s="822"/>
      <c r="FM241" s="268"/>
      <c r="FN241" s="268"/>
      <c r="FO241" s="268"/>
      <c r="FP241" s="823"/>
      <c r="FQ241" s="822"/>
      <c r="FR241" s="268"/>
      <c r="FS241" s="268"/>
      <c r="FT241" s="268"/>
      <c r="FU241" s="823"/>
      <c r="FV241" s="822"/>
      <c r="FW241" s="268"/>
      <c r="FX241" s="268"/>
      <c r="FY241" s="268"/>
      <c r="FZ241" s="823"/>
      <c r="GA241" s="822"/>
      <c r="GB241" s="268"/>
      <c r="GC241" s="268"/>
      <c r="GD241" s="268"/>
      <c r="GE241" s="823"/>
      <c r="GF241" s="822"/>
      <c r="GG241" s="268"/>
      <c r="GH241" s="268"/>
      <c r="GI241" s="268"/>
      <c r="GJ241" s="823"/>
    </row>
    <row r="242" spans="1:192" s="473" customFormat="1" ht="12.75" customHeight="1">
      <c r="A242" s="783"/>
      <c r="B242" s="821"/>
      <c r="C242" s="822"/>
      <c r="D242" s="268"/>
      <c r="E242" s="268"/>
      <c r="F242" s="268"/>
      <c r="G242" s="823"/>
      <c r="H242" s="822"/>
      <c r="I242" s="268"/>
      <c r="J242" s="268"/>
      <c r="K242" s="268"/>
      <c r="L242" s="823"/>
      <c r="M242" s="822"/>
      <c r="N242" s="268"/>
      <c r="O242" s="268"/>
      <c r="P242" s="268"/>
      <c r="Q242" s="823"/>
      <c r="R242" s="822"/>
      <c r="S242" s="268"/>
      <c r="T242" s="268"/>
      <c r="U242" s="268"/>
      <c r="V242" s="823"/>
      <c r="W242" s="822"/>
      <c r="X242" s="268"/>
      <c r="Y242" s="268"/>
      <c r="Z242" s="268"/>
      <c r="AA242" s="823"/>
      <c r="AB242" s="822"/>
      <c r="AC242" s="268"/>
      <c r="AD242" s="268"/>
      <c r="AE242" s="268"/>
      <c r="AF242" s="823"/>
      <c r="AG242" s="822"/>
      <c r="AH242" s="268"/>
      <c r="AI242" s="268"/>
      <c r="AJ242" s="268"/>
      <c r="AK242" s="823"/>
      <c r="AL242" s="822"/>
      <c r="AM242" s="268"/>
      <c r="AN242" s="268"/>
      <c r="AO242" s="268"/>
      <c r="AP242" s="823"/>
      <c r="AQ242" s="822"/>
      <c r="AR242" s="268"/>
      <c r="AS242" s="268"/>
      <c r="AT242" s="268"/>
      <c r="AU242" s="823"/>
      <c r="AV242" s="822"/>
      <c r="AW242" s="268"/>
      <c r="AX242" s="268"/>
      <c r="AY242" s="268"/>
      <c r="AZ242" s="823"/>
      <c r="BA242" s="822"/>
      <c r="BB242" s="268"/>
      <c r="BC242" s="268"/>
      <c r="BD242" s="268"/>
      <c r="BE242" s="823"/>
      <c r="BF242" s="822"/>
      <c r="BG242" s="268"/>
      <c r="BH242" s="268"/>
      <c r="BI242" s="268"/>
      <c r="BJ242" s="823"/>
      <c r="BK242" s="822"/>
      <c r="BL242" s="268"/>
      <c r="BM242" s="268"/>
      <c r="BN242" s="268"/>
      <c r="BO242" s="823"/>
      <c r="BP242" s="822"/>
      <c r="BQ242" s="268"/>
      <c r="BR242" s="268"/>
      <c r="BS242" s="268"/>
      <c r="BT242" s="823"/>
      <c r="BU242" s="822"/>
      <c r="BV242" s="268"/>
      <c r="BW242" s="268"/>
      <c r="BX242" s="268"/>
      <c r="BY242" s="823"/>
      <c r="BZ242" s="822"/>
      <c r="CA242" s="268"/>
      <c r="CB242" s="268"/>
      <c r="CC242" s="268"/>
      <c r="CD242" s="823"/>
      <c r="CE242" s="822"/>
      <c r="CF242" s="268"/>
      <c r="CG242" s="268"/>
      <c r="CH242" s="268"/>
      <c r="CI242" s="823"/>
      <c r="CJ242" s="822"/>
      <c r="CK242" s="268"/>
      <c r="CL242" s="268"/>
      <c r="CM242" s="268"/>
      <c r="CN242" s="823"/>
      <c r="CO242" s="822"/>
      <c r="CP242" s="268"/>
      <c r="CQ242" s="268"/>
      <c r="CR242" s="268"/>
      <c r="CS242" s="823"/>
      <c r="CT242" s="822"/>
      <c r="CU242" s="268"/>
      <c r="CV242" s="268"/>
      <c r="CW242" s="268"/>
      <c r="CX242" s="823"/>
      <c r="CY242" s="822"/>
      <c r="CZ242" s="268"/>
      <c r="DA242" s="268"/>
      <c r="DB242" s="268"/>
      <c r="DC242" s="823"/>
      <c r="DD242" s="822"/>
      <c r="DE242" s="268"/>
      <c r="DF242" s="268"/>
      <c r="DG242" s="268"/>
      <c r="DH242" s="823"/>
      <c r="DI242" s="822"/>
      <c r="DJ242" s="268"/>
      <c r="DK242" s="268"/>
      <c r="DL242" s="268"/>
      <c r="DM242" s="823"/>
      <c r="DN242" s="822"/>
      <c r="DO242" s="268"/>
      <c r="DP242" s="268"/>
      <c r="DQ242" s="268"/>
      <c r="DR242" s="823"/>
      <c r="DS242" s="822"/>
      <c r="DT242" s="268"/>
      <c r="DU242" s="268"/>
      <c r="DV242" s="268"/>
      <c r="DW242" s="823"/>
      <c r="DX242" s="822"/>
      <c r="DY242" s="268"/>
      <c r="DZ242" s="268"/>
      <c r="EA242" s="268"/>
      <c r="EB242" s="823"/>
      <c r="EC242" s="822"/>
      <c r="ED242" s="268"/>
      <c r="EE242" s="268"/>
      <c r="EF242" s="268"/>
      <c r="EG242" s="823"/>
      <c r="EH242" s="822"/>
      <c r="EI242" s="268"/>
      <c r="EJ242" s="268"/>
      <c r="EK242" s="268"/>
      <c r="EL242" s="824"/>
      <c r="EM242" s="822"/>
      <c r="EN242" s="268"/>
      <c r="EO242" s="268"/>
      <c r="EP242" s="268"/>
      <c r="EQ242" s="824"/>
      <c r="ER242" s="822"/>
      <c r="ES242" s="268"/>
      <c r="ET242" s="268"/>
      <c r="EU242" s="268"/>
      <c r="EV242" s="823"/>
      <c r="EW242" s="822"/>
      <c r="EX242" s="268"/>
      <c r="EY242" s="268"/>
      <c r="EZ242" s="268"/>
      <c r="FA242" s="823"/>
      <c r="FB242" s="822"/>
      <c r="FC242" s="268"/>
      <c r="FD242" s="268"/>
      <c r="FE242" s="268"/>
      <c r="FF242" s="823"/>
      <c r="FG242" s="822"/>
      <c r="FH242" s="268"/>
      <c r="FI242" s="268"/>
      <c r="FJ242" s="268"/>
      <c r="FK242" s="823"/>
      <c r="FL242" s="822"/>
      <c r="FM242" s="268"/>
      <c r="FN242" s="268"/>
      <c r="FO242" s="268"/>
      <c r="FP242" s="823"/>
      <c r="FQ242" s="822"/>
      <c r="FR242" s="268"/>
      <c r="FS242" s="268"/>
      <c r="FT242" s="268"/>
      <c r="FU242" s="823"/>
      <c r="FV242" s="822"/>
      <c r="FW242" s="268"/>
      <c r="FX242" s="268"/>
      <c r="FY242" s="268"/>
      <c r="FZ242" s="823"/>
      <c r="GA242" s="822"/>
      <c r="GB242" s="268"/>
      <c r="GC242" s="268"/>
      <c r="GD242" s="268"/>
      <c r="GE242" s="823"/>
      <c r="GF242" s="822"/>
      <c r="GG242" s="268"/>
      <c r="GH242" s="268"/>
      <c r="GI242" s="268"/>
      <c r="GJ242" s="823"/>
    </row>
    <row r="243" spans="1:192" s="473" customFormat="1" ht="12.75" customHeight="1">
      <c r="A243" s="783"/>
      <c r="B243" s="283"/>
      <c r="C243" s="284"/>
      <c r="D243" s="288"/>
      <c r="E243" s="288"/>
      <c r="F243" s="288"/>
      <c r="G243" s="288"/>
      <c r="H243" s="284"/>
      <c r="I243" s="288"/>
      <c r="J243" s="288"/>
      <c r="K243" s="288"/>
      <c r="L243" s="288"/>
      <c r="M243" s="284"/>
      <c r="N243" s="288"/>
      <c r="O243" s="288"/>
      <c r="P243" s="288"/>
      <c r="Q243" s="288"/>
      <c r="R243" s="284"/>
      <c r="S243" s="288"/>
      <c r="T243" s="288"/>
      <c r="U243" s="288"/>
      <c r="V243" s="288"/>
      <c r="W243" s="284"/>
      <c r="X243" s="288"/>
      <c r="Y243" s="288"/>
      <c r="Z243" s="288"/>
      <c r="AA243" s="288"/>
      <c r="AB243" s="284"/>
      <c r="AC243" s="288"/>
      <c r="AD243" s="288"/>
      <c r="AE243" s="288"/>
      <c r="AF243" s="288"/>
      <c r="AG243" s="284"/>
      <c r="AH243" s="288"/>
      <c r="AI243" s="288"/>
      <c r="AJ243" s="288"/>
      <c r="AK243" s="288"/>
      <c r="AL243" s="284"/>
      <c r="AM243" s="288"/>
      <c r="AN243" s="288"/>
      <c r="AO243" s="288"/>
      <c r="AP243" s="288"/>
      <c r="AQ243" s="284"/>
      <c r="AR243" s="288"/>
      <c r="AS243" s="288"/>
      <c r="AT243" s="288"/>
      <c r="AU243" s="288"/>
      <c r="AV243" s="284"/>
      <c r="AW243" s="288"/>
      <c r="AX243" s="288"/>
      <c r="AY243" s="288"/>
      <c r="AZ243" s="288"/>
      <c r="BA243" s="284"/>
      <c r="BB243" s="288"/>
      <c r="BC243" s="288"/>
      <c r="BD243" s="288"/>
      <c r="BE243" s="288"/>
      <c r="BF243" s="284"/>
      <c r="BG243" s="288"/>
      <c r="BH243" s="288"/>
      <c r="BI243" s="288"/>
      <c r="BJ243" s="288"/>
      <c r="BK243" s="284"/>
      <c r="BL243" s="288"/>
      <c r="BM243" s="288"/>
      <c r="BN243" s="288"/>
      <c r="BO243" s="288"/>
      <c r="BP243" s="284"/>
      <c r="BQ243" s="288"/>
      <c r="BR243" s="288"/>
      <c r="BS243" s="288"/>
      <c r="BT243" s="288"/>
      <c r="BU243" s="284"/>
      <c r="BV243" s="288"/>
      <c r="BW243" s="288"/>
      <c r="BX243" s="288"/>
      <c r="BY243" s="288"/>
      <c r="BZ243" s="284"/>
      <c r="CA243" s="288"/>
      <c r="CB243" s="288"/>
      <c r="CC243" s="288"/>
      <c r="CD243" s="288"/>
      <c r="CE243" s="284"/>
      <c r="CF243" s="288"/>
      <c r="CG243" s="288"/>
      <c r="CH243" s="288"/>
      <c r="CI243" s="288"/>
      <c r="CJ243" s="284"/>
      <c r="CK243" s="288"/>
      <c r="CL243" s="288"/>
      <c r="CM243" s="288"/>
      <c r="CN243" s="288"/>
      <c r="CO243" s="284"/>
      <c r="CP243" s="288"/>
      <c r="CQ243" s="288"/>
      <c r="CR243" s="288"/>
      <c r="CS243" s="288"/>
      <c r="CT243" s="284"/>
      <c r="CU243" s="288"/>
      <c r="CV243" s="288"/>
      <c r="CW243" s="288"/>
      <c r="CX243" s="288"/>
      <c r="CY243" s="284"/>
      <c r="CZ243" s="288"/>
      <c r="DA243" s="288"/>
      <c r="DB243" s="288"/>
      <c r="DC243" s="288"/>
      <c r="DD243" s="284"/>
      <c r="DE243" s="288"/>
      <c r="DF243" s="288"/>
      <c r="DG243" s="288"/>
      <c r="DH243" s="288"/>
      <c r="DI243" s="284"/>
      <c r="DJ243" s="288"/>
      <c r="DK243" s="288"/>
      <c r="DL243" s="288"/>
      <c r="DM243" s="288"/>
      <c r="DN243" s="284"/>
      <c r="DO243" s="288"/>
      <c r="DP243" s="288"/>
      <c r="DQ243" s="288"/>
      <c r="DR243" s="288"/>
      <c r="DS243" s="284"/>
      <c r="DT243" s="288"/>
      <c r="DU243" s="288"/>
      <c r="DV243" s="288"/>
      <c r="DW243" s="288"/>
      <c r="DX243" s="284"/>
      <c r="DY243" s="288"/>
      <c r="DZ243" s="288"/>
      <c r="EA243" s="288"/>
      <c r="EB243" s="288"/>
      <c r="EC243" s="284"/>
      <c r="ED243" s="288"/>
      <c r="EE243" s="288"/>
      <c r="EF243" s="288"/>
      <c r="EG243" s="288"/>
      <c r="EH243" s="284"/>
      <c r="EI243" s="288"/>
      <c r="EJ243" s="288"/>
      <c r="EK243" s="288"/>
      <c r="EL243" s="142"/>
      <c r="EM243" s="284"/>
      <c r="EN243" s="288"/>
      <c r="EO243" s="268"/>
      <c r="EP243" s="268"/>
      <c r="EQ243" s="824"/>
      <c r="ER243" s="822"/>
      <c r="ES243" s="268"/>
      <c r="ET243" s="268"/>
      <c r="EU243" s="268"/>
      <c r="EV243" s="823"/>
      <c r="EW243" s="822"/>
      <c r="EX243" s="268"/>
      <c r="EY243" s="268"/>
      <c r="EZ243" s="268"/>
      <c r="FA243" s="823"/>
      <c r="FB243" s="822"/>
      <c r="FC243" s="268"/>
      <c r="FD243" s="268"/>
      <c r="FE243" s="268"/>
      <c r="FF243" s="823"/>
      <c r="FG243" s="822"/>
      <c r="FH243" s="268"/>
      <c r="FI243" s="268"/>
      <c r="FJ243" s="268"/>
      <c r="FK243" s="823"/>
      <c r="FL243" s="822"/>
      <c r="FM243" s="268"/>
      <c r="FN243" s="268"/>
      <c r="FO243" s="268"/>
      <c r="FP243" s="823"/>
      <c r="FQ243" s="822"/>
      <c r="FR243" s="268"/>
      <c r="FS243" s="268"/>
      <c r="FT243" s="268"/>
      <c r="FU243" s="823"/>
      <c r="FV243" s="822"/>
      <c r="FW243" s="268"/>
      <c r="FX243" s="268"/>
      <c r="FY243" s="268"/>
      <c r="FZ243" s="823"/>
      <c r="GA243" s="822"/>
      <c r="GB243" s="268"/>
      <c r="GC243" s="268"/>
      <c r="GD243" s="268"/>
      <c r="GE243" s="823"/>
      <c r="GF243" s="822"/>
      <c r="GG243" s="268"/>
      <c r="GH243" s="268"/>
      <c r="GI243" s="268"/>
      <c r="GJ243" s="823"/>
    </row>
    <row r="244" spans="1:192" s="473" customFormat="1" ht="12.75" customHeight="1">
      <c r="A244" s="783"/>
      <c r="B244" s="283"/>
      <c r="C244" s="284"/>
      <c r="D244" s="288"/>
      <c r="E244" s="288"/>
      <c r="F244" s="288"/>
      <c r="G244" s="288"/>
      <c r="H244" s="284"/>
      <c r="I244" s="288"/>
      <c r="J244" s="288"/>
      <c r="K244" s="288"/>
      <c r="L244" s="288"/>
      <c r="M244" s="284"/>
      <c r="N244" s="288"/>
      <c r="O244" s="288"/>
      <c r="P244" s="288"/>
      <c r="Q244" s="288"/>
      <c r="R244" s="284"/>
      <c r="S244" s="288"/>
      <c r="T244" s="288"/>
      <c r="U244" s="288"/>
      <c r="V244" s="288"/>
      <c r="W244" s="284"/>
      <c r="X244" s="288"/>
      <c r="Y244" s="288"/>
      <c r="Z244" s="288"/>
      <c r="AA244" s="288"/>
      <c r="AB244" s="284"/>
      <c r="AC244" s="288"/>
      <c r="AD244" s="288"/>
      <c r="AE244" s="288"/>
      <c r="AF244" s="288"/>
      <c r="AG244" s="284"/>
      <c r="AH244" s="288"/>
      <c r="AI244" s="288"/>
      <c r="AJ244" s="288"/>
      <c r="AK244" s="288"/>
      <c r="AL244" s="284"/>
      <c r="AM244" s="288"/>
      <c r="AN244" s="288"/>
      <c r="AO244" s="288"/>
      <c r="AP244" s="288"/>
      <c r="AQ244" s="284"/>
      <c r="AR244" s="288"/>
      <c r="AS244" s="288"/>
      <c r="AT244" s="288"/>
      <c r="AU244" s="288"/>
      <c r="AV244" s="284"/>
      <c r="AW244" s="288"/>
      <c r="AX244" s="288"/>
      <c r="AY244" s="288"/>
      <c r="AZ244" s="288"/>
      <c r="BA244" s="284"/>
      <c r="BB244" s="288"/>
      <c r="BC244" s="288"/>
      <c r="BD244" s="288"/>
      <c r="BE244" s="288"/>
      <c r="BF244" s="284"/>
      <c r="BG244" s="288"/>
      <c r="BH244" s="288"/>
      <c r="BI244" s="288"/>
      <c r="BJ244" s="288"/>
      <c r="BK244" s="284"/>
      <c r="BL244" s="288"/>
      <c r="BM244" s="288"/>
      <c r="BN244" s="288"/>
      <c r="BO244" s="288"/>
      <c r="BP244" s="284"/>
      <c r="BQ244" s="288"/>
      <c r="BR244" s="288"/>
      <c r="BS244" s="288"/>
      <c r="BT244" s="288"/>
      <c r="BU244" s="284"/>
      <c r="BV244" s="288"/>
      <c r="BW244" s="288"/>
      <c r="BX244" s="288"/>
      <c r="BY244" s="288"/>
      <c r="BZ244" s="284"/>
      <c r="CA244" s="288"/>
      <c r="CB244" s="288"/>
      <c r="CC244" s="288"/>
      <c r="CD244" s="288"/>
      <c r="CE244" s="284"/>
      <c r="CF244" s="288"/>
      <c r="CG244" s="288"/>
      <c r="CH244" s="288"/>
      <c r="CI244" s="288"/>
      <c r="CJ244" s="284"/>
      <c r="CK244" s="288"/>
      <c r="CL244" s="288"/>
      <c r="CM244" s="288"/>
      <c r="CN244" s="288"/>
      <c r="CO244" s="284"/>
      <c r="CP244" s="288"/>
      <c r="CQ244" s="288"/>
      <c r="CR244" s="288"/>
      <c r="CS244" s="288"/>
      <c r="CT244" s="284"/>
      <c r="CU244" s="288"/>
      <c r="CV244" s="288"/>
      <c r="CW244" s="288"/>
      <c r="CX244" s="288"/>
      <c r="CY244" s="284"/>
      <c r="CZ244" s="288"/>
      <c r="DA244" s="288"/>
      <c r="DB244" s="288"/>
      <c r="DC244" s="288"/>
      <c r="DD244" s="284"/>
      <c r="DE244" s="288"/>
      <c r="DF244" s="288"/>
      <c r="DG244" s="288"/>
      <c r="DH244" s="288"/>
      <c r="DI244" s="284"/>
      <c r="DJ244" s="288"/>
      <c r="DK244" s="288"/>
      <c r="DL244" s="288"/>
      <c r="DM244" s="288"/>
      <c r="DN244" s="284"/>
      <c r="DO244" s="288"/>
      <c r="DP244" s="288"/>
      <c r="DQ244" s="288"/>
      <c r="DR244" s="288"/>
      <c r="DS244" s="284"/>
      <c r="DT244" s="288"/>
      <c r="DU244" s="288"/>
      <c r="DV244" s="288"/>
      <c r="DW244" s="288"/>
      <c r="DX244" s="284"/>
      <c r="DY244" s="288"/>
      <c r="DZ244" s="288"/>
      <c r="EA244" s="288"/>
      <c r="EB244" s="288"/>
      <c r="EC244" s="284"/>
      <c r="ED244" s="288"/>
      <c r="EE244" s="288"/>
      <c r="EF244" s="288"/>
      <c r="EG244" s="288"/>
      <c r="EH244" s="284"/>
      <c r="EI244" s="288"/>
      <c r="EJ244" s="288"/>
      <c r="EK244" s="288"/>
      <c r="EL244" s="142"/>
      <c r="EM244" s="284"/>
      <c r="EN244" s="288"/>
      <c r="EO244" s="268"/>
      <c r="EP244" s="268"/>
      <c r="EQ244" s="824"/>
      <c r="ER244" s="822"/>
      <c r="ES244" s="268"/>
      <c r="ET244" s="268"/>
      <c r="EU244" s="268"/>
      <c r="EV244" s="823"/>
      <c r="EW244" s="822"/>
      <c r="EX244" s="268"/>
      <c r="EY244" s="268"/>
      <c r="EZ244" s="268"/>
      <c r="FA244" s="823"/>
      <c r="FB244" s="822"/>
      <c r="FC244" s="268"/>
      <c r="FD244" s="268"/>
      <c r="FE244" s="268"/>
      <c r="FF244" s="823"/>
      <c r="FG244" s="822"/>
      <c r="FH244" s="268"/>
      <c r="FI244" s="268"/>
      <c r="FJ244" s="268"/>
      <c r="FK244" s="823"/>
      <c r="FL244" s="822"/>
      <c r="FM244" s="268"/>
      <c r="FN244" s="268"/>
      <c r="FO244" s="268"/>
      <c r="FP244" s="823"/>
      <c r="FQ244" s="822"/>
      <c r="FR244" s="268"/>
      <c r="FS244" s="268"/>
      <c r="FT244" s="268"/>
      <c r="FU244" s="823"/>
      <c r="FV244" s="822"/>
      <c r="FW244" s="268"/>
      <c r="FX244" s="268"/>
      <c r="FY244" s="268"/>
      <c r="FZ244" s="823"/>
      <c r="GA244" s="822"/>
      <c r="GB244" s="268"/>
      <c r="GC244" s="268"/>
      <c r="GD244" s="268"/>
      <c r="GE244" s="823"/>
      <c r="GF244" s="822"/>
      <c r="GG244" s="268"/>
      <c r="GH244" s="268"/>
      <c r="GI244" s="268"/>
      <c r="GJ244" s="823"/>
    </row>
    <row r="245" spans="1:192" s="473" customFormat="1" ht="12.75" customHeight="1">
      <c r="A245" s="783"/>
      <c r="B245" s="283"/>
      <c r="C245" s="284"/>
      <c r="D245" s="288"/>
      <c r="E245" s="288"/>
      <c r="F245" s="288"/>
      <c r="G245" s="288"/>
      <c r="H245" s="284"/>
      <c r="I245" s="288"/>
      <c r="J245" s="288"/>
      <c r="K245" s="288"/>
      <c r="L245" s="288"/>
      <c r="M245" s="284"/>
      <c r="N245" s="288"/>
      <c r="O245" s="288"/>
      <c r="P245" s="288"/>
      <c r="Q245" s="288"/>
      <c r="R245" s="284"/>
      <c r="S245" s="288"/>
      <c r="T245" s="288"/>
      <c r="U245" s="288"/>
      <c r="V245" s="288"/>
      <c r="W245" s="284"/>
      <c r="X245" s="288"/>
      <c r="Y245" s="288"/>
      <c r="Z245" s="288"/>
      <c r="AA245" s="288"/>
      <c r="AB245" s="284"/>
      <c r="AC245" s="288"/>
      <c r="AD245" s="288"/>
      <c r="AE245" s="288"/>
      <c r="AF245" s="288"/>
      <c r="AG245" s="284"/>
      <c r="AH245" s="288"/>
      <c r="AI245" s="288"/>
      <c r="AJ245" s="288"/>
      <c r="AK245" s="288"/>
      <c r="AL245" s="284"/>
      <c r="AM245" s="288"/>
      <c r="AN245" s="288"/>
      <c r="AO245" s="288"/>
      <c r="AP245" s="288"/>
      <c r="AQ245" s="284"/>
      <c r="AR245" s="288"/>
      <c r="AS245" s="288"/>
      <c r="AT245" s="288"/>
      <c r="AU245" s="288"/>
      <c r="AV245" s="284"/>
      <c r="AW245" s="288"/>
      <c r="AX245" s="288"/>
      <c r="AY245" s="288"/>
      <c r="AZ245" s="288"/>
      <c r="BA245" s="284"/>
      <c r="BB245" s="288"/>
      <c r="BC245" s="288"/>
      <c r="BD245" s="288"/>
      <c r="BE245" s="288"/>
      <c r="BF245" s="284"/>
      <c r="BG245" s="288"/>
      <c r="BH245" s="288"/>
      <c r="BI245" s="288"/>
      <c r="BJ245" s="288"/>
      <c r="BK245" s="284"/>
      <c r="BL245" s="288"/>
      <c r="BM245" s="288"/>
      <c r="BN245" s="288"/>
      <c r="BO245" s="288"/>
      <c r="BP245" s="284"/>
      <c r="BQ245" s="288"/>
      <c r="BR245" s="288"/>
      <c r="BS245" s="288"/>
      <c r="BT245" s="288"/>
      <c r="BU245" s="284"/>
      <c r="BV245" s="288"/>
      <c r="BW245" s="288"/>
      <c r="BX245" s="288"/>
      <c r="BY245" s="288"/>
      <c r="BZ245" s="284"/>
      <c r="CA245" s="288"/>
      <c r="CB245" s="288"/>
      <c r="CC245" s="288"/>
      <c r="CD245" s="288"/>
      <c r="CE245" s="284"/>
      <c r="CF245" s="288"/>
      <c r="CG245" s="288"/>
      <c r="CH245" s="288"/>
      <c r="CI245" s="288"/>
      <c r="CJ245" s="284"/>
      <c r="CK245" s="288"/>
      <c r="CL245" s="288"/>
      <c r="CM245" s="288"/>
      <c r="CN245" s="288"/>
      <c r="CO245" s="284"/>
      <c r="CP245" s="288"/>
      <c r="CQ245" s="288"/>
      <c r="CR245" s="288"/>
      <c r="CS245" s="288"/>
      <c r="CT245" s="284"/>
      <c r="CU245" s="288"/>
      <c r="CV245" s="288"/>
      <c r="CW245" s="288"/>
      <c r="CX245" s="288"/>
      <c r="CY245" s="284"/>
      <c r="CZ245" s="288"/>
      <c r="DA245" s="288"/>
      <c r="DB245" s="288"/>
      <c r="DC245" s="288"/>
      <c r="DD245" s="284"/>
      <c r="DE245" s="288"/>
      <c r="DF245" s="288"/>
      <c r="DG245" s="288"/>
      <c r="DH245" s="288"/>
      <c r="DI245" s="284"/>
      <c r="DJ245" s="288"/>
      <c r="DK245" s="288"/>
      <c r="DL245" s="288"/>
      <c r="DM245" s="288"/>
      <c r="DN245" s="284"/>
      <c r="DO245" s="288"/>
      <c r="DP245" s="288"/>
      <c r="DQ245" s="288"/>
      <c r="DR245" s="288"/>
      <c r="DS245" s="284"/>
      <c r="DT245" s="288"/>
      <c r="DU245" s="288"/>
      <c r="DV245" s="288"/>
      <c r="DW245" s="288"/>
      <c r="DX245" s="284"/>
      <c r="DY245" s="288"/>
      <c r="DZ245" s="288"/>
      <c r="EA245" s="288"/>
      <c r="EB245" s="288"/>
      <c r="EC245" s="284"/>
      <c r="ED245" s="288"/>
      <c r="EE245" s="288"/>
      <c r="EF245" s="288"/>
      <c r="EG245" s="288"/>
      <c r="EH245" s="284"/>
      <c r="EI245" s="288"/>
      <c r="EJ245" s="288"/>
      <c r="EK245" s="288"/>
      <c r="EL245" s="142"/>
      <c r="EM245" s="284"/>
      <c r="EN245" s="288"/>
      <c r="EO245" s="268"/>
      <c r="EP245" s="268"/>
      <c r="EQ245" s="824"/>
      <c r="ER245" s="822"/>
      <c r="ES245" s="268"/>
      <c r="ET245" s="268"/>
      <c r="EU245" s="268"/>
      <c r="EV245" s="823"/>
      <c r="EW245" s="822"/>
      <c r="EX245" s="268"/>
      <c r="EY245" s="268"/>
      <c r="EZ245" s="268"/>
      <c r="FA245" s="823"/>
      <c r="FB245" s="822"/>
      <c r="FC245" s="268"/>
      <c r="FD245" s="268"/>
      <c r="FE245" s="268"/>
      <c r="FF245" s="823"/>
      <c r="FG245" s="822"/>
      <c r="FH245" s="268"/>
      <c r="FI245" s="268"/>
      <c r="FJ245" s="268"/>
      <c r="FK245" s="823"/>
      <c r="FL245" s="822"/>
      <c r="FM245" s="268"/>
      <c r="FN245" s="268"/>
      <c r="FO245" s="268"/>
      <c r="FP245" s="823"/>
      <c r="FQ245" s="822"/>
      <c r="FR245" s="268"/>
      <c r="FS245" s="268"/>
      <c r="FT245" s="268"/>
      <c r="FU245" s="823"/>
      <c r="FV245" s="822"/>
      <c r="FW245" s="268"/>
      <c r="FX245" s="268"/>
      <c r="FY245" s="268"/>
      <c r="FZ245" s="823"/>
      <c r="GA245" s="822"/>
      <c r="GB245" s="268"/>
      <c r="GC245" s="268"/>
      <c r="GD245" s="268"/>
      <c r="GE245" s="823"/>
      <c r="GF245" s="822"/>
      <c r="GG245" s="268"/>
      <c r="GH245" s="268"/>
      <c r="GI245" s="268"/>
      <c r="GJ245" s="823"/>
    </row>
  </sheetData>
  <pageMargins left="0.7" right="0.7" top="0.75" bottom="0.75" header="0.3" footer="0.3"/>
  <pageSetup orientation="portrait" r:id="rId1"/>
  <customProperties>
    <customPr name="Qube.Worksheet.Visibility" r:id="rId2"/>
  </customPropertie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7EE7EA-1C84-4A7C-9F34-F29F2E395DDF}">
  <sheetPr>
    <tabColor rgb="FF002060"/>
  </sheetPr>
  <dimension ref="A1:GJ609"/>
  <sheetViews>
    <sheetView showGridLines="0" zoomScaleNormal="100" workbookViewId="0">
      <pane xSplit="2" ySplit="8" topLeftCell="EW9" activePane="bottomRight" state="frozen"/>
      <selection activeCell="DD115" sqref="DD115"/>
      <selection pane="topRight" activeCell="DD115" sqref="DD115"/>
      <selection pane="bottomLeft" activeCell="DD115" sqref="DD115"/>
      <selection pane="bottomRight"/>
    </sheetView>
  </sheetViews>
  <sheetFormatPr defaultRowHeight="12.75" customHeight="1" outlineLevelRow="1" outlineLevelCol="1"/>
  <cols>
    <col min="1" max="1" width="3.5546875" style="68" customWidth="1"/>
    <col min="2" max="2" width="44.88671875" style="672" bestFit="1" customWidth="1"/>
    <col min="3" max="6" width="9.109375" hidden="1" customWidth="1" outlineLevel="1"/>
    <col min="7" max="7" width="10.5546875" customWidth="1" collapsed="1"/>
    <col min="8" max="11" width="10.5546875" hidden="1" customWidth="1" outlineLevel="1"/>
    <col min="12" max="12" width="10.5546875" customWidth="1" collapsed="1"/>
    <col min="13" max="16" width="10.5546875" hidden="1" customWidth="1" outlineLevel="1"/>
    <col min="17" max="17" width="10.5546875" customWidth="1" collapsed="1"/>
    <col min="18" max="21" width="10.5546875" hidden="1" customWidth="1" outlineLevel="1"/>
    <col min="22" max="22" width="10.5546875" customWidth="1" collapsed="1"/>
    <col min="23" max="26" width="10.5546875" hidden="1" customWidth="1" outlineLevel="1"/>
    <col min="27" max="27" width="10.5546875" customWidth="1" collapsed="1"/>
    <col min="28" max="31" width="10.5546875" hidden="1" customWidth="1" outlineLevel="1"/>
    <col min="32" max="32" width="10.5546875" customWidth="1" collapsed="1"/>
    <col min="33" max="36" width="10.5546875" hidden="1" customWidth="1" outlineLevel="1"/>
    <col min="37" max="37" width="10.5546875" customWidth="1" collapsed="1"/>
    <col min="38" max="41" width="10.5546875" hidden="1" customWidth="1" outlineLevel="1"/>
    <col min="42" max="42" width="10.5546875" customWidth="1" collapsed="1"/>
    <col min="43" max="46" width="10.5546875" hidden="1" customWidth="1" outlineLevel="1"/>
    <col min="47" max="47" width="10.5546875" customWidth="1" collapsed="1"/>
    <col min="48" max="51" width="10.5546875" hidden="1" customWidth="1" outlineLevel="1"/>
    <col min="52" max="52" width="10.5546875" customWidth="1" collapsed="1"/>
    <col min="53" max="56" width="10.5546875" hidden="1" customWidth="1" outlineLevel="1"/>
    <col min="57" max="57" width="10.5546875" customWidth="1" collapsed="1"/>
    <col min="58" max="61" width="10.5546875" hidden="1" customWidth="1" outlineLevel="1"/>
    <col min="62" max="62" width="10.5546875" customWidth="1" collapsed="1"/>
    <col min="63" max="66" width="10.5546875" hidden="1" customWidth="1" outlineLevel="1"/>
    <col min="67" max="67" width="10.5546875" customWidth="1" collapsed="1"/>
    <col min="68" max="71" width="10.5546875" hidden="1" customWidth="1" outlineLevel="1"/>
    <col min="72" max="72" width="10.5546875" customWidth="1" collapsed="1"/>
    <col min="73" max="76" width="10.5546875" hidden="1" customWidth="1" outlineLevel="1"/>
    <col min="77" max="77" width="10.5546875" customWidth="1" collapsed="1"/>
    <col min="78" max="81" width="10.5546875" hidden="1" customWidth="1" outlineLevel="1"/>
    <col min="82" max="82" width="10.5546875" customWidth="1" collapsed="1"/>
    <col min="83" max="86" width="10.5546875" hidden="1" customWidth="1" outlineLevel="1"/>
    <col min="87" max="87" width="10.5546875" customWidth="1" collapsed="1"/>
    <col min="88" max="91" width="10.5546875" hidden="1" customWidth="1" outlineLevel="1"/>
    <col min="92" max="92" width="10.5546875" customWidth="1" collapsed="1"/>
    <col min="93" max="96" width="10.5546875" hidden="1" customWidth="1" outlineLevel="1"/>
    <col min="97" max="97" width="10.5546875" customWidth="1" collapsed="1"/>
    <col min="98" max="101" width="10.5546875" hidden="1" customWidth="1" outlineLevel="1"/>
    <col min="102" max="102" width="10.5546875" customWidth="1" collapsed="1"/>
    <col min="103" max="106" width="10.5546875" hidden="1" customWidth="1" outlineLevel="1"/>
    <col min="107" max="107" width="10.5546875" customWidth="1" collapsed="1"/>
    <col min="108" max="111" width="10.5546875" hidden="1" customWidth="1" outlineLevel="1"/>
    <col min="112" max="112" width="10.5546875" customWidth="1" collapsed="1"/>
    <col min="113" max="116" width="10.5546875" hidden="1" customWidth="1" outlineLevel="1"/>
    <col min="117" max="117" width="10.5546875" customWidth="1" collapsed="1"/>
    <col min="118" max="121" width="10.5546875" hidden="1" customWidth="1" outlineLevel="1"/>
    <col min="122" max="122" width="10.5546875" customWidth="1" collapsed="1"/>
    <col min="123" max="126" width="10.5546875" hidden="1" customWidth="1" outlineLevel="1"/>
    <col min="127" max="127" width="10.5546875" customWidth="1" collapsed="1"/>
    <col min="128" max="131" width="11.5546875" hidden="1" customWidth="1" outlineLevel="1"/>
    <col min="132" max="132" width="10.5546875" customWidth="1" collapsed="1"/>
    <col min="133" max="136" width="10.5546875" hidden="1" customWidth="1" outlineLevel="1"/>
    <col min="137" max="137" width="10.5546875" customWidth="1" collapsed="1"/>
    <col min="138" max="141" width="10.5546875" hidden="1" customWidth="1" outlineLevel="1"/>
    <col min="142" max="142" width="10.5546875" customWidth="1" collapsed="1"/>
    <col min="143" max="146" width="10.5546875" hidden="1" customWidth="1" outlineLevel="1"/>
    <col min="147" max="147" width="10.5546875" customWidth="1" collapsed="1"/>
    <col min="148" max="151" width="10.5546875" hidden="1" customWidth="1" outlineLevel="1"/>
    <col min="152" max="152" width="10.5546875" customWidth="1" collapsed="1"/>
    <col min="153" max="156" width="10.5546875" customWidth="1" outlineLevel="1"/>
    <col min="157" max="157" width="10.5546875" customWidth="1"/>
    <col min="158" max="161" width="10.5546875" customWidth="1" outlineLevel="1"/>
    <col min="162" max="162" width="10.5546875" customWidth="1"/>
    <col min="163" max="166" width="10.5546875" customWidth="1" outlineLevel="1"/>
    <col min="167" max="167" width="10.5546875" customWidth="1"/>
    <col min="168" max="170" width="10.5546875" hidden="1" customWidth="1" outlineLevel="1"/>
    <col min="171" max="171" width="11.44140625" hidden="1" customWidth="1" outlineLevel="1"/>
    <col min="172" max="172" width="11.44140625" bestFit="1" customWidth="1" collapsed="1"/>
    <col min="173" max="176" width="11.44140625" hidden="1" customWidth="1" outlineLevel="1"/>
    <col min="177" max="177" width="11.44140625" bestFit="1" customWidth="1" collapsed="1"/>
    <col min="178" max="181" width="11.44140625" hidden="1" customWidth="1" outlineLevel="1"/>
    <col min="182" max="182" width="11.44140625" bestFit="1" customWidth="1" collapsed="1"/>
    <col min="183" max="186" width="11.44140625" hidden="1" customWidth="1" outlineLevel="1"/>
    <col min="187" max="187" width="11.44140625" bestFit="1" customWidth="1" collapsed="1"/>
    <col min="188" max="191" width="11.44140625" hidden="1" customWidth="1" outlineLevel="1"/>
    <col min="192" max="192" width="11.44140625" bestFit="1" customWidth="1" collapsed="1"/>
  </cols>
  <sheetData>
    <row r="1" spans="1:192" s="93" customFormat="1" ht="12.75" customHeight="1">
      <c r="A1" s="68"/>
      <c r="B1" s="677"/>
      <c r="C1" s="94"/>
      <c r="D1" s="95"/>
      <c r="E1" s="95"/>
      <c r="F1" s="95"/>
      <c r="G1" s="95"/>
      <c r="H1" s="94"/>
      <c r="I1" s="95"/>
      <c r="J1" s="95"/>
      <c r="K1" s="95"/>
      <c r="L1" s="95"/>
      <c r="M1" s="94"/>
      <c r="N1" s="95"/>
      <c r="O1" s="95"/>
      <c r="P1" s="95"/>
      <c r="Q1" s="95"/>
      <c r="R1" s="94"/>
      <c r="S1" s="95"/>
      <c r="T1" s="95"/>
      <c r="U1" s="95"/>
      <c r="V1" s="95"/>
      <c r="W1" s="94"/>
      <c r="X1" s="95"/>
      <c r="Y1" s="95"/>
      <c r="Z1" s="95"/>
      <c r="AA1" s="95"/>
      <c r="AB1" s="94"/>
      <c r="AC1" s="95"/>
      <c r="AD1" s="95"/>
      <c r="AE1" s="95"/>
      <c r="AF1" s="95"/>
      <c r="AG1" s="94"/>
      <c r="AH1" s="95"/>
      <c r="AI1" s="95"/>
      <c r="AJ1" s="95"/>
      <c r="AK1" s="95"/>
      <c r="AL1" s="94"/>
      <c r="AM1" s="95"/>
      <c r="AN1" s="95"/>
      <c r="AO1" s="95"/>
      <c r="AP1" s="95"/>
      <c r="AQ1" s="94"/>
      <c r="AR1" s="95"/>
      <c r="AS1" s="95"/>
      <c r="AT1" s="95"/>
      <c r="AU1" s="95"/>
      <c r="AV1" s="94"/>
      <c r="AW1" s="95"/>
      <c r="AX1" s="95"/>
      <c r="AY1" s="95"/>
      <c r="AZ1" s="95"/>
      <c r="BA1" s="94"/>
      <c r="BB1" s="95"/>
      <c r="BC1" s="95"/>
      <c r="BD1" s="95"/>
      <c r="BE1" s="95"/>
      <c r="BF1" s="94"/>
      <c r="BG1" s="95"/>
      <c r="BH1" s="95"/>
      <c r="BI1" s="95"/>
      <c r="BJ1" s="95"/>
      <c r="BK1" s="94"/>
      <c r="BL1" s="95"/>
      <c r="BM1" s="95"/>
      <c r="BN1" s="95"/>
      <c r="BO1" s="95"/>
      <c r="BP1" s="94"/>
      <c r="BQ1" s="95"/>
      <c r="BR1" s="95"/>
      <c r="BS1" s="95"/>
      <c r="BT1" s="95"/>
      <c r="BU1" s="94"/>
      <c r="BV1" s="95"/>
      <c r="BW1" s="95"/>
      <c r="BX1" s="95"/>
      <c r="BY1" s="95"/>
      <c r="BZ1" s="94"/>
      <c r="CA1" s="95"/>
      <c r="CB1" s="95"/>
      <c r="CC1" s="95"/>
      <c r="CD1" s="95"/>
      <c r="CE1" s="94"/>
      <c r="CF1" s="95"/>
      <c r="CG1" s="95"/>
      <c r="CH1" s="95"/>
      <c r="CI1" s="95"/>
      <c r="CJ1" s="94"/>
      <c r="CK1" s="95"/>
      <c r="CL1" s="95"/>
      <c r="CM1" s="95"/>
      <c r="CN1" s="95"/>
      <c r="CO1" s="94"/>
      <c r="CP1" s="95"/>
      <c r="CQ1" s="95"/>
      <c r="CR1" s="95"/>
      <c r="CS1" s="95"/>
      <c r="CT1" s="94"/>
      <c r="CU1" s="95"/>
      <c r="CV1" s="95"/>
      <c r="CW1" s="95"/>
      <c r="CX1" s="95"/>
      <c r="CY1" s="94"/>
      <c r="CZ1" s="95"/>
      <c r="DA1" s="95"/>
      <c r="DB1" s="95"/>
      <c r="DC1" s="95"/>
      <c r="DD1" s="94"/>
      <c r="DE1" s="95"/>
      <c r="DF1" s="95"/>
      <c r="DG1" s="95"/>
      <c r="DH1" s="95"/>
      <c r="DI1" s="94"/>
      <c r="DJ1" s="95"/>
      <c r="DK1" s="95"/>
      <c r="DL1" s="95"/>
      <c r="DM1" s="95"/>
      <c r="DN1" s="94"/>
      <c r="DO1" s="95"/>
      <c r="DP1" s="95"/>
      <c r="DQ1" s="95"/>
      <c r="DR1" s="95"/>
      <c r="DS1" s="94"/>
      <c r="DT1" s="95"/>
      <c r="DU1" s="95"/>
      <c r="DV1" s="95"/>
      <c r="DW1" s="95"/>
      <c r="DX1" s="94"/>
      <c r="DY1" s="95"/>
      <c r="DZ1" s="95"/>
      <c r="EA1" s="95"/>
      <c r="EB1" s="95"/>
      <c r="EC1" s="94"/>
      <c r="ED1" s="95"/>
      <c r="EE1" s="95"/>
      <c r="EF1" s="95"/>
      <c r="EG1" s="95"/>
      <c r="EH1" s="94"/>
      <c r="EI1" s="95"/>
      <c r="EJ1" s="95"/>
      <c r="EK1" s="95"/>
      <c r="EL1" s="95"/>
      <c r="EM1" s="94"/>
      <c r="EN1" s="95"/>
      <c r="EO1" s="95"/>
      <c r="EP1" s="95"/>
      <c r="EQ1" s="95"/>
      <c r="ER1" s="94"/>
      <c r="ES1" s="95"/>
      <c r="ET1" s="95"/>
      <c r="EU1" s="95"/>
      <c r="EV1" s="95"/>
      <c r="EW1" s="94"/>
      <c r="EX1" s="95"/>
      <c r="EY1" s="95"/>
      <c r="EZ1" s="95"/>
      <c r="FA1" s="95"/>
      <c r="FB1" s="94"/>
      <c r="FC1" s="95"/>
      <c r="FD1" s="95"/>
      <c r="FE1" s="95"/>
      <c r="FF1" s="95"/>
      <c r="FG1" s="94"/>
      <c r="FH1" s="95"/>
      <c r="FI1" s="95"/>
      <c r="FJ1" s="95"/>
      <c r="FK1" s="95"/>
      <c r="FL1" s="94"/>
      <c r="FM1" s="95"/>
      <c r="FN1" s="95"/>
      <c r="FO1" s="95"/>
      <c r="FP1" s="95"/>
      <c r="FQ1" s="94"/>
      <c r="FR1" s="95"/>
      <c r="FS1" s="95"/>
      <c r="FT1" s="95"/>
      <c r="FU1" s="95"/>
      <c r="FV1" s="94"/>
      <c r="FW1" s="95"/>
      <c r="FX1" s="95"/>
      <c r="FY1" s="95"/>
      <c r="FZ1" s="95"/>
      <c r="GA1" s="94"/>
      <c r="GB1" s="95"/>
      <c r="GC1" s="95"/>
      <c r="GD1" s="95"/>
      <c r="GE1" s="95"/>
      <c r="GF1" s="94"/>
      <c r="GG1" s="95"/>
      <c r="GH1" s="95"/>
      <c r="GI1" s="95"/>
      <c r="GJ1" s="95"/>
    </row>
    <row r="2" spans="1:192" s="93" customFormat="1" ht="12.75" customHeight="1">
      <c r="A2" s="68"/>
      <c r="B2" s="1434" t="s">
        <v>63</v>
      </c>
      <c r="C2" s="94"/>
      <c r="D2" s="95"/>
      <c r="E2" s="95"/>
      <c r="F2" s="95"/>
      <c r="G2" s="95"/>
      <c r="H2" s="94"/>
      <c r="I2" s="95"/>
      <c r="J2" s="95"/>
      <c r="K2" s="95"/>
      <c r="L2" s="95"/>
      <c r="M2" s="94"/>
      <c r="N2" s="95"/>
      <c r="O2" s="95"/>
      <c r="P2" s="95"/>
      <c r="Q2" s="95"/>
      <c r="R2" s="94"/>
      <c r="S2" s="95"/>
      <c r="T2" s="95"/>
      <c r="U2" s="95"/>
      <c r="V2" s="95"/>
      <c r="W2" s="94"/>
      <c r="X2" s="95"/>
      <c r="Y2" s="95"/>
      <c r="Z2" s="95"/>
      <c r="AA2" s="95"/>
      <c r="AB2" s="94"/>
      <c r="AC2" s="95"/>
      <c r="AD2" s="95"/>
      <c r="AE2" s="95"/>
      <c r="AF2" s="95"/>
      <c r="AG2" s="94"/>
      <c r="AH2" s="95"/>
      <c r="AI2" s="95"/>
      <c r="AJ2" s="95"/>
      <c r="AK2" s="95"/>
      <c r="AL2" s="94"/>
      <c r="AM2" s="95"/>
      <c r="AN2" s="95"/>
      <c r="AO2" s="95"/>
      <c r="AP2" s="95"/>
      <c r="AQ2" s="94"/>
      <c r="AR2" s="95"/>
      <c r="AS2" s="95"/>
      <c r="AT2" s="95"/>
      <c r="AU2" s="95"/>
      <c r="AV2" s="94"/>
      <c r="AW2" s="95"/>
      <c r="AX2" s="95"/>
      <c r="AY2" s="95"/>
      <c r="AZ2" s="95"/>
      <c r="BA2" s="94"/>
      <c r="BB2" s="95"/>
      <c r="BC2" s="95"/>
      <c r="BD2" s="95"/>
      <c r="BE2" s="95"/>
      <c r="BF2" s="94"/>
      <c r="BG2" s="95"/>
      <c r="BH2" s="95"/>
      <c r="BI2" s="95"/>
      <c r="BJ2" s="95"/>
      <c r="BK2" s="94"/>
      <c r="BL2" s="95"/>
      <c r="BM2" s="95"/>
      <c r="BN2" s="95"/>
      <c r="BO2" s="95"/>
      <c r="BP2" s="94"/>
      <c r="BQ2" s="95"/>
      <c r="BR2" s="95"/>
      <c r="BS2" s="95"/>
      <c r="BT2" s="95"/>
      <c r="BU2" s="94"/>
      <c r="BV2" s="95"/>
      <c r="BW2" s="95"/>
      <c r="BX2" s="95"/>
      <c r="BY2" s="95"/>
      <c r="BZ2" s="94"/>
      <c r="CA2" s="95"/>
      <c r="CB2" s="95"/>
      <c r="CC2" s="95"/>
      <c r="CD2" s="95"/>
      <c r="CE2" s="94"/>
      <c r="CF2" s="95"/>
      <c r="CG2" s="95"/>
      <c r="CH2" s="95"/>
      <c r="CI2" s="95"/>
      <c r="CJ2" s="94"/>
      <c r="CK2" s="95"/>
      <c r="CL2" s="95"/>
      <c r="CM2" s="95"/>
      <c r="CN2" s="95"/>
      <c r="CO2" s="94"/>
      <c r="CP2" s="95"/>
      <c r="CQ2" s="95"/>
      <c r="CR2" s="95"/>
      <c r="CS2" s="95"/>
      <c r="CT2" s="94"/>
      <c r="CU2" s="95"/>
      <c r="CV2" s="95"/>
      <c r="CW2" s="95"/>
      <c r="CX2" s="95"/>
      <c r="CY2" s="94"/>
      <c r="CZ2" s="95"/>
      <c r="DA2" s="95"/>
      <c r="DB2" s="95"/>
      <c r="DC2" s="95"/>
      <c r="DD2" s="94"/>
      <c r="DE2" s="95"/>
      <c r="DF2" s="95"/>
      <c r="DG2" s="95"/>
      <c r="DH2" s="95"/>
      <c r="DI2" s="94"/>
      <c r="DJ2" s="95"/>
      <c r="DK2" s="95"/>
      <c r="DL2" s="95"/>
      <c r="DM2" s="95"/>
      <c r="DN2" s="94"/>
      <c r="DO2" s="95"/>
      <c r="DP2" s="95"/>
      <c r="DQ2" s="95"/>
      <c r="DR2" s="95"/>
      <c r="DS2" s="94"/>
      <c r="DT2" s="95"/>
      <c r="DU2" s="95"/>
      <c r="DV2" s="95"/>
      <c r="DW2" s="95"/>
      <c r="DX2" s="94"/>
      <c r="DY2" s="95"/>
      <c r="DZ2" s="95"/>
      <c r="EA2" s="95"/>
      <c r="EB2" s="95"/>
      <c r="EC2" s="94"/>
      <c r="ED2" s="95"/>
      <c r="EE2" s="95"/>
      <c r="EF2" s="95"/>
      <c r="EG2" s="95"/>
      <c r="EH2" s="94"/>
      <c r="EI2" s="95"/>
      <c r="EJ2" s="95"/>
      <c r="EK2" s="95"/>
      <c r="EL2" s="95"/>
      <c r="EM2" s="94"/>
      <c r="EN2" s="95"/>
      <c r="EO2" s="95"/>
      <c r="EP2" s="95"/>
      <c r="EQ2" s="95"/>
      <c r="ER2" s="94"/>
      <c r="ES2" s="95"/>
      <c r="ET2" s="95"/>
      <c r="EU2" s="95"/>
      <c r="EV2" s="95"/>
      <c r="EW2" s="94"/>
      <c r="EX2" s="95"/>
      <c r="EY2" s="95"/>
      <c r="EZ2" s="95"/>
      <c r="FA2" s="95"/>
      <c r="FB2" s="94"/>
      <c r="FC2" s="95"/>
      <c r="FD2" s="95"/>
      <c r="FE2" s="95"/>
      <c r="FF2" s="95"/>
      <c r="FG2" s="94"/>
      <c r="FH2" s="95"/>
      <c r="FI2" s="95"/>
      <c r="FJ2" s="95"/>
      <c r="FK2" s="95"/>
      <c r="FL2" s="94"/>
      <c r="FM2" s="95"/>
      <c r="FN2" s="95"/>
      <c r="FO2" s="95"/>
      <c r="FP2" s="95"/>
      <c r="FQ2" s="94"/>
      <c r="FR2" s="95"/>
      <c r="FS2" s="95"/>
      <c r="FT2" s="95"/>
      <c r="FU2" s="95"/>
      <c r="FV2" s="94"/>
      <c r="FW2" s="95"/>
      <c r="FX2" s="95"/>
      <c r="FY2" s="95"/>
      <c r="FZ2" s="95"/>
      <c r="GA2" s="94"/>
      <c r="GB2" s="95"/>
      <c r="GC2" s="95"/>
      <c r="GD2" s="95"/>
      <c r="GE2" s="95"/>
      <c r="GF2" s="94"/>
      <c r="GG2" s="95"/>
      <c r="GH2" s="95"/>
      <c r="GI2" s="95"/>
      <c r="GJ2" s="95"/>
    </row>
    <row r="3" spans="1:192" s="93" customFormat="1" ht="12.75" customHeight="1">
      <c r="A3" s="68"/>
      <c r="B3" s="1434" t="s">
        <v>64</v>
      </c>
      <c r="C3" s="94"/>
      <c r="D3" s="95"/>
      <c r="E3" s="95"/>
      <c r="F3" s="95"/>
      <c r="G3" s="95"/>
      <c r="H3" s="94"/>
      <c r="I3" s="95"/>
      <c r="J3" s="95"/>
      <c r="K3" s="95"/>
      <c r="L3" s="95"/>
      <c r="M3" s="94"/>
      <c r="N3" s="95"/>
      <c r="O3" s="95"/>
      <c r="P3" s="95"/>
      <c r="Q3" s="95"/>
      <c r="R3" s="94"/>
      <c r="S3" s="95"/>
      <c r="T3" s="95"/>
      <c r="U3" s="95"/>
      <c r="V3" s="95"/>
      <c r="W3" s="94"/>
      <c r="X3" s="95"/>
      <c r="Y3" s="95"/>
      <c r="Z3" s="95"/>
      <c r="AA3" s="95"/>
      <c r="AB3" s="94"/>
      <c r="AC3" s="95"/>
      <c r="AD3" s="95"/>
      <c r="AE3" s="95"/>
      <c r="AF3" s="95"/>
      <c r="AG3" s="94"/>
      <c r="AH3" s="95"/>
      <c r="AI3" s="95"/>
      <c r="AJ3" s="95"/>
      <c r="AK3" s="95"/>
      <c r="AL3" s="94"/>
      <c r="AM3" s="95"/>
      <c r="AN3" s="95"/>
      <c r="AO3" s="95"/>
      <c r="AP3" s="95"/>
      <c r="AQ3" s="94"/>
      <c r="AR3" s="95"/>
      <c r="AS3" s="95"/>
      <c r="AT3" s="95"/>
      <c r="AU3" s="95"/>
      <c r="AV3" s="94"/>
      <c r="AW3" s="95"/>
      <c r="AX3" s="95"/>
      <c r="AY3" s="95"/>
      <c r="AZ3" s="95"/>
      <c r="BA3" s="94"/>
      <c r="BB3" s="95"/>
      <c r="BC3" s="95"/>
      <c r="BD3" s="95"/>
      <c r="BE3" s="95"/>
      <c r="BF3" s="94"/>
      <c r="BG3" s="95"/>
      <c r="BH3" s="95"/>
      <c r="BI3" s="95"/>
      <c r="BJ3" s="95"/>
      <c r="BK3" s="94"/>
      <c r="BL3" s="95"/>
      <c r="BM3" s="95"/>
      <c r="BN3" s="95"/>
      <c r="BO3" s="95"/>
      <c r="BP3" s="94"/>
      <c r="BQ3" s="95"/>
      <c r="BR3" s="95"/>
      <c r="BS3" s="95"/>
      <c r="BT3" s="95"/>
      <c r="BU3" s="94"/>
      <c r="BV3" s="95"/>
      <c r="BW3" s="95"/>
      <c r="BX3" s="95"/>
      <c r="BY3" s="95"/>
      <c r="BZ3" s="94"/>
      <c r="CA3" s="95"/>
      <c r="CB3" s="95"/>
      <c r="CC3" s="95"/>
      <c r="CD3" s="95"/>
      <c r="CE3" s="94"/>
      <c r="CF3" s="95"/>
      <c r="CG3" s="95"/>
      <c r="CH3" s="95"/>
      <c r="CI3" s="95"/>
      <c r="CJ3" s="94"/>
      <c r="CK3" s="95"/>
      <c r="CL3" s="95"/>
      <c r="CM3" s="95"/>
      <c r="CN3" s="95"/>
      <c r="CO3" s="94"/>
      <c r="CP3" s="95"/>
      <c r="CQ3" s="95"/>
      <c r="CR3" s="95"/>
      <c r="CS3" s="95"/>
      <c r="CT3" s="94"/>
      <c r="CU3" s="95"/>
      <c r="CV3" s="95"/>
      <c r="CW3" s="95"/>
      <c r="CX3" s="95"/>
      <c r="CY3" s="94"/>
      <c r="CZ3" s="95"/>
      <c r="DA3" s="95"/>
      <c r="DB3" s="95"/>
      <c r="DC3" s="95"/>
      <c r="DD3" s="94"/>
      <c r="DE3" s="95"/>
      <c r="DF3" s="95"/>
      <c r="DG3" s="95"/>
      <c r="DH3" s="95"/>
      <c r="DI3" s="94"/>
      <c r="DJ3" s="95"/>
      <c r="DK3" s="95"/>
      <c r="DL3" s="95"/>
      <c r="DM3" s="95"/>
      <c r="DN3" s="94"/>
      <c r="DO3" s="95"/>
      <c r="DP3" s="95"/>
      <c r="DQ3" s="95"/>
      <c r="DR3" s="95"/>
      <c r="DS3" s="94"/>
      <c r="DT3" s="95"/>
      <c r="DU3" s="95"/>
      <c r="DV3" s="95"/>
      <c r="DW3" s="95"/>
      <c r="DX3" s="94"/>
      <c r="DY3" s="95"/>
      <c r="DZ3" s="95"/>
      <c r="EA3" s="95"/>
      <c r="EB3" s="95"/>
      <c r="EC3" s="94"/>
      <c r="ED3" s="95"/>
      <c r="EE3" s="95"/>
      <c r="EF3" s="95"/>
      <c r="EG3" s="95"/>
      <c r="EH3" s="94"/>
      <c r="EI3" s="95"/>
      <c r="EJ3" s="95"/>
      <c r="EK3" s="95"/>
      <c r="EL3" s="95"/>
      <c r="EM3" s="94"/>
      <c r="EN3" s="95"/>
      <c r="EO3" s="95"/>
      <c r="EP3" s="95"/>
      <c r="EQ3" s="95"/>
      <c r="ER3" s="94"/>
      <c r="ES3" s="95"/>
      <c r="ET3" s="95"/>
      <c r="EU3" s="95"/>
      <c r="EV3" s="95"/>
      <c r="EW3" s="1220"/>
      <c r="EX3" s="1220"/>
      <c r="EY3" s="1220"/>
      <c r="EZ3" s="1220"/>
      <c r="FA3" s="1220"/>
      <c r="FB3" s="94"/>
      <c r="FC3" s="95"/>
      <c r="FD3" s="95"/>
      <c r="FE3" s="95"/>
      <c r="FF3" s="95"/>
      <c r="FG3" s="94"/>
      <c r="FH3" s="95"/>
      <c r="FI3" s="95"/>
      <c r="FJ3" s="95"/>
      <c r="FK3" s="95"/>
      <c r="FL3" s="94"/>
      <c r="FM3" s="95"/>
      <c r="FN3" s="95"/>
      <c r="FO3" s="95"/>
      <c r="FP3" s="95"/>
      <c r="FQ3" s="94"/>
      <c r="FR3" s="95"/>
      <c r="FS3" s="95"/>
      <c r="FT3" s="95"/>
      <c r="FU3" s="95"/>
      <c r="FV3" s="94"/>
      <c r="FW3" s="95"/>
      <c r="FX3" s="95"/>
      <c r="FY3" s="95"/>
      <c r="FZ3" s="95"/>
      <c r="GA3" s="94"/>
      <c r="GB3" s="95"/>
      <c r="GC3" s="95"/>
      <c r="GD3" s="95"/>
      <c r="GE3" s="95"/>
      <c r="GF3" s="94"/>
      <c r="GG3" s="95"/>
      <c r="GH3" s="95"/>
      <c r="GI3" s="95"/>
      <c r="GJ3" s="95"/>
    </row>
    <row r="4" spans="1:192" s="93" customFormat="1" ht="12.75" customHeight="1">
      <c r="A4" s="68"/>
      <c r="B4" s="1434" t="s">
        <v>27</v>
      </c>
      <c r="C4" s="94"/>
      <c r="D4" s="95"/>
      <c r="E4" s="95"/>
      <c r="F4" s="95"/>
      <c r="G4" s="95"/>
      <c r="H4" s="94"/>
      <c r="I4" s="95"/>
      <c r="J4" s="95"/>
      <c r="K4" s="95"/>
      <c r="L4" s="95"/>
      <c r="M4" s="94"/>
      <c r="N4" s="95"/>
      <c r="O4" s="95"/>
      <c r="P4" s="95"/>
      <c r="Q4" s="95"/>
      <c r="R4" s="94"/>
      <c r="S4" s="95"/>
      <c r="T4" s="95"/>
      <c r="U4" s="95"/>
      <c r="V4" s="95"/>
      <c r="W4" s="94"/>
      <c r="X4" s="95"/>
      <c r="Y4" s="95"/>
      <c r="Z4" s="95"/>
      <c r="AA4" s="95"/>
      <c r="AB4" s="94"/>
      <c r="AC4" s="95"/>
      <c r="AD4" s="95"/>
      <c r="AE4" s="95"/>
      <c r="AF4" s="95"/>
      <c r="AG4" s="94"/>
      <c r="AH4" s="95"/>
      <c r="AI4" s="95"/>
      <c r="AJ4" s="95"/>
      <c r="AK4" s="95"/>
      <c r="AL4" s="94"/>
      <c r="AM4" s="95"/>
      <c r="AN4" s="95"/>
      <c r="AO4" s="95"/>
      <c r="AP4" s="95"/>
      <c r="AQ4" s="94"/>
      <c r="AR4" s="95"/>
      <c r="AS4" s="95"/>
      <c r="AT4" s="95"/>
      <c r="AU4" s="95"/>
      <c r="AV4" s="94"/>
      <c r="AW4" s="95"/>
      <c r="AX4" s="95"/>
      <c r="AY4" s="95"/>
      <c r="AZ4" s="95"/>
      <c r="BA4" s="94"/>
      <c r="BB4" s="95"/>
      <c r="BC4" s="95"/>
      <c r="BD4" s="95"/>
      <c r="BE4" s="95"/>
      <c r="BF4" s="94"/>
      <c r="BG4" s="95"/>
      <c r="BH4" s="95"/>
      <c r="BI4" s="95"/>
      <c r="BJ4" s="95"/>
      <c r="BK4" s="94"/>
      <c r="BL4" s="95"/>
      <c r="BM4" s="95"/>
      <c r="BN4" s="95"/>
      <c r="BO4" s="95"/>
      <c r="BP4" s="94"/>
      <c r="BQ4" s="95"/>
      <c r="BR4" s="95"/>
      <c r="BS4" s="95"/>
      <c r="BT4" s="95"/>
      <c r="BU4" s="94"/>
      <c r="BV4" s="95"/>
      <c r="BW4" s="95"/>
      <c r="BX4" s="95"/>
      <c r="BY4" s="95"/>
      <c r="BZ4" s="94"/>
      <c r="CA4" s="95"/>
      <c r="CB4" s="95"/>
      <c r="CC4" s="95"/>
      <c r="CD4" s="95"/>
      <c r="CE4" s="94"/>
      <c r="CF4" s="95"/>
      <c r="CG4" s="95"/>
      <c r="CH4" s="95"/>
      <c r="CI4" s="95"/>
      <c r="CJ4" s="94"/>
      <c r="CK4" s="95"/>
      <c r="CL4" s="95"/>
      <c r="CM4" s="95"/>
      <c r="CN4" s="95"/>
      <c r="CO4" s="94"/>
      <c r="CP4" s="95"/>
      <c r="CQ4" s="95"/>
      <c r="CR4" s="95"/>
      <c r="CS4" s="95"/>
      <c r="CT4" s="94"/>
      <c r="CU4" s="95"/>
      <c r="CV4" s="95"/>
      <c r="CW4" s="95"/>
      <c r="CX4" s="95"/>
      <c r="CY4" s="94"/>
      <c r="CZ4" s="95"/>
      <c r="DA4" s="95"/>
      <c r="DB4" s="95"/>
      <c r="DC4" s="95"/>
      <c r="DD4" s="94"/>
      <c r="DE4" s="95"/>
      <c r="DF4" s="95"/>
      <c r="DG4" s="95"/>
      <c r="DH4" s="95"/>
      <c r="DI4" s="968"/>
      <c r="DJ4" s="969"/>
      <c r="DK4" s="970" t="s">
        <v>419</v>
      </c>
      <c r="DL4" s="969"/>
      <c r="DM4" s="969"/>
      <c r="DN4" s="94"/>
      <c r="DO4" s="95"/>
      <c r="DP4" s="95"/>
      <c r="DQ4" s="95"/>
      <c r="DR4" s="95"/>
      <c r="DS4" s="94"/>
      <c r="DT4" s="95"/>
      <c r="DU4" s="95"/>
      <c r="DV4" s="95"/>
      <c r="DW4" s="95"/>
      <c r="DX4" s="94"/>
      <c r="DY4" s="95"/>
      <c r="DZ4" s="95"/>
      <c r="EA4" s="95"/>
      <c r="EB4" s="95"/>
      <c r="EC4" s="94"/>
      <c r="ED4" s="95"/>
      <c r="EE4" s="95"/>
      <c r="EF4" s="95"/>
      <c r="EG4" s="95"/>
      <c r="EH4" s="94"/>
      <c r="EI4" s="95"/>
      <c r="EJ4" s="95"/>
      <c r="EK4" s="95"/>
      <c r="EL4" s="95"/>
      <c r="EM4" s="94"/>
      <c r="EN4" s="95"/>
      <c r="EO4" s="95"/>
      <c r="EP4" s="95"/>
      <c r="EQ4" s="95"/>
      <c r="ER4" s="1502"/>
      <c r="ES4" s="1502"/>
      <c r="ET4" s="1502"/>
      <c r="EU4" s="95"/>
      <c r="EV4" s="1502"/>
      <c r="EW4" s="1502"/>
      <c r="EX4" s="1502"/>
      <c r="EY4" s="95"/>
      <c r="EZ4" s="95"/>
      <c r="FA4" s="95"/>
      <c r="FB4" s="94"/>
      <c r="FC4" s="95"/>
      <c r="FD4" s="95"/>
      <c r="FE4" s="95"/>
      <c r="FF4" s="1418"/>
      <c r="FG4" s="94"/>
      <c r="FH4" s="95"/>
      <c r="FI4" s="95"/>
      <c r="FJ4" s="95"/>
      <c r="FK4" s="95"/>
      <c r="FL4" s="94"/>
      <c r="FM4" s="95"/>
      <c r="FN4" s="95"/>
      <c r="FO4" s="95"/>
      <c r="FP4" s="95"/>
      <c r="FQ4" s="94"/>
      <c r="FR4" s="95"/>
      <c r="FS4" s="95"/>
      <c r="FT4" s="95"/>
      <c r="FU4" s="95"/>
      <c r="FV4" s="94"/>
      <c r="FW4" s="95"/>
      <c r="FX4" s="95"/>
      <c r="FY4" s="95"/>
      <c r="FZ4" s="95"/>
      <c r="GA4" s="94"/>
      <c r="GB4" s="95"/>
      <c r="GC4" s="95"/>
      <c r="GD4" s="95"/>
      <c r="GE4" s="95"/>
      <c r="GF4" s="94"/>
      <c r="GG4" s="95"/>
      <c r="GH4" s="95"/>
      <c r="GI4" s="95"/>
      <c r="GJ4" s="95"/>
    </row>
    <row r="5" spans="1:192" s="93" customFormat="1" ht="12.75" customHeight="1">
      <c r="A5" s="68"/>
      <c r="B5" s="677"/>
      <c r="C5" s="94"/>
      <c r="D5" s="95"/>
      <c r="E5" s="95"/>
      <c r="F5" s="95"/>
      <c r="G5" s="95"/>
      <c r="H5" s="94"/>
      <c r="I5" s="95"/>
      <c r="J5" s="95"/>
      <c r="K5" s="95"/>
      <c r="L5" s="95"/>
      <c r="M5" s="94"/>
      <c r="N5" s="95"/>
      <c r="O5" s="95"/>
      <c r="P5" s="95"/>
      <c r="Q5" s="95"/>
      <c r="R5" s="94"/>
      <c r="S5" s="95"/>
      <c r="T5" s="95"/>
      <c r="U5" s="95"/>
      <c r="V5" s="95"/>
      <c r="W5" s="94"/>
      <c r="X5" s="95"/>
      <c r="Y5" s="95"/>
      <c r="Z5" s="95"/>
      <c r="AA5" s="95"/>
      <c r="AB5" s="94"/>
      <c r="AC5" s="95"/>
      <c r="AD5" s="95"/>
      <c r="AE5" s="95"/>
      <c r="AF5" s="95"/>
      <c r="AG5" s="94"/>
      <c r="AH5" s="95"/>
      <c r="AI5" s="95"/>
      <c r="AJ5" s="95"/>
      <c r="AK5" s="95"/>
      <c r="AL5" s="94"/>
      <c r="AM5" s="95"/>
      <c r="AN5" s="95"/>
      <c r="AO5" s="95"/>
      <c r="AP5" s="95"/>
      <c r="AQ5" s="94"/>
      <c r="AR5" s="95"/>
      <c r="AS5" s="95"/>
      <c r="AT5" s="95"/>
      <c r="AU5" s="95"/>
      <c r="AV5" s="94"/>
      <c r="AW5" s="95"/>
      <c r="AX5" s="95"/>
      <c r="AY5" s="95"/>
      <c r="AZ5" s="95"/>
      <c r="BA5" s="94"/>
      <c r="BB5" s="95"/>
      <c r="BC5" s="95"/>
      <c r="BD5" s="95"/>
      <c r="BE5" s="95"/>
      <c r="BF5" s="94"/>
      <c r="BG5" s="95"/>
      <c r="BH5" s="95"/>
      <c r="BI5" s="95"/>
      <c r="BJ5" s="95"/>
      <c r="BK5" s="94"/>
      <c r="BL5" s="95"/>
      <c r="BM5" s="95"/>
      <c r="BN5" s="95"/>
      <c r="BO5" s="95"/>
      <c r="BP5" s="94"/>
      <c r="BQ5" s="95"/>
      <c r="BR5" s="95"/>
      <c r="BS5" s="95"/>
      <c r="BT5" s="95"/>
      <c r="BU5" s="94"/>
      <c r="BV5" s="95"/>
      <c r="BW5" s="95"/>
      <c r="BX5" s="95"/>
      <c r="BY5" s="95"/>
      <c r="BZ5" s="94"/>
      <c r="CA5" s="95"/>
      <c r="CB5" s="95"/>
      <c r="CC5" s="95"/>
      <c r="CD5" s="95"/>
      <c r="CE5" s="94"/>
      <c r="CF5" s="95"/>
      <c r="CG5" s="95"/>
      <c r="CH5" s="95"/>
      <c r="CI5" s="95"/>
      <c r="CJ5" s="94"/>
      <c r="CK5" s="95"/>
      <c r="CL5" s="95"/>
      <c r="CM5" s="95"/>
      <c r="CN5" s="95"/>
      <c r="CO5" s="94"/>
      <c r="CP5" s="95"/>
      <c r="CQ5" s="95"/>
      <c r="CR5" s="95"/>
      <c r="CS5" s="95"/>
      <c r="CT5" s="94"/>
      <c r="CU5" s="95"/>
      <c r="CV5" s="95"/>
      <c r="CW5" s="95"/>
      <c r="CX5" s="95"/>
      <c r="CY5" s="94"/>
      <c r="CZ5" s="95"/>
      <c r="DA5" s="95"/>
      <c r="DB5" s="95"/>
      <c r="DC5" s="95"/>
      <c r="DD5" s="94"/>
      <c r="DE5" s="95"/>
      <c r="DF5" s="95"/>
      <c r="DG5" s="966"/>
      <c r="DH5" s="966"/>
      <c r="DN5" s="94"/>
      <c r="DO5" s="95"/>
      <c r="DP5" s="95"/>
      <c r="DQ5" s="95"/>
      <c r="DR5" s="95"/>
      <c r="DS5" s="94"/>
      <c r="DT5" s="95"/>
      <c r="DU5" s="95"/>
      <c r="DV5" s="95"/>
      <c r="DW5" s="95"/>
      <c r="DX5" s="94"/>
      <c r="DY5" s="95"/>
      <c r="DZ5" s="95"/>
      <c r="EA5" s="95"/>
      <c r="EB5" s="95"/>
      <c r="EC5" s="94"/>
      <c r="ED5" s="95"/>
      <c r="EE5" s="95"/>
      <c r="EF5" s="95"/>
      <c r="EG5" s="95"/>
      <c r="EH5" s="94"/>
      <c r="EI5" s="95"/>
      <c r="EJ5" s="95"/>
      <c r="EK5" s="95"/>
      <c r="EL5" s="95"/>
      <c r="EM5" s="94"/>
      <c r="EN5" s="95"/>
      <c r="EO5" s="95"/>
      <c r="EP5" s="95"/>
      <c r="EQ5" s="95"/>
      <c r="ER5" s="94"/>
      <c r="ES5" s="95"/>
      <c r="ET5" s="95"/>
      <c r="EU5" s="95"/>
      <c r="EV5" s="95"/>
      <c r="EW5" s="94"/>
      <c r="EX5" s="95"/>
      <c r="EY5" s="95"/>
      <c r="EZ5" s="95"/>
      <c r="FA5" s="95"/>
      <c r="FB5" s="94"/>
      <c r="FC5" s="95"/>
      <c r="FD5" s="95"/>
      <c r="FE5" s="95"/>
      <c r="FF5" s="95"/>
      <c r="FG5" s="94"/>
      <c r="FH5" s="95"/>
      <c r="FI5" s="95"/>
      <c r="FJ5" s="95"/>
      <c r="FK5" s="95"/>
      <c r="FL5" s="94"/>
      <c r="FM5" s="95"/>
      <c r="FN5" s="95"/>
      <c r="FO5" s="95"/>
      <c r="FP5" s="95"/>
      <c r="FQ5" s="94"/>
      <c r="FR5" s="95"/>
      <c r="FS5" s="95"/>
      <c r="FT5" s="95"/>
      <c r="FU5" s="95"/>
      <c r="FV5" s="94"/>
      <c r="FW5" s="95"/>
      <c r="FX5" s="95"/>
      <c r="FY5" s="95"/>
      <c r="FZ5" s="95"/>
      <c r="GA5" s="94"/>
      <c r="GB5" s="95"/>
      <c r="GC5" s="95"/>
      <c r="GD5" s="95"/>
      <c r="GE5" s="95"/>
      <c r="GF5" s="94"/>
      <c r="GG5" s="95"/>
      <c r="GH5" s="95"/>
      <c r="GI5" s="95"/>
      <c r="GJ5" s="95"/>
    </row>
    <row r="6" spans="1:192" s="93" customFormat="1" ht="12.75" customHeight="1">
      <c r="A6" s="68"/>
      <c r="B6" s="677"/>
      <c r="C6" s="47" t="str">
        <f>Dates!C3</f>
      </c>
      <c r="D6" s="47"/>
      <c r="E6" s="47"/>
      <c r="F6" s="47"/>
      <c r="H6" s="47" t="str">
        <f>Dates!H3</f>
      </c>
      <c r="I6" s="47"/>
      <c r="J6" s="47"/>
      <c r="K6" s="47"/>
      <c r="M6" s="47" t="str">
        <f>Dates!M3</f>
      </c>
      <c r="N6" s="47"/>
      <c r="O6" s="47"/>
      <c r="P6" s="47"/>
      <c r="R6" s="47" t="str">
        <f>Dates!R3</f>
      </c>
      <c r="S6" s="47"/>
      <c r="T6" s="47"/>
      <c r="U6" s="47"/>
      <c r="W6" s="47" t="str">
        <f>Dates!W3</f>
      </c>
      <c r="X6" s="47"/>
      <c r="Y6" s="47"/>
      <c r="Z6" s="47"/>
      <c r="AB6" s="47" t="str">
        <f>Dates!AB3</f>
      </c>
      <c r="AC6" s="47"/>
      <c r="AD6" s="47"/>
      <c r="AE6" s="47"/>
      <c r="AG6" s="47" t="str">
        <f>Dates!AG3</f>
      </c>
      <c r="AH6" s="47"/>
      <c r="AI6" s="47"/>
      <c r="AJ6" s="47"/>
      <c r="AL6" s="47" t="str">
        <f>Dates!AL3</f>
      </c>
      <c r="AM6" s="47"/>
      <c r="AN6" s="47"/>
      <c r="AO6" s="47"/>
      <c r="AQ6" s="47" t="str">
        <f>Dates!AQ3</f>
      </c>
      <c r="AR6" s="47"/>
      <c r="AS6" s="47"/>
      <c r="AT6" s="47"/>
      <c r="AV6" s="47" t="str">
        <f>Dates!AV3</f>
      </c>
      <c r="AW6" s="47"/>
      <c r="AX6" s="47"/>
      <c r="AY6" s="47"/>
      <c r="BA6" s="47" t="str">
        <f>Dates!BA3</f>
      </c>
      <c r="BB6" s="47"/>
      <c r="BC6" s="47"/>
      <c r="BD6" s="47"/>
      <c r="BF6" s="47" t="str">
        <f>Dates!BF3</f>
      </c>
      <c r="BG6" s="47"/>
      <c r="BH6" s="47"/>
      <c r="BI6" s="47"/>
      <c r="BK6" s="47" t="str">
        <f>Dates!BK3</f>
      </c>
      <c r="BL6" s="47"/>
      <c r="BM6" s="47"/>
      <c r="BN6" s="47"/>
      <c r="BP6" s="47" t="str">
        <f>Dates!BP3</f>
      </c>
      <c r="BQ6" s="47"/>
      <c r="BR6" s="47"/>
      <c r="BS6" s="47"/>
      <c r="BU6" s="47" t="str">
        <f>Dates!BU3</f>
      </c>
      <c r="BV6" s="47"/>
      <c r="BW6" s="47"/>
      <c r="BX6" s="47"/>
      <c r="BZ6" s="47" t="str">
        <f>Dates!BZ3</f>
      </c>
      <c r="CA6" s="47"/>
      <c r="CB6" s="47"/>
      <c r="CC6" s="47"/>
      <c r="CE6" s="47" t="str">
        <f>Dates!CE3</f>
      </c>
      <c r="CF6" s="47"/>
      <c r="CG6" s="47"/>
      <c r="CH6" s="47"/>
      <c r="CJ6" s="47" t="str">
        <f>Dates!CJ3</f>
      </c>
      <c r="CK6" s="47"/>
      <c r="CL6" s="47"/>
      <c r="CM6" s="47"/>
      <c r="CO6" s="47" t="str">
        <f>Dates!CO3</f>
      </c>
      <c r="CP6" s="47"/>
      <c r="CQ6" s="47"/>
      <c r="CR6" s="47"/>
      <c r="CT6" s="47" t="str">
        <f>Dates!CT3</f>
      </c>
      <c r="CU6" s="47"/>
      <c r="CV6" s="47"/>
      <c r="CW6" s="47"/>
      <c r="CY6" s="47" t="str">
        <f>Dates!CY3</f>
      </c>
      <c r="CZ6" s="47"/>
      <c r="DA6" s="47"/>
      <c r="DB6" s="47"/>
      <c r="DD6" s="47" t="str">
        <f>Dates!DD3</f>
      </c>
      <c r="DE6" s="47"/>
      <c r="DF6" s="47"/>
      <c r="DG6" s="47"/>
      <c r="DI6" s="47" t="str">
        <f>Dates!DI3</f>
      </c>
      <c r="DJ6" s="47"/>
      <c r="DK6" s="47"/>
      <c r="DL6" s="47"/>
      <c r="DN6" s="47" t="str">
        <f>Dates!DN3</f>
      </c>
      <c r="DO6" s="47"/>
      <c r="DP6" s="47"/>
      <c r="DQ6" s="47"/>
      <c r="DS6" s="47" t="str">
        <f>Dates!DS3</f>
      </c>
      <c r="DT6" s="47"/>
      <c r="DU6" s="47"/>
      <c r="DV6" s="47"/>
      <c r="DX6" s="47" t="str">
        <f>Dates!DX3</f>
      </c>
      <c r="DY6" s="47"/>
      <c r="DZ6" s="47"/>
      <c r="EA6" s="47"/>
      <c r="EC6" s="47" t="str">
        <f>Dates!EC3</f>
      </c>
      <c r="ED6" s="47"/>
      <c r="EE6" s="47"/>
      <c r="EF6" s="47"/>
      <c r="EH6" s="47" t="str">
        <f>Dates!EH3</f>
      </c>
      <c r="EI6" s="47"/>
      <c r="EJ6" s="47"/>
      <c r="EK6" s="47"/>
      <c r="EM6" s="47" t="str">
        <f>Dates!EM3</f>
      </c>
      <c r="EN6" s="47"/>
      <c r="EO6" s="47"/>
      <c r="EP6" s="47"/>
      <c r="ER6" s="47" t="str">
        <f>Dates!ER3</f>
      </c>
      <c r="ES6" s="47"/>
      <c r="ET6" s="47"/>
      <c r="EU6" s="47"/>
      <c r="EW6" s="47" t="str">
        <f>Dates!EW3</f>
      </c>
      <c r="EX6" s="47"/>
      <c r="EY6" s="47"/>
      <c r="EZ6" s="47"/>
      <c r="FB6" s="47" t="str">
        <f>Dates!FB3</f>
      </c>
      <c r="FC6" s="47"/>
      <c r="FD6" s="47"/>
      <c r="FE6" s="47"/>
      <c r="FG6" s="47" t="str">
        <f>Dates!FG3</f>
      </c>
      <c r="FH6" s="47"/>
      <c r="FI6" s="47"/>
      <c r="FJ6" s="47"/>
      <c r="FL6" s="47" t="str">
        <f>Dates!FL3</f>
      </c>
      <c r="FM6" s="47"/>
      <c r="FN6" s="47"/>
      <c r="FO6" s="47"/>
      <c r="FQ6" s="47" t="str">
        <f>Dates!FQ3</f>
      </c>
      <c r="FR6" s="47"/>
      <c r="FS6" s="47"/>
      <c r="FT6" s="47"/>
      <c r="FV6" s="47" t="str">
        <f>Dates!FV3</f>
      </c>
      <c r="FW6" s="47"/>
      <c r="FX6" s="47"/>
      <c r="FY6" s="47"/>
      <c r="GA6" s="47" t="str">
        <f>Dates!GA3</f>
      </c>
      <c r="GB6" s="47"/>
      <c r="GC6" s="47"/>
      <c r="GD6" s="47"/>
      <c r="GF6" s="47" t="str">
        <f>Dates!GF3</f>
      </c>
      <c r="GG6" s="47"/>
      <c r="GH6" s="47"/>
      <c r="GI6" s="47"/>
    </row>
    <row r="7" spans="1:192" s="93" customFormat="1" ht="12.75" customHeight="1">
      <c r="A7" s="68"/>
      <c r="B7" s="677"/>
      <c r="C7" s="96" t="str">
        <f>Dates!C4</f>
      </c>
      <c r="D7" s="96" t="str">
        <f>Dates!D4</f>
      </c>
      <c r="E7" s="96" t="str">
        <f>Dates!E4</f>
      </c>
      <c r="F7" s="96" t="str">
        <f>Dates!F4</f>
      </c>
      <c r="G7" s="97" t="str">
        <f>Dates!G4</f>
      </c>
      <c r="H7" s="96" t="str">
        <f>Dates!H4</f>
      </c>
      <c r="I7" s="96" t="str">
        <f>Dates!I4</f>
      </c>
      <c r="J7" s="96" t="str">
        <f>Dates!J4</f>
      </c>
      <c r="K7" s="96" t="str">
        <f>Dates!K4</f>
      </c>
      <c r="L7" s="97" t="str">
        <f>Dates!L4</f>
      </c>
      <c r="M7" s="96" t="str">
        <f>Dates!M4</f>
      </c>
      <c r="N7" s="96" t="str">
        <f>Dates!N4</f>
      </c>
      <c r="O7" s="96" t="str">
        <f>Dates!O4</f>
      </c>
      <c r="P7" s="96" t="str">
        <f>Dates!P4</f>
      </c>
      <c r="Q7" s="97" t="str">
        <f>Dates!Q4</f>
      </c>
      <c r="R7" s="96" t="str">
        <f>Dates!R4</f>
      </c>
      <c r="S7" s="96" t="str">
        <f>Dates!S4</f>
      </c>
      <c r="T7" s="96" t="str">
        <f>Dates!T4</f>
      </c>
      <c r="U7" s="96" t="str">
        <f>Dates!U4</f>
      </c>
      <c r="V7" s="97" t="str">
        <f>Dates!V4</f>
      </c>
      <c r="W7" s="96" t="str">
        <f>Dates!W4</f>
      </c>
      <c r="X7" s="96" t="str">
        <f>Dates!X4</f>
      </c>
      <c r="Y7" s="96" t="str">
        <f>Dates!Y4</f>
      </c>
      <c r="Z7" s="96" t="str">
        <f>Dates!Z4</f>
      </c>
      <c r="AA7" s="97" t="str">
        <f>Dates!AA4</f>
      </c>
      <c r="AB7" s="96" t="str">
        <f>Dates!AB4</f>
      </c>
      <c r="AC7" s="96" t="str">
        <f>Dates!AC4</f>
      </c>
      <c r="AD7" s="96" t="str">
        <f>Dates!AD4</f>
      </c>
      <c r="AE7" s="96" t="str">
        <f>Dates!AE4</f>
      </c>
      <c r="AF7" s="97" t="str">
        <f>Dates!AF4</f>
      </c>
      <c r="AG7" s="96" t="str">
        <f>Dates!AG4</f>
      </c>
      <c r="AH7" s="96" t="str">
        <f>Dates!AH4</f>
      </c>
      <c r="AI7" s="96" t="str">
        <f>Dates!AI4</f>
      </c>
      <c r="AJ7" s="96" t="str">
        <f>Dates!AJ4</f>
      </c>
      <c r="AK7" s="97" t="str">
        <f>Dates!AK4</f>
      </c>
      <c r="AL7" s="96" t="str">
        <f>Dates!AL4</f>
      </c>
      <c r="AM7" s="96" t="str">
        <f>Dates!AM4</f>
      </c>
      <c r="AN7" s="96" t="str">
        <f>Dates!AN4</f>
      </c>
      <c r="AO7" s="96" t="str">
        <f>Dates!AO4</f>
      </c>
      <c r="AP7" s="97" t="str">
        <f>Dates!AP4</f>
      </c>
      <c r="AQ7" s="96" t="str">
        <f>Dates!AQ4</f>
      </c>
      <c r="AR7" s="96" t="str">
        <f>Dates!AR4</f>
      </c>
      <c r="AS7" s="96" t="str">
        <f>Dates!AS4</f>
      </c>
      <c r="AT7" s="96" t="str">
        <f>Dates!AT4</f>
      </c>
      <c r="AU7" s="97" t="str">
        <f>Dates!AU4</f>
      </c>
      <c r="AV7" s="96" t="str">
        <f>Dates!AV4</f>
      </c>
      <c r="AW7" s="96" t="str">
        <f>Dates!AW4</f>
      </c>
      <c r="AX7" s="96" t="str">
        <f>Dates!AX4</f>
      </c>
      <c r="AY7" s="96" t="str">
        <f>Dates!AY4</f>
      </c>
      <c r="AZ7" s="97" t="str">
        <f>Dates!AZ4</f>
      </c>
      <c r="BA7" s="96" t="str">
        <f>Dates!BA4</f>
      </c>
      <c r="BB7" s="96" t="str">
        <f>Dates!BB4</f>
      </c>
      <c r="BC7" s="96" t="str">
        <f>Dates!BC4</f>
      </c>
      <c r="BD7" s="96" t="str">
        <f>Dates!BD4</f>
      </c>
      <c r="BE7" s="97" t="str">
        <f>Dates!BE4</f>
      </c>
      <c r="BF7" s="96" t="str">
        <f>Dates!BF4</f>
      </c>
      <c r="BG7" s="96" t="str">
        <f>Dates!BG4</f>
      </c>
      <c r="BH7" s="96" t="str">
        <f>Dates!BH4</f>
      </c>
      <c r="BI7" s="96" t="str">
        <f>Dates!BI4</f>
      </c>
      <c r="BJ7" s="97" t="str">
        <f>Dates!BJ4</f>
      </c>
      <c r="BK7" s="96" t="str">
        <f>Dates!BK4</f>
      </c>
      <c r="BL7" s="96" t="str">
        <f>Dates!BL4</f>
      </c>
      <c r="BM7" s="96" t="str">
        <f>Dates!BM4</f>
      </c>
      <c r="BN7" s="96" t="str">
        <f>Dates!BN4</f>
      </c>
      <c r="BO7" s="97" t="str">
        <f>Dates!BO4</f>
      </c>
      <c r="BP7" s="96" t="str">
        <f>Dates!BP4</f>
      </c>
      <c r="BQ7" s="96" t="str">
        <f>Dates!BQ4</f>
      </c>
      <c r="BR7" s="96" t="str">
        <f>Dates!BR4</f>
      </c>
      <c r="BS7" s="96" t="str">
        <f>Dates!BS4</f>
      </c>
      <c r="BT7" s="97" t="str">
        <f>Dates!BT4</f>
      </c>
      <c r="BU7" s="96" t="str">
        <f>Dates!BU4</f>
      </c>
      <c r="BV7" s="96" t="str">
        <f>Dates!BV4</f>
      </c>
      <c r="BW7" s="96" t="str">
        <f>Dates!BW4</f>
      </c>
      <c r="BX7" s="96" t="str">
        <f>Dates!BX4</f>
      </c>
      <c r="BY7" s="97" t="str">
        <f>Dates!BY4</f>
      </c>
      <c r="BZ7" s="96" t="str">
        <f>Dates!BZ4</f>
      </c>
      <c r="CA7" s="96" t="str">
        <f>Dates!CA4</f>
      </c>
      <c r="CB7" s="96" t="str">
        <f>Dates!CB4</f>
      </c>
      <c r="CC7" s="96" t="str">
        <f>Dates!CC4</f>
      </c>
      <c r="CD7" s="97" t="str">
        <f>Dates!CD4</f>
      </c>
      <c r="CE7" s="96" t="str">
        <f>Dates!CE4</f>
      </c>
      <c r="CF7" s="96" t="str">
        <f>Dates!CF4</f>
      </c>
      <c r="CG7" s="96" t="str">
        <f>Dates!CG4</f>
      </c>
      <c r="CH7" s="96" t="str">
        <f>Dates!CH4</f>
      </c>
      <c r="CI7" s="97" t="str">
        <f>Dates!CI4</f>
      </c>
      <c r="CJ7" s="96" t="str">
        <f>Dates!CJ4</f>
      </c>
      <c r="CK7" s="96" t="str">
        <f>Dates!CK4</f>
      </c>
      <c r="CL7" s="96" t="str">
        <f>Dates!CL4</f>
      </c>
      <c r="CM7" s="96" t="str">
        <f>Dates!CM4</f>
      </c>
      <c r="CN7" s="97" t="str">
        <f>Dates!CN4</f>
      </c>
      <c r="CO7" s="96" t="str">
        <f>Dates!CO4</f>
      </c>
      <c r="CP7" s="96" t="str">
        <f>Dates!CP4</f>
      </c>
      <c r="CQ7" s="96" t="str">
        <f>Dates!CQ4</f>
      </c>
      <c r="CR7" s="96" t="str">
        <f>Dates!CR4</f>
      </c>
      <c r="CS7" s="97" t="str">
        <f>Dates!CS4</f>
      </c>
      <c r="CT7" s="96" t="str">
        <f>Dates!CT4</f>
      </c>
      <c r="CU7" s="96" t="str">
        <f>Dates!CU4</f>
      </c>
      <c r="CV7" s="96" t="str">
        <f>Dates!CV4</f>
      </c>
      <c r="CW7" s="96" t="str">
        <f>Dates!CW4</f>
      </c>
      <c r="CX7" s="97" t="str">
        <f>Dates!CX4</f>
      </c>
      <c r="CY7" s="96" t="str">
        <f>Dates!CY4</f>
      </c>
      <c r="CZ7" s="96" t="str">
        <f>Dates!CZ4</f>
      </c>
      <c r="DA7" s="96" t="str">
        <f>Dates!DA4</f>
      </c>
      <c r="DB7" s="96" t="str">
        <f>Dates!DB4</f>
      </c>
      <c r="DC7" s="97" t="str">
        <f>Dates!DC4</f>
      </c>
      <c r="DD7" s="96" t="str">
        <f>Dates!DD4</f>
      </c>
      <c r="DE7" s="96" t="str">
        <f>Dates!DE4</f>
      </c>
      <c r="DF7" s="96" t="str">
        <f>Dates!DF4</f>
      </c>
      <c r="DG7" s="96" t="str">
        <f>Dates!DG4</f>
      </c>
      <c r="DH7" s="97" t="str">
        <f>Dates!DH4</f>
      </c>
      <c r="DI7" s="96" t="str">
        <f>Dates!DI4</f>
      </c>
      <c r="DJ7" s="96" t="str">
        <f>Dates!DJ4</f>
      </c>
      <c r="DK7" s="96" t="str">
        <f>Dates!DK4</f>
      </c>
      <c r="DL7" s="96" t="str">
        <f>Dates!DL4</f>
      </c>
      <c r="DM7" s="97" t="str">
        <f>Dates!DM4</f>
      </c>
      <c r="DN7" s="96" t="str">
        <f>Dates!DN4</f>
      </c>
      <c r="DO7" s="96" t="str">
        <f>Dates!DO4</f>
      </c>
      <c r="DP7" s="96" t="str">
        <f>Dates!DP4</f>
      </c>
      <c r="DQ7" s="96" t="str">
        <f>Dates!DQ4</f>
      </c>
      <c r="DR7" s="97" t="str">
        <f>Dates!DR4</f>
      </c>
      <c r="DS7" s="96" t="str">
        <f>Dates!DS4</f>
      </c>
      <c r="DT7" s="96" t="str">
        <f>Dates!DT4</f>
      </c>
      <c r="DU7" s="96" t="str">
        <f>Dates!DU4</f>
      </c>
      <c r="DV7" s="96" t="str">
        <f>Dates!DV4</f>
      </c>
      <c r="DW7" s="97" t="str">
        <f>Dates!DW4</f>
      </c>
      <c r="DX7" s="96" t="str">
        <f>Dates!DX4</f>
      </c>
      <c r="DY7" s="96" t="str">
        <f>Dates!DY4</f>
      </c>
      <c r="DZ7" s="96" t="str">
        <f>Dates!DZ4</f>
      </c>
      <c r="EA7" s="96" t="str">
        <f>Dates!EA4</f>
      </c>
      <c r="EB7" s="97" t="str">
        <f>Dates!EB4</f>
      </c>
      <c r="EC7" s="96" t="str">
        <f>Dates!EC4</f>
      </c>
      <c r="ED7" s="96" t="str">
        <f>Dates!ED4</f>
      </c>
      <c r="EE7" s="96" t="str">
        <f>Dates!EE4</f>
      </c>
      <c r="EF7" s="96" t="str">
        <f>Dates!EF4</f>
      </c>
      <c r="EG7" s="97" t="str">
        <f>Dates!EG4</f>
      </c>
      <c r="EH7" s="96" t="str">
        <f>Dates!EH4</f>
      </c>
      <c r="EI7" s="96" t="str">
        <f>Dates!EI4</f>
      </c>
      <c r="EJ7" s="96" t="str">
        <f>Dates!EJ4</f>
      </c>
      <c r="EK7" s="96" t="str">
        <f>Dates!EK4</f>
      </c>
      <c r="EL7" s="97" t="str">
        <f>Dates!EL4</f>
      </c>
      <c r="EM7" s="96" t="str">
        <f>Dates!EM4</f>
      </c>
      <c r="EN7" s="96" t="str">
        <f>Dates!EN4</f>
      </c>
      <c r="EO7" s="96" t="str">
        <f>Dates!EO4</f>
      </c>
      <c r="EP7" s="96" t="str">
        <f>Dates!EP4</f>
      </c>
      <c r="EQ7" s="97" t="str">
        <f>Dates!EQ4</f>
      </c>
      <c r="ER7" s="96" t="str">
        <f>Dates!ER4</f>
      </c>
      <c r="ES7" s="96" t="str">
        <f>Dates!ES4</f>
      </c>
      <c r="ET7" s="96" t="str">
        <f>Dates!ET4</f>
      </c>
      <c r="EU7" s="96" t="str">
        <f>Dates!EU4</f>
      </c>
      <c r="EV7" s="97" t="str">
        <f>Dates!EV4</f>
      </c>
      <c r="EW7" s="96" t="str">
        <f>Dates!EW4</f>
      </c>
      <c r="EX7" s="96" t="str">
        <f>Dates!EX4</f>
      </c>
      <c r="EY7" s="96" t="str">
        <f>Dates!EY4</f>
      </c>
      <c r="EZ7" s="96" t="str">
        <f>Dates!EZ4</f>
      </c>
      <c r="FA7" s="97" t="str">
        <f>Dates!FA4</f>
      </c>
      <c r="FB7" s="96" t="str">
        <f>Dates!FB4</f>
      </c>
      <c r="FC7" s="96" t="str">
        <f>Dates!FC4</f>
      </c>
      <c r="FD7" s="96" t="str">
        <f>Dates!FD4</f>
      </c>
      <c r="FE7" s="96" t="str">
        <f>Dates!FE4</f>
      </c>
      <c r="FF7" s="97" t="str">
        <f>Dates!FF4</f>
      </c>
      <c r="FG7" s="96" t="str">
        <f>Dates!FG4</f>
      </c>
      <c r="FH7" s="96" t="str">
        <f>Dates!FH4</f>
      </c>
      <c r="FI7" s="96" t="str">
        <f>Dates!FI4</f>
      </c>
      <c r="FJ7" s="96" t="str">
        <f>Dates!FJ4</f>
      </c>
      <c r="FK7" s="97" t="str">
        <f>Dates!FK4</f>
      </c>
      <c r="FL7" s="96" t="str">
        <f>Dates!FL4</f>
      </c>
      <c r="FM7" s="96" t="str">
        <f>Dates!FM4</f>
      </c>
      <c r="FN7" s="96" t="str">
        <f>Dates!FN4</f>
      </c>
      <c r="FO7" s="96" t="str">
        <f>Dates!FO4</f>
      </c>
      <c r="FP7" s="97" t="str">
        <f>Dates!FP4</f>
      </c>
      <c r="FQ7" s="96" t="str">
        <f>Dates!FQ4</f>
      </c>
      <c r="FR7" s="96" t="str">
        <f>Dates!FR4</f>
      </c>
      <c r="FS7" s="96" t="str">
        <f>Dates!FS4</f>
      </c>
      <c r="FT7" s="96" t="str">
        <f>Dates!FT4</f>
      </c>
      <c r="FU7" s="97" t="str">
        <f>Dates!FU4</f>
      </c>
      <c r="FV7" s="96" t="str">
        <f>Dates!FV4</f>
      </c>
      <c r="FW7" s="96" t="str">
        <f>Dates!FW4</f>
      </c>
      <c r="FX7" s="96" t="str">
        <f>Dates!FX4</f>
      </c>
      <c r="FY7" s="96" t="str">
        <f>Dates!FY4</f>
      </c>
      <c r="FZ7" s="97" t="str">
        <f>Dates!FZ4</f>
      </c>
      <c r="GA7" s="96" t="str">
        <f>Dates!GA4</f>
      </c>
      <c r="GB7" s="96" t="str">
        <f>Dates!GB4</f>
      </c>
      <c r="GC7" s="96" t="str">
        <f>Dates!GC4</f>
      </c>
      <c r="GD7" s="96" t="str">
        <f>Dates!GD4</f>
      </c>
      <c r="GE7" s="97" t="str">
        <f>Dates!GE4</f>
      </c>
      <c r="GF7" s="96" t="str">
        <f>Dates!GF4</f>
      </c>
      <c r="GG7" s="96" t="str">
        <f>Dates!GG4</f>
      </c>
      <c r="GH7" s="96" t="str">
        <f>Dates!GH4</f>
      </c>
      <c r="GI7" s="96" t="str">
        <f>Dates!GI4</f>
      </c>
      <c r="GJ7" s="97" t="str">
        <f>Dates!GJ4</f>
      </c>
    </row>
    <row r="8" spans="1:192" s="93" customFormat="1" ht="12.75" customHeight="1">
      <c r="A8" s="68"/>
      <c r="B8" s="677"/>
      <c r="C8" s="98">
        <f>Dates!C5</f>
      </c>
      <c r="D8" s="98">
        <f>Dates!D5</f>
      </c>
      <c r="E8" s="98">
        <f>Dates!E5</f>
      </c>
      <c r="F8" s="98">
        <f>Dates!F5</f>
      </c>
      <c r="G8" s="99">
        <f>Dates!G5</f>
      </c>
      <c r="H8" s="98">
        <f>Dates!H5</f>
      </c>
      <c r="I8" s="98">
        <f>Dates!I5</f>
      </c>
      <c r="J8" s="98">
        <f>Dates!J5</f>
      </c>
      <c r="K8" s="98">
        <f>Dates!K5</f>
      </c>
      <c r="L8" s="99">
        <f>Dates!L5</f>
      </c>
      <c r="M8" s="98">
        <f>Dates!M5</f>
      </c>
      <c r="N8" s="98">
        <f>Dates!N5</f>
      </c>
      <c r="O8" s="98">
        <f>Dates!O5</f>
      </c>
      <c r="P8" s="98">
        <f>Dates!P5</f>
      </c>
      <c r="Q8" s="99">
        <f>Dates!Q5</f>
      </c>
      <c r="R8" s="98">
        <f>Dates!R5</f>
      </c>
      <c r="S8" s="98">
        <f>Dates!S5</f>
      </c>
      <c r="T8" s="98">
        <f>Dates!T5</f>
      </c>
      <c r="U8" s="98">
        <f>Dates!U5</f>
      </c>
      <c r="V8" s="99">
        <f>Dates!V5</f>
      </c>
      <c r="W8" s="98">
        <f>Dates!W5</f>
      </c>
      <c r="X8" s="98">
        <f>Dates!X5</f>
      </c>
      <c r="Y8" s="98">
        <f>Dates!Y5</f>
      </c>
      <c r="Z8" s="98">
        <f>Dates!Z5</f>
      </c>
      <c r="AA8" s="99">
        <f>Dates!AA5</f>
      </c>
      <c r="AB8" s="98">
        <f>Dates!AB5</f>
      </c>
      <c r="AC8" s="98">
        <f>Dates!AC5</f>
      </c>
      <c r="AD8" s="98">
        <f>Dates!AD5</f>
      </c>
      <c r="AE8" s="98">
        <f>Dates!AE5</f>
      </c>
      <c r="AF8" s="99">
        <f>Dates!AF5</f>
      </c>
      <c r="AG8" s="98">
        <f>Dates!AG5</f>
      </c>
      <c r="AH8" s="98">
        <f>Dates!AH5</f>
      </c>
      <c r="AI8" s="98">
        <f>Dates!AI5</f>
      </c>
      <c r="AJ8" s="98">
        <f>Dates!AJ5</f>
      </c>
      <c r="AK8" s="99">
        <f>Dates!AK5</f>
      </c>
      <c r="AL8" s="98">
        <f>Dates!AL5</f>
      </c>
      <c r="AM8" s="98">
        <f>Dates!AM5</f>
      </c>
      <c r="AN8" s="98">
        <f>Dates!AN5</f>
      </c>
      <c r="AO8" s="98">
        <f>Dates!AO5</f>
      </c>
      <c r="AP8" s="99">
        <f>Dates!AP5</f>
      </c>
      <c r="AQ8" s="98">
        <f>Dates!AQ5</f>
      </c>
      <c r="AR8" s="98">
        <f>Dates!AR5</f>
      </c>
      <c r="AS8" s="98">
        <f>Dates!AS5</f>
      </c>
      <c r="AT8" s="98">
        <f>Dates!AT5</f>
      </c>
      <c r="AU8" s="99">
        <f>Dates!AU5</f>
      </c>
      <c r="AV8" s="98">
        <f>Dates!AV5</f>
      </c>
      <c r="AW8" s="98">
        <f>Dates!AW5</f>
      </c>
      <c r="AX8" s="98">
        <f>Dates!AX5</f>
      </c>
      <c r="AY8" s="98">
        <f>Dates!AY5</f>
      </c>
      <c r="AZ8" s="99">
        <f>Dates!AZ5</f>
      </c>
      <c r="BA8" s="98">
        <f>Dates!BA5</f>
      </c>
      <c r="BB8" s="98">
        <f>Dates!BB5</f>
      </c>
      <c r="BC8" s="98">
        <f>Dates!BC5</f>
      </c>
      <c r="BD8" s="98">
        <f>Dates!BD5</f>
      </c>
      <c r="BE8" s="99">
        <f>Dates!BE5</f>
      </c>
      <c r="BF8" s="98">
        <f>Dates!BF5</f>
      </c>
      <c r="BG8" s="98">
        <f>Dates!BG5</f>
      </c>
      <c r="BH8" s="98">
        <f>Dates!BH5</f>
      </c>
      <c r="BI8" s="98">
        <f>Dates!BI5</f>
      </c>
      <c r="BJ8" s="99">
        <f>Dates!BJ5</f>
      </c>
      <c r="BK8" s="98">
        <f>Dates!BK5</f>
      </c>
      <c r="BL8" s="98">
        <f>Dates!BL5</f>
      </c>
      <c r="BM8" s="98">
        <f>Dates!BM5</f>
      </c>
      <c r="BN8" s="98">
        <f>Dates!BN5</f>
      </c>
      <c r="BO8" s="99">
        <f>Dates!BO5</f>
      </c>
      <c r="BP8" s="98">
        <f>Dates!BP5</f>
      </c>
      <c r="BQ8" s="98">
        <f>Dates!BQ5</f>
      </c>
      <c r="BR8" s="98">
        <f>Dates!BR5</f>
      </c>
      <c r="BS8" s="98">
        <f>Dates!BS5</f>
      </c>
      <c r="BT8" s="99">
        <f>Dates!BT5</f>
      </c>
      <c r="BU8" s="98">
        <f>Dates!BU5</f>
      </c>
      <c r="BV8" s="98">
        <f>Dates!BV5</f>
      </c>
      <c r="BW8" s="98">
        <f>Dates!BW5</f>
      </c>
      <c r="BX8" s="98">
        <f>Dates!BX5</f>
      </c>
      <c r="BY8" s="99">
        <f>Dates!BY5</f>
      </c>
      <c r="BZ8" s="98">
        <f>Dates!BZ5</f>
      </c>
      <c r="CA8" s="98">
        <f>Dates!CA5</f>
      </c>
      <c r="CB8" s="98">
        <f>Dates!CB5</f>
      </c>
      <c r="CC8" s="98">
        <f>Dates!CC5</f>
      </c>
      <c r="CD8" s="99">
        <f>Dates!CD5</f>
      </c>
      <c r="CE8" s="98">
        <f>Dates!CE5</f>
      </c>
      <c r="CF8" s="98">
        <f>Dates!CF5</f>
      </c>
      <c r="CG8" s="98">
        <f>Dates!CG5</f>
      </c>
      <c r="CH8" s="98">
        <f>Dates!CH5</f>
      </c>
      <c r="CI8" s="99">
        <f>Dates!CI5</f>
      </c>
      <c r="CJ8" s="98">
        <f>Dates!CJ5</f>
      </c>
      <c r="CK8" s="98">
        <f>Dates!CK5</f>
      </c>
      <c r="CL8" s="98">
        <f>Dates!CL5</f>
      </c>
      <c r="CM8" s="98">
        <f>Dates!CM5</f>
      </c>
      <c r="CN8" s="99">
        <f>Dates!CN5</f>
      </c>
      <c r="CO8" s="98">
        <f>Dates!CO5</f>
      </c>
      <c r="CP8" s="98">
        <f>Dates!CP5</f>
      </c>
      <c r="CQ8" s="98">
        <f>Dates!CQ5</f>
      </c>
      <c r="CR8" s="98">
        <f>Dates!CR5</f>
      </c>
      <c r="CS8" s="99">
        <f>Dates!CS5</f>
      </c>
      <c r="CT8" s="98">
        <f>Dates!CT5</f>
      </c>
      <c r="CU8" s="98">
        <f>Dates!CU5</f>
      </c>
      <c r="CV8" s="98">
        <f>Dates!CV5</f>
      </c>
      <c r="CW8" s="98">
        <f>Dates!CW5</f>
      </c>
      <c r="CX8" s="99">
        <f>Dates!CX5</f>
      </c>
      <c r="CY8" s="98">
        <f>Dates!CY5</f>
      </c>
      <c r="CZ8" s="98">
        <f>Dates!CZ5</f>
      </c>
      <c r="DA8" s="98">
        <f>Dates!DA5</f>
      </c>
      <c r="DB8" s="98">
        <f>Dates!DB5</f>
      </c>
      <c r="DC8" s="99">
        <f>Dates!DC5</f>
      </c>
      <c r="DD8" s="98">
        <f>Dates!DD5</f>
      </c>
      <c r="DE8" s="98">
        <f>Dates!DE5</f>
      </c>
      <c r="DF8" s="98">
        <f>Dates!DF5</f>
      </c>
      <c r="DG8" s="98">
        <f>Dates!DG5</f>
      </c>
      <c r="DH8" s="99">
        <f>Dates!DH5</f>
      </c>
      <c r="DI8" s="98">
        <f>Dates!DI5</f>
      </c>
      <c r="DJ8" s="98">
        <f>Dates!DJ5</f>
      </c>
      <c r="DK8" s="98">
        <f>Dates!DK5</f>
      </c>
      <c r="DL8" s="98">
        <f>Dates!DL5</f>
      </c>
      <c r="DM8" s="99">
        <f>Dates!DM5</f>
      </c>
      <c r="DN8" s="98">
        <f>Dates!DN5</f>
      </c>
      <c r="DO8" s="98">
        <f>Dates!DO5</f>
      </c>
      <c r="DP8" s="98">
        <f>Dates!DP5</f>
      </c>
      <c r="DQ8" s="98">
        <f>Dates!DQ5</f>
      </c>
      <c r="DR8" s="99">
        <f>Dates!DR5</f>
      </c>
      <c r="DS8" s="98">
        <f>Dates!DS5</f>
      </c>
      <c r="DT8" s="98">
        <f>Dates!DT5</f>
      </c>
      <c r="DU8" s="98">
        <f>Dates!DU5</f>
      </c>
      <c r="DV8" s="98">
        <f>Dates!DV5</f>
      </c>
      <c r="DW8" s="99">
        <f>Dates!DW5</f>
      </c>
      <c r="DX8" s="98">
        <f>Dates!DX5</f>
      </c>
      <c r="DY8" s="98">
        <f>Dates!DY5</f>
      </c>
      <c r="DZ8" s="98">
        <f>Dates!DZ5</f>
      </c>
      <c r="EA8" s="98">
        <f>Dates!EA5</f>
      </c>
      <c r="EB8" s="99">
        <f>Dates!EB5</f>
      </c>
      <c r="EC8" s="98">
        <f>Dates!EC5</f>
      </c>
      <c r="ED8" s="98">
        <f>Dates!ED5</f>
      </c>
      <c r="EE8" s="98">
        <f>Dates!EE5</f>
      </c>
      <c r="EF8" s="98">
        <f>Dates!EF5</f>
      </c>
      <c r="EG8" s="99">
        <f>Dates!EG5</f>
      </c>
      <c r="EH8" s="98">
        <f>Dates!EH5</f>
      </c>
      <c r="EI8" s="98">
        <f>Dates!EI5</f>
      </c>
      <c r="EJ8" s="98">
        <f>Dates!EJ5</f>
      </c>
      <c r="EK8" s="98">
        <f>Dates!EK5</f>
      </c>
      <c r="EL8" s="99">
        <f>Dates!EL5</f>
      </c>
      <c r="EM8" s="98">
        <f>Dates!EM5</f>
      </c>
      <c r="EN8" s="98">
        <f>Dates!EN5</f>
      </c>
      <c r="EO8" s="98">
        <f>Dates!EO5</f>
      </c>
      <c r="EP8" s="98">
        <f>Dates!EP5</f>
      </c>
      <c r="EQ8" s="99">
        <f>Dates!EQ5</f>
      </c>
      <c r="ER8" s="98">
        <f>Dates!ER5</f>
      </c>
      <c r="ES8" s="98">
        <f>Dates!ES5</f>
      </c>
      <c r="ET8" s="98">
        <f>Dates!ET5</f>
      </c>
      <c r="EU8" s="98">
        <f>Dates!EU5</f>
      </c>
      <c r="EV8" s="99">
        <f>Dates!EV5</f>
      </c>
      <c r="EW8" s="98">
        <f>Dates!EW5</f>
      </c>
      <c r="EX8" s="98">
        <f>Dates!EX5</f>
      </c>
      <c r="EY8" s="98">
        <f>Dates!EY5</f>
      </c>
      <c r="EZ8" s="98">
        <f>Dates!EZ5</f>
      </c>
      <c r="FA8" s="99">
        <f>Dates!FA5</f>
      </c>
      <c r="FB8" s="98">
        <f>Dates!FB5</f>
      </c>
      <c r="FC8" s="98">
        <f>Dates!FC5</f>
      </c>
      <c r="FD8" s="98">
        <f>Dates!FD5</f>
      </c>
      <c r="FE8" s="98">
        <f>Dates!FE5</f>
      </c>
      <c r="FF8" s="99">
        <f>Dates!FF5</f>
      </c>
      <c r="FG8" s="98">
        <f>Dates!FG5</f>
      </c>
      <c r="FH8" s="98">
        <f>Dates!FH5</f>
      </c>
      <c r="FI8" s="98">
        <f>Dates!FI5</f>
      </c>
      <c r="FJ8" s="98">
        <f>Dates!FJ5</f>
      </c>
      <c r="FK8" s="99">
        <f>Dates!FK5</f>
      </c>
      <c r="FL8" s="98">
        <f>Dates!FL5</f>
      </c>
      <c r="FM8" s="98">
        <f>Dates!FM5</f>
      </c>
      <c r="FN8" s="98">
        <f>Dates!FN5</f>
      </c>
      <c r="FO8" s="98">
        <f>Dates!FO5</f>
      </c>
      <c r="FP8" s="99">
        <f>Dates!FP5</f>
      </c>
      <c r="FQ8" s="98">
        <f>Dates!FQ5</f>
      </c>
      <c r="FR8" s="98">
        <f>Dates!FR5</f>
      </c>
      <c r="FS8" s="98">
        <f>Dates!FS5</f>
      </c>
      <c r="FT8" s="98">
        <f>Dates!FT5</f>
      </c>
      <c r="FU8" s="99">
        <f>Dates!FU5</f>
      </c>
      <c r="FV8" s="98">
        <f>Dates!FV5</f>
      </c>
      <c r="FW8" s="98">
        <f>Dates!FW5</f>
      </c>
      <c r="FX8" s="98">
        <f>Dates!FX5</f>
      </c>
      <c r="FY8" s="98">
        <f>Dates!FY5</f>
      </c>
      <c r="FZ8" s="99">
        <f>Dates!FZ5</f>
      </c>
      <c r="GA8" s="98">
        <f>Dates!GA5</f>
      </c>
      <c r="GB8" s="98">
        <f>Dates!GB5</f>
      </c>
      <c r="GC8" s="98">
        <f>Dates!GC5</f>
      </c>
      <c r="GD8" s="98">
        <f>Dates!GD5</f>
      </c>
      <c r="GE8" s="99">
        <f>Dates!GE5</f>
      </c>
      <c r="GF8" s="98">
        <f>Dates!GF5</f>
      </c>
      <c r="GG8" s="98">
        <f>Dates!GG5</f>
      </c>
      <c r="GH8" s="98">
        <f>Dates!GH5</f>
      </c>
      <c r="GI8" s="98">
        <f>Dates!GI5</f>
      </c>
      <c r="GJ8" s="99">
        <f>Dates!GJ5</f>
      </c>
    </row>
    <row r="9" spans="1:192" s="93" customFormat="1" ht="12.75" customHeight="1">
      <c r="A9" s="68"/>
      <c r="B9" s="703" t="s">
        <v>70</v>
      </c>
      <c r="C9" s="98"/>
      <c r="D9" s="98"/>
      <c r="E9" s="98"/>
      <c r="F9" s="98"/>
      <c r="G9" s="99"/>
      <c r="H9" s="98"/>
      <c r="I9" s="98"/>
      <c r="J9" s="98"/>
      <c r="K9" s="98"/>
      <c r="L9" s="99"/>
      <c r="M9" s="98"/>
      <c r="N9" s="98"/>
      <c r="O9" s="98"/>
      <c r="P9" s="98"/>
      <c r="Q9" s="99"/>
      <c r="R9" s="98"/>
      <c r="S9" s="98"/>
      <c r="T9" s="98"/>
      <c r="U9" s="98"/>
      <c r="V9" s="99"/>
      <c r="W9" s="98"/>
      <c r="X9" s="98"/>
      <c r="Y9" s="98"/>
      <c r="Z9" s="98"/>
      <c r="AA9" s="99"/>
      <c r="AB9" s="98"/>
      <c r="AC9" s="98"/>
      <c r="AD9" s="98"/>
      <c r="AE9" s="98"/>
      <c r="AF9" s="99"/>
      <c r="AG9" s="98"/>
      <c r="AH9" s="98"/>
      <c r="AI9" s="98"/>
      <c r="AJ9" s="98"/>
      <c r="AK9" s="99"/>
      <c r="AL9" s="98"/>
      <c r="AM9" s="98"/>
      <c r="AN9" s="98"/>
      <c r="AO9" s="98"/>
      <c r="AP9" s="99"/>
      <c r="AQ9" s="98"/>
      <c r="AR9" s="98"/>
      <c r="AS9" s="98"/>
      <c r="AT9" s="98"/>
      <c r="AU9" s="99"/>
      <c r="AV9" s="98"/>
      <c r="AW9" s="98"/>
      <c r="AX9" s="98"/>
      <c r="AY9" s="960"/>
      <c r="AZ9" s="99"/>
      <c r="BA9" s="98"/>
      <c r="BB9" s="98"/>
      <c r="BC9" s="98"/>
      <c r="BD9" s="98"/>
      <c r="BE9" s="99"/>
      <c r="BF9" s="98"/>
      <c r="BG9" s="98"/>
      <c r="BH9" s="98"/>
      <c r="BI9" s="98"/>
      <c r="BJ9" s="99"/>
      <c r="BK9" s="98"/>
      <c r="BL9" s="98"/>
      <c r="BM9" s="98"/>
      <c r="BN9" s="98"/>
      <c r="BO9" s="99"/>
      <c r="BP9" s="98"/>
      <c r="BQ9" s="98"/>
      <c r="BR9" s="98"/>
      <c r="BS9" s="98"/>
      <c r="BT9" s="99"/>
      <c r="BU9" s="98"/>
      <c r="BV9" s="98"/>
      <c r="BW9" s="98"/>
      <c r="BX9" s="98"/>
      <c r="BY9" s="99"/>
      <c r="BZ9" s="98"/>
      <c r="CA9" s="98"/>
      <c r="CB9" s="98"/>
      <c r="CC9" s="98"/>
      <c r="CD9" s="99"/>
      <c r="CE9" s="98"/>
      <c r="CF9" s="98"/>
      <c r="CG9" s="98"/>
      <c r="CH9" s="98"/>
      <c r="CI9" s="99"/>
      <c r="CJ9" s="98"/>
      <c r="CK9" s="98"/>
      <c r="CL9" s="98"/>
      <c r="CM9" s="98"/>
      <c r="CN9" s="99"/>
      <c r="CO9" s="98"/>
      <c r="CP9" s="98"/>
      <c r="CQ9" s="98"/>
      <c r="CR9" s="98"/>
      <c r="CS9" s="99"/>
      <c r="CT9" s="98"/>
      <c r="CU9" s="98"/>
      <c r="CV9" s="98"/>
      <c r="CW9" s="98"/>
      <c r="CX9" s="99"/>
      <c r="CY9" s="98"/>
      <c r="CZ9" s="98"/>
      <c r="DA9" s="98"/>
      <c r="DB9" s="98"/>
      <c r="DC9" s="99"/>
      <c r="DD9" s="98"/>
      <c r="DE9" s="98"/>
      <c r="DF9" s="98"/>
      <c r="DG9" s="98"/>
      <c r="DH9" s="99"/>
      <c r="DI9" s="98"/>
      <c r="DJ9" s="98"/>
      <c r="DK9" s="98"/>
      <c r="DL9" s="98"/>
      <c r="DM9" s="99"/>
      <c r="DN9" s="98"/>
      <c r="DO9" s="98"/>
      <c r="DP9" s="98"/>
      <c r="DQ9" s="98"/>
      <c r="DR9" s="99"/>
      <c r="DS9" s="98"/>
      <c r="DT9" s="98"/>
      <c r="DU9" s="98"/>
      <c r="DV9" s="98"/>
      <c r="DW9" s="99"/>
      <c r="DX9" s="98"/>
      <c r="DY9" s="98"/>
      <c r="DZ9" s="98"/>
      <c r="EA9" s="98"/>
      <c r="EB9" s="99"/>
      <c r="EC9" s="98"/>
      <c r="ED9" s="98"/>
      <c r="EE9" s="98"/>
      <c r="EF9" s="98"/>
      <c r="EG9" s="99"/>
      <c r="EH9" s="98"/>
      <c r="EI9" s="98"/>
      <c r="EJ9" s="98"/>
      <c r="EK9" s="98"/>
      <c r="EL9" s="99"/>
      <c r="EM9" s="98"/>
      <c r="EN9" s="98"/>
      <c r="EO9" s="98"/>
      <c r="EP9" s="98"/>
      <c r="EQ9" s="99"/>
      <c r="ER9" s="98"/>
      <c r="ES9" s="1583"/>
      <c r="ET9" s="98"/>
      <c r="EU9" s="98"/>
      <c r="EV9" s="99"/>
      <c r="EW9" s="98"/>
      <c r="EX9" s="98"/>
      <c r="EY9" s="98"/>
      <c r="EZ9" s="98"/>
      <c r="FA9" s="99"/>
      <c r="FB9" s="98"/>
      <c r="FC9" s="98"/>
      <c r="FD9" s="98"/>
      <c r="FE9" s="98"/>
      <c r="FF9" s="99"/>
      <c r="FG9" s="98"/>
      <c r="FH9" s="98"/>
      <c r="FI9" s="98"/>
      <c r="FJ9" s="98"/>
      <c r="FK9" s="99"/>
      <c r="FL9" s="98"/>
      <c r="FM9" s="98"/>
      <c r="FN9" s="98"/>
      <c r="FO9" s="98"/>
      <c r="FP9" s="99"/>
      <c r="FQ9" s="98"/>
      <c r="FR9" s="98"/>
      <c r="FS9" s="98"/>
      <c r="FT9" s="98"/>
      <c r="FU9" s="99"/>
      <c r="FV9" s="98"/>
      <c r="FW9" s="98"/>
      <c r="FX9" s="98"/>
      <c r="FY9" s="98"/>
      <c r="FZ9" s="99"/>
      <c r="GA9" s="98"/>
      <c r="GB9" s="98"/>
      <c r="GC9" s="98"/>
      <c r="GD9" s="98"/>
      <c r="GE9" s="99"/>
      <c r="GF9" s="98"/>
      <c r="GG9" s="98"/>
      <c r="GH9" s="98"/>
      <c r="GI9" s="98"/>
      <c r="GJ9" s="99"/>
    </row>
    <row r="10" spans="1:192" s="277" customFormat="1" ht="12.75" customHeight="1">
      <c r="A10" s="274"/>
      <c r="B10" s="704" t="s">
        <v>71</v>
      </c>
      <c r="C10" s="633">
        <v>1326</v>
      </c>
      <c r="D10" s="633">
        <v>917</v>
      </c>
      <c r="E10" s="633">
        <v>1205</v>
      </c>
      <c r="F10" s="633">
        <v>1962</v>
      </c>
      <c r="G10" s="373">
        <f t="shared" ref="G10:G16" si="0">F10</f>
      </c>
      <c r="H10" s="633">
        <v>1906</v>
      </c>
      <c r="I10" s="633">
        <v>2323</v>
      </c>
      <c r="J10" s="633">
        <v>2937</v>
      </c>
      <c r="K10" s="633">
        <v>2601</v>
      </c>
      <c r="L10" s="373">
        <f t="shared" ref="L10:L16" si="1">K10</f>
      </c>
      <c r="M10" s="633">
        <v>3018</v>
      </c>
      <c r="N10" s="633">
        <v>3096</v>
      </c>
      <c r="O10" s="633">
        <v>3852</v>
      </c>
      <c r="P10" s="633">
        <v>3706</v>
      </c>
      <c r="Q10" s="373">
        <f t="shared" ref="Q10:Q16" si="2">P10</f>
      </c>
      <c r="R10" s="633">
        <v>3945</v>
      </c>
      <c r="S10" s="633">
        <v>2582</v>
      </c>
      <c r="T10" s="633">
        <v>4110</v>
      </c>
      <c r="U10" s="633">
        <v>3839</v>
      </c>
      <c r="V10" s="373">
        <f t="shared" ref="V10:V16" si="3">U10</f>
      </c>
      <c r="W10" s="633">
        <v>5191</v>
      </c>
      <c r="X10" s="633">
        <v>6113</v>
      </c>
      <c r="Y10" s="633">
        <v>6203</v>
      </c>
      <c r="Z10" s="633">
        <v>4975</v>
      </c>
      <c r="AA10" s="373">
        <f t="shared" ref="AA10:AA16" si="4">Z10</f>
      </c>
      <c r="AB10" s="633">
        <v>4789</v>
      </c>
      <c r="AC10" s="633">
        <v>5032</v>
      </c>
      <c r="AD10" s="633">
        <v>5192</v>
      </c>
      <c r="AE10" s="633">
        <v>4846</v>
      </c>
      <c r="AF10" s="373">
        <f t="shared" ref="AF10:AF16" si="5">AE10</f>
      </c>
      <c r="AG10" s="633">
        <v>2641</v>
      </c>
      <c r="AH10" s="633">
        <v>3531</v>
      </c>
      <c r="AI10" s="633">
        <v>4149</v>
      </c>
      <c r="AJ10" s="633">
        <v>3922</v>
      </c>
      <c r="AK10" s="373">
        <f t="shared" ref="AK10:AK16" si="6">AJ10</f>
      </c>
      <c r="AL10" s="633">
        <v>3113</v>
      </c>
      <c r="AM10" s="633">
        <v>5256</v>
      </c>
      <c r="AN10" s="633">
        <v>5116</v>
      </c>
      <c r="AO10" s="633">
        <v>3016</v>
      </c>
      <c r="AP10" s="373">
        <f t="shared" ref="AP10:AP16" si="7">AO10</f>
      </c>
      <c r="AQ10" s="633">
        <v>5338</v>
      </c>
      <c r="AR10" s="633">
        <v>5552</v>
      </c>
      <c r="AS10" s="633">
        <v>4300</v>
      </c>
      <c r="AT10" s="633">
        <v>6438</v>
      </c>
      <c r="AU10" s="373">
        <f t="shared" ref="AU10:AU16" si="8">AT10</f>
      </c>
      <c r="AV10" s="633">
        <v>5768</v>
      </c>
      <c r="AW10" s="633">
        <v>6149</v>
      </c>
      <c r="AX10" s="633">
        <v>9348</v>
      </c>
      <c r="AY10" s="954">
        <v>15982</v>
      </c>
      <c r="AZ10" s="373">
        <f t="shared" ref="AZ10:AZ16" si="9">AY10</f>
      </c>
      <c r="BA10" s="633">
        <v>11141</v>
      </c>
      <c r="BB10" s="633">
        <v>4556</v>
      </c>
      <c r="BC10" s="633">
        <v>3782</v>
      </c>
      <c r="BD10" s="633">
        <v>4851</v>
      </c>
      <c r="BE10" s="373">
        <f t="shared" ref="BE10:BE16" si="10">BD10</f>
      </c>
      <c r="BF10" s="633">
        <v>2974</v>
      </c>
      <c r="BG10" s="633">
        <v>4083</v>
      </c>
      <c r="BH10" s="633">
        <v>4351</v>
      </c>
      <c r="BI10" s="633">
        <v>6714</v>
      </c>
      <c r="BJ10" s="373">
        <f t="shared" ref="BJ10:BJ16" si="11">BI10</f>
      </c>
      <c r="BK10" s="633">
        <v>9076</v>
      </c>
      <c r="BL10" s="633">
        <v>6859</v>
      </c>
      <c r="BM10" s="633">
        <v>7611</v>
      </c>
      <c r="BN10" s="633">
        <v>6111</v>
      </c>
      <c r="BO10" s="373">
        <f t="shared" ref="BO10:BO16" si="12">BN10</f>
      </c>
      <c r="BP10" s="633">
        <v>6637</v>
      </c>
      <c r="BQ10" s="633">
        <v>7460</v>
      </c>
      <c r="BR10" s="633">
        <v>11820</v>
      </c>
      <c r="BS10" s="633">
        <v>10339</v>
      </c>
      <c r="BT10" s="373">
        <f t="shared" ref="BT10:BT16" si="13">BS10</f>
      </c>
      <c r="BU10" s="633">
        <v>9004</v>
      </c>
      <c r="BV10" s="633">
        <v>8346</v>
      </c>
      <c r="BW10" s="633">
        <v>7285</v>
      </c>
      <c r="BX10" s="633">
        <v>6076</v>
      </c>
      <c r="BY10" s="373">
        <f t="shared" ref="BY10:BY16" si="14">BX10</f>
      </c>
      <c r="BZ10" s="633">
        <v>8823</v>
      </c>
      <c r="CA10" s="633">
        <v>9422</v>
      </c>
      <c r="CB10" s="633">
        <v>8155</v>
      </c>
      <c r="CC10" s="633">
        <v>5505</v>
      </c>
      <c r="CD10" s="373">
        <f t="shared" ref="CD10:CD16" si="15">CC10</f>
      </c>
      <c r="CE10" s="633">
        <v>8161</v>
      </c>
      <c r="CF10" s="633">
        <v>4023</v>
      </c>
      <c r="CG10" s="633">
        <v>7021</v>
      </c>
      <c r="CH10" s="633">
        <v>9610</v>
      </c>
      <c r="CI10" s="373">
        <f t="shared" ref="CI10:CI16" si="16">CH10</f>
      </c>
      <c r="CJ10" s="633">
        <v>12881</v>
      </c>
      <c r="CK10" s="633">
        <v>10610</v>
      </c>
      <c r="CL10" s="633">
        <v>6388</v>
      </c>
      <c r="CM10" s="633">
        <v>6938</v>
      </c>
      <c r="CN10" s="373">
        <f t="shared" ref="CN10:CN16" si="17">CM10</f>
      </c>
      <c r="CO10" s="633">
        <v>5036</v>
      </c>
      <c r="CP10" s="633">
        <v>6017</v>
      </c>
      <c r="CQ10" s="633">
        <v>5240</v>
      </c>
      <c r="CR10" s="633">
        <v>3804</v>
      </c>
      <c r="CS10" s="373">
        <f t="shared" ref="CS10:CS16" si="18">CR10</f>
      </c>
      <c r="CT10" s="633">
        <v>4023</v>
      </c>
      <c r="CU10" s="633">
        <v>10059</v>
      </c>
      <c r="CV10" s="633">
        <v>11572</v>
      </c>
      <c r="CW10" s="633">
        <v>8669</v>
      </c>
      <c r="CX10" s="373">
        <f t="shared" ref="CX10:CX16" si="19">CW10</f>
      </c>
      <c r="CY10" s="633">
        <v>6302</v>
      </c>
      <c r="CZ10" s="633">
        <v>6426</v>
      </c>
      <c r="DA10" s="633">
        <v>7414</v>
      </c>
      <c r="DB10" s="633">
        <v>5595</v>
      </c>
      <c r="DC10" s="373">
        <f t="shared" ref="DC10:DC16" si="20">DB10</f>
      </c>
      <c r="DD10" s="633">
        <v>5431</v>
      </c>
      <c r="DE10" s="633">
        <v>7185</v>
      </c>
      <c r="DF10" s="633">
        <v>7170</v>
      </c>
      <c r="DG10" s="633">
        <v>6510</v>
      </c>
      <c r="DH10" s="373">
        <f t="shared" ref="DH10:DH16" si="21">DG10</f>
      </c>
      <c r="DI10" s="633">
        <v>13928</v>
      </c>
      <c r="DJ10" s="633">
        <v>8468</v>
      </c>
      <c r="DK10" s="633">
        <v>6713</v>
      </c>
      <c r="DL10" s="633">
        <v>7663</v>
      </c>
      <c r="DM10" s="373">
        <f t="shared" ref="DM10:DM16" si="22">DL10</f>
      </c>
      <c r="DN10" s="633">
        <v>6884</v>
      </c>
      <c r="DO10" s="633">
        <v>12859</v>
      </c>
      <c r="DP10" s="633">
        <v>9221</v>
      </c>
      <c r="DQ10" s="633">
        <v>11946</v>
      </c>
      <c r="DR10" s="373">
        <f t="shared" ref="DR10:DR16" si="23">DQ10</f>
      </c>
      <c r="DS10" s="633">
        <v>15137</v>
      </c>
      <c r="DT10" s="633">
        <v>6638</v>
      </c>
      <c r="DU10" s="633">
        <v>11212</v>
      </c>
      <c r="DV10" s="633">
        <v>11356</v>
      </c>
      <c r="DW10" s="373">
        <f t="shared" ref="DW10:DW16" si="24">DV10</f>
      </c>
      <c r="DX10" s="633">
        <v>13117</v>
      </c>
      <c r="DY10" s="633">
        <v>8864</v>
      </c>
      <c r="DZ10" s="633">
        <v>11710</v>
      </c>
      <c r="EA10" s="633">
        <v>13576</v>
      </c>
      <c r="EB10" s="373">
        <f t="shared" ref="EB10:EB16" si="25">EA10</f>
      </c>
      <c r="EC10" s="633">
        <v>17205</v>
      </c>
      <c r="ED10" s="633">
        <v>14432</v>
      </c>
      <c r="EE10" s="633">
        <v>13702</v>
      </c>
      <c r="EF10" s="633">
        <v>14224</v>
      </c>
      <c r="EG10" s="373">
        <f t="shared" ref="EG10:EG16" si="26">EF10</f>
      </c>
      <c r="EH10" s="633">
        <v>19165</v>
      </c>
      <c r="EI10" s="633">
        <v>20604</v>
      </c>
      <c r="EJ10" s="633">
        <v>12498</v>
      </c>
      <c r="EK10" s="633">
        <v>13931</v>
      </c>
      <c r="EL10" s="373">
        <f t="shared" ref="EL10:EL16" si="27">EK10</f>
      </c>
      <c r="EM10" s="633">
        <v>22884</v>
      </c>
      <c r="EN10" s="633">
        <v>15646</v>
      </c>
      <c r="EO10" s="633">
        <v>26562</v>
      </c>
      <c r="EP10" s="633">
        <v>34704</v>
      </c>
      <c r="EQ10" s="373">
        <f t="shared" ref="EQ10:EQ16" si="28">EP10</f>
      </c>
      <c r="ER10" s="633">
        <v>80452</v>
      </c>
      <c r="ES10" s="633">
        <v>17305</v>
      </c>
      <c r="ET10" s="954">
        <v>19634</v>
      </c>
      <c r="EU10" s="954">
        <v>18315</v>
      </c>
      <c r="EV10" s="373">
        <f t="shared" ref="EV10:EV16" si="29">EU10</f>
      </c>
      <c r="EW10" s="954">
        <v>20840</v>
      </c>
      <c r="EX10" s="954">
        <v>17482</v>
      </c>
      <c r="EY10" s="954">
        <v>28828</v>
      </c>
      <c r="EZ10" s="954">
        <v>30242</v>
      </c>
      <c r="FA10" s="373">
        <f t="shared" ref="FA10:FA16" si="30">EZ10</f>
      </c>
      <c r="FB10" s="768">
        <f>CF!FB61</f>
      </c>
      <c r="FC10" s="768">
        <f>CF!FC61</f>
      </c>
      <c r="FD10" s="768">
        <f>CF!FD61</f>
      </c>
      <c r="FE10" s="768">
        <f>CF!FE61</f>
      </c>
      <c r="FF10" s="373">
        <f t="shared" ref="FF10:FF16" si="31">FE10</f>
      </c>
      <c r="FG10" s="768">
        <f>CF!FG61</f>
      </c>
      <c r="FH10" s="768">
        <f>CF!FH61</f>
      </c>
      <c r="FI10" s="768">
        <f>CF!FI61</f>
      </c>
      <c r="FJ10" s="768">
        <f>CF!FJ61</f>
      </c>
      <c r="FK10" s="373">
        <f t="shared" ref="FK10:FK16" si="32">FJ10</f>
      </c>
      <c r="FL10" s="768">
        <f>CF!FL61</f>
      </c>
      <c r="FM10" s="768">
        <f>CF!FM61</f>
      </c>
      <c r="FN10" s="768">
        <f>CF!FN61</f>
      </c>
      <c r="FO10" s="768">
        <f>CF!FO61</f>
      </c>
      <c r="FP10" s="373">
        <f t="shared" ref="FP10:FP16" si="33">FO10</f>
      </c>
      <c r="FQ10" s="768">
        <f>CF!FQ61</f>
      </c>
      <c r="FR10" s="768">
        <f>CF!FR61</f>
      </c>
      <c r="FS10" s="768">
        <f>CF!FS61</f>
      </c>
      <c r="FT10" s="768">
        <f>CF!FT61</f>
      </c>
      <c r="FU10" s="373">
        <f t="shared" ref="FU10:FU16" si="34">FT10</f>
      </c>
      <c r="FV10" s="768">
        <f>CF!FV61</f>
      </c>
      <c r="FW10" s="768">
        <f>CF!FW61</f>
      </c>
      <c r="FX10" s="768">
        <f>CF!FX61</f>
      </c>
      <c r="FY10" s="768">
        <f>CF!FY61</f>
      </c>
      <c r="FZ10" s="373">
        <f t="shared" ref="FZ10:FZ16" si="35">FY10</f>
      </c>
      <c r="GA10" s="768">
        <f>CF!GA61</f>
      </c>
      <c r="GB10" s="768">
        <f>CF!GB61</f>
      </c>
      <c r="GC10" s="768">
        <f>CF!GC61</f>
      </c>
      <c r="GD10" s="768">
        <f>CF!GD61</f>
      </c>
      <c r="GE10" s="373">
        <f t="shared" ref="GE10:GE16" si="36">GD10</f>
      </c>
      <c r="GF10" s="768">
        <f>CF!GF61</f>
      </c>
      <c r="GG10" s="768">
        <f>CF!GG61</f>
      </c>
      <c r="GH10" s="768">
        <f>CF!GH61</f>
      </c>
      <c r="GI10" s="768">
        <f>CF!GI61</f>
      </c>
      <c r="GJ10" s="373">
        <f t="shared" ref="GJ10:GJ16" si="37">GI10</f>
      </c>
    </row>
    <row r="11" spans="1:192" s="277" customFormat="1" ht="12.75" customHeight="1">
      <c r="A11" s="274"/>
      <c r="B11" s="704" t="s">
        <v>72</v>
      </c>
      <c r="C11" s="448">
        <v>2450</v>
      </c>
      <c r="D11" s="448">
        <v>2922</v>
      </c>
      <c r="E11" s="448">
        <v>3260</v>
      </c>
      <c r="F11" s="448">
        <v>2788</v>
      </c>
      <c r="G11" s="373">
        <f t="shared" si="0"/>
      </c>
      <c r="H11" s="448">
        <v>3158</v>
      </c>
      <c r="I11" s="448">
        <v>3694</v>
      </c>
      <c r="J11" s="448">
        <v>3833</v>
      </c>
      <c r="K11" s="448">
        <v>4339</v>
      </c>
      <c r="L11" s="373">
        <f t="shared" si="1"/>
      </c>
      <c r="M11" s="448">
        <v>4080</v>
      </c>
      <c r="N11" s="448">
        <v>6064</v>
      </c>
      <c r="O11" s="448">
        <v>5234</v>
      </c>
      <c r="P11" s="448">
        <v>5260</v>
      </c>
      <c r="Q11" s="373">
        <f t="shared" si="2"/>
      </c>
      <c r="R11" s="448">
        <v>5689</v>
      </c>
      <c r="S11" s="448">
        <v>7523</v>
      </c>
      <c r="T11" s="448">
        <v>8212</v>
      </c>
      <c r="U11" s="448">
        <v>10088</v>
      </c>
      <c r="V11" s="373">
        <f t="shared" si="3"/>
      </c>
      <c r="W11" s="448">
        <v>12051</v>
      </c>
      <c r="X11" s="448">
        <v>13124</v>
      </c>
      <c r="Y11" s="448">
        <v>15558</v>
      </c>
      <c r="Z11" s="448">
        <f>17236-4975</f>
      </c>
      <c r="AA11" s="373">
        <f t="shared" si="4"/>
      </c>
      <c r="AB11" s="448">
        <v>14113</v>
      </c>
      <c r="AC11" s="448">
        <v>12811</v>
      </c>
      <c r="AD11" s="448">
        <v>16013</v>
      </c>
      <c r="AE11" s="448">
        <f>23798-4846</f>
      </c>
      <c r="AF11" s="373">
        <f t="shared" si="5"/>
      </c>
      <c r="AG11" s="633">
        <v>22070</v>
      </c>
      <c r="AH11" s="633">
        <v>23358</v>
      </c>
      <c r="AI11" s="633">
        <v>25869</v>
      </c>
      <c r="AJ11" s="633">
        <v>27678</v>
      </c>
      <c r="AK11" s="373">
        <f t="shared" si="6"/>
      </c>
      <c r="AL11" s="633">
        <v>33050</v>
      </c>
      <c r="AM11" s="633">
        <v>32973</v>
      </c>
      <c r="AN11" s="633">
        <v>33577</v>
      </c>
      <c r="AO11" s="633">
        <v>35636</v>
      </c>
      <c r="AP11" s="373">
        <f t="shared" si="7"/>
      </c>
      <c r="AQ11" s="633">
        <v>35137</v>
      </c>
      <c r="AR11" s="633">
        <v>37872</v>
      </c>
      <c r="AS11" s="633">
        <v>41878</v>
      </c>
      <c r="AT11" s="633">
        <v>42610</v>
      </c>
      <c r="AU11" s="373">
        <f t="shared" si="8"/>
      </c>
      <c r="AV11" s="633">
        <v>45854</v>
      </c>
      <c r="AW11" s="633">
        <v>46628</v>
      </c>
      <c r="AX11" s="633">
        <v>47059</v>
      </c>
      <c r="AY11" s="954">
        <v>44610</v>
      </c>
      <c r="AZ11" s="373">
        <f t="shared" si="9"/>
      </c>
      <c r="BA11" s="633">
        <v>53274</v>
      </c>
      <c r="BB11" s="633">
        <v>29948</v>
      </c>
      <c r="BC11" s="633">
        <v>33812</v>
      </c>
      <c r="BD11" s="633">
        <v>32900</v>
      </c>
      <c r="BE11" s="373">
        <f t="shared" si="10"/>
      </c>
      <c r="BF11" s="633">
        <v>37082</v>
      </c>
      <c r="BG11" s="633">
        <v>30618</v>
      </c>
      <c r="BH11" s="633">
        <v>30465</v>
      </c>
      <c r="BI11" s="633">
        <v>27447</v>
      </c>
      <c r="BJ11" s="373">
        <f t="shared" si="11"/>
      </c>
      <c r="BK11" s="633">
        <v>22756</v>
      </c>
      <c r="BL11" s="633">
        <v>22014</v>
      </c>
      <c r="BM11" s="633">
        <v>20625</v>
      </c>
      <c r="BN11" s="633">
        <v>17300</v>
      </c>
      <c r="BO11" s="373">
        <f t="shared" si="12"/>
      </c>
      <c r="BP11" s="633">
        <v>14937</v>
      </c>
      <c r="BQ11" s="633">
        <v>13616</v>
      </c>
      <c r="BR11" s="633">
        <v>14521</v>
      </c>
      <c r="BS11" s="633">
        <v>13323</v>
      </c>
      <c r="BT11" s="373">
        <f t="shared" si="13"/>
      </c>
      <c r="BU11" s="633">
        <v>11718</v>
      </c>
      <c r="BV11" s="633">
        <v>12369</v>
      </c>
      <c r="BW11" s="633">
        <v>18055</v>
      </c>
      <c r="BX11" s="633">
        <v>25371</v>
      </c>
      <c r="BY11" s="373">
        <f t="shared" si="14"/>
      </c>
      <c r="BZ11" s="633">
        <v>27905</v>
      </c>
      <c r="CA11" s="633">
        <v>26677</v>
      </c>
      <c r="CB11" s="633">
        <v>31511</v>
      </c>
      <c r="CC11" s="633">
        <v>31283</v>
      </c>
      <c r="CD11" s="373">
        <f t="shared" si="15"/>
      </c>
      <c r="CE11" s="633">
        <v>36012</v>
      </c>
      <c r="CF11" s="633">
        <v>37229</v>
      </c>
      <c r="CG11" s="633">
        <v>43129</v>
      </c>
      <c r="CH11" s="633">
        <v>43162</v>
      </c>
      <c r="CI11" s="373">
        <f t="shared" si="16"/>
      </c>
      <c r="CJ11" s="633">
        <v>44522</v>
      </c>
      <c r="CK11" s="633">
        <v>41126</v>
      </c>
      <c r="CL11" s="633">
        <v>53141</v>
      </c>
      <c r="CM11" s="633">
        <v>56102</v>
      </c>
      <c r="CN11" s="373">
        <f t="shared" si="17"/>
      </c>
      <c r="CO11" s="633">
        <v>61608</v>
      </c>
      <c r="CP11" s="633">
        <v>62295</v>
      </c>
      <c r="CQ11" s="633">
        <v>69243</v>
      </c>
      <c r="CR11" s="633">
        <v>73218</v>
      </c>
      <c r="CS11" s="373">
        <f t="shared" si="18"/>
      </c>
      <c r="CT11" s="633">
        <v>76649</v>
      </c>
      <c r="CU11" s="633">
        <v>73885</v>
      </c>
      <c r="CV11" s="633">
        <v>76853</v>
      </c>
      <c r="CW11" s="633">
        <v>77040</v>
      </c>
      <c r="CX11" s="373">
        <f t="shared" si="19"/>
      </c>
      <c r="CY11" s="633">
        <v>82891</v>
      </c>
      <c r="CZ11" s="633">
        <v>83823</v>
      </c>
      <c r="DA11" s="633">
        <v>88024</v>
      </c>
      <c r="DB11" s="633">
        <v>90931</v>
      </c>
      <c r="DC11" s="373">
        <f t="shared" si="20"/>
      </c>
      <c r="DD11" s="633">
        <v>93924</v>
      </c>
      <c r="DE11" s="633">
        <v>95455</v>
      </c>
      <c r="DF11" s="633">
        <v>98382</v>
      </c>
      <c r="DG11" s="633">
        <v>106730</v>
      </c>
      <c r="DH11" s="373">
        <f t="shared" si="21"/>
      </c>
      <c r="DI11" s="633">
        <v>123004</v>
      </c>
      <c r="DJ11" s="633">
        <v>114313</v>
      </c>
      <c r="DK11" s="633">
        <v>119305</v>
      </c>
      <c r="DL11" s="633">
        <v>125318</v>
      </c>
      <c r="DM11" s="373">
        <f t="shared" si="22"/>
      </c>
      <c r="DN11" s="633">
        <v>131587</v>
      </c>
      <c r="DO11" s="633">
        <v>129921</v>
      </c>
      <c r="DP11" s="633">
        <v>123049</v>
      </c>
      <c r="DQ11" s="633">
        <v>121822</v>
      </c>
      <c r="DR11" s="373">
        <f t="shared" si="23"/>
      </c>
      <c r="DS11" s="633">
        <v>120743</v>
      </c>
      <c r="DT11" s="633">
        <v>121024</v>
      </c>
      <c r="DU11" s="633">
        <v>120406</v>
      </c>
      <c r="DV11" s="633">
        <v>122463</v>
      </c>
      <c r="DW11" s="373">
        <f t="shared" si="24"/>
      </c>
      <c r="DX11" s="633">
        <v>123519</v>
      </c>
      <c r="DY11" s="633">
        <v>125389</v>
      </c>
      <c r="DZ11" s="633">
        <v>125916</v>
      </c>
      <c r="EA11" s="633">
        <v>122951</v>
      </c>
      <c r="EB11" s="373">
        <f t="shared" si="25"/>
      </c>
      <c r="EC11" s="633">
        <v>120772</v>
      </c>
      <c r="ED11" s="633">
        <v>117536</v>
      </c>
      <c r="EE11" s="633">
        <v>111705</v>
      </c>
      <c r="EF11" s="633">
        <v>116110</v>
      </c>
      <c r="EG11" s="373">
        <f t="shared" si="26"/>
      </c>
      <c r="EH11" s="633">
        <v>111450</v>
      </c>
      <c r="EI11" s="633">
        <v>104765</v>
      </c>
      <c r="EJ11" s="633">
        <v>92195</v>
      </c>
      <c r="EK11" s="633">
        <v>90826</v>
      </c>
      <c r="EL11" s="373">
        <f t="shared" si="27"/>
      </c>
      <c r="EM11" s="633">
        <v>84378</v>
      </c>
      <c r="EN11" s="633">
        <v>83862</v>
      </c>
      <c r="EO11" s="633">
        <v>77865</v>
      </c>
      <c r="EP11" s="633">
        <v>76558</v>
      </c>
      <c r="EQ11" s="373">
        <f t="shared" si="28"/>
      </c>
      <c r="ER11" s="633">
        <v>63499</v>
      </c>
      <c r="ES11" s="633">
        <v>63712</v>
      </c>
      <c r="ET11" s="954">
        <v>60387</v>
      </c>
      <c r="EU11" s="954">
        <v>57228</v>
      </c>
      <c r="EV11" s="662">
        <f t="shared" si="29"/>
      </c>
      <c r="EW11" s="954">
        <v>57588</v>
      </c>
      <c r="EX11" s="954">
        <v>54073</v>
      </c>
      <c r="EY11" s="954">
        <v>50790</v>
      </c>
      <c r="EZ11" s="954">
        <v>64323</v>
      </c>
      <c r="FA11" s="662">
        <f t="shared" si="30"/>
      </c>
      <c r="FB11" s="929">
        <f>EZ11</f>
      </c>
      <c r="FC11" s="929">
        <f>FB11</f>
      </c>
      <c r="FD11" s="929">
        <f>FC11</f>
      </c>
      <c r="FE11" s="929">
        <f>FD11</f>
      </c>
      <c r="FF11" s="662">
        <f t="shared" si="31"/>
      </c>
      <c r="FG11" s="929">
        <f>FE11</f>
      </c>
      <c r="FH11" s="929">
        <f>FG11</f>
      </c>
      <c r="FI11" s="929">
        <f>FH11</f>
      </c>
      <c r="FJ11" s="929">
        <f>FI11</f>
      </c>
      <c r="FK11" s="662">
        <f t="shared" si="32"/>
      </c>
      <c r="FL11" s="929">
        <f>FJ11</f>
      </c>
      <c r="FM11" s="929">
        <f>FL11</f>
      </c>
      <c r="FN11" s="929">
        <f>FM11</f>
      </c>
      <c r="FO11" s="929">
        <f>FN11</f>
      </c>
      <c r="FP11" s="662">
        <f t="shared" si="33"/>
      </c>
      <c r="FQ11" s="929">
        <f>FO11</f>
      </c>
      <c r="FR11" s="929">
        <f>FQ11</f>
      </c>
      <c r="FS11" s="929">
        <f>FR11</f>
      </c>
      <c r="FT11" s="929">
        <f>FS11</f>
      </c>
      <c r="FU11" s="662">
        <f t="shared" si="34"/>
      </c>
      <c r="FV11" s="929">
        <f>FT11</f>
      </c>
      <c r="FW11" s="929">
        <f>FV11</f>
      </c>
      <c r="FX11" s="929">
        <f>FW11</f>
      </c>
      <c r="FY11" s="929">
        <f>FX11</f>
      </c>
      <c r="FZ11" s="662">
        <f t="shared" si="35"/>
      </c>
      <c r="GA11" s="929">
        <f>FY11</f>
      </c>
      <c r="GB11" s="929">
        <f>GA11</f>
      </c>
      <c r="GC11" s="929">
        <f>GB11</f>
      </c>
      <c r="GD11" s="929">
        <f>GC11</f>
      </c>
      <c r="GE11" s="662">
        <f t="shared" si="36"/>
      </c>
      <c r="GF11" s="929">
        <f>GD11</f>
      </c>
      <c r="GG11" s="929">
        <f>GF11</f>
      </c>
      <c r="GH11" s="929">
        <f>GG11</f>
      </c>
      <c r="GI11" s="929">
        <f>GH11</f>
      </c>
      <c r="GJ11" s="662">
        <f t="shared" si="37"/>
      </c>
    </row>
    <row r="12" spans="1:192" s="277" customFormat="1" ht="12.75" customHeight="1">
      <c r="A12" s="274"/>
      <c r="B12" s="704" t="s">
        <v>73</v>
      </c>
      <c r="C12" s="633">
        <v>527</v>
      </c>
      <c r="D12" s="633">
        <v>591</v>
      </c>
      <c r="E12" s="633">
        <v>580</v>
      </c>
      <c r="F12" s="633">
        <v>581</v>
      </c>
      <c r="G12" s="373">
        <f t="shared" si="0"/>
      </c>
      <c r="H12" s="633">
        <v>1052</v>
      </c>
      <c r="I12" s="633">
        <v>771</v>
      </c>
      <c r="J12" s="633">
        <v>681</v>
      </c>
      <c r="K12" s="633">
        <v>639</v>
      </c>
      <c r="L12" s="373">
        <f t="shared" si="1"/>
      </c>
      <c r="M12" s="633">
        <v>855</v>
      </c>
      <c r="N12" s="633">
        <v>975</v>
      </c>
      <c r="O12" s="633">
        <v>866</v>
      </c>
      <c r="P12" s="633">
        <v>980</v>
      </c>
      <c r="Q12" s="373">
        <f t="shared" si="2"/>
      </c>
      <c r="R12" s="633">
        <v>788</v>
      </c>
      <c r="S12" s="633">
        <v>1081</v>
      </c>
      <c r="T12" s="633">
        <v>1055</v>
      </c>
      <c r="U12" s="633">
        <v>1460</v>
      </c>
      <c r="V12" s="373">
        <f t="shared" si="3"/>
      </c>
      <c r="W12" s="633">
        <v>1153</v>
      </c>
      <c r="X12" s="633">
        <v>2029</v>
      </c>
      <c r="Y12" s="633">
        <v>1689</v>
      </c>
      <c r="Z12" s="633">
        <v>2245</v>
      </c>
      <c r="AA12" s="373">
        <f t="shared" si="4"/>
      </c>
      <c r="AB12" s="633">
        <v>2207</v>
      </c>
      <c r="AC12" s="633">
        <v>3284</v>
      </c>
      <c r="AD12" s="633">
        <v>2902</v>
      </c>
      <c r="AE12" s="633">
        <v>3250</v>
      </c>
      <c r="AF12" s="373">
        <f t="shared" si="5"/>
      </c>
      <c r="AG12" s="633">
        <v>3172</v>
      </c>
      <c r="AH12" s="633">
        <v>4143</v>
      </c>
      <c r="AI12" s="633">
        <v>3532</v>
      </c>
      <c r="AJ12" s="633">
        <v>3671</v>
      </c>
      <c r="AK12" s="373">
        <f t="shared" si="6"/>
      </c>
      <c r="AL12" s="633">
        <v>3615</v>
      </c>
      <c r="AM12" s="633">
        <v>5095</v>
      </c>
      <c r="AN12" s="633">
        <v>4230</v>
      </c>
      <c r="AO12" s="633">
        <v>5129</v>
      </c>
      <c r="AP12" s="373">
        <f t="shared" si="7"/>
      </c>
      <c r="AQ12" s="633">
        <v>4450</v>
      </c>
      <c r="AR12" s="633">
        <v>4894</v>
      </c>
      <c r="AS12" s="633">
        <v>4075</v>
      </c>
      <c r="AT12" s="633">
        <v>5196</v>
      </c>
      <c r="AU12" s="373">
        <f t="shared" si="8"/>
      </c>
      <c r="AV12" s="633">
        <v>4533</v>
      </c>
      <c r="AW12" s="633">
        <v>5608</v>
      </c>
      <c r="AX12" s="633">
        <v>4937</v>
      </c>
      <c r="AY12" s="954">
        <v>5890</v>
      </c>
      <c r="AZ12" s="373">
        <f t="shared" si="9"/>
      </c>
      <c r="BA12" s="633">
        <v>5106</v>
      </c>
      <c r="BB12" s="633">
        <v>6646</v>
      </c>
      <c r="BC12" s="633">
        <v>5610</v>
      </c>
      <c r="BD12" s="633">
        <v>7180</v>
      </c>
      <c r="BE12" s="373">
        <f t="shared" si="10"/>
      </c>
      <c r="BF12" s="633">
        <v>5799</v>
      </c>
      <c r="BG12" s="633">
        <v>7758</v>
      </c>
      <c r="BH12" s="633">
        <v>6818</v>
      </c>
      <c r="BI12" s="633">
        <v>9316</v>
      </c>
      <c r="BJ12" s="373">
        <f t="shared" si="11"/>
      </c>
      <c r="BK12" s="633">
        <v>6879</v>
      </c>
      <c r="BL12" s="633">
        <v>9895</v>
      </c>
      <c r="BM12" s="633">
        <v>8454</v>
      </c>
      <c r="BN12" s="633">
        <v>11338</v>
      </c>
      <c r="BO12" s="373">
        <f t="shared" si="12"/>
      </c>
      <c r="BP12" s="633">
        <v>8982</v>
      </c>
      <c r="BQ12" s="633">
        <v>11621</v>
      </c>
      <c r="BR12" s="633">
        <v>9871</v>
      </c>
      <c r="BS12" s="633">
        <v>13589</v>
      </c>
      <c r="BT12" s="373">
        <f t="shared" si="13"/>
      </c>
      <c r="BU12" s="633">
        <v>9535</v>
      </c>
      <c r="BV12" s="633">
        <v>10953</v>
      </c>
      <c r="BW12" s="633">
        <v>9182</v>
      </c>
      <c r="BX12" s="633">
        <v>11192</v>
      </c>
      <c r="BY12" s="373">
        <f t="shared" si="14"/>
      </c>
      <c r="BZ12" s="633">
        <v>8587</v>
      </c>
      <c r="CA12" s="633">
        <v>11196</v>
      </c>
      <c r="CB12" s="633">
        <v>9137</v>
      </c>
      <c r="CC12" s="633">
        <v>13014</v>
      </c>
      <c r="CD12" s="373">
        <f t="shared" si="15"/>
      </c>
      <c r="CE12" s="633">
        <v>9646</v>
      </c>
      <c r="CF12" s="633">
        <v>12874</v>
      </c>
      <c r="CG12" s="633">
        <v>10033</v>
      </c>
      <c r="CH12" s="633">
        <v>14987</v>
      </c>
      <c r="CI12" s="373">
        <f t="shared" si="16"/>
      </c>
      <c r="CJ12" s="633">
        <v>10153</v>
      </c>
      <c r="CK12" s="633">
        <v>13643</v>
      </c>
      <c r="CL12" s="633">
        <v>10961</v>
      </c>
      <c r="CM12" s="633">
        <v>15780</v>
      </c>
      <c r="CN12" s="373">
        <f t="shared" si="17"/>
      </c>
      <c r="CO12" s="633">
        <v>9871</v>
      </c>
      <c r="CP12" s="633">
        <v>14317</v>
      </c>
      <c r="CQ12" s="633">
        <v>11991</v>
      </c>
      <c r="CR12" s="633">
        <v>17486</v>
      </c>
      <c r="CS12" s="373">
        <f t="shared" si="18"/>
      </c>
      <c r="CT12" s="633">
        <v>11007</v>
      </c>
      <c r="CU12" s="633">
        <v>15986</v>
      </c>
      <c r="CV12" s="633">
        <v>13497</v>
      </c>
      <c r="CW12" s="633">
        <v>19544</v>
      </c>
      <c r="CX12" s="373">
        <f t="shared" si="19"/>
      </c>
      <c r="CY12" s="633">
        <v>12887</v>
      </c>
      <c r="CZ12" s="633">
        <v>16186</v>
      </c>
      <c r="DA12" s="633">
        <v>12427</v>
      </c>
      <c r="DB12" s="633">
        <v>17908</v>
      </c>
      <c r="DC12" s="373">
        <f t="shared" si="20"/>
      </c>
      <c r="DD12" s="633">
        <v>11444</v>
      </c>
      <c r="DE12" s="633">
        <v>14507</v>
      </c>
      <c r="DF12" s="633">
        <v>12247</v>
      </c>
      <c r="DG12" s="633">
        <v>18277</v>
      </c>
      <c r="DH12" s="373">
        <f t="shared" si="21"/>
      </c>
      <c r="DI12" s="633">
        <v>13479</v>
      </c>
      <c r="DJ12" s="633">
        <v>16737</v>
      </c>
      <c r="DK12" s="633">
        <v>15364</v>
      </c>
      <c r="DL12" s="633">
        <v>22431</v>
      </c>
      <c r="DM12" s="373">
        <f t="shared" si="22"/>
      </c>
      <c r="DN12" s="633">
        <v>14561</v>
      </c>
      <c r="DO12" s="633">
        <v>18428</v>
      </c>
      <c r="DP12" s="633">
        <v>17208</v>
      </c>
      <c r="DQ12" s="633">
        <v>26481</v>
      </c>
      <c r="DR12" s="373">
        <f t="shared" si="23"/>
      </c>
      <c r="DS12" s="633">
        <v>17390</v>
      </c>
      <c r="DT12" s="633">
        <v>19680</v>
      </c>
      <c r="DU12" s="633">
        <v>19269</v>
      </c>
      <c r="DV12" s="633">
        <v>29524</v>
      </c>
      <c r="DW12" s="373">
        <f t="shared" si="24"/>
      </c>
      <c r="DX12" s="633">
        <v>19087</v>
      </c>
      <c r="DY12" s="633">
        <v>23525</v>
      </c>
      <c r="DZ12" s="633">
        <v>22699</v>
      </c>
      <c r="EA12" s="633">
        <v>32011</v>
      </c>
      <c r="EB12" s="373">
        <f t="shared" si="25"/>
      </c>
      <c r="EC12" s="633">
        <v>22851</v>
      </c>
      <c r="ED12" s="633">
        <v>27312</v>
      </c>
      <c r="EE12" s="633">
        <v>26322</v>
      </c>
      <c r="EF12" s="633">
        <v>38043</v>
      </c>
      <c r="EG12" s="373">
        <f t="shared" si="26"/>
      </c>
      <c r="EH12" s="633">
        <v>27349</v>
      </c>
      <c r="EI12" s="633">
        <v>33520</v>
      </c>
      <c r="EJ12" s="633">
        <v>32613</v>
      </c>
      <c r="EK12" s="633">
        <v>44261</v>
      </c>
      <c r="EL12" s="373">
        <f t="shared" si="27"/>
      </c>
      <c r="EM12" s="633">
        <v>31279</v>
      </c>
      <c r="EN12" s="633">
        <v>35833</v>
      </c>
      <c r="EO12" s="633">
        <v>37420</v>
      </c>
      <c r="EP12" s="633">
        <v>48688</v>
      </c>
      <c r="EQ12" s="373">
        <f t="shared" si="28"/>
      </c>
      <c r="ER12" s="633">
        <v>36953</v>
      </c>
      <c r="ES12" s="633">
        <v>42831</v>
      </c>
      <c r="ET12" s="954">
        <v>44029</v>
      </c>
      <c r="EU12" s="954">
        <v>56924</v>
      </c>
      <c r="EV12" s="373">
        <f t="shared" si="29"/>
      </c>
      <c r="EW12" s="954">
        <v>44148</v>
      </c>
      <c r="EX12" s="954">
        <v>48188</v>
      </c>
      <c r="EY12" s="954">
        <v>51700</v>
      </c>
      <c r="EZ12" s="954">
        <v>69905</v>
      </c>
      <c r="FA12" s="373">
        <f t="shared" si="30"/>
      </c>
      <c r="FB12" s="930">
        <f t="shared" ref="FB12:GD12" si="38">(FB63/FB64)*FB56</f>
      </c>
      <c r="FC12" s="930">
        <f t="shared" si="38"/>
      </c>
      <c r="FD12" s="930">
        <f t="shared" si="38"/>
      </c>
      <c r="FE12" s="930">
        <f t="shared" si="38"/>
      </c>
      <c r="FF12" s="373">
        <f t="shared" si="31"/>
      </c>
      <c r="FG12" s="930">
        <f t="shared" si="38"/>
      </c>
      <c r="FH12" s="930">
        <f t="shared" si="38"/>
      </c>
      <c r="FI12" s="930">
        <f t="shared" si="38"/>
      </c>
      <c r="FJ12" s="930">
        <f t="shared" si="38"/>
      </c>
      <c r="FK12" s="373">
        <f t="shared" si="32"/>
      </c>
      <c r="FL12" s="930">
        <f t="shared" si="38"/>
      </c>
      <c r="FM12" s="930">
        <f t="shared" si="38"/>
      </c>
      <c r="FN12" s="930">
        <f t="shared" si="38"/>
      </c>
      <c r="FO12" s="930">
        <f t="shared" si="38"/>
      </c>
      <c r="FP12" s="373">
        <f t="shared" si="33"/>
      </c>
      <c r="FQ12" s="930">
        <f t="shared" si="38"/>
      </c>
      <c r="FR12" s="930">
        <f t="shared" si="38"/>
      </c>
      <c r="FS12" s="930">
        <f t="shared" si="38"/>
      </c>
      <c r="FT12" s="930">
        <f t="shared" si="38"/>
      </c>
      <c r="FU12" s="373">
        <f t="shared" si="34"/>
      </c>
      <c r="FV12" s="930">
        <f t="shared" si="38"/>
      </c>
      <c r="FW12" s="930">
        <f t="shared" si="38"/>
      </c>
      <c r="FX12" s="930">
        <f t="shared" si="38"/>
      </c>
      <c r="FY12" s="930">
        <f t="shared" si="38"/>
      </c>
      <c r="FZ12" s="373">
        <f t="shared" si="35"/>
      </c>
      <c r="GA12" s="930">
        <f t="shared" si="38"/>
      </c>
      <c r="GB12" s="930">
        <f t="shared" si="38"/>
      </c>
      <c r="GC12" s="930">
        <f t="shared" si="38"/>
      </c>
      <c r="GD12" s="930">
        <f t="shared" si="38"/>
      </c>
      <c r="GE12" s="373">
        <f t="shared" si="36"/>
      </c>
      <c r="GF12" s="930">
        <f t="shared" ref="GF12:GI12" si="39">(GF63/GF64)*GF56</f>
      </c>
      <c r="GG12" s="930">
        <f t="shared" si="39"/>
      </c>
      <c r="GH12" s="930">
        <f t="shared" si="39"/>
      </c>
      <c r="GI12" s="930">
        <f t="shared" si="39"/>
      </c>
      <c r="GJ12" s="373">
        <f t="shared" si="37"/>
      </c>
    </row>
    <row r="13" spans="1:192" s="277" customFormat="1" ht="12.75" customHeight="1">
      <c r="A13" s="274"/>
      <c r="B13" s="705" t="s">
        <v>89</v>
      </c>
      <c r="C13" s="633">
        <v>108</v>
      </c>
      <c r="D13" s="633">
        <v>117</v>
      </c>
      <c r="E13" s="633">
        <v>87</v>
      </c>
      <c r="F13" s="633">
        <v>88</v>
      </c>
      <c r="G13" s="373">
        <f t="shared" si="0"/>
      </c>
      <c r="H13" s="448">
        <v>125</v>
      </c>
      <c r="I13" s="448">
        <v>108</v>
      </c>
      <c r="J13" s="448">
        <v>33</v>
      </c>
      <c r="K13" s="448">
        <v>0</v>
      </c>
      <c r="L13" s="373">
        <f t="shared" si="1"/>
      </c>
      <c r="M13" s="448">
        <v>0</v>
      </c>
      <c r="N13" s="448">
        <v>0</v>
      </c>
      <c r="O13" s="448">
        <v>0</v>
      </c>
      <c r="P13" s="448">
        <v>0</v>
      </c>
      <c r="Q13" s="373">
        <f t="shared" si="2"/>
      </c>
      <c r="R13" s="448">
        <v>0</v>
      </c>
      <c r="S13" s="448">
        <v>0</v>
      </c>
      <c r="T13" s="448">
        <v>0</v>
      </c>
      <c r="U13" s="448">
        <v>0</v>
      </c>
      <c r="V13" s="373">
        <f t="shared" si="3"/>
      </c>
      <c r="W13" s="448">
        <v>0</v>
      </c>
      <c r="X13" s="448">
        <v>0</v>
      </c>
      <c r="Y13" s="448">
        <v>0</v>
      </c>
      <c r="Z13" s="448">
        <v>0</v>
      </c>
      <c r="AA13" s="373">
        <f t="shared" si="4"/>
      </c>
      <c r="AB13" s="448">
        <v>0</v>
      </c>
      <c r="AC13" s="448">
        <v>0</v>
      </c>
      <c r="AD13" s="448">
        <v>0</v>
      </c>
      <c r="AE13" s="448">
        <v>0</v>
      </c>
      <c r="AF13" s="373">
        <f t="shared" si="5"/>
      </c>
      <c r="AG13" s="448">
        <v>0</v>
      </c>
      <c r="AH13" s="448">
        <v>0</v>
      </c>
      <c r="AI13" s="448">
        <v>0</v>
      </c>
      <c r="AJ13" s="448">
        <v>0</v>
      </c>
      <c r="AK13" s="373">
        <f t="shared" si="6"/>
      </c>
      <c r="AL13" s="633">
        <v>0</v>
      </c>
      <c r="AM13" s="633">
        <v>0</v>
      </c>
      <c r="AN13" s="633">
        <v>0</v>
      </c>
      <c r="AO13" s="633">
        <v>673</v>
      </c>
      <c r="AP13" s="373">
        <f t="shared" si="7"/>
      </c>
      <c r="AQ13" s="633">
        <v>959</v>
      </c>
      <c r="AR13" s="633">
        <v>650</v>
      </c>
      <c r="AS13" s="633">
        <v>604</v>
      </c>
      <c r="AT13" s="633">
        <v>640</v>
      </c>
      <c r="AU13" s="373">
        <f t="shared" si="8"/>
      </c>
      <c r="AV13" s="633">
        <v>1099</v>
      </c>
      <c r="AW13" s="633">
        <v>621</v>
      </c>
      <c r="AX13" s="633">
        <v>542</v>
      </c>
      <c r="AY13" s="633">
        <v>421</v>
      </c>
      <c r="AZ13" s="373">
        <f t="shared" si="9"/>
      </c>
      <c r="BA13" s="633">
        <v>608</v>
      </c>
      <c r="BB13" s="633">
        <v>304</v>
      </c>
      <c r="BC13" s="633">
        <v>340</v>
      </c>
      <c r="BD13" s="633">
        <v>491</v>
      </c>
      <c r="BE13" s="373">
        <f t="shared" si="10"/>
      </c>
      <c r="BF13" s="633">
        <v>726</v>
      </c>
      <c r="BG13" s="633">
        <v>1003</v>
      </c>
      <c r="BH13" s="633">
        <v>1113</v>
      </c>
      <c r="BI13" s="633">
        <v>1478</v>
      </c>
      <c r="BJ13" s="373">
        <f t="shared" si="11"/>
      </c>
      <c r="BK13" s="633">
        <v>2521</v>
      </c>
      <c r="BL13" s="633">
        <v>1725</v>
      </c>
      <c r="BM13" s="633">
        <v>1750</v>
      </c>
      <c r="BN13" s="633">
        <v>1127</v>
      </c>
      <c r="BO13" s="373">
        <f t="shared" si="12"/>
      </c>
      <c r="BP13" s="633">
        <v>1178</v>
      </c>
      <c r="BQ13" s="633">
        <v>755</v>
      </c>
      <c r="BR13" s="633">
        <v>774</v>
      </c>
      <c r="BS13" s="633">
        <v>985</v>
      </c>
      <c r="BT13" s="373">
        <f t="shared" si="13"/>
      </c>
      <c r="BU13" s="633">
        <v>1640</v>
      </c>
      <c r="BV13" s="633">
        <v>968</v>
      </c>
      <c r="BW13" s="633">
        <v>657</v>
      </c>
      <c r="BX13" s="633">
        <v>717</v>
      </c>
      <c r="BY13" s="373">
        <f t="shared" si="14"/>
      </c>
      <c r="BZ13" s="633">
        <v>1150</v>
      </c>
      <c r="CA13" s="633">
        <v>589</v>
      </c>
      <c r="CB13" s="633">
        <v>501</v>
      </c>
      <c r="CC13" s="633">
        <v>740</v>
      </c>
      <c r="CD13" s="373">
        <f t="shared" si="15"/>
      </c>
      <c r="CE13" s="633">
        <v>1242</v>
      </c>
      <c r="CF13" s="633">
        <v>861</v>
      </c>
      <c r="CG13" s="633">
        <v>1056</v>
      </c>
      <c r="CH13" s="633">
        <v>1372</v>
      </c>
      <c r="CI13" s="373">
        <f t="shared" si="16"/>
      </c>
      <c r="CJ13" s="633">
        <v>2270</v>
      </c>
      <c r="CK13" s="633">
        <v>1351</v>
      </c>
      <c r="CL13" s="633">
        <v>1412</v>
      </c>
      <c r="CM13" s="633">
        <v>1137</v>
      </c>
      <c r="CN13" s="373">
        <f t="shared" si="17"/>
      </c>
      <c r="CO13" s="633">
        <v>1624</v>
      </c>
      <c r="CP13" s="633">
        <v>1661</v>
      </c>
      <c r="CQ13" s="633">
        <v>2133</v>
      </c>
      <c r="CR13" s="633">
        <v>1938</v>
      </c>
      <c r="CS13" s="373">
        <f t="shared" si="18"/>
      </c>
      <c r="CT13" s="633">
        <v>2613</v>
      </c>
      <c r="CU13" s="633">
        <v>1594</v>
      </c>
      <c r="CV13" s="633">
        <v>1920</v>
      </c>
      <c r="CW13" s="633">
        <v>2660</v>
      </c>
      <c r="CX13" s="373">
        <f t="shared" si="19"/>
      </c>
      <c r="CY13" s="633">
        <v>3141</v>
      </c>
      <c r="CZ13" s="633">
        <v>2053</v>
      </c>
      <c r="DA13" s="633">
        <v>2469</v>
      </c>
      <c r="DB13" s="633">
        <v>2902</v>
      </c>
      <c r="DC13" s="373">
        <f t="shared" si="20"/>
      </c>
      <c r="DD13" s="633">
        <v>3816</v>
      </c>
      <c r="DE13" s="633">
        <v>2702</v>
      </c>
      <c r="DF13" s="633">
        <v>2450</v>
      </c>
      <c r="DG13" s="633">
        <v>2251</v>
      </c>
      <c r="DH13" s="373">
        <f t="shared" si="21"/>
      </c>
      <c r="DI13" s="633">
        <v>3122</v>
      </c>
      <c r="DJ13" s="633">
        <v>1961</v>
      </c>
      <c r="DK13" s="633">
        <v>1979</v>
      </c>
      <c r="DL13" s="633">
        <v>2181</v>
      </c>
      <c r="DM13" s="373">
        <f t="shared" si="22"/>
      </c>
      <c r="DN13" s="633">
        <v>3211</v>
      </c>
      <c r="DO13" s="633">
        <v>2003</v>
      </c>
      <c r="DP13" s="633">
        <v>2084</v>
      </c>
      <c r="DQ13" s="633">
        <v>2662</v>
      </c>
      <c r="DR13" s="373">
        <f t="shared" si="23"/>
      </c>
      <c r="DS13" s="633">
        <v>3614</v>
      </c>
      <c r="DT13" s="633">
        <v>1961</v>
      </c>
      <c r="DU13" s="633">
        <v>1951</v>
      </c>
      <c r="DV13" s="633">
        <v>2063</v>
      </c>
      <c r="DW13" s="373">
        <f t="shared" si="24"/>
      </c>
      <c r="DX13" s="633">
        <v>2622</v>
      </c>
      <c r="DY13" s="633">
        <v>1823</v>
      </c>
      <c r="DZ13" s="633">
        <v>1644</v>
      </c>
      <c r="EA13" s="633">
        <v>1895</v>
      </c>
      <c r="EB13" s="373">
        <f t="shared" si="25"/>
      </c>
      <c r="EC13" s="633">
        <v>2705</v>
      </c>
      <c r="ED13" s="633">
        <v>1924</v>
      </c>
      <c r="EE13" s="633">
        <v>2245</v>
      </c>
      <c r="EF13" s="633">
        <v>2636</v>
      </c>
      <c r="EG13" s="373">
        <f t="shared" si="26"/>
      </c>
      <c r="EH13" s="633">
        <v>3411</v>
      </c>
      <c r="EI13" s="633">
        <v>3019</v>
      </c>
      <c r="EJ13" s="633">
        <v>3296</v>
      </c>
      <c r="EK13" s="633">
        <v>3742</v>
      </c>
      <c r="EL13" s="373">
        <f t="shared" si="27"/>
      </c>
      <c r="EM13" s="633">
        <v>4268</v>
      </c>
      <c r="EN13" s="633">
        <v>2980</v>
      </c>
      <c r="EO13" s="633">
        <v>2877</v>
      </c>
      <c r="EP13" s="633">
        <v>2500</v>
      </c>
      <c r="EQ13" s="373">
        <f t="shared" si="28"/>
      </c>
      <c r="ER13" s="633">
        <v>3000</v>
      </c>
      <c r="ES13" s="633">
        <v>1615</v>
      </c>
      <c r="ET13" s="954">
        <v>1304</v>
      </c>
      <c r="EU13" s="954">
        <v>1246</v>
      </c>
      <c r="EV13" s="373">
        <f t="shared" si="29"/>
      </c>
      <c r="EW13" s="954">
        <v>1626</v>
      </c>
      <c r="EX13" s="954">
        <v>909</v>
      </c>
      <c r="EY13" s="954">
        <v>848</v>
      </c>
      <c r="EZ13" s="954">
        <v>938</v>
      </c>
      <c r="FA13" s="373">
        <f t="shared" si="30"/>
      </c>
      <c r="FB13" s="930">
        <f t="shared" ref="FB13:GD13" si="40">(FB69/FB70)*FB57</f>
      </c>
      <c r="FC13" s="930">
        <f t="shared" si="40"/>
      </c>
      <c r="FD13" s="930">
        <f t="shared" si="40"/>
      </c>
      <c r="FE13" s="930">
        <f t="shared" si="40"/>
      </c>
      <c r="FF13" s="373">
        <f t="shared" si="31"/>
      </c>
      <c r="FG13" s="930">
        <f t="shared" si="40"/>
      </c>
      <c r="FH13" s="930">
        <f t="shared" si="40"/>
      </c>
      <c r="FI13" s="930">
        <f t="shared" si="40"/>
      </c>
      <c r="FJ13" s="930">
        <f t="shared" si="40"/>
      </c>
      <c r="FK13" s="373">
        <f t="shared" si="32"/>
      </c>
      <c r="FL13" s="930">
        <f t="shared" si="40"/>
      </c>
      <c r="FM13" s="930">
        <f t="shared" si="40"/>
      </c>
      <c r="FN13" s="930">
        <f t="shared" si="40"/>
      </c>
      <c r="FO13" s="930">
        <f t="shared" si="40"/>
      </c>
      <c r="FP13" s="373">
        <f t="shared" si="33"/>
      </c>
      <c r="FQ13" s="930">
        <f t="shared" si="40"/>
      </c>
      <c r="FR13" s="930">
        <f t="shared" si="40"/>
      </c>
      <c r="FS13" s="930">
        <f t="shared" si="40"/>
      </c>
      <c r="FT13" s="930">
        <f t="shared" si="40"/>
      </c>
      <c r="FU13" s="373">
        <f t="shared" si="34"/>
      </c>
      <c r="FV13" s="930">
        <f t="shared" si="40"/>
      </c>
      <c r="FW13" s="930">
        <f t="shared" si="40"/>
      </c>
      <c r="FX13" s="930">
        <f t="shared" si="40"/>
      </c>
      <c r="FY13" s="930">
        <f t="shared" si="40"/>
      </c>
      <c r="FZ13" s="373">
        <f t="shared" si="35"/>
      </c>
      <c r="GA13" s="930">
        <f t="shared" si="40"/>
      </c>
      <c r="GB13" s="930">
        <f t="shared" si="40"/>
      </c>
      <c r="GC13" s="930">
        <f t="shared" si="40"/>
      </c>
      <c r="GD13" s="930">
        <f t="shared" si="40"/>
      </c>
      <c r="GE13" s="373">
        <f t="shared" si="36"/>
      </c>
      <c r="GF13" s="930">
        <f t="shared" ref="GF13:GI13" si="41">(GF69/GF70)*GF57</f>
      </c>
      <c r="GG13" s="930">
        <f t="shared" si="41"/>
      </c>
      <c r="GH13" s="930">
        <f t="shared" si="41"/>
      </c>
      <c r="GI13" s="930">
        <f t="shared" si="41"/>
      </c>
      <c r="GJ13" s="373">
        <f t="shared" si="37"/>
      </c>
    </row>
    <row r="14" spans="1:192" s="277" customFormat="1" ht="12.75" hidden="1" customHeight="1" outlineLevel="1">
      <c r="A14" s="274"/>
      <c r="B14" s="705" t="s">
        <v>101</v>
      </c>
      <c r="C14" s="448">
        <v>0</v>
      </c>
      <c r="D14" s="448">
        <v>0</v>
      </c>
      <c r="E14" s="448">
        <v>0</v>
      </c>
      <c r="F14" s="448">
        <v>0</v>
      </c>
      <c r="G14" s="373">
        <f t="shared" si="0"/>
      </c>
      <c r="H14" s="448">
        <v>0</v>
      </c>
      <c r="I14" s="448">
        <v>0</v>
      </c>
      <c r="J14" s="448">
        <v>0</v>
      </c>
      <c r="K14" s="448">
        <v>0</v>
      </c>
      <c r="L14" s="373">
        <f t="shared" si="1"/>
      </c>
      <c r="M14" s="448">
        <v>0</v>
      </c>
      <c r="N14" s="448">
        <v>0</v>
      </c>
      <c r="O14" s="448">
        <v>0</v>
      </c>
      <c r="P14" s="448">
        <v>0</v>
      </c>
      <c r="Q14" s="373">
        <f t="shared" si="2"/>
      </c>
      <c r="R14" s="448">
        <v>0</v>
      </c>
      <c r="S14" s="448">
        <v>0</v>
      </c>
      <c r="T14" s="448">
        <v>0</v>
      </c>
      <c r="U14" s="448">
        <v>0</v>
      </c>
      <c r="V14" s="373">
        <f t="shared" si="3"/>
      </c>
      <c r="W14" s="448">
        <v>0</v>
      </c>
      <c r="X14" s="448">
        <v>0</v>
      </c>
      <c r="Y14" s="448">
        <v>0</v>
      </c>
      <c r="Z14" s="448">
        <v>0</v>
      </c>
      <c r="AA14" s="373">
        <f t="shared" si="4"/>
      </c>
      <c r="AB14" s="448">
        <v>0</v>
      </c>
      <c r="AC14" s="448">
        <v>0</v>
      </c>
      <c r="AD14" s="448">
        <v>0</v>
      </c>
      <c r="AE14" s="448">
        <v>0</v>
      </c>
      <c r="AF14" s="373">
        <f t="shared" si="5"/>
      </c>
      <c r="AG14" s="633">
        <v>1734</v>
      </c>
      <c r="AH14" s="633">
        <v>1984</v>
      </c>
      <c r="AI14" s="633">
        <v>1841</v>
      </c>
      <c r="AJ14" s="633">
        <v>1949</v>
      </c>
      <c r="AK14" s="373">
        <f t="shared" si="6"/>
      </c>
      <c r="AL14" s="633">
        <v>1993</v>
      </c>
      <c r="AM14" s="633">
        <v>1972</v>
      </c>
      <c r="AN14" s="633">
        <v>2086</v>
      </c>
      <c r="AO14" s="633">
        <v>2112</v>
      </c>
      <c r="AP14" s="373">
        <f t="shared" si="7"/>
      </c>
      <c r="AQ14" s="633">
        <v>2401</v>
      </c>
      <c r="AR14" s="633">
        <v>2347</v>
      </c>
      <c r="AS14" s="633">
        <v>2257</v>
      </c>
      <c r="AT14" s="633">
        <v>2506</v>
      </c>
      <c r="AU14" s="373">
        <f t="shared" si="8"/>
      </c>
      <c r="AV14" s="633">
        <v>2206</v>
      </c>
      <c r="AW14" s="633">
        <v>2068</v>
      </c>
      <c r="AX14" s="633">
        <v>1748</v>
      </c>
      <c r="AY14" s="633">
        <v>2097</v>
      </c>
      <c r="AZ14" s="373">
        <f t="shared" si="9"/>
      </c>
      <c r="BA14" s="633">
        <v>1522</v>
      </c>
      <c r="BB14" s="633">
        <v>1301</v>
      </c>
      <c r="BC14" s="633">
        <v>1780</v>
      </c>
      <c r="BD14" s="633">
        <v>1701</v>
      </c>
      <c r="BE14" s="373">
        <f t="shared" si="10"/>
      </c>
      <c r="BF14" s="633">
        <v>1480</v>
      </c>
      <c r="BG14" s="633">
        <v>1487</v>
      </c>
      <c r="BH14" s="633">
        <v>2036</v>
      </c>
      <c r="BI14" s="633">
        <v>1940</v>
      </c>
      <c r="BJ14" s="373">
        <f t="shared" si="11"/>
      </c>
      <c r="BK14" s="633">
        <v>2068</v>
      </c>
      <c r="BL14" s="633">
        <v>2607</v>
      </c>
      <c r="BM14" s="633">
        <v>1969</v>
      </c>
      <c r="BN14" s="633">
        <v>1899</v>
      </c>
      <c r="BO14" s="373">
        <f t="shared" si="12"/>
      </c>
      <c r="BP14" s="633">
        <v>1571</v>
      </c>
      <c r="BQ14" s="633">
        <v>1483</v>
      </c>
      <c r="BR14" s="633">
        <v>1721</v>
      </c>
      <c r="BS14" s="633">
        <v>2017</v>
      </c>
      <c r="BT14" s="373">
        <f t="shared" si="13"/>
      </c>
      <c r="BU14" s="633">
        <v>1974</v>
      </c>
      <c r="BV14" s="633">
        <v>1504</v>
      </c>
      <c r="BW14" s="633">
        <v>1926</v>
      </c>
      <c r="BX14" s="633">
        <v>2213</v>
      </c>
      <c r="BY14" s="373">
        <f t="shared" si="14"/>
      </c>
      <c r="BZ14" s="633">
        <v>2441</v>
      </c>
      <c r="CA14" s="633">
        <v>2056</v>
      </c>
      <c r="CB14" s="633">
        <v>2222</v>
      </c>
      <c r="CC14" s="633">
        <v>2184</v>
      </c>
      <c r="CD14" s="373">
        <f t="shared" si="15"/>
      </c>
      <c r="CE14" s="633">
        <v>2344</v>
      </c>
      <c r="CF14" s="633">
        <v>2548</v>
      </c>
      <c r="CG14" s="633">
        <v>2586</v>
      </c>
      <c r="CH14" s="633">
        <v>2467</v>
      </c>
      <c r="CI14" s="373">
        <f t="shared" si="16"/>
      </c>
      <c r="CJ14" s="633">
        <v>2190</v>
      </c>
      <c r="CK14" s="633">
        <v>2169</v>
      </c>
      <c r="CL14" s="633">
        <v>2350</v>
      </c>
      <c r="CM14" s="633">
        <v>2035</v>
      </c>
      <c r="CN14" s="373">
        <f t="shared" si="17"/>
      </c>
      <c r="CO14" s="633">
        <v>2052</v>
      </c>
      <c r="CP14" s="633">
        <v>1983</v>
      </c>
      <c r="CQ14" s="633">
        <v>1676</v>
      </c>
      <c r="CR14" s="633">
        <v>1632</v>
      </c>
      <c r="CS14" s="373">
        <f t="shared" si="18"/>
      </c>
      <c r="CT14" s="633">
        <v>1258</v>
      </c>
      <c r="CU14" s="633">
        <v>1328</v>
      </c>
      <c r="CV14" s="633">
        <v>1424</v>
      </c>
      <c r="CW14" s="633">
        <v>1941</v>
      </c>
      <c r="CX14" s="373">
        <f t="shared" si="19"/>
      </c>
      <c r="CY14" s="633">
        <v>1784</v>
      </c>
      <c r="CZ14" s="633">
        <v>1701</v>
      </c>
      <c r="DA14" s="633">
        <v>1688</v>
      </c>
      <c r="DB14" s="633">
        <v>1915</v>
      </c>
      <c r="DC14" s="373">
        <f t="shared" si="20"/>
      </c>
      <c r="DD14" s="633">
        <v>1447</v>
      </c>
      <c r="DE14" s="633">
        <v>1618</v>
      </c>
      <c r="DF14" s="633">
        <v>1574</v>
      </c>
      <c r="DG14" s="633">
        <v>0</v>
      </c>
      <c r="DH14" s="373">
        <f t="shared" si="21"/>
      </c>
      <c r="DI14" s="633">
        <v>0</v>
      </c>
      <c r="DJ14" s="633">
        <v>0</v>
      </c>
      <c r="DK14" s="633">
        <v>0</v>
      </c>
      <c r="DL14" s="633">
        <v>0</v>
      </c>
      <c r="DM14" s="373">
        <f t="shared" si="22"/>
      </c>
      <c r="DN14" s="633">
        <v>0</v>
      </c>
      <c r="DO14" s="633">
        <v>0</v>
      </c>
      <c r="DP14" s="633">
        <v>0</v>
      </c>
      <c r="DQ14" s="633">
        <v>0</v>
      </c>
      <c r="DR14" s="373">
        <f t="shared" si="23"/>
      </c>
      <c r="DS14" s="633">
        <v>0</v>
      </c>
      <c r="DT14" s="633">
        <v>0</v>
      </c>
      <c r="DU14" s="633">
        <v>0</v>
      </c>
      <c r="DV14" s="633">
        <v>0</v>
      </c>
      <c r="DW14" s="373">
        <f t="shared" si="24"/>
      </c>
      <c r="DX14" s="633">
        <v>0</v>
      </c>
      <c r="DY14" s="633">
        <v>0</v>
      </c>
      <c r="DZ14" s="633">
        <v>0</v>
      </c>
      <c r="EA14" s="633">
        <v>0</v>
      </c>
      <c r="EB14" s="373">
        <f t="shared" si="25"/>
      </c>
      <c r="EC14" s="633">
        <v>0</v>
      </c>
      <c r="ED14" s="633">
        <v>0</v>
      </c>
      <c r="EE14" s="633">
        <v>0</v>
      </c>
      <c r="EF14" s="633">
        <v>0</v>
      </c>
      <c r="EG14" s="373">
        <f t="shared" si="26"/>
      </c>
      <c r="EH14" s="633">
        <v>0</v>
      </c>
      <c r="EI14" s="633">
        <v>0</v>
      </c>
      <c r="EJ14" s="633">
        <v>0</v>
      </c>
      <c r="EK14" s="633">
        <v>0</v>
      </c>
      <c r="EL14" s="373">
        <f t="shared" si="27"/>
      </c>
      <c r="EM14" s="633">
        <v>0</v>
      </c>
      <c r="EN14" s="633">
        <v>0</v>
      </c>
      <c r="EO14" s="633">
        <v>0</v>
      </c>
      <c r="EP14" s="633">
        <v>0</v>
      </c>
      <c r="EQ14" s="373">
        <f t="shared" si="28"/>
      </c>
      <c r="ER14" s="633">
        <v>0</v>
      </c>
      <c r="ES14" s="633">
        <v>0</v>
      </c>
      <c r="ET14" s="954">
        <v>0</v>
      </c>
      <c r="EU14" s="954">
        <v>0</v>
      </c>
      <c r="EV14" s="662">
        <f t="shared" si="29"/>
      </c>
      <c r="EW14" s="954">
        <v>0</v>
      </c>
      <c r="EX14" s="954">
        <v>0</v>
      </c>
      <c r="EY14" s="954">
        <v>0</v>
      </c>
      <c r="EZ14" s="954">
        <v>0</v>
      </c>
      <c r="FA14" s="662">
        <f t="shared" si="30"/>
      </c>
      <c r="FB14" s="929">
        <f>EZ14</f>
      </c>
      <c r="FC14" s="929">
        <f>FB14</f>
      </c>
      <c r="FD14" s="929">
        <f>FC14</f>
      </c>
      <c r="FE14" s="929">
        <f>FD14</f>
      </c>
      <c r="FF14" s="662">
        <f t="shared" si="31"/>
      </c>
      <c r="FG14" s="929">
        <f>FE14</f>
      </c>
      <c r="FH14" s="929">
        <f>FG14</f>
      </c>
      <c r="FI14" s="929">
        <f>FH14</f>
      </c>
      <c r="FJ14" s="929">
        <f>FI14</f>
      </c>
      <c r="FK14" s="662">
        <f t="shared" si="32"/>
      </c>
      <c r="FL14" s="929">
        <f>FJ14</f>
      </c>
      <c r="FM14" s="929">
        <f>FL14</f>
      </c>
      <c r="FN14" s="929">
        <f>FM14</f>
      </c>
      <c r="FO14" s="929">
        <f>FN14</f>
      </c>
      <c r="FP14" s="662">
        <f t="shared" si="33"/>
      </c>
      <c r="FQ14" s="929">
        <f>FO14</f>
      </c>
      <c r="FR14" s="929">
        <f>FQ14</f>
      </c>
      <c r="FS14" s="929">
        <f>FR14</f>
      </c>
      <c r="FT14" s="929">
        <f>FS14</f>
      </c>
      <c r="FU14" s="662">
        <f t="shared" si="34"/>
      </c>
      <c r="FV14" s="929">
        <f>FT14</f>
      </c>
      <c r="FW14" s="929">
        <f>FV14</f>
      </c>
      <c r="FX14" s="929">
        <f>FW14</f>
      </c>
      <c r="FY14" s="929">
        <f>FX14</f>
      </c>
      <c r="FZ14" s="662">
        <f t="shared" si="35"/>
      </c>
      <c r="GA14" s="929">
        <f>FY14</f>
      </c>
      <c r="GB14" s="929">
        <f>GA14</f>
      </c>
      <c r="GC14" s="929">
        <f>GB14</f>
      </c>
      <c r="GD14" s="929">
        <f>GC14</f>
      </c>
      <c r="GE14" s="662">
        <f t="shared" si="36"/>
      </c>
      <c r="GF14" s="929">
        <f>GD14</f>
      </c>
      <c r="GG14" s="929">
        <f>GF14</f>
      </c>
      <c r="GH14" s="929">
        <f>GG14</f>
      </c>
      <c r="GI14" s="929">
        <f>GH14</f>
      </c>
      <c r="GJ14" s="662">
        <f t="shared" si="37"/>
      </c>
    </row>
    <row r="15" spans="1:192" s="277" customFormat="1" ht="12.75" customHeight="1" collapsed="1">
      <c r="A15" s="274"/>
      <c r="B15" s="705" t="s">
        <v>74</v>
      </c>
      <c r="C15" s="633">
        <v>143</v>
      </c>
      <c r="D15" s="633">
        <v>149</v>
      </c>
      <c r="E15" s="633">
        <v>155</v>
      </c>
      <c r="F15" s="633">
        <v>201</v>
      </c>
      <c r="G15" s="373">
        <f t="shared" si="0"/>
      </c>
      <c r="H15" s="633">
        <v>176</v>
      </c>
      <c r="I15" s="633">
        <v>207</v>
      </c>
      <c r="J15" s="633">
        <v>212</v>
      </c>
      <c r="K15" s="633">
        <v>260</v>
      </c>
      <c r="L15" s="373">
        <f t="shared" si="1"/>
      </c>
      <c r="M15" s="633">
        <v>279</v>
      </c>
      <c r="N15" s="633">
        <v>307</v>
      </c>
      <c r="O15" s="633">
        <v>272</v>
      </c>
      <c r="P15" s="633">
        <v>427</v>
      </c>
      <c r="Q15" s="373">
        <f t="shared" si="2"/>
      </c>
      <c r="R15" s="633">
        <v>416</v>
      </c>
      <c r="S15" s="633">
        <v>450</v>
      </c>
      <c r="T15" s="633">
        <v>358</v>
      </c>
      <c r="U15" s="633">
        <v>502</v>
      </c>
      <c r="V15" s="373">
        <f t="shared" si="3"/>
      </c>
      <c r="W15" s="633">
        <v>569</v>
      </c>
      <c r="X15" s="633">
        <v>543</v>
      </c>
      <c r="Y15" s="633">
        <v>608</v>
      </c>
      <c r="Z15" s="633">
        <v>752</v>
      </c>
      <c r="AA15" s="373">
        <f t="shared" si="4"/>
      </c>
      <c r="AB15" s="633">
        <v>854</v>
      </c>
      <c r="AC15" s="633">
        <v>893</v>
      </c>
      <c r="AD15" s="633">
        <v>1110</v>
      </c>
      <c r="AE15" s="633">
        <v>1552</v>
      </c>
      <c r="AF15" s="373">
        <f t="shared" si="5"/>
      </c>
      <c r="AG15" s="633">
        <v>1776</v>
      </c>
      <c r="AH15" s="633">
        <v>2000</v>
      </c>
      <c r="AI15" s="633">
        <v>2398</v>
      </c>
      <c r="AJ15" s="633">
        <v>2417</v>
      </c>
      <c r="AK15" s="373">
        <f t="shared" si="6"/>
      </c>
      <c r="AL15" s="633">
        <v>2561</v>
      </c>
      <c r="AM15" s="633">
        <v>2692</v>
      </c>
      <c r="AN15" s="633">
        <v>2818</v>
      </c>
      <c r="AO15" s="633">
        <v>2010</v>
      </c>
      <c r="AP15" s="373">
        <f t="shared" si="7"/>
      </c>
      <c r="AQ15" s="633">
        <v>1758</v>
      </c>
      <c r="AR15" s="633">
        <v>1616</v>
      </c>
      <c r="AS15" s="633">
        <v>1558</v>
      </c>
      <c r="AT15" s="633">
        <v>1583</v>
      </c>
      <c r="AU15" s="373">
        <f t="shared" si="8"/>
      </c>
      <c r="AV15" s="633">
        <v>1450</v>
      </c>
      <c r="AW15" s="633">
        <v>1326</v>
      </c>
      <c r="AX15" s="633">
        <v>1636</v>
      </c>
      <c r="AY15" s="633">
        <v>1566</v>
      </c>
      <c r="AZ15" s="373">
        <f t="shared" si="9"/>
      </c>
      <c r="BA15" s="633">
        <v>1245</v>
      </c>
      <c r="BB15" s="633">
        <v>1644</v>
      </c>
      <c r="BC15" s="633">
        <v>1269</v>
      </c>
      <c r="BD15" s="633">
        <v>1614</v>
      </c>
      <c r="BE15" s="373">
        <f t="shared" si="10"/>
      </c>
      <c r="BF15" s="633">
        <v>1770</v>
      </c>
      <c r="BG15" s="633">
        <v>1745</v>
      </c>
      <c r="BH15" s="633">
        <v>1845</v>
      </c>
      <c r="BI15" s="633">
        <v>2115</v>
      </c>
      <c r="BJ15" s="373">
        <f t="shared" si="11"/>
      </c>
      <c r="BK15" s="633">
        <v>2058</v>
      </c>
      <c r="BL15" s="633">
        <v>2080</v>
      </c>
      <c r="BM15" s="633">
        <v>2374</v>
      </c>
      <c r="BN15" s="633">
        <v>2393</v>
      </c>
      <c r="BO15" s="373">
        <f t="shared" si="12"/>
      </c>
      <c r="BP15" s="633">
        <v>2548</v>
      </c>
      <c r="BQ15" s="633">
        <v>2840</v>
      </c>
      <c r="BR15" s="633">
        <v>2782</v>
      </c>
      <c r="BS15" s="633">
        <v>2989</v>
      </c>
      <c r="BT15" s="373">
        <f t="shared" si="13"/>
      </c>
      <c r="BU15" s="633">
        <v>3331</v>
      </c>
      <c r="BV15" s="633">
        <v>3590</v>
      </c>
      <c r="BW15" s="633">
        <v>3619</v>
      </c>
      <c r="BX15" s="633">
        <v>3711</v>
      </c>
      <c r="BY15" s="373">
        <f t="shared" si="14"/>
      </c>
      <c r="BZ15" s="633">
        <v>3325</v>
      </c>
      <c r="CA15" s="633">
        <v>2547</v>
      </c>
      <c r="CB15" s="633">
        <v>2992</v>
      </c>
      <c r="CC15" s="633">
        <v>2950</v>
      </c>
      <c r="CD15" s="373">
        <f t="shared" si="15"/>
      </c>
      <c r="CE15" s="633">
        <v>2176</v>
      </c>
      <c r="CF15" s="633">
        <v>2149</v>
      </c>
      <c r="CG15" s="633">
        <v>2438</v>
      </c>
      <c r="CH15" s="633">
        <v>3320</v>
      </c>
      <c r="CI15" s="373">
        <f t="shared" si="16"/>
      </c>
      <c r="CJ15" s="633">
        <v>3255</v>
      </c>
      <c r="CK15" s="633">
        <v>3614</v>
      </c>
      <c r="CL15" s="633">
        <v>2608</v>
      </c>
      <c r="CM15" s="633">
        <v>3092</v>
      </c>
      <c r="CN15" s="373">
        <f t="shared" si="17"/>
      </c>
      <c r="CO15" s="633">
        <v>3860</v>
      </c>
      <c r="CP15" s="633">
        <v>3301</v>
      </c>
      <c r="CQ15" s="633">
        <v>3241</v>
      </c>
      <c r="CR15" s="633">
        <v>3388</v>
      </c>
      <c r="CS15" s="373">
        <f t="shared" si="18"/>
      </c>
      <c r="CT15" s="633">
        <v>3900</v>
      </c>
      <c r="CU15" s="633">
        <v>4018</v>
      </c>
      <c r="CV15" s="633">
        <v>3740</v>
      </c>
      <c r="CW15" s="633">
        <v>4392</v>
      </c>
      <c r="CX15" s="373">
        <f t="shared" si="19"/>
      </c>
      <c r="CY15" s="633">
        <v>5434</v>
      </c>
      <c r="CZ15" s="633">
        <v>6173</v>
      </c>
      <c r="DA15" s="633">
        <v>6376</v>
      </c>
      <c r="DB15" s="633">
        <v>5461</v>
      </c>
      <c r="DC15" s="373">
        <f t="shared" si="20"/>
      </c>
      <c r="DD15" s="633">
        <v>5594</v>
      </c>
      <c r="DE15" s="633">
        <v>6345</v>
      </c>
      <c r="DF15" s="633">
        <v>6598</v>
      </c>
      <c r="DG15" s="633">
        <v>5892</v>
      </c>
      <c r="DH15" s="373">
        <f t="shared" si="21"/>
      </c>
      <c r="DI15" s="633">
        <v>6893</v>
      </c>
      <c r="DJ15" s="633">
        <v>6040</v>
      </c>
      <c r="DK15" s="633">
        <v>5616</v>
      </c>
      <c r="DL15" s="633">
        <v>5103</v>
      </c>
      <c r="DM15" s="373">
        <f t="shared" si="22"/>
      </c>
      <c r="DN15" s="633">
        <v>4788</v>
      </c>
      <c r="DO15" s="633">
        <v>4422</v>
      </c>
      <c r="DP15" s="633">
        <v>5097</v>
      </c>
      <c r="DQ15" s="633">
        <v>6751</v>
      </c>
      <c r="DR15" s="373">
        <f t="shared" si="23"/>
      </c>
      <c r="DS15" s="633">
        <v>7311</v>
      </c>
      <c r="DT15" s="633">
        <v>7571</v>
      </c>
      <c r="DU15" s="633">
        <v>7049</v>
      </c>
      <c r="DV15" s="633">
        <v>10146</v>
      </c>
      <c r="DW15" s="373">
        <f t="shared" si="24"/>
      </c>
      <c r="DX15" s="633">
        <v>7551</v>
      </c>
      <c r="DY15" s="633">
        <v>7473</v>
      </c>
      <c r="DZ15" s="633">
        <v>8536</v>
      </c>
      <c r="EA15" s="633">
        <v>11482</v>
      </c>
      <c r="EB15" s="373">
        <f t="shared" si="25"/>
      </c>
      <c r="EC15" s="633">
        <v>13544</v>
      </c>
      <c r="ED15" s="633">
        <v>12769</v>
      </c>
      <c r="EE15" s="633">
        <v>11640</v>
      </c>
      <c r="EF15" s="633">
        <v>13393</v>
      </c>
      <c r="EG15" s="373">
        <f t="shared" si="26"/>
      </c>
      <c r="EH15" s="633">
        <v>12951</v>
      </c>
      <c r="EI15" s="633">
        <v>12280</v>
      </c>
      <c r="EJ15" s="633">
        <v>13320</v>
      </c>
      <c r="EK15" s="633">
        <v>16924</v>
      </c>
      <c r="EL15" s="373">
        <f t="shared" si="27"/>
      </c>
      <c r="EM15" s="633">
        <v>18003</v>
      </c>
      <c r="EN15" s="633">
        <v>19502</v>
      </c>
      <c r="EO15" s="633">
        <v>19165</v>
      </c>
      <c r="EP15" s="633">
        <v>21807</v>
      </c>
      <c r="EQ15" s="373">
        <f t="shared" si="28"/>
      </c>
      <c r="ER15" s="633">
        <v>23682</v>
      </c>
      <c r="ES15" s="633">
        <v>21930</v>
      </c>
      <c r="ET15" s="954">
        <v>21826</v>
      </c>
      <c r="EU15" s="954">
        <v>26021</v>
      </c>
      <c r="EV15" s="373">
        <f t="shared" si="29"/>
      </c>
      <c r="EW15" s="954">
        <v>25724</v>
      </c>
      <c r="EX15" s="954">
        <v>26428</v>
      </c>
      <c r="EY15" s="954">
        <v>24478</v>
      </c>
      <c r="EZ15" s="954">
        <v>25723</v>
      </c>
      <c r="FA15" s="373">
        <f t="shared" si="30"/>
      </c>
      <c r="FB15" s="930">
        <f>FB56*FB75</f>
      </c>
      <c r="FC15" s="930">
        <f>FC56*FC75</f>
      </c>
      <c r="FD15" s="930">
        <f>FD56*FD75</f>
      </c>
      <c r="FE15" s="930">
        <f>FE56*FE75</f>
      </c>
      <c r="FF15" s="373">
        <f t="shared" si="31"/>
      </c>
      <c r="FG15" s="930">
        <f>FG56*FG75</f>
      </c>
      <c r="FH15" s="930">
        <f>FH56*FH75</f>
      </c>
      <c r="FI15" s="930">
        <f>FI56*FI75</f>
      </c>
      <c r="FJ15" s="930">
        <f>FJ56*FJ75</f>
      </c>
      <c r="FK15" s="373">
        <f t="shared" si="32"/>
      </c>
      <c r="FL15" s="930">
        <f>FL56*FL75</f>
      </c>
      <c r="FM15" s="930">
        <f>FM56*FM75</f>
      </c>
      <c r="FN15" s="930">
        <f>FN56*FN75</f>
      </c>
      <c r="FO15" s="930">
        <f>FO56*FO75</f>
      </c>
      <c r="FP15" s="373">
        <f t="shared" si="33"/>
      </c>
      <c r="FQ15" s="930">
        <f>FQ56*FQ75</f>
      </c>
      <c r="FR15" s="930">
        <f>FR56*FR75</f>
      </c>
      <c r="FS15" s="930">
        <f>FS56*FS75</f>
      </c>
      <c r="FT15" s="930">
        <f>FT56*FT75</f>
      </c>
      <c r="FU15" s="373">
        <f t="shared" si="34"/>
      </c>
      <c r="FV15" s="930">
        <f>FV56*FV75</f>
      </c>
      <c r="FW15" s="930">
        <f>FW56*FW75</f>
      </c>
      <c r="FX15" s="930">
        <f>FX56*FX75</f>
      </c>
      <c r="FY15" s="930">
        <f>FY56*FY75</f>
      </c>
      <c r="FZ15" s="373">
        <f t="shared" si="35"/>
      </c>
      <c r="GA15" s="930">
        <f>GA56*GA75</f>
      </c>
      <c r="GB15" s="930">
        <f>GB56*GB75</f>
      </c>
      <c r="GC15" s="930">
        <f>GC56*GC75</f>
      </c>
      <c r="GD15" s="930">
        <f>GD56*GD75</f>
      </c>
      <c r="GE15" s="373">
        <f t="shared" si="36"/>
      </c>
      <c r="GF15" s="930">
        <f>GF56*GF75</f>
      </c>
      <c r="GG15" s="930">
        <f>GG56*GG75</f>
      </c>
      <c r="GH15" s="930">
        <f>GH56*GH75</f>
      </c>
      <c r="GI15" s="930">
        <f>GI56*GI75</f>
      </c>
      <c r="GJ15" s="373">
        <f t="shared" si="37"/>
      </c>
    </row>
    <row r="16" spans="1:192" s="277" customFormat="1" ht="12.75" customHeight="1">
      <c r="A16" s="280"/>
      <c r="B16" s="706" t="s">
        <v>75</v>
      </c>
      <c r="C16" s="931">
        <f>SUM(C10:C15)</f>
      </c>
      <c r="D16" s="931">
        <f>SUM(D10:D15)</f>
      </c>
      <c r="E16" s="931">
        <f>SUM(E10:E15)</f>
      </c>
      <c r="F16" s="931">
        <f>SUM(F10:F15)</f>
      </c>
      <c r="G16" s="655">
        <f t="shared" si="0"/>
      </c>
      <c r="H16" s="931">
        <f>SUM(H10:H15)</f>
      </c>
      <c r="I16" s="931">
        <f>SUM(I10:I15)</f>
      </c>
      <c r="J16" s="931">
        <f>SUM(J10:J15)</f>
      </c>
      <c r="K16" s="931">
        <f>SUM(K10:K15)</f>
      </c>
      <c r="L16" s="655">
        <f t="shared" si="1"/>
      </c>
      <c r="M16" s="931">
        <f>SUM(M10:M15)</f>
      </c>
      <c r="N16" s="931">
        <f>SUM(N10:N15)</f>
      </c>
      <c r="O16" s="931">
        <f>SUM(O10:O15)</f>
      </c>
      <c r="P16" s="931">
        <f>SUM(P10:P15)</f>
      </c>
      <c r="Q16" s="655">
        <f t="shared" si="2"/>
      </c>
      <c r="R16" s="931">
        <f>SUM(R10:R15)</f>
      </c>
      <c r="S16" s="931">
        <f>SUM(S10:S15)</f>
      </c>
      <c r="T16" s="931">
        <f>SUM(T10:T15)</f>
      </c>
      <c r="U16" s="931">
        <f>SUM(U10:U15)</f>
      </c>
      <c r="V16" s="655">
        <f t="shared" si="3"/>
      </c>
      <c r="W16" s="931">
        <f>SUM(W10:W15)</f>
      </c>
      <c r="X16" s="931">
        <f>SUM(X10:X15)</f>
      </c>
      <c r="Y16" s="931">
        <f>SUM(Y10:Y15)</f>
      </c>
      <c r="Z16" s="931">
        <f>SUM(Z10:Z15)</f>
      </c>
      <c r="AA16" s="655">
        <f t="shared" si="4"/>
      </c>
      <c r="AB16" s="931">
        <f>SUM(AB10:AB15)</f>
      </c>
      <c r="AC16" s="931">
        <f>SUM(AC10:AC15)</f>
      </c>
      <c r="AD16" s="931">
        <f>SUM(AD10:AD15)</f>
      </c>
      <c r="AE16" s="931">
        <f>SUM(AE10:AE15)</f>
      </c>
      <c r="AF16" s="655">
        <f t="shared" si="5"/>
      </c>
      <c r="AG16" s="931">
        <f>SUM(AG10:AG15)</f>
      </c>
      <c r="AH16" s="931">
        <f>SUM(AH10:AH15)</f>
      </c>
      <c r="AI16" s="931">
        <f>SUM(AI10:AI15)</f>
      </c>
      <c r="AJ16" s="931">
        <f>SUM(AJ10:AJ15)</f>
      </c>
      <c r="AK16" s="655">
        <f t="shared" si="6"/>
      </c>
      <c r="AL16" s="931">
        <f>SUM(AL10:AL15)</f>
      </c>
      <c r="AM16" s="931">
        <f>SUM(AM10:AM15)</f>
      </c>
      <c r="AN16" s="931">
        <f>SUM(AN10:AN15)</f>
      </c>
      <c r="AO16" s="931">
        <f>SUM(AO10:AO15)</f>
      </c>
      <c r="AP16" s="655">
        <f t="shared" si="7"/>
      </c>
      <c r="AQ16" s="931">
        <f>SUM(AQ10:AQ15)</f>
      </c>
      <c r="AR16" s="931">
        <f>SUM(AR10:AR15)</f>
      </c>
      <c r="AS16" s="931">
        <f>SUM(AS10:AS15)</f>
      </c>
      <c r="AT16" s="931">
        <f>SUM(AT10:AT15)</f>
      </c>
      <c r="AU16" s="655">
        <f t="shared" si="8"/>
      </c>
      <c r="AV16" s="931">
        <f>SUM(AV10:AV15)</f>
      </c>
      <c r="AW16" s="931">
        <f>SUM(AW10:AW15)</f>
      </c>
      <c r="AX16" s="931">
        <f>SUM(AX10:AX15)</f>
      </c>
      <c r="AY16" s="931">
        <f>SUM(AY10:AY15)</f>
      </c>
      <c r="AZ16" s="655">
        <f t="shared" si="9"/>
      </c>
      <c r="BA16" s="931">
        <f>SUM(BA10:BA15)</f>
      </c>
      <c r="BB16" s="931">
        <f>SUM(BB10:BB15)</f>
      </c>
      <c r="BC16" s="931">
        <f>SUM(BC10:BC15)</f>
      </c>
      <c r="BD16" s="931">
        <f>SUM(BD10:BD15)</f>
      </c>
      <c r="BE16" s="655">
        <f t="shared" si="10"/>
      </c>
      <c r="BF16" s="931">
        <f>SUM(BF10:BF15)</f>
      </c>
      <c r="BG16" s="931">
        <f>SUM(BG10:BG15)</f>
      </c>
      <c r="BH16" s="931">
        <f>SUM(BH10:BH15)</f>
      </c>
      <c r="BI16" s="931">
        <f>SUM(BI10:BI15)</f>
      </c>
      <c r="BJ16" s="655">
        <f t="shared" si="11"/>
      </c>
      <c r="BK16" s="931">
        <f>SUM(BK10:BK15)</f>
      </c>
      <c r="BL16" s="931">
        <f>SUM(BL10:BL15)</f>
      </c>
      <c r="BM16" s="931">
        <f>SUM(BM10:BM15)</f>
      </c>
      <c r="BN16" s="931">
        <f>SUM(BN10:BN15)</f>
      </c>
      <c r="BO16" s="655">
        <f t="shared" si="12"/>
      </c>
      <c r="BP16" s="931">
        <f>SUM(BP10:BP15)</f>
      </c>
      <c r="BQ16" s="931">
        <f>SUM(BQ10:BQ15)</f>
      </c>
      <c r="BR16" s="931">
        <f>SUM(BR10:BR15)</f>
      </c>
      <c r="BS16" s="931">
        <f>SUM(BS10:BS15)</f>
      </c>
      <c r="BT16" s="655">
        <f t="shared" si="13"/>
      </c>
      <c r="BU16" s="931">
        <f>SUM(BU10:BU15)</f>
      </c>
      <c r="BV16" s="931">
        <f>SUM(BV10:BV15)</f>
      </c>
      <c r="BW16" s="931">
        <f>SUM(BW10:BW15)</f>
      </c>
      <c r="BX16" s="931">
        <f>SUM(BX10:BX15)</f>
      </c>
      <c r="BY16" s="655">
        <f t="shared" si="14"/>
      </c>
      <c r="BZ16" s="931">
        <f>SUM(BZ10:BZ15)</f>
      </c>
      <c r="CA16" s="931">
        <f>SUM(CA10:CA15)</f>
      </c>
      <c r="CB16" s="931">
        <f>SUM(CB10:CB15)</f>
      </c>
      <c r="CC16" s="931">
        <f>SUM(CC10:CC15)</f>
      </c>
      <c r="CD16" s="655">
        <f t="shared" si="15"/>
      </c>
      <c r="CE16" s="931">
        <f>SUM(CE10:CE15)</f>
      </c>
      <c r="CF16" s="931">
        <f>SUM(CF10:CF15)</f>
      </c>
      <c r="CG16" s="931">
        <f>SUM(CG10:CG15)</f>
      </c>
      <c r="CH16" s="931">
        <f>SUM(CH10:CH15)</f>
      </c>
      <c r="CI16" s="655">
        <f t="shared" si="16"/>
      </c>
      <c r="CJ16" s="931">
        <f>SUM(CJ10:CJ15)</f>
      </c>
      <c r="CK16" s="931">
        <f>SUM(CK10:CK15)</f>
      </c>
      <c r="CL16" s="931">
        <f>SUM(CL10:CL15)</f>
      </c>
      <c r="CM16" s="931">
        <f>SUM(CM10:CM15)</f>
      </c>
      <c r="CN16" s="655">
        <f t="shared" si="17"/>
      </c>
      <c r="CO16" s="931">
        <f>SUM(CO10:CO15)</f>
      </c>
      <c r="CP16" s="931">
        <f>SUM(CP10:CP15)</f>
      </c>
      <c r="CQ16" s="931">
        <f>SUM(CQ10:CQ15)</f>
      </c>
      <c r="CR16" s="931">
        <f>SUM(CR10:CR15)</f>
      </c>
      <c r="CS16" s="655">
        <f t="shared" si="18"/>
      </c>
      <c r="CT16" s="931">
        <f>SUM(CT10:CT15)</f>
      </c>
      <c r="CU16" s="931">
        <f>SUM(CU10:CU15)</f>
      </c>
      <c r="CV16" s="931">
        <f>SUM(CV10:CV15)</f>
      </c>
      <c r="CW16" s="931">
        <f>SUM(CW10:CW15)</f>
      </c>
      <c r="CX16" s="655">
        <f t="shared" si="19"/>
      </c>
      <c r="CY16" s="931">
        <f>SUM(CY10:CY15)</f>
      </c>
      <c r="CZ16" s="931">
        <f>SUM(CZ10:CZ15)</f>
      </c>
      <c r="DA16" s="931">
        <f>SUM(DA10:DA15)</f>
      </c>
      <c r="DB16" s="931">
        <f>SUM(DB10:DB15)</f>
      </c>
      <c r="DC16" s="655">
        <f t="shared" si="20"/>
      </c>
      <c r="DD16" s="931">
        <f>SUM(DD10:DD15)</f>
      </c>
      <c r="DE16" s="931">
        <f>SUM(DE10:DE15)</f>
      </c>
      <c r="DF16" s="931">
        <f>SUM(DF10:DF15)</f>
      </c>
      <c r="DG16" s="931">
        <f>SUM(DG10:DG15)</f>
      </c>
      <c r="DH16" s="655">
        <f t="shared" si="21"/>
      </c>
      <c r="DI16" s="931">
        <f>SUM(DI10:DI15)</f>
      </c>
      <c r="DJ16" s="931">
        <f>SUM(DJ10:DJ15)</f>
      </c>
      <c r="DK16" s="931">
        <f>SUM(DK10:DK15)</f>
      </c>
      <c r="DL16" s="931">
        <f>SUM(DL10:DL15)</f>
      </c>
      <c r="DM16" s="655">
        <f t="shared" si="22"/>
      </c>
      <c r="DN16" s="931">
        <f>SUM(DN10:DN15)</f>
      </c>
      <c r="DO16" s="931">
        <f>SUM(DO10:DO15)</f>
      </c>
      <c r="DP16" s="931">
        <f>SUM(DP10:DP15)</f>
      </c>
      <c r="DQ16" s="931">
        <f>SUM(DQ10:DQ15)</f>
      </c>
      <c r="DR16" s="655">
        <f t="shared" si="23"/>
      </c>
      <c r="DS16" s="931">
        <f>SUM(DS10:DS15)</f>
      </c>
      <c r="DT16" s="931">
        <f>SUM(DT10:DT15)</f>
      </c>
      <c r="DU16" s="931">
        <f>SUM(DU10:DU15)</f>
      </c>
      <c r="DV16" s="931">
        <f>SUM(DV10:DV15)</f>
      </c>
      <c r="DW16" s="655">
        <f t="shared" si="24"/>
      </c>
      <c r="DX16" s="931">
        <f>SUM(DX10:DX15)</f>
      </c>
      <c r="DY16" s="931">
        <f>SUM(DY10:DY15)</f>
      </c>
      <c r="DZ16" s="931">
        <f>SUM(DZ10:DZ15)</f>
      </c>
      <c r="EA16" s="931">
        <f>SUM(EA10:EA15)</f>
      </c>
      <c r="EB16" s="655">
        <f t="shared" si="25"/>
      </c>
      <c r="EC16" s="931">
        <f>SUM(EC10:EC15)</f>
      </c>
      <c r="ED16" s="931">
        <f>SUM(ED10:ED15)</f>
      </c>
      <c r="EE16" s="931">
        <f>SUM(EE10:EE15)</f>
      </c>
      <c r="EF16" s="931">
        <f>SUM(EF10:EF15)</f>
      </c>
      <c r="EG16" s="655">
        <f t="shared" si="26"/>
      </c>
      <c r="EH16" s="931">
        <f>SUM(EH10:EH15)</f>
      </c>
      <c r="EI16" s="931">
        <f>SUM(EI10:EI15)</f>
      </c>
      <c r="EJ16" s="931">
        <f>SUM(EJ10:EJ15)</f>
      </c>
      <c r="EK16" s="931">
        <f>SUM(EK10:EK15)</f>
      </c>
      <c r="EL16" s="655">
        <f t="shared" si="27"/>
      </c>
      <c r="EM16" s="931">
        <f>SUM(EM10:EM15)</f>
      </c>
      <c r="EN16" s="931">
        <f>SUM(EN10:EN15)</f>
      </c>
      <c r="EO16" s="931">
        <f>SUM(EO10:EO15)</f>
      </c>
      <c r="EP16" s="931">
        <f>SUM(EP10:EP15)</f>
      </c>
      <c r="EQ16" s="655">
        <f t="shared" si="28"/>
      </c>
      <c r="ER16" s="931">
        <f>SUM(ER10:ER15)</f>
      </c>
      <c r="ES16" s="931">
        <f>SUM(ES10:ES15)</f>
      </c>
      <c r="ET16" s="931">
        <f>SUM(ET10:ET15)</f>
      </c>
      <c r="EU16" s="931">
        <f>SUM(EU10:EU15)</f>
      </c>
      <c r="EV16" s="655">
        <f t="shared" si="29"/>
      </c>
      <c r="EW16" s="1404">
        <f>SUM(EW10:EW15)</f>
      </c>
      <c r="EX16" s="931">
        <f>SUM(EX10:EX15)</f>
      </c>
      <c r="EY16" s="1404">
        <f>SUM(EY10:EY15)</f>
      </c>
      <c r="EZ16" s="1404">
        <f>SUM(EZ10:EZ15)</f>
      </c>
      <c r="FA16" s="655">
        <f t="shared" si="30"/>
      </c>
      <c r="FB16" s="931">
        <f>SUM(FB10:FB15)</f>
      </c>
      <c r="FC16" s="931">
        <f>SUM(FC10:FC15)</f>
      </c>
      <c r="FD16" s="931">
        <f>SUM(FD10:FD15)</f>
      </c>
      <c r="FE16" s="931">
        <f>SUM(FE10:FE15)</f>
      </c>
      <c r="FF16" s="655">
        <f t="shared" si="31"/>
      </c>
      <c r="FG16" s="931">
        <f>SUM(FG10:FG15)</f>
      </c>
      <c r="FH16" s="931">
        <f>SUM(FH10:FH15)</f>
      </c>
      <c r="FI16" s="931">
        <f>SUM(FI10:FI15)</f>
      </c>
      <c r="FJ16" s="931">
        <f>SUM(FJ10:FJ15)</f>
      </c>
      <c r="FK16" s="655">
        <f t="shared" si="32"/>
      </c>
      <c r="FL16" s="931">
        <f>SUM(FL10:FL15)</f>
      </c>
      <c r="FM16" s="931">
        <f>SUM(FM10:FM15)</f>
      </c>
      <c r="FN16" s="931">
        <f>SUM(FN10:FN15)</f>
      </c>
      <c r="FO16" s="931">
        <f>SUM(FO10:FO15)</f>
      </c>
      <c r="FP16" s="655">
        <f t="shared" si="33"/>
      </c>
      <c r="FQ16" s="931">
        <f>SUM(FQ10:FQ15)</f>
      </c>
      <c r="FR16" s="931">
        <f>SUM(FR10:FR15)</f>
      </c>
      <c r="FS16" s="931">
        <f>SUM(FS10:FS15)</f>
      </c>
      <c r="FT16" s="931">
        <f>SUM(FT10:FT15)</f>
      </c>
      <c r="FU16" s="655">
        <f t="shared" si="34"/>
      </c>
      <c r="FV16" s="931">
        <f>SUM(FV10:FV15)</f>
      </c>
      <c r="FW16" s="931">
        <f>SUM(FW10:FW15)</f>
      </c>
      <c r="FX16" s="931">
        <f>SUM(FX10:FX15)</f>
      </c>
      <c r="FY16" s="931">
        <f>SUM(FY10:FY15)</f>
      </c>
      <c r="FZ16" s="655">
        <f t="shared" si="35"/>
      </c>
      <c r="GA16" s="931">
        <f>SUM(GA10:GA15)</f>
      </c>
      <c r="GB16" s="931">
        <f>SUM(GB10:GB15)</f>
      </c>
      <c r="GC16" s="931">
        <f>SUM(GC10:GC15)</f>
      </c>
      <c r="GD16" s="931">
        <f>SUM(GD10:GD15)</f>
      </c>
      <c r="GE16" s="655">
        <f t="shared" si="36"/>
      </c>
      <c r="GF16" s="931">
        <f>SUM(GF10:GF15)</f>
      </c>
      <c r="GG16" s="931">
        <f>SUM(GG10:GG15)</f>
      </c>
      <c r="GH16" s="931">
        <f>SUM(GH10:GH15)</f>
      </c>
      <c r="GI16" s="931">
        <f>SUM(GI10:GI15)</f>
      </c>
      <c r="GJ16" s="655">
        <f t="shared" si="37"/>
      </c>
    </row>
    <row r="17" spans="1:192" s="277" customFormat="1" ht="12.75" customHeight="1">
      <c r="A17" s="280"/>
      <c r="B17" s="707"/>
      <c r="C17" s="932"/>
      <c r="D17" s="932"/>
      <c r="E17" s="932"/>
      <c r="F17" s="932"/>
      <c r="G17" s="685"/>
      <c r="H17" s="932"/>
      <c r="I17" s="932"/>
      <c r="J17" s="932"/>
      <c r="K17" s="932"/>
      <c r="L17" s="685"/>
      <c r="M17" s="932"/>
      <c r="N17" s="932"/>
      <c r="O17" s="932"/>
      <c r="P17" s="932"/>
      <c r="Q17" s="685"/>
      <c r="R17" s="932"/>
      <c r="S17" s="932"/>
      <c r="T17" s="932"/>
      <c r="U17" s="932"/>
      <c r="V17" s="685"/>
      <c r="W17" s="448"/>
      <c r="X17" s="448"/>
      <c r="Y17" s="448"/>
      <c r="Z17" s="448"/>
      <c r="AA17" s="685"/>
      <c r="AB17" s="932"/>
      <c r="AC17" s="932"/>
      <c r="AD17" s="932"/>
      <c r="AE17" s="932"/>
      <c r="AF17" s="685"/>
      <c r="AG17" s="932"/>
      <c r="AH17" s="932"/>
      <c r="AI17" s="932"/>
      <c r="AJ17" s="932"/>
      <c r="AK17" s="685"/>
      <c r="AL17" s="932"/>
      <c r="AM17" s="932"/>
      <c r="AN17" s="932"/>
      <c r="AO17" s="932"/>
      <c r="AP17" s="685"/>
      <c r="AQ17" s="932"/>
      <c r="AR17" s="932"/>
      <c r="AS17" s="932"/>
      <c r="AT17" s="932"/>
      <c r="AU17" s="685"/>
      <c r="AV17" s="932"/>
      <c r="AW17" s="932"/>
      <c r="AX17" s="932"/>
      <c r="AY17" s="932"/>
      <c r="AZ17" s="685"/>
      <c r="BA17" s="932"/>
      <c r="BB17" s="932"/>
      <c r="BC17" s="932"/>
      <c r="BD17" s="932"/>
      <c r="BE17" s="685"/>
      <c r="BF17" s="932"/>
      <c r="BG17" s="932"/>
      <c r="BH17" s="932"/>
      <c r="BI17" s="932"/>
      <c r="BJ17" s="685"/>
      <c r="BK17" s="932"/>
      <c r="BL17" s="932"/>
      <c r="BM17" s="932"/>
      <c r="BN17" s="932"/>
      <c r="BO17" s="685"/>
      <c r="BP17" s="932"/>
      <c r="BQ17" s="932"/>
      <c r="BR17" s="932"/>
      <c r="BS17" s="932"/>
      <c r="BT17" s="685"/>
      <c r="BU17" s="932"/>
      <c r="BV17" s="932"/>
      <c r="BW17" s="932"/>
      <c r="BX17" s="932"/>
      <c r="BY17" s="685"/>
      <c r="BZ17" s="932"/>
      <c r="CA17" s="932"/>
      <c r="CB17" s="932"/>
      <c r="CC17" s="932"/>
      <c r="CD17" s="685"/>
      <c r="CE17" s="932"/>
      <c r="CF17" s="932"/>
      <c r="CG17" s="932"/>
      <c r="CH17" s="932"/>
      <c r="CI17" s="685"/>
      <c r="CJ17" s="932"/>
      <c r="CK17" s="932"/>
      <c r="CL17" s="932"/>
      <c r="CM17" s="932"/>
      <c r="CN17" s="685"/>
      <c r="CO17" s="932"/>
      <c r="CP17" s="932"/>
      <c r="CQ17" s="932"/>
      <c r="CR17" s="932"/>
      <c r="CS17" s="685"/>
      <c r="CT17" s="932"/>
      <c r="CU17" s="932"/>
      <c r="CV17" s="932"/>
      <c r="CW17" s="932"/>
      <c r="CX17" s="685"/>
      <c r="CY17" s="932"/>
      <c r="CZ17" s="932"/>
      <c r="DA17" s="932"/>
      <c r="DB17" s="932"/>
      <c r="DC17" s="685"/>
      <c r="DD17" s="932"/>
      <c r="DE17" s="932"/>
      <c r="DF17" s="932"/>
      <c r="DG17" s="932"/>
      <c r="DH17" s="685"/>
      <c r="DI17" s="932"/>
      <c r="DJ17" s="932"/>
      <c r="DK17" s="932"/>
      <c r="DL17" s="932"/>
      <c r="DM17" s="685"/>
      <c r="DN17" s="932"/>
      <c r="DO17" s="932"/>
      <c r="DP17" s="932"/>
      <c r="DQ17" s="932"/>
      <c r="DR17" s="685"/>
      <c r="DS17" s="932"/>
      <c r="DT17" s="932"/>
      <c r="DU17" s="932"/>
      <c r="DV17" s="932"/>
      <c r="DW17" s="685"/>
      <c r="DX17" s="932"/>
      <c r="DY17" s="932"/>
      <c r="DZ17" s="932"/>
      <c r="EA17" s="932"/>
      <c r="EB17" s="685"/>
      <c r="EC17" s="932"/>
      <c r="ED17" s="932"/>
      <c r="EE17" s="932"/>
      <c r="EF17" s="932"/>
      <c r="EG17" s="685"/>
      <c r="EH17" s="932"/>
      <c r="EI17" s="932"/>
      <c r="EJ17" s="932"/>
      <c r="EK17" s="932"/>
      <c r="EL17" s="685"/>
      <c r="EM17" s="932"/>
      <c r="EN17" s="932"/>
      <c r="EO17" s="932"/>
      <c r="EP17" s="932"/>
      <c r="EQ17" s="685"/>
      <c r="ER17" s="932"/>
      <c r="ES17" s="932"/>
      <c r="ET17" s="932"/>
      <c r="EU17" s="932"/>
      <c r="EV17" s="685"/>
      <c r="EW17" s="1592"/>
      <c r="EX17" s="932"/>
      <c r="EY17" s="1592"/>
      <c r="EZ17" s="932"/>
      <c r="FA17" s="685"/>
      <c r="FB17" s="932"/>
      <c r="FC17" s="932"/>
      <c r="FD17" s="932"/>
      <c r="FE17" s="932"/>
      <c r="FF17" s="685"/>
      <c r="FG17" s="932"/>
      <c r="FH17" s="932"/>
      <c r="FI17" s="932"/>
      <c r="FJ17" s="932"/>
      <c r="FK17" s="685"/>
      <c r="FL17" s="932"/>
      <c r="FM17" s="932"/>
      <c r="FN17" s="932"/>
      <c r="FO17" s="932"/>
      <c r="FP17" s="685"/>
      <c r="FQ17" s="932"/>
      <c r="FR17" s="932"/>
      <c r="FS17" s="932"/>
      <c r="FT17" s="932"/>
      <c r="FU17" s="685"/>
      <c r="FV17" s="932"/>
      <c r="FW17" s="932"/>
      <c r="FX17" s="932"/>
      <c r="FY17" s="932"/>
      <c r="FZ17" s="685"/>
      <c r="GA17" s="932"/>
      <c r="GB17" s="932"/>
      <c r="GC17" s="932"/>
      <c r="GD17" s="932"/>
      <c r="GE17" s="685"/>
      <c r="GF17" s="932"/>
      <c r="GG17" s="932"/>
      <c r="GH17" s="932"/>
      <c r="GI17" s="932"/>
      <c r="GJ17" s="685"/>
    </row>
    <row r="18" spans="1:192" s="277" customFormat="1" ht="12.75" customHeight="1">
      <c r="A18" s="274"/>
      <c r="B18" s="704" t="s">
        <v>76</v>
      </c>
      <c r="C18" s="633">
        <v>936</v>
      </c>
      <c r="D18" s="633">
        <v>977</v>
      </c>
      <c r="E18" s="633">
        <v>1027</v>
      </c>
      <c r="F18" s="633">
        <v>1192</v>
      </c>
      <c r="G18" s="373">
        <f t="shared" ref="G18:G25" si="42">F18</f>
      </c>
      <c r="H18" s="633">
        <v>1265</v>
      </c>
      <c r="I18" s="633">
        <v>1297</v>
      </c>
      <c r="J18" s="633">
        <v>1281</v>
      </c>
      <c r="K18" s="633">
        <v>1326</v>
      </c>
      <c r="L18" s="373">
        <f t="shared" ref="L18:L25" si="43">K18</f>
      </c>
      <c r="M18" s="633">
        <v>1304</v>
      </c>
      <c r="N18" s="633">
        <v>1322</v>
      </c>
      <c r="O18" s="633">
        <v>1371</v>
      </c>
      <c r="P18" s="633">
        <v>1465</v>
      </c>
      <c r="Q18" s="373">
        <f t="shared" ref="Q18:Q25" si="44">P18</f>
      </c>
      <c r="R18" s="633">
        <v>1484</v>
      </c>
      <c r="S18" s="633">
        <v>1478</v>
      </c>
      <c r="T18" s="633">
        <v>1416</v>
      </c>
      <c r="U18" s="633">
        <v>1505</v>
      </c>
      <c r="V18" s="373">
        <f t="shared" ref="V18:V25" si="45">U18</f>
      </c>
      <c r="W18" s="633">
        <v>1466</v>
      </c>
      <c r="X18" s="633">
        <v>1495</v>
      </c>
      <c r="Y18" s="633">
        <v>1445</v>
      </c>
      <c r="Z18" s="633">
        <v>1611</v>
      </c>
      <c r="AA18" s="373">
        <f t="shared" ref="AA18:AA25" si="46">Z18</f>
      </c>
      <c r="AB18" s="633">
        <v>1657</v>
      </c>
      <c r="AC18" s="633">
        <v>1739</v>
      </c>
      <c r="AD18" s="633">
        <v>1835</v>
      </c>
      <c r="AE18" s="633">
        <v>1903</v>
      </c>
      <c r="AF18" s="373">
        <f t="shared" ref="AF18:AF25" si="47">AE18</f>
      </c>
      <c r="AG18" s="633">
        <v>1973</v>
      </c>
      <c r="AH18" s="633">
        <v>2098</v>
      </c>
      <c r="AI18" s="633">
        <v>2159</v>
      </c>
      <c r="AJ18" s="633">
        <v>2309</v>
      </c>
      <c r="AK18" s="373">
        <f t="shared" ref="AK18:AK25" si="48">AJ18</f>
      </c>
      <c r="AL18" s="633">
        <v>2261</v>
      </c>
      <c r="AM18" s="633">
        <v>2240</v>
      </c>
      <c r="AN18" s="633">
        <v>2182</v>
      </c>
      <c r="AO18" s="633">
        <v>2268</v>
      </c>
      <c r="AP18" s="373">
        <f t="shared" ref="AP18:AP25" si="49">AO18</f>
      </c>
      <c r="AQ18" s="633">
        <v>2189</v>
      </c>
      <c r="AR18" s="633">
        <v>2257</v>
      </c>
      <c r="AS18" s="633">
        <v>2208</v>
      </c>
      <c r="AT18" s="633">
        <v>2223</v>
      </c>
      <c r="AU18" s="373">
        <f t="shared" ref="AU18:AU25" si="50">AT18</f>
      </c>
      <c r="AV18" s="633">
        <v>2193</v>
      </c>
      <c r="AW18" s="633">
        <v>2178</v>
      </c>
      <c r="AX18" s="633">
        <v>2258</v>
      </c>
      <c r="AY18" s="633">
        <v>2326</v>
      </c>
      <c r="AZ18" s="373">
        <f t="shared" ref="AZ18:AZ25" si="51">AY18</f>
      </c>
      <c r="BA18" s="633">
        <v>2317</v>
      </c>
      <c r="BB18" s="633">
        <v>2336</v>
      </c>
      <c r="BC18" s="633">
        <v>2321</v>
      </c>
      <c r="BD18" s="633">
        <v>2346</v>
      </c>
      <c r="BE18" s="373">
        <f t="shared" ref="BE18:BE25" si="52">BD18</f>
      </c>
      <c r="BF18" s="633">
        <v>2351</v>
      </c>
      <c r="BG18" s="633">
        <v>2452</v>
      </c>
      <c r="BH18" s="633">
        <v>2543</v>
      </c>
      <c r="BI18" s="633">
        <v>3044</v>
      </c>
      <c r="BJ18" s="373">
        <f t="shared" ref="BJ18:BJ25" si="53">BI18</f>
      </c>
      <c r="BK18" s="633">
        <v>3193</v>
      </c>
      <c r="BL18" s="633">
        <v>3686</v>
      </c>
      <c r="BM18" s="633">
        <v>3923</v>
      </c>
      <c r="BN18" s="633">
        <v>4350</v>
      </c>
      <c r="BO18" s="373">
        <f t="shared" ref="BO18:BO25" si="54">BN18</f>
      </c>
      <c r="BP18" s="633">
        <v>4615</v>
      </c>
      <c r="BQ18" s="633">
        <v>4965</v>
      </c>
      <c r="BR18" s="633">
        <v>5516</v>
      </c>
      <c r="BS18" s="633">
        <v>6242</v>
      </c>
      <c r="BT18" s="373">
        <f t="shared" ref="BT18:BT25" si="55">BS18</f>
      </c>
      <c r="BU18" s="633">
        <v>6552</v>
      </c>
      <c r="BV18" s="633">
        <v>6996</v>
      </c>
      <c r="BW18" s="633">
        <v>7112</v>
      </c>
      <c r="BX18" s="633">
        <v>7535</v>
      </c>
      <c r="BY18" s="373">
        <f t="shared" ref="BY18:BY25" si="56">BX18</f>
      </c>
      <c r="BZ18" s="633">
        <v>7512</v>
      </c>
      <c r="CA18" s="633">
        <v>7402</v>
      </c>
      <c r="CB18" s="633">
        <v>7372</v>
      </c>
      <c r="CC18" s="633">
        <v>7630</v>
      </c>
      <c r="CD18" s="373">
        <f t="shared" ref="CD18:CD25" si="57">CC18</f>
      </c>
      <c r="CE18" s="633">
        <v>7771</v>
      </c>
      <c r="CF18" s="633">
        <v>7799</v>
      </c>
      <c r="CG18" s="633">
        <v>7969</v>
      </c>
      <c r="CH18" s="633">
        <v>8162</v>
      </c>
      <c r="CI18" s="373">
        <f t="shared" ref="CI18:CI25" si="58">CH18</f>
      </c>
      <c r="CJ18" s="633">
        <v>8033</v>
      </c>
      <c r="CK18" s="633">
        <v>8010</v>
      </c>
      <c r="CL18" s="633">
        <v>8225</v>
      </c>
      <c r="CM18" s="633">
        <v>8269</v>
      </c>
      <c r="CN18" s="373">
        <f t="shared" ref="CN18:CN25" si="59">CM18</f>
      </c>
      <c r="CO18" s="633">
        <v>8329</v>
      </c>
      <c r="CP18" s="633">
        <v>8698</v>
      </c>
      <c r="CQ18" s="633">
        <v>9204</v>
      </c>
      <c r="CR18" s="633">
        <v>9991</v>
      </c>
      <c r="CS18" s="373">
        <f t="shared" ref="CS18:CS25" si="60">CR18</f>
      </c>
      <c r="CT18" s="633">
        <v>10774</v>
      </c>
      <c r="CU18" s="633">
        <v>11567</v>
      </c>
      <c r="CV18" s="633">
        <v>11771</v>
      </c>
      <c r="CW18" s="633">
        <v>13011</v>
      </c>
      <c r="CX18" s="373">
        <f t="shared" ref="CX18:CX25" si="61">CW18</f>
      </c>
      <c r="CY18" s="633">
        <v>13229</v>
      </c>
      <c r="CZ18" s="633">
        <v>13607</v>
      </c>
      <c r="DA18" s="633">
        <v>14375</v>
      </c>
      <c r="DB18" s="633">
        <v>14731</v>
      </c>
      <c r="DC18" s="373">
        <f t="shared" ref="DC18:DC25" si="62">DB18</f>
      </c>
      <c r="DD18" s="633">
        <v>15046</v>
      </c>
      <c r="DE18" s="633">
        <v>15789</v>
      </c>
      <c r="DF18" s="633">
        <v>16831</v>
      </c>
      <c r="DG18" s="633">
        <v>18356</v>
      </c>
      <c r="DH18" s="373">
        <f t="shared" ref="DH18:DH25" si="63">DG18</f>
      </c>
      <c r="DI18" s="633">
        <v>19224</v>
      </c>
      <c r="DJ18" s="633">
        <v>21379</v>
      </c>
      <c r="DK18" s="633">
        <v>21962</v>
      </c>
      <c r="DL18" s="633">
        <v>23734</v>
      </c>
      <c r="DM18" s="373">
        <f t="shared" ref="DM18:DM25" si="64">DL18</f>
      </c>
      <c r="DN18" s="633">
        <v>24809</v>
      </c>
      <c r="DO18" s="633">
        <v>26304</v>
      </c>
      <c r="DP18" s="633">
        <v>27929</v>
      </c>
      <c r="DQ18" s="633">
        <v>29460</v>
      </c>
      <c r="DR18" s="373">
        <f t="shared" ref="DR18:DR25" si="65">DQ18</f>
      </c>
      <c r="DS18" s="633">
        <v>31430</v>
      </c>
      <c r="DT18" s="633">
        <v>32717</v>
      </c>
      <c r="DU18" s="633">
        <v>33648</v>
      </c>
      <c r="DV18" s="633">
        <v>36477</v>
      </c>
      <c r="DW18" s="373">
        <f t="shared" ref="DW18:DW25" si="66">DV18</f>
      </c>
      <c r="DX18" s="633">
        <v>38409</v>
      </c>
      <c r="DY18" s="633">
        <v>40522</v>
      </c>
      <c r="DZ18" s="633">
        <v>41221</v>
      </c>
      <c r="EA18" s="633">
        <v>44151</v>
      </c>
      <c r="EB18" s="373">
        <f t="shared" ref="EB18:EB25" si="67">EA18</f>
      </c>
      <c r="EC18" s="633">
        <v>47927</v>
      </c>
      <c r="ED18" s="633">
        <v>51737</v>
      </c>
      <c r="EE18" s="633">
        <v>54945</v>
      </c>
      <c r="EF18" s="633">
        <v>59715</v>
      </c>
      <c r="EG18" s="373">
        <f t="shared" ref="EG18:EG25" si="68">EF18</f>
      </c>
      <c r="EH18" s="633">
        <v>63772</v>
      </c>
      <c r="EI18" s="633">
        <v>67214</v>
      </c>
      <c r="EJ18" s="633">
        <v>70298</v>
      </c>
      <c r="EK18" s="633">
        <v>74398</v>
      </c>
      <c r="EL18" s="373">
        <f t="shared" ref="EL18:EL25" si="69">EK18</f>
      </c>
      <c r="EM18" s="633">
        <v>77037</v>
      </c>
      <c r="EN18" s="633">
        <v>82755</v>
      </c>
      <c r="EO18" s="633">
        <v>88132</v>
      </c>
      <c r="EP18" s="633">
        <v>95641</v>
      </c>
      <c r="EQ18" s="373">
        <f t="shared" ref="EQ18:EQ25" si="70">EP18</f>
      </c>
      <c r="ER18" s="633">
        <v>102502</v>
      </c>
      <c r="ES18" s="633">
        <v>112308</v>
      </c>
      <c r="ET18" s="954">
        <v>121375</v>
      </c>
      <c r="EU18" s="954">
        <v>135591</v>
      </c>
      <c r="EV18" s="373">
        <f t="shared" ref="EV18:EV25" si="71">EU18</f>
      </c>
      <c r="EW18" s="954">
        <v>152863</v>
      </c>
      <c r="EX18" s="954">
        <v>166902</v>
      </c>
      <c r="EY18" s="954">
        <v>183939</v>
      </c>
      <c r="EZ18" s="954">
        <v>204966</v>
      </c>
      <c r="FA18" s="373">
        <f t="shared" ref="FA18:FA25" si="72">EZ18</f>
      </c>
      <c r="FB18" s="929">
        <f>FB139</f>
      </c>
      <c r="FC18" s="929">
        <f>FC139</f>
      </c>
      <c r="FD18" s="929">
        <f>FD139</f>
      </c>
      <c r="FE18" s="929">
        <f>FE139</f>
      </c>
      <c r="FF18" s="373">
        <f t="shared" ref="FF18:FF25" si="73">FE18</f>
      </c>
      <c r="FG18" s="929">
        <f>FG139</f>
      </c>
      <c r="FH18" s="929">
        <f>FH139</f>
      </c>
      <c r="FI18" s="929">
        <f>FI139</f>
      </c>
      <c r="FJ18" s="929">
        <f>FJ139</f>
      </c>
      <c r="FK18" s="373">
        <f t="shared" ref="FK18:FK25" si="74">FJ18</f>
      </c>
      <c r="FL18" s="929">
        <f>FL139</f>
      </c>
      <c r="FM18" s="929">
        <f>FM139</f>
      </c>
      <c r="FN18" s="929">
        <f>FN139</f>
      </c>
      <c r="FO18" s="929">
        <f>FO139</f>
      </c>
      <c r="FP18" s="373">
        <f t="shared" ref="FP18:FP25" si="75">FO18</f>
      </c>
      <c r="FQ18" s="929">
        <f>FQ139</f>
      </c>
      <c r="FR18" s="929">
        <f>FR139</f>
      </c>
      <c r="FS18" s="929">
        <f>FS139</f>
      </c>
      <c r="FT18" s="929">
        <f>FT139</f>
      </c>
      <c r="FU18" s="373">
        <f t="shared" ref="FU18:FU25" si="76">FT18</f>
      </c>
      <c r="FV18" s="929">
        <f>FV139</f>
      </c>
      <c r="FW18" s="929">
        <f>FW139</f>
      </c>
      <c r="FX18" s="929">
        <f>FX139</f>
      </c>
      <c r="FY18" s="929">
        <f>FY139</f>
      </c>
      <c r="FZ18" s="373">
        <f t="shared" ref="FZ18:FZ25" si="77">FY18</f>
      </c>
      <c r="GA18" s="929">
        <f>GA139</f>
      </c>
      <c r="GB18" s="929">
        <f>GB139</f>
      </c>
      <c r="GC18" s="929">
        <f>GC139</f>
      </c>
      <c r="GD18" s="929">
        <f>GD139</f>
      </c>
      <c r="GE18" s="373">
        <f t="shared" ref="GE18:GE25" si="78">GD18</f>
      </c>
      <c r="GF18" s="929">
        <f>GF139</f>
      </c>
      <c r="GG18" s="929">
        <f>GG139</f>
      </c>
      <c r="GH18" s="929">
        <f>GH139</f>
      </c>
      <c r="GI18" s="929">
        <f>GI139</f>
      </c>
      <c r="GJ18" s="373">
        <f t="shared" ref="GJ18:GJ25" si="79">GI18</f>
      </c>
    </row>
    <row r="19" spans="1:192" s="362" customFormat="1" ht="12.75" customHeight="1">
      <c r="A19" s="368"/>
      <c r="B19" s="704" t="s">
        <v>90</v>
      </c>
      <c r="C19" s="448">
        <v>0</v>
      </c>
      <c r="D19" s="448">
        <v>0</v>
      </c>
      <c r="E19" s="448">
        <v>0</v>
      </c>
      <c r="F19" s="448">
        <v>0</v>
      </c>
      <c r="G19" s="373">
        <f t="shared" si="42"/>
      </c>
      <c r="H19" s="448">
        <v>0</v>
      </c>
      <c r="I19" s="448">
        <v>0</v>
      </c>
      <c r="J19" s="448">
        <v>0</v>
      </c>
      <c r="K19" s="448">
        <v>0</v>
      </c>
      <c r="L19" s="373">
        <f t="shared" si="43"/>
      </c>
      <c r="M19" s="448">
        <v>0</v>
      </c>
      <c r="N19" s="448">
        <v>0</v>
      </c>
      <c r="O19" s="448">
        <v>0</v>
      </c>
      <c r="P19" s="448">
        <v>0</v>
      </c>
      <c r="Q19" s="373">
        <f t="shared" si="44"/>
      </c>
      <c r="R19" s="448">
        <v>0</v>
      </c>
      <c r="S19" s="448">
        <v>0</v>
      </c>
      <c r="T19" s="448">
        <v>0</v>
      </c>
      <c r="U19" s="448">
        <v>0</v>
      </c>
      <c r="V19" s="373">
        <f t="shared" si="45"/>
      </c>
      <c r="W19" s="448">
        <v>0</v>
      </c>
      <c r="X19" s="448">
        <v>0</v>
      </c>
      <c r="Y19" s="448">
        <v>0</v>
      </c>
      <c r="Z19" s="448">
        <v>0</v>
      </c>
      <c r="AA19" s="373">
        <f t="shared" si="46"/>
      </c>
      <c r="AB19" s="448">
        <v>0</v>
      </c>
      <c r="AC19" s="448">
        <v>0</v>
      </c>
      <c r="AD19" s="448">
        <v>0</v>
      </c>
      <c r="AE19" s="448">
        <v>0</v>
      </c>
      <c r="AF19" s="373">
        <f t="shared" si="47"/>
      </c>
      <c r="AG19" s="448">
        <v>0</v>
      </c>
      <c r="AH19" s="448">
        <v>0</v>
      </c>
      <c r="AI19" s="448">
        <v>0</v>
      </c>
      <c r="AJ19" s="448">
        <v>0</v>
      </c>
      <c r="AK19" s="373">
        <f t="shared" si="48"/>
      </c>
      <c r="AL19" s="448">
        <v>0</v>
      </c>
      <c r="AM19" s="448">
        <v>0</v>
      </c>
      <c r="AN19" s="448">
        <v>0</v>
      </c>
      <c r="AO19" s="448">
        <v>0</v>
      </c>
      <c r="AP19" s="373">
        <f t="shared" si="49"/>
      </c>
      <c r="AQ19" s="448">
        <v>0</v>
      </c>
      <c r="AR19" s="448">
        <v>0</v>
      </c>
      <c r="AS19" s="448">
        <v>0</v>
      </c>
      <c r="AT19" s="448">
        <v>0</v>
      </c>
      <c r="AU19" s="373">
        <f t="shared" si="50"/>
      </c>
      <c r="AV19" s="633">
        <v>0</v>
      </c>
      <c r="AW19" s="633">
        <v>0</v>
      </c>
      <c r="AX19" s="633">
        <v>0</v>
      </c>
      <c r="AY19" s="633">
        <v>0</v>
      </c>
      <c r="AZ19" s="373">
        <f t="shared" si="51"/>
      </c>
      <c r="BA19" s="633">
        <v>0</v>
      </c>
      <c r="BB19" s="633">
        <v>0</v>
      </c>
      <c r="BC19" s="633">
        <v>0</v>
      </c>
      <c r="BD19" s="633">
        <v>0</v>
      </c>
      <c r="BE19" s="373">
        <f t="shared" si="52"/>
      </c>
      <c r="BF19" s="633">
        <v>0</v>
      </c>
      <c r="BG19" s="633">
        <v>0</v>
      </c>
      <c r="BH19" s="633">
        <v>0</v>
      </c>
      <c r="BI19" s="633">
        <v>0</v>
      </c>
      <c r="BJ19" s="373">
        <f t="shared" si="53"/>
      </c>
      <c r="BK19" s="633">
        <v>0</v>
      </c>
      <c r="BL19" s="633">
        <v>0</v>
      </c>
      <c r="BM19" s="633">
        <v>0</v>
      </c>
      <c r="BN19" s="633">
        <v>0</v>
      </c>
      <c r="BO19" s="373">
        <f t="shared" si="54"/>
      </c>
      <c r="BP19" s="633">
        <v>0</v>
      </c>
      <c r="BQ19" s="633">
        <v>0</v>
      </c>
      <c r="BR19" s="633">
        <v>0</v>
      </c>
      <c r="BS19" s="633">
        <v>0</v>
      </c>
      <c r="BT19" s="373">
        <f t="shared" si="55"/>
      </c>
      <c r="BU19" s="633">
        <v>0</v>
      </c>
      <c r="BV19" s="633">
        <v>0</v>
      </c>
      <c r="BW19" s="633">
        <v>0</v>
      </c>
      <c r="BX19" s="633">
        <v>0</v>
      </c>
      <c r="BY19" s="373">
        <f t="shared" si="56"/>
      </c>
      <c r="BZ19" s="633">
        <v>0</v>
      </c>
      <c r="CA19" s="633">
        <v>0</v>
      </c>
      <c r="CB19" s="633">
        <v>0</v>
      </c>
      <c r="CC19" s="633">
        <v>0</v>
      </c>
      <c r="CD19" s="373">
        <f t="shared" si="57"/>
      </c>
      <c r="CE19" s="633">
        <v>0</v>
      </c>
      <c r="CF19" s="633">
        <v>0</v>
      </c>
      <c r="CG19" s="633">
        <v>0</v>
      </c>
      <c r="CH19" s="633">
        <v>0</v>
      </c>
      <c r="CI19" s="373">
        <f t="shared" si="58"/>
      </c>
      <c r="CJ19" s="633">
        <v>0</v>
      </c>
      <c r="CK19" s="633">
        <v>0</v>
      </c>
      <c r="CL19" s="633">
        <v>0</v>
      </c>
      <c r="CM19" s="633">
        <v>0</v>
      </c>
      <c r="CN19" s="373">
        <f t="shared" si="59"/>
      </c>
      <c r="CO19" s="633">
        <v>0</v>
      </c>
      <c r="CP19" s="633">
        <v>0</v>
      </c>
      <c r="CQ19" s="633">
        <v>0</v>
      </c>
      <c r="CR19" s="633">
        <v>0</v>
      </c>
      <c r="CS19" s="373">
        <f t="shared" si="60"/>
      </c>
      <c r="CT19" s="633">
        <v>0</v>
      </c>
      <c r="CU19" s="633">
        <v>0</v>
      </c>
      <c r="CV19" s="633">
        <v>0</v>
      </c>
      <c r="CW19" s="633">
        <v>0</v>
      </c>
      <c r="CX19" s="373">
        <f t="shared" si="61"/>
      </c>
      <c r="CY19" s="633">
        <v>0</v>
      </c>
      <c r="CZ19" s="633">
        <v>0</v>
      </c>
      <c r="DA19" s="633">
        <v>0</v>
      </c>
      <c r="DB19" s="633">
        <v>0</v>
      </c>
      <c r="DC19" s="373">
        <f t="shared" si="62"/>
      </c>
      <c r="DD19" s="633">
        <v>0</v>
      </c>
      <c r="DE19" s="633">
        <v>0</v>
      </c>
      <c r="DF19" s="633">
        <v>0</v>
      </c>
      <c r="DG19" s="633">
        <v>0</v>
      </c>
      <c r="DH19" s="373">
        <f t="shared" si="63"/>
      </c>
      <c r="DI19" s="633">
        <v>5216</v>
      </c>
      <c r="DJ19" s="633">
        <v>6371</v>
      </c>
      <c r="DK19" s="633">
        <v>6714</v>
      </c>
      <c r="DL19" s="633">
        <v>6555</v>
      </c>
      <c r="DM19" s="373">
        <f t="shared" si="64"/>
      </c>
      <c r="DN19" s="633">
        <v>6844</v>
      </c>
      <c r="DO19" s="633">
        <v>6749</v>
      </c>
      <c r="DP19" s="633">
        <v>6859</v>
      </c>
      <c r="DQ19" s="633">
        <v>6686</v>
      </c>
      <c r="DR19" s="373">
        <f t="shared" si="65"/>
      </c>
      <c r="DS19" s="633">
        <v>6734</v>
      </c>
      <c r="DT19" s="633">
        <v>6806</v>
      </c>
      <c r="DU19" s="633">
        <v>7121</v>
      </c>
      <c r="DV19" s="633">
        <v>7379</v>
      </c>
      <c r="DW19" s="373">
        <f t="shared" si="66"/>
      </c>
      <c r="DX19" s="633">
        <v>7890</v>
      </c>
      <c r="DY19" s="633">
        <v>8439</v>
      </c>
      <c r="DZ19" s="633">
        <v>8448</v>
      </c>
      <c r="EA19" s="633">
        <v>8753</v>
      </c>
      <c r="EB19" s="373">
        <f t="shared" si="67"/>
      </c>
      <c r="EC19" s="633">
        <v>9047</v>
      </c>
      <c r="ED19" s="633">
        <v>10298</v>
      </c>
      <c r="EE19" s="633">
        <v>10673</v>
      </c>
      <c r="EF19" s="633">
        <v>11088</v>
      </c>
      <c r="EG19" s="373">
        <f t="shared" si="68"/>
      </c>
      <c r="EH19" s="633">
        <v>11575</v>
      </c>
      <c r="EI19" s="633">
        <v>12354</v>
      </c>
      <c r="EJ19" s="633">
        <v>12916</v>
      </c>
      <c r="EK19" s="633">
        <v>13148</v>
      </c>
      <c r="EL19" s="373">
        <f t="shared" si="69"/>
      </c>
      <c r="EM19" s="633">
        <v>13347</v>
      </c>
      <c r="EN19" s="633">
        <v>13624</v>
      </c>
      <c r="EO19" s="633">
        <v>13879</v>
      </c>
      <c r="EP19" s="633">
        <v>14346</v>
      </c>
      <c r="EQ19" s="373">
        <f t="shared" si="70"/>
      </c>
      <c r="ER19" s="633">
        <v>15435</v>
      </c>
      <c r="ES19" s="633">
        <v>16398</v>
      </c>
      <c r="ET19" s="954">
        <v>17371</v>
      </c>
      <c r="EU19" s="954">
        <v>18961</v>
      </c>
      <c r="EV19" s="662">
        <f t="shared" si="71"/>
      </c>
      <c r="EW19" s="954">
        <v>20528</v>
      </c>
      <c r="EX19" s="954">
        <v>22816</v>
      </c>
      <c r="EY19" s="954">
        <v>24475</v>
      </c>
      <c r="EZ19" s="954">
        <v>24823</v>
      </c>
      <c r="FA19" s="662">
        <f t="shared" si="72"/>
      </c>
      <c r="FB19" s="929">
        <f>EZ19</f>
      </c>
      <c r="FC19" s="929">
        <f t="shared" ref="FC19:FE21" si="80">FB19</f>
      </c>
      <c r="FD19" s="929">
        <f t="shared" si="80"/>
      </c>
      <c r="FE19" s="929">
        <f t="shared" si="80"/>
      </c>
      <c r="FF19" s="662">
        <f t="shared" si="73"/>
      </c>
      <c r="FG19" s="929">
        <f>FE19</f>
      </c>
      <c r="FH19" s="929">
        <f t="shared" ref="FH19:FJ21" si="81">FG19</f>
      </c>
      <c r="FI19" s="929">
        <f t="shared" si="81"/>
      </c>
      <c r="FJ19" s="929">
        <f t="shared" si="81"/>
      </c>
      <c r="FK19" s="662">
        <f t="shared" si="74"/>
      </c>
      <c r="FL19" s="929">
        <f>FJ19</f>
      </c>
      <c r="FM19" s="929">
        <f t="shared" ref="FM19:FO21" si="82">FL19</f>
      </c>
      <c r="FN19" s="929">
        <f t="shared" si="82"/>
      </c>
      <c r="FO19" s="929">
        <f t="shared" si="82"/>
      </c>
      <c r="FP19" s="662">
        <f t="shared" si="75"/>
      </c>
      <c r="FQ19" s="929">
        <f>FO19</f>
      </c>
      <c r="FR19" s="929">
        <f t="shared" ref="FR19:FT21" si="83">FQ19</f>
      </c>
      <c r="FS19" s="929">
        <f t="shared" si="83"/>
      </c>
      <c r="FT19" s="929">
        <f t="shared" si="83"/>
      </c>
      <c r="FU19" s="662">
        <f t="shared" si="76"/>
      </c>
      <c r="FV19" s="929">
        <f>FT19</f>
      </c>
      <c r="FW19" s="929">
        <f t="shared" ref="FW19:FY21" si="84">FV19</f>
      </c>
      <c r="FX19" s="929">
        <f t="shared" si="84"/>
      </c>
      <c r="FY19" s="929">
        <f t="shared" si="84"/>
      </c>
      <c r="FZ19" s="662">
        <f t="shared" si="77"/>
      </c>
      <c r="GA19" s="929">
        <f>FY19</f>
      </c>
      <c r="GB19" s="929">
        <f t="shared" ref="GB19:GD21" si="85">GA19</f>
      </c>
      <c r="GC19" s="929">
        <f t="shared" si="85"/>
      </c>
      <c r="GD19" s="929">
        <f t="shared" si="85"/>
      </c>
      <c r="GE19" s="662">
        <f t="shared" si="78"/>
      </c>
      <c r="GF19" s="929">
        <f>GD19</f>
      </c>
      <c r="GG19" s="929">
        <f t="shared" ref="GG19:GG21" si="86">GF19</f>
      </c>
      <c r="GH19" s="929">
        <f t="shared" ref="GH19:GH21" si="87">GG19</f>
      </c>
      <c r="GI19" s="929">
        <f t="shared" ref="GI19:GI21" si="88">GH19</f>
      </c>
      <c r="GJ19" s="662">
        <f t="shared" si="79"/>
      </c>
    </row>
    <row r="20" spans="1:192" s="362" customFormat="1" ht="12.75" customHeight="1">
      <c r="A20" s="368"/>
      <c r="B20" s="704" t="s">
        <v>91</v>
      </c>
      <c r="C20" s="448">
        <v>0</v>
      </c>
      <c r="D20" s="448">
        <v>0</v>
      </c>
      <c r="E20" s="448">
        <v>0</v>
      </c>
      <c r="F20" s="448">
        <v>0</v>
      </c>
      <c r="G20" s="373">
        <f t="shared" si="42"/>
      </c>
      <c r="H20" s="448">
        <v>0</v>
      </c>
      <c r="I20" s="448">
        <v>0</v>
      </c>
      <c r="J20" s="448">
        <v>0</v>
      </c>
      <c r="K20" s="448">
        <v>0</v>
      </c>
      <c r="L20" s="373">
        <f t="shared" si="43"/>
      </c>
      <c r="M20" s="633">
        <v>896</v>
      </c>
      <c r="N20" s="633">
        <v>804</v>
      </c>
      <c r="O20" s="633">
        <v>819</v>
      </c>
      <c r="P20" s="633">
        <v>2346</v>
      </c>
      <c r="Q20" s="373">
        <f t="shared" si="44"/>
      </c>
      <c r="R20" s="633">
        <v>2733</v>
      </c>
      <c r="S20" s="633">
        <v>3476</v>
      </c>
      <c r="T20" s="633">
        <v>4122</v>
      </c>
      <c r="U20" s="633">
        <v>4703</v>
      </c>
      <c r="V20" s="373">
        <f t="shared" si="45"/>
      </c>
      <c r="W20" s="633">
        <v>4905</v>
      </c>
      <c r="X20" s="633">
        <v>6262</v>
      </c>
      <c r="Y20" s="633">
        <v>7474</v>
      </c>
      <c r="Z20" s="633">
        <v>14372</v>
      </c>
      <c r="AA20" s="373">
        <f t="shared" si="46"/>
      </c>
      <c r="AB20" s="633">
        <v>14910</v>
      </c>
      <c r="AC20" s="633">
        <v>19801</v>
      </c>
      <c r="AD20" s="633">
        <v>21322</v>
      </c>
      <c r="AE20" s="633">
        <v>17726</v>
      </c>
      <c r="AF20" s="373">
        <f t="shared" si="47"/>
      </c>
      <c r="AG20" s="633">
        <v>20525</v>
      </c>
      <c r="AH20" s="633">
        <v>18281</v>
      </c>
      <c r="AI20" s="633">
        <v>17463</v>
      </c>
      <c r="AJ20" s="633">
        <v>14141</v>
      </c>
      <c r="AK20" s="373">
        <f t="shared" si="48"/>
      </c>
      <c r="AL20" s="633">
        <v>12035</v>
      </c>
      <c r="AM20" s="633">
        <v>12212</v>
      </c>
      <c r="AN20" s="633">
        <v>15694</v>
      </c>
      <c r="AO20" s="633">
        <v>14191</v>
      </c>
      <c r="AP20" s="373">
        <f t="shared" si="49"/>
      </c>
      <c r="AQ20" s="633">
        <v>13580</v>
      </c>
      <c r="AR20" s="633">
        <v>12647</v>
      </c>
      <c r="AS20" s="633">
        <v>13052</v>
      </c>
      <c r="AT20" s="633">
        <v>13692</v>
      </c>
      <c r="AU20" s="373">
        <f t="shared" si="50"/>
      </c>
      <c r="AV20" s="633">
        <v>13962</v>
      </c>
      <c r="AW20" s="633">
        <v>14901</v>
      </c>
      <c r="AX20" s="633">
        <v>15155</v>
      </c>
      <c r="AY20" s="633">
        <v>12210</v>
      </c>
      <c r="AZ20" s="373">
        <f t="shared" si="51"/>
      </c>
      <c r="BA20" s="633">
        <v>12185</v>
      </c>
      <c r="BB20" s="633">
        <v>12160</v>
      </c>
      <c r="BC20" s="633">
        <v>11772</v>
      </c>
      <c r="BD20" s="633">
        <v>11004</v>
      </c>
      <c r="BE20" s="373">
        <f t="shared" si="52"/>
      </c>
      <c r="BF20" s="633">
        <v>10062</v>
      </c>
      <c r="BG20" s="633">
        <v>9095</v>
      </c>
      <c r="BH20" s="633">
        <v>8888</v>
      </c>
      <c r="BI20" s="633">
        <v>9232</v>
      </c>
      <c r="BJ20" s="373">
        <f t="shared" si="53"/>
      </c>
      <c r="BK20" s="633">
        <v>8762</v>
      </c>
      <c r="BL20" s="633">
        <v>9631</v>
      </c>
      <c r="BM20" s="633">
        <v>9624</v>
      </c>
      <c r="BN20" s="633">
        <v>10117</v>
      </c>
      <c r="BO20" s="373">
        <f t="shared" si="54"/>
      </c>
      <c r="BP20" s="633">
        <v>9707</v>
      </c>
      <c r="BQ20" s="633">
        <v>9413</v>
      </c>
      <c r="BR20" s="633">
        <v>8659</v>
      </c>
      <c r="BS20" s="633">
        <v>6588</v>
      </c>
      <c r="BT20" s="373">
        <f t="shared" si="55"/>
      </c>
      <c r="BU20" s="633">
        <v>4381</v>
      </c>
      <c r="BV20" s="633">
        <v>3922</v>
      </c>
      <c r="BW20" s="633">
        <v>4112</v>
      </c>
      <c r="BX20" s="633">
        <v>4933</v>
      </c>
      <c r="BY20" s="373">
        <f t="shared" si="56"/>
      </c>
      <c r="BZ20" s="633">
        <v>6006</v>
      </c>
      <c r="CA20" s="633">
        <v>6976</v>
      </c>
      <c r="CB20" s="633">
        <v>7797</v>
      </c>
      <c r="CC20" s="633">
        <v>7754</v>
      </c>
      <c r="CD20" s="373">
        <f t="shared" si="57"/>
      </c>
      <c r="CE20" s="633">
        <v>9211</v>
      </c>
      <c r="CF20" s="633">
        <v>10022</v>
      </c>
      <c r="CG20" s="633">
        <v>10748</v>
      </c>
      <c r="CH20" s="633">
        <v>10865</v>
      </c>
      <c r="CI20" s="373">
        <f t="shared" si="58"/>
      </c>
      <c r="CJ20" s="633">
        <v>8576</v>
      </c>
      <c r="CK20" s="633">
        <v>7550</v>
      </c>
      <c r="CL20" s="633">
        <v>9068</v>
      </c>
      <c r="CM20" s="633">
        <v>9776</v>
      </c>
      <c r="CN20" s="373">
        <f t="shared" si="59"/>
      </c>
      <c r="CO20" s="633">
        <v>10038</v>
      </c>
      <c r="CP20" s="633">
        <v>10707</v>
      </c>
      <c r="CQ20" s="633">
        <v>11193</v>
      </c>
      <c r="CR20" s="633">
        <v>10844</v>
      </c>
      <c r="CS20" s="373">
        <f t="shared" si="60"/>
      </c>
      <c r="CT20" s="633">
        <v>11995</v>
      </c>
      <c r="CU20" s="633">
        <v>14607</v>
      </c>
      <c r="CV20" s="633">
        <v>14792</v>
      </c>
      <c r="CW20" s="633">
        <v>14597</v>
      </c>
      <c r="CX20" s="373">
        <f t="shared" si="61"/>
      </c>
      <c r="CY20" s="633">
        <v>13943</v>
      </c>
      <c r="CZ20" s="633">
        <v>12665</v>
      </c>
      <c r="DA20" s="633">
        <v>12019</v>
      </c>
      <c r="DB20" s="633">
        <v>12053</v>
      </c>
      <c r="DC20" s="373">
        <f t="shared" si="62"/>
      </c>
      <c r="DD20" s="633">
        <v>11438</v>
      </c>
      <c r="DE20" s="633">
        <v>11514</v>
      </c>
      <c r="DF20" s="633">
        <v>11315</v>
      </c>
      <c r="DG20" s="633">
        <v>10431</v>
      </c>
      <c r="DH20" s="373">
        <f t="shared" si="63"/>
      </c>
      <c r="DI20" s="633">
        <v>10486</v>
      </c>
      <c r="DJ20" s="633">
        <v>8912</v>
      </c>
      <c r="DK20" s="633">
        <v>7381</v>
      </c>
      <c r="DL20" s="633">
        <v>6023</v>
      </c>
      <c r="DM20" s="373">
        <f t="shared" si="64"/>
      </c>
      <c r="DN20" s="633">
        <v>5343</v>
      </c>
      <c r="DO20" s="633">
        <v>3961</v>
      </c>
      <c r="DP20" s="633">
        <v>2818</v>
      </c>
      <c r="DQ20" s="633">
        <v>1862</v>
      </c>
      <c r="DR20" s="373">
        <f t="shared" si="65"/>
      </c>
      <c r="DS20" s="633">
        <v>2034</v>
      </c>
      <c r="DT20" s="633">
        <v>2274</v>
      </c>
      <c r="DU20" s="633">
        <v>2403</v>
      </c>
      <c r="DV20" s="633">
        <v>2649</v>
      </c>
      <c r="DW20" s="373">
        <f t="shared" si="66"/>
      </c>
      <c r="DX20" s="633">
        <v>2684</v>
      </c>
      <c r="DY20" s="633">
        <v>2755</v>
      </c>
      <c r="DZ20" s="633">
        <v>2660</v>
      </c>
      <c r="EA20" s="633">
        <v>2965</v>
      </c>
      <c r="EB20" s="373">
        <f t="shared" si="67"/>
      </c>
      <c r="EC20" s="633">
        <v>3103</v>
      </c>
      <c r="ED20" s="633">
        <v>3794</v>
      </c>
      <c r="EE20" s="633">
        <v>5395</v>
      </c>
      <c r="EF20" s="633">
        <v>5984</v>
      </c>
      <c r="EG20" s="373">
        <f t="shared" si="68"/>
      </c>
      <c r="EH20" s="633">
        <v>6393</v>
      </c>
      <c r="EI20" s="633">
        <v>6994</v>
      </c>
      <c r="EJ20" s="633">
        <v>6907</v>
      </c>
      <c r="EK20" s="633">
        <v>6891</v>
      </c>
      <c r="EL20" s="373">
        <f t="shared" si="69"/>
      </c>
      <c r="EM20" s="633">
        <v>6839</v>
      </c>
      <c r="EN20" s="633">
        <v>7097</v>
      </c>
      <c r="EO20" s="633">
        <v>9415</v>
      </c>
      <c r="EP20" s="633">
        <v>9879</v>
      </c>
      <c r="EQ20" s="373">
        <f t="shared" si="70"/>
      </c>
      <c r="ER20" s="633">
        <v>11423</v>
      </c>
      <c r="ES20" s="633">
        <v>13367</v>
      </c>
      <c r="ET20" s="954">
        <v>14807</v>
      </c>
      <c r="EU20" s="954">
        <v>14600</v>
      </c>
      <c r="EV20" s="662">
        <f t="shared" si="71"/>
      </c>
      <c r="EW20" s="954">
        <v>15778</v>
      </c>
      <c r="EX20" s="954">
        <v>15581</v>
      </c>
      <c r="EY20" s="954">
        <v>16035</v>
      </c>
      <c r="EZ20" s="954">
        <v>15405</v>
      </c>
      <c r="FA20" s="662">
        <f t="shared" si="72"/>
      </c>
      <c r="FB20" s="929">
        <f>EZ20</f>
      </c>
      <c r="FC20" s="929">
        <f t="shared" si="80"/>
      </c>
      <c r="FD20" s="929">
        <f t="shared" si="80"/>
      </c>
      <c r="FE20" s="929">
        <f t="shared" si="80"/>
      </c>
      <c r="FF20" s="662">
        <f t="shared" si="73"/>
      </c>
      <c r="FG20" s="929">
        <f>FE20</f>
      </c>
      <c r="FH20" s="929">
        <f t="shared" si="81"/>
      </c>
      <c r="FI20" s="929">
        <f t="shared" si="81"/>
      </c>
      <c r="FJ20" s="929">
        <f t="shared" si="81"/>
      </c>
      <c r="FK20" s="662">
        <f t="shared" si="74"/>
      </c>
      <c r="FL20" s="929">
        <f>FJ20</f>
      </c>
      <c r="FM20" s="929">
        <f t="shared" si="82"/>
      </c>
      <c r="FN20" s="929">
        <f t="shared" si="82"/>
      </c>
      <c r="FO20" s="929">
        <f t="shared" si="82"/>
      </c>
      <c r="FP20" s="662">
        <f t="shared" si="75"/>
      </c>
      <c r="FQ20" s="929">
        <f>FO20</f>
      </c>
      <c r="FR20" s="929">
        <f t="shared" si="83"/>
      </c>
      <c r="FS20" s="929">
        <f t="shared" si="83"/>
      </c>
      <c r="FT20" s="929">
        <f t="shared" si="83"/>
      </c>
      <c r="FU20" s="662">
        <f t="shared" si="76"/>
      </c>
      <c r="FV20" s="929">
        <f>FT20</f>
      </c>
      <c r="FW20" s="929">
        <f t="shared" si="84"/>
      </c>
      <c r="FX20" s="929">
        <f t="shared" si="84"/>
      </c>
      <c r="FY20" s="929">
        <f t="shared" si="84"/>
      </c>
      <c r="FZ20" s="662">
        <f t="shared" si="77"/>
      </c>
      <c r="GA20" s="929">
        <f>FY20</f>
      </c>
      <c r="GB20" s="929">
        <f t="shared" si="85"/>
      </c>
      <c r="GC20" s="929">
        <f t="shared" si="85"/>
      </c>
      <c r="GD20" s="929">
        <f t="shared" si="85"/>
      </c>
      <c r="GE20" s="662">
        <f t="shared" si="78"/>
      </c>
      <c r="GF20" s="929">
        <f>GD20</f>
      </c>
      <c r="GG20" s="929">
        <f t="shared" si="86"/>
      </c>
      <c r="GH20" s="929">
        <f t="shared" si="87"/>
      </c>
      <c r="GI20" s="929">
        <f t="shared" si="88"/>
      </c>
      <c r="GJ20" s="662">
        <f t="shared" si="79"/>
      </c>
    </row>
    <row r="21" spans="1:192" s="277" customFormat="1" ht="12.75" customHeight="1">
      <c r="A21" s="274"/>
      <c r="B21" s="704" t="s">
        <v>77</v>
      </c>
      <c r="C21" s="448">
        <v>0</v>
      </c>
      <c r="D21" s="448">
        <v>0</v>
      </c>
      <c r="E21" s="448">
        <v>0</v>
      </c>
      <c r="F21" s="448">
        <v>0</v>
      </c>
      <c r="G21" s="373">
        <f t="shared" si="42"/>
      </c>
      <c r="H21" s="448">
        <v>0</v>
      </c>
      <c r="I21" s="448">
        <v>0</v>
      </c>
      <c r="J21" s="448">
        <v>0</v>
      </c>
      <c r="K21" s="448">
        <v>0</v>
      </c>
      <c r="L21" s="373">
        <f t="shared" si="43"/>
      </c>
      <c r="M21" s="448">
        <v>0</v>
      </c>
      <c r="N21" s="448">
        <v>0</v>
      </c>
      <c r="O21" s="448">
        <v>0</v>
      </c>
      <c r="P21" s="448">
        <v>0</v>
      </c>
      <c r="Q21" s="373">
        <f t="shared" si="44"/>
      </c>
      <c r="R21" s="448">
        <v>0</v>
      </c>
      <c r="S21" s="448">
        <v>0</v>
      </c>
      <c r="T21" s="448">
        <v>0</v>
      </c>
      <c r="U21" s="448">
        <v>0</v>
      </c>
      <c r="V21" s="373">
        <f t="shared" si="45"/>
      </c>
      <c r="W21" s="448">
        <v>0</v>
      </c>
      <c r="X21" s="448">
        <v>0</v>
      </c>
      <c r="Y21" s="448">
        <v>0</v>
      </c>
      <c r="Z21" s="448">
        <v>0</v>
      </c>
      <c r="AA21" s="373">
        <f t="shared" si="46"/>
      </c>
      <c r="AB21" s="448">
        <v>0</v>
      </c>
      <c r="AC21" s="448">
        <v>0</v>
      </c>
      <c r="AD21" s="448">
        <v>0</v>
      </c>
      <c r="AE21" s="448">
        <v>0</v>
      </c>
      <c r="AF21" s="373">
        <f t="shared" si="47"/>
      </c>
      <c r="AG21" s="448">
        <v>0</v>
      </c>
      <c r="AH21" s="448">
        <v>0</v>
      </c>
      <c r="AI21" s="448">
        <v>0</v>
      </c>
      <c r="AJ21" s="448">
        <v>0</v>
      </c>
      <c r="AK21" s="373">
        <f t="shared" si="48"/>
      </c>
      <c r="AL21" s="633">
        <v>1511</v>
      </c>
      <c r="AM21" s="633">
        <v>1511</v>
      </c>
      <c r="AN21" s="633">
        <v>1433</v>
      </c>
      <c r="AO21" s="633">
        <v>1426</v>
      </c>
      <c r="AP21" s="373">
        <f t="shared" si="49"/>
      </c>
      <c r="AQ21" s="633">
        <v>2855</v>
      </c>
      <c r="AR21" s="633">
        <v>2757</v>
      </c>
      <c r="AS21" s="633">
        <v>2782</v>
      </c>
      <c r="AT21" s="633">
        <v>2946</v>
      </c>
      <c r="AU21" s="373">
        <f t="shared" si="50"/>
      </c>
      <c r="AV21" s="633">
        <v>3128</v>
      </c>
      <c r="AW21" s="633">
        <v>3110</v>
      </c>
      <c r="AX21" s="633">
        <v>3110</v>
      </c>
      <c r="AY21" s="633">
        <v>3115</v>
      </c>
      <c r="AZ21" s="373">
        <f t="shared" si="51"/>
      </c>
      <c r="BA21" s="633">
        <v>3115</v>
      </c>
      <c r="BB21" s="633">
        <v>3105</v>
      </c>
      <c r="BC21" s="633">
        <v>3111</v>
      </c>
      <c r="BD21" s="633">
        <v>3309</v>
      </c>
      <c r="BE21" s="373">
        <f t="shared" si="52"/>
      </c>
      <c r="BF21" s="633">
        <v>3504</v>
      </c>
      <c r="BG21" s="633">
        <v>3553</v>
      </c>
      <c r="BH21" s="633">
        <v>3609</v>
      </c>
      <c r="BI21" s="633">
        <v>3866</v>
      </c>
      <c r="BJ21" s="373">
        <f t="shared" si="53"/>
      </c>
      <c r="BK21" s="633">
        <v>4153</v>
      </c>
      <c r="BL21" s="633">
        <v>4189</v>
      </c>
      <c r="BM21" s="633">
        <v>4217</v>
      </c>
      <c r="BN21" s="633">
        <v>4760</v>
      </c>
      <c r="BO21" s="373">
        <f t="shared" si="54"/>
      </c>
      <c r="BP21" s="633">
        <v>10151</v>
      </c>
      <c r="BQ21" s="633">
        <v>10309</v>
      </c>
      <c r="BR21" s="633">
        <v>10346</v>
      </c>
      <c r="BS21" s="633">
        <v>12108</v>
      </c>
      <c r="BT21" s="373">
        <f t="shared" si="55"/>
      </c>
      <c r="BU21" s="633">
        <v>12291</v>
      </c>
      <c r="BV21" s="633">
        <v>12490</v>
      </c>
      <c r="BW21" s="633">
        <v>12554</v>
      </c>
      <c r="BX21" s="633">
        <v>12503</v>
      </c>
      <c r="BY21" s="373">
        <f t="shared" si="56"/>
      </c>
      <c r="BZ21" s="633">
        <v>12582</v>
      </c>
      <c r="CA21" s="633">
        <v>12368</v>
      </c>
      <c r="CB21" s="633">
        <v>12463</v>
      </c>
      <c r="CC21" s="633">
        <v>12394</v>
      </c>
      <c r="CD21" s="373">
        <f t="shared" si="57"/>
      </c>
      <c r="CE21" s="633">
        <v>12471</v>
      </c>
      <c r="CF21" s="633">
        <v>12502</v>
      </c>
      <c r="CG21" s="633">
        <v>12554</v>
      </c>
      <c r="CH21" s="633">
        <v>12581</v>
      </c>
      <c r="CI21" s="373">
        <f t="shared" si="58"/>
      </c>
      <c r="CJ21" s="633">
        <v>12537</v>
      </c>
      <c r="CK21" s="633">
        <v>19670</v>
      </c>
      <c r="CL21" s="633">
        <v>19698</v>
      </c>
      <c r="CM21" s="633">
        <v>13452</v>
      </c>
      <c r="CN21" s="373">
        <f t="shared" si="59"/>
      </c>
      <c r="CO21" s="633">
        <v>14466</v>
      </c>
      <c r="CP21" s="633">
        <v>14727</v>
      </c>
      <c r="CQ21" s="633">
        <v>14682</v>
      </c>
      <c r="CR21" s="633">
        <v>14655</v>
      </c>
      <c r="CS21" s="373">
        <f t="shared" si="60"/>
      </c>
      <c r="CT21" s="633">
        <v>14667</v>
      </c>
      <c r="CU21" s="633">
        <v>14680</v>
      </c>
      <c r="CV21" s="633">
        <v>14751</v>
      </c>
      <c r="CW21" s="633">
        <v>20127</v>
      </c>
      <c r="CX21" s="373">
        <f t="shared" si="61"/>
      </c>
      <c r="CY21" s="633">
        <v>20081</v>
      </c>
      <c r="CZ21" s="633">
        <v>21855</v>
      </c>
      <c r="DA21" s="633">
        <v>21728</v>
      </c>
      <c r="DB21" s="633">
        <v>16939</v>
      </c>
      <c r="DC21" s="373">
        <f t="shared" si="62"/>
      </c>
      <c r="DD21" s="633">
        <v>17142</v>
      </c>
      <c r="DE21" s="633">
        <v>17436</v>
      </c>
      <c r="DF21" s="633">
        <v>17948</v>
      </c>
      <c r="DG21" s="633">
        <v>17872</v>
      </c>
      <c r="DH21" s="373">
        <f t="shared" si="63"/>
      </c>
      <c r="DI21" s="633">
        <v>17907</v>
      </c>
      <c r="DJ21" s="633">
        <v>34524</v>
      </c>
      <c r="DK21" s="633">
        <v>34668</v>
      </c>
      <c r="DL21" s="633">
        <v>35122</v>
      </c>
      <c r="DM21" s="373">
        <f t="shared" si="64"/>
      </c>
      <c r="DN21" s="633">
        <v>35389</v>
      </c>
      <c r="DO21" s="633">
        <v>35355</v>
      </c>
      <c r="DP21" s="633">
        <v>35582</v>
      </c>
      <c r="DQ21" s="633">
        <v>35683</v>
      </c>
      <c r="DR21" s="373">
        <f t="shared" si="65"/>
      </c>
      <c r="DS21" s="633">
        <v>35855</v>
      </c>
      <c r="DT21" s="633">
        <v>41577</v>
      </c>
      <c r="DU21" s="633">
        <v>41861</v>
      </c>
      <c r="DV21" s="633">
        <v>42026</v>
      </c>
      <c r="DW21" s="373">
        <f t="shared" si="66"/>
      </c>
      <c r="DX21" s="633">
        <v>42113</v>
      </c>
      <c r="DY21" s="633">
        <v>42248</v>
      </c>
      <c r="DZ21" s="633">
        <v>42064</v>
      </c>
      <c r="EA21" s="633">
        <v>43351</v>
      </c>
      <c r="EB21" s="373">
        <f t="shared" si="67"/>
      </c>
      <c r="EC21" s="633">
        <v>43890</v>
      </c>
      <c r="ED21" s="633">
        <v>44219</v>
      </c>
      <c r="EE21" s="633">
        <v>49698</v>
      </c>
      <c r="EF21" s="633">
        <v>49711</v>
      </c>
      <c r="EG21" s="373">
        <f t="shared" si="68"/>
      </c>
      <c r="EH21" s="633">
        <v>50455</v>
      </c>
      <c r="EI21" s="633">
        <v>50921</v>
      </c>
      <c r="EJ21" s="633">
        <v>67371</v>
      </c>
      <c r="EK21" s="633">
        <v>67524</v>
      </c>
      <c r="EL21" s="373">
        <f t="shared" si="69"/>
      </c>
      <c r="EM21" s="633">
        <v>67459</v>
      </c>
      <c r="EN21" s="633">
        <v>67905</v>
      </c>
      <c r="EO21" s="633">
        <v>67940</v>
      </c>
      <c r="EP21" s="633">
        <v>67886</v>
      </c>
      <c r="EQ21" s="373">
        <f t="shared" si="70"/>
      </c>
      <c r="ER21" s="633">
        <v>67790</v>
      </c>
      <c r="ES21" s="633">
        <v>118931</v>
      </c>
      <c r="ET21" s="954">
        <v>119163</v>
      </c>
      <c r="EU21" s="954">
        <v>119220</v>
      </c>
      <c r="EV21" s="662">
        <f t="shared" si="71"/>
      </c>
      <c r="EW21" s="954">
        <v>119374</v>
      </c>
      <c r="EX21" s="954">
        <v>119191</v>
      </c>
      <c r="EY21" s="954">
        <v>119329</v>
      </c>
      <c r="EZ21" s="954">
        <v>119509</v>
      </c>
      <c r="FA21" s="662">
        <f t="shared" si="72"/>
      </c>
      <c r="FB21" s="929">
        <f>EZ21</f>
      </c>
      <c r="FC21" s="929">
        <f t="shared" si="80"/>
      </c>
      <c r="FD21" s="929">
        <f t="shared" si="80"/>
      </c>
      <c r="FE21" s="929">
        <f t="shared" si="80"/>
      </c>
      <c r="FF21" s="662">
        <f t="shared" si="73"/>
      </c>
      <c r="FG21" s="929">
        <f>FE21</f>
      </c>
      <c r="FH21" s="929">
        <f t="shared" si="81"/>
      </c>
      <c r="FI21" s="929">
        <f t="shared" si="81"/>
      </c>
      <c r="FJ21" s="929">
        <f t="shared" si="81"/>
      </c>
      <c r="FK21" s="662">
        <f t="shared" si="74"/>
      </c>
      <c r="FL21" s="929">
        <f>FJ21</f>
      </c>
      <c r="FM21" s="929">
        <f t="shared" si="82"/>
      </c>
      <c r="FN21" s="929">
        <f t="shared" si="82"/>
      </c>
      <c r="FO21" s="929">
        <f t="shared" si="82"/>
      </c>
      <c r="FP21" s="662">
        <f t="shared" si="75"/>
      </c>
      <c r="FQ21" s="929">
        <f>FO21</f>
      </c>
      <c r="FR21" s="929">
        <f t="shared" si="83"/>
      </c>
      <c r="FS21" s="929">
        <f t="shared" si="83"/>
      </c>
      <c r="FT21" s="929">
        <f t="shared" si="83"/>
      </c>
      <c r="FU21" s="662">
        <f t="shared" si="76"/>
      </c>
      <c r="FV21" s="929">
        <f>FT21</f>
      </c>
      <c r="FW21" s="929">
        <f t="shared" si="84"/>
      </c>
      <c r="FX21" s="929">
        <f t="shared" si="84"/>
      </c>
      <c r="FY21" s="929">
        <f t="shared" si="84"/>
      </c>
      <c r="FZ21" s="662">
        <f t="shared" si="77"/>
      </c>
      <c r="GA21" s="929">
        <f>FY21</f>
      </c>
      <c r="GB21" s="929">
        <f t="shared" si="85"/>
      </c>
      <c r="GC21" s="929">
        <f t="shared" si="85"/>
      </c>
      <c r="GD21" s="929">
        <f t="shared" si="85"/>
      </c>
      <c r="GE21" s="662">
        <f t="shared" si="78"/>
      </c>
      <c r="GF21" s="929">
        <f>GD21</f>
      </c>
      <c r="GG21" s="929">
        <f t="shared" si="86"/>
      </c>
      <c r="GH21" s="929">
        <f t="shared" si="87"/>
      </c>
      <c r="GI21" s="929">
        <f t="shared" si="88"/>
      </c>
      <c r="GJ21" s="662">
        <f t="shared" si="79"/>
      </c>
    </row>
    <row r="22" spans="1:192" s="277" customFormat="1" ht="12.75" customHeight="1">
      <c r="A22" s="274"/>
      <c r="B22" s="704" t="s">
        <v>78</v>
      </c>
      <c r="C22" s="448">
        <v>0</v>
      </c>
      <c r="D22" s="448">
        <v>0</v>
      </c>
      <c r="E22" s="448">
        <v>0</v>
      </c>
      <c r="F22" s="448">
        <v>0</v>
      </c>
      <c r="G22" s="373">
        <f t="shared" si="42"/>
      </c>
      <c r="H22" s="448">
        <v>0</v>
      </c>
      <c r="I22" s="448">
        <v>0</v>
      </c>
      <c r="J22" s="448">
        <v>0</v>
      </c>
      <c r="K22" s="448">
        <v>0</v>
      </c>
      <c r="L22" s="373">
        <f t="shared" si="43"/>
      </c>
      <c r="M22" s="448">
        <v>0</v>
      </c>
      <c r="N22" s="448">
        <v>0</v>
      </c>
      <c r="O22" s="448">
        <v>0</v>
      </c>
      <c r="P22" s="448">
        <v>0</v>
      </c>
      <c r="Q22" s="373">
        <f t="shared" si="44"/>
      </c>
      <c r="R22" s="448">
        <v>0</v>
      </c>
      <c r="S22" s="448">
        <v>0</v>
      </c>
      <c r="T22" s="448">
        <v>0</v>
      </c>
      <c r="U22" s="448">
        <v>0</v>
      </c>
      <c r="V22" s="373">
        <f t="shared" si="45"/>
      </c>
      <c r="W22" s="448">
        <v>0</v>
      </c>
      <c r="X22" s="448">
        <v>0</v>
      </c>
      <c r="Y22" s="448">
        <v>0</v>
      </c>
      <c r="Z22" s="448">
        <v>0</v>
      </c>
      <c r="AA22" s="373">
        <f t="shared" si="46"/>
      </c>
      <c r="AB22" s="448">
        <v>0</v>
      </c>
      <c r="AC22" s="448">
        <v>0</v>
      </c>
      <c r="AD22" s="448">
        <v>0</v>
      </c>
      <c r="AE22" s="448">
        <v>0</v>
      </c>
      <c r="AF22" s="373">
        <f t="shared" si="47"/>
      </c>
      <c r="AG22" s="448">
        <v>0</v>
      </c>
      <c r="AH22" s="448">
        <v>0</v>
      </c>
      <c r="AI22" s="448">
        <v>0</v>
      </c>
      <c r="AJ22" s="448">
        <v>0</v>
      </c>
      <c r="AK22" s="373">
        <f t="shared" si="48"/>
      </c>
      <c r="AL22" s="633">
        <v>394</v>
      </c>
      <c r="AM22" s="633">
        <v>344</v>
      </c>
      <c r="AN22" s="633">
        <v>277</v>
      </c>
      <c r="AO22" s="633">
        <v>243</v>
      </c>
      <c r="AP22" s="373">
        <f t="shared" si="49"/>
      </c>
      <c r="AQ22" s="633">
        <v>642</v>
      </c>
      <c r="AR22" s="633">
        <v>607</v>
      </c>
      <c r="AS22" s="633">
        <v>575</v>
      </c>
      <c r="AT22" s="633">
        <v>566</v>
      </c>
      <c r="AU22" s="373">
        <f t="shared" si="50"/>
      </c>
      <c r="AV22" s="633">
        <v>378</v>
      </c>
      <c r="AW22" s="633">
        <v>345</v>
      </c>
      <c r="AX22" s="633">
        <v>599</v>
      </c>
      <c r="AY22" s="633">
        <v>569</v>
      </c>
      <c r="AZ22" s="373">
        <f t="shared" si="51"/>
      </c>
      <c r="BA22" s="633">
        <v>534</v>
      </c>
      <c r="BB22" s="633">
        <v>494</v>
      </c>
      <c r="BC22" s="633">
        <v>468</v>
      </c>
      <c r="BD22" s="633">
        <v>499</v>
      </c>
      <c r="BE22" s="373">
        <f t="shared" si="52"/>
      </c>
      <c r="BF22" s="633">
        <v>502</v>
      </c>
      <c r="BG22" s="633">
        <v>466</v>
      </c>
      <c r="BH22" s="633">
        <v>461</v>
      </c>
      <c r="BI22" s="633">
        <v>539</v>
      </c>
      <c r="BJ22" s="373">
        <f t="shared" si="53"/>
      </c>
      <c r="BK22" s="633">
        <v>720</v>
      </c>
      <c r="BL22" s="633">
        <v>745</v>
      </c>
      <c r="BM22" s="633">
        <v>699</v>
      </c>
      <c r="BN22" s="633">
        <v>878</v>
      </c>
      <c r="BO22" s="373">
        <f t="shared" si="54"/>
      </c>
      <c r="BP22" s="633">
        <v>1718</v>
      </c>
      <c r="BQ22" s="633">
        <v>1717</v>
      </c>
      <c r="BR22" s="633">
        <v>1639</v>
      </c>
      <c r="BS22" s="633">
        <v>1973</v>
      </c>
      <c r="BT22" s="373">
        <f t="shared" si="55"/>
      </c>
      <c r="BU22" s="633">
        <v>1899</v>
      </c>
      <c r="BV22" s="633">
        <v>1815</v>
      </c>
      <c r="BW22" s="633">
        <v>1756</v>
      </c>
      <c r="BX22" s="633">
        <v>1759</v>
      </c>
      <c r="BY22" s="373">
        <f t="shared" si="56"/>
      </c>
      <c r="BZ22" s="633">
        <v>1653</v>
      </c>
      <c r="CA22" s="633">
        <v>1346</v>
      </c>
      <c r="CB22" s="633">
        <v>1282</v>
      </c>
      <c r="CC22" s="633">
        <v>1158</v>
      </c>
      <c r="CD22" s="373">
        <f t="shared" si="57"/>
      </c>
      <c r="CE22" s="633">
        <v>1077</v>
      </c>
      <c r="CF22" s="633">
        <v>992</v>
      </c>
      <c r="CG22" s="633">
        <v>840</v>
      </c>
      <c r="CH22" s="633">
        <v>744</v>
      </c>
      <c r="CI22" s="373">
        <f t="shared" si="58"/>
      </c>
      <c r="CJ22" s="633">
        <v>1026</v>
      </c>
      <c r="CK22" s="633">
        <v>2581</v>
      </c>
      <c r="CL22" s="633">
        <v>2756</v>
      </c>
      <c r="CM22" s="633">
        <v>3170</v>
      </c>
      <c r="CN22" s="373">
        <f t="shared" si="59"/>
      </c>
      <c r="CO22" s="633">
        <v>3423</v>
      </c>
      <c r="CP22" s="633">
        <v>3341</v>
      </c>
      <c r="CQ22" s="633">
        <v>3240</v>
      </c>
      <c r="CR22" s="633">
        <v>3083</v>
      </c>
      <c r="CS22" s="373">
        <f t="shared" si="60"/>
      </c>
      <c r="CT22" s="633">
        <v>2982</v>
      </c>
      <c r="CU22" s="633">
        <v>2945</v>
      </c>
      <c r="CV22" s="633">
        <v>2901</v>
      </c>
      <c r="CW22" s="633">
        <v>6981</v>
      </c>
      <c r="CX22" s="373">
        <f t="shared" si="61"/>
      </c>
      <c r="CY22" s="633">
        <v>6693</v>
      </c>
      <c r="CZ22" s="633">
        <v>7299</v>
      </c>
      <c r="DA22" s="633">
        <v>6963</v>
      </c>
      <c r="DB22" s="633">
        <v>4835</v>
      </c>
      <c r="DC22" s="373">
        <f t="shared" si="62"/>
      </c>
      <c r="DD22" s="633">
        <v>4745</v>
      </c>
      <c r="DE22" s="633">
        <v>4619</v>
      </c>
      <c r="DF22" s="633">
        <v>4459</v>
      </c>
      <c r="DG22" s="633">
        <v>3733</v>
      </c>
      <c r="DH22" s="373">
        <f t="shared" si="63"/>
      </c>
      <c r="DI22" s="633">
        <v>3522</v>
      </c>
      <c r="DJ22" s="633">
        <v>11001</v>
      </c>
      <c r="DK22" s="633">
        <v>10547</v>
      </c>
      <c r="DL22" s="633">
        <v>10106</v>
      </c>
      <c r="DM22" s="373">
        <f t="shared" si="64"/>
      </c>
      <c r="DN22" s="633">
        <v>9598</v>
      </c>
      <c r="DO22" s="633">
        <v>9034</v>
      </c>
      <c r="DP22" s="633">
        <v>8544</v>
      </c>
      <c r="DQ22" s="633">
        <v>8053</v>
      </c>
      <c r="DR22" s="373">
        <f t="shared" si="65"/>
      </c>
      <c r="DS22" s="633">
        <v>7579</v>
      </c>
      <c r="DT22" s="633">
        <v>8482</v>
      </c>
      <c r="DU22" s="633">
        <v>8103</v>
      </c>
      <c r="DV22" s="633">
        <v>7750</v>
      </c>
      <c r="DW22" s="373">
        <f t="shared" si="66"/>
      </c>
      <c r="DX22" s="633">
        <v>7508</v>
      </c>
      <c r="DY22" s="633">
        <v>7126</v>
      </c>
      <c r="DZ22" s="633">
        <v>6855</v>
      </c>
      <c r="EA22" s="633">
        <v>7038</v>
      </c>
      <c r="EB22" s="373">
        <f t="shared" si="67"/>
      </c>
      <c r="EC22" s="633">
        <v>6923</v>
      </c>
      <c r="ED22" s="633">
        <v>6555</v>
      </c>
      <c r="EE22" s="633">
        <v>8127</v>
      </c>
      <c r="EF22" s="633">
        <v>7800</v>
      </c>
      <c r="EG22" s="373">
        <f t="shared" si="68"/>
      </c>
      <c r="EH22" s="633">
        <v>7794</v>
      </c>
      <c r="EI22" s="633">
        <v>7462</v>
      </c>
      <c r="EJ22" s="633">
        <v>11348</v>
      </c>
      <c r="EK22" s="633">
        <v>11298</v>
      </c>
      <c r="EL22" s="373">
        <f t="shared" si="69"/>
      </c>
      <c r="EM22" s="633">
        <v>10808</v>
      </c>
      <c r="EN22" s="633">
        <v>10354</v>
      </c>
      <c r="EO22" s="633">
        <v>9879</v>
      </c>
      <c r="EP22" s="633">
        <v>9366</v>
      </c>
      <c r="EQ22" s="373">
        <f t="shared" si="70"/>
      </c>
      <c r="ER22" s="633">
        <v>8895</v>
      </c>
      <c r="ES22" s="633">
        <v>29896</v>
      </c>
      <c r="ET22" s="954">
        <v>28828</v>
      </c>
      <c r="EU22" s="954">
        <v>27597</v>
      </c>
      <c r="EV22" s="373">
        <f t="shared" si="71"/>
      </c>
      <c r="EW22" s="954">
        <v>26751</v>
      </c>
      <c r="EX22" s="954">
        <v>25385</v>
      </c>
      <c r="EY22" s="954">
        <v>23968</v>
      </c>
      <c r="EZ22" s="954">
        <v>22604</v>
      </c>
      <c r="FA22" s="373">
        <f t="shared" si="72"/>
      </c>
      <c r="FB22" s="930">
        <f>FA22-FB136</f>
      </c>
      <c r="FC22" s="930">
        <f>FB22-FC136</f>
      </c>
      <c r="FD22" s="930">
        <f>FC22-FD136</f>
      </c>
      <c r="FE22" s="930">
        <f>FD22-FE136</f>
      </c>
      <c r="FF22" s="373">
        <f t="shared" si="73"/>
      </c>
      <c r="FG22" s="930">
        <f>FF22-FG136</f>
      </c>
      <c r="FH22" s="930">
        <f>FG22-FH136</f>
      </c>
      <c r="FI22" s="930">
        <f>FH22-FI136</f>
      </c>
      <c r="FJ22" s="930">
        <f>FI22-FJ136</f>
      </c>
      <c r="FK22" s="373">
        <f t="shared" si="74"/>
      </c>
      <c r="FL22" s="930">
        <f>FK22-FL136</f>
      </c>
      <c r="FM22" s="930">
        <f>FL22-FM136</f>
      </c>
      <c r="FN22" s="930">
        <f>FM22-FN136</f>
      </c>
      <c r="FO22" s="930">
        <f>FN22-FO136</f>
      </c>
      <c r="FP22" s="373">
        <f t="shared" si="75"/>
      </c>
      <c r="FQ22" s="930">
        <f>FP22-FQ136</f>
      </c>
      <c r="FR22" s="930">
        <f>FQ22-FR136</f>
      </c>
      <c r="FS22" s="930">
        <f>FR22-FS136</f>
      </c>
      <c r="FT22" s="930">
        <f>FS22-FT136</f>
      </c>
      <c r="FU22" s="373">
        <f t="shared" si="76"/>
      </c>
      <c r="FV22" s="930">
        <f>FU22-FV136</f>
      </c>
      <c r="FW22" s="930">
        <f>FV22-FW136</f>
      </c>
      <c r="FX22" s="930">
        <f>FW22-FX136</f>
      </c>
      <c r="FY22" s="930">
        <f>FX22-FY136</f>
      </c>
      <c r="FZ22" s="373">
        <f t="shared" si="77"/>
      </c>
      <c r="GA22" s="930">
        <f>FZ22-GA136</f>
      </c>
      <c r="GB22" s="930">
        <f>GA22-GB136</f>
      </c>
      <c r="GC22" s="930">
        <f>GB22-GC136</f>
      </c>
      <c r="GD22" s="930">
        <f>GC22-GD136</f>
      </c>
      <c r="GE22" s="373">
        <f t="shared" si="78"/>
      </c>
      <c r="GF22" s="930">
        <f>GE22-GF136</f>
      </c>
      <c r="GG22" s="930">
        <f>GF22-GG136</f>
      </c>
      <c r="GH22" s="930">
        <f>GG22-GH136</f>
      </c>
      <c r="GI22" s="930">
        <f>GH22-GI136</f>
      </c>
      <c r="GJ22" s="373">
        <f t="shared" si="79"/>
      </c>
    </row>
    <row r="23" spans="1:192" s="277" customFormat="1" ht="12.75" hidden="1" customHeight="1" outlineLevel="1">
      <c r="A23" s="274"/>
      <c r="B23" s="704" t="s">
        <v>101</v>
      </c>
      <c r="C23" s="448">
        <v>0</v>
      </c>
      <c r="D23" s="448">
        <v>0</v>
      </c>
      <c r="E23" s="448">
        <v>0</v>
      </c>
      <c r="F23" s="448">
        <v>0</v>
      </c>
      <c r="G23" s="373">
        <f t="shared" si="42"/>
      </c>
      <c r="H23" s="448">
        <v>0</v>
      </c>
      <c r="I23" s="448">
        <v>0</v>
      </c>
      <c r="J23" s="448">
        <v>0</v>
      </c>
      <c r="K23" s="448">
        <v>0</v>
      </c>
      <c r="L23" s="373">
        <f t="shared" si="43"/>
      </c>
      <c r="M23" s="448">
        <v>0</v>
      </c>
      <c r="N23" s="448">
        <v>0</v>
      </c>
      <c r="O23" s="448">
        <v>0</v>
      </c>
      <c r="P23" s="448">
        <v>0</v>
      </c>
      <c r="Q23" s="373">
        <f t="shared" si="44"/>
      </c>
      <c r="R23" s="448">
        <v>0</v>
      </c>
      <c r="S23" s="448">
        <v>0</v>
      </c>
      <c r="T23" s="448">
        <v>0</v>
      </c>
      <c r="U23" s="448">
        <v>0</v>
      </c>
      <c r="V23" s="373">
        <f t="shared" si="45"/>
      </c>
      <c r="W23" s="448">
        <v>0</v>
      </c>
      <c r="X23" s="448">
        <v>0</v>
      </c>
      <c r="Y23" s="448">
        <v>0</v>
      </c>
      <c r="Z23" s="448">
        <v>0</v>
      </c>
      <c r="AA23" s="373">
        <f t="shared" si="46"/>
      </c>
      <c r="AB23" s="448">
        <v>0</v>
      </c>
      <c r="AC23" s="448">
        <v>0</v>
      </c>
      <c r="AD23" s="448">
        <v>0</v>
      </c>
      <c r="AE23" s="448">
        <v>0</v>
      </c>
      <c r="AF23" s="373">
        <f t="shared" si="47"/>
      </c>
      <c r="AG23" s="448">
        <v>0</v>
      </c>
      <c r="AH23" s="448">
        <v>0</v>
      </c>
      <c r="AI23" s="448">
        <v>0</v>
      </c>
      <c r="AJ23" s="448">
        <v>0</v>
      </c>
      <c r="AK23" s="373">
        <f t="shared" si="48"/>
      </c>
      <c r="AL23" s="448">
        <v>0</v>
      </c>
      <c r="AM23" s="448">
        <v>141</v>
      </c>
      <c r="AN23" s="448">
        <v>0</v>
      </c>
      <c r="AO23" s="448">
        <v>0</v>
      </c>
      <c r="AP23" s="373">
        <f t="shared" si="49"/>
      </c>
      <c r="AQ23" s="448">
        <v>0</v>
      </c>
      <c r="AR23" s="448">
        <v>265</v>
      </c>
      <c r="AS23" s="448">
        <v>0</v>
      </c>
      <c r="AT23" s="448">
        <v>0</v>
      </c>
      <c r="AU23" s="373">
        <f t="shared" si="50"/>
      </c>
      <c r="AV23" s="633">
        <v>2507</v>
      </c>
      <c r="AW23" s="633">
        <v>1259</v>
      </c>
      <c r="AX23" s="633">
        <v>1583</v>
      </c>
      <c r="AY23" s="633">
        <v>3808</v>
      </c>
      <c r="AZ23" s="373">
        <f t="shared" si="51"/>
      </c>
      <c r="BA23" s="633">
        <v>1545</v>
      </c>
      <c r="BB23" s="633">
        <v>1127</v>
      </c>
      <c r="BC23" s="633">
        <v>714</v>
      </c>
      <c r="BD23" s="633">
        <v>3621</v>
      </c>
      <c r="BE23" s="373">
        <f t="shared" si="52"/>
      </c>
      <c r="BF23" s="633">
        <v>3920</v>
      </c>
      <c r="BG23" s="633">
        <v>3713</v>
      </c>
      <c r="BH23" s="633">
        <v>3436</v>
      </c>
      <c r="BI23" s="633">
        <v>2611</v>
      </c>
      <c r="BJ23" s="373">
        <f t="shared" si="53"/>
      </c>
      <c r="BK23" s="633">
        <v>1881</v>
      </c>
      <c r="BL23" s="633">
        <v>1656</v>
      </c>
      <c r="BM23" s="633">
        <v>1417</v>
      </c>
      <c r="BN23" s="633">
        <v>1389</v>
      </c>
      <c r="BO23" s="373">
        <f t="shared" si="54"/>
      </c>
      <c r="BP23" s="633">
        <v>1587</v>
      </c>
      <c r="BQ23" s="633">
        <v>1200</v>
      </c>
      <c r="BR23" s="633">
        <v>1367</v>
      </c>
      <c r="BS23" s="633">
        <v>949</v>
      </c>
      <c r="BT23" s="373">
        <f t="shared" si="55"/>
      </c>
      <c r="BU23" s="633">
        <v>1041</v>
      </c>
      <c r="BV23" s="633">
        <v>1109</v>
      </c>
      <c r="BW23" s="633">
        <v>956</v>
      </c>
      <c r="BX23" s="633">
        <v>279</v>
      </c>
      <c r="BY23" s="373">
        <f t="shared" si="56"/>
      </c>
      <c r="BZ23" s="633">
        <v>0</v>
      </c>
      <c r="CA23" s="633">
        <v>0</v>
      </c>
      <c r="CB23" s="633">
        <v>0</v>
      </c>
      <c r="CC23" s="633">
        <v>0</v>
      </c>
      <c r="CD23" s="373">
        <f t="shared" si="57"/>
      </c>
      <c r="CE23" s="633">
        <v>0</v>
      </c>
      <c r="CF23" s="633">
        <v>0</v>
      </c>
      <c r="CG23" s="633">
        <v>0</v>
      </c>
      <c r="CH23" s="633">
        <v>0</v>
      </c>
      <c r="CI23" s="373">
        <f t="shared" si="58"/>
      </c>
      <c r="CJ23" s="633">
        <v>0</v>
      </c>
      <c r="CK23" s="633">
        <v>0</v>
      </c>
      <c r="CL23" s="633">
        <v>0</v>
      </c>
      <c r="CM23" s="633">
        <v>0</v>
      </c>
      <c r="CN23" s="373">
        <f t="shared" si="59"/>
      </c>
      <c r="CO23" s="633">
        <v>0</v>
      </c>
      <c r="CP23" s="633">
        <v>0</v>
      </c>
      <c r="CQ23" s="633">
        <v>0</v>
      </c>
      <c r="CR23" s="633">
        <v>0</v>
      </c>
      <c r="CS23" s="373">
        <f t="shared" si="60"/>
      </c>
      <c r="CT23" s="633">
        <v>0</v>
      </c>
      <c r="CU23" s="633">
        <v>0</v>
      </c>
      <c r="CV23" s="633">
        <v>0</v>
      </c>
      <c r="CW23" s="633">
        <v>0</v>
      </c>
      <c r="CX23" s="373">
        <f t="shared" si="61"/>
      </c>
      <c r="CY23" s="633">
        <v>0</v>
      </c>
      <c r="CZ23" s="633">
        <v>0</v>
      </c>
      <c r="DA23" s="633">
        <v>0</v>
      </c>
      <c r="DB23" s="633">
        <v>0</v>
      </c>
      <c r="DC23" s="373">
        <f t="shared" si="62"/>
      </c>
      <c r="DD23" s="633">
        <v>0</v>
      </c>
      <c r="DE23" s="633">
        <v>0</v>
      </c>
      <c r="DF23" s="633">
        <v>0</v>
      </c>
      <c r="DG23" s="633">
        <v>0</v>
      </c>
      <c r="DH23" s="373">
        <f t="shared" si="63"/>
      </c>
      <c r="DI23" s="633">
        <v>0</v>
      </c>
      <c r="DJ23" s="633">
        <v>0</v>
      </c>
      <c r="DK23" s="633">
        <v>0</v>
      </c>
      <c r="DL23" s="633">
        <v>0</v>
      </c>
      <c r="DM23" s="373">
        <f t="shared" si="64"/>
      </c>
      <c r="DN23" s="633">
        <v>0</v>
      </c>
      <c r="DO23" s="633">
        <v>0</v>
      </c>
      <c r="DP23" s="633">
        <v>0</v>
      </c>
      <c r="DQ23" s="633">
        <v>0</v>
      </c>
      <c r="DR23" s="373">
        <f t="shared" si="65"/>
      </c>
      <c r="DS23" s="633">
        <v>0</v>
      </c>
      <c r="DT23" s="633">
        <v>0</v>
      </c>
      <c r="DU23" s="633">
        <v>0</v>
      </c>
      <c r="DV23" s="633">
        <v>0</v>
      </c>
      <c r="DW23" s="373">
        <f t="shared" si="66"/>
      </c>
      <c r="DX23" s="633">
        <v>0</v>
      </c>
      <c r="DY23" s="633">
        <v>0</v>
      </c>
      <c r="DZ23" s="633">
        <v>0</v>
      </c>
      <c r="EA23" s="633">
        <v>0</v>
      </c>
      <c r="EB23" s="373">
        <f t="shared" si="67"/>
      </c>
      <c r="EC23" s="633">
        <v>0</v>
      </c>
      <c r="ED23" s="633">
        <v>0</v>
      </c>
      <c r="EE23" s="633">
        <v>0</v>
      </c>
      <c r="EF23" s="633">
        <v>0</v>
      </c>
      <c r="EG23" s="373">
        <f t="shared" si="68"/>
      </c>
      <c r="EH23" s="633">
        <v>0</v>
      </c>
      <c r="EI23" s="633">
        <v>0</v>
      </c>
      <c r="EJ23" s="633">
        <v>0</v>
      </c>
      <c r="EK23" s="633">
        <v>0</v>
      </c>
      <c r="EL23" s="373">
        <f t="shared" si="69"/>
      </c>
      <c r="EM23" s="633">
        <v>0</v>
      </c>
      <c r="EN23" s="633">
        <v>0</v>
      </c>
      <c r="EO23" s="633">
        <v>0</v>
      </c>
      <c r="EP23" s="633">
        <v>0</v>
      </c>
      <c r="EQ23" s="373">
        <f t="shared" si="70"/>
      </c>
      <c r="ER23" s="633">
        <v>0</v>
      </c>
      <c r="ES23" s="633">
        <v>0</v>
      </c>
      <c r="ET23" s="954">
        <v>0</v>
      </c>
      <c r="EU23" s="954">
        <v>0</v>
      </c>
      <c r="EV23" s="662">
        <f t="shared" si="71"/>
      </c>
      <c r="EW23" s="954">
        <v>0</v>
      </c>
      <c r="EX23" s="954">
        <v>0</v>
      </c>
      <c r="EY23" s="954">
        <v>0</v>
      </c>
      <c r="EZ23" s="954">
        <v>0</v>
      </c>
      <c r="FA23" s="662">
        <f t="shared" si="72"/>
      </c>
      <c r="FB23" s="929">
        <f>EZ23</f>
      </c>
      <c r="FC23" s="929">
        <f>FB23</f>
      </c>
      <c r="FD23" s="929">
        <f>FC23</f>
      </c>
      <c r="FE23" s="929">
        <f>FD23</f>
      </c>
      <c r="FF23" s="662">
        <f t="shared" si="73"/>
      </c>
      <c r="FG23" s="929">
        <f>FE23</f>
      </c>
      <c r="FH23" s="929">
        <f>FG23</f>
      </c>
      <c r="FI23" s="929">
        <f>FH23</f>
      </c>
      <c r="FJ23" s="929">
        <f>FI23</f>
      </c>
      <c r="FK23" s="662">
        <f t="shared" si="74"/>
      </c>
      <c r="FL23" s="929">
        <f>FJ23</f>
      </c>
      <c r="FM23" s="929">
        <f>FL23</f>
      </c>
      <c r="FN23" s="929">
        <f>FM23</f>
      </c>
      <c r="FO23" s="929">
        <f>FN23</f>
      </c>
      <c r="FP23" s="662">
        <f t="shared" si="75"/>
      </c>
      <c r="FQ23" s="929">
        <f>FO23</f>
      </c>
      <c r="FR23" s="929">
        <f>FQ23</f>
      </c>
      <c r="FS23" s="929">
        <f>FR23</f>
      </c>
      <c r="FT23" s="929">
        <f>FS23</f>
      </c>
      <c r="FU23" s="662">
        <f t="shared" si="76"/>
      </c>
      <c r="FV23" s="929">
        <f>FT23</f>
      </c>
      <c r="FW23" s="929">
        <f>FV23</f>
      </c>
      <c r="FX23" s="929">
        <f>FW23</f>
      </c>
      <c r="FY23" s="929">
        <f>FX23</f>
      </c>
      <c r="FZ23" s="662">
        <f t="shared" si="77"/>
      </c>
      <c r="GA23" s="929">
        <f>FY23</f>
      </c>
      <c r="GB23" s="929">
        <f>GA23</f>
      </c>
      <c r="GC23" s="929">
        <f>GB23</f>
      </c>
      <c r="GD23" s="929">
        <f>GC23</f>
      </c>
      <c r="GE23" s="662">
        <f t="shared" si="78"/>
      </c>
      <c r="GF23" s="929">
        <f>GD23</f>
      </c>
      <c r="GG23" s="929">
        <f>GF23</f>
      </c>
      <c r="GH23" s="929">
        <f>GG23</f>
      </c>
      <c r="GI23" s="929">
        <f>GH23</f>
      </c>
      <c r="GJ23" s="662">
        <f t="shared" si="79"/>
      </c>
    </row>
    <row r="24" spans="1:192" s="277" customFormat="1" ht="12.75" customHeight="1" collapsed="1">
      <c r="A24" s="279"/>
      <c r="B24" s="704" t="s">
        <v>92</v>
      </c>
      <c r="C24" s="633">
        <v>147</v>
      </c>
      <c r="D24" s="633">
        <v>288</v>
      </c>
      <c r="E24" s="633">
        <v>278</v>
      </c>
      <c r="F24" s="633">
        <v>398</v>
      </c>
      <c r="G24" s="373">
        <f t="shared" si="42"/>
      </c>
      <c r="H24" s="633">
        <v>478</v>
      </c>
      <c r="I24" s="633">
        <v>706</v>
      </c>
      <c r="J24" s="633">
        <v>613</v>
      </c>
      <c r="K24" s="633">
        <v>928</v>
      </c>
      <c r="L24" s="373">
        <f t="shared" si="43"/>
      </c>
      <c r="M24" s="633">
        <v>308</v>
      </c>
      <c r="N24" s="633">
        <v>218</v>
      </c>
      <c r="O24" s="633">
        <v>199</v>
      </c>
      <c r="P24" s="633">
        <v>203</v>
      </c>
      <c r="Q24" s="373">
        <f t="shared" si="44"/>
      </c>
      <c r="R24" s="633">
        <v>311</v>
      </c>
      <c r="S24" s="633">
        <v>250</v>
      </c>
      <c r="T24" s="633">
        <v>272</v>
      </c>
      <c r="U24" s="633">
        <v>260</v>
      </c>
      <c r="V24" s="373">
        <f t="shared" si="45"/>
      </c>
      <c r="W24" s="633">
        <v>234</v>
      </c>
      <c r="X24" s="633">
        <v>483</v>
      </c>
      <c r="Y24" s="633">
        <v>584</v>
      </c>
      <c r="Z24" s="633">
        <v>940</v>
      </c>
      <c r="AA24" s="373">
        <f t="shared" si="46"/>
      </c>
      <c r="AB24" s="633">
        <v>1142</v>
      </c>
      <c r="AC24" s="633">
        <v>1533</v>
      </c>
      <c r="AD24" s="633">
        <v>2521</v>
      </c>
      <c r="AE24" s="633">
        <v>2213</v>
      </c>
      <c r="AF24" s="373">
        <f t="shared" si="47"/>
      </c>
      <c r="AG24" s="633">
        <v>2198</v>
      </c>
      <c r="AH24" s="633">
        <v>2296</v>
      </c>
      <c r="AI24" s="633">
        <v>2194</v>
      </c>
      <c r="AJ24" s="633">
        <v>3170</v>
      </c>
      <c r="AK24" s="373">
        <f t="shared" si="48"/>
      </c>
      <c r="AL24" s="633">
        <v>834</v>
      </c>
      <c r="AM24" s="633">
        <v>951</v>
      </c>
      <c r="AN24" s="633">
        <v>966</v>
      </c>
      <c r="AO24" s="633">
        <v>942</v>
      </c>
      <c r="AP24" s="373">
        <f t="shared" si="49"/>
      </c>
      <c r="AQ24" s="633">
        <v>926</v>
      </c>
      <c r="AR24" s="633">
        <v>895</v>
      </c>
      <c r="AS24" s="633">
        <v>1193</v>
      </c>
      <c r="AT24" s="633">
        <v>1171</v>
      </c>
      <c r="AU24" s="373">
        <f t="shared" si="50"/>
      </c>
      <c r="AV24" s="633">
        <v>1203</v>
      </c>
      <c r="AW24" s="633">
        <v>1744</v>
      </c>
      <c r="AX24" s="633">
        <v>1792</v>
      </c>
      <c r="AY24" s="633">
        <v>1774</v>
      </c>
      <c r="AZ24" s="373">
        <f t="shared" si="51"/>
      </c>
      <c r="BA24" s="633">
        <v>1676</v>
      </c>
      <c r="BB24" s="633">
        <v>1320</v>
      </c>
      <c r="BC24" s="633">
        <v>1296</v>
      </c>
      <c r="BD24" s="633">
        <v>1299</v>
      </c>
      <c r="BE24" s="373">
        <f t="shared" si="52"/>
      </c>
      <c r="BF24" s="633">
        <v>1292</v>
      </c>
      <c r="BG24" s="633">
        <v>1284</v>
      </c>
      <c r="BH24" s="633">
        <v>1289</v>
      </c>
      <c r="BI24" s="633">
        <v>1295</v>
      </c>
      <c r="BJ24" s="373">
        <f t="shared" si="53"/>
      </c>
      <c r="BK24" s="633">
        <v>1287</v>
      </c>
      <c r="BL24" s="633">
        <v>1284</v>
      </c>
      <c r="BM24" s="633">
        <v>1228</v>
      </c>
      <c r="BN24" s="633">
        <v>1509</v>
      </c>
      <c r="BO24" s="373">
        <f t="shared" si="54"/>
      </c>
      <c r="BP24" s="633">
        <v>2014</v>
      </c>
      <c r="BQ24" s="633">
        <v>1960</v>
      </c>
      <c r="BR24" s="633">
        <v>1731</v>
      </c>
      <c r="BS24" s="633">
        <v>1691</v>
      </c>
      <c r="BT24" s="373">
        <f t="shared" si="55"/>
      </c>
      <c r="BU24" s="633">
        <v>1751</v>
      </c>
      <c r="BV24" s="633">
        <v>1724</v>
      </c>
      <c r="BW24" s="633">
        <v>1639</v>
      </c>
      <c r="BX24" s="633">
        <v>1599</v>
      </c>
      <c r="BY24" s="373">
        <f t="shared" si="56"/>
      </c>
      <c r="BZ24" s="633">
        <v>1628</v>
      </c>
      <c r="CA24" s="633">
        <v>1517</v>
      </c>
      <c r="CB24" s="633">
        <v>1478</v>
      </c>
      <c r="CC24" s="633">
        <v>1501</v>
      </c>
      <c r="CD24" s="373">
        <f t="shared" si="57"/>
      </c>
      <c r="CE24" s="633">
        <v>1429</v>
      </c>
      <c r="CF24" s="633">
        <v>1307</v>
      </c>
      <c r="CG24" s="633">
        <v>1353</v>
      </c>
      <c r="CH24" s="633">
        <v>1434</v>
      </c>
      <c r="CI24" s="373">
        <f t="shared" si="58"/>
      </c>
      <c r="CJ24" s="633">
        <v>1972</v>
      </c>
      <c r="CK24" s="633">
        <v>1919</v>
      </c>
      <c r="CL24" s="633">
        <v>1403</v>
      </c>
      <c r="CM24" s="633">
        <v>1520</v>
      </c>
      <c r="CN24" s="373">
        <f t="shared" si="59"/>
      </c>
      <c r="CO24" s="633">
        <v>1569</v>
      </c>
      <c r="CP24" s="633">
        <v>1636</v>
      </c>
      <c r="CQ24" s="633">
        <v>2262</v>
      </c>
      <c r="CR24" s="633">
        <v>2392</v>
      </c>
      <c r="CS24" s="373">
        <f t="shared" si="60"/>
      </c>
      <c r="CT24" s="633">
        <v>2480</v>
      </c>
      <c r="CU24" s="633">
        <v>2874</v>
      </c>
      <c r="CV24" s="633">
        <v>2898</v>
      </c>
      <c r="CW24" s="633">
        <v>3422</v>
      </c>
      <c r="CX24" s="373">
        <f t="shared" si="61"/>
      </c>
      <c r="CY24" s="633">
        <v>3271</v>
      </c>
      <c r="CZ24" s="633">
        <v>3060</v>
      </c>
      <c r="DA24" s="633">
        <v>3200</v>
      </c>
      <c r="DB24" s="633">
        <v>2953</v>
      </c>
      <c r="DC24" s="373">
        <f t="shared" si="62"/>
      </c>
      <c r="DD24" s="633">
        <v>2869</v>
      </c>
      <c r="DE24" s="633">
        <v>2928</v>
      </c>
      <c r="DF24" s="633">
        <v>2895</v>
      </c>
      <c r="DG24" s="633">
        <v>3642</v>
      </c>
      <c r="DH24" s="373">
        <f t="shared" si="63"/>
      </c>
      <c r="DI24" s="633">
        <v>5227</v>
      </c>
      <c r="DJ24" s="633">
        <v>5592</v>
      </c>
      <c r="DK24" s="633">
        <v>5767</v>
      </c>
      <c r="DL24" s="633">
        <v>6076</v>
      </c>
      <c r="DM24" s="373">
        <f t="shared" si="64"/>
      </c>
      <c r="DN24" s="633">
        <v>6083</v>
      </c>
      <c r="DO24" s="633">
        <v>6967</v>
      </c>
      <c r="DP24" s="633">
        <v>7106</v>
      </c>
      <c r="DQ24" s="633">
        <v>7442</v>
      </c>
      <c r="DR24" s="373">
        <f t="shared" si="65"/>
      </c>
      <c r="DS24" s="633">
        <v>9792</v>
      </c>
      <c r="DT24" s="633">
        <v>10129</v>
      </c>
      <c r="DU24" s="633">
        <v>10258</v>
      </c>
      <c r="DV24" s="633">
        <v>14723</v>
      </c>
      <c r="DW24" s="373">
        <f t="shared" si="66"/>
      </c>
      <c r="DX24" s="633">
        <v>14455</v>
      </c>
      <c r="DY24" s="633">
        <v>14630</v>
      </c>
      <c r="DZ24" s="633">
        <v>13696</v>
      </c>
      <c r="EA24" s="633">
        <v>13138</v>
      </c>
      <c r="EB24" s="373">
        <f t="shared" si="67"/>
      </c>
      <c r="EC24" s="633">
        <v>13034</v>
      </c>
      <c r="ED24" s="633">
        <v>13561</v>
      </c>
      <c r="EE24" s="633">
        <v>14427</v>
      </c>
      <c r="EF24" s="633">
        <v>15075</v>
      </c>
      <c r="EG24" s="373">
        <f t="shared" si="68"/>
      </c>
      <c r="EH24" s="633">
        <v>21103</v>
      </c>
      <c r="EI24" s="633">
        <v>21256</v>
      </c>
      <c r="EJ24" s="633">
        <v>21845</v>
      </c>
      <c r="EK24" s="633">
        <v>21897</v>
      </c>
      <c r="EL24" s="373">
        <f t="shared" si="69"/>
      </c>
      <c r="EM24" s="633">
        <v>23482</v>
      </c>
      <c r="EN24" s="633">
        <v>24994</v>
      </c>
      <c r="EO24" s="633">
        <v>26954</v>
      </c>
      <c r="EP24" s="633">
        <v>30601</v>
      </c>
      <c r="EQ24" s="373">
        <f t="shared" si="70"/>
      </c>
      <c r="ER24" s="633">
        <v>32154</v>
      </c>
      <c r="ES24" s="633">
        <v>32265</v>
      </c>
      <c r="ET24" s="954">
        <v>35551</v>
      </c>
      <c r="EU24" s="954">
        <v>36460</v>
      </c>
      <c r="EV24" s="662">
        <f t="shared" si="71"/>
      </c>
      <c r="EW24" s="954">
        <v>37793</v>
      </c>
      <c r="EX24" s="954">
        <v>36943</v>
      </c>
      <c r="EY24" s="954">
        <v>38234</v>
      </c>
      <c r="EZ24" s="954">
        <v>40565</v>
      </c>
      <c r="FA24" s="662">
        <f t="shared" si="72"/>
      </c>
      <c r="FB24" s="930">
        <f>FB56*FB78</f>
      </c>
      <c r="FC24" s="930">
        <f>FC56*FC78</f>
      </c>
      <c r="FD24" s="930">
        <f>FD56*FD78</f>
      </c>
      <c r="FE24" s="930">
        <f>FE56*FE78</f>
      </c>
      <c r="FF24" s="662">
        <f t="shared" si="73"/>
      </c>
      <c r="FG24" s="930">
        <f>FG56*FG78</f>
      </c>
      <c r="FH24" s="930">
        <f>FH56*FH78</f>
      </c>
      <c r="FI24" s="930">
        <f>FI56*FI78</f>
      </c>
      <c r="FJ24" s="930">
        <f>FJ56*FJ78</f>
      </c>
      <c r="FK24" s="662">
        <f t="shared" si="74"/>
      </c>
      <c r="FL24" s="930">
        <f>FL56*FL78</f>
      </c>
      <c r="FM24" s="930">
        <f>FM56*FM78</f>
      </c>
      <c r="FN24" s="930">
        <f>FN56*FN78</f>
      </c>
      <c r="FO24" s="930">
        <f>FO56*FO78</f>
      </c>
      <c r="FP24" s="662">
        <f t="shared" si="75"/>
      </c>
      <c r="FQ24" s="930">
        <f>FQ56*FQ78</f>
      </c>
      <c r="FR24" s="930">
        <f>FR56*FR78</f>
      </c>
      <c r="FS24" s="930">
        <f>FS56*FS78</f>
      </c>
      <c r="FT24" s="930">
        <f>FT56*FT78</f>
      </c>
      <c r="FU24" s="662">
        <f t="shared" si="76"/>
      </c>
      <c r="FV24" s="930">
        <f>FV56*FV78</f>
      </c>
      <c r="FW24" s="930">
        <f>FW56*FW78</f>
      </c>
      <c r="FX24" s="930">
        <f>FX56*FX78</f>
      </c>
      <c r="FY24" s="930">
        <f>FY56*FY78</f>
      </c>
      <c r="FZ24" s="662">
        <f t="shared" si="77"/>
      </c>
      <c r="GA24" s="930">
        <f>GA56*GA78</f>
      </c>
      <c r="GB24" s="930">
        <f>GB56*GB78</f>
      </c>
      <c r="GC24" s="930">
        <f>GC56*GC78</f>
      </c>
      <c r="GD24" s="930">
        <f>GD56*GD78</f>
      </c>
      <c r="GE24" s="662">
        <f t="shared" si="78"/>
      </c>
      <c r="GF24" s="930">
        <f>GF56*GF78</f>
      </c>
      <c r="GG24" s="930">
        <f>GG56*GG78</f>
      </c>
      <c r="GH24" s="930">
        <f>GH56*GH78</f>
      </c>
      <c r="GI24" s="930">
        <f>GI56*GI78</f>
      </c>
      <c r="GJ24" s="662">
        <f t="shared" si="79"/>
      </c>
    </row>
    <row r="25" spans="1:192" s="277" customFormat="1" ht="12.75" customHeight="1">
      <c r="A25" s="280"/>
      <c r="B25" s="706" t="s">
        <v>79</v>
      </c>
      <c r="C25" s="931">
        <f>SUM(C16:C24)</f>
      </c>
      <c r="D25" s="931">
        <f>SUM(D16:D24)</f>
      </c>
      <c r="E25" s="931">
        <f>SUM(E16:E24)</f>
      </c>
      <c r="F25" s="931">
        <f>SUM(F16:F24)</f>
      </c>
      <c r="G25" s="655">
        <f t="shared" si="42"/>
      </c>
      <c r="H25" s="931">
        <f>SUM(H16:H24)</f>
      </c>
      <c r="I25" s="931">
        <f>SUM(I16:I24)</f>
      </c>
      <c r="J25" s="931">
        <f>SUM(J16:J24)</f>
      </c>
      <c r="K25" s="931">
        <f>SUM(K16:K24)</f>
      </c>
      <c r="L25" s="655">
        <f t="shared" si="43"/>
      </c>
      <c r="M25" s="931">
        <f>SUM(M16:M24)</f>
      </c>
      <c r="N25" s="931">
        <f>SUM(N16:N24)</f>
      </c>
      <c r="O25" s="931">
        <f>SUM(O16:O24)</f>
      </c>
      <c r="P25" s="931">
        <f>SUM(P16:P24)</f>
      </c>
      <c r="Q25" s="655">
        <f t="shared" si="44"/>
      </c>
      <c r="R25" s="931">
        <f>SUM(R16:R24)</f>
      </c>
      <c r="S25" s="931">
        <f>SUM(S16:S24)</f>
      </c>
      <c r="T25" s="931">
        <f>SUM(T16:T24)</f>
      </c>
      <c r="U25" s="931">
        <f>SUM(U16:U24)</f>
      </c>
      <c r="V25" s="655">
        <f t="shared" si="45"/>
      </c>
      <c r="W25" s="931">
        <f>SUM(W16:W24)</f>
      </c>
      <c r="X25" s="931">
        <f>SUM(X16:X24)</f>
      </c>
      <c r="Y25" s="931">
        <f>SUM(Y16:Y24)</f>
      </c>
      <c r="Z25" s="931">
        <f>SUM(Z16:Z24)</f>
      </c>
      <c r="AA25" s="655">
        <f t="shared" si="46"/>
      </c>
      <c r="AB25" s="931">
        <f>SUM(AB16:AB24)</f>
      </c>
      <c r="AC25" s="931">
        <f>SUM(AC16:AC24)</f>
      </c>
      <c r="AD25" s="931">
        <f>SUM(AD16:AD24)</f>
      </c>
      <c r="AE25" s="931">
        <f>SUM(AE16:AE24)</f>
      </c>
      <c r="AF25" s="655">
        <f t="shared" si="47"/>
      </c>
      <c r="AG25" s="931">
        <f>SUM(AG16:AG24)</f>
      </c>
      <c r="AH25" s="931">
        <f>SUM(AH16:AH24)</f>
      </c>
      <c r="AI25" s="931">
        <f>SUM(AI16:AI24)</f>
      </c>
      <c r="AJ25" s="931">
        <f>SUM(AJ16:AJ24)</f>
      </c>
      <c r="AK25" s="655">
        <f t="shared" si="48"/>
      </c>
      <c r="AL25" s="931">
        <f>SUM(AL16:AL24)</f>
      </c>
      <c r="AM25" s="931">
        <f>SUM(AM16:AM24)</f>
      </c>
      <c r="AN25" s="931">
        <f>SUM(AN16:AN24)</f>
      </c>
      <c r="AO25" s="931">
        <f>SUM(AO16:AO24)</f>
      </c>
      <c r="AP25" s="655">
        <f t="shared" si="49"/>
      </c>
      <c r="AQ25" s="931">
        <f>SUM(AQ16:AQ24)</f>
      </c>
      <c r="AR25" s="931">
        <f>SUM(AR16:AR24)</f>
      </c>
      <c r="AS25" s="931">
        <f>SUM(AS16:AS24)</f>
      </c>
      <c r="AT25" s="931">
        <f>SUM(AT16:AT24)</f>
      </c>
      <c r="AU25" s="655">
        <f t="shared" si="50"/>
      </c>
      <c r="AV25" s="931">
        <f>SUM(AV16:AV24)</f>
      </c>
      <c r="AW25" s="931">
        <f>SUM(AW16:AW24)</f>
      </c>
      <c r="AX25" s="931">
        <f>SUM(AX16:AX24)</f>
      </c>
      <c r="AY25" s="931">
        <f>SUM(AY16:AY24)</f>
      </c>
      <c r="AZ25" s="655">
        <f t="shared" si="51"/>
      </c>
      <c r="BA25" s="931">
        <f>SUM(BA16:BA24)</f>
      </c>
      <c r="BB25" s="931">
        <f>SUM(BB16:BB24)</f>
      </c>
      <c r="BC25" s="931">
        <f>SUM(BC16:BC24)</f>
      </c>
      <c r="BD25" s="931">
        <f>SUM(BD16:BD24)</f>
      </c>
      <c r="BE25" s="655">
        <f t="shared" si="52"/>
      </c>
      <c r="BF25" s="931">
        <f>SUM(BF16:BF24)</f>
      </c>
      <c r="BG25" s="931">
        <f>SUM(BG16:BG24)</f>
      </c>
      <c r="BH25" s="931">
        <f>SUM(BH16:BH24)</f>
      </c>
      <c r="BI25" s="931">
        <f>SUM(BI16:BI24)</f>
      </c>
      <c r="BJ25" s="655">
        <f t="shared" si="53"/>
      </c>
      <c r="BK25" s="931">
        <f>SUM(BK16:BK24)</f>
      </c>
      <c r="BL25" s="931">
        <f>SUM(BL16:BL24)</f>
      </c>
      <c r="BM25" s="931">
        <f>SUM(BM16:BM24)</f>
      </c>
      <c r="BN25" s="931">
        <f>SUM(BN16:BN24)</f>
      </c>
      <c r="BO25" s="655">
        <f t="shared" si="54"/>
      </c>
      <c r="BP25" s="931">
        <f>SUM(BP16:BP24)</f>
      </c>
      <c r="BQ25" s="931">
        <f>SUM(BQ16:BQ24)</f>
      </c>
      <c r="BR25" s="931">
        <f>SUM(BR16:BR24)</f>
      </c>
      <c r="BS25" s="931">
        <f>SUM(BS16:BS24)</f>
      </c>
      <c r="BT25" s="655">
        <f t="shared" si="55"/>
      </c>
      <c r="BU25" s="931">
        <f>SUM(BU16:BU24)</f>
      </c>
      <c r="BV25" s="931">
        <f>SUM(BV16:BV24)</f>
      </c>
      <c r="BW25" s="931">
        <f>SUM(BW16:BW24)</f>
      </c>
      <c r="BX25" s="931">
        <f>SUM(BX16:BX24)</f>
      </c>
      <c r="BY25" s="655">
        <f t="shared" si="56"/>
      </c>
      <c r="BZ25" s="931">
        <f>SUM(BZ16:BZ24)</f>
      </c>
      <c r="CA25" s="931">
        <f>SUM(CA16:CA24)</f>
      </c>
      <c r="CB25" s="931">
        <f>SUM(CB16:CB24)</f>
      </c>
      <c r="CC25" s="931">
        <f>SUM(CC16:CC24)</f>
      </c>
      <c r="CD25" s="655">
        <f t="shared" si="57"/>
      </c>
      <c r="CE25" s="931">
        <f>SUM(CE16:CE24)</f>
      </c>
      <c r="CF25" s="931">
        <f>SUM(CF16:CF24)</f>
      </c>
      <c r="CG25" s="931">
        <f>SUM(CG16:CG24)</f>
      </c>
      <c r="CH25" s="931">
        <f>SUM(CH16:CH24)</f>
      </c>
      <c r="CI25" s="655">
        <f t="shared" si="58"/>
      </c>
      <c r="CJ25" s="931">
        <f>SUM(CJ16:CJ24)</f>
      </c>
      <c r="CK25" s="931">
        <f>SUM(CK16:CK24)</f>
      </c>
      <c r="CL25" s="931">
        <f>SUM(CL16:CL24)</f>
      </c>
      <c r="CM25" s="931">
        <f>SUM(CM16:CM24)</f>
      </c>
      <c r="CN25" s="655">
        <f t="shared" si="59"/>
      </c>
      <c r="CO25" s="931">
        <f>SUM(CO16:CO24)</f>
      </c>
      <c r="CP25" s="931">
        <f>SUM(CP16:CP24)</f>
      </c>
      <c r="CQ25" s="931">
        <f>SUM(CQ16:CQ24)</f>
      </c>
      <c r="CR25" s="931">
        <f>SUM(CR16:CR24)</f>
      </c>
      <c r="CS25" s="655">
        <f t="shared" si="60"/>
      </c>
      <c r="CT25" s="931">
        <f>SUM(CT16:CT24)</f>
      </c>
      <c r="CU25" s="931">
        <f>SUM(CU16:CU24)</f>
      </c>
      <c r="CV25" s="931">
        <f>SUM(CV16:CV24)</f>
      </c>
      <c r="CW25" s="931">
        <f>SUM(CW16:CW24)</f>
      </c>
      <c r="CX25" s="655">
        <f t="shared" si="61"/>
      </c>
      <c r="CY25" s="931">
        <f>SUM(CY16:CY24)</f>
      </c>
      <c r="CZ25" s="931">
        <f>SUM(CZ16:CZ24)</f>
      </c>
      <c r="DA25" s="931">
        <f>SUM(DA16:DA24)</f>
      </c>
      <c r="DB25" s="931">
        <f>SUM(DB16:DB24)</f>
      </c>
      <c r="DC25" s="655">
        <f t="shared" si="62"/>
      </c>
      <c r="DD25" s="931">
        <f>SUM(DD16:DD24)</f>
      </c>
      <c r="DE25" s="931">
        <f>SUM(DE16:DE24)</f>
      </c>
      <c r="DF25" s="931">
        <f>SUM(DF16:DF24)</f>
      </c>
      <c r="DG25" s="931">
        <f>SUM(DG16:DG24)</f>
      </c>
      <c r="DH25" s="655">
        <f t="shared" si="63"/>
      </c>
      <c r="DI25" s="931">
        <f>SUM(DI16:DI24)</f>
      </c>
      <c r="DJ25" s="931">
        <f>SUM(DJ16:DJ24)</f>
      </c>
      <c r="DK25" s="931">
        <f>SUM(DK16:DK24)</f>
      </c>
      <c r="DL25" s="931">
        <f>SUM(DL16:DL24)</f>
      </c>
      <c r="DM25" s="655">
        <f t="shared" si="64"/>
      </c>
      <c r="DN25" s="931">
        <f>SUM(DN16:DN24)</f>
      </c>
      <c r="DO25" s="931">
        <f>SUM(DO16:DO24)</f>
      </c>
      <c r="DP25" s="931">
        <f>SUM(DP16:DP24)</f>
      </c>
      <c r="DQ25" s="931">
        <f>SUM(DQ16:DQ24)</f>
      </c>
      <c r="DR25" s="655">
        <f t="shared" si="65"/>
      </c>
      <c r="DS25" s="931">
        <f>SUM(DS16:DS24)</f>
      </c>
      <c r="DT25" s="931">
        <f>SUM(DT16:DT24)</f>
      </c>
      <c r="DU25" s="931">
        <f>SUM(DU16:DU24)</f>
      </c>
      <c r="DV25" s="931">
        <f>SUM(DV16:DV24)</f>
      </c>
      <c r="DW25" s="655">
        <f t="shared" si="66"/>
      </c>
      <c r="DX25" s="931">
        <f>SUM(DX16:DX24)</f>
      </c>
      <c r="DY25" s="931">
        <f>SUM(DY16:DY24)</f>
      </c>
      <c r="DZ25" s="931">
        <f>SUM(DZ16:DZ24)</f>
      </c>
      <c r="EA25" s="931">
        <f>SUM(EA16:EA24)</f>
      </c>
      <c r="EB25" s="655">
        <f t="shared" si="67"/>
      </c>
      <c r="EC25" s="931">
        <f>SUM(EC16:EC24)</f>
      </c>
      <c r="ED25" s="931">
        <f>SUM(ED16:ED24)</f>
      </c>
      <c r="EE25" s="931">
        <f>SUM(EE16:EE24)</f>
      </c>
      <c r="EF25" s="931">
        <f>SUM(EF16:EF24)</f>
      </c>
      <c r="EG25" s="655">
        <f t="shared" si="68"/>
      </c>
      <c r="EH25" s="931">
        <f>SUM(EH16:EH24)</f>
      </c>
      <c r="EI25" s="931">
        <f>SUM(EI16:EI24)</f>
      </c>
      <c r="EJ25" s="931">
        <f>SUM(EJ16:EJ24)</f>
      </c>
      <c r="EK25" s="931">
        <f>SUM(EK16:EK24)</f>
      </c>
      <c r="EL25" s="655">
        <f t="shared" si="69"/>
      </c>
      <c r="EM25" s="931">
        <f>SUM(EM16:EM24)</f>
      </c>
      <c r="EN25" s="931">
        <f>SUM(EN16:EN24)</f>
      </c>
      <c r="EO25" s="931">
        <f>SUM(EO16:EO24)</f>
      </c>
      <c r="EP25" s="931">
        <f>SUM(EP16:EP24)</f>
      </c>
      <c r="EQ25" s="655">
        <f t="shared" si="70"/>
      </c>
      <c r="ER25" s="931">
        <f>SUM(ER16:ER24)</f>
      </c>
      <c r="ES25" s="931">
        <f>SUM(ES16:ES24)</f>
      </c>
      <c r="ET25" s="933">
        <f>SUM(ET16:ET24)</f>
      </c>
      <c r="EU25" s="933">
        <f>SUM(EU16:EU24)</f>
      </c>
      <c r="EV25" s="934">
        <f t="shared" si="71"/>
      </c>
      <c r="EW25" s="1404">
        <f>SUM(EW16:EW24)</f>
      </c>
      <c r="EX25" s="933">
        <f>SUM(EX16:EX24)</f>
      </c>
      <c r="EY25" s="1493">
        <f>SUM(EY16:EY24)</f>
      </c>
      <c r="EZ25" s="1493">
        <f>SUM(EZ16:EZ24)</f>
      </c>
      <c r="FA25" s="934">
        <f t="shared" si="72"/>
      </c>
      <c r="FB25" s="931">
        <f>SUM(FB16:FB24)</f>
      </c>
      <c r="FC25" s="933">
        <f>SUM(FC16:FC24)</f>
      </c>
      <c r="FD25" s="933">
        <f>SUM(FD16:FD24)</f>
      </c>
      <c r="FE25" s="933">
        <f>SUM(FE16:FE24)</f>
      </c>
      <c r="FF25" s="934">
        <f t="shared" si="73"/>
      </c>
      <c r="FG25" s="931">
        <f>SUM(FG16:FG24)</f>
      </c>
      <c r="FH25" s="933">
        <f>SUM(FH16:FH24)</f>
      </c>
      <c r="FI25" s="933">
        <f>SUM(FI16:FI24)</f>
      </c>
      <c r="FJ25" s="933">
        <f>SUM(FJ16:FJ24)</f>
      </c>
      <c r="FK25" s="934">
        <f t="shared" si="74"/>
      </c>
      <c r="FL25" s="931">
        <f>SUM(FL16:FL24)</f>
      </c>
      <c r="FM25" s="933">
        <f>SUM(FM16:FM24)</f>
      </c>
      <c r="FN25" s="933">
        <f>SUM(FN16:FN24)</f>
      </c>
      <c r="FO25" s="933">
        <f>SUM(FO16:FO24)</f>
      </c>
      <c r="FP25" s="934">
        <f t="shared" si="75"/>
      </c>
      <c r="FQ25" s="931">
        <f>SUM(FQ16:FQ24)</f>
      </c>
      <c r="FR25" s="933">
        <f>SUM(FR16:FR24)</f>
      </c>
      <c r="FS25" s="933">
        <f>SUM(FS16:FS24)</f>
      </c>
      <c r="FT25" s="933">
        <f>SUM(FT16:FT24)</f>
      </c>
      <c r="FU25" s="934">
        <f t="shared" si="76"/>
      </c>
      <c r="FV25" s="931">
        <f>SUM(FV16:FV24)</f>
      </c>
      <c r="FW25" s="933">
        <f>SUM(FW16:FW24)</f>
      </c>
      <c r="FX25" s="933">
        <f>SUM(FX16:FX24)</f>
      </c>
      <c r="FY25" s="933">
        <f>SUM(FY16:FY24)</f>
      </c>
      <c r="FZ25" s="934">
        <f t="shared" si="77"/>
      </c>
      <c r="GA25" s="931">
        <f>SUM(GA16:GA24)</f>
      </c>
      <c r="GB25" s="933">
        <f>SUM(GB16:GB24)</f>
      </c>
      <c r="GC25" s="933">
        <f>SUM(GC16:GC24)</f>
      </c>
      <c r="GD25" s="933">
        <f>SUM(GD16:GD24)</f>
      </c>
      <c r="GE25" s="934">
        <f t="shared" si="78"/>
      </c>
      <c r="GF25" s="931">
        <f>SUM(GF16:GF24)</f>
      </c>
      <c r="GG25" s="933">
        <f>SUM(GG16:GG24)</f>
      </c>
      <c r="GH25" s="933">
        <f>SUM(GH16:GH24)</f>
      </c>
      <c r="GI25" s="933">
        <f>SUM(GI16:GI24)</f>
      </c>
      <c r="GJ25" s="934">
        <f t="shared" si="79"/>
      </c>
    </row>
    <row r="26" spans="1:192" s="135" customFormat="1" ht="12.75" customHeight="1">
      <c r="A26" s="134"/>
      <c r="B26" s="677"/>
      <c r="C26" s="935"/>
      <c r="D26" s="372"/>
      <c r="E26" s="372"/>
      <c r="F26" s="372"/>
      <c r="G26" s="685"/>
      <c r="H26" s="935"/>
      <c r="I26" s="372"/>
      <c r="J26" s="372"/>
      <c r="K26" s="372"/>
      <c r="L26" s="685"/>
      <c r="M26" s="935"/>
      <c r="N26" s="372"/>
      <c r="O26" s="372"/>
      <c r="P26" s="372"/>
      <c r="Q26" s="685"/>
      <c r="R26" s="935"/>
      <c r="S26" s="372"/>
      <c r="T26" s="372"/>
      <c r="U26" s="372"/>
      <c r="V26" s="685"/>
      <c r="W26" s="935"/>
      <c r="X26" s="372"/>
      <c r="Y26" s="372"/>
      <c r="Z26" s="372"/>
      <c r="AA26" s="685"/>
      <c r="AB26" s="935"/>
      <c r="AC26" s="372"/>
      <c r="AD26" s="372"/>
      <c r="AE26" s="372"/>
      <c r="AF26" s="685"/>
      <c r="AG26" s="935"/>
      <c r="AH26" s="372"/>
      <c r="AI26" s="372"/>
      <c r="AJ26" s="372"/>
      <c r="AK26" s="685"/>
      <c r="AL26" s="935"/>
      <c r="AM26" s="372"/>
      <c r="AN26" s="372"/>
      <c r="AO26" s="372"/>
      <c r="AP26" s="685"/>
      <c r="AQ26" s="935"/>
      <c r="AR26" s="372"/>
      <c r="AS26" s="372"/>
      <c r="AT26" s="372"/>
      <c r="AU26" s="685"/>
      <c r="AV26" s="935"/>
      <c r="AW26" s="372"/>
      <c r="AX26" s="372"/>
      <c r="AY26" s="372"/>
      <c r="AZ26" s="685"/>
      <c r="BA26" s="935"/>
      <c r="BB26" s="372"/>
      <c r="BC26" s="372"/>
      <c r="BD26" s="372"/>
      <c r="BE26" s="685"/>
      <c r="BF26" s="935"/>
      <c r="BG26" s="372"/>
      <c r="BH26" s="372"/>
      <c r="BI26" s="372"/>
      <c r="BJ26" s="685"/>
      <c r="BK26" s="935"/>
      <c r="BL26" s="372"/>
      <c r="BM26" s="372"/>
      <c r="BN26" s="372"/>
      <c r="BO26" s="685"/>
      <c r="BP26" s="935"/>
      <c r="BQ26" s="372"/>
      <c r="BR26" s="372"/>
      <c r="BS26" s="372"/>
      <c r="BT26" s="685"/>
      <c r="BU26" s="935"/>
      <c r="BV26" s="372"/>
      <c r="BW26" s="372"/>
      <c r="BX26" s="372"/>
      <c r="BY26" s="685"/>
      <c r="BZ26" s="935"/>
      <c r="CA26" s="372"/>
      <c r="CB26" s="372"/>
      <c r="CC26" s="372"/>
      <c r="CD26" s="685"/>
      <c r="CE26" s="935"/>
      <c r="CF26" s="372"/>
      <c r="CG26" s="372"/>
      <c r="CH26" s="372"/>
      <c r="CI26" s="685"/>
      <c r="CJ26" s="935"/>
      <c r="CK26" s="372"/>
      <c r="CL26" s="372"/>
      <c r="CM26" s="372"/>
      <c r="CN26" s="685"/>
      <c r="CO26" s="935"/>
      <c r="CP26" s="372"/>
      <c r="CQ26" s="372"/>
      <c r="CR26" s="372"/>
      <c r="CS26" s="685"/>
      <c r="CT26" s="935"/>
      <c r="CU26" s="372"/>
      <c r="CV26" s="372"/>
      <c r="CW26" s="372"/>
      <c r="CX26" s="685"/>
      <c r="CY26" s="935"/>
      <c r="CZ26" s="372"/>
      <c r="DA26" s="372"/>
      <c r="DB26" s="372"/>
      <c r="DC26" s="685"/>
      <c r="DD26" s="935"/>
      <c r="DE26" s="372"/>
      <c r="DF26" s="372"/>
      <c r="DG26" s="372"/>
      <c r="DH26" s="685"/>
      <c r="DI26" s="935"/>
      <c r="DJ26" s="372"/>
      <c r="DK26" s="372"/>
      <c r="DL26" s="372"/>
      <c r="DM26" s="685"/>
      <c r="DN26" s="935"/>
      <c r="DO26" s="372"/>
      <c r="DP26" s="372"/>
      <c r="DQ26" s="372"/>
      <c r="DR26" s="685"/>
      <c r="DS26" s="935"/>
      <c r="DT26" s="372"/>
      <c r="DU26" s="372"/>
      <c r="DV26" s="372"/>
      <c r="DW26" s="685"/>
      <c r="DX26" s="935"/>
      <c r="DY26" s="372"/>
      <c r="DZ26" s="372"/>
      <c r="EA26" s="372"/>
      <c r="EB26" s="685"/>
      <c r="EC26" s="935"/>
      <c r="ED26" s="372"/>
      <c r="EE26" s="372"/>
      <c r="EF26" s="372"/>
      <c r="EG26" s="685"/>
      <c r="EH26" s="935"/>
      <c r="EI26" s="372"/>
      <c r="EJ26" s="372"/>
      <c r="EK26" s="372"/>
      <c r="EL26" s="685"/>
      <c r="EM26" s="935"/>
      <c r="EN26" s="372"/>
      <c r="EO26" s="372"/>
      <c r="EP26" s="372"/>
      <c r="EQ26" s="685"/>
      <c r="ER26" s="935"/>
      <c r="ES26" s="372"/>
      <c r="ET26" s="458"/>
      <c r="EU26" s="458"/>
      <c r="EV26" s="936"/>
      <c r="EW26" s="937"/>
      <c r="EX26" s="937"/>
      <c r="EY26" s="937"/>
      <c r="EZ26" s="937"/>
      <c r="FA26" s="936"/>
      <c r="FB26" s="937"/>
      <c r="FC26" s="937"/>
      <c r="FD26" s="937"/>
      <c r="FE26" s="937"/>
      <c r="FF26" s="936"/>
      <c r="FG26" s="937"/>
      <c r="FH26" s="937"/>
      <c r="FI26" s="937"/>
      <c r="FJ26" s="937"/>
      <c r="FK26" s="936"/>
      <c r="FL26" s="937"/>
      <c r="FM26" s="937"/>
      <c r="FN26" s="937"/>
      <c r="FO26" s="937"/>
      <c r="FP26" s="936"/>
      <c r="FQ26" s="937"/>
      <c r="FR26" s="937"/>
      <c r="FS26" s="937"/>
      <c r="FT26" s="937"/>
      <c r="FU26" s="936"/>
      <c r="FV26" s="937"/>
      <c r="FW26" s="937"/>
      <c r="FX26" s="937"/>
      <c r="FY26" s="937"/>
      <c r="FZ26" s="936"/>
      <c r="GA26" s="937"/>
      <c r="GB26" s="937"/>
      <c r="GC26" s="937"/>
      <c r="GD26" s="937"/>
      <c r="GE26" s="936"/>
      <c r="GF26" s="937"/>
      <c r="GG26" s="937"/>
      <c r="GH26" s="937"/>
      <c r="GI26" s="937"/>
      <c r="GJ26" s="936"/>
    </row>
    <row r="27" spans="1:192" s="135" customFormat="1" ht="12.75" customHeight="1">
      <c r="A27" s="134"/>
      <c r="B27" s="703" t="s">
        <v>80</v>
      </c>
      <c r="C27" s="938"/>
      <c r="D27" s="938"/>
      <c r="E27" s="938"/>
      <c r="F27" s="938"/>
      <c r="G27" s="685"/>
      <c r="H27" s="938"/>
      <c r="I27" s="938"/>
      <c r="J27" s="938"/>
      <c r="K27" s="938"/>
      <c r="L27" s="685"/>
      <c r="M27" s="938"/>
      <c r="N27" s="938"/>
      <c r="O27" s="938"/>
      <c r="P27" s="938"/>
      <c r="Q27" s="685"/>
      <c r="R27" s="938"/>
      <c r="S27" s="938"/>
      <c r="T27" s="938"/>
      <c r="U27" s="938"/>
      <c r="V27" s="685"/>
      <c r="W27" s="938"/>
      <c r="X27" s="938"/>
      <c r="Y27" s="938"/>
      <c r="Z27" s="938"/>
      <c r="AA27" s="685"/>
      <c r="AB27" s="938"/>
      <c r="AC27" s="938"/>
      <c r="AD27" s="938"/>
      <c r="AE27" s="938"/>
      <c r="AF27" s="685"/>
      <c r="AG27" s="938"/>
      <c r="AH27" s="938"/>
      <c r="AI27" s="938"/>
      <c r="AJ27" s="938"/>
      <c r="AK27" s="685"/>
      <c r="AL27" s="938"/>
      <c r="AM27" s="938"/>
      <c r="AN27" s="938"/>
      <c r="AO27" s="938"/>
      <c r="AP27" s="685"/>
      <c r="AQ27" s="938"/>
      <c r="AR27" s="938"/>
      <c r="AS27" s="938"/>
      <c r="AT27" s="938"/>
      <c r="AU27" s="685"/>
      <c r="AV27" s="938"/>
      <c r="AW27" s="938"/>
      <c r="AX27" s="938"/>
      <c r="AY27" s="938"/>
      <c r="AZ27" s="685"/>
      <c r="BA27" s="938"/>
      <c r="BB27" s="938"/>
      <c r="BC27" s="938"/>
      <c r="BD27" s="938"/>
      <c r="BE27" s="685"/>
      <c r="BF27" s="938"/>
      <c r="BG27" s="938"/>
      <c r="BH27" s="938"/>
      <c r="BI27" s="938"/>
      <c r="BJ27" s="685"/>
      <c r="BK27" s="938"/>
      <c r="BL27" s="938"/>
      <c r="BM27" s="938"/>
      <c r="BN27" s="938"/>
      <c r="BO27" s="685"/>
      <c r="BP27" s="938"/>
      <c r="BQ27" s="938"/>
      <c r="BR27" s="938"/>
      <c r="BS27" s="938"/>
      <c r="BT27" s="685"/>
      <c r="BU27" s="938"/>
      <c r="BV27" s="938"/>
      <c r="BW27" s="938"/>
      <c r="BX27" s="938"/>
      <c r="BY27" s="685"/>
      <c r="BZ27" s="938"/>
      <c r="CA27" s="938"/>
      <c r="CB27" s="938"/>
      <c r="CC27" s="938"/>
      <c r="CD27" s="685"/>
      <c r="CE27" s="938"/>
      <c r="CF27" s="938"/>
      <c r="CG27" s="938"/>
      <c r="CH27" s="938"/>
      <c r="CI27" s="685"/>
      <c r="CJ27" s="938"/>
      <c r="CK27" s="938"/>
      <c r="CL27" s="938"/>
      <c r="CM27" s="938"/>
      <c r="CN27" s="685"/>
      <c r="CO27" s="938"/>
      <c r="CP27" s="938"/>
      <c r="CQ27" s="938"/>
      <c r="CR27" s="938"/>
      <c r="CS27" s="685"/>
      <c r="CT27" s="938"/>
      <c r="CU27" s="938"/>
      <c r="CV27" s="938"/>
      <c r="CW27" s="938"/>
      <c r="CX27" s="685"/>
      <c r="CY27" s="938"/>
      <c r="CZ27" s="938"/>
      <c r="DA27" s="938"/>
      <c r="DB27" s="938"/>
      <c r="DC27" s="685"/>
      <c r="DD27" s="938"/>
      <c r="DE27" s="938"/>
      <c r="DF27" s="938"/>
      <c r="DG27" s="938"/>
      <c r="DH27" s="685"/>
      <c r="DI27" s="938"/>
      <c r="DJ27" s="938"/>
      <c r="DK27" s="938"/>
      <c r="DL27" s="938"/>
      <c r="DM27" s="685"/>
      <c r="DN27" s="938"/>
      <c r="DO27" s="938"/>
      <c r="DP27" s="938"/>
      <c r="DQ27" s="938"/>
      <c r="DR27" s="685"/>
      <c r="DS27" s="938"/>
      <c r="DT27" s="938"/>
      <c r="DU27" s="938"/>
      <c r="DV27" s="938"/>
      <c r="DW27" s="685"/>
      <c r="DX27" s="938"/>
      <c r="DY27" s="938"/>
      <c r="DZ27" s="938"/>
      <c r="EA27" s="938"/>
      <c r="EB27" s="685"/>
      <c r="EC27" s="938"/>
      <c r="ED27" s="938"/>
      <c r="EE27" s="938"/>
      <c r="EF27" s="938"/>
      <c r="EG27" s="685"/>
      <c r="EH27" s="938"/>
      <c r="EI27" s="938"/>
      <c r="EJ27" s="938"/>
      <c r="EK27" s="938"/>
      <c r="EL27" s="685"/>
      <c r="EM27" s="938"/>
      <c r="EN27" s="938"/>
      <c r="EO27" s="938"/>
      <c r="EP27" s="938"/>
      <c r="EQ27" s="685"/>
      <c r="ER27" s="938"/>
      <c r="ES27" s="938"/>
      <c r="ET27" s="447"/>
      <c r="EU27" s="447"/>
      <c r="EV27" s="936"/>
      <c r="EW27" s="447"/>
      <c r="EX27" s="447"/>
      <c r="EY27" s="447"/>
      <c r="EZ27" s="447"/>
      <c r="FA27" s="936"/>
      <c r="FB27" s="447"/>
      <c r="FC27" s="447"/>
      <c r="FD27" s="447"/>
      <c r="FE27" s="447"/>
      <c r="FF27" s="936"/>
      <c r="FG27" s="447"/>
      <c r="FH27" s="447"/>
      <c r="FI27" s="447"/>
      <c r="FJ27" s="447"/>
      <c r="FK27" s="936"/>
      <c r="FL27" s="447"/>
      <c r="FM27" s="447"/>
      <c r="FN27" s="447"/>
      <c r="FO27" s="447"/>
      <c r="FP27" s="936"/>
      <c r="FQ27" s="447"/>
      <c r="FR27" s="447"/>
      <c r="FS27" s="447"/>
      <c r="FT27" s="447"/>
      <c r="FU27" s="936"/>
      <c r="FV27" s="447"/>
      <c r="FW27" s="447"/>
      <c r="FX27" s="447"/>
      <c r="FY27" s="447"/>
      <c r="FZ27" s="936"/>
      <c r="GA27" s="447"/>
      <c r="GB27" s="447"/>
      <c r="GC27" s="447"/>
      <c r="GD27" s="447"/>
      <c r="GE27" s="936"/>
      <c r="GF27" s="447"/>
      <c r="GG27" s="447"/>
      <c r="GH27" s="447"/>
      <c r="GI27" s="447"/>
      <c r="GJ27" s="936"/>
    </row>
    <row r="28" spans="1:192" s="277" customFormat="1" ht="12.75" customHeight="1">
      <c r="A28" s="274"/>
      <c r="B28" s="704" t="s">
        <v>81</v>
      </c>
      <c r="C28" s="448">
        <v>354</v>
      </c>
      <c r="D28" s="448">
        <v>431</v>
      </c>
      <c r="E28" s="448">
        <v>524</v>
      </c>
      <c r="F28" s="448">
        <v>563</v>
      </c>
      <c r="G28" s="373">
        <f t="shared" ref="G28:G36" si="89">F28</f>
      </c>
      <c r="H28" s="448">
        <v>621</v>
      </c>
      <c r="I28" s="448">
        <v>651</v>
      </c>
      <c r="J28" s="448">
        <v>652</v>
      </c>
      <c r="K28" s="448">
        <v>808</v>
      </c>
      <c r="L28" s="373">
        <f t="shared" ref="L28:L36" si="90">K28</f>
      </c>
      <c r="M28" s="448">
        <v>887</v>
      </c>
      <c r="N28" s="448">
        <v>848</v>
      </c>
      <c r="O28" s="448">
        <v>864</v>
      </c>
      <c r="P28" s="448">
        <v>721</v>
      </c>
      <c r="Q28" s="373">
        <f t="shared" ref="Q28:Q36" si="91">P28</f>
      </c>
      <c r="R28" s="448">
        <v>761</v>
      </c>
      <c r="S28" s="448">
        <v>867</v>
      </c>
      <c r="T28" s="448">
        <v>908</v>
      </c>
      <c r="U28" s="448">
        <v>759</v>
      </c>
      <c r="V28" s="373">
        <f t="shared" ref="V28:V36" si="92">U28</f>
      </c>
      <c r="W28" s="448">
        <v>845</v>
      </c>
      <c r="X28" s="448">
        <v>989</v>
      </c>
      <c r="Y28" s="448">
        <v>1016</v>
      </c>
      <c r="Z28" s="448">
        <v>874</v>
      </c>
      <c r="AA28" s="373">
        <f t="shared" ref="AA28:AA36" si="93">Z28</f>
      </c>
      <c r="AB28" s="448">
        <v>997</v>
      </c>
      <c r="AC28" s="448">
        <v>1233</v>
      </c>
      <c r="AD28" s="448">
        <v>1073</v>
      </c>
      <c r="AE28" s="448">
        <v>1083</v>
      </c>
      <c r="AF28" s="373">
        <f t="shared" ref="AF28:AF36" si="94">AE28</f>
      </c>
      <c r="AG28" s="448">
        <v>1101</v>
      </c>
      <c r="AH28" s="448">
        <v>1262</v>
      </c>
      <c r="AI28" s="448">
        <v>1246</v>
      </c>
      <c r="AJ28" s="448">
        <v>1188</v>
      </c>
      <c r="AK28" s="373">
        <f t="shared" ref="AK28:AK36" si="95">AJ28</f>
      </c>
      <c r="AL28" s="448">
        <v>1143</v>
      </c>
      <c r="AM28" s="448">
        <v>1229</v>
      </c>
      <c r="AN28" s="448">
        <v>1136</v>
      </c>
      <c r="AO28" s="448">
        <v>1208</v>
      </c>
      <c r="AP28" s="373">
        <f t="shared" ref="AP28:AP36" si="96">AO28</f>
      </c>
      <c r="AQ28" s="448">
        <v>1189</v>
      </c>
      <c r="AR28" s="448">
        <v>1342</v>
      </c>
      <c r="AS28" s="448">
        <v>1310</v>
      </c>
      <c r="AT28" s="448">
        <v>1573</v>
      </c>
      <c r="AU28" s="373">
        <f t="shared" ref="AU28:AU36" si="97">AT28</f>
      </c>
      <c r="AV28" s="448">
        <v>1341</v>
      </c>
      <c r="AW28" s="448">
        <v>1360</v>
      </c>
      <c r="AX28" s="448">
        <v>1412</v>
      </c>
      <c r="AY28" s="448">
        <v>1717</v>
      </c>
      <c r="AZ28" s="373">
        <f t="shared" ref="AZ28:AZ36" si="98">AY28</f>
      </c>
      <c r="BA28" s="448">
        <v>1439</v>
      </c>
      <c r="BB28" s="448">
        <v>1573</v>
      </c>
      <c r="BC28" s="448">
        <v>1636</v>
      </c>
      <c r="BD28" s="448">
        <v>2086</v>
      </c>
      <c r="BE28" s="373">
        <f t="shared" ref="BE28:BE36" si="99">BD28</f>
      </c>
      <c r="BF28" s="448">
        <v>1852</v>
      </c>
      <c r="BG28" s="448">
        <v>2477</v>
      </c>
      <c r="BH28" s="448">
        <v>2354</v>
      </c>
      <c r="BI28" s="448">
        <v>2909</v>
      </c>
      <c r="BJ28" s="373">
        <f t="shared" ref="BJ28:BJ36" si="100">BI28</f>
      </c>
      <c r="BK28" s="448">
        <v>2406</v>
      </c>
      <c r="BL28" s="448">
        <v>2944</v>
      </c>
      <c r="BM28" s="448">
        <v>2843</v>
      </c>
      <c r="BN28" s="448">
        <v>3247</v>
      </c>
      <c r="BO28" s="373">
        <f t="shared" ref="BO28:BO36" si="101">BN28</f>
      </c>
      <c r="BP28" s="448">
        <v>3206</v>
      </c>
      <c r="BQ28" s="448">
        <v>3612</v>
      </c>
      <c r="BR28" s="448">
        <v>3600</v>
      </c>
      <c r="BS28" s="448">
        <v>4034</v>
      </c>
      <c r="BT28" s="373">
        <f t="shared" ref="BT28:BT36" si="102">BS28</f>
      </c>
      <c r="BU28" s="448">
        <v>3351</v>
      </c>
      <c r="BV28" s="448">
        <v>3533</v>
      </c>
      <c r="BW28" s="448">
        <v>3017</v>
      </c>
      <c r="BX28" s="448">
        <v>3324</v>
      </c>
      <c r="BY28" s="373">
        <f t="shared" ref="BY28:BY36" si="103">BX28</f>
      </c>
      <c r="BZ28" s="448">
        <v>3287</v>
      </c>
      <c r="CA28" s="448">
        <v>3171</v>
      </c>
      <c r="CB28" s="448">
        <v>3279</v>
      </c>
      <c r="CC28" s="448">
        <v>4025</v>
      </c>
      <c r="CD28" s="373">
        <f t="shared" ref="CD28:CD36" si="104">CC28</f>
      </c>
      <c r="CE28" s="448">
        <v>3654</v>
      </c>
      <c r="CF28" s="448">
        <v>3863</v>
      </c>
      <c r="CG28" s="448">
        <v>3829</v>
      </c>
      <c r="CH28" s="448">
        <v>4197</v>
      </c>
      <c r="CI28" s="373">
        <f t="shared" ref="CI28:CI36" si="105">CH28</f>
      </c>
      <c r="CJ28" s="448">
        <v>3719</v>
      </c>
      <c r="CK28" s="448">
        <v>3884</v>
      </c>
      <c r="CL28" s="448">
        <v>3790</v>
      </c>
      <c r="CM28" s="448">
        <v>4175</v>
      </c>
      <c r="CN28" s="373">
        <f t="shared" ref="CN28:CN36" si="106">CM28</f>
      </c>
      <c r="CO28" s="448">
        <v>3631</v>
      </c>
      <c r="CP28" s="448">
        <v>4356</v>
      </c>
      <c r="CQ28" s="448">
        <v>4532</v>
      </c>
      <c r="CR28" s="448">
        <v>4828</v>
      </c>
      <c r="CS28" s="373">
        <f t="shared" ref="CS28:CS36" si="107">CR28</f>
      </c>
      <c r="CT28" s="448">
        <v>4841</v>
      </c>
      <c r="CU28" s="448">
        <v>5398</v>
      </c>
      <c r="CV28" s="448">
        <v>4583</v>
      </c>
      <c r="CW28" s="448">
        <v>7432</v>
      </c>
      <c r="CX28" s="373">
        <f t="shared" ref="CX28:CX36" si="108">CW28</f>
      </c>
      <c r="CY28" s="448">
        <v>6769</v>
      </c>
      <c r="CZ28" s="448">
        <v>6932</v>
      </c>
      <c r="DA28" s="448">
        <v>6690</v>
      </c>
      <c r="DB28" s="448">
        <v>6591</v>
      </c>
      <c r="DC28" s="373">
        <f t="shared" ref="DC28:DC36" si="109">DB28</f>
      </c>
      <c r="DD28" s="448">
        <v>6630</v>
      </c>
      <c r="DE28" s="448">
        <v>6936</v>
      </c>
      <c r="DF28" s="448">
        <v>6759</v>
      </c>
      <c r="DG28" s="448">
        <v>6898</v>
      </c>
      <c r="DH28" s="373">
        <f t="shared" ref="DH28:DH36" si="110">DG28</f>
      </c>
      <c r="DI28" s="448">
        <v>6296</v>
      </c>
      <c r="DJ28" s="448">
        <v>6580</v>
      </c>
      <c r="DK28" s="448">
        <v>6217</v>
      </c>
      <c r="DL28" s="448">
        <v>7390</v>
      </c>
      <c r="DM28" s="373">
        <f t="shared" ref="DM28:DM36" si="111">DL28</f>
      </c>
      <c r="DN28" s="448">
        <v>6866</v>
      </c>
      <c r="DO28" s="448">
        <v>7850</v>
      </c>
      <c r="DP28" s="448">
        <v>7623</v>
      </c>
      <c r="DQ28" s="448">
        <v>8617</v>
      </c>
      <c r="DR28" s="373">
        <f t="shared" ref="DR28:DR36" si="112">DQ28</f>
      </c>
      <c r="DS28" s="448">
        <v>8511</v>
      </c>
      <c r="DT28" s="448">
        <v>7563</v>
      </c>
      <c r="DU28" s="448">
        <v>7544</v>
      </c>
      <c r="DV28" s="448">
        <v>9382</v>
      </c>
      <c r="DW28" s="373">
        <f t="shared" ref="DW28:DW36" si="113">DV28</f>
      </c>
      <c r="DX28" s="448">
        <v>8574</v>
      </c>
      <c r="DY28" s="448">
        <v>8811</v>
      </c>
      <c r="DZ28" s="448">
        <v>9246</v>
      </c>
      <c r="EA28" s="448">
        <v>12530</v>
      </c>
      <c r="EB28" s="373">
        <f t="shared" ref="EB28:EB36" si="114">EA28</f>
      </c>
      <c r="EC28" s="448">
        <v>12509</v>
      </c>
      <c r="ED28" s="448">
        <v>12770</v>
      </c>
      <c r="EE28" s="448">
        <v>13412</v>
      </c>
      <c r="EF28" s="448">
        <v>15163</v>
      </c>
      <c r="EG28" s="373">
        <f t="shared" ref="EG28:EG36" si="115">EF28</f>
      </c>
      <c r="EH28" s="448">
        <v>14832</v>
      </c>
      <c r="EI28" s="448">
        <v>15314</v>
      </c>
      <c r="EJ28" s="448">
        <v>16085</v>
      </c>
      <c r="EK28" s="448">
        <v>19000</v>
      </c>
      <c r="EL28" s="373">
        <f t="shared" ref="EL28:EL36" si="116">EK28</f>
      </c>
      <c r="EM28" s="448">
        <v>16609</v>
      </c>
      <c r="EN28" s="448">
        <v>15354</v>
      </c>
      <c r="EO28" s="448">
        <v>15305</v>
      </c>
      <c r="EP28" s="448">
        <v>18095</v>
      </c>
      <c r="EQ28" s="373">
        <f t="shared" ref="EQ28:EQ36" si="117">EP28</f>
      </c>
      <c r="ER28" s="939">
        <v>19307</v>
      </c>
      <c r="ES28" s="448">
        <v>17695</v>
      </c>
      <c r="ET28" s="496">
        <v>18087</v>
      </c>
      <c r="EU28" s="496">
        <v>21996</v>
      </c>
      <c r="EV28" s="662">
        <f t="shared" ref="EV28:EV36" si="118">EU28</f>
      </c>
      <c r="EW28" s="496">
        <v>22768</v>
      </c>
      <c r="EX28" s="496">
        <v>22608</v>
      </c>
      <c r="EY28" s="496">
        <v>26250</v>
      </c>
      <c r="EZ28" s="496">
        <v>27724</v>
      </c>
      <c r="FA28" s="662">
        <f t="shared" ref="FA28:FA36" si="119">EZ28</f>
      </c>
      <c r="FB28" s="511">
        <f>(FB81*FB57)/FB82</f>
      </c>
      <c r="FC28" s="511">
        <f>(FC81*FC57)/FC82</f>
      </c>
      <c r="FD28" s="511">
        <f>(FD81*FD57)/FD82</f>
      </c>
      <c r="FE28" s="511">
        <f>(FE81*FE57)/FE82</f>
      </c>
      <c r="FF28" s="662">
        <f>FE28</f>
      </c>
      <c r="FG28" s="511">
        <f>(FG81*FG57)/FG82</f>
      </c>
      <c r="FH28" s="511">
        <f>(FH81*FH57)/FH82</f>
      </c>
      <c r="FI28" s="511">
        <f>(FI81*FI57)/FI82</f>
      </c>
      <c r="FJ28" s="511">
        <f>(FJ81*FJ57)/FJ82</f>
      </c>
      <c r="FK28" s="662">
        <f>FJ28</f>
      </c>
      <c r="FL28" s="511">
        <f>(FL81*FL57)/FL82</f>
      </c>
      <c r="FM28" s="511">
        <f>(FM81*FM57)/FM82</f>
      </c>
      <c r="FN28" s="511">
        <f>(FN81*FN57)/FN82</f>
      </c>
      <c r="FO28" s="511">
        <f>(FO81*FO57)/FO82</f>
      </c>
      <c r="FP28" s="662">
        <f>FO28</f>
      </c>
      <c r="FQ28" s="511">
        <f>(FQ81*FQ57)/FQ82</f>
      </c>
      <c r="FR28" s="511">
        <f>(FR81*FR57)/FR82</f>
      </c>
      <c r="FS28" s="511">
        <f>(FS81*FS57)/FS82</f>
      </c>
      <c r="FT28" s="511">
        <f>(FT81*FT57)/FT82</f>
      </c>
      <c r="FU28" s="662">
        <f>FT28</f>
      </c>
      <c r="FV28" s="511">
        <f>(FV81*FV57)/FV82</f>
      </c>
      <c r="FW28" s="511">
        <f>(FW81*FW57)/FW82</f>
      </c>
      <c r="FX28" s="511">
        <f>(FX81*FX57)/FX82</f>
      </c>
      <c r="FY28" s="511">
        <f>(FY81*FY57)/FY82</f>
      </c>
      <c r="FZ28" s="662">
        <f>FY28</f>
      </c>
      <c r="GA28" s="511">
        <f>(GA81*GA57)/GA82</f>
      </c>
      <c r="GB28" s="511">
        <f>(GB81*GB57)/GB82</f>
      </c>
      <c r="GC28" s="511">
        <f>(GC81*GC57)/GC82</f>
      </c>
      <c r="GD28" s="511">
        <f>(GD81*GD57)/GD82</f>
      </c>
      <c r="GE28" s="662">
        <f>GD28</f>
      </c>
      <c r="GF28" s="511">
        <f>(GF81*GF57)/GF82</f>
      </c>
      <c r="GG28" s="511">
        <f>(GG81*GG57)/GG82</f>
      </c>
      <c r="GH28" s="511">
        <f>(GH81*GH57)/GH82</f>
      </c>
      <c r="GI28" s="511">
        <f>(GI81*GI57)/GI82</f>
      </c>
      <c r="GJ28" s="662">
        <f>GI28</f>
      </c>
    </row>
    <row r="29" spans="1:192" s="277" customFormat="1" ht="12.75" customHeight="1">
      <c r="A29" s="274"/>
      <c r="B29" s="704" t="s">
        <v>93</v>
      </c>
      <c r="C29" s="448">
        <v>0</v>
      </c>
      <c r="D29" s="448">
        <v>0</v>
      </c>
      <c r="E29" s="448">
        <v>0</v>
      </c>
      <c r="F29" s="448">
        <v>0</v>
      </c>
      <c r="G29" s="373">
        <f t="shared" si="89"/>
      </c>
      <c r="H29" s="448">
        <v>0</v>
      </c>
      <c r="I29" s="448">
        <v>0</v>
      </c>
      <c r="J29" s="448">
        <v>0</v>
      </c>
      <c r="K29" s="448">
        <v>0</v>
      </c>
      <c r="L29" s="373">
        <f t="shared" si="90"/>
      </c>
      <c r="M29" s="448">
        <v>0</v>
      </c>
      <c r="N29" s="448">
        <v>0</v>
      </c>
      <c r="O29" s="448">
        <v>0</v>
      </c>
      <c r="P29" s="448">
        <v>0</v>
      </c>
      <c r="Q29" s="373">
        <f t="shared" si="91"/>
      </c>
      <c r="R29" s="448">
        <v>0</v>
      </c>
      <c r="S29" s="448">
        <v>0</v>
      </c>
      <c r="T29" s="448">
        <v>0</v>
      </c>
      <c r="U29" s="448">
        <v>0</v>
      </c>
      <c r="V29" s="373">
        <f t="shared" si="92"/>
      </c>
      <c r="W29" s="448">
        <v>0</v>
      </c>
      <c r="X29" s="448">
        <v>0</v>
      </c>
      <c r="Y29" s="448">
        <v>0</v>
      </c>
      <c r="Z29" s="448">
        <v>0</v>
      </c>
      <c r="AA29" s="373">
        <f t="shared" si="93"/>
      </c>
      <c r="AB29" s="448">
        <v>0</v>
      </c>
      <c r="AC29" s="448">
        <v>0</v>
      </c>
      <c r="AD29" s="448">
        <v>0</v>
      </c>
      <c r="AE29" s="448">
        <v>0</v>
      </c>
      <c r="AF29" s="373">
        <f t="shared" si="94"/>
      </c>
      <c r="AG29" s="448">
        <v>0</v>
      </c>
      <c r="AH29" s="448">
        <v>0</v>
      </c>
      <c r="AI29" s="448">
        <v>0</v>
      </c>
      <c r="AJ29" s="448">
        <v>0</v>
      </c>
      <c r="AK29" s="373">
        <f t="shared" si="95"/>
      </c>
      <c r="AL29" s="448">
        <v>0</v>
      </c>
      <c r="AM29" s="448">
        <v>0</v>
      </c>
      <c r="AN29" s="448">
        <v>0</v>
      </c>
      <c r="AO29" s="448">
        <v>0</v>
      </c>
      <c r="AP29" s="373">
        <f t="shared" si="96"/>
      </c>
      <c r="AQ29" s="448">
        <v>0</v>
      </c>
      <c r="AR29" s="448">
        <v>0</v>
      </c>
      <c r="AS29" s="448">
        <v>0</v>
      </c>
      <c r="AT29" s="448">
        <v>0</v>
      </c>
      <c r="AU29" s="373">
        <f t="shared" si="97"/>
      </c>
      <c r="AV29" s="633">
        <v>0</v>
      </c>
      <c r="AW29" s="633">
        <v>0</v>
      </c>
      <c r="AX29" s="633">
        <v>0</v>
      </c>
      <c r="AY29" s="633">
        <v>0</v>
      </c>
      <c r="AZ29" s="373">
        <f t="shared" si="98"/>
      </c>
      <c r="BA29" s="448">
        <v>0</v>
      </c>
      <c r="BB29" s="448">
        <v>0</v>
      </c>
      <c r="BC29" s="448">
        <v>0</v>
      </c>
      <c r="BD29" s="448">
        <v>0</v>
      </c>
      <c r="BE29" s="373">
        <f t="shared" si="99"/>
      </c>
      <c r="BF29" s="448">
        <v>0</v>
      </c>
      <c r="BG29" s="448">
        <v>0</v>
      </c>
      <c r="BH29" s="448">
        <v>0</v>
      </c>
      <c r="BI29" s="448">
        <v>0</v>
      </c>
      <c r="BJ29" s="373">
        <f t="shared" si="100"/>
      </c>
      <c r="BK29" s="448">
        <v>0</v>
      </c>
      <c r="BL29" s="448">
        <v>0</v>
      </c>
      <c r="BM29" s="448">
        <v>0</v>
      </c>
      <c r="BN29" s="448">
        <v>0</v>
      </c>
      <c r="BO29" s="373">
        <f t="shared" si="101"/>
      </c>
      <c r="BP29" s="448">
        <v>0</v>
      </c>
      <c r="BQ29" s="448">
        <v>0</v>
      </c>
      <c r="BR29" s="448">
        <v>0</v>
      </c>
      <c r="BS29" s="448">
        <v>0</v>
      </c>
      <c r="BT29" s="373">
        <f t="shared" si="102"/>
      </c>
      <c r="BU29" s="448">
        <v>1975</v>
      </c>
      <c r="BV29" s="448">
        <v>2000</v>
      </c>
      <c r="BW29" s="448">
        <v>1999</v>
      </c>
      <c r="BX29" s="448">
        <v>2000</v>
      </c>
      <c r="BY29" s="373">
        <f t="shared" si="103"/>
      </c>
      <c r="BZ29" s="448">
        <v>2250</v>
      </c>
      <c r="CA29" s="448">
        <v>2249</v>
      </c>
      <c r="CB29" s="448">
        <v>2249</v>
      </c>
      <c r="CC29" s="448">
        <v>1000</v>
      </c>
      <c r="CD29" s="373">
        <f t="shared" si="104"/>
      </c>
      <c r="CE29" s="448">
        <v>1000</v>
      </c>
      <c r="CF29" s="448">
        <v>0</v>
      </c>
      <c r="CG29" s="448">
        <v>0</v>
      </c>
      <c r="CH29" s="448">
        <v>0</v>
      </c>
      <c r="CI29" s="373">
        <f t="shared" si="105"/>
      </c>
      <c r="CJ29" s="448">
        <v>0</v>
      </c>
      <c r="CK29" s="448">
        <v>0</v>
      </c>
      <c r="CL29" s="448">
        <v>0</v>
      </c>
      <c r="CM29" s="448">
        <v>0</v>
      </c>
      <c r="CN29" s="373">
        <f t="shared" si="106"/>
      </c>
      <c r="CO29" s="448">
        <v>0</v>
      </c>
      <c r="CP29" s="448">
        <v>0</v>
      </c>
      <c r="CQ29" s="448">
        <v>0</v>
      </c>
      <c r="CR29" s="448">
        <v>0</v>
      </c>
      <c r="CS29" s="373">
        <f t="shared" si="107"/>
      </c>
      <c r="CT29" s="448">
        <v>1300</v>
      </c>
      <c r="CU29" s="448">
        <v>300</v>
      </c>
      <c r="CV29" s="448">
        <v>0</v>
      </c>
      <c r="CW29" s="448">
        <v>0</v>
      </c>
      <c r="CX29" s="373">
        <f t="shared" si="108"/>
      </c>
      <c r="CY29" s="448">
        <v>3500</v>
      </c>
      <c r="CZ29" s="448">
        <v>8299</v>
      </c>
      <c r="DA29" s="448">
        <v>1725</v>
      </c>
      <c r="DB29" s="448">
        <v>4985</v>
      </c>
      <c r="DC29" s="373">
        <f t="shared" si="109"/>
      </c>
      <c r="DD29" s="448">
        <v>9998</v>
      </c>
      <c r="DE29" s="448">
        <v>3000</v>
      </c>
      <c r="DF29" s="448">
        <v>5498</v>
      </c>
      <c r="DG29" s="448">
        <v>12904</v>
      </c>
      <c r="DH29" s="373">
        <f t="shared" si="110"/>
      </c>
      <c r="DI29" s="633">
        <v>14536</v>
      </c>
      <c r="DJ29" s="633">
        <v>25065</v>
      </c>
      <c r="DK29" s="633">
        <v>7187</v>
      </c>
      <c r="DL29" s="633">
        <v>9072</v>
      </c>
      <c r="DM29" s="373">
        <f t="shared" si="111"/>
      </c>
      <c r="DN29" s="633">
        <v>8170</v>
      </c>
      <c r="DO29" s="633">
        <v>12466</v>
      </c>
      <c r="DP29" s="633">
        <v>230</v>
      </c>
      <c r="DQ29" s="633">
        <v>0</v>
      </c>
      <c r="DR29" s="373">
        <f t="shared" si="112"/>
      </c>
      <c r="DS29" s="633">
        <v>0</v>
      </c>
      <c r="DT29" s="633">
        <v>0</v>
      </c>
      <c r="DU29" s="633">
        <v>0</v>
      </c>
      <c r="DV29" s="633">
        <v>0</v>
      </c>
      <c r="DW29" s="373">
        <f t="shared" si="113"/>
      </c>
      <c r="DX29" s="633">
        <v>0</v>
      </c>
      <c r="DY29" s="633">
        <v>0</v>
      </c>
      <c r="DZ29" s="633">
        <v>0</v>
      </c>
      <c r="EA29" s="633">
        <v>0</v>
      </c>
      <c r="EB29" s="373">
        <f t="shared" si="114"/>
      </c>
      <c r="EC29" s="633">
        <v>0</v>
      </c>
      <c r="ED29" s="633">
        <v>0</v>
      </c>
      <c r="EE29" s="633">
        <v>0</v>
      </c>
      <c r="EF29" s="633">
        <v>0</v>
      </c>
      <c r="EG29" s="373">
        <f t="shared" si="115"/>
      </c>
      <c r="EH29" s="633">
        <v>0</v>
      </c>
      <c r="EI29" s="633">
        <v>0</v>
      </c>
      <c r="EJ29" s="633">
        <v>0</v>
      </c>
      <c r="EK29" s="633">
        <v>0</v>
      </c>
      <c r="EL29" s="373">
        <f t="shared" si="116"/>
      </c>
      <c r="EM29" s="448">
        <v>0</v>
      </c>
      <c r="EN29" s="448">
        <v>0</v>
      </c>
      <c r="EO29" s="448">
        <v>0</v>
      </c>
      <c r="EP29" s="448">
        <v>0</v>
      </c>
      <c r="EQ29" s="373">
        <f t="shared" si="117"/>
      </c>
      <c r="ER29" s="939">
        <v>25808</v>
      </c>
      <c r="ES29" s="448">
        <v>27041</v>
      </c>
      <c r="ET29" s="954">
        <v>20535</v>
      </c>
      <c r="EU29" s="954">
        <v>6693</v>
      </c>
      <c r="EV29" s="662">
        <f t="shared" si="118"/>
      </c>
      <c r="EW29" s="954">
        <v>0</v>
      </c>
      <c r="EX29" s="954">
        <v>0</v>
      </c>
      <c r="EY29" s="954">
        <v>0</v>
      </c>
      <c r="EZ29" s="954">
        <v>0</v>
      </c>
      <c r="FA29" s="662">
        <f t="shared" si="119"/>
      </c>
      <c r="FB29" s="929">
        <f>EZ29</f>
      </c>
      <c r="FC29" s="929">
        <f t="shared" ref="FC29:FE31" si="120">FB29</f>
      </c>
      <c r="FD29" s="929">
        <f t="shared" si="120"/>
      </c>
      <c r="FE29" s="929">
        <f t="shared" si="120"/>
      </c>
      <c r="FF29" s="662">
        <f>FE29</f>
      </c>
      <c r="FG29" s="929">
        <f>FE29</f>
      </c>
      <c r="FH29" s="929">
        <f t="shared" ref="FH29:FJ31" si="121">FG29</f>
      </c>
      <c r="FI29" s="929">
        <f t="shared" si="121"/>
      </c>
      <c r="FJ29" s="929">
        <f t="shared" si="121"/>
      </c>
      <c r="FK29" s="662">
        <f>FJ29</f>
      </c>
      <c r="FL29" s="929">
        <f>FJ29</f>
      </c>
      <c r="FM29" s="929">
        <f t="shared" ref="FM29:FO31" si="122">FL29</f>
      </c>
      <c r="FN29" s="929">
        <f t="shared" si="122"/>
      </c>
      <c r="FO29" s="929">
        <f t="shared" si="122"/>
      </c>
      <c r="FP29" s="662">
        <f>FO29</f>
      </c>
      <c r="FQ29" s="929">
        <f>FO29</f>
      </c>
      <c r="FR29" s="929">
        <f t="shared" ref="FR29:FT31" si="123">FQ29</f>
      </c>
      <c r="FS29" s="929">
        <f t="shared" si="123"/>
      </c>
      <c r="FT29" s="929">
        <f t="shared" si="123"/>
      </c>
      <c r="FU29" s="662">
        <f>FT29</f>
      </c>
      <c r="FV29" s="929">
        <f>FT29</f>
      </c>
      <c r="FW29" s="929">
        <f t="shared" ref="FW29:FY31" si="124">FV29</f>
      </c>
      <c r="FX29" s="929">
        <f t="shared" si="124"/>
      </c>
      <c r="FY29" s="929">
        <f t="shared" si="124"/>
      </c>
      <c r="FZ29" s="662">
        <f>FY29</f>
      </c>
      <c r="GA29" s="929">
        <f>FY29</f>
      </c>
      <c r="GB29" s="929">
        <f t="shared" ref="GB29:GD31" si="125">GA29</f>
      </c>
      <c r="GC29" s="929">
        <f t="shared" si="125"/>
      </c>
      <c r="GD29" s="929">
        <f t="shared" si="125"/>
      </c>
      <c r="GE29" s="662">
        <f>GD29</f>
      </c>
      <c r="GF29" s="929">
        <f>GD29</f>
      </c>
      <c r="GG29" s="929">
        <f t="shared" ref="GG29:GG31" si="126">GF29</f>
      </c>
      <c r="GH29" s="929">
        <f t="shared" ref="GH29:GH31" si="127">GG29</f>
      </c>
      <c r="GI29" s="929">
        <f t="shared" ref="GI29:GI31" si="128">GH29</f>
      </c>
      <c r="GJ29" s="662">
        <f>GI29</f>
      </c>
    </row>
    <row r="30" spans="1:192" s="277" customFormat="1" ht="12.75" customHeight="1">
      <c r="A30" s="274"/>
      <c r="B30" s="704" t="s">
        <v>94</v>
      </c>
      <c r="C30" s="448">
        <v>0</v>
      </c>
      <c r="D30" s="448">
        <v>0</v>
      </c>
      <c r="E30" s="448">
        <v>0</v>
      </c>
      <c r="F30" s="448">
        <v>0</v>
      </c>
      <c r="G30" s="373">
        <f t="shared" si="89"/>
      </c>
      <c r="H30" s="448">
        <v>0</v>
      </c>
      <c r="I30" s="448">
        <v>0</v>
      </c>
      <c r="J30" s="448">
        <v>0</v>
      </c>
      <c r="K30" s="448">
        <v>0</v>
      </c>
      <c r="L30" s="373">
        <f t="shared" si="90"/>
      </c>
      <c r="M30" s="448">
        <v>0</v>
      </c>
      <c r="N30" s="448">
        <v>0</v>
      </c>
      <c r="O30" s="448">
        <v>0</v>
      </c>
      <c r="P30" s="448">
        <v>0</v>
      </c>
      <c r="Q30" s="373">
        <f t="shared" si="91"/>
      </c>
      <c r="R30" s="448">
        <v>0</v>
      </c>
      <c r="S30" s="448">
        <v>0</v>
      </c>
      <c r="T30" s="448">
        <v>0</v>
      </c>
      <c r="U30" s="448">
        <v>0</v>
      </c>
      <c r="V30" s="373">
        <f t="shared" si="92"/>
      </c>
      <c r="W30" s="448">
        <v>0</v>
      </c>
      <c r="X30" s="448">
        <v>0</v>
      </c>
      <c r="Y30" s="448">
        <v>0</v>
      </c>
      <c r="Z30" s="448">
        <v>0</v>
      </c>
      <c r="AA30" s="373">
        <f t="shared" si="93"/>
      </c>
      <c r="AB30" s="448">
        <v>0</v>
      </c>
      <c r="AC30" s="448">
        <v>0</v>
      </c>
      <c r="AD30" s="448">
        <v>0</v>
      </c>
      <c r="AE30" s="448">
        <v>0</v>
      </c>
      <c r="AF30" s="373">
        <f t="shared" si="94"/>
      </c>
      <c r="AG30" s="448">
        <v>0</v>
      </c>
      <c r="AH30" s="448">
        <v>0</v>
      </c>
      <c r="AI30" s="448">
        <v>0</v>
      </c>
      <c r="AJ30" s="448">
        <v>0</v>
      </c>
      <c r="AK30" s="373">
        <f t="shared" si="95"/>
      </c>
      <c r="AL30" s="448">
        <v>0</v>
      </c>
      <c r="AM30" s="448">
        <v>0</v>
      </c>
      <c r="AN30" s="448">
        <v>0</v>
      </c>
      <c r="AO30" s="448">
        <v>0</v>
      </c>
      <c r="AP30" s="373">
        <f t="shared" si="96"/>
      </c>
      <c r="AQ30" s="448">
        <v>0</v>
      </c>
      <c r="AR30" s="448">
        <v>0</v>
      </c>
      <c r="AS30" s="448">
        <v>0</v>
      </c>
      <c r="AT30" s="448">
        <v>0</v>
      </c>
      <c r="AU30" s="373">
        <f t="shared" si="97"/>
      </c>
      <c r="AV30" s="633">
        <v>0</v>
      </c>
      <c r="AW30" s="633">
        <v>0</v>
      </c>
      <c r="AX30" s="633">
        <v>0</v>
      </c>
      <c r="AY30" s="633">
        <v>0</v>
      </c>
      <c r="AZ30" s="373">
        <f t="shared" si="98"/>
      </c>
      <c r="BA30" s="448">
        <v>0</v>
      </c>
      <c r="BB30" s="448">
        <v>0</v>
      </c>
      <c r="BC30" s="448">
        <v>0</v>
      </c>
      <c r="BD30" s="448">
        <v>0</v>
      </c>
      <c r="BE30" s="373">
        <f t="shared" si="99"/>
      </c>
      <c r="BF30" s="448">
        <v>0</v>
      </c>
      <c r="BG30" s="448">
        <v>0</v>
      </c>
      <c r="BH30" s="448">
        <v>0</v>
      </c>
      <c r="BI30" s="448">
        <v>0</v>
      </c>
      <c r="BJ30" s="373">
        <f t="shared" si="100"/>
      </c>
      <c r="BK30" s="448">
        <v>0</v>
      </c>
      <c r="BL30" s="448">
        <v>0</v>
      </c>
      <c r="BM30" s="448">
        <v>0</v>
      </c>
      <c r="BN30" s="448">
        <v>0</v>
      </c>
      <c r="BO30" s="373">
        <f t="shared" si="101"/>
      </c>
      <c r="BP30" s="448">
        <v>0</v>
      </c>
      <c r="BQ30" s="448">
        <v>0</v>
      </c>
      <c r="BR30" s="448">
        <v>0</v>
      </c>
      <c r="BS30" s="448">
        <v>0</v>
      </c>
      <c r="BT30" s="373">
        <f t="shared" si="102"/>
      </c>
      <c r="BU30" s="633">
        <v>0</v>
      </c>
      <c r="BV30" s="633">
        <v>0</v>
      </c>
      <c r="BW30" s="633">
        <v>0</v>
      </c>
      <c r="BX30" s="633">
        <v>0</v>
      </c>
      <c r="BY30" s="373">
        <f t="shared" si="103"/>
      </c>
      <c r="BZ30" s="448">
        <v>0</v>
      </c>
      <c r="CA30" s="448">
        <v>0</v>
      </c>
      <c r="CB30" s="448">
        <v>0</v>
      </c>
      <c r="CC30" s="448">
        <v>0</v>
      </c>
      <c r="CD30" s="373">
        <f t="shared" si="104"/>
      </c>
      <c r="CE30" s="448">
        <v>0</v>
      </c>
      <c r="CF30" s="448">
        <v>0</v>
      </c>
      <c r="CG30" s="448">
        <v>0</v>
      </c>
      <c r="CH30" s="448">
        <v>0</v>
      </c>
      <c r="CI30" s="373">
        <f t="shared" si="105"/>
      </c>
      <c r="CJ30" s="448">
        <v>0</v>
      </c>
      <c r="CK30" s="448">
        <v>0</v>
      </c>
      <c r="CL30" s="448">
        <v>0</v>
      </c>
      <c r="CM30" s="448">
        <v>1231</v>
      </c>
      <c r="CN30" s="373">
        <f t="shared" si="106"/>
      </c>
      <c r="CO30" s="448">
        <v>2236</v>
      </c>
      <c r="CP30" s="448">
        <v>2241</v>
      </c>
      <c r="CQ30" s="448">
        <v>2246</v>
      </c>
      <c r="CR30" s="448">
        <v>2999</v>
      </c>
      <c r="CS30" s="373">
        <f t="shared" si="107"/>
      </c>
      <c r="CT30" s="448">
        <v>2000</v>
      </c>
      <c r="CU30" s="448">
        <v>2000</v>
      </c>
      <c r="CV30" s="448">
        <v>2000</v>
      </c>
      <c r="CW30" s="448">
        <v>2000</v>
      </c>
      <c r="CX30" s="373">
        <f t="shared" si="108"/>
      </c>
      <c r="CY30" s="448">
        <v>1748</v>
      </c>
      <c r="CZ30" s="448">
        <v>1749</v>
      </c>
      <c r="DA30" s="448">
        <v>2499</v>
      </c>
      <c r="DB30" s="448">
        <v>2499</v>
      </c>
      <c r="DC30" s="373">
        <f t="shared" si="109"/>
      </c>
      <c r="DD30" s="448">
        <v>750</v>
      </c>
      <c r="DE30" s="448">
        <v>750</v>
      </c>
      <c r="DF30" s="448">
        <v>0</v>
      </c>
      <c r="DG30" s="448">
        <v>0</v>
      </c>
      <c r="DH30" s="373">
        <f t="shared" si="110"/>
      </c>
      <c r="DI30" s="633">
        <v>0</v>
      </c>
      <c r="DJ30" s="633">
        <v>599</v>
      </c>
      <c r="DK30" s="633">
        <v>599</v>
      </c>
      <c r="DL30" s="633">
        <v>1049</v>
      </c>
      <c r="DM30" s="373">
        <f t="shared" si="111"/>
      </c>
      <c r="DN30" s="633">
        <v>1050</v>
      </c>
      <c r="DO30" s="448">
        <v>3446</v>
      </c>
      <c r="DP30" s="448">
        <v>3447</v>
      </c>
      <c r="DQ30" s="448">
        <v>3998</v>
      </c>
      <c r="DR30" s="373">
        <f t="shared" si="112"/>
      </c>
      <c r="DS30" s="633">
        <v>6497</v>
      </c>
      <c r="DT30" s="448">
        <v>3516</v>
      </c>
      <c r="DU30" s="448">
        <v>6515</v>
      </c>
      <c r="DV30" s="448">
        <v>5516</v>
      </c>
      <c r="DW30" s="373">
        <f t="shared" si="113"/>
      </c>
      <c r="DX30" s="633">
        <v>3017</v>
      </c>
      <c r="DY30" s="448">
        <v>6247</v>
      </c>
      <c r="DZ30" s="448">
        <v>3748</v>
      </c>
      <c r="EA30" s="448">
        <v>3749</v>
      </c>
      <c r="EB30" s="373">
        <f t="shared" si="114"/>
      </c>
      <c r="EC30" s="448">
        <v>6497</v>
      </c>
      <c r="ED30" s="448">
        <v>5387</v>
      </c>
      <c r="EE30" s="448">
        <v>8051</v>
      </c>
      <c r="EF30" s="448">
        <v>8072</v>
      </c>
      <c r="EG30" s="373">
        <f t="shared" si="115"/>
      </c>
      <c r="EH30" s="448">
        <v>3249</v>
      </c>
      <c r="EI30" s="448">
        <v>4998</v>
      </c>
      <c r="EJ30" s="448">
        <v>1749</v>
      </c>
      <c r="EK30" s="448">
        <v>2749</v>
      </c>
      <c r="EL30" s="373">
        <f t="shared" si="116"/>
      </c>
      <c r="EM30" s="448">
        <v>3248</v>
      </c>
      <c r="EN30" s="448">
        <v>3997</v>
      </c>
      <c r="EO30" s="448">
        <v>6245</v>
      </c>
      <c r="EP30" s="448">
        <v>5247</v>
      </c>
      <c r="EQ30" s="373">
        <f t="shared" si="117"/>
      </c>
      <c r="ER30" s="939">
        <v>3748</v>
      </c>
      <c r="ES30" s="448">
        <v>2250</v>
      </c>
      <c r="ET30" s="954">
        <v>2249</v>
      </c>
      <c r="EU30" s="954">
        <v>2249</v>
      </c>
      <c r="EV30" s="662">
        <f t="shared" si="118"/>
      </c>
      <c r="EW30" s="954">
        <v>2249</v>
      </c>
      <c r="EX30" s="954">
        <v>5248</v>
      </c>
      <c r="EY30" s="954">
        <v>2999</v>
      </c>
      <c r="EZ30" s="954">
        <v>2999</v>
      </c>
      <c r="FA30" s="662">
        <f t="shared" si="119"/>
      </c>
      <c r="FB30" s="929">
        <f>EZ30</f>
      </c>
      <c r="FC30" s="929">
        <f t="shared" si="120"/>
      </c>
      <c r="FD30" s="929">
        <f t="shared" si="120"/>
      </c>
      <c r="FE30" s="929">
        <f t="shared" si="120"/>
      </c>
      <c r="FF30" s="662">
        <f>FE30</f>
      </c>
      <c r="FG30" s="929">
        <f>FE30</f>
      </c>
      <c r="FH30" s="929">
        <f t="shared" si="121"/>
      </c>
      <c r="FI30" s="929">
        <f t="shared" si="121"/>
      </c>
      <c r="FJ30" s="929">
        <f t="shared" si="121"/>
      </c>
      <c r="FK30" s="662">
        <f>FJ30</f>
      </c>
      <c r="FL30" s="929">
        <f>FJ30</f>
      </c>
      <c r="FM30" s="929">
        <f t="shared" si="122"/>
      </c>
      <c r="FN30" s="929">
        <f t="shared" si="122"/>
      </c>
      <c r="FO30" s="929">
        <f t="shared" si="122"/>
      </c>
      <c r="FP30" s="662">
        <f>FO30</f>
      </c>
      <c r="FQ30" s="929">
        <f>FO30</f>
      </c>
      <c r="FR30" s="929">
        <f t="shared" si="123"/>
      </c>
      <c r="FS30" s="929">
        <f t="shared" si="123"/>
      </c>
      <c r="FT30" s="929">
        <f t="shared" si="123"/>
      </c>
      <c r="FU30" s="662">
        <f>FT30</f>
      </c>
      <c r="FV30" s="929">
        <f>FT30</f>
      </c>
      <c r="FW30" s="929">
        <f t="shared" si="124"/>
      </c>
      <c r="FX30" s="929">
        <f t="shared" si="124"/>
      </c>
      <c r="FY30" s="929">
        <f t="shared" si="124"/>
      </c>
      <c r="FZ30" s="662">
        <f>FY30</f>
      </c>
      <c r="GA30" s="929">
        <f>FY30</f>
      </c>
      <c r="GB30" s="929">
        <f t="shared" si="125"/>
      </c>
      <c r="GC30" s="929">
        <f t="shared" si="125"/>
      </c>
      <c r="GD30" s="929">
        <f t="shared" si="125"/>
      </c>
      <c r="GE30" s="662">
        <f>GD30</f>
      </c>
      <c r="GF30" s="929">
        <f>GD30</f>
      </c>
      <c r="GG30" s="929">
        <f t="shared" si="126"/>
      </c>
      <c r="GH30" s="929">
        <f t="shared" si="127"/>
      </c>
      <c r="GI30" s="929">
        <f t="shared" si="128"/>
      </c>
      <c r="GJ30" s="662">
        <f>GI30</f>
      </c>
    </row>
    <row r="31" spans="1:192" s="277" customFormat="1" ht="12.75" customHeight="1">
      <c r="A31" s="274"/>
      <c r="B31" s="704" t="s">
        <v>95</v>
      </c>
      <c r="C31" s="448">
        <v>81</v>
      </c>
      <c r="D31" s="448">
        <v>110</v>
      </c>
      <c r="E31" s="448">
        <v>89</v>
      </c>
      <c r="F31" s="448">
        <v>130</v>
      </c>
      <c r="G31" s="373">
        <f t="shared" si="89"/>
      </c>
      <c r="H31" s="448">
        <v>103</v>
      </c>
      <c r="I31" s="448">
        <v>148</v>
      </c>
      <c r="J31" s="448">
        <v>142</v>
      </c>
      <c r="K31" s="448">
        <v>202</v>
      </c>
      <c r="L31" s="373">
        <f t="shared" si="90"/>
      </c>
      <c r="M31" s="448">
        <v>196</v>
      </c>
      <c r="N31" s="448">
        <v>289</v>
      </c>
      <c r="O31" s="448">
        <v>209</v>
      </c>
      <c r="P31" s="448">
        <v>336</v>
      </c>
      <c r="Q31" s="373">
        <f t="shared" si="91"/>
      </c>
      <c r="R31" s="448">
        <v>193</v>
      </c>
      <c r="S31" s="448">
        <v>248</v>
      </c>
      <c r="T31" s="448">
        <v>225</v>
      </c>
      <c r="U31" s="448">
        <v>359</v>
      </c>
      <c r="V31" s="373">
        <f t="shared" si="92"/>
      </c>
      <c r="W31" s="448">
        <v>307</v>
      </c>
      <c r="X31" s="448">
        <v>392</v>
      </c>
      <c r="Y31" s="448">
        <v>289</v>
      </c>
      <c r="Z31" s="448">
        <v>396</v>
      </c>
      <c r="AA31" s="373">
        <f t="shared" si="93"/>
      </c>
      <c r="AB31" s="448">
        <v>313</v>
      </c>
      <c r="AC31" s="448">
        <v>533</v>
      </c>
      <c r="AD31" s="448">
        <v>373</v>
      </c>
      <c r="AE31" s="448">
        <v>557</v>
      </c>
      <c r="AF31" s="373">
        <f t="shared" si="94"/>
      </c>
      <c r="AG31" s="448">
        <v>420</v>
      </c>
      <c r="AH31" s="448">
        <v>564</v>
      </c>
      <c r="AI31" s="448">
        <v>501</v>
      </c>
      <c r="AJ31" s="448">
        <v>742</v>
      </c>
      <c r="AK31" s="373">
        <f t="shared" si="95"/>
      </c>
      <c r="AL31" s="448">
        <v>586</v>
      </c>
      <c r="AM31" s="448">
        <v>899</v>
      </c>
      <c r="AN31" s="448">
        <v>822</v>
      </c>
      <c r="AO31" s="448">
        <v>1145</v>
      </c>
      <c r="AP31" s="373">
        <f t="shared" si="96"/>
      </c>
      <c r="AQ31" s="448">
        <v>851</v>
      </c>
      <c r="AR31" s="448">
        <v>1060</v>
      </c>
      <c r="AS31" s="448">
        <v>1129</v>
      </c>
      <c r="AT31" s="448">
        <v>1416</v>
      </c>
      <c r="AU31" s="373">
        <f t="shared" si="97"/>
      </c>
      <c r="AV31" s="448">
        <v>869</v>
      </c>
      <c r="AW31" s="448">
        <v>1143</v>
      </c>
      <c r="AX31" s="448">
        <v>1224</v>
      </c>
      <c r="AY31" s="448">
        <v>1339</v>
      </c>
      <c r="AZ31" s="373">
        <f t="shared" si="98"/>
      </c>
      <c r="BA31" s="448">
        <v>918</v>
      </c>
      <c r="BB31" s="448">
        <v>1098</v>
      </c>
      <c r="BC31" s="448">
        <v>1289</v>
      </c>
      <c r="BD31" s="448">
        <v>1662</v>
      </c>
      <c r="BE31" s="373">
        <f t="shared" si="99"/>
      </c>
      <c r="BF31" s="448">
        <v>1196</v>
      </c>
      <c r="BG31" s="448">
        <v>1249</v>
      </c>
      <c r="BH31" s="448">
        <v>1516</v>
      </c>
      <c r="BI31" s="448">
        <v>1938</v>
      </c>
      <c r="BJ31" s="373">
        <f t="shared" si="100"/>
      </c>
      <c r="BK31" s="448">
        <v>1401</v>
      </c>
      <c r="BL31" s="448">
        <v>1559</v>
      </c>
      <c r="BM31" s="448">
        <v>1878</v>
      </c>
      <c r="BN31" s="448">
        <v>2325</v>
      </c>
      <c r="BO31" s="373">
        <f t="shared" si="101"/>
      </c>
      <c r="BP31" s="448">
        <v>1796</v>
      </c>
      <c r="BQ31" s="448">
        <v>1977</v>
      </c>
      <c r="BR31" s="448">
        <v>2427</v>
      </c>
      <c r="BS31" s="448">
        <v>2934</v>
      </c>
      <c r="BT31" s="373">
        <f t="shared" si="102"/>
      </c>
      <c r="BU31" s="448">
        <v>2138</v>
      </c>
      <c r="BV31" s="448">
        <v>2239</v>
      </c>
      <c r="BW31" s="448">
        <v>2644</v>
      </c>
      <c r="BX31" s="448">
        <v>3156</v>
      </c>
      <c r="BY31" s="373">
        <f t="shared" si="103"/>
      </c>
      <c r="BZ31" s="448">
        <v>2224</v>
      </c>
      <c r="CA31" s="448">
        <v>2417</v>
      </c>
      <c r="CB31" s="448">
        <v>2885</v>
      </c>
      <c r="CC31" s="448">
        <v>3283</v>
      </c>
      <c r="CD31" s="373">
        <f t="shared" si="104"/>
      </c>
      <c r="CE31" s="448">
        <v>2252</v>
      </c>
      <c r="CF31" s="448">
        <v>2402</v>
      </c>
      <c r="CG31" s="448">
        <v>2917</v>
      </c>
      <c r="CH31" s="448">
        <v>3575</v>
      </c>
      <c r="CI31" s="373">
        <f t="shared" si="105"/>
      </c>
      <c r="CJ31" s="448">
        <v>2388</v>
      </c>
      <c r="CK31" s="448">
        <v>2677</v>
      </c>
      <c r="CL31" s="448">
        <v>3272</v>
      </c>
      <c r="CM31" s="448">
        <v>3875</v>
      </c>
      <c r="CN31" s="373">
        <f t="shared" si="106"/>
      </c>
      <c r="CO31" s="448">
        <v>2666</v>
      </c>
      <c r="CP31" s="448">
        <v>2942</v>
      </c>
      <c r="CQ31" s="448">
        <v>3474</v>
      </c>
      <c r="CR31" s="448">
        <v>4117</v>
      </c>
      <c r="CS31" s="373">
        <f t="shared" si="107"/>
      </c>
      <c r="CT31" s="448">
        <v>2856</v>
      </c>
      <c r="CU31" s="448">
        <v>3169</v>
      </c>
      <c r="CV31" s="448">
        <v>3887</v>
      </c>
      <c r="CW31" s="448">
        <v>4797</v>
      </c>
      <c r="CX31" s="373">
        <f t="shared" si="108"/>
      </c>
      <c r="CY31" s="448">
        <v>3740</v>
      </c>
      <c r="CZ31" s="448">
        <v>3479</v>
      </c>
      <c r="DA31" s="448">
        <v>3902</v>
      </c>
      <c r="DB31" s="448">
        <v>5096</v>
      </c>
      <c r="DC31" s="373">
        <f t="shared" si="109"/>
      </c>
      <c r="DD31" s="448">
        <v>3450</v>
      </c>
      <c r="DE31" s="448">
        <v>3649</v>
      </c>
      <c r="DF31" s="448">
        <v>4276</v>
      </c>
      <c r="DG31" s="448">
        <v>5264</v>
      </c>
      <c r="DH31" s="373">
        <f t="shared" si="110"/>
      </c>
      <c r="DI31" s="448">
        <v>3621</v>
      </c>
      <c r="DJ31" s="448">
        <v>3982</v>
      </c>
      <c r="DK31" s="448">
        <v>4604</v>
      </c>
      <c r="DL31" s="448">
        <v>5819</v>
      </c>
      <c r="DM31" s="373">
        <f t="shared" si="111"/>
      </c>
      <c r="DN31" s="448">
        <v>4108</v>
      </c>
      <c r="DO31" s="448">
        <v>4427</v>
      </c>
      <c r="DP31" s="448">
        <v>5149</v>
      </c>
      <c r="DQ31" s="448">
        <v>6103</v>
      </c>
      <c r="DR31" s="373">
        <f t="shared" si="112"/>
      </c>
      <c r="DS31" s="448">
        <v>4271</v>
      </c>
      <c r="DT31" s="448">
        <v>4624</v>
      </c>
      <c r="DU31" s="448">
        <v>5764</v>
      </c>
      <c r="DV31" s="448">
        <v>6830</v>
      </c>
      <c r="DW31" s="373">
        <f t="shared" si="113"/>
      </c>
      <c r="DX31" s="448">
        <v>4676</v>
      </c>
      <c r="DY31" s="448">
        <v>5421</v>
      </c>
      <c r="DZ31" s="448">
        <v>6254</v>
      </c>
      <c r="EA31" s="448">
        <v>7874</v>
      </c>
      <c r="EB31" s="373">
        <f t="shared" si="114"/>
      </c>
      <c r="EC31" s="448">
        <v>5714</v>
      </c>
      <c r="ED31" s="448">
        <v>6838</v>
      </c>
      <c r="EE31" s="448">
        <v>8032</v>
      </c>
      <c r="EF31" s="448">
        <v>10057</v>
      </c>
      <c r="EG31" s="373">
        <f t="shared" si="115"/>
      </c>
      <c r="EH31" s="448">
        <v>6894</v>
      </c>
      <c r="EI31" s="448">
        <v>7782</v>
      </c>
      <c r="EJ31" s="448">
        <v>9067</v>
      </c>
      <c r="EK31" s="448">
        <v>10661</v>
      </c>
      <c r="EL31" s="373">
        <f t="shared" si="116"/>
      </c>
      <c r="EM31" s="448">
        <v>7405</v>
      </c>
      <c r="EN31" s="448">
        <v>9030</v>
      </c>
      <c r="EO31" s="448">
        <v>10411</v>
      </c>
      <c r="EP31" s="448">
        <v>11009</v>
      </c>
      <c r="EQ31" s="373">
        <f t="shared" si="117"/>
      </c>
      <c r="ER31" s="939">
        <v>6990</v>
      </c>
      <c r="ES31" s="448">
        <v>8813</v>
      </c>
      <c r="ET31" s="954">
        <v>10432</v>
      </c>
      <c r="EU31" s="954">
        <v>12564</v>
      </c>
      <c r="EV31" s="662">
        <f t="shared" si="118"/>
      </c>
      <c r="EW31" s="954">
        <v>8326</v>
      </c>
      <c r="EX31" s="954">
        <v>9176</v>
      </c>
      <c r="EY31" s="954">
        <v>10579</v>
      </c>
      <c r="EZ31" s="954">
        <v>13709</v>
      </c>
      <c r="FA31" s="662">
        <f t="shared" si="119"/>
      </c>
      <c r="FB31" s="929">
        <f>EZ31</f>
      </c>
      <c r="FC31" s="929">
        <f t="shared" si="120"/>
      </c>
      <c r="FD31" s="929">
        <f t="shared" si="120"/>
      </c>
      <c r="FE31" s="929">
        <f t="shared" si="120"/>
      </c>
      <c r="FF31" s="662">
        <f>FE31</f>
      </c>
      <c r="FG31" s="929">
        <f>FE31</f>
      </c>
      <c r="FH31" s="929">
        <f t="shared" si="121"/>
      </c>
      <c r="FI31" s="929">
        <f t="shared" si="121"/>
      </c>
      <c r="FJ31" s="929">
        <f t="shared" si="121"/>
      </c>
      <c r="FK31" s="662">
        <f>FJ31</f>
      </c>
      <c r="FL31" s="929">
        <f>FJ31</f>
      </c>
      <c r="FM31" s="929">
        <f t="shared" si="122"/>
      </c>
      <c r="FN31" s="929">
        <f t="shared" si="122"/>
      </c>
      <c r="FO31" s="929">
        <f t="shared" si="122"/>
      </c>
      <c r="FP31" s="662">
        <f>FO31</f>
      </c>
      <c r="FQ31" s="929">
        <f>FO31</f>
      </c>
      <c r="FR31" s="929">
        <f t="shared" si="123"/>
      </c>
      <c r="FS31" s="929">
        <f t="shared" si="123"/>
      </c>
      <c r="FT31" s="929">
        <f t="shared" si="123"/>
      </c>
      <c r="FU31" s="662">
        <f>FT31</f>
      </c>
      <c r="FV31" s="929">
        <f>FT31</f>
      </c>
      <c r="FW31" s="929">
        <f t="shared" si="124"/>
      </c>
      <c r="FX31" s="929">
        <f t="shared" si="124"/>
      </c>
      <c r="FY31" s="929">
        <f t="shared" si="124"/>
      </c>
      <c r="FZ31" s="662">
        <f>FY31</f>
      </c>
      <c r="GA31" s="929">
        <f>FY31</f>
      </c>
      <c r="GB31" s="929">
        <f t="shared" si="125"/>
      </c>
      <c r="GC31" s="929">
        <f t="shared" si="125"/>
      </c>
      <c r="GD31" s="929">
        <f t="shared" si="125"/>
      </c>
      <c r="GE31" s="662">
        <f>GD31</f>
      </c>
      <c r="GF31" s="929">
        <f>GD31</f>
      </c>
      <c r="GG31" s="929">
        <f t="shared" si="126"/>
      </c>
      <c r="GH31" s="929">
        <f t="shared" si="127"/>
      </c>
      <c r="GI31" s="929">
        <f t="shared" si="128"/>
      </c>
      <c r="GJ31" s="662">
        <f>GI31</f>
      </c>
    </row>
    <row r="32" spans="1:192" s="277" customFormat="1" ht="12.75" customHeight="1">
      <c r="A32" s="274"/>
      <c r="B32" s="704" t="s">
        <v>96</v>
      </c>
      <c r="C32" s="448">
        <v>369</v>
      </c>
      <c r="D32" s="448">
        <v>364</v>
      </c>
      <c r="E32" s="448">
        <v>385</v>
      </c>
      <c r="F32" s="448">
        <v>410</v>
      </c>
      <c r="G32" s="373">
        <f t="shared" si="89"/>
      </c>
      <c r="H32" s="448">
        <v>522</v>
      </c>
      <c r="I32" s="448">
        <v>680</v>
      </c>
      <c r="J32" s="448">
        <v>616</v>
      </c>
      <c r="K32" s="448">
        <v>484</v>
      </c>
      <c r="L32" s="373">
        <f t="shared" si="90"/>
      </c>
      <c r="M32" s="448">
        <v>514</v>
      </c>
      <c r="N32" s="448">
        <v>480</v>
      </c>
      <c r="O32" s="448">
        <v>463</v>
      </c>
      <c r="P32" s="448">
        <v>466</v>
      </c>
      <c r="Q32" s="373">
        <f t="shared" si="91"/>
      </c>
      <c r="R32" s="448">
        <v>554</v>
      </c>
      <c r="S32" s="448">
        <v>631</v>
      </c>
      <c r="T32" s="448">
        <v>527</v>
      </c>
      <c r="U32" s="448">
        <v>915</v>
      </c>
      <c r="V32" s="373">
        <f t="shared" si="92"/>
      </c>
      <c r="W32" s="448">
        <v>1244</v>
      </c>
      <c r="X32" s="448">
        <v>1642</v>
      </c>
      <c r="Y32" s="448">
        <v>1347</v>
      </c>
      <c r="Z32" s="448">
        <v>1607</v>
      </c>
      <c r="AA32" s="373">
        <f t="shared" si="93"/>
      </c>
      <c r="AB32" s="448">
        <v>1136</v>
      </c>
      <c r="AC32" s="448">
        <v>2103</v>
      </c>
      <c r="AD32" s="448">
        <v>1931</v>
      </c>
      <c r="AE32" s="448">
        <v>583</v>
      </c>
      <c r="AF32" s="373">
        <f t="shared" si="94"/>
      </c>
      <c r="AG32" s="448">
        <v>442</v>
      </c>
      <c r="AH32" s="448">
        <v>656</v>
      </c>
      <c r="AI32" s="448">
        <v>753</v>
      </c>
      <c r="AJ32" s="448">
        <v>1468</v>
      </c>
      <c r="AK32" s="373">
        <f t="shared" si="95"/>
      </c>
      <c r="AL32" s="448">
        <v>2131</v>
      </c>
      <c r="AM32" s="448">
        <v>2396</v>
      </c>
      <c r="AN32" s="448">
        <v>2477</v>
      </c>
      <c r="AO32" s="448">
        <v>2022</v>
      </c>
      <c r="AP32" s="373">
        <f t="shared" si="96"/>
      </c>
      <c r="AQ32" s="448">
        <v>3307</v>
      </c>
      <c r="AR32" s="448">
        <v>2954</v>
      </c>
      <c r="AS32" s="448">
        <v>2546</v>
      </c>
      <c r="AT32" s="448">
        <v>2044</v>
      </c>
      <c r="AU32" s="373">
        <f t="shared" si="97"/>
      </c>
      <c r="AV32" s="448">
        <v>2600</v>
      </c>
      <c r="AW32" s="448">
        <v>3500</v>
      </c>
      <c r="AX32" s="448">
        <v>3175</v>
      </c>
      <c r="AY32" s="448">
        <v>3478</v>
      </c>
      <c r="AZ32" s="373">
        <f t="shared" si="98"/>
      </c>
      <c r="BA32" s="448">
        <v>3640</v>
      </c>
      <c r="BB32" s="448">
        <v>3506</v>
      </c>
      <c r="BC32" s="448">
        <v>3479</v>
      </c>
      <c r="BD32" s="448">
        <v>2020</v>
      </c>
      <c r="BE32" s="373">
        <f t="shared" si="99"/>
      </c>
      <c r="BF32" s="448">
        <v>3123</v>
      </c>
      <c r="BG32" s="448">
        <v>2787</v>
      </c>
      <c r="BH32" s="448">
        <v>2805</v>
      </c>
      <c r="BI32" s="448">
        <v>1557</v>
      </c>
      <c r="BJ32" s="373">
        <f t="shared" si="100"/>
      </c>
      <c r="BK32" s="448">
        <v>1994</v>
      </c>
      <c r="BL32" s="448">
        <v>1337</v>
      </c>
      <c r="BM32" s="448">
        <v>1930</v>
      </c>
      <c r="BN32" s="448">
        <v>1040</v>
      </c>
      <c r="BO32" s="373">
        <f t="shared" si="101"/>
      </c>
      <c r="BP32" s="448">
        <v>1410</v>
      </c>
      <c r="BQ32" s="448">
        <v>863</v>
      </c>
      <c r="BR32" s="448">
        <v>3765</v>
      </c>
      <c r="BS32" s="448">
        <v>3248</v>
      </c>
      <c r="BT32" s="373">
        <f t="shared" si="102"/>
      </c>
      <c r="BU32" s="448">
        <v>514</v>
      </c>
      <c r="BV32" s="448">
        <v>848</v>
      </c>
      <c r="BW32" s="448">
        <v>773</v>
      </c>
      <c r="BX32" s="448">
        <v>725</v>
      </c>
      <c r="BY32" s="373">
        <f t="shared" si="103"/>
      </c>
      <c r="BZ32" s="448">
        <v>847</v>
      </c>
      <c r="CA32" s="448">
        <v>721</v>
      </c>
      <c r="CB32" s="448">
        <v>901</v>
      </c>
      <c r="CC32" s="448">
        <v>1074</v>
      </c>
      <c r="CD32" s="373">
        <f t="shared" si="104"/>
      </c>
      <c r="CE32" s="448">
        <v>2136</v>
      </c>
      <c r="CF32" s="448">
        <v>1439</v>
      </c>
      <c r="CG32" s="448">
        <v>839</v>
      </c>
      <c r="CH32" s="448">
        <v>580</v>
      </c>
      <c r="CI32" s="373">
        <f t="shared" si="105"/>
      </c>
      <c r="CJ32" s="448">
        <v>705</v>
      </c>
      <c r="CK32" s="448">
        <v>921</v>
      </c>
      <c r="CL32" s="448">
        <v>958</v>
      </c>
      <c r="CM32" s="448">
        <v>789</v>
      </c>
      <c r="CN32" s="373">
        <f t="shared" si="106"/>
      </c>
      <c r="CO32" s="448">
        <v>847</v>
      </c>
      <c r="CP32" s="448">
        <v>630</v>
      </c>
      <c r="CQ32" s="448">
        <v>689</v>
      </c>
      <c r="CR32" s="448">
        <v>592</v>
      </c>
      <c r="CS32" s="373">
        <f t="shared" si="107"/>
      </c>
      <c r="CT32" s="448">
        <v>834</v>
      </c>
      <c r="CU32" s="448">
        <v>591</v>
      </c>
      <c r="CV32" s="448">
        <v>694</v>
      </c>
      <c r="CW32" s="448">
        <v>782</v>
      </c>
      <c r="CX32" s="373">
        <f t="shared" si="108"/>
      </c>
      <c r="CY32" s="448">
        <v>903</v>
      </c>
      <c r="CZ32" s="448">
        <v>711</v>
      </c>
      <c r="DA32" s="448">
        <v>758</v>
      </c>
      <c r="DB32" s="448">
        <v>606</v>
      </c>
      <c r="DC32" s="373">
        <f t="shared" si="109"/>
      </c>
      <c r="DD32" s="448">
        <v>607</v>
      </c>
      <c r="DE32" s="448">
        <v>493</v>
      </c>
      <c r="DF32" s="448">
        <v>685</v>
      </c>
      <c r="DG32" s="448">
        <v>580</v>
      </c>
      <c r="DH32" s="373">
        <f t="shared" si="110"/>
      </c>
      <c r="DI32" s="448">
        <v>720</v>
      </c>
      <c r="DJ32" s="448">
        <v>508</v>
      </c>
      <c r="DK32" s="448">
        <v>654</v>
      </c>
      <c r="DL32" s="448">
        <v>718</v>
      </c>
      <c r="DM32" s="373">
        <f t="shared" si="111"/>
      </c>
      <c r="DN32" s="448">
        <v>920</v>
      </c>
      <c r="DO32" s="448">
        <v>788</v>
      </c>
      <c r="DP32" s="448">
        <v>814</v>
      </c>
      <c r="DQ32" s="448">
        <v>2121</v>
      </c>
      <c r="DR32" s="373">
        <f t="shared" si="112"/>
      </c>
      <c r="DS32" s="448">
        <v>2341</v>
      </c>
      <c r="DT32" s="448">
        <v>2033</v>
      </c>
      <c r="DU32" s="448">
        <v>1950</v>
      </c>
      <c r="DV32" s="448">
        <v>5665</v>
      </c>
      <c r="DW32" s="373">
        <f t="shared" si="113"/>
      </c>
      <c r="DX32" s="448">
        <v>3440</v>
      </c>
      <c r="DY32" s="448">
        <v>2687</v>
      </c>
      <c r="DZ32" s="448">
        <v>3296</v>
      </c>
      <c r="EA32" s="448">
        <v>2130</v>
      </c>
      <c r="EB32" s="373">
        <f t="shared" si="114"/>
      </c>
      <c r="EC32" s="448">
        <v>2384</v>
      </c>
      <c r="ED32" s="448">
        <v>1562</v>
      </c>
      <c r="EE32" s="448">
        <v>2165</v>
      </c>
      <c r="EF32" s="448">
        <v>2174</v>
      </c>
      <c r="EG32" s="373">
        <f t="shared" si="115"/>
      </c>
      <c r="EH32" s="448">
        <v>6272</v>
      </c>
      <c r="EI32" s="448">
        <v>3731</v>
      </c>
      <c r="EJ32" s="448">
        <v>4646</v>
      </c>
      <c r="EK32" s="448">
        <v>4067</v>
      </c>
      <c r="EL32" s="373">
        <f t="shared" si="116"/>
      </c>
      <c r="EM32" s="448">
        <v>6729</v>
      </c>
      <c r="EN32" s="448">
        <v>3553</v>
      </c>
      <c r="EO32" s="448">
        <v>4163</v>
      </c>
      <c r="EP32" s="448">
        <v>4152</v>
      </c>
      <c r="EQ32" s="373">
        <f t="shared" si="117"/>
      </c>
      <c r="ER32" s="939">
        <v>8035</v>
      </c>
      <c r="ES32" s="448">
        <v>5787</v>
      </c>
      <c r="ET32" s="954">
        <v>7311</v>
      </c>
      <c r="EU32" s="954">
        <v>5017</v>
      </c>
      <c r="EV32" s="662">
        <f t="shared" si="118"/>
      </c>
      <c r="EW32" s="954">
        <v>9717</v>
      </c>
      <c r="EX32" s="954">
        <v>6056</v>
      </c>
      <c r="EY32" s="954">
        <v>6805</v>
      </c>
      <c r="EZ32" s="954">
        <v>7211</v>
      </c>
      <c r="FA32" s="662">
        <f t="shared" si="119"/>
      </c>
      <c r="FB32" s="930">
        <f>FB56*FB87*FB90</f>
      </c>
      <c r="FC32" s="930">
        <f>FC56*FC87*FC90</f>
      </c>
      <c r="FD32" s="930">
        <f>FD56*FD87*FD90</f>
      </c>
      <c r="FE32" s="930">
        <f>FE56*FE87*FE90</f>
      </c>
      <c r="FF32" s="662">
        <f>FE32</f>
      </c>
      <c r="FG32" s="930">
        <f>FG56*FG87*FG90</f>
      </c>
      <c r="FH32" s="930">
        <f>FH56*FH87*FH90</f>
      </c>
      <c r="FI32" s="930">
        <f>FI56*FI87*FI90</f>
      </c>
      <c r="FJ32" s="930">
        <f>FJ56*FJ87*FJ90</f>
      </c>
      <c r="FK32" s="662">
        <f>FJ32</f>
      </c>
      <c r="FL32" s="930">
        <f>FL56*FL87*FL90</f>
      </c>
      <c r="FM32" s="930">
        <f>FM56*FM87*FM90</f>
      </c>
      <c r="FN32" s="930">
        <f>FN56*FN87*FN90</f>
      </c>
      <c r="FO32" s="930">
        <f>FO56*FO87*FO90</f>
      </c>
      <c r="FP32" s="662">
        <f>FO32</f>
      </c>
      <c r="FQ32" s="930">
        <f>FQ56*FQ87*FQ90</f>
      </c>
      <c r="FR32" s="930">
        <f>FR56*FR87*FR90</f>
      </c>
      <c r="FS32" s="930">
        <f>FS56*FS87*FS90</f>
      </c>
      <c r="FT32" s="930">
        <f>FT56*FT87*FT90</f>
      </c>
      <c r="FU32" s="662">
        <f>FT32</f>
      </c>
      <c r="FV32" s="930">
        <f>FV56*FV87*FV90</f>
      </c>
      <c r="FW32" s="930">
        <f>FW56*FW87*FW90</f>
      </c>
      <c r="FX32" s="930">
        <f>FX56*FX87*FX90</f>
      </c>
      <c r="FY32" s="930">
        <f>FY56*FY87*FY90</f>
      </c>
      <c r="FZ32" s="662">
        <f>FY32</f>
      </c>
      <c r="GA32" s="930">
        <f>GA56*GA87*GA90</f>
      </c>
      <c r="GB32" s="930">
        <f>GB56*GB87*GB90</f>
      </c>
      <c r="GC32" s="930">
        <f>GC56*GC87*GC90</f>
      </c>
      <c r="GD32" s="930">
        <f>GD56*GD87*GD90</f>
      </c>
      <c r="GE32" s="662">
        <f>GD32</f>
      </c>
      <c r="GF32" s="930">
        <f>GF56*GF87*GF90</f>
      </c>
      <c r="GG32" s="930">
        <f>GG56*GG87*GG90</f>
      </c>
      <c r="GH32" s="930">
        <f>GH56*GH87*GH90</f>
      </c>
      <c r="GI32" s="930">
        <f>GI56*GI87*GI90</f>
      </c>
      <c r="GJ32" s="662">
        <f>GI32</f>
      </c>
    </row>
    <row r="33" spans="1:192" s="277" customFormat="1" ht="12.75" customHeight="1">
      <c r="A33" s="274"/>
      <c r="B33" s="704" t="s">
        <v>97</v>
      </c>
      <c r="C33" s="448">
        <v>0</v>
      </c>
      <c r="D33" s="448">
        <v>0</v>
      </c>
      <c r="E33" s="448">
        <v>0</v>
      </c>
      <c r="F33" s="448">
        <v>0</v>
      </c>
      <c r="G33" s="373">
        <f t="shared" si="89"/>
      </c>
      <c r="H33" s="448">
        <v>307</v>
      </c>
      <c r="I33" s="448">
        <v>495</v>
      </c>
      <c r="J33" s="448">
        <v>545</v>
      </c>
      <c r="K33" s="448">
        <v>560</v>
      </c>
      <c r="L33" s="373">
        <f t="shared" si="90"/>
      </c>
      <c r="M33" s="448">
        <v>651</v>
      </c>
      <c r="N33" s="448">
        <v>1013</v>
      </c>
      <c r="O33" s="448">
        <v>1285</v>
      </c>
      <c r="P33" s="448">
        <v>1418</v>
      </c>
      <c r="Q33" s="373">
        <f t="shared" si="91"/>
      </c>
      <c r="R33" s="448">
        <v>1671</v>
      </c>
      <c r="S33" s="448">
        <v>2038</v>
      </c>
      <c r="T33" s="448">
        <v>2463</v>
      </c>
      <c r="U33" s="448">
        <v>2888</v>
      </c>
      <c r="V33" s="373">
        <f t="shared" si="92"/>
      </c>
      <c r="W33" s="448">
        <v>3133</v>
      </c>
      <c r="X33" s="448">
        <v>3552</v>
      </c>
      <c r="Y33" s="448">
        <v>4195</v>
      </c>
      <c r="Z33" s="448">
        <v>4239</v>
      </c>
      <c r="AA33" s="373">
        <f t="shared" si="93"/>
      </c>
      <c r="AB33" s="448">
        <v>4129</v>
      </c>
      <c r="AC33" s="448">
        <v>4259</v>
      </c>
      <c r="AD33" s="448">
        <v>4459</v>
      </c>
      <c r="AE33" s="448">
        <v>4816</v>
      </c>
      <c r="AF33" s="373">
        <f t="shared" si="94"/>
      </c>
      <c r="AG33" s="448">
        <v>4766</v>
      </c>
      <c r="AH33" s="448">
        <v>5124</v>
      </c>
      <c r="AI33" s="448">
        <v>5305</v>
      </c>
      <c r="AJ33" s="448">
        <v>5614</v>
      </c>
      <c r="AK33" s="373">
        <f t="shared" si="95"/>
      </c>
      <c r="AL33" s="448">
        <v>5849</v>
      </c>
      <c r="AM33" s="448">
        <v>5300</v>
      </c>
      <c r="AN33" s="448">
        <v>5568</v>
      </c>
      <c r="AO33" s="448">
        <v>5920</v>
      </c>
      <c r="AP33" s="373">
        <f t="shared" si="96"/>
      </c>
      <c r="AQ33" s="448">
        <v>6841</v>
      </c>
      <c r="AR33" s="448">
        <v>6810</v>
      </c>
      <c r="AS33" s="448">
        <v>6798</v>
      </c>
      <c r="AT33" s="448">
        <v>7225</v>
      </c>
      <c r="AU33" s="373">
        <f t="shared" si="97"/>
      </c>
      <c r="AV33" s="448">
        <v>6620</v>
      </c>
      <c r="AW33" s="448">
        <v>6229</v>
      </c>
      <c r="AX33" s="448">
        <v>5949</v>
      </c>
      <c r="AY33" s="448">
        <v>6514</v>
      </c>
      <c r="AZ33" s="373">
        <f t="shared" si="98"/>
      </c>
      <c r="BA33" s="448">
        <v>6149</v>
      </c>
      <c r="BB33" s="448">
        <v>6267</v>
      </c>
      <c r="BC33" s="448">
        <v>6275</v>
      </c>
      <c r="BD33" s="448">
        <v>7502</v>
      </c>
      <c r="BE33" s="373">
        <f t="shared" si="99"/>
      </c>
      <c r="BF33" s="448">
        <v>7148</v>
      </c>
      <c r="BG33" s="448">
        <v>7118</v>
      </c>
      <c r="BH33" s="448">
        <v>7215</v>
      </c>
      <c r="BI33" s="448">
        <v>9138</v>
      </c>
      <c r="BJ33" s="373">
        <f t="shared" si="100"/>
      </c>
      <c r="BK33" s="448">
        <v>8310</v>
      </c>
      <c r="BL33" s="448">
        <v>10023</v>
      </c>
      <c r="BM33" s="448">
        <v>8551</v>
      </c>
      <c r="BN33" s="448">
        <v>10779</v>
      </c>
      <c r="BO33" s="373">
        <f t="shared" si="101"/>
      </c>
      <c r="BP33" s="448">
        <v>9787</v>
      </c>
      <c r="BQ33" s="448">
        <v>10221</v>
      </c>
      <c r="BR33" s="448">
        <v>10385</v>
      </c>
      <c r="BS33" s="448">
        <v>13397</v>
      </c>
      <c r="BT33" s="373">
        <f t="shared" si="102"/>
      </c>
      <c r="BU33" s="448">
        <v>11815</v>
      </c>
      <c r="BV33" s="448">
        <v>11532</v>
      </c>
      <c r="BW33" s="448">
        <v>10924</v>
      </c>
      <c r="BX33" s="448">
        <v>13003</v>
      </c>
      <c r="BY33" s="373">
        <f t="shared" si="103"/>
      </c>
      <c r="BZ33" s="448">
        <v>13567</v>
      </c>
      <c r="CA33" s="448">
        <v>11361</v>
      </c>
      <c r="CB33" s="448">
        <v>11171</v>
      </c>
      <c r="CC33" s="448">
        <v>13652</v>
      </c>
      <c r="CD33" s="373">
        <f t="shared" si="104"/>
      </c>
      <c r="CE33" s="448">
        <v>12767</v>
      </c>
      <c r="CF33" s="448">
        <v>12063</v>
      </c>
      <c r="CG33" s="448">
        <v>11887</v>
      </c>
      <c r="CH33" s="448">
        <v>15722</v>
      </c>
      <c r="CI33" s="373">
        <f t="shared" si="105"/>
      </c>
      <c r="CJ33" s="448">
        <v>14345</v>
      </c>
      <c r="CK33" s="448">
        <v>13985</v>
      </c>
      <c r="CL33" s="448">
        <v>13929</v>
      </c>
      <c r="CM33" s="448">
        <v>18653</v>
      </c>
      <c r="CN33" s="373">
        <f t="shared" si="106"/>
      </c>
      <c r="CO33" s="448">
        <v>18295</v>
      </c>
      <c r="CP33" s="448">
        <v>18354</v>
      </c>
      <c r="CQ33" s="448">
        <v>16511</v>
      </c>
      <c r="CR33" s="448">
        <v>20639</v>
      </c>
      <c r="CS33" s="373">
        <f t="shared" si="107"/>
      </c>
      <c r="CT33" s="448">
        <v>18585</v>
      </c>
      <c r="CU33" s="448">
        <v>17616</v>
      </c>
      <c r="CV33" s="448">
        <v>17670</v>
      </c>
      <c r="CW33" s="448">
        <v>23150</v>
      </c>
      <c r="CX33" s="373">
        <f t="shared" si="108"/>
      </c>
      <c r="CY33" s="448">
        <v>20713</v>
      </c>
      <c r="CZ33" s="448">
        <v>19192</v>
      </c>
      <c r="DA33" s="448">
        <v>18232</v>
      </c>
      <c r="DB33" s="448">
        <v>23223</v>
      </c>
      <c r="DC33" s="373">
        <f t="shared" si="109"/>
      </c>
      <c r="DD33" s="448">
        <v>21603</v>
      </c>
      <c r="DE33" s="448">
        <v>20929</v>
      </c>
      <c r="DF33" s="448">
        <v>20876</v>
      </c>
      <c r="DG33" s="448">
        <v>27468</v>
      </c>
      <c r="DH33" s="373">
        <f t="shared" si="110"/>
      </c>
      <c r="DI33" s="448">
        <v>18653</v>
      </c>
      <c r="DJ33" s="448">
        <v>18066</v>
      </c>
      <c r="DK33" s="448">
        <v>18136</v>
      </c>
      <c r="DL33" s="448">
        <v>24013</v>
      </c>
      <c r="DM33" s="373">
        <f t="shared" si="111"/>
      </c>
      <c r="DN33" s="448">
        <v>22778</v>
      </c>
      <c r="DO33" s="448">
        <v>21309</v>
      </c>
      <c r="DP33" s="448">
        <v>21370</v>
      </c>
      <c r="DQ33" s="448">
        <v>28905</v>
      </c>
      <c r="DR33" s="373">
        <f t="shared" si="112"/>
      </c>
      <c r="DS33" s="448">
        <v>26704</v>
      </c>
      <c r="DT33" s="448">
        <v>24285</v>
      </c>
      <c r="DU33" s="448">
        <v>24251</v>
      </c>
      <c r="DV33" s="448">
        <v>32676</v>
      </c>
      <c r="DW33" s="373">
        <f t="shared" si="113"/>
      </c>
      <c r="DX33" s="448">
        <v>29904</v>
      </c>
      <c r="DY33" s="448">
        <v>27343</v>
      </c>
      <c r="DZ33" s="448">
        <v>27012</v>
      </c>
      <c r="EA33" s="448">
        <v>36000</v>
      </c>
      <c r="EB33" s="373">
        <f t="shared" si="114"/>
      </c>
      <c r="EC33" s="448">
        <v>33476</v>
      </c>
      <c r="ED33" s="448">
        <v>30402</v>
      </c>
      <c r="EE33" s="448">
        <v>30083</v>
      </c>
      <c r="EF33" s="448">
        <v>41525</v>
      </c>
      <c r="EG33" s="373">
        <f t="shared" si="115"/>
      </c>
      <c r="EH33" s="448">
        <v>38465</v>
      </c>
      <c r="EI33" s="448">
        <v>34001</v>
      </c>
      <c r="EJ33" s="448">
        <v>34027</v>
      </c>
      <c r="EK33" s="448">
        <v>45538</v>
      </c>
      <c r="EL33" s="373">
        <f t="shared" si="116"/>
      </c>
      <c r="EM33" s="448">
        <v>41340</v>
      </c>
      <c r="EN33" s="448">
        <v>36982</v>
      </c>
      <c r="EO33" s="448">
        <v>36903</v>
      </c>
      <c r="EP33" s="448">
        <v>50901</v>
      </c>
      <c r="EQ33" s="373">
        <f t="shared" si="117"/>
      </c>
      <c r="ER33" s="939">
        <v>46429</v>
      </c>
      <c r="ES33" s="448">
        <v>43068</v>
      </c>
      <c r="ET33" s="496">
        <v>41888</v>
      </c>
      <c r="EU33" s="496">
        <v>57582</v>
      </c>
      <c r="EV33" s="373">
        <f t="shared" si="118"/>
      </c>
      <c r="EW33" s="496">
        <v>53026</v>
      </c>
      <c r="EX33" s="496">
        <v>45508</v>
      </c>
      <c r="EY33" s="496">
        <v>44636</v>
      </c>
      <c r="EZ33" s="496">
        <v>64555</v>
      </c>
      <c r="FA33" s="373">
        <f t="shared" si="119"/>
      </c>
      <c r="FB33" s="689">
        <f>'Def. Rev. &amp; Billings'!FB15</f>
      </c>
      <c r="FC33" s="689">
        <f>'Def. Rev. &amp; Billings'!FC15</f>
      </c>
      <c r="FD33" s="689">
        <f>'Def. Rev. &amp; Billings'!FD15</f>
      </c>
      <c r="FE33" s="689">
        <f>'Def. Rev. &amp; Billings'!FE15</f>
      </c>
      <c r="FF33" s="373">
        <f>'Def. Rev. &amp; Billings'!FF15</f>
      </c>
      <c r="FG33" s="689">
        <f>'Def. Rev. &amp; Billings'!FG15</f>
      </c>
      <c r="FH33" s="689">
        <f>'Def. Rev. &amp; Billings'!FH15</f>
      </c>
      <c r="FI33" s="689">
        <f>'Def. Rev. &amp; Billings'!FI15</f>
      </c>
      <c r="FJ33" s="689">
        <f>'Def. Rev. &amp; Billings'!FJ15</f>
      </c>
      <c r="FK33" s="373">
        <f>'Def. Rev. &amp; Billings'!FK15</f>
      </c>
      <c r="FL33" s="689">
        <f>'Def. Rev. &amp; Billings'!FL15</f>
      </c>
      <c r="FM33" s="689">
        <f>'Def. Rev. &amp; Billings'!FM15</f>
      </c>
      <c r="FN33" s="689">
        <f>'Def. Rev. &amp; Billings'!FN15</f>
      </c>
      <c r="FO33" s="689">
        <f>'Def. Rev. &amp; Billings'!FO15</f>
      </c>
      <c r="FP33" s="373">
        <f>'Def. Rev. &amp; Billings'!FP15</f>
      </c>
      <c r="FQ33" s="689">
        <f>'Def. Rev. &amp; Billings'!FQ15</f>
      </c>
      <c r="FR33" s="689">
        <f>'Def. Rev. &amp; Billings'!FR15</f>
      </c>
      <c r="FS33" s="689">
        <f>'Def. Rev. &amp; Billings'!FS15</f>
      </c>
      <c r="FT33" s="689">
        <f>'Def. Rev. &amp; Billings'!FT15</f>
      </c>
      <c r="FU33" s="373">
        <f>'Def. Rev. &amp; Billings'!FU15</f>
      </c>
      <c r="FV33" s="689">
        <f>'Def. Rev. &amp; Billings'!FV15</f>
      </c>
      <c r="FW33" s="689">
        <f>'Def. Rev. &amp; Billings'!FW15</f>
      </c>
      <c r="FX33" s="689">
        <f>'Def. Rev. &amp; Billings'!FX15</f>
      </c>
      <c r="FY33" s="689">
        <f>'Def. Rev. &amp; Billings'!FY15</f>
      </c>
      <c r="FZ33" s="373">
        <f>'Def. Rev. &amp; Billings'!FZ15</f>
      </c>
      <c r="GA33" s="689">
        <f>'Def. Rev. &amp; Billings'!GA15</f>
      </c>
      <c r="GB33" s="689">
        <f>'Def. Rev. &amp; Billings'!GB15</f>
      </c>
      <c r="GC33" s="689">
        <f>'Def. Rev. &amp; Billings'!GC15</f>
      </c>
      <c r="GD33" s="689">
        <f>'Def. Rev. &amp; Billings'!GD15</f>
      </c>
      <c r="GE33" s="373">
        <f>'Def. Rev. &amp; Billings'!GE15</f>
      </c>
      <c r="GF33" s="689">
        <f>'Def. Rev. &amp; Billings'!GF15</f>
      </c>
      <c r="GG33" s="689">
        <f>'Def. Rev. &amp; Billings'!GG15</f>
      </c>
      <c r="GH33" s="689">
        <f>'Def. Rev. &amp; Billings'!GH15</f>
      </c>
      <c r="GI33" s="689">
        <f>'Def. Rev. &amp; Billings'!GI15</f>
      </c>
      <c r="GJ33" s="373">
        <f>'Def. Rev. &amp; Billings'!GJ15</f>
      </c>
    </row>
    <row r="34" spans="1:192" s="277" customFormat="1" ht="12.75" hidden="1" customHeight="1" outlineLevel="1">
      <c r="A34" s="274"/>
      <c r="B34" s="704" t="s">
        <v>106</v>
      </c>
      <c r="C34" s="448">
        <v>0</v>
      </c>
      <c r="D34" s="448">
        <v>0</v>
      </c>
      <c r="E34" s="448">
        <v>0</v>
      </c>
      <c r="F34" s="448">
        <v>0</v>
      </c>
      <c r="G34" s="373">
        <f t="shared" si="89"/>
      </c>
      <c r="H34" s="448">
        <v>0</v>
      </c>
      <c r="I34" s="448">
        <v>0</v>
      </c>
      <c r="J34" s="448">
        <v>0</v>
      </c>
      <c r="K34" s="448">
        <v>0</v>
      </c>
      <c r="L34" s="373">
        <f t="shared" si="90"/>
      </c>
      <c r="M34" s="448">
        <v>0</v>
      </c>
      <c r="N34" s="448">
        <v>0</v>
      </c>
      <c r="O34" s="448">
        <v>0</v>
      </c>
      <c r="P34" s="448">
        <v>0</v>
      </c>
      <c r="Q34" s="373">
        <f t="shared" si="91"/>
      </c>
      <c r="R34" s="448">
        <v>0</v>
      </c>
      <c r="S34" s="448">
        <v>0</v>
      </c>
      <c r="T34" s="448">
        <v>0</v>
      </c>
      <c r="U34" s="448">
        <v>0</v>
      </c>
      <c r="V34" s="373">
        <f t="shared" si="92"/>
      </c>
      <c r="W34" s="448">
        <v>0</v>
      </c>
      <c r="X34" s="448">
        <v>0</v>
      </c>
      <c r="Y34" s="448">
        <v>0</v>
      </c>
      <c r="Z34" s="448">
        <v>0</v>
      </c>
      <c r="AA34" s="373">
        <f t="shared" si="93"/>
      </c>
      <c r="AB34" s="448">
        <v>0</v>
      </c>
      <c r="AC34" s="448">
        <v>0</v>
      </c>
      <c r="AD34" s="448">
        <v>0</v>
      </c>
      <c r="AE34" s="448">
        <v>0</v>
      </c>
      <c r="AF34" s="373">
        <f t="shared" si="94"/>
      </c>
      <c r="AG34" s="448">
        <v>0</v>
      </c>
      <c r="AH34" s="448">
        <v>0</v>
      </c>
      <c r="AI34" s="448">
        <v>0</v>
      </c>
      <c r="AJ34" s="448">
        <v>0</v>
      </c>
      <c r="AK34" s="373">
        <f t="shared" si="95"/>
      </c>
      <c r="AL34" s="448">
        <v>0</v>
      </c>
      <c r="AM34" s="448">
        <v>0</v>
      </c>
      <c r="AN34" s="448">
        <v>0</v>
      </c>
      <c r="AO34" s="448">
        <v>0</v>
      </c>
      <c r="AP34" s="373">
        <f t="shared" si="96"/>
      </c>
      <c r="AQ34" s="448">
        <v>0</v>
      </c>
      <c r="AR34" s="448">
        <v>0</v>
      </c>
      <c r="AS34" s="448">
        <v>0</v>
      </c>
      <c r="AT34" s="448">
        <v>0</v>
      </c>
      <c r="AU34" s="373">
        <f t="shared" si="97"/>
      </c>
      <c r="AV34" s="633">
        <v>0</v>
      </c>
      <c r="AW34" s="633">
        <v>0</v>
      </c>
      <c r="AX34" s="633">
        <v>0</v>
      </c>
      <c r="AY34" s="633">
        <v>0</v>
      </c>
      <c r="AZ34" s="373">
        <f t="shared" si="98"/>
      </c>
      <c r="BA34" s="448">
        <v>0</v>
      </c>
      <c r="BB34" s="448">
        <v>0</v>
      </c>
      <c r="BC34" s="448">
        <v>0</v>
      </c>
      <c r="BD34" s="448">
        <v>0</v>
      </c>
      <c r="BE34" s="373">
        <f t="shared" si="99"/>
      </c>
      <c r="BF34" s="448">
        <v>0</v>
      </c>
      <c r="BG34" s="448">
        <v>0</v>
      </c>
      <c r="BH34" s="448">
        <v>1337</v>
      </c>
      <c r="BI34" s="448">
        <v>3117</v>
      </c>
      <c r="BJ34" s="373">
        <f t="shared" si="100"/>
      </c>
      <c r="BK34" s="448">
        <v>3645</v>
      </c>
      <c r="BL34" s="448">
        <v>2713</v>
      </c>
      <c r="BM34" s="448">
        <v>3032</v>
      </c>
      <c r="BN34" s="448">
        <v>2741</v>
      </c>
      <c r="BO34" s="373">
        <f t="shared" si="101"/>
      </c>
      <c r="BP34" s="448">
        <v>2936</v>
      </c>
      <c r="BQ34" s="448">
        <v>2166</v>
      </c>
      <c r="BR34" s="448">
        <v>2476</v>
      </c>
      <c r="BS34" s="448">
        <v>2614</v>
      </c>
      <c r="BT34" s="373">
        <f t="shared" si="102"/>
      </c>
      <c r="BU34" s="448">
        <v>1070</v>
      </c>
      <c r="BV34" s="448">
        <v>469</v>
      </c>
      <c r="BW34" s="448">
        <v>1533</v>
      </c>
      <c r="BX34" s="448">
        <v>1684</v>
      </c>
      <c r="BY34" s="373">
        <f t="shared" si="103"/>
      </c>
      <c r="BZ34" s="448">
        <v>3534</v>
      </c>
      <c r="CA34" s="448">
        <v>2911</v>
      </c>
      <c r="CB34" s="448">
        <v>2794</v>
      </c>
      <c r="CC34" s="448">
        <v>182</v>
      </c>
      <c r="CD34" s="373">
        <f t="shared" si="104"/>
      </c>
      <c r="CE34" s="448">
        <v>909</v>
      </c>
      <c r="CF34" s="448">
        <v>1355</v>
      </c>
      <c r="CG34" s="448">
        <v>1245</v>
      </c>
      <c r="CH34" s="448">
        <v>1208</v>
      </c>
      <c r="CI34" s="373">
        <f t="shared" si="105"/>
      </c>
      <c r="CJ34" s="448">
        <v>1141</v>
      </c>
      <c r="CK34" s="448">
        <v>849</v>
      </c>
      <c r="CL34" s="448">
        <v>1210</v>
      </c>
      <c r="CM34" s="448">
        <v>814</v>
      </c>
      <c r="CN34" s="373">
        <f t="shared" si="106"/>
      </c>
      <c r="CO34" s="448">
        <v>415</v>
      </c>
      <c r="CP34" s="448">
        <v>21</v>
      </c>
      <c r="CQ34" s="448">
        <v>564</v>
      </c>
      <c r="CR34" s="448">
        <v>645</v>
      </c>
      <c r="CS34" s="373">
        <f t="shared" si="107"/>
      </c>
      <c r="CT34" s="448">
        <v>582</v>
      </c>
      <c r="CU34" s="448">
        <v>748</v>
      </c>
      <c r="CV34" s="448">
        <v>794</v>
      </c>
      <c r="CW34" s="448">
        <v>558</v>
      </c>
      <c r="CX34" s="373">
        <f t="shared" si="108"/>
      </c>
      <c r="CY34" s="448">
        <v>191</v>
      </c>
      <c r="CZ34" s="448">
        <v>430</v>
      </c>
      <c r="DA34" s="448">
        <v>96</v>
      </c>
      <c r="DB34" s="448">
        <v>92</v>
      </c>
      <c r="DC34" s="373">
        <f t="shared" si="109"/>
      </c>
      <c r="DD34" s="448">
        <v>154</v>
      </c>
      <c r="DE34" s="448">
        <v>439</v>
      </c>
      <c r="DF34" s="448">
        <v>373</v>
      </c>
      <c r="DG34" s="448">
        <v>294</v>
      </c>
      <c r="DH34" s="373">
        <f t="shared" si="110"/>
      </c>
      <c r="DI34" s="448">
        <v>210</v>
      </c>
      <c r="DJ34" s="448">
        <v>1280</v>
      </c>
      <c r="DK34" s="448">
        <v>201</v>
      </c>
      <c r="DL34" s="448">
        <v>97</v>
      </c>
      <c r="DM34" s="373">
        <f t="shared" si="111"/>
      </c>
      <c r="DN34" s="448">
        <v>203</v>
      </c>
      <c r="DO34" s="448">
        <v>26</v>
      </c>
      <c r="DP34" s="448">
        <v>0</v>
      </c>
      <c r="DQ34" s="448">
        <v>0</v>
      </c>
      <c r="DR34" s="373">
        <f t="shared" si="112"/>
      </c>
      <c r="DS34" s="448">
        <v>0</v>
      </c>
      <c r="DT34" s="448">
        <v>0</v>
      </c>
      <c r="DU34" s="448">
        <v>0</v>
      </c>
      <c r="DV34" s="448">
        <v>0</v>
      </c>
      <c r="DW34" s="373">
        <f t="shared" si="113"/>
      </c>
      <c r="DX34" s="448">
        <v>0</v>
      </c>
      <c r="DY34" s="448">
        <v>0</v>
      </c>
      <c r="DZ34" s="448">
        <v>0</v>
      </c>
      <c r="EA34" s="448">
        <v>0</v>
      </c>
      <c r="EB34" s="373">
        <f t="shared" si="114"/>
      </c>
      <c r="EC34" s="448">
        <v>0</v>
      </c>
      <c r="ED34" s="448">
        <v>0</v>
      </c>
      <c r="EE34" s="448">
        <v>0</v>
      </c>
      <c r="EF34" s="448">
        <v>0</v>
      </c>
      <c r="EG34" s="373">
        <f t="shared" si="115"/>
      </c>
      <c r="EH34" s="448">
        <v>0</v>
      </c>
      <c r="EI34" s="448">
        <v>0</v>
      </c>
      <c r="EJ34" s="448">
        <v>0</v>
      </c>
      <c r="EK34" s="448">
        <v>0</v>
      </c>
      <c r="EL34" s="373">
        <f t="shared" si="116"/>
      </c>
      <c r="EM34" s="448">
        <v>0</v>
      </c>
      <c r="EN34" s="448">
        <v>0</v>
      </c>
      <c r="EO34" s="448">
        <v>0</v>
      </c>
      <c r="EP34" s="448">
        <v>0</v>
      </c>
      <c r="EQ34" s="373">
        <f t="shared" si="117"/>
      </c>
      <c r="ER34" s="939">
        <v>0</v>
      </c>
      <c r="ES34" s="448">
        <v>0</v>
      </c>
      <c r="ET34" s="954">
        <v>0</v>
      </c>
      <c r="EU34" s="954">
        <v>0</v>
      </c>
      <c r="EV34" s="662">
        <f t="shared" si="118"/>
      </c>
      <c r="EW34" s="954">
        <v>0</v>
      </c>
      <c r="EX34" s="954">
        <v>0</v>
      </c>
      <c r="EY34" s="954">
        <v>0</v>
      </c>
      <c r="EZ34" s="954">
        <v>0</v>
      </c>
      <c r="FA34" s="662">
        <f t="shared" si="119"/>
      </c>
      <c r="FB34" s="929">
        <f>EZ34</f>
      </c>
      <c r="FC34" s="929">
        <f>FB34</f>
      </c>
      <c r="FD34" s="929">
        <f>FC34</f>
      </c>
      <c r="FE34" s="929">
        <f>FD34</f>
      </c>
      <c r="FF34" s="662">
        <f>FE34</f>
      </c>
      <c r="FG34" s="929">
        <f>FE34</f>
      </c>
      <c r="FH34" s="929">
        <f>FG34</f>
      </c>
      <c r="FI34" s="929">
        <f>FH34</f>
      </c>
      <c r="FJ34" s="929">
        <f>FI34</f>
      </c>
      <c r="FK34" s="662">
        <f>FJ34</f>
      </c>
      <c r="FL34" s="929">
        <f>FJ34</f>
      </c>
      <c r="FM34" s="929">
        <f>FL34</f>
      </c>
      <c r="FN34" s="929">
        <f>FM34</f>
      </c>
      <c r="FO34" s="929">
        <f>FN34</f>
      </c>
      <c r="FP34" s="662">
        <f>FO34</f>
      </c>
      <c r="FQ34" s="929">
        <f>FO34</f>
      </c>
      <c r="FR34" s="929">
        <f>FQ34</f>
      </c>
      <c r="FS34" s="929">
        <f>FR34</f>
      </c>
      <c r="FT34" s="929">
        <f>FS34</f>
      </c>
      <c r="FU34" s="662">
        <f>FT34</f>
      </c>
      <c r="FV34" s="929">
        <f>FT34</f>
      </c>
      <c r="FW34" s="929">
        <f>FV34</f>
      </c>
      <c r="FX34" s="929">
        <f>FW34</f>
      </c>
      <c r="FY34" s="929">
        <f>FX34</f>
      </c>
      <c r="FZ34" s="662">
        <f>FY34</f>
      </c>
      <c r="GA34" s="929">
        <f>FY34</f>
      </c>
      <c r="GB34" s="929">
        <f>GA34</f>
      </c>
      <c r="GC34" s="929">
        <f>GB34</f>
      </c>
      <c r="GD34" s="929">
        <f>GC34</f>
      </c>
      <c r="GE34" s="662">
        <f>GD34</f>
      </c>
      <c r="GF34" s="929">
        <f>GD34</f>
      </c>
      <c r="GG34" s="929">
        <f>GF34</f>
      </c>
      <c r="GH34" s="929">
        <f>GG34</f>
      </c>
      <c r="GI34" s="929">
        <f>GH34</f>
      </c>
      <c r="GJ34" s="662">
        <f>GI34</f>
      </c>
    </row>
    <row r="35" spans="1:192" s="277" customFormat="1" ht="12.75" customHeight="1" collapsed="1">
      <c r="A35" s="274"/>
      <c r="B35" s="704" t="s">
        <v>82</v>
      </c>
      <c r="C35" s="633">
        <v>200</v>
      </c>
      <c r="D35" s="633">
        <v>191</v>
      </c>
      <c r="E35" s="633">
        <v>187</v>
      </c>
      <c r="F35" s="633">
        <v>244</v>
      </c>
      <c r="G35" s="373">
        <f t="shared" si="89"/>
      </c>
      <c r="H35" s="633">
        <v>206</v>
      </c>
      <c r="I35" s="633">
        <v>267</v>
      </c>
      <c r="J35" s="633">
        <v>309</v>
      </c>
      <c r="K35" s="633">
        <v>371</v>
      </c>
      <c r="L35" s="373">
        <f t="shared" si="90"/>
      </c>
      <c r="M35" s="633">
        <v>415</v>
      </c>
      <c r="N35" s="633">
        <v>514</v>
      </c>
      <c r="O35" s="633">
        <v>658</v>
      </c>
      <c r="P35" s="633">
        <v>669</v>
      </c>
      <c r="Q35" s="373">
        <f t="shared" si="91"/>
      </c>
      <c r="R35" s="633">
        <v>723</v>
      </c>
      <c r="S35" s="633">
        <v>712</v>
      </c>
      <c r="T35" s="633">
        <v>746</v>
      </c>
      <c r="U35" s="633">
        <v>809</v>
      </c>
      <c r="V35" s="373">
        <f t="shared" si="92"/>
      </c>
      <c r="W35" s="633">
        <v>916</v>
      </c>
      <c r="X35" s="633">
        <v>896</v>
      </c>
      <c r="Y35" s="633">
        <v>992</v>
      </c>
      <c r="Z35" s="633">
        <v>1602</v>
      </c>
      <c r="AA35" s="373">
        <f t="shared" si="93"/>
      </c>
      <c r="AB35" s="633">
        <v>1757</v>
      </c>
      <c r="AC35" s="633">
        <v>2376</v>
      </c>
      <c r="AD35" s="633">
        <v>3267</v>
      </c>
      <c r="AE35" s="633">
        <v>2714</v>
      </c>
      <c r="AF35" s="373">
        <f t="shared" si="94"/>
      </c>
      <c r="AG35" s="633">
        <v>2577</v>
      </c>
      <c r="AH35" s="633">
        <v>2019</v>
      </c>
      <c r="AI35" s="633">
        <v>1935</v>
      </c>
      <c r="AJ35" s="633">
        <v>2120</v>
      </c>
      <c r="AK35" s="373">
        <f t="shared" si="95"/>
      </c>
      <c r="AL35" s="633">
        <v>3153</v>
      </c>
      <c r="AM35" s="633">
        <v>1743</v>
      </c>
      <c r="AN35" s="633">
        <v>1839</v>
      </c>
      <c r="AO35" s="633">
        <v>2449</v>
      </c>
      <c r="AP35" s="373">
        <f t="shared" si="96"/>
      </c>
      <c r="AQ35" s="633">
        <v>1569</v>
      </c>
      <c r="AR35" s="633">
        <v>1451</v>
      </c>
      <c r="AS35" s="633">
        <v>1378</v>
      </c>
      <c r="AT35" s="633">
        <v>1716</v>
      </c>
      <c r="AU35" s="373">
        <f t="shared" si="97"/>
      </c>
      <c r="AV35" s="633">
        <v>3668</v>
      </c>
      <c r="AW35" s="633">
        <v>1695</v>
      </c>
      <c r="AX35" s="633">
        <v>4224</v>
      </c>
      <c r="AY35" s="633">
        <v>1921</v>
      </c>
      <c r="AZ35" s="373">
        <f t="shared" si="98"/>
      </c>
      <c r="BA35" s="633">
        <v>3292</v>
      </c>
      <c r="BB35" s="633">
        <v>2601</v>
      </c>
      <c r="BC35" s="633">
        <v>3460</v>
      </c>
      <c r="BD35" s="633">
        <v>3607</v>
      </c>
      <c r="BE35" s="373">
        <f t="shared" si="99"/>
      </c>
      <c r="BF35" s="633">
        <v>3703</v>
      </c>
      <c r="BG35" s="633">
        <v>3116</v>
      </c>
      <c r="BH35" s="633">
        <v>3140</v>
      </c>
      <c r="BI35" s="633">
        <v>3783</v>
      </c>
      <c r="BJ35" s="373">
        <f t="shared" si="100"/>
      </c>
      <c r="BK35" s="633">
        <v>4216</v>
      </c>
      <c r="BL35" s="633">
        <v>3639</v>
      </c>
      <c r="BM35" s="633">
        <v>3393</v>
      </c>
      <c r="BN35" s="633">
        <v>3622</v>
      </c>
      <c r="BO35" s="373">
        <f t="shared" si="101"/>
      </c>
      <c r="BP35" s="633">
        <v>3609</v>
      </c>
      <c r="BQ35" s="633">
        <v>3219</v>
      </c>
      <c r="BR35" s="633">
        <v>4375</v>
      </c>
      <c r="BS35" s="633">
        <v>3659</v>
      </c>
      <c r="BT35" s="373">
        <f t="shared" si="102"/>
      </c>
      <c r="BU35" s="633">
        <v>3520</v>
      </c>
      <c r="BV35" s="633">
        <v>3089</v>
      </c>
      <c r="BW35" s="633">
        <v>2933</v>
      </c>
      <c r="BX35" s="633">
        <v>3142</v>
      </c>
      <c r="BY35" s="373">
        <f t="shared" si="103"/>
      </c>
      <c r="BZ35" s="633">
        <v>3052</v>
      </c>
      <c r="CA35" s="633">
        <v>2885</v>
      </c>
      <c r="CB35" s="633">
        <v>3145</v>
      </c>
      <c r="CC35" s="633">
        <v>2931</v>
      </c>
      <c r="CD35" s="373">
        <f t="shared" si="104"/>
      </c>
      <c r="CE35" s="633">
        <v>3139</v>
      </c>
      <c r="CF35" s="633">
        <v>3190</v>
      </c>
      <c r="CG35" s="633">
        <v>3325</v>
      </c>
      <c r="CH35" s="633">
        <v>3492</v>
      </c>
      <c r="CI35" s="373">
        <f t="shared" si="105"/>
      </c>
      <c r="CJ35" s="633">
        <v>3245</v>
      </c>
      <c r="CK35" s="633">
        <v>3057</v>
      </c>
      <c r="CL35" s="633">
        <v>3011</v>
      </c>
      <c r="CM35" s="633">
        <v>3151</v>
      </c>
      <c r="CN35" s="373">
        <f t="shared" si="106"/>
      </c>
      <c r="CO35" s="633">
        <v>3312</v>
      </c>
      <c r="CP35" s="633">
        <v>3366</v>
      </c>
      <c r="CQ35" s="633">
        <v>3913</v>
      </c>
      <c r="CR35" s="633">
        <v>3597</v>
      </c>
      <c r="CS35" s="373">
        <f t="shared" si="107"/>
      </c>
      <c r="CT35" s="633">
        <v>3625</v>
      </c>
      <c r="CU35" s="633">
        <v>3920</v>
      </c>
      <c r="CV35" s="633">
        <v>4275</v>
      </c>
      <c r="CW35" s="633">
        <v>6906</v>
      </c>
      <c r="CX35" s="373">
        <f t="shared" si="108"/>
      </c>
      <c r="CY35" s="633">
        <v>7130</v>
      </c>
      <c r="CZ35" s="633">
        <v>6623</v>
      </c>
      <c r="DA35" s="633">
        <v>6846</v>
      </c>
      <c r="DB35" s="633">
        <v>6766</v>
      </c>
      <c r="DC35" s="373">
        <f t="shared" si="109"/>
      </c>
      <c r="DD35" s="633">
        <v>6207</v>
      </c>
      <c r="DE35" s="633">
        <v>6447</v>
      </c>
      <c r="DF35" s="633">
        <v>5887</v>
      </c>
      <c r="DG35" s="633">
        <v>5949</v>
      </c>
      <c r="DH35" s="373">
        <f t="shared" si="110"/>
      </c>
      <c r="DI35" s="633">
        <v>8199</v>
      </c>
      <c r="DJ35" s="633">
        <v>7979</v>
      </c>
      <c r="DK35" s="633">
        <v>7390</v>
      </c>
      <c r="DL35" s="633">
        <v>7587</v>
      </c>
      <c r="DM35" s="373">
        <f t="shared" si="111"/>
      </c>
      <c r="DN35" s="633">
        <v>7520</v>
      </c>
      <c r="DO35" s="633">
        <v>7787</v>
      </c>
      <c r="DP35" s="633">
        <v>7500</v>
      </c>
      <c r="DQ35" s="633">
        <v>8744</v>
      </c>
      <c r="DR35" s="373">
        <f t="shared" si="112"/>
      </c>
      <c r="DS35" s="633">
        <v>7953</v>
      </c>
      <c r="DT35" s="633">
        <v>8297</v>
      </c>
      <c r="DU35" s="633">
        <v>7837</v>
      </c>
      <c r="DV35" s="633">
        <v>9351</v>
      </c>
      <c r="DW35" s="373">
        <f t="shared" si="113"/>
      </c>
      <c r="DX35" s="633">
        <v>8507</v>
      </c>
      <c r="DY35" s="633">
        <v>9131</v>
      </c>
      <c r="DZ35" s="633">
        <v>9151</v>
      </c>
      <c r="EA35" s="633">
        <v>10027</v>
      </c>
      <c r="EB35" s="373">
        <f t="shared" si="114"/>
      </c>
      <c r="EC35" s="633">
        <v>9476</v>
      </c>
      <c r="ED35" s="633">
        <v>10527</v>
      </c>
      <c r="EE35" s="633">
        <v>10450</v>
      </c>
      <c r="EF35" s="633">
        <v>11666</v>
      </c>
      <c r="EG35" s="373">
        <f t="shared" si="115"/>
      </c>
      <c r="EH35" s="633">
        <v>10816</v>
      </c>
      <c r="EI35" s="633">
        <v>11684</v>
      </c>
      <c r="EJ35" s="633">
        <v>11865</v>
      </c>
      <c r="EK35" s="633">
        <v>13067</v>
      </c>
      <c r="EL35" s="373">
        <f t="shared" si="116"/>
      </c>
      <c r="EM35" s="633">
        <v>12058</v>
      </c>
      <c r="EN35" s="633">
        <v>12802</v>
      </c>
      <c r="EO35" s="633">
        <v>12664</v>
      </c>
      <c r="EP35" s="633">
        <v>14745</v>
      </c>
      <c r="EQ35" s="373">
        <f t="shared" si="117"/>
      </c>
      <c r="ER35" s="940">
        <v>14475</v>
      </c>
      <c r="ES35" s="633">
        <v>16362</v>
      </c>
      <c r="ET35" s="954">
        <v>18023</v>
      </c>
      <c r="EU35" s="954">
        <v>19185</v>
      </c>
      <c r="EV35" s="662">
        <f t="shared" si="118"/>
      </c>
      <c r="EW35" s="954">
        <v>19114</v>
      </c>
      <c r="EX35" s="954">
        <v>20286</v>
      </c>
      <c r="EY35" s="954">
        <v>22937</v>
      </c>
      <c r="EZ35" s="954">
        <v>25020</v>
      </c>
      <c r="FA35" s="662">
        <f t="shared" si="119"/>
      </c>
      <c r="FB35" s="930">
        <f>FB56*FB94</f>
      </c>
      <c r="FC35" s="930">
        <f>FC56*FC94</f>
      </c>
      <c r="FD35" s="930">
        <f>FD56*FD94</f>
      </c>
      <c r="FE35" s="930">
        <f>FE56*FE94</f>
      </c>
      <c r="FF35" s="662">
        <f>FE35</f>
      </c>
      <c r="FG35" s="930">
        <f>FG56*FG94</f>
      </c>
      <c r="FH35" s="930">
        <f>FH56*FH94</f>
      </c>
      <c r="FI35" s="930">
        <f>FI56*FI94</f>
      </c>
      <c r="FJ35" s="930">
        <f>FJ56*FJ94</f>
      </c>
      <c r="FK35" s="662">
        <f>FJ35</f>
      </c>
      <c r="FL35" s="930">
        <f>FL56*FL94</f>
      </c>
      <c r="FM35" s="930">
        <f>FM56*FM94</f>
      </c>
      <c r="FN35" s="930">
        <f>FN56*FN94</f>
      </c>
      <c r="FO35" s="930">
        <f>FO56*FO94</f>
      </c>
      <c r="FP35" s="662">
        <f>FO35</f>
      </c>
      <c r="FQ35" s="930">
        <f>FQ56*FQ94</f>
      </c>
      <c r="FR35" s="930">
        <f>FR56*FR94</f>
      </c>
      <c r="FS35" s="930">
        <f>FS56*FS94</f>
      </c>
      <c r="FT35" s="930">
        <f>FT56*FT94</f>
      </c>
      <c r="FU35" s="662">
        <f>FT35</f>
      </c>
      <c r="FV35" s="930">
        <f>FV56*FV94</f>
      </c>
      <c r="FW35" s="930">
        <f>FW56*FW94</f>
      </c>
      <c r="FX35" s="930">
        <f>FX56*FX94</f>
      </c>
      <c r="FY35" s="930">
        <f>FY56*FY94</f>
      </c>
      <c r="FZ35" s="662">
        <f>FY35</f>
      </c>
      <c r="GA35" s="930">
        <f>GA56*GA94</f>
      </c>
      <c r="GB35" s="930">
        <f>GB56*GB94</f>
      </c>
      <c r="GC35" s="930">
        <f>GC56*GC94</f>
      </c>
      <c r="GD35" s="930">
        <f>GD56*GD94</f>
      </c>
      <c r="GE35" s="662">
        <f>GD35</f>
      </c>
      <c r="GF35" s="930">
        <f>GF56*GF94</f>
      </c>
      <c r="GG35" s="930">
        <f>GG56*GG94</f>
      </c>
      <c r="GH35" s="930">
        <f>GH56*GH94</f>
      </c>
      <c r="GI35" s="930">
        <f>GI56*GI94</f>
      </c>
      <c r="GJ35" s="662">
        <f>GI35</f>
      </c>
    </row>
    <row r="36" spans="1:192" s="277" customFormat="1" ht="12.75" customHeight="1">
      <c r="A36" s="280"/>
      <c r="B36" s="706" t="s">
        <v>83</v>
      </c>
      <c r="C36" s="931">
        <f>SUM(C28:C35)</f>
      </c>
      <c r="D36" s="931">
        <f>SUM(D28:D35)</f>
      </c>
      <c r="E36" s="931">
        <f>SUM(E28:E35)</f>
      </c>
      <c r="F36" s="931">
        <f>SUM(F28:F35)</f>
      </c>
      <c r="G36" s="655">
        <f t="shared" si="89"/>
      </c>
      <c r="H36" s="931">
        <f>SUM(H28:H35)</f>
      </c>
      <c r="I36" s="931">
        <f>SUM(I28:I35)</f>
      </c>
      <c r="J36" s="931">
        <f>SUM(J28:J35)</f>
      </c>
      <c r="K36" s="931">
        <f>SUM(K28:K35)</f>
      </c>
      <c r="L36" s="655">
        <f t="shared" si="90"/>
      </c>
      <c r="M36" s="931">
        <f>SUM(M28:M35)</f>
      </c>
      <c r="N36" s="931">
        <f>SUM(N28:N35)</f>
      </c>
      <c r="O36" s="931">
        <f>SUM(O28:O35)</f>
      </c>
      <c r="P36" s="931">
        <f>SUM(P28:P35)</f>
      </c>
      <c r="Q36" s="655">
        <f t="shared" si="91"/>
      </c>
      <c r="R36" s="931">
        <f>SUM(R28:R35)</f>
      </c>
      <c r="S36" s="931">
        <f>SUM(S28:S35)</f>
      </c>
      <c r="T36" s="931">
        <f>SUM(T28:T35)</f>
      </c>
      <c r="U36" s="931">
        <f>SUM(U28:U35)</f>
      </c>
      <c r="V36" s="655">
        <f t="shared" si="92"/>
      </c>
      <c r="W36" s="931">
        <f>SUM(W28:W35)</f>
      </c>
      <c r="X36" s="931">
        <f>SUM(X28:X35)</f>
      </c>
      <c r="Y36" s="931">
        <f>SUM(Y28:Y35)</f>
      </c>
      <c r="Z36" s="931">
        <f>SUM(Z28:Z35)</f>
      </c>
      <c r="AA36" s="655">
        <f t="shared" si="93"/>
      </c>
      <c r="AB36" s="931">
        <f>SUM(AB28:AB35)</f>
      </c>
      <c r="AC36" s="931">
        <f>SUM(AC28:AC35)</f>
      </c>
      <c r="AD36" s="931">
        <f>SUM(AD28:AD35)</f>
      </c>
      <c r="AE36" s="931">
        <f>SUM(AE28:AE35)</f>
      </c>
      <c r="AF36" s="655">
        <f t="shared" si="94"/>
      </c>
      <c r="AG36" s="931">
        <f>SUM(AG28:AG35)</f>
      </c>
      <c r="AH36" s="931">
        <f>SUM(AH28:AH35)</f>
      </c>
      <c r="AI36" s="931">
        <f>SUM(AI28:AI35)</f>
      </c>
      <c r="AJ36" s="931">
        <f>SUM(AJ28:AJ35)</f>
      </c>
      <c r="AK36" s="655">
        <f t="shared" si="95"/>
      </c>
      <c r="AL36" s="931">
        <f>SUM(AL28:AL35)</f>
      </c>
      <c r="AM36" s="931">
        <f>SUM(AM28:AM35)</f>
      </c>
      <c r="AN36" s="931">
        <f>SUM(AN28:AN35)</f>
      </c>
      <c r="AO36" s="931">
        <f>SUM(AO28:AO35)</f>
      </c>
      <c r="AP36" s="655">
        <f t="shared" si="96"/>
      </c>
      <c r="AQ36" s="931">
        <f>SUM(AQ28:AQ35)</f>
      </c>
      <c r="AR36" s="931">
        <f>SUM(AR28:AR35)</f>
      </c>
      <c r="AS36" s="931">
        <f>SUM(AS28:AS35)</f>
      </c>
      <c r="AT36" s="931">
        <f>SUM(AT28:AT35)</f>
      </c>
      <c r="AU36" s="655">
        <f t="shared" si="97"/>
      </c>
      <c r="AV36" s="931">
        <f>SUM(AV28:AV35)</f>
      </c>
      <c r="AW36" s="931">
        <f>SUM(AW28:AW35)</f>
      </c>
      <c r="AX36" s="931">
        <f>SUM(AX28:AX35)</f>
      </c>
      <c r="AY36" s="931">
        <f>SUM(AY28:AY35)</f>
      </c>
      <c r="AZ36" s="655">
        <f t="shared" si="98"/>
      </c>
      <c r="BA36" s="931">
        <f>SUM(BA28:BA35)</f>
      </c>
      <c r="BB36" s="931">
        <f>SUM(BB28:BB35)</f>
      </c>
      <c r="BC36" s="931">
        <f>SUM(BC28:BC35)</f>
      </c>
      <c r="BD36" s="931">
        <f>SUM(BD28:BD35)</f>
      </c>
      <c r="BE36" s="655">
        <f t="shared" si="99"/>
      </c>
      <c r="BF36" s="931">
        <f>SUM(BF28:BF35)</f>
      </c>
      <c r="BG36" s="931">
        <f>SUM(BG28:BG35)</f>
      </c>
      <c r="BH36" s="931">
        <f>SUM(BH28:BH35)</f>
      </c>
      <c r="BI36" s="931">
        <f>SUM(BI28:BI35)</f>
      </c>
      <c r="BJ36" s="655">
        <f t="shared" si="100"/>
      </c>
      <c r="BK36" s="931">
        <f>SUM(BK28:BK35)</f>
      </c>
      <c r="BL36" s="931">
        <f>SUM(BL28:BL35)</f>
      </c>
      <c r="BM36" s="931">
        <f>SUM(BM28:BM35)</f>
      </c>
      <c r="BN36" s="931">
        <f>SUM(BN28:BN35)</f>
      </c>
      <c r="BO36" s="655">
        <f t="shared" si="101"/>
      </c>
      <c r="BP36" s="931">
        <f>SUM(BP28:BP35)</f>
      </c>
      <c r="BQ36" s="931">
        <f>SUM(BQ28:BQ35)</f>
      </c>
      <c r="BR36" s="931">
        <f>SUM(BR28:BR35)</f>
      </c>
      <c r="BS36" s="931">
        <f>SUM(BS28:BS35)</f>
      </c>
      <c r="BT36" s="655">
        <f t="shared" si="102"/>
      </c>
      <c r="BU36" s="931">
        <f>SUM(BU28:BU35)</f>
      </c>
      <c r="BV36" s="931">
        <f>SUM(BV28:BV35)</f>
      </c>
      <c r="BW36" s="931">
        <f>SUM(BW28:BW35)</f>
      </c>
      <c r="BX36" s="931">
        <f>SUM(BX28:BX35)</f>
      </c>
      <c r="BY36" s="655">
        <f t="shared" si="103"/>
      </c>
      <c r="BZ36" s="931">
        <f>SUM(BZ28:BZ35)</f>
      </c>
      <c r="CA36" s="931">
        <f>SUM(CA28:CA35)</f>
      </c>
      <c r="CB36" s="931">
        <f>SUM(CB28:CB35)</f>
      </c>
      <c r="CC36" s="931">
        <f>SUM(CC28:CC35)</f>
      </c>
      <c r="CD36" s="655">
        <f t="shared" si="104"/>
      </c>
      <c r="CE36" s="931">
        <f>SUM(CE28:CE35)</f>
      </c>
      <c r="CF36" s="931">
        <f>SUM(CF28:CF35)</f>
      </c>
      <c r="CG36" s="931">
        <f>SUM(CG28:CG35)</f>
      </c>
      <c r="CH36" s="931">
        <f>SUM(CH28:CH35)</f>
      </c>
      <c r="CI36" s="655">
        <f t="shared" si="105"/>
      </c>
      <c r="CJ36" s="931">
        <f>SUM(CJ28:CJ35)</f>
      </c>
      <c r="CK36" s="931">
        <f>SUM(CK28:CK35)</f>
      </c>
      <c r="CL36" s="931">
        <f>SUM(CL28:CL35)</f>
      </c>
      <c r="CM36" s="931">
        <f>SUM(CM28:CM35)</f>
      </c>
      <c r="CN36" s="655">
        <f t="shared" si="106"/>
      </c>
      <c r="CO36" s="931">
        <f>SUM(CO28:CO35)</f>
      </c>
      <c r="CP36" s="931">
        <f>SUM(CP28:CP35)</f>
      </c>
      <c r="CQ36" s="931">
        <f>SUM(CQ28:CQ35)</f>
      </c>
      <c r="CR36" s="931">
        <f>SUM(CR28:CR35)</f>
      </c>
      <c r="CS36" s="655">
        <f t="shared" si="107"/>
      </c>
      <c r="CT36" s="931">
        <f>SUM(CT28:CT35)</f>
      </c>
      <c r="CU36" s="931">
        <f>SUM(CU28:CU35)</f>
      </c>
      <c r="CV36" s="931">
        <f>SUM(CV28:CV35)</f>
      </c>
      <c r="CW36" s="931">
        <f>SUM(CW28:CW35)</f>
      </c>
      <c r="CX36" s="655">
        <f t="shared" si="108"/>
      </c>
      <c r="CY36" s="931">
        <f>SUM(CY28:CY35)</f>
      </c>
      <c r="CZ36" s="931">
        <f>SUM(CZ28:CZ35)</f>
      </c>
      <c r="DA36" s="931">
        <f>SUM(DA28:DA35)</f>
      </c>
      <c r="DB36" s="931">
        <f>SUM(DB28:DB35)</f>
      </c>
      <c r="DC36" s="655">
        <f t="shared" si="109"/>
      </c>
      <c r="DD36" s="931">
        <f>SUM(DD28:DD35)</f>
      </c>
      <c r="DE36" s="931">
        <f>SUM(DE28:DE35)</f>
      </c>
      <c r="DF36" s="931">
        <f>SUM(DF28:DF35)</f>
      </c>
      <c r="DG36" s="931">
        <f>SUM(DG28:DG35)</f>
      </c>
      <c r="DH36" s="655">
        <f t="shared" si="110"/>
      </c>
      <c r="DI36" s="931">
        <f>SUM(DI28:DI35)</f>
      </c>
      <c r="DJ36" s="931">
        <f>SUM(DJ28:DJ35)</f>
      </c>
      <c r="DK36" s="931">
        <f>SUM(DK28:DK35)</f>
      </c>
      <c r="DL36" s="931">
        <f>SUM(DL28:DL35)</f>
      </c>
      <c r="DM36" s="655">
        <f t="shared" si="111"/>
      </c>
      <c r="DN36" s="931">
        <f>SUM(DN28:DN35)</f>
      </c>
      <c r="DO36" s="931">
        <f>SUM(DO28:DO35)</f>
      </c>
      <c r="DP36" s="931">
        <f>SUM(DP28:DP35)</f>
      </c>
      <c r="DQ36" s="931">
        <f>SUM(DQ28:DQ35)</f>
      </c>
      <c r="DR36" s="655">
        <f t="shared" si="112"/>
      </c>
      <c r="DS36" s="931">
        <f>SUM(DS28:DS35)</f>
      </c>
      <c r="DT36" s="931">
        <f>SUM(DT28:DT35)</f>
      </c>
      <c r="DU36" s="931">
        <f>SUM(DU28:DU35)</f>
      </c>
      <c r="DV36" s="931">
        <f>SUM(DV28:DV35)</f>
      </c>
      <c r="DW36" s="655">
        <f t="shared" si="113"/>
      </c>
      <c r="DX36" s="931">
        <f>SUM(DX28:DX35)</f>
      </c>
      <c r="DY36" s="931">
        <f>SUM(DY28:DY35)</f>
      </c>
      <c r="DZ36" s="931">
        <f>SUM(DZ28:DZ35)</f>
      </c>
      <c r="EA36" s="931">
        <f>SUM(EA28:EA35)</f>
      </c>
      <c r="EB36" s="655">
        <f t="shared" si="114"/>
      </c>
      <c r="EC36" s="931">
        <f>SUM(EC28:EC35)</f>
      </c>
      <c r="ED36" s="931">
        <f>SUM(ED28:ED35)</f>
      </c>
      <c r="EE36" s="931">
        <f>SUM(EE28:EE35)</f>
      </c>
      <c r="EF36" s="931">
        <f>SUM(EF28:EF35)</f>
      </c>
      <c r="EG36" s="655">
        <f t="shared" si="115"/>
      </c>
      <c r="EH36" s="931">
        <f>SUM(EH28:EH35)</f>
      </c>
      <c r="EI36" s="931">
        <f>SUM(EI28:EI35)</f>
      </c>
      <c r="EJ36" s="931">
        <f>SUM(EJ28:EJ35)</f>
      </c>
      <c r="EK36" s="931">
        <f>SUM(EK28:EK35)</f>
      </c>
      <c r="EL36" s="655">
        <f t="shared" si="116"/>
      </c>
      <c r="EM36" s="931">
        <f>SUM(EM28:EM35)</f>
      </c>
      <c r="EN36" s="931">
        <f>SUM(EN28:EN35)</f>
      </c>
      <c r="EO36" s="931">
        <f>SUM(EO28:EO35)</f>
      </c>
      <c r="EP36" s="931">
        <f>SUM(EP28:EP35)</f>
      </c>
      <c r="EQ36" s="655">
        <f t="shared" si="117"/>
      </c>
      <c r="ER36" s="941">
        <f>SUM(ER28:ER35)</f>
      </c>
      <c r="ES36" s="931">
        <f>SUM(ES28:ES35)</f>
      </c>
      <c r="ET36" s="942">
        <f>SUM(ET28:ET35)</f>
      </c>
      <c r="EU36" s="942">
        <f>SUM(EU28:EU35)</f>
      </c>
      <c r="EV36" s="934">
        <f t="shared" si="118"/>
      </c>
      <c r="EW36" s="1593">
        <f>SUM(EW28:EW35)</f>
      </c>
      <c r="EX36" s="942">
        <f>SUM(EX28:EX35)</f>
      </c>
      <c r="EY36" s="1593">
        <f>SUM(EY28:EY35)</f>
      </c>
      <c r="EZ36" s="1593">
        <f>SUM(EZ28:EZ35)</f>
      </c>
      <c r="FA36" s="934">
        <f t="shared" si="119"/>
      </c>
      <c r="FB36" s="942">
        <f>SUM(FB28:FB35)</f>
      </c>
      <c r="FC36" s="942">
        <f>SUM(FC28:FC35)</f>
      </c>
      <c r="FD36" s="942">
        <f>SUM(FD28:FD35)</f>
      </c>
      <c r="FE36" s="942">
        <f>SUM(FE28:FE35)</f>
      </c>
      <c r="FF36" s="934">
        <f>FE36</f>
      </c>
      <c r="FG36" s="942">
        <f>SUM(FG28:FG35)</f>
      </c>
      <c r="FH36" s="942">
        <f>SUM(FH28:FH35)</f>
      </c>
      <c r="FI36" s="942">
        <f>SUM(FI28:FI35)</f>
      </c>
      <c r="FJ36" s="942">
        <f>SUM(FJ28:FJ35)</f>
      </c>
      <c r="FK36" s="934">
        <f>FJ36</f>
      </c>
      <c r="FL36" s="942">
        <f>SUM(FL28:FL35)</f>
      </c>
      <c r="FM36" s="942">
        <f>SUM(FM28:FM35)</f>
      </c>
      <c r="FN36" s="942">
        <f>SUM(FN28:FN35)</f>
      </c>
      <c r="FO36" s="942">
        <f>SUM(FO28:FO35)</f>
      </c>
      <c r="FP36" s="934">
        <f>FO36</f>
      </c>
      <c r="FQ36" s="942">
        <f>SUM(FQ28:FQ35)</f>
      </c>
      <c r="FR36" s="942">
        <f>SUM(FR28:FR35)</f>
      </c>
      <c r="FS36" s="942">
        <f>SUM(FS28:FS35)</f>
      </c>
      <c r="FT36" s="942">
        <f>SUM(FT28:FT35)</f>
      </c>
      <c r="FU36" s="934">
        <f>FT36</f>
      </c>
      <c r="FV36" s="942">
        <f>SUM(FV28:FV35)</f>
      </c>
      <c r="FW36" s="942">
        <f>SUM(FW28:FW35)</f>
      </c>
      <c r="FX36" s="942">
        <f>SUM(FX28:FX35)</f>
      </c>
      <c r="FY36" s="942">
        <f>SUM(FY28:FY35)</f>
      </c>
      <c r="FZ36" s="934">
        <f>FY36</f>
      </c>
      <c r="GA36" s="942">
        <f>SUM(GA28:GA35)</f>
      </c>
      <c r="GB36" s="942">
        <f>SUM(GB28:GB35)</f>
      </c>
      <c r="GC36" s="942">
        <f>SUM(GC28:GC35)</f>
      </c>
      <c r="GD36" s="942">
        <f>SUM(GD28:GD35)</f>
      </c>
      <c r="GE36" s="934">
        <f>GD36</f>
      </c>
      <c r="GF36" s="942">
        <f>SUM(GF28:GF35)</f>
      </c>
      <c r="GG36" s="942">
        <f>SUM(GG28:GG35)</f>
      </c>
      <c r="GH36" s="942">
        <f>SUM(GH28:GH35)</f>
      </c>
      <c r="GI36" s="942">
        <f>SUM(GI28:GI35)</f>
      </c>
      <c r="GJ36" s="934">
        <f>GI36</f>
      </c>
    </row>
    <row r="37" spans="1:192" s="277" customFormat="1" ht="12.75" customHeight="1">
      <c r="A37" s="280"/>
      <c r="B37" s="707"/>
      <c r="C37" s="932"/>
      <c r="D37" s="932"/>
      <c r="E37" s="932"/>
      <c r="F37" s="932"/>
      <c r="G37" s="685"/>
      <c r="H37" s="932"/>
      <c r="I37" s="932"/>
      <c r="J37" s="932"/>
      <c r="K37" s="932"/>
      <c r="L37" s="685"/>
      <c r="M37" s="932"/>
      <c r="N37" s="932"/>
      <c r="O37" s="932"/>
      <c r="P37" s="932"/>
      <c r="Q37" s="685"/>
      <c r="R37" s="932"/>
      <c r="S37" s="932"/>
      <c r="T37" s="932"/>
      <c r="U37" s="932"/>
      <c r="V37" s="685"/>
      <c r="W37" s="932"/>
      <c r="X37" s="932"/>
      <c r="Y37" s="932"/>
      <c r="Z37" s="932"/>
      <c r="AA37" s="685"/>
      <c r="AB37" s="932"/>
      <c r="AC37" s="932"/>
      <c r="AD37" s="932"/>
      <c r="AE37" s="932"/>
      <c r="AF37" s="685"/>
      <c r="AG37" s="932"/>
      <c r="AH37" s="932"/>
      <c r="AI37" s="932"/>
      <c r="AJ37" s="932"/>
      <c r="AK37" s="685"/>
      <c r="AL37" s="932"/>
      <c r="AM37" s="932"/>
      <c r="AN37" s="932"/>
      <c r="AO37" s="932"/>
      <c r="AP37" s="685"/>
      <c r="AQ37" s="932"/>
      <c r="AR37" s="932"/>
      <c r="AS37" s="932"/>
      <c r="AT37" s="932"/>
      <c r="AU37" s="685"/>
      <c r="AV37" s="932"/>
      <c r="AW37" s="932"/>
      <c r="AX37" s="932"/>
      <c r="AY37" s="932"/>
      <c r="AZ37" s="685"/>
      <c r="BA37" s="932"/>
      <c r="BB37" s="932"/>
      <c r="BC37" s="932"/>
      <c r="BD37" s="932"/>
      <c r="BE37" s="685"/>
      <c r="BF37" s="932"/>
      <c r="BG37" s="932"/>
      <c r="BH37" s="932"/>
      <c r="BI37" s="932"/>
      <c r="BJ37" s="685"/>
      <c r="BK37" s="932"/>
      <c r="BL37" s="932"/>
      <c r="BM37" s="932"/>
      <c r="BN37" s="932"/>
      <c r="BO37" s="685"/>
      <c r="BP37" s="932"/>
      <c r="BQ37" s="932"/>
      <c r="BR37" s="932"/>
      <c r="BS37" s="932"/>
      <c r="BT37" s="685"/>
      <c r="BU37" s="932"/>
      <c r="BV37" s="932"/>
      <c r="BW37" s="932"/>
      <c r="BX37" s="932"/>
      <c r="BY37" s="685"/>
      <c r="BZ37" s="932"/>
      <c r="CA37" s="932"/>
      <c r="CB37" s="932"/>
      <c r="CC37" s="932"/>
      <c r="CD37" s="685"/>
      <c r="CE37" s="932"/>
      <c r="CF37" s="932"/>
      <c r="CG37" s="932"/>
      <c r="CH37" s="932"/>
      <c r="CI37" s="685"/>
      <c r="CJ37" s="932"/>
      <c r="CK37" s="932"/>
      <c r="CL37" s="932"/>
      <c r="CM37" s="932"/>
      <c r="CN37" s="685"/>
      <c r="CO37" s="932"/>
      <c r="CP37" s="932"/>
      <c r="CQ37" s="932"/>
      <c r="CR37" s="932"/>
      <c r="CS37" s="685"/>
      <c r="CT37" s="932"/>
      <c r="CU37" s="932"/>
      <c r="CV37" s="932"/>
      <c r="CW37" s="932"/>
      <c r="CX37" s="685"/>
      <c r="CY37" s="932"/>
      <c r="CZ37" s="932"/>
      <c r="DA37" s="932"/>
      <c r="DB37" s="932"/>
      <c r="DC37" s="685"/>
      <c r="DD37" s="932"/>
      <c r="DE37" s="932"/>
      <c r="DF37" s="932"/>
      <c r="DG37" s="932"/>
      <c r="DH37" s="685"/>
      <c r="DI37" s="932"/>
      <c r="DJ37" s="932"/>
      <c r="DK37" s="932"/>
      <c r="DL37" s="932"/>
      <c r="DM37" s="685"/>
      <c r="DN37" s="932"/>
      <c r="DO37" s="932"/>
      <c r="DP37" s="932"/>
      <c r="DQ37" s="932"/>
      <c r="DR37" s="685"/>
      <c r="DS37" s="932"/>
      <c r="DT37" s="932"/>
      <c r="DU37" s="932"/>
      <c r="DV37" s="932"/>
      <c r="DW37" s="685"/>
      <c r="DX37" s="932"/>
      <c r="DY37" s="932"/>
      <c r="DZ37" s="932"/>
      <c r="EA37" s="932"/>
      <c r="EB37" s="685"/>
      <c r="EC37" s="932"/>
      <c r="ED37" s="932"/>
      <c r="EE37" s="932"/>
      <c r="EF37" s="932"/>
      <c r="EG37" s="685"/>
      <c r="EH37" s="932"/>
      <c r="EI37" s="932"/>
      <c r="EJ37" s="932"/>
      <c r="EK37" s="932"/>
      <c r="EL37" s="685"/>
      <c r="EM37" s="932"/>
      <c r="EN37" s="932"/>
      <c r="EO37" s="932"/>
      <c r="EP37" s="932"/>
      <c r="EQ37" s="685"/>
      <c r="ER37" s="943"/>
      <c r="ES37" s="932"/>
      <c r="ET37" s="944"/>
      <c r="EU37" s="944"/>
      <c r="EV37" s="936"/>
      <c r="EW37" s="1594"/>
      <c r="EX37" s="944"/>
      <c r="EY37" s="944"/>
      <c r="EZ37" s="944"/>
      <c r="FA37" s="936"/>
      <c r="FB37" s="944"/>
      <c r="FC37" s="944"/>
      <c r="FD37" s="944"/>
      <c r="FE37" s="944"/>
      <c r="FF37" s="936"/>
      <c r="FG37" s="944"/>
      <c r="FH37" s="944"/>
      <c r="FI37" s="944"/>
      <c r="FJ37" s="944"/>
      <c r="FK37" s="936"/>
      <c r="FL37" s="944"/>
      <c r="FM37" s="944"/>
      <c r="FN37" s="944"/>
      <c r="FO37" s="944"/>
      <c r="FP37" s="936"/>
      <c r="FQ37" s="944"/>
      <c r="FR37" s="944"/>
      <c r="FS37" s="944"/>
      <c r="FT37" s="944"/>
      <c r="FU37" s="936"/>
      <c r="FV37" s="944"/>
      <c r="FW37" s="944"/>
      <c r="FX37" s="944"/>
      <c r="FY37" s="944"/>
      <c r="FZ37" s="936"/>
      <c r="GA37" s="944"/>
      <c r="GB37" s="944"/>
      <c r="GC37" s="944"/>
      <c r="GD37" s="944"/>
      <c r="GE37" s="936"/>
      <c r="GF37" s="944"/>
      <c r="GG37" s="944"/>
      <c r="GH37" s="944"/>
      <c r="GI37" s="944"/>
      <c r="GJ37" s="936"/>
    </row>
    <row r="38" spans="1:192" s="277" customFormat="1" ht="12.75" customHeight="1">
      <c r="A38" s="274"/>
      <c r="B38" s="704" t="s">
        <v>98</v>
      </c>
      <c r="C38" s="448">
        <v>0</v>
      </c>
      <c r="D38" s="448">
        <v>0</v>
      </c>
      <c r="E38" s="448">
        <v>0</v>
      </c>
      <c r="F38" s="448">
        <v>0</v>
      </c>
      <c r="G38" s="373">
        <f t="shared" ref="G38:G43" si="129">F38</f>
      </c>
      <c r="H38" s="448">
        <v>0</v>
      </c>
      <c r="I38" s="448">
        <v>0</v>
      </c>
      <c r="J38" s="448">
        <v>0</v>
      </c>
      <c r="K38" s="448">
        <v>0</v>
      </c>
      <c r="L38" s="373">
        <f t="shared" ref="L38:L43" si="130">K38</f>
      </c>
      <c r="M38" s="448">
        <v>0</v>
      </c>
      <c r="N38" s="448">
        <v>0</v>
      </c>
      <c r="O38" s="448">
        <v>0</v>
      </c>
      <c r="P38" s="448">
        <v>0</v>
      </c>
      <c r="Q38" s="373">
        <f t="shared" ref="Q38:Q43" si="131">P38</f>
      </c>
      <c r="R38" s="448">
        <v>0</v>
      </c>
      <c r="S38" s="448">
        <v>0</v>
      </c>
      <c r="T38" s="448">
        <v>0</v>
      </c>
      <c r="U38" s="448">
        <v>0</v>
      </c>
      <c r="V38" s="373">
        <f t="shared" ref="V38:V43" si="132">U38</f>
      </c>
      <c r="W38" s="448">
        <v>0</v>
      </c>
      <c r="X38" s="448">
        <v>0</v>
      </c>
      <c r="Y38" s="448">
        <v>0</v>
      </c>
      <c r="Z38" s="448">
        <v>0</v>
      </c>
      <c r="AA38" s="373">
        <f t="shared" ref="AA38:AA43" si="133">Z38</f>
      </c>
      <c r="AB38" s="448">
        <v>0</v>
      </c>
      <c r="AC38" s="448">
        <v>0</v>
      </c>
      <c r="AD38" s="448">
        <v>0</v>
      </c>
      <c r="AE38" s="448">
        <v>0</v>
      </c>
      <c r="AF38" s="373">
        <f t="shared" ref="AF38:AF43" si="134">AE38</f>
      </c>
      <c r="AG38" s="448">
        <v>0</v>
      </c>
      <c r="AH38" s="448">
        <v>0</v>
      </c>
      <c r="AI38" s="448">
        <v>0</v>
      </c>
      <c r="AJ38" s="448">
        <v>0</v>
      </c>
      <c r="AK38" s="373">
        <f t="shared" ref="AK38:AK43" si="135">AJ38</f>
      </c>
      <c r="AL38" s="448">
        <v>0</v>
      </c>
      <c r="AM38" s="448">
        <v>0</v>
      </c>
      <c r="AN38" s="448">
        <v>0</v>
      </c>
      <c r="AO38" s="448">
        <v>0</v>
      </c>
      <c r="AP38" s="373">
        <f t="shared" ref="AP38:AP43" si="136">AO38</f>
      </c>
      <c r="AQ38" s="448">
        <v>0</v>
      </c>
      <c r="AR38" s="448">
        <v>0</v>
      </c>
      <c r="AS38" s="448">
        <v>0</v>
      </c>
      <c r="AT38" s="448">
        <v>0</v>
      </c>
      <c r="AU38" s="373">
        <f t="shared" ref="AU38:AU43" si="137">AT38</f>
      </c>
      <c r="AV38" s="633">
        <v>0</v>
      </c>
      <c r="AW38" s="633">
        <v>0</v>
      </c>
      <c r="AX38" s="633">
        <v>0</v>
      </c>
      <c r="AY38" s="633">
        <v>0</v>
      </c>
      <c r="AZ38" s="373">
        <f t="shared" ref="AZ38:AZ43" si="138">AY38</f>
      </c>
      <c r="BA38" s="448">
        <v>0</v>
      </c>
      <c r="BB38" s="448">
        <v>0</v>
      </c>
      <c r="BC38" s="448">
        <v>0</v>
      </c>
      <c r="BD38" s="448">
        <v>0</v>
      </c>
      <c r="BE38" s="373">
        <f t="shared" ref="BE38:BE43" si="139">BD38</f>
      </c>
      <c r="BF38" s="448">
        <v>0</v>
      </c>
      <c r="BG38" s="448">
        <v>0</v>
      </c>
      <c r="BH38" s="448">
        <v>0</v>
      </c>
      <c r="BI38" s="448">
        <v>0</v>
      </c>
      <c r="BJ38" s="373">
        <f t="shared" ref="BJ38:BJ43" si="140">BI38</f>
      </c>
      <c r="BK38" s="448">
        <v>0</v>
      </c>
      <c r="BL38" s="448">
        <v>0</v>
      </c>
      <c r="BM38" s="448">
        <v>0</v>
      </c>
      <c r="BN38" s="448">
        <v>0</v>
      </c>
      <c r="BO38" s="373">
        <f t="shared" ref="BO38:BO43" si="141">BN38</f>
      </c>
      <c r="BP38" s="448">
        <v>0</v>
      </c>
      <c r="BQ38" s="448">
        <v>0</v>
      </c>
      <c r="BR38" s="448">
        <v>0</v>
      </c>
      <c r="BS38" s="448">
        <v>0</v>
      </c>
      <c r="BT38" s="373">
        <f t="shared" ref="BT38:BT43" si="142">BS38</f>
      </c>
      <c r="BU38" s="448">
        <v>0</v>
      </c>
      <c r="BV38" s="448">
        <v>0</v>
      </c>
      <c r="BW38" s="448">
        <v>0</v>
      </c>
      <c r="BX38" s="448">
        <v>3746</v>
      </c>
      <c r="BY38" s="373">
        <f t="shared" ref="BY38:BY43" si="143">BX38</f>
      </c>
      <c r="BZ38" s="448">
        <v>3746</v>
      </c>
      <c r="CA38" s="448">
        <v>3746</v>
      </c>
      <c r="CB38" s="448">
        <v>3746</v>
      </c>
      <c r="CC38" s="448">
        <v>4939</v>
      </c>
      <c r="CD38" s="373">
        <f t="shared" ref="CD38:CD43" si="144">CC38</f>
      </c>
      <c r="CE38" s="448">
        <v>9665</v>
      </c>
      <c r="CF38" s="448">
        <v>9671</v>
      </c>
      <c r="CG38" s="448">
        <v>11915</v>
      </c>
      <c r="CH38" s="448">
        <v>11921</v>
      </c>
      <c r="CI38" s="373">
        <f t="shared" ref="CI38:CI43" si="145">CH38</f>
      </c>
      <c r="CJ38" s="448">
        <v>11927</v>
      </c>
      <c r="CK38" s="448">
        <v>11932</v>
      </c>
      <c r="CL38" s="448">
        <v>11938</v>
      </c>
      <c r="CM38" s="448">
        <v>10713</v>
      </c>
      <c r="CN38" s="373">
        <f t="shared" ref="CN38:CN43" si="146">CM38</f>
      </c>
      <c r="CO38" s="448">
        <v>9714</v>
      </c>
      <c r="CP38" s="448">
        <v>11947</v>
      </c>
      <c r="CQ38" s="448">
        <v>11949</v>
      </c>
      <c r="CR38" s="448">
        <v>12601</v>
      </c>
      <c r="CS38" s="373">
        <f t="shared" ref="CS38:CS43" si="147">CR38</f>
      </c>
      <c r="CT38" s="448">
        <v>12632</v>
      </c>
      <c r="CU38" s="448">
        <v>20676</v>
      </c>
      <c r="CV38" s="448">
        <v>20679</v>
      </c>
      <c r="CW38" s="448">
        <v>20645</v>
      </c>
      <c r="CX38" s="373">
        <f t="shared" ref="CX38:CX43" si="148">CW38</f>
      </c>
      <c r="CY38" s="448">
        <v>18472</v>
      </c>
      <c r="CZ38" s="448">
        <v>18260</v>
      </c>
      <c r="DA38" s="448">
        <v>27644</v>
      </c>
      <c r="DB38" s="448">
        <v>27808</v>
      </c>
      <c r="DC38" s="373">
        <f t="shared" ref="DC38:DC43" si="149">DB38</f>
      </c>
      <c r="DD38" s="448">
        <v>27819</v>
      </c>
      <c r="DE38" s="448">
        <v>40679</v>
      </c>
      <c r="DF38" s="448">
        <v>40896</v>
      </c>
      <c r="DG38" s="448">
        <v>40783</v>
      </c>
      <c r="DH38" s="373">
        <f t="shared" ref="DH38:DH43" si="150">DG38</f>
      </c>
      <c r="DI38" s="448">
        <v>60154</v>
      </c>
      <c r="DJ38" s="448">
        <v>59306</v>
      </c>
      <c r="DK38" s="448">
        <v>76222</v>
      </c>
      <c r="DL38" s="448">
        <v>76073</v>
      </c>
      <c r="DM38" s="373">
        <f t="shared" ref="DM38:DM43" si="151">DL38</f>
      </c>
      <c r="DN38" s="448">
        <v>76255</v>
      </c>
      <c r="DO38" s="448">
        <v>73348</v>
      </c>
      <c r="DP38" s="448">
        <v>73480</v>
      </c>
      <c r="DQ38" s="448">
        <v>72242</v>
      </c>
      <c r="DR38" s="373">
        <f t="shared" ref="DR38:DR43" si="152">DQ38</f>
      </c>
      <c r="DS38" s="448">
        <v>69733</v>
      </c>
      <c r="DT38" s="448">
        <v>69653</v>
      </c>
      <c r="DU38" s="448">
        <v>66585</v>
      </c>
      <c r="DV38" s="448">
        <v>66662</v>
      </c>
      <c r="DW38" s="373">
        <f t="shared" ref="DW38:DW43" si="153">DV38</f>
      </c>
      <c r="DX38" s="448">
        <v>66478</v>
      </c>
      <c r="DY38" s="448">
        <v>63361</v>
      </c>
      <c r="DZ38" s="448">
        <v>62862</v>
      </c>
      <c r="EA38" s="448">
        <v>59578</v>
      </c>
      <c r="EB38" s="373">
        <f t="shared" ref="EB38:EB43" si="154">EA38</f>
      </c>
      <c r="EC38" s="448">
        <v>57055</v>
      </c>
      <c r="ED38" s="448">
        <v>55136</v>
      </c>
      <c r="EE38" s="448">
        <v>50007</v>
      </c>
      <c r="EF38" s="448">
        <v>50074</v>
      </c>
      <c r="EG38" s="373">
        <f t="shared" ref="EG38:EG43" si="155">EF38</f>
      </c>
      <c r="EH38" s="448">
        <v>50039</v>
      </c>
      <c r="EI38" s="448">
        <v>48260</v>
      </c>
      <c r="EJ38" s="448">
        <v>48177</v>
      </c>
      <c r="EK38" s="448">
        <v>47032</v>
      </c>
      <c r="EL38" s="373">
        <f t="shared" ref="EL38:EL43" si="156">EK38</f>
      </c>
      <c r="EM38" s="448">
        <v>45374</v>
      </c>
      <c r="EN38" s="448">
        <v>44119</v>
      </c>
      <c r="EO38" s="448">
        <v>41965</v>
      </c>
      <c r="EP38" s="448">
        <v>41990</v>
      </c>
      <c r="EQ38" s="373">
        <f t="shared" ref="EQ38:EQ43" si="157">EP38</f>
      </c>
      <c r="ER38" s="939">
        <v>41946</v>
      </c>
      <c r="ES38" s="448">
        <v>44928</v>
      </c>
      <c r="ET38" s="954">
        <v>42658</v>
      </c>
      <c r="EU38" s="954">
        <v>42688</v>
      </c>
      <c r="EV38" s="662">
        <f t="shared" ref="EV38:EV43" si="158">EU38</f>
      </c>
      <c r="EW38" s="954">
        <v>42868</v>
      </c>
      <c r="EX38" s="954">
        <v>39722</v>
      </c>
      <c r="EY38" s="954">
        <v>39882</v>
      </c>
      <c r="EZ38" s="954">
        <v>40152</v>
      </c>
      <c r="FA38" s="662">
        <f t="shared" ref="FA38:FA43" si="159">EZ38</f>
      </c>
      <c r="FB38" s="929">
        <f>EZ38</f>
      </c>
      <c r="FC38" s="929">
        <f>FB38</f>
      </c>
      <c r="FD38" s="929">
        <f>FC38</f>
      </c>
      <c r="FE38" s="929">
        <f>FD38</f>
      </c>
      <c r="FF38" s="662">
        <f>FE38</f>
      </c>
      <c r="FG38" s="929">
        <f>FE38</f>
      </c>
      <c r="FH38" s="929">
        <f>FG38</f>
      </c>
      <c r="FI38" s="929">
        <f>FH38</f>
      </c>
      <c r="FJ38" s="929">
        <f>FI38</f>
      </c>
      <c r="FK38" s="662">
        <f>FJ38</f>
      </c>
      <c r="FL38" s="929">
        <f>FJ38</f>
      </c>
      <c r="FM38" s="929">
        <f>FL38</f>
      </c>
      <c r="FN38" s="929">
        <f>FM38</f>
      </c>
      <c r="FO38" s="929">
        <f>FN38</f>
      </c>
      <c r="FP38" s="662">
        <f>FO38</f>
      </c>
      <c r="FQ38" s="929">
        <f>FO38</f>
      </c>
      <c r="FR38" s="929">
        <f>FQ38</f>
      </c>
      <c r="FS38" s="929">
        <f>FR38</f>
      </c>
      <c r="FT38" s="929">
        <f>FS38</f>
      </c>
      <c r="FU38" s="662">
        <f>FT38</f>
      </c>
      <c r="FV38" s="929">
        <f>FT38</f>
      </c>
      <c r="FW38" s="929">
        <f>FV38</f>
      </c>
      <c r="FX38" s="929">
        <f>FW38</f>
      </c>
      <c r="FY38" s="929">
        <f>FX38</f>
      </c>
      <c r="FZ38" s="662">
        <f>FY38</f>
      </c>
      <c r="GA38" s="929">
        <f>FY38</f>
      </c>
      <c r="GB38" s="929">
        <f>GA38</f>
      </c>
      <c r="GC38" s="929">
        <f>GB38</f>
      </c>
      <c r="GD38" s="929">
        <f>GC38</f>
      </c>
      <c r="GE38" s="662">
        <f>GD38</f>
      </c>
      <c r="GF38" s="929">
        <f>GD38</f>
      </c>
      <c r="GG38" s="929">
        <f>GF38</f>
      </c>
      <c r="GH38" s="929">
        <f>GG38</f>
      </c>
      <c r="GI38" s="929">
        <f>GH38</f>
      </c>
      <c r="GJ38" s="662">
        <f>GI38</f>
      </c>
    </row>
    <row r="39" spans="1:192" s="277" customFormat="1" ht="12.75" customHeight="1">
      <c r="A39" s="274"/>
      <c r="B39" s="704" t="s">
        <v>99</v>
      </c>
      <c r="C39" s="448">
        <v>0</v>
      </c>
      <c r="D39" s="448">
        <v>0</v>
      </c>
      <c r="E39" s="448">
        <v>0</v>
      </c>
      <c r="F39" s="448">
        <v>0</v>
      </c>
      <c r="G39" s="373">
        <f t="shared" si="129"/>
      </c>
      <c r="H39" s="448">
        <v>0</v>
      </c>
      <c r="I39" s="448">
        <v>0</v>
      </c>
      <c r="J39" s="448">
        <v>0</v>
      </c>
      <c r="K39" s="448">
        <v>0</v>
      </c>
      <c r="L39" s="373">
        <f t="shared" si="130"/>
      </c>
      <c r="M39" s="448">
        <v>0</v>
      </c>
      <c r="N39" s="448">
        <v>0</v>
      </c>
      <c r="O39" s="448">
        <v>0</v>
      </c>
      <c r="P39" s="448">
        <v>0</v>
      </c>
      <c r="Q39" s="373">
        <f t="shared" si="131"/>
      </c>
      <c r="R39" s="448">
        <v>0</v>
      </c>
      <c r="S39" s="448">
        <v>0</v>
      </c>
      <c r="T39" s="448">
        <v>0</v>
      </c>
      <c r="U39" s="448">
        <v>0</v>
      </c>
      <c r="V39" s="373">
        <f t="shared" si="132"/>
      </c>
      <c r="W39" s="448">
        <v>0</v>
      </c>
      <c r="X39" s="448">
        <v>0</v>
      </c>
      <c r="Y39" s="448">
        <v>0</v>
      </c>
      <c r="Z39" s="448">
        <v>0</v>
      </c>
      <c r="AA39" s="373">
        <f t="shared" si="133"/>
      </c>
      <c r="AB39" s="448">
        <v>0</v>
      </c>
      <c r="AC39" s="448">
        <v>0</v>
      </c>
      <c r="AD39" s="448">
        <v>0</v>
      </c>
      <c r="AE39" s="448">
        <v>0</v>
      </c>
      <c r="AF39" s="373">
        <f t="shared" si="134"/>
      </c>
      <c r="AG39" s="448">
        <v>0</v>
      </c>
      <c r="AH39" s="448">
        <v>0</v>
      </c>
      <c r="AI39" s="448">
        <v>0</v>
      </c>
      <c r="AJ39" s="448">
        <v>0</v>
      </c>
      <c r="AK39" s="373">
        <f t="shared" si="135"/>
      </c>
      <c r="AL39" s="448">
        <v>0</v>
      </c>
      <c r="AM39" s="448">
        <v>0</v>
      </c>
      <c r="AN39" s="448">
        <v>0</v>
      </c>
      <c r="AO39" s="448">
        <v>0</v>
      </c>
      <c r="AP39" s="373">
        <f t="shared" si="136"/>
      </c>
      <c r="AQ39" s="448">
        <v>0</v>
      </c>
      <c r="AR39" s="448">
        <v>0</v>
      </c>
      <c r="AS39" s="448">
        <v>0</v>
      </c>
      <c r="AT39" s="448">
        <v>0</v>
      </c>
      <c r="AU39" s="373">
        <f t="shared" si="137"/>
      </c>
      <c r="AV39" s="633">
        <v>0</v>
      </c>
      <c r="AW39" s="633">
        <v>0</v>
      </c>
      <c r="AX39" s="633">
        <v>0</v>
      </c>
      <c r="AY39" s="633">
        <v>0</v>
      </c>
      <c r="AZ39" s="373">
        <f t="shared" si="138"/>
      </c>
      <c r="BA39" s="448">
        <v>0</v>
      </c>
      <c r="BB39" s="448">
        <v>0</v>
      </c>
      <c r="BC39" s="448">
        <v>0</v>
      </c>
      <c r="BD39" s="448">
        <v>0</v>
      </c>
      <c r="BE39" s="373">
        <f t="shared" si="139"/>
      </c>
      <c r="BF39" s="448">
        <v>0</v>
      </c>
      <c r="BG39" s="448">
        <v>0</v>
      </c>
      <c r="BH39" s="448">
        <v>0</v>
      </c>
      <c r="BI39" s="448">
        <v>0</v>
      </c>
      <c r="BJ39" s="373">
        <f t="shared" si="140"/>
      </c>
      <c r="BK39" s="448">
        <v>0</v>
      </c>
      <c r="BL39" s="448">
        <v>0</v>
      </c>
      <c r="BM39" s="448">
        <v>0</v>
      </c>
      <c r="BN39" s="448">
        <v>0</v>
      </c>
      <c r="BO39" s="373">
        <f t="shared" si="141"/>
      </c>
      <c r="BP39" s="448">
        <v>0</v>
      </c>
      <c r="BQ39" s="448">
        <v>0</v>
      </c>
      <c r="BR39" s="448">
        <v>0</v>
      </c>
      <c r="BS39" s="448">
        <v>0</v>
      </c>
      <c r="BT39" s="373">
        <f t="shared" si="142"/>
      </c>
      <c r="BU39" s="633">
        <v>0</v>
      </c>
      <c r="BV39" s="633">
        <v>0</v>
      </c>
      <c r="BW39" s="633">
        <v>0</v>
      </c>
      <c r="BX39" s="633">
        <v>0</v>
      </c>
      <c r="BY39" s="373">
        <f t="shared" si="143"/>
      </c>
      <c r="BZ39" s="448">
        <v>0</v>
      </c>
      <c r="CA39" s="448">
        <v>0</v>
      </c>
      <c r="CB39" s="448">
        <v>0</v>
      </c>
      <c r="CC39" s="448">
        <v>0</v>
      </c>
      <c r="CD39" s="373">
        <f t="shared" si="144"/>
      </c>
      <c r="CE39" s="448">
        <v>0</v>
      </c>
      <c r="CF39" s="448">
        <v>0</v>
      </c>
      <c r="CG39" s="448">
        <v>0</v>
      </c>
      <c r="CH39" s="448">
        <v>0</v>
      </c>
      <c r="CI39" s="373">
        <f t="shared" si="145"/>
      </c>
      <c r="CJ39" s="448">
        <v>0</v>
      </c>
      <c r="CK39" s="448">
        <v>0</v>
      </c>
      <c r="CL39" s="448">
        <v>0</v>
      </c>
      <c r="CM39" s="448">
        <v>0</v>
      </c>
      <c r="CN39" s="373">
        <f t="shared" si="146"/>
      </c>
      <c r="CO39" s="448">
        <v>0</v>
      </c>
      <c r="CP39" s="448">
        <v>0</v>
      </c>
      <c r="CQ39" s="448">
        <v>0</v>
      </c>
      <c r="CR39" s="448">
        <v>0</v>
      </c>
      <c r="CS39" s="373">
        <f t="shared" si="147"/>
      </c>
      <c r="CT39" s="633">
        <v>0</v>
      </c>
      <c r="CU39" s="633">
        <v>0</v>
      </c>
      <c r="CV39" s="633">
        <v>0</v>
      </c>
      <c r="CW39" s="633">
        <v>0</v>
      </c>
      <c r="CX39" s="373">
        <f t="shared" si="148"/>
      </c>
      <c r="CY39" s="448">
        <v>0</v>
      </c>
      <c r="CZ39" s="448">
        <v>0</v>
      </c>
      <c r="DA39" s="448">
        <v>0</v>
      </c>
      <c r="DB39" s="448">
        <v>0</v>
      </c>
      <c r="DC39" s="373">
        <f t="shared" si="149"/>
      </c>
      <c r="DD39" s="448">
        <v>0</v>
      </c>
      <c r="DE39" s="448">
        <v>0</v>
      </c>
      <c r="DF39" s="448">
        <v>0</v>
      </c>
      <c r="DG39" s="448">
        <v>0</v>
      </c>
      <c r="DH39" s="373">
        <f t="shared" si="150"/>
      </c>
      <c r="DI39" s="448">
        <v>0</v>
      </c>
      <c r="DJ39" s="448">
        <v>0</v>
      </c>
      <c r="DK39" s="448">
        <v>0</v>
      </c>
      <c r="DL39" s="448">
        <v>0</v>
      </c>
      <c r="DM39" s="373">
        <f t="shared" si="151"/>
      </c>
      <c r="DN39" s="448">
        <v>0</v>
      </c>
      <c r="DO39" s="448">
        <v>30050</v>
      </c>
      <c r="DP39" s="448">
        <v>30669</v>
      </c>
      <c r="DQ39" s="448">
        <v>30265</v>
      </c>
      <c r="DR39" s="373">
        <f t="shared" si="152"/>
      </c>
      <c r="DS39" s="448">
        <v>28936</v>
      </c>
      <c r="DT39" s="448">
        <v>29161</v>
      </c>
      <c r="DU39" s="448">
        <v>29514</v>
      </c>
      <c r="DV39" s="448">
        <v>29612</v>
      </c>
      <c r="DW39" s="373">
        <f t="shared" si="153"/>
      </c>
      <c r="DX39" s="448">
        <v>28457</v>
      </c>
      <c r="DY39" s="448">
        <v>28754</v>
      </c>
      <c r="DZ39" s="448">
        <v>28888</v>
      </c>
      <c r="EA39" s="448">
        <v>29432</v>
      </c>
      <c r="EB39" s="373">
        <f t="shared" si="154"/>
      </c>
      <c r="EC39" s="448">
        <v>28204</v>
      </c>
      <c r="ED39" s="448">
        <v>26701</v>
      </c>
      <c r="EE39" s="448">
        <v>27157</v>
      </c>
      <c r="EF39" s="448">
        <v>27190</v>
      </c>
      <c r="EG39" s="373">
        <f t="shared" si="155"/>
      </c>
      <c r="EH39" s="448">
        <v>25715</v>
      </c>
      <c r="EI39" s="448">
        <v>26121</v>
      </c>
      <c r="EJ39" s="448">
        <v>26483</v>
      </c>
      <c r="EK39" s="448">
        <v>26069</v>
      </c>
      <c r="EL39" s="373">
        <f t="shared" si="156"/>
      </c>
      <c r="EM39" s="448">
        <v>23712</v>
      </c>
      <c r="EN39" s="448">
        <v>24169</v>
      </c>
      <c r="EO39" s="448">
        <v>25000</v>
      </c>
      <c r="EP39" s="448">
        <v>25560</v>
      </c>
      <c r="EQ39" s="373">
        <f t="shared" si="157"/>
      </c>
      <c r="ER39" s="939">
        <v>22983</v>
      </c>
      <c r="ES39" s="448">
        <v>25890</v>
      </c>
      <c r="ET39" s="954">
        <v>26786</v>
      </c>
      <c r="EU39" s="954">
        <v>27931</v>
      </c>
      <c r="EV39" s="662">
        <f t="shared" si="158"/>
      </c>
      <c r="EW39" s="954">
        <v>24452</v>
      </c>
      <c r="EX39" s="954">
        <v>24389</v>
      </c>
      <c r="EY39" s="954">
        <v>25061</v>
      </c>
      <c r="EZ39" s="954">
        <v>25986</v>
      </c>
      <c r="FA39" s="662">
        <f t="shared" si="159"/>
      </c>
      <c r="FB39" s="930">
        <f>FB56*FB87*FB92</f>
      </c>
      <c r="FC39" s="930">
        <f>FC56*FC87*FC92</f>
      </c>
      <c r="FD39" s="930">
        <f>FD56*FD87*FD92</f>
      </c>
      <c r="FE39" s="930">
        <f>FE56*FE87*FE92</f>
      </c>
      <c r="FF39" s="662">
        <f>FE39</f>
      </c>
      <c r="FG39" s="930">
        <f>FG56*FG87*FG92</f>
      </c>
      <c r="FH39" s="930">
        <f>FH56*FH87*FH92</f>
      </c>
      <c r="FI39" s="930">
        <f>FI56*FI87*FI92</f>
      </c>
      <c r="FJ39" s="930">
        <f>FJ56*FJ87*FJ92</f>
      </c>
      <c r="FK39" s="662">
        <f>FJ39</f>
      </c>
      <c r="FL39" s="930">
        <f>FL56*FL87*FL92</f>
      </c>
      <c r="FM39" s="930">
        <f>FM56*FM87*FM92</f>
      </c>
      <c r="FN39" s="930">
        <f>FN56*FN87*FN92</f>
      </c>
      <c r="FO39" s="930">
        <f>FO56*FO87*FO92</f>
      </c>
      <c r="FP39" s="662">
        <f>FO39</f>
      </c>
      <c r="FQ39" s="930">
        <f>FQ56*FQ87*FQ92</f>
      </c>
      <c r="FR39" s="930">
        <f>FR56*FR87*FR92</f>
      </c>
      <c r="FS39" s="930">
        <f>FS56*FS87*FS92</f>
      </c>
      <c r="FT39" s="930">
        <f>FT56*FT87*FT92</f>
      </c>
      <c r="FU39" s="662">
        <f>FT39</f>
      </c>
      <c r="FV39" s="930">
        <f>FV56*FV87*FV92</f>
      </c>
      <c r="FW39" s="930">
        <f>FW56*FW87*FW92</f>
      </c>
      <c r="FX39" s="930">
        <f>FX56*FX87*FX92</f>
      </c>
      <c r="FY39" s="930">
        <f>FY56*FY87*FY92</f>
      </c>
      <c r="FZ39" s="662">
        <f>FY39</f>
      </c>
      <c r="GA39" s="930">
        <f>GA56*GA87*GA92</f>
      </c>
      <c r="GB39" s="930">
        <f>GB56*GB87*GB92</f>
      </c>
      <c r="GC39" s="930">
        <f>GC56*GC87*GC92</f>
      </c>
      <c r="GD39" s="930">
        <f>GD56*GD87*GD92</f>
      </c>
      <c r="GE39" s="662">
        <f>GD39</f>
      </c>
      <c r="GF39" s="930">
        <f>GF56*GF87*GF92</f>
      </c>
      <c r="GG39" s="930">
        <f>GG56*GG87*GG92</f>
      </c>
      <c r="GH39" s="930">
        <f>GH56*GH87*GH92</f>
      </c>
      <c r="GI39" s="930">
        <f>GI56*GI87*GI92</f>
      </c>
      <c r="GJ39" s="662">
        <f>GI39</f>
      </c>
    </row>
    <row r="40" spans="1:192" s="277" customFormat="1" ht="12.75" customHeight="1">
      <c r="A40" s="274"/>
      <c r="B40" s="704" t="s">
        <v>100</v>
      </c>
      <c r="C40" s="448">
        <v>0</v>
      </c>
      <c r="D40" s="448">
        <v>0</v>
      </c>
      <c r="E40" s="448">
        <v>0</v>
      </c>
      <c r="F40" s="448">
        <v>0</v>
      </c>
      <c r="G40" s="373">
        <f t="shared" si="129"/>
      </c>
      <c r="H40" s="448">
        <v>0</v>
      </c>
      <c r="I40" s="448">
        <v>0</v>
      </c>
      <c r="J40" s="448">
        <v>0</v>
      </c>
      <c r="K40" s="448">
        <v>0</v>
      </c>
      <c r="L40" s="373">
        <f t="shared" si="130"/>
      </c>
      <c r="M40" s="448">
        <v>0</v>
      </c>
      <c r="N40" s="448">
        <v>0</v>
      </c>
      <c r="O40" s="448">
        <v>0</v>
      </c>
      <c r="P40" s="448">
        <v>0</v>
      </c>
      <c r="Q40" s="373">
        <f t="shared" si="131"/>
      </c>
      <c r="R40" s="448">
        <v>0</v>
      </c>
      <c r="S40" s="448">
        <v>0</v>
      </c>
      <c r="T40" s="448">
        <v>0</v>
      </c>
      <c r="U40" s="448">
        <v>0</v>
      </c>
      <c r="V40" s="373">
        <f t="shared" si="132"/>
      </c>
      <c r="W40" s="448">
        <v>0</v>
      </c>
      <c r="X40" s="448">
        <v>0</v>
      </c>
      <c r="Y40" s="448">
        <v>0</v>
      </c>
      <c r="Z40" s="448">
        <v>0</v>
      </c>
      <c r="AA40" s="373">
        <f t="shared" si="133"/>
      </c>
      <c r="AB40" s="448">
        <v>0</v>
      </c>
      <c r="AC40" s="448">
        <v>0</v>
      </c>
      <c r="AD40" s="448">
        <v>0</v>
      </c>
      <c r="AE40" s="448">
        <v>0</v>
      </c>
      <c r="AF40" s="373">
        <f t="shared" si="134"/>
      </c>
      <c r="AG40" s="448">
        <v>0</v>
      </c>
      <c r="AH40" s="448">
        <v>0</v>
      </c>
      <c r="AI40" s="448">
        <v>0</v>
      </c>
      <c r="AJ40" s="448">
        <v>0</v>
      </c>
      <c r="AK40" s="373">
        <f t="shared" si="135"/>
      </c>
      <c r="AL40" s="448">
        <v>0</v>
      </c>
      <c r="AM40" s="448">
        <v>1321</v>
      </c>
      <c r="AN40" s="448">
        <v>1346</v>
      </c>
      <c r="AO40" s="448">
        <v>1823</v>
      </c>
      <c r="AP40" s="373">
        <f t="shared" si="136"/>
      </c>
      <c r="AQ40" s="448">
        <v>2290</v>
      </c>
      <c r="AR40" s="448">
        <v>2026</v>
      </c>
      <c r="AS40" s="448">
        <v>1734</v>
      </c>
      <c r="AT40" s="448">
        <v>1790</v>
      </c>
      <c r="AU40" s="373">
        <f t="shared" si="137"/>
      </c>
      <c r="AV40" s="448">
        <v>1627</v>
      </c>
      <c r="AW40" s="448">
        <v>1623</v>
      </c>
      <c r="AX40" s="448">
        <v>1577</v>
      </c>
      <c r="AY40" s="448">
        <v>1663</v>
      </c>
      <c r="AZ40" s="373">
        <f t="shared" si="138"/>
      </c>
      <c r="BA40" s="448">
        <v>1633</v>
      </c>
      <c r="BB40" s="448">
        <v>1699</v>
      </c>
      <c r="BC40" s="448">
        <v>1666</v>
      </c>
      <c r="BD40" s="448">
        <v>1665</v>
      </c>
      <c r="BE40" s="373">
        <f t="shared" si="139"/>
      </c>
      <c r="BF40" s="448">
        <v>1658</v>
      </c>
      <c r="BG40" s="448">
        <v>1720</v>
      </c>
      <c r="BH40" s="448">
        <v>1686</v>
      </c>
      <c r="BI40" s="448">
        <v>1764</v>
      </c>
      <c r="BJ40" s="373">
        <f t="shared" si="140"/>
      </c>
      <c r="BK40" s="448">
        <v>1787</v>
      </c>
      <c r="BL40" s="448">
        <v>1838</v>
      </c>
      <c r="BM40" s="448">
        <v>1732</v>
      </c>
      <c r="BN40" s="448">
        <v>1867</v>
      </c>
      <c r="BO40" s="373">
        <f t="shared" si="141"/>
      </c>
      <c r="BP40" s="448">
        <v>1785</v>
      </c>
      <c r="BQ40" s="448">
        <v>1957</v>
      </c>
      <c r="BR40" s="448">
        <v>1754</v>
      </c>
      <c r="BS40" s="448">
        <v>1900</v>
      </c>
      <c r="BT40" s="373">
        <f t="shared" si="142"/>
      </c>
      <c r="BU40" s="448">
        <v>1662</v>
      </c>
      <c r="BV40" s="448">
        <v>1534</v>
      </c>
      <c r="BW40" s="448">
        <v>1388</v>
      </c>
      <c r="BX40" s="448">
        <v>1281</v>
      </c>
      <c r="BY40" s="373">
        <f t="shared" si="143"/>
      </c>
      <c r="BZ40" s="448">
        <v>1201</v>
      </c>
      <c r="CA40" s="448">
        <v>1167</v>
      </c>
      <c r="CB40" s="448">
        <v>1089</v>
      </c>
      <c r="CC40" s="448">
        <v>1178</v>
      </c>
      <c r="CD40" s="373">
        <f t="shared" si="144"/>
      </c>
      <c r="CE40" s="448">
        <v>1152</v>
      </c>
      <c r="CF40" s="448">
        <v>1354</v>
      </c>
      <c r="CG40" s="448">
        <v>1132</v>
      </c>
      <c r="CH40" s="448">
        <v>1398</v>
      </c>
      <c r="CI40" s="373">
        <f t="shared" si="145"/>
      </c>
      <c r="CJ40" s="448">
        <v>1313</v>
      </c>
      <c r="CK40" s="448">
        <v>1349</v>
      </c>
      <c r="CL40" s="448">
        <v>1262</v>
      </c>
      <c r="CM40" s="448">
        <v>1406</v>
      </c>
      <c r="CN40" s="373">
        <f t="shared" si="146"/>
      </c>
      <c r="CO40" s="448">
        <v>1292</v>
      </c>
      <c r="CP40" s="448">
        <v>1459</v>
      </c>
      <c r="CQ40" s="448">
        <v>1394</v>
      </c>
      <c r="CR40" s="448">
        <v>1760</v>
      </c>
      <c r="CS40" s="373">
        <f t="shared" si="147"/>
      </c>
      <c r="CT40" s="448">
        <v>1629</v>
      </c>
      <c r="CU40" s="448">
        <v>1858</v>
      </c>
      <c r="CV40" s="448">
        <v>1842</v>
      </c>
      <c r="CW40" s="448">
        <v>2008</v>
      </c>
      <c r="CX40" s="373">
        <f t="shared" si="148"/>
      </c>
      <c r="CY40" s="448">
        <v>1825</v>
      </c>
      <c r="CZ40" s="448">
        <v>2051</v>
      </c>
      <c r="DA40" s="448">
        <v>1966</v>
      </c>
      <c r="DB40" s="448">
        <v>2095</v>
      </c>
      <c r="DC40" s="373">
        <f t="shared" si="149"/>
      </c>
      <c r="DD40" s="448">
        <v>2784</v>
      </c>
      <c r="DE40" s="448">
        <v>4102</v>
      </c>
      <c r="DF40" s="448">
        <v>5017</v>
      </c>
      <c r="DG40" s="448">
        <v>6441</v>
      </c>
      <c r="DH40" s="373">
        <f t="shared" si="150"/>
      </c>
      <c r="DI40" s="448">
        <v>1717</v>
      </c>
      <c r="DJ40" s="448">
        <v>1925</v>
      </c>
      <c r="DK40" s="448">
        <v>1768</v>
      </c>
      <c r="DL40" s="448">
        <v>2643</v>
      </c>
      <c r="DM40" s="373">
        <f t="shared" si="151"/>
      </c>
      <c r="DN40" s="448">
        <v>2126</v>
      </c>
      <c r="DO40" s="448">
        <v>2500</v>
      </c>
      <c r="DP40" s="448">
        <v>2585</v>
      </c>
      <c r="DQ40" s="448">
        <v>3815</v>
      </c>
      <c r="DR40" s="373">
        <f t="shared" si="152"/>
      </c>
      <c r="DS40" s="448">
        <v>3538</v>
      </c>
      <c r="DT40" s="448">
        <v>3799</v>
      </c>
      <c r="DU40" s="448">
        <v>3884</v>
      </c>
      <c r="DV40" s="448">
        <v>4530</v>
      </c>
      <c r="DW40" s="373">
        <f t="shared" si="153"/>
      </c>
      <c r="DX40" s="448">
        <v>4122</v>
      </c>
      <c r="DY40" s="448">
        <v>3878</v>
      </c>
      <c r="DZ40" s="448">
        <v>3385</v>
      </c>
      <c r="EA40" s="448">
        <v>3180</v>
      </c>
      <c r="EB40" s="373">
        <f t="shared" si="154"/>
      </c>
      <c r="EC40" s="448">
        <v>2829</v>
      </c>
      <c r="ED40" s="448">
        <v>2985</v>
      </c>
      <c r="EE40" s="448">
        <v>2631</v>
      </c>
      <c r="EF40" s="448">
        <v>2616</v>
      </c>
      <c r="EG40" s="373">
        <f t="shared" si="155"/>
      </c>
      <c r="EH40" s="448">
        <v>2550</v>
      </c>
      <c r="EI40" s="448">
        <v>2768</v>
      </c>
      <c r="EJ40" s="448">
        <v>2769</v>
      </c>
      <c r="EK40" s="448">
        <v>2870</v>
      </c>
      <c r="EL40" s="373">
        <f t="shared" si="156"/>
      </c>
      <c r="EM40" s="448">
        <v>2549</v>
      </c>
      <c r="EN40" s="448">
        <v>2644</v>
      </c>
      <c r="EO40" s="448">
        <v>2698</v>
      </c>
      <c r="EP40" s="448">
        <v>2912</v>
      </c>
      <c r="EQ40" s="373">
        <f t="shared" si="157"/>
      </c>
      <c r="ER40" s="939">
        <v>2759</v>
      </c>
      <c r="ES40" s="448">
        <v>2966</v>
      </c>
      <c r="ET40" s="496">
        <v>2945</v>
      </c>
      <c r="EU40" s="496">
        <v>2602</v>
      </c>
      <c r="EV40" s="373">
        <f t="shared" si="158"/>
      </c>
      <c r="EW40" s="496">
        <v>2663</v>
      </c>
      <c r="EX40" s="496">
        <v>2537</v>
      </c>
      <c r="EY40" s="496">
        <v>2840</v>
      </c>
      <c r="EZ40" s="496">
        <v>2710</v>
      </c>
      <c r="FA40" s="373">
        <f t="shared" si="159"/>
      </c>
      <c r="FB40" s="693">
        <f>'Def. Rev. &amp; Billings'!FB23</f>
      </c>
      <c r="FC40" s="693">
        <f>'Def. Rev. &amp; Billings'!FC23</f>
      </c>
      <c r="FD40" s="693">
        <f>'Def. Rev. &amp; Billings'!FD23</f>
      </c>
      <c r="FE40" s="693">
        <f>'Def. Rev. &amp; Billings'!FE23</f>
      </c>
      <c r="FF40" s="373">
        <f>FE40</f>
      </c>
      <c r="FG40" s="693">
        <f>'Def. Rev. &amp; Billings'!FG23</f>
      </c>
      <c r="FH40" s="693">
        <f>'Def. Rev. &amp; Billings'!FH23</f>
      </c>
      <c r="FI40" s="693">
        <f>'Def. Rev. &amp; Billings'!FI23</f>
      </c>
      <c r="FJ40" s="693">
        <f>'Def. Rev. &amp; Billings'!FJ23</f>
      </c>
      <c r="FK40" s="373">
        <f>FJ40</f>
      </c>
      <c r="FL40" s="693">
        <f>'Def. Rev. &amp; Billings'!FL23</f>
      </c>
      <c r="FM40" s="693">
        <f>'Def. Rev. &amp; Billings'!FM23</f>
      </c>
      <c r="FN40" s="693">
        <f>'Def. Rev. &amp; Billings'!FN23</f>
      </c>
      <c r="FO40" s="693">
        <f>'Def. Rev. &amp; Billings'!FO23</f>
      </c>
      <c r="FP40" s="373">
        <f>FO40</f>
      </c>
      <c r="FQ40" s="693">
        <f>'Def. Rev. &amp; Billings'!FQ23</f>
      </c>
      <c r="FR40" s="693">
        <f>'Def. Rev. &amp; Billings'!FR23</f>
      </c>
      <c r="FS40" s="693">
        <f>'Def. Rev. &amp; Billings'!FS23</f>
      </c>
      <c r="FT40" s="693">
        <f>'Def. Rev. &amp; Billings'!FT23</f>
      </c>
      <c r="FU40" s="373">
        <f>FT40</f>
      </c>
      <c r="FV40" s="693">
        <f>'Def. Rev. &amp; Billings'!FV23</f>
      </c>
      <c r="FW40" s="693">
        <f>'Def. Rev. &amp; Billings'!FW23</f>
      </c>
      <c r="FX40" s="693">
        <f>'Def. Rev. &amp; Billings'!FX23</f>
      </c>
      <c r="FY40" s="693">
        <f>'Def. Rev. &amp; Billings'!FY23</f>
      </c>
      <c r="FZ40" s="373">
        <f>FY40</f>
      </c>
      <c r="GA40" s="693">
        <f>'Def. Rev. &amp; Billings'!GA23</f>
      </c>
      <c r="GB40" s="693">
        <f>'Def. Rev. &amp; Billings'!GB23</f>
      </c>
      <c r="GC40" s="693">
        <f>'Def. Rev. &amp; Billings'!GC23</f>
      </c>
      <c r="GD40" s="693">
        <f>'Def. Rev. &amp; Billings'!GD23</f>
      </c>
      <c r="GE40" s="373">
        <f>GD40</f>
      </c>
      <c r="GF40" s="693">
        <f>'Def. Rev. &amp; Billings'!GF23</f>
      </c>
      <c r="GG40" s="693">
        <f>'Def. Rev. &amp; Billings'!GG23</f>
      </c>
      <c r="GH40" s="693">
        <f>'Def. Rev. &amp; Billings'!GH23</f>
      </c>
      <c r="GI40" s="693">
        <f>'Def. Rev. &amp; Billings'!GI23</f>
      </c>
      <c r="GJ40" s="373">
        <f>GI40</f>
      </c>
    </row>
    <row r="41" spans="1:192" s="277" customFormat="1" ht="12.75" customHeight="1">
      <c r="A41" s="274"/>
      <c r="B41" s="704" t="s">
        <v>101</v>
      </c>
      <c r="C41" s="448">
        <v>0</v>
      </c>
      <c r="D41" s="448">
        <v>0</v>
      </c>
      <c r="E41" s="448">
        <v>0</v>
      </c>
      <c r="F41" s="448">
        <v>0</v>
      </c>
      <c r="G41" s="373">
        <f t="shared" si="129"/>
      </c>
      <c r="H41" s="448">
        <v>0</v>
      </c>
      <c r="I41" s="448">
        <v>0</v>
      </c>
      <c r="J41" s="448">
        <v>0</v>
      </c>
      <c r="K41" s="448">
        <v>0</v>
      </c>
      <c r="L41" s="373">
        <f t="shared" si="130"/>
      </c>
      <c r="M41" s="448">
        <v>0</v>
      </c>
      <c r="N41" s="448">
        <v>0</v>
      </c>
      <c r="O41" s="448">
        <v>0</v>
      </c>
      <c r="P41" s="448">
        <v>0</v>
      </c>
      <c r="Q41" s="373">
        <f t="shared" si="131"/>
      </c>
      <c r="R41" s="448">
        <v>0</v>
      </c>
      <c r="S41" s="448">
        <v>0</v>
      </c>
      <c r="T41" s="448">
        <v>0</v>
      </c>
      <c r="U41" s="448">
        <v>0</v>
      </c>
      <c r="V41" s="373">
        <f t="shared" si="132"/>
      </c>
      <c r="W41" s="448">
        <v>0</v>
      </c>
      <c r="X41" s="448">
        <v>0</v>
      </c>
      <c r="Y41" s="448">
        <v>0</v>
      </c>
      <c r="Z41" s="448">
        <v>0</v>
      </c>
      <c r="AA41" s="373">
        <f t="shared" si="133"/>
      </c>
      <c r="AB41" s="448">
        <v>0</v>
      </c>
      <c r="AC41" s="448">
        <v>0</v>
      </c>
      <c r="AD41" s="448">
        <v>0</v>
      </c>
      <c r="AE41" s="448">
        <v>0</v>
      </c>
      <c r="AF41" s="373">
        <f t="shared" si="134"/>
      </c>
      <c r="AG41" s="448">
        <v>1440</v>
      </c>
      <c r="AH41" s="448">
        <v>1644</v>
      </c>
      <c r="AI41" s="448">
        <v>1775</v>
      </c>
      <c r="AJ41" s="448">
        <v>836</v>
      </c>
      <c r="AK41" s="373">
        <f t="shared" si="135"/>
      </c>
      <c r="AL41" s="448">
        <v>0</v>
      </c>
      <c r="AM41" s="448">
        <v>0</v>
      </c>
      <c r="AN41" s="448">
        <v>59</v>
      </c>
      <c r="AO41" s="448">
        <v>398</v>
      </c>
      <c r="AP41" s="373">
        <f t="shared" si="136"/>
      </c>
      <c r="AQ41" s="448">
        <v>152</v>
      </c>
      <c r="AR41" s="448">
        <v>0</v>
      </c>
      <c r="AS41" s="448">
        <v>369</v>
      </c>
      <c r="AT41" s="448">
        <v>1731</v>
      </c>
      <c r="AU41" s="373">
        <f t="shared" si="137"/>
      </c>
      <c r="AV41" s="633">
        <v>0</v>
      </c>
      <c r="AW41" s="633">
        <v>0</v>
      </c>
      <c r="AX41" s="633">
        <v>0</v>
      </c>
      <c r="AY41" s="633">
        <v>0</v>
      </c>
      <c r="AZ41" s="373">
        <f t="shared" si="138"/>
      </c>
      <c r="BA41" s="448">
        <v>0</v>
      </c>
      <c r="BB41" s="448">
        <v>0</v>
      </c>
      <c r="BC41" s="448">
        <v>0</v>
      </c>
      <c r="BD41" s="448">
        <v>0</v>
      </c>
      <c r="BE41" s="373">
        <f t="shared" si="139"/>
      </c>
      <c r="BF41" s="448">
        <v>0</v>
      </c>
      <c r="BG41" s="448">
        <v>0</v>
      </c>
      <c r="BH41" s="448">
        <v>0</v>
      </c>
      <c r="BI41" s="448">
        <v>0</v>
      </c>
      <c r="BJ41" s="373">
        <f t="shared" si="140"/>
      </c>
      <c r="BK41" s="448">
        <v>0</v>
      </c>
      <c r="BL41" s="448">
        <v>0</v>
      </c>
      <c r="BM41" s="448">
        <v>0</v>
      </c>
      <c r="BN41" s="448">
        <v>0</v>
      </c>
      <c r="BO41" s="373">
        <f t="shared" si="141"/>
      </c>
      <c r="BP41" s="448">
        <v>0</v>
      </c>
      <c r="BQ41" s="448">
        <v>0</v>
      </c>
      <c r="BR41" s="448">
        <v>0</v>
      </c>
      <c r="BS41" s="448">
        <v>0</v>
      </c>
      <c r="BT41" s="373">
        <f t="shared" si="142"/>
      </c>
      <c r="BU41" s="448">
        <v>0</v>
      </c>
      <c r="BV41" s="448">
        <v>0</v>
      </c>
      <c r="BW41" s="448">
        <v>0</v>
      </c>
      <c r="BX41" s="448">
        <v>0</v>
      </c>
      <c r="BY41" s="373">
        <f t="shared" si="143"/>
      </c>
      <c r="BZ41" s="448">
        <v>155</v>
      </c>
      <c r="CA41" s="448">
        <v>377</v>
      </c>
      <c r="CB41" s="448">
        <v>828</v>
      </c>
      <c r="CC41" s="448">
        <v>229</v>
      </c>
      <c r="CD41" s="373">
        <f t="shared" si="144"/>
      </c>
      <c r="CE41" s="448">
        <v>540</v>
      </c>
      <c r="CF41" s="448">
        <v>826</v>
      </c>
      <c r="CG41" s="448">
        <v>1185</v>
      </c>
      <c r="CH41" s="448">
        <v>1456</v>
      </c>
      <c r="CI41" s="373">
        <f t="shared" si="145"/>
      </c>
      <c r="CJ41" s="448">
        <v>1040</v>
      </c>
      <c r="CK41" s="448">
        <v>1082</v>
      </c>
      <c r="CL41" s="448">
        <v>1456</v>
      </c>
      <c r="CM41" s="448">
        <v>1893</v>
      </c>
      <c r="CN41" s="373">
        <f t="shared" si="146"/>
      </c>
      <c r="CO41" s="448">
        <v>2209</v>
      </c>
      <c r="CP41" s="448">
        <v>2394</v>
      </c>
      <c r="CQ41" s="448">
        <v>2424</v>
      </c>
      <c r="CR41" s="448">
        <v>1709</v>
      </c>
      <c r="CS41" s="373">
        <f t="shared" si="147"/>
      </c>
      <c r="CT41" s="448">
        <v>2236</v>
      </c>
      <c r="CU41" s="448">
        <v>2377</v>
      </c>
      <c r="CV41" s="448">
        <v>2318</v>
      </c>
      <c r="CW41" s="448">
        <v>2728</v>
      </c>
      <c r="CX41" s="373">
        <f t="shared" si="148"/>
      </c>
      <c r="CY41" s="448">
        <v>2714</v>
      </c>
      <c r="CZ41" s="448">
        <v>2820</v>
      </c>
      <c r="DA41" s="448">
        <v>2919</v>
      </c>
      <c r="DB41" s="448">
        <v>2835</v>
      </c>
      <c r="DC41" s="373">
        <f t="shared" si="149"/>
      </c>
      <c r="DD41" s="448">
        <v>2169</v>
      </c>
      <c r="DE41" s="448">
        <v>2194</v>
      </c>
      <c r="DF41" s="448">
        <v>2674</v>
      </c>
      <c r="DG41" s="448">
        <v>1476</v>
      </c>
      <c r="DH41" s="373">
        <f t="shared" si="150"/>
      </c>
      <c r="DI41" s="448">
        <v>6929</v>
      </c>
      <c r="DJ41" s="448">
        <v>7080</v>
      </c>
      <c r="DK41" s="448">
        <v>6761</v>
      </c>
      <c r="DL41" s="448">
        <v>5734</v>
      </c>
      <c r="DM41" s="373">
        <f t="shared" si="151"/>
      </c>
      <c r="DN41" s="448">
        <v>5513</v>
      </c>
      <c r="DO41" s="448">
        <v>3186</v>
      </c>
      <c r="DP41" s="448">
        <v>2417</v>
      </c>
      <c r="DQ41" s="448">
        <v>541</v>
      </c>
      <c r="DR41" s="373">
        <f t="shared" si="152"/>
      </c>
      <c r="DS41" s="448">
        <v>1977</v>
      </c>
      <c r="DT41" s="448">
        <v>2062</v>
      </c>
      <c r="DU41" s="448">
        <v>1838</v>
      </c>
      <c r="DV41" s="448">
        <v>233</v>
      </c>
      <c r="DW41" s="373">
        <f t="shared" si="153"/>
      </c>
      <c r="DX41" s="448">
        <v>234</v>
      </c>
      <c r="DY41" s="448">
        <v>222</v>
      </c>
      <c r="DZ41" s="448">
        <v>185</v>
      </c>
      <c r="EA41" s="448">
        <v>204</v>
      </c>
      <c r="EB41" s="373">
        <f t="shared" si="154"/>
      </c>
      <c r="EC41" s="448">
        <v>187</v>
      </c>
      <c r="ED41" s="448">
        <v>174</v>
      </c>
      <c r="EE41" s="448">
        <v>173</v>
      </c>
      <c r="EF41" s="448">
        <v>198</v>
      </c>
      <c r="EG41" s="373">
        <f t="shared" si="155"/>
      </c>
      <c r="EH41" s="448">
        <v>212</v>
      </c>
      <c r="EI41" s="448">
        <v>199</v>
      </c>
      <c r="EJ41" s="448">
        <v>304</v>
      </c>
      <c r="EK41" s="448">
        <v>230</v>
      </c>
      <c r="EL41" s="373">
        <f t="shared" si="156"/>
      </c>
      <c r="EM41" s="448">
        <v>223</v>
      </c>
      <c r="EN41" s="448">
        <v>289</v>
      </c>
      <c r="EO41" s="448">
        <v>302</v>
      </c>
      <c r="EP41" s="448">
        <v>433</v>
      </c>
      <c r="EQ41" s="373">
        <f t="shared" si="157"/>
      </c>
      <c r="ER41" s="939">
        <v>470</v>
      </c>
      <c r="ES41" s="448">
        <v>2548</v>
      </c>
      <c r="ET41" s="954">
        <v>2469</v>
      </c>
      <c r="EU41" s="954">
        <v>2618</v>
      </c>
      <c r="EV41" s="662">
        <f t="shared" si="158"/>
      </c>
      <c r="EW41" s="954">
        <v>2581</v>
      </c>
      <c r="EX41" s="954">
        <v>2513</v>
      </c>
      <c r="EY41" s="954">
        <v>2522</v>
      </c>
      <c r="EZ41" s="954">
        <v>2835</v>
      </c>
      <c r="FA41" s="662">
        <f t="shared" si="159"/>
      </c>
      <c r="FB41" s="929">
        <f>EZ41</f>
      </c>
      <c r="FC41" s="929">
        <f t="shared" ref="FC41:FE42" si="160">FB41</f>
      </c>
      <c r="FD41" s="929">
        <f t="shared" si="160"/>
      </c>
      <c r="FE41" s="929">
        <f t="shared" si="160"/>
      </c>
      <c r="FF41" s="662">
        <f>FE41</f>
      </c>
      <c r="FG41" s="929">
        <f>FE41</f>
      </c>
      <c r="FH41" s="929">
        <f t="shared" ref="FH41:FJ42" si="161">FG41</f>
      </c>
      <c r="FI41" s="929">
        <f t="shared" si="161"/>
      </c>
      <c r="FJ41" s="929">
        <f t="shared" si="161"/>
      </c>
      <c r="FK41" s="662">
        <f>FJ41</f>
      </c>
      <c r="FL41" s="929">
        <f>FJ41</f>
      </c>
      <c r="FM41" s="929">
        <f t="shared" ref="FM41:FO42" si="162">FL41</f>
      </c>
      <c r="FN41" s="929">
        <f t="shared" si="162"/>
      </c>
      <c r="FO41" s="929">
        <f t="shared" si="162"/>
      </c>
      <c r="FP41" s="662">
        <f>FO41</f>
      </c>
      <c r="FQ41" s="929">
        <f>FO41</f>
      </c>
      <c r="FR41" s="929">
        <f t="shared" ref="FR41:FT42" si="163">FQ41</f>
      </c>
      <c r="FS41" s="929">
        <f t="shared" si="163"/>
      </c>
      <c r="FT41" s="929">
        <f t="shared" si="163"/>
      </c>
      <c r="FU41" s="662">
        <f>FT41</f>
      </c>
      <c r="FV41" s="929">
        <f>FT41</f>
      </c>
      <c r="FW41" s="929">
        <f t="shared" ref="FW41:FY42" si="164">FV41</f>
      </c>
      <c r="FX41" s="929">
        <f t="shared" si="164"/>
      </c>
      <c r="FY41" s="929">
        <f t="shared" si="164"/>
      </c>
      <c r="FZ41" s="662">
        <f>FY41</f>
      </c>
      <c r="GA41" s="929">
        <f>FY41</f>
      </c>
      <c r="GB41" s="929">
        <f t="shared" ref="GB41:GD42" si="165">GA41</f>
      </c>
      <c r="GC41" s="929">
        <f t="shared" si="165"/>
      </c>
      <c r="GD41" s="929">
        <f t="shared" si="165"/>
      </c>
      <c r="GE41" s="662">
        <f>GD41</f>
      </c>
      <c r="GF41" s="929">
        <f>GD41</f>
      </c>
      <c r="GG41" s="929">
        <f t="shared" ref="GG41:GG42" si="166">GF41</f>
      </c>
      <c r="GH41" s="929">
        <f t="shared" ref="GH41:GH42" si="167">GG41</f>
      </c>
      <c r="GI41" s="929">
        <f t="shared" ref="GI41:GI42" si="168">GH41</f>
      </c>
      <c r="GJ41" s="662">
        <f>GI41</f>
      </c>
    </row>
    <row r="42" spans="1:192" s="277" customFormat="1" ht="12.75" customHeight="1">
      <c r="A42" s="274"/>
      <c r="B42" s="704" t="s">
        <v>102</v>
      </c>
      <c r="C42" s="448">
        <v>0</v>
      </c>
      <c r="D42" s="448">
        <v>0</v>
      </c>
      <c r="E42" s="448">
        <v>0</v>
      </c>
      <c r="F42" s="448">
        <v>0</v>
      </c>
      <c r="G42" s="373">
        <f t="shared" si="129"/>
      </c>
      <c r="H42" s="448">
        <v>0</v>
      </c>
      <c r="I42" s="448">
        <v>0</v>
      </c>
      <c r="J42" s="448">
        <v>0</v>
      </c>
      <c r="K42" s="448">
        <v>0</v>
      </c>
      <c r="L42" s="373">
        <f t="shared" si="130"/>
      </c>
      <c r="M42" s="448">
        <v>0</v>
      </c>
      <c r="N42" s="448">
        <v>0</v>
      </c>
      <c r="O42" s="448">
        <v>0</v>
      </c>
      <c r="P42" s="448">
        <v>0</v>
      </c>
      <c r="Q42" s="373">
        <f t="shared" si="131"/>
      </c>
      <c r="R42" s="448">
        <v>0</v>
      </c>
      <c r="S42" s="448">
        <v>0</v>
      </c>
      <c r="T42" s="448">
        <v>0</v>
      </c>
      <c r="U42" s="448">
        <v>0</v>
      </c>
      <c r="V42" s="373">
        <f t="shared" si="132"/>
      </c>
      <c r="W42" s="448">
        <v>0</v>
      </c>
      <c r="X42" s="448">
        <v>0</v>
      </c>
      <c r="Y42" s="448">
        <v>0</v>
      </c>
      <c r="Z42" s="448">
        <v>0</v>
      </c>
      <c r="AA42" s="373">
        <f t="shared" si="133"/>
      </c>
      <c r="AB42" s="448">
        <v>0</v>
      </c>
      <c r="AC42" s="448">
        <v>0</v>
      </c>
      <c r="AD42" s="448">
        <v>0</v>
      </c>
      <c r="AE42" s="448">
        <v>0</v>
      </c>
      <c r="AF42" s="373">
        <f t="shared" si="134"/>
      </c>
      <c r="AG42" s="448">
        <v>0</v>
      </c>
      <c r="AH42" s="448">
        <v>0</v>
      </c>
      <c r="AI42" s="448">
        <v>0</v>
      </c>
      <c r="AJ42" s="448">
        <v>0</v>
      </c>
      <c r="AK42" s="373">
        <f t="shared" si="135"/>
      </c>
      <c r="AL42" s="448">
        <v>0</v>
      </c>
      <c r="AM42" s="448">
        <v>0</v>
      </c>
      <c r="AN42" s="448">
        <v>0</v>
      </c>
      <c r="AO42" s="448">
        <v>0</v>
      </c>
      <c r="AP42" s="373">
        <f t="shared" si="136"/>
      </c>
      <c r="AQ42" s="448">
        <v>0</v>
      </c>
      <c r="AR42" s="448">
        <v>0</v>
      </c>
      <c r="AS42" s="448">
        <v>0</v>
      </c>
      <c r="AT42" s="448">
        <v>0</v>
      </c>
      <c r="AU42" s="373">
        <f t="shared" si="137"/>
      </c>
      <c r="AV42" s="633">
        <v>0</v>
      </c>
      <c r="AW42" s="633">
        <v>0</v>
      </c>
      <c r="AX42" s="633">
        <v>0</v>
      </c>
      <c r="AY42" s="633">
        <v>0</v>
      </c>
      <c r="AZ42" s="373">
        <f t="shared" si="138"/>
      </c>
      <c r="BA42" s="448">
        <v>0</v>
      </c>
      <c r="BB42" s="448">
        <v>0</v>
      </c>
      <c r="BC42" s="448">
        <v>0</v>
      </c>
      <c r="BD42" s="448">
        <v>0</v>
      </c>
      <c r="BE42" s="373">
        <f t="shared" si="139"/>
      </c>
      <c r="BF42" s="448">
        <v>0</v>
      </c>
      <c r="BG42" s="448">
        <v>0</v>
      </c>
      <c r="BH42" s="448">
        <v>0</v>
      </c>
      <c r="BI42" s="448">
        <v>0</v>
      </c>
      <c r="BJ42" s="373">
        <f t="shared" si="140"/>
      </c>
      <c r="BK42" s="448">
        <v>0</v>
      </c>
      <c r="BL42" s="448">
        <v>0</v>
      </c>
      <c r="BM42" s="448">
        <v>0</v>
      </c>
      <c r="BN42" s="448">
        <v>0</v>
      </c>
      <c r="BO42" s="373">
        <f t="shared" si="141"/>
      </c>
      <c r="BP42" s="448">
        <v>0</v>
      </c>
      <c r="BQ42" s="448">
        <v>0</v>
      </c>
      <c r="BR42" s="448">
        <v>0</v>
      </c>
      <c r="BS42" s="448">
        <v>0</v>
      </c>
      <c r="BT42" s="373">
        <f t="shared" si="142"/>
      </c>
      <c r="BU42" s="633">
        <v>0</v>
      </c>
      <c r="BV42" s="633">
        <v>0</v>
      </c>
      <c r="BW42" s="633">
        <v>0</v>
      </c>
      <c r="BX42" s="633">
        <v>0</v>
      </c>
      <c r="BY42" s="373">
        <f t="shared" si="143"/>
      </c>
      <c r="BZ42" s="448">
        <v>0</v>
      </c>
      <c r="CA42" s="448">
        <v>0</v>
      </c>
      <c r="CB42" s="448">
        <v>0</v>
      </c>
      <c r="CC42" s="448">
        <v>0</v>
      </c>
      <c r="CD42" s="373">
        <f t="shared" si="144"/>
      </c>
      <c r="CE42" s="448">
        <v>0</v>
      </c>
      <c r="CF42" s="448">
        <v>0</v>
      </c>
      <c r="CG42" s="448">
        <v>0</v>
      </c>
      <c r="CH42" s="448">
        <v>0</v>
      </c>
      <c r="CI42" s="373">
        <f t="shared" si="145"/>
      </c>
      <c r="CJ42" s="448">
        <v>0</v>
      </c>
      <c r="CK42" s="448">
        <v>0</v>
      </c>
      <c r="CL42" s="448">
        <v>0</v>
      </c>
      <c r="CM42" s="448">
        <v>0</v>
      </c>
      <c r="CN42" s="373">
        <f t="shared" si="146"/>
      </c>
      <c r="CO42" s="448">
        <v>0</v>
      </c>
      <c r="CP42" s="448">
        <v>0</v>
      </c>
      <c r="CQ42" s="448">
        <v>0</v>
      </c>
      <c r="CR42" s="448">
        <v>0</v>
      </c>
      <c r="CS42" s="373">
        <f t="shared" si="147"/>
      </c>
      <c r="CT42" s="633">
        <v>0</v>
      </c>
      <c r="CU42" s="633">
        <v>0</v>
      </c>
      <c r="CV42" s="633">
        <v>0</v>
      </c>
      <c r="CW42" s="633">
        <v>0</v>
      </c>
      <c r="CX42" s="373">
        <f t="shared" si="148"/>
      </c>
      <c r="CY42" s="448">
        <v>0</v>
      </c>
      <c r="CZ42" s="448">
        <v>0</v>
      </c>
      <c r="DA42" s="448">
        <v>0</v>
      </c>
      <c r="DB42" s="448">
        <v>0</v>
      </c>
      <c r="DC42" s="373">
        <f t="shared" si="149"/>
      </c>
      <c r="DD42" s="448">
        <v>0</v>
      </c>
      <c r="DE42" s="448">
        <v>0</v>
      </c>
      <c r="DF42" s="448">
        <v>0</v>
      </c>
      <c r="DG42" s="448">
        <v>0</v>
      </c>
      <c r="DH42" s="373">
        <f t="shared" si="150"/>
      </c>
      <c r="DI42" s="448">
        <v>4249</v>
      </c>
      <c r="DJ42" s="448">
        <v>5242</v>
      </c>
      <c r="DK42" s="448">
        <v>5532</v>
      </c>
      <c r="DL42" s="448">
        <v>5372</v>
      </c>
      <c r="DM42" s="373">
        <f t="shared" si="151"/>
      </c>
      <c r="DN42" s="448">
        <v>5768</v>
      </c>
      <c r="DO42" s="448">
        <v>5640</v>
      </c>
      <c r="DP42" s="448">
        <v>5751</v>
      </c>
      <c r="DQ42" s="448">
        <v>5568</v>
      </c>
      <c r="DR42" s="373">
        <f t="shared" si="152"/>
      </c>
      <c r="DS42" s="448">
        <v>5652</v>
      </c>
      <c r="DT42" s="448">
        <v>5683</v>
      </c>
      <c r="DU42" s="448">
        <v>5972</v>
      </c>
      <c r="DV42" s="448">
        <v>6188</v>
      </c>
      <c r="DW42" s="373">
        <f t="shared" si="153"/>
      </c>
      <c r="DX42" s="448">
        <v>6659</v>
      </c>
      <c r="DY42" s="448">
        <v>7172</v>
      </c>
      <c r="DZ42" s="448">
        <v>7248</v>
      </c>
      <c r="EA42" s="448">
        <v>7671</v>
      </c>
      <c r="EB42" s="373">
        <f t="shared" si="154"/>
      </c>
      <c r="EC42" s="448">
        <v>7753</v>
      </c>
      <c r="ED42" s="448">
        <v>8875</v>
      </c>
      <c r="EE42" s="448">
        <v>9272</v>
      </c>
      <c r="EF42" s="448">
        <v>9629</v>
      </c>
      <c r="EG42" s="373">
        <f t="shared" si="155"/>
      </c>
      <c r="EH42" s="448">
        <v>10050</v>
      </c>
      <c r="EI42" s="448">
        <v>10774</v>
      </c>
      <c r="EJ42" s="448">
        <v>11357</v>
      </c>
      <c r="EK42" s="448">
        <v>11489</v>
      </c>
      <c r="EL42" s="373">
        <f t="shared" si="156"/>
      </c>
      <c r="EM42" s="448">
        <v>11660</v>
      </c>
      <c r="EN42" s="448">
        <v>11998</v>
      </c>
      <c r="EO42" s="448">
        <v>12312</v>
      </c>
      <c r="EP42" s="448">
        <v>12728</v>
      </c>
      <c r="EQ42" s="373">
        <f t="shared" si="157"/>
      </c>
      <c r="ER42" s="939">
        <v>13487</v>
      </c>
      <c r="ES42" s="448">
        <v>14155</v>
      </c>
      <c r="ET42" s="954">
        <v>14469</v>
      </c>
      <c r="EU42" s="954">
        <v>15497</v>
      </c>
      <c r="EV42" s="662">
        <f t="shared" si="158"/>
      </c>
      <c r="EW42" s="954">
        <v>16361</v>
      </c>
      <c r="EX42" s="954">
        <v>17254</v>
      </c>
      <c r="EY42" s="954">
        <v>17686</v>
      </c>
      <c r="EZ42" s="954">
        <v>17437</v>
      </c>
      <c r="FA42" s="662">
        <f t="shared" si="159"/>
      </c>
      <c r="FB42" s="929">
        <f>EZ42</f>
      </c>
      <c r="FC42" s="929">
        <f t="shared" si="160"/>
      </c>
      <c r="FD42" s="929">
        <f t="shared" si="160"/>
      </c>
      <c r="FE42" s="929">
        <f t="shared" si="160"/>
      </c>
      <c r="FF42" s="662">
        <f>FE42</f>
      </c>
      <c r="FG42" s="929">
        <f>FE42</f>
      </c>
      <c r="FH42" s="929">
        <f t="shared" si="161"/>
      </c>
      <c r="FI42" s="929">
        <f t="shared" si="161"/>
      </c>
      <c r="FJ42" s="929">
        <f t="shared" si="161"/>
      </c>
      <c r="FK42" s="662">
        <f>FJ42</f>
      </c>
      <c r="FL42" s="929">
        <f>FJ42</f>
      </c>
      <c r="FM42" s="929">
        <f t="shared" si="162"/>
      </c>
      <c r="FN42" s="929">
        <f t="shared" si="162"/>
      </c>
      <c r="FO42" s="929">
        <f t="shared" si="162"/>
      </c>
      <c r="FP42" s="662">
        <f>FO42</f>
      </c>
      <c r="FQ42" s="929">
        <f>FO42</f>
      </c>
      <c r="FR42" s="929">
        <f t="shared" si="163"/>
      </c>
      <c r="FS42" s="929">
        <f t="shared" si="163"/>
      </c>
      <c r="FT42" s="929">
        <f t="shared" si="163"/>
      </c>
      <c r="FU42" s="662">
        <f>FT42</f>
      </c>
      <c r="FV42" s="929">
        <f>FT42</f>
      </c>
      <c r="FW42" s="929">
        <f t="shared" si="164"/>
      </c>
      <c r="FX42" s="929">
        <f t="shared" si="164"/>
      </c>
      <c r="FY42" s="929">
        <f t="shared" si="164"/>
      </c>
      <c r="FZ42" s="662">
        <f>FY42</f>
      </c>
      <c r="GA42" s="929">
        <f>FY42</f>
      </c>
      <c r="GB42" s="929">
        <f t="shared" si="165"/>
      </c>
      <c r="GC42" s="929">
        <f t="shared" si="165"/>
      </c>
      <c r="GD42" s="929">
        <f t="shared" si="165"/>
      </c>
      <c r="GE42" s="662">
        <f>GD42</f>
      </c>
      <c r="GF42" s="929">
        <f>GD42</f>
      </c>
      <c r="GG42" s="929">
        <f t="shared" si="166"/>
      </c>
      <c r="GH42" s="929">
        <f t="shared" si="167"/>
      </c>
      <c r="GI42" s="929">
        <f t="shared" si="168"/>
      </c>
      <c r="GJ42" s="662">
        <f>GI42</f>
      </c>
    </row>
    <row r="43" spans="1:192" s="277" customFormat="1" ht="12.75" customHeight="1">
      <c r="A43" s="274"/>
      <c r="B43" s="704" t="s">
        <v>84</v>
      </c>
      <c r="C43" s="448">
        <v>0</v>
      </c>
      <c r="D43" s="448">
        <v>0</v>
      </c>
      <c r="E43" s="448">
        <v>0</v>
      </c>
      <c r="F43" s="448">
        <v>0</v>
      </c>
      <c r="G43" s="373">
        <f t="shared" si="129"/>
      </c>
      <c r="H43" s="448">
        <v>0</v>
      </c>
      <c r="I43" s="448">
        <v>0</v>
      </c>
      <c r="J43" s="448">
        <v>0</v>
      </c>
      <c r="K43" s="448">
        <v>0</v>
      </c>
      <c r="L43" s="373">
        <f t="shared" si="130"/>
      </c>
      <c r="M43" s="448">
        <v>0</v>
      </c>
      <c r="N43" s="448">
        <v>0</v>
      </c>
      <c r="O43" s="448">
        <v>0</v>
      </c>
      <c r="P43" s="448">
        <v>0</v>
      </c>
      <c r="Q43" s="373">
        <f t="shared" si="131"/>
      </c>
      <c r="R43" s="448">
        <v>0</v>
      </c>
      <c r="S43" s="448">
        <v>0</v>
      </c>
      <c r="T43" s="448">
        <v>0</v>
      </c>
      <c r="U43" s="448">
        <v>0</v>
      </c>
      <c r="V43" s="373">
        <f t="shared" si="132"/>
      </c>
      <c r="W43" s="448">
        <v>0</v>
      </c>
      <c r="X43" s="448">
        <v>0</v>
      </c>
      <c r="Y43" s="448">
        <v>0</v>
      </c>
      <c r="Z43" s="448">
        <v>0</v>
      </c>
      <c r="AA43" s="373">
        <f t="shared" si="133"/>
      </c>
      <c r="AB43" s="448">
        <v>0</v>
      </c>
      <c r="AC43" s="448">
        <v>0</v>
      </c>
      <c r="AD43" s="448">
        <v>0</v>
      </c>
      <c r="AE43" s="448">
        <v>0</v>
      </c>
      <c r="AF43" s="373">
        <f t="shared" si="134"/>
      </c>
      <c r="AG43" s="448">
        <v>0</v>
      </c>
      <c r="AH43" s="448">
        <v>0</v>
      </c>
      <c r="AI43" s="448">
        <v>0</v>
      </c>
      <c r="AJ43" s="448">
        <v>0</v>
      </c>
      <c r="AK43" s="373">
        <f t="shared" si="135"/>
      </c>
      <c r="AL43" s="448">
        <v>0</v>
      </c>
      <c r="AM43" s="448">
        <v>951</v>
      </c>
      <c r="AN43" s="448">
        <v>832</v>
      </c>
      <c r="AO43" s="448">
        <v>501</v>
      </c>
      <c r="AP43" s="373">
        <f t="shared" si="136"/>
      </c>
      <c r="AQ43" s="448">
        <v>520</v>
      </c>
      <c r="AR43" s="448">
        <v>904</v>
      </c>
      <c r="AS43" s="448">
        <v>936</v>
      </c>
      <c r="AT43" s="448">
        <v>1056</v>
      </c>
      <c r="AU43" s="373">
        <f t="shared" si="137"/>
      </c>
      <c r="AV43" s="448">
        <v>876</v>
      </c>
      <c r="AW43" s="448">
        <v>1044</v>
      </c>
      <c r="AX43" s="448">
        <v>1626</v>
      </c>
      <c r="AY43" s="448">
        <v>2911</v>
      </c>
      <c r="AZ43" s="373">
        <f t="shared" si="138"/>
      </c>
      <c r="BA43" s="448">
        <v>878</v>
      </c>
      <c r="BB43" s="448">
        <v>965</v>
      </c>
      <c r="BC43" s="448">
        <v>1097</v>
      </c>
      <c r="BD43" s="448">
        <v>4158</v>
      </c>
      <c r="BE43" s="373">
        <f t="shared" si="139"/>
      </c>
      <c r="BF43" s="448">
        <v>4455</v>
      </c>
      <c r="BG43" s="448">
        <v>4582</v>
      </c>
      <c r="BH43" s="448">
        <v>4763</v>
      </c>
      <c r="BI43" s="448">
        <v>5287</v>
      </c>
      <c r="BJ43" s="373">
        <f t="shared" si="140"/>
      </c>
      <c r="BK43" s="448">
        <v>5494</v>
      </c>
      <c r="BL43" s="448">
        <v>5684</v>
      </c>
      <c r="BM43" s="448">
        <v>5559</v>
      </c>
      <c r="BN43" s="448">
        <v>6453</v>
      </c>
      <c r="BO43" s="373">
        <f t="shared" si="141"/>
      </c>
      <c r="BP43" s="448">
        <v>8981</v>
      </c>
      <c r="BQ43" s="448">
        <v>8893</v>
      </c>
      <c r="BR43" s="448">
        <v>4411</v>
      </c>
      <c r="BS43" s="448">
        <v>4721</v>
      </c>
      <c r="BT43" s="373">
        <f t="shared" si="142"/>
      </c>
      <c r="BU43" s="448">
        <v>5478</v>
      </c>
      <c r="BV43" s="448">
        <v>6064</v>
      </c>
      <c r="BW43" s="448">
        <v>6699</v>
      </c>
      <c r="BX43" s="448">
        <v>6269</v>
      </c>
      <c r="BY43" s="373">
        <f t="shared" si="143"/>
      </c>
      <c r="BZ43" s="448">
        <v>6537</v>
      </c>
      <c r="CA43" s="448">
        <v>6808</v>
      </c>
      <c r="CB43" s="448">
        <v>7113</v>
      </c>
      <c r="CC43" s="448">
        <v>7445</v>
      </c>
      <c r="CD43" s="373">
        <f t="shared" si="144"/>
      </c>
      <c r="CE43" s="448">
        <v>7384</v>
      </c>
      <c r="CF43" s="448">
        <v>7662</v>
      </c>
      <c r="CG43" s="448">
        <v>8001</v>
      </c>
      <c r="CH43" s="448">
        <v>8072</v>
      </c>
      <c r="CI43" s="373">
        <f t="shared" si="145"/>
      </c>
      <c r="CJ43" s="448">
        <v>8201</v>
      </c>
      <c r="CK43" s="448">
        <v>8386</v>
      </c>
      <c r="CL43" s="448">
        <v>8525</v>
      </c>
      <c r="CM43" s="448">
        <v>8208</v>
      </c>
      <c r="CN43" s="373">
        <f t="shared" si="146"/>
      </c>
      <c r="CO43" s="448">
        <v>8423</v>
      </c>
      <c r="CP43" s="448">
        <v>8397</v>
      </c>
      <c r="CQ43" s="448">
        <v>9721</v>
      </c>
      <c r="CR43" s="448">
        <v>10000</v>
      </c>
      <c r="CS43" s="373">
        <f t="shared" si="147"/>
      </c>
      <c r="CT43" s="448">
        <v>9587</v>
      </c>
      <c r="CU43" s="448">
        <v>9790</v>
      </c>
      <c r="CV43" s="448">
        <v>9953</v>
      </c>
      <c r="CW43" s="448">
        <v>11594</v>
      </c>
      <c r="CX43" s="373">
        <f t="shared" si="148"/>
      </c>
      <c r="CY43" s="448">
        <v>11781</v>
      </c>
      <c r="CZ43" s="448">
        <v>12423</v>
      </c>
      <c r="DA43" s="448">
        <v>13274</v>
      </c>
      <c r="DB43" s="448">
        <v>13544</v>
      </c>
      <c r="DC43" s="373">
        <f t="shared" si="149"/>
      </c>
      <c r="DD43" s="448">
        <v>13280</v>
      </c>
      <c r="DE43" s="448">
        <v>13700</v>
      </c>
      <c r="DF43" s="448">
        <v>14122</v>
      </c>
      <c r="DG43" s="448">
        <v>13640</v>
      </c>
      <c r="DH43" s="373">
        <f t="shared" si="150"/>
      </c>
      <c r="DI43" s="448">
        <v>14262</v>
      </c>
      <c r="DJ43" s="448">
        <v>15857</v>
      </c>
      <c r="DK43" s="448">
        <v>17254</v>
      </c>
      <c r="DL43" s="448">
        <v>17034</v>
      </c>
      <c r="DM43" s="373">
        <f t="shared" si="151"/>
      </c>
      <c r="DN43" s="448">
        <v>18173</v>
      </c>
      <c r="DO43" s="448">
        <v>4820</v>
      </c>
      <c r="DP43" s="448">
        <v>5223</v>
      </c>
      <c r="DQ43" s="448">
        <v>5211</v>
      </c>
      <c r="DR43" s="373">
        <f t="shared" si="152"/>
      </c>
      <c r="DS43" s="448">
        <v>5539</v>
      </c>
      <c r="DT43" s="448">
        <v>6055</v>
      </c>
      <c r="DU43" s="448">
        <v>6763</v>
      </c>
      <c r="DV43" s="448">
        <v>7581</v>
      </c>
      <c r="DW43" s="373">
        <f t="shared" si="153"/>
      </c>
      <c r="DX43" s="448">
        <v>8826</v>
      </c>
      <c r="DY43" s="448">
        <v>9658</v>
      </c>
      <c r="DZ43" s="448">
        <v>9673</v>
      </c>
      <c r="EA43" s="448">
        <v>10632</v>
      </c>
      <c r="EB43" s="373">
        <f t="shared" si="154"/>
      </c>
      <c r="EC43" s="448">
        <v>11525</v>
      </c>
      <c r="ED43" s="448">
        <v>12544</v>
      </c>
      <c r="EE43" s="448">
        <v>12941</v>
      </c>
      <c r="EF43" s="448">
        <v>13427</v>
      </c>
      <c r="EG43" s="373">
        <f t="shared" si="155"/>
      </c>
      <c r="EH43" s="448">
        <v>14346</v>
      </c>
      <c r="EI43" s="448">
        <v>14747</v>
      </c>
      <c r="EJ43" s="448">
        <v>15154</v>
      </c>
      <c r="EK43" s="448">
        <v>15526</v>
      </c>
      <c r="EL43" s="373">
        <f t="shared" si="156"/>
      </c>
      <c r="EM43" s="448">
        <v>15311</v>
      </c>
      <c r="EN43" s="448">
        <v>16479</v>
      </c>
      <c r="EO43" s="448">
        <v>17437</v>
      </c>
      <c r="EP43" s="448">
        <v>17981</v>
      </c>
      <c r="EQ43" s="373">
        <f t="shared" si="157"/>
      </c>
      <c r="ER43" s="939">
        <v>18634</v>
      </c>
      <c r="ES43" s="448">
        <v>20787</v>
      </c>
      <c r="ET43" s="496">
        <v>23271</v>
      </c>
      <c r="EU43" s="496">
        <v>27064</v>
      </c>
      <c r="EV43" s="662">
        <f t="shared" si="158"/>
      </c>
      <c r="EW43" s="496">
        <v>31165</v>
      </c>
      <c r="EX43" s="496">
        <v>35906</v>
      </c>
      <c r="EY43" s="496">
        <v>38536</v>
      </c>
      <c r="EZ43" s="496">
        <v>45186</v>
      </c>
      <c r="FA43" s="662">
        <f t="shared" si="159"/>
      </c>
      <c r="FB43" s="511">
        <f>FB56*FB97</f>
      </c>
      <c r="FC43" s="511">
        <f>FC56*FC97</f>
      </c>
      <c r="FD43" s="511">
        <f>FD56*FD97</f>
      </c>
      <c r="FE43" s="511">
        <f>FE56*FE97</f>
      </c>
      <c r="FF43" s="662">
        <f>FE43</f>
      </c>
      <c r="FG43" s="511">
        <f>FG56*FG97</f>
      </c>
      <c r="FH43" s="511">
        <f>FH56*FH97</f>
      </c>
      <c r="FI43" s="511">
        <f>FI56*FI97</f>
      </c>
      <c r="FJ43" s="511">
        <f>FJ56*FJ97</f>
      </c>
      <c r="FK43" s="662">
        <f>FJ43</f>
      </c>
      <c r="FL43" s="511">
        <f>FL56*FL97</f>
      </c>
      <c r="FM43" s="511">
        <f>FM56*FM97</f>
      </c>
      <c r="FN43" s="511">
        <f>FN56*FN97</f>
      </c>
      <c r="FO43" s="511">
        <f>FO56*FO97</f>
      </c>
      <c r="FP43" s="662">
        <f>FO43</f>
      </c>
      <c r="FQ43" s="511">
        <f>FQ56*FQ97</f>
      </c>
      <c r="FR43" s="511">
        <f>FR56*FR97</f>
      </c>
      <c r="FS43" s="511">
        <f>FS56*FS97</f>
      </c>
      <c r="FT43" s="511">
        <f>FT56*FT97</f>
      </c>
      <c r="FU43" s="662">
        <f>FT43</f>
      </c>
      <c r="FV43" s="511">
        <f>FV56*FV97</f>
      </c>
      <c r="FW43" s="511">
        <f>FW56*FW97</f>
      </c>
      <c r="FX43" s="511">
        <f>FX56*FX97</f>
      </c>
      <c r="FY43" s="511">
        <f>FY56*FY97</f>
      </c>
      <c r="FZ43" s="662">
        <f>FY43</f>
      </c>
      <c r="GA43" s="511">
        <f>GA56*GA97</f>
      </c>
      <c r="GB43" s="511">
        <f>GB56*GB97</f>
      </c>
      <c r="GC43" s="511">
        <f>GC56*GC97</f>
      </c>
      <c r="GD43" s="511">
        <f>GD56*GD97</f>
      </c>
      <c r="GE43" s="662">
        <f>GD43</f>
      </c>
      <c r="GF43" s="511">
        <f>GF56*GF97</f>
      </c>
      <c r="GG43" s="511">
        <f>GG56*GG97</f>
      </c>
      <c r="GH43" s="511">
        <f>GH56*GH97</f>
      </c>
      <c r="GI43" s="511">
        <f>GI56*GI97</f>
      </c>
      <c r="GJ43" s="662">
        <f>GI43</f>
      </c>
    </row>
    <row r="44" spans="1:192" s="277" customFormat="1" ht="12.75" customHeight="1">
      <c r="A44" s="280"/>
      <c r="B44" s="706" t="s">
        <v>184</v>
      </c>
      <c r="C44" s="931">
        <f t="shared" ref="C44:AH44" si="169">SUM(C38:C43)+C36</f>
      </c>
      <c r="D44" s="931">
        <f t="shared" si="169"/>
      </c>
      <c r="E44" s="931">
        <f t="shared" si="169"/>
      </c>
      <c r="F44" s="931">
        <f t="shared" si="169"/>
      </c>
      <c r="G44" s="655">
        <f t="shared" si="169"/>
      </c>
      <c r="H44" s="931">
        <f t="shared" si="169"/>
      </c>
      <c r="I44" s="931">
        <f t="shared" si="169"/>
      </c>
      <c r="J44" s="931">
        <f t="shared" si="169"/>
      </c>
      <c r="K44" s="931">
        <f t="shared" si="169"/>
      </c>
      <c r="L44" s="655">
        <f t="shared" si="169"/>
      </c>
      <c r="M44" s="931">
        <f t="shared" si="169"/>
      </c>
      <c r="N44" s="931">
        <f t="shared" si="169"/>
      </c>
      <c r="O44" s="931">
        <f t="shared" si="169"/>
      </c>
      <c r="P44" s="931">
        <f t="shared" si="169"/>
      </c>
      <c r="Q44" s="655">
        <f t="shared" si="169"/>
      </c>
      <c r="R44" s="931">
        <f t="shared" si="169"/>
      </c>
      <c r="S44" s="931">
        <f t="shared" si="169"/>
      </c>
      <c r="T44" s="931">
        <f t="shared" si="169"/>
      </c>
      <c r="U44" s="931">
        <f t="shared" si="169"/>
      </c>
      <c r="V44" s="655">
        <f t="shared" si="169"/>
      </c>
      <c r="W44" s="931">
        <f t="shared" si="169"/>
      </c>
      <c r="X44" s="931">
        <f t="shared" si="169"/>
      </c>
      <c r="Y44" s="931">
        <f t="shared" si="169"/>
      </c>
      <c r="Z44" s="931">
        <f t="shared" si="169"/>
      </c>
      <c r="AA44" s="655">
        <f t="shared" si="169"/>
      </c>
      <c r="AB44" s="931">
        <f t="shared" si="169"/>
      </c>
      <c r="AC44" s="931">
        <f t="shared" si="169"/>
      </c>
      <c r="AD44" s="931">
        <f t="shared" si="169"/>
      </c>
      <c r="AE44" s="931">
        <f t="shared" si="169"/>
      </c>
      <c r="AF44" s="655">
        <f t="shared" si="169"/>
      </c>
      <c r="AG44" s="931">
        <f t="shared" si="169"/>
      </c>
      <c r="AH44" s="931">
        <f t="shared" si="169"/>
      </c>
      <c r="AI44" s="931">
        <f t="shared" ref="AI44:BN44" si="170">SUM(AI38:AI43)+AI36</f>
      </c>
      <c r="AJ44" s="931">
        <f t="shared" si="170"/>
      </c>
      <c r="AK44" s="655">
        <f t="shared" si="170"/>
      </c>
      <c r="AL44" s="931">
        <f t="shared" si="170"/>
      </c>
      <c r="AM44" s="931">
        <f t="shared" si="170"/>
      </c>
      <c r="AN44" s="931">
        <f t="shared" si="170"/>
      </c>
      <c r="AO44" s="931">
        <f t="shared" si="170"/>
      </c>
      <c r="AP44" s="655">
        <f t="shared" si="170"/>
      </c>
      <c r="AQ44" s="931">
        <f t="shared" si="170"/>
      </c>
      <c r="AR44" s="931">
        <f t="shared" si="170"/>
      </c>
      <c r="AS44" s="931">
        <f t="shared" si="170"/>
      </c>
      <c r="AT44" s="931">
        <f t="shared" si="170"/>
      </c>
      <c r="AU44" s="655">
        <f t="shared" si="170"/>
      </c>
      <c r="AV44" s="931">
        <f t="shared" si="170"/>
      </c>
      <c r="AW44" s="931">
        <f t="shared" si="170"/>
      </c>
      <c r="AX44" s="931">
        <f t="shared" si="170"/>
      </c>
      <c r="AY44" s="931">
        <f t="shared" si="170"/>
      </c>
      <c r="AZ44" s="655">
        <f t="shared" si="170"/>
      </c>
      <c r="BA44" s="931">
        <f t="shared" si="170"/>
      </c>
      <c r="BB44" s="931">
        <f t="shared" si="170"/>
      </c>
      <c r="BC44" s="931">
        <f t="shared" si="170"/>
      </c>
      <c r="BD44" s="931">
        <f t="shared" si="170"/>
      </c>
      <c r="BE44" s="655">
        <f t="shared" si="170"/>
      </c>
      <c r="BF44" s="931">
        <f t="shared" si="170"/>
      </c>
      <c r="BG44" s="931">
        <f t="shared" si="170"/>
      </c>
      <c r="BH44" s="931">
        <f t="shared" si="170"/>
      </c>
      <c r="BI44" s="931">
        <f t="shared" si="170"/>
      </c>
      <c r="BJ44" s="655">
        <f t="shared" si="170"/>
      </c>
      <c r="BK44" s="931">
        <f t="shared" si="170"/>
      </c>
      <c r="BL44" s="931">
        <f t="shared" si="170"/>
      </c>
      <c r="BM44" s="931">
        <f t="shared" si="170"/>
      </c>
      <c r="BN44" s="931">
        <f t="shared" si="170"/>
      </c>
      <c r="BO44" s="655">
        <f t="shared" ref="BO44:CT44" si="171">SUM(BO38:BO43)+BO36</f>
      </c>
      <c r="BP44" s="931">
        <f t="shared" si="171"/>
      </c>
      <c r="BQ44" s="931">
        <f t="shared" si="171"/>
      </c>
      <c r="BR44" s="931">
        <f t="shared" si="171"/>
      </c>
      <c r="BS44" s="931">
        <f t="shared" si="171"/>
      </c>
      <c r="BT44" s="655">
        <f t="shared" si="171"/>
      </c>
      <c r="BU44" s="931">
        <f t="shared" si="171"/>
      </c>
      <c r="BV44" s="931">
        <f t="shared" si="171"/>
      </c>
      <c r="BW44" s="931">
        <f t="shared" si="171"/>
      </c>
      <c r="BX44" s="931">
        <f t="shared" si="171"/>
      </c>
      <c r="BY44" s="655">
        <f t="shared" si="171"/>
      </c>
      <c r="BZ44" s="931">
        <f t="shared" si="171"/>
      </c>
      <c r="CA44" s="931">
        <f t="shared" si="171"/>
      </c>
      <c r="CB44" s="931">
        <f t="shared" si="171"/>
      </c>
      <c r="CC44" s="931">
        <f t="shared" si="171"/>
      </c>
      <c r="CD44" s="655">
        <f t="shared" si="171"/>
      </c>
      <c r="CE44" s="931">
        <f t="shared" si="171"/>
      </c>
      <c r="CF44" s="931">
        <f t="shared" si="171"/>
      </c>
      <c r="CG44" s="931">
        <f t="shared" si="171"/>
      </c>
      <c r="CH44" s="931">
        <f t="shared" si="171"/>
      </c>
      <c r="CI44" s="655">
        <f t="shared" si="171"/>
      </c>
      <c r="CJ44" s="931">
        <f t="shared" si="171"/>
      </c>
      <c r="CK44" s="931">
        <f t="shared" si="171"/>
      </c>
      <c r="CL44" s="931">
        <f t="shared" si="171"/>
      </c>
      <c r="CM44" s="931">
        <f t="shared" si="171"/>
      </c>
      <c r="CN44" s="655">
        <f t="shared" si="171"/>
      </c>
      <c r="CO44" s="931">
        <f t="shared" si="171"/>
      </c>
      <c r="CP44" s="931">
        <f t="shared" si="171"/>
      </c>
      <c r="CQ44" s="931">
        <f t="shared" si="171"/>
      </c>
      <c r="CR44" s="931">
        <f t="shared" si="171"/>
      </c>
      <c r="CS44" s="655">
        <f t="shared" si="171"/>
      </c>
      <c r="CT44" s="931">
        <f t="shared" si="171"/>
      </c>
      <c r="CU44" s="931">
        <f t="shared" ref="CU44:DZ44" si="172">SUM(CU38:CU43)+CU36</f>
      </c>
      <c r="CV44" s="931">
        <f t="shared" si="172"/>
      </c>
      <c r="CW44" s="931">
        <f t="shared" si="172"/>
      </c>
      <c r="CX44" s="655">
        <f t="shared" si="172"/>
      </c>
      <c r="CY44" s="931">
        <f t="shared" si="172"/>
      </c>
      <c r="CZ44" s="931">
        <f t="shared" si="172"/>
      </c>
      <c r="DA44" s="931">
        <f t="shared" si="172"/>
      </c>
      <c r="DB44" s="931">
        <f t="shared" si="172"/>
      </c>
      <c r="DC44" s="655">
        <f t="shared" si="172"/>
      </c>
      <c r="DD44" s="931">
        <f t="shared" si="172"/>
      </c>
      <c r="DE44" s="931">
        <f t="shared" si="172"/>
      </c>
      <c r="DF44" s="931">
        <f t="shared" si="172"/>
      </c>
      <c r="DG44" s="931">
        <f t="shared" si="172"/>
      </c>
      <c r="DH44" s="655">
        <f t="shared" si="172"/>
      </c>
      <c r="DI44" s="931">
        <f t="shared" si="172"/>
      </c>
      <c r="DJ44" s="931">
        <f t="shared" si="172"/>
      </c>
      <c r="DK44" s="931">
        <f t="shared" si="172"/>
      </c>
      <c r="DL44" s="931">
        <f t="shared" si="172"/>
      </c>
      <c r="DM44" s="655">
        <f t="shared" si="172"/>
      </c>
      <c r="DN44" s="931">
        <f t="shared" si="172"/>
      </c>
      <c r="DO44" s="931">
        <f t="shared" si="172"/>
      </c>
      <c r="DP44" s="931">
        <f t="shared" si="172"/>
      </c>
      <c r="DQ44" s="931">
        <f t="shared" si="172"/>
      </c>
      <c r="DR44" s="655">
        <f t="shared" si="172"/>
      </c>
      <c r="DS44" s="931">
        <f t="shared" si="172"/>
      </c>
      <c r="DT44" s="931">
        <f t="shared" si="172"/>
      </c>
      <c r="DU44" s="931">
        <f t="shared" si="172"/>
      </c>
      <c r="DV44" s="931">
        <f t="shared" si="172"/>
      </c>
      <c r="DW44" s="655">
        <f t="shared" si="172"/>
      </c>
      <c r="DX44" s="931">
        <f t="shared" si="172"/>
      </c>
      <c r="DY44" s="931">
        <f t="shared" si="172"/>
      </c>
      <c r="DZ44" s="931">
        <f t="shared" si="172"/>
      </c>
      <c r="EA44" s="931">
        <f t="shared" ref="EA44:FF44" si="173">SUM(EA38:EA43)+EA36</f>
      </c>
      <c r="EB44" s="655">
        <f t="shared" si="173"/>
      </c>
      <c r="EC44" s="931">
        <f t="shared" si="173"/>
      </c>
      <c r="ED44" s="931">
        <f t="shared" si="173"/>
      </c>
      <c r="EE44" s="931">
        <f t="shared" si="173"/>
      </c>
      <c r="EF44" s="931">
        <f t="shared" si="173"/>
      </c>
      <c r="EG44" s="655">
        <f t="shared" si="173"/>
      </c>
      <c r="EH44" s="931">
        <f t="shared" si="173"/>
      </c>
      <c r="EI44" s="931">
        <f t="shared" si="173"/>
      </c>
      <c r="EJ44" s="931">
        <f t="shared" si="173"/>
      </c>
      <c r="EK44" s="931">
        <f t="shared" si="173"/>
      </c>
      <c r="EL44" s="655">
        <f t="shared" si="173"/>
      </c>
      <c r="EM44" s="931">
        <f t="shared" si="173"/>
      </c>
      <c r="EN44" s="931">
        <f t="shared" si="173"/>
      </c>
      <c r="EO44" s="931">
        <f t="shared" si="173"/>
      </c>
      <c r="EP44" s="931">
        <f t="shared" si="173"/>
      </c>
      <c r="EQ44" s="655">
        <f t="shared" si="173"/>
      </c>
      <c r="ER44" s="941">
        <f t="shared" si="173"/>
      </c>
      <c r="ES44" s="931">
        <f t="shared" si="173"/>
      </c>
      <c r="ET44" s="931">
        <f t="shared" si="173"/>
      </c>
      <c r="EU44" s="931">
        <f t="shared" si="173"/>
      </c>
      <c r="EV44" s="655">
        <f t="shared" si="173"/>
      </c>
      <c r="EW44" s="1595">
        <f t="shared" si="173"/>
      </c>
      <c r="EX44" s="931">
        <f t="shared" si="173"/>
      </c>
      <c r="EY44" s="931">
        <f t="shared" si="173"/>
      </c>
      <c r="EZ44" s="1404">
        <f t="shared" si="173"/>
      </c>
      <c r="FA44" s="655">
        <f t="shared" ref="FA44" si="174">SUM(FA38:FA43)+FA36</f>
      </c>
      <c r="FB44" s="941">
        <f t="shared" si="173"/>
      </c>
      <c r="FC44" s="931">
        <f t="shared" si="173"/>
      </c>
      <c r="FD44" s="931">
        <f t="shared" si="173"/>
      </c>
      <c r="FE44" s="931">
        <f t="shared" si="173"/>
      </c>
      <c r="FF44" s="655">
        <f t="shared" si="173"/>
      </c>
      <c r="FG44" s="941">
        <f t="shared" ref="FG44:FZ44" si="175">SUM(FG38:FG43)+FG36</f>
      </c>
      <c r="FH44" s="931">
        <f t="shared" si="175"/>
      </c>
      <c r="FI44" s="931">
        <f t="shared" si="175"/>
      </c>
      <c r="FJ44" s="931">
        <f t="shared" si="175"/>
      </c>
      <c r="FK44" s="655">
        <f t="shared" si="175"/>
      </c>
      <c r="FL44" s="941">
        <f t="shared" si="175"/>
      </c>
      <c r="FM44" s="931">
        <f t="shared" si="175"/>
      </c>
      <c r="FN44" s="931">
        <f t="shared" si="175"/>
      </c>
      <c r="FO44" s="931">
        <f t="shared" si="175"/>
      </c>
      <c r="FP44" s="655">
        <f t="shared" si="175"/>
      </c>
      <c r="FQ44" s="941">
        <f t="shared" si="175"/>
      </c>
      <c r="FR44" s="931">
        <f t="shared" si="175"/>
      </c>
      <c r="FS44" s="931">
        <f t="shared" si="175"/>
      </c>
      <c r="FT44" s="931">
        <f t="shared" si="175"/>
      </c>
      <c r="FU44" s="655">
        <f t="shared" si="175"/>
      </c>
      <c r="FV44" s="941">
        <f t="shared" si="175"/>
      </c>
      <c r="FW44" s="931">
        <f t="shared" si="175"/>
      </c>
      <c r="FX44" s="931">
        <f t="shared" si="175"/>
      </c>
      <c r="FY44" s="931">
        <f t="shared" si="175"/>
      </c>
      <c r="FZ44" s="655">
        <f t="shared" si="175"/>
      </c>
      <c r="GA44" s="941">
        <f t="shared" ref="GA44:GJ44" si="176">SUM(GA38:GA43)+GA36</f>
      </c>
      <c r="GB44" s="931">
        <f t="shared" si="176"/>
      </c>
      <c r="GC44" s="931">
        <f t="shared" si="176"/>
      </c>
      <c r="GD44" s="931">
        <f t="shared" si="176"/>
      </c>
      <c r="GE44" s="655">
        <f t="shared" si="176"/>
      </c>
      <c r="GF44" s="941">
        <f t="shared" si="176"/>
      </c>
      <c r="GG44" s="931">
        <f t="shared" si="176"/>
      </c>
      <c r="GH44" s="931">
        <f t="shared" si="176"/>
      </c>
      <c r="GI44" s="931">
        <f t="shared" si="176"/>
      </c>
      <c r="GJ44" s="655">
        <f t="shared" si="176"/>
      </c>
    </row>
    <row r="45" spans="1:192" s="277" customFormat="1" ht="12.75" customHeight="1">
      <c r="A45" s="274"/>
      <c r="B45" s="708"/>
      <c r="C45" s="945"/>
      <c r="D45" s="945"/>
      <c r="E45" s="945"/>
      <c r="F45" s="945"/>
      <c r="G45" s="373"/>
      <c r="H45" s="945"/>
      <c r="I45" s="945"/>
      <c r="J45" s="945"/>
      <c r="K45" s="945"/>
      <c r="L45" s="373"/>
      <c r="M45" s="945"/>
      <c r="N45" s="945"/>
      <c r="O45" s="945"/>
      <c r="P45" s="945"/>
      <c r="Q45" s="373"/>
      <c r="R45" s="945"/>
      <c r="S45" s="945"/>
      <c r="T45" s="945"/>
      <c r="U45" s="945"/>
      <c r="V45" s="373"/>
      <c r="W45" s="945"/>
      <c r="X45" s="945"/>
      <c r="Y45" s="945"/>
      <c r="Z45" s="945"/>
      <c r="AA45" s="373"/>
      <c r="AB45" s="945"/>
      <c r="AC45" s="945"/>
      <c r="AD45" s="945"/>
      <c r="AE45" s="945"/>
      <c r="AF45" s="373"/>
      <c r="AG45" s="945"/>
      <c r="AH45" s="945"/>
      <c r="AI45" s="945"/>
      <c r="AJ45" s="945"/>
      <c r="AK45" s="373"/>
      <c r="AL45" s="945"/>
      <c r="AM45" s="945"/>
      <c r="AN45" s="945"/>
      <c r="AO45" s="945"/>
      <c r="AP45" s="373"/>
      <c r="AQ45" s="945"/>
      <c r="AR45" s="945"/>
      <c r="AS45" s="945"/>
      <c r="AT45" s="945"/>
      <c r="AU45" s="373"/>
      <c r="AV45" s="945"/>
      <c r="AW45" s="945"/>
      <c r="AX45" s="945"/>
      <c r="AY45" s="945"/>
      <c r="AZ45" s="373"/>
      <c r="BA45" s="945"/>
      <c r="BB45" s="945"/>
      <c r="BC45" s="945"/>
      <c r="BD45" s="945"/>
      <c r="BE45" s="373"/>
      <c r="BF45" s="945"/>
      <c r="BG45" s="945"/>
      <c r="BH45" s="945"/>
      <c r="BI45" s="945"/>
      <c r="BJ45" s="373"/>
      <c r="BK45" s="945"/>
      <c r="BL45" s="945"/>
      <c r="BM45" s="945"/>
      <c r="BN45" s="945"/>
      <c r="BO45" s="373"/>
      <c r="BP45" s="945"/>
      <c r="BQ45" s="945"/>
      <c r="BR45" s="945"/>
      <c r="BS45" s="945"/>
      <c r="BT45" s="373"/>
      <c r="BU45" s="945"/>
      <c r="BV45" s="945"/>
      <c r="BW45" s="945"/>
      <c r="BX45" s="945"/>
      <c r="BY45" s="373"/>
      <c r="BZ45" s="945"/>
      <c r="CA45" s="945"/>
      <c r="CB45" s="945"/>
      <c r="CC45" s="945"/>
      <c r="CD45" s="373"/>
      <c r="CE45" s="945"/>
      <c r="CF45" s="945"/>
      <c r="CG45" s="945"/>
      <c r="CH45" s="945"/>
      <c r="CI45" s="373"/>
      <c r="CJ45" s="945"/>
      <c r="CK45" s="945"/>
      <c r="CL45" s="945"/>
      <c r="CM45" s="945"/>
      <c r="CN45" s="373"/>
      <c r="CO45" s="945"/>
      <c r="CP45" s="945"/>
      <c r="CQ45" s="945"/>
      <c r="CR45" s="945"/>
      <c r="CS45" s="373"/>
      <c r="CT45" s="945"/>
      <c r="CU45" s="945"/>
      <c r="CV45" s="945"/>
      <c r="CW45" s="945"/>
      <c r="CX45" s="373"/>
      <c r="CY45" s="945"/>
      <c r="CZ45" s="945"/>
      <c r="DA45" s="945"/>
      <c r="DB45" s="945"/>
      <c r="DC45" s="373"/>
      <c r="DD45" s="945"/>
      <c r="DE45" s="945"/>
      <c r="DF45" s="945"/>
      <c r="DG45" s="945"/>
      <c r="DH45" s="373"/>
      <c r="DI45" s="945"/>
      <c r="DJ45" s="945"/>
      <c r="DK45" s="945"/>
      <c r="DL45" s="945"/>
      <c r="DM45" s="373"/>
      <c r="DN45" s="945"/>
      <c r="DO45" s="945"/>
      <c r="DP45" s="945"/>
      <c r="DQ45" s="945"/>
      <c r="DR45" s="373"/>
      <c r="DS45" s="945"/>
      <c r="DT45" s="945"/>
      <c r="DU45" s="945"/>
      <c r="DV45" s="945"/>
      <c r="DW45" s="373"/>
      <c r="DX45" s="945"/>
      <c r="DY45" s="945"/>
      <c r="DZ45" s="945"/>
      <c r="EA45" s="945"/>
      <c r="EB45" s="373"/>
      <c r="EC45" s="945"/>
      <c r="ED45" s="945"/>
      <c r="EE45" s="945"/>
      <c r="EF45" s="945"/>
      <c r="EG45" s="373"/>
      <c r="EH45" s="945"/>
      <c r="EI45" s="945"/>
      <c r="EJ45" s="945"/>
      <c r="EK45" s="945"/>
      <c r="EL45" s="373"/>
      <c r="EM45" s="945"/>
      <c r="EN45" s="945"/>
      <c r="EO45" s="945"/>
      <c r="EP45" s="945"/>
      <c r="EQ45" s="373"/>
      <c r="ER45" s="946"/>
      <c r="ES45" s="945"/>
      <c r="ET45" s="945"/>
      <c r="EU45" s="945"/>
      <c r="EV45" s="373"/>
      <c r="EW45" s="945"/>
      <c r="EX45" s="945"/>
      <c r="EY45" s="945"/>
      <c r="EZ45" s="945"/>
      <c r="FA45" s="373"/>
      <c r="FB45" s="945"/>
      <c r="FC45" s="945"/>
      <c r="FD45" s="945"/>
      <c r="FE45" s="945"/>
      <c r="FF45" s="373"/>
      <c r="FG45" s="945"/>
      <c r="FH45" s="945"/>
      <c r="FI45" s="945"/>
      <c r="FJ45" s="945"/>
      <c r="FK45" s="373"/>
      <c r="FL45" s="945"/>
      <c r="FM45" s="945"/>
      <c r="FN45" s="945"/>
      <c r="FO45" s="945"/>
      <c r="FP45" s="373"/>
      <c r="FQ45" s="945"/>
      <c r="FR45" s="945"/>
      <c r="FS45" s="945"/>
      <c r="FT45" s="945"/>
      <c r="FU45" s="373"/>
      <c r="FV45" s="945"/>
      <c r="FW45" s="945"/>
      <c r="FX45" s="945"/>
      <c r="FY45" s="945"/>
      <c r="FZ45" s="373"/>
      <c r="GA45" s="945"/>
      <c r="GB45" s="945"/>
      <c r="GC45" s="945"/>
      <c r="GD45" s="945"/>
      <c r="GE45" s="373"/>
      <c r="GF45" s="945"/>
      <c r="GG45" s="945"/>
      <c r="GH45" s="945"/>
      <c r="GI45" s="945"/>
      <c r="GJ45" s="373"/>
    </row>
    <row r="46" spans="1:192" s="277" customFormat="1" ht="12.75" customHeight="1">
      <c r="A46" s="274"/>
      <c r="B46" s="703" t="s">
        <v>85</v>
      </c>
      <c r="C46" s="448"/>
      <c r="D46" s="448"/>
      <c r="E46" s="448"/>
      <c r="F46" s="448"/>
      <c r="G46" s="373"/>
      <c r="H46" s="448"/>
      <c r="I46" s="448"/>
      <c r="J46" s="448"/>
      <c r="K46" s="448"/>
      <c r="L46" s="373"/>
      <c r="M46" s="448"/>
      <c r="N46" s="448"/>
      <c r="O46" s="448"/>
      <c r="P46" s="448"/>
      <c r="Q46" s="373"/>
      <c r="R46" s="448"/>
      <c r="S46" s="448"/>
      <c r="T46" s="448"/>
      <c r="U46" s="448"/>
      <c r="V46" s="373"/>
      <c r="W46" s="448"/>
      <c r="X46" s="448"/>
      <c r="Y46" s="448"/>
      <c r="Z46" s="448"/>
      <c r="AA46" s="373"/>
      <c r="AB46" s="448"/>
      <c r="AC46" s="448"/>
      <c r="AD46" s="448"/>
      <c r="AE46" s="448"/>
      <c r="AF46" s="373"/>
      <c r="AG46" s="448"/>
      <c r="AH46" s="448"/>
      <c r="AI46" s="448"/>
      <c r="AJ46" s="448"/>
      <c r="AK46" s="373"/>
      <c r="AL46" s="448"/>
      <c r="AM46" s="448"/>
      <c r="AN46" s="448"/>
      <c r="AO46" s="448"/>
      <c r="AP46" s="373"/>
      <c r="AQ46" s="448"/>
      <c r="AR46" s="448"/>
      <c r="AS46" s="448"/>
      <c r="AT46" s="448"/>
      <c r="AU46" s="373"/>
      <c r="AV46" s="448"/>
      <c r="AW46" s="448"/>
      <c r="AX46" s="448"/>
      <c r="AY46" s="448"/>
      <c r="AZ46" s="373"/>
      <c r="BA46" s="448"/>
      <c r="BB46" s="448"/>
      <c r="BC46" s="448"/>
      <c r="BD46" s="448"/>
      <c r="BE46" s="373"/>
      <c r="BF46" s="448"/>
      <c r="BG46" s="448"/>
      <c r="BH46" s="448"/>
      <c r="BI46" s="448"/>
      <c r="BJ46" s="373"/>
      <c r="BK46" s="448"/>
      <c r="BL46" s="448"/>
      <c r="BM46" s="448"/>
      <c r="BN46" s="448"/>
      <c r="BO46" s="373"/>
      <c r="BP46" s="448"/>
      <c r="BQ46" s="448"/>
      <c r="BR46" s="448"/>
      <c r="BS46" s="448"/>
      <c r="BT46" s="373"/>
      <c r="BU46" s="448"/>
      <c r="BV46" s="448"/>
      <c r="BW46" s="448"/>
      <c r="BX46" s="448"/>
      <c r="BY46" s="373"/>
      <c r="BZ46" s="448"/>
      <c r="CA46" s="448"/>
      <c r="CB46" s="448"/>
      <c r="CC46" s="448"/>
      <c r="CD46" s="373"/>
      <c r="CE46" s="448"/>
      <c r="CF46" s="448"/>
      <c r="CG46" s="448"/>
      <c r="CH46" s="448"/>
      <c r="CI46" s="373"/>
      <c r="CJ46" s="448"/>
      <c r="CK46" s="448"/>
      <c r="CL46" s="448"/>
      <c r="CM46" s="448"/>
      <c r="CN46" s="373"/>
      <c r="CO46" s="448"/>
      <c r="CP46" s="448"/>
      <c r="CQ46" s="448"/>
      <c r="CR46" s="448"/>
      <c r="CS46" s="373"/>
      <c r="CT46" s="448"/>
      <c r="CU46" s="448"/>
      <c r="CV46" s="448"/>
      <c r="CW46" s="448"/>
      <c r="CX46" s="373"/>
      <c r="CY46" s="448"/>
      <c r="CZ46" s="448"/>
      <c r="DA46" s="448"/>
      <c r="DB46" s="448"/>
      <c r="DC46" s="373"/>
      <c r="DD46" s="448"/>
      <c r="DE46" s="448"/>
      <c r="DF46" s="448"/>
      <c r="DG46" s="448"/>
      <c r="DH46" s="373"/>
      <c r="DI46" s="448"/>
      <c r="DJ46" s="448"/>
      <c r="DK46" s="448"/>
      <c r="DL46" s="448"/>
      <c r="DM46" s="373"/>
      <c r="DN46" s="448"/>
      <c r="DO46" s="448"/>
      <c r="DP46" s="448"/>
      <c r="DQ46" s="448"/>
      <c r="DR46" s="373"/>
      <c r="DS46" s="448"/>
      <c r="DT46" s="448"/>
      <c r="DU46" s="448"/>
      <c r="DV46" s="448"/>
      <c r="DW46" s="373"/>
      <c r="DX46" s="448"/>
      <c r="DY46" s="448"/>
      <c r="DZ46" s="448"/>
      <c r="EA46" s="448"/>
      <c r="EB46" s="373"/>
      <c r="EC46" s="448"/>
      <c r="ED46" s="448"/>
      <c r="EE46" s="448"/>
      <c r="EF46" s="448"/>
      <c r="EG46" s="373"/>
      <c r="EH46" s="448"/>
      <c r="EI46" s="448"/>
      <c r="EJ46" s="448"/>
      <c r="EK46" s="448"/>
      <c r="EL46" s="373"/>
      <c r="EM46" s="448"/>
      <c r="EN46" s="448"/>
      <c r="EO46" s="448"/>
      <c r="EP46" s="448"/>
      <c r="EQ46" s="373"/>
      <c r="ER46" s="939"/>
      <c r="ES46" s="448"/>
      <c r="ET46" s="448"/>
      <c r="EU46" s="448"/>
      <c r="EV46" s="373"/>
      <c r="EW46" s="448"/>
      <c r="EX46" s="448"/>
      <c r="EY46" s="448"/>
      <c r="EZ46" s="448"/>
      <c r="FA46" s="373"/>
      <c r="FB46" s="448"/>
      <c r="FC46" s="448"/>
      <c r="FD46" s="448"/>
      <c r="FE46" s="448"/>
      <c r="FF46" s="373"/>
      <c r="FG46" s="448"/>
      <c r="FH46" s="448"/>
      <c r="FI46" s="448"/>
      <c r="FJ46" s="448"/>
      <c r="FK46" s="373"/>
      <c r="FL46" s="448"/>
      <c r="FM46" s="448"/>
      <c r="FN46" s="448"/>
      <c r="FO46" s="448"/>
      <c r="FP46" s="373"/>
      <c r="FQ46" s="448"/>
      <c r="FR46" s="448"/>
      <c r="FS46" s="448"/>
      <c r="FT46" s="448"/>
      <c r="FU46" s="373"/>
      <c r="FV46" s="448"/>
      <c r="FW46" s="448"/>
      <c r="FX46" s="448"/>
      <c r="FY46" s="448"/>
      <c r="FZ46" s="373"/>
      <c r="GA46" s="448"/>
      <c r="GB46" s="448"/>
      <c r="GC46" s="448"/>
      <c r="GD46" s="448"/>
      <c r="GE46" s="373"/>
      <c r="GF46" s="448"/>
      <c r="GG46" s="448"/>
      <c r="GH46" s="448"/>
      <c r="GI46" s="448"/>
      <c r="GJ46" s="373"/>
    </row>
    <row r="47" spans="1:192" s="277" customFormat="1" ht="12.75" customHeight="1">
      <c r="A47" s="274"/>
      <c r="B47" s="704" t="s">
        <v>103</v>
      </c>
      <c r="C47" s="448">
        <f>203+1606</f>
      </c>
      <c r="D47" s="448">
        <f>125+297+1699</f>
      </c>
      <c r="E47" s="448">
        <f>125+352+1862</f>
      </c>
      <c r="F47" s="448">
        <f>125+405+2005</f>
      </c>
      <c r="G47" s="373">
        <f>F47</f>
      </c>
      <c r="H47" s="448">
        <f>125+537+2172</f>
      </c>
      <c r="I47" s="448">
        <f>125+560+2285</f>
      </c>
      <c r="J47" s="448">
        <f>125+606+2678</f>
      </c>
      <c r="K47" s="448">
        <f>125+635+2924</f>
      </c>
      <c r="L47" s="373">
        <f>K47</f>
      </c>
      <c r="M47" s="448">
        <f>125+675+3220</f>
      </c>
      <c r="N47" s="448">
        <f>980+3541</f>
      </c>
      <c r="O47" s="448">
        <f>980+4036</f>
      </c>
      <c r="P47" s="448">
        <f>980+4509</f>
      </c>
      <c r="Q47" s="373">
        <f>P47</f>
      </c>
      <c r="R47" s="448">
        <f>980+5630</f>
      </c>
      <c r="S47" s="448">
        <f>980+6104</f>
      </c>
      <c r="T47" s="448">
        <f>980+6984</f>
      </c>
      <c r="U47" s="448">
        <f>980+8025</f>
      </c>
      <c r="V47" s="373">
        <f>U47</f>
      </c>
      <c r="W47" s="448">
        <f>980+9161</f>
      </c>
      <c r="X47" s="448">
        <f>980+10443</f>
      </c>
      <c r="Y47" s="448">
        <f>980+12418</f>
      </c>
      <c r="Z47" s="448">
        <f>980+13844</f>
      </c>
      <c r="AA47" s="373">
        <f>Z47</f>
      </c>
      <c r="AB47" s="448">
        <f>980+15878</f>
      </c>
      <c r="AC47" s="448">
        <v>18878</v>
      </c>
      <c r="AD47" s="448">
        <v>20975</v>
      </c>
      <c r="AE47" s="448">
        <v>22516</v>
      </c>
      <c r="AF47" s="373">
        <f>AE47</f>
      </c>
      <c r="AG47" s="448">
        <v>26661</v>
      </c>
      <c r="AH47" s="448">
        <v>27178</v>
      </c>
      <c r="AI47" s="448">
        <v>27647</v>
      </c>
      <c r="AJ47" s="448">
        <v>28390</v>
      </c>
      <c r="AK47" s="373">
        <f>AJ47</f>
      </c>
      <c r="AL47" s="448">
        <v>29296</v>
      </c>
      <c r="AM47" s="448">
        <v>30175</v>
      </c>
      <c r="AN47" s="448">
        <v>30904</v>
      </c>
      <c r="AO47" s="448">
        <v>31647</v>
      </c>
      <c r="AP47" s="373">
        <f>AO47</f>
      </c>
      <c r="AQ47" s="448">
        <v>33013</v>
      </c>
      <c r="AR47" s="448">
        <v>33605</v>
      </c>
      <c r="AS47" s="448">
        <v>34332</v>
      </c>
      <c r="AT47" s="448">
        <v>35344</v>
      </c>
      <c r="AU47" s="373">
        <f>AT47</f>
      </c>
      <c r="AV47" s="448">
        <v>51298</v>
      </c>
      <c r="AW47" s="448">
        <v>52676</v>
      </c>
      <c r="AX47" s="448">
        <v>53975</v>
      </c>
      <c r="AY47" s="448">
        <v>56396</v>
      </c>
      <c r="AZ47" s="373">
        <f>AY47</f>
      </c>
      <c r="BA47" s="448">
        <v>57147</v>
      </c>
      <c r="BB47" s="448">
        <v>58403</v>
      </c>
      <c r="BC47" s="448">
        <v>58829</v>
      </c>
      <c r="BD47" s="448">
        <v>60413</v>
      </c>
      <c r="BE47" s="373">
        <f>BD47</f>
      </c>
      <c r="BF47" s="448">
        <v>60862</v>
      </c>
      <c r="BG47" s="448">
        <v>60140</v>
      </c>
      <c r="BH47" s="448">
        <v>59850</v>
      </c>
      <c r="BI47" s="448">
        <v>59005</v>
      </c>
      <c r="BJ47" s="373">
        <f>BI47</f>
      </c>
      <c r="BK47" s="448">
        <v>57657</v>
      </c>
      <c r="BL47" s="448">
        <v>61152</v>
      </c>
      <c r="BM47" s="448">
        <v>60827</v>
      </c>
      <c r="BN47" s="448">
        <v>60557</v>
      </c>
      <c r="BO47" s="373">
        <f>BN47</f>
      </c>
      <c r="BP47" s="448">
        <v>60699</v>
      </c>
      <c r="BQ47" s="448">
        <v>62528</v>
      </c>
      <c r="BR47" s="448">
        <v>63375</v>
      </c>
      <c r="BS47" s="448">
        <v>62849</v>
      </c>
      <c r="BT47" s="373">
        <f>BS47</f>
      </c>
      <c r="BU47" s="448">
        <v>61655</v>
      </c>
      <c r="BV47" s="448">
        <v>61392</v>
      </c>
      <c r="BW47" s="448">
        <v>61896</v>
      </c>
      <c r="BX47" s="448">
        <v>62382</v>
      </c>
      <c r="BY47" s="373">
        <f>BX47</f>
      </c>
      <c r="BZ47" s="448">
        <v>62293</v>
      </c>
      <c r="CA47" s="448">
        <v>62566</v>
      </c>
      <c r="CB47" s="448">
        <v>62517</v>
      </c>
      <c r="CC47" s="448">
        <v>62856</v>
      </c>
      <c r="CD47" s="373">
        <f>CC47</f>
      </c>
      <c r="CE47" s="448">
        <v>61935</v>
      </c>
      <c r="CF47" s="448">
        <v>61646</v>
      </c>
      <c r="CG47" s="448">
        <v>63234</v>
      </c>
      <c r="CH47" s="448">
        <v>63415</v>
      </c>
      <c r="CI47" s="373">
        <f>CH47</f>
      </c>
      <c r="CJ47" s="448">
        <v>63492</v>
      </c>
      <c r="CK47" s="448">
        <v>63902</v>
      </c>
      <c r="CL47" s="448">
        <v>65273</v>
      </c>
      <c r="CM47" s="448">
        <v>65797</v>
      </c>
      <c r="CN47" s="373">
        <f>CM47</f>
      </c>
      <c r="CO47" s="448">
        <v>66084</v>
      </c>
      <c r="CP47" s="448">
        <v>66334</v>
      </c>
      <c r="CQ47" s="448">
        <v>66826</v>
      </c>
      <c r="CR47" s="448">
        <v>67306</v>
      </c>
      <c r="CS47" s="373">
        <f>CR47</f>
      </c>
      <c r="CT47" s="448">
        <v>67230</v>
      </c>
      <c r="CU47" s="448">
        <v>67476</v>
      </c>
      <c r="CV47" s="448">
        <v>67803</v>
      </c>
      <c r="CW47" s="448">
        <v>68366</v>
      </c>
      <c r="CX47" s="373">
        <f>CW47</f>
      </c>
      <c r="CY47" s="448">
        <v>68362</v>
      </c>
      <c r="CZ47" s="448">
        <v>68765</v>
      </c>
      <c r="DA47" s="448">
        <v>68475</v>
      </c>
      <c r="DB47" s="448">
        <v>68465</v>
      </c>
      <c r="DC47" s="373">
        <f>DB47</f>
      </c>
      <c r="DD47" s="448">
        <v>68093</v>
      </c>
      <c r="DE47" s="448">
        <v>68279</v>
      </c>
      <c r="DF47" s="448">
        <v>68012</v>
      </c>
      <c r="DG47" s="448">
        <v>68178</v>
      </c>
      <c r="DH47" s="373">
        <f>DG47</f>
      </c>
      <c r="DI47" s="448">
        <v>67747</v>
      </c>
      <c r="DJ47" s="448">
        <v>68177</v>
      </c>
      <c r="DK47" s="448">
        <v>68554</v>
      </c>
      <c r="DL47" s="448">
        <v>69315</v>
      </c>
      <c r="DM47" s="373">
        <f>DL47</f>
      </c>
      <c r="DN47" s="448">
        <v>69419</v>
      </c>
      <c r="DO47" s="448">
        <v>70192</v>
      </c>
      <c r="DP47" s="448">
        <v>70418</v>
      </c>
      <c r="DQ47" s="448">
        <v>71223</v>
      </c>
      <c r="DR47" s="373">
        <f>DQ47</f>
      </c>
      <c r="DS47" s="448">
        <v>71303</v>
      </c>
      <c r="DT47" s="448">
        <v>77556</v>
      </c>
      <c r="DU47" s="448">
        <v>77791</v>
      </c>
      <c r="DV47" s="448">
        <v>78520</v>
      </c>
      <c r="DW47" s="373">
        <f>DV47</f>
      </c>
      <c r="DX47" s="448">
        <v>78882</v>
      </c>
      <c r="DY47" s="448">
        <v>79625</v>
      </c>
      <c r="DZ47" s="448">
        <v>79813</v>
      </c>
      <c r="EA47" s="448">
        <v>80552</v>
      </c>
      <c r="EB47" s="373">
        <f>EA47</f>
      </c>
      <c r="EC47" s="448">
        <v>81089</v>
      </c>
      <c r="ED47" s="448">
        <v>81896</v>
      </c>
      <c r="EE47" s="448">
        <v>82308</v>
      </c>
      <c r="EF47" s="448">
        <v>83111</v>
      </c>
      <c r="EG47" s="373">
        <f>EF47</f>
      </c>
      <c r="EH47" s="448">
        <v>83751</v>
      </c>
      <c r="EI47" s="448">
        <v>84528</v>
      </c>
      <c r="EJ47" s="448">
        <v>85767</v>
      </c>
      <c r="EK47" s="448">
        <v>86939</v>
      </c>
      <c r="EL47" s="373">
        <f>EK47</f>
      </c>
      <c r="EM47" s="448">
        <v>88535</v>
      </c>
      <c r="EN47" s="448">
        <v>90225</v>
      </c>
      <c r="EO47" s="448">
        <v>92093</v>
      </c>
      <c r="EP47" s="448">
        <v>93718</v>
      </c>
      <c r="EQ47" s="373">
        <f>EP47</f>
      </c>
      <c r="ER47" s="939">
        <v>95508</v>
      </c>
      <c r="ES47" s="448">
        <v>97480</v>
      </c>
      <c r="ET47" s="496">
        <v>99193</v>
      </c>
      <c r="EU47" s="496">
        <v>100923</v>
      </c>
      <c r="EV47" s="373">
        <f>EU47</f>
      </c>
      <c r="EW47" s="496">
        <v>102976</v>
      </c>
      <c r="EX47" s="496">
        <v>104829</v>
      </c>
      <c r="EY47" s="496">
        <v>106965</v>
      </c>
      <c r="EZ47" s="496">
        <v>109095</v>
      </c>
      <c r="FA47" s="373">
        <f>EZ47</f>
      </c>
      <c r="FB47" s="947">
        <f>FA47+CF!FB14</f>
      </c>
      <c r="FC47" s="947">
        <f>FB47+CF!FC14</f>
      </c>
      <c r="FD47" s="947">
        <f>FC47+CF!FD14</f>
      </c>
      <c r="FE47" s="947">
        <f>FD47+CF!FE14</f>
      </c>
      <c r="FF47" s="373">
        <f>FE47</f>
      </c>
      <c r="FG47" s="947">
        <f>FF47+CF!FG14</f>
      </c>
      <c r="FH47" s="947">
        <f>FG47+CF!FH14</f>
      </c>
      <c r="FI47" s="947">
        <f>FH47+CF!FI14</f>
      </c>
      <c r="FJ47" s="947">
        <f>FI47+CF!FJ14</f>
      </c>
      <c r="FK47" s="373">
        <f>FJ47</f>
      </c>
      <c r="FL47" s="947">
        <f>FK47+CF!FL14</f>
      </c>
      <c r="FM47" s="947">
        <f>FL47+CF!FM14</f>
      </c>
      <c r="FN47" s="947">
        <f>FM47+CF!FN14</f>
      </c>
      <c r="FO47" s="947">
        <f>FN47+CF!FO14</f>
      </c>
      <c r="FP47" s="373">
        <f>FO47</f>
      </c>
      <c r="FQ47" s="947">
        <f>FP47+CF!FQ14</f>
      </c>
      <c r="FR47" s="947">
        <f>FQ47+CF!FR14</f>
      </c>
      <c r="FS47" s="947">
        <f>FR47+CF!FS14</f>
      </c>
      <c r="FT47" s="947">
        <f>FS47+CF!FT14</f>
      </c>
      <c r="FU47" s="373">
        <f>FT47</f>
      </c>
      <c r="FV47" s="947">
        <f>FU47+CF!FV14</f>
      </c>
      <c r="FW47" s="947">
        <f>FV47+CF!FW14</f>
      </c>
      <c r="FX47" s="947">
        <f>FW47+CF!FX14</f>
      </c>
      <c r="FY47" s="947">
        <f>FX47+CF!FY14</f>
      </c>
      <c r="FZ47" s="373">
        <f>FY47</f>
      </c>
      <c r="GA47" s="947">
        <f>FZ47+CF!GA14</f>
      </c>
      <c r="GB47" s="947">
        <f>GA47+CF!GB14</f>
      </c>
      <c r="GC47" s="947">
        <f>GB47+CF!GC14</f>
      </c>
      <c r="GD47" s="947">
        <f>GC47+CF!GD14</f>
      </c>
      <c r="GE47" s="373">
        <f>GD47</f>
      </c>
      <c r="GF47" s="947">
        <f>GE47+CF!GF14</f>
      </c>
      <c r="GG47" s="947">
        <f>GF47+CF!GG14</f>
      </c>
      <c r="GH47" s="947">
        <f>GG47+CF!GH14</f>
      </c>
      <c r="GI47" s="947">
        <f>GH47+CF!GI14</f>
      </c>
      <c r="GJ47" s="373">
        <f>GI47</f>
      </c>
    </row>
    <row r="48" spans="1:192" s="277" customFormat="1" ht="12.75" customHeight="1">
      <c r="A48" s="274"/>
      <c r="B48" s="704" t="s">
        <v>104</v>
      </c>
      <c r="C48" s="448">
        <v>2824</v>
      </c>
      <c r="D48" s="448">
        <v>2744</v>
      </c>
      <c r="E48" s="448">
        <v>3068</v>
      </c>
      <c r="F48" s="448">
        <v>3328</v>
      </c>
      <c r="G48" s="373">
        <f>F48</f>
      </c>
      <c r="H48" s="448">
        <v>3567</v>
      </c>
      <c r="I48" s="448">
        <v>3895</v>
      </c>
      <c r="J48" s="448">
        <v>3917</v>
      </c>
      <c r="K48" s="448">
        <v>3984</v>
      </c>
      <c r="L48" s="373">
        <f>K48</f>
      </c>
      <c r="M48" s="448">
        <v>4057</v>
      </c>
      <c r="N48" s="448">
        <v>5121</v>
      </c>
      <c r="O48" s="448">
        <v>4118</v>
      </c>
      <c r="P48" s="448">
        <v>5288</v>
      </c>
      <c r="Q48" s="373">
        <f>P48</f>
      </c>
      <c r="R48" s="448">
        <v>4854</v>
      </c>
      <c r="S48" s="448">
        <v>5260</v>
      </c>
      <c r="T48" s="448">
        <v>6712</v>
      </c>
      <c r="U48" s="448">
        <v>7622</v>
      </c>
      <c r="V48" s="373">
        <f>U48</f>
      </c>
      <c r="W48" s="448">
        <v>8983</v>
      </c>
      <c r="X48" s="448">
        <v>11155</v>
      </c>
      <c r="Y48" s="448">
        <v>12324</v>
      </c>
      <c r="Z48" s="448">
        <v>13614</v>
      </c>
      <c r="AA48" s="373">
        <f>Z48</f>
      </c>
      <c r="AB48" s="448">
        <v>14482</v>
      </c>
      <c r="AC48" s="448">
        <v>15711</v>
      </c>
      <c r="AD48" s="448">
        <v>18817</v>
      </c>
      <c r="AE48" s="448">
        <v>18173</v>
      </c>
      <c r="AF48" s="373">
        <f>AE48</f>
      </c>
      <c r="AG48" s="448">
        <v>18682</v>
      </c>
      <c r="AH48" s="448">
        <v>19244</v>
      </c>
      <c r="AI48" s="448">
        <v>20443</v>
      </c>
      <c r="AJ48" s="448">
        <v>18899</v>
      </c>
      <c r="AK48" s="373">
        <f>AJ48</f>
      </c>
      <c r="AL48" s="448">
        <v>19209</v>
      </c>
      <c r="AM48" s="448">
        <v>21373</v>
      </c>
      <c r="AN48" s="448">
        <v>23396</v>
      </c>
      <c r="AO48" s="448">
        <v>20533</v>
      </c>
      <c r="AP48" s="373">
        <f>AO48</f>
      </c>
      <c r="AQ48" s="448">
        <v>20503</v>
      </c>
      <c r="AR48" s="448">
        <v>22207</v>
      </c>
      <c r="AS48" s="448">
        <v>23950</v>
      </c>
      <c r="AT48" s="448">
        <v>25676</v>
      </c>
      <c r="AU48" s="373">
        <f>AT48</f>
      </c>
      <c r="AV48" s="448">
        <v>15382</v>
      </c>
      <c r="AW48" s="448">
        <v>16667</v>
      </c>
      <c r="AX48" s="448">
        <v>16605</v>
      </c>
      <c r="AY48" s="448">
        <v>18429</v>
      </c>
      <c r="AZ48" s="373">
        <f>AY48</f>
      </c>
      <c r="BA48" s="448">
        <v>19172</v>
      </c>
      <c r="BB48" s="448">
        <v>-11171</v>
      </c>
      <c r="BC48" s="448">
        <v>-11456</v>
      </c>
      <c r="BD48" s="448">
        <v>-12298</v>
      </c>
      <c r="BE48" s="373">
        <f>BD48</f>
      </c>
      <c r="BF48" s="448">
        <v>-12535</v>
      </c>
      <c r="BG48" s="448">
        <v>-15932</v>
      </c>
      <c r="BH48" s="448">
        <v>-17812</v>
      </c>
      <c r="BI48" s="448">
        <v>-18901</v>
      </c>
      <c r="BJ48" s="373">
        <f>BI48</f>
      </c>
      <c r="BK48" s="448">
        <v>-21556</v>
      </c>
      <c r="BL48" s="448">
        <v>-24518</v>
      </c>
      <c r="BM48" s="448">
        <v>-25854</v>
      </c>
      <c r="BN48" s="448">
        <v>-29460</v>
      </c>
      <c r="BO48" s="373">
        <f>BN48</f>
      </c>
      <c r="BP48" s="448">
        <v>-28564</v>
      </c>
      <c r="BQ48" s="448">
        <v>-28097</v>
      </c>
      <c r="BR48" s="448">
        <v>-25821</v>
      </c>
      <c r="BS48" s="448">
        <v>-26563</v>
      </c>
      <c r="BT48" s="373">
        <f>BS48</f>
      </c>
      <c r="BU48" s="448">
        <v>-28061</v>
      </c>
      <c r="BV48" s="448">
        <v>-26914</v>
      </c>
      <c r="BW48" s="448">
        <v>-24953</v>
      </c>
      <c r="BX48" s="448">
        <v>-22824</v>
      </c>
      <c r="BY48" s="373">
        <f>BX48</f>
      </c>
      <c r="BZ48" s="448">
        <v>-21081</v>
      </c>
      <c r="CA48" s="448">
        <v>-18283</v>
      </c>
      <c r="CB48" s="448">
        <v>-16807</v>
      </c>
      <c r="CC48" s="448">
        <v>-16681</v>
      </c>
      <c r="CD48" s="373">
        <f>CC48</f>
      </c>
      <c r="CE48" s="448">
        <v>-14993</v>
      </c>
      <c r="CF48" s="448">
        <v>-13165</v>
      </c>
      <c r="CG48" s="448">
        <v>-9782</v>
      </c>
      <c r="CH48" s="448">
        <v>-6332</v>
      </c>
      <c r="CI48" s="373">
        <f>CH48</f>
      </c>
      <c r="CJ48" s="448">
        <v>-4101</v>
      </c>
      <c r="CK48" s="448">
        <v>219</v>
      </c>
      <c r="CL48" s="448">
        <v>3386</v>
      </c>
      <c r="CM48" s="448">
        <v>566</v>
      </c>
      <c r="CN48" s="373">
        <f>CM48</f>
      </c>
      <c r="CO48" s="448">
        <v>932</v>
      </c>
      <c r="CP48" s="448">
        <v>4236</v>
      </c>
      <c r="CQ48" s="448">
        <v>7657</v>
      </c>
      <c r="CR48" s="448">
        <v>9895</v>
      </c>
      <c r="CS48" s="373">
        <f>CR48</f>
      </c>
      <c r="CT48" s="448">
        <v>11680</v>
      </c>
      <c r="CU48" s="448">
        <v>14347</v>
      </c>
      <c r="CV48" s="448">
        <v>16289</v>
      </c>
      <c r="CW48" s="448">
        <v>17710</v>
      </c>
      <c r="CX48" s="373">
        <f>CW48</f>
      </c>
      <c r="CY48" s="448">
        <v>18051</v>
      </c>
      <c r="CZ48" s="448">
        <v>19731</v>
      </c>
      <c r="DA48" s="448">
        <v>18186</v>
      </c>
      <c r="DB48" s="448">
        <v>9096</v>
      </c>
      <c r="DC48" s="373">
        <f>DB48</f>
      </c>
      <c r="DD48" s="448">
        <v>7614</v>
      </c>
      <c r="DE48" s="448">
        <v>6728</v>
      </c>
      <c r="DF48" s="448">
        <v>4954</v>
      </c>
      <c r="DG48" s="448">
        <v>2282</v>
      </c>
      <c r="DH48" s="373">
        <f>DG48</f>
      </c>
      <c r="DI48" s="496">
        <f>944+12090</f>
      </c>
      <c r="DJ48" s="496">
        <f>120+13020</f>
      </c>
      <c r="DK48" s="448">
        <f>531+13762</f>
      </c>
      <c r="DL48" s="448">
        <f>2648+15317</f>
      </c>
      <c r="DM48" s="373">
        <f>DL48</f>
      </c>
      <c r="DN48" s="448">
        <v>19702</v>
      </c>
      <c r="DO48" s="448">
        <v>8567</v>
      </c>
      <c r="DP48" s="448">
        <v>9974</v>
      </c>
      <c r="DQ48" s="448">
        <v>13682</v>
      </c>
      <c r="DR48" s="373">
        <f>DQ48</f>
      </c>
      <c r="DS48" s="448">
        <v>17279</v>
      </c>
      <c r="DT48" s="448">
        <v>16585</v>
      </c>
      <c r="DU48" s="448">
        <v>18338</v>
      </c>
      <c r="DV48" s="448">
        <v>24150</v>
      </c>
      <c r="DW48" s="373">
        <f>DV48</f>
      </c>
      <c r="DX48" s="448">
        <v>27240</v>
      </c>
      <c r="DY48" s="448">
        <v>30739</v>
      </c>
      <c r="DZ48" s="448">
        <v>32012</v>
      </c>
      <c r="EA48" s="448">
        <v>34566</v>
      </c>
      <c r="EB48" s="373">
        <f>EA48</f>
      </c>
      <c r="EC48" s="448">
        <v>39193</v>
      </c>
      <c r="ED48" s="448">
        <v>44973</v>
      </c>
      <c r="EE48" s="448">
        <v>50735</v>
      </c>
      <c r="EF48" s="448">
        <v>57055</v>
      </c>
      <c r="EG48" s="373">
        <f>EF48</f>
      </c>
      <c r="EH48" s="448">
        <v>66944</v>
      </c>
      <c r="EI48" s="448">
        <v>75045</v>
      </c>
      <c r="EJ48" s="448">
        <v>79633</v>
      </c>
      <c r="EK48" s="448">
        <v>84281</v>
      </c>
      <c r="EL48" s="373">
        <f>EK48</f>
      </c>
      <c r="EM48" s="448">
        <v>92374</v>
      </c>
      <c r="EN48" s="448">
        <v>99368</v>
      </c>
      <c r="EO48" s="448">
        <v>108234</v>
      </c>
      <c r="EP48" s="448">
        <v>118848</v>
      </c>
      <c r="EQ48" s="373">
        <f>EP48</f>
      </c>
      <c r="ER48" s="939">
        <v>132143</v>
      </c>
      <c r="ES48" s="448">
        <v>145737</v>
      </c>
      <c r="ET48" s="496">
        <v>159394</v>
      </c>
      <c r="EU48" s="496">
        <v>173144</v>
      </c>
      <c r="EV48" s="373">
        <f>EU48</f>
      </c>
      <c r="EW48" s="496">
        <v>188929</v>
      </c>
      <c r="EX48" s="496">
        <v>203482</v>
      </c>
      <c r="EY48" s="496">
        <v>219759</v>
      </c>
      <c r="EZ48" s="496">
        <v>237731</v>
      </c>
      <c r="FA48" s="373">
        <f>EZ48</f>
      </c>
      <c r="FB48" s="447">
        <f>FA48+IS!FB139+'Share Count'!FB34+'Share Count'!FB22</f>
      </c>
      <c r="FC48" s="447">
        <f>FB48+IS!FC139+'Share Count'!FC34+'Share Count'!FC22</f>
      </c>
      <c r="FD48" s="447">
        <f>FC48+IS!FD139+'Share Count'!FD34+'Share Count'!FD22</f>
      </c>
      <c r="FE48" s="447">
        <f>FD48+IS!FE139+'Share Count'!FE34+'Share Count'!FE22</f>
      </c>
      <c r="FF48" s="373">
        <f>FE48</f>
      </c>
      <c r="FG48" s="447">
        <f>FF48+IS!FG139+'Share Count'!FG34+'Share Count'!FG22</f>
      </c>
      <c r="FH48" s="447">
        <f>FG48+IS!FH139+'Share Count'!FH34+'Share Count'!FH22</f>
      </c>
      <c r="FI48" s="447">
        <f>FH48+IS!FI139+'Share Count'!FI34+'Share Count'!FI22</f>
      </c>
      <c r="FJ48" s="447">
        <f>FI48+IS!FJ139+'Share Count'!FJ34+'Share Count'!FJ22</f>
      </c>
      <c r="FK48" s="373">
        <f>FJ48</f>
      </c>
      <c r="FL48" s="447">
        <f>FK48+IS!FL139+'Share Count'!FL34+'Share Count'!FL22</f>
      </c>
      <c r="FM48" s="447">
        <f>FL48+IS!FM139+'Share Count'!FM34+'Share Count'!FM22</f>
      </c>
      <c r="FN48" s="447">
        <f>FM48+IS!FN139+'Share Count'!FN34+'Share Count'!FN22</f>
      </c>
      <c r="FO48" s="447">
        <f>FN48+IS!FO139+'Share Count'!FO34+'Share Count'!FO22</f>
      </c>
      <c r="FP48" s="373">
        <f>FO48</f>
      </c>
      <c r="FQ48" s="447">
        <f>FP48+IS!FQ139+'Share Count'!FQ34+'Share Count'!FQ22</f>
      </c>
      <c r="FR48" s="447">
        <f>FQ48+IS!FR139+'Share Count'!FR34+'Share Count'!FR22</f>
      </c>
      <c r="FS48" s="447">
        <f>FR48+IS!FS139+'Share Count'!FS34+'Share Count'!FS22</f>
      </c>
      <c r="FT48" s="447">
        <f>FS48+IS!FT139+'Share Count'!FT34+'Share Count'!FT22</f>
      </c>
      <c r="FU48" s="373">
        <f>FT48</f>
      </c>
      <c r="FV48" s="447">
        <f>FU48+IS!FV139+'Share Count'!FV34+'Share Count'!FV22</f>
      </c>
      <c r="FW48" s="447">
        <f>FV48+IS!FW139+'Share Count'!FW34+'Share Count'!FW22</f>
      </c>
      <c r="FX48" s="447">
        <f>FW48+IS!FX139+'Share Count'!FX34+'Share Count'!FX22</f>
      </c>
      <c r="FY48" s="447">
        <f>FX48+IS!FY139+'Share Count'!FY34+'Share Count'!FY22</f>
      </c>
      <c r="FZ48" s="373">
        <f>FY48</f>
      </c>
      <c r="GA48" s="447">
        <f>FZ48+IS!GA139+'Share Count'!GA34+'Share Count'!GA22</f>
      </c>
      <c r="GB48" s="447">
        <f>GA48+IS!GB139+'Share Count'!GB34+'Share Count'!GB22</f>
      </c>
      <c r="GC48" s="447">
        <f>GB48+IS!GC139+'Share Count'!GC34+'Share Count'!GC22</f>
      </c>
      <c r="GD48" s="447">
        <f>GC48+IS!GD139+'Share Count'!GD34+'Share Count'!GD22</f>
      </c>
      <c r="GE48" s="373">
        <f>GD48</f>
      </c>
      <c r="GF48" s="447">
        <f>GE48+IS!GF139+'Share Count'!GF34+'Share Count'!GF22</f>
      </c>
      <c r="GG48" s="447">
        <f>GF48+IS!GG139+'Share Count'!GG34+'Share Count'!GG22</f>
      </c>
      <c r="GH48" s="447">
        <f>GG48+IS!GH139+'Share Count'!GH34+'Share Count'!GH22</f>
      </c>
      <c r="GI48" s="447">
        <f>GH48+IS!GI139+'Share Count'!GI34+'Share Count'!GI22</f>
      </c>
      <c r="GJ48" s="373">
        <f>GI48</f>
      </c>
    </row>
    <row r="49" spans="1:192" s="277" customFormat="1" ht="12.75" customHeight="1">
      <c r="A49" s="274"/>
      <c r="B49" s="704" t="s">
        <v>105</v>
      </c>
      <c r="C49" s="448">
        <v>0</v>
      </c>
      <c r="D49" s="448">
        <v>0</v>
      </c>
      <c r="E49" s="448">
        <v>0</v>
      </c>
      <c r="F49" s="448">
        <v>0</v>
      </c>
      <c r="G49" s="373">
        <f>F49</f>
      </c>
      <c r="H49" s="448">
        <v>0</v>
      </c>
      <c r="I49" s="448">
        <v>0</v>
      </c>
      <c r="J49" s="448">
        <v>0</v>
      </c>
      <c r="K49" s="448">
        <v>0</v>
      </c>
      <c r="L49" s="373">
        <f>K49</f>
      </c>
      <c r="M49" s="448">
        <v>0</v>
      </c>
      <c r="N49" s="448">
        <v>0</v>
      </c>
      <c r="O49" s="448">
        <v>0</v>
      </c>
      <c r="P49" s="448">
        <v>0</v>
      </c>
      <c r="Q49" s="373">
        <f>P49</f>
      </c>
      <c r="R49" s="448">
        <v>0</v>
      </c>
      <c r="S49" s="448">
        <v>0</v>
      </c>
      <c r="T49" s="448">
        <v>0</v>
      </c>
      <c r="U49" s="448">
        <v>0</v>
      </c>
      <c r="V49" s="373">
        <f>U49</f>
      </c>
      <c r="W49" s="448">
        <v>0</v>
      </c>
      <c r="X49" s="448">
        <v>0</v>
      </c>
      <c r="Y49" s="448">
        <v>0</v>
      </c>
      <c r="Z49" s="448">
        <v>0</v>
      </c>
      <c r="AA49" s="373">
        <f>Z49</f>
      </c>
      <c r="AB49" s="448">
        <v>0</v>
      </c>
      <c r="AC49" s="448">
        <v>0</v>
      </c>
      <c r="AD49" s="448">
        <v>0</v>
      </c>
      <c r="AE49" s="448">
        <v>0</v>
      </c>
      <c r="AF49" s="373">
        <f>AE49</f>
      </c>
      <c r="AG49" s="448">
        <v>0</v>
      </c>
      <c r="AH49" s="448">
        <v>0</v>
      </c>
      <c r="AI49" s="448">
        <v>0</v>
      </c>
      <c r="AJ49" s="448">
        <v>0</v>
      </c>
      <c r="AK49" s="373">
        <f>AJ49</f>
      </c>
      <c r="AL49" s="448">
        <v>0</v>
      </c>
      <c r="AM49" s="448">
        <v>0</v>
      </c>
      <c r="AN49" s="448">
        <v>0</v>
      </c>
      <c r="AO49" s="448">
        <v>0</v>
      </c>
      <c r="AP49" s="373">
        <f>AO49</f>
      </c>
      <c r="AQ49" s="448">
        <v>0</v>
      </c>
      <c r="AR49" s="448">
        <v>0</v>
      </c>
      <c r="AS49" s="448">
        <v>0</v>
      </c>
      <c r="AT49" s="448">
        <v>0</v>
      </c>
      <c r="AU49" s="373">
        <f>AT49</f>
      </c>
      <c r="AV49" s="448">
        <v>0</v>
      </c>
      <c r="AW49" s="448">
        <v>0</v>
      </c>
      <c r="AX49" s="448">
        <v>0</v>
      </c>
      <c r="AY49" s="448">
        <v>0</v>
      </c>
      <c r="AZ49" s="373">
        <f>AY49</f>
      </c>
      <c r="BA49" s="448">
        <v>0</v>
      </c>
      <c r="BB49" s="448">
        <v>0</v>
      </c>
      <c r="BC49" s="448">
        <v>0</v>
      </c>
      <c r="BD49" s="448">
        <v>0</v>
      </c>
      <c r="BE49" s="373">
        <f>BD49</f>
      </c>
      <c r="BF49" s="448">
        <v>0</v>
      </c>
      <c r="BG49" s="448">
        <v>0</v>
      </c>
      <c r="BH49" s="448">
        <v>0</v>
      </c>
      <c r="BI49" s="448">
        <v>0</v>
      </c>
      <c r="BJ49" s="373">
        <f>BI49</f>
      </c>
      <c r="BK49" s="448">
        <v>0</v>
      </c>
      <c r="BL49" s="448">
        <v>0</v>
      </c>
      <c r="BM49" s="448">
        <v>0</v>
      </c>
      <c r="BN49" s="448">
        <v>0</v>
      </c>
      <c r="BO49" s="373">
        <f>BN49</f>
      </c>
      <c r="BP49" s="448">
        <v>0</v>
      </c>
      <c r="BQ49" s="448">
        <v>0</v>
      </c>
      <c r="BR49" s="448">
        <v>0</v>
      </c>
      <c r="BS49" s="448">
        <v>0</v>
      </c>
      <c r="BT49" s="373">
        <f>BS49</f>
      </c>
      <c r="BU49" s="633">
        <v>0</v>
      </c>
      <c r="BV49" s="633">
        <v>0</v>
      </c>
      <c r="BW49" s="633">
        <v>0</v>
      </c>
      <c r="BX49" s="633">
        <v>0</v>
      </c>
      <c r="BY49" s="373">
        <f>BX49</f>
      </c>
      <c r="BZ49" s="448">
        <v>0</v>
      </c>
      <c r="CA49" s="448">
        <v>0</v>
      </c>
      <c r="CB49" s="448">
        <v>0</v>
      </c>
      <c r="CC49" s="448">
        <v>0</v>
      </c>
      <c r="CD49" s="373">
        <f>CC49</f>
      </c>
      <c r="CE49" s="448">
        <v>0</v>
      </c>
      <c r="CF49" s="448">
        <v>0</v>
      </c>
      <c r="CG49" s="448">
        <v>0</v>
      </c>
      <c r="CH49" s="448">
        <v>0</v>
      </c>
      <c r="CI49" s="373">
        <f>CH49</f>
      </c>
      <c r="CJ49" s="448">
        <v>0</v>
      </c>
      <c r="CK49" s="448">
        <v>0</v>
      </c>
      <c r="CL49" s="448">
        <v>0</v>
      </c>
      <c r="CM49" s="448">
        <v>0</v>
      </c>
      <c r="CN49" s="373">
        <f>CM49</f>
      </c>
      <c r="CO49" s="448">
        <v>1820</v>
      </c>
      <c r="CP49" s="448">
        <v>2006</v>
      </c>
      <c r="CQ49" s="448">
        <v>2205</v>
      </c>
      <c r="CR49" s="448">
        <v>1743</v>
      </c>
      <c r="CS49" s="373">
        <f>CR49</f>
      </c>
      <c r="CT49" s="448">
        <v>2731</v>
      </c>
      <c r="CU49" s="448">
        <v>3277</v>
      </c>
      <c r="CV49" s="448">
        <v>3332</v>
      </c>
      <c r="CW49" s="448">
        <v>3708</v>
      </c>
      <c r="CX49" s="373">
        <f>CW49</f>
      </c>
      <c r="CY49" s="448">
        <v>3757</v>
      </c>
      <c r="CZ49" s="448">
        <v>3383</v>
      </c>
      <c r="DA49" s="448">
        <v>3471</v>
      </c>
      <c r="DB49" s="448">
        <v>2522</v>
      </c>
      <c r="DC49" s="373">
        <f>DB49</f>
      </c>
      <c r="DD49" s="448">
        <v>1738</v>
      </c>
      <c r="DE49" s="448">
        <v>1773</v>
      </c>
      <c r="DF49" s="448">
        <v>1840</v>
      </c>
      <c r="DG49" s="448">
        <v>1537</v>
      </c>
      <c r="DH49" s="373">
        <f>DG49</f>
      </c>
      <c r="DI49" s="448">
        <v>1681</v>
      </c>
      <c r="DJ49" s="448">
        <v>512</v>
      </c>
      <c r="DK49" s="448">
        <v>644</v>
      </c>
      <c r="DL49" s="448">
        <v>431</v>
      </c>
      <c r="DM49" s="373">
        <f>DL49</f>
      </c>
      <c r="DN49" s="448">
        <v>526</v>
      </c>
      <c r="DO49" s="448">
        <v>-399</v>
      </c>
      <c r="DP49" s="448">
        <v>-1153</v>
      </c>
      <c r="DQ49" s="448">
        <v>-2187</v>
      </c>
      <c r="DR49" s="373">
        <f>DQ49</f>
      </c>
      <c r="DS49" s="448">
        <v>-2615</v>
      </c>
      <c r="DT49" s="448">
        <v>-2013</v>
      </c>
      <c r="DU49" s="448">
        <v>-1265</v>
      </c>
      <c r="DV49" s="448">
        <v>-340</v>
      </c>
      <c r="DW49" s="373">
        <f>DV49</f>
      </c>
      <c r="DX49" s="448">
        <v>-61</v>
      </c>
      <c r="DY49" s="448">
        <v>-255</v>
      </c>
      <c r="DZ49" s="448">
        <v>2676</v>
      </c>
      <c r="EA49" s="448">
        <v>3186</v>
      </c>
      <c r="EB49" s="373">
        <f>EA49</f>
      </c>
      <c r="EC49" s="448">
        <v>3110</v>
      </c>
      <c r="ED49" s="448">
        <v>3367</v>
      </c>
      <c r="EE49" s="448">
        <v>1462</v>
      </c>
      <c r="EF49" s="448">
        <v>1822</v>
      </c>
      <c r="EG49" s="373">
        <f>EF49</f>
      </c>
      <c r="EH49" s="448">
        <v>1283</v>
      </c>
      <c r="EI49" s="448">
        <v>437</v>
      </c>
      <c r="EJ49" s="448">
        <v>-2476</v>
      </c>
      <c r="EK49" s="448">
        <v>-4678</v>
      </c>
      <c r="EL49" s="373">
        <f>EK49</f>
      </c>
      <c r="EM49" s="448">
        <v>-7343</v>
      </c>
      <c r="EN49" s="448">
        <v>-6457</v>
      </c>
      <c r="EO49" s="448">
        <v>-5644</v>
      </c>
      <c r="EP49" s="448">
        <v>-6343</v>
      </c>
      <c r="EQ49" s="373">
        <f>EP49</f>
      </c>
      <c r="ER49" s="939">
        <v>-6937</v>
      </c>
      <c r="ES49" s="448">
        <v>-4949</v>
      </c>
      <c r="ET49" s="496">
        <v>-5435</v>
      </c>
      <c r="EU49" s="496">
        <v>-5590</v>
      </c>
      <c r="EV49" s="373">
        <f>EU49</f>
      </c>
      <c r="EW49" s="496">
        <v>-4182</v>
      </c>
      <c r="EX49" s="496">
        <v>-5616</v>
      </c>
      <c r="EY49" s="496">
        <v>-4833</v>
      </c>
      <c r="EZ49" s="496">
        <v>-3347</v>
      </c>
      <c r="FA49" s="373">
        <f>EZ49</f>
      </c>
      <c r="FB49" s="447">
        <f>FA49</f>
      </c>
      <c r="FC49" s="447">
        <f>FB49</f>
      </c>
      <c r="FD49" s="447">
        <f>FC49</f>
      </c>
      <c r="FE49" s="447">
        <f>FD49</f>
      </c>
      <c r="FF49" s="373">
        <f>FE49</f>
      </c>
      <c r="FG49" s="447">
        <f>FF49</f>
      </c>
      <c r="FH49" s="447">
        <f>FG49</f>
      </c>
      <c r="FI49" s="447">
        <f>FH49</f>
      </c>
      <c r="FJ49" s="447">
        <f>FI49</f>
      </c>
      <c r="FK49" s="373">
        <f>FJ49</f>
      </c>
      <c r="FL49" s="447">
        <f>FK49</f>
      </c>
      <c r="FM49" s="447">
        <f>FL49</f>
      </c>
      <c r="FN49" s="447">
        <f>FM49</f>
      </c>
      <c r="FO49" s="447">
        <f>FN49</f>
      </c>
      <c r="FP49" s="373">
        <f>FO49</f>
      </c>
      <c r="FQ49" s="447">
        <f>FP49</f>
      </c>
      <c r="FR49" s="447">
        <f>FQ49</f>
      </c>
      <c r="FS49" s="447">
        <f>FR49</f>
      </c>
      <c r="FT49" s="447">
        <f>FS49</f>
      </c>
      <c r="FU49" s="373">
        <f>FT49</f>
      </c>
      <c r="FV49" s="447">
        <f>FU49</f>
      </c>
      <c r="FW49" s="447">
        <f>FV49</f>
      </c>
      <c r="FX49" s="447">
        <f>FW49</f>
      </c>
      <c r="FY49" s="447">
        <f>FX49</f>
      </c>
      <c r="FZ49" s="373">
        <f>FY49</f>
      </c>
      <c r="GA49" s="447">
        <f>FZ49</f>
      </c>
      <c r="GB49" s="447">
        <f>GA49</f>
      </c>
      <c r="GC49" s="447">
        <f>GB49</f>
      </c>
      <c r="GD49" s="447">
        <f>GC49</f>
      </c>
      <c r="GE49" s="373">
        <f>GD49</f>
      </c>
      <c r="GF49" s="447">
        <f>GE49</f>
      </c>
      <c r="GG49" s="447">
        <f>GF49</f>
      </c>
      <c r="GH49" s="447">
        <f>GG49</f>
      </c>
      <c r="GI49" s="447">
        <f>GH49</f>
      </c>
      <c r="GJ49" s="373">
        <f>GI49</f>
      </c>
    </row>
    <row r="50" spans="1:192" s="277" customFormat="1" ht="12.75" customHeight="1">
      <c r="A50" s="280"/>
      <c r="B50" s="706" t="s">
        <v>86</v>
      </c>
      <c r="C50" s="931">
        <f>SUM(C47:C49)</f>
      </c>
      <c r="D50" s="931">
        <f>SUM(D47:D49)</f>
      </c>
      <c r="E50" s="931">
        <f>SUM(E47:E49)</f>
      </c>
      <c r="F50" s="931">
        <f>SUM(F47:F49)</f>
      </c>
      <c r="G50" s="655">
        <f>F50</f>
      </c>
      <c r="H50" s="931">
        <f>SUM(H47:H49)</f>
      </c>
      <c r="I50" s="931">
        <f>SUM(I47:I49)</f>
      </c>
      <c r="J50" s="931">
        <f>SUM(J47:J49)</f>
      </c>
      <c r="K50" s="931">
        <f>SUM(K47:K49)</f>
      </c>
      <c r="L50" s="655">
        <f>K50</f>
      </c>
      <c r="M50" s="931">
        <f>SUM(M47:M49)</f>
      </c>
      <c r="N50" s="931">
        <f>SUM(N47:N49)</f>
      </c>
      <c r="O50" s="931">
        <f>SUM(O47:O49)</f>
      </c>
      <c r="P50" s="931">
        <f>SUM(P47:P49)</f>
      </c>
      <c r="Q50" s="655">
        <f>P50</f>
      </c>
      <c r="R50" s="931">
        <f>SUM(R47:R49)</f>
      </c>
      <c r="S50" s="931">
        <f>SUM(S47:S49)</f>
      </c>
      <c r="T50" s="931">
        <f>SUM(T47:T49)</f>
      </c>
      <c r="U50" s="931">
        <f>SUM(U47:U49)</f>
      </c>
      <c r="V50" s="655">
        <f>U50</f>
      </c>
      <c r="W50" s="931">
        <f>SUM(W47:W49)</f>
      </c>
      <c r="X50" s="931">
        <f>SUM(X47:X49)</f>
      </c>
      <c r="Y50" s="931">
        <f>SUM(Y47:Y49)</f>
      </c>
      <c r="Z50" s="931">
        <f>SUM(Z47:Z49)</f>
      </c>
      <c r="AA50" s="655">
        <f>Z50</f>
      </c>
      <c r="AB50" s="931">
        <f>SUM(AB47:AB49)</f>
      </c>
      <c r="AC50" s="931">
        <f>SUM(AC47:AC49)</f>
      </c>
      <c r="AD50" s="931">
        <f>SUM(AD47:AD49)</f>
      </c>
      <c r="AE50" s="931">
        <f>SUM(AE47:AE49)</f>
      </c>
      <c r="AF50" s="655">
        <f>AE50</f>
      </c>
      <c r="AG50" s="931">
        <f>SUM(AG47:AG49)</f>
      </c>
      <c r="AH50" s="931">
        <f>SUM(AH47:AH49)</f>
      </c>
      <c r="AI50" s="931">
        <f>SUM(AI47:AI49)</f>
      </c>
      <c r="AJ50" s="931">
        <f>SUM(AJ47:AJ49)</f>
      </c>
      <c r="AK50" s="655">
        <f>AJ50</f>
      </c>
      <c r="AL50" s="931">
        <f>SUM(AL47:AL49)</f>
      </c>
      <c r="AM50" s="931">
        <f>SUM(AM47:AM49)</f>
      </c>
      <c r="AN50" s="931">
        <f>SUM(AN47:AN49)</f>
      </c>
      <c r="AO50" s="931">
        <f>SUM(AO47:AO49)</f>
      </c>
      <c r="AP50" s="655">
        <f>AO50</f>
      </c>
      <c r="AQ50" s="931">
        <f>SUM(AQ47:AQ49)</f>
      </c>
      <c r="AR50" s="931">
        <f>SUM(AR47:AR49)</f>
      </c>
      <c r="AS50" s="931">
        <f>SUM(AS47:AS49)</f>
      </c>
      <c r="AT50" s="931">
        <f>SUM(AT47:AT49)</f>
      </c>
      <c r="AU50" s="655">
        <f>AT50</f>
      </c>
      <c r="AV50" s="931">
        <f>SUM(AV47:AV49)</f>
      </c>
      <c r="AW50" s="931">
        <f>SUM(AW47:AW49)</f>
      </c>
      <c r="AX50" s="931">
        <f>SUM(AX47:AX49)</f>
      </c>
      <c r="AY50" s="931">
        <f>SUM(AY47:AY49)</f>
      </c>
      <c r="AZ50" s="655">
        <f>AY50</f>
      </c>
      <c r="BA50" s="931">
        <f>SUM(BA47:BA49)</f>
      </c>
      <c r="BB50" s="931">
        <f>SUM(BB47:BB49)</f>
      </c>
      <c r="BC50" s="931">
        <f>SUM(BC47:BC49)</f>
      </c>
      <c r="BD50" s="931">
        <f>SUM(BD47:BD49)</f>
      </c>
      <c r="BE50" s="655">
        <f>BD50</f>
      </c>
      <c r="BF50" s="931">
        <f>SUM(BF47:BF49)</f>
      </c>
      <c r="BG50" s="931">
        <f>SUM(BG47:BG49)</f>
      </c>
      <c r="BH50" s="931">
        <f>SUM(BH47:BH49)</f>
      </c>
      <c r="BI50" s="931">
        <f>SUM(BI47:BI49)</f>
      </c>
      <c r="BJ50" s="655">
        <f>BI50</f>
      </c>
      <c r="BK50" s="931">
        <f>SUM(BK47:BK49)</f>
      </c>
      <c r="BL50" s="931">
        <f>SUM(BL47:BL49)</f>
      </c>
      <c r="BM50" s="931">
        <f>SUM(BM47:BM49)</f>
      </c>
      <c r="BN50" s="931">
        <f>SUM(BN47:BN49)</f>
      </c>
      <c r="BO50" s="655">
        <f>BN50</f>
      </c>
      <c r="BP50" s="931">
        <f>SUM(BP47:BP49)</f>
      </c>
      <c r="BQ50" s="931">
        <f>SUM(BQ47:BQ49)</f>
      </c>
      <c r="BR50" s="931">
        <f>SUM(BR47:BR49)</f>
      </c>
      <c r="BS50" s="931">
        <f>SUM(BS47:BS49)</f>
      </c>
      <c r="BT50" s="655">
        <f>BS50</f>
      </c>
      <c r="BU50" s="931">
        <f>SUM(BU47:BU49)</f>
      </c>
      <c r="BV50" s="931">
        <f>SUM(BV47:BV49)</f>
      </c>
      <c r="BW50" s="931">
        <f>SUM(BW47:BW49)</f>
      </c>
      <c r="BX50" s="931">
        <f>SUM(BX47:BX49)</f>
      </c>
      <c r="BY50" s="655">
        <f>BX50</f>
      </c>
      <c r="BZ50" s="931">
        <f>SUM(BZ47:BZ49)</f>
      </c>
      <c r="CA50" s="931">
        <f>SUM(CA47:CA49)</f>
      </c>
      <c r="CB50" s="931">
        <f>SUM(CB47:CB49)</f>
      </c>
      <c r="CC50" s="931">
        <f>SUM(CC47:CC49)</f>
      </c>
      <c r="CD50" s="655">
        <f>CC50</f>
      </c>
      <c r="CE50" s="931">
        <f>SUM(CE47:CE49)</f>
      </c>
      <c r="CF50" s="931">
        <f>SUM(CF47:CF49)</f>
      </c>
      <c r="CG50" s="931">
        <f>SUM(CG47:CG49)</f>
      </c>
      <c r="CH50" s="931">
        <f>SUM(CH47:CH49)</f>
      </c>
      <c r="CI50" s="655">
        <f>CH50</f>
      </c>
      <c r="CJ50" s="931">
        <f>SUM(CJ47:CJ49)</f>
      </c>
      <c r="CK50" s="931">
        <f>SUM(CK47:CK49)</f>
      </c>
      <c r="CL50" s="931">
        <f>SUM(CL47:CL49)</f>
      </c>
      <c r="CM50" s="931">
        <f>SUM(CM47:CM49)</f>
      </c>
      <c r="CN50" s="655">
        <f>CM50</f>
      </c>
      <c r="CO50" s="931">
        <f>SUM(CO47:CO49)</f>
      </c>
      <c r="CP50" s="931">
        <f>SUM(CP47:CP49)</f>
      </c>
      <c r="CQ50" s="931">
        <f>SUM(CQ47:CQ49)</f>
      </c>
      <c r="CR50" s="931">
        <f>SUM(CR47:CR49)</f>
      </c>
      <c r="CS50" s="655">
        <f>CR50</f>
      </c>
      <c r="CT50" s="931">
        <f>SUM(CT47:CT49)</f>
      </c>
      <c r="CU50" s="931">
        <f>SUM(CU47:CU49)</f>
      </c>
      <c r="CV50" s="931">
        <f>SUM(CV47:CV49)</f>
      </c>
      <c r="CW50" s="931">
        <f>SUM(CW47:CW49)</f>
      </c>
      <c r="CX50" s="655">
        <f>CW50</f>
      </c>
      <c r="CY50" s="931">
        <f>SUM(CY47:CY49)</f>
      </c>
      <c r="CZ50" s="931">
        <f>SUM(CZ47:CZ49)</f>
      </c>
      <c r="DA50" s="931">
        <f>SUM(DA47:DA49)</f>
      </c>
      <c r="DB50" s="931">
        <f>SUM(DB47:DB49)</f>
      </c>
      <c r="DC50" s="655">
        <f>DB50</f>
      </c>
      <c r="DD50" s="931">
        <f>SUM(DD47:DD49)</f>
      </c>
      <c r="DE50" s="931">
        <f>SUM(DE47:DE49)</f>
      </c>
      <c r="DF50" s="931">
        <f>SUM(DF47:DF49)</f>
      </c>
      <c r="DG50" s="931">
        <f>SUM(DG47:DG49)</f>
      </c>
      <c r="DH50" s="655">
        <f>DG50</f>
      </c>
      <c r="DI50" s="931">
        <f>SUM(DI47:DI49)</f>
      </c>
      <c r="DJ50" s="931">
        <f>SUM(DJ47:DJ49)</f>
      </c>
      <c r="DK50" s="931">
        <f>SUM(DK47:DK49)</f>
      </c>
      <c r="DL50" s="931">
        <f>SUM(DL47:DL49)</f>
      </c>
      <c r="DM50" s="655">
        <f>DL50</f>
      </c>
      <c r="DN50" s="931">
        <f>SUM(DN47:DN49)</f>
      </c>
      <c r="DO50" s="931">
        <f>SUM(DO47:DO49)</f>
      </c>
      <c r="DP50" s="931">
        <f>SUM(DP47:DP49)</f>
      </c>
      <c r="DQ50" s="931">
        <f>SUM(DQ47:DQ49)</f>
      </c>
      <c r="DR50" s="655">
        <f>DQ50</f>
      </c>
      <c r="DS50" s="931">
        <f>SUM(DS47:DS49)</f>
      </c>
      <c r="DT50" s="931">
        <f>SUM(DT47:DT49)</f>
      </c>
      <c r="DU50" s="931">
        <f>SUM(DU47:DU49)</f>
      </c>
      <c r="DV50" s="931">
        <f>SUM(DV47:DV49)</f>
      </c>
      <c r="DW50" s="655">
        <f>DV50</f>
      </c>
      <c r="DX50" s="931">
        <f>SUM(DX47:DX49)</f>
      </c>
      <c r="DY50" s="931">
        <f>SUM(DY47:DY49)</f>
      </c>
      <c r="DZ50" s="931">
        <f>SUM(DZ47:DZ49)</f>
      </c>
      <c r="EA50" s="931">
        <f>SUM(EA47:EA49)</f>
      </c>
      <c r="EB50" s="655">
        <f>EA50</f>
      </c>
      <c r="EC50" s="931">
        <f>SUM(EC47:EC49)</f>
      </c>
      <c r="ED50" s="931">
        <f>SUM(ED47:ED49)</f>
      </c>
      <c r="EE50" s="931">
        <f>SUM(EE47:EE49)</f>
      </c>
      <c r="EF50" s="931">
        <f>SUM(EF47:EF49)</f>
      </c>
      <c r="EG50" s="655">
        <f>EF50</f>
      </c>
      <c r="EH50" s="931">
        <f>SUM(EH47:EH49)</f>
      </c>
      <c r="EI50" s="931">
        <f>SUM(EI47:EI49)</f>
      </c>
      <c r="EJ50" s="931">
        <f>SUM(EJ47:EJ49)</f>
      </c>
      <c r="EK50" s="931">
        <f>SUM(EK47:EK49)</f>
      </c>
      <c r="EL50" s="655">
        <f>EK50</f>
      </c>
      <c r="EM50" s="931">
        <f>SUM(EM47:EM49)</f>
      </c>
      <c r="EN50" s="931">
        <f>SUM(EN47:EN49)</f>
      </c>
      <c r="EO50" s="931">
        <f>SUM(EO47:EO49)</f>
      </c>
      <c r="EP50" s="931">
        <f>SUM(EP47:EP49)</f>
      </c>
      <c r="EQ50" s="655">
        <f>EP50</f>
      </c>
      <c r="ER50" s="941">
        <f>SUM(ER47:ER49)</f>
      </c>
      <c r="ES50" s="931">
        <f>SUM(ES47:ES49)</f>
      </c>
      <c r="ET50" s="931">
        <f>SUM(ET47:ET49)</f>
      </c>
      <c r="EU50" s="931">
        <f>SUM(EU47:EU49)</f>
      </c>
      <c r="EV50" s="655">
        <f>EU50</f>
      </c>
      <c r="EW50" s="931">
        <f>SUM(EW47:EW49)</f>
      </c>
      <c r="EX50" s="931">
        <f>SUM(EX47:EX49)</f>
      </c>
      <c r="EY50" s="1404">
        <f>SUM(EY47:EY49)</f>
      </c>
      <c r="EZ50" s="931">
        <f>SUM(EZ47:EZ49)</f>
      </c>
      <c r="FA50" s="655">
        <f>EZ50</f>
      </c>
      <c r="FB50" s="931">
        <f>SUM(FB47:FB49)</f>
      </c>
      <c r="FC50" s="931">
        <f>SUM(FC47:FC49)</f>
      </c>
      <c r="FD50" s="931">
        <f>SUM(FD47:FD49)</f>
      </c>
      <c r="FE50" s="931">
        <f>SUM(FE47:FE49)</f>
      </c>
      <c r="FF50" s="655">
        <f>FE50</f>
      </c>
      <c r="FG50" s="931">
        <f>SUM(FG47:FG49)</f>
      </c>
      <c r="FH50" s="931">
        <f>SUM(FH47:FH49)</f>
      </c>
      <c r="FI50" s="931">
        <f>SUM(FI47:FI49)</f>
      </c>
      <c r="FJ50" s="931">
        <f>SUM(FJ47:FJ49)</f>
      </c>
      <c r="FK50" s="655">
        <f>FJ50</f>
      </c>
      <c r="FL50" s="931">
        <f>SUM(FL47:FL49)</f>
      </c>
      <c r="FM50" s="931">
        <f>SUM(FM47:FM49)</f>
      </c>
      <c r="FN50" s="931">
        <f>SUM(FN47:FN49)</f>
      </c>
      <c r="FO50" s="931">
        <f>SUM(FO47:FO49)</f>
      </c>
      <c r="FP50" s="655">
        <f>FO50</f>
      </c>
      <c r="FQ50" s="931">
        <f>SUM(FQ47:FQ49)</f>
      </c>
      <c r="FR50" s="931">
        <f>SUM(FR47:FR49)</f>
      </c>
      <c r="FS50" s="931">
        <f>SUM(FS47:FS49)</f>
      </c>
      <c r="FT50" s="931">
        <f>SUM(FT47:FT49)</f>
      </c>
      <c r="FU50" s="655">
        <f>FT50</f>
      </c>
      <c r="FV50" s="931">
        <f>SUM(FV47:FV49)</f>
      </c>
      <c r="FW50" s="931">
        <f>SUM(FW47:FW49)</f>
      </c>
      <c r="FX50" s="931">
        <f>SUM(FX47:FX49)</f>
      </c>
      <c r="FY50" s="931">
        <f>SUM(FY47:FY49)</f>
      </c>
      <c r="FZ50" s="655">
        <f>FY50</f>
      </c>
      <c r="GA50" s="931">
        <f>SUM(GA47:GA49)</f>
      </c>
      <c r="GB50" s="931">
        <f>SUM(GB47:GB49)</f>
      </c>
      <c r="GC50" s="931">
        <f>SUM(GC47:GC49)</f>
      </c>
      <c r="GD50" s="931">
        <f>SUM(GD47:GD49)</f>
      </c>
      <c r="GE50" s="655">
        <f>GD50</f>
      </c>
      <c r="GF50" s="931">
        <f>SUM(GF47:GF49)</f>
      </c>
      <c r="GG50" s="931">
        <f>SUM(GG47:GG49)</f>
      </c>
      <c r="GH50" s="931">
        <f>SUM(GH47:GH49)</f>
      </c>
      <c r="GI50" s="931">
        <f>SUM(GI47:GI49)</f>
      </c>
      <c r="GJ50" s="655">
        <f>GI50</f>
      </c>
    </row>
    <row r="51" spans="1:192" s="277" customFormat="1" ht="12.75" customHeight="1">
      <c r="A51" s="280"/>
      <c r="B51" s="706" t="s">
        <v>87</v>
      </c>
      <c r="C51" s="931">
        <f>SUM(C36:C43,C50)</f>
      </c>
      <c r="D51" s="931">
        <f>SUM(D36:D43,D50)</f>
      </c>
      <c r="E51" s="931">
        <f>SUM(E36:E43,E50)</f>
      </c>
      <c r="F51" s="931">
        <f>SUM(F36:F43,F50)</f>
      </c>
      <c r="G51" s="655">
        <f>F51</f>
      </c>
      <c r="H51" s="931">
        <f>SUM(H36:H43,H50)</f>
      </c>
      <c r="I51" s="931">
        <f>SUM(I36:I43,I50)</f>
      </c>
      <c r="J51" s="931">
        <f>SUM(J36:J43,J50)</f>
      </c>
      <c r="K51" s="931">
        <f>SUM(K36:K43,K50)</f>
      </c>
      <c r="L51" s="655">
        <f>K51</f>
      </c>
      <c r="M51" s="931">
        <f>SUM(M36:M43,M50)</f>
      </c>
      <c r="N51" s="931">
        <f>SUM(N36:N43,N50)</f>
      </c>
      <c r="O51" s="931">
        <f>SUM(O36:O43,O50)</f>
      </c>
      <c r="P51" s="931">
        <f>SUM(P36:P43,P50)</f>
      </c>
      <c r="Q51" s="655">
        <f>P51</f>
      </c>
      <c r="R51" s="931">
        <f>SUM(R36:R43,R50)</f>
      </c>
      <c r="S51" s="931">
        <f>SUM(S36:S43,S50)</f>
      </c>
      <c r="T51" s="931">
        <f>SUM(T36:T43,T50)</f>
      </c>
      <c r="U51" s="931">
        <f>SUM(U36:U43,U50)</f>
      </c>
      <c r="V51" s="655">
        <f>U51</f>
      </c>
      <c r="W51" s="931">
        <f>SUM(W36:W43,W50)</f>
      </c>
      <c r="X51" s="931">
        <f>SUM(X36:X43,X50)</f>
      </c>
      <c r="Y51" s="931">
        <f>SUM(Y36:Y43,Y50)</f>
      </c>
      <c r="Z51" s="931">
        <f>SUM(Z36:Z43,Z50)</f>
      </c>
      <c r="AA51" s="655">
        <f>Z51</f>
      </c>
      <c r="AB51" s="931">
        <f>SUM(AB36:AB43,AB50)</f>
      </c>
      <c r="AC51" s="931">
        <f>SUM(AC36:AC43,AC50)</f>
      </c>
      <c r="AD51" s="931">
        <f>SUM(AD36:AD43,AD50)</f>
      </c>
      <c r="AE51" s="931">
        <f>SUM(AE36:AE43,AE50)</f>
      </c>
      <c r="AF51" s="655">
        <f>AE51</f>
      </c>
      <c r="AG51" s="931">
        <f>SUM(AG36:AG43,AG50)</f>
      </c>
      <c r="AH51" s="931">
        <f>SUM(AH36:AH43,AH50)</f>
      </c>
      <c r="AI51" s="931">
        <f>SUM(AI36:AI43,AI50)</f>
      </c>
      <c r="AJ51" s="931">
        <f>SUM(AJ36:AJ43,AJ50)</f>
      </c>
      <c r="AK51" s="655">
        <f>AJ51</f>
      </c>
      <c r="AL51" s="931">
        <f>SUM(AL36:AL43,AL50)</f>
      </c>
      <c r="AM51" s="931">
        <f>SUM(AM36:AM43,AM50)</f>
      </c>
      <c r="AN51" s="931">
        <f>SUM(AN36:AN43,AN50)</f>
      </c>
      <c r="AO51" s="931">
        <f>SUM(AO36:AO43,AO50)</f>
      </c>
      <c r="AP51" s="655">
        <f>AO51</f>
      </c>
      <c r="AQ51" s="931">
        <f>SUM(AQ36:AQ43,AQ50)</f>
      </c>
      <c r="AR51" s="931">
        <f>SUM(AR36:AR43,AR50)</f>
      </c>
      <c r="AS51" s="931">
        <f>SUM(AS36:AS43,AS50)</f>
      </c>
      <c r="AT51" s="931">
        <f>SUM(AT36:AT43,AT50)</f>
      </c>
      <c r="AU51" s="655">
        <f>AT51</f>
      </c>
      <c r="AV51" s="931">
        <f>SUM(AV36:AV43,AV50)</f>
      </c>
      <c r="AW51" s="931">
        <f>SUM(AW36:AW43,AW50)</f>
      </c>
      <c r="AX51" s="931">
        <f>SUM(AX36:AX43,AX50)</f>
      </c>
      <c r="AY51" s="931">
        <f>SUM(AY36:AY43,AY50)</f>
      </c>
      <c r="AZ51" s="655">
        <f>AY51</f>
      </c>
      <c r="BA51" s="931">
        <f>SUM(BA36:BA43,BA50)</f>
      </c>
      <c r="BB51" s="931">
        <f>SUM(BB36:BB43,BB50)</f>
      </c>
      <c r="BC51" s="931">
        <f>SUM(BC36:BC43,BC50)</f>
      </c>
      <c r="BD51" s="931">
        <f>SUM(BD36:BD43,BD50)</f>
      </c>
      <c r="BE51" s="655">
        <f>BD51</f>
      </c>
      <c r="BF51" s="931">
        <f>SUM(BF36:BF43,BF50)</f>
      </c>
      <c r="BG51" s="931">
        <f>SUM(BG36:BG43,BG50)</f>
      </c>
      <c r="BH51" s="931">
        <f>SUM(BH36:BH43,BH50)</f>
      </c>
      <c r="BI51" s="931">
        <f>SUM(BI36:BI43,BI50)</f>
      </c>
      <c r="BJ51" s="655">
        <f>BI51</f>
      </c>
      <c r="BK51" s="931">
        <f>SUM(BK36:BK43,BK50)</f>
      </c>
      <c r="BL51" s="931">
        <f>SUM(BL36:BL43,BL50)</f>
      </c>
      <c r="BM51" s="931">
        <f>SUM(BM36:BM43,BM50)</f>
      </c>
      <c r="BN51" s="931">
        <f>SUM(BN36:BN43,BN50)</f>
      </c>
      <c r="BO51" s="655">
        <f>BN51</f>
      </c>
      <c r="BP51" s="931">
        <f>SUM(BP36:BP43,BP50)</f>
      </c>
      <c r="BQ51" s="931">
        <f>SUM(BQ36:BQ43,BQ50)</f>
      </c>
      <c r="BR51" s="931">
        <f>SUM(BR36:BR43,BR50)</f>
      </c>
      <c r="BS51" s="931">
        <f>SUM(BS36:BS43,BS50)</f>
      </c>
      <c r="BT51" s="655">
        <f>BS51</f>
      </c>
      <c r="BU51" s="931">
        <f>SUM(BU36:BU43,BU50)</f>
      </c>
      <c r="BV51" s="931">
        <f>SUM(BV36:BV43,BV50)</f>
      </c>
      <c r="BW51" s="931">
        <f>SUM(BW36:BW43,BW50)</f>
      </c>
      <c r="BX51" s="931">
        <f>SUM(BX36:BX43,BX50)</f>
      </c>
      <c r="BY51" s="655">
        <f>BX51</f>
      </c>
      <c r="BZ51" s="931">
        <f>SUM(BZ36:BZ43,BZ50)</f>
      </c>
      <c r="CA51" s="931">
        <f>SUM(CA36:CA43,CA50)</f>
      </c>
      <c r="CB51" s="931">
        <f>SUM(CB36:CB43,CB50)</f>
      </c>
      <c r="CC51" s="931">
        <f>SUM(CC36:CC43,CC50)</f>
      </c>
      <c r="CD51" s="655">
        <f>CC51</f>
      </c>
      <c r="CE51" s="931">
        <f>SUM(CE36:CE43,CE50)</f>
      </c>
      <c r="CF51" s="931">
        <f>SUM(CF36:CF43,CF50)</f>
      </c>
      <c r="CG51" s="931">
        <f>SUM(CG36:CG43,CG50)</f>
      </c>
      <c r="CH51" s="931">
        <f>SUM(CH36:CH43,CH50)</f>
      </c>
      <c r="CI51" s="655">
        <f>CH51</f>
      </c>
      <c r="CJ51" s="931">
        <f>SUM(CJ36:CJ43,CJ50)</f>
      </c>
      <c r="CK51" s="931">
        <f>SUM(CK36:CK43,CK50)</f>
      </c>
      <c r="CL51" s="931">
        <f>SUM(CL36:CL43,CL50)</f>
      </c>
      <c r="CM51" s="931">
        <f>SUM(CM36:CM43,CM50)</f>
      </c>
      <c r="CN51" s="655">
        <f>CM51</f>
      </c>
      <c r="CO51" s="931">
        <f>SUM(CO36:CO43,CO50)</f>
      </c>
      <c r="CP51" s="931">
        <f>SUM(CP36:CP43,CP50)</f>
      </c>
      <c r="CQ51" s="931">
        <f>SUM(CQ36:CQ43,CQ50)</f>
      </c>
      <c r="CR51" s="931">
        <f>SUM(CR36:CR43,CR50)</f>
      </c>
      <c r="CS51" s="655">
        <f>CR51</f>
      </c>
      <c r="CT51" s="931">
        <f>SUM(CT36:CT43,CT50)</f>
      </c>
      <c r="CU51" s="931">
        <f>SUM(CU36:CU43,CU50)</f>
      </c>
      <c r="CV51" s="931">
        <f>SUM(CV36:CV43,CV50)</f>
      </c>
      <c r="CW51" s="931">
        <f>SUM(CW36:CW43,CW50)</f>
      </c>
      <c r="CX51" s="655">
        <f>CW51</f>
      </c>
      <c r="CY51" s="931">
        <f>SUM(CY36:CY43,CY50)</f>
      </c>
      <c r="CZ51" s="931">
        <f>SUM(CZ36:CZ43,CZ50)</f>
      </c>
      <c r="DA51" s="931">
        <f>SUM(DA36:DA43,DA50)</f>
      </c>
      <c r="DB51" s="931">
        <f>SUM(DB36:DB43,DB50)</f>
      </c>
      <c r="DC51" s="655">
        <f>DB51</f>
      </c>
      <c r="DD51" s="931">
        <f>SUM(DD36:DD43,DD50)</f>
      </c>
      <c r="DE51" s="931">
        <f>SUM(DE36:DE43,DE50)</f>
      </c>
      <c r="DF51" s="931">
        <f>SUM(DF36:DF43,DF50)</f>
      </c>
      <c r="DG51" s="931">
        <f>SUM(DG36:DG43,DG50)</f>
      </c>
      <c r="DH51" s="655">
        <f>DG51</f>
      </c>
      <c r="DI51" s="931">
        <f>SUM(DI36:DI43,DI50)</f>
      </c>
      <c r="DJ51" s="931">
        <f>SUM(DJ36:DJ43,DJ50)</f>
      </c>
      <c r="DK51" s="931">
        <f>SUM(DK36:DK43,DK50)</f>
      </c>
      <c r="DL51" s="931">
        <f>SUM(DL36:DL43,DL50)</f>
      </c>
      <c r="DM51" s="655">
        <f>DL51</f>
      </c>
      <c r="DN51" s="931">
        <f>SUM(DN36:DN43,DN50)</f>
      </c>
      <c r="DO51" s="931">
        <f>SUM(DO36:DO43,DO50)</f>
      </c>
      <c r="DP51" s="931">
        <f>SUM(DP36:DP43,DP50)</f>
      </c>
      <c r="DQ51" s="931">
        <f>SUM(DQ36:DQ43,DQ50)</f>
      </c>
      <c r="DR51" s="655">
        <f>DQ51</f>
      </c>
      <c r="DS51" s="931">
        <f>SUM(DS36:DS43,DS50)</f>
      </c>
      <c r="DT51" s="931">
        <f>SUM(DT36:DT43,DT50)</f>
      </c>
      <c r="DU51" s="931">
        <f>SUM(DU36:DU43,DU50)</f>
      </c>
      <c r="DV51" s="931">
        <f>SUM(DV36:DV43,DV50)</f>
      </c>
      <c r="DW51" s="655">
        <f>DV51</f>
      </c>
      <c r="DX51" s="931">
        <f>SUM(DX36:DX43,DX50)</f>
      </c>
      <c r="DY51" s="931">
        <f>SUM(DY36:DY43,DY50)</f>
      </c>
      <c r="DZ51" s="931">
        <f>SUM(DZ36:DZ43,DZ50)</f>
      </c>
      <c r="EA51" s="931">
        <f>SUM(EA36:EA43,EA50)</f>
      </c>
      <c r="EB51" s="655">
        <f>EA51</f>
      </c>
      <c r="EC51" s="931">
        <f>SUM(EC36:EC43,EC50)</f>
      </c>
      <c r="ED51" s="931">
        <f>SUM(ED36:ED43,ED50)</f>
      </c>
      <c r="EE51" s="931">
        <f>SUM(EE36:EE43,EE50)</f>
      </c>
      <c r="EF51" s="931">
        <f>SUM(EF36:EF43,EF50)</f>
      </c>
      <c r="EG51" s="655">
        <f>EF51</f>
      </c>
      <c r="EH51" s="931">
        <f>SUM(EH36:EH43,EH50)</f>
      </c>
      <c r="EI51" s="931">
        <f>SUM(EI36:EI43,EI50)</f>
      </c>
      <c r="EJ51" s="931">
        <f>SUM(EJ36:EJ43,EJ50)</f>
      </c>
      <c r="EK51" s="931">
        <f>SUM(EK36:EK43,EK50)</f>
      </c>
      <c r="EL51" s="655">
        <f>EK51</f>
      </c>
      <c r="EM51" s="931">
        <f>SUM(EM36:EM43,EM50)</f>
      </c>
      <c r="EN51" s="931">
        <f>SUM(EN36:EN43,EN50)</f>
      </c>
      <c r="EO51" s="931">
        <f>SUM(EO36:EO43,EO50)</f>
      </c>
      <c r="EP51" s="931">
        <f>SUM(EP36:EP43,EP50)</f>
      </c>
      <c r="EQ51" s="655">
        <f>EP51</f>
      </c>
      <c r="ER51" s="941">
        <f>SUM(ER36:ER43,ER50)</f>
      </c>
      <c r="ES51" s="931">
        <f>SUM(ES36:ES43,ES50)</f>
      </c>
      <c r="ET51" s="931">
        <f>SUM(ET36:ET43,ET50)</f>
      </c>
      <c r="EU51" s="931">
        <f>SUM(EU36:EU43,EU50)</f>
      </c>
      <c r="EV51" s="655">
        <f>EU51</f>
      </c>
      <c r="EW51" s="931">
        <f>SUM(EW36:EW43,EW50)</f>
      </c>
      <c r="EX51" s="931">
        <f>SUM(EX36:EX43,EX50)</f>
      </c>
      <c r="EY51" s="931">
        <f>SUM(EY36:EY43,EY50)</f>
      </c>
      <c r="EZ51" s="931">
        <f>SUM(EZ36:EZ43,EZ50)</f>
      </c>
      <c r="FA51" s="655">
        <f>EZ51</f>
      </c>
      <c r="FB51" s="931">
        <f>SUM(FB36:FB43,FB50)</f>
      </c>
      <c r="FC51" s="931">
        <f>SUM(FC36:FC43,FC50)</f>
      </c>
      <c r="FD51" s="931">
        <f>SUM(FD36:FD43,FD50)</f>
      </c>
      <c r="FE51" s="931">
        <f>SUM(FE36:FE43,FE50)</f>
      </c>
      <c r="FF51" s="655">
        <f>FE51</f>
      </c>
      <c r="FG51" s="931">
        <f>SUM(FG36:FG43,FG50)</f>
      </c>
      <c r="FH51" s="931">
        <f>SUM(FH36:FH43,FH50)</f>
      </c>
      <c r="FI51" s="931">
        <f>SUM(FI36:FI43,FI50)</f>
      </c>
      <c r="FJ51" s="931">
        <f>SUM(FJ36:FJ43,FJ50)</f>
      </c>
      <c r="FK51" s="655">
        <f>FJ51</f>
      </c>
      <c r="FL51" s="931">
        <f>SUM(FL36:FL43,FL50)</f>
      </c>
      <c r="FM51" s="931">
        <f>SUM(FM36:FM43,FM50)</f>
      </c>
      <c r="FN51" s="931">
        <f>SUM(FN36:FN43,FN50)</f>
      </c>
      <c r="FO51" s="931">
        <f>SUM(FO36:FO43,FO50)</f>
      </c>
      <c r="FP51" s="655">
        <f>FO51</f>
      </c>
      <c r="FQ51" s="931">
        <f>SUM(FQ36:FQ43,FQ50)</f>
      </c>
      <c r="FR51" s="931">
        <f>SUM(FR36:FR43,FR50)</f>
      </c>
      <c r="FS51" s="931">
        <f>SUM(FS36:FS43,FS50)</f>
      </c>
      <c r="FT51" s="931">
        <f>SUM(FT36:FT43,FT50)</f>
      </c>
      <c r="FU51" s="655">
        <f>FT51</f>
      </c>
      <c r="FV51" s="931">
        <f>SUM(FV36:FV43,FV50)</f>
      </c>
      <c r="FW51" s="931">
        <f>SUM(FW36:FW43,FW50)</f>
      </c>
      <c r="FX51" s="931">
        <f>SUM(FX36:FX43,FX50)</f>
      </c>
      <c r="FY51" s="931">
        <f>SUM(FY36:FY43,FY50)</f>
      </c>
      <c r="FZ51" s="655">
        <f>FY51</f>
      </c>
      <c r="GA51" s="931">
        <f>SUM(GA36:GA43,GA50)</f>
      </c>
      <c r="GB51" s="931">
        <f>SUM(GB36:GB43,GB50)</f>
      </c>
      <c r="GC51" s="931">
        <f>SUM(GC36:GC43,GC50)</f>
      </c>
      <c r="GD51" s="931">
        <f>SUM(GD36:GD43,GD50)</f>
      </c>
      <c r="GE51" s="655">
        <f>GD51</f>
      </c>
      <c r="GF51" s="931">
        <f>SUM(GF36:GF43,GF50)</f>
      </c>
      <c r="GG51" s="931">
        <f>SUM(GG36:GG43,GG50)</f>
      </c>
      <c r="GH51" s="931">
        <f>SUM(GH36:GH43,GH50)</f>
      </c>
      <c r="GI51" s="931">
        <f>SUM(GI36:GI43,GI50)</f>
      </c>
      <c r="GJ51" s="655">
        <f>GI51</f>
      </c>
    </row>
    <row r="52" spans="1:192" s="135" customFormat="1" ht="12.75" customHeight="1">
      <c r="A52" s="238"/>
      <c r="B52" s="709"/>
      <c r="C52" s="112"/>
      <c r="D52" s="239"/>
      <c r="E52" s="239"/>
      <c r="F52" s="239"/>
      <c r="G52" s="101"/>
      <c r="H52" s="112"/>
      <c r="I52" s="239"/>
      <c r="J52" s="239"/>
      <c r="K52" s="239"/>
      <c r="L52" s="101"/>
      <c r="M52" s="112"/>
      <c r="N52" s="239"/>
      <c r="O52" s="239"/>
      <c r="P52" s="239"/>
      <c r="Q52" s="101"/>
      <c r="R52" s="112"/>
      <c r="S52" s="239"/>
      <c r="T52" s="239"/>
      <c r="U52" s="239"/>
      <c r="V52" s="101"/>
      <c r="W52" s="112"/>
      <c r="X52" s="239"/>
      <c r="Y52" s="239"/>
      <c r="Z52" s="239"/>
      <c r="AA52" s="101"/>
      <c r="AB52" s="112"/>
      <c r="AC52" s="239"/>
      <c r="AD52" s="239"/>
      <c r="AE52" s="239"/>
      <c r="AF52" s="101"/>
      <c r="AG52" s="112"/>
      <c r="AH52" s="239"/>
      <c r="AI52" s="239"/>
      <c r="AJ52" s="239"/>
      <c r="AK52" s="101"/>
      <c r="AL52" s="112"/>
      <c r="AM52" s="239"/>
      <c r="AN52" s="239"/>
      <c r="AO52" s="239"/>
      <c r="AP52" s="101"/>
      <c r="AQ52" s="112"/>
      <c r="AR52" s="239"/>
      <c r="AS52" s="239"/>
      <c r="AT52" s="239"/>
      <c r="AU52" s="101"/>
      <c r="AV52" s="112"/>
      <c r="AW52" s="239"/>
      <c r="AX52" s="239"/>
      <c r="AY52" s="239"/>
      <c r="AZ52" s="101"/>
      <c r="BA52" s="112"/>
      <c r="BB52" s="239"/>
      <c r="BC52" s="239"/>
      <c r="BD52" s="239"/>
      <c r="BE52" s="101"/>
      <c r="BF52" s="112"/>
      <c r="BG52" s="239"/>
      <c r="BH52" s="239"/>
      <c r="BI52" s="239"/>
      <c r="BJ52" s="101"/>
      <c r="BK52" s="112"/>
      <c r="BL52" s="239"/>
      <c r="BM52" s="239"/>
      <c r="BN52" s="239"/>
      <c r="BO52" s="101"/>
      <c r="BP52" s="112"/>
      <c r="BQ52" s="239"/>
      <c r="BR52" s="239"/>
      <c r="BS52" s="239"/>
      <c r="BT52" s="101"/>
      <c r="BU52" s="112"/>
      <c r="BV52" s="239"/>
      <c r="BW52" s="239"/>
      <c r="BX52" s="239"/>
      <c r="BY52" s="101"/>
      <c r="BZ52" s="112"/>
      <c r="CA52" s="239"/>
      <c r="CB52" s="239"/>
      <c r="CC52" s="239"/>
      <c r="CD52" s="101"/>
      <c r="CE52" s="112"/>
      <c r="CF52" s="239"/>
      <c r="CG52" s="239"/>
      <c r="CH52" s="239"/>
      <c r="CI52" s="101"/>
      <c r="CJ52" s="112"/>
      <c r="CK52" s="239"/>
      <c r="CL52" s="239"/>
      <c r="CM52" s="239"/>
      <c r="CN52" s="101"/>
      <c r="CO52" s="112"/>
      <c r="CP52" s="239"/>
      <c r="CQ52" s="239"/>
      <c r="CR52" s="239"/>
      <c r="CS52" s="101"/>
      <c r="CT52" s="112"/>
      <c r="CU52" s="239"/>
      <c r="CV52" s="239"/>
      <c r="CW52" s="239"/>
      <c r="CX52" s="101"/>
      <c r="CY52" s="112"/>
      <c r="CZ52" s="239"/>
      <c r="DA52" s="239"/>
      <c r="DB52" s="239"/>
      <c r="DC52" s="101"/>
      <c r="DD52" s="112"/>
      <c r="DE52" s="239"/>
      <c r="DF52" s="239"/>
      <c r="DG52" s="239"/>
      <c r="DH52" s="101"/>
      <c r="DI52" s="112"/>
      <c r="DJ52" s="239"/>
      <c r="DK52" s="239"/>
      <c r="DL52" s="239"/>
      <c r="DM52" s="101"/>
      <c r="DN52" s="112"/>
      <c r="DO52" s="239"/>
      <c r="DP52" s="239"/>
      <c r="DQ52" s="239"/>
      <c r="DR52" s="101"/>
      <c r="DS52" s="112"/>
      <c r="DT52" s="239"/>
      <c r="DU52" s="239"/>
      <c r="DV52" s="239"/>
      <c r="DW52" s="101"/>
      <c r="DX52" s="112"/>
      <c r="DY52" s="239"/>
      <c r="DZ52" s="239"/>
      <c r="EA52" s="239"/>
      <c r="EB52" s="101"/>
      <c r="EC52" s="112"/>
      <c r="ED52" s="239"/>
      <c r="EE52" s="239"/>
      <c r="EF52" s="239"/>
      <c r="EG52" s="101"/>
      <c r="EH52" s="112"/>
      <c r="EI52" s="239"/>
      <c r="EJ52" s="239"/>
      <c r="EK52" s="239"/>
      <c r="EL52" s="101"/>
      <c r="EM52" s="112"/>
      <c r="EN52" s="239"/>
      <c r="EO52" s="239"/>
      <c r="EP52" s="239"/>
      <c r="EQ52" s="101"/>
      <c r="ER52" s="112"/>
      <c r="ES52" s="239"/>
      <c r="ET52" s="239"/>
      <c r="EU52" s="239"/>
      <c r="EV52" s="101"/>
      <c r="EW52" s="112"/>
      <c r="EX52" s="239"/>
      <c r="EY52" s="239"/>
      <c r="EZ52" s="239"/>
      <c r="FA52" s="101"/>
      <c r="FB52" s="112"/>
      <c r="FC52" s="239"/>
      <c r="FD52" s="239"/>
      <c r="FE52" s="239"/>
      <c r="FF52" s="101"/>
      <c r="FG52" s="112"/>
      <c r="FH52" s="239"/>
      <c r="FI52" s="239"/>
      <c r="FJ52" s="239"/>
      <c r="FK52" s="101"/>
      <c r="FL52" s="112"/>
      <c r="FM52" s="239"/>
      <c r="FN52" s="239"/>
      <c r="FO52" s="239"/>
      <c r="FP52" s="101"/>
      <c r="FQ52" s="112"/>
      <c r="FR52" s="239"/>
      <c r="FS52" s="239"/>
      <c r="FT52" s="239"/>
      <c r="FU52" s="101"/>
      <c r="FV52" s="112"/>
      <c r="FW52" s="239"/>
      <c r="FX52" s="239"/>
      <c r="FY52" s="239"/>
      <c r="FZ52" s="101"/>
      <c r="GA52" s="112"/>
      <c r="GB52" s="239"/>
      <c r="GC52" s="239"/>
      <c r="GD52" s="239"/>
      <c r="GE52" s="101"/>
      <c r="GF52" s="112"/>
      <c r="GG52" s="239"/>
      <c r="GH52" s="239"/>
      <c r="GI52" s="239"/>
      <c r="GJ52" s="101"/>
    </row>
    <row r="53" spans="1:192" s="242" customFormat="1" ht="12.75" customHeight="1">
      <c r="A53" s="240"/>
      <c r="B53" s="710" t="s">
        <v>88</v>
      </c>
      <c r="C53" s="241" t="str">
        <f t="shared" ref="C53:AH53" si="177">IF(AND(C25-C51&lt;0.001,C25-C51&gt;-0.001),"OK",C25-C51)</f>
      </c>
      <c r="D53" s="241" t="str">
        <f t="shared" si="177"/>
      </c>
      <c r="E53" s="241" t="str">
        <f t="shared" si="177"/>
      </c>
      <c r="F53" s="241" t="str">
        <f t="shared" si="177"/>
      </c>
      <c r="G53" s="108" t="str">
        <f t="shared" si="177"/>
      </c>
      <c r="H53" s="241" t="str">
        <f t="shared" si="177"/>
      </c>
      <c r="I53" s="241" t="str">
        <f t="shared" si="177"/>
      </c>
      <c r="J53" s="241" t="str">
        <f t="shared" si="177"/>
      </c>
      <c r="K53" s="241" t="str">
        <f t="shared" si="177"/>
      </c>
      <c r="L53" s="108" t="str">
        <f t="shared" si="177"/>
      </c>
      <c r="M53" s="241" t="str">
        <f t="shared" si="177"/>
      </c>
      <c r="N53" s="241" t="str">
        <f t="shared" si="177"/>
      </c>
      <c r="O53" s="241" t="str">
        <f t="shared" si="177"/>
      </c>
      <c r="P53" s="241" t="str">
        <f t="shared" si="177"/>
      </c>
      <c r="Q53" s="108" t="str">
        <f t="shared" si="177"/>
      </c>
      <c r="R53" s="241" t="str">
        <f t="shared" si="177"/>
      </c>
      <c r="S53" s="241" t="str">
        <f t="shared" si="177"/>
      </c>
      <c r="T53" s="241" t="str">
        <f t="shared" si="177"/>
      </c>
      <c r="U53" s="241" t="str">
        <f t="shared" si="177"/>
      </c>
      <c r="V53" s="108" t="str">
        <f t="shared" si="177"/>
      </c>
      <c r="W53" s="241" t="str">
        <f t="shared" si="177"/>
      </c>
      <c r="X53" s="241" t="str">
        <f t="shared" si="177"/>
      </c>
      <c r="Y53" s="241" t="str">
        <f t="shared" si="177"/>
      </c>
      <c r="Z53" s="241" t="str">
        <f t="shared" si="177"/>
      </c>
      <c r="AA53" s="108" t="str">
        <f t="shared" si="177"/>
      </c>
      <c r="AB53" s="241" t="str">
        <f t="shared" si="177"/>
      </c>
      <c r="AC53" s="241" t="str">
        <f t="shared" si="177"/>
      </c>
      <c r="AD53" s="241" t="str">
        <f t="shared" si="177"/>
      </c>
      <c r="AE53" s="241" t="str">
        <f t="shared" si="177"/>
      </c>
      <c r="AF53" s="108" t="str">
        <f t="shared" si="177"/>
      </c>
      <c r="AG53" s="241" t="str">
        <f t="shared" si="177"/>
      </c>
      <c r="AH53" s="241" t="str">
        <f t="shared" si="177"/>
      </c>
      <c r="AI53" s="241" t="str">
        <f t="shared" ref="AI53:BN53" si="178">IF(AND(AI25-AI51&lt;0.001,AI25-AI51&gt;-0.001),"OK",AI25-AI51)</f>
      </c>
      <c r="AJ53" s="241" t="str">
        <f t="shared" si="178"/>
      </c>
      <c r="AK53" s="108" t="str">
        <f t="shared" si="178"/>
      </c>
      <c r="AL53" s="241" t="str">
        <f t="shared" si="178"/>
      </c>
      <c r="AM53" s="241" t="str">
        <f t="shared" si="178"/>
      </c>
      <c r="AN53" s="241" t="str">
        <f t="shared" si="178"/>
      </c>
      <c r="AO53" s="241" t="str">
        <f t="shared" si="178"/>
      </c>
      <c r="AP53" s="108" t="str">
        <f t="shared" si="178"/>
      </c>
      <c r="AQ53" s="241" t="str">
        <f t="shared" si="178"/>
      </c>
      <c r="AR53" s="241" t="str">
        <f t="shared" si="178"/>
      </c>
      <c r="AS53" s="241" t="str">
        <f t="shared" si="178"/>
      </c>
      <c r="AT53" s="241" t="str">
        <f t="shared" si="178"/>
      </c>
      <c r="AU53" s="108" t="str">
        <f t="shared" si="178"/>
      </c>
      <c r="AV53" s="241" t="str">
        <f t="shared" si="178"/>
      </c>
      <c r="AW53" s="241" t="str">
        <f t="shared" si="178"/>
      </c>
      <c r="AX53" s="241" t="str">
        <f t="shared" si="178"/>
      </c>
      <c r="AY53" s="241" t="str">
        <f t="shared" si="178"/>
      </c>
      <c r="AZ53" s="108" t="str">
        <f t="shared" si="178"/>
      </c>
      <c r="BA53" s="241" t="str">
        <f t="shared" si="178"/>
      </c>
      <c r="BB53" s="241" t="str">
        <f t="shared" si="178"/>
      </c>
      <c r="BC53" s="241" t="str">
        <f t="shared" si="178"/>
      </c>
      <c r="BD53" s="241" t="str">
        <f t="shared" si="178"/>
      </c>
      <c r="BE53" s="108" t="str">
        <f t="shared" si="178"/>
      </c>
      <c r="BF53" s="241" t="str">
        <f t="shared" si="178"/>
      </c>
      <c r="BG53" s="241" t="str">
        <f t="shared" si="178"/>
      </c>
      <c r="BH53" s="241" t="str">
        <f t="shared" si="178"/>
      </c>
      <c r="BI53" s="241" t="str">
        <f t="shared" si="178"/>
      </c>
      <c r="BJ53" s="108" t="str">
        <f t="shared" si="178"/>
      </c>
      <c r="BK53" s="241" t="str">
        <f t="shared" si="178"/>
      </c>
      <c r="BL53" s="241" t="str">
        <f t="shared" si="178"/>
      </c>
      <c r="BM53" s="241" t="str">
        <f t="shared" si="178"/>
      </c>
      <c r="BN53" s="241" t="str">
        <f t="shared" si="178"/>
      </c>
      <c r="BO53" s="108" t="str">
        <f t="shared" ref="BO53:CT53" si="179">IF(AND(BO25-BO51&lt;0.001,BO25-BO51&gt;-0.001),"OK",BO25-BO51)</f>
      </c>
      <c r="BP53" s="241" t="str">
        <f t="shared" si="179"/>
      </c>
      <c r="BQ53" s="241" t="str">
        <f t="shared" si="179"/>
      </c>
      <c r="BR53" s="241" t="str">
        <f t="shared" si="179"/>
      </c>
      <c r="BS53" s="241" t="str">
        <f t="shared" si="179"/>
      </c>
      <c r="BT53" s="108" t="str">
        <f t="shared" si="179"/>
      </c>
      <c r="BU53" s="241" t="str">
        <f t="shared" si="179"/>
      </c>
      <c r="BV53" s="241" t="str">
        <f t="shared" si="179"/>
      </c>
      <c r="BW53" s="241" t="str">
        <f t="shared" si="179"/>
      </c>
      <c r="BX53" s="241" t="str">
        <f t="shared" si="179"/>
      </c>
      <c r="BY53" s="108" t="str">
        <f t="shared" si="179"/>
      </c>
      <c r="BZ53" s="241" t="str">
        <f t="shared" si="179"/>
      </c>
      <c r="CA53" s="241" t="str">
        <f t="shared" si="179"/>
      </c>
      <c r="CB53" s="241" t="str">
        <f t="shared" si="179"/>
      </c>
      <c r="CC53" s="241" t="str">
        <f t="shared" si="179"/>
      </c>
      <c r="CD53" s="108" t="str">
        <f t="shared" si="179"/>
      </c>
      <c r="CE53" s="241" t="str">
        <f t="shared" si="179"/>
      </c>
      <c r="CF53" s="241" t="str">
        <f t="shared" si="179"/>
      </c>
      <c r="CG53" s="241" t="str">
        <f t="shared" si="179"/>
      </c>
      <c r="CH53" s="241" t="str">
        <f t="shared" si="179"/>
      </c>
      <c r="CI53" s="108" t="str">
        <f t="shared" si="179"/>
      </c>
      <c r="CJ53" s="241" t="str">
        <f t="shared" si="179"/>
      </c>
      <c r="CK53" s="241" t="str">
        <f t="shared" si="179"/>
      </c>
      <c r="CL53" s="241" t="str">
        <f t="shared" si="179"/>
      </c>
      <c r="CM53" s="241" t="str">
        <f t="shared" si="179"/>
      </c>
      <c r="CN53" s="108" t="str">
        <f t="shared" si="179"/>
      </c>
      <c r="CO53" s="241" t="str">
        <f t="shared" si="179"/>
      </c>
      <c r="CP53" s="241" t="str">
        <f t="shared" si="179"/>
      </c>
      <c r="CQ53" s="241" t="str">
        <f t="shared" si="179"/>
      </c>
      <c r="CR53" s="241" t="str">
        <f t="shared" si="179"/>
      </c>
      <c r="CS53" s="108" t="str">
        <f t="shared" si="179"/>
      </c>
      <c r="CT53" s="241" t="str">
        <f t="shared" si="179"/>
      </c>
      <c r="CU53" s="241" t="str">
        <f t="shared" ref="CU53:DZ53" si="180">IF(AND(CU25-CU51&lt;0.001,CU25-CU51&gt;-0.001),"OK",CU25-CU51)</f>
      </c>
      <c r="CV53" s="241" t="str">
        <f t="shared" si="180"/>
      </c>
      <c r="CW53" s="241" t="str">
        <f t="shared" si="180"/>
      </c>
      <c r="CX53" s="108" t="str">
        <f t="shared" si="180"/>
      </c>
      <c r="CY53" s="241" t="str">
        <f t="shared" si="180"/>
      </c>
      <c r="CZ53" s="241" t="str">
        <f t="shared" si="180"/>
      </c>
      <c r="DA53" s="241" t="str">
        <f t="shared" si="180"/>
      </c>
      <c r="DB53" s="241" t="str">
        <f t="shared" si="180"/>
      </c>
      <c r="DC53" s="108" t="str">
        <f t="shared" si="180"/>
      </c>
      <c r="DD53" s="241" t="str">
        <f t="shared" si="180"/>
      </c>
      <c r="DE53" s="241" t="str">
        <f t="shared" si="180"/>
      </c>
      <c r="DF53" s="241" t="str">
        <f t="shared" si="180"/>
      </c>
      <c r="DG53" s="241" t="str">
        <f t="shared" si="180"/>
      </c>
      <c r="DH53" s="108" t="str">
        <f t="shared" si="180"/>
      </c>
      <c r="DI53" s="241" t="str">
        <f t="shared" si="180"/>
      </c>
      <c r="DJ53" s="241" t="str">
        <f t="shared" si="180"/>
      </c>
      <c r="DK53" s="241" t="str">
        <f t="shared" si="180"/>
      </c>
      <c r="DL53" s="241" t="str">
        <f t="shared" si="180"/>
      </c>
      <c r="DM53" s="108" t="str">
        <f t="shared" si="180"/>
      </c>
      <c r="DN53" s="241" t="str">
        <f t="shared" si="180"/>
      </c>
      <c r="DO53" s="241" t="str">
        <f t="shared" si="180"/>
      </c>
      <c r="DP53" s="241" t="str">
        <f t="shared" si="180"/>
      </c>
      <c r="DQ53" s="241" t="str">
        <f t="shared" si="180"/>
      </c>
      <c r="DR53" s="108" t="str">
        <f t="shared" si="180"/>
      </c>
      <c r="DS53" s="241" t="str">
        <f t="shared" si="180"/>
      </c>
      <c r="DT53" s="241" t="str">
        <f t="shared" si="180"/>
      </c>
      <c r="DU53" s="241" t="str">
        <f t="shared" si="180"/>
      </c>
      <c r="DV53" s="241" t="str">
        <f t="shared" si="180"/>
      </c>
      <c r="DW53" s="108" t="str">
        <f t="shared" si="180"/>
      </c>
      <c r="DX53" s="241" t="str">
        <f t="shared" si="180"/>
      </c>
      <c r="DY53" s="241" t="str">
        <f t="shared" si="180"/>
      </c>
      <c r="DZ53" s="241" t="str">
        <f t="shared" si="180"/>
      </c>
      <c r="EA53" s="241" t="str">
        <f t="shared" ref="EA53:FF53" si="181">IF(AND(EA25-EA51&lt;0.001,EA25-EA51&gt;-0.001),"OK",EA25-EA51)</f>
      </c>
      <c r="EB53" s="108" t="str">
        <f t="shared" si="181"/>
      </c>
      <c r="EC53" s="241" t="str">
        <f t="shared" si="181"/>
      </c>
      <c r="ED53" s="241" t="str">
        <f t="shared" si="181"/>
      </c>
      <c r="EE53" s="241" t="str">
        <f t="shared" si="181"/>
      </c>
      <c r="EF53" s="241" t="str">
        <f t="shared" si="181"/>
      </c>
      <c r="EG53" s="108" t="str">
        <f t="shared" si="181"/>
      </c>
      <c r="EH53" s="241" t="str">
        <f t="shared" si="181"/>
      </c>
      <c r="EI53" s="241" t="str">
        <f t="shared" si="181"/>
      </c>
      <c r="EJ53" s="241" t="str">
        <f t="shared" si="181"/>
      </c>
      <c r="EK53" s="241" t="str">
        <f t="shared" si="181"/>
      </c>
      <c r="EL53" s="108" t="str">
        <f t="shared" si="181"/>
      </c>
      <c r="EM53" s="241" t="str">
        <f t="shared" si="181"/>
      </c>
      <c r="EN53" s="241" t="str">
        <f t="shared" si="181"/>
      </c>
      <c r="EO53" s="241" t="str">
        <f t="shared" si="181"/>
      </c>
      <c r="EP53" s="241" t="str">
        <f t="shared" si="181"/>
      </c>
      <c r="EQ53" s="108" t="str">
        <f t="shared" si="181"/>
      </c>
      <c r="ER53" s="241" t="str">
        <f t="shared" si="181"/>
      </c>
      <c r="ES53" s="241" t="str">
        <f t="shared" si="181"/>
      </c>
      <c r="ET53" s="241" t="str">
        <f>IF(AND(ET25-ET51&lt;0.001,ET25-ET51&gt;-0.001),"OK",ET25-ET51)</f>
      </c>
      <c r="EU53" s="241" t="str">
        <f>IF(AND(EU25-EU51&lt;0.001,EU25-EU51&gt;-0.001),"OK",EU25-EU51)</f>
      </c>
      <c r="EV53" s="108" t="str">
        <f t="shared" si="181"/>
      </c>
      <c r="EW53" s="241" t="str">
        <f>IF(AND(EW25-EW51&lt;0.001,EW25-EW51&gt;-0.001),"OK",EW25-EW51)</f>
      </c>
      <c r="EX53" s="241" t="str">
        <f t="shared" ref="EX53" si="182">IF(AND(EX25-EX51&lt;0.001,EX25-EX51&gt;-0.001),"OK",EX25-EX51)</f>
      </c>
      <c r="EY53" s="241" t="str">
        <f>IF(AND(EY25-EY51&lt;0.001,EY25-EY51&gt;-0.001),"OK",EY25-EY51)</f>
      </c>
      <c r="EZ53" s="241" t="str">
        <f>IF(AND(EZ25-EZ51&lt;0.001,EZ25-EZ51&gt;-0.001),"OK",EZ25-EZ51)</f>
      </c>
      <c r="FA53" s="108" t="str">
        <f t="shared" ref="FA53" si="183">IF(AND(FA25-FA51&lt;0.001,FA25-FA51&gt;-0.001),"OK",FA25-FA51)</f>
      </c>
      <c r="FB53" s="241" t="str">
        <f t="shared" si="181"/>
      </c>
      <c r="FC53" s="241" t="str">
        <f t="shared" si="181"/>
      </c>
      <c r="FD53" s="241" t="str">
        <f t="shared" si="181"/>
      </c>
      <c r="FE53" s="241" t="str">
        <f t="shared" si="181"/>
      </c>
      <c r="FF53" s="108" t="str">
        <f t="shared" si="181"/>
      </c>
      <c r="FG53" s="241" t="str">
        <f t="shared" ref="FG53:FZ53" si="184">IF(AND(FG25-FG51&lt;0.001,FG25-FG51&gt;-0.001),"OK",FG25-FG51)</f>
      </c>
      <c r="FH53" s="241" t="str">
        <f t="shared" si="184"/>
      </c>
      <c r="FI53" s="241" t="str">
        <f t="shared" si="184"/>
      </c>
      <c r="FJ53" s="241" t="str">
        <f t="shared" si="184"/>
      </c>
      <c r="FK53" s="108" t="str">
        <f t="shared" si="184"/>
      </c>
      <c r="FL53" s="241" t="str">
        <f t="shared" si="184"/>
      </c>
      <c r="FM53" s="241" t="str">
        <f t="shared" si="184"/>
      </c>
      <c r="FN53" s="241" t="str">
        <f t="shared" si="184"/>
      </c>
      <c r="FO53" s="241" t="str">
        <f t="shared" si="184"/>
      </c>
      <c r="FP53" s="108" t="str">
        <f t="shared" si="184"/>
      </c>
      <c r="FQ53" s="241" t="str">
        <f t="shared" si="184"/>
      </c>
      <c r="FR53" s="241" t="str">
        <f t="shared" si="184"/>
      </c>
      <c r="FS53" s="241" t="str">
        <f t="shared" si="184"/>
      </c>
      <c r="FT53" s="241" t="str">
        <f t="shared" si="184"/>
      </c>
      <c r="FU53" s="108" t="str">
        <f t="shared" si="184"/>
      </c>
      <c r="FV53" s="241" t="str">
        <f t="shared" si="184"/>
      </c>
      <c r="FW53" s="241" t="str">
        <f t="shared" si="184"/>
      </c>
      <c r="FX53" s="241" t="str">
        <f t="shared" si="184"/>
      </c>
      <c r="FY53" s="241" t="str">
        <f t="shared" si="184"/>
      </c>
      <c r="FZ53" s="108" t="str">
        <f t="shared" si="184"/>
      </c>
      <c r="GA53" s="241" t="str">
        <f t="shared" ref="GA53:GJ53" si="185">IF(AND(GA25-GA51&lt;0.001,GA25-GA51&gt;-0.001),"OK",GA25-GA51)</f>
      </c>
      <c r="GB53" s="241" t="str">
        <f t="shared" si="185"/>
      </c>
      <c r="GC53" s="241" t="str">
        <f t="shared" si="185"/>
      </c>
      <c r="GD53" s="241" t="str">
        <f t="shared" si="185"/>
      </c>
      <c r="GE53" s="108" t="str">
        <f t="shared" si="185"/>
      </c>
      <c r="GF53" s="241">
        <f t="shared" si="185"/>
      </c>
      <c r="GG53" s="241">
        <f t="shared" si="185"/>
      </c>
      <c r="GH53" s="241">
        <f t="shared" si="185"/>
      </c>
      <c r="GI53" s="241">
        <f t="shared" si="185"/>
      </c>
      <c r="GJ53" s="108">
        <f t="shared" si="185"/>
      </c>
    </row>
    <row r="54" spans="1:192" s="93" customFormat="1" ht="12.75" customHeight="1">
      <c r="A54" s="109"/>
      <c r="B54" s="711"/>
      <c r="C54" s="111"/>
      <c r="D54" s="111"/>
      <c r="E54" s="111"/>
      <c r="F54" s="111"/>
      <c r="G54" s="101"/>
      <c r="H54" s="111"/>
      <c r="I54" s="111"/>
      <c r="J54" s="111"/>
      <c r="K54" s="111"/>
      <c r="L54" s="101"/>
      <c r="M54" s="111"/>
      <c r="N54" s="111"/>
      <c r="O54" s="111"/>
      <c r="P54" s="111"/>
      <c r="Q54" s="101"/>
      <c r="R54" s="111"/>
      <c r="S54" s="111"/>
      <c r="T54" s="111"/>
      <c r="U54" s="111"/>
      <c r="V54" s="101"/>
      <c r="W54" s="111"/>
      <c r="X54" s="111"/>
      <c r="Y54" s="111"/>
      <c r="Z54" s="111"/>
      <c r="AA54" s="101"/>
      <c r="AB54" s="111"/>
      <c r="AC54" s="111"/>
      <c r="AD54" s="111"/>
      <c r="AE54" s="111"/>
      <c r="AF54" s="101"/>
      <c r="AG54" s="111"/>
      <c r="AH54" s="111"/>
      <c r="AI54" s="111"/>
      <c r="AJ54" s="111"/>
      <c r="AK54" s="101"/>
      <c r="AL54" s="111"/>
      <c r="AM54" s="111"/>
      <c r="AN54" s="111"/>
      <c r="AO54" s="111"/>
      <c r="AP54" s="101"/>
      <c r="AQ54" s="111"/>
      <c r="AR54" s="111"/>
      <c r="AS54" s="111"/>
      <c r="AT54" s="111"/>
      <c r="AU54" s="101"/>
      <c r="AV54" s="111"/>
      <c r="AW54" s="111"/>
      <c r="AX54" s="111"/>
      <c r="AY54" s="111"/>
      <c r="AZ54" s="101"/>
      <c r="BA54" s="111"/>
      <c r="BB54" s="111"/>
      <c r="BC54" s="111"/>
      <c r="BD54" s="111"/>
      <c r="BE54" s="101"/>
      <c r="BF54" s="111"/>
      <c r="BG54" s="111"/>
      <c r="BH54" s="111"/>
      <c r="BI54" s="111"/>
      <c r="BJ54" s="101"/>
      <c r="BK54" s="111"/>
      <c r="BL54" s="111"/>
      <c r="BM54" s="111"/>
      <c r="BN54" s="111"/>
      <c r="BO54" s="101"/>
      <c r="BP54" s="111"/>
      <c r="BQ54" s="111"/>
      <c r="BR54" s="111"/>
      <c r="BS54" s="111"/>
      <c r="BT54" s="101"/>
      <c r="BU54" s="111"/>
      <c r="BV54" s="111"/>
      <c r="BW54" s="111"/>
      <c r="BX54" s="111"/>
      <c r="BY54" s="101"/>
      <c r="BZ54" s="111"/>
      <c r="CA54" s="111"/>
      <c r="CB54" s="111"/>
      <c r="CC54" s="111"/>
      <c r="CD54" s="101"/>
      <c r="CE54" s="111"/>
      <c r="CF54" s="111"/>
      <c r="CG54" s="111"/>
      <c r="CH54" s="111"/>
      <c r="CI54" s="101"/>
      <c r="CJ54" s="111"/>
      <c r="CK54" s="111"/>
      <c r="CL54" s="111"/>
      <c r="CM54" s="111"/>
      <c r="CN54" s="101"/>
      <c r="CO54" s="111"/>
      <c r="CP54" s="111"/>
      <c r="CQ54" s="111"/>
      <c r="CR54" s="111"/>
      <c r="CS54" s="101"/>
      <c r="CT54" s="111"/>
      <c r="CU54" s="111"/>
      <c r="CV54" s="111"/>
      <c r="CW54" s="111"/>
      <c r="CX54" s="101"/>
      <c r="CY54" s="111"/>
      <c r="CZ54" s="111"/>
      <c r="DA54" s="111"/>
      <c r="DB54" s="111"/>
      <c r="DC54" s="101"/>
      <c r="DD54" s="111"/>
      <c r="DE54" s="111"/>
      <c r="DF54" s="111"/>
      <c r="DG54" s="111"/>
      <c r="DH54" s="101"/>
      <c r="DI54" s="111"/>
      <c r="DJ54" s="111"/>
      <c r="DK54" s="111"/>
      <c r="DL54" s="111"/>
      <c r="DM54" s="101"/>
      <c r="DN54" s="111"/>
      <c r="DO54" s="111"/>
      <c r="DP54" s="111"/>
      <c r="DQ54" s="111"/>
      <c r="DR54" s="101"/>
      <c r="DS54" s="111"/>
      <c r="DT54" s="111"/>
      <c r="DU54" s="111"/>
      <c r="DV54" s="111"/>
      <c r="DW54" s="101"/>
      <c r="DX54" s="111"/>
      <c r="DY54" s="111"/>
      <c r="DZ54" s="111"/>
      <c r="EA54" s="111"/>
      <c r="EB54" s="101"/>
      <c r="EC54" s="111"/>
      <c r="ED54" s="111"/>
      <c r="EE54" s="111"/>
      <c r="EF54" s="111"/>
      <c r="EG54" s="101"/>
      <c r="EH54" s="111"/>
      <c r="EI54" s="111"/>
      <c r="EJ54" s="111"/>
      <c r="EK54" s="111"/>
      <c r="EL54" s="101"/>
      <c r="EM54" s="111"/>
      <c r="EN54" s="111"/>
      <c r="EO54" s="111"/>
      <c r="EP54" s="111"/>
      <c r="EQ54" s="101"/>
      <c r="ER54" s="111"/>
      <c r="ES54" s="111"/>
      <c r="ET54" s="111"/>
      <c r="EU54" s="111"/>
      <c r="EV54" s="101"/>
      <c r="EW54" s="111"/>
      <c r="EX54" s="111"/>
      <c r="EY54" s="111"/>
      <c r="EZ54" s="111"/>
      <c r="FA54" s="101"/>
      <c r="FB54" s="111"/>
      <c r="FC54" s="111"/>
      <c r="FD54" s="111"/>
      <c r="FE54" s="111"/>
      <c r="FF54" s="101"/>
      <c r="FG54" s="111"/>
      <c r="FH54" s="111"/>
      <c r="FI54" s="111"/>
      <c r="FJ54" s="111"/>
      <c r="FK54" s="101"/>
      <c r="FL54" s="111"/>
      <c r="FM54" s="111"/>
      <c r="FN54" s="111"/>
      <c r="FO54" s="111"/>
      <c r="FP54" s="101"/>
      <c r="FQ54" s="111"/>
      <c r="FR54" s="111"/>
      <c r="FS54" s="111"/>
      <c r="FT54" s="111"/>
      <c r="FU54" s="101"/>
      <c r="FV54" s="111"/>
      <c r="FW54" s="111"/>
      <c r="FX54" s="111"/>
      <c r="FY54" s="111"/>
      <c r="FZ54" s="101"/>
      <c r="GA54" s="111"/>
      <c r="GB54" s="111"/>
      <c r="GC54" s="111"/>
      <c r="GD54" s="111"/>
      <c r="GE54" s="101"/>
      <c r="GF54" s="111"/>
      <c r="GG54" s="111"/>
      <c r="GH54" s="111"/>
      <c r="GI54" s="111"/>
      <c r="GJ54" s="101"/>
    </row>
    <row r="55" spans="1:192" s="93" customFormat="1" ht="12.75" customHeight="1">
      <c r="A55" s="109"/>
      <c r="B55" s="703" t="s">
        <v>167</v>
      </c>
      <c r="C55" s="111"/>
      <c r="D55" s="111"/>
      <c r="E55" s="111"/>
      <c r="F55" s="111"/>
      <c r="G55" s="101"/>
      <c r="H55" s="111"/>
      <c r="I55" s="111"/>
      <c r="J55" s="111"/>
      <c r="K55" s="111"/>
      <c r="L55" s="101"/>
      <c r="M55" s="111"/>
      <c r="N55" s="111"/>
      <c r="O55" s="111"/>
      <c r="P55" s="111"/>
      <c r="Q55" s="101"/>
      <c r="R55" s="111"/>
      <c r="S55" s="111"/>
      <c r="T55" s="111"/>
      <c r="U55" s="111"/>
      <c r="V55" s="101"/>
      <c r="W55" s="111"/>
      <c r="X55" s="111"/>
      <c r="Y55" s="111"/>
      <c r="Z55" s="111"/>
      <c r="AA55" s="101"/>
      <c r="AB55" s="111"/>
      <c r="AC55" s="111"/>
      <c r="AD55" s="111"/>
      <c r="AE55" s="111"/>
      <c r="AF55" s="101"/>
      <c r="AG55" s="111"/>
      <c r="AH55" s="111"/>
      <c r="AI55" s="111"/>
      <c r="AJ55" s="111"/>
      <c r="AK55" s="101"/>
      <c r="AL55" s="111"/>
      <c r="AM55" s="111"/>
      <c r="AN55" s="111"/>
      <c r="AO55" s="111"/>
      <c r="AP55" s="101"/>
      <c r="AQ55" s="111"/>
      <c r="AR55" s="111"/>
      <c r="AS55" s="111"/>
      <c r="AT55" s="111"/>
      <c r="AU55" s="101"/>
      <c r="AV55" s="111"/>
      <c r="AW55" s="111"/>
      <c r="AX55" s="111"/>
      <c r="AY55" s="111"/>
      <c r="AZ55" s="101"/>
      <c r="BA55" s="111"/>
      <c r="BB55" s="111"/>
      <c r="BC55" s="111"/>
      <c r="BD55" s="111"/>
      <c r="BE55" s="101"/>
      <c r="BF55" s="111"/>
      <c r="BG55" s="111"/>
      <c r="BH55" s="111"/>
      <c r="BI55" s="111"/>
      <c r="BJ55" s="101"/>
      <c r="BK55" s="111"/>
      <c r="BL55" s="111"/>
      <c r="BM55" s="111"/>
      <c r="BN55" s="111"/>
      <c r="BO55" s="101"/>
      <c r="BP55" s="111"/>
      <c r="BQ55" s="111"/>
      <c r="BR55" s="111"/>
      <c r="BS55" s="111"/>
      <c r="BT55" s="101"/>
      <c r="BU55" s="111"/>
      <c r="BV55" s="111"/>
      <c r="BW55" s="111"/>
      <c r="BX55" s="111"/>
      <c r="BY55" s="101"/>
      <c r="BZ55" s="111"/>
      <c r="CA55" s="111"/>
      <c r="CB55" s="111"/>
      <c r="CC55" s="111"/>
      <c r="CD55" s="101"/>
      <c r="CE55" s="111"/>
      <c r="CF55" s="111"/>
      <c r="CG55" s="111"/>
      <c r="CH55" s="111"/>
      <c r="CI55" s="101"/>
      <c r="CJ55" s="111"/>
      <c r="CK55" s="111"/>
      <c r="CL55" s="111"/>
      <c r="CM55" s="111"/>
      <c r="CN55" s="101"/>
      <c r="CO55" s="111"/>
      <c r="CP55" s="111"/>
      <c r="CQ55" s="111"/>
      <c r="CR55" s="111"/>
      <c r="CS55" s="101"/>
      <c r="CT55" s="111"/>
      <c r="CU55" s="111"/>
      <c r="CV55" s="111"/>
      <c r="CW55" s="111"/>
      <c r="CX55" s="101"/>
      <c r="CY55" s="111"/>
      <c r="CZ55" s="111"/>
      <c r="DA55" s="111"/>
      <c r="DB55" s="111"/>
      <c r="DC55" s="101"/>
      <c r="DD55" s="111"/>
      <c r="DE55" s="111"/>
      <c r="DF55" s="111"/>
      <c r="DG55" s="111"/>
      <c r="DH55" s="101"/>
      <c r="DI55" s="111"/>
      <c r="DJ55" s="111"/>
      <c r="DK55" s="111"/>
      <c r="DL55" s="111"/>
      <c r="DM55" s="101"/>
      <c r="DN55" s="111"/>
      <c r="DO55" s="111"/>
      <c r="DP55" s="111"/>
      <c r="DQ55" s="111"/>
      <c r="DR55" s="101"/>
      <c r="DS55" s="111"/>
      <c r="DT55" s="111"/>
      <c r="DU55" s="111"/>
      <c r="DV55" s="111"/>
      <c r="DW55" s="101"/>
      <c r="DX55" s="111"/>
      <c r="DY55" s="111"/>
      <c r="DZ55" s="111"/>
      <c r="EA55" s="111"/>
      <c r="EB55" s="101"/>
      <c r="EC55" s="111"/>
      <c r="ED55" s="111"/>
      <c r="EE55" s="111"/>
      <c r="EF55" s="111"/>
      <c r="EG55" s="101"/>
      <c r="EH55" s="111"/>
      <c r="EI55" s="111"/>
      <c r="EJ55" s="111"/>
      <c r="EK55" s="111"/>
      <c r="EL55" s="101"/>
      <c r="EM55" s="111"/>
      <c r="EN55" s="111"/>
      <c r="EO55" s="111"/>
      <c r="EP55" s="111"/>
      <c r="EQ55" s="101"/>
      <c r="ER55" s="111"/>
      <c r="ES55" s="111"/>
      <c r="ET55" s="111"/>
      <c r="EU55" s="111"/>
      <c r="EV55" s="101"/>
      <c r="EW55" s="111"/>
      <c r="EX55" s="111"/>
      <c r="EY55" s="111"/>
      <c r="EZ55" s="111"/>
      <c r="FA55" s="101"/>
      <c r="FB55" s="111"/>
      <c r="FC55" s="111"/>
      <c r="FD55" s="111"/>
      <c r="FE55" s="111"/>
      <c r="FF55" s="101"/>
      <c r="FG55" s="111"/>
      <c r="FH55" s="111"/>
      <c r="FI55" s="111"/>
      <c r="FJ55" s="111"/>
      <c r="FK55" s="101"/>
      <c r="FL55" s="111"/>
      <c r="FM55" s="111"/>
      <c r="FN55" s="111"/>
      <c r="FO55" s="111"/>
      <c r="FP55" s="101"/>
      <c r="FQ55" s="111"/>
      <c r="FR55" s="111"/>
      <c r="FS55" s="111"/>
      <c r="FT55" s="111"/>
      <c r="FU55" s="101"/>
      <c r="FV55" s="111"/>
      <c r="FW55" s="111"/>
      <c r="FX55" s="111"/>
      <c r="FY55" s="111"/>
      <c r="FZ55" s="101"/>
      <c r="GA55" s="111"/>
      <c r="GB55" s="111"/>
      <c r="GC55" s="111"/>
      <c r="GD55" s="111"/>
      <c r="GE55" s="101"/>
      <c r="GF55" s="111"/>
      <c r="GG55" s="111"/>
      <c r="GH55" s="111"/>
      <c r="GI55" s="111"/>
      <c r="GJ55" s="101"/>
    </row>
    <row r="56" spans="1:192" s="277" customFormat="1" ht="12.75" hidden="1" customHeight="1" outlineLevel="1">
      <c r="A56" s="357"/>
      <c r="B56" s="712" t="s">
        <v>32</v>
      </c>
      <c r="C56" s="358">
        <f>IS!C24</f>
      </c>
      <c r="D56" s="358">
        <f>IS!D24</f>
      </c>
      <c r="E56" s="358">
        <f>IS!E24</f>
      </c>
      <c r="F56" s="358">
        <f>IS!F24</f>
      </c>
      <c r="G56" s="359">
        <f>IS!G24</f>
      </c>
      <c r="H56" s="358">
        <f>IS!H24</f>
      </c>
      <c r="I56" s="358">
        <f>IS!I24</f>
      </c>
      <c r="J56" s="358">
        <f>IS!J24</f>
      </c>
      <c r="K56" s="358">
        <f>IS!K24</f>
      </c>
      <c r="L56" s="359">
        <f>IS!L24</f>
      </c>
      <c r="M56" s="358">
        <f>IS!M24</f>
      </c>
      <c r="N56" s="358">
        <f>IS!N24</f>
      </c>
      <c r="O56" s="358">
        <f>IS!O24</f>
      </c>
      <c r="P56" s="358">
        <f>IS!P24</f>
      </c>
      <c r="Q56" s="359">
        <f>IS!Q24</f>
      </c>
      <c r="R56" s="358">
        <f>IS!R24</f>
      </c>
      <c r="S56" s="358">
        <f>IS!S24</f>
      </c>
      <c r="T56" s="358">
        <f>IS!T24</f>
      </c>
      <c r="U56" s="358">
        <f>IS!U24</f>
      </c>
      <c r="V56" s="359">
        <f>IS!V24</f>
      </c>
      <c r="W56" s="358">
        <f>IS!W24</f>
      </c>
      <c r="X56" s="358">
        <f>IS!X24</f>
      </c>
      <c r="Y56" s="358">
        <f>IS!Y24</f>
      </c>
      <c r="Z56" s="358">
        <f>IS!Z24</f>
      </c>
      <c r="AA56" s="359">
        <f>IS!AA24</f>
      </c>
      <c r="AB56" s="607">
        <f>IS!AB24</f>
      </c>
      <c r="AC56" s="358">
        <f>IS!AC24</f>
      </c>
      <c r="AD56" s="358">
        <f>IS!AD24</f>
      </c>
      <c r="AE56" s="358">
        <f>IS!AE24</f>
      </c>
      <c r="AF56" s="359">
        <f>IS!AF24</f>
      </c>
      <c r="AG56" s="358">
        <f>IS!AG24</f>
      </c>
      <c r="AH56" s="358">
        <f>IS!AH24</f>
      </c>
      <c r="AI56" s="358">
        <f>IS!AI24</f>
      </c>
      <c r="AJ56" s="358">
        <f>IS!AJ24</f>
      </c>
      <c r="AK56" s="359">
        <f>IS!AK24</f>
      </c>
      <c r="AL56" s="358">
        <f>IS!AL24</f>
      </c>
      <c r="AM56" s="358">
        <f>IS!AM24</f>
      </c>
      <c r="AN56" s="358">
        <f>IS!AN24</f>
      </c>
      <c r="AO56" s="358">
        <f>IS!AO24</f>
      </c>
      <c r="AP56" s="359">
        <f>IS!AP24</f>
      </c>
      <c r="AQ56" s="358">
        <f>IS!AQ24</f>
      </c>
      <c r="AR56" s="358">
        <f>IS!AR24</f>
      </c>
      <c r="AS56" s="358">
        <f>IS!AS24</f>
      </c>
      <c r="AT56" s="358">
        <f>IS!AT24</f>
      </c>
      <c r="AU56" s="359">
        <f>IS!AU24</f>
      </c>
      <c r="AV56" s="358">
        <f>IS!AV24</f>
      </c>
      <c r="AW56" s="358">
        <f>IS!AW24</f>
      </c>
      <c r="AX56" s="358">
        <f>IS!AX24</f>
      </c>
      <c r="AY56" s="358">
        <f>IS!AY24</f>
      </c>
      <c r="AZ56" s="359">
        <f>IS!AZ24</f>
      </c>
      <c r="BA56" s="358">
        <f>IS!BA24</f>
      </c>
      <c r="BB56" s="358">
        <f>IS!BB24</f>
      </c>
      <c r="BC56" s="358">
        <f>IS!BC24</f>
      </c>
      <c r="BD56" s="358">
        <f>IS!BD24</f>
      </c>
      <c r="BE56" s="359">
        <f>IS!BE24</f>
      </c>
      <c r="BF56" s="358">
        <f>IS!BF24</f>
      </c>
      <c r="BG56" s="358">
        <f>IS!BG24</f>
      </c>
      <c r="BH56" s="358">
        <f>IS!BH24</f>
      </c>
      <c r="BI56" s="358">
        <f>IS!BI24</f>
      </c>
      <c r="BJ56" s="359">
        <f>IS!BJ24</f>
      </c>
      <c r="BK56" s="358">
        <f>IS!BK24</f>
      </c>
      <c r="BL56" s="358">
        <f>IS!BL24</f>
      </c>
      <c r="BM56" s="358">
        <f>IS!BM24</f>
      </c>
      <c r="BN56" s="358">
        <f>IS!BN24</f>
      </c>
      <c r="BO56" s="359">
        <f>IS!BO24</f>
      </c>
      <c r="BP56" s="358">
        <f>IS!BP24</f>
      </c>
      <c r="BQ56" s="358">
        <f>IS!BQ24</f>
      </c>
      <c r="BR56" s="358">
        <f>IS!BR24</f>
      </c>
      <c r="BS56" s="358">
        <f>IS!BS24</f>
      </c>
      <c r="BT56" s="359">
        <f>IS!BT24</f>
      </c>
      <c r="BU56" s="358">
        <f>IS!BU24</f>
      </c>
      <c r="BV56" s="358">
        <f>IS!BV24</f>
      </c>
      <c r="BW56" s="358">
        <f>IS!BW24</f>
      </c>
      <c r="BX56" s="358">
        <f>IS!BX24</f>
      </c>
      <c r="BY56" s="359">
        <f>IS!BY24</f>
      </c>
      <c r="BZ56" s="358">
        <f>IS!BZ24</f>
      </c>
      <c r="CA56" s="358">
        <f>IS!CA24</f>
      </c>
      <c r="CB56" s="358">
        <f>IS!CB24</f>
      </c>
      <c r="CC56" s="358">
        <f>IS!CC24</f>
      </c>
      <c r="CD56" s="359">
        <f>IS!CD24</f>
      </c>
      <c r="CE56" s="358">
        <f>IS!CE24</f>
      </c>
      <c r="CF56" s="358">
        <f>IS!CF24</f>
      </c>
      <c r="CG56" s="358">
        <f>IS!CG24</f>
      </c>
      <c r="CH56" s="358">
        <f>IS!CH24</f>
      </c>
      <c r="CI56" s="359">
        <f>IS!CI24</f>
      </c>
      <c r="CJ56" s="358">
        <f>IS!CJ24</f>
      </c>
      <c r="CK56" s="358">
        <f>IS!CK24</f>
      </c>
      <c r="CL56" s="358">
        <f>IS!CL24</f>
      </c>
      <c r="CM56" s="358">
        <f>IS!CM24</f>
      </c>
      <c r="CN56" s="359">
        <f>IS!CN24</f>
      </c>
      <c r="CO56" s="358">
        <f>IS!CO24</f>
      </c>
      <c r="CP56" s="358">
        <f>IS!CP24</f>
      </c>
      <c r="CQ56" s="358">
        <f>IS!CQ24</f>
      </c>
      <c r="CR56" s="358">
        <f>IS!CR24</f>
      </c>
      <c r="CS56" s="359">
        <f>IS!CS24</f>
      </c>
      <c r="CT56" s="358">
        <f>IS!CT24</f>
      </c>
      <c r="CU56" s="358">
        <f>IS!CU24</f>
      </c>
      <c r="CV56" s="358">
        <f>IS!CV24</f>
      </c>
      <c r="CW56" s="358">
        <f>IS!CW24</f>
      </c>
      <c r="CX56" s="359">
        <f>IS!CX24</f>
      </c>
      <c r="CY56" s="358">
        <f>IS!CY24</f>
      </c>
      <c r="CZ56" s="358">
        <f>IS!CZ24</f>
      </c>
      <c r="DA56" s="358">
        <f>IS!DA24</f>
      </c>
      <c r="DB56" s="358">
        <f>IS!DB24</f>
      </c>
      <c r="DC56" s="359">
        <f>IS!DC24</f>
      </c>
      <c r="DD56" s="358">
        <f>IS!DD24</f>
      </c>
      <c r="DE56" s="358">
        <f>IS!DE24</f>
      </c>
      <c r="DF56" s="358">
        <f>IS!DF24</f>
      </c>
      <c r="DG56" s="358">
        <f>IS!DG24</f>
      </c>
      <c r="DH56" s="359">
        <f>IS!DH24</f>
      </c>
      <c r="DI56" s="358">
        <f>IS!DI24</f>
      </c>
      <c r="DJ56" s="358">
        <f>IS!DJ24</f>
      </c>
      <c r="DK56" s="358">
        <f>IS!DK24</f>
      </c>
      <c r="DL56" s="358">
        <f>IS!DL24</f>
      </c>
      <c r="DM56" s="359">
        <f>IS!DM24</f>
      </c>
      <c r="DN56" s="358">
        <f>IS!DN24</f>
      </c>
      <c r="DO56" s="358">
        <f>IS!DO24</f>
      </c>
      <c r="DP56" s="358">
        <f>IS!DP24</f>
      </c>
      <c r="DQ56" s="358">
        <f>IS!DQ24</f>
      </c>
      <c r="DR56" s="359">
        <f>IS!DR24</f>
      </c>
      <c r="DS56" s="358">
        <f>IS!DS24</f>
      </c>
      <c r="DT56" s="358">
        <f>IS!DT24</f>
      </c>
      <c r="DU56" s="358">
        <f>IS!DU24</f>
      </c>
      <c r="DV56" s="358">
        <f>IS!DV24</f>
      </c>
      <c r="DW56" s="359">
        <f>IS!DW24</f>
      </c>
      <c r="DX56" s="358">
        <f>IS!DX24</f>
      </c>
      <c r="DY56" s="358">
        <f>IS!DY24</f>
      </c>
      <c r="DZ56" s="358">
        <f>IS!DZ24</f>
      </c>
      <c r="EA56" s="358">
        <f>IS!EA24</f>
      </c>
      <c r="EB56" s="359">
        <f>IS!EB24</f>
      </c>
      <c r="EC56" s="358">
        <f>IS!EC24</f>
      </c>
      <c r="ED56" s="358">
        <f>IS!ED24</f>
      </c>
      <c r="EE56" s="358">
        <f>IS!EE24</f>
      </c>
      <c r="EF56" s="358">
        <f>IS!EF24</f>
      </c>
      <c r="EG56" s="359">
        <f>IS!EG24</f>
      </c>
      <c r="EH56" s="358">
        <f>IS!EH24</f>
      </c>
      <c r="EI56" s="358">
        <f>IS!EI24</f>
      </c>
      <c r="EJ56" s="358">
        <f>IS!EJ24</f>
      </c>
      <c r="EK56" s="358">
        <f>IS!EK24</f>
      </c>
      <c r="EL56" s="359">
        <f>IS!EL24</f>
      </c>
      <c r="EM56" s="358">
        <f>IS!EM24</f>
      </c>
      <c r="EN56" s="358">
        <f>IS!EN24</f>
      </c>
      <c r="EO56" s="607">
        <f>IS!EO24</f>
      </c>
      <c r="EP56" s="607">
        <f>IS!EP24</f>
      </c>
      <c r="EQ56" s="359">
        <f>IS!EQ24</f>
      </c>
      <c r="ER56" s="358">
        <f>IS!ER24</f>
      </c>
      <c r="ES56" s="358">
        <f>IS!ES24</f>
      </c>
      <c r="ET56" s="607">
        <f>IS!ET24</f>
      </c>
      <c r="EU56" s="607">
        <f>IS!EU24</f>
      </c>
      <c r="EV56" s="359">
        <f>IS!EV24</f>
      </c>
      <c r="EW56" s="358">
        <f>IS!EW24</f>
      </c>
      <c r="EX56" s="358">
        <f>IS!EX24</f>
      </c>
      <c r="EY56" s="607">
        <f>IS!EY24</f>
      </c>
      <c r="EZ56" s="607">
        <f>IS!EZ24</f>
      </c>
      <c r="FA56" s="359">
        <f>IS!FA24</f>
      </c>
      <c r="FB56" s="358">
        <f>IS!FB24</f>
      </c>
      <c r="FC56" s="358">
        <f>IS!FC24</f>
      </c>
      <c r="FD56" s="358">
        <f>IS!FD24</f>
      </c>
      <c r="FE56" s="358">
        <f>IS!FE24</f>
      </c>
      <c r="FF56" s="359">
        <f>IS!FF24</f>
      </c>
      <c r="FG56" s="358">
        <f>IS!FG24</f>
      </c>
      <c r="FH56" s="358">
        <f>IS!FH24</f>
      </c>
      <c r="FI56" s="358">
        <f>IS!FI24</f>
      </c>
      <c r="FJ56" s="358">
        <f>IS!FJ24</f>
      </c>
      <c r="FK56" s="359">
        <f>IS!FK24</f>
      </c>
      <c r="FL56" s="358">
        <f>IS!FL24</f>
      </c>
      <c r="FM56" s="358">
        <f>IS!FM24</f>
      </c>
      <c r="FN56" s="358">
        <f>IS!FN24</f>
      </c>
      <c r="FO56" s="358">
        <f>IS!FO24</f>
      </c>
      <c r="FP56" s="359">
        <f>IS!FP24</f>
      </c>
      <c r="FQ56" s="358">
        <f>IS!FQ24</f>
      </c>
      <c r="FR56" s="358">
        <f>IS!FR24</f>
      </c>
      <c r="FS56" s="358">
        <f>IS!FS24</f>
      </c>
      <c r="FT56" s="358">
        <f>IS!FT24</f>
      </c>
      <c r="FU56" s="359">
        <f>IS!FU24</f>
      </c>
      <c r="FV56" s="358">
        <f>IS!FV24</f>
      </c>
      <c r="FW56" s="358">
        <f>IS!FW24</f>
      </c>
      <c r="FX56" s="358">
        <f>IS!FX24</f>
      </c>
      <c r="FY56" s="358">
        <f>IS!FY24</f>
      </c>
      <c r="FZ56" s="359">
        <f>IS!FZ24</f>
      </c>
      <c r="GA56" s="358">
        <f>IS!GA24</f>
      </c>
      <c r="GB56" s="358">
        <f>IS!GB24</f>
      </c>
      <c r="GC56" s="358">
        <f>IS!GC24</f>
      </c>
      <c r="GD56" s="358">
        <f>IS!GD24</f>
      </c>
      <c r="GE56" s="359">
        <f>IS!GE24</f>
      </c>
      <c r="GF56" s="358">
        <f>IS!GF24</f>
      </c>
      <c r="GG56" s="358">
        <f>IS!GG24</f>
      </c>
      <c r="GH56" s="358">
        <f>IS!GH24</f>
      </c>
      <c r="GI56" s="358">
        <f>IS!GI24</f>
      </c>
      <c r="GJ56" s="359">
        <f>IS!GJ24</f>
      </c>
    </row>
    <row r="57" spans="1:192" s="135" customFormat="1" ht="12.75" hidden="1" customHeight="1" outlineLevel="1">
      <c r="A57" s="773"/>
      <c r="B57" s="704" t="s">
        <v>267</v>
      </c>
      <c r="C57" s="354">
        <f>IS!C45</f>
      </c>
      <c r="D57" s="354">
        <f>IS!D45</f>
      </c>
      <c r="E57" s="354">
        <f>IS!E45</f>
      </c>
      <c r="F57" s="354">
        <f>IS!F45</f>
      </c>
      <c r="G57" s="526">
        <f>IS!G45</f>
      </c>
      <c r="H57" s="354">
        <f>IS!H45</f>
      </c>
      <c r="I57" s="354">
        <f>IS!I45</f>
      </c>
      <c r="J57" s="354">
        <f>IS!J45</f>
      </c>
      <c r="K57" s="354">
        <f>IS!K45</f>
      </c>
      <c r="L57" s="526">
        <f>IS!L45</f>
      </c>
      <c r="M57" s="354">
        <f>IS!M45</f>
      </c>
      <c r="N57" s="354">
        <f>IS!N45</f>
      </c>
      <c r="O57" s="354">
        <f>IS!O45</f>
      </c>
      <c r="P57" s="354">
        <f>IS!P45</f>
      </c>
      <c r="Q57" s="526">
        <f>IS!Q45</f>
      </c>
      <c r="R57" s="354">
        <f>IS!R45</f>
      </c>
      <c r="S57" s="354">
        <f>IS!S45</f>
      </c>
      <c r="T57" s="354">
        <f>IS!T45</f>
      </c>
      <c r="U57" s="354">
        <f>IS!U45</f>
      </c>
      <c r="V57" s="526">
        <f>IS!V45</f>
      </c>
      <c r="W57" s="354">
        <f>IS!W45</f>
      </c>
      <c r="X57" s="354">
        <f>IS!X45</f>
      </c>
      <c r="Y57" s="354">
        <f>IS!Y45</f>
      </c>
      <c r="Z57" s="354">
        <f>IS!Z45</f>
      </c>
      <c r="AA57" s="526">
        <f>IS!AA45</f>
      </c>
      <c r="AB57" s="354">
        <f>IS!AB45</f>
      </c>
      <c r="AC57" s="354">
        <f>IS!AC45</f>
      </c>
      <c r="AD57" s="354">
        <f>IS!AD45</f>
      </c>
      <c r="AE57" s="354">
        <f>IS!AE45</f>
      </c>
      <c r="AF57" s="526">
        <f>IS!AF45</f>
      </c>
      <c r="AG57" s="354">
        <f>IS!AG45</f>
      </c>
      <c r="AH57" s="354">
        <f>IS!AH45</f>
      </c>
      <c r="AI57" s="354">
        <f>IS!AI45</f>
      </c>
      <c r="AJ57" s="354">
        <f>IS!AJ45</f>
      </c>
      <c r="AK57" s="526">
        <f>IS!AK45</f>
      </c>
      <c r="AL57" s="354">
        <f>IS!AL45</f>
      </c>
      <c r="AM57" s="354">
        <f>IS!AM45</f>
      </c>
      <c r="AN57" s="354">
        <f>IS!AN45</f>
      </c>
      <c r="AO57" s="354">
        <f>IS!AO45</f>
      </c>
      <c r="AP57" s="526">
        <f>IS!AP45</f>
      </c>
      <c r="AQ57" s="354">
        <f>IS!AQ45</f>
      </c>
      <c r="AR57" s="354">
        <f>IS!AR45</f>
      </c>
      <c r="AS57" s="354">
        <f>IS!AS45</f>
      </c>
      <c r="AT57" s="354">
        <f>IS!AT45</f>
      </c>
      <c r="AU57" s="526">
        <f>IS!AU45</f>
      </c>
      <c r="AV57" s="354">
        <f>IS!AV45</f>
      </c>
      <c r="AW57" s="354">
        <f>IS!AW45</f>
      </c>
      <c r="AX57" s="354">
        <f>IS!AX45</f>
      </c>
      <c r="AY57" s="354">
        <f>IS!AY45</f>
      </c>
      <c r="AZ57" s="526">
        <f>IS!AZ45</f>
      </c>
      <c r="BA57" s="354">
        <f>IS!BA45</f>
      </c>
      <c r="BB57" s="354">
        <f>IS!BB45</f>
      </c>
      <c r="BC57" s="354">
        <f>IS!BC45</f>
      </c>
      <c r="BD57" s="354">
        <f>IS!BD45</f>
      </c>
      <c r="BE57" s="526">
        <f>IS!BE45</f>
      </c>
      <c r="BF57" s="354">
        <f>IS!BF45</f>
      </c>
      <c r="BG57" s="354">
        <f>IS!BG45</f>
      </c>
      <c r="BH57" s="354">
        <f>IS!BH45</f>
      </c>
      <c r="BI57" s="354">
        <f>IS!BI45</f>
      </c>
      <c r="BJ57" s="526">
        <f>IS!BJ45</f>
      </c>
      <c r="BK57" s="354">
        <f>IS!BK45</f>
      </c>
      <c r="BL57" s="354">
        <f>IS!BL45</f>
      </c>
      <c r="BM57" s="354">
        <f>IS!BM45</f>
      </c>
      <c r="BN57" s="354">
        <f>IS!BN45</f>
      </c>
      <c r="BO57" s="526">
        <f>IS!BO45</f>
      </c>
      <c r="BP57" s="354">
        <f>IS!BP45</f>
      </c>
      <c r="BQ57" s="354">
        <f>IS!BQ45</f>
      </c>
      <c r="BR57" s="354">
        <f>IS!BR45</f>
      </c>
      <c r="BS57" s="354">
        <f>IS!BS45</f>
      </c>
      <c r="BT57" s="526">
        <f>IS!BT45</f>
      </c>
      <c r="BU57" s="354">
        <f>IS!BU45</f>
      </c>
      <c r="BV57" s="354">
        <f>IS!BV45</f>
      </c>
      <c r="BW57" s="354">
        <f>IS!BW45</f>
      </c>
      <c r="BX57" s="354">
        <f>IS!BX45</f>
      </c>
      <c r="BY57" s="526">
        <f>IS!BY45</f>
      </c>
      <c r="BZ57" s="354">
        <f>IS!BZ45</f>
      </c>
      <c r="CA57" s="354">
        <f>IS!CA45</f>
      </c>
      <c r="CB57" s="354">
        <f>IS!CB45</f>
      </c>
      <c r="CC57" s="354">
        <f>IS!CC45</f>
      </c>
      <c r="CD57" s="526">
        <f>IS!CD45</f>
      </c>
      <c r="CE57" s="354">
        <f>IS!CE45</f>
      </c>
      <c r="CF57" s="354">
        <f>IS!CF45</f>
      </c>
      <c r="CG57" s="354">
        <f>IS!CG45</f>
      </c>
      <c r="CH57" s="354">
        <f>IS!CH45</f>
      </c>
      <c r="CI57" s="526">
        <f>IS!CI45</f>
      </c>
      <c r="CJ57" s="354">
        <f>IS!CJ45</f>
      </c>
      <c r="CK57" s="354">
        <f>IS!CK45</f>
      </c>
      <c r="CL57" s="354">
        <f>IS!CL45</f>
      </c>
      <c r="CM57" s="354">
        <f>IS!CM45</f>
      </c>
      <c r="CN57" s="526">
        <f>IS!CN45</f>
      </c>
      <c r="CO57" s="354">
        <f>IS!CO45</f>
      </c>
      <c r="CP57" s="354">
        <f>IS!CP45</f>
      </c>
      <c r="CQ57" s="354">
        <f>IS!CQ45</f>
      </c>
      <c r="CR57" s="354">
        <f>IS!CR45</f>
      </c>
      <c r="CS57" s="526">
        <f>IS!CS45</f>
      </c>
      <c r="CT57" s="354">
        <f>IS!CT45</f>
      </c>
      <c r="CU57" s="354">
        <f>IS!CU45</f>
      </c>
      <c r="CV57" s="354">
        <f>IS!CV45</f>
      </c>
      <c r="CW57" s="354">
        <f>IS!CW45</f>
      </c>
      <c r="CX57" s="526">
        <f>IS!CX45</f>
      </c>
      <c r="CY57" s="354">
        <f>IS!CY45</f>
      </c>
      <c r="CZ57" s="354">
        <f>IS!CZ45</f>
      </c>
      <c r="DA57" s="354">
        <f>IS!DA45</f>
      </c>
      <c r="DB57" s="354">
        <f>IS!DB45</f>
      </c>
      <c r="DC57" s="526">
        <f>IS!DC45</f>
      </c>
      <c r="DD57" s="354">
        <f>IS!DD45</f>
      </c>
      <c r="DE57" s="354">
        <f>IS!DE45</f>
      </c>
      <c r="DF57" s="354">
        <f>IS!DF45</f>
      </c>
      <c r="DG57" s="354">
        <f>IS!DG45</f>
      </c>
      <c r="DH57" s="526">
        <f>IS!DH45</f>
      </c>
      <c r="DI57" s="354">
        <f>IS!DI45</f>
      </c>
      <c r="DJ57" s="354">
        <f>IS!DJ45</f>
      </c>
      <c r="DK57" s="354">
        <f>IS!DK45</f>
      </c>
      <c r="DL57" s="354">
        <f>IS!DL45</f>
      </c>
      <c r="DM57" s="526">
        <f>IS!DM45</f>
      </c>
      <c r="DN57" s="354">
        <f>IS!DN45</f>
      </c>
      <c r="DO57" s="354">
        <f>IS!DO45</f>
      </c>
      <c r="DP57" s="354">
        <f>IS!DP45</f>
      </c>
      <c r="DQ57" s="354">
        <f>IS!DQ45</f>
      </c>
      <c r="DR57" s="526">
        <f>IS!DR45</f>
      </c>
      <c r="DS57" s="354">
        <f>IS!DS45</f>
      </c>
      <c r="DT57" s="354">
        <f>IS!DT45</f>
      </c>
      <c r="DU57" s="354">
        <f>IS!DU45</f>
      </c>
      <c r="DV57" s="354">
        <f>IS!DV45</f>
      </c>
      <c r="DW57" s="526">
        <f>IS!DW45</f>
      </c>
      <c r="DX57" s="354">
        <f>IS!DX45</f>
      </c>
      <c r="DY57" s="354">
        <f>IS!DY45</f>
      </c>
      <c r="DZ57" s="354">
        <f>IS!DZ45</f>
      </c>
      <c r="EA57" s="354">
        <f>IS!EA45</f>
      </c>
      <c r="EB57" s="526">
        <f>IS!EB45</f>
      </c>
      <c r="EC57" s="354">
        <f>IS!EC45</f>
      </c>
      <c r="ED57" s="354">
        <f>IS!ED45</f>
      </c>
      <c r="EE57" s="354">
        <f>IS!EE45</f>
      </c>
      <c r="EF57" s="354">
        <f>IS!EF45</f>
      </c>
      <c r="EG57" s="526">
        <f>IS!EG45</f>
      </c>
      <c r="EH57" s="354">
        <f>IS!EH45</f>
      </c>
      <c r="EI57" s="354">
        <f>IS!EI45</f>
      </c>
      <c r="EJ57" s="354">
        <f>IS!EJ45</f>
      </c>
      <c r="EK57" s="354">
        <f>IS!EK45</f>
      </c>
      <c r="EL57" s="526">
        <f>IS!EL45</f>
      </c>
      <c r="EM57" s="354">
        <f>IS!EM45</f>
      </c>
      <c r="EN57" s="354">
        <f>IS!EN45</f>
      </c>
      <c r="EO57" s="354">
        <f>IS!EO45</f>
      </c>
      <c r="EP57" s="354">
        <f>IS!EP45</f>
      </c>
      <c r="EQ57" s="526">
        <f>IS!EQ45</f>
      </c>
      <c r="ER57" s="354">
        <f>IS!ER45</f>
      </c>
      <c r="ES57" s="354">
        <f>IS!ES45</f>
      </c>
      <c r="ET57" s="354">
        <f>IS!ET45</f>
      </c>
      <c r="EU57" s="354">
        <f>IS!EU45</f>
      </c>
      <c r="EV57" s="526">
        <f>IS!EV45</f>
      </c>
      <c r="EW57" s="354">
        <f>IS!EW45</f>
      </c>
      <c r="EX57" s="354">
        <f>IS!EX45</f>
      </c>
      <c r="EY57" s="354">
        <f>IS!EY45</f>
      </c>
      <c r="EZ57" s="354">
        <f>IS!EZ45</f>
      </c>
      <c r="FA57" s="526">
        <f>IS!FA45</f>
      </c>
      <c r="FB57" s="354">
        <f>IS!FB45</f>
      </c>
      <c r="FC57" s="354">
        <f>IS!FC45</f>
      </c>
      <c r="FD57" s="354">
        <f>IS!FD45</f>
      </c>
      <c r="FE57" s="354">
        <f>IS!FE45</f>
      </c>
      <c r="FF57" s="526">
        <f>IS!FF45</f>
      </c>
      <c r="FG57" s="354">
        <f>IS!FG45</f>
      </c>
      <c r="FH57" s="354">
        <f>IS!FH45</f>
      </c>
      <c r="FI57" s="354">
        <f>IS!FI45</f>
      </c>
      <c r="FJ57" s="354">
        <f>IS!FJ45</f>
      </c>
      <c r="FK57" s="526">
        <f>IS!FK45</f>
      </c>
      <c r="FL57" s="354">
        <f>IS!FL45</f>
      </c>
      <c r="FM57" s="354">
        <f>IS!FM45</f>
      </c>
      <c r="FN57" s="354">
        <f>IS!FN45</f>
      </c>
      <c r="FO57" s="354">
        <f>IS!FO45</f>
      </c>
      <c r="FP57" s="526">
        <f>IS!FP45</f>
      </c>
      <c r="FQ57" s="354">
        <f>IS!FQ45</f>
      </c>
      <c r="FR57" s="354">
        <f>IS!FR45</f>
      </c>
      <c r="FS57" s="354">
        <f>IS!FS45</f>
      </c>
      <c r="FT57" s="354">
        <f>IS!FT45</f>
      </c>
      <c r="FU57" s="526">
        <f>IS!FU45</f>
      </c>
      <c r="FV57" s="354">
        <f>IS!FV45</f>
      </c>
      <c r="FW57" s="354">
        <f>IS!FW45</f>
      </c>
      <c r="FX57" s="354">
        <f>IS!FX45</f>
      </c>
      <c r="FY57" s="354">
        <f>IS!FY45</f>
      </c>
      <c r="FZ57" s="526">
        <f>IS!FZ45</f>
      </c>
      <c r="GA57" s="354">
        <f>IS!GA45</f>
      </c>
      <c r="GB57" s="354">
        <f>IS!GB45</f>
      </c>
      <c r="GC57" s="354">
        <f>IS!GC45</f>
      </c>
      <c r="GD57" s="354">
        <f>IS!GD45</f>
      </c>
      <c r="GE57" s="526">
        <f>IS!GE45</f>
      </c>
      <c r="GF57" s="354">
        <f>IS!GF45</f>
      </c>
      <c r="GG57" s="354">
        <f>IS!GG45</f>
      </c>
      <c r="GH57" s="354">
        <f>IS!GH45</f>
      </c>
      <c r="GI57" s="354">
        <f>IS!GI45</f>
      </c>
      <c r="GJ57" s="526">
        <f>IS!GJ45</f>
      </c>
    </row>
    <row r="58" spans="1:192" s="277" customFormat="1" ht="12.75" hidden="1" customHeight="1" outlineLevel="1">
      <c r="A58" s="794" t="s">
        <v>372</v>
      </c>
      <c r="B58" s="712" t="s">
        <v>168</v>
      </c>
      <c r="C58" s="360">
        <f t="shared" ref="C58:AH58" si="186">C10+C11</f>
      </c>
      <c r="D58" s="360">
        <f t="shared" si="186"/>
      </c>
      <c r="E58" s="360">
        <f t="shared" si="186"/>
      </c>
      <c r="F58" s="360">
        <f t="shared" si="186"/>
      </c>
      <c r="G58" s="361">
        <f t="shared" si="186"/>
      </c>
      <c r="H58" s="360">
        <f t="shared" si="186"/>
      </c>
      <c r="I58" s="360">
        <f t="shared" si="186"/>
      </c>
      <c r="J58" s="360">
        <f t="shared" si="186"/>
      </c>
      <c r="K58" s="360">
        <f t="shared" si="186"/>
      </c>
      <c r="L58" s="361">
        <f t="shared" si="186"/>
      </c>
      <c r="M58" s="360">
        <f t="shared" si="186"/>
      </c>
      <c r="N58" s="360">
        <f t="shared" si="186"/>
      </c>
      <c r="O58" s="360">
        <f t="shared" si="186"/>
      </c>
      <c r="P58" s="360">
        <f t="shared" si="186"/>
      </c>
      <c r="Q58" s="361">
        <f t="shared" si="186"/>
      </c>
      <c r="R58" s="360">
        <f t="shared" si="186"/>
      </c>
      <c r="S58" s="360">
        <f t="shared" si="186"/>
      </c>
      <c r="T58" s="360">
        <f t="shared" si="186"/>
      </c>
      <c r="U58" s="360">
        <f t="shared" si="186"/>
      </c>
      <c r="V58" s="361">
        <f t="shared" si="186"/>
      </c>
      <c r="W58" s="360">
        <f t="shared" si="186"/>
      </c>
      <c r="X58" s="360">
        <f t="shared" si="186"/>
      </c>
      <c r="Y58" s="360">
        <f t="shared" si="186"/>
      </c>
      <c r="Z58" s="360">
        <f t="shared" si="186"/>
      </c>
      <c r="AA58" s="361">
        <f t="shared" si="186"/>
      </c>
      <c r="AB58" s="360">
        <f t="shared" si="186"/>
      </c>
      <c r="AC58" s="360">
        <f t="shared" si="186"/>
      </c>
      <c r="AD58" s="360">
        <f t="shared" si="186"/>
      </c>
      <c r="AE58" s="360">
        <f t="shared" si="186"/>
      </c>
      <c r="AF58" s="361">
        <f t="shared" si="186"/>
      </c>
      <c r="AG58" s="360">
        <f t="shared" si="186"/>
      </c>
      <c r="AH58" s="360">
        <f t="shared" si="186"/>
      </c>
      <c r="AI58" s="360">
        <f t="shared" ref="AI58:BN58" si="187">AI10+AI11</f>
      </c>
      <c r="AJ58" s="360">
        <f t="shared" si="187"/>
      </c>
      <c r="AK58" s="361">
        <f t="shared" si="187"/>
      </c>
      <c r="AL58" s="360">
        <f t="shared" si="187"/>
      </c>
      <c r="AM58" s="360">
        <f t="shared" si="187"/>
      </c>
      <c r="AN58" s="360">
        <f t="shared" si="187"/>
      </c>
      <c r="AO58" s="360">
        <f t="shared" si="187"/>
      </c>
      <c r="AP58" s="361">
        <f t="shared" si="187"/>
      </c>
      <c r="AQ58" s="360">
        <f t="shared" si="187"/>
      </c>
      <c r="AR58" s="360">
        <f t="shared" si="187"/>
      </c>
      <c r="AS58" s="360">
        <f t="shared" si="187"/>
      </c>
      <c r="AT58" s="360">
        <f t="shared" si="187"/>
      </c>
      <c r="AU58" s="361">
        <f t="shared" si="187"/>
      </c>
      <c r="AV58" s="360">
        <f t="shared" si="187"/>
      </c>
      <c r="AW58" s="360">
        <f t="shared" si="187"/>
      </c>
      <c r="AX58" s="360">
        <f t="shared" si="187"/>
      </c>
      <c r="AY58" s="360">
        <f t="shared" si="187"/>
      </c>
      <c r="AZ58" s="361">
        <f t="shared" si="187"/>
      </c>
      <c r="BA58" s="360">
        <f t="shared" si="187"/>
      </c>
      <c r="BB58" s="360">
        <f t="shared" si="187"/>
      </c>
      <c r="BC58" s="360">
        <f t="shared" si="187"/>
      </c>
      <c r="BD58" s="360">
        <f t="shared" si="187"/>
      </c>
      <c r="BE58" s="361">
        <f t="shared" si="187"/>
      </c>
      <c r="BF58" s="360">
        <f t="shared" si="187"/>
      </c>
      <c r="BG58" s="360">
        <f t="shared" si="187"/>
      </c>
      <c r="BH58" s="360">
        <f t="shared" si="187"/>
      </c>
      <c r="BI58" s="360">
        <f t="shared" si="187"/>
      </c>
      <c r="BJ58" s="361">
        <f t="shared" si="187"/>
      </c>
      <c r="BK58" s="360">
        <f t="shared" si="187"/>
      </c>
      <c r="BL58" s="360">
        <f t="shared" si="187"/>
      </c>
      <c r="BM58" s="360">
        <f t="shared" si="187"/>
      </c>
      <c r="BN58" s="360">
        <f t="shared" si="187"/>
      </c>
      <c r="BO58" s="361">
        <f t="shared" ref="BO58:CT58" si="188">BO10+BO11</f>
      </c>
      <c r="BP58" s="360">
        <f t="shared" si="188"/>
      </c>
      <c r="BQ58" s="360">
        <f t="shared" si="188"/>
      </c>
      <c r="BR58" s="360">
        <f t="shared" si="188"/>
      </c>
      <c r="BS58" s="360">
        <f t="shared" si="188"/>
      </c>
      <c r="BT58" s="361">
        <f t="shared" si="188"/>
      </c>
      <c r="BU58" s="360">
        <f t="shared" si="188"/>
      </c>
      <c r="BV58" s="360">
        <f t="shared" si="188"/>
      </c>
      <c r="BW58" s="360">
        <f t="shared" si="188"/>
      </c>
      <c r="BX58" s="360">
        <f t="shared" si="188"/>
      </c>
      <c r="BY58" s="361">
        <f t="shared" si="188"/>
      </c>
      <c r="BZ58" s="360">
        <f t="shared" si="188"/>
      </c>
      <c r="CA58" s="360">
        <f t="shared" si="188"/>
      </c>
      <c r="CB58" s="360">
        <f t="shared" si="188"/>
      </c>
      <c r="CC58" s="360">
        <f t="shared" si="188"/>
      </c>
      <c r="CD58" s="361">
        <f t="shared" si="188"/>
      </c>
      <c r="CE58" s="360">
        <f t="shared" si="188"/>
      </c>
      <c r="CF58" s="360">
        <f t="shared" si="188"/>
      </c>
      <c r="CG58" s="360">
        <f t="shared" si="188"/>
      </c>
      <c r="CH58" s="360">
        <f t="shared" si="188"/>
      </c>
      <c r="CI58" s="361">
        <f t="shared" si="188"/>
      </c>
      <c r="CJ58" s="360">
        <f t="shared" si="188"/>
      </c>
      <c r="CK58" s="360">
        <f t="shared" si="188"/>
      </c>
      <c r="CL58" s="360">
        <f t="shared" si="188"/>
      </c>
      <c r="CM58" s="360">
        <f t="shared" si="188"/>
      </c>
      <c r="CN58" s="361">
        <f t="shared" si="188"/>
      </c>
      <c r="CO58" s="360">
        <f t="shared" si="188"/>
      </c>
      <c r="CP58" s="360">
        <f t="shared" si="188"/>
      </c>
      <c r="CQ58" s="360">
        <f t="shared" si="188"/>
      </c>
      <c r="CR58" s="360">
        <f t="shared" si="188"/>
      </c>
      <c r="CS58" s="361">
        <f t="shared" si="188"/>
      </c>
      <c r="CT58" s="360">
        <f t="shared" si="188"/>
      </c>
      <c r="CU58" s="360">
        <f t="shared" ref="CU58:DZ58" si="189">CU10+CU11</f>
      </c>
      <c r="CV58" s="360">
        <f t="shared" si="189"/>
      </c>
      <c r="CW58" s="360">
        <f t="shared" si="189"/>
      </c>
      <c r="CX58" s="361">
        <f t="shared" si="189"/>
      </c>
      <c r="CY58" s="360">
        <f t="shared" si="189"/>
      </c>
      <c r="CZ58" s="360">
        <f t="shared" si="189"/>
      </c>
      <c r="DA58" s="360">
        <f t="shared" si="189"/>
      </c>
      <c r="DB58" s="360">
        <f t="shared" si="189"/>
      </c>
      <c r="DC58" s="361">
        <f t="shared" si="189"/>
      </c>
      <c r="DD58" s="360">
        <f t="shared" si="189"/>
      </c>
      <c r="DE58" s="360">
        <f t="shared" si="189"/>
      </c>
      <c r="DF58" s="360">
        <f t="shared" si="189"/>
      </c>
      <c r="DG58" s="360">
        <f t="shared" si="189"/>
      </c>
      <c r="DH58" s="361">
        <f t="shared" si="189"/>
      </c>
      <c r="DI58" s="360">
        <f t="shared" si="189"/>
      </c>
      <c r="DJ58" s="360">
        <f t="shared" si="189"/>
      </c>
      <c r="DK58" s="360">
        <f t="shared" si="189"/>
      </c>
      <c r="DL58" s="360">
        <f t="shared" si="189"/>
      </c>
      <c r="DM58" s="361">
        <f t="shared" si="189"/>
      </c>
      <c r="DN58" s="360">
        <f t="shared" si="189"/>
      </c>
      <c r="DO58" s="360">
        <f t="shared" si="189"/>
      </c>
      <c r="DP58" s="360">
        <f t="shared" si="189"/>
      </c>
      <c r="DQ58" s="360">
        <f t="shared" si="189"/>
      </c>
      <c r="DR58" s="361">
        <f t="shared" si="189"/>
      </c>
      <c r="DS58" s="360">
        <f t="shared" si="189"/>
      </c>
      <c r="DT58" s="360">
        <f t="shared" si="189"/>
      </c>
      <c r="DU58" s="360">
        <f t="shared" si="189"/>
      </c>
      <c r="DV58" s="360">
        <f t="shared" si="189"/>
      </c>
      <c r="DW58" s="361">
        <f t="shared" si="189"/>
      </c>
      <c r="DX58" s="360">
        <f t="shared" si="189"/>
      </c>
      <c r="DY58" s="360">
        <f t="shared" si="189"/>
      </c>
      <c r="DZ58" s="360">
        <f t="shared" si="189"/>
      </c>
      <c r="EA58" s="360">
        <f t="shared" ref="EA58:FF58" si="190">EA10+EA11</f>
      </c>
      <c r="EB58" s="361">
        <f t="shared" si="190"/>
      </c>
      <c r="EC58" s="360">
        <f t="shared" si="190"/>
      </c>
      <c r="ED58" s="360">
        <f t="shared" si="190"/>
      </c>
      <c r="EE58" s="360">
        <f t="shared" si="190"/>
      </c>
      <c r="EF58" s="360">
        <f t="shared" si="190"/>
      </c>
      <c r="EG58" s="361">
        <f t="shared" si="190"/>
      </c>
      <c r="EH58" s="360">
        <f t="shared" si="190"/>
      </c>
      <c r="EI58" s="360">
        <f t="shared" si="190"/>
      </c>
      <c r="EJ58" s="360">
        <f t="shared" si="190"/>
      </c>
      <c r="EK58" s="360">
        <f t="shared" si="190"/>
      </c>
      <c r="EL58" s="361">
        <f t="shared" si="190"/>
      </c>
      <c r="EM58" s="360">
        <f t="shared" si="190"/>
      </c>
      <c r="EN58" s="360">
        <f t="shared" si="190"/>
      </c>
      <c r="EO58" s="360">
        <f t="shared" si="190"/>
      </c>
      <c r="EP58" s="360">
        <f t="shared" si="190"/>
      </c>
      <c r="EQ58" s="361">
        <f t="shared" si="190"/>
      </c>
      <c r="ER58" s="360">
        <f t="shared" si="190"/>
      </c>
      <c r="ES58" s="360">
        <f t="shared" si="190"/>
      </c>
      <c r="ET58" s="360">
        <f>ET10+ET11</f>
      </c>
      <c r="EU58" s="360">
        <f>EU10+EU11</f>
      </c>
      <c r="EV58" s="361">
        <f t="shared" si="190"/>
      </c>
      <c r="EW58" s="360">
        <f t="shared" ref="EW58:EX58" si="191">EW10+EW11</f>
      </c>
      <c r="EX58" s="360">
        <f t="shared" si="191"/>
      </c>
      <c r="EY58" s="360">
        <f>EY10+EY11</f>
      </c>
      <c r="EZ58" s="360">
        <f>EZ10+EZ11</f>
      </c>
      <c r="FA58" s="361">
        <f t="shared" ref="FA58" si="192">FA10+FA11</f>
      </c>
      <c r="FB58" s="360">
        <f t="shared" si="190"/>
      </c>
      <c r="FC58" s="360">
        <f t="shared" si="190"/>
      </c>
      <c r="FD58" s="360">
        <f t="shared" si="190"/>
      </c>
      <c r="FE58" s="360">
        <f t="shared" si="190"/>
      </c>
      <c r="FF58" s="361">
        <f t="shared" si="190"/>
      </c>
      <c r="FG58" s="360">
        <f t="shared" ref="FG58:FZ58" si="193">FG10+FG11</f>
      </c>
      <c r="FH58" s="360">
        <f t="shared" si="193"/>
      </c>
      <c r="FI58" s="360">
        <f t="shared" si="193"/>
      </c>
      <c r="FJ58" s="360">
        <f t="shared" si="193"/>
      </c>
      <c r="FK58" s="361">
        <f t="shared" si="193"/>
      </c>
      <c r="FL58" s="360">
        <f t="shared" si="193"/>
      </c>
      <c r="FM58" s="360">
        <f t="shared" si="193"/>
      </c>
      <c r="FN58" s="360">
        <f t="shared" si="193"/>
      </c>
      <c r="FO58" s="360">
        <f t="shared" si="193"/>
      </c>
      <c r="FP58" s="361">
        <f t="shared" si="193"/>
      </c>
      <c r="FQ58" s="360">
        <f t="shared" si="193"/>
      </c>
      <c r="FR58" s="360">
        <f t="shared" si="193"/>
      </c>
      <c r="FS58" s="360">
        <f t="shared" si="193"/>
      </c>
      <c r="FT58" s="360">
        <f t="shared" si="193"/>
      </c>
      <c r="FU58" s="361">
        <f t="shared" si="193"/>
      </c>
      <c r="FV58" s="360">
        <f t="shared" si="193"/>
      </c>
      <c r="FW58" s="360">
        <f t="shared" si="193"/>
      </c>
      <c r="FX58" s="360">
        <f t="shared" si="193"/>
      </c>
      <c r="FY58" s="360">
        <f t="shared" si="193"/>
      </c>
      <c r="FZ58" s="361">
        <f t="shared" si="193"/>
      </c>
      <c r="GA58" s="360">
        <f t="shared" ref="GA58:GJ58" si="194">GA10+GA11</f>
      </c>
      <c r="GB58" s="360">
        <f t="shared" si="194"/>
      </c>
      <c r="GC58" s="360">
        <f t="shared" si="194"/>
      </c>
      <c r="GD58" s="360">
        <f t="shared" si="194"/>
      </c>
      <c r="GE58" s="361">
        <f t="shared" si="194"/>
      </c>
      <c r="GF58" s="360">
        <f t="shared" si="194"/>
      </c>
      <c r="GG58" s="360">
        <f t="shared" si="194"/>
      </c>
      <c r="GH58" s="360">
        <f t="shared" si="194"/>
      </c>
      <c r="GI58" s="360">
        <f t="shared" si="194"/>
      </c>
      <c r="GJ58" s="361">
        <f t="shared" si="194"/>
      </c>
    </row>
    <row r="59" spans="1:192" s="277" customFormat="1" ht="12.75" hidden="1" customHeight="1" outlineLevel="1">
      <c r="A59" s="794" t="s">
        <v>373</v>
      </c>
      <c r="B59" s="712" t="s">
        <v>169</v>
      </c>
      <c r="C59" s="360">
        <f t="shared" ref="C59:AH59" si="195">C29+C30+C38</f>
      </c>
      <c r="D59" s="360">
        <f t="shared" si="195"/>
      </c>
      <c r="E59" s="360">
        <f t="shared" si="195"/>
      </c>
      <c r="F59" s="360">
        <f t="shared" si="195"/>
      </c>
      <c r="G59" s="361">
        <f t="shared" si="195"/>
      </c>
      <c r="H59" s="360">
        <f t="shared" si="195"/>
      </c>
      <c r="I59" s="360">
        <f t="shared" si="195"/>
      </c>
      <c r="J59" s="360">
        <f t="shared" si="195"/>
      </c>
      <c r="K59" s="360">
        <f t="shared" si="195"/>
      </c>
      <c r="L59" s="361">
        <f t="shared" si="195"/>
      </c>
      <c r="M59" s="360">
        <f t="shared" si="195"/>
      </c>
      <c r="N59" s="360">
        <f t="shared" si="195"/>
      </c>
      <c r="O59" s="360">
        <f t="shared" si="195"/>
      </c>
      <c r="P59" s="360">
        <f t="shared" si="195"/>
      </c>
      <c r="Q59" s="361">
        <f t="shared" si="195"/>
      </c>
      <c r="R59" s="360">
        <f t="shared" si="195"/>
      </c>
      <c r="S59" s="360">
        <f t="shared" si="195"/>
      </c>
      <c r="T59" s="360">
        <f t="shared" si="195"/>
      </c>
      <c r="U59" s="360">
        <f t="shared" si="195"/>
      </c>
      <c r="V59" s="361">
        <f t="shared" si="195"/>
      </c>
      <c r="W59" s="360">
        <f t="shared" si="195"/>
      </c>
      <c r="X59" s="360">
        <f t="shared" si="195"/>
      </c>
      <c r="Y59" s="360">
        <f t="shared" si="195"/>
      </c>
      <c r="Z59" s="360">
        <f t="shared" si="195"/>
      </c>
      <c r="AA59" s="361">
        <f t="shared" si="195"/>
      </c>
      <c r="AB59" s="360">
        <f t="shared" si="195"/>
      </c>
      <c r="AC59" s="360">
        <f t="shared" si="195"/>
      </c>
      <c r="AD59" s="360">
        <f t="shared" si="195"/>
      </c>
      <c r="AE59" s="360">
        <f t="shared" si="195"/>
      </c>
      <c r="AF59" s="361">
        <f t="shared" si="195"/>
      </c>
      <c r="AG59" s="360">
        <f t="shared" si="195"/>
      </c>
      <c r="AH59" s="360">
        <f t="shared" si="195"/>
      </c>
      <c r="AI59" s="360">
        <f t="shared" ref="AI59:BN59" si="196">AI29+AI30+AI38</f>
      </c>
      <c r="AJ59" s="360">
        <f t="shared" si="196"/>
      </c>
      <c r="AK59" s="361">
        <f t="shared" si="196"/>
      </c>
      <c r="AL59" s="360">
        <f t="shared" si="196"/>
      </c>
      <c r="AM59" s="360">
        <f t="shared" si="196"/>
      </c>
      <c r="AN59" s="360">
        <f t="shared" si="196"/>
      </c>
      <c r="AO59" s="360">
        <f t="shared" si="196"/>
      </c>
      <c r="AP59" s="361">
        <f t="shared" si="196"/>
      </c>
      <c r="AQ59" s="360">
        <f t="shared" si="196"/>
      </c>
      <c r="AR59" s="360">
        <f t="shared" si="196"/>
      </c>
      <c r="AS59" s="360">
        <f t="shared" si="196"/>
      </c>
      <c r="AT59" s="360">
        <f t="shared" si="196"/>
      </c>
      <c r="AU59" s="361">
        <f t="shared" si="196"/>
      </c>
      <c r="AV59" s="360">
        <f t="shared" si="196"/>
      </c>
      <c r="AW59" s="360">
        <f t="shared" si="196"/>
      </c>
      <c r="AX59" s="360">
        <f t="shared" si="196"/>
      </c>
      <c r="AY59" s="360">
        <f t="shared" si="196"/>
      </c>
      <c r="AZ59" s="361">
        <f t="shared" si="196"/>
      </c>
      <c r="BA59" s="360">
        <f t="shared" si="196"/>
      </c>
      <c r="BB59" s="360">
        <f t="shared" si="196"/>
      </c>
      <c r="BC59" s="360">
        <f t="shared" si="196"/>
      </c>
      <c r="BD59" s="360">
        <f t="shared" si="196"/>
      </c>
      <c r="BE59" s="361">
        <f t="shared" si="196"/>
      </c>
      <c r="BF59" s="360">
        <f t="shared" si="196"/>
      </c>
      <c r="BG59" s="360">
        <f t="shared" si="196"/>
      </c>
      <c r="BH59" s="360">
        <f t="shared" si="196"/>
      </c>
      <c r="BI59" s="360">
        <f t="shared" si="196"/>
      </c>
      <c r="BJ59" s="361">
        <f t="shared" si="196"/>
      </c>
      <c r="BK59" s="360">
        <f t="shared" si="196"/>
      </c>
      <c r="BL59" s="360">
        <f t="shared" si="196"/>
      </c>
      <c r="BM59" s="360">
        <f t="shared" si="196"/>
      </c>
      <c r="BN59" s="360">
        <f t="shared" si="196"/>
      </c>
      <c r="BO59" s="361">
        <f t="shared" ref="BO59:CT59" si="197">BO29+BO30+BO38</f>
      </c>
      <c r="BP59" s="360">
        <f t="shared" si="197"/>
      </c>
      <c r="BQ59" s="360">
        <f t="shared" si="197"/>
      </c>
      <c r="BR59" s="360">
        <f t="shared" si="197"/>
      </c>
      <c r="BS59" s="360">
        <f t="shared" si="197"/>
      </c>
      <c r="BT59" s="361">
        <f t="shared" si="197"/>
      </c>
      <c r="BU59" s="360">
        <f t="shared" si="197"/>
      </c>
      <c r="BV59" s="360">
        <f t="shared" si="197"/>
      </c>
      <c r="BW59" s="360">
        <f t="shared" si="197"/>
      </c>
      <c r="BX59" s="360">
        <f t="shared" si="197"/>
      </c>
      <c r="BY59" s="361">
        <f t="shared" si="197"/>
      </c>
      <c r="BZ59" s="360">
        <f t="shared" si="197"/>
      </c>
      <c r="CA59" s="360">
        <f t="shared" si="197"/>
      </c>
      <c r="CB59" s="360">
        <f t="shared" si="197"/>
      </c>
      <c r="CC59" s="360">
        <f t="shared" si="197"/>
      </c>
      <c r="CD59" s="361">
        <f t="shared" si="197"/>
      </c>
      <c r="CE59" s="360">
        <f t="shared" si="197"/>
      </c>
      <c r="CF59" s="360">
        <f t="shared" si="197"/>
      </c>
      <c r="CG59" s="360">
        <f t="shared" si="197"/>
      </c>
      <c r="CH59" s="360">
        <f t="shared" si="197"/>
      </c>
      <c r="CI59" s="361">
        <f t="shared" si="197"/>
      </c>
      <c r="CJ59" s="360">
        <f t="shared" si="197"/>
      </c>
      <c r="CK59" s="360">
        <f t="shared" si="197"/>
      </c>
      <c r="CL59" s="360">
        <f t="shared" si="197"/>
      </c>
      <c r="CM59" s="360">
        <f t="shared" si="197"/>
      </c>
      <c r="CN59" s="361">
        <f t="shared" si="197"/>
      </c>
      <c r="CO59" s="360">
        <f t="shared" si="197"/>
      </c>
      <c r="CP59" s="360">
        <f t="shared" si="197"/>
      </c>
      <c r="CQ59" s="360">
        <f t="shared" si="197"/>
      </c>
      <c r="CR59" s="360">
        <f t="shared" si="197"/>
      </c>
      <c r="CS59" s="361">
        <f t="shared" si="197"/>
      </c>
      <c r="CT59" s="360">
        <f t="shared" si="197"/>
      </c>
      <c r="CU59" s="360">
        <f t="shared" ref="CU59:DZ59" si="198">CU29+CU30+CU38</f>
      </c>
      <c r="CV59" s="360">
        <f t="shared" si="198"/>
      </c>
      <c r="CW59" s="360">
        <f t="shared" si="198"/>
      </c>
      <c r="CX59" s="361">
        <f t="shared" si="198"/>
      </c>
      <c r="CY59" s="360">
        <f t="shared" si="198"/>
      </c>
      <c r="CZ59" s="360">
        <f t="shared" si="198"/>
      </c>
      <c r="DA59" s="360">
        <f t="shared" si="198"/>
      </c>
      <c r="DB59" s="360">
        <f t="shared" si="198"/>
      </c>
      <c r="DC59" s="361">
        <f t="shared" si="198"/>
      </c>
      <c r="DD59" s="360">
        <f t="shared" si="198"/>
      </c>
      <c r="DE59" s="360">
        <f t="shared" si="198"/>
      </c>
      <c r="DF59" s="360">
        <f t="shared" si="198"/>
      </c>
      <c r="DG59" s="360">
        <f t="shared" si="198"/>
      </c>
      <c r="DH59" s="361">
        <f t="shared" si="198"/>
      </c>
      <c r="DI59" s="360">
        <f t="shared" si="198"/>
      </c>
      <c r="DJ59" s="360">
        <f t="shared" si="198"/>
      </c>
      <c r="DK59" s="360">
        <f t="shared" si="198"/>
      </c>
      <c r="DL59" s="360">
        <f t="shared" si="198"/>
      </c>
      <c r="DM59" s="361">
        <f t="shared" si="198"/>
      </c>
      <c r="DN59" s="360">
        <f t="shared" si="198"/>
      </c>
      <c r="DO59" s="360">
        <f t="shared" si="198"/>
      </c>
      <c r="DP59" s="360">
        <f t="shared" si="198"/>
      </c>
      <c r="DQ59" s="360">
        <f t="shared" si="198"/>
      </c>
      <c r="DR59" s="361">
        <f t="shared" si="198"/>
      </c>
      <c r="DS59" s="360">
        <f t="shared" si="198"/>
      </c>
      <c r="DT59" s="360">
        <f t="shared" si="198"/>
      </c>
      <c r="DU59" s="360">
        <f t="shared" si="198"/>
      </c>
      <c r="DV59" s="360">
        <f t="shared" si="198"/>
      </c>
      <c r="DW59" s="361">
        <f t="shared" si="198"/>
      </c>
      <c r="DX59" s="360">
        <f t="shared" si="198"/>
      </c>
      <c r="DY59" s="360">
        <f t="shared" si="198"/>
      </c>
      <c r="DZ59" s="360">
        <f t="shared" si="198"/>
      </c>
      <c r="EA59" s="360">
        <f t="shared" ref="EA59:FF59" si="199">EA29+EA30+EA38</f>
      </c>
      <c r="EB59" s="361">
        <f t="shared" si="199"/>
      </c>
      <c r="EC59" s="360">
        <f t="shared" si="199"/>
      </c>
      <c r="ED59" s="360">
        <f t="shared" si="199"/>
      </c>
      <c r="EE59" s="360">
        <f t="shared" si="199"/>
      </c>
      <c r="EF59" s="360">
        <f t="shared" si="199"/>
      </c>
      <c r="EG59" s="361">
        <f t="shared" si="199"/>
      </c>
      <c r="EH59" s="360">
        <f t="shared" si="199"/>
      </c>
      <c r="EI59" s="360">
        <f t="shared" si="199"/>
      </c>
      <c r="EJ59" s="360">
        <f t="shared" si="199"/>
      </c>
      <c r="EK59" s="360">
        <f t="shared" si="199"/>
      </c>
      <c r="EL59" s="361">
        <f t="shared" si="199"/>
      </c>
      <c r="EM59" s="360">
        <f t="shared" si="199"/>
      </c>
      <c r="EN59" s="360">
        <f t="shared" si="199"/>
      </c>
      <c r="EO59" s="360">
        <f t="shared" si="199"/>
      </c>
      <c r="EP59" s="360">
        <f t="shared" si="199"/>
      </c>
      <c r="EQ59" s="361">
        <f t="shared" si="199"/>
      </c>
      <c r="ER59" s="360">
        <f t="shared" si="199"/>
      </c>
      <c r="ES59" s="360">
        <f t="shared" si="199"/>
      </c>
      <c r="ET59" s="360">
        <f>ET29+ET30+ET38</f>
      </c>
      <c r="EU59" s="360">
        <f>EU29+EU30+EU38</f>
      </c>
      <c r="EV59" s="361">
        <f t="shared" si="199"/>
      </c>
      <c r="EW59" s="360">
        <f t="shared" ref="EW59:EX59" si="200">EW29+EW30+EW38</f>
      </c>
      <c r="EX59" s="360">
        <f t="shared" si="200"/>
      </c>
      <c r="EY59" s="360">
        <f>EY29+EY30+EY38</f>
      </c>
      <c r="EZ59" s="360">
        <f>EZ29+EZ30+EZ38</f>
      </c>
      <c r="FA59" s="361">
        <f t="shared" ref="FA59" si="201">FA29+FA30+FA38</f>
      </c>
      <c r="FB59" s="360">
        <f t="shared" si="199"/>
      </c>
      <c r="FC59" s="360">
        <f t="shared" si="199"/>
      </c>
      <c r="FD59" s="360">
        <f t="shared" si="199"/>
      </c>
      <c r="FE59" s="360">
        <f t="shared" si="199"/>
      </c>
      <c r="FF59" s="361">
        <f t="shared" si="199"/>
      </c>
      <c r="FG59" s="360">
        <f t="shared" ref="FG59:FZ59" si="202">FG29+FG30+FG38</f>
      </c>
      <c r="FH59" s="360">
        <f t="shared" si="202"/>
      </c>
      <c r="FI59" s="360">
        <f t="shared" si="202"/>
      </c>
      <c r="FJ59" s="360">
        <f t="shared" si="202"/>
      </c>
      <c r="FK59" s="361">
        <f t="shared" si="202"/>
      </c>
      <c r="FL59" s="360">
        <f t="shared" si="202"/>
      </c>
      <c r="FM59" s="360">
        <f t="shared" si="202"/>
      </c>
      <c r="FN59" s="360">
        <f t="shared" si="202"/>
      </c>
      <c r="FO59" s="360">
        <f t="shared" si="202"/>
      </c>
      <c r="FP59" s="361">
        <f t="shared" si="202"/>
      </c>
      <c r="FQ59" s="360">
        <f t="shared" si="202"/>
      </c>
      <c r="FR59" s="360">
        <f t="shared" si="202"/>
      </c>
      <c r="FS59" s="360">
        <f t="shared" si="202"/>
      </c>
      <c r="FT59" s="360">
        <f t="shared" si="202"/>
      </c>
      <c r="FU59" s="361">
        <f t="shared" si="202"/>
      </c>
      <c r="FV59" s="360">
        <f t="shared" si="202"/>
      </c>
      <c r="FW59" s="360">
        <f t="shared" si="202"/>
      </c>
      <c r="FX59" s="360">
        <f t="shared" si="202"/>
      </c>
      <c r="FY59" s="360">
        <f t="shared" si="202"/>
      </c>
      <c r="FZ59" s="361">
        <f t="shared" si="202"/>
      </c>
      <c r="GA59" s="360">
        <f t="shared" ref="GA59:GJ59" si="203">GA29+GA30+GA38</f>
      </c>
      <c r="GB59" s="360">
        <f t="shared" si="203"/>
      </c>
      <c r="GC59" s="360">
        <f t="shared" si="203"/>
      </c>
      <c r="GD59" s="360">
        <f t="shared" si="203"/>
      </c>
      <c r="GE59" s="361">
        <f t="shared" si="203"/>
      </c>
      <c r="GF59" s="360">
        <f t="shared" si="203"/>
      </c>
      <c r="GG59" s="360">
        <f t="shared" si="203"/>
      </c>
      <c r="GH59" s="360">
        <f t="shared" si="203"/>
      </c>
      <c r="GI59" s="360">
        <f t="shared" si="203"/>
      </c>
      <c r="GJ59" s="361">
        <f t="shared" si="203"/>
      </c>
    </row>
    <row r="60" spans="1:192" s="277" customFormat="1" ht="12.75" hidden="1" customHeight="1" outlineLevel="1">
      <c r="A60" s="794" t="s">
        <v>370</v>
      </c>
      <c r="B60" s="712" t="s">
        <v>170</v>
      </c>
      <c r="C60" s="360">
        <f t="shared" ref="C60:AH60" si="204">C59-C58</f>
      </c>
      <c r="D60" s="360">
        <f t="shared" si="204"/>
      </c>
      <c r="E60" s="360">
        <f t="shared" si="204"/>
      </c>
      <c r="F60" s="360">
        <f t="shared" si="204"/>
      </c>
      <c r="G60" s="361">
        <f t="shared" si="204"/>
      </c>
      <c r="H60" s="360">
        <f t="shared" si="204"/>
      </c>
      <c r="I60" s="360">
        <f t="shared" si="204"/>
      </c>
      <c r="J60" s="360">
        <f t="shared" si="204"/>
      </c>
      <c r="K60" s="360">
        <f t="shared" si="204"/>
      </c>
      <c r="L60" s="361">
        <f t="shared" si="204"/>
      </c>
      <c r="M60" s="360">
        <f t="shared" si="204"/>
      </c>
      <c r="N60" s="360">
        <f t="shared" si="204"/>
      </c>
      <c r="O60" s="360">
        <f t="shared" si="204"/>
      </c>
      <c r="P60" s="360">
        <f t="shared" si="204"/>
      </c>
      <c r="Q60" s="361">
        <f t="shared" si="204"/>
      </c>
      <c r="R60" s="360">
        <f t="shared" si="204"/>
      </c>
      <c r="S60" s="360">
        <f t="shared" si="204"/>
      </c>
      <c r="T60" s="360">
        <f t="shared" si="204"/>
      </c>
      <c r="U60" s="360">
        <f t="shared" si="204"/>
      </c>
      <c r="V60" s="361">
        <f t="shared" si="204"/>
      </c>
      <c r="W60" s="360">
        <f t="shared" si="204"/>
      </c>
      <c r="X60" s="360">
        <f t="shared" si="204"/>
      </c>
      <c r="Y60" s="360">
        <f t="shared" si="204"/>
      </c>
      <c r="Z60" s="360">
        <f t="shared" si="204"/>
      </c>
      <c r="AA60" s="361">
        <f t="shared" si="204"/>
      </c>
      <c r="AB60" s="360">
        <f t="shared" si="204"/>
      </c>
      <c r="AC60" s="360">
        <f t="shared" si="204"/>
      </c>
      <c r="AD60" s="360">
        <f t="shared" si="204"/>
      </c>
      <c r="AE60" s="360">
        <f t="shared" si="204"/>
      </c>
      <c r="AF60" s="361">
        <f t="shared" si="204"/>
      </c>
      <c r="AG60" s="360">
        <f t="shared" si="204"/>
      </c>
      <c r="AH60" s="360">
        <f t="shared" si="204"/>
      </c>
      <c r="AI60" s="360">
        <f t="shared" ref="AI60:BN60" si="205">AI59-AI58</f>
      </c>
      <c r="AJ60" s="360">
        <f t="shared" si="205"/>
      </c>
      <c r="AK60" s="361">
        <f t="shared" si="205"/>
      </c>
      <c r="AL60" s="360">
        <f t="shared" si="205"/>
      </c>
      <c r="AM60" s="360">
        <f t="shared" si="205"/>
      </c>
      <c r="AN60" s="360">
        <f t="shared" si="205"/>
      </c>
      <c r="AO60" s="360">
        <f t="shared" si="205"/>
      </c>
      <c r="AP60" s="361">
        <f t="shared" si="205"/>
      </c>
      <c r="AQ60" s="360">
        <f t="shared" si="205"/>
      </c>
      <c r="AR60" s="360">
        <f t="shared" si="205"/>
      </c>
      <c r="AS60" s="360">
        <f t="shared" si="205"/>
      </c>
      <c r="AT60" s="360">
        <f t="shared" si="205"/>
      </c>
      <c r="AU60" s="361">
        <f t="shared" si="205"/>
      </c>
      <c r="AV60" s="360">
        <f t="shared" si="205"/>
      </c>
      <c r="AW60" s="360">
        <f t="shared" si="205"/>
      </c>
      <c r="AX60" s="360">
        <f t="shared" si="205"/>
      </c>
      <c r="AY60" s="360">
        <f t="shared" si="205"/>
      </c>
      <c r="AZ60" s="361">
        <f t="shared" si="205"/>
      </c>
      <c r="BA60" s="360">
        <f t="shared" si="205"/>
      </c>
      <c r="BB60" s="360">
        <f t="shared" si="205"/>
      </c>
      <c r="BC60" s="360">
        <f t="shared" si="205"/>
      </c>
      <c r="BD60" s="360">
        <f t="shared" si="205"/>
      </c>
      <c r="BE60" s="361">
        <f t="shared" si="205"/>
      </c>
      <c r="BF60" s="360">
        <f t="shared" si="205"/>
      </c>
      <c r="BG60" s="360">
        <f t="shared" si="205"/>
      </c>
      <c r="BH60" s="360">
        <f t="shared" si="205"/>
      </c>
      <c r="BI60" s="360">
        <f t="shared" si="205"/>
      </c>
      <c r="BJ60" s="361">
        <f t="shared" si="205"/>
      </c>
      <c r="BK60" s="360">
        <f t="shared" si="205"/>
      </c>
      <c r="BL60" s="360">
        <f t="shared" si="205"/>
      </c>
      <c r="BM60" s="360">
        <f t="shared" si="205"/>
      </c>
      <c r="BN60" s="360">
        <f t="shared" si="205"/>
      </c>
      <c r="BO60" s="361">
        <f t="shared" ref="BO60:CT60" si="206">BO59-BO58</f>
      </c>
      <c r="BP60" s="360">
        <f t="shared" si="206"/>
      </c>
      <c r="BQ60" s="360">
        <f t="shared" si="206"/>
      </c>
      <c r="BR60" s="360">
        <f t="shared" si="206"/>
      </c>
      <c r="BS60" s="360">
        <f t="shared" si="206"/>
      </c>
      <c r="BT60" s="361">
        <f t="shared" si="206"/>
      </c>
      <c r="BU60" s="360">
        <f t="shared" si="206"/>
      </c>
      <c r="BV60" s="360">
        <f t="shared" si="206"/>
      </c>
      <c r="BW60" s="360">
        <f t="shared" si="206"/>
      </c>
      <c r="BX60" s="360">
        <f t="shared" si="206"/>
      </c>
      <c r="BY60" s="361">
        <f t="shared" si="206"/>
      </c>
      <c r="BZ60" s="360">
        <f t="shared" si="206"/>
      </c>
      <c r="CA60" s="360">
        <f t="shared" si="206"/>
      </c>
      <c r="CB60" s="360">
        <f t="shared" si="206"/>
      </c>
      <c r="CC60" s="360">
        <f t="shared" si="206"/>
      </c>
      <c r="CD60" s="361">
        <f t="shared" si="206"/>
      </c>
      <c r="CE60" s="360">
        <f t="shared" si="206"/>
      </c>
      <c r="CF60" s="360">
        <f t="shared" si="206"/>
      </c>
      <c r="CG60" s="360">
        <f t="shared" si="206"/>
      </c>
      <c r="CH60" s="360">
        <f t="shared" si="206"/>
      </c>
      <c r="CI60" s="361">
        <f t="shared" si="206"/>
      </c>
      <c r="CJ60" s="360">
        <f t="shared" si="206"/>
      </c>
      <c r="CK60" s="360">
        <f t="shared" si="206"/>
      </c>
      <c r="CL60" s="360">
        <f t="shared" si="206"/>
      </c>
      <c r="CM60" s="360">
        <f t="shared" si="206"/>
      </c>
      <c r="CN60" s="361">
        <f t="shared" si="206"/>
      </c>
      <c r="CO60" s="360">
        <f t="shared" si="206"/>
      </c>
      <c r="CP60" s="360">
        <f t="shared" si="206"/>
      </c>
      <c r="CQ60" s="360">
        <f t="shared" si="206"/>
      </c>
      <c r="CR60" s="360">
        <f t="shared" si="206"/>
      </c>
      <c r="CS60" s="361">
        <f t="shared" si="206"/>
      </c>
      <c r="CT60" s="360">
        <f t="shared" si="206"/>
      </c>
      <c r="CU60" s="360">
        <f t="shared" ref="CU60:DZ60" si="207">CU59-CU58</f>
      </c>
      <c r="CV60" s="360">
        <f t="shared" si="207"/>
      </c>
      <c r="CW60" s="360">
        <f t="shared" si="207"/>
      </c>
      <c r="CX60" s="361">
        <f t="shared" si="207"/>
      </c>
      <c r="CY60" s="360">
        <f t="shared" si="207"/>
      </c>
      <c r="CZ60" s="360">
        <f t="shared" si="207"/>
      </c>
      <c r="DA60" s="360">
        <f t="shared" si="207"/>
      </c>
      <c r="DB60" s="360">
        <f t="shared" si="207"/>
      </c>
      <c r="DC60" s="361">
        <f t="shared" si="207"/>
      </c>
      <c r="DD60" s="360">
        <f t="shared" si="207"/>
      </c>
      <c r="DE60" s="360">
        <f t="shared" si="207"/>
      </c>
      <c r="DF60" s="360">
        <f t="shared" si="207"/>
      </c>
      <c r="DG60" s="360">
        <f t="shared" si="207"/>
      </c>
      <c r="DH60" s="361">
        <f t="shared" si="207"/>
      </c>
      <c r="DI60" s="360">
        <f t="shared" si="207"/>
      </c>
      <c r="DJ60" s="360">
        <f t="shared" si="207"/>
      </c>
      <c r="DK60" s="360">
        <f t="shared" si="207"/>
      </c>
      <c r="DL60" s="360">
        <f t="shared" si="207"/>
      </c>
      <c r="DM60" s="361">
        <f t="shared" si="207"/>
      </c>
      <c r="DN60" s="360">
        <f t="shared" si="207"/>
      </c>
      <c r="DO60" s="360">
        <f t="shared" si="207"/>
      </c>
      <c r="DP60" s="360">
        <f t="shared" si="207"/>
      </c>
      <c r="DQ60" s="360">
        <f t="shared" si="207"/>
      </c>
      <c r="DR60" s="361">
        <f t="shared" si="207"/>
      </c>
      <c r="DS60" s="360">
        <f t="shared" si="207"/>
      </c>
      <c r="DT60" s="360">
        <f t="shared" si="207"/>
      </c>
      <c r="DU60" s="360">
        <f t="shared" si="207"/>
      </c>
      <c r="DV60" s="360">
        <f t="shared" si="207"/>
      </c>
      <c r="DW60" s="361">
        <f t="shared" si="207"/>
      </c>
      <c r="DX60" s="360">
        <f t="shared" si="207"/>
      </c>
      <c r="DY60" s="360">
        <f t="shared" si="207"/>
      </c>
      <c r="DZ60" s="360">
        <f t="shared" si="207"/>
      </c>
      <c r="EA60" s="360">
        <f t="shared" ref="EA60:FF60" si="208">EA59-EA58</f>
      </c>
      <c r="EB60" s="361">
        <f t="shared" si="208"/>
      </c>
      <c r="EC60" s="360">
        <f t="shared" si="208"/>
      </c>
      <c r="ED60" s="360">
        <f t="shared" si="208"/>
      </c>
      <c r="EE60" s="360">
        <f t="shared" si="208"/>
      </c>
      <c r="EF60" s="360">
        <f t="shared" si="208"/>
      </c>
      <c r="EG60" s="361">
        <f t="shared" si="208"/>
      </c>
      <c r="EH60" s="360">
        <f t="shared" si="208"/>
      </c>
      <c r="EI60" s="360">
        <f t="shared" si="208"/>
      </c>
      <c r="EJ60" s="360">
        <f t="shared" si="208"/>
      </c>
      <c r="EK60" s="360">
        <f t="shared" si="208"/>
      </c>
      <c r="EL60" s="361">
        <f t="shared" si="208"/>
      </c>
      <c r="EM60" s="360">
        <f t="shared" si="208"/>
      </c>
      <c r="EN60" s="360">
        <f t="shared" si="208"/>
      </c>
      <c r="EO60" s="360">
        <f t="shared" si="208"/>
      </c>
      <c r="EP60" s="360">
        <f t="shared" si="208"/>
      </c>
      <c r="EQ60" s="361">
        <f t="shared" si="208"/>
      </c>
      <c r="ER60" s="360">
        <f t="shared" si="208"/>
      </c>
      <c r="ES60" s="360">
        <f t="shared" si="208"/>
      </c>
      <c r="ET60" s="360">
        <f>ET59-ET58</f>
      </c>
      <c r="EU60" s="360">
        <f>EU59-EU58</f>
      </c>
      <c r="EV60" s="361">
        <f t="shared" si="208"/>
      </c>
      <c r="EW60" s="360">
        <f t="shared" ref="EW60:EX60" si="209">EW59-EW58</f>
      </c>
      <c r="EX60" s="360">
        <f t="shared" si="209"/>
      </c>
      <c r="EY60" s="360">
        <f>EY59-EY58</f>
      </c>
      <c r="EZ60" s="360">
        <f>EZ59-EZ58</f>
      </c>
      <c r="FA60" s="361">
        <f t="shared" ref="FA60" si="210">FA59-FA58</f>
      </c>
      <c r="FB60" s="360">
        <f t="shared" si="208"/>
      </c>
      <c r="FC60" s="360">
        <f t="shared" si="208"/>
      </c>
      <c r="FD60" s="360">
        <f t="shared" si="208"/>
      </c>
      <c r="FE60" s="360">
        <f t="shared" si="208"/>
      </c>
      <c r="FF60" s="361">
        <f t="shared" si="208"/>
      </c>
      <c r="FG60" s="360">
        <f t="shared" ref="FG60:FZ60" si="211">FG59-FG58</f>
      </c>
      <c r="FH60" s="360">
        <f t="shared" si="211"/>
      </c>
      <c r="FI60" s="360">
        <f t="shared" si="211"/>
      </c>
      <c r="FJ60" s="360">
        <f t="shared" si="211"/>
      </c>
      <c r="FK60" s="361">
        <f t="shared" si="211"/>
      </c>
      <c r="FL60" s="360">
        <f t="shared" si="211"/>
      </c>
      <c r="FM60" s="360">
        <f t="shared" si="211"/>
      </c>
      <c r="FN60" s="360">
        <f t="shared" si="211"/>
      </c>
      <c r="FO60" s="360">
        <f t="shared" si="211"/>
      </c>
      <c r="FP60" s="361">
        <f t="shared" si="211"/>
      </c>
      <c r="FQ60" s="360">
        <f t="shared" si="211"/>
      </c>
      <c r="FR60" s="360">
        <f t="shared" si="211"/>
      </c>
      <c r="FS60" s="360">
        <f t="shared" si="211"/>
      </c>
      <c r="FT60" s="360">
        <f t="shared" si="211"/>
      </c>
      <c r="FU60" s="361">
        <f t="shared" si="211"/>
      </c>
      <c r="FV60" s="360">
        <f t="shared" si="211"/>
      </c>
      <c r="FW60" s="360">
        <f t="shared" si="211"/>
      </c>
      <c r="FX60" s="360">
        <f t="shared" si="211"/>
      </c>
      <c r="FY60" s="360">
        <f t="shared" si="211"/>
      </c>
      <c r="FZ60" s="361">
        <f t="shared" si="211"/>
      </c>
      <c r="GA60" s="360">
        <f t="shared" ref="GA60:GJ60" si="212">GA59-GA58</f>
      </c>
      <c r="GB60" s="360">
        <f t="shared" si="212"/>
      </c>
      <c r="GC60" s="360">
        <f t="shared" si="212"/>
      </c>
      <c r="GD60" s="360">
        <f t="shared" si="212"/>
      </c>
      <c r="GE60" s="361">
        <f t="shared" si="212"/>
      </c>
      <c r="GF60" s="360">
        <f t="shared" si="212"/>
      </c>
      <c r="GG60" s="360">
        <f t="shared" si="212"/>
      </c>
      <c r="GH60" s="360">
        <f t="shared" si="212"/>
      </c>
      <c r="GI60" s="360">
        <f t="shared" si="212"/>
      </c>
      <c r="GJ60" s="361">
        <f t="shared" si="212"/>
      </c>
    </row>
    <row r="61" spans="1:192" s="93" customFormat="1" ht="12.75" customHeight="1" collapsed="1">
      <c r="A61" s="81"/>
      <c r="B61" s="713"/>
      <c r="C61" s="113"/>
      <c r="D61" s="114"/>
      <c r="E61" s="114"/>
      <c r="F61" s="114"/>
      <c r="G61" s="115"/>
      <c r="H61" s="113"/>
      <c r="I61" s="114"/>
      <c r="J61" s="114"/>
      <c r="K61" s="114"/>
      <c r="L61" s="115"/>
      <c r="M61" s="113"/>
      <c r="N61" s="114"/>
      <c r="O61" s="114"/>
      <c r="P61" s="114"/>
      <c r="Q61" s="115"/>
      <c r="R61" s="113"/>
      <c r="S61" s="114"/>
      <c r="T61" s="114"/>
      <c r="U61" s="114"/>
      <c r="V61" s="115"/>
      <c r="W61" s="113"/>
      <c r="X61" s="114"/>
      <c r="Y61" s="114"/>
      <c r="Z61" s="114"/>
      <c r="AA61" s="115"/>
      <c r="AB61" s="113"/>
      <c r="AC61" s="114"/>
      <c r="AD61" s="114"/>
      <c r="AE61" s="114"/>
      <c r="AF61" s="115"/>
      <c r="AG61" s="113"/>
      <c r="AH61" s="114"/>
      <c r="AI61" s="114"/>
      <c r="AJ61" s="114"/>
      <c r="AK61" s="115"/>
      <c r="AL61" s="113"/>
      <c r="AM61" s="114"/>
      <c r="AN61" s="114"/>
      <c r="AO61" s="114"/>
      <c r="AP61" s="115"/>
      <c r="AQ61" s="113"/>
      <c r="AR61" s="114"/>
      <c r="AS61" s="114"/>
      <c r="AT61" s="114"/>
      <c r="AU61" s="115"/>
      <c r="AV61" s="113"/>
      <c r="AW61" s="114"/>
      <c r="AX61" s="114"/>
      <c r="AY61" s="114"/>
      <c r="AZ61" s="115"/>
      <c r="BA61" s="113"/>
      <c r="BB61" s="114"/>
      <c r="BC61" s="114"/>
      <c r="BD61" s="114"/>
      <c r="BE61" s="115"/>
      <c r="BF61" s="113"/>
      <c r="BG61" s="114"/>
      <c r="BH61" s="114"/>
      <c r="BI61" s="114"/>
      <c r="BJ61" s="115"/>
      <c r="BK61" s="113"/>
      <c r="BL61" s="114"/>
      <c r="BM61" s="114"/>
      <c r="BN61" s="114"/>
      <c r="BO61" s="115"/>
      <c r="BP61" s="113"/>
      <c r="BQ61" s="114"/>
      <c r="BR61" s="114"/>
      <c r="BS61" s="114"/>
      <c r="BT61" s="115"/>
      <c r="BU61" s="113"/>
      <c r="BV61" s="114"/>
      <c r="BW61" s="114"/>
      <c r="BX61" s="114"/>
      <c r="BY61" s="115"/>
      <c r="BZ61" s="113"/>
      <c r="CA61" s="114"/>
      <c r="CB61" s="114"/>
      <c r="CC61" s="114"/>
      <c r="CD61" s="115"/>
      <c r="CE61" s="113"/>
      <c r="CF61" s="114"/>
      <c r="CG61" s="114"/>
      <c r="CH61" s="114"/>
      <c r="CI61" s="115"/>
      <c r="CJ61" s="113"/>
      <c r="CK61" s="114"/>
      <c r="CL61" s="114"/>
      <c r="CM61" s="114"/>
      <c r="CN61" s="115"/>
      <c r="CO61" s="113"/>
      <c r="CP61" s="114"/>
      <c r="CQ61" s="114"/>
      <c r="CR61" s="114"/>
      <c r="CS61" s="115"/>
      <c r="CT61" s="113"/>
      <c r="CU61" s="114"/>
      <c r="CV61" s="114"/>
      <c r="CW61" s="114"/>
      <c r="CX61" s="115"/>
      <c r="CY61" s="113"/>
      <c r="CZ61" s="114"/>
      <c r="DA61" s="114"/>
      <c r="DB61" s="114"/>
      <c r="DC61" s="115"/>
      <c r="DD61" s="113"/>
      <c r="DE61" s="114"/>
      <c r="DF61" s="114"/>
      <c r="DG61" s="114"/>
      <c r="DH61" s="115"/>
      <c r="DI61" s="113"/>
      <c r="DJ61" s="114"/>
      <c r="DK61" s="114"/>
      <c r="DL61" s="114"/>
      <c r="DM61" s="115"/>
      <c r="DN61" s="113"/>
      <c r="DO61" s="114"/>
      <c r="DP61" s="114"/>
      <c r="DQ61" s="114"/>
      <c r="DR61" s="115"/>
      <c r="DS61" s="113"/>
      <c r="DT61" s="114"/>
      <c r="DU61" s="114"/>
      <c r="DV61" s="114"/>
      <c r="DW61" s="115"/>
      <c r="DX61" s="113"/>
      <c r="DY61" s="114"/>
      <c r="DZ61" s="114"/>
      <c r="EA61" s="114"/>
      <c r="EB61" s="115"/>
      <c r="EC61" s="113"/>
      <c r="ED61" s="114"/>
      <c r="EE61" s="114"/>
      <c r="EF61" s="114"/>
      <c r="EG61" s="115"/>
      <c r="EH61" s="113"/>
      <c r="EI61" s="114"/>
      <c r="EJ61" s="114"/>
      <c r="EK61" s="114"/>
      <c r="EL61" s="115"/>
      <c r="EM61" s="113"/>
      <c r="EN61" s="114"/>
      <c r="EO61" s="114"/>
      <c r="EP61" s="114"/>
      <c r="EQ61" s="115"/>
      <c r="ER61" s="113"/>
      <c r="ES61" s="114"/>
      <c r="ET61" s="114"/>
      <c r="EU61" s="114"/>
      <c r="EV61" s="115"/>
      <c r="EW61" s="113"/>
      <c r="EX61" s="114"/>
      <c r="EY61" s="114"/>
      <c r="EZ61" s="114"/>
      <c r="FA61" s="115"/>
      <c r="FB61" s="113"/>
      <c r="FC61" s="114"/>
      <c r="FD61" s="114"/>
      <c r="FE61" s="114"/>
      <c r="FF61" s="115"/>
      <c r="FG61" s="113"/>
      <c r="FH61" s="114"/>
      <c r="FI61" s="114"/>
      <c r="FJ61" s="114"/>
      <c r="FK61" s="115"/>
      <c r="FL61" s="113"/>
      <c r="FM61" s="114"/>
      <c r="FN61" s="114"/>
      <c r="FO61" s="114"/>
      <c r="FP61" s="115"/>
      <c r="FQ61" s="113"/>
      <c r="FR61" s="114"/>
      <c r="FS61" s="114"/>
      <c r="FT61" s="114"/>
      <c r="FU61" s="115"/>
      <c r="FV61" s="113"/>
      <c r="FW61" s="114"/>
      <c r="FX61" s="114"/>
      <c r="FY61" s="114"/>
      <c r="FZ61" s="115"/>
      <c r="GA61" s="113"/>
      <c r="GB61" s="114"/>
      <c r="GC61" s="114"/>
      <c r="GD61" s="114"/>
      <c r="GE61" s="115"/>
      <c r="GF61" s="113"/>
      <c r="GG61" s="114"/>
      <c r="GH61" s="114"/>
      <c r="GI61" s="114"/>
      <c r="GJ61" s="115"/>
    </row>
    <row r="62" spans="1:192" s="93" customFormat="1" ht="12.75" customHeight="1">
      <c r="A62" s="81"/>
      <c r="B62" s="683" t="s">
        <v>315</v>
      </c>
      <c r="C62" s="104"/>
      <c r="D62" s="105"/>
      <c r="E62" s="105"/>
      <c r="F62" s="105"/>
      <c r="G62" s="116"/>
      <c r="H62" s="104"/>
      <c r="I62" s="105"/>
      <c r="J62" s="105"/>
      <c r="K62" s="105"/>
      <c r="L62" s="116"/>
      <c r="M62" s="104"/>
      <c r="N62" s="105"/>
      <c r="O62" s="105"/>
      <c r="P62" s="105"/>
      <c r="Q62" s="116"/>
      <c r="R62" s="104"/>
      <c r="S62" s="105"/>
      <c r="T62" s="105"/>
      <c r="U62" s="105"/>
      <c r="V62" s="116"/>
      <c r="W62" s="104"/>
      <c r="X62" s="105"/>
      <c r="Y62" s="105"/>
      <c r="Z62" s="105"/>
      <c r="AA62" s="116"/>
      <c r="AB62" s="104"/>
      <c r="AC62" s="105"/>
      <c r="AD62" s="105"/>
      <c r="AE62" s="105"/>
      <c r="AF62" s="116"/>
      <c r="AG62" s="104"/>
      <c r="AH62" s="105"/>
      <c r="AI62" s="105"/>
      <c r="AJ62" s="105"/>
      <c r="AK62" s="116"/>
      <c r="AL62" s="104"/>
      <c r="AM62" s="105"/>
      <c r="AN62" s="105"/>
      <c r="AO62" s="105"/>
      <c r="AP62" s="116"/>
      <c r="AQ62" s="104"/>
      <c r="AR62" s="105"/>
      <c r="AS62" s="105"/>
      <c r="AT62" s="105"/>
      <c r="AU62" s="116"/>
      <c r="AV62" s="104"/>
      <c r="AW62" s="105"/>
      <c r="AX62" s="105"/>
      <c r="AY62" s="105"/>
      <c r="AZ62" s="116"/>
      <c r="BA62" s="104"/>
      <c r="BB62" s="105"/>
      <c r="BC62" s="105"/>
      <c r="BD62" s="105"/>
      <c r="BE62" s="116"/>
      <c r="BF62" s="104"/>
      <c r="BG62" s="105"/>
      <c r="BH62" s="105"/>
      <c r="BI62" s="105"/>
      <c r="BJ62" s="116"/>
      <c r="BK62" s="104"/>
      <c r="BL62" s="105"/>
      <c r="BM62" s="105"/>
      <c r="BN62" s="105"/>
      <c r="BO62" s="116"/>
      <c r="BP62" s="104"/>
      <c r="BQ62" s="105"/>
      <c r="BR62" s="105"/>
      <c r="BS62" s="105"/>
      <c r="BT62" s="116"/>
      <c r="BU62" s="104"/>
      <c r="BV62" s="105"/>
      <c r="BW62" s="105"/>
      <c r="BX62" s="105"/>
      <c r="BY62" s="116"/>
      <c r="BZ62" s="104"/>
      <c r="CA62" s="105"/>
      <c r="CB62" s="105"/>
      <c r="CC62" s="105"/>
      <c r="CD62" s="116"/>
      <c r="CE62" s="104"/>
      <c r="CF62" s="105"/>
      <c r="CG62" s="105"/>
      <c r="CH62" s="105"/>
      <c r="CI62" s="116"/>
      <c r="CJ62" s="104"/>
      <c r="CK62" s="105"/>
      <c r="CL62" s="105"/>
      <c r="CM62" s="105"/>
      <c r="CN62" s="116"/>
      <c r="CO62" s="104"/>
      <c r="CP62" s="105"/>
      <c r="CQ62" s="105"/>
      <c r="CR62" s="105"/>
      <c r="CS62" s="116"/>
      <c r="CT62" s="104"/>
      <c r="CU62" s="105"/>
      <c r="CV62" s="105"/>
      <c r="CW62" s="105"/>
      <c r="CX62" s="116"/>
      <c r="CY62" s="104"/>
      <c r="CZ62" s="105"/>
      <c r="DA62" s="105"/>
      <c r="DB62" s="105"/>
      <c r="DC62" s="116"/>
      <c r="DD62" s="104"/>
      <c r="DE62" s="105"/>
      <c r="DF62" s="105"/>
      <c r="DG62" s="105"/>
      <c r="DH62" s="116"/>
      <c r="DI62" s="104"/>
      <c r="DJ62" s="105"/>
      <c r="DK62" s="105"/>
      <c r="DL62" s="105"/>
      <c r="DM62" s="116"/>
      <c r="DN62" s="104"/>
      <c r="DO62" s="105"/>
      <c r="DP62" s="105"/>
      <c r="DQ62" s="105"/>
      <c r="DR62" s="116"/>
      <c r="DS62" s="104"/>
      <c r="DT62" s="105"/>
      <c r="DU62" s="105"/>
      <c r="DV62" s="105"/>
      <c r="DW62" s="116"/>
      <c r="DX62" s="104"/>
      <c r="DY62" s="105"/>
      <c r="DZ62" s="105"/>
      <c r="EA62" s="105"/>
      <c r="EB62" s="116"/>
      <c r="EC62" s="104"/>
      <c r="ED62" s="105"/>
      <c r="EE62" s="105"/>
      <c r="EF62" s="105"/>
      <c r="EG62" s="116"/>
      <c r="EH62" s="104"/>
      <c r="EI62" s="105"/>
      <c r="EJ62" s="105"/>
      <c r="EK62" s="105"/>
      <c r="EL62" s="116"/>
      <c r="EM62" s="104"/>
      <c r="EN62" s="105"/>
      <c r="EO62" s="105"/>
      <c r="EP62" s="105"/>
      <c r="EQ62" s="116"/>
      <c r="ER62" s="104"/>
      <c r="ES62" s="105"/>
      <c r="ET62" s="105"/>
      <c r="EU62" s="105"/>
      <c r="EV62" s="116"/>
      <c r="EW62" s="104"/>
      <c r="EX62" s="105"/>
      <c r="EY62" s="105"/>
      <c r="EZ62" s="105"/>
      <c r="FA62" s="116"/>
      <c r="FB62" s="104"/>
      <c r="FC62" s="105"/>
      <c r="FD62" s="105"/>
      <c r="FE62" s="105"/>
      <c r="FF62" s="116"/>
      <c r="FG62" s="104"/>
      <c r="FH62" s="105"/>
      <c r="FI62" s="105"/>
      <c r="FJ62" s="105"/>
      <c r="FK62" s="116"/>
      <c r="FL62" s="104"/>
      <c r="FM62" s="105"/>
      <c r="FN62" s="105"/>
      <c r="FO62" s="105"/>
      <c r="FP62" s="116"/>
      <c r="FQ62" s="104"/>
      <c r="FR62" s="105"/>
      <c r="FS62" s="105"/>
      <c r="FT62" s="105"/>
      <c r="FU62" s="116"/>
      <c r="FV62" s="104"/>
      <c r="FW62" s="105"/>
      <c r="FX62" s="105"/>
      <c r="FY62" s="105"/>
      <c r="FZ62" s="116"/>
      <c r="GA62" s="104"/>
      <c r="GB62" s="105"/>
      <c r="GC62" s="105"/>
      <c r="GD62" s="105"/>
      <c r="GE62" s="116"/>
      <c r="GF62" s="104"/>
      <c r="GG62" s="105"/>
      <c r="GH62" s="105"/>
      <c r="GI62" s="105"/>
      <c r="GJ62" s="116"/>
    </row>
    <row r="63" spans="1:192" s="93" customFormat="1" ht="12.75" hidden="1" customHeight="1" outlineLevel="1">
      <c r="A63" s="119"/>
      <c r="B63" s="714" t="s">
        <v>171</v>
      </c>
      <c r="C63" s="117"/>
      <c r="D63" s="117"/>
      <c r="E63" s="117"/>
      <c r="F63" s="117"/>
      <c r="G63" s="118"/>
      <c r="H63" s="117">
        <f t="shared" ref="H63:K63" si="213">IFERROR((H12/H56)*H64,"")</f>
      </c>
      <c r="I63" s="117">
        <f t="shared" si="213"/>
      </c>
      <c r="J63" s="117">
        <f t="shared" si="213"/>
      </c>
      <c r="K63" s="117">
        <f t="shared" si="213"/>
      </c>
      <c r="L63" s="118">
        <f>IFERROR((L12/L56)*L64,"")</f>
      </c>
      <c r="M63" s="117">
        <f t="shared" ref="M63" si="214">IFERROR((M12/M56)*M64,"")</f>
      </c>
      <c r="N63" s="117">
        <f t="shared" ref="N63" si="215">IFERROR((N12/N56)*N64,"")</f>
      </c>
      <c r="O63" s="117">
        <f t="shared" ref="O63" si="216">IFERROR((O12/O56)*O64,"")</f>
      </c>
      <c r="P63" s="117">
        <f t="shared" ref="P63" si="217">IFERROR((P12/P56)*P64,"")</f>
      </c>
      <c r="Q63" s="118">
        <f>IFERROR((Q12/Q56)*Q64,"")</f>
      </c>
      <c r="R63" s="117">
        <f t="shared" ref="R63" si="218">IFERROR((R12/R56)*R64,"")</f>
      </c>
      <c r="S63" s="117">
        <f t="shared" ref="S63" si="219">IFERROR((S12/S56)*S64,"")</f>
      </c>
      <c r="T63" s="117">
        <f t="shared" ref="T63" si="220">IFERROR((T12/T56)*T64,"")</f>
      </c>
      <c r="U63" s="117">
        <f t="shared" ref="U63" si="221">IFERROR((U12/U56)*U64,"")</f>
      </c>
      <c r="V63" s="118">
        <f>IFERROR((V12/V56)*V64,"")</f>
      </c>
      <c r="W63" s="117">
        <f t="shared" ref="W63" si="222">IFERROR((W12/W56)*W64,"")</f>
      </c>
      <c r="X63" s="117">
        <f t="shared" ref="X63" si="223">IFERROR((X12/X56)*X64,"")</f>
      </c>
      <c r="Y63" s="117">
        <f t="shared" ref="Y63" si="224">IFERROR((Y12/Y56)*Y64,"")</f>
      </c>
      <c r="Z63" s="117">
        <f t="shared" ref="Z63" si="225">IFERROR((Z12/Z56)*Z64,"")</f>
      </c>
      <c r="AA63" s="118">
        <f>IFERROR((AA12/AA56)*AA64,"")</f>
      </c>
      <c r="AB63" s="117">
        <f t="shared" ref="AB63" si="226">IFERROR((AB12/AB56)*AB64,"")</f>
      </c>
      <c r="AC63" s="117">
        <f t="shared" ref="AC63" si="227">IFERROR((AC12/AC56)*AC64,"")</f>
      </c>
      <c r="AD63" s="117">
        <f t="shared" ref="AD63" si="228">IFERROR((AD12/AD56)*AD64,"")</f>
      </c>
      <c r="AE63" s="117">
        <f t="shared" ref="AE63" si="229">IFERROR((AE12/AE56)*AE64,"")</f>
      </c>
      <c r="AF63" s="118">
        <f>IFERROR((AF12/AF56)*AF64,"")</f>
      </c>
      <c r="AG63" s="117">
        <f t="shared" ref="AG63" si="230">IFERROR((AG12/AG56)*AG64,"")</f>
      </c>
      <c r="AH63" s="117">
        <f t="shared" ref="AH63" si="231">IFERROR((AH12/AH56)*AH64,"")</f>
      </c>
      <c r="AI63" s="117">
        <f t="shared" ref="AI63" si="232">IFERROR((AI12/AI56)*AI64,"")</f>
      </c>
      <c r="AJ63" s="117">
        <f t="shared" ref="AJ63" si="233">IFERROR((AJ12/AJ56)*AJ64,"")</f>
      </c>
      <c r="AK63" s="118">
        <f>IFERROR((AK12/AK56)*AK64,"")</f>
      </c>
      <c r="AL63" s="117">
        <f t="shared" ref="AL63" si="234">IFERROR((AL12/AL56)*AL64,"")</f>
      </c>
      <c r="AM63" s="117">
        <f t="shared" ref="AM63" si="235">IFERROR((AM12/AM56)*AM64,"")</f>
      </c>
      <c r="AN63" s="117">
        <f t="shared" ref="AN63" si="236">IFERROR((AN12/AN56)*AN64,"")</f>
      </c>
      <c r="AO63" s="117">
        <f t="shared" ref="AO63" si="237">IFERROR((AO12/AO56)*AO64,"")</f>
      </c>
      <c r="AP63" s="118">
        <f>IFERROR((AP12/AP56)*AP64,"")</f>
      </c>
      <c r="AQ63" s="117">
        <f t="shared" ref="AQ63" si="238">IFERROR((AQ12/AQ56)*AQ64,"")</f>
      </c>
      <c r="AR63" s="117">
        <f t="shared" ref="AR63" si="239">IFERROR((AR12/AR56)*AR64,"")</f>
      </c>
      <c r="AS63" s="117">
        <f t="shared" ref="AS63" si="240">IFERROR((AS12/AS56)*AS64,"")</f>
      </c>
      <c r="AT63" s="117">
        <f t="shared" ref="AT63" si="241">IFERROR((AT12/AT56)*AT64,"")</f>
      </c>
      <c r="AU63" s="118">
        <f>IFERROR((AU12/AU56)*AU64,"")</f>
      </c>
      <c r="AV63" s="117">
        <f t="shared" ref="AV63" si="242">IFERROR((AV12/AV56)*AV64,"")</f>
      </c>
      <c r="AW63" s="117">
        <f t="shared" ref="AW63" si="243">IFERROR((AW12/AW56)*AW64,"")</f>
      </c>
      <c r="AX63" s="117">
        <f t="shared" ref="AX63" si="244">IFERROR((AX12/AX56)*AX64,"")</f>
      </c>
      <c r="AY63" s="117">
        <f t="shared" ref="AY63" si="245">IFERROR((AY12/AY56)*AY64,"")</f>
      </c>
      <c r="AZ63" s="118">
        <f>IFERROR((AZ12/AZ56)*AZ64,"")</f>
      </c>
      <c r="BA63" s="117">
        <f t="shared" ref="BA63" si="246">IFERROR((BA12/BA56)*BA64,"")</f>
      </c>
      <c r="BB63" s="117">
        <f t="shared" ref="BB63" si="247">IFERROR((BB12/BB56)*BB64,"")</f>
      </c>
      <c r="BC63" s="117">
        <f t="shared" ref="BC63" si="248">IFERROR((BC12/BC56)*BC64,"")</f>
      </c>
      <c r="BD63" s="117">
        <f t="shared" ref="BD63" si="249">IFERROR((BD12/BD56)*BD64,"")</f>
      </c>
      <c r="BE63" s="118">
        <f>IFERROR((BE12/BE56)*BE64,"")</f>
      </c>
      <c r="BF63" s="117">
        <f t="shared" ref="BF63" si="250">IFERROR((BF12/BF56)*BF64,"")</f>
      </c>
      <c r="BG63" s="117">
        <f t="shared" ref="BG63" si="251">IFERROR((BG12/BG56)*BG64,"")</f>
      </c>
      <c r="BH63" s="117">
        <f t="shared" ref="BH63" si="252">IFERROR((BH12/BH56)*BH64,"")</f>
      </c>
      <c r="BI63" s="117">
        <f t="shared" ref="BI63" si="253">IFERROR((BI12/BI56)*BI64,"")</f>
      </c>
      <c r="BJ63" s="118">
        <f>IFERROR((BJ12/BJ56)*BJ64,"")</f>
      </c>
      <c r="BK63" s="117">
        <f t="shared" ref="BK63" si="254">IFERROR((BK12/BK56)*BK64,"")</f>
      </c>
      <c r="BL63" s="117">
        <f t="shared" ref="BL63" si="255">IFERROR((BL12/BL56)*BL64,"")</f>
      </c>
      <c r="BM63" s="117">
        <f t="shared" ref="BM63" si="256">IFERROR((BM12/BM56)*BM64,"")</f>
      </c>
      <c r="BN63" s="117">
        <f t="shared" ref="BN63" si="257">IFERROR((BN12/BN56)*BN64,"")</f>
      </c>
      <c r="BO63" s="118">
        <f>IFERROR((BO12/BO56)*BO64,"")</f>
      </c>
      <c r="BP63" s="117">
        <f t="shared" ref="BP63" si="258">IFERROR((BP12/BP56)*BP64,"")</f>
      </c>
      <c r="BQ63" s="117">
        <f t="shared" ref="BQ63" si="259">IFERROR((BQ12/BQ56)*BQ64,"")</f>
      </c>
      <c r="BR63" s="117">
        <f t="shared" ref="BR63" si="260">IFERROR((BR12/BR56)*BR64,"")</f>
      </c>
      <c r="BS63" s="117">
        <f t="shared" ref="BS63" si="261">IFERROR((BS12/BS56)*BS64,"")</f>
      </c>
      <c r="BT63" s="118">
        <f>IFERROR((BT12/BT56)*BT64,"")</f>
      </c>
      <c r="BU63" s="117">
        <f t="shared" ref="BU63" si="262">IFERROR((BU12/BU56)*BU64,"")</f>
      </c>
      <c r="BV63" s="117">
        <f t="shared" ref="BV63" si="263">IFERROR((BV12/BV56)*BV64,"")</f>
      </c>
      <c r="BW63" s="117">
        <f t="shared" ref="BW63" si="264">IFERROR((BW12/BW56)*BW64,"")</f>
      </c>
      <c r="BX63" s="117">
        <f t="shared" ref="BX63" si="265">IFERROR((BX12/BX56)*BX64,"")</f>
      </c>
      <c r="BY63" s="118">
        <f>IFERROR((BY12/BY56)*BY64,"")</f>
      </c>
      <c r="BZ63" s="117">
        <f t="shared" ref="BZ63" si="266">IFERROR((BZ12/BZ56)*BZ64,"")</f>
      </c>
      <c r="CA63" s="117">
        <f t="shared" ref="CA63" si="267">IFERROR((CA12/CA56)*CA64,"")</f>
      </c>
      <c r="CB63" s="117">
        <f t="shared" ref="CB63" si="268">IFERROR((CB12/CB56)*CB64,"")</f>
      </c>
      <c r="CC63" s="117">
        <f t="shared" ref="CC63" si="269">IFERROR((CC12/CC56)*CC64,"")</f>
      </c>
      <c r="CD63" s="118">
        <f>IFERROR((CD12/CD56)*CD64,"")</f>
      </c>
      <c r="CE63" s="117">
        <f t="shared" ref="CE63" si="270">IFERROR((CE12/CE56)*CE64,"")</f>
      </c>
      <c r="CF63" s="117">
        <f t="shared" ref="CF63" si="271">IFERROR((CF12/CF56)*CF64,"")</f>
      </c>
      <c r="CG63" s="117">
        <f t="shared" ref="CG63" si="272">IFERROR((CG12/CG56)*CG64,"")</f>
      </c>
      <c r="CH63" s="117">
        <f t="shared" ref="CH63" si="273">IFERROR((CH12/CH56)*CH64,"")</f>
      </c>
      <c r="CI63" s="118">
        <f>IFERROR((CI12/CI56)*CI64,"")</f>
      </c>
      <c r="CJ63" s="117">
        <f t="shared" ref="CJ63" si="274">IFERROR((CJ12/CJ56)*CJ64,"")</f>
      </c>
      <c r="CK63" s="117">
        <f t="shared" ref="CK63" si="275">IFERROR((CK12/CK56)*CK64,"")</f>
      </c>
      <c r="CL63" s="117">
        <f t="shared" ref="CL63" si="276">IFERROR((CL12/CL56)*CL64,"")</f>
      </c>
      <c r="CM63" s="117">
        <f t="shared" ref="CM63" si="277">IFERROR((CM12/CM56)*CM64,"")</f>
      </c>
      <c r="CN63" s="118">
        <f>IFERROR((CN12/CN56)*CN64,"")</f>
      </c>
      <c r="CO63" s="117">
        <f t="shared" ref="CO63" si="278">IFERROR((CO12/CO56)*CO64,"")</f>
      </c>
      <c r="CP63" s="117">
        <f t="shared" ref="CP63" si="279">IFERROR((CP12/CP56)*CP64,"")</f>
      </c>
      <c r="CQ63" s="117">
        <f t="shared" ref="CQ63" si="280">IFERROR((CQ12/CQ56)*CQ64,"")</f>
      </c>
      <c r="CR63" s="117">
        <f t="shared" ref="CR63" si="281">IFERROR((CR12/CR56)*CR64,"")</f>
      </c>
      <c r="CS63" s="118">
        <f>IFERROR((CS12/CS56)*CS64,"")</f>
      </c>
      <c r="CT63" s="117">
        <f t="shared" ref="CT63" si="282">IFERROR((CT12/CT56)*CT64,"")</f>
      </c>
      <c r="CU63" s="117">
        <f t="shared" ref="CU63" si="283">IFERROR((CU12/CU56)*CU64,"")</f>
      </c>
      <c r="CV63" s="117">
        <f t="shared" ref="CV63" si="284">IFERROR((CV12/CV56)*CV64,"")</f>
      </c>
      <c r="CW63" s="117">
        <f t="shared" ref="CW63" si="285">IFERROR((CW12/CW56)*CW64,"")</f>
      </c>
      <c r="CX63" s="118">
        <f>IFERROR((CX12/CX56)*CX64,"")</f>
      </c>
      <c r="CY63" s="117">
        <f t="shared" ref="CY63" si="286">IFERROR((CY12/CY56)*CY64,"")</f>
      </c>
      <c r="CZ63" s="117">
        <f t="shared" ref="CZ63" si="287">IFERROR((CZ12/CZ56)*CZ64,"")</f>
      </c>
      <c r="DA63" s="117">
        <f t="shared" ref="DA63" si="288">IFERROR((DA12/DA56)*DA64,"")</f>
      </c>
      <c r="DB63" s="117">
        <f t="shared" ref="DB63" si="289">IFERROR((DB12/DB56)*DB64,"")</f>
      </c>
      <c r="DC63" s="118">
        <f>IFERROR((DC12/DC56)*DC64,"")</f>
      </c>
      <c r="DD63" s="117">
        <f t="shared" ref="DD63" si="290">IFERROR((DD12/DD56)*DD64,"")</f>
      </c>
      <c r="DE63" s="117">
        <f t="shared" ref="DE63" si="291">IFERROR((DE12/DE56)*DE64,"")</f>
      </c>
      <c r="DF63" s="117">
        <f t="shared" ref="DF63" si="292">IFERROR((DF12/DF56)*DF64,"")</f>
      </c>
      <c r="DG63" s="117">
        <f t="shared" ref="DG63" si="293">IFERROR((DG12/DG56)*DG64,"")</f>
      </c>
      <c r="DH63" s="118">
        <f>IFERROR((DH12/DH56)*DH64,"")</f>
      </c>
      <c r="DI63" s="117">
        <f t="shared" ref="DI63" si="294">IFERROR((DI12/DI56)*DI64,"")</f>
      </c>
      <c r="DJ63" s="117">
        <f t="shared" ref="DJ63" si="295">IFERROR((DJ12/DJ56)*DJ64,"")</f>
      </c>
      <c r="DK63" s="117">
        <f t="shared" ref="DK63" si="296">IFERROR((DK12/DK56)*DK64,"")</f>
      </c>
      <c r="DL63" s="117">
        <f t="shared" ref="DL63" si="297">IFERROR((DL12/DL56)*DL64,"")</f>
      </c>
      <c r="DM63" s="118">
        <f>IFERROR((DM12/DM56)*DM64,"")</f>
      </c>
      <c r="DN63" s="117">
        <f t="shared" ref="DN63" si="298">IFERROR((DN12/DN56)*DN64,"")</f>
      </c>
      <c r="DO63" s="117">
        <f t="shared" ref="DO63" si="299">IFERROR((DO12/DO56)*DO64,"")</f>
      </c>
      <c r="DP63" s="117">
        <f t="shared" ref="DP63" si="300">IFERROR((DP12/DP56)*DP64,"")</f>
      </c>
      <c r="DQ63" s="117">
        <f t="shared" ref="DQ63" si="301">IFERROR((DQ12/DQ56)*DQ64,"")</f>
      </c>
      <c r="DR63" s="118">
        <f>IFERROR((DR12/DR56)*DR64,"")</f>
      </c>
      <c r="DS63" s="117">
        <f t="shared" ref="DS63" si="302">IFERROR((DS12/DS56)*DS64,"")</f>
      </c>
      <c r="DT63" s="117">
        <f t="shared" ref="DT63" si="303">IFERROR((DT12/DT56)*DT64,"")</f>
      </c>
      <c r="DU63" s="117">
        <f t="shared" ref="DU63" si="304">IFERROR((DU12/DU56)*DU64,"")</f>
      </c>
      <c r="DV63" s="117">
        <f t="shared" ref="DV63" si="305">IFERROR((DV12/DV56)*DV64,"")</f>
      </c>
      <c r="DW63" s="118">
        <f>IFERROR((DW12/DW56)*DW64,"")</f>
      </c>
      <c r="DX63" s="117">
        <f t="shared" ref="DX63" si="306">IFERROR((DX12/DX56)*DX64,"")</f>
      </c>
      <c r="DY63" s="117">
        <f t="shared" ref="DY63" si="307">IFERROR((DY12/DY56)*DY64,"")</f>
      </c>
      <c r="DZ63" s="117">
        <f t="shared" ref="DZ63" si="308">IFERROR((DZ12/DZ56)*DZ64,"")</f>
      </c>
      <c r="EA63" s="117">
        <f t="shared" ref="EA63" si="309">IFERROR((EA12/EA56)*EA64,"")</f>
      </c>
      <c r="EB63" s="118">
        <f>IFERROR((EB12/EB56)*EB64,"")</f>
      </c>
      <c r="EC63" s="117">
        <f t="shared" ref="EC63" si="310">IFERROR((EC12/EC56)*EC64,"")</f>
      </c>
      <c r="ED63" s="117">
        <f t="shared" ref="ED63" si="311">IFERROR((ED12/ED56)*ED64,"")</f>
      </c>
      <c r="EE63" s="117">
        <f t="shared" ref="EE63" si="312">IFERROR((EE12/EE56)*EE64,"")</f>
      </c>
      <c r="EF63" s="117">
        <f t="shared" ref="EF63" si="313">IFERROR((EF12/EF56)*EF64,"")</f>
      </c>
      <c r="EG63" s="118">
        <f>IFERROR((EG12/EG56)*EG64,"")</f>
      </c>
      <c r="EH63" s="117">
        <f t="shared" ref="EH63" si="314">IFERROR((EH12/EH56)*EH64,"")</f>
      </c>
      <c r="EI63" s="117">
        <f t="shared" ref="EI63" si="315">IFERROR((EI12/EI56)*EI64,"")</f>
      </c>
      <c r="EJ63" s="117">
        <f t="shared" ref="EJ63" si="316">IFERROR((EJ12/EJ56)*EJ64,"")</f>
      </c>
      <c r="EK63" s="117">
        <f t="shared" ref="EK63" si="317">IFERROR((EK12/EK56)*EK64,"")</f>
      </c>
      <c r="EL63" s="118">
        <f>IFERROR((EL12/EL56)*EL64,"")</f>
      </c>
      <c r="EM63" s="117">
        <f t="shared" ref="EM63" si="318">IFERROR((EM12/EM56)*EM64,"")</f>
      </c>
      <c r="EN63" s="117">
        <f t="shared" ref="EN63" si="319">IFERROR((EN12/EN56)*EN64,"")</f>
      </c>
      <c r="EO63" s="117">
        <f t="shared" ref="EO63" si="320">IFERROR((EO12/EO56)*EO64,"")</f>
      </c>
      <c r="EP63" s="117">
        <f t="shared" ref="EP63" si="321">IFERROR((EP12/EP56)*EP64,"")</f>
      </c>
      <c r="EQ63" s="118">
        <f>IFERROR((EQ12/EQ56)*EQ64,"")</f>
      </c>
      <c r="ER63" s="117">
        <f t="shared" ref="ER63" si="322">IFERROR((ER12/ER56)*ER64,"")</f>
      </c>
      <c r="ES63" s="117">
        <f t="shared" ref="ES63" si="323">IFERROR((ES12/ES56)*ES64,"")</f>
      </c>
      <c r="ET63" s="117">
        <f t="shared" ref="ET63" si="324">IFERROR((ET12/ET56)*ET64,"")</f>
      </c>
      <c r="EU63" s="117">
        <f t="shared" ref="EU63" si="325">IFERROR((EU12/EU56)*EU64,"")</f>
      </c>
      <c r="EV63" s="118">
        <f>IFERROR((EV12/EV56)*EV64,"")</f>
      </c>
      <c r="EW63" s="117">
        <f t="shared" ref="EW63" si="326">IFERROR((EW12/EW56)*EW64,"")</f>
      </c>
      <c r="EX63" s="117">
        <f t="shared" ref="EX63" si="327">IFERROR((EX12/EX56)*EX64,"")</f>
      </c>
      <c r="EY63" s="117">
        <f t="shared" ref="EY63:EZ63" si="328">IFERROR((EY12/EY56)*EY64,"")</f>
      </c>
      <c r="EZ63" s="117">
        <f t="shared" si="328"/>
      </c>
      <c r="FA63" s="118">
        <f>IFERROR((FA12/FA56)*FA64,"")</f>
      </c>
      <c r="FB63" s="756">
        <f t="shared" ref="FB63:FE63" si="329">EW63+3</f>
      </c>
      <c r="FC63" s="756">
        <f t="shared" si="329"/>
      </c>
      <c r="FD63" s="756">
        <f t="shared" si="329"/>
      </c>
      <c r="FE63" s="756">
        <f t="shared" si="329"/>
      </c>
      <c r="FF63" s="118">
        <f>IFERROR((FF12/FF56)*FF64,"")</f>
      </c>
      <c r="FG63" s="756">
        <f>FB63+2</f>
      </c>
      <c r="FH63" s="756">
        <f t="shared" ref="FH63" si="330">FC63+2</f>
      </c>
      <c r="FI63" s="756">
        <f t="shared" ref="FI63" si="331">FD63+2</f>
      </c>
      <c r="FJ63" s="756">
        <f>FE63</f>
      </c>
      <c r="FK63" s="118">
        <f>IFERROR((FK12/FK56)*FK64,"")</f>
      </c>
      <c r="FL63" s="756">
        <f>FG63+2</f>
      </c>
      <c r="FM63" s="756">
        <f t="shared" ref="FM63" si="332">FH63+2</f>
      </c>
      <c r="FN63" s="756">
        <f t="shared" ref="FN63" si="333">FI63+2</f>
      </c>
      <c r="FO63" s="756">
        <f>FJ63</f>
      </c>
      <c r="FP63" s="118">
        <f>IFERROR((FP12/FP56)*FP64,"")</f>
      </c>
      <c r="FQ63" s="756">
        <f>FL63+2</f>
      </c>
      <c r="FR63" s="756">
        <f t="shared" ref="FR63" si="334">FM63+2</f>
      </c>
      <c r="FS63" s="756">
        <f t="shared" ref="FS63" si="335">FN63+2</f>
      </c>
      <c r="FT63" s="756">
        <f>FO63</f>
      </c>
      <c r="FU63" s="118">
        <f>IFERROR((FU12/FU56)*FU64,"")</f>
      </c>
      <c r="FV63" s="756">
        <f>FQ63+2</f>
      </c>
      <c r="FW63" s="756">
        <f t="shared" ref="FW63" si="336">FR63+2</f>
      </c>
      <c r="FX63" s="756">
        <f t="shared" ref="FX63" si="337">FS63+2</f>
      </c>
      <c r="FY63" s="756">
        <f>FT63</f>
      </c>
      <c r="FZ63" s="118">
        <f>IFERROR((FZ12/FZ56)*FZ64,"")</f>
      </c>
      <c r="GA63" s="756">
        <f>FV63+2</f>
      </c>
      <c r="GB63" s="756">
        <f t="shared" ref="GB63" si="338">FW63+2</f>
      </c>
      <c r="GC63" s="756">
        <f t="shared" ref="GC63" si="339">FX63+2</f>
      </c>
      <c r="GD63" s="756">
        <f>FY63</f>
      </c>
      <c r="GE63" s="118">
        <f>IFERROR((GE12/GE56)*GE64,"")</f>
      </c>
      <c r="GF63" s="756">
        <f>GA63+2</f>
      </c>
      <c r="GG63" s="756">
        <f t="shared" ref="GG63" si="340">GB63+2</f>
      </c>
      <c r="GH63" s="756">
        <f t="shared" ref="GH63" si="341">GC63+2</f>
      </c>
      <c r="GI63" s="756">
        <f>GD63</f>
      </c>
      <c r="GJ63" s="118">
        <f>IFERROR((GJ12/GJ56)*GJ64,"")</f>
      </c>
    </row>
    <row r="64" spans="1:192" s="93" customFormat="1" ht="12.75" hidden="1" customHeight="1" outlineLevel="1">
      <c r="A64" s="119"/>
      <c r="B64" s="704" t="s">
        <v>172</v>
      </c>
      <c r="C64" s="120">
        <f>G64-F64-E64-D64</f>
      </c>
      <c r="D64" s="120">
        <f>D$8-C$8</f>
      </c>
      <c r="E64" s="120">
        <f>E$8-D$8</f>
      </c>
      <c r="F64" s="120">
        <f>F$8-E$8</f>
      </c>
      <c r="G64" s="353">
        <v>365</v>
      </c>
      <c r="H64" s="120">
        <f>H$8-F$8</f>
      </c>
      <c r="I64" s="120">
        <f>I$8-H$8</f>
      </c>
      <c r="J64" s="120">
        <f>J$8-I$8</f>
      </c>
      <c r="K64" s="120">
        <f>K$8-J$8</f>
      </c>
      <c r="L64" s="353">
        <f>L$8-G$8</f>
      </c>
      <c r="M64" s="120">
        <f>M$8-K$8</f>
      </c>
      <c r="N64" s="120">
        <f>N$8-M$8</f>
      </c>
      <c r="O64" s="120">
        <f>O$8-N$8</f>
      </c>
      <c r="P64" s="120">
        <f>P$8-O$8</f>
      </c>
      <c r="Q64" s="353">
        <f>Q$8-L$8</f>
      </c>
      <c r="R64" s="120">
        <f>R$8-P$8</f>
      </c>
      <c r="S64" s="120">
        <f>S$8-R$8</f>
      </c>
      <c r="T64" s="120">
        <f>T$8-S$8</f>
      </c>
      <c r="U64" s="120">
        <f>U$8-T$8</f>
      </c>
      <c r="V64" s="353">
        <f>V$8-Q$8</f>
      </c>
      <c r="W64" s="120">
        <f>W$8-U$8</f>
      </c>
      <c r="X64" s="120">
        <f>X$8-W$8</f>
      </c>
      <c r="Y64" s="120">
        <f>Y$8-X$8</f>
      </c>
      <c r="Z64" s="120">
        <f>Z$8-Y$8</f>
      </c>
      <c r="AA64" s="353">
        <f>AA$8-V$8</f>
      </c>
      <c r="AB64" s="120">
        <f>AB$8-Z$8</f>
      </c>
      <c r="AC64" s="120">
        <f>AC$8-AB$8</f>
      </c>
      <c r="AD64" s="120">
        <f>AD$8-AC$8</f>
      </c>
      <c r="AE64" s="120">
        <f>AE$8-AD$8</f>
      </c>
      <c r="AF64" s="353">
        <f>AF$8-AA$8</f>
      </c>
      <c r="AG64" s="120">
        <f>AG$8-AE$8</f>
      </c>
      <c r="AH64" s="120">
        <f>AH$8-AG$8</f>
      </c>
      <c r="AI64" s="120">
        <f>AI$8-AH$8</f>
      </c>
      <c r="AJ64" s="120">
        <f>AJ$8-AI$8</f>
      </c>
      <c r="AK64" s="353">
        <f>AK$8-AF$8</f>
      </c>
      <c r="AL64" s="120">
        <f>AL$8-AJ$8</f>
      </c>
      <c r="AM64" s="120">
        <f>AM$8-AL$8</f>
      </c>
      <c r="AN64" s="120">
        <f>AN$8-AM$8</f>
      </c>
      <c r="AO64" s="120">
        <f>AO$8-AN$8</f>
      </c>
      <c r="AP64" s="353">
        <f>AP$8-AK$8</f>
      </c>
      <c r="AQ64" s="120">
        <f>AQ$8-AO$8</f>
      </c>
      <c r="AR64" s="120">
        <f>AR$8-AQ$8</f>
      </c>
      <c r="AS64" s="120">
        <f>AS$8-AR$8</f>
      </c>
      <c r="AT64" s="120">
        <f>AT$8-AS$8</f>
      </c>
      <c r="AU64" s="353">
        <f>AU$8-AP$8</f>
      </c>
      <c r="AV64" s="120">
        <f>AV$8-AT$8</f>
      </c>
      <c r="AW64" s="120">
        <f>AW$8-AV$8</f>
      </c>
      <c r="AX64" s="120">
        <f>AX$8-AW$8</f>
      </c>
      <c r="AY64" s="120">
        <f>AY$8-AX$8</f>
      </c>
      <c r="AZ64" s="353">
        <f>AZ$8-AU$8</f>
      </c>
      <c r="BA64" s="120">
        <f>BA$8-AY$8</f>
      </c>
      <c r="BB64" s="120">
        <f>BB$8-BA$8</f>
      </c>
      <c r="BC64" s="120">
        <f>BC$8-BB$8</f>
      </c>
      <c r="BD64" s="120">
        <f>BD$8-BC$8</f>
      </c>
      <c r="BE64" s="353">
        <f>BE$8-AZ$8</f>
      </c>
      <c r="BF64" s="120">
        <f>BF$8-BD$8</f>
      </c>
      <c r="BG64" s="120">
        <f>BG$8-BF$8</f>
      </c>
      <c r="BH64" s="120">
        <f>BH$8-BG$8</f>
      </c>
      <c r="BI64" s="120">
        <f>BI$8-BH$8</f>
      </c>
      <c r="BJ64" s="353">
        <f>BJ$8-BE$8</f>
      </c>
      <c r="BK64" s="120">
        <f>BK$8-BI$8</f>
      </c>
      <c r="BL64" s="120">
        <f>BL$8-BK$8</f>
      </c>
      <c r="BM64" s="120">
        <f>BM$8-BL$8</f>
      </c>
      <c r="BN64" s="120">
        <f>BN$8-BM$8</f>
      </c>
      <c r="BO64" s="353">
        <f>BO$8-BJ$8</f>
      </c>
      <c r="BP64" s="120">
        <f>BP$8-BN$8</f>
      </c>
      <c r="BQ64" s="120">
        <f>BQ$8-BP$8</f>
      </c>
      <c r="BR64" s="120">
        <f>BR$8-BQ$8</f>
      </c>
      <c r="BS64" s="120">
        <f>BS$8-BR$8</f>
      </c>
      <c r="BT64" s="353">
        <f>BT$8-BO$8</f>
      </c>
      <c r="BU64" s="120">
        <f>BU$8-BS$8</f>
      </c>
      <c r="BV64" s="120">
        <f>BV$8-BU$8</f>
      </c>
      <c r="BW64" s="120">
        <f>BW$8-BV$8</f>
      </c>
      <c r="BX64" s="120">
        <f>BX$8-BW$8</f>
      </c>
      <c r="BY64" s="353">
        <f>BY$8-BT$8</f>
      </c>
      <c r="BZ64" s="120">
        <f>BZ$8-BX$8</f>
      </c>
      <c r="CA64" s="120">
        <f>CA$8-BZ$8</f>
      </c>
      <c r="CB64" s="120">
        <f>CB$8-CA$8</f>
      </c>
      <c r="CC64" s="120">
        <f>CC$8-CB$8</f>
      </c>
      <c r="CD64" s="353">
        <f>CD$8-BY$8</f>
      </c>
      <c r="CE64" s="120">
        <f>CE$8-CC$8</f>
      </c>
      <c r="CF64" s="120">
        <f>CF$8-CE$8</f>
      </c>
      <c r="CG64" s="120">
        <f>CG$8-CF$8</f>
      </c>
      <c r="CH64" s="120">
        <f>CH$8-CG$8</f>
      </c>
      <c r="CI64" s="353">
        <f>CI$8-CD$8</f>
      </c>
      <c r="CJ64" s="120">
        <f>CJ$8-CH$8</f>
      </c>
      <c r="CK64" s="120">
        <f>CK$8-CJ$8</f>
      </c>
      <c r="CL64" s="120">
        <f>CL$8-CK$8</f>
      </c>
      <c r="CM64" s="120">
        <f>CM$8-CL$8</f>
      </c>
      <c r="CN64" s="353">
        <f>CN$8-CI$8</f>
      </c>
      <c r="CO64" s="120">
        <f>CO$8-CM$8</f>
      </c>
      <c r="CP64" s="120">
        <f>CP$8-CO$8</f>
      </c>
      <c r="CQ64" s="120">
        <f>CQ$8-CP$8</f>
      </c>
      <c r="CR64" s="120">
        <f>CR$8-CQ$8</f>
      </c>
      <c r="CS64" s="353">
        <f>CS$8-CN$8</f>
      </c>
      <c r="CT64" s="120">
        <f>CT$8-CR$8</f>
      </c>
      <c r="CU64" s="120">
        <f>CU$8-CT$8</f>
      </c>
      <c r="CV64" s="120">
        <f>CV$8-CU$8</f>
      </c>
      <c r="CW64" s="120">
        <f>CW$8-CV$8</f>
      </c>
      <c r="CX64" s="353">
        <f>CX$8-CS$8</f>
      </c>
      <c r="CY64" s="120">
        <f>CY$8-CW$8</f>
      </c>
      <c r="CZ64" s="120">
        <f>CZ$8-CY$8</f>
      </c>
      <c r="DA64" s="120">
        <f>DA$8-CZ$8</f>
      </c>
      <c r="DB64" s="120">
        <f>DB$8-DA$8</f>
      </c>
      <c r="DC64" s="353">
        <f>DC$8-CX$8</f>
      </c>
      <c r="DD64" s="120">
        <f>DD$8-DB$8</f>
      </c>
      <c r="DE64" s="120">
        <f>DE$8-DD$8</f>
      </c>
      <c r="DF64" s="120">
        <f>DF$8-DE$8</f>
      </c>
      <c r="DG64" s="120">
        <f>DG$8-DF$8</f>
      </c>
      <c r="DH64" s="353">
        <f>DH$8-DC$8</f>
      </c>
      <c r="DI64" s="120">
        <f>DI$8-DG$8</f>
      </c>
      <c r="DJ64" s="120">
        <f>DJ$8-DI$8</f>
      </c>
      <c r="DK64" s="120">
        <f>DK$8-DJ$8</f>
      </c>
      <c r="DL64" s="120">
        <f>DL$8-DK$8</f>
      </c>
      <c r="DM64" s="353">
        <f>DM$8-DH$8</f>
      </c>
      <c r="DN64" s="120">
        <f>DN$8-DL$8</f>
      </c>
      <c r="DO64" s="120">
        <f>DO$8-DN$8</f>
      </c>
      <c r="DP64" s="120">
        <f>DP$8-DO$8</f>
      </c>
      <c r="DQ64" s="120">
        <f>DQ$8-DP$8</f>
      </c>
      <c r="DR64" s="353">
        <f>DR$8-DM$8</f>
      </c>
      <c r="DS64" s="120">
        <f>DS$8-DQ$8</f>
      </c>
      <c r="DT64" s="120">
        <f>DT$8-DS$8</f>
      </c>
      <c r="DU64" s="120">
        <f>DU$8-DT$8</f>
      </c>
      <c r="DV64" s="120">
        <f>DV$8-DU$8</f>
      </c>
      <c r="DW64" s="353">
        <f>DW$8-DR$8</f>
      </c>
      <c r="DX64" s="120">
        <f>DX$8-DV$8</f>
      </c>
      <c r="DY64" s="120">
        <f>DY$8-DX$8</f>
      </c>
      <c r="DZ64" s="120">
        <f>DZ$8-DY$8</f>
      </c>
      <c r="EA64" s="120">
        <f>EA$8-DZ$8</f>
      </c>
      <c r="EB64" s="353">
        <f>EB$8-DW$8</f>
      </c>
      <c r="EC64" s="120">
        <f>EC$8-EA$8</f>
      </c>
      <c r="ED64" s="120">
        <f>ED$8-EC$8</f>
      </c>
      <c r="EE64" s="120">
        <f>EE$8-ED$8</f>
      </c>
      <c r="EF64" s="120">
        <f>EF$8-EE$8</f>
      </c>
      <c r="EG64" s="353">
        <f>EG$8-EB$8</f>
      </c>
      <c r="EH64" s="120">
        <f>EH$8-EF$8</f>
      </c>
      <c r="EI64" s="120">
        <f>EI$8-EH$8</f>
      </c>
      <c r="EJ64" s="120">
        <f>EJ$8-EI$8</f>
      </c>
      <c r="EK64" s="120">
        <f>EK$8-EJ$8</f>
      </c>
      <c r="EL64" s="353">
        <f>EL$8-EG$8</f>
      </c>
      <c r="EM64" s="120">
        <f>EM$8-EK$8</f>
      </c>
      <c r="EN64" s="120">
        <f>EN$8-EM$8</f>
      </c>
      <c r="EO64" s="120">
        <f>EO$8-EN$8</f>
      </c>
      <c r="EP64" s="120">
        <f>EP$8-EO$8</f>
      </c>
      <c r="EQ64" s="353">
        <f>EQ$8-EL$8</f>
      </c>
      <c r="ER64" s="120">
        <f>ER$8-EP$8</f>
      </c>
      <c r="ES64" s="120">
        <f>ES$8-ER$8</f>
      </c>
      <c r="ET64" s="120">
        <f>ET$8-ES$8</f>
      </c>
      <c r="EU64" s="120">
        <f>EU$8-ET$8</f>
      </c>
      <c r="EV64" s="353">
        <f>EV$8-EQ$8</f>
      </c>
      <c r="EW64" s="120">
        <f>EW$8-EU$8</f>
      </c>
      <c r="EX64" s="120">
        <f>EX$8-EW$8</f>
      </c>
      <c r="EY64" s="120">
        <f>EY$8-EX$8</f>
      </c>
      <c r="EZ64" s="120">
        <f>EZ$8-EY$8</f>
      </c>
      <c r="FA64" s="353">
        <f>FA$8-EV$8</f>
      </c>
      <c r="FB64" s="120">
        <f>FB$8-EZ$8</f>
      </c>
      <c r="FC64" s="120">
        <f>FC$8-FB$8</f>
      </c>
      <c r="FD64" s="120">
        <f>FD$8-FC$8</f>
      </c>
      <c r="FE64" s="120">
        <f>FE$8-FD$8</f>
      </c>
      <c r="FF64" s="353">
        <f>FF$8-FA$8</f>
      </c>
      <c r="FG64" s="120">
        <f>FG$8-FE$8</f>
      </c>
      <c r="FH64" s="120">
        <f>FH$8-FG$8</f>
      </c>
      <c r="FI64" s="120">
        <f>FI$8-FH$8</f>
      </c>
      <c r="FJ64" s="120">
        <f>FJ$8-FI$8</f>
      </c>
      <c r="FK64" s="353">
        <f>FK$8-FF$8</f>
      </c>
      <c r="FL64" s="120">
        <f>FL$8-FJ$8</f>
      </c>
      <c r="FM64" s="120">
        <f>FM$8-FL$8</f>
      </c>
      <c r="FN64" s="120">
        <f>FN$8-FM$8</f>
      </c>
      <c r="FO64" s="120">
        <f>FO$8-FN$8</f>
      </c>
      <c r="FP64" s="353">
        <f>FP$8-FK$8</f>
      </c>
      <c r="FQ64" s="120">
        <f>FQ$8-FO$8</f>
      </c>
      <c r="FR64" s="120">
        <f>FR$8-FQ$8</f>
      </c>
      <c r="FS64" s="120">
        <f>FS$8-FR$8</f>
      </c>
      <c r="FT64" s="120">
        <f>FT$8-FS$8</f>
      </c>
      <c r="FU64" s="353">
        <f>FU$8-FP$8</f>
      </c>
      <c r="FV64" s="120">
        <f>FV$8-FT$8</f>
      </c>
      <c r="FW64" s="120">
        <f>FW$8-FV$8</f>
      </c>
      <c r="FX64" s="120">
        <f>FX$8-FW$8</f>
      </c>
      <c r="FY64" s="120">
        <f>FY$8-FX$8</f>
      </c>
      <c r="FZ64" s="353">
        <f>FZ$8-FU$8</f>
      </c>
      <c r="GA64" s="120">
        <f>GA$8-FY$8</f>
      </c>
      <c r="GB64" s="120">
        <f>GB$8-GA$8</f>
      </c>
      <c r="GC64" s="120">
        <f>GC$8-GB$8</f>
      </c>
      <c r="GD64" s="120">
        <f>GD$8-GC$8</f>
      </c>
      <c r="GE64" s="353">
        <f>GE$8-FZ$8</f>
      </c>
      <c r="GF64" s="120">
        <f>GF$8-GD$8</f>
      </c>
      <c r="GG64" s="120">
        <f>GG$8-GF$8</f>
      </c>
      <c r="GH64" s="120">
        <f>GH$8-GG$8</f>
      </c>
      <c r="GI64" s="120">
        <f>GI$8-GH$8</f>
      </c>
      <c r="GJ64" s="353">
        <f>GJ$8-GE$8</f>
      </c>
    </row>
    <row r="65" spans="1:192" s="93" customFormat="1" ht="12.75" hidden="1" customHeight="1" outlineLevel="1">
      <c r="A65" s="119"/>
      <c r="B65" s="704" t="s">
        <v>303</v>
      </c>
      <c r="C65" s="120" t="str">
        <f>IFERROR(C63-#REF!,"")</f>
      </c>
      <c r="D65" s="120" t="str">
        <f>IFERROR(D63-#REF!,"")</f>
      </c>
      <c r="E65" s="120" t="str">
        <f>IFERROR(E63-#REF!,"")</f>
      </c>
      <c r="F65" s="120">
        <f t="shared" ref="F65:AK65" si="342">IFERROR(F63-A63,"")</f>
      </c>
      <c r="G65" s="121" t="str">
        <f t="shared" si="342"/>
      </c>
      <c r="H65" s="120">
        <f t="shared" si="342"/>
      </c>
      <c r="I65" s="120">
        <f t="shared" si="342"/>
      </c>
      <c r="J65" s="120">
        <f t="shared" si="342"/>
      </c>
      <c r="K65" s="120">
        <f t="shared" si="342"/>
      </c>
      <c r="L65" s="121">
        <f t="shared" si="342"/>
      </c>
      <c r="M65" s="120">
        <f t="shared" si="342"/>
      </c>
      <c r="N65" s="120">
        <f t="shared" si="342"/>
      </c>
      <c r="O65" s="120">
        <f t="shared" si="342"/>
      </c>
      <c r="P65" s="120">
        <f t="shared" si="342"/>
      </c>
      <c r="Q65" s="121">
        <f t="shared" si="342"/>
      </c>
      <c r="R65" s="120">
        <f t="shared" si="342"/>
      </c>
      <c r="S65" s="120">
        <f t="shared" si="342"/>
      </c>
      <c r="T65" s="120">
        <f t="shared" si="342"/>
      </c>
      <c r="U65" s="120">
        <f t="shared" si="342"/>
      </c>
      <c r="V65" s="121">
        <f t="shared" si="342"/>
      </c>
      <c r="W65" s="120">
        <f t="shared" si="342"/>
      </c>
      <c r="X65" s="120">
        <f t="shared" si="342"/>
      </c>
      <c r="Y65" s="120">
        <f t="shared" si="342"/>
      </c>
      <c r="Z65" s="120">
        <f t="shared" si="342"/>
      </c>
      <c r="AA65" s="121">
        <f t="shared" si="342"/>
      </c>
      <c r="AB65" s="120">
        <f t="shared" si="342"/>
      </c>
      <c r="AC65" s="120">
        <f t="shared" si="342"/>
      </c>
      <c r="AD65" s="120">
        <f t="shared" si="342"/>
      </c>
      <c r="AE65" s="120">
        <f t="shared" si="342"/>
      </c>
      <c r="AF65" s="121">
        <f t="shared" si="342"/>
      </c>
      <c r="AG65" s="120">
        <f t="shared" si="342"/>
      </c>
      <c r="AH65" s="120">
        <f t="shared" si="342"/>
      </c>
      <c r="AI65" s="120">
        <f t="shared" si="342"/>
      </c>
      <c r="AJ65" s="120">
        <f t="shared" si="342"/>
      </c>
      <c r="AK65" s="121">
        <f t="shared" si="342"/>
      </c>
      <c r="AL65" s="120">
        <f t="shared" ref="AL65:BQ65" si="343">IFERROR(AL63-AG63,"")</f>
      </c>
      <c r="AM65" s="120">
        <f t="shared" si="343"/>
      </c>
      <c r="AN65" s="120">
        <f t="shared" si="343"/>
      </c>
      <c r="AO65" s="120">
        <f t="shared" si="343"/>
      </c>
      <c r="AP65" s="121">
        <f t="shared" si="343"/>
      </c>
      <c r="AQ65" s="120">
        <f t="shared" si="343"/>
      </c>
      <c r="AR65" s="120">
        <f t="shared" si="343"/>
      </c>
      <c r="AS65" s="120">
        <f t="shared" si="343"/>
      </c>
      <c r="AT65" s="120">
        <f t="shared" si="343"/>
      </c>
      <c r="AU65" s="121">
        <f t="shared" si="343"/>
      </c>
      <c r="AV65" s="120">
        <f t="shared" si="343"/>
      </c>
      <c r="AW65" s="120">
        <f t="shared" si="343"/>
      </c>
      <c r="AX65" s="120">
        <f t="shared" si="343"/>
      </c>
      <c r="AY65" s="120">
        <f t="shared" si="343"/>
      </c>
      <c r="AZ65" s="121">
        <f t="shared" si="343"/>
      </c>
      <c r="BA65" s="120">
        <f t="shared" si="343"/>
      </c>
      <c r="BB65" s="120">
        <f t="shared" si="343"/>
      </c>
      <c r="BC65" s="120">
        <f t="shared" si="343"/>
      </c>
      <c r="BD65" s="120">
        <f t="shared" si="343"/>
      </c>
      <c r="BE65" s="121">
        <f t="shared" si="343"/>
      </c>
      <c r="BF65" s="120">
        <f t="shared" si="343"/>
      </c>
      <c r="BG65" s="120">
        <f t="shared" si="343"/>
      </c>
      <c r="BH65" s="120">
        <f t="shared" si="343"/>
      </c>
      <c r="BI65" s="120">
        <f t="shared" si="343"/>
      </c>
      <c r="BJ65" s="121">
        <f t="shared" si="343"/>
      </c>
      <c r="BK65" s="120">
        <f t="shared" si="343"/>
      </c>
      <c r="BL65" s="120">
        <f t="shared" si="343"/>
      </c>
      <c r="BM65" s="120">
        <f t="shared" si="343"/>
      </c>
      <c r="BN65" s="120">
        <f t="shared" si="343"/>
      </c>
      <c r="BO65" s="121">
        <f t="shared" si="343"/>
      </c>
      <c r="BP65" s="120">
        <f t="shared" si="343"/>
      </c>
      <c r="BQ65" s="120">
        <f t="shared" si="343"/>
      </c>
      <c r="BR65" s="120">
        <f t="shared" ref="BR65:CW65" si="344">IFERROR(BR63-BM63,"")</f>
      </c>
      <c r="BS65" s="120">
        <f t="shared" si="344"/>
      </c>
      <c r="BT65" s="121">
        <f t="shared" si="344"/>
      </c>
      <c r="BU65" s="120">
        <f t="shared" si="344"/>
      </c>
      <c r="BV65" s="120">
        <f t="shared" si="344"/>
      </c>
      <c r="BW65" s="120">
        <f t="shared" si="344"/>
      </c>
      <c r="BX65" s="120">
        <f t="shared" si="344"/>
      </c>
      <c r="BY65" s="121">
        <f t="shared" si="344"/>
      </c>
      <c r="BZ65" s="120">
        <f t="shared" si="344"/>
      </c>
      <c r="CA65" s="120">
        <f t="shared" si="344"/>
      </c>
      <c r="CB65" s="120">
        <f t="shared" si="344"/>
      </c>
      <c r="CC65" s="120">
        <f t="shared" si="344"/>
      </c>
      <c r="CD65" s="121">
        <f t="shared" si="344"/>
      </c>
      <c r="CE65" s="120">
        <f t="shared" si="344"/>
      </c>
      <c r="CF65" s="120">
        <f t="shared" si="344"/>
      </c>
      <c r="CG65" s="120">
        <f t="shared" si="344"/>
      </c>
      <c r="CH65" s="120">
        <f t="shared" si="344"/>
      </c>
      <c r="CI65" s="121">
        <f t="shared" si="344"/>
      </c>
      <c r="CJ65" s="120">
        <f t="shared" si="344"/>
      </c>
      <c r="CK65" s="120">
        <f t="shared" si="344"/>
      </c>
      <c r="CL65" s="120">
        <f t="shared" si="344"/>
      </c>
      <c r="CM65" s="120">
        <f t="shared" si="344"/>
      </c>
      <c r="CN65" s="121">
        <f t="shared" si="344"/>
      </c>
      <c r="CO65" s="120">
        <f t="shared" si="344"/>
      </c>
      <c r="CP65" s="120">
        <f t="shared" si="344"/>
      </c>
      <c r="CQ65" s="120">
        <f t="shared" si="344"/>
      </c>
      <c r="CR65" s="120">
        <f t="shared" si="344"/>
      </c>
      <c r="CS65" s="121">
        <f t="shared" si="344"/>
      </c>
      <c r="CT65" s="120">
        <f t="shared" si="344"/>
      </c>
      <c r="CU65" s="120">
        <f t="shared" si="344"/>
      </c>
      <c r="CV65" s="120">
        <f t="shared" si="344"/>
      </c>
      <c r="CW65" s="120">
        <f t="shared" si="344"/>
      </c>
      <c r="CX65" s="121">
        <f t="shared" ref="CX65:EC65" si="345">IFERROR(CX63-CS63,"")</f>
      </c>
      <c r="CY65" s="120">
        <f t="shared" si="345"/>
      </c>
      <c r="CZ65" s="120">
        <f t="shared" si="345"/>
      </c>
      <c r="DA65" s="120">
        <f t="shared" si="345"/>
      </c>
      <c r="DB65" s="120">
        <f t="shared" si="345"/>
      </c>
      <c r="DC65" s="121">
        <f t="shared" si="345"/>
      </c>
      <c r="DD65" s="120">
        <f t="shared" si="345"/>
      </c>
      <c r="DE65" s="120">
        <f t="shared" si="345"/>
      </c>
      <c r="DF65" s="120">
        <f t="shared" si="345"/>
      </c>
      <c r="DG65" s="120">
        <f t="shared" si="345"/>
      </c>
      <c r="DH65" s="121">
        <f t="shared" si="345"/>
      </c>
      <c r="DI65" s="120">
        <f t="shared" si="345"/>
      </c>
      <c r="DJ65" s="120">
        <f t="shared" si="345"/>
      </c>
      <c r="DK65" s="120">
        <f t="shared" si="345"/>
      </c>
      <c r="DL65" s="120">
        <f t="shared" si="345"/>
      </c>
      <c r="DM65" s="121">
        <f t="shared" si="345"/>
      </c>
      <c r="DN65" s="120">
        <f t="shared" si="345"/>
      </c>
      <c r="DO65" s="120">
        <f t="shared" si="345"/>
      </c>
      <c r="DP65" s="120">
        <f t="shared" si="345"/>
      </c>
      <c r="DQ65" s="120">
        <f t="shared" si="345"/>
      </c>
      <c r="DR65" s="121">
        <f t="shared" si="345"/>
      </c>
      <c r="DS65" s="120">
        <f t="shared" si="345"/>
      </c>
      <c r="DT65" s="120">
        <f t="shared" si="345"/>
      </c>
      <c r="DU65" s="120">
        <f t="shared" si="345"/>
      </c>
      <c r="DV65" s="120">
        <f t="shared" si="345"/>
      </c>
      <c r="DW65" s="121">
        <f t="shared" si="345"/>
      </c>
      <c r="DX65" s="120">
        <f t="shared" si="345"/>
      </c>
      <c r="DY65" s="120">
        <f t="shared" si="345"/>
      </c>
      <c r="DZ65" s="120">
        <f t="shared" si="345"/>
      </c>
      <c r="EA65" s="120">
        <f t="shared" si="345"/>
      </c>
      <c r="EB65" s="121">
        <f t="shared" si="345"/>
      </c>
      <c r="EC65" s="120">
        <f t="shared" si="345"/>
      </c>
      <c r="ED65" s="120">
        <f t="shared" ref="ED65:FI65" si="346">IFERROR(ED63-DY63,"")</f>
      </c>
      <c r="EE65" s="120">
        <f t="shared" si="346"/>
      </c>
      <c r="EF65" s="120">
        <f t="shared" si="346"/>
      </c>
      <c r="EG65" s="121">
        <f t="shared" si="346"/>
      </c>
      <c r="EH65" s="120">
        <f t="shared" si="346"/>
      </c>
      <c r="EI65" s="120">
        <f t="shared" si="346"/>
      </c>
      <c r="EJ65" s="120">
        <f t="shared" si="346"/>
      </c>
      <c r="EK65" s="120">
        <f t="shared" si="346"/>
      </c>
      <c r="EL65" s="121">
        <f t="shared" si="346"/>
      </c>
      <c r="EM65" s="120">
        <f t="shared" si="346"/>
      </c>
      <c r="EN65" s="120">
        <f t="shared" si="346"/>
      </c>
      <c r="EO65" s="120">
        <f t="shared" si="346"/>
      </c>
      <c r="EP65" s="120">
        <f t="shared" si="346"/>
      </c>
      <c r="EQ65" s="121">
        <f t="shared" si="346"/>
      </c>
      <c r="ER65" s="120">
        <f t="shared" si="346"/>
      </c>
      <c r="ES65" s="120">
        <f t="shared" si="346"/>
      </c>
      <c r="ET65" s="120">
        <f t="shared" si="346"/>
      </c>
      <c r="EU65" s="120">
        <f t="shared" si="346"/>
      </c>
      <c r="EV65" s="121">
        <f t="shared" si="346"/>
      </c>
      <c r="EW65" s="120">
        <f t="shared" si="346"/>
      </c>
      <c r="EX65" s="120">
        <f t="shared" si="346"/>
      </c>
      <c r="EY65" s="120">
        <f t="shared" si="346"/>
      </c>
      <c r="EZ65" s="120">
        <f t="shared" si="346"/>
      </c>
      <c r="FA65" s="121">
        <f t="shared" si="346"/>
      </c>
      <c r="FB65" s="120">
        <f t="shared" si="346"/>
      </c>
      <c r="FC65" s="120">
        <f t="shared" si="346"/>
      </c>
      <c r="FD65" s="120">
        <f t="shared" si="346"/>
      </c>
      <c r="FE65" s="120">
        <f t="shared" si="346"/>
      </c>
      <c r="FF65" s="121">
        <f t="shared" si="346"/>
      </c>
      <c r="FG65" s="120">
        <f t="shared" si="346"/>
      </c>
      <c r="FH65" s="120">
        <f t="shared" si="346"/>
      </c>
      <c r="FI65" s="120">
        <f t="shared" si="346"/>
      </c>
      <c r="FJ65" s="120">
        <f t="shared" ref="FJ65:FZ65" si="347">IFERROR(FJ63-FE63,"")</f>
      </c>
      <c r="FK65" s="121">
        <f t="shared" si="347"/>
      </c>
      <c r="FL65" s="120">
        <f t="shared" si="347"/>
      </c>
      <c r="FM65" s="120">
        <f t="shared" si="347"/>
      </c>
      <c r="FN65" s="120">
        <f t="shared" si="347"/>
      </c>
      <c r="FO65" s="120">
        <f t="shared" si="347"/>
      </c>
      <c r="FP65" s="121">
        <f t="shared" si="347"/>
      </c>
      <c r="FQ65" s="120">
        <f t="shared" si="347"/>
      </c>
      <c r="FR65" s="120">
        <f t="shared" si="347"/>
      </c>
      <c r="FS65" s="120">
        <f t="shared" si="347"/>
      </c>
      <c r="FT65" s="120">
        <f t="shared" si="347"/>
      </c>
      <c r="FU65" s="121">
        <f t="shared" si="347"/>
      </c>
      <c r="FV65" s="120">
        <f>IFERROR(FV63-FQ63,"")</f>
      </c>
      <c r="FW65" s="120">
        <f>IFERROR(FW63-FR63,"")</f>
      </c>
      <c r="FX65" s="120">
        <f>IFERROR(FX63-FS63,"")</f>
      </c>
      <c r="FY65" s="120">
        <f>IFERROR(FY63-FT63,"")</f>
      </c>
      <c r="FZ65" s="121">
        <f t="shared" si="347"/>
      </c>
      <c r="GA65" s="120">
        <f t="shared" ref="GA65:GJ65" si="348">IFERROR(GA63-FV63,"")</f>
      </c>
      <c r="GB65" s="120">
        <f t="shared" si="348"/>
      </c>
      <c r="GC65" s="120">
        <f t="shared" si="348"/>
      </c>
      <c r="GD65" s="120">
        <f t="shared" si="348"/>
      </c>
      <c r="GE65" s="121">
        <f t="shared" si="348"/>
      </c>
      <c r="GF65" s="120">
        <f t="shared" si="348"/>
      </c>
      <c r="GG65" s="120">
        <f t="shared" si="348"/>
      </c>
      <c r="GH65" s="120">
        <f t="shared" si="348"/>
      </c>
      <c r="GI65" s="120">
        <f t="shared" si="348"/>
      </c>
      <c r="GJ65" s="121">
        <f t="shared" si="348"/>
      </c>
    </row>
    <row r="66" spans="1:192" s="93" customFormat="1" ht="12.75" hidden="1" customHeight="1" outlineLevel="1">
      <c r="A66" s="81"/>
      <c r="B66" s="712" t="s">
        <v>304</v>
      </c>
      <c r="C66" s="107" t="str">
        <f>IFERROR(C63/#REF!-1,"")</f>
      </c>
      <c r="D66" s="105" t="str">
        <f>IFERROR(D63/#REF!-1,"")</f>
      </c>
      <c r="E66" s="105" t="str">
        <f>IFERROR(E63/#REF!-1,"")</f>
      </c>
      <c r="F66" s="105" t="str">
        <f t="shared" ref="F66:AK66" si="349">IFERROR(F63/A63-1,"")</f>
      </c>
      <c r="G66" s="122" t="str">
        <f t="shared" si="349"/>
      </c>
      <c r="H66" s="105" t="str">
        <f t="shared" si="349"/>
      </c>
      <c r="I66" s="105" t="str">
        <f t="shared" si="349"/>
      </c>
      <c r="J66" s="105" t="str">
        <f t="shared" si="349"/>
      </c>
      <c r="K66" s="105" t="str">
        <f t="shared" si="349"/>
      </c>
      <c r="L66" s="122" t="str">
        <f t="shared" si="349"/>
      </c>
      <c r="M66" s="105">
        <f t="shared" si="349"/>
      </c>
      <c r="N66" s="105">
        <f t="shared" si="349"/>
      </c>
      <c r="O66" s="105">
        <f t="shared" si="349"/>
      </c>
      <c r="P66" s="105">
        <f t="shared" si="349"/>
      </c>
      <c r="Q66" s="122">
        <f t="shared" si="349"/>
      </c>
      <c r="R66" s="105">
        <f t="shared" si="349"/>
      </c>
      <c r="S66" s="105">
        <f t="shared" si="349"/>
      </c>
      <c r="T66" s="105">
        <f t="shared" si="349"/>
      </c>
      <c r="U66" s="105">
        <f t="shared" si="349"/>
      </c>
      <c r="V66" s="122">
        <f t="shared" si="349"/>
      </c>
      <c r="W66" s="105">
        <f t="shared" si="349"/>
      </c>
      <c r="X66" s="105">
        <f t="shared" si="349"/>
      </c>
      <c r="Y66" s="105">
        <f t="shared" si="349"/>
      </c>
      <c r="Z66" s="105">
        <f t="shared" si="349"/>
      </c>
      <c r="AA66" s="122">
        <f t="shared" si="349"/>
      </c>
      <c r="AB66" s="107">
        <f t="shared" si="349"/>
      </c>
      <c r="AC66" s="105">
        <f t="shared" si="349"/>
      </c>
      <c r="AD66" s="105">
        <f t="shared" si="349"/>
      </c>
      <c r="AE66" s="105">
        <f t="shared" si="349"/>
      </c>
      <c r="AF66" s="122">
        <f t="shared" si="349"/>
      </c>
      <c r="AG66" s="105">
        <f t="shared" si="349"/>
      </c>
      <c r="AH66" s="105">
        <f t="shared" si="349"/>
      </c>
      <c r="AI66" s="105">
        <f t="shared" si="349"/>
      </c>
      <c r="AJ66" s="105">
        <f t="shared" si="349"/>
      </c>
      <c r="AK66" s="122">
        <f t="shared" si="349"/>
      </c>
      <c r="AL66" s="105">
        <f t="shared" ref="AL66:BQ66" si="350">IFERROR(AL63/AG63-1,"")</f>
      </c>
      <c r="AM66" s="105">
        <f t="shared" si="350"/>
      </c>
      <c r="AN66" s="105">
        <f t="shared" si="350"/>
      </c>
      <c r="AO66" s="105">
        <f t="shared" si="350"/>
      </c>
      <c r="AP66" s="122">
        <f t="shared" si="350"/>
      </c>
      <c r="AQ66" s="105">
        <f t="shared" si="350"/>
      </c>
      <c r="AR66" s="105">
        <f t="shared" si="350"/>
      </c>
      <c r="AS66" s="105">
        <f t="shared" si="350"/>
      </c>
      <c r="AT66" s="105">
        <f t="shared" si="350"/>
      </c>
      <c r="AU66" s="122">
        <f t="shared" si="350"/>
      </c>
      <c r="AV66" s="107">
        <f t="shared" si="350"/>
      </c>
      <c r="AW66" s="105">
        <f t="shared" si="350"/>
      </c>
      <c r="AX66" s="105">
        <f t="shared" si="350"/>
      </c>
      <c r="AY66" s="105">
        <f t="shared" si="350"/>
      </c>
      <c r="AZ66" s="122">
        <f t="shared" si="350"/>
      </c>
      <c r="BA66" s="105">
        <f t="shared" si="350"/>
      </c>
      <c r="BB66" s="105">
        <f t="shared" si="350"/>
      </c>
      <c r="BC66" s="105">
        <f t="shared" si="350"/>
      </c>
      <c r="BD66" s="105">
        <f t="shared" si="350"/>
      </c>
      <c r="BE66" s="122">
        <f t="shared" si="350"/>
      </c>
      <c r="BF66" s="105">
        <f t="shared" si="350"/>
      </c>
      <c r="BG66" s="105">
        <f t="shared" si="350"/>
      </c>
      <c r="BH66" s="105">
        <f t="shared" si="350"/>
      </c>
      <c r="BI66" s="105">
        <f t="shared" si="350"/>
      </c>
      <c r="BJ66" s="122">
        <f t="shared" si="350"/>
      </c>
      <c r="BK66" s="105">
        <f t="shared" si="350"/>
      </c>
      <c r="BL66" s="105">
        <f t="shared" si="350"/>
      </c>
      <c r="BM66" s="105">
        <f t="shared" si="350"/>
      </c>
      <c r="BN66" s="105">
        <f t="shared" si="350"/>
      </c>
      <c r="BO66" s="122">
        <f t="shared" si="350"/>
      </c>
      <c r="BP66" s="105">
        <f t="shared" si="350"/>
      </c>
      <c r="BQ66" s="105">
        <f t="shared" si="350"/>
      </c>
      <c r="BR66" s="105">
        <f t="shared" ref="BR66:CW66" si="351">IFERROR(BR63/BM63-1,"")</f>
      </c>
      <c r="BS66" s="105">
        <f t="shared" si="351"/>
      </c>
      <c r="BT66" s="122">
        <f t="shared" si="351"/>
      </c>
      <c r="BU66" s="107">
        <f t="shared" si="351"/>
      </c>
      <c r="BV66" s="105">
        <f t="shared" si="351"/>
      </c>
      <c r="BW66" s="105">
        <f t="shared" si="351"/>
      </c>
      <c r="BX66" s="105">
        <f t="shared" si="351"/>
      </c>
      <c r="BY66" s="122">
        <f t="shared" si="351"/>
      </c>
      <c r="BZ66" s="105">
        <f t="shared" si="351"/>
      </c>
      <c r="CA66" s="105">
        <f t="shared" si="351"/>
      </c>
      <c r="CB66" s="105">
        <f t="shared" si="351"/>
      </c>
      <c r="CC66" s="105">
        <f t="shared" si="351"/>
      </c>
      <c r="CD66" s="122">
        <f t="shared" si="351"/>
      </c>
      <c r="CE66" s="105">
        <f t="shared" si="351"/>
      </c>
      <c r="CF66" s="105">
        <f t="shared" si="351"/>
      </c>
      <c r="CG66" s="105">
        <f t="shared" si="351"/>
      </c>
      <c r="CH66" s="105">
        <f t="shared" si="351"/>
      </c>
      <c r="CI66" s="122">
        <f t="shared" si="351"/>
      </c>
      <c r="CJ66" s="105">
        <f t="shared" si="351"/>
      </c>
      <c r="CK66" s="105">
        <f t="shared" si="351"/>
      </c>
      <c r="CL66" s="105">
        <f t="shared" si="351"/>
      </c>
      <c r="CM66" s="105">
        <f t="shared" si="351"/>
      </c>
      <c r="CN66" s="122">
        <f t="shared" si="351"/>
      </c>
      <c r="CO66" s="107">
        <f t="shared" si="351"/>
      </c>
      <c r="CP66" s="105">
        <f t="shared" si="351"/>
      </c>
      <c r="CQ66" s="105">
        <f t="shared" si="351"/>
      </c>
      <c r="CR66" s="105">
        <f t="shared" si="351"/>
      </c>
      <c r="CS66" s="122">
        <f t="shared" si="351"/>
      </c>
      <c r="CT66" s="105">
        <f t="shared" si="351"/>
      </c>
      <c r="CU66" s="105">
        <f t="shared" si="351"/>
      </c>
      <c r="CV66" s="105">
        <f t="shared" si="351"/>
      </c>
      <c r="CW66" s="105">
        <f t="shared" si="351"/>
      </c>
      <c r="CX66" s="122">
        <f t="shared" ref="CX66:EC66" si="352">IFERROR(CX63/CS63-1,"")</f>
      </c>
      <c r="CY66" s="105">
        <f t="shared" si="352"/>
      </c>
      <c r="CZ66" s="105">
        <f t="shared" si="352"/>
      </c>
      <c r="DA66" s="105">
        <f t="shared" si="352"/>
      </c>
      <c r="DB66" s="105">
        <f t="shared" si="352"/>
      </c>
      <c r="DC66" s="122">
        <f t="shared" si="352"/>
      </c>
      <c r="DD66" s="107">
        <f t="shared" si="352"/>
      </c>
      <c r="DE66" s="105">
        <f t="shared" si="352"/>
      </c>
      <c r="DF66" s="105">
        <f t="shared" si="352"/>
      </c>
      <c r="DG66" s="105">
        <f t="shared" si="352"/>
      </c>
      <c r="DH66" s="122">
        <f t="shared" si="352"/>
      </c>
      <c r="DI66" s="105">
        <f t="shared" si="352"/>
      </c>
      <c r="DJ66" s="105">
        <f t="shared" si="352"/>
      </c>
      <c r="DK66" s="105">
        <f t="shared" si="352"/>
      </c>
      <c r="DL66" s="105">
        <f t="shared" si="352"/>
      </c>
      <c r="DM66" s="122">
        <f t="shared" si="352"/>
      </c>
      <c r="DN66" s="105">
        <f t="shared" si="352"/>
      </c>
      <c r="DO66" s="105">
        <f t="shared" si="352"/>
      </c>
      <c r="DP66" s="105">
        <f t="shared" si="352"/>
      </c>
      <c r="DQ66" s="105">
        <f t="shared" si="352"/>
      </c>
      <c r="DR66" s="122">
        <f t="shared" si="352"/>
      </c>
      <c r="DS66" s="105">
        <f t="shared" si="352"/>
      </c>
      <c r="DT66" s="105">
        <f t="shared" si="352"/>
      </c>
      <c r="DU66" s="105">
        <f t="shared" si="352"/>
      </c>
      <c r="DV66" s="105">
        <f t="shared" si="352"/>
      </c>
      <c r="DW66" s="122">
        <f t="shared" si="352"/>
      </c>
      <c r="DX66" s="105">
        <f t="shared" si="352"/>
      </c>
      <c r="DY66" s="105">
        <f t="shared" si="352"/>
      </c>
      <c r="DZ66" s="105">
        <f t="shared" si="352"/>
      </c>
      <c r="EA66" s="105">
        <f t="shared" si="352"/>
      </c>
      <c r="EB66" s="122">
        <f t="shared" si="352"/>
      </c>
      <c r="EC66" s="105">
        <f t="shared" si="352"/>
      </c>
      <c r="ED66" s="105">
        <f t="shared" ref="ED66:FI66" si="353">IFERROR(ED63/DY63-1,"")</f>
      </c>
      <c r="EE66" s="105">
        <f t="shared" si="353"/>
      </c>
      <c r="EF66" s="105">
        <f t="shared" si="353"/>
      </c>
      <c r="EG66" s="122">
        <f t="shared" si="353"/>
      </c>
      <c r="EH66" s="105">
        <f t="shared" si="353"/>
      </c>
      <c r="EI66" s="105">
        <f t="shared" si="353"/>
      </c>
      <c r="EJ66" s="105">
        <f t="shared" si="353"/>
      </c>
      <c r="EK66" s="105">
        <f t="shared" si="353"/>
      </c>
      <c r="EL66" s="122">
        <f t="shared" si="353"/>
      </c>
      <c r="EM66" s="105">
        <f t="shared" si="353"/>
      </c>
      <c r="EN66" s="105">
        <f t="shared" si="353"/>
      </c>
      <c r="EO66" s="105">
        <f t="shared" si="353"/>
      </c>
      <c r="EP66" s="105">
        <f t="shared" si="353"/>
      </c>
      <c r="EQ66" s="122">
        <f t="shared" si="353"/>
      </c>
      <c r="ER66" s="105">
        <f t="shared" si="353"/>
      </c>
      <c r="ES66" s="105">
        <f t="shared" si="353"/>
      </c>
      <c r="ET66" s="105">
        <f t="shared" si="353"/>
      </c>
      <c r="EU66" s="105">
        <f t="shared" si="353"/>
      </c>
      <c r="EV66" s="122">
        <f t="shared" si="353"/>
      </c>
      <c r="EW66" s="105">
        <f t="shared" si="353"/>
      </c>
      <c r="EX66" s="105">
        <f t="shared" si="353"/>
      </c>
      <c r="EY66" s="105">
        <f t="shared" si="353"/>
      </c>
      <c r="EZ66" s="105">
        <f t="shared" si="353"/>
      </c>
      <c r="FA66" s="122">
        <f t="shared" si="353"/>
      </c>
      <c r="FB66" s="105">
        <f t="shared" si="353"/>
      </c>
      <c r="FC66" s="105">
        <f t="shared" si="353"/>
      </c>
      <c r="FD66" s="105">
        <f t="shared" si="353"/>
      </c>
      <c r="FE66" s="105">
        <f t="shared" si="353"/>
      </c>
      <c r="FF66" s="122">
        <f t="shared" si="353"/>
      </c>
      <c r="FG66" s="105">
        <f t="shared" si="353"/>
      </c>
      <c r="FH66" s="105">
        <f t="shared" si="353"/>
      </c>
      <c r="FI66" s="105">
        <f t="shared" si="353"/>
      </c>
      <c r="FJ66" s="105">
        <f t="shared" ref="FJ66:FZ66" si="354">IFERROR(FJ63/FE63-1,"")</f>
      </c>
      <c r="FK66" s="122">
        <f t="shared" si="354"/>
      </c>
      <c r="FL66" s="105">
        <f t="shared" si="354"/>
      </c>
      <c r="FM66" s="105">
        <f t="shared" si="354"/>
      </c>
      <c r="FN66" s="105">
        <f t="shared" si="354"/>
      </c>
      <c r="FO66" s="105">
        <f t="shared" si="354"/>
      </c>
      <c r="FP66" s="122">
        <f t="shared" si="354"/>
      </c>
      <c r="FQ66" s="105">
        <f t="shared" si="354"/>
      </c>
      <c r="FR66" s="105">
        <f t="shared" si="354"/>
      </c>
      <c r="FS66" s="105">
        <f t="shared" si="354"/>
      </c>
      <c r="FT66" s="105">
        <f t="shared" si="354"/>
      </c>
      <c r="FU66" s="122">
        <f t="shared" si="354"/>
      </c>
      <c r="FV66" s="105">
        <f>IFERROR(FV63/FQ63-1,"")</f>
      </c>
      <c r="FW66" s="105">
        <f>IFERROR(FW63/FR63-1,"")</f>
      </c>
      <c r="FX66" s="105">
        <f>IFERROR(FX63/FS63-1,"")</f>
      </c>
      <c r="FY66" s="105">
        <f>IFERROR(FY63/FT63-1,"")</f>
      </c>
      <c r="FZ66" s="122">
        <f t="shared" si="354"/>
      </c>
      <c r="GA66" s="105">
        <f t="shared" ref="GA66:GJ66" si="355">IFERROR(GA63/FV63-1,"")</f>
      </c>
      <c r="GB66" s="105">
        <f t="shared" si="355"/>
      </c>
      <c r="GC66" s="105">
        <f t="shared" si="355"/>
      </c>
      <c r="GD66" s="105">
        <f t="shared" si="355"/>
      </c>
      <c r="GE66" s="122">
        <f t="shared" si="355"/>
      </c>
      <c r="GF66" s="105">
        <f t="shared" si="355"/>
      </c>
      <c r="GG66" s="105">
        <f t="shared" si="355"/>
      </c>
      <c r="GH66" s="105">
        <f t="shared" si="355"/>
      </c>
      <c r="GI66" s="105">
        <f t="shared" si="355"/>
      </c>
      <c r="GJ66" s="122">
        <f t="shared" si="355"/>
      </c>
    </row>
    <row r="67" spans="1:192" s="93" customFormat="1" ht="12.75" hidden="1" customHeight="1" outlineLevel="1">
      <c r="A67" s="123"/>
      <c r="B67" s="704" t="s">
        <v>173</v>
      </c>
      <c r="C67" s="354">
        <f>CF!C22</f>
      </c>
      <c r="D67" s="355">
        <f>CF!D22</f>
      </c>
      <c r="E67" s="355">
        <f>CF!E22</f>
      </c>
      <c r="F67" s="355">
        <f>CF!F22</f>
      </c>
      <c r="G67" s="356">
        <f>CF!G22</f>
      </c>
      <c r="H67" s="354">
        <f>CF!H22</f>
      </c>
      <c r="I67" s="355">
        <f>CF!I22</f>
      </c>
      <c r="J67" s="355">
        <f>CF!J22</f>
      </c>
      <c r="K67" s="355">
        <f>CF!K22</f>
      </c>
      <c r="L67" s="356">
        <f>CF!L22</f>
      </c>
      <c r="M67" s="354">
        <f>CF!M22</f>
      </c>
      <c r="N67" s="355">
        <f>CF!N22</f>
      </c>
      <c r="O67" s="355">
        <f>CF!O22</f>
      </c>
      <c r="P67" s="355">
        <f>CF!P22</f>
      </c>
      <c r="Q67" s="356">
        <f>CF!Q22</f>
      </c>
      <c r="R67" s="354">
        <f>CF!R22</f>
      </c>
      <c r="S67" s="355">
        <f>CF!S22</f>
      </c>
      <c r="T67" s="355">
        <f>CF!T22</f>
      </c>
      <c r="U67" s="355">
        <f>CF!U22</f>
      </c>
      <c r="V67" s="356">
        <f>CF!V22</f>
      </c>
      <c r="W67" s="354">
        <f>CF!W22</f>
      </c>
      <c r="X67" s="355">
        <f>CF!X22</f>
      </c>
      <c r="Y67" s="355">
        <f>CF!Y22</f>
      </c>
      <c r="Z67" s="355">
        <f>CF!Z22</f>
      </c>
      <c r="AA67" s="356">
        <f>CF!AA22</f>
      </c>
      <c r="AB67" s="354">
        <f>CF!AB22</f>
      </c>
      <c r="AC67" s="355">
        <f>CF!AC22</f>
      </c>
      <c r="AD67" s="355">
        <f>CF!AD22</f>
      </c>
      <c r="AE67" s="355">
        <f>CF!AE22</f>
      </c>
      <c r="AF67" s="356">
        <f>CF!AF22</f>
      </c>
      <c r="AG67" s="354">
        <f>CF!AG22</f>
      </c>
      <c r="AH67" s="355">
        <f>CF!AH22</f>
      </c>
      <c r="AI67" s="355">
        <f>CF!AI22</f>
      </c>
      <c r="AJ67" s="355">
        <f>CF!AJ22</f>
      </c>
      <c r="AK67" s="356">
        <f>CF!AK22</f>
      </c>
      <c r="AL67" s="354">
        <f>CF!AL22</f>
      </c>
      <c r="AM67" s="355">
        <f>CF!AM22</f>
      </c>
      <c r="AN67" s="355">
        <f>CF!AN22</f>
      </c>
      <c r="AO67" s="355">
        <f>CF!AO22</f>
      </c>
      <c r="AP67" s="356">
        <f>CF!AP22</f>
      </c>
      <c r="AQ67" s="354">
        <f>CF!AQ22</f>
      </c>
      <c r="AR67" s="355">
        <f>CF!AR22</f>
      </c>
      <c r="AS67" s="355">
        <f>CF!AS22</f>
      </c>
      <c r="AT67" s="355">
        <f>CF!AT22</f>
      </c>
      <c r="AU67" s="356">
        <f>CF!AU22</f>
      </c>
      <c r="AV67" s="354">
        <f>CF!AV22</f>
      </c>
      <c r="AW67" s="355">
        <f>CF!AW22</f>
      </c>
      <c r="AX67" s="355">
        <f>CF!AX22</f>
      </c>
      <c r="AY67" s="355">
        <f>CF!AY22</f>
      </c>
      <c r="AZ67" s="356">
        <f>CF!AZ22</f>
      </c>
      <c r="BA67" s="354">
        <f>CF!BA22</f>
      </c>
      <c r="BB67" s="355">
        <f>CF!BB22</f>
      </c>
      <c r="BC67" s="355">
        <f>CF!BC22</f>
      </c>
      <c r="BD67" s="355">
        <f>CF!BD22</f>
      </c>
      <c r="BE67" s="356">
        <f>CF!BE22</f>
      </c>
      <c r="BF67" s="354">
        <f>CF!BF22</f>
      </c>
      <c r="BG67" s="355">
        <f>CF!BG22</f>
      </c>
      <c r="BH67" s="355">
        <f>CF!BH22</f>
      </c>
      <c r="BI67" s="355">
        <f>CF!BI22</f>
      </c>
      <c r="BJ67" s="356">
        <f>CF!BJ22</f>
      </c>
      <c r="BK67" s="354">
        <f>CF!BK22</f>
      </c>
      <c r="BL67" s="355">
        <f>CF!BL22</f>
      </c>
      <c r="BM67" s="355">
        <f>CF!BM22</f>
      </c>
      <c r="BN67" s="355">
        <f>CF!BN22</f>
      </c>
      <c r="BO67" s="356">
        <f>CF!BO22</f>
      </c>
      <c r="BP67" s="354">
        <f>CF!BP22</f>
      </c>
      <c r="BQ67" s="355">
        <f>CF!BQ22</f>
      </c>
      <c r="BR67" s="355">
        <f>CF!BR22</f>
      </c>
      <c r="BS67" s="355">
        <f>CF!BS22</f>
      </c>
      <c r="BT67" s="356">
        <f>CF!BT22</f>
      </c>
      <c r="BU67" s="354">
        <f>CF!BU22</f>
      </c>
      <c r="BV67" s="355">
        <f>CF!BV22</f>
      </c>
      <c r="BW67" s="355">
        <f>CF!BW22</f>
      </c>
      <c r="BX67" s="355">
        <f>CF!BX22</f>
      </c>
      <c r="BY67" s="356">
        <f>CF!BY22</f>
      </c>
      <c r="BZ67" s="354">
        <f>CF!BZ22</f>
      </c>
      <c r="CA67" s="355">
        <f>CF!CA22</f>
      </c>
      <c r="CB67" s="355">
        <f>CF!CB22</f>
      </c>
      <c r="CC67" s="355">
        <f>CF!CC22</f>
      </c>
      <c r="CD67" s="356">
        <f>CF!CD22</f>
      </c>
      <c r="CE67" s="354">
        <f>CF!CE22</f>
      </c>
      <c r="CF67" s="355">
        <f>CF!CF22</f>
      </c>
      <c r="CG67" s="355">
        <f>CF!CG22</f>
      </c>
      <c r="CH67" s="355">
        <f>CF!CH22</f>
      </c>
      <c r="CI67" s="356">
        <f>CF!CI22</f>
      </c>
      <c r="CJ67" s="354">
        <f>CF!CJ22</f>
      </c>
      <c r="CK67" s="355">
        <f>CF!CK22</f>
      </c>
      <c r="CL67" s="355">
        <f>CF!CL22</f>
      </c>
      <c r="CM67" s="355">
        <f>CF!CM22</f>
      </c>
      <c r="CN67" s="356">
        <f>CF!CN22</f>
      </c>
      <c r="CO67" s="354">
        <f>CF!CO22</f>
      </c>
      <c r="CP67" s="355">
        <f>CF!CP22</f>
      </c>
      <c r="CQ67" s="355">
        <f>CF!CQ22</f>
      </c>
      <c r="CR67" s="355">
        <f>CF!CR22</f>
      </c>
      <c r="CS67" s="356">
        <f>CF!CS22</f>
      </c>
      <c r="CT67" s="354">
        <f>CF!CT22</f>
      </c>
      <c r="CU67" s="355">
        <f>CF!CU22</f>
      </c>
      <c r="CV67" s="355">
        <f>CF!CV22</f>
      </c>
      <c r="CW67" s="355">
        <f>CF!CW22</f>
      </c>
      <c r="CX67" s="356">
        <f>CF!CX22</f>
      </c>
      <c r="CY67" s="354">
        <f>CF!CY22</f>
      </c>
      <c r="CZ67" s="355">
        <f>CF!CZ22</f>
      </c>
      <c r="DA67" s="355">
        <f>CF!DA22</f>
      </c>
      <c r="DB67" s="355">
        <f>CF!DB22</f>
      </c>
      <c r="DC67" s="356">
        <f>CF!DC22</f>
      </c>
      <c r="DD67" s="354">
        <f>CF!DD22</f>
      </c>
      <c r="DE67" s="355">
        <f>CF!DE22</f>
      </c>
      <c r="DF67" s="355">
        <f>CF!DF22</f>
      </c>
      <c r="DG67" s="355">
        <f>CF!DG22</f>
      </c>
      <c r="DH67" s="356">
        <f>CF!DH22</f>
      </c>
      <c r="DI67" s="354">
        <f>CF!DI22</f>
      </c>
      <c r="DJ67" s="355">
        <f>CF!DJ22</f>
      </c>
      <c r="DK67" s="355">
        <f>CF!DK22</f>
      </c>
      <c r="DL67" s="355">
        <f>CF!DL22</f>
      </c>
      <c r="DM67" s="356">
        <f>CF!DM22</f>
      </c>
      <c r="DN67" s="354">
        <f>CF!DN22</f>
      </c>
      <c r="DO67" s="355">
        <f>CF!DO22</f>
      </c>
      <c r="DP67" s="355">
        <f>CF!DP22</f>
      </c>
      <c r="DQ67" s="355">
        <f>CF!DQ22</f>
      </c>
      <c r="DR67" s="356">
        <f>CF!DR22</f>
      </c>
      <c r="DS67" s="354">
        <f>CF!DS22</f>
      </c>
      <c r="DT67" s="355">
        <f>CF!DT22</f>
      </c>
      <c r="DU67" s="355">
        <f>CF!DU22</f>
      </c>
      <c r="DV67" s="355">
        <f>CF!DV22</f>
      </c>
      <c r="DW67" s="356">
        <f>CF!DW22</f>
      </c>
      <c r="DX67" s="354">
        <f>CF!DX22</f>
      </c>
      <c r="DY67" s="355">
        <f>CF!DY22</f>
      </c>
      <c r="DZ67" s="355">
        <f>CF!DZ22</f>
      </c>
      <c r="EA67" s="355">
        <f>CF!EA22</f>
      </c>
      <c r="EB67" s="356">
        <f>CF!EB22</f>
      </c>
      <c r="EC67" s="354">
        <f>CF!EC22</f>
      </c>
      <c r="ED67" s="355">
        <f>CF!ED22</f>
      </c>
      <c r="EE67" s="355">
        <f>CF!EE22</f>
      </c>
      <c r="EF67" s="355">
        <f>CF!EF22</f>
      </c>
      <c r="EG67" s="356">
        <f>CF!EG22</f>
      </c>
      <c r="EH67" s="354">
        <f>CF!EH22</f>
      </c>
      <c r="EI67" s="355">
        <f>CF!EI22</f>
      </c>
      <c r="EJ67" s="355">
        <f>CF!EJ22</f>
      </c>
      <c r="EK67" s="355">
        <f>CF!EK22</f>
      </c>
      <c r="EL67" s="356">
        <f>CF!EL22</f>
      </c>
      <c r="EM67" s="354">
        <f>CF!EM22</f>
      </c>
      <c r="EN67" s="355">
        <f>CF!EN22</f>
      </c>
      <c r="EO67" s="355">
        <f>CF!EO22</f>
      </c>
      <c r="EP67" s="355">
        <f>CF!EP22</f>
      </c>
      <c r="EQ67" s="356">
        <f>CF!EQ22</f>
      </c>
      <c r="ER67" s="354">
        <f>CF!ER22</f>
      </c>
      <c r="ES67" s="355">
        <f>CF!ES22</f>
      </c>
      <c r="ET67" s="355">
        <f>CF!ET22</f>
      </c>
      <c r="EU67" s="355">
        <f>CF!EU22</f>
      </c>
      <c r="EV67" s="356">
        <f>CF!EV22</f>
      </c>
      <c r="EW67" s="354">
        <f>CF!EW22</f>
      </c>
      <c r="EX67" s="355">
        <f>CF!EX22</f>
      </c>
      <c r="EY67" s="355">
        <f>CF!EY22</f>
      </c>
      <c r="EZ67" s="355">
        <f>CF!EZ22</f>
      </c>
      <c r="FA67" s="356">
        <f>CF!FA22</f>
      </c>
      <c r="FB67" s="354">
        <f>CF!FB22</f>
      </c>
      <c r="FC67" s="355">
        <f>CF!FC22</f>
      </c>
      <c r="FD67" s="355">
        <f>CF!FD22</f>
      </c>
      <c r="FE67" s="355">
        <f>CF!FE22</f>
      </c>
      <c r="FF67" s="356">
        <f>CF!FF22</f>
      </c>
      <c r="FG67" s="354">
        <f>CF!FG22</f>
      </c>
      <c r="FH67" s="355">
        <f>CF!FH22</f>
      </c>
      <c r="FI67" s="355">
        <f>CF!FI22</f>
      </c>
      <c r="FJ67" s="355">
        <f>CF!FJ22</f>
      </c>
      <c r="FK67" s="356">
        <f>CF!FK22</f>
      </c>
      <c r="FL67" s="354">
        <f>CF!FL22</f>
      </c>
      <c r="FM67" s="355">
        <f>CF!FM22</f>
      </c>
      <c r="FN67" s="355">
        <f>CF!FN22</f>
      </c>
      <c r="FO67" s="355">
        <f>CF!FO22</f>
      </c>
      <c r="FP67" s="356">
        <f>CF!FP22</f>
      </c>
      <c r="FQ67" s="354">
        <f>CF!FQ22</f>
      </c>
      <c r="FR67" s="355">
        <f>CF!FR22</f>
      </c>
      <c r="FS67" s="355">
        <f>CF!FS22</f>
      </c>
      <c r="FT67" s="355">
        <f>CF!FT22</f>
      </c>
      <c r="FU67" s="356">
        <f>CF!FU22</f>
      </c>
      <c r="FV67" s="354">
        <f>CF!FV22</f>
      </c>
      <c r="FW67" s="355">
        <f>CF!FW22</f>
      </c>
      <c r="FX67" s="355">
        <f>CF!FX22</f>
      </c>
      <c r="FY67" s="355">
        <f>CF!FY22</f>
      </c>
      <c r="FZ67" s="356">
        <f>CF!FZ22</f>
      </c>
      <c r="GA67" s="354">
        <f>CF!GA22</f>
      </c>
      <c r="GB67" s="355">
        <f>CF!GB22</f>
      </c>
      <c r="GC67" s="355">
        <f>CF!GC22</f>
      </c>
      <c r="GD67" s="355">
        <f>CF!GD22</f>
      </c>
      <c r="GE67" s="356">
        <f>CF!GE22</f>
      </c>
      <c r="GF67" s="354">
        <f>CF!GF22</f>
      </c>
      <c r="GG67" s="355">
        <f>CF!GG22</f>
      </c>
      <c r="GH67" s="355">
        <f>CF!GH22</f>
      </c>
      <c r="GI67" s="355">
        <f>CF!GI22</f>
      </c>
      <c r="GJ67" s="356">
        <f>CF!GJ22</f>
      </c>
    </row>
    <row r="68" spans="1:192" s="93" customFormat="1" ht="12.75" hidden="1" customHeight="1" outlineLevel="1">
      <c r="A68" s="81"/>
      <c r="B68" s="677"/>
      <c r="C68" s="104"/>
      <c r="D68" s="105"/>
      <c r="E68" s="105"/>
      <c r="F68" s="105"/>
      <c r="G68" s="116"/>
      <c r="H68" s="104"/>
      <c r="I68" s="105"/>
      <c r="J68" s="105"/>
      <c r="K68" s="105"/>
      <c r="L68" s="116"/>
      <c r="M68" s="104"/>
      <c r="N68" s="105"/>
      <c r="O68" s="105"/>
      <c r="P68" s="105"/>
      <c r="Q68" s="116"/>
      <c r="R68" s="104"/>
      <c r="S68" s="105"/>
      <c r="T68" s="105"/>
      <c r="U68" s="105"/>
      <c r="V68" s="116"/>
      <c r="W68" s="104"/>
      <c r="X68" s="105"/>
      <c r="Y68" s="105"/>
      <c r="Z68" s="105"/>
      <c r="AA68" s="116"/>
      <c r="AB68" s="104"/>
      <c r="AC68" s="105"/>
      <c r="AD68" s="105"/>
      <c r="AE68" s="105"/>
      <c r="AF68" s="116"/>
      <c r="AG68" s="104"/>
      <c r="AH68" s="105"/>
      <c r="AI68" s="105"/>
      <c r="AJ68" s="105"/>
      <c r="AK68" s="116"/>
      <c r="AL68" s="104"/>
      <c r="AM68" s="105"/>
      <c r="AN68" s="105"/>
      <c r="AO68" s="105"/>
      <c r="AP68" s="116"/>
      <c r="AQ68" s="104"/>
      <c r="AR68" s="105"/>
      <c r="AS68" s="105"/>
      <c r="AT68" s="105"/>
      <c r="AU68" s="116"/>
      <c r="AV68" s="104"/>
      <c r="AW68" s="105"/>
      <c r="AX68" s="105"/>
      <c r="AY68" s="105"/>
      <c r="AZ68" s="116"/>
      <c r="BA68" s="104"/>
      <c r="BB68" s="105"/>
      <c r="BC68" s="105"/>
      <c r="BD68" s="105"/>
      <c r="BE68" s="116"/>
      <c r="BF68" s="104"/>
      <c r="BG68" s="105"/>
      <c r="BH68" s="105"/>
      <c r="BI68" s="105"/>
      <c r="BJ68" s="116"/>
      <c r="BK68" s="104"/>
      <c r="BL68" s="105"/>
      <c r="BM68" s="105"/>
      <c r="BN68" s="105"/>
      <c r="BO68" s="116"/>
      <c r="BP68" s="104"/>
      <c r="BQ68" s="105"/>
      <c r="BR68" s="105"/>
      <c r="BS68" s="105"/>
      <c r="BT68" s="116"/>
      <c r="BU68" s="104"/>
      <c r="BV68" s="105"/>
      <c r="BW68" s="105"/>
      <c r="BX68" s="105"/>
      <c r="BY68" s="116"/>
      <c r="BZ68" s="104"/>
      <c r="CA68" s="105"/>
      <c r="CB68" s="105"/>
      <c r="CC68" s="105"/>
      <c r="CD68" s="116"/>
      <c r="CE68" s="104"/>
      <c r="CF68" s="105"/>
      <c r="CG68" s="105"/>
      <c r="CH68" s="105"/>
      <c r="CI68" s="116"/>
      <c r="CJ68" s="104"/>
      <c r="CK68" s="105"/>
      <c r="CL68" s="105"/>
      <c r="CM68" s="105"/>
      <c r="CN68" s="116"/>
      <c r="CO68" s="104"/>
      <c r="CP68" s="105"/>
      <c r="CQ68" s="105"/>
      <c r="CR68" s="105"/>
      <c r="CS68" s="116"/>
      <c r="CT68" s="104"/>
      <c r="CU68" s="105"/>
      <c r="CV68" s="105"/>
      <c r="CW68" s="105"/>
      <c r="CX68" s="116"/>
      <c r="CY68" s="104"/>
      <c r="CZ68" s="105"/>
      <c r="DA68" s="105"/>
      <c r="DB68" s="105"/>
      <c r="DC68" s="116"/>
      <c r="DD68" s="104"/>
      <c r="DE68" s="105"/>
      <c r="DF68" s="105"/>
      <c r="DG68" s="105"/>
      <c r="DH68" s="116"/>
      <c r="DI68" s="104"/>
      <c r="DJ68" s="105"/>
      <c r="DK68" s="105"/>
      <c r="DL68" s="105"/>
      <c r="DM68" s="116"/>
      <c r="DN68" s="104"/>
      <c r="DO68" s="105"/>
      <c r="DP68" s="105"/>
      <c r="DQ68" s="105"/>
      <c r="DR68" s="116"/>
      <c r="DS68" s="104"/>
      <c r="DT68" s="105"/>
      <c r="DU68" s="105"/>
      <c r="DV68" s="105"/>
      <c r="DW68" s="116"/>
      <c r="DX68" s="104"/>
      <c r="DY68" s="105"/>
      <c r="DZ68" s="105"/>
      <c r="EA68" s="105"/>
      <c r="EB68" s="116"/>
      <c r="EC68" s="104"/>
      <c r="ED68" s="105"/>
      <c r="EE68" s="105"/>
      <c r="EF68" s="105"/>
      <c r="EG68" s="116"/>
      <c r="EH68" s="104"/>
      <c r="EI68" s="105"/>
      <c r="EJ68" s="105"/>
      <c r="EK68" s="105"/>
      <c r="EL68" s="116"/>
      <c r="EM68" s="104"/>
      <c r="EN68" s="105"/>
      <c r="EO68" s="105"/>
      <c r="EP68" s="105"/>
      <c r="EQ68" s="116"/>
      <c r="ER68" s="104"/>
      <c r="ES68" s="105"/>
      <c r="ET68" s="105"/>
      <c r="EU68" s="105"/>
      <c r="EV68" s="116"/>
      <c r="EW68" s="104"/>
      <c r="EX68" s="105"/>
      <c r="EY68" s="105"/>
      <c r="EZ68" s="105"/>
      <c r="FA68" s="116"/>
      <c r="FB68" s="104"/>
      <c r="FC68" s="105"/>
      <c r="FD68" s="105"/>
      <c r="FE68" s="105"/>
      <c r="FF68" s="116"/>
      <c r="FG68" s="104"/>
      <c r="FH68" s="105"/>
      <c r="FI68" s="105"/>
      <c r="FJ68" s="105"/>
      <c r="FK68" s="116"/>
      <c r="FL68" s="104"/>
      <c r="FM68" s="105"/>
      <c r="FN68" s="105"/>
      <c r="FO68" s="105"/>
      <c r="FP68" s="116"/>
      <c r="FQ68" s="104"/>
      <c r="FR68" s="105"/>
      <c r="FS68" s="105"/>
      <c r="FT68" s="105"/>
      <c r="FU68" s="116"/>
      <c r="FV68" s="104"/>
      <c r="FW68" s="105"/>
      <c r="FX68" s="105"/>
      <c r="FY68" s="105"/>
      <c r="FZ68" s="116"/>
      <c r="GA68" s="104"/>
      <c r="GB68" s="105"/>
      <c r="GC68" s="105"/>
      <c r="GD68" s="105"/>
      <c r="GE68" s="116"/>
      <c r="GF68" s="104"/>
      <c r="GG68" s="105"/>
      <c r="GH68" s="105"/>
      <c r="GI68" s="105"/>
      <c r="GJ68" s="116"/>
    </row>
    <row r="69" spans="1:192" s="93" customFormat="1" ht="12.75" hidden="1" customHeight="1" outlineLevel="1">
      <c r="A69" s="119"/>
      <c r="B69" s="714" t="s">
        <v>2052</v>
      </c>
      <c r="C69" s="117"/>
      <c r="D69" s="117"/>
      <c r="E69" s="117"/>
      <c r="F69" s="117"/>
      <c r="G69" s="118"/>
      <c r="H69" s="117">
        <f t="shared" ref="H69:AM69" si="356">(H13*H70)/H$57</f>
      </c>
      <c r="I69" s="117">
        <f t="shared" si="356"/>
      </c>
      <c r="J69" s="117">
        <f t="shared" si="356"/>
      </c>
      <c r="K69" s="117">
        <f t="shared" si="356"/>
      </c>
      <c r="L69" s="118">
        <f t="shared" si="356"/>
      </c>
      <c r="M69" s="117">
        <f t="shared" si="356"/>
      </c>
      <c r="N69" s="117">
        <f t="shared" si="356"/>
      </c>
      <c r="O69" s="117">
        <f t="shared" si="356"/>
      </c>
      <c r="P69" s="117">
        <f t="shared" si="356"/>
      </c>
      <c r="Q69" s="118">
        <f t="shared" si="356"/>
      </c>
      <c r="R69" s="117">
        <f t="shared" si="356"/>
      </c>
      <c r="S69" s="117">
        <f t="shared" si="356"/>
      </c>
      <c r="T69" s="117">
        <f t="shared" si="356"/>
      </c>
      <c r="U69" s="117">
        <f t="shared" si="356"/>
      </c>
      <c r="V69" s="118">
        <f t="shared" si="356"/>
      </c>
      <c r="W69" s="117">
        <f t="shared" si="356"/>
      </c>
      <c r="X69" s="117">
        <f t="shared" si="356"/>
      </c>
      <c r="Y69" s="117">
        <f t="shared" si="356"/>
      </c>
      <c r="Z69" s="117">
        <f t="shared" si="356"/>
      </c>
      <c r="AA69" s="118">
        <f t="shared" si="356"/>
      </c>
      <c r="AB69" s="117">
        <f t="shared" si="356"/>
      </c>
      <c r="AC69" s="117">
        <f t="shared" si="356"/>
      </c>
      <c r="AD69" s="117">
        <f t="shared" si="356"/>
      </c>
      <c r="AE69" s="117">
        <f t="shared" si="356"/>
      </c>
      <c r="AF69" s="118">
        <f t="shared" si="356"/>
      </c>
      <c r="AG69" s="117">
        <f t="shared" si="356"/>
      </c>
      <c r="AH69" s="117">
        <f t="shared" si="356"/>
      </c>
      <c r="AI69" s="117">
        <f t="shared" si="356"/>
      </c>
      <c r="AJ69" s="117">
        <f t="shared" si="356"/>
      </c>
      <c r="AK69" s="118">
        <f t="shared" si="356"/>
      </c>
      <c r="AL69" s="117">
        <f t="shared" si="356"/>
      </c>
      <c r="AM69" s="117">
        <f t="shared" si="356"/>
      </c>
      <c r="AN69" s="117">
        <f t="shared" ref="AN69:BS69" si="357">(AN13*AN70)/AN$57</f>
      </c>
      <c r="AO69" s="117">
        <f t="shared" si="357"/>
      </c>
      <c r="AP69" s="118">
        <f t="shared" si="357"/>
      </c>
      <c r="AQ69" s="117">
        <f t="shared" si="357"/>
      </c>
      <c r="AR69" s="117">
        <f t="shared" si="357"/>
      </c>
      <c r="AS69" s="117">
        <f t="shared" si="357"/>
      </c>
      <c r="AT69" s="117">
        <f t="shared" si="357"/>
      </c>
      <c r="AU69" s="118">
        <f t="shared" si="357"/>
      </c>
      <c r="AV69" s="117">
        <f t="shared" si="357"/>
      </c>
      <c r="AW69" s="117">
        <f t="shared" si="357"/>
      </c>
      <c r="AX69" s="117">
        <f t="shared" si="357"/>
      </c>
      <c r="AY69" s="117">
        <f t="shared" si="357"/>
      </c>
      <c r="AZ69" s="118">
        <f t="shared" si="357"/>
      </c>
      <c r="BA69" s="117">
        <f t="shared" si="357"/>
      </c>
      <c r="BB69" s="117">
        <f t="shared" si="357"/>
      </c>
      <c r="BC69" s="117">
        <f t="shared" si="357"/>
      </c>
      <c r="BD69" s="117">
        <f t="shared" si="357"/>
      </c>
      <c r="BE69" s="118">
        <f t="shared" si="357"/>
      </c>
      <c r="BF69" s="117">
        <f t="shared" si="357"/>
      </c>
      <c r="BG69" s="117">
        <f t="shared" si="357"/>
      </c>
      <c r="BH69" s="117">
        <f t="shared" si="357"/>
      </c>
      <c r="BI69" s="117">
        <f t="shared" si="357"/>
      </c>
      <c r="BJ69" s="118">
        <f t="shared" si="357"/>
      </c>
      <c r="BK69" s="117">
        <f t="shared" si="357"/>
      </c>
      <c r="BL69" s="117">
        <f t="shared" si="357"/>
      </c>
      <c r="BM69" s="117">
        <f t="shared" si="357"/>
      </c>
      <c r="BN69" s="117">
        <f t="shared" si="357"/>
      </c>
      <c r="BO69" s="118">
        <f t="shared" si="357"/>
      </c>
      <c r="BP69" s="117">
        <f t="shared" si="357"/>
      </c>
      <c r="BQ69" s="117">
        <f t="shared" si="357"/>
      </c>
      <c r="BR69" s="117">
        <f t="shared" si="357"/>
      </c>
      <c r="BS69" s="117">
        <f t="shared" si="357"/>
      </c>
      <c r="BT69" s="118">
        <f t="shared" ref="BT69:CY69" si="358">(BT13*BT70)/BT$57</f>
      </c>
      <c r="BU69" s="117">
        <f t="shared" si="358"/>
      </c>
      <c r="BV69" s="117">
        <f t="shared" si="358"/>
      </c>
      <c r="BW69" s="117">
        <f t="shared" si="358"/>
      </c>
      <c r="BX69" s="117">
        <f t="shared" si="358"/>
      </c>
      <c r="BY69" s="118">
        <f t="shared" si="358"/>
      </c>
      <c r="BZ69" s="117">
        <f t="shared" si="358"/>
      </c>
      <c r="CA69" s="117">
        <f t="shared" si="358"/>
      </c>
      <c r="CB69" s="117">
        <f t="shared" si="358"/>
      </c>
      <c r="CC69" s="117">
        <f t="shared" si="358"/>
      </c>
      <c r="CD69" s="118">
        <f t="shared" si="358"/>
      </c>
      <c r="CE69" s="117">
        <f t="shared" si="358"/>
      </c>
      <c r="CF69" s="117">
        <f t="shared" si="358"/>
      </c>
      <c r="CG69" s="117">
        <f t="shared" si="358"/>
      </c>
      <c r="CH69" s="117">
        <f t="shared" si="358"/>
      </c>
      <c r="CI69" s="118">
        <f t="shared" si="358"/>
      </c>
      <c r="CJ69" s="117">
        <f t="shared" si="358"/>
      </c>
      <c r="CK69" s="117">
        <f t="shared" si="358"/>
      </c>
      <c r="CL69" s="117">
        <f t="shared" si="358"/>
      </c>
      <c r="CM69" s="117">
        <f t="shared" si="358"/>
      </c>
      <c r="CN69" s="118">
        <f t="shared" si="358"/>
      </c>
      <c r="CO69" s="117">
        <f t="shared" si="358"/>
      </c>
      <c r="CP69" s="117">
        <f t="shared" si="358"/>
      </c>
      <c r="CQ69" s="117">
        <f t="shared" si="358"/>
      </c>
      <c r="CR69" s="117">
        <f t="shared" si="358"/>
      </c>
      <c r="CS69" s="118">
        <f t="shared" si="358"/>
      </c>
      <c r="CT69" s="117">
        <f t="shared" si="358"/>
      </c>
      <c r="CU69" s="117">
        <f t="shared" si="358"/>
      </c>
      <c r="CV69" s="117">
        <f t="shared" si="358"/>
      </c>
      <c r="CW69" s="117">
        <f t="shared" si="358"/>
      </c>
      <c r="CX69" s="118">
        <f t="shared" si="358"/>
      </c>
      <c r="CY69" s="117">
        <f t="shared" si="358"/>
      </c>
      <c r="CZ69" s="117">
        <f t="shared" ref="CZ69:EE69" si="359">(CZ13*CZ70)/CZ$57</f>
      </c>
      <c r="DA69" s="117">
        <f t="shared" si="359"/>
      </c>
      <c r="DB69" s="117">
        <f t="shared" si="359"/>
      </c>
      <c r="DC69" s="118">
        <f t="shared" si="359"/>
      </c>
      <c r="DD69" s="117">
        <f t="shared" si="359"/>
      </c>
      <c r="DE69" s="117">
        <f t="shared" si="359"/>
      </c>
      <c r="DF69" s="117">
        <f t="shared" si="359"/>
      </c>
      <c r="DG69" s="117">
        <f t="shared" si="359"/>
      </c>
      <c r="DH69" s="118">
        <f t="shared" si="359"/>
      </c>
      <c r="DI69" s="117">
        <f t="shared" si="359"/>
      </c>
      <c r="DJ69" s="117">
        <f t="shared" si="359"/>
      </c>
      <c r="DK69" s="117">
        <f t="shared" si="359"/>
      </c>
      <c r="DL69" s="117">
        <f t="shared" si="359"/>
      </c>
      <c r="DM69" s="118">
        <f t="shared" si="359"/>
      </c>
      <c r="DN69" s="117">
        <f t="shared" si="359"/>
      </c>
      <c r="DO69" s="117">
        <f t="shared" si="359"/>
      </c>
      <c r="DP69" s="117">
        <f t="shared" si="359"/>
      </c>
      <c r="DQ69" s="117">
        <f t="shared" si="359"/>
      </c>
      <c r="DR69" s="118">
        <f t="shared" si="359"/>
      </c>
      <c r="DS69" s="117">
        <f t="shared" si="359"/>
      </c>
      <c r="DT69" s="117">
        <f t="shared" si="359"/>
      </c>
      <c r="DU69" s="117">
        <f t="shared" si="359"/>
      </c>
      <c r="DV69" s="117">
        <f t="shared" si="359"/>
      </c>
      <c r="DW69" s="118">
        <f t="shared" si="359"/>
      </c>
      <c r="DX69" s="117">
        <f t="shared" si="359"/>
      </c>
      <c r="DY69" s="117">
        <f t="shared" si="359"/>
      </c>
      <c r="DZ69" s="117">
        <f t="shared" si="359"/>
      </c>
      <c r="EA69" s="117">
        <f t="shared" si="359"/>
      </c>
      <c r="EB69" s="118">
        <f t="shared" si="359"/>
      </c>
      <c r="EC69" s="117">
        <f t="shared" si="359"/>
      </c>
      <c r="ED69" s="117">
        <f t="shared" si="359"/>
      </c>
      <c r="EE69" s="117">
        <f t="shared" si="359"/>
      </c>
      <c r="EF69" s="117">
        <f t="shared" ref="EF69:EY69" si="360">(EF13*EF70)/EF$57</f>
      </c>
      <c r="EG69" s="118">
        <f t="shared" si="360"/>
      </c>
      <c r="EH69" s="117">
        <f t="shared" si="360"/>
      </c>
      <c r="EI69" s="117">
        <f t="shared" si="360"/>
      </c>
      <c r="EJ69" s="117">
        <f t="shared" si="360"/>
      </c>
      <c r="EK69" s="117">
        <f t="shared" si="360"/>
      </c>
      <c r="EL69" s="118">
        <f t="shared" si="360"/>
      </c>
      <c r="EM69" s="117">
        <f t="shared" si="360"/>
      </c>
      <c r="EN69" s="117">
        <f t="shared" si="360"/>
      </c>
      <c r="EO69" s="117">
        <f t="shared" si="360"/>
      </c>
      <c r="EP69" s="117">
        <f t="shared" si="360"/>
      </c>
      <c r="EQ69" s="118">
        <f t="shared" si="360"/>
      </c>
      <c r="ER69" s="117">
        <f t="shared" si="360"/>
      </c>
      <c r="ES69" s="117">
        <f t="shared" si="360"/>
      </c>
      <c r="ET69" s="117">
        <f t="shared" si="360"/>
      </c>
      <c r="EU69" s="117">
        <f t="shared" si="360"/>
      </c>
      <c r="EV69" s="118">
        <f t="shared" si="360"/>
      </c>
      <c r="EW69" s="117">
        <f t="shared" si="360"/>
      </c>
      <c r="EX69" s="117">
        <f t="shared" si="360"/>
      </c>
      <c r="EY69" s="117">
        <f t="shared" si="360"/>
      </c>
      <c r="EZ69" s="117">
        <f t="shared" ref="EZ69:FA69" si="361">(EZ13*EZ70)/EZ$57</f>
      </c>
      <c r="FA69" s="118">
        <f t="shared" si="361"/>
      </c>
      <c r="FB69" s="756">
        <f t="shared" ref="FB69:FE69" si="362">EW69+1</f>
      </c>
      <c r="FC69" s="756">
        <f t="shared" si="362"/>
      </c>
      <c r="FD69" s="756">
        <f t="shared" si="362"/>
      </c>
      <c r="FE69" s="756">
        <f t="shared" si="362"/>
      </c>
      <c r="FF69" s="118">
        <f>(FF13*FF70)/FF$57</f>
      </c>
      <c r="FG69" s="756">
        <f t="shared" ref="FG69" si="363">FB69+1</f>
      </c>
      <c r="FH69" s="756">
        <f t="shared" ref="FH69" si="364">FC69+1</f>
      </c>
      <c r="FI69" s="756">
        <f t="shared" ref="FI69" si="365">FD69+1</f>
      </c>
      <c r="FJ69" s="756">
        <f t="shared" ref="FJ69" si="366">FE69+1</f>
      </c>
      <c r="FK69" s="118">
        <f>(FK13*FK70)/FK$57</f>
      </c>
      <c r="FL69" s="756">
        <f t="shared" ref="FL69" si="367">FG69+1</f>
      </c>
      <c r="FM69" s="756">
        <f t="shared" ref="FM69" si="368">FH69+1</f>
      </c>
      <c r="FN69" s="756">
        <f t="shared" ref="FN69" si="369">FI69+1</f>
      </c>
      <c r="FO69" s="756">
        <f t="shared" ref="FO69" si="370">FJ69+1</f>
      </c>
      <c r="FP69" s="118">
        <f>(FP13*FP70)/FP$57</f>
      </c>
      <c r="FQ69" s="756">
        <f t="shared" ref="FQ69" si="371">FL69+1</f>
      </c>
      <c r="FR69" s="756">
        <f t="shared" ref="FR69" si="372">FM69+1</f>
      </c>
      <c r="FS69" s="756">
        <f t="shared" ref="FS69" si="373">FN69+1</f>
      </c>
      <c r="FT69" s="756">
        <f t="shared" ref="FT69" si="374">FO69+1</f>
      </c>
      <c r="FU69" s="118">
        <f>(FU13*FU70)/FU$57</f>
      </c>
      <c r="FV69" s="756">
        <f t="shared" ref="FV69" si="375">FQ69+1</f>
      </c>
      <c r="FW69" s="756">
        <f t="shared" ref="FW69" si="376">FR69+1</f>
      </c>
      <c r="FX69" s="756">
        <f t="shared" ref="FX69" si="377">FS69+1</f>
      </c>
      <c r="FY69" s="756">
        <f t="shared" ref="FY69" si="378">FT69+1</f>
      </c>
      <c r="FZ69" s="118">
        <f>(FZ13*FZ70)/FZ$57</f>
      </c>
      <c r="GA69" s="756">
        <f t="shared" ref="GA69" si="379">FV69+1</f>
      </c>
      <c r="GB69" s="756">
        <f t="shared" ref="GB69" si="380">FW69+1</f>
      </c>
      <c r="GC69" s="756">
        <f t="shared" ref="GC69" si="381">FX69+1</f>
      </c>
      <c r="GD69" s="756">
        <f t="shared" ref="GD69" si="382">FY69+1</f>
      </c>
      <c r="GE69" s="118">
        <f>(GE13*GE70)/GE$57</f>
      </c>
      <c r="GF69" s="756">
        <f t="shared" ref="GF69" si="383">GA69+1</f>
      </c>
      <c r="GG69" s="756">
        <f t="shared" ref="GG69" si="384">GB69+1</f>
      </c>
      <c r="GH69" s="756">
        <f t="shared" ref="GH69" si="385">GC69+1</f>
      </c>
      <c r="GI69" s="756">
        <f t="shared" ref="GI69" si="386">GD69+1</f>
      </c>
      <c r="GJ69" s="118">
        <f>(GJ13*GJ70)/GJ$57</f>
      </c>
    </row>
    <row r="70" spans="1:192" s="93" customFormat="1" ht="12.75" hidden="1" customHeight="1" outlineLevel="1">
      <c r="A70" s="119"/>
      <c r="B70" s="704" t="s">
        <v>172</v>
      </c>
      <c r="C70" s="120">
        <f>G70-F70-E70-D70</f>
      </c>
      <c r="D70" s="120">
        <f>D$8-C$8</f>
      </c>
      <c r="E70" s="120">
        <f>E$8-D$8</f>
      </c>
      <c r="F70" s="120">
        <f>F$8-E$8</f>
      </c>
      <c r="G70" s="353">
        <v>365</v>
      </c>
      <c r="H70" s="120">
        <f>H$8-F$8</f>
      </c>
      <c r="I70" s="120">
        <f>I$8-H$8</f>
      </c>
      <c r="J70" s="120">
        <f>J$8-I$8</f>
      </c>
      <c r="K70" s="120">
        <f>K$8-J$8</f>
      </c>
      <c r="L70" s="353">
        <f>L$8-G$8</f>
      </c>
      <c r="M70" s="120">
        <f>M$8-K$8</f>
      </c>
      <c r="N70" s="120">
        <f>N$8-M$8</f>
      </c>
      <c r="O70" s="120">
        <f>O$8-N$8</f>
      </c>
      <c r="P70" s="120">
        <f>P$8-O$8</f>
      </c>
      <c r="Q70" s="353">
        <f>Q$8-L$8</f>
      </c>
      <c r="R70" s="120">
        <f>R$8-P$8</f>
      </c>
      <c r="S70" s="120">
        <f>S$8-R$8</f>
      </c>
      <c r="T70" s="120">
        <f>T$8-S$8</f>
      </c>
      <c r="U70" s="120">
        <f>U$8-T$8</f>
      </c>
      <c r="V70" s="353">
        <f>V$8-Q$8</f>
      </c>
      <c r="W70" s="120">
        <f>W$8-U$8</f>
      </c>
      <c r="X70" s="120">
        <f>X$8-W$8</f>
      </c>
      <c r="Y70" s="120">
        <f>Y$8-X$8</f>
      </c>
      <c r="Z70" s="120">
        <f>Z$8-Y$8</f>
      </c>
      <c r="AA70" s="353">
        <f>AA$8-V$8</f>
      </c>
      <c r="AB70" s="120">
        <f>AB$8-Z$8</f>
      </c>
      <c r="AC70" s="120">
        <f>AC$8-AB$8</f>
      </c>
      <c r="AD70" s="120">
        <f>AD$8-AC$8</f>
      </c>
      <c r="AE70" s="120">
        <f>AE$8-AD$8</f>
      </c>
      <c r="AF70" s="353">
        <f>AF$8-AA$8</f>
      </c>
      <c r="AG70" s="120">
        <f>AG$8-AE$8</f>
      </c>
      <c r="AH70" s="120">
        <f>AH$8-AG$8</f>
      </c>
      <c r="AI70" s="120">
        <f>AI$8-AH$8</f>
      </c>
      <c r="AJ70" s="120">
        <f>AJ$8-AI$8</f>
      </c>
      <c r="AK70" s="353">
        <f>AK$8-AF$8</f>
      </c>
      <c r="AL70" s="120">
        <f>AL$8-AJ$8</f>
      </c>
      <c r="AM70" s="120">
        <f>AM$8-AL$8</f>
      </c>
      <c r="AN70" s="120">
        <f>AN$8-AM$8</f>
      </c>
      <c r="AO70" s="120">
        <f>AO$8-AN$8</f>
      </c>
      <c r="AP70" s="353">
        <f>AP$8-AK$8</f>
      </c>
      <c r="AQ70" s="120">
        <f>AQ$8-AO$8</f>
      </c>
      <c r="AR70" s="120">
        <f>AR$8-AQ$8</f>
      </c>
      <c r="AS70" s="120">
        <f>AS$8-AR$8</f>
      </c>
      <c r="AT70" s="120">
        <f>AT$8-AS$8</f>
      </c>
      <c r="AU70" s="353">
        <f>AU$8-AP$8</f>
      </c>
      <c r="AV70" s="120">
        <f>AV$8-AT$8</f>
      </c>
      <c r="AW70" s="120">
        <f>AW$8-AV$8</f>
      </c>
      <c r="AX70" s="120">
        <f>AX$8-AW$8</f>
      </c>
      <c r="AY70" s="120">
        <f>AY$8-AX$8</f>
      </c>
      <c r="AZ70" s="353">
        <f>AZ$8-AU$8</f>
      </c>
      <c r="BA70" s="120">
        <f>BA$8-AY$8</f>
      </c>
      <c r="BB70" s="120">
        <f>BB$8-BA$8</f>
      </c>
      <c r="BC70" s="120">
        <f>BC$8-BB$8</f>
      </c>
      <c r="BD70" s="120">
        <f>BD$8-BC$8</f>
      </c>
      <c r="BE70" s="353">
        <f>BE$8-AZ$8</f>
      </c>
      <c r="BF70" s="120">
        <f>BF$8-BD$8</f>
      </c>
      <c r="BG70" s="120">
        <f>BG$8-BF$8</f>
      </c>
      <c r="BH70" s="120">
        <f>BH$8-BG$8</f>
      </c>
      <c r="BI70" s="120">
        <f>BI$8-BH$8</f>
      </c>
      <c r="BJ70" s="353">
        <f>BJ$8-BE$8</f>
      </c>
      <c r="BK70" s="120">
        <f>BK$8-BI$8</f>
      </c>
      <c r="BL70" s="120">
        <f>BL$8-BK$8</f>
      </c>
      <c r="BM70" s="120">
        <f>BM$8-BL$8</f>
      </c>
      <c r="BN70" s="120">
        <f>BN$8-BM$8</f>
      </c>
      <c r="BO70" s="353">
        <f>BO$8-BJ$8</f>
      </c>
      <c r="BP70" s="120">
        <f>BP$8-BN$8</f>
      </c>
      <c r="BQ70" s="120">
        <f>BQ$8-BP$8</f>
      </c>
      <c r="BR70" s="120">
        <f>BR$8-BQ$8</f>
      </c>
      <c r="BS70" s="120">
        <f>BS$8-BR$8</f>
      </c>
      <c r="BT70" s="353">
        <f>BT$8-BO$8</f>
      </c>
      <c r="BU70" s="120">
        <f>BU$8-BS$8</f>
      </c>
      <c r="BV70" s="120">
        <f>BV$8-BU$8</f>
      </c>
      <c r="BW70" s="120">
        <f>BW$8-BV$8</f>
      </c>
      <c r="BX70" s="120">
        <f>BX$8-BW$8</f>
      </c>
      <c r="BY70" s="353">
        <f>BY$8-BT$8</f>
      </c>
      <c r="BZ70" s="120">
        <f>BZ$8-BX$8</f>
      </c>
      <c r="CA70" s="120">
        <f>CA$8-BZ$8</f>
      </c>
      <c r="CB70" s="120">
        <f>CB$8-CA$8</f>
      </c>
      <c r="CC70" s="120">
        <f>CC$8-CB$8</f>
      </c>
      <c r="CD70" s="353">
        <f>CD$8-BY$8</f>
      </c>
      <c r="CE70" s="120">
        <f>CE$8-CC$8</f>
      </c>
      <c r="CF70" s="120">
        <f>CF$8-CE$8</f>
      </c>
      <c r="CG70" s="120">
        <f>CG$8-CF$8</f>
      </c>
      <c r="CH70" s="120">
        <f>CH$8-CG$8</f>
      </c>
      <c r="CI70" s="353">
        <f>CI$8-CD$8</f>
      </c>
      <c r="CJ70" s="120">
        <f>CJ$8-CH$8</f>
      </c>
      <c r="CK70" s="120">
        <f>CK$8-CJ$8</f>
      </c>
      <c r="CL70" s="120">
        <f>CL$8-CK$8</f>
      </c>
      <c r="CM70" s="120">
        <f>CM$8-CL$8</f>
      </c>
      <c r="CN70" s="353">
        <f>CN$8-CI$8</f>
      </c>
      <c r="CO70" s="120">
        <f>CO$8-CM$8</f>
      </c>
      <c r="CP70" s="120">
        <f>CP$8-CO$8</f>
      </c>
      <c r="CQ70" s="120">
        <f>CQ$8-CP$8</f>
      </c>
      <c r="CR70" s="120">
        <f>CR$8-CQ$8</f>
      </c>
      <c r="CS70" s="353">
        <f>CS$8-CN$8</f>
      </c>
      <c r="CT70" s="120">
        <f>CT$8-CR$8</f>
      </c>
      <c r="CU70" s="120">
        <f>CU$8-CT$8</f>
      </c>
      <c r="CV70" s="120">
        <f>CV$8-CU$8</f>
      </c>
      <c r="CW70" s="120">
        <f>CW$8-CV$8</f>
      </c>
      <c r="CX70" s="353">
        <f>CX$8-CS$8</f>
      </c>
      <c r="CY70" s="120">
        <f>CY$8-CW$8</f>
      </c>
      <c r="CZ70" s="120">
        <f>CZ$8-CY$8</f>
      </c>
      <c r="DA70" s="120">
        <f>DA$8-CZ$8</f>
      </c>
      <c r="DB70" s="120">
        <f>DB$8-DA$8</f>
      </c>
      <c r="DC70" s="353">
        <f>DC$8-CX$8</f>
      </c>
      <c r="DD70" s="120">
        <f>DD$8-DB$8</f>
      </c>
      <c r="DE70" s="120">
        <f>DE$8-DD$8</f>
      </c>
      <c r="DF70" s="120">
        <f>DF$8-DE$8</f>
      </c>
      <c r="DG70" s="120">
        <f>DG$8-DF$8</f>
      </c>
      <c r="DH70" s="353">
        <f>DH$8-DC$8</f>
      </c>
      <c r="DI70" s="120">
        <f>DI$8-DG$8</f>
      </c>
      <c r="DJ70" s="120">
        <f>DJ$8-DI$8</f>
      </c>
      <c r="DK70" s="120">
        <f>DK$8-DJ$8</f>
      </c>
      <c r="DL70" s="120">
        <f>DL$8-DK$8</f>
      </c>
      <c r="DM70" s="353">
        <f>DM$8-DH$8</f>
      </c>
      <c r="DN70" s="120">
        <f>DN$8-DL$8</f>
      </c>
      <c r="DO70" s="120">
        <f>DO$8-DN$8</f>
      </c>
      <c r="DP70" s="120">
        <f>DP$8-DO$8</f>
      </c>
      <c r="DQ70" s="120">
        <f>DQ$8-DP$8</f>
      </c>
      <c r="DR70" s="353">
        <f>DR$8-DM$8</f>
      </c>
      <c r="DS70" s="120">
        <f>DS$8-DQ$8</f>
      </c>
      <c r="DT70" s="120">
        <f>DT$8-DS$8</f>
      </c>
      <c r="DU70" s="120">
        <f>DU$8-DT$8</f>
      </c>
      <c r="DV70" s="120">
        <f>DV$8-DU$8</f>
      </c>
      <c r="DW70" s="353">
        <f>DW$8-DR$8</f>
      </c>
      <c r="DX70" s="120">
        <f>DX$8-DV$8</f>
      </c>
      <c r="DY70" s="120">
        <f>DY$8-DX$8</f>
      </c>
      <c r="DZ70" s="120">
        <f>DZ$8-DY$8</f>
      </c>
      <c r="EA70" s="120">
        <f>EA$8-DZ$8</f>
      </c>
      <c r="EB70" s="353">
        <f>EB$8-DW$8</f>
      </c>
      <c r="EC70" s="120">
        <f>EC$8-EA$8</f>
      </c>
      <c r="ED70" s="120">
        <f>ED$8-EC$8</f>
      </c>
      <c r="EE70" s="120">
        <f>EE$8-ED$8</f>
      </c>
      <c r="EF70" s="120">
        <f>EF$8-EE$8</f>
      </c>
      <c r="EG70" s="353">
        <f>EG$8-EB$8</f>
      </c>
      <c r="EH70" s="120">
        <f>EH$8-EF$8</f>
      </c>
      <c r="EI70" s="120">
        <f>EI$8-EH$8</f>
      </c>
      <c r="EJ70" s="120">
        <f>EJ$8-EI$8</f>
      </c>
      <c r="EK70" s="120">
        <f>EK$8-EJ$8</f>
      </c>
      <c r="EL70" s="353">
        <f>EL$8-EG$8</f>
      </c>
      <c r="EM70" s="120">
        <f>EM$8-EK$8</f>
      </c>
      <c r="EN70" s="120">
        <f>EN$8-EM$8</f>
      </c>
      <c r="EO70" s="120">
        <f>EO$8-EN$8</f>
      </c>
      <c r="EP70" s="120">
        <f>EP$8-EO$8</f>
      </c>
      <c r="EQ70" s="353">
        <f>EQ$8-EL$8</f>
      </c>
      <c r="ER70" s="120">
        <f>ER$8-EP$8</f>
      </c>
      <c r="ES70" s="120">
        <f>ES$8-ER$8</f>
      </c>
      <c r="ET70" s="120">
        <f>ET$8-ES$8</f>
      </c>
      <c r="EU70" s="120">
        <f>EU$8-ET$8</f>
      </c>
      <c r="EV70" s="353">
        <f>EV$8-EQ$8</f>
      </c>
      <c r="EW70" s="120">
        <f>EW$8-EU$8</f>
      </c>
      <c r="EX70" s="120">
        <f>EX$8-EW$8</f>
      </c>
      <c r="EY70" s="120">
        <f>EY$8-EX$8</f>
      </c>
      <c r="EZ70" s="120">
        <f>EZ$8-EY$8</f>
      </c>
      <c r="FA70" s="353">
        <f>FA$8-EV$8</f>
      </c>
      <c r="FB70" s="120">
        <f>FB$8-EZ$8</f>
      </c>
      <c r="FC70" s="120">
        <f>FC$8-FB$8</f>
      </c>
      <c r="FD70" s="120">
        <f>FD$8-FC$8</f>
      </c>
      <c r="FE70" s="120">
        <f>FE$8-FD$8</f>
      </c>
      <c r="FF70" s="353">
        <f>FF$8-FA$8</f>
      </c>
      <c r="FG70" s="120">
        <f>FG$8-FE$8</f>
      </c>
      <c r="FH70" s="120">
        <f>FH$8-FG$8</f>
      </c>
      <c r="FI70" s="120">
        <f>FI$8-FH$8</f>
      </c>
      <c r="FJ70" s="120">
        <f>FJ$8-FI$8</f>
      </c>
      <c r="FK70" s="353">
        <f>FK$8-FF$8</f>
      </c>
      <c r="FL70" s="120">
        <f>FL$8-FJ$8</f>
      </c>
      <c r="FM70" s="120">
        <f>FM$8-FL$8</f>
      </c>
      <c r="FN70" s="120">
        <f>FN$8-FM$8</f>
      </c>
      <c r="FO70" s="120">
        <f>FO$8-FN$8</f>
      </c>
      <c r="FP70" s="353">
        <f>FP$8-FK$8</f>
      </c>
      <c r="FQ70" s="120">
        <f>FQ$8-FO$8</f>
      </c>
      <c r="FR70" s="120">
        <f>FR$8-FQ$8</f>
      </c>
      <c r="FS70" s="120">
        <f>FS$8-FR$8</f>
      </c>
      <c r="FT70" s="120">
        <f>FT$8-FS$8</f>
      </c>
      <c r="FU70" s="353">
        <f>FU$8-FP$8</f>
      </c>
      <c r="FV70" s="120">
        <f>FV$8-FT$8</f>
      </c>
      <c r="FW70" s="120">
        <f>FW$8-FV$8</f>
      </c>
      <c r="FX70" s="120">
        <f>FX$8-FW$8</f>
      </c>
      <c r="FY70" s="120">
        <f>FY$8-FX$8</f>
      </c>
      <c r="FZ70" s="353">
        <f>FZ$8-FU$8</f>
      </c>
      <c r="GA70" s="120">
        <f>GA$8-FY$8</f>
      </c>
      <c r="GB70" s="120">
        <f>GB$8-GA$8</f>
      </c>
      <c r="GC70" s="120">
        <f>GC$8-GB$8</f>
      </c>
      <c r="GD70" s="120">
        <f>GD$8-GC$8</f>
      </c>
      <c r="GE70" s="353">
        <f>GE$8-FZ$8</f>
      </c>
      <c r="GF70" s="120">
        <f>GF$8-GD$8</f>
      </c>
      <c r="GG70" s="120">
        <f>GG$8-GF$8</f>
      </c>
      <c r="GH70" s="120">
        <f>GH$8-GG$8</f>
      </c>
      <c r="GI70" s="120">
        <f>GI$8-GH$8</f>
      </c>
      <c r="GJ70" s="353">
        <f>GJ$8-GE$8</f>
      </c>
    </row>
    <row r="71" spans="1:192" s="93" customFormat="1" ht="12.75" hidden="1" customHeight="1" outlineLevel="1">
      <c r="A71" s="119"/>
      <c r="B71" s="704" t="s">
        <v>303</v>
      </c>
      <c r="C71" s="120" t="str">
        <f>IFERROR(C69-#REF!,"")</f>
      </c>
      <c r="D71" s="120" t="str">
        <f>IFERROR(D69-#REF!,"")</f>
      </c>
      <c r="E71" s="120" t="str">
        <f>IFERROR(E69-#REF!,"")</f>
      </c>
      <c r="F71" s="120">
        <f t="shared" ref="F71" si="387">IFERROR(F69-A69,"")</f>
      </c>
      <c r="G71" s="121" t="str">
        <f t="shared" ref="G71" si="388">IFERROR(G69-B69,"")</f>
      </c>
      <c r="H71" s="120">
        <f t="shared" ref="H71" si="389">IFERROR(H69-C69,"")</f>
      </c>
      <c r="I71" s="120">
        <f t="shared" ref="I71" si="390">IFERROR(I69-D69,"")</f>
      </c>
      <c r="J71" s="120">
        <f t="shared" ref="J71" si="391">IFERROR(J69-E69,"")</f>
      </c>
      <c r="K71" s="120">
        <f t="shared" ref="K71" si="392">IFERROR(K69-F69,"")</f>
      </c>
      <c r="L71" s="121">
        <f t="shared" ref="L71" si="393">IFERROR(L69-G69,"")</f>
      </c>
      <c r="M71" s="120">
        <f t="shared" ref="M71" si="394">IFERROR(M69-H69,"")</f>
      </c>
      <c r="N71" s="120">
        <f t="shared" ref="N71" si="395">IFERROR(N69-I69,"")</f>
      </c>
      <c r="O71" s="120">
        <f t="shared" ref="O71" si="396">IFERROR(O69-J69,"")</f>
      </c>
      <c r="P71" s="120">
        <f t="shared" ref="P71" si="397">IFERROR(P69-K69,"")</f>
      </c>
      <c r="Q71" s="121">
        <f t="shared" ref="Q71" si="398">IFERROR(Q69-L69,"")</f>
      </c>
      <c r="R71" s="120">
        <f t="shared" ref="R71" si="399">IFERROR(R69-M69,"")</f>
      </c>
      <c r="S71" s="120">
        <f t="shared" ref="S71" si="400">IFERROR(S69-N69,"")</f>
      </c>
      <c r="T71" s="120">
        <f t="shared" ref="T71" si="401">IFERROR(T69-O69,"")</f>
      </c>
      <c r="U71" s="120">
        <f t="shared" ref="U71" si="402">IFERROR(U69-P69,"")</f>
      </c>
      <c r="V71" s="121">
        <f t="shared" ref="V71" si="403">IFERROR(V69-Q69,"")</f>
      </c>
      <c r="W71" s="120">
        <f t="shared" ref="W71" si="404">IFERROR(W69-R69,"")</f>
      </c>
      <c r="X71" s="120">
        <f t="shared" ref="X71" si="405">IFERROR(X69-S69,"")</f>
      </c>
      <c r="Y71" s="120">
        <f t="shared" ref="Y71" si="406">IFERROR(Y69-T69,"")</f>
      </c>
      <c r="Z71" s="120">
        <f t="shared" ref="Z71" si="407">IFERROR(Z69-U69,"")</f>
      </c>
      <c r="AA71" s="121">
        <f t="shared" ref="AA71" si="408">IFERROR(AA69-V69,"")</f>
      </c>
      <c r="AB71" s="120">
        <f t="shared" ref="AB71" si="409">IFERROR(AB69-W69,"")</f>
      </c>
      <c r="AC71" s="120">
        <f t="shared" ref="AC71" si="410">IFERROR(AC69-X69,"")</f>
      </c>
      <c r="AD71" s="120">
        <f t="shared" ref="AD71" si="411">IFERROR(AD69-Y69,"")</f>
      </c>
      <c r="AE71" s="120">
        <f t="shared" ref="AE71" si="412">IFERROR(AE69-Z69,"")</f>
      </c>
      <c r="AF71" s="121">
        <f t="shared" ref="AF71" si="413">IFERROR(AF69-AA69,"")</f>
      </c>
      <c r="AG71" s="120">
        <f t="shared" ref="AG71" si="414">IFERROR(AG69-AB69,"")</f>
      </c>
      <c r="AH71" s="120">
        <f t="shared" ref="AH71" si="415">IFERROR(AH69-AC69,"")</f>
      </c>
      <c r="AI71" s="120">
        <f t="shared" ref="AI71" si="416">IFERROR(AI69-AD69,"")</f>
      </c>
      <c r="AJ71" s="120">
        <f t="shared" ref="AJ71" si="417">IFERROR(AJ69-AE69,"")</f>
      </c>
      <c r="AK71" s="121">
        <f t="shared" ref="AK71" si="418">IFERROR(AK69-AF69,"")</f>
      </c>
      <c r="AL71" s="120">
        <f t="shared" ref="AL71" si="419">IFERROR(AL69-AG69,"")</f>
      </c>
      <c r="AM71" s="120">
        <f t="shared" ref="AM71" si="420">IFERROR(AM69-AH69,"")</f>
      </c>
      <c r="AN71" s="120">
        <f t="shared" ref="AN71" si="421">IFERROR(AN69-AI69,"")</f>
      </c>
      <c r="AO71" s="120">
        <f t="shared" ref="AO71" si="422">IFERROR(AO69-AJ69,"")</f>
      </c>
      <c r="AP71" s="121">
        <f t="shared" ref="AP71" si="423">IFERROR(AP69-AK69,"")</f>
      </c>
      <c r="AQ71" s="120">
        <f t="shared" ref="AQ71" si="424">IFERROR(AQ69-AL69,"")</f>
      </c>
      <c r="AR71" s="120">
        <f t="shared" ref="AR71" si="425">IFERROR(AR69-AM69,"")</f>
      </c>
      <c r="AS71" s="120">
        <f t="shared" ref="AS71" si="426">IFERROR(AS69-AN69,"")</f>
      </c>
      <c r="AT71" s="120">
        <f t="shared" ref="AT71" si="427">IFERROR(AT69-AO69,"")</f>
      </c>
      <c r="AU71" s="121">
        <f t="shared" ref="AU71" si="428">IFERROR(AU69-AP69,"")</f>
      </c>
      <c r="AV71" s="120">
        <f t="shared" ref="AV71" si="429">IFERROR(AV69-AQ69,"")</f>
      </c>
      <c r="AW71" s="120">
        <f t="shared" ref="AW71" si="430">IFERROR(AW69-AR69,"")</f>
      </c>
      <c r="AX71" s="120">
        <f t="shared" ref="AX71" si="431">IFERROR(AX69-AS69,"")</f>
      </c>
      <c r="AY71" s="120">
        <f t="shared" ref="AY71" si="432">IFERROR(AY69-AT69,"")</f>
      </c>
      <c r="AZ71" s="121">
        <f t="shared" ref="AZ71" si="433">IFERROR(AZ69-AU69,"")</f>
      </c>
      <c r="BA71" s="120">
        <f t="shared" ref="BA71" si="434">IFERROR(BA69-AV69,"")</f>
      </c>
      <c r="BB71" s="120">
        <f t="shared" ref="BB71" si="435">IFERROR(BB69-AW69,"")</f>
      </c>
      <c r="BC71" s="120">
        <f t="shared" ref="BC71" si="436">IFERROR(BC69-AX69,"")</f>
      </c>
      <c r="BD71" s="120">
        <f t="shared" ref="BD71" si="437">IFERROR(BD69-AY69,"")</f>
      </c>
      <c r="BE71" s="121">
        <f t="shared" ref="BE71" si="438">IFERROR(BE69-AZ69,"")</f>
      </c>
      <c r="BF71" s="120">
        <f t="shared" ref="BF71" si="439">IFERROR(BF69-BA69,"")</f>
      </c>
      <c r="BG71" s="120">
        <f t="shared" ref="BG71" si="440">IFERROR(BG69-BB69,"")</f>
      </c>
      <c r="BH71" s="120">
        <f t="shared" ref="BH71" si="441">IFERROR(BH69-BC69,"")</f>
      </c>
      <c r="BI71" s="120">
        <f t="shared" ref="BI71" si="442">IFERROR(BI69-BD69,"")</f>
      </c>
      <c r="BJ71" s="121">
        <f t="shared" ref="BJ71" si="443">IFERROR(BJ69-BE69,"")</f>
      </c>
      <c r="BK71" s="120">
        <f t="shared" ref="BK71" si="444">IFERROR(BK69-BF69,"")</f>
      </c>
      <c r="BL71" s="120">
        <f t="shared" ref="BL71" si="445">IFERROR(BL69-BG69,"")</f>
      </c>
      <c r="BM71" s="120">
        <f t="shared" ref="BM71" si="446">IFERROR(BM69-BH69,"")</f>
      </c>
      <c r="BN71" s="120">
        <f t="shared" ref="BN71" si="447">IFERROR(BN69-BI69,"")</f>
      </c>
      <c r="BO71" s="121">
        <f t="shared" ref="BO71" si="448">IFERROR(BO69-BJ69,"")</f>
      </c>
      <c r="BP71" s="120">
        <f t="shared" ref="BP71" si="449">IFERROR(BP69-BK69,"")</f>
      </c>
      <c r="BQ71" s="120">
        <f t="shared" ref="BQ71" si="450">IFERROR(BQ69-BL69,"")</f>
      </c>
      <c r="BR71" s="120">
        <f t="shared" ref="BR71" si="451">IFERROR(BR69-BM69,"")</f>
      </c>
      <c r="BS71" s="120">
        <f t="shared" ref="BS71" si="452">IFERROR(BS69-BN69,"")</f>
      </c>
      <c r="BT71" s="121">
        <f t="shared" ref="BT71" si="453">IFERROR(BT69-BO69,"")</f>
      </c>
      <c r="BU71" s="120">
        <f t="shared" ref="BU71" si="454">IFERROR(BU69-BP69,"")</f>
      </c>
      <c r="BV71" s="120">
        <f t="shared" ref="BV71" si="455">IFERROR(BV69-BQ69,"")</f>
      </c>
      <c r="BW71" s="120">
        <f t="shared" ref="BW71" si="456">IFERROR(BW69-BR69,"")</f>
      </c>
      <c r="BX71" s="120">
        <f t="shared" ref="BX71" si="457">IFERROR(BX69-BS69,"")</f>
      </c>
      <c r="BY71" s="121">
        <f t="shared" ref="BY71" si="458">IFERROR(BY69-BT69,"")</f>
      </c>
      <c r="BZ71" s="120">
        <f t="shared" ref="BZ71" si="459">IFERROR(BZ69-BU69,"")</f>
      </c>
      <c r="CA71" s="120">
        <f t="shared" ref="CA71" si="460">IFERROR(CA69-BV69,"")</f>
      </c>
      <c r="CB71" s="120">
        <f t="shared" ref="CB71" si="461">IFERROR(CB69-BW69,"")</f>
      </c>
      <c r="CC71" s="120">
        <f t="shared" ref="CC71" si="462">IFERROR(CC69-BX69,"")</f>
      </c>
      <c r="CD71" s="121">
        <f t="shared" ref="CD71" si="463">IFERROR(CD69-BY69,"")</f>
      </c>
      <c r="CE71" s="120">
        <f t="shared" ref="CE71" si="464">IFERROR(CE69-BZ69,"")</f>
      </c>
      <c r="CF71" s="120">
        <f t="shared" ref="CF71" si="465">IFERROR(CF69-CA69,"")</f>
      </c>
      <c r="CG71" s="120">
        <f t="shared" ref="CG71" si="466">IFERROR(CG69-CB69,"")</f>
      </c>
      <c r="CH71" s="120">
        <f t="shared" ref="CH71" si="467">IFERROR(CH69-CC69,"")</f>
      </c>
      <c r="CI71" s="121">
        <f t="shared" ref="CI71" si="468">IFERROR(CI69-CD69,"")</f>
      </c>
      <c r="CJ71" s="120">
        <f t="shared" ref="CJ71" si="469">IFERROR(CJ69-CE69,"")</f>
      </c>
      <c r="CK71" s="120">
        <f t="shared" ref="CK71" si="470">IFERROR(CK69-CF69,"")</f>
      </c>
      <c r="CL71" s="120">
        <f t="shared" ref="CL71" si="471">IFERROR(CL69-CG69,"")</f>
      </c>
      <c r="CM71" s="120">
        <f t="shared" ref="CM71" si="472">IFERROR(CM69-CH69,"")</f>
      </c>
      <c r="CN71" s="121">
        <f t="shared" ref="CN71" si="473">IFERROR(CN69-CI69,"")</f>
      </c>
      <c r="CO71" s="120">
        <f t="shared" ref="CO71" si="474">IFERROR(CO69-CJ69,"")</f>
      </c>
      <c r="CP71" s="120">
        <f t="shared" ref="CP71" si="475">IFERROR(CP69-CK69,"")</f>
      </c>
      <c r="CQ71" s="120">
        <f t="shared" ref="CQ71" si="476">IFERROR(CQ69-CL69,"")</f>
      </c>
      <c r="CR71" s="120">
        <f t="shared" ref="CR71" si="477">IFERROR(CR69-CM69,"")</f>
      </c>
      <c r="CS71" s="121">
        <f t="shared" ref="CS71" si="478">IFERROR(CS69-CN69,"")</f>
      </c>
      <c r="CT71" s="120">
        <f t="shared" ref="CT71" si="479">IFERROR(CT69-CO69,"")</f>
      </c>
      <c r="CU71" s="120">
        <f t="shared" ref="CU71" si="480">IFERROR(CU69-CP69,"")</f>
      </c>
      <c r="CV71" s="120">
        <f t="shared" ref="CV71" si="481">IFERROR(CV69-CQ69,"")</f>
      </c>
      <c r="CW71" s="120">
        <f t="shared" ref="CW71" si="482">IFERROR(CW69-CR69,"")</f>
      </c>
      <c r="CX71" s="121">
        <f t="shared" ref="CX71" si="483">IFERROR(CX69-CS69,"")</f>
      </c>
      <c r="CY71" s="120">
        <f t="shared" ref="CY71" si="484">IFERROR(CY69-CT69,"")</f>
      </c>
      <c r="CZ71" s="120">
        <f t="shared" ref="CZ71" si="485">IFERROR(CZ69-CU69,"")</f>
      </c>
      <c r="DA71" s="120">
        <f t="shared" ref="DA71" si="486">IFERROR(DA69-CV69,"")</f>
      </c>
      <c r="DB71" s="120">
        <f t="shared" ref="DB71" si="487">IFERROR(DB69-CW69,"")</f>
      </c>
      <c r="DC71" s="121">
        <f t="shared" ref="DC71" si="488">IFERROR(DC69-CX69,"")</f>
      </c>
      <c r="DD71" s="120">
        <f t="shared" ref="DD71" si="489">IFERROR(DD69-CY69,"")</f>
      </c>
      <c r="DE71" s="120">
        <f t="shared" ref="DE71" si="490">IFERROR(DE69-CZ69,"")</f>
      </c>
      <c r="DF71" s="120">
        <f t="shared" ref="DF71" si="491">IFERROR(DF69-DA69,"")</f>
      </c>
      <c r="DG71" s="120">
        <f t="shared" ref="DG71" si="492">IFERROR(DG69-DB69,"")</f>
      </c>
      <c r="DH71" s="121">
        <f t="shared" ref="DH71" si="493">IFERROR(DH69-DC69,"")</f>
      </c>
      <c r="DI71" s="120">
        <f t="shared" ref="DI71" si="494">IFERROR(DI69-DD69,"")</f>
      </c>
      <c r="DJ71" s="120">
        <f t="shared" ref="DJ71" si="495">IFERROR(DJ69-DE69,"")</f>
      </c>
      <c r="DK71" s="120">
        <f t="shared" ref="DK71" si="496">IFERROR(DK69-DF69,"")</f>
      </c>
      <c r="DL71" s="120">
        <f t="shared" ref="DL71" si="497">IFERROR(DL69-DG69,"")</f>
      </c>
      <c r="DM71" s="121">
        <f t="shared" ref="DM71" si="498">IFERROR(DM69-DH69,"")</f>
      </c>
      <c r="DN71" s="120">
        <f t="shared" ref="DN71" si="499">IFERROR(DN69-DI69,"")</f>
      </c>
      <c r="DO71" s="120">
        <f t="shared" ref="DO71" si="500">IFERROR(DO69-DJ69,"")</f>
      </c>
      <c r="DP71" s="120">
        <f t="shared" ref="DP71" si="501">IFERROR(DP69-DK69,"")</f>
      </c>
      <c r="DQ71" s="120">
        <f t="shared" ref="DQ71" si="502">IFERROR(DQ69-DL69,"")</f>
      </c>
      <c r="DR71" s="121">
        <f t="shared" ref="DR71" si="503">IFERROR(DR69-DM69,"")</f>
      </c>
      <c r="DS71" s="120">
        <f t="shared" ref="DS71" si="504">IFERROR(DS69-DN69,"")</f>
      </c>
      <c r="DT71" s="120">
        <f t="shared" ref="DT71" si="505">IFERROR(DT69-DO69,"")</f>
      </c>
      <c r="DU71" s="120">
        <f t="shared" ref="DU71" si="506">IFERROR(DU69-DP69,"")</f>
      </c>
      <c r="DV71" s="120">
        <f t="shared" ref="DV71" si="507">IFERROR(DV69-DQ69,"")</f>
      </c>
      <c r="DW71" s="121">
        <f t="shared" ref="DW71" si="508">IFERROR(DW69-DR69,"")</f>
      </c>
      <c r="DX71" s="120">
        <f t="shared" ref="DX71" si="509">IFERROR(DX69-DS69,"")</f>
      </c>
      <c r="DY71" s="120">
        <f t="shared" ref="DY71" si="510">IFERROR(DY69-DT69,"")</f>
      </c>
      <c r="DZ71" s="120">
        <f t="shared" ref="DZ71" si="511">IFERROR(DZ69-DU69,"")</f>
      </c>
      <c r="EA71" s="120">
        <f t="shared" ref="EA71" si="512">IFERROR(EA69-DV69,"")</f>
      </c>
      <c r="EB71" s="121">
        <f t="shared" ref="EB71" si="513">IFERROR(EB69-DW69,"")</f>
      </c>
      <c r="EC71" s="120">
        <f t="shared" ref="EC71" si="514">IFERROR(EC69-DX69,"")</f>
      </c>
      <c r="ED71" s="120">
        <f t="shared" ref="ED71" si="515">IFERROR(ED69-DY69,"")</f>
      </c>
      <c r="EE71" s="120">
        <f t="shared" ref="EE71" si="516">IFERROR(EE69-DZ69,"")</f>
      </c>
      <c r="EF71" s="120">
        <f t="shared" ref="EF71" si="517">IFERROR(EF69-EA69,"")</f>
      </c>
      <c r="EG71" s="121">
        <f t="shared" ref="EG71" si="518">IFERROR(EG69-EB69,"")</f>
      </c>
      <c r="EH71" s="120">
        <f t="shared" ref="EH71" si="519">IFERROR(EH69-EC69,"")</f>
      </c>
      <c r="EI71" s="120">
        <f t="shared" ref="EI71" si="520">IFERROR(EI69-ED69,"")</f>
      </c>
      <c r="EJ71" s="120">
        <f t="shared" ref="EJ71" si="521">IFERROR(EJ69-EE69,"")</f>
      </c>
      <c r="EK71" s="120">
        <f t="shared" ref="EK71" si="522">IFERROR(EK69-EF69,"")</f>
      </c>
      <c r="EL71" s="121">
        <f t="shared" ref="EL71" si="523">IFERROR(EL69-EG69,"")</f>
      </c>
      <c r="EM71" s="120">
        <f t="shared" ref="EM71" si="524">IFERROR(EM69-EH69,"")</f>
      </c>
      <c r="EN71" s="120">
        <f t="shared" ref="EN71" si="525">IFERROR(EN69-EI69,"")</f>
      </c>
      <c r="EO71" s="120">
        <f t="shared" ref="EO71" si="526">IFERROR(EO69-EJ69,"")</f>
      </c>
      <c r="EP71" s="120">
        <f t="shared" ref="EP71" si="527">IFERROR(EP69-EK69,"")</f>
      </c>
      <c r="EQ71" s="121">
        <f t="shared" ref="EQ71" si="528">IFERROR(EQ69-EL69,"")</f>
      </c>
      <c r="ER71" s="120">
        <f t="shared" ref="ER71" si="529">IFERROR(ER69-EM69,"")</f>
      </c>
      <c r="ES71" s="120">
        <f t="shared" ref="ES71" si="530">IFERROR(ES69-EN69,"")</f>
      </c>
      <c r="ET71" s="120">
        <f t="shared" ref="ET71" si="531">IFERROR(ET69-EO69,"")</f>
      </c>
      <c r="EU71" s="120">
        <f t="shared" ref="EU71" si="532">IFERROR(EU69-EP69,"")</f>
      </c>
      <c r="EV71" s="121">
        <f t="shared" ref="EV71" si="533">IFERROR(EV69-EQ69,"")</f>
      </c>
      <c r="EW71" s="120">
        <f t="shared" ref="EW71" si="534">IFERROR(EW69-ER69,"")</f>
      </c>
      <c r="EX71" s="120">
        <f t="shared" ref="EX71" si="535">IFERROR(EX69-ES69,"")</f>
      </c>
      <c r="EY71" s="120">
        <f t="shared" ref="EY71:FA71" si="536">IFERROR(EY69-ET69,"")</f>
      </c>
      <c r="EZ71" s="120">
        <f t="shared" si="536"/>
      </c>
      <c r="FA71" s="121">
        <f t="shared" si="536"/>
      </c>
      <c r="FB71" s="120">
        <f t="shared" ref="FB71" si="537">IFERROR(FB69-EW69,"")</f>
      </c>
      <c r="FC71" s="120">
        <f t="shared" ref="FC71" si="538">IFERROR(FC69-EX69,"")</f>
      </c>
      <c r="FD71" s="120">
        <f t="shared" ref="FD71" si="539">IFERROR(FD69-EY69,"")</f>
      </c>
      <c r="FE71" s="120">
        <f t="shared" ref="FE71" si="540">IFERROR(FE69-EZ69,"")</f>
      </c>
      <c r="FF71" s="121">
        <f t="shared" ref="FF71" si="541">IFERROR(FF69-FA69,"")</f>
      </c>
      <c r="FG71" s="120">
        <f t="shared" ref="FG71" si="542">IFERROR(FG69-FB69,"")</f>
      </c>
      <c r="FH71" s="120">
        <f t="shared" ref="FH71" si="543">IFERROR(FH69-FC69,"")</f>
      </c>
      <c r="FI71" s="120">
        <f t="shared" ref="FI71" si="544">IFERROR(FI69-FD69,"")</f>
      </c>
      <c r="FJ71" s="120">
        <f t="shared" ref="FJ71" si="545">IFERROR(FJ69-FE69,"")</f>
      </c>
      <c r="FK71" s="121">
        <f t="shared" ref="FK71" si="546">IFERROR(FK69-FF69,"")</f>
      </c>
      <c r="FL71" s="120">
        <f t="shared" ref="FL71" si="547">IFERROR(FL69-FG69,"")</f>
      </c>
      <c r="FM71" s="120">
        <f t="shared" ref="FM71" si="548">IFERROR(FM69-FH69,"")</f>
      </c>
      <c r="FN71" s="120">
        <f t="shared" ref="FN71" si="549">IFERROR(FN69-FI69,"")</f>
      </c>
      <c r="FO71" s="120">
        <f t="shared" ref="FO71" si="550">IFERROR(FO69-FJ69,"")</f>
      </c>
      <c r="FP71" s="121">
        <f t="shared" ref="FP71" si="551">IFERROR(FP69-FK69,"")</f>
      </c>
      <c r="FQ71" s="120">
        <f t="shared" ref="FQ71" si="552">IFERROR(FQ69-FL69,"")</f>
      </c>
      <c r="FR71" s="120">
        <f t="shared" ref="FR71" si="553">IFERROR(FR69-FM69,"")</f>
      </c>
      <c r="FS71" s="120">
        <f t="shared" ref="FS71" si="554">IFERROR(FS69-FN69,"")</f>
      </c>
      <c r="FT71" s="120">
        <f t="shared" ref="FT71" si="555">IFERROR(FT69-FO69,"")</f>
      </c>
      <c r="FU71" s="121">
        <f t="shared" ref="FU71" si="556">IFERROR(FU69-FP69,"")</f>
      </c>
      <c r="FV71" s="120">
        <f t="shared" ref="FV71" si="557">IFERROR(FV69-FQ69,"")</f>
      </c>
      <c r="FW71" s="120">
        <f t="shared" ref="FW71" si="558">IFERROR(FW69-FR69,"")</f>
      </c>
      <c r="FX71" s="120">
        <f t="shared" ref="FX71" si="559">IFERROR(FX69-FS69,"")</f>
      </c>
      <c r="FY71" s="120">
        <f t="shared" ref="FY71" si="560">IFERROR(FY69-FT69,"")</f>
      </c>
      <c r="FZ71" s="121">
        <f t="shared" ref="FZ71" si="561">IFERROR(FZ69-FU69,"")</f>
      </c>
      <c r="GA71" s="120">
        <f t="shared" ref="GA71" si="562">IFERROR(GA69-FV69,"")</f>
      </c>
      <c r="GB71" s="120">
        <f t="shared" ref="GB71" si="563">IFERROR(GB69-FW69,"")</f>
      </c>
      <c r="GC71" s="120">
        <f t="shared" ref="GC71" si="564">IFERROR(GC69-FX69,"")</f>
      </c>
      <c r="GD71" s="120">
        <f t="shared" ref="GD71" si="565">IFERROR(GD69-FY69,"")</f>
      </c>
      <c r="GE71" s="121">
        <f t="shared" ref="GE71" si="566">IFERROR(GE69-FZ69,"")</f>
      </c>
      <c r="GF71" s="120">
        <f t="shared" ref="GF71" si="567">IFERROR(GF69-GA69,"")</f>
      </c>
      <c r="GG71" s="120">
        <f t="shared" ref="GG71" si="568">IFERROR(GG69-GB69,"")</f>
      </c>
      <c r="GH71" s="120">
        <f t="shared" ref="GH71" si="569">IFERROR(GH69-GC69,"")</f>
      </c>
      <c r="GI71" s="120">
        <f t="shared" ref="GI71" si="570">IFERROR(GI69-GD69,"")</f>
      </c>
      <c r="GJ71" s="121">
        <f t="shared" ref="GJ71" si="571">IFERROR(GJ69-GE69,"")</f>
      </c>
    </row>
    <row r="72" spans="1:192" s="93" customFormat="1" ht="12.75" hidden="1" customHeight="1" outlineLevel="1">
      <c r="A72" s="81"/>
      <c r="B72" s="712" t="s">
        <v>304</v>
      </c>
      <c r="C72" s="107" t="str">
        <f>IFERROR(C69/#REF!-1,"")</f>
      </c>
      <c r="D72" s="105" t="str">
        <f>IFERROR(D69/#REF!-1,"")</f>
      </c>
      <c r="E72" s="105" t="str">
        <f>IFERROR(E69/#REF!-1,"")</f>
      </c>
      <c r="F72" s="105" t="str">
        <f t="shared" ref="F72" si="572">IFERROR(F69/A69-1,"")</f>
      </c>
      <c r="G72" s="122" t="str">
        <f t="shared" ref="G72" si="573">IFERROR(G69/B69-1,"")</f>
      </c>
      <c r="H72" s="105" t="str">
        <f t="shared" ref="H72" si="574">IFERROR(H69/C69-1,"")</f>
      </c>
      <c r="I72" s="105" t="str">
        <f t="shared" ref="I72" si="575">IFERROR(I69/D69-1,"")</f>
      </c>
      <c r="J72" s="105" t="str">
        <f t="shared" ref="J72" si="576">IFERROR(J69/E69-1,"")</f>
      </c>
      <c r="K72" s="105" t="str">
        <f t="shared" ref="K72" si="577">IFERROR(K69/F69-1,"")</f>
      </c>
      <c r="L72" s="122" t="str">
        <f t="shared" ref="L72" si="578">IFERROR(L69/G69-1,"")</f>
      </c>
      <c r="M72" s="105">
        <f t="shared" ref="M72" si="579">IFERROR(M69/H69-1,"")</f>
      </c>
      <c r="N72" s="105">
        <f t="shared" ref="N72" si="580">IFERROR(N69/I69-1,"")</f>
      </c>
      <c r="O72" s="105">
        <f t="shared" ref="O72" si="581">IFERROR(O69/J69-1,"")</f>
      </c>
      <c r="P72" s="105" t="str">
        <f t="shared" ref="P72" si="582">IFERROR(P69/K69-1,"")</f>
      </c>
      <c r="Q72" s="122" t="str">
        <f t="shared" ref="Q72" si="583">IFERROR(Q69/L69-1,"")</f>
      </c>
      <c r="R72" s="105" t="str">
        <f t="shared" ref="R72" si="584">IFERROR(R69/M69-1,"")</f>
      </c>
      <c r="S72" s="105" t="str">
        <f t="shared" ref="S72" si="585">IFERROR(S69/N69-1,"")</f>
      </c>
      <c r="T72" s="105" t="str">
        <f t="shared" ref="T72" si="586">IFERROR(T69/O69-1,"")</f>
      </c>
      <c r="U72" s="105" t="str">
        <f t="shared" ref="U72" si="587">IFERROR(U69/P69-1,"")</f>
      </c>
      <c r="V72" s="122" t="str">
        <f t="shared" ref="V72" si="588">IFERROR(V69/Q69-1,"")</f>
      </c>
      <c r="W72" s="105" t="str">
        <f t="shared" ref="W72" si="589">IFERROR(W69/R69-1,"")</f>
      </c>
      <c r="X72" s="105" t="str">
        <f t="shared" ref="X72" si="590">IFERROR(X69/S69-1,"")</f>
      </c>
      <c r="Y72" s="105" t="str">
        <f t="shared" ref="Y72" si="591">IFERROR(Y69/T69-1,"")</f>
      </c>
      <c r="Z72" s="105" t="str">
        <f t="shared" ref="Z72" si="592">IFERROR(Z69/U69-1,"")</f>
      </c>
      <c r="AA72" s="122" t="str">
        <f t="shared" ref="AA72" si="593">IFERROR(AA69/V69-1,"")</f>
      </c>
      <c r="AB72" s="107" t="str">
        <f t="shared" ref="AB72" si="594">IFERROR(AB69/W69-1,"")</f>
      </c>
      <c r="AC72" s="105" t="str">
        <f t="shared" ref="AC72" si="595">IFERROR(AC69/X69-1,"")</f>
      </c>
      <c r="AD72" s="105" t="str">
        <f t="shared" ref="AD72" si="596">IFERROR(AD69/Y69-1,"")</f>
      </c>
      <c r="AE72" s="105" t="str">
        <f t="shared" ref="AE72" si="597">IFERROR(AE69/Z69-1,"")</f>
      </c>
      <c r="AF72" s="122" t="str">
        <f t="shared" ref="AF72" si="598">IFERROR(AF69/AA69-1,"")</f>
      </c>
      <c r="AG72" s="105" t="str">
        <f t="shared" ref="AG72" si="599">IFERROR(AG69/AB69-1,"")</f>
      </c>
      <c r="AH72" s="105" t="str">
        <f t="shared" ref="AH72" si="600">IFERROR(AH69/AC69-1,"")</f>
      </c>
      <c r="AI72" s="105" t="str">
        <f t="shared" ref="AI72" si="601">IFERROR(AI69/AD69-1,"")</f>
      </c>
      <c r="AJ72" s="105" t="str">
        <f t="shared" ref="AJ72" si="602">IFERROR(AJ69/AE69-1,"")</f>
      </c>
      <c r="AK72" s="122" t="str">
        <f t="shared" ref="AK72" si="603">IFERROR(AK69/AF69-1,"")</f>
      </c>
      <c r="AL72" s="105" t="str">
        <f t="shared" ref="AL72" si="604">IFERROR(AL69/AG69-1,"")</f>
      </c>
      <c r="AM72" s="105" t="str">
        <f t="shared" ref="AM72" si="605">IFERROR(AM69/AH69-1,"")</f>
      </c>
      <c r="AN72" s="105" t="str">
        <f t="shared" ref="AN72" si="606">IFERROR(AN69/AI69-1,"")</f>
      </c>
      <c r="AO72" s="105" t="str">
        <f t="shared" ref="AO72" si="607">IFERROR(AO69/AJ69-1,"")</f>
      </c>
      <c r="AP72" s="122" t="str">
        <f t="shared" ref="AP72" si="608">IFERROR(AP69/AK69-1,"")</f>
      </c>
      <c r="AQ72" s="105" t="str">
        <f t="shared" ref="AQ72" si="609">IFERROR(AQ69/AL69-1,"")</f>
      </c>
      <c r="AR72" s="105" t="str">
        <f t="shared" ref="AR72" si="610">IFERROR(AR69/AM69-1,"")</f>
      </c>
      <c r="AS72" s="105" t="str">
        <f t="shared" ref="AS72" si="611">IFERROR(AS69/AN69-1,"")</f>
      </c>
      <c r="AT72" s="105">
        <f t="shared" ref="AT72" si="612">IFERROR(AT69/AO69-1,"")</f>
      </c>
      <c r="AU72" s="122">
        <f t="shared" ref="AU72" si="613">IFERROR(AU69/AP69-1,"")</f>
      </c>
      <c r="AV72" s="107">
        <f t="shared" ref="AV72" si="614">IFERROR(AV69/AQ69-1,"")</f>
      </c>
      <c r="AW72" s="105">
        <f t="shared" ref="AW72" si="615">IFERROR(AW69/AR69-1,"")</f>
      </c>
      <c r="AX72" s="105">
        <f t="shared" ref="AX72" si="616">IFERROR(AX69/AS69-1,"")</f>
      </c>
      <c r="AY72" s="105">
        <f t="shared" ref="AY72" si="617">IFERROR(AY69/AT69-1,"")</f>
      </c>
      <c r="AZ72" s="122">
        <f t="shared" ref="AZ72" si="618">IFERROR(AZ69/AU69-1,"")</f>
      </c>
      <c r="BA72" s="105">
        <f t="shared" ref="BA72" si="619">IFERROR(BA69/AV69-1,"")</f>
      </c>
      <c r="BB72" s="105">
        <f t="shared" ref="BB72" si="620">IFERROR(BB69/AW69-1,"")</f>
      </c>
      <c r="BC72" s="105">
        <f t="shared" ref="BC72" si="621">IFERROR(BC69/AX69-1,"")</f>
      </c>
      <c r="BD72" s="105">
        <f t="shared" ref="BD72" si="622">IFERROR(BD69/AY69-1,"")</f>
      </c>
      <c r="BE72" s="122">
        <f t="shared" ref="BE72" si="623">IFERROR(BE69/AZ69-1,"")</f>
      </c>
      <c r="BF72" s="105">
        <f t="shared" ref="BF72" si="624">IFERROR(BF69/BA69-1,"")</f>
      </c>
      <c r="BG72" s="105">
        <f t="shared" ref="BG72" si="625">IFERROR(BG69/BB69-1,"")</f>
      </c>
      <c r="BH72" s="105">
        <f t="shared" ref="BH72" si="626">IFERROR(BH69/BC69-1,"")</f>
      </c>
      <c r="BI72" s="105">
        <f t="shared" ref="BI72" si="627">IFERROR(BI69/BD69-1,"")</f>
      </c>
      <c r="BJ72" s="122">
        <f t="shared" ref="BJ72" si="628">IFERROR(BJ69/BE69-1,"")</f>
      </c>
      <c r="BK72" s="105">
        <f t="shared" ref="BK72" si="629">IFERROR(BK69/BF69-1,"")</f>
      </c>
      <c r="BL72" s="105">
        <f t="shared" ref="BL72" si="630">IFERROR(BL69/BG69-1,"")</f>
      </c>
      <c r="BM72" s="105">
        <f t="shared" ref="BM72" si="631">IFERROR(BM69/BH69-1,"")</f>
      </c>
      <c r="BN72" s="105">
        <f t="shared" ref="BN72" si="632">IFERROR(BN69/BI69-1,"")</f>
      </c>
      <c r="BO72" s="122">
        <f t="shared" ref="BO72" si="633">IFERROR(BO69/BJ69-1,"")</f>
      </c>
      <c r="BP72" s="105">
        <f t="shared" ref="BP72" si="634">IFERROR(BP69/BK69-1,"")</f>
      </c>
      <c r="BQ72" s="105">
        <f t="shared" ref="BQ72" si="635">IFERROR(BQ69/BL69-1,"")</f>
      </c>
      <c r="BR72" s="105">
        <f t="shared" ref="BR72" si="636">IFERROR(BR69/BM69-1,"")</f>
      </c>
      <c r="BS72" s="105">
        <f t="shared" ref="BS72" si="637">IFERROR(BS69/BN69-1,"")</f>
      </c>
      <c r="BT72" s="122">
        <f t="shared" ref="BT72" si="638">IFERROR(BT69/BO69-1,"")</f>
      </c>
      <c r="BU72" s="107">
        <f t="shared" ref="BU72" si="639">IFERROR(BU69/BP69-1,"")</f>
      </c>
      <c r="BV72" s="105">
        <f t="shared" ref="BV72" si="640">IFERROR(BV69/BQ69-1,"")</f>
      </c>
      <c r="BW72" s="105">
        <f t="shared" ref="BW72" si="641">IFERROR(BW69/BR69-1,"")</f>
      </c>
      <c r="BX72" s="105">
        <f t="shared" ref="BX72" si="642">IFERROR(BX69/BS69-1,"")</f>
      </c>
      <c r="BY72" s="122">
        <f t="shared" ref="BY72" si="643">IFERROR(BY69/BT69-1,"")</f>
      </c>
      <c r="BZ72" s="105">
        <f t="shared" ref="BZ72" si="644">IFERROR(BZ69/BU69-1,"")</f>
      </c>
      <c r="CA72" s="105">
        <f t="shared" ref="CA72" si="645">IFERROR(CA69/BV69-1,"")</f>
      </c>
      <c r="CB72" s="105">
        <f t="shared" ref="CB72" si="646">IFERROR(CB69/BW69-1,"")</f>
      </c>
      <c r="CC72" s="105">
        <f t="shared" ref="CC72" si="647">IFERROR(CC69/BX69-1,"")</f>
      </c>
      <c r="CD72" s="122">
        <f t="shared" ref="CD72" si="648">IFERROR(CD69/BY69-1,"")</f>
      </c>
      <c r="CE72" s="105">
        <f t="shared" ref="CE72" si="649">IFERROR(CE69/BZ69-1,"")</f>
      </c>
      <c r="CF72" s="105">
        <f t="shared" ref="CF72" si="650">IFERROR(CF69/CA69-1,"")</f>
      </c>
      <c r="CG72" s="105">
        <f t="shared" ref="CG72" si="651">IFERROR(CG69/CB69-1,"")</f>
      </c>
      <c r="CH72" s="105">
        <f t="shared" ref="CH72" si="652">IFERROR(CH69/CC69-1,"")</f>
      </c>
      <c r="CI72" s="122">
        <f t="shared" ref="CI72" si="653">IFERROR(CI69/CD69-1,"")</f>
      </c>
      <c r="CJ72" s="105">
        <f t="shared" ref="CJ72" si="654">IFERROR(CJ69/CE69-1,"")</f>
      </c>
      <c r="CK72" s="105">
        <f t="shared" ref="CK72" si="655">IFERROR(CK69/CF69-1,"")</f>
      </c>
      <c r="CL72" s="105">
        <f t="shared" ref="CL72" si="656">IFERROR(CL69/CG69-1,"")</f>
      </c>
      <c r="CM72" s="105">
        <f t="shared" ref="CM72" si="657">IFERROR(CM69/CH69-1,"")</f>
      </c>
      <c r="CN72" s="122">
        <f t="shared" ref="CN72" si="658">IFERROR(CN69/CI69-1,"")</f>
      </c>
      <c r="CO72" s="107">
        <f t="shared" ref="CO72" si="659">IFERROR(CO69/CJ69-1,"")</f>
      </c>
      <c r="CP72" s="105">
        <f t="shared" ref="CP72" si="660">IFERROR(CP69/CK69-1,"")</f>
      </c>
      <c r="CQ72" s="105">
        <f t="shared" ref="CQ72" si="661">IFERROR(CQ69/CL69-1,"")</f>
      </c>
      <c r="CR72" s="105">
        <f t="shared" ref="CR72" si="662">IFERROR(CR69/CM69-1,"")</f>
      </c>
      <c r="CS72" s="122">
        <f t="shared" ref="CS72" si="663">IFERROR(CS69/CN69-1,"")</f>
      </c>
      <c r="CT72" s="105">
        <f t="shared" ref="CT72" si="664">IFERROR(CT69/CO69-1,"")</f>
      </c>
      <c r="CU72" s="105">
        <f t="shared" ref="CU72" si="665">IFERROR(CU69/CP69-1,"")</f>
      </c>
      <c r="CV72" s="105">
        <f t="shared" ref="CV72" si="666">IFERROR(CV69/CQ69-1,"")</f>
      </c>
      <c r="CW72" s="105">
        <f t="shared" ref="CW72" si="667">IFERROR(CW69/CR69-1,"")</f>
      </c>
      <c r="CX72" s="122">
        <f t="shared" ref="CX72" si="668">IFERROR(CX69/CS69-1,"")</f>
      </c>
      <c r="CY72" s="105">
        <f t="shared" ref="CY72" si="669">IFERROR(CY69/CT69-1,"")</f>
      </c>
      <c r="CZ72" s="105">
        <f t="shared" ref="CZ72" si="670">IFERROR(CZ69/CU69-1,"")</f>
      </c>
      <c r="DA72" s="105">
        <f t="shared" ref="DA72" si="671">IFERROR(DA69/CV69-1,"")</f>
      </c>
      <c r="DB72" s="105">
        <f t="shared" ref="DB72" si="672">IFERROR(DB69/CW69-1,"")</f>
      </c>
      <c r="DC72" s="122">
        <f t="shared" ref="DC72" si="673">IFERROR(DC69/CX69-1,"")</f>
      </c>
      <c r="DD72" s="107">
        <f t="shared" ref="DD72" si="674">IFERROR(DD69/CY69-1,"")</f>
      </c>
      <c r="DE72" s="105">
        <f t="shared" ref="DE72" si="675">IFERROR(DE69/CZ69-1,"")</f>
      </c>
      <c r="DF72" s="105">
        <f t="shared" ref="DF72" si="676">IFERROR(DF69/DA69-1,"")</f>
      </c>
      <c r="DG72" s="105">
        <f t="shared" ref="DG72" si="677">IFERROR(DG69/DB69-1,"")</f>
      </c>
      <c r="DH72" s="122">
        <f t="shared" ref="DH72" si="678">IFERROR(DH69/DC69-1,"")</f>
      </c>
      <c r="DI72" s="105">
        <f t="shared" ref="DI72" si="679">IFERROR(DI69/DD69-1,"")</f>
      </c>
      <c r="DJ72" s="105">
        <f t="shared" ref="DJ72" si="680">IFERROR(DJ69/DE69-1,"")</f>
      </c>
      <c r="DK72" s="105">
        <f t="shared" ref="DK72" si="681">IFERROR(DK69/DF69-1,"")</f>
      </c>
      <c r="DL72" s="105">
        <f t="shared" ref="DL72" si="682">IFERROR(DL69/DG69-1,"")</f>
      </c>
      <c r="DM72" s="122">
        <f t="shared" ref="DM72" si="683">IFERROR(DM69/DH69-1,"")</f>
      </c>
      <c r="DN72" s="105">
        <f t="shared" ref="DN72" si="684">IFERROR(DN69/DI69-1,"")</f>
      </c>
      <c r="DO72" s="105">
        <f t="shared" ref="DO72" si="685">IFERROR(DO69/DJ69-1,"")</f>
      </c>
      <c r="DP72" s="105">
        <f t="shared" ref="DP72" si="686">IFERROR(DP69/DK69-1,"")</f>
      </c>
      <c r="DQ72" s="105">
        <f t="shared" ref="DQ72" si="687">IFERROR(DQ69/DL69-1,"")</f>
      </c>
      <c r="DR72" s="122">
        <f t="shared" ref="DR72" si="688">IFERROR(DR69/DM69-1,"")</f>
      </c>
      <c r="DS72" s="105">
        <f t="shared" ref="DS72" si="689">IFERROR(DS69/DN69-1,"")</f>
      </c>
      <c r="DT72" s="105">
        <f t="shared" ref="DT72" si="690">IFERROR(DT69/DO69-1,"")</f>
      </c>
      <c r="DU72" s="105">
        <f t="shared" ref="DU72" si="691">IFERROR(DU69/DP69-1,"")</f>
      </c>
      <c r="DV72" s="105">
        <f t="shared" ref="DV72" si="692">IFERROR(DV69/DQ69-1,"")</f>
      </c>
      <c r="DW72" s="122">
        <f t="shared" ref="DW72" si="693">IFERROR(DW69/DR69-1,"")</f>
      </c>
      <c r="DX72" s="105">
        <f t="shared" ref="DX72" si="694">IFERROR(DX69/DS69-1,"")</f>
      </c>
      <c r="DY72" s="105">
        <f t="shared" ref="DY72" si="695">IFERROR(DY69/DT69-1,"")</f>
      </c>
      <c r="DZ72" s="105">
        <f t="shared" ref="DZ72" si="696">IFERROR(DZ69/DU69-1,"")</f>
      </c>
      <c r="EA72" s="105">
        <f t="shared" ref="EA72" si="697">IFERROR(EA69/DV69-1,"")</f>
      </c>
      <c r="EB72" s="122">
        <f t="shared" ref="EB72" si="698">IFERROR(EB69/DW69-1,"")</f>
      </c>
      <c r="EC72" s="105">
        <f t="shared" ref="EC72" si="699">IFERROR(EC69/DX69-1,"")</f>
      </c>
      <c r="ED72" s="105">
        <f t="shared" ref="ED72" si="700">IFERROR(ED69/DY69-1,"")</f>
      </c>
      <c r="EE72" s="105">
        <f t="shared" ref="EE72" si="701">IFERROR(EE69/DZ69-1,"")</f>
      </c>
      <c r="EF72" s="105">
        <f t="shared" ref="EF72" si="702">IFERROR(EF69/EA69-1,"")</f>
      </c>
      <c r="EG72" s="122">
        <f t="shared" ref="EG72" si="703">IFERROR(EG69/EB69-1,"")</f>
      </c>
      <c r="EH72" s="105">
        <f t="shared" ref="EH72" si="704">IFERROR(EH69/EC69-1,"")</f>
      </c>
      <c r="EI72" s="105">
        <f t="shared" ref="EI72" si="705">IFERROR(EI69/ED69-1,"")</f>
      </c>
      <c r="EJ72" s="105">
        <f t="shared" ref="EJ72" si="706">IFERROR(EJ69/EE69-1,"")</f>
      </c>
      <c r="EK72" s="105">
        <f t="shared" ref="EK72" si="707">IFERROR(EK69/EF69-1,"")</f>
      </c>
      <c r="EL72" s="122">
        <f t="shared" ref="EL72" si="708">IFERROR(EL69/EG69-1,"")</f>
      </c>
      <c r="EM72" s="105">
        <f t="shared" ref="EM72" si="709">IFERROR(EM69/EH69-1,"")</f>
      </c>
      <c r="EN72" s="105">
        <f t="shared" ref="EN72" si="710">IFERROR(EN69/EI69-1,"")</f>
      </c>
      <c r="EO72" s="105">
        <f t="shared" ref="EO72" si="711">IFERROR(EO69/EJ69-1,"")</f>
      </c>
      <c r="EP72" s="105">
        <f t="shared" ref="EP72" si="712">IFERROR(EP69/EK69-1,"")</f>
      </c>
      <c r="EQ72" s="122">
        <f t="shared" ref="EQ72" si="713">IFERROR(EQ69/EL69-1,"")</f>
      </c>
      <c r="ER72" s="105">
        <f t="shared" ref="ER72" si="714">IFERROR(ER69/EM69-1,"")</f>
      </c>
      <c r="ES72" s="105">
        <f t="shared" ref="ES72" si="715">IFERROR(ES69/EN69-1,"")</f>
      </c>
      <c r="ET72" s="105">
        <f t="shared" ref="ET72" si="716">IFERROR(ET69/EO69-1,"")</f>
      </c>
      <c r="EU72" s="105">
        <f t="shared" ref="EU72" si="717">IFERROR(EU69/EP69-1,"")</f>
      </c>
      <c r="EV72" s="122">
        <f t="shared" ref="EV72" si="718">IFERROR(EV69/EQ69-1,"")</f>
      </c>
      <c r="EW72" s="105">
        <f t="shared" ref="EW72" si="719">IFERROR(EW69/ER69-1,"")</f>
      </c>
      <c r="EX72" s="105">
        <f t="shared" ref="EX72" si="720">IFERROR(EX69/ES69-1,"")</f>
      </c>
      <c r="EY72" s="105">
        <f t="shared" ref="EY72:FA72" si="721">IFERROR(EY69/ET69-1,"")</f>
      </c>
      <c r="EZ72" s="105">
        <f t="shared" si="721"/>
      </c>
      <c r="FA72" s="122">
        <f t="shared" si="721"/>
      </c>
      <c r="FB72" s="105">
        <f t="shared" ref="FB72" si="722">IFERROR(FB69/EW69-1,"")</f>
      </c>
      <c r="FC72" s="105">
        <f t="shared" ref="FC72" si="723">IFERROR(FC69/EX69-1,"")</f>
      </c>
      <c r="FD72" s="105">
        <f t="shared" ref="FD72" si="724">IFERROR(FD69/EY69-1,"")</f>
      </c>
      <c r="FE72" s="105">
        <f t="shared" ref="FE72" si="725">IFERROR(FE69/EZ69-1,"")</f>
      </c>
      <c r="FF72" s="122">
        <f t="shared" ref="FF72" si="726">IFERROR(FF69/FA69-1,"")</f>
      </c>
      <c r="FG72" s="105">
        <f t="shared" ref="FG72" si="727">IFERROR(FG69/FB69-1,"")</f>
      </c>
      <c r="FH72" s="105">
        <f t="shared" ref="FH72" si="728">IFERROR(FH69/FC69-1,"")</f>
      </c>
      <c r="FI72" s="105">
        <f t="shared" ref="FI72" si="729">IFERROR(FI69/FD69-1,"")</f>
      </c>
      <c r="FJ72" s="105">
        <f t="shared" ref="FJ72" si="730">IFERROR(FJ69/FE69-1,"")</f>
      </c>
      <c r="FK72" s="122">
        <f t="shared" ref="FK72" si="731">IFERROR(FK69/FF69-1,"")</f>
      </c>
      <c r="FL72" s="105">
        <f t="shared" ref="FL72" si="732">IFERROR(FL69/FG69-1,"")</f>
      </c>
      <c r="FM72" s="105">
        <f t="shared" ref="FM72" si="733">IFERROR(FM69/FH69-1,"")</f>
      </c>
      <c r="FN72" s="105">
        <f t="shared" ref="FN72" si="734">IFERROR(FN69/FI69-1,"")</f>
      </c>
      <c r="FO72" s="105">
        <f t="shared" ref="FO72" si="735">IFERROR(FO69/FJ69-1,"")</f>
      </c>
      <c r="FP72" s="122">
        <f t="shared" ref="FP72" si="736">IFERROR(FP69/FK69-1,"")</f>
      </c>
      <c r="FQ72" s="105">
        <f t="shared" ref="FQ72" si="737">IFERROR(FQ69/FL69-1,"")</f>
      </c>
      <c r="FR72" s="105">
        <f t="shared" ref="FR72" si="738">IFERROR(FR69/FM69-1,"")</f>
      </c>
      <c r="FS72" s="105">
        <f t="shared" ref="FS72" si="739">IFERROR(FS69/FN69-1,"")</f>
      </c>
      <c r="FT72" s="105">
        <f t="shared" ref="FT72" si="740">IFERROR(FT69/FO69-1,"")</f>
      </c>
      <c r="FU72" s="122">
        <f t="shared" ref="FU72" si="741">IFERROR(FU69/FP69-1,"")</f>
      </c>
      <c r="FV72" s="105">
        <f t="shared" ref="FV72" si="742">IFERROR(FV69/FQ69-1,"")</f>
      </c>
      <c r="FW72" s="105">
        <f t="shared" ref="FW72" si="743">IFERROR(FW69/FR69-1,"")</f>
      </c>
      <c r="FX72" s="105">
        <f t="shared" ref="FX72" si="744">IFERROR(FX69/FS69-1,"")</f>
      </c>
      <c r="FY72" s="105">
        <f t="shared" ref="FY72" si="745">IFERROR(FY69/FT69-1,"")</f>
      </c>
      <c r="FZ72" s="122">
        <f t="shared" ref="FZ72" si="746">IFERROR(FZ69/FU69-1,"")</f>
      </c>
      <c r="GA72" s="105">
        <f t="shared" ref="GA72" si="747">IFERROR(GA69/FV69-1,"")</f>
      </c>
      <c r="GB72" s="105">
        <f t="shared" ref="GB72" si="748">IFERROR(GB69/FW69-1,"")</f>
      </c>
      <c r="GC72" s="105">
        <f t="shared" ref="GC72" si="749">IFERROR(GC69/FX69-1,"")</f>
      </c>
      <c r="GD72" s="105">
        <f t="shared" ref="GD72" si="750">IFERROR(GD69/FY69-1,"")</f>
      </c>
      <c r="GE72" s="122">
        <f t="shared" ref="GE72" si="751">IFERROR(GE69/FZ69-1,"")</f>
      </c>
      <c r="GF72" s="105">
        <f t="shared" ref="GF72" si="752">IFERROR(GF69/GA69-1,"")</f>
      </c>
      <c r="GG72" s="105">
        <f t="shared" ref="GG72" si="753">IFERROR(GG69/GB69-1,"")</f>
      </c>
      <c r="GH72" s="105">
        <f t="shared" ref="GH72" si="754">IFERROR(GH69/GC69-1,"")</f>
      </c>
      <c r="GI72" s="105">
        <f t="shared" ref="GI72" si="755">IFERROR(GI69/GD69-1,"")</f>
      </c>
      <c r="GJ72" s="122">
        <f t="shared" ref="GJ72" si="756">IFERROR(GJ69/GE69-1,"")</f>
      </c>
    </row>
    <row r="73" spans="1:192" s="93" customFormat="1" ht="12.75" hidden="1" customHeight="1" outlineLevel="1">
      <c r="A73" s="123"/>
      <c r="B73" s="704" t="s">
        <v>173</v>
      </c>
      <c r="C73" s="354">
        <f>CF!C23</f>
      </c>
      <c r="D73" s="355">
        <f>CF!D23</f>
      </c>
      <c r="E73" s="355">
        <f>CF!E23</f>
      </c>
      <c r="F73" s="355">
        <f>CF!F23</f>
      </c>
      <c r="G73" s="356">
        <f>CF!G23</f>
      </c>
      <c r="H73" s="354">
        <f>CF!H23</f>
      </c>
      <c r="I73" s="355">
        <f>CF!I23</f>
      </c>
      <c r="J73" s="355">
        <f>CF!J23</f>
      </c>
      <c r="K73" s="355">
        <f>CF!K23</f>
      </c>
      <c r="L73" s="356">
        <f>CF!L23</f>
      </c>
      <c r="M73" s="354">
        <f>CF!M23</f>
      </c>
      <c r="N73" s="355">
        <f>CF!N23</f>
      </c>
      <c r="O73" s="355">
        <f>CF!O23</f>
      </c>
      <c r="P73" s="355">
        <f>CF!P23</f>
      </c>
      <c r="Q73" s="356">
        <f>CF!Q23</f>
      </c>
      <c r="R73" s="354">
        <f>CF!R23</f>
      </c>
      <c r="S73" s="355">
        <f>CF!S23</f>
      </c>
      <c r="T73" s="355">
        <f>CF!T23</f>
      </c>
      <c r="U73" s="355">
        <f>CF!U23</f>
      </c>
      <c r="V73" s="356">
        <f>CF!V23</f>
      </c>
      <c r="W73" s="354">
        <f>CF!W23</f>
      </c>
      <c r="X73" s="355">
        <f>CF!X23</f>
      </c>
      <c r="Y73" s="355">
        <f>CF!Y23</f>
      </c>
      <c r="Z73" s="355">
        <f>CF!Z23</f>
      </c>
      <c r="AA73" s="356">
        <f>CF!AA23</f>
      </c>
      <c r="AB73" s="354">
        <f>CF!AB23</f>
      </c>
      <c r="AC73" s="355">
        <f>CF!AC23</f>
      </c>
      <c r="AD73" s="355">
        <f>CF!AD23</f>
      </c>
      <c r="AE73" s="355">
        <f>CF!AE23</f>
      </c>
      <c r="AF73" s="356">
        <f>CF!AF23</f>
      </c>
      <c r="AG73" s="354">
        <f>CF!AG23</f>
      </c>
      <c r="AH73" s="355">
        <f>CF!AH23</f>
      </c>
      <c r="AI73" s="355">
        <f>CF!AI23</f>
      </c>
      <c r="AJ73" s="355">
        <f>CF!AJ23</f>
      </c>
      <c r="AK73" s="356">
        <f>CF!AK23</f>
      </c>
      <c r="AL73" s="354">
        <f>CF!AL23</f>
      </c>
      <c r="AM73" s="355">
        <f>CF!AM23</f>
      </c>
      <c r="AN73" s="355">
        <f>CF!AN23</f>
      </c>
      <c r="AO73" s="355">
        <f>CF!AO23</f>
      </c>
      <c r="AP73" s="356">
        <f>CF!AP23</f>
      </c>
      <c r="AQ73" s="354">
        <f>CF!AQ23</f>
      </c>
      <c r="AR73" s="355">
        <f>CF!AR23</f>
      </c>
      <c r="AS73" s="355">
        <f>CF!AS23</f>
      </c>
      <c r="AT73" s="355">
        <f>CF!AT23</f>
      </c>
      <c r="AU73" s="356">
        <f>CF!AU23</f>
      </c>
      <c r="AV73" s="354">
        <f>CF!AV23</f>
      </c>
      <c r="AW73" s="355">
        <f>CF!AW23</f>
      </c>
      <c r="AX73" s="355">
        <f>CF!AX23</f>
      </c>
      <c r="AY73" s="355">
        <f>CF!AY23</f>
      </c>
      <c r="AZ73" s="356">
        <f>CF!AZ23</f>
      </c>
      <c r="BA73" s="354">
        <f>CF!BA23</f>
      </c>
      <c r="BB73" s="355">
        <f>CF!BB23</f>
      </c>
      <c r="BC73" s="355">
        <f>CF!BC23</f>
      </c>
      <c r="BD73" s="355">
        <f>CF!BD23</f>
      </c>
      <c r="BE73" s="356">
        <f>CF!BE23</f>
      </c>
      <c r="BF73" s="354">
        <f>CF!BF23</f>
      </c>
      <c r="BG73" s="355">
        <f>CF!BG23</f>
      </c>
      <c r="BH73" s="355">
        <f>CF!BH23</f>
      </c>
      <c r="BI73" s="355">
        <f>CF!BI23</f>
      </c>
      <c r="BJ73" s="356">
        <f>CF!BJ23</f>
      </c>
      <c r="BK73" s="354">
        <f>CF!BK23</f>
      </c>
      <c r="BL73" s="355">
        <f>CF!BL23</f>
      </c>
      <c r="BM73" s="355">
        <f>CF!BM23</f>
      </c>
      <c r="BN73" s="355">
        <f>CF!BN23</f>
      </c>
      <c r="BO73" s="356">
        <f>CF!BO23</f>
      </c>
      <c r="BP73" s="354">
        <f>CF!BP23</f>
      </c>
      <c r="BQ73" s="355">
        <f>CF!BQ23</f>
      </c>
      <c r="BR73" s="355">
        <f>CF!BR23</f>
      </c>
      <c r="BS73" s="355">
        <f>CF!BS23</f>
      </c>
      <c r="BT73" s="356">
        <f>CF!BT23</f>
      </c>
      <c r="BU73" s="354">
        <f>CF!BU23</f>
      </c>
      <c r="BV73" s="355">
        <f>CF!BV23</f>
      </c>
      <c r="BW73" s="355">
        <f>CF!BW23</f>
      </c>
      <c r="BX73" s="355">
        <f>CF!BX23</f>
      </c>
      <c r="BY73" s="356">
        <f>CF!BY23</f>
      </c>
      <c r="BZ73" s="354">
        <f>CF!BZ23</f>
      </c>
      <c r="CA73" s="355">
        <f>CF!CA23</f>
      </c>
      <c r="CB73" s="355">
        <f>CF!CB23</f>
      </c>
      <c r="CC73" s="355">
        <f>CF!CC23</f>
      </c>
      <c r="CD73" s="356">
        <f>CF!CD23</f>
      </c>
      <c r="CE73" s="354">
        <f>CF!CE23</f>
      </c>
      <c r="CF73" s="355">
        <f>CF!CF23</f>
      </c>
      <c r="CG73" s="355">
        <f>CF!CG23</f>
      </c>
      <c r="CH73" s="355">
        <f>CF!CH23</f>
      </c>
      <c r="CI73" s="356">
        <f>CF!CI23</f>
      </c>
      <c r="CJ73" s="354">
        <f>CF!CJ23</f>
      </c>
      <c r="CK73" s="355">
        <f>CF!CK23</f>
      </c>
      <c r="CL73" s="355">
        <f>CF!CL23</f>
      </c>
      <c r="CM73" s="355">
        <f>CF!CM23</f>
      </c>
      <c r="CN73" s="356">
        <f>CF!CN23</f>
      </c>
      <c r="CO73" s="354">
        <f>CF!CO23</f>
      </c>
      <c r="CP73" s="355">
        <f>CF!CP23</f>
      </c>
      <c r="CQ73" s="355">
        <f>CF!CQ23</f>
      </c>
      <c r="CR73" s="355">
        <f>CF!CR23</f>
      </c>
      <c r="CS73" s="356">
        <f>CF!CS23</f>
      </c>
      <c r="CT73" s="354">
        <f>CF!CT23</f>
      </c>
      <c r="CU73" s="355">
        <f>CF!CU23</f>
      </c>
      <c r="CV73" s="355">
        <f>CF!CV23</f>
      </c>
      <c r="CW73" s="355">
        <f>CF!CW23</f>
      </c>
      <c r="CX73" s="356">
        <f>CF!CX23</f>
      </c>
      <c r="CY73" s="354">
        <f>CF!CY23</f>
      </c>
      <c r="CZ73" s="355">
        <f>CF!CZ23</f>
      </c>
      <c r="DA73" s="355">
        <f>CF!DA23</f>
      </c>
      <c r="DB73" s="355">
        <f>CF!DB23</f>
      </c>
      <c r="DC73" s="356">
        <f>CF!DC23</f>
      </c>
      <c r="DD73" s="354">
        <f>CF!DD23</f>
      </c>
      <c r="DE73" s="355">
        <f>CF!DE23</f>
      </c>
      <c r="DF73" s="355">
        <f>CF!DF23</f>
      </c>
      <c r="DG73" s="355">
        <f>CF!DG23</f>
      </c>
      <c r="DH73" s="356">
        <f>CF!DH23</f>
      </c>
      <c r="DI73" s="354">
        <f>CF!DI23</f>
      </c>
      <c r="DJ73" s="355">
        <f>CF!DJ23</f>
      </c>
      <c r="DK73" s="355">
        <f>CF!DK23</f>
      </c>
      <c r="DL73" s="355">
        <f>CF!DL23</f>
      </c>
      <c r="DM73" s="356">
        <f>CF!DM23</f>
      </c>
      <c r="DN73" s="354">
        <f>CF!DN23</f>
      </c>
      <c r="DO73" s="355">
        <f>CF!DO23</f>
      </c>
      <c r="DP73" s="355">
        <f>CF!DP23</f>
      </c>
      <c r="DQ73" s="355">
        <f>CF!DQ23</f>
      </c>
      <c r="DR73" s="356">
        <f>CF!DR23</f>
      </c>
      <c r="DS73" s="354">
        <f>CF!DS23</f>
      </c>
      <c r="DT73" s="355">
        <f>CF!DT23</f>
      </c>
      <c r="DU73" s="355">
        <f>CF!DU23</f>
      </c>
      <c r="DV73" s="355">
        <f>CF!DV23</f>
      </c>
      <c r="DW73" s="356">
        <f>CF!DW23</f>
      </c>
      <c r="DX73" s="354">
        <f>CF!DX23</f>
      </c>
      <c r="DY73" s="355">
        <f>CF!DY23</f>
      </c>
      <c r="DZ73" s="355">
        <f>CF!DZ23</f>
      </c>
      <c r="EA73" s="355">
        <f>CF!EA23</f>
      </c>
      <c r="EB73" s="356">
        <f>CF!EB23</f>
      </c>
      <c r="EC73" s="354">
        <f>CF!EC23</f>
      </c>
      <c r="ED73" s="355">
        <f>CF!ED23</f>
      </c>
      <c r="EE73" s="355">
        <f>CF!EE23</f>
      </c>
      <c r="EF73" s="355">
        <f>CF!EF23</f>
      </c>
      <c r="EG73" s="356">
        <f>CF!EG23</f>
      </c>
      <c r="EH73" s="354">
        <f>CF!EH23</f>
      </c>
      <c r="EI73" s="355">
        <f>CF!EI23</f>
      </c>
      <c r="EJ73" s="355">
        <f>CF!EJ23</f>
      </c>
      <c r="EK73" s="355">
        <f>CF!EK23</f>
      </c>
      <c r="EL73" s="356">
        <f>CF!EL23</f>
      </c>
      <c r="EM73" s="354">
        <f>CF!EM23</f>
      </c>
      <c r="EN73" s="355">
        <f>CF!EN23</f>
      </c>
      <c r="EO73" s="355">
        <f>CF!EO23</f>
      </c>
      <c r="EP73" s="355">
        <f>CF!EP23</f>
      </c>
      <c r="EQ73" s="356">
        <f>CF!EQ23</f>
      </c>
      <c r="ER73" s="354">
        <f>CF!ER23</f>
      </c>
      <c r="ES73" s="355">
        <f>CF!ES23</f>
      </c>
      <c r="ET73" s="355">
        <f>CF!ET23</f>
      </c>
      <c r="EU73" s="355">
        <f>CF!EU23</f>
      </c>
      <c r="EV73" s="356">
        <f>CF!EV23</f>
      </c>
      <c r="EW73" s="354">
        <f>CF!EW23</f>
      </c>
      <c r="EX73" s="355">
        <f>CF!EX23</f>
      </c>
      <c r="EY73" s="355">
        <f>CF!EY23</f>
      </c>
      <c r="EZ73" s="355">
        <f>CF!EZ23</f>
      </c>
      <c r="FA73" s="356">
        <f>CF!FA23</f>
      </c>
      <c r="FB73" s="354">
        <f>CF!FB23</f>
      </c>
      <c r="FC73" s="355">
        <f>CF!FC23</f>
      </c>
      <c r="FD73" s="355">
        <f>CF!FD23</f>
      </c>
      <c r="FE73" s="355">
        <f>CF!FE23</f>
      </c>
      <c r="FF73" s="356">
        <f>CF!FF23</f>
      </c>
      <c r="FG73" s="354">
        <f>CF!FG23</f>
      </c>
      <c r="FH73" s="355">
        <f>CF!FH23</f>
      </c>
      <c r="FI73" s="355">
        <f>CF!FI23</f>
      </c>
      <c r="FJ73" s="355">
        <f>CF!FJ23</f>
      </c>
      <c r="FK73" s="356">
        <f>CF!FK23</f>
      </c>
      <c r="FL73" s="354">
        <f>CF!FL23</f>
      </c>
      <c r="FM73" s="355">
        <f>CF!FM23</f>
      </c>
      <c r="FN73" s="355">
        <f>CF!FN23</f>
      </c>
      <c r="FO73" s="355">
        <f>CF!FO23</f>
      </c>
      <c r="FP73" s="356">
        <f>CF!FP23</f>
      </c>
      <c r="FQ73" s="354">
        <f>CF!FQ23</f>
      </c>
      <c r="FR73" s="355">
        <f>CF!FR23</f>
      </c>
      <c r="FS73" s="355">
        <f>CF!FS23</f>
      </c>
      <c r="FT73" s="355">
        <f>CF!FT23</f>
      </c>
      <c r="FU73" s="356">
        <f>CF!FU23</f>
      </c>
      <c r="FV73" s="354">
        <f>CF!FV23</f>
      </c>
      <c r="FW73" s="355">
        <f>CF!FW23</f>
      </c>
      <c r="FX73" s="355">
        <f>CF!FX23</f>
      </c>
      <c r="FY73" s="355">
        <f>CF!FY23</f>
      </c>
      <c r="FZ73" s="356">
        <f>CF!FZ23</f>
      </c>
      <c r="GA73" s="354">
        <f>CF!GA23</f>
      </c>
      <c r="GB73" s="355">
        <f>CF!GB23</f>
      </c>
      <c r="GC73" s="355">
        <f>CF!GC23</f>
      </c>
      <c r="GD73" s="355">
        <f>CF!GD23</f>
      </c>
      <c r="GE73" s="356">
        <f>CF!GE23</f>
      </c>
      <c r="GF73" s="354">
        <f>CF!GF23</f>
      </c>
      <c r="GG73" s="355">
        <f>CF!GG23</f>
      </c>
      <c r="GH73" s="355">
        <f>CF!GH23</f>
      </c>
      <c r="GI73" s="355">
        <f>CF!GI23</f>
      </c>
      <c r="GJ73" s="356">
        <f>CF!GJ23</f>
      </c>
    </row>
    <row r="74" spans="1:192" s="93" customFormat="1" ht="12.75" hidden="1" customHeight="1" outlineLevel="1">
      <c r="A74" s="81"/>
      <c r="B74" s="677"/>
      <c r="C74" s="104"/>
      <c r="D74" s="105"/>
      <c r="E74" s="105"/>
      <c r="F74" s="105"/>
      <c r="G74" s="116"/>
      <c r="H74" s="104"/>
      <c r="I74" s="105"/>
      <c r="J74" s="105"/>
      <c r="K74" s="105"/>
      <c r="L74" s="116"/>
      <c r="M74" s="104"/>
      <c r="N74" s="105"/>
      <c r="O74" s="105"/>
      <c r="P74" s="105"/>
      <c r="Q74" s="116"/>
      <c r="R74" s="104"/>
      <c r="S74" s="105"/>
      <c r="T74" s="105"/>
      <c r="U74" s="105"/>
      <c r="V74" s="116"/>
      <c r="W74" s="104"/>
      <c r="X74" s="105"/>
      <c r="Y74" s="105"/>
      <c r="Z74" s="105"/>
      <c r="AA74" s="116"/>
      <c r="AB74" s="104"/>
      <c r="AC74" s="105"/>
      <c r="AD74" s="105"/>
      <c r="AE74" s="105"/>
      <c r="AF74" s="116"/>
      <c r="AG74" s="104"/>
      <c r="AH74" s="105"/>
      <c r="AI74" s="105"/>
      <c r="AJ74" s="105"/>
      <c r="AK74" s="116"/>
      <c r="AL74" s="104"/>
      <c r="AM74" s="105"/>
      <c r="AN74" s="105"/>
      <c r="AO74" s="105"/>
      <c r="AP74" s="116"/>
      <c r="AQ74" s="104"/>
      <c r="AR74" s="105"/>
      <c r="AS74" s="105"/>
      <c r="AT74" s="105"/>
      <c r="AU74" s="116"/>
      <c r="AV74" s="104"/>
      <c r="AW74" s="105"/>
      <c r="AX74" s="105"/>
      <c r="AY74" s="105"/>
      <c r="AZ74" s="116"/>
      <c r="BA74" s="104"/>
      <c r="BB74" s="105"/>
      <c r="BC74" s="105"/>
      <c r="BD74" s="105"/>
      <c r="BE74" s="116"/>
      <c r="BF74" s="104"/>
      <c r="BG74" s="105"/>
      <c r="BH74" s="105"/>
      <c r="BI74" s="105"/>
      <c r="BJ74" s="116"/>
      <c r="BK74" s="104"/>
      <c r="BL74" s="105"/>
      <c r="BM74" s="105"/>
      <c r="BN74" s="105"/>
      <c r="BO74" s="116"/>
      <c r="BP74" s="104"/>
      <c r="BQ74" s="105"/>
      <c r="BR74" s="105"/>
      <c r="BS74" s="105"/>
      <c r="BT74" s="116"/>
      <c r="BU74" s="104"/>
      <c r="BV74" s="105"/>
      <c r="BW74" s="105"/>
      <c r="BX74" s="105"/>
      <c r="BY74" s="116"/>
      <c r="BZ74" s="104"/>
      <c r="CA74" s="105"/>
      <c r="CB74" s="105"/>
      <c r="CC74" s="105"/>
      <c r="CD74" s="116"/>
      <c r="CE74" s="104"/>
      <c r="CF74" s="105"/>
      <c r="CG74" s="105"/>
      <c r="CH74" s="105"/>
      <c r="CI74" s="116"/>
      <c r="CJ74" s="104"/>
      <c r="CK74" s="105"/>
      <c r="CL74" s="105"/>
      <c r="CM74" s="105"/>
      <c r="CN74" s="116"/>
      <c r="CO74" s="104"/>
      <c r="CP74" s="105"/>
      <c r="CQ74" s="105"/>
      <c r="CR74" s="105"/>
      <c r="CS74" s="116"/>
      <c r="CT74" s="104"/>
      <c r="CU74" s="105"/>
      <c r="CV74" s="105"/>
      <c r="CW74" s="105"/>
      <c r="CX74" s="116"/>
      <c r="CY74" s="104"/>
      <c r="CZ74" s="105"/>
      <c r="DA74" s="105"/>
      <c r="DB74" s="105"/>
      <c r="DC74" s="116"/>
      <c r="DD74" s="104"/>
      <c r="DE74" s="105"/>
      <c r="DF74" s="105"/>
      <c r="DG74" s="105"/>
      <c r="DH74" s="116"/>
      <c r="DI74" s="104"/>
      <c r="DJ74" s="105"/>
      <c r="DK74" s="105"/>
      <c r="DL74" s="105"/>
      <c r="DM74" s="116"/>
      <c r="DN74" s="104"/>
      <c r="DO74" s="105"/>
      <c r="DP74" s="105"/>
      <c r="DQ74" s="105"/>
      <c r="DR74" s="116"/>
      <c r="DS74" s="104"/>
      <c r="DT74" s="105"/>
      <c r="DU74" s="105"/>
      <c r="DV74" s="105"/>
      <c r="DW74" s="116"/>
      <c r="DX74" s="104"/>
      <c r="DY74" s="105"/>
      <c r="DZ74" s="105"/>
      <c r="EA74" s="105"/>
      <c r="EB74" s="116"/>
      <c r="EC74" s="104"/>
      <c r="ED74" s="105"/>
      <c r="EE74" s="105"/>
      <c r="EF74" s="105"/>
      <c r="EG74" s="116"/>
      <c r="EH74" s="104"/>
      <c r="EI74" s="105"/>
      <c r="EJ74" s="105"/>
      <c r="EK74" s="105"/>
      <c r="EL74" s="116"/>
      <c r="EM74" s="104"/>
      <c r="EN74" s="105"/>
      <c r="EO74" s="105"/>
      <c r="EP74" s="105"/>
      <c r="EQ74" s="116"/>
      <c r="ER74" s="104"/>
      <c r="ES74" s="105"/>
      <c r="ET74" s="105"/>
      <c r="EU74" s="105"/>
      <c r="EV74" s="116"/>
      <c r="EW74" s="104"/>
      <c r="EX74" s="105"/>
      <c r="EY74" s="105"/>
      <c r="EZ74" s="105"/>
      <c r="FA74" s="116"/>
      <c r="FB74" s="104"/>
      <c r="FC74" s="105"/>
      <c r="FD74" s="105"/>
      <c r="FE74" s="105"/>
      <c r="FF74" s="116"/>
      <c r="FG74" s="104"/>
      <c r="FH74" s="105"/>
      <c r="FI74" s="105"/>
      <c r="FJ74" s="105"/>
      <c r="FK74" s="116"/>
      <c r="FL74" s="104"/>
      <c r="FM74" s="105"/>
      <c r="FN74" s="105"/>
      <c r="FO74" s="105"/>
      <c r="FP74" s="116"/>
      <c r="FQ74" s="104"/>
      <c r="FR74" s="105"/>
      <c r="FS74" s="105"/>
      <c r="FT74" s="105"/>
      <c r="FU74" s="116"/>
      <c r="FV74" s="104"/>
      <c r="FW74" s="105"/>
      <c r="FX74" s="105"/>
      <c r="FY74" s="105"/>
      <c r="FZ74" s="116"/>
      <c r="GA74" s="104"/>
      <c r="GB74" s="105"/>
      <c r="GC74" s="105"/>
      <c r="GD74" s="105"/>
      <c r="GE74" s="116"/>
      <c r="GF74" s="104"/>
      <c r="GG74" s="105"/>
      <c r="GH74" s="105"/>
      <c r="GI74" s="105"/>
      <c r="GJ74" s="116"/>
    </row>
    <row r="75" spans="1:192" s="93" customFormat="1" ht="12.75" hidden="1" customHeight="1" outlineLevel="1">
      <c r="A75" s="785"/>
      <c r="B75" s="1674" t="s">
        <v>284</v>
      </c>
      <c r="C75" s="128">
        <f t="shared" ref="C75:AH75" si="757">IFERROR(C15/C56,"")</f>
      </c>
      <c r="D75" s="129">
        <f t="shared" si="757"/>
      </c>
      <c r="E75" s="129">
        <f t="shared" si="757"/>
      </c>
      <c r="F75" s="129">
        <f t="shared" si="757"/>
      </c>
      <c r="G75" s="130">
        <f t="shared" si="757"/>
      </c>
      <c r="H75" s="128">
        <f t="shared" si="757"/>
      </c>
      <c r="I75" s="129">
        <f t="shared" si="757"/>
      </c>
      <c r="J75" s="129">
        <f t="shared" si="757"/>
      </c>
      <c r="K75" s="129">
        <f t="shared" si="757"/>
      </c>
      <c r="L75" s="130">
        <f t="shared" si="757"/>
      </c>
      <c r="M75" s="128">
        <f t="shared" si="757"/>
      </c>
      <c r="N75" s="129">
        <f t="shared" si="757"/>
      </c>
      <c r="O75" s="129">
        <f t="shared" si="757"/>
      </c>
      <c r="P75" s="129">
        <f t="shared" si="757"/>
      </c>
      <c r="Q75" s="130">
        <f t="shared" si="757"/>
      </c>
      <c r="R75" s="128">
        <f t="shared" si="757"/>
      </c>
      <c r="S75" s="129">
        <f t="shared" si="757"/>
      </c>
      <c r="T75" s="129">
        <f t="shared" si="757"/>
      </c>
      <c r="U75" s="129">
        <f t="shared" si="757"/>
      </c>
      <c r="V75" s="130">
        <f t="shared" si="757"/>
      </c>
      <c r="W75" s="128">
        <f t="shared" si="757"/>
      </c>
      <c r="X75" s="129">
        <f t="shared" si="757"/>
      </c>
      <c r="Y75" s="129">
        <f t="shared" si="757"/>
      </c>
      <c r="Z75" s="129">
        <f t="shared" si="757"/>
      </c>
      <c r="AA75" s="130">
        <f t="shared" si="757"/>
      </c>
      <c r="AB75" s="128">
        <f t="shared" si="757"/>
      </c>
      <c r="AC75" s="129">
        <f t="shared" si="757"/>
      </c>
      <c r="AD75" s="129">
        <f t="shared" si="757"/>
      </c>
      <c r="AE75" s="129">
        <f t="shared" si="757"/>
      </c>
      <c r="AF75" s="130">
        <f t="shared" si="757"/>
      </c>
      <c r="AG75" s="128">
        <f t="shared" si="757"/>
      </c>
      <c r="AH75" s="129">
        <f t="shared" si="757"/>
      </c>
      <c r="AI75" s="129">
        <f t="shared" ref="AI75:BN75" si="758">IFERROR(AI15/AI56,"")</f>
      </c>
      <c r="AJ75" s="129">
        <f t="shared" si="758"/>
      </c>
      <c r="AK75" s="130">
        <f t="shared" si="758"/>
      </c>
      <c r="AL75" s="128">
        <f t="shared" si="758"/>
      </c>
      <c r="AM75" s="129">
        <f t="shared" si="758"/>
      </c>
      <c r="AN75" s="129">
        <f t="shared" si="758"/>
      </c>
      <c r="AO75" s="129">
        <f t="shared" si="758"/>
      </c>
      <c r="AP75" s="130">
        <f t="shared" si="758"/>
      </c>
      <c r="AQ75" s="128">
        <f t="shared" si="758"/>
      </c>
      <c r="AR75" s="129">
        <f t="shared" si="758"/>
      </c>
      <c r="AS75" s="129">
        <f t="shared" si="758"/>
      </c>
      <c r="AT75" s="129">
        <f t="shared" si="758"/>
      </c>
      <c r="AU75" s="130">
        <f t="shared" si="758"/>
      </c>
      <c r="AV75" s="128">
        <f t="shared" si="758"/>
      </c>
      <c r="AW75" s="129">
        <f t="shared" si="758"/>
      </c>
      <c r="AX75" s="129">
        <f t="shared" si="758"/>
      </c>
      <c r="AY75" s="129">
        <f t="shared" si="758"/>
      </c>
      <c r="AZ75" s="130">
        <f t="shared" si="758"/>
      </c>
      <c r="BA75" s="128">
        <f t="shared" si="758"/>
      </c>
      <c r="BB75" s="129">
        <f t="shared" si="758"/>
      </c>
      <c r="BC75" s="129">
        <f t="shared" si="758"/>
      </c>
      <c r="BD75" s="129">
        <f t="shared" si="758"/>
      </c>
      <c r="BE75" s="130">
        <f t="shared" si="758"/>
      </c>
      <c r="BF75" s="128">
        <f t="shared" si="758"/>
      </c>
      <c r="BG75" s="129">
        <f t="shared" si="758"/>
      </c>
      <c r="BH75" s="129">
        <f t="shared" si="758"/>
      </c>
      <c r="BI75" s="129">
        <f t="shared" si="758"/>
      </c>
      <c r="BJ75" s="130">
        <f t="shared" si="758"/>
      </c>
      <c r="BK75" s="128">
        <f t="shared" si="758"/>
      </c>
      <c r="BL75" s="129">
        <f t="shared" si="758"/>
      </c>
      <c r="BM75" s="129">
        <f t="shared" si="758"/>
      </c>
      <c r="BN75" s="129">
        <f t="shared" si="758"/>
      </c>
      <c r="BO75" s="130">
        <f t="shared" ref="BO75:CT75" si="759">IFERROR(BO15/BO56,"")</f>
      </c>
      <c r="BP75" s="128">
        <f t="shared" si="759"/>
      </c>
      <c r="BQ75" s="129">
        <f t="shared" si="759"/>
      </c>
      <c r="BR75" s="129">
        <f t="shared" si="759"/>
      </c>
      <c r="BS75" s="129">
        <f t="shared" si="759"/>
      </c>
      <c r="BT75" s="130">
        <f t="shared" si="759"/>
      </c>
      <c r="BU75" s="128">
        <f t="shared" si="759"/>
      </c>
      <c r="BV75" s="129">
        <f t="shared" si="759"/>
      </c>
      <c r="BW75" s="129">
        <f t="shared" si="759"/>
      </c>
      <c r="BX75" s="129">
        <f t="shared" si="759"/>
      </c>
      <c r="BY75" s="130">
        <f t="shared" si="759"/>
      </c>
      <c r="BZ75" s="128">
        <f t="shared" si="759"/>
      </c>
      <c r="CA75" s="129">
        <f t="shared" si="759"/>
      </c>
      <c r="CB75" s="129">
        <f t="shared" si="759"/>
      </c>
      <c r="CC75" s="129">
        <f t="shared" si="759"/>
      </c>
      <c r="CD75" s="130">
        <f t="shared" si="759"/>
      </c>
      <c r="CE75" s="128">
        <f t="shared" si="759"/>
      </c>
      <c r="CF75" s="129">
        <f t="shared" si="759"/>
      </c>
      <c r="CG75" s="129">
        <f t="shared" si="759"/>
      </c>
      <c r="CH75" s="129">
        <f t="shared" si="759"/>
      </c>
      <c r="CI75" s="130">
        <f t="shared" si="759"/>
      </c>
      <c r="CJ75" s="128">
        <f t="shared" si="759"/>
      </c>
      <c r="CK75" s="129">
        <f t="shared" si="759"/>
      </c>
      <c r="CL75" s="129">
        <f t="shared" si="759"/>
      </c>
      <c r="CM75" s="129">
        <f t="shared" si="759"/>
      </c>
      <c r="CN75" s="130">
        <f t="shared" si="759"/>
      </c>
      <c r="CO75" s="128">
        <f t="shared" si="759"/>
      </c>
      <c r="CP75" s="129">
        <f t="shared" si="759"/>
      </c>
      <c r="CQ75" s="129">
        <f t="shared" si="759"/>
      </c>
      <c r="CR75" s="129">
        <f t="shared" si="759"/>
      </c>
      <c r="CS75" s="130">
        <f t="shared" si="759"/>
      </c>
      <c r="CT75" s="128">
        <f t="shared" si="759"/>
      </c>
      <c r="CU75" s="129">
        <f t="shared" ref="CU75:DZ75" si="760">IFERROR(CU15/CU56,"")</f>
      </c>
      <c r="CV75" s="129">
        <f t="shared" si="760"/>
      </c>
      <c r="CW75" s="129">
        <f t="shared" si="760"/>
      </c>
      <c r="CX75" s="130">
        <f t="shared" si="760"/>
      </c>
      <c r="CY75" s="128">
        <f t="shared" si="760"/>
      </c>
      <c r="CZ75" s="129">
        <f t="shared" si="760"/>
      </c>
      <c r="DA75" s="129">
        <f t="shared" si="760"/>
      </c>
      <c r="DB75" s="129">
        <f t="shared" si="760"/>
      </c>
      <c r="DC75" s="130">
        <f t="shared" si="760"/>
      </c>
      <c r="DD75" s="128">
        <f t="shared" si="760"/>
      </c>
      <c r="DE75" s="129">
        <f t="shared" si="760"/>
      </c>
      <c r="DF75" s="129">
        <f t="shared" si="760"/>
      </c>
      <c r="DG75" s="129">
        <f t="shared" si="760"/>
      </c>
      <c r="DH75" s="130">
        <f t="shared" si="760"/>
      </c>
      <c r="DI75" s="128">
        <f t="shared" si="760"/>
      </c>
      <c r="DJ75" s="129">
        <f t="shared" si="760"/>
      </c>
      <c r="DK75" s="129">
        <f t="shared" si="760"/>
      </c>
      <c r="DL75" s="129">
        <f t="shared" si="760"/>
      </c>
      <c r="DM75" s="130">
        <f t="shared" si="760"/>
      </c>
      <c r="DN75" s="128">
        <f t="shared" si="760"/>
      </c>
      <c r="DO75" s="129">
        <f t="shared" si="760"/>
      </c>
      <c r="DP75" s="129">
        <f t="shared" si="760"/>
      </c>
      <c r="DQ75" s="129">
        <f t="shared" si="760"/>
      </c>
      <c r="DR75" s="130">
        <f t="shared" si="760"/>
      </c>
      <c r="DS75" s="128">
        <f t="shared" si="760"/>
      </c>
      <c r="DT75" s="129">
        <f t="shared" si="760"/>
      </c>
      <c r="DU75" s="129">
        <f t="shared" si="760"/>
      </c>
      <c r="DV75" s="129">
        <f t="shared" si="760"/>
      </c>
      <c r="DW75" s="130">
        <f t="shared" si="760"/>
      </c>
      <c r="DX75" s="128">
        <f t="shared" si="760"/>
      </c>
      <c r="DY75" s="129">
        <f t="shared" si="760"/>
      </c>
      <c r="DZ75" s="129">
        <f t="shared" si="760"/>
      </c>
      <c r="EA75" s="129">
        <f t="shared" ref="EA75:EY75" si="761">IFERROR(EA15/EA56,"")</f>
      </c>
      <c r="EB75" s="130">
        <f t="shared" si="761"/>
      </c>
      <c r="EC75" s="128">
        <f t="shared" si="761"/>
      </c>
      <c r="ED75" s="129">
        <f t="shared" si="761"/>
      </c>
      <c r="EE75" s="129">
        <f t="shared" si="761"/>
      </c>
      <c r="EF75" s="129">
        <f t="shared" si="761"/>
      </c>
      <c r="EG75" s="130">
        <f t="shared" si="761"/>
      </c>
      <c r="EH75" s="128">
        <f t="shared" si="761"/>
      </c>
      <c r="EI75" s="129">
        <f t="shared" si="761"/>
      </c>
      <c r="EJ75" s="129">
        <f t="shared" si="761"/>
      </c>
      <c r="EK75" s="129">
        <f t="shared" si="761"/>
      </c>
      <c r="EL75" s="130">
        <f t="shared" si="761"/>
      </c>
      <c r="EM75" s="128">
        <f t="shared" si="761"/>
      </c>
      <c r="EN75" s="129">
        <f t="shared" si="761"/>
      </c>
      <c r="EO75" s="129">
        <f t="shared" si="761"/>
      </c>
      <c r="EP75" s="129">
        <f t="shared" si="761"/>
      </c>
      <c r="EQ75" s="130">
        <f t="shared" si="761"/>
      </c>
      <c r="ER75" s="128">
        <f t="shared" si="761"/>
      </c>
      <c r="ES75" s="129">
        <f t="shared" si="761"/>
      </c>
      <c r="ET75" s="129">
        <f t="shared" si="761"/>
      </c>
      <c r="EU75" s="129">
        <f t="shared" si="761"/>
      </c>
      <c r="EV75" s="130">
        <f t="shared" si="761"/>
      </c>
      <c r="EW75" s="128">
        <f t="shared" si="761"/>
      </c>
      <c r="EX75" s="129">
        <f t="shared" si="761"/>
      </c>
      <c r="EY75" s="129">
        <f t="shared" si="761"/>
      </c>
      <c r="EZ75" s="129">
        <f t="shared" ref="EZ75:FA75" si="762">IFERROR(EZ15/EZ56,"")</f>
      </c>
      <c r="FA75" s="130">
        <f t="shared" si="762"/>
      </c>
      <c r="FB75" s="757">
        <f>EW75</f>
      </c>
      <c r="FC75" s="755">
        <f t="shared" ref="FC75:FE75" si="763">EX75+3%</f>
      </c>
      <c r="FD75" s="755">
        <f t="shared" si="763"/>
      </c>
      <c r="FE75" s="755">
        <f t="shared" si="763"/>
      </c>
      <c r="FF75" s="130">
        <f>IFERROR(FF15/FF56,"")</f>
      </c>
      <c r="FG75" s="757">
        <f t="shared" ref="FG75" si="764">FB75+3%</f>
      </c>
      <c r="FH75" s="755">
        <f t="shared" ref="FH75" si="765">FC75+3%</f>
      </c>
      <c r="FI75" s="755">
        <f t="shared" ref="FI75" si="766">FD75+3%</f>
      </c>
      <c r="FJ75" s="755">
        <f t="shared" ref="FJ75" si="767">FE75+3%</f>
      </c>
      <c r="FK75" s="130">
        <f>IFERROR(FK15/FK56,"")</f>
      </c>
      <c r="FL75" s="757">
        <f t="shared" ref="FL75" si="768">FG75+3%</f>
      </c>
      <c r="FM75" s="755">
        <f t="shared" ref="FM75" si="769">FH75+3%</f>
      </c>
      <c r="FN75" s="755">
        <f t="shared" ref="FN75" si="770">FI75+3%</f>
      </c>
      <c r="FO75" s="755">
        <f t="shared" ref="FO75" si="771">FJ75+3%</f>
      </c>
      <c r="FP75" s="130">
        <f>IFERROR(FP15/FP56,"")</f>
      </c>
      <c r="FQ75" s="757">
        <f t="shared" ref="FQ75:FT75" si="772">FL75</f>
      </c>
      <c r="FR75" s="755">
        <f t="shared" si="772"/>
      </c>
      <c r="FS75" s="755">
        <f t="shared" si="772"/>
      </c>
      <c r="FT75" s="755">
        <f t="shared" si="772"/>
      </c>
      <c r="FU75" s="130">
        <f>IFERROR(FU15/FU56,"")</f>
      </c>
      <c r="FV75" s="757">
        <f t="shared" ref="FV75" si="773">FQ75</f>
      </c>
      <c r="FW75" s="755">
        <f t="shared" ref="FW75" si="774">FR75</f>
      </c>
      <c r="FX75" s="755">
        <f t="shared" ref="FX75" si="775">FS75</f>
      </c>
      <c r="FY75" s="755">
        <f t="shared" ref="FY75" si="776">FT75</f>
      </c>
      <c r="FZ75" s="130">
        <f>IFERROR(FZ15/FZ56,"")</f>
      </c>
      <c r="GA75" s="757">
        <f t="shared" ref="GA75" si="777">FV75</f>
      </c>
      <c r="GB75" s="755">
        <f t="shared" ref="GB75" si="778">FW75</f>
      </c>
      <c r="GC75" s="755">
        <f t="shared" ref="GC75" si="779">FX75</f>
      </c>
      <c r="GD75" s="755">
        <f t="shared" ref="GD75" si="780">FY75</f>
      </c>
      <c r="GE75" s="130">
        <f>IFERROR(GE15/GE56,"")</f>
      </c>
      <c r="GF75" s="757">
        <f t="shared" ref="GF75" si="781">GA75</f>
      </c>
      <c r="GG75" s="755">
        <f t="shared" ref="GG75" si="782">GB75</f>
      </c>
      <c r="GH75" s="755">
        <f t="shared" ref="GH75" si="783">GC75</f>
      </c>
      <c r="GI75" s="755">
        <f t="shared" ref="GI75" si="784">GD75</f>
      </c>
      <c r="GJ75" s="130">
        <f>IFERROR(GJ15/GJ56,"")</f>
      </c>
    </row>
    <row r="76" spans="1:192" s="93" customFormat="1" ht="12.75" hidden="1" customHeight="1" outlineLevel="1">
      <c r="A76" s="1400"/>
      <c r="B76" s="676" t="s">
        <v>173</v>
      </c>
      <c r="C76" s="125">
        <f>CF!C24</f>
      </c>
      <c r="D76" s="126">
        <f>CF!D24</f>
      </c>
      <c r="E76" s="126">
        <f>CF!E24</f>
      </c>
      <c r="F76" s="126">
        <f>CF!F24</f>
      </c>
      <c r="G76" s="127">
        <f>CF!G24</f>
      </c>
      <c r="H76" s="125">
        <f>CF!H24</f>
      </c>
      <c r="I76" s="126">
        <f>CF!I24</f>
      </c>
      <c r="J76" s="126">
        <f>CF!J24</f>
      </c>
      <c r="K76" s="126">
        <f>CF!K24</f>
      </c>
      <c r="L76" s="127">
        <f>CF!L24</f>
      </c>
      <c r="M76" s="125">
        <f>CF!M24</f>
      </c>
      <c r="N76" s="126">
        <f>CF!N24</f>
      </c>
      <c r="O76" s="126">
        <f>CF!O24</f>
      </c>
      <c r="P76" s="126">
        <f>CF!P24</f>
      </c>
      <c r="Q76" s="127">
        <f>CF!Q24</f>
      </c>
      <c r="R76" s="125">
        <f>CF!R24</f>
      </c>
      <c r="S76" s="126">
        <f>CF!S24</f>
      </c>
      <c r="T76" s="126">
        <f>CF!T24</f>
      </c>
      <c r="U76" s="126">
        <f>CF!U24</f>
      </c>
      <c r="V76" s="127">
        <f>CF!V24</f>
      </c>
      <c r="W76" s="125">
        <f>CF!W24</f>
      </c>
      <c r="X76" s="126">
        <f>CF!X24</f>
      </c>
      <c r="Y76" s="126">
        <f>CF!Y24</f>
      </c>
      <c r="Z76" s="126">
        <f>CF!Z24</f>
      </c>
      <c r="AA76" s="127">
        <f>CF!AA24</f>
      </c>
      <c r="AB76" s="125">
        <f>CF!AB24</f>
      </c>
      <c r="AC76" s="126">
        <f>CF!AC24</f>
      </c>
      <c r="AD76" s="126">
        <f>CF!AD24</f>
      </c>
      <c r="AE76" s="126">
        <f>CF!AE24</f>
      </c>
      <c r="AF76" s="127">
        <f>CF!AF24</f>
      </c>
      <c r="AG76" s="125">
        <f>CF!AG24</f>
      </c>
      <c r="AH76" s="126">
        <f>CF!AH24</f>
      </c>
      <c r="AI76" s="126">
        <f>CF!AI24</f>
      </c>
      <c r="AJ76" s="126">
        <f>CF!AJ24</f>
      </c>
      <c r="AK76" s="127">
        <f>CF!AK24</f>
      </c>
      <c r="AL76" s="125">
        <f>CF!AL24</f>
      </c>
      <c r="AM76" s="126">
        <f>CF!AM24</f>
      </c>
      <c r="AN76" s="126">
        <f>CF!AN24</f>
      </c>
      <c r="AO76" s="126">
        <f>CF!AO24</f>
      </c>
      <c r="AP76" s="127">
        <f>CF!AP24</f>
      </c>
      <c r="AQ76" s="125">
        <f>CF!AQ24</f>
      </c>
      <c r="AR76" s="126">
        <f>CF!AR24</f>
      </c>
      <c r="AS76" s="126">
        <f>CF!AS24</f>
      </c>
      <c r="AT76" s="126">
        <f>CF!AT24</f>
      </c>
      <c r="AU76" s="127">
        <f>CF!AU24</f>
      </c>
      <c r="AV76" s="125">
        <f>CF!AV24</f>
      </c>
      <c r="AW76" s="126">
        <f>CF!AW24</f>
      </c>
      <c r="AX76" s="126">
        <f>CF!AX24</f>
      </c>
      <c r="AY76" s="126">
        <f>CF!AY24</f>
      </c>
      <c r="AZ76" s="127">
        <f>CF!AZ24</f>
      </c>
      <c r="BA76" s="125">
        <f>CF!BA24</f>
      </c>
      <c r="BB76" s="126">
        <f>CF!BB24</f>
      </c>
      <c r="BC76" s="126">
        <f>CF!BC24</f>
      </c>
      <c r="BD76" s="126">
        <f>CF!BD24</f>
      </c>
      <c r="BE76" s="127">
        <f>CF!BE24</f>
      </c>
      <c r="BF76" s="125">
        <f>CF!BF24</f>
      </c>
      <c r="BG76" s="126">
        <f>CF!BG24</f>
      </c>
      <c r="BH76" s="126">
        <f>CF!BH24</f>
      </c>
      <c r="BI76" s="126">
        <f>CF!BI24</f>
      </c>
      <c r="BJ76" s="127">
        <f>CF!BJ24</f>
      </c>
      <c r="BK76" s="125">
        <f>CF!BK24</f>
      </c>
      <c r="BL76" s="126">
        <f>CF!BL24</f>
      </c>
      <c r="BM76" s="126">
        <f>CF!BM24</f>
      </c>
      <c r="BN76" s="126">
        <f>CF!BN24</f>
      </c>
      <c r="BO76" s="127">
        <f>CF!BO24</f>
      </c>
      <c r="BP76" s="125">
        <f>CF!BP24</f>
      </c>
      <c r="BQ76" s="126">
        <f>CF!BQ24</f>
      </c>
      <c r="BR76" s="126">
        <f>CF!BR24</f>
      </c>
      <c r="BS76" s="126">
        <f>CF!BS24</f>
      </c>
      <c r="BT76" s="127">
        <f>CF!BT24</f>
      </c>
      <c r="BU76" s="125">
        <f>CF!BU24</f>
      </c>
      <c r="BV76" s="126">
        <f>CF!BV24</f>
      </c>
      <c r="BW76" s="126">
        <f>CF!BW24</f>
      </c>
      <c r="BX76" s="126">
        <f>CF!BX24</f>
      </c>
      <c r="BY76" s="127">
        <f>CF!BY24</f>
      </c>
      <c r="BZ76" s="125">
        <f>CF!BZ24</f>
      </c>
      <c r="CA76" s="126">
        <f>CF!CA24</f>
      </c>
      <c r="CB76" s="126">
        <f>CF!CB24</f>
      </c>
      <c r="CC76" s="126">
        <f>CF!CC24</f>
      </c>
      <c r="CD76" s="127">
        <f>CF!CD24</f>
      </c>
      <c r="CE76" s="125">
        <f>CF!CE24</f>
      </c>
      <c r="CF76" s="126">
        <f>CF!CF24</f>
      </c>
      <c r="CG76" s="126">
        <f>CF!CG24</f>
      </c>
      <c r="CH76" s="126">
        <f>CF!CH24</f>
      </c>
      <c r="CI76" s="127">
        <f>CF!CI24</f>
      </c>
      <c r="CJ76" s="125">
        <f>CF!CJ24</f>
      </c>
      <c r="CK76" s="126">
        <f>CF!CK24</f>
      </c>
      <c r="CL76" s="126">
        <f>CF!CL24</f>
      </c>
      <c r="CM76" s="126">
        <f>CF!CM24</f>
      </c>
      <c r="CN76" s="127">
        <f>CF!CN24</f>
      </c>
      <c r="CO76" s="125">
        <f>CF!CO24</f>
      </c>
      <c r="CP76" s="126">
        <f>CF!CP24</f>
      </c>
      <c r="CQ76" s="126">
        <f>CF!CQ24</f>
      </c>
      <c r="CR76" s="126">
        <f>CF!CR24</f>
      </c>
      <c r="CS76" s="127">
        <f>CF!CS24</f>
      </c>
      <c r="CT76" s="125">
        <f>CF!CT24</f>
      </c>
      <c r="CU76" s="126">
        <f>CF!CU24</f>
      </c>
      <c r="CV76" s="126">
        <f>CF!CV24</f>
      </c>
      <c r="CW76" s="126">
        <f>CF!CW24</f>
      </c>
      <c r="CX76" s="127">
        <f>CF!CX24</f>
      </c>
      <c r="CY76" s="125">
        <f>CF!CY24</f>
      </c>
      <c r="CZ76" s="126">
        <f>CF!CZ24</f>
      </c>
      <c r="DA76" s="126">
        <f>CF!DA24</f>
      </c>
      <c r="DB76" s="126">
        <f>CF!DB24</f>
      </c>
      <c r="DC76" s="127">
        <f>CF!DC24</f>
      </c>
      <c r="DD76" s="125">
        <f>CF!DD24</f>
      </c>
      <c r="DE76" s="126">
        <f>CF!DE24</f>
      </c>
      <c r="DF76" s="126">
        <f>CF!DF24</f>
      </c>
      <c r="DG76" s="126">
        <f>CF!DG24</f>
      </c>
      <c r="DH76" s="127">
        <f>CF!DH24</f>
      </c>
      <c r="DI76" s="125">
        <f>CF!DI24</f>
      </c>
      <c r="DJ76" s="126">
        <f>CF!DJ24</f>
      </c>
      <c r="DK76" s="126">
        <f>CF!DK24</f>
      </c>
      <c r="DL76" s="126">
        <f>CF!DL24</f>
      </c>
      <c r="DM76" s="127">
        <f>CF!DM24</f>
      </c>
      <c r="DN76" s="125">
        <f>CF!DN24</f>
      </c>
      <c r="DO76" s="126">
        <f>CF!DO24</f>
      </c>
      <c r="DP76" s="126">
        <f>CF!DP24</f>
      </c>
      <c r="DQ76" s="126">
        <f>CF!DQ24</f>
      </c>
      <c r="DR76" s="127">
        <f>CF!DR24</f>
      </c>
      <c r="DS76" s="125">
        <f>CF!DS24</f>
      </c>
      <c r="DT76" s="126">
        <f>CF!DT24</f>
      </c>
      <c r="DU76" s="126">
        <f>CF!DU24</f>
      </c>
      <c r="DV76" s="126">
        <f>CF!DV24</f>
      </c>
      <c r="DW76" s="127">
        <f>CF!DW24</f>
      </c>
      <c r="DX76" s="125">
        <f>CF!DX24</f>
      </c>
      <c r="DY76" s="126">
        <f>CF!DY24</f>
      </c>
      <c r="DZ76" s="126">
        <f>CF!DZ24</f>
      </c>
      <c r="EA76" s="126">
        <f>CF!EA24</f>
      </c>
      <c r="EB76" s="127">
        <f>CF!EB24</f>
      </c>
      <c r="EC76" s="125">
        <f>CF!EC24</f>
      </c>
      <c r="ED76" s="126">
        <f>CF!ED24</f>
      </c>
      <c r="EE76" s="126">
        <f>CF!EE24</f>
      </c>
      <c r="EF76" s="126">
        <f>CF!EF24</f>
      </c>
      <c r="EG76" s="127">
        <f>CF!EG24</f>
      </c>
      <c r="EH76" s="125">
        <f>CF!EH24</f>
      </c>
      <c r="EI76" s="126">
        <f>CF!EI24</f>
      </c>
      <c r="EJ76" s="126">
        <f>CF!EJ24</f>
      </c>
      <c r="EK76" s="126">
        <f>CF!EK24</f>
      </c>
      <c r="EL76" s="127">
        <f>CF!EL24</f>
      </c>
      <c r="EM76" s="125">
        <f>CF!EM24</f>
      </c>
      <c r="EN76" s="126">
        <f>CF!EN24</f>
      </c>
      <c r="EO76" s="126">
        <f>CF!EO24</f>
      </c>
      <c r="EP76" s="126">
        <f>CF!EP24</f>
      </c>
      <c r="EQ76" s="127">
        <f>CF!EQ24</f>
      </c>
      <c r="ER76" s="125">
        <f>CF!ER24</f>
      </c>
      <c r="ES76" s="126">
        <f>CF!ES24</f>
      </c>
      <c r="ET76" s="126">
        <f>CF!ET24</f>
      </c>
      <c r="EU76" s="126">
        <f>CF!EU24</f>
      </c>
      <c r="EV76" s="127">
        <f>CF!EV24</f>
      </c>
      <c r="EW76" s="125">
        <f>CF!EW24</f>
      </c>
      <c r="EX76" s="126">
        <f>CF!EX24</f>
      </c>
      <c r="EY76" s="126">
        <f>CF!EY24</f>
      </c>
      <c r="EZ76" s="126">
        <f>CF!EZ24</f>
      </c>
      <c r="FA76" s="127">
        <f>CF!FA24</f>
      </c>
      <c r="FB76" s="125">
        <f>CF!FB24</f>
      </c>
      <c r="FC76" s="126">
        <f>CF!FC24</f>
      </c>
      <c r="FD76" s="126">
        <f>CF!FD24</f>
      </c>
      <c r="FE76" s="126">
        <f>CF!FE24</f>
      </c>
      <c r="FF76" s="127">
        <f>CF!FF24</f>
      </c>
      <c r="FG76" s="125">
        <f>CF!FG24</f>
      </c>
      <c r="FH76" s="126">
        <f>CF!FH24</f>
      </c>
      <c r="FI76" s="126">
        <f>CF!FI24</f>
      </c>
      <c r="FJ76" s="126">
        <f>CF!FJ24</f>
      </c>
      <c r="FK76" s="127">
        <f>CF!FK24</f>
      </c>
      <c r="FL76" s="125">
        <f>CF!FL24</f>
      </c>
      <c r="FM76" s="126">
        <f>CF!FM24</f>
      </c>
      <c r="FN76" s="126">
        <f>CF!FN24</f>
      </c>
      <c r="FO76" s="126">
        <f>CF!FO24</f>
      </c>
      <c r="FP76" s="127">
        <f>CF!FP24</f>
      </c>
      <c r="FQ76" s="125">
        <f>CF!FQ24</f>
      </c>
      <c r="FR76" s="126">
        <f>CF!FR24</f>
      </c>
      <c r="FS76" s="126">
        <f>CF!FS24</f>
      </c>
      <c r="FT76" s="126">
        <f>CF!FT24</f>
      </c>
      <c r="FU76" s="127">
        <f>CF!FU24</f>
      </c>
      <c r="FV76" s="125">
        <f>CF!FV24</f>
      </c>
      <c r="FW76" s="126">
        <f>CF!FW24</f>
      </c>
      <c r="FX76" s="126">
        <f>CF!FX24</f>
      </c>
      <c r="FY76" s="126">
        <f>CF!FY24</f>
      </c>
      <c r="FZ76" s="127">
        <f>CF!FZ24</f>
      </c>
      <c r="GA76" s="125">
        <f>CF!GA24</f>
      </c>
      <c r="GB76" s="126">
        <f>CF!GB24</f>
      </c>
      <c r="GC76" s="126">
        <f>CF!GC24</f>
      </c>
      <c r="GD76" s="126">
        <f>CF!GD24</f>
      </c>
      <c r="GE76" s="127">
        <f>CF!GE24</f>
      </c>
      <c r="GF76" s="125">
        <f>CF!GF24</f>
      </c>
      <c r="GG76" s="126">
        <f>CF!GG24</f>
      </c>
      <c r="GH76" s="126">
        <f>CF!GH24</f>
      </c>
      <c r="GI76" s="126">
        <f>CF!GI24</f>
      </c>
      <c r="GJ76" s="127">
        <f>CF!GJ24</f>
      </c>
    </row>
    <row r="77" spans="1:192" s="93" customFormat="1" ht="12.75" hidden="1" customHeight="1" outlineLevel="1">
      <c r="A77" s="785"/>
      <c r="B77" s="678"/>
      <c r="C77" s="104"/>
      <c r="D77" s="105"/>
      <c r="E77" s="105"/>
      <c r="F77" s="105"/>
      <c r="G77" s="116"/>
      <c r="H77" s="104"/>
      <c r="I77" s="105"/>
      <c r="J77" s="105"/>
      <c r="K77" s="105"/>
      <c r="L77" s="116"/>
      <c r="M77" s="104"/>
      <c r="N77" s="105"/>
      <c r="O77" s="105"/>
      <c r="P77" s="105"/>
      <c r="Q77" s="116"/>
      <c r="R77" s="104"/>
      <c r="S77" s="105"/>
      <c r="T77" s="105"/>
      <c r="U77" s="105"/>
      <c r="V77" s="116"/>
      <c r="W77" s="104"/>
      <c r="X77" s="105"/>
      <c r="Y77" s="105"/>
      <c r="Z77" s="105"/>
      <c r="AA77" s="116"/>
      <c r="AB77" s="104"/>
      <c r="AC77" s="105"/>
      <c r="AD77" s="105"/>
      <c r="AE77" s="105"/>
      <c r="AF77" s="116"/>
      <c r="AG77" s="104"/>
      <c r="AH77" s="105"/>
      <c r="AI77" s="105"/>
      <c r="AJ77" s="105"/>
      <c r="AK77" s="116"/>
      <c r="AL77" s="104"/>
      <c r="AM77" s="105"/>
      <c r="AN77" s="105"/>
      <c r="AO77" s="105"/>
      <c r="AP77" s="116"/>
      <c r="AQ77" s="104"/>
      <c r="AR77" s="105"/>
      <c r="AS77" s="105"/>
      <c r="AT77" s="105"/>
      <c r="AU77" s="116"/>
      <c r="AV77" s="104"/>
      <c r="AW77" s="105"/>
      <c r="AX77" s="105"/>
      <c r="AY77" s="105"/>
      <c r="AZ77" s="116"/>
      <c r="BA77" s="104"/>
      <c r="BB77" s="105"/>
      <c r="BC77" s="105"/>
      <c r="BD77" s="105"/>
      <c r="BE77" s="116"/>
      <c r="BF77" s="104"/>
      <c r="BG77" s="105"/>
      <c r="BH77" s="105"/>
      <c r="BI77" s="105"/>
      <c r="BJ77" s="116"/>
      <c r="BK77" s="104"/>
      <c r="BL77" s="105"/>
      <c r="BM77" s="105"/>
      <c r="BN77" s="105"/>
      <c r="BO77" s="116"/>
      <c r="BP77" s="104"/>
      <c r="BQ77" s="105"/>
      <c r="BR77" s="105"/>
      <c r="BS77" s="105"/>
      <c r="BT77" s="116"/>
      <c r="BU77" s="104"/>
      <c r="BV77" s="105"/>
      <c r="BW77" s="105"/>
      <c r="BX77" s="105"/>
      <c r="BY77" s="116"/>
      <c r="BZ77" s="104"/>
      <c r="CA77" s="105"/>
      <c r="CB77" s="105"/>
      <c r="CC77" s="105"/>
      <c r="CD77" s="116"/>
      <c r="CE77" s="104"/>
      <c r="CF77" s="105"/>
      <c r="CG77" s="105"/>
      <c r="CH77" s="105"/>
      <c r="CI77" s="116"/>
      <c r="CJ77" s="104"/>
      <c r="CK77" s="105"/>
      <c r="CL77" s="105"/>
      <c r="CM77" s="105"/>
      <c r="CN77" s="116"/>
      <c r="CO77" s="104"/>
      <c r="CP77" s="105"/>
      <c r="CQ77" s="105"/>
      <c r="CR77" s="105"/>
      <c r="CS77" s="116"/>
      <c r="CT77" s="104"/>
      <c r="CU77" s="105"/>
      <c r="CV77" s="105"/>
      <c r="CW77" s="105"/>
      <c r="CX77" s="116"/>
      <c r="CY77" s="104"/>
      <c r="CZ77" s="105"/>
      <c r="DA77" s="105"/>
      <c r="DB77" s="105"/>
      <c r="DC77" s="116"/>
      <c r="DD77" s="104"/>
      <c r="DE77" s="105"/>
      <c r="DF77" s="105"/>
      <c r="DG77" s="105"/>
      <c r="DH77" s="116"/>
      <c r="DI77" s="104"/>
      <c r="DJ77" s="105"/>
      <c r="DK77" s="105"/>
      <c r="DL77" s="105"/>
      <c r="DM77" s="116"/>
      <c r="DN77" s="104"/>
      <c r="DO77" s="105"/>
      <c r="DP77" s="105"/>
      <c r="DQ77" s="105"/>
      <c r="DR77" s="116"/>
      <c r="DS77" s="104"/>
      <c r="DT77" s="105"/>
      <c r="DU77" s="105"/>
      <c r="DV77" s="105"/>
      <c r="DW77" s="116"/>
      <c r="DX77" s="104"/>
      <c r="DY77" s="105"/>
      <c r="DZ77" s="105"/>
      <c r="EA77" s="105"/>
      <c r="EB77" s="116"/>
      <c r="EC77" s="104"/>
      <c r="ED77" s="105"/>
      <c r="EE77" s="105"/>
      <c r="EF77" s="105"/>
      <c r="EG77" s="116"/>
      <c r="EH77" s="104"/>
      <c r="EI77" s="105"/>
      <c r="EJ77" s="105"/>
      <c r="EK77" s="105"/>
      <c r="EL77" s="116"/>
      <c r="EM77" s="104"/>
      <c r="EN77" s="105"/>
      <c r="EO77" s="105"/>
      <c r="EP77" s="105"/>
      <c r="EQ77" s="116"/>
      <c r="ER77" s="104"/>
      <c r="ES77" s="105"/>
      <c r="ET77" s="105"/>
      <c r="EU77" s="105"/>
      <c r="EV77" s="116"/>
      <c r="EW77" s="104"/>
      <c r="EX77" s="105"/>
      <c r="EY77" s="105"/>
      <c r="EZ77" s="105"/>
      <c r="FA77" s="116"/>
      <c r="FB77" s="104"/>
      <c r="FC77" s="105"/>
      <c r="FD77" s="105"/>
      <c r="FE77" s="105"/>
      <c r="FF77" s="116"/>
      <c r="FG77" s="104"/>
      <c r="FH77" s="105"/>
      <c r="FI77" s="105"/>
      <c r="FJ77" s="105"/>
      <c r="FK77" s="116"/>
      <c r="FL77" s="104"/>
      <c r="FM77" s="105"/>
      <c r="FN77" s="105"/>
      <c r="FO77" s="105"/>
      <c r="FP77" s="116"/>
      <c r="FQ77" s="104"/>
      <c r="FR77" s="105"/>
      <c r="FS77" s="105"/>
      <c r="FT77" s="105"/>
      <c r="FU77" s="116"/>
      <c r="FV77" s="104"/>
      <c r="FW77" s="105"/>
      <c r="FX77" s="105"/>
      <c r="FY77" s="105"/>
      <c r="FZ77" s="116"/>
      <c r="GA77" s="104"/>
      <c r="GB77" s="105"/>
      <c r="GC77" s="105"/>
      <c r="GD77" s="105"/>
      <c r="GE77" s="116"/>
      <c r="GF77" s="104"/>
      <c r="GG77" s="105"/>
      <c r="GH77" s="105"/>
      <c r="GI77" s="105"/>
      <c r="GJ77" s="116"/>
    </row>
    <row r="78" spans="1:192" s="93" customFormat="1" ht="12.75" hidden="1" customHeight="1" outlineLevel="1">
      <c r="A78" s="81"/>
      <c r="B78" s="715" t="s">
        <v>285</v>
      </c>
      <c r="C78" s="128">
        <f t="shared" ref="C78:AH78" si="785">IFERROR(C24/C56,"")</f>
      </c>
      <c r="D78" s="129">
        <f t="shared" si="785"/>
      </c>
      <c r="E78" s="129">
        <f t="shared" si="785"/>
      </c>
      <c r="F78" s="129">
        <f t="shared" si="785"/>
      </c>
      <c r="G78" s="130">
        <f t="shared" si="785"/>
      </c>
      <c r="H78" s="128">
        <f t="shared" si="785"/>
      </c>
      <c r="I78" s="129">
        <f t="shared" si="785"/>
      </c>
      <c r="J78" s="129">
        <f t="shared" si="785"/>
      </c>
      <c r="K78" s="129">
        <f t="shared" si="785"/>
      </c>
      <c r="L78" s="130">
        <f t="shared" si="785"/>
      </c>
      <c r="M78" s="128">
        <f t="shared" si="785"/>
      </c>
      <c r="N78" s="129">
        <f t="shared" si="785"/>
      </c>
      <c r="O78" s="129">
        <f t="shared" si="785"/>
      </c>
      <c r="P78" s="129">
        <f t="shared" si="785"/>
      </c>
      <c r="Q78" s="130">
        <f t="shared" si="785"/>
      </c>
      <c r="R78" s="128">
        <f t="shared" si="785"/>
      </c>
      <c r="S78" s="129">
        <f t="shared" si="785"/>
      </c>
      <c r="T78" s="129">
        <f t="shared" si="785"/>
      </c>
      <c r="U78" s="129">
        <f t="shared" si="785"/>
      </c>
      <c r="V78" s="130">
        <f t="shared" si="785"/>
      </c>
      <c r="W78" s="128">
        <f t="shared" si="785"/>
      </c>
      <c r="X78" s="129">
        <f t="shared" si="785"/>
      </c>
      <c r="Y78" s="129">
        <f t="shared" si="785"/>
      </c>
      <c r="Z78" s="129">
        <f t="shared" si="785"/>
      </c>
      <c r="AA78" s="130">
        <f t="shared" si="785"/>
      </c>
      <c r="AB78" s="128">
        <f t="shared" si="785"/>
      </c>
      <c r="AC78" s="129">
        <f t="shared" si="785"/>
      </c>
      <c r="AD78" s="129">
        <f t="shared" si="785"/>
      </c>
      <c r="AE78" s="129">
        <f t="shared" si="785"/>
      </c>
      <c r="AF78" s="130">
        <f t="shared" si="785"/>
      </c>
      <c r="AG78" s="128">
        <f t="shared" si="785"/>
      </c>
      <c r="AH78" s="129">
        <f t="shared" si="785"/>
      </c>
      <c r="AI78" s="129">
        <f t="shared" ref="AI78:BN78" si="786">IFERROR(AI24/AI56,"")</f>
      </c>
      <c r="AJ78" s="129">
        <f t="shared" si="786"/>
      </c>
      <c r="AK78" s="130">
        <f t="shared" si="786"/>
      </c>
      <c r="AL78" s="128">
        <f t="shared" si="786"/>
      </c>
      <c r="AM78" s="129">
        <f t="shared" si="786"/>
      </c>
      <c r="AN78" s="129">
        <f t="shared" si="786"/>
      </c>
      <c r="AO78" s="129">
        <f t="shared" si="786"/>
      </c>
      <c r="AP78" s="130">
        <f t="shared" si="786"/>
      </c>
      <c r="AQ78" s="128">
        <f t="shared" si="786"/>
      </c>
      <c r="AR78" s="129">
        <f t="shared" si="786"/>
      </c>
      <c r="AS78" s="129">
        <f t="shared" si="786"/>
      </c>
      <c r="AT78" s="129">
        <f t="shared" si="786"/>
      </c>
      <c r="AU78" s="130">
        <f t="shared" si="786"/>
      </c>
      <c r="AV78" s="128">
        <f t="shared" si="786"/>
      </c>
      <c r="AW78" s="129">
        <f t="shared" si="786"/>
      </c>
      <c r="AX78" s="129">
        <f t="shared" si="786"/>
      </c>
      <c r="AY78" s="129">
        <f t="shared" si="786"/>
      </c>
      <c r="AZ78" s="130">
        <f t="shared" si="786"/>
      </c>
      <c r="BA78" s="128">
        <f t="shared" si="786"/>
      </c>
      <c r="BB78" s="129">
        <f t="shared" si="786"/>
      </c>
      <c r="BC78" s="129">
        <f t="shared" si="786"/>
      </c>
      <c r="BD78" s="129">
        <f t="shared" si="786"/>
      </c>
      <c r="BE78" s="130">
        <f t="shared" si="786"/>
      </c>
      <c r="BF78" s="128">
        <f t="shared" si="786"/>
      </c>
      <c r="BG78" s="129">
        <f t="shared" si="786"/>
      </c>
      <c r="BH78" s="129">
        <f t="shared" si="786"/>
      </c>
      <c r="BI78" s="129">
        <f t="shared" si="786"/>
      </c>
      <c r="BJ78" s="130">
        <f t="shared" si="786"/>
      </c>
      <c r="BK78" s="128">
        <f t="shared" si="786"/>
      </c>
      <c r="BL78" s="129">
        <f t="shared" si="786"/>
      </c>
      <c r="BM78" s="129">
        <f t="shared" si="786"/>
      </c>
      <c r="BN78" s="129">
        <f t="shared" si="786"/>
      </c>
      <c r="BO78" s="130">
        <f t="shared" ref="BO78:CT78" si="787">IFERROR(BO24/BO56,"")</f>
      </c>
      <c r="BP78" s="128">
        <f t="shared" si="787"/>
      </c>
      <c r="BQ78" s="129">
        <f t="shared" si="787"/>
      </c>
      <c r="BR78" s="129">
        <f t="shared" si="787"/>
      </c>
      <c r="BS78" s="129">
        <f t="shared" si="787"/>
      </c>
      <c r="BT78" s="130">
        <f t="shared" si="787"/>
      </c>
      <c r="BU78" s="128">
        <f t="shared" si="787"/>
      </c>
      <c r="BV78" s="129">
        <f t="shared" si="787"/>
      </c>
      <c r="BW78" s="129">
        <f t="shared" si="787"/>
      </c>
      <c r="BX78" s="129">
        <f t="shared" si="787"/>
      </c>
      <c r="BY78" s="130">
        <f t="shared" si="787"/>
      </c>
      <c r="BZ78" s="128">
        <f t="shared" si="787"/>
      </c>
      <c r="CA78" s="129">
        <f t="shared" si="787"/>
      </c>
      <c r="CB78" s="129">
        <f t="shared" si="787"/>
      </c>
      <c r="CC78" s="129">
        <f t="shared" si="787"/>
      </c>
      <c r="CD78" s="130">
        <f t="shared" si="787"/>
      </c>
      <c r="CE78" s="128">
        <f t="shared" si="787"/>
      </c>
      <c r="CF78" s="129">
        <f t="shared" si="787"/>
      </c>
      <c r="CG78" s="129">
        <f t="shared" si="787"/>
      </c>
      <c r="CH78" s="129">
        <f t="shared" si="787"/>
      </c>
      <c r="CI78" s="130">
        <f t="shared" si="787"/>
      </c>
      <c r="CJ78" s="128">
        <f t="shared" si="787"/>
      </c>
      <c r="CK78" s="129">
        <f t="shared" si="787"/>
      </c>
      <c r="CL78" s="129">
        <f t="shared" si="787"/>
      </c>
      <c r="CM78" s="129">
        <f t="shared" si="787"/>
      </c>
      <c r="CN78" s="130">
        <f t="shared" si="787"/>
      </c>
      <c r="CO78" s="128">
        <f t="shared" si="787"/>
      </c>
      <c r="CP78" s="129">
        <f t="shared" si="787"/>
      </c>
      <c r="CQ78" s="129">
        <f t="shared" si="787"/>
      </c>
      <c r="CR78" s="129">
        <f t="shared" si="787"/>
      </c>
      <c r="CS78" s="130">
        <f t="shared" si="787"/>
      </c>
      <c r="CT78" s="128">
        <f t="shared" si="787"/>
      </c>
      <c r="CU78" s="129">
        <f t="shared" ref="CU78:DZ78" si="788">IFERROR(CU24/CU56,"")</f>
      </c>
      <c r="CV78" s="129">
        <f t="shared" si="788"/>
      </c>
      <c r="CW78" s="129">
        <f t="shared" si="788"/>
      </c>
      <c r="CX78" s="130">
        <f t="shared" si="788"/>
      </c>
      <c r="CY78" s="128">
        <f t="shared" si="788"/>
      </c>
      <c r="CZ78" s="129">
        <f t="shared" si="788"/>
      </c>
      <c r="DA78" s="129">
        <f t="shared" si="788"/>
      </c>
      <c r="DB78" s="129">
        <f t="shared" si="788"/>
      </c>
      <c r="DC78" s="130">
        <f t="shared" si="788"/>
      </c>
      <c r="DD78" s="128">
        <f t="shared" si="788"/>
      </c>
      <c r="DE78" s="129">
        <f t="shared" si="788"/>
      </c>
      <c r="DF78" s="129">
        <f t="shared" si="788"/>
      </c>
      <c r="DG78" s="129">
        <f t="shared" si="788"/>
      </c>
      <c r="DH78" s="130">
        <f t="shared" si="788"/>
      </c>
      <c r="DI78" s="128">
        <f t="shared" si="788"/>
      </c>
      <c r="DJ78" s="129">
        <f t="shared" si="788"/>
      </c>
      <c r="DK78" s="129">
        <f t="shared" si="788"/>
      </c>
      <c r="DL78" s="129">
        <f t="shared" si="788"/>
      </c>
      <c r="DM78" s="130">
        <f t="shared" si="788"/>
      </c>
      <c r="DN78" s="128">
        <f t="shared" si="788"/>
      </c>
      <c r="DO78" s="129">
        <f t="shared" si="788"/>
      </c>
      <c r="DP78" s="129">
        <f t="shared" si="788"/>
      </c>
      <c r="DQ78" s="129">
        <f t="shared" si="788"/>
      </c>
      <c r="DR78" s="130">
        <f t="shared" si="788"/>
      </c>
      <c r="DS78" s="128">
        <f t="shared" si="788"/>
      </c>
      <c r="DT78" s="129">
        <f t="shared" si="788"/>
      </c>
      <c r="DU78" s="129">
        <f t="shared" si="788"/>
      </c>
      <c r="DV78" s="129">
        <f t="shared" si="788"/>
      </c>
      <c r="DW78" s="130">
        <f t="shared" si="788"/>
      </c>
      <c r="DX78" s="128">
        <f t="shared" si="788"/>
      </c>
      <c r="DY78" s="129">
        <f t="shared" si="788"/>
      </c>
      <c r="DZ78" s="129">
        <f t="shared" si="788"/>
      </c>
      <c r="EA78" s="129">
        <f t="shared" ref="EA78:EY78" si="789">IFERROR(EA24/EA56,"")</f>
      </c>
      <c r="EB78" s="130">
        <f t="shared" si="789"/>
      </c>
      <c r="EC78" s="128">
        <f t="shared" si="789"/>
      </c>
      <c r="ED78" s="129">
        <f t="shared" si="789"/>
      </c>
      <c r="EE78" s="129">
        <f t="shared" si="789"/>
      </c>
      <c r="EF78" s="129">
        <f t="shared" si="789"/>
      </c>
      <c r="EG78" s="130">
        <f t="shared" si="789"/>
      </c>
      <c r="EH78" s="128">
        <f t="shared" si="789"/>
      </c>
      <c r="EI78" s="129">
        <f t="shared" si="789"/>
      </c>
      <c r="EJ78" s="129">
        <f t="shared" si="789"/>
      </c>
      <c r="EK78" s="129">
        <f t="shared" si="789"/>
      </c>
      <c r="EL78" s="130">
        <f t="shared" si="789"/>
      </c>
      <c r="EM78" s="128">
        <f t="shared" si="789"/>
      </c>
      <c r="EN78" s="129">
        <f t="shared" si="789"/>
      </c>
      <c r="EO78" s="129">
        <f t="shared" si="789"/>
      </c>
      <c r="EP78" s="129">
        <f t="shared" si="789"/>
      </c>
      <c r="EQ78" s="130">
        <f t="shared" si="789"/>
      </c>
      <c r="ER78" s="128">
        <f t="shared" si="789"/>
      </c>
      <c r="ES78" s="129">
        <f t="shared" si="789"/>
      </c>
      <c r="ET78" s="129">
        <f t="shared" si="789"/>
      </c>
      <c r="EU78" s="129">
        <f t="shared" si="789"/>
      </c>
      <c r="EV78" s="760">
        <f t="shared" si="789"/>
      </c>
      <c r="EW78" s="128">
        <f t="shared" si="789"/>
      </c>
      <c r="EX78" s="129">
        <f t="shared" si="789"/>
      </c>
      <c r="EY78" s="129">
        <f t="shared" si="789"/>
      </c>
      <c r="EZ78" s="129">
        <f t="shared" ref="EZ78:FA78" si="790">IFERROR(EZ24/EZ56,"")</f>
      </c>
      <c r="FA78" s="760">
        <f t="shared" si="790"/>
      </c>
      <c r="FB78" s="757">
        <f>EW78</f>
      </c>
      <c r="FC78" s="755">
        <f t="shared" ref="FC78:FE78" si="791">EX78+5%</f>
      </c>
      <c r="FD78" s="755">
        <f t="shared" si="791"/>
      </c>
      <c r="FE78" s="755">
        <f t="shared" si="791"/>
      </c>
      <c r="FF78" s="760">
        <f>IFERROR(FF24/FF56,"")</f>
      </c>
      <c r="FG78" s="757">
        <f t="shared" ref="FG78" si="792">FB78+5%</f>
      </c>
      <c r="FH78" s="755">
        <f t="shared" ref="FH78" si="793">FC78+5%</f>
      </c>
      <c r="FI78" s="755">
        <f t="shared" ref="FI78" si="794">FD78+5%</f>
      </c>
      <c r="FJ78" s="755">
        <f t="shared" ref="FJ78" si="795">FE78+5%</f>
      </c>
      <c r="FK78" s="760">
        <f>IFERROR(FK24/FK56,"")</f>
      </c>
      <c r="FL78" s="757">
        <f t="shared" ref="FL78:FO78" si="796">FG78+3%</f>
      </c>
      <c r="FM78" s="755">
        <f t="shared" si="796"/>
      </c>
      <c r="FN78" s="755">
        <f t="shared" si="796"/>
      </c>
      <c r="FO78" s="755">
        <f t="shared" si="796"/>
      </c>
      <c r="FP78" s="760">
        <f>IFERROR(FP24/FP56,"")</f>
      </c>
      <c r="FQ78" s="757">
        <f t="shared" ref="FQ78" si="797">FL78+3%</f>
      </c>
      <c r="FR78" s="755">
        <f t="shared" ref="FR78" si="798">FM78+3%</f>
      </c>
      <c r="FS78" s="755">
        <f t="shared" ref="FS78" si="799">FN78+3%</f>
      </c>
      <c r="FT78" s="755">
        <f t="shared" ref="FT78" si="800">FO78+3%</f>
      </c>
      <c r="FU78" s="760">
        <f>IFERROR(FU24/FU56,"")</f>
      </c>
      <c r="FV78" s="757">
        <f t="shared" ref="FV78" si="801">FQ78+3%</f>
      </c>
      <c r="FW78" s="755">
        <f t="shared" ref="FW78" si="802">FR78+3%</f>
      </c>
      <c r="FX78" s="755">
        <f t="shared" ref="FX78" si="803">FS78+3%</f>
      </c>
      <c r="FY78" s="755">
        <f t="shared" ref="FY78" si="804">FT78+3%</f>
      </c>
      <c r="FZ78" s="760">
        <f>IFERROR(FZ24/FZ56,"")</f>
      </c>
      <c r="GA78" s="757">
        <f t="shared" ref="GA78:GD78" si="805">FV78</f>
      </c>
      <c r="GB78" s="755">
        <f t="shared" si="805"/>
      </c>
      <c r="GC78" s="755">
        <f t="shared" si="805"/>
      </c>
      <c r="GD78" s="755">
        <f t="shared" si="805"/>
      </c>
      <c r="GE78" s="760">
        <f>IFERROR(GE24/GE56,"")</f>
      </c>
      <c r="GF78" s="757">
        <f t="shared" ref="GF78" si="806">GA78</f>
      </c>
      <c r="GG78" s="755">
        <f t="shared" ref="GG78" si="807">GB78</f>
      </c>
      <c r="GH78" s="755">
        <f t="shared" ref="GH78" si="808">GC78</f>
      </c>
      <c r="GI78" s="755">
        <f t="shared" ref="GI78" si="809">GD78</f>
      </c>
      <c r="GJ78" s="760">
        <f>IFERROR(GJ24/GJ56,"")</f>
      </c>
    </row>
    <row r="79" spans="1:192" s="93" customFormat="1" ht="12.75" hidden="1" customHeight="1" outlineLevel="1">
      <c r="A79" s="123"/>
      <c r="B79" s="704" t="s">
        <v>173</v>
      </c>
      <c r="C79" s="125">
        <f>CF!C25</f>
      </c>
      <c r="D79" s="126">
        <f>CF!D25</f>
      </c>
      <c r="E79" s="126">
        <f>CF!E25</f>
      </c>
      <c r="F79" s="126">
        <f>CF!F25</f>
      </c>
      <c r="G79" s="127">
        <f>CF!G25</f>
      </c>
      <c r="H79" s="125">
        <f>CF!H25</f>
      </c>
      <c r="I79" s="126">
        <f>CF!I25</f>
      </c>
      <c r="J79" s="126">
        <f>CF!J25</f>
      </c>
      <c r="K79" s="126">
        <f>CF!K25</f>
      </c>
      <c r="L79" s="127">
        <f>CF!L25</f>
      </c>
      <c r="M79" s="125">
        <f>CF!M25</f>
      </c>
      <c r="N79" s="126">
        <f>CF!N25</f>
      </c>
      <c r="O79" s="126">
        <f>CF!O25</f>
      </c>
      <c r="P79" s="126">
        <f>CF!P25</f>
      </c>
      <c r="Q79" s="127">
        <f>CF!Q25</f>
      </c>
      <c r="R79" s="125">
        <f>CF!R25</f>
      </c>
      <c r="S79" s="126">
        <f>CF!S25</f>
      </c>
      <c r="T79" s="126">
        <f>CF!T25</f>
      </c>
      <c r="U79" s="126">
        <f>CF!U25</f>
      </c>
      <c r="V79" s="127">
        <f>CF!V25</f>
      </c>
      <c r="W79" s="125">
        <f>CF!W25</f>
      </c>
      <c r="X79" s="126">
        <f>CF!X25</f>
      </c>
      <c r="Y79" s="126">
        <f>CF!Y25</f>
      </c>
      <c r="Z79" s="126">
        <f>CF!Z25</f>
      </c>
      <c r="AA79" s="127">
        <f>CF!AA25</f>
      </c>
      <c r="AB79" s="125">
        <f>CF!AB25</f>
      </c>
      <c r="AC79" s="126">
        <f>CF!AC25</f>
      </c>
      <c r="AD79" s="126">
        <f>CF!AD25</f>
      </c>
      <c r="AE79" s="126">
        <f>CF!AE25</f>
      </c>
      <c r="AF79" s="127">
        <f>CF!AF25</f>
      </c>
      <c r="AG79" s="125">
        <f>CF!AG25</f>
      </c>
      <c r="AH79" s="126">
        <f>CF!AH25</f>
      </c>
      <c r="AI79" s="126">
        <f>CF!AI25</f>
      </c>
      <c r="AJ79" s="126">
        <f>CF!AJ25</f>
      </c>
      <c r="AK79" s="127">
        <f>CF!AK25</f>
      </c>
      <c r="AL79" s="125">
        <f>CF!AL25</f>
      </c>
      <c r="AM79" s="126">
        <f>CF!AM25</f>
      </c>
      <c r="AN79" s="126">
        <f>CF!AN25</f>
      </c>
      <c r="AO79" s="126">
        <f>CF!AO25</f>
      </c>
      <c r="AP79" s="127">
        <f>CF!AP25</f>
      </c>
      <c r="AQ79" s="125">
        <f>CF!AQ25</f>
      </c>
      <c r="AR79" s="126">
        <f>CF!AR25</f>
      </c>
      <c r="AS79" s="126">
        <f>CF!AS25</f>
      </c>
      <c r="AT79" s="126">
        <f>CF!AT25</f>
      </c>
      <c r="AU79" s="127">
        <f>CF!AU25</f>
      </c>
      <c r="AV79" s="125">
        <f>CF!AV25</f>
      </c>
      <c r="AW79" s="126">
        <f>CF!AW25</f>
      </c>
      <c r="AX79" s="126">
        <f>CF!AX25</f>
      </c>
      <c r="AY79" s="126">
        <f>CF!AY25</f>
      </c>
      <c r="AZ79" s="127">
        <f>CF!AZ25</f>
      </c>
      <c r="BA79" s="125">
        <f>CF!BA25</f>
      </c>
      <c r="BB79" s="126">
        <f>CF!BB25</f>
      </c>
      <c r="BC79" s="126">
        <f>CF!BC25</f>
      </c>
      <c r="BD79" s="126">
        <f>CF!BD25</f>
      </c>
      <c r="BE79" s="127">
        <f>CF!BE25</f>
      </c>
      <c r="BF79" s="125">
        <f>CF!BF25</f>
      </c>
      <c r="BG79" s="126">
        <f>CF!BG25</f>
      </c>
      <c r="BH79" s="126">
        <f>CF!BH25</f>
      </c>
      <c r="BI79" s="126">
        <f>CF!BI25</f>
      </c>
      <c r="BJ79" s="127">
        <f>CF!BJ25</f>
      </c>
      <c r="BK79" s="125">
        <f>CF!BK25</f>
      </c>
      <c r="BL79" s="126">
        <f>CF!BL25</f>
      </c>
      <c r="BM79" s="126">
        <f>CF!BM25</f>
      </c>
      <c r="BN79" s="126">
        <f>CF!BN25</f>
      </c>
      <c r="BO79" s="127">
        <f>CF!BO25</f>
      </c>
      <c r="BP79" s="125">
        <f>CF!BP25</f>
      </c>
      <c r="BQ79" s="126">
        <f>CF!BQ25</f>
      </c>
      <c r="BR79" s="126">
        <f>CF!BR25</f>
      </c>
      <c r="BS79" s="126">
        <f>CF!BS25</f>
      </c>
      <c r="BT79" s="127">
        <f>CF!BT25</f>
      </c>
      <c r="BU79" s="125">
        <f>CF!BU25</f>
      </c>
      <c r="BV79" s="126">
        <f>CF!BV25</f>
      </c>
      <c r="BW79" s="126">
        <f>CF!BW25</f>
      </c>
      <c r="BX79" s="126">
        <f>CF!BX25</f>
      </c>
      <c r="BY79" s="127">
        <f>CF!BY25</f>
      </c>
      <c r="BZ79" s="125">
        <f>CF!BZ25</f>
      </c>
      <c r="CA79" s="126">
        <f>CF!CA25</f>
      </c>
      <c r="CB79" s="126">
        <f>CF!CB25</f>
      </c>
      <c r="CC79" s="126">
        <f>CF!CC25</f>
      </c>
      <c r="CD79" s="127">
        <f>CF!CD25</f>
      </c>
      <c r="CE79" s="125">
        <f>CF!CE25</f>
      </c>
      <c r="CF79" s="126">
        <f>CF!CF25</f>
      </c>
      <c r="CG79" s="126">
        <f>CF!CG25</f>
      </c>
      <c r="CH79" s="126">
        <f>CF!CH25</f>
      </c>
      <c r="CI79" s="127">
        <f>CF!CI25</f>
      </c>
      <c r="CJ79" s="125">
        <f>CF!CJ25</f>
      </c>
      <c r="CK79" s="126">
        <f>CF!CK25</f>
      </c>
      <c r="CL79" s="126">
        <f>CF!CL25</f>
      </c>
      <c r="CM79" s="126">
        <f>CF!CM25</f>
      </c>
      <c r="CN79" s="127">
        <f>CF!CN25</f>
      </c>
      <c r="CO79" s="125">
        <f>CF!CO25</f>
      </c>
      <c r="CP79" s="126">
        <f>CF!CP25</f>
      </c>
      <c r="CQ79" s="126">
        <f>CF!CQ25</f>
      </c>
      <c r="CR79" s="126">
        <f>CF!CR25</f>
      </c>
      <c r="CS79" s="127">
        <f>CF!CS25</f>
      </c>
      <c r="CT79" s="125">
        <f>CF!CT25</f>
      </c>
      <c r="CU79" s="126">
        <f>CF!CU25</f>
      </c>
      <c r="CV79" s="126">
        <f>CF!CV25</f>
      </c>
      <c r="CW79" s="126">
        <f>CF!CW25</f>
      </c>
      <c r="CX79" s="127">
        <f>CF!CX25</f>
      </c>
      <c r="CY79" s="125">
        <f>CF!CY25</f>
      </c>
      <c r="CZ79" s="126">
        <f>CF!CZ25</f>
      </c>
      <c r="DA79" s="126">
        <f>CF!DA25</f>
      </c>
      <c r="DB79" s="126">
        <f>CF!DB25</f>
      </c>
      <c r="DC79" s="127">
        <f>CF!DC25</f>
      </c>
      <c r="DD79" s="125">
        <f>CF!DD25</f>
      </c>
      <c r="DE79" s="126">
        <f>CF!DE25</f>
      </c>
      <c r="DF79" s="126">
        <f>CF!DF25</f>
      </c>
      <c r="DG79" s="126">
        <f>CF!DG25</f>
      </c>
      <c r="DH79" s="127">
        <f>CF!DH25</f>
      </c>
      <c r="DI79" s="125">
        <f>CF!DI25</f>
      </c>
      <c r="DJ79" s="126">
        <f>CF!DJ25</f>
      </c>
      <c r="DK79" s="126">
        <f>CF!DK25</f>
      </c>
      <c r="DL79" s="126">
        <f>CF!DL25</f>
      </c>
      <c r="DM79" s="127">
        <f>CF!DM25</f>
      </c>
      <c r="DN79" s="125">
        <f>CF!DN25</f>
      </c>
      <c r="DO79" s="126">
        <f>CF!DO25</f>
      </c>
      <c r="DP79" s="126">
        <f>CF!DP25</f>
      </c>
      <c r="DQ79" s="126">
        <f>CF!DQ25</f>
      </c>
      <c r="DR79" s="127">
        <f>CF!DR25</f>
      </c>
      <c r="DS79" s="125">
        <f>CF!DS25</f>
      </c>
      <c r="DT79" s="126">
        <f>CF!DT25</f>
      </c>
      <c r="DU79" s="126">
        <f>CF!DU25</f>
      </c>
      <c r="DV79" s="126">
        <f>CF!DV25</f>
      </c>
      <c r="DW79" s="127">
        <f>CF!DW25</f>
      </c>
      <c r="DX79" s="125">
        <f>CF!DX25</f>
      </c>
      <c r="DY79" s="126">
        <f>CF!DY25</f>
      </c>
      <c r="DZ79" s="126">
        <f>CF!DZ25</f>
      </c>
      <c r="EA79" s="126">
        <f>CF!EA25</f>
      </c>
      <c r="EB79" s="127">
        <f>CF!EB25</f>
      </c>
      <c r="EC79" s="125">
        <f>CF!EC25</f>
      </c>
      <c r="ED79" s="126">
        <f>CF!ED25</f>
      </c>
      <c r="EE79" s="126">
        <f>CF!EE25</f>
      </c>
      <c r="EF79" s="126">
        <f>CF!EF25</f>
      </c>
      <c r="EG79" s="127">
        <f>CF!EG25</f>
      </c>
      <c r="EH79" s="125">
        <f>CF!EH25</f>
      </c>
      <c r="EI79" s="126">
        <f>CF!EI25</f>
      </c>
      <c r="EJ79" s="126">
        <f>CF!EJ25</f>
      </c>
      <c r="EK79" s="126">
        <f>CF!EK25</f>
      </c>
      <c r="EL79" s="127">
        <f>CF!EL25</f>
      </c>
      <c r="EM79" s="125">
        <f>CF!EM25</f>
      </c>
      <c r="EN79" s="126">
        <f>CF!EN25</f>
      </c>
      <c r="EO79" s="126">
        <f>CF!EO25</f>
      </c>
      <c r="EP79" s="126">
        <f>CF!EP25</f>
      </c>
      <c r="EQ79" s="127">
        <f>CF!EQ25</f>
      </c>
      <c r="ER79" s="125">
        <f>CF!ER25</f>
      </c>
      <c r="ES79" s="126">
        <f>CF!ES25</f>
      </c>
      <c r="ET79" s="126">
        <f>CF!ET25</f>
      </c>
      <c r="EU79" s="126">
        <f>CF!EU25</f>
      </c>
      <c r="EV79" s="759">
        <f>CF!EV25</f>
      </c>
      <c r="EW79" s="125">
        <f>CF!EW25</f>
      </c>
      <c r="EX79" s="126">
        <f>CF!EX25</f>
      </c>
      <c r="EY79" s="126">
        <f>CF!EY25</f>
      </c>
      <c r="EZ79" s="126">
        <f>CF!EZ25</f>
      </c>
      <c r="FA79" s="759">
        <f>CF!FA25</f>
      </c>
      <c r="FB79" s="125">
        <f>CF!FB25</f>
      </c>
      <c r="FC79" s="126">
        <f>CF!FC25</f>
      </c>
      <c r="FD79" s="126">
        <f>CF!FD25</f>
      </c>
      <c r="FE79" s="126">
        <f>CF!FE25</f>
      </c>
      <c r="FF79" s="759">
        <f>CF!FF25</f>
      </c>
      <c r="FG79" s="125">
        <f>CF!FG25</f>
      </c>
      <c r="FH79" s="126">
        <f>CF!FH25</f>
      </c>
      <c r="FI79" s="126">
        <f>CF!FI25</f>
      </c>
      <c r="FJ79" s="126">
        <f>CF!FJ25</f>
      </c>
      <c r="FK79" s="759">
        <f>CF!FK25</f>
      </c>
      <c r="FL79" s="125">
        <f>CF!FL25</f>
      </c>
      <c r="FM79" s="126">
        <f>CF!FM25</f>
      </c>
      <c r="FN79" s="126">
        <f>CF!FN25</f>
      </c>
      <c r="FO79" s="126">
        <f>CF!FO25</f>
      </c>
      <c r="FP79" s="759">
        <f>CF!FP25</f>
      </c>
      <c r="FQ79" s="125">
        <f>CF!FQ25</f>
      </c>
      <c r="FR79" s="126">
        <f>CF!FR25</f>
      </c>
      <c r="FS79" s="126">
        <f>CF!FS25</f>
      </c>
      <c r="FT79" s="126">
        <f>CF!FT25</f>
      </c>
      <c r="FU79" s="759">
        <f>CF!FU25</f>
      </c>
      <c r="FV79" s="125">
        <f>CF!FV25</f>
      </c>
      <c r="FW79" s="126">
        <f>CF!FW25</f>
      </c>
      <c r="FX79" s="126">
        <f>CF!FX25</f>
      </c>
      <c r="FY79" s="126">
        <f>CF!FY25</f>
      </c>
      <c r="FZ79" s="759">
        <f>CF!FZ25</f>
      </c>
      <c r="GA79" s="125">
        <f>CF!GA25</f>
      </c>
      <c r="GB79" s="126">
        <f>CF!GB25</f>
      </c>
      <c r="GC79" s="126">
        <f>CF!GC25</f>
      </c>
      <c r="GD79" s="126">
        <f>CF!GD25</f>
      </c>
      <c r="GE79" s="759">
        <f>CF!GE25</f>
      </c>
      <c r="GF79" s="125">
        <f>CF!GF25</f>
      </c>
      <c r="GG79" s="126">
        <f>CF!GG25</f>
      </c>
      <c r="GH79" s="126">
        <f>CF!GH25</f>
      </c>
      <c r="GI79" s="126">
        <f>CF!GI25</f>
      </c>
      <c r="GJ79" s="759">
        <f>CF!GJ25</f>
      </c>
    </row>
    <row r="80" spans="1:192" s="93" customFormat="1" ht="12.75" hidden="1" customHeight="1" outlineLevel="1">
      <c r="A80" s="81"/>
      <c r="B80" s="677"/>
      <c r="C80" s="104"/>
      <c r="D80" s="105"/>
      <c r="E80" s="105"/>
      <c r="F80" s="105"/>
      <c r="G80" s="116"/>
      <c r="H80" s="104"/>
      <c r="I80" s="105"/>
      <c r="J80" s="105"/>
      <c r="K80" s="105"/>
      <c r="L80" s="116"/>
      <c r="M80" s="104"/>
      <c r="N80" s="105"/>
      <c r="O80" s="105"/>
      <c r="P80" s="105"/>
      <c r="Q80" s="116"/>
      <c r="R80" s="104"/>
      <c r="S80" s="105"/>
      <c r="T80" s="105"/>
      <c r="U80" s="105"/>
      <c r="V80" s="116"/>
      <c r="W80" s="104"/>
      <c r="X80" s="105"/>
      <c r="Y80" s="105"/>
      <c r="Z80" s="105"/>
      <c r="AA80" s="116"/>
      <c r="AB80" s="104"/>
      <c r="AC80" s="105"/>
      <c r="AD80" s="105"/>
      <c r="AE80" s="105"/>
      <c r="AF80" s="116"/>
      <c r="AG80" s="104"/>
      <c r="AH80" s="105"/>
      <c r="AI80" s="105"/>
      <c r="AJ80" s="105"/>
      <c r="AK80" s="116"/>
      <c r="AL80" s="104"/>
      <c r="AM80" s="105"/>
      <c r="AN80" s="105"/>
      <c r="AO80" s="105"/>
      <c r="AP80" s="116"/>
      <c r="AQ80" s="104"/>
      <c r="AR80" s="105"/>
      <c r="AS80" s="105"/>
      <c r="AT80" s="105"/>
      <c r="AU80" s="116"/>
      <c r="AV80" s="104"/>
      <c r="AW80" s="105"/>
      <c r="AX80" s="105"/>
      <c r="AY80" s="105"/>
      <c r="AZ80" s="116"/>
      <c r="BA80" s="104"/>
      <c r="BB80" s="105"/>
      <c r="BC80" s="105"/>
      <c r="BD80" s="105"/>
      <c r="BE80" s="116"/>
      <c r="BF80" s="104"/>
      <c r="BG80" s="105"/>
      <c r="BH80" s="105"/>
      <c r="BI80" s="105"/>
      <c r="BJ80" s="116"/>
      <c r="BK80" s="104"/>
      <c r="BL80" s="105"/>
      <c r="BM80" s="105"/>
      <c r="BN80" s="105"/>
      <c r="BO80" s="116"/>
      <c r="BP80" s="104"/>
      <c r="BQ80" s="105"/>
      <c r="BR80" s="105"/>
      <c r="BS80" s="105"/>
      <c r="BT80" s="116"/>
      <c r="BU80" s="104"/>
      <c r="BV80" s="105"/>
      <c r="BW80" s="105"/>
      <c r="BX80" s="105"/>
      <c r="BY80" s="116"/>
      <c r="BZ80" s="104"/>
      <c r="CA80" s="105"/>
      <c r="CB80" s="105"/>
      <c r="CC80" s="105"/>
      <c r="CD80" s="116"/>
      <c r="CE80" s="104"/>
      <c r="CF80" s="105"/>
      <c r="CG80" s="105"/>
      <c r="CH80" s="105"/>
      <c r="CI80" s="116"/>
      <c r="CJ80" s="104"/>
      <c r="CK80" s="105"/>
      <c r="CL80" s="105"/>
      <c r="CM80" s="105"/>
      <c r="CN80" s="116"/>
      <c r="CO80" s="104"/>
      <c r="CP80" s="105"/>
      <c r="CQ80" s="105"/>
      <c r="CR80" s="105"/>
      <c r="CS80" s="116"/>
      <c r="CT80" s="104"/>
      <c r="CU80" s="105"/>
      <c r="CV80" s="105"/>
      <c r="CW80" s="105"/>
      <c r="CX80" s="116"/>
      <c r="CY80" s="104"/>
      <c r="CZ80" s="105"/>
      <c r="DA80" s="105"/>
      <c r="DB80" s="105"/>
      <c r="DC80" s="116"/>
      <c r="DD80" s="104"/>
      <c r="DE80" s="105"/>
      <c r="DF80" s="105"/>
      <c r="DG80" s="105"/>
      <c r="DH80" s="116"/>
      <c r="DI80" s="104"/>
      <c r="DJ80" s="105"/>
      <c r="DK80" s="105"/>
      <c r="DL80" s="105"/>
      <c r="DM80" s="116"/>
      <c r="DN80" s="104"/>
      <c r="DO80" s="105"/>
      <c r="DP80" s="105"/>
      <c r="DQ80" s="105"/>
      <c r="DR80" s="116"/>
      <c r="DS80" s="104"/>
      <c r="DT80" s="105"/>
      <c r="DU80" s="105"/>
      <c r="DV80" s="105"/>
      <c r="DW80" s="116"/>
      <c r="DX80" s="104"/>
      <c r="DY80" s="105"/>
      <c r="DZ80" s="105"/>
      <c r="EA80" s="105"/>
      <c r="EB80" s="116"/>
      <c r="EC80" s="104"/>
      <c r="ED80" s="105"/>
      <c r="EE80" s="105"/>
      <c r="EF80" s="105"/>
      <c r="EG80" s="116"/>
      <c r="EH80" s="104"/>
      <c r="EI80" s="105"/>
      <c r="EJ80" s="105"/>
      <c r="EK80" s="105"/>
      <c r="EL80" s="116"/>
      <c r="EM80" s="104"/>
      <c r="EN80" s="105"/>
      <c r="EO80" s="105"/>
      <c r="EP80" s="105"/>
      <c r="EQ80" s="116"/>
      <c r="ER80" s="104"/>
      <c r="ES80" s="105"/>
      <c r="ET80" s="105"/>
      <c r="EU80" s="105"/>
      <c r="EV80" s="116"/>
      <c r="EW80" s="104"/>
      <c r="EX80" s="105"/>
      <c r="EY80" s="105"/>
      <c r="EZ80" s="105"/>
      <c r="FA80" s="116"/>
      <c r="FB80" s="104"/>
      <c r="FC80" s="105"/>
      <c r="FD80" s="105"/>
      <c r="FE80" s="105"/>
      <c r="FF80" s="116"/>
      <c r="FG80" s="104"/>
      <c r="FH80" s="105"/>
      <c r="FI80" s="105"/>
      <c r="FJ80" s="105"/>
      <c r="FK80" s="116"/>
      <c r="FL80" s="104"/>
      <c r="FM80" s="105"/>
      <c r="FN80" s="105"/>
      <c r="FO80" s="105"/>
      <c r="FP80" s="116"/>
      <c r="FQ80" s="104"/>
      <c r="FR80" s="105"/>
      <c r="FS80" s="105"/>
      <c r="FT80" s="105"/>
      <c r="FU80" s="116"/>
      <c r="FV80" s="104"/>
      <c r="FW80" s="105"/>
      <c r="FX80" s="105"/>
      <c r="FY80" s="105"/>
      <c r="FZ80" s="116"/>
      <c r="GA80" s="104"/>
      <c r="GB80" s="105"/>
      <c r="GC80" s="105"/>
      <c r="GD80" s="105"/>
      <c r="GE80" s="116"/>
      <c r="GF80" s="104"/>
      <c r="GG80" s="105"/>
      <c r="GH80" s="105"/>
      <c r="GI80" s="105"/>
      <c r="GJ80" s="116"/>
    </row>
    <row r="81" spans="1:192" s="93" customFormat="1" ht="12.75" hidden="1" customHeight="1" outlineLevel="1">
      <c r="A81" s="119"/>
      <c r="B81" s="714" t="s">
        <v>174</v>
      </c>
      <c r="C81" s="117">
        <f t="shared" ref="C81:AH81" si="810">(C28*C82)/C$57</f>
      </c>
      <c r="D81" s="117">
        <f t="shared" si="810"/>
      </c>
      <c r="E81" s="117">
        <f t="shared" si="810"/>
      </c>
      <c r="F81" s="117">
        <f t="shared" si="810"/>
      </c>
      <c r="G81" s="118">
        <f t="shared" si="810"/>
      </c>
      <c r="H81" s="117">
        <f t="shared" si="810"/>
      </c>
      <c r="I81" s="117">
        <f t="shared" si="810"/>
      </c>
      <c r="J81" s="117">
        <f t="shared" si="810"/>
      </c>
      <c r="K81" s="117">
        <f t="shared" si="810"/>
      </c>
      <c r="L81" s="118">
        <f t="shared" si="810"/>
      </c>
      <c r="M81" s="117">
        <f t="shared" si="810"/>
      </c>
      <c r="N81" s="117">
        <f t="shared" si="810"/>
      </c>
      <c r="O81" s="117">
        <f t="shared" si="810"/>
      </c>
      <c r="P81" s="117">
        <f t="shared" si="810"/>
      </c>
      <c r="Q81" s="118">
        <f t="shared" si="810"/>
      </c>
      <c r="R81" s="117">
        <f t="shared" si="810"/>
      </c>
      <c r="S81" s="117">
        <f t="shared" si="810"/>
      </c>
      <c r="T81" s="117">
        <f t="shared" si="810"/>
      </c>
      <c r="U81" s="117">
        <f t="shared" si="810"/>
      </c>
      <c r="V81" s="118">
        <f t="shared" si="810"/>
      </c>
      <c r="W81" s="117">
        <f t="shared" si="810"/>
      </c>
      <c r="X81" s="117">
        <f t="shared" si="810"/>
      </c>
      <c r="Y81" s="117">
        <f t="shared" si="810"/>
      </c>
      <c r="Z81" s="117">
        <f t="shared" si="810"/>
      </c>
      <c r="AA81" s="118">
        <f t="shared" si="810"/>
      </c>
      <c r="AB81" s="117">
        <f t="shared" si="810"/>
      </c>
      <c r="AC81" s="117">
        <f t="shared" si="810"/>
      </c>
      <c r="AD81" s="117">
        <f t="shared" si="810"/>
      </c>
      <c r="AE81" s="117">
        <f t="shared" si="810"/>
      </c>
      <c r="AF81" s="118">
        <f t="shared" si="810"/>
      </c>
      <c r="AG81" s="117">
        <f t="shared" si="810"/>
      </c>
      <c r="AH81" s="117">
        <f t="shared" si="810"/>
      </c>
      <c r="AI81" s="117">
        <f t="shared" ref="AI81:BN81" si="811">(AI28*AI82)/AI$57</f>
      </c>
      <c r="AJ81" s="117">
        <f t="shared" si="811"/>
      </c>
      <c r="AK81" s="118">
        <f t="shared" si="811"/>
      </c>
      <c r="AL81" s="117">
        <f t="shared" si="811"/>
      </c>
      <c r="AM81" s="117">
        <f t="shared" si="811"/>
      </c>
      <c r="AN81" s="117">
        <f t="shared" si="811"/>
      </c>
      <c r="AO81" s="117">
        <f t="shared" si="811"/>
      </c>
      <c r="AP81" s="118">
        <f t="shared" si="811"/>
      </c>
      <c r="AQ81" s="117">
        <f t="shared" si="811"/>
      </c>
      <c r="AR81" s="117">
        <f t="shared" si="811"/>
      </c>
      <c r="AS81" s="117">
        <f t="shared" si="811"/>
      </c>
      <c r="AT81" s="117">
        <f t="shared" si="811"/>
      </c>
      <c r="AU81" s="118">
        <f t="shared" si="811"/>
      </c>
      <c r="AV81" s="117">
        <f t="shared" si="811"/>
      </c>
      <c r="AW81" s="117">
        <f t="shared" si="811"/>
      </c>
      <c r="AX81" s="117">
        <f t="shared" si="811"/>
      </c>
      <c r="AY81" s="117">
        <f t="shared" si="811"/>
      </c>
      <c r="AZ81" s="118">
        <f t="shared" si="811"/>
      </c>
      <c r="BA81" s="117">
        <f t="shared" si="811"/>
      </c>
      <c r="BB81" s="117">
        <f t="shared" si="811"/>
      </c>
      <c r="BC81" s="117">
        <f t="shared" si="811"/>
      </c>
      <c r="BD81" s="117">
        <f t="shared" si="811"/>
      </c>
      <c r="BE81" s="118">
        <f t="shared" si="811"/>
      </c>
      <c r="BF81" s="117">
        <f t="shared" si="811"/>
      </c>
      <c r="BG81" s="117">
        <f t="shared" si="811"/>
      </c>
      <c r="BH81" s="117">
        <f t="shared" si="811"/>
      </c>
      <c r="BI81" s="117">
        <f t="shared" si="811"/>
      </c>
      <c r="BJ81" s="118">
        <f t="shared" si="811"/>
      </c>
      <c r="BK81" s="117">
        <f t="shared" si="811"/>
      </c>
      <c r="BL81" s="117">
        <f t="shared" si="811"/>
      </c>
      <c r="BM81" s="117">
        <f t="shared" si="811"/>
      </c>
      <c r="BN81" s="117">
        <f t="shared" si="811"/>
      </c>
      <c r="BO81" s="118">
        <f t="shared" ref="BO81:CT81" si="812">(BO28*BO82)/BO$57</f>
      </c>
      <c r="BP81" s="117">
        <f t="shared" si="812"/>
      </c>
      <c r="BQ81" s="117">
        <f t="shared" si="812"/>
      </c>
      <c r="BR81" s="117">
        <f t="shared" si="812"/>
      </c>
      <c r="BS81" s="117">
        <f t="shared" si="812"/>
      </c>
      <c r="BT81" s="118">
        <f t="shared" si="812"/>
      </c>
      <c r="BU81" s="117">
        <f t="shared" si="812"/>
      </c>
      <c r="BV81" s="117">
        <f t="shared" si="812"/>
      </c>
      <c r="BW81" s="117">
        <f t="shared" si="812"/>
      </c>
      <c r="BX81" s="117">
        <f t="shared" si="812"/>
      </c>
      <c r="BY81" s="118">
        <f t="shared" si="812"/>
      </c>
      <c r="BZ81" s="117">
        <f t="shared" si="812"/>
      </c>
      <c r="CA81" s="117">
        <f t="shared" si="812"/>
      </c>
      <c r="CB81" s="117">
        <f t="shared" si="812"/>
      </c>
      <c r="CC81" s="117">
        <f t="shared" si="812"/>
      </c>
      <c r="CD81" s="118">
        <f t="shared" si="812"/>
      </c>
      <c r="CE81" s="117">
        <f t="shared" si="812"/>
      </c>
      <c r="CF81" s="117">
        <f t="shared" si="812"/>
      </c>
      <c r="CG81" s="117">
        <f t="shared" si="812"/>
      </c>
      <c r="CH81" s="117">
        <f t="shared" si="812"/>
      </c>
      <c r="CI81" s="118">
        <f t="shared" si="812"/>
      </c>
      <c r="CJ81" s="117">
        <f t="shared" si="812"/>
      </c>
      <c r="CK81" s="117">
        <f t="shared" si="812"/>
      </c>
      <c r="CL81" s="117">
        <f t="shared" si="812"/>
      </c>
      <c r="CM81" s="117">
        <f t="shared" si="812"/>
      </c>
      <c r="CN81" s="118">
        <f t="shared" si="812"/>
      </c>
      <c r="CO81" s="117">
        <f t="shared" si="812"/>
      </c>
      <c r="CP81" s="117">
        <f t="shared" si="812"/>
      </c>
      <c r="CQ81" s="117">
        <f t="shared" si="812"/>
      </c>
      <c r="CR81" s="117">
        <f t="shared" si="812"/>
      </c>
      <c r="CS81" s="118">
        <f t="shared" si="812"/>
      </c>
      <c r="CT81" s="117">
        <f t="shared" si="812"/>
      </c>
      <c r="CU81" s="117">
        <f t="shared" ref="CU81:DZ81" si="813">(CU28*CU82)/CU$57</f>
      </c>
      <c r="CV81" s="117">
        <f t="shared" si="813"/>
      </c>
      <c r="CW81" s="117">
        <f t="shared" si="813"/>
      </c>
      <c r="CX81" s="118">
        <f t="shared" si="813"/>
      </c>
      <c r="CY81" s="117">
        <f t="shared" si="813"/>
      </c>
      <c r="CZ81" s="117">
        <f t="shared" si="813"/>
      </c>
      <c r="DA81" s="117">
        <f t="shared" si="813"/>
      </c>
      <c r="DB81" s="117">
        <f t="shared" si="813"/>
      </c>
      <c r="DC81" s="118">
        <f t="shared" si="813"/>
      </c>
      <c r="DD81" s="117">
        <f t="shared" si="813"/>
      </c>
      <c r="DE81" s="117">
        <f t="shared" si="813"/>
      </c>
      <c r="DF81" s="117">
        <f t="shared" si="813"/>
      </c>
      <c r="DG81" s="117">
        <f t="shared" si="813"/>
      </c>
      <c r="DH81" s="118">
        <f t="shared" si="813"/>
      </c>
      <c r="DI81" s="117">
        <f t="shared" si="813"/>
      </c>
      <c r="DJ81" s="117">
        <f t="shared" si="813"/>
      </c>
      <c r="DK81" s="117">
        <f t="shared" si="813"/>
      </c>
      <c r="DL81" s="117">
        <f t="shared" si="813"/>
      </c>
      <c r="DM81" s="118">
        <f t="shared" si="813"/>
      </c>
      <c r="DN81" s="117">
        <f t="shared" si="813"/>
      </c>
      <c r="DO81" s="117">
        <f t="shared" si="813"/>
      </c>
      <c r="DP81" s="117">
        <f t="shared" si="813"/>
      </c>
      <c r="DQ81" s="117">
        <f t="shared" si="813"/>
      </c>
      <c r="DR81" s="118">
        <f t="shared" si="813"/>
      </c>
      <c r="DS81" s="117">
        <f t="shared" si="813"/>
      </c>
      <c r="DT81" s="117">
        <f t="shared" si="813"/>
      </c>
      <c r="DU81" s="117">
        <f t="shared" si="813"/>
      </c>
      <c r="DV81" s="117">
        <f t="shared" si="813"/>
      </c>
      <c r="DW81" s="118">
        <f t="shared" si="813"/>
      </c>
      <c r="DX81" s="117">
        <f t="shared" si="813"/>
      </c>
      <c r="DY81" s="117">
        <f t="shared" si="813"/>
      </c>
      <c r="DZ81" s="117">
        <f t="shared" si="813"/>
      </c>
      <c r="EA81" s="117">
        <f t="shared" ref="EA81:EY81" si="814">(EA28*EA82)/EA$57</f>
      </c>
      <c r="EB81" s="118">
        <f t="shared" si="814"/>
      </c>
      <c r="EC81" s="117">
        <f t="shared" si="814"/>
      </c>
      <c r="ED81" s="117">
        <f t="shared" si="814"/>
      </c>
      <c r="EE81" s="117">
        <f t="shared" si="814"/>
      </c>
      <c r="EF81" s="117">
        <f t="shared" si="814"/>
      </c>
      <c r="EG81" s="118">
        <f t="shared" si="814"/>
      </c>
      <c r="EH81" s="117">
        <f t="shared" si="814"/>
      </c>
      <c r="EI81" s="117">
        <f t="shared" si="814"/>
      </c>
      <c r="EJ81" s="117">
        <f t="shared" si="814"/>
      </c>
      <c r="EK81" s="117">
        <f t="shared" si="814"/>
      </c>
      <c r="EL81" s="118">
        <f t="shared" si="814"/>
      </c>
      <c r="EM81" s="117">
        <f t="shared" si="814"/>
      </c>
      <c r="EN81" s="117">
        <f t="shared" si="814"/>
      </c>
      <c r="EO81" s="117">
        <f t="shared" si="814"/>
      </c>
      <c r="EP81" s="117">
        <f t="shared" si="814"/>
      </c>
      <c r="EQ81" s="118">
        <f t="shared" si="814"/>
      </c>
      <c r="ER81" s="117">
        <f t="shared" si="814"/>
      </c>
      <c r="ES81" s="117">
        <f t="shared" si="814"/>
      </c>
      <c r="ET81" s="117">
        <f t="shared" si="814"/>
      </c>
      <c r="EU81" s="117">
        <f t="shared" si="814"/>
      </c>
      <c r="EV81" s="118">
        <f t="shared" si="814"/>
      </c>
      <c r="EW81" s="117">
        <f t="shared" si="814"/>
      </c>
      <c r="EX81" s="117">
        <f t="shared" si="814"/>
      </c>
      <c r="EY81" s="117">
        <f t="shared" si="814"/>
      </c>
      <c r="EZ81" s="117">
        <f t="shared" ref="EZ81:FA81" si="815">(EZ28*EZ82)/EZ$57</f>
      </c>
      <c r="FA81" s="118">
        <f t="shared" si="815"/>
      </c>
      <c r="FB81" s="756">
        <f t="shared" ref="FB81" si="816">EW81+0.25</f>
      </c>
      <c r="FC81" s="756">
        <f t="shared" ref="FC81" si="817">EX81+0.25</f>
      </c>
      <c r="FD81" s="756">
        <f t="shared" ref="FD81" si="818">EY81+0.25</f>
      </c>
      <c r="FE81" s="756">
        <f t="shared" ref="FE81" si="819">EZ81+0.25</f>
      </c>
      <c r="FF81" s="118">
        <f>(FF28*FF82)/FF57</f>
      </c>
      <c r="FG81" s="756">
        <f t="shared" ref="FG81:FJ81" si="820">FB81+0.25</f>
      </c>
      <c r="FH81" s="756">
        <f t="shared" si="820"/>
      </c>
      <c r="FI81" s="756">
        <f t="shared" si="820"/>
      </c>
      <c r="FJ81" s="756">
        <f t="shared" si="820"/>
      </c>
      <c r="FK81" s="118">
        <f>(FK28*FK82)/FK57</f>
      </c>
      <c r="FL81" s="756">
        <f t="shared" ref="FL81" si="821">FG81+0.25</f>
      </c>
      <c r="FM81" s="756">
        <f t="shared" ref="FM81" si="822">FH81+0.25</f>
      </c>
      <c r="FN81" s="756">
        <f t="shared" ref="FN81" si="823">FI81+0.25</f>
      </c>
      <c r="FO81" s="756">
        <f t="shared" ref="FO81" si="824">FJ81+0.25</f>
      </c>
      <c r="FP81" s="118">
        <f>(FP28*FP82)/FP57</f>
      </c>
      <c r="FQ81" s="756">
        <f t="shared" ref="FQ81" si="825">FL81+0.25</f>
      </c>
      <c r="FR81" s="756">
        <f t="shared" ref="FR81" si="826">FM81+0.25</f>
      </c>
      <c r="FS81" s="756">
        <f t="shared" ref="FS81" si="827">FN81+0.25</f>
      </c>
      <c r="FT81" s="756">
        <f t="shared" ref="FT81" si="828">FO81+0.25</f>
      </c>
      <c r="FU81" s="118">
        <f>(FU28*FU82)/FU57</f>
      </c>
      <c r="FV81" s="756">
        <f t="shared" ref="FV81" si="829">FQ81+0.25</f>
      </c>
      <c r="FW81" s="756">
        <f t="shared" ref="FW81" si="830">FR81+0.25</f>
      </c>
      <c r="FX81" s="756">
        <f t="shared" ref="FX81" si="831">FS81+0.25</f>
      </c>
      <c r="FY81" s="756">
        <f t="shared" ref="FY81" si="832">FT81+0.25</f>
      </c>
      <c r="FZ81" s="118">
        <f>(FZ28*FZ82)/FZ57</f>
      </c>
      <c r="GA81" s="756">
        <f t="shared" ref="GA81" si="833">FV81+0.25</f>
      </c>
      <c r="GB81" s="756">
        <f t="shared" ref="GB81" si="834">FW81+0.25</f>
      </c>
      <c r="GC81" s="756">
        <f t="shared" ref="GC81" si="835">FX81+0.25</f>
      </c>
      <c r="GD81" s="756">
        <f t="shared" ref="GD81" si="836">FY81+0.25</f>
      </c>
      <c r="GE81" s="118">
        <f>(GE28*GE82)/GE57</f>
      </c>
      <c r="GF81" s="756">
        <f t="shared" ref="GF81" si="837">GA81+0.25</f>
      </c>
      <c r="GG81" s="756">
        <f t="shared" ref="GG81" si="838">GB81+0.25</f>
      </c>
      <c r="GH81" s="756">
        <f t="shared" ref="GH81" si="839">GC81+0.25</f>
      </c>
      <c r="GI81" s="756">
        <f t="shared" ref="GI81" si="840">GD81+0.25</f>
      </c>
      <c r="GJ81" s="118">
        <f>(GJ28*GJ82)/GJ57</f>
      </c>
    </row>
    <row r="82" spans="1:192" s="530" customFormat="1" ht="12.75" hidden="1" customHeight="1" outlineLevel="1">
      <c r="A82" s="527"/>
      <c r="B82" s="704" t="s">
        <v>172</v>
      </c>
      <c r="C82" s="528">
        <f>G82-F82-E82-D82</f>
      </c>
      <c r="D82" s="528">
        <f>D$8-C$8</f>
      </c>
      <c r="E82" s="528">
        <f>E$8-D$8</f>
      </c>
      <c r="F82" s="528">
        <f>F$8-E$8</f>
      </c>
      <c r="G82" s="529">
        <v>365</v>
      </c>
      <c r="H82" s="528">
        <f>H$8-F$8</f>
      </c>
      <c r="I82" s="528">
        <f>I$8-H$8</f>
      </c>
      <c r="J82" s="528">
        <f>J$8-I$8</f>
      </c>
      <c r="K82" s="528">
        <f>K$8-J$8</f>
      </c>
      <c r="L82" s="529">
        <f>L$8-G$8</f>
      </c>
      <c r="M82" s="528">
        <f>M$8-K$8</f>
      </c>
      <c r="N82" s="528">
        <f>N$8-M$8</f>
      </c>
      <c r="O82" s="528">
        <f>O$8-N$8</f>
      </c>
      <c r="P82" s="528">
        <f>P$8-O$8</f>
      </c>
      <c r="Q82" s="529">
        <f>Q$8-L$8</f>
      </c>
      <c r="R82" s="528">
        <f>R$8-P$8</f>
      </c>
      <c r="S82" s="528">
        <f>S$8-R$8</f>
      </c>
      <c r="T82" s="528">
        <f>T$8-S$8</f>
      </c>
      <c r="U82" s="528">
        <f>U$8-T$8</f>
      </c>
      <c r="V82" s="529">
        <f>V$8-Q$8</f>
      </c>
      <c r="W82" s="528">
        <f>W$8-U$8</f>
      </c>
      <c r="X82" s="528">
        <f>X$8-W$8</f>
      </c>
      <c r="Y82" s="528">
        <f>Y$8-X$8</f>
      </c>
      <c r="Z82" s="528">
        <f>Z$8-Y$8</f>
      </c>
      <c r="AA82" s="529">
        <f>AA$8-V$8</f>
      </c>
      <c r="AB82" s="528">
        <f>AB$8-Z$8</f>
      </c>
      <c r="AC82" s="528">
        <f>AC$8-AB$8</f>
      </c>
      <c r="AD82" s="528">
        <f>AD$8-AC$8</f>
      </c>
      <c r="AE82" s="528">
        <f>AE$8-AD$8</f>
      </c>
      <c r="AF82" s="529">
        <f>AF$8-AA$8</f>
      </c>
      <c r="AG82" s="528">
        <f>AG$8-AE$8</f>
      </c>
      <c r="AH82" s="528">
        <f>AH$8-AG$8</f>
      </c>
      <c r="AI82" s="528">
        <f>AI$8-AH$8</f>
      </c>
      <c r="AJ82" s="528">
        <f>AJ$8-AI$8</f>
      </c>
      <c r="AK82" s="529">
        <f>AK$8-AF$8</f>
      </c>
      <c r="AL82" s="528">
        <f>AL$8-AJ$8</f>
      </c>
      <c r="AM82" s="528">
        <f>AM$8-AL$8</f>
      </c>
      <c r="AN82" s="528">
        <f>AN$8-AM$8</f>
      </c>
      <c r="AO82" s="528">
        <f>AO$8-AN$8</f>
      </c>
      <c r="AP82" s="529">
        <f>AP$8-AK$8</f>
      </c>
      <c r="AQ82" s="528">
        <f>AQ$8-AO$8</f>
      </c>
      <c r="AR82" s="528">
        <f>AR$8-AQ$8</f>
      </c>
      <c r="AS82" s="528">
        <f>AS$8-AR$8</f>
      </c>
      <c r="AT82" s="528">
        <f>AT$8-AS$8</f>
      </c>
      <c r="AU82" s="529">
        <f>AU$8-AP$8</f>
      </c>
      <c r="AV82" s="528">
        <f>AV$8-AT$8</f>
      </c>
      <c r="AW82" s="528">
        <f>AW$8-AV$8</f>
      </c>
      <c r="AX82" s="528">
        <f>AX$8-AW$8</f>
      </c>
      <c r="AY82" s="528">
        <f>AY$8-AX$8</f>
      </c>
      <c r="AZ82" s="529">
        <f>AZ$8-AU$8</f>
      </c>
      <c r="BA82" s="528">
        <f>BA$8-AY$8</f>
      </c>
      <c r="BB82" s="528">
        <f>BB$8-BA$8</f>
      </c>
      <c r="BC82" s="528">
        <f>BC$8-BB$8</f>
      </c>
      <c r="BD82" s="528">
        <f>BD$8-BC$8</f>
      </c>
      <c r="BE82" s="529">
        <f>BE$8-AZ$8</f>
      </c>
      <c r="BF82" s="528">
        <f>BF$8-BD$8</f>
      </c>
      <c r="BG82" s="528">
        <f>BG$8-BF$8</f>
      </c>
      <c r="BH82" s="528">
        <f>BH$8-BG$8</f>
      </c>
      <c r="BI82" s="528">
        <f>BI$8-BH$8</f>
      </c>
      <c r="BJ82" s="529">
        <f>BJ$8-BE$8</f>
      </c>
      <c r="BK82" s="528">
        <f>BK$8-BI$8</f>
      </c>
      <c r="BL82" s="528">
        <f>BL$8-BK$8</f>
      </c>
      <c r="BM82" s="528">
        <f>BM$8-BL$8</f>
      </c>
      <c r="BN82" s="528">
        <f>BN$8-BM$8</f>
      </c>
      <c r="BO82" s="529">
        <f>BO$8-BJ$8</f>
      </c>
      <c r="BP82" s="528">
        <f>BP$8-BN$8</f>
      </c>
      <c r="BQ82" s="528">
        <f>BQ$8-BP$8</f>
      </c>
      <c r="BR82" s="528">
        <f>BR$8-BQ$8</f>
      </c>
      <c r="BS82" s="528">
        <f>BS$8-BR$8</f>
      </c>
      <c r="BT82" s="529">
        <f>BT$8-BO$8</f>
      </c>
      <c r="BU82" s="528">
        <f>BU$8-BS$8</f>
      </c>
      <c r="BV82" s="528">
        <f>BV$8-BU$8</f>
      </c>
      <c r="BW82" s="528">
        <f>BW$8-BV$8</f>
      </c>
      <c r="BX82" s="528">
        <f>BX$8-BW$8</f>
      </c>
      <c r="BY82" s="529">
        <f>BY$8-BT$8</f>
      </c>
      <c r="BZ82" s="528">
        <f>BZ$8-BX$8</f>
      </c>
      <c r="CA82" s="528">
        <f>CA$8-BZ$8</f>
      </c>
      <c r="CB82" s="528">
        <f>CB$8-CA$8</f>
      </c>
      <c r="CC82" s="528">
        <f>CC$8-CB$8</f>
      </c>
      <c r="CD82" s="529">
        <f>CD$8-BY$8</f>
      </c>
      <c r="CE82" s="528">
        <f>CE$8-CC$8</f>
      </c>
      <c r="CF82" s="528">
        <f>CF$8-CE$8</f>
      </c>
      <c r="CG82" s="528">
        <f>CG$8-CF$8</f>
      </c>
      <c r="CH82" s="528">
        <f>CH$8-CG$8</f>
      </c>
      <c r="CI82" s="529">
        <f>CI$8-CD$8</f>
      </c>
      <c r="CJ82" s="528">
        <f>CJ$8-CH$8</f>
      </c>
      <c r="CK82" s="528">
        <f>CK$8-CJ$8</f>
      </c>
      <c r="CL82" s="528">
        <f>CL$8-CK$8</f>
      </c>
      <c r="CM82" s="528">
        <f>CM$8-CL$8</f>
      </c>
      <c r="CN82" s="529">
        <f>CN$8-CI$8</f>
      </c>
      <c r="CO82" s="528">
        <f>CO$8-CM$8</f>
      </c>
      <c r="CP82" s="528">
        <f>CP$8-CO$8</f>
      </c>
      <c r="CQ82" s="528">
        <f>CQ$8-CP$8</f>
      </c>
      <c r="CR82" s="528">
        <f>CR$8-CQ$8</f>
      </c>
      <c r="CS82" s="529">
        <f>CS$8-CN$8</f>
      </c>
      <c r="CT82" s="528">
        <f>CT$8-CR$8</f>
      </c>
      <c r="CU82" s="528">
        <f>CU$8-CT$8</f>
      </c>
      <c r="CV82" s="528">
        <f>CV$8-CU$8</f>
      </c>
      <c r="CW82" s="528">
        <f>CW$8-CV$8</f>
      </c>
      <c r="CX82" s="529">
        <f>CX$8-CS$8</f>
      </c>
      <c r="CY82" s="528">
        <f>CY$8-CW$8</f>
      </c>
      <c r="CZ82" s="528">
        <f>CZ$8-CY$8</f>
      </c>
      <c r="DA82" s="528">
        <f>DA$8-CZ$8</f>
      </c>
      <c r="DB82" s="528">
        <f>DB$8-DA$8</f>
      </c>
      <c r="DC82" s="529">
        <f>DC$8-CX$8</f>
      </c>
      <c r="DD82" s="528">
        <f>DD$8-DB$8</f>
      </c>
      <c r="DE82" s="528">
        <f>DE$8-DD$8</f>
      </c>
      <c r="DF82" s="528">
        <f>DF$8-DE$8</f>
      </c>
      <c r="DG82" s="528">
        <f>DG$8-DF$8</f>
      </c>
      <c r="DH82" s="529">
        <f>DH$8-DC$8</f>
      </c>
      <c r="DI82" s="528">
        <f>DI$8-DG$8</f>
      </c>
      <c r="DJ82" s="528">
        <f>DJ$8-DI$8</f>
      </c>
      <c r="DK82" s="528">
        <f>DK$8-DJ$8</f>
      </c>
      <c r="DL82" s="528">
        <f>DL$8-DK$8</f>
      </c>
      <c r="DM82" s="529">
        <f>DM$8-DH$8</f>
      </c>
      <c r="DN82" s="528">
        <f>DN$8-DL$8</f>
      </c>
      <c r="DO82" s="528">
        <f>DO$8-DN$8</f>
      </c>
      <c r="DP82" s="528">
        <f>DP$8-DO$8</f>
      </c>
      <c r="DQ82" s="528">
        <f>DQ$8-DP$8</f>
      </c>
      <c r="DR82" s="529">
        <f>DR$8-DM$8</f>
      </c>
      <c r="DS82" s="528">
        <f>DS$8-DQ$8</f>
      </c>
      <c r="DT82" s="528">
        <f>DT$8-DS$8</f>
      </c>
      <c r="DU82" s="528">
        <f>DU$8-DT$8</f>
      </c>
      <c r="DV82" s="528">
        <f>DV$8-DU$8</f>
      </c>
      <c r="DW82" s="529">
        <f>DW$8-DR$8</f>
      </c>
      <c r="DX82" s="528">
        <f>DX$8-DV$8</f>
      </c>
      <c r="DY82" s="528">
        <f>DY$8-DX$8</f>
      </c>
      <c r="DZ82" s="528">
        <f>DZ$8-DY$8</f>
      </c>
      <c r="EA82" s="528">
        <f>EA$8-DZ$8</f>
      </c>
      <c r="EB82" s="529">
        <f>EB$8-DW$8</f>
      </c>
      <c r="EC82" s="528">
        <f>EC$8-EA$8</f>
      </c>
      <c r="ED82" s="528">
        <f>ED$8-EC$8</f>
      </c>
      <c r="EE82" s="528">
        <f>EE$8-ED$8</f>
      </c>
      <c r="EF82" s="528">
        <f>EF$8-EE$8</f>
      </c>
      <c r="EG82" s="529">
        <f>EG$8-EB$8</f>
      </c>
      <c r="EH82" s="528">
        <f>EH$8-EF$8</f>
      </c>
      <c r="EI82" s="528">
        <f>EI$8-EH$8</f>
      </c>
      <c r="EJ82" s="528">
        <f>EJ$8-EI$8</f>
      </c>
      <c r="EK82" s="528">
        <f>EK$8-EJ$8</f>
      </c>
      <c r="EL82" s="529">
        <f>EL$8-EG$8</f>
      </c>
      <c r="EM82" s="528">
        <f>EM$8-EK$8</f>
      </c>
      <c r="EN82" s="528">
        <f>EN$8-EM$8</f>
      </c>
      <c r="EO82" s="528">
        <f>EO$8-EN$8</f>
      </c>
      <c r="EP82" s="528">
        <f>EP$8-EO$8</f>
      </c>
      <c r="EQ82" s="529">
        <f>EQ$8-EL$8</f>
      </c>
      <c r="ER82" s="528">
        <f>ER$8-EP$8</f>
      </c>
      <c r="ES82" s="528">
        <f>ES$8-ER$8</f>
      </c>
      <c r="ET82" s="528">
        <f>ET$8-ES$8</f>
      </c>
      <c r="EU82" s="528">
        <f>EU$8-ET$8</f>
      </c>
      <c r="EV82" s="529">
        <f>EV$8-EQ$8</f>
      </c>
      <c r="EW82" s="528">
        <f>EW$8-EU$8</f>
      </c>
      <c r="EX82" s="528">
        <f>EX$8-EW$8</f>
      </c>
      <c r="EY82" s="528">
        <f>EY$8-EX$8</f>
      </c>
      <c r="EZ82" s="528">
        <f>EZ$8-EY$8</f>
      </c>
      <c r="FA82" s="529">
        <f>FA$8-EV$8</f>
      </c>
      <c r="FB82" s="528">
        <f>FB$8-EZ$8</f>
      </c>
      <c r="FC82" s="528">
        <f>FC$8-FB$8</f>
      </c>
      <c r="FD82" s="528">
        <f>FD$8-FC$8</f>
      </c>
      <c r="FE82" s="528">
        <f>FE$8-FD$8</f>
      </c>
      <c r="FF82" s="529">
        <f>FF$8-FA$8</f>
      </c>
      <c r="FG82" s="528">
        <f>FG$8-FE$8</f>
      </c>
      <c r="FH82" s="528">
        <f>FH$8-FG$8</f>
      </c>
      <c r="FI82" s="528">
        <f>FI$8-FH$8</f>
      </c>
      <c r="FJ82" s="528">
        <f>FJ$8-FI$8</f>
      </c>
      <c r="FK82" s="529">
        <f>FK$8-FF$8</f>
      </c>
      <c r="FL82" s="528">
        <f>FL$8-FJ$8</f>
      </c>
      <c r="FM82" s="528">
        <f>FM$8-FL$8</f>
      </c>
      <c r="FN82" s="528">
        <f>FN$8-FM$8</f>
      </c>
      <c r="FO82" s="528">
        <f>FO$8-FN$8</f>
      </c>
      <c r="FP82" s="529">
        <f>FP$8-FK$8</f>
      </c>
      <c r="FQ82" s="528">
        <f>FQ$8-FO$8</f>
      </c>
      <c r="FR82" s="528">
        <f>FR$8-FQ$8</f>
      </c>
      <c r="FS82" s="528">
        <f>FS$8-FR$8</f>
      </c>
      <c r="FT82" s="528">
        <f>FT$8-FS$8</f>
      </c>
      <c r="FU82" s="529">
        <f>FU$8-FP$8</f>
      </c>
      <c r="FV82" s="528">
        <f>FV$8-FT$8</f>
      </c>
      <c r="FW82" s="528">
        <f>FW$8-FV$8</f>
      </c>
      <c r="FX82" s="528">
        <f>FX$8-FW$8</f>
      </c>
      <c r="FY82" s="528">
        <f>FY$8-FX$8</f>
      </c>
      <c r="FZ82" s="529">
        <f>FZ$8-FU$8</f>
      </c>
      <c r="GA82" s="528">
        <f>GA$8-FY$8</f>
      </c>
      <c r="GB82" s="528">
        <f>GB$8-GA$8</f>
      </c>
      <c r="GC82" s="528">
        <f>GC$8-GB$8</f>
      </c>
      <c r="GD82" s="528">
        <f>GD$8-GC$8</f>
      </c>
      <c r="GE82" s="529">
        <f>GE$8-FZ$8</f>
      </c>
      <c r="GF82" s="528">
        <f>GF$8-GD$8</f>
      </c>
      <c r="GG82" s="528">
        <f>GG$8-GF$8</f>
      </c>
      <c r="GH82" s="528">
        <f>GH$8-GG$8</f>
      </c>
      <c r="GI82" s="528">
        <f>GI$8-GH$8</f>
      </c>
      <c r="GJ82" s="529">
        <f>GJ$8-GE$8</f>
      </c>
    </row>
    <row r="83" spans="1:192" s="93" customFormat="1" ht="12.75" hidden="1" customHeight="1" outlineLevel="1">
      <c r="A83" s="119"/>
      <c r="B83" s="704" t="s">
        <v>303</v>
      </c>
      <c r="C83" s="120"/>
      <c r="D83" s="120"/>
      <c r="E83" s="120"/>
      <c r="F83" s="120"/>
      <c r="G83" s="121"/>
      <c r="H83" s="120"/>
      <c r="I83" s="120"/>
      <c r="J83" s="120"/>
      <c r="K83" s="120"/>
      <c r="L83" s="121"/>
      <c r="M83" s="120"/>
      <c r="N83" s="120"/>
      <c r="O83" s="120"/>
      <c r="P83" s="120"/>
      <c r="Q83" s="121"/>
      <c r="R83" s="120"/>
      <c r="S83" s="120"/>
      <c r="T83" s="120"/>
      <c r="U83" s="120"/>
      <c r="V83" s="121"/>
      <c r="W83" s="120"/>
      <c r="X83" s="120"/>
      <c r="Y83" s="120"/>
      <c r="Z83" s="120"/>
      <c r="AA83" s="121"/>
      <c r="AB83" s="120"/>
      <c r="AC83" s="120"/>
      <c r="AD83" s="120"/>
      <c r="AE83" s="120"/>
      <c r="AF83" s="121"/>
      <c r="AG83" s="120"/>
      <c r="AH83" s="120"/>
      <c r="AI83" s="120"/>
      <c r="AJ83" s="120"/>
      <c r="AK83" s="121"/>
      <c r="AL83" s="120"/>
      <c r="AM83" s="120"/>
      <c r="AN83" s="120"/>
      <c r="AO83" s="120"/>
      <c r="AP83" s="121"/>
      <c r="AQ83" s="120"/>
      <c r="AR83" s="120"/>
      <c r="AS83" s="120"/>
      <c r="AT83" s="120"/>
      <c r="AU83" s="121"/>
      <c r="AV83" s="120"/>
      <c r="AW83" s="120"/>
      <c r="AX83" s="120"/>
      <c r="AY83" s="120"/>
      <c r="AZ83" s="121"/>
      <c r="BA83" s="120"/>
      <c r="BB83" s="120"/>
      <c r="BC83" s="120"/>
      <c r="BD83" s="120"/>
      <c r="BE83" s="121"/>
      <c r="BF83" s="120"/>
      <c r="BG83" s="120"/>
      <c r="BH83" s="120"/>
      <c r="BI83" s="120"/>
      <c r="BJ83" s="121"/>
      <c r="BK83" s="120"/>
      <c r="BL83" s="120"/>
      <c r="BM83" s="120"/>
      <c r="BN83" s="120"/>
      <c r="BO83" s="121"/>
      <c r="BP83" s="120"/>
      <c r="BQ83" s="120"/>
      <c r="BR83" s="120"/>
      <c r="BS83" s="120"/>
      <c r="BT83" s="121"/>
      <c r="BU83" s="120"/>
      <c r="BV83" s="120"/>
      <c r="BW83" s="120"/>
      <c r="BX83" s="120"/>
      <c r="BY83" s="121"/>
      <c r="BZ83" s="120"/>
      <c r="CA83" s="120"/>
      <c r="CB83" s="120"/>
      <c r="CC83" s="120"/>
      <c r="CD83" s="121"/>
      <c r="CE83" s="120">
        <f t="shared" ref="CE83:DJ83" si="841">IFERROR(CE81-BZ81,"--")</f>
      </c>
      <c r="CF83" s="120">
        <f t="shared" si="841"/>
      </c>
      <c r="CG83" s="120">
        <f t="shared" si="841"/>
      </c>
      <c r="CH83" s="120">
        <f t="shared" si="841"/>
      </c>
      <c r="CI83" s="121">
        <f t="shared" si="841"/>
      </c>
      <c r="CJ83" s="120">
        <f t="shared" si="841"/>
      </c>
      <c r="CK83" s="120">
        <f t="shared" si="841"/>
      </c>
      <c r="CL83" s="120">
        <f t="shared" si="841"/>
      </c>
      <c r="CM83" s="120">
        <f t="shared" si="841"/>
      </c>
      <c r="CN83" s="121">
        <f t="shared" si="841"/>
      </c>
      <c r="CO83" s="120">
        <f t="shared" si="841"/>
      </c>
      <c r="CP83" s="120">
        <f t="shared" si="841"/>
      </c>
      <c r="CQ83" s="120">
        <f t="shared" si="841"/>
      </c>
      <c r="CR83" s="120">
        <f t="shared" si="841"/>
      </c>
      <c r="CS83" s="121">
        <f t="shared" si="841"/>
      </c>
      <c r="CT83" s="120">
        <f t="shared" si="841"/>
      </c>
      <c r="CU83" s="120">
        <f t="shared" si="841"/>
      </c>
      <c r="CV83" s="120">
        <f t="shared" si="841"/>
      </c>
      <c r="CW83" s="120">
        <f t="shared" si="841"/>
      </c>
      <c r="CX83" s="121">
        <f t="shared" si="841"/>
      </c>
      <c r="CY83" s="120">
        <f t="shared" si="841"/>
      </c>
      <c r="CZ83" s="120">
        <f t="shared" si="841"/>
      </c>
      <c r="DA83" s="120">
        <f t="shared" si="841"/>
      </c>
      <c r="DB83" s="120">
        <f t="shared" si="841"/>
      </c>
      <c r="DC83" s="121">
        <f t="shared" si="841"/>
      </c>
      <c r="DD83" s="120">
        <f t="shared" si="841"/>
      </c>
      <c r="DE83" s="120">
        <f t="shared" si="841"/>
      </c>
      <c r="DF83" s="120">
        <f t="shared" si="841"/>
      </c>
      <c r="DG83" s="120">
        <f t="shared" si="841"/>
      </c>
      <c r="DH83" s="121">
        <f t="shared" si="841"/>
      </c>
      <c r="DI83" s="120">
        <f t="shared" si="841"/>
      </c>
      <c r="DJ83" s="120">
        <f t="shared" si="841"/>
      </c>
      <c r="DK83" s="120">
        <f t="shared" ref="DK83:EP83" si="842">IFERROR(DK81-DF81,"--")</f>
      </c>
      <c r="DL83" s="120">
        <f t="shared" si="842"/>
      </c>
      <c r="DM83" s="121">
        <f t="shared" si="842"/>
      </c>
      <c r="DN83" s="120">
        <f t="shared" si="842"/>
      </c>
      <c r="DO83" s="120">
        <f t="shared" si="842"/>
      </c>
      <c r="DP83" s="120">
        <f t="shared" si="842"/>
      </c>
      <c r="DQ83" s="120">
        <f t="shared" si="842"/>
      </c>
      <c r="DR83" s="121">
        <f t="shared" si="842"/>
      </c>
      <c r="DS83" s="120">
        <f t="shared" si="842"/>
      </c>
      <c r="DT83" s="120">
        <f t="shared" si="842"/>
      </c>
      <c r="DU83" s="120">
        <f t="shared" si="842"/>
      </c>
      <c r="DV83" s="120">
        <f t="shared" si="842"/>
      </c>
      <c r="DW83" s="121">
        <f t="shared" si="842"/>
      </c>
      <c r="DX83" s="120">
        <f t="shared" si="842"/>
      </c>
      <c r="DY83" s="120">
        <f t="shared" si="842"/>
      </c>
      <c r="DZ83" s="120">
        <f t="shared" si="842"/>
      </c>
      <c r="EA83" s="120">
        <f t="shared" si="842"/>
      </c>
      <c r="EB83" s="121">
        <f t="shared" si="842"/>
      </c>
      <c r="EC83" s="120">
        <f t="shared" si="842"/>
      </c>
      <c r="ED83" s="120">
        <f t="shared" si="842"/>
      </c>
      <c r="EE83" s="120">
        <f t="shared" si="842"/>
      </c>
      <c r="EF83" s="120">
        <f t="shared" si="842"/>
      </c>
      <c r="EG83" s="121">
        <f t="shared" si="842"/>
      </c>
      <c r="EH83" s="120">
        <f t="shared" si="842"/>
      </c>
      <c r="EI83" s="120">
        <f t="shared" si="842"/>
      </c>
      <c r="EJ83" s="120">
        <f t="shared" si="842"/>
      </c>
      <c r="EK83" s="120">
        <f t="shared" si="842"/>
      </c>
      <c r="EL83" s="121">
        <f t="shared" si="842"/>
      </c>
      <c r="EM83" s="120">
        <f t="shared" si="842"/>
      </c>
      <c r="EN83" s="120">
        <f t="shared" si="842"/>
      </c>
      <c r="EO83" s="120">
        <f t="shared" si="842"/>
      </c>
      <c r="EP83" s="120">
        <f t="shared" si="842"/>
      </c>
      <c r="EQ83" s="121">
        <f t="shared" ref="EQ83:FU83" si="843">IFERROR(EQ81-EL81,"--")</f>
      </c>
      <c r="ER83" s="120">
        <f t="shared" si="843"/>
      </c>
      <c r="ES83" s="120">
        <f t="shared" si="843"/>
      </c>
      <c r="ET83" s="120">
        <f t="shared" si="843"/>
      </c>
      <c r="EU83" s="120">
        <f t="shared" si="843"/>
      </c>
      <c r="EV83" s="121">
        <f t="shared" si="843"/>
      </c>
      <c r="EW83" s="120">
        <f t="shared" si="843"/>
      </c>
      <c r="EX83" s="120">
        <f t="shared" si="843"/>
      </c>
      <c r="EY83" s="120">
        <f t="shared" si="843"/>
      </c>
      <c r="EZ83" s="120">
        <f t="shared" si="843"/>
      </c>
      <c r="FA83" s="121">
        <f t="shared" si="843"/>
      </c>
      <c r="FB83" s="120">
        <f t="shared" si="843"/>
      </c>
      <c r="FC83" s="120">
        <f t="shared" si="843"/>
      </c>
      <c r="FD83" s="120">
        <f t="shared" si="843"/>
      </c>
      <c r="FE83" s="120">
        <f t="shared" si="843"/>
      </c>
      <c r="FF83" s="121">
        <f t="shared" si="843"/>
      </c>
      <c r="FG83" s="120">
        <f t="shared" ref="FG83" si="844">IFERROR(FG81-FB81,"--")</f>
      </c>
      <c r="FH83" s="120">
        <f t="shared" ref="FH83" si="845">IFERROR(FH81-FC81,"--")</f>
      </c>
      <c r="FI83" s="120">
        <f t="shared" ref="FI83" si="846">IFERROR(FI81-FD81,"--")</f>
      </c>
      <c r="FJ83" s="120">
        <f t="shared" ref="FJ83" si="847">IFERROR(FJ81-FE81,"--")</f>
      </c>
      <c r="FK83" s="121">
        <f t="shared" si="843"/>
      </c>
      <c r="FL83" s="120">
        <f t="shared" ref="FL83" si="848">IFERROR(FL81-FG81,"--")</f>
      </c>
      <c r="FM83" s="120">
        <f t="shared" ref="FM83" si="849">IFERROR(FM81-FH81,"--")</f>
      </c>
      <c r="FN83" s="120">
        <f t="shared" ref="FN83" si="850">IFERROR(FN81-FI81,"--")</f>
      </c>
      <c r="FO83" s="120">
        <f t="shared" ref="FO83" si="851">IFERROR(FO81-FJ81,"--")</f>
      </c>
      <c r="FP83" s="121">
        <f t="shared" si="843"/>
      </c>
      <c r="FQ83" s="120">
        <f t="shared" ref="FQ83" si="852">IFERROR(FQ81-FL81,"--")</f>
      </c>
      <c r="FR83" s="120">
        <f t="shared" ref="FR83" si="853">IFERROR(FR81-FM81,"--")</f>
      </c>
      <c r="FS83" s="120">
        <f t="shared" ref="FS83" si="854">IFERROR(FS81-FN81,"--")</f>
      </c>
      <c r="FT83" s="120">
        <f t="shared" ref="FT83" si="855">IFERROR(FT81-FO81,"--")</f>
      </c>
      <c r="FU83" s="121">
        <f t="shared" si="843"/>
      </c>
      <c r="FV83" s="120">
        <f t="shared" ref="FV83" si="856">IFERROR(FV81-FQ81,"--")</f>
      </c>
      <c r="FW83" s="120">
        <f t="shared" ref="FW83" si="857">IFERROR(FW81-FR81,"--")</f>
      </c>
      <c r="FX83" s="120">
        <f t="shared" ref="FX83" si="858">IFERROR(FX81-FS81,"--")</f>
      </c>
      <c r="FY83" s="120">
        <f t="shared" ref="FY83" si="859">IFERROR(FY81-FT81,"--")</f>
      </c>
      <c r="FZ83" s="121">
        <f t="shared" ref="FZ83" si="860">IFERROR(FZ81-FU81,"--")</f>
      </c>
      <c r="GA83" s="120">
        <f t="shared" ref="GA83" si="861">IFERROR(GA81-FV81,"--")</f>
      </c>
      <c r="GB83" s="120">
        <f t="shared" ref="GB83" si="862">IFERROR(GB81-FW81,"--")</f>
      </c>
      <c r="GC83" s="120">
        <f t="shared" ref="GC83" si="863">IFERROR(GC81-FX81,"--")</f>
      </c>
      <c r="GD83" s="120">
        <f t="shared" ref="GD83" si="864">IFERROR(GD81-FY81,"--")</f>
      </c>
      <c r="GE83" s="121">
        <f t="shared" ref="GE83" si="865">IFERROR(GE81-FZ81,"--")</f>
      </c>
      <c r="GF83" s="120">
        <f t="shared" ref="GF83" si="866">IFERROR(GF81-GA81,"--")</f>
      </c>
      <c r="GG83" s="120">
        <f t="shared" ref="GG83" si="867">IFERROR(GG81-GB81,"--")</f>
      </c>
      <c r="GH83" s="120">
        <f t="shared" ref="GH83" si="868">IFERROR(GH81-GC81,"--")</f>
      </c>
      <c r="GI83" s="120">
        <f t="shared" ref="GI83" si="869">IFERROR(GI81-GD81,"--")</f>
      </c>
      <c r="GJ83" s="121">
        <f t="shared" ref="GJ83" si="870">IFERROR(GJ81-GE81,"--")</f>
      </c>
    </row>
    <row r="84" spans="1:192" s="93" customFormat="1" ht="12.75" hidden="1" customHeight="1" outlineLevel="1">
      <c r="A84" s="81"/>
      <c r="B84" s="716" t="s">
        <v>304</v>
      </c>
      <c r="C84" s="105"/>
      <c r="D84" s="105"/>
      <c r="E84" s="105"/>
      <c r="F84" s="105"/>
      <c r="G84" s="122"/>
      <c r="H84" s="105"/>
      <c r="I84" s="105"/>
      <c r="J84" s="105"/>
      <c r="K84" s="105"/>
      <c r="L84" s="122"/>
      <c r="M84" s="105"/>
      <c r="N84" s="105"/>
      <c r="O84" s="105"/>
      <c r="P84" s="105"/>
      <c r="Q84" s="122"/>
      <c r="R84" s="105"/>
      <c r="S84" s="105"/>
      <c r="T84" s="105"/>
      <c r="U84" s="105"/>
      <c r="V84" s="122"/>
      <c r="W84" s="105"/>
      <c r="X84" s="105"/>
      <c r="Y84" s="105"/>
      <c r="Z84" s="105"/>
      <c r="AA84" s="122"/>
      <c r="AB84" s="105"/>
      <c r="AC84" s="105"/>
      <c r="AD84" s="105"/>
      <c r="AE84" s="105"/>
      <c r="AF84" s="122"/>
      <c r="AG84" s="105"/>
      <c r="AH84" s="105"/>
      <c r="AI84" s="105"/>
      <c r="AJ84" s="105"/>
      <c r="AK84" s="122"/>
      <c r="AL84" s="105"/>
      <c r="AM84" s="105"/>
      <c r="AN84" s="105"/>
      <c r="AO84" s="105"/>
      <c r="AP84" s="122"/>
      <c r="AQ84" s="105"/>
      <c r="AR84" s="105"/>
      <c r="AS84" s="105"/>
      <c r="AT84" s="105"/>
      <c r="AU84" s="122"/>
      <c r="AV84" s="105"/>
      <c r="AW84" s="105"/>
      <c r="AX84" s="105"/>
      <c r="AY84" s="105"/>
      <c r="AZ84" s="122"/>
      <c r="BA84" s="105"/>
      <c r="BB84" s="105"/>
      <c r="BC84" s="105"/>
      <c r="BD84" s="105"/>
      <c r="BE84" s="122"/>
      <c r="BF84" s="105"/>
      <c r="BG84" s="105"/>
      <c r="BH84" s="105"/>
      <c r="BI84" s="105"/>
      <c r="BJ84" s="122"/>
      <c r="BK84" s="105"/>
      <c r="BL84" s="105"/>
      <c r="BM84" s="105"/>
      <c r="BN84" s="105"/>
      <c r="BO84" s="122"/>
      <c r="BP84" s="105"/>
      <c r="BQ84" s="105"/>
      <c r="BR84" s="105"/>
      <c r="BS84" s="105"/>
      <c r="BT84" s="122"/>
      <c r="BU84" s="105"/>
      <c r="BV84" s="105"/>
      <c r="BW84" s="105"/>
      <c r="BX84" s="105"/>
      <c r="BY84" s="122"/>
      <c r="BZ84" s="105"/>
      <c r="CA84" s="105"/>
      <c r="CB84" s="105"/>
      <c r="CC84" s="105"/>
      <c r="CD84" s="122"/>
      <c r="CE84" s="105">
        <f t="shared" ref="CE84:DJ84" si="871">IFERROR(CE81/BZ81-1,"--")</f>
      </c>
      <c r="CF84" s="105">
        <f t="shared" si="871"/>
      </c>
      <c r="CG84" s="105">
        <f t="shared" si="871"/>
      </c>
      <c r="CH84" s="105">
        <f t="shared" si="871"/>
      </c>
      <c r="CI84" s="122">
        <f t="shared" si="871"/>
      </c>
      <c r="CJ84" s="105">
        <f t="shared" si="871"/>
      </c>
      <c r="CK84" s="105">
        <f t="shared" si="871"/>
      </c>
      <c r="CL84" s="105">
        <f t="shared" si="871"/>
      </c>
      <c r="CM84" s="105">
        <f t="shared" si="871"/>
      </c>
      <c r="CN84" s="122">
        <f t="shared" si="871"/>
      </c>
      <c r="CO84" s="105">
        <f t="shared" si="871"/>
      </c>
      <c r="CP84" s="105">
        <f t="shared" si="871"/>
      </c>
      <c r="CQ84" s="105">
        <f t="shared" si="871"/>
      </c>
      <c r="CR84" s="105">
        <f t="shared" si="871"/>
      </c>
      <c r="CS84" s="122">
        <f t="shared" si="871"/>
      </c>
      <c r="CT84" s="105">
        <f t="shared" si="871"/>
      </c>
      <c r="CU84" s="105">
        <f t="shared" si="871"/>
      </c>
      <c r="CV84" s="105">
        <f t="shared" si="871"/>
      </c>
      <c r="CW84" s="105">
        <f t="shared" si="871"/>
      </c>
      <c r="CX84" s="122">
        <f t="shared" si="871"/>
      </c>
      <c r="CY84" s="105">
        <f t="shared" si="871"/>
      </c>
      <c r="CZ84" s="105">
        <f t="shared" si="871"/>
      </c>
      <c r="DA84" s="105">
        <f t="shared" si="871"/>
      </c>
      <c r="DB84" s="105">
        <f t="shared" si="871"/>
      </c>
      <c r="DC84" s="122">
        <f t="shared" si="871"/>
      </c>
      <c r="DD84" s="105">
        <f t="shared" si="871"/>
      </c>
      <c r="DE84" s="105">
        <f t="shared" si="871"/>
      </c>
      <c r="DF84" s="105">
        <f t="shared" si="871"/>
      </c>
      <c r="DG84" s="105">
        <f t="shared" si="871"/>
      </c>
      <c r="DH84" s="122">
        <f t="shared" si="871"/>
      </c>
      <c r="DI84" s="105">
        <f t="shared" si="871"/>
      </c>
      <c r="DJ84" s="105">
        <f t="shared" si="871"/>
      </c>
      <c r="DK84" s="105">
        <f t="shared" ref="DK84:EP84" si="872">IFERROR(DK81/DF81-1,"--")</f>
      </c>
      <c r="DL84" s="105">
        <f t="shared" si="872"/>
      </c>
      <c r="DM84" s="122">
        <f t="shared" si="872"/>
      </c>
      <c r="DN84" s="105">
        <f t="shared" si="872"/>
      </c>
      <c r="DO84" s="105">
        <f t="shared" si="872"/>
      </c>
      <c r="DP84" s="105">
        <f t="shared" si="872"/>
      </c>
      <c r="DQ84" s="105">
        <f t="shared" si="872"/>
      </c>
      <c r="DR84" s="122">
        <f t="shared" si="872"/>
      </c>
      <c r="DS84" s="105">
        <f t="shared" si="872"/>
      </c>
      <c r="DT84" s="105">
        <f t="shared" si="872"/>
      </c>
      <c r="DU84" s="105">
        <f t="shared" si="872"/>
      </c>
      <c r="DV84" s="105">
        <f t="shared" si="872"/>
      </c>
      <c r="DW84" s="122">
        <f t="shared" si="872"/>
      </c>
      <c r="DX84" s="105">
        <f t="shared" si="872"/>
      </c>
      <c r="DY84" s="105">
        <f t="shared" si="872"/>
      </c>
      <c r="DZ84" s="105">
        <f t="shared" si="872"/>
      </c>
      <c r="EA84" s="105">
        <f t="shared" si="872"/>
      </c>
      <c r="EB84" s="122">
        <f t="shared" si="872"/>
      </c>
      <c r="EC84" s="105">
        <f t="shared" si="872"/>
      </c>
      <c r="ED84" s="105">
        <f t="shared" si="872"/>
      </c>
      <c r="EE84" s="105">
        <f t="shared" si="872"/>
      </c>
      <c r="EF84" s="105">
        <f t="shared" si="872"/>
      </c>
      <c r="EG84" s="122">
        <f t="shared" si="872"/>
      </c>
      <c r="EH84" s="105">
        <f t="shared" si="872"/>
      </c>
      <c r="EI84" s="105">
        <f t="shared" si="872"/>
      </c>
      <c r="EJ84" s="105">
        <f t="shared" si="872"/>
      </c>
      <c r="EK84" s="105">
        <f t="shared" si="872"/>
      </c>
      <c r="EL84" s="122">
        <f t="shared" si="872"/>
      </c>
      <c r="EM84" s="105">
        <f t="shared" si="872"/>
      </c>
      <c r="EN84" s="105">
        <f t="shared" si="872"/>
      </c>
      <c r="EO84" s="105">
        <f t="shared" si="872"/>
      </c>
      <c r="EP84" s="105">
        <f t="shared" si="872"/>
      </c>
      <c r="EQ84" s="122">
        <f t="shared" ref="EQ84:FU84" si="873">IFERROR(EQ81/EL81-1,"--")</f>
      </c>
      <c r="ER84" s="105">
        <f t="shared" si="873"/>
      </c>
      <c r="ES84" s="105">
        <f t="shared" si="873"/>
      </c>
      <c r="ET84" s="105">
        <f t="shared" si="873"/>
      </c>
      <c r="EU84" s="105">
        <f t="shared" si="873"/>
      </c>
      <c r="EV84" s="122">
        <f t="shared" si="873"/>
      </c>
      <c r="EW84" s="105">
        <f t="shared" si="873"/>
      </c>
      <c r="EX84" s="105">
        <f t="shared" si="873"/>
      </c>
      <c r="EY84" s="105">
        <f t="shared" si="873"/>
      </c>
      <c r="EZ84" s="105">
        <f t="shared" si="873"/>
      </c>
      <c r="FA84" s="122">
        <f t="shared" si="873"/>
      </c>
      <c r="FB84" s="105">
        <f t="shared" si="873"/>
      </c>
      <c r="FC84" s="105">
        <f t="shared" si="873"/>
      </c>
      <c r="FD84" s="105">
        <f t="shared" si="873"/>
      </c>
      <c r="FE84" s="105">
        <f t="shared" si="873"/>
      </c>
      <c r="FF84" s="122">
        <f t="shared" si="873"/>
      </c>
      <c r="FG84" s="105">
        <f t="shared" ref="FG84" si="874">IFERROR(FG81/FB81-1,"--")</f>
      </c>
      <c r="FH84" s="105">
        <f t="shared" ref="FH84" si="875">IFERROR(FH81/FC81-1,"--")</f>
      </c>
      <c r="FI84" s="105">
        <f t="shared" ref="FI84" si="876">IFERROR(FI81/FD81-1,"--")</f>
      </c>
      <c r="FJ84" s="105">
        <f t="shared" ref="FJ84" si="877">IFERROR(FJ81/FE81-1,"--")</f>
      </c>
      <c r="FK84" s="122">
        <f t="shared" si="873"/>
      </c>
      <c r="FL84" s="105">
        <f t="shared" ref="FL84" si="878">IFERROR(FL81/FG81-1,"--")</f>
      </c>
      <c r="FM84" s="105">
        <f t="shared" ref="FM84" si="879">IFERROR(FM81/FH81-1,"--")</f>
      </c>
      <c r="FN84" s="105">
        <f t="shared" ref="FN84" si="880">IFERROR(FN81/FI81-1,"--")</f>
      </c>
      <c r="FO84" s="105">
        <f t="shared" ref="FO84" si="881">IFERROR(FO81/FJ81-1,"--")</f>
      </c>
      <c r="FP84" s="122">
        <f t="shared" si="873"/>
      </c>
      <c r="FQ84" s="105">
        <f t="shared" ref="FQ84" si="882">IFERROR(FQ81/FL81-1,"--")</f>
      </c>
      <c r="FR84" s="105">
        <f t="shared" ref="FR84" si="883">IFERROR(FR81/FM81-1,"--")</f>
      </c>
      <c r="FS84" s="105">
        <f t="shared" ref="FS84" si="884">IFERROR(FS81/FN81-1,"--")</f>
      </c>
      <c r="FT84" s="105">
        <f t="shared" ref="FT84" si="885">IFERROR(FT81/FO81-1,"--")</f>
      </c>
      <c r="FU84" s="122">
        <f t="shared" si="873"/>
      </c>
      <c r="FV84" s="105">
        <f t="shared" ref="FV84" si="886">IFERROR(FV81/FQ81-1,"--")</f>
      </c>
      <c r="FW84" s="105">
        <f t="shared" ref="FW84" si="887">IFERROR(FW81/FR81-1,"--")</f>
      </c>
      <c r="FX84" s="105">
        <f t="shared" ref="FX84" si="888">IFERROR(FX81/FS81-1,"--")</f>
      </c>
      <c r="FY84" s="105">
        <f t="shared" ref="FY84" si="889">IFERROR(FY81/FT81-1,"--")</f>
      </c>
      <c r="FZ84" s="122">
        <f t="shared" ref="FZ84" si="890">IFERROR(FZ81/FU81-1,"--")</f>
      </c>
      <c r="GA84" s="105">
        <f t="shared" ref="GA84" si="891">IFERROR(GA81/FV81-1,"--")</f>
      </c>
      <c r="GB84" s="105">
        <f t="shared" ref="GB84" si="892">IFERROR(GB81/FW81-1,"--")</f>
      </c>
      <c r="GC84" s="105">
        <f t="shared" ref="GC84" si="893">IFERROR(GC81/FX81-1,"--")</f>
      </c>
      <c r="GD84" s="105">
        <f t="shared" ref="GD84" si="894">IFERROR(GD81/FY81-1,"--")</f>
      </c>
      <c r="GE84" s="122">
        <f t="shared" ref="GE84" si="895">IFERROR(GE81/FZ81-1,"--")</f>
      </c>
      <c r="GF84" s="105">
        <f t="shared" ref="GF84" si="896">IFERROR(GF81/GA81-1,"--")</f>
      </c>
      <c r="GG84" s="105">
        <f t="shared" ref="GG84" si="897">IFERROR(GG81/GB81-1,"--")</f>
      </c>
      <c r="GH84" s="105">
        <f t="shared" ref="GH84" si="898">IFERROR(GH81/GC81-1,"--")</f>
      </c>
      <c r="GI84" s="105">
        <f t="shared" ref="GI84" si="899">IFERROR(GI81/GD81-1,"--")</f>
      </c>
      <c r="GJ84" s="122">
        <f t="shared" ref="GJ84" si="900">IFERROR(GJ81/GE81-1,"--")</f>
      </c>
    </row>
    <row r="85" spans="1:192" s="93" customFormat="1" ht="12.75" hidden="1" customHeight="1" outlineLevel="1">
      <c r="A85" s="123"/>
      <c r="B85" s="704" t="s">
        <v>173</v>
      </c>
      <c r="C85" s="354">
        <f>CF!C26</f>
      </c>
      <c r="D85" s="355">
        <f>CF!D26</f>
      </c>
      <c r="E85" s="355">
        <f>CF!E26</f>
      </c>
      <c r="F85" s="355">
        <f>CF!F26</f>
      </c>
      <c r="G85" s="356">
        <f>CF!G26</f>
      </c>
      <c r="H85" s="354">
        <f>CF!H26</f>
      </c>
      <c r="I85" s="355">
        <f>CF!I26</f>
      </c>
      <c r="J85" s="355">
        <f>CF!J26</f>
      </c>
      <c r="K85" s="355">
        <f>CF!K26</f>
      </c>
      <c r="L85" s="356">
        <f>CF!L26</f>
      </c>
      <c r="M85" s="354">
        <f>CF!M26</f>
      </c>
      <c r="N85" s="355">
        <f>CF!N26</f>
      </c>
      <c r="O85" s="355">
        <f>CF!O26</f>
      </c>
      <c r="P85" s="355">
        <f>CF!P26</f>
      </c>
      <c r="Q85" s="356">
        <f>CF!Q26</f>
      </c>
      <c r="R85" s="354">
        <f>CF!R26</f>
      </c>
      <c r="S85" s="355">
        <f>CF!S26</f>
      </c>
      <c r="T85" s="355">
        <f>CF!T26</f>
      </c>
      <c r="U85" s="355">
        <f>CF!U26</f>
      </c>
      <c r="V85" s="356">
        <f>CF!V26</f>
      </c>
      <c r="W85" s="354">
        <f>CF!W26</f>
      </c>
      <c r="X85" s="355">
        <f>CF!X26</f>
      </c>
      <c r="Y85" s="355">
        <f>CF!Y26</f>
      </c>
      <c r="Z85" s="355">
        <f>CF!Z26</f>
      </c>
      <c r="AA85" s="356">
        <f>CF!AA26</f>
      </c>
      <c r="AB85" s="354">
        <f>CF!AB26</f>
      </c>
      <c r="AC85" s="355">
        <f>CF!AC26</f>
      </c>
      <c r="AD85" s="355">
        <f>CF!AD26</f>
      </c>
      <c r="AE85" s="355">
        <f>CF!AE26</f>
      </c>
      <c r="AF85" s="356">
        <f>CF!AF26</f>
      </c>
      <c r="AG85" s="354">
        <f>CF!AG26</f>
      </c>
      <c r="AH85" s="355">
        <f>CF!AH26</f>
      </c>
      <c r="AI85" s="355">
        <f>CF!AI26</f>
      </c>
      <c r="AJ85" s="355">
        <f>CF!AJ26</f>
      </c>
      <c r="AK85" s="356">
        <f>CF!AK26</f>
      </c>
      <c r="AL85" s="354">
        <f>CF!AL26</f>
      </c>
      <c r="AM85" s="355">
        <f>CF!AM26</f>
      </c>
      <c r="AN85" s="355">
        <f>CF!AN26</f>
      </c>
      <c r="AO85" s="355">
        <f>CF!AO26</f>
      </c>
      <c r="AP85" s="356">
        <f>CF!AP26</f>
      </c>
      <c r="AQ85" s="354">
        <f>CF!AQ26</f>
      </c>
      <c r="AR85" s="355">
        <f>CF!AR26</f>
      </c>
      <c r="AS85" s="355">
        <f>CF!AS26</f>
      </c>
      <c r="AT85" s="355">
        <f>CF!AT26</f>
      </c>
      <c r="AU85" s="356">
        <f>CF!AU26</f>
      </c>
      <c r="AV85" s="354">
        <f>CF!AV26</f>
      </c>
      <c r="AW85" s="355">
        <f>CF!AW26</f>
      </c>
      <c r="AX85" s="355">
        <f>CF!AX26</f>
      </c>
      <c r="AY85" s="355">
        <f>CF!AY26</f>
      </c>
      <c r="AZ85" s="356">
        <f>CF!AZ26</f>
      </c>
      <c r="BA85" s="354">
        <f>CF!BA26</f>
      </c>
      <c r="BB85" s="355">
        <f>CF!BB26</f>
      </c>
      <c r="BC85" s="355">
        <f>CF!BC26</f>
      </c>
      <c r="BD85" s="355">
        <f>CF!BD26</f>
      </c>
      <c r="BE85" s="356">
        <f>CF!BE26</f>
      </c>
      <c r="BF85" s="354">
        <f>CF!BF26</f>
      </c>
      <c r="BG85" s="355">
        <f>CF!BG26</f>
      </c>
      <c r="BH85" s="355">
        <f>CF!BH26</f>
      </c>
      <c r="BI85" s="355">
        <f>CF!BI26</f>
      </c>
      <c r="BJ85" s="356">
        <f>CF!BJ26</f>
      </c>
      <c r="BK85" s="354">
        <f>CF!BK26</f>
      </c>
      <c r="BL85" s="355">
        <f>CF!BL26</f>
      </c>
      <c r="BM85" s="355">
        <f>CF!BM26</f>
      </c>
      <c r="BN85" s="355">
        <f>CF!BN26</f>
      </c>
      <c r="BO85" s="356">
        <f>CF!BO26</f>
      </c>
      <c r="BP85" s="354">
        <f>CF!BP26</f>
      </c>
      <c r="BQ85" s="355">
        <f>CF!BQ26</f>
      </c>
      <c r="BR85" s="355">
        <f>CF!BR26</f>
      </c>
      <c r="BS85" s="355">
        <f>CF!BS26</f>
      </c>
      <c r="BT85" s="356">
        <f>CF!BT26</f>
      </c>
      <c r="BU85" s="354">
        <f>CF!BU26</f>
      </c>
      <c r="BV85" s="355">
        <f>CF!BV26</f>
      </c>
      <c r="BW85" s="355">
        <f>CF!BW26</f>
      </c>
      <c r="BX85" s="355">
        <f>CF!BX26</f>
      </c>
      <c r="BY85" s="356">
        <f>CF!BY26</f>
      </c>
      <c r="BZ85" s="354">
        <f>CF!BZ26</f>
      </c>
      <c r="CA85" s="355">
        <f>CF!CA26</f>
      </c>
      <c r="CB85" s="355">
        <f>CF!CB26</f>
      </c>
      <c r="CC85" s="355">
        <f>CF!CC26</f>
      </c>
      <c r="CD85" s="356">
        <f>CF!CD26</f>
      </c>
      <c r="CE85" s="354">
        <f>CF!CE26</f>
      </c>
      <c r="CF85" s="355">
        <f>CF!CF26</f>
      </c>
      <c r="CG85" s="355">
        <f>CF!CG26</f>
      </c>
      <c r="CH85" s="355">
        <f>CF!CH26</f>
      </c>
      <c r="CI85" s="356">
        <f>CF!CI26</f>
      </c>
      <c r="CJ85" s="354">
        <f>CF!CJ26</f>
      </c>
      <c r="CK85" s="355">
        <f>CF!CK26</f>
      </c>
      <c r="CL85" s="355">
        <f>CF!CL26</f>
      </c>
      <c r="CM85" s="355">
        <f>CF!CM26</f>
      </c>
      <c r="CN85" s="356">
        <f>CF!CN26</f>
      </c>
      <c r="CO85" s="354">
        <f>CF!CO26</f>
      </c>
      <c r="CP85" s="355">
        <f>CF!CP26</f>
      </c>
      <c r="CQ85" s="355">
        <f>CF!CQ26</f>
      </c>
      <c r="CR85" s="355">
        <f>CF!CR26</f>
      </c>
      <c r="CS85" s="356">
        <f>CF!CS26</f>
      </c>
      <c r="CT85" s="354">
        <f>CF!CT26</f>
      </c>
      <c r="CU85" s="355">
        <f>CF!CU26</f>
      </c>
      <c r="CV85" s="355">
        <f>CF!CV26</f>
      </c>
      <c r="CW85" s="355">
        <f>CF!CW26</f>
      </c>
      <c r="CX85" s="356">
        <f>CF!CX26</f>
      </c>
      <c r="CY85" s="354">
        <f>CF!CY26</f>
      </c>
      <c r="CZ85" s="355">
        <f>CF!CZ26</f>
      </c>
      <c r="DA85" s="355">
        <f>CF!DA26</f>
      </c>
      <c r="DB85" s="355">
        <f>CF!DB26</f>
      </c>
      <c r="DC85" s="356">
        <f>CF!DC26</f>
      </c>
      <c r="DD85" s="354">
        <f>CF!DD26</f>
      </c>
      <c r="DE85" s="355">
        <f>CF!DE26</f>
      </c>
      <c r="DF85" s="355">
        <f>CF!DF26</f>
      </c>
      <c r="DG85" s="355">
        <f>CF!DG26</f>
      </c>
      <c r="DH85" s="356">
        <f>CF!DH26</f>
      </c>
      <c r="DI85" s="354">
        <f>CF!DI26</f>
      </c>
      <c r="DJ85" s="355">
        <f>CF!DJ26</f>
      </c>
      <c r="DK85" s="355">
        <f>CF!DK26</f>
      </c>
      <c r="DL85" s="355">
        <f>CF!DL26</f>
      </c>
      <c r="DM85" s="356">
        <f>CF!DM26</f>
      </c>
      <c r="DN85" s="354">
        <f>CF!DN26</f>
      </c>
      <c r="DO85" s="355">
        <f>CF!DO26</f>
      </c>
      <c r="DP85" s="355">
        <f>CF!DP26</f>
      </c>
      <c r="DQ85" s="355">
        <f>CF!DQ26</f>
      </c>
      <c r="DR85" s="356">
        <f>CF!DR26</f>
      </c>
      <c r="DS85" s="354">
        <f>CF!DS26</f>
      </c>
      <c r="DT85" s="355">
        <f>CF!DT26</f>
      </c>
      <c r="DU85" s="355">
        <f>CF!DU26</f>
      </c>
      <c r="DV85" s="355">
        <f>CF!DV26</f>
      </c>
      <c r="DW85" s="356">
        <f>CF!DW26</f>
      </c>
      <c r="DX85" s="354">
        <f>CF!DX26</f>
      </c>
      <c r="DY85" s="355">
        <f>CF!DY26</f>
      </c>
      <c r="DZ85" s="355">
        <f>CF!DZ26</f>
      </c>
      <c r="EA85" s="355">
        <f>CF!EA26</f>
      </c>
      <c r="EB85" s="356">
        <f>CF!EB26</f>
      </c>
      <c r="EC85" s="354">
        <f>CF!EC26</f>
      </c>
      <c r="ED85" s="355">
        <f>CF!ED26</f>
      </c>
      <c r="EE85" s="355">
        <f>CF!EE26</f>
      </c>
      <c r="EF85" s="355">
        <f>CF!EF26</f>
      </c>
      <c r="EG85" s="356">
        <f>CF!EG26</f>
      </c>
      <c r="EH85" s="354">
        <f>CF!EH26</f>
      </c>
      <c r="EI85" s="355">
        <f>CF!EI26</f>
      </c>
      <c r="EJ85" s="355">
        <f>CF!EJ26</f>
      </c>
      <c r="EK85" s="355">
        <f>CF!EK26</f>
      </c>
      <c r="EL85" s="356">
        <f>CF!EL26</f>
      </c>
      <c r="EM85" s="354">
        <f>CF!EM26</f>
      </c>
      <c r="EN85" s="355">
        <f>CF!EN26</f>
      </c>
      <c r="EO85" s="355">
        <f>CF!EO26</f>
      </c>
      <c r="EP85" s="355">
        <f>CF!EP26</f>
      </c>
      <c r="EQ85" s="356">
        <f>CF!EQ26</f>
      </c>
      <c r="ER85" s="354">
        <f>CF!ER26</f>
      </c>
      <c r="ES85" s="355">
        <f>CF!ES26</f>
      </c>
      <c r="ET85" s="355">
        <f>CF!ET26</f>
      </c>
      <c r="EU85" s="355">
        <f>CF!EU26</f>
      </c>
      <c r="EV85" s="356">
        <f>CF!EV26</f>
      </c>
      <c r="EW85" s="354">
        <f>CF!EW26</f>
      </c>
      <c r="EX85" s="355">
        <f>CF!EX26</f>
      </c>
      <c r="EY85" s="355">
        <f>CF!EY26</f>
      </c>
      <c r="EZ85" s="355">
        <f>CF!EZ26</f>
      </c>
      <c r="FA85" s="356">
        <f>CF!FA26</f>
      </c>
      <c r="FB85" s="354">
        <f>CF!FB26</f>
      </c>
      <c r="FC85" s="355">
        <f>CF!FC26</f>
      </c>
      <c r="FD85" s="355">
        <f>CF!FD26</f>
      </c>
      <c r="FE85" s="355">
        <f>CF!FE26</f>
      </c>
      <c r="FF85" s="356">
        <f>CF!FF26</f>
      </c>
      <c r="FG85" s="354">
        <f>CF!FG26</f>
      </c>
      <c r="FH85" s="355">
        <f>CF!FH26</f>
      </c>
      <c r="FI85" s="355">
        <f>CF!FI26</f>
      </c>
      <c r="FJ85" s="355">
        <f>CF!FJ26</f>
      </c>
      <c r="FK85" s="356">
        <f>CF!FK26</f>
      </c>
      <c r="FL85" s="354">
        <f>CF!FL26</f>
      </c>
      <c r="FM85" s="355">
        <f>CF!FM26</f>
      </c>
      <c r="FN85" s="355">
        <f>CF!FN26</f>
      </c>
      <c r="FO85" s="355">
        <f>CF!FO26</f>
      </c>
      <c r="FP85" s="356">
        <f>CF!FP26</f>
      </c>
      <c r="FQ85" s="354">
        <f>CF!FQ26</f>
      </c>
      <c r="FR85" s="355">
        <f>CF!FR26</f>
      </c>
      <c r="FS85" s="355">
        <f>CF!FS26</f>
      </c>
      <c r="FT85" s="355">
        <f>CF!FT26</f>
      </c>
      <c r="FU85" s="356">
        <f>CF!FU26</f>
      </c>
      <c r="FV85" s="354">
        <f>CF!FV26</f>
      </c>
      <c r="FW85" s="355">
        <f>CF!FW26</f>
      </c>
      <c r="FX85" s="355">
        <f>CF!FX26</f>
      </c>
      <c r="FY85" s="355">
        <f>CF!FY26</f>
      </c>
      <c r="FZ85" s="356">
        <f>CF!FZ26</f>
      </c>
      <c r="GA85" s="354">
        <f>CF!GA26</f>
      </c>
      <c r="GB85" s="355">
        <f>CF!GB26</f>
      </c>
      <c r="GC85" s="355">
        <f>CF!GC26</f>
      </c>
      <c r="GD85" s="355">
        <f>CF!GD26</f>
      </c>
      <c r="GE85" s="356">
        <f>CF!GE26</f>
      </c>
      <c r="GF85" s="354">
        <f>CF!GF26</f>
      </c>
      <c r="GG85" s="355">
        <f>CF!GG26</f>
      </c>
      <c r="GH85" s="355">
        <f>CF!GH26</f>
      </c>
      <c r="GI85" s="355">
        <f>CF!GI26</f>
      </c>
      <c r="GJ85" s="356">
        <f>CF!GJ26</f>
      </c>
    </row>
    <row r="86" spans="1:192" s="277" customFormat="1" ht="12.75" hidden="1" customHeight="1" outlineLevel="1">
      <c r="A86" s="274"/>
      <c r="B86" s="704"/>
      <c r="C86" s="354"/>
      <c r="D86" s="355"/>
      <c r="E86" s="355"/>
      <c r="F86" s="355"/>
      <c r="G86" s="356"/>
      <c r="H86" s="354"/>
      <c r="I86" s="355"/>
      <c r="J86" s="355"/>
      <c r="K86" s="355"/>
      <c r="L86" s="356"/>
      <c r="M86" s="354"/>
      <c r="N86" s="355"/>
      <c r="O86" s="355"/>
      <c r="P86" s="355"/>
      <c r="Q86" s="356"/>
      <c r="R86" s="354"/>
      <c r="S86" s="355"/>
      <c r="T86" s="355"/>
      <c r="U86" s="355"/>
      <c r="V86" s="356"/>
      <c r="W86" s="354"/>
      <c r="X86" s="355"/>
      <c r="Y86" s="355"/>
      <c r="Z86" s="355"/>
      <c r="AA86" s="356"/>
      <c r="AB86" s="354"/>
      <c r="AC86" s="355"/>
      <c r="AD86" s="355"/>
      <c r="AE86" s="355"/>
      <c r="AF86" s="356"/>
      <c r="AG86" s="354"/>
      <c r="AH86" s="355"/>
      <c r="AI86" s="355"/>
      <c r="AJ86" s="355"/>
      <c r="AK86" s="356"/>
      <c r="AL86" s="354"/>
      <c r="AM86" s="355"/>
      <c r="AN86" s="355"/>
      <c r="AO86" s="355"/>
      <c r="AP86" s="356"/>
      <c r="AQ86" s="354"/>
      <c r="AR86" s="355"/>
      <c r="AS86" s="355"/>
      <c r="AT86" s="355"/>
      <c r="AU86" s="356"/>
      <c r="AV86" s="354"/>
      <c r="AW86" s="355"/>
      <c r="AX86" s="355"/>
      <c r="AY86" s="355"/>
      <c r="AZ86" s="356"/>
      <c r="BA86" s="354"/>
      <c r="BB86" s="355"/>
      <c r="BC86" s="355"/>
      <c r="BD86" s="355"/>
      <c r="BE86" s="356"/>
      <c r="BF86" s="354"/>
      <c r="BG86" s="355"/>
      <c r="BH86" s="355"/>
      <c r="BI86" s="355"/>
      <c r="BJ86" s="356"/>
      <c r="BK86" s="354"/>
      <c r="BL86" s="355"/>
      <c r="BM86" s="355"/>
      <c r="BN86" s="355"/>
      <c r="BO86" s="356"/>
      <c r="BP86" s="354"/>
      <c r="BQ86" s="355"/>
      <c r="BR86" s="355"/>
      <c r="BS86" s="355"/>
      <c r="BT86" s="356"/>
      <c r="BU86" s="354"/>
      <c r="BV86" s="355"/>
      <c r="BW86" s="355"/>
      <c r="BX86" s="355"/>
      <c r="BY86" s="356"/>
      <c r="BZ86" s="354"/>
      <c r="CA86" s="355"/>
      <c r="CB86" s="355"/>
      <c r="CC86" s="355"/>
      <c r="CD86" s="356"/>
      <c r="CE86" s="354"/>
      <c r="CF86" s="355"/>
      <c r="CG86" s="355"/>
      <c r="CH86" s="355"/>
      <c r="CI86" s="356"/>
      <c r="CJ86" s="354"/>
      <c r="CK86" s="355"/>
      <c r="CL86" s="355"/>
      <c r="CM86" s="355"/>
      <c r="CN86" s="356"/>
      <c r="CO86" s="354"/>
      <c r="CP86" s="355"/>
      <c r="CQ86" s="355"/>
      <c r="CR86" s="355"/>
      <c r="CS86" s="356"/>
      <c r="CT86" s="354"/>
      <c r="CU86" s="355"/>
      <c r="CV86" s="355"/>
      <c r="CW86" s="355"/>
      <c r="CX86" s="356"/>
      <c r="CY86" s="354"/>
      <c r="CZ86" s="355"/>
      <c r="DA86" s="355"/>
      <c r="DB86" s="355"/>
      <c r="DC86" s="356"/>
      <c r="DD86" s="354"/>
      <c r="DE86" s="355"/>
      <c r="DF86" s="355"/>
      <c r="DG86" s="355"/>
      <c r="DH86" s="356"/>
      <c r="DI86" s="354"/>
      <c r="DJ86" s="355"/>
      <c r="DK86" s="355"/>
      <c r="DL86" s="355"/>
      <c r="DM86" s="356"/>
      <c r="DN86" s="354"/>
      <c r="DO86" s="355"/>
      <c r="DP86" s="355"/>
      <c r="DQ86" s="355"/>
      <c r="DR86" s="356"/>
      <c r="DS86" s="354"/>
      <c r="DT86" s="355"/>
      <c r="DU86" s="355"/>
      <c r="DV86" s="355"/>
      <c r="DW86" s="356"/>
      <c r="DX86" s="354"/>
      <c r="DY86" s="355"/>
      <c r="DZ86" s="355"/>
      <c r="EA86" s="355"/>
      <c r="EB86" s="356"/>
      <c r="EC86" s="354"/>
      <c r="ED86" s="355"/>
      <c r="EE86" s="355"/>
      <c r="EF86" s="355"/>
      <c r="EG86" s="356"/>
      <c r="EH86" s="354"/>
      <c r="EI86" s="355"/>
      <c r="EJ86" s="355"/>
      <c r="EK86" s="355"/>
      <c r="EL86" s="356"/>
      <c r="EM86" s="354"/>
      <c r="EN86" s="355"/>
      <c r="EO86" s="355"/>
      <c r="EP86" s="355"/>
      <c r="EQ86" s="356"/>
      <c r="ER86" s="354"/>
      <c r="ES86" s="355"/>
      <c r="ET86" s="355"/>
      <c r="EU86" s="355"/>
      <c r="EV86" s="356"/>
      <c r="EW86" s="354"/>
      <c r="EX86" s="355"/>
      <c r="EY86" s="355"/>
      <c r="EZ86" s="355"/>
      <c r="FA86" s="356"/>
      <c r="FB86" s="354"/>
      <c r="FC86" s="355"/>
      <c r="FD86" s="355"/>
      <c r="FE86" s="355"/>
      <c r="FF86" s="356"/>
      <c r="FG86" s="354"/>
      <c r="FH86" s="355"/>
      <c r="FI86" s="355"/>
      <c r="FJ86" s="355"/>
      <c r="FK86" s="356"/>
      <c r="FL86" s="354"/>
      <c r="FM86" s="355"/>
      <c r="FN86" s="355"/>
      <c r="FO86" s="355"/>
      <c r="FP86" s="356"/>
      <c r="FQ86" s="354"/>
      <c r="FR86" s="355"/>
      <c r="FS86" s="355"/>
      <c r="FT86" s="355"/>
      <c r="FU86" s="356"/>
      <c r="FV86" s="354"/>
      <c r="FW86" s="355"/>
      <c r="FX86" s="355"/>
      <c r="FY86" s="355"/>
      <c r="FZ86" s="356"/>
      <c r="GA86" s="354"/>
      <c r="GB86" s="355"/>
      <c r="GC86" s="355"/>
      <c r="GD86" s="355"/>
      <c r="GE86" s="356"/>
      <c r="GF86" s="354"/>
      <c r="GG86" s="355"/>
      <c r="GH86" s="355"/>
      <c r="GI86" s="355"/>
      <c r="GJ86" s="356"/>
    </row>
    <row r="87" spans="1:192" s="93" customFormat="1" ht="12.75" hidden="1" customHeight="1" outlineLevel="1">
      <c r="A87" s="81"/>
      <c r="B87" s="715" t="s">
        <v>281</v>
      </c>
      <c r="C87" s="128">
        <f t="shared" ref="C87:AH87" si="901">IFERROR((C32+C39)/C56,"")</f>
      </c>
      <c r="D87" s="129">
        <f t="shared" si="901"/>
      </c>
      <c r="E87" s="129">
        <f t="shared" si="901"/>
      </c>
      <c r="F87" s="129">
        <f t="shared" si="901"/>
      </c>
      <c r="G87" s="130">
        <f t="shared" si="901"/>
      </c>
      <c r="H87" s="128">
        <f t="shared" si="901"/>
      </c>
      <c r="I87" s="129">
        <f t="shared" si="901"/>
      </c>
      <c r="J87" s="129">
        <f t="shared" si="901"/>
      </c>
      <c r="K87" s="129">
        <f t="shared" si="901"/>
      </c>
      <c r="L87" s="130">
        <f t="shared" si="901"/>
      </c>
      <c r="M87" s="128">
        <f t="shared" si="901"/>
      </c>
      <c r="N87" s="129">
        <f t="shared" si="901"/>
      </c>
      <c r="O87" s="129">
        <f t="shared" si="901"/>
      </c>
      <c r="P87" s="129">
        <f t="shared" si="901"/>
      </c>
      <c r="Q87" s="130">
        <f t="shared" si="901"/>
      </c>
      <c r="R87" s="128">
        <f t="shared" si="901"/>
      </c>
      <c r="S87" s="129">
        <f t="shared" si="901"/>
      </c>
      <c r="T87" s="129">
        <f t="shared" si="901"/>
      </c>
      <c r="U87" s="129">
        <f t="shared" si="901"/>
      </c>
      <c r="V87" s="130">
        <f t="shared" si="901"/>
      </c>
      <c r="W87" s="128">
        <f t="shared" si="901"/>
      </c>
      <c r="X87" s="129">
        <f t="shared" si="901"/>
      </c>
      <c r="Y87" s="129">
        <f t="shared" si="901"/>
      </c>
      <c r="Z87" s="129">
        <f t="shared" si="901"/>
      </c>
      <c r="AA87" s="130">
        <f t="shared" si="901"/>
      </c>
      <c r="AB87" s="128">
        <f t="shared" si="901"/>
      </c>
      <c r="AC87" s="129">
        <f t="shared" si="901"/>
      </c>
      <c r="AD87" s="129">
        <f t="shared" si="901"/>
      </c>
      <c r="AE87" s="129">
        <f t="shared" si="901"/>
      </c>
      <c r="AF87" s="130">
        <f t="shared" si="901"/>
      </c>
      <c r="AG87" s="128">
        <f t="shared" si="901"/>
      </c>
      <c r="AH87" s="129">
        <f t="shared" si="901"/>
      </c>
      <c r="AI87" s="129">
        <f t="shared" ref="AI87:BN87" si="902">IFERROR((AI32+AI39)/AI56,"")</f>
      </c>
      <c r="AJ87" s="129">
        <f t="shared" si="902"/>
      </c>
      <c r="AK87" s="130">
        <f t="shared" si="902"/>
      </c>
      <c r="AL87" s="128">
        <f t="shared" si="902"/>
      </c>
      <c r="AM87" s="129">
        <f t="shared" si="902"/>
      </c>
      <c r="AN87" s="129">
        <f t="shared" si="902"/>
      </c>
      <c r="AO87" s="129">
        <f t="shared" si="902"/>
      </c>
      <c r="AP87" s="130">
        <f t="shared" si="902"/>
      </c>
      <c r="AQ87" s="128">
        <f t="shared" si="902"/>
      </c>
      <c r="AR87" s="129">
        <f t="shared" si="902"/>
      </c>
      <c r="AS87" s="129">
        <f t="shared" si="902"/>
      </c>
      <c r="AT87" s="129">
        <f t="shared" si="902"/>
      </c>
      <c r="AU87" s="130">
        <f t="shared" si="902"/>
      </c>
      <c r="AV87" s="128">
        <f t="shared" si="902"/>
      </c>
      <c r="AW87" s="129">
        <f t="shared" si="902"/>
      </c>
      <c r="AX87" s="129">
        <f t="shared" si="902"/>
      </c>
      <c r="AY87" s="129">
        <f t="shared" si="902"/>
      </c>
      <c r="AZ87" s="130">
        <f t="shared" si="902"/>
      </c>
      <c r="BA87" s="128">
        <f t="shared" si="902"/>
      </c>
      <c r="BB87" s="129">
        <f t="shared" si="902"/>
      </c>
      <c r="BC87" s="129">
        <f t="shared" si="902"/>
      </c>
      <c r="BD87" s="129">
        <f t="shared" si="902"/>
      </c>
      <c r="BE87" s="130">
        <f t="shared" si="902"/>
      </c>
      <c r="BF87" s="128">
        <f t="shared" si="902"/>
      </c>
      <c r="BG87" s="129">
        <f t="shared" si="902"/>
      </c>
      <c r="BH87" s="129">
        <f t="shared" si="902"/>
      </c>
      <c r="BI87" s="129">
        <f t="shared" si="902"/>
      </c>
      <c r="BJ87" s="130">
        <f t="shared" si="902"/>
      </c>
      <c r="BK87" s="128">
        <f t="shared" si="902"/>
      </c>
      <c r="BL87" s="129">
        <f t="shared" si="902"/>
      </c>
      <c r="BM87" s="129">
        <f t="shared" si="902"/>
      </c>
      <c r="BN87" s="129">
        <f t="shared" si="902"/>
      </c>
      <c r="BO87" s="130">
        <f t="shared" ref="BO87:CT87" si="903">IFERROR((BO32+BO39)/BO56,"")</f>
      </c>
      <c r="BP87" s="128">
        <f t="shared" si="903"/>
      </c>
      <c r="BQ87" s="129">
        <f t="shared" si="903"/>
      </c>
      <c r="BR87" s="129">
        <f t="shared" si="903"/>
      </c>
      <c r="BS87" s="129">
        <f t="shared" si="903"/>
      </c>
      <c r="BT87" s="130">
        <f t="shared" si="903"/>
      </c>
      <c r="BU87" s="128">
        <f t="shared" si="903"/>
      </c>
      <c r="BV87" s="129">
        <f t="shared" si="903"/>
      </c>
      <c r="BW87" s="129">
        <f t="shared" si="903"/>
      </c>
      <c r="BX87" s="129">
        <f t="shared" si="903"/>
      </c>
      <c r="BY87" s="130">
        <f t="shared" si="903"/>
      </c>
      <c r="BZ87" s="128">
        <f t="shared" si="903"/>
      </c>
      <c r="CA87" s="129">
        <f t="shared" si="903"/>
      </c>
      <c r="CB87" s="129">
        <f t="shared" si="903"/>
      </c>
      <c r="CC87" s="129">
        <f t="shared" si="903"/>
      </c>
      <c r="CD87" s="130">
        <f t="shared" si="903"/>
      </c>
      <c r="CE87" s="128">
        <f t="shared" si="903"/>
      </c>
      <c r="CF87" s="129">
        <f t="shared" si="903"/>
      </c>
      <c r="CG87" s="129">
        <f t="shared" si="903"/>
      </c>
      <c r="CH87" s="129">
        <f t="shared" si="903"/>
      </c>
      <c r="CI87" s="130">
        <f t="shared" si="903"/>
      </c>
      <c r="CJ87" s="128">
        <f t="shared" si="903"/>
      </c>
      <c r="CK87" s="129">
        <f t="shared" si="903"/>
      </c>
      <c r="CL87" s="129">
        <f t="shared" si="903"/>
      </c>
      <c r="CM87" s="129">
        <f t="shared" si="903"/>
      </c>
      <c r="CN87" s="130">
        <f t="shared" si="903"/>
      </c>
      <c r="CO87" s="128">
        <f t="shared" si="903"/>
      </c>
      <c r="CP87" s="129">
        <f t="shared" si="903"/>
      </c>
      <c r="CQ87" s="129">
        <f t="shared" si="903"/>
      </c>
      <c r="CR87" s="129">
        <f t="shared" si="903"/>
      </c>
      <c r="CS87" s="130">
        <f t="shared" si="903"/>
      </c>
      <c r="CT87" s="128">
        <f t="shared" si="903"/>
      </c>
      <c r="CU87" s="129">
        <f t="shared" ref="CU87:DZ87" si="904">IFERROR((CU32+CU39)/CU56,"")</f>
      </c>
      <c r="CV87" s="129">
        <f t="shared" si="904"/>
      </c>
      <c r="CW87" s="129">
        <f t="shared" si="904"/>
      </c>
      <c r="CX87" s="130">
        <f t="shared" si="904"/>
      </c>
      <c r="CY87" s="128">
        <f t="shared" si="904"/>
      </c>
      <c r="CZ87" s="129">
        <f t="shared" si="904"/>
      </c>
      <c r="DA87" s="129">
        <f t="shared" si="904"/>
      </c>
      <c r="DB87" s="129">
        <f t="shared" si="904"/>
      </c>
      <c r="DC87" s="130">
        <f t="shared" si="904"/>
      </c>
      <c r="DD87" s="128">
        <f t="shared" si="904"/>
      </c>
      <c r="DE87" s="129">
        <f t="shared" si="904"/>
      </c>
      <c r="DF87" s="129">
        <f t="shared" si="904"/>
      </c>
      <c r="DG87" s="129">
        <f t="shared" si="904"/>
      </c>
      <c r="DH87" s="130">
        <f t="shared" si="904"/>
      </c>
      <c r="DI87" s="128">
        <f t="shared" si="904"/>
      </c>
      <c r="DJ87" s="129">
        <f t="shared" si="904"/>
      </c>
      <c r="DK87" s="129">
        <f t="shared" si="904"/>
      </c>
      <c r="DL87" s="129">
        <f t="shared" si="904"/>
      </c>
      <c r="DM87" s="130">
        <f t="shared" si="904"/>
      </c>
      <c r="DN87" s="128">
        <f t="shared" si="904"/>
      </c>
      <c r="DO87" s="129">
        <f t="shared" si="904"/>
      </c>
      <c r="DP87" s="129">
        <f t="shared" si="904"/>
      </c>
      <c r="DQ87" s="129">
        <f t="shared" si="904"/>
      </c>
      <c r="DR87" s="130">
        <f t="shared" si="904"/>
      </c>
      <c r="DS87" s="128">
        <f t="shared" si="904"/>
      </c>
      <c r="DT87" s="129">
        <f t="shared" si="904"/>
      </c>
      <c r="DU87" s="129">
        <f t="shared" si="904"/>
      </c>
      <c r="DV87" s="129">
        <f t="shared" si="904"/>
      </c>
      <c r="DW87" s="130">
        <f t="shared" si="904"/>
      </c>
      <c r="DX87" s="128">
        <f t="shared" si="904"/>
      </c>
      <c r="DY87" s="129">
        <f t="shared" si="904"/>
      </c>
      <c r="DZ87" s="129">
        <f t="shared" si="904"/>
      </c>
      <c r="EA87" s="129">
        <f t="shared" ref="EA87:EY87" si="905">IFERROR((EA32+EA39)/EA56,"")</f>
      </c>
      <c r="EB87" s="130">
        <f t="shared" si="905"/>
      </c>
      <c r="EC87" s="128">
        <f t="shared" si="905"/>
      </c>
      <c r="ED87" s="129">
        <f t="shared" si="905"/>
      </c>
      <c r="EE87" s="129">
        <f t="shared" si="905"/>
      </c>
      <c r="EF87" s="129">
        <f t="shared" si="905"/>
      </c>
      <c r="EG87" s="130">
        <f t="shared" si="905"/>
      </c>
      <c r="EH87" s="128">
        <f t="shared" si="905"/>
      </c>
      <c r="EI87" s="129">
        <f t="shared" si="905"/>
      </c>
      <c r="EJ87" s="129">
        <f t="shared" si="905"/>
      </c>
      <c r="EK87" s="129">
        <f t="shared" si="905"/>
      </c>
      <c r="EL87" s="130">
        <f t="shared" si="905"/>
      </c>
      <c r="EM87" s="128">
        <f t="shared" si="905"/>
      </c>
      <c r="EN87" s="129">
        <f t="shared" si="905"/>
      </c>
      <c r="EO87" s="129">
        <f t="shared" si="905"/>
      </c>
      <c r="EP87" s="129">
        <f t="shared" si="905"/>
      </c>
      <c r="EQ87" s="130">
        <f t="shared" si="905"/>
      </c>
      <c r="ER87" s="128">
        <f t="shared" si="905"/>
      </c>
      <c r="ES87" s="129">
        <f t="shared" si="905"/>
      </c>
      <c r="ET87" s="129">
        <f t="shared" si="905"/>
      </c>
      <c r="EU87" s="129">
        <f t="shared" si="905"/>
      </c>
      <c r="EV87" s="130">
        <f t="shared" si="905"/>
      </c>
      <c r="EW87" s="128">
        <f t="shared" si="905"/>
      </c>
      <c r="EX87" s="129">
        <f t="shared" si="905"/>
      </c>
      <c r="EY87" s="129">
        <f t="shared" si="905"/>
      </c>
      <c r="EZ87" s="129">
        <f t="shared" ref="EZ87:FA87" si="906">IFERROR((EZ32+EZ39)/EZ56,"")</f>
      </c>
      <c r="FA87" s="130">
        <f t="shared" si="906"/>
      </c>
      <c r="FB87" s="757">
        <f t="shared" ref="FB87:FE87" si="907">EW87-5%</f>
      </c>
      <c r="FC87" s="755">
        <f t="shared" si="907"/>
      </c>
      <c r="FD87" s="755">
        <f t="shared" si="907"/>
      </c>
      <c r="FE87" s="755">
        <f t="shared" si="907"/>
      </c>
      <c r="FF87" s="130">
        <f>IFERROR((FF32+FF39)/FF56,"")</f>
      </c>
      <c r="FG87" s="757">
        <f t="shared" ref="FG87" si="908">FB87-5%</f>
      </c>
      <c r="FH87" s="755">
        <f t="shared" ref="FH87" si="909">FC87-5%</f>
      </c>
      <c r="FI87" s="755">
        <f t="shared" ref="FI87" si="910">FD87-5%</f>
      </c>
      <c r="FJ87" s="755">
        <f t="shared" ref="FJ87" si="911">FE87-5%</f>
      </c>
      <c r="FK87" s="130">
        <f>IFERROR((FK32+FK39)/FK56,"")</f>
      </c>
      <c r="FL87" s="757">
        <f t="shared" ref="FL87" si="912">FG87-5%</f>
      </c>
      <c r="FM87" s="755">
        <f t="shared" ref="FM87" si="913">FH87-5%</f>
      </c>
      <c r="FN87" s="755">
        <f t="shared" ref="FN87" si="914">FI87-5%</f>
      </c>
      <c r="FO87" s="755">
        <f t="shared" ref="FO87" si="915">FJ87-5%</f>
      </c>
      <c r="FP87" s="130">
        <f>IFERROR((FP32+FP39)/FP56,"")</f>
      </c>
      <c r="FQ87" s="757">
        <f t="shared" ref="FQ87" si="916">FL87-5%</f>
      </c>
      <c r="FR87" s="755">
        <f t="shared" ref="FR87" si="917">FM87-5%</f>
      </c>
      <c r="FS87" s="755">
        <f t="shared" ref="FS87" si="918">FN87-5%</f>
      </c>
      <c r="FT87" s="755">
        <f t="shared" ref="FT87" si="919">FO87-5%</f>
      </c>
      <c r="FU87" s="130">
        <f>IFERROR((FU32+FU39)/FU56,"")</f>
      </c>
      <c r="FV87" s="757">
        <f t="shared" ref="FV87" si="920">FQ87-5%</f>
      </c>
      <c r="FW87" s="755">
        <f t="shared" ref="FW87" si="921">FR87-5%</f>
      </c>
      <c r="FX87" s="755">
        <f t="shared" ref="FX87" si="922">FS87-5%</f>
      </c>
      <c r="FY87" s="755">
        <f t="shared" ref="FY87" si="923">FT87-5%</f>
      </c>
      <c r="FZ87" s="130">
        <f>IFERROR((FZ32+FZ39)/FZ56,"")</f>
      </c>
      <c r="GA87" s="757">
        <f t="shared" ref="GA87" si="924">FV87-5%</f>
      </c>
      <c r="GB87" s="755">
        <f t="shared" ref="GB87" si="925">FW87-5%</f>
      </c>
      <c r="GC87" s="755">
        <f t="shared" ref="GC87" si="926">FX87-5%</f>
      </c>
      <c r="GD87" s="755">
        <f t="shared" ref="GD87" si="927">FY87-5%</f>
      </c>
      <c r="GE87" s="130">
        <f>IFERROR((GE32+GE39)/GE56,"")</f>
      </c>
      <c r="GF87" s="757">
        <f t="shared" ref="GF87:GI87" si="928">GA87-8%</f>
      </c>
      <c r="GG87" s="755">
        <f t="shared" si="928"/>
      </c>
      <c r="GH87" s="755">
        <f t="shared" si="928"/>
      </c>
      <c r="GI87" s="755">
        <f t="shared" si="928"/>
      </c>
      <c r="GJ87" s="130">
        <f>IFERROR((GJ32+GJ39)/GJ56,"")</f>
      </c>
    </row>
    <row r="88" spans="1:192" s="93" customFormat="1" ht="12.75" hidden="1" customHeight="1" outlineLevel="1">
      <c r="A88" s="123"/>
      <c r="B88" s="704" t="s">
        <v>173</v>
      </c>
      <c r="C88" s="354">
        <f>CF!C28</f>
      </c>
      <c r="D88" s="355">
        <f>CF!D28</f>
      </c>
      <c r="E88" s="355">
        <f>CF!E28</f>
      </c>
      <c r="F88" s="355">
        <f>CF!F28</f>
      </c>
      <c r="G88" s="356">
        <f>CF!G28</f>
      </c>
      <c r="H88" s="354">
        <f>CF!H28</f>
      </c>
      <c r="I88" s="355">
        <f>CF!I28</f>
      </c>
      <c r="J88" s="355">
        <f>CF!J28</f>
      </c>
      <c r="K88" s="355">
        <f>CF!K28</f>
      </c>
      <c r="L88" s="356">
        <f>CF!L28</f>
      </c>
      <c r="M88" s="354">
        <f>CF!M28</f>
      </c>
      <c r="N88" s="355">
        <f>CF!N28</f>
      </c>
      <c r="O88" s="355">
        <f>CF!O28</f>
      </c>
      <c r="P88" s="355">
        <f>CF!P28</f>
      </c>
      <c r="Q88" s="356">
        <f>CF!Q28</f>
      </c>
      <c r="R88" s="354">
        <f>CF!R28</f>
      </c>
      <c r="S88" s="355">
        <f>CF!S28</f>
      </c>
      <c r="T88" s="355">
        <f>CF!T28</f>
      </c>
      <c r="U88" s="355">
        <f>CF!U28</f>
      </c>
      <c r="V88" s="356">
        <f>CF!V28</f>
      </c>
      <c r="W88" s="354">
        <f>CF!W28</f>
      </c>
      <c r="X88" s="355">
        <f>CF!X28</f>
      </c>
      <c r="Y88" s="355">
        <f>CF!Y28</f>
      </c>
      <c r="Z88" s="355">
        <f>CF!Z28</f>
      </c>
      <c r="AA88" s="356">
        <f>CF!AA28</f>
      </c>
      <c r="AB88" s="354">
        <f>CF!AB28</f>
      </c>
      <c r="AC88" s="355">
        <f>CF!AC28</f>
      </c>
      <c r="AD88" s="355">
        <f>CF!AD28</f>
      </c>
      <c r="AE88" s="355">
        <f>CF!AE28</f>
      </c>
      <c r="AF88" s="356">
        <f>CF!AF28</f>
      </c>
      <c r="AG88" s="354">
        <f>CF!AG28</f>
      </c>
      <c r="AH88" s="355">
        <f>CF!AH28</f>
      </c>
      <c r="AI88" s="355">
        <f>CF!AI28</f>
      </c>
      <c r="AJ88" s="355">
        <f>CF!AJ28</f>
      </c>
      <c r="AK88" s="356">
        <f>CF!AK28</f>
      </c>
      <c r="AL88" s="354">
        <f>CF!AL28</f>
      </c>
      <c r="AM88" s="355">
        <f>CF!AM28</f>
      </c>
      <c r="AN88" s="355">
        <f>CF!AN28</f>
      </c>
      <c r="AO88" s="355">
        <f>CF!AO28</f>
      </c>
      <c r="AP88" s="356">
        <f>CF!AP28</f>
      </c>
      <c r="AQ88" s="354">
        <f>CF!AQ28</f>
      </c>
      <c r="AR88" s="355">
        <f>CF!AR28</f>
      </c>
      <c r="AS88" s="355">
        <f>CF!AS28</f>
      </c>
      <c r="AT88" s="355">
        <f>CF!AT28</f>
      </c>
      <c r="AU88" s="356">
        <f>CF!AU28</f>
      </c>
      <c r="AV88" s="354">
        <f>CF!AV28</f>
      </c>
      <c r="AW88" s="355">
        <f>CF!AW28</f>
      </c>
      <c r="AX88" s="355">
        <f>CF!AX28</f>
      </c>
      <c r="AY88" s="355">
        <f>CF!AY28</f>
      </c>
      <c r="AZ88" s="356">
        <f>CF!AZ28</f>
      </c>
      <c r="BA88" s="354">
        <f>CF!BA28</f>
      </c>
      <c r="BB88" s="355">
        <f>CF!BB28</f>
      </c>
      <c r="BC88" s="355">
        <f>CF!BC28</f>
      </c>
      <c r="BD88" s="355">
        <f>CF!BD28</f>
      </c>
      <c r="BE88" s="356">
        <f>CF!BE28</f>
      </c>
      <c r="BF88" s="354">
        <f>CF!BF28</f>
      </c>
      <c r="BG88" s="355">
        <f>CF!BG28</f>
      </c>
      <c r="BH88" s="355">
        <f>CF!BH28</f>
      </c>
      <c r="BI88" s="355">
        <f>CF!BI28</f>
      </c>
      <c r="BJ88" s="356">
        <f>CF!BJ28</f>
      </c>
      <c r="BK88" s="354">
        <f>CF!BK28</f>
      </c>
      <c r="BL88" s="355">
        <f>CF!BL28</f>
      </c>
      <c r="BM88" s="355">
        <f>CF!BM28</f>
      </c>
      <c r="BN88" s="355">
        <f>CF!BN28</f>
      </c>
      <c r="BO88" s="356">
        <f>CF!BO28</f>
      </c>
      <c r="BP88" s="354">
        <f>CF!BP28</f>
      </c>
      <c r="BQ88" s="355">
        <f>CF!BQ28</f>
      </c>
      <c r="BR88" s="355">
        <f>CF!BR28</f>
      </c>
      <c r="BS88" s="355">
        <f>CF!BS28</f>
      </c>
      <c r="BT88" s="356">
        <f>CF!BT28</f>
      </c>
      <c r="BU88" s="354">
        <f>CF!BU28</f>
      </c>
      <c r="BV88" s="355">
        <f>CF!BV28</f>
      </c>
      <c r="BW88" s="355">
        <f>CF!BW28</f>
      </c>
      <c r="BX88" s="355">
        <f>CF!BX28</f>
      </c>
      <c r="BY88" s="356">
        <f>CF!BY28</f>
      </c>
      <c r="BZ88" s="354">
        <f>CF!BZ28</f>
      </c>
      <c r="CA88" s="355">
        <f>CF!CA28</f>
      </c>
      <c r="CB88" s="355">
        <f>CF!CB28</f>
      </c>
      <c r="CC88" s="355">
        <f>CF!CC28</f>
      </c>
      <c r="CD88" s="356">
        <f>CF!CD28</f>
      </c>
      <c r="CE88" s="354">
        <f>CF!CE28</f>
      </c>
      <c r="CF88" s="355">
        <f>CF!CF28</f>
      </c>
      <c r="CG88" s="355">
        <f>CF!CG28</f>
      </c>
      <c r="CH88" s="355">
        <f>CF!CH28</f>
      </c>
      <c r="CI88" s="356">
        <f>CF!CI28</f>
      </c>
      <c r="CJ88" s="354">
        <f>CF!CJ28</f>
      </c>
      <c r="CK88" s="355">
        <f>CF!CK28</f>
      </c>
      <c r="CL88" s="355">
        <f>CF!CL28</f>
      </c>
      <c r="CM88" s="355">
        <f>CF!CM28</f>
      </c>
      <c r="CN88" s="356">
        <f>CF!CN28</f>
      </c>
      <c r="CO88" s="354">
        <f>CF!CO28</f>
      </c>
      <c r="CP88" s="355">
        <f>CF!CP28</f>
      </c>
      <c r="CQ88" s="355">
        <f>CF!CQ28</f>
      </c>
      <c r="CR88" s="355">
        <f>CF!CR28</f>
      </c>
      <c r="CS88" s="356">
        <f>CF!CS28</f>
      </c>
      <c r="CT88" s="354">
        <f>CF!CT28</f>
      </c>
      <c r="CU88" s="355">
        <f>CF!CU28</f>
      </c>
      <c r="CV88" s="355">
        <f>CF!CV28</f>
      </c>
      <c r="CW88" s="355">
        <f>CF!CW28</f>
      </c>
      <c r="CX88" s="356">
        <f>CF!CX28</f>
      </c>
      <c r="CY88" s="354">
        <f>CF!CY28</f>
      </c>
      <c r="CZ88" s="355">
        <f>CF!CZ28</f>
      </c>
      <c r="DA88" s="355">
        <f>CF!DA28</f>
      </c>
      <c r="DB88" s="355">
        <f>CF!DB28</f>
      </c>
      <c r="DC88" s="356">
        <f>CF!DC28</f>
      </c>
      <c r="DD88" s="354">
        <f>CF!DD28</f>
      </c>
      <c r="DE88" s="355">
        <f>CF!DE28</f>
      </c>
      <c r="DF88" s="355">
        <f>CF!DF28</f>
      </c>
      <c r="DG88" s="355">
        <f>CF!DG28</f>
      </c>
      <c r="DH88" s="356">
        <f>CF!DH28</f>
      </c>
      <c r="DI88" s="354">
        <f>CF!DI28</f>
      </c>
      <c r="DJ88" s="355">
        <f>CF!DJ28</f>
      </c>
      <c r="DK88" s="355">
        <f>CF!DK28</f>
      </c>
      <c r="DL88" s="355">
        <f>CF!DL28</f>
      </c>
      <c r="DM88" s="356">
        <f>CF!DM28</f>
      </c>
      <c r="DN88" s="354">
        <f>CF!DN28</f>
      </c>
      <c r="DO88" s="355">
        <f>CF!DO28</f>
      </c>
      <c r="DP88" s="355">
        <f>CF!DP28</f>
      </c>
      <c r="DQ88" s="355">
        <f>CF!DQ28</f>
      </c>
      <c r="DR88" s="356">
        <f>CF!DR28</f>
      </c>
      <c r="DS88" s="354">
        <f>CF!DS28</f>
      </c>
      <c r="DT88" s="355">
        <f>CF!DT28</f>
      </c>
      <c r="DU88" s="355">
        <f>CF!DU28</f>
      </c>
      <c r="DV88" s="355">
        <f>CF!DV28</f>
      </c>
      <c r="DW88" s="356">
        <f>CF!DW28</f>
      </c>
      <c r="DX88" s="354">
        <f>CF!DX28</f>
      </c>
      <c r="DY88" s="355">
        <f>CF!DY28</f>
      </c>
      <c r="DZ88" s="355">
        <f>CF!DZ28</f>
      </c>
      <c r="EA88" s="355">
        <f>CF!EA28</f>
      </c>
      <c r="EB88" s="356">
        <f>CF!EB28</f>
      </c>
      <c r="EC88" s="354">
        <f>CF!EC28</f>
      </c>
      <c r="ED88" s="355">
        <f>CF!ED28</f>
      </c>
      <c r="EE88" s="355">
        <f>CF!EE28</f>
      </c>
      <c r="EF88" s="355">
        <f>CF!EF28</f>
      </c>
      <c r="EG88" s="356">
        <f>CF!EG28</f>
      </c>
      <c r="EH88" s="354">
        <f>CF!EH28</f>
      </c>
      <c r="EI88" s="355">
        <f>CF!EI28</f>
      </c>
      <c r="EJ88" s="355">
        <f>CF!EJ28</f>
      </c>
      <c r="EK88" s="355">
        <f>CF!EK28</f>
      </c>
      <c r="EL88" s="356">
        <f>CF!EL28</f>
      </c>
      <c r="EM88" s="354">
        <f>CF!EM28</f>
      </c>
      <c r="EN88" s="355">
        <f>CF!EN28</f>
      </c>
      <c r="EO88" s="355">
        <f>CF!EO28</f>
      </c>
      <c r="EP88" s="355">
        <f>CF!EP28</f>
      </c>
      <c r="EQ88" s="356">
        <f>CF!EQ28</f>
      </c>
      <c r="ER88" s="354">
        <f>CF!ER28</f>
      </c>
      <c r="ES88" s="355">
        <f>CF!ES28</f>
      </c>
      <c r="ET88" s="355">
        <f>CF!ET28</f>
      </c>
      <c r="EU88" s="355">
        <f>CF!EU28</f>
      </c>
      <c r="EV88" s="356">
        <f>CF!EV28</f>
      </c>
      <c r="EW88" s="354">
        <f>CF!EW28</f>
      </c>
      <c r="EX88" s="355">
        <f>CF!EX28</f>
      </c>
      <c r="EY88" s="355">
        <f>CF!EY28</f>
      </c>
      <c r="EZ88" s="355">
        <f>CF!EZ28</f>
      </c>
      <c r="FA88" s="356">
        <f>CF!FA28</f>
      </c>
      <c r="FB88" s="354">
        <f>CF!FB28</f>
      </c>
      <c r="FC88" s="355">
        <f>CF!FC28</f>
      </c>
      <c r="FD88" s="355">
        <f>CF!FD28</f>
      </c>
      <c r="FE88" s="355">
        <f>CF!FE28</f>
      </c>
      <c r="FF88" s="356">
        <f>CF!FF28</f>
      </c>
      <c r="FG88" s="354">
        <f>CF!FG28</f>
      </c>
      <c r="FH88" s="355">
        <f>CF!FH28</f>
      </c>
      <c r="FI88" s="355">
        <f>CF!FI28</f>
      </c>
      <c r="FJ88" s="355">
        <f>CF!FJ28</f>
      </c>
      <c r="FK88" s="356">
        <f>CF!FK28</f>
      </c>
      <c r="FL88" s="354">
        <f>CF!FL28</f>
      </c>
      <c r="FM88" s="355">
        <f>CF!FM28</f>
      </c>
      <c r="FN88" s="355">
        <f>CF!FN28</f>
      </c>
      <c r="FO88" s="355">
        <f>CF!FO28</f>
      </c>
      <c r="FP88" s="356">
        <f>CF!FP28</f>
      </c>
      <c r="FQ88" s="354">
        <f>CF!FQ28</f>
      </c>
      <c r="FR88" s="355">
        <f>CF!FR28</f>
      </c>
      <c r="FS88" s="355">
        <f>CF!FS28</f>
      </c>
      <c r="FT88" s="355">
        <f>CF!FT28</f>
      </c>
      <c r="FU88" s="356">
        <f>CF!FU28</f>
      </c>
      <c r="FV88" s="354">
        <f>CF!FV28</f>
      </c>
      <c r="FW88" s="355">
        <f>CF!FW28</f>
      </c>
      <c r="FX88" s="355">
        <f>CF!FX28</f>
      </c>
      <c r="FY88" s="355">
        <f>CF!FY28</f>
      </c>
      <c r="FZ88" s="356">
        <f>CF!FZ28</f>
      </c>
      <c r="GA88" s="354">
        <f>CF!GA28</f>
      </c>
      <c r="GB88" s="355">
        <f>CF!GB28</f>
      </c>
      <c r="GC88" s="355">
        <f>CF!GC28</f>
      </c>
      <c r="GD88" s="355">
        <f>CF!GD28</f>
      </c>
      <c r="GE88" s="356">
        <f>CF!GE28</f>
      </c>
      <c r="GF88" s="354">
        <f>CF!GF28</f>
      </c>
      <c r="GG88" s="355">
        <f>CF!GG28</f>
      </c>
      <c r="GH88" s="355">
        <f>CF!GH28</f>
      </c>
      <c r="GI88" s="355">
        <f>CF!GI28</f>
      </c>
      <c r="GJ88" s="356">
        <f>CF!GJ28</f>
      </c>
    </row>
    <row r="89" spans="1:192" s="277" customFormat="1" ht="12.75" hidden="1" customHeight="1" outlineLevel="1">
      <c r="A89" s="274"/>
      <c r="B89" s="704" t="s">
        <v>306</v>
      </c>
      <c r="C89" s="764">
        <f t="shared" ref="C89:AH89" si="929">IFERROR(C32/C56,"")</f>
      </c>
      <c r="D89" s="137">
        <f t="shared" si="929"/>
      </c>
      <c r="E89" s="137">
        <f t="shared" si="929"/>
      </c>
      <c r="F89" s="137">
        <f t="shared" si="929"/>
      </c>
      <c r="G89" s="765">
        <f t="shared" si="929"/>
      </c>
      <c r="H89" s="764">
        <f t="shared" si="929"/>
      </c>
      <c r="I89" s="137">
        <f t="shared" si="929"/>
      </c>
      <c r="J89" s="137">
        <f t="shared" si="929"/>
      </c>
      <c r="K89" s="137">
        <f t="shared" si="929"/>
      </c>
      <c r="L89" s="765">
        <f t="shared" si="929"/>
      </c>
      <c r="M89" s="764">
        <f t="shared" si="929"/>
      </c>
      <c r="N89" s="137">
        <f t="shared" si="929"/>
      </c>
      <c r="O89" s="137">
        <f t="shared" si="929"/>
      </c>
      <c r="P89" s="137">
        <f t="shared" si="929"/>
      </c>
      <c r="Q89" s="765">
        <f t="shared" si="929"/>
      </c>
      <c r="R89" s="764">
        <f t="shared" si="929"/>
      </c>
      <c r="S89" s="137">
        <f t="shared" si="929"/>
      </c>
      <c r="T89" s="137">
        <f t="shared" si="929"/>
      </c>
      <c r="U89" s="137">
        <f t="shared" si="929"/>
      </c>
      <c r="V89" s="765">
        <f t="shared" si="929"/>
      </c>
      <c r="W89" s="764">
        <f t="shared" si="929"/>
      </c>
      <c r="X89" s="137">
        <f t="shared" si="929"/>
      </c>
      <c r="Y89" s="137">
        <f t="shared" si="929"/>
      </c>
      <c r="Z89" s="137">
        <f t="shared" si="929"/>
      </c>
      <c r="AA89" s="765">
        <f t="shared" si="929"/>
      </c>
      <c r="AB89" s="764">
        <f t="shared" si="929"/>
      </c>
      <c r="AC89" s="137">
        <f t="shared" si="929"/>
      </c>
      <c r="AD89" s="137">
        <f t="shared" si="929"/>
      </c>
      <c r="AE89" s="137">
        <f t="shared" si="929"/>
      </c>
      <c r="AF89" s="765">
        <f t="shared" si="929"/>
      </c>
      <c r="AG89" s="764">
        <f t="shared" si="929"/>
      </c>
      <c r="AH89" s="137">
        <f t="shared" si="929"/>
      </c>
      <c r="AI89" s="137">
        <f t="shared" ref="AI89:BN89" si="930">IFERROR(AI32/AI56,"")</f>
      </c>
      <c r="AJ89" s="137">
        <f t="shared" si="930"/>
      </c>
      <c r="AK89" s="765">
        <f t="shared" si="930"/>
      </c>
      <c r="AL89" s="764">
        <f t="shared" si="930"/>
      </c>
      <c r="AM89" s="137">
        <f t="shared" si="930"/>
      </c>
      <c r="AN89" s="137">
        <f t="shared" si="930"/>
      </c>
      <c r="AO89" s="137">
        <f t="shared" si="930"/>
      </c>
      <c r="AP89" s="765">
        <f t="shared" si="930"/>
      </c>
      <c r="AQ89" s="764">
        <f t="shared" si="930"/>
      </c>
      <c r="AR89" s="137">
        <f t="shared" si="930"/>
      </c>
      <c r="AS89" s="137">
        <f t="shared" si="930"/>
      </c>
      <c r="AT89" s="137">
        <f t="shared" si="930"/>
      </c>
      <c r="AU89" s="765">
        <f t="shared" si="930"/>
      </c>
      <c r="AV89" s="764">
        <f t="shared" si="930"/>
      </c>
      <c r="AW89" s="137">
        <f t="shared" si="930"/>
      </c>
      <c r="AX89" s="137">
        <f t="shared" si="930"/>
      </c>
      <c r="AY89" s="137">
        <f t="shared" si="930"/>
      </c>
      <c r="AZ89" s="765">
        <f t="shared" si="930"/>
      </c>
      <c r="BA89" s="764">
        <f t="shared" si="930"/>
      </c>
      <c r="BB89" s="137">
        <f t="shared" si="930"/>
      </c>
      <c r="BC89" s="137">
        <f t="shared" si="930"/>
      </c>
      <c r="BD89" s="137">
        <f t="shared" si="930"/>
      </c>
      <c r="BE89" s="765">
        <f t="shared" si="930"/>
      </c>
      <c r="BF89" s="764">
        <f t="shared" si="930"/>
      </c>
      <c r="BG89" s="137">
        <f t="shared" si="930"/>
      </c>
      <c r="BH89" s="137">
        <f t="shared" si="930"/>
      </c>
      <c r="BI89" s="137">
        <f t="shared" si="930"/>
      </c>
      <c r="BJ89" s="765">
        <f t="shared" si="930"/>
      </c>
      <c r="BK89" s="764">
        <f t="shared" si="930"/>
      </c>
      <c r="BL89" s="137">
        <f t="shared" si="930"/>
      </c>
      <c r="BM89" s="137">
        <f t="shared" si="930"/>
      </c>
      <c r="BN89" s="137">
        <f t="shared" si="930"/>
      </c>
      <c r="BO89" s="765">
        <f t="shared" ref="BO89:CT89" si="931">IFERROR(BO32/BO56,"")</f>
      </c>
      <c r="BP89" s="764">
        <f t="shared" si="931"/>
      </c>
      <c r="BQ89" s="137">
        <f t="shared" si="931"/>
      </c>
      <c r="BR89" s="137">
        <f t="shared" si="931"/>
      </c>
      <c r="BS89" s="137">
        <f t="shared" si="931"/>
      </c>
      <c r="BT89" s="765">
        <f t="shared" si="931"/>
      </c>
      <c r="BU89" s="764">
        <f t="shared" si="931"/>
      </c>
      <c r="BV89" s="137">
        <f t="shared" si="931"/>
      </c>
      <c r="BW89" s="137">
        <f t="shared" si="931"/>
      </c>
      <c r="BX89" s="137">
        <f t="shared" si="931"/>
      </c>
      <c r="BY89" s="765">
        <f t="shared" si="931"/>
      </c>
      <c r="BZ89" s="764">
        <f t="shared" si="931"/>
      </c>
      <c r="CA89" s="137">
        <f t="shared" si="931"/>
      </c>
      <c r="CB89" s="137">
        <f t="shared" si="931"/>
      </c>
      <c r="CC89" s="137">
        <f t="shared" si="931"/>
      </c>
      <c r="CD89" s="765">
        <f t="shared" si="931"/>
      </c>
      <c r="CE89" s="764">
        <f t="shared" si="931"/>
      </c>
      <c r="CF89" s="137">
        <f t="shared" si="931"/>
      </c>
      <c r="CG89" s="137">
        <f t="shared" si="931"/>
      </c>
      <c r="CH89" s="137">
        <f t="shared" si="931"/>
      </c>
      <c r="CI89" s="765">
        <f t="shared" si="931"/>
      </c>
      <c r="CJ89" s="764">
        <f t="shared" si="931"/>
      </c>
      <c r="CK89" s="137">
        <f t="shared" si="931"/>
      </c>
      <c r="CL89" s="137">
        <f t="shared" si="931"/>
      </c>
      <c r="CM89" s="137">
        <f t="shared" si="931"/>
      </c>
      <c r="CN89" s="765">
        <f t="shared" si="931"/>
      </c>
      <c r="CO89" s="764">
        <f t="shared" si="931"/>
      </c>
      <c r="CP89" s="137">
        <f t="shared" si="931"/>
      </c>
      <c r="CQ89" s="137">
        <f t="shared" si="931"/>
      </c>
      <c r="CR89" s="137">
        <f t="shared" si="931"/>
      </c>
      <c r="CS89" s="765">
        <f t="shared" si="931"/>
      </c>
      <c r="CT89" s="764">
        <f t="shared" si="931"/>
      </c>
      <c r="CU89" s="137">
        <f t="shared" ref="CU89:DZ89" si="932">IFERROR(CU32/CU56,"")</f>
      </c>
      <c r="CV89" s="137">
        <f t="shared" si="932"/>
      </c>
      <c r="CW89" s="137">
        <f t="shared" si="932"/>
      </c>
      <c r="CX89" s="765">
        <f t="shared" si="932"/>
      </c>
      <c r="CY89" s="764">
        <f t="shared" si="932"/>
      </c>
      <c r="CZ89" s="137">
        <f t="shared" si="932"/>
      </c>
      <c r="DA89" s="137">
        <f t="shared" si="932"/>
      </c>
      <c r="DB89" s="137">
        <f t="shared" si="932"/>
      </c>
      <c r="DC89" s="765">
        <f t="shared" si="932"/>
      </c>
      <c r="DD89" s="764">
        <f t="shared" si="932"/>
      </c>
      <c r="DE89" s="137">
        <f t="shared" si="932"/>
      </c>
      <c r="DF89" s="137">
        <f t="shared" si="932"/>
      </c>
      <c r="DG89" s="137">
        <f t="shared" si="932"/>
      </c>
      <c r="DH89" s="765">
        <f t="shared" si="932"/>
      </c>
      <c r="DI89" s="764">
        <f t="shared" si="932"/>
      </c>
      <c r="DJ89" s="137">
        <f t="shared" si="932"/>
      </c>
      <c r="DK89" s="137">
        <f t="shared" si="932"/>
      </c>
      <c r="DL89" s="137">
        <f t="shared" si="932"/>
      </c>
      <c r="DM89" s="765">
        <f t="shared" si="932"/>
      </c>
      <c r="DN89" s="764">
        <f t="shared" si="932"/>
      </c>
      <c r="DO89" s="137">
        <f t="shared" si="932"/>
      </c>
      <c r="DP89" s="137">
        <f t="shared" si="932"/>
      </c>
      <c r="DQ89" s="137">
        <f t="shared" si="932"/>
      </c>
      <c r="DR89" s="765">
        <f t="shared" si="932"/>
      </c>
      <c r="DS89" s="764">
        <f t="shared" si="932"/>
      </c>
      <c r="DT89" s="137">
        <f t="shared" si="932"/>
      </c>
      <c r="DU89" s="137">
        <f t="shared" si="932"/>
      </c>
      <c r="DV89" s="137">
        <f t="shared" si="932"/>
      </c>
      <c r="DW89" s="765">
        <f t="shared" si="932"/>
      </c>
      <c r="DX89" s="764">
        <f t="shared" si="932"/>
      </c>
      <c r="DY89" s="137">
        <f t="shared" si="932"/>
      </c>
      <c r="DZ89" s="137">
        <f t="shared" si="932"/>
      </c>
      <c r="EA89" s="137">
        <f t="shared" ref="EA89:FF89" si="933">IFERROR(EA32/EA56,"")</f>
      </c>
      <c r="EB89" s="765">
        <f t="shared" si="933"/>
      </c>
      <c r="EC89" s="764">
        <f t="shared" si="933"/>
      </c>
      <c r="ED89" s="137">
        <f t="shared" si="933"/>
      </c>
      <c r="EE89" s="137">
        <f t="shared" si="933"/>
      </c>
      <c r="EF89" s="137">
        <f t="shared" si="933"/>
      </c>
      <c r="EG89" s="765">
        <f t="shared" si="933"/>
      </c>
      <c r="EH89" s="764">
        <f t="shared" si="933"/>
      </c>
      <c r="EI89" s="137">
        <f t="shared" si="933"/>
      </c>
      <c r="EJ89" s="137">
        <f t="shared" si="933"/>
      </c>
      <c r="EK89" s="137">
        <f t="shared" si="933"/>
      </c>
      <c r="EL89" s="765">
        <f t="shared" si="933"/>
      </c>
      <c r="EM89" s="764">
        <f t="shared" si="933"/>
      </c>
      <c r="EN89" s="137">
        <f t="shared" si="933"/>
      </c>
      <c r="EO89" s="137">
        <f t="shared" si="933"/>
      </c>
      <c r="EP89" s="137">
        <f t="shared" si="933"/>
      </c>
      <c r="EQ89" s="765">
        <f t="shared" si="933"/>
      </c>
      <c r="ER89" s="764">
        <f t="shared" si="933"/>
      </c>
      <c r="ES89" s="137">
        <f t="shared" si="933"/>
      </c>
      <c r="ET89" s="137">
        <f t="shared" si="933"/>
      </c>
      <c r="EU89" s="137">
        <f t="shared" si="933"/>
      </c>
      <c r="EV89" s="765">
        <f t="shared" si="933"/>
      </c>
      <c r="EW89" s="764">
        <f t="shared" si="933"/>
      </c>
      <c r="EX89" s="137">
        <f t="shared" si="933"/>
      </c>
      <c r="EY89" s="137">
        <f t="shared" si="933"/>
      </c>
      <c r="EZ89" s="137">
        <f t="shared" ref="EZ89:FA89" si="934">IFERROR(EZ32/EZ56,"")</f>
      </c>
      <c r="FA89" s="765">
        <f t="shared" si="934"/>
      </c>
      <c r="FB89" s="764">
        <f t="shared" si="933"/>
      </c>
      <c r="FC89" s="137">
        <f t="shared" si="933"/>
      </c>
      <c r="FD89" s="137">
        <f t="shared" si="933"/>
      </c>
      <c r="FE89" s="137">
        <f t="shared" si="933"/>
      </c>
      <c r="FF89" s="765">
        <f t="shared" si="933"/>
      </c>
      <c r="FG89" s="764">
        <f t="shared" ref="FG89:FJ89" si="935">IFERROR(FG32/FG56,"")</f>
      </c>
      <c r="FH89" s="137">
        <f t="shared" si="935"/>
      </c>
      <c r="FI89" s="137">
        <f t="shared" si="935"/>
      </c>
      <c r="FJ89" s="137">
        <f t="shared" si="935"/>
      </c>
      <c r="FK89" s="765">
        <f t="shared" ref="FK89:FZ89" si="936">IFERROR(FK32/FK56,"")</f>
      </c>
      <c r="FL89" s="764">
        <f t="shared" si="936"/>
      </c>
      <c r="FM89" s="137">
        <f t="shared" si="936"/>
      </c>
      <c r="FN89" s="137">
        <f t="shared" si="936"/>
      </c>
      <c r="FO89" s="137">
        <f t="shared" si="936"/>
      </c>
      <c r="FP89" s="765">
        <f t="shared" si="936"/>
      </c>
      <c r="FQ89" s="764">
        <f t="shared" ref="FQ89:FT89" si="937">IFERROR(FQ32/FQ56,"")</f>
      </c>
      <c r="FR89" s="137">
        <f t="shared" si="937"/>
      </c>
      <c r="FS89" s="137">
        <f t="shared" si="937"/>
      </c>
      <c r="FT89" s="137">
        <f t="shared" si="937"/>
      </c>
      <c r="FU89" s="765">
        <f t="shared" si="936"/>
      </c>
      <c r="FV89" s="764">
        <f t="shared" si="936"/>
      </c>
      <c r="FW89" s="137">
        <f t="shared" si="936"/>
      </c>
      <c r="FX89" s="137">
        <f t="shared" si="936"/>
      </c>
      <c r="FY89" s="137">
        <f t="shared" si="936"/>
      </c>
      <c r="FZ89" s="765">
        <f t="shared" si="936"/>
      </c>
      <c r="GA89" s="764">
        <f t="shared" ref="GA89:GE89" si="938">IFERROR(GA32/GA56,"")</f>
      </c>
      <c r="GB89" s="137">
        <f t="shared" si="938"/>
      </c>
      <c r="GC89" s="137">
        <f t="shared" si="938"/>
      </c>
      <c r="GD89" s="137">
        <f t="shared" si="938"/>
      </c>
      <c r="GE89" s="765">
        <f t="shared" si="938"/>
      </c>
      <c r="GF89" s="764">
        <f t="shared" ref="GF89:GJ89" si="939">IFERROR(GF32/GF56,"")</f>
      </c>
      <c r="GG89" s="137">
        <f t="shared" si="939"/>
      </c>
      <c r="GH89" s="137">
        <f t="shared" si="939"/>
      </c>
      <c r="GI89" s="137">
        <f t="shared" si="939"/>
      </c>
      <c r="GJ89" s="765">
        <f t="shared" si="939"/>
      </c>
    </row>
    <row r="90" spans="1:192" s="277" customFormat="1" ht="12.75" hidden="1" customHeight="1" outlineLevel="1">
      <c r="A90" s="274"/>
      <c r="B90" s="719" t="s">
        <v>305</v>
      </c>
      <c r="C90" s="764">
        <f t="shared" ref="C90:AH90" si="940">IFERROR(C32/(C32+C39),"")</f>
      </c>
      <c r="D90" s="137">
        <f t="shared" si="940"/>
      </c>
      <c r="E90" s="137">
        <f t="shared" si="940"/>
      </c>
      <c r="F90" s="137">
        <f t="shared" si="940"/>
      </c>
      <c r="G90" s="765">
        <f t="shared" si="940"/>
      </c>
      <c r="H90" s="764">
        <f t="shared" si="940"/>
      </c>
      <c r="I90" s="137">
        <f t="shared" si="940"/>
      </c>
      <c r="J90" s="137">
        <f t="shared" si="940"/>
      </c>
      <c r="K90" s="137">
        <f t="shared" si="940"/>
      </c>
      <c r="L90" s="765">
        <f t="shared" si="940"/>
      </c>
      <c r="M90" s="764">
        <f t="shared" si="940"/>
      </c>
      <c r="N90" s="137">
        <f t="shared" si="940"/>
      </c>
      <c r="O90" s="137">
        <f t="shared" si="940"/>
      </c>
      <c r="P90" s="137">
        <f t="shared" si="940"/>
      </c>
      <c r="Q90" s="765">
        <f t="shared" si="940"/>
      </c>
      <c r="R90" s="764">
        <f t="shared" si="940"/>
      </c>
      <c r="S90" s="137">
        <f t="shared" si="940"/>
      </c>
      <c r="T90" s="137">
        <f t="shared" si="940"/>
      </c>
      <c r="U90" s="137">
        <f t="shared" si="940"/>
      </c>
      <c r="V90" s="765">
        <f t="shared" si="940"/>
      </c>
      <c r="W90" s="764">
        <f t="shared" si="940"/>
      </c>
      <c r="X90" s="137">
        <f t="shared" si="940"/>
      </c>
      <c r="Y90" s="137">
        <f t="shared" si="940"/>
      </c>
      <c r="Z90" s="137">
        <f t="shared" si="940"/>
      </c>
      <c r="AA90" s="765">
        <f t="shared" si="940"/>
      </c>
      <c r="AB90" s="764">
        <f t="shared" si="940"/>
      </c>
      <c r="AC90" s="137">
        <f t="shared" si="940"/>
      </c>
      <c r="AD90" s="137">
        <f t="shared" si="940"/>
      </c>
      <c r="AE90" s="137">
        <f t="shared" si="940"/>
      </c>
      <c r="AF90" s="765">
        <f t="shared" si="940"/>
      </c>
      <c r="AG90" s="764">
        <f t="shared" si="940"/>
      </c>
      <c r="AH90" s="137">
        <f t="shared" si="940"/>
      </c>
      <c r="AI90" s="137">
        <f t="shared" ref="AI90:BN90" si="941">IFERROR(AI32/(AI32+AI39),"")</f>
      </c>
      <c r="AJ90" s="137">
        <f t="shared" si="941"/>
      </c>
      <c r="AK90" s="765">
        <f t="shared" si="941"/>
      </c>
      <c r="AL90" s="764">
        <f t="shared" si="941"/>
      </c>
      <c r="AM90" s="137">
        <f t="shared" si="941"/>
      </c>
      <c r="AN90" s="137">
        <f t="shared" si="941"/>
      </c>
      <c r="AO90" s="137">
        <f t="shared" si="941"/>
      </c>
      <c r="AP90" s="765">
        <f t="shared" si="941"/>
      </c>
      <c r="AQ90" s="764">
        <f t="shared" si="941"/>
      </c>
      <c r="AR90" s="137">
        <f t="shared" si="941"/>
      </c>
      <c r="AS90" s="137">
        <f t="shared" si="941"/>
      </c>
      <c r="AT90" s="137">
        <f t="shared" si="941"/>
      </c>
      <c r="AU90" s="765">
        <f t="shared" si="941"/>
      </c>
      <c r="AV90" s="764">
        <f t="shared" si="941"/>
      </c>
      <c r="AW90" s="137">
        <f t="shared" si="941"/>
      </c>
      <c r="AX90" s="137">
        <f t="shared" si="941"/>
      </c>
      <c r="AY90" s="137">
        <f t="shared" si="941"/>
      </c>
      <c r="AZ90" s="765">
        <f t="shared" si="941"/>
      </c>
      <c r="BA90" s="764">
        <f t="shared" si="941"/>
      </c>
      <c r="BB90" s="137">
        <f t="shared" si="941"/>
      </c>
      <c r="BC90" s="137">
        <f t="shared" si="941"/>
      </c>
      <c r="BD90" s="137">
        <f t="shared" si="941"/>
      </c>
      <c r="BE90" s="765">
        <f t="shared" si="941"/>
      </c>
      <c r="BF90" s="764">
        <f t="shared" si="941"/>
      </c>
      <c r="BG90" s="137">
        <f t="shared" si="941"/>
      </c>
      <c r="BH90" s="137">
        <f t="shared" si="941"/>
      </c>
      <c r="BI90" s="137">
        <f t="shared" si="941"/>
      </c>
      <c r="BJ90" s="765">
        <f t="shared" si="941"/>
      </c>
      <c r="BK90" s="764">
        <f t="shared" si="941"/>
      </c>
      <c r="BL90" s="137">
        <f t="shared" si="941"/>
      </c>
      <c r="BM90" s="137">
        <f t="shared" si="941"/>
      </c>
      <c r="BN90" s="137">
        <f t="shared" si="941"/>
      </c>
      <c r="BO90" s="765">
        <f t="shared" ref="BO90:CT90" si="942">IFERROR(BO32/(BO32+BO39),"")</f>
      </c>
      <c r="BP90" s="764">
        <f t="shared" si="942"/>
      </c>
      <c r="BQ90" s="137">
        <f t="shared" si="942"/>
      </c>
      <c r="BR90" s="137">
        <f t="shared" si="942"/>
      </c>
      <c r="BS90" s="137">
        <f t="shared" si="942"/>
      </c>
      <c r="BT90" s="765">
        <f t="shared" si="942"/>
      </c>
      <c r="BU90" s="764">
        <f t="shared" si="942"/>
      </c>
      <c r="BV90" s="137">
        <f t="shared" si="942"/>
      </c>
      <c r="BW90" s="137">
        <f t="shared" si="942"/>
      </c>
      <c r="BX90" s="137">
        <f t="shared" si="942"/>
      </c>
      <c r="BY90" s="765">
        <f t="shared" si="942"/>
      </c>
      <c r="BZ90" s="764">
        <f t="shared" si="942"/>
      </c>
      <c r="CA90" s="137">
        <f t="shared" si="942"/>
      </c>
      <c r="CB90" s="137">
        <f t="shared" si="942"/>
      </c>
      <c r="CC90" s="137">
        <f t="shared" si="942"/>
      </c>
      <c r="CD90" s="765">
        <f t="shared" si="942"/>
      </c>
      <c r="CE90" s="764">
        <f t="shared" si="942"/>
      </c>
      <c r="CF90" s="137">
        <f t="shared" si="942"/>
      </c>
      <c r="CG90" s="137">
        <f t="shared" si="942"/>
      </c>
      <c r="CH90" s="137">
        <f t="shared" si="942"/>
      </c>
      <c r="CI90" s="765">
        <f t="shared" si="942"/>
      </c>
      <c r="CJ90" s="764">
        <f t="shared" si="942"/>
      </c>
      <c r="CK90" s="137">
        <f t="shared" si="942"/>
      </c>
      <c r="CL90" s="137">
        <f t="shared" si="942"/>
      </c>
      <c r="CM90" s="137">
        <f t="shared" si="942"/>
      </c>
      <c r="CN90" s="765">
        <f t="shared" si="942"/>
      </c>
      <c r="CO90" s="764">
        <f t="shared" si="942"/>
      </c>
      <c r="CP90" s="137">
        <f t="shared" si="942"/>
      </c>
      <c r="CQ90" s="137">
        <f t="shared" si="942"/>
      </c>
      <c r="CR90" s="137">
        <f t="shared" si="942"/>
      </c>
      <c r="CS90" s="765">
        <f t="shared" si="942"/>
      </c>
      <c r="CT90" s="764">
        <f t="shared" si="942"/>
      </c>
      <c r="CU90" s="137">
        <f t="shared" ref="CU90:DZ90" si="943">IFERROR(CU32/(CU32+CU39),"")</f>
      </c>
      <c r="CV90" s="137">
        <f t="shared" si="943"/>
      </c>
      <c r="CW90" s="137">
        <f t="shared" si="943"/>
      </c>
      <c r="CX90" s="765">
        <f t="shared" si="943"/>
      </c>
      <c r="CY90" s="764">
        <f t="shared" si="943"/>
      </c>
      <c r="CZ90" s="137">
        <f t="shared" si="943"/>
      </c>
      <c r="DA90" s="137">
        <f t="shared" si="943"/>
      </c>
      <c r="DB90" s="137">
        <f t="shared" si="943"/>
      </c>
      <c r="DC90" s="765">
        <f t="shared" si="943"/>
      </c>
      <c r="DD90" s="764">
        <f t="shared" si="943"/>
      </c>
      <c r="DE90" s="137">
        <f t="shared" si="943"/>
      </c>
      <c r="DF90" s="137">
        <f t="shared" si="943"/>
      </c>
      <c r="DG90" s="137">
        <f t="shared" si="943"/>
      </c>
      <c r="DH90" s="765">
        <f t="shared" si="943"/>
      </c>
      <c r="DI90" s="764">
        <f t="shared" si="943"/>
      </c>
      <c r="DJ90" s="137">
        <f t="shared" si="943"/>
      </c>
      <c r="DK90" s="137">
        <f t="shared" si="943"/>
      </c>
      <c r="DL90" s="137">
        <f t="shared" si="943"/>
      </c>
      <c r="DM90" s="765">
        <f t="shared" si="943"/>
      </c>
      <c r="DN90" s="764">
        <f t="shared" si="943"/>
      </c>
      <c r="DO90" s="137">
        <f t="shared" si="943"/>
      </c>
      <c r="DP90" s="137">
        <f t="shared" si="943"/>
      </c>
      <c r="DQ90" s="137">
        <f t="shared" si="943"/>
      </c>
      <c r="DR90" s="765">
        <f t="shared" si="943"/>
      </c>
      <c r="DS90" s="764">
        <f t="shared" si="943"/>
      </c>
      <c r="DT90" s="137">
        <f t="shared" si="943"/>
      </c>
      <c r="DU90" s="137">
        <f t="shared" si="943"/>
      </c>
      <c r="DV90" s="137">
        <f t="shared" si="943"/>
      </c>
      <c r="DW90" s="765">
        <f t="shared" si="943"/>
      </c>
      <c r="DX90" s="764">
        <f t="shared" si="943"/>
      </c>
      <c r="DY90" s="137">
        <f t="shared" si="943"/>
      </c>
      <c r="DZ90" s="137">
        <f t="shared" si="943"/>
      </c>
      <c r="EA90" s="137">
        <f t="shared" ref="EA90:EY90" si="944">IFERROR(EA32/(EA32+EA39),"")</f>
      </c>
      <c r="EB90" s="765">
        <f t="shared" si="944"/>
      </c>
      <c r="EC90" s="764">
        <f t="shared" si="944"/>
      </c>
      <c r="ED90" s="137">
        <f t="shared" si="944"/>
      </c>
      <c r="EE90" s="137">
        <f t="shared" si="944"/>
      </c>
      <c r="EF90" s="137">
        <f t="shared" si="944"/>
      </c>
      <c r="EG90" s="765">
        <f t="shared" si="944"/>
      </c>
      <c r="EH90" s="764">
        <f t="shared" si="944"/>
      </c>
      <c r="EI90" s="137">
        <f t="shared" si="944"/>
      </c>
      <c r="EJ90" s="137">
        <f t="shared" si="944"/>
      </c>
      <c r="EK90" s="137">
        <f t="shared" si="944"/>
      </c>
      <c r="EL90" s="765">
        <f t="shared" si="944"/>
      </c>
      <c r="EM90" s="764">
        <f t="shared" si="944"/>
      </c>
      <c r="EN90" s="137">
        <f t="shared" si="944"/>
      </c>
      <c r="EO90" s="137">
        <f t="shared" si="944"/>
      </c>
      <c r="EP90" s="137">
        <f t="shared" si="944"/>
      </c>
      <c r="EQ90" s="765">
        <f t="shared" si="944"/>
      </c>
      <c r="ER90" s="764">
        <f t="shared" si="944"/>
      </c>
      <c r="ES90" s="137">
        <f t="shared" si="944"/>
      </c>
      <c r="ET90" s="137">
        <f t="shared" si="944"/>
      </c>
      <c r="EU90" s="137">
        <f t="shared" si="944"/>
      </c>
      <c r="EV90" s="765">
        <f t="shared" si="944"/>
      </c>
      <c r="EW90" s="764">
        <f t="shared" si="944"/>
      </c>
      <c r="EX90" s="137">
        <f t="shared" si="944"/>
      </c>
      <c r="EY90" s="137">
        <f t="shared" si="944"/>
      </c>
      <c r="EZ90" s="137">
        <f t="shared" ref="EZ90:FA90" si="945">IFERROR(EZ32/(EZ32+EZ39),"")</f>
      </c>
      <c r="FA90" s="765">
        <f t="shared" si="945"/>
      </c>
      <c r="FB90" s="758">
        <v>0.14000000000000001</v>
      </c>
      <c r="FC90" s="758">
        <f>FB90</f>
      </c>
      <c r="FD90" s="758">
        <f>FC90</f>
      </c>
      <c r="FE90" s="758">
        <f>FD90</f>
      </c>
      <c r="FF90" s="765">
        <f>IFERROR(FF32/(FF32+FF39),"")</f>
      </c>
      <c r="FG90" s="758">
        <v>0.14000000000000001</v>
      </c>
      <c r="FH90" s="758">
        <f>FG90</f>
      </c>
      <c r="FI90" s="758">
        <f>FH90</f>
      </c>
      <c r="FJ90" s="758">
        <f>FI90</f>
      </c>
      <c r="FK90" s="765">
        <f>IFERROR(FK32/(FK32+FK39),"")</f>
      </c>
      <c r="FL90" s="758">
        <v>0.14000000000000001</v>
      </c>
      <c r="FM90" s="758">
        <f>FL90</f>
      </c>
      <c r="FN90" s="758">
        <f>FM90</f>
      </c>
      <c r="FO90" s="758">
        <f>FN90</f>
      </c>
      <c r="FP90" s="765">
        <f>IFERROR(FP32/(FP32+FP39),"")</f>
      </c>
      <c r="FQ90" s="758">
        <v>0.14000000000000001</v>
      </c>
      <c r="FR90" s="758">
        <f>FQ90</f>
      </c>
      <c r="FS90" s="758">
        <f>FR90</f>
      </c>
      <c r="FT90" s="758">
        <f>FS90</f>
      </c>
      <c r="FU90" s="765">
        <f>IFERROR(FU32/(FU32+FU39),"")</f>
      </c>
      <c r="FV90" s="758">
        <v>0.14000000000000001</v>
      </c>
      <c r="FW90" s="758">
        <f>FV90</f>
      </c>
      <c r="FX90" s="758">
        <f>FW90</f>
      </c>
      <c r="FY90" s="758">
        <f>FX90</f>
      </c>
      <c r="FZ90" s="765">
        <f>IFERROR(FZ32/(FZ32+FZ39),"")</f>
      </c>
      <c r="GA90" s="758">
        <v>0.14000000000000001</v>
      </c>
      <c r="GB90" s="758">
        <f>GA90</f>
      </c>
      <c r="GC90" s="758">
        <f>GB90</f>
      </c>
      <c r="GD90" s="758">
        <f>GC90</f>
      </c>
      <c r="GE90" s="765">
        <f>IFERROR(GE32/(GE32+GE39),"")</f>
      </c>
      <c r="GF90" s="758">
        <v>0.14000000000000001</v>
      </c>
      <c r="GG90" s="758">
        <f>GF90</f>
      </c>
      <c r="GH90" s="758">
        <f>GG90</f>
      </c>
      <c r="GI90" s="758">
        <f>GH90</f>
      </c>
      <c r="GJ90" s="765">
        <f>IFERROR(GJ32/(GJ32+GJ39),"")</f>
      </c>
    </row>
    <row r="91" spans="1:192" s="277" customFormat="1" ht="12.75" hidden="1" customHeight="1" outlineLevel="1">
      <c r="A91" s="274"/>
      <c r="B91" s="704" t="s">
        <v>307</v>
      </c>
      <c r="C91" s="764">
        <f t="shared" ref="C91:AH91" si="946">IFERROR(C39/C56,"")</f>
      </c>
      <c r="D91" s="137">
        <f t="shared" si="946"/>
      </c>
      <c r="E91" s="137">
        <f t="shared" si="946"/>
      </c>
      <c r="F91" s="137">
        <f t="shared" si="946"/>
      </c>
      <c r="G91" s="765">
        <f t="shared" si="946"/>
      </c>
      <c r="H91" s="764">
        <f t="shared" si="946"/>
      </c>
      <c r="I91" s="137">
        <f t="shared" si="946"/>
      </c>
      <c r="J91" s="137">
        <f t="shared" si="946"/>
      </c>
      <c r="K91" s="137">
        <f t="shared" si="946"/>
      </c>
      <c r="L91" s="765">
        <f t="shared" si="946"/>
      </c>
      <c r="M91" s="764">
        <f t="shared" si="946"/>
      </c>
      <c r="N91" s="137">
        <f t="shared" si="946"/>
      </c>
      <c r="O91" s="137">
        <f t="shared" si="946"/>
      </c>
      <c r="P91" s="137">
        <f t="shared" si="946"/>
      </c>
      <c r="Q91" s="765">
        <f t="shared" si="946"/>
      </c>
      <c r="R91" s="764">
        <f t="shared" si="946"/>
      </c>
      <c r="S91" s="137">
        <f t="shared" si="946"/>
      </c>
      <c r="T91" s="137">
        <f t="shared" si="946"/>
      </c>
      <c r="U91" s="137">
        <f t="shared" si="946"/>
      </c>
      <c r="V91" s="765">
        <f t="shared" si="946"/>
      </c>
      <c r="W91" s="764">
        <f t="shared" si="946"/>
      </c>
      <c r="X91" s="137">
        <f t="shared" si="946"/>
      </c>
      <c r="Y91" s="137">
        <f t="shared" si="946"/>
      </c>
      <c r="Z91" s="137">
        <f t="shared" si="946"/>
      </c>
      <c r="AA91" s="765">
        <f t="shared" si="946"/>
      </c>
      <c r="AB91" s="764">
        <f t="shared" si="946"/>
      </c>
      <c r="AC91" s="137">
        <f t="shared" si="946"/>
      </c>
      <c r="AD91" s="137">
        <f t="shared" si="946"/>
      </c>
      <c r="AE91" s="137">
        <f t="shared" si="946"/>
      </c>
      <c r="AF91" s="765">
        <f t="shared" si="946"/>
      </c>
      <c r="AG91" s="764">
        <f t="shared" si="946"/>
      </c>
      <c r="AH91" s="137">
        <f t="shared" si="946"/>
      </c>
      <c r="AI91" s="137">
        <f t="shared" ref="AI91:BN91" si="947">IFERROR(AI39/AI56,"")</f>
      </c>
      <c r="AJ91" s="137">
        <f t="shared" si="947"/>
      </c>
      <c r="AK91" s="765">
        <f t="shared" si="947"/>
      </c>
      <c r="AL91" s="764">
        <f t="shared" si="947"/>
      </c>
      <c r="AM91" s="137">
        <f t="shared" si="947"/>
      </c>
      <c r="AN91" s="137">
        <f t="shared" si="947"/>
      </c>
      <c r="AO91" s="137">
        <f t="shared" si="947"/>
      </c>
      <c r="AP91" s="765">
        <f t="shared" si="947"/>
      </c>
      <c r="AQ91" s="764">
        <f t="shared" si="947"/>
      </c>
      <c r="AR91" s="137">
        <f t="shared" si="947"/>
      </c>
      <c r="AS91" s="137">
        <f t="shared" si="947"/>
      </c>
      <c r="AT91" s="137">
        <f t="shared" si="947"/>
      </c>
      <c r="AU91" s="765">
        <f t="shared" si="947"/>
      </c>
      <c r="AV91" s="764">
        <f t="shared" si="947"/>
      </c>
      <c r="AW91" s="137">
        <f t="shared" si="947"/>
      </c>
      <c r="AX91" s="137">
        <f t="shared" si="947"/>
      </c>
      <c r="AY91" s="137">
        <f t="shared" si="947"/>
      </c>
      <c r="AZ91" s="765">
        <f t="shared" si="947"/>
      </c>
      <c r="BA91" s="764">
        <f t="shared" si="947"/>
      </c>
      <c r="BB91" s="137">
        <f t="shared" si="947"/>
      </c>
      <c r="BC91" s="137">
        <f t="shared" si="947"/>
      </c>
      <c r="BD91" s="137">
        <f t="shared" si="947"/>
      </c>
      <c r="BE91" s="765">
        <f t="shared" si="947"/>
      </c>
      <c r="BF91" s="764">
        <f t="shared" si="947"/>
      </c>
      <c r="BG91" s="137">
        <f t="shared" si="947"/>
      </c>
      <c r="BH91" s="137">
        <f t="shared" si="947"/>
      </c>
      <c r="BI91" s="137">
        <f t="shared" si="947"/>
      </c>
      <c r="BJ91" s="765">
        <f t="shared" si="947"/>
      </c>
      <c r="BK91" s="764">
        <f t="shared" si="947"/>
      </c>
      <c r="BL91" s="137">
        <f t="shared" si="947"/>
      </c>
      <c r="BM91" s="137">
        <f t="shared" si="947"/>
      </c>
      <c r="BN91" s="137">
        <f t="shared" si="947"/>
      </c>
      <c r="BO91" s="765">
        <f t="shared" ref="BO91:CT91" si="948">IFERROR(BO39/BO56,"")</f>
      </c>
      <c r="BP91" s="764">
        <f t="shared" si="948"/>
      </c>
      <c r="BQ91" s="137">
        <f t="shared" si="948"/>
      </c>
      <c r="BR91" s="137">
        <f t="shared" si="948"/>
      </c>
      <c r="BS91" s="137">
        <f t="shared" si="948"/>
      </c>
      <c r="BT91" s="765">
        <f t="shared" si="948"/>
      </c>
      <c r="BU91" s="764">
        <f t="shared" si="948"/>
      </c>
      <c r="BV91" s="137">
        <f t="shared" si="948"/>
      </c>
      <c r="BW91" s="137">
        <f t="shared" si="948"/>
      </c>
      <c r="BX91" s="137">
        <f t="shared" si="948"/>
      </c>
      <c r="BY91" s="765">
        <f t="shared" si="948"/>
      </c>
      <c r="BZ91" s="764">
        <f t="shared" si="948"/>
      </c>
      <c r="CA91" s="137">
        <f t="shared" si="948"/>
      </c>
      <c r="CB91" s="137">
        <f t="shared" si="948"/>
      </c>
      <c r="CC91" s="137">
        <f t="shared" si="948"/>
      </c>
      <c r="CD91" s="765">
        <f t="shared" si="948"/>
      </c>
      <c r="CE91" s="764">
        <f t="shared" si="948"/>
      </c>
      <c r="CF91" s="137">
        <f t="shared" si="948"/>
      </c>
      <c r="CG91" s="137">
        <f t="shared" si="948"/>
      </c>
      <c r="CH91" s="137">
        <f t="shared" si="948"/>
      </c>
      <c r="CI91" s="765">
        <f t="shared" si="948"/>
      </c>
      <c r="CJ91" s="764">
        <f t="shared" si="948"/>
      </c>
      <c r="CK91" s="137">
        <f t="shared" si="948"/>
      </c>
      <c r="CL91" s="137">
        <f t="shared" si="948"/>
      </c>
      <c r="CM91" s="137">
        <f t="shared" si="948"/>
      </c>
      <c r="CN91" s="765">
        <f t="shared" si="948"/>
      </c>
      <c r="CO91" s="764">
        <f t="shared" si="948"/>
      </c>
      <c r="CP91" s="137">
        <f t="shared" si="948"/>
      </c>
      <c r="CQ91" s="137">
        <f t="shared" si="948"/>
      </c>
      <c r="CR91" s="137">
        <f t="shared" si="948"/>
      </c>
      <c r="CS91" s="765">
        <f t="shared" si="948"/>
      </c>
      <c r="CT91" s="764">
        <f t="shared" si="948"/>
      </c>
      <c r="CU91" s="137">
        <f t="shared" ref="CU91:DZ91" si="949">IFERROR(CU39/CU56,"")</f>
      </c>
      <c r="CV91" s="137">
        <f t="shared" si="949"/>
      </c>
      <c r="CW91" s="137">
        <f t="shared" si="949"/>
      </c>
      <c r="CX91" s="765">
        <f t="shared" si="949"/>
      </c>
      <c r="CY91" s="764">
        <f t="shared" si="949"/>
      </c>
      <c r="CZ91" s="137">
        <f t="shared" si="949"/>
      </c>
      <c r="DA91" s="137">
        <f t="shared" si="949"/>
      </c>
      <c r="DB91" s="137">
        <f t="shared" si="949"/>
      </c>
      <c r="DC91" s="765">
        <f t="shared" si="949"/>
      </c>
      <c r="DD91" s="764">
        <f t="shared" si="949"/>
      </c>
      <c r="DE91" s="137">
        <f t="shared" si="949"/>
      </c>
      <c r="DF91" s="137">
        <f t="shared" si="949"/>
      </c>
      <c r="DG91" s="137">
        <f t="shared" si="949"/>
      </c>
      <c r="DH91" s="765">
        <f t="shared" si="949"/>
      </c>
      <c r="DI91" s="764">
        <f t="shared" si="949"/>
      </c>
      <c r="DJ91" s="137">
        <f t="shared" si="949"/>
      </c>
      <c r="DK91" s="137">
        <f t="shared" si="949"/>
      </c>
      <c r="DL91" s="137">
        <f t="shared" si="949"/>
      </c>
      <c r="DM91" s="765">
        <f t="shared" si="949"/>
      </c>
      <c r="DN91" s="764">
        <f t="shared" si="949"/>
      </c>
      <c r="DO91" s="137">
        <f t="shared" si="949"/>
      </c>
      <c r="DP91" s="137">
        <f t="shared" si="949"/>
      </c>
      <c r="DQ91" s="137">
        <f t="shared" si="949"/>
      </c>
      <c r="DR91" s="765">
        <f t="shared" si="949"/>
      </c>
      <c r="DS91" s="764">
        <f t="shared" si="949"/>
      </c>
      <c r="DT91" s="137">
        <f t="shared" si="949"/>
      </c>
      <c r="DU91" s="137">
        <f t="shared" si="949"/>
      </c>
      <c r="DV91" s="137">
        <f t="shared" si="949"/>
      </c>
      <c r="DW91" s="765">
        <f t="shared" si="949"/>
      </c>
      <c r="DX91" s="764">
        <f t="shared" si="949"/>
      </c>
      <c r="DY91" s="137">
        <f t="shared" si="949"/>
      </c>
      <c r="DZ91" s="137">
        <f t="shared" si="949"/>
      </c>
      <c r="EA91" s="137">
        <f t="shared" ref="EA91:FF91" si="950">IFERROR(EA39/EA56,"")</f>
      </c>
      <c r="EB91" s="765">
        <f t="shared" si="950"/>
      </c>
      <c r="EC91" s="764">
        <f t="shared" si="950"/>
      </c>
      <c r="ED91" s="137">
        <f t="shared" si="950"/>
      </c>
      <c r="EE91" s="137">
        <f t="shared" si="950"/>
      </c>
      <c r="EF91" s="137">
        <f t="shared" si="950"/>
      </c>
      <c r="EG91" s="765">
        <f t="shared" si="950"/>
      </c>
      <c r="EH91" s="764">
        <f t="shared" si="950"/>
      </c>
      <c r="EI91" s="137">
        <f t="shared" si="950"/>
      </c>
      <c r="EJ91" s="137">
        <f t="shared" si="950"/>
      </c>
      <c r="EK91" s="137">
        <f t="shared" si="950"/>
      </c>
      <c r="EL91" s="765">
        <f t="shared" si="950"/>
      </c>
      <c r="EM91" s="764">
        <f t="shared" si="950"/>
      </c>
      <c r="EN91" s="137">
        <f t="shared" si="950"/>
      </c>
      <c r="EO91" s="137">
        <f t="shared" si="950"/>
      </c>
      <c r="EP91" s="137">
        <f t="shared" si="950"/>
      </c>
      <c r="EQ91" s="765">
        <f t="shared" si="950"/>
      </c>
      <c r="ER91" s="764">
        <f t="shared" si="950"/>
      </c>
      <c r="ES91" s="137">
        <f t="shared" si="950"/>
      </c>
      <c r="ET91" s="137">
        <f t="shared" si="950"/>
      </c>
      <c r="EU91" s="137">
        <f t="shared" si="950"/>
      </c>
      <c r="EV91" s="765">
        <f t="shared" si="950"/>
      </c>
      <c r="EW91" s="764">
        <f t="shared" si="950"/>
      </c>
      <c r="EX91" s="137">
        <f t="shared" si="950"/>
      </c>
      <c r="EY91" s="137">
        <f t="shared" si="950"/>
      </c>
      <c r="EZ91" s="137">
        <f t="shared" ref="EZ91:FA91" si="951">IFERROR(EZ39/EZ56,"")</f>
      </c>
      <c r="FA91" s="765">
        <f t="shared" si="951"/>
      </c>
      <c r="FB91" s="764">
        <f t="shared" si="950"/>
      </c>
      <c r="FC91" s="137">
        <f t="shared" si="950"/>
      </c>
      <c r="FD91" s="137">
        <f t="shared" si="950"/>
      </c>
      <c r="FE91" s="137">
        <f t="shared" si="950"/>
      </c>
      <c r="FF91" s="765">
        <f t="shared" si="950"/>
      </c>
      <c r="FG91" s="764">
        <f t="shared" ref="FG91:FJ91" si="952">IFERROR(FG39/FG56,"")</f>
      </c>
      <c r="FH91" s="137">
        <f t="shared" si="952"/>
      </c>
      <c r="FI91" s="137">
        <f t="shared" si="952"/>
      </c>
      <c r="FJ91" s="137">
        <f t="shared" si="952"/>
      </c>
      <c r="FK91" s="765">
        <f t="shared" ref="FK91:FZ91" si="953">IFERROR(FK39/FK56,"")</f>
      </c>
      <c r="FL91" s="764">
        <f t="shared" si="953"/>
      </c>
      <c r="FM91" s="137">
        <f t="shared" si="953"/>
      </c>
      <c r="FN91" s="137">
        <f t="shared" si="953"/>
      </c>
      <c r="FO91" s="137">
        <f t="shared" si="953"/>
      </c>
      <c r="FP91" s="765">
        <f t="shared" si="953"/>
      </c>
      <c r="FQ91" s="764">
        <f t="shared" ref="FQ91:FT91" si="954">IFERROR(FQ39/FQ56,"")</f>
      </c>
      <c r="FR91" s="137">
        <f t="shared" si="954"/>
      </c>
      <c r="FS91" s="137">
        <f t="shared" si="954"/>
      </c>
      <c r="FT91" s="137">
        <f t="shared" si="954"/>
      </c>
      <c r="FU91" s="765">
        <f t="shared" si="953"/>
      </c>
      <c r="FV91" s="764">
        <f t="shared" si="953"/>
      </c>
      <c r="FW91" s="137">
        <f t="shared" si="953"/>
      </c>
      <c r="FX91" s="137">
        <f t="shared" si="953"/>
      </c>
      <c r="FY91" s="137">
        <f t="shared" si="953"/>
      </c>
      <c r="FZ91" s="765">
        <f t="shared" si="953"/>
      </c>
      <c r="GA91" s="764">
        <f t="shared" ref="GA91:GE91" si="955">IFERROR(GA39/GA56,"")</f>
      </c>
      <c r="GB91" s="137">
        <f t="shared" si="955"/>
      </c>
      <c r="GC91" s="137">
        <f t="shared" si="955"/>
      </c>
      <c r="GD91" s="137">
        <f t="shared" si="955"/>
      </c>
      <c r="GE91" s="765">
        <f t="shared" si="955"/>
      </c>
      <c r="GF91" s="764">
        <f t="shared" ref="GF91:GJ91" si="956">IFERROR(GF39/GF56,"")</f>
      </c>
      <c r="GG91" s="137">
        <f t="shared" si="956"/>
      </c>
      <c r="GH91" s="137">
        <f t="shared" si="956"/>
      </c>
      <c r="GI91" s="137">
        <f t="shared" si="956"/>
      </c>
      <c r="GJ91" s="765">
        <f t="shared" si="956"/>
      </c>
    </row>
    <row r="92" spans="1:192" s="277" customFormat="1" ht="12.75" hidden="1" customHeight="1" outlineLevel="1">
      <c r="A92" s="274"/>
      <c r="B92" s="719" t="s">
        <v>305</v>
      </c>
      <c r="C92" s="764">
        <f t="shared" ref="C92:AH92" si="957">IFERROR(C39/(C39+C32),"")</f>
      </c>
      <c r="D92" s="137">
        <f t="shared" si="957"/>
      </c>
      <c r="E92" s="137">
        <f t="shared" si="957"/>
      </c>
      <c r="F92" s="137">
        <f t="shared" si="957"/>
      </c>
      <c r="G92" s="765">
        <f t="shared" si="957"/>
      </c>
      <c r="H92" s="764">
        <f t="shared" si="957"/>
      </c>
      <c r="I92" s="137">
        <f t="shared" si="957"/>
      </c>
      <c r="J92" s="137">
        <f t="shared" si="957"/>
      </c>
      <c r="K92" s="137">
        <f t="shared" si="957"/>
      </c>
      <c r="L92" s="765">
        <f t="shared" si="957"/>
      </c>
      <c r="M92" s="764">
        <f t="shared" si="957"/>
      </c>
      <c r="N92" s="137">
        <f t="shared" si="957"/>
      </c>
      <c r="O92" s="137">
        <f t="shared" si="957"/>
      </c>
      <c r="P92" s="137">
        <f t="shared" si="957"/>
      </c>
      <c r="Q92" s="765">
        <f t="shared" si="957"/>
      </c>
      <c r="R92" s="764">
        <f t="shared" si="957"/>
      </c>
      <c r="S92" s="137">
        <f t="shared" si="957"/>
      </c>
      <c r="T92" s="137">
        <f t="shared" si="957"/>
      </c>
      <c r="U92" s="137">
        <f t="shared" si="957"/>
      </c>
      <c r="V92" s="765">
        <f t="shared" si="957"/>
      </c>
      <c r="W92" s="764">
        <f t="shared" si="957"/>
      </c>
      <c r="X92" s="137">
        <f t="shared" si="957"/>
      </c>
      <c r="Y92" s="137">
        <f t="shared" si="957"/>
      </c>
      <c r="Z92" s="137">
        <f t="shared" si="957"/>
      </c>
      <c r="AA92" s="765">
        <f t="shared" si="957"/>
      </c>
      <c r="AB92" s="764">
        <f t="shared" si="957"/>
      </c>
      <c r="AC92" s="137">
        <f t="shared" si="957"/>
      </c>
      <c r="AD92" s="137">
        <f t="shared" si="957"/>
      </c>
      <c r="AE92" s="137">
        <f t="shared" si="957"/>
      </c>
      <c r="AF92" s="765">
        <f t="shared" si="957"/>
      </c>
      <c r="AG92" s="764">
        <f t="shared" si="957"/>
      </c>
      <c r="AH92" s="137">
        <f t="shared" si="957"/>
      </c>
      <c r="AI92" s="137">
        <f t="shared" ref="AI92:BN92" si="958">IFERROR(AI39/(AI39+AI32),"")</f>
      </c>
      <c r="AJ92" s="137">
        <f t="shared" si="958"/>
      </c>
      <c r="AK92" s="765">
        <f t="shared" si="958"/>
      </c>
      <c r="AL92" s="764">
        <f t="shared" si="958"/>
      </c>
      <c r="AM92" s="137">
        <f t="shared" si="958"/>
      </c>
      <c r="AN92" s="137">
        <f t="shared" si="958"/>
      </c>
      <c r="AO92" s="137">
        <f t="shared" si="958"/>
      </c>
      <c r="AP92" s="765">
        <f t="shared" si="958"/>
      </c>
      <c r="AQ92" s="764">
        <f t="shared" si="958"/>
      </c>
      <c r="AR92" s="137">
        <f t="shared" si="958"/>
      </c>
      <c r="AS92" s="137">
        <f t="shared" si="958"/>
      </c>
      <c r="AT92" s="137">
        <f t="shared" si="958"/>
      </c>
      <c r="AU92" s="765">
        <f t="shared" si="958"/>
      </c>
      <c r="AV92" s="764">
        <f t="shared" si="958"/>
      </c>
      <c r="AW92" s="137">
        <f t="shared" si="958"/>
      </c>
      <c r="AX92" s="137">
        <f t="shared" si="958"/>
      </c>
      <c r="AY92" s="137">
        <f t="shared" si="958"/>
      </c>
      <c r="AZ92" s="765">
        <f t="shared" si="958"/>
      </c>
      <c r="BA92" s="764">
        <f t="shared" si="958"/>
      </c>
      <c r="BB92" s="137">
        <f t="shared" si="958"/>
      </c>
      <c r="BC92" s="137">
        <f t="shared" si="958"/>
      </c>
      <c r="BD92" s="137">
        <f t="shared" si="958"/>
      </c>
      <c r="BE92" s="765">
        <f t="shared" si="958"/>
      </c>
      <c r="BF92" s="764">
        <f t="shared" si="958"/>
      </c>
      <c r="BG92" s="137">
        <f t="shared" si="958"/>
      </c>
      <c r="BH92" s="137">
        <f t="shared" si="958"/>
      </c>
      <c r="BI92" s="137">
        <f t="shared" si="958"/>
      </c>
      <c r="BJ92" s="765">
        <f t="shared" si="958"/>
      </c>
      <c r="BK92" s="764">
        <f t="shared" si="958"/>
      </c>
      <c r="BL92" s="137">
        <f t="shared" si="958"/>
      </c>
      <c r="BM92" s="137">
        <f t="shared" si="958"/>
      </c>
      <c r="BN92" s="137">
        <f t="shared" si="958"/>
      </c>
      <c r="BO92" s="765">
        <f t="shared" ref="BO92:CT92" si="959">IFERROR(BO39/(BO39+BO32),"")</f>
      </c>
      <c r="BP92" s="764">
        <f t="shared" si="959"/>
      </c>
      <c r="BQ92" s="137">
        <f t="shared" si="959"/>
      </c>
      <c r="BR92" s="137">
        <f t="shared" si="959"/>
      </c>
      <c r="BS92" s="137">
        <f t="shared" si="959"/>
      </c>
      <c r="BT92" s="765">
        <f t="shared" si="959"/>
      </c>
      <c r="BU92" s="764">
        <f t="shared" si="959"/>
      </c>
      <c r="BV92" s="137">
        <f t="shared" si="959"/>
      </c>
      <c r="BW92" s="137">
        <f t="shared" si="959"/>
      </c>
      <c r="BX92" s="137">
        <f t="shared" si="959"/>
      </c>
      <c r="BY92" s="765">
        <f t="shared" si="959"/>
      </c>
      <c r="BZ92" s="764">
        <f t="shared" si="959"/>
      </c>
      <c r="CA92" s="137">
        <f t="shared" si="959"/>
      </c>
      <c r="CB92" s="137">
        <f t="shared" si="959"/>
      </c>
      <c r="CC92" s="137">
        <f t="shared" si="959"/>
      </c>
      <c r="CD92" s="765">
        <f t="shared" si="959"/>
      </c>
      <c r="CE92" s="764">
        <f t="shared" si="959"/>
      </c>
      <c r="CF92" s="137">
        <f t="shared" si="959"/>
      </c>
      <c r="CG92" s="137">
        <f t="shared" si="959"/>
      </c>
      <c r="CH92" s="137">
        <f t="shared" si="959"/>
      </c>
      <c r="CI92" s="765">
        <f t="shared" si="959"/>
      </c>
      <c r="CJ92" s="764">
        <f t="shared" si="959"/>
      </c>
      <c r="CK92" s="137">
        <f t="shared" si="959"/>
      </c>
      <c r="CL92" s="137">
        <f t="shared" si="959"/>
      </c>
      <c r="CM92" s="137">
        <f t="shared" si="959"/>
      </c>
      <c r="CN92" s="765">
        <f t="shared" si="959"/>
      </c>
      <c r="CO92" s="764">
        <f t="shared" si="959"/>
      </c>
      <c r="CP92" s="137">
        <f t="shared" si="959"/>
      </c>
      <c r="CQ92" s="137">
        <f t="shared" si="959"/>
      </c>
      <c r="CR92" s="137">
        <f t="shared" si="959"/>
      </c>
      <c r="CS92" s="765">
        <f t="shared" si="959"/>
      </c>
      <c r="CT92" s="764">
        <f t="shared" si="959"/>
      </c>
      <c r="CU92" s="137">
        <f t="shared" ref="CU92:DZ92" si="960">IFERROR(CU39/(CU39+CU32),"")</f>
      </c>
      <c r="CV92" s="137">
        <f t="shared" si="960"/>
      </c>
      <c r="CW92" s="137">
        <f t="shared" si="960"/>
      </c>
      <c r="CX92" s="765">
        <f t="shared" si="960"/>
      </c>
      <c r="CY92" s="764">
        <f t="shared" si="960"/>
      </c>
      <c r="CZ92" s="137">
        <f t="shared" si="960"/>
      </c>
      <c r="DA92" s="137">
        <f t="shared" si="960"/>
      </c>
      <c r="DB92" s="137">
        <f t="shared" si="960"/>
      </c>
      <c r="DC92" s="765">
        <f t="shared" si="960"/>
      </c>
      <c r="DD92" s="764">
        <f t="shared" si="960"/>
      </c>
      <c r="DE92" s="137">
        <f t="shared" si="960"/>
      </c>
      <c r="DF92" s="137">
        <f t="shared" si="960"/>
      </c>
      <c r="DG92" s="137">
        <f t="shared" si="960"/>
      </c>
      <c r="DH92" s="765">
        <f t="shared" si="960"/>
      </c>
      <c r="DI92" s="764">
        <f t="shared" si="960"/>
      </c>
      <c r="DJ92" s="137">
        <f t="shared" si="960"/>
      </c>
      <c r="DK92" s="137">
        <f t="shared" si="960"/>
      </c>
      <c r="DL92" s="137">
        <f t="shared" si="960"/>
      </c>
      <c r="DM92" s="765">
        <f t="shared" si="960"/>
      </c>
      <c r="DN92" s="764">
        <f t="shared" si="960"/>
      </c>
      <c r="DO92" s="137">
        <f t="shared" si="960"/>
      </c>
      <c r="DP92" s="137">
        <f t="shared" si="960"/>
      </c>
      <c r="DQ92" s="137">
        <f t="shared" si="960"/>
      </c>
      <c r="DR92" s="765">
        <f t="shared" si="960"/>
      </c>
      <c r="DS92" s="764">
        <f t="shared" si="960"/>
      </c>
      <c r="DT92" s="137">
        <f t="shared" si="960"/>
      </c>
      <c r="DU92" s="137">
        <f t="shared" si="960"/>
      </c>
      <c r="DV92" s="137">
        <f t="shared" si="960"/>
      </c>
      <c r="DW92" s="765">
        <f t="shared" si="960"/>
      </c>
      <c r="DX92" s="764">
        <f t="shared" si="960"/>
      </c>
      <c r="DY92" s="137">
        <f t="shared" si="960"/>
      </c>
      <c r="DZ92" s="137">
        <f t="shared" si="960"/>
      </c>
      <c r="EA92" s="137">
        <f t="shared" ref="EA92:EY92" si="961">IFERROR(EA39/(EA39+EA32),"")</f>
      </c>
      <c r="EB92" s="765">
        <f t="shared" si="961"/>
      </c>
      <c r="EC92" s="764">
        <f t="shared" si="961"/>
      </c>
      <c r="ED92" s="137">
        <f t="shared" si="961"/>
      </c>
      <c r="EE92" s="137">
        <f t="shared" si="961"/>
      </c>
      <c r="EF92" s="137">
        <f t="shared" si="961"/>
      </c>
      <c r="EG92" s="765">
        <f t="shared" si="961"/>
      </c>
      <c r="EH92" s="764">
        <f t="shared" si="961"/>
      </c>
      <c r="EI92" s="137">
        <f t="shared" si="961"/>
      </c>
      <c r="EJ92" s="137">
        <f t="shared" si="961"/>
      </c>
      <c r="EK92" s="137">
        <f t="shared" si="961"/>
      </c>
      <c r="EL92" s="765">
        <f t="shared" si="961"/>
      </c>
      <c r="EM92" s="764">
        <f t="shared" si="961"/>
      </c>
      <c r="EN92" s="137">
        <f t="shared" si="961"/>
      </c>
      <c r="EO92" s="137">
        <f t="shared" si="961"/>
      </c>
      <c r="EP92" s="137">
        <f t="shared" si="961"/>
      </c>
      <c r="EQ92" s="765">
        <f t="shared" si="961"/>
      </c>
      <c r="ER92" s="764">
        <f t="shared" si="961"/>
      </c>
      <c r="ES92" s="137">
        <f t="shared" si="961"/>
      </c>
      <c r="ET92" s="137">
        <f t="shared" si="961"/>
      </c>
      <c r="EU92" s="137">
        <f t="shared" si="961"/>
      </c>
      <c r="EV92" s="765">
        <f t="shared" si="961"/>
      </c>
      <c r="EW92" s="764">
        <f t="shared" si="961"/>
      </c>
      <c r="EX92" s="137">
        <f t="shared" si="961"/>
      </c>
      <c r="EY92" s="137">
        <f t="shared" si="961"/>
      </c>
      <c r="EZ92" s="137">
        <f t="shared" ref="EZ92:FA92" si="962">IFERROR(EZ39/(EZ39+EZ32),"")</f>
      </c>
      <c r="FA92" s="765">
        <f t="shared" si="962"/>
      </c>
      <c r="FB92" s="137">
        <f>100%-FB90</f>
      </c>
      <c r="FC92" s="137">
        <f>100%-FC90</f>
      </c>
      <c r="FD92" s="137">
        <f>100%-FD90</f>
      </c>
      <c r="FE92" s="137">
        <f>100%-FE90</f>
      </c>
      <c r="FF92" s="765">
        <f>IFERROR(FF39/(FF39+FF32),"")</f>
      </c>
      <c r="FG92" s="137">
        <f>100%-FG90</f>
      </c>
      <c r="FH92" s="137">
        <f>100%-FH90</f>
      </c>
      <c r="FI92" s="137">
        <f>100%-FI90</f>
      </c>
      <c r="FJ92" s="137">
        <f>100%-FJ90</f>
      </c>
      <c r="FK92" s="765">
        <f>IFERROR(FK39/(FK39+FK32),"")</f>
      </c>
      <c r="FL92" s="137">
        <f>100%-FL90</f>
      </c>
      <c r="FM92" s="137">
        <f>100%-FM90</f>
      </c>
      <c r="FN92" s="137">
        <f>100%-FN90</f>
      </c>
      <c r="FO92" s="137">
        <f>100%-FO90</f>
      </c>
      <c r="FP92" s="765">
        <f>IFERROR(FP39/(FP39+FP32),"")</f>
      </c>
      <c r="FQ92" s="137">
        <f>100%-FQ90</f>
      </c>
      <c r="FR92" s="137">
        <f>100%-FR90</f>
      </c>
      <c r="FS92" s="137">
        <f>100%-FS90</f>
      </c>
      <c r="FT92" s="137">
        <f>100%-FT90</f>
      </c>
      <c r="FU92" s="765">
        <f>IFERROR(FU39/(FU39+FU32),"")</f>
      </c>
      <c r="FV92" s="137">
        <f>100%-FV90</f>
      </c>
      <c r="FW92" s="137">
        <f>100%-FW90</f>
      </c>
      <c r="FX92" s="137">
        <f>100%-FX90</f>
      </c>
      <c r="FY92" s="137">
        <f>100%-FY90</f>
      </c>
      <c r="FZ92" s="765">
        <f>IFERROR(FZ39/(FZ39+FZ32),"")</f>
      </c>
      <c r="GA92" s="137">
        <f>100%-GA90</f>
      </c>
      <c r="GB92" s="137">
        <f>100%-GB90</f>
      </c>
      <c r="GC92" s="137">
        <f>100%-GC90</f>
      </c>
      <c r="GD92" s="137">
        <f>100%-GD90</f>
      </c>
      <c r="GE92" s="765">
        <f>IFERROR(GE39/(GE39+GE32),"")</f>
      </c>
      <c r="GF92" s="137">
        <f>100%-GF90</f>
      </c>
      <c r="GG92" s="137">
        <f>100%-GG90</f>
      </c>
      <c r="GH92" s="137">
        <f>100%-GH90</f>
      </c>
      <c r="GI92" s="137">
        <f>100%-GI90</f>
      </c>
      <c r="GJ92" s="765">
        <f>IFERROR(GJ39/(GJ39+GJ32),"")</f>
      </c>
    </row>
    <row r="93" spans="1:192" s="93" customFormat="1" ht="12.75" hidden="1" customHeight="1" outlineLevel="1">
      <c r="A93" s="123"/>
      <c r="B93" s="677"/>
      <c r="C93" s="131"/>
      <c r="D93" s="132"/>
      <c r="E93" s="132"/>
      <c r="F93" s="132"/>
      <c r="G93" s="133"/>
      <c r="H93" s="131"/>
      <c r="I93" s="132"/>
      <c r="J93" s="132"/>
      <c r="K93" s="132"/>
      <c r="L93" s="133"/>
      <c r="M93" s="131"/>
      <c r="N93" s="132"/>
      <c r="O93" s="132"/>
      <c r="P93" s="132"/>
      <c r="Q93" s="133"/>
      <c r="R93" s="131"/>
      <c r="S93" s="132"/>
      <c r="T93" s="132"/>
      <c r="U93" s="132"/>
      <c r="V93" s="133"/>
      <c r="W93" s="131"/>
      <c r="X93" s="132"/>
      <c r="Y93" s="132"/>
      <c r="Z93" s="132"/>
      <c r="AA93" s="133"/>
      <c r="AB93" s="131"/>
      <c r="AC93" s="132"/>
      <c r="AD93" s="132"/>
      <c r="AE93" s="132"/>
      <c r="AF93" s="133"/>
      <c r="AG93" s="131"/>
      <c r="AH93" s="132"/>
      <c r="AI93" s="132"/>
      <c r="AJ93" s="132"/>
      <c r="AK93" s="133"/>
      <c r="AL93" s="131"/>
      <c r="AM93" s="132"/>
      <c r="AN93" s="132"/>
      <c r="AO93" s="132"/>
      <c r="AP93" s="133"/>
      <c r="AQ93" s="131"/>
      <c r="AR93" s="132"/>
      <c r="AS93" s="132"/>
      <c r="AT93" s="132"/>
      <c r="AU93" s="133"/>
      <c r="AV93" s="131"/>
      <c r="AW93" s="132"/>
      <c r="AX93" s="132"/>
      <c r="AY93" s="132"/>
      <c r="AZ93" s="133"/>
      <c r="BA93" s="131"/>
      <c r="BB93" s="132"/>
      <c r="BC93" s="132"/>
      <c r="BD93" s="132"/>
      <c r="BE93" s="133"/>
      <c r="BF93" s="131"/>
      <c r="BG93" s="132"/>
      <c r="BH93" s="132"/>
      <c r="BI93" s="132"/>
      <c r="BJ93" s="133"/>
      <c r="BK93" s="131"/>
      <c r="BL93" s="132"/>
      <c r="BM93" s="132"/>
      <c r="BN93" s="132"/>
      <c r="BO93" s="133"/>
      <c r="BP93" s="131"/>
      <c r="BQ93" s="132"/>
      <c r="BR93" s="132"/>
      <c r="BS93" s="132"/>
      <c r="BT93" s="133"/>
      <c r="BU93" s="131"/>
      <c r="BV93" s="132"/>
      <c r="BW93" s="132"/>
      <c r="BX93" s="132"/>
      <c r="BY93" s="133"/>
      <c r="BZ93" s="131"/>
      <c r="CA93" s="132"/>
      <c r="CB93" s="132"/>
      <c r="CC93" s="132"/>
      <c r="CD93" s="133"/>
      <c r="CE93" s="131"/>
      <c r="CF93" s="132"/>
      <c r="CG93" s="132"/>
      <c r="CH93" s="132"/>
      <c r="CI93" s="133"/>
      <c r="CJ93" s="131"/>
      <c r="CK93" s="132"/>
      <c r="CL93" s="132"/>
      <c r="CM93" s="132"/>
      <c r="CN93" s="133"/>
      <c r="CO93" s="131"/>
      <c r="CP93" s="132"/>
      <c r="CQ93" s="132"/>
      <c r="CR93" s="132"/>
      <c r="CS93" s="133"/>
      <c r="CT93" s="131"/>
      <c r="CU93" s="132"/>
      <c r="CV93" s="132"/>
      <c r="CW93" s="132"/>
      <c r="CX93" s="133"/>
      <c r="CY93" s="131"/>
      <c r="CZ93" s="132"/>
      <c r="DA93" s="132"/>
      <c r="DB93" s="132"/>
      <c r="DC93" s="133"/>
      <c r="DD93" s="131"/>
      <c r="DE93" s="132"/>
      <c r="DF93" s="132"/>
      <c r="DG93" s="132"/>
      <c r="DH93" s="133"/>
      <c r="DI93" s="131"/>
      <c r="DJ93" s="132"/>
      <c r="DK93" s="132"/>
      <c r="DL93" s="132"/>
      <c r="DM93" s="133"/>
      <c r="DN93" s="131"/>
      <c r="DO93" s="132"/>
      <c r="DP93" s="132"/>
      <c r="DQ93" s="132"/>
      <c r="DR93" s="133"/>
      <c r="DS93" s="131"/>
      <c r="DT93" s="132"/>
      <c r="DU93" s="132"/>
      <c r="DV93" s="132"/>
      <c r="DW93" s="133"/>
      <c r="DX93" s="131"/>
      <c r="DY93" s="132"/>
      <c r="DZ93" s="132"/>
      <c r="EA93" s="132"/>
      <c r="EB93" s="133"/>
      <c r="EC93" s="131"/>
      <c r="ED93" s="132"/>
      <c r="EE93" s="132"/>
      <c r="EF93" s="132"/>
      <c r="EG93" s="133"/>
      <c r="EH93" s="131"/>
      <c r="EI93" s="132"/>
      <c r="EJ93" s="132"/>
      <c r="EK93" s="132"/>
      <c r="EL93" s="133"/>
      <c r="EM93" s="131"/>
      <c r="EN93" s="132"/>
      <c r="EO93" s="132"/>
      <c r="EP93" s="132"/>
      <c r="EQ93" s="133"/>
      <c r="ER93" s="131"/>
      <c r="ES93" s="132"/>
      <c r="ET93" s="132"/>
      <c r="EU93" s="132"/>
      <c r="EV93" s="133"/>
      <c r="EW93" s="131"/>
      <c r="EX93" s="132"/>
      <c r="EY93" s="132"/>
      <c r="EZ93" s="132"/>
      <c r="FA93" s="133"/>
      <c r="FB93" s="131"/>
      <c r="FC93" s="132"/>
      <c r="FD93" s="132"/>
      <c r="FE93" s="132"/>
      <c r="FF93" s="133"/>
      <c r="FG93" s="131"/>
      <c r="FH93" s="132"/>
      <c r="FI93" s="132"/>
      <c r="FJ93" s="132"/>
      <c r="FK93" s="133"/>
      <c r="FL93" s="131"/>
      <c r="FM93" s="132"/>
      <c r="FN93" s="132"/>
      <c r="FO93" s="132"/>
      <c r="FP93" s="133"/>
      <c r="FQ93" s="131"/>
      <c r="FR93" s="132"/>
      <c r="FS93" s="132"/>
      <c r="FT93" s="132"/>
      <c r="FU93" s="133"/>
      <c r="FV93" s="131"/>
      <c r="FW93" s="132"/>
      <c r="FX93" s="132"/>
      <c r="FY93" s="132"/>
      <c r="FZ93" s="133"/>
      <c r="GA93" s="131"/>
      <c r="GB93" s="132"/>
      <c r="GC93" s="132"/>
      <c r="GD93" s="132"/>
      <c r="GE93" s="133"/>
      <c r="GF93" s="131"/>
      <c r="GG93" s="132"/>
      <c r="GH93" s="132"/>
      <c r="GI93" s="132"/>
      <c r="GJ93" s="133"/>
    </row>
    <row r="94" spans="1:192" s="93" customFormat="1" ht="12.75" hidden="1" customHeight="1" outlineLevel="1">
      <c r="A94" s="81"/>
      <c r="B94" s="715" t="s">
        <v>282</v>
      </c>
      <c r="C94" s="128">
        <f t="shared" ref="C94:AH94" si="963">IFERROR(C35/C56,"")</f>
      </c>
      <c r="D94" s="129">
        <f t="shared" si="963"/>
      </c>
      <c r="E94" s="129">
        <f t="shared" si="963"/>
      </c>
      <c r="F94" s="129">
        <f t="shared" si="963"/>
      </c>
      <c r="G94" s="130">
        <f t="shared" si="963"/>
      </c>
      <c r="H94" s="128">
        <f t="shared" si="963"/>
      </c>
      <c r="I94" s="129">
        <f t="shared" si="963"/>
      </c>
      <c r="J94" s="129">
        <f t="shared" si="963"/>
      </c>
      <c r="K94" s="129">
        <f t="shared" si="963"/>
      </c>
      <c r="L94" s="130">
        <f t="shared" si="963"/>
      </c>
      <c r="M94" s="128">
        <f t="shared" si="963"/>
      </c>
      <c r="N94" s="129">
        <f t="shared" si="963"/>
      </c>
      <c r="O94" s="129">
        <f t="shared" si="963"/>
      </c>
      <c r="P94" s="129">
        <f t="shared" si="963"/>
      </c>
      <c r="Q94" s="130">
        <f t="shared" si="963"/>
      </c>
      <c r="R94" s="128">
        <f t="shared" si="963"/>
      </c>
      <c r="S94" s="129">
        <f t="shared" si="963"/>
      </c>
      <c r="T94" s="129">
        <f t="shared" si="963"/>
      </c>
      <c r="U94" s="129">
        <f t="shared" si="963"/>
      </c>
      <c r="V94" s="130">
        <f t="shared" si="963"/>
      </c>
      <c r="W94" s="128">
        <f t="shared" si="963"/>
      </c>
      <c r="X94" s="129">
        <f t="shared" si="963"/>
      </c>
      <c r="Y94" s="129">
        <f t="shared" si="963"/>
      </c>
      <c r="Z94" s="129">
        <f t="shared" si="963"/>
      </c>
      <c r="AA94" s="130">
        <f t="shared" si="963"/>
      </c>
      <c r="AB94" s="128">
        <f t="shared" si="963"/>
      </c>
      <c r="AC94" s="129">
        <f t="shared" si="963"/>
      </c>
      <c r="AD94" s="129">
        <f t="shared" si="963"/>
      </c>
      <c r="AE94" s="129">
        <f t="shared" si="963"/>
      </c>
      <c r="AF94" s="130">
        <f t="shared" si="963"/>
      </c>
      <c r="AG94" s="128">
        <f t="shared" si="963"/>
      </c>
      <c r="AH94" s="129">
        <f t="shared" si="963"/>
      </c>
      <c r="AI94" s="129">
        <f t="shared" ref="AI94:BN94" si="964">IFERROR(AI35/AI56,"")</f>
      </c>
      <c r="AJ94" s="129">
        <f t="shared" si="964"/>
      </c>
      <c r="AK94" s="130">
        <f t="shared" si="964"/>
      </c>
      <c r="AL94" s="128">
        <f t="shared" si="964"/>
      </c>
      <c r="AM94" s="129">
        <f t="shared" si="964"/>
      </c>
      <c r="AN94" s="129">
        <f t="shared" si="964"/>
      </c>
      <c r="AO94" s="129">
        <f t="shared" si="964"/>
      </c>
      <c r="AP94" s="130">
        <f t="shared" si="964"/>
      </c>
      <c r="AQ94" s="128">
        <f t="shared" si="964"/>
      </c>
      <c r="AR94" s="129">
        <f t="shared" si="964"/>
      </c>
      <c r="AS94" s="129">
        <f t="shared" si="964"/>
      </c>
      <c r="AT94" s="129">
        <f t="shared" si="964"/>
      </c>
      <c r="AU94" s="130">
        <f t="shared" si="964"/>
      </c>
      <c r="AV94" s="128">
        <f t="shared" si="964"/>
      </c>
      <c r="AW94" s="129">
        <f t="shared" si="964"/>
      </c>
      <c r="AX94" s="129">
        <f t="shared" si="964"/>
      </c>
      <c r="AY94" s="129">
        <f t="shared" si="964"/>
      </c>
      <c r="AZ94" s="130">
        <f t="shared" si="964"/>
      </c>
      <c r="BA94" s="128">
        <f t="shared" si="964"/>
      </c>
      <c r="BB94" s="129">
        <f t="shared" si="964"/>
      </c>
      <c r="BC94" s="129">
        <f t="shared" si="964"/>
      </c>
      <c r="BD94" s="129">
        <f t="shared" si="964"/>
      </c>
      <c r="BE94" s="130">
        <f t="shared" si="964"/>
      </c>
      <c r="BF94" s="128">
        <f t="shared" si="964"/>
      </c>
      <c r="BG94" s="129">
        <f t="shared" si="964"/>
      </c>
      <c r="BH94" s="129">
        <f t="shared" si="964"/>
      </c>
      <c r="BI94" s="129">
        <f t="shared" si="964"/>
      </c>
      <c r="BJ94" s="130">
        <f t="shared" si="964"/>
      </c>
      <c r="BK94" s="128">
        <f t="shared" si="964"/>
      </c>
      <c r="BL94" s="129">
        <f t="shared" si="964"/>
      </c>
      <c r="BM94" s="129">
        <f t="shared" si="964"/>
      </c>
      <c r="BN94" s="129">
        <f t="shared" si="964"/>
      </c>
      <c r="BO94" s="130">
        <f t="shared" ref="BO94:CT94" si="965">IFERROR(BO35/BO56,"")</f>
      </c>
      <c r="BP94" s="128">
        <f t="shared" si="965"/>
      </c>
      <c r="BQ94" s="129">
        <f t="shared" si="965"/>
      </c>
      <c r="BR94" s="129">
        <f t="shared" si="965"/>
      </c>
      <c r="BS94" s="129">
        <f t="shared" si="965"/>
      </c>
      <c r="BT94" s="130">
        <f t="shared" si="965"/>
      </c>
      <c r="BU94" s="128">
        <f t="shared" si="965"/>
      </c>
      <c r="BV94" s="129">
        <f t="shared" si="965"/>
      </c>
      <c r="BW94" s="129">
        <f t="shared" si="965"/>
      </c>
      <c r="BX94" s="129">
        <f t="shared" si="965"/>
      </c>
      <c r="BY94" s="130">
        <f t="shared" si="965"/>
      </c>
      <c r="BZ94" s="128">
        <f t="shared" si="965"/>
      </c>
      <c r="CA94" s="129">
        <f t="shared" si="965"/>
      </c>
      <c r="CB94" s="129">
        <f t="shared" si="965"/>
      </c>
      <c r="CC94" s="129">
        <f t="shared" si="965"/>
      </c>
      <c r="CD94" s="130">
        <f t="shared" si="965"/>
      </c>
      <c r="CE94" s="128">
        <f t="shared" si="965"/>
      </c>
      <c r="CF94" s="129">
        <f t="shared" si="965"/>
      </c>
      <c r="CG94" s="129">
        <f t="shared" si="965"/>
      </c>
      <c r="CH94" s="129">
        <f t="shared" si="965"/>
      </c>
      <c r="CI94" s="130">
        <f t="shared" si="965"/>
      </c>
      <c r="CJ94" s="128">
        <f t="shared" si="965"/>
      </c>
      <c r="CK94" s="129">
        <f t="shared" si="965"/>
      </c>
      <c r="CL94" s="129">
        <f t="shared" si="965"/>
      </c>
      <c r="CM94" s="129">
        <f t="shared" si="965"/>
      </c>
      <c r="CN94" s="130">
        <f t="shared" si="965"/>
      </c>
      <c r="CO94" s="128">
        <f t="shared" si="965"/>
      </c>
      <c r="CP94" s="129">
        <f t="shared" si="965"/>
      </c>
      <c r="CQ94" s="129">
        <f t="shared" si="965"/>
      </c>
      <c r="CR94" s="129">
        <f t="shared" si="965"/>
      </c>
      <c r="CS94" s="130">
        <f t="shared" si="965"/>
      </c>
      <c r="CT94" s="128">
        <f t="shared" si="965"/>
      </c>
      <c r="CU94" s="129">
        <f t="shared" ref="CU94:DZ94" si="966">IFERROR(CU35/CU56,"")</f>
      </c>
      <c r="CV94" s="129">
        <f t="shared" si="966"/>
      </c>
      <c r="CW94" s="129">
        <f t="shared" si="966"/>
      </c>
      <c r="CX94" s="130">
        <f t="shared" si="966"/>
      </c>
      <c r="CY94" s="128">
        <f t="shared" si="966"/>
      </c>
      <c r="CZ94" s="129">
        <f t="shared" si="966"/>
      </c>
      <c r="DA94" s="129">
        <f t="shared" si="966"/>
      </c>
      <c r="DB94" s="129">
        <f t="shared" si="966"/>
      </c>
      <c r="DC94" s="130">
        <f t="shared" si="966"/>
      </c>
      <c r="DD94" s="128">
        <f t="shared" si="966"/>
      </c>
      <c r="DE94" s="129">
        <f t="shared" si="966"/>
      </c>
      <c r="DF94" s="129">
        <f t="shared" si="966"/>
      </c>
      <c r="DG94" s="129">
        <f t="shared" si="966"/>
      </c>
      <c r="DH94" s="130">
        <f t="shared" si="966"/>
      </c>
      <c r="DI94" s="128">
        <f t="shared" si="966"/>
      </c>
      <c r="DJ94" s="129">
        <f t="shared" si="966"/>
      </c>
      <c r="DK94" s="129">
        <f t="shared" si="966"/>
      </c>
      <c r="DL94" s="129">
        <f t="shared" si="966"/>
      </c>
      <c r="DM94" s="130">
        <f t="shared" si="966"/>
      </c>
      <c r="DN94" s="128">
        <f t="shared" si="966"/>
      </c>
      <c r="DO94" s="129">
        <f t="shared" si="966"/>
      </c>
      <c r="DP94" s="129">
        <f t="shared" si="966"/>
      </c>
      <c r="DQ94" s="129">
        <f t="shared" si="966"/>
      </c>
      <c r="DR94" s="130">
        <f t="shared" si="966"/>
      </c>
      <c r="DS94" s="128">
        <f t="shared" si="966"/>
      </c>
      <c r="DT94" s="129">
        <f t="shared" si="966"/>
      </c>
      <c r="DU94" s="129">
        <f t="shared" si="966"/>
      </c>
      <c r="DV94" s="129">
        <f t="shared" si="966"/>
      </c>
      <c r="DW94" s="130">
        <f t="shared" si="966"/>
      </c>
      <c r="DX94" s="128">
        <f t="shared" si="966"/>
      </c>
      <c r="DY94" s="129">
        <f t="shared" si="966"/>
      </c>
      <c r="DZ94" s="129">
        <f t="shared" si="966"/>
      </c>
      <c r="EA94" s="129">
        <f t="shared" ref="EA94:EY94" si="967">IFERROR(EA35/EA56,"")</f>
      </c>
      <c r="EB94" s="130">
        <f t="shared" si="967"/>
      </c>
      <c r="EC94" s="128">
        <f t="shared" si="967"/>
      </c>
      <c r="ED94" s="129">
        <f t="shared" si="967"/>
      </c>
      <c r="EE94" s="129">
        <f t="shared" si="967"/>
      </c>
      <c r="EF94" s="129">
        <f t="shared" si="967"/>
      </c>
      <c r="EG94" s="130">
        <f t="shared" si="967"/>
      </c>
      <c r="EH94" s="128">
        <f t="shared" si="967"/>
      </c>
      <c r="EI94" s="129">
        <f t="shared" si="967"/>
      </c>
      <c r="EJ94" s="129">
        <f t="shared" si="967"/>
      </c>
      <c r="EK94" s="129">
        <f t="shared" si="967"/>
      </c>
      <c r="EL94" s="130">
        <f t="shared" si="967"/>
      </c>
      <c r="EM94" s="128">
        <f t="shared" si="967"/>
      </c>
      <c r="EN94" s="129">
        <f t="shared" si="967"/>
      </c>
      <c r="EO94" s="129">
        <f t="shared" si="967"/>
      </c>
      <c r="EP94" s="129">
        <f t="shared" si="967"/>
      </c>
      <c r="EQ94" s="130">
        <f t="shared" si="967"/>
      </c>
      <c r="ER94" s="128">
        <f t="shared" si="967"/>
      </c>
      <c r="ES94" s="129">
        <f t="shared" si="967"/>
      </c>
      <c r="ET94" s="129">
        <f t="shared" si="967"/>
      </c>
      <c r="EU94" s="129">
        <f t="shared" si="967"/>
      </c>
      <c r="EV94" s="130">
        <f t="shared" si="967"/>
      </c>
      <c r="EW94" s="128">
        <f t="shared" si="967"/>
      </c>
      <c r="EX94" s="129">
        <f t="shared" si="967"/>
      </c>
      <c r="EY94" s="129">
        <f t="shared" si="967"/>
      </c>
      <c r="EZ94" s="129">
        <f t="shared" ref="EZ94:FA94" si="968">IFERROR(EZ35/EZ56,"")</f>
      </c>
      <c r="FA94" s="130">
        <f t="shared" si="968"/>
      </c>
      <c r="FB94" s="757">
        <f>EW94</f>
      </c>
      <c r="FC94" s="755">
        <f>EX94</f>
      </c>
      <c r="FD94" s="755">
        <f t="shared" ref="FD94:FE94" si="969">EY94-3%</f>
      </c>
      <c r="FE94" s="755">
        <f t="shared" si="969"/>
      </c>
      <c r="FF94" s="130">
        <f>IFERROR(FF35/FF56,"")</f>
      </c>
      <c r="FG94" s="757">
        <f t="shared" ref="FG94" si="970">FB94-3%</f>
      </c>
      <c r="FH94" s="755">
        <f t="shared" ref="FH94" si="971">FC94-3%</f>
      </c>
      <c r="FI94" s="755">
        <f t="shared" ref="FI94" si="972">FD94-3%</f>
      </c>
      <c r="FJ94" s="755">
        <f t="shared" ref="FJ94" si="973">FE94-3%</f>
      </c>
      <c r="FK94" s="130">
        <f>IFERROR(FK35/FK56,"")</f>
      </c>
      <c r="FL94" s="757">
        <f t="shared" ref="FL94" si="974">FG94-3%</f>
      </c>
      <c r="FM94" s="755">
        <f t="shared" ref="FM94" si="975">FH94-3%</f>
      </c>
      <c r="FN94" s="755">
        <f t="shared" ref="FN94" si="976">FI94-3%</f>
      </c>
      <c r="FO94" s="755">
        <f t="shared" ref="FO94" si="977">FJ94-3%</f>
      </c>
      <c r="FP94" s="130">
        <f>IFERROR(FP35/FP56,"")</f>
      </c>
      <c r="FQ94" s="757">
        <f t="shared" ref="FQ94" si="978">FL94-3%</f>
      </c>
      <c r="FR94" s="755">
        <f t="shared" ref="FR94" si="979">FM94-3%</f>
      </c>
      <c r="FS94" s="755">
        <f t="shared" ref="FS94" si="980">FN94-3%</f>
      </c>
      <c r="FT94" s="755">
        <f t="shared" ref="FT94" si="981">FO94-3%</f>
      </c>
      <c r="FU94" s="130">
        <f>IFERROR(FU35/FU56,"")</f>
      </c>
      <c r="FV94" s="757">
        <f t="shared" ref="FV94:FY94" si="982">FQ94-8%</f>
      </c>
      <c r="FW94" s="755">
        <f t="shared" si="982"/>
      </c>
      <c r="FX94" s="755">
        <f t="shared" si="982"/>
      </c>
      <c r="FY94" s="755">
        <f t="shared" si="982"/>
      </c>
      <c r="FZ94" s="130">
        <f>IFERROR(FZ35/FZ56,"")</f>
      </c>
      <c r="GA94" s="757">
        <f t="shared" ref="GA94:GD94" si="983">FV94-10%</f>
      </c>
      <c r="GB94" s="755">
        <f t="shared" si="983"/>
      </c>
      <c r="GC94" s="755">
        <f t="shared" si="983"/>
      </c>
      <c r="GD94" s="755">
        <f t="shared" si="983"/>
      </c>
      <c r="GE94" s="130">
        <f>IFERROR(GE35/GE56,"")</f>
      </c>
      <c r="GF94" s="757">
        <f t="shared" ref="GF94" si="984">GA94+2%</f>
      </c>
      <c r="GG94" s="755">
        <f t="shared" ref="GG94" si="985">GB94+2%</f>
      </c>
      <c r="GH94" s="755">
        <f t="shared" ref="GH94" si="986">GC94+2%</f>
      </c>
      <c r="GI94" s="755">
        <f t="shared" ref="GI94" si="987">GD94+2%</f>
      </c>
      <c r="GJ94" s="130">
        <f>IFERROR(GJ35/GJ56,"")</f>
      </c>
    </row>
    <row r="95" spans="1:192" s="93" customFormat="1" ht="12.75" hidden="1" customHeight="1" outlineLevel="1">
      <c r="A95" s="81"/>
      <c r="B95" s="704" t="s">
        <v>173</v>
      </c>
      <c r="C95" s="125">
        <f>CF!C29</f>
      </c>
      <c r="D95" s="126">
        <f>CF!D29</f>
      </c>
      <c r="E95" s="126">
        <f>CF!E29</f>
      </c>
      <c r="F95" s="126">
        <f>CF!F29</f>
      </c>
      <c r="G95" s="127">
        <f>CF!G29</f>
      </c>
      <c r="H95" s="125">
        <f>CF!H29</f>
      </c>
      <c r="I95" s="126">
        <f>CF!I29</f>
      </c>
      <c r="J95" s="126">
        <f>CF!J29</f>
      </c>
      <c r="K95" s="126">
        <f>CF!K29</f>
      </c>
      <c r="L95" s="127">
        <f>CF!L29</f>
      </c>
      <c r="M95" s="125">
        <f>CF!M29</f>
      </c>
      <c r="N95" s="126">
        <f>CF!N29</f>
      </c>
      <c r="O95" s="126">
        <f>CF!O29</f>
      </c>
      <c r="P95" s="126">
        <f>CF!P29</f>
      </c>
      <c r="Q95" s="127">
        <f>CF!Q29</f>
      </c>
      <c r="R95" s="125">
        <f>CF!R29</f>
      </c>
      <c r="S95" s="126">
        <f>CF!S29</f>
      </c>
      <c r="T95" s="126">
        <f>CF!T29</f>
      </c>
      <c r="U95" s="126">
        <f>CF!U29</f>
      </c>
      <c r="V95" s="127">
        <f>CF!V29</f>
      </c>
      <c r="W95" s="125">
        <f>CF!W29</f>
      </c>
      <c r="X95" s="126">
        <f>CF!X29</f>
      </c>
      <c r="Y95" s="126">
        <f>CF!Y29</f>
      </c>
      <c r="Z95" s="126">
        <f>CF!Z29</f>
      </c>
      <c r="AA95" s="127">
        <f>CF!AA29</f>
      </c>
      <c r="AB95" s="125">
        <f>CF!AB29</f>
      </c>
      <c r="AC95" s="126">
        <f>CF!AC29</f>
      </c>
      <c r="AD95" s="126">
        <f>CF!AD29</f>
      </c>
      <c r="AE95" s="126">
        <f>CF!AE29</f>
      </c>
      <c r="AF95" s="127">
        <f>CF!AF29</f>
      </c>
      <c r="AG95" s="125">
        <f>CF!AG29</f>
      </c>
      <c r="AH95" s="126">
        <f>CF!AH29</f>
      </c>
      <c r="AI95" s="126">
        <f>CF!AI29</f>
      </c>
      <c r="AJ95" s="126">
        <f>CF!AJ29</f>
      </c>
      <c r="AK95" s="127">
        <f>CF!AK29</f>
      </c>
      <c r="AL95" s="125">
        <f>CF!AL29</f>
      </c>
      <c r="AM95" s="126">
        <f>CF!AM29</f>
      </c>
      <c r="AN95" s="126">
        <f>CF!AN29</f>
      </c>
      <c r="AO95" s="126">
        <f>CF!AO29</f>
      </c>
      <c r="AP95" s="127">
        <f>CF!AP29</f>
      </c>
      <c r="AQ95" s="125">
        <f>CF!AQ29</f>
      </c>
      <c r="AR95" s="126">
        <f>CF!AR29</f>
      </c>
      <c r="AS95" s="126">
        <f>CF!AS29</f>
      </c>
      <c r="AT95" s="126">
        <f>CF!AT29</f>
      </c>
      <c r="AU95" s="127">
        <f>CF!AU29</f>
      </c>
      <c r="AV95" s="125">
        <f>CF!AV29</f>
      </c>
      <c r="AW95" s="126">
        <f>CF!AW29</f>
      </c>
      <c r="AX95" s="126">
        <f>CF!AX29</f>
      </c>
      <c r="AY95" s="126">
        <f>CF!AY29</f>
      </c>
      <c r="AZ95" s="127">
        <f>CF!AZ29</f>
      </c>
      <c r="BA95" s="125">
        <f>CF!BA29</f>
      </c>
      <c r="BB95" s="126">
        <f>CF!BB29</f>
      </c>
      <c r="BC95" s="126">
        <f>CF!BC29</f>
      </c>
      <c r="BD95" s="126">
        <f>CF!BD29</f>
      </c>
      <c r="BE95" s="127">
        <f>CF!BE29</f>
      </c>
      <c r="BF95" s="125">
        <f>CF!BF29</f>
      </c>
      <c r="BG95" s="126">
        <f>CF!BG29</f>
      </c>
      <c r="BH95" s="126">
        <f>CF!BH29</f>
      </c>
      <c r="BI95" s="126">
        <f>CF!BI29</f>
      </c>
      <c r="BJ95" s="127">
        <f>CF!BJ29</f>
      </c>
      <c r="BK95" s="125">
        <f>CF!BK29</f>
      </c>
      <c r="BL95" s="126">
        <f>CF!BL29</f>
      </c>
      <c r="BM95" s="126">
        <f>CF!BM29</f>
      </c>
      <c r="BN95" s="126">
        <f>CF!BN29</f>
      </c>
      <c r="BO95" s="127">
        <f>CF!BO29</f>
      </c>
      <c r="BP95" s="125">
        <f>CF!BP29</f>
      </c>
      <c r="BQ95" s="126">
        <f>CF!BQ29</f>
      </c>
      <c r="BR95" s="126">
        <f>CF!BR29</f>
      </c>
      <c r="BS95" s="126">
        <f>CF!BS29</f>
      </c>
      <c r="BT95" s="127">
        <f>CF!BT29</f>
      </c>
      <c r="BU95" s="125">
        <f>CF!BU29</f>
      </c>
      <c r="BV95" s="126">
        <f>CF!BV29</f>
      </c>
      <c r="BW95" s="126">
        <f>CF!BW29</f>
      </c>
      <c r="BX95" s="126">
        <f>CF!BX29</f>
      </c>
      <c r="BY95" s="127">
        <f>CF!BY29</f>
      </c>
      <c r="BZ95" s="125">
        <f>CF!BZ29</f>
      </c>
      <c r="CA95" s="126">
        <f>CF!CA29</f>
      </c>
      <c r="CB95" s="126">
        <f>CF!CB29</f>
      </c>
      <c r="CC95" s="126">
        <f>CF!CC29</f>
      </c>
      <c r="CD95" s="127">
        <f>CF!CD29</f>
      </c>
      <c r="CE95" s="125">
        <f>CF!CE29</f>
      </c>
      <c r="CF95" s="126">
        <f>CF!CF29</f>
      </c>
      <c r="CG95" s="126">
        <f>CF!CG29</f>
      </c>
      <c r="CH95" s="126">
        <f>CF!CH29</f>
      </c>
      <c r="CI95" s="127">
        <f>CF!CI29</f>
      </c>
      <c r="CJ95" s="125">
        <f>CF!CJ29</f>
      </c>
      <c r="CK95" s="126">
        <f>CF!CK29</f>
      </c>
      <c r="CL95" s="126">
        <f>CF!CL29</f>
      </c>
      <c r="CM95" s="126">
        <f>CF!CM29</f>
      </c>
      <c r="CN95" s="127">
        <f>CF!CN29</f>
      </c>
      <c r="CO95" s="125">
        <f>CF!CO29</f>
      </c>
      <c r="CP95" s="126">
        <f>CF!CP29</f>
      </c>
      <c r="CQ95" s="126">
        <f>CF!CQ29</f>
      </c>
      <c r="CR95" s="126">
        <f>CF!CR29</f>
      </c>
      <c r="CS95" s="127">
        <f>CF!CS29</f>
      </c>
      <c r="CT95" s="125">
        <f>CF!CT29</f>
      </c>
      <c r="CU95" s="126">
        <f>CF!CU29</f>
      </c>
      <c r="CV95" s="126">
        <f>CF!CV29</f>
      </c>
      <c r="CW95" s="126">
        <f>CF!CW29</f>
      </c>
      <c r="CX95" s="127">
        <f>CF!CX29</f>
      </c>
      <c r="CY95" s="125">
        <f>CF!CY29</f>
      </c>
      <c r="CZ95" s="126">
        <f>CF!CZ29</f>
      </c>
      <c r="DA95" s="126">
        <f>CF!DA29</f>
      </c>
      <c r="DB95" s="126">
        <f>CF!DB29</f>
      </c>
      <c r="DC95" s="127">
        <f>CF!DC29</f>
      </c>
      <c r="DD95" s="125">
        <f>CF!DD29</f>
      </c>
      <c r="DE95" s="126">
        <f>CF!DE29</f>
      </c>
      <c r="DF95" s="126">
        <f>CF!DF29</f>
      </c>
      <c r="DG95" s="126">
        <f>CF!DG29</f>
      </c>
      <c r="DH95" s="127">
        <f>CF!DH29</f>
      </c>
      <c r="DI95" s="125">
        <f>CF!DI29</f>
      </c>
      <c r="DJ95" s="126">
        <f>CF!DJ29</f>
      </c>
      <c r="DK95" s="126">
        <f>CF!DK29</f>
      </c>
      <c r="DL95" s="126">
        <f>CF!DL29</f>
      </c>
      <c r="DM95" s="127">
        <f>CF!DM29</f>
      </c>
      <c r="DN95" s="125">
        <f>CF!DN29</f>
      </c>
      <c r="DO95" s="126">
        <f>CF!DO29</f>
      </c>
      <c r="DP95" s="126">
        <f>CF!DP29</f>
      </c>
      <c r="DQ95" s="126">
        <f>CF!DQ29</f>
      </c>
      <c r="DR95" s="127">
        <f>CF!DR29</f>
      </c>
      <c r="DS95" s="125">
        <f>CF!DS29</f>
      </c>
      <c r="DT95" s="126">
        <f>CF!DT29</f>
      </c>
      <c r="DU95" s="126">
        <f>CF!DU29</f>
      </c>
      <c r="DV95" s="126">
        <f>CF!DV29</f>
      </c>
      <c r="DW95" s="127">
        <f>CF!DW29</f>
      </c>
      <c r="DX95" s="125">
        <f>CF!DX29</f>
      </c>
      <c r="DY95" s="126">
        <f>CF!DY29</f>
      </c>
      <c r="DZ95" s="126">
        <f>CF!DZ29</f>
      </c>
      <c r="EA95" s="126">
        <f>CF!EA29</f>
      </c>
      <c r="EB95" s="127">
        <f>CF!EB29</f>
      </c>
      <c r="EC95" s="125">
        <f>CF!EC29</f>
      </c>
      <c r="ED95" s="126">
        <f>CF!ED29</f>
      </c>
      <c r="EE95" s="126">
        <f>CF!EE29</f>
      </c>
      <c r="EF95" s="126">
        <f>CF!EF29</f>
      </c>
      <c r="EG95" s="127">
        <f>CF!EG29</f>
      </c>
      <c r="EH95" s="125">
        <f>CF!EH29</f>
      </c>
      <c r="EI95" s="126">
        <f>CF!EI29</f>
      </c>
      <c r="EJ95" s="126">
        <f>CF!EJ29</f>
      </c>
      <c r="EK95" s="126">
        <f>CF!EK29</f>
      </c>
      <c r="EL95" s="127">
        <f>CF!EL29</f>
      </c>
      <c r="EM95" s="125">
        <f>CF!EM29</f>
      </c>
      <c r="EN95" s="126">
        <f>CF!EN29</f>
      </c>
      <c r="EO95" s="126">
        <f>CF!EO29</f>
      </c>
      <c r="EP95" s="126">
        <f>CF!EP29</f>
      </c>
      <c r="EQ95" s="127">
        <f>CF!EQ29</f>
      </c>
      <c r="ER95" s="125">
        <f>CF!ER29</f>
      </c>
      <c r="ES95" s="126">
        <f>CF!ES29</f>
      </c>
      <c r="ET95" s="126">
        <f>CF!ET29</f>
      </c>
      <c r="EU95" s="126">
        <f>CF!EU29</f>
      </c>
      <c r="EV95" s="127">
        <f>CF!EV29</f>
      </c>
      <c r="EW95" s="125">
        <f>CF!EW29</f>
      </c>
      <c r="EX95" s="126">
        <f>CF!EX29</f>
      </c>
      <c r="EY95" s="126">
        <f>CF!EY29</f>
      </c>
      <c r="EZ95" s="126">
        <f>CF!EZ29</f>
      </c>
      <c r="FA95" s="127">
        <f>CF!FA29</f>
      </c>
      <c r="FB95" s="126">
        <f>CF!FB29</f>
      </c>
      <c r="FC95" s="126">
        <f>CF!FC29</f>
      </c>
      <c r="FD95" s="126">
        <f>CF!FD29</f>
      </c>
      <c r="FE95" s="126">
        <f>CF!FE29</f>
      </c>
      <c r="FF95" s="127">
        <f>CF!FF29</f>
      </c>
      <c r="FG95" s="126">
        <f>CF!FG29</f>
      </c>
      <c r="FH95" s="126">
        <f>CF!FH29</f>
      </c>
      <c r="FI95" s="126">
        <f>CF!FI29</f>
      </c>
      <c r="FJ95" s="126">
        <f>CF!FJ29</f>
      </c>
      <c r="FK95" s="127">
        <f>CF!FK29</f>
      </c>
      <c r="FL95" s="126">
        <f>CF!FL29</f>
      </c>
      <c r="FM95" s="126">
        <f>CF!FM29</f>
      </c>
      <c r="FN95" s="126">
        <f>CF!FN29</f>
      </c>
      <c r="FO95" s="126">
        <f>CF!FO29</f>
      </c>
      <c r="FP95" s="127">
        <f>CF!FP29</f>
      </c>
      <c r="FQ95" s="126">
        <f>CF!FQ29</f>
      </c>
      <c r="FR95" s="126">
        <f>CF!FR29</f>
      </c>
      <c r="FS95" s="126">
        <f>CF!FS29</f>
      </c>
      <c r="FT95" s="126">
        <f>CF!FT29</f>
      </c>
      <c r="FU95" s="127">
        <f>CF!FU29</f>
      </c>
      <c r="FV95" s="126">
        <f>CF!FV29</f>
      </c>
      <c r="FW95" s="126">
        <f>CF!FW29</f>
      </c>
      <c r="FX95" s="126">
        <f>CF!FX29</f>
      </c>
      <c r="FY95" s="126">
        <f>CF!FY29</f>
      </c>
      <c r="FZ95" s="127">
        <f>CF!FZ29</f>
      </c>
      <c r="GA95" s="126">
        <f>CF!GA29</f>
      </c>
      <c r="GB95" s="126">
        <f>CF!GB29</f>
      </c>
      <c r="GC95" s="126">
        <f>CF!GC29</f>
      </c>
      <c r="GD95" s="126">
        <f>CF!GD29</f>
      </c>
      <c r="GE95" s="127">
        <f>CF!GE29</f>
      </c>
      <c r="GF95" s="126">
        <f>CF!GF29</f>
      </c>
      <c r="GG95" s="126">
        <f>CF!GG29</f>
      </c>
      <c r="GH95" s="126">
        <f>CF!GH29</f>
      </c>
      <c r="GI95" s="126">
        <f>CF!GI29</f>
      </c>
      <c r="GJ95" s="127">
        <f>CF!GJ29</f>
      </c>
    </row>
    <row r="96" spans="1:192" s="93" customFormat="1" ht="12.75" hidden="1" customHeight="1" outlineLevel="1">
      <c r="A96" s="123"/>
      <c r="B96" s="677"/>
      <c r="C96" s="131"/>
      <c r="D96" s="132"/>
      <c r="E96" s="132"/>
      <c r="F96" s="132"/>
      <c r="G96" s="133"/>
      <c r="H96" s="131"/>
      <c r="I96" s="132"/>
      <c r="J96" s="132"/>
      <c r="K96" s="132"/>
      <c r="L96" s="133"/>
      <c r="M96" s="131"/>
      <c r="N96" s="132"/>
      <c r="O96" s="132"/>
      <c r="P96" s="132"/>
      <c r="Q96" s="133"/>
      <c r="R96" s="131"/>
      <c r="S96" s="132"/>
      <c r="T96" s="132"/>
      <c r="U96" s="132"/>
      <c r="V96" s="133"/>
      <c r="W96" s="131"/>
      <c r="X96" s="132"/>
      <c r="Y96" s="132"/>
      <c r="Z96" s="132"/>
      <c r="AA96" s="133"/>
      <c r="AB96" s="131"/>
      <c r="AC96" s="132"/>
      <c r="AD96" s="132"/>
      <c r="AE96" s="132"/>
      <c r="AF96" s="133"/>
      <c r="AG96" s="131"/>
      <c r="AH96" s="132"/>
      <c r="AI96" s="132"/>
      <c r="AJ96" s="132"/>
      <c r="AK96" s="133"/>
      <c r="AL96" s="131"/>
      <c r="AM96" s="132"/>
      <c r="AN96" s="132"/>
      <c r="AO96" s="132"/>
      <c r="AP96" s="133"/>
      <c r="AQ96" s="131"/>
      <c r="AR96" s="132"/>
      <c r="AS96" s="132"/>
      <c r="AT96" s="132"/>
      <c r="AU96" s="133"/>
      <c r="AV96" s="131"/>
      <c r="AW96" s="132"/>
      <c r="AX96" s="132"/>
      <c r="AY96" s="132"/>
      <c r="AZ96" s="133"/>
      <c r="BA96" s="131"/>
      <c r="BB96" s="132"/>
      <c r="BC96" s="132"/>
      <c r="BD96" s="132"/>
      <c r="BE96" s="133"/>
      <c r="BF96" s="131"/>
      <c r="BG96" s="132"/>
      <c r="BH96" s="132"/>
      <c r="BI96" s="132"/>
      <c r="BJ96" s="133"/>
      <c r="BK96" s="131"/>
      <c r="BL96" s="132"/>
      <c r="BM96" s="132"/>
      <c r="BN96" s="132"/>
      <c r="BO96" s="133"/>
      <c r="BP96" s="131"/>
      <c r="BQ96" s="132"/>
      <c r="BR96" s="132"/>
      <c r="BS96" s="132"/>
      <c r="BT96" s="133"/>
      <c r="BU96" s="131"/>
      <c r="BV96" s="132"/>
      <c r="BW96" s="132"/>
      <c r="BX96" s="132"/>
      <c r="BY96" s="133"/>
      <c r="BZ96" s="131"/>
      <c r="CA96" s="132"/>
      <c r="CB96" s="132"/>
      <c r="CC96" s="132"/>
      <c r="CD96" s="133"/>
      <c r="CE96" s="131"/>
      <c r="CF96" s="132"/>
      <c r="CG96" s="132"/>
      <c r="CH96" s="132"/>
      <c r="CI96" s="133"/>
      <c r="CJ96" s="131"/>
      <c r="CK96" s="132"/>
      <c r="CL96" s="132"/>
      <c r="CM96" s="132"/>
      <c r="CN96" s="133"/>
      <c r="CO96" s="131"/>
      <c r="CP96" s="132"/>
      <c r="CQ96" s="132"/>
      <c r="CR96" s="132"/>
      <c r="CS96" s="133"/>
      <c r="CT96" s="131"/>
      <c r="CU96" s="132"/>
      <c r="CV96" s="132"/>
      <c r="CW96" s="132"/>
      <c r="CX96" s="133"/>
      <c r="CY96" s="131"/>
      <c r="CZ96" s="132"/>
      <c r="DA96" s="132"/>
      <c r="DB96" s="132"/>
      <c r="DC96" s="133"/>
      <c r="DD96" s="131"/>
      <c r="DE96" s="132"/>
      <c r="DF96" s="132"/>
      <c r="DG96" s="132"/>
      <c r="DH96" s="133"/>
      <c r="DI96" s="131"/>
      <c r="DJ96" s="132"/>
      <c r="DK96" s="132"/>
      <c r="DL96" s="132"/>
      <c r="DM96" s="133"/>
      <c r="DN96" s="131"/>
      <c r="DO96" s="132"/>
      <c r="DP96" s="132"/>
      <c r="DQ96" s="132"/>
      <c r="DR96" s="133"/>
      <c r="DS96" s="131"/>
      <c r="DT96" s="132"/>
      <c r="DU96" s="132"/>
      <c r="DV96" s="132"/>
      <c r="DW96" s="133"/>
      <c r="DX96" s="131"/>
      <c r="DY96" s="132"/>
      <c r="DZ96" s="132"/>
      <c r="EA96" s="132"/>
      <c r="EB96" s="133"/>
      <c r="EC96" s="131"/>
      <c r="ED96" s="132"/>
      <c r="EE96" s="132"/>
      <c r="EF96" s="132"/>
      <c r="EG96" s="133"/>
      <c r="EH96" s="131"/>
      <c r="EI96" s="132"/>
      <c r="EJ96" s="132"/>
      <c r="EK96" s="132"/>
      <c r="EL96" s="133"/>
      <c r="EM96" s="131"/>
      <c r="EN96" s="132"/>
      <c r="EO96" s="132"/>
      <c r="EP96" s="132"/>
      <c r="EQ96" s="133"/>
      <c r="ER96" s="131"/>
      <c r="ES96" s="132"/>
      <c r="ET96" s="132"/>
      <c r="EU96" s="132"/>
      <c r="EV96" s="133"/>
      <c r="EW96" s="131"/>
      <c r="EX96" s="132"/>
      <c r="EY96" s="132"/>
      <c r="EZ96" s="132"/>
      <c r="FA96" s="133"/>
      <c r="FB96" s="131"/>
      <c r="FC96" s="132"/>
      <c r="FD96" s="132"/>
      <c r="FE96" s="132"/>
      <c r="FF96" s="133"/>
      <c r="FG96" s="131"/>
      <c r="FH96" s="132"/>
      <c r="FI96" s="132"/>
      <c r="FJ96" s="132"/>
      <c r="FK96" s="133"/>
      <c r="FL96" s="131"/>
      <c r="FM96" s="132"/>
      <c r="FN96" s="132"/>
      <c r="FO96" s="132"/>
      <c r="FP96" s="133"/>
      <c r="FQ96" s="131"/>
      <c r="FR96" s="132"/>
      <c r="FS96" s="132"/>
      <c r="FT96" s="132"/>
      <c r="FU96" s="133"/>
      <c r="FV96" s="131"/>
      <c r="FW96" s="132"/>
      <c r="FX96" s="132"/>
      <c r="FY96" s="132"/>
      <c r="FZ96" s="133"/>
      <c r="GA96" s="131"/>
      <c r="GB96" s="132"/>
      <c r="GC96" s="132"/>
      <c r="GD96" s="132"/>
      <c r="GE96" s="133"/>
      <c r="GF96" s="131"/>
      <c r="GG96" s="132"/>
      <c r="GH96" s="132"/>
      <c r="GI96" s="132"/>
      <c r="GJ96" s="133"/>
    </row>
    <row r="97" spans="1:192" s="93" customFormat="1" ht="12.75" hidden="1" customHeight="1" outlineLevel="1">
      <c r="A97" s="81"/>
      <c r="B97" s="715" t="s">
        <v>283</v>
      </c>
      <c r="C97" s="128">
        <f t="shared" ref="C97:AH97" si="988">IFERROR(C43/C56,"")</f>
      </c>
      <c r="D97" s="129">
        <f t="shared" si="988"/>
      </c>
      <c r="E97" s="129">
        <f t="shared" si="988"/>
      </c>
      <c r="F97" s="129">
        <f t="shared" si="988"/>
      </c>
      <c r="G97" s="130">
        <f t="shared" si="988"/>
      </c>
      <c r="H97" s="128">
        <f t="shared" si="988"/>
      </c>
      <c r="I97" s="129">
        <f t="shared" si="988"/>
      </c>
      <c r="J97" s="129">
        <f t="shared" si="988"/>
      </c>
      <c r="K97" s="129">
        <f t="shared" si="988"/>
      </c>
      <c r="L97" s="130">
        <f t="shared" si="988"/>
      </c>
      <c r="M97" s="128">
        <f t="shared" si="988"/>
      </c>
      <c r="N97" s="129">
        <f t="shared" si="988"/>
      </c>
      <c r="O97" s="129">
        <f t="shared" si="988"/>
      </c>
      <c r="P97" s="129">
        <f t="shared" si="988"/>
      </c>
      <c r="Q97" s="130">
        <f t="shared" si="988"/>
      </c>
      <c r="R97" s="128">
        <f t="shared" si="988"/>
      </c>
      <c r="S97" s="129">
        <f t="shared" si="988"/>
      </c>
      <c r="T97" s="129">
        <f t="shared" si="988"/>
      </c>
      <c r="U97" s="129">
        <f t="shared" si="988"/>
      </c>
      <c r="V97" s="130">
        <f t="shared" si="988"/>
      </c>
      <c r="W97" s="128">
        <f t="shared" si="988"/>
      </c>
      <c r="X97" s="129">
        <f t="shared" si="988"/>
      </c>
      <c r="Y97" s="129">
        <f t="shared" si="988"/>
      </c>
      <c r="Z97" s="129">
        <f t="shared" si="988"/>
      </c>
      <c r="AA97" s="130">
        <f t="shared" si="988"/>
      </c>
      <c r="AB97" s="128">
        <f t="shared" si="988"/>
      </c>
      <c r="AC97" s="129">
        <f t="shared" si="988"/>
      </c>
      <c r="AD97" s="129">
        <f t="shared" si="988"/>
      </c>
      <c r="AE97" s="129">
        <f t="shared" si="988"/>
      </c>
      <c r="AF97" s="130">
        <f t="shared" si="988"/>
      </c>
      <c r="AG97" s="128">
        <f t="shared" si="988"/>
      </c>
      <c r="AH97" s="129">
        <f t="shared" si="988"/>
      </c>
      <c r="AI97" s="129">
        <f t="shared" ref="AI97:BN97" si="989">IFERROR(AI43/AI56,"")</f>
      </c>
      <c r="AJ97" s="129">
        <f t="shared" si="989"/>
      </c>
      <c r="AK97" s="130">
        <f t="shared" si="989"/>
      </c>
      <c r="AL97" s="128">
        <f t="shared" si="989"/>
      </c>
      <c r="AM97" s="129">
        <f t="shared" si="989"/>
      </c>
      <c r="AN97" s="129">
        <f t="shared" si="989"/>
      </c>
      <c r="AO97" s="129">
        <f t="shared" si="989"/>
      </c>
      <c r="AP97" s="130">
        <f t="shared" si="989"/>
      </c>
      <c r="AQ97" s="128">
        <f t="shared" si="989"/>
      </c>
      <c r="AR97" s="129">
        <f t="shared" si="989"/>
      </c>
      <c r="AS97" s="129">
        <f t="shared" si="989"/>
      </c>
      <c r="AT97" s="129">
        <f t="shared" si="989"/>
      </c>
      <c r="AU97" s="130">
        <f t="shared" si="989"/>
      </c>
      <c r="AV97" s="128">
        <f t="shared" si="989"/>
      </c>
      <c r="AW97" s="129">
        <f t="shared" si="989"/>
      </c>
      <c r="AX97" s="129">
        <f t="shared" si="989"/>
      </c>
      <c r="AY97" s="129">
        <f t="shared" si="989"/>
      </c>
      <c r="AZ97" s="130">
        <f t="shared" si="989"/>
      </c>
      <c r="BA97" s="128">
        <f t="shared" si="989"/>
      </c>
      <c r="BB97" s="129">
        <f t="shared" si="989"/>
      </c>
      <c r="BC97" s="129">
        <f t="shared" si="989"/>
      </c>
      <c r="BD97" s="129">
        <f t="shared" si="989"/>
      </c>
      <c r="BE97" s="130">
        <f t="shared" si="989"/>
      </c>
      <c r="BF97" s="128">
        <f t="shared" si="989"/>
      </c>
      <c r="BG97" s="129">
        <f t="shared" si="989"/>
      </c>
      <c r="BH97" s="129">
        <f t="shared" si="989"/>
      </c>
      <c r="BI97" s="129">
        <f t="shared" si="989"/>
      </c>
      <c r="BJ97" s="130">
        <f t="shared" si="989"/>
      </c>
      <c r="BK97" s="128">
        <f t="shared" si="989"/>
      </c>
      <c r="BL97" s="129">
        <f t="shared" si="989"/>
      </c>
      <c r="BM97" s="129">
        <f t="shared" si="989"/>
      </c>
      <c r="BN97" s="129">
        <f t="shared" si="989"/>
      </c>
      <c r="BO97" s="130">
        <f t="shared" ref="BO97:CT97" si="990">IFERROR(BO43/BO56,"")</f>
      </c>
      <c r="BP97" s="128">
        <f t="shared" si="990"/>
      </c>
      <c r="BQ97" s="129">
        <f t="shared" si="990"/>
      </c>
      <c r="BR97" s="129">
        <f t="shared" si="990"/>
      </c>
      <c r="BS97" s="129">
        <f t="shared" si="990"/>
      </c>
      <c r="BT97" s="130">
        <f t="shared" si="990"/>
      </c>
      <c r="BU97" s="128">
        <f t="shared" si="990"/>
      </c>
      <c r="BV97" s="129">
        <f t="shared" si="990"/>
      </c>
      <c r="BW97" s="129">
        <f t="shared" si="990"/>
      </c>
      <c r="BX97" s="129">
        <f t="shared" si="990"/>
      </c>
      <c r="BY97" s="130">
        <f t="shared" si="990"/>
      </c>
      <c r="BZ97" s="128">
        <f t="shared" si="990"/>
      </c>
      <c r="CA97" s="129">
        <f t="shared" si="990"/>
      </c>
      <c r="CB97" s="129">
        <f t="shared" si="990"/>
      </c>
      <c r="CC97" s="129">
        <f t="shared" si="990"/>
      </c>
      <c r="CD97" s="130">
        <f t="shared" si="990"/>
      </c>
      <c r="CE97" s="128">
        <f t="shared" si="990"/>
      </c>
      <c r="CF97" s="129">
        <f t="shared" si="990"/>
      </c>
      <c r="CG97" s="129">
        <f t="shared" si="990"/>
      </c>
      <c r="CH97" s="129">
        <f t="shared" si="990"/>
      </c>
      <c r="CI97" s="130">
        <f t="shared" si="990"/>
      </c>
      <c r="CJ97" s="128">
        <f t="shared" si="990"/>
      </c>
      <c r="CK97" s="129">
        <f t="shared" si="990"/>
      </c>
      <c r="CL97" s="129">
        <f t="shared" si="990"/>
      </c>
      <c r="CM97" s="129">
        <f t="shared" si="990"/>
      </c>
      <c r="CN97" s="130">
        <f t="shared" si="990"/>
      </c>
      <c r="CO97" s="128">
        <f t="shared" si="990"/>
      </c>
      <c r="CP97" s="129">
        <f t="shared" si="990"/>
      </c>
      <c r="CQ97" s="129">
        <f t="shared" si="990"/>
      </c>
      <c r="CR97" s="129">
        <f t="shared" si="990"/>
      </c>
      <c r="CS97" s="130">
        <f t="shared" si="990"/>
      </c>
      <c r="CT97" s="128">
        <f t="shared" si="990"/>
      </c>
      <c r="CU97" s="129">
        <f t="shared" ref="CU97:DZ97" si="991">IFERROR(CU43/CU56,"")</f>
      </c>
      <c r="CV97" s="129">
        <f t="shared" si="991"/>
      </c>
      <c r="CW97" s="129">
        <f t="shared" si="991"/>
      </c>
      <c r="CX97" s="130">
        <f t="shared" si="991"/>
      </c>
      <c r="CY97" s="128">
        <f t="shared" si="991"/>
      </c>
      <c r="CZ97" s="129">
        <f t="shared" si="991"/>
      </c>
      <c r="DA97" s="129">
        <f t="shared" si="991"/>
      </c>
      <c r="DB97" s="129">
        <f t="shared" si="991"/>
      </c>
      <c r="DC97" s="130">
        <f t="shared" si="991"/>
      </c>
      <c r="DD97" s="128">
        <f t="shared" si="991"/>
      </c>
      <c r="DE97" s="129">
        <f t="shared" si="991"/>
      </c>
      <c r="DF97" s="129">
        <f t="shared" si="991"/>
      </c>
      <c r="DG97" s="129">
        <f t="shared" si="991"/>
      </c>
      <c r="DH97" s="130">
        <f t="shared" si="991"/>
      </c>
      <c r="DI97" s="128">
        <f t="shared" si="991"/>
      </c>
      <c r="DJ97" s="129">
        <f t="shared" si="991"/>
      </c>
      <c r="DK97" s="129">
        <f t="shared" si="991"/>
      </c>
      <c r="DL97" s="129">
        <f t="shared" si="991"/>
      </c>
      <c r="DM97" s="130">
        <f t="shared" si="991"/>
      </c>
      <c r="DN97" s="128">
        <f t="shared" si="991"/>
      </c>
      <c r="DO97" s="129">
        <f t="shared" si="991"/>
      </c>
      <c r="DP97" s="129">
        <f t="shared" si="991"/>
      </c>
      <c r="DQ97" s="129">
        <f t="shared" si="991"/>
      </c>
      <c r="DR97" s="130">
        <f t="shared" si="991"/>
      </c>
      <c r="DS97" s="128">
        <f t="shared" si="991"/>
      </c>
      <c r="DT97" s="129">
        <f t="shared" si="991"/>
      </c>
      <c r="DU97" s="129">
        <f t="shared" si="991"/>
      </c>
      <c r="DV97" s="129">
        <f t="shared" si="991"/>
      </c>
      <c r="DW97" s="130">
        <f t="shared" si="991"/>
      </c>
      <c r="DX97" s="128">
        <f t="shared" si="991"/>
      </c>
      <c r="DY97" s="129">
        <f t="shared" si="991"/>
      </c>
      <c r="DZ97" s="129">
        <f t="shared" si="991"/>
      </c>
      <c r="EA97" s="129">
        <f t="shared" ref="EA97:EY97" si="992">IFERROR(EA43/EA56,"")</f>
      </c>
      <c r="EB97" s="130">
        <f t="shared" si="992"/>
      </c>
      <c r="EC97" s="128">
        <f t="shared" si="992"/>
      </c>
      <c r="ED97" s="129">
        <f t="shared" si="992"/>
      </c>
      <c r="EE97" s="129">
        <f t="shared" si="992"/>
      </c>
      <c r="EF97" s="129">
        <f t="shared" si="992"/>
      </c>
      <c r="EG97" s="130">
        <f t="shared" si="992"/>
      </c>
      <c r="EH97" s="128">
        <f t="shared" si="992"/>
      </c>
      <c r="EI97" s="129">
        <f t="shared" si="992"/>
      </c>
      <c r="EJ97" s="129">
        <f t="shared" si="992"/>
      </c>
      <c r="EK97" s="129">
        <f t="shared" si="992"/>
      </c>
      <c r="EL97" s="130">
        <f t="shared" si="992"/>
      </c>
      <c r="EM97" s="128">
        <f t="shared" si="992"/>
      </c>
      <c r="EN97" s="129">
        <f t="shared" si="992"/>
      </c>
      <c r="EO97" s="129">
        <f t="shared" si="992"/>
      </c>
      <c r="EP97" s="129">
        <f t="shared" si="992"/>
      </c>
      <c r="EQ97" s="130">
        <f t="shared" si="992"/>
      </c>
      <c r="ER97" s="128">
        <f t="shared" si="992"/>
      </c>
      <c r="ES97" s="129">
        <f t="shared" si="992"/>
      </c>
      <c r="ET97" s="129">
        <f t="shared" si="992"/>
      </c>
      <c r="EU97" s="129">
        <f t="shared" si="992"/>
      </c>
      <c r="EV97" s="130">
        <f t="shared" si="992"/>
      </c>
      <c r="EW97" s="128">
        <f t="shared" si="992"/>
      </c>
      <c r="EX97" s="129">
        <f t="shared" si="992"/>
      </c>
      <c r="EY97" s="129">
        <f t="shared" si="992"/>
      </c>
      <c r="EZ97" s="129">
        <f t="shared" ref="EZ97:FA97" si="993">IFERROR(EZ43/EZ56,"")</f>
      </c>
      <c r="FA97" s="130">
        <f t="shared" si="993"/>
      </c>
      <c r="FB97" s="757">
        <f>EW97+8%</f>
      </c>
      <c r="FC97" s="755">
        <f>EX97+4%</f>
      </c>
      <c r="FD97" s="755">
        <f>EY97-5%</f>
      </c>
      <c r="FE97" s="755">
        <f t="shared" ref="FE97" si="994">EZ97-10%</f>
      </c>
      <c r="FF97" s="130">
        <f>IFERROR(FF43/FF56,"")</f>
      </c>
      <c r="FG97" s="757">
        <f t="shared" ref="FG97:FJ97" si="995">FB97-15%</f>
      </c>
      <c r="FH97" s="755">
        <f t="shared" si="995"/>
      </c>
      <c r="FI97" s="755">
        <f t="shared" si="995"/>
      </c>
      <c r="FJ97" s="755">
        <f t="shared" si="995"/>
      </c>
      <c r="FK97" s="130">
        <f>IFERROR(FK43/FK56,"")</f>
      </c>
      <c r="FL97" s="757">
        <f t="shared" ref="FL97:FO97" si="996">FG97-12%</f>
      </c>
      <c r="FM97" s="755">
        <f t="shared" si="996"/>
      </c>
      <c r="FN97" s="755">
        <f t="shared" si="996"/>
      </c>
      <c r="FO97" s="755">
        <f t="shared" si="996"/>
      </c>
      <c r="FP97" s="130">
        <f>IFERROR(FP43/FP56,"")</f>
      </c>
      <c r="FQ97" s="757">
        <f t="shared" ref="FQ97:FT97" si="997">FL97-14%</f>
      </c>
      <c r="FR97" s="755">
        <f t="shared" si="997"/>
      </c>
      <c r="FS97" s="755">
        <f t="shared" si="997"/>
      </c>
      <c r="FT97" s="755">
        <f t="shared" si="997"/>
      </c>
      <c r="FU97" s="130">
        <f>IFERROR(FU43/FU56,"")</f>
      </c>
      <c r="FV97" s="757">
        <f t="shared" ref="FV97:FY97" si="998">FQ97-5%</f>
      </c>
      <c r="FW97" s="755">
        <f t="shared" si="998"/>
      </c>
      <c r="FX97" s="755">
        <f t="shared" si="998"/>
      </c>
      <c r="FY97" s="755">
        <f t="shared" si="998"/>
      </c>
      <c r="FZ97" s="130">
        <f>IFERROR(FZ43/FZ56,"")</f>
      </c>
      <c r="GA97" s="757">
        <f t="shared" ref="GA97:GD97" si="999">FV97</f>
      </c>
      <c r="GB97" s="755">
        <f t="shared" si="999"/>
      </c>
      <c r="GC97" s="755">
        <f t="shared" si="999"/>
      </c>
      <c r="GD97" s="755">
        <f t="shared" si="999"/>
      </c>
      <c r="GE97" s="130">
        <f>IFERROR(GE43/GE56,"")</f>
      </c>
      <c r="GF97" s="757">
        <f t="shared" ref="GF97" si="1000">GA97</f>
      </c>
      <c r="GG97" s="755">
        <f t="shared" ref="GG97" si="1001">GB97</f>
      </c>
      <c r="GH97" s="755">
        <f t="shared" ref="GH97" si="1002">GC97</f>
      </c>
      <c r="GI97" s="755">
        <f t="shared" ref="GI97" si="1003">GD97</f>
      </c>
      <c r="GJ97" s="130">
        <f>IFERROR(GJ43/GJ56,"")</f>
      </c>
    </row>
    <row r="98" spans="1:192" s="93" customFormat="1" ht="12.75" hidden="1" customHeight="1" outlineLevel="1">
      <c r="A98" s="81"/>
      <c r="B98" s="704" t="s">
        <v>173</v>
      </c>
      <c r="C98" s="125">
        <f>CF!C30</f>
      </c>
      <c r="D98" s="126">
        <f>CF!D30</f>
      </c>
      <c r="E98" s="126">
        <f>CF!E30</f>
      </c>
      <c r="F98" s="126">
        <f>CF!F30</f>
      </c>
      <c r="G98" s="127">
        <f>CF!G30</f>
      </c>
      <c r="H98" s="125">
        <f>CF!H30</f>
      </c>
      <c r="I98" s="126">
        <f>CF!I30</f>
      </c>
      <c r="J98" s="126">
        <f>CF!J30</f>
      </c>
      <c r="K98" s="126">
        <f>CF!K30</f>
      </c>
      <c r="L98" s="127">
        <f>CF!L30</f>
      </c>
      <c r="M98" s="125">
        <f>CF!M30</f>
      </c>
      <c r="N98" s="126">
        <f>CF!N30</f>
      </c>
      <c r="O98" s="126">
        <f>CF!O30</f>
      </c>
      <c r="P98" s="126">
        <f>CF!P30</f>
      </c>
      <c r="Q98" s="127">
        <f>CF!Q30</f>
      </c>
      <c r="R98" s="125">
        <f>CF!R30</f>
      </c>
      <c r="S98" s="126">
        <f>CF!S30</f>
      </c>
      <c r="T98" s="126">
        <f>CF!T30</f>
      </c>
      <c r="U98" s="126">
        <f>CF!U30</f>
      </c>
      <c r="V98" s="127">
        <f>CF!V30</f>
      </c>
      <c r="W98" s="125">
        <f>CF!W30</f>
      </c>
      <c r="X98" s="126">
        <f>CF!X30</f>
      </c>
      <c r="Y98" s="126">
        <f>CF!Y30</f>
      </c>
      <c r="Z98" s="126">
        <f>CF!Z30</f>
      </c>
      <c r="AA98" s="127">
        <f>CF!AA30</f>
      </c>
      <c r="AB98" s="125">
        <f>CF!AB30</f>
      </c>
      <c r="AC98" s="126">
        <f>CF!AC30</f>
      </c>
      <c r="AD98" s="126">
        <f>CF!AD30</f>
      </c>
      <c r="AE98" s="126">
        <f>CF!AE30</f>
      </c>
      <c r="AF98" s="127">
        <f>CF!AF30</f>
      </c>
      <c r="AG98" s="125">
        <f>CF!AG30</f>
      </c>
      <c r="AH98" s="126">
        <f>CF!AH30</f>
      </c>
      <c r="AI98" s="126">
        <f>CF!AI30</f>
      </c>
      <c r="AJ98" s="126">
        <f>CF!AJ30</f>
      </c>
      <c r="AK98" s="127">
        <f>CF!AK30</f>
      </c>
      <c r="AL98" s="125">
        <f>CF!AL30</f>
      </c>
      <c r="AM98" s="126">
        <f>CF!AM30</f>
      </c>
      <c r="AN98" s="126">
        <f>CF!AN30</f>
      </c>
      <c r="AO98" s="126">
        <f>CF!AO30</f>
      </c>
      <c r="AP98" s="127">
        <f>CF!AP30</f>
      </c>
      <c r="AQ98" s="125">
        <f>CF!AQ30</f>
      </c>
      <c r="AR98" s="126">
        <f>CF!AR30</f>
      </c>
      <c r="AS98" s="126">
        <f>CF!AS30</f>
      </c>
      <c r="AT98" s="126">
        <f>CF!AT30</f>
      </c>
      <c r="AU98" s="127">
        <f>CF!AU30</f>
      </c>
      <c r="AV98" s="125">
        <f>CF!AV30</f>
      </c>
      <c r="AW98" s="126">
        <f>CF!AW30</f>
      </c>
      <c r="AX98" s="126">
        <f>CF!AX30</f>
      </c>
      <c r="AY98" s="126">
        <f>CF!AY30</f>
      </c>
      <c r="AZ98" s="127">
        <f>CF!AZ30</f>
      </c>
      <c r="BA98" s="125">
        <f>CF!BA30</f>
      </c>
      <c r="BB98" s="126">
        <f>CF!BB30</f>
      </c>
      <c r="BC98" s="126">
        <f>CF!BC30</f>
      </c>
      <c r="BD98" s="126">
        <f>CF!BD30</f>
      </c>
      <c r="BE98" s="127">
        <f>CF!BE30</f>
      </c>
      <c r="BF98" s="125">
        <f>CF!BF30</f>
      </c>
      <c r="BG98" s="126">
        <f>CF!BG30</f>
      </c>
      <c r="BH98" s="126">
        <f>CF!BH30</f>
      </c>
      <c r="BI98" s="126">
        <f>CF!BI30</f>
      </c>
      <c r="BJ98" s="127">
        <f>CF!BJ30</f>
      </c>
      <c r="BK98" s="125">
        <f>CF!BK30</f>
      </c>
      <c r="BL98" s="126">
        <f>CF!BL30</f>
      </c>
      <c r="BM98" s="126">
        <f>CF!BM30</f>
      </c>
      <c r="BN98" s="126">
        <f>CF!BN30</f>
      </c>
      <c r="BO98" s="127">
        <f>CF!BO30</f>
      </c>
      <c r="BP98" s="125">
        <f>CF!BP30</f>
      </c>
      <c r="BQ98" s="126">
        <f>CF!BQ30</f>
      </c>
      <c r="BR98" s="126">
        <f>CF!BR30</f>
      </c>
      <c r="BS98" s="126">
        <f>CF!BS30</f>
      </c>
      <c r="BT98" s="127">
        <f>CF!BT30</f>
      </c>
      <c r="BU98" s="125">
        <f>CF!BU30</f>
      </c>
      <c r="BV98" s="126">
        <f>CF!BV30</f>
      </c>
      <c r="BW98" s="126">
        <f>CF!BW30</f>
      </c>
      <c r="BX98" s="126">
        <f>CF!BX30</f>
      </c>
      <c r="BY98" s="127">
        <f>CF!BY30</f>
      </c>
      <c r="BZ98" s="125">
        <f>CF!BZ30</f>
      </c>
      <c r="CA98" s="126">
        <f>CF!CA30</f>
      </c>
      <c r="CB98" s="126">
        <f>CF!CB30</f>
      </c>
      <c r="CC98" s="126">
        <f>CF!CC30</f>
      </c>
      <c r="CD98" s="127">
        <f>CF!CD30</f>
      </c>
      <c r="CE98" s="125">
        <f>CF!CE30</f>
      </c>
      <c r="CF98" s="126">
        <f>CF!CF30</f>
      </c>
      <c r="CG98" s="126">
        <f>CF!CG30</f>
      </c>
      <c r="CH98" s="126">
        <f>CF!CH30</f>
      </c>
      <c r="CI98" s="127">
        <f>CF!CI30</f>
      </c>
      <c r="CJ98" s="125">
        <f>CF!CJ30</f>
      </c>
      <c r="CK98" s="126">
        <f>CF!CK30</f>
      </c>
      <c r="CL98" s="126">
        <f>CF!CL30</f>
      </c>
      <c r="CM98" s="126">
        <f>CF!CM30</f>
      </c>
      <c r="CN98" s="127">
        <f>CF!CN30</f>
      </c>
      <c r="CO98" s="125">
        <f>CF!CO30</f>
      </c>
      <c r="CP98" s="126">
        <f>CF!CP30</f>
      </c>
      <c r="CQ98" s="126">
        <f>CF!CQ30</f>
      </c>
      <c r="CR98" s="126">
        <f>CF!CR30</f>
      </c>
      <c r="CS98" s="127">
        <f>CF!CS30</f>
      </c>
      <c r="CT98" s="125">
        <f>CF!CT30</f>
      </c>
      <c r="CU98" s="126">
        <f>CF!CU30</f>
      </c>
      <c r="CV98" s="126">
        <f>CF!CV30</f>
      </c>
      <c r="CW98" s="126">
        <f>CF!CW30</f>
      </c>
      <c r="CX98" s="127">
        <f>CF!CX30</f>
      </c>
      <c r="CY98" s="125">
        <f>CF!CY30</f>
      </c>
      <c r="CZ98" s="126">
        <f>CF!CZ30</f>
      </c>
      <c r="DA98" s="126">
        <f>CF!DA30</f>
      </c>
      <c r="DB98" s="126">
        <f>CF!DB30</f>
      </c>
      <c r="DC98" s="127">
        <f>CF!DC30</f>
      </c>
      <c r="DD98" s="125">
        <f>CF!DD30</f>
      </c>
      <c r="DE98" s="126">
        <f>CF!DE30</f>
      </c>
      <c r="DF98" s="126">
        <f>CF!DF30</f>
      </c>
      <c r="DG98" s="126">
        <f>CF!DG30</f>
      </c>
      <c r="DH98" s="127">
        <f>CF!DH30</f>
      </c>
      <c r="DI98" s="125">
        <f>CF!DI30</f>
      </c>
      <c r="DJ98" s="126">
        <f>CF!DJ30</f>
      </c>
      <c r="DK98" s="126">
        <f>CF!DK30</f>
      </c>
      <c r="DL98" s="126">
        <f>CF!DL30</f>
      </c>
      <c r="DM98" s="127">
        <f>CF!DM30</f>
      </c>
      <c r="DN98" s="125">
        <f>CF!DN30</f>
      </c>
      <c r="DO98" s="126">
        <f>CF!DO30</f>
      </c>
      <c r="DP98" s="126">
        <f>CF!DP30</f>
      </c>
      <c r="DQ98" s="126">
        <f>CF!DQ30</f>
      </c>
      <c r="DR98" s="127">
        <f>CF!DR30</f>
      </c>
      <c r="DS98" s="125">
        <f>CF!DS30</f>
      </c>
      <c r="DT98" s="126">
        <f>CF!DT30</f>
      </c>
      <c r="DU98" s="126">
        <f>CF!DU30</f>
      </c>
      <c r="DV98" s="126">
        <f>CF!DV30</f>
      </c>
      <c r="DW98" s="127">
        <f>CF!DW30</f>
      </c>
      <c r="DX98" s="125">
        <f>CF!DX30</f>
      </c>
      <c r="DY98" s="126">
        <f>CF!DY30</f>
      </c>
      <c r="DZ98" s="126">
        <f>CF!DZ30</f>
      </c>
      <c r="EA98" s="126">
        <f>CF!EA30</f>
      </c>
      <c r="EB98" s="127">
        <f>CF!EB30</f>
      </c>
      <c r="EC98" s="125">
        <f>CF!EC30</f>
      </c>
      <c r="ED98" s="126">
        <f>CF!ED30</f>
      </c>
      <c r="EE98" s="126">
        <f>CF!EE30</f>
      </c>
      <c r="EF98" s="126">
        <f>CF!EF30</f>
      </c>
      <c r="EG98" s="127">
        <f>CF!EG30</f>
      </c>
      <c r="EH98" s="125">
        <f>CF!EH30</f>
      </c>
      <c r="EI98" s="126">
        <f>CF!EI30</f>
      </c>
      <c r="EJ98" s="126">
        <f>CF!EJ30</f>
      </c>
      <c r="EK98" s="126">
        <f>CF!EK30</f>
      </c>
      <c r="EL98" s="127">
        <f>CF!EL30</f>
      </c>
      <c r="EM98" s="125">
        <f>CF!EM30</f>
      </c>
      <c r="EN98" s="126">
        <f>CF!EN30</f>
      </c>
      <c r="EO98" s="126">
        <f>CF!EO30</f>
      </c>
      <c r="EP98" s="126">
        <f>CF!EP30</f>
      </c>
      <c r="EQ98" s="127">
        <f>CF!EQ30</f>
      </c>
      <c r="ER98" s="125">
        <f>CF!ER30</f>
      </c>
      <c r="ES98" s="126">
        <f>CF!ES30</f>
      </c>
      <c r="ET98" s="126">
        <f>CF!ET30</f>
      </c>
      <c r="EU98" s="126">
        <f>CF!EU30</f>
      </c>
      <c r="EV98" s="127">
        <f>CF!EV30</f>
      </c>
      <c r="EW98" s="125">
        <f>CF!EW30</f>
      </c>
      <c r="EX98" s="126">
        <f>CF!EX30</f>
      </c>
      <c r="EY98" s="126">
        <f>CF!EY30</f>
      </c>
      <c r="EZ98" s="126">
        <f>CF!EZ30</f>
      </c>
      <c r="FA98" s="127">
        <f>CF!FA30</f>
      </c>
      <c r="FB98" s="125">
        <f>CF!FB30</f>
      </c>
      <c r="FC98" s="126">
        <f>CF!FC30</f>
      </c>
      <c r="FD98" s="126">
        <f>CF!FD30</f>
      </c>
      <c r="FE98" s="126">
        <f>CF!FE30</f>
      </c>
      <c r="FF98" s="127">
        <f>CF!FF30</f>
      </c>
      <c r="FG98" s="125">
        <f>CF!FG30</f>
      </c>
      <c r="FH98" s="126">
        <f>CF!FH30</f>
      </c>
      <c r="FI98" s="126">
        <f>CF!FI30</f>
      </c>
      <c r="FJ98" s="126">
        <f>CF!FJ30</f>
      </c>
      <c r="FK98" s="127">
        <f>CF!FK30</f>
      </c>
      <c r="FL98" s="125">
        <f>CF!FL30</f>
      </c>
      <c r="FM98" s="126">
        <f>CF!FM30</f>
      </c>
      <c r="FN98" s="126">
        <f>CF!FN30</f>
      </c>
      <c r="FO98" s="126">
        <f>CF!FO30</f>
      </c>
      <c r="FP98" s="127">
        <f>CF!FP30</f>
      </c>
      <c r="FQ98" s="125">
        <f>CF!FQ30</f>
      </c>
      <c r="FR98" s="126">
        <f>CF!FR30</f>
      </c>
      <c r="FS98" s="126">
        <f>CF!FS30</f>
      </c>
      <c r="FT98" s="126">
        <f>CF!FT30</f>
      </c>
      <c r="FU98" s="127">
        <f>CF!FU30</f>
      </c>
      <c r="FV98" s="125">
        <f>CF!FV30</f>
      </c>
      <c r="FW98" s="126">
        <f>CF!FW30</f>
      </c>
      <c r="FX98" s="126">
        <f>CF!FX30</f>
      </c>
      <c r="FY98" s="126">
        <f>CF!FY30</f>
      </c>
      <c r="FZ98" s="127">
        <f>CF!FZ30</f>
      </c>
      <c r="GA98" s="125">
        <f>CF!GA30</f>
      </c>
      <c r="GB98" s="126">
        <f>CF!GB30</f>
      </c>
      <c r="GC98" s="126">
        <f>CF!GC30</f>
      </c>
      <c r="GD98" s="126">
        <f>CF!GD30</f>
      </c>
      <c r="GE98" s="127">
        <f>CF!GE30</f>
      </c>
      <c r="GF98" s="125">
        <f>CF!GF30</f>
      </c>
      <c r="GG98" s="126">
        <f>CF!GG30</f>
      </c>
      <c r="GH98" s="126">
        <f>CF!GH30</f>
      </c>
      <c r="GI98" s="126">
        <f>CF!GI30</f>
      </c>
      <c r="GJ98" s="127">
        <f>CF!GJ30</f>
      </c>
    </row>
    <row r="99" spans="1:192" s="93" customFormat="1" ht="12.75" hidden="1" customHeight="1" outlineLevel="1">
      <c r="A99" s="81"/>
      <c r="B99" s="704"/>
      <c r="C99" s="125"/>
      <c r="D99" s="126"/>
      <c r="E99" s="126"/>
      <c r="F99" s="126"/>
      <c r="G99" s="127"/>
      <c r="H99" s="125"/>
      <c r="I99" s="126"/>
      <c r="J99" s="126"/>
      <c r="K99" s="126"/>
      <c r="L99" s="127"/>
      <c r="M99" s="125"/>
      <c r="N99" s="126"/>
      <c r="O99" s="126"/>
      <c r="P99" s="126"/>
      <c r="Q99" s="127"/>
      <c r="R99" s="125"/>
      <c r="S99" s="126"/>
      <c r="T99" s="126"/>
      <c r="U99" s="126"/>
      <c r="V99" s="127"/>
      <c r="W99" s="125"/>
      <c r="X99" s="126"/>
      <c r="Y99" s="126"/>
      <c r="Z99" s="126"/>
      <c r="AA99" s="127"/>
      <c r="AB99" s="125"/>
      <c r="AC99" s="126"/>
      <c r="AD99" s="126"/>
      <c r="AE99" s="126"/>
      <c r="AF99" s="127"/>
      <c r="AG99" s="125"/>
      <c r="AH99" s="126"/>
      <c r="AI99" s="126"/>
      <c r="AJ99" s="126"/>
      <c r="AK99" s="127"/>
      <c r="AL99" s="125"/>
      <c r="AM99" s="126"/>
      <c r="AN99" s="126"/>
      <c r="AO99" s="126"/>
      <c r="AP99" s="127"/>
      <c r="AQ99" s="125"/>
      <c r="AR99" s="126"/>
      <c r="AS99" s="126"/>
      <c r="AT99" s="126"/>
      <c r="AU99" s="127"/>
      <c r="AV99" s="125"/>
      <c r="AW99" s="126"/>
      <c r="AX99" s="126"/>
      <c r="AY99" s="126"/>
      <c r="AZ99" s="127"/>
      <c r="BA99" s="125"/>
      <c r="BB99" s="126"/>
      <c r="BC99" s="126"/>
      <c r="BD99" s="126"/>
      <c r="BE99" s="127"/>
      <c r="BF99" s="125"/>
      <c r="BG99" s="126"/>
      <c r="BH99" s="126"/>
      <c r="BI99" s="126"/>
      <c r="BJ99" s="127"/>
      <c r="BK99" s="125"/>
      <c r="BL99" s="126"/>
      <c r="BM99" s="126"/>
      <c r="BN99" s="126"/>
      <c r="BO99" s="127"/>
      <c r="BP99" s="125"/>
      <c r="BQ99" s="126"/>
      <c r="BR99" s="126"/>
      <c r="BS99" s="126"/>
      <c r="BT99" s="127"/>
      <c r="BU99" s="125"/>
      <c r="BV99" s="126"/>
      <c r="BW99" s="126"/>
      <c r="BX99" s="126"/>
      <c r="BY99" s="127"/>
      <c r="BZ99" s="125"/>
      <c r="CA99" s="126"/>
      <c r="CB99" s="126"/>
      <c r="CC99" s="126"/>
      <c r="CD99" s="127"/>
      <c r="CE99" s="125"/>
      <c r="CF99" s="126"/>
      <c r="CG99" s="126"/>
      <c r="CH99" s="126"/>
      <c r="CI99" s="127"/>
      <c r="CJ99" s="125"/>
      <c r="CK99" s="126"/>
      <c r="CL99" s="126"/>
      <c r="CM99" s="126"/>
      <c r="CN99" s="127"/>
      <c r="CO99" s="125"/>
      <c r="CP99" s="126"/>
      <c r="CQ99" s="126"/>
      <c r="CR99" s="126"/>
      <c r="CS99" s="127"/>
      <c r="CT99" s="125"/>
      <c r="CU99" s="126"/>
      <c r="CV99" s="126"/>
      <c r="CW99" s="126"/>
      <c r="CX99" s="127"/>
      <c r="CY99" s="125"/>
      <c r="CZ99" s="126"/>
      <c r="DA99" s="126"/>
      <c r="DB99" s="126"/>
      <c r="DC99" s="127"/>
      <c r="DD99" s="125"/>
      <c r="DE99" s="126"/>
      <c r="DF99" s="126"/>
      <c r="DG99" s="126"/>
      <c r="DH99" s="127"/>
      <c r="DI99" s="125"/>
      <c r="DJ99" s="126"/>
      <c r="DK99" s="126"/>
      <c r="DL99" s="126"/>
      <c r="DM99" s="127"/>
      <c r="DN99" s="125"/>
      <c r="DO99" s="126"/>
      <c r="DP99" s="126"/>
      <c r="DQ99" s="126"/>
      <c r="DR99" s="127"/>
      <c r="DS99" s="125"/>
      <c r="DT99" s="126"/>
      <c r="DU99" s="126"/>
      <c r="DV99" s="126"/>
      <c r="DW99" s="127"/>
      <c r="DX99" s="125"/>
      <c r="DY99" s="126"/>
      <c r="DZ99" s="126"/>
      <c r="EA99" s="126"/>
      <c r="EB99" s="127"/>
      <c r="EC99" s="125"/>
      <c r="ED99" s="126"/>
      <c r="EE99" s="126"/>
      <c r="EF99" s="126"/>
      <c r="EG99" s="127"/>
      <c r="EH99" s="125"/>
      <c r="EI99" s="126"/>
      <c r="EJ99" s="126"/>
      <c r="EK99" s="126"/>
      <c r="EL99" s="127"/>
      <c r="EM99" s="125"/>
      <c r="EN99" s="126"/>
      <c r="EO99" s="126"/>
      <c r="EP99" s="126"/>
      <c r="EQ99" s="127"/>
      <c r="ER99" s="125"/>
      <c r="ES99" s="126"/>
      <c r="ET99" s="126"/>
      <c r="EU99" s="126"/>
      <c r="EV99" s="127"/>
      <c r="EW99" s="125"/>
      <c r="EX99" s="126"/>
      <c r="EY99" s="126"/>
      <c r="EZ99" s="126"/>
      <c r="FA99" s="127"/>
      <c r="FB99" s="125"/>
      <c r="FC99" s="126"/>
      <c r="FD99" s="126"/>
      <c r="FE99" s="126"/>
      <c r="FF99" s="127"/>
      <c r="FG99" s="125"/>
      <c r="FH99" s="126"/>
      <c r="FI99" s="126"/>
      <c r="FJ99" s="126"/>
      <c r="FK99" s="127"/>
      <c r="FL99" s="125"/>
      <c r="FM99" s="126"/>
      <c r="FN99" s="126"/>
      <c r="FO99" s="126"/>
      <c r="FP99" s="127"/>
      <c r="FQ99" s="125"/>
      <c r="FR99" s="126"/>
      <c r="FS99" s="126"/>
      <c r="FT99" s="126"/>
      <c r="FU99" s="127"/>
      <c r="FV99" s="125"/>
      <c r="FW99" s="126"/>
      <c r="FX99" s="126"/>
      <c r="FY99" s="126"/>
      <c r="FZ99" s="127"/>
      <c r="GA99" s="125"/>
      <c r="GB99" s="126"/>
      <c r="GC99" s="126"/>
      <c r="GD99" s="126"/>
      <c r="GE99" s="127"/>
      <c r="GF99" s="125"/>
      <c r="GG99" s="126"/>
      <c r="GH99" s="126"/>
      <c r="GI99" s="126"/>
      <c r="GJ99" s="127"/>
    </row>
    <row r="100" spans="1:192" s="93" customFormat="1" ht="12.75" hidden="1" customHeight="1" outlineLevel="1">
      <c r="A100" s="123"/>
      <c r="B100" s="717" t="s">
        <v>45</v>
      </c>
      <c r="C100" s="364">
        <f>CF!C31</f>
      </c>
      <c r="D100" s="365">
        <f>CF!D31</f>
      </c>
      <c r="E100" s="365">
        <f>CF!E31</f>
      </c>
      <c r="F100" s="365">
        <f>CF!F31</f>
      </c>
      <c r="G100" s="366">
        <f>CF!G31</f>
      </c>
      <c r="H100" s="364">
        <f>CF!H31</f>
      </c>
      <c r="I100" s="365">
        <f>CF!I31</f>
      </c>
      <c r="J100" s="365">
        <f>CF!J31</f>
      </c>
      <c r="K100" s="365">
        <f>CF!K31</f>
      </c>
      <c r="L100" s="366">
        <f>CF!L31</f>
      </c>
      <c r="M100" s="364">
        <f>CF!M31</f>
      </c>
      <c r="N100" s="365">
        <f>CF!N31</f>
      </c>
      <c r="O100" s="365">
        <f>CF!O31</f>
      </c>
      <c r="P100" s="365">
        <f>CF!P31</f>
      </c>
      <c r="Q100" s="366">
        <f>CF!Q31</f>
      </c>
      <c r="R100" s="364">
        <f>CF!R31</f>
      </c>
      <c r="S100" s="365">
        <f>CF!S31</f>
      </c>
      <c r="T100" s="365">
        <f>CF!T31</f>
      </c>
      <c r="U100" s="365">
        <f>CF!U31</f>
      </c>
      <c r="V100" s="366">
        <f>CF!V31</f>
      </c>
      <c r="W100" s="364">
        <f>CF!W31</f>
      </c>
      <c r="X100" s="365">
        <f>CF!X31</f>
      </c>
      <c r="Y100" s="365">
        <f>CF!Y31</f>
      </c>
      <c r="Z100" s="365">
        <f>CF!Z31</f>
      </c>
      <c r="AA100" s="366">
        <f>CF!AA31</f>
      </c>
      <c r="AB100" s="364">
        <f>CF!AB31</f>
      </c>
      <c r="AC100" s="365">
        <f>CF!AC31</f>
      </c>
      <c r="AD100" s="365">
        <f>CF!AD31</f>
      </c>
      <c r="AE100" s="365">
        <f>CF!AE31</f>
      </c>
      <c r="AF100" s="366">
        <f>CF!AF31</f>
      </c>
      <c r="AG100" s="364">
        <f>CF!AG31</f>
      </c>
      <c r="AH100" s="365">
        <f>CF!AH31</f>
      </c>
      <c r="AI100" s="365">
        <f>CF!AI31</f>
      </c>
      <c r="AJ100" s="365">
        <f>CF!AJ31</f>
      </c>
      <c r="AK100" s="366">
        <f>CF!AK31</f>
      </c>
      <c r="AL100" s="364">
        <f>CF!AL31</f>
      </c>
      <c r="AM100" s="365">
        <f>CF!AM31</f>
      </c>
      <c r="AN100" s="365">
        <f>CF!AN31</f>
      </c>
      <c r="AO100" s="365">
        <f>CF!AO31</f>
      </c>
      <c r="AP100" s="366">
        <f>CF!AP31</f>
      </c>
      <c r="AQ100" s="364">
        <f>CF!AQ31</f>
      </c>
      <c r="AR100" s="365">
        <f>CF!AR31</f>
      </c>
      <c r="AS100" s="365">
        <f>CF!AS31</f>
      </c>
      <c r="AT100" s="365">
        <f>CF!AT31</f>
      </c>
      <c r="AU100" s="366">
        <f>CF!AU31</f>
      </c>
      <c r="AV100" s="364">
        <f>CF!AV31</f>
      </c>
      <c r="AW100" s="365">
        <f>CF!AW31</f>
      </c>
      <c r="AX100" s="365">
        <f>CF!AX31</f>
      </c>
      <c r="AY100" s="365">
        <f>CF!AY31</f>
      </c>
      <c r="AZ100" s="366">
        <f>CF!AZ31</f>
      </c>
      <c r="BA100" s="364">
        <f>CF!BA31</f>
      </c>
      <c r="BB100" s="365">
        <f>CF!BB31</f>
      </c>
      <c r="BC100" s="365">
        <f>CF!BC31</f>
      </c>
      <c r="BD100" s="365">
        <f>CF!BD31</f>
      </c>
      <c r="BE100" s="366">
        <f>CF!BE31</f>
      </c>
      <c r="BF100" s="364">
        <f>CF!BF31</f>
      </c>
      <c r="BG100" s="365">
        <f>CF!BG31</f>
      </c>
      <c r="BH100" s="365">
        <f>CF!BH31</f>
      </c>
      <c r="BI100" s="365">
        <f>CF!BI31</f>
      </c>
      <c r="BJ100" s="366">
        <f>CF!BJ31</f>
      </c>
      <c r="BK100" s="364">
        <f>CF!BK31</f>
      </c>
      <c r="BL100" s="365">
        <f>CF!BL31</f>
      </c>
      <c r="BM100" s="365">
        <f>CF!BM31</f>
      </c>
      <c r="BN100" s="365">
        <f>CF!BN31</f>
      </c>
      <c r="BO100" s="366">
        <f>CF!BO31</f>
      </c>
      <c r="BP100" s="364">
        <f>CF!BP31</f>
      </c>
      <c r="BQ100" s="365">
        <f>CF!BQ31</f>
      </c>
      <c r="BR100" s="365">
        <f>CF!BR31</f>
      </c>
      <c r="BS100" s="365">
        <f>CF!BS31</f>
      </c>
      <c r="BT100" s="366">
        <f>CF!BT31</f>
      </c>
      <c r="BU100" s="364">
        <f>CF!BU31</f>
      </c>
      <c r="BV100" s="365">
        <f>CF!BV31</f>
      </c>
      <c r="BW100" s="365">
        <f>CF!BW31</f>
      </c>
      <c r="BX100" s="365">
        <f>CF!BX31</f>
      </c>
      <c r="BY100" s="366">
        <f>CF!BY31</f>
      </c>
      <c r="BZ100" s="364">
        <f>CF!BZ31</f>
      </c>
      <c r="CA100" s="365">
        <f>CF!CA31</f>
      </c>
      <c r="CB100" s="365">
        <f>CF!CB31</f>
      </c>
      <c r="CC100" s="365">
        <f>CF!CC31</f>
      </c>
      <c r="CD100" s="366">
        <f>CF!CD31</f>
      </c>
      <c r="CE100" s="364">
        <f>CF!CE31</f>
      </c>
      <c r="CF100" s="365">
        <f>CF!CF31</f>
      </c>
      <c r="CG100" s="365">
        <f>CF!CG31</f>
      </c>
      <c r="CH100" s="365">
        <f>CF!CH31</f>
      </c>
      <c r="CI100" s="366">
        <f>CF!CI31</f>
      </c>
      <c r="CJ100" s="364">
        <f>CF!CJ31</f>
      </c>
      <c r="CK100" s="365">
        <f>CF!CK31</f>
      </c>
      <c r="CL100" s="365">
        <f>CF!CL31</f>
      </c>
      <c r="CM100" s="365">
        <f>CF!CM31</f>
      </c>
      <c r="CN100" s="366">
        <f>CF!CN31</f>
      </c>
      <c r="CO100" s="364">
        <f>CF!CO31</f>
      </c>
      <c r="CP100" s="365">
        <f>CF!CP31</f>
      </c>
      <c r="CQ100" s="365">
        <f>CF!CQ31</f>
      </c>
      <c r="CR100" s="365">
        <f>CF!CR31</f>
      </c>
      <c r="CS100" s="366">
        <f>CF!CS31</f>
      </c>
      <c r="CT100" s="364">
        <f>CF!CT31</f>
      </c>
      <c r="CU100" s="365">
        <f>CF!CU31</f>
      </c>
      <c r="CV100" s="365">
        <f>CF!CV31</f>
      </c>
      <c r="CW100" s="365">
        <f>CF!CW31</f>
      </c>
      <c r="CX100" s="366">
        <f>CF!CX31</f>
      </c>
      <c r="CY100" s="364">
        <f>CF!CY31</f>
      </c>
      <c r="CZ100" s="365">
        <f>CF!CZ31</f>
      </c>
      <c r="DA100" s="365">
        <f>CF!DA31</f>
      </c>
      <c r="DB100" s="365">
        <f>CF!DB31</f>
      </c>
      <c r="DC100" s="366">
        <f>CF!DC31</f>
      </c>
      <c r="DD100" s="364">
        <f>CF!DD31</f>
      </c>
      <c r="DE100" s="365">
        <f>CF!DE31</f>
      </c>
      <c r="DF100" s="365">
        <f>CF!DF31</f>
      </c>
      <c r="DG100" s="365">
        <f>CF!DG31</f>
      </c>
      <c r="DH100" s="366">
        <f>CF!DH31</f>
      </c>
      <c r="DI100" s="364">
        <f>CF!DI31</f>
      </c>
      <c r="DJ100" s="365">
        <f>CF!DJ31</f>
      </c>
      <c r="DK100" s="365">
        <f>CF!DK31</f>
      </c>
      <c r="DL100" s="365">
        <f>CF!DL31</f>
      </c>
      <c r="DM100" s="366">
        <f>CF!DM31</f>
      </c>
      <c r="DN100" s="364">
        <f>CF!DN31</f>
      </c>
      <c r="DO100" s="365">
        <f>CF!DO31</f>
      </c>
      <c r="DP100" s="365">
        <f>CF!DP31</f>
      </c>
      <c r="DQ100" s="365">
        <f>CF!DQ31</f>
      </c>
      <c r="DR100" s="366">
        <f>CF!DR31</f>
      </c>
      <c r="DS100" s="364">
        <f>CF!DS31</f>
      </c>
      <c r="DT100" s="365">
        <f>CF!DT31</f>
      </c>
      <c r="DU100" s="365">
        <f>CF!DU31</f>
      </c>
      <c r="DV100" s="365">
        <f>CF!DV31</f>
      </c>
      <c r="DW100" s="366">
        <f>CF!DW31</f>
      </c>
      <c r="DX100" s="364">
        <f>CF!DX31</f>
      </c>
      <c r="DY100" s="365">
        <f>CF!DY31</f>
      </c>
      <c r="DZ100" s="365">
        <f>CF!DZ31</f>
      </c>
      <c r="EA100" s="365">
        <f>CF!EA31</f>
      </c>
      <c r="EB100" s="366">
        <f>CF!EB31</f>
      </c>
      <c r="EC100" s="364">
        <f>CF!EC31</f>
      </c>
      <c r="ED100" s="365">
        <f>CF!ED31</f>
      </c>
      <c r="EE100" s="365">
        <f>CF!EE31</f>
      </c>
      <c r="EF100" s="365">
        <f>CF!EF31</f>
      </c>
      <c r="EG100" s="366">
        <f>CF!EG31</f>
      </c>
      <c r="EH100" s="364">
        <f>CF!EH31</f>
      </c>
      <c r="EI100" s="365">
        <f>CF!EI31</f>
      </c>
      <c r="EJ100" s="365">
        <f>CF!EJ31</f>
      </c>
      <c r="EK100" s="365">
        <f>CF!EK31</f>
      </c>
      <c r="EL100" s="366">
        <f>CF!EL31</f>
      </c>
      <c r="EM100" s="364">
        <f>CF!EM31</f>
      </c>
      <c r="EN100" s="365">
        <f>CF!EN31</f>
      </c>
      <c r="EO100" s="365">
        <f>CF!EO31</f>
      </c>
      <c r="EP100" s="365">
        <f>CF!EP31</f>
      </c>
      <c r="EQ100" s="366">
        <f>CF!EQ31</f>
      </c>
      <c r="ER100" s="364">
        <f>CF!ER31</f>
      </c>
      <c r="ES100" s="365">
        <f>CF!ES31</f>
      </c>
      <c r="ET100" s="365">
        <f>CF!ET31</f>
      </c>
      <c r="EU100" s="365">
        <f>CF!EU31</f>
      </c>
      <c r="EV100" s="366">
        <f>CF!EV31</f>
      </c>
      <c r="EW100" s="364">
        <f>CF!EW31</f>
      </c>
      <c r="EX100" s="365">
        <f>CF!EX31</f>
      </c>
      <c r="EY100" s="365">
        <f>CF!EY31</f>
      </c>
      <c r="EZ100" s="365">
        <f>CF!EZ31</f>
      </c>
      <c r="FA100" s="366">
        <f>CF!FA31</f>
      </c>
      <c r="FB100" s="364">
        <f>CF!FB31</f>
      </c>
      <c r="FC100" s="365">
        <f>CF!FC31</f>
      </c>
      <c r="FD100" s="365">
        <f>CF!FD31</f>
      </c>
      <c r="FE100" s="365">
        <f>CF!FE31</f>
      </c>
      <c r="FF100" s="366">
        <f>CF!FF31</f>
      </c>
      <c r="FG100" s="364">
        <f>CF!FG31</f>
      </c>
      <c r="FH100" s="365">
        <f>CF!FH31</f>
      </c>
      <c r="FI100" s="365">
        <f>CF!FI31</f>
      </c>
      <c r="FJ100" s="365">
        <f>CF!FJ31</f>
      </c>
      <c r="FK100" s="366">
        <f>CF!FK31</f>
      </c>
      <c r="FL100" s="364">
        <f>CF!FL31</f>
      </c>
      <c r="FM100" s="365">
        <f>CF!FM31</f>
      </c>
      <c r="FN100" s="365">
        <f>CF!FN31</f>
      </c>
      <c r="FO100" s="365">
        <f>CF!FO31</f>
      </c>
      <c r="FP100" s="366">
        <f>CF!FP31</f>
      </c>
      <c r="FQ100" s="364">
        <f>CF!FQ31</f>
      </c>
      <c r="FR100" s="365">
        <f>CF!FR31</f>
      </c>
      <c r="FS100" s="365">
        <f>CF!FS31</f>
      </c>
      <c r="FT100" s="365">
        <f>CF!FT31</f>
      </c>
      <c r="FU100" s="366">
        <f>CF!FU31</f>
      </c>
      <c r="FV100" s="364">
        <f>CF!FV31</f>
      </c>
      <c r="FW100" s="365">
        <f>CF!FW31</f>
      </c>
      <c r="FX100" s="365">
        <f>CF!FX31</f>
      </c>
      <c r="FY100" s="365">
        <f>CF!FY31</f>
      </c>
      <c r="FZ100" s="366">
        <f>CF!FZ31</f>
      </c>
      <c r="GA100" s="364">
        <f>CF!GA31</f>
      </c>
      <c r="GB100" s="365">
        <f>CF!GB31</f>
      </c>
      <c r="GC100" s="365">
        <f>CF!GC31</f>
      </c>
      <c r="GD100" s="365">
        <f>CF!GD31</f>
      </c>
      <c r="GE100" s="366">
        <f>CF!GE31</f>
      </c>
      <c r="GF100" s="364">
        <f>CF!GF31</f>
      </c>
      <c r="GG100" s="365">
        <f>CF!GG31</f>
      </c>
      <c r="GH100" s="365">
        <f>CF!GH31</f>
      </c>
      <c r="GI100" s="365">
        <f>CF!GI31</f>
      </c>
      <c r="GJ100" s="366">
        <f>CF!GJ31</f>
      </c>
    </row>
    <row r="101" spans="1:192" s="766" customFormat="1" ht="12.75" hidden="1" customHeight="1" outlineLevel="1">
      <c r="A101" s="1237"/>
      <c r="B101" s="705" t="s">
        <v>175</v>
      </c>
      <c r="C101" s="892">
        <f t="shared" ref="C101:AH101" si="1004">IFERROR(C100/C56,"")</f>
      </c>
      <c r="D101" s="924">
        <f t="shared" si="1004"/>
      </c>
      <c r="E101" s="924">
        <f t="shared" si="1004"/>
      </c>
      <c r="F101" s="1313">
        <f t="shared" si="1004"/>
      </c>
      <c r="G101" s="1314">
        <f t="shared" si="1004"/>
      </c>
      <c r="H101" s="892">
        <f t="shared" si="1004"/>
      </c>
      <c r="I101" s="924">
        <f t="shared" si="1004"/>
      </c>
      <c r="J101" s="924">
        <f t="shared" si="1004"/>
      </c>
      <c r="K101" s="1313">
        <f t="shared" si="1004"/>
      </c>
      <c r="L101" s="1314">
        <f t="shared" si="1004"/>
      </c>
      <c r="M101" s="892">
        <f t="shared" si="1004"/>
      </c>
      <c r="N101" s="924">
        <f t="shared" si="1004"/>
      </c>
      <c r="O101" s="924">
        <f t="shared" si="1004"/>
      </c>
      <c r="P101" s="1313">
        <f t="shared" si="1004"/>
      </c>
      <c r="Q101" s="1314">
        <f t="shared" si="1004"/>
      </c>
      <c r="R101" s="892">
        <f t="shared" si="1004"/>
      </c>
      <c r="S101" s="924">
        <f t="shared" si="1004"/>
      </c>
      <c r="T101" s="924">
        <f t="shared" si="1004"/>
      </c>
      <c r="U101" s="1313">
        <f t="shared" si="1004"/>
      </c>
      <c r="V101" s="1314">
        <f t="shared" si="1004"/>
      </c>
      <c r="W101" s="892">
        <f t="shared" si="1004"/>
      </c>
      <c r="X101" s="924">
        <f t="shared" si="1004"/>
      </c>
      <c r="Y101" s="924">
        <f t="shared" si="1004"/>
      </c>
      <c r="Z101" s="1313">
        <f t="shared" si="1004"/>
      </c>
      <c r="AA101" s="1314">
        <f t="shared" si="1004"/>
      </c>
      <c r="AB101" s="892">
        <f t="shared" si="1004"/>
      </c>
      <c r="AC101" s="924">
        <f t="shared" si="1004"/>
      </c>
      <c r="AD101" s="924">
        <f t="shared" si="1004"/>
      </c>
      <c r="AE101" s="1313">
        <f t="shared" si="1004"/>
      </c>
      <c r="AF101" s="1314">
        <f t="shared" si="1004"/>
      </c>
      <c r="AG101" s="892">
        <f t="shared" si="1004"/>
      </c>
      <c r="AH101" s="924">
        <f t="shared" si="1004"/>
      </c>
      <c r="AI101" s="924">
        <f t="shared" ref="AI101:BN101" si="1005">IFERROR(AI100/AI56,"")</f>
      </c>
      <c r="AJ101" s="1313">
        <f t="shared" si="1005"/>
      </c>
      <c r="AK101" s="1314">
        <f t="shared" si="1005"/>
      </c>
      <c r="AL101" s="892">
        <f t="shared" si="1005"/>
      </c>
      <c r="AM101" s="924">
        <f t="shared" si="1005"/>
      </c>
      <c r="AN101" s="924">
        <f t="shared" si="1005"/>
      </c>
      <c r="AO101" s="1313">
        <f t="shared" si="1005"/>
      </c>
      <c r="AP101" s="1314">
        <f t="shared" si="1005"/>
      </c>
      <c r="AQ101" s="892">
        <f t="shared" si="1005"/>
      </c>
      <c r="AR101" s="924">
        <f t="shared" si="1005"/>
      </c>
      <c r="AS101" s="924">
        <f t="shared" si="1005"/>
      </c>
      <c r="AT101" s="1313">
        <f t="shared" si="1005"/>
      </c>
      <c r="AU101" s="1314">
        <f t="shared" si="1005"/>
      </c>
      <c r="AV101" s="892">
        <f t="shared" si="1005"/>
      </c>
      <c r="AW101" s="924">
        <f t="shared" si="1005"/>
      </c>
      <c r="AX101" s="924">
        <f t="shared" si="1005"/>
      </c>
      <c r="AY101" s="1313">
        <f t="shared" si="1005"/>
      </c>
      <c r="AZ101" s="1314">
        <f t="shared" si="1005"/>
      </c>
      <c r="BA101" s="892">
        <f t="shared" si="1005"/>
      </c>
      <c r="BB101" s="924">
        <f t="shared" si="1005"/>
      </c>
      <c r="BC101" s="924">
        <f t="shared" si="1005"/>
      </c>
      <c r="BD101" s="1313">
        <f t="shared" si="1005"/>
      </c>
      <c r="BE101" s="1314">
        <f t="shared" si="1005"/>
      </c>
      <c r="BF101" s="892">
        <f t="shared" si="1005"/>
      </c>
      <c r="BG101" s="924">
        <f t="shared" si="1005"/>
      </c>
      <c r="BH101" s="924">
        <f t="shared" si="1005"/>
      </c>
      <c r="BI101" s="1313">
        <f t="shared" si="1005"/>
      </c>
      <c r="BJ101" s="1314">
        <f t="shared" si="1005"/>
      </c>
      <c r="BK101" s="892">
        <f t="shared" si="1005"/>
      </c>
      <c r="BL101" s="924">
        <f t="shared" si="1005"/>
      </c>
      <c r="BM101" s="924">
        <f t="shared" si="1005"/>
      </c>
      <c r="BN101" s="1313">
        <f t="shared" si="1005"/>
      </c>
      <c r="BO101" s="1314">
        <f t="shared" ref="BO101:CT101" si="1006">IFERROR(BO100/BO56,"")</f>
      </c>
      <c r="BP101" s="892">
        <f t="shared" si="1006"/>
      </c>
      <c r="BQ101" s="924">
        <f t="shared" si="1006"/>
      </c>
      <c r="BR101" s="924">
        <f t="shared" si="1006"/>
      </c>
      <c r="BS101" s="1313">
        <f t="shared" si="1006"/>
      </c>
      <c r="BT101" s="1314">
        <f t="shared" si="1006"/>
      </c>
      <c r="BU101" s="892">
        <f t="shared" si="1006"/>
      </c>
      <c r="BV101" s="924">
        <f t="shared" si="1006"/>
      </c>
      <c r="BW101" s="924">
        <f t="shared" si="1006"/>
      </c>
      <c r="BX101" s="1313">
        <f t="shared" si="1006"/>
      </c>
      <c r="BY101" s="1314">
        <f t="shared" si="1006"/>
      </c>
      <c r="BZ101" s="892">
        <f t="shared" si="1006"/>
      </c>
      <c r="CA101" s="924">
        <f t="shared" si="1006"/>
      </c>
      <c r="CB101" s="924">
        <f t="shared" si="1006"/>
      </c>
      <c r="CC101" s="1313">
        <f t="shared" si="1006"/>
      </c>
      <c r="CD101" s="1314">
        <f t="shared" si="1006"/>
      </c>
      <c r="CE101" s="892">
        <f t="shared" si="1006"/>
      </c>
      <c r="CF101" s="924">
        <f t="shared" si="1006"/>
      </c>
      <c r="CG101" s="924">
        <f t="shared" si="1006"/>
      </c>
      <c r="CH101" s="1313">
        <f t="shared" si="1006"/>
      </c>
      <c r="CI101" s="1314">
        <f t="shared" si="1006"/>
      </c>
      <c r="CJ101" s="892">
        <f t="shared" si="1006"/>
      </c>
      <c r="CK101" s="924">
        <f t="shared" si="1006"/>
      </c>
      <c r="CL101" s="924">
        <f t="shared" si="1006"/>
      </c>
      <c r="CM101" s="1313">
        <f t="shared" si="1006"/>
      </c>
      <c r="CN101" s="1314">
        <f t="shared" si="1006"/>
      </c>
      <c r="CO101" s="892">
        <f t="shared" si="1006"/>
      </c>
      <c r="CP101" s="924">
        <f t="shared" si="1006"/>
      </c>
      <c r="CQ101" s="924">
        <f t="shared" si="1006"/>
      </c>
      <c r="CR101" s="1313">
        <f t="shared" si="1006"/>
      </c>
      <c r="CS101" s="1314">
        <f t="shared" si="1006"/>
      </c>
      <c r="CT101" s="892">
        <f t="shared" si="1006"/>
      </c>
      <c r="CU101" s="924">
        <f t="shared" ref="CU101:DZ101" si="1007">IFERROR(CU100/CU56,"")</f>
      </c>
      <c r="CV101" s="924">
        <f t="shared" si="1007"/>
      </c>
      <c r="CW101" s="1313">
        <f t="shared" si="1007"/>
      </c>
      <c r="CX101" s="1314">
        <f t="shared" si="1007"/>
      </c>
      <c r="CY101" s="892">
        <f t="shared" si="1007"/>
      </c>
      <c r="CZ101" s="924">
        <f t="shared" si="1007"/>
      </c>
      <c r="DA101" s="924">
        <f t="shared" si="1007"/>
      </c>
      <c r="DB101" s="1313">
        <f t="shared" si="1007"/>
      </c>
      <c r="DC101" s="1314">
        <f t="shared" si="1007"/>
      </c>
      <c r="DD101" s="892">
        <f t="shared" si="1007"/>
      </c>
      <c r="DE101" s="924">
        <f t="shared" si="1007"/>
      </c>
      <c r="DF101" s="924">
        <f t="shared" si="1007"/>
      </c>
      <c r="DG101" s="1313">
        <f t="shared" si="1007"/>
      </c>
      <c r="DH101" s="1314">
        <f t="shared" si="1007"/>
      </c>
      <c r="DI101" s="892">
        <f t="shared" si="1007"/>
      </c>
      <c r="DJ101" s="924">
        <f t="shared" si="1007"/>
      </c>
      <c r="DK101" s="924">
        <f t="shared" si="1007"/>
      </c>
      <c r="DL101" s="1313">
        <f t="shared" si="1007"/>
      </c>
      <c r="DM101" s="1314">
        <f t="shared" si="1007"/>
      </c>
      <c r="DN101" s="892">
        <f t="shared" si="1007"/>
      </c>
      <c r="DO101" s="924">
        <f t="shared" si="1007"/>
      </c>
      <c r="DP101" s="924">
        <f t="shared" si="1007"/>
      </c>
      <c r="DQ101" s="1313">
        <f t="shared" si="1007"/>
      </c>
      <c r="DR101" s="1314">
        <f t="shared" si="1007"/>
      </c>
      <c r="DS101" s="892">
        <f t="shared" si="1007"/>
      </c>
      <c r="DT101" s="924">
        <f t="shared" si="1007"/>
      </c>
      <c r="DU101" s="924">
        <f t="shared" si="1007"/>
      </c>
      <c r="DV101" s="1313">
        <f t="shared" si="1007"/>
      </c>
      <c r="DW101" s="1314">
        <f t="shared" si="1007"/>
      </c>
      <c r="DX101" s="892">
        <f t="shared" si="1007"/>
      </c>
      <c r="DY101" s="924">
        <f t="shared" si="1007"/>
      </c>
      <c r="DZ101" s="924">
        <f t="shared" si="1007"/>
      </c>
      <c r="EA101" s="1313">
        <f t="shared" ref="EA101:FF101" si="1008">IFERROR(EA100/EA56,"")</f>
      </c>
      <c r="EB101" s="1314">
        <f t="shared" si="1008"/>
      </c>
      <c r="EC101" s="892">
        <f t="shared" si="1008"/>
      </c>
      <c r="ED101" s="924">
        <f t="shared" si="1008"/>
      </c>
      <c r="EE101" s="924">
        <f t="shared" si="1008"/>
      </c>
      <c r="EF101" s="1313">
        <f t="shared" si="1008"/>
      </c>
      <c r="EG101" s="1314">
        <f t="shared" si="1008"/>
      </c>
      <c r="EH101" s="892">
        <f t="shared" si="1008"/>
      </c>
      <c r="EI101" s="924">
        <f t="shared" si="1008"/>
      </c>
      <c r="EJ101" s="924">
        <f t="shared" si="1008"/>
      </c>
      <c r="EK101" s="1313">
        <f t="shared" si="1008"/>
      </c>
      <c r="EL101" s="1314">
        <f t="shared" si="1008"/>
      </c>
      <c r="EM101" s="892">
        <f t="shared" si="1008"/>
      </c>
      <c r="EN101" s="924">
        <f t="shared" si="1008"/>
      </c>
      <c r="EO101" s="924">
        <f t="shared" si="1008"/>
      </c>
      <c r="EP101" s="1313">
        <f t="shared" si="1008"/>
      </c>
      <c r="EQ101" s="1314">
        <f t="shared" si="1008"/>
      </c>
      <c r="ER101" s="892">
        <f t="shared" si="1008"/>
      </c>
      <c r="ES101" s="924">
        <f t="shared" si="1008"/>
      </c>
      <c r="ET101" s="924">
        <f t="shared" si="1008"/>
      </c>
      <c r="EU101" s="1313">
        <f t="shared" si="1008"/>
      </c>
      <c r="EV101" s="1314">
        <f t="shared" si="1008"/>
      </c>
      <c r="EW101" s="892">
        <f t="shared" si="1008"/>
      </c>
      <c r="EX101" s="924">
        <f t="shared" si="1008"/>
      </c>
      <c r="EY101" s="924">
        <f t="shared" si="1008"/>
      </c>
      <c r="EZ101" s="1313">
        <f t="shared" ref="EZ101:FA101" si="1009">IFERROR(EZ100/EZ56,"")</f>
      </c>
      <c r="FA101" s="1314">
        <f t="shared" si="1009"/>
      </c>
      <c r="FB101" s="892">
        <f t="shared" si="1008"/>
      </c>
      <c r="FC101" s="924">
        <f t="shared" si="1008"/>
      </c>
      <c r="FD101" s="924">
        <f t="shared" si="1008"/>
      </c>
      <c r="FE101" s="1313">
        <f t="shared" si="1008"/>
      </c>
      <c r="FF101" s="1314">
        <f t="shared" si="1008"/>
      </c>
      <c r="FG101" s="892">
        <f t="shared" ref="FG101:GE101" si="1010">IFERROR(FG100/FG56,"")</f>
      </c>
      <c r="FH101" s="924">
        <f t="shared" si="1010"/>
      </c>
      <c r="FI101" s="924">
        <f t="shared" si="1010"/>
      </c>
      <c r="FJ101" s="1313">
        <f t="shared" si="1010"/>
      </c>
      <c r="FK101" s="1314">
        <f t="shared" si="1010"/>
      </c>
      <c r="FL101" s="892">
        <f t="shared" si="1010"/>
      </c>
      <c r="FM101" s="924">
        <f t="shared" si="1010"/>
      </c>
      <c r="FN101" s="924">
        <f t="shared" si="1010"/>
      </c>
      <c r="FO101" s="1313">
        <f t="shared" si="1010"/>
      </c>
      <c r="FP101" s="1314">
        <f t="shared" si="1010"/>
      </c>
      <c r="FQ101" s="892">
        <f t="shared" si="1010"/>
      </c>
      <c r="FR101" s="924">
        <f t="shared" si="1010"/>
      </c>
      <c r="FS101" s="924">
        <f t="shared" si="1010"/>
      </c>
      <c r="FT101" s="1313">
        <f t="shared" si="1010"/>
      </c>
      <c r="FU101" s="1314">
        <f t="shared" si="1010"/>
      </c>
      <c r="FV101" s="892">
        <f t="shared" si="1010"/>
      </c>
      <c r="FW101" s="924">
        <f t="shared" si="1010"/>
      </c>
      <c r="FX101" s="924">
        <f t="shared" si="1010"/>
      </c>
      <c r="FY101" s="1313">
        <f t="shared" si="1010"/>
      </c>
      <c r="FZ101" s="1314">
        <f t="shared" si="1010"/>
      </c>
      <c r="GA101" s="892">
        <f t="shared" si="1010"/>
      </c>
      <c r="GB101" s="924">
        <f t="shared" si="1010"/>
      </c>
      <c r="GC101" s="924">
        <f t="shared" si="1010"/>
      </c>
      <c r="GD101" s="1313">
        <f t="shared" si="1010"/>
      </c>
      <c r="GE101" s="1314">
        <f t="shared" si="1010"/>
      </c>
      <c r="GF101" s="892">
        <f t="shared" ref="GF101:GJ101" si="1011">IFERROR(GF100/GF56,"")</f>
      </c>
      <c r="GG101" s="924">
        <f t="shared" si="1011"/>
      </c>
      <c r="GH101" s="924">
        <f t="shared" si="1011"/>
      </c>
      <c r="GI101" s="1313">
        <f t="shared" si="1011"/>
      </c>
      <c r="GJ101" s="1314">
        <f t="shared" si="1011"/>
      </c>
    </row>
    <row r="102" spans="1:192" s="1259" customFormat="1" ht="12.75" hidden="1" customHeight="1" outlineLevel="1">
      <c r="A102" s="1255"/>
      <c r="B102" s="1016" t="s">
        <v>286</v>
      </c>
      <c r="C102" s="1244"/>
      <c r="D102" s="1244"/>
      <c r="E102" s="1244"/>
      <c r="F102" s="1244"/>
      <c r="G102" s="1242"/>
      <c r="H102" s="1244"/>
      <c r="I102" s="1244"/>
      <c r="J102" s="1244"/>
      <c r="K102" s="1244"/>
      <c r="L102" s="1242"/>
      <c r="M102" s="1244"/>
      <c r="N102" s="1244"/>
      <c r="O102" s="1244"/>
      <c r="P102" s="1244"/>
      <c r="Q102" s="1242"/>
      <c r="R102" s="1244"/>
      <c r="S102" s="1244"/>
      <c r="T102" s="1244"/>
      <c r="U102" s="1244"/>
      <c r="V102" s="1242"/>
      <c r="W102" s="1244"/>
      <c r="X102" s="1244"/>
      <c r="Y102" s="1244"/>
      <c r="Z102" s="1244"/>
      <c r="AA102" s="1242"/>
      <c r="AB102" s="1244"/>
      <c r="AC102" s="1244"/>
      <c r="AD102" s="1244"/>
      <c r="AE102" s="1244"/>
      <c r="AF102" s="1242"/>
      <c r="AG102" s="1244"/>
      <c r="AH102" s="1244"/>
      <c r="AI102" s="1244"/>
      <c r="AJ102" s="1244"/>
      <c r="AK102" s="1242"/>
      <c r="AL102" s="1244"/>
      <c r="AM102" s="1244"/>
      <c r="AN102" s="1244"/>
      <c r="AO102" s="1244"/>
      <c r="AP102" s="1242"/>
      <c r="AQ102" s="1244"/>
      <c r="AR102" s="1244"/>
      <c r="AS102" s="1244"/>
      <c r="AT102" s="1244"/>
      <c r="AU102" s="1242"/>
      <c r="AV102" s="1244"/>
      <c r="AW102" s="1244"/>
      <c r="AX102" s="1244"/>
      <c r="AY102" s="1244"/>
      <c r="AZ102" s="1242"/>
      <c r="BA102" s="1244"/>
      <c r="BB102" s="1244"/>
      <c r="BC102" s="1244"/>
      <c r="BD102" s="1244"/>
      <c r="BE102" s="1242"/>
      <c r="BF102" s="1244"/>
      <c r="BG102" s="1244"/>
      <c r="BH102" s="1244"/>
      <c r="BI102" s="1244"/>
      <c r="BJ102" s="1242"/>
      <c r="BK102" s="1244"/>
      <c r="BL102" s="1244"/>
      <c r="BM102" s="1244"/>
      <c r="BN102" s="1244"/>
      <c r="BO102" s="1242"/>
      <c r="BP102" s="1244"/>
      <c r="BQ102" s="1244"/>
      <c r="BR102" s="1244"/>
      <c r="BS102" s="1244"/>
      <c r="BT102" s="1242"/>
      <c r="BU102" s="1244"/>
      <c r="BV102" s="1244"/>
      <c r="BW102" s="1244"/>
      <c r="BX102" s="1244"/>
      <c r="BY102" s="1242"/>
      <c r="BZ102" s="1244"/>
      <c r="CA102" s="1244"/>
      <c r="CB102" s="1244"/>
      <c r="CC102" s="1244"/>
      <c r="CD102" s="1242"/>
      <c r="CE102" s="1244"/>
      <c r="CF102" s="1244"/>
      <c r="CG102" s="1244"/>
      <c r="CH102" s="1244"/>
      <c r="CI102" s="1242"/>
      <c r="CJ102" s="1244"/>
      <c r="CK102" s="1244"/>
      <c r="CL102" s="1244"/>
      <c r="CM102" s="1244"/>
      <c r="CN102" s="1242"/>
      <c r="CO102" s="1244"/>
      <c r="CP102" s="1244"/>
      <c r="CQ102" s="1244"/>
      <c r="CR102" s="1244"/>
      <c r="CS102" s="1242"/>
      <c r="CT102" s="1244"/>
      <c r="CU102" s="1244"/>
      <c r="CV102" s="1244"/>
      <c r="CW102" s="1244"/>
      <c r="CX102" s="1242"/>
      <c r="CY102" s="1244"/>
      <c r="CZ102" s="1244"/>
      <c r="DA102" s="1244"/>
      <c r="DB102" s="1244"/>
      <c r="DC102" s="1242"/>
      <c r="DD102" s="1244"/>
      <c r="DE102" s="1244"/>
      <c r="DF102" s="1244"/>
      <c r="DG102" s="1244"/>
      <c r="DH102" s="1242"/>
      <c r="DI102" s="1244"/>
      <c r="DJ102" s="1244"/>
      <c r="DK102" s="1244"/>
      <c r="DL102" s="1244"/>
      <c r="DM102" s="1242"/>
      <c r="DN102" s="1244"/>
      <c r="DO102" s="1244"/>
      <c r="DP102" s="1244"/>
      <c r="DQ102" s="1244"/>
      <c r="DR102" s="1242">
        <f t="shared" ref="DR102:EG102" si="1012">(DR101-DM101)*10000</f>
      </c>
      <c r="DS102" s="1244"/>
      <c r="DT102" s="1244"/>
      <c r="DU102" s="1244"/>
      <c r="DV102" s="1244"/>
      <c r="DW102" s="1242">
        <f t="shared" si="1012"/>
      </c>
      <c r="DX102" s="1244"/>
      <c r="DY102" s="1244"/>
      <c r="DZ102" s="1244"/>
      <c r="EA102" s="1244"/>
      <c r="EB102" s="1242">
        <f t="shared" si="1012"/>
      </c>
      <c r="EC102" s="1244"/>
      <c r="ED102" s="1244"/>
      <c r="EE102" s="1244"/>
      <c r="EF102" s="1244"/>
      <c r="EG102" s="1242">
        <f t="shared" si="1012"/>
      </c>
      <c r="EH102" s="1244"/>
      <c r="EI102" s="1244"/>
      <c r="EJ102" s="1244"/>
      <c r="EK102" s="1244"/>
      <c r="EL102" s="1242">
        <f t="shared" ref="EL102" si="1013">(EL101-EG101)*10000</f>
      </c>
      <c r="EM102" s="1244"/>
      <c r="EN102" s="1244"/>
      <c r="EO102" s="1244"/>
      <c r="EP102" s="1244"/>
      <c r="EQ102" s="1242">
        <f t="shared" ref="EQ102" si="1014">(EQ101-EL101)*10000</f>
      </c>
      <c r="ER102" s="1244"/>
      <c r="ES102" s="1244"/>
      <c r="ET102" s="1244"/>
      <c r="EU102" s="1244"/>
      <c r="EV102" s="1242">
        <f t="shared" ref="EV102" si="1015">(EV101-EQ101)*10000</f>
      </c>
      <c r="EW102" s="1244"/>
      <c r="EX102" s="1244"/>
      <c r="EY102" s="1244"/>
      <c r="EZ102" s="1244"/>
      <c r="FA102" s="1242">
        <f t="shared" ref="FA102" si="1016">(FA101-EV101)*10000</f>
      </c>
      <c r="FB102" s="1244"/>
      <c r="FC102" s="1244"/>
      <c r="FD102" s="1244"/>
      <c r="FE102" s="1244"/>
      <c r="FF102" s="1242">
        <f t="shared" ref="FF102" si="1017">(FF101-FA101)*10000</f>
      </c>
      <c r="FG102" s="1244"/>
      <c r="FH102" s="1244"/>
      <c r="FI102" s="1244"/>
      <c r="FJ102" s="1244"/>
      <c r="FK102" s="1242">
        <f t="shared" ref="FK102" si="1018">(FK101-FF101)*10000</f>
      </c>
      <c r="FL102" s="1244"/>
      <c r="FM102" s="1244"/>
      <c r="FN102" s="1244"/>
      <c r="FO102" s="1244"/>
      <c r="FP102" s="1242">
        <f t="shared" ref="FP102" si="1019">(FP101-FK101)*10000</f>
      </c>
      <c r="FQ102" s="1244"/>
      <c r="FR102" s="1244"/>
      <c r="FS102" s="1244"/>
      <c r="FT102" s="1244"/>
      <c r="FU102" s="1242">
        <f t="shared" ref="FU102" si="1020">(FU101-FP101)*10000</f>
      </c>
      <c r="FV102" s="1244"/>
      <c r="FW102" s="1244"/>
      <c r="FX102" s="1244"/>
      <c r="FY102" s="1244"/>
      <c r="FZ102" s="1242">
        <f t="shared" ref="FZ102" si="1021">(FZ101-FU101)*10000</f>
      </c>
      <c r="GA102" s="1244"/>
      <c r="GB102" s="1244"/>
      <c r="GC102" s="1244"/>
      <c r="GD102" s="1244"/>
      <c r="GE102" s="1242">
        <f t="shared" ref="GE102" si="1022">(GE101-FZ101)*10000</f>
      </c>
      <c r="GF102" s="1244"/>
      <c r="GG102" s="1244"/>
      <c r="GH102" s="1244"/>
      <c r="GI102" s="1244"/>
      <c r="GJ102" s="1242">
        <f t="shared" ref="GJ102" si="1023">(GJ101-GE101)*10000</f>
      </c>
    </row>
    <row r="103" spans="1:192" s="93" customFormat="1" ht="12.75" hidden="1" customHeight="1" outlineLevel="1">
      <c r="A103" s="81"/>
      <c r="B103" s="704" t="s">
        <v>478</v>
      </c>
      <c r="C103" s="136">
        <f>C100/G100</f>
      </c>
      <c r="D103" s="105">
        <f>D100/G100</f>
      </c>
      <c r="E103" s="105">
        <f>E100/G100</f>
      </c>
      <c r="F103" s="137">
        <f>F100/G100</f>
      </c>
      <c r="G103" s="138"/>
      <c r="H103" s="136">
        <f>H100/L100</f>
      </c>
      <c r="I103" s="105">
        <f>I100/L100</f>
      </c>
      <c r="J103" s="105">
        <f>J100/L100</f>
      </c>
      <c r="K103" s="137">
        <f>K100/L100</f>
      </c>
      <c r="L103" s="138"/>
      <c r="M103" s="136">
        <f>M100/Q100</f>
      </c>
      <c r="N103" s="105">
        <f>N100/Q100</f>
      </c>
      <c r="O103" s="105">
        <f>O100/Q100</f>
      </c>
      <c r="P103" s="137">
        <f>P100/Q100</f>
      </c>
      <c r="Q103" s="138"/>
      <c r="R103" s="136">
        <f>R100/V100</f>
      </c>
      <c r="S103" s="105">
        <f>S100/V100</f>
      </c>
      <c r="T103" s="105">
        <f>T100/V100</f>
      </c>
      <c r="U103" s="137">
        <f>U100/V100</f>
      </c>
      <c r="V103" s="138"/>
      <c r="W103" s="136">
        <f>W100/AA100</f>
      </c>
      <c r="X103" s="105">
        <f>X100/AA100</f>
      </c>
      <c r="Y103" s="105">
        <f>Y100/AA100</f>
      </c>
      <c r="Z103" s="137">
        <f>Z100/AA100</f>
      </c>
      <c r="AA103" s="138"/>
      <c r="AB103" s="136">
        <f>AB100/AF100</f>
      </c>
      <c r="AC103" s="105">
        <f>AC100/AF100</f>
      </c>
      <c r="AD103" s="105">
        <f>AD100/AF100</f>
      </c>
      <c r="AE103" s="137">
        <f>AE100/AF100</f>
      </c>
      <c r="AF103" s="138"/>
      <c r="AG103" s="136">
        <f>AG100/AK100</f>
      </c>
      <c r="AH103" s="105">
        <f>AH100/AK100</f>
      </c>
      <c r="AI103" s="105">
        <f>AI100/AK100</f>
      </c>
      <c r="AJ103" s="137">
        <f>AJ100/AK100</f>
      </c>
      <c r="AK103" s="138"/>
      <c r="AL103" s="136">
        <f>AL100/AP100</f>
      </c>
      <c r="AM103" s="105">
        <f>AM100/AP100</f>
      </c>
      <c r="AN103" s="105">
        <f>AN100/AP100</f>
      </c>
      <c r="AO103" s="137">
        <f>AO100/AP100</f>
      </c>
      <c r="AP103" s="138"/>
      <c r="AQ103" s="136">
        <f>AQ100/AU100</f>
      </c>
      <c r="AR103" s="105">
        <f>AR100/AU100</f>
      </c>
      <c r="AS103" s="105">
        <f>AS100/AU100</f>
      </c>
      <c r="AT103" s="137">
        <f>AT100/AU100</f>
      </c>
      <c r="AU103" s="138"/>
      <c r="AV103" s="136">
        <f>AV100/AZ100</f>
      </c>
      <c r="AW103" s="105">
        <f>AW100/AZ100</f>
      </c>
      <c r="AX103" s="105">
        <f>AX100/AZ100</f>
      </c>
      <c r="AY103" s="137">
        <f>AY100/AZ100</f>
      </c>
      <c r="AZ103" s="138"/>
      <c r="BA103" s="136">
        <f>BA100/BE100</f>
      </c>
      <c r="BB103" s="105">
        <f>BB100/BE100</f>
      </c>
      <c r="BC103" s="105">
        <f>BC100/BE100</f>
      </c>
      <c r="BD103" s="137">
        <f>BD100/BE100</f>
      </c>
      <c r="BE103" s="138"/>
      <c r="BF103" s="136">
        <f>BF100/BJ100</f>
      </c>
      <c r="BG103" s="105">
        <f>BG100/BJ100</f>
      </c>
      <c r="BH103" s="105">
        <f>BH100/BJ100</f>
      </c>
      <c r="BI103" s="137">
        <f>BI100/BJ100</f>
      </c>
      <c r="BJ103" s="138"/>
      <c r="BK103" s="136">
        <f>BK100/BO100</f>
      </c>
      <c r="BL103" s="105">
        <f>BL100/BO100</f>
      </c>
      <c r="BM103" s="105">
        <f>BM100/BO100</f>
      </c>
      <c r="BN103" s="137">
        <f>BN100/BO100</f>
      </c>
      <c r="BO103" s="138"/>
      <c r="BP103" s="136">
        <f>BP100/BT100</f>
      </c>
      <c r="BQ103" s="105">
        <f>BQ100/BT100</f>
      </c>
      <c r="BR103" s="105">
        <f>BR100/BT100</f>
      </c>
      <c r="BS103" s="137">
        <f>BS100/BT100</f>
      </c>
      <c r="BT103" s="138"/>
      <c r="BU103" s="136">
        <f>BU100/BY100</f>
      </c>
      <c r="BV103" s="105">
        <f>BV100/BY100</f>
      </c>
      <c r="BW103" s="105">
        <f>BW100/BY100</f>
      </c>
      <c r="BX103" s="137">
        <f>BX100/BY100</f>
      </c>
      <c r="BY103" s="138"/>
      <c r="BZ103" s="136">
        <f>BZ100/CD100</f>
      </c>
      <c r="CA103" s="105">
        <f>CA100/CD100</f>
      </c>
      <c r="CB103" s="105">
        <f>CB100/CD100</f>
      </c>
      <c r="CC103" s="137">
        <f>CC100/CD100</f>
      </c>
      <c r="CD103" s="138"/>
      <c r="CE103" s="136">
        <f>CE100/CI100</f>
      </c>
      <c r="CF103" s="105">
        <f>CF100/CI100</f>
      </c>
      <c r="CG103" s="105">
        <f>CG100/CI100</f>
      </c>
      <c r="CH103" s="137">
        <f>CH100/CI100</f>
      </c>
      <c r="CI103" s="138"/>
      <c r="CJ103" s="136">
        <f>CJ100/CN100</f>
      </c>
      <c r="CK103" s="105">
        <f>CK100/CN100</f>
      </c>
      <c r="CL103" s="105">
        <f>CL100/CN100</f>
      </c>
      <c r="CM103" s="137">
        <f>CM100/CN100</f>
      </c>
      <c r="CN103" s="138"/>
      <c r="CO103" s="136">
        <f>CO100/CS100</f>
      </c>
      <c r="CP103" s="105">
        <f>CP100/CS100</f>
      </c>
      <c r="CQ103" s="105">
        <f>CQ100/CS100</f>
      </c>
      <c r="CR103" s="137">
        <f>CR100/CS100</f>
      </c>
      <c r="CS103" s="138"/>
      <c r="CT103" s="136">
        <f>CT100/CX100</f>
      </c>
      <c r="CU103" s="105">
        <f>CU100/CX100</f>
      </c>
      <c r="CV103" s="105">
        <f>CV100/CX100</f>
      </c>
      <c r="CW103" s="137">
        <f>CW100/CX100</f>
      </c>
      <c r="CX103" s="138"/>
      <c r="CY103" s="136">
        <f>CY100/DC100</f>
      </c>
      <c r="CZ103" s="105">
        <f>CZ100/DC100</f>
      </c>
      <c r="DA103" s="105">
        <f>DA100/DC100</f>
      </c>
      <c r="DB103" s="137">
        <f>DB100/DC100</f>
      </c>
      <c r="DC103" s="138"/>
      <c r="DD103" s="136">
        <f>DD100/DH100</f>
      </c>
      <c r="DE103" s="105">
        <f>DE100/DH100</f>
      </c>
      <c r="DF103" s="105">
        <f>DF100/DH100</f>
      </c>
      <c r="DG103" s="137">
        <f>DG100/DH100</f>
      </c>
      <c r="DH103" s="138"/>
      <c r="DI103" s="136">
        <f>DI100/DM100</f>
      </c>
      <c r="DJ103" s="105">
        <f>DJ100/DM100</f>
      </c>
      <c r="DK103" s="105">
        <f>DK100/DM100</f>
      </c>
      <c r="DL103" s="137">
        <f>DL100/DM100</f>
      </c>
      <c r="DM103" s="138"/>
      <c r="DN103" s="136">
        <f>DN100/DR100</f>
      </c>
      <c r="DO103" s="105">
        <f>DO100/DR100</f>
      </c>
      <c r="DP103" s="105">
        <f>DP100/DR100</f>
      </c>
      <c r="DQ103" s="137">
        <f>DQ100/DR100</f>
      </c>
      <c r="DR103" s="138"/>
      <c r="DS103" s="136">
        <f>DS100/DW100</f>
      </c>
      <c r="DT103" s="105">
        <f>DT100/DW100</f>
      </c>
      <c r="DU103" s="105">
        <f>DU100/DW100</f>
      </c>
      <c r="DV103" s="137">
        <f>DV100/DW100</f>
      </c>
      <c r="DW103" s="138"/>
      <c r="DX103" s="136">
        <f>DX100/EB100</f>
      </c>
      <c r="DY103" s="105">
        <f>DY100/EB100</f>
      </c>
      <c r="DZ103" s="105">
        <f>DZ100/EB100</f>
      </c>
      <c r="EA103" s="137">
        <f>EA100/EB100</f>
      </c>
      <c r="EB103" s="138"/>
      <c r="EC103" s="136">
        <f>EC100/EG100</f>
      </c>
      <c r="ED103" s="105">
        <f>ED100/EG100</f>
      </c>
      <c r="EE103" s="105">
        <f>EE100/EG100</f>
      </c>
      <c r="EF103" s="137">
        <f>EF100/EG100</f>
      </c>
      <c r="EG103" s="138"/>
      <c r="EH103" s="136">
        <f>EH100/EL100</f>
      </c>
      <c r="EI103" s="105">
        <f>EI100/EL100</f>
      </c>
      <c r="EJ103" s="105">
        <f>EJ100/EL100</f>
      </c>
      <c r="EK103" s="137">
        <f>EK100/EL100</f>
      </c>
      <c r="EL103" s="138"/>
      <c r="EM103" s="136">
        <f>EM100/EQ100</f>
      </c>
      <c r="EN103" s="105">
        <f>EN100/EQ100</f>
      </c>
      <c r="EO103" s="105">
        <f>EO100/EQ100</f>
      </c>
      <c r="EP103" s="137">
        <f>EP100/EQ100</f>
      </c>
      <c r="EQ103" s="138"/>
      <c r="ER103" s="136">
        <f>ER100/EV100</f>
      </c>
      <c r="ES103" s="105">
        <f>ES100/EV100</f>
      </c>
      <c r="ET103" s="105">
        <f>ET100/EV100</f>
      </c>
      <c r="EU103" s="137">
        <f>EU100/EV100</f>
      </c>
      <c r="EV103" s="138"/>
      <c r="EW103" s="136">
        <f>EW100/FA100</f>
      </c>
      <c r="EX103" s="105">
        <f>EX100/FA100</f>
      </c>
      <c r="EY103" s="105">
        <f>EY100/FA100</f>
      </c>
      <c r="EZ103" s="137">
        <f>EZ100/FA100</f>
      </c>
      <c r="FA103" s="138"/>
      <c r="FB103" s="136">
        <f>FB100/FF100</f>
      </c>
      <c r="FC103" s="105">
        <f>FC100/FF100</f>
      </c>
      <c r="FD103" s="105">
        <f>FD100/FF100</f>
      </c>
      <c r="FE103" s="137">
        <f>FE100/FF100</f>
      </c>
      <c r="FF103" s="138"/>
      <c r="FG103" s="136">
        <f>FG100/FK100</f>
      </c>
      <c r="FH103" s="105">
        <f>FH100/FK100</f>
      </c>
      <c r="FI103" s="105">
        <f>FI100/FK100</f>
      </c>
      <c r="FJ103" s="137">
        <f>FJ100/FK100</f>
      </c>
      <c r="FK103" s="138"/>
      <c r="FL103" s="136">
        <f>FL100/FP100</f>
      </c>
      <c r="FM103" s="105">
        <f>FM100/FP100</f>
      </c>
      <c r="FN103" s="105">
        <f>FN100/FP100</f>
      </c>
      <c r="FO103" s="137">
        <f>FO100/FP100</f>
      </c>
      <c r="FP103" s="138"/>
      <c r="FQ103" s="136">
        <f>FQ100/FU100</f>
      </c>
      <c r="FR103" s="105">
        <f>FR100/FU100</f>
      </c>
      <c r="FS103" s="105">
        <f>FS100/FU100</f>
      </c>
      <c r="FT103" s="137">
        <f>FT100/FU100</f>
      </c>
      <c r="FU103" s="138"/>
      <c r="FV103" s="136">
        <f>FV100/FZ100</f>
      </c>
      <c r="FW103" s="105">
        <f>FW100/FZ100</f>
      </c>
      <c r="FX103" s="105">
        <f>FX100/FZ100</f>
      </c>
      <c r="FY103" s="137">
        <f>FY100/FZ100</f>
      </c>
      <c r="FZ103" s="138"/>
      <c r="GA103" s="136">
        <f>GA100/GE100</f>
      </c>
      <c r="GB103" s="105">
        <f>GB100/GE100</f>
      </c>
      <c r="GC103" s="105">
        <f>GC100/GE100</f>
      </c>
      <c r="GD103" s="137">
        <f>GD100/GE100</f>
      </c>
      <c r="GE103" s="138"/>
      <c r="GF103" s="136">
        <f>GF100/GJ100</f>
      </c>
      <c r="GG103" s="105">
        <f>GG100/GJ100</f>
      </c>
      <c r="GH103" s="105">
        <f>GH100/GJ100</f>
      </c>
      <c r="GI103" s="137">
        <f>GI100/GJ100</f>
      </c>
      <c r="GJ103" s="138"/>
    </row>
    <row r="104" spans="1:192" s="93" customFormat="1" ht="12.75" hidden="1" customHeight="1" outlineLevel="1">
      <c r="A104" s="81"/>
      <c r="B104" s="704"/>
      <c r="C104" s="136"/>
      <c r="D104" s="105"/>
      <c r="E104" s="105"/>
      <c r="F104" s="137"/>
      <c r="G104" s="138"/>
      <c r="H104" s="136"/>
      <c r="I104" s="105"/>
      <c r="J104" s="105"/>
      <c r="K104" s="137"/>
      <c r="L104" s="138"/>
      <c r="M104" s="136"/>
      <c r="N104" s="105"/>
      <c r="O104" s="105"/>
      <c r="P104" s="137"/>
      <c r="Q104" s="138"/>
      <c r="R104" s="136"/>
      <c r="S104" s="105"/>
      <c r="T104" s="105"/>
      <c r="U104" s="137"/>
      <c r="V104" s="138"/>
      <c r="W104" s="136"/>
      <c r="X104" s="105"/>
      <c r="Y104" s="105"/>
      <c r="Z104" s="137"/>
      <c r="AA104" s="138"/>
      <c r="AB104" s="136"/>
      <c r="AC104" s="105"/>
      <c r="AD104" s="105"/>
      <c r="AE104" s="137"/>
      <c r="AF104" s="138"/>
      <c r="AG104" s="136"/>
      <c r="AH104" s="105"/>
      <c r="AI104" s="105"/>
      <c r="AJ104" s="137"/>
      <c r="AK104" s="138"/>
      <c r="AL104" s="136"/>
      <c r="AM104" s="105"/>
      <c r="AN104" s="105"/>
      <c r="AO104" s="137"/>
      <c r="AP104" s="138"/>
      <c r="AQ104" s="136"/>
      <c r="AR104" s="105"/>
      <c r="AS104" s="105"/>
      <c r="AT104" s="137"/>
      <c r="AU104" s="138"/>
      <c r="AV104" s="136"/>
      <c r="AW104" s="105"/>
      <c r="AX104" s="105"/>
      <c r="AY104" s="137"/>
      <c r="AZ104" s="138"/>
      <c r="BA104" s="136"/>
      <c r="BB104" s="105"/>
      <c r="BC104" s="105"/>
      <c r="BD104" s="137"/>
      <c r="BE104" s="138"/>
      <c r="BF104" s="136"/>
      <c r="BG104" s="105"/>
      <c r="BH104" s="105"/>
      <c r="BI104" s="137"/>
      <c r="BJ104" s="138"/>
      <c r="BK104" s="136"/>
      <c r="BL104" s="105"/>
      <c r="BM104" s="105"/>
      <c r="BN104" s="137"/>
      <c r="BO104" s="138"/>
      <c r="BP104" s="136"/>
      <c r="BQ104" s="105"/>
      <c r="BR104" s="105"/>
      <c r="BS104" s="137"/>
      <c r="BT104" s="138"/>
      <c r="BU104" s="136"/>
      <c r="BV104" s="105"/>
      <c r="BW104" s="105"/>
      <c r="BX104" s="137"/>
      <c r="BY104" s="138"/>
      <c r="BZ104" s="136"/>
      <c r="CA104" s="105"/>
      <c r="CB104" s="105"/>
      <c r="CC104" s="137"/>
      <c r="CD104" s="138"/>
      <c r="CE104" s="136"/>
      <c r="CF104" s="105"/>
      <c r="CG104" s="105"/>
      <c r="CH104" s="137"/>
      <c r="CI104" s="138"/>
      <c r="CJ104" s="136"/>
      <c r="CK104" s="105"/>
      <c r="CL104" s="105"/>
      <c r="CM104" s="137"/>
      <c r="CN104" s="138"/>
      <c r="CO104" s="136"/>
      <c r="CP104" s="105"/>
      <c r="CQ104" s="105"/>
      <c r="CR104" s="137"/>
      <c r="CS104" s="138"/>
      <c r="CT104" s="136"/>
      <c r="CU104" s="105"/>
      <c r="CV104" s="105"/>
      <c r="CW104" s="137"/>
      <c r="CX104" s="138"/>
      <c r="CY104" s="136"/>
      <c r="CZ104" s="105"/>
      <c r="DA104" s="105"/>
      <c r="DB104" s="137"/>
      <c r="DC104" s="138"/>
      <c r="DD104" s="136"/>
      <c r="DE104" s="105"/>
      <c r="DF104" s="105"/>
      <c r="DG104" s="137"/>
      <c r="DH104" s="138"/>
      <c r="DI104" s="136"/>
      <c r="DJ104" s="105"/>
      <c r="DK104" s="105"/>
      <c r="DL104" s="137"/>
      <c r="DM104" s="138"/>
      <c r="DN104" s="136"/>
      <c r="DO104" s="105"/>
      <c r="DP104" s="105"/>
      <c r="DQ104" s="137"/>
      <c r="DR104" s="138"/>
      <c r="DS104" s="136"/>
      <c r="DT104" s="105"/>
      <c r="DU104" s="105"/>
      <c r="DV104" s="137"/>
      <c r="DW104" s="138"/>
      <c r="DX104" s="136"/>
      <c r="DY104" s="105"/>
      <c r="DZ104" s="105"/>
      <c r="EA104" s="137"/>
      <c r="EB104" s="138"/>
      <c r="EC104" s="136"/>
      <c r="ED104" s="105"/>
      <c r="EE104" s="105"/>
      <c r="EF104" s="137"/>
      <c r="EG104" s="138"/>
      <c r="EH104" s="136"/>
      <c r="EI104" s="105"/>
      <c r="EJ104" s="105"/>
      <c r="EK104" s="137"/>
      <c r="EL104" s="138"/>
      <c r="EM104" s="136"/>
      <c r="EN104" s="105"/>
      <c r="EO104" s="105"/>
      <c r="EP104" s="137"/>
      <c r="EQ104" s="138"/>
      <c r="ER104" s="136"/>
      <c r="ES104" s="105"/>
      <c r="ET104" s="105"/>
      <c r="EU104" s="137"/>
      <c r="EV104" s="138"/>
      <c r="EW104" s="136"/>
      <c r="EX104" s="105"/>
      <c r="EY104" s="105"/>
      <c r="EZ104" s="137"/>
      <c r="FA104" s="138"/>
      <c r="FB104" s="136"/>
      <c r="FC104" s="105"/>
      <c r="FD104" s="105"/>
      <c r="FE104" s="137"/>
      <c r="FF104" s="138"/>
      <c r="FG104" s="136"/>
      <c r="FH104" s="105"/>
      <c r="FI104" s="105"/>
      <c r="FJ104" s="137"/>
      <c r="FK104" s="138"/>
      <c r="FL104" s="136"/>
      <c r="FM104" s="105"/>
      <c r="FN104" s="105"/>
      <c r="FO104" s="137"/>
      <c r="FP104" s="138"/>
      <c r="FQ104" s="136"/>
      <c r="FR104" s="105"/>
      <c r="FS104" s="105"/>
      <c r="FT104" s="137"/>
      <c r="FU104" s="138"/>
      <c r="FV104" s="136"/>
      <c r="FW104" s="105"/>
      <c r="FX104" s="105"/>
      <c r="FY104" s="137"/>
      <c r="FZ104" s="138"/>
      <c r="GA104" s="136"/>
      <c r="GB104" s="105"/>
      <c r="GC104" s="105"/>
      <c r="GD104" s="137"/>
      <c r="GE104" s="138"/>
      <c r="GF104" s="136"/>
      <c r="GG104" s="105"/>
      <c r="GH104" s="105"/>
      <c r="GI104" s="137"/>
      <c r="GJ104" s="138"/>
    </row>
    <row r="105" spans="1:192" s="93" customFormat="1" ht="12.75" hidden="1" customHeight="1" outlineLevel="1">
      <c r="A105" s="81"/>
      <c r="B105" s="704" t="s">
        <v>2090</v>
      </c>
      <c r="C105" s="136"/>
      <c r="D105" s="105"/>
      <c r="E105" s="105"/>
      <c r="F105" s="137"/>
      <c r="G105" s="138">
        <f>G100/IS!G118</f>
      </c>
      <c r="H105" s="136">
        <f>H100/IS!H118</f>
      </c>
      <c r="I105" s="105">
        <f>I100/IS!I118</f>
      </c>
      <c r="J105" s="105">
        <f>J100/IS!J118</f>
      </c>
      <c r="K105" s="137">
        <f>K100/IS!K118</f>
      </c>
      <c r="L105" s="138">
        <f>L100/IS!L118</f>
      </c>
      <c r="M105" s="136">
        <f>M100/IS!M118</f>
      </c>
      <c r="N105" s="105">
        <f>N100/IS!N118</f>
      </c>
      <c r="O105" s="105">
        <f>O100/IS!O118</f>
      </c>
      <c r="P105" s="137">
        <f>P100/IS!P118</f>
      </c>
      <c r="Q105" s="138">
        <f>Q100/IS!Q118</f>
      </c>
      <c r="R105" s="136">
        <f>R100/IS!R118</f>
      </c>
      <c r="S105" s="105">
        <f>S100/IS!S118</f>
      </c>
      <c r="T105" s="105">
        <f>T100/IS!T118</f>
      </c>
      <c r="U105" s="137">
        <f>U100/IS!U118</f>
      </c>
      <c r="V105" s="138">
        <f>V100/IS!V118</f>
      </c>
      <c r="W105" s="136">
        <f>W100/IS!W118</f>
      </c>
      <c r="X105" s="105">
        <f>X100/IS!X118</f>
      </c>
      <c r="Y105" s="105">
        <f>Y100/IS!Y118</f>
      </c>
      <c r="Z105" s="137">
        <f>Z100/IS!Z118</f>
      </c>
      <c r="AA105" s="138">
        <f>AA100/IS!AA118</f>
      </c>
      <c r="AB105" s="136">
        <f>AB100/IS!AB118</f>
      </c>
      <c r="AC105" s="105">
        <f>AC100/IS!AC118</f>
      </c>
      <c r="AD105" s="105">
        <f>AD100/IS!AD118</f>
      </c>
      <c r="AE105" s="137">
        <f>AE100/IS!AE118</f>
      </c>
      <c r="AF105" s="138">
        <f>AF100/IS!AF118</f>
      </c>
      <c r="AG105" s="136">
        <f>AG100/IS!AG118</f>
      </c>
      <c r="AH105" s="105">
        <f>AH100/IS!AH118</f>
      </c>
      <c r="AI105" s="105">
        <f>AI100/IS!AI118</f>
      </c>
      <c r="AJ105" s="137">
        <f>AJ100/IS!AJ118</f>
      </c>
      <c r="AK105" s="138">
        <f>AK100/IS!AK118</f>
      </c>
      <c r="AL105" s="136">
        <f>AL100/IS!AL118</f>
      </c>
      <c r="AM105" s="105">
        <f>AM100/IS!AM118</f>
      </c>
      <c r="AN105" s="105">
        <f>AN100/IS!AN118</f>
      </c>
      <c r="AO105" s="137">
        <f>AO100/IS!AO118</f>
      </c>
      <c r="AP105" s="138">
        <f>AP100/IS!AP118</f>
      </c>
      <c r="AQ105" s="136">
        <f>AQ100/IS!AQ118</f>
      </c>
      <c r="AR105" s="105">
        <f>AR100/IS!AR118</f>
      </c>
      <c r="AS105" s="105">
        <f>AS100/IS!AS118</f>
      </c>
      <c r="AT105" s="137">
        <f>AT100/IS!AT118</f>
      </c>
      <c r="AU105" s="138">
        <f>AU100/IS!AU118</f>
      </c>
      <c r="AV105" s="136">
        <f>AV100/IS!AV118</f>
      </c>
      <c r="AW105" s="105">
        <f>AW100/IS!AW118</f>
      </c>
      <c r="AX105" s="105">
        <f>AX100/IS!AX118</f>
      </c>
      <c r="AY105" s="137">
        <f>AY100/IS!AY118</f>
      </c>
      <c r="AZ105" s="138">
        <f>AZ100/IS!AZ118</f>
      </c>
      <c r="BA105" s="136">
        <f>BA100/IS!BA118</f>
      </c>
      <c r="BB105" s="105">
        <f>BB100/IS!BB118</f>
      </c>
      <c r="BC105" s="105">
        <f>BC100/IS!BC118</f>
      </c>
      <c r="BD105" s="137">
        <f>BD100/IS!BD118</f>
      </c>
      <c r="BE105" s="138">
        <f>BE100/IS!BE118</f>
      </c>
      <c r="BF105" s="136">
        <f>BF100/IS!BF118</f>
      </c>
      <c r="BG105" s="105">
        <f>BG100/IS!BG118</f>
      </c>
      <c r="BH105" s="105">
        <f>BH100/IS!BH118</f>
      </c>
      <c r="BI105" s="137">
        <f>BI100/IS!BI118</f>
      </c>
      <c r="BJ105" s="138">
        <f>BJ100/IS!BJ118</f>
      </c>
      <c r="BK105" s="136">
        <f>BK100/IS!BK118</f>
      </c>
      <c r="BL105" s="105">
        <f>BL100/IS!BL118</f>
      </c>
      <c r="BM105" s="105">
        <f>BM100/IS!BM118</f>
      </c>
      <c r="BN105" s="137">
        <f>BN100/IS!BN118</f>
      </c>
      <c r="BO105" s="138">
        <f>BO100/IS!BO118</f>
      </c>
      <c r="BP105" s="136">
        <f>BP100/IS!BP118</f>
      </c>
      <c r="BQ105" s="105">
        <f>BQ100/IS!BQ118</f>
      </c>
      <c r="BR105" s="105">
        <f>BR100/IS!BR118</f>
      </c>
      <c r="BS105" s="137">
        <f>BS100/IS!BS118</f>
      </c>
      <c r="BT105" s="138">
        <f>BT100/IS!BT118</f>
      </c>
      <c r="BU105" s="136">
        <f>BU100/IS!BU118</f>
      </c>
      <c r="BV105" s="105">
        <f>BV100/IS!BV118</f>
      </c>
      <c r="BW105" s="105">
        <f>BW100/IS!BW118</f>
      </c>
      <c r="BX105" s="137">
        <f>BX100/IS!BX118</f>
      </c>
      <c r="BY105" s="138">
        <f>BY100/IS!BY118</f>
      </c>
      <c r="BZ105" s="136">
        <f>BZ100/IS!BZ118</f>
      </c>
      <c r="CA105" s="105">
        <f>CA100/IS!CA118</f>
      </c>
      <c r="CB105" s="105">
        <f>CB100/IS!CB118</f>
      </c>
      <c r="CC105" s="137">
        <f>CC100/IS!CC118</f>
      </c>
      <c r="CD105" s="138">
        <f>CD100/IS!CD118</f>
      </c>
      <c r="CE105" s="136">
        <f>CE100/IS!CE118</f>
      </c>
      <c r="CF105" s="105">
        <f>CF100/IS!CF118</f>
      </c>
      <c r="CG105" s="105">
        <f>CG100/IS!CG118</f>
      </c>
      <c r="CH105" s="137">
        <f>CH100/IS!CH118</f>
      </c>
      <c r="CI105" s="138">
        <f>CI100/IS!CI118</f>
      </c>
      <c r="CJ105" s="136">
        <f>CJ100/IS!CJ118</f>
      </c>
      <c r="CK105" s="105">
        <f>CK100/IS!CK118</f>
      </c>
      <c r="CL105" s="105">
        <f>CL100/IS!CL118</f>
      </c>
      <c r="CM105" s="137">
        <f>CM100/IS!CM118</f>
      </c>
      <c r="CN105" s="138">
        <f>CN100/IS!CN118</f>
      </c>
      <c r="CO105" s="136">
        <f>CO100/IS!CO118</f>
      </c>
      <c r="CP105" s="105">
        <f>CP100/IS!CP118</f>
      </c>
      <c r="CQ105" s="105">
        <f>CQ100/IS!CQ118</f>
      </c>
      <c r="CR105" s="137">
        <f>CR100/IS!CR118</f>
      </c>
      <c r="CS105" s="138">
        <f>CS100/IS!CS118</f>
      </c>
      <c r="CT105" s="136">
        <f>CT100/IS!CT118</f>
      </c>
      <c r="CU105" s="105">
        <f>CU100/IS!CU118</f>
      </c>
      <c r="CV105" s="105">
        <f>CV100/IS!CV118</f>
      </c>
      <c r="CW105" s="137">
        <f>CW100/IS!CW118</f>
      </c>
      <c r="CX105" s="138">
        <f>CX100/IS!CX118</f>
      </c>
      <c r="CY105" s="136">
        <f>CY100/IS!CY118</f>
      </c>
      <c r="CZ105" s="105">
        <f>CZ100/IS!CZ118</f>
      </c>
      <c r="DA105" s="105">
        <f>DA100/IS!DA118</f>
      </c>
      <c r="DB105" s="137">
        <f>DB100/IS!DB118</f>
      </c>
      <c r="DC105" s="138">
        <f>DC100/IS!DC118</f>
      </c>
      <c r="DD105" s="136">
        <f>DD100/IS!DD118</f>
      </c>
      <c r="DE105" s="105">
        <f>DE100/IS!DE118</f>
      </c>
      <c r="DF105" s="105">
        <f>DF100/IS!DF118</f>
      </c>
      <c r="DG105" s="137">
        <f>DG100/IS!DG118</f>
      </c>
      <c r="DH105" s="138">
        <f>DH100/IS!DH118</f>
      </c>
      <c r="DI105" s="136">
        <f>DI100/IS!DI118</f>
      </c>
      <c r="DJ105" s="105">
        <f>DJ100/IS!DJ118</f>
      </c>
      <c r="DK105" s="105">
        <f>DK100/IS!DK118</f>
      </c>
      <c r="DL105" s="137">
        <f>DL100/IS!DL118</f>
      </c>
      <c r="DM105" s="138">
        <f>DM100/IS!DM118</f>
      </c>
      <c r="DN105" s="136">
        <f>DN100/IS!DN118</f>
      </c>
      <c r="DO105" s="105">
        <f>DO100/IS!DO118</f>
      </c>
      <c r="DP105" s="105">
        <f>DP100/IS!DP118</f>
      </c>
      <c r="DQ105" s="137">
        <f>DQ100/IS!DQ118</f>
      </c>
      <c r="DR105" s="138">
        <f>DR100/IS!DR118</f>
      </c>
      <c r="DS105" s="136">
        <f>DS100/IS!DS118</f>
      </c>
      <c r="DT105" s="105">
        <f>DT100/IS!DT118</f>
      </c>
      <c r="DU105" s="105">
        <f>DU100/IS!DU118</f>
      </c>
      <c r="DV105" s="137">
        <f>DV100/IS!DV118</f>
      </c>
      <c r="DW105" s="138">
        <f>DW100/IS!DW118</f>
      </c>
      <c r="DX105" s="136">
        <f>DX100/IS!DX118</f>
      </c>
      <c r="DY105" s="105">
        <f>DY100/IS!DY118</f>
      </c>
      <c r="DZ105" s="105">
        <f>DZ100/IS!DZ118</f>
      </c>
      <c r="EA105" s="137">
        <f>EA100/IS!EA118</f>
      </c>
      <c r="EB105" s="138">
        <f>EB100/IS!EB118</f>
      </c>
      <c r="EC105" s="136">
        <f>EC100/IS!EC118</f>
      </c>
      <c r="ED105" s="105">
        <f>ED100/IS!ED118</f>
      </c>
      <c r="EE105" s="105">
        <f>EE100/IS!EE118</f>
      </c>
      <c r="EF105" s="137">
        <f>EF100/IS!EF118</f>
      </c>
      <c r="EG105" s="138">
        <f>EG100/IS!EG118</f>
      </c>
      <c r="EH105" s="136">
        <f>EH100/IS!EH118</f>
      </c>
      <c r="EI105" s="105">
        <f>EI100/IS!EI118</f>
      </c>
      <c r="EJ105" s="105">
        <f>EJ100/IS!EJ118</f>
      </c>
      <c r="EK105" s="137">
        <f>EK100/IS!EK118</f>
      </c>
      <c r="EL105" s="138">
        <f>EL100/IS!EL118</f>
      </c>
      <c r="EM105" s="136">
        <f>EM100/IS!EM118</f>
      </c>
      <c r="EN105" s="105">
        <f>EN100/IS!EN118</f>
      </c>
      <c r="EO105" s="105">
        <f>EO100/IS!EO118</f>
      </c>
      <c r="EP105" s="137">
        <f>EP100/IS!EP118</f>
      </c>
      <c r="EQ105" s="138">
        <f>EQ100/IS!EQ118</f>
      </c>
      <c r="ER105" s="136">
        <f>ER100/IS!ER118</f>
      </c>
      <c r="ES105" s="105">
        <f>ES100/IS!ES118</f>
      </c>
      <c r="ET105" s="105">
        <f>ET100/IS!ET118</f>
      </c>
      <c r="EU105" s="137">
        <f>EU100/IS!EU118</f>
      </c>
      <c r="EV105" s="138">
        <f>EV100/IS!EV118</f>
      </c>
      <c r="EW105" s="136">
        <f>EW100/IS!EW118</f>
      </c>
      <c r="EX105" s="105">
        <f>EX100/IS!EX118</f>
      </c>
      <c r="EY105" s="105">
        <f>EY100/IS!EY118</f>
      </c>
      <c r="EZ105" s="137">
        <f>EZ100/IS!EZ118</f>
      </c>
      <c r="FA105" s="138">
        <f>FA100/IS!FA118</f>
      </c>
      <c r="FB105" s="136">
        <f>FB100/IS!FB118</f>
      </c>
      <c r="FC105" s="105">
        <f>FC100/IS!FC118</f>
      </c>
      <c r="FD105" s="105">
        <f>FD100/IS!FD118</f>
      </c>
      <c r="FE105" s="137">
        <f>FE100/IS!FE118</f>
      </c>
      <c r="FF105" s="138">
        <f>FF100/IS!FF118</f>
      </c>
      <c r="FG105" s="136">
        <f>FG100/IS!FG118</f>
      </c>
      <c r="FH105" s="105">
        <f>FH100/IS!FH118</f>
      </c>
      <c r="FI105" s="105">
        <f>FI100/IS!FI118</f>
      </c>
      <c r="FJ105" s="137">
        <f>FJ100/IS!FJ118</f>
      </c>
      <c r="FK105" s="138">
        <f>FK100/IS!FK118</f>
      </c>
      <c r="FL105" s="136">
        <f>FL100/IS!FL118</f>
      </c>
      <c r="FM105" s="105">
        <f>FM100/IS!FM118</f>
      </c>
      <c r="FN105" s="105">
        <f>FN100/IS!FN118</f>
      </c>
      <c r="FO105" s="137">
        <f>FO100/IS!FO118</f>
      </c>
      <c r="FP105" s="138">
        <f>FP100/IS!FP118</f>
      </c>
      <c r="FQ105" s="136">
        <f>FQ100/IS!FQ118</f>
      </c>
      <c r="FR105" s="105">
        <f>FR100/IS!FR118</f>
      </c>
      <c r="FS105" s="105">
        <f>FS100/IS!FS118</f>
      </c>
      <c r="FT105" s="137">
        <f>FT100/IS!FT118</f>
      </c>
      <c r="FU105" s="138">
        <f>FU100/IS!FU118</f>
      </c>
      <c r="FV105" s="136">
        <f>FV100/IS!FV118</f>
      </c>
      <c r="FW105" s="105">
        <f>FW100/IS!FW118</f>
      </c>
      <c r="FX105" s="105">
        <f>FX100/IS!FX118</f>
      </c>
      <c r="FY105" s="137">
        <f>FY100/IS!FY118</f>
      </c>
      <c r="FZ105" s="138">
        <f>FZ100/IS!FZ118</f>
      </c>
      <c r="GA105" s="136">
        <f>GA100/IS!GA118</f>
      </c>
      <c r="GB105" s="105">
        <f>GB100/IS!GB118</f>
      </c>
      <c r="GC105" s="105">
        <f>GC100/IS!GC118</f>
      </c>
      <c r="GD105" s="137">
        <f>GD100/IS!GD118</f>
      </c>
      <c r="GE105" s="138">
        <f>GE100/IS!GE118</f>
      </c>
      <c r="GF105" s="136">
        <f>GF100/IS!GF118</f>
      </c>
      <c r="GG105" s="105">
        <f>GG100/IS!GG118</f>
      </c>
      <c r="GH105" s="105">
        <f>GH100/IS!GH118</f>
      </c>
      <c r="GI105" s="137">
        <f>GI100/IS!GI118</f>
      </c>
      <c r="GJ105" s="138">
        <f>GJ100/IS!GJ118</f>
      </c>
    </row>
    <row r="106" spans="1:192" s="93" customFormat="1" ht="12.75" customHeight="1" collapsed="1">
      <c r="A106" s="123"/>
      <c r="B106" s="703"/>
      <c r="C106" s="131"/>
      <c r="D106" s="132"/>
      <c r="E106" s="132"/>
      <c r="F106" s="132"/>
      <c r="G106" s="133"/>
      <c r="H106" s="131"/>
      <c r="I106" s="132"/>
      <c r="J106" s="132"/>
      <c r="K106" s="132"/>
      <c r="L106" s="133"/>
      <c r="M106" s="131"/>
      <c r="N106" s="132"/>
      <c r="O106" s="132"/>
      <c r="P106" s="132"/>
      <c r="Q106" s="133"/>
      <c r="R106" s="131"/>
      <c r="S106" s="132"/>
      <c r="T106" s="132"/>
      <c r="U106" s="132"/>
      <c r="V106" s="133"/>
      <c r="W106" s="131"/>
      <c r="X106" s="132"/>
      <c r="Y106" s="132"/>
      <c r="Z106" s="132"/>
      <c r="AA106" s="133"/>
      <c r="AB106" s="131"/>
      <c r="AC106" s="132"/>
      <c r="AD106" s="132"/>
      <c r="AE106" s="132"/>
      <c r="AF106" s="133"/>
      <c r="AG106" s="131"/>
      <c r="AH106" s="132"/>
      <c r="AI106" s="132"/>
      <c r="AJ106" s="132"/>
      <c r="AK106" s="133"/>
      <c r="AL106" s="131"/>
      <c r="AM106" s="132"/>
      <c r="AN106" s="132"/>
      <c r="AO106" s="132"/>
      <c r="AP106" s="133"/>
      <c r="AQ106" s="131"/>
      <c r="AR106" s="132"/>
      <c r="AS106" s="132"/>
      <c r="AT106" s="132"/>
      <c r="AU106" s="133"/>
      <c r="AV106" s="131"/>
      <c r="AW106" s="132"/>
      <c r="AX106" s="132"/>
      <c r="AY106" s="132"/>
      <c r="AZ106" s="133"/>
      <c r="BA106" s="131"/>
      <c r="BB106" s="132"/>
      <c r="BC106" s="132"/>
      <c r="BD106" s="132"/>
      <c r="BE106" s="133"/>
      <c r="BF106" s="131"/>
      <c r="BG106" s="132"/>
      <c r="BH106" s="132"/>
      <c r="BI106" s="132"/>
      <c r="BJ106" s="133"/>
      <c r="BK106" s="131"/>
      <c r="BL106" s="132"/>
      <c r="BM106" s="132"/>
      <c r="BN106" s="132"/>
      <c r="BO106" s="133"/>
      <c r="BP106" s="131"/>
      <c r="BQ106" s="132"/>
      <c r="BR106" s="132"/>
      <c r="BS106" s="132"/>
      <c r="BT106" s="133"/>
      <c r="BU106" s="131"/>
      <c r="BV106" s="132"/>
      <c r="BW106" s="132"/>
      <c r="BX106" s="132"/>
      <c r="BY106" s="133"/>
      <c r="BZ106" s="131"/>
      <c r="CA106" s="132"/>
      <c r="CB106" s="132"/>
      <c r="CC106" s="132"/>
      <c r="CD106" s="133"/>
      <c r="CE106" s="131"/>
      <c r="CF106" s="132"/>
      <c r="CG106" s="132"/>
      <c r="CH106" s="132"/>
      <c r="CI106" s="133"/>
      <c r="CJ106" s="131"/>
      <c r="CK106" s="132"/>
      <c r="CL106" s="132"/>
      <c r="CM106" s="132"/>
      <c r="CN106" s="133"/>
      <c r="CO106" s="131"/>
      <c r="CP106" s="132"/>
      <c r="CQ106" s="132"/>
      <c r="CR106" s="132"/>
      <c r="CS106" s="133"/>
      <c r="CT106" s="131"/>
      <c r="CU106" s="132"/>
      <c r="CV106" s="132"/>
      <c r="CW106" s="132"/>
      <c r="CX106" s="133"/>
      <c r="CY106" s="131"/>
      <c r="CZ106" s="132"/>
      <c r="DA106" s="132"/>
      <c r="DB106" s="132"/>
      <c r="DC106" s="133"/>
      <c r="DD106" s="131"/>
      <c r="DE106" s="132"/>
      <c r="DF106" s="132"/>
      <c r="DG106" s="132"/>
      <c r="DH106" s="133"/>
      <c r="DI106" s="131"/>
      <c r="DJ106" s="132"/>
      <c r="DK106" s="132"/>
      <c r="DL106" s="132"/>
      <c r="DM106" s="133"/>
      <c r="DN106" s="131"/>
      <c r="DO106" s="132"/>
      <c r="DP106" s="132"/>
      <c r="DQ106" s="132"/>
      <c r="DR106" s="133"/>
      <c r="DS106" s="131"/>
      <c r="DT106" s="132"/>
      <c r="DU106" s="132"/>
      <c r="DV106" s="132"/>
      <c r="DW106" s="133"/>
      <c r="DX106" s="131"/>
      <c r="DY106" s="132"/>
      <c r="DZ106" s="132"/>
      <c r="EA106" s="132"/>
      <c r="EB106" s="133"/>
      <c r="EC106" s="131"/>
      <c r="ED106" s="132"/>
      <c r="EE106" s="132"/>
      <c r="EF106" s="132"/>
      <c r="EG106" s="133"/>
      <c r="EH106" s="131"/>
      <c r="EI106" s="132"/>
      <c r="EJ106" s="132"/>
      <c r="EK106" s="132"/>
      <c r="EL106" s="133"/>
      <c r="EM106" s="131"/>
      <c r="EN106" s="132"/>
      <c r="EO106" s="132"/>
      <c r="EP106" s="132"/>
      <c r="EQ106" s="133"/>
      <c r="ER106" s="131"/>
      <c r="ES106" s="132"/>
      <c r="ET106" s="132"/>
      <c r="EU106" s="132"/>
      <c r="EV106" s="133"/>
      <c r="EW106" s="131"/>
      <c r="EX106" s="132"/>
      <c r="EY106" s="132"/>
      <c r="EZ106" s="132"/>
      <c r="FA106" s="133"/>
      <c r="FB106" s="131"/>
      <c r="FC106" s="132"/>
      <c r="FD106" s="132"/>
      <c r="FE106" s="132"/>
      <c r="FF106" s="133"/>
      <c r="FG106" s="131"/>
      <c r="FH106" s="132"/>
      <c r="FI106" s="132"/>
      <c r="FJ106" s="132"/>
      <c r="FK106" s="133"/>
      <c r="FL106" s="131"/>
      <c r="FM106" s="132"/>
      <c r="FN106" s="132"/>
      <c r="FO106" s="132"/>
      <c r="FP106" s="133"/>
      <c r="FQ106" s="131"/>
      <c r="FR106" s="132"/>
      <c r="FS106" s="132"/>
      <c r="FT106" s="132"/>
      <c r="FU106" s="133"/>
      <c r="FV106" s="131"/>
      <c r="FW106" s="132"/>
      <c r="FX106" s="132"/>
      <c r="FY106" s="132"/>
      <c r="FZ106" s="133"/>
      <c r="GA106" s="131"/>
      <c r="GB106" s="132"/>
      <c r="GC106" s="132"/>
      <c r="GD106" s="132"/>
      <c r="GE106" s="133"/>
      <c r="GF106" s="131"/>
      <c r="GG106" s="132"/>
      <c r="GH106" s="132"/>
      <c r="GI106" s="132"/>
      <c r="GJ106" s="133"/>
    </row>
    <row r="107" spans="1:192" s="93" customFormat="1" ht="12.75" customHeight="1">
      <c r="A107" s="123"/>
      <c r="B107" s="703" t="s">
        <v>1838</v>
      </c>
      <c r="C107" s="131"/>
      <c r="D107" s="132"/>
      <c r="E107" s="132"/>
      <c r="F107" s="132"/>
      <c r="G107" s="133"/>
      <c r="H107" s="131"/>
      <c r="I107" s="132"/>
      <c r="J107" s="132"/>
      <c r="K107" s="132"/>
      <c r="L107" s="133"/>
      <c r="M107" s="131"/>
      <c r="N107" s="132"/>
      <c r="O107" s="132"/>
      <c r="P107" s="132"/>
      <c r="Q107" s="133"/>
      <c r="R107" s="131"/>
      <c r="S107" s="132"/>
      <c r="T107" s="132"/>
      <c r="U107" s="132"/>
      <c r="V107" s="133"/>
      <c r="W107" s="131"/>
      <c r="X107" s="132"/>
      <c r="Y107" s="132"/>
      <c r="Z107" s="132"/>
      <c r="AA107" s="133"/>
      <c r="AB107" s="131"/>
      <c r="AC107" s="132"/>
      <c r="AD107" s="132"/>
      <c r="AE107" s="132"/>
      <c r="AF107" s="133"/>
      <c r="AG107" s="131"/>
      <c r="AH107" s="132"/>
      <c r="AI107" s="132"/>
      <c r="AJ107" s="132"/>
      <c r="AK107" s="133"/>
      <c r="AL107" s="131"/>
      <c r="AM107" s="132"/>
      <c r="AN107" s="132"/>
      <c r="AO107" s="132"/>
      <c r="AP107" s="133"/>
      <c r="AQ107" s="131"/>
      <c r="AR107" s="132"/>
      <c r="AS107" s="132"/>
      <c r="AT107" s="132"/>
      <c r="AU107" s="133"/>
      <c r="AV107" s="131"/>
      <c r="AW107" s="132"/>
      <c r="AX107" s="132"/>
      <c r="AY107" s="132"/>
      <c r="AZ107" s="133"/>
      <c r="BA107" s="131"/>
      <c r="BB107" s="132"/>
      <c r="BC107" s="132"/>
      <c r="BD107" s="132"/>
      <c r="BE107" s="133"/>
      <c r="BF107" s="131"/>
      <c r="BG107" s="132"/>
      <c r="BH107" s="132"/>
      <c r="BI107" s="132"/>
      <c r="BJ107" s="133"/>
      <c r="BK107" s="131"/>
      <c r="BL107" s="132"/>
      <c r="BM107" s="132"/>
      <c r="BN107" s="132"/>
      <c r="BO107" s="133"/>
      <c r="BP107" s="131"/>
      <c r="BQ107" s="132"/>
      <c r="BR107" s="132"/>
      <c r="BS107" s="132"/>
      <c r="BT107" s="133"/>
      <c r="BU107" s="131"/>
      <c r="BV107" s="132"/>
      <c r="BW107" s="132"/>
      <c r="BX107" s="132"/>
      <c r="BY107" s="133"/>
      <c r="BZ107" s="131"/>
      <c r="CA107" s="132"/>
      <c r="CB107" s="132"/>
      <c r="CC107" s="132"/>
      <c r="CD107" s="133"/>
      <c r="CE107" s="131"/>
      <c r="CF107" s="132"/>
      <c r="CG107" s="132"/>
      <c r="CH107" s="132"/>
      <c r="CI107" s="133"/>
      <c r="CJ107" s="131"/>
      <c r="CK107" s="132"/>
      <c r="CL107" s="132"/>
      <c r="CM107" s="132"/>
      <c r="CN107" s="133"/>
      <c r="CO107" s="131"/>
      <c r="CP107" s="132"/>
      <c r="CQ107" s="132"/>
      <c r="CR107" s="132"/>
      <c r="CS107" s="133"/>
      <c r="CT107" s="131"/>
      <c r="CU107" s="132"/>
      <c r="CV107" s="132"/>
      <c r="CW107" s="132"/>
      <c r="CX107" s="133"/>
      <c r="CY107" s="131"/>
      <c r="CZ107" s="132"/>
      <c r="DA107" s="132"/>
      <c r="DB107" s="132"/>
      <c r="DC107" s="133"/>
      <c r="DD107" s="131"/>
      <c r="DE107" s="132"/>
      <c r="DF107" s="132"/>
      <c r="DG107" s="132"/>
      <c r="DH107" s="133"/>
      <c r="DI107" s="131"/>
      <c r="DJ107" s="132"/>
      <c r="DK107" s="132"/>
      <c r="DL107" s="132"/>
      <c r="DM107" s="133"/>
      <c r="DN107" s="131"/>
      <c r="DO107" s="132"/>
      <c r="DP107" s="132"/>
      <c r="DQ107" s="132"/>
      <c r="DR107" s="133"/>
      <c r="DS107" s="131"/>
      <c r="DT107" s="132"/>
      <c r="DU107" s="132"/>
      <c r="DV107" s="132"/>
      <c r="DW107" s="133"/>
      <c r="DX107" s="131"/>
      <c r="DY107" s="132"/>
      <c r="DZ107" s="132"/>
      <c r="EA107" s="132"/>
      <c r="EB107" s="133"/>
      <c r="EC107" s="131"/>
      <c r="ED107" s="132"/>
      <c r="EE107" s="132"/>
      <c r="EF107" s="132"/>
      <c r="EG107" s="133"/>
      <c r="EH107" s="131"/>
      <c r="EI107" s="132"/>
      <c r="EJ107" s="132"/>
      <c r="EK107" s="132"/>
      <c r="EL107" s="133"/>
      <c r="EM107" s="131"/>
      <c r="EN107" s="132"/>
      <c r="EO107" s="132"/>
      <c r="EP107" s="132"/>
      <c r="EQ107" s="133"/>
      <c r="ER107" s="131"/>
      <c r="ES107" s="132"/>
      <c r="ET107" s="132"/>
      <c r="EU107" s="132"/>
      <c r="EV107" s="133"/>
      <c r="EW107" s="131"/>
      <c r="EX107" s="132"/>
      <c r="EY107" s="132"/>
      <c r="EZ107" s="132"/>
      <c r="FA107" s="133"/>
      <c r="FB107" s="131"/>
      <c r="FC107" s="132"/>
      <c r="FD107" s="132"/>
      <c r="FE107" s="132"/>
      <c r="FF107" s="133"/>
      <c r="FG107" s="131"/>
      <c r="FH107" s="132"/>
      <c r="FI107" s="132"/>
      <c r="FJ107" s="132"/>
      <c r="FK107" s="133"/>
      <c r="FL107" s="131"/>
      <c r="FM107" s="132"/>
      <c r="FN107" s="132"/>
      <c r="FO107" s="132"/>
      <c r="FP107" s="133"/>
      <c r="FQ107" s="131"/>
      <c r="FR107" s="132"/>
      <c r="FS107" s="132"/>
      <c r="FT107" s="132"/>
      <c r="FU107" s="133"/>
      <c r="FV107" s="131"/>
      <c r="FW107" s="132"/>
      <c r="FX107" s="132"/>
      <c r="FY107" s="132"/>
      <c r="FZ107" s="133"/>
      <c r="GA107" s="131"/>
      <c r="GB107" s="132"/>
      <c r="GC107" s="132"/>
      <c r="GD107" s="132"/>
      <c r="GE107" s="133"/>
      <c r="GF107" s="131"/>
      <c r="GG107" s="132"/>
      <c r="GH107" s="132"/>
      <c r="GI107" s="132"/>
      <c r="GJ107" s="133"/>
    </row>
    <row r="108" spans="1:192" s="93" customFormat="1" ht="12.75" customHeight="1">
      <c r="A108" s="123"/>
      <c r="B108" s="717" t="s">
        <v>1858</v>
      </c>
      <c r="C108" s="364">
        <f>CF!C49</f>
      </c>
      <c r="D108" s="365">
        <f>CF!D49</f>
      </c>
      <c r="E108" s="365">
        <f>CF!E49</f>
      </c>
      <c r="F108" s="365">
        <f>CF!F49</f>
      </c>
      <c r="G108" s="366">
        <f>CF!G49</f>
      </c>
      <c r="H108" s="364">
        <f>CF!H49</f>
      </c>
      <c r="I108" s="365">
        <f>CF!I49</f>
      </c>
      <c r="J108" s="365">
        <f>CF!J49</f>
      </c>
      <c r="K108" s="365">
        <f>CF!K49</f>
      </c>
      <c r="L108" s="366">
        <f>CF!L49</f>
      </c>
      <c r="M108" s="364">
        <f>CF!M49</f>
      </c>
      <c r="N108" s="365">
        <f>CF!N49</f>
      </c>
      <c r="O108" s="365">
        <f>CF!O49</f>
      </c>
      <c r="P108" s="365">
        <f>CF!P49</f>
      </c>
      <c r="Q108" s="366">
        <f>CF!Q49</f>
      </c>
      <c r="R108" s="364">
        <f>CF!R49</f>
      </c>
      <c r="S108" s="365">
        <f>CF!S49</f>
      </c>
      <c r="T108" s="365">
        <f>CF!T49</f>
      </c>
      <c r="U108" s="365">
        <f>CF!U49</f>
      </c>
      <c r="V108" s="366">
        <f>CF!V49</f>
      </c>
      <c r="W108" s="364">
        <f>CF!W49</f>
      </c>
      <c r="X108" s="365">
        <f>CF!X49</f>
      </c>
      <c r="Y108" s="365">
        <f>CF!Y49</f>
      </c>
      <c r="Z108" s="365">
        <f>CF!Z49</f>
      </c>
      <c r="AA108" s="366">
        <f>CF!AA49</f>
      </c>
      <c r="AB108" s="364">
        <f>CF!AB49</f>
      </c>
      <c r="AC108" s="365">
        <f>CF!AC49</f>
      </c>
      <c r="AD108" s="365">
        <f>CF!AD49</f>
      </c>
      <c r="AE108" s="365">
        <f>CF!AE49</f>
      </c>
      <c r="AF108" s="366">
        <f>CF!AF49</f>
      </c>
      <c r="AG108" s="364">
        <f>CF!AG49</f>
      </c>
      <c r="AH108" s="365">
        <f>CF!AH49</f>
      </c>
      <c r="AI108" s="365">
        <f>CF!AI49</f>
      </c>
      <c r="AJ108" s="365">
        <f>CF!AJ49</f>
      </c>
      <c r="AK108" s="366">
        <f>CF!AK49</f>
      </c>
      <c r="AL108" s="364">
        <f>CF!AL49</f>
      </c>
      <c r="AM108" s="365">
        <f>CF!AM49</f>
      </c>
      <c r="AN108" s="365">
        <f>CF!AN49</f>
      </c>
      <c r="AO108" s="365">
        <f>CF!AO49</f>
      </c>
      <c r="AP108" s="366">
        <f>CF!AP49</f>
      </c>
      <c r="AQ108" s="364">
        <f>CF!AQ49</f>
      </c>
      <c r="AR108" s="365">
        <f>CF!AR49</f>
      </c>
      <c r="AS108" s="365">
        <f>CF!AS49</f>
      </c>
      <c r="AT108" s="365">
        <f>CF!AT49</f>
      </c>
      <c r="AU108" s="366">
        <f>CF!AU49</f>
      </c>
      <c r="AV108" s="364">
        <f>CF!AV49</f>
      </c>
      <c r="AW108" s="365">
        <f>CF!AW49</f>
      </c>
      <c r="AX108" s="365">
        <f>CF!AX49</f>
      </c>
      <c r="AY108" s="365">
        <f>CF!AY49</f>
      </c>
      <c r="AZ108" s="366">
        <f>CF!AZ49</f>
      </c>
      <c r="BA108" s="364">
        <f>CF!BA49</f>
      </c>
      <c r="BB108" s="365">
        <f>CF!BB49</f>
      </c>
      <c r="BC108" s="365">
        <f>CF!BC49</f>
      </c>
      <c r="BD108" s="365">
        <f>CF!BD49</f>
      </c>
      <c r="BE108" s="366">
        <f>CF!BE49</f>
      </c>
      <c r="BF108" s="364">
        <f>CF!BF49</f>
      </c>
      <c r="BG108" s="365">
        <f>CF!BG49</f>
      </c>
      <c r="BH108" s="365">
        <f>CF!BH49</f>
      </c>
      <c r="BI108" s="365">
        <f>CF!BI49</f>
      </c>
      <c r="BJ108" s="366">
        <f>CF!BJ49</f>
      </c>
      <c r="BK108" s="364">
        <f>CF!BK49</f>
      </c>
      <c r="BL108" s="365">
        <f>CF!BL49</f>
      </c>
      <c r="BM108" s="365">
        <f>CF!BM49</f>
      </c>
      <c r="BN108" s="365">
        <f>CF!BN49</f>
      </c>
      <c r="BO108" s="366">
        <f>CF!BO49</f>
      </c>
      <c r="BP108" s="364">
        <f>CF!BP49</f>
      </c>
      <c r="BQ108" s="365">
        <f>CF!BQ49</f>
      </c>
      <c r="BR108" s="365">
        <f>CF!BR49</f>
      </c>
      <c r="BS108" s="365">
        <f>CF!BS49</f>
      </c>
      <c r="BT108" s="366">
        <f>CF!BT49</f>
      </c>
      <c r="BU108" s="364">
        <f>CF!BU49</f>
      </c>
      <c r="BV108" s="365">
        <f>CF!BV49</f>
      </c>
      <c r="BW108" s="365">
        <f>CF!BW49</f>
      </c>
      <c r="BX108" s="365">
        <f>CF!BX49</f>
      </c>
      <c r="BY108" s="366">
        <f>CF!BY49</f>
      </c>
      <c r="BZ108" s="364">
        <f>CF!BZ49</f>
      </c>
      <c r="CA108" s="365">
        <f>CF!CA49</f>
      </c>
      <c r="CB108" s="365">
        <f>CF!CB49</f>
      </c>
      <c r="CC108" s="365">
        <f>CF!CC49</f>
      </c>
      <c r="CD108" s="366">
        <f>CF!CD49</f>
      </c>
      <c r="CE108" s="364">
        <f>CF!CE49</f>
      </c>
      <c r="CF108" s="365">
        <f>CF!CF49</f>
      </c>
      <c r="CG108" s="365">
        <f>CF!CG49</f>
      </c>
      <c r="CH108" s="365">
        <f>CF!CH49</f>
      </c>
      <c r="CI108" s="366">
        <f>CF!CI49</f>
      </c>
      <c r="CJ108" s="364">
        <f>CF!CJ49</f>
      </c>
      <c r="CK108" s="365">
        <f>CF!CK49</f>
      </c>
      <c r="CL108" s="365">
        <f>CF!CL49</f>
      </c>
      <c r="CM108" s="365">
        <f>CF!CM49</f>
      </c>
      <c r="CN108" s="366">
        <f>CF!CN49</f>
      </c>
      <c r="CO108" s="364">
        <f>CF!CO49</f>
      </c>
      <c r="CP108" s="365">
        <f>CF!CP49</f>
      </c>
      <c r="CQ108" s="365">
        <f>CF!CQ49</f>
      </c>
      <c r="CR108" s="365">
        <f>CF!CR49</f>
      </c>
      <c r="CS108" s="366">
        <f>CF!CS49</f>
      </c>
      <c r="CT108" s="364">
        <f>CF!CT49</f>
      </c>
      <c r="CU108" s="365">
        <f>CF!CU49</f>
      </c>
      <c r="CV108" s="365">
        <f>CF!CV49</f>
      </c>
      <c r="CW108" s="365">
        <f>CF!CW49</f>
      </c>
      <c r="CX108" s="366">
        <f>CF!CX49</f>
      </c>
      <c r="CY108" s="364">
        <f>CF!CY49</f>
      </c>
      <c r="CZ108" s="365">
        <f>CF!CZ49</f>
      </c>
      <c r="DA108" s="365">
        <f>CF!DA49</f>
      </c>
      <c r="DB108" s="365">
        <f>CF!DB49</f>
      </c>
      <c r="DC108" s="366">
        <f>CF!DC49</f>
      </c>
      <c r="DD108" s="364">
        <f>CF!DD49</f>
      </c>
      <c r="DE108" s="365">
        <f>CF!DE49</f>
      </c>
      <c r="DF108" s="365">
        <f>CF!DF49</f>
      </c>
      <c r="DG108" s="365">
        <f>CF!DG49</f>
      </c>
      <c r="DH108" s="366">
        <f>CF!DH49</f>
      </c>
      <c r="DI108" s="364">
        <f>CF!DI49</f>
      </c>
      <c r="DJ108" s="365">
        <f>CF!DJ49</f>
      </c>
      <c r="DK108" s="365">
        <f>CF!DK49</f>
      </c>
      <c r="DL108" s="365">
        <f>CF!DL49</f>
      </c>
      <c r="DM108" s="366">
        <f>CF!DM49</f>
      </c>
      <c r="DN108" s="364">
        <f>CF!DN49</f>
      </c>
      <c r="DO108" s="365">
        <f>CF!DO49</f>
      </c>
      <c r="DP108" s="365">
        <f>CF!DP49</f>
      </c>
      <c r="DQ108" s="365">
        <f>CF!DQ49</f>
      </c>
      <c r="DR108" s="366">
        <f>CF!DR49</f>
      </c>
      <c r="DS108" s="364">
        <f>CF!DS49</f>
      </c>
      <c r="DT108" s="365">
        <f>CF!DT49</f>
      </c>
      <c r="DU108" s="365">
        <f>CF!DU49</f>
      </c>
      <c r="DV108" s="365">
        <f>CF!DV49</f>
      </c>
      <c r="DW108" s="366">
        <f>CF!DW49</f>
      </c>
      <c r="DX108" s="364">
        <f>CF!DX49</f>
      </c>
      <c r="DY108" s="365">
        <f>CF!DY49</f>
      </c>
      <c r="DZ108" s="365">
        <f>CF!DZ49</f>
      </c>
      <c r="EA108" s="365">
        <f>CF!EA49</f>
      </c>
      <c r="EB108" s="366">
        <f>CF!EB49</f>
      </c>
      <c r="EC108" s="364">
        <f>CF!EC49</f>
      </c>
      <c r="ED108" s="365">
        <f>CF!ED49</f>
      </c>
      <c r="EE108" s="365">
        <f>CF!EE49</f>
      </c>
      <c r="EF108" s="365">
        <f>CF!EF49</f>
      </c>
      <c r="EG108" s="366">
        <f>CF!EG49</f>
      </c>
      <c r="EH108" s="364">
        <f>CF!EH49</f>
      </c>
      <c r="EI108" s="365">
        <f>CF!EI49</f>
      </c>
      <c r="EJ108" s="365">
        <f>CF!EJ49</f>
      </c>
      <c r="EK108" s="365">
        <f>CF!EK49</f>
      </c>
      <c r="EL108" s="366">
        <f>CF!EL49</f>
      </c>
      <c r="EM108" s="364">
        <f>CF!EM49</f>
      </c>
      <c r="EN108" s="365">
        <f>CF!EN49</f>
      </c>
      <c r="EO108" s="365">
        <f>CF!EO49</f>
      </c>
      <c r="EP108" s="365">
        <f>CF!EP49</f>
      </c>
      <c r="EQ108" s="366">
        <f>CF!EQ49</f>
      </c>
      <c r="ER108" s="364">
        <f>CF!ER49</f>
      </c>
      <c r="ES108" s="365">
        <f>CF!ES49</f>
      </c>
      <c r="ET108" s="365">
        <f>CF!ET49</f>
      </c>
      <c r="EU108" s="365">
        <f>CF!EU49</f>
      </c>
      <c r="EV108" s="535">
        <f>SUM(ER108:EU108)</f>
      </c>
      <c r="EW108" s="364">
        <f>CF!EW49</f>
      </c>
      <c r="EX108" s="365">
        <f>CF!EX49</f>
      </c>
      <c r="EY108" s="365">
        <f>CF!EY49</f>
      </c>
      <c r="EZ108" s="365">
        <f>CF!EZ49</f>
      </c>
      <c r="FA108" s="535">
        <f>SUM(EW108:EZ108)</f>
      </c>
      <c r="FB108" s="534">
        <f>-FB56*FB109</f>
      </c>
      <c r="FC108" s="534">
        <f>-FC56*FC109</f>
      </c>
      <c r="FD108" s="534">
        <f>-FD56*FD109</f>
      </c>
      <c r="FE108" s="534">
        <f>-FE56*FE109</f>
      </c>
      <c r="FF108" s="535">
        <f>SUM(FB108:FE108)</f>
      </c>
      <c r="FG108" s="534">
        <f>-FG56*FG109</f>
      </c>
      <c r="FH108" s="534">
        <f>-FH56*FH109</f>
      </c>
      <c r="FI108" s="534">
        <f>-FI56*FI109</f>
      </c>
      <c r="FJ108" s="534">
        <f>-FJ56*FJ109</f>
      </c>
      <c r="FK108" s="535">
        <f>SUM(FG108:FJ108)</f>
      </c>
      <c r="FL108" s="534">
        <f>-FL56*FL109</f>
      </c>
      <c r="FM108" s="534">
        <f>-FM56*FM109</f>
      </c>
      <c r="FN108" s="534">
        <f>-FN56*FN109</f>
      </c>
      <c r="FO108" s="534">
        <f>-FO56*FO109</f>
      </c>
      <c r="FP108" s="535">
        <f>SUM(FL108:FO108)</f>
      </c>
      <c r="FQ108" s="534">
        <f>-FQ56*FQ109</f>
      </c>
      <c r="FR108" s="534">
        <f>-FR56*FR109</f>
      </c>
      <c r="FS108" s="534">
        <f>-FS56*FS109</f>
      </c>
      <c r="FT108" s="534">
        <f>-FT56*FT109</f>
      </c>
      <c r="FU108" s="535">
        <f>SUM(FQ108:FT108)</f>
      </c>
      <c r="FV108" s="534">
        <f>-FV56*FV109</f>
      </c>
      <c r="FW108" s="534">
        <f>-FW56*FW109</f>
      </c>
      <c r="FX108" s="534">
        <f>-FX56*FX109</f>
      </c>
      <c r="FY108" s="534">
        <f>-FY56*FY109</f>
      </c>
      <c r="FZ108" s="535">
        <f>SUM(FV108:FY108)</f>
      </c>
      <c r="GA108" s="534">
        <f>-GA56*GA109</f>
      </c>
      <c r="GB108" s="534">
        <f>-GB56*GB109</f>
      </c>
      <c r="GC108" s="534">
        <f>-GC56*GC109</f>
      </c>
      <c r="GD108" s="534">
        <f>-GD56*GD109</f>
      </c>
      <c r="GE108" s="535">
        <f>SUM(GA108:GD108)</f>
      </c>
      <c r="GF108" s="534">
        <f>-GF56*GF109</f>
      </c>
      <c r="GG108" s="534">
        <f>-GG56*GG109</f>
      </c>
      <c r="GH108" s="534">
        <f>-GH56*GH109</f>
      </c>
      <c r="GI108" s="534">
        <f>-GI56*GI109</f>
      </c>
      <c r="GJ108" s="535">
        <f>SUM(GF108:GI108)</f>
      </c>
    </row>
    <row r="109" spans="1:192" s="367" customFormat="1" ht="12.75" customHeight="1">
      <c r="A109" s="81"/>
      <c r="B109" s="705" t="s">
        <v>308</v>
      </c>
      <c r="C109" s="291">
        <f t="shared" ref="C109:AH109" si="1024">IFERROR(-C108/C56,"")</f>
      </c>
      <c r="D109" s="107">
        <f t="shared" si="1024"/>
      </c>
      <c r="E109" s="107">
        <f t="shared" si="1024"/>
      </c>
      <c r="F109" s="137">
        <f t="shared" si="1024"/>
      </c>
      <c r="G109" s="138">
        <f t="shared" si="1024"/>
      </c>
      <c r="H109" s="291">
        <f t="shared" si="1024"/>
      </c>
      <c r="I109" s="107">
        <f t="shared" si="1024"/>
      </c>
      <c r="J109" s="107">
        <f t="shared" si="1024"/>
      </c>
      <c r="K109" s="137">
        <f t="shared" si="1024"/>
      </c>
      <c r="L109" s="138">
        <f t="shared" si="1024"/>
      </c>
      <c r="M109" s="291">
        <f t="shared" si="1024"/>
      </c>
      <c r="N109" s="107">
        <f t="shared" si="1024"/>
      </c>
      <c r="O109" s="107">
        <f t="shared" si="1024"/>
      </c>
      <c r="P109" s="137">
        <f t="shared" si="1024"/>
      </c>
      <c r="Q109" s="138">
        <f t="shared" si="1024"/>
      </c>
      <c r="R109" s="291">
        <f t="shared" si="1024"/>
      </c>
      <c r="S109" s="107">
        <f t="shared" si="1024"/>
      </c>
      <c r="T109" s="107">
        <f t="shared" si="1024"/>
      </c>
      <c r="U109" s="137">
        <f t="shared" si="1024"/>
      </c>
      <c r="V109" s="138">
        <f t="shared" si="1024"/>
      </c>
      <c r="W109" s="291">
        <f t="shared" si="1024"/>
      </c>
      <c r="X109" s="107">
        <f t="shared" si="1024"/>
      </c>
      <c r="Y109" s="107">
        <f t="shared" si="1024"/>
      </c>
      <c r="Z109" s="137">
        <f t="shared" si="1024"/>
      </c>
      <c r="AA109" s="138">
        <f t="shared" si="1024"/>
      </c>
      <c r="AB109" s="291">
        <f t="shared" si="1024"/>
      </c>
      <c r="AC109" s="107">
        <f t="shared" si="1024"/>
      </c>
      <c r="AD109" s="107">
        <f t="shared" si="1024"/>
      </c>
      <c r="AE109" s="137">
        <f t="shared" si="1024"/>
      </c>
      <c r="AF109" s="138">
        <f t="shared" si="1024"/>
      </c>
      <c r="AG109" s="291">
        <f t="shared" si="1024"/>
      </c>
      <c r="AH109" s="107">
        <f t="shared" si="1024"/>
      </c>
      <c r="AI109" s="107">
        <f t="shared" ref="AI109:BN109" si="1025">IFERROR(-AI108/AI56,"")</f>
      </c>
      <c r="AJ109" s="137">
        <f t="shared" si="1025"/>
      </c>
      <c r="AK109" s="138">
        <f t="shared" si="1025"/>
      </c>
      <c r="AL109" s="291">
        <f t="shared" si="1025"/>
      </c>
      <c r="AM109" s="107">
        <f t="shared" si="1025"/>
      </c>
      <c r="AN109" s="107">
        <f t="shared" si="1025"/>
      </c>
      <c r="AO109" s="137">
        <f t="shared" si="1025"/>
      </c>
      <c r="AP109" s="138">
        <f t="shared" si="1025"/>
      </c>
      <c r="AQ109" s="291">
        <f t="shared" si="1025"/>
      </c>
      <c r="AR109" s="107">
        <f t="shared" si="1025"/>
      </c>
      <c r="AS109" s="107">
        <f t="shared" si="1025"/>
      </c>
      <c r="AT109" s="137">
        <f t="shared" si="1025"/>
      </c>
      <c r="AU109" s="138">
        <f t="shared" si="1025"/>
      </c>
      <c r="AV109" s="291">
        <f t="shared" si="1025"/>
      </c>
      <c r="AW109" s="107">
        <f t="shared" si="1025"/>
      </c>
      <c r="AX109" s="107">
        <f t="shared" si="1025"/>
      </c>
      <c r="AY109" s="137">
        <f t="shared" si="1025"/>
      </c>
      <c r="AZ109" s="138">
        <f t="shared" si="1025"/>
      </c>
      <c r="BA109" s="291">
        <f t="shared" si="1025"/>
      </c>
      <c r="BB109" s="107">
        <f t="shared" si="1025"/>
      </c>
      <c r="BC109" s="107">
        <f t="shared" si="1025"/>
      </c>
      <c r="BD109" s="137">
        <f t="shared" si="1025"/>
      </c>
      <c r="BE109" s="138">
        <f t="shared" si="1025"/>
      </c>
      <c r="BF109" s="291">
        <f t="shared" si="1025"/>
      </c>
      <c r="BG109" s="107">
        <f t="shared" si="1025"/>
      </c>
      <c r="BH109" s="107">
        <f t="shared" si="1025"/>
      </c>
      <c r="BI109" s="137">
        <f t="shared" si="1025"/>
      </c>
      <c r="BJ109" s="138">
        <f t="shared" si="1025"/>
      </c>
      <c r="BK109" s="291">
        <f t="shared" si="1025"/>
      </c>
      <c r="BL109" s="107">
        <f t="shared" si="1025"/>
      </c>
      <c r="BM109" s="107">
        <f t="shared" si="1025"/>
      </c>
      <c r="BN109" s="137">
        <f t="shared" si="1025"/>
      </c>
      <c r="BO109" s="138">
        <f t="shared" ref="BO109:CT109" si="1026">IFERROR(-BO108/BO56,"")</f>
      </c>
      <c r="BP109" s="291">
        <f t="shared" si="1026"/>
      </c>
      <c r="BQ109" s="107">
        <f t="shared" si="1026"/>
      </c>
      <c r="BR109" s="107">
        <f t="shared" si="1026"/>
      </c>
      <c r="BS109" s="137">
        <f t="shared" si="1026"/>
      </c>
      <c r="BT109" s="138">
        <f t="shared" si="1026"/>
      </c>
      <c r="BU109" s="291">
        <f t="shared" si="1026"/>
      </c>
      <c r="BV109" s="107">
        <f t="shared" si="1026"/>
      </c>
      <c r="BW109" s="107">
        <f t="shared" si="1026"/>
      </c>
      <c r="BX109" s="137">
        <f t="shared" si="1026"/>
      </c>
      <c r="BY109" s="138">
        <f t="shared" si="1026"/>
      </c>
      <c r="BZ109" s="291">
        <f t="shared" si="1026"/>
      </c>
      <c r="CA109" s="107">
        <f t="shared" si="1026"/>
      </c>
      <c r="CB109" s="107">
        <f t="shared" si="1026"/>
      </c>
      <c r="CC109" s="137">
        <f t="shared" si="1026"/>
      </c>
      <c r="CD109" s="138">
        <f t="shared" si="1026"/>
      </c>
      <c r="CE109" s="291">
        <f t="shared" si="1026"/>
      </c>
      <c r="CF109" s="107">
        <f t="shared" si="1026"/>
      </c>
      <c r="CG109" s="107">
        <f t="shared" si="1026"/>
      </c>
      <c r="CH109" s="137">
        <f t="shared" si="1026"/>
      </c>
      <c r="CI109" s="138">
        <f t="shared" si="1026"/>
      </c>
      <c r="CJ109" s="291">
        <f t="shared" si="1026"/>
      </c>
      <c r="CK109" s="107">
        <f t="shared" si="1026"/>
      </c>
      <c r="CL109" s="107">
        <f t="shared" si="1026"/>
      </c>
      <c r="CM109" s="137">
        <f t="shared" si="1026"/>
      </c>
      <c r="CN109" s="138">
        <f t="shared" si="1026"/>
      </c>
      <c r="CO109" s="291">
        <f t="shared" si="1026"/>
      </c>
      <c r="CP109" s="107">
        <f t="shared" si="1026"/>
      </c>
      <c r="CQ109" s="107">
        <f t="shared" si="1026"/>
      </c>
      <c r="CR109" s="137">
        <f t="shared" si="1026"/>
      </c>
      <c r="CS109" s="138">
        <f t="shared" si="1026"/>
      </c>
      <c r="CT109" s="291">
        <f t="shared" si="1026"/>
      </c>
      <c r="CU109" s="107">
        <f t="shared" ref="CU109:DZ109" si="1027">IFERROR(-CU108/CU56,"")</f>
      </c>
      <c r="CV109" s="107">
        <f t="shared" si="1027"/>
      </c>
      <c r="CW109" s="137">
        <f t="shared" si="1027"/>
      </c>
      <c r="CX109" s="138">
        <f t="shared" si="1027"/>
      </c>
      <c r="CY109" s="291">
        <f t="shared" si="1027"/>
      </c>
      <c r="CZ109" s="107">
        <f t="shared" si="1027"/>
      </c>
      <c r="DA109" s="107">
        <f t="shared" si="1027"/>
      </c>
      <c r="DB109" s="137">
        <f t="shared" si="1027"/>
      </c>
      <c r="DC109" s="138">
        <f t="shared" si="1027"/>
      </c>
      <c r="DD109" s="291">
        <f t="shared" si="1027"/>
      </c>
      <c r="DE109" s="107">
        <f t="shared" si="1027"/>
      </c>
      <c r="DF109" s="107">
        <f t="shared" si="1027"/>
      </c>
      <c r="DG109" s="137">
        <f t="shared" si="1027"/>
      </c>
      <c r="DH109" s="138">
        <f t="shared" si="1027"/>
      </c>
      <c r="DI109" s="291">
        <f t="shared" si="1027"/>
      </c>
      <c r="DJ109" s="107">
        <f t="shared" si="1027"/>
      </c>
      <c r="DK109" s="107">
        <f t="shared" si="1027"/>
      </c>
      <c r="DL109" s="137">
        <f t="shared" si="1027"/>
      </c>
      <c r="DM109" s="138">
        <f t="shared" si="1027"/>
      </c>
      <c r="DN109" s="291">
        <f t="shared" si="1027"/>
      </c>
      <c r="DO109" s="107">
        <f t="shared" si="1027"/>
      </c>
      <c r="DP109" s="107">
        <f t="shared" si="1027"/>
      </c>
      <c r="DQ109" s="137">
        <f t="shared" si="1027"/>
      </c>
      <c r="DR109" s="138">
        <f t="shared" si="1027"/>
      </c>
      <c r="DS109" s="291">
        <f t="shared" si="1027"/>
      </c>
      <c r="DT109" s="107">
        <f t="shared" si="1027"/>
      </c>
      <c r="DU109" s="107">
        <f t="shared" si="1027"/>
      </c>
      <c r="DV109" s="137">
        <f t="shared" si="1027"/>
      </c>
      <c r="DW109" s="138">
        <f t="shared" si="1027"/>
      </c>
      <c r="DX109" s="291">
        <f t="shared" si="1027"/>
      </c>
      <c r="DY109" s="107">
        <f t="shared" si="1027"/>
      </c>
      <c r="DZ109" s="107">
        <f t="shared" si="1027"/>
      </c>
      <c r="EA109" s="137">
        <f t="shared" ref="EA109:FA109" si="1028">IFERROR(-EA108/EA56,"")</f>
      </c>
      <c r="EB109" s="138">
        <f t="shared" si="1028"/>
      </c>
      <c r="EC109" s="291">
        <f t="shared" si="1028"/>
      </c>
      <c r="ED109" s="107">
        <f t="shared" si="1028"/>
      </c>
      <c r="EE109" s="107">
        <f t="shared" si="1028"/>
      </c>
      <c r="EF109" s="137">
        <f t="shared" si="1028"/>
      </c>
      <c r="EG109" s="138">
        <f t="shared" si="1028"/>
      </c>
      <c r="EH109" s="291">
        <f t="shared" si="1028"/>
      </c>
      <c r="EI109" s="107">
        <f t="shared" si="1028"/>
      </c>
      <c r="EJ109" s="107">
        <f t="shared" si="1028"/>
      </c>
      <c r="EK109" s="137">
        <f t="shared" si="1028"/>
      </c>
      <c r="EL109" s="138">
        <f t="shared" si="1028"/>
      </c>
      <c r="EM109" s="291">
        <f t="shared" si="1028"/>
      </c>
      <c r="EN109" s="107">
        <f t="shared" si="1028"/>
      </c>
      <c r="EO109" s="107">
        <f t="shared" si="1028"/>
      </c>
      <c r="EP109" s="137">
        <f t="shared" si="1028"/>
      </c>
      <c r="EQ109" s="138">
        <f t="shared" si="1028"/>
      </c>
      <c r="ER109" s="291">
        <f t="shared" si="1028"/>
      </c>
      <c r="ES109" s="107">
        <f t="shared" si="1028"/>
      </c>
      <c r="ET109" s="107">
        <f t="shared" si="1028"/>
      </c>
      <c r="EU109" s="137">
        <f t="shared" si="1028"/>
      </c>
      <c r="EV109" s="138">
        <f t="shared" si="1028"/>
      </c>
      <c r="EW109" s="291">
        <f t="shared" si="1028"/>
      </c>
      <c r="EX109" s="107">
        <f t="shared" si="1028"/>
      </c>
      <c r="EY109" s="107">
        <f t="shared" si="1028"/>
      </c>
      <c r="EZ109" s="137">
        <f t="shared" si="1028"/>
      </c>
      <c r="FA109" s="138">
        <f t="shared" si="1028"/>
      </c>
      <c r="FB109" s="441">
        <v>0.28999999999999998</v>
      </c>
      <c r="FC109" s="439">
        <v>0.28000000000000003</v>
      </c>
      <c r="FD109" s="439">
        <v>0.25</v>
      </c>
      <c r="FE109" s="439">
        <v>0.23</v>
      </c>
      <c r="FF109" s="138">
        <f>IFERROR(-FF108/FF56,"")</f>
      </c>
      <c r="FG109" s="412">
        <v>0.26</v>
      </c>
      <c r="FH109" s="114">
        <f>FG109</f>
      </c>
      <c r="FI109" s="114">
        <f>FH109</f>
      </c>
      <c r="FJ109" s="758">
        <f>FI109</f>
      </c>
      <c r="FK109" s="138">
        <f>IFERROR(-FK108/FK56,"")</f>
      </c>
      <c r="FL109" s="412">
        <v>0.25</v>
      </c>
      <c r="FM109" s="114">
        <f>FL109</f>
      </c>
      <c r="FN109" s="114">
        <f>FM109</f>
      </c>
      <c r="FO109" s="758">
        <f>FN109</f>
      </c>
      <c r="FP109" s="138">
        <f>IFERROR(-FP108/FP56,"")</f>
      </c>
      <c r="FQ109" s="412">
        <f>FL109-2.5%</f>
      </c>
      <c r="FR109" s="114">
        <f>FQ109</f>
      </c>
      <c r="FS109" s="114">
        <f>FR109</f>
      </c>
      <c r="FT109" s="758">
        <f>FS109</f>
      </c>
      <c r="FU109" s="138">
        <f>IFERROR(-FU108/FU56,"")</f>
      </c>
      <c r="FV109" s="412">
        <f>FQ109-2%</f>
      </c>
      <c r="FW109" s="114">
        <f>FV109</f>
      </c>
      <c r="FX109" s="114">
        <f>FW109</f>
      </c>
      <c r="FY109" s="758">
        <f>FX109</f>
      </c>
      <c r="FZ109" s="138">
        <f>IFERROR(-FZ108/FZ56,"")</f>
      </c>
      <c r="GA109" s="412">
        <f>FV109-1.75%</f>
      </c>
      <c r="GB109" s="114">
        <f>GA109</f>
      </c>
      <c r="GC109" s="114">
        <f>GB109</f>
      </c>
      <c r="GD109" s="758">
        <f>GC109</f>
      </c>
      <c r="GE109" s="138">
        <f>IFERROR(-GE108/GE56,"")</f>
      </c>
      <c r="GF109" s="412">
        <f>GA109-1.75%</f>
      </c>
      <c r="GG109" s="114">
        <f>GF109</f>
      </c>
      <c r="GH109" s="114">
        <f>GG109</f>
      </c>
      <c r="GI109" s="758">
        <f>GH109</f>
      </c>
      <c r="GJ109" s="138">
        <f>IFERROR(-GJ108/GJ56,"")</f>
      </c>
    </row>
    <row r="110" spans="1:192" s="367" customFormat="1" ht="12.75" customHeight="1">
      <c r="A110" s="81"/>
      <c r="B110" s="705" t="s">
        <v>34</v>
      </c>
      <c r="C110" s="291"/>
      <c r="D110" s="107"/>
      <c r="E110" s="107"/>
      <c r="F110" s="137"/>
      <c r="G110" s="138"/>
      <c r="H110" s="291">
        <f t="shared" ref="H110:AM110" si="1029">H108/C108-1</f>
      </c>
      <c r="I110" s="291">
        <f t="shared" si="1029"/>
      </c>
      <c r="J110" s="291">
        <f t="shared" si="1029"/>
      </c>
      <c r="K110" s="291">
        <f t="shared" si="1029"/>
      </c>
      <c r="L110" s="138">
        <f t="shared" si="1029"/>
      </c>
      <c r="M110" s="291">
        <f t="shared" si="1029"/>
      </c>
      <c r="N110" s="291">
        <f t="shared" si="1029"/>
      </c>
      <c r="O110" s="291">
        <f t="shared" si="1029"/>
      </c>
      <c r="P110" s="291">
        <f t="shared" si="1029"/>
      </c>
      <c r="Q110" s="138">
        <f t="shared" si="1029"/>
      </c>
      <c r="R110" s="291">
        <f t="shared" si="1029"/>
      </c>
      <c r="S110" s="291">
        <f t="shared" si="1029"/>
      </c>
      <c r="T110" s="291">
        <f t="shared" si="1029"/>
      </c>
      <c r="U110" s="291">
        <f t="shared" si="1029"/>
      </c>
      <c r="V110" s="138">
        <f t="shared" si="1029"/>
      </c>
      <c r="W110" s="291">
        <f t="shared" si="1029"/>
      </c>
      <c r="X110" s="291">
        <f t="shared" si="1029"/>
      </c>
      <c r="Y110" s="291">
        <f t="shared" si="1029"/>
      </c>
      <c r="Z110" s="291">
        <f t="shared" si="1029"/>
      </c>
      <c r="AA110" s="138">
        <f t="shared" si="1029"/>
      </c>
      <c r="AB110" s="291">
        <f t="shared" si="1029"/>
      </c>
      <c r="AC110" s="291">
        <f t="shared" si="1029"/>
      </c>
      <c r="AD110" s="291">
        <f t="shared" si="1029"/>
      </c>
      <c r="AE110" s="291">
        <f t="shared" si="1029"/>
      </c>
      <c r="AF110" s="138">
        <f t="shared" si="1029"/>
      </c>
      <c r="AG110" s="291">
        <f t="shared" si="1029"/>
      </c>
      <c r="AH110" s="291">
        <f t="shared" si="1029"/>
      </c>
      <c r="AI110" s="291">
        <f t="shared" si="1029"/>
      </c>
      <c r="AJ110" s="291">
        <f t="shared" si="1029"/>
      </c>
      <c r="AK110" s="138">
        <f t="shared" si="1029"/>
      </c>
      <c r="AL110" s="291">
        <f t="shared" si="1029"/>
      </c>
      <c r="AM110" s="291">
        <f t="shared" si="1029"/>
      </c>
      <c r="AN110" s="291">
        <f t="shared" ref="AN110:BS110" si="1030">AN108/AI108-1</f>
      </c>
      <c r="AO110" s="291">
        <f t="shared" si="1030"/>
      </c>
      <c r="AP110" s="138">
        <f t="shared" si="1030"/>
      </c>
      <c r="AQ110" s="291">
        <f t="shared" si="1030"/>
      </c>
      <c r="AR110" s="291">
        <f t="shared" si="1030"/>
      </c>
      <c r="AS110" s="291">
        <f t="shared" si="1030"/>
      </c>
      <c r="AT110" s="291">
        <f t="shared" si="1030"/>
      </c>
      <c r="AU110" s="138">
        <f t="shared" si="1030"/>
      </c>
      <c r="AV110" s="291">
        <f t="shared" si="1030"/>
      </c>
      <c r="AW110" s="291">
        <f t="shared" si="1030"/>
      </c>
      <c r="AX110" s="291">
        <f t="shared" si="1030"/>
      </c>
      <c r="AY110" s="291">
        <f t="shared" si="1030"/>
      </c>
      <c r="AZ110" s="138">
        <f t="shared" si="1030"/>
      </c>
      <c r="BA110" s="291">
        <f t="shared" si="1030"/>
      </c>
      <c r="BB110" s="291">
        <f t="shared" si="1030"/>
      </c>
      <c r="BC110" s="291">
        <f t="shared" si="1030"/>
      </c>
      <c r="BD110" s="291">
        <f t="shared" si="1030"/>
      </c>
      <c r="BE110" s="138">
        <f t="shared" si="1030"/>
      </c>
      <c r="BF110" s="291">
        <f t="shared" si="1030"/>
      </c>
      <c r="BG110" s="291">
        <f t="shared" si="1030"/>
      </c>
      <c r="BH110" s="291">
        <f t="shared" si="1030"/>
      </c>
      <c r="BI110" s="291">
        <f t="shared" si="1030"/>
      </c>
      <c r="BJ110" s="138">
        <f t="shared" si="1030"/>
      </c>
      <c r="BK110" s="291">
        <f t="shared" si="1030"/>
      </c>
      <c r="BL110" s="291">
        <f t="shared" si="1030"/>
      </c>
      <c r="BM110" s="291">
        <f t="shared" si="1030"/>
      </c>
      <c r="BN110" s="291">
        <f t="shared" si="1030"/>
      </c>
      <c r="BO110" s="138">
        <f t="shared" si="1030"/>
      </c>
      <c r="BP110" s="291">
        <f t="shared" si="1030"/>
      </c>
      <c r="BQ110" s="291">
        <f t="shared" si="1030"/>
      </c>
      <c r="BR110" s="291">
        <f t="shared" si="1030"/>
      </c>
      <c r="BS110" s="291">
        <f t="shared" si="1030"/>
      </c>
      <c r="BT110" s="138">
        <f t="shared" ref="BT110:CY110" si="1031">BT108/BO108-1</f>
      </c>
      <c r="BU110" s="291">
        <f t="shared" si="1031"/>
      </c>
      <c r="BV110" s="291">
        <f t="shared" si="1031"/>
      </c>
      <c r="BW110" s="291">
        <f t="shared" si="1031"/>
      </c>
      <c r="BX110" s="291">
        <f t="shared" si="1031"/>
      </c>
      <c r="BY110" s="138">
        <f t="shared" si="1031"/>
      </c>
      <c r="BZ110" s="291">
        <f t="shared" si="1031"/>
      </c>
      <c r="CA110" s="291">
        <f t="shared" si="1031"/>
      </c>
      <c r="CB110" s="291">
        <f t="shared" si="1031"/>
      </c>
      <c r="CC110" s="291">
        <f t="shared" si="1031"/>
      </c>
      <c r="CD110" s="138">
        <f t="shared" si="1031"/>
      </c>
      <c r="CE110" s="291">
        <f t="shared" si="1031"/>
      </c>
      <c r="CF110" s="291">
        <f t="shared" si="1031"/>
      </c>
      <c r="CG110" s="291">
        <f t="shared" si="1031"/>
      </c>
      <c r="CH110" s="291">
        <f t="shared" si="1031"/>
      </c>
      <c r="CI110" s="138">
        <f t="shared" si="1031"/>
      </c>
      <c r="CJ110" s="291">
        <f t="shared" si="1031"/>
      </c>
      <c r="CK110" s="291">
        <f t="shared" si="1031"/>
      </c>
      <c r="CL110" s="291">
        <f t="shared" si="1031"/>
      </c>
      <c r="CM110" s="291">
        <f t="shared" si="1031"/>
      </c>
      <c r="CN110" s="138">
        <f t="shared" si="1031"/>
      </c>
      <c r="CO110" s="291">
        <f t="shared" si="1031"/>
      </c>
      <c r="CP110" s="291">
        <f t="shared" si="1031"/>
      </c>
      <c r="CQ110" s="291">
        <f t="shared" si="1031"/>
      </c>
      <c r="CR110" s="291">
        <f t="shared" si="1031"/>
      </c>
      <c r="CS110" s="138">
        <f t="shared" si="1031"/>
      </c>
      <c r="CT110" s="291">
        <f t="shared" si="1031"/>
      </c>
      <c r="CU110" s="291">
        <f t="shared" si="1031"/>
      </c>
      <c r="CV110" s="291">
        <f t="shared" si="1031"/>
      </c>
      <c r="CW110" s="291">
        <f t="shared" si="1031"/>
      </c>
      <c r="CX110" s="138">
        <f t="shared" si="1031"/>
      </c>
      <c r="CY110" s="291">
        <f t="shared" si="1031"/>
      </c>
      <c r="CZ110" s="291">
        <f t="shared" ref="CZ110:EE110" si="1032">CZ108/CU108-1</f>
      </c>
      <c r="DA110" s="291">
        <f t="shared" si="1032"/>
      </c>
      <c r="DB110" s="291">
        <f t="shared" si="1032"/>
      </c>
      <c r="DC110" s="138">
        <f t="shared" si="1032"/>
      </c>
      <c r="DD110" s="291">
        <f t="shared" si="1032"/>
      </c>
      <c r="DE110" s="291">
        <f t="shared" si="1032"/>
      </c>
      <c r="DF110" s="291">
        <f t="shared" si="1032"/>
      </c>
      <c r="DG110" s="291">
        <f t="shared" si="1032"/>
      </c>
      <c r="DH110" s="138">
        <f t="shared" si="1032"/>
      </c>
      <c r="DI110" s="291">
        <f t="shared" si="1032"/>
      </c>
      <c r="DJ110" s="291">
        <f t="shared" si="1032"/>
      </c>
      <c r="DK110" s="291">
        <f t="shared" si="1032"/>
      </c>
      <c r="DL110" s="291">
        <f t="shared" si="1032"/>
      </c>
      <c r="DM110" s="138">
        <f t="shared" si="1032"/>
      </c>
      <c r="DN110" s="291">
        <f t="shared" si="1032"/>
      </c>
      <c r="DO110" s="291">
        <f t="shared" si="1032"/>
      </c>
      <c r="DP110" s="291">
        <f t="shared" si="1032"/>
      </c>
      <c r="DQ110" s="291">
        <f t="shared" si="1032"/>
      </c>
      <c r="DR110" s="138">
        <f t="shared" si="1032"/>
      </c>
      <c r="DS110" s="291">
        <f t="shared" si="1032"/>
      </c>
      <c r="DT110" s="291">
        <f t="shared" si="1032"/>
      </c>
      <c r="DU110" s="291">
        <f t="shared" si="1032"/>
      </c>
      <c r="DV110" s="291">
        <f t="shared" si="1032"/>
      </c>
      <c r="DW110" s="138">
        <f t="shared" si="1032"/>
      </c>
      <c r="DX110" s="291">
        <f t="shared" si="1032"/>
      </c>
      <c r="DY110" s="291">
        <f t="shared" si="1032"/>
      </c>
      <c r="DZ110" s="291">
        <f t="shared" si="1032"/>
      </c>
      <c r="EA110" s="291">
        <f t="shared" si="1032"/>
      </c>
      <c r="EB110" s="138">
        <f t="shared" si="1032"/>
      </c>
      <c r="EC110" s="291">
        <f t="shared" si="1032"/>
      </c>
      <c r="ED110" s="291">
        <f t="shared" si="1032"/>
      </c>
      <c r="EE110" s="291">
        <f t="shared" si="1032"/>
      </c>
      <c r="EF110" s="291">
        <f t="shared" ref="EF110:FK110" si="1033">EF108/EA108-1</f>
      </c>
      <c r="EG110" s="138">
        <f t="shared" si="1033"/>
      </c>
      <c r="EH110" s="291">
        <f t="shared" si="1033"/>
      </c>
      <c r="EI110" s="291">
        <f t="shared" si="1033"/>
      </c>
      <c r="EJ110" s="291">
        <f t="shared" si="1033"/>
      </c>
      <c r="EK110" s="291">
        <f t="shared" si="1033"/>
      </c>
      <c r="EL110" s="138">
        <f t="shared" si="1033"/>
      </c>
      <c r="EM110" s="291">
        <f t="shared" si="1033"/>
      </c>
      <c r="EN110" s="291">
        <f t="shared" si="1033"/>
      </c>
      <c r="EO110" s="291">
        <f t="shared" si="1033"/>
      </c>
      <c r="EP110" s="291">
        <f t="shared" si="1033"/>
      </c>
      <c r="EQ110" s="138">
        <f t="shared" si="1033"/>
      </c>
      <c r="ER110" s="291">
        <f t="shared" si="1033"/>
      </c>
      <c r="ES110" s="291">
        <f t="shared" si="1033"/>
      </c>
      <c r="ET110" s="291">
        <f t="shared" si="1033"/>
      </c>
      <c r="EU110" s="291">
        <f t="shared" si="1033"/>
      </c>
      <c r="EV110" s="138">
        <f t="shared" si="1033"/>
      </c>
      <c r="EW110" s="291">
        <f t="shared" si="1033"/>
      </c>
      <c r="EX110" s="291">
        <f t="shared" si="1033"/>
      </c>
      <c r="EY110" s="291">
        <f t="shared" si="1033"/>
      </c>
      <c r="EZ110" s="291">
        <f t="shared" si="1033"/>
      </c>
      <c r="FA110" s="138">
        <f t="shared" si="1033"/>
      </c>
      <c r="FB110" s="291">
        <f t="shared" si="1033"/>
      </c>
      <c r="FC110" s="291">
        <f t="shared" si="1033"/>
      </c>
      <c r="FD110" s="291">
        <f t="shared" si="1033"/>
      </c>
      <c r="FE110" s="291">
        <f t="shared" si="1033"/>
      </c>
      <c r="FF110" s="138">
        <f t="shared" si="1033"/>
      </c>
      <c r="FG110" s="291">
        <f t="shared" si="1033"/>
      </c>
      <c r="FH110" s="291">
        <f t="shared" si="1033"/>
      </c>
      <c r="FI110" s="291">
        <f t="shared" si="1033"/>
      </c>
      <c r="FJ110" s="291">
        <f t="shared" si="1033"/>
      </c>
      <c r="FK110" s="138">
        <f t="shared" si="1033"/>
      </c>
      <c r="FL110" s="291">
        <f t="shared" ref="FL110:FZ110" si="1034">FL108/FG108-1</f>
      </c>
      <c r="FM110" s="291">
        <f t="shared" si="1034"/>
      </c>
      <c r="FN110" s="291">
        <f t="shared" si="1034"/>
      </c>
      <c r="FO110" s="291">
        <f t="shared" si="1034"/>
      </c>
      <c r="FP110" s="138">
        <f t="shared" si="1034"/>
      </c>
      <c r="FQ110" s="291">
        <f t="shared" si="1034"/>
      </c>
      <c r="FR110" s="291">
        <f t="shared" si="1034"/>
      </c>
      <c r="FS110" s="291">
        <f t="shared" si="1034"/>
      </c>
      <c r="FT110" s="291">
        <f t="shared" si="1034"/>
      </c>
      <c r="FU110" s="138">
        <f t="shared" si="1034"/>
      </c>
      <c r="FV110" s="291">
        <f t="shared" si="1034"/>
      </c>
      <c r="FW110" s="291">
        <f t="shared" si="1034"/>
      </c>
      <c r="FX110" s="291">
        <f t="shared" si="1034"/>
      </c>
      <c r="FY110" s="291">
        <f t="shared" si="1034"/>
      </c>
      <c r="FZ110" s="138">
        <f t="shared" si="1034"/>
      </c>
      <c r="GA110" s="291">
        <f t="shared" ref="GA110:GJ110" si="1035">GA108/FV108-1</f>
      </c>
      <c r="GB110" s="291">
        <f t="shared" si="1035"/>
      </c>
      <c r="GC110" s="291">
        <f t="shared" si="1035"/>
      </c>
      <c r="GD110" s="291">
        <f t="shared" si="1035"/>
      </c>
      <c r="GE110" s="138">
        <f t="shared" si="1035"/>
      </c>
      <c r="GF110" s="291">
        <f t="shared" si="1035"/>
      </c>
      <c r="GG110" s="291">
        <f t="shared" si="1035"/>
      </c>
      <c r="GH110" s="291">
        <f t="shared" si="1035"/>
      </c>
      <c r="GI110" s="291">
        <f t="shared" si="1035"/>
      </c>
      <c r="GJ110" s="138">
        <f t="shared" si="1035"/>
      </c>
    </row>
    <row r="111" spans="1:192" s="1031" customFormat="1" ht="12.75" customHeight="1">
      <c r="A111" s="1027"/>
      <c r="B111" s="727" t="s">
        <v>1825</v>
      </c>
      <c r="C111" s="1039"/>
      <c r="D111" s="1039"/>
      <c r="E111" s="1039"/>
      <c r="F111" s="1039"/>
      <c r="G111" s="1040"/>
      <c r="H111" s="1039">
        <f t="shared" ref="H111:BS111" si="1036">H108-C108</f>
      </c>
      <c r="I111" s="1039">
        <f t="shared" si="1036"/>
      </c>
      <c r="J111" s="1039">
        <f t="shared" si="1036"/>
      </c>
      <c r="K111" s="1039">
        <f t="shared" si="1036"/>
      </c>
      <c r="L111" s="1040">
        <f t="shared" si="1036"/>
      </c>
      <c r="M111" s="1039">
        <f t="shared" si="1036"/>
      </c>
      <c r="N111" s="1039">
        <f t="shared" si="1036"/>
      </c>
      <c r="O111" s="1039">
        <f t="shared" si="1036"/>
      </c>
      <c r="P111" s="1039">
        <f t="shared" si="1036"/>
      </c>
      <c r="Q111" s="1040">
        <f t="shared" si="1036"/>
      </c>
      <c r="R111" s="1039">
        <f t="shared" si="1036"/>
      </c>
      <c r="S111" s="1039">
        <f t="shared" si="1036"/>
      </c>
      <c r="T111" s="1039">
        <f t="shared" si="1036"/>
      </c>
      <c r="U111" s="1039">
        <f t="shared" si="1036"/>
      </c>
      <c r="V111" s="1040">
        <f t="shared" si="1036"/>
      </c>
      <c r="W111" s="1039">
        <f t="shared" si="1036"/>
      </c>
      <c r="X111" s="1039">
        <f t="shared" si="1036"/>
      </c>
      <c r="Y111" s="1039">
        <f t="shared" si="1036"/>
      </c>
      <c r="Z111" s="1039">
        <f t="shared" si="1036"/>
      </c>
      <c r="AA111" s="1040">
        <f t="shared" si="1036"/>
      </c>
      <c r="AB111" s="1039">
        <f t="shared" si="1036"/>
      </c>
      <c r="AC111" s="1039">
        <f t="shared" si="1036"/>
      </c>
      <c r="AD111" s="1039">
        <f t="shared" si="1036"/>
      </c>
      <c r="AE111" s="1039">
        <f t="shared" si="1036"/>
      </c>
      <c r="AF111" s="1040">
        <f t="shared" si="1036"/>
      </c>
      <c r="AG111" s="1039">
        <f t="shared" si="1036"/>
      </c>
      <c r="AH111" s="1039">
        <f t="shared" si="1036"/>
      </c>
      <c r="AI111" s="1039">
        <f t="shared" si="1036"/>
      </c>
      <c r="AJ111" s="1039">
        <f t="shared" si="1036"/>
      </c>
      <c r="AK111" s="1040">
        <f t="shared" si="1036"/>
      </c>
      <c r="AL111" s="1039">
        <f t="shared" si="1036"/>
      </c>
      <c r="AM111" s="1039">
        <f t="shared" si="1036"/>
      </c>
      <c r="AN111" s="1039">
        <f t="shared" si="1036"/>
      </c>
      <c r="AO111" s="1039">
        <f t="shared" si="1036"/>
      </c>
      <c r="AP111" s="1040">
        <f t="shared" si="1036"/>
      </c>
      <c r="AQ111" s="1039">
        <f t="shared" si="1036"/>
      </c>
      <c r="AR111" s="1039">
        <f t="shared" si="1036"/>
      </c>
      <c r="AS111" s="1039">
        <f t="shared" si="1036"/>
      </c>
      <c r="AT111" s="1039">
        <f t="shared" si="1036"/>
      </c>
      <c r="AU111" s="1040">
        <f t="shared" si="1036"/>
      </c>
      <c r="AV111" s="1039">
        <f t="shared" si="1036"/>
      </c>
      <c r="AW111" s="1039">
        <f t="shared" si="1036"/>
      </c>
      <c r="AX111" s="1039">
        <f t="shared" si="1036"/>
      </c>
      <c r="AY111" s="1039">
        <f t="shared" si="1036"/>
      </c>
      <c r="AZ111" s="1040">
        <f t="shared" si="1036"/>
      </c>
      <c r="BA111" s="1039">
        <f t="shared" si="1036"/>
      </c>
      <c r="BB111" s="1039">
        <f t="shared" si="1036"/>
      </c>
      <c r="BC111" s="1039">
        <f t="shared" si="1036"/>
      </c>
      <c r="BD111" s="1039">
        <f t="shared" si="1036"/>
      </c>
      <c r="BE111" s="1040">
        <f t="shared" si="1036"/>
      </c>
      <c r="BF111" s="1039">
        <f t="shared" si="1036"/>
      </c>
      <c r="BG111" s="1039">
        <f t="shared" si="1036"/>
      </c>
      <c r="BH111" s="1039">
        <f t="shared" si="1036"/>
      </c>
      <c r="BI111" s="1039">
        <f t="shared" si="1036"/>
      </c>
      <c r="BJ111" s="1040">
        <f t="shared" si="1036"/>
      </c>
      <c r="BK111" s="1039">
        <f t="shared" si="1036"/>
      </c>
      <c r="BL111" s="1039">
        <f t="shared" si="1036"/>
      </c>
      <c r="BM111" s="1039">
        <f t="shared" si="1036"/>
      </c>
      <c r="BN111" s="1039">
        <f t="shared" si="1036"/>
      </c>
      <c r="BO111" s="1040">
        <f t="shared" si="1036"/>
      </c>
      <c r="BP111" s="1039">
        <f t="shared" si="1036"/>
      </c>
      <c r="BQ111" s="1039">
        <f t="shared" si="1036"/>
      </c>
      <c r="BR111" s="1039">
        <f t="shared" si="1036"/>
      </c>
      <c r="BS111" s="1039">
        <f t="shared" si="1036"/>
      </c>
      <c r="BT111" s="1040">
        <f t="shared" ref="BT111:EE111" si="1037">BT108-BO108</f>
      </c>
      <c r="BU111" s="1039">
        <f t="shared" si="1037"/>
      </c>
      <c r="BV111" s="1039">
        <f t="shared" si="1037"/>
      </c>
      <c r="BW111" s="1039">
        <f t="shared" si="1037"/>
      </c>
      <c r="BX111" s="1039">
        <f t="shared" si="1037"/>
      </c>
      <c r="BY111" s="1040">
        <f t="shared" si="1037"/>
      </c>
      <c r="BZ111" s="1039">
        <f t="shared" si="1037"/>
      </c>
      <c r="CA111" s="1039">
        <f t="shared" si="1037"/>
      </c>
      <c r="CB111" s="1039">
        <f t="shared" si="1037"/>
      </c>
      <c r="CC111" s="1039">
        <f t="shared" si="1037"/>
      </c>
      <c r="CD111" s="1040">
        <f t="shared" si="1037"/>
      </c>
      <c r="CE111" s="1039">
        <f t="shared" si="1037"/>
      </c>
      <c r="CF111" s="1039">
        <f t="shared" si="1037"/>
      </c>
      <c r="CG111" s="1039">
        <f t="shared" si="1037"/>
      </c>
      <c r="CH111" s="1039">
        <f t="shared" si="1037"/>
      </c>
      <c r="CI111" s="1040">
        <f t="shared" si="1037"/>
      </c>
      <c r="CJ111" s="1039">
        <f t="shared" si="1037"/>
      </c>
      <c r="CK111" s="1039">
        <f t="shared" si="1037"/>
      </c>
      <c r="CL111" s="1039">
        <f t="shared" si="1037"/>
      </c>
      <c r="CM111" s="1039">
        <f t="shared" si="1037"/>
      </c>
      <c r="CN111" s="1040">
        <f t="shared" si="1037"/>
      </c>
      <c r="CO111" s="1039">
        <f t="shared" si="1037"/>
      </c>
      <c r="CP111" s="1039">
        <f t="shared" si="1037"/>
      </c>
      <c r="CQ111" s="1039">
        <f t="shared" si="1037"/>
      </c>
      <c r="CR111" s="1039">
        <f t="shared" si="1037"/>
      </c>
      <c r="CS111" s="1040">
        <f t="shared" si="1037"/>
      </c>
      <c r="CT111" s="1039">
        <f t="shared" si="1037"/>
      </c>
      <c r="CU111" s="1039">
        <f t="shared" si="1037"/>
      </c>
      <c r="CV111" s="1039">
        <f t="shared" si="1037"/>
      </c>
      <c r="CW111" s="1039">
        <f t="shared" si="1037"/>
      </c>
      <c r="CX111" s="1040">
        <f t="shared" si="1037"/>
      </c>
      <c r="CY111" s="1039">
        <f t="shared" si="1037"/>
      </c>
      <c r="CZ111" s="1039">
        <f t="shared" si="1037"/>
      </c>
      <c r="DA111" s="1039">
        <f t="shared" si="1037"/>
      </c>
      <c r="DB111" s="1039">
        <f t="shared" si="1037"/>
      </c>
      <c r="DC111" s="1040">
        <f t="shared" si="1037"/>
      </c>
      <c r="DD111" s="1039">
        <f t="shared" si="1037"/>
      </c>
      <c r="DE111" s="1039">
        <f t="shared" si="1037"/>
      </c>
      <c r="DF111" s="1039">
        <f t="shared" si="1037"/>
      </c>
      <c r="DG111" s="1039">
        <f t="shared" si="1037"/>
      </c>
      <c r="DH111" s="1040">
        <f t="shared" si="1037"/>
      </c>
      <c r="DI111" s="1039">
        <f t="shared" si="1037"/>
      </c>
      <c r="DJ111" s="1039">
        <f t="shared" si="1037"/>
      </c>
      <c r="DK111" s="1039">
        <f t="shared" si="1037"/>
      </c>
      <c r="DL111" s="1039">
        <f t="shared" si="1037"/>
      </c>
      <c r="DM111" s="1040">
        <f t="shared" si="1037"/>
      </c>
      <c r="DN111" s="1039">
        <f t="shared" si="1037"/>
      </c>
      <c r="DO111" s="1039">
        <f t="shared" si="1037"/>
      </c>
      <c r="DP111" s="1039">
        <f t="shared" si="1037"/>
      </c>
      <c r="DQ111" s="1039">
        <f t="shared" si="1037"/>
      </c>
      <c r="DR111" s="1040">
        <f t="shared" si="1037"/>
      </c>
      <c r="DS111" s="1039">
        <f t="shared" si="1037"/>
      </c>
      <c r="DT111" s="1039">
        <f t="shared" si="1037"/>
      </c>
      <c r="DU111" s="1039">
        <f t="shared" si="1037"/>
      </c>
      <c r="DV111" s="1039">
        <f t="shared" si="1037"/>
      </c>
      <c r="DW111" s="1040">
        <f t="shared" si="1037"/>
      </c>
      <c r="DX111" s="1039">
        <f t="shared" si="1037"/>
      </c>
      <c r="DY111" s="1039">
        <f t="shared" si="1037"/>
      </c>
      <c r="DZ111" s="1039">
        <f t="shared" si="1037"/>
      </c>
      <c r="EA111" s="1039">
        <f t="shared" si="1037"/>
      </c>
      <c r="EB111" s="1040">
        <f t="shared" si="1037"/>
      </c>
      <c r="EC111" s="1039">
        <f t="shared" si="1037"/>
      </c>
      <c r="ED111" s="1039">
        <f t="shared" si="1037"/>
      </c>
      <c r="EE111" s="1039">
        <f t="shared" si="1037"/>
      </c>
      <c r="EF111" s="1039">
        <f t="shared" ref="EF111:FZ111" si="1038">EF108-EA108</f>
      </c>
      <c r="EG111" s="1040">
        <f t="shared" si="1038"/>
      </c>
      <c r="EH111" s="1039">
        <f t="shared" si="1038"/>
      </c>
      <c r="EI111" s="1039">
        <f t="shared" si="1038"/>
      </c>
      <c r="EJ111" s="1039">
        <f t="shared" si="1038"/>
      </c>
      <c r="EK111" s="1039">
        <f t="shared" si="1038"/>
      </c>
      <c r="EL111" s="1040">
        <f t="shared" si="1038"/>
      </c>
      <c r="EM111" s="1039">
        <f t="shared" si="1038"/>
      </c>
      <c r="EN111" s="1039">
        <f t="shared" si="1038"/>
      </c>
      <c r="EO111" s="1039">
        <f t="shared" si="1038"/>
      </c>
      <c r="EP111" s="1039">
        <f t="shared" si="1038"/>
      </c>
      <c r="EQ111" s="1040">
        <f t="shared" si="1038"/>
      </c>
      <c r="ER111" s="1039">
        <f t="shared" si="1038"/>
      </c>
      <c r="ES111" s="1039">
        <f t="shared" si="1038"/>
      </c>
      <c r="ET111" s="1039">
        <f t="shared" si="1038"/>
      </c>
      <c r="EU111" s="1039">
        <f t="shared" si="1038"/>
      </c>
      <c r="EV111" s="1040">
        <f t="shared" si="1038"/>
      </c>
      <c r="EW111" s="1039">
        <f t="shared" si="1038"/>
      </c>
      <c r="EX111" s="1039">
        <f t="shared" si="1038"/>
      </c>
      <c r="EY111" s="1039">
        <f t="shared" si="1038"/>
      </c>
      <c r="EZ111" s="1039">
        <f t="shared" si="1038"/>
      </c>
      <c r="FA111" s="1040">
        <f t="shared" si="1038"/>
      </c>
      <c r="FB111" s="1039">
        <f t="shared" si="1038"/>
      </c>
      <c r="FC111" s="1039">
        <f t="shared" si="1038"/>
      </c>
      <c r="FD111" s="1039">
        <f t="shared" si="1038"/>
      </c>
      <c r="FE111" s="1039">
        <f t="shared" si="1038"/>
      </c>
      <c r="FF111" s="1040">
        <f t="shared" si="1038"/>
      </c>
      <c r="FG111" s="1039">
        <f t="shared" si="1038"/>
      </c>
      <c r="FH111" s="1039">
        <f t="shared" si="1038"/>
      </c>
      <c r="FI111" s="1039">
        <f t="shared" si="1038"/>
      </c>
      <c r="FJ111" s="1039">
        <f t="shared" si="1038"/>
      </c>
      <c r="FK111" s="1040">
        <f t="shared" si="1038"/>
      </c>
      <c r="FL111" s="1039">
        <f t="shared" si="1038"/>
      </c>
      <c r="FM111" s="1039">
        <f t="shared" si="1038"/>
      </c>
      <c r="FN111" s="1039">
        <f t="shared" si="1038"/>
      </c>
      <c r="FO111" s="1039">
        <f t="shared" si="1038"/>
      </c>
      <c r="FP111" s="1040">
        <f t="shared" si="1038"/>
      </c>
      <c r="FQ111" s="1039">
        <f t="shared" si="1038"/>
      </c>
      <c r="FR111" s="1039">
        <f t="shared" si="1038"/>
      </c>
      <c r="FS111" s="1039">
        <f t="shared" si="1038"/>
      </c>
      <c r="FT111" s="1039">
        <f t="shared" si="1038"/>
      </c>
      <c r="FU111" s="1040">
        <f t="shared" si="1038"/>
      </c>
      <c r="FV111" s="1039">
        <f t="shared" si="1038"/>
      </c>
      <c r="FW111" s="1039">
        <f t="shared" si="1038"/>
      </c>
      <c r="FX111" s="1039">
        <f t="shared" si="1038"/>
      </c>
      <c r="FY111" s="1039">
        <f t="shared" si="1038"/>
      </c>
      <c r="FZ111" s="1040">
        <f t="shared" si="1038"/>
      </c>
      <c r="GA111" s="1039">
        <f t="shared" ref="GA111:GJ111" si="1039">GA108-FV108</f>
      </c>
      <c r="GB111" s="1039">
        <f t="shared" si="1039"/>
      </c>
      <c r="GC111" s="1039">
        <f t="shared" si="1039"/>
      </c>
      <c r="GD111" s="1039">
        <f t="shared" si="1039"/>
      </c>
      <c r="GE111" s="1040">
        <f t="shared" si="1039"/>
      </c>
      <c r="GF111" s="1039">
        <f t="shared" si="1039"/>
      </c>
      <c r="GG111" s="1039">
        <f t="shared" si="1039"/>
      </c>
      <c r="GH111" s="1039">
        <f t="shared" si="1039"/>
      </c>
      <c r="GI111" s="1039">
        <f t="shared" si="1039"/>
      </c>
      <c r="GJ111" s="1040">
        <f t="shared" si="1039"/>
      </c>
    </row>
    <row r="112" spans="1:192" s="1031" customFormat="1" ht="12.75" customHeight="1">
      <c r="A112" s="1027"/>
      <c r="B112" s="727" t="s">
        <v>1826</v>
      </c>
      <c r="C112" s="1039"/>
      <c r="D112" s="1039">
        <f>D108-C108</f>
      </c>
      <c r="E112" s="1039">
        <f>E108-D108</f>
      </c>
      <c r="F112" s="1039">
        <f>F108-E108</f>
      </c>
      <c r="G112" s="1040"/>
      <c r="H112" s="1039">
        <f>H108-F108</f>
      </c>
      <c r="I112" s="1039">
        <f>I108-H108</f>
      </c>
      <c r="J112" s="1039">
        <f>J108-I108</f>
      </c>
      <c r="K112" s="1039">
        <f>K108-J108</f>
      </c>
      <c r="L112" s="1040"/>
      <c r="M112" s="1039">
        <f>M108-K108</f>
      </c>
      <c r="N112" s="1039">
        <f>N108-M108</f>
      </c>
      <c r="O112" s="1039">
        <f>O108-N108</f>
      </c>
      <c r="P112" s="1039">
        <f>P108-O108</f>
      </c>
      <c r="Q112" s="1040"/>
      <c r="R112" s="1039">
        <f>R108-P108</f>
      </c>
      <c r="S112" s="1039">
        <f>S108-R108</f>
      </c>
      <c r="T112" s="1039">
        <f>T108-S108</f>
      </c>
      <c r="U112" s="1039">
        <f>U108-T108</f>
      </c>
      <c r="V112" s="1040"/>
      <c r="W112" s="1039">
        <f>W108-U108</f>
      </c>
      <c r="X112" s="1039">
        <f>X108-W108</f>
      </c>
      <c r="Y112" s="1039">
        <f>Y108-X108</f>
      </c>
      <c r="Z112" s="1039">
        <f>Z108-Y108</f>
      </c>
      <c r="AA112" s="1040"/>
      <c r="AB112" s="1039">
        <f>AB108-Z108</f>
      </c>
      <c r="AC112" s="1039">
        <f>AC108-AB108</f>
      </c>
      <c r="AD112" s="1039">
        <f>AD108-AC108</f>
      </c>
      <c r="AE112" s="1039">
        <f>AE108-AD108</f>
      </c>
      <c r="AF112" s="1040"/>
      <c r="AG112" s="1039">
        <f>AG108-AE108</f>
      </c>
      <c r="AH112" s="1039">
        <f>AH108-AG108</f>
      </c>
      <c r="AI112" s="1039">
        <f>AI108-AH108</f>
      </c>
      <c r="AJ112" s="1039">
        <f>AJ108-AI108</f>
      </c>
      <c r="AK112" s="1040"/>
      <c r="AL112" s="1039">
        <f>AL108-AJ108</f>
      </c>
      <c r="AM112" s="1039">
        <f>AM108-AL108</f>
      </c>
      <c r="AN112" s="1039">
        <f>AN108-AM108</f>
      </c>
      <c r="AO112" s="1039">
        <f>AO108-AN108</f>
      </c>
      <c r="AP112" s="1040"/>
      <c r="AQ112" s="1039">
        <f>AQ108-AO108</f>
      </c>
      <c r="AR112" s="1039">
        <f>AR108-AQ108</f>
      </c>
      <c r="AS112" s="1039">
        <f>AS108-AR108</f>
      </c>
      <c r="AT112" s="1039">
        <f>AT108-AS108</f>
      </c>
      <c r="AU112" s="1040"/>
      <c r="AV112" s="1039">
        <f>AV108-AT108</f>
      </c>
      <c r="AW112" s="1039">
        <f>AW108-AV108</f>
      </c>
      <c r="AX112" s="1039">
        <f>AX108-AW108</f>
      </c>
      <c r="AY112" s="1039">
        <f>AY108-AX108</f>
      </c>
      <c r="AZ112" s="1040"/>
      <c r="BA112" s="1039">
        <f>BA108-AY108</f>
      </c>
      <c r="BB112" s="1039">
        <f>BB108-BA108</f>
      </c>
      <c r="BC112" s="1039">
        <f>BC108-BB108</f>
      </c>
      <c r="BD112" s="1039">
        <f>BD108-BC108</f>
      </c>
      <c r="BE112" s="1040"/>
      <c r="BF112" s="1039">
        <f>BF108-BD108</f>
      </c>
      <c r="BG112" s="1039">
        <f>BG108-BF108</f>
      </c>
      <c r="BH112" s="1039">
        <f>BH108-BG108</f>
      </c>
      <c r="BI112" s="1039">
        <f>BI108-BH108</f>
      </c>
      <c r="BJ112" s="1040"/>
      <c r="BK112" s="1039">
        <f>BK108-BI108</f>
      </c>
      <c r="BL112" s="1039">
        <f>BL108-BK108</f>
      </c>
      <c r="BM112" s="1039">
        <f>BM108-BL108</f>
      </c>
      <c r="BN112" s="1039">
        <f>BN108-BM108</f>
      </c>
      <c r="BO112" s="1040"/>
      <c r="BP112" s="1039">
        <f>BP108-BN108</f>
      </c>
      <c r="BQ112" s="1039">
        <f>BQ108-BP108</f>
      </c>
      <c r="BR112" s="1039">
        <f>BR108-BQ108</f>
      </c>
      <c r="BS112" s="1039">
        <f>BS108-BR108</f>
      </c>
      <c r="BT112" s="1040"/>
      <c r="BU112" s="1039">
        <f>BU108-BS108</f>
      </c>
      <c r="BV112" s="1039">
        <f>BV108-BU108</f>
      </c>
      <c r="BW112" s="1039">
        <f>BW108-BV108</f>
      </c>
      <c r="BX112" s="1039">
        <f>BX108-BW108</f>
      </c>
      <c r="BY112" s="1040"/>
      <c r="BZ112" s="1039">
        <f>BZ108-BX108</f>
      </c>
      <c r="CA112" s="1039">
        <f>CA108-BZ108</f>
      </c>
      <c r="CB112" s="1039">
        <f>CB108-CA108</f>
      </c>
      <c r="CC112" s="1039">
        <f>CC108-CB108</f>
      </c>
      <c r="CD112" s="1040"/>
      <c r="CE112" s="1039">
        <f>CE108-CC108</f>
      </c>
      <c r="CF112" s="1039">
        <f>CF108-CE108</f>
      </c>
      <c r="CG112" s="1039">
        <f>CG108-CF108</f>
      </c>
      <c r="CH112" s="1039">
        <f>CH108-CG108</f>
      </c>
      <c r="CI112" s="1040"/>
      <c r="CJ112" s="1039">
        <f>CJ108-CH108</f>
      </c>
      <c r="CK112" s="1039">
        <f>CK108-CJ108</f>
      </c>
      <c r="CL112" s="1039">
        <f>CL108-CK108</f>
      </c>
      <c r="CM112" s="1039">
        <f>CM108-CL108</f>
      </c>
      <c r="CN112" s="1040"/>
      <c r="CO112" s="1039">
        <f>CO108-CM108</f>
      </c>
      <c r="CP112" s="1039">
        <f>CP108-CO108</f>
      </c>
      <c r="CQ112" s="1039">
        <f>CQ108-CP108</f>
      </c>
      <c r="CR112" s="1039">
        <f>CR108-CQ108</f>
      </c>
      <c r="CS112" s="1040"/>
      <c r="CT112" s="1039">
        <f>CT108-CR108</f>
      </c>
      <c r="CU112" s="1039">
        <f>CU108-CT108</f>
      </c>
      <c r="CV112" s="1039">
        <f>CV108-CU108</f>
      </c>
      <c r="CW112" s="1039">
        <f>CW108-CV108</f>
      </c>
      <c r="CX112" s="1040"/>
      <c r="CY112" s="1039">
        <f>CY108-CW108</f>
      </c>
      <c r="CZ112" s="1039">
        <f>CZ108-CY108</f>
      </c>
      <c r="DA112" s="1039">
        <f>DA108-CZ108</f>
      </c>
      <c r="DB112" s="1039">
        <f>DB108-DA108</f>
      </c>
      <c r="DC112" s="1040"/>
      <c r="DD112" s="1039">
        <f>DD108-DB108</f>
      </c>
      <c r="DE112" s="1039">
        <f>DE108-DD108</f>
      </c>
      <c r="DF112" s="1039">
        <f>DF108-DE108</f>
      </c>
      <c r="DG112" s="1039">
        <f>DG108-DF108</f>
      </c>
      <c r="DH112" s="1040"/>
      <c r="DI112" s="1039">
        <f>DI108-DG108</f>
      </c>
      <c r="DJ112" s="1039">
        <f>DJ108-DI108</f>
      </c>
      <c r="DK112" s="1039">
        <f>DK108-DJ108</f>
      </c>
      <c r="DL112" s="1039">
        <f>DL108-DK108</f>
      </c>
      <c r="DM112" s="1040"/>
      <c r="DN112" s="1039">
        <f>DN108-DL108</f>
      </c>
      <c r="DO112" s="1039">
        <f>DO108-DN108</f>
      </c>
      <c r="DP112" s="1039">
        <f>DP108-DO108</f>
      </c>
      <c r="DQ112" s="1039">
        <f>DQ108-DP108</f>
      </c>
      <c r="DR112" s="1040"/>
      <c r="DS112" s="1039">
        <f>DS108-DQ108</f>
      </c>
      <c r="DT112" s="1039">
        <f>DT108-DS108</f>
      </c>
      <c r="DU112" s="1039">
        <f>DU108-DT108</f>
      </c>
      <c r="DV112" s="1039">
        <f>DV108-DU108</f>
      </c>
      <c r="DW112" s="1040"/>
      <c r="DX112" s="1039">
        <f>DX108-DV108</f>
      </c>
      <c r="DY112" s="1039">
        <f>DY108-DX108</f>
      </c>
      <c r="DZ112" s="1039">
        <f>DZ108-DY108</f>
      </c>
      <c r="EA112" s="1039">
        <f>EA108-DZ108</f>
      </c>
      <c r="EB112" s="1040"/>
      <c r="EC112" s="1039">
        <f>EC108-EA108</f>
      </c>
      <c r="ED112" s="1039">
        <f>ED108-EC108</f>
      </c>
      <c r="EE112" s="1039">
        <f>EE108-ED108</f>
      </c>
      <c r="EF112" s="1039">
        <f>EF108-EE108</f>
      </c>
      <c r="EG112" s="1040"/>
      <c r="EH112" s="1039">
        <f>EH108-EF108</f>
      </c>
      <c r="EI112" s="1039">
        <f>EI108-EH108</f>
      </c>
      <c r="EJ112" s="1039">
        <f>EJ108-EI108</f>
      </c>
      <c r="EK112" s="1039">
        <f>EK108-EJ108</f>
      </c>
      <c r="EL112" s="1040"/>
      <c r="EM112" s="1039">
        <f>EM108-EK108</f>
      </c>
      <c r="EN112" s="1039">
        <f>EN108-EM108</f>
      </c>
      <c r="EO112" s="1039">
        <f>EO108-EN108</f>
      </c>
      <c r="EP112" s="1039">
        <f>EP108-EO108</f>
      </c>
      <c r="EQ112" s="1040"/>
      <c r="ER112" s="1039">
        <f>ER108-EP108</f>
      </c>
      <c r="ES112" s="1039">
        <f>ES108-ER108</f>
      </c>
      <c r="ET112" s="1039">
        <f>ET108-ES108</f>
      </c>
      <c r="EU112" s="1039">
        <f>EU108-ET108</f>
      </c>
      <c r="EV112" s="1040"/>
      <c r="EW112" s="1039">
        <f>EW108-EU108</f>
      </c>
      <c r="EX112" s="1039">
        <f>EX108-EW108</f>
      </c>
      <c r="EY112" s="1039">
        <f>EY108-EX108</f>
      </c>
      <c r="EZ112" s="1039">
        <f>EZ108-EY108</f>
      </c>
      <c r="FA112" s="1040"/>
      <c r="FB112" s="1039">
        <f>FB108-EZ108</f>
      </c>
      <c r="FC112" s="1039">
        <f>FC108-FB108</f>
      </c>
      <c r="FD112" s="1039">
        <f>FD108-FC108</f>
      </c>
      <c r="FE112" s="1039">
        <f>FE108-FD108</f>
      </c>
      <c r="FF112" s="1040"/>
      <c r="FG112" s="1039">
        <f>FG108-FE108</f>
      </c>
      <c r="FH112" s="1039">
        <f>FH108-FG108</f>
      </c>
      <c r="FI112" s="1039">
        <f>FI108-FH108</f>
      </c>
      <c r="FJ112" s="1039">
        <f>FJ108-FI108</f>
      </c>
      <c r="FK112" s="1040"/>
      <c r="FL112" s="1039">
        <f>FL108-FJ108</f>
      </c>
      <c r="FM112" s="1039">
        <f>FM108-FL108</f>
      </c>
      <c r="FN112" s="1039">
        <f>FN108-FM108</f>
      </c>
      <c r="FO112" s="1039">
        <f>FO108-FN108</f>
      </c>
      <c r="FP112" s="1040"/>
      <c r="FQ112" s="1039">
        <f>FQ108-FO108</f>
      </c>
      <c r="FR112" s="1039">
        <f>FR108-FQ108</f>
      </c>
      <c r="FS112" s="1039">
        <f>FS108-FR108</f>
      </c>
      <c r="FT112" s="1039">
        <f>FT108-FS108</f>
      </c>
      <c r="FU112" s="1040"/>
      <c r="FV112" s="1039">
        <f>FV108-FT108</f>
      </c>
      <c r="FW112" s="1039">
        <f>FW108-FV108</f>
      </c>
      <c r="FX112" s="1039">
        <f>FX108-FW108</f>
      </c>
      <c r="FY112" s="1039">
        <f>FY108-FX108</f>
      </c>
      <c r="FZ112" s="1040"/>
      <c r="GA112" s="1039">
        <f>GA108-FY108</f>
      </c>
      <c r="GB112" s="1039">
        <f>GB108-GA108</f>
      </c>
      <c r="GC112" s="1039">
        <f>GC108-GB108</f>
      </c>
      <c r="GD112" s="1039">
        <f>GD108-GC108</f>
      </c>
      <c r="GE112" s="1040"/>
      <c r="GF112" s="1039">
        <f>GF108-GD108</f>
      </c>
      <c r="GG112" s="1039">
        <f>GG108-GF108</f>
      </c>
      <c r="GH112" s="1039">
        <f>GH108-GG108</f>
      </c>
      <c r="GI112" s="1039">
        <f>GI108-GH108</f>
      </c>
      <c r="GJ112" s="1040"/>
    </row>
    <row r="113" spans="1:192" s="1031" customFormat="1" ht="12.75" customHeight="1">
      <c r="A113" s="1027"/>
      <c r="B113" s="727"/>
      <c r="C113" s="1039"/>
      <c r="D113" s="1039"/>
      <c r="E113" s="1039"/>
      <c r="F113" s="1039"/>
      <c r="G113" s="1040"/>
      <c r="H113" s="1039"/>
      <c r="I113" s="1039"/>
      <c r="J113" s="1039"/>
      <c r="K113" s="1039"/>
      <c r="L113" s="1040"/>
      <c r="M113" s="1039"/>
      <c r="N113" s="1039"/>
      <c r="O113" s="1039"/>
      <c r="P113" s="1039"/>
      <c r="Q113" s="1040"/>
      <c r="R113" s="1039"/>
      <c r="S113" s="1039"/>
      <c r="T113" s="1039"/>
      <c r="U113" s="1039"/>
      <c r="V113" s="1040"/>
      <c r="W113" s="1039"/>
      <c r="X113" s="1039"/>
      <c r="Y113" s="1039"/>
      <c r="Z113" s="1039"/>
      <c r="AA113" s="1040"/>
      <c r="AB113" s="1039"/>
      <c r="AC113" s="1039"/>
      <c r="AD113" s="1039"/>
      <c r="AE113" s="1039"/>
      <c r="AF113" s="1040"/>
      <c r="AG113" s="1039"/>
      <c r="AH113" s="1039"/>
      <c r="AI113" s="1039"/>
      <c r="AJ113" s="1039"/>
      <c r="AK113" s="1040"/>
      <c r="AL113" s="1039"/>
      <c r="AM113" s="1039"/>
      <c r="AN113" s="1039"/>
      <c r="AO113" s="1039"/>
      <c r="AP113" s="1040"/>
      <c r="AQ113" s="1039"/>
      <c r="AR113" s="1039"/>
      <c r="AS113" s="1039"/>
      <c r="AT113" s="1039"/>
      <c r="AU113" s="1040"/>
      <c r="AV113" s="1039"/>
      <c r="AW113" s="1039"/>
      <c r="AX113" s="1039"/>
      <c r="AY113" s="1039"/>
      <c r="AZ113" s="1040"/>
      <c r="BA113" s="1039"/>
      <c r="BB113" s="1039"/>
      <c r="BC113" s="1039"/>
      <c r="BD113" s="1039"/>
      <c r="BE113" s="1040"/>
      <c r="BF113" s="1039"/>
      <c r="BG113" s="1039"/>
      <c r="BH113" s="1039"/>
      <c r="BI113" s="1039"/>
      <c r="BJ113" s="1040"/>
      <c r="BK113" s="1039"/>
      <c r="BL113" s="1039"/>
      <c r="BM113" s="1039"/>
      <c r="BN113" s="1039"/>
      <c r="BO113" s="1040"/>
      <c r="BP113" s="1039"/>
      <c r="BQ113" s="1039"/>
      <c r="BR113" s="1039"/>
      <c r="BS113" s="1039"/>
      <c r="BT113" s="1040"/>
      <c r="BU113" s="1039"/>
      <c r="BV113" s="1039"/>
      <c r="BW113" s="1039"/>
      <c r="BX113" s="1039"/>
      <c r="BY113" s="1040"/>
      <c r="BZ113" s="1039"/>
      <c r="CA113" s="1039"/>
      <c r="CB113" s="1039"/>
      <c r="CC113" s="1039"/>
      <c r="CD113" s="1040"/>
      <c r="CE113" s="1039"/>
      <c r="CF113" s="1039"/>
      <c r="CG113" s="1039"/>
      <c r="CH113" s="1039"/>
      <c r="CI113" s="1040"/>
      <c r="CJ113" s="1039"/>
      <c r="CK113" s="1039"/>
      <c r="CL113" s="1039"/>
      <c r="CM113" s="1039"/>
      <c r="CN113" s="1040"/>
      <c r="CO113" s="1039"/>
      <c r="CP113" s="1039"/>
      <c r="CQ113" s="1039"/>
      <c r="CR113" s="1039"/>
      <c r="CS113" s="1040"/>
      <c r="CT113" s="1039"/>
      <c r="CU113" s="1039"/>
      <c r="CV113" s="1039"/>
      <c r="CW113" s="1039"/>
      <c r="CX113" s="1040"/>
      <c r="CY113" s="1039"/>
      <c r="CZ113" s="1039"/>
      <c r="DA113" s="1039"/>
      <c r="DB113" s="1039"/>
      <c r="DC113" s="1040"/>
      <c r="DD113" s="1039"/>
      <c r="DE113" s="1039"/>
      <c r="DF113" s="1039"/>
      <c r="DG113" s="1039"/>
      <c r="DH113" s="1040"/>
      <c r="DI113" s="1039"/>
      <c r="DJ113" s="1039"/>
      <c r="DK113" s="1039"/>
      <c r="DL113" s="1039"/>
      <c r="DM113" s="1040"/>
      <c r="DN113" s="1039"/>
      <c r="DO113" s="1039"/>
      <c r="DP113" s="1039"/>
      <c r="DQ113" s="1039"/>
      <c r="DR113" s="1040"/>
      <c r="DS113" s="1039"/>
      <c r="DT113" s="1039"/>
      <c r="DU113" s="1039"/>
      <c r="DV113" s="1039"/>
      <c r="DW113" s="1040"/>
      <c r="DX113" s="1039"/>
      <c r="DY113" s="1039"/>
      <c r="DZ113" s="1039"/>
      <c r="EA113" s="1411"/>
      <c r="EB113" s="1040"/>
      <c r="EC113" s="1039"/>
      <c r="ED113" s="1039"/>
      <c r="EE113" s="1039"/>
      <c r="EF113" s="1039"/>
      <c r="EG113" s="1040"/>
      <c r="EH113" s="1039"/>
      <c r="EI113" s="1039"/>
      <c r="EJ113" s="1039"/>
      <c r="EK113" s="1039"/>
      <c r="EL113" s="1040"/>
      <c r="EM113" s="1039"/>
      <c r="EN113" s="1039"/>
      <c r="EO113" s="1039"/>
      <c r="EP113" s="1411"/>
      <c r="EQ113" s="1040"/>
      <c r="ER113" s="1039"/>
      <c r="ES113" s="1039"/>
      <c r="ET113" s="1039"/>
      <c r="EU113" s="1411"/>
      <c r="EV113" s="1040"/>
      <c r="EW113" s="1039"/>
      <c r="EX113" s="1039"/>
      <c r="EY113" s="1039"/>
      <c r="EZ113" s="1411"/>
      <c r="FA113" s="1040"/>
      <c r="FB113" s="1039"/>
      <c r="FC113" s="1039"/>
      <c r="FD113" s="1039"/>
      <c r="FE113" s="1039"/>
      <c r="FF113" s="1040"/>
      <c r="FG113" s="1039"/>
      <c r="FH113" s="1039"/>
      <c r="FI113" s="1039"/>
      <c r="FJ113" s="1039"/>
      <c r="FK113" s="1040"/>
      <c r="FL113" s="1039"/>
      <c r="FM113" s="1039"/>
      <c r="FN113" s="1039"/>
      <c r="FO113" s="1039"/>
      <c r="FP113" s="1040"/>
      <c r="FQ113" s="1039"/>
      <c r="FR113" s="1039"/>
      <c r="FS113" s="1039"/>
      <c r="FT113" s="1039"/>
      <c r="FU113" s="1040"/>
      <c r="FV113" s="1039"/>
      <c r="FW113" s="1039"/>
      <c r="FX113" s="1039"/>
      <c r="FY113" s="1039"/>
      <c r="FZ113" s="1040"/>
      <c r="GA113" s="1039"/>
      <c r="GB113" s="1039"/>
      <c r="GC113" s="1039"/>
      <c r="GD113" s="1039"/>
      <c r="GE113" s="1040"/>
      <c r="GF113" s="1039"/>
      <c r="GG113" s="1039"/>
      <c r="GH113" s="1039"/>
      <c r="GI113" s="1039"/>
      <c r="GJ113" s="1040"/>
    </row>
    <row r="114" spans="1:192" s="93" customFormat="1" ht="12.75" customHeight="1">
      <c r="A114" s="123"/>
      <c r="B114" s="717" t="s">
        <v>456</v>
      </c>
      <c r="C114" s="364"/>
      <c r="D114" s="365"/>
      <c r="E114" s="365"/>
      <c r="F114" s="365"/>
      <c r="G114" s="366"/>
      <c r="H114" s="364"/>
      <c r="I114" s="365"/>
      <c r="J114" s="365"/>
      <c r="K114" s="365"/>
      <c r="L114" s="366"/>
      <c r="M114" s="364"/>
      <c r="N114" s="365"/>
      <c r="O114" s="365"/>
      <c r="P114" s="365"/>
      <c r="Q114" s="366"/>
      <c r="R114" s="364"/>
      <c r="S114" s="365"/>
      <c r="T114" s="365"/>
      <c r="U114" s="365"/>
      <c r="V114" s="366"/>
      <c r="W114" s="364"/>
      <c r="X114" s="365"/>
      <c r="Y114" s="365"/>
      <c r="Z114" s="365"/>
      <c r="AA114" s="366"/>
      <c r="AB114" s="364"/>
      <c r="AC114" s="365"/>
      <c r="AD114" s="365"/>
      <c r="AE114" s="365"/>
      <c r="AF114" s="366"/>
      <c r="AG114" s="364"/>
      <c r="AH114" s="365"/>
      <c r="AI114" s="365"/>
      <c r="AJ114" s="365"/>
      <c r="AK114" s="366"/>
      <c r="AL114" s="364"/>
      <c r="AM114" s="365"/>
      <c r="AN114" s="365"/>
      <c r="AO114" s="365"/>
      <c r="AP114" s="366"/>
      <c r="AQ114" s="364"/>
      <c r="AR114" s="365"/>
      <c r="AS114" s="365"/>
      <c r="AT114" s="365"/>
      <c r="AU114" s="366"/>
      <c r="AV114" s="364"/>
      <c r="AW114" s="365"/>
      <c r="AX114" s="365"/>
      <c r="AY114" s="365"/>
      <c r="AZ114" s="366"/>
      <c r="BA114" s="364"/>
      <c r="BB114" s="365"/>
      <c r="BC114" s="365"/>
      <c r="BD114" s="365"/>
      <c r="BE114" s="366"/>
      <c r="BF114" s="364"/>
      <c r="BG114" s="365"/>
      <c r="BH114" s="365"/>
      <c r="BI114" s="365"/>
      <c r="BJ114" s="366"/>
      <c r="BK114" s="364"/>
      <c r="BL114" s="365"/>
      <c r="BM114" s="365"/>
      <c r="BN114" s="365"/>
      <c r="BO114" s="366"/>
      <c r="BP114" s="364"/>
      <c r="BQ114" s="365"/>
      <c r="BR114" s="365"/>
      <c r="BS114" s="365"/>
      <c r="BT114" s="366"/>
      <c r="BU114" s="364"/>
      <c r="BV114" s="365"/>
      <c r="BW114" s="365"/>
      <c r="BX114" s="365"/>
      <c r="BY114" s="366"/>
      <c r="BZ114" s="364"/>
      <c r="CA114" s="365"/>
      <c r="CB114" s="365"/>
      <c r="CC114" s="365"/>
      <c r="CD114" s="366"/>
      <c r="CE114" s="364"/>
      <c r="CF114" s="365"/>
      <c r="CG114" s="365"/>
      <c r="CH114" s="365"/>
      <c r="CI114" s="366"/>
      <c r="CJ114" s="364"/>
      <c r="CK114" s="365"/>
      <c r="CL114" s="365"/>
      <c r="CM114" s="365"/>
      <c r="CN114" s="366"/>
      <c r="CO114" s="364"/>
      <c r="CP114" s="365"/>
      <c r="CQ114" s="365"/>
      <c r="CR114" s="365"/>
      <c r="CS114" s="366"/>
      <c r="CT114" s="364"/>
      <c r="CU114" s="365"/>
      <c r="CV114" s="365"/>
      <c r="CW114" s="365"/>
      <c r="CX114" s="366"/>
      <c r="CY114" s="364"/>
      <c r="CZ114" s="365"/>
      <c r="DA114" s="365"/>
      <c r="DB114" s="365"/>
      <c r="DC114" s="366"/>
      <c r="DD114" s="364">
        <f>CF!DD84</f>
      </c>
      <c r="DE114" s="365">
        <f>CF!DE84</f>
      </c>
      <c r="DF114" s="365">
        <f>CF!DF84</f>
      </c>
      <c r="DG114" s="365">
        <f>CF!DG84</f>
      </c>
      <c r="DH114" s="366">
        <f>CF!DH84</f>
      </c>
      <c r="DI114" s="364">
        <f>CF!DI84</f>
      </c>
      <c r="DJ114" s="365">
        <f>CF!DJ84</f>
      </c>
      <c r="DK114" s="365">
        <f>CF!DK84</f>
      </c>
      <c r="DL114" s="365">
        <f>CF!DL84</f>
      </c>
      <c r="DM114" s="366">
        <f>CF!DM84</f>
      </c>
      <c r="DN114" s="364">
        <f>CF!DN84</f>
      </c>
      <c r="DO114" s="365">
        <f>CF!DO84</f>
      </c>
      <c r="DP114" s="365">
        <f>CF!DP84</f>
      </c>
      <c r="DQ114" s="365">
        <f>CF!DQ84</f>
      </c>
      <c r="DR114" s="366">
        <f>CF!DR84</f>
      </c>
      <c r="DS114" s="364">
        <f>CF!DS84</f>
      </c>
      <c r="DT114" s="365">
        <f>CF!DT84</f>
      </c>
      <c r="DU114" s="365">
        <f>CF!DU84</f>
      </c>
      <c r="DV114" s="365">
        <f>CF!DV84</f>
      </c>
      <c r="DW114" s="366">
        <f>CF!DW84</f>
      </c>
      <c r="DX114" s="364">
        <f>CF!DX84</f>
      </c>
      <c r="DY114" s="365">
        <f>CF!DY84</f>
      </c>
      <c r="DZ114" s="365">
        <f>CF!DZ84</f>
      </c>
      <c r="EA114" s="365">
        <f>CF!EA84</f>
      </c>
      <c r="EB114" s="366">
        <f>CF!EB84</f>
      </c>
      <c r="EC114" s="364">
        <f>CF!EC84</f>
      </c>
      <c r="ED114" s="365">
        <f>CF!ED84</f>
      </c>
      <c r="EE114" s="365">
        <f>CF!EE84</f>
      </c>
      <c r="EF114" s="365">
        <f>CF!EF84</f>
      </c>
      <c r="EG114" s="366">
        <f>CF!EG84</f>
      </c>
      <c r="EH114" s="364">
        <f>CF!EH84</f>
      </c>
      <c r="EI114" s="365">
        <f>CF!EI84</f>
      </c>
      <c r="EJ114" s="365">
        <f>CF!EJ84</f>
      </c>
      <c r="EK114" s="365">
        <f>CF!EK84</f>
      </c>
      <c r="EL114" s="366">
        <f>CF!EL84</f>
      </c>
      <c r="EM114" s="364">
        <f>CF!EM84</f>
      </c>
      <c r="EN114" s="365">
        <f>CF!EN84</f>
      </c>
      <c r="EO114" s="365">
        <f>CF!EO84</f>
      </c>
      <c r="EP114" s="365">
        <f>CF!EP84</f>
      </c>
      <c r="EQ114" s="366">
        <f>CF!EQ84</f>
      </c>
      <c r="ER114" s="364">
        <f>CF!ER84</f>
      </c>
      <c r="ES114" s="365">
        <f>CF!ES84</f>
      </c>
      <c r="ET114" s="365">
        <f>CF!ET84</f>
      </c>
      <c r="EU114" s="365">
        <f>CF!EU84</f>
      </c>
      <c r="EV114" s="535">
        <f>SUM(ER114:EU114)</f>
      </c>
      <c r="EW114" s="364">
        <f>CF!EW84</f>
      </c>
      <c r="EX114" s="365">
        <f>CF!EX84</f>
      </c>
      <c r="EY114" s="365">
        <f>CF!EY84</f>
      </c>
      <c r="EZ114" s="365">
        <f>CF!EZ84</f>
      </c>
      <c r="FA114" s="535">
        <f>SUM(EW114:EZ114)</f>
      </c>
      <c r="FB114" s="534">
        <f>-(FB56*FB115)</f>
      </c>
      <c r="FC114" s="534">
        <f>-(FC56*FC115)</f>
      </c>
      <c r="FD114" s="534">
        <f>-(FD56*FD115)</f>
      </c>
      <c r="FE114" s="534">
        <f>-(FE56*FE115)</f>
      </c>
      <c r="FF114" s="535">
        <f>SUM(FB114:FE114)</f>
      </c>
      <c r="FG114" s="534">
        <f>-(FG56*FG115)</f>
      </c>
      <c r="FH114" s="534">
        <f>-(FH56*FH115)</f>
      </c>
      <c r="FI114" s="534">
        <f>-(FI56*FI115)</f>
      </c>
      <c r="FJ114" s="534">
        <f>-(FJ56*FJ115)</f>
      </c>
      <c r="FK114" s="535">
        <f>SUM(FG114:FJ114)</f>
      </c>
      <c r="FL114" s="534">
        <f>-(FL56*FL115)</f>
      </c>
      <c r="FM114" s="534">
        <f>-(FM56*FM115)</f>
      </c>
      <c r="FN114" s="534">
        <f>-(FN56*FN115)</f>
      </c>
      <c r="FO114" s="534">
        <f>-(FO56*FO115)</f>
      </c>
      <c r="FP114" s="535">
        <f>SUM(FL114:FO114)</f>
      </c>
      <c r="FQ114" s="534">
        <f>-(FQ56*FQ115)</f>
      </c>
      <c r="FR114" s="534">
        <f>-(FR56*FR115)</f>
      </c>
      <c r="FS114" s="534">
        <f>-(FS56*FS115)</f>
      </c>
      <c r="FT114" s="534">
        <f>-(FT56*FT115)</f>
      </c>
      <c r="FU114" s="535">
        <f>SUM(FQ114:FT114)</f>
      </c>
      <c r="FV114" s="534">
        <f>-(FV56*FV115)</f>
      </c>
      <c r="FW114" s="534">
        <f>-(FW56*FW115)</f>
      </c>
      <c r="FX114" s="534">
        <f>-(FX56*FX115)</f>
      </c>
      <c r="FY114" s="534">
        <f>-(FY56*FY115)</f>
      </c>
      <c r="FZ114" s="535">
        <f>SUM(FV114:FY114)</f>
      </c>
      <c r="GA114" s="534">
        <f>-(GA56*GA115)</f>
      </c>
      <c r="GB114" s="534">
        <f>-(GB56*GB115)</f>
      </c>
      <c r="GC114" s="534">
        <f>-(GC56*GC115)</f>
      </c>
      <c r="GD114" s="534">
        <f>-(GD56*GD115)</f>
      </c>
      <c r="GE114" s="535">
        <f>SUM(GA114:GD114)</f>
      </c>
      <c r="GF114" s="534">
        <f>-(GF56*GF115)</f>
      </c>
      <c r="GG114" s="534">
        <f>-(GG56*GG115)</f>
      </c>
      <c r="GH114" s="534">
        <f>-(GH56*GH115)</f>
      </c>
      <c r="GI114" s="534">
        <f>-(GI56*GI115)</f>
      </c>
      <c r="GJ114" s="535">
        <f>SUM(GF114:GI114)</f>
      </c>
    </row>
    <row r="115" spans="1:192" s="335" customFormat="1" ht="12.75" customHeight="1">
      <c r="A115" s="1315"/>
      <c r="B115" s="1316" t="s">
        <v>308</v>
      </c>
      <c r="C115" s="509"/>
      <c r="D115" s="1317"/>
      <c r="E115" s="1317"/>
      <c r="F115" s="1317"/>
      <c r="G115" s="1318"/>
      <c r="H115" s="509"/>
      <c r="I115" s="1317"/>
      <c r="J115" s="1317"/>
      <c r="K115" s="1317"/>
      <c r="L115" s="1318"/>
      <c r="M115" s="509"/>
      <c r="N115" s="1317"/>
      <c r="O115" s="1317"/>
      <c r="P115" s="1317"/>
      <c r="Q115" s="1318"/>
      <c r="R115" s="509"/>
      <c r="S115" s="1317"/>
      <c r="T115" s="1317"/>
      <c r="U115" s="1317"/>
      <c r="V115" s="1318"/>
      <c r="W115" s="509"/>
      <c r="X115" s="1317"/>
      <c r="Y115" s="1317"/>
      <c r="Z115" s="1317"/>
      <c r="AA115" s="1318"/>
      <c r="AB115" s="509"/>
      <c r="AC115" s="1317"/>
      <c r="AD115" s="1317"/>
      <c r="AE115" s="1317"/>
      <c r="AF115" s="1318"/>
      <c r="AG115" s="509"/>
      <c r="AH115" s="1317"/>
      <c r="AI115" s="1317"/>
      <c r="AJ115" s="1317"/>
      <c r="AK115" s="1318"/>
      <c r="AL115" s="509"/>
      <c r="AM115" s="1317"/>
      <c r="AN115" s="1317"/>
      <c r="AO115" s="1317"/>
      <c r="AP115" s="1318"/>
      <c r="AQ115" s="509"/>
      <c r="AR115" s="1317"/>
      <c r="AS115" s="1317"/>
      <c r="AT115" s="1317"/>
      <c r="AU115" s="1318"/>
      <c r="AV115" s="509"/>
      <c r="AW115" s="1317"/>
      <c r="AX115" s="1317"/>
      <c r="AY115" s="1317"/>
      <c r="AZ115" s="1318"/>
      <c r="BA115" s="509"/>
      <c r="BB115" s="1317"/>
      <c r="BC115" s="1317"/>
      <c r="BD115" s="1317"/>
      <c r="BE115" s="1318"/>
      <c r="BF115" s="509"/>
      <c r="BG115" s="1317"/>
      <c r="BH115" s="1317"/>
      <c r="BI115" s="1317"/>
      <c r="BJ115" s="1318"/>
      <c r="BK115" s="509"/>
      <c r="BL115" s="1317"/>
      <c r="BM115" s="1317"/>
      <c r="BN115" s="1317"/>
      <c r="BO115" s="1318"/>
      <c r="BP115" s="509"/>
      <c r="BQ115" s="1317"/>
      <c r="BR115" s="1317"/>
      <c r="BS115" s="1317"/>
      <c r="BT115" s="1318"/>
      <c r="BU115" s="509"/>
      <c r="BV115" s="1317"/>
      <c r="BW115" s="1317"/>
      <c r="BX115" s="1317"/>
      <c r="BY115" s="1318"/>
      <c r="BZ115" s="509"/>
      <c r="CA115" s="1317"/>
      <c r="CB115" s="1317"/>
      <c r="CC115" s="1317"/>
      <c r="CD115" s="1318"/>
      <c r="CE115" s="509"/>
      <c r="CF115" s="1317"/>
      <c r="CG115" s="1317"/>
      <c r="CH115" s="1317"/>
      <c r="CI115" s="1318"/>
      <c r="CJ115" s="509"/>
      <c r="CK115" s="1317"/>
      <c r="CL115" s="1317"/>
      <c r="CM115" s="1317"/>
      <c r="CN115" s="1318"/>
      <c r="CO115" s="509"/>
      <c r="CP115" s="1317"/>
      <c r="CQ115" s="1317"/>
      <c r="CR115" s="1317"/>
      <c r="CS115" s="1318"/>
      <c r="CT115" s="509"/>
      <c r="CU115" s="1317"/>
      <c r="CV115" s="1317"/>
      <c r="CW115" s="1317"/>
      <c r="CX115" s="1318"/>
      <c r="CY115" s="509"/>
      <c r="CZ115" s="1317"/>
      <c r="DA115" s="1317"/>
      <c r="DB115" s="1317"/>
      <c r="DC115" s="1318"/>
      <c r="DD115" s="1319">
        <f t="shared" ref="DD115:DH115" si="1040">DD114/DD$56</f>
      </c>
      <c r="DE115" s="1313">
        <f t="shared" si="1040"/>
      </c>
      <c r="DF115" s="1313">
        <f t="shared" si="1040"/>
      </c>
      <c r="DG115" s="1313">
        <f t="shared" si="1040"/>
      </c>
      <c r="DH115" s="1278">
        <f t="shared" si="1040"/>
      </c>
      <c r="DI115" s="1319">
        <f t="shared" ref="DI115:DQ115" si="1041">DI114/DI$56</f>
      </c>
      <c r="DJ115" s="1313">
        <f t="shared" si="1041"/>
      </c>
      <c r="DK115" s="1313">
        <f t="shared" si="1041"/>
      </c>
      <c r="DL115" s="1313">
        <f t="shared" si="1041"/>
      </c>
      <c r="DM115" s="1278">
        <f t="shared" si="1041"/>
      </c>
      <c r="DN115" s="1319">
        <f t="shared" si="1041"/>
      </c>
      <c r="DO115" s="1313">
        <f t="shared" si="1041"/>
      </c>
      <c r="DP115" s="1313">
        <f t="shared" si="1041"/>
      </c>
      <c r="DQ115" s="1313">
        <f t="shared" si="1041"/>
      </c>
      <c r="DR115" s="1278">
        <f t="shared" ref="DR115:EL115" si="1042">-DR114/DR$56</f>
      </c>
      <c r="DS115" s="1319">
        <f t="shared" si="1042"/>
      </c>
      <c r="DT115" s="1313">
        <f t="shared" si="1042"/>
      </c>
      <c r="DU115" s="1313">
        <f t="shared" si="1042"/>
      </c>
      <c r="DV115" s="1313">
        <f t="shared" si="1042"/>
      </c>
      <c r="DW115" s="1278">
        <f t="shared" si="1042"/>
      </c>
      <c r="DX115" s="1319">
        <f t="shared" si="1042"/>
      </c>
      <c r="DY115" s="1313">
        <f t="shared" si="1042"/>
      </c>
      <c r="DZ115" s="1313">
        <f t="shared" si="1042"/>
      </c>
      <c r="EA115" s="1313">
        <f t="shared" si="1042"/>
      </c>
      <c r="EB115" s="1278">
        <f t="shared" si="1042"/>
      </c>
      <c r="EC115" s="1319">
        <f t="shared" si="1042"/>
      </c>
      <c r="ED115" s="1313">
        <f t="shared" si="1042"/>
      </c>
      <c r="EE115" s="1313">
        <f t="shared" si="1042"/>
      </c>
      <c r="EF115" s="1313">
        <f t="shared" si="1042"/>
      </c>
      <c r="EG115" s="1278">
        <f t="shared" si="1042"/>
      </c>
      <c r="EH115" s="1319">
        <f t="shared" si="1042"/>
      </c>
      <c r="EI115" s="1313">
        <f t="shared" si="1042"/>
      </c>
      <c r="EJ115" s="1313">
        <f t="shared" si="1042"/>
      </c>
      <c r="EK115" s="1313">
        <f t="shared" si="1042"/>
      </c>
      <c r="EL115" s="1278">
        <f t="shared" si="1042"/>
      </c>
      <c r="EM115" s="1319">
        <f>-EM114/EM$56</f>
      </c>
      <c r="EN115" s="1313">
        <f t="shared" ref="EN115:EV115" si="1043">-EN114/EN$56</f>
      </c>
      <c r="EO115" s="1313">
        <f t="shared" si="1043"/>
      </c>
      <c r="EP115" s="1313">
        <f t="shared" si="1043"/>
      </c>
      <c r="EQ115" s="1278">
        <f t="shared" si="1043"/>
      </c>
      <c r="ER115" s="1319">
        <f t="shared" si="1043"/>
      </c>
      <c r="ES115" s="1313">
        <f t="shared" si="1043"/>
      </c>
      <c r="ET115" s="1313">
        <f>-ET114/ET$56</f>
      </c>
      <c r="EU115" s="1313">
        <f>-EU114/EU$56</f>
      </c>
      <c r="EV115" s="1278">
        <f t="shared" si="1043"/>
      </c>
      <c r="EW115" s="1319">
        <f t="shared" ref="EW115:EX115" si="1044">-EW114/EW$56</f>
      </c>
      <c r="EX115" s="1313">
        <f t="shared" si="1044"/>
      </c>
      <c r="EY115" s="1313">
        <f>-EY114/EY$56</f>
      </c>
      <c r="EZ115" s="1313">
        <f>-EZ114/EZ$56</f>
      </c>
      <c r="FA115" s="1278">
        <f t="shared" ref="FA115" si="1045">-FA114/FA$56</f>
      </c>
      <c r="FB115" s="1320">
        <v>0.12</v>
      </c>
      <c r="FC115" s="1320">
        <v>0.105</v>
      </c>
      <c r="FD115" s="1320">
        <v>0.08</v>
      </c>
      <c r="FE115" s="1320">
        <f>FD115</f>
      </c>
      <c r="FF115" s="1278">
        <f>-FF114/FF$56</f>
      </c>
      <c r="FG115" s="1320">
        <v>0.11</v>
      </c>
      <c r="FH115" s="1320">
        <f>FG115</f>
      </c>
      <c r="FI115" s="1320">
        <f>FH115</f>
      </c>
      <c r="FJ115" s="1320">
        <f>FI115</f>
      </c>
      <c r="FK115" s="1278">
        <f>-FK114/FK$56</f>
      </c>
      <c r="FL115" s="1320">
        <v>0.12</v>
      </c>
      <c r="FM115" s="1320">
        <f>FL115</f>
      </c>
      <c r="FN115" s="1320">
        <f>FM115</f>
      </c>
      <c r="FO115" s="1320">
        <f>FN115</f>
      </c>
      <c r="FP115" s="1278">
        <f>-FP114/FP$56</f>
      </c>
      <c r="FQ115" s="1320">
        <f>FL115</f>
      </c>
      <c r="FR115" s="1279">
        <f>FQ115</f>
      </c>
      <c r="FS115" s="1279">
        <f>FR115</f>
      </c>
      <c r="FT115" s="1279">
        <f>FS115</f>
      </c>
      <c r="FU115" s="1278">
        <f>-FU114/FU$56</f>
      </c>
      <c r="FV115" s="1320">
        <f>FQ115</f>
      </c>
      <c r="FW115" s="1279">
        <f>FV115</f>
      </c>
      <c r="FX115" s="1279">
        <f>FW115</f>
      </c>
      <c r="FY115" s="1279">
        <f>FX115</f>
      </c>
      <c r="FZ115" s="1278">
        <f>-FZ114/FZ$56</f>
      </c>
      <c r="GA115" s="1320">
        <f>FV115</f>
      </c>
      <c r="GB115" s="1279">
        <f>GA115</f>
      </c>
      <c r="GC115" s="1279">
        <f>GB115</f>
      </c>
      <c r="GD115" s="1279">
        <f>GC115</f>
      </c>
      <c r="GE115" s="1278">
        <f>-GE114/GE$56</f>
      </c>
      <c r="GF115" s="1320">
        <f>GA115</f>
      </c>
      <c r="GG115" s="1279">
        <f>GF115</f>
      </c>
      <c r="GH115" s="1279">
        <f>GG115</f>
      </c>
      <c r="GI115" s="1279">
        <f>GH115</f>
      </c>
      <c r="GJ115" s="1278">
        <f>-GJ114/GJ$56</f>
      </c>
    </row>
    <row r="116" spans="1:192" s="374" customFormat="1" ht="12.75" customHeight="1">
      <c r="A116" s="370"/>
      <c r="B116" s="1732" t="s">
        <v>34</v>
      </c>
      <c r="C116" s="1005"/>
      <c r="D116" s="767"/>
      <c r="E116" s="767"/>
      <c r="F116" s="767"/>
      <c r="G116" s="373"/>
      <c r="H116" s="1005"/>
      <c r="I116" s="767"/>
      <c r="J116" s="767"/>
      <c r="K116" s="767"/>
      <c r="L116" s="373"/>
      <c r="M116" s="1005"/>
      <c r="N116" s="767"/>
      <c r="O116" s="767"/>
      <c r="P116" s="767"/>
      <c r="Q116" s="373"/>
      <c r="R116" s="1005"/>
      <c r="S116" s="767"/>
      <c r="T116" s="767"/>
      <c r="U116" s="767"/>
      <c r="V116" s="373"/>
      <c r="W116" s="1005"/>
      <c r="X116" s="767"/>
      <c r="Y116" s="767"/>
      <c r="Z116" s="767"/>
      <c r="AA116" s="373"/>
      <c r="AB116" s="1005"/>
      <c r="AC116" s="767"/>
      <c r="AD116" s="767"/>
      <c r="AE116" s="767"/>
      <c r="AF116" s="373"/>
      <c r="AG116" s="1005"/>
      <c r="AH116" s="767"/>
      <c r="AI116" s="767"/>
      <c r="AJ116" s="767"/>
      <c r="AK116" s="373"/>
      <c r="AL116" s="1005"/>
      <c r="AM116" s="767"/>
      <c r="AN116" s="767"/>
      <c r="AO116" s="767"/>
      <c r="AP116" s="373"/>
      <c r="AQ116" s="1005"/>
      <c r="AR116" s="767"/>
      <c r="AS116" s="767"/>
      <c r="AT116" s="767"/>
      <c r="AU116" s="373"/>
      <c r="AV116" s="1005"/>
      <c r="AW116" s="767"/>
      <c r="AX116" s="767"/>
      <c r="AY116" s="767"/>
      <c r="AZ116" s="373"/>
      <c r="BA116" s="1005"/>
      <c r="BB116" s="767"/>
      <c r="BC116" s="767"/>
      <c r="BD116" s="767"/>
      <c r="BE116" s="373"/>
      <c r="BF116" s="1005"/>
      <c r="BG116" s="767"/>
      <c r="BH116" s="767"/>
      <c r="BI116" s="767"/>
      <c r="BJ116" s="373"/>
      <c r="BK116" s="1005"/>
      <c r="BL116" s="767"/>
      <c r="BM116" s="767"/>
      <c r="BN116" s="767"/>
      <c r="BO116" s="373"/>
      <c r="BP116" s="1005"/>
      <c r="BQ116" s="767"/>
      <c r="BR116" s="767"/>
      <c r="BS116" s="767"/>
      <c r="BT116" s="373"/>
      <c r="BU116" s="1005"/>
      <c r="BV116" s="767"/>
      <c r="BW116" s="767"/>
      <c r="BX116" s="767"/>
      <c r="BY116" s="373"/>
      <c r="BZ116" s="1005"/>
      <c r="CA116" s="767"/>
      <c r="CB116" s="767"/>
      <c r="CC116" s="767"/>
      <c r="CD116" s="373"/>
      <c r="CE116" s="1005"/>
      <c r="CF116" s="767"/>
      <c r="CG116" s="767"/>
      <c r="CH116" s="767"/>
      <c r="CI116" s="373"/>
      <c r="CJ116" s="1005"/>
      <c r="CK116" s="767"/>
      <c r="CL116" s="767"/>
      <c r="CM116" s="767"/>
      <c r="CN116" s="373"/>
      <c r="CO116" s="1005"/>
      <c r="CP116" s="767"/>
      <c r="CQ116" s="767"/>
      <c r="CR116" s="767"/>
      <c r="CS116" s="373"/>
      <c r="CT116" s="1005"/>
      <c r="CU116" s="767"/>
      <c r="CV116" s="767"/>
      <c r="CW116" s="767"/>
      <c r="CX116" s="373"/>
      <c r="CY116" s="1005"/>
      <c r="CZ116" s="767"/>
      <c r="DA116" s="767"/>
      <c r="DB116" s="767"/>
      <c r="DC116" s="373"/>
      <c r="DD116" s="633"/>
      <c r="DE116" s="634"/>
      <c r="DF116" s="634"/>
      <c r="DG116" s="634"/>
      <c r="DH116" s="373"/>
      <c r="DI116" s="633"/>
      <c r="DJ116" s="634"/>
      <c r="DK116" s="634"/>
      <c r="DL116" s="634"/>
      <c r="DM116" s="373"/>
      <c r="DN116" s="770">
        <f t="shared" ref="DN116:EZ116" si="1046">DN114/DI114-1</f>
      </c>
      <c r="DO116" s="770">
        <f t="shared" si="1046"/>
      </c>
      <c r="DP116" s="770">
        <f t="shared" si="1046"/>
      </c>
      <c r="DQ116" s="770">
        <f t="shared" si="1046"/>
      </c>
      <c r="DR116" s="1026">
        <f t="shared" si="1046"/>
      </c>
      <c r="DS116" s="770">
        <f t="shared" si="1046"/>
      </c>
      <c r="DT116" s="770">
        <f t="shared" si="1046"/>
      </c>
      <c r="DU116" s="770">
        <f t="shared" si="1046"/>
      </c>
      <c r="DV116" s="770">
        <f t="shared" si="1046"/>
      </c>
      <c r="DW116" s="1026">
        <f t="shared" si="1046"/>
      </c>
      <c r="DX116" s="770">
        <f t="shared" si="1046"/>
      </c>
      <c r="DY116" s="770">
        <f t="shared" si="1046"/>
      </c>
      <c r="DZ116" s="770">
        <f t="shared" si="1046"/>
      </c>
      <c r="EA116" s="770">
        <f t="shared" si="1046"/>
      </c>
      <c r="EB116" s="1026">
        <f t="shared" si="1046"/>
      </c>
      <c r="EC116" s="770">
        <f t="shared" si="1046"/>
      </c>
      <c r="ED116" s="770">
        <f t="shared" si="1046"/>
      </c>
      <c r="EE116" s="770">
        <f t="shared" si="1046"/>
      </c>
      <c r="EF116" s="770">
        <f t="shared" si="1046"/>
      </c>
      <c r="EG116" s="1026">
        <f t="shared" si="1046"/>
      </c>
      <c r="EH116" s="770">
        <f t="shared" si="1046"/>
      </c>
      <c r="EI116" s="770">
        <f t="shared" si="1046"/>
      </c>
      <c r="EJ116" s="770">
        <f t="shared" si="1046"/>
      </c>
      <c r="EK116" s="770">
        <f t="shared" si="1046"/>
      </c>
      <c r="EL116" s="1026">
        <f t="shared" si="1046"/>
      </c>
      <c r="EM116" s="770">
        <f t="shared" si="1046"/>
      </c>
      <c r="EN116" s="770">
        <f t="shared" si="1046"/>
      </c>
      <c r="EO116" s="770">
        <f t="shared" si="1046"/>
      </c>
      <c r="EP116" s="770">
        <f t="shared" si="1046"/>
      </c>
      <c r="EQ116" s="1026">
        <f t="shared" si="1046"/>
      </c>
      <c r="ER116" s="770">
        <f t="shared" si="1046"/>
      </c>
      <c r="ES116" s="770">
        <f t="shared" si="1046"/>
      </c>
      <c r="ET116" s="770">
        <f t="shared" si="1046"/>
      </c>
      <c r="EU116" s="770">
        <f t="shared" si="1046"/>
      </c>
      <c r="EV116" s="1026">
        <f t="shared" ref="EV116:GE116" si="1047">EV114/EQ114-1</f>
      </c>
      <c r="EW116" s="770">
        <f t="shared" si="1046"/>
      </c>
      <c r="EX116" s="770">
        <f t="shared" si="1046"/>
      </c>
      <c r="EY116" s="770">
        <f t="shared" si="1046"/>
      </c>
      <c r="EZ116" s="770">
        <f t="shared" si="1046"/>
      </c>
      <c r="FA116" s="1026">
        <f t="shared" si="1047"/>
      </c>
      <c r="FB116" s="770">
        <f t="shared" si="1047"/>
      </c>
      <c r="FC116" s="770">
        <f t="shared" si="1047"/>
      </c>
      <c r="FD116" s="770">
        <f t="shared" si="1047"/>
      </c>
      <c r="FE116" s="770">
        <f t="shared" si="1047"/>
      </c>
      <c r="FF116" s="1026">
        <f t="shared" si="1047"/>
      </c>
      <c r="FG116" s="770">
        <f t="shared" si="1047"/>
      </c>
      <c r="FH116" s="770">
        <f t="shared" si="1047"/>
      </c>
      <c r="FI116" s="770">
        <f t="shared" si="1047"/>
      </c>
      <c r="FJ116" s="770">
        <f t="shared" si="1047"/>
      </c>
      <c r="FK116" s="1026">
        <f t="shared" si="1047"/>
      </c>
      <c r="FL116" s="770">
        <f t="shared" si="1047"/>
      </c>
      <c r="FM116" s="770">
        <f t="shared" si="1047"/>
      </c>
      <c r="FN116" s="770">
        <f t="shared" si="1047"/>
      </c>
      <c r="FO116" s="770">
        <f t="shared" si="1047"/>
      </c>
      <c r="FP116" s="1026">
        <f t="shared" si="1047"/>
      </c>
      <c r="FQ116" s="770">
        <f t="shared" si="1047"/>
      </c>
      <c r="FR116" s="770">
        <f t="shared" si="1047"/>
      </c>
      <c r="FS116" s="770">
        <f t="shared" si="1047"/>
      </c>
      <c r="FT116" s="770">
        <f t="shared" si="1047"/>
      </c>
      <c r="FU116" s="1026">
        <f t="shared" si="1047"/>
      </c>
      <c r="FV116" s="770">
        <f t="shared" si="1047"/>
      </c>
      <c r="FW116" s="770">
        <f t="shared" si="1047"/>
      </c>
      <c r="FX116" s="770">
        <f t="shared" si="1047"/>
      </c>
      <c r="FY116" s="770">
        <f t="shared" si="1047"/>
      </c>
      <c r="FZ116" s="1026">
        <f t="shared" si="1047"/>
      </c>
      <c r="GA116" s="770">
        <f t="shared" si="1047"/>
      </c>
      <c r="GB116" s="770">
        <f t="shared" si="1047"/>
      </c>
      <c r="GC116" s="770">
        <f t="shared" si="1047"/>
      </c>
      <c r="GD116" s="770">
        <f t="shared" si="1047"/>
      </c>
      <c r="GE116" s="1026">
        <f t="shared" si="1047"/>
      </c>
      <c r="GF116" s="770">
        <f t="shared" ref="GF116" si="1048">GF114/GA114-1</f>
      </c>
      <c r="GG116" s="770">
        <f t="shared" ref="GG116" si="1049">GG114/GB114-1</f>
      </c>
      <c r="GH116" s="770">
        <f t="shared" ref="GH116" si="1050">GH114/GC114-1</f>
      </c>
      <c r="GI116" s="770">
        <f t="shared" ref="GI116" si="1051">GI114/GD114-1</f>
      </c>
      <c r="GJ116" s="1026">
        <f t="shared" ref="GJ116" si="1052">GJ114/GE114-1</f>
      </c>
    </row>
    <row r="117" spans="1:192" s="374" customFormat="1" ht="12.75" customHeight="1">
      <c r="A117" s="370"/>
      <c r="B117" s="1732" t="s">
        <v>36</v>
      </c>
      <c r="C117" s="1005"/>
      <c r="D117" s="767"/>
      <c r="E117" s="767"/>
      <c r="F117" s="767"/>
      <c r="G117" s="373"/>
      <c r="H117" s="1005"/>
      <c r="I117" s="767"/>
      <c r="J117" s="767"/>
      <c r="K117" s="767"/>
      <c r="L117" s="373"/>
      <c r="M117" s="1005"/>
      <c r="N117" s="767"/>
      <c r="O117" s="767"/>
      <c r="P117" s="767"/>
      <c r="Q117" s="373"/>
      <c r="R117" s="1005"/>
      <c r="S117" s="767"/>
      <c r="T117" s="767"/>
      <c r="U117" s="767"/>
      <c r="V117" s="373"/>
      <c r="W117" s="1005"/>
      <c r="X117" s="767"/>
      <c r="Y117" s="767"/>
      <c r="Z117" s="767"/>
      <c r="AA117" s="373"/>
      <c r="AB117" s="1005"/>
      <c r="AC117" s="767"/>
      <c r="AD117" s="767"/>
      <c r="AE117" s="767"/>
      <c r="AF117" s="373"/>
      <c r="AG117" s="1005"/>
      <c r="AH117" s="767"/>
      <c r="AI117" s="767"/>
      <c r="AJ117" s="767"/>
      <c r="AK117" s="373"/>
      <c r="AL117" s="1005"/>
      <c r="AM117" s="767"/>
      <c r="AN117" s="767"/>
      <c r="AO117" s="767"/>
      <c r="AP117" s="373"/>
      <c r="AQ117" s="1005"/>
      <c r="AR117" s="767"/>
      <c r="AS117" s="767"/>
      <c r="AT117" s="767"/>
      <c r="AU117" s="373"/>
      <c r="AV117" s="1005"/>
      <c r="AW117" s="767"/>
      <c r="AX117" s="767"/>
      <c r="AY117" s="767"/>
      <c r="AZ117" s="373"/>
      <c r="BA117" s="1005"/>
      <c r="BB117" s="767"/>
      <c r="BC117" s="767"/>
      <c r="BD117" s="767"/>
      <c r="BE117" s="373"/>
      <c r="BF117" s="1005"/>
      <c r="BG117" s="767"/>
      <c r="BH117" s="767"/>
      <c r="BI117" s="767"/>
      <c r="BJ117" s="373"/>
      <c r="BK117" s="1005"/>
      <c r="BL117" s="767"/>
      <c r="BM117" s="767"/>
      <c r="BN117" s="767"/>
      <c r="BO117" s="373"/>
      <c r="BP117" s="1005"/>
      <c r="BQ117" s="767"/>
      <c r="BR117" s="767"/>
      <c r="BS117" s="767"/>
      <c r="BT117" s="373"/>
      <c r="BU117" s="1005"/>
      <c r="BV117" s="767"/>
      <c r="BW117" s="767"/>
      <c r="BX117" s="767"/>
      <c r="BY117" s="373"/>
      <c r="BZ117" s="1005"/>
      <c r="CA117" s="767"/>
      <c r="CB117" s="767"/>
      <c r="CC117" s="767"/>
      <c r="CD117" s="373"/>
      <c r="CE117" s="1005"/>
      <c r="CF117" s="767"/>
      <c r="CG117" s="767"/>
      <c r="CH117" s="767"/>
      <c r="CI117" s="373"/>
      <c r="CJ117" s="1005"/>
      <c r="CK117" s="767"/>
      <c r="CL117" s="767"/>
      <c r="CM117" s="767"/>
      <c r="CN117" s="373"/>
      <c r="CO117" s="1005"/>
      <c r="CP117" s="767"/>
      <c r="CQ117" s="767"/>
      <c r="CR117" s="767"/>
      <c r="CS117" s="373"/>
      <c r="CT117" s="1005"/>
      <c r="CU117" s="767"/>
      <c r="CV117" s="767"/>
      <c r="CW117" s="767"/>
      <c r="CX117" s="373"/>
      <c r="CY117" s="1005"/>
      <c r="CZ117" s="767"/>
      <c r="DA117" s="767"/>
      <c r="DB117" s="767"/>
      <c r="DC117" s="373"/>
      <c r="DD117" s="633"/>
      <c r="DE117" s="634"/>
      <c r="DF117" s="634"/>
      <c r="DG117" s="634"/>
      <c r="DH117" s="373"/>
      <c r="DI117" s="633"/>
      <c r="DJ117" s="634"/>
      <c r="DK117" s="634"/>
      <c r="DL117" s="634"/>
      <c r="DM117" s="373"/>
      <c r="DN117" s="770">
        <f>DN114/DL114-1</f>
      </c>
      <c r="DO117" s="771">
        <f>DO114/DN114-1</f>
      </c>
      <c r="DP117" s="771">
        <f>DP114/DO114-1</f>
      </c>
      <c r="DQ117" s="771">
        <f>DQ114/DP114-1</f>
      </c>
      <c r="DR117" s="373"/>
      <c r="DS117" s="770">
        <f>DS114/DQ114-1</f>
      </c>
      <c r="DT117" s="771">
        <f>DT114/DS114-1</f>
      </c>
      <c r="DU117" s="771">
        <f>DU114/DT114-1</f>
      </c>
      <c r="DV117" s="771">
        <f>DV114/DU114-1</f>
      </c>
      <c r="DW117" s="373"/>
      <c r="DX117" s="770">
        <f>DX114/DV114-1</f>
      </c>
      <c r="DY117" s="771">
        <f>DY114/DX114-1</f>
      </c>
      <c r="DZ117" s="771">
        <f>DZ114/DY114-1</f>
      </c>
      <c r="EA117" s="771">
        <f>EA114/DZ114-1</f>
      </c>
      <c r="EB117" s="373"/>
      <c r="EC117" s="770">
        <f>EC114/EA114-1</f>
      </c>
      <c r="ED117" s="771">
        <f>ED114/EC114-1</f>
      </c>
      <c r="EE117" s="771">
        <f>EE114/ED114-1</f>
      </c>
      <c r="EF117" s="771">
        <f>EF114/EE114-1</f>
      </c>
      <c r="EG117" s="373"/>
      <c r="EH117" s="770">
        <f>EH114/EF114-1</f>
      </c>
      <c r="EI117" s="771">
        <f>EI114/EH114-1</f>
      </c>
      <c r="EJ117" s="771">
        <f>EJ114/EI114-1</f>
      </c>
      <c r="EK117" s="771">
        <f>EK114/EJ114-1</f>
      </c>
      <c r="EL117" s="373"/>
      <c r="EM117" s="770">
        <f>EM114/EK114-1</f>
      </c>
      <c r="EN117" s="771">
        <f>EN114/EM114-1</f>
      </c>
      <c r="EO117" s="771">
        <f>EO114/EN114-1</f>
      </c>
      <c r="EP117" s="771">
        <f>EP114/EO114-1</f>
      </c>
      <c r="EQ117" s="373"/>
      <c r="ER117" s="770">
        <f>ER114/EP114-1</f>
      </c>
      <c r="ES117" s="771">
        <f>ES114/ER114-1</f>
      </c>
      <c r="ET117" s="771">
        <f>ET114/ES114-1</f>
      </c>
      <c r="EU117" s="771">
        <f>EU114/ET114-1</f>
      </c>
      <c r="EV117" s="373"/>
      <c r="EW117" s="770">
        <f>EW114/EU114-1</f>
      </c>
      <c r="EX117" s="771">
        <f>EX114/EW114-1</f>
      </c>
      <c r="EY117" s="771">
        <f>EY114/EX114-1</f>
      </c>
      <c r="EZ117" s="771">
        <f>EZ114/EY114-1</f>
      </c>
      <c r="FA117" s="373"/>
      <c r="FB117" s="770">
        <f>FB114/EZ114-1</f>
      </c>
      <c r="FC117" s="771">
        <f>FC114/FB114-1</f>
      </c>
      <c r="FD117" s="771">
        <f>FD114/FC114-1</f>
      </c>
      <c r="FE117" s="771">
        <f>FE114/FD114-1</f>
      </c>
      <c r="FF117" s="373"/>
      <c r="FG117" s="770">
        <f>FG114/FE114-1</f>
      </c>
      <c r="FH117" s="771">
        <f>FH114/FG114-1</f>
      </c>
      <c r="FI117" s="771">
        <f>FI114/FH114-1</f>
      </c>
      <c r="FJ117" s="771">
        <f>FJ114/FI114-1</f>
      </c>
      <c r="FK117" s="373"/>
      <c r="FL117" s="770">
        <f>FL114/FJ114-1</f>
      </c>
      <c r="FM117" s="771">
        <f>FM114/FL114-1</f>
      </c>
      <c r="FN117" s="771">
        <f>FN114/FM114-1</f>
      </c>
      <c r="FO117" s="771">
        <f>FO114/FN114-1</f>
      </c>
      <c r="FP117" s="373"/>
      <c r="FQ117" s="770">
        <f>FQ114/FO114-1</f>
      </c>
      <c r="FR117" s="771">
        <f>FR114/FQ114-1</f>
      </c>
      <c r="FS117" s="771">
        <f>FS114/FR114-1</f>
      </c>
      <c r="FT117" s="771">
        <f>FT114/FS114-1</f>
      </c>
      <c r="FU117" s="373"/>
      <c r="FV117" s="770">
        <f>FV114/FT114-1</f>
      </c>
      <c r="FW117" s="771">
        <f>FW114/FV114-1</f>
      </c>
      <c r="FX117" s="771">
        <f>FX114/FW114-1</f>
      </c>
      <c r="FY117" s="771">
        <f>FY114/FX114-1</f>
      </c>
      <c r="FZ117" s="373"/>
      <c r="GA117" s="770">
        <f>GA114/FY114-1</f>
      </c>
      <c r="GB117" s="771">
        <f>GB114/GA114-1</f>
      </c>
      <c r="GC117" s="771">
        <f>GC114/GB114-1</f>
      </c>
      <c r="GD117" s="771">
        <f>GD114/GC114-1</f>
      </c>
      <c r="GE117" s="373"/>
      <c r="GF117" s="770">
        <f>GF114/GD114-1</f>
      </c>
      <c r="GG117" s="771">
        <f>GG114/GF114-1</f>
      </c>
      <c r="GH117" s="771">
        <f>GH114/GG114-1</f>
      </c>
      <c r="GI117" s="771">
        <f>GI114/GH114-1</f>
      </c>
      <c r="GJ117" s="373"/>
    </row>
    <row r="118" spans="1:192" s="1031" customFormat="1" ht="12.75" customHeight="1">
      <c r="A118" s="1027"/>
      <c r="B118" s="727" t="s">
        <v>1856</v>
      </c>
      <c r="C118" s="1462"/>
      <c r="D118" s="1462"/>
      <c r="E118" s="1462"/>
      <c r="F118" s="1462"/>
      <c r="G118" s="1461"/>
      <c r="H118" s="1462"/>
      <c r="I118" s="1462"/>
      <c r="J118" s="1462"/>
      <c r="K118" s="1462"/>
      <c r="L118" s="1461"/>
      <c r="M118" s="1462"/>
      <c r="N118" s="1462"/>
      <c r="O118" s="1462"/>
      <c r="P118" s="1462"/>
      <c r="Q118" s="1461"/>
      <c r="R118" s="1489"/>
      <c r="S118" s="1489"/>
      <c r="T118" s="1489"/>
      <c r="U118" s="1489"/>
      <c r="V118" s="1461"/>
      <c r="W118" s="1489"/>
      <c r="X118" s="1489"/>
      <c r="Y118" s="1489"/>
      <c r="Z118" s="1489"/>
      <c r="AA118" s="1461"/>
      <c r="AB118" s="1489"/>
      <c r="AC118" s="1489"/>
      <c r="AD118" s="1489"/>
      <c r="AE118" s="1489"/>
      <c r="AF118" s="1461"/>
      <c r="AG118" s="1489"/>
      <c r="AH118" s="1489"/>
      <c r="AI118" s="1489"/>
      <c r="AJ118" s="1489"/>
      <c r="AK118" s="1461"/>
      <c r="AL118" s="1462"/>
      <c r="AM118" s="1462"/>
      <c r="AN118" s="1462"/>
      <c r="AO118" s="1462"/>
      <c r="AP118" s="1461"/>
      <c r="AQ118" s="1462"/>
      <c r="AR118" s="1462"/>
      <c r="AS118" s="1462"/>
      <c r="AT118" s="1462"/>
      <c r="AU118" s="1461"/>
      <c r="AV118" s="1462"/>
      <c r="AW118" s="1462"/>
      <c r="AX118" s="1462"/>
      <c r="AY118" s="1462"/>
      <c r="AZ118" s="1461"/>
      <c r="BA118" s="1462"/>
      <c r="BB118" s="1462"/>
      <c r="BC118" s="1462"/>
      <c r="BD118" s="1462"/>
      <c r="BE118" s="1461"/>
      <c r="BF118" s="1462"/>
      <c r="BG118" s="1462"/>
      <c r="BH118" s="1462"/>
      <c r="BI118" s="1462"/>
      <c r="BJ118" s="1461"/>
      <c r="BK118" s="1462"/>
      <c r="BL118" s="1462"/>
      <c r="BM118" s="1462"/>
      <c r="BN118" s="1462"/>
      <c r="BO118" s="1461"/>
      <c r="BP118" s="1462"/>
      <c r="BQ118" s="1462"/>
      <c r="BR118" s="1462"/>
      <c r="BS118" s="1462"/>
      <c r="BT118" s="1461"/>
      <c r="BU118" s="1438"/>
      <c r="BV118" s="1438"/>
      <c r="BW118" s="1438"/>
      <c r="BX118" s="1438"/>
      <c r="BY118" s="1175"/>
      <c r="BZ118" s="1438"/>
      <c r="CA118" s="1438"/>
      <c r="CB118" s="1438"/>
      <c r="CC118" s="1438"/>
      <c r="CD118" s="1175"/>
      <c r="CE118" s="1438"/>
      <c r="CF118" s="1438"/>
      <c r="CG118" s="1438"/>
      <c r="CH118" s="1438"/>
      <c r="CI118" s="1175"/>
      <c r="CJ118" s="1438"/>
      <c r="CK118" s="1438"/>
      <c r="CL118" s="1438"/>
      <c r="CM118" s="1438"/>
      <c r="CN118" s="1175"/>
      <c r="CO118" s="1438"/>
      <c r="CP118" s="1438"/>
      <c r="CQ118" s="1438"/>
      <c r="CR118" s="1438"/>
      <c r="CS118" s="1175"/>
      <c r="CT118" s="1438"/>
      <c r="CU118" s="1438"/>
      <c r="CV118" s="1438"/>
      <c r="CW118" s="1438"/>
      <c r="CX118" s="1175"/>
      <c r="CY118" s="1438"/>
      <c r="CZ118" s="1438"/>
      <c r="DA118" s="1438"/>
      <c r="DB118" s="1438"/>
      <c r="DC118" s="1175"/>
      <c r="DD118" s="1438">
        <f t="shared" ref="DD118" si="1053">DD114-CY114</f>
      </c>
      <c r="DE118" s="1438">
        <f t="shared" ref="DE118" si="1054">DE114-CZ114</f>
      </c>
      <c r="DF118" s="1438">
        <f t="shared" ref="DF118" si="1055">DF114-DA114</f>
      </c>
      <c r="DG118" s="1438">
        <f t="shared" ref="DG118" si="1056">DG114-DB114</f>
      </c>
      <c r="DH118" s="1175">
        <f t="shared" ref="DH118" si="1057">DH114-DC114</f>
      </c>
      <c r="DI118" s="1438">
        <f t="shared" ref="DI118:EN118" si="1058">DI114-DD114</f>
      </c>
      <c r="DJ118" s="1438">
        <f t="shared" si="1058"/>
      </c>
      <c r="DK118" s="1438">
        <f t="shared" si="1058"/>
      </c>
      <c r="DL118" s="1438">
        <f t="shared" si="1058"/>
      </c>
      <c r="DM118" s="1175">
        <f t="shared" si="1058"/>
      </c>
      <c r="DN118" s="1438">
        <f t="shared" si="1058"/>
      </c>
      <c r="DO118" s="1438">
        <f t="shared" si="1058"/>
      </c>
      <c r="DP118" s="1438">
        <f t="shared" si="1058"/>
      </c>
      <c r="DQ118" s="1438">
        <f t="shared" si="1058"/>
      </c>
      <c r="DR118" s="1175">
        <f t="shared" si="1058"/>
      </c>
      <c r="DS118" s="1438">
        <f t="shared" si="1058"/>
      </c>
      <c r="DT118" s="1438">
        <f t="shared" si="1058"/>
      </c>
      <c r="DU118" s="1438">
        <f t="shared" si="1058"/>
      </c>
      <c r="DV118" s="1438">
        <f t="shared" si="1058"/>
      </c>
      <c r="DW118" s="1175">
        <f t="shared" si="1058"/>
      </c>
      <c r="DX118" s="1438">
        <f t="shared" si="1058"/>
      </c>
      <c r="DY118" s="1438">
        <f t="shared" si="1058"/>
      </c>
      <c r="DZ118" s="1438">
        <f t="shared" si="1058"/>
      </c>
      <c r="EA118" s="1438">
        <f t="shared" si="1058"/>
      </c>
      <c r="EB118" s="1175">
        <f t="shared" si="1058"/>
      </c>
      <c r="EC118" s="1438">
        <f t="shared" si="1058"/>
      </c>
      <c r="ED118" s="1438">
        <f t="shared" si="1058"/>
      </c>
      <c r="EE118" s="1438">
        <f t="shared" si="1058"/>
      </c>
      <c r="EF118" s="1438">
        <f t="shared" si="1058"/>
      </c>
      <c r="EG118" s="1175">
        <f t="shared" si="1058"/>
      </c>
      <c r="EH118" s="1438">
        <f t="shared" si="1058"/>
      </c>
      <c r="EI118" s="1438">
        <f t="shared" si="1058"/>
      </c>
      <c r="EJ118" s="1438">
        <f t="shared" si="1058"/>
      </c>
      <c r="EK118" s="1438">
        <f t="shared" si="1058"/>
      </c>
      <c r="EL118" s="1175">
        <f t="shared" si="1058"/>
      </c>
      <c r="EM118" s="1438">
        <f t="shared" si="1058"/>
      </c>
      <c r="EN118" s="1438">
        <f t="shared" si="1058"/>
      </c>
      <c r="EO118" s="1438">
        <f t="shared" ref="EO118:FT118" si="1059">EO114-EJ114</f>
      </c>
      <c r="EP118" s="1438">
        <f t="shared" si="1059"/>
      </c>
      <c r="EQ118" s="1175">
        <f t="shared" si="1059"/>
      </c>
      <c r="ER118" s="1438">
        <f t="shared" si="1059"/>
      </c>
      <c r="ES118" s="1438">
        <f t="shared" si="1059"/>
      </c>
      <c r="ET118" s="1438">
        <f t="shared" si="1059"/>
      </c>
      <c r="EU118" s="1438">
        <f t="shared" si="1059"/>
      </c>
      <c r="EV118" s="1175">
        <f t="shared" si="1059"/>
      </c>
      <c r="EW118" s="1438">
        <f t="shared" si="1059"/>
      </c>
      <c r="EX118" s="1438">
        <f t="shared" si="1059"/>
      </c>
      <c r="EY118" s="1438">
        <f t="shared" si="1059"/>
      </c>
      <c r="EZ118" s="1438">
        <f t="shared" si="1059"/>
      </c>
      <c r="FA118" s="1175">
        <f t="shared" si="1059"/>
      </c>
      <c r="FB118" s="1438">
        <f t="shared" si="1059"/>
      </c>
      <c r="FC118" s="1438">
        <f t="shared" si="1059"/>
      </c>
      <c r="FD118" s="1438">
        <f t="shared" si="1059"/>
      </c>
      <c r="FE118" s="1438">
        <f t="shared" si="1059"/>
      </c>
      <c r="FF118" s="1175">
        <f t="shared" si="1059"/>
      </c>
      <c r="FG118" s="1438">
        <f t="shared" si="1059"/>
      </c>
      <c r="FH118" s="1438">
        <f t="shared" si="1059"/>
      </c>
      <c r="FI118" s="1438">
        <f t="shared" si="1059"/>
      </c>
      <c r="FJ118" s="1438">
        <f t="shared" si="1059"/>
      </c>
      <c r="FK118" s="1175">
        <f t="shared" si="1059"/>
      </c>
      <c r="FL118" s="1438">
        <f t="shared" si="1059"/>
      </c>
      <c r="FM118" s="1438">
        <f t="shared" si="1059"/>
      </c>
      <c r="FN118" s="1438">
        <f t="shared" si="1059"/>
      </c>
      <c r="FO118" s="1438">
        <f t="shared" si="1059"/>
      </c>
      <c r="FP118" s="1175">
        <f t="shared" si="1059"/>
      </c>
      <c r="FQ118" s="1438">
        <f t="shared" si="1059"/>
      </c>
      <c r="FR118" s="1438">
        <f t="shared" si="1059"/>
      </c>
      <c r="FS118" s="1438">
        <f t="shared" si="1059"/>
      </c>
      <c r="FT118" s="1438">
        <f t="shared" si="1059"/>
      </c>
      <c r="FU118" s="1175">
        <f t="shared" ref="FU118:FZ118" si="1060">FU114-FP114</f>
      </c>
      <c r="FV118" s="1438">
        <f t="shared" si="1060"/>
      </c>
      <c r="FW118" s="1438">
        <f t="shared" si="1060"/>
      </c>
      <c r="FX118" s="1438">
        <f t="shared" si="1060"/>
      </c>
      <c r="FY118" s="1438">
        <f t="shared" si="1060"/>
      </c>
      <c r="FZ118" s="1175">
        <f t="shared" si="1060"/>
      </c>
      <c r="GA118" s="1438">
        <f t="shared" ref="GA118:GJ118" si="1061">GA114-FV114</f>
      </c>
      <c r="GB118" s="1438">
        <f t="shared" si="1061"/>
      </c>
      <c r="GC118" s="1438">
        <f t="shared" si="1061"/>
      </c>
      <c r="GD118" s="1438">
        <f t="shared" si="1061"/>
      </c>
      <c r="GE118" s="1175">
        <f t="shared" si="1061"/>
      </c>
      <c r="GF118" s="1438">
        <f t="shared" si="1061"/>
      </c>
      <c r="GG118" s="1438">
        <f t="shared" si="1061"/>
      </c>
      <c r="GH118" s="1438">
        <f t="shared" si="1061"/>
      </c>
      <c r="GI118" s="1438">
        <f t="shared" si="1061"/>
      </c>
      <c r="GJ118" s="1175">
        <f t="shared" si="1061"/>
      </c>
    </row>
    <row r="119" spans="1:192" s="1031" customFormat="1" ht="12.75" customHeight="1">
      <c r="A119" s="1027"/>
      <c r="B119" s="727" t="s">
        <v>1857</v>
      </c>
      <c r="C119" s="1462"/>
      <c r="D119" s="1462"/>
      <c r="E119" s="1462"/>
      <c r="F119" s="1462"/>
      <c r="G119" s="1461"/>
      <c r="H119" s="1462"/>
      <c r="I119" s="1462"/>
      <c r="J119" s="1462"/>
      <c r="K119" s="1462"/>
      <c r="L119" s="1461"/>
      <c r="M119" s="1462"/>
      <c r="N119" s="1462"/>
      <c r="O119" s="1462"/>
      <c r="P119" s="1462"/>
      <c r="Q119" s="1461"/>
      <c r="R119" s="1489"/>
      <c r="S119" s="1489"/>
      <c r="T119" s="1489"/>
      <c r="U119" s="1489"/>
      <c r="V119" s="1461"/>
      <c r="W119" s="1489"/>
      <c r="X119" s="1489"/>
      <c r="Y119" s="1489"/>
      <c r="Z119" s="1489"/>
      <c r="AA119" s="1461"/>
      <c r="AB119" s="1489"/>
      <c r="AC119" s="1489"/>
      <c r="AD119" s="1489"/>
      <c r="AE119" s="1489"/>
      <c r="AF119" s="1461"/>
      <c r="AG119" s="1489"/>
      <c r="AH119" s="1489"/>
      <c r="AI119" s="1489"/>
      <c r="AJ119" s="1489"/>
      <c r="AK119" s="1461"/>
      <c r="AL119" s="1462"/>
      <c r="AM119" s="1462"/>
      <c r="AN119" s="1462"/>
      <c r="AO119" s="1462"/>
      <c r="AP119" s="1461"/>
      <c r="AQ119" s="1462"/>
      <c r="AR119" s="1462"/>
      <c r="AS119" s="1462"/>
      <c r="AT119" s="1462"/>
      <c r="AU119" s="1461"/>
      <c r="AV119" s="1462"/>
      <c r="AW119" s="1462"/>
      <c r="AX119" s="1462"/>
      <c r="AY119" s="1462"/>
      <c r="AZ119" s="1461"/>
      <c r="BA119" s="1462"/>
      <c r="BB119" s="1462"/>
      <c r="BC119" s="1462"/>
      <c r="BD119" s="1462"/>
      <c r="BE119" s="1461"/>
      <c r="BF119" s="1462"/>
      <c r="BG119" s="1462"/>
      <c r="BH119" s="1462"/>
      <c r="BI119" s="1462"/>
      <c r="BJ119" s="1461"/>
      <c r="BK119" s="1462"/>
      <c r="BL119" s="1462"/>
      <c r="BM119" s="1462"/>
      <c r="BN119" s="1462"/>
      <c r="BO119" s="1461"/>
      <c r="BP119" s="1462"/>
      <c r="BQ119" s="1462"/>
      <c r="BR119" s="1462"/>
      <c r="BS119" s="1462"/>
      <c r="BT119" s="1461"/>
      <c r="BU119" s="1438"/>
      <c r="BV119" s="1438"/>
      <c r="BW119" s="1438"/>
      <c r="BX119" s="1438"/>
      <c r="BY119" s="1175"/>
      <c r="BZ119" s="1438"/>
      <c r="CA119" s="1438"/>
      <c r="CB119" s="1438"/>
      <c r="CC119" s="1438"/>
      <c r="CD119" s="1175"/>
      <c r="CE119" s="1438"/>
      <c r="CF119" s="1438"/>
      <c r="CG119" s="1438"/>
      <c r="CH119" s="1438"/>
      <c r="CI119" s="1175"/>
      <c r="CJ119" s="1438"/>
      <c r="CK119" s="1438"/>
      <c r="CL119" s="1438"/>
      <c r="CM119" s="1438"/>
      <c r="CN119" s="1175"/>
      <c r="CO119" s="1438"/>
      <c r="CP119" s="1438"/>
      <c r="CQ119" s="1438"/>
      <c r="CR119" s="1438"/>
      <c r="CS119" s="1175"/>
      <c r="CT119" s="1438"/>
      <c r="CU119" s="1438"/>
      <c r="CV119" s="1438"/>
      <c r="CW119" s="1438"/>
      <c r="CX119" s="1175"/>
      <c r="CY119" s="1438"/>
      <c r="CZ119" s="1438"/>
      <c r="DA119" s="1438"/>
      <c r="DB119" s="1438"/>
      <c r="DC119" s="1175"/>
      <c r="DD119" s="1438">
        <f>DD114-DB114</f>
      </c>
      <c r="DE119" s="1438">
        <f>DE114-DD114</f>
      </c>
      <c r="DF119" s="1438">
        <f>DF114-DE114</f>
      </c>
      <c r="DG119" s="1438">
        <f>DG114-DF114</f>
      </c>
      <c r="DH119" s="1175"/>
      <c r="DI119" s="1438">
        <f>DI114-DG114</f>
      </c>
      <c r="DJ119" s="1438">
        <f>DJ114-DI114</f>
      </c>
      <c r="DK119" s="1438">
        <f>DK114-DJ114</f>
      </c>
      <c r="DL119" s="1438">
        <f>DL114-DK114</f>
      </c>
      <c r="DM119" s="1175"/>
      <c r="DN119" s="1438">
        <f>DN114-DL114</f>
      </c>
      <c r="DO119" s="1438">
        <f>DO114-DN114</f>
      </c>
      <c r="DP119" s="1438">
        <f>DP114-DO114</f>
      </c>
      <c r="DQ119" s="1438">
        <f>DQ114-DP114</f>
      </c>
      <c r="DR119" s="1175"/>
      <c r="DS119" s="1438">
        <f>DS114-DQ114</f>
      </c>
      <c r="DT119" s="1438">
        <f>DT114-DS114</f>
      </c>
      <c r="DU119" s="1438">
        <f>DU114-DT114</f>
      </c>
      <c r="DV119" s="1438">
        <f>DV114-DU114</f>
      </c>
      <c r="DW119" s="1175"/>
      <c r="DX119" s="1438">
        <f>DX114-DV114</f>
      </c>
      <c r="DY119" s="1438">
        <f>DY114-DX114</f>
      </c>
      <c r="DZ119" s="1438">
        <f>DZ114-DY114</f>
      </c>
      <c r="EA119" s="1438">
        <f>EA114-DZ114</f>
      </c>
      <c r="EB119" s="1175"/>
      <c r="EC119" s="1438">
        <f>EC114-EA114</f>
      </c>
      <c r="ED119" s="1438">
        <f>ED114-EC114</f>
      </c>
      <c r="EE119" s="1438">
        <f>EE114-ED114</f>
      </c>
      <c r="EF119" s="1438">
        <f>EF114-EE114</f>
      </c>
      <c r="EG119" s="1175"/>
      <c r="EH119" s="1438">
        <f>EH114-EF114</f>
      </c>
      <c r="EI119" s="1438">
        <f>EI114-EH114</f>
      </c>
      <c r="EJ119" s="1438">
        <f>EJ114-EI114</f>
      </c>
      <c r="EK119" s="1438">
        <f>EK114-EJ114</f>
      </c>
      <c r="EL119" s="1175"/>
      <c r="EM119" s="1438">
        <f>EM114-EK114</f>
      </c>
      <c r="EN119" s="1438">
        <f>EN114-EM114</f>
      </c>
      <c r="EO119" s="1438">
        <f>EO114-EN114</f>
      </c>
      <c r="EP119" s="1438">
        <f>EP114-EO114</f>
      </c>
      <c r="EQ119" s="1175"/>
      <c r="ER119" s="1438">
        <f>ER114-EP114</f>
      </c>
      <c r="ES119" s="1438">
        <f>ES114-ER114</f>
      </c>
      <c r="ET119" s="1438">
        <f>ET114-ES114</f>
      </c>
      <c r="EU119" s="1438">
        <f>EU114-ET114</f>
      </c>
      <c r="EV119" s="1175"/>
      <c r="EW119" s="1438">
        <f>EW114-EU114</f>
      </c>
      <c r="EX119" s="1438">
        <f>EX114-EW114</f>
      </c>
      <c r="EY119" s="1438">
        <f>EY114-EX114</f>
      </c>
      <c r="EZ119" s="1438">
        <f>EZ114-EY114</f>
      </c>
      <c r="FA119" s="1175"/>
      <c r="FB119" s="1438">
        <f>FB114-EZ114</f>
      </c>
      <c r="FC119" s="1438">
        <f>FC114-FB114</f>
      </c>
      <c r="FD119" s="1438">
        <f>FD114-FC114</f>
      </c>
      <c r="FE119" s="1438">
        <f>FE114-FD114</f>
      </c>
      <c r="FF119" s="1175"/>
      <c r="FG119" s="1438">
        <f>FG114-FE114</f>
      </c>
      <c r="FH119" s="1438">
        <f>FH114-FG114</f>
      </c>
      <c r="FI119" s="1438">
        <f>FI114-FH114</f>
      </c>
      <c r="FJ119" s="1438">
        <f>FJ114-FI114</f>
      </c>
      <c r="FK119" s="1175"/>
      <c r="FL119" s="1438">
        <f>FL114-FJ114</f>
      </c>
      <c r="FM119" s="1438">
        <f>FM114-FL114</f>
      </c>
      <c r="FN119" s="1438">
        <f>FN114-FM114</f>
      </c>
      <c r="FO119" s="1438">
        <f>FO114-FN114</f>
      </c>
      <c r="FP119" s="1175"/>
      <c r="FQ119" s="1438">
        <f>FQ114-FO114</f>
      </c>
      <c r="FR119" s="1438">
        <f>FR114-FQ114</f>
      </c>
      <c r="FS119" s="1438">
        <f>FS114-FR114</f>
      </c>
      <c r="FT119" s="1438">
        <f>FT114-FS114</f>
      </c>
      <c r="FU119" s="1175"/>
      <c r="FV119" s="1438">
        <f>FV114-FT114</f>
      </c>
      <c r="FW119" s="1438">
        <f>FW114-FV114</f>
      </c>
      <c r="FX119" s="1438">
        <f>FX114-FW114</f>
      </c>
      <c r="FY119" s="1438">
        <f>FY114-FX114</f>
      </c>
      <c r="FZ119" s="1175"/>
      <c r="GA119" s="1438">
        <f>GA114-FY114</f>
      </c>
      <c r="GB119" s="1438">
        <f>GB114-GA114</f>
      </c>
      <c r="GC119" s="1438">
        <f>GC114-GB114</f>
      </c>
      <c r="GD119" s="1438">
        <f>GD114-GC114</f>
      </c>
      <c r="GE119" s="1175"/>
      <c r="GF119" s="1438">
        <f>GF114-GD114</f>
      </c>
      <c r="GG119" s="1438">
        <f>GG114-GF114</f>
      </c>
      <c r="GH119" s="1438">
        <f>GH114-GG114</f>
      </c>
      <c r="GI119" s="1438">
        <f>GI114-GH114</f>
      </c>
      <c r="GJ119" s="1175"/>
    </row>
    <row r="120" spans="1:192" s="1031" customFormat="1" ht="12.75" customHeight="1">
      <c r="A120" s="1027"/>
      <c r="B120" s="727" t="s">
        <v>1917</v>
      </c>
      <c r="C120" s="1462"/>
      <c r="D120" s="1462"/>
      <c r="E120" s="1462"/>
      <c r="F120" s="1462"/>
      <c r="G120" s="1461"/>
      <c r="H120" s="1462"/>
      <c r="I120" s="1462"/>
      <c r="J120" s="1462"/>
      <c r="K120" s="1462"/>
      <c r="L120" s="1461"/>
      <c r="M120" s="1462"/>
      <c r="N120" s="1462"/>
      <c r="O120" s="1462"/>
      <c r="P120" s="1462"/>
      <c r="Q120" s="1461"/>
      <c r="R120" s="1489"/>
      <c r="S120" s="1489"/>
      <c r="T120" s="1489"/>
      <c r="U120" s="1489"/>
      <c r="V120" s="1461"/>
      <c r="W120" s="1489"/>
      <c r="X120" s="1489"/>
      <c r="Y120" s="1489"/>
      <c r="Z120" s="1489"/>
      <c r="AA120" s="1461"/>
      <c r="AB120" s="1489"/>
      <c r="AC120" s="1489"/>
      <c r="AD120" s="1489"/>
      <c r="AE120" s="1489"/>
      <c r="AF120" s="1461"/>
      <c r="AG120" s="1489"/>
      <c r="AH120" s="1489"/>
      <c r="AI120" s="1489"/>
      <c r="AJ120" s="1489"/>
      <c r="AK120" s="1461"/>
      <c r="AL120" s="1462"/>
      <c r="AM120" s="1462"/>
      <c r="AN120" s="1462"/>
      <c r="AO120" s="1462"/>
      <c r="AP120" s="1461"/>
      <c r="AQ120" s="1462"/>
      <c r="AR120" s="1462"/>
      <c r="AS120" s="1462"/>
      <c r="AT120" s="1462"/>
      <c r="AU120" s="1461"/>
      <c r="AV120" s="1462"/>
      <c r="AW120" s="1462"/>
      <c r="AX120" s="1462"/>
      <c r="AY120" s="1462"/>
      <c r="AZ120" s="1461"/>
      <c r="BA120" s="1462"/>
      <c r="BB120" s="1462"/>
      <c r="BC120" s="1462"/>
      <c r="BD120" s="1462"/>
      <c r="BE120" s="1461"/>
      <c r="BF120" s="1462"/>
      <c r="BG120" s="1462"/>
      <c r="BH120" s="1462"/>
      <c r="BI120" s="1462"/>
      <c r="BJ120" s="1461"/>
      <c r="BK120" s="1462"/>
      <c r="BL120" s="1462"/>
      <c r="BM120" s="1462"/>
      <c r="BN120" s="1462"/>
      <c r="BO120" s="1461"/>
      <c r="BP120" s="1462"/>
      <c r="BQ120" s="1462"/>
      <c r="BR120" s="1462"/>
      <c r="BS120" s="1462"/>
      <c r="BT120" s="1461"/>
      <c r="BU120" s="1438"/>
      <c r="BV120" s="1438"/>
      <c r="BW120" s="1438"/>
      <c r="BX120" s="1438"/>
      <c r="BY120" s="1175"/>
      <c r="BZ120" s="1438"/>
      <c r="CA120" s="1438"/>
      <c r="CB120" s="1438"/>
      <c r="CC120" s="1438"/>
      <c r="CD120" s="1175"/>
      <c r="CE120" s="1438"/>
      <c r="CF120" s="1438"/>
      <c r="CG120" s="1438"/>
      <c r="CH120" s="1438"/>
      <c r="CI120" s="1175"/>
      <c r="CJ120" s="1438"/>
      <c r="CK120" s="1438"/>
      <c r="CL120" s="1438"/>
      <c r="CM120" s="1438"/>
      <c r="CN120" s="1175"/>
      <c r="CO120" s="1438"/>
      <c r="CP120" s="1438"/>
      <c r="CQ120" s="1438"/>
      <c r="CR120" s="1438"/>
      <c r="CS120" s="1175"/>
      <c r="CT120" s="1438"/>
      <c r="CU120" s="1438"/>
      <c r="CV120" s="1438"/>
      <c r="CW120" s="1438"/>
      <c r="CX120" s="1175"/>
      <c r="CY120" s="1438"/>
      <c r="CZ120" s="1438"/>
      <c r="DA120" s="1438"/>
      <c r="DB120" s="1438"/>
      <c r="DC120" s="1175"/>
      <c r="DD120" s="295">
        <f t="shared" ref="DD120:EI120" si="1062">DD114/DD122</f>
      </c>
      <c r="DE120" s="295">
        <f t="shared" si="1062"/>
      </c>
      <c r="DF120" s="295">
        <f t="shared" si="1062"/>
      </c>
      <c r="DG120" s="295">
        <f t="shared" si="1062"/>
      </c>
      <c r="DH120" s="297">
        <f t="shared" si="1062"/>
      </c>
      <c r="DI120" s="1462">
        <f t="shared" si="1062"/>
      </c>
      <c r="DJ120" s="295">
        <f t="shared" si="1062"/>
      </c>
      <c r="DK120" s="295">
        <f t="shared" si="1062"/>
      </c>
      <c r="DL120" s="295">
        <f t="shared" si="1062"/>
      </c>
      <c r="DM120" s="297">
        <f t="shared" si="1062"/>
      </c>
      <c r="DN120" s="295">
        <f t="shared" si="1062"/>
      </c>
      <c r="DO120" s="295">
        <f t="shared" si="1062"/>
      </c>
      <c r="DP120" s="295">
        <f t="shared" si="1062"/>
      </c>
      <c r="DQ120" s="295">
        <f t="shared" si="1062"/>
      </c>
      <c r="DR120" s="297">
        <f t="shared" si="1062"/>
      </c>
      <c r="DS120" s="295">
        <f t="shared" si="1062"/>
      </c>
      <c r="DT120" s="295">
        <f t="shared" si="1062"/>
      </c>
      <c r="DU120" s="295">
        <f t="shared" si="1062"/>
      </c>
      <c r="DV120" s="295">
        <f t="shared" si="1062"/>
      </c>
      <c r="DW120" s="297">
        <f t="shared" si="1062"/>
      </c>
      <c r="DX120" s="295">
        <f t="shared" si="1062"/>
      </c>
      <c r="DY120" s="295">
        <f t="shared" si="1062"/>
      </c>
      <c r="DZ120" s="295">
        <f t="shared" si="1062"/>
      </c>
      <c r="EA120" s="295">
        <f t="shared" si="1062"/>
      </c>
      <c r="EB120" s="297">
        <f t="shared" si="1062"/>
      </c>
      <c r="EC120" s="295">
        <f t="shared" si="1062"/>
      </c>
      <c r="ED120" s="295">
        <f t="shared" si="1062"/>
      </c>
      <c r="EE120" s="295">
        <f t="shared" si="1062"/>
      </c>
      <c r="EF120" s="295">
        <f t="shared" si="1062"/>
      </c>
      <c r="EG120" s="297">
        <f t="shared" si="1062"/>
      </c>
      <c r="EH120" s="295">
        <f t="shared" si="1062"/>
      </c>
      <c r="EI120" s="295">
        <f t="shared" si="1062"/>
      </c>
      <c r="EJ120" s="295">
        <f t="shared" ref="EJ120:FO120" si="1063">EJ114/EJ122</f>
      </c>
      <c r="EK120" s="295">
        <f t="shared" si="1063"/>
      </c>
      <c r="EL120" s="297">
        <f t="shared" si="1063"/>
      </c>
      <c r="EM120" s="295">
        <f t="shared" si="1063"/>
      </c>
      <c r="EN120" s="295">
        <f t="shared" si="1063"/>
      </c>
      <c r="EO120" s="295">
        <f t="shared" si="1063"/>
      </c>
      <c r="EP120" s="295">
        <f t="shared" si="1063"/>
      </c>
      <c r="EQ120" s="297">
        <f t="shared" si="1063"/>
      </c>
      <c r="ER120" s="295">
        <f t="shared" si="1063"/>
      </c>
      <c r="ES120" s="295">
        <f t="shared" si="1063"/>
      </c>
      <c r="ET120" s="295">
        <f t="shared" si="1063"/>
      </c>
      <c r="EU120" s="295">
        <f t="shared" si="1063"/>
      </c>
      <c r="EV120" s="297">
        <f t="shared" si="1063"/>
      </c>
      <c r="EW120" s="295">
        <f t="shared" si="1063"/>
      </c>
      <c r="EX120" s="295">
        <f t="shared" si="1063"/>
      </c>
      <c r="EY120" s="295">
        <f t="shared" si="1063"/>
      </c>
      <c r="EZ120" s="295">
        <f t="shared" si="1063"/>
      </c>
      <c r="FA120" s="297">
        <f t="shared" si="1063"/>
      </c>
      <c r="FB120" s="295">
        <f t="shared" si="1063"/>
      </c>
      <c r="FC120" s="295">
        <f t="shared" si="1063"/>
      </c>
      <c r="FD120" s="295">
        <f t="shared" si="1063"/>
      </c>
      <c r="FE120" s="295">
        <f t="shared" si="1063"/>
      </c>
      <c r="FF120" s="297">
        <f t="shared" si="1063"/>
      </c>
      <c r="FG120" s="295">
        <f t="shared" si="1063"/>
      </c>
      <c r="FH120" s="295">
        <f t="shared" si="1063"/>
      </c>
      <c r="FI120" s="295">
        <f t="shared" si="1063"/>
      </c>
      <c r="FJ120" s="295">
        <f t="shared" si="1063"/>
      </c>
      <c r="FK120" s="297">
        <f t="shared" si="1063"/>
      </c>
      <c r="FL120" s="295">
        <f t="shared" si="1063"/>
      </c>
      <c r="FM120" s="295">
        <f t="shared" si="1063"/>
      </c>
      <c r="FN120" s="295">
        <f t="shared" si="1063"/>
      </c>
      <c r="FO120" s="295">
        <f t="shared" si="1063"/>
      </c>
      <c r="FP120" s="297">
        <f t="shared" ref="FP120:GJ120" si="1064">FP114/FP122</f>
      </c>
      <c r="FQ120" s="295">
        <f t="shared" si="1064"/>
      </c>
      <c r="FR120" s="295">
        <f t="shared" si="1064"/>
      </c>
      <c r="FS120" s="295">
        <f t="shared" si="1064"/>
      </c>
      <c r="FT120" s="295">
        <f t="shared" si="1064"/>
      </c>
      <c r="FU120" s="297">
        <f t="shared" si="1064"/>
      </c>
      <c r="FV120" s="295">
        <f t="shared" si="1064"/>
      </c>
      <c r="FW120" s="295">
        <f t="shared" si="1064"/>
      </c>
      <c r="FX120" s="295">
        <f t="shared" si="1064"/>
      </c>
      <c r="FY120" s="295">
        <f t="shared" si="1064"/>
      </c>
      <c r="FZ120" s="297">
        <f t="shared" si="1064"/>
      </c>
      <c r="GA120" s="295">
        <f t="shared" si="1064"/>
      </c>
      <c r="GB120" s="295">
        <f t="shared" si="1064"/>
      </c>
      <c r="GC120" s="295">
        <f t="shared" si="1064"/>
      </c>
      <c r="GD120" s="295">
        <f t="shared" si="1064"/>
      </c>
      <c r="GE120" s="297">
        <f t="shared" si="1064"/>
      </c>
      <c r="GF120" s="295">
        <f t="shared" si="1064"/>
      </c>
      <c r="GG120" s="295">
        <f t="shared" si="1064"/>
      </c>
      <c r="GH120" s="295">
        <f t="shared" si="1064"/>
      </c>
      <c r="GI120" s="295">
        <f t="shared" si="1064"/>
      </c>
      <c r="GJ120" s="297">
        <f t="shared" si="1064"/>
      </c>
    </row>
    <row r="121" spans="1:192" s="1031" customFormat="1" ht="12.75" customHeight="1">
      <c r="A121" s="1027"/>
      <c r="B121" s="727"/>
      <c r="C121" s="1028"/>
      <c r="D121" s="1028"/>
      <c r="E121" s="1028"/>
      <c r="F121" s="1028"/>
      <c r="G121" s="1029"/>
      <c r="H121" s="1028"/>
      <c r="I121" s="1028"/>
      <c r="J121" s="1028"/>
      <c r="K121" s="1028"/>
      <c r="L121" s="1029"/>
      <c r="M121" s="1028"/>
      <c r="N121" s="1028"/>
      <c r="O121" s="1028"/>
      <c r="P121" s="1028"/>
      <c r="Q121" s="1029"/>
      <c r="R121" s="1030"/>
      <c r="S121" s="1030"/>
      <c r="T121" s="1030"/>
      <c r="U121" s="1030"/>
      <c r="V121" s="1029"/>
      <c r="W121" s="1030"/>
      <c r="X121" s="1030"/>
      <c r="Y121" s="1030"/>
      <c r="Z121" s="1030"/>
      <c r="AA121" s="1029"/>
      <c r="AB121" s="1030"/>
      <c r="AC121" s="1030"/>
      <c r="AD121" s="1030"/>
      <c r="AE121" s="1030"/>
      <c r="AF121" s="1029"/>
      <c r="AG121" s="1030"/>
      <c r="AH121" s="1030"/>
      <c r="AI121" s="1030"/>
      <c r="AJ121" s="1030"/>
      <c r="AK121" s="1029"/>
      <c r="AL121" s="1028"/>
      <c r="AM121" s="1028"/>
      <c r="AN121" s="1028"/>
      <c r="AO121" s="1028"/>
      <c r="AP121" s="1029"/>
      <c r="AQ121" s="1028"/>
      <c r="AR121" s="1028"/>
      <c r="AS121" s="1028"/>
      <c r="AT121" s="1028"/>
      <c r="AU121" s="1029"/>
      <c r="AV121" s="1028"/>
      <c r="AW121" s="1028"/>
      <c r="AX121" s="1028"/>
      <c r="AY121" s="1028"/>
      <c r="AZ121" s="1029"/>
      <c r="BA121" s="1028"/>
      <c r="BB121" s="1028"/>
      <c r="BC121" s="1028"/>
      <c r="BD121" s="1028"/>
      <c r="BE121" s="1029"/>
      <c r="BF121" s="1028"/>
      <c r="BG121" s="1028"/>
      <c r="BH121" s="1028"/>
      <c r="BI121" s="1028"/>
      <c r="BJ121" s="1029"/>
      <c r="BK121" s="1028"/>
      <c r="BL121" s="1028"/>
      <c r="BM121" s="1028"/>
      <c r="BN121" s="1028"/>
      <c r="BO121" s="1029"/>
      <c r="BP121" s="1028"/>
      <c r="BQ121" s="1028"/>
      <c r="BR121" s="1028"/>
      <c r="BS121" s="1028"/>
      <c r="BT121" s="1029"/>
      <c r="BU121" s="1039"/>
      <c r="BV121" s="1039"/>
      <c r="BW121" s="1039"/>
      <c r="BX121" s="1039"/>
      <c r="BY121" s="1040"/>
      <c r="BZ121" s="1039"/>
      <c r="CA121" s="1039"/>
      <c r="CB121" s="1039"/>
      <c r="CC121" s="1039"/>
      <c r="CD121" s="1040"/>
      <c r="CE121" s="1039"/>
      <c r="CF121" s="1039"/>
      <c r="CG121" s="1039"/>
      <c r="CH121" s="1039"/>
      <c r="CI121" s="1040"/>
      <c r="CJ121" s="1039"/>
      <c r="CK121" s="1039"/>
      <c r="CL121" s="1039"/>
      <c r="CM121" s="1039"/>
      <c r="CN121" s="1040"/>
      <c r="CO121" s="1039"/>
      <c r="CP121" s="1039"/>
      <c r="CQ121" s="1039"/>
      <c r="CR121" s="1039"/>
      <c r="CS121" s="1040"/>
      <c r="CT121" s="1039"/>
      <c r="CU121" s="1039"/>
      <c r="CV121" s="1039"/>
      <c r="CW121" s="1039"/>
      <c r="CX121" s="1040"/>
      <c r="CY121" s="1039"/>
      <c r="CZ121" s="1039"/>
      <c r="DA121" s="1039"/>
      <c r="DB121" s="1039"/>
      <c r="DC121" s="1040"/>
      <c r="DD121" s="1039"/>
      <c r="DE121" s="1267"/>
      <c r="DF121" s="1267"/>
      <c r="DG121" s="1267"/>
      <c r="DH121" s="1268"/>
      <c r="DI121" s="1039"/>
      <c r="DJ121" s="1267"/>
      <c r="DK121" s="1267"/>
      <c r="DL121" s="1267"/>
      <c r="DM121" s="1268"/>
      <c r="DN121" s="1267"/>
      <c r="DO121" s="1267"/>
      <c r="DP121" s="1267"/>
      <c r="DQ121" s="1267"/>
      <c r="DR121" s="1268"/>
      <c r="DS121" s="1267"/>
      <c r="DT121" s="1267"/>
      <c r="DU121" s="1267"/>
      <c r="DV121" s="1267"/>
      <c r="DW121" s="1268"/>
      <c r="DX121" s="1267"/>
      <c r="DY121" s="1267"/>
      <c r="DZ121" s="1267"/>
      <c r="EA121" s="1267"/>
      <c r="EB121" s="1268"/>
      <c r="EC121" s="1267"/>
      <c r="ED121" s="1267"/>
      <c r="EE121" s="1267"/>
      <c r="EF121" s="1267"/>
      <c r="EG121" s="1268"/>
      <c r="EH121" s="1267"/>
      <c r="EI121" s="1267"/>
      <c r="EJ121" s="1267"/>
      <c r="EK121" s="1267"/>
      <c r="EL121" s="1268"/>
      <c r="EM121" s="1267"/>
      <c r="EN121" s="1267"/>
      <c r="EO121" s="1267"/>
      <c r="EP121" s="1267"/>
      <c r="EQ121" s="1268"/>
      <c r="ER121" s="1267"/>
      <c r="ES121" s="1267"/>
      <c r="ET121" s="1267"/>
      <c r="EU121" s="1267"/>
      <c r="EV121" s="1268"/>
      <c r="EW121" s="1267"/>
      <c r="EX121" s="1039"/>
      <c r="EY121" s="1039"/>
      <c r="EZ121" s="1267"/>
      <c r="FA121" s="1268"/>
      <c r="FB121" s="1267"/>
      <c r="FC121" s="1267"/>
      <c r="FD121" s="1267"/>
      <c r="FE121" s="1267"/>
      <c r="FF121" s="1268"/>
      <c r="FG121" s="1267"/>
      <c r="FH121" s="1267"/>
      <c r="FI121" s="1267"/>
      <c r="FJ121" s="1267"/>
      <c r="FK121" s="1268"/>
      <c r="FL121" s="1267"/>
      <c r="FM121" s="1267"/>
      <c r="FN121" s="1267"/>
      <c r="FO121" s="1267"/>
      <c r="FP121" s="1268"/>
      <c r="FQ121" s="1267"/>
      <c r="FR121" s="1267"/>
      <c r="FS121" s="1267"/>
      <c r="FT121" s="1267"/>
      <c r="FU121" s="1268"/>
      <c r="FV121" s="1267"/>
      <c r="FW121" s="1267"/>
      <c r="FX121" s="1267"/>
      <c r="FY121" s="1267"/>
      <c r="FZ121" s="1268"/>
      <c r="GA121" s="1267"/>
      <c r="GB121" s="1267"/>
      <c r="GC121" s="1267"/>
      <c r="GD121" s="1267"/>
      <c r="GE121" s="1268"/>
      <c r="GF121" s="1267"/>
      <c r="GG121" s="1267"/>
      <c r="GH121" s="1267"/>
      <c r="GI121" s="1267"/>
      <c r="GJ121" s="1268"/>
    </row>
    <row r="122" spans="1:192" s="341" customFormat="1" ht="12.75" customHeight="1">
      <c r="A122" s="1667"/>
      <c r="B122" s="1668" t="s">
        <v>2047</v>
      </c>
      <c r="C122" s="312"/>
      <c r="D122" s="1669"/>
      <c r="E122" s="1669"/>
      <c r="F122" s="1669"/>
      <c r="G122" s="320"/>
      <c r="H122" s="312"/>
      <c r="I122" s="1669"/>
      <c r="J122" s="1669"/>
      <c r="K122" s="1669"/>
      <c r="L122" s="320"/>
      <c r="M122" s="312"/>
      <c r="N122" s="1669"/>
      <c r="O122" s="1669"/>
      <c r="P122" s="1669"/>
      <c r="Q122" s="320"/>
      <c r="R122" s="312"/>
      <c r="S122" s="1669"/>
      <c r="T122" s="1669"/>
      <c r="U122" s="1669"/>
      <c r="V122" s="320"/>
      <c r="W122" s="312"/>
      <c r="X122" s="1669"/>
      <c r="Y122" s="1669"/>
      <c r="Z122" s="1669"/>
      <c r="AA122" s="320"/>
      <c r="AB122" s="312"/>
      <c r="AC122" s="1669"/>
      <c r="AD122" s="1669"/>
      <c r="AE122" s="1669"/>
      <c r="AF122" s="320"/>
      <c r="AG122" s="312"/>
      <c r="AH122" s="1669"/>
      <c r="AI122" s="1669"/>
      <c r="AJ122" s="1669"/>
      <c r="AK122" s="320"/>
      <c r="AL122" s="312"/>
      <c r="AM122" s="1669"/>
      <c r="AN122" s="1669"/>
      <c r="AO122" s="1669"/>
      <c r="AP122" s="320"/>
      <c r="AQ122" s="312"/>
      <c r="AR122" s="1669"/>
      <c r="AS122" s="1669"/>
      <c r="AT122" s="1669"/>
      <c r="AU122" s="320"/>
      <c r="AV122" s="312"/>
      <c r="AW122" s="1669"/>
      <c r="AX122" s="1669"/>
      <c r="AY122" s="1669"/>
      <c r="AZ122" s="320"/>
      <c r="BA122" s="312"/>
      <c r="BB122" s="1669"/>
      <c r="BC122" s="1669"/>
      <c r="BD122" s="1669"/>
      <c r="BE122" s="320"/>
      <c r="BF122" s="312"/>
      <c r="BG122" s="1669"/>
      <c r="BH122" s="1669"/>
      <c r="BI122" s="1669"/>
      <c r="BJ122" s="320"/>
      <c r="BK122" s="312"/>
      <c r="BL122" s="1669"/>
      <c r="BM122" s="1669"/>
      <c r="BN122" s="1669"/>
      <c r="BO122" s="320"/>
      <c r="BP122" s="312"/>
      <c r="BQ122" s="1669"/>
      <c r="BR122" s="1669"/>
      <c r="BS122" s="1669"/>
      <c r="BT122" s="320"/>
      <c r="BU122" s="312"/>
      <c r="BV122" s="1669"/>
      <c r="BW122" s="1669"/>
      <c r="BX122" s="1669"/>
      <c r="BY122" s="320"/>
      <c r="BZ122" s="312"/>
      <c r="CA122" s="1669"/>
      <c r="CB122" s="1669"/>
      <c r="CC122" s="1669"/>
      <c r="CD122" s="320"/>
      <c r="CE122" s="312"/>
      <c r="CF122" s="1669"/>
      <c r="CG122" s="1669"/>
      <c r="CH122" s="1669"/>
      <c r="CI122" s="320"/>
      <c r="CJ122" s="312"/>
      <c r="CK122" s="1669"/>
      <c r="CL122" s="1669"/>
      <c r="CM122" s="1669"/>
      <c r="CN122" s="320"/>
      <c r="CO122" s="312"/>
      <c r="CP122" s="1669"/>
      <c r="CQ122" s="1669"/>
      <c r="CR122" s="1669"/>
      <c r="CS122" s="320"/>
      <c r="CT122" s="312"/>
      <c r="CU122" s="1669"/>
      <c r="CV122" s="1669"/>
      <c r="CW122" s="1669"/>
      <c r="CX122" s="320"/>
      <c r="CY122" s="312"/>
      <c r="CZ122" s="1669"/>
      <c r="DA122" s="1669"/>
      <c r="DB122" s="1669"/>
      <c r="DC122" s="320"/>
      <c r="DD122" s="312">
        <f t="shared" ref="DD122:EV122" si="1065">DD108+DD114</f>
      </c>
      <c r="DE122" s="1669">
        <f t="shared" si="1065"/>
      </c>
      <c r="DF122" s="1669">
        <f t="shared" si="1065"/>
      </c>
      <c r="DG122" s="1669">
        <f t="shared" si="1065"/>
      </c>
      <c r="DH122" s="320">
        <f t="shared" si="1065"/>
      </c>
      <c r="DI122" s="312">
        <f t="shared" si="1065"/>
      </c>
      <c r="DJ122" s="1669">
        <f t="shared" si="1065"/>
      </c>
      <c r="DK122" s="1669">
        <f t="shared" si="1065"/>
      </c>
      <c r="DL122" s="1669">
        <f t="shared" si="1065"/>
      </c>
      <c r="DM122" s="320">
        <f t="shared" si="1065"/>
      </c>
      <c r="DN122" s="312">
        <f t="shared" si="1065"/>
      </c>
      <c r="DO122" s="1669">
        <f t="shared" si="1065"/>
      </c>
      <c r="DP122" s="1669">
        <f t="shared" si="1065"/>
      </c>
      <c r="DQ122" s="1669">
        <f t="shared" si="1065"/>
      </c>
      <c r="DR122" s="320">
        <f t="shared" si="1065"/>
      </c>
      <c r="DS122" s="312">
        <f t="shared" si="1065"/>
      </c>
      <c r="DT122" s="1669">
        <f t="shared" si="1065"/>
      </c>
      <c r="DU122" s="1669">
        <f t="shared" si="1065"/>
      </c>
      <c r="DV122" s="1669">
        <f t="shared" si="1065"/>
      </c>
      <c r="DW122" s="320">
        <f t="shared" si="1065"/>
      </c>
      <c r="DX122" s="312">
        <f t="shared" si="1065"/>
      </c>
      <c r="DY122" s="1669">
        <f t="shared" si="1065"/>
      </c>
      <c r="DZ122" s="1669">
        <f t="shared" si="1065"/>
      </c>
      <c r="EA122" s="1669">
        <f t="shared" si="1065"/>
      </c>
      <c r="EB122" s="320">
        <f t="shared" si="1065"/>
      </c>
      <c r="EC122" s="312">
        <f t="shared" si="1065"/>
      </c>
      <c r="ED122" s="1669">
        <f t="shared" si="1065"/>
      </c>
      <c r="EE122" s="1669">
        <f t="shared" si="1065"/>
      </c>
      <c r="EF122" s="1669">
        <f t="shared" si="1065"/>
      </c>
      <c r="EG122" s="320">
        <f t="shared" si="1065"/>
      </c>
      <c r="EH122" s="312">
        <f t="shared" si="1065"/>
      </c>
      <c r="EI122" s="1669">
        <f t="shared" si="1065"/>
      </c>
      <c r="EJ122" s="1669">
        <f t="shared" si="1065"/>
      </c>
      <c r="EK122" s="1669">
        <f t="shared" si="1065"/>
      </c>
      <c r="EL122" s="320">
        <f t="shared" si="1065"/>
      </c>
      <c r="EM122" s="312">
        <f t="shared" si="1065"/>
      </c>
      <c r="EN122" s="1669">
        <f t="shared" si="1065"/>
      </c>
      <c r="EO122" s="1669">
        <f t="shared" si="1065"/>
      </c>
      <c r="EP122" s="1669">
        <f t="shared" si="1065"/>
      </c>
      <c r="EQ122" s="320">
        <f t="shared" si="1065"/>
      </c>
      <c r="ER122" s="312">
        <f t="shared" si="1065"/>
      </c>
      <c r="ES122" s="1669">
        <f t="shared" si="1065"/>
      </c>
      <c r="ET122" s="1669">
        <f t="shared" si="1065"/>
      </c>
      <c r="EU122" s="1669">
        <f t="shared" si="1065"/>
      </c>
      <c r="EV122" s="320">
        <f t="shared" si="1065"/>
      </c>
      <c r="EW122" s="312">
        <f t="shared" ref="EW122:GE122" si="1066">EW108+EW114</f>
      </c>
      <c r="EX122" s="1669">
        <f t="shared" si="1066"/>
      </c>
      <c r="EY122" s="1669">
        <f t="shared" si="1066"/>
      </c>
      <c r="EZ122" s="1669">
        <f t="shared" si="1066"/>
      </c>
      <c r="FA122" s="320">
        <f t="shared" si="1066"/>
      </c>
      <c r="FB122" s="1669">
        <f t="shared" si="1066"/>
      </c>
      <c r="FC122" s="1669">
        <f t="shared" si="1066"/>
      </c>
      <c r="FD122" s="1669">
        <f t="shared" si="1066"/>
      </c>
      <c r="FE122" s="1669">
        <f t="shared" si="1066"/>
      </c>
      <c r="FF122" s="320">
        <f t="shared" si="1066"/>
      </c>
      <c r="FG122" s="1669">
        <f t="shared" si="1066"/>
      </c>
      <c r="FH122" s="1669">
        <f t="shared" si="1066"/>
      </c>
      <c r="FI122" s="1669">
        <f t="shared" si="1066"/>
      </c>
      <c r="FJ122" s="1669">
        <f t="shared" si="1066"/>
      </c>
      <c r="FK122" s="320">
        <f t="shared" si="1066"/>
      </c>
      <c r="FL122" s="1669">
        <f t="shared" si="1066"/>
      </c>
      <c r="FM122" s="1669">
        <f t="shared" si="1066"/>
      </c>
      <c r="FN122" s="1669">
        <f t="shared" si="1066"/>
      </c>
      <c r="FO122" s="1669">
        <f t="shared" si="1066"/>
      </c>
      <c r="FP122" s="320">
        <f t="shared" si="1066"/>
      </c>
      <c r="FQ122" s="1669">
        <f t="shared" si="1066"/>
      </c>
      <c r="FR122" s="1669">
        <f t="shared" si="1066"/>
      </c>
      <c r="FS122" s="1669">
        <f t="shared" si="1066"/>
      </c>
      <c r="FT122" s="1669">
        <f t="shared" si="1066"/>
      </c>
      <c r="FU122" s="320">
        <f t="shared" si="1066"/>
      </c>
      <c r="FV122" s="1669">
        <f t="shared" si="1066"/>
      </c>
      <c r="FW122" s="1669">
        <f t="shared" si="1066"/>
      </c>
      <c r="FX122" s="1669">
        <f t="shared" si="1066"/>
      </c>
      <c r="FY122" s="1669">
        <f t="shared" si="1066"/>
      </c>
      <c r="FZ122" s="320">
        <f t="shared" si="1066"/>
      </c>
      <c r="GA122" s="1669">
        <f t="shared" si="1066"/>
      </c>
      <c r="GB122" s="1669">
        <f t="shared" si="1066"/>
      </c>
      <c r="GC122" s="1669">
        <f t="shared" si="1066"/>
      </c>
      <c r="GD122" s="1669">
        <f t="shared" si="1066"/>
      </c>
      <c r="GE122" s="320">
        <f t="shared" si="1066"/>
      </c>
      <c r="GF122" s="1669">
        <f t="shared" ref="GF122:GJ122" si="1067">GF108+GF114</f>
      </c>
      <c r="GG122" s="1669">
        <f t="shared" si="1067"/>
      </c>
      <c r="GH122" s="1669">
        <f t="shared" si="1067"/>
      </c>
      <c r="GI122" s="1669">
        <f t="shared" si="1067"/>
      </c>
      <c r="GJ122" s="320">
        <f t="shared" si="1067"/>
      </c>
    </row>
    <row r="123" spans="1:192" s="1031" customFormat="1" ht="12.75" customHeight="1">
      <c r="A123" s="1027"/>
      <c r="B123" s="727" t="s">
        <v>34</v>
      </c>
      <c r="C123" s="1028"/>
      <c r="D123" s="1028"/>
      <c r="E123" s="1028"/>
      <c r="F123" s="1028"/>
      <c r="G123" s="1029"/>
      <c r="H123" s="1028"/>
      <c r="I123" s="1028"/>
      <c r="J123" s="1028"/>
      <c r="K123" s="1028"/>
      <c r="L123" s="1029"/>
      <c r="M123" s="1028"/>
      <c r="N123" s="1028"/>
      <c r="O123" s="1028"/>
      <c r="P123" s="1028"/>
      <c r="Q123" s="1029"/>
      <c r="R123" s="1030"/>
      <c r="S123" s="1030"/>
      <c r="T123" s="1030"/>
      <c r="U123" s="1030"/>
      <c r="V123" s="1029"/>
      <c r="W123" s="1030"/>
      <c r="X123" s="1030"/>
      <c r="Y123" s="1030"/>
      <c r="Z123" s="1030"/>
      <c r="AA123" s="1029"/>
      <c r="AB123" s="1030"/>
      <c r="AC123" s="1030"/>
      <c r="AD123" s="1030"/>
      <c r="AE123" s="1030"/>
      <c r="AF123" s="1029"/>
      <c r="AG123" s="1030"/>
      <c r="AH123" s="1030"/>
      <c r="AI123" s="1030"/>
      <c r="AJ123" s="1030"/>
      <c r="AK123" s="1029"/>
      <c r="AL123" s="1028"/>
      <c r="AM123" s="1028"/>
      <c r="AN123" s="1028"/>
      <c r="AO123" s="1028"/>
      <c r="AP123" s="1029"/>
      <c r="AQ123" s="1028"/>
      <c r="AR123" s="1028"/>
      <c r="AS123" s="1028"/>
      <c r="AT123" s="1028"/>
      <c r="AU123" s="1029"/>
      <c r="AV123" s="1028"/>
      <c r="AW123" s="1028"/>
      <c r="AX123" s="1028"/>
      <c r="AY123" s="1028"/>
      <c r="AZ123" s="1029"/>
      <c r="BA123" s="1028"/>
      <c r="BB123" s="1028"/>
      <c r="BC123" s="1028"/>
      <c r="BD123" s="1028"/>
      <c r="BE123" s="1029"/>
      <c r="BF123" s="1028"/>
      <c r="BG123" s="1028"/>
      <c r="BH123" s="1028"/>
      <c r="BI123" s="1028"/>
      <c r="BJ123" s="1029"/>
      <c r="BK123" s="1028"/>
      <c r="BL123" s="1028"/>
      <c r="BM123" s="1028"/>
      <c r="BN123" s="1028"/>
      <c r="BO123" s="1029"/>
      <c r="BP123" s="1028"/>
      <c r="BQ123" s="1028"/>
      <c r="BR123" s="1028"/>
      <c r="BS123" s="1028"/>
      <c r="BT123" s="1029"/>
      <c r="BU123" s="1039"/>
      <c r="BV123" s="1039"/>
      <c r="BW123" s="1039"/>
      <c r="BX123" s="1039"/>
      <c r="BY123" s="1040"/>
      <c r="BZ123" s="1039"/>
      <c r="CA123" s="1039"/>
      <c r="CB123" s="1039"/>
      <c r="CC123" s="1039"/>
      <c r="CD123" s="1040"/>
      <c r="CE123" s="1039"/>
      <c r="CF123" s="1039"/>
      <c r="CG123" s="1039"/>
      <c r="CH123" s="1039"/>
      <c r="CI123" s="1040"/>
      <c r="CJ123" s="1039"/>
      <c r="CK123" s="1039"/>
      <c r="CL123" s="1039"/>
      <c r="CM123" s="1039"/>
      <c r="CN123" s="1040"/>
      <c r="CO123" s="1039"/>
      <c r="CP123" s="1039"/>
      <c r="CQ123" s="1039"/>
      <c r="CR123" s="1039"/>
      <c r="CS123" s="1040"/>
      <c r="CT123" s="1039"/>
      <c r="CU123" s="1039"/>
      <c r="CV123" s="1039"/>
      <c r="CW123" s="1039"/>
      <c r="CX123" s="1040"/>
      <c r="CY123" s="1039"/>
      <c r="CZ123" s="1039"/>
      <c r="DA123" s="1039"/>
      <c r="DB123" s="1039"/>
      <c r="DC123" s="1040"/>
      <c r="DD123" s="1039"/>
      <c r="DE123" s="1267"/>
      <c r="DF123" s="1267"/>
      <c r="DG123" s="1267"/>
      <c r="DH123" s="1268"/>
      <c r="DI123" s="1039"/>
      <c r="DJ123" s="1267"/>
      <c r="DK123" s="1267"/>
      <c r="DL123" s="1267"/>
      <c r="DM123" s="1268"/>
      <c r="DN123" s="1267"/>
      <c r="DO123" s="1267"/>
      <c r="DP123" s="1267"/>
      <c r="DQ123" s="1267"/>
      <c r="DR123" s="1268"/>
      <c r="DS123" s="1267"/>
      <c r="DT123" s="1267"/>
      <c r="DU123" s="1267"/>
      <c r="DV123" s="1267"/>
      <c r="DW123" s="1268"/>
      <c r="DX123" s="1267"/>
      <c r="DY123" s="1267"/>
      <c r="DZ123" s="1267"/>
      <c r="EA123" s="1267"/>
      <c r="EB123" s="1268"/>
      <c r="EC123" s="1267"/>
      <c r="ED123" s="1267"/>
      <c r="EE123" s="1267"/>
      <c r="EF123" s="1267"/>
      <c r="EG123" s="1268"/>
      <c r="EH123" s="1267">
        <f t="shared" ref="EH123" si="1068">EH122/EC122-1</f>
      </c>
      <c r="EI123" s="1267">
        <f t="shared" ref="EI123" si="1069">EI122/ED122-1</f>
      </c>
      <c r="EJ123" s="1267">
        <f t="shared" ref="EJ123" si="1070">EJ122/EE122-1</f>
      </c>
      <c r="EK123" s="1267">
        <f t="shared" ref="EK123" si="1071">EK122/EF122-1</f>
      </c>
      <c r="EL123" s="1268">
        <f t="shared" ref="EL123" si="1072">EL122/EG122-1</f>
      </c>
      <c r="EM123" s="1267">
        <f t="shared" ref="EM123" si="1073">EM122/EH122-1</f>
      </c>
      <c r="EN123" s="1267">
        <f t="shared" ref="EN123" si="1074">EN122/EI122-1</f>
      </c>
      <c r="EO123" s="1267">
        <f t="shared" ref="EO123" si="1075">EO122/EJ122-1</f>
      </c>
      <c r="EP123" s="1267">
        <f t="shared" ref="EP123" si="1076">EP122/EK122-1</f>
      </c>
      <c r="EQ123" s="1268">
        <f t="shared" ref="EQ123" si="1077">EQ122/EL122-1</f>
      </c>
      <c r="ER123" s="1267">
        <f t="shared" ref="ER123" si="1078">ER122/EM122-1</f>
      </c>
      <c r="ES123" s="1267">
        <f t="shared" ref="ES123" si="1079">ES122/EN122-1</f>
      </c>
      <c r="ET123" s="1267">
        <f t="shared" ref="ET123" si="1080">ET122/EO122-1</f>
      </c>
      <c r="EU123" s="1267">
        <f t="shared" ref="EU123" si="1081">EU122/EP122-1</f>
      </c>
      <c r="EV123" s="1268">
        <f t="shared" ref="EV123" si="1082">EV122/EQ122-1</f>
      </c>
      <c r="EW123" s="1267">
        <f t="shared" ref="EW123" si="1083">EW122/ER122-1</f>
      </c>
      <c r="EX123" s="1267">
        <f t="shared" ref="EX123:FA123" si="1084">EX122/ES122-1</f>
      </c>
      <c r="EY123" s="1267">
        <f t="shared" si="1084"/>
      </c>
      <c r="EZ123" s="1267">
        <f t="shared" si="1084"/>
      </c>
      <c r="FA123" s="1268">
        <f t="shared" si="1084"/>
      </c>
      <c r="FB123" s="1267">
        <f t="shared" ref="FB123:GE123" si="1085">FB122/EW122-1</f>
      </c>
      <c r="FC123" s="1267">
        <f t="shared" si="1085"/>
      </c>
      <c r="FD123" s="1267">
        <f t="shared" si="1085"/>
      </c>
      <c r="FE123" s="1267">
        <f t="shared" si="1085"/>
      </c>
      <c r="FF123" s="1268">
        <f t="shared" si="1085"/>
      </c>
      <c r="FG123" s="1267">
        <f t="shared" si="1085"/>
      </c>
      <c r="FH123" s="1267">
        <f t="shared" si="1085"/>
      </c>
      <c r="FI123" s="1267">
        <f t="shared" si="1085"/>
      </c>
      <c r="FJ123" s="1267">
        <f t="shared" si="1085"/>
      </c>
      <c r="FK123" s="1268">
        <f t="shared" si="1085"/>
      </c>
      <c r="FL123" s="1267">
        <f t="shared" si="1085"/>
      </c>
      <c r="FM123" s="1267">
        <f t="shared" si="1085"/>
      </c>
      <c r="FN123" s="1267">
        <f t="shared" si="1085"/>
      </c>
      <c r="FO123" s="1267">
        <f t="shared" si="1085"/>
      </c>
      <c r="FP123" s="1268">
        <f t="shared" si="1085"/>
      </c>
      <c r="FQ123" s="1267">
        <f t="shared" si="1085"/>
      </c>
      <c r="FR123" s="1267">
        <f t="shared" si="1085"/>
      </c>
      <c r="FS123" s="1267">
        <f t="shared" si="1085"/>
      </c>
      <c r="FT123" s="1267">
        <f t="shared" si="1085"/>
      </c>
      <c r="FU123" s="1268">
        <f t="shared" si="1085"/>
      </c>
      <c r="FV123" s="1267">
        <f t="shared" si="1085"/>
      </c>
      <c r="FW123" s="1267">
        <f t="shared" si="1085"/>
      </c>
      <c r="FX123" s="1267">
        <f t="shared" si="1085"/>
      </c>
      <c r="FY123" s="1267">
        <f t="shared" si="1085"/>
      </c>
      <c r="FZ123" s="1268">
        <f t="shared" si="1085"/>
      </c>
      <c r="GA123" s="1267">
        <f t="shared" si="1085"/>
      </c>
      <c r="GB123" s="1267">
        <f t="shared" si="1085"/>
      </c>
      <c r="GC123" s="1267">
        <f t="shared" si="1085"/>
      </c>
      <c r="GD123" s="1267">
        <f t="shared" si="1085"/>
      </c>
      <c r="GE123" s="1268">
        <f t="shared" si="1085"/>
      </c>
      <c r="GF123" s="1267">
        <f t="shared" ref="GF123" si="1086">GF122/GA122-1</f>
      </c>
      <c r="GG123" s="1267">
        <f t="shared" ref="GG123" si="1087">GG122/GB122-1</f>
      </c>
      <c r="GH123" s="1267">
        <f t="shared" ref="GH123" si="1088">GH122/GC122-1</f>
      </c>
      <c r="GI123" s="1267">
        <f t="shared" ref="GI123" si="1089">GI122/GD122-1</f>
      </c>
      <c r="GJ123" s="1268">
        <f t="shared" ref="GJ123" si="1090">GJ122/GE122-1</f>
      </c>
    </row>
    <row r="124" spans="1:192" s="1031" customFormat="1" ht="12.75" customHeight="1">
      <c r="A124" s="1027"/>
      <c r="B124" s="727"/>
      <c r="C124" s="1028"/>
      <c r="D124" s="1028"/>
      <c r="E124" s="1028"/>
      <c r="F124" s="1028"/>
      <c r="G124" s="1029"/>
      <c r="H124" s="1028"/>
      <c r="I124" s="1028"/>
      <c r="J124" s="1028"/>
      <c r="K124" s="1028"/>
      <c r="L124" s="1029"/>
      <c r="M124" s="1028"/>
      <c r="N124" s="1028"/>
      <c r="O124" s="1028"/>
      <c r="P124" s="1028"/>
      <c r="Q124" s="1029"/>
      <c r="R124" s="1030"/>
      <c r="S124" s="1030"/>
      <c r="T124" s="1030"/>
      <c r="U124" s="1030"/>
      <c r="V124" s="1029"/>
      <c r="W124" s="1030"/>
      <c r="X124" s="1030"/>
      <c r="Y124" s="1030"/>
      <c r="Z124" s="1030"/>
      <c r="AA124" s="1029"/>
      <c r="AB124" s="1030"/>
      <c r="AC124" s="1030"/>
      <c r="AD124" s="1030"/>
      <c r="AE124" s="1030"/>
      <c r="AF124" s="1029"/>
      <c r="AG124" s="1030"/>
      <c r="AH124" s="1030"/>
      <c r="AI124" s="1030"/>
      <c r="AJ124" s="1030"/>
      <c r="AK124" s="1029"/>
      <c r="AL124" s="1028"/>
      <c r="AM124" s="1028"/>
      <c r="AN124" s="1028"/>
      <c r="AO124" s="1028"/>
      <c r="AP124" s="1029"/>
      <c r="AQ124" s="1028"/>
      <c r="AR124" s="1028"/>
      <c r="AS124" s="1028"/>
      <c r="AT124" s="1028"/>
      <c r="AU124" s="1029"/>
      <c r="AV124" s="1028"/>
      <c r="AW124" s="1028"/>
      <c r="AX124" s="1028"/>
      <c r="AY124" s="1028"/>
      <c r="AZ124" s="1029"/>
      <c r="BA124" s="1028"/>
      <c r="BB124" s="1028"/>
      <c r="BC124" s="1028"/>
      <c r="BD124" s="1028"/>
      <c r="BE124" s="1029"/>
      <c r="BF124" s="1028"/>
      <c r="BG124" s="1028"/>
      <c r="BH124" s="1028"/>
      <c r="BI124" s="1028"/>
      <c r="BJ124" s="1029"/>
      <c r="BK124" s="1028"/>
      <c r="BL124" s="1028"/>
      <c r="BM124" s="1028"/>
      <c r="BN124" s="1028"/>
      <c r="BO124" s="1029"/>
      <c r="BP124" s="1028"/>
      <c r="BQ124" s="1028"/>
      <c r="BR124" s="1028"/>
      <c r="BS124" s="1028"/>
      <c r="BT124" s="1029"/>
      <c r="BU124" s="1039"/>
      <c r="BV124" s="1039"/>
      <c r="BW124" s="1039"/>
      <c r="BX124" s="1039"/>
      <c r="BY124" s="1040"/>
      <c r="BZ124" s="1039"/>
      <c r="CA124" s="1039"/>
      <c r="CB124" s="1039"/>
      <c r="CC124" s="1039"/>
      <c r="CD124" s="1040"/>
      <c r="CE124" s="1039"/>
      <c r="CF124" s="1039"/>
      <c r="CG124" s="1039"/>
      <c r="CH124" s="1039"/>
      <c r="CI124" s="1040"/>
      <c r="CJ124" s="1039"/>
      <c r="CK124" s="1039"/>
      <c r="CL124" s="1039"/>
      <c r="CM124" s="1039"/>
      <c r="CN124" s="1040"/>
      <c r="CO124" s="1039"/>
      <c r="CP124" s="1039"/>
      <c r="CQ124" s="1039"/>
      <c r="CR124" s="1039"/>
      <c r="CS124" s="1040"/>
      <c r="CT124" s="1039"/>
      <c r="CU124" s="1039"/>
      <c r="CV124" s="1039"/>
      <c r="CW124" s="1039"/>
      <c r="CX124" s="1040"/>
      <c r="CY124" s="1039"/>
      <c r="CZ124" s="1039"/>
      <c r="DA124" s="1039"/>
      <c r="DB124" s="1039"/>
      <c r="DC124" s="1040"/>
      <c r="DD124" s="1039"/>
      <c r="DE124" s="1267"/>
      <c r="DF124" s="1267"/>
      <c r="DG124" s="1267"/>
      <c r="DH124" s="1268"/>
      <c r="DI124" s="1039"/>
      <c r="DJ124" s="1267"/>
      <c r="DK124" s="1267"/>
      <c r="DL124" s="1267"/>
      <c r="DM124" s="1268"/>
      <c r="DN124" s="1267"/>
      <c r="DO124" s="1267"/>
      <c r="DP124" s="1267"/>
      <c r="DQ124" s="1267"/>
      <c r="DR124" s="1268"/>
      <c r="DS124" s="1267"/>
      <c r="DT124" s="1267"/>
      <c r="DU124" s="1267"/>
      <c r="DV124" s="1267"/>
      <c r="DW124" s="1268"/>
      <c r="DX124" s="1267"/>
      <c r="DY124" s="1267"/>
      <c r="DZ124" s="1267"/>
      <c r="EA124" s="1267"/>
      <c r="EB124" s="1268"/>
      <c r="EC124" s="1267"/>
      <c r="ED124" s="1267"/>
      <c r="EE124" s="1267"/>
      <c r="EF124" s="1267"/>
      <c r="EG124" s="1268"/>
      <c r="EH124" s="1267"/>
      <c r="EI124" s="1267"/>
      <c r="EJ124" s="1267"/>
      <c r="EK124" s="1267"/>
      <c r="EL124" s="1268"/>
      <c r="EM124" s="1267"/>
      <c r="EN124" s="1267"/>
      <c r="EO124" s="1267"/>
      <c r="EP124" s="1267"/>
      <c r="EQ124" s="1268"/>
      <c r="ER124" s="1267"/>
      <c r="ES124" s="1267"/>
      <c r="ET124" s="1267"/>
      <c r="EU124" s="1267"/>
      <c r="EV124" s="1268"/>
      <c r="EW124" s="1267"/>
      <c r="EX124" s="1267"/>
      <c r="EY124" s="1267"/>
      <c r="EZ124" s="1267"/>
      <c r="FA124" s="1268"/>
      <c r="FB124" s="1267"/>
      <c r="FC124" s="1267"/>
      <c r="FD124" s="1267"/>
      <c r="FE124" s="1267"/>
      <c r="FF124" s="1268"/>
      <c r="FG124" s="1267"/>
      <c r="FH124" s="1267"/>
      <c r="FI124" s="1267"/>
      <c r="FJ124" s="1267"/>
      <c r="FK124" s="1268"/>
      <c r="FL124" s="1267"/>
      <c r="FM124" s="1267"/>
      <c r="FN124" s="1267"/>
      <c r="FO124" s="1267"/>
      <c r="FP124" s="1268"/>
      <c r="FQ124" s="1267"/>
      <c r="FR124" s="1267"/>
      <c r="FS124" s="1267"/>
      <c r="FT124" s="1267"/>
      <c r="FU124" s="1268"/>
      <c r="FV124" s="1267"/>
      <c r="FW124" s="1267"/>
      <c r="FX124" s="1267"/>
      <c r="FY124" s="1267"/>
      <c r="FZ124" s="1268"/>
      <c r="GA124" s="1267"/>
      <c r="GB124" s="1267"/>
      <c r="GC124" s="1267"/>
      <c r="GD124" s="1267"/>
      <c r="GE124" s="1268"/>
      <c r="GF124" s="1267"/>
      <c r="GG124" s="1267"/>
      <c r="GH124" s="1267"/>
      <c r="GI124" s="1267"/>
      <c r="GJ124" s="1268"/>
    </row>
    <row r="125" spans="1:192" s="1350" customFormat="1" ht="12.75" customHeight="1">
      <c r="A125" s="1346"/>
      <c r="B125" s="1155" t="s">
        <v>1859</v>
      </c>
      <c r="C125" s="1347">
        <f>CF!C71</f>
      </c>
      <c r="D125" s="1348">
        <f>CF!D71</f>
      </c>
      <c r="E125" s="1348">
        <f>CF!E71</f>
      </c>
      <c r="F125" s="1348">
        <f>CF!F71</f>
      </c>
      <c r="G125" s="1349">
        <f>CF!G71</f>
      </c>
      <c r="H125" s="1347">
        <f>CF!H71</f>
      </c>
      <c r="I125" s="1348">
        <f>CF!I71</f>
      </c>
      <c r="J125" s="1348">
        <f>CF!J71</f>
      </c>
      <c r="K125" s="1348">
        <f>CF!K71</f>
      </c>
      <c r="L125" s="1349">
        <f>CF!L71</f>
      </c>
      <c r="M125" s="1347">
        <f>CF!M71</f>
      </c>
      <c r="N125" s="1348">
        <f>CF!N71</f>
      </c>
      <c r="O125" s="1348">
        <f>CF!O71</f>
      </c>
      <c r="P125" s="1348">
        <f>CF!P71</f>
      </c>
      <c r="Q125" s="1349">
        <f>CF!Q71</f>
      </c>
      <c r="R125" s="1347">
        <f>CF!R71</f>
      </c>
      <c r="S125" s="1348">
        <f>CF!S71</f>
      </c>
      <c r="T125" s="1348">
        <f>CF!T71</f>
      </c>
      <c r="U125" s="1348">
        <f>CF!U71</f>
      </c>
      <c r="V125" s="1349">
        <f>CF!V71</f>
      </c>
      <c r="W125" s="1347">
        <f>CF!W71</f>
      </c>
      <c r="X125" s="1348">
        <f>CF!X71</f>
      </c>
      <c r="Y125" s="1348">
        <f>CF!Y71</f>
      </c>
      <c r="Z125" s="1348">
        <f>CF!Z71</f>
      </c>
      <c r="AA125" s="1349">
        <f>CF!AA71</f>
      </c>
      <c r="AB125" s="1347">
        <f>CF!AB71</f>
      </c>
      <c r="AC125" s="1348">
        <f>CF!AC71</f>
      </c>
      <c r="AD125" s="1348">
        <f>CF!AD71</f>
      </c>
      <c r="AE125" s="1348">
        <f>CF!AE71</f>
      </c>
      <c r="AF125" s="1349">
        <f>CF!AF71</f>
      </c>
      <c r="AG125" s="1347">
        <f>CF!AG71</f>
      </c>
      <c r="AH125" s="1348">
        <f>CF!AH71</f>
      </c>
      <c r="AI125" s="1348">
        <f>CF!AI71</f>
      </c>
      <c r="AJ125" s="1348">
        <f>CF!AJ71</f>
      </c>
      <c r="AK125" s="1349">
        <f>CF!AK71</f>
      </c>
      <c r="AL125" s="1347">
        <f>CF!AL71</f>
      </c>
      <c r="AM125" s="1348">
        <f>CF!AM71</f>
      </c>
      <c r="AN125" s="1348">
        <f>CF!AN71</f>
      </c>
      <c r="AO125" s="1348">
        <f>CF!AO71</f>
      </c>
      <c r="AP125" s="1349">
        <f>CF!AP71</f>
      </c>
      <c r="AQ125" s="1347">
        <f>CF!AQ71</f>
      </c>
      <c r="AR125" s="1348">
        <f>CF!AR71</f>
      </c>
      <c r="AS125" s="1348">
        <f>CF!AS71</f>
      </c>
      <c r="AT125" s="1348">
        <f>CF!AT71</f>
      </c>
      <c r="AU125" s="1349">
        <f>CF!AU71</f>
      </c>
      <c r="AV125" s="1347">
        <f>CF!AV71</f>
      </c>
      <c r="AW125" s="1348">
        <f>CF!AW71</f>
      </c>
      <c r="AX125" s="1348">
        <f>CF!AX71</f>
      </c>
      <c r="AY125" s="1348">
        <f>CF!AY71</f>
      </c>
      <c r="AZ125" s="1349">
        <f>CF!AZ71</f>
      </c>
      <c r="BA125" s="1347">
        <f>CF!BA71</f>
      </c>
      <c r="BB125" s="1348">
        <f>CF!BB71</f>
      </c>
      <c r="BC125" s="1348">
        <f>CF!BC71</f>
      </c>
      <c r="BD125" s="1348">
        <f>CF!BD71</f>
      </c>
      <c r="BE125" s="1349">
        <f>CF!BE71</f>
      </c>
      <c r="BF125" s="1347">
        <f>CF!BF71</f>
      </c>
      <c r="BG125" s="1348">
        <f>CF!BG71</f>
      </c>
      <c r="BH125" s="1348">
        <f>CF!BH71</f>
      </c>
      <c r="BI125" s="1348">
        <f>CF!BI71</f>
      </c>
      <c r="BJ125" s="1349">
        <f>CF!BJ71</f>
      </c>
      <c r="BK125" s="1347">
        <f>CF!BK71</f>
      </c>
      <c r="BL125" s="1348">
        <f>CF!BL71</f>
      </c>
      <c r="BM125" s="1348">
        <f>CF!BM71</f>
      </c>
      <c r="BN125" s="1348">
        <f>CF!BN71</f>
      </c>
      <c r="BO125" s="1349">
        <f>CF!BO71</f>
      </c>
      <c r="BP125" s="1347">
        <f>CF!BP71</f>
      </c>
      <c r="BQ125" s="1348">
        <f>CF!BQ71</f>
      </c>
      <c r="BR125" s="1348">
        <f>CF!BR71</f>
      </c>
      <c r="BS125" s="1348">
        <f>CF!BS71</f>
      </c>
      <c r="BT125" s="1349">
        <f>CF!BT71</f>
      </c>
      <c r="BU125" s="1347">
        <f>CF!BU71</f>
      </c>
      <c r="BV125" s="1348">
        <f>CF!BV71</f>
      </c>
      <c r="BW125" s="1348">
        <f>CF!BW71</f>
      </c>
      <c r="BX125" s="1348">
        <f>CF!BX71</f>
      </c>
      <c r="BY125" s="1349">
        <f>CF!BY71</f>
      </c>
      <c r="BZ125" s="1347">
        <f>CF!BZ71</f>
      </c>
      <c r="CA125" s="1348">
        <f>CF!CA71</f>
      </c>
      <c r="CB125" s="1348">
        <f>CF!CB71</f>
      </c>
      <c r="CC125" s="1348">
        <f>CF!CC71</f>
      </c>
      <c r="CD125" s="1349">
        <f>CF!CD71</f>
      </c>
      <c r="CE125" s="1347">
        <f>CF!CE71</f>
      </c>
      <c r="CF125" s="1348">
        <f>CF!CF71</f>
      </c>
      <c r="CG125" s="1348">
        <f>CF!CG71</f>
      </c>
      <c r="CH125" s="1348">
        <f>CF!CH71</f>
      </c>
      <c r="CI125" s="1349">
        <f>CF!CI71</f>
      </c>
      <c r="CJ125" s="1347">
        <f>CF!CJ71</f>
      </c>
      <c r="CK125" s="1348">
        <f>CF!CK71</f>
      </c>
      <c r="CL125" s="1348">
        <f>CF!CL71</f>
      </c>
      <c r="CM125" s="1348">
        <f>CF!CM71</f>
      </c>
      <c r="CN125" s="1349">
        <f>CF!CN71</f>
      </c>
      <c r="CO125" s="1347">
        <f>CF!CO71</f>
      </c>
      <c r="CP125" s="1348">
        <f>CF!CP71</f>
      </c>
      <c r="CQ125" s="1348">
        <f>CF!CQ71</f>
      </c>
      <c r="CR125" s="1348">
        <f>CF!CR71</f>
      </c>
      <c r="CS125" s="1349">
        <f>CF!CS71</f>
      </c>
      <c r="CT125" s="1347">
        <f>CF!CT71</f>
      </c>
      <c r="CU125" s="1348">
        <f>CF!CU71</f>
      </c>
      <c r="CV125" s="1348">
        <f>CF!CV71</f>
      </c>
      <c r="CW125" s="1348">
        <f>CF!CW71</f>
      </c>
      <c r="CX125" s="1349">
        <f>CF!CX71</f>
      </c>
      <c r="CY125" s="1347">
        <f>CF!CY71</f>
      </c>
      <c r="CZ125" s="1348">
        <f>CF!CZ71</f>
      </c>
      <c r="DA125" s="1348">
        <f>CF!DA71</f>
      </c>
      <c r="DB125" s="1348">
        <f>CF!DB71</f>
      </c>
      <c r="DC125" s="1349">
        <f>CF!DC71</f>
      </c>
      <c r="DD125" s="1347">
        <f>CF!DD71</f>
      </c>
      <c r="DE125" s="1348">
        <f>CF!DE71</f>
      </c>
      <c r="DF125" s="1348">
        <f>CF!DF71</f>
      </c>
      <c r="DG125" s="1348">
        <f>CF!DG71</f>
      </c>
      <c r="DH125" s="1349">
        <f>CF!DH71</f>
      </c>
      <c r="DI125" s="1347">
        <f>CF!DI71</f>
      </c>
      <c r="DJ125" s="1348">
        <f>CF!DJ71</f>
      </c>
      <c r="DK125" s="1348">
        <f>CF!DK71</f>
      </c>
      <c r="DL125" s="1348">
        <f>CF!DL71</f>
      </c>
      <c r="DM125" s="1349">
        <f>CF!DM71</f>
      </c>
      <c r="DN125" s="1347">
        <f>CF!DN71</f>
      </c>
      <c r="DO125" s="1348">
        <f>CF!DO71</f>
      </c>
      <c r="DP125" s="1348">
        <f>CF!DP71</f>
      </c>
      <c r="DQ125" s="1348">
        <f>CF!DQ71</f>
      </c>
      <c r="DR125" s="1349">
        <f>CF!DR71</f>
      </c>
      <c r="DS125" s="1347">
        <f>CF!DS71</f>
      </c>
      <c r="DT125" s="1348">
        <f>CF!DT71</f>
      </c>
      <c r="DU125" s="1348">
        <f>CF!DU71</f>
      </c>
      <c r="DV125" s="1348">
        <f>CF!DV71</f>
      </c>
      <c r="DW125" s="1349">
        <f>CF!DW71</f>
      </c>
      <c r="DX125" s="1347">
        <f>CF!DX71</f>
      </c>
      <c r="DY125" s="1348">
        <f>CF!DY71</f>
      </c>
      <c r="DZ125" s="1348">
        <f>CF!DZ71</f>
      </c>
      <c r="EA125" s="1348">
        <f>CF!EA71</f>
      </c>
      <c r="EB125" s="1349">
        <f>CF!EB71</f>
      </c>
      <c r="EC125" s="1347">
        <f>CF!EC71</f>
      </c>
      <c r="ED125" s="1348">
        <f>CF!ED71</f>
      </c>
      <c r="EE125" s="1348">
        <f>CF!EE71</f>
      </c>
      <c r="EF125" s="1348">
        <f>CF!EF71</f>
      </c>
      <c r="EG125" s="1349">
        <f>CF!EG71</f>
      </c>
      <c r="EH125" s="1347">
        <f>CF!EH71</f>
      </c>
      <c r="EI125" s="1348">
        <f>CF!EI71</f>
      </c>
      <c r="EJ125" s="1348">
        <f>CF!EJ71</f>
      </c>
      <c r="EK125" s="1348">
        <f>CF!EK71</f>
      </c>
      <c r="EL125" s="1349">
        <f>CF!EL71</f>
      </c>
      <c r="EM125" s="1347">
        <f>CF!EM71</f>
      </c>
      <c r="EN125" s="1348">
        <f>CF!EN71</f>
      </c>
      <c r="EO125" s="1348">
        <f>CF!EO71</f>
      </c>
      <c r="EP125" s="1348">
        <f>CF!EP71</f>
      </c>
      <c r="EQ125" s="1349">
        <f>CF!EQ71</f>
      </c>
      <c r="ER125" s="1347">
        <f>CF!ER71</f>
      </c>
      <c r="ES125" s="1348">
        <f>CF!ES71</f>
      </c>
      <c r="ET125" s="1348">
        <f>CF!ET71</f>
      </c>
      <c r="EU125" s="1348">
        <f>CF!EU71</f>
      </c>
      <c r="EV125" s="1349">
        <f>CF!EV71</f>
      </c>
      <c r="EW125" s="1347">
        <f>CF!EW71</f>
      </c>
      <c r="EX125" s="1348">
        <f>CF!EX71</f>
      </c>
      <c r="EY125" s="1348">
        <f>CF!EY71</f>
      </c>
      <c r="EZ125" s="1348">
        <f>CF!EZ71</f>
      </c>
      <c r="FA125" s="1349">
        <f>CF!FA71</f>
      </c>
      <c r="FB125" s="1347">
        <f>CF!FB71</f>
      </c>
      <c r="FC125" s="1348">
        <f>CF!FC71</f>
      </c>
      <c r="FD125" s="1348">
        <f>CF!FD71</f>
      </c>
      <c r="FE125" s="1348">
        <f>CF!FE71</f>
      </c>
      <c r="FF125" s="1349">
        <f>CF!FF71</f>
      </c>
      <c r="FG125" s="1347">
        <f>CF!FG71</f>
      </c>
      <c r="FH125" s="1348">
        <f>CF!FH71</f>
      </c>
      <c r="FI125" s="1348">
        <f>CF!FI71</f>
      </c>
      <c r="FJ125" s="1348">
        <f>CF!FJ71</f>
      </c>
      <c r="FK125" s="1349">
        <f>CF!FK71</f>
      </c>
      <c r="FL125" s="1347">
        <f>CF!FL71</f>
      </c>
      <c r="FM125" s="1348">
        <f>CF!FM71</f>
      </c>
      <c r="FN125" s="1348">
        <f>CF!FN71</f>
      </c>
      <c r="FO125" s="1348">
        <f>CF!FO71</f>
      </c>
      <c r="FP125" s="1349">
        <f>CF!FP71</f>
      </c>
      <c r="FQ125" s="1347">
        <f>CF!FQ71</f>
      </c>
      <c r="FR125" s="1348">
        <f>CF!FR71</f>
      </c>
      <c r="FS125" s="1348">
        <f>CF!FS71</f>
      </c>
      <c r="FT125" s="1348">
        <f>CF!FT71</f>
      </c>
      <c r="FU125" s="1349">
        <f>CF!FU71</f>
      </c>
      <c r="FV125" s="1347">
        <f>CF!FV71</f>
      </c>
      <c r="FW125" s="1348">
        <f>CF!FW71</f>
      </c>
      <c r="FX125" s="1348">
        <f>CF!FX71</f>
      </c>
      <c r="FY125" s="1348">
        <f>CF!FY71</f>
      </c>
      <c r="FZ125" s="1349">
        <f>CF!FZ71</f>
      </c>
      <c r="GA125" s="1347">
        <f>CF!GA71</f>
      </c>
      <c r="GB125" s="1348">
        <f>CF!GB71</f>
      </c>
      <c r="GC125" s="1348">
        <f>CF!GC71</f>
      </c>
      <c r="GD125" s="1348">
        <f>CF!GD71</f>
      </c>
      <c r="GE125" s="1349">
        <f>CF!GE71</f>
      </c>
      <c r="GF125" s="1347">
        <f>CF!GF71</f>
      </c>
      <c r="GG125" s="1348">
        <f>CF!GG71</f>
      </c>
      <c r="GH125" s="1348">
        <f>CF!GH71</f>
      </c>
      <c r="GI125" s="1348">
        <f>CF!GI71</f>
      </c>
      <c r="GJ125" s="1349">
        <f>CF!GJ71</f>
      </c>
    </row>
    <row r="126" spans="1:192" ht="12.75" customHeight="1">
      <c r="A126" s="81"/>
      <c r="B126" s="704" t="s">
        <v>175</v>
      </c>
      <c r="C126" s="136">
        <f t="shared" ref="C126:AH126" si="1091">IFERROR(C125/C56,"")</f>
      </c>
      <c r="D126" s="105">
        <f t="shared" si="1091"/>
      </c>
      <c r="E126" s="105">
        <f t="shared" si="1091"/>
      </c>
      <c r="F126" s="137">
        <f t="shared" si="1091"/>
      </c>
      <c r="G126" s="138">
        <f t="shared" si="1091"/>
      </c>
      <c r="H126" s="136">
        <f t="shared" si="1091"/>
      </c>
      <c r="I126" s="105">
        <f t="shared" si="1091"/>
      </c>
      <c r="J126" s="105">
        <f t="shared" si="1091"/>
      </c>
      <c r="K126" s="137">
        <f t="shared" si="1091"/>
      </c>
      <c r="L126" s="138">
        <f t="shared" si="1091"/>
      </c>
      <c r="M126" s="136">
        <f t="shared" si="1091"/>
      </c>
      <c r="N126" s="105">
        <f t="shared" si="1091"/>
      </c>
      <c r="O126" s="105">
        <f t="shared" si="1091"/>
      </c>
      <c r="P126" s="137">
        <f t="shared" si="1091"/>
      </c>
      <c r="Q126" s="138">
        <f t="shared" si="1091"/>
      </c>
      <c r="R126" s="136">
        <f t="shared" si="1091"/>
      </c>
      <c r="S126" s="105">
        <f t="shared" si="1091"/>
      </c>
      <c r="T126" s="105">
        <f t="shared" si="1091"/>
      </c>
      <c r="U126" s="137">
        <f t="shared" si="1091"/>
      </c>
      <c r="V126" s="138">
        <f t="shared" si="1091"/>
      </c>
      <c r="W126" s="136">
        <f t="shared" si="1091"/>
      </c>
      <c r="X126" s="105">
        <f t="shared" si="1091"/>
      </c>
      <c r="Y126" s="105">
        <f t="shared" si="1091"/>
      </c>
      <c r="Z126" s="137">
        <f t="shared" si="1091"/>
      </c>
      <c r="AA126" s="138">
        <f t="shared" si="1091"/>
      </c>
      <c r="AB126" s="136">
        <f t="shared" si="1091"/>
      </c>
      <c r="AC126" s="105">
        <f t="shared" si="1091"/>
      </c>
      <c r="AD126" s="105">
        <f t="shared" si="1091"/>
      </c>
      <c r="AE126" s="137">
        <f t="shared" si="1091"/>
      </c>
      <c r="AF126" s="138">
        <f t="shared" si="1091"/>
      </c>
      <c r="AG126" s="136">
        <f t="shared" si="1091"/>
      </c>
      <c r="AH126" s="105">
        <f t="shared" si="1091"/>
      </c>
      <c r="AI126" s="105">
        <f t="shared" ref="AI126:BN126" si="1092">IFERROR(AI125/AI56,"")</f>
      </c>
      <c r="AJ126" s="137">
        <f t="shared" si="1092"/>
      </c>
      <c r="AK126" s="138">
        <f t="shared" si="1092"/>
      </c>
      <c r="AL126" s="136">
        <f t="shared" si="1092"/>
      </c>
      <c r="AM126" s="105">
        <f t="shared" si="1092"/>
      </c>
      <c r="AN126" s="105">
        <f t="shared" si="1092"/>
      </c>
      <c r="AO126" s="137">
        <f t="shared" si="1092"/>
      </c>
      <c r="AP126" s="138">
        <f t="shared" si="1092"/>
      </c>
      <c r="AQ126" s="136">
        <f t="shared" si="1092"/>
      </c>
      <c r="AR126" s="105">
        <f t="shared" si="1092"/>
      </c>
      <c r="AS126" s="105">
        <f t="shared" si="1092"/>
      </c>
      <c r="AT126" s="137">
        <f t="shared" si="1092"/>
      </c>
      <c r="AU126" s="138">
        <f t="shared" si="1092"/>
      </c>
      <c r="AV126" s="136">
        <f t="shared" si="1092"/>
      </c>
      <c r="AW126" s="105">
        <f t="shared" si="1092"/>
      </c>
      <c r="AX126" s="105">
        <f t="shared" si="1092"/>
      </c>
      <c r="AY126" s="137">
        <f t="shared" si="1092"/>
      </c>
      <c r="AZ126" s="138">
        <f t="shared" si="1092"/>
      </c>
      <c r="BA126" s="136">
        <f t="shared" si="1092"/>
      </c>
      <c r="BB126" s="105">
        <f t="shared" si="1092"/>
      </c>
      <c r="BC126" s="105">
        <f t="shared" si="1092"/>
      </c>
      <c r="BD126" s="137">
        <f t="shared" si="1092"/>
      </c>
      <c r="BE126" s="138">
        <f t="shared" si="1092"/>
      </c>
      <c r="BF126" s="136">
        <f t="shared" si="1092"/>
      </c>
      <c r="BG126" s="105">
        <f t="shared" si="1092"/>
      </c>
      <c r="BH126" s="105">
        <f t="shared" si="1092"/>
      </c>
      <c r="BI126" s="137">
        <f t="shared" si="1092"/>
      </c>
      <c r="BJ126" s="138">
        <f t="shared" si="1092"/>
      </c>
      <c r="BK126" s="136">
        <f t="shared" si="1092"/>
      </c>
      <c r="BL126" s="105">
        <f t="shared" si="1092"/>
      </c>
      <c r="BM126" s="105">
        <f t="shared" si="1092"/>
      </c>
      <c r="BN126" s="137">
        <f t="shared" si="1092"/>
      </c>
      <c r="BO126" s="138">
        <f t="shared" ref="BO126:CT126" si="1093">IFERROR(BO125/BO56,"")</f>
      </c>
      <c r="BP126" s="136">
        <f t="shared" si="1093"/>
      </c>
      <c r="BQ126" s="105">
        <f t="shared" si="1093"/>
      </c>
      <c r="BR126" s="105">
        <f t="shared" si="1093"/>
      </c>
      <c r="BS126" s="137">
        <f t="shared" si="1093"/>
      </c>
      <c r="BT126" s="138">
        <f t="shared" si="1093"/>
      </c>
      <c r="BU126" s="136">
        <f t="shared" si="1093"/>
      </c>
      <c r="BV126" s="105">
        <f t="shared" si="1093"/>
      </c>
      <c r="BW126" s="105">
        <f t="shared" si="1093"/>
      </c>
      <c r="BX126" s="137">
        <f t="shared" si="1093"/>
      </c>
      <c r="BY126" s="138">
        <f t="shared" si="1093"/>
      </c>
      <c r="BZ126" s="136">
        <f t="shared" si="1093"/>
      </c>
      <c r="CA126" s="105">
        <f t="shared" si="1093"/>
      </c>
      <c r="CB126" s="105">
        <f t="shared" si="1093"/>
      </c>
      <c r="CC126" s="137">
        <f t="shared" si="1093"/>
      </c>
      <c r="CD126" s="138">
        <f t="shared" si="1093"/>
      </c>
      <c r="CE126" s="136">
        <f t="shared" si="1093"/>
      </c>
      <c r="CF126" s="105">
        <f t="shared" si="1093"/>
      </c>
      <c r="CG126" s="105">
        <f t="shared" si="1093"/>
      </c>
      <c r="CH126" s="137">
        <f t="shared" si="1093"/>
      </c>
      <c r="CI126" s="138">
        <f t="shared" si="1093"/>
      </c>
      <c r="CJ126" s="136">
        <f t="shared" si="1093"/>
      </c>
      <c r="CK126" s="105">
        <f t="shared" si="1093"/>
      </c>
      <c r="CL126" s="105">
        <f t="shared" si="1093"/>
      </c>
      <c r="CM126" s="137">
        <f t="shared" si="1093"/>
      </c>
      <c r="CN126" s="138">
        <f t="shared" si="1093"/>
      </c>
      <c r="CO126" s="136">
        <f t="shared" si="1093"/>
      </c>
      <c r="CP126" s="105">
        <f t="shared" si="1093"/>
      </c>
      <c r="CQ126" s="105">
        <f t="shared" si="1093"/>
      </c>
      <c r="CR126" s="137">
        <f t="shared" si="1093"/>
      </c>
      <c r="CS126" s="138">
        <f t="shared" si="1093"/>
      </c>
      <c r="CT126" s="136">
        <f t="shared" si="1093"/>
      </c>
      <c r="CU126" s="105">
        <f t="shared" ref="CU126:DZ126" si="1094">IFERROR(CU125/CU56,"")</f>
      </c>
      <c r="CV126" s="105">
        <f t="shared" si="1094"/>
      </c>
      <c r="CW126" s="137">
        <f t="shared" si="1094"/>
      </c>
      <c r="CX126" s="138">
        <f t="shared" si="1094"/>
      </c>
      <c r="CY126" s="136">
        <f t="shared" si="1094"/>
      </c>
      <c r="CZ126" s="105">
        <f t="shared" si="1094"/>
      </c>
      <c r="DA126" s="105">
        <f t="shared" si="1094"/>
      </c>
      <c r="DB126" s="137">
        <f t="shared" si="1094"/>
      </c>
      <c r="DC126" s="138">
        <f t="shared" si="1094"/>
      </c>
      <c r="DD126" s="136">
        <f t="shared" si="1094"/>
      </c>
      <c r="DE126" s="105">
        <f t="shared" si="1094"/>
      </c>
      <c r="DF126" s="105">
        <f t="shared" si="1094"/>
      </c>
      <c r="DG126" s="137">
        <f t="shared" si="1094"/>
      </c>
      <c r="DH126" s="138">
        <f t="shared" si="1094"/>
      </c>
      <c r="DI126" s="136">
        <f t="shared" si="1094"/>
      </c>
      <c r="DJ126" s="105">
        <f t="shared" si="1094"/>
      </c>
      <c r="DK126" s="105">
        <f t="shared" si="1094"/>
      </c>
      <c r="DL126" s="137">
        <f t="shared" si="1094"/>
      </c>
      <c r="DM126" s="138">
        <f t="shared" si="1094"/>
      </c>
      <c r="DN126" s="136">
        <f t="shared" si="1094"/>
      </c>
      <c r="DO126" s="105">
        <f t="shared" si="1094"/>
      </c>
      <c r="DP126" s="105">
        <f t="shared" si="1094"/>
      </c>
      <c r="DQ126" s="137">
        <f t="shared" si="1094"/>
      </c>
      <c r="DR126" s="138">
        <f t="shared" si="1094"/>
      </c>
      <c r="DS126" s="136">
        <f t="shared" si="1094"/>
      </c>
      <c r="DT126" s="105">
        <f t="shared" si="1094"/>
      </c>
      <c r="DU126" s="105">
        <f t="shared" si="1094"/>
      </c>
      <c r="DV126" s="137">
        <f t="shared" si="1094"/>
      </c>
      <c r="DW126" s="138">
        <f t="shared" si="1094"/>
      </c>
      <c r="DX126" s="136">
        <f t="shared" si="1094"/>
      </c>
      <c r="DY126" s="105">
        <f t="shared" si="1094"/>
      </c>
      <c r="DZ126" s="105">
        <f t="shared" si="1094"/>
      </c>
      <c r="EA126" s="137">
        <f t="shared" ref="EA126:FF126" si="1095">IFERROR(EA125/EA56,"")</f>
      </c>
      <c r="EB126" s="138">
        <f t="shared" si="1095"/>
      </c>
      <c r="EC126" s="136">
        <f t="shared" si="1095"/>
      </c>
      <c r="ED126" s="105">
        <f t="shared" si="1095"/>
      </c>
      <c r="EE126" s="105">
        <f t="shared" si="1095"/>
      </c>
      <c r="EF126" s="137">
        <f t="shared" si="1095"/>
      </c>
      <c r="EG126" s="138">
        <f t="shared" si="1095"/>
      </c>
      <c r="EH126" s="136">
        <f t="shared" si="1095"/>
      </c>
      <c r="EI126" s="105">
        <f t="shared" si="1095"/>
      </c>
      <c r="EJ126" s="105">
        <f t="shared" si="1095"/>
      </c>
      <c r="EK126" s="137">
        <f t="shared" si="1095"/>
      </c>
      <c r="EL126" s="138">
        <f t="shared" si="1095"/>
      </c>
      <c r="EM126" s="136">
        <f t="shared" si="1095"/>
      </c>
      <c r="EN126" s="105">
        <f t="shared" si="1095"/>
      </c>
      <c r="EO126" s="105">
        <f t="shared" si="1095"/>
      </c>
      <c r="EP126" s="137">
        <f t="shared" si="1095"/>
      </c>
      <c r="EQ126" s="138">
        <f t="shared" si="1095"/>
      </c>
      <c r="ER126" s="136">
        <f t="shared" si="1095"/>
      </c>
      <c r="ES126" s="105">
        <f t="shared" si="1095"/>
      </c>
      <c r="ET126" s="105">
        <f t="shared" si="1095"/>
      </c>
      <c r="EU126" s="137">
        <f t="shared" si="1095"/>
      </c>
      <c r="EV126" s="138">
        <f t="shared" si="1095"/>
      </c>
      <c r="EW126" s="136">
        <f t="shared" si="1095"/>
      </c>
      <c r="EX126" s="105">
        <f t="shared" si="1095"/>
      </c>
      <c r="EY126" s="105">
        <f t="shared" si="1095"/>
      </c>
      <c r="EZ126" s="137">
        <f t="shared" si="1095"/>
      </c>
      <c r="FA126" s="138">
        <f t="shared" si="1095"/>
      </c>
      <c r="FB126" s="136">
        <f t="shared" si="1095"/>
      </c>
      <c r="FC126" s="105">
        <f t="shared" si="1095"/>
      </c>
      <c r="FD126" s="105">
        <f t="shared" si="1095"/>
      </c>
      <c r="FE126" s="137">
        <f t="shared" si="1095"/>
      </c>
      <c r="FF126" s="138">
        <f t="shared" si="1095"/>
      </c>
      <c r="FG126" s="136">
        <f t="shared" ref="FG126:GJ126" si="1096">IFERROR(FG125/FG56,"")</f>
      </c>
      <c r="FH126" s="105">
        <f t="shared" si="1096"/>
      </c>
      <c r="FI126" s="105">
        <f t="shared" si="1096"/>
      </c>
      <c r="FJ126" s="137">
        <f t="shared" si="1096"/>
      </c>
      <c r="FK126" s="138">
        <f t="shared" si="1096"/>
      </c>
      <c r="FL126" s="136">
        <f t="shared" si="1096"/>
      </c>
      <c r="FM126" s="105">
        <f t="shared" si="1096"/>
      </c>
      <c r="FN126" s="105">
        <f t="shared" si="1096"/>
      </c>
      <c r="FO126" s="137">
        <f t="shared" si="1096"/>
      </c>
      <c r="FP126" s="138">
        <f t="shared" si="1096"/>
      </c>
      <c r="FQ126" s="136">
        <f t="shared" si="1096"/>
      </c>
      <c r="FR126" s="105">
        <f t="shared" si="1096"/>
      </c>
      <c r="FS126" s="105">
        <f t="shared" si="1096"/>
      </c>
      <c r="FT126" s="137">
        <f t="shared" si="1096"/>
      </c>
      <c r="FU126" s="138">
        <f t="shared" si="1096"/>
      </c>
      <c r="FV126" s="136">
        <f t="shared" si="1096"/>
      </c>
      <c r="FW126" s="105">
        <f t="shared" si="1096"/>
      </c>
      <c r="FX126" s="105">
        <f t="shared" si="1096"/>
      </c>
      <c r="FY126" s="137">
        <f t="shared" si="1096"/>
      </c>
      <c r="FZ126" s="138">
        <f t="shared" si="1096"/>
      </c>
      <c r="GA126" s="136">
        <f t="shared" si="1096"/>
      </c>
      <c r="GB126" s="105">
        <f t="shared" si="1096"/>
      </c>
      <c r="GC126" s="105">
        <f t="shared" si="1096"/>
      </c>
      <c r="GD126" s="137">
        <f t="shared" si="1096"/>
      </c>
      <c r="GE126" s="138">
        <f t="shared" si="1096"/>
      </c>
      <c r="GF126" s="136">
        <f t="shared" si="1096"/>
      </c>
      <c r="GG126" s="105">
        <f t="shared" si="1096"/>
      </c>
      <c r="GH126" s="105">
        <f t="shared" si="1096"/>
      </c>
      <c r="GI126" s="137">
        <f t="shared" si="1096"/>
      </c>
      <c r="GJ126" s="138">
        <f t="shared" si="1096"/>
      </c>
    </row>
    <row r="127" spans="1:192" s="93" customFormat="1" ht="12.75" customHeight="1">
      <c r="A127" s="81"/>
      <c r="B127" s="704" t="s">
        <v>478</v>
      </c>
      <c r="C127" s="136">
        <f>C125/G125</f>
      </c>
      <c r="D127" s="105">
        <f>D125/G125</f>
      </c>
      <c r="E127" s="105">
        <f>E125/G125</f>
      </c>
      <c r="F127" s="137">
        <f>F125/G125</f>
      </c>
      <c r="G127" s="138"/>
      <c r="H127" s="136">
        <f>H125/L125</f>
      </c>
      <c r="I127" s="105">
        <f>I125/L125</f>
      </c>
      <c r="J127" s="105">
        <f>J125/L125</f>
      </c>
      <c r="K127" s="137">
        <f>K125/L125</f>
      </c>
      <c r="L127" s="138"/>
      <c r="M127" s="136">
        <f>M125/Q125</f>
      </c>
      <c r="N127" s="105">
        <f>N125/Q125</f>
      </c>
      <c r="O127" s="105">
        <f>O125/Q125</f>
      </c>
      <c r="P127" s="137">
        <f>P125/Q125</f>
      </c>
      <c r="Q127" s="138"/>
      <c r="R127" s="136">
        <f>R125/V125</f>
      </c>
      <c r="S127" s="105">
        <f>S125/V125</f>
      </c>
      <c r="T127" s="105">
        <f>T125/V125</f>
      </c>
      <c r="U127" s="137">
        <f>U125/V125</f>
      </c>
      <c r="V127" s="138"/>
      <c r="W127" s="136">
        <f>W125/AA125</f>
      </c>
      <c r="X127" s="105">
        <f>X125/AA125</f>
      </c>
      <c r="Y127" s="105">
        <f>Y125/AA125</f>
      </c>
      <c r="Z127" s="137">
        <f>Z125/AA125</f>
      </c>
      <c r="AA127" s="138"/>
      <c r="AB127" s="136">
        <f>AB125/AF125</f>
      </c>
      <c r="AC127" s="105">
        <f>AC125/AF125</f>
      </c>
      <c r="AD127" s="105">
        <f>AD125/AF125</f>
      </c>
      <c r="AE127" s="137">
        <f>AE125/AF125</f>
      </c>
      <c r="AF127" s="138"/>
      <c r="AG127" s="136">
        <f>AG125/AK125</f>
      </c>
      <c r="AH127" s="105">
        <f>AH125/AK125</f>
      </c>
      <c r="AI127" s="105">
        <f>AI125/AK125</f>
      </c>
      <c r="AJ127" s="137">
        <f>AJ125/AK125</f>
      </c>
      <c r="AK127" s="138"/>
      <c r="AL127" s="136">
        <f>AL125/AP125</f>
      </c>
      <c r="AM127" s="105">
        <f>AM125/AP125</f>
      </c>
      <c r="AN127" s="105">
        <f>AN125/AP125</f>
      </c>
      <c r="AO127" s="137">
        <f>AO125/AP125</f>
      </c>
      <c r="AP127" s="138"/>
      <c r="AQ127" s="136">
        <f>AQ125/AU125</f>
      </c>
      <c r="AR127" s="105">
        <f>AR125/AU125</f>
      </c>
      <c r="AS127" s="105">
        <f>AS125/AU125</f>
      </c>
      <c r="AT127" s="137">
        <f>AT125/AU125</f>
      </c>
      <c r="AU127" s="138"/>
      <c r="AV127" s="136">
        <f>AV125/AZ125</f>
      </c>
      <c r="AW127" s="105">
        <f>AW125/AZ125</f>
      </c>
      <c r="AX127" s="105">
        <f>AX125/AZ125</f>
      </c>
      <c r="AY127" s="137">
        <f>AY125/AZ125</f>
      </c>
      <c r="AZ127" s="138"/>
      <c r="BA127" s="136">
        <f>BA125/BE125</f>
      </c>
      <c r="BB127" s="105">
        <f>BB125/BE125</f>
      </c>
      <c r="BC127" s="105">
        <f>BC125/BE125</f>
      </c>
      <c r="BD127" s="137">
        <f>BD125/BE125</f>
      </c>
      <c r="BE127" s="138"/>
      <c r="BF127" s="136">
        <f>BF125/BJ125</f>
      </c>
      <c r="BG127" s="105">
        <f>BG125/BJ125</f>
      </c>
      <c r="BH127" s="105">
        <f>BH125/BJ125</f>
      </c>
      <c r="BI127" s="137">
        <f>BI125/BJ125</f>
      </c>
      <c r="BJ127" s="138"/>
      <c r="BK127" s="136">
        <f>BK125/BO125</f>
      </c>
      <c r="BL127" s="105">
        <f>BL125/BO125</f>
      </c>
      <c r="BM127" s="105">
        <f>BM125/BO125</f>
      </c>
      <c r="BN127" s="137">
        <f>BN125/BO125</f>
      </c>
      <c r="BO127" s="138"/>
      <c r="BP127" s="136">
        <f>BP125/BT125</f>
      </c>
      <c r="BQ127" s="105">
        <f>BQ125/BT125</f>
      </c>
      <c r="BR127" s="105">
        <f>BR125/BT125</f>
      </c>
      <c r="BS127" s="137">
        <f>BS125/BT125</f>
      </c>
      <c r="BT127" s="138"/>
      <c r="BU127" s="136">
        <f>BU125/BY125</f>
      </c>
      <c r="BV127" s="105">
        <f>BV125/BY125</f>
      </c>
      <c r="BW127" s="105">
        <f>BW125/BY125</f>
      </c>
      <c r="BX127" s="137">
        <f>BX125/BY125</f>
      </c>
      <c r="BY127" s="138"/>
      <c r="BZ127" s="136">
        <f>BZ125/CD125</f>
      </c>
      <c r="CA127" s="105">
        <f>CA125/CD125</f>
      </c>
      <c r="CB127" s="105">
        <f>CB125/CD125</f>
      </c>
      <c r="CC127" s="137">
        <f>CC125/CD125</f>
      </c>
      <c r="CD127" s="138"/>
      <c r="CE127" s="136">
        <f>CE125/CI125</f>
      </c>
      <c r="CF127" s="105">
        <f>CF125/CI125</f>
      </c>
      <c r="CG127" s="105">
        <f>CG125/CI125</f>
      </c>
      <c r="CH127" s="137">
        <f>CH125/CI125</f>
      </c>
      <c r="CI127" s="138"/>
      <c r="CJ127" s="136">
        <f>CJ125/CN125</f>
      </c>
      <c r="CK127" s="105">
        <f>CK125/CN125</f>
      </c>
      <c r="CL127" s="105">
        <f>CL125/CN125</f>
      </c>
      <c r="CM127" s="137">
        <f>CM125/CN125</f>
      </c>
      <c r="CN127" s="138"/>
      <c r="CO127" s="136">
        <f>CO125/CS125</f>
      </c>
      <c r="CP127" s="105">
        <f>CP125/CS125</f>
      </c>
      <c r="CQ127" s="105">
        <f>CQ125/CS125</f>
      </c>
      <c r="CR127" s="137">
        <f>CR125/CS125</f>
      </c>
      <c r="CS127" s="138"/>
      <c r="CT127" s="136">
        <f>CT125/CX125</f>
      </c>
      <c r="CU127" s="105">
        <f>CU125/CX125</f>
      </c>
      <c r="CV127" s="105">
        <f>CV125/CX125</f>
      </c>
      <c r="CW127" s="137">
        <f>CW125/CX125</f>
      </c>
      <c r="CX127" s="138"/>
      <c r="CY127" s="136">
        <f>CY125/DC125</f>
      </c>
      <c r="CZ127" s="105">
        <f>CZ125/DC125</f>
      </c>
      <c r="DA127" s="105">
        <f>DA125/DC125</f>
      </c>
      <c r="DB127" s="137">
        <f>DB125/DC125</f>
      </c>
      <c r="DC127" s="138"/>
      <c r="DD127" s="136">
        <f>DD125/DH125</f>
      </c>
      <c r="DE127" s="105">
        <f>DE125/DH125</f>
      </c>
      <c r="DF127" s="105">
        <f>DF125/DH125</f>
      </c>
      <c r="DG127" s="137">
        <f>DG125/DH125</f>
      </c>
      <c r="DH127" s="138"/>
      <c r="DI127" s="136">
        <f>DI125/DM125</f>
      </c>
      <c r="DJ127" s="105">
        <f>DJ125/DM125</f>
      </c>
      <c r="DK127" s="105">
        <f>DK125/DM125</f>
      </c>
      <c r="DL127" s="137">
        <f>DL125/DM125</f>
      </c>
      <c r="DM127" s="138"/>
      <c r="DN127" s="136">
        <f>DN125/DR125</f>
      </c>
      <c r="DO127" s="105">
        <f>DO125/DR125</f>
      </c>
      <c r="DP127" s="105">
        <f>DP125/DR125</f>
      </c>
      <c r="DQ127" s="137">
        <f>DQ125/DR125</f>
      </c>
      <c r="DR127" s="138"/>
      <c r="DS127" s="136">
        <f>DS125/DW125</f>
      </c>
      <c r="DT127" s="105">
        <f>DT125/DW125</f>
      </c>
      <c r="DU127" s="105">
        <f>DU125/DW125</f>
      </c>
      <c r="DV127" s="137">
        <f>DV125/DW125</f>
      </c>
      <c r="DW127" s="138"/>
      <c r="DX127" s="136">
        <f>DX125/EB125</f>
      </c>
      <c r="DY127" s="105">
        <f>DY125/EB125</f>
      </c>
      <c r="DZ127" s="105">
        <f>DZ125/EB125</f>
      </c>
      <c r="EA127" s="137">
        <f>EA125/EB125</f>
      </c>
      <c r="EB127" s="138"/>
      <c r="EC127" s="136">
        <f>EC125/EG125</f>
      </c>
      <c r="ED127" s="105">
        <f>ED125/EG125</f>
      </c>
      <c r="EE127" s="105">
        <f>EE125/EG125</f>
      </c>
      <c r="EF127" s="137">
        <f>EF125/EG125</f>
      </c>
      <c r="EG127" s="138"/>
      <c r="EH127" s="136">
        <f>EH125/EL125</f>
      </c>
      <c r="EI127" s="105">
        <f>EI125/EL125</f>
      </c>
      <c r="EJ127" s="105">
        <f>EJ125/EL125</f>
      </c>
      <c r="EK127" s="137">
        <f>EK125/EL125</f>
      </c>
      <c r="EL127" s="138"/>
      <c r="EM127" s="136">
        <f>EM125/EQ125</f>
      </c>
      <c r="EN127" s="105">
        <f>EN125/EQ125</f>
      </c>
      <c r="EO127" s="105">
        <f>EO125/EQ125</f>
      </c>
      <c r="EP127" s="137">
        <f>EP125/EQ125</f>
      </c>
      <c r="EQ127" s="138"/>
      <c r="ER127" s="136">
        <f>ER125/EV125</f>
      </c>
      <c r="ES127" s="105">
        <f>ES125/EV125</f>
      </c>
      <c r="ET127" s="105">
        <f>ET125/EV125</f>
      </c>
      <c r="EU127" s="137">
        <f>EU125/EV125</f>
      </c>
      <c r="EV127" s="138"/>
      <c r="EW127" s="136">
        <f>EW125/FA125</f>
      </c>
      <c r="EX127" s="105">
        <f>EX125/FA125</f>
      </c>
      <c r="EY127" s="105">
        <f>EY125/FA125</f>
      </c>
      <c r="EZ127" s="137">
        <f>EZ125/FA125</f>
      </c>
      <c r="FA127" s="138"/>
      <c r="FB127" s="136">
        <f>FB125/FF125</f>
      </c>
      <c r="FC127" s="105">
        <f>FC125/FF125</f>
      </c>
      <c r="FD127" s="105">
        <f>FD125/FF125</f>
      </c>
      <c r="FE127" s="137">
        <f>FE125/FF125</f>
      </c>
      <c r="FF127" s="138"/>
      <c r="FG127" s="136">
        <f>FG125/FK125</f>
      </c>
      <c r="FH127" s="105">
        <f>FH125/FK125</f>
      </c>
      <c r="FI127" s="105">
        <f>FI125/FK125</f>
      </c>
      <c r="FJ127" s="137">
        <f>FJ125/FK125</f>
      </c>
      <c r="FK127" s="138"/>
      <c r="FL127" s="136">
        <f>FL125/FP125</f>
      </c>
      <c r="FM127" s="105">
        <f>FM125/FP125</f>
      </c>
      <c r="FN127" s="105">
        <f>FN125/FP125</f>
      </c>
      <c r="FO127" s="137">
        <f>FO125/FP125</f>
      </c>
      <c r="FP127" s="138"/>
      <c r="FQ127" s="136">
        <f>FQ125/FU125</f>
      </c>
      <c r="FR127" s="105">
        <f>FR125/FU125</f>
      </c>
      <c r="FS127" s="105">
        <f>FS125/FU125</f>
      </c>
      <c r="FT127" s="137">
        <f>FT125/FU125</f>
      </c>
      <c r="FU127" s="138"/>
      <c r="FV127" s="136">
        <f>FV125/FZ125</f>
      </c>
      <c r="FW127" s="105">
        <f>FW125/FZ125</f>
      </c>
      <c r="FX127" s="105">
        <f>FX125/FZ125</f>
      </c>
      <c r="FY127" s="137">
        <f>FY125/FZ125</f>
      </c>
      <c r="FZ127" s="138"/>
      <c r="GA127" s="136">
        <f>GA125/GE125</f>
      </c>
      <c r="GB127" s="105">
        <f>GB125/GE125</f>
      </c>
      <c r="GC127" s="105">
        <f>GC125/GE125</f>
      </c>
      <c r="GD127" s="137">
        <f>GD125/GE125</f>
      </c>
      <c r="GE127" s="138"/>
      <c r="GF127" s="136">
        <f>GF125/GJ125</f>
      </c>
      <c r="GG127" s="105">
        <f>GG125/GJ125</f>
      </c>
      <c r="GH127" s="105">
        <f>GH125/GJ125</f>
      </c>
      <c r="GI127" s="137">
        <f>GI125/GJ125</f>
      </c>
      <c r="GJ127" s="138"/>
    </row>
    <row r="128" spans="1:192" s="93" customFormat="1" ht="12.75" customHeight="1">
      <c r="A128" s="81"/>
      <c r="B128" s="704"/>
      <c r="C128" s="136"/>
      <c r="D128" s="105"/>
      <c r="E128" s="105"/>
      <c r="F128" s="137"/>
      <c r="G128" s="138"/>
      <c r="H128" s="136"/>
      <c r="I128" s="105"/>
      <c r="J128" s="105"/>
      <c r="K128" s="137"/>
      <c r="L128" s="138"/>
      <c r="M128" s="136"/>
      <c r="N128" s="105"/>
      <c r="O128" s="105"/>
      <c r="P128" s="137"/>
      <c r="Q128" s="138"/>
      <c r="R128" s="136"/>
      <c r="S128" s="105"/>
      <c r="T128" s="105"/>
      <c r="U128" s="137"/>
      <c r="V128" s="138"/>
      <c r="W128" s="136"/>
      <c r="X128" s="105"/>
      <c r="Y128" s="105"/>
      <c r="Z128" s="137"/>
      <c r="AA128" s="138"/>
      <c r="AB128" s="136"/>
      <c r="AC128" s="105"/>
      <c r="AD128" s="105"/>
      <c r="AE128" s="137"/>
      <c r="AF128" s="138"/>
      <c r="AG128" s="136"/>
      <c r="AH128" s="105"/>
      <c r="AI128" s="105"/>
      <c r="AJ128" s="137"/>
      <c r="AK128" s="138"/>
      <c r="AL128" s="136"/>
      <c r="AM128" s="105"/>
      <c r="AN128" s="105"/>
      <c r="AO128" s="137"/>
      <c r="AP128" s="138"/>
      <c r="AQ128" s="136"/>
      <c r="AR128" s="105"/>
      <c r="AS128" s="105"/>
      <c r="AT128" s="137"/>
      <c r="AU128" s="138"/>
      <c r="AV128" s="136"/>
      <c r="AW128" s="105"/>
      <c r="AX128" s="105"/>
      <c r="AY128" s="137"/>
      <c r="AZ128" s="138"/>
      <c r="BA128" s="136"/>
      <c r="BB128" s="105"/>
      <c r="BC128" s="105"/>
      <c r="BD128" s="137"/>
      <c r="BE128" s="138"/>
      <c r="BF128" s="136"/>
      <c r="BG128" s="105"/>
      <c r="BH128" s="105"/>
      <c r="BI128" s="137"/>
      <c r="BJ128" s="138"/>
      <c r="BK128" s="136"/>
      <c r="BL128" s="105"/>
      <c r="BM128" s="105"/>
      <c r="BN128" s="137"/>
      <c r="BO128" s="138"/>
      <c r="BP128" s="136"/>
      <c r="BQ128" s="105"/>
      <c r="BR128" s="105"/>
      <c r="BS128" s="137"/>
      <c r="BT128" s="138"/>
      <c r="BU128" s="136"/>
      <c r="BV128" s="105"/>
      <c r="BW128" s="105"/>
      <c r="BX128" s="137"/>
      <c r="BY128" s="138"/>
      <c r="BZ128" s="136"/>
      <c r="CA128" s="105"/>
      <c r="CB128" s="105"/>
      <c r="CC128" s="137"/>
      <c r="CD128" s="138"/>
      <c r="CE128" s="136"/>
      <c r="CF128" s="105"/>
      <c r="CG128" s="105"/>
      <c r="CH128" s="137"/>
      <c r="CI128" s="138"/>
      <c r="CJ128" s="136"/>
      <c r="CK128" s="105"/>
      <c r="CL128" s="105"/>
      <c r="CM128" s="137"/>
      <c r="CN128" s="138"/>
      <c r="CO128" s="136"/>
      <c r="CP128" s="105"/>
      <c r="CQ128" s="105"/>
      <c r="CR128" s="137"/>
      <c r="CS128" s="138"/>
      <c r="CT128" s="136"/>
      <c r="CU128" s="105"/>
      <c r="CV128" s="105"/>
      <c r="CW128" s="137"/>
      <c r="CX128" s="138"/>
      <c r="CY128" s="136"/>
      <c r="CZ128" s="105"/>
      <c r="DA128" s="105"/>
      <c r="DB128" s="137"/>
      <c r="DC128" s="138"/>
      <c r="DD128" s="136"/>
      <c r="DE128" s="105"/>
      <c r="DF128" s="105"/>
      <c r="DG128" s="137"/>
      <c r="DH128" s="138"/>
      <c r="DI128" s="136"/>
      <c r="DJ128" s="105"/>
      <c r="DK128" s="105"/>
      <c r="DL128" s="137"/>
      <c r="DM128" s="138"/>
      <c r="DN128" s="136"/>
      <c r="DO128" s="105"/>
      <c r="DP128" s="105"/>
      <c r="DQ128" s="137"/>
      <c r="DR128" s="138"/>
      <c r="DS128" s="136"/>
      <c r="DT128" s="105"/>
      <c r="DU128" s="105"/>
      <c r="DV128" s="137"/>
      <c r="DW128" s="138"/>
      <c r="DX128" s="136"/>
      <c r="DY128" s="105"/>
      <c r="DZ128" s="105"/>
      <c r="EA128" s="137"/>
      <c r="EB128" s="138"/>
      <c r="EC128" s="136"/>
      <c r="ED128" s="105"/>
      <c r="EE128" s="105"/>
      <c r="EF128" s="137"/>
      <c r="EG128" s="138"/>
      <c r="EH128" s="136"/>
      <c r="EI128" s="105"/>
      <c r="EJ128" s="105"/>
      <c r="EK128" s="137"/>
      <c r="EL128" s="138"/>
      <c r="EM128" s="136"/>
      <c r="EN128" s="105"/>
      <c r="EO128" s="105"/>
      <c r="EP128" s="137"/>
      <c r="EQ128" s="138"/>
      <c r="ER128" s="136"/>
      <c r="ES128" s="105"/>
      <c r="ET128" s="105"/>
      <c r="EU128" s="137"/>
      <c r="EV128" s="138"/>
      <c r="EW128" s="136"/>
      <c r="EX128" s="105"/>
      <c r="EY128" s="105"/>
      <c r="EZ128" s="137"/>
      <c r="FA128" s="138"/>
      <c r="FB128" s="136"/>
      <c r="FC128" s="105"/>
      <c r="FD128" s="105"/>
      <c r="FE128" s="137"/>
      <c r="FF128" s="138"/>
      <c r="FG128" s="136"/>
      <c r="FH128" s="105"/>
      <c r="FI128" s="105"/>
      <c r="FJ128" s="137"/>
      <c r="FK128" s="138"/>
      <c r="FL128" s="136"/>
      <c r="FM128" s="105"/>
      <c r="FN128" s="105"/>
      <c r="FO128" s="137"/>
      <c r="FP128" s="138"/>
      <c r="FQ128" s="136"/>
      <c r="FR128" s="105"/>
      <c r="FS128" s="105"/>
      <c r="FT128" s="137"/>
      <c r="FU128" s="138"/>
      <c r="FV128" s="136"/>
      <c r="FW128" s="105"/>
      <c r="FX128" s="105"/>
      <c r="FY128" s="137"/>
      <c r="FZ128" s="138"/>
      <c r="GA128" s="136"/>
      <c r="GB128" s="105"/>
      <c r="GC128" s="105"/>
      <c r="GD128" s="137"/>
      <c r="GE128" s="138"/>
      <c r="GF128" s="136"/>
      <c r="GG128" s="105"/>
      <c r="GH128" s="105"/>
      <c r="GI128" s="137"/>
      <c r="GJ128" s="138"/>
    </row>
    <row r="129" spans="1:192" s="1350" customFormat="1" ht="12.75" customHeight="1">
      <c r="A129" s="1346"/>
      <c r="B129" s="1155" t="s">
        <v>1860</v>
      </c>
      <c r="C129" s="1347"/>
      <c r="D129" s="1348"/>
      <c r="E129" s="1348"/>
      <c r="F129" s="1348"/>
      <c r="G129" s="1349"/>
      <c r="H129" s="1347"/>
      <c r="I129" s="1348"/>
      <c r="J129" s="1348"/>
      <c r="K129" s="1348"/>
      <c r="L129" s="1349"/>
      <c r="M129" s="1347"/>
      <c r="N129" s="1348"/>
      <c r="O129" s="1348"/>
      <c r="P129" s="1348"/>
      <c r="Q129" s="1349"/>
      <c r="R129" s="1347"/>
      <c r="S129" s="1348"/>
      <c r="T129" s="1348"/>
      <c r="U129" s="1348"/>
      <c r="V129" s="1349"/>
      <c r="W129" s="1347"/>
      <c r="X129" s="1348"/>
      <c r="Y129" s="1348"/>
      <c r="Z129" s="1348"/>
      <c r="AA129" s="1349"/>
      <c r="AB129" s="1347"/>
      <c r="AC129" s="1348"/>
      <c r="AD129" s="1348"/>
      <c r="AE129" s="1348"/>
      <c r="AF129" s="1349"/>
      <c r="AG129" s="1347"/>
      <c r="AH129" s="1348"/>
      <c r="AI129" s="1348"/>
      <c r="AJ129" s="1348"/>
      <c r="AK129" s="1349"/>
      <c r="AL129" s="1347"/>
      <c r="AM129" s="1348"/>
      <c r="AN129" s="1348"/>
      <c r="AO129" s="1348"/>
      <c r="AP129" s="1349"/>
      <c r="AQ129" s="1347"/>
      <c r="AR129" s="1348"/>
      <c r="AS129" s="1348"/>
      <c r="AT129" s="1348"/>
      <c r="AU129" s="1349"/>
      <c r="AV129" s="1347"/>
      <c r="AW129" s="1348"/>
      <c r="AX129" s="1348"/>
      <c r="AY129" s="1348"/>
      <c r="AZ129" s="1349"/>
      <c r="BA129" s="1347"/>
      <c r="BB129" s="1348"/>
      <c r="BC129" s="1348"/>
      <c r="BD129" s="1348"/>
      <c r="BE129" s="1349"/>
      <c r="BF129" s="1347"/>
      <c r="BG129" s="1348"/>
      <c r="BH129" s="1348"/>
      <c r="BI129" s="1348"/>
      <c r="BJ129" s="1349"/>
      <c r="BK129" s="1347"/>
      <c r="BL129" s="1348"/>
      <c r="BM129" s="1348"/>
      <c r="BN129" s="1348"/>
      <c r="BO129" s="1349"/>
      <c r="BP129" s="1347"/>
      <c r="BQ129" s="1348"/>
      <c r="BR129" s="1348"/>
      <c r="BS129" s="1348"/>
      <c r="BT129" s="1349"/>
      <c r="BU129" s="1347"/>
      <c r="BV129" s="1348"/>
      <c r="BW129" s="1348"/>
      <c r="BX129" s="1348"/>
      <c r="BY129" s="1349"/>
      <c r="BZ129" s="1347"/>
      <c r="CA129" s="1348"/>
      <c r="CB129" s="1348"/>
      <c r="CC129" s="1348"/>
      <c r="CD129" s="1349"/>
      <c r="CE129" s="1347"/>
      <c r="CF129" s="1348"/>
      <c r="CG129" s="1348"/>
      <c r="CH129" s="1348"/>
      <c r="CI129" s="1349"/>
      <c r="CJ129" s="1347"/>
      <c r="CK129" s="1348"/>
      <c r="CL129" s="1348"/>
      <c r="CM129" s="1348"/>
      <c r="CN129" s="1349"/>
      <c r="CO129" s="1347"/>
      <c r="CP129" s="1348"/>
      <c r="CQ129" s="1348"/>
      <c r="CR129" s="1348"/>
      <c r="CS129" s="1349"/>
      <c r="CT129" s="1347"/>
      <c r="CU129" s="1348"/>
      <c r="CV129" s="1348"/>
      <c r="CW129" s="1348"/>
      <c r="CX129" s="1349"/>
      <c r="CY129" s="1347"/>
      <c r="CZ129" s="1348"/>
      <c r="DA129" s="1348"/>
      <c r="DB129" s="1348"/>
      <c r="DC129" s="1349"/>
      <c r="DD129" s="1347">
        <f>CF!DD96</f>
      </c>
      <c r="DE129" s="1348">
        <f>CF!DE96</f>
      </c>
      <c r="DF129" s="1348">
        <f>CF!DF96</f>
      </c>
      <c r="DG129" s="1348">
        <f>CF!DG96</f>
      </c>
      <c r="DH129" s="1349">
        <f>CF!DH96</f>
      </c>
      <c r="DI129" s="1347">
        <f>CF!DI96</f>
      </c>
      <c r="DJ129" s="1348">
        <f>CF!DJ96</f>
      </c>
      <c r="DK129" s="1348">
        <f>CF!DK96</f>
      </c>
      <c r="DL129" s="1348">
        <f>CF!DL96</f>
      </c>
      <c r="DM129" s="1349">
        <f>CF!DM96</f>
      </c>
      <c r="DN129" s="1347">
        <f>CF!DN96</f>
      </c>
      <c r="DO129" s="1348">
        <f>CF!DO96</f>
      </c>
      <c r="DP129" s="1348">
        <f>CF!DP96</f>
      </c>
      <c r="DQ129" s="1348">
        <f>CF!DQ96</f>
      </c>
      <c r="DR129" s="1349">
        <f>CF!DR96</f>
      </c>
      <c r="DS129" s="1347">
        <f>CF!DS96</f>
      </c>
      <c r="DT129" s="1348">
        <f>CF!DT96</f>
      </c>
      <c r="DU129" s="1348">
        <f>CF!DU96</f>
      </c>
      <c r="DV129" s="1348">
        <f>CF!DV96</f>
      </c>
      <c r="DW129" s="1349">
        <f>CF!DW96</f>
      </c>
      <c r="DX129" s="1347">
        <f>CF!DX96</f>
      </c>
      <c r="DY129" s="1348">
        <f>CF!DY96</f>
      </c>
      <c r="DZ129" s="1348">
        <f>CF!DZ96</f>
      </c>
      <c r="EA129" s="1348">
        <f>CF!EA96</f>
      </c>
      <c r="EB129" s="1349">
        <f>CF!EB96</f>
      </c>
      <c r="EC129" s="1347">
        <f>CF!EC96</f>
      </c>
      <c r="ED129" s="1348">
        <f>CF!ED96</f>
      </c>
      <c r="EE129" s="1348">
        <f>CF!EE96</f>
      </c>
      <c r="EF129" s="1348">
        <f>CF!EF96</f>
      </c>
      <c r="EG129" s="1349">
        <f>CF!EG96</f>
      </c>
      <c r="EH129" s="1347">
        <f>CF!EH96</f>
      </c>
      <c r="EI129" s="1348">
        <f>CF!EI96</f>
      </c>
      <c r="EJ129" s="1348">
        <f>CF!EJ96</f>
      </c>
      <c r="EK129" s="1348">
        <f>CF!EK96</f>
      </c>
      <c r="EL129" s="1349">
        <f>CF!EL96</f>
      </c>
      <c r="EM129" s="1347">
        <f>CF!EM96</f>
      </c>
      <c r="EN129" s="1348">
        <f>CF!EN96</f>
      </c>
      <c r="EO129" s="1348">
        <f>CF!EO96</f>
      </c>
      <c r="EP129" s="1348">
        <f>CF!EP96</f>
      </c>
      <c r="EQ129" s="1349">
        <f>CF!EQ96</f>
      </c>
      <c r="ER129" s="1347">
        <f>CF!ER96</f>
      </c>
      <c r="ES129" s="1348">
        <f>CF!ES96</f>
      </c>
      <c r="ET129" s="1348">
        <f>CF!ET96</f>
      </c>
      <c r="EU129" s="1348">
        <f>CF!EU96</f>
      </c>
      <c r="EV129" s="1349">
        <f>CF!EV96</f>
      </c>
      <c r="EW129" s="1347">
        <f>CF!EW96</f>
      </c>
      <c r="EX129" s="1348">
        <f>CF!EX96</f>
      </c>
      <c r="EY129" s="1348">
        <f>CF!EY96</f>
      </c>
      <c r="EZ129" s="1348">
        <f>CF!EZ96</f>
      </c>
      <c r="FA129" s="1349">
        <f>CF!FA96</f>
      </c>
      <c r="FB129" s="1347">
        <f>CF!FB96</f>
      </c>
      <c r="FC129" s="1348">
        <f>CF!FC96</f>
      </c>
      <c r="FD129" s="1348">
        <f>CF!FD96</f>
      </c>
      <c r="FE129" s="1348">
        <f>CF!FE96</f>
      </c>
      <c r="FF129" s="1349">
        <f>CF!FF96</f>
      </c>
      <c r="FG129" s="1347">
        <f>CF!FG96</f>
      </c>
      <c r="FH129" s="1348">
        <f>CF!FH96</f>
      </c>
      <c r="FI129" s="1348">
        <f>CF!FI96</f>
      </c>
      <c r="FJ129" s="1348">
        <f>CF!FJ96</f>
      </c>
      <c r="FK129" s="1349">
        <f>CF!FK96</f>
      </c>
      <c r="FL129" s="1347">
        <f>CF!FL96</f>
      </c>
      <c r="FM129" s="1348">
        <f>CF!FM96</f>
      </c>
      <c r="FN129" s="1348">
        <f>CF!FN96</f>
      </c>
      <c r="FO129" s="1348">
        <f>CF!FO96</f>
      </c>
      <c r="FP129" s="1349">
        <f>CF!FP96</f>
      </c>
      <c r="FQ129" s="1347">
        <f>CF!FQ96</f>
      </c>
      <c r="FR129" s="1348">
        <f>CF!FR96</f>
      </c>
      <c r="FS129" s="1348">
        <f>CF!FS96</f>
      </c>
      <c r="FT129" s="1348">
        <f>CF!FT96</f>
      </c>
      <c r="FU129" s="1349">
        <f>CF!FU96</f>
      </c>
      <c r="FV129" s="1347">
        <f>CF!FV96</f>
      </c>
      <c r="FW129" s="1348">
        <f>CF!FW96</f>
      </c>
      <c r="FX129" s="1348">
        <f>CF!FX96</f>
      </c>
      <c r="FY129" s="1348">
        <f>CF!FY96</f>
      </c>
      <c r="FZ129" s="1349">
        <f>CF!FZ96</f>
      </c>
      <c r="GA129" s="1347">
        <f>CF!GA96</f>
      </c>
      <c r="GB129" s="1348">
        <f>CF!GB96</f>
      </c>
      <c r="GC129" s="1348">
        <f>CF!GC96</f>
      </c>
      <c r="GD129" s="1348">
        <f>CF!GD96</f>
      </c>
      <c r="GE129" s="1349">
        <f>CF!GE96</f>
      </c>
      <c r="GF129" s="1347">
        <f>CF!GF96</f>
      </c>
      <c r="GG129" s="1348">
        <f>CF!GG96</f>
      </c>
      <c r="GH129" s="1348">
        <f>CF!GH96</f>
      </c>
      <c r="GI129" s="1348">
        <f>CF!GI96</f>
      </c>
      <c r="GJ129" s="1349">
        <f>CF!GJ96</f>
      </c>
    </row>
    <row r="130" spans="1:192" s="1277" customFormat="1" ht="12.75" customHeight="1">
      <c r="A130" s="1237"/>
      <c r="B130" s="704" t="s">
        <v>175</v>
      </c>
      <c r="C130" s="1474"/>
      <c r="D130" s="1441"/>
      <c r="E130" s="1441"/>
      <c r="F130" s="1313"/>
      <c r="G130" s="1314"/>
      <c r="H130" s="1474"/>
      <c r="I130" s="1441"/>
      <c r="J130" s="1441"/>
      <c r="K130" s="1313"/>
      <c r="L130" s="1314"/>
      <c r="M130" s="1474"/>
      <c r="N130" s="1441"/>
      <c r="O130" s="1441"/>
      <c r="P130" s="1313"/>
      <c r="Q130" s="1314"/>
      <c r="R130" s="1474"/>
      <c r="S130" s="1441"/>
      <c r="T130" s="1441"/>
      <c r="U130" s="1313"/>
      <c r="V130" s="1314"/>
      <c r="W130" s="1474"/>
      <c r="X130" s="1441"/>
      <c r="Y130" s="1441"/>
      <c r="Z130" s="1313"/>
      <c r="AA130" s="1314"/>
      <c r="AB130" s="1474"/>
      <c r="AC130" s="1441"/>
      <c r="AD130" s="1441"/>
      <c r="AE130" s="1313"/>
      <c r="AF130" s="1314"/>
      <c r="AG130" s="1474"/>
      <c r="AH130" s="1441"/>
      <c r="AI130" s="1441"/>
      <c r="AJ130" s="1313"/>
      <c r="AK130" s="1314"/>
      <c r="AL130" s="1474"/>
      <c r="AM130" s="1441"/>
      <c r="AN130" s="1441"/>
      <c r="AO130" s="1313"/>
      <c r="AP130" s="1314"/>
      <c r="AQ130" s="1474"/>
      <c r="AR130" s="1441"/>
      <c r="AS130" s="1441"/>
      <c r="AT130" s="1313"/>
      <c r="AU130" s="1314"/>
      <c r="AV130" s="1474"/>
      <c r="AW130" s="1441"/>
      <c r="AX130" s="1441"/>
      <c r="AY130" s="1313"/>
      <c r="AZ130" s="1314"/>
      <c r="BA130" s="1474"/>
      <c r="BB130" s="1441"/>
      <c r="BC130" s="1441"/>
      <c r="BD130" s="1313"/>
      <c r="BE130" s="1314"/>
      <c r="BF130" s="1474"/>
      <c r="BG130" s="1441"/>
      <c r="BH130" s="1441"/>
      <c r="BI130" s="1313"/>
      <c r="BJ130" s="1314"/>
      <c r="BK130" s="1474"/>
      <c r="BL130" s="1441"/>
      <c r="BM130" s="1441"/>
      <c r="BN130" s="1313"/>
      <c r="BO130" s="1314"/>
      <c r="BP130" s="1474"/>
      <c r="BQ130" s="1441"/>
      <c r="BR130" s="1441"/>
      <c r="BS130" s="1313"/>
      <c r="BT130" s="1314"/>
      <c r="BU130" s="1474"/>
      <c r="BV130" s="1441"/>
      <c r="BW130" s="1441"/>
      <c r="BX130" s="1313"/>
      <c r="BY130" s="1314"/>
      <c r="BZ130" s="1474"/>
      <c r="CA130" s="1441"/>
      <c r="CB130" s="1441"/>
      <c r="CC130" s="1313"/>
      <c r="CD130" s="1314"/>
      <c r="CE130" s="1474"/>
      <c r="CF130" s="1441"/>
      <c r="CG130" s="1441"/>
      <c r="CH130" s="1313"/>
      <c r="CI130" s="1314"/>
      <c r="CJ130" s="1474"/>
      <c r="CK130" s="1441"/>
      <c r="CL130" s="1441"/>
      <c r="CM130" s="1313"/>
      <c r="CN130" s="1314"/>
      <c r="CO130" s="1474"/>
      <c r="CP130" s="1441"/>
      <c r="CQ130" s="1441"/>
      <c r="CR130" s="1313"/>
      <c r="CS130" s="1314"/>
      <c r="CT130" s="1474"/>
      <c r="CU130" s="1441"/>
      <c r="CV130" s="1441"/>
      <c r="CW130" s="1313"/>
      <c r="CX130" s="1314"/>
      <c r="CY130" s="1474"/>
      <c r="CZ130" s="1441"/>
      <c r="DA130" s="1441"/>
      <c r="DB130" s="1313"/>
      <c r="DC130" s="1314"/>
      <c r="DD130" s="1474">
        <f t="shared" ref="DD130:EI130" si="1097">DD129/DD56</f>
      </c>
      <c r="DE130" s="1441">
        <f t="shared" si="1097"/>
      </c>
      <c r="DF130" s="1441">
        <f t="shared" si="1097"/>
      </c>
      <c r="DG130" s="1313">
        <f t="shared" si="1097"/>
      </c>
      <c r="DH130" s="1314">
        <f t="shared" si="1097"/>
      </c>
      <c r="DI130" s="1474">
        <f t="shared" si="1097"/>
      </c>
      <c r="DJ130" s="1441">
        <f t="shared" si="1097"/>
      </c>
      <c r="DK130" s="1441">
        <f t="shared" si="1097"/>
      </c>
      <c r="DL130" s="1313">
        <f t="shared" si="1097"/>
      </c>
      <c r="DM130" s="1314">
        <f t="shared" si="1097"/>
      </c>
      <c r="DN130" s="1474">
        <f t="shared" si="1097"/>
      </c>
      <c r="DO130" s="1441">
        <f t="shared" si="1097"/>
      </c>
      <c r="DP130" s="1441">
        <f t="shared" si="1097"/>
      </c>
      <c r="DQ130" s="1313">
        <f t="shared" si="1097"/>
      </c>
      <c r="DR130" s="1314">
        <f t="shared" si="1097"/>
      </c>
      <c r="DS130" s="1474">
        <f t="shared" si="1097"/>
      </c>
      <c r="DT130" s="1441">
        <f t="shared" si="1097"/>
      </c>
      <c r="DU130" s="1441">
        <f t="shared" si="1097"/>
      </c>
      <c r="DV130" s="1313">
        <f t="shared" si="1097"/>
      </c>
      <c r="DW130" s="1314">
        <f t="shared" si="1097"/>
      </c>
      <c r="DX130" s="1474">
        <f t="shared" si="1097"/>
      </c>
      <c r="DY130" s="1441">
        <f t="shared" si="1097"/>
      </c>
      <c r="DZ130" s="1441">
        <f t="shared" si="1097"/>
      </c>
      <c r="EA130" s="1313">
        <f t="shared" si="1097"/>
      </c>
      <c r="EB130" s="1314">
        <f t="shared" si="1097"/>
      </c>
      <c r="EC130" s="1474">
        <f t="shared" si="1097"/>
      </c>
      <c r="ED130" s="1441">
        <f t="shared" si="1097"/>
      </c>
      <c r="EE130" s="1441">
        <f t="shared" si="1097"/>
      </c>
      <c r="EF130" s="1313">
        <f t="shared" si="1097"/>
      </c>
      <c r="EG130" s="1314">
        <f t="shared" si="1097"/>
      </c>
      <c r="EH130" s="1474">
        <f t="shared" si="1097"/>
      </c>
      <c r="EI130" s="1441">
        <f t="shared" si="1097"/>
      </c>
      <c r="EJ130" s="1441">
        <f t="shared" ref="EJ130:FO130" si="1098">EJ129/EJ56</f>
      </c>
      <c r="EK130" s="1313">
        <f t="shared" si="1098"/>
      </c>
      <c r="EL130" s="1314">
        <f t="shared" si="1098"/>
      </c>
      <c r="EM130" s="1474">
        <f t="shared" si="1098"/>
      </c>
      <c r="EN130" s="1441">
        <f t="shared" si="1098"/>
      </c>
      <c r="EO130" s="1441">
        <f t="shared" si="1098"/>
      </c>
      <c r="EP130" s="1313">
        <f t="shared" si="1098"/>
      </c>
      <c r="EQ130" s="1314">
        <f t="shared" si="1098"/>
      </c>
      <c r="ER130" s="1474">
        <f t="shared" si="1098"/>
      </c>
      <c r="ES130" s="1441">
        <f t="shared" si="1098"/>
      </c>
      <c r="ET130" s="1441">
        <f t="shared" si="1098"/>
      </c>
      <c r="EU130" s="1313">
        <f t="shared" si="1098"/>
      </c>
      <c r="EV130" s="1314">
        <f t="shared" si="1098"/>
      </c>
      <c r="EW130" s="1474">
        <f t="shared" si="1098"/>
      </c>
      <c r="EX130" s="1441">
        <f t="shared" si="1098"/>
      </c>
      <c r="EY130" s="1441">
        <f t="shared" si="1098"/>
      </c>
      <c r="EZ130" s="1313">
        <f t="shared" si="1098"/>
      </c>
      <c r="FA130" s="1314">
        <f t="shared" si="1098"/>
      </c>
      <c r="FB130" s="1474">
        <f t="shared" si="1098"/>
      </c>
      <c r="FC130" s="1441">
        <f t="shared" si="1098"/>
      </c>
      <c r="FD130" s="1441">
        <f t="shared" si="1098"/>
      </c>
      <c r="FE130" s="1313">
        <f t="shared" si="1098"/>
      </c>
      <c r="FF130" s="1314">
        <f t="shared" si="1098"/>
      </c>
      <c r="FG130" s="1474">
        <f t="shared" si="1098"/>
      </c>
      <c r="FH130" s="1441">
        <f t="shared" si="1098"/>
      </c>
      <c r="FI130" s="1441">
        <f t="shared" si="1098"/>
      </c>
      <c r="FJ130" s="1313">
        <f t="shared" si="1098"/>
      </c>
      <c r="FK130" s="1314">
        <f t="shared" si="1098"/>
      </c>
      <c r="FL130" s="1474">
        <f t="shared" si="1098"/>
      </c>
      <c r="FM130" s="1441">
        <f t="shared" si="1098"/>
      </c>
      <c r="FN130" s="1441">
        <f t="shared" si="1098"/>
      </c>
      <c r="FO130" s="1313">
        <f t="shared" si="1098"/>
      </c>
      <c r="FP130" s="1314">
        <f t="shared" ref="FP130:GJ130" si="1099">FP129/FP56</f>
      </c>
      <c r="FQ130" s="1474">
        <f t="shared" si="1099"/>
      </c>
      <c r="FR130" s="1441">
        <f t="shared" si="1099"/>
      </c>
      <c r="FS130" s="1441">
        <f t="shared" si="1099"/>
      </c>
      <c r="FT130" s="1313">
        <f t="shared" si="1099"/>
      </c>
      <c r="FU130" s="1314">
        <f t="shared" si="1099"/>
      </c>
      <c r="FV130" s="1474">
        <f t="shared" si="1099"/>
      </c>
      <c r="FW130" s="1441">
        <f t="shared" si="1099"/>
      </c>
      <c r="FX130" s="1441">
        <f t="shared" si="1099"/>
      </c>
      <c r="FY130" s="1313">
        <f t="shared" si="1099"/>
      </c>
      <c r="FZ130" s="1314">
        <f t="shared" si="1099"/>
      </c>
      <c r="GA130" s="1474">
        <f t="shared" si="1099"/>
      </c>
      <c r="GB130" s="1441">
        <f t="shared" si="1099"/>
      </c>
      <c r="GC130" s="1441">
        <f t="shared" si="1099"/>
      </c>
      <c r="GD130" s="1313">
        <f t="shared" si="1099"/>
      </c>
      <c r="GE130" s="1314">
        <f t="shared" si="1099"/>
      </c>
      <c r="GF130" s="1474">
        <f t="shared" si="1099"/>
      </c>
      <c r="GG130" s="1441">
        <f t="shared" si="1099"/>
      </c>
      <c r="GH130" s="1441">
        <f t="shared" si="1099"/>
      </c>
      <c r="GI130" s="1313">
        <f t="shared" si="1099"/>
      </c>
      <c r="GJ130" s="1314">
        <f t="shared" si="1099"/>
      </c>
    </row>
    <row r="131" spans="1:192" s="93" customFormat="1" ht="12.75" customHeight="1">
      <c r="A131" s="81"/>
      <c r="B131" s="704" t="s">
        <v>478</v>
      </c>
      <c r="C131" s="136"/>
      <c r="D131" s="105"/>
      <c r="E131" s="105"/>
      <c r="F131" s="137"/>
      <c r="G131" s="138"/>
      <c r="H131" s="136"/>
      <c r="I131" s="105"/>
      <c r="J131" s="105"/>
      <c r="K131" s="137"/>
      <c r="L131" s="138"/>
      <c r="M131" s="136"/>
      <c r="N131" s="105"/>
      <c r="O131" s="105"/>
      <c r="P131" s="137"/>
      <c r="Q131" s="138"/>
      <c r="R131" s="136"/>
      <c r="S131" s="105"/>
      <c r="T131" s="105"/>
      <c r="U131" s="137"/>
      <c r="V131" s="138"/>
      <c r="W131" s="136"/>
      <c r="X131" s="105"/>
      <c r="Y131" s="105"/>
      <c r="Z131" s="137"/>
      <c r="AA131" s="138"/>
      <c r="AB131" s="136"/>
      <c r="AC131" s="105"/>
      <c r="AD131" s="105"/>
      <c r="AE131" s="137"/>
      <c r="AF131" s="138"/>
      <c r="AG131" s="136"/>
      <c r="AH131" s="105"/>
      <c r="AI131" s="105"/>
      <c r="AJ131" s="137"/>
      <c r="AK131" s="138"/>
      <c r="AL131" s="136"/>
      <c r="AM131" s="105"/>
      <c r="AN131" s="105"/>
      <c r="AO131" s="137"/>
      <c r="AP131" s="138"/>
      <c r="AQ131" s="136"/>
      <c r="AR131" s="105"/>
      <c r="AS131" s="105"/>
      <c r="AT131" s="137"/>
      <c r="AU131" s="138"/>
      <c r="AV131" s="136"/>
      <c r="AW131" s="105"/>
      <c r="AX131" s="105"/>
      <c r="AY131" s="137"/>
      <c r="AZ131" s="138"/>
      <c r="BA131" s="136"/>
      <c r="BB131" s="105"/>
      <c r="BC131" s="105"/>
      <c r="BD131" s="137"/>
      <c r="BE131" s="138"/>
      <c r="BF131" s="136"/>
      <c r="BG131" s="105"/>
      <c r="BH131" s="105"/>
      <c r="BI131" s="137"/>
      <c r="BJ131" s="138"/>
      <c r="BK131" s="136"/>
      <c r="BL131" s="105"/>
      <c r="BM131" s="105"/>
      <c r="BN131" s="137"/>
      <c r="BO131" s="138"/>
      <c r="BP131" s="136"/>
      <c r="BQ131" s="105"/>
      <c r="BR131" s="105"/>
      <c r="BS131" s="137"/>
      <c r="BT131" s="138"/>
      <c r="BU131" s="136"/>
      <c r="BV131" s="105"/>
      <c r="BW131" s="105"/>
      <c r="BX131" s="137"/>
      <c r="BY131" s="138"/>
      <c r="BZ131" s="136"/>
      <c r="CA131" s="105"/>
      <c r="CB131" s="105"/>
      <c r="CC131" s="137"/>
      <c r="CD131" s="138"/>
      <c r="CE131" s="136"/>
      <c r="CF131" s="105"/>
      <c r="CG131" s="105"/>
      <c r="CH131" s="137"/>
      <c r="CI131" s="138"/>
      <c r="CJ131" s="136"/>
      <c r="CK131" s="105"/>
      <c r="CL131" s="105"/>
      <c r="CM131" s="137"/>
      <c r="CN131" s="138"/>
      <c r="CO131" s="136"/>
      <c r="CP131" s="105"/>
      <c r="CQ131" s="105"/>
      <c r="CR131" s="137"/>
      <c r="CS131" s="138"/>
      <c r="CT131" s="136"/>
      <c r="CU131" s="105"/>
      <c r="CV131" s="105"/>
      <c r="CW131" s="137"/>
      <c r="CX131" s="138"/>
      <c r="CY131" s="136"/>
      <c r="CZ131" s="105"/>
      <c r="DA131" s="105"/>
      <c r="DB131" s="137"/>
      <c r="DC131" s="138"/>
      <c r="DD131" s="136">
        <f>DD129/DH129</f>
      </c>
      <c r="DE131" s="105">
        <f>DE129/DH129</f>
      </c>
      <c r="DF131" s="105">
        <f>DF129/DH129</f>
      </c>
      <c r="DG131" s="137">
        <f>DG129/DH129</f>
      </c>
      <c r="DH131" s="138"/>
      <c r="DI131" s="136">
        <f>DI129/DM129</f>
      </c>
      <c r="DJ131" s="105">
        <f>DJ129/DM129</f>
      </c>
      <c r="DK131" s="105">
        <f>DK129/DM129</f>
      </c>
      <c r="DL131" s="137">
        <f>DL129/DM129</f>
      </c>
      <c r="DM131" s="138"/>
      <c r="DN131" s="136">
        <f>DN129/DR129</f>
      </c>
      <c r="DO131" s="105">
        <f>DO129/DR129</f>
      </c>
      <c r="DP131" s="105">
        <f>DP129/DR129</f>
      </c>
      <c r="DQ131" s="137">
        <f>DQ129/DR129</f>
      </c>
      <c r="DR131" s="138"/>
      <c r="DS131" s="136">
        <f>DS129/DW129</f>
      </c>
      <c r="DT131" s="105">
        <f>DT129/DW129</f>
      </c>
      <c r="DU131" s="105">
        <f>DU129/DW129</f>
      </c>
      <c r="DV131" s="137">
        <f>DV129/DW129</f>
      </c>
      <c r="DW131" s="138"/>
      <c r="DX131" s="136">
        <f>DX129/EB129</f>
      </c>
      <c r="DY131" s="105">
        <f>DY129/EB129</f>
      </c>
      <c r="DZ131" s="105">
        <f>DZ129/EB129</f>
      </c>
      <c r="EA131" s="137">
        <f>EA129/EB129</f>
      </c>
      <c r="EB131" s="138"/>
      <c r="EC131" s="136">
        <f>EC129/EG129</f>
      </c>
      <c r="ED131" s="105">
        <f>ED129/EG129</f>
      </c>
      <c r="EE131" s="105">
        <f>EE129/EG129</f>
      </c>
      <c r="EF131" s="137">
        <f>EF129/EG129</f>
      </c>
      <c r="EG131" s="138"/>
      <c r="EH131" s="136">
        <f>EH129/EL129</f>
      </c>
      <c r="EI131" s="105">
        <f>EI129/EL129</f>
      </c>
      <c r="EJ131" s="105">
        <f>EJ129/EL129</f>
      </c>
      <c r="EK131" s="137">
        <f>EK129/EL129</f>
      </c>
      <c r="EL131" s="138"/>
      <c r="EM131" s="136">
        <f>EM129/EQ129</f>
      </c>
      <c r="EN131" s="105">
        <f>EN129/EQ129</f>
      </c>
      <c r="EO131" s="105">
        <f>EO129/EQ129</f>
      </c>
      <c r="EP131" s="137">
        <f>EP129/EQ129</f>
      </c>
      <c r="EQ131" s="138"/>
      <c r="ER131" s="136">
        <f>ER129/EV129</f>
      </c>
      <c r="ES131" s="105">
        <f>ES129/EV129</f>
      </c>
      <c r="ET131" s="105">
        <f>ET129/EV129</f>
      </c>
      <c r="EU131" s="137">
        <f>EU129/EV129</f>
      </c>
      <c r="EV131" s="138"/>
      <c r="EW131" s="136">
        <f>EW129/FA129</f>
      </c>
      <c r="EX131" s="105">
        <f>EX129/FA129</f>
      </c>
      <c r="EY131" s="105">
        <f>EY129/FA129</f>
      </c>
      <c r="EZ131" s="137">
        <f>EZ129/FA129</f>
      </c>
      <c r="FA131" s="138"/>
      <c r="FB131" s="136">
        <f>FB129/FF129</f>
      </c>
      <c r="FC131" s="105">
        <f>FC129/FF129</f>
      </c>
      <c r="FD131" s="105">
        <f>FD129/FF129</f>
      </c>
      <c r="FE131" s="137">
        <f>FE129/FF129</f>
      </c>
      <c r="FF131" s="138"/>
      <c r="FG131" s="136">
        <f>FG129/FK129</f>
      </c>
      <c r="FH131" s="105">
        <f>FH129/FK129</f>
      </c>
      <c r="FI131" s="105">
        <f>FI129/FK129</f>
      </c>
      <c r="FJ131" s="137">
        <f>FJ129/FK129</f>
      </c>
      <c r="FK131" s="138"/>
      <c r="FL131" s="136">
        <f>FL129/FP129</f>
      </c>
      <c r="FM131" s="105">
        <f>FM129/FP129</f>
      </c>
      <c r="FN131" s="105">
        <f>FN129/FP129</f>
      </c>
      <c r="FO131" s="137">
        <f>FO129/FP129</f>
      </c>
      <c r="FP131" s="138"/>
      <c r="FQ131" s="136">
        <f>FQ129/FU129</f>
      </c>
      <c r="FR131" s="105">
        <f>FR129/FU129</f>
      </c>
      <c r="FS131" s="105">
        <f>FS129/FU129</f>
      </c>
      <c r="FT131" s="137">
        <f>FT129/FU129</f>
      </c>
      <c r="FU131" s="138"/>
      <c r="FV131" s="136">
        <f>FV129/FZ129</f>
      </c>
      <c r="FW131" s="105">
        <f>FW129/FZ129</f>
      </c>
      <c r="FX131" s="105">
        <f>FX129/FZ129</f>
      </c>
      <c r="FY131" s="137">
        <f>FY129/FZ129</f>
      </c>
      <c r="FZ131" s="138"/>
      <c r="GA131" s="136">
        <f>GA129/GE129</f>
      </c>
      <c r="GB131" s="105">
        <f>GB129/GE129</f>
      </c>
      <c r="GC131" s="105">
        <f>GC129/GE129</f>
      </c>
      <c r="GD131" s="137">
        <f>GD129/GE129</f>
      </c>
      <c r="GE131" s="138"/>
      <c r="GF131" s="136">
        <f>GF129/GJ129</f>
      </c>
      <c r="GG131" s="105">
        <f>GG129/GJ129</f>
      </c>
      <c r="GH131" s="105">
        <f>GH129/GJ129</f>
      </c>
      <c r="GI131" s="137">
        <f>GI129/GJ129</f>
      </c>
      <c r="GJ131" s="138"/>
    </row>
    <row r="132" spans="1:192" s="93" customFormat="1" ht="12.75" customHeight="1">
      <c r="A132" s="68"/>
      <c r="B132" s="703"/>
      <c r="C132" s="139"/>
      <c r="D132" s="105"/>
      <c r="E132" s="105"/>
      <c r="F132" s="105"/>
      <c r="G132" s="122"/>
      <c r="H132" s="139"/>
      <c r="I132" s="105"/>
      <c r="J132" s="105"/>
      <c r="K132" s="105"/>
      <c r="L132" s="122"/>
      <c r="M132" s="139"/>
      <c r="N132" s="105"/>
      <c r="O132" s="105"/>
      <c r="P132" s="105"/>
      <c r="Q132" s="122"/>
      <c r="R132" s="139"/>
      <c r="S132" s="105"/>
      <c r="T132" s="105"/>
      <c r="U132" s="105"/>
      <c r="V132" s="122"/>
      <c r="W132" s="139"/>
      <c r="X132" s="105"/>
      <c r="Y132" s="105"/>
      <c r="Z132" s="105"/>
      <c r="AA132" s="122"/>
      <c r="AB132" s="139"/>
      <c r="AC132" s="105"/>
      <c r="AD132" s="105"/>
      <c r="AE132" s="105"/>
      <c r="AF132" s="122"/>
      <c r="AG132" s="139"/>
      <c r="AH132" s="105"/>
      <c r="AI132" s="105"/>
      <c r="AJ132" s="105"/>
      <c r="AK132" s="122"/>
      <c r="AL132" s="139"/>
      <c r="AM132" s="105"/>
      <c r="AN132" s="105"/>
      <c r="AO132" s="105"/>
      <c r="AP132" s="122"/>
      <c r="AQ132" s="139"/>
      <c r="AR132" s="105"/>
      <c r="AS132" s="105"/>
      <c r="AT132" s="105"/>
      <c r="AU132" s="122"/>
      <c r="AV132" s="139"/>
      <c r="AW132" s="105"/>
      <c r="AX132" s="105"/>
      <c r="AY132" s="105"/>
      <c r="AZ132" s="122"/>
      <c r="BA132" s="139"/>
      <c r="BB132" s="105"/>
      <c r="BC132" s="105"/>
      <c r="BD132" s="105"/>
      <c r="BE132" s="122"/>
      <c r="BF132" s="139"/>
      <c r="BG132" s="105"/>
      <c r="BH132" s="105"/>
      <c r="BI132" s="105"/>
      <c r="BJ132" s="122"/>
      <c r="BK132" s="139"/>
      <c r="BL132" s="105"/>
      <c r="BM132" s="105"/>
      <c r="BN132" s="105"/>
      <c r="BO132" s="122"/>
      <c r="BP132" s="139"/>
      <c r="BQ132" s="105"/>
      <c r="BR132" s="105"/>
      <c r="BS132" s="105"/>
      <c r="BT132" s="122"/>
      <c r="BU132" s="139"/>
      <c r="BV132" s="105"/>
      <c r="BW132" s="105"/>
      <c r="BX132" s="105"/>
      <c r="BY132" s="122"/>
      <c r="BZ132" s="139"/>
      <c r="CA132" s="105"/>
      <c r="CB132" s="105"/>
      <c r="CC132" s="105"/>
      <c r="CD132" s="122"/>
      <c r="CE132" s="139"/>
      <c r="CF132" s="105"/>
      <c r="CG132" s="105"/>
      <c r="CH132" s="105"/>
      <c r="CI132" s="122"/>
      <c r="CJ132" s="139"/>
      <c r="CK132" s="105"/>
      <c r="CL132" s="105"/>
      <c r="CM132" s="105"/>
      <c r="CN132" s="122"/>
      <c r="CO132" s="139"/>
      <c r="CP132" s="105"/>
      <c r="CQ132" s="105"/>
      <c r="CR132" s="105"/>
      <c r="CS132" s="122"/>
      <c r="CT132" s="139"/>
      <c r="CU132" s="105"/>
      <c r="CV132" s="105"/>
      <c r="CW132" s="105"/>
      <c r="CX132" s="122"/>
      <c r="CY132" s="139"/>
      <c r="CZ132" s="105"/>
      <c r="DA132" s="105"/>
      <c r="DB132" s="105"/>
      <c r="DC132" s="122"/>
      <c r="DD132" s="139"/>
      <c r="DE132" s="105"/>
      <c r="DF132" s="105"/>
      <c r="DG132" s="105"/>
      <c r="DH132" s="122"/>
      <c r="DI132" s="139"/>
      <c r="DJ132" s="105"/>
      <c r="DK132" s="105"/>
      <c r="DL132" s="105"/>
      <c r="DM132" s="122"/>
      <c r="DN132" s="139"/>
      <c r="DO132" s="105"/>
      <c r="DP132" s="105"/>
      <c r="DQ132" s="105"/>
      <c r="DR132" s="122"/>
      <c r="DS132" s="139"/>
      <c r="DT132" s="105"/>
      <c r="DU132" s="105"/>
      <c r="DV132" s="105"/>
      <c r="DW132" s="122"/>
      <c r="DX132" s="139"/>
      <c r="DY132" s="105"/>
      <c r="DZ132" s="105"/>
      <c r="EA132" s="105"/>
      <c r="EB132" s="122"/>
      <c r="EC132" s="139"/>
      <c r="ED132" s="105"/>
      <c r="EE132" s="105"/>
      <c r="EF132" s="105"/>
      <c r="EG132" s="122"/>
      <c r="EH132" s="139"/>
      <c r="EI132" s="105"/>
      <c r="EJ132" s="105"/>
      <c r="EK132" s="105"/>
      <c r="EL132" s="122"/>
      <c r="EM132" s="139"/>
      <c r="EN132" s="105"/>
      <c r="EO132" s="105"/>
      <c r="EP132" s="105"/>
      <c r="EQ132" s="122"/>
      <c r="ER132" s="139"/>
      <c r="ES132" s="105"/>
      <c r="ET132" s="105"/>
      <c r="EU132" s="105"/>
      <c r="EV132" s="122"/>
      <c r="EW132" s="139"/>
      <c r="EX132" s="105"/>
      <c r="EY132" s="105"/>
      <c r="EZ132" s="105"/>
      <c r="FA132" s="122"/>
      <c r="FB132" s="139"/>
      <c r="FC132" s="105"/>
      <c r="FD132" s="105"/>
      <c r="FE132" s="105"/>
      <c r="FF132" s="122"/>
      <c r="FG132" s="139"/>
      <c r="FH132" s="105"/>
      <c r="FI132" s="105"/>
      <c r="FJ132" s="105"/>
      <c r="FK132" s="122"/>
      <c r="FL132" s="139"/>
      <c r="FM132" s="105"/>
      <c r="FN132" s="105"/>
      <c r="FO132" s="105"/>
      <c r="FP132" s="122"/>
      <c r="FQ132" s="139"/>
      <c r="FR132" s="105"/>
      <c r="FS132" s="105"/>
      <c r="FT132" s="105"/>
      <c r="FU132" s="122"/>
      <c r="FV132" s="139"/>
      <c r="FW132" s="105"/>
      <c r="FX132" s="105"/>
      <c r="FY132" s="105"/>
      <c r="FZ132" s="122"/>
      <c r="GA132" s="139"/>
      <c r="GB132" s="105"/>
      <c r="GC132" s="105"/>
      <c r="GD132" s="105"/>
      <c r="GE132" s="122"/>
      <c r="GF132" s="139"/>
      <c r="GG132" s="105"/>
      <c r="GH132" s="105"/>
      <c r="GI132" s="105"/>
      <c r="GJ132" s="122"/>
    </row>
    <row r="133" spans="1:192" s="135" customFormat="1" ht="12.75" customHeight="1">
      <c r="A133" s="773"/>
      <c r="B133" s="1490" t="s">
        <v>176</v>
      </c>
      <c r="C133" s="140"/>
      <c r="D133" s="141"/>
      <c r="E133" s="141"/>
      <c r="F133" s="141"/>
      <c r="G133" s="122"/>
      <c r="H133" s="140"/>
      <c r="I133" s="141"/>
      <c r="J133" s="141"/>
      <c r="K133" s="141"/>
      <c r="L133" s="122"/>
      <c r="M133" s="140"/>
      <c r="N133" s="141"/>
      <c r="O133" s="141"/>
      <c r="P133" s="141"/>
      <c r="Q133" s="122"/>
      <c r="R133" s="140"/>
      <c r="S133" s="141"/>
      <c r="T133" s="141"/>
      <c r="U133" s="141"/>
      <c r="V133" s="122"/>
      <c r="W133" s="140"/>
      <c r="X133" s="141"/>
      <c r="Y133" s="141"/>
      <c r="Z133" s="141"/>
      <c r="AA133" s="122"/>
      <c r="AB133" s="140"/>
      <c r="AC133" s="141"/>
      <c r="AD133" s="141"/>
      <c r="AE133" s="141"/>
      <c r="AF133" s="122"/>
      <c r="AG133" s="140"/>
      <c r="AH133" s="141"/>
      <c r="AI133" s="141"/>
      <c r="AJ133" s="141"/>
      <c r="AK133" s="122"/>
      <c r="AL133" s="140"/>
      <c r="AM133" s="141"/>
      <c r="AN133" s="141"/>
      <c r="AO133" s="141"/>
      <c r="AP133" s="122"/>
      <c r="AQ133" s="140"/>
      <c r="AR133" s="141"/>
      <c r="AS133" s="141"/>
      <c r="AT133" s="141"/>
      <c r="AU133" s="122"/>
      <c r="AV133" s="140"/>
      <c r="AW133" s="141"/>
      <c r="AX133" s="141"/>
      <c r="AY133" s="141"/>
      <c r="AZ133" s="122"/>
      <c r="BA133" s="140"/>
      <c r="BB133" s="141"/>
      <c r="BC133" s="141"/>
      <c r="BD133" s="141"/>
      <c r="BE133" s="122"/>
      <c r="BF133" s="140"/>
      <c r="BG133" s="141"/>
      <c r="BH133" s="141"/>
      <c r="BI133" s="141"/>
      <c r="BJ133" s="122"/>
      <c r="BK133" s="140"/>
      <c r="BL133" s="141"/>
      <c r="BM133" s="141"/>
      <c r="BN133" s="141"/>
      <c r="BO133" s="122"/>
      <c r="BP133" s="140"/>
      <c r="BQ133" s="141"/>
      <c r="BR133" s="141"/>
      <c r="BS133" s="141"/>
      <c r="BT133" s="122"/>
      <c r="BU133" s="140"/>
      <c r="BV133" s="141"/>
      <c r="BW133" s="141"/>
      <c r="BX133" s="141"/>
      <c r="BY133" s="122"/>
      <c r="BZ133" s="140"/>
      <c r="CA133" s="141"/>
      <c r="CB133" s="141"/>
      <c r="CC133" s="141"/>
      <c r="CD133" s="122"/>
      <c r="CE133" s="140"/>
      <c r="CF133" s="141"/>
      <c r="CG133" s="141"/>
      <c r="CH133" s="141"/>
      <c r="CI133" s="122"/>
      <c r="CJ133" s="140"/>
      <c r="CK133" s="141"/>
      <c r="CL133" s="141"/>
      <c r="CM133" s="141"/>
      <c r="CN133" s="122"/>
      <c r="CO133" s="140"/>
      <c r="CP133" s="141"/>
      <c r="CQ133" s="141"/>
      <c r="CR133" s="141"/>
      <c r="CS133" s="122"/>
      <c r="CT133" s="140"/>
      <c r="CU133" s="141"/>
      <c r="CV133" s="141"/>
      <c r="CW133" s="141"/>
      <c r="CX133" s="122"/>
      <c r="CY133" s="140"/>
      <c r="CZ133" s="141"/>
      <c r="DA133" s="141"/>
      <c r="DB133" s="141"/>
      <c r="DC133" s="122"/>
      <c r="DD133" s="140"/>
      <c r="DE133" s="141"/>
      <c r="DF133" s="141"/>
      <c r="DG133" s="141"/>
      <c r="DH133" s="122"/>
      <c r="DI133" s="140"/>
      <c r="DJ133" s="141"/>
      <c r="DK133" s="141"/>
      <c r="DL133" s="141"/>
      <c r="DM133" s="122"/>
      <c r="DN133" s="140"/>
      <c r="DO133" s="141"/>
      <c r="DP133" s="141"/>
      <c r="DQ133" s="141"/>
      <c r="DR133" s="122"/>
      <c r="DS133" s="140"/>
      <c r="DT133" s="141"/>
      <c r="DU133" s="141"/>
      <c r="DV133" s="141"/>
      <c r="DW133" s="122"/>
      <c r="DX133" s="140"/>
      <c r="DY133" s="141"/>
      <c r="DZ133" s="141"/>
      <c r="EA133" s="141"/>
      <c r="EB133" s="122"/>
      <c r="EC133" s="140"/>
      <c r="ED133" s="141"/>
      <c r="EE133" s="141"/>
      <c r="EF133" s="141"/>
      <c r="EG133" s="122"/>
      <c r="EH133" s="140"/>
      <c r="EI133" s="141"/>
      <c r="EJ133" s="141"/>
      <c r="EK133" s="141"/>
      <c r="EL133" s="122"/>
      <c r="EM133" s="140"/>
      <c r="EN133" s="141"/>
      <c r="EO133" s="141"/>
      <c r="EP133" s="141"/>
      <c r="EQ133" s="122"/>
      <c r="ER133" s="369"/>
      <c r="ES133" s="141"/>
      <c r="ET133" s="141"/>
      <c r="EU133" s="141"/>
      <c r="EV133" s="122"/>
      <c r="EW133" s="140"/>
      <c r="EX133" s="141"/>
      <c r="EY133" s="141"/>
      <c r="EZ133" s="141"/>
      <c r="FA133" s="122"/>
      <c r="FB133" s="140"/>
      <c r="FC133" s="141"/>
      <c r="FD133" s="141"/>
      <c r="FE133" s="141"/>
      <c r="FF133" s="122"/>
      <c r="FG133" s="140"/>
      <c r="FH133" s="141"/>
      <c r="FI133" s="141"/>
      <c r="FJ133" s="141"/>
      <c r="FK133" s="122"/>
      <c r="FL133" s="140"/>
      <c r="FM133" s="141"/>
      <c r="FN133" s="141"/>
      <c r="FO133" s="141"/>
      <c r="FP133" s="122"/>
      <c r="FQ133" s="140"/>
      <c r="FR133" s="141"/>
      <c r="FS133" s="141"/>
      <c r="FT133" s="141"/>
      <c r="FU133" s="122"/>
      <c r="FV133" s="140"/>
      <c r="FW133" s="141"/>
      <c r="FX133" s="141"/>
      <c r="FY133" s="141"/>
      <c r="FZ133" s="122"/>
      <c r="GA133" s="140"/>
      <c r="GB133" s="141"/>
      <c r="GC133" s="141"/>
      <c r="GD133" s="141"/>
      <c r="GE133" s="122"/>
      <c r="GF133" s="140"/>
      <c r="GG133" s="141"/>
      <c r="GH133" s="141"/>
      <c r="GI133" s="141"/>
      <c r="GJ133" s="122"/>
    </row>
    <row r="134" spans="1:192" s="277" customFormat="1" ht="12.75" hidden="1" customHeight="1" outlineLevel="1">
      <c r="A134" s="368"/>
      <c r="B134" s="676" t="s">
        <v>178</v>
      </c>
      <c r="C134" s="354">
        <f>CF!C13</f>
      </c>
      <c r="D134" s="355">
        <f>CF!D13</f>
      </c>
      <c r="E134" s="355">
        <f>CF!E13</f>
      </c>
      <c r="F134" s="355">
        <f>CF!F13</f>
      </c>
      <c r="G134" s="356">
        <f>CF!G13</f>
      </c>
      <c r="H134" s="354">
        <f>CF!H13</f>
      </c>
      <c r="I134" s="355">
        <f>CF!I13</f>
      </c>
      <c r="J134" s="355">
        <f>CF!J13</f>
      </c>
      <c r="K134" s="355">
        <f>CF!K13</f>
      </c>
      <c r="L134" s="356">
        <f>CF!L13</f>
      </c>
      <c r="M134" s="354">
        <f>CF!M13</f>
      </c>
      <c r="N134" s="355">
        <f>CF!N13</f>
      </c>
      <c r="O134" s="355">
        <f>CF!O13</f>
      </c>
      <c r="P134" s="355">
        <f>CF!P13</f>
      </c>
      <c r="Q134" s="356">
        <f>CF!Q13</f>
      </c>
      <c r="R134" s="354">
        <f>CF!R13</f>
      </c>
      <c r="S134" s="355">
        <f>CF!S13</f>
      </c>
      <c r="T134" s="355">
        <f>CF!T13</f>
      </c>
      <c r="U134" s="355">
        <f>CF!U13</f>
      </c>
      <c r="V134" s="356">
        <f>CF!V13</f>
      </c>
      <c r="W134" s="354">
        <f>CF!W13</f>
      </c>
      <c r="X134" s="355">
        <f>CF!X13</f>
      </c>
      <c r="Y134" s="355">
        <f>CF!Y13</f>
      </c>
      <c r="Z134" s="355">
        <f>CF!Z13</f>
      </c>
      <c r="AA134" s="356">
        <f>CF!AA13</f>
      </c>
      <c r="AB134" s="354">
        <f>CF!AB13</f>
      </c>
      <c r="AC134" s="355">
        <f>CF!AC13</f>
      </c>
      <c r="AD134" s="355">
        <f>CF!AD13</f>
      </c>
      <c r="AE134" s="355">
        <f>CF!AE13</f>
      </c>
      <c r="AF134" s="356">
        <f>CF!AF13</f>
      </c>
      <c r="AG134" s="354">
        <f>CF!AG13</f>
      </c>
      <c r="AH134" s="355">
        <f>CF!AH13</f>
      </c>
      <c r="AI134" s="355">
        <f>CF!AI13</f>
      </c>
      <c r="AJ134" s="355">
        <f>CF!AJ13</f>
      </c>
      <c r="AK134" s="356">
        <f>CF!AK13</f>
      </c>
      <c r="AL134" s="354">
        <f>CF!AL13</f>
      </c>
      <c r="AM134" s="355">
        <f>CF!AM13</f>
      </c>
      <c r="AN134" s="355">
        <f>CF!AN13</f>
      </c>
      <c r="AO134" s="355">
        <f>CF!AO13</f>
      </c>
      <c r="AP134" s="356">
        <f>CF!AP13</f>
      </c>
      <c r="AQ134" s="354">
        <f>CF!AQ13</f>
      </c>
      <c r="AR134" s="355">
        <f>CF!AR13</f>
      </c>
      <c r="AS134" s="355">
        <f>CF!AS13</f>
      </c>
      <c r="AT134" s="355">
        <f>CF!AT13</f>
      </c>
      <c r="AU134" s="356">
        <f>CF!AU13</f>
      </c>
      <c r="AV134" s="354">
        <f>CF!AV13</f>
      </c>
      <c r="AW134" s="355">
        <f>CF!AW13</f>
      </c>
      <c r="AX134" s="355">
        <f>CF!AX13</f>
      </c>
      <c r="AY134" s="355">
        <f>CF!AY13</f>
      </c>
      <c r="AZ134" s="356">
        <f>CF!AZ13</f>
      </c>
      <c r="BA134" s="354">
        <f>CF!BA13</f>
      </c>
      <c r="BB134" s="355">
        <f>CF!BB13</f>
      </c>
      <c r="BC134" s="355">
        <f>CF!BC13</f>
      </c>
      <c r="BD134" s="355">
        <f>CF!BD13</f>
      </c>
      <c r="BE134" s="356">
        <f>CF!BE13</f>
      </c>
      <c r="BF134" s="354">
        <f>CF!BF13</f>
      </c>
      <c r="BG134" s="355">
        <f>CF!BG13</f>
      </c>
      <c r="BH134" s="355">
        <f>CF!BH13</f>
      </c>
      <c r="BI134" s="355">
        <f>CF!BI13</f>
      </c>
      <c r="BJ134" s="356">
        <f>CF!BJ13</f>
      </c>
      <c r="BK134" s="354">
        <f>CF!BK13</f>
      </c>
      <c r="BL134" s="355">
        <f>CF!BL13</f>
      </c>
      <c r="BM134" s="355">
        <f>CF!BM13</f>
      </c>
      <c r="BN134" s="355">
        <f>CF!BN13</f>
      </c>
      <c r="BO134" s="356">
        <f>CF!BO13</f>
      </c>
      <c r="BP134" s="354">
        <f>CF!BP13</f>
      </c>
      <c r="BQ134" s="355">
        <f>CF!BQ13</f>
      </c>
      <c r="BR134" s="355">
        <f>CF!BR13</f>
      </c>
      <c r="BS134" s="355">
        <f>CF!BS13</f>
      </c>
      <c r="BT134" s="356">
        <f>CF!BT13</f>
      </c>
      <c r="BU134" s="354">
        <f>CF!BU13</f>
      </c>
      <c r="BV134" s="355">
        <f>CF!BV13</f>
      </c>
      <c r="BW134" s="355">
        <f>CF!BW13</f>
      </c>
      <c r="BX134" s="355">
        <f>CF!BX13</f>
      </c>
      <c r="BY134" s="356">
        <f>CF!BY13</f>
      </c>
      <c r="BZ134" s="354">
        <f>CF!BZ13</f>
      </c>
      <c r="CA134" s="355">
        <f>CF!CA13</f>
      </c>
      <c r="CB134" s="355">
        <f>CF!CB13</f>
      </c>
      <c r="CC134" s="355">
        <f>CF!CC13</f>
      </c>
      <c r="CD134" s="356">
        <f>CF!CD13</f>
      </c>
      <c r="CE134" s="354">
        <f>CF!CE13</f>
      </c>
      <c r="CF134" s="355">
        <f>CF!CF13</f>
      </c>
      <c r="CG134" s="355">
        <f>CF!CG13</f>
      </c>
      <c r="CH134" s="355">
        <f>CF!CH13</f>
      </c>
      <c r="CI134" s="356">
        <f>CF!CI13</f>
      </c>
      <c r="CJ134" s="354">
        <f>CF!CJ13</f>
      </c>
      <c r="CK134" s="355">
        <f>CF!CK13</f>
      </c>
      <c r="CL134" s="355">
        <f>CF!CL13</f>
      </c>
      <c r="CM134" s="355">
        <f>CF!CM13</f>
      </c>
      <c r="CN134" s="356">
        <f>CF!CN13</f>
      </c>
      <c r="CO134" s="354">
        <f>CF!CO13</f>
      </c>
      <c r="CP134" s="355">
        <f>CF!CP13</f>
      </c>
      <c r="CQ134" s="355">
        <f>CF!CQ13</f>
      </c>
      <c r="CR134" s="355">
        <f>CF!CR13</f>
      </c>
      <c r="CS134" s="356">
        <f>CF!CS13</f>
      </c>
      <c r="CT134" s="354">
        <f>CF!CT13</f>
      </c>
      <c r="CU134" s="355">
        <f>CF!CU13</f>
      </c>
      <c r="CV134" s="355">
        <f>CF!CV13</f>
      </c>
      <c r="CW134" s="355">
        <f>CF!CW13</f>
      </c>
      <c r="CX134" s="356">
        <f>CF!CX13</f>
      </c>
      <c r="CY134" s="354">
        <f>CF!CY13</f>
      </c>
      <c r="CZ134" s="355">
        <f>CF!CZ13</f>
      </c>
      <c r="DA134" s="355">
        <f>CF!DA13</f>
      </c>
      <c r="DB134" s="355">
        <f>CF!DB13</f>
      </c>
      <c r="DC134" s="356">
        <f>CF!DC13</f>
      </c>
      <c r="DD134" s="354">
        <f>CF!DD13</f>
      </c>
      <c r="DE134" s="355">
        <f>CF!DE13</f>
      </c>
      <c r="DF134" s="355">
        <f>CF!DF13</f>
      </c>
      <c r="DG134" s="355">
        <f>CF!DG13</f>
      </c>
      <c r="DH134" s="356">
        <f>CF!DH13</f>
      </c>
      <c r="DI134" s="354">
        <f>CF!DI13</f>
      </c>
      <c r="DJ134" s="355">
        <f>CF!DJ13</f>
      </c>
      <c r="DK134" s="355">
        <f>CF!DK13</f>
      </c>
      <c r="DL134" s="355">
        <f>CF!DL13</f>
      </c>
      <c r="DM134" s="356">
        <f>CF!DM13</f>
      </c>
      <c r="DN134" s="354">
        <f>CF!DN13</f>
      </c>
      <c r="DO134" s="355">
        <f>CF!DO13</f>
      </c>
      <c r="DP134" s="355">
        <f>CF!DP13</f>
      </c>
      <c r="DQ134" s="355">
        <f>CF!DQ13</f>
      </c>
      <c r="DR134" s="356">
        <f>CF!DR13</f>
      </c>
      <c r="DS134" s="354">
        <f>CF!DS13</f>
      </c>
      <c r="DT134" s="355">
        <f>CF!DT13</f>
      </c>
      <c r="DU134" s="355">
        <f>CF!DU13</f>
      </c>
      <c r="DV134" s="355">
        <f>CF!DV13</f>
      </c>
      <c r="DW134" s="356">
        <f>CF!DW13</f>
      </c>
      <c r="DX134" s="354">
        <f>CF!DX13</f>
      </c>
      <c r="DY134" s="355">
        <f>CF!DY13</f>
      </c>
      <c r="DZ134" s="355">
        <f>CF!DZ13</f>
      </c>
      <c r="EA134" s="355">
        <f>CF!EA13</f>
      </c>
      <c r="EB134" s="356">
        <f>CF!EB13</f>
      </c>
      <c r="EC134" s="354">
        <f>CF!EC13</f>
      </c>
      <c r="ED134" s="355">
        <f>CF!ED13</f>
      </c>
      <c r="EE134" s="355">
        <f>CF!EE13</f>
      </c>
      <c r="EF134" s="355">
        <f>CF!EF13</f>
      </c>
      <c r="EG134" s="356">
        <f>CF!EG13</f>
      </c>
      <c r="EH134" s="354">
        <f>CF!EH13</f>
      </c>
      <c r="EI134" s="355">
        <f>CF!EI13</f>
      </c>
      <c r="EJ134" s="355">
        <f>CF!EJ13</f>
      </c>
      <c r="EK134" s="355">
        <f>CF!EK13</f>
      </c>
      <c r="EL134" s="356">
        <f>CF!EL13</f>
      </c>
      <c r="EM134" s="354">
        <f>CF!EM13</f>
      </c>
      <c r="EN134" s="355">
        <f>CF!EN13</f>
      </c>
      <c r="EO134" s="355">
        <f>CF!EO13</f>
      </c>
      <c r="EP134" s="355">
        <f>CF!EP13</f>
      </c>
      <c r="EQ134" s="356">
        <f>CF!EQ13</f>
      </c>
      <c r="ER134" s="354">
        <f>CF!ER13</f>
      </c>
      <c r="ES134" s="355">
        <f>CF!ES13</f>
      </c>
      <c r="ET134" s="355">
        <f>CF!ET13</f>
      </c>
      <c r="EU134" s="355">
        <f>CF!EU13</f>
      </c>
      <c r="EV134" s="356">
        <f>CF!EV13</f>
      </c>
      <c r="EW134" s="354">
        <f>CF!EW13</f>
      </c>
      <c r="EX134" s="355">
        <f>CF!EX13</f>
      </c>
      <c r="EY134" s="355">
        <f>CF!EY13</f>
      </c>
      <c r="EZ134" s="355">
        <f>CF!EZ13</f>
      </c>
      <c r="FA134" s="356">
        <f>CF!FA13</f>
      </c>
      <c r="FB134" s="354">
        <f>CF!FB13</f>
      </c>
      <c r="FC134" s="355">
        <f>CF!FC13</f>
      </c>
      <c r="FD134" s="355">
        <f>CF!FD13</f>
      </c>
      <c r="FE134" s="355">
        <f>CF!FE13</f>
      </c>
      <c r="FF134" s="356">
        <f>CF!FF13</f>
      </c>
      <c r="FG134" s="354">
        <f>CF!FG13</f>
      </c>
      <c r="FH134" s="355">
        <f>CF!FH13</f>
      </c>
      <c r="FI134" s="355">
        <f>CF!FI13</f>
      </c>
      <c r="FJ134" s="355">
        <f>CF!FJ13</f>
      </c>
      <c r="FK134" s="356">
        <f>CF!FK13</f>
      </c>
      <c r="FL134" s="354">
        <f>CF!FL13</f>
      </c>
      <c r="FM134" s="355">
        <f>CF!FM13</f>
      </c>
      <c r="FN134" s="355">
        <f>CF!FN13</f>
      </c>
      <c r="FO134" s="355">
        <f>CF!FO13</f>
      </c>
      <c r="FP134" s="356">
        <f>CF!FP13</f>
      </c>
      <c r="FQ134" s="354">
        <f>CF!FQ13</f>
      </c>
      <c r="FR134" s="355">
        <f>CF!FR13</f>
      </c>
      <c r="FS134" s="355">
        <f>CF!FS13</f>
      </c>
      <c r="FT134" s="355">
        <f>CF!FT13</f>
      </c>
      <c r="FU134" s="356">
        <f>CF!FU13</f>
      </c>
      <c r="FV134" s="354">
        <f>CF!FV13</f>
      </c>
      <c r="FW134" s="355">
        <f>CF!FW13</f>
      </c>
      <c r="FX134" s="355">
        <f>CF!FX13</f>
      </c>
      <c r="FY134" s="355">
        <f>CF!FY13</f>
      </c>
      <c r="FZ134" s="356">
        <f>CF!FZ13</f>
      </c>
      <c r="GA134" s="354">
        <f>CF!GA13</f>
      </c>
      <c r="GB134" s="355">
        <f>CF!GB13</f>
      </c>
      <c r="GC134" s="355">
        <f>CF!GC13</f>
      </c>
      <c r="GD134" s="355">
        <f>CF!GD13</f>
      </c>
      <c r="GE134" s="356">
        <f>CF!GE13</f>
      </c>
      <c r="GF134" s="354">
        <f>CF!GF13</f>
      </c>
      <c r="GG134" s="355">
        <f>CF!GG13</f>
      </c>
      <c r="GH134" s="355">
        <f>CF!GH13</f>
      </c>
      <c r="GI134" s="355">
        <f>CF!GI13</f>
      </c>
      <c r="GJ134" s="356">
        <f>CF!GJ13</f>
      </c>
    </row>
    <row r="135" spans="1:192" s="367" customFormat="1" ht="12.75" hidden="1" customHeight="1" outlineLevel="1">
      <c r="A135" s="785"/>
      <c r="B135" s="1534" t="s">
        <v>34</v>
      </c>
      <c r="C135" s="291"/>
      <c r="D135" s="107"/>
      <c r="E135" s="107"/>
      <c r="F135" s="137"/>
      <c r="G135" s="138"/>
      <c r="H135" s="291">
        <f t="shared" ref="H135:AM135" si="1100">IFERROR(H134/C134-1,"")</f>
      </c>
      <c r="I135" s="291">
        <f t="shared" si="1100"/>
      </c>
      <c r="J135" s="291">
        <f t="shared" si="1100"/>
      </c>
      <c r="K135" s="291">
        <f t="shared" si="1100"/>
      </c>
      <c r="L135" s="138">
        <f t="shared" si="1100"/>
      </c>
      <c r="M135" s="291">
        <f t="shared" si="1100"/>
      </c>
      <c r="N135" s="291">
        <f t="shared" si="1100"/>
      </c>
      <c r="O135" s="291">
        <f t="shared" si="1100"/>
      </c>
      <c r="P135" s="291">
        <f t="shared" si="1100"/>
      </c>
      <c r="Q135" s="138">
        <f t="shared" si="1100"/>
      </c>
      <c r="R135" s="291" t="str">
        <f t="shared" si="1100"/>
      </c>
      <c r="S135" s="291" t="str">
        <f t="shared" si="1100"/>
      </c>
      <c r="T135" s="291" t="str">
        <f t="shared" si="1100"/>
      </c>
      <c r="U135" s="291" t="str">
        <f t="shared" si="1100"/>
      </c>
      <c r="V135" s="138" t="str">
        <f t="shared" si="1100"/>
      </c>
      <c r="W135" s="291" t="str">
        <f t="shared" si="1100"/>
      </c>
      <c r="X135" s="291" t="str">
        <f t="shared" si="1100"/>
      </c>
      <c r="Y135" s="291" t="str">
        <f t="shared" si="1100"/>
      </c>
      <c r="Z135" s="291" t="str">
        <f t="shared" si="1100"/>
      </c>
      <c r="AA135" s="138" t="str">
        <f t="shared" si="1100"/>
      </c>
      <c r="AB135" s="291">
        <f t="shared" si="1100"/>
      </c>
      <c r="AC135" s="291">
        <f t="shared" si="1100"/>
      </c>
      <c r="AD135" s="291">
        <f t="shared" si="1100"/>
      </c>
      <c r="AE135" s="291">
        <f t="shared" si="1100"/>
      </c>
      <c r="AF135" s="138">
        <f t="shared" si="1100"/>
      </c>
      <c r="AG135" s="291">
        <f t="shared" si="1100"/>
      </c>
      <c r="AH135" s="291">
        <f t="shared" si="1100"/>
      </c>
      <c r="AI135" s="291">
        <f t="shared" si="1100"/>
      </c>
      <c r="AJ135" s="291">
        <f t="shared" si="1100"/>
      </c>
      <c r="AK135" s="138">
        <f t="shared" si="1100"/>
      </c>
      <c r="AL135" s="291">
        <f t="shared" si="1100"/>
      </c>
      <c r="AM135" s="291">
        <f t="shared" si="1100"/>
      </c>
      <c r="AN135" s="291">
        <f t="shared" ref="AN135:BS135" si="1101">IFERROR(AN134/AI134-1,"")</f>
      </c>
      <c r="AO135" s="291">
        <f t="shared" si="1101"/>
      </c>
      <c r="AP135" s="138">
        <f t="shared" si="1101"/>
      </c>
      <c r="AQ135" s="291">
        <f t="shared" si="1101"/>
      </c>
      <c r="AR135" s="291">
        <f t="shared" si="1101"/>
      </c>
      <c r="AS135" s="291">
        <f t="shared" si="1101"/>
      </c>
      <c r="AT135" s="291">
        <f t="shared" si="1101"/>
      </c>
      <c r="AU135" s="138">
        <f t="shared" si="1101"/>
      </c>
      <c r="AV135" s="291">
        <f t="shared" si="1101"/>
      </c>
      <c r="AW135" s="291">
        <f t="shared" si="1101"/>
      </c>
      <c r="AX135" s="291">
        <f t="shared" si="1101"/>
      </c>
      <c r="AY135" s="291">
        <f t="shared" si="1101"/>
      </c>
      <c r="AZ135" s="138">
        <f t="shared" si="1101"/>
      </c>
      <c r="BA135" s="291">
        <f t="shared" si="1101"/>
      </c>
      <c r="BB135" s="291">
        <f t="shared" si="1101"/>
      </c>
      <c r="BC135" s="291">
        <f t="shared" si="1101"/>
      </c>
      <c r="BD135" s="291">
        <f t="shared" si="1101"/>
      </c>
      <c r="BE135" s="138">
        <f t="shared" si="1101"/>
      </c>
      <c r="BF135" s="291">
        <f t="shared" si="1101"/>
      </c>
      <c r="BG135" s="291">
        <f t="shared" si="1101"/>
      </c>
      <c r="BH135" s="291">
        <f t="shared" si="1101"/>
      </c>
      <c r="BI135" s="291">
        <f t="shared" si="1101"/>
      </c>
      <c r="BJ135" s="138">
        <f t="shared" si="1101"/>
      </c>
      <c r="BK135" s="291">
        <f t="shared" si="1101"/>
      </c>
      <c r="BL135" s="291">
        <f t="shared" si="1101"/>
      </c>
      <c r="BM135" s="291">
        <f t="shared" si="1101"/>
      </c>
      <c r="BN135" s="291">
        <f t="shared" si="1101"/>
      </c>
      <c r="BO135" s="138">
        <f t="shared" si="1101"/>
      </c>
      <c r="BP135" s="291">
        <f t="shared" si="1101"/>
      </c>
      <c r="BQ135" s="291">
        <f t="shared" si="1101"/>
      </c>
      <c r="BR135" s="291">
        <f t="shared" si="1101"/>
      </c>
      <c r="BS135" s="291">
        <f t="shared" si="1101"/>
      </c>
      <c r="BT135" s="138">
        <f t="shared" ref="BT135:CY135" si="1102">IFERROR(BT134/BO134-1,"")</f>
      </c>
      <c r="BU135" s="291">
        <f t="shared" si="1102"/>
      </c>
      <c r="BV135" s="291">
        <f t="shared" si="1102"/>
      </c>
      <c r="BW135" s="291">
        <f t="shared" si="1102"/>
      </c>
      <c r="BX135" s="291">
        <f t="shared" si="1102"/>
      </c>
      <c r="BY135" s="138">
        <f t="shared" si="1102"/>
      </c>
      <c r="BZ135" s="291">
        <f t="shared" si="1102"/>
      </c>
      <c r="CA135" s="291">
        <f t="shared" si="1102"/>
      </c>
      <c r="CB135" s="291">
        <f t="shared" si="1102"/>
      </c>
      <c r="CC135" s="291">
        <f t="shared" si="1102"/>
      </c>
      <c r="CD135" s="138">
        <f t="shared" si="1102"/>
      </c>
      <c r="CE135" s="291">
        <f t="shared" si="1102"/>
      </c>
      <c r="CF135" s="291">
        <f t="shared" si="1102"/>
      </c>
      <c r="CG135" s="291">
        <f t="shared" si="1102"/>
      </c>
      <c r="CH135" s="291">
        <f t="shared" si="1102"/>
      </c>
      <c r="CI135" s="138">
        <f t="shared" si="1102"/>
      </c>
      <c r="CJ135" s="291">
        <f t="shared" si="1102"/>
      </c>
      <c r="CK135" s="291">
        <f t="shared" si="1102"/>
      </c>
      <c r="CL135" s="291">
        <f t="shared" si="1102"/>
      </c>
      <c r="CM135" s="291">
        <f t="shared" si="1102"/>
      </c>
      <c r="CN135" s="138">
        <f t="shared" si="1102"/>
      </c>
      <c r="CO135" s="291">
        <f t="shared" si="1102"/>
      </c>
      <c r="CP135" s="291">
        <f t="shared" si="1102"/>
      </c>
      <c r="CQ135" s="291">
        <f t="shared" si="1102"/>
      </c>
      <c r="CR135" s="291">
        <f t="shared" si="1102"/>
      </c>
      <c r="CS135" s="138">
        <f t="shared" si="1102"/>
      </c>
      <c r="CT135" s="291">
        <f t="shared" si="1102"/>
      </c>
      <c r="CU135" s="291">
        <f t="shared" si="1102"/>
      </c>
      <c r="CV135" s="291">
        <f t="shared" si="1102"/>
      </c>
      <c r="CW135" s="291">
        <f t="shared" si="1102"/>
      </c>
      <c r="CX135" s="138">
        <f t="shared" si="1102"/>
      </c>
      <c r="CY135" s="291">
        <f t="shared" si="1102"/>
      </c>
      <c r="CZ135" s="291">
        <f t="shared" ref="CZ135:EE135" si="1103">IFERROR(CZ134/CU134-1,"")</f>
      </c>
      <c r="DA135" s="291">
        <f t="shared" si="1103"/>
      </c>
      <c r="DB135" s="291">
        <f t="shared" si="1103"/>
      </c>
      <c r="DC135" s="138">
        <f t="shared" si="1103"/>
      </c>
      <c r="DD135" s="291">
        <f t="shared" si="1103"/>
      </c>
      <c r="DE135" s="291">
        <f t="shared" si="1103"/>
      </c>
      <c r="DF135" s="291">
        <f t="shared" si="1103"/>
      </c>
      <c r="DG135" s="291">
        <f t="shared" si="1103"/>
      </c>
      <c r="DH135" s="138">
        <f t="shared" si="1103"/>
      </c>
      <c r="DI135" s="291">
        <f t="shared" si="1103"/>
      </c>
      <c r="DJ135" s="291">
        <f t="shared" si="1103"/>
      </c>
      <c r="DK135" s="291">
        <f t="shared" si="1103"/>
      </c>
      <c r="DL135" s="291">
        <f t="shared" si="1103"/>
      </c>
      <c r="DM135" s="138">
        <f t="shared" si="1103"/>
      </c>
      <c r="DN135" s="291">
        <f t="shared" si="1103"/>
      </c>
      <c r="DO135" s="291">
        <f t="shared" si="1103"/>
      </c>
      <c r="DP135" s="291">
        <f t="shared" si="1103"/>
      </c>
      <c r="DQ135" s="291">
        <f t="shared" si="1103"/>
      </c>
      <c r="DR135" s="138">
        <f t="shared" si="1103"/>
      </c>
      <c r="DS135" s="291">
        <f t="shared" si="1103"/>
      </c>
      <c r="DT135" s="291">
        <f t="shared" si="1103"/>
      </c>
      <c r="DU135" s="291">
        <f t="shared" si="1103"/>
      </c>
      <c r="DV135" s="291">
        <f t="shared" si="1103"/>
      </c>
      <c r="DW135" s="138">
        <f t="shared" si="1103"/>
      </c>
      <c r="DX135" s="291">
        <f t="shared" si="1103"/>
      </c>
      <c r="DY135" s="291">
        <f t="shared" si="1103"/>
      </c>
      <c r="DZ135" s="291">
        <f t="shared" si="1103"/>
      </c>
      <c r="EA135" s="291">
        <f t="shared" si="1103"/>
      </c>
      <c r="EB135" s="138">
        <f t="shared" si="1103"/>
      </c>
      <c r="EC135" s="291">
        <f t="shared" si="1103"/>
      </c>
      <c r="ED135" s="291">
        <f t="shared" si="1103"/>
      </c>
      <c r="EE135" s="291">
        <f t="shared" si="1103"/>
      </c>
      <c r="EF135" s="291">
        <f t="shared" ref="EF135:FK135" si="1104">IFERROR(EF134/EA134-1,"")</f>
      </c>
      <c r="EG135" s="138">
        <f t="shared" si="1104"/>
      </c>
      <c r="EH135" s="291">
        <f t="shared" si="1104"/>
      </c>
      <c r="EI135" s="291">
        <f t="shared" si="1104"/>
      </c>
      <c r="EJ135" s="291">
        <f t="shared" si="1104"/>
      </c>
      <c r="EK135" s="291">
        <f t="shared" si="1104"/>
      </c>
      <c r="EL135" s="138">
        <f t="shared" si="1104"/>
      </c>
      <c r="EM135" s="291">
        <f t="shared" si="1104"/>
      </c>
      <c r="EN135" s="291">
        <f t="shared" si="1104"/>
      </c>
      <c r="EO135" s="291">
        <f t="shared" si="1104"/>
      </c>
      <c r="EP135" s="291">
        <f t="shared" si="1104"/>
      </c>
      <c r="EQ135" s="138">
        <f t="shared" si="1104"/>
      </c>
      <c r="ER135" s="291">
        <f t="shared" si="1104"/>
      </c>
      <c r="ES135" s="291">
        <f t="shared" si="1104"/>
      </c>
      <c r="ET135" s="291">
        <f t="shared" si="1104"/>
      </c>
      <c r="EU135" s="291">
        <f t="shared" si="1104"/>
      </c>
      <c r="EV135" s="138">
        <f t="shared" si="1104"/>
      </c>
      <c r="EW135" s="349">
        <f t="shared" si="1104"/>
      </c>
      <c r="EX135" s="291">
        <f t="shared" si="1104"/>
      </c>
      <c r="EY135" s="291">
        <f t="shared" si="1104"/>
      </c>
      <c r="EZ135" s="291">
        <f t="shared" si="1104"/>
      </c>
      <c r="FA135" s="138">
        <f t="shared" si="1104"/>
      </c>
      <c r="FB135" s="291">
        <f t="shared" si="1104"/>
      </c>
      <c r="FC135" s="291">
        <f t="shared" si="1104"/>
      </c>
      <c r="FD135" s="291">
        <f t="shared" si="1104"/>
      </c>
      <c r="FE135" s="291">
        <f t="shared" si="1104"/>
      </c>
      <c r="FF135" s="138">
        <f t="shared" si="1104"/>
      </c>
      <c r="FG135" s="291">
        <f t="shared" si="1104"/>
      </c>
      <c r="FH135" s="291">
        <f t="shared" si="1104"/>
      </c>
      <c r="FI135" s="291">
        <f t="shared" si="1104"/>
      </c>
      <c r="FJ135" s="291">
        <f t="shared" si="1104"/>
      </c>
      <c r="FK135" s="138">
        <f t="shared" si="1104"/>
      </c>
      <c r="FL135" s="291">
        <f t="shared" ref="FL135:FZ135" si="1105">IFERROR(FL134/FG134-1,"")</f>
      </c>
      <c r="FM135" s="291">
        <f t="shared" si="1105"/>
      </c>
      <c r="FN135" s="291">
        <f t="shared" si="1105"/>
      </c>
      <c r="FO135" s="291">
        <f t="shared" si="1105"/>
      </c>
      <c r="FP135" s="138">
        <f t="shared" si="1105"/>
      </c>
      <c r="FQ135" s="291">
        <f t="shared" si="1105"/>
      </c>
      <c r="FR135" s="291">
        <f t="shared" si="1105"/>
      </c>
      <c r="FS135" s="291">
        <f t="shared" si="1105"/>
      </c>
      <c r="FT135" s="291">
        <f t="shared" si="1105"/>
      </c>
      <c r="FU135" s="138">
        <f t="shared" si="1105"/>
      </c>
      <c r="FV135" s="291">
        <f t="shared" si="1105"/>
      </c>
      <c r="FW135" s="291">
        <f t="shared" si="1105"/>
      </c>
      <c r="FX135" s="291">
        <f t="shared" si="1105"/>
      </c>
      <c r="FY135" s="291">
        <f t="shared" si="1105"/>
      </c>
      <c r="FZ135" s="138">
        <f t="shared" si="1105"/>
      </c>
      <c r="GA135" s="291">
        <f t="shared" ref="GA135:GJ135" si="1106">IFERROR(GA134/FV134-1,"")</f>
      </c>
      <c r="GB135" s="291">
        <f t="shared" si="1106"/>
      </c>
      <c r="GC135" s="291">
        <f t="shared" si="1106"/>
      </c>
      <c r="GD135" s="291">
        <f t="shared" si="1106"/>
      </c>
      <c r="GE135" s="138">
        <f t="shared" si="1106"/>
      </c>
      <c r="GF135" s="291">
        <f t="shared" si="1106"/>
      </c>
      <c r="GG135" s="291">
        <f t="shared" si="1106"/>
      </c>
      <c r="GH135" s="291">
        <f t="shared" si="1106"/>
      </c>
      <c r="GI135" s="291">
        <f t="shared" si="1106"/>
      </c>
      <c r="GJ135" s="138">
        <f t="shared" si="1106"/>
      </c>
    </row>
    <row r="136" spans="1:192" s="374" customFormat="1" ht="12.75" hidden="1" customHeight="1" outlineLevel="1">
      <c r="A136" s="1442"/>
      <c r="B136" s="1142" t="s">
        <v>179</v>
      </c>
      <c r="C136" s="371"/>
      <c r="D136" s="372"/>
      <c r="E136" s="372"/>
      <c r="F136" s="372"/>
      <c r="G136" s="373"/>
      <c r="H136" s="371"/>
      <c r="I136" s="372"/>
      <c r="J136" s="372"/>
      <c r="K136" s="372"/>
      <c r="L136" s="373"/>
      <c r="M136" s="371"/>
      <c r="N136" s="372"/>
      <c r="O136" s="372"/>
      <c r="P136" s="372"/>
      <c r="Q136" s="373"/>
      <c r="R136" s="371"/>
      <c r="S136" s="372"/>
      <c r="T136" s="372"/>
      <c r="U136" s="372"/>
      <c r="V136" s="373"/>
      <c r="W136" s="371"/>
      <c r="X136" s="372"/>
      <c r="Y136" s="372"/>
      <c r="Z136" s="372"/>
      <c r="AA136" s="373"/>
      <c r="AB136" s="371"/>
      <c r="AC136" s="372"/>
      <c r="AD136" s="372"/>
      <c r="AE136" s="372"/>
      <c r="AF136" s="373"/>
      <c r="AG136" s="371"/>
      <c r="AH136" s="372"/>
      <c r="AI136" s="372"/>
      <c r="AJ136" s="372"/>
      <c r="AK136" s="373"/>
      <c r="AL136" s="371"/>
      <c r="AM136" s="372"/>
      <c r="AN136" s="372"/>
      <c r="AO136" s="372"/>
      <c r="AP136" s="373"/>
      <c r="AQ136" s="371"/>
      <c r="AR136" s="372"/>
      <c r="AS136" s="372"/>
      <c r="AT136" s="372"/>
      <c r="AU136" s="373"/>
      <c r="AV136" s="371"/>
      <c r="AW136" s="372"/>
      <c r="AX136" s="372"/>
      <c r="AY136" s="372"/>
      <c r="AZ136" s="373"/>
      <c r="BA136" s="450"/>
      <c r="BB136" s="493"/>
      <c r="BC136" s="493"/>
      <c r="BD136" s="493"/>
      <c r="BE136" s="762"/>
      <c r="BF136" s="450"/>
      <c r="BG136" s="493"/>
      <c r="BH136" s="493"/>
      <c r="BI136" s="493"/>
      <c r="BJ136" s="762">
        <v>127</v>
      </c>
      <c r="BK136" s="450">
        <v>38</v>
      </c>
      <c r="BL136" s="493">
        <v>52</v>
      </c>
      <c r="BM136" s="493">
        <v>58</v>
      </c>
      <c r="BN136" s="372">
        <f>BO136-BM136-BL136-BK136</f>
      </c>
      <c r="BO136" s="762">
        <v>236</v>
      </c>
      <c r="BP136" s="450">
        <v>102</v>
      </c>
      <c r="BQ136" s="493">
        <v>112</v>
      </c>
      <c r="BR136" s="493">
        <v>121</v>
      </c>
      <c r="BS136" s="372">
        <f>BT136-BR136-BQ136-BP136</f>
      </c>
      <c r="BT136" s="762">
        <v>472</v>
      </c>
      <c r="BU136" s="450">
        <v>149</v>
      </c>
      <c r="BV136" s="493">
        <v>169</v>
      </c>
      <c r="BW136" s="493">
        <f>(BY136-BV136-BU136)/2</f>
      </c>
      <c r="BX136" s="493">
        <f>(BY136-BV136-BU136)/2</f>
      </c>
      <c r="BY136" s="762">
        <v>591</v>
      </c>
      <c r="BZ136" s="450">
        <v>124</v>
      </c>
      <c r="CA136" s="493">
        <v>126</v>
      </c>
      <c r="CB136" s="493">
        <f>(CD136-CA136-BZ136)/2</f>
      </c>
      <c r="CC136" s="493">
        <f>(CD136-CA136-BZ136)/2</f>
      </c>
      <c r="CD136" s="762">
        <v>707</v>
      </c>
      <c r="CE136" s="450">
        <v>124</v>
      </c>
      <c r="CF136" s="493">
        <v>264</v>
      </c>
      <c r="CG136" s="493">
        <v>162</v>
      </c>
      <c r="CH136" s="372">
        <f>CI136-CG136-CF136-CE136</f>
      </c>
      <c r="CI136" s="762">
        <v>537</v>
      </c>
      <c r="CJ136" s="450">
        <v>109</v>
      </c>
      <c r="CK136" s="493">
        <v>126</v>
      </c>
      <c r="CL136" s="493">
        <v>142</v>
      </c>
      <c r="CM136" s="372">
        <f>CN136-CL136-CK136-CJ136</f>
      </c>
      <c r="CN136" s="762">
        <v>558</v>
      </c>
      <c r="CO136" s="450">
        <v>178</v>
      </c>
      <c r="CP136" s="493">
        <f>563-CQ136-CO136</f>
      </c>
      <c r="CQ136" s="493">
        <v>187</v>
      </c>
      <c r="CR136" s="372">
        <f>CS136-CQ136-CP136-CO136</f>
      </c>
      <c r="CS136" s="762">
        <v>739</v>
      </c>
      <c r="CT136" s="450">
        <v>162</v>
      </c>
      <c r="CU136" s="493">
        <f>498-CV136-CT136</f>
      </c>
      <c r="CV136" s="493">
        <v>170</v>
      </c>
      <c r="CW136" s="372">
        <f>CX136-CV136-CU136-CT136</f>
      </c>
      <c r="CX136" s="762">
        <v>845</v>
      </c>
      <c r="CY136" s="450">
        <v>372</v>
      </c>
      <c r="CZ136" s="493">
        <v>329</v>
      </c>
      <c r="DA136" s="493">
        <v>361</v>
      </c>
      <c r="DB136" s="372">
        <f>DC136-DA136-CZ136-CY136</f>
      </c>
      <c r="DC136" s="762">
        <v>1300</v>
      </c>
      <c r="DD136" s="450">
        <v>242</v>
      </c>
      <c r="DE136" s="493">
        <v>249</v>
      </c>
      <c r="DF136" s="493">
        <v>249</v>
      </c>
      <c r="DG136" s="372">
        <f>DH136-DF136-DE136-DD136</f>
      </c>
      <c r="DH136" s="762">
        <v>978</v>
      </c>
      <c r="DI136" s="450">
        <v>214</v>
      </c>
      <c r="DJ136" s="493">
        <v>315</v>
      </c>
      <c r="DK136" s="493">
        <v>560</v>
      </c>
      <c r="DL136" s="372">
        <f>DM136-DK136-DJ136-DI136</f>
      </c>
      <c r="DM136" s="762">
        <v>1700</v>
      </c>
      <c r="DN136" s="450">
        <v>563</v>
      </c>
      <c r="DO136" s="493">
        <v>562</v>
      </c>
      <c r="DP136" s="493">
        <v>560</v>
      </c>
      <c r="DQ136" s="372">
        <f>DR136-DP136-DO136-DN136</f>
      </c>
      <c r="DR136" s="762">
        <v>2200</v>
      </c>
      <c r="DS136" s="450">
        <v>556</v>
      </c>
      <c r="DT136" s="493">
        <v>530</v>
      </c>
      <c r="DU136" s="493">
        <v>431</v>
      </c>
      <c r="DV136" s="372">
        <f>DW136-DU136-DT136-DS136</f>
      </c>
      <c r="DW136" s="762">
        <v>1900</v>
      </c>
      <c r="DX136" s="450">
        <v>434</v>
      </c>
      <c r="DY136" s="493">
        <v>411</v>
      </c>
      <c r="DZ136" s="493">
        <v>356</v>
      </c>
      <c r="EA136" s="372">
        <f>EB136-DZ136-DY136-DX136</f>
      </c>
      <c r="EB136" s="762">
        <v>1600</v>
      </c>
      <c r="EC136" s="450">
        <v>383</v>
      </c>
      <c r="ED136" s="493">
        <v>378</v>
      </c>
      <c r="EE136" s="493">
        <v>405</v>
      </c>
      <c r="EF136" s="372">
        <f>EG136-EE136-ED136-EC136</f>
      </c>
      <c r="EG136" s="762">
        <v>1600</v>
      </c>
      <c r="EH136" s="450">
        <v>439</v>
      </c>
      <c r="EI136" s="493">
        <v>446</v>
      </c>
      <c r="EJ136" s="493">
        <v>502</v>
      </c>
      <c r="EK136" s="372">
        <f>EL136-EJ136-EI136-EH136</f>
      </c>
      <c r="EL136" s="762">
        <v>2000</v>
      </c>
      <c r="EM136" s="450">
        <v>633</v>
      </c>
      <c r="EN136" s="493">
        <v>632</v>
      </c>
      <c r="EO136" s="493">
        <v>612</v>
      </c>
      <c r="EP136" s="372">
        <f>EQ136-EO136-EN136-EM136</f>
      </c>
      <c r="EQ136" s="762">
        <v>2500</v>
      </c>
      <c r="ER136" s="1124">
        <v>636</v>
      </c>
      <c r="ES136" s="815">
        <v>1300</v>
      </c>
      <c r="ET136" s="1124">
        <v>1400</v>
      </c>
      <c r="EU136" s="372">
        <f>EV136-ET136-ES136-ER136</f>
      </c>
      <c r="EV136" s="762">
        <v>4800</v>
      </c>
      <c r="EW136" s="1124">
        <v>1400</v>
      </c>
      <c r="EX136" s="1124">
        <v>1500</v>
      </c>
      <c r="EY136" s="1124">
        <v>1500</v>
      </c>
      <c r="EZ136" s="372">
        <f>FA136-EY136-EX136-EW136</f>
      </c>
      <c r="FA136" s="762">
        <v>6000</v>
      </c>
      <c r="FB136" s="761">
        <f>FF136/4</f>
      </c>
      <c r="FC136" s="761">
        <f>FF136/4</f>
      </c>
      <c r="FD136" s="761">
        <f>FF136/4</f>
      </c>
      <c r="FE136" s="761">
        <f>FF136/4</f>
      </c>
      <c r="FF136" s="762">
        <v>4594</v>
      </c>
      <c r="FG136" s="761">
        <f>FK136/4</f>
      </c>
      <c r="FH136" s="761">
        <f>FK136/4</f>
      </c>
      <c r="FI136" s="761">
        <f>FK136/4</f>
      </c>
      <c r="FJ136" s="761">
        <f>FK136/4</f>
      </c>
      <c r="FK136" s="762">
        <v>2901</v>
      </c>
      <c r="FL136" s="761">
        <f>FP136/4</f>
      </c>
      <c r="FM136" s="761">
        <f>FP136/4</f>
      </c>
      <c r="FN136" s="761">
        <f>FP136/4</f>
      </c>
      <c r="FO136" s="761">
        <f>FP136/4</f>
      </c>
      <c r="FP136" s="762">
        <v>2034</v>
      </c>
      <c r="FQ136" s="761">
        <f>FU136/4</f>
      </c>
      <c r="FR136" s="761">
        <f>FU136/4</f>
      </c>
      <c r="FS136" s="761">
        <f>FU136/4</f>
      </c>
      <c r="FT136" s="761">
        <f>FU136/4</f>
      </c>
      <c r="FU136" s="762">
        <v>1851</v>
      </c>
      <c r="FV136" s="761">
        <f>FZ136/4</f>
      </c>
      <c r="FW136" s="761">
        <f>FZ136/4</f>
      </c>
      <c r="FX136" s="761">
        <f>FZ136/4</f>
      </c>
      <c r="FY136" s="761">
        <f>FZ136/4</f>
      </c>
      <c r="FZ136" s="762">
        <v>1382</v>
      </c>
      <c r="GA136" s="450">
        <f>FV136-100</f>
      </c>
      <c r="GB136" s="450">
        <f>FW136-100</f>
      </c>
      <c r="GC136" s="450">
        <f>FX136-100</f>
      </c>
      <c r="GD136" s="450">
        <f>FY136-100</f>
      </c>
      <c r="GE136" s="373">
        <f>SUM(GA136:GD136)</f>
      </c>
      <c r="GF136" s="450">
        <f>GA136-100</f>
      </c>
      <c r="GG136" s="450">
        <f>GB136-100</f>
      </c>
      <c r="GH136" s="450">
        <f>GC136-100</f>
      </c>
      <c r="GI136" s="450">
        <f>GD136-100</f>
      </c>
      <c r="GJ136" s="373">
        <f>SUM(GF136:GI136)</f>
      </c>
    </row>
    <row r="137" spans="1:192" s="374" customFormat="1" ht="12.75" hidden="1" customHeight="1" outlineLevel="1">
      <c r="A137" s="1442"/>
      <c r="B137" s="1142" t="s">
        <v>180</v>
      </c>
      <c r="C137" s="371"/>
      <c r="D137" s="372"/>
      <c r="E137" s="372"/>
      <c r="F137" s="372"/>
      <c r="G137" s="373"/>
      <c r="H137" s="371"/>
      <c r="I137" s="372"/>
      <c r="J137" s="372"/>
      <c r="K137" s="372"/>
      <c r="L137" s="373"/>
      <c r="M137" s="371"/>
      <c r="N137" s="372"/>
      <c r="O137" s="372"/>
      <c r="P137" s="372"/>
      <c r="Q137" s="373"/>
      <c r="R137" s="371"/>
      <c r="S137" s="372"/>
      <c r="T137" s="372"/>
      <c r="U137" s="372"/>
      <c r="V137" s="373"/>
      <c r="W137" s="371"/>
      <c r="X137" s="372"/>
      <c r="Y137" s="372"/>
      <c r="Z137" s="372"/>
      <c r="AA137" s="373"/>
      <c r="AB137" s="371"/>
      <c r="AC137" s="372"/>
      <c r="AD137" s="372"/>
      <c r="AE137" s="372"/>
      <c r="AF137" s="373"/>
      <c r="AG137" s="371"/>
      <c r="AH137" s="372"/>
      <c r="AI137" s="372"/>
      <c r="AJ137" s="372"/>
      <c r="AK137" s="373"/>
      <c r="AL137" s="371"/>
      <c r="AM137" s="372"/>
      <c r="AN137" s="372"/>
      <c r="AO137" s="372"/>
      <c r="AP137" s="373"/>
      <c r="AQ137" s="371"/>
      <c r="AR137" s="372"/>
      <c r="AS137" s="372"/>
      <c r="AT137" s="372"/>
      <c r="AU137" s="373"/>
      <c r="AV137" s="371"/>
      <c r="AW137" s="372"/>
      <c r="AX137" s="372"/>
      <c r="AY137" s="372"/>
      <c r="AZ137" s="373"/>
      <c r="BA137" s="371"/>
      <c r="BB137" s="372"/>
      <c r="BC137" s="372"/>
      <c r="BD137" s="372"/>
      <c r="BE137" s="373"/>
      <c r="BF137" s="371"/>
      <c r="BG137" s="372"/>
      <c r="BH137" s="372"/>
      <c r="BI137" s="372"/>
      <c r="BJ137" s="373">
        <f t="shared" ref="BJ137:BO137" si="1107">BJ134-BJ136</f>
      </c>
      <c r="BK137" s="371">
        <f t="shared" si="1107"/>
      </c>
      <c r="BL137" s="371">
        <f t="shared" si="1107"/>
      </c>
      <c r="BM137" s="371">
        <f t="shared" si="1107"/>
      </c>
      <c r="BN137" s="371">
        <f t="shared" si="1107"/>
      </c>
      <c r="BO137" s="373">
        <f t="shared" si="1107"/>
      </c>
      <c r="BP137" s="371">
        <f t="shared" ref="BP137:DH137" si="1108">BP134-BP136</f>
      </c>
      <c r="BQ137" s="371">
        <f t="shared" si="1108"/>
      </c>
      <c r="BR137" s="371">
        <f t="shared" si="1108"/>
      </c>
      <c r="BS137" s="371">
        <f t="shared" si="1108"/>
      </c>
      <c r="BT137" s="373">
        <f t="shared" si="1108"/>
      </c>
      <c r="BU137" s="371">
        <f t="shared" si="1108"/>
      </c>
      <c r="BV137" s="371">
        <f t="shared" si="1108"/>
      </c>
      <c r="BW137" s="371">
        <f t="shared" si="1108"/>
      </c>
      <c r="BX137" s="371">
        <f t="shared" si="1108"/>
      </c>
      <c r="BY137" s="373">
        <f t="shared" si="1108"/>
      </c>
      <c r="BZ137" s="371">
        <f t="shared" si="1108"/>
      </c>
      <c r="CA137" s="371">
        <f t="shared" si="1108"/>
      </c>
      <c r="CB137" s="371">
        <f t="shared" si="1108"/>
      </c>
      <c r="CC137" s="371">
        <f t="shared" si="1108"/>
      </c>
      <c r="CD137" s="373">
        <f t="shared" si="1108"/>
      </c>
      <c r="CE137" s="371">
        <f t="shared" si="1108"/>
      </c>
      <c r="CF137" s="371">
        <f t="shared" si="1108"/>
      </c>
      <c r="CG137" s="371">
        <f t="shared" si="1108"/>
      </c>
      <c r="CH137" s="371">
        <f t="shared" si="1108"/>
      </c>
      <c r="CI137" s="373">
        <f t="shared" si="1108"/>
      </c>
      <c r="CJ137" s="371">
        <f t="shared" si="1108"/>
      </c>
      <c r="CK137" s="371">
        <f t="shared" si="1108"/>
      </c>
      <c r="CL137" s="371">
        <f t="shared" si="1108"/>
      </c>
      <c r="CM137" s="371">
        <f t="shared" si="1108"/>
      </c>
      <c r="CN137" s="373">
        <f t="shared" si="1108"/>
      </c>
      <c r="CO137" s="371">
        <f t="shared" si="1108"/>
      </c>
      <c r="CP137" s="371">
        <f t="shared" si="1108"/>
      </c>
      <c r="CQ137" s="371">
        <f t="shared" si="1108"/>
      </c>
      <c r="CR137" s="371">
        <f t="shared" si="1108"/>
      </c>
      <c r="CS137" s="373">
        <f t="shared" si="1108"/>
      </c>
      <c r="CT137" s="371">
        <f t="shared" si="1108"/>
      </c>
      <c r="CU137" s="371">
        <f t="shared" si="1108"/>
      </c>
      <c r="CV137" s="371">
        <f t="shared" si="1108"/>
      </c>
      <c r="CW137" s="371">
        <f t="shared" si="1108"/>
      </c>
      <c r="CX137" s="373">
        <f t="shared" si="1108"/>
      </c>
      <c r="CY137" s="371">
        <f t="shared" si="1108"/>
      </c>
      <c r="CZ137" s="371">
        <f t="shared" si="1108"/>
      </c>
      <c r="DA137" s="371">
        <f t="shared" si="1108"/>
      </c>
      <c r="DB137" s="371">
        <f t="shared" si="1108"/>
      </c>
      <c r="DC137" s="373">
        <f t="shared" si="1108"/>
      </c>
      <c r="DD137" s="371">
        <f t="shared" si="1108"/>
      </c>
      <c r="DE137" s="371">
        <f t="shared" si="1108"/>
      </c>
      <c r="DF137" s="371">
        <f t="shared" si="1108"/>
      </c>
      <c r="DG137" s="371">
        <f t="shared" si="1108"/>
      </c>
      <c r="DH137" s="373">
        <f t="shared" si="1108"/>
      </c>
      <c r="DI137" s="371">
        <f t="shared" ref="DI137:ES137" si="1109">DI134-DI136</f>
      </c>
      <c r="DJ137" s="371">
        <f t="shared" si="1109"/>
      </c>
      <c r="DK137" s="371">
        <f t="shared" si="1109"/>
      </c>
      <c r="DL137" s="371">
        <f t="shared" si="1109"/>
      </c>
      <c r="DM137" s="373">
        <f t="shared" si="1109"/>
      </c>
      <c r="DN137" s="371">
        <f t="shared" si="1109"/>
      </c>
      <c r="DO137" s="371">
        <f t="shared" si="1109"/>
      </c>
      <c r="DP137" s="371">
        <f t="shared" si="1109"/>
      </c>
      <c r="DQ137" s="371">
        <f t="shared" si="1109"/>
      </c>
      <c r="DR137" s="373">
        <f t="shared" si="1109"/>
      </c>
      <c r="DS137" s="371">
        <f t="shared" si="1109"/>
      </c>
      <c r="DT137" s="371">
        <f t="shared" si="1109"/>
      </c>
      <c r="DU137" s="371">
        <f t="shared" si="1109"/>
      </c>
      <c r="DV137" s="371">
        <f t="shared" si="1109"/>
      </c>
      <c r="DW137" s="373">
        <f t="shared" si="1109"/>
      </c>
      <c r="DX137" s="371">
        <f t="shared" si="1109"/>
      </c>
      <c r="DY137" s="371">
        <f t="shared" si="1109"/>
      </c>
      <c r="DZ137" s="371">
        <f t="shared" si="1109"/>
      </c>
      <c r="EA137" s="371">
        <f t="shared" si="1109"/>
      </c>
      <c r="EB137" s="373">
        <f t="shared" si="1109"/>
      </c>
      <c r="EC137" s="371">
        <f t="shared" si="1109"/>
      </c>
      <c r="ED137" s="371">
        <f t="shared" si="1109"/>
      </c>
      <c r="EE137" s="371">
        <f t="shared" si="1109"/>
      </c>
      <c r="EF137" s="371">
        <f t="shared" si="1109"/>
      </c>
      <c r="EG137" s="373">
        <f t="shared" si="1109"/>
      </c>
      <c r="EH137" s="371">
        <f t="shared" si="1109"/>
      </c>
      <c r="EI137" s="371">
        <f t="shared" si="1109"/>
      </c>
      <c r="EJ137" s="371">
        <f t="shared" si="1109"/>
      </c>
      <c r="EK137" s="371">
        <f t="shared" si="1109"/>
      </c>
      <c r="EL137" s="373">
        <f t="shared" si="1109"/>
      </c>
      <c r="EM137" s="371">
        <f t="shared" si="1109"/>
      </c>
      <c r="EN137" s="371">
        <f t="shared" si="1109"/>
      </c>
      <c r="EO137" s="371">
        <f t="shared" si="1109"/>
      </c>
      <c r="EP137" s="371">
        <f t="shared" si="1109"/>
      </c>
      <c r="EQ137" s="373">
        <f t="shared" si="1109"/>
      </c>
      <c r="ER137" s="371">
        <f t="shared" si="1109"/>
      </c>
      <c r="ES137" s="371">
        <f t="shared" si="1109"/>
      </c>
      <c r="ET137" s="371">
        <f>ET134-ET136</f>
      </c>
      <c r="EU137" s="371">
        <f>EU134-EU136</f>
      </c>
      <c r="EV137" s="373">
        <f>SUM(ER137:EU137)</f>
      </c>
      <c r="EW137" s="371">
        <f t="shared" ref="EW137:EX137" si="1110">EW134-EW136</f>
      </c>
      <c r="EX137" s="371">
        <f t="shared" si="1110"/>
      </c>
      <c r="EY137" s="371">
        <f>EY134-EY136</f>
      </c>
      <c r="EZ137" s="371">
        <f>EZ134-EZ136</f>
      </c>
      <c r="FA137" s="373">
        <f>SUM(EW137:EZ137)</f>
      </c>
      <c r="FB137" s="371">
        <f>EZ139*FB142</f>
      </c>
      <c r="FC137" s="371">
        <f>FB139*FC142</f>
      </c>
      <c r="FD137" s="371">
        <f>FC139*FD142</f>
      </c>
      <c r="FE137" s="371">
        <f>FD139*FE142</f>
      </c>
      <c r="FF137" s="373">
        <f>SUM(FB137:FE137)</f>
      </c>
      <c r="FG137" s="371">
        <f>FE139*FG142</f>
      </c>
      <c r="FH137" s="371">
        <f>FG139*FH142</f>
      </c>
      <c r="FI137" s="371">
        <f>FH139*FI142</f>
      </c>
      <c r="FJ137" s="371">
        <f>FI139*FJ142</f>
      </c>
      <c r="FK137" s="373">
        <f>SUM(FG137:FJ137)</f>
      </c>
      <c r="FL137" s="371">
        <f>FJ139*FL142</f>
      </c>
      <c r="FM137" s="371">
        <f>FL139*FM142</f>
      </c>
      <c r="FN137" s="371">
        <f>FM139*FN142</f>
      </c>
      <c r="FO137" s="371">
        <f>FN139*FO142</f>
      </c>
      <c r="FP137" s="373">
        <f>SUM(FL137:FO137)</f>
      </c>
      <c r="FQ137" s="371">
        <f>FO139*FQ142</f>
      </c>
      <c r="FR137" s="371">
        <f>FQ139*FR142</f>
      </c>
      <c r="FS137" s="371">
        <f>FR139*FS142</f>
      </c>
      <c r="FT137" s="371">
        <f>FS139*FT142</f>
      </c>
      <c r="FU137" s="373">
        <f>SUM(FQ137:FT137)</f>
      </c>
      <c r="FV137" s="371">
        <f>FT139*FV142</f>
      </c>
      <c r="FW137" s="371">
        <f>FV139*FW142</f>
      </c>
      <c r="FX137" s="371">
        <f>FW139*FX142</f>
      </c>
      <c r="FY137" s="371">
        <f>FX139*FY142</f>
      </c>
      <c r="FZ137" s="373">
        <f>SUM(FV137:FY137)</f>
      </c>
      <c r="GA137" s="371">
        <f>FY139*GA142</f>
      </c>
      <c r="GB137" s="371">
        <f>GA139*GB142</f>
      </c>
      <c r="GC137" s="371">
        <f>GB139*GC142</f>
      </c>
      <c r="GD137" s="371">
        <f>GC139*GD142</f>
      </c>
      <c r="GE137" s="373">
        <f>SUM(GA137:GD137)</f>
      </c>
      <c r="GF137" s="371">
        <f>GD139*GF142</f>
      </c>
      <c r="GG137" s="371">
        <f>GF139*GG142</f>
      </c>
      <c r="GH137" s="371">
        <f>GG139*GH142</f>
      </c>
      <c r="GI137" s="371">
        <f>GH139*GI142</f>
      </c>
      <c r="GJ137" s="373">
        <f>SUM(GF137:GI137)</f>
      </c>
    </row>
    <row r="138" spans="1:192" s="374" customFormat="1" ht="12.75" hidden="1" customHeight="1" outlineLevel="1">
      <c r="A138" s="1442"/>
      <c r="B138" s="676" t="s">
        <v>1937</v>
      </c>
      <c r="C138" s="371">
        <f t="shared" ref="C138:AH138" si="1111">-C108</f>
      </c>
      <c r="D138" s="372">
        <f t="shared" si="1111"/>
      </c>
      <c r="E138" s="372">
        <f t="shared" si="1111"/>
      </c>
      <c r="F138" s="372">
        <f t="shared" si="1111"/>
      </c>
      <c r="G138" s="373">
        <f t="shared" si="1111"/>
      </c>
      <c r="H138" s="371">
        <f t="shared" si="1111"/>
      </c>
      <c r="I138" s="372">
        <f t="shared" si="1111"/>
      </c>
      <c r="J138" s="372">
        <f t="shared" si="1111"/>
      </c>
      <c r="K138" s="372">
        <f t="shared" si="1111"/>
      </c>
      <c r="L138" s="373">
        <f t="shared" si="1111"/>
      </c>
      <c r="M138" s="371">
        <f t="shared" si="1111"/>
      </c>
      <c r="N138" s="372">
        <f t="shared" si="1111"/>
      </c>
      <c r="O138" s="372">
        <f t="shared" si="1111"/>
      </c>
      <c r="P138" s="372">
        <f t="shared" si="1111"/>
      </c>
      <c r="Q138" s="373">
        <f t="shared" si="1111"/>
      </c>
      <c r="R138" s="371">
        <f t="shared" si="1111"/>
      </c>
      <c r="S138" s="372">
        <f t="shared" si="1111"/>
      </c>
      <c r="T138" s="372">
        <f t="shared" si="1111"/>
      </c>
      <c r="U138" s="372">
        <f t="shared" si="1111"/>
      </c>
      <c r="V138" s="373">
        <f t="shared" si="1111"/>
      </c>
      <c r="W138" s="371">
        <f t="shared" si="1111"/>
      </c>
      <c r="X138" s="372">
        <f t="shared" si="1111"/>
      </c>
      <c r="Y138" s="372">
        <f t="shared" si="1111"/>
      </c>
      <c r="Z138" s="372">
        <f t="shared" si="1111"/>
      </c>
      <c r="AA138" s="373">
        <f t="shared" si="1111"/>
      </c>
      <c r="AB138" s="371">
        <f t="shared" si="1111"/>
      </c>
      <c r="AC138" s="372">
        <f t="shared" si="1111"/>
      </c>
      <c r="AD138" s="372">
        <f t="shared" si="1111"/>
      </c>
      <c r="AE138" s="372">
        <f t="shared" si="1111"/>
      </c>
      <c r="AF138" s="373">
        <f t="shared" si="1111"/>
      </c>
      <c r="AG138" s="371">
        <f t="shared" si="1111"/>
      </c>
      <c r="AH138" s="372">
        <f t="shared" si="1111"/>
      </c>
      <c r="AI138" s="372">
        <f t="shared" ref="AI138:BN138" si="1112">-AI108</f>
      </c>
      <c r="AJ138" s="372">
        <f t="shared" si="1112"/>
      </c>
      <c r="AK138" s="373">
        <f t="shared" si="1112"/>
      </c>
      <c r="AL138" s="371">
        <f t="shared" si="1112"/>
      </c>
      <c r="AM138" s="372">
        <f t="shared" si="1112"/>
      </c>
      <c r="AN138" s="372">
        <f t="shared" si="1112"/>
      </c>
      <c r="AO138" s="372">
        <f t="shared" si="1112"/>
      </c>
      <c r="AP138" s="373">
        <f t="shared" si="1112"/>
      </c>
      <c r="AQ138" s="371">
        <f t="shared" si="1112"/>
      </c>
      <c r="AR138" s="372">
        <f t="shared" si="1112"/>
      </c>
      <c r="AS138" s="372">
        <f t="shared" si="1112"/>
      </c>
      <c r="AT138" s="372">
        <f t="shared" si="1112"/>
      </c>
      <c r="AU138" s="373">
        <f t="shared" si="1112"/>
      </c>
      <c r="AV138" s="371">
        <f t="shared" si="1112"/>
      </c>
      <c r="AW138" s="372">
        <f t="shared" si="1112"/>
      </c>
      <c r="AX138" s="372">
        <f t="shared" si="1112"/>
      </c>
      <c r="AY138" s="372">
        <f t="shared" si="1112"/>
      </c>
      <c r="AZ138" s="373">
        <f t="shared" si="1112"/>
      </c>
      <c r="BA138" s="371">
        <f t="shared" si="1112"/>
      </c>
      <c r="BB138" s="372">
        <f t="shared" si="1112"/>
      </c>
      <c r="BC138" s="372">
        <f t="shared" si="1112"/>
      </c>
      <c r="BD138" s="372">
        <f t="shared" si="1112"/>
      </c>
      <c r="BE138" s="373">
        <f t="shared" si="1112"/>
      </c>
      <c r="BF138" s="371">
        <f t="shared" si="1112"/>
      </c>
      <c r="BG138" s="372">
        <f t="shared" si="1112"/>
      </c>
      <c r="BH138" s="372">
        <f t="shared" si="1112"/>
      </c>
      <c r="BI138" s="372">
        <f t="shared" si="1112"/>
      </c>
      <c r="BJ138" s="373">
        <f t="shared" si="1112"/>
      </c>
      <c r="BK138" s="371">
        <f t="shared" si="1112"/>
      </c>
      <c r="BL138" s="372">
        <f t="shared" si="1112"/>
      </c>
      <c r="BM138" s="372">
        <f t="shared" si="1112"/>
      </c>
      <c r="BN138" s="372">
        <f t="shared" si="1112"/>
      </c>
      <c r="BO138" s="373">
        <f t="shared" ref="BO138:CT138" si="1113">-BO108</f>
      </c>
      <c r="BP138" s="371">
        <f t="shared" si="1113"/>
      </c>
      <c r="BQ138" s="372">
        <f t="shared" si="1113"/>
      </c>
      <c r="BR138" s="372">
        <f t="shared" si="1113"/>
      </c>
      <c r="BS138" s="372">
        <f t="shared" si="1113"/>
      </c>
      <c r="BT138" s="373">
        <f t="shared" si="1113"/>
      </c>
      <c r="BU138" s="371">
        <f t="shared" si="1113"/>
      </c>
      <c r="BV138" s="372">
        <f t="shared" si="1113"/>
      </c>
      <c r="BW138" s="372">
        <f t="shared" si="1113"/>
      </c>
      <c r="BX138" s="372">
        <f t="shared" si="1113"/>
      </c>
      <c r="BY138" s="373">
        <f t="shared" si="1113"/>
      </c>
      <c r="BZ138" s="371">
        <f t="shared" si="1113"/>
      </c>
      <c r="CA138" s="372">
        <f t="shared" si="1113"/>
      </c>
      <c r="CB138" s="372">
        <f t="shared" si="1113"/>
      </c>
      <c r="CC138" s="372">
        <f t="shared" si="1113"/>
      </c>
      <c r="CD138" s="373">
        <f t="shared" si="1113"/>
      </c>
      <c r="CE138" s="371">
        <f t="shared" si="1113"/>
      </c>
      <c r="CF138" s="372">
        <f t="shared" si="1113"/>
      </c>
      <c r="CG138" s="372">
        <f t="shared" si="1113"/>
      </c>
      <c r="CH138" s="372">
        <f t="shared" si="1113"/>
      </c>
      <c r="CI138" s="373">
        <f t="shared" si="1113"/>
      </c>
      <c r="CJ138" s="371">
        <f t="shared" si="1113"/>
      </c>
      <c r="CK138" s="372">
        <f t="shared" si="1113"/>
      </c>
      <c r="CL138" s="372">
        <f t="shared" si="1113"/>
      </c>
      <c r="CM138" s="372">
        <f t="shared" si="1113"/>
      </c>
      <c r="CN138" s="373">
        <f t="shared" si="1113"/>
      </c>
      <c r="CO138" s="371">
        <f t="shared" si="1113"/>
      </c>
      <c r="CP138" s="372">
        <f t="shared" si="1113"/>
      </c>
      <c r="CQ138" s="372">
        <f t="shared" si="1113"/>
      </c>
      <c r="CR138" s="372">
        <f t="shared" si="1113"/>
      </c>
      <c r="CS138" s="373">
        <f t="shared" si="1113"/>
      </c>
      <c r="CT138" s="371">
        <f t="shared" si="1113"/>
      </c>
      <c r="CU138" s="372">
        <f t="shared" ref="CU138:DZ138" si="1114">-CU108</f>
      </c>
      <c r="CV138" s="372">
        <f t="shared" si="1114"/>
      </c>
      <c r="CW138" s="372">
        <f t="shared" si="1114"/>
      </c>
      <c r="CX138" s="373">
        <f t="shared" si="1114"/>
      </c>
      <c r="CY138" s="371">
        <f t="shared" si="1114"/>
      </c>
      <c r="CZ138" s="372">
        <f t="shared" si="1114"/>
      </c>
      <c r="DA138" s="372">
        <f t="shared" si="1114"/>
      </c>
      <c r="DB138" s="372">
        <f t="shared" si="1114"/>
      </c>
      <c r="DC138" s="373">
        <f t="shared" si="1114"/>
      </c>
      <c r="DD138" s="371">
        <f t="shared" si="1114"/>
      </c>
      <c r="DE138" s="372">
        <f t="shared" si="1114"/>
      </c>
      <c r="DF138" s="372">
        <f t="shared" si="1114"/>
      </c>
      <c r="DG138" s="372">
        <f t="shared" si="1114"/>
      </c>
      <c r="DH138" s="373">
        <f t="shared" si="1114"/>
      </c>
      <c r="DI138" s="371">
        <f t="shared" si="1114"/>
      </c>
      <c r="DJ138" s="372">
        <f t="shared" si="1114"/>
      </c>
      <c r="DK138" s="372">
        <f t="shared" si="1114"/>
      </c>
      <c r="DL138" s="372">
        <f t="shared" si="1114"/>
      </c>
      <c r="DM138" s="373">
        <f t="shared" si="1114"/>
      </c>
      <c r="DN138" s="371">
        <f t="shared" si="1114"/>
      </c>
      <c r="DO138" s="372">
        <f t="shared" si="1114"/>
      </c>
      <c r="DP138" s="372">
        <f t="shared" si="1114"/>
      </c>
      <c r="DQ138" s="372">
        <f t="shared" si="1114"/>
      </c>
      <c r="DR138" s="373">
        <f t="shared" si="1114"/>
      </c>
      <c r="DS138" s="371">
        <f t="shared" si="1114"/>
      </c>
      <c r="DT138" s="372">
        <f t="shared" si="1114"/>
      </c>
      <c r="DU138" s="372">
        <f t="shared" si="1114"/>
      </c>
      <c r="DV138" s="372">
        <f t="shared" si="1114"/>
      </c>
      <c r="DW138" s="373">
        <f t="shared" si="1114"/>
      </c>
      <c r="DX138" s="371">
        <f t="shared" si="1114"/>
      </c>
      <c r="DY138" s="372">
        <f t="shared" si="1114"/>
      </c>
      <c r="DZ138" s="372">
        <f t="shared" si="1114"/>
      </c>
      <c r="EA138" s="372">
        <f t="shared" ref="EA138:FF138" si="1115">-EA108</f>
      </c>
      <c r="EB138" s="373">
        <f t="shared" si="1115"/>
      </c>
      <c r="EC138" s="371">
        <f t="shared" si="1115"/>
      </c>
      <c r="ED138" s="372">
        <f t="shared" si="1115"/>
      </c>
      <c r="EE138" s="372">
        <f t="shared" si="1115"/>
      </c>
      <c r="EF138" s="372">
        <f t="shared" si="1115"/>
      </c>
      <c r="EG138" s="373">
        <f t="shared" si="1115"/>
      </c>
      <c r="EH138" s="371">
        <f t="shared" si="1115"/>
      </c>
      <c r="EI138" s="372">
        <f t="shared" si="1115"/>
      </c>
      <c r="EJ138" s="372">
        <f t="shared" si="1115"/>
      </c>
      <c r="EK138" s="372">
        <f t="shared" si="1115"/>
      </c>
      <c r="EL138" s="373">
        <f t="shared" si="1115"/>
      </c>
      <c r="EM138" s="371">
        <f t="shared" si="1115"/>
      </c>
      <c r="EN138" s="372">
        <f t="shared" si="1115"/>
      </c>
      <c r="EO138" s="372">
        <f t="shared" si="1115"/>
      </c>
      <c r="EP138" s="372">
        <f t="shared" si="1115"/>
      </c>
      <c r="EQ138" s="373">
        <f t="shared" si="1115"/>
      </c>
      <c r="ER138" s="371">
        <f t="shared" si="1115"/>
      </c>
      <c r="ES138" s="372">
        <f t="shared" si="1115"/>
      </c>
      <c r="ET138" s="372">
        <f t="shared" si="1115"/>
      </c>
      <c r="EU138" s="372">
        <f t="shared" si="1115"/>
      </c>
      <c r="EV138" s="373">
        <f t="shared" si="1115"/>
      </c>
      <c r="EW138" s="371">
        <f t="shared" si="1115"/>
      </c>
      <c r="EX138" s="372">
        <f t="shared" si="1115"/>
      </c>
      <c r="EY138" s="372">
        <f t="shared" ref="EY138:FA138" si="1116">-EY108</f>
      </c>
      <c r="EZ138" s="372">
        <f t="shared" si="1116"/>
      </c>
      <c r="FA138" s="373">
        <f t="shared" si="1116"/>
      </c>
      <c r="FB138" s="372">
        <f t="shared" si="1115"/>
      </c>
      <c r="FC138" s="372">
        <f t="shared" si="1115"/>
      </c>
      <c r="FD138" s="372">
        <f t="shared" si="1115"/>
      </c>
      <c r="FE138" s="372">
        <f t="shared" si="1115"/>
      </c>
      <c r="FF138" s="373">
        <f t="shared" si="1115"/>
      </c>
      <c r="FG138" s="372">
        <f t="shared" ref="FG138:GE138" si="1117">-FG108</f>
      </c>
      <c r="FH138" s="372">
        <f t="shared" si="1117"/>
      </c>
      <c r="FI138" s="372">
        <f t="shared" si="1117"/>
      </c>
      <c r="FJ138" s="372">
        <f t="shared" si="1117"/>
      </c>
      <c r="FK138" s="373">
        <f t="shared" si="1117"/>
      </c>
      <c r="FL138" s="372">
        <f t="shared" si="1117"/>
      </c>
      <c r="FM138" s="372">
        <f t="shared" si="1117"/>
      </c>
      <c r="FN138" s="372">
        <f t="shared" si="1117"/>
      </c>
      <c r="FO138" s="372">
        <f t="shared" si="1117"/>
      </c>
      <c r="FP138" s="373">
        <f t="shared" si="1117"/>
      </c>
      <c r="FQ138" s="372">
        <f t="shared" si="1117"/>
      </c>
      <c r="FR138" s="372">
        <f t="shared" si="1117"/>
      </c>
      <c r="FS138" s="372">
        <f t="shared" si="1117"/>
      </c>
      <c r="FT138" s="372">
        <f t="shared" si="1117"/>
      </c>
      <c r="FU138" s="373">
        <f t="shared" si="1117"/>
      </c>
      <c r="FV138" s="372">
        <f t="shared" si="1117"/>
      </c>
      <c r="FW138" s="372">
        <f t="shared" si="1117"/>
      </c>
      <c r="FX138" s="372">
        <f t="shared" si="1117"/>
      </c>
      <c r="FY138" s="372">
        <f t="shared" si="1117"/>
      </c>
      <c r="FZ138" s="373">
        <f t="shared" si="1117"/>
      </c>
      <c r="GA138" s="372">
        <f t="shared" si="1117"/>
      </c>
      <c r="GB138" s="372">
        <f t="shared" si="1117"/>
      </c>
      <c r="GC138" s="372">
        <f t="shared" si="1117"/>
      </c>
      <c r="GD138" s="372">
        <f t="shared" si="1117"/>
      </c>
      <c r="GE138" s="373">
        <f t="shared" si="1117"/>
      </c>
      <c r="GF138" s="372">
        <f t="shared" ref="GF138:GJ138" si="1118">-GF108</f>
      </c>
      <c r="GG138" s="372">
        <f t="shared" si="1118"/>
      </c>
      <c r="GH138" s="372">
        <f t="shared" si="1118"/>
      </c>
      <c r="GI138" s="372">
        <f t="shared" si="1118"/>
      </c>
      <c r="GJ138" s="373">
        <f t="shared" si="1118"/>
      </c>
    </row>
    <row r="139" spans="1:192" s="374" customFormat="1" ht="12.75" hidden="1" customHeight="1" outlineLevel="1">
      <c r="A139" s="1442"/>
      <c r="B139" s="676" t="s">
        <v>181</v>
      </c>
      <c r="C139" s="371">
        <f t="shared" ref="C139:AH139" si="1119">C18</f>
      </c>
      <c r="D139" s="372">
        <f t="shared" si="1119"/>
      </c>
      <c r="E139" s="372">
        <f t="shared" si="1119"/>
      </c>
      <c r="F139" s="372">
        <f t="shared" si="1119"/>
      </c>
      <c r="G139" s="373">
        <f t="shared" si="1119"/>
      </c>
      <c r="H139" s="371">
        <f t="shared" si="1119"/>
      </c>
      <c r="I139" s="372">
        <f t="shared" si="1119"/>
      </c>
      <c r="J139" s="372">
        <f t="shared" si="1119"/>
      </c>
      <c r="K139" s="372">
        <f t="shared" si="1119"/>
      </c>
      <c r="L139" s="373">
        <f t="shared" si="1119"/>
      </c>
      <c r="M139" s="371">
        <f t="shared" si="1119"/>
      </c>
      <c r="N139" s="372">
        <f t="shared" si="1119"/>
      </c>
      <c r="O139" s="372">
        <f t="shared" si="1119"/>
      </c>
      <c r="P139" s="372">
        <f t="shared" si="1119"/>
      </c>
      <c r="Q139" s="373">
        <f t="shared" si="1119"/>
      </c>
      <c r="R139" s="371">
        <f t="shared" si="1119"/>
      </c>
      <c r="S139" s="372">
        <f t="shared" si="1119"/>
      </c>
      <c r="T139" s="372">
        <f t="shared" si="1119"/>
      </c>
      <c r="U139" s="372">
        <f t="shared" si="1119"/>
      </c>
      <c r="V139" s="373">
        <f t="shared" si="1119"/>
      </c>
      <c r="W139" s="371">
        <f t="shared" si="1119"/>
      </c>
      <c r="X139" s="372">
        <f t="shared" si="1119"/>
      </c>
      <c r="Y139" s="372">
        <f t="shared" si="1119"/>
      </c>
      <c r="Z139" s="372">
        <f t="shared" si="1119"/>
      </c>
      <c r="AA139" s="373">
        <f t="shared" si="1119"/>
      </c>
      <c r="AB139" s="371">
        <f t="shared" si="1119"/>
      </c>
      <c r="AC139" s="372">
        <f t="shared" si="1119"/>
      </c>
      <c r="AD139" s="372">
        <f t="shared" si="1119"/>
      </c>
      <c r="AE139" s="372">
        <f t="shared" si="1119"/>
      </c>
      <c r="AF139" s="373">
        <f t="shared" si="1119"/>
      </c>
      <c r="AG139" s="371">
        <f t="shared" si="1119"/>
      </c>
      <c r="AH139" s="372">
        <f t="shared" si="1119"/>
      </c>
      <c r="AI139" s="372">
        <f t="shared" ref="AI139:BN139" si="1120">AI18</f>
      </c>
      <c r="AJ139" s="372">
        <f t="shared" si="1120"/>
      </c>
      <c r="AK139" s="373">
        <f t="shared" si="1120"/>
      </c>
      <c r="AL139" s="371">
        <f t="shared" si="1120"/>
      </c>
      <c r="AM139" s="372">
        <f t="shared" si="1120"/>
      </c>
      <c r="AN139" s="372">
        <f t="shared" si="1120"/>
      </c>
      <c r="AO139" s="372">
        <f t="shared" si="1120"/>
      </c>
      <c r="AP139" s="373">
        <f t="shared" si="1120"/>
      </c>
      <c r="AQ139" s="371">
        <f t="shared" si="1120"/>
      </c>
      <c r="AR139" s="372">
        <f t="shared" si="1120"/>
      </c>
      <c r="AS139" s="372">
        <f t="shared" si="1120"/>
      </c>
      <c r="AT139" s="372">
        <f t="shared" si="1120"/>
      </c>
      <c r="AU139" s="373">
        <f t="shared" si="1120"/>
      </c>
      <c r="AV139" s="371">
        <f t="shared" si="1120"/>
      </c>
      <c r="AW139" s="372">
        <f t="shared" si="1120"/>
      </c>
      <c r="AX139" s="372">
        <f t="shared" si="1120"/>
      </c>
      <c r="AY139" s="372">
        <f t="shared" si="1120"/>
      </c>
      <c r="AZ139" s="373">
        <f t="shared" si="1120"/>
      </c>
      <c r="BA139" s="371">
        <f t="shared" si="1120"/>
      </c>
      <c r="BB139" s="372">
        <f t="shared" si="1120"/>
      </c>
      <c r="BC139" s="372">
        <f t="shared" si="1120"/>
      </c>
      <c r="BD139" s="372">
        <f t="shared" si="1120"/>
      </c>
      <c r="BE139" s="373">
        <f t="shared" si="1120"/>
      </c>
      <c r="BF139" s="371">
        <f t="shared" si="1120"/>
      </c>
      <c r="BG139" s="372">
        <f t="shared" si="1120"/>
      </c>
      <c r="BH139" s="372">
        <f t="shared" si="1120"/>
      </c>
      <c r="BI139" s="372">
        <f t="shared" si="1120"/>
      </c>
      <c r="BJ139" s="373">
        <f t="shared" si="1120"/>
      </c>
      <c r="BK139" s="371">
        <f t="shared" si="1120"/>
      </c>
      <c r="BL139" s="372">
        <f t="shared" si="1120"/>
      </c>
      <c r="BM139" s="372">
        <f t="shared" si="1120"/>
      </c>
      <c r="BN139" s="372">
        <f t="shared" si="1120"/>
      </c>
      <c r="BO139" s="373">
        <f t="shared" ref="BO139:CT139" si="1121">BO18</f>
      </c>
      <c r="BP139" s="371">
        <f t="shared" si="1121"/>
      </c>
      <c r="BQ139" s="372">
        <f t="shared" si="1121"/>
      </c>
      <c r="BR139" s="372">
        <f t="shared" si="1121"/>
      </c>
      <c r="BS139" s="372">
        <f t="shared" si="1121"/>
      </c>
      <c r="BT139" s="373">
        <f t="shared" si="1121"/>
      </c>
      <c r="BU139" s="371">
        <f t="shared" si="1121"/>
      </c>
      <c r="BV139" s="372">
        <f t="shared" si="1121"/>
      </c>
      <c r="BW139" s="372">
        <f t="shared" si="1121"/>
      </c>
      <c r="BX139" s="372">
        <f t="shared" si="1121"/>
      </c>
      <c r="BY139" s="373">
        <f t="shared" si="1121"/>
      </c>
      <c r="BZ139" s="371">
        <f t="shared" si="1121"/>
      </c>
      <c r="CA139" s="372">
        <f t="shared" si="1121"/>
      </c>
      <c r="CB139" s="372">
        <f t="shared" si="1121"/>
      </c>
      <c r="CC139" s="372">
        <f t="shared" si="1121"/>
      </c>
      <c r="CD139" s="373">
        <f t="shared" si="1121"/>
      </c>
      <c r="CE139" s="371">
        <f t="shared" si="1121"/>
      </c>
      <c r="CF139" s="372">
        <f t="shared" si="1121"/>
      </c>
      <c r="CG139" s="372">
        <f t="shared" si="1121"/>
      </c>
      <c r="CH139" s="372">
        <f t="shared" si="1121"/>
      </c>
      <c r="CI139" s="373">
        <f t="shared" si="1121"/>
      </c>
      <c r="CJ139" s="371">
        <f t="shared" si="1121"/>
      </c>
      <c r="CK139" s="372">
        <f t="shared" si="1121"/>
      </c>
      <c r="CL139" s="372">
        <f t="shared" si="1121"/>
      </c>
      <c r="CM139" s="372">
        <f t="shared" si="1121"/>
      </c>
      <c r="CN139" s="373">
        <f t="shared" si="1121"/>
      </c>
      <c r="CO139" s="371">
        <f t="shared" si="1121"/>
      </c>
      <c r="CP139" s="372">
        <f t="shared" si="1121"/>
      </c>
      <c r="CQ139" s="372">
        <f t="shared" si="1121"/>
      </c>
      <c r="CR139" s="372">
        <f t="shared" si="1121"/>
      </c>
      <c r="CS139" s="373">
        <f t="shared" si="1121"/>
      </c>
      <c r="CT139" s="371">
        <f t="shared" si="1121"/>
      </c>
      <c r="CU139" s="372">
        <f t="shared" ref="CU139:DZ139" si="1122">CU18</f>
      </c>
      <c r="CV139" s="372">
        <f t="shared" si="1122"/>
      </c>
      <c r="CW139" s="372">
        <f t="shared" si="1122"/>
      </c>
      <c r="CX139" s="373">
        <f t="shared" si="1122"/>
      </c>
      <c r="CY139" s="371">
        <f t="shared" si="1122"/>
      </c>
      <c r="CZ139" s="372">
        <f t="shared" si="1122"/>
      </c>
      <c r="DA139" s="372">
        <f t="shared" si="1122"/>
      </c>
      <c r="DB139" s="372">
        <f t="shared" si="1122"/>
      </c>
      <c r="DC139" s="373">
        <f t="shared" si="1122"/>
      </c>
      <c r="DD139" s="371">
        <f t="shared" si="1122"/>
      </c>
      <c r="DE139" s="372">
        <f t="shared" si="1122"/>
      </c>
      <c r="DF139" s="372">
        <f t="shared" si="1122"/>
      </c>
      <c r="DG139" s="372">
        <f t="shared" si="1122"/>
      </c>
      <c r="DH139" s="373">
        <f t="shared" si="1122"/>
      </c>
      <c r="DI139" s="371">
        <f t="shared" si="1122"/>
      </c>
      <c r="DJ139" s="372">
        <f t="shared" si="1122"/>
      </c>
      <c r="DK139" s="372">
        <f t="shared" si="1122"/>
      </c>
      <c r="DL139" s="372">
        <f t="shared" si="1122"/>
      </c>
      <c r="DM139" s="373">
        <f t="shared" si="1122"/>
      </c>
      <c r="DN139" s="371">
        <f t="shared" si="1122"/>
      </c>
      <c r="DO139" s="372">
        <f t="shared" si="1122"/>
      </c>
      <c r="DP139" s="372">
        <f t="shared" si="1122"/>
      </c>
      <c r="DQ139" s="372">
        <f t="shared" si="1122"/>
      </c>
      <c r="DR139" s="373">
        <f t="shared" si="1122"/>
      </c>
      <c r="DS139" s="371">
        <f t="shared" si="1122"/>
      </c>
      <c r="DT139" s="372">
        <f t="shared" si="1122"/>
      </c>
      <c r="DU139" s="372">
        <f t="shared" si="1122"/>
      </c>
      <c r="DV139" s="372">
        <f t="shared" si="1122"/>
      </c>
      <c r="DW139" s="373">
        <f t="shared" si="1122"/>
      </c>
      <c r="DX139" s="371">
        <f t="shared" si="1122"/>
      </c>
      <c r="DY139" s="372">
        <f t="shared" si="1122"/>
      </c>
      <c r="DZ139" s="372">
        <f t="shared" si="1122"/>
      </c>
      <c r="EA139" s="372">
        <f t="shared" ref="EA139:EU139" si="1123">EA18</f>
      </c>
      <c r="EB139" s="373">
        <f t="shared" si="1123"/>
      </c>
      <c r="EC139" s="371">
        <f t="shared" si="1123"/>
      </c>
      <c r="ED139" s="372">
        <f t="shared" si="1123"/>
      </c>
      <c r="EE139" s="372">
        <f t="shared" si="1123"/>
      </c>
      <c r="EF139" s="372">
        <f t="shared" si="1123"/>
      </c>
      <c r="EG139" s="373">
        <f t="shared" si="1123"/>
      </c>
      <c r="EH139" s="371">
        <f t="shared" si="1123"/>
      </c>
      <c r="EI139" s="372">
        <f t="shared" si="1123"/>
      </c>
      <c r="EJ139" s="372">
        <f t="shared" si="1123"/>
      </c>
      <c r="EK139" s="372">
        <f t="shared" si="1123"/>
      </c>
      <c r="EL139" s="373">
        <f t="shared" si="1123"/>
      </c>
      <c r="EM139" s="371">
        <f t="shared" si="1123"/>
      </c>
      <c r="EN139" s="372">
        <f t="shared" si="1123"/>
      </c>
      <c r="EO139" s="372">
        <f t="shared" si="1123"/>
      </c>
      <c r="EP139" s="372">
        <f t="shared" si="1123"/>
      </c>
      <c r="EQ139" s="373">
        <f t="shared" si="1123"/>
      </c>
      <c r="ER139" s="371">
        <f t="shared" si="1123"/>
      </c>
      <c r="ES139" s="372">
        <f t="shared" si="1123"/>
      </c>
      <c r="ET139" s="372">
        <f t="shared" si="1123"/>
      </c>
      <c r="EU139" s="372">
        <f t="shared" si="1123"/>
      </c>
      <c r="EV139" s="373">
        <f>EU139</f>
      </c>
      <c r="EW139" s="371">
        <f>EW18</f>
      </c>
      <c r="EX139" s="372">
        <f>EX18</f>
      </c>
      <c r="EY139" s="372">
        <f>EY18</f>
      </c>
      <c r="EZ139" s="372">
        <f>EZ18</f>
      </c>
      <c r="FA139" s="373">
        <f>EZ139</f>
      </c>
      <c r="FB139" s="372">
        <f>EZ139-FB137+FB138</f>
      </c>
      <c r="FC139" s="372">
        <f>FB139-FC137+FC138</f>
      </c>
      <c r="FD139" s="372">
        <f>FC139-FD137+FD138</f>
      </c>
      <c r="FE139" s="372">
        <f>FD139-FE137+FE138</f>
      </c>
      <c r="FF139" s="373">
        <f>FE139</f>
      </c>
      <c r="FG139" s="372">
        <f>FE139-FG137+FG138</f>
      </c>
      <c r="FH139" s="372">
        <f>FG139-FH137+FH138</f>
      </c>
      <c r="FI139" s="372">
        <f>FH139-FI137+FI138</f>
      </c>
      <c r="FJ139" s="372">
        <f>FI139-FJ137+FJ138</f>
      </c>
      <c r="FK139" s="373">
        <f>FJ139</f>
      </c>
      <c r="FL139" s="372">
        <f>FJ139-FL137+FL138</f>
      </c>
      <c r="FM139" s="372">
        <f>FL139-FM137+FM138</f>
      </c>
      <c r="FN139" s="372">
        <f>FM139-FN137+FN138</f>
      </c>
      <c r="FO139" s="372">
        <f>FN139-FO137+FO138</f>
      </c>
      <c r="FP139" s="373">
        <f>FO139</f>
      </c>
      <c r="FQ139" s="372">
        <f>FO139-FQ137+FQ138</f>
      </c>
      <c r="FR139" s="372">
        <f>FQ139-FR137+FR138</f>
      </c>
      <c r="FS139" s="372">
        <f>FR139-FS137+FS138</f>
      </c>
      <c r="FT139" s="372">
        <f>FS139-FT137+FT138</f>
      </c>
      <c r="FU139" s="373">
        <f>FT139</f>
      </c>
      <c r="FV139" s="372">
        <f>FT139-FV137+FV138</f>
      </c>
      <c r="FW139" s="372">
        <f>FV139-FW137+FW138</f>
      </c>
      <c r="FX139" s="372">
        <f>FW139-FX137+FX138</f>
      </c>
      <c r="FY139" s="372">
        <f>FX139-FY137+FY138</f>
      </c>
      <c r="FZ139" s="373">
        <f>FY139</f>
      </c>
      <c r="GA139" s="372">
        <f>FY139-GA137+GA138</f>
      </c>
      <c r="GB139" s="372">
        <f>GA139-GB137+GB138</f>
      </c>
      <c r="GC139" s="372">
        <f>GB139-GC137+GC138</f>
      </c>
      <c r="GD139" s="372">
        <f>GC139-GD137+GD138</f>
      </c>
      <c r="GE139" s="373">
        <f>GD139</f>
      </c>
      <c r="GF139" s="372">
        <f>GD139-GF137+GF138</f>
      </c>
      <c r="GG139" s="372">
        <f>GF139-GG137+GG138</f>
      </c>
      <c r="GH139" s="372">
        <f>GG139-GH137+GH138</f>
      </c>
      <c r="GI139" s="372">
        <f>GH139-GI137+GI138</f>
      </c>
      <c r="GJ139" s="373">
        <f>GI139</f>
      </c>
    </row>
    <row r="140" spans="1:192" s="135" customFormat="1" ht="12.75" hidden="1" customHeight="1" outlineLevel="1">
      <c r="A140" s="134"/>
      <c r="B140" s="704"/>
      <c r="C140" s="140"/>
      <c r="D140" s="141"/>
      <c r="E140" s="141"/>
      <c r="F140" s="141"/>
      <c r="G140" s="122"/>
      <c r="H140" s="140"/>
      <c r="I140" s="141"/>
      <c r="J140" s="141"/>
      <c r="K140" s="141"/>
      <c r="L140" s="122"/>
      <c r="M140" s="140"/>
      <c r="N140" s="141"/>
      <c r="O140" s="141"/>
      <c r="P140" s="141"/>
      <c r="Q140" s="122"/>
      <c r="R140" s="140"/>
      <c r="S140" s="141"/>
      <c r="T140" s="141"/>
      <c r="U140" s="141"/>
      <c r="V140" s="122"/>
      <c r="W140" s="140"/>
      <c r="X140" s="141"/>
      <c r="Y140" s="141"/>
      <c r="Z140" s="141"/>
      <c r="AA140" s="122"/>
      <c r="AB140" s="140"/>
      <c r="AC140" s="141"/>
      <c r="AD140" s="141"/>
      <c r="AE140" s="141"/>
      <c r="AF140" s="122"/>
      <c r="AG140" s="140"/>
      <c r="AH140" s="141"/>
      <c r="AI140" s="141"/>
      <c r="AJ140" s="141"/>
      <c r="AK140" s="122"/>
      <c r="AL140" s="140"/>
      <c r="AM140" s="141"/>
      <c r="AN140" s="141"/>
      <c r="AO140" s="141"/>
      <c r="AP140" s="122"/>
      <c r="AQ140" s="140"/>
      <c r="AR140" s="141"/>
      <c r="AS140" s="141"/>
      <c r="AT140" s="141"/>
      <c r="AU140" s="122"/>
      <c r="AV140" s="140"/>
      <c r="AW140" s="141"/>
      <c r="AX140" s="141"/>
      <c r="AY140" s="141"/>
      <c r="AZ140" s="122"/>
      <c r="BA140" s="140"/>
      <c r="BB140" s="141"/>
      <c r="BC140" s="141"/>
      <c r="BD140" s="141"/>
      <c r="BE140" s="122"/>
      <c r="BF140" s="140"/>
      <c r="BG140" s="141"/>
      <c r="BH140" s="141"/>
      <c r="BI140" s="141"/>
      <c r="BJ140" s="122"/>
      <c r="BK140" s="140"/>
      <c r="BL140" s="141"/>
      <c r="BM140" s="141"/>
      <c r="BN140" s="141"/>
      <c r="BO140" s="122"/>
      <c r="BP140" s="140"/>
      <c r="BQ140" s="141"/>
      <c r="BR140" s="141"/>
      <c r="BS140" s="141"/>
      <c r="BT140" s="122"/>
      <c r="BU140" s="533"/>
      <c r="BV140" s="141"/>
      <c r="BW140" s="141"/>
      <c r="BX140" s="141"/>
      <c r="BY140" s="122"/>
      <c r="BZ140" s="140"/>
      <c r="CA140" s="141"/>
      <c r="CB140" s="141"/>
      <c r="CC140" s="141"/>
      <c r="CD140" s="122"/>
      <c r="CE140" s="140"/>
      <c r="CF140" s="141"/>
      <c r="CG140" s="141"/>
      <c r="CH140" s="141"/>
      <c r="CI140" s="122"/>
      <c r="CJ140" s="140"/>
      <c r="CK140" s="141"/>
      <c r="CL140" s="141"/>
      <c r="CM140" s="141"/>
      <c r="CN140" s="122"/>
      <c r="CO140" s="140"/>
      <c r="CP140" s="141"/>
      <c r="CQ140" s="141"/>
      <c r="CR140" s="141"/>
      <c r="CS140" s="122"/>
      <c r="CT140" s="140"/>
      <c r="CU140" s="141"/>
      <c r="CV140" s="141"/>
      <c r="CW140" s="141"/>
      <c r="CX140" s="122"/>
      <c r="CY140" s="140"/>
      <c r="CZ140" s="141"/>
      <c r="DA140" s="141"/>
      <c r="DB140" s="141"/>
      <c r="DC140" s="122"/>
      <c r="DD140" s="140"/>
      <c r="DE140" s="141"/>
      <c r="DF140" s="141"/>
      <c r="DG140" s="141"/>
      <c r="DH140" s="122"/>
      <c r="DI140" s="140"/>
      <c r="DJ140" s="141"/>
      <c r="DK140" s="141"/>
      <c r="DL140" s="141"/>
      <c r="DM140" s="122"/>
      <c r="DN140" s="140"/>
      <c r="DO140" s="141"/>
      <c r="DP140" s="141"/>
      <c r="DQ140" s="141"/>
      <c r="DR140" s="122"/>
      <c r="DS140" s="140"/>
      <c r="DT140" s="141"/>
      <c r="DU140" s="141"/>
      <c r="DV140" s="141"/>
      <c r="DW140" s="122"/>
      <c r="DX140" s="140"/>
      <c r="DY140" s="141"/>
      <c r="DZ140" s="141"/>
      <c r="EA140" s="141"/>
      <c r="EB140" s="122"/>
      <c r="EC140" s="140"/>
      <c r="ED140" s="141"/>
      <c r="EE140" s="141"/>
      <c r="EF140" s="141"/>
      <c r="EG140" s="122"/>
      <c r="EH140" s="140"/>
      <c r="EI140" s="141"/>
      <c r="EJ140" s="141"/>
      <c r="EK140" s="141"/>
      <c r="EL140" s="122"/>
      <c r="EM140" s="140"/>
      <c r="EN140" s="141"/>
      <c r="EO140" s="141"/>
      <c r="EP140" s="141"/>
      <c r="EQ140" s="122"/>
      <c r="ER140" s="140"/>
      <c r="ES140" s="141"/>
      <c r="ET140" s="141"/>
      <c r="EU140" s="141"/>
      <c r="EV140" s="122"/>
      <c r="EW140" s="141"/>
      <c r="EX140" s="141"/>
      <c r="EY140" s="141"/>
      <c r="EZ140" s="141"/>
      <c r="FA140" s="122"/>
      <c r="FB140" s="140"/>
      <c r="FC140" s="141"/>
      <c r="FD140" s="141"/>
      <c r="FE140" s="141"/>
      <c r="FF140" s="122"/>
      <c r="FG140" s="140"/>
      <c r="FH140" s="141"/>
      <c r="FI140" s="141"/>
      <c r="FJ140" s="141"/>
      <c r="FK140" s="122"/>
      <c r="FL140" s="140"/>
      <c r="FM140" s="141"/>
      <c r="FN140" s="141"/>
      <c r="FO140" s="141"/>
      <c r="FP140" s="122"/>
      <c r="FQ140" s="140"/>
      <c r="FR140" s="141"/>
      <c r="FS140" s="141"/>
      <c r="FT140" s="141"/>
      <c r="FU140" s="122"/>
      <c r="FV140" s="140"/>
      <c r="FW140" s="141"/>
      <c r="FX140" s="141"/>
      <c r="FY140" s="141"/>
      <c r="FZ140" s="122"/>
      <c r="GA140" s="140"/>
      <c r="GB140" s="141"/>
      <c r="GC140" s="141"/>
      <c r="GD140" s="141"/>
      <c r="GE140" s="122"/>
      <c r="GF140" s="140"/>
      <c r="GG140" s="141"/>
      <c r="GH140" s="141"/>
      <c r="GI140" s="141"/>
      <c r="GJ140" s="122"/>
    </row>
    <row r="141" spans="1:192" s="1306" customFormat="1" ht="12.75" hidden="1" customHeight="1" outlineLevel="1">
      <c r="A141" s="1237"/>
      <c r="B141" s="1732" t="s">
        <v>1885</v>
      </c>
      <c r="C141" s="1306">
        <f t="shared" ref="C141:F142" si="1124">C136/C138</f>
      </c>
      <c r="D141" s="1306">
        <f t="shared" si="1124"/>
      </c>
      <c r="E141" s="1306">
        <f t="shared" si="1124"/>
      </c>
      <c r="F141" s="1306">
        <f t="shared" si="1124"/>
      </c>
      <c r="G141" s="1309"/>
      <c r="H141" s="1306">
        <f t="shared" ref="H141:K142" si="1125">H136/H138</f>
      </c>
      <c r="I141" s="1306">
        <f t="shared" si="1125"/>
      </c>
      <c r="J141" s="1306">
        <f t="shared" si="1125"/>
      </c>
      <c r="K141" s="1306">
        <f t="shared" si="1125"/>
      </c>
      <c r="L141" s="1309"/>
      <c r="M141" s="1306">
        <f t="shared" ref="M141:P142" si="1126">M136/M138</f>
      </c>
      <c r="N141" s="1306">
        <f t="shared" si="1126"/>
      </c>
      <c r="O141" s="1306">
        <f t="shared" si="1126"/>
      </c>
      <c r="P141" s="1306">
        <f t="shared" si="1126"/>
      </c>
      <c r="Q141" s="1309"/>
      <c r="R141" s="1306">
        <f t="shared" ref="R141:U142" si="1127">R136/R138</f>
      </c>
      <c r="S141" s="1306">
        <f t="shared" si="1127"/>
      </c>
      <c r="T141" s="1306">
        <f t="shared" si="1127"/>
      </c>
      <c r="U141" s="1306">
        <f t="shared" si="1127"/>
      </c>
      <c r="V141" s="1309"/>
      <c r="W141" s="1306">
        <f t="shared" ref="W141:Z142" si="1128">W136/W138</f>
      </c>
      <c r="X141" s="1306">
        <f t="shared" si="1128"/>
      </c>
      <c r="Y141" s="1306">
        <f t="shared" si="1128"/>
      </c>
      <c r="Z141" s="1306">
        <f t="shared" si="1128"/>
      </c>
      <c r="AA141" s="1309"/>
      <c r="AB141" s="1306">
        <f t="shared" ref="AB141:AE142" si="1129">AB136/AB138</f>
      </c>
      <c r="AC141" s="1306">
        <f t="shared" si="1129"/>
      </c>
      <c r="AD141" s="1306">
        <f t="shared" si="1129"/>
      </c>
      <c r="AE141" s="1306">
        <f t="shared" si="1129"/>
      </c>
      <c r="AF141" s="1309"/>
      <c r="AG141" s="1306">
        <f t="shared" ref="AG141:AJ142" si="1130">AG136/AG138</f>
      </c>
      <c r="AH141" s="1306">
        <f t="shared" si="1130"/>
      </c>
      <c r="AI141" s="1306">
        <f t="shared" si="1130"/>
      </c>
      <c r="AJ141" s="1306">
        <f t="shared" si="1130"/>
      </c>
      <c r="AK141" s="1309"/>
      <c r="AL141" s="1306">
        <f t="shared" ref="AL141:AO142" si="1131">AL136/AL138</f>
      </c>
      <c r="AM141" s="1306">
        <f t="shared" si="1131"/>
      </c>
      <c r="AN141" s="1306">
        <f t="shared" si="1131"/>
      </c>
      <c r="AO141" s="1306">
        <f t="shared" si="1131"/>
      </c>
      <c r="AP141" s="1309"/>
      <c r="AQ141" s="1306">
        <f t="shared" ref="AQ141:AT142" si="1132">AQ136/AQ138</f>
      </c>
      <c r="AR141" s="1306">
        <f t="shared" si="1132"/>
      </c>
      <c r="AS141" s="1306">
        <f t="shared" si="1132"/>
      </c>
      <c r="AT141" s="1306">
        <f t="shared" si="1132"/>
      </c>
      <c r="AU141" s="1309"/>
      <c r="AV141" s="1306">
        <f t="shared" ref="AV141:AY142" si="1133">AV136/AV138</f>
      </c>
      <c r="AW141" s="1306">
        <f t="shared" si="1133"/>
      </c>
      <c r="AX141" s="1306">
        <f t="shared" si="1133"/>
      </c>
      <c r="AY141" s="1306">
        <f t="shared" si="1133"/>
      </c>
      <c r="AZ141" s="1309"/>
      <c r="BA141" s="1306">
        <f>BA137/AY138</f>
      </c>
      <c r="BB141" s="1306">
        <f>BB137/BA138</f>
      </c>
      <c r="BC141" s="1306">
        <f>BC137/BB138</f>
      </c>
      <c r="BD141" s="1306">
        <f>BD137/BC138</f>
      </c>
      <c r="BE141" s="1309">
        <f>BE137/AZ138</f>
      </c>
      <c r="BF141" s="1306">
        <f>BF137/BD138</f>
      </c>
      <c r="BG141" s="1306">
        <f>BG137/BF138</f>
      </c>
      <c r="BH141" s="1306">
        <f>BH137/BG138</f>
      </c>
      <c r="BI141" s="1306">
        <f>BI137/BH138</f>
      </c>
      <c r="BJ141" s="1309">
        <f>BJ137/BE138</f>
      </c>
      <c r="BK141" s="1306">
        <f>BK137/BI138</f>
      </c>
      <c r="BL141" s="1306">
        <f>BL137/BK138</f>
      </c>
      <c r="BM141" s="1306">
        <f>BM137/BL138</f>
      </c>
      <c r="BN141" s="1306">
        <f>BN137/BM138</f>
      </c>
      <c r="BO141" s="1309">
        <f>BO137/BJ138</f>
      </c>
      <c r="BP141" s="1306">
        <f>BP137/BN138</f>
      </c>
      <c r="BQ141" s="1306">
        <f>BQ137/BP138</f>
      </c>
      <c r="BR141" s="1306">
        <f>BR137/BQ138</f>
      </c>
      <c r="BS141" s="1306">
        <f>BS137/BR138</f>
      </c>
      <c r="BT141" s="1309">
        <f>BT137/BO138</f>
      </c>
      <c r="BU141" s="1306">
        <f>BU137/BS138</f>
      </c>
      <c r="BV141" s="1306">
        <f>BV137/BU138</f>
      </c>
      <c r="BW141" s="1306">
        <f>BW137/BV138</f>
      </c>
      <c r="BX141" s="1306">
        <f>BX137/BW138</f>
      </c>
      <c r="BY141" s="1309">
        <f>BY137/BT138</f>
      </c>
      <c r="BZ141" s="1306">
        <f>BZ137/BX138</f>
      </c>
      <c r="CA141" s="1306">
        <f>CA137/BZ138</f>
      </c>
      <c r="CB141" s="1306">
        <f>CB137/CA138</f>
      </c>
      <c r="CC141" s="1306">
        <f>CC137/CB138</f>
      </c>
      <c r="CD141" s="1309">
        <f>CD137/BY138</f>
      </c>
      <c r="CE141" s="1306">
        <f>CE137/CC138</f>
      </c>
      <c r="CF141" s="1306">
        <f>CF137/CE138</f>
      </c>
      <c r="CG141" s="1306">
        <f>CG137/CF138</f>
      </c>
      <c r="CH141" s="1306">
        <f>CH137/CG138</f>
      </c>
      <c r="CI141" s="1309">
        <f>CI137/CD138</f>
      </c>
      <c r="CJ141" s="1306">
        <f>CJ137/CH138</f>
      </c>
      <c r="CK141" s="1306">
        <f>CK137/CJ138</f>
      </c>
      <c r="CL141" s="1306">
        <f>CL137/CK138</f>
      </c>
      <c r="CM141" s="1306">
        <f>CM137/CL138</f>
      </c>
      <c r="CN141" s="1309">
        <f>CN137/CI138</f>
      </c>
      <c r="CO141" s="1306">
        <f>CO137/CM138</f>
      </c>
      <c r="CP141" s="1306">
        <f>CP137/CO138</f>
      </c>
      <c r="CQ141" s="1306">
        <f>CQ137/CP138</f>
      </c>
      <c r="CR141" s="1306">
        <f>CR137/CQ138</f>
      </c>
      <c r="CS141" s="1309">
        <f>CS137/CN138</f>
      </c>
      <c r="CT141" s="1306">
        <f>CT137/CR138</f>
      </c>
      <c r="CU141" s="1306">
        <f>CU137/CT138</f>
      </c>
      <c r="CV141" s="1306">
        <f>CV137/CU138</f>
      </c>
      <c r="CW141" s="1306">
        <f>CW137/CV138</f>
      </c>
      <c r="CX141" s="1309">
        <f>CX137/CS138</f>
      </c>
      <c r="CY141" s="1306">
        <f>CY137/CW138</f>
      </c>
      <c r="CZ141" s="1306">
        <f>CZ137/CY138</f>
      </c>
      <c r="DA141" s="1306">
        <f>DA137/CZ138</f>
      </c>
      <c r="DB141" s="1306">
        <f>DB137/DA138</f>
      </c>
      <c r="DC141" s="1309">
        <f>DC137/CX138</f>
      </c>
      <c r="DD141" s="1306">
        <f>DD137/DB138</f>
      </c>
      <c r="DE141" s="1306">
        <f>DE137/DD138</f>
      </c>
      <c r="DF141" s="1306">
        <f>DF137/DE138</f>
      </c>
      <c r="DG141" s="1306">
        <f>DG137/DF138</f>
      </c>
      <c r="DH141" s="1309">
        <f>DH137/DC138</f>
      </c>
      <c r="DI141" s="1306">
        <f>DI137/DG138</f>
      </c>
      <c r="DJ141" s="1306">
        <f>DJ137/DI138</f>
      </c>
      <c r="DK141" s="1306">
        <f>DK137/DJ138</f>
      </c>
      <c r="DL141" s="1306">
        <f>DL137/DK138</f>
      </c>
      <c r="DM141" s="1309">
        <f>DM137/DH138</f>
      </c>
      <c r="DN141" s="1306">
        <f>DN137/DL138</f>
      </c>
      <c r="DO141" s="1306">
        <f>DO137/DN138</f>
      </c>
      <c r="DP141" s="1306">
        <f>DP137/DO138</f>
      </c>
      <c r="DQ141" s="1306">
        <f>DQ137/DP138</f>
      </c>
      <c r="DR141" s="1309">
        <f>DR137/DM138</f>
      </c>
      <c r="DS141" s="1306">
        <f>DS137/DQ138</f>
      </c>
      <c r="DT141" s="1306">
        <f>DT137/DS138</f>
      </c>
      <c r="DU141" s="1306">
        <f>DU137/DT138</f>
      </c>
      <c r="DV141" s="1306">
        <f>DV137/DU138</f>
      </c>
      <c r="DW141" s="1309">
        <f>DW137/DR138</f>
      </c>
      <c r="DX141" s="1306">
        <f>DX137/DV138</f>
      </c>
      <c r="DY141" s="1306">
        <f>DY137/DX138</f>
      </c>
      <c r="DZ141" s="1306">
        <f>DZ137/DY138</f>
      </c>
      <c r="EA141" s="1306">
        <f>EA137/DZ138</f>
      </c>
      <c r="EB141" s="1309">
        <f>EB137/DW138</f>
      </c>
      <c r="EC141" s="1306">
        <f>EC137/EA138</f>
      </c>
      <c r="ED141" s="1306">
        <f>ED137/EC138</f>
      </c>
      <c r="EE141" s="1306">
        <f>EE137/ED138</f>
      </c>
      <c r="EF141" s="1306">
        <f>EF137/EE138</f>
      </c>
      <c r="EG141" s="1309">
        <f>EG137/EB138</f>
      </c>
      <c r="EH141" s="1306">
        <f>EH137/EF138</f>
      </c>
      <c r="EI141" s="1306">
        <f>EI137/EH138</f>
      </c>
      <c r="EJ141" s="1306">
        <f>EJ137/EI138</f>
      </c>
      <c r="EK141" s="1306">
        <f>EK137/EJ138</f>
      </c>
      <c r="EL141" s="1309">
        <f>EL137/EG138</f>
      </c>
      <c r="EM141" s="1306">
        <f>EM137/EK138</f>
      </c>
      <c r="EN141" s="1306">
        <f>EN137/EM138</f>
      </c>
      <c r="EO141" s="1306">
        <f>EO137/EN138</f>
      </c>
      <c r="EP141" s="1306">
        <f>EP137/EO138</f>
      </c>
      <c r="EQ141" s="1309">
        <f>EQ137/EL138</f>
      </c>
      <c r="ER141" s="1306">
        <f>ER137/EP138</f>
      </c>
      <c r="ES141" s="1306">
        <f>ES137/ER138</f>
      </c>
      <c r="ET141" s="1306">
        <f>ET137/ES138</f>
      </c>
      <c r="EU141" s="1306">
        <f>EU137/ET138</f>
      </c>
      <c r="EV141" s="1309">
        <f>EV137/EQ138</f>
      </c>
      <c r="EW141" s="1306">
        <f>EW137/EU138</f>
      </c>
      <c r="EX141" s="1306">
        <f>EX137/EW138</f>
      </c>
      <c r="EY141" s="1306">
        <f>EY137/EX138</f>
      </c>
      <c r="EZ141" s="1306">
        <f>EZ137/EY138</f>
      </c>
      <c r="FA141" s="1309">
        <f>FA137/EV138</f>
      </c>
      <c r="FB141" s="1306">
        <f>FB137/EZ138</f>
      </c>
      <c r="FC141" s="1306">
        <f>FC137/FB138</f>
      </c>
      <c r="FD141" s="1306">
        <f>FD137/FC138</f>
      </c>
      <c r="FE141" s="1306">
        <f>FE137/FD138</f>
      </c>
      <c r="FF141" s="1309">
        <f>FF137/FA138</f>
      </c>
      <c r="FG141" s="1306">
        <f>FG137/FE138</f>
      </c>
      <c r="FH141" s="1306">
        <f>FH137/FG138</f>
      </c>
      <c r="FI141" s="1306">
        <f>FI137/FH138</f>
      </c>
      <c r="FJ141" s="1306">
        <f>FJ137/FI138</f>
      </c>
      <c r="FK141" s="1309">
        <f>FK137/FF138</f>
      </c>
      <c r="FL141" s="1306">
        <f>FL137/FJ138</f>
      </c>
      <c r="FM141" s="1306">
        <f>FM137/FL138</f>
      </c>
      <c r="FN141" s="1306">
        <f>FN137/FM138</f>
      </c>
      <c r="FO141" s="1306">
        <f>FO137/FN138</f>
      </c>
      <c r="FP141" s="1309">
        <f>FP137/FK138</f>
      </c>
      <c r="FQ141" s="1306">
        <f>FQ137/FO138</f>
      </c>
      <c r="FR141" s="1306">
        <f>FR137/FQ138</f>
      </c>
      <c r="FS141" s="1306">
        <f>FS137/FR138</f>
      </c>
      <c r="FT141" s="1306">
        <f>FT137/FS138</f>
      </c>
      <c r="FU141" s="1309">
        <f>FU137/FP138</f>
      </c>
      <c r="FV141" s="1306">
        <f>FV137/FT138</f>
      </c>
      <c r="FW141" s="1306">
        <f>FW137/FV138</f>
      </c>
      <c r="FX141" s="1306">
        <f>FX137/FW138</f>
      </c>
      <c r="FY141" s="1306">
        <f>FY137/FX138</f>
      </c>
      <c r="FZ141" s="1309">
        <f>FZ137/FU138</f>
      </c>
      <c r="GA141" s="1306">
        <f>GA137/FY138</f>
      </c>
      <c r="GB141" s="1306">
        <f>GB137/GA138</f>
      </c>
      <c r="GC141" s="1306">
        <f>GC137/GB138</f>
      </c>
      <c r="GD141" s="1306">
        <f>GD137/GC138</f>
      </c>
      <c r="GE141" s="1309">
        <f>GE137/FZ138</f>
      </c>
      <c r="GF141" s="1306">
        <f>GF137/GD138</f>
      </c>
      <c r="GG141" s="1306">
        <f>GG137/GF138</f>
      </c>
      <c r="GH141" s="1306">
        <f>GH137/GG138</f>
      </c>
      <c r="GI141" s="1306">
        <f>GI137/GH138</f>
      </c>
      <c r="GJ141" s="1309">
        <f>GJ137/GE138</f>
      </c>
    </row>
    <row r="142" spans="1:192" s="1306" customFormat="1" ht="12.75" hidden="1" customHeight="1" outlineLevel="1">
      <c r="A142" s="1237"/>
      <c r="B142" s="1732" t="s">
        <v>182</v>
      </c>
      <c r="C142" s="1306">
        <f t="shared" si="1124"/>
      </c>
      <c r="D142" s="1306">
        <f t="shared" si="1124"/>
      </c>
      <c r="E142" s="1306">
        <f t="shared" si="1124"/>
      </c>
      <c r="F142" s="1306">
        <f t="shared" si="1124"/>
      </c>
      <c r="G142" s="1309"/>
      <c r="H142" s="1306">
        <f t="shared" si="1125"/>
      </c>
      <c r="I142" s="1306">
        <f t="shared" si="1125"/>
      </c>
      <c r="J142" s="1306">
        <f t="shared" si="1125"/>
      </c>
      <c r="K142" s="1306">
        <f t="shared" si="1125"/>
      </c>
      <c r="L142" s="1309"/>
      <c r="M142" s="1306">
        <f t="shared" si="1126"/>
      </c>
      <c r="N142" s="1306">
        <f t="shared" si="1126"/>
      </c>
      <c r="O142" s="1306">
        <f t="shared" si="1126"/>
      </c>
      <c r="P142" s="1306">
        <f t="shared" si="1126"/>
      </c>
      <c r="Q142" s="1309"/>
      <c r="R142" s="1306">
        <f t="shared" si="1127"/>
      </c>
      <c r="S142" s="1306">
        <f t="shared" si="1127"/>
      </c>
      <c r="T142" s="1306">
        <f t="shared" si="1127"/>
      </c>
      <c r="U142" s="1306">
        <f t="shared" si="1127"/>
      </c>
      <c r="V142" s="1309"/>
      <c r="W142" s="1306">
        <f t="shared" si="1128"/>
      </c>
      <c r="X142" s="1306">
        <f t="shared" si="1128"/>
      </c>
      <c r="Y142" s="1306">
        <f t="shared" si="1128"/>
      </c>
      <c r="Z142" s="1306">
        <f t="shared" si="1128"/>
      </c>
      <c r="AA142" s="1309"/>
      <c r="AB142" s="1306">
        <f t="shared" si="1129"/>
      </c>
      <c r="AC142" s="1306">
        <f t="shared" si="1129"/>
      </c>
      <c r="AD142" s="1306">
        <f t="shared" si="1129"/>
      </c>
      <c r="AE142" s="1306">
        <f t="shared" si="1129"/>
      </c>
      <c r="AF142" s="1309"/>
      <c r="AG142" s="1306">
        <f t="shared" si="1130"/>
      </c>
      <c r="AH142" s="1306">
        <f t="shared" si="1130"/>
      </c>
      <c r="AI142" s="1306">
        <f t="shared" si="1130"/>
      </c>
      <c r="AJ142" s="1306">
        <f t="shared" si="1130"/>
      </c>
      <c r="AK142" s="1309"/>
      <c r="AL142" s="1306">
        <f t="shared" si="1131"/>
      </c>
      <c r="AM142" s="1306">
        <f t="shared" si="1131"/>
      </c>
      <c r="AN142" s="1306">
        <f t="shared" si="1131"/>
      </c>
      <c r="AO142" s="1306">
        <f t="shared" si="1131"/>
      </c>
      <c r="AP142" s="1309"/>
      <c r="AQ142" s="1306">
        <f t="shared" si="1132"/>
      </c>
      <c r="AR142" s="1306">
        <f t="shared" si="1132"/>
      </c>
      <c r="AS142" s="1306">
        <f t="shared" si="1132"/>
      </c>
      <c r="AT142" s="1306">
        <f t="shared" si="1132"/>
      </c>
      <c r="AU142" s="1309"/>
      <c r="AV142" s="1306">
        <f t="shared" si="1133"/>
      </c>
      <c r="AW142" s="1306">
        <f t="shared" si="1133"/>
      </c>
      <c r="AX142" s="1306">
        <f t="shared" si="1133"/>
      </c>
      <c r="AY142" s="1306">
        <f t="shared" si="1133"/>
      </c>
      <c r="AZ142" s="1309"/>
      <c r="BA142" s="1306">
        <f t="shared" ref="BA142:CF142" si="1134">BA137/BA139</f>
      </c>
      <c r="BB142" s="1306">
        <f t="shared" si="1134"/>
      </c>
      <c r="BC142" s="1306">
        <f t="shared" si="1134"/>
      </c>
      <c r="BD142" s="1306">
        <f t="shared" si="1134"/>
      </c>
      <c r="BE142" s="1309">
        <f t="shared" si="1134"/>
      </c>
      <c r="BF142" s="1306">
        <f t="shared" si="1134"/>
      </c>
      <c r="BG142" s="1306">
        <f t="shared" si="1134"/>
      </c>
      <c r="BH142" s="1306">
        <f t="shared" si="1134"/>
      </c>
      <c r="BI142" s="1306">
        <f t="shared" si="1134"/>
      </c>
      <c r="BJ142" s="1309">
        <f t="shared" si="1134"/>
      </c>
      <c r="BK142" s="1306">
        <f t="shared" si="1134"/>
      </c>
      <c r="BL142" s="1306">
        <f t="shared" si="1134"/>
      </c>
      <c r="BM142" s="1306">
        <f t="shared" si="1134"/>
      </c>
      <c r="BN142" s="1306">
        <f t="shared" si="1134"/>
      </c>
      <c r="BO142" s="1309">
        <f t="shared" si="1134"/>
      </c>
      <c r="BP142" s="1306">
        <f t="shared" si="1134"/>
      </c>
      <c r="BQ142" s="1306">
        <f t="shared" si="1134"/>
      </c>
      <c r="BR142" s="1306">
        <f t="shared" si="1134"/>
      </c>
      <c r="BS142" s="1306">
        <f t="shared" si="1134"/>
      </c>
      <c r="BT142" s="1309">
        <f t="shared" si="1134"/>
      </c>
      <c r="BU142" s="1306">
        <f t="shared" si="1134"/>
      </c>
      <c r="BV142" s="1306">
        <f t="shared" si="1134"/>
      </c>
      <c r="BW142" s="1306">
        <f t="shared" si="1134"/>
      </c>
      <c r="BX142" s="1306">
        <f t="shared" si="1134"/>
      </c>
      <c r="BY142" s="1309">
        <f t="shared" si="1134"/>
      </c>
      <c r="BZ142" s="1306">
        <f t="shared" si="1134"/>
      </c>
      <c r="CA142" s="1306">
        <f t="shared" si="1134"/>
      </c>
      <c r="CB142" s="1306">
        <f t="shared" si="1134"/>
      </c>
      <c r="CC142" s="1306">
        <f t="shared" si="1134"/>
      </c>
      <c r="CD142" s="1309">
        <f t="shared" si="1134"/>
      </c>
      <c r="CE142" s="1306">
        <f t="shared" si="1134"/>
      </c>
      <c r="CF142" s="1306">
        <f t="shared" si="1134"/>
      </c>
      <c r="CG142" s="1306">
        <f t="shared" ref="CG142:DL142" si="1135">CG137/CG139</f>
      </c>
      <c r="CH142" s="1306">
        <f t="shared" si="1135"/>
      </c>
      <c r="CI142" s="1309">
        <f t="shared" si="1135"/>
      </c>
      <c r="CJ142" s="1306">
        <f t="shared" si="1135"/>
      </c>
      <c r="CK142" s="1306">
        <f t="shared" si="1135"/>
      </c>
      <c r="CL142" s="1306">
        <f t="shared" si="1135"/>
      </c>
      <c r="CM142" s="1306">
        <f t="shared" si="1135"/>
      </c>
      <c r="CN142" s="1309">
        <f t="shared" si="1135"/>
      </c>
      <c r="CO142" s="1306">
        <f t="shared" si="1135"/>
      </c>
      <c r="CP142" s="1306">
        <f t="shared" si="1135"/>
      </c>
      <c r="CQ142" s="1306">
        <f t="shared" si="1135"/>
      </c>
      <c r="CR142" s="1306">
        <f t="shared" si="1135"/>
      </c>
      <c r="CS142" s="1309">
        <f t="shared" si="1135"/>
      </c>
      <c r="CT142" s="1306">
        <f t="shared" si="1135"/>
      </c>
      <c r="CU142" s="1306">
        <f t="shared" si="1135"/>
      </c>
      <c r="CV142" s="1306">
        <f t="shared" si="1135"/>
      </c>
      <c r="CW142" s="1306">
        <f t="shared" si="1135"/>
      </c>
      <c r="CX142" s="1309">
        <f t="shared" si="1135"/>
      </c>
      <c r="CY142" s="1306">
        <f t="shared" si="1135"/>
      </c>
      <c r="CZ142" s="1306">
        <f t="shared" si="1135"/>
      </c>
      <c r="DA142" s="1306">
        <f t="shared" si="1135"/>
      </c>
      <c r="DB142" s="1306">
        <f t="shared" si="1135"/>
      </c>
      <c r="DC142" s="1309">
        <f t="shared" si="1135"/>
      </c>
      <c r="DD142" s="1306">
        <f t="shared" si="1135"/>
      </c>
      <c r="DE142" s="1306">
        <f t="shared" si="1135"/>
      </c>
      <c r="DF142" s="1306">
        <f t="shared" si="1135"/>
      </c>
      <c r="DG142" s="1306">
        <f t="shared" si="1135"/>
      </c>
      <c r="DH142" s="1309">
        <f t="shared" si="1135"/>
      </c>
      <c r="DI142" s="1306">
        <f t="shared" si="1135"/>
      </c>
      <c r="DJ142" s="1306">
        <f t="shared" si="1135"/>
      </c>
      <c r="DK142" s="1306">
        <f t="shared" si="1135"/>
      </c>
      <c r="DL142" s="1306">
        <f t="shared" si="1135"/>
      </c>
      <c r="DM142" s="1309">
        <f t="shared" ref="DM142:EV142" si="1136">DM137/DM139</f>
      </c>
      <c r="DN142" s="1306">
        <f t="shared" si="1136"/>
      </c>
      <c r="DO142" s="1306">
        <f t="shared" si="1136"/>
      </c>
      <c r="DP142" s="1306">
        <f t="shared" si="1136"/>
      </c>
      <c r="DQ142" s="1306">
        <f t="shared" si="1136"/>
      </c>
      <c r="DR142" s="1309">
        <f t="shared" si="1136"/>
      </c>
      <c r="DS142" s="1306">
        <f t="shared" si="1136"/>
      </c>
      <c r="DT142" s="1306">
        <f t="shared" si="1136"/>
      </c>
      <c r="DU142" s="1306">
        <f t="shared" si="1136"/>
      </c>
      <c r="DV142" s="1306">
        <f t="shared" si="1136"/>
      </c>
      <c r="DW142" s="1309">
        <f t="shared" si="1136"/>
      </c>
      <c r="DX142" s="1306">
        <f t="shared" si="1136"/>
      </c>
      <c r="DY142" s="1306">
        <f t="shared" si="1136"/>
      </c>
      <c r="DZ142" s="1306">
        <f t="shared" si="1136"/>
      </c>
      <c r="EA142" s="1306">
        <f t="shared" si="1136"/>
      </c>
      <c r="EB142" s="1309">
        <f t="shared" si="1136"/>
      </c>
      <c r="EC142" s="1306">
        <f t="shared" si="1136"/>
      </c>
      <c r="ED142" s="1306">
        <f t="shared" si="1136"/>
      </c>
      <c r="EE142" s="1306">
        <f t="shared" si="1136"/>
      </c>
      <c r="EF142" s="1306">
        <f t="shared" si="1136"/>
      </c>
      <c r="EG142" s="1309">
        <f t="shared" si="1136"/>
      </c>
      <c r="EH142" s="1306">
        <f t="shared" si="1136"/>
      </c>
      <c r="EI142" s="1306">
        <f t="shared" si="1136"/>
      </c>
      <c r="EJ142" s="1306">
        <f t="shared" si="1136"/>
      </c>
      <c r="EK142" s="1306">
        <f t="shared" si="1136"/>
      </c>
      <c r="EL142" s="1309">
        <f t="shared" si="1136"/>
      </c>
      <c r="EM142" s="1306">
        <f t="shared" si="1136"/>
      </c>
      <c r="EN142" s="1306">
        <f t="shared" si="1136"/>
      </c>
      <c r="EO142" s="1306">
        <f t="shared" si="1136"/>
      </c>
      <c r="EP142" s="1306">
        <f t="shared" si="1136"/>
      </c>
      <c r="EQ142" s="1309">
        <f t="shared" si="1136"/>
      </c>
      <c r="ER142" s="1306">
        <f t="shared" si="1136"/>
      </c>
      <c r="ES142" s="1306">
        <f t="shared" si="1136"/>
      </c>
      <c r="ET142" s="1306">
        <f t="shared" si="1136"/>
      </c>
      <c r="EU142" s="1306">
        <f t="shared" si="1136"/>
      </c>
      <c r="EV142" s="1309">
        <f t="shared" si="1136"/>
      </c>
      <c r="EW142" s="1306">
        <f t="shared" ref="EW142:FA142" si="1137">EW137/EW139</f>
      </c>
      <c r="EX142" s="1306">
        <f t="shared" si="1137"/>
      </c>
      <c r="EY142" s="1306">
        <f t="shared" si="1137"/>
      </c>
      <c r="EZ142" s="1306">
        <f t="shared" si="1137"/>
      </c>
      <c r="FA142" s="1309">
        <f t="shared" si="1137"/>
      </c>
      <c r="FB142" s="1311">
        <v>4.9000000000000002E-2</v>
      </c>
      <c r="FC142" s="1312">
        <f>FB142</f>
      </c>
      <c r="FD142" s="1312">
        <f>FC142</f>
      </c>
      <c r="FE142" s="1312">
        <f>FD142</f>
      </c>
      <c r="FF142" s="1309">
        <f>FF137/FF139</f>
      </c>
      <c r="FG142" s="1311">
        <v>5.3999999999999999E-2</v>
      </c>
      <c r="FH142" s="1312">
        <f>FG142</f>
      </c>
      <c r="FI142" s="1312">
        <f>FH142</f>
      </c>
      <c r="FJ142" s="1312">
        <f>FI142</f>
      </c>
      <c r="FK142" s="1309">
        <f>FK137/FK139</f>
      </c>
      <c r="FL142" s="1311">
        <v>5.3999999999999999E-2</v>
      </c>
      <c r="FM142" s="1312">
        <f>FL142</f>
      </c>
      <c r="FN142" s="1312">
        <f>FM142</f>
      </c>
      <c r="FO142" s="1312">
        <f>FN142</f>
      </c>
      <c r="FP142" s="1309">
        <f>FP137/FP139</f>
      </c>
      <c r="FQ142" s="1311">
        <v>5.8000000000000003E-2</v>
      </c>
      <c r="FR142" s="1312">
        <f>FQ142</f>
      </c>
      <c r="FS142" s="1312">
        <f>FR142</f>
      </c>
      <c r="FT142" s="1312">
        <f>FS142</f>
      </c>
      <c r="FU142" s="1309">
        <f>FU137/FU139</f>
      </c>
      <c r="FV142" s="1311">
        <v>6.2E-2</v>
      </c>
      <c r="FW142" s="1312">
        <f>FV142</f>
      </c>
      <c r="FX142" s="1312">
        <f>FW142</f>
      </c>
      <c r="FY142" s="1312">
        <f>FX142</f>
      </c>
      <c r="FZ142" s="1309">
        <f>FZ137/FZ139</f>
      </c>
      <c r="GA142" s="1311">
        <v>6.5000000000000002E-2</v>
      </c>
      <c r="GB142" s="1312">
        <f>GA142</f>
      </c>
      <c r="GC142" s="1312">
        <f>GB142</f>
      </c>
      <c r="GD142" s="1312">
        <f>GC142</f>
      </c>
      <c r="GE142" s="1309">
        <f>GE137/GE139</f>
      </c>
      <c r="GF142" s="1311">
        <v>7.0000000000000007E-2</v>
      </c>
      <c r="GG142" s="1312">
        <f>GF142</f>
      </c>
      <c r="GH142" s="1312">
        <f>GG142</f>
      </c>
      <c r="GI142" s="1312">
        <f>GH142</f>
      </c>
      <c r="GJ142" s="1309">
        <f>GJ137/GJ139</f>
      </c>
    </row>
    <row r="143" spans="1:192" s="1306" customFormat="1" ht="12.75" hidden="1" customHeight="1" outlineLevel="1">
      <c r="A143" s="1237"/>
      <c r="B143" s="1732" t="s">
        <v>183</v>
      </c>
      <c r="C143" s="1310">
        <f>C137/C56</f>
      </c>
      <c r="D143" s="1310">
        <f>D137/D56</f>
      </c>
      <c r="E143" s="1310">
        <f>E137/E56</f>
      </c>
      <c r="F143" s="1310">
        <f>F137/F56</f>
      </c>
      <c r="G143" s="1309"/>
      <c r="H143" s="1310">
        <f>H137/H56</f>
      </c>
      <c r="I143" s="1310">
        <f>I137/I56</f>
      </c>
      <c r="J143" s="1310">
        <f>J137/J56</f>
      </c>
      <c r="K143" s="1310">
        <f>K137/K56</f>
      </c>
      <c r="L143" s="1309"/>
      <c r="M143" s="1310">
        <f>M137/M56</f>
      </c>
      <c r="N143" s="1310">
        <f>N137/N56</f>
      </c>
      <c r="O143" s="1310">
        <f>O137/O56</f>
      </c>
      <c r="P143" s="1310">
        <f>P137/P56</f>
      </c>
      <c r="Q143" s="1309"/>
      <c r="R143" s="1310">
        <f>R137/R56</f>
      </c>
      <c r="S143" s="1310">
        <f>S137/S56</f>
      </c>
      <c r="T143" s="1310">
        <f>T137/T56</f>
      </c>
      <c r="U143" s="1310">
        <f>U137/U56</f>
      </c>
      <c r="V143" s="1309"/>
      <c r="W143" s="1310">
        <f>W137/W56</f>
      </c>
      <c r="X143" s="1310">
        <f>X137/X56</f>
      </c>
      <c r="Y143" s="1310">
        <f>Y137/Y56</f>
      </c>
      <c r="Z143" s="1310">
        <f>Z137/Z56</f>
      </c>
      <c r="AA143" s="1309"/>
      <c r="AB143" s="1310">
        <f>AB137/AB56</f>
      </c>
      <c r="AC143" s="1310">
        <f>AC137/AC56</f>
      </c>
      <c r="AD143" s="1310">
        <f>AD137/AD56</f>
      </c>
      <c r="AE143" s="1310">
        <f>AE137/AE56</f>
      </c>
      <c r="AF143" s="1309"/>
      <c r="AG143" s="1310">
        <f>AG137/AG56</f>
      </c>
      <c r="AH143" s="1310">
        <f>AH137/AH56</f>
      </c>
      <c r="AI143" s="1310">
        <f>AI137/AI56</f>
      </c>
      <c r="AJ143" s="1310">
        <f>AJ137/AJ56</f>
      </c>
      <c r="AK143" s="1309"/>
      <c r="AL143" s="1310">
        <f>AL137/AL56</f>
      </c>
      <c r="AM143" s="1310">
        <f>AM137/AM56</f>
      </c>
      <c r="AN143" s="1310">
        <f>AN137/AN56</f>
      </c>
      <c r="AO143" s="1310">
        <f>AO137/AO56</f>
      </c>
      <c r="AP143" s="1309"/>
      <c r="AQ143" s="1310">
        <f>AQ137/AQ56</f>
      </c>
      <c r="AR143" s="1310">
        <f>AR137/AR56</f>
      </c>
      <c r="AS143" s="1310">
        <f>AS137/AS56</f>
      </c>
      <c r="AT143" s="1310">
        <f>AT137/AT56</f>
      </c>
      <c r="AU143" s="1309"/>
      <c r="AV143" s="1310">
        <f>AV137/AV56</f>
      </c>
      <c r="AW143" s="1310">
        <f>AW137/AW56</f>
      </c>
      <c r="AX143" s="1310">
        <f>AX137/AX56</f>
      </c>
      <c r="AY143" s="1310">
        <f>AY137/AY56</f>
      </c>
      <c r="AZ143" s="1309"/>
      <c r="BA143" s="1310">
        <f t="shared" ref="BA143:CF143" si="1138">BA137/BA56</f>
      </c>
      <c r="BB143" s="1310">
        <f t="shared" si="1138"/>
      </c>
      <c r="BC143" s="1310">
        <f t="shared" si="1138"/>
      </c>
      <c r="BD143" s="1310">
        <f t="shared" si="1138"/>
      </c>
      <c r="BE143" s="1309">
        <f t="shared" si="1138"/>
      </c>
      <c r="BF143" s="1310">
        <f t="shared" si="1138"/>
      </c>
      <c r="BG143" s="1310">
        <f t="shared" si="1138"/>
      </c>
      <c r="BH143" s="1310">
        <f t="shared" si="1138"/>
      </c>
      <c r="BI143" s="1310">
        <f t="shared" si="1138"/>
      </c>
      <c r="BJ143" s="1309">
        <f t="shared" si="1138"/>
      </c>
      <c r="BK143" s="1310">
        <f t="shared" si="1138"/>
      </c>
      <c r="BL143" s="1310">
        <f t="shared" si="1138"/>
      </c>
      <c r="BM143" s="1310">
        <f t="shared" si="1138"/>
      </c>
      <c r="BN143" s="1310">
        <f t="shared" si="1138"/>
      </c>
      <c r="BO143" s="1309">
        <f t="shared" si="1138"/>
      </c>
      <c r="BP143" s="1310">
        <f t="shared" si="1138"/>
      </c>
      <c r="BQ143" s="1310">
        <f t="shared" si="1138"/>
      </c>
      <c r="BR143" s="1310">
        <f t="shared" si="1138"/>
      </c>
      <c r="BS143" s="1310">
        <f t="shared" si="1138"/>
      </c>
      <c r="BT143" s="1309">
        <f t="shared" si="1138"/>
      </c>
      <c r="BU143" s="1310">
        <f t="shared" si="1138"/>
      </c>
      <c r="BV143" s="1310">
        <f t="shared" si="1138"/>
      </c>
      <c r="BW143" s="1310">
        <f t="shared" si="1138"/>
      </c>
      <c r="BX143" s="1310">
        <f t="shared" si="1138"/>
      </c>
      <c r="BY143" s="1309">
        <f t="shared" si="1138"/>
      </c>
      <c r="BZ143" s="1310">
        <f t="shared" si="1138"/>
      </c>
      <c r="CA143" s="1310">
        <f t="shared" si="1138"/>
      </c>
      <c r="CB143" s="1310">
        <f t="shared" si="1138"/>
      </c>
      <c r="CC143" s="1310">
        <f t="shared" si="1138"/>
      </c>
      <c r="CD143" s="1309">
        <f t="shared" si="1138"/>
      </c>
      <c r="CE143" s="1310">
        <f t="shared" si="1138"/>
      </c>
      <c r="CF143" s="1310">
        <f t="shared" si="1138"/>
      </c>
      <c r="CG143" s="1310">
        <f t="shared" ref="CG143:DL143" si="1139">CG137/CG56</f>
      </c>
      <c r="CH143" s="1310">
        <f t="shared" si="1139"/>
      </c>
      <c r="CI143" s="1309">
        <f t="shared" si="1139"/>
      </c>
      <c r="CJ143" s="1310">
        <f t="shared" si="1139"/>
      </c>
      <c r="CK143" s="1310">
        <f t="shared" si="1139"/>
      </c>
      <c r="CL143" s="1310">
        <f t="shared" si="1139"/>
      </c>
      <c r="CM143" s="1310">
        <f t="shared" si="1139"/>
      </c>
      <c r="CN143" s="1309">
        <f t="shared" si="1139"/>
      </c>
      <c r="CO143" s="1310">
        <f t="shared" si="1139"/>
      </c>
      <c r="CP143" s="1310">
        <f t="shared" si="1139"/>
      </c>
      <c r="CQ143" s="1310">
        <f t="shared" si="1139"/>
      </c>
      <c r="CR143" s="1310">
        <f t="shared" si="1139"/>
      </c>
      <c r="CS143" s="1309">
        <f t="shared" si="1139"/>
      </c>
      <c r="CT143" s="1310">
        <f t="shared" si="1139"/>
      </c>
      <c r="CU143" s="1310">
        <f t="shared" si="1139"/>
      </c>
      <c r="CV143" s="1310">
        <f t="shared" si="1139"/>
      </c>
      <c r="CW143" s="1310">
        <f t="shared" si="1139"/>
      </c>
      <c r="CX143" s="1309">
        <f t="shared" si="1139"/>
      </c>
      <c r="CY143" s="1310">
        <f t="shared" si="1139"/>
      </c>
      <c r="CZ143" s="1310">
        <f t="shared" si="1139"/>
      </c>
      <c r="DA143" s="1310">
        <f t="shared" si="1139"/>
      </c>
      <c r="DB143" s="1310">
        <f t="shared" si="1139"/>
      </c>
      <c r="DC143" s="1309">
        <f t="shared" si="1139"/>
      </c>
      <c r="DD143" s="1310">
        <f t="shared" si="1139"/>
      </c>
      <c r="DE143" s="1310">
        <f t="shared" si="1139"/>
      </c>
      <c r="DF143" s="1310">
        <f t="shared" si="1139"/>
      </c>
      <c r="DG143" s="1310">
        <f t="shared" si="1139"/>
      </c>
      <c r="DH143" s="1309">
        <f t="shared" si="1139"/>
      </c>
      <c r="DI143" s="1310">
        <f t="shared" si="1139"/>
      </c>
      <c r="DJ143" s="1310">
        <f t="shared" si="1139"/>
      </c>
      <c r="DK143" s="1310">
        <f t="shared" si="1139"/>
      </c>
      <c r="DL143" s="1310">
        <f t="shared" si="1139"/>
      </c>
      <c r="DM143" s="1309">
        <f t="shared" ref="DM143:ER143" si="1140">DM137/DM56</f>
      </c>
      <c r="DN143" s="1310">
        <f t="shared" si="1140"/>
      </c>
      <c r="DO143" s="1310">
        <f t="shared" si="1140"/>
      </c>
      <c r="DP143" s="1310">
        <f t="shared" si="1140"/>
      </c>
      <c r="DQ143" s="1310">
        <f t="shared" si="1140"/>
      </c>
      <c r="DR143" s="1309">
        <f t="shared" si="1140"/>
      </c>
      <c r="DS143" s="1310">
        <f t="shared" si="1140"/>
      </c>
      <c r="DT143" s="1310">
        <f t="shared" si="1140"/>
      </c>
      <c r="DU143" s="1310">
        <f t="shared" si="1140"/>
      </c>
      <c r="DV143" s="1310">
        <f t="shared" si="1140"/>
      </c>
      <c r="DW143" s="1309">
        <f t="shared" si="1140"/>
      </c>
      <c r="DX143" s="1310">
        <f t="shared" si="1140"/>
      </c>
      <c r="DY143" s="1310">
        <f t="shared" si="1140"/>
      </c>
      <c r="DZ143" s="1310">
        <f t="shared" si="1140"/>
      </c>
      <c r="EA143" s="1310">
        <f t="shared" si="1140"/>
      </c>
      <c r="EB143" s="1309">
        <f t="shared" si="1140"/>
      </c>
      <c r="EC143" s="1310">
        <f t="shared" si="1140"/>
      </c>
      <c r="ED143" s="1310">
        <f t="shared" si="1140"/>
      </c>
      <c r="EE143" s="1310">
        <f t="shared" si="1140"/>
      </c>
      <c r="EF143" s="1310">
        <f t="shared" si="1140"/>
      </c>
      <c r="EG143" s="1309">
        <f t="shared" si="1140"/>
      </c>
      <c r="EH143" s="1310">
        <f t="shared" si="1140"/>
      </c>
      <c r="EI143" s="1310">
        <f t="shared" si="1140"/>
      </c>
      <c r="EJ143" s="1310">
        <f t="shared" si="1140"/>
      </c>
      <c r="EK143" s="1310">
        <f t="shared" si="1140"/>
      </c>
      <c r="EL143" s="1309">
        <f t="shared" si="1140"/>
      </c>
      <c r="EM143" s="1310">
        <f t="shared" si="1140"/>
      </c>
      <c r="EN143" s="1310">
        <f t="shared" si="1140"/>
      </c>
      <c r="EO143" s="1310">
        <f t="shared" si="1140"/>
      </c>
      <c r="EP143" s="1310">
        <f t="shared" si="1140"/>
      </c>
      <c r="EQ143" s="1309">
        <f t="shared" si="1140"/>
      </c>
      <c r="ER143" s="1310">
        <f t="shared" si="1140"/>
      </c>
      <c r="ES143" s="1310">
        <f t="shared" ref="ES143:FX143" si="1141">ES137/ES56</f>
      </c>
      <c r="ET143" s="1310">
        <f t="shared" si="1141"/>
      </c>
      <c r="EU143" s="1310">
        <f t="shared" si="1141"/>
      </c>
      <c r="EV143" s="1309">
        <f t="shared" si="1141"/>
      </c>
      <c r="EW143" s="1310">
        <f t="shared" si="1141"/>
      </c>
      <c r="EX143" s="1310">
        <f t="shared" si="1141"/>
      </c>
      <c r="EY143" s="1310">
        <f t="shared" si="1141"/>
      </c>
      <c r="EZ143" s="1310">
        <f t="shared" si="1141"/>
      </c>
      <c r="FA143" s="1309">
        <f t="shared" si="1141"/>
      </c>
      <c r="FB143" s="1310">
        <f t="shared" si="1141"/>
      </c>
      <c r="FC143" s="1310">
        <f t="shared" si="1141"/>
      </c>
      <c r="FD143" s="1310">
        <f t="shared" si="1141"/>
      </c>
      <c r="FE143" s="1310">
        <f t="shared" si="1141"/>
      </c>
      <c r="FF143" s="1309">
        <f t="shared" si="1141"/>
      </c>
      <c r="FG143" s="1310">
        <f t="shared" si="1141"/>
      </c>
      <c r="FH143" s="1310">
        <f t="shared" si="1141"/>
      </c>
      <c r="FI143" s="1310">
        <f t="shared" si="1141"/>
      </c>
      <c r="FJ143" s="1310">
        <f t="shared" si="1141"/>
      </c>
      <c r="FK143" s="1309">
        <f t="shared" si="1141"/>
      </c>
      <c r="FL143" s="1310">
        <f t="shared" si="1141"/>
      </c>
      <c r="FM143" s="1310">
        <f t="shared" si="1141"/>
      </c>
      <c r="FN143" s="1310">
        <f t="shared" si="1141"/>
      </c>
      <c r="FO143" s="1310">
        <f t="shared" si="1141"/>
      </c>
      <c r="FP143" s="1309">
        <f t="shared" si="1141"/>
      </c>
      <c r="FQ143" s="1310">
        <f t="shared" si="1141"/>
      </c>
      <c r="FR143" s="1310">
        <f t="shared" si="1141"/>
      </c>
      <c r="FS143" s="1310">
        <f t="shared" si="1141"/>
      </c>
      <c r="FT143" s="1310">
        <f t="shared" si="1141"/>
      </c>
      <c r="FU143" s="1309">
        <f t="shared" si="1141"/>
      </c>
      <c r="FV143" s="1310">
        <f t="shared" si="1141"/>
      </c>
      <c r="FW143" s="1310">
        <f t="shared" si="1141"/>
      </c>
      <c r="FX143" s="1310">
        <f t="shared" si="1141"/>
      </c>
      <c r="FY143" s="1310">
        <f t="shared" ref="FY143:GJ143" si="1142">FY137/FY56</f>
      </c>
      <c r="FZ143" s="1309">
        <f t="shared" si="1142"/>
      </c>
      <c r="GA143" s="1310">
        <f t="shared" si="1142"/>
      </c>
      <c r="GB143" s="1310">
        <f t="shared" si="1142"/>
      </c>
      <c r="GC143" s="1310">
        <f t="shared" si="1142"/>
      </c>
      <c r="GD143" s="1310">
        <f t="shared" si="1142"/>
      </c>
      <c r="GE143" s="1309">
        <f t="shared" si="1142"/>
      </c>
      <c r="GF143" s="1310">
        <f t="shared" si="1142"/>
      </c>
      <c r="GG143" s="1310">
        <f t="shared" si="1142"/>
      </c>
      <c r="GH143" s="1310">
        <f t="shared" si="1142"/>
      </c>
      <c r="GI143" s="1310">
        <f t="shared" si="1142"/>
      </c>
      <c r="GJ143" s="1309">
        <f t="shared" si="1142"/>
      </c>
    </row>
    <row r="144" spans="1:192" s="93" customFormat="1" ht="12.75" customHeight="1" collapsed="1">
      <c r="A144" s="68"/>
      <c r="B144" s="703"/>
      <c r="C144" s="94"/>
      <c r="D144" s="142"/>
      <c r="E144" s="142"/>
      <c r="F144" s="142"/>
      <c r="G144" s="122"/>
      <c r="H144" s="94"/>
      <c r="I144" s="142"/>
      <c r="J144" s="142"/>
      <c r="K144" s="142"/>
      <c r="L144" s="122"/>
      <c r="M144" s="94"/>
      <c r="N144" s="142"/>
      <c r="O144" s="142"/>
      <c r="P144" s="142"/>
      <c r="Q144" s="122"/>
      <c r="R144" s="94"/>
      <c r="S144" s="142"/>
      <c r="T144" s="142"/>
      <c r="U144" s="142"/>
      <c r="V144" s="122"/>
      <c r="W144" s="94"/>
      <c r="X144" s="142"/>
      <c r="Y144" s="142"/>
      <c r="Z144" s="142"/>
      <c r="AA144" s="122"/>
      <c r="AB144" s="94"/>
      <c r="AC144" s="142"/>
      <c r="AD144" s="142"/>
      <c r="AE144" s="142"/>
      <c r="AF144" s="122"/>
      <c r="AG144" s="94"/>
      <c r="AH144" s="142"/>
      <c r="AI144" s="142"/>
      <c r="AJ144" s="142"/>
      <c r="AK144" s="122"/>
      <c r="AL144" s="94"/>
      <c r="AM144" s="142"/>
      <c r="AN144" s="142"/>
      <c r="AO144" s="142"/>
      <c r="AP144" s="122"/>
      <c r="AQ144" s="94"/>
      <c r="AR144" s="142"/>
      <c r="AS144" s="142"/>
      <c r="AT144" s="142"/>
      <c r="AU144" s="122"/>
      <c r="AV144" s="94"/>
      <c r="AW144" s="142"/>
      <c r="AX144" s="142"/>
      <c r="AY144" s="142"/>
      <c r="AZ144" s="122"/>
      <c r="BA144" s="94"/>
      <c r="BB144" s="142"/>
      <c r="BC144" s="142"/>
      <c r="BD144" s="142"/>
      <c r="BE144" s="122"/>
      <c r="BF144" s="94"/>
      <c r="BG144" s="142"/>
      <c r="BH144" s="142"/>
      <c r="BI144" s="142"/>
      <c r="BJ144" s="122"/>
      <c r="BK144" s="94"/>
      <c r="BL144" s="142"/>
      <c r="BM144" s="142"/>
      <c r="BN144" s="142"/>
      <c r="BO144" s="122"/>
      <c r="BP144" s="94"/>
      <c r="BQ144" s="142"/>
      <c r="BR144" s="142"/>
      <c r="BS144" s="142"/>
      <c r="BT144" s="122"/>
      <c r="BU144" s="94"/>
      <c r="BV144" s="142"/>
      <c r="BW144" s="142"/>
      <c r="BX144" s="142"/>
      <c r="BY144" s="122"/>
      <c r="BZ144" s="94"/>
      <c r="CA144" s="142"/>
      <c r="CB144" s="142"/>
      <c r="CC144" s="142"/>
      <c r="CD144" s="122"/>
      <c r="CE144" s="94"/>
      <c r="CF144" s="142"/>
      <c r="CG144" s="142"/>
      <c r="CH144" s="142"/>
      <c r="CI144" s="122"/>
      <c r="CJ144" s="94"/>
      <c r="CK144" s="142"/>
      <c r="CL144" s="142"/>
      <c r="CM144" s="142"/>
      <c r="CN144" s="122"/>
      <c r="CO144" s="94"/>
      <c r="CP144" s="142"/>
      <c r="CQ144" s="142"/>
      <c r="CR144" s="142"/>
      <c r="CS144" s="122"/>
      <c r="CT144" s="94"/>
      <c r="CU144" s="142"/>
      <c r="CV144" s="142"/>
      <c r="CW144" s="142"/>
      <c r="CX144" s="122"/>
      <c r="CY144" s="94"/>
      <c r="CZ144" s="142"/>
      <c r="DA144" s="142"/>
      <c r="DB144" s="142"/>
      <c r="DC144" s="122"/>
      <c r="DD144" s="94"/>
      <c r="DE144" s="142"/>
      <c r="DF144" s="142"/>
      <c r="DG144" s="142"/>
      <c r="DH144" s="122"/>
      <c r="DI144" s="94"/>
      <c r="DJ144" s="142"/>
      <c r="DK144" s="142"/>
      <c r="DL144" s="142"/>
      <c r="DM144" s="122"/>
      <c r="DN144" s="94"/>
      <c r="DO144" s="142"/>
      <c r="DP144" s="142"/>
      <c r="DQ144" s="142"/>
      <c r="DR144" s="122"/>
      <c r="DS144" s="94"/>
      <c r="DT144" s="142"/>
      <c r="DU144" s="142"/>
      <c r="DV144" s="142"/>
      <c r="DW144" s="122"/>
      <c r="DX144" s="94"/>
      <c r="DY144" s="142"/>
      <c r="DZ144" s="142"/>
      <c r="EA144" s="142"/>
      <c r="EB144" s="122"/>
      <c r="EC144" s="94"/>
      <c r="ED144" s="142"/>
      <c r="EE144" s="142"/>
      <c r="EF144" s="142"/>
      <c r="EG144" s="122"/>
      <c r="EH144" s="94"/>
      <c r="EI144" s="142"/>
      <c r="EJ144" s="142"/>
      <c r="EK144" s="142"/>
      <c r="EL144" s="122"/>
      <c r="EM144" s="94"/>
      <c r="EN144" s="142"/>
      <c r="EO144" s="142"/>
      <c r="EP144" s="142"/>
      <c r="EQ144" s="122"/>
      <c r="ER144" s="94"/>
      <c r="ES144" s="142"/>
      <c r="ET144" s="142"/>
      <c r="EU144" s="142"/>
      <c r="EV144" s="122"/>
      <c r="EW144" s="94"/>
      <c r="EX144" s="142"/>
      <c r="EY144" s="142"/>
      <c r="EZ144" s="142"/>
      <c r="FA144" s="122"/>
      <c r="FB144" s="94"/>
      <c r="FC144" s="142"/>
      <c r="FD144" s="142"/>
      <c r="FE144" s="142"/>
      <c r="FF144" s="122"/>
      <c r="FG144" s="94"/>
      <c r="FH144" s="142"/>
      <c r="FI144" s="142"/>
      <c r="FJ144" s="142"/>
      <c r="FK144" s="122"/>
      <c r="FL144" s="94"/>
      <c r="FM144" s="142"/>
      <c r="FN144" s="142"/>
      <c r="FO144" s="142"/>
      <c r="FP144" s="122"/>
      <c r="FQ144" s="94"/>
      <c r="FR144" s="142"/>
      <c r="FS144" s="142"/>
      <c r="FT144" s="142"/>
      <c r="FU144" s="122"/>
      <c r="FV144" s="94"/>
      <c r="FW144" s="142"/>
      <c r="FX144" s="142"/>
      <c r="FY144" s="142"/>
      <c r="FZ144" s="122"/>
      <c r="GA144" s="94"/>
      <c r="GB144" s="142"/>
      <c r="GC144" s="142"/>
      <c r="GD144" s="142"/>
      <c r="GE144" s="122"/>
      <c r="GF144" s="94"/>
      <c r="GG144" s="142"/>
      <c r="GH144" s="142"/>
      <c r="GI144" s="142"/>
      <c r="GJ144" s="122"/>
    </row>
    <row r="145" spans="1:192" s="374" customFormat="1" ht="12.75" customHeight="1">
      <c r="A145" s="370"/>
      <c r="B145" s="718" t="s">
        <v>177</v>
      </c>
      <c r="C145" s="1005"/>
      <c r="D145" s="767"/>
      <c r="E145" s="767"/>
      <c r="F145" s="767"/>
      <c r="G145" s="373"/>
      <c r="H145" s="1005"/>
      <c r="I145" s="767"/>
      <c r="J145" s="767"/>
      <c r="K145" s="767"/>
      <c r="L145" s="373"/>
      <c r="M145" s="1005"/>
      <c r="N145" s="767"/>
      <c r="O145" s="767"/>
      <c r="P145" s="767"/>
      <c r="Q145" s="373"/>
      <c r="R145" s="1005"/>
      <c r="S145" s="767"/>
      <c r="T145" s="767"/>
      <c r="U145" s="767"/>
      <c r="V145" s="373"/>
      <c r="W145" s="1005"/>
      <c r="X145" s="767"/>
      <c r="Y145" s="767"/>
      <c r="Z145" s="767"/>
      <c r="AA145" s="373"/>
      <c r="AB145" s="1005"/>
      <c r="AC145" s="767"/>
      <c r="AD145" s="767"/>
      <c r="AE145" s="767"/>
      <c r="AF145" s="373"/>
      <c r="AG145" s="1005"/>
      <c r="AH145" s="767"/>
      <c r="AI145" s="767"/>
      <c r="AJ145" s="767"/>
      <c r="AK145" s="373"/>
      <c r="AL145" s="1005"/>
      <c r="AM145" s="767"/>
      <c r="AN145" s="767"/>
      <c r="AO145" s="767"/>
      <c r="AP145" s="373"/>
      <c r="AQ145" s="1005"/>
      <c r="AR145" s="767"/>
      <c r="AS145" s="767"/>
      <c r="AT145" s="767"/>
      <c r="AU145" s="373"/>
      <c r="AV145" s="1005"/>
      <c r="AW145" s="767"/>
      <c r="AX145" s="767"/>
      <c r="AY145" s="767"/>
      <c r="AZ145" s="373"/>
      <c r="BA145" s="1005"/>
      <c r="BB145" s="767"/>
      <c r="BC145" s="767"/>
      <c r="BD145" s="767"/>
      <c r="BE145" s="373"/>
      <c r="BF145" s="1005"/>
      <c r="BG145" s="767"/>
      <c r="BH145" s="767"/>
      <c r="BI145" s="767"/>
      <c r="BJ145" s="373"/>
      <c r="BK145" s="1005"/>
      <c r="BL145" s="767"/>
      <c r="BM145" s="767"/>
      <c r="BN145" s="767"/>
      <c r="BO145" s="373"/>
      <c r="BP145" s="1005"/>
      <c r="BQ145" s="767"/>
      <c r="BR145" s="767"/>
      <c r="BS145" s="767"/>
      <c r="BT145" s="373"/>
      <c r="BU145" s="1005"/>
      <c r="BV145" s="767"/>
      <c r="BW145" s="767"/>
      <c r="BX145" s="767"/>
      <c r="BY145" s="373"/>
      <c r="BZ145" s="1005"/>
      <c r="CA145" s="767"/>
      <c r="CB145" s="767"/>
      <c r="CC145" s="767"/>
      <c r="CD145" s="373"/>
      <c r="CE145" s="1005"/>
      <c r="CF145" s="767"/>
      <c r="CG145" s="767"/>
      <c r="CH145" s="767"/>
      <c r="CI145" s="373"/>
      <c r="CJ145" s="1005"/>
      <c r="CK145" s="767"/>
      <c r="CL145" s="767"/>
      <c r="CM145" s="767"/>
      <c r="CN145" s="373"/>
      <c r="CO145" s="1005"/>
      <c r="CP145" s="767"/>
      <c r="CQ145" s="767"/>
      <c r="CR145" s="767"/>
      <c r="CS145" s="373"/>
      <c r="CT145" s="1005"/>
      <c r="CU145" s="767"/>
      <c r="CV145" s="767"/>
      <c r="CW145" s="767"/>
      <c r="CX145" s="373"/>
      <c r="CY145" s="1005"/>
      <c r="CZ145" s="767"/>
      <c r="DA145" s="767"/>
      <c r="DB145" s="767"/>
      <c r="DC145" s="373"/>
      <c r="DD145" s="1005"/>
      <c r="DE145" s="767"/>
      <c r="DF145" s="767"/>
      <c r="DG145" s="767"/>
      <c r="DH145" s="373"/>
      <c r="DI145" s="1005"/>
      <c r="DJ145" s="767"/>
      <c r="DK145" s="767"/>
      <c r="DL145" s="767"/>
      <c r="DM145" s="373"/>
      <c r="DN145" s="1005"/>
      <c r="DO145" s="767"/>
      <c r="DP145" s="767"/>
      <c r="DQ145" s="767"/>
      <c r="DR145" s="373"/>
      <c r="DS145" s="1005"/>
      <c r="DT145" s="767"/>
      <c r="DU145" s="767"/>
      <c r="DV145" s="767"/>
      <c r="DW145" s="373"/>
      <c r="DX145" s="1005"/>
      <c r="DY145" s="767"/>
      <c r="DZ145" s="767"/>
      <c r="EA145" s="767"/>
      <c r="EB145" s="373"/>
      <c r="EC145" s="1005"/>
      <c r="ED145" s="767"/>
      <c r="EE145" s="767"/>
      <c r="EF145" s="767"/>
      <c r="EG145" s="373"/>
      <c r="EH145" s="1005"/>
      <c r="EI145" s="767"/>
      <c r="EJ145" s="767"/>
      <c r="EK145" s="767"/>
      <c r="EL145" s="373"/>
      <c r="EM145" s="1005"/>
      <c r="EN145" s="767"/>
      <c r="EO145" s="767"/>
      <c r="EP145" s="767"/>
      <c r="EQ145" s="373"/>
      <c r="ER145" s="1005"/>
      <c r="ES145" s="1005"/>
      <c r="ET145" s="1005"/>
      <c r="EU145" s="1005"/>
      <c r="EV145" s="373"/>
      <c r="EW145" s="1005"/>
      <c r="EX145" s="1005"/>
      <c r="EY145" s="1005"/>
      <c r="EZ145" s="1005"/>
      <c r="FA145" s="373"/>
      <c r="FB145" s="1005"/>
      <c r="FC145" s="1005"/>
      <c r="FD145" s="1005"/>
      <c r="FE145" s="1005"/>
      <c r="FF145" s="373"/>
      <c r="FG145" s="1005"/>
      <c r="FH145" s="1005"/>
      <c r="FI145" s="1005"/>
      <c r="FJ145" s="1005"/>
      <c r="FK145" s="373"/>
      <c r="FL145" s="1005"/>
      <c r="FM145" s="1005"/>
      <c r="FN145" s="1005"/>
      <c r="FO145" s="1005"/>
      <c r="FP145" s="373"/>
      <c r="FQ145" s="1005"/>
      <c r="FR145" s="1005"/>
      <c r="FS145" s="1005"/>
      <c r="FT145" s="1005"/>
      <c r="FU145" s="373"/>
      <c r="FV145" s="1005"/>
      <c r="FW145" s="767"/>
      <c r="FX145" s="767"/>
      <c r="FY145" s="767"/>
      <c r="FZ145" s="373"/>
      <c r="GA145" s="1005"/>
      <c r="GB145" s="767"/>
      <c r="GC145" s="767"/>
      <c r="GD145" s="767"/>
      <c r="GE145" s="373"/>
      <c r="GF145" s="1005"/>
      <c r="GG145" s="767"/>
      <c r="GH145" s="767"/>
      <c r="GI145" s="767"/>
      <c r="GJ145" s="373"/>
    </row>
    <row r="146" spans="1:192" s="1173" customFormat="1" ht="12.75" hidden="1" customHeight="1" outlineLevel="1">
      <c r="A146" s="1170"/>
      <c r="B146" s="1733" t="s">
        <v>185</v>
      </c>
      <c r="C146" s="1171"/>
      <c r="D146" s="1172"/>
      <c r="E146" s="1172"/>
      <c r="F146" s="1172"/>
      <c r="G146" s="373"/>
      <c r="H146" s="1171"/>
      <c r="I146" s="1172"/>
      <c r="J146" s="1172"/>
      <c r="K146" s="1172"/>
      <c r="L146" s="373"/>
      <c r="M146" s="1171"/>
      <c r="N146" s="1172"/>
      <c r="O146" s="1172"/>
      <c r="P146" s="1172"/>
      <c r="Q146" s="373"/>
      <c r="R146" s="1171"/>
      <c r="S146" s="1172"/>
      <c r="T146" s="1172"/>
      <c r="U146" s="1172"/>
      <c r="V146" s="373"/>
      <c r="W146" s="1171"/>
      <c r="X146" s="1172"/>
      <c r="Y146" s="1172"/>
      <c r="Z146" s="1172"/>
      <c r="AA146" s="373"/>
      <c r="AB146" s="1171"/>
      <c r="AC146" s="1172"/>
      <c r="AD146" s="1172"/>
      <c r="AE146" s="1172"/>
      <c r="AF146" s="373"/>
      <c r="AG146" s="1171"/>
      <c r="AH146" s="1172"/>
      <c r="AI146" s="1172"/>
      <c r="AJ146" s="1172"/>
      <c r="AK146" s="373"/>
      <c r="AL146" s="1171"/>
      <c r="AM146" s="1172"/>
      <c r="AN146" s="1172"/>
      <c r="AO146" s="1172"/>
      <c r="AP146" s="373"/>
      <c r="AQ146" s="1171"/>
      <c r="AR146" s="1172"/>
      <c r="AS146" s="1172"/>
      <c r="AT146" s="1172"/>
      <c r="AU146" s="373"/>
      <c r="AV146" s="1171"/>
      <c r="AW146" s="1172"/>
      <c r="AX146" s="1172"/>
      <c r="AY146" s="1172"/>
      <c r="AZ146" s="373"/>
      <c r="BA146" s="1171"/>
      <c r="BB146" s="1172"/>
      <c r="BC146" s="1172"/>
      <c r="BD146" s="1172"/>
      <c r="BE146" s="373"/>
      <c r="BF146" s="1171"/>
      <c r="BG146" s="1172"/>
      <c r="BH146" s="1172"/>
      <c r="BI146" s="1172"/>
      <c r="BJ146" s="373"/>
      <c r="BK146" s="1171"/>
      <c r="BL146" s="1172"/>
      <c r="BM146" s="1172"/>
      <c r="BN146" s="1172"/>
      <c r="BO146" s="373"/>
      <c r="BP146" s="1171"/>
      <c r="BQ146" s="1172"/>
      <c r="BR146" s="1172"/>
      <c r="BS146" s="1172"/>
      <c r="BT146" s="373"/>
      <c r="BU146" s="1171"/>
      <c r="BV146" s="1172"/>
      <c r="BW146" s="1172"/>
      <c r="BX146" s="1172"/>
      <c r="BY146" s="373"/>
      <c r="BZ146" s="1177"/>
      <c r="CA146" s="1178"/>
      <c r="CB146" s="1178"/>
      <c r="CC146" s="1178"/>
      <c r="CD146" s="373"/>
      <c r="CE146" s="1177"/>
      <c r="CF146" s="1178"/>
      <c r="CG146" s="1178"/>
      <c r="CH146" s="1178"/>
      <c r="CI146" s="373"/>
      <c r="CJ146" s="1177"/>
      <c r="CK146" s="1178"/>
      <c r="CL146" s="1178"/>
      <c r="CM146" s="1178"/>
      <c r="CN146" s="373"/>
      <c r="CO146" s="1177"/>
      <c r="CP146" s="1178"/>
      <c r="CQ146" s="1178"/>
      <c r="CR146" s="1178"/>
      <c r="CS146" s="373"/>
      <c r="CT146" s="1177"/>
      <c r="CU146" s="1178"/>
      <c r="CV146" s="1178"/>
      <c r="CW146" s="1178"/>
      <c r="CX146" s="373"/>
      <c r="CY146" s="1177"/>
      <c r="CZ146" s="1178"/>
      <c r="DA146" s="1178"/>
      <c r="DB146" s="1178"/>
      <c r="DC146" s="373"/>
      <c r="DD146" s="1177">
        <v>5410</v>
      </c>
      <c r="DE146" s="1178">
        <v>5621</v>
      </c>
      <c r="DF146" s="1178">
        <v>5292</v>
      </c>
      <c r="DG146" s="1178">
        <v>5367</v>
      </c>
      <c r="DH146" s="373">
        <f>DG146</f>
      </c>
      <c r="DI146" s="1177">
        <v>5626</v>
      </c>
      <c r="DJ146" s="1178">
        <v>5425</v>
      </c>
      <c r="DK146" s="1178">
        <v>5983</v>
      </c>
      <c r="DL146" s="1178">
        <v>6561</v>
      </c>
      <c r="DM146" s="373">
        <f>DL146</f>
      </c>
      <c r="DN146" s="1177">
        <v>7143</v>
      </c>
      <c r="DO146" s="1178">
        <v>6807</v>
      </c>
      <c r="DP146" s="1178">
        <v>7372</v>
      </c>
      <c r="DQ146" s="1178">
        <v>7883</v>
      </c>
      <c r="DR146" s="373">
        <f>DQ146</f>
      </c>
      <c r="DS146" s="1177">
        <v>8447</v>
      </c>
      <c r="DT146" s="1178">
        <v>8558</v>
      </c>
      <c r="DU146" s="1178">
        <v>8974</v>
      </c>
      <c r="DV146" s="1178">
        <v>9389</v>
      </c>
      <c r="DW146" s="373">
        <f>DV146</f>
      </c>
      <c r="DX146" s="1177">
        <v>9820</v>
      </c>
      <c r="DY146" s="1178">
        <v>10000</v>
      </c>
      <c r="DZ146" s="1178">
        <v>10350</v>
      </c>
      <c r="EA146" s="1178">
        <v>10721</v>
      </c>
      <c r="EB146" s="373">
        <f>EA146</f>
      </c>
      <c r="EC146" s="1177">
        <v>11104</v>
      </c>
      <c r="ED146" s="1178">
        <v>11352</v>
      </c>
      <c r="EE146" s="1178">
        <v>11748</v>
      </c>
      <c r="EF146" s="1178">
        <v>12175</v>
      </c>
      <c r="EG146" s="373">
        <f>EF146</f>
      </c>
      <c r="EH146" s="1177">
        <v>12613</v>
      </c>
      <c r="EI146" s="1178">
        <v>12676</v>
      </c>
      <c r="EJ146" s="1178">
        <v>13176</v>
      </c>
      <c r="EK146" s="1178">
        <v>12279</v>
      </c>
      <c r="EL146" s="373">
        <f>EK146</f>
      </c>
      <c r="EM146" s="1177">
        <v>12906</v>
      </c>
      <c r="EN146" s="1178">
        <v>13054</v>
      </c>
      <c r="EO146" s="1178">
        <v>13609</v>
      </c>
      <c r="EP146" s="1178">
        <v>14124</v>
      </c>
      <c r="EQ146" s="373">
        <f>EP146</f>
      </c>
      <c r="ER146" s="633">
        <v>14760</v>
      </c>
      <c r="ES146" s="634">
        <v>16055</v>
      </c>
      <c r="ET146" s="961">
        <v>15541</v>
      </c>
      <c r="EU146" s="961">
        <v>16912</v>
      </c>
      <c r="EV146" s="373">
        <f>EU146</f>
      </c>
      <c r="EW146" s="961">
        <v>18285</v>
      </c>
      <c r="EX146" s="961">
        <v>19750</v>
      </c>
      <c r="EY146" s="961">
        <v>19547</v>
      </c>
      <c r="EZ146" s="961">
        <v>20953</v>
      </c>
      <c r="FA146" s="373">
        <f>EZ146</f>
      </c>
      <c r="FB146" s="1179">
        <f t="shared" ref="FB146:FE147" si="1143">FA146+FB136</f>
      </c>
      <c r="FC146" s="1179">
        <f t="shared" si="1143"/>
      </c>
      <c r="FD146" s="1179">
        <f t="shared" si="1143"/>
      </c>
      <c r="FE146" s="1179">
        <f t="shared" si="1143"/>
      </c>
      <c r="FF146" s="373">
        <f>FE146</f>
      </c>
      <c r="FG146" s="1179">
        <f t="shared" ref="FG146:FJ147" si="1144">FF146+FG136</f>
      </c>
      <c r="FH146" s="1179">
        <f t="shared" si="1144"/>
      </c>
      <c r="FI146" s="1179">
        <f t="shared" si="1144"/>
      </c>
      <c r="FJ146" s="1179">
        <f t="shared" si="1144"/>
      </c>
      <c r="FK146" s="373">
        <f>FJ146</f>
      </c>
      <c r="FL146" s="1179">
        <f t="shared" ref="FL146:FO147" si="1145">FK146+FL136</f>
      </c>
      <c r="FM146" s="1179">
        <f t="shared" si="1145"/>
      </c>
      <c r="FN146" s="1179">
        <f t="shared" si="1145"/>
      </c>
      <c r="FO146" s="1179">
        <f t="shared" si="1145"/>
      </c>
      <c r="FP146" s="373">
        <f>FO146</f>
      </c>
      <c r="FQ146" s="1179">
        <f t="shared" ref="FQ146:FT147" si="1146">FP146+FQ136</f>
      </c>
      <c r="FR146" s="1179">
        <f t="shared" si="1146"/>
      </c>
      <c r="FS146" s="1179">
        <f t="shared" si="1146"/>
      </c>
      <c r="FT146" s="1179">
        <f t="shared" si="1146"/>
      </c>
      <c r="FU146" s="373">
        <f>FT146</f>
      </c>
      <c r="FV146" s="1179">
        <f t="shared" ref="FV146:FY147" si="1147">FU146+FV136</f>
      </c>
      <c r="FW146" s="1179">
        <f t="shared" si="1147"/>
      </c>
      <c r="FX146" s="1179">
        <f t="shared" si="1147"/>
      </c>
      <c r="FY146" s="1179">
        <f t="shared" si="1147"/>
      </c>
      <c r="FZ146" s="373">
        <f>FY146</f>
      </c>
      <c r="GA146" s="1179">
        <f t="shared" ref="GA146:GD147" si="1148">FZ146+GA136</f>
      </c>
      <c r="GB146" s="1179">
        <f t="shared" si="1148"/>
      </c>
      <c r="GC146" s="1179">
        <f t="shared" si="1148"/>
      </c>
      <c r="GD146" s="1179">
        <f t="shared" si="1148"/>
      </c>
      <c r="GE146" s="373">
        <f>GD146</f>
      </c>
      <c r="GF146" s="1179">
        <f t="shared" ref="GF146:GF147" si="1149">GE146+GF136</f>
      </c>
      <c r="GG146" s="1179">
        <f t="shared" ref="GG146:GG147" si="1150">GF146+GG136</f>
      </c>
      <c r="GH146" s="1179">
        <f t="shared" ref="GH146:GH147" si="1151">GG146+GH136</f>
      </c>
      <c r="GI146" s="1179">
        <f t="shared" ref="GI146:GI147" si="1152">GH146+GI136</f>
      </c>
      <c r="GJ146" s="373">
        <f>GI146</f>
      </c>
    </row>
    <row r="147" spans="1:192" s="374" customFormat="1" ht="12.75" hidden="1" customHeight="1" outlineLevel="1">
      <c r="A147" s="370"/>
      <c r="B147" s="676" t="s">
        <v>186</v>
      </c>
      <c r="C147" s="633"/>
      <c r="D147" s="634"/>
      <c r="E147" s="634"/>
      <c r="F147" s="634"/>
      <c r="G147" s="762"/>
      <c r="H147" s="633"/>
      <c r="I147" s="634"/>
      <c r="J147" s="634"/>
      <c r="K147" s="634"/>
      <c r="L147" s="762"/>
      <c r="M147" s="633"/>
      <c r="N147" s="634"/>
      <c r="O147" s="634"/>
      <c r="P147" s="634"/>
      <c r="Q147" s="762"/>
      <c r="R147" s="633"/>
      <c r="S147" s="634"/>
      <c r="T147" s="634"/>
      <c r="U147" s="634"/>
      <c r="V147" s="762"/>
      <c r="W147" s="633"/>
      <c r="X147" s="634"/>
      <c r="Y147" s="634"/>
      <c r="Z147" s="634"/>
      <c r="AA147" s="762"/>
      <c r="AB147" s="633"/>
      <c r="AC147" s="634"/>
      <c r="AD147" s="634"/>
      <c r="AE147" s="634"/>
      <c r="AF147" s="762"/>
      <c r="AG147" s="633"/>
      <c r="AH147" s="634"/>
      <c r="AI147" s="634"/>
      <c r="AJ147" s="634"/>
      <c r="AK147" s="762"/>
      <c r="AL147" s="633"/>
      <c r="AM147" s="634"/>
      <c r="AN147" s="634"/>
      <c r="AO147" s="634"/>
      <c r="AP147" s="762"/>
      <c r="AQ147" s="633"/>
      <c r="AR147" s="634"/>
      <c r="AS147" s="634"/>
      <c r="AT147" s="634"/>
      <c r="AU147" s="762"/>
      <c r="AV147" s="633"/>
      <c r="AW147" s="634"/>
      <c r="AX147" s="634"/>
      <c r="AY147" s="634"/>
      <c r="AZ147" s="762"/>
      <c r="BA147" s="633"/>
      <c r="BB147" s="634"/>
      <c r="BC147" s="634"/>
      <c r="BD147" s="634"/>
      <c r="BE147" s="762"/>
      <c r="BF147" s="633"/>
      <c r="BG147" s="634"/>
      <c r="BH147" s="634"/>
      <c r="BI147" s="634"/>
      <c r="BJ147" s="762"/>
      <c r="BK147" s="633"/>
      <c r="BL147" s="634"/>
      <c r="BM147" s="634"/>
      <c r="BN147" s="634"/>
      <c r="BO147" s="762"/>
      <c r="BP147" s="633"/>
      <c r="BQ147" s="634"/>
      <c r="BR147" s="634"/>
      <c r="BS147" s="634"/>
      <c r="BT147" s="762"/>
      <c r="BU147" s="633"/>
      <c r="BV147" s="634"/>
      <c r="BW147" s="634"/>
      <c r="BX147" s="634"/>
      <c r="BY147" s="762"/>
      <c r="BZ147" s="633"/>
      <c r="CA147" s="634"/>
      <c r="CB147" s="634"/>
      <c r="CC147" s="634"/>
      <c r="CD147" s="762">
        <v>8629</v>
      </c>
      <c r="CE147" s="633"/>
      <c r="CF147" s="634"/>
      <c r="CG147" s="634"/>
      <c r="CH147" s="634"/>
      <c r="CI147" s="762">
        <v>9829</v>
      </c>
      <c r="CJ147" s="633"/>
      <c r="CK147" s="634"/>
      <c r="CL147" s="634"/>
      <c r="CM147" s="634"/>
      <c r="CN147" s="762">
        <v>10962</v>
      </c>
      <c r="CO147" s="633"/>
      <c r="CP147" s="634"/>
      <c r="CQ147" s="634"/>
      <c r="CR147" s="634"/>
      <c r="CS147" s="762">
        <v>12513</v>
      </c>
      <c r="CT147" s="633"/>
      <c r="CU147" s="634"/>
      <c r="CV147" s="634"/>
      <c r="CW147" s="634"/>
      <c r="CX147" s="762">
        <v>14793</v>
      </c>
      <c r="CY147" s="633"/>
      <c r="CZ147" s="634"/>
      <c r="DA147" s="634"/>
      <c r="DB147" s="634"/>
      <c r="DC147" s="762">
        <v>17606</v>
      </c>
      <c r="DD147" s="633"/>
      <c r="DE147" s="634"/>
      <c r="DF147" s="634"/>
      <c r="DG147" s="634"/>
      <c r="DH147" s="762">
        <v>19800</v>
      </c>
      <c r="DI147" s="633"/>
      <c r="DJ147" s="634"/>
      <c r="DK147" s="634"/>
      <c r="DL147" s="634"/>
      <c r="DM147" s="762">
        <v>24179</v>
      </c>
      <c r="DN147" s="633"/>
      <c r="DO147" s="634"/>
      <c r="DP147" s="634"/>
      <c r="DQ147" s="634"/>
      <c r="DR147" s="762">
        <v>29223</v>
      </c>
      <c r="DS147" s="633"/>
      <c r="DT147" s="634"/>
      <c r="DU147" s="634"/>
      <c r="DV147" s="634"/>
      <c r="DW147" s="762">
        <v>35330</v>
      </c>
      <c r="DX147" s="633"/>
      <c r="DY147" s="634"/>
      <c r="DZ147" s="634"/>
      <c r="EA147" s="634"/>
      <c r="EB147" s="762">
        <v>43197</v>
      </c>
      <c r="EC147" s="633">
        <v>45417</v>
      </c>
      <c r="ED147" s="634">
        <v>47715</v>
      </c>
      <c r="EE147" s="634">
        <v>49681</v>
      </c>
      <c r="EF147" s="634">
        <v>51351</v>
      </c>
      <c r="EG147" s="373">
        <f>EF147</f>
      </c>
      <c r="EH147" s="633">
        <v>52469</v>
      </c>
      <c r="EI147" s="634">
        <v>55277</v>
      </c>
      <c r="EJ147" s="634">
        <v>58053</v>
      </c>
      <c r="EK147" s="634">
        <v>59660</v>
      </c>
      <c r="EL147" s="373">
        <f>EK147</f>
      </c>
      <c r="EM147" s="633">
        <v>60638</v>
      </c>
      <c r="EN147" s="634">
        <v>63459</v>
      </c>
      <c r="EO147" s="634">
        <v>65998</v>
      </c>
      <c r="EP147" s="634">
        <v>68251</v>
      </c>
      <c r="EQ147" s="373">
        <f>EP147</f>
      </c>
      <c r="ER147" s="633">
        <v>69486</v>
      </c>
      <c r="ES147" s="634">
        <v>72949</v>
      </c>
      <c r="ET147" s="961">
        <v>74945</v>
      </c>
      <c r="EU147" s="961">
        <v>76421</v>
      </c>
      <c r="EV147" s="373">
        <f>EU147</f>
      </c>
      <c r="EW147" s="961">
        <v>80517</v>
      </c>
      <c r="EX147" s="961">
        <v>82820</v>
      </c>
      <c r="EY147" s="961">
        <v>87074</v>
      </c>
      <c r="EZ147" s="961">
        <v>93653</v>
      </c>
      <c r="FA147" s="373">
        <f>EZ147</f>
      </c>
      <c r="FB147" s="767">
        <f t="shared" si="1143"/>
      </c>
      <c r="FC147" s="767">
        <f t="shared" si="1143"/>
      </c>
      <c r="FD147" s="767">
        <f t="shared" si="1143"/>
      </c>
      <c r="FE147" s="767">
        <f t="shared" si="1143"/>
      </c>
      <c r="FF147" s="373">
        <f>FE147</f>
      </c>
      <c r="FG147" s="767">
        <f t="shared" si="1144"/>
      </c>
      <c r="FH147" s="767">
        <f t="shared" si="1144"/>
      </c>
      <c r="FI147" s="767">
        <f t="shared" si="1144"/>
      </c>
      <c r="FJ147" s="767">
        <f t="shared" si="1144"/>
      </c>
      <c r="FK147" s="373">
        <f>FJ147</f>
      </c>
      <c r="FL147" s="767">
        <f t="shared" si="1145"/>
      </c>
      <c r="FM147" s="767">
        <f t="shared" si="1145"/>
      </c>
      <c r="FN147" s="767">
        <f t="shared" si="1145"/>
      </c>
      <c r="FO147" s="767">
        <f t="shared" si="1145"/>
      </c>
      <c r="FP147" s="373">
        <f>FO147</f>
      </c>
      <c r="FQ147" s="767">
        <f t="shared" si="1146"/>
      </c>
      <c r="FR147" s="767">
        <f t="shared" si="1146"/>
      </c>
      <c r="FS147" s="767">
        <f t="shared" si="1146"/>
      </c>
      <c r="FT147" s="767">
        <f t="shared" si="1146"/>
      </c>
      <c r="FU147" s="373">
        <f>FT147</f>
      </c>
      <c r="FV147" s="767">
        <f t="shared" si="1147"/>
      </c>
      <c r="FW147" s="767">
        <f t="shared" si="1147"/>
      </c>
      <c r="FX147" s="767">
        <f t="shared" si="1147"/>
      </c>
      <c r="FY147" s="767">
        <f t="shared" si="1147"/>
      </c>
      <c r="FZ147" s="373">
        <f>FY147</f>
      </c>
      <c r="GA147" s="767">
        <f t="shared" si="1148"/>
      </c>
      <c r="GB147" s="767">
        <f t="shared" si="1148"/>
      </c>
      <c r="GC147" s="767">
        <f t="shared" si="1148"/>
      </c>
      <c r="GD147" s="767">
        <f t="shared" si="1148"/>
      </c>
      <c r="GE147" s="373">
        <f>GD147</f>
      </c>
      <c r="GF147" s="767">
        <f t="shared" si="1149"/>
      </c>
      <c r="GG147" s="767">
        <f t="shared" si="1150"/>
      </c>
      <c r="GH147" s="767">
        <f t="shared" si="1151"/>
      </c>
      <c r="GI147" s="767">
        <f t="shared" si="1152"/>
      </c>
      <c r="GJ147" s="373">
        <f>GI147</f>
      </c>
    </row>
    <row r="148" spans="1:192" s="93" customFormat="1" ht="12.75" customHeight="1" collapsed="1">
      <c r="A148" s="68"/>
      <c r="B148" s="704"/>
      <c r="C148" s="94"/>
      <c r="D148" s="142"/>
      <c r="E148" s="142"/>
      <c r="F148" s="142"/>
      <c r="G148" s="122"/>
      <c r="H148" s="94"/>
      <c r="I148" s="142"/>
      <c r="J148" s="142"/>
      <c r="K148" s="142"/>
      <c r="L148" s="122"/>
      <c r="M148" s="94"/>
      <c r="N148" s="142"/>
      <c r="O148" s="142"/>
      <c r="P148" s="142"/>
      <c r="Q148" s="122"/>
      <c r="R148" s="94"/>
      <c r="S148" s="142"/>
      <c r="T148" s="142"/>
      <c r="U148" s="142"/>
      <c r="V148" s="122"/>
      <c r="W148" s="94"/>
      <c r="X148" s="142"/>
      <c r="Y148" s="142"/>
      <c r="Z148" s="142"/>
      <c r="AA148" s="122"/>
      <c r="AB148" s="94"/>
      <c r="AC148" s="142"/>
      <c r="AD148" s="142"/>
      <c r="AE148" s="142"/>
      <c r="AF148" s="122"/>
      <c r="AG148" s="94"/>
      <c r="AH148" s="142"/>
      <c r="AI148" s="142"/>
      <c r="AJ148" s="142"/>
      <c r="AK148" s="122"/>
      <c r="AL148" s="94"/>
      <c r="AM148" s="142"/>
      <c r="AN148" s="142"/>
      <c r="AO148" s="142"/>
      <c r="AP148" s="122"/>
      <c r="AQ148" s="94"/>
      <c r="AR148" s="142"/>
      <c r="AS148" s="142"/>
      <c r="AT148" s="142"/>
      <c r="AU148" s="122"/>
      <c r="AV148" s="94"/>
      <c r="AW148" s="142"/>
      <c r="AX148" s="142"/>
      <c r="AY148" s="142"/>
      <c r="AZ148" s="122"/>
      <c r="BA148" s="94"/>
      <c r="BB148" s="142"/>
      <c r="BC148" s="142"/>
      <c r="BD148" s="142"/>
      <c r="BE148" s="122"/>
      <c r="BF148" s="94"/>
      <c r="BG148" s="142"/>
      <c r="BH148" s="142"/>
      <c r="BI148" s="142"/>
      <c r="BJ148" s="122"/>
      <c r="BK148" s="94"/>
      <c r="BL148" s="142"/>
      <c r="BM148" s="142"/>
      <c r="BN148" s="142"/>
      <c r="BO148" s="122"/>
      <c r="BP148" s="94"/>
      <c r="BQ148" s="142"/>
      <c r="BR148" s="142"/>
      <c r="BS148" s="142"/>
      <c r="BT148" s="122"/>
      <c r="BU148" s="94"/>
      <c r="BV148" s="142"/>
      <c r="BW148" s="142"/>
      <c r="BX148" s="142"/>
      <c r="BY148" s="122"/>
      <c r="BZ148" s="94"/>
      <c r="CA148" s="142"/>
      <c r="CB148" s="142"/>
      <c r="CC148" s="142"/>
      <c r="CD148" s="122"/>
      <c r="CE148" s="94"/>
      <c r="CF148" s="142"/>
      <c r="CG148" s="142"/>
      <c r="CH148" s="142"/>
      <c r="CI148" s="122"/>
      <c r="CJ148" s="94"/>
      <c r="CK148" s="142"/>
      <c r="CL148" s="142"/>
      <c r="CM148" s="142"/>
      <c r="CN148" s="122"/>
      <c r="CO148" s="94"/>
      <c r="CP148" s="142"/>
      <c r="CQ148" s="142"/>
      <c r="CR148" s="142"/>
      <c r="CS148" s="122"/>
      <c r="CT148" s="94"/>
      <c r="CU148" s="142"/>
      <c r="CV148" s="142"/>
      <c r="CW148" s="142"/>
      <c r="CX148" s="122"/>
      <c r="CY148" s="94"/>
      <c r="CZ148" s="142"/>
      <c r="DA148" s="142"/>
      <c r="DB148" s="142"/>
      <c r="DC148" s="122"/>
      <c r="DD148" s="94"/>
      <c r="DE148" s="142"/>
      <c r="DF148" s="142"/>
      <c r="DG148" s="142"/>
      <c r="DH148" s="122"/>
      <c r="DI148" s="94"/>
      <c r="DJ148" s="142"/>
      <c r="DK148" s="142"/>
      <c r="DL148" s="142"/>
      <c r="DM148" s="122"/>
      <c r="DN148" s="94"/>
      <c r="DO148" s="142"/>
      <c r="DP148" s="142"/>
      <c r="DQ148" s="142"/>
      <c r="DR148" s="122"/>
      <c r="DS148" s="94"/>
      <c r="DT148" s="142"/>
      <c r="DU148" s="142"/>
      <c r="DV148" s="142"/>
      <c r="DW148" s="122"/>
      <c r="DX148" s="94"/>
      <c r="DY148" s="142"/>
      <c r="DZ148" s="142"/>
      <c r="EA148" s="142"/>
      <c r="EB148" s="122"/>
      <c r="EC148" s="94"/>
      <c r="ED148" s="142"/>
      <c r="EE148" s="142"/>
      <c r="EF148" s="142"/>
      <c r="EG148" s="122"/>
      <c r="EH148" s="94"/>
      <c r="EI148" s="142"/>
      <c r="EJ148" s="142"/>
      <c r="EK148" s="142"/>
      <c r="EL148" s="122"/>
      <c r="EM148" s="94"/>
      <c r="EN148" s="142"/>
      <c r="EO148" s="142"/>
      <c r="EP148" s="142"/>
      <c r="EQ148" s="122"/>
      <c r="ER148" s="94"/>
      <c r="ES148" s="142"/>
      <c r="ET148" s="142"/>
      <c r="EU148" s="142"/>
      <c r="EV148" s="122"/>
      <c r="EW148" s="94"/>
      <c r="EX148" s="142"/>
      <c r="EY148" s="1437"/>
      <c r="EZ148" s="142"/>
      <c r="FA148" s="122"/>
      <c r="FB148" s="94"/>
      <c r="FC148" s="142"/>
      <c r="FD148" s="142"/>
      <c r="FE148" s="142"/>
      <c r="FF148" s="122"/>
      <c r="FG148" s="94"/>
      <c r="FH148" s="142"/>
      <c r="FI148" s="142"/>
      <c r="FJ148" s="142"/>
      <c r="FK148" s="122"/>
      <c r="FL148" s="94"/>
      <c r="FM148" s="142"/>
      <c r="FN148" s="142"/>
      <c r="FO148" s="142"/>
      <c r="FP148" s="122"/>
      <c r="FQ148" s="94"/>
      <c r="FR148" s="142"/>
      <c r="FS148" s="142"/>
      <c r="FT148" s="142"/>
      <c r="FU148" s="122"/>
      <c r="FV148" s="94"/>
      <c r="FW148" s="142"/>
      <c r="FX148" s="142"/>
      <c r="FY148" s="142"/>
      <c r="FZ148" s="122"/>
      <c r="GA148" s="94"/>
      <c r="GB148" s="142"/>
      <c r="GC148" s="142"/>
      <c r="GD148" s="142"/>
      <c r="GE148" s="122"/>
      <c r="GF148" s="94"/>
      <c r="GG148" s="142"/>
      <c r="GH148" s="142"/>
      <c r="GI148" s="142"/>
      <c r="GJ148" s="122"/>
    </row>
    <row r="149" spans="1:192" s="93" customFormat="1" ht="12.75" customHeight="1">
      <c r="A149" s="68"/>
      <c r="B149" s="718" t="s">
        <v>109</v>
      </c>
      <c r="C149" s="94"/>
      <c r="D149" s="142"/>
      <c r="E149" s="142"/>
      <c r="F149" s="142"/>
      <c r="G149" s="122"/>
      <c r="H149" s="94"/>
      <c r="I149" s="142"/>
      <c r="J149" s="142"/>
      <c r="K149" s="142"/>
      <c r="L149" s="122"/>
      <c r="M149" s="94"/>
      <c r="N149" s="142"/>
      <c r="O149" s="142"/>
      <c r="P149" s="142"/>
      <c r="Q149" s="122"/>
      <c r="R149" s="94"/>
      <c r="S149" s="142"/>
      <c r="T149" s="142"/>
      <c r="U149" s="142"/>
      <c r="V149" s="122"/>
      <c r="W149" s="94"/>
      <c r="X149" s="142"/>
      <c r="Y149" s="142"/>
      <c r="Z149" s="142"/>
      <c r="AA149" s="122"/>
      <c r="AB149" s="94"/>
      <c r="AC149" s="142"/>
      <c r="AD149" s="142"/>
      <c r="AE149" s="142"/>
      <c r="AF149" s="122"/>
      <c r="AG149" s="94"/>
      <c r="AH149" s="142"/>
      <c r="AI149" s="142"/>
      <c r="AJ149" s="142"/>
      <c r="AK149" s="122"/>
      <c r="AL149" s="94"/>
      <c r="AM149" s="142"/>
      <c r="AN149" s="142"/>
      <c r="AO149" s="142"/>
      <c r="AP149" s="122"/>
      <c r="AQ149" s="94"/>
      <c r="AR149" s="142"/>
      <c r="AS149" s="142"/>
      <c r="AT149" s="142"/>
      <c r="AU149" s="122"/>
      <c r="AV149" s="94"/>
      <c r="AW149" s="142"/>
      <c r="AX149" s="142"/>
      <c r="AY149" s="142"/>
      <c r="AZ149" s="122"/>
      <c r="BA149" s="94"/>
      <c r="BB149" s="142"/>
      <c r="BC149" s="142"/>
      <c r="BD149" s="142"/>
      <c r="BE149" s="122"/>
      <c r="BF149" s="94"/>
      <c r="BG149" s="142"/>
      <c r="BH149" s="142"/>
      <c r="BI149" s="142"/>
      <c r="BJ149" s="122"/>
      <c r="BK149" s="94"/>
      <c r="BL149" s="142"/>
      <c r="BM149" s="142"/>
      <c r="BN149" s="142"/>
      <c r="BO149" s="122"/>
      <c r="BP149" s="94"/>
      <c r="BQ149" s="142"/>
      <c r="BR149" s="142"/>
      <c r="BS149" s="142"/>
      <c r="BT149" s="122"/>
      <c r="BU149" s="94"/>
      <c r="BV149" s="142"/>
      <c r="BW149" s="142"/>
      <c r="BX149" s="142"/>
      <c r="BY149" s="122"/>
      <c r="BZ149" s="94"/>
      <c r="CA149" s="142"/>
      <c r="CB149" s="142"/>
      <c r="CC149" s="142"/>
      <c r="CD149" s="122"/>
      <c r="CE149" s="94"/>
      <c r="CF149" s="142"/>
      <c r="CG149" s="142"/>
      <c r="CH149" s="142"/>
      <c r="CI149" s="122"/>
      <c r="CJ149" s="94"/>
      <c r="CK149" s="142"/>
      <c r="CL149" s="142"/>
      <c r="CM149" s="142"/>
      <c r="CN149" s="122"/>
      <c r="CO149" s="94"/>
      <c r="CP149" s="142"/>
      <c r="CQ149" s="142"/>
      <c r="CR149" s="142"/>
      <c r="CS149" s="122"/>
      <c r="CT149" s="94"/>
      <c r="CU149" s="142"/>
      <c r="CV149" s="142"/>
      <c r="CW149" s="142"/>
      <c r="CX149" s="122"/>
      <c r="CY149" s="94"/>
      <c r="CZ149" s="142"/>
      <c r="DA149" s="142"/>
      <c r="DB149" s="142"/>
      <c r="DC149" s="122"/>
      <c r="DD149" s="94"/>
      <c r="DE149" s="142"/>
      <c r="DF149" s="142"/>
      <c r="DG149" s="142"/>
      <c r="DH149" s="122"/>
      <c r="DI149" s="94"/>
      <c r="DJ149" s="142"/>
      <c r="DK149" s="142"/>
      <c r="DL149" s="142"/>
      <c r="DM149" s="122"/>
      <c r="DN149" s="94"/>
      <c r="DO149" s="142"/>
      <c r="DP149" s="142"/>
      <c r="DQ149" s="142"/>
      <c r="DR149" s="122"/>
      <c r="DS149" s="94"/>
      <c r="DT149" s="142"/>
      <c r="DU149" s="142"/>
      <c r="DV149" s="142"/>
      <c r="DW149" s="122"/>
      <c r="DX149" s="94"/>
      <c r="DY149" s="142"/>
      <c r="DZ149" s="142"/>
      <c r="EA149" s="142"/>
      <c r="EB149" s="122"/>
      <c r="EC149" s="94"/>
      <c r="ED149" s="142"/>
      <c r="EE149" s="142"/>
      <c r="EF149" s="142"/>
      <c r="EG149" s="122"/>
      <c r="EH149" s="94"/>
      <c r="EI149" s="142"/>
      <c r="EJ149" s="142"/>
      <c r="EK149" s="142"/>
      <c r="EL149" s="122"/>
      <c r="EM149" s="94"/>
      <c r="EN149" s="142"/>
      <c r="EO149" s="142"/>
      <c r="EP149" s="142"/>
      <c r="EQ149" s="122"/>
      <c r="ER149" s="94"/>
      <c r="ES149" s="142"/>
      <c r="ET149" s="142"/>
      <c r="EU149" s="142"/>
      <c r="EV149" s="122"/>
      <c r="EW149" s="94"/>
      <c r="EX149" s="142"/>
      <c r="EY149" s="1437"/>
      <c r="EZ149" s="142"/>
      <c r="FA149" s="122"/>
      <c r="FB149" s="94"/>
      <c r="FC149" s="142"/>
      <c r="FD149" s="142"/>
      <c r="FE149" s="142"/>
      <c r="FF149" s="122"/>
      <c r="FG149" s="94"/>
      <c r="FH149" s="142"/>
      <c r="FI149" s="142"/>
      <c r="FJ149" s="142"/>
      <c r="FK149" s="122"/>
      <c r="FL149" s="94"/>
      <c r="FM149" s="142"/>
      <c r="FN149" s="142"/>
      <c r="FO149" s="142"/>
      <c r="FP149" s="122"/>
      <c r="FQ149" s="94"/>
      <c r="FR149" s="142"/>
      <c r="FS149" s="142"/>
      <c r="FT149" s="142"/>
      <c r="FU149" s="122"/>
      <c r="FV149" s="94"/>
      <c r="FW149" s="142"/>
      <c r="FX149" s="142"/>
      <c r="FY149" s="142"/>
      <c r="FZ149" s="122"/>
      <c r="GA149" s="94"/>
      <c r="GB149" s="142"/>
      <c r="GC149" s="142"/>
      <c r="GD149" s="142"/>
      <c r="GE149" s="122"/>
      <c r="GF149" s="94"/>
      <c r="GG149" s="142"/>
      <c r="GH149" s="142"/>
      <c r="GI149" s="142"/>
      <c r="GJ149" s="122"/>
    </row>
    <row r="150" spans="1:192" s="93" customFormat="1" ht="12.75" hidden="1" customHeight="1" outlineLevel="1">
      <c r="A150" s="68"/>
      <c r="B150" s="704" t="s">
        <v>109</v>
      </c>
      <c r="C150" s="768">
        <f>CF!C14</f>
      </c>
      <c r="D150" s="769">
        <f>CF!D14</f>
      </c>
      <c r="E150" s="769">
        <f>CF!E14</f>
      </c>
      <c r="F150" s="769">
        <f>CF!F14</f>
      </c>
      <c r="G150" s="691">
        <f>CF!G14</f>
      </c>
      <c r="H150" s="768">
        <f>CF!H14</f>
      </c>
      <c r="I150" s="769">
        <f>CF!I14</f>
      </c>
      <c r="J150" s="769">
        <f>CF!J14</f>
      </c>
      <c r="K150" s="769">
        <f>CF!K14</f>
      </c>
      <c r="L150" s="691">
        <f>CF!L14</f>
      </c>
      <c r="M150" s="768">
        <f>CF!M14</f>
      </c>
      <c r="N150" s="769">
        <f>CF!N14</f>
      </c>
      <c r="O150" s="769">
        <f>CF!O14</f>
      </c>
      <c r="P150" s="769">
        <f>CF!P14</f>
      </c>
      <c r="Q150" s="691">
        <f>CF!Q14</f>
      </c>
      <c r="R150" s="768">
        <f>CF!R14</f>
      </c>
      <c r="S150" s="769">
        <f>CF!S14</f>
      </c>
      <c r="T150" s="769">
        <f>CF!T14</f>
      </c>
      <c r="U150" s="769">
        <f>CF!U14</f>
      </c>
      <c r="V150" s="691">
        <f>CF!V14</f>
      </c>
      <c r="W150" s="768">
        <f>CF!W15</f>
      </c>
      <c r="X150" s="769">
        <f>CF!X15</f>
      </c>
      <c r="Y150" s="769">
        <f>CF!Y15</f>
      </c>
      <c r="Z150" s="769">
        <f>CF!Z14</f>
      </c>
      <c r="AA150" s="691">
        <f>CF!AA14</f>
      </c>
      <c r="AB150" s="768">
        <f>CF!AB15</f>
      </c>
      <c r="AC150" s="769">
        <f>CF!AC15</f>
      </c>
      <c r="AD150" s="769">
        <f>CF!AD14</f>
      </c>
      <c r="AE150" s="769">
        <f>CF!AE14</f>
      </c>
      <c r="AF150" s="691">
        <f>CF!AF14</f>
      </c>
      <c r="AG150" s="768">
        <f>CF!AG14</f>
      </c>
      <c r="AH150" s="769">
        <f>CF!AH14</f>
      </c>
      <c r="AI150" s="769">
        <f>CF!AI14</f>
      </c>
      <c r="AJ150" s="769">
        <f>CF!AJ14</f>
      </c>
      <c r="AK150" s="691">
        <f>CF!AK14</f>
      </c>
      <c r="AL150" s="768">
        <f>CF!AL14</f>
      </c>
      <c r="AM150" s="769">
        <f>CF!AM14</f>
      </c>
      <c r="AN150" s="769">
        <f>CF!AN14</f>
      </c>
      <c r="AO150" s="769">
        <f>CF!AO14</f>
      </c>
      <c r="AP150" s="691">
        <f>CF!AP14</f>
      </c>
      <c r="AQ150" s="768">
        <f>CF!AQ14</f>
      </c>
      <c r="AR150" s="769">
        <f>CF!AR14</f>
      </c>
      <c r="AS150" s="769">
        <f>CF!AS14</f>
      </c>
      <c r="AT150" s="769">
        <f>CF!AT14</f>
      </c>
      <c r="AU150" s="691">
        <f>CF!AU14</f>
      </c>
      <c r="AV150" s="768">
        <f>CF!AV14</f>
      </c>
      <c r="AW150" s="769">
        <f>CF!AW14</f>
      </c>
      <c r="AX150" s="769">
        <f>CF!AX14</f>
      </c>
      <c r="AY150" s="769">
        <f>CF!AY14</f>
      </c>
      <c r="AZ150" s="691">
        <f>CF!AZ14</f>
      </c>
      <c r="BA150" s="768">
        <f>CF!BA14</f>
      </c>
      <c r="BB150" s="769">
        <f>CF!BB14</f>
      </c>
      <c r="BC150" s="769">
        <f>CF!BC14</f>
      </c>
      <c r="BD150" s="769">
        <f>CF!BD14</f>
      </c>
      <c r="BE150" s="691">
        <f>CF!BE14</f>
      </c>
      <c r="BF150" s="768">
        <f>CF!BF14</f>
      </c>
      <c r="BG150" s="769">
        <f>CF!BG14</f>
      </c>
      <c r="BH150" s="769">
        <f>CF!BH14</f>
      </c>
      <c r="BI150" s="769">
        <f>CF!BI14</f>
      </c>
      <c r="BJ150" s="691">
        <f>CF!BJ14</f>
      </c>
      <c r="BK150" s="768">
        <f>CF!BK14</f>
      </c>
      <c r="BL150" s="769">
        <f>CF!BL14</f>
      </c>
      <c r="BM150" s="769">
        <f>CF!BM14</f>
      </c>
      <c r="BN150" s="769">
        <f>CF!BN14</f>
      </c>
      <c r="BO150" s="691">
        <f>CF!BO14</f>
      </c>
      <c r="BP150" s="768">
        <f>CF!BP14</f>
      </c>
      <c r="BQ150" s="769">
        <f>CF!BQ14</f>
      </c>
      <c r="BR150" s="769">
        <f>CF!BR14</f>
      </c>
      <c r="BS150" s="769">
        <f>CF!BS14</f>
      </c>
      <c r="BT150" s="691">
        <f>CF!BT14</f>
      </c>
      <c r="BU150" s="768">
        <f>CF!BU14</f>
      </c>
      <c r="BV150" s="769">
        <f>CF!BV14</f>
      </c>
      <c r="BW150" s="769">
        <f>CF!BW14</f>
      </c>
      <c r="BX150" s="769">
        <f>CF!BX14</f>
      </c>
      <c r="BY150" s="691">
        <f>CF!BY14</f>
      </c>
      <c r="BZ150" s="768">
        <f>CF!BZ14</f>
      </c>
      <c r="CA150" s="769">
        <f>CF!CA14</f>
      </c>
      <c r="CB150" s="769">
        <f>CF!CB14</f>
      </c>
      <c r="CC150" s="769">
        <f>CF!CC14</f>
      </c>
      <c r="CD150" s="691">
        <f>CF!CD14</f>
      </c>
      <c r="CE150" s="768">
        <f>CF!CE14</f>
      </c>
      <c r="CF150" s="769">
        <f>CF!CF14</f>
      </c>
      <c r="CG150" s="769">
        <f>CF!CG14</f>
      </c>
      <c r="CH150" s="769">
        <f>CF!CH14</f>
      </c>
      <c r="CI150" s="691">
        <f>CF!CI14</f>
      </c>
      <c r="CJ150" s="768">
        <f>CF!CJ14</f>
      </c>
      <c r="CK150" s="769">
        <f>CF!CK14</f>
      </c>
      <c r="CL150" s="769">
        <f>CF!CL14</f>
      </c>
      <c r="CM150" s="769">
        <f>CF!CM14</f>
      </c>
      <c r="CN150" s="691">
        <f>CF!CN14</f>
      </c>
      <c r="CO150" s="768">
        <f>CF!CO14</f>
      </c>
      <c r="CP150" s="769">
        <f>CF!CP14</f>
      </c>
      <c r="CQ150" s="769">
        <f>CF!CQ14</f>
      </c>
      <c r="CR150" s="769">
        <f>CF!CR14</f>
      </c>
      <c r="CS150" s="691">
        <f>CF!CS14</f>
      </c>
      <c r="CT150" s="768">
        <f>CF!CT14</f>
      </c>
      <c r="CU150" s="769">
        <f>CF!CU14</f>
      </c>
      <c r="CV150" s="769">
        <f>CF!CV14</f>
      </c>
      <c r="CW150" s="769">
        <f>CF!CW14</f>
      </c>
      <c r="CX150" s="691">
        <f>CF!CX14</f>
      </c>
      <c r="CY150" s="768">
        <f>CF!CY14</f>
      </c>
      <c r="CZ150" s="769">
        <f>CF!CZ14</f>
      </c>
      <c r="DA150" s="769">
        <f>CF!DA14</f>
      </c>
      <c r="DB150" s="769">
        <f>CF!DB14</f>
      </c>
      <c r="DC150" s="691">
        <f>CF!DC14</f>
      </c>
      <c r="DD150" s="768">
        <f>CF!DD14</f>
      </c>
      <c r="DE150" s="769">
        <f>CF!DE14</f>
      </c>
      <c r="DF150" s="769">
        <f>CF!DF14</f>
      </c>
      <c r="DG150" s="769">
        <f>CF!DG14</f>
      </c>
      <c r="DH150" s="691">
        <f>CF!DH14</f>
      </c>
      <c r="DI150" s="768">
        <f>CF!DI14</f>
      </c>
      <c r="DJ150" s="769">
        <f>CF!DJ14</f>
      </c>
      <c r="DK150" s="769">
        <f>CF!DK14</f>
      </c>
      <c r="DL150" s="769">
        <f>CF!DL14</f>
      </c>
      <c r="DM150" s="691">
        <f>CF!DM14</f>
      </c>
      <c r="DN150" s="768">
        <f>CF!DN14</f>
      </c>
      <c r="DO150" s="769">
        <f>CF!DO14</f>
      </c>
      <c r="DP150" s="769">
        <f>CF!DP14</f>
      </c>
      <c r="DQ150" s="769">
        <f>CF!DQ14</f>
      </c>
      <c r="DR150" s="691">
        <f>CF!DR14</f>
      </c>
      <c r="DS150" s="768">
        <f>CF!DS14</f>
      </c>
      <c r="DT150" s="769">
        <f>CF!DT14</f>
      </c>
      <c r="DU150" s="769">
        <f>CF!DU14</f>
      </c>
      <c r="DV150" s="769">
        <f>CF!DV14</f>
      </c>
      <c r="DW150" s="691">
        <f>CF!DW14</f>
      </c>
      <c r="DX150" s="768">
        <f>CF!DX14</f>
      </c>
      <c r="DY150" s="769">
        <f>CF!DY14</f>
      </c>
      <c r="DZ150" s="769">
        <f>CF!DZ14</f>
      </c>
      <c r="EA150" s="769">
        <f>CF!EA14</f>
      </c>
      <c r="EB150" s="691">
        <f>CF!EB14</f>
      </c>
      <c r="EC150" s="768">
        <f>CF!EC14</f>
      </c>
      <c r="ED150" s="769">
        <f>CF!ED14</f>
      </c>
      <c r="EE150" s="769">
        <f>CF!EE14</f>
      </c>
      <c r="EF150" s="769">
        <f>CF!EF14</f>
      </c>
      <c r="EG150" s="691">
        <f>CF!EG14</f>
      </c>
      <c r="EH150" s="768">
        <f>CF!EH14</f>
      </c>
      <c r="EI150" s="769">
        <f>CF!EI14</f>
      </c>
      <c r="EJ150" s="769">
        <f>CF!EJ14</f>
      </c>
      <c r="EK150" s="769">
        <f>CF!EK14</f>
      </c>
      <c r="EL150" s="691">
        <f>CF!EL14</f>
      </c>
      <c r="EM150" s="768">
        <f>CF!EM14</f>
      </c>
      <c r="EN150" s="769">
        <f>CF!EN14</f>
      </c>
      <c r="EO150" s="769">
        <f>CF!EO14</f>
      </c>
      <c r="EP150" s="769">
        <f>CF!EP14</f>
      </c>
      <c r="EQ150" s="691">
        <f>CF!EQ14</f>
      </c>
      <c r="ER150" s="768">
        <f>CF!ER14</f>
      </c>
      <c r="ES150" s="769">
        <f>CF!ES14</f>
      </c>
      <c r="ET150" s="769">
        <f>CF!ET14</f>
      </c>
      <c r="EU150" s="769">
        <f>CF!EU14</f>
      </c>
      <c r="EV150" s="691">
        <f>CF!EV14</f>
      </c>
      <c r="EW150" s="768">
        <f>CF!EW14</f>
      </c>
      <c r="EX150" s="769">
        <f>CF!EX14</f>
      </c>
      <c r="EY150" s="769">
        <f>CF!EY14</f>
      </c>
      <c r="EZ150" s="769">
        <f>CF!EZ14</f>
      </c>
      <c r="FA150" s="691">
        <f>CF!FA14</f>
      </c>
      <c r="FB150" s="767">
        <f>FB56*FB151</f>
      </c>
      <c r="FC150" s="767">
        <f>FC56*FC151</f>
      </c>
      <c r="FD150" s="767">
        <f>FD56*FD151</f>
      </c>
      <c r="FE150" s="767">
        <f>FE56*FE151</f>
      </c>
      <c r="FF150" s="373">
        <f>SUM(FB150:FE150)</f>
      </c>
      <c r="FG150" s="767">
        <f>FG56*FG151</f>
      </c>
      <c r="FH150" s="767">
        <f>FH56*FH151</f>
      </c>
      <c r="FI150" s="767">
        <f>FI56*FI151</f>
      </c>
      <c r="FJ150" s="767">
        <f>FJ56*FJ151</f>
      </c>
      <c r="FK150" s="373">
        <f>SUM(FG150:FJ150)</f>
      </c>
      <c r="FL150" s="767">
        <f>FL56*FL151</f>
      </c>
      <c r="FM150" s="767">
        <f>FM56*FM151</f>
      </c>
      <c r="FN150" s="767">
        <f>FN56*FN151</f>
      </c>
      <c r="FO150" s="767">
        <f>FO56*FO151</f>
      </c>
      <c r="FP150" s="373">
        <f>SUM(FL150:FO150)</f>
      </c>
      <c r="FQ150" s="767">
        <f>FQ56*FQ151</f>
      </c>
      <c r="FR150" s="767">
        <f>FR56*FR151</f>
      </c>
      <c r="FS150" s="767">
        <f>FS56*FS151</f>
      </c>
      <c r="FT150" s="767">
        <f>FT56*FT151</f>
      </c>
      <c r="FU150" s="373">
        <f>SUM(FQ150:FT150)</f>
      </c>
      <c r="FV150" s="767">
        <f>FV56*FV151</f>
      </c>
      <c r="FW150" s="767">
        <f>FW56*FW151</f>
      </c>
      <c r="FX150" s="767">
        <f>FX56*FX151</f>
      </c>
      <c r="FY150" s="767">
        <f>FY56*FY151</f>
      </c>
      <c r="FZ150" s="373">
        <f>SUM(FV150:FY150)</f>
      </c>
      <c r="GA150" s="767">
        <f>GA56*GA151</f>
      </c>
      <c r="GB150" s="767">
        <f>GB56*GB151</f>
      </c>
      <c r="GC150" s="767">
        <f>GC56*GC151</f>
      </c>
      <c r="GD150" s="767">
        <f>GD56*GD151</f>
      </c>
      <c r="GE150" s="373">
        <f>SUM(GA150:GD150)</f>
      </c>
      <c r="GF150" s="767">
        <f>GF56*GF151</f>
      </c>
      <c r="GG150" s="767">
        <f>GG56*GG151</f>
      </c>
      <c r="GH150" s="767">
        <f>GH56*GH151</f>
      </c>
      <c r="GI150" s="767">
        <f>GI56*GI151</f>
      </c>
      <c r="GJ150" s="373">
        <f>SUM(GF150:GI150)</f>
      </c>
    </row>
    <row r="151" spans="1:192" s="1277" customFormat="1" ht="12.75" hidden="1" customHeight="1" outlineLevel="1">
      <c r="A151" s="1272"/>
      <c r="B151" s="704" t="s">
        <v>308</v>
      </c>
      <c r="C151" s="1273">
        <f t="shared" ref="C151:AH151" si="1153">IFERROR(C150/C56,"")</f>
      </c>
      <c r="D151" s="1274">
        <f t="shared" si="1153"/>
      </c>
      <c r="E151" s="1274">
        <f t="shared" si="1153"/>
      </c>
      <c r="F151" s="1274">
        <f t="shared" si="1153"/>
      </c>
      <c r="G151" s="1275">
        <f t="shared" si="1153"/>
      </c>
      <c r="H151" s="1273">
        <f t="shared" si="1153"/>
      </c>
      <c r="I151" s="1274">
        <f t="shared" si="1153"/>
      </c>
      <c r="J151" s="1274">
        <f t="shared" si="1153"/>
      </c>
      <c r="K151" s="1274">
        <f t="shared" si="1153"/>
      </c>
      <c r="L151" s="1275">
        <f t="shared" si="1153"/>
      </c>
      <c r="M151" s="1273">
        <f t="shared" si="1153"/>
      </c>
      <c r="N151" s="1274">
        <f t="shared" si="1153"/>
      </c>
      <c r="O151" s="1274">
        <f t="shared" si="1153"/>
      </c>
      <c r="P151" s="1274">
        <f t="shared" si="1153"/>
      </c>
      <c r="Q151" s="1275">
        <f t="shared" si="1153"/>
      </c>
      <c r="R151" s="1273">
        <f t="shared" si="1153"/>
      </c>
      <c r="S151" s="1274">
        <f t="shared" si="1153"/>
      </c>
      <c r="T151" s="1274">
        <f t="shared" si="1153"/>
      </c>
      <c r="U151" s="1274">
        <f t="shared" si="1153"/>
      </c>
      <c r="V151" s="1275">
        <f t="shared" si="1153"/>
      </c>
      <c r="W151" s="1273">
        <f t="shared" si="1153"/>
      </c>
      <c r="X151" s="1274">
        <f t="shared" si="1153"/>
      </c>
      <c r="Y151" s="1274">
        <f t="shared" si="1153"/>
      </c>
      <c r="Z151" s="1274">
        <f t="shared" si="1153"/>
      </c>
      <c r="AA151" s="1275">
        <f t="shared" si="1153"/>
      </c>
      <c r="AB151" s="1273">
        <f t="shared" si="1153"/>
      </c>
      <c r="AC151" s="1274">
        <f t="shared" si="1153"/>
      </c>
      <c r="AD151" s="1274">
        <f t="shared" si="1153"/>
      </c>
      <c r="AE151" s="1274">
        <f t="shared" si="1153"/>
      </c>
      <c r="AF151" s="1275">
        <f t="shared" si="1153"/>
      </c>
      <c r="AG151" s="1273">
        <f t="shared" si="1153"/>
      </c>
      <c r="AH151" s="1274">
        <f t="shared" si="1153"/>
      </c>
      <c r="AI151" s="1274">
        <f t="shared" ref="AI151:BN151" si="1154">IFERROR(AI150/AI56,"")</f>
      </c>
      <c r="AJ151" s="1274">
        <f t="shared" si="1154"/>
      </c>
      <c r="AK151" s="1275">
        <f t="shared" si="1154"/>
      </c>
      <c r="AL151" s="1273">
        <f t="shared" si="1154"/>
      </c>
      <c r="AM151" s="1274">
        <f t="shared" si="1154"/>
      </c>
      <c r="AN151" s="1274">
        <f t="shared" si="1154"/>
      </c>
      <c r="AO151" s="1274">
        <f t="shared" si="1154"/>
      </c>
      <c r="AP151" s="1275">
        <f t="shared" si="1154"/>
      </c>
      <c r="AQ151" s="1273">
        <f t="shared" si="1154"/>
      </c>
      <c r="AR151" s="1274">
        <f t="shared" si="1154"/>
      </c>
      <c r="AS151" s="1274">
        <f t="shared" si="1154"/>
      </c>
      <c r="AT151" s="1274">
        <f t="shared" si="1154"/>
      </c>
      <c r="AU151" s="1275">
        <f t="shared" si="1154"/>
      </c>
      <c r="AV151" s="1273">
        <f t="shared" si="1154"/>
      </c>
      <c r="AW151" s="1274">
        <f t="shared" si="1154"/>
      </c>
      <c r="AX151" s="1274">
        <f t="shared" si="1154"/>
      </c>
      <c r="AY151" s="1274">
        <f t="shared" si="1154"/>
      </c>
      <c r="AZ151" s="1275">
        <f t="shared" si="1154"/>
      </c>
      <c r="BA151" s="1273">
        <f t="shared" si="1154"/>
      </c>
      <c r="BB151" s="1274">
        <f t="shared" si="1154"/>
      </c>
      <c r="BC151" s="1274">
        <f t="shared" si="1154"/>
      </c>
      <c r="BD151" s="1274">
        <f t="shared" si="1154"/>
      </c>
      <c r="BE151" s="1275">
        <f t="shared" si="1154"/>
      </c>
      <c r="BF151" s="1273">
        <f t="shared" si="1154"/>
      </c>
      <c r="BG151" s="1274">
        <f t="shared" si="1154"/>
      </c>
      <c r="BH151" s="1274">
        <f t="shared" si="1154"/>
      </c>
      <c r="BI151" s="1274">
        <f t="shared" si="1154"/>
      </c>
      <c r="BJ151" s="1275">
        <f t="shared" si="1154"/>
      </c>
      <c r="BK151" s="1273">
        <f t="shared" si="1154"/>
      </c>
      <c r="BL151" s="1274">
        <f t="shared" si="1154"/>
      </c>
      <c r="BM151" s="1274">
        <f t="shared" si="1154"/>
      </c>
      <c r="BN151" s="1274">
        <f t="shared" si="1154"/>
      </c>
      <c r="BO151" s="1275">
        <f t="shared" ref="BO151:CT151" si="1155">IFERROR(BO150/BO56,"")</f>
      </c>
      <c r="BP151" s="1273">
        <f t="shared" si="1155"/>
      </c>
      <c r="BQ151" s="1274">
        <f t="shared" si="1155"/>
      </c>
      <c r="BR151" s="1274">
        <f t="shared" si="1155"/>
      </c>
      <c r="BS151" s="1274">
        <f t="shared" si="1155"/>
      </c>
      <c r="BT151" s="1275">
        <f t="shared" si="1155"/>
      </c>
      <c r="BU151" s="1273">
        <f t="shared" si="1155"/>
      </c>
      <c r="BV151" s="1274">
        <f t="shared" si="1155"/>
      </c>
      <c r="BW151" s="1274">
        <f t="shared" si="1155"/>
      </c>
      <c r="BX151" s="1274">
        <f t="shared" si="1155"/>
      </c>
      <c r="BY151" s="1275">
        <f t="shared" si="1155"/>
      </c>
      <c r="BZ151" s="1273">
        <f t="shared" si="1155"/>
      </c>
      <c r="CA151" s="1274">
        <f t="shared" si="1155"/>
      </c>
      <c r="CB151" s="1274">
        <f t="shared" si="1155"/>
      </c>
      <c r="CC151" s="1274">
        <f t="shared" si="1155"/>
      </c>
      <c r="CD151" s="1275">
        <f t="shared" si="1155"/>
      </c>
      <c r="CE151" s="1273">
        <f t="shared" si="1155"/>
      </c>
      <c r="CF151" s="1274">
        <f t="shared" si="1155"/>
      </c>
      <c r="CG151" s="1274">
        <f t="shared" si="1155"/>
      </c>
      <c r="CH151" s="1274">
        <f t="shared" si="1155"/>
      </c>
      <c r="CI151" s="1275">
        <f t="shared" si="1155"/>
      </c>
      <c r="CJ151" s="1273">
        <f t="shared" si="1155"/>
      </c>
      <c r="CK151" s="1274">
        <f t="shared" si="1155"/>
      </c>
      <c r="CL151" s="1274">
        <f t="shared" si="1155"/>
      </c>
      <c r="CM151" s="1274">
        <f t="shared" si="1155"/>
      </c>
      <c r="CN151" s="1275">
        <f t="shared" si="1155"/>
      </c>
      <c r="CO151" s="1273">
        <f t="shared" si="1155"/>
      </c>
      <c r="CP151" s="1274">
        <f t="shared" si="1155"/>
      </c>
      <c r="CQ151" s="1274">
        <f t="shared" si="1155"/>
      </c>
      <c r="CR151" s="1274">
        <f t="shared" si="1155"/>
      </c>
      <c r="CS151" s="1275">
        <f t="shared" si="1155"/>
      </c>
      <c r="CT151" s="1273">
        <f t="shared" si="1155"/>
      </c>
      <c r="CU151" s="1274">
        <f t="shared" ref="CU151:DZ151" si="1156">IFERROR(CU150/CU56,"")</f>
      </c>
      <c r="CV151" s="1274">
        <f t="shared" si="1156"/>
      </c>
      <c r="CW151" s="1274">
        <f t="shared" si="1156"/>
      </c>
      <c r="CX151" s="1275">
        <f t="shared" si="1156"/>
      </c>
      <c r="CY151" s="1273">
        <f t="shared" si="1156"/>
      </c>
      <c r="CZ151" s="1274">
        <f t="shared" si="1156"/>
      </c>
      <c r="DA151" s="1274">
        <f t="shared" si="1156"/>
      </c>
      <c r="DB151" s="1274">
        <f t="shared" si="1156"/>
      </c>
      <c r="DC151" s="1275">
        <f t="shared" si="1156"/>
      </c>
      <c r="DD151" s="1273">
        <f t="shared" si="1156"/>
      </c>
      <c r="DE151" s="1274">
        <f t="shared" si="1156"/>
      </c>
      <c r="DF151" s="1274">
        <f t="shared" si="1156"/>
      </c>
      <c r="DG151" s="1274">
        <f t="shared" si="1156"/>
      </c>
      <c r="DH151" s="1275">
        <f t="shared" si="1156"/>
      </c>
      <c r="DI151" s="1273">
        <f t="shared" si="1156"/>
      </c>
      <c r="DJ151" s="1274">
        <f t="shared" si="1156"/>
      </c>
      <c r="DK151" s="1274">
        <f t="shared" si="1156"/>
      </c>
      <c r="DL151" s="1274">
        <f t="shared" si="1156"/>
      </c>
      <c r="DM151" s="1275">
        <f t="shared" si="1156"/>
      </c>
      <c r="DN151" s="1273">
        <f t="shared" si="1156"/>
      </c>
      <c r="DO151" s="1274">
        <f t="shared" si="1156"/>
      </c>
      <c r="DP151" s="1274">
        <f t="shared" si="1156"/>
      </c>
      <c r="DQ151" s="1274">
        <f t="shared" si="1156"/>
      </c>
      <c r="DR151" s="1275">
        <f t="shared" si="1156"/>
      </c>
      <c r="DS151" s="1273">
        <f t="shared" si="1156"/>
      </c>
      <c r="DT151" s="1274">
        <f t="shared" si="1156"/>
      </c>
      <c r="DU151" s="1274">
        <f t="shared" si="1156"/>
      </c>
      <c r="DV151" s="1274">
        <f t="shared" si="1156"/>
      </c>
      <c r="DW151" s="1275">
        <f t="shared" si="1156"/>
      </c>
      <c r="DX151" s="1273">
        <f t="shared" si="1156"/>
      </c>
      <c r="DY151" s="1274">
        <f t="shared" si="1156"/>
      </c>
      <c r="DZ151" s="1274">
        <f t="shared" si="1156"/>
      </c>
      <c r="EA151" s="1274">
        <f t="shared" ref="EA151:FA151" si="1157">IFERROR(EA150/EA56,"")</f>
      </c>
      <c r="EB151" s="1275">
        <f t="shared" si="1157"/>
      </c>
      <c r="EC151" s="1273">
        <f t="shared" si="1157"/>
      </c>
      <c r="ED151" s="1274">
        <f t="shared" si="1157"/>
      </c>
      <c r="EE151" s="1274">
        <f t="shared" si="1157"/>
      </c>
      <c r="EF151" s="1274">
        <f t="shared" si="1157"/>
      </c>
      <c r="EG151" s="1275">
        <f t="shared" si="1157"/>
      </c>
      <c r="EH151" s="1273">
        <f t="shared" si="1157"/>
      </c>
      <c r="EI151" s="1274">
        <f t="shared" si="1157"/>
      </c>
      <c r="EJ151" s="1274">
        <f t="shared" si="1157"/>
      </c>
      <c r="EK151" s="1274">
        <f t="shared" si="1157"/>
      </c>
      <c r="EL151" s="1275">
        <f t="shared" si="1157"/>
      </c>
      <c r="EM151" s="1273">
        <f t="shared" si="1157"/>
      </c>
      <c r="EN151" s="1274">
        <f t="shared" si="1157"/>
      </c>
      <c r="EO151" s="1274">
        <f t="shared" si="1157"/>
      </c>
      <c r="EP151" s="1274">
        <f t="shared" si="1157"/>
      </c>
      <c r="EQ151" s="1275">
        <f t="shared" si="1157"/>
      </c>
      <c r="ER151" s="1273">
        <f t="shared" si="1157"/>
      </c>
      <c r="ES151" s="1274">
        <f t="shared" si="1157"/>
      </c>
      <c r="ET151" s="1274">
        <f t="shared" si="1157"/>
      </c>
      <c r="EU151" s="1274">
        <f t="shared" si="1157"/>
      </c>
      <c r="EV151" s="1275">
        <f t="shared" si="1157"/>
      </c>
      <c r="EW151" s="1273">
        <f t="shared" si="1157"/>
      </c>
      <c r="EX151" s="1274">
        <f t="shared" si="1157"/>
      </c>
      <c r="EY151" s="1274">
        <f t="shared" si="1157"/>
      </c>
      <c r="EZ151" s="1274">
        <f t="shared" si="1157"/>
      </c>
      <c r="FA151" s="1275">
        <f t="shared" si="1157"/>
      </c>
      <c r="FB151" s="1276">
        <v>4.4999999999999998E-2</v>
      </c>
      <c r="FC151" s="1276">
        <v>4.1000000000000002E-2</v>
      </c>
      <c r="FD151" s="1276">
        <f>FC151</f>
      </c>
      <c r="FE151" s="1276">
        <f>FD151</f>
      </c>
      <c r="FF151" s="1275">
        <f>IFERROR(FF150/FF56,"")</f>
      </c>
      <c r="FG151" s="1276">
        <f>FE151-0.25%</f>
      </c>
      <c r="FH151" s="1276">
        <f>FG151</f>
      </c>
      <c r="FI151" s="1276">
        <f>FH151</f>
      </c>
      <c r="FJ151" s="1276">
        <f>FI151</f>
      </c>
      <c r="FK151" s="1275">
        <f>IFERROR(FK150/FK56,"")</f>
      </c>
      <c r="FL151" s="1276">
        <f>FG151-0.25%</f>
      </c>
      <c r="FM151" s="1276">
        <f>FL151</f>
      </c>
      <c r="FN151" s="1276">
        <f>FM151</f>
      </c>
      <c r="FO151" s="1276">
        <f>FN151</f>
      </c>
      <c r="FP151" s="1275">
        <f>IFERROR(FP150/FP56,"")</f>
      </c>
      <c r="FQ151" s="1276">
        <f>FL151-0.25%</f>
      </c>
      <c r="FR151" s="1276">
        <f>FQ151</f>
      </c>
      <c r="FS151" s="1276">
        <f>FR151</f>
      </c>
      <c r="FT151" s="1276">
        <f>FS151</f>
      </c>
      <c r="FU151" s="1275">
        <f>IFERROR(FU150/FU56,"")</f>
      </c>
      <c r="FV151" s="1276">
        <f>FQ151-0.25%</f>
      </c>
      <c r="FW151" s="1276">
        <f>FV151</f>
      </c>
      <c r="FX151" s="1276">
        <f>FW151</f>
      </c>
      <c r="FY151" s="1276">
        <f>FX151</f>
      </c>
      <c r="FZ151" s="1275">
        <f>IFERROR(FZ150/FZ56,"")</f>
      </c>
      <c r="GA151" s="1276">
        <f>FV151-0.25%</f>
      </c>
      <c r="GB151" s="1276">
        <f>GA151</f>
      </c>
      <c r="GC151" s="1276">
        <f>GB151</f>
      </c>
      <c r="GD151" s="1276">
        <f>GC151</f>
      </c>
      <c r="GE151" s="1275">
        <f>IFERROR(GE150/GE56,"")</f>
      </c>
      <c r="GF151" s="1276">
        <f>GA151-0.25%</f>
      </c>
      <c r="GG151" s="1276">
        <f>GF151</f>
      </c>
      <c r="GH151" s="1276">
        <f>GG151</f>
      </c>
      <c r="GI151" s="1276">
        <f>GH151</f>
      </c>
      <c r="GJ151" s="1275">
        <f>IFERROR(GJ150/GJ56,"")</f>
      </c>
    </row>
    <row r="152" spans="1:192" s="335" customFormat="1" ht="12.75" hidden="1" customHeight="1" outlineLevel="1">
      <c r="B152" s="705" t="s">
        <v>34</v>
      </c>
      <c r="C152" s="770"/>
      <c r="D152" s="771"/>
      <c r="E152" s="771"/>
      <c r="F152" s="771"/>
      <c r="G152" s="772"/>
      <c r="H152" s="770" t="str">
        <f t="shared" ref="H152:AM152" si="1158">IFERROR(H150/C150-1,"")</f>
      </c>
      <c r="I152" s="771" t="str">
        <f t="shared" si="1158"/>
      </c>
      <c r="J152" s="771" t="str">
        <f t="shared" si="1158"/>
      </c>
      <c r="K152" s="771" t="str">
        <f t="shared" si="1158"/>
      </c>
      <c r="L152" s="772" t="str">
        <f t="shared" si="1158"/>
      </c>
      <c r="M152" s="770" t="str">
        <f t="shared" si="1158"/>
      </c>
      <c r="N152" s="771" t="str">
        <f t="shared" si="1158"/>
      </c>
      <c r="O152" s="771" t="str">
        <f t="shared" si="1158"/>
      </c>
      <c r="P152" s="771" t="str">
        <f t="shared" si="1158"/>
      </c>
      <c r="Q152" s="772" t="str">
        <f t="shared" si="1158"/>
      </c>
      <c r="R152" s="770" t="str">
        <f t="shared" si="1158"/>
      </c>
      <c r="S152" s="771" t="str">
        <f t="shared" si="1158"/>
      </c>
      <c r="T152" s="771" t="str">
        <f t="shared" si="1158"/>
      </c>
      <c r="U152" s="771" t="str">
        <f t="shared" si="1158"/>
      </c>
      <c r="V152" s="772" t="str">
        <f t="shared" si="1158"/>
      </c>
      <c r="W152" s="770" t="str">
        <f t="shared" si="1158"/>
      </c>
      <c r="X152" s="771" t="str">
        <f t="shared" si="1158"/>
      </c>
      <c r="Y152" s="771" t="str">
        <f t="shared" si="1158"/>
      </c>
      <c r="Z152" s="771" t="str">
        <f t="shared" si="1158"/>
      </c>
      <c r="AA152" s="772" t="str">
        <f t="shared" si="1158"/>
      </c>
      <c r="AB152" s="770">
        <f t="shared" si="1158"/>
      </c>
      <c r="AC152" s="771" t="str">
        <f t="shared" si="1158"/>
      </c>
      <c r="AD152" s="771" t="str">
        <f t="shared" si="1158"/>
      </c>
      <c r="AE152" s="771" t="str">
        <f t="shared" si="1158"/>
      </c>
      <c r="AF152" s="772" t="str">
        <f t="shared" si="1158"/>
      </c>
      <c r="AG152" s="770">
        <f t="shared" si="1158"/>
      </c>
      <c r="AH152" s="771" t="str">
        <f t="shared" si="1158"/>
      </c>
      <c r="AI152" s="771" t="str">
        <f t="shared" si="1158"/>
      </c>
      <c r="AJ152" s="771" t="str">
        <f t="shared" si="1158"/>
      </c>
      <c r="AK152" s="772" t="str">
        <f t="shared" si="1158"/>
      </c>
      <c r="AL152" s="770" t="str">
        <f t="shared" si="1158"/>
      </c>
      <c r="AM152" s="771" t="str">
        <f t="shared" si="1158"/>
      </c>
      <c r="AN152" s="771" t="str">
        <f t="shared" ref="AN152:BS152" si="1159">IFERROR(AN150/AI150-1,"")</f>
      </c>
      <c r="AO152" s="771" t="str">
        <f t="shared" si="1159"/>
      </c>
      <c r="AP152" s="772" t="str">
        <f t="shared" si="1159"/>
      </c>
      <c r="AQ152" s="770" t="str">
        <f t="shared" si="1159"/>
      </c>
      <c r="AR152" s="771" t="str">
        <f t="shared" si="1159"/>
      </c>
      <c r="AS152" s="771" t="str">
        <f t="shared" si="1159"/>
      </c>
      <c r="AT152" s="771" t="str">
        <f t="shared" si="1159"/>
      </c>
      <c r="AU152" s="772" t="str">
        <f t="shared" si="1159"/>
      </c>
      <c r="AV152" s="770">
        <f t="shared" si="1159"/>
      </c>
      <c r="AW152" s="771">
        <f t="shared" si="1159"/>
      </c>
      <c r="AX152" s="771">
        <f t="shared" si="1159"/>
      </c>
      <c r="AY152" s="771">
        <f t="shared" si="1159"/>
      </c>
      <c r="AZ152" s="772">
        <f t="shared" si="1159"/>
      </c>
      <c r="BA152" s="770">
        <f t="shared" si="1159"/>
      </c>
      <c r="BB152" s="771">
        <f t="shared" si="1159"/>
      </c>
      <c r="BC152" s="771">
        <f t="shared" si="1159"/>
      </c>
      <c r="BD152" s="771">
        <f t="shared" si="1159"/>
      </c>
      <c r="BE152" s="772">
        <f t="shared" si="1159"/>
      </c>
      <c r="BF152" s="770">
        <f t="shared" si="1159"/>
      </c>
      <c r="BG152" s="771">
        <f t="shared" si="1159"/>
      </c>
      <c r="BH152" s="771">
        <f t="shared" si="1159"/>
      </c>
      <c r="BI152" s="771">
        <f t="shared" si="1159"/>
      </c>
      <c r="BJ152" s="772">
        <f t="shared" si="1159"/>
      </c>
      <c r="BK152" s="770">
        <f t="shared" si="1159"/>
      </c>
      <c r="BL152" s="771">
        <f t="shared" si="1159"/>
      </c>
      <c r="BM152" s="771">
        <f t="shared" si="1159"/>
      </c>
      <c r="BN152" s="771">
        <f t="shared" si="1159"/>
      </c>
      <c r="BO152" s="772">
        <f t="shared" si="1159"/>
      </c>
      <c r="BP152" s="770">
        <f t="shared" si="1159"/>
      </c>
      <c r="BQ152" s="771">
        <f t="shared" si="1159"/>
      </c>
      <c r="BR152" s="771">
        <f t="shared" si="1159"/>
      </c>
      <c r="BS152" s="771">
        <f t="shared" si="1159"/>
      </c>
      <c r="BT152" s="772">
        <f t="shared" ref="BT152:CY152" si="1160">IFERROR(BT150/BO150-1,"")</f>
      </c>
      <c r="BU152" s="770">
        <f t="shared" si="1160"/>
      </c>
      <c r="BV152" s="771">
        <f t="shared" si="1160"/>
      </c>
      <c r="BW152" s="771">
        <f t="shared" si="1160"/>
      </c>
      <c r="BX152" s="771">
        <f t="shared" si="1160"/>
      </c>
      <c r="BY152" s="772">
        <f t="shared" si="1160"/>
      </c>
      <c r="BZ152" s="770">
        <f t="shared" si="1160"/>
      </c>
      <c r="CA152" s="771">
        <f t="shared" si="1160"/>
      </c>
      <c r="CB152" s="771">
        <f t="shared" si="1160"/>
      </c>
      <c r="CC152" s="771">
        <f t="shared" si="1160"/>
      </c>
      <c r="CD152" s="772">
        <f t="shared" si="1160"/>
      </c>
      <c r="CE152" s="770">
        <f t="shared" si="1160"/>
      </c>
      <c r="CF152" s="771">
        <f t="shared" si="1160"/>
      </c>
      <c r="CG152" s="771">
        <f t="shared" si="1160"/>
      </c>
      <c r="CH152" s="771">
        <f t="shared" si="1160"/>
      </c>
      <c r="CI152" s="772">
        <f t="shared" si="1160"/>
      </c>
      <c r="CJ152" s="770">
        <f t="shared" si="1160"/>
      </c>
      <c r="CK152" s="771">
        <f t="shared" si="1160"/>
      </c>
      <c r="CL152" s="771">
        <f t="shared" si="1160"/>
      </c>
      <c r="CM152" s="771">
        <f t="shared" si="1160"/>
      </c>
      <c r="CN152" s="772">
        <f t="shared" si="1160"/>
      </c>
      <c r="CO152" s="770">
        <f t="shared" si="1160"/>
      </c>
      <c r="CP152" s="771">
        <f t="shared" si="1160"/>
      </c>
      <c r="CQ152" s="771">
        <f t="shared" si="1160"/>
      </c>
      <c r="CR152" s="771">
        <f t="shared" si="1160"/>
      </c>
      <c r="CS152" s="772">
        <f t="shared" si="1160"/>
      </c>
      <c r="CT152" s="770">
        <f t="shared" si="1160"/>
      </c>
      <c r="CU152" s="771">
        <f t="shared" si="1160"/>
      </c>
      <c r="CV152" s="771">
        <f t="shared" si="1160"/>
      </c>
      <c r="CW152" s="771">
        <f t="shared" si="1160"/>
      </c>
      <c r="CX152" s="772">
        <f t="shared" si="1160"/>
      </c>
      <c r="CY152" s="770">
        <f t="shared" si="1160"/>
      </c>
      <c r="CZ152" s="771">
        <f t="shared" ref="CZ152:EE152" si="1161">IFERROR(CZ150/CU150-1,"")</f>
      </c>
      <c r="DA152" s="771">
        <f t="shared" si="1161"/>
      </c>
      <c r="DB152" s="771">
        <f t="shared" si="1161"/>
      </c>
      <c r="DC152" s="772">
        <f t="shared" si="1161"/>
      </c>
      <c r="DD152" s="770">
        <f t="shared" si="1161"/>
      </c>
      <c r="DE152" s="771">
        <f t="shared" si="1161"/>
      </c>
      <c r="DF152" s="771">
        <f t="shared" si="1161"/>
      </c>
      <c r="DG152" s="771">
        <f t="shared" si="1161"/>
      </c>
      <c r="DH152" s="772">
        <f t="shared" si="1161"/>
      </c>
      <c r="DI152" s="770">
        <f t="shared" si="1161"/>
      </c>
      <c r="DJ152" s="771">
        <f t="shared" si="1161"/>
      </c>
      <c r="DK152" s="771">
        <f t="shared" si="1161"/>
      </c>
      <c r="DL152" s="771">
        <f t="shared" si="1161"/>
      </c>
      <c r="DM152" s="772">
        <f t="shared" si="1161"/>
      </c>
      <c r="DN152" s="770">
        <f t="shared" si="1161"/>
      </c>
      <c r="DO152" s="771">
        <f t="shared" si="1161"/>
      </c>
      <c r="DP152" s="771">
        <f t="shared" si="1161"/>
      </c>
      <c r="DQ152" s="771">
        <f t="shared" si="1161"/>
      </c>
      <c r="DR152" s="772">
        <f t="shared" si="1161"/>
      </c>
      <c r="DS152" s="770">
        <f t="shared" si="1161"/>
      </c>
      <c r="DT152" s="771">
        <f t="shared" si="1161"/>
      </c>
      <c r="DU152" s="771">
        <f t="shared" si="1161"/>
      </c>
      <c r="DV152" s="771">
        <f t="shared" si="1161"/>
      </c>
      <c r="DW152" s="772">
        <f t="shared" si="1161"/>
      </c>
      <c r="DX152" s="770">
        <f t="shared" si="1161"/>
      </c>
      <c r="DY152" s="771">
        <f t="shared" si="1161"/>
      </c>
      <c r="DZ152" s="771">
        <f t="shared" si="1161"/>
      </c>
      <c r="EA152" s="771">
        <f t="shared" si="1161"/>
      </c>
      <c r="EB152" s="772">
        <f t="shared" si="1161"/>
      </c>
      <c r="EC152" s="770">
        <f t="shared" si="1161"/>
      </c>
      <c r="ED152" s="771">
        <f t="shared" si="1161"/>
      </c>
      <c r="EE152" s="771">
        <f t="shared" si="1161"/>
      </c>
      <c r="EF152" s="771">
        <f t="shared" ref="EF152:FK152" si="1162">IFERROR(EF150/EA150-1,"")</f>
      </c>
      <c r="EG152" s="772">
        <f t="shared" si="1162"/>
      </c>
      <c r="EH152" s="770">
        <f t="shared" si="1162"/>
      </c>
      <c r="EI152" s="771">
        <f t="shared" si="1162"/>
      </c>
      <c r="EJ152" s="771">
        <f t="shared" si="1162"/>
      </c>
      <c r="EK152" s="771">
        <f t="shared" si="1162"/>
      </c>
      <c r="EL152" s="772">
        <f t="shared" si="1162"/>
      </c>
      <c r="EM152" s="770">
        <f t="shared" si="1162"/>
      </c>
      <c r="EN152" s="771">
        <f t="shared" si="1162"/>
      </c>
      <c r="EO152" s="771">
        <f t="shared" si="1162"/>
      </c>
      <c r="EP152" s="771">
        <f t="shared" si="1162"/>
      </c>
      <c r="EQ152" s="772">
        <f t="shared" si="1162"/>
      </c>
      <c r="ER152" s="770">
        <f t="shared" si="1162"/>
      </c>
      <c r="ES152" s="771">
        <f t="shared" si="1162"/>
      </c>
      <c r="ET152" s="771">
        <f t="shared" si="1162"/>
      </c>
      <c r="EU152" s="771">
        <f>IFERROR(EU150/EP150-1,"")</f>
      </c>
      <c r="EV152" s="772">
        <f>IFERROR(EV150/EQ150-1,"")</f>
      </c>
      <c r="EW152" s="770">
        <f t="shared" si="1162"/>
      </c>
      <c r="EX152" s="771">
        <f t="shared" si="1162"/>
      </c>
      <c r="EY152" s="771">
        <f t="shared" si="1162"/>
      </c>
      <c r="EZ152" s="771">
        <f>IFERROR(EZ150/EU150-1,"")</f>
      </c>
      <c r="FA152" s="772">
        <f>IFERROR(FA150/EV150-1,"")</f>
      </c>
      <c r="FB152" s="1298">
        <f t="shared" si="1162"/>
      </c>
      <c r="FC152" s="1298">
        <f t="shared" si="1162"/>
      </c>
      <c r="FD152" s="1298">
        <f t="shared" si="1162"/>
      </c>
      <c r="FE152" s="1298">
        <f t="shared" si="1162"/>
      </c>
      <c r="FF152" s="772">
        <f t="shared" si="1162"/>
      </c>
      <c r="FG152" s="1298">
        <f t="shared" si="1162"/>
      </c>
      <c r="FH152" s="1298">
        <f t="shared" si="1162"/>
      </c>
      <c r="FI152" s="1298">
        <f t="shared" si="1162"/>
      </c>
      <c r="FJ152" s="1298">
        <f t="shared" si="1162"/>
      </c>
      <c r="FK152" s="772">
        <f t="shared" si="1162"/>
      </c>
      <c r="FL152" s="1298">
        <f t="shared" ref="FL152:FZ152" si="1163">IFERROR(FL150/FG150-1,"")</f>
      </c>
      <c r="FM152" s="1298">
        <f t="shared" si="1163"/>
      </c>
      <c r="FN152" s="1298">
        <f t="shared" si="1163"/>
      </c>
      <c r="FO152" s="1298">
        <f t="shared" si="1163"/>
      </c>
      <c r="FP152" s="772">
        <f t="shared" si="1163"/>
      </c>
      <c r="FQ152" s="1298">
        <f t="shared" si="1163"/>
      </c>
      <c r="FR152" s="1298">
        <f t="shared" si="1163"/>
      </c>
      <c r="FS152" s="1298">
        <f t="shared" si="1163"/>
      </c>
      <c r="FT152" s="1298">
        <f t="shared" si="1163"/>
      </c>
      <c r="FU152" s="772">
        <f t="shared" si="1163"/>
      </c>
      <c r="FV152" s="1298">
        <f t="shared" si="1163"/>
      </c>
      <c r="FW152" s="1298">
        <f t="shared" si="1163"/>
      </c>
      <c r="FX152" s="1298">
        <f t="shared" si="1163"/>
      </c>
      <c r="FY152" s="1298">
        <f t="shared" si="1163"/>
      </c>
      <c r="FZ152" s="772">
        <f t="shared" si="1163"/>
      </c>
      <c r="GA152" s="1298">
        <f t="shared" ref="GA152:GJ152" si="1164">IFERROR(GA150/FV150-1,"")</f>
      </c>
      <c r="GB152" s="1298">
        <f t="shared" si="1164"/>
      </c>
      <c r="GC152" s="1298">
        <f t="shared" si="1164"/>
      </c>
      <c r="GD152" s="1298">
        <f t="shared" si="1164"/>
      </c>
      <c r="GE152" s="772">
        <f t="shared" si="1164"/>
      </c>
      <c r="GF152" s="1298">
        <f t="shared" si="1164"/>
      </c>
      <c r="GG152" s="1298">
        <f t="shared" si="1164"/>
      </c>
      <c r="GH152" s="1298">
        <f t="shared" si="1164"/>
      </c>
      <c r="GI152" s="1298">
        <f t="shared" si="1164"/>
      </c>
      <c r="GJ152" s="772">
        <f t="shared" si="1164"/>
      </c>
    </row>
    <row r="153" spans="1:192" s="93" customFormat="1" ht="12.75" customHeight="1" collapsed="1">
      <c r="A153" s="68"/>
      <c r="B153" s="677"/>
      <c r="C153" s="94"/>
      <c r="D153" s="142"/>
      <c r="E153" s="142"/>
      <c r="F153" s="142"/>
      <c r="G153" s="146"/>
      <c r="H153" s="94"/>
      <c r="I153" s="142"/>
      <c r="J153" s="142"/>
      <c r="K153" s="142"/>
      <c r="L153" s="146"/>
      <c r="M153" s="94"/>
      <c r="N153" s="142"/>
      <c r="O153" s="142"/>
      <c r="P153" s="142"/>
      <c r="Q153" s="146"/>
      <c r="R153" s="94"/>
      <c r="S153" s="142"/>
      <c r="T153" s="142"/>
      <c r="U153" s="142"/>
      <c r="V153" s="146"/>
      <c r="W153" s="94"/>
      <c r="X153" s="142"/>
      <c r="Y153" s="142"/>
      <c r="Z153" s="142"/>
      <c r="AA153" s="146"/>
      <c r="AB153" s="94"/>
      <c r="AC153" s="142"/>
      <c r="AD153" s="142"/>
      <c r="AE153" s="142"/>
      <c r="AF153" s="146"/>
      <c r="AG153" s="94"/>
      <c r="AH153" s="142"/>
      <c r="AI153" s="142"/>
      <c r="AJ153" s="142"/>
      <c r="AK153" s="146"/>
      <c r="AL153" s="94"/>
      <c r="AM153" s="142"/>
      <c r="AN153" s="142"/>
      <c r="AO153" s="142"/>
      <c r="AP153" s="146"/>
      <c r="AQ153" s="94"/>
      <c r="AR153" s="142"/>
      <c r="AS153" s="142"/>
      <c r="AT153" s="142"/>
      <c r="AU153" s="146"/>
      <c r="AV153" s="94"/>
      <c r="AW153" s="142"/>
      <c r="AX153" s="142"/>
      <c r="AY153" s="142"/>
      <c r="AZ153" s="146"/>
      <c r="BA153" s="94"/>
      <c r="BB153" s="142"/>
      <c r="BC153" s="142"/>
      <c r="BD153" s="142"/>
      <c r="BE153" s="146"/>
      <c r="BF153" s="94"/>
      <c r="BG153" s="142"/>
      <c r="BH153" s="142"/>
      <c r="BI153" s="142"/>
      <c r="BJ153" s="146"/>
      <c r="BK153" s="94"/>
      <c r="BL153" s="142"/>
      <c r="BM153" s="142"/>
      <c r="BN153" s="142"/>
      <c r="BO153" s="146"/>
      <c r="BP153" s="94"/>
      <c r="BQ153" s="142"/>
      <c r="BR153" s="142"/>
      <c r="BS153" s="142"/>
      <c r="BT153" s="146"/>
      <c r="BU153" s="94"/>
      <c r="BV153" s="142"/>
      <c r="BW153" s="142"/>
      <c r="BX153" s="142"/>
      <c r="BY153" s="146"/>
      <c r="BZ153" s="94"/>
      <c r="CA153" s="142"/>
      <c r="CB153" s="142"/>
      <c r="CC153" s="142"/>
      <c r="CD153" s="146"/>
      <c r="CE153" s="94"/>
      <c r="CF153" s="142"/>
      <c r="CG153" s="142"/>
      <c r="CH153" s="142"/>
      <c r="CI153" s="146"/>
      <c r="CJ153" s="94"/>
      <c r="CK153" s="142"/>
      <c r="CL153" s="142"/>
      <c r="CM153" s="142"/>
      <c r="CN153" s="146"/>
      <c r="CO153" s="94"/>
      <c r="CP153" s="142"/>
      <c r="CQ153" s="142"/>
      <c r="CR153" s="142"/>
      <c r="CS153" s="146"/>
      <c r="CT153" s="94"/>
      <c r="CU153" s="142"/>
      <c r="CV153" s="142"/>
      <c r="CW153" s="142"/>
      <c r="CX153" s="146"/>
      <c r="CY153" s="94"/>
      <c r="CZ153" s="142"/>
      <c r="DA153" s="142"/>
      <c r="DB153" s="142"/>
      <c r="DC153" s="146"/>
      <c r="DD153" s="94"/>
      <c r="DE153" s="142"/>
      <c r="DF153" s="142"/>
      <c r="DG153" s="142"/>
      <c r="DH153" s="146"/>
      <c r="DI153" s="94"/>
      <c r="DJ153" s="142"/>
      <c r="DK153" s="142"/>
      <c r="DL153" s="142"/>
      <c r="DM153" s="146"/>
      <c r="DN153" s="94"/>
      <c r="DO153" s="142"/>
      <c r="DP153" s="142"/>
      <c r="DQ153" s="142"/>
      <c r="DR153" s="146"/>
      <c r="DS153" s="94"/>
      <c r="DT153" s="142"/>
      <c r="DU153" s="142"/>
      <c r="DV153" s="142"/>
      <c r="DW153" s="146"/>
      <c r="DX153" s="94"/>
      <c r="DY153" s="142"/>
      <c r="DZ153" s="142"/>
      <c r="EA153" s="142"/>
      <c r="EB153" s="146"/>
      <c r="EC153" s="94"/>
      <c r="ED153" s="142"/>
      <c r="EE153" s="142"/>
      <c r="EF153" s="142"/>
      <c r="EG153" s="146"/>
      <c r="EH153" s="94"/>
      <c r="EI153" s="142"/>
      <c r="EJ153" s="142"/>
      <c r="EK153" s="142"/>
      <c r="EL153" s="146"/>
      <c r="EM153" s="94"/>
      <c r="EN153" s="142"/>
      <c r="EO153" s="142"/>
      <c r="EP153" s="142"/>
      <c r="EQ153" s="146"/>
      <c r="ER153" s="94"/>
      <c r="ES153" s="142"/>
      <c r="ET153" s="142"/>
      <c r="EU153" s="142"/>
      <c r="EV153" s="146"/>
      <c r="EW153" s="94"/>
      <c r="EX153" s="142"/>
      <c r="EY153" s="142"/>
      <c r="EZ153" s="142"/>
      <c r="FA153" s="146"/>
      <c r="FB153" s="94"/>
      <c r="FC153" s="142"/>
      <c r="FD153" s="142"/>
      <c r="FE153" s="142"/>
      <c r="FF153" s="146"/>
      <c r="FG153" s="94"/>
      <c r="FH153" s="142"/>
      <c r="FI153" s="142"/>
      <c r="FJ153" s="142"/>
      <c r="FK153" s="146"/>
      <c r="FL153" s="94"/>
      <c r="FM153" s="142"/>
      <c r="FN153" s="142"/>
      <c r="FO153" s="142"/>
      <c r="FP153" s="146"/>
      <c r="FQ153" s="94"/>
      <c r="FR153" s="142"/>
      <c r="FS153" s="142"/>
      <c r="FT153" s="142"/>
      <c r="FU153" s="146"/>
      <c r="FV153" s="94"/>
      <c r="FW153" s="142"/>
      <c r="FX153" s="142"/>
      <c r="FY153" s="142"/>
      <c r="FZ153" s="146"/>
      <c r="GA153" s="94"/>
      <c r="GB153" s="142"/>
      <c r="GC153" s="142"/>
      <c r="GD153" s="142"/>
      <c r="GE153" s="146"/>
      <c r="GF153" s="94"/>
      <c r="GG153" s="142"/>
      <c r="GH153" s="142"/>
      <c r="GI153" s="142"/>
      <c r="GJ153" s="146"/>
    </row>
    <row r="155" spans="1:192" ht="12.75" customHeight="1">
      <c r="EM155" s="1308"/>
      <c r="EN155" s="1308"/>
      <c r="EO155" s="1308"/>
      <c r="EP155" s="1308"/>
      <c r="ER155" s="1308"/>
      <c r="ES155" s="1308"/>
      <c r="ET155" s="1308"/>
      <c r="EU155" s="1308"/>
      <c r="EW155" s="1308"/>
      <c r="EX155" s="1308"/>
      <c r="EY155" s="1308"/>
      <c r="EZ155" s="1308"/>
      <c r="FB155" s="1308"/>
      <c r="FC155" s="1308"/>
      <c r="FD155" s="1308"/>
      <c r="FE155" s="1308"/>
      <c r="FG155" s="1308"/>
      <c r="FH155" s="1308"/>
      <c r="FI155" s="1308"/>
      <c r="FJ155" s="1308"/>
      <c r="FL155" s="1308"/>
      <c r="FM155" s="1308"/>
      <c r="FN155" s="1308"/>
      <c r="FO155" s="1308"/>
    </row>
    <row r="156" spans="1:192" ht="12.75" customHeight="1">
      <c r="EV156" s="1307"/>
    </row>
    <row r="183" spans="1:192" s="93" customFormat="1" ht="12.75" customHeight="1">
      <c r="A183" s="68"/>
      <c r="B183" s="703"/>
      <c r="C183" s="94"/>
      <c r="D183" s="142"/>
      <c r="E183" s="142"/>
      <c r="F183" s="142"/>
      <c r="G183" s="142"/>
      <c r="H183" s="94"/>
      <c r="I183" s="142"/>
      <c r="J183" s="142"/>
      <c r="K183" s="142"/>
      <c r="L183" s="142"/>
      <c r="M183" s="94"/>
      <c r="N183" s="142"/>
      <c r="O183" s="142"/>
      <c r="P183" s="142"/>
      <c r="Q183" s="142"/>
      <c r="R183" s="94"/>
      <c r="S183" s="142"/>
      <c r="T183" s="142"/>
      <c r="U183" s="142"/>
      <c r="V183" s="142"/>
      <c r="W183" s="94"/>
      <c r="X183" s="142"/>
      <c r="Y183" s="142"/>
      <c r="Z183" s="142"/>
      <c r="AA183" s="142"/>
      <c r="AB183" s="94"/>
      <c r="AC183" s="142"/>
      <c r="AD183" s="142"/>
      <c r="AE183" s="142"/>
      <c r="AF183" s="142"/>
      <c r="AG183" s="94"/>
      <c r="AH183" s="142"/>
      <c r="AI183" s="142"/>
      <c r="AJ183" s="142"/>
      <c r="AK183" s="142"/>
      <c r="AL183" s="94"/>
      <c r="AM183" s="142"/>
      <c r="AN183" s="142"/>
      <c r="AO183" s="142"/>
      <c r="AP183" s="142"/>
      <c r="AQ183" s="94"/>
      <c r="AR183" s="142"/>
      <c r="AS183" s="142"/>
      <c r="AT183" s="142"/>
      <c r="AU183" s="142"/>
      <c r="AV183" s="94"/>
      <c r="AW183" s="142"/>
      <c r="AX183" s="142"/>
      <c r="AY183" s="142"/>
      <c r="AZ183" s="142"/>
      <c r="BA183" s="94"/>
      <c r="BB183" s="142"/>
      <c r="BC183" s="142"/>
      <c r="BD183" s="142"/>
      <c r="BE183" s="142"/>
      <c r="BF183" s="94"/>
      <c r="BG183" s="142"/>
      <c r="BH183" s="142"/>
      <c r="BI183" s="142"/>
      <c r="BJ183" s="142"/>
      <c r="BK183" s="94"/>
      <c r="BL183" s="142"/>
      <c r="BM183" s="142"/>
      <c r="BN183" s="142"/>
      <c r="BO183" s="142"/>
      <c r="BP183" s="94"/>
      <c r="BQ183" s="142"/>
      <c r="BR183" s="142"/>
      <c r="BS183" s="142"/>
      <c r="BT183" s="142"/>
      <c r="BU183" s="94"/>
      <c r="BV183" s="142"/>
      <c r="BW183" s="142"/>
      <c r="BX183" s="142"/>
      <c r="BY183" s="142"/>
      <c r="BZ183" s="94"/>
      <c r="CA183" s="142"/>
      <c r="CB183" s="142"/>
      <c r="CC183" s="142"/>
      <c r="CD183" s="142"/>
      <c r="CE183" s="94"/>
      <c r="CF183" s="142"/>
      <c r="CG183" s="142"/>
      <c r="CH183" s="142"/>
      <c r="CI183" s="142"/>
      <c r="CJ183" s="94"/>
      <c r="CK183" s="142"/>
      <c r="CL183" s="142"/>
      <c r="CM183" s="142"/>
      <c r="CN183" s="142"/>
      <c r="CO183" s="94"/>
      <c r="CP183" s="142"/>
      <c r="CQ183" s="142"/>
      <c r="CR183" s="142"/>
      <c r="CS183" s="142"/>
      <c r="CT183" s="94"/>
      <c r="CU183" s="142"/>
      <c r="CV183" s="142"/>
      <c r="CW183" s="142"/>
      <c r="CX183" s="142"/>
      <c r="CY183" s="94"/>
      <c r="CZ183" s="142"/>
      <c r="DA183" s="142"/>
      <c r="DB183" s="142"/>
      <c r="DC183" s="142"/>
      <c r="DD183" s="94"/>
      <c r="DE183" s="142"/>
      <c r="DF183" s="142"/>
      <c r="DG183" s="142"/>
      <c r="DH183" s="142"/>
      <c r="DI183" s="94"/>
      <c r="DJ183" s="142"/>
      <c r="DK183" s="142"/>
      <c r="DL183" s="142"/>
      <c r="DM183" s="142"/>
      <c r="DN183" s="94"/>
      <c r="DO183" s="142"/>
      <c r="DP183" s="142"/>
      <c r="DQ183" s="142"/>
      <c r="DR183" s="142"/>
      <c r="DS183" s="94"/>
      <c r="DT183" s="142"/>
      <c r="DU183" s="142"/>
      <c r="DV183" s="142"/>
      <c r="DW183" s="142"/>
      <c r="DX183" s="94"/>
      <c r="DY183" s="142"/>
      <c r="DZ183" s="142"/>
      <c r="EA183" s="142"/>
      <c r="EB183" s="142"/>
      <c r="EC183" s="94"/>
      <c r="ED183" s="142"/>
      <c r="EE183" s="142"/>
      <c r="EF183" s="142"/>
      <c r="EG183" s="142"/>
      <c r="EH183" s="94"/>
      <c r="EI183" s="142"/>
      <c r="EJ183" s="142"/>
      <c r="EK183" s="142"/>
      <c r="EL183" s="142"/>
      <c r="EM183" s="94"/>
      <c r="EN183" s="142"/>
      <c r="EO183" s="142"/>
      <c r="EP183" s="142"/>
      <c r="EQ183" s="142"/>
      <c r="ER183" s="94"/>
      <c r="ES183" s="142"/>
      <c r="ET183" s="142"/>
      <c r="EU183" s="142"/>
      <c r="EV183" s="142"/>
      <c r="EW183" s="94"/>
      <c r="EX183" s="142"/>
      <c r="EY183" s="142"/>
      <c r="EZ183" s="142"/>
      <c r="FA183" s="142"/>
      <c r="FB183" s="94"/>
      <c r="FC183" s="142"/>
      <c r="FD183" s="142"/>
      <c r="FE183" s="142"/>
      <c r="FF183" s="142"/>
      <c r="FG183" s="94"/>
      <c r="FH183" s="142"/>
      <c r="FI183" s="142"/>
      <c r="FJ183" s="142"/>
      <c r="FK183" s="142"/>
      <c r="FL183" s="94"/>
      <c r="FM183" s="142"/>
      <c r="FN183" s="142"/>
      <c r="FO183" s="142"/>
      <c r="FP183" s="142"/>
      <c r="FQ183" s="94"/>
      <c r="FR183" s="142"/>
      <c r="FS183" s="142"/>
      <c r="FT183" s="142"/>
      <c r="FU183" s="142"/>
      <c r="FV183" s="94"/>
      <c r="FW183" s="142"/>
      <c r="FX183" s="142"/>
      <c r="FY183" s="142"/>
      <c r="FZ183" s="142"/>
      <c r="GA183" s="94"/>
      <c r="GB183" s="142"/>
      <c r="GC183" s="142"/>
      <c r="GD183" s="142"/>
      <c r="GE183" s="142"/>
      <c r="GF183" s="94"/>
      <c r="GG183" s="142"/>
      <c r="GH183" s="142"/>
      <c r="GI183" s="142"/>
      <c r="GJ183" s="142"/>
    </row>
    <row r="184" spans="1:192" s="93" customFormat="1" ht="12.75" customHeight="1">
      <c r="A184" s="134"/>
      <c r="B184" s="704"/>
      <c r="C184" s="143"/>
      <c r="D184" s="103"/>
      <c r="E184" s="103"/>
      <c r="F184" s="103"/>
      <c r="G184" s="102"/>
      <c r="H184" s="143"/>
      <c r="I184" s="103"/>
      <c r="J184" s="103"/>
      <c r="K184" s="103"/>
      <c r="L184" s="102"/>
      <c r="M184" s="143"/>
      <c r="N184" s="103"/>
      <c r="O184" s="103"/>
      <c r="P184" s="103"/>
      <c r="Q184" s="102"/>
      <c r="R184" s="143"/>
      <c r="S184" s="103"/>
      <c r="T184" s="103"/>
      <c r="U184" s="103"/>
      <c r="V184" s="102"/>
      <c r="W184" s="143"/>
      <c r="X184" s="103"/>
      <c r="Y184" s="103"/>
      <c r="Z184" s="103"/>
      <c r="AA184" s="102"/>
      <c r="AB184" s="143"/>
      <c r="AC184" s="103"/>
      <c r="AD184" s="103"/>
      <c r="AE184" s="103"/>
      <c r="AF184" s="102"/>
      <c r="AG184" s="143"/>
      <c r="AH184" s="103"/>
      <c r="AI184" s="103"/>
      <c r="AJ184" s="103"/>
      <c r="AK184" s="102"/>
      <c r="AL184" s="143"/>
      <c r="AM184" s="103"/>
      <c r="AN184" s="103"/>
      <c r="AO184" s="103"/>
      <c r="AP184" s="102"/>
      <c r="AQ184" s="143"/>
      <c r="AR184" s="103"/>
      <c r="AS184" s="103"/>
      <c r="AT184" s="103"/>
      <c r="AU184" s="102"/>
      <c r="AV184" s="143"/>
      <c r="AW184" s="103"/>
      <c r="AX184" s="103"/>
      <c r="AY184" s="103"/>
      <c r="AZ184" s="102"/>
      <c r="BA184" s="143"/>
      <c r="BB184" s="103"/>
      <c r="BC184" s="103"/>
      <c r="BD184" s="103"/>
      <c r="BE184" s="102"/>
      <c r="BF184" s="143"/>
      <c r="BG184" s="103"/>
      <c r="BH184" s="103"/>
      <c r="BI184" s="103"/>
      <c r="BJ184" s="102"/>
      <c r="BK184" s="143"/>
      <c r="BL184" s="103"/>
      <c r="BM184" s="103"/>
      <c r="BN184" s="103"/>
      <c r="BO184" s="102"/>
      <c r="BP184" s="143"/>
      <c r="BQ184" s="103"/>
      <c r="BR184" s="103"/>
      <c r="BS184" s="103"/>
      <c r="BT184" s="102"/>
      <c r="BU184" s="143"/>
      <c r="BV184" s="103"/>
      <c r="BW184" s="103"/>
      <c r="BX184" s="103"/>
      <c r="BY184" s="102"/>
      <c r="BZ184" s="143"/>
      <c r="CA184" s="103"/>
      <c r="CB184" s="103"/>
      <c r="CC184" s="103"/>
      <c r="CD184" s="102"/>
      <c r="CE184" s="143"/>
      <c r="CF184" s="103"/>
      <c r="CG184" s="103"/>
      <c r="CH184" s="103"/>
      <c r="CI184" s="102"/>
      <c r="CJ184" s="143"/>
      <c r="CK184" s="103"/>
      <c r="CL184" s="103"/>
      <c r="CM184" s="103"/>
      <c r="CN184" s="102"/>
      <c r="CO184" s="143"/>
      <c r="CP184" s="103"/>
      <c r="CQ184" s="103"/>
      <c r="CR184" s="103"/>
      <c r="CS184" s="102"/>
      <c r="CT184" s="143"/>
      <c r="CU184" s="103"/>
      <c r="CV184" s="103"/>
      <c r="CW184" s="103"/>
      <c r="CX184" s="102"/>
      <c r="CY184" s="143"/>
      <c r="CZ184" s="103"/>
      <c r="DA184" s="103"/>
      <c r="DB184" s="103"/>
      <c r="DC184" s="102"/>
      <c r="DD184" s="143"/>
      <c r="DE184" s="103"/>
      <c r="DF184" s="103"/>
      <c r="DG184" s="103"/>
      <c r="DH184" s="102"/>
      <c r="DI184" s="143"/>
      <c r="DJ184" s="103"/>
      <c r="DK184" s="103"/>
      <c r="DL184" s="103"/>
      <c r="DM184" s="102"/>
      <c r="DN184" s="143"/>
      <c r="DO184" s="103"/>
      <c r="DP184" s="103"/>
      <c r="DQ184" s="103"/>
      <c r="DR184" s="102"/>
      <c r="DS184" s="143"/>
      <c r="DT184" s="103"/>
      <c r="DU184" s="103"/>
      <c r="DV184" s="103"/>
      <c r="DW184" s="102"/>
      <c r="DX184" s="143"/>
      <c r="DY184" s="103"/>
      <c r="DZ184" s="103"/>
      <c r="EA184" s="103"/>
      <c r="EB184" s="102"/>
      <c r="EC184" s="143"/>
      <c r="ED184" s="103"/>
      <c r="EE184" s="103"/>
      <c r="EF184" s="103"/>
      <c r="EG184" s="102"/>
      <c r="EH184" s="143"/>
      <c r="EI184" s="103"/>
      <c r="EJ184" s="103"/>
      <c r="EK184" s="103"/>
      <c r="EL184" s="102"/>
      <c r="EM184" s="143"/>
      <c r="EN184" s="103"/>
      <c r="EO184" s="103"/>
      <c r="EP184" s="103"/>
      <c r="EQ184" s="102"/>
      <c r="ER184" s="143"/>
      <c r="ES184" s="103"/>
      <c r="ET184" s="103"/>
      <c r="EU184" s="103"/>
      <c r="EV184" s="102"/>
      <c r="EW184" s="143"/>
      <c r="EX184" s="103"/>
      <c r="EY184" s="103"/>
      <c r="EZ184" s="103"/>
      <c r="FA184" s="102"/>
      <c r="FB184" s="143"/>
      <c r="FC184" s="103"/>
      <c r="FD184" s="103"/>
      <c r="FE184" s="103"/>
      <c r="FF184" s="102"/>
      <c r="FG184" s="143"/>
      <c r="FH184" s="103"/>
      <c r="FI184" s="103"/>
      <c r="FJ184" s="103"/>
      <c r="FK184" s="102"/>
      <c r="FL184" s="143"/>
      <c r="FM184" s="103"/>
      <c r="FN184" s="103"/>
      <c r="FO184" s="103"/>
      <c r="FP184" s="102"/>
      <c r="FQ184" s="143"/>
      <c r="FR184" s="103"/>
      <c r="FS184" s="103"/>
      <c r="FT184" s="103"/>
      <c r="FU184" s="102"/>
      <c r="FV184" s="143"/>
      <c r="FW184" s="103"/>
      <c r="FX184" s="103"/>
      <c r="FY184" s="103"/>
      <c r="FZ184" s="102"/>
      <c r="GA184" s="143"/>
      <c r="GB184" s="103"/>
      <c r="GC184" s="103"/>
      <c r="GD184" s="103"/>
      <c r="GE184" s="102"/>
      <c r="GF184" s="143"/>
      <c r="GG184" s="103"/>
      <c r="GH184" s="103"/>
      <c r="GI184" s="103"/>
      <c r="GJ184" s="102"/>
    </row>
    <row r="185" spans="1:192" s="93" customFormat="1" ht="12.75" customHeight="1">
      <c r="A185" s="134"/>
      <c r="B185" s="704"/>
      <c r="C185" s="143"/>
      <c r="D185" s="103"/>
      <c r="E185" s="103"/>
      <c r="F185" s="103"/>
      <c r="G185" s="102"/>
      <c r="H185" s="143"/>
      <c r="I185" s="103"/>
      <c r="J185" s="103"/>
      <c r="K185" s="103"/>
      <c r="L185" s="102"/>
      <c r="M185" s="143"/>
      <c r="N185" s="103"/>
      <c r="O185" s="103"/>
      <c r="P185" s="103"/>
      <c r="Q185" s="102"/>
      <c r="R185" s="143"/>
      <c r="S185" s="103"/>
      <c r="T185" s="103"/>
      <c r="U185" s="103"/>
      <c r="V185" s="102"/>
      <c r="W185" s="143"/>
      <c r="X185" s="103"/>
      <c r="Y185" s="103"/>
      <c r="Z185" s="103"/>
      <c r="AA185" s="102"/>
      <c r="AB185" s="143"/>
      <c r="AC185" s="103"/>
      <c r="AD185" s="103"/>
      <c r="AE185" s="103"/>
      <c r="AF185" s="102"/>
      <c r="AG185" s="143"/>
      <c r="AH185" s="103"/>
      <c r="AI185" s="103"/>
      <c r="AJ185" s="103"/>
      <c r="AK185" s="102"/>
      <c r="AL185" s="143"/>
      <c r="AM185" s="103"/>
      <c r="AN185" s="103"/>
      <c r="AO185" s="103"/>
      <c r="AP185" s="102"/>
      <c r="AQ185" s="143"/>
      <c r="AR185" s="103"/>
      <c r="AS185" s="103"/>
      <c r="AT185" s="103"/>
      <c r="AU185" s="102"/>
      <c r="AV185" s="143"/>
      <c r="AW185" s="103"/>
      <c r="AX185" s="103"/>
      <c r="AY185" s="103"/>
      <c r="AZ185" s="102"/>
      <c r="BA185" s="143"/>
      <c r="BB185" s="103"/>
      <c r="BC185" s="103"/>
      <c r="BD185" s="103"/>
      <c r="BE185" s="102"/>
      <c r="BF185" s="143"/>
      <c r="BG185" s="103"/>
      <c r="BH185" s="103"/>
      <c r="BI185" s="103"/>
      <c r="BJ185" s="102"/>
      <c r="BK185" s="143"/>
      <c r="BL185" s="103"/>
      <c r="BM185" s="103"/>
      <c r="BN185" s="103"/>
      <c r="BO185" s="102"/>
      <c r="BP185" s="143"/>
      <c r="BQ185" s="103"/>
      <c r="BR185" s="103"/>
      <c r="BS185" s="103"/>
      <c r="BT185" s="102"/>
      <c r="BU185" s="143"/>
      <c r="BV185" s="103"/>
      <c r="BW185" s="103"/>
      <c r="BX185" s="103"/>
      <c r="BY185" s="102"/>
      <c r="BZ185" s="143"/>
      <c r="CA185" s="103"/>
      <c r="CB185" s="103"/>
      <c r="CC185" s="103"/>
      <c r="CD185" s="102"/>
      <c r="CE185" s="143"/>
      <c r="CF185" s="103"/>
      <c r="CG185" s="103"/>
      <c r="CH185" s="103"/>
      <c r="CI185" s="102"/>
      <c r="CJ185" s="143"/>
      <c r="CK185" s="103"/>
      <c r="CL185" s="103"/>
      <c r="CM185" s="103"/>
      <c r="CN185" s="102"/>
      <c r="CO185" s="143"/>
      <c r="CP185" s="103"/>
      <c r="CQ185" s="103"/>
      <c r="CR185" s="103"/>
      <c r="CS185" s="102"/>
      <c r="CT185" s="143"/>
      <c r="CU185" s="103"/>
      <c r="CV185" s="103"/>
      <c r="CW185" s="103"/>
      <c r="CX185" s="102"/>
      <c r="CY185" s="143"/>
      <c r="CZ185" s="103"/>
      <c r="DA185" s="103"/>
      <c r="DB185" s="103"/>
      <c r="DC185" s="102"/>
      <c r="DD185" s="143"/>
      <c r="DE185" s="103"/>
      <c r="DF185" s="103"/>
      <c r="DG185" s="103"/>
      <c r="DH185" s="102"/>
      <c r="DI185" s="143"/>
      <c r="DJ185" s="103"/>
      <c r="DK185" s="103"/>
      <c r="DL185" s="103"/>
      <c r="DM185" s="102"/>
      <c r="DN185" s="143"/>
      <c r="DO185" s="103"/>
      <c r="DP185" s="103"/>
      <c r="DQ185" s="103"/>
      <c r="DR185" s="102"/>
      <c r="DS185" s="143"/>
      <c r="DT185" s="103"/>
      <c r="DU185" s="103"/>
      <c r="DV185" s="103"/>
      <c r="DW185" s="102"/>
      <c r="DX185" s="143"/>
      <c r="DY185" s="103"/>
      <c r="DZ185" s="103"/>
      <c r="EA185" s="103"/>
      <c r="EB185" s="102"/>
      <c r="EC185" s="143"/>
      <c r="ED185" s="103"/>
      <c r="EE185" s="103"/>
      <c r="EF185" s="103"/>
      <c r="EG185" s="102"/>
      <c r="EH185" s="143"/>
      <c r="EI185" s="103"/>
      <c r="EJ185" s="103"/>
      <c r="EK185" s="103"/>
      <c r="EL185" s="102"/>
      <c r="EM185" s="143"/>
      <c r="EN185" s="103"/>
      <c r="EO185" s="103"/>
      <c r="EP185" s="103"/>
      <c r="EQ185" s="102"/>
      <c r="ER185" s="143"/>
      <c r="ES185" s="103"/>
      <c r="ET185" s="103"/>
      <c r="EU185" s="103"/>
      <c r="EV185" s="102"/>
      <c r="EW185" s="143"/>
      <c r="EX185" s="103"/>
      <c r="EY185" s="103"/>
      <c r="EZ185" s="103"/>
      <c r="FA185" s="102"/>
      <c r="FB185" s="143"/>
      <c r="FC185" s="103"/>
      <c r="FD185" s="103"/>
      <c r="FE185" s="103"/>
      <c r="FF185" s="102"/>
      <c r="FG185" s="143"/>
      <c r="FH185" s="103"/>
      <c r="FI185" s="103"/>
      <c r="FJ185" s="103"/>
      <c r="FK185" s="102"/>
      <c r="FL185" s="143"/>
      <c r="FM185" s="103"/>
      <c r="FN185" s="103"/>
      <c r="FO185" s="103"/>
      <c r="FP185" s="102"/>
      <c r="FQ185" s="143"/>
      <c r="FR185" s="103"/>
      <c r="FS185" s="103"/>
      <c r="FT185" s="103"/>
      <c r="FU185" s="102"/>
      <c r="FV185" s="143"/>
      <c r="FW185" s="103"/>
      <c r="FX185" s="103"/>
      <c r="FY185" s="103"/>
      <c r="FZ185" s="102"/>
      <c r="GA185" s="143"/>
      <c r="GB185" s="103"/>
      <c r="GC185" s="103"/>
      <c r="GD185" s="103"/>
      <c r="GE185" s="102"/>
      <c r="GF185" s="143"/>
      <c r="GG185" s="103"/>
      <c r="GH185" s="103"/>
      <c r="GI185" s="103"/>
      <c r="GJ185" s="102"/>
    </row>
    <row r="186" spans="1:192" s="93" customFormat="1" ht="12.75" customHeight="1">
      <c r="A186" s="134"/>
      <c r="B186" s="704"/>
      <c r="C186" s="143"/>
      <c r="D186" s="103"/>
      <c r="E186" s="103"/>
      <c r="F186" s="103"/>
      <c r="G186" s="102"/>
      <c r="H186" s="143"/>
      <c r="I186" s="103"/>
      <c r="J186" s="103"/>
      <c r="K186" s="103"/>
      <c r="L186" s="102"/>
      <c r="M186" s="143"/>
      <c r="N186" s="103"/>
      <c r="O186" s="103"/>
      <c r="P186" s="103"/>
      <c r="Q186" s="102"/>
      <c r="R186" s="143"/>
      <c r="S186" s="103"/>
      <c r="T186" s="103"/>
      <c r="U186" s="103"/>
      <c r="V186" s="102"/>
      <c r="W186" s="143"/>
      <c r="X186" s="103"/>
      <c r="Y186" s="103"/>
      <c r="Z186" s="103"/>
      <c r="AA186" s="102"/>
      <c r="AB186" s="143"/>
      <c r="AC186" s="103"/>
      <c r="AD186" s="103"/>
      <c r="AE186" s="103"/>
      <c r="AF186" s="102"/>
      <c r="AG186" s="143"/>
      <c r="AH186" s="103"/>
      <c r="AI186" s="103"/>
      <c r="AJ186" s="103"/>
      <c r="AK186" s="102"/>
      <c r="AL186" s="143"/>
      <c r="AM186" s="103"/>
      <c r="AN186" s="103"/>
      <c r="AO186" s="103"/>
      <c r="AP186" s="102"/>
      <c r="AQ186" s="143"/>
      <c r="AR186" s="103"/>
      <c r="AS186" s="103"/>
      <c r="AT186" s="103"/>
      <c r="AU186" s="102"/>
      <c r="AV186" s="143"/>
      <c r="AW186" s="103"/>
      <c r="AX186" s="103"/>
      <c r="AY186" s="103"/>
      <c r="AZ186" s="102"/>
      <c r="BA186" s="143"/>
      <c r="BB186" s="103"/>
      <c r="BC186" s="103"/>
      <c r="BD186" s="103"/>
      <c r="BE186" s="102"/>
      <c r="BF186" s="143"/>
      <c r="BG186" s="103"/>
      <c r="BH186" s="103"/>
      <c r="BI186" s="103"/>
      <c r="BJ186" s="102"/>
      <c r="BK186" s="143"/>
      <c r="BL186" s="103"/>
      <c r="BM186" s="103"/>
      <c r="BN186" s="103"/>
      <c r="BO186" s="102"/>
      <c r="BP186" s="143"/>
      <c r="BQ186" s="103"/>
      <c r="BR186" s="103"/>
      <c r="BS186" s="103"/>
      <c r="BT186" s="102"/>
      <c r="BU186" s="143"/>
      <c r="BV186" s="103"/>
      <c r="BW186" s="103"/>
      <c r="BX186" s="103"/>
      <c r="BY186" s="102"/>
      <c r="BZ186" s="143"/>
      <c r="CA186" s="103"/>
      <c r="CB186" s="103"/>
      <c r="CC186" s="103"/>
      <c r="CD186" s="102"/>
      <c r="CE186" s="143"/>
      <c r="CF186" s="103"/>
      <c r="CG186" s="103"/>
      <c r="CH186" s="103"/>
      <c r="CI186" s="102"/>
      <c r="CJ186" s="143"/>
      <c r="CK186" s="103"/>
      <c r="CL186" s="103"/>
      <c r="CM186" s="103"/>
      <c r="CN186" s="102"/>
      <c r="CO186" s="143"/>
      <c r="CP186" s="103"/>
      <c r="CQ186" s="103"/>
      <c r="CR186" s="103"/>
      <c r="CS186" s="102"/>
      <c r="CT186" s="143"/>
      <c r="CU186" s="103"/>
      <c r="CV186" s="103"/>
      <c r="CW186" s="103"/>
      <c r="CX186" s="102"/>
      <c r="CY186" s="143"/>
      <c r="CZ186" s="103"/>
      <c r="DA186" s="103"/>
      <c r="DB186" s="103"/>
      <c r="DC186" s="102"/>
      <c r="DD186" s="143"/>
      <c r="DE186" s="103"/>
      <c r="DF186" s="103"/>
      <c r="DG186" s="103"/>
      <c r="DH186" s="102"/>
      <c r="DI186" s="143"/>
      <c r="DJ186" s="103"/>
      <c r="DK186" s="103"/>
      <c r="DL186" s="103"/>
      <c r="DM186" s="102"/>
      <c r="DN186" s="143"/>
      <c r="DO186" s="103"/>
      <c r="DP186" s="103"/>
      <c r="DQ186" s="103"/>
      <c r="DR186" s="102"/>
      <c r="DS186" s="143"/>
      <c r="DT186" s="103"/>
      <c r="DU186" s="103"/>
      <c r="DV186" s="103"/>
      <c r="DW186" s="102"/>
      <c r="DX186" s="143"/>
      <c r="DY186" s="103"/>
      <c r="DZ186" s="103"/>
      <c r="EA186" s="103"/>
      <c r="EB186" s="102"/>
      <c r="EC186" s="143"/>
      <c r="ED186" s="103"/>
      <c r="EE186" s="103"/>
      <c r="EF186" s="103"/>
      <c r="EG186" s="102"/>
      <c r="EH186" s="143"/>
      <c r="EI186" s="103"/>
      <c r="EJ186" s="103"/>
      <c r="EK186" s="103"/>
      <c r="EL186" s="102"/>
      <c r="EM186" s="143"/>
      <c r="EN186" s="103"/>
      <c r="EO186" s="103"/>
      <c r="EP186" s="103"/>
      <c r="EQ186" s="102"/>
      <c r="ER186" s="143"/>
      <c r="ES186" s="103"/>
      <c r="ET186" s="103"/>
      <c r="EU186" s="103"/>
      <c r="EV186" s="102"/>
      <c r="EW186" s="143"/>
      <c r="EX186" s="103"/>
      <c r="EY186" s="103"/>
      <c r="EZ186" s="103"/>
      <c r="FA186" s="102"/>
      <c r="FB186" s="143"/>
      <c r="FC186" s="103"/>
      <c r="FD186" s="103"/>
      <c r="FE186" s="103"/>
      <c r="FF186" s="102"/>
      <c r="FG186" s="143"/>
      <c r="FH186" s="103"/>
      <c r="FI186" s="103"/>
      <c r="FJ186" s="103"/>
      <c r="FK186" s="102"/>
      <c r="FL186" s="143"/>
      <c r="FM186" s="103"/>
      <c r="FN186" s="103"/>
      <c r="FO186" s="103"/>
      <c r="FP186" s="102"/>
      <c r="FQ186" s="143"/>
      <c r="FR186" s="103"/>
      <c r="FS186" s="103"/>
      <c r="FT186" s="103"/>
      <c r="FU186" s="102"/>
      <c r="FV186" s="143"/>
      <c r="FW186" s="103"/>
      <c r="FX186" s="103"/>
      <c r="FY186" s="103"/>
      <c r="FZ186" s="102"/>
      <c r="GA186" s="143"/>
      <c r="GB186" s="103"/>
      <c r="GC186" s="103"/>
      <c r="GD186" s="103"/>
      <c r="GE186" s="102"/>
      <c r="GF186" s="143"/>
      <c r="GG186" s="103"/>
      <c r="GH186" s="103"/>
      <c r="GI186" s="103"/>
      <c r="GJ186" s="102"/>
    </row>
    <row r="187" spans="1:192" s="93" customFormat="1" ht="12.75" customHeight="1">
      <c r="A187" s="134"/>
      <c r="B187" s="704"/>
      <c r="C187" s="143"/>
      <c r="D187" s="103"/>
      <c r="E187" s="103"/>
      <c r="F187" s="103"/>
      <c r="G187" s="102"/>
      <c r="H187" s="143"/>
      <c r="I187" s="103"/>
      <c r="J187" s="103"/>
      <c r="K187" s="103"/>
      <c r="L187" s="102"/>
      <c r="M187" s="143"/>
      <c r="N187" s="103"/>
      <c r="O187" s="103"/>
      <c r="P187" s="103"/>
      <c r="Q187" s="102"/>
      <c r="R187" s="143"/>
      <c r="S187" s="103"/>
      <c r="T187" s="103"/>
      <c r="U187" s="103"/>
      <c r="V187" s="102"/>
      <c r="W187" s="143"/>
      <c r="X187" s="103"/>
      <c r="Y187" s="103"/>
      <c r="Z187" s="103"/>
      <c r="AA187" s="102"/>
      <c r="AB187" s="143"/>
      <c r="AC187" s="103"/>
      <c r="AD187" s="103"/>
      <c r="AE187" s="103"/>
      <c r="AF187" s="102"/>
      <c r="AG187" s="143"/>
      <c r="AH187" s="103"/>
      <c r="AI187" s="103"/>
      <c r="AJ187" s="103"/>
      <c r="AK187" s="102"/>
      <c r="AL187" s="143"/>
      <c r="AM187" s="103"/>
      <c r="AN187" s="103"/>
      <c r="AO187" s="103"/>
      <c r="AP187" s="102"/>
      <c r="AQ187" s="143"/>
      <c r="AR187" s="103"/>
      <c r="AS187" s="103"/>
      <c r="AT187" s="103"/>
      <c r="AU187" s="102"/>
      <c r="AV187" s="143"/>
      <c r="AW187" s="103"/>
      <c r="AX187" s="103"/>
      <c r="AY187" s="103"/>
      <c r="AZ187" s="102"/>
      <c r="BA187" s="143"/>
      <c r="BB187" s="103"/>
      <c r="BC187" s="103"/>
      <c r="BD187" s="103"/>
      <c r="BE187" s="102"/>
      <c r="BF187" s="143"/>
      <c r="BG187" s="103"/>
      <c r="BH187" s="103"/>
      <c r="BI187" s="103"/>
      <c r="BJ187" s="102"/>
      <c r="BK187" s="143"/>
      <c r="BL187" s="103"/>
      <c r="BM187" s="103"/>
      <c r="BN187" s="103"/>
      <c r="BO187" s="102"/>
      <c r="BP187" s="143"/>
      <c r="BQ187" s="103"/>
      <c r="BR187" s="103"/>
      <c r="BS187" s="103"/>
      <c r="BT187" s="102"/>
      <c r="BU187" s="143"/>
      <c r="BV187" s="103"/>
      <c r="BW187" s="103"/>
      <c r="BX187" s="103"/>
      <c r="BY187" s="102"/>
      <c r="BZ187" s="143"/>
      <c r="CA187" s="103"/>
      <c r="CB187" s="103"/>
      <c r="CC187" s="103"/>
      <c r="CD187" s="102"/>
      <c r="CE187" s="143"/>
      <c r="CF187" s="103"/>
      <c r="CG187" s="103"/>
      <c r="CH187" s="103"/>
      <c r="CI187" s="102"/>
      <c r="CJ187" s="143"/>
      <c r="CK187" s="103"/>
      <c r="CL187" s="103"/>
      <c r="CM187" s="103"/>
      <c r="CN187" s="102"/>
      <c r="CO187" s="143"/>
      <c r="CP187" s="103"/>
      <c r="CQ187" s="103"/>
      <c r="CR187" s="103"/>
      <c r="CS187" s="102"/>
      <c r="CT187" s="143"/>
      <c r="CU187" s="103"/>
      <c r="CV187" s="103"/>
      <c r="CW187" s="103"/>
      <c r="CX187" s="102"/>
      <c r="CY187" s="143"/>
      <c r="CZ187" s="103"/>
      <c r="DA187" s="103"/>
      <c r="DB187" s="103"/>
      <c r="DC187" s="102"/>
      <c r="DD187" s="143"/>
      <c r="DE187" s="103"/>
      <c r="DF187" s="103"/>
      <c r="DG187" s="103"/>
      <c r="DH187" s="102"/>
      <c r="DI187" s="143"/>
      <c r="DJ187" s="103"/>
      <c r="DK187" s="103"/>
      <c r="DL187" s="103"/>
      <c r="DM187" s="102"/>
      <c r="DN187" s="143"/>
      <c r="DO187" s="103"/>
      <c r="DP187" s="103"/>
      <c r="DQ187" s="103"/>
      <c r="DR187" s="102"/>
      <c r="DS187" s="143"/>
      <c r="DT187" s="103"/>
      <c r="DU187" s="103"/>
      <c r="DV187" s="103"/>
      <c r="DW187" s="102"/>
      <c r="DX187" s="143"/>
      <c r="DY187" s="103"/>
      <c r="DZ187" s="103"/>
      <c r="EA187" s="103"/>
      <c r="EB187" s="102"/>
      <c r="EC187" s="143"/>
      <c r="ED187" s="103"/>
      <c r="EE187" s="103"/>
      <c r="EF187" s="103"/>
      <c r="EG187" s="102"/>
      <c r="EH187" s="143"/>
      <c r="EI187" s="103"/>
      <c r="EJ187" s="103"/>
      <c r="EK187" s="103"/>
      <c r="EL187" s="102"/>
      <c r="EM187" s="143"/>
      <c r="EN187" s="103"/>
      <c r="EO187" s="103"/>
      <c r="EP187" s="103"/>
      <c r="EQ187" s="102"/>
      <c r="ER187" s="143"/>
      <c r="ES187" s="103"/>
      <c r="ET187" s="103"/>
      <c r="EU187" s="103"/>
      <c r="EV187" s="102"/>
      <c r="EW187" s="143"/>
      <c r="EX187" s="103"/>
      <c r="EY187" s="103"/>
      <c r="EZ187" s="103"/>
      <c r="FA187" s="102"/>
      <c r="FB187" s="143"/>
      <c r="FC187" s="103"/>
      <c r="FD187" s="103"/>
      <c r="FE187" s="103"/>
      <c r="FF187" s="102"/>
      <c r="FG187" s="143"/>
      <c r="FH187" s="103"/>
      <c r="FI187" s="103"/>
      <c r="FJ187" s="103"/>
      <c r="FK187" s="102"/>
      <c r="FL187" s="143"/>
      <c r="FM187" s="103"/>
      <c r="FN187" s="103"/>
      <c r="FO187" s="103"/>
      <c r="FP187" s="102"/>
      <c r="FQ187" s="143"/>
      <c r="FR187" s="103"/>
      <c r="FS187" s="103"/>
      <c r="FT187" s="103"/>
      <c r="FU187" s="102"/>
      <c r="FV187" s="143"/>
      <c r="FW187" s="103"/>
      <c r="FX187" s="103"/>
      <c r="FY187" s="103"/>
      <c r="FZ187" s="102"/>
      <c r="GA187" s="143"/>
      <c r="GB187" s="103"/>
      <c r="GC187" s="103"/>
      <c r="GD187" s="103"/>
      <c r="GE187" s="102"/>
      <c r="GF187" s="143"/>
      <c r="GG187" s="103"/>
      <c r="GH187" s="103"/>
      <c r="GI187" s="103"/>
      <c r="GJ187" s="102"/>
    </row>
    <row r="188" spans="1:192" s="93" customFormat="1" ht="12.75" customHeight="1">
      <c r="A188" s="134"/>
      <c r="B188" s="704"/>
      <c r="C188" s="143"/>
      <c r="D188" s="103"/>
      <c r="E188" s="103"/>
      <c r="F188" s="103"/>
      <c r="G188" s="102"/>
      <c r="H188" s="143"/>
      <c r="I188" s="103"/>
      <c r="J188" s="103"/>
      <c r="K188" s="103"/>
      <c r="L188" s="102"/>
      <c r="M188" s="143"/>
      <c r="N188" s="103"/>
      <c r="O188" s="103"/>
      <c r="P188" s="103"/>
      <c r="Q188" s="102"/>
      <c r="R188" s="143"/>
      <c r="S188" s="103"/>
      <c r="T188" s="103"/>
      <c r="U188" s="103"/>
      <c r="V188" s="102"/>
      <c r="W188" s="143"/>
      <c r="X188" s="103"/>
      <c r="Y188" s="103"/>
      <c r="Z188" s="103"/>
      <c r="AA188" s="102"/>
      <c r="AB188" s="143"/>
      <c r="AC188" s="103"/>
      <c r="AD188" s="103"/>
      <c r="AE188" s="103"/>
      <c r="AF188" s="102"/>
      <c r="AG188" s="143"/>
      <c r="AH188" s="103"/>
      <c r="AI188" s="103"/>
      <c r="AJ188" s="103"/>
      <c r="AK188" s="102"/>
      <c r="AL188" s="143"/>
      <c r="AM188" s="103"/>
      <c r="AN188" s="103"/>
      <c r="AO188" s="103"/>
      <c r="AP188" s="102"/>
      <c r="AQ188" s="143"/>
      <c r="AR188" s="103"/>
      <c r="AS188" s="103"/>
      <c r="AT188" s="103"/>
      <c r="AU188" s="102"/>
      <c r="AV188" s="143"/>
      <c r="AW188" s="103"/>
      <c r="AX188" s="103"/>
      <c r="AY188" s="103"/>
      <c r="AZ188" s="102"/>
      <c r="BA188" s="143"/>
      <c r="BB188" s="103"/>
      <c r="BC188" s="103"/>
      <c r="BD188" s="103"/>
      <c r="BE188" s="102"/>
      <c r="BF188" s="143"/>
      <c r="BG188" s="103"/>
      <c r="BH188" s="103"/>
      <c r="BI188" s="103"/>
      <c r="BJ188" s="102"/>
      <c r="BK188" s="143"/>
      <c r="BL188" s="103"/>
      <c r="BM188" s="103"/>
      <c r="BN188" s="103"/>
      <c r="BO188" s="102"/>
      <c r="BP188" s="143"/>
      <c r="BQ188" s="103"/>
      <c r="BR188" s="103"/>
      <c r="BS188" s="103"/>
      <c r="BT188" s="102"/>
      <c r="BU188" s="143"/>
      <c r="BV188" s="103"/>
      <c r="BW188" s="103"/>
      <c r="BX188" s="103"/>
      <c r="BY188" s="102"/>
      <c r="BZ188" s="143"/>
      <c r="CA188" s="103"/>
      <c r="CB188" s="103"/>
      <c r="CC188" s="103"/>
      <c r="CD188" s="102"/>
      <c r="CE188" s="143"/>
      <c r="CF188" s="103"/>
      <c r="CG188" s="103"/>
      <c r="CH188" s="103"/>
      <c r="CI188" s="102"/>
      <c r="CJ188" s="143"/>
      <c r="CK188" s="103"/>
      <c r="CL188" s="103"/>
      <c r="CM188" s="103"/>
      <c r="CN188" s="102"/>
      <c r="CO188" s="143"/>
      <c r="CP188" s="103"/>
      <c r="CQ188" s="103"/>
      <c r="CR188" s="103"/>
      <c r="CS188" s="102"/>
      <c r="CT188" s="143"/>
      <c r="CU188" s="103"/>
      <c r="CV188" s="103"/>
      <c r="CW188" s="103"/>
      <c r="CX188" s="102"/>
      <c r="CY188" s="143"/>
      <c r="CZ188" s="103"/>
      <c r="DA188" s="103"/>
      <c r="DB188" s="103"/>
      <c r="DC188" s="102"/>
      <c r="DD188" s="143"/>
      <c r="DE188" s="103"/>
      <c r="DF188" s="103"/>
      <c r="DG188" s="103"/>
      <c r="DH188" s="102"/>
      <c r="DI188" s="143"/>
      <c r="DJ188" s="103"/>
      <c r="DK188" s="103"/>
      <c r="DL188" s="103"/>
      <c r="DM188" s="102"/>
      <c r="DN188" s="143"/>
      <c r="DO188" s="103"/>
      <c r="DP188" s="103"/>
      <c r="DQ188" s="103"/>
      <c r="DR188" s="102"/>
      <c r="DS188" s="143"/>
      <c r="DT188" s="103"/>
      <c r="DU188" s="103"/>
      <c r="DV188" s="103"/>
      <c r="DW188" s="102"/>
      <c r="DX188" s="143"/>
      <c r="DY188" s="103"/>
      <c r="DZ188" s="103"/>
      <c r="EA188" s="103"/>
      <c r="EB188" s="102"/>
      <c r="EC188" s="143"/>
      <c r="ED188" s="103"/>
      <c r="EE188" s="103"/>
      <c r="EF188" s="103"/>
      <c r="EG188" s="102"/>
      <c r="EH188" s="143"/>
      <c r="EI188" s="103"/>
      <c r="EJ188" s="103"/>
      <c r="EK188" s="103"/>
      <c r="EL188" s="102"/>
      <c r="EM188" s="143"/>
      <c r="EN188" s="103"/>
      <c r="EO188" s="103"/>
      <c r="EP188" s="103"/>
      <c r="EQ188" s="102"/>
      <c r="ER188" s="143"/>
      <c r="ES188" s="103"/>
      <c r="ET188" s="103"/>
      <c r="EU188" s="103"/>
      <c r="EV188" s="102"/>
      <c r="EW188" s="143"/>
      <c r="EX188" s="103"/>
      <c r="EY188" s="103"/>
      <c r="EZ188" s="103"/>
      <c r="FA188" s="102"/>
      <c r="FB188" s="143"/>
      <c r="FC188" s="103"/>
      <c r="FD188" s="103"/>
      <c r="FE188" s="103"/>
      <c r="FF188" s="102"/>
      <c r="FG188" s="143"/>
      <c r="FH188" s="103"/>
      <c r="FI188" s="103"/>
      <c r="FJ188" s="103"/>
      <c r="FK188" s="102"/>
      <c r="FL188" s="143"/>
      <c r="FM188" s="103"/>
      <c r="FN188" s="103"/>
      <c r="FO188" s="103"/>
      <c r="FP188" s="102"/>
      <c r="FQ188" s="143"/>
      <c r="FR188" s="103"/>
      <c r="FS188" s="103"/>
      <c r="FT188" s="103"/>
      <c r="FU188" s="102"/>
      <c r="FV188" s="143"/>
      <c r="FW188" s="103"/>
      <c r="FX188" s="103"/>
      <c r="FY188" s="103"/>
      <c r="FZ188" s="102"/>
      <c r="GA188" s="143"/>
      <c r="GB188" s="103"/>
      <c r="GC188" s="103"/>
      <c r="GD188" s="103"/>
      <c r="GE188" s="102"/>
      <c r="GF188" s="143"/>
      <c r="GG188" s="103"/>
      <c r="GH188" s="103"/>
      <c r="GI188" s="103"/>
      <c r="GJ188" s="102"/>
    </row>
    <row r="189" spans="1:192" s="93" customFormat="1" ht="12.75" customHeight="1">
      <c r="A189" s="68"/>
      <c r="B189" s="704"/>
      <c r="C189" s="94"/>
      <c r="D189" s="142"/>
      <c r="E189" s="142"/>
      <c r="F189" s="142"/>
      <c r="G189" s="102"/>
      <c r="H189" s="94"/>
      <c r="I189" s="142"/>
      <c r="J189" s="142"/>
      <c r="K189" s="142"/>
      <c r="L189" s="102"/>
      <c r="M189" s="94"/>
      <c r="N189" s="142"/>
      <c r="O189" s="142"/>
      <c r="P189" s="142"/>
      <c r="Q189" s="102"/>
      <c r="R189" s="94"/>
      <c r="S189" s="142"/>
      <c r="T189" s="142"/>
      <c r="U189" s="142"/>
      <c r="V189" s="102"/>
      <c r="W189" s="94"/>
      <c r="X189" s="142"/>
      <c r="Y189" s="142"/>
      <c r="Z189" s="142"/>
      <c r="AA189" s="102"/>
      <c r="AB189" s="94"/>
      <c r="AC189" s="142"/>
      <c r="AD189" s="142"/>
      <c r="AE189" s="142"/>
      <c r="AF189" s="102"/>
      <c r="AG189" s="94"/>
      <c r="AH189" s="142"/>
      <c r="AI189" s="142"/>
      <c r="AJ189" s="142"/>
      <c r="AK189" s="102"/>
      <c r="AL189" s="94"/>
      <c r="AM189" s="142"/>
      <c r="AN189" s="142"/>
      <c r="AO189" s="142"/>
      <c r="AP189" s="102"/>
      <c r="AQ189" s="94"/>
      <c r="AR189" s="142"/>
      <c r="AS189" s="142"/>
      <c r="AT189" s="142"/>
      <c r="AU189" s="102"/>
      <c r="AV189" s="94"/>
      <c r="AW189" s="142"/>
      <c r="AX189" s="142"/>
      <c r="AY189" s="142"/>
      <c r="AZ189" s="102"/>
      <c r="BA189" s="94"/>
      <c r="BB189" s="142"/>
      <c r="BC189" s="142"/>
      <c r="BD189" s="142"/>
      <c r="BE189" s="102"/>
      <c r="BF189" s="94"/>
      <c r="BG189" s="142"/>
      <c r="BH189" s="142"/>
      <c r="BI189" s="142"/>
      <c r="BJ189" s="102"/>
      <c r="BK189" s="94"/>
      <c r="BL189" s="142"/>
      <c r="BM189" s="142"/>
      <c r="BN189" s="142"/>
      <c r="BO189" s="102"/>
      <c r="BP189" s="94"/>
      <c r="BQ189" s="142"/>
      <c r="BR189" s="142"/>
      <c r="BS189" s="142"/>
      <c r="BT189" s="102"/>
      <c r="BU189" s="94"/>
      <c r="BV189" s="142"/>
      <c r="BW189" s="142"/>
      <c r="BX189" s="142"/>
      <c r="BY189" s="102"/>
      <c r="BZ189" s="94"/>
      <c r="CA189" s="142"/>
      <c r="CB189" s="142"/>
      <c r="CC189" s="142"/>
      <c r="CD189" s="102"/>
      <c r="CE189" s="94"/>
      <c r="CF189" s="142"/>
      <c r="CG189" s="142"/>
      <c r="CH189" s="142"/>
      <c r="CI189" s="102"/>
      <c r="CJ189" s="94"/>
      <c r="CK189" s="142"/>
      <c r="CL189" s="142"/>
      <c r="CM189" s="142"/>
      <c r="CN189" s="102"/>
      <c r="CO189" s="94"/>
      <c r="CP189" s="142"/>
      <c r="CQ189" s="142"/>
      <c r="CR189" s="142"/>
      <c r="CS189" s="102"/>
      <c r="CT189" s="94"/>
      <c r="CU189" s="142"/>
      <c r="CV189" s="142"/>
      <c r="CW189" s="142"/>
      <c r="CX189" s="102"/>
      <c r="CY189" s="94"/>
      <c r="CZ189" s="142"/>
      <c r="DA189" s="142"/>
      <c r="DB189" s="142"/>
      <c r="DC189" s="102"/>
      <c r="DD189" s="94"/>
      <c r="DE189" s="142"/>
      <c r="DF189" s="142"/>
      <c r="DG189" s="142"/>
      <c r="DH189" s="102"/>
      <c r="DI189" s="94"/>
      <c r="DJ189" s="142"/>
      <c r="DK189" s="142"/>
      <c r="DL189" s="142"/>
      <c r="DM189" s="102"/>
      <c r="DN189" s="94"/>
      <c r="DO189" s="142"/>
      <c r="DP189" s="142"/>
      <c r="DQ189" s="142"/>
      <c r="DR189" s="102"/>
      <c r="DS189" s="94"/>
      <c r="DT189" s="142"/>
      <c r="DU189" s="142"/>
      <c r="DV189" s="142"/>
      <c r="DW189" s="102"/>
      <c r="DX189" s="94"/>
      <c r="DY189" s="142"/>
      <c r="DZ189" s="142"/>
      <c r="EA189" s="142"/>
      <c r="EB189" s="102"/>
      <c r="EC189" s="94"/>
      <c r="ED189" s="142"/>
      <c r="EE189" s="142"/>
      <c r="EF189" s="142"/>
      <c r="EG189" s="102"/>
      <c r="EH189" s="94"/>
      <c r="EI189" s="142"/>
      <c r="EJ189" s="142"/>
      <c r="EK189" s="142"/>
      <c r="EL189" s="102"/>
      <c r="EM189" s="94"/>
      <c r="EN189" s="142"/>
      <c r="EO189" s="142"/>
      <c r="EP189" s="142"/>
      <c r="EQ189" s="102"/>
      <c r="ER189" s="94"/>
      <c r="ES189" s="142"/>
      <c r="ET189" s="142"/>
      <c r="EU189" s="142"/>
      <c r="EV189" s="102"/>
      <c r="EW189" s="94"/>
      <c r="EX189" s="142"/>
      <c r="EY189" s="142"/>
      <c r="EZ189" s="142"/>
      <c r="FA189" s="102"/>
      <c r="FB189" s="94"/>
      <c r="FC189" s="142"/>
      <c r="FD189" s="142"/>
      <c r="FE189" s="142"/>
      <c r="FF189" s="102"/>
      <c r="FG189" s="94"/>
      <c r="FH189" s="142"/>
      <c r="FI189" s="142"/>
      <c r="FJ189" s="142"/>
      <c r="FK189" s="102"/>
      <c r="FL189" s="94"/>
      <c r="FM189" s="142"/>
      <c r="FN189" s="142"/>
      <c r="FO189" s="142"/>
      <c r="FP189" s="102"/>
      <c r="FQ189" s="94"/>
      <c r="FR189" s="142"/>
      <c r="FS189" s="142"/>
      <c r="FT189" s="142"/>
      <c r="FU189" s="102"/>
      <c r="FV189" s="94"/>
      <c r="FW189" s="142"/>
      <c r="FX189" s="142"/>
      <c r="FY189" s="142"/>
      <c r="FZ189" s="102"/>
      <c r="GA189" s="94"/>
      <c r="GB189" s="142"/>
      <c r="GC189" s="142"/>
      <c r="GD189" s="142"/>
      <c r="GE189" s="102"/>
      <c r="GF189" s="94"/>
      <c r="GG189" s="142"/>
      <c r="GH189" s="142"/>
      <c r="GI189" s="142"/>
      <c r="GJ189" s="102"/>
    </row>
    <row r="190" spans="1:192" s="93" customFormat="1" ht="12.75" customHeight="1">
      <c r="A190" s="68"/>
      <c r="B190" s="704"/>
      <c r="C190" s="94"/>
      <c r="D190" s="142"/>
      <c r="E190" s="142"/>
      <c r="F190" s="142"/>
      <c r="G190" s="147"/>
      <c r="H190" s="94"/>
      <c r="I190" s="142"/>
      <c r="J190" s="142"/>
      <c r="K190" s="142"/>
      <c r="L190" s="147"/>
      <c r="M190" s="94"/>
      <c r="N190" s="142"/>
      <c r="O190" s="142"/>
      <c r="P190" s="142"/>
      <c r="Q190" s="147"/>
      <c r="R190" s="94"/>
      <c r="S190" s="142"/>
      <c r="T190" s="142"/>
      <c r="U190" s="142"/>
      <c r="V190" s="147"/>
      <c r="W190" s="94"/>
      <c r="X190" s="142"/>
      <c r="Y190" s="142"/>
      <c r="Z190" s="142"/>
      <c r="AA190" s="147"/>
      <c r="AB190" s="94"/>
      <c r="AC190" s="142"/>
      <c r="AD190" s="142"/>
      <c r="AE190" s="142"/>
      <c r="AF190" s="147"/>
      <c r="AG190" s="94"/>
      <c r="AH190" s="142"/>
      <c r="AI190" s="142"/>
      <c r="AJ190" s="142"/>
      <c r="AK190" s="147"/>
      <c r="AL190" s="94"/>
      <c r="AM190" s="142"/>
      <c r="AN190" s="142"/>
      <c r="AO190" s="142"/>
      <c r="AP190" s="147"/>
      <c r="AQ190" s="94"/>
      <c r="AR190" s="142"/>
      <c r="AS190" s="142"/>
      <c r="AT190" s="142"/>
      <c r="AU190" s="147"/>
      <c r="AV190" s="94"/>
      <c r="AW190" s="142"/>
      <c r="AX190" s="142"/>
      <c r="AY190" s="142"/>
      <c r="AZ190" s="147"/>
      <c r="BA190" s="94"/>
      <c r="BB190" s="142"/>
      <c r="BC190" s="142"/>
      <c r="BD190" s="142"/>
      <c r="BE190" s="147"/>
      <c r="BF190" s="94"/>
      <c r="BG190" s="142"/>
      <c r="BH190" s="142"/>
      <c r="BI190" s="142"/>
      <c r="BJ190" s="147"/>
      <c r="BK190" s="94"/>
      <c r="BL190" s="142"/>
      <c r="BM190" s="142"/>
      <c r="BN190" s="142"/>
      <c r="BO190" s="147"/>
      <c r="BP190" s="94"/>
      <c r="BQ190" s="142"/>
      <c r="BR190" s="142"/>
      <c r="BS190" s="142"/>
      <c r="BT190" s="147"/>
      <c r="BU190" s="94"/>
      <c r="BV190" s="142"/>
      <c r="BW190" s="142"/>
      <c r="BX190" s="142"/>
      <c r="BY190" s="147"/>
      <c r="BZ190" s="94"/>
      <c r="CA190" s="142"/>
      <c r="CB190" s="142"/>
      <c r="CC190" s="142"/>
      <c r="CD190" s="147"/>
      <c r="CE190" s="94"/>
      <c r="CF190" s="142"/>
      <c r="CG190" s="142"/>
      <c r="CH190" s="142"/>
      <c r="CI190" s="147"/>
      <c r="CJ190" s="94"/>
      <c r="CK190" s="142"/>
      <c r="CL190" s="142"/>
      <c r="CM190" s="142"/>
      <c r="CN190" s="147"/>
      <c r="CO190" s="94"/>
      <c r="CP190" s="142"/>
      <c r="CQ190" s="142"/>
      <c r="CR190" s="142"/>
      <c r="CS190" s="147"/>
      <c r="CT190" s="94"/>
      <c r="CU190" s="142"/>
      <c r="CV190" s="142"/>
      <c r="CW190" s="142"/>
      <c r="CX190" s="147"/>
      <c r="CY190" s="94"/>
      <c r="CZ190" s="142"/>
      <c r="DA190" s="142"/>
      <c r="DB190" s="142"/>
      <c r="DC190" s="147"/>
      <c r="DD190" s="94"/>
      <c r="DE190" s="142"/>
      <c r="DF190" s="142"/>
      <c r="DG190" s="142"/>
      <c r="DH190" s="147"/>
      <c r="DI190" s="94"/>
      <c r="DJ190" s="142"/>
      <c r="DK190" s="142"/>
      <c r="DL190" s="142"/>
      <c r="DM190" s="147"/>
      <c r="DN190" s="94"/>
      <c r="DO190" s="142"/>
      <c r="DP190" s="142"/>
      <c r="DQ190" s="142"/>
      <c r="DR190" s="147"/>
      <c r="DS190" s="94"/>
      <c r="DT190" s="142"/>
      <c r="DU190" s="142"/>
      <c r="DV190" s="142"/>
      <c r="DW190" s="147"/>
      <c r="DX190" s="94"/>
      <c r="DY190" s="142"/>
      <c r="DZ190" s="142"/>
      <c r="EA190" s="142"/>
      <c r="EB190" s="147"/>
      <c r="EC190" s="94"/>
      <c r="ED190" s="142"/>
      <c r="EE190" s="142"/>
      <c r="EF190" s="142"/>
      <c r="EG190" s="147"/>
      <c r="EH190" s="94"/>
      <c r="EI190" s="142"/>
      <c r="EJ190" s="142"/>
      <c r="EK190" s="142"/>
      <c r="EL190" s="147"/>
      <c r="EM190" s="94"/>
      <c r="EN190" s="142"/>
      <c r="EO190" s="142"/>
      <c r="EP190" s="142"/>
      <c r="EQ190" s="147"/>
      <c r="ER190" s="94"/>
      <c r="ES190" s="142"/>
      <c r="ET190" s="142"/>
      <c r="EU190" s="142"/>
      <c r="EV190" s="147"/>
      <c r="EW190" s="94"/>
      <c r="EX190" s="142"/>
      <c r="EY190" s="142"/>
      <c r="EZ190" s="142"/>
      <c r="FA190" s="147"/>
      <c r="FB190" s="94"/>
      <c r="FC190" s="142"/>
      <c r="FD190" s="142"/>
      <c r="FE190" s="142"/>
      <c r="FF190" s="147"/>
      <c r="FG190" s="94"/>
      <c r="FH190" s="142"/>
      <c r="FI190" s="142"/>
      <c r="FJ190" s="142"/>
      <c r="FK190" s="147"/>
      <c r="FL190" s="94"/>
      <c r="FM190" s="142"/>
      <c r="FN190" s="142"/>
      <c r="FO190" s="142"/>
      <c r="FP190" s="147"/>
      <c r="FQ190" s="94"/>
      <c r="FR190" s="142"/>
      <c r="FS190" s="142"/>
      <c r="FT190" s="142"/>
      <c r="FU190" s="147"/>
      <c r="FV190" s="94"/>
      <c r="FW190" s="142"/>
      <c r="FX190" s="142"/>
      <c r="FY190" s="142"/>
      <c r="FZ190" s="147"/>
      <c r="GA190" s="94"/>
      <c r="GB190" s="142"/>
      <c r="GC190" s="142"/>
      <c r="GD190" s="142"/>
      <c r="GE190" s="147"/>
      <c r="GF190" s="94"/>
      <c r="GG190" s="142"/>
      <c r="GH190" s="142"/>
      <c r="GI190" s="142"/>
      <c r="GJ190" s="147"/>
    </row>
    <row r="191" spans="1:192" s="93" customFormat="1" ht="12.75" customHeight="1">
      <c r="A191" s="68"/>
      <c r="B191" s="704"/>
      <c r="C191" s="94"/>
      <c r="D191" s="142"/>
      <c r="E191" s="142"/>
      <c r="F191" s="142"/>
      <c r="G191" s="102"/>
      <c r="H191" s="94"/>
      <c r="I191" s="142"/>
      <c r="J191" s="142"/>
      <c r="K191" s="142"/>
      <c r="L191" s="102"/>
      <c r="M191" s="94"/>
      <c r="N191" s="142"/>
      <c r="O191" s="142"/>
      <c r="P191" s="142"/>
      <c r="Q191" s="102"/>
      <c r="R191" s="94"/>
      <c r="S191" s="142"/>
      <c r="T191" s="142"/>
      <c r="U191" s="142"/>
      <c r="V191" s="102"/>
      <c r="W191" s="94"/>
      <c r="X191" s="142"/>
      <c r="Y191" s="142"/>
      <c r="Z191" s="142"/>
      <c r="AA191" s="102"/>
      <c r="AB191" s="94"/>
      <c r="AC191" s="142"/>
      <c r="AD191" s="142"/>
      <c r="AE191" s="142"/>
      <c r="AF191" s="102"/>
      <c r="AG191" s="94"/>
      <c r="AH191" s="142"/>
      <c r="AI191" s="142"/>
      <c r="AJ191" s="142"/>
      <c r="AK191" s="102"/>
      <c r="AL191" s="94"/>
      <c r="AM191" s="142"/>
      <c r="AN191" s="142"/>
      <c r="AO191" s="142"/>
      <c r="AP191" s="102"/>
      <c r="AQ191" s="94"/>
      <c r="AR191" s="142"/>
      <c r="AS191" s="142"/>
      <c r="AT191" s="142"/>
      <c r="AU191" s="102"/>
      <c r="AV191" s="94"/>
      <c r="AW191" s="142"/>
      <c r="AX191" s="142"/>
      <c r="AY191" s="142"/>
      <c r="AZ191" s="102"/>
      <c r="BA191" s="94"/>
      <c r="BB191" s="142"/>
      <c r="BC191" s="142"/>
      <c r="BD191" s="142"/>
      <c r="BE191" s="102"/>
      <c r="BF191" s="94"/>
      <c r="BG191" s="142"/>
      <c r="BH191" s="142"/>
      <c r="BI191" s="142"/>
      <c r="BJ191" s="102"/>
      <c r="BK191" s="94"/>
      <c r="BL191" s="142"/>
      <c r="BM191" s="142"/>
      <c r="BN191" s="142"/>
      <c r="BO191" s="102"/>
      <c r="BP191" s="94"/>
      <c r="BQ191" s="142"/>
      <c r="BR191" s="142"/>
      <c r="BS191" s="142"/>
      <c r="BT191" s="102"/>
      <c r="BU191" s="94"/>
      <c r="BV191" s="142"/>
      <c r="BW191" s="142"/>
      <c r="BX191" s="142"/>
      <c r="BY191" s="102"/>
      <c r="BZ191" s="94"/>
      <c r="CA191" s="142"/>
      <c r="CB191" s="142"/>
      <c r="CC191" s="142"/>
      <c r="CD191" s="102"/>
      <c r="CE191" s="94"/>
      <c r="CF191" s="142"/>
      <c r="CG191" s="142"/>
      <c r="CH191" s="142"/>
      <c r="CI191" s="102"/>
      <c r="CJ191" s="94"/>
      <c r="CK191" s="142"/>
      <c r="CL191" s="142"/>
      <c r="CM191" s="142"/>
      <c r="CN191" s="102"/>
      <c r="CO191" s="94"/>
      <c r="CP191" s="142"/>
      <c r="CQ191" s="142"/>
      <c r="CR191" s="142"/>
      <c r="CS191" s="102"/>
      <c r="CT191" s="94"/>
      <c r="CU191" s="142"/>
      <c r="CV191" s="142"/>
      <c r="CW191" s="142"/>
      <c r="CX191" s="102"/>
      <c r="CY191" s="94"/>
      <c r="CZ191" s="142"/>
      <c r="DA191" s="142"/>
      <c r="DB191" s="142"/>
      <c r="DC191" s="102"/>
      <c r="DD191" s="94"/>
      <c r="DE191" s="142"/>
      <c r="DF191" s="142"/>
      <c r="DG191" s="142"/>
      <c r="DH191" s="102"/>
      <c r="DI191" s="94"/>
      <c r="DJ191" s="142"/>
      <c r="DK191" s="142"/>
      <c r="DL191" s="142"/>
      <c r="DM191" s="102"/>
      <c r="DN191" s="94"/>
      <c r="DO191" s="142"/>
      <c r="DP191" s="142"/>
      <c r="DQ191" s="142"/>
      <c r="DR191" s="102"/>
      <c r="DS191" s="94"/>
      <c r="DT191" s="142"/>
      <c r="DU191" s="142"/>
      <c r="DV191" s="142"/>
      <c r="DW191" s="102"/>
      <c r="DX191" s="94"/>
      <c r="DY191" s="142"/>
      <c r="DZ191" s="142"/>
      <c r="EA191" s="142"/>
      <c r="EB191" s="102"/>
      <c r="EC191" s="94"/>
      <c r="ED191" s="142"/>
      <c r="EE191" s="142"/>
      <c r="EF191" s="142"/>
      <c r="EG191" s="102"/>
      <c r="EH191" s="94"/>
      <c r="EI191" s="142"/>
      <c r="EJ191" s="142"/>
      <c r="EK191" s="142"/>
      <c r="EL191" s="102"/>
      <c r="EM191" s="94"/>
      <c r="EN191" s="142"/>
      <c r="EO191" s="142"/>
      <c r="EP191" s="142"/>
      <c r="EQ191" s="102"/>
      <c r="ER191" s="94"/>
      <c r="ES191" s="142"/>
      <c r="ET191" s="142"/>
      <c r="EU191" s="142"/>
      <c r="EV191" s="102"/>
      <c r="EW191" s="94"/>
      <c r="EX191" s="142"/>
      <c r="EY191" s="142"/>
      <c r="EZ191" s="142"/>
      <c r="FA191" s="102"/>
      <c r="FB191" s="94"/>
      <c r="FC191" s="142"/>
      <c r="FD191" s="142"/>
      <c r="FE191" s="142"/>
      <c r="FF191" s="102"/>
      <c r="FG191" s="94"/>
      <c r="FH191" s="142"/>
      <c r="FI191" s="142"/>
      <c r="FJ191" s="142"/>
      <c r="FK191" s="102"/>
      <c r="FL191" s="94"/>
      <c r="FM191" s="142"/>
      <c r="FN191" s="142"/>
      <c r="FO191" s="142"/>
      <c r="FP191" s="102"/>
      <c r="FQ191" s="94"/>
      <c r="FR191" s="142"/>
      <c r="FS191" s="142"/>
      <c r="FT191" s="142"/>
      <c r="FU191" s="102"/>
      <c r="FV191" s="94"/>
      <c r="FW191" s="142"/>
      <c r="FX191" s="142"/>
      <c r="FY191" s="142"/>
      <c r="FZ191" s="102"/>
      <c r="GA191" s="94"/>
      <c r="GB191" s="142"/>
      <c r="GC191" s="142"/>
      <c r="GD191" s="142"/>
      <c r="GE191" s="102"/>
      <c r="GF191" s="94"/>
      <c r="GG191" s="142"/>
      <c r="GH191" s="142"/>
      <c r="GI191" s="142"/>
      <c r="GJ191" s="102"/>
    </row>
    <row r="193" spans="1:192" s="93" customFormat="1" ht="12.75" customHeight="1">
      <c r="A193" s="68"/>
      <c r="B193" s="704"/>
      <c r="C193" s="94"/>
      <c r="D193" s="142"/>
      <c r="E193" s="142"/>
      <c r="F193" s="142"/>
      <c r="G193" s="142"/>
      <c r="H193" s="94"/>
      <c r="I193" s="142"/>
      <c r="J193" s="142"/>
      <c r="K193" s="142"/>
      <c r="L193" s="142"/>
      <c r="M193" s="94"/>
      <c r="N193" s="142"/>
      <c r="O193" s="142"/>
      <c r="P193" s="142"/>
      <c r="Q193" s="142"/>
      <c r="R193" s="94"/>
      <c r="S193" s="142"/>
      <c r="T193" s="142"/>
      <c r="U193" s="142"/>
      <c r="V193" s="142"/>
      <c r="W193" s="94"/>
      <c r="X193" s="142"/>
      <c r="Y193" s="142"/>
      <c r="Z193" s="142"/>
      <c r="AA193" s="142"/>
      <c r="AB193" s="94"/>
      <c r="AC193" s="142"/>
      <c r="AD193" s="142"/>
      <c r="AE193" s="142"/>
      <c r="AF193" s="142"/>
      <c r="AG193" s="94"/>
      <c r="AH193" s="142"/>
      <c r="AI193" s="142"/>
      <c r="AJ193" s="142"/>
      <c r="AK193" s="142"/>
      <c r="AL193" s="94"/>
      <c r="AM193" s="142"/>
      <c r="AN193" s="142"/>
      <c r="AO193" s="142"/>
      <c r="AP193" s="142"/>
      <c r="AQ193" s="94"/>
      <c r="AR193" s="142"/>
      <c r="AS193" s="142"/>
      <c r="AT193" s="142"/>
      <c r="AU193" s="142"/>
      <c r="AV193" s="94"/>
      <c r="AW193" s="142"/>
      <c r="AX193" s="142"/>
      <c r="AY193" s="142"/>
      <c r="AZ193" s="142"/>
      <c r="BA193" s="94"/>
      <c r="BB193" s="142"/>
      <c r="BC193" s="142"/>
      <c r="BD193" s="142"/>
      <c r="BE193" s="142"/>
      <c r="BF193" s="94"/>
      <c r="BG193" s="142"/>
      <c r="BH193" s="142"/>
      <c r="BI193" s="142"/>
      <c r="BJ193" s="142"/>
      <c r="BK193" s="94"/>
      <c r="BL193" s="142"/>
      <c r="BM193" s="142"/>
      <c r="BN193" s="142"/>
      <c r="BO193" s="142"/>
      <c r="BP193" s="94"/>
      <c r="BQ193" s="142"/>
      <c r="BR193" s="142"/>
      <c r="BS193" s="142"/>
      <c r="BT193" s="142"/>
      <c r="BU193" s="94"/>
      <c r="BV193" s="142"/>
      <c r="BW193" s="142"/>
      <c r="BX193" s="142"/>
      <c r="BY193" s="142"/>
      <c r="BZ193" s="94"/>
      <c r="CA193" s="142"/>
      <c r="CB193" s="142"/>
      <c r="CC193" s="142"/>
      <c r="CD193" s="142"/>
      <c r="CE193" s="94"/>
      <c r="CF193" s="142"/>
      <c r="CG193" s="142"/>
      <c r="CH193" s="142"/>
      <c r="CI193" s="142"/>
      <c r="CJ193" s="94"/>
      <c r="CK193" s="142"/>
      <c r="CL193" s="142"/>
      <c r="CM193" s="142"/>
      <c r="CN193" s="142"/>
      <c r="CO193" s="94"/>
      <c r="CP193" s="142"/>
      <c r="CQ193" s="142"/>
      <c r="CR193" s="142"/>
      <c r="CS193" s="142"/>
      <c r="CT193" s="94"/>
      <c r="CU193" s="142"/>
      <c r="CV193" s="142"/>
      <c r="CW193" s="142"/>
      <c r="CX193" s="142"/>
      <c r="CY193" s="94"/>
      <c r="CZ193" s="142"/>
      <c r="DA193" s="142"/>
      <c r="DB193" s="142"/>
      <c r="DC193" s="142"/>
      <c r="DD193" s="94"/>
      <c r="DE193" s="142"/>
      <c r="DF193" s="142"/>
      <c r="DG193" s="142"/>
      <c r="DH193" s="142"/>
      <c r="DI193" s="94"/>
      <c r="DJ193" s="142"/>
      <c r="DK193" s="142"/>
      <c r="DL193" s="142"/>
      <c r="DM193" s="142"/>
      <c r="DN193" s="94"/>
      <c r="DO193" s="142"/>
      <c r="DP193" s="142"/>
      <c r="DQ193" s="142"/>
      <c r="DR193" s="142"/>
      <c r="DS193" s="94"/>
      <c r="DT193" s="142"/>
      <c r="DU193" s="142"/>
      <c r="DV193" s="142"/>
      <c r="DW193" s="142"/>
      <c r="DX193" s="94"/>
      <c r="DY193" s="142"/>
      <c r="DZ193" s="142"/>
      <c r="EA193" s="142"/>
      <c r="EB193" s="142"/>
      <c r="EC193" s="94"/>
      <c r="ED193" s="142"/>
      <c r="EE193" s="142"/>
      <c r="EF193" s="142"/>
      <c r="EG193" s="142"/>
      <c r="EH193" s="94"/>
      <c r="EI193" s="142"/>
      <c r="EJ193" s="142"/>
      <c r="EK193" s="142"/>
      <c r="EL193" s="142"/>
      <c r="EM193" s="94"/>
      <c r="EN193" s="142"/>
      <c r="EO193" s="142"/>
      <c r="EP193" s="142"/>
      <c r="EQ193" s="142"/>
      <c r="ER193" s="94"/>
      <c r="ES193" s="142"/>
      <c r="ET193" s="142"/>
      <c r="EU193" s="142"/>
      <c r="EV193" s="142"/>
      <c r="EW193" s="94"/>
      <c r="EX193" s="142"/>
      <c r="EY193" s="142"/>
      <c r="EZ193" s="142"/>
      <c r="FA193" s="142"/>
      <c r="FB193" s="94"/>
      <c r="FC193" s="142"/>
      <c r="FD193" s="142"/>
      <c r="FE193" s="142"/>
      <c r="FF193" s="142"/>
      <c r="FG193" s="94"/>
      <c r="FH193" s="142"/>
      <c r="FI193" s="142"/>
      <c r="FJ193" s="142"/>
      <c r="FK193" s="142"/>
      <c r="FL193" s="94"/>
      <c r="FM193" s="142"/>
      <c r="FN193" s="142"/>
      <c r="FO193" s="142"/>
      <c r="FP193" s="142"/>
      <c r="FQ193" s="94"/>
      <c r="FR193" s="142"/>
      <c r="FS193" s="142"/>
      <c r="FT193" s="142"/>
      <c r="FU193" s="142"/>
      <c r="FV193" s="94"/>
      <c r="FW193" s="142"/>
      <c r="FX193" s="142"/>
      <c r="FY193" s="142"/>
      <c r="FZ193" s="142"/>
      <c r="GA193" s="94"/>
      <c r="GB193" s="142"/>
      <c r="GC193" s="142"/>
      <c r="GD193" s="142"/>
      <c r="GE193" s="142"/>
      <c r="GF193" s="94"/>
      <c r="GG193" s="142"/>
      <c r="GH193" s="142"/>
      <c r="GI193" s="142"/>
      <c r="GJ193" s="142"/>
    </row>
    <row r="194" spans="1:192" s="93" customFormat="1" ht="12.75" customHeight="1">
      <c r="A194" s="68"/>
      <c r="B194" s="704"/>
      <c r="C194" s="94"/>
      <c r="D194" s="142"/>
      <c r="E194" s="142"/>
      <c r="F194" s="142"/>
      <c r="G194" s="142"/>
      <c r="H194" s="94"/>
      <c r="I194" s="142"/>
      <c r="J194" s="142"/>
      <c r="K194" s="142"/>
      <c r="L194" s="142"/>
      <c r="M194" s="94"/>
      <c r="N194" s="142"/>
      <c r="O194" s="142"/>
      <c r="P194" s="142"/>
      <c r="Q194" s="142"/>
      <c r="R194" s="94"/>
      <c r="S194" s="142"/>
      <c r="T194" s="142"/>
      <c r="U194" s="142"/>
      <c r="V194" s="142"/>
      <c r="W194" s="94"/>
      <c r="X194" s="142"/>
      <c r="Y194" s="142"/>
      <c r="Z194" s="142"/>
      <c r="AA194" s="142"/>
      <c r="AB194" s="94"/>
      <c r="AC194" s="142"/>
      <c r="AD194" s="142"/>
      <c r="AE194" s="142"/>
      <c r="AF194" s="142"/>
      <c r="AG194" s="94"/>
      <c r="AH194" s="142"/>
      <c r="AI194" s="142"/>
      <c r="AJ194" s="142"/>
      <c r="AK194" s="142"/>
      <c r="AL194" s="94"/>
      <c r="AM194" s="142"/>
      <c r="AN194" s="142"/>
      <c r="AO194" s="142"/>
      <c r="AP194" s="142"/>
      <c r="AQ194" s="94"/>
      <c r="AR194" s="142"/>
      <c r="AS194" s="142"/>
      <c r="AT194" s="142"/>
      <c r="AU194" s="142"/>
      <c r="AV194" s="94"/>
      <c r="AW194" s="142"/>
      <c r="AX194" s="142"/>
      <c r="AY194" s="142"/>
      <c r="AZ194" s="142"/>
      <c r="BA194" s="94"/>
      <c r="BB194" s="142"/>
      <c r="BC194" s="142"/>
      <c r="BD194" s="142"/>
      <c r="BE194" s="142"/>
      <c r="BF194" s="94"/>
      <c r="BG194" s="142"/>
      <c r="BH194" s="142"/>
      <c r="BI194" s="142"/>
      <c r="BJ194" s="142"/>
      <c r="BK194" s="94"/>
      <c r="BL194" s="142"/>
      <c r="BM194" s="142"/>
      <c r="BN194" s="142"/>
      <c r="BO194" s="142"/>
      <c r="BP194" s="94"/>
      <c r="BQ194" s="142"/>
      <c r="BR194" s="142"/>
      <c r="BS194" s="142"/>
      <c r="BT194" s="142"/>
      <c r="BU194" s="94"/>
      <c r="BV194" s="142"/>
      <c r="BW194" s="142"/>
      <c r="BX194" s="142"/>
      <c r="BY194" s="142"/>
      <c r="BZ194" s="94"/>
      <c r="CA194" s="142"/>
      <c r="CB194" s="142"/>
      <c r="CC194" s="142"/>
      <c r="CD194" s="142"/>
      <c r="CE194" s="94"/>
      <c r="CF194" s="142"/>
      <c r="CG194" s="142"/>
      <c r="CH194" s="142"/>
      <c r="CI194" s="142"/>
      <c r="CJ194" s="94"/>
      <c r="CK194" s="142"/>
      <c r="CL194" s="142"/>
      <c r="CM194" s="142"/>
      <c r="CN194" s="142"/>
      <c r="CO194" s="94"/>
      <c r="CP194" s="142"/>
      <c r="CQ194" s="142"/>
      <c r="CR194" s="142"/>
      <c r="CS194" s="142"/>
      <c r="CT194" s="94"/>
      <c r="CU194" s="142"/>
      <c r="CV194" s="142"/>
      <c r="CW194" s="142"/>
      <c r="CX194" s="142"/>
      <c r="CY194" s="94"/>
      <c r="CZ194" s="142"/>
      <c r="DA194" s="142"/>
      <c r="DB194" s="142"/>
      <c r="DC194" s="142"/>
      <c r="DD194" s="94"/>
      <c r="DE194" s="142"/>
      <c r="DF194" s="142"/>
      <c r="DG194" s="142"/>
      <c r="DH194" s="142"/>
      <c r="DI194" s="94"/>
      <c r="DJ194" s="142"/>
      <c r="DK194" s="142"/>
      <c r="DL194" s="142"/>
      <c r="DM194" s="142"/>
      <c r="DN194" s="94"/>
      <c r="DO194" s="142"/>
      <c r="DP194" s="142"/>
      <c r="DQ194" s="142"/>
      <c r="DR194" s="142"/>
      <c r="DS194" s="94"/>
      <c r="DT194" s="142"/>
      <c r="DU194" s="142"/>
      <c r="DV194" s="142"/>
      <c r="DW194" s="142"/>
      <c r="DX194" s="94"/>
      <c r="DY194" s="142"/>
      <c r="DZ194" s="142"/>
      <c r="EA194" s="142"/>
      <c r="EB194" s="142"/>
      <c r="EC194" s="94"/>
      <c r="ED194" s="142"/>
      <c r="EE194" s="142"/>
      <c r="EF194" s="142"/>
      <c r="EG194" s="142"/>
      <c r="EH194" s="94"/>
      <c r="EI194" s="142"/>
      <c r="EJ194" s="142"/>
      <c r="EK194" s="142"/>
      <c r="EL194" s="142"/>
      <c r="EM194" s="94"/>
      <c r="EN194" s="142"/>
      <c r="EO194" s="142"/>
      <c r="EP194" s="142"/>
      <c r="EQ194" s="142"/>
      <c r="ER194" s="94"/>
      <c r="ES194" s="142"/>
      <c r="ET194" s="142"/>
      <c r="EU194" s="142"/>
      <c r="EV194" s="142"/>
      <c r="EW194" s="94"/>
      <c r="EX194" s="142"/>
      <c r="EY194" s="142"/>
      <c r="EZ194" s="142"/>
      <c r="FA194" s="142"/>
      <c r="FB194" s="94"/>
      <c r="FC194" s="142"/>
      <c r="FD194" s="142"/>
      <c r="FE194" s="142"/>
      <c r="FF194" s="142"/>
      <c r="FG194" s="94"/>
      <c r="FH194" s="142"/>
      <c r="FI194" s="142"/>
      <c r="FJ194" s="142"/>
      <c r="FK194" s="142"/>
      <c r="FL194" s="94"/>
      <c r="FM194" s="142"/>
      <c r="FN194" s="142"/>
      <c r="FO194" s="142"/>
      <c r="FP194" s="142"/>
      <c r="FQ194" s="94"/>
      <c r="FR194" s="142"/>
      <c r="FS194" s="142"/>
      <c r="FT194" s="142"/>
      <c r="FU194" s="142"/>
      <c r="FV194" s="94"/>
      <c r="FW194" s="142"/>
      <c r="FX194" s="142"/>
      <c r="FY194" s="142"/>
      <c r="FZ194" s="142"/>
      <c r="GA194" s="94"/>
      <c r="GB194" s="142"/>
      <c r="GC194" s="142"/>
      <c r="GD194" s="142"/>
      <c r="GE194" s="142"/>
      <c r="GF194" s="94"/>
      <c r="GG194" s="142"/>
      <c r="GH194" s="142"/>
      <c r="GI194" s="142"/>
      <c r="GJ194" s="142"/>
    </row>
    <row r="195" spans="1:192" s="93" customFormat="1" ht="12.75" customHeight="1">
      <c r="A195" s="68"/>
      <c r="B195" s="704"/>
      <c r="C195" s="94"/>
      <c r="D195" s="142"/>
      <c r="E195" s="142"/>
      <c r="F195" s="142"/>
      <c r="G195" s="142"/>
      <c r="H195" s="94"/>
      <c r="I195" s="142"/>
      <c r="J195" s="142"/>
      <c r="K195" s="142"/>
      <c r="L195" s="142"/>
      <c r="M195" s="94"/>
      <c r="N195" s="142"/>
      <c r="O195" s="142"/>
      <c r="P195" s="142"/>
      <c r="Q195" s="142"/>
      <c r="R195" s="94"/>
      <c r="S195" s="142"/>
      <c r="T195" s="142"/>
      <c r="U195" s="142"/>
      <c r="V195" s="142"/>
      <c r="W195" s="94"/>
      <c r="X195" s="142"/>
      <c r="Y195" s="142"/>
      <c r="Z195" s="142"/>
      <c r="AA195" s="142"/>
      <c r="AB195" s="94"/>
      <c r="AC195" s="142"/>
      <c r="AD195" s="142"/>
      <c r="AE195" s="142"/>
      <c r="AF195" s="142"/>
      <c r="AG195" s="94"/>
      <c r="AH195" s="142"/>
      <c r="AI195" s="142"/>
      <c r="AJ195" s="142"/>
      <c r="AK195" s="142"/>
      <c r="AL195" s="94"/>
      <c r="AM195" s="142"/>
      <c r="AN195" s="142"/>
      <c r="AO195" s="142"/>
      <c r="AP195" s="142"/>
      <c r="AQ195" s="94"/>
      <c r="AR195" s="142"/>
      <c r="AS195" s="142"/>
      <c r="AT195" s="142"/>
      <c r="AU195" s="142"/>
      <c r="AV195" s="94"/>
      <c r="AW195" s="142"/>
      <c r="AX195" s="142"/>
      <c r="AY195" s="142"/>
      <c r="AZ195" s="142"/>
      <c r="BA195" s="94"/>
      <c r="BB195" s="142"/>
      <c r="BC195" s="142"/>
      <c r="BD195" s="142"/>
      <c r="BE195" s="142"/>
      <c r="BF195" s="94"/>
      <c r="BG195" s="142"/>
      <c r="BH195" s="142"/>
      <c r="BI195" s="142"/>
      <c r="BJ195" s="142"/>
      <c r="BK195" s="94"/>
      <c r="BL195" s="142"/>
      <c r="BM195" s="142"/>
      <c r="BN195" s="142"/>
      <c r="BO195" s="142"/>
      <c r="BP195" s="94"/>
      <c r="BQ195" s="142"/>
      <c r="BR195" s="142"/>
      <c r="BS195" s="142"/>
      <c r="BT195" s="142"/>
      <c r="BU195" s="94"/>
      <c r="BV195" s="142"/>
      <c r="BW195" s="142"/>
      <c r="BX195" s="142"/>
      <c r="BY195" s="142"/>
      <c r="BZ195" s="94"/>
      <c r="CA195" s="142"/>
      <c r="CB195" s="142"/>
      <c r="CC195" s="142"/>
      <c r="CD195" s="142"/>
      <c r="CE195" s="94"/>
      <c r="CF195" s="142"/>
      <c r="CG195" s="142"/>
      <c r="CH195" s="142"/>
      <c r="CI195" s="142"/>
      <c r="CJ195" s="94"/>
      <c r="CK195" s="142"/>
      <c r="CL195" s="142"/>
      <c r="CM195" s="142"/>
      <c r="CN195" s="142"/>
      <c r="CO195" s="94"/>
      <c r="CP195" s="142"/>
      <c r="CQ195" s="142"/>
      <c r="CR195" s="142"/>
      <c r="CS195" s="142"/>
      <c r="CT195" s="94"/>
      <c r="CU195" s="142"/>
      <c r="CV195" s="142"/>
      <c r="CW195" s="142"/>
      <c r="CX195" s="142"/>
      <c r="CY195" s="94"/>
      <c r="CZ195" s="142"/>
      <c r="DA195" s="142"/>
      <c r="DB195" s="142"/>
      <c r="DC195" s="142"/>
      <c r="DD195" s="94"/>
      <c r="DE195" s="142"/>
      <c r="DF195" s="142"/>
      <c r="DG195" s="142"/>
      <c r="DH195" s="142"/>
      <c r="DI195" s="94"/>
      <c r="DJ195" s="142"/>
      <c r="DK195" s="142"/>
      <c r="DL195" s="142"/>
      <c r="DM195" s="142"/>
      <c r="DN195" s="94"/>
      <c r="DO195" s="142"/>
      <c r="DP195" s="142"/>
      <c r="DQ195" s="142"/>
      <c r="DR195" s="142"/>
      <c r="DS195" s="94"/>
      <c r="DT195" s="142"/>
      <c r="DU195" s="142"/>
      <c r="DV195" s="142"/>
      <c r="DW195" s="142"/>
      <c r="DX195" s="94"/>
      <c r="DY195" s="142"/>
      <c r="DZ195" s="142"/>
      <c r="EA195" s="142"/>
      <c r="EB195" s="142"/>
      <c r="EC195" s="94"/>
      <c r="ED195" s="142"/>
      <c r="EE195" s="142"/>
      <c r="EF195" s="142"/>
      <c r="EG195" s="142"/>
      <c r="EH195" s="94"/>
      <c r="EI195" s="142"/>
      <c r="EJ195" s="142"/>
      <c r="EK195" s="142"/>
      <c r="EL195" s="142"/>
      <c r="EM195" s="94"/>
      <c r="EN195" s="142"/>
      <c r="EO195" s="142"/>
      <c r="EP195" s="142"/>
      <c r="EQ195" s="142"/>
      <c r="ER195" s="94"/>
      <c r="ES195" s="142"/>
      <c r="ET195" s="142"/>
      <c r="EU195" s="142"/>
      <c r="EV195" s="142"/>
      <c r="EW195" s="94"/>
      <c r="EX195" s="142"/>
      <c r="EY195" s="142"/>
      <c r="EZ195" s="142"/>
      <c r="FA195" s="142"/>
      <c r="FB195" s="94"/>
      <c r="FC195" s="142"/>
      <c r="FD195" s="142"/>
      <c r="FE195" s="142"/>
      <c r="FF195" s="142"/>
      <c r="FG195" s="94"/>
      <c r="FH195" s="142"/>
      <c r="FI195" s="142"/>
      <c r="FJ195" s="142"/>
      <c r="FK195" s="142"/>
      <c r="FL195" s="94"/>
      <c r="FM195" s="142"/>
      <c r="FN195" s="142"/>
      <c r="FO195" s="142"/>
      <c r="FP195" s="142"/>
      <c r="FQ195" s="94"/>
      <c r="FR195" s="142"/>
      <c r="FS195" s="142"/>
      <c r="FT195" s="142"/>
      <c r="FU195" s="142"/>
      <c r="FV195" s="94"/>
      <c r="FW195" s="142"/>
      <c r="FX195" s="142"/>
      <c r="FY195" s="142"/>
      <c r="FZ195" s="142"/>
      <c r="GA195" s="94"/>
      <c r="GB195" s="142"/>
      <c r="GC195" s="142"/>
      <c r="GD195" s="142"/>
      <c r="GE195" s="142"/>
      <c r="GF195" s="94"/>
      <c r="GG195" s="142"/>
      <c r="GH195" s="142"/>
      <c r="GI195" s="142"/>
      <c r="GJ195" s="142"/>
    </row>
    <row r="196" spans="1:192" s="93" customFormat="1" ht="12.75" customHeight="1">
      <c r="A196" s="68"/>
      <c r="B196" s="704"/>
      <c r="C196" s="94"/>
      <c r="D196" s="142"/>
      <c r="E196" s="142"/>
      <c r="F196" s="142"/>
      <c r="G196" s="142"/>
      <c r="H196" s="94"/>
      <c r="I196" s="142"/>
      <c r="J196" s="142"/>
      <c r="K196" s="142"/>
      <c r="L196" s="142"/>
      <c r="M196" s="94"/>
      <c r="N196" s="142"/>
      <c r="O196" s="142"/>
      <c r="P196" s="142"/>
      <c r="Q196" s="142"/>
      <c r="R196" s="94"/>
      <c r="S196" s="142"/>
      <c r="T196" s="142"/>
      <c r="U196" s="142"/>
      <c r="V196" s="142"/>
      <c r="W196" s="94"/>
      <c r="X196" s="142"/>
      <c r="Y196" s="142"/>
      <c r="Z196" s="142"/>
      <c r="AA196" s="142"/>
      <c r="AB196" s="94"/>
      <c r="AC196" s="142"/>
      <c r="AD196" s="142"/>
      <c r="AE196" s="142"/>
      <c r="AF196" s="142"/>
      <c r="AG196" s="94"/>
      <c r="AH196" s="142"/>
      <c r="AI196" s="142"/>
      <c r="AJ196" s="142"/>
      <c r="AK196" s="142"/>
      <c r="AL196" s="94"/>
      <c r="AM196" s="142"/>
      <c r="AN196" s="142"/>
      <c r="AO196" s="142"/>
      <c r="AP196" s="142"/>
      <c r="AQ196" s="94"/>
      <c r="AR196" s="142"/>
      <c r="AS196" s="142"/>
      <c r="AT196" s="142"/>
      <c r="AU196" s="142"/>
      <c r="AV196" s="94"/>
      <c r="AW196" s="142"/>
      <c r="AX196" s="142"/>
      <c r="AY196" s="142"/>
      <c r="AZ196" s="142"/>
      <c r="BA196" s="94"/>
      <c r="BB196" s="142"/>
      <c r="BC196" s="142"/>
      <c r="BD196" s="142"/>
      <c r="BE196" s="142"/>
      <c r="BF196" s="94"/>
      <c r="BG196" s="142"/>
      <c r="BH196" s="142"/>
      <c r="BI196" s="142"/>
      <c r="BJ196" s="142"/>
      <c r="BK196" s="94"/>
      <c r="BL196" s="142"/>
      <c r="BM196" s="142"/>
      <c r="BN196" s="142"/>
      <c r="BO196" s="142"/>
      <c r="BP196" s="94"/>
      <c r="BQ196" s="142"/>
      <c r="BR196" s="142"/>
      <c r="BS196" s="142"/>
      <c r="BT196" s="142"/>
      <c r="BU196" s="94"/>
      <c r="BV196" s="142"/>
      <c r="BW196" s="142"/>
      <c r="BX196" s="142"/>
      <c r="BY196" s="142"/>
      <c r="BZ196" s="94"/>
      <c r="CA196" s="142"/>
      <c r="CB196" s="142"/>
      <c r="CC196" s="142"/>
      <c r="CD196" s="142"/>
      <c r="CE196" s="94"/>
      <c r="CF196" s="142"/>
      <c r="CG196" s="142"/>
      <c r="CH196" s="142"/>
      <c r="CI196" s="142"/>
      <c r="CJ196" s="94"/>
      <c r="CK196" s="142"/>
      <c r="CL196" s="142"/>
      <c r="CM196" s="142"/>
      <c r="CN196" s="142"/>
      <c r="CO196" s="94"/>
      <c r="CP196" s="142"/>
      <c r="CQ196" s="142"/>
      <c r="CR196" s="142"/>
      <c r="CS196" s="142"/>
      <c r="CT196" s="94"/>
      <c r="CU196" s="142"/>
      <c r="CV196" s="142"/>
      <c r="CW196" s="142"/>
      <c r="CX196" s="142"/>
      <c r="CY196" s="94"/>
      <c r="CZ196" s="142"/>
      <c r="DA196" s="142"/>
      <c r="DB196" s="142"/>
      <c r="DC196" s="142"/>
      <c r="DD196" s="94"/>
      <c r="DE196" s="142"/>
      <c r="DF196" s="142"/>
      <c r="DG196" s="142"/>
      <c r="DH196" s="142"/>
      <c r="DI196" s="94"/>
      <c r="DJ196" s="142"/>
      <c r="DK196" s="142"/>
      <c r="DL196" s="142"/>
      <c r="DM196" s="142"/>
      <c r="DN196" s="94"/>
      <c r="DO196" s="142"/>
      <c r="DP196" s="142"/>
      <c r="DQ196" s="142"/>
      <c r="DR196" s="142"/>
      <c r="DS196" s="94"/>
      <c r="DT196" s="142"/>
      <c r="DU196" s="142"/>
      <c r="DV196" s="142"/>
      <c r="DW196" s="142"/>
      <c r="DX196" s="94"/>
      <c r="DY196" s="142"/>
      <c r="DZ196" s="142"/>
      <c r="EA196" s="142"/>
      <c r="EB196" s="142"/>
      <c r="EC196" s="94"/>
      <c r="ED196" s="142"/>
      <c r="EE196" s="142"/>
      <c r="EF196" s="142"/>
      <c r="EG196" s="142"/>
      <c r="EH196" s="94"/>
      <c r="EI196" s="142"/>
      <c r="EJ196" s="142"/>
      <c r="EK196" s="142"/>
      <c r="EL196" s="142"/>
      <c r="EM196" s="94"/>
      <c r="EN196" s="142"/>
      <c r="EO196" s="142"/>
      <c r="EP196" s="142"/>
      <c r="EQ196" s="142"/>
      <c r="ER196" s="94"/>
      <c r="ES196" s="142"/>
      <c r="ET196" s="142"/>
      <c r="EU196" s="142"/>
      <c r="EV196" s="142"/>
      <c r="EW196" s="94"/>
      <c r="EX196" s="142"/>
      <c r="EY196" s="142"/>
      <c r="EZ196" s="142"/>
      <c r="FA196" s="142"/>
      <c r="FB196" s="94"/>
      <c r="FC196" s="142"/>
      <c r="FD196" s="142"/>
      <c r="FE196" s="142"/>
      <c r="FF196" s="142"/>
      <c r="FG196" s="94"/>
      <c r="FH196" s="142"/>
      <c r="FI196" s="142"/>
      <c r="FJ196" s="142"/>
      <c r="FK196" s="142"/>
      <c r="FL196" s="94"/>
      <c r="FM196" s="142"/>
      <c r="FN196" s="142"/>
      <c r="FO196" s="142"/>
      <c r="FP196" s="142"/>
      <c r="FQ196" s="94"/>
      <c r="FR196" s="142"/>
      <c r="FS196" s="142"/>
      <c r="FT196" s="142"/>
      <c r="FU196" s="142"/>
      <c r="FV196" s="94"/>
      <c r="FW196" s="142"/>
      <c r="FX196" s="142"/>
      <c r="FY196" s="142"/>
      <c r="FZ196" s="142"/>
      <c r="GA196" s="94"/>
      <c r="GB196" s="142"/>
      <c r="GC196" s="142"/>
      <c r="GD196" s="142"/>
      <c r="GE196" s="142"/>
      <c r="GF196" s="94"/>
      <c r="GG196" s="142"/>
      <c r="GH196" s="142"/>
      <c r="GI196" s="142"/>
      <c r="GJ196" s="142"/>
    </row>
    <row r="216" spans="1:192" s="93" customFormat="1" ht="12.75" customHeight="1">
      <c r="A216" s="68"/>
      <c r="B216" s="677"/>
      <c r="C216" s="148"/>
      <c r="D216" s="148"/>
      <c r="E216" s="148"/>
      <c r="F216" s="148"/>
      <c r="G216" s="148"/>
      <c r="H216" s="148"/>
      <c r="I216" s="148"/>
      <c r="J216" s="148"/>
      <c r="K216" s="148"/>
      <c r="L216" s="148"/>
      <c r="M216" s="148"/>
      <c r="N216" s="148"/>
      <c r="O216" s="148"/>
      <c r="P216" s="148"/>
      <c r="Q216" s="148"/>
      <c r="R216" s="148"/>
      <c r="S216" s="148"/>
      <c r="T216" s="148"/>
      <c r="U216" s="148"/>
      <c r="V216" s="148"/>
      <c r="W216" s="148"/>
      <c r="X216" s="148"/>
      <c r="Y216" s="148"/>
      <c r="Z216" s="148"/>
      <c r="AA216" s="148"/>
      <c r="AB216" s="148"/>
      <c r="AC216" s="148"/>
      <c r="AD216" s="148"/>
      <c r="AE216" s="148"/>
      <c r="AF216" s="148"/>
      <c r="AG216" s="148"/>
      <c r="AH216" s="148"/>
      <c r="AI216" s="148"/>
      <c r="AJ216" s="148"/>
      <c r="AK216" s="148"/>
      <c r="AL216" s="148"/>
      <c r="AM216" s="148"/>
      <c r="AN216" s="148"/>
      <c r="AO216" s="148"/>
      <c r="AP216" s="148"/>
      <c r="AQ216" s="148"/>
      <c r="AR216" s="148"/>
      <c r="AS216" s="148"/>
      <c r="AT216" s="148"/>
      <c r="AU216" s="148"/>
      <c r="AV216" s="148"/>
      <c r="AW216" s="148"/>
      <c r="AX216" s="148"/>
      <c r="AY216" s="148"/>
      <c r="AZ216" s="148"/>
      <c r="BA216" s="148"/>
      <c r="BB216" s="148"/>
      <c r="BC216" s="148"/>
      <c r="BD216" s="148"/>
      <c r="BE216" s="148"/>
      <c r="BF216" s="148"/>
      <c r="BG216" s="148"/>
      <c r="BH216" s="148"/>
      <c r="BI216" s="148"/>
      <c r="BJ216" s="148"/>
      <c r="BK216" s="148"/>
      <c r="BL216" s="148"/>
      <c r="BM216" s="148"/>
      <c r="BN216" s="148"/>
      <c r="BO216" s="148"/>
      <c r="BP216" s="148"/>
      <c r="BQ216" s="148"/>
      <c r="BR216" s="148"/>
      <c r="BS216" s="148"/>
      <c r="BT216" s="148"/>
      <c r="BU216" s="148"/>
      <c r="BV216" s="148"/>
      <c r="BW216" s="148"/>
      <c r="BX216" s="148"/>
      <c r="BY216" s="148"/>
      <c r="BZ216" s="148"/>
      <c r="CA216" s="148"/>
      <c r="CB216" s="148"/>
      <c r="CC216" s="148"/>
      <c r="CD216" s="148"/>
      <c r="CE216" s="148"/>
      <c r="CF216" s="148"/>
      <c r="CG216" s="148"/>
      <c r="CH216" s="148"/>
      <c r="CI216" s="148"/>
      <c r="CJ216" s="148"/>
      <c r="CK216" s="148"/>
      <c r="CL216" s="148"/>
      <c r="CM216" s="148"/>
      <c r="CN216" s="148"/>
      <c r="CO216" s="148"/>
      <c r="CP216" s="148"/>
      <c r="CQ216" s="148"/>
      <c r="CR216" s="148"/>
      <c r="CS216" s="148"/>
      <c r="CT216" s="148"/>
      <c r="CU216" s="148"/>
      <c r="CV216" s="148"/>
      <c r="CW216" s="148"/>
      <c r="CX216" s="148"/>
      <c r="CY216" s="148"/>
      <c r="CZ216" s="148"/>
      <c r="DA216" s="148"/>
      <c r="DB216" s="148"/>
      <c r="DC216" s="148"/>
      <c r="DD216" s="148"/>
      <c r="DE216" s="148"/>
      <c r="DF216" s="148"/>
      <c r="DG216" s="148"/>
      <c r="DH216" s="148"/>
      <c r="DI216" s="148"/>
      <c r="DJ216" s="148"/>
      <c r="DK216" s="148"/>
      <c r="DL216" s="148"/>
      <c r="DM216" s="148"/>
      <c r="DN216" s="148"/>
      <c r="DO216" s="148"/>
      <c r="DP216" s="148"/>
      <c r="DQ216" s="148"/>
      <c r="DR216" s="148"/>
      <c r="DS216" s="148"/>
      <c r="DT216" s="148"/>
      <c r="DU216" s="148"/>
      <c r="DV216" s="148"/>
      <c r="DW216" s="148"/>
      <c r="DX216" s="148"/>
      <c r="DY216" s="148"/>
      <c r="DZ216" s="148"/>
      <c r="EA216" s="148"/>
      <c r="EB216" s="148"/>
      <c r="EC216" s="148"/>
      <c r="ED216" s="148"/>
      <c r="EE216" s="148"/>
      <c r="EF216" s="148"/>
      <c r="EG216" s="148"/>
      <c r="EH216" s="148"/>
      <c r="EI216" s="148"/>
      <c r="EJ216" s="148"/>
      <c r="EK216" s="148"/>
      <c r="EL216" s="148"/>
      <c r="EM216" s="148"/>
      <c r="EN216" s="148"/>
      <c r="EO216" s="148"/>
      <c r="EP216" s="148"/>
      <c r="EQ216" s="148"/>
      <c r="ER216" s="148"/>
      <c r="ES216" s="148"/>
      <c r="ET216" s="148"/>
      <c r="EU216" s="148"/>
      <c r="EV216" s="148"/>
      <c r="EW216" s="148"/>
      <c r="EX216" s="148"/>
      <c r="EY216" s="148"/>
      <c r="EZ216" s="148"/>
      <c r="FA216" s="148"/>
      <c r="FB216" s="148"/>
      <c r="FC216" s="148"/>
      <c r="FD216" s="148"/>
      <c r="FE216" s="148"/>
      <c r="FF216" s="148"/>
      <c r="FG216" s="148"/>
      <c r="FH216" s="148"/>
      <c r="FI216" s="148"/>
      <c r="FJ216" s="148"/>
      <c r="FK216" s="148"/>
      <c r="FL216" s="148"/>
      <c r="FM216" s="148"/>
      <c r="FN216" s="148"/>
      <c r="FO216" s="148"/>
      <c r="FP216" s="148"/>
      <c r="FQ216" s="148"/>
      <c r="FR216" s="148"/>
      <c r="FS216" s="148"/>
      <c r="FT216" s="148"/>
      <c r="FU216" s="148"/>
      <c r="FV216" s="148"/>
      <c r="FW216" s="148"/>
      <c r="FX216" s="148"/>
      <c r="FY216" s="148"/>
      <c r="FZ216" s="148"/>
      <c r="GA216" s="148"/>
      <c r="GB216" s="148"/>
      <c r="GC216" s="148"/>
      <c r="GD216" s="148"/>
      <c r="GE216" s="148"/>
      <c r="GF216" s="148"/>
      <c r="GG216" s="148"/>
      <c r="GH216" s="148"/>
      <c r="GI216" s="148"/>
      <c r="GJ216" s="148"/>
    </row>
    <row r="217" spans="1:192" s="93" customFormat="1" ht="12.75" customHeight="1">
      <c r="A217" s="68"/>
      <c r="B217" s="677"/>
      <c r="C217" s="148"/>
      <c r="D217" s="148"/>
      <c r="E217" s="148"/>
      <c r="F217" s="148"/>
      <c r="G217" s="148"/>
      <c r="H217" s="148"/>
      <c r="I217" s="148"/>
      <c r="J217" s="148"/>
      <c r="K217" s="148"/>
      <c r="L217" s="148"/>
      <c r="M217" s="148"/>
      <c r="N217" s="148"/>
      <c r="O217" s="148"/>
      <c r="P217" s="148"/>
      <c r="Q217" s="148"/>
      <c r="R217" s="148"/>
      <c r="S217" s="148"/>
      <c r="T217" s="148"/>
      <c r="U217" s="148"/>
      <c r="V217" s="148"/>
      <c r="W217" s="148"/>
      <c r="X217" s="148"/>
      <c r="Y217" s="148"/>
      <c r="Z217" s="148"/>
      <c r="AA217" s="148"/>
      <c r="AB217" s="148"/>
      <c r="AC217" s="148"/>
      <c r="AD217" s="148"/>
      <c r="AE217" s="148"/>
      <c r="AF217" s="148"/>
      <c r="AG217" s="148"/>
      <c r="AH217" s="148"/>
      <c r="AI217" s="148"/>
      <c r="AJ217" s="148"/>
      <c r="AK217" s="148"/>
      <c r="AL217" s="148"/>
      <c r="AM217" s="148"/>
      <c r="AN217" s="148"/>
      <c r="AO217" s="148"/>
      <c r="AP217" s="148"/>
      <c r="AQ217" s="148"/>
      <c r="AR217" s="148"/>
      <c r="AS217" s="148"/>
      <c r="AT217" s="148"/>
      <c r="AU217" s="148"/>
      <c r="AV217" s="148"/>
      <c r="AW217" s="148"/>
      <c r="AX217" s="148"/>
      <c r="AY217" s="148"/>
      <c r="AZ217" s="148"/>
      <c r="BA217" s="148"/>
      <c r="BB217" s="148"/>
      <c r="BC217" s="148"/>
      <c r="BD217" s="148"/>
      <c r="BE217" s="148"/>
      <c r="BF217" s="148"/>
      <c r="BG217" s="148"/>
      <c r="BH217" s="148"/>
      <c r="BI217" s="148"/>
      <c r="BJ217" s="148"/>
      <c r="BK217" s="148"/>
      <c r="BL217" s="148"/>
      <c r="BM217" s="148"/>
      <c r="BN217" s="148"/>
      <c r="BO217" s="148"/>
      <c r="BP217" s="148"/>
      <c r="BQ217" s="148"/>
      <c r="BR217" s="148"/>
      <c r="BS217" s="148"/>
      <c r="BT217" s="148"/>
      <c r="BU217" s="148"/>
      <c r="BV217" s="148"/>
      <c r="BW217" s="148"/>
      <c r="BX217" s="148"/>
      <c r="BY217" s="148"/>
      <c r="BZ217" s="148"/>
      <c r="CA217" s="148"/>
      <c r="CB217" s="148"/>
      <c r="CC217" s="148"/>
      <c r="CD217" s="148"/>
      <c r="CE217" s="148"/>
      <c r="CF217" s="148"/>
      <c r="CG217" s="148"/>
      <c r="CH217" s="148"/>
      <c r="CI217" s="148"/>
      <c r="CJ217" s="148"/>
      <c r="CK217" s="148"/>
      <c r="CL217" s="148"/>
      <c r="CM217" s="148"/>
      <c r="CN217" s="148"/>
      <c r="CO217" s="148"/>
      <c r="CP217" s="148"/>
      <c r="CQ217" s="148"/>
      <c r="CR217" s="148"/>
      <c r="CS217" s="148"/>
      <c r="CT217" s="148"/>
      <c r="CU217" s="148"/>
      <c r="CV217" s="148"/>
      <c r="CW217" s="148"/>
      <c r="CX217" s="148"/>
      <c r="CY217" s="148"/>
      <c r="CZ217" s="148"/>
      <c r="DA217" s="148"/>
      <c r="DB217" s="148"/>
      <c r="DC217" s="148"/>
      <c r="DD217" s="148"/>
      <c r="DE217" s="148"/>
      <c r="DF217" s="148"/>
      <c r="DG217" s="148"/>
      <c r="DH217" s="148"/>
      <c r="DI217" s="148"/>
      <c r="DJ217" s="148"/>
      <c r="DK217" s="148"/>
      <c r="DL217" s="148"/>
      <c r="DM217" s="148"/>
      <c r="DN217" s="148"/>
      <c r="DO217" s="148"/>
      <c r="DP217" s="148"/>
      <c r="DQ217" s="148"/>
      <c r="DR217" s="148"/>
      <c r="DS217" s="148"/>
      <c r="DT217" s="148"/>
      <c r="DU217" s="148"/>
      <c r="DV217" s="148"/>
      <c r="DW217" s="148"/>
      <c r="DX217" s="148"/>
      <c r="DY217" s="148"/>
      <c r="DZ217" s="148"/>
      <c r="EA217" s="148"/>
      <c r="EB217" s="148"/>
      <c r="EC217" s="148"/>
      <c r="ED217" s="148"/>
      <c r="EE217" s="148"/>
      <c r="EF217" s="148"/>
      <c r="EG217" s="148"/>
      <c r="EH217" s="148"/>
      <c r="EI217" s="148"/>
      <c r="EJ217" s="148"/>
      <c r="EK217" s="148"/>
      <c r="EL217" s="148"/>
      <c r="EM217" s="148"/>
      <c r="EN217" s="148"/>
      <c r="EO217" s="148"/>
      <c r="EP217" s="148"/>
      <c r="EQ217" s="148"/>
      <c r="ER217" s="148"/>
      <c r="ES217" s="148"/>
      <c r="ET217" s="148"/>
      <c r="EU217" s="148"/>
      <c r="EV217" s="148"/>
      <c r="EW217" s="148"/>
      <c r="EX217" s="148"/>
      <c r="EY217" s="148"/>
      <c r="EZ217" s="148"/>
      <c r="FA217" s="148"/>
      <c r="FB217" s="148"/>
      <c r="FC217" s="148"/>
      <c r="FD217" s="148"/>
      <c r="FE217" s="148"/>
      <c r="FF217" s="148"/>
      <c r="FG217" s="148"/>
      <c r="FH217" s="148"/>
      <c r="FI217" s="148"/>
      <c r="FJ217" s="148"/>
      <c r="FK217" s="148"/>
      <c r="FL217" s="148"/>
      <c r="FM217" s="148"/>
      <c r="FN217" s="148"/>
      <c r="FO217" s="148"/>
      <c r="FP217" s="148"/>
      <c r="FQ217" s="148"/>
      <c r="FR217" s="148"/>
      <c r="FS217" s="148"/>
      <c r="FT217" s="148"/>
      <c r="FU217" s="148"/>
      <c r="FV217" s="148"/>
      <c r="FW217" s="148"/>
      <c r="FX217" s="148"/>
      <c r="FY217" s="148"/>
      <c r="FZ217" s="148"/>
      <c r="GA217" s="148"/>
      <c r="GB217" s="148"/>
      <c r="GC217" s="148"/>
      <c r="GD217" s="148"/>
      <c r="GE217" s="148"/>
      <c r="GF217" s="148"/>
      <c r="GG217" s="148"/>
      <c r="GH217" s="148"/>
      <c r="GI217" s="148"/>
      <c r="GJ217" s="148"/>
    </row>
    <row r="218" spans="1:192" s="93" customFormat="1" ht="12.75" customHeight="1">
      <c r="A218" s="68"/>
      <c r="B218" s="677"/>
      <c r="C218" s="149"/>
      <c r="D218" s="148"/>
      <c r="E218" s="148"/>
      <c r="F218" s="148"/>
      <c r="G218" s="148"/>
      <c r="H218" s="149"/>
      <c r="I218" s="148"/>
      <c r="J218" s="148"/>
      <c r="K218" s="148"/>
      <c r="L218" s="148"/>
      <c r="M218" s="149"/>
      <c r="N218" s="148"/>
      <c r="O218" s="148"/>
      <c r="P218" s="148"/>
      <c r="Q218" s="148"/>
      <c r="R218" s="149"/>
      <c r="S218" s="148"/>
      <c r="T218" s="148"/>
      <c r="U218" s="148"/>
      <c r="V218" s="148"/>
      <c r="W218" s="149"/>
      <c r="X218" s="148"/>
      <c r="Y218" s="148"/>
      <c r="Z218" s="148"/>
      <c r="AA218" s="148"/>
      <c r="AB218" s="149"/>
      <c r="AC218" s="148"/>
      <c r="AD218" s="148"/>
      <c r="AE218" s="148"/>
      <c r="AF218" s="148"/>
      <c r="AG218" s="149"/>
      <c r="AH218" s="148"/>
      <c r="AI218" s="148"/>
      <c r="AJ218" s="148"/>
      <c r="AK218" s="148"/>
      <c r="AL218" s="149"/>
      <c r="AM218" s="148"/>
      <c r="AN218" s="148"/>
      <c r="AO218" s="148"/>
      <c r="AP218" s="148"/>
      <c r="AQ218" s="149"/>
      <c r="AR218" s="148"/>
      <c r="AS218" s="148"/>
      <c r="AT218" s="148"/>
      <c r="AU218" s="148"/>
      <c r="AV218" s="149"/>
      <c r="AW218" s="148"/>
      <c r="AX218" s="148"/>
      <c r="AY218" s="148"/>
      <c r="AZ218" s="148"/>
      <c r="BA218" s="149"/>
      <c r="BB218" s="148"/>
      <c r="BC218" s="148"/>
      <c r="BD218" s="148"/>
      <c r="BE218" s="148"/>
      <c r="BF218" s="149"/>
      <c r="BG218" s="148"/>
      <c r="BH218" s="148"/>
      <c r="BI218" s="148"/>
      <c r="BJ218" s="148"/>
      <c r="BK218" s="149"/>
      <c r="BL218" s="148"/>
      <c r="BM218" s="148"/>
      <c r="BN218" s="148"/>
      <c r="BO218" s="148"/>
      <c r="BP218" s="149"/>
      <c r="BQ218" s="148"/>
      <c r="BR218" s="148"/>
      <c r="BS218" s="148"/>
      <c r="BT218" s="148"/>
      <c r="BU218" s="149"/>
      <c r="BV218" s="148"/>
      <c r="BW218" s="148"/>
      <c r="BX218" s="148"/>
      <c r="BY218" s="148"/>
      <c r="BZ218" s="149"/>
      <c r="CA218" s="148"/>
      <c r="CB218" s="148"/>
      <c r="CC218" s="148"/>
      <c r="CD218" s="148"/>
      <c r="CE218" s="149"/>
      <c r="CF218" s="148"/>
      <c r="CG218" s="148"/>
      <c r="CH218" s="148"/>
      <c r="CI218" s="148"/>
      <c r="CJ218" s="149"/>
      <c r="CK218" s="148"/>
      <c r="CL218" s="148"/>
      <c r="CM218" s="148"/>
      <c r="CN218" s="148"/>
      <c r="CO218" s="149"/>
      <c r="CP218" s="148"/>
      <c r="CQ218" s="148"/>
      <c r="CR218" s="148"/>
      <c r="CS218" s="148"/>
      <c r="CT218" s="149"/>
      <c r="CU218" s="148"/>
      <c r="CV218" s="148"/>
      <c r="CW218" s="148"/>
      <c r="CX218" s="148"/>
      <c r="CY218" s="149"/>
      <c r="CZ218" s="148"/>
      <c r="DA218" s="148"/>
      <c r="DB218" s="148"/>
      <c r="DC218" s="148"/>
      <c r="DD218" s="149"/>
      <c r="DE218" s="148"/>
      <c r="DF218" s="148"/>
      <c r="DG218" s="148"/>
      <c r="DH218" s="148"/>
      <c r="DI218" s="149"/>
      <c r="DJ218" s="148"/>
      <c r="DK218" s="148"/>
      <c r="DL218" s="148"/>
      <c r="DM218" s="148"/>
      <c r="DN218" s="149"/>
      <c r="DO218" s="148"/>
      <c r="DP218" s="148"/>
      <c r="DQ218" s="148"/>
      <c r="DR218" s="148"/>
      <c r="DS218" s="149"/>
      <c r="DT218" s="148"/>
      <c r="DU218" s="148"/>
      <c r="DV218" s="148"/>
      <c r="DW218" s="148"/>
      <c r="DX218" s="149"/>
      <c r="DY218" s="148"/>
      <c r="DZ218" s="148"/>
      <c r="EA218" s="148"/>
      <c r="EB218" s="148"/>
      <c r="EC218" s="149"/>
      <c r="ED218" s="148"/>
      <c r="EE218" s="148"/>
      <c r="EF218" s="148"/>
      <c r="EG218" s="148"/>
      <c r="EH218" s="149"/>
      <c r="EI218" s="148"/>
      <c r="EJ218" s="148"/>
      <c r="EK218" s="148"/>
      <c r="EL218" s="148"/>
      <c r="EM218" s="149"/>
      <c r="EN218" s="148"/>
      <c r="EO218" s="148"/>
      <c r="EP218" s="148"/>
      <c r="EQ218" s="148"/>
      <c r="ER218" s="149"/>
      <c r="ES218" s="148"/>
      <c r="ET218" s="148"/>
      <c r="EU218" s="148"/>
      <c r="EV218" s="148"/>
      <c r="EW218" s="149"/>
      <c r="EX218" s="148"/>
      <c r="EY218" s="148"/>
      <c r="EZ218" s="148"/>
      <c r="FA218" s="148"/>
      <c r="FB218" s="149"/>
      <c r="FC218" s="148"/>
      <c r="FD218" s="148"/>
      <c r="FE218" s="148"/>
      <c r="FF218" s="148"/>
      <c r="FG218" s="149"/>
      <c r="FH218" s="148"/>
      <c r="FI218" s="148"/>
      <c r="FJ218" s="148"/>
      <c r="FK218" s="148"/>
      <c r="FL218" s="149"/>
      <c r="FM218" s="148"/>
      <c r="FN218" s="148"/>
      <c r="FO218" s="148"/>
      <c r="FP218" s="148"/>
      <c r="FQ218" s="149"/>
      <c r="FR218" s="148"/>
      <c r="FS218" s="148"/>
      <c r="FT218" s="148"/>
      <c r="FU218" s="148"/>
      <c r="FV218" s="149"/>
      <c r="FW218" s="148"/>
      <c r="FX218" s="148"/>
      <c r="FY218" s="148"/>
      <c r="FZ218" s="148"/>
      <c r="GA218" s="149"/>
      <c r="GB218" s="148"/>
      <c r="GC218" s="148"/>
      <c r="GD218" s="148"/>
      <c r="GE218" s="148"/>
      <c r="GF218" s="149"/>
      <c r="GG218" s="148"/>
      <c r="GH218" s="148"/>
      <c r="GI218" s="148"/>
      <c r="GJ218" s="148"/>
    </row>
    <row r="219" spans="1:192" s="93" customFormat="1" ht="12.75" customHeight="1">
      <c r="A219" s="68"/>
      <c r="B219" s="677"/>
      <c r="C219" s="150"/>
      <c r="D219" s="148"/>
      <c r="E219" s="148"/>
      <c r="F219" s="148"/>
      <c r="G219" s="148"/>
      <c r="H219" s="150"/>
      <c r="I219" s="148"/>
      <c r="J219" s="148"/>
      <c r="K219" s="148"/>
      <c r="L219" s="148"/>
      <c r="M219" s="150"/>
      <c r="N219" s="148"/>
      <c r="O219" s="148"/>
      <c r="P219" s="148"/>
      <c r="Q219" s="148"/>
      <c r="R219" s="150"/>
      <c r="S219" s="148"/>
      <c r="T219" s="148"/>
      <c r="U219" s="148"/>
      <c r="V219" s="148"/>
      <c r="W219" s="150"/>
      <c r="X219" s="148"/>
      <c r="Y219" s="148"/>
      <c r="Z219" s="148"/>
      <c r="AA219" s="148"/>
      <c r="AB219" s="150"/>
      <c r="AC219" s="148"/>
      <c r="AD219" s="148"/>
      <c r="AE219" s="148"/>
      <c r="AF219" s="148"/>
      <c r="AG219" s="150"/>
      <c r="AH219" s="148"/>
      <c r="AI219" s="148"/>
      <c r="AJ219" s="148"/>
      <c r="AK219" s="148"/>
      <c r="AL219" s="150"/>
      <c r="AM219" s="148"/>
      <c r="AN219" s="148"/>
      <c r="AO219" s="148"/>
      <c r="AP219" s="148"/>
      <c r="AQ219" s="150"/>
      <c r="AR219" s="148"/>
      <c r="AS219" s="148"/>
      <c r="AT219" s="148"/>
      <c r="AU219" s="148"/>
      <c r="AV219" s="150"/>
      <c r="AW219" s="148"/>
      <c r="AX219" s="148"/>
      <c r="AY219" s="148"/>
      <c r="AZ219" s="148"/>
      <c r="BA219" s="150"/>
      <c r="BB219" s="148"/>
      <c r="BC219" s="148"/>
      <c r="BD219" s="148"/>
      <c r="BE219" s="148"/>
      <c r="BF219" s="150"/>
      <c r="BG219" s="148"/>
      <c r="BH219" s="148"/>
      <c r="BI219" s="148"/>
      <c r="BJ219" s="148"/>
      <c r="BK219" s="150"/>
      <c r="BL219" s="148"/>
      <c r="BM219" s="148"/>
      <c r="BN219" s="148"/>
      <c r="BO219" s="148"/>
      <c r="BP219" s="150"/>
      <c r="BQ219" s="148"/>
      <c r="BR219" s="148"/>
      <c r="BS219" s="148"/>
      <c r="BT219" s="148"/>
      <c r="BU219" s="150"/>
      <c r="BV219" s="148"/>
      <c r="BW219" s="148"/>
      <c r="BX219" s="148"/>
      <c r="BY219" s="148"/>
      <c r="BZ219" s="150"/>
      <c r="CA219" s="148"/>
      <c r="CB219" s="148"/>
      <c r="CC219" s="148"/>
      <c r="CD219" s="148"/>
      <c r="CE219" s="150"/>
      <c r="CF219" s="148"/>
      <c r="CG219" s="148"/>
      <c r="CH219" s="148"/>
      <c r="CI219" s="148"/>
      <c r="CJ219" s="150"/>
      <c r="CK219" s="148"/>
      <c r="CL219" s="148"/>
      <c r="CM219" s="148"/>
      <c r="CN219" s="148"/>
      <c r="CO219" s="150"/>
      <c r="CP219" s="148"/>
      <c r="CQ219" s="148"/>
      <c r="CR219" s="148"/>
      <c r="CS219" s="148"/>
      <c r="CT219" s="150"/>
      <c r="CU219" s="148"/>
      <c r="CV219" s="148"/>
      <c r="CW219" s="148"/>
      <c r="CX219" s="148"/>
      <c r="CY219" s="150"/>
      <c r="CZ219" s="148"/>
      <c r="DA219" s="148"/>
      <c r="DB219" s="148"/>
      <c r="DC219" s="148"/>
      <c r="DD219" s="150"/>
      <c r="DE219" s="148"/>
      <c r="DF219" s="148"/>
      <c r="DG219" s="148"/>
      <c r="DH219" s="148"/>
      <c r="DI219" s="150"/>
      <c r="DJ219" s="148"/>
      <c r="DK219" s="148"/>
      <c r="DL219" s="148"/>
      <c r="DM219" s="148"/>
      <c r="DN219" s="150"/>
      <c r="DO219" s="148"/>
      <c r="DP219" s="148"/>
      <c r="DQ219" s="148"/>
      <c r="DR219" s="148"/>
      <c r="DS219" s="150"/>
      <c r="DT219" s="148"/>
      <c r="DU219" s="148"/>
      <c r="DV219" s="148"/>
      <c r="DW219" s="148"/>
      <c r="DX219" s="150"/>
      <c r="DY219" s="148"/>
      <c r="DZ219" s="148"/>
      <c r="EA219" s="148"/>
      <c r="EB219" s="148"/>
      <c r="EC219" s="150"/>
      <c r="ED219" s="148"/>
      <c r="EE219" s="148"/>
      <c r="EF219" s="148"/>
      <c r="EG219" s="148"/>
      <c r="EH219" s="150"/>
      <c r="EI219" s="148"/>
      <c r="EJ219" s="148"/>
      <c r="EK219" s="148"/>
      <c r="EL219" s="148"/>
      <c r="EM219" s="150"/>
      <c r="EN219" s="148"/>
      <c r="EO219" s="148"/>
      <c r="EP219" s="148"/>
      <c r="EQ219" s="148"/>
      <c r="ER219" s="150"/>
      <c r="ES219" s="148"/>
      <c r="ET219" s="148"/>
      <c r="EU219" s="148"/>
      <c r="EV219" s="148"/>
      <c r="EW219" s="150"/>
      <c r="EX219" s="148"/>
      <c r="EY219" s="148"/>
      <c r="EZ219" s="148"/>
      <c r="FA219" s="148"/>
      <c r="FB219" s="150"/>
      <c r="FC219" s="148"/>
      <c r="FD219" s="148"/>
      <c r="FE219" s="148"/>
      <c r="FF219" s="148"/>
      <c r="FG219" s="150"/>
      <c r="FH219" s="148"/>
      <c r="FI219" s="148"/>
      <c r="FJ219" s="148"/>
      <c r="FK219" s="148"/>
      <c r="FL219" s="150"/>
      <c r="FM219" s="148"/>
      <c r="FN219" s="148"/>
      <c r="FO219" s="148"/>
      <c r="FP219" s="148"/>
      <c r="FQ219" s="150"/>
      <c r="FR219" s="148"/>
      <c r="FS219" s="148"/>
      <c r="FT219" s="148"/>
      <c r="FU219" s="148"/>
      <c r="FV219" s="150"/>
      <c r="FW219" s="148"/>
      <c r="FX219" s="148"/>
      <c r="FY219" s="148"/>
      <c r="FZ219" s="148"/>
      <c r="GA219" s="150"/>
      <c r="GB219" s="148"/>
      <c r="GC219" s="148"/>
      <c r="GD219" s="148"/>
      <c r="GE219" s="148"/>
      <c r="GF219" s="150"/>
      <c r="GG219" s="148"/>
      <c r="GH219" s="148"/>
      <c r="GI219" s="148"/>
      <c r="GJ219" s="148"/>
    </row>
    <row r="220" spans="1:192" s="93" customFormat="1" ht="12.75" customHeight="1">
      <c r="A220" s="68"/>
      <c r="B220" s="677"/>
      <c r="C220" s="151"/>
      <c r="D220" s="152"/>
      <c r="E220" s="152"/>
      <c r="F220" s="152"/>
      <c r="G220" s="152"/>
      <c r="H220" s="151"/>
      <c r="I220" s="152"/>
      <c r="J220" s="152"/>
      <c r="K220" s="152"/>
      <c r="L220" s="152"/>
      <c r="M220" s="151"/>
      <c r="N220" s="152"/>
      <c r="O220" s="152"/>
      <c r="P220" s="152"/>
      <c r="Q220" s="152"/>
      <c r="R220" s="151"/>
      <c r="S220" s="152"/>
      <c r="T220" s="152"/>
      <c r="U220" s="152"/>
      <c r="V220" s="152"/>
      <c r="W220" s="151"/>
      <c r="X220" s="152"/>
      <c r="Y220" s="152"/>
      <c r="Z220" s="152"/>
      <c r="AA220" s="152"/>
      <c r="AB220" s="151"/>
      <c r="AC220" s="152"/>
      <c r="AD220" s="152"/>
      <c r="AE220" s="152"/>
      <c r="AF220" s="152"/>
      <c r="AG220" s="151"/>
      <c r="AH220" s="152"/>
      <c r="AI220" s="152"/>
      <c r="AJ220" s="152"/>
      <c r="AK220" s="152"/>
      <c r="AL220" s="151"/>
      <c r="AM220" s="152"/>
      <c r="AN220" s="152"/>
      <c r="AO220" s="152"/>
      <c r="AP220" s="152"/>
      <c r="AQ220" s="151"/>
      <c r="AR220" s="152"/>
      <c r="AS220" s="152"/>
      <c r="AT220" s="152"/>
      <c r="AU220" s="152"/>
      <c r="AV220" s="151"/>
      <c r="AW220" s="152"/>
      <c r="AX220" s="152"/>
      <c r="AY220" s="152"/>
      <c r="AZ220" s="152"/>
      <c r="BA220" s="151"/>
      <c r="BB220" s="152"/>
      <c r="BC220" s="152"/>
      <c r="BD220" s="152"/>
      <c r="BE220" s="152"/>
      <c r="BF220" s="151"/>
      <c r="BG220" s="152"/>
      <c r="BH220" s="152"/>
      <c r="BI220" s="152"/>
      <c r="BJ220" s="152"/>
      <c r="BK220" s="151"/>
      <c r="BL220" s="152"/>
      <c r="BM220" s="152"/>
      <c r="BN220" s="152"/>
      <c r="BO220" s="152"/>
      <c r="BP220" s="151"/>
      <c r="BQ220" s="152"/>
      <c r="BR220" s="152"/>
      <c r="BS220" s="152"/>
      <c r="BT220" s="152"/>
      <c r="BU220" s="151"/>
      <c r="BV220" s="152"/>
      <c r="BW220" s="152"/>
      <c r="BX220" s="152"/>
      <c r="BY220" s="152"/>
      <c r="BZ220" s="151"/>
      <c r="CA220" s="152"/>
      <c r="CB220" s="152"/>
      <c r="CC220" s="152"/>
      <c r="CD220" s="152"/>
      <c r="CE220" s="151"/>
      <c r="CF220" s="152"/>
      <c r="CG220" s="152"/>
      <c r="CH220" s="152"/>
      <c r="CI220" s="152"/>
      <c r="CJ220" s="151"/>
      <c r="CK220" s="152"/>
      <c r="CL220" s="152"/>
      <c r="CM220" s="152"/>
      <c r="CN220" s="152"/>
      <c r="CO220" s="151"/>
      <c r="CP220" s="152"/>
      <c r="CQ220" s="152"/>
      <c r="CR220" s="152"/>
      <c r="CS220" s="152"/>
      <c r="CT220" s="151"/>
      <c r="CU220" s="152"/>
      <c r="CV220" s="152"/>
      <c r="CW220" s="152"/>
      <c r="CX220" s="152"/>
      <c r="CY220" s="151"/>
      <c r="CZ220" s="152"/>
      <c r="DA220" s="152"/>
      <c r="DB220" s="152"/>
      <c r="DC220" s="152"/>
      <c r="DD220" s="151"/>
      <c r="DE220" s="152"/>
      <c r="DF220" s="152"/>
      <c r="DG220" s="152"/>
      <c r="DH220" s="152"/>
      <c r="DI220" s="151"/>
      <c r="DJ220" s="152"/>
      <c r="DK220" s="152"/>
      <c r="DL220" s="152"/>
      <c r="DM220" s="152"/>
      <c r="DN220" s="151"/>
      <c r="DO220" s="152"/>
      <c r="DP220" s="152"/>
      <c r="DQ220" s="152"/>
      <c r="DR220" s="152"/>
      <c r="DS220" s="151"/>
      <c r="DT220" s="152"/>
      <c r="DU220" s="152"/>
      <c r="DV220" s="152"/>
      <c r="DW220" s="152"/>
      <c r="DX220" s="151"/>
      <c r="DY220" s="152"/>
      <c r="DZ220" s="152"/>
      <c r="EA220" s="152"/>
      <c r="EB220" s="152"/>
      <c r="EC220" s="151"/>
      <c r="ED220" s="152"/>
      <c r="EE220" s="152"/>
      <c r="EF220" s="152"/>
      <c r="EG220" s="152"/>
      <c r="EH220" s="151"/>
      <c r="EI220" s="152"/>
      <c r="EJ220" s="152"/>
      <c r="EK220" s="152"/>
      <c r="EL220" s="152"/>
      <c r="EM220" s="151"/>
      <c r="EN220" s="152"/>
      <c r="EO220" s="152"/>
      <c r="EP220" s="152"/>
      <c r="EQ220" s="152"/>
      <c r="ER220" s="151"/>
      <c r="ES220" s="152"/>
      <c r="ET220" s="152"/>
      <c r="EU220" s="152"/>
      <c r="EV220" s="152"/>
      <c r="EW220" s="151"/>
      <c r="EX220" s="152"/>
      <c r="EY220" s="152"/>
      <c r="EZ220" s="152"/>
      <c r="FA220" s="152"/>
      <c r="FB220" s="151"/>
      <c r="FC220" s="152"/>
      <c r="FD220" s="152"/>
      <c r="FE220" s="152"/>
      <c r="FF220" s="152"/>
      <c r="FG220" s="151"/>
      <c r="FH220" s="152"/>
      <c r="FI220" s="152"/>
      <c r="FJ220" s="152"/>
      <c r="FK220" s="152"/>
      <c r="FL220" s="151"/>
      <c r="FM220" s="152"/>
      <c r="FN220" s="152"/>
      <c r="FO220" s="152"/>
      <c r="FP220" s="152"/>
      <c r="FQ220" s="151"/>
      <c r="FR220" s="152"/>
      <c r="FS220" s="152"/>
      <c r="FT220" s="152"/>
      <c r="FU220" s="152"/>
      <c r="FV220" s="151"/>
      <c r="FW220" s="152"/>
      <c r="FX220" s="152"/>
      <c r="FY220" s="152"/>
      <c r="FZ220" s="152"/>
      <c r="GA220" s="151"/>
      <c r="GB220" s="152"/>
      <c r="GC220" s="152"/>
      <c r="GD220" s="152"/>
      <c r="GE220" s="152"/>
      <c r="GF220" s="151"/>
      <c r="GG220" s="152"/>
      <c r="GH220" s="152"/>
      <c r="GI220" s="152"/>
      <c r="GJ220" s="152"/>
    </row>
    <row r="221" spans="1:192" s="93" customFormat="1" ht="12.75" customHeight="1">
      <c r="A221" s="68"/>
      <c r="B221" s="677"/>
      <c r="C221" s="153"/>
      <c r="D221" s="154"/>
      <c r="E221" s="154"/>
      <c r="F221" s="154"/>
      <c r="G221" s="154"/>
      <c r="H221" s="153"/>
      <c r="I221" s="154"/>
      <c r="J221" s="154"/>
      <c r="K221" s="154"/>
      <c r="L221" s="154"/>
      <c r="M221" s="153"/>
      <c r="N221" s="154"/>
      <c r="O221" s="154"/>
      <c r="P221" s="154"/>
      <c r="Q221" s="154"/>
      <c r="R221" s="153"/>
      <c r="S221" s="154"/>
      <c r="T221" s="154"/>
      <c r="U221" s="154"/>
      <c r="V221" s="154"/>
      <c r="W221" s="153"/>
      <c r="X221" s="154"/>
      <c r="Y221" s="154"/>
      <c r="Z221" s="154"/>
      <c r="AA221" s="154"/>
      <c r="AB221" s="153"/>
      <c r="AC221" s="154"/>
      <c r="AD221" s="154"/>
      <c r="AE221" s="154"/>
      <c r="AF221" s="154"/>
      <c r="AG221" s="153"/>
      <c r="AH221" s="154"/>
      <c r="AI221" s="154"/>
      <c r="AJ221" s="154"/>
      <c r="AK221" s="154"/>
      <c r="AL221" s="153"/>
      <c r="AM221" s="154"/>
      <c r="AN221" s="154"/>
      <c r="AO221" s="154"/>
      <c r="AP221" s="154"/>
      <c r="AQ221" s="153"/>
      <c r="AR221" s="154"/>
      <c r="AS221" s="154"/>
      <c r="AT221" s="154"/>
      <c r="AU221" s="154"/>
      <c r="AV221" s="153"/>
      <c r="AW221" s="154"/>
      <c r="AX221" s="154"/>
      <c r="AY221" s="154"/>
      <c r="AZ221" s="154"/>
      <c r="BA221" s="153"/>
      <c r="BB221" s="154"/>
      <c r="BC221" s="154"/>
      <c r="BD221" s="154"/>
      <c r="BE221" s="154"/>
      <c r="BF221" s="153"/>
      <c r="BG221" s="154"/>
      <c r="BH221" s="154"/>
      <c r="BI221" s="154"/>
      <c r="BJ221" s="154"/>
      <c r="BK221" s="153"/>
      <c r="BL221" s="154"/>
      <c r="BM221" s="154"/>
      <c r="BN221" s="154"/>
      <c r="BO221" s="154"/>
      <c r="BP221" s="153"/>
      <c r="BQ221" s="154"/>
      <c r="BR221" s="154"/>
      <c r="BS221" s="154"/>
      <c r="BT221" s="154"/>
      <c r="BU221" s="153"/>
      <c r="BV221" s="154"/>
      <c r="BW221" s="154"/>
      <c r="BX221" s="154"/>
      <c r="BY221" s="154"/>
      <c r="BZ221" s="153"/>
      <c r="CA221" s="154"/>
      <c r="CB221" s="154"/>
      <c r="CC221" s="154"/>
      <c r="CD221" s="154"/>
      <c r="CE221" s="153"/>
      <c r="CF221" s="154"/>
      <c r="CG221" s="154"/>
      <c r="CH221" s="154"/>
      <c r="CI221" s="154"/>
      <c r="CJ221" s="153"/>
      <c r="CK221" s="154"/>
      <c r="CL221" s="154"/>
      <c r="CM221" s="154"/>
      <c r="CN221" s="154"/>
      <c r="CO221" s="153"/>
      <c r="CP221" s="154"/>
      <c r="CQ221" s="154"/>
      <c r="CR221" s="154"/>
      <c r="CS221" s="154"/>
      <c r="CT221" s="153"/>
      <c r="CU221" s="154"/>
      <c r="CV221" s="154"/>
      <c r="CW221" s="154"/>
      <c r="CX221" s="154"/>
      <c r="CY221" s="153"/>
      <c r="CZ221" s="154"/>
      <c r="DA221" s="154"/>
      <c r="DB221" s="154"/>
      <c r="DC221" s="154"/>
      <c r="DD221" s="153"/>
      <c r="DE221" s="154"/>
      <c r="DF221" s="154"/>
      <c r="DG221" s="154"/>
      <c r="DH221" s="154"/>
      <c r="DI221" s="153"/>
      <c r="DJ221" s="154"/>
      <c r="DK221" s="154"/>
      <c r="DL221" s="154"/>
      <c r="DM221" s="154"/>
      <c r="DN221" s="153"/>
      <c r="DO221" s="154"/>
      <c r="DP221" s="154"/>
      <c r="DQ221" s="154"/>
      <c r="DR221" s="154"/>
      <c r="DS221" s="153"/>
      <c r="DT221" s="154"/>
      <c r="DU221" s="154"/>
      <c r="DV221" s="154"/>
      <c r="DW221" s="154"/>
      <c r="DX221" s="153"/>
      <c r="DY221" s="154"/>
      <c r="DZ221" s="154"/>
      <c r="EA221" s="154"/>
      <c r="EB221" s="154"/>
      <c r="EC221" s="153"/>
      <c r="ED221" s="154"/>
      <c r="EE221" s="154"/>
      <c r="EF221" s="154"/>
      <c r="EG221" s="154"/>
      <c r="EH221" s="153"/>
      <c r="EI221" s="154"/>
      <c r="EJ221" s="154"/>
      <c r="EK221" s="154"/>
      <c r="EL221" s="154"/>
      <c r="EM221" s="153"/>
      <c r="EN221" s="154"/>
      <c r="EO221" s="154"/>
      <c r="EP221" s="154"/>
      <c r="EQ221" s="154"/>
      <c r="ER221" s="153"/>
      <c r="ES221" s="154"/>
      <c r="ET221" s="154"/>
      <c r="EU221" s="154"/>
      <c r="EV221" s="154"/>
      <c r="EW221" s="153"/>
      <c r="EX221" s="154"/>
      <c r="EY221" s="154"/>
      <c r="EZ221" s="154"/>
      <c r="FA221" s="154"/>
      <c r="FB221" s="153"/>
      <c r="FC221" s="154"/>
      <c r="FD221" s="154"/>
      <c r="FE221" s="154"/>
      <c r="FF221" s="154"/>
      <c r="FG221" s="153"/>
      <c r="FH221" s="154"/>
      <c r="FI221" s="154"/>
      <c r="FJ221" s="154"/>
      <c r="FK221" s="154"/>
      <c r="FL221" s="153"/>
      <c r="FM221" s="154"/>
      <c r="FN221" s="154"/>
      <c r="FO221" s="154"/>
      <c r="FP221" s="154"/>
      <c r="FQ221" s="153"/>
      <c r="FR221" s="154"/>
      <c r="FS221" s="154"/>
      <c r="FT221" s="154"/>
      <c r="FU221" s="154"/>
      <c r="FV221" s="153"/>
      <c r="FW221" s="154"/>
      <c r="FX221" s="154"/>
      <c r="FY221" s="154"/>
      <c r="FZ221" s="154"/>
      <c r="GA221" s="153"/>
      <c r="GB221" s="154"/>
      <c r="GC221" s="154"/>
      <c r="GD221" s="154"/>
      <c r="GE221" s="154"/>
      <c r="GF221" s="153"/>
      <c r="GG221" s="154"/>
      <c r="GH221" s="154"/>
      <c r="GI221" s="154"/>
      <c r="GJ221" s="154"/>
    </row>
    <row r="222" spans="1:192" s="93" customFormat="1" ht="12.75" customHeight="1">
      <c r="A222" s="68"/>
      <c r="B222" s="677"/>
      <c r="C222" s="153"/>
      <c r="D222" s="154"/>
      <c r="E222" s="154"/>
      <c r="F222" s="154"/>
      <c r="G222" s="154"/>
      <c r="H222" s="153"/>
      <c r="I222" s="154"/>
      <c r="J222" s="154"/>
      <c r="K222" s="154"/>
      <c r="L222" s="154"/>
      <c r="M222" s="153"/>
      <c r="N222" s="154"/>
      <c r="O222" s="154"/>
      <c r="P222" s="154"/>
      <c r="Q222" s="154"/>
      <c r="R222" s="153"/>
      <c r="S222" s="154"/>
      <c r="T222" s="154"/>
      <c r="U222" s="154"/>
      <c r="V222" s="154"/>
      <c r="W222" s="153"/>
      <c r="X222" s="154"/>
      <c r="Y222" s="154"/>
      <c r="Z222" s="154"/>
      <c r="AA222" s="154"/>
      <c r="AB222" s="153"/>
      <c r="AC222" s="154"/>
      <c r="AD222" s="154"/>
      <c r="AE222" s="154"/>
      <c r="AF222" s="154"/>
      <c r="AG222" s="153"/>
      <c r="AH222" s="154"/>
      <c r="AI222" s="154"/>
      <c r="AJ222" s="154"/>
      <c r="AK222" s="154"/>
      <c r="AL222" s="153"/>
      <c r="AM222" s="154"/>
      <c r="AN222" s="154"/>
      <c r="AO222" s="154"/>
      <c r="AP222" s="154"/>
      <c r="AQ222" s="153"/>
      <c r="AR222" s="154"/>
      <c r="AS222" s="154"/>
      <c r="AT222" s="154"/>
      <c r="AU222" s="154"/>
      <c r="AV222" s="153"/>
      <c r="AW222" s="154"/>
      <c r="AX222" s="154"/>
      <c r="AY222" s="154"/>
      <c r="AZ222" s="154"/>
      <c r="BA222" s="153"/>
      <c r="BB222" s="154"/>
      <c r="BC222" s="154"/>
      <c r="BD222" s="154"/>
      <c r="BE222" s="154"/>
      <c r="BF222" s="153"/>
      <c r="BG222" s="154"/>
      <c r="BH222" s="154"/>
      <c r="BI222" s="154"/>
      <c r="BJ222" s="154"/>
      <c r="BK222" s="153"/>
      <c r="BL222" s="154"/>
      <c r="BM222" s="154"/>
      <c r="BN222" s="154"/>
      <c r="BO222" s="154"/>
      <c r="BP222" s="153"/>
      <c r="BQ222" s="154"/>
      <c r="BR222" s="154"/>
      <c r="BS222" s="154"/>
      <c r="BT222" s="154"/>
      <c r="BU222" s="153"/>
      <c r="BV222" s="154"/>
      <c r="BW222" s="154"/>
      <c r="BX222" s="154"/>
      <c r="BY222" s="154"/>
      <c r="BZ222" s="153"/>
      <c r="CA222" s="154"/>
      <c r="CB222" s="154"/>
      <c r="CC222" s="154"/>
      <c r="CD222" s="154"/>
      <c r="CE222" s="153"/>
      <c r="CF222" s="154"/>
      <c r="CG222" s="154"/>
      <c r="CH222" s="154"/>
      <c r="CI222" s="154"/>
      <c r="CJ222" s="153"/>
      <c r="CK222" s="154"/>
      <c r="CL222" s="154"/>
      <c r="CM222" s="154"/>
      <c r="CN222" s="154"/>
      <c r="CO222" s="153"/>
      <c r="CP222" s="154"/>
      <c r="CQ222" s="154"/>
      <c r="CR222" s="154"/>
      <c r="CS222" s="154"/>
      <c r="CT222" s="153"/>
      <c r="CU222" s="154"/>
      <c r="CV222" s="154"/>
      <c r="CW222" s="154"/>
      <c r="CX222" s="154"/>
      <c r="CY222" s="153"/>
      <c r="CZ222" s="154"/>
      <c r="DA222" s="154"/>
      <c r="DB222" s="154"/>
      <c r="DC222" s="154"/>
      <c r="DD222" s="153"/>
      <c r="DE222" s="154"/>
      <c r="DF222" s="154"/>
      <c r="DG222" s="154"/>
      <c r="DH222" s="154"/>
      <c r="DI222" s="153"/>
      <c r="DJ222" s="154"/>
      <c r="DK222" s="154"/>
      <c r="DL222" s="154"/>
      <c r="DM222" s="154"/>
      <c r="DN222" s="153"/>
      <c r="DO222" s="154"/>
      <c r="DP222" s="154"/>
      <c r="DQ222" s="154"/>
      <c r="DR222" s="154"/>
      <c r="DS222" s="153"/>
      <c r="DT222" s="154"/>
      <c r="DU222" s="154"/>
      <c r="DV222" s="154"/>
      <c r="DW222" s="154"/>
      <c r="DX222" s="153"/>
      <c r="DY222" s="154"/>
      <c r="DZ222" s="154"/>
      <c r="EA222" s="154"/>
      <c r="EB222" s="154"/>
      <c r="EC222" s="153"/>
      <c r="ED222" s="154"/>
      <c r="EE222" s="154"/>
      <c r="EF222" s="154"/>
      <c r="EG222" s="154"/>
      <c r="EH222" s="153"/>
      <c r="EI222" s="154"/>
      <c r="EJ222" s="154"/>
      <c r="EK222" s="154"/>
      <c r="EL222" s="154"/>
      <c r="EM222" s="153"/>
      <c r="EN222" s="154"/>
      <c r="EO222" s="154"/>
      <c r="EP222" s="154"/>
      <c r="EQ222" s="154"/>
      <c r="ER222" s="153"/>
      <c r="ES222" s="154"/>
      <c r="ET222" s="154"/>
      <c r="EU222" s="154"/>
      <c r="EV222" s="154"/>
      <c r="EW222" s="153"/>
      <c r="EX222" s="154"/>
      <c r="EY222" s="154"/>
      <c r="EZ222" s="154"/>
      <c r="FA222" s="154"/>
      <c r="FB222" s="153"/>
      <c r="FC222" s="154"/>
      <c r="FD222" s="154"/>
      <c r="FE222" s="154"/>
      <c r="FF222" s="154"/>
      <c r="FG222" s="153"/>
      <c r="FH222" s="154"/>
      <c r="FI222" s="154"/>
      <c r="FJ222" s="154"/>
      <c r="FK222" s="154"/>
      <c r="FL222" s="153"/>
      <c r="FM222" s="154"/>
      <c r="FN222" s="154"/>
      <c r="FO222" s="154"/>
      <c r="FP222" s="154"/>
      <c r="FQ222" s="153"/>
      <c r="FR222" s="154"/>
      <c r="FS222" s="154"/>
      <c r="FT222" s="154"/>
      <c r="FU222" s="154"/>
      <c r="FV222" s="153"/>
      <c r="FW222" s="154"/>
      <c r="FX222" s="154"/>
      <c r="FY222" s="154"/>
      <c r="FZ222" s="154"/>
      <c r="GA222" s="153"/>
      <c r="GB222" s="154"/>
      <c r="GC222" s="154"/>
      <c r="GD222" s="154"/>
      <c r="GE222" s="154"/>
      <c r="GF222" s="153"/>
      <c r="GG222" s="154"/>
      <c r="GH222" s="154"/>
      <c r="GI222" s="154"/>
      <c r="GJ222" s="154"/>
    </row>
    <row r="223" spans="1:192" s="93" customFormat="1" ht="12.75" customHeight="1">
      <c r="A223" s="68"/>
      <c r="B223" s="677"/>
      <c r="C223" s="153"/>
      <c r="D223" s="154"/>
      <c r="E223" s="154"/>
      <c r="F223" s="154"/>
      <c r="G223" s="154"/>
      <c r="H223" s="153"/>
      <c r="I223" s="154"/>
      <c r="J223" s="154"/>
      <c r="K223" s="154"/>
      <c r="L223" s="154"/>
      <c r="M223" s="153"/>
      <c r="N223" s="154"/>
      <c r="O223" s="154"/>
      <c r="P223" s="154"/>
      <c r="Q223" s="154"/>
      <c r="R223" s="153"/>
      <c r="S223" s="154"/>
      <c r="T223" s="154"/>
      <c r="U223" s="154"/>
      <c r="V223" s="154"/>
      <c r="W223" s="153"/>
      <c r="X223" s="154"/>
      <c r="Y223" s="154"/>
      <c r="Z223" s="154"/>
      <c r="AA223" s="154"/>
      <c r="AB223" s="153"/>
      <c r="AC223" s="154"/>
      <c r="AD223" s="154"/>
      <c r="AE223" s="154"/>
      <c r="AF223" s="154"/>
      <c r="AG223" s="153"/>
      <c r="AH223" s="154"/>
      <c r="AI223" s="154"/>
      <c r="AJ223" s="154"/>
      <c r="AK223" s="154"/>
      <c r="AL223" s="153"/>
      <c r="AM223" s="154"/>
      <c r="AN223" s="154"/>
      <c r="AO223" s="154"/>
      <c r="AP223" s="154"/>
      <c r="AQ223" s="153"/>
      <c r="AR223" s="154"/>
      <c r="AS223" s="154"/>
      <c r="AT223" s="154"/>
      <c r="AU223" s="154"/>
      <c r="AV223" s="153"/>
      <c r="AW223" s="154"/>
      <c r="AX223" s="154"/>
      <c r="AY223" s="154"/>
      <c r="AZ223" s="154"/>
      <c r="BA223" s="153"/>
      <c r="BB223" s="154"/>
      <c r="BC223" s="154"/>
      <c r="BD223" s="154"/>
      <c r="BE223" s="154"/>
      <c r="BF223" s="153"/>
      <c r="BG223" s="154"/>
      <c r="BH223" s="154"/>
      <c r="BI223" s="154"/>
      <c r="BJ223" s="154"/>
      <c r="BK223" s="153"/>
      <c r="BL223" s="154"/>
      <c r="BM223" s="154"/>
      <c r="BN223" s="154"/>
      <c r="BO223" s="154"/>
      <c r="BP223" s="153"/>
      <c r="BQ223" s="154"/>
      <c r="BR223" s="154"/>
      <c r="BS223" s="154"/>
      <c r="BT223" s="154"/>
      <c r="BU223" s="153"/>
      <c r="BV223" s="154"/>
      <c r="BW223" s="154"/>
      <c r="BX223" s="154"/>
      <c r="BY223" s="154"/>
      <c r="BZ223" s="153"/>
      <c r="CA223" s="154"/>
      <c r="CB223" s="154"/>
      <c r="CC223" s="154"/>
      <c r="CD223" s="154"/>
      <c r="CE223" s="153"/>
      <c r="CF223" s="154"/>
      <c r="CG223" s="154"/>
      <c r="CH223" s="154"/>
      <c r="CI223" s="154"/>
      <c r="CJ223" s="153"/>
      <c r="CK223" s="154"/>
      <c r="CL223" s="154"/>
      <c r="CM223" s="154"/>
      <c r="CN223" s="154"/>
      <c r="CO223" s="153"/>
      <c r="CP223" s="154"/>
      <c r="CQ223" s="154"/>
      <c r="CR223" s="154"/>
      <c r="CS223" s="154"/>
      <c r="CT223" s="153"/>
      <c r="CU223" s="154"/>
      <c r="CV223" s="154"/>
      <c r="CW223" s="154"/>
      <c r="CX223" s="154"/>
      <c r="CY223" s="153"/>
      <c r="CZ223" s="154"/>
      <c r="DA223" s="154"/>
      <c r="DB223" s="154"/>
      <c r="DC223" s="154"/>
      <c r="DD223" s="153"/>
      <c r="DE223" s="154"/>
      <c r="DF223" s="154"/>
      <c r="DG223" s="154"/>
      <c r="DH223" s="154"/>
      <c r="DI223" s="153"/>
      <c r="DJ223" s="154"/>
      <c r="DK223" s="154"/>
      <c r="DL223" s="154"/>
      <c r="DM223" s="154"/>
      <c r="DN223" s="153"/>
      <c r="DO223" s="154"/>
      <c r="DP223" s="154"/>
      <c r="DQ223" s="154"/>
      <c r="DR223" s="154"/>
      <c r="DS223" s="153"/>
      <c r="DT223" s="154"/>
      <c r="DU223" s="154"/>
      <c r="DV223" s="154"/>
      <c r="DW223" s="154"/>
      <c r="DX223" s="153"/>
      <c r="DY223" s="154"/>
      <c r="DZ223" s="154"/>
      <c r="EA223" s="154"/>
      <c r="EB223" s="154"/>
      <c r="EC223" s="153"/>
      <c r="ED223" s="154"/>
      <c r="EE223" s="154"/>
      <c r="EF223" s="154"/>
      <c r="EG223" s="154"/>
      <c r="EH223" s="153"/>
      <c r="EI223" s="154"/>
      <c r="EJ223" s="154"/>
      <c r="EK223" s="154"/>
      <c r="EL223" s="154"/>
      <c r="EM223" s="153"/>
      <c r="EN223" s="154"/>
      <c r="EO223" s="154"/>
      <c r="EP223" s="154"/>
      <c r="EQ223" s="154"/>
      <c r="ER223" s="153"/>
      <c r="ES223" s="154"/>
      <c r="ET223" s="154"/>
      <c r="EU223" s="154"/>
      <c r="EV223" s="154"/>
      <c r="EW223" s="153"/>
      <c r="EX223" s="154"/>
      <c r="EY223" s="154"/>
      <c r="EZ223" s="154"/>
      <c r="FA223" s="154"/>
      <c r="FB223" s="153"/>
      <c r="FC223" s="154"/>
      <c r="FD223" s="154"/>
      <c r="FE223" s="154"/>
      <c r="FF223" s="154"/>
      <c r="FG223" s="153"/>
      <c r="FH223" s="154"/>
      <c r="FI223" s="154"/>
      <c r="FJ223" s="154"/>
      <c r="FK223" s="154"/>
      <c r="FL223" s="153"/>
      <c r="FM223" s="154"/>
      <c r="FN223" s="154"/>
      <c r="FO223" s="154"/>
      <c r="FP223" s="154"/>
      <c r="FQ223" s="153"/>
      <c r="FR223" s="154"/>
      <c r="FS223" s="154"/>
      <c r="FT223" s="154"/>
      <c r="FU223" s="154"/>
      <c r="FV223" s="153"/>
      <c r="FW223" s="154"/>
      <c r="FX223" s="154"/>
      <c r="FY223" s="154"/>
      <c r="FZ223" s="154"/>
      <c r="GA223" s="153"/>
      <c r="GB223" s="154"/>
      <c r="GC223" s="154"/>
      <c r="GD223" s="154"/>
      <c r="GE223" s="154"/>
      <c r="GF223" s="153"/>
      <c r="GG223" s="154"/>
      <c r="GH223" s="154"/>
      <c r="GI223" s="154"/>
      <c r="GJ223" s="154"/>
    </row>
    <row r="224" spans="1:192" s="93" customFormat="1" ht="12.75" customHeight="1">
      <c r="A224" s="68"/>
      <c r="B224" s="677"/>
      <c r="C224" s="155"/>
      <c r="D224" s="156"/>
      <c r="E224" s="156"/>
      <c r="F224" s="156"/>
      <c r="G224" s="156"/>
      <c r="H224" s="155"/>
      <c r="I224" s="156"/>
      <c r="J224" s="156"/>
      <c r="K224" s="156"/>
      <c r="L224" s="156"/>
      <c r="M224" s="155"/>
      <c r="N224" s="156"/>
      <c r="O224" s="156"/>
      <c r="P224" s="156"/>
      <c r="Q224" s="156"/>
      <c r="R224" s="155"/>
      <c r="S224" s="156"/>
      <c r="T224" s="156"/>
      <c r="U224" s="156"/>
      <c r="V224" s="156"/>
      <c r="W224" s="155"/>
      <c r="X224" s="156"/>
      <c r="Y224" s="156"/>
      <c r="Z224" s="156"/>
      <c r="AA224" s="156"/>
      <c r="AB224" s="155"/>
      <c r="AC224" s="156"/>
      <c r="AD224" s="156"/>
      <c r="AE224" s="156"/>
      <c r="AF224" s="156"/>
      <c r="AG224" s="155"/>
      <c r="AH224" s="156"/>
      <c r="AI224" s="156"/>
      <c r="AJ224" s="156"/>
      <c r="AK224" s="156"/>
      <c r="AL224" s="155"/>
      <c r="AM224" s="156"/>
      <c r="AN224" s="156"/>
      <c r="AO224" s="156"/>
      <c r="AP224" s="156"/>
      <c r="AQ224" s="155"/>
      <c r="AR224" s="156"/>
      <c r="AS224" s="156"/>
      <c r="AT224" s="156"/>
      <c r="AU224" s="156"/>
      <c r="AV224" s="155"/>
      <c r="AW224" s="156"/>
      <c r="AX224" s="156"/>
      <c r="AY224" s="156"/>
      <c r="AZ224" s="156"/>
      <c r="BA224" s="155"/>
      <c r="BB224" s="156"/>
      <c r="BC224" s="156"/>
      <c r="BD224" s="156"/>
      <c r="BE224" s="156"/>
      <c r="BF224" s="155"/>
      <c r="BG224" s="156"/>
      <c r="BH224" s="156"/>
      <c r="BI224" s="156"/>
      <c r="BJ224" s="156"/>
      <c r="BK224" s="155"/>
      <c r="BL224" s="156"/>
      <c r="BM224" s="156"/>
      <c r="BN224" s="156"/>
      <c r="BO224" s="156"/>
      <c r="BP224" s="155"/>
      <c r="BQ224" s="156"/>
      <c r="BR224" s="156"/>
      <c r="BS224" s="156"/>
      <c r="BT224" s="156"/>
      <c r="BU224" s="155"/>
      <c r="BV224" s="156"/>
      <c r="BW224" s="156"/>
      <c r="BX224" s="156"/>
      <c r="BY224" s="156"/>
      <c r="BZ224" s="155"/>
      <c r="CA224" s="156"/>
      <c r="CB224" s="156"/>
      <c r="CC224" s="156"/>
      <c r="CD224" s="156"/>
      <c r="CE224" s="155"/>
      <c r="CF224" s="156"/>
      <c r="CG224" s="156"/>
      <c r="CH224" s="156"/>
      <c r="CI224" s="156"/>
      <c r="CJ224" s="155"/>
      <c r="CK224" s="156"/>
      <c r="CL224" s="156"/>
      <c r="CM224" s="156"/>
      <c r="CN224" s="156"/>
      <c r="CO224" s="155"/>
      <c r="CP224" s="156"/>
      <c r="CQ224" s="156"/>
      <c r="CR224" s="156"/>
      <c r="CS224" s="156"/>
      <c r="CT224" s="155"/>
      <c r="CU224" s="156"/>
      <c r="CV224" s="156"/>
      <c r="CW224" s="156"/>
      <c r="CX224" s="156"/>
      <c r="CY224" s="155"/>
      <c r="CZ224" s="156"/>
      <c r="DA224" s="156"/>
      <c r="DB224" s="156"/>
      <c r="DC224" s="156"/>
      <c r="DD224" s="155"/>
      <c r="DE224" s="156"/>
      <c r="DF224" s="156"/>
      <c r="DG224" s="156"/>
      <c r="DH224" s="156"/>
      <c r="DI224" s="155"/>
      <c r="DJ224" s="156"/>
      <c r="DK224" s="156"/>
      <c r="DL224" s="156"/>
      <c r="DM224" s="156"/>
      <c r="DN224" s="155"/>
      <c r="DO224" s="156"/>
      <c r="DP224" s="156"/>
      <c r="DQ224" s="156"/>
      <c r="DR224" s="156"/>
      <c r="DS224" s="155"/>
      <c r="DT224" s="156"/>
      <c r="DU224" s="156"/>
      <c r="DV224" s="156"/>
      <c r="DW224" s="156"/>
      <c r="DX224" s="155"/>
      <c r="DY224" s="156"/>
      <c r="DZ224" s="156"/>
      <c r="EA224" s="156"/>
      <c r="EB224" s="156"/>
      <c r="EC224" s="155"/>
      <c r="ED224" s="156"/>
      <c r="EE224" s="156"/>
      <c r="EF224" s="156"/>
      <c r="EG224" s="156"/>
      <c r="EH224" s="155"/>
      <c r="EI224" s="156"/>
      <c r="EJ224" s="156"/>
      <c r="EK224" s="156"/>
      <c r="EL224" s="156"/>
      <c r="EM224" s="155"/>
      <c r="EN224" s="156"/>
      <c r="EO224" s="156"/>
      <c r="EP224" s="156"/>
      <c r="EQ224" s="156"/>
      <c r="ER224" s="155"/>
      <c r="ES224" s="156"/>
      <c r="ET224" s="156"/>
      <c r="EU224" s="156"/>
      <c r="EV224" s="156"/>
      <c r="EW224" s="155"/>
      <c r="EX224" s="156"/>
      <c r="EY224" s="156"/>
      <c r="EZ224" s="156"/>
      <c r="FA224" s="156"/>
      <c r="FB224" s="155"/>
      <c r="FC224" s="156"/>
      <c r="FD224" s="156"/>
      <c r="FE224" s="156"/>
      <c r="FF224" s="156"/>
      <c r="FG224" s="155"/>
      <c r="FH224" s="156"/>
      <c r="FI224" s="156"/>
      <c r="FJ224" s="156"/>
      <c r="FK224" s="156"/>
      <c r="FL224" s="155"/>
      <c r="FM224" s="156"/>
      <c r="FN224" s="156"/>
      <c r="FO224" s="156"/>
      <c r="FP224" s="156"/>
      <c r="FQ224" s="155"/>
      <c r="FR224" s="156"/>
      <c r="FS224" s="156"/>
      <c r="FT224" s="156"/>
      <c r="FU224" s="156"/>
      <c r="FV224" s="155"/>
      <c r="FW224" s="156"/>
      <c r="FX224" s="156"/>
      <c r="FY224" s="156"/>
      <c r="FZ224" s="156"/>
      <c r="GA224" s="155"/>
      <c r="GB224" s="156"/>
      <c r="GC224" s="156"/>
      <c r="GD224" s="156"/>
      <c r="GE224" s="156"/>
      <c r="GF224" s="155"/>
      <c r="GG224" s="156"/>
      <c r="GH224" s="156"/>
      <c r="GI224" s="156"/>
      <c r="GJ224" s="156"/>
    </row>
    <row r="225" spans="1:192" s="93" customFormat="1" ht="12.75" customHeight="1">
      <c r="A225" s="68"/>
      <c r="B225" s="677"/>
      <c r="C225" s="157"/>
      <c r="D225" s="154"/>
      <c r="E225" s="154"/>
      <c r="F225" s="154"/>
      <c r="G225" s="154"/>
      <c r="H225" s="157"/>
      <c r="I225" s="154"/>
      <c r="J225" s="154"/>
      <c r="K225" s="154"/>
      <c r="L225" s="154"/>
      <c r="M225" s="157"/>
      <c r="N225" s="154"/>
      <c r="O225" s="154"/>
      <c r="P225" s="154"/>
      <c r="Q225" s="154"/>
      <c r="R225" s="157"/>
      <c r="S225" s="154"/>
      <c r="T225" s="154"/>
      <c r="U225" s="154"/>
      <c r="V225" s="154"/>
      <c r="W225" s="157"/>
      <c r="X225" s="154"/>
      <c r="Y225" s="154"/>
      <c r="Z225" s="154"/>
      <c r="AA225" s="154"/>
      <c r="AB225" s="157"/>
      <c r="AC225" s="154"/>
      <c r="AD225" s="154"/>
      <c r="AE225" s="154"/>
      <c r="AF225" s="154"/>
      <c r="AG225" s="157"/>
      <c r="AH225" s="154"/>
      <c r="AI225" s="154"/>
      <c r="AJ225" s="154"/>
      <c r="AK225" s="154"/>
      <c r="AL225" s="157"/>
      <c r="AM225" s="154"/>
      <c r="AN225" s="154"/>
      <c r="AO225" s="154"/>
      <c r="AP225" s="154"/>
      <c r="AQ225" s="157"/>
      <c r="AR225" s="154"/>
      <c r="AS225" s="154"/>
      <c r="AT225" s="154"/>
      <c r="AU225" s="154"/>
      <c r="AV225" s="157"/>
      <c r="AW225" s="154"/>
      <c r="AX225" s="154"/>
      <c r="AY225" s="154"/>
      <c r="AZ225" s="154"/>
      <c r="BA225" s="157"/>
      <c r="BB225" s="154"/>
      <c r="BC225" s="154"/>
      <c r="BD225" s="154"/>
      <c r="BE225" s="154"/>
      <c r="BF225" s="157"/>
      <c r="BG225" s="154"/>
      <c r="BH225" s="154"/>
      <c r="BI225" s="154"/>
      <c r="BJ225" s="154"/>
      <c r="BK225" s="157"/>
      <c r="BL225" s="154"/>
      <c r="BM225" s="154"/>
      <c r="BN225" s="154"/>
      <c r="BO225" s="154"/>
      <c r="BP225" s="157"/>
      <c r="BQ225" s="154"/>
      <c r="BR225" s="154"/>
      <c r="BS225" s="154"/>
      <c r="BT225" s="154"/>
      <c r="BU225" s="157"/>
      <c r="BV225" s="154"/>
      <c r="BW225" s="154"/>
      <c r="BX225" s="154"/>
      <c r="BY225" s="154"/>
      <c r="BZ225" s="157"/>
      <c r="CA225" s="154"/>
      <c r="CB225" s="154"/>
      <c r="CC225" s="154"/>
      <c r="CD225" s="154"/>
      <c r="CE225" s="157"/>
      <c r="CF225" s="154"/>
      <c r="CG225" s="154"/>
      <c r="CH225" s="154"/>
      <c r="CI225" s="154"/>
      <c r="CJ225" s="157"/>
      <c r="CK225" s="154"/>
      <c r="CL225" s="154"/>
      <c r="CM225" s="154"/>
      <c r="CN225" s="154"/>
      <c r="CO225" s="157"/>
      <c r="CP225" s="154"/>
      <c r="CQ225" s="154"/>
      <c r="CR225" s="154"/>
      <c r="CS225" s="154"/>
      <c r="CT225" s="157"/>
      <c r="CU225" s="154"/>
      <c r="CV225" s="154"/>
      <c r="CW225" s="154"/>
      <c r="CX225" s="154"/>
      <c r="CY225" s="157"/>
      <c r="CZ225" s="154"/>
      <c r="DA225" s="154"/>
      <c r="DB225" s="154"/>
      <c r="DC225" s="154"/>
      <c r="DD225" s="157"/>
      <c r="DE225" s="154"/>
      <c r="DF225" s="154"/>
      <c r="DG225" s="154"/>
      <c r="DH225" s="154"/>
      <c r="DI225" s="157"/>
      <c r="DJ225" s="154"/>
      <c r="DK225" s="154"/>
      <c r="DL225" s="154"/>
      <c r="DM225" s="154"/>
      <c r="DN225" s="157"/>
      <c r="DO225" s="154"/>
      <c r="DP225" s="154"/>
      <c r="DQ225" s="154"/>
      <c r="DR225" s="154"/>
      <c r="DS225" s="157"/>
      <c r="DT225" s="154"/>
      <c r="DU225" s="154"/>
      <c r="DV225" s="154"/>
      <c r="DW225" s="154"/>
      <c r="DX225" s="157"/>
      <c r="DY225" s="154"/>
      <c r="DZ225" s="154"/>
      <c r="EA225" s="154"/>
      <c r="EB225" s="154"/>
      <c r="EC225" s="157"/>
      <c r="ED225" s="154"/>
      <c r="EE225" s="154"/>
      <c r="EF225" s="154"/>
      <c r="EG225" s="154"/>
      <c r="EH225" s="157"/>
      <c r="EI225" s="154"/>
      <c r="EJ225" s="154"/>
      <c r="EK225" s="154"/>
      <c r="EL225" s="154"/>
      <c r="EM225" s="157"/>
      <c r="EN225" s="154"/>
      <c r="EO225" s="154"/>
      <c r="EP225" s="154"/>
      <c r="EQ225" s="154"/>
      <c r="ER225" s="157"/>
      <c r="ES225" s="154"/>
      <c r="ET225" s="154"/>
      <c r="EU225" s="154"/>
      <c r="EV225" s="154"/>
      <c r="EW225" s="157"/>
      <c r="EX225" s="154"/>
      <c r="EY225" s="154"/>
      <c r="EZ225" s="154"/>
      <c r="FA225" s="154"/>
      <c r="FB225" s="157"/>
      <c r="FC225" s="154"/>
      <c r="FD225" s="154"/>
      <c r="FE225" s="154"/>
      <c r="FF225" s="154"/>
      <c r="FG225" s="157"/>
      <c r="FH225" s="154"/>
      <c r="FI225" s="154"/>
      <c r="FJ225" s="154"/>
      <c r="FK225" s="154"/>
      <c r="FL225" s="157"/>
      <c r="FM225" s="154"/>
      <c r="FN225" s="154"/>
      <c r="FO225" s="154"/>
      <c r="FP225" s="154"/>
      <c r="FQ225" s="157"/>
      <c r="FR225" s="154"/>
      <c r="FS225" s="154"/>
      <c r="FT225" s="154"/>
      <c r="FU225" s="154"/>
      <c r="FV225" s="157"/>
      <c r="FW225" s="154"/>
      <c r="FX225" s="154"/>
      <c r="FY225" s="154"/>
      <c r="FZ225" s="154"/>
      <c r="GA225" s="157"/>
      <c r="GB225" s="154"/>
      <c r="GC225" s="154"/>
      <c r="GD225" s="154"/>
      <c r="GE225" s="154"/>
      <c r="GF225" s="157"/>
      <c r="GG225" s="154"/>
      <c r="GH225" s="154"/>
      <c r="GI225" s="154"/>
      <c r="GJ225" s="154"/>
    </row>
    <row r="226" spans="1:192" s="93" customFormat="1" ht="12.75" customHeight="1">
      <c r="A226" s="68"/>
      <c r="B226" s="677"/>
      <c r="C226" s="157"/>
      <c r="D226" s="154"/>
      <c r="E226" s="154"/>
      <c r="F226" s="154"/>
      <c r="G226" s="154"/>
      <c r="H226" s="157"/>
      <c r="I226" s="154"/>
      <c r="J226" s="154"/>
      <c r="K226" s="154"/>
      <c r="L226" s="154"/>
      <c r="M226" s="157"/>
      <c r="N226" s="154"/>
      <c r="O226" s="154"/>
      <c r="P226" s="154"/>
      <c r="Q226" s="154"/>
      <c r="R226" s="157"/>
      <c r="S226" s="154"/>
      <c r="T226" s="154"/>
      <c r="U226" s="154"/>
      <c r="V226" s="154"/>
      <c r="W226" s="157"/>
      <c r="X226" s="154"/>
      <c r="Y226" s="154"/>
      <c r="Z226" s="154"/>
      <c r="AA226" s="154"/>
      <c r="AB226" s="157"/>
      <c r="AC226" s="154"/>
      <c r="AD226" s="154"/>
      <c r="AE226" s="154"/>
      <c r="AF226" s="154"/>
      <c r="AG226" s="157"/>
      <c r="AH226" s="154"/>
      <c r="AI226" s="154"/>
      <c r="AJ226" s="154"/>
      <c r="AK226" s="154"/>
      <c r="AL226" s="157"/>
      <c r="AM226" s="154"/>
      <c r="AN226" s="154"/>
      <c r="AO226" s="154"/>
      <c r="AP226" s="154"/>
      <c r="AQ226" s="157"/>
      <c r="AR226" s="154"/>
      <c r="AS226" s="154"/>
      <c r="AT226" s="154"/>
      <c r="AU226" s="154"/>
      <c r="AV226" s="157"/>
      <c r="AW226" s="154"/>
      <c r="AX226" s="154"/>
      <c r="AY226" s="154"/>
      <c r="AZ226" s="154"/>
      <c r="BA226" s="157"/>
      <c r="BB226" s="154"/>
      <c r="BC226" s="154"/>
      <c r="BD226" s="154"/>
      <c r="BE226" s="154"/>
      <c r="BF226" s="157"/>
      <c r="BG226" s="154"/>
      <c r="BH226" s="154"/>
      <c r="BI226" s="154"/>
      <c r="BJ226" s="154"/>
      <c r="BK226" s="157"/>
      <c r="BL226" s="154"/>
      <c r="BM226" s="154"/>
      <c r="BN226" s="154"/>
      <c r="BO226" s="154"/>
      <c r="BP226" s="157"/>
      <c r="BQ226" s="154"/>
      <c r="BR226" s="154"/>
      <c r="BS226" s="154"/>
      <c r="BT226" s="154"/>
      <c r="BU226" s="157"/>
      <c r="BV226" s="154"/>
      <c r="BW226" s="154"/>
      <c r="BX226" s="154"/>
      <c r="BY226" s="154"/>
      <c r="BZ226" s="157"/>
      <c r="CA226" s="154"/>
      <c r="CB226" s="154"/>
      <c r="CC226" s="154"/>
      <c r="CD226" s="154"/>
      <c r="CE226" s="157"/>
      <c r="CF226" s="154"/>
      <c r="CG226" s="154"/>
      <c r="CH226" s="154"/>
      <c r="CI226" s="154"/>
      <c r="CJ226" s="157"/>
      <c r="CK226" s="154"/>
      <c r="CL226" s="154"/>
      <c r="CM226" s="154"/>
      <c r="CN226" s="154"/>
      <c r="CO226" s="157"/>
      <c r="CP226" s="154"/>
      <c r="CQ226" s="154"/>
      <c r="CR226" s="154"/>
      <c r="CS226" s="154"/>
      <c r="CT226" s="157"/>
      <c r="CU226" s="154"/>
      <c r="CV226" s="154"/>
      <c r="CW226" s="154"/>
      <c r="CX226" s="154"/>
      <c r="CY226" s="157"/>
      <c r="CZ226" s="154"/>
      <c r="DA226" s="154"/>
      <c r="DB226" s="154"/>
      <c r="DC226" s="154"/>
      <c r="DD226" s="157"/>
      <c r="DE226" s="154"/>
      <c r="DF226" s="154"/>
      <c r="DG226" s="154"/>
      <c r="DH226" s="154"/>
      <c r="DI226" s="157"/>
      <c r="DJ226" s="154"/>
      <c r="DK226" s="154"/>
      <c r="DL226" s="154"/>
      <c r="DM226" s="154"/>
      <c r="DN226" s="157"/>
      <c r="DO226" s="154"/>
      <c r="DP226" s="154"/>
      <c r="DQ226" s="154"/>
      <c r="DR226" s="154"/>
      <c r="DS226" s="157"/>
      <c r="DT226" s="154"/>
      <c r="DU226" s="154"/>
      <c r="DV226" s="154"/>
      <c r="DW226" s="154"/>
      <c r="DX226" s="157"/>
      <c r="DY226" s="154"/>
      <c r="DZ226" s="154"/>
      <c r="EA226" s="154"/>
      <c r="EB226" s="154"/>
      <c r="EC226" s="157"/>
      <c r="ED226" s="154"/>
      <c r="EE226" s="154"/>
      <c r="EF226" s="154"/>
      <c r="EG226" s="154"/>
      <c r="EH226" s="157"/>
      <c r="EI226" s="154"/>
      <c r="EJ226" s="154"/>
      <c r="EK226" s="154"/>
      <c r="EL226" s="154"/>
      <c r="EM226" s="157"/>
      <c r="EN226" s="154"/>
      <c r="EO226" s="154"/>
      <c r="EP226" s="154"/>
      <c r="EQ226" s="154"/>
      <c r="ER226" s="157"/>
      <c r="ES226" s="154"/>
      <c r="ET226" s="154"/>
      <c r="EU226" s="154"/>
      <c r="EV226" s="154"/>
      <c r="EW226" s="157"/>
      <c r="EX226" s="154"/>
      <c r="EY226" s="154"/>
      <c r="EZ226" s="154"/>
      <c r="FA226" s="154"/>
      <c r="FB226" s="157"/>
      <c r="FC226" s="154"/>
      <c r="FD226" s="154"/>
      <c r="FE226" s="154"/>
      <c r="FF226" s="154"/>
      <c r="FG226" s="157"/>
      <c r="FH226" s="154"/>
      <c r="FI226" s="154"/>
      <c r="FJ226" s="154"/>
      <c r="FK226" s="154"/>
      <c r="FL226" s="157"/>
      <c r="FM226" s="154"/>
      <c r="FN226" s="154"/>
      <c r="FO226" s="154"/>
      <c r="FP226" s="154"/>
      <c r="FQ226" s="157"/>
      <c r="FR226" s="154"/>
      <c r="FS226" s="154"/>
      <c r="FT226" s="154"/>
      <c r="FU226" s="154"/>
      <c r="FV226" s="157"/>
      <c r="FW226" s="154"/>
      <c r="FX226" s="154"/>
      <c r="FY226" s="154"/>
      <c r="FZ226" s="154"/>
      <c r="GA226" s="157"/>
      <c r="GB226" s="154"/>
      <c r="GC226" s="154"/>
      <c r="GD226" s="154"/>
      <c r="GE226" s="154"/>
      <c r="GF226" s="157"/>
      <c r="GG226" s="154"/>
      <c r="GH226" s="154"/>
      <c r="GI226" s="154"/>
      <c r="GJ226" s="154"/>
    </row>
    <row r="227" spans="1:192" s="93" customFormat="1" ht="12.75" customHeight="1">
      <c r="A227" s="68"/>
      <c r="B227" s="677"/>
      <c r="C227" s="157"/>
      <c r="D227" s="154"/>
      <c r="E227" s="154"/>
      <c r="F227" s="154"/>
      <c r="G227" s="154"/>
      <c r="H227" s="157"/>
      <c r="I227" s="154"/>
      <c r="J227" s="154"/>
      <c r="K227" s="154"/>
      <c r="L227" s="154"/>
      <c r="M227" s="157"/>
      <c r="N227" s="154"/>
      <c r="O227" s="154"/>
      <c r="P227" s="154"/>
      <c r="Q227" s="154"/>
      <c r="R227" s="157"/>
      <c r="S227" s="154"/>
      <c r="T227" s="154"/>
      <c r="U227" s="154"/>
      <c r="V227" s="154"/>
      <c r="W227" s="157"/>
      <c r="X227" s="154"/>
      <c r="Y227" s="154"/>
      <c r="Z227" s="154"/>
      <c r="AA227" s="154"/>
      <c r="AB227" s="157"/>
      <c r="AC227" s="154"/>
      <c r="AD227" s="154"/>
      <c r="AE227" s="154"/>
      <c r="AF227" s="154"/>
      <c r="AG227" s="157"/>
      <c r="AH227" s="154"/>
      <c r="AI227" s="154"/>
      <c r="AJ227" s="154"/>
      <c r="AK227" s="154"/>
      <c r="AL227" s="157"/>
      <c r="AM227" s="154"/>
      <c r="AN227" s="154"/>
      <c r="AO227" s="154"/>
      <c r="AP227" s="154"/>
      <c r="AQ227" s="157"/>
      <c r="AR227" s="154"/>
      <c r="AS227" s="154"/>
      <c r="AT227" s="154"/>
      <c r="AU227" s="154"/>
      <c r="AV227" s="157"/>
      <c r="AW227" s="154"/>
      <c r="AX227" s="154"/>
      <c r="AY227" s="154"/>
      <c r="AZ227" s="154"/>
      <c r="BA227" s="157"/>
      <c r="BB227" s="154"/>
      <c r="BC227" s="154"/>
      <c r="BD227" s="154"/>
      <c r="BE227" s="154"/>
      <c r="BF227" s="157"/>
      <c r="BG227" s="154"/>
      <c r="BH227" s="154"/>
      <c r="BI227" s="154"/>
      <c r="BJ227" s="154"/>
      <c r="BK227" s="157"/>
      <c r="BL227" s="154"/>
      <c r="BM227" s="154"/>
      <c r="BN227" s="154"/>
      <c r="BO227" s="154"/>
      <c r="BP227" s="157"/>
      <c r="BQ227" s="154"/>
      <c r="BR227" s="154"/>
      <c r="BS227" s="154"/>
      <c r="BT227" s="154"/>
      <c r="BU227" s="157"/>
      <c r="BV227" s="154"/>
      <c r="BW227" s="154"/>
      <c r="BX227" s="154"/>
      <c r="BY227" s="154"/>
      <c r="BZ227" s="157"/>
      <c r="CA227" s="154"/>
      <c r="CB227" s="154"/>
      <c r="CC227" s="154"/>
      <c r="CD227" s="154"/>
      <c r="CE227" s="157"/>
      <c r="CF227" s="154"/>
      <c r="CG227" s="154"/>
      <c r="CH227" s="154"/>
      <c r="CI227" s="154"/>
      <c r="CJ227" s="157"/>
      <c r="CK227" s="154"/>
      <c r="CL227" s="154"/>
      <c r="CM227" s="154"/>
      <c r="CN227" s="154"/>
      <c r="CO227" s="157"/>
      <c r="CP227" s="154"/>
      <c r="CQ227" s="154"/>
      <c r="CR227" s="154"/>
      <c r="CS227" s="154"/>
      <c r="CT227" s="157"/>
      <c r="CU227" s="154"/>
      <c r="CV227" s="154"/>
      <c r="CW227" s="154"/>
      <c r="CX227" s="154"/>
      <c r="CY227" s="157"/>
      <c r="CZ227" s="154"/>
      <c r="DA227" s="154"/>
      <c r="DB227" s="154"/>
      <c r="DC227" s="154"/>
      <c r="DD227" s="157"/>
      <c r="DE227" s="154"/>
      <c r="DF227" s="154"/>
      <c r="DG227" s="154"/>
      <c r="DH227" s="154"/>
      <c r="DI227" s="157"/>
      <c r="DJ227" s="154"/>
      <c r="DK227" s="154"/>
      <c r="DL227" s="154"/>
      <c r="DM227" s="154"/>
      <c r="DN227" s="157"/>
      <c r="DO227" s="154"/>
      <c r="DP227" s="154"/>
      <c r="DQ227" s="154"/>
      <c r="DR227" s="154"/>
      <c r="DS227" s="157"/>
      <c r="DT227" s="154"/>
      <c r="DU227" s="154"/>
      <c r="DV227" s="154"/>
      <c r="DW227" s="154"/>
      <c r="DX227" s="157"/>
      <c r="DY227" s="154"/>
      <c r="DZ227" s="154"/>
      <c r="EA227" s="154"/>
      <c r="EB227" s="154"/>
      <c r="EC227" s="157"/>
      <c r="ED227" s="154"/>
      <c r="EE227" s="154"/>
      <c r="EF227" s="154"/>
      <c r="EG227" s="154"/>
      <c r="EH227" s="157"/>
      <c r="EI227" s="154"/>
      <c r="EJ227" s="154"/>
      <c r="EK227" s="154"/>
      <c r="EL227" s="154"/>
      <c r="EM227" s="157"/>
      <c r="EN227" s="154"/>
      <c r="EO227" s="154"/>
      <c r="EP227" s="154"/>
      <c r="EQ227" s="154"/>
      <c r="ER227" s="157"/>
      <c r="ES227" s="154"/>
      <c r="ET227" s="154"/>
      <c r="EU227" s="154"/>
      <c r="EV227" s="154"/>
      <c r="EW227" s="157"/>
      <c r="EX227" s="154"/>
      <c r="EY227" s="154"/>
      <c r="EZ227" s="154"/>
      <c r="FA227" s="154"/>
      <c r="FB227" s="157"/>
      <c r="FC227" s="154"/>
      <c r="FD227" s="154"/>
      <c r="FE227" s="154"/>
      <c r="FF227" s="154"/>
      <c r="FG227" s="157"/>
      <c r="FH227" s="154"/>
      <c r="FI227" s="154"/>
      <c r="FJ227" s="154"/>
      <c r="FK227" s="154"/>
      <c r="FL227" s="157"/>
      <c r="FM227" s="154"/>
      <c r="FN227" s="154"/>
      <c r="FO227" s="154"/>
      <c r="FP227" s="154"/>
      <c r="FQ227" s="157"/>
      <c r="FR227" s="154"/>
      <c r="FS227" s="154"/>
      <c r="FT227" s="154"/>
      <c r="FU227" s="154"/>
      <c r="FV227" s="157"/>
      <c r="FW227" s="154"/>
      <c r="FX227" s="154"/>
      <c r="FY227" s="154"/>
      <c r="FZ227" s="154"/>
      <c r="GA227" s="157"/>
      <c r="GB227" s="154"/>
      <c r="GC227" s="154"/>
      <c r="GD227" s="154"/>
      <c r="GE227" s="154"/>
      <c r="GF227" s="157"/>
      <c r="GG227" s="154"/>
      <c r="GH227" s="154"/>
      <c r="GI227" s="154"/>
      <c r="GJ227" s="154"/>
    </row>
    <row r="228" spans="1:192" s="93" customFormat="1" ht="12.75" customHeight="1">
      <c r="A228" s="68"/>
      <c r="B228" s="677"/>
      <c r="C228" s="155"/>
      <c r="D228" s="156"/>
      <c r="E228" s="156"/>
      <c r="F228" s="156"/>
      <c r="G228" s="156"/>
      <c r="H228" s="155"/>
      <c r="I228" s="156"/>
      <c r="J228" s="156"/>
      <c r="K228" s="156"/>
      <c r="L228" s="156"/>
      <c r="M228" s="155"/>
      <c r="N228" s="156"/>
      <c r="O228" s="156"/>
      <c r="P228" s="156"/>
      <c r="Q228" s="156"/>
      <c r="R228" s="155"/>
      <c r="S228" s="156"/>
      <c r="T228" s="156"/>
      <c r="U228" s="156"/>
      <c r="V228" s="156"/>
      <c r="W228" s="155"/>
      <c r="X228" s="156"/>
      <c r="Y228" s="156"/>
      <c r="Z228" s="156"/>
      <c r="AA228" s="156"/>
      <c r="AB228" s="155"/>
      <c r="AC228" s="156"/>
      <c r="AD228" s="156"/>
      <c r="AE228" s="156"/>
      <c r="AF228" s="156"/>
      <c r="AG228" s="155"/>
      <c r="AH228" s="156"/>
      <c r="AI228" s="156"/>
      <c r="AJ228" s="156"/>
      <c r="AK228" s="156"/>
      <c r="AL228" s="155"/>
      <c r="AM228" s="156"/>
      <c r="AN228" s="156"/>
      <c r="AO228" s="156"/>
      <c r="AP228" s="156"/>
      <c r="AQ228" s="155"/>
      <c r="AR228" s="156"/>
      <c r="AS228" s="156"/>
      <c r="AT228" s="156"/>
      <c r="AU228" s="156"/>
      <c r="AV228" s="155"/>
      <c r="AW228" s="156"/>
      <c r="AX228" s="156"/>
      <c r="AY228" s="156"/>
      <c r="AZ228" s="156"/>
      <c r="BA228" s="155"/>
      <c r="BB228" s="156"/>
      <c r="BC228" s="156"/>
      <c r="BD228" s="156"/>
      <c r="BE228" s="156"/>
      <c r="BF228" s="155"/>
      <c r="BG228" s="156"/>
      <c r="BH228" s="156"/>
      <c r="BI228" s="156"/>
      <c r="BJ228" s="156"/>
      <c r="BK228" s="155"/>
      <c r="BL228" s="156"/>
      <c r="BM228" s="156"/>
      <c r="BN228" s="156"/>
      <c r="BO228" s="156"/>
      <c r="BP228" s="155"/>
      <c r="BQ228" s="156"/>
      <c r="BR228" s="156"/>
      <c r="BS228" s="156"/>
      <c r="BT228" s="156"/>
      <c r="BU228" s="155"/>
      <c r="BV228" s="156"/>
      <c r="BW228" s="156"/>
      <c r="BX228" s="156"/>
      <c r="BY228" s="156"/>
      <c r="BZ228" s="155"/>
      <c r="CA228" s="156"/>
      <c r="CB228" s="156"/>
      <c r="CC228" s="156"/>
      <c r="CD228" s="156"/>
      <c r="CE228" s="155"/>
      <c r="CF228" s="156"/>
      <c r="CG228" s="156"/>
      <c r="CH228" s="156"/>
      <c r="CI228" s="156"/>
      <c r="CJ228" s="155"/>
      <c r="CK228" s="156"/>
      <c r="CL228" s="156"/>
      <c r="CM228" s="156"/>
      <c r="CN228" s="156"/>
      <c r="CO228" s="155"/>
      <c r="CP228" s="156"/>
      <c r="CQ228" s="156"/>
      <c r="CR228" s="156"/>
      <c r="CS228" s="156"/>
      <c r="CT228" s="155"/>
      <c r="CU228" s="156"/>
      <c r="CV228" s="156"/>
      <c r="CW228" s="156"/>
      <c r="CX228" s="156"/>
      <c r="CY228" s="155"/>
      <c r="CZ228" s="156"/>
      <c r="DA228" s="156"/>
      <c r="DB228" s="156"/>
      <c r="DC228" s="156"/>
      <c r="DD228" s="155"/>
      <c r="DE228" s="156"/>
      <c r="DF228" s="156"/>
      <c r="DG228" s="156"/>
      <c r="DH228" s="156"/>
      <c r="DI228" s="155"/>
      <c r="DJ228" s="156"/>
      <c r="DK228" s="156"/>
      <c r="DL228" s="156"/>
      <c r="DM228" s="156"/>
      <c r="DN228" s="155"/>
      <c r="DO228" s="156"/>
      <c r="DP228" s="156"/>
      <c r="DQ228" s="156"/>
      <c r="DR228" s="156"/>
      <c r="DS228" s="155"/>
      <c r="DT228" s="156"/>
      <c r="DU228" s="156"/>
      <c r="DV228" s="156"/>
      <c r="DW228" s="156"/>
      <c r="DX228" s="155"/>
      <c r="DY228" s="156"/>
      <c r="DZ228" s="156"/>
      <c r="EA228" s="156"/>
      <c r="EB228" s="156"/>
      <c r="EC228" s="155"/>
      <c r="ED228" s="156"/>
      <c r="EE228" s="156"/>
      <c r="EF228" s="156"/>
      <c r="EG228" s="156"/>
      <c r="EH228" s="155"/>
      <c r="EI228" s="156"/>
      <c r="EJ228" s="156"/>
      <c r="EK228" s="156"/>
      <c r="EL228" s="156"/>
      <c r="EM228" s="155"/>
      <c r="EN228" s="156"/>
      <c r="EO228" s="156"/>
      <c r="EP228" s="156"/>
      <c r="EQ228" s="156"/>
      <c r="ER228" s="155"/>
      <c r="ES228" s="156"/>
      <c r="ET228" s="156"/>
      <c r="EU228" s="156"/>
      <c r="EV228" s="156"/>
      <c r="EW228" s="155"/>
      <c r="EX228" s="156"/>
      <c r="EY228" s="156"/>
      <c r="EZ228" s="156"/>
      <c r="FA228" s="156"/>
      <c r="FB228" s="155"/>
      <c r="FC228" s="156"/>
      <c r="FD228" s="156"/>
      <c r="FE228" s="156"/>
      <c r="FF228" s="156"/>
      <c r="FG228" s="155"/>
      <c r="FH228" s="156"/>
      <c r="FI228" s="156"/>
      <c r="FJ228" s="156"/>
      <c r="FK228" s="156"/>
      <c r="FL228" s="155"/>
      <c r="FM228" s="156"/>
      <c r="FN228" s="156"/>
      <c r="FO228" s="156"/>
      <c r="FP228" s="156"/>
      <c r="FQ228" s="155"/>
      <c r="FR228" s="156"/>
      <c r="FS228" s="156"/>
      <c r="FT228" s="156"/>
      <c r="FU228" s="156"/>
      <c r="FV228" s="155"/>
      <c r="FW228" s="156"/>
      <c r="FX228" s="156"/>
      <c r="FY228" s="156"/>
      <c r="FZ228" s="156"/>
      <c r="GA228" s="155"/>
      <c r="GB228" s="156"/>
      <c r="GC228" s="156"/>
      <c r="GD228" s="156"/>
      <c r="GE228" s="156"/>
      <c r="GF228" s="155"/>
      <c r="GG228" s="156"/>
      <c r="GH228" s="156"/>
      <c r="GI228" s="156"/>
      <c r="GJ228" s="156"/>
    </row>
    <row r="229" spans="1:192" s="93" customFormat="1" ht="12.75" customHeight="1">
      <c r="A229" s="68"/>
      <c r="B229" s="677"/>
      <c r="C229" s="158"/>
      <c r="D229" s="154"/>
      <c r="E229" s="154"/>
      <c r="F229" s="154"/>
      <c r="G229" s="154"/>
      <c r="H229" s="158"/>
      <c r="I229" s="154"/>
      <c r="J229" s="154"/>
      <c r="K229" s="154"/>
      <c r="L229" s="154"/>
      <c r="M229" s="158"/>
      <c r="N229" s="154"/>
      <c r="O229" s="154"/>
      <c r="P229" s="154"/>
      <c r="Q229" s="154"/>
      <c r="R229" s="158"/>
      <c r="S229" s="154"/>
      <c r="T229" s="154"/>
      <c r="U229" s="154"/>
      <c r="V229" s="154"/>
      <c r="W229" s="158"/>
      <c r="X229" s="154"/>
      <c r="Y229" s="154"/>
      <c r="Z229" s="154"/>
      <c r="AA229" s="154"/>
      <c r="AB229" s="158"/>
      <c r="AC229" s="154"/>
      <c r="AD229" s="154"/>
      <c r="AE229" s="154"/>
      <c r="AF229" s="154"/>
      <c r="AG229" s="158"/>
      <c r="AH229" s="154"/>
      <c r="AI229" s="154"/>
      <c r="AJ229" s="154"/>
      <c r="AK229" s="154"/>
      <c r="AL229" s="158"/>
      <c r="AM229" s="154"/>
      <c r="AN229" s="154"/>
      <c r="AO229" s="154"/>
      <c r="AP229" s="154"/>
      <c r="AQ229" s="158"/>
      <c r="AR229" s="154"/>
      <c r="AS229" s="154"/>
      <c r="AT229" s="154"/>
      <c r="AU229" s="154"/>
      <c r="AV229" s="158"/>
      <c r="AW229" s="154"/>
      <c r="AX229" s="154"/>
      <c r="AY229" s="154"/>
      <c r="AZ229" s="154"/>
      <c r="BA229" s="158"/>
      <c r="BB229" s="154"/>
      <c r="BC229" s="154"/>
      <c r="BD229" s="154"/>
      <c r="BE229" s="154"/>
      <c r="BF229" s="158"/>
      <c r="BG229" s="154"/>
      <c r="BH229" s="154"/>
      <c r="BI229" s="154"/>
      <c r="BJ229" s="154"/>
      <c r="BK229" s="158"/>
      <c r="BL229" s="154"/>
      <c r="BM229" s="154"/>
      <c r="BN229" s="154"/>
      <c r="BO229" s="154"/>
      <c r="BP229" s="158"/>
      <c r="BQ229" s="154"/>
      <c r="BR229" s="154"/>
      <c r="BS229" s="154"/>
      <c r="BT229" s="154"/>
      <c r="BU229" s="158"/>
      <c r="BV229" s="154"/>
      <c r="BW229" s="154"/>
      <c r="BX229" s="154"/>
      <c r="BY229" s="154"/>
      <c r="BZ229" s="158"/>
      <c r="CA229" s="154"/>
      <c r="CB229" s="154"/>
      <c r="CC229" s="154"/>
      <c r="CD229" s="154"/>
      <c r="CE229" s="158"/>
      <c r="CF229" s="154"/>
      <c r="CG229" s="154"/>
      <c r="CH229" s="154"/>
      <c r="CI229" s="154"/>
      <c r="CJ229" s="158"/>
      <c r="CK229" s="154"/>
      <c r="CL229" s="154"/>
      <c r="CM229" s="154"/>
      <c r="CN229" s="154"/>
      <c r="CO229" s="158"/>
      <c r="CP229" s="154"/>
      <c r="CQ229" s="154"/>
      <c r="CR229" s="154"/>
      <c r="CS229" s="154"/>
      <c r="CT229" s="158"/>
      <c r="CU229" s="154"/>
      <c r="CV229" s="154"/>
      <c r="CW229" s="154"/>
      <c r="CX229" s="154"/>
      <c r="CY229" s="158"/>
      <c r="CZ229" s="154"/>
      <c r="DA229" s="154"/>
      <c r="DB229" s="154"/>
      <c r="DC229" s="154"/>
      <c r="DD229" s="158"/>
      <c r="DE229" s="154"/>
      <c r="DF229" s="154"/>
      <c r="DG229" s="154"/>
      <c r="DH229" s="154"/>
      <c r="DI229" s="158"/>
      <c r="DJ229" s="154"/>
      <c r="DK229" s="154"/>
      <c r="DL229" s="154"/>
      <c r="DM229" s="154"/>
      <c r="DN229" s="158"/>
      <c r="DO229" s="154"/>
      <c r="DP229" s="154"/>
      <c r="DQ229" s="154"/>
      <c r="DR229" s="154"/>
      <c r="DS229" s="158"/>
      <c r="DT229" s="154"/>
      <c r="DU229" s="154"/>
      <c r="DV229" s="154"/>
      <c r="DW229" s="154"/>
      <c r="DX229" s="158"/>
      <c r="DY229" s="154"/>
      <c r="DZ229" s="154"/>
      <c r="EA229" s="154"/>
      <c r="EB229" s="154"/>
      <c r="EC229" s="158"/>
      <c r="ED229" s="154"/>
      <c r="EE229" s="154"/>
      <c r="EF229" s="154"/>
      <c r="EG229" s="154"/>
      <c r="EH229" s="158"/>
      <c r="EI229" s="154"/>
      <c r="EJ229" s="154"/>
      <c r="EK229" s="154"/>
      <c r="EL229" s="154"/>
      <c r="EM229" s="158"/>
      <c r="EN229" s="154"/>
      <c r="EO229" s="154"/>
      <c r="EP229" s="154"/>
      <c r="EQ229" s="154"/>
      <c r="ER229" s="158"/>
      <c r="ES229" s="154"/>
      <c r="ET229" s="154"/>
      <c r="EU229" s="154"/>
      <c r="EV229" s="154"/>
      <c r="EW229" s="158"/>
      <c r="EX229" s="154"/>
      <c r="EY229" s="154"/>
      <c r="EZ229" s="154"/>
      <c r="FA229" s="154"/>
      <c r="FB229" s="158"/>
      <c r="FC229" s="154"/>
      <c r="FD229" s="154"/>
      <c r="FE229" s="154"/>
      <c r="FF229" s="154"/>
      <c r="FG229" s="158"/>
      <c r="FH229" s="154"/>
      <c r="FI229" s="154"/>
      <c r="FJ229" s="154"/>
      <c r="FK229" s="154"/>
      <c r="FL229" s="158"/>
      <c r="FM229" s="154"/>
      <c r="FN229" s="154"/>
      <c r="FO229" s="154"/>
      <c r="FP229" s="154"/>
      <c r="FQ229" s="158"/>
      <c r="FR229" s="154"/>
      <c r="FS229" s="154"/>
      <c r="FT229" s="154"/>
      <c r="FU229" s="154"/>
      <c r="FV229" s="158"/>
      <c r="FW229" s="154"/>
      <c r="FX229" s="154"/>
      <c r="FY229" s="154"/>
      <c r="FZ229" s="154"/>
      <c r="GA229" s="158"/>
      <c r="GB229" s="154"/>
      <c r="GC229" s="154"/>
      <c r="GD229" s="154"/>
      <c r="GE229" s="154"/>
      <c r="GF229" s="158"/>
      <c r="GG229" s="154"/>
      <c r="GH229" s="154"/>
      <c r="GI229" s="154"/>
      <c r="GJ229" s="154"/>
    </row>
    <row r="230" spans="1:192" s="93" customFormat="1" ht="12.75" customHeight="1">
      <c r="A230" s="68"/>
      <c r="B230" s="677"/>
      <c r="C230" s="158"/>
      <c r="D230" s="154"/>
      <c r="E230" s="154"/>
      <c r="F230" s="154"/>
      <c r="G230" s="154"/>
      <c r="H230" s="158"/>
      <c r="I230" s="154"/>
      <c r="J230" s="154"/>
      <c r="K230" s="154"/>
      <c r="L230" s="154"/>
      <c r="M230" s="158"/>
      <c r="N230" s="154"/>
      <c r="O230" s="154"/>
      <c r="P230" s="154"/>
      <c r="Q230" s="154"/>
      <c r="R230" s="158"/>
      <c r="S230" s="154"/>
      <c r="T230" s="154"/>
      <c r="U230" s="154"/>
      <c r="V230" s="154"/>
      <c r="W230" s="158"/>
      <c r="X230" s="154"/>
      <c r="Y230" s="154"/>
      <c r="Z230" s="154"/>
      <c r="AA230" s="154"/>
      <c r="AB230" s="158"/>
      <c r="AC230" s="154"/>
      <c r="AD230" s="154"/>
      <c r="AE230" s="154"/>
      <c r="AF230" s="154"/>
      <c r="AG230" s="158"/>
      <c r="AH230" s="154"/>
      <c r="AI230" s="154"/>
      <c r="AJ230" s="154"/>
      <c r="AK230" s="154"/>
      <c r="AL230" s="158"/>
      <c r="AM230" s="154"/>
      <c r="AN230" s="154"/>
      <c r="AO230" s="154"/>
      <c r="AP230" s="154"/>
      <c r="AQ230" s="158"/>
      <c r="AR230" s="154"/>
      <c r="AS230" s="154"/>
      <c r="AT230" s="154"/>
      <c r="AU230" s="154"/>
      <c r="AV230" s="158"/>
      <c r="AW230" s="154"/>
      <c r="AX230" s="154"/>
      <c r="AY230" s="154"/>
      <c r="AZ230" s="154"/>
      <c r="BA230" s="158"/>
      <c r="BB230" s="154"/>
      <c r="BC230" s="154"/>
      <c r="BD230" s="154"/>
      <c r="BE230" s="154"/>
      <c r="BF230" s="158"/>
      <c r="BG230" s="154"/>
      <c r="BH230" s="154"/>
      <c r="BI230" s="154"/>
      <c r="BJ230" s="154"/>
      <c r="BK230" s="158"/>
      <c r="BL230" s="154"/>
      <c r="BM230" s="154"/>
      <c r="BN230" s="154"/>
      <c r="BO230" s="154"/>
      <c r="BP230" s="158"/>
      <c r="BQ230" s="154"/>
      <c r="BR230" s="154"/>
      <c r="BS230" s="154"/>
      <c r="BT230" s="154"/>
      <c r="BU230" s="158"/>
      <c r="BV230" s="154"/>
      <c r="BW230" s="154"/>
      <c r="BX230" s="154"/>
      <c r="BY230" s="154"/>
      <c r="BZ230" s="158"/>
      <c r="CA230" s="154"/>
      <c r="CB230" s="154"/>
      <c r="CC230" s="154"/>
      <c r="CD230" s="154"/>
      <c r="CE230" s="158"/>
      <c r="CF230" s="154"/>
      <c r="CG230" s="154"/>
      <c r="CH230" s="154"/>
      <c r="CI230" s="154"/>
      <c r="CJ230" s="158"/>
      <c r="CK230" s="154"/>
      <c r="CL230" s="154"/>
      <c r="CM230" s="154"/>
      <c r="CN230" s="154"/>
      <c r="CO230" s="158"/>
      <c r="CP230" s="154"/>
      <c r="CQ230" s="154"/>
      <c r="CR230" s="154"/>
      <c r="CS230" s="154"/>
      <c r="CT230" s="158"/>
      <c r="CU230" s="154"/>
      <c r="CV230" s="154"/>
      <c r="CW230" s="154"/>
      <c r="CX230" s="154"/>
      <c r="CY230" s="158"/>
      <c r="CZ230" s="154"/>
      <c r="DA230" s="154"/>
      <c r="DB230" s="154"/>
      <c r="DC230" s="154"/>
      <c r="DD230" s="158"/>
      <c r="DE230" s="154"/>
      <c r="DF230" s="154"/>
      <c r="DG230" s="154"/>
      <c r="DH230" s="154"/>
      <c r="DI230" s="158"/>
      <c r="DJ230" s="154"/>
      <c r="DK230" s="154"/>
      <c r="DL230" s="154"/>
      <c r="DM230" s="154"/>
      <c r="DN230" s="158"/>
      <c r="DO230" s="154"/>
      <c r="DP230" s="154"/>
      <c r="DQ230" s="154"/>
      <c r="DR230" s="154"/>
      <c r="DS230" s="158"/>
      <c r="DT230" s="154"/>
      <c r="DU230" s="154"/>
      <c r="DV230" s="154"/>
      <c r="DW230" s="154"/>
      <c r="DX230" s="158"/>
      <c r="DY230" s="154"/>
      <c r="DZ230" s="154"/>
      <c r="EA230" s="154"/>
      <c r="EB230" s="154"/>
      <c r="EC230" s="158"/>
      <c r="ED230" s="154"/>
      <c r="EE230" s="154"/>
      <c r="EF230" s="154"/>
      <c r="EG230" s="154"/>
      <c r="EH230" s="158"/>
      <c r="EI230" s="154"/>
      <c r="EJ230" s="154"/>
      <c r="EK230" s="154"/>
      <c r="EL230" s="154"/>
      <c r="EM230" s="158"/>
      <c r="EN230" s="154"/>
      <c r="EO230" s="154"/>
      <c r="EP230" s="154"/>
      <c r="EQ230" s="154"/>
      <c r="ER230" s="158"/>
      <c r="ES230" s="154"/>
      <c r="ET230" s="154"/>
      <c r="EU230" s="154"/>
      <c r="EV230" s="154"/>
      <c r="EW230" s="158"/>
      <c r="EX230" s="154"/>
      <c r="EY230" s="154"/>
      <c r="EZ230" s="154"/>
      <c r="FA230" s="154"/>
      <c r="FB230" s="158"/>
      <c r="FC230" s="154"/>
      <c r="FD230" s="154"/>
      <c r="FE230" s="154"/>
      <c r="FF230" s="154"/>
      <c r="FG230" s="158"/>
      <c r="FH230" s="154"/>
      <c r="FI230" s="154"/>
      <c r="FJ230" s="154"/>
      <c r="FK230" s="154"/>
      <c r="FL230" s="158"/>
      <c r="FM230" s="154"/>
      <c r="FN230" s="154"/>
      <c r="FO230" s="154"/>
      <c r="FP230" s="154"/>
      <c r="FQ230" s="158"/>
      <c r="FR230" s="154"/>
      <c r="FS230" s="154"/>
      <c r="FT230" s="154"/>
      <c r="FU230" s="154"/>
      <c r="FV230" s="158"/>
      <c r="FW230" s="154"/>
      <c r="FX230" s="154"/>
      <c r="FY230" s="154"/>
      <c r="FZ230" s="154"/>
      <c r="GA230" s="158"/>
      <c r="GB230" s="154"/>
      <c r="GC230" s="154"/>
      <c r="GD230" s="154"/>
      <c r="GE230" s="154"/>
      <c r="GF230" s="158"/>
      <c r="GG230" s="154"/>
      <c r="GH230" s="154"/>
      <c r="GI230" s="154"/>
      <c r="GJ230" s="154"/>
    </row>
    <row r="231" spans="1:192" s="93" customFormat="1" ht="12.75" customHeight="1">
      <c r="A231" s="68"/>
      <c r="B231" s="677"/>
      <c r="C231" s="158"/>
      <c r="D231" s="154"/>
      <c r="E231" s="154"/>
      <c r="F231" s="154"/>
      <c r="G231" s="154"/>
      <c r="H231" s="158"/>
      <c r="I231" s="154"/>
      <c r="J231" s="154"/>
      <c r="K231" s="154"/>
      <c r="L231" s="154"/>
      <c r="M231" s="158"/>
      <c r="N231" s="154"/>
      <c r="O231" s="154"/>
      <c r="P231" s="154"/>
      <c r="Q231" s="154"/>
      <c r="R231" s="158"/>
      <c r="S231" s="154"/>
      <c r="T231" s="154"/>
      <c r="U231" s="154"/>
      <c r="V231" s="154"/>
      <c r="W231" s="158"/>
      <c r="X231" s="154"/>
      <c r="Y231" s="154"/>
      <c r="Z231" s="154"/>
      <c r="AA231" s="154"/>
      <c r="AB231" s="158"/>
      <c r="AC231" s="154"/>
      <c r="AD231" s="154"/>
      <c r="AE231" s="154"/>
      <c r="AF231" s="154"/>
      <c r="AG231" s="158"/>
      <c r="AH231" s="154"/>
      <c r="AI231" s="154"/>
      <c r="AJ231" s="154"/>
      <c r="AK231" s="154"/>
      <c r="AL231" s="158"/>
      <c r="AM231" s="154"/>
      <c r="AN231" s="154"/>
      <c r="AO231" s="154"/>
      <c r="AP231" s="154"/>
      <c r="AQ231" s="158"/>
      <c r="AR231" s="154"/>
      <c r="AS231" s="154"/>
      <c r="AT231" s="154"/>
      <c r="AU231" s="154"/>
      <c r="AV231" s="158"/>
      <c r="AW231" s="154"/>
      <c r="AX231" s="154"/>
      <c r="AY231" s="154"/>
      <c r="AZ231" s="154"/>
      <c r="BA231" s="158"/>
      <c r="BB231" s="154"/>
      <c r="BC231" s="154"/>
      <c r="BD231" s="154"/>
      <c r="BE231" s="154"/>
      <c r="BF231" s="158"/>
      <c r="BG231" s="154"/>
      <c r="BH231" s="154"/>
      <c r="BI231" s="154"/>
      <c r="BJ231" s="154"/>
      <c r="BK231" s="158"/>
      <c r="BL231" s="154"/>
      <c r="BM231" s="154"/>
      <c r="BN231" s="154"/>
      <c r="BO231" s="154"/>
      <c r="BP231" s="158"/>
      <c r="BQ231" s="154"/>
      <c r="BR231" s="154"/>
      <c r="BS231" s="154"/>
      <c r="BT231" s="154"/>
      <c r="BU231" s="158"/>
      <c r="BV231" s="154"/>
      <c r="BW231" s="154"/>
      <c r="BX231" s="154"/>
      <c r="BY231" s="154"/>
      <c r="BZ231" s="158"/>
      <c r="CA231" s="154"/>
      <c r="CB231" s="154"/>
      <c r="CC231" s="154"/>
      <c r="CD231" s="154"/>
      <c r="CE231" s="158"/>
      <c r="CF231" s="154"/>
      <c r="CG231" s="154"/>
      <c r="CH231" s="154"/>
      <c r="CI231" s="154"/>
      <c r="CJ231" s="158"/>
      <c r="CK231" s="154"/>
      <c r="CL231" s="154"/>
      <c r="CM231" s="154"/>
      <c r="CN231" s="154"/>
      <c r="CO231" s="158"/>
      <c r="CP231" s="154"/>
      <c r="CQ231" s="154"/>
      <c r="CR231" s="154"/>
      <c r="CS231" s="154"/>
      <c r="CT231" s="158"/>
      <c r="CU231" s="154"/>
      <c r="CV231" s="154"/>
      <c r="CW231" s="154"/>
      <c r="CX231" s="154"/>
      <c r="CY231" s="158"/>
      <c r="CZ231" s="154"/>
      <c r="DA231" s="154"/>
      <c r="DB231" s="154"/>
      <c r="DC231" s="154"/>
      <c r="DD231" s="158"/>
      <c r="DE231" s="154"/>
      <c r="DF231" s="154"/>
      <c r="DG231" s="154"/>
      <c r="DH231" s="154"/>
      <c r="DI231" s="158"/>
      <c r="DJ231" s="154"/>
      <c r="DK231" s="154"/>
      <c r="DL231" s="154"/>
      <c r="DM231" s="154"/>
      <c r="DN231" s="158"/>
      <c r="DO231" s="154"/>
      <c r="DP231" s="154"/>
      <c r="DQ231" s="154"/>
      <c r="DR231" s="154"/>
      <c r="DS231" s="158"/>
      <c r="DT231" s="154"/>
      <c r="DU231" s="154"/>
      <c r="DV231" s="154"/>
      <c r="DW231" s="154"/>
      <c r="DX231" s="158"/>
      <c r="DY231" s="154"/>
      <c r="DZ231" s="154"/>
      <c r="EA231" s="154"/>
      <c r="EB231" s="154"/>
      <c r="EC231" s="158"/>
      <c r="ED231" s="154"/>
      <c r="EE231" s="154"/>
      <c r="EF231" s="154"/>
      <c r="EG231" s="154"/>
      <c r="EH231" s="158"/>
      <c r="EI231" s="154"/>
      <c r="EJ231" s="154"/>
      <c r="EK231" s="154"/>
      <c r="EL231" s="154"/>
      <c r="EM231" s="158"/>
      <c r="EN231" s="154"/>
      <c r="EO231" s="154"/>
      <c r="EP231" s="154"/>
      <c r="EQ231" s="154"/>
      <c r="ER231" s="158"/>
      <c r="ES231" s="154"/>
      <c r="ET231" s="154"/>
      <c r="EU231" s="154"/>
      <c r="EV231" s="154"/>
      <c r="EW231" s="158"/>
      <c r="EX231" s="154"/>
      <c r="EY231" s="154"/>
      <c r="EZ231" s="154"/>
      <c r="FA231" s="154"/>
      <c r="FB231" s="158"/>
      <c r="FC231" s="154"/>
      <c r="FD231" s="154"/>
      <c r="FE231" s="154"/>
      <c r="FF231" s="154"/>
      <c r="FG231" s="158"/>
      <c r="FH231" s="154"/>
      <c r="FI231" s="154"/>
      <c r="FJ231" s="154"/>
      <c r="FK231" s="154"/>
      <c r="FL231" s="158"/>
      <c r="FM231" s="154"/>
      <c r="FN231" s="154"/>
      <c r="FO231" s="154"/>
      <c r="FP231" s="154"/>
      <c r="FQ231" s="158"/>
      <c r="FR231" s="154"/>
      <c r="FS231" s="154"/>
      <c r="FT231" s="154"/>
      <c r="FU231" s="154"/>
      <c r="FV231" s="158"/>
      <c r="FW231" s="154"/>
      <c r="FX231" s="154"/>
      <c r="FY231" s="154"/>
      <c r="FZ231" s="154"/>
      <c r="GA231" s="158"/>
      <c r="GB231" s="154"/>
      <c r="GC231" s="154"/>
      <c r="GD231" s="154"/>
      <c r="GE231" s="154"/>
      <c r="GF231" s="158"/>
      <c r="GG231" s="154"/>
      <c r="GH231" s="154"/>
      <c r="GI231" s="154"/>
      <c r="GJ231" s="154"/>
    </row>
    <row r="232" spans="1:192" s="93" customFormat="1" ht="12.75" customHeight="1">
      <c r="A232" s="68"/>
      <c r="B232" s="677"/>
      <c r="C232" s="155"/>
      <c r="D232" s="156"/>
      <c r="E232" s="156"/>
      <c r="F232" s="156"/>
      <c r="G232" s="156"/>
      <c r="H232" s="155"/>
      <c r="I232" s="156"/>
      <c r="J232" s="156"/>
      <c r="K232" s="156"/>
      <c r="L232" s="156"/>
      <c r="M232" s="155"/>
      <c r="N232" s="156"/>
      <c r="O232" s="156"/>
      <c r="P232" s="156"/>
      <c r="Q232" s="156"/>
      <c r="R232" s="155"/>
      <c r="S232" s="156"/>
      <c r="T232" s="156"/>
      <c r="U232" s="156"/>
      <c r="V232" s="156"/>
      <c r="W232" s="155"/>
      <c r="X232" s="156"/>
      <c r="Y232" s="156"/>
      <c r="Z232" s="156"/>
      <c r="AA232" s="156"/>
      <c r="AB232" s="155"/>
      <c r="AC232" s="156"/>
      <c r="AD232" s="156"/>
      <c r="AE232" s="156"/>
      <c r="AF232" s="156"/>
      <c r="AG232" s="155"/>
      <c r="AH232" s="156"/>
      <c r="AI232" s="156"/>
      <c r="AJ232" s="156"/>
      <c r="AK232" s="156"/>
      <c r="AL232" s="155"/>
      <c r="AM232" s="156"/>
      <c r="AN232" s="156"/>
      <c r="AO232" s="156"/>
      <c r="AP232" s="156"/>
      <c r="AQ232" s="155"/>
      <c r="AR232" s="156"/>
      <c r="AS232" s="156"/>
      <c r="AT232" s="156"/>
      <c r="AU232" s="156"/>
      <c r="AV232" s="155"/>
      <c r="AW232" s="156"/>
      <c r="AX232" s="156"/>
      <c r="AY232" s="156"/>
      <c r="AZ232" s="156"/>
      <c r="BA232" s="155"/>
      <c r="BB232" s="156"/>
      <c r="BC232" s="156"/>
      <c r="BD232" s="156"/>
      <c r="BE232" s="156"/>
      <c r="BF232" s="155"/>
      <c r="BG232" s="156"/>
      <c r="BH232" s="156"/>
      <c r="BI232" s="156"/>
      <c r="BJ232" s="156"/>
      <c r="BK232" s="155"/>
      <c r="BL232" s="156"/>
      <c r="BM232" s="156"/>
      <c r="BN232" s="156"/>
      <c r="BO232" s="156"/>
      <c r="BP232" s="155"/>
      <c r="BQ232" s="156"/>
      <c r="BR232" s="156"/>
      <c r="BS232" s="156"/>
      <c r="BT232" s="156"/>
      <c r="BU232" s="155"/>
      <c r="BV232" s="156"/>
      <c r="BW232" s="156"/>
      <c r="BX232" s="156"/>
      <c r="BY232" s="156"/>
      <c r="BZ232" s="155"/>
      <c r="CA232" s="156"/>
      <c r="CB232" s="156"/>
      <c r="CC232" s="156"/>
      <c r="CD232" s="156"/>
      <c r="CE232" s="155"/>
      <c r="CF232" s="156"/>
      <c r="CG232" s="156"/>
      <c r="CH232" s="156"/>
      <c r="CI232" s="156"/>
      <c r="CJ232" s="155"/>
      <c r="CK232" s="156"/>
      <c r="CL232" s="156"/>
      <c r="CM232" s="156"/>
      <c r="CN232" s="156"/>
      <c r="CO232" s="155"/>
      <c r="CP232" s="156"/>
      <c r="CQ232" s="156"/>
      <c r="CR232" s="156"/>
      <c r="CS232" s="156"/>
      <c r="CT232" s="155"/>
      <c r="CU232" s="156"/>
      <c r="CV232" s="156"/>
      <c r="CW232" s="156"/>
      <c r="CX232" s="156"/>
      <c r="CY232" s="155"/>
      <c r="CZ232" s="156"/>
      <c r="DA232" s="156"/>
      <c r="DB232" s="156"/>
      <c r="DC232" s="156"/>
      <c r="DD232" s="155"/>
      <c r="DE232" s="156"/>
      <c r="DF232" s="156"/>
      <c r="DG232" s="156"/>
      <c r="DH232" s="156"/>
      <c r="DI232" s="155"/>
      <c r="DJ232" s="156"/>
      <c r="DK232" s="156"/>
      <c r="DL232" s="156"/>
      <c r="DM232" s="156"/>
      <c r="DN232" s="155"/>
      <c r="DO232" s="156"/>
      <c r="DP232" s="156"/>
      <c r="DQ232" s="156"/>
      <c r="DR232" s="156"/>
      <c r="DS232" s="155"/>
      <c r="DT232" s="156"/>
      <c r="DU232" s="156"/>
      <c r="DV232" s="156"/>
      <c r="DW232" s="156"/>
      <c r="DX232" s="155"/>
      <c r="DY232" s="156"/>
      <c r="DZ232" s="156"/>
      <c r="EA232" s="156"/>
      <c r="EB232" s="156"/>
      <c r="EC232" s="155"/>
      <c r="ED232" s="156"/>
      <c r="EE232" s="156"/>
      <c r="EF232" s="156"/>
      <c r="EG232" s="156"/>
      <c r="EH232" s="155"/>
      <c r="EI232" s="156"/>
      <c r="EJ232" s="156"/>
      <c r="EK232" s="156"/>
      <c r="EL232" s="156"/>
      <c r="EM232" s="155"/>
      <c r="EN232" s="156"/>
      <c r="EO232" s="156"/>
      <c r="EP232" s="156"/>
      <c r="EQ232" s="156"/>
      <c r="ER232" s="155"/>
      <c r="ES232" s="156"/>
      <c r="ET232" s="156"/>
      <c r="EU232" s="156"/>
      <c r="EV232" s="156"/>
      <c r="EW232" s="155"/>
      <c r="EX232" s="156"/>
      <c r="EY232" s="156"/>
      <c r="EZ232" s="156"/>
      <c r="FA232" s="156"/>
      <c r="FB232" s="155"/>
      <c r="FC232" s="156"/>
      <c r="FD232" s="156"/>
      <c r="FE232" s="156"/>
      <c r="FF232" s="156"/>
      <c r="FG232" s="155"/>
      <c r="FH232" s="156"/>
      <c r="FI232" s="156"/>
      <c r="FJ232" s="156"/>
      <c r="FK232" s="156"/>
      <c r="FL232" s="155"/>
      <c r="FM232" s="156"/>
      <c r="FN232" s="156"/>
      <c r="FO232" s="156"/>
      <c r="FP232" s="156"/>
      <c r="FQ232" s="155"/>
      <c r="FR232" s="156"/>
      <c r="FS232" s="156"/>
      <c r="FT232" s="156"/>
      <c r="FU232" s="156"/>
      <c r="FV232" s="155"/>
      <c r="FW232" s="156"/>
      <c r="FX232" s="156"/>
      <c r="FY232" s="156"/>
      <c r="FZ232" s="156"/>
      <c r="GA232" s="155"/>
      <c r="GB232" s="156"/>
      <c r="GC232" s="156"/>
      <c r="GD232" s="156"/>
      <c r="GE232" s="156"/>
      <c r="GF232" s="155"/>
      <c r="GG232" s="156"/>
      <c r="GH232" s="156"/>
      <c r="GI232" s="156"/>
      <c r="GJ232" s="156"/>
    </row>
    <row r="233" spans="1:192" s="93" customFormat="1" ht="12.75" customHeight="1">
      <c r="A233" s="68"/>
      <c r="B233" s="677"/>
      <c r="C233" s="158"/>
      <c r="D233" s="154"/>
      <c r="E233" s="154"/>
      <c r="F233" s="154"/>
      <c r="G233" s="154"/>
      <c r="H233" s="158"/>
      <c r="I233" s="154"/>
      <c r="J233" s="154"/>
      <c r="K233" s="154"/>
      <c r="L233" s="154"/>
      <c r="M233" s="158"/>
      <c r="N233" s="154"/>
      <c r="O233" s="154"/>
      <c r="P233" s="154"/>
      <c r="Q233" s="154"/>
      <c r="R233" s="158"/>
      <c r="S233" s="154"/>
      <c r="T233" s="154"/>
      <c r="U233" s="154"/>
      <c r="V233" s="154"/>
      <c r="W233" s="158"/>
      <c r="X233" s="154"/>
      <c r="Y233" s="154"/>
      <c r="Z233" s="154"/>
      <c r="AA233" s="154"/>
      <c r="AB233" s="158"/>
      <c r="AC233" s="154"/>
      <c r="AD233" s="154"/>
      <c r="AE233" s="154"/>
      <c r="AF233" s="154"/>
      <c r="AG233" s="158"/>
      <c r="AH233" s="154"/>
      <c r="AI233" s="154"/>
      <c r="AJ233" s="154"/>
      <c r="AK233" s="154"/>
      <c r="AL233" s="158"/>
      <c r="AM233" s="154"/>
      <c r="AN233" s="154"/>
      <c r="AO233" s="154"/>
      <c r="AP233" s="154"/>
      <c r="AQ233" s="158"/>
      <c r="AR233" s="154"/>
      <c r="AS233" s="154"/>
      <c r="AT233" s="154"/>
      <c r="AU233" s="154"/>
      <c r="AV233" s="158"/>
      <c r="AW233" s="154"/>
      <c r="AX233" s="154"/>
      <c r="AY233" s="154"/>
      <c r="AZ233" s="154"/>
      <c r="BA233" s="158"/>
      <c r="BB233" s="154"/>
      <c r="BC233" s="154"/>
      <c r="BD233" s="154"/>
      <c r="BE233" s="154"/>
      <c r="BF233" s="158"/>
      <c r="BG233" s="154"/>
      <c r="BH233" s="154"/>
      <c r="BI233" s="154"/>
      <c r="BJ233" s="154"/>
      <c r="BK233" s="158"/>
      <c r="BL233" s="154"/>
      <c r="BM233" s="154"/>
      <c r="BN233" s="154"/>
      <c r="BO233" s="154"/>
      <c r="BP233" s="158"/>
      <c r="BQ233" s="154"/>
      <c r="BR233" s="154"/>
      <c r="BS233" s="154"/>
      <c r="BT233" s="154"/>
      <c r="BU233" s="158"/>
      <c r="BV233" s="154"/>
      <c r="BW233" s="154"/>
      <c r="BX233" s="154"/>
      <c r="BY233" s="154"/>
      <c r="BZ233" s="158"/>
      <c r="CA233" s="154"/>
      <c r="CB233" s="154"/>
      <c r="CC233" s="154"/>
      <c r="CD233" s="154"/>
      <c r="CE233" s="158"/>
      <c r="CF233" s="154"/>
      <c r="CG233" s="154"/>
      <c r="CH233" s="154"/>
      <c r="CI233" s="154"/>
      <c r="CJ233" s="158"/>
      <c r="CK233" s="154"/>
      <c r="CL233" s="154"/>
      <c r="CM233" s="154"/>
      <c r="CN233" s="154"/>
      <c r="CO233" s="158"/>
      <c r="CP233" s="154"/>
      <c r="CQ233" s="154"/>
      <c r="CR233" s="154"/>
      <c r="CS233" s="154"/>
      <c r="CT233" s="158"/>
      <c r="CU233" s="154"/>
      <c r="CV233" s="154"/>
      <c r="CW233" s="154"/>
      <c r="CX233" s="154"/>
      <c r="CY233" s="158"/>
      <c r="CZ233" s="154"/>
      <c r="DA233" s="154"/>
      <c r="DB233" s="154"/>
      <c r="DC233" s="154"/>
      <c r="DD233" s="158"/>
      <c r="DE233" s="154"/>
      <c r="DF233" s="154"/>
      <c r="DG233" s="154"/>
      <c r="DH233" s="154"/>
      <c r="DI233" s="158"/>
      <c r="DJ233" s="154"/>
      <c r="DK233" s="154"/>
      <c r="DL233" s="154"/>
      <c r="DM233" s="154"/>
      <c r="DN233" s="158"/>
      <c r="DO233" s="154"/>
      <c r="DP233" s="154"/>
      <c r="DQ233" s="154"/>
      <c r="DR233" s="154"/>
      <c r="DS233" s="158"/>
      <c r="DT233" s="154"/>
      <c r="DU233" s="154"/>
      <c r="DV233" s="154"/>
      <c r="DW233" s="154"/>
      <c r="DX233" s="158"/>
      <c r="DY233" s="154"/>
      <c r="DZ233" s="154"/>
      <c r="EA233" s="154"/>
      <c r="EB233" s="154"/>
      <c r="EC233" s="158"/>
      <c r="ED233" s="154"/>
      <c r="EE233" s="154"/>
      <c r="EF233" s="154"/>
      <c r="EG233" s="154"/>
      <c r="EH233" s="158"/>
      <c r="EI233" s="154"/>
      <c r="EJ233" s="154"/>
      <c r="EK233" s="154"/>
      <c r="EL233" s="154"/>
      <c r="EM233" s="158"/>
      <c r="EN233" s="154"/>
      <c r="EO233" s="154"/>
      <c r="EP233" s="154"/>
      <c r="EQ233" s="154"/>
      <c r="ER233" s="158"/>
      <c r="ES233" s="154"/>
      <c r="ET233" s="154"/>
      <c r="EU233" s="154"/>
      <c r="EV233" s="154"/>
      <c r="EW233" s="158"/>
      <c r="EX233" s="154"/>
      <c r="EY233" s="154"/>
      <c r="EZ233" s="154"/>
      <c r="FA233" s="154"/>
      <c r="FB233" s="158"/>
      <c r="FC233" s="154"/>
      <c r="FD233" s="154"/>
      <c r="FE233" s="154"/>
      <c r="FF233" s="154"/>
      <c r="FG233" s="158"/>
      <c r="FH233" s="154"/>
      <c r="FI233" s="154"/>
      <c r="FJ233" s="154"/>
      <c r="FK233" s="154"/>
      <c r="FL233" s="158"/>
      <c r="FM233" s="154"/>
      <c r="FN233" s="154"/>
      <c r="FO233" s="154"/>
      <c r="FP233" s="154"/>
      <c r="FQ233" s="158"/>
      <c r="FR233" s="154"/>
      <c r="FS233" s="154"/>
      <c r="FT233" s="154"/>
      <c r="FU233" s="154"/>
      <c r="FV233" s="158"/>
      <c r="FW233" s="154"/>
      <c r="FX233" s="154"/>
      <c r="FY233" s="154"/>
      <c r="FZ233" s="154"/>
      <c r="GA233" s="158"/>
      <c r="GB233" s="154"/>
      <c r="GC233" s="154"/>
      <c r="GD233" s="154"/>
      <c r="GE233" s="154"/>
      <c r="GF233" s="158"/>
      <c r="GG233" s="154"/>
      <c r="GH233" s="154"/>
      <c r="GI233" s="154"/>
      <c r="GJ233" s="154"/>
    </row>
    <row r="234" spans="1:192" s="93" customFormat="1" ht="12.75" customHeight="1">
      <c r="A234" s="68"/>
      <c r="B234" s="677"/>
      <c r="C234" s="158"/>
      <c r="D234" s="154"/>
      <c r="E234" s="154"/>
      <c r="F234" s="154"/>
      <c r="G234" s="154"/>
      <c r="H234" s="158"/>
      <c r="I234" s="154"/>
      <c r="J234" s="154"/>
      <c r="K234" s="154"/>
      <c r="L234" s="154"/>
      <c r="M234" s="158"/>
      <c r="N234" s="154"/>
      <c r="O234" s="154"/>
      <c r="P234" s="154"/>
      <c r="Q234" s="154"/>
      <c r="R234" s="158"/>
      <c r="S234" s="154"/>
      <c r="T234" s="154"/>
      <c r="U234" s="154"/>
      <c r="V234" s="154"/>
      <c r="W234" s="158"/>
      <c r="X234" s="154"/>
      <c r="Y234" s="154"/>
      <c r="Z234" s="154"/>
      <c r="AA234" s="154"/>
      <c r="AB234" s="158"/>
      <c r="AC234" s="154"/>
      <c r="AD234" s="154"/>
      <c r="AE234" s="154"/>
      <c r="AF234" s="154"/>
      <c r="AG234" s="158"/>
      <c r="AH234" s="154"/>
      <c r="AI234" s="154"/>
      <c r="AJ234" s="154"/>
      <c r="AK234" s="154"/>
      <c r="AL234" s="158"/>
      <c r="AM234" s="154"/>
      <c r="AN234" s="154"/>
      <c r="AO234" s="154"/>
      <c r="AP234" s="154"/>
      <c r="AQ234" s="158"/>
      <c r="AR234" s="154"/>
      <c r="AS234" s="154"/>
      <c r="AT234" s="154"/>
      <c r="AU234" s="154"/>
      <c r="AV234" s="158"/>
      <c r="AW234" s="154"/>
      <c r="AX234" s="154"/>
      <c r="AY234" s="154"/>
      <c r="AZ234" s="154"/>
      <c r="BA234" s="158"/>
      <c r="BB234" s="154"/>
      <c r="BC234" s="154"/>
      <c r="BD234" s="154"/>
      <c r="BE234" s="154"/>
      <c r="BF234" s="158"/>
      <c r="BG234" s="154"/>
      <c r="BH234" s="154"/>
      <c r="BI234" s="154"/>
      <c r="BJ234" s="154"/>
      <c r="BK234" s="158"/>
      <c r="BL234" s="154"/>
      <c r="BM234" s="154"/>
      <c r="BN234" s="154"/>
      <c r="BO234" s="154"/>
      <c r="BP234" s="158"/>
      <c r="BQ234" s="154"/>
      <c r="BR234" s="154"/>
      <c r="BS234" s="154"/>
      <c r="BT234" s="154"/>
      <c r="BU234" s="158"/>
      <c r="BV234" s="154"/>
      <c r="BW234" s="154"/>
      <c r="BX234" s="154"/>
      <c r="BY234" s="154"/>
      <c r="BZ234" s="158"/>
      <c r="CA234" s="154"/>
      <c r="CB234" s="154"/>
      <c r="CC234" s="154"/>
      <c r="CD234" s="154"/>
      <c r="CE234" s="158"/>
      <c r="CF234" s="154"/>
      <c r="CG234" s="154"/>
      <c r="CH234" s="154"/>
      <c r="CI234" s="154"/>
      <c r="CJ234" s="158"/>
      <c r="CK234" s="154"/>
      <c r="CL234" s="154"/>
      <c r="CM234" s="154"/>
      <c r="CN234" s="154"/>
      <c r="CO234" s="158"/>
      <c r="CP234" s="154"/>
      <c r="CQ234" s="154"/>
      <c r="CR234" s="154"/>
      <c r="CS234" s="154"/>
      <c r="CT234" s="158"/>
      <c r="CU234" s="154"/>
      <c r="CV234" s="154"/>
      <c r="CW234" s="154"/>
      <c r="CX234" s="154"/>
      <c r="CY234" s="158"/>
      <c r="CZ234" s="154"/>
      <c r="DA234" s="154"/>
      <c r="DB234" s="154"/>
      <c r="DC234" s="154"/>
      <c r="DD234" s="158"/>
      <c r="DE234" s="154"/>
      <c r="DF234" s="154"/>
      <c r="DG234" s="154"/>
      <c r="DH234" s="154"/>
      <c r="DI234" s="158"/>
      <c r="DJ234" s="154"/>
      <c r="DK234" s="154"/>
      <c r="DL234" s="154"/>
      <c r="DM234" s="154"/>
      <c r="DN234" s="158"/>
      <c r="DO234" s="154"/>
      <c r="DP234" s="154"/>
      <c r="DQ234" s="154"/>
      <c r="DR234" s="154"/>
      <c r="DS234" s="158"/>
      <c r="DT234" s="154"/>
      <c r="DU234" s="154"/>
      <c r="DV234" s="154"/>
      <c r="DW234" s="154"/>
      <c r="DX234" s="158"/>
      <c r="DY234" s="154"/>
      <c r="DZ234" s="154"/>
      <c r="EA234" s="154"/>
      <c r="EB234" s="154"/>
      <c r="EC234" s="158"/>
      <c r="ED234" s="154"/>
      <c r="EE234" s="154"/>
      <c r="EF234" s="154"/>
      <c r="EG234" s="154"/>
      <c r="EH234" s="158"/>
      <c r="EI234" s="154"/>
      <c r="EJ234" s="154"/>
      <c r="EK234" s="154"/>
      <c r="EL234" s="154"/>
      <c r="EM234" s="158"/>
      <c r="EN234" s="154"/>
      <c r="EO234" s="154"/>
      <c r="EP234" s="154"/>
      <c r="EQ234" s="154"/>
      <c r="ER234" s="158"/>
      <c r="ES234" s="154"/>
      <c r="ET234" s="154"/>
      <c r="EU234" s="154"/>
      <c r="EV234" s="154"/>
      <c r="EW234" s="158"/>
      <c r="EX234" s="154"/>
      <c r="EY234" s="154"/>
      <c r="EZ234" s="154"/>
      <c r="FA234" s="154"/>
      <c r="FB234" s="158"/>
      <c r="FC234" s="154"/>
      <c r="FD234" s="154"/>
      <c r="FE234" s="154"/>
      <c r="FF234" s="154"/>
      <c r="FG234" s="158"/>
      <c r="FH234" s="154"/>
      <c r="FI234" s="154"/>
      <c r="FJ234" s="154"/>
      <c r="FK234" s="154"/>
      <c r="FL234" s="158"/>
      <c r="FM234" s="154"/>
      <c r="FN234" s="154"/>
      <c r="FO234" s="154"/>
      <c r="FP234" s="154"/>
      <c r="FQ234" s="158"/>
      <c r="FR234" s="154"/>
      <c r="FS234" s="154"/>
      <c r="FT234" s="154"/>
      <c r="FU234" s="154"/>
      <c r="FV234" s="158"/>
      <c r="FW234" s="154"/>
      <c r="FX234" s="154"/>
      <c r="FY234" s="154"/>
      <c r="FZ234" s="154"/>
      <c r="GA234" s="158"/>
      <c r="GB234" s="154"/>
      <c r="GC234" s="154"/>
      <c r="GD234" s="154"/>
      <c r="GE234" s="154"/>
      <c r="GF234" s="158"/>
      <c r="GG234" s="154"/>
      <c r="GH234" s="154"/>
      <c r="GI234" s="154"/>
      <c r="GJ234" s="154"/>
    </row>
    <row r="235" spans="1:192" s="93" customFormat="1" ht="12.75" customHeight="1">
      <c r="A235" s="68"/>
      <c r="B235" s="677"/>
      <c r="C235" s="158"/>
      <c r="D235" s="154"/>
      <c r="E235" s="154"/>
      <c r="F235" s="154"/>
      <c r="G235" s="154"/>
      <c r="H235" s="158"/>
      <c r="I235" s="154"/>
      <c r="J235" s="154"/>
      <c r="K235" s="154"/>
      <c r="L235" s="154"/>
      <c r="M235" s="158"/>
      <c r="N235" s="154"/>
      <c r="O235" s="154"/>
      <c r="P235" s="154"/>
      <c r="Q235" s="154"/>
      <c r="R235" s="158"/>
      <c r="S235" s="154"/>
      <c r="T235" s="154"/>
      <c r="U235" s="154"/>
      <c r="V235" s="154"/>
      <c r="W235" s="158"/>
      <c r="X235" s="154"/>
      <c r="Y235" s="154"/>
      <c r="Z235" s="154"/>
      <c r="AA235" s="154"/>
      <c r="AB235" s="158"/>
      <c r="AC235" s="154"/>
      <c r="AD235" s="154"/>
      <c r="AE235" s="154"/>
      <c r="AF235" s="154"/>
      <c r="AG235" s="158"/>
      <c r="AH235" s="154"/>
      <c r="AI235" s="154"/>
      <c r="AJ235" s="154"/>
      <c r="AK235" s="154"/>
      <c r="AL235" s="158"/>
      <c r="AM235" s="154"/>
      <c r="AN235" s="154"/>
      <c r="AO235" s="154"/>
      <c r="AP235" s="154"/>
      <c r="AQ235" s="158"/>
      <c r="AR235" s="154"/>
      <c r="AS235" s="154"/>
      <c r="AT235" s="154"/>
      <c r="AU235" s="154"/>
      <c r="AV235" s="158"/>
      <c r="AW235" s="154"/>
      <c r="AX235" s="154"/>
      <c r="AY235" s="154"/>
      <c r="AZ235" s="154"/>
      <c r="BA235" s="158"/>
      <c r="BB235" s="154"/>
      <c r="BC235" s="154"/>
      <c r="BD235" s="154"/>
      <c r="BE235" s="154"/>
      <c r="BF235" s="158"/>
      <c r="BG235" s="154"/>
      <c r="BH235" s="154"/>
      <c r="BI235" s="154"/>
      <c r="BJ235" s="154"/>
      <c r="BK235" s="158"/>
      <c r="BL235" s="154"/>
      <c r="BM235" s="154"/>
      <c r="BN235" s="154"/>
      <c r="BO235" s="154"/>
      <c r="BP235" s="158"/>
      <c r="BQ235" s="154"/>
      <c r="BR235" s="154"/>
      <c r="BS235" s="154"/>
      <c r="BT235" s="154"/>
      <c r="BU235" s="158"/>
      <c r="BV235" s="154"/>
      <c r="BW235" s="154"/>
      <c r="BX235" s="154"/>
      <c r="BY235" s="154"/>
      <c r="BZ235" s="158"/>
      <c r="CA235" s="154"/>
      <c r="CB235" s="154"/>
      <c r="CC235" s="154"/>
      <c r="CD235" s="154"/>
      <c r="CE235" s="158"/>
      <c r="CF235" s="154"/>
      <c r="CG235" s="154"/>
      <c r="CH235" s="154"/>
      <c r="CI235" s="154"/>
      <c r="CJ235" s="158"/>
      <c r="CK235" s="154"/>
      <c r="CL235" s="154"/>
      <c r="CM235" s="154"/>
      <c r="CN235" s="154"/>
      <c r="CO235" s="158"/>
      <c r="CP235" s="154"/>
      <c r="CQ235" s="154"/>
      <c r="CR235" s="154"/>
      <c r="CS235" s="154"/>
      <c r="CT235" s="158"/>
      <c r="CU235" s="154"/>
      <c r="CV235" s="154"/>
      <c r="CW235" s="154"/>
      <c r="CX235" s="154"/>
      <c r="CY235" s="158"/>
      <c r="CZ235" s="154"/>
      <c r="DA235" s="154"/>
      <c r="DB235" s="154"/>
      <c r="DC235" s="154"/>
      <c r="DD235" s="158"/>
      <c r="DE235" s="154"/>
      <c r="DF235" s="154"/>
      <c r="DG235" s="154"/>
      <c r="DH235" s="154"/>
      <c r="DI235" s="158"/>
      <c r="DJ235" s="154"/>
      <c r="DK235" s="154"/>
      <c r="DL235" s="154"/>
      <c r="DM235" s="154"/>
      <c r="DN235" s="158"/>
      <c r="DO235" s="154"/>
      <c r="DP235" s="154"/>
      <c r="DQ235" s="154"/>
      <c r="DR235" s="154"/>
      <c r="DS235" s="158"/>
      <c r="DT235" s="154"/>
      <c r="DU235" s="154"/>
      <c r="DV235" s="154"/>
      <c r="DW235" s="154"/>
      <c r="DX235" s="158"/>
      <c r="DY235" s="154"/>
      <c r="DZ235" s="154"/>
      <c r="EA235" s="154"/>
      <c r="EB235" s="154"/>
      <c r="EC235" s="158"/>
      <c r="ED235" s="154"/>
      <c r="EE235" s="154"/>
      <c r="EF235" s="154"/>
      <c r="EG235" s="154"/>
      <c r="EH235" s="158"/>
      <c r="EI235" s="154"/>
      <c r="EJ235" s="154"/>
      <c r="EK235" s="154"/>
      <c r="EL235" s="154"/>
      <c r="EM235" s="158"/>
      <c r="EN235" s="154"/>
      <c r="EO235" s="154"/>
      <c r="EP235" s="154"/>
      <c r="EQ235" s="154"/>
      <c r="ER235" s="158"/>
      <c r="ES235" s="154"/>
      <c r="ET235" s="154"/>
      <c r="EU235" s="154"/>
      <c r="EV235" s="154"/>
      <c r="EW235" s="158"/>
      <c r="EX235" s="154"/>
      <c r="EY235" s="154"/>
      <c r="EZ235" s="154"/>
      <c r="FA235" s="154"/>
      <c r="FB235" s="158"/>
      <c r="FC235" s="154"/>
      <c r="FD235" s="154"/>
      <c r="FE235" s="154"/>
      <c r="FF235" s="154"/>
      <c r="FG235" s="158"/>
      <c r="FH235" s="154"/>
      <c r="FI235" s="154"/>
      <c r="FJ235" s="154"/>
      <c r="FK235" s="154"/>
      <c r="FL235" s="158"/>
      <c r="FM235" s="154"/>
      <c r="FN235" s="154"/>
      <c r="FO235" s="154"/>
      <c r="FP235" s="154"/>
      <c r="FQ235" s="158"/>
      <c r="FR235" s="154"/>
      <c r="FS235" s="154"/>
      <c r="FT235" s="154"/>
      <c r="FU235" s="154"/>
      <c r="FV235" s="158"/>
      <c r="FW235" s="154"/>
      <c r="FX235" s="154"/>
      <c r="FY235" s="154"/>
      <c r="FZ235" s="154"/>
      <c r="GA235" s="158"/>
      <c r="GB235" s="154"/>
      <c r="GC235" s="154"/>
      <c r="GD235" s="154"/>
      <c r="GE235" s="154"/>
      <c r="GF235" s="158"/>
      <c r="GG235" s="154"/>
      <c r="GH235" s="154"/>
      <c r="GI235" s="154"/>
      <c r="GJ235" s="154"/>
    </row>
    <row r="236" spans="1:192" s="93" customFormat="1" ht="12.75" customHeight="1">
      <c r="A236" s="68"/>
      <c r="B236" s="677"/>
      <c r="C236" s="151"/>
      <c r="D236" s="156"/>
      <c r="E236" s="156"/>
      <c r="F236" s="156"/>
      <c r="G236" s="156"/>
      <c r="H236" s="151"/>
      <c r="I236" s="156"/>
      <c r="J236" s="156"/>
      <c r="K236" s="156"/>
      <c r="L236" s="156"/>
      <c r="M236" s="151"/>
      <c r="N236" s="156"/>
      <c r="O236" s="156"/>
      <c r="P236" s="156"/>
      <c r="Q236" s="156"/>
      <c r="R236" s="151"/>
      <c r="S236" s="156"/>
      <c r="T236" s="156"/>
      <c r="U236" s="156"/>
      <c r="V236" s="156"/>
      <c r="W236" s="151"/>
      <c r="X236" s="156"/>
      <c r="Y236" s="156"/>
      <c r="Z236" s="156"/>
      <c r="AA236" s="156"/>
      <c r="AB236" s="151"/>
      <c r="AC236" s="156"/>
      <c r="AD236" s="156"/>
      <c r="AE236" s="156"/>
      <c r="AF236" s="156"/>
      <c r="AG236" s="151"/>
      <c r="AH236" s="156"/>
      <c r="AI236" s="156"/>
      <c r="AJ236" s="156"/>
      <c r="AK236" s="156"/>
      <c r="AL236" s="151"/>
      <c r="AM236" s="156"/>
      <c r="AN236" s="156"/>
      <c r="AO236" s="156"/>
      <c r="AP236" s="156"/>
      <c r="AQ236" s="151"/>
      <c r="AR236" s="156"/>
      <c r="AS236" s="156"/>
      <c r="AT236" s="156"/>
      <c r="AU236" s="156"/>
      <c r="AV236" s="151"/>
      <c r="AW236" s="156"/>
      <c r="AX236" s="156"/>
      <c r="AY236" s="156"/>
      <c r="AZ236" s="156"/>
      <c r="BA236" s="151"/>
      <c r="BB236" s="156"/>
      <c r="BC236" s="156"/>
      <c r="BD236" s="156"/>
      <c r="BE236" s="156"/>
      <c r="BF236" s="151"/>
      <c r="BG236" s="156"/>
      <c r="BH236" s="156"/>
      <c r="BI236" s="156"/>
      <c r="BJ236" s="156"/>
      <c r="BK236" s="151"/>
      <c r="BL236" s="156"/>
      <c r="BM236" s="156"/>
      <c r="BN236" s="156"/>
      <c r="BO236" s="156"/>
      <c r="BP236" s="151"/>
      <c r="BQ236" s="156"/>
      <c r="BR236" s="156"/>
      <c r="BS236" s="156"/>
      <c r="BT236" s="156"/>
      <c r="BU236" s="151"/>
      <c r="BV236" s="156"/>
      <c r="BW236" s="156"/>
      <c r="BX236" s="156"/>
      <c r="BY236" s="156"/>
      <c r="BZ236" s="151"/>
      <c r="CA236" s="156"/>
      <c r="CB236" s="156"/>
      <c r="CC236" s="156"/>
      <c r="CD236" s="156"/>
      <c r="CE236" s="151"/>
      <c r="CF236" s="156"/>
      <c r="CG236" s="156"/>
      <c r="CH236" s="156"/>
      <c r="CI236" s="156"/>
      <c r="CJ236" s="151"/>
      <c r="CK236" s="156"/>
      <c r="CL236" s="156"/>
      <c r="CM236" s="156"/>
      <c r="CN236" s="156"/>
      <c r="CO236" s="151"/>
      <c r="CP236" s="156"/>
      <c r="CQ236" s="156"/>
      <c r="CR236" s="156"/>
      <c r="CS236" s="156"/>
      <c r="CT236" s="151"/>
      <c r="CU236" s="156"/>
      <c r="CV236" s="156"/>
      <c r="CW236" s="156"/>
      <c r="CX236" s="156"/>
      <c r="CY236" s="151"/>
      <c r="CZ236" s="156"/>
      <c r="DA236" s="156"/>
      <c r="DB236" s="156"/>
      <c r="DC236" s="156"/>
      <c r="DD236" s="151"/>
      <c r="DE236" s="156"/>
      <c r="DF236" s="156"/>
      <c r="DG236" s="156"/>
      <c r="DH236" s="156"/>
      <c r="DI236" s="151"/>
      <c r="DJ236" s="156"/>
      <c r="DK236" s="156"/>
      <c r="DL236" s="156"/>
      <c r="DM236" s="156"/>
      <c r="DN236" s="151"/>
      <c r="DO236" s="156"/>
      <c r="DP236" s="156"/>
      <c r="DQ236" s="156"/>
      <c r="DR236" s="156"/>
      <c r="DS236" s="151"/>
      <c r="DT236" s="156"/>
      <c r="DU236" s="156"/>
      <c r="DV236" s="156"/>
      <c r="DW236" s="156"/>
      <c r="DX236" s="151"/>
      <c r="DY236" s="156"/>
      <c r="DZ236" s="156"/>
      <c r="EA236" s="156"/>
      <c r="EB236" s="156"/>
      <c r="EC236" s="151"/>
      <c r="ED236" s="156"/>
      <c r="EE236" s="156"/>
      <c r="EF236" s="156"/>
      <c r="EG236" s="156"/>
      <c r="EH236" s="151"/>
      <c r="EI236" s="156"/>
      <c r="EJ236" s="156"/>
      <c r="EK236" s="156"/>
      <c r="EL236" s="156"/>
      <c r="EM236" s="151"/>
      <c r="EN236" s="156"/>
      <c r="EO236" s="156"/>
      <c r="EP236" s="156"/>
      <c r="EQ236" s="156"/>
      <c r="ER236" s="151"/>
      <c r="ES236" s="156"/>
      <c r="ET236" s="156"/>
      <c r="EU236" s="156"/>
      <c r="EV236" s="156"/>
      <c r="EW236" s="151"/>
      <c r="EX236" s="156"/>
      <c r="EY236" s="156"/>
      <c r="EZ236" s="156"/>
      <c r="FA236" s="156"/>
      <c r="FB236" s="151"/>
      <c r="FC236" s="156"/>
      <c r="FD236" s="156"/>
      <c r="FE236" s="156"/>
      <c r="FF236" s="156"/>
      <c r="FG236" s="151"/>
      <c r="FH236" s="156"/>
      <c r="FI236" s="156"/>
      <c r="FJ236" s="156"/>
      <c r="FK236" s="156"/>
      <c r="FL236" s="151"/>
      <c r="FM236" s="156"/>
      <c r="FN236" s="156"/>
      <c r="FO236" s="156"/>
      <c r="FP236" s="156"/>
      <c r="FQ236" s="151"/>
      <c r="FR236" s="156"/>
      <c r="FS236" s="156"/>
      <c r="FT236" s="156"/>
      <c r="FU236" s="156"/>
      <c r="FV236" s="151"/>
      <c r="FW236" s="156"/>
      <c r="FX236" s="156"/>
      <c r="FY236" s="156"/>
      <c r="FZ236" s="156"/>
      <c r="GA236" s="151"/>
      <c r="GB236" s="156"/>
      <c r="GC236" s="156"/>
      <c r="GD236" s="156"/>
      <c r="GE236" s="156"/>
      <c r="GF236" s="151"/>
      <c r="GG236" s="156"/>
      <c r="GH236" s="156"/>
      <c r="GI236" s="156"/>
      <c r="GJ236" s="156"/>
    </row>
    <row r="237" spans="1:192" s="93" customFormat="1" ht="12.75" customHeight="1">
      <c r="A237" s="68"/>
      <c r="B237" s="677"/>
      <c r="C237" s="153"/>
      <c r="D237" s="154"/>
      <c r="E237" s="154"/>
      <c r="F237" s="154"/>
      <c r="G237" s="154"/>
      <c r="H237" s="153"/>
      <c r="I237" s="154"/>
      <c r="J237" s="154"/>
      <c r="K237" s="154"/>
      <c r="L237" s="154"/>
      <c r="M237" s="153"/>
      <c r="N237" s="154"/>
      <c r="O237" s="154"/>
      <c r="P237" s="154"/>
      <c r="Q237" s="154"/>
      <c r="R237" s="153"/>
      <c r="S237" s="154"/>
      <c r="T237" s="154"/>
      <c r="U237" s="154"/>
      <c r="V237" s="154"/>
      <c r="W237" s="153"/>
      <c r="X237" s="154"/>
      <c r="Y237" s="154"/>
      <c r="Z237" s="154"/>
      <c r="AA237" s="154"/>
      <c r="AB237" s="153"/>
      <c r="AC237" s="154"/>
      <c r="AD237" s="154"/>
      <c r="AE237" s="154"/>
      <c r="AF237" s="154"/>
      <c r="AG237" s="153"/>
      <c r="AH237" s="154"/>
      <c r="AI237" s="154"/>
      <c r="AJ237" s="154"/>
      <c r="AK237" s="154"/>
      <c r="AL237" s="153"/>
      <c r="AM237" s="154"/>
      <c r="AN237" s="154"/>
      <c r="AO237" s="154"/>
      <c r="AP237" s="154"/>
      <c r="AQ237" s="153"/>
      <c r="AR237" s="154"/>
      <c r="AS237" s="154"/>
      <c r="AT237" s="154"/>
      <c r="AU237" s="154"/>
      <c r="AV237" s="153"/>
      <c r="AW237" s="154"/>
      <c r="AX237" s="154"/>
      <c r="AY237" s="154"/>
      <c r="AZ237" s="154"/>
      <c r="BA237" s="153"/>
      <c r="BB237" s="154"/>
      <c r="BC237" s="154"/>
      <c r="BD237" s="154"/>
      <c r="BE237" s="154"/>
      <c r="BF237" s="153"/>
      <c r="BG237" s="154"/>
      <c r="BH237" s="154"/>
      <c r="BI237" s="154"/>
      <c r="BJ237" s="154"/>
      <c r="BK237" s="153"/>
      <c r="BL237" s="154"/>
      <c r="BM237" s="154"/>
      <c r="BN237" s="154"/>
      <c r="BO237" s="154"/>
      <c r="BP237" s="153"/>
      <c r="BQ237" s="154"/>
      <c r="BR237" s="154"/>
      <c r="BS237" s="154"/>
      <c r="BT237" s="154"/>
      <c r="BU237" s="153"/>
      <c r="BV237" s="154"/>
      <c r="BW237" s="154"/>
      <c r="BX237" s="154"/>
      <c r="BY237" s="154"/>
      <c r="BZ237" s="153"/>
      <c r="CA237" s="154"/>
      <c r="CB237" s="154"/>
      <c r="CC237" s="154"/>
      <c r="CD237" s="154"/>
      <c r="CE237" s="153"/>
      <c r="CF237" s="154"/>
      <c r="CG237" s="154"/>
      <c r="CH237" s="154"/>
      <c r="CI237" s="154"/>
      <c r="CJ237" s="153"/>
      <c r="CK237" s="154"/>
      <c r="CL237" s="154"/>
      <c r="CM237" s="154"/>
      <c r="CN237" s="154"/>
      <c r="CO237" s="153"/>
      <c r="CP237" s="154"/>
      <c r="CQ237" s="154"/>
      <c r="CR237" s="154"/>
      <c r="CS237" s="154"/>
      <c r="CT237" s="153"/>
      <c r="CU237" s="154"/>
      <c r="CV237" s="154"/>
      <c r="CW237" s="154"/>
      <c r="CX237" s="154"/>
      <c r="CY237" s="153"/>
      <c r="CZ237" s="154"/>
      <c r="DA237" s="154"/>
      <c r="DB237" s="154"/>
      <c r="DC237" s="154"/>
      <c r="DD237" s="153"/>
      <c r="DE237" s="154"/>
      <c r="DF237" s="154"/>
      <c r="DG237" s="154"/>
      <c r="DH237" s="154"/>
      <c r="DI237" s="153"/>
      <c r="DJ237" s="154"/>
      <c r="DK237" s="154"/>
      <c r="DL237" s="154"/>
      <c r="DM237" s="154"/>
      <c r="DN237" s="153"/>
      <c r="DO237" s="154"/>
      <c r="DP237" s="154"/>
      <c r="DQ237" s="154"/>
      <c r="DR237" s="154"/>
      <c r="DS237" s="153"/>
      <c r="DT237" s="154"/>
      <c r="DU237" s="154"/>
      <c r="DV237" s="154"/>
      <c r="DW237" s="154"/>
      <c r="DX237" s="153"/>
      <c r="DY237" s="154"/>
      <c r="DZ237" s="154"/>
      <c r="EA237" s="154"/>
      <c r="EB237" s="154"/>
      <c r="EC237" s="153"/>
      <c r="ED237" s="154"/>
      <c r="EE237" s="154"/>
      <c r="EF237" s="154"/>
      <c r="EG237" s="154"/>
      <c r="EH237" s="153"/>
      <c r="EI237" s="154"/>
      <c r="EJ237" s="154"/>
      <c r="EK237" s="154"/>
      <c r="EL237" s="154"/>
      <c r="EM237" s="153"/>
      <c r="EN237" s="154"/>
      <c r="EO237" s="154"/>
      <c r="EP237" s="154"/>
      <c r="EQ237" s="154"/>
      <c r="ER237" s="153"/>
      <c r="ES237" s="154"/>
      <c r="ET237" s="154"/>
      <c r="EU237" s="154"/>
      <c r="EV237" s="154"/>
      <c r="EW237" s="153"/>
      <c r="EX237" s="154"/>
      <c r="EY237" s="154"/>
      <c r="EZ237" s="154"/>
      <c r="FA237" s="154"/>
      <c r="FB237" s="153"/>
      <c r="FC237" s="154"/>
      <c r="FD237" s="154"/>
      <c r="FE237" s="154"/>
      <c r="FF237" s="154"/>
      <c r="FG237" s="153"/>
      <c r="FH237" s="154"/>
      <c r="FI237" s="154"/>
      <c r="FJ237" s="154"/>
      <c r="FK237" s="154"/>
      <c r="FL237" s="153"/>
      <c r="FM237" s="154"/>
      <c r="FN237" s="154"/>
      <c r="FO237" s="154"/>
      <c r="FP237" s="154"/>
      <c r="FQ237" s="153"/>
      <c r="FR237" s="154"/>
      <c r="FS237" s="154"/>
      <c r="FT237" s="154"/>
      <c r="FU237" s="154"/>
      <c r="FV237" s="153"/>
      <c r="FW237" s="154"/>
      <c r="FX237" s="154"/>
      <c r="FY237" s="154"/>
      <c r="FZ237" s="154"/>
      <c r="GA237" s="153"/>
      <c r="GB237" s="154"/>
      <c r="GC237" s="154"/>
      <c r="GD237" s="154"/>
      <c r="GE237" s="154"/>
      <c r="GF237" s="153"/>
      <c r="GG237" s="154"/>
      <c r="GH237" s="154"/>
      <c r="GI237" s="154"/>
      <c r="GJ237" s="154"/>
    </row>
    <row r="238" spans="1:192" s="93" customFormat="1" ht="12.75" customHeight="1">
      <c r="A238" s="68"/>
      <c r="B238" s="677"/>
      <c r="C238" s="153"/>
      <c r="D238" s="154"/>
      <c r="E238" s="154"/>
      <c r="F238" s="154"/>
      <c r="G238" s="154"/>
      <c r="H238" s="153"/>
      <c r="I238" s="154"/>
      <c r="J238" s="154"/>
      <c r="K238" s="154"/>
      <c r="L238" s="154"/>
      <c r="M238" s="153"/>
      <c r="N238" s="154"/>
      <c r="O238" s="154"/>
      <c r="P238" s="154"/>
      <c r="Q238" s="154"/>
      <c r="R238" s="153"/>
      <c r="S238" s="154"/>
      <c r="T238" s="154"/>
      <c r="U238" s="154"/>
      <c r="V238" s="154"/>
      <c r="W238" s="153"/>
      <c r="X238" s="154"/>
      <c r="Y238" s="154"/>
      <c r="Z238" s="154"/>
      <c r="AA238" s="154"/>
      <c r="AB238" s="153"/>
      <c r="AC238" s="154"/>
      <c r="AD238" s="154"/>
      <c r="AE238" s="154"/>
      <c r="AF238" s="154"/>
      <c r="AG238" s="153"/>
      <c r="AH238" s="154"/>
      <c r="AI238" s="154"/>
      <c r="AJ238" s="154"/>
      <c r="AK238" s="154"/>
      <c r="AL238" s="153"/>
      <c r="AM238" s="154"/>
      <c r="AN238" s="154"/>
      <c r="AO238" s="154"/>
      <c r="AP238" s="154"/>
      <c r="AQ238" s="153"/>
      <c r="AR238" s="154"/>
      <c r="AS238" s="154"/>
      <c r="AT238" s="154"/>
      <c r="AU238" s="154"/>
      <c r="AV238" s="153"/>
      <c r="AW238" s="154"/>
      <c r="AX238" s="154"/>
      <c r="AY238" s="154"/>
      <c r="AZ238" s="154"/>
      <c r="BA238" s="153"/>
      <c r="BB238" s="154"/>
      <c r="BC238" s="154"/>
      <c r="BD238" s="154"/>
      <c r="BE238" s="154"/>
      <c r="BF238" s="153"/>
      <c r="BG238" s="154"/>
      <c r="BH238" s="154"/>
      <c r="BI238" s="154"/>
      <c r="BJ238" s="154"/>
      <c r="BK238" s="153"/>
      <c r="BL238" s="154"/>
      <c r="BM238" s="154"/>
      <c r="BN238" s="154"/>
      <c r="BO238" s="154"/>
      <c r="BP238" s="153"/>
      <c r="BQ238" s="154"/>
      <c r="BR238" s="154"/>
      <c r="BS238" s="154"/>
      <c r="BT238" s="154"/>
      <c r="BU238" s="153"/>
      <c r="BV238" s="154"/>
      <c r="BW238" s="154"/>
      <c r="BX238" s="154"/>
      <c r="BY238" s="154"/>
      <c r="BZ238" s="153"/>
      <c r="CA238" s="154"/>
      <c r="CB238" s="154"/>
      <c r="CC238" s="154"/>
      <c r="CD238" s="154"/>
      <c r="CE238" s="153"/>
      <c r="CF238" s="154"/>
      <c r="CG238" s="154"/>
      <c r="CH238" s="154"/>
      <c r="CI238" s="154"/>
      <c r="CJ238" s="153"/>
      <c r="CK238" s="154"/>
      <c r="CL238" s="154"/>
      <c r="CM238" s="154"/>
      <c r="CN238" s="154"/>
      <c r="CO238" s="153"/>
      <c r="CP238" s="154"/>
      <c r="CQ238" s="154"/>
      <c r="CR238" s="154"/>
      <c r="CS238" s="154"/>
      <c r="CT238" s="153"/>
      <c r="CU238" s="154"/>
      <c r="CV238" s="154"/>
      <c r="CW238" s="154"/>
      <c r="CX238" s="154"/>
      <c r="CY238" s="153"/>
      <c r="CZ238" s="154"/>
      <c r="DA238" s="154"/>
      <c r="DB238" s="154"/>
      <c r="DC238" s="154"/>
      <c r="DD238" s="153"/>
      <c r="DE238" s="154"/>
      <c r="DF238" s="154"/>
      <c r="DG238" s="154"/>
      <c r="DH238" s="154"/>
      <c r="DI238" s="153"/>
      <c r="DJ238" s="154"/>
      <c r="DK238" s="154"/>
      <c r="DL238" s="154"/>
      <c r="DM238" s="154"/>
      <c r="DN238" s="153"/>
      <c r="DO238" s="154"/>
      <c r="DP238" s="154"/>
      <c r="DQ238" s="154"/>
      <c r="DR238" s="154"/>
      <c r="DS238" s="153"/>
      <c r="DT238" s="154"/>
      <c r="DU238" s="154"/>
      <c r="DV238" s="154"/>
      <c r="DW238" s="154"/>
      <c r="DX238" s="153"/>
      <c r="DY238" s="154"/>
      <c r="DZ238" s="154"/>
      <c r="EA238" s="154"/>
      <c r="EB238" s="154"/>
      <c r="EC238" s="153"/>
      <c r="ED238" s="154"/>
      <c r="EE238" s="154"/>
      <c r="EF238" s="154"/>
      <c r="EG238" s="154"/>
      <c r="EH238" s="153"/>
      <c r="EI238" s="154"/>
      <c r="EJ238" s="154"/>
      <c r="EK238" s="154"/>
      <c r="EL238" s="154"/>
      <c r="EM238" s="153"/>
      <c r="EN238" s="154"/>
      <c r="EO238" s="154"/>
      <c r="EP238" s="154"/>
      <c r="EQ238" s="154"/>
      <c r="ER238" s="153"/>
      <c r="ES238" s="154"/>
      <c r="ET238" s="154"/>
      <c r="EU238" s="154"/>
      <c r="EV238" s="154"/>
      <c r="EW238" s="153"/>
      <c r="EX238" s="154"/>
      <c r="EY238" s="154"/>
      <c r="EZ238" s="154"/>
      <c r="FA238" s="154"/>
      <c r="FB238" s="153"/>
      <c r="FC238" s="154"/>
      <c r="FD238" s="154"/>
      <c r="FE238" s="154"/>
      <c r="FF238" s="154"/>
      <c r="FG238" s="153"/>
      <c r="FH238" s="154"/>
      <c r="FI238" s="154"/>
      <c r="FJ238" s="154"/>
      <c r="FK238" s="154"/>
      <c r="FL238" s="153"/>
      <c r="FM238" s="154"/>
      <c r="FN238" s="154"/>
      <c r="FO238" s="154"/>
      <c r="FP238" s="154"/>
      <c r="FQ238" s="153"/>
      <c r="FR238" s="154"/>
      <c r="FS238" s="154"/>
      <c r="FT238" s="154"/>
      <c r="FU238" s="154"/>
      <c r="FV238" s="153"/>
      <c r="FW238" s="154"/>
      <c r="FX238" s="154"/>
      <c r="FY238" s="154"/>
      <c r="FZ238" s="154"/>
      <c r="GA238" s="153"/>
      <c r="GB238" s="154"/>
      <c r="GC238" s="154"/>
      <c r="GD238" s="154"/>
      <c r="GE238" s="154"/>
      <c r="GF238" s="153"/>
      <c r="GG238" s="154"/>
      <c r="GH238" s="154"/>
      <c r="GI238" s="154"/>
      <c r="GJ238" s="154"/>
    </row>
    <row r="239" spans="1:192" s="93" customFormat="1" ht="12.75" customHeight="1">
      <c r="A239" s="68"/>
      <c r="B239" s="677"/>
      <c r="C239" s="153"/>
      <c r="D239" s="154"/>
      <c r="E239" s="154"/>
      <c r="F239" s="154"/>
      <c r="G239" s="154"/>
      <c r="H239" s="153"/>
      <c r="I239" s="154"/>
      <c r="J239" s="154"/>
      <c r="K239" s="154"/>
      <c r="L239" s="154"/>
      <c r="M239" s="153"/>
      <c r="N239" s="154"/>
      <c r="O239" s="154"/>
      <c r="P239" s="154"/>
      <c r="Q239" s="154"/>
      <c r="R239" s="153"/>
      <c r="S239" s="154"/>
      <c r="T239" s="154"/>
      <c r="U239" s="154"/>
      <c r="V239" s="154"/>
      <c r="W239" s="153"/>
      <c r="X239" s="154"/>
      <c r="Y239" s="154"/>
      <c r="Z239" s="154"/>
      <c r="AA239" s="154"/>
      <c r="AB239" s="153"/>
      <c r="AC239" s="154"/>
      <c r="AD239" s="154"/>
      <c r="AE239" s="154"/>
      <c r="AF239" s="154"/>
      <c r="AG239" s="153"/>
      <c r="AH239" s="154"/>
      <c r="AI239" s="154"/>
      <c r="AJ239" s="154"/>
      <c r="AK239" s="154"/>
      <c r="AL239" s="153"/>
      <c r="AM239" s="154"/>
      <c r="AN239" s="154"/>
      <c r="AO239" s="154"/>
      <c r="AP239" s="154"/>
      <c r="AQ239" s="153"/>
      <c r="AR239" s="154"/>
      <c r="AS239" s="154"/>
      <c r="AT239" s="154"/>
      <c r="AU239" s="154"/>
      <c r="AV239" s="153"/>
      <c r="AW239" s="154"/>
      <c r="AX239" s="154"/>
      <c r="AY239" s="154"/>
      <c r="AZ239" s="154"/>
      <c r="BA239" s="153"/>
      <c r="BB239" s="154"/>
      <c r="BC239" s="154"/>
      <c r="BD239" s="154"/>
      <c r="BE239" s="154"/>
      <c r="BF239" s="153"/>
      <c r="BG239" s="154"/>
      <c r="BH239" s="154"/>
      <c r="BI239" s="154"/>
      <c r="BJ239" s="154"/>
      <c r="BK239" s="153"/>
      <c r="BL239" s="154"/>
      <c r="BM239" s="154"/>
      <c r="BN239" s="154"/>
      <c r="BO239" s="154"/>
      <c r="BP239" s="153"/>
      <c r="BQ239" s="154"/>
      <c r="BR239" s="154"/>
      <c r="BS239" s="154"/>
      <c r="BT239" s="154"/>
      <c r="BU239" s="153"/>
      <c r="BV239" s="154"/>
      <c r="BW239" s="154"/>
      <c r="BX239" s="154"/>
      <c r="BY239" s="154"/>
      <c r="BZ239" s="153"/>
      <c r="CA239" s="154"/>
      <c r="CB239" s="154"/>
      <c r="CC239" s="154"/>
      <c r="CD239" s="154"/>
      <c r="CE239" s="153"/>
      <c r="CF239" s="154"/>
      <c r="CG239" s="154"/>
      <c r="CH239" s="154"/>
      <c r="CI239" s="154"/>
      <c r="CJ239" s="153"/>
      <c r="CK239" s="154"/>
      <c r="CL239" s="154"/>
      <c r="CM239" s="154"/>
      <c r="CN239" s="154"/>
      <c r="CO239" s="153"/>
      <c r="CP239" s="154"/>
      <c r="CQ239" s="154"/>
      <c r="CR239" s="154"/>
      <c r="CS239" s="154"/>
      <c r="CT239" s="153"/>
      <c r="CU239" s="154"/>
      <c r="CV239" s="154"/>
      <c r="CW239" s="154"/>
      <c r="CX239" s="154"/>
      <c r="CY239" s="153"/>
      <c r="CZ239" s="154"/>
      <c r="DA239" s="154"/>
      <c r="DB239" s="154"/>
      <c r="DC239" s="154"/>
      <c r="DD239" s="153"/>
      <c r="DE239" s="154"/>
      <c r="DF239" s="154"/>
      <c r="DG239" s="154"/>
      <c r="DH239" s="154"/>
      <c r="DI239" s="153"/>
      <c r="DJ239" s="154"/>
      <c r="DK239" s="154"/>
      <c r="DL239" s="154"/>
      <c r="DM239" s="154"/>
      <c r="DN239" s="153"/>
      <c r="DO239" s="154"/>
      <c r="DP239" s="154"/>
      <c r="DQ239" s="154"/>
      <c r="DR239" s="154"/>
      <c r="DS239" s="153"/>
      <c r="DT239" s="154"/>
      <c r="DU239" s="154"/>
      <c r="DV239" s="154"/>
      <c r="DW239" s="154"/>
      <c r="DX239" s="153"/>
      <c r="DY239" s="154"/>
      <c r="DZ239" s="154"/>
      <c r="EA239" s="154"/>
      <c r="EB239" s="154"/>
      <c r="EC239" s="153"/>
      <c r="ED239" s="154"/>
      <c r="EE239" s="154"/>
      <c r="EF239" s="154"/>
      <c r="EG239" s="154"/>
      <c r="EH239" s="153"/>
      <c r="EI239" s="154"/>
      <c r="EJ239" s="154"/>
      <c r="EK239" s="154"/>
      <c r="EL239" s="154"/>
      <c r="EM239" s="153"/>
      <c r="EN239" s="154"/>
      <c r="EO239" s="154"/>
      <c r="EP239" s="154"/>
      <c r="EQ239" s="154"/>
      <c r="ER239" s="153"/>
      <c r="ES239" s="154"/>
      <c r="ET239" s="154"/>
      <c r="EU239" s="154"/>
      <c r="EV239" s="154"/>
      <c r="EW239" s="153"/>
      <c r="EX239" s="154"/>
      <c r="EY239" s="154"/>
      <c r="EZ239" s="154"/>
      <c r="FA239" s="154"/>
      <c r="FB239" s="153"/>
      <c r="FC239" s="154"/>
      <c r="FD239" s="154"/>
      <c r="FE239" s="154"/>
      <c r="FF239" s="154"/>
      <c r="FG239" s="153"/>
      <c r="FH239" s="154"/>
      <c r="FI239" s="154"/>
      <c r="FJ239" s="154"/>
      <c r="FK239" s="154"/>
      <c r="FL239" s="153"/>
      <c r="FM239" s="154"/>
      <c r="FN239" s="154"/>
      <c r="FO239" s="154"/>
      <c r="FP239" s="154"/>
      <c r="FQ239" s="153"/>
      <c r="FR239" s="154"/>
      <c r="FS239" s="154"/>
      <c r="FT239" s="154"/>
      <c r="FU239" s="154"/>
      <c r="FV239" s="153"/>
      <c r="FW239" s="154"/>
      <c r="FX239" s="154"/>
      <c r="FY239" s="154"/>
      <c r="FZ239" s="154"/>
      <c r="GA239" s="153"/>
      <c r="GB239" s="154"/>
      <c r="GC239" s="154"/>
      <c r="GD239" s="154"/>
      <c r="GE239" s="154"/>
      <c r="GF239" s="153"/>
      <c r="GG239" s="154"/>
      <c r="GH239" s="154"/>
      <c r="GI239" s="154"/>
      <c r="GJ239" s="154"/>
    </row>
    <row r="240" spans="1:192" s="93" customFormat="1" ht="12.75" customHeight="1">
      <c r="A240" s="68"/>
      <c r="B240" s="677"/>
      <c r="C240" s="159"/>
      <c r="D240" s="160"/>
      <c r="E240" s="160"/>
      <c r="F240" s="160"/>
      <c r="G240" s="160"/>
      <c r="H240" s="159"/>
      <c r="I240" s="160"/>
      <c r="J240" s="160"/>
      <c r="K240" s="160"/>
      <c r="L240" s="160"/>
      <c r="M240" s="159"/>
      <c r="N240" s="160"/>
      <c r="O240" s="160"/>
      <c r="P240" s="160"/>
      <c r="Q240" s="160"/>
      <c r="R240" s="159"/>
      <c r="S240" s="160"/>
      <c r="T240" s="160"/>
      <c r="U240" s="160"/>
      <c r="V240" s="160"/>
      <c r="W240" s="159"/>
      <c r="X240" s="160"/>
      <c r="Y240" s="160"/>
      <c r="Z240" s="160"/>
      <c r="AA240" s="160"/>
      <c r="AB240" s="159"/>
      <c r="AC240" s="160"/>
      <c r="AD240" s="160"/>
      <c r="AE240" s="160"/>
      <c r="AF240" s="160"/>
      <c r="AG240" s="159"/>
      <c r="AH240" s="160"/>
      <c r="AI240" s="160"/>
      <c r="AJ240" s="160"/>
      <c r="AK240" s="160"/>
      <c r="AL240" s="159"/>
      <c r="AM240" s="160"/>
      <c r="AN240" s="160"/>
      <c r="AO240" s="160"/>
      <c r="AP240" s="160"/>
      <c r="AQ240" s="159"/>
      <c r="AR240" s="160"/>
      <c r="AS240" s="160"/>
      <c r="AT240" s="160"/>
      <c r="AU240" s="160"/>
      <c r="AV240" s="159"/>
      <c r="AW240" s="160"/>
      <c r="AX240" s="160"/>
      <c r="AY240" s="160"/>
      <c r="AZ240" s="160"/>
      <c r="BA240" s="159"/>
      <c r="BB240" s="160"/>
      <c r="BC240" s="160"/>
      <c r="BD240" s="160"/>
      <c r="BE240" s="160"/>
      <c r="BF240" s="159"/>
      <c r="BG240" s="160"/>
      <c r="BH240" s="160"/>
      <c r="BI240" s="160"/>
      <c r="BJ240" s="160"/>
      <c r="BK240" s="159"/>
      <c r="BL240" s="160"/>
      <c r="BM240" s="160"/>
      <c r="BN240" s="160"/>
      <c r="BO240" s="160"/>
      <c r="BP240" s="159"/>
      <c r="BQ240" s="160"/>
      <c r="BR240" s="160"/>
      <c r="BS240" s="160"/>
      <c r="BT240" s="160"/>
      <c r="BU240" s="159"/>
      <c r="BV240" s="160"/>
      <c r="BW240" s="160"/>
      <c r="BX240" s="160"/>
      <c r="BY240" s="160"/>
      <c r="BZ240" s="159"/>
      <c r="CA240" s="160"/>
      <c r="CB240" s="160"/>
      <c r="CC240" s="160"/>
      <c r="CD240" s="160"/>
      <c r="CE240" s="159"/>
      <c r="CF240" s="160"/>
      <c r="CG240" s="160"/>
      <c r="CH240" s="160"/>
      <c r="CI240" s="160"/>
      <c r="CJ240" s="159"/>
      <c r="CK240" s="160"/>
      <c r="CL240" s="160"/>
      <c r="CM240" s="160"/>
      <c r="CN240" s="160"/>
      <c r="CO240" s="159"/>
      <c r="CP240" s="160"/>
      <c r="CQ240" s="160"/>
      <c r="CR240" s="160"/>
      <c r="CS240" s="160"/>
      <c r="CT240" s="159"/>
      <c r="CU240" s="160"/>
      <c r="CV240" s="160"/>
      <c r="CW240" s="160"/>
      <c r="CX240" s="160"/>
      <c r="CY240" s="159"/>
      <c r="CZ240" s="160"/>
      <c r="DA240" s="160"/>
      <c r="DB240" s="160"/>
      <c r="DC240" s="160"/>
      <c r="DD240" s="159"/>
      <c r="DE240" s="160"/>
      <c r="DF240" s="160"/>
      <c r="DG240" s="160"/>
      <c r="DH240" s="160"/>
      <c r="DI240" s="159"/>
      <c r="DJ240" s="160"/>
      <c r="DK240" s="160"/>
      <c r="DL240" s="160"/>
      <c r="DM240" s="160"/>
      <c r="DN240" s="159"/>
      <c r="DO240" s="160"/>
      <c r="DP240" s="160"/>
      <c r="DQ240" s="160"/>
      <c r="DR240" s="160"/>
      <c r="DS240" s="159"/>
      <c r="DT240" s="160"/>
      <c r="DU240" s="160"/>
      <c r="DV240" s="160"/>
      <c r="DW240" s="160"/>
      <c r="DX240" s="159"/>
      <c r="DY240" s="160"/>
      <c r="DZ240" s="160"/>
      <c r="EA240" s="160"/>
      <c r="EB240" s="160"/>
      <c r="EC240" s="159"/>
      <c r="ED240" s="160"/>
      <c r="EE240" s="160"/>
      <c r="EF240" s="160"/>
      <c r="EG240" s="160"/>
      <c r="EH240" s="159"/>
      <c r="EI240" s="160"/>
      <c r="EJ240" s="160"/>
      <c r="EK240" s="160"/>
      <c r="EL240" s="160"/>
      <c r="EM240" s="159"/>
      <c r="EN240" s="160"/>
      <c r="EO240" s="160"/>
      <c r="EP240" s="160"/>
      <c r="EQ240" s="160"/>
      <c r="ER240" s="159"/>
      <c r="ES240" s="160"/>
      <c r="ET240" s="160"/>
      <c r="EU240" s="160"/>
      <c r="EV240" s="160"/>
      <c r="EW240" s="159"/>
      <c r="EX240" s="160"/>
      <c r="EY240" s="160"/>
      <c r="EZ240" s="160"/>
      <c r="FA240" s="160"/>
      <c r="FB240" s="159"/>
      <c r="FC240" s="160"/>
      <c r="FD240" s="160"/>
      <c r="FE240" s="160"/>
      <c r="FF240" s="160"/>
      <c r="FG240" s="159"/>
      <c r="FH240" s="160"/>
      <c r="FI240" s="160"/>
      <c r="FJ240" s="160"/>
      <c r="FK240" s="160"/>
      <c r="FL240" s="159"/>
      <c r="FM240" s="160"/>
      <c r="FN240" s="160"/>
      <c r="FO240" s="160"/>
      <c r="FP240" s="160"/>
      <c r="FQ240" s="159"/>
      <c r="FR240" s="160"/>
      <c r="FS240" s="160"/>
      <c r="FT240" s="160"/>
      <c r="FU240" s="160"/>
      <c r="FV240" s="159"/>
      <c r="FW240" s="160"/>
      <c r="FX240" s="160"/>
      <c r="FY240" s="160"/>
      <c r="FZ240" s="160"/>
      <c r="GA240" s="159"/>
      <c r="GB240" s="160"/>
      <c r="GC240" s="160"/>
      <c r="GD240" s="160"/>
      <c r="GE240" s="160"/>
      <c r="GF240" s="159"/>
      <c r="GG240" s="160"/>
      <c r="GH240" s="160"/>
      <c r="GI240" s="160"/>
      <c r="GJ240" s="160"/>
    </row>
    <row r="241" spans="1:192" s="93" customFormat="1" ht="12.75" customHeight="1">
      <c r="A241" s="68"/>
      <c r="B241" s="677"/>
      <c r="C241" s="153"/>
      <c r="D241" s="154"/>
      <c r="E241" s="154"/>
      <c r="F241" s="154"/>
      <c r="G241" s="154"/>
      <c r="H241" s="153"/>
      <c r="I241" s="154"/>
      <c r="J241" s="154"/>
      <c r="K241" s="154"/>
      <c r="L241" s="154"/>
      <c r="M241" s="153"/>
      <c r="N241" s="154"/>
      <c r="O241" s="154"/>
      <c r="P241" s="154"/>
      <c r="Q241" s="154"/>
      <c r="R241" s="153"/>
      <c r="S241" s="154"/>
      <c r="T241" s="154"/>
      <c r="U241" s="154"/>
      <c r="V241" s="154"/>
      <c r="W241" s="153"/>
      <c r="X241" s="154"/>
      <c r="Y241" s="154"/>
      <c r="Z241" s="154"/>
      <c r="AA241" s="154"/>
      <c r="AB241" s="153"/>
      <c r="AC241" s="154"/>
      <c r="AD241" s="154"/>
      <c r="AE241" s="154"/>
      <c r="AF241" s="154"/>
      <c r="AG241" s="153"/>
      <c r="AH241" s="154"/>
      <c r="AI241" s="154"/>
      <c r="AJ241" s="154"/>
      <c r="AK241" s="154"/>
      <c r="AL241" s="153"/>
      <c r="AM241" s="154"/>
      <c r="AN241" s="154"/>
      <c r="AO241" s="154"/>
      <c r="AP241" s="154"/>
      <c r="AQ241" s="153"/>
      <c r="AR241" s="154"/>
      <c r="AS241" s="154"/>
      <c r="AT241" s="154"/>
      <c r="AU241" s="154"/>
      <c r="AV241" s="153"/>
      <c r="AW241" s="154"/>
      <c r="AX241" s="154"/>
      <c r="AY241" s="154"/>
      <c r="AZ241" s="154"/>
      <c r="BA241" s="153"/>
      <c r="BB241" s="154"/>
      <c r="BC241" s="154"/>
      <c r="BD241" s="154"/>
      <c r="BE241" s="154"/>
      <c r="BF241" s="153"/>
      <c r="BG241" s="154"/>
      <c r="BH241" s="154"/>
      <c r="BI241" s="154"/>
      <c r="BJ241" s="154"/>
      <c r="BK241" s="153"/>
      <c r="BL241" s="154"/>
      <c r="BM241" s="154"/>
      <c r="BN241" s="154"/>
      <c r="BO241" s="154"/>
      <c r="BP241" s="153"/>
      <c r="BQ241" s="154"/>
      <c r="BR241" s="154"/>
      <c r="BS241" s="154"/>
      <c r="BT241" s="154"/>
      <c r="BU241" s="153"/>
      <c r="BV241" s="154"/>
      <c r="BW241" s="154"/>
      <c r="BX241" s="154"/>
      <c r="BY241" s="154"/>
      <c r="BZ241" s="153"/>
      <c r="CA241" s="154"/>
      <c r="CB241" s="154"/>
      <c r="CC241" s="154"/>
      <c r="CD241" s="154"/>
      <c r="CE241" s="153"/>
      <c r="CF241" s="154"/>
      <c r="CG241" s="154"/>
      <c r="CH241" s="154"/>
      <c r="CI241" s="154"/>
      <c r="CJ241" s="153"/>
      <c r="CK241" s="154"/>
      <c r="CL241" s="154"/>
      <c r="CM241" s="154"/>
      <c r="CN241" s="154"/>
      <c r="CO241" s="153"/>
      <c r="CP241" s="154"/>
      <c r="CQ241" s="154"/>
      <c r="CR241" s="154"/>
      <c r="CS241" s="154"/>
      <c r="CT241" s="153"/>
      <c r="CU241" s="154"/>
      <c r="CV241" s="154"/>
      <c r="CW241" s="154"/>
      <c r="CX241" s="154"/>
      <c r="CY241" s="153"/>
      <c r="CZ241" s="154"/>
      <c r="DA241" s="154"/>
      <c r="DB241" s="154"/>
      <c r="DC241" s="154"/>
      <c r="DD241" s="153"/>
      <c r="DE241" s="154"/>
      <c r="DF241" s="154"/>
      <c r="DG241" s="154"/>
      <c r="DH241" s="154"/>
      <c r="DI241" s="153"/>
      <c r="DJ241" s="154"/>
      <c r="DK241" s="154"/>
      <c r="DL241" s="154"/>
      <c r="DM241" s="154"/>
      <c r="DN241" s="153"/>
      <c r="DO241" s="154"/>
      <c r="DP241" s="154"/>
      <c r="DQ241" s="154"/>
      <c r="DR241" s="154"/>
      <c r="DS241" s="153"/>
      <c r="DT241" s="154"/>
      <c r="DU241" s="154"/>
      <c r="DV241" s="154"/>
      <c r="DW241" s="154"/>
      <c r="DX241" s="153"/>
      <c r="DY241" s="154"/>
      <c r="DZ241" s="154"/>
      <c r="EA241" s="154"/>
      <c r="EB241" s="154"/>
      <c r="EC241" s="153"/>
      <c r="ED241" s="154"/>
      <c r="EE241" s="154"/>
      <c r="EF241" s="154"/>
      <c r="EG241" s="154"/>
      <c r="EH241" s="153"/>
      <c r="EI241" s="154"/>
      <c r="EJ241" s="154"/>
      <c r="EK241" s="154"/>
      <c r="EL241" s="154"/>
      <c r="EM241" s="153"/>
      <c r="EN241" s="154"/>
      <c r="EO241" s="154"/>
      <c r="EP241" s="154"/>
      <c r="EQ241" s="154"/>
      <c r="ER241" s="153"/>
      <c r="ES241" s="154"/>
      <c r="ET241" s="154"/>
      <c r="EU241" s="154"/>
      <c r="EV241" s="154"/>
      <c r="EW241" s="153"/>
      <c r="EX241" s="154"/>
      <c r="EY241" s="154"/>
      <c r="EZ241" s="154"/>
      <c r="FA241" s="154"/>
      <c r="FB241" s="153"/>
      <c r="FC241" s="154"/>
      <c r="FD241" s="154"/>
      <c r="FE241" s="154"/>
      <c r="FF241" s="154"/>
      <c r="FG241" s="153"/>
      <c r="FH241" s="154"/>
      <c r="FI241" s="154"/>
      <c r="FJ241" s="154"/>
      <c r="FK241" s="154"/>
      <c r="FL241" s="153"/>
      <c r="FM241" s="154"/>
      <c r="FN241" s="154"/>
      <c r="FO241" s="154"/>
      <c r="FP241" s="154"/>
      <c r="FQ241" s="153"/>
      <c r="FR241" s="154"/>
      <c r="FS241" s="154"/>
      <c r="FT241" s="154"/>
      <c r="FU241" s="154"/>
      <c r="FV241" s="153"/>
      <c r="FW241" s="154"/>
      <c r="FX241" s="154"/>
      <c r="FY241" s="154"/>
      <c r="FZ241" s="154"/>
      <c r="GA241" s="153"/>
      <c r="GB241" s="154"/>
      <c r="GC241" s="154"/>
      <c r="GD241" s="154"/>
      <c r="GE241" s="154"/>
      <c r="GF241" s="153"/>
      <c r="GG241" s="154"/>
      <c r="GH241" s="154"/>
      <c r="GI241" s="154"/>
      <c r="GJ241" s="154"/>
    </row>
    <row r="242" spans="1:192" s="93" customFormat="1" ht="12.75" customHeight="1">
      <c r="A242" s="68"/>
      <c r="B242" s="677"/>
      <c r="C242" s="153"/>
      <c r="D242" s="154"/>
      <c r="E242" s="154"/>
      <c r="F242" s="154"/>
      <c r="G242" s="154"/>
      <c r="H242" s="153"/>
      <c r="I242" s="154"/>
      <c r="J242" s="154"/>
      <c r="K242" s="154"/>
      <c r="L242" s="154"/>
      <c r="M242" s="153"/>
      <c r="N242" s="154"/>
      <c r="O242" s="154"/>
      <c r="P242" s="154"/>
      <c r="Q242" s="154"/>
      <c r="R242" s="153"/>
      <c r="S242" s="154"/>
      <c r="T242" s="154"/>
      <c r="U242" s="154"/>
      <c r="V242" s="154"/>
      <c r="W242" s="153"/>
      <c r="X242" s="154"/>
      <c r="Y242" s="154"/>
      <c r="Z242" s="154"/>
      <c r="AA242" s="154"/>
      <c r="AB242" s="153"/>
      <c r="AC242" s="154"/>
      <c r="AD242" s="154"/>
      <c r="AE242" s="154"/>
      <c r="AF242" s="154"/>
      <c r="AG242" s="153"/>
      <c r="AH242" s="154"/>
      <c r="AI242" s="154"/>
      <c r="AJ242" s="154"/>
      <c r="AK242" s="154"/>
      <c r="AL242" s="153"/>
      <c r="AM242" s="154"/>
      <c r="AN242" s="154"/>
      <c r="AO242" s="154"/>
      <c r="AP242" s="154"/>
      <c r="AQ242" s="153"/>
      <c r="AR242" s="154"/>
      <c r="AS242" s="154"/>
      <c r="AT242" s="154"/>
      <c r="AU242" s="154"/>
      <c r="AV242" s="153"/>
      <c r="AW242" s="154"/>
      <c r="AX242" s="154"/>
      <c r="AY242" s="154"/>
      <c r="AZ242" s="154"/>
      <c r="BA242" s="153"/>
      <c r="BB242" s="154"/>
      <c r="BC242" s="154"/>
      <c r="BD242" s="154"/>
      <c r="BE242" s="154"/>
      <c r="BF242" s="153"/>
      <c r="BG242" s="154"/>
      <c r="BH242" s="154"/>
      <c r="BI242" s="154"/>
      <c r="BJ242" s="154"/>
      <c r="BK242" s="153"/>
      <c r="BL242" s="154"/>
      <c r="BM242" s="154"/>
      <c r="BN242" s="154"/>
      <c r="BO242" s="154"/>
      <c r="BP242" s="153"/>
      <c r="BQ242" s="154"/>
      <c r="BR242" s="154"/>
      <c r="BS242" s="154"/>
      <c r="BT242" s="154"/>
      <c r="BU242" s="153"/>
      <c r="BV242" s="154"/>
      <c r="BW242" s="154"/>
      <c r="BX242" s="154"/>
      <c r="BY242" s="154"/>
      <c r="BZ242" s="153"/>
      <c r="CA242" s="154"/>
      <c r="CB242" s="154"/>
      <c r="CC242" s="154"/>
      <c r="CD242" s="154"/>
      <c r="CE242" s="153"/>
      <c r="CF242" s="154"/>
      <c r="CG242" s="154"/>
      <c r="CH242" s="154"/>
      <c r="CI242" s="154"/>
      <c r="CJ242" s="153"/>
      <c r="CK242" s="154"/>
      <c r="CL242" s="154"/>
      <c r="CM242" s="154"/>
      <c r="CN242" s="154"/>
      <c r="CO242" s="153"/>
      <c r="CP242" s="154"/>
      <c r="CQ242" s="154"/>
      <c r="CR242" s="154"/>
      <c r="CS242" s="154"/>
      <c r="CT242" s="153"/>
      <c r="CU242" s="154"/>
      <c r="CV242" s="154"/>
      <c r="CW242" s="154"/>
      <c r="CX242" s="154"/>
      <c r="CY242" s="153"/>
      <c r="CZ242" s="154"/>
      <c r="DA242" s="154"/>
      <c r="DB242" s="154"/>
      <c r="DC242" s="154"/>
      <c r="DD242" s="153"/>
      <c r="DE242" s="154"/>
      <c r="DF242" s="154"/>
      <c r="DG242" s="154"/>
      <c r="DH242" s="154"/>
      <c r="DI242" s="153"/>
      <c r="DJ242" s="154"/>
      <c r="DK242" s="154"/>
      <c r="DL242" s="154"/>
      <c r="DM242" s="154"/>
      <c r="DN242" s="153"/>
      <c r="DO242" s="154"/>
      <c r="DP242" s="154"/>
      <c r="DQ242" s="154"/>
      <c r="DR242" s="154"/>
      <c r="DS242" s="153"/>
      <c r="DT242" s="154"/>
      <c r="DU242" s="154"/>
      <c r="DV242" s="154"/>
      <c r="DW242" s="154"/>
      <c r="DX242" s="153"/>
      <c r="DY242" s="154"/>
      <c r="DZ242" s="154"/>
      <c r="EA242" s="154"/>
      <c r="EB242" s="154"/>
      <c r="EC242" s="153"/>
      <c r="ED242" s="154"/>
      <c r="EE242" s="154"/>
      <c r="EF242" s="154"/>
      <c r="EG242" s="154"/>
      <c r="EH242" s="153"/>
      <c r="EI242" s="154"/>
      <c r="EJ242" s="154"/>
      <c r="EK242" s="154"/>
      <c r="EL242" s="154"/>
      <c r="EM242" s="153"/>
      <c r="EN242" s="154"/>
      <c r="EO242" s="154"/>
      <c r="EP242" s="154"/>
      <c r="EQ242" s="154"/>
      <c r="ER242" s="153"/>
      <c r="ES242" s="154"/>
      <c r="ET242" s="154"/>
      <c r="EU242" s="154"/>
      <c r="EV242" s="154"/>
      <c r="EW242" s="153"/>
      <c r="EX242" s="154"/>
      <c r="EY242" s="154"/>
      <c r="EZ242" s="154"/>
      <c r="FA242" s="154"/>
      <c r="FB242" s="153"/>
      <c r="FC242" s="154"/>
      <c r="FD242" s="154"/>
      <c r="FE242" s="154"/>
      <c r="FF242" s="154"/>
      <c r="FG242" s="153"/>
      <c r="FH242" s="154"/>
      <c r="FI242" s="154"/>
      <c r="FJ242" s="154"/>
      <c r="FK242" s="154"/>
      <c r="FL242" s="153"/>
      <c r="FM242" s="154"/>
      <c r="FN242" s="154"/>
      <c r="FO242" s="154"/>
      <c r="FP242" s="154"/>
      <c r="FQ242" s="153"/>
      <c r="FR242" s="154"/>
      <c r="FS242" s="154"/>
      <c r="FT242" s="154"/>
      <c r="FU242" s="154"/>
      <c r="FV242" s="153"/>
      <c r="FW242" s="154"/>
      <c r="FX242" s="154"/>
      <c r="FY242" s="154"/>
      <c r="FZ242" s="154"/>
      <c r="GA242" s="153"/>
      <c r="GB242" s="154"/>
      <c r="GC242" s="154"/>
      <c r="GD242" s="154"/>
      <c r="GE242" s="154"/>
      <c r="GF242" s="153"/>
      <c r="GG242" s="154"/>
      <c r="GH242" s="154"/>
      <c r="GI242" s="154"/>
      <c r="GJ242" s="154"/>
    </row>
    <row r="243" spans="1:192" s="93" customFormat="1" ht="12.75" customHeight="1">
      <c r="A243" s="68"/>
      <c r="B243" s="677"/>
      <c r="C243" s="153"/>
      <c r="D243" s="154"/>
      <c r="E243" s="154"/>
      <c r="F243" s="154"/>
      <c r="G243" s="154"/>
      <c r="H243" s="153"/>
      <c r="I243" s="154"/>
      <c r="J243" s="154"/>
      <c r="K243" s="154"/>
      <c r="L243" s="154"/>
      <c r="M243" s="153"/>
      <c r="N243" s="154"/>
      <c r="O243" s="154"/>
      <c r="P243" s="154"/>
      <c r="Q243" s="154"/>
      <c r="R243" s="153"/>
      <c r="S243" s="154"/>
      <c r="T243" s="154"/>
      <c r="U243" s="154"/>
      <c r="V243" s="154"/>
      <c r="W243" s="153"/>
      <c r="X243" s="154"/>
      <c r="Y243" s="154"/>
      <c r="Z243" s="154"/>
      <c r="AA243" s="154"/>
      <c r="AB243" s="153"/>
      <c r="AC243" s="154"/>
      <c r="AD243" s="154"/>
      <c r="AE243" s="154"/>
      <c r="AF243" s="154"/>
      <c r="AG243" s="153"/>
      <c r="AH243" s="154"/>
      <c r="AI243" s="154"/>
      <c r="AJ243" s="154"/>
      <c r="AK243" s="154"/>
      <c r="AL243" s="153"/>
      <c r="AM243" s="154"/>
      <c r="AN243" s="154"/>
      <c r="AO243" s="154"/>
      <c r="AP243" s="154"/>
      <c r="AQ243" s="153"/>
      <c r="AR243" s="154"/>
      <c r="AS243" s="154"/>
      <c r="AT243" s="154"/>
      <c r="AU243" s="154"/>
      <c r="AV243" s="153"/>
      <c r="AW243" s="154"/>
      <c r="AX243" s="154"/>
      <c r="AY243" s="154"/>
      <c r="AZ243" s="154"/>
      <c r="BA243" s="153"/>
      <c r="BB243" s="154"/>
      <c r="BC243" s="154"/>
      <c r="BD243" s="154"/>
      <c r="BE243" s="154"/>
      <c r="BF243" s="153"/>
      <c r="BG243" s="154"/>
      <c r="BH243" s="154"/>
      <c r="BI243" s="154"/>
      <c r="BJ243" s="154"/>
      <c r="BK243" s="153"/>
      <c r="BL243" s="154"/>
      <c r="BM243" s="154"/>
      <c r="BN243" s="154"/>
      <c r="BO243" s="154"/>
      <c r="BP243" s="153"/>
      <c r="BQ243" s="154"/>
      <c r="BR243" s="154"/>
      <c r="BS243" s="154"/>
      <c r="BT243" s="154"/>
      <c r="BU243" s="153"/>
      <c r="BV243" s="154"/>
      <c r="BW243" s="154"/>
      <c r="BX243" s="154"/>
      <c r="BY243" s="154"/>
      <c r="BZ243" s="153"/>
      <c r="CA243" s="154"/>
      <c r="CB243" s="154"/>
      <c r="CC243" s="154"/>
      <c r="CD243" s="154"/>
      <c r="CE243" s="153"/>
      <c r="CF243" s="154"/>
      <c r="CG243" s="154"/>
      <c r="CH243" s="154"/>
      <c r="CI243" s="154"/>
      <c r="CJ243" s="153"/>
      <c r="CK243" s="154"/>
      <c r="CL243" s="154"/>
      <c r="CM243" s="154"/>
      <c r="CN243" s="154"/>
      <c r="CO243" s="153"/>
      <c r="CP243" s="154"/>
      <c r="CQ243" s="154"/>
      <c r="CR243" s="154"/>
      <c r="CS243" s="154"/>
      <c r="CT243" s="153"/>
      <c r="CU243" s="154"/>
      <c r="CV243" s="154"/>
      <c r="CW243" s="154"/>
      <c r="CX243" s="154"/>
      <c r="CY243" s="153"/>
      <c r="CZ243" s="154"/>
      <c r="DA243" s="154"/>
      <c r="DB243" s="154"/>
      <c r="DC243" s="154"/>
      <c r="DD243" s="153"/>
      <c r="DE243" s="154"/>
      <c r="DF243" s="154"/>
      <c r="DG243" s="154"/>
      <c r="DH243" s="154"/>
      <c r="DI243" s="153"/>
      <c r="DJ243" s="154"/>
      <c r="DK243" s="154"/>
      <c r="DL243" s="154"/>
      <c r="DM243" s="154"/>
      <c r="DN243" s="153"/>
      <c r="DO243" s="154"/>
      <c r="DP243" s="154"/>
      <c r="DQ243" s="154"/>
      <c r="DR243" s="154"/>
      <c r="DS243" s="153"/>
      <c r="DT243" s="154"/>
      <c r="DU243" s="154"/>
      <c r="DV243" s="154"/>
      <c r="DW243" s="154"/>
      <c r="DX243" s="153"/>
      <c r="DY243" s="154"/>
      <c r="DZ243" s="154"/>
      <c r="EA243" s="154"/>
      <c r="EB243" s="154"/>
      <c r="EC243" s="153"/>
      <c r="ED243" s="154"/>
      <c r="EE243" s="154"/>
      <c r="EF243" s="154"/>
      <c r="EG243" s="154"/>
      <c r="EH243" s="153"/>
      <c r="EI243" s="154"/>
      <c r="EJ243" s="154"/>
      <c r="EK243" s="154"/>
      <c r="EL243" s="154"/>
      <c r="EM243" s="153"/>
      <c r="EN243" s="154"/>
      <c r="EO243" s="154"/>
      <c r="EP243" s="154"/>
      <c r="EQ243" s="154"/>
      <c r="ER243" s="153"/>
      <c r="ES243" s="154"/>
      <c r="ET243" s="154"/>
      <c r="EU243" s="154"/>
      <c r="EV243" s="154"/>
      <c r="EW243" s="153"/>
      <c r="EX243" s="154"/>
      <c r="EY243" s="154"/>
      <c r="EZ243" s="154"/>
      <c r="FA243" s="154"/>
      <c r="FB243" s="153"/>
      <c r="FC243" s="154"/>
      <c r="FD243" s="154"/>
      <c r="FE243" s="154"/>
      <c r="FF243" s="154"/>
      <c r="FG243" s="153"/>
      <c r="FH243" s="154"/>
      <c r="FI243" s="154"/>
      <c r="FJ243" s="154"/>
      <c r="FK243" s="154"/>
      <c r="FL243" s="153"/>
      <c r="FM243" s="154"/>
      <c r="FN243" s="154"/>
      <c r="FO243" s="154"/>
      <c r="FP243" s="154"/>
      <c r="FQ243" s="153"/>
      <c r="FR243" s="154"/>
      <c r="FS243" s="154"/>
      <c r="FT243" s="154"/>
      <c r="FU243" s="154"/>
      <c r="FV243" s="153"/>
      <c r="FW243" s="154"/>
      <c r="FX243" s="154"/>
      <c r="FY243" s="154"/>
      <c r="FZ243" s="154"/>
      <c r="GA243" s="153"/>
      <c r="GB243" s="154"/>
      <c r="GC243" s="154"/>
      <c r="GD243" s="154"/>
      <c r="GE243" s="154"/>
      <c r="GF243" s="153"/>
      <c r="GG243" s="154"/>
      <c r="GH243" s="154"/>
      <c r="GI243" s="154"/>
      <c r="GJ243" s="154"/>
    </row>
    <row r="244" spans="1:192" s="93" customFormat="1" ht="12.75" customHeight="1">
      <c r="A244" s="68"/>
      <c r="B244" s="677"/>
      <c r="C244" s="151"/>
      <c r="D244" s="156"/>
      <c r="E244" s="156"/>
      <c r="F244" s="156"/>
      <c r="G244" s="156"/>
      <c r="H244" s="151"/>
      <c r="I244" s="156"/>
      <c r="J244" s="156"/>
      <c r="K244" s="156"/>
      <c r="L244" s="156"/>
      <c r="M244" s="151"/>
      <c r="N244" s="156"/>
      <c r="O244" s="156"/>
      <c r="P244" s="156"/>
      <c r="Q244" s="156"/>
      <c r="R244" s="151"/>
      <c r="S244" s="156"/>
      <c r="T244" s="156"/>
      <c r="U244" s="156"/>
      <c r="V244" s="156"/>
      <c r="W244" s="151"/>
      <c r="X244" s="156"/>
      <c r="Y244" s="156"/>
      <c r="Z244" s="156"/>
      <c r="AA244" s="156"/>
      <c r="AB244" s="151"/>
      <c r="AC244" s="156"/>
      <c r="AD244" s="156"/>
      <c r="AE244" s="156"/>
      <c r="AF244" s="156"/>
      <c r="AG244" s="151"/>
      <c r="AH244" s="156"/>
      <c r="AI244" s="156"/>
      <c r="AJ244" s="156"/>
      <c r="AK244" s="156"/>
      <c r="AL244" s="151"/>
      <c r="AM244" s="156"/>
      <c r="AN244" s="156"/>
      <c r="AO244" s="156"/>
      <c r="AP244" s="156"/>
      <c r="AQ244" s="151"/>
      <c r="AR244" s="156"/>
      <c r="AS244" s="156"/>
      <c r="AT244" s="156"/>
      <c r="AU244" s="156"/>
      <c r="AV244" s="151"/>
      <c r="AW244" s="156"/>
      <c r="AX244" s="156"/>
      <c r="AY244" s="156"/>
      <c r="AZ244" s="156"/>
      <c r="BA244" s="151"/>
      <c r="BB244" s="156"/>
      <c r="BC244" s="156"/>
      <c r="BD244" s="156"/>
      <c r="BE244" s="156"/>
      <c r="BF244" s="151"/>
      <c r="BG244" s="156"/>
      <c r="BH244" s="156"/>
      <c r="BI244" s="156"/>
      <c r="BJ244" s="156"/>
      <c r="BK244" s="151"/>
      <c r="BL244" s="156"/>
      <c r="BM244" s="156"/>
      <c r="BN244" s="156"/>
      <c r="BO244" s="156"/>
      <c r="BP244" s="151"/>
      <c r="BQ244" s="156"/>
      <c r="BR244" s="156"/>
      <c r="BS244" s="156"/>
      <c r="BT244" s="156"/>
      <c r="BU244" s="151"/>
      <c r="BV244" s="156"/>
      <c r="BW244" s="156"/>
      <c r="BX244" s="156"/>
      <c r="BY244" s="156"/>
      <c r="BZ244" s="151"/>
      <c r="CA244" s="156"/>
      <c r="CB244" s="156"/>
      <c r="CC244" s="156"/>
      <c r="CD244" s="156"/>
      <c r="CE244" s="151"/>
      <c r="CF244" s="156"/>
      <c r="CG244" s="156"/>
      <c r="CH244" s="156"/>
      <c r="CI244" s="156"/>
      <c r="CJ244" s="151"/>
      <c r="CK244" s="156"/>
      <c r="CL244" s="156"/>
      <c r="CM244" s="156"/>
      <c r="CN244" s="156"/>
      <c r="CO244" s="151"/>
      <c r="CP244" s="156"/>
      <c r="CQ244" s="156"/>
      <c r="CR244" s="156"/>
      <c r="CS244" s="156"/>
      <c r="CT244" s="151"/>
      <c r="CU244" s="156"/>
      <c r="CV244" s="156"/>
      <c r="CW244" s="156"/>
      <c r="CX244" s="156"/>
      <c r="CY244" s="151"/>
      <c r="CZ244" s="156"/>
      <c r="DA244" s="156"/>
      <c r="DB244" s="156"/>
      <c r="DC244" s="156"/>
      <c r="DD244" s="151"/>
      <c r="DE244" s="156"/>
      <c r="DF244" s="156"/>
      <c r="DG244" s="156"/>
      <c r="DH244" s="156"/>
      <c r="DI244" s="151"/>
      <c r="DJ244" s="156"/>
      <c r="DK244" s="156"/>
      <c r="DL244" s="156"/>
      <c r="DM244" s="156"/>
      <c r="DN244" s="151"/>
      <c r="DO244" s="156"/>
      <c r="DP244" s="156"/>
      <c r="DQ244" s="156"/>
      <c r="DR244" s="156"/>
      <c r="DS244" s="151"/>
      <c r="DT244" s="156"/>
      <c r="DU244" s="156"/>
      <c r="DV244" s="156"/>
      <c r="DW244" s="156"/>
      <c r="DX244" s="151"/>
      <c r="DY244" s="156"/>
      <c r="DZ244" s="156"/>
      <c r="EA244" s="156"/>
      <c r="EB244" s="156"/>
      <c r="EC244" s="151"/>
      <c r="ED244" s="156"/>
      <c r="EE244" s="156"/>
      <c r="EF244" s="156"/>
      <c r="EG244" s="156"/>
      <c r="EH244" s="151"/>
      <c r="EI244" s="156"/>
      <c r="EJ244" s="156"/>
      <c r="EK244" s="156"/>
      <c r="EL244" s="156"/>
      <c r="EM244" s="151"/>
      <c r="EN244" s="156"/>
      <c r="EO244" s="156"/>
      <c r="EP244" s="156"/>
      <c r="EQ244" s="156"/>
      <c r="ER244" s="151"/>
      <c r="ES244" s="156"/>
      <c r="ET244" s="156"/>
      <c r="EU244" s="156"/>
      <c r="EV244" s="156"/>
      <c r="EW244" s="151"/>
      <c r="EX244" s="156"/>
      <c r="EY244" s="156"/>
      <c r="EZ244" s="156"/>
      <c r="FA244" s="156"/>
      <c r="FB244" s="151"/>
      <c r="FC244" s="156"/>
      <c r="FD244" s="156"/>
      <c r="FE244" s="156"/>
      <c r="FF244" s="156"/>
      <c r="FG244" s="151"/>
      <c r="FH244" s="156"/>
      <c r="FI244" s="156"/>
      <c r="FJ244" s="156"/>
      <c r="FK244" s="156"/>
      <c r="FL244" s="151"/>
      <c r="FM244" s="156"/>
      <c r="FN244" s="156"/>
      <c r="FO244" s="156"/>
      <c r="FP244" s="156"/>
      <c r="FQ244" s="151"/>
      <c r="FR244" s="156"/>
      <c r="FS244" s="156"/>
      <c r="FT244" s="156"/>
      <c r="FU244" s="156"/>
      <c r="FV244" s="151"/>
      <c r="FW244" s="156"/>
      <c r="FX244" s="156"/>
      <c r="FY244" s="156"/>
      <c r="FZ244" s="156"/>
      <c r="GA244" s="151"/>
      <c r="GB244" s="156"/>
      <c r="GC244" s="156"/>
      <c r="GD244" s="156"/>
      <c r="GE244" s="156"/>
      <c r="GF244" s="151"/>
      <c r="GG244" s="156"/>
      <c r="GH244" s="156"/>
      <c r="GI244" s="156"/>
      <c r="GJ244" s="156"/>
    </row>
    <row r="245" spans="1:192" s="93" customFormat="1" ht="12.75" customHeight="1">
      <c r="A245" s="68"/>
      <c r="B245" s="677"/>
      <c r="C245" s="153"/>
      <c r="D245" s="154"/>
      <c r="E245" s="154"/>
      <c r="F245" s="154"/>
      <c r="G245" s="154"/>
      <c r="H245" s="153"/>
      <c r="I245" s="154"/>
      <c r="J245" s="154"/>
      <c r="K245" s="154"/>
      <c r="L245" s="154"/>
      <c r="M245" s="153"/>
      <c r="N245" s="154"/>
      <c r="O245" s="154"/>
      <c r="P245" s="154"/>
      <c r="Q245" s="154"/>
      <c r="R245" s="153"/>
      <c r="S245" s="154"/>
      <c r="T245" s="154"/>
      <c r="U245" s="154"/>
      <c r="V245" s="154"/>
      <c r="W245" s="153"/>
      <c r="X245" s="154"/>
      <c r="Y245" s="154"/>
      <c r="Z245" s="154"/>
      <c r="AA245" s="154"/>
      <c r="AB245" s="153"/>
      <c r="AC245" s="154"/>
      <c r="AD245" s="154"/>
      <c r="AE245" s="154"/>
      <c r="AF245" s="154"/>
      <c r="AG245" s="153"/>
      <c r="AH245" s="154"/>
      <c r="AI245" s="154"/>
      <c r="AJ245" s="154"/>
      <c r="AK245" s="154"/>
      <c r="AL245" s="153"/>
      <c r="AM245" s="154"/>
      <c r="AN245" s="154"/>
      <c r="AO245" s="154"/>
      <c r="AP245" s="154"/>
      <c r="AQ245" s="153"/>
      <c r="AR245" s="154"/>
      <c r="AS245" s="154"/>
      <c r="AT245" s="154"/>
      <c r="AU245" s="154"/>
      <c r="AV245" s="153"/>
      <c r="AW245" s="154"/>
      <c r="AX245" s="154"/>
      <c r="AY245" s="154"/>
      <c r="AZ245" s="154"/>
      <c r="BA245" s="153"/>
      <c r="BB245" s="154"/>
      <c r="BC245" s="154"/>
      <c r="BD245" s="154"/>
      <c r="BE245" s="154"/>
      <c r="BF245" s="153"/>
      <c r="BG245" s="154"/>
      <c r="BH245" s="154"/>
      <c r="BI245" s="154"/>
      <c r="BJ245" s="154"/>
      <c r="BK245" s="153"/>
      <c r="BL245" s="154"/>
      <c r="BM245" s="154"/>
      <c r="BN245" s="154"/>
      <c r="BO245" s="154"/>
      <c r="BP245" s="153"/>
      <c r="BQ245" s="154"/>
      <c r="BR245" s="154"/>
      <c r="BS245" s="154"/>
      <c r="BT245" s="154"/>
      <c r="BU245" s="153"/>
      <c r="BV245" s="154"/>
      <c r="BW245" s="154"/>
      <c r="BX245" s="154"/>
      <c r="BY245" s="154"/>
      <c r="BZ245" s="153"/>
      <c r="CA245" s="154"/>
      <c r="CB245" s="154"/>
      <c r="CC245" s="154"/>
      <c r="CD245" s="154"/>
      <c r="CE245" s="153"/>
      <c r="CF245" s="154"/>
      <c r="CG245" s="154"/>
      <c r="CH245" s="154"/>
      <c r="CI245" s="154"/>
      <c r="CJ245" s="153"/>
      <c r="CK245" s="154"/>
      <c r="CL245" s="154"/>
      <c r="CM245" s="154"/>
      <c r="CN245" s="154"/>
      <c r="CO245" s="153"/>
      <c r="CP245" s="154"/>
      <c r="CQ245" s="154"/>
      <c r="CR245" s="154"/>
      <c r="CS245" s="154"/>
      <c r="CT245" s="153"/>
      <c r="CU245" s="154"/>
      <c r="CV245" s="154"/>
      <c r="CW245" s="154"/>
      <c r="CX245" s="154"/>
      <c r="CY245" s="153"/>
      <c r="CZ245" s="154"/>
      <c r="DA245" s="154"/>
      <c r="DB245" s="154"/>
      <c r="DC245" s="154"/>
      <c r="DD245" s="153"/>
      <c r="DE245" s="154"/>
      <c r="DF245" s="154"/>
      <c r="DG245" s="154"/>
      <c r="DH245" s="154"/>
      <c r="DI245" s="153"/>
      <c r="DJ245" s="154"/>
      <c r="DK245" s="154"/>
      <c r="DL245" s="154"/>
      <c r="DM245" s="154"/>
      <c r="DN245" s="153"/>
      <c r="DO245" s="154"/>
      <c r="DP245" s="154"/>
      <c r="DQ245" s="154"/>
      <c r="DR245" s="154"/>
      <c r="DS245" s="153"/>
      <c r="DT245" s="154"/>
      <c r="DU245" s="154"/>
      <c r="DV245" s="154"/>
      <c r="DW245" s="154"/>
      <c r="DX245" s="153"/>
      <c r="DY245" s="154"/>
      <c r="DZ245" s="154"/>
      <c r="EA245" s="154"/>
      <c r="EB245" s="154"/>
      <c r="EC245" s="153"/>
      <c r="ED245" s="154"/>
      <c r="EE245" s="154"/>
      <c r="EF245" s="154"/>
      <c r="EG245" s="154"/>
      <c r="EH245" s="153"/>
      <c r="EI245" s="154"/>
      <c r="EJ245" s="154"/>
      <c r="EK245" s="154"/>
      <c r="EL245" s="154"/>
      <c r="EM245" s="153"/>
      <c r="EN245" s="154"/>
      <c r="EO245" s="154"/>
      <c r="EP245" s="154"/>
      <c r="EQ245" s="154"/>
      <c r="ER245" s="153"/>
      <c r="ES245" s="154"/>
      <c r="ET245" s="154"/>
      <c r="EU245" s="154"/>
      <c r="EV245" s="154"/>
      <c r="EW245" s="153"/>
      <c r="EX245" s="154"/>
      <c r="EY245" s="154"/>
      <c r="EZ245" s="154"/>
      <c r="FA245" s="154"/>
      <c r="FB245" s="153"/>
      <c r="FC245" s="154"/>
      <c r="FD245" s="154"/>
      <c r="FE245" s="154"/>
      <c r="FF245" s="154"/>
      <c r="FG245" s="153"/>
      <c r="FH245" s="154"/>
      <c r="FI245" s="154"/>
      <c r="FJ245" s="154"/>
      <c r="FK245" s="154"/>
      <c r="FL245" s="153"/>
      <c r="FM245" s="154"/>
      <c r="FN245" s="154"/>
      <c r="FO245" s="154"/>
      <c r="FP245" s="154"/>
      <c r="FQ245" s="153"/>
      <c r="FR245" s="154"/>
      <c r="FS245" s="154"/>
      <c r="FT245" s="154"/>
      <c r="FU245" s="154"/>
      <c r="FV245" s="153"/>
      <c r="FW245" s="154"/>
      <c r="FX245" s="154"/>
      <c r="FY245" s="154"/>
      <c r="FZ245" s="154"/>
      <c r="GA245" s="153"/>
      <c r="GB245" s="154"/>
      <c r="GC245" s="154"/>
      <c r="GD245" s="154"/>
      <c r="GE245" s="154"/>
      <c r="GF245" s="153"/>
      <c r="GG245" s="154"/>
      <c r="GH245" s="154"/>
      <c r="GI245" s="154"/>
      <c r="GJ245" s="154"/>
    </row>
    <row r="246" spans="1:192" s="93" customFormat="1" ht="12.75" customHeight="1">
      <c r="A246" s="68"/>
      <c r="B246" s="677"/>
      <c r="C246" s="153"/>
      <c r="D246" s="154"/>
      <c r="E246" s="154"/>
      <c r="F246" s="154"/>
      <c r="G246" s="154"/>
      <c r="H246" s="153"/>
      <c r="I246" s="154"/>
      <c r="J246" s="154"/>
      <c r="K246" s="154"/>
      <c r="L246" s="154"/>
      <c r="M246" s="153"/>
      <c r="N246" s="154"/>
      <c r="O246" s="154"/>
      <c r="P246" s="154"/>
      <c r="Q246" s="154"/>
      <c r="R246" s="153"/>
      <c r="S246" s="154"/>
      <c r="T246" s="154"/>
      <c r="U246" s="154"/>
      <c r="V246" s="154"/>
      <c r="W246" s="153"/>
      <c r="X246" s="154"/>
      <c r="Y246" s="154"/>
      <c r="Z246" s="154"/>
      <c r="AA246" s="154"/>
      <c r="AB246" s="153"/>
      <c r="AC246" s="154"/>
      <c r="AD246" s="154"/>
      <c r="AE246" s="154"/>
      <c r="AF246" s="154"/>
      <c r="AG246" s="153"/>
      <c r="AH246" s="154"/>
      <c r="AI246" s="154"/>
      <c r="AJ246" s="154"/>
      <c r="AK246" s="154"/>
      <c r="AL246" s="153"/>
      <c r="AM246" s="154"/>
      <c r="AN246" s="154"/>
      <c r="AO246" s="154"/>
      <c r="AP246" s="154"/>
      <c r="AQ246" s="153"/>
      <c r="AR246" s="154"/>
      <c r="AS246" s="154"/>
      <c r="AT246" s="154"/>
      <c r="AU246" s="154"/>
      <c r="AV246" s="153"/>
      <c r="AW246" s="154"/>
      <c r="AX246" s="154"/>
      <c r="AY246" s="154"/>
      <c r="AZ246" s="154"/>
      <c r="BA246" s="153"/>
      <c r="BB246" s="154"/>
      <c r="BC246" s="154"/>
      <c r="BD246" s="154"/>
      <c r="BE246" s="154"/>
      <c r="BF246" s="153"/>
      <c r="BG246" s="154"/>
      <c r="BH246" s="154"/>
      <c r="BI246" s="154"/>
      <c r="BJ246" s="154"/>
      <c r="BK246" s="153"/>
      <c r="BL246" s="154"/>
      <c r="BM246" s="154"/>
      <c r="BN246" s="154"/>
      <c r="BO246" s="154"/>
      <c r="BP246" s="153"/>
      <c r="BQ246" s="154"/>
      <c r="BR246" s="154"/>
      <c r="BS246" s="154"/>
      <c r="BT246" s="154"/>
      <c r="BU246" s="153"/>
      <c r="BV246" s="154"/>
      <c r="BW246" s="154"/>
      <c r="BX246" s="154"/>
      <c r="BY246" s="154"/>
      <c r="BZ246" s="153"/>
      <c r="CA246" s="154"/>
      <c r="CB246" s="154"/>
      <c r="CC246" s="154"/>
      <c r="CD246" s="154"/>
      <c r="CE246" s="153"/>
      <c r="CF246" s="154"/>
      <c r="CG246" s="154"/>
      <c r="CH246" s="154"/>
      <c r="CI246" s="154"/>
      <c r="CJ246" s="153"/>
      <c r="CK246" s="154"/>
      <c r="CL246" s="154"/>
      <c r="CM246" s="154"/>
      <c r="CN246" s="154"/>
      <c r="CO246" s="153"/>
      <c r="CP246" s="154"/>
      <c r="CQ246" s="154"/>
      <c r="CR246" s="154"/>
      <c r="CS246" s="154"/>
      <c r="CT246" s="153"/>
      <c r="CU246" s="154"/>
      <c r="CV246" s="154"/>
      <c r="CW246" s="154"/>
      <c r="CX246" s="154"/>
      <c r="CY246" s="153"/>
      <c r="CZ246" s="154"/>
      <c r="DA246" s="154"/>
      <c r="DB246" s="154"/>
      <c r="DC246" s="154"/>
      <c r="DD246" s="153"/>
      <c r="DE246" s="154"/>
      <c r="DF246" s="154"/>
      <c r="DG246" s="154"/>
      <c r="DH246" s="154"/>
      <c r="DI246" s="153"/>
      <c r="DJ246" s="154"/>
      <c r="DK246" s="154"/>
      <c r="DL246" s="154"/>
      <c r="DM246" s="154"/>
      <c r="DN246" s="153"/>
      <c r="DO246" s="154"/>
      <c r="DP246" s="154"/>
      <c r="DQ246" s="154"/>
      <c r="DR246" s="154"/>
      <c r="DS246" s="153"/>
      <c r="DT246" s="154"/>
      <c r="DU246" s="154"/>
      <c r="DV246" s="154"/>
      <c r="DW246" s="154"/>
      <c r="DX246" s="153"/>
      <c r="DY246" s="154"/>
      <c r="DZ246" s="154"/>
      <c r="EA246" s="154"/>
      <c r="EB246" s="154"/>
      <c r="EC246" s="153"/>
      <c r="ED246" s="154"/>
      <c r="EE246" s="154"/>
      <c r="EF246" s="154"/>
      <c r="EG246" s="154"/>
      <c r="EH246" s="153"/>
      <c r="EI246" s="154"/>
      <c r="EJ246" s="154"/>
      <c r="EK246" s="154"/>
      <c r="EL246" s="154"/>
      <c r="EM246" s="153"/>
      <c r="EN246" s="154"/>
      <c r="EO246" s="154"/>
      <c r="EP246" s="154"/>
      <c r="EQ246" s="154"/>
      <c r="ER246" s="153"/>
      <c r="ES246" s="154"/>
      <c r="ET246" s="154"/>
      <c r="EU246" s="154"/>
      <c r="EV246" s="154"/>
      <c r="EW246" s="153"/>
      <c r="EX246" s="154"/>
      <c r="EY246" s="154"/>
      <c r="EZ246" s="154"/>
      <c r="FA246" s="154"/>
      <c r="FB246" s="153"/>
      <c r="FC246" s="154"/>
      <c r="FD246" s="154"/>
      <c r="FE246" s="154"/>
      <c r="FF246" s="154"/>
      <c r="FG246" s="153"/>
      <c r="FH246" s="154"/>
      <c r="FI246" s="154"/>
      <c r="FJ246" s="154"/>
      <c r="FK246" s="154"/>
      <c r="FL246" s="153"/>
      <c r="FM246" s="154"/>
      <c r="FN246" s="154"/>
      <c r="FO246" s="154"/>
      <c r="FP246" s="154"/>
      <c r="FQ246" s="153"/>
      <c r="FR246" s="154"/>
      <c r="FS246" s="154"/>
      <c r="FT246" s="154"/>
      <c r="FU246" s="154"/>
      <c r="FV246" s="153"/>
      <c r="FW246" s="154"/>
      <c r="FX246" s="154"/>
      <c r="FY246" s="154"/>
      <c r="FZ246" s="154"/>
      <c r="GA246" s="153"/>
      <c r="GB246" s="154"/>
      <c r="GC246" s="154"/>
      <c r="GD246" s="154"/>
      <c r="GE246" s="154"/>
      <c r="GF246" s="153"/>
      <c r="GG246" s="154"/>
      <c r="GH246" s="154"/>
      <c r="GI246" s="154"/>
      <c r="GJ246" s="154"/>
    </row>
    <row r="247" spans="1:192" s="93" customFormat="1" ht="12.75" customHeight="1">
      <c r="A247" s="68"/>
      <c r="B247" s="677"/>
      <c r="C247" s="153"/>
      <c r="D247" s="154"/>
      <c r="E247" s="154"/>
      <c r="F247" s="154"/>
      <c r="G247" s="154"/>
      <c r="H247" s="153"/>
      <c r="I247" s="154"/>
      <c r="J247" s="154"/>
      <c r="K247" s="154"/>
      <c r="L247" s="154"/>
      <c r="M247" s="153"/>
      <c r="N247" s="154"/>
      <c r="O247" s="154"/>
      <c r="P247" s="154"/>
      <c r="Q247" s="154"/>
      <c r="R247" s="153"/>
      <c r="S247" s="154"/>
      <c r="T247" s="154"/>
      <c r="U247" s="154"/>
      <c r="V247" s="154"/>
      <c r="W247" s="153"/>
      <c r="X247" s="154"/>
      <c r="Y247" s="154"/>
      <c r="Z247" s="154"/>
      <c r="AA247" s="154"/>
      <c r="AB247" s="153"/>
      <c r="AC247" s="154"/>
      <c r="AD247" s="154"/>
      <c r="AE247" s="154"/>
      <c r="AF247" s="154"/>
      <c r="AG247" s="153"/>
      <c r="AH247" s="154"/>
      <c r="AI247" s="154"/>
      <c r="AJ247" s="154"/>
      <c r="AK247" s="154"/>
      <c r="AL247" s="153"/>
      <c r="AM247" s="154"/>
      <c r="AN247" s="154"/>
      <c r="AO247" s="154"/>
      <c r="AP247" s="154"/>
      <c r="AQ247" s="153"/>
      <c r="AR247" s="154"/>
      <c r="AS247" s="154"/>
      <c r="AT247" s="154"/>
      <c r="AU247" s="154"/>
      <c r="AV247" s="153"/>
      <c r="AW247" s="154"/>
      <c r="AX247" s="154"/>
      <c r="AY247" s="154"/>
      <c r="AZ247" s="154"/>
      <c r="BA247" s="153"/>
      <c r="BB247" s="154"/>
      <c r="BC247" s="154"/>
      <c r="BD247" s="154"/>
      <c r="BE247" s="154"/>
      <c r="BF247" s="153"/>
      <c r="BG247" s="154"/>
      <c r="BH247" s="154"/>
      <c r="BI247" s="154"/>
      <c r="BJ247" s="154"/>
      <c r="BK247" s="153"/>
      <c r="BL247" s="154"/>
      <c r="BM247" s="154"/>
      <c r="BN247" s="154"/>
      <c r="BO247" s="154"/>
      <c r="BP247" s="153"/>
      <c r="BQ247" s="154"/>
      <c r="BR247" s="154"/>
      <c r="BS247" s="154"/>
      <c r="BT247" s="154"/>
      <c r="BU247" s="153"/>
      <c r="BV247" s="154"/>
      <c r="BW247" s="154"/>
      <c r="BX247" s="154"/>
      <c r="BY247" s="154"/>
      <c r="BZ247" s="153"/>
      <c r="CA247" s="154"/>
      <c r="CB247" s="154"/>
      <c r="CC247" s="154"/>
      <c r="CD247" s="154"/>
      <c r="CE247" s="153"/>
      <c r="CF247" s="154"/>
      <c r="CG247" s="154"/>
      <c r="CH247" s="154"/>
      <c r="CI247" s="154"/>
      <c r="CJ247" s="153"/>
      <c r="CK247" s="154"/>
      <c r="CL247" s="154"/>
      <c r="CM247" s="154"/>
      <c r="CN247" s="154"/>
      <c r="CO247" s="153"/>
      <c r="CP247" s="154"/>
      <c r="CQ247" s="154"/>
      <c r="CR247" s="154"/>
      <c r="CS247" s="154"/>
      <c r="CT247" s="153"/>
      <c r="CU247" s="154"/>
      <c r="CV247" s="154"/>
      <c r="CW247" s="154"/>
      <c r="CX247" s="154"/>
      <c r="CY247" s="153"/>
      <c r="CZ247" s="154"/>
      <c r="DA247" s="154"/>
      <c r="DB247" s="154"/>
      <c r="DC247" s="154"/>
      <c r="DD247" s="153"/>
      <c r="DE247" s="154"/>
      <c r="DF247" s="154"/>
      <c r="DG247" s="154"/>
      <c r="DH247" s="154"/>
      <c r="DI247" s="153"/>
      <c r="DJ247" s="154"/>
      <c r="DK247" s="154"/>
      <c r="DL247" s="154"/>
      <c r="DM247" s="154"/>
      <c r="DN247" s="153"/>
      <c r="DO247" s="154"/>
      <c r="DP247" s="154"/>
      <c r="DQ247" s="154"/>
      <c r="DR247" s="154"/>
      <c r="DS247" s="153"/>
      <c r="DT247" s="154"/>
      <c r="DU247" s="154"/>
      <c r="DV247" s="154"/>
      <c r="DW247" s="154"/>
      <c r="DX247" s="153"/>
      <c r="DY247" s="154"/>
      <c r="DZ247" s="154"/>
      <c r="EA247" s="154"/>
      <c r="EB247" s="154"/>
      <c r="EC247" s="153"/>
      <c r="ED247" s="154"/>
      <c r="EE247" s="154"/>
      <c r="EF247" s="154"/>
      <c r="EG247" s="154"/>
      <c r="EH247" s="153"/>
      <c r="EI247" s="154"/>
      <c r="EJ247" s="154"/>
      <c r="EK247" s="154"/>
      <c r="EL247" s="154"/>
      <c r="EM247" s="153"/>
      <c r="EN247" s="154"/>
      <c r="EO247" s="154"/>
      <c r="EP247" s="154"/>
      <c r="EQ247" s="154"/>
      <c r="ER247" s="153"/>
      <c r="ES247" s="154"/>
      <c r="ET247" s="154"/>
      <c r="EU247" s="154"/>
      <c r="EV247" s="154"/>
      <c r="EW247" s="153"/>
      <c r="EX247" s="154"/>
      <c r="EY247" s="154"/>
      <c r="EZ247" s="154"/>
      <c r="FA247" s="154"/>
      <c r="FB247" s="153"/>
      <c r="FC247" s="154"/>
      <c r="FD247" s="154"/>
      <c r="FE247" s="154"/>
      <c r="FF247" s="154"/>
      <c r="FG247" s="153"/>
      <c r="FH247" s="154"/>
      <c r="FI247" s="154"/>
      <c r="FJ247" s="154"/>
      <c r="FK247" s="154"/>
      <c r="FL247" s="153"/>
      <c r="FM247" s="154"/>
      <c r="FN247" s="154"/>
      <c r="FO247" s="154"/>
      <c r="FP247" s="154"/>
      <c r="FQ247" s="153"/>
      <c r="FR247" s="154"/>
      <c r="FS247" s="154"/>
      <c r="FT247" s="154"/>
      <c r="FU247" s="154"/>
      <c r="FV247" s="153"/>
      <c r="FW247" s="154"/>
      <c r="FX247" s="154"/>
      <c r="FY247" s="154"/>
      <c r="FZ247" s="154"/>
      <c r="GA247" s="153"/>
      <c r="GB247" s="154"/>
      <c r="GC247" s="154"/>
      <c r="GD247" s="154"/>
      <c r="GE247" s="154"/>
      <c r="GF247" s="153"/>
      <c r="GG247" s="154"/>
      <c r="GH247" s="154"/>
      <c r="GI247" s="154"/>
      <c r="GJ247" s="154"/>
    </row>
    <row r="248" spans="1:192" s="93" customFormat="1" ht="12.75" customHeight="1">
      <c r="A248" s="68"/>
      <c r="B248" s="677"/>
      <c r="C248" s="161"/>
      <c r="D248" s="162"/>
      <c r="E248" s="162"/>
      <c r="F248" s="162"/>
      <c r="G248" s="162"/>
      <c r="H248" s="161"/>
      <c r="I248" s="162"/>
      <c r="J248" s="162"/>
      <c r="K248" s="162"/>
      <c r="L248" s="162"/>
      <c r="M248" s="161"/>
      <c r="N248" s="162"/>
      <c r="O248" s="162"/>
      <c r="P248" s="162"/>
      <c r="Q248" s="162"/>
      <c r="R248" s="161"/>
      <c r="S248" s="162"/>
      <c r="T248" s="162"/>
      <c r="U248" s="162"/>
      <c r="V248" s="162"/>
      <c r="W248" s="161"/>
      <c r="X248" s="162"/>
      <c r="Y248" s="162"/>
      <c r="Z248" s="162"/>
      <c r="AA248" s="162"/>
      <c r="AB248" s="161"/>
      <c r="AC248" s="162"/>
      <c r="AD248" s="162"/>
      <c r="AE248" s="162"/>
      <c r="AF248" s="162"/>
      <c r="AG248" s="161"/>
      <c r="AH248" s="162"/>
      <c r="AI248" s="162"/>
      <c r="AJ248" s="162"/>
      <c r="AK248" s="162"/>
      <c r="AL248" s="161"/>
      <c r="AM248" s="162"/>
      <c r="AN248" s="162"/>
      <c r="AO248" s="162"/>
      <c r="AP248" s="162"/>
      <c r="AQ248" s="161"/>
      <c r="AR248" s="162"/>
      <c r="AS248" s="162"/>
      <c r="AT248" s="162"/>
      <c r="AU248" s="162"/>
      <c r="AV248" s="161"/>
      <c r="AW248" s="162"/>
      <c r="AX248" s="162"/>
      <c r="AY248" s="162"/>
      <c r="AZ248" s="162"/>
      <c r="BA248" s="161"/>
      <c r="BB248" s="162"/>
      <c r="BC248" s="162"/>
      <c r="BD248" s="162"/>
      <c r="BE248" s="162"/>
      <c r="BF248" s="161"/>
      <c r="BG248" s="162"/>
      <c r="BH248" s="162"/>
      <c r="BI248" s="162"/>
      <c r="BJ248" s="162"/>
      <c r="BK248" s="161"/>
      <c r="BL248" s="162"/>
      <c r="BM248" s="162"/>
      <c r="BN248" s="162"/>
      <c r="BO248" s="162"/>
      <c r="BP248" s="161"/>
      <c r="BQ248" s="162"/>
      <c r="BR248" s="162"/>
      <c r="BS248" s="162"/>
      <c r="BT248" s="162"/>
      <c r="BU248" s="161"/>
      <c r="BV248" s="162"/>
      <c r="BW248" s="162"/>
      <c r="BX248" s="162"/>
      <c r="BY248" s="162"/>
      <c r="BZ248" s="161"/>
      <c r="CA248" s="162"/>
      <c r="CB248" s="162"/>
      <c r="CC248" s="162"/>
      <c r="CD248" s="162"/>
      <c r="CE248" s="161"/>
      <c r="CF248" s="162"/>
      <c r="CG248" s="162"/>
      <c r="CH248" s="162"/>
      <c r="CI248" s="162"/>
      <c r="CJ248" s="161"/>
      <c r="CK248" s="162"/>
      <c r="CL248" s="162"/>
      <c r="CM248" s="162"/>
      <c r="CN248" s="162"/>
      <c r="CO248" s="161"/>
      <c r="CP248" s="162"/>
      <c r="CQ248" s="162"/>
      <c r="CR248" s="162"/>
      <c r="CS248" s="162"/>
      <c r="CT248" s="161"/>
      <c r="CU248" s="162"/>
      <c r="CV248" s="162"/>
      <c r="CW248" s="162"/>
      <c r="CX248" s="162"/>
      <c r="CY248" s="161"/>
      <c r="CZ248" s="162"/>
      <c r="DA248" s="162"/>
      <c r="DB248" s="162"/>
      <c r="DC248" s="162"/>
      <c r="DD248" s="161"/>
      <c r="DE248" s="162"/>
      <c r="DF248" s="162"/>
      <c r="DG248" s="162"/>
      <c r="DH248" s="162"/>
      <c r="DI248" s="161"/>
      <c r="DJ248" s="162"/>
      <c r="DK248" s="162"/>
      <c r="DL248" s="162"/>
      <c r="DM248" s="162"/>
      <c r="DN248" s="161"/>
      <c r="DO248" s="162"/>
      <c r="DP248" s="162"/>
      <c r="DQ248" s="162"/>
      <c r="DR248" s="162"/>
      <c r="DS248" s="161"/>
      <c r="DT248" s="162"/>
      <c r="DU248" s="162"/>
      <c r="DV248" s="162"/>
      <c r="DW248" s="162"/>
      <c r="DX248" s="161"/>
      <c r="DY248" s="162"/>
      <c r="DZ248" s="162"/>
      <c r="EA248" s="162"/>
      <c r="EB248" s="162"/>
      <c r="EC248" s="161"/>
      <c r="ED248" s="162"/>
      <c r="EE248" s="162"/>
      <c r="EF248" s="162"/>
      <c r="EG248" s="162"/>
      <c r="EH248" s="161"/>
      <c r="EI248" s="162"/>
      <c r="EJ248" s="162"/>
      <c r="EK248" s="162"/>
      <c r="EL248" s="162"/>
      <c r="EM248" s="161"/>
      <c r="EN248" s="162"/>
      <c r="EO248" s="162"/>
      <c r="EP248" s="162"/>
      <c r="EQ248" s="162"/>
      <c r="ER248" s="161"/>
      <c r="ES248" s="162"/>
      <c r="ET248" s="162"/>
      <c r="EU248" s="162"/>
      <c r="EV248" s="162"/>
      <c r="EW248" s="161"/>
      <c r="EX248" s="162"/>
      <c r="EY248" s="162"/>
      <c r="EZ248" s="162"/>
      <c r="FA248" s="162"/>
      <c r="FB248" s="161"/>
      <c r="FC248" s="162"/>
      <c r="FD248" s="162"/>
      <c r="FE248" s="162"/>
      <c r="FF248" s="162"/>
      <c r="FG248" s="161"/>
      <c r="FH248" s="162"/>
      <c r="FI248" s="162"/>
      <c r="FJ248" s="162"/>
      <c r="FK248" s="162"/>
      <c r="FL248" s="161"/>
      <c r="FM248" s="162"/>
      <c r="FN248" s="162"/>
      <c r="FO248" s="162"/>
      <c r="FP248" s="162"/>
      <c r="FQ248" s="161"/>
      <c r="FR248" s="162"/>
      <c r="FS248" s="162"/>
      <c r="FT248" s="162"/>
      <c r="FU248" s="162"/>
      <c r="FV248" s="161"/>
      <c r="FW248" s="162"/>
      <c r="FX248" s="162"/>
      <c r="FY248" s="162"/>
      <c r="FZ248" s="162"/>
      <c r="GA248" s="161"/>
      <c r="GB248" s="162"/>
      <c r="GC248" s="162"/>
      <c r="GD248" s="162"/>
      <c r="GE248" s="162"/>
      <c r="GF248" s="161"/>
      <c r="GG248" s="162"/>
      <c r="GH248" s="162"/>
      <c r="GI248" s="162"/>
      <c r="GJ248" s="162"/>
    </row>
    <row r="249" spans="1:192" s="93" customFormat="1" ht="12.75" customHeight="1">
      <c r="A249" s="68"/>
      <c r="B249" s="677"/>
      <c r="C249" s="153"/>
      <c r="D249" s="154"/>
      <c r="E249" s="154"/>
      <c r="F249" s="154"/>
      <c r="G249" s="154"/>
      <c r="H249" s="153"/>
      <c r="I249" s="154"/>
      <c r="J249" s="154"/>
      <c r="K249" s="154"/>
      <c r="L249" s="154"/>
      <c r="M249" s="153"/>
      <c r="N249" s="154"/>
      <c r="O249" s="154"/>
      <c r="P249" s="154"/>
      <c r="Q249" s="154"/>
      <c r="R249" s="153"/>
      <c r="S249" s="154"/>
      <c r="T249" s="154"/>
      <c r="U249" s="154"/>
      <c r="V249" s="154"/>
      <c r="W249" s="153"/>
      <c r="X249" s="154"/>
      <c r="Y249" s="154"/>
      <c r="Z249" s="154"/>
      <c r="AA249" s="154"/>
      <c r="AB249" s="153"/>
      <c r="AC249" s="154"/>
      <c r="AD249" s="154"/>
      <c r="AE249" s="154"/>
      <c r="AF249" s="154"/>
      <c r="AG249" s="153"/>
      <c r="AH249" s="154"/>
      <c r="AI249" s="154"/>
      <c r="AJ249" s="154"/>
      <c r="AK249" s="154"/>
      <c r="AL249" s="153"/>
      <c r="AM249" s="154"/>
      <c r="AN249" s="154"/>
      <c r="AO249" s="154"/>
      <c r="AP249" s="154"/>
      <c r="AQ249" s="153"/>
      <c r="AR249" s="154"/>
      <c r="AS249" s="154"/>
      <c r="AT249" s="154"/>
      <c r="AU249" s="154"/>
      <c r="AV249" s="153"/>
      <c r="AW249" s="154"/>
      <c r="AX249" s="154"/>
      <c r="AY249" s="154"/>
      <c r="AZ249" s="154"/>
      <c r="BA249" s="153"/>
      <c r="BB249" s="154"/>
      <c r="BC249" s="154"/>
      <c r="BD249" s="154"/>
      <c r="BE249" s="154"/>
      <c r="BF249" s="153"/>
      <c r="BG249" s="154"/>
      <c r="BH249" s="154"/>
      <c r="BI249" s="154"/>
      <c r="BJ249" s="154"/>
      <c r="BK249" s="153"/>
      <c r="BL249" s="154"/>
      <c r="BM249" s="154"/>
      <c r="BN249" s="154"/>
      <c r="BO249" s="154"/>
      <c r="BP249" s="153"/>
      <c r="BQ249" s="154"/>
      <c r="BR249" s="154"/>
      <c r="BS249" s="154"/>
      <c r="BT249" s="154"/>
      <c r="BU249" s="153"/>
      <c r="BV249" s="154"/>
      <c r="BW249" s="154"/>
      <c r="BX249" s="154"/>
      <c r="BY249" s="154"/>
      <c r="BZ249" s="153"/>
      <c r="CA249" s="154"/>
      <c r="CB249" s="154"/>
      <c r="CC249" s="154"/>
      <c r="CD249" s="154"/>
      <c r="CE249" s="153"/>
      <c r="CF249" s="154"/>
      <c r="CG249" s="154"/>
      <c r="CH249" s="154"/>
      <c r="CI249" s="154"/>
      <c r="CJ249" s="153"/>
      <c r="CK249" s="154"/>
      <c r="CL249" s="154"/>
      <c r="CM249" s="154"/>
      <c r="CN249" s="154"/>
      <c r="CO249" s="153"/>
      <c r="CP249" s="154"/>
      <c r="CQ249" s="154"/>
      <c r="CR249" s="154"/>
      <c r="CS249" s="154"/>
      <c r="CT249" s="153"/>
      <c r="CU249" s="154"/>
      <c r="CV249" s="154"/>
      <c r="CW249" s="154"/>
      <c r="CX249" s="154"/>
      <c r="CY249" s="153"/>
      <c r="CZ249" s="154"/>
      <c r="DA249" s="154"/>
      <c r="DB249" s="154"/>
      <c r="DC249" s="154"/>
      <c r="DD249" s="153"/>
      <c r="DE249" s="154"/>
      <c r="DF249" s="154"/>
      <c r="DG249" s="154"/>
      <c r="DH249" s="154"/>
      <c r="DI249" s="153"/>
      <c r="DJ249" s="154"/>
      <c r="DK249" s="154"/>
      <c r="DL249" s="154"/>
      <c r="DM249" s="154"/>
      <c r="DN249" s="153"/>
      <c r="DO249" s="154"/>
      <c r="DP249" s="154"/>
      <c r="DQ249" s="154"/>
      <c r="DR249" s="154"/>
      <c r="DS249" s="153"/>
      <c r="DT249" s="154"/>
      <c r="DU249" s="154"/>
      <c r="DV249" s="154"/>
      <c r="DW249" s="154"/>
      <c r="DX249" s="153"/>
      <c r="DY249" s="154"/>
      <c r="DZ249" s="154"/>
      <c r="EA249" s="154"/>
      <c r="EB249" s="154"/>
      <c r="EC249" s="153"/>
      <c r="ED249" s="154"/>
      <c r="EE249" s="154"/>
      <c r="EF249" s="154"/>
      <c r="EG249" s="154"/>
      <c r="EH249" s="153"/>
      <c r="EI249" s="154"/>
      <c r="EJ249" s="154"/>
      <c r="EK249" s="154"/>
      <c r="EL249" s="154"/>
      <c r="EM249" s="153"/>
      <c r="EN249" s="154"/>
      <c r="EO249" s="154"/>
      <c r="EP249" s="154"/>
      <c r="EQ249" s="154"/>
      <c r="ER249" s="153"/>
      <c r="ES249" s="154"/>
      <c r="ET249" s="154"/>
      <c r="EU249" s="154"/>
      <c r="EV249" s="154"/>
      <c r="EW249" s="153"/>
      <c r="EX249" s="154"/>
      <c r="EY249" s="154"/>
      <c r="EZ249" s="154"/>
      <c r="FA249" s="154"/>
      <c r="FB249" s="153"/>
      <c r="FC249" s="154"/>
      <c r="FD249" s="154"/>
      <c r="FE249" s="154"/>
      <c r="FF249" s="154"/>
      <c r="FG249" s="153"/>
      <c r="FH249" s="154"/>
      <c r="FI249" s="154"/>
      <c r="FJ249" s="154"/>
      <c r="FK249" s="154"/>
      <c r="FL249" s="153"/>
      <c r="FM249" s="154"/>
      <c r="FN249" s="154"/>
      <c r="FO249" s="154"/>
      <c r="FP249" s="154"/>
      <c r="FQ249" s="153"/>
      <c r="FR249" s="154"/>
      <c r="FS249" s="154"/>
      <c r="FT249" s="154"/>
      <c r="FU249" s="154"/>
      <c r="FV249" s="153"/>
      <c r="FW249" s="154"/>
      <c r="FX249" s="154"/>
      <c r="FY249" s="154"/>
      <c r="FZ249" s="154"/>
      <c r="GA249" s="153"/>
      <c r="GB249" s="154"/>
      <c r="GC249" s="154"/>
      <c r="GD249" s="154"/>
      <c r="GE249" s="154"/>
      <c r="GF249" s="153"/>
      <c r="GG249" s="154"/>
      <c r="GH249" s="154"/>
      <c r="GI249" s="154"/>
      <c r="GJ249" s="154"/>
    </row>
    <row r="250" spans="1:192" s="93" customFormat="1" ht="12.75" customHeight="1">
      <c r="A250" s="68"/>
      <c r="B250" s="677"/>
      <c r="C250" s="153"/>
      <c r="D250" s="154"/>
      <c r="E250" s="154"/>
      <c r="F250" s="154"/>
      <c r="G250" s="154"/>
      <c r="H250" s="153"/>
      <c r="I250" s="154"/>
      <c r="J250" s="154"/>
      <c r="K250" s="154"/>
      <c r="L250" s="154"/>
      <c r="M250" s="153"/>
      <c r="N250" s="154"/>
      <c r="O250" s="154"/>
      <c r="P250" s="154"/>
      <c r="Q250" s="154"/>
      <c r="R250" s="153"/>
      <c r="S250" s="154"/>
      <c r="T250" s="154"/>
      <c r="U250" s="154"/>
      <c r="V250" s="154"/>
      <c r="W250" s="153"/>
      <c r="X250" s="154"/>
      <c r="Y250" s="154"/>
      <c r="Z250" s="154"/>
      <c r="AA250" s="154"/>
      <c r="AB250" s="153"/>
      <c r="AC250" s="154"/>
      <c r="AD250" s="154"/>
      <c r="AE250" s="154"/>
      <c r="AF250" s="154"/>
      <c r="AG250" s="153"/>
      <c r="AH250" s="154"/>
      <c r="AI250" s="154"/>
      <c r="AJ250" s="154"/>
      <c r="AK250" s="154"/>
      <c r="AL250" s="153"/>
      <c r="AM250" s="154"/>
      <c r="AN250" s="154"/>
      <c r="AO250" s="154"/>
      <c r="AP250" s="154"/>
      <c r="AQ250" s="153"/>
      <c r="AR250" s="154"/>
      <c r="AS250" s="154"/>
      <c r="AT250" s="154"/>
      <c r="AU250" s="154"/>
      <c r="AV250" s="153"/>
      <c r="AW250" s="154"/>
      <c r="AX250" s="154"/>
      <c r="AY250" s="154"/>
      <c r="AZ250" s="154"/>
      <c r="BA250" s="153"/>
      <c r="BB250" s="154"/>
      <c r="BC250" s="154"/>
      <c r="BD250" s="154"/>
      <c r="BE250" s="154"/>
      <c r="BF250" s="153"/>
      <c r="BG250" s="154"/>
      <c r="BH250" s="154"/>
      <c r="BI250" s="154"/>
      <c r="BJ250" s="154"/>
      <c r="BK250" s="153"/>
      <c r="BL250" s="154"/>
      <c r="BM250" s="154"/>
      <c r="BN250" s="154"/>
      <c r="BO250" s="154"/>
      <c r="BP250" s="153"/>
      <c r="BQ250" s="154"/>
      <c r="BR250" s="154"/>
      <c r="BS250" s="154"/>
      <c r="BT250" s="154"/>
      <c r="BU250" s="153"/>
      <c r="BV250" s="154"/>
      <c r="BW250" s="154"/>
      <c r="BX250" s="154"/>
      <c r="BY250" s="154"/>
      <c r="BZ250" s="153"/>
      <c r="CA250" s="154"/>
      <c r="CB250" s="154"/>
      <c r="CC250" s="154"/>
      <c r="CD250" s="154"/>
      <c r="CE250" s="153"/>
      <c r="CF250" s="154"/>
      <c r="CG250" s="154"/>
      <c r="CH250" s="154"/>
      <c r="CI250" s="154"/>
      <c r="CJ250" s="153"/>
      <c r="CK250" s="154"/>
      <c r="CL250" s="154"/>
      <c r="CM250" s="154"/>
      <c r="CN250" s="154"/>
      <c r="CO250" s="153"/>
      <c r="CP250" s="154"/>
      <c r="CQ250" s="154"/>
      <c r="CR250" s="154"/>
      <c r="CS250" s="154"/>
      <c r="CT250" s="153"/>
      <c r="CU250" s="154"/>
      <c r="CV250" s="154"/>
      <c r="CW250" s="154"/>
      <c r="CX250" s="154"/>
      <c r="CY250" s="153"/>
      <c r="CZ250" s="154"/>
      <c r="DA250" s="154"/>
      <c r="DB250" s="154"/>
      <c r="DC250" s="154"/>
      <c r="DD250" s="153"/>
      <c r="DE250" s="154"/>
      <c r="DF250" s="154"/>
      <c r="DG250" s="154"/>
      <c r="DH250" s="154"/>
      <c r="DI250" s="153"/>
      <c r="DJ250" s="154"/>
      <c r="DK250" s="154"/>
      <c r="DL250" s="154"/>
      <c r="DM250" s="154"/>
      <c r="DN250" s="153"/>
      <c r="DO250" s="154"/>
      <c r="DP250" s="154"/>
      <c r="DQ250" s="154"/>
      <c r="DR250" s="154"/>
      <c r="DS250" s="153"/>
      <c r="DT250" s="154"/>
      <c r="DU250" s="154"/>
      <c r="DV250" s="154"/>
      <c r="DW250" s="154"/>
      <c r="DX250" s="153"/>
      <c r="DY250" s="154"/>
      <c r="DZ250" s="154"/>
      <c r="EA250" s="154"/>
      <c r="EB250" s="154"/>
      <c r="EC250" s="153"/>
      <c r="ED250" s="154"/>
      <c r="EE250" s="154"/>
      <c r="EF250" s="154"/>
      <c r="EG250" s="154"/>
      <c r="EH250" s="153"/>
      <c r="EI250" s="154"/>
      <c r="EJ250" s="154"/>
      <c r="EK250" s="154"/>
      <c r="EL250" s="154"/>
      <c r="EM250" s="153"/>
      <c r="EN250" s="154"/>
      <c r="EO250" s="154"/>
      <c r="EP250" s="154"/>
      <c r="EQ250" s="154"/>
      <c r="ER250" s="153"/>
      <c r="ES250" s="154"/>
      <c r="ET250" s="154"/>
      <c r="EU250" s="154"/>
      <c r="EV250" s="154"/>
      <c r="EW250" s="153"/>
      <c r="EX250" s="154"/>
      <c r="EY250" s="154"/>
      <c r="EZ250" s="154"/>
      <c r="FA250" s="154"/>
      <c r="FB250" s="153"/>
      <c r="FC250" s="154"/>
      <c r="FD250" s="154"/>
      <c r="FE250" s="154"/>
      <c r="FF250" s="154"/>
      <c r="FG250" s="153"/>
      <c r="FH250" s="154"/>
      <c r="FI250" s="154"/>
      <c r="FJ250" s="154"/>
      <c r="FK250" s="154"/>
      <c r="FL250" s="153"/>
      <c r="FM250" s="154"/>
      <c r="FN250" s="154"/>
      <c r="FO250" s="154"/>
      <c r="FP250" s="154"/>
      <c r="FQ250" s="153"/>
      <c r="FR250" s="154"/>
      <c r="FS250" s="154"/>
      <c r="FT250" s="154"/>
      <c r="FU250" s="154"/>
      <c r="FV250" s="153"/>
      <c r="FW250" s="154"/>
      <c r="FX250" s="154"/>
      <c r="FY250" s="154"/>
      <c r="FZ250" s="154"/>
      <c r="GA250" s="153"/>
      <c r="GB250" s="154"/>
      <c r="GC250" s="154"/>
      <c r="GD250" s="154"/>
      <c r="GE250" s="154"/>
      <c r="GF250" s="153"/>
      <c r="GG250" s="154"/>
      <c r="GH250" s="154"/>
      <c r="GI250" s="154"/>
      <c r="GJ250" s="154"/>
    </row>
    <row r="251" spans="1:192" s="93" customFormat="1" ht="12.75" customHeight="1">
      <c r="A251" s="68"/>
      <c r="B251" s="677"/>
      <c r="C251" s="163"/>
      <c r="D251" s="164"/>
      <c r="E251" s="164"/>
      <c r="F251" s="164"/>
      <c r="G251" s="164"/>
      <c r="H251" s="163"/>
      <c r="I251" s="164"/>
      <c r="J251" s="164"/>
      <c r="K251" s="164"/>
      <c r="L251" s="164"/>
      <c r="M251" s="163"/>
      <c r="N251" s="164"/>
      <c r="O251" s="164"/>
      <c r="P251" s="164"/>
      <c r="Q251" s="164"/>
      <c r="R251" s="163"/>
      <c r="S251" s="164"/>
      <c r="T251" s="164"/>
      <c r="U251" s="164"/>
      <c r="V251" s="164"/>
      <c r="W251" s="163"/>
      <c r="X251" s="164"/>
      <c r="Y251" s="164"/>
      <c r="Z251" s="164"/>
      <c r="AA251" s="164"/>
      <c r="AB251" s="163"/>
      <c r="AC251" s="164"/>
      <c r="AD251" s="164"/>
      <c r="AE251" s="164"/>
      <c r="AF251" s="164"/>
      <c r="AG251" s="163"/>
      <c r="AH251" s="164"/>
      <c r="AI251" s="164"/>
      <c r="AJ251" s="164"/>
      <c r="AK251" s="164"/>
      <c r="AL251" s="163"/>
      <c r="AM251" s="164"/>
      <c r="AN251" s="164"/>
      <c r="AO251" s="164"/>
      <c r="AP251" s="164"/>
      <c r="AQ251" s="163"/>
      <c r="AR251" s="164"/>
      <c r="AS251" s="164"/>
      <c r="AT251" s="164"/>
      <c r="AU251" s="164"/>
      <c r="AV251" s="163"/>
      <c r="AW251" s="164"/>
      <c r="AX251" s="164"/>
      <c r="AY251" s="164"/>
      <c r="AZ251" s="164"/>
      <c r="BA251" s="163"/>
      <c r="BB251" s="164"/>
      <c r="BC251" s="164"/>
      <c r="BD251" s="164"/>
      <c r="BE251" s="164"/>
      <c r="BF251" s="163"/>
      <c r="BG251" s="164"/>
      <c r="BH251" s="164"/>
      <c r="BI251" s="164"/>
      <c r="BJ251" s="164"/>
      <c r="BK251" s="163"/>
      <c r="BL251" s="164"/>
      <c r="BM251" s="164"/>
      <c r="BN251" s="164"/>
      <c r="BO251" s="164"/>
      <c r="BP251" s="163"/>
      <c r="BQ251" s="164"/>
      <c r="BR251" s="164"/>
      <c r="BS251" s="164"/>
      <c r="BT251" s="164"/>
      <c r="BU251" s="163"/>
      <c r="BV251" s="164"/>
      <c r="BW251" s="164"/>
      <c r="BX251" s="164"/>
      <c r="BY251" s="164"/>
      <c r="BZ251" s="163"/>
      <c r="CA251" s="164"/>
      <c r="CB251" s="164"/>
      <c r="CC251" s="164"/>
      <c r="CD251" s="164"/>
      <c r="CE251" s="163"/>
      <c r="CF251" s="164"/>
      <c r="CG251" s="164"/>
      <c r="CH251" s="164"/>
      <c r="CI251" s="164"/>
      <c r="CJ251" s="163"/>
      <c r="CK251" s="164"/>
      <c r="CL251" s="164"/>
      <c r="CM251" s="164"/>
      <c r="CN251" s="164"/>
      <c r="CO251" s="163"/>
      <c r="CP251" s="164"/>
      <c r="CQ251" s="164"/>
      <c r="CR251" s="164"/>
      <c r="CS251" s="164"/>
      <c r="CT251" s="163"/>
      <c r="CU251" s="164"/>
      <c r="CV251" s="164"/>
      <c r="CW251" s="164"/>
      <c r="CX251" s="164"/>
      <c r="CY251" s="163"/>
      <c r="CZ251" s="164"/>
      <c r="DA251" s="164"/>
      <c r="DB251" s="164"/>
      <c r="DC251" s="164"/>
      <c r="DD251" s="163"/>
      <c r="DE251" s="164"/>
      <c r="DF251" s="164"/>
      <c r="DG251" s="164"/>
      <c r="DH251" s="164"/>
      <c r="DI251" s="163"/>
      <c r="DJ251" s="164"/>
      <c r="DK251" s="164"/>
      <c r="DL251" s="164"/>
      <c r="DM251" s="164"/>
      <c r="DN251" s="163"/>
      <c r="DO251" s="164"/>
      <c r="DP251" s="164"/>
      <c r="DQ251" s="164"/>
      <c r="DR251" s="164"/>
      <c r="DS251" s="163"/>
      <c r="DT251" s="164"/>
      <c r="DU251" s="164"/>
      <c r="DV251" s="164"/>
      <c r="DW251" s="164"/>
      <c r="DX251" s="163"/>
      <c r="DY251" s="164"/>
      <c r="DZ251" s="164"/>
      <c r="EA251" s="164"/>
      <c r="EB251" s="164"/>
      <c r="EC251" s="163"/>
      <c r="ED251" s="164"/>
      <c r="EE251" s="164"/>
      <c r="EF251" s="164"/>
      <c r="EG251" s="164"/>
      <c r="EH251" s="163"/>
      <c r="EI251" s="164"/>
      <c r="EJ251" s="164"/>
      <c r="EK251" s="164"/>
      <c r="EL251" s="164"/>
      <c r="EM251" s="163"/>
      <c r="EN251" s="164"/>
      <c r="EO251" s="164"/>
      <c r="EP251" s="164"/>
      <c r="EQ251" s="164"/>
      <c r="ER251" s="163"/>
      <c r="ES251" s="164"/>
      <c r="ET251" s="164"/>
      <c r="EU251" s="164"/>
      <c r="EV251" s="164"/>
      <c r="EW251" s="163"/>
      <c r="EX251" s="164"/>
      <c r="EY251" s="164"/>
      <c r="EZ251" s="164"/>
      <c r="FA251" s="164"/>
      <c r="FB251" s="163"/>
      <c r="FC251" s="164"/>
      <c r="FD251" s="164"/>
      <c r="FE251" s="164"/>
      <c r="FF251" s="164"/>
      <c r="FG251" s="163"/>
      <c r="FH251" s="164"/>
      <c r="FI251" s="164"/>
      <c r="FJ251" s="164"/>
      <c r="FK251" s="164"/>
      <c r="FL251" s="163"/>
      <c r="FM251" s="164"/>
      <c r="FN251" s="164"/>
      <c r="FO251" s="164"/>
      <c r="FP251" s="164"/>
      <c r="FQ251" s="163"/>
      <c r="FR251" s="164"/>
      <c r="FS251" s="164"/>
      <c r="FT251" s="164"/>
      <c r="FU251" s="164"/>
      <c r="FV251" s="163"/>
      <c r="FW251" s="164"/>
      <c r="FX251" s="164"/>
      <c r="FY251" s="164"/>
      <c r="FZ251" s="164"/>
      <c r="GA251" s="163"/>
      <c r="GB251" s="164"/>
      <c r="GC251" s="164"/>
      <c r="GD251" s="164"/>
      <c r="GE251" s="164"/>
      <c r="GF251" s="163"/>
      <c r="GG251" s="164"/>
      <c r="GH251" s="164"/>
      <c r="GI251" s="164"/>
      <c r="GJ251" s="164"/>
    </row>
    <row r="253" spans="1:192" s="93" customFormat="1" ht="12.75" customHeight="1">
      <c r="A253" s="68"/>
      <c r="B253" s="677"/>
      <c r="C253" s="165"/>
      <c r="D253" s="166"/>
      <c r="E253" s="166"/>
      <c r="F253" s="166"/>
      <c r="G253" s="166"/>
      <c r="H253" s="165"/>
      <c r="I253" s="166"/>
      <c r="J253" s="166"/>
      <c r="K253" s="166"/>
      <c r="L253" s="166"/>
      <c r="M253" s="165"/>
      <c r="N253" s="166"/>
      <c r="O253" s="166"/>
      <c r="P253" s="166"/>
      <c r="Q253" s="166"/>
      <c r="R253" s="165"/>
      <c r="S253" s="166"/>
      <c r="T253" s="166"/>
      <c r="U253" s="166"/>
      <c r="V253" s="166"/>
      <c r="W253" s="165"/>
      <c r="X253" s="166"/>
      <c r="Y253" s="166"/>
      <c r="Z253" s="166"/>
      <c r="AA253" s="166"/>
      <c r="AB253" s="165"/>
      <c r="AC253" s="166"/>
      <c r="AD253" s="166"/>
      <c r="AE253" s="166"/>
      <c r="AF253" s="166"/>
      <c r="AG253" s="165"/>
      <c r="AH253" s="166"/>
      <c r="AI253" s="166"/>
      <c r="AJ253" s="166"/>
      <c r="AK253" s="166"/>
      <c r="AL253" s="165"/>
      <c r="AM253" s="166"/>
      <c r="AN253" s="166"/>
      <c r="AO253" s="166"/>
      <c r="AP253" s="166"/>
      <c r="AQ253" s="165"/>
      <c r="AR253" s="166"/>
      <c r="AS253" s="166"/>
      <c r="AT253" s="166"/>
      <c r="AU253" s="166"/>
      <c r="AV253" s="165"/>
      <c r="AW253" s="166"/>
      <c r="AX253" s="166"/>
      <c r="AY253" s="166"/>
      <c r="AZ253" s="166"/>
      <c r="BA253" s="165"/>
      <c r="BB253" s="166"/>
      <c r="BC253" s="166"/>
      <c r="BD253" s="166"/>
      <c r="BE253" s="166"/>
      <c r="BF253" s="165"/>
      <c r="BG253" s="166"/>
      <c r="BH253" s="166"/>
      <c r="BI253" s="166"/>
      <c r="BJ253" s="166"/>
      <c r="BK253" s="165"/>
      <c r="BL253" s="166"/>
      <c r="BM253" s="166"/>
      <c r="BN253" s="166"/>
      <c r="BO253" s="166"/>
      <c r="BP253" s="165"/>
      <c r="BQ253" s="166"/>
      <c r="BR253" s="166"/>
      <c r="BS253" s="166"/>
      <c r="BT253" s="166"/>
      <c r="BU253" s="165"/>
      <c r="BV253" s="166"/>
      <c r="BW253" s="166"/>
      <c r="BX253" s="166"/>
      <c r="BY253" s="166"/>
      <c r="BZ253" s="165"/>
      <c r="CA253" s="166"/>
      <c r="CB253" s="166"/>
      <c r="CC253" s="166"/>
      <c r="CD253" s="166"/>
      <c r="CE253" s="165"/>
      <c r="CF253" s="166"/>
      <c r="CG253" s="166"/>
      <c r="CH253" s="166"/>
      <c r="CI253" s="166"/>
      <c r="CJ253" s="165"/>
      <c r="CK253" s="166"/>
      <c r="CL253" s="166"/>
      <c r="CM253" s="166"/>
      <c r="CN253" s="166"/>
      <c r="CO253" s="165"/>
      <c r="CP253" s="166"/>
      <c r="CQ253" s="166"/>
      <c r="CR253" s="166"/>
      <c r="CS253" s="166"/>
      <c r="CT253" s="165"/>
      <c r="CU253" s="166"/>
      <c r="CV253" s="166"/>
      <c r="CW253" s="166"/>
      <c r="CX253" s="166"/>
      <c r="CY253" s="165"/>
      <c r="CZ253" s="166"/>
      <c r="DA253" s="166"/>
      <c r="DB253" s="166"/>
      <c r="DC253" s="166"/>
      <c r="DD253" s="165"/>
      <c r="DE253" s="166"/>
      <c r="DF253" s="166"/>
      <c r="DG253" s="166"/>
      <c r="DH253" s="166"/>
      <c r="DI253" s="165"/>
      <c r="DJ253" s="166"/>
      <c r="DK253" s="166"/>
      <c r="DL253" s="166"/>
      <c r="DM253" s="166"/>
      <c r="DN253" s="165"/>
      <c r="DO253" s="166"/>
      <c r="DP253" s="166"/>
      <c r="DQ253" s="166"/>
      <c r="DR253" s="166"/>
      <c r="DS253" s="165"/>
      <c r="DT253" s="166"/>
      <c r="DU253" s="166"/>
      <c r="DV253" s="166"/>
      <c r="DW253" s="166"/>
      <c r="DX253" s="165"/>
      <c r="DY253" s="166"/>
      <c r="DZ253" s="166"/>
      <c r="EA253" s="166"/>
      <c r="EB253" s="166"/>
      <c r="EC253" s="165"/>
      <c r="ED253" s="166"/>
      <c r="EE253" s="166"/>
      <c r="EF253" s="166"/>
      <c r="EG253" s="166"/>
      <c r="EH253" s="165"/>
      <c r="EI253" s="166"/>
      <c r="EJ253" s="166"/>
      <c r="EK253" s="166"/>
      <c r="EL253" s="166"/>
      <c r="EM253" s="165"/>
      <c r="EN253" s="166"/>
      <c r="EO253" s="166"/>
      <c r="EP253" s="166"/>
      <c r="EQ253" s="166"/>
      <c r="ER253" s="165"/>
      <c r="ES253" s="166"/>
      <c r="ET253" s="166"/>
      <c r="EU253" s="166"/>
      <c r="EV253" s="166"/>
      <c r="EW253" s="165"/>
      <c r="EX253" s="166"/>
      <c r="EY253" s="166"/>
      <c r="EZ253" s="166"/>
      <c r="FA253" s="166"/>
      <c r="FB253" s="165"/>
      <c r="FC253" s="166"/>
      <c r="FD253" s="166"/>
      <c r="FE253" s="166"/>
      <c r="FF253" s="166"/>
      <c r="FG253" s="165"/>
      <c r="FH253" s="166"/>
      <c r="FI253" s="166"/>
      <c r="FJ253" s="166"/>
      <c r="FK253" s="166"/>
      <c r="FL253" s="165"/>
      <c r="FM253" s="166"/>
      <c r="FN253" s="166"/>
      <c r="FO253" s="166"/>
      <c r="FP253" s="166"/>
      <c r="FQ253" s="165"/>
      <c r="FR253" s="166"/>
      <c r="FS253" s="166"/>
      <c r="FT253" s="166"/>
      <c r="FU253" s="166"/>
      <c r="FV253" s="165"/>
      <c r="FW253" s="166"/>
      <c r="FX253" s="166"/>
      <c r="FY253" s="166"/>
      <c r="FZ253" s="166"/>
      <c r="GA253" s="165"/>
      <c r="GB253" s="166"/>
      <c r="GC253" s="166"/>
      <c r="GD253" s="166"/>
      <c r="GE253" s="166"/>
      <c r="GF253" s="165"/>
      <c r="GG253" s="166"/>
      <c r="GH253" s="166"/>
      <c r="GI253" s="166"/>
      <c r="GJ253" s="166"/>
    </row>
    <row r="254" spans="1:192" s="93" customFormat="1" ht="12.75" customHeight="1">
      <c r="A254" s="68"/>
      <c r="B254" s="677"/>
      <c r="C254" s="167"/>
      <c r="D254" s="168"/>
      <c r="E254" s="168"/>
      <c r="F254" s="168"/>
      <c r="G254" s="168"/>
      <c r="H254" s="167"/>
      <c r="I254" s="168"/>
      <c r="J254" s="168"/>
      <c r="K254" s="168"/>
      <c r="L254" s="168"/>
      <c r="M254" s="167"/>
      <c r="N254" s="168"/>
      <c r="O254" s="168"/>
      <c r="P254" s="168"/>
      <c r="Q254" s="168"/>
      <c r="R254" s="167"/>
      <c r="S254" s="168"/>
      <c r="T254" s="168"/>
      <c r="U254" s="168"/>
      <c r="V254" s="168"/>
      <c r="W254" s="167"/>
      <c r="X254" s="168"/>
      <c r="Y254" s="168"/>
      <c r="Z254" s="168"/>
      <c r="AA254" s="168"/>
      <c r="AB254" s="167"/>
      <c r="AC254" s="168"/>
      <c r="AD254" s="168"/>
      <c r="AE254" s="168"/>
      <c r="AF254" s="168"/>
      <c r="AG254" s="167"/>
      <c r="AH254" s="168"/>
      <c r="AI254" s="168"/>
      <c r="AJ254" s="168"/>
      <c r="AK254" s="168"/>
      <c r="AL254" s="167"/>
      <c r="AM254" s="168"/>
      <c r="AN254" s="168"/>
      <c r="AO254" s="168"/>
      <c r="AP254" s="168"/>
      <c r="AQ254" s="167"/>
      <c r="AR254" s="168"/>
      <c r="AS254" s="168"/>
      <c r="AT254" s="168"/>
      <c r="AU254" s="168"/>
      <c r="AV254" s="167"/>
      <c r="AW254" s="168"/>
      <c r="AX254" s="168"/>
      <c r="AY254" s="168"/>
      <c r="AZ254" s="168"/>
      <c r="BA254" s="167"/>
      <c r="BB254" s="168"/>
      <c r="BC254" s="168"/>
      <c r="BD254" s="168"/>
      <c r="BE254" s="168"/>
      <c r="BF254" s="167"/>
      <c r="BG254" s="168"/>
      <c r="BH254" s="168"/>
      <c r="BI254" s="168"/>
      <c r="BJ254" s="168"/>
      <c r="BK254" s="167"/>
      <c r="BL254" s="168"/>
      <c r="BM254" s="168"/>
      <c r="BN254" s="168"/>
      <c r="BO254" s="168"/>
      <c r="BP254" s="167"/>
      <c r="BQ254" s="168"/>
      <c r="BR254" s="168"/>
      <c r="BS254" s="168"/>
      <c r="BT254" s="168"/>
      <c r="BU254" s="167"/>
      <c r="BV254" s="168"/>
      <c r="BW254" s="168"/>
      <c r="BX254" s="168"/>
      <c r="BY254" s="168"/>
      <c r="BZ254" s="167"/>
      <c r="CA254" s="168"/>
      <c r="CB254" s="168"/>
      <c r="CC254" s="168"/>
      <c r="CD254" s="168"/>
      <c r="CE254" s="167"/>
      <c r="CF254" s="168"/>
      <c r="CG254" s="168"/>
      <c r="CH254" s="168"/>
      <c r="CI254" s="168"/>
      <c r="CJ254" s="167"/>
      <c r="CK254" s="168"/>
      <c r="CL254" s="168"/>
      <c r="CM254" s="168"/>
      <c r="CN254" s="168"/>
      <c r="CO254" s="167"/>
      <c r="CP254" s="168"/>
      <c r="CQ254" s="168"/>
      <c r="CR254" s="168"/>
      <c r="CS254" s="168"/>
      <c r="CT254" s="167"/>
      <c r="CU254" s="168"/>
      <c r="CV254" s="168"/>
      <c r="CW254" s="168"/>
      <c r="CX254" s="168"/>
      <c r="CY254" s="167"/>
      <c r="CZ254" s="168"/>
      <c r="DA254" s="168"/>
      <c r="DB254" s="168"/>
      <c r="DC254" s="168"/>
      <c r="DD254" s="167"/>
      <c r="DE254" s="168"/>
      <c r="DF254" s="168"/>
      <c r="DG254" s="168"/>
      <c r="DH254" s="168"/>
      <c r="DI254" s="167"/>
      <c r="DJ254" s="168"/>
      <c r="DK254" s="168"/>
      <c r="DL254" s="168"/>
      <c r="DM254" s="168"/>
      <c r="DN254" s="167"/>
      <c r="DO254" s="168"/>
      <c r="DP254" s="168"/>
      <c r="DQ254" s="168"/>
      <c r="DR254" s="168"/>
      <c r="DS254" s="167"/>
      <c r="DT254" s="168"/>
      <c r="DU254" s="168"/>
      <c r="DV254" s="168"/>
      <c r="DW254" s="168"/>
      <c r="DX254" s="167"/>
      <c r="DY254" s="168"/>
      <c r="DZ254" s="168"/>
      <c r="EA254" s="168"/>
      <c r="EB254" s="168"/>
      <c r="EC254" s="167"/>
      <c r="ED254" s="168"/>
      <c r="EE254" s="168"/>
      <c r="EF254" s="168"/>
      <c r="EG254" s="168"/>
      <c r="EH254" s="167"/>
      <c r="EI254" s="168"/>
      <c r="EJ254" s="168"/>
      <c r="EK254" s="168"/>
      <c r="EL254" s="168"/>
      <c r="EM254" s="167"/>
      <c r="EN254" s="168"/>
      <c r="EO254" s="168"/>
      <c r="EP254" s="168"/>
      <c r="EQ254" s="168"/>
      <c r="ER254" s="167"/>
      <c r="ES254" s="168"/>
      <c r="ET254" s="168"/>
      <c r="EU254" s="168"/>
      <c r="EV254" s="168"/>
      <c r="EW254" s="167"/>
      <c r="EX254" s="168"/>
      <c r="EY254" s="168"/>
      <c r="EZ254" s="168"/>
      <c r="FA254" s="168"/>
      <c r="FB254" s="167"/>
      <c r="FC254" s="168"/>
      <c r="FD254" s="168"/>
      <c r="FE254" s="168"/>
      <c r="FF254" s="168"/>
      <c r="FG254" s="167"/>
      <c r="FH254" s="168"/>
      <c r="FI254" s="168"/>
      <c r="FJ254" s="168"/>
      <c r="FK254" s="168"/>
      <c r="FL254" s="167"/>
      <c r="FM254" s="168"/>
      <c r="FN254" s="168"/>
      <c r="FO254" s="168"/>
      <c r="FP254" s="168"/>
      <c r="FQ254" s="167"/>
      <c r="FR254" s="168"/>
      <c r="FS254" s="168"/>
      <c r="FT254" s="168"/>
      <c r="FU254" s="168"/>
      <c r="FV254" s="167"/>
      <c r="FW254" s="168"/>
      <c r="FX254" s="168"/>
      <c r="FY254" s="168"/>
      <c r="FZ254" s="168"/>
      <c r="GA254" s="167"/>
      <c r="GB254" s="168"/>
      <c r="GC254" s="168"/>
      <c r="GD254" s="168"/>
      <c r="GE254" s="168"/>
      <c r="GF254" s="167"/>
      <c r="GG254" s="168"/>
      <c r="GH254" s="168"/>
      <c r="GI254" s="168"/>
      <c r="GJ254" s="168"/>
    </row>
    <row r="255" spans="1:192" s="93" customFormat="1" ht="12.75" customHeight="1">
      <c r="A255" s="68"/>
      <c r="B255" s="677"/>
      <c r="C255" s="169"/>
      <c r="D255" s="170"/>
      <c r="E255" s="170"/>
      <c r="F255" s="170"/>
      <c r="G255" s="170"/>
      <c r="H255" s="169"/>
      <c r="I255" s="170"/>
      <c r="J255" s="170"/>
      <c r="K255" s="170"/>
      <c r="L255" s="170"/>
      <c r="M255" s="169"/>
      <c r="N255" s="170"/>
      <c r="O255" s="170"/>
      <c r="P255" s="170"/>
      <c r="Q255" s="170"/>
      <c r="R255" s="169"/>
      <c r="S255" s="170"/>
      <c r="T255" s="170"/>
      <c r="U255" s="170"/>
      <c r="V255" s="170"/>
      <c r="W255" s="169"/>
      <c r="X255" s="170"/>
      <c r="Y255" s="170"/>
      <c r="Z255" s="170"/>
      <c r="AA255" s="170"/>
      <c r="AB255" s="169"/>
      <c r="AC255" s="170"/>
      <c r="AD255" s="170"/>
      <c r="AE255" s="170"/>
      <c r="AF255" s="170"/>
      <c r="AG255" s="169"/>
      <c r="AH255" s="170"/>
      <c r="AI255" s="170"/>
      <c r="AJ255" s="170"/>
      <c r="AK255" s="170"/>
      <c r="AL255" s="169"/>
      <c r="AM255" s="170"/>
      <c r="AN255" s="170"/>
      <c r="AO255" s="170"/>
      <c r="AP255" s="170"/>
      <c r="AQ255" s="169"/>
      <c r="AR255" s="170"/>
      <c r="AS255" s="170"/>
      <c r="AT255" s="170"/>
      <c r="AU255" s="170"/>
      <c r="AV255" s="169"/>
      <c r="AW255" s="170"/>
      <c r="AX255" s="170"/>
      <c r="AY255" s="170"/>
      <c r="AZ255" s="170"/>
      <c r="BA255" s="169"/>
      <c r="BB255" s="170"/>
      <c r="BC255" s="170"/>
      <c r="BD255" s="170"/>
      <c r="BE255" s="170"/>
      <c r="BF255" s="169"/>
      <c r="BG255" s="170"/>
      <c r="BH255" s="170"/>
      <c r="BI255" s="170"/>
      <c r="BJ255" s="170"/>
      <c r="BK255" s="169"/>
      <c r="BL255" s="170"/>
      <c r="BM255" s="170"/>
      <c r="BN255" s="170"/>
      <c r="BO255" s="170"/>
      <c r="BP255" s="169"/>
      <c r="BQ255" s="170"/>
      <c r="BR255" s="170"/>
      <c r="BS255" s="170"/>
      <c r="BT255" s="170"/>
      <c r="BU255" s="169"/>
      <c r="BV255" s="170"/>
      <c r="BW255" s="170"/>
      <c r="BX255" s="170"/>
      <c r="BY255" s="170"/>
      <c r="BZ255" s="169"/>
      <c r="CA255" s="170"/>
      <c r="CB255" s="170"/>
      <c r="CC255" s="170"/>
      <c r="CD255" s="170"/>
      <c r="CE255" s="169"/>
      <c r="CF255" s="170"/>
      <c r="CG255" s="170"/>
      <c r="CH255" s="170"/>
      <c r="CI255" s="170"/>
      <c r="CJ255" s="169"/>
      <c r="CK255" s="170"/>
      <c r="CL255" s="170"/>
      <c r="CM255" s="170"/>
      <c r="CN255" s="170"/>
      <c r="CO255" s="169"/>
      <c r="CP255" s="170"/>
      <c r="CQ255" s="170"/>
      <c r="CR255" s="170"/>
      <c r="CS255" s="170"/>
      <c r="CT255" s="169"/>
      <c r="CU255" s="170"/>
      <c r="CV255" s="170"/>
      <c r="CW255" s="170"/>
      <c r="CX255" s="170"/>
      <c r="CY255" s="169"/>
      <c r="CZ255" s="170"/>
      <c r="DA255" s="170"/>
      <c r="DB255" s="170"/>
      <c r="DC255" s="170"/>
      <c r="DD255" s="169"/>
      <c r="DE255" s="170"/>
      <c r="DF255" s="170"/>
      <c r="DG255" s="170"/>
      <c r="DH255" s="170"/>
      <c r="DI255" s="169"/>
      <c r="DJ255" s="170"/>
      <c r="DK255" s="170"/>
      <c r="DL255" s="170"/>
      <c r="DM255" s="170"/>
      <c r="DN255" s="169"/>
      <c r="DO255" s="170"/>
      <c r="DP255" s="170"/>
      <c r="DQ255" s="170"/>
      <c r="DR255" s="170"/>
      <c r="DS255" s="169"/>
      <c r="DT255" s="170"/>
      <c r="DU255" s="170"/>
      <c r="DV255" s="170"/>
      <c r="DW255" s="170"/>
      <c r="DX255" s="169"/>
      <c r="DY255" s="170"/>
      <c r="DZ255" s="170"/>
      <c r="EA255" s="170"/>
      <c r="EB255" s="170"/>
      <c r="EC255" s="169"/>
      <c r="ED255" s="170"/>
      <c r="EE255" s="170"/>
      <c r="EF255" s="170"/>
      <c r="EG255" s="170"/>
      <c r="EH255" s="169"/>
      <c r="EI255" s="170"/>
      <c r="EJ255" s="170"/>
      <c r="EK255" s="170"/>
      <c r="EL255" s="170"/>
      <c r="EM255" s="169"/>
      <c r="EN255" s="170"/>
      <c r="EO255" s="170"/>
      <c r="EP255" s="170"/>
      <c r="EQ255" s="170"/>
      <c r="ER255" s="169"/>
      <c r="ES255" s="170"/>
      <c r="ET255" s="170"/>
      <c r="EU255" s="170"/>
      <c r="EV255" s="170"/>
      <c r="EW255" s="169"/>
      <c r="EX255" s="170"/>
      <c r="EY255" s="170"/>
      <c r="EZ255" s="170"/>
      <c r="FA255" s="170"/>
      <c r="FB255" s="169"/>
      <c r="FC255" s="170"/>
      <c r="FD255" s="170"/>
      <c r="FE255" s="170"/>
      <c r="FF255" s="170"/>
      <c r="FG255" s="169"/>
      <c r="FH255" s="170"/>
      <c r="FI255" s="170"/>
      <c r="FJ255" s="170"/>
      <c r="FK255" s="170"/>
      <c r="FL255" s="169"/>
      <c r="FM255" s="170"/>
      <c r="FN255" s="170"/>
      <c r="FO255" s="170"/>
      <c r="FP255" s="170"/>
      <c r="FQ255" s="169"/>
      <c r="FR255" s="170"/>
      <c r="FS255" s="170"/>
      <c r="FT255" s="170"/>
      <c r="FU255" s="170"/>
      <c r="FV255" s="169"/>
      <c r="FW255" s="170"/>
      <c r="FX255" s="170"/>
      <c r="FY255" s="170"/>
      <c r="FZ255" s="170"/>
      <c r="GA255" s="169"/>
      <c r="GB255" s="170"/>
      <c r="GC255" s="170"/>
      <c r="GD255" s="170"/>
      <c r="GE255" s="170"/>
      <c r="GF255" s="169"/>
      <c r="GG255" s="170"/>
      <c r="GH255" s="170"/>
      <c r="GI255" s="170"/>
      <c r="GJ255" s="170"/>
    </row>
    <row r="256" spans="1:192" s="93" customFormat="1" ht="12.75" customHeight="1">
      <c r="A256" s="68"/>
      <c r="B256" s="677"/>
      <c r="C256" s="171"/>
      <c r="D256" s="171"/>
      <c r="E256" s="171"/>
      <c r="F256" s="171"/>
      <c r="G256" s="171"/>
      <c r="H256" s="171"/>
      <c r="I256" s="171"/>
      <c r="J256" s="171"/>
      <c r="K256" s="171"/>
      <c r="L256" s="171"/>
      <c r="M256" s="171"/>
      <c r="N256" s="171"/>
      <c r="O256" s="171"/>
      <c r="P256" s="171"/>
      <c r="Q256" s="171"/>
      <c r="R256" s="171"/>
      <c r="S256" s="171"/>
      <c r="T256" s="171"/>
      <c r="U256" s="171"/>
      <c r="V256" s="171"/>
      <c r="W256" s="171"/>
      <c r="X256" s="171"/>
      <c r="Y256" s="171"/>
      <c r="Z256" s="171"/>
      <c r="AA256" s="171"/>
      <c r="AB256" s="171"/>
      <c r="AC256" s="171"/>
      <c r="AD256" s="171"/>
      <c r="AE256" s="171"/>
      <c r="AF256" s="171"/>
      <c r="AG256" s="171"/>
      <c r="AH256" s="171"/>
      <c r="AI256" s="171"/>
      <c r="AJ256" s="171"/>
      <c r="AK256" s="171"/>
      <c r="AL256" s="171"/>
      <c r="AM256" s="171"/>
      <c r="AN256" s="171"/>
      <c r="AO256" s="171"/>
      <c r="AP256" s="171"/>
      <c r="AQ256" s="171"/>
      <c r="AR256" s="171"/>
      <c r="AS256" s="171"/>
      <c r="AT256" s="171"/>
      <c r="AU256" s="171"/>
      <c r="AV256" s="171"/>
      <c r="AW256" s="171"/>
      <c r="AX256" s="171"/>
      <c r="AY256" s="171"/>
      <c r="AZ256" s="171"/>
      <c r="BA256" s="171"/>
      <c r="BB256" s="171"/>
      <c r="BC256" s="171"/>
      <c r="BD256" s="171"/>
      <c r="BE256" s="171"/>
      <c r="BF256" s="171"/>
      <c r="BG256" s="171"/>
      <c r="BH256" s="171"/>
      <c r="BI256" s="171"/>
      <c r="BJ256" s="171"/>
      <c r="BK256" s="171"/>
      <c r="BL256" s="171"/>
      <c r="BM256" s="171"/>
      <c r="BN256" s="171"/>
      <c r="BO256" s="171"/>
      <c r="BP256" s="171"/>
      <c r="BQ256" s="171"/>
      <c r="BR256" s="171"/>
      <c r="BS256" s="171"/>
      <c r="BT256" s="171"/>
      <c r="BU256" s="171"/>
      <c r="BV256" s="171"/>
      <c r="BW256" s="171"/>
      <c r="BX256" s="171"/>
      <c r="BY256" s="171"/>
      <c r="BZ256" s="171"/>
      <c r="CA256" s="171"/>
      <c r="CB256" s="171"/>
      <c r="CC256" s="171"/>
      <c r="CD256" s="171"/>
      <c r="CE256" s="171"/>
      <c r="CF256" s="171"/>
      <c r="CG256" s="171"/>
      <c r="CH256" s="171"/>
      <c r="CI256" s="171"/>
      <c r="CJ256" s="171"/>
      <c r="CK256" s="171"/>
      <c r="CL256" s="171"/>
      <c r="CM256" s="171"/>
      <c r="CN256" s="171"/>
      <c r="CO256" s="171"/>
      <c r="CP256" s="171"/>
      <c r="CQ256" s="171"/>
      <c r="CR256" s="171"/>
      <c r="CS256" s="171"/>
      <c r="CT256" s="171"/>
      <c r="CU256" s="171"/>
      <c r="CV256" s="171"/>
      <c r="CW256" s="171"/>
      <c r="CX256" s="171"/>
      <c r="CY256" s="171"/>
      <c r="CZ256" s="171"/>
      <c r="DA256" s="171"/>
      <c r="DB256" s="171"/>
      <c r="DC256" s="171"/>
      <c r="DD256" s="171"/>
      <c r="DE256" s="171"/>
      <c r="DF256" s="171"/>
      <c r="DG256" s="171"/>
      <c r="DH256" s="171"/>
      <c r="DI256" s="171"/>
      <c r="DJ256" s="171"/>
      <c r="DK256" s="171"/>
      <c r="DL256" s="171"/>
      <c r="DM256" s="171"/>
      <c r="DN256" s="171"/>
      <c r="DO256" s="171"/>
      <c r="DP256" s="171"/>
      <c r="DQ256" s="171"/>
      <c r="DR256" s="171"/>
      <c r="DS256" s="171"/>
      <c r="DT256" s="171"/>
      <c r="DU256" s="171"/>
      <c r="DV256" s="171"/>
      <c r="DW256" s="171"/>
      <c r="DX256" s="171"/>
      <c r="DY256" s="171"/>
      <c r="DZ256" s="171"/>
      <c r="EA256" s="171"/>
      <c r="EB256" s="171"/>
      <c r="EC256" s="171"/>
      <c r="ED256" s="171"/>
      <c r="EE256" s="171"/>
      <c r="EF256" s="171"/>
      <c r="EG256" s="171"/>
      <c r="EH256" s="171"/>
      <c r="EI256" s="171"/>
      <c r="EJ256" s="171"/>
      <c r="EK256" s="171"/>
      <c r="EL256" s="171"/>
      <c r="EM256" s="171"/>
      <c r="EN256" s="171"/>
      <c r="EO256" s="171"/>
      <c r="EP256" s="171"/>
      <c r="EQ256" s="171"/>
      <c r="ER256" s="171"/>
      <c r="ES256" s="171"/>
      <c r="ET256" s="171"/>
      <c r="EU256" s="171"/>
      <c r="EV256" s="171"/>
      <c r="EW256" s="171"/>
      <c r="EX256" s="171"/>
      <c r="EY256" s="171"/>
      <c r="EZ256" s="171"/>
      <c r="FA256" s="171"/>
      <c r="FB256" s="171"/>
      <c r="FC256" s="171"/>
      <c r="FD256" s="171"/>
      <c r="FE256" s="171"/>
      <c r="FF256" s="171"/>
      <c r="FG256" s="171"/>
      <c r="FH256" s="171"/>
      <c r="FI256" s="171"/>
      <c r="FJ256" s="171"/>
      <c r="FK256" s="171"/>
      <c r="FL256" s="171"/>
      <c r="FM256" s="171"/>
      <c r="FN256" s="171"/>
      <c r="FO256" s="171"/>
      <c r="FP256" s="171"/>
      <c r="FQ256" s="171"/>
      <c r="FR256" s="171"/>
      <c r="FS256" s="171"/>
      <c r="FT256" s="171"/>
      <c r="FU256" s="171"/>
      <c r="FV256" s="171"/>
      <c r="FW256" s="171"/>
      <c r="FX256" s="171"/>
      <c r="FY256" s="171"/>
      <c r="FZ256" s="171"/>
      <c r="GA256" s="171"/>
      <c r="GB256" s="171"/>
      <c r="GC256" s="171"/>
      <c r="GD256" s="171"/>
      <c r="GE256" s="171"/>
      <c r="GF256" s="171"/>
      <c r="GG256" s="171"/>
      <c r="GH256" s="171"/>
      <c r="GI256" s="171"/>
      <c r="GJ256" s="171"/>
    </row>
    <row r="257" spans="1:192" s="93" customFormat="1" ht="12.75" customHeight="1">
      <c r="A257" s="68"/>
      <c r="B257" s="677"/>
      <c r="C257" s="94"/>
      <c r="D257" s="172"/>
      <c r="E257" s="172"/>
      <c r="F257" s="172"/>
      <c r="G257" s="172"/>
      <c r="H257" s="94"/>
      <c r="I257" s="172"/>
      <c r="J257" s="172"/>
      <c r="K257" s="172"/>
      <c r="L257" s="172"/>
      <c r="M257" s="94"/>
      <c r="N257" s="172"/>
      <c r="O257" s="172"/>
      <c r="P257" s="172"/>
      <c r="Q257" s="172"/>
      <c r="R257" s="94"/>
      <c r="S257" s="172"/>
      <c r="T257" s="172"/>
      <c r="U257" s="172"/>
      <c r="V257" s="172"/>
      <c r="W257" s="94"/>
      <c r="X257" s="172"/>
      <c r="Y257" s="172"/>
      <c r="Z257" s="172"/>
      <c r="AA257" s="172"/>
      <c r="AB257" s="94"/>
      <c r="AC257" s="172"/>
      <c r="AD257" s="172"/>
      <c r="AE257" s="172"/>
      <c r="AF257" s="172"/>
      <c r="AG257" s="94"/>
      <c r="AH257" s="172"/>
      <c r="AI257" s="172"/>
      <c r="AJ257" s="172"/>
      <c r="AK257" s="172"/>
      <c r="AL257" s="94"/>
      <c r="AM257" s="172"/>
      <c r="AN257" s="172"/>
      <c r="AO257" s="172"/>
      <c r="AP257" s="172"/>
      <c r="AQ257" s="94"/>
      <c r="AR257" s="172"/>
      <c r="AS257" s="172"/>
      <c r="AT257" s="172"/>
      <c r="AU257" s="172"/>
      <c r="AV257" s="94"/>
      <c r="AW257" s="172"/>
      <c r="AX257" s="172"/>
      <c r="AY257" s="172"/>
      <c r="AZ257" s="172"/>
      <c r="BA257" s="94"/>
      <c r="BB257" s="172"/>
      <c r="BC257" s="172"/>
      <c r="BD257" s="172"/>
      <c r="BE257" s="172"/>
      <c r="BF257" s="94"/>
      <c r="BG257" s="172"/>
      <c r="BH257" s="172"/>
      <c r="BI257" s="172"/>
      <c r="BJ257" s="172"/>
      <c r="BK257" s="94"/>
      <c r="BL257" s="172"/>
      <c r="BM257" s="172"/>
      <c r="BN257" s="172"/>
      <c r="BO257" s="172"/>
      <c r="BP257" s="94"/>
      <c r="BQ257" s="172"/>
      <c r="BR257" s="172"/>
      <c r="BS257" s="172"/>
      <c r="BT257" s="172"/>
      <c r="BU257" s="94"/>
      <c r="BV257" s="172"/>
      <c r="BW257" s="172"/>
      <c r="BX257" s="172"/>
      <c r="BY257" s="172"/>
      <c r="BZ257" s="94"/>
      <c r="CA257" s="172"/>
      <c r="CB257" s="172"/>
      <c r="CC257" s="172"/>
      <c r="CD257" s="172"/>
      <c r="CE257" s="94"/>
      <c r="CF257" s="172"/>
      <c r="CG257" s="172"/>
      <c r="CH257" s="172"/>
      <c r="CI257" s="172"/>
      <c r="CJ257" s="94"/>
      <c r="CK257" s="172"/>
      <c r="CL257" s="172"/>
      <c r="CM257" s="172"/>
      <c r="CN257" s="172"/>
      <c r="CO257" s="94"/>
      <c r="CP257" s="172"/>
      <c r="CQ257" s="172"/>
      <c r="CR257" s="172"/>
      <c r="CS257" s="172"/>
      <c r="CT257" s="94"/>
      <c r="CU257" s="172"/>
      <c r="CV257" s="172"/>
      <c r="CW257" s="172"/>
      <c r="CX257" s="172"/>
      <c r="CY257" s="94"/>
      <c r="CZ257" s="172"/>
      <c r="DA257" s="172"/>
      <c r="DB257" s="172"/>
      <c r="DC257" s="172"/>
      <c r="DD257" s="94"/>
      <c r="DE257" s="172"/>
      <c r="DF257" s="172"/>
      <c r="DG257" s="172"/>
      <c r="DH257" s="172"/>
      <c r="DI257" s="94"/>
      <c r="DJ257" s="172"/>
      <c r="DK257" s="172"/>
      <c r="DL257" s="172"/>
      <c r="DM257" s="172"/>
      <c r="DN257" s="94"/>
      <c r="DO257" s="172"/>
      <c r="DP257" s="172"/>
      <c r="DQ257" s="172"/>
      <c r="DR257" s="172"/>
      <c r="DS257" s="94"/>
      <c r="DT257" s="172"/>
      <c r="DU257" s="172"/>
      <c r="DV257" s="172"/>
      <c r="DW257" s="172"/>
      <c r="DX257" s="94"/>
      <c r="DY257" s="172"/>
      <c r="DZ257" s="172"/>
      <c r="EA257" s="172"/>
      <c r="EB257" s="172"/>
      <c r="EC257" s="94"/>
      <c r="ED257" s="172"/>
      <c r="EE257" s="172"/>
      <c r="EF257" s="172"/>
      <c r="EG257" s="172"/>
      <c r="EH257" s="94"/>
      <c r="EI257" s="172"/>
      <c r="EJ257" s="172"/>
      <c r="EK257" s="172"/>
      <c r="EL257" s="172"/>
      <c r="EM257" s="94"/>
      <c r="EN257" s="172"/>
      <c r="EO257" s="172"/>
      <c r="EP257" s="172"/>
      <c r="EQ257" s="172"/>
      <c r="ER257" s="94"/>
      <c r="ES257" s="172"/>
      <c r="ET257" s="172"/>
      <c r="EU257" s="172"/>
      <c r="EV257" s="172"/>
      <c r="EW257" s="94"/>
      <c r="EX257" s="172"/>
      <c r="EY257" s="172"/>
      <c r="EZ257" s="172"/>
      <c r="FA257" s="172"/>
      <c r="FB257" s="94"/>
      <c r="FC257" s="172"/>
      <c r="FD257" s="172"/>
      <c r="FE257" s="172"/>
      <c r="FF257" s="172"/>
      <c r="FG257" s="94"/>
      <c r="FH257" s="172"/>
      <c r="FI257" s="172"/>
      <c r="FJ257" s="172"/>
      <c r="FK257" s="172"/>
      <c r="FL257" s="94"/>
      <c r="FM257" s="172"/>
      <c r="FN257" s="172"/>
      <c r="FO257" s="172"/>
      <c r="FP257" s="172"/>
      <c r="FQ257" s="94"/>
      <c r="FR257" s="172"/>
      <c r="FS257" s="172"/>
      <c r="FT257" s="172"/>
      <c r="FU257" s="172"/>
      <c r="FV257" s="94"/>
      <c r="FW257" s="172"/>
      <c r="FX257" s="172"/>
      <c r="FY257" s="172"/>
      <c r="FZ257" s="172"/>
      <c r="GA257" s="94"/>
      <c r="GB257" s="172"/>
      <c r="GC257" s="172"/>
      <c r="GD257" s="172"/>
      <c r="GE257" s="172"/>
      <c r="GF257" s="94"/>
      <c r="GG257" s="172"/>
      <c r="GH257" s="172"/>
      <c r="GI257" s="172"/>
      <c r="GJ257" s="172"/>
    </row>
    <row r="258" spans="1:192" s="93" customFormat="1" ht="12.75" customHeight="1">
      <c r="A258" s="68"/>
      <c r="B258" s="677"/>
      <c r="C258" s="158"/>
      <c r="D258" s="153"/>
      <c r="E258" s="153"/>
      <c r="F258" s="153"/>
      <c r="G258" s="153"/>
      <c r="H258" s="158"/>
      <c r="I258" s="153"/>
      <c r="J258" s="153"/>
      <c r="K258" s="153"/>
      <c r="L258" s="153"/>
      <c r="M258" s="158"/>
      <c r="N258" s="153"/>
      <c r="O258" s="153"/>
      <c r="P258" s="153"/>
      <c r="Q258" s="153"/>
      <c r="R258" s="158"/>
      <c r="S258" s="153"/>
      <c r="T258" s="153"/>
      <c r="U258" s="153"/>
      <c r="V258" s="153"/>
      <c r="W258" s="158"/>
      <c r="X258" s="153"/>
      <c r="Y258" s="153"/>
      <c r="Z258" s="153"/>
      <c r="AA258" s="153"/>
      <c r="AB258" s="158"/>
      <c r="AC258" s="153"/>
      <c r="AD258" s="153"/>
      <c r="AE258" s="153"/>
      <c r="AF258" s="153"/>
      <c r="AG258" s="158"/>
      <c r="AH258" s="153"/>
      <c r="AI258" s="153"/>
      <c r="AJ258" s="153"/>
      <c r="AK258" s="153"/>
      <c r="AL258" s="158"/>
      <c r="AM258" s="153"/>
      <c r="AN258" s="153"/>
      <c r="AO258" s="153"/>
      <c r="AP258" s="153"/>
      <c r="AQ258" s="158"/>
      <c r="AR258" s="153"/>
      <c r="AS258" s="153"/>
      <c r="AT258" s="153"/>
      <c r="AU258" s="153"/>
      <c r="AV258" s="158"/>
      <c r="AW258" s="153"/>
      <c r="AX258" s="153"/>
      <c r="AY258" s="153"/>
      <c r="AZ258" s="153"/>
      <c r="BA258" s="158"/>
      <c r="BB258" s="153"/>
      <c r="BC258" s="153"/>
      <c r="BD258" s="153"/>
      <c r="BE258" s="153"/>
      <c r="BF258" s="158"/>
      <c r="BG258" s="153"/>
      <c r="BH258" s="153"/>
      <c r="BI258" s="153"/>
      <c r="BJ258" s="153"/>
      <c r="BK258" s="158"/>
      <c r="BL258" s="153"/>
      <c r="BM258" s="153"/>
      <c r="BN258" s="153"/>
      <c r="BO258" s="153"/>
      <c r="BP258" s="158"/>
      <c r="BQ258" s="153"/>
      <c r="BR258" s="153"/>
      <c r="BS258" s="153"/>
      <c r="BT258" s="153"/>
      <c r="BU258" s="158"/>
      <c r="BV258" s="153"/>
      <c r="BW258" s="153"/>
      <c r="BX258" s="153"/>
      <c r="BY258" s="153"/>
      <c r="BZ258" s="158"/>
      <c r="CA258" s="153"/>
      <c r="CB258" s="153"/>
      <c r="CC258" s="153"/>
      <c r="CD258" s="153"/>
      <c r="CE258" s="158"/>
      <c r="CF258" s="153"/>
      <c r="CG258" s="153"/>
      <c r="CH258" s="153"/>
      <c r="CI258" s="153"/>
      <c r="CJ258" s="158"/>
      <c r="CK258" s="153"/>
      <c r="CL258" s="153"/>
      <c r="CM258" s="153"/>
      <c r="CN258" s="153"/>
      <c r="CO258" s="158"/>
      <c r="CP258" s="153"/>
      <c r="CQ258" s="153"/>
      <c r="CR258" s="153"/>
      <c r="CS258" s="153"/>
      <c r="CT258" s="158"/>
      <c r="CU258" s="153"/>
      <c r="CV258" s="153"/>
      <c r="CW258" s="153"/>
      <c r="CX258" s="153"/>
      <c r="CY258" s="158"/>
      <c r="CZ258" s="153"/>
      <c r="DA258" s="153"/>
      <c r="DB258" s="153"/>
      <c r="DC258" s="153"/>
      <c r="DD258" s="158"/>
      <c r="DE258" s="153"/>
      <c r="DF258" s="153"/>
      <c r="DG258" s="153"/>
      <c r="DH258" s="153"/>
      <c r="DI258" s="158"/>
      <c r="DJ258" s="153"/>
      <c r="DK258" s="153"/>
      <c r="DL258" s="153"/>
      <c r="DM258" s="153"/>
      <c r="DN258" s="158"/>
      <c r="DO258" s="153"/>
      <c r="DP258" s="153"/>
      <c r="DQ258" s="153"/>
      <c r="DR258" s="153"/>
      <c r="DS258" s="158"/>
      <c r="DT258" s="153"/>
      <c r="DU258" s="153"/>
      <c r="DV258" s="153"/>
      <c r="DW258" s="153"/>
      <c r="DX258" s="158"/>
      <c r="DY258" s="153"/>
      <c r="DZ258" s="153"/>
      <c r="EA258" s="153"/>
      <c r="EB258" s="153"/>
      <c r="EC258" s="158"/>
      <c r="ED258" s="153"/>
      <c r="EE258" s="153"/>
      <c r="EF258" s="153"/>
      <c r="EG258" s="153"/>
      <c r="EH258" s="158"/>
      <c r="EI258" s="153"/>
      <c r="EJ258" s="153"/>
      <c r="EK258" s="153"/>
      <c r="EL258" s="153"/>
      <c r="EM258" s="158"/>
      <c r="EN258" s="153"/>
      <c r="EO258" s="153"/>
      <c r="EP258" s="153"/>
      <c r="EQ258" s="153"/>
      <c r="ER258" s="158"/>
      <c r="ES258" s="153"/>
      <c r="ET258" s="153"/>
      <c r="EU258" s="153"/>
      <c r="EV258" s="153"/>
      <c r="EW258" s="158"/>
      <c r="EX258" s="153"/>
      <c r="EY258" s="153"/>
      <c r="EZ258" s="153"/>
      <c r="FA258" s="153"/>
      <c r="FB258" s="158"/>
      <c r="FC258" s="153"/>
      <c r="FD258" s="153"/>
      <c r="FE258" s="153"/>
      <c r="FF258" s="153"/>
      <c r="FG258" s="158"/>
      <c r="FH258" s="153"/>
      <c r="FI258" s="153"/>
      <c r="FJ258" s="153"/>
      <c r="FK258" s="153"/>
      <c r="FL258" s="158"/>
      <c r="FM258" s="153"/>
      <c r="FN258" s="153"/>
      <c r="FO258" s="153"/>
      <c r="FP258" s="153"/>
      <c r="FQ258" s="158"/>
      <c r="FR258" s="153"/>
      <c r="FS258" s="153"/>
      <c r="FT258" s="153"/>
      <c r="FU258" s="153"/>
      <c r="FV258" s="158"/>
      <c r="FW258" s="153"/>
      <c r="FX258" s="153"/>
      <c r="FY258" s="153"/>
      <c r="FZ258" s="153"/>
      <c r="GA258" s="158"/>
      <c r="GB258" s="153"/>
      <c r="GC258" s="153"/>
      <c r="GD258" s="153"/>
      <c r="GE258" s="153"/>
      <c r="GF258" s="158"/>
      <c r="GG258" s="153"/>
      <c r="GH258" s="153"/>
      <c r="GI258" s="153"/>
      <c r="GJ258" s="153"/>
    </row>
    <row r="259" spans="1:192" s="93" customFormat="1" ht="12.75" customHeight="1">
      <c r="A259" s="68"/>
      <c r="B259" s="677"/>
      <c r="C259" s="158"/>
      <c r="D259" s="153"/>
      <c r="E259" s="153"/>
      <c r="F259" s="153"/>
      <c r="G259" s="153"/>
      <c r="H259" s="158"/>
      <c r="I259" s="153"/>
      <c r="J259" s="153"/>
      <c r="K259" s="153"/>
      <c r="L259" s="153"/>
      <c r="M259" s="158"/>
      <c r="N259" s="153"/>
      <c r="O259" s="153"/>
      <c r="P259" s="153"/>
      <c r="Q259" s="153"/>
      <c r="R259" s="158"/>
      <c r="S259" s="153"/>
      <c r="T259" s="153"/>
      <c r="U259" s="153"/>
      <c r="V259" s="153"/>
      <c r="W259" s="158"/>
      <c r="X259" s="153"/>
      <c r="Y259" s="153"/>
      <c r="Z259" s="153"/>
      <c r="AA259" s="153"/>
      <c r="AB259" s="158"/>
      <c r="AC259" s="153"/>
      <c r="AD259" s="153"/>
      <c r="AE259" s="153"/>
      <c r="AF259" s="153"/>
      <c r="AG259" s="158"/>
      <c r="AH259" s="153"/>
      <c r="AI259" s="153"/>
      <c r="AJ259" s="153"/>
      <c r="AK259" s="153"/>
      <c r="AL259" s="158"/>
      <c r="AM259" s="153"/>
      <c r="AN259" s="153"/>
      <c r="AO259" s="153"/>
      <c r="AP259" s="153"/>
      <c r="AQ259" s="158"/>
      <c r="AR259" s="153"/>
      <c r="AS259" s="153"/>
      <c r="AT259" s="153"/>
      <c r="AU259" s="153"/>
      <c r="AV259" s="158"/>
      <c r="AW259" s="153"/>
      <c r="AX259" s="153"/>
      <c r="AY259" s="153"/>
      <c r="AZ259" s="153"/>
      <c r="BA259" s="158"/>
      <c r="BB259" s="153"/>
      <c r="BC259" s="153"/>
      <c r="BD259" s="153"/>
      <c r="BE259" s="153"/>
      <c r="BF259" s="158"/>
      <c r="BG259" s="153"/>
      <c r="BH259" s="153"/>
      <c r="BI259" s="153"/>
      <c r="BJ259" s="153"/>
      <c r="BK259" s="158"/>
      <c r="BL259" s="153"/>
      <c r="BM259" s="153"/>
      <c r="BN259" s="153"/>
      <c r="BO259" s="153"/>
      <c r="BP259" s="158"/>
      <c r="BQ259" s="153"/>
      <c r="BR259" s="153"/>
      <c r="BS259" s="153"/>
      <c r="BT259" s="153"/>
      <c r="BU259" s="158"/>
      <c r="BV259" s="153"/>
      <c r="BW259" s="153"/>
      <c r="BX259" s="153"/>
      <c r="BY259" s="153"/>
      <c r="BZ259" s="158"/>
      <c r="CA259" s="153"/>
      <c r="CB259" s="153"/>
      <c r="CC259" s="153"/>
      <c r="CD259" s="153"/>
      <c r="CE259" s="158"/>
      <c r="CF259" s="153"/>
      <c r="CG259" s="153"/>
      <c r="CH259" s="153"/>
      <c r="CI259" s="153"/>
      <c r="CJ259" s="158"/>
      <c r="CK259" s="153"/>
      <c r="CL259" s="153"/>
      <c r="CM259" s="153"/>
      <c r="CN259" s="153"/>
      <c r="CO259" s="158"/>
      <c r="CP259" s="153"/>
      <c r="CQ259" s="153"/>
      <c r="CR259" s="153"/>
      <c r="CS259" s="153"/>
      <c r="CT259" s="158"/>
      <c r="CU259" s="153"/>
      <c r="CV259" s="153"/>
      <c r="CW259" s="153"/>
      <c r="CX259" s="153"/>
      <c r="CY259" s="158"/>
      <c r="CZ259" s="153"/>
      <c r="DA259" s="153"/>
      <c r="DB259" s="153"/>
      <c r="DC259" s="153"/>
      <c r="DD259" s="158"/>
      <c r="DE259" s="153"/>
      <c r="DF259" s="153"/>
      <c r="DG259" s="153"/>
      <c r="DH259" s="153"/>
      <c r="DI259" s="158"/>
      <c r="DJ259" s="153"/>
      <c r="DK259" s="153"/>
      <c r="DL259" s="153"/>
      <c r="DM259" s="153"/>
      <c r="DN259" s="158"/>
      <c r="DO259" s="153"/>
      <c r="DP259" s="153"/>
      <c r="DQ259" s="153"/>
      <c r="DR259" s="153"/>
      <c r="DS259" s="158"/>
      <c r="DT259" s="153"/>
      <c r="DU259" s="153"/>
      <c r="DV259" s="153"/>
      <c r="DW259" s="153"/>
      <c r="DX259" s="158"/>
      <c r="DY259" s="153"/>
      <c r="DZ259" s="153"/>
      <c r="EA259" s="153"/>
      <c r="EB259" s="153"/>
      <c r="EC259" s="158"/>
      <c r="ED259" s="153"/>
      <c r="EE259" s="153"/>
      <c r="EF259" s="153"/>
      <c r="EG259" s="153"/>
      <c r="EH259" s="158"/>
      <c r="EI259" s="153"/>
      <c r="EJ259" s="153"/>
      <c r="EK259" s="153"/>
      <c r="EL259" s="153"/>
      <c r="EM259" s="158"/>
      <c r="EN259" s="153"/>
      <c r="EO259" s="153"/>
      <c r="EP259" s="153"/>
      <c r="EQ259" s="153"/>
      <c r="ER259" s="158"/>
      <c r="ES259" s="153"/>
      <c r="ET259" s="153"/>
      <c r="EU259" s="153"/>
      <c r="EV259" s="153"/>
      <c r="EW259" s="158"/>
      <c r="EX259" s="153"/>
      <c r="EY259" s="153"/>
      <c r="EZ259" s="153"/>
      <c r="FA259" s="153"/>
      <c r="FB259" s="158"/>
      <c r="FC259" s="153"/>
      <c r="FD259" s="153"/>
      <c r="FE259" s="153"/>
      <c r="FF259" s="153"/>
      <c r="FG259" s="158"/>
      <c r="FH259" s="153"/>
      <c r="FI259" s="153"/>
      <c r="FJ259" s="153"/>
      <c r="FK259" s="153"/>
      <c r="FL259" s="158"/>
      <c r="FM259" s="153"/>
      <c r="FN259" s="153"/>
      <c r="FO259" s="153"/>
      <c r="FP259" s="153"/>
      <c r="FQ259" s="158"/>
      <c r="FR259" s="153"/>
      <c r="FS259" s="153"/>
      <c r="FT259" s="153"/>
      <c r="FU259" s="153"/>
      <c r="FV259" s="158"/>
      <c r="FW259" s="153"/>
      <c r="FX259" s="153"/>
      <c r="FY259" s="153"/>
      <c r="FZ259" s="153"/>
      <c r="GA259" s="158"/>
      <c r="GB259" s="153"/>
      <c r="GC259" s="153"/>
      <c r="GD259" s="153"/>
      <c r="GE259" s="153"/>
      <c r="GF259" s="158"/>
      <c r="GG259" s="153"/>
      <c r="GH259" s="153"/>
      <c r="GI259" s="153"/>
      <c r="GJ259" s="153"/>
    </row>
    <row r="260" spans="1:192" s="93" customFormat="1" ht="12.75" customHeight="1">
      <c r="A260" s="68"/>
      <c r="B260" s="677"/>
      <c r="C260" s="158"/>
      <c r="D260" s="153"/>
      <c r="E260" s="153"/>
      <c r="F260" s="153"/>
      <c r="G260" s="153"/>
      <c r="H260" s="158"/>
      <c r="I260" s="153"/>
      <c r="J260" s="153"/>
      <c r="K260" s="153"/>
      <c r="L260" s="153"/>
      <c r="M260" s="158"/>
      <c r="N260" s="153"/>
      <c r="O260" s="153"/>
      <c r="P260" s="153"/>
      <c r="Q260" s="153"/>
      <c r="R260" s="158"/>
      <c r="S260" s="153"/>
      <c r="T260" s="153"/>
      <c r="U260" s="153"/>
      <c r="V260" s="153"/>
      <c r="W260" s="158"/>
      <c r="X260" s="153"/>
      <c r="Y260" s="153"/>
      <c r="Z260" s="153"/>
      <c r="AA260" s="153"/>
      <c r="AB260" s="158"/>
      <c r="AC260" s="153"/>
      <c r="AD260" s="153"/>
      <c r="AE260" s="153"/>
      <c r="AF260" s="153"/>
      <c r="AG260" s="158"/>
      <c r="AH260" s="153"/>
      <c r="AI260" s="153"/>
      <c r="AJ260" s="153"/>
      <c r="AK260" s="153"/>
      <c r="AL260" s="158"/>
      <c r="AM260" s="153"/>
      <c r="AN260" s="153"/>
      <c r="AO260" s="153"/>
      <c r="AP260" s="153"/>
      <c r="AQ260" s="158"/>
      <c r="AR260" s="153"/>
      <c r="AS260" s="153"/>
      <c r="AT260" s="153"/>
      <c r="AU260" s="153"/>
      <c r="AV260" s="158"/>
      <c r="AW260" s="153"/>
      <c r="AX260" s="153"/>
      <c r="AY260" s="153"/>
      <c r="AZ260" s="153"/>
      <c r="BA260" s="158"/>
      <c r="BB260" s="153"/>
      <c r="BC260" s="153"/>
      <c r="BD260" s="153"/>
      <c r="BE260" s="153"/>
      <c r="BF260" s="158"/>
      <c r="BG260" s="153"/>
      <c r="BH260" s="153"/>
      <c r="BI260" s="153"/>
      <c r="BJ260" s="153"/>
      <c r="BK260" s="158"/>
      <c r="BL260" s="153"/>
      <c r="BM260" s="153"/>
      <c r="BN260" s="153"/>
      <c r="BO260" s="153"/>
      <c r="BP260" s="158"/>
      <c r="BQ260" s="153"/>
      <c r="BR260" s="153"/>
      <c r="BS260" s="153"/>
      <c r="BT260" s="153"/>
      <c r="BU260" s="158"/>
      <c r="BV260" s="153"/>
      <c r="BW260" s="153"/>
      <c r="BX260" s="153"/>
      <c r="BY260" s="153"/>
      <c r="BZ260" s="158"/>
      <c r="CA260" s="153"/>
      <c r="CB260" s="153"/>
      <c r="CC260" s="153"/>
      <c r="CD260" s="153"/>
      <c r="CE260" s="158"/>
      <c r="CF260" s="153"/>
      <c r="CG260" s="153"/>
      <c r="CH260" s="153"/>
      <c r="CI260" s="153"/>
      <c r="CJ260" s="158"/>
      <c r="CK260" s="153"/>
      <c r="CL260" s="153"/>
      <c r="CM260" s="153"/>
      <c r="CN260" s="153"/>
      <c r="CO260" s="158"/>
      <c r="CP260" s="153"/>
      <c r="CQ260" s="153"/>
      <c r="CR260" s="153"/>
      <c r="CS260" s="153"/>
      <c r="CT260" s="158"/>
      <c r="CU260" s="153"/>
      <c r="CV260" s="153"/>
      <c r="CW260" s="153"/>
      <c r="CX260" s="153"/>
      <c r="CY260" s="158"/>
      <c r="CZ260" s="153"/>
      <c r="DA260" s="153"/>
      <c r="DB260" s="153"/>
      <c r="DC260" s="153"/>
      <c r="DD260" s="158"/>
      <c r="DE260" s="153"/>
      <c r="DF260" s="153"/>
      <c r="DG260" s="153"/>
      <c r="DH260" s="153"/>
      <c r="DI260" s="158"/>
      <c r="DJ260" s="153"/>
      <c r="DK260" s="153"/>
      <c r="DL260" s="153"/>
      <c r="DM260" s="153"/>
      <c r="DN260" s="158"/>
      <c r="DO260" s="153"/>
      <c r="DP260" s="153"/>
      <c r="DQ260" s="153"/>
      <c r="DR260" s="153"/>
      <c r="DS260" s="158"/>
      <c r="DT260" s="153"/>
      <c r="DU260" s="153"/>
      <c r="DV260" s="153"/>
      <c r="DW260" s="153"/>
      <c r="DX260" s="158"/>
      <c r="DY260" s="153"/>
      <c r="DZ260" s="153"/>
      <c r="EA260" s="153"/>
      <c r="EB260" s="153"/>
      <c r="EC260" s="158"/>
      <c r="ED260" s="153"/>
      <c r="EE260" s="153"/>
      <c r="EF260" s="153"/>
      <c r="EG260" s="153"/>
      <c r="EH260" s="158"/>
      <c r="EI260" s="153"/>
      <c r="EJ260" s="153"/>
      <c r="EK260" s="153"/>
      <c r="EL260" s="153"/>
      <c r="EM260" s="158"/>
      <c r="EN260" s="153"/>
      <c r="EO260" s="153"/>
      <c r="EP260" s="153"/>
      <c r="EQ260" s="153"/>
      <c r="ER260" s="158"/>
      <c r="ES260" s="153"/>
      <c r="ET260" s="153"/>
      <c r="EU260" s="153"/>
      <c r="EV260" s="153"/>
      <c r="EW260" s="158"/>
      <c r="EX260" s="153"/>
      <c r="EY260" s="153"/>
      <c r="EZ260" s="153"/>
      <c r="FA260" s="153"/>
      <c r="FB260" s="158"/>
      <c r="FC260" s="153"/>
      <c r="FD260" s="153"/>
      <c r="FE260" s="153"/>
      <c r="FF260" s="153"/>
      <c r="FG260" s="158"/>
      <c r="FH260" s="153"/>
      <c r="FI260" s="153"/>
      <c r="FJ260" s="153"/>
      <c r="FK260" s="153"/>
      <c r="FL260" s="158"/>
      <c r="FM260" s="153"/>
      <c r="FN260" s="153"/>
      <c r="FO260" s="153"/>
      <c r="FP260" s="153"/>
      <c r="FQ260" s="158"/>
      <c r="FR260" s="153"/>
      <c r="FS260" s="153"/>
      <c r="FT260" s="153"/>
      <c r="FU260" s="153"/>
      <c r="FV260" s="158"/>
      <c r="FW260" s="153"/>
      <c r="FX260" s="153"/>
      <c r="FY260" s="153"/>
      <c r="FZ260" s="153"/>
      <c r="GA260" s="158"/>
      <c r="GB260" s="153"/>
      <c r="GC260" s="153"/>
      <c r="GD260" s="153"/>
      <c r="GE260" s="153"/>
      <c r="GF260" s="158"/>
      <c r="GG260" s="153"/>
      <c r="GH260" s="153"/>
      <c r="GI260" s="153"/>
      <c r="GJ260" s="153"/>
    </row>
    <row r="261" spans="1:192" s="93" customFormat="1" ht="12.75" customHeight="1">
      <c r="A261" s="68"/>
      <c r="B261" s="677"/>
      <c r="C261" s="158"/>
      <c r="D261" s="153"/>
      <c r="E261" s="153"/>
      <c r="F261" s="153"/>
      <c r="G261" s="153"/>
      <c r="H261" s="158"/>
      <c r="I261" s="153"/>
      <c r="J261" s="153"/>
      <c r="K261" s="153"/>
      <c r="L261" s="153"/>
      <c r="M261" s="158"/>
      <c r="N261" s="153"/>
      <c r="O261" s="153"/>
      <c r="P261" s="153"/>
      <c r="Q261" s="153"/>
      <c r="R261" s="158"/>
      <c r="S261" s="153"/>
      <c r="T261" s="153"/>
      <c r="U261" s="153"/>
      <c r="V261" s="153"/>
      <c r="W261" s="158"/>
      <c r="X261" s="153"/>
      <c r="Y261" s="153"/>
      <c r="Z261" s="153"/>
      <c r="AA261" s="153"/>
      <c r="AB261" s="158"/>
      <c r="AC261" s="153"/>
      <c r="AD261" s="153"/>
      <c r="AE261" s="153"/>
      <c r="AF261" s="153"/>
      <c r="AG261" s="158"/>
      <c r="AH261" s="153"/>
      <c r="AI261" s="153"/>
      <c r="AJ261" s="153"/>
      <c r="AK261" s="153"/>
      <c r="AL261" s="158"/>
      <c r="AM261" s="153"/>
      <c r="AN261" s="153"/>
      <c r="AO261" s="153"/>
      <c r="AP261" s="153"/>
      <c r="AQ261" s="158"/>
      <c r="AR261" s="153"/>
      <c r="AS261" s="153"/>
      <c r="AT261" s="153"/>
      <c r="AU261" s="153"/>
      <c r="AV261" s="158"/>
      <c r="AW261" s="153"/>
      <c r="AX261" s="153"/>
      <c r="AY261" s="153"/>
      <c r="AZ261" s="153"/>
      <c r="BA261" s="158"/>
      <c r="BB261" s="153"/>
      <c r="BC261" s="153"/>
      <c r="BD261" s="153"/>
      <c r="BE261" s="153"/>
      <c r="BF261" s="158"/>
      <c r="BG261" s="153"/>
      <c r="BH261" s="153"/>
      <c r="BI261" s="153"/>
      <c r="BJ261" s="153"/>
      <c r="BK261" s="158"/>
      <c r="BL261" s="153"/>
      <c r="BM261" s="153"/>
      <c r="BN261" s="153"/>
      <c r="BO261" s="153"/>
      <c r="BP261" s="158"/>
      <c r="BQ261" s="153"/>
      <c r="BR261" s="153"/>
      <c r="BS261" s="153"/>
      <c r="BT261" s="153"/>
      <c r="BU261" s="158"/>
      <c r="BV261" s="153"/>
      <c r="BW261" s="153"/>
      <c r="BX261" s="153"/>
      <c r="BY261" s="153"/>
      <c r="BZ261" s="158"/>
      <c r="CA261" s="153"/>
      <c r="CB261" s="153"/>
      <c r="CC261" s="153"/>
      <c r="CD261" s="153"/>
      <c r="CE261" s="158"/>
      <c r="CF261" s="153"/>
      <c r="CG261" s="153"/>
      <c r="CH261" s="153"/>
      <c r="CI261" s="153"/>
      <c r="CJ261" s="158"/>
      <c r="CK261" s="153"/>
      <c r="CL261" s="153"/>
      <c r="CM261" s="153"/>
      <c r="CN261" s="153"/>
      <c r="CO261" s="158"/>
      <c r="CP261" s="153"/>
      <c r="CQ261" s="153"/>
      <c r="CR261" s="153"/>
      <c r="CS261" s="153"/>
      <c r="CT261" s="158"/>
      <c r="CU261" s="153"/>
      <c r="CV261" s="153"/>
      <c r="CW261" s="153"/>
      <c r="CX261" s="153"/>
      <c r="CY261" s="158"/>
      <c r="CZ261" s="153"/>
      <c r="DA261" s="153"/>
      <c r="DB261" s="153"/>
      <c r="DC261" s="153"/>
      <c r="DD261" s="158"/>
      <c r="DE261" s="153"/>
      <c r="DF261" s="153"/>
      <c r="DG261" s="153"/>
      <c r="DH261" s="153"/>
      <c r="DI261" s="158"/>
      <c r="DJ261" s="153"/>
      <c r="DK261" s="153"/>
      <c r="DL261" s="153"/>
      <c r="DM261" s="153"/>
      <c r="DN261" s="158"/>
      <c r="DO261" s="153"/>
      <c r="DP261" s="153"/>
      <c r="DQ261" s="153"/>
      <c r="DR261" s="153"/>
      <c r="DS261" s="158"/>
      <c r="DT261" s="153"/>
      <c r="DU261" s="153"/>
      <c r="DV261" s="153"/>
      <c r="DW261" s="153"/>
      <c r="DX261" s="158"/>
      <c r="DY261" s="153"/>
      <c r="DZ261" s="153"/>
      <c r="EA261" s="153"/>
      <c r="EB261" s="153"/>
      <c r="EC261" s="158"/>
      <c r="ED261" s="153"/>
      <c r="EE261" s="153"/>
      <c r="EF261" s="153"/>
      <c r="EG261" s="153"/>
      <c r="EH261" s="158"/>
      <c r="EI261" s="153"/>
      <c r="EJ261" s="153"/>
      <c r="EK261" s="153"/>
      <c r="EL261" s="153"/>
      <c r="EM261" s="158"/>
      <c r="EN261" s="153"/>
      <c r="EO261" s="153"/>
      <c r="EP261" s="153"/>
      <c r="EQ261" s="153"/>
      <c r="ER261" s="158"/>
      <c r="ES261" s="153"/>
      <c r="ET261" s="153"/>
      <c r="EU261" s="153"/>
      <c r="EV261" s="153"/>
      <c r="EW261" s="158"/>
      <c r="EX261" s="153"/>
      <c r="EY261" s="153"/>
      <c r="EZ261" s="153"/>
      <c r="FA261" s="153"/>
      <c r="FB261" s="158"/>
      <c r="FC261" s="153"/>
      <c r="FD261" s="153"/>
      <c r="FE261" s="153"/>
      <c r="FF261" s="153"/>
      <c r="FG261" s="158"/>
      <c r="FH261" s="153"/>
      <c r="FI261" s="153"/>
      <c r="FJ261" s="153"/>
      <c r="FK261" s="153"/>
      <c r="FL261" s="158"/>
      <c r="FM261" s="153"/>
      <c r="FN261" s="153"/>
      <c r="FO261" s="153"/>
      <c r="FP261" s="153"/>
      <c r="FQ261" s="158"/>
      <c r="FR261" s="153"/>
      <c r="FS261" s="153"/>
      <c r="FT261" s="153"/>
      <c r="FU261" s="153"/>
      <c r="FV261" s="158"/>
      <c r="FW261" s="153"/>
      <c r="FX261" s="153"/>
      <c r="FY261" s="153"/>
      <c r="FZ261" s="153"/>
      <c r="GA261" s="158"/>
      <c r="GB261" s="153"/>
      <c r="GC261" s="153"/>
      <c r="GD261" s="153"/>
      <c r="GE261" s="153"/>
      <c r="GF261" s="158"/>
      <c r="GG261" s="153"/>
      <c r="GH261" s="153"/>
      <c r="GI261" s="153"/>
      <c r="GJ261" s="153"/>
    </row>
    <row r="262" spans="1:192" s="93" customFormat="1" ht="12.75" customHeight="1">
      <c r="A262" s="68"/>
      <c r="B262" s="677"/>
      <c r="C262" s="158"/>
      <c r="D262" s="153"/>
      <c r="E262" s="153"/>
      <c r="F262" s="153"/>
      <c r="G262" s="153"/>
      <c r="H262" s="158"/>
      <c r="I262" s="153"/>
      <c r="J262" s="153"/>
      <c r="K262" s="153"/>
      <c r="L262" s="153"/>
      <c r="M262" s="158"/>
      <c r="N262" s="153"/>
      <c r="O262" s="153"/>
      <c r="P262" s="153"/>
      <c r="Q262" s="153"/>
      <c r="R262" s="158"/>
      <c r="S262" s="153"/>
      <c r="T262" s="153"/>
      <c r="U262" s="153"/>
      <c r="V262" s="153"/>
      <c r="W262" s="158"/>
      <c r="X262" s="153"/>
      <c r="Y262" s="153"/>
      <c r="Z262" s="153"/>
      <c r="AA262" s="153"/>
      <c r="AB262" s="158"/>
      <c r="AC262" s="153"/>
      <c r="AD262" s="153"/>
      <c r="AE262" s="153"/>
      <c r="AF262" s="153"/>
      <c r="AG262" s="158"/>
      <c r="AH262" s="153"/>
      <c r="AI262" s="153"/>
      <c r="AJ262" s="153"/>
      <c r="AK262" s="153"/>
      <c r="AL262" s="158"/>
      <c r="AM262" s="153"/>
      <c r="AN262" s="153"/>
      <c r="AO262" s="153"/>
      <c r="AP262" s="153"/>
      <c r="AQ262" s="158"/>
      <c r="AR262" s="153"/>
      <c r="AS262" s="153"/>
      <c r="AT262" s="153"/>
      <c r="AU262" s="153"/>
      <c r="AV262" s="158"/>
      <c r="AW262" s="153"/>
      <c r="AX262" s="153"/>
      <c r="AY262" s="153"/>
      <c r="AZ262" s="153"/>
      <c r="BA262" s="158"/>
      <c r="BB262" s="153"/>
      <c r="BC262" s="153"/>
      <c r="BD262" s="153"/>
      <c r="BE262" s="153"/>
      <c r="BF262" s="158"/>
      <c r="BG262" s="153"/>
      <c r="BH262" s="153"/>
      <c r="BI262" s="153"/>
      <c r="BJ262" s="153"/>
      <c r="BK262" s="158"/>
      <c r="BL262" s="153"/>
      <c r="BM262" s="153"/>
      <c r="BN262" s="153"/>
      <c r="BO262" s="153"/>
      <c r="BP262" s="158"/>
      <c r="BQ262" s="153"/>
      <c r="BR262" s="153"/>
      <c r="BS262" s="153"/>
      <c r="BT262" s="153"/>
      <c r="BU262" s="158"/>
      <c r="BV262" s="153"/>
      <c r="BW262" s="153"/>
      <c r="BX262" s="153"/>
      <c r="BY262" s="153"/>
      <c r="BZ262" s="158"/>
      <c r="CA262" s="153"/>
      <c r="CB262" s="153"/>
      <c r="CC262" s="153"/>
      <c r="CD262" s="153"/>
      <c r="CE262" s="158"/>
      <c r="CF262" s="153"/>
      <c r="CG262" s="153"/>
      <c r="CH262" s="153"/>
      <c r="CI262" s="153"/>
      <c r="CJ262" s="158"/>
      <c r="CK262" s="153"/>
      <c r="CL262" s="153"/>
      <c r="CM262" s="153"/>
      <c r="CN262" s="153"/>
      <c r="CO262" s="158"/>
      <c r="CP262" s="153"/>
      <c r="CQ262" s="153"/>
      <c r="CR262" s="153"/>
      <c r="CS262" s="153"/>
      <c r="CT262" s="158"/>
      <c r="CU262" s="153"/>
      <c r="CV262" s="153"/>
      <c r="CW262" s="153"/>
      <c r="CX262" s="153"/>
      <c r="CY262" s="158"/>
      <c r="CZ262" s="153"/>
      <c r="DA262" s="153"/>
      <c r="DB262" s="153"/>
      <c r="DC262" s="153"/>
      <c r="DD262" s="158"/>
      <c r="DE262" s="153"/>
      <c r="DF262" s="153"/>
      <c r="DG262" s="153"/>
      <c r="DH262" s="153"/>
      <c r="DI262" s="158"/>
      <c r="DJ262" s="153"/>
      <c r="DK262" s="153"/>
      <c r="DL262" s="153"/>
      <c r="DM262" s="153"/>
      <c r="DN262" s="158"/>
      <c r="DO262" s="153"/>
      <c r="DP262" s="153"/>
      <c r="DQ262" s="153"/>
      <c r="DR262" s="153"/>
      <c r="DS262" s="158"/>
      <c r="DT262" s="153"/>
      <c r="DU262" s="153"/>
      <c r="DV262" s="153"/>
      <c r="DW262" s="153"/>
      <c r="DX262" s="158"/>
      <c r="DY262" s="153"/>
      <c r="DZ262" s="153"/>
      <c r="EA262" s="153"/>
      <c r="EB262" s="153"/>
      <c r="EC262" s="158"/>
      <c r="ED262" s="153"/>
      <c r="EE262" s="153"/>
      <c r="EF262" s="153"/>
      <c r="EG262" s="153"/>
      <c r="EH262" s="158"/>
      <c r="EI262" s="153"/>
      <c r="EJ262" s="153"/>
      <c r="EK262" s="153"/>
      <c r="EL262" s="153"/>
      <c r="EM262" s="158"/>
      <c r="EN262" s="153"/>
      <c r="EO262" s="153"/>
      <c r="EP262" s="153"/>
      <c r="EQ262" s="153"/>
      <c r="ER262" s="158"/>
      <c r="ES262" s="153"/>
      <c r="ET262" s="153"/>
      <c r="EU262" s="153"/>
      <c r="EV262" s="153"/>
      <c r="EW262" s="158"/>
      <c r="EX262" s="153"/>
      <c r="EY262" s="153"/>
      <c r="EZ262" s="153"/>
      <c r="FA262" s="153"/>
      <c r="FB262" s="158"/>
      <c r="FC262" s="153"/>
      <c r="FD262" s="153"/>
      <c r="FE262" s="153"/>
      <c r="FF262" s="153"/>
      <c r="FG262" s="158"/>
      <c r="FH262" s="153"/>
      <c r="FI262" s="153"/>
      <c r="FJ262" s="153"/>
      <c r="FK262" s="153"/>
      <c r="FL262" s="158"/>
      <c r="FM262" s="153"/>
      <c r="FN262" s="153"/>
      <c r="FO262" s="153"/>
      <c r="FP262" s="153"/>
      <c r="FQ262" s="158"/>
      <c r="FR262" s="153"/>
      <c r="FS262" s="153"/>
      <c r="FT262" s="153"/>
      <c r="FU262" s="153"/>
      <c r="FV262" s="158"/>
      <c r="FW262" s="153"/>
      <c r="FX262" s="153"/>
      <c r="FY262" s="153"/>
      <c r="FZ262" s="153"/>
      <c r="GA262" s="158"/>
      <c r="GB262" s="153"/>
      <c r="GC262" s="153"/>
      <c r="GD262" s="153"/>
      <c r="GE262" s="153"/>
      <c r="GF262" s="158"/>
      <c r="GG262" s="153"/>
      <c r="GH262" s="153"/>
      <c r="GI262" s="153"/>
      <c r="GJ262" s="153"/>
    </row>
    <row r="264" spans="1:192" s="93" customFormat="1" ht="12.75" customHeight="1">
      <c r="A264" s="68"/>
      <c r="B264" s="677"/>
      <c r="C264" s="173"/>
      <c r="D264" s="173"/>
      <c r="E264" s="173"/>
      <c r="F264" s="173"/>
      <c r="G264" s="173"/>
      <c r="H264" s="173"/>
      <c r="I264" s="173"/>
      <c r="J264" s="173"/>
      <c r="K264" s="173"/>
      <c r="L264" s="173"/>
      <c r="M264" s="173"/>
      <c r="N264" s="173"/>
      <c r="O264" s="173"/>
      <c r="P264" s="173"/>
      <c r="Q264" s="173"/>
      <c r="R264" s="173"/>
      <c r="S264" s="173"/>
      <c r="T264" s="173"/>
      <c r="U264" s="173"/>
      <c r="V264" s="173"/>
      <c r="W264" s="173"/>
      <c r="X264" s="173"/>
      <c r="Y264" s="173"/>
      <c r="Z264" s="173"/>
      <c r="AA264" s="173"/>
      <c r="AB264" s="173"/>
      <c r="AC264" s="173"/>
      <c r="AD264" s="173"/>
      <c r="AE264" s="173"/>
      <c r="AF264" s="173"/>
      <c r="AG264" s="173"/>
      <c r="AH264" s="173"/>
      <c r="AI264" s="173"/>
      <c r="AJ264" s="173"/>
      <c r="AK264" s="173"/>
      <c r="AL264" s="173"/>
      <c r="AM264" s="173"/>
      <c r="AN264" s="173"/>
      <c r="AO264" s="173"/>
      <c r="AP264" s="173"/>
      <c r="AQ264" s="173"/>
      <c r="AR264" s="173"/>
      <c r="AS264" s="173"/>
      <c r="AT264" s="173"/>
      <c r="AU264" s="173"/>
      <c r="AV264" s="173"/>
      <c r="AW264" s="173"/>
      <c r="AX264" s="173"/>
      <c r="AY264" s="173"/>
      <c r="AZ264" s="173"/>
      <c r="BA264" s="173"/>
      <c r="BB264" s="173"/>
      <c r="BC264" s="173"/>
      <c r="BD264" s="173"/>
      <c r="BE264" s="173"/>
      <c r="BF264" s="173"/>
      <c r="BG264" s="173"/>
      <c r="BH264" s="173"/>
      <c r="BI264" s="173"/>
      <c r="BJ264" s="173"/>
      <c r="BK264" s="173"/>
      <c r="BL264" s="173"/>
      <c r="BM264" s="173"/>
      <c r="BN264" s="173"/>
      <c r="BO264" s="173"/>
      <c r="BP264" s="173"/>
      <c r="BQ264" s="173"/>
      <c r="BR264" s="173"/>
      <c r="BS264" s="173"/>
      <c r="BT264" s="173"/>
      <c r="BU264" s="173"/>
      <c r="BV264" s="173"/>
      <c r="BW264" s="173"/>
      <c r="BX264" s="173"/>
      <c r="BY264" s="173"/>
      <c r="BZ264" s="173"/>
      <c r="CA264" s="173"/>
      <c r="CB264" s="173"/>
      <c r="CC264" s="173"/>
      <c r="CD264" s="173"/>
      <c r="CE264" s="173"/>
      <c r="CF264" s="173"/>
      <c r="CG264" s="173"/>
      <c r="CH264" s="173"/>
      <c r="CI264" s="173"/>
      <c r="CJ264" s="173"/>
      <c r="CK264" s="173"/>
      <c r="CL264" s="173"/>
      <c r="CM264" s="173"/>
      <c r="CN264" s="173"/>
      <c r="CO264" s="173"/>
      <c r="CP264" s="173"/>
      <c r="CQ264" s="173"/>
      <c r="CR264" s="173"/>
      <c r="CS264" s="173"/>
      <c r="CT264" s="173"/>
      <c r="CU264" s="173"/>
      <c r="CV264" s="173"/>
      <c r="CW264" s="173"/>
      <c r="CX264" s="173"/>
      <c r="CY264" s="173"/>
      <c r="CZ264" s="173"/>
      <c r="DA264" s="173"/>
      <c r="DB264" s="173"/>
      <c r="DC264" s="173"/>
      <c r="DD264" s="173"/>
      <c r="DE264" s="173"/>
      <c r="DF264" s="173"/>
      <c r="DG264" s="173"/>
      <c r="DH264" s="173"/>
      <c r="DI264" s="173"/>
      <c r="DJ264" s="173"/>
      <c r="DK264" s="173"/>
      <c r="DL264" s="173"/>
      <c r="DM264" s="173"/>
      <c r="DN264" s="173"/>
      <c r="DO264" s="173"/>
      <c r="DP264" s="173"/>
      <c r="DQ264" s="173"/>
      <c r="DR264" s="173"/>
      <c r="DS264" s="173"/>
      <c r="DT264" s="173"/>
      <c r="DU264" s="173"/>
      <c r="DV264" s="173"/>
      <c r="DW264" s="173"/>
      <c r="DX264" s="173"/>
      <c r="DY264" s="173"/>
      <c r="DZ264" s="173"/>
      <c r="EA264" s="173"/>
      <c r="EB264" s="173"/>
      <c r="EC264" s="173"/>
      <c r="ED264" s="173"/>
      <c r="EE264" s="173"/>
      <c r="EF264" s="173"/>
      <c r="EG264" s="173"/>
      <c r="EH264" s="173"/>
      <c r="EI264" s="173"/>
      <c r="EJ264" s="173"/>
      <c r="EK264" s="173"/>
      <c r="EL264" s="173"/>
      <c r="EM264" s="173"/>
      <c r="EN264" s="173"/>
      <c r="EO264" s="173"/>
      <c r="EP264" s="173"/>
      <c r="EQ264" s="173"/>
      <c r="ER264" s="173"/>
      <c r="ES264" s="173"/>
      <c r="ET264" s="173"/>
      <c r="EU264" s="173"/>
      <c r="EV264" s="173"/>
      <c r="EW264" s="173"/>
      <c r="EX264" s="173"/>
      <c r="EY264" s="173"/>
      <c r="EZ264" s="173"/>
      <c r="FA264" s="173"/>
      <c r="FB264" s="173"/>
      <c r="FC264" s="173"/>
      <c r="FD264" s="173"/>
      <c r="FE264" s="173"/>
      <c r="FF264" s="173"/>
      <c r="FG264" s="173"/>
      <c r="FH264" s="173"/>
      <c r="FI264" s="173"/>
      <c r="FJ264" s="173"/>
      <c r="FK264" s="173"/>
      <c r="FL264" s="173"/>
      <c r="FM264" s="173"/>
      <c r="FN264" s="173"/>
      <c r="FO264" s="173"/>
      <c r="FP264" s="173"/>
      <c r="FQ264" s="173"/>
      <c r="FR264" s="173"/>
      <c r="FS264" s="173"/>
      <c r="FT264" s="173"/>
      <c r="FU264" s="173"/>
      <c r="FV264" s="173"/>
      <c r="FW264" s="173"/>
      <c r="FX264" s="173"/>
      <c r="FY264" s="173"/>
      <c r="FZ264" s="173"/>
      <c r="GA264" s="173"/>
      <c r="GB264" s="173"/>
      <c r="GC264" s="173"/>
      <c r="GD264" s="173"/>
      <c r="GE264" s="173"/>
      <c r="GF264" s="173"/>
      <c r="GG264" s="173"/>
      <c r="GH264" s="173"/>
      <c r="GI264" s="173"/>
      <c r="GJ264" s="173"/>
    </row>
    <row r="265" spans="1:192" s="93" customFormat="1" ht="12.75" customHeight="1">
      <c r="A265" s="68"/>
      <c r="B265" s="677"/>
      <c r="C265" s="169"/>
      <c r="D265" s="169"/>
      <c r="E265" s="169"/>
      <c r="F265" s="169"/>
      <c r="G265" s="169"/>
      <c r="H265" s="169"/>
      <c r="I265" s="169"/>
      <c r="J265" s="169"/>
      <c r="K265" s="169"/>
      <c r="L265" s="169"/>
      <c r="M265" s="169"/>
      <c r="N265" s="169"/>
      <c r="O265" s="169"/>
      <c r="P265" s="169"/>
      <c r="Q265" s="169"/>
      <c r="R265" s="169"/>
      <c r="S265" s="169"/>
      <c r="T265" s="169"/>
      <c r="U265" s="169"/>
      <c r="V265" s="169"/>
      <c r="W265" s="169"/>
      <c r="X265" s="169"/>
      <c r="Y265" s="169"/>
      <c r="Z265" s="169"/>
      <c r="AA265" s="169"/>
      <c r="AB265" s="169"/>
      <c r="AC265" s="169"/>
      <c r="AD265" s="169"/>
      <c r="AE265" s="169"/>
      <c r="AF265" s="169"/>
      <c r="AG265" s="169"/>
      <c r="AH265" s="169"/>
      <c r="AI265" s="169"/>
      <c r="AJ265" s="169"/>
      <c r="AK265" s="169"/>
      <c r="AL265" s="169"/>
      <c r="AM265" s="169"/>
      <c r="AN265" s="169"/>
      <c r="AO265" s="169"/>
      <c r="AP265" s="169"/>
      <c r="AQ265" s="169"/>
      <c r="AR265" s="169"/>
      <c r="AS265" s="169"/>
      <c r="AT265" s="169"/>
      <c r="AU265" s="169"/>
      <c r="AV265" s="169"/>
      <c r="AW265" s="169"/>
      <c r="AX265" s="169"/>
      <c r="AY265" s="169"/>
      <c r="AZ265" s="169"/>
      <c r="BA265" s="169"/>
      <c r="BB265" s="169"/>
      <c r="BC265" s="169"/>
      <c r="BD265" s="169"/>
      <c r="BE265" s="169"/>
      <c r="BF265" s="169"/>
      <c r="BG265" s="169"/>
      <c r="BH265" s="169"/>
      <c r="BI265" s="169"/>
      <c r="BJ265" s="169"/>
      <c r="BK265" s="169"/>
      <c r="BL265" s="169"/>
      <c r="BM265" s="169"/>
      <c r="BN265" s="169"/>
      <c r="BO265" s="169"/>
      <c r="BP265" s="169"/>
      <c r="BQ265" s="169"/>
      <c r="BR265" s="169"/>
      <c r="BS265" s="169"/>
      <c r="BT265" s="169"/>
      <c r="BU265" s="169"/>
      <c r="BV265" s="169"/>
      <c r="BW265" s="169"/>
      <c r="BX265" s="169"/>
      <c r="BY265" s="169"/>
      <c r="BZ265" s="169"/>
      <c r="CA265" s="169"/>
      <c r="CB265" s="169"/>
      <c r="CC265" s="169"/>
      <c r="CD265" s="169"/>
      <c r="CE265" s="169"/>
      <c r="CF265" s="169"/>
      <c r="CG265" s="169"/>
      <c r="CH265" s="169"/>
      <c r="CI265" s="169"/>
      <c r="CJ265" s="169"/>
      <c r="CK265" s="169"/>
      <c r="CL265" s="169"/>
      <c r="CM265" s="169"/>
      <c r="CN265" s="169"/>
      <c r="CO265" s="169"/>
      <c r="CP265" s="169"/>
      <c r="CQ265" s="169"/>
      <c r="CR265" s="169"/>
      <c r="CS265" s="169"/>
      <c r="CT265" s="169"/>
      <c r="CU265" s="169"/>
      <c r="CV265" s="169"/>
      <c r="CW265" s="169"/>
      <c r="CX265" s="169"/>
      <c r="CY265" s="169"/>
      <c r="CZ265" s="169"/>
      <c r="DA265" s="169"/>
      <c r="DB265" s="169"/>
      <c r="DC265" s="169"/>
      <c r="DD265" s="169"/>
      <c r="DE265" s="169"/>
      <c r="DF265" s="169"/>
      <c r="DG265" s="169"/>
      <c r="DH265" s="169"/>
      <c r="DI265" s="169"/>
      <c r="DJ265" s="169"/>
      <c r="DK265" s="169"/>
      <c r="DL265" s="169"/>
      <c r="DM265" s="169"/>
      <c r="DN265" s="169"/>
      <c r="DO265" s="169"/>
      <c r="DP265" s="169"/>
      <c r="DQ265" s="169"/>
      <c r="DR265" s="169"/>
      <c r="DS265" s="169"/>
      <c r="DT265" s="169"/>
      <c r="DU265" s="169"/>
      <c r="DV265" s="169"/>
      <c r="DW265" s="169"/>
      <c r="DX265" s="169"/>
      <c r="DY265" s="169"/>
      <c r="DZ265" s="169"/>
      <c r="EA265" s="169"/>
      <c r="EB265" s="169"/>
      <c r="EC265" s="169"/>
      <c r="ED265" s="169"/>
      <c r="EE265" s="169"/>
      <c r="EF265" s="169"/>
      <c r="EG265" s="169"/>
      <c r="EH265" s="169"/>
      <c r="EI265" s="169"/>
      <c r="EJ265" s="169"/>
      <c r="EK265" s="169"/>
      <c r="EL265" s="169"/>
      <c r="EM265" s="169"/>
      <c r="EN265" s="169"/>
      <c r="EO265" s="169"/>
      <c r="EP265" s="169"/>
      <c r="EQ265" s="169"/>
      <c r="ER265" s="169"/>
      <c r="ES265" s="169"/>
      <c r="ET265" s="169"/>
      <c r="EU265" s="169"/>
      <c r="EV265" s="169"/>
      <c r="EW265" s="169"/>
      <c r="EX265" s="169"/>
      <c r="EY265" s="169"/>
      <c r="EZ265" s="169"/>
      <c r="FA265" s="169"/>
      <c r="FB265" s="169"/>
      <c r="FC265" s="169"/>
      <c r="FD265" s="169"/>
      <c r="FE265" s="169"/>
      <c r="FF265" s="169"/>
      <c r="FG265" s="169"/>
      <c r="FH265" s="169"/>
      <c r="FI265" s="169"/>
      <c r="FJ265" s="169"/>
      <c r="FK265" s="169"/>
      <c r="FL265" s="169"/>
      <c r="FM265" s="169"/>
      <c r="FN265" s="169"/>
      <c r="FO265" s="169"/>
      <c r="FP265" s="169"/>
      <c r="FQ265" s="169"/>
      <c r="FR265" s="169"/>
      <c r="FS265" s="169"/>
      <c r="FT265" s="169"/>
      <c r="FU265" s="169"/>
      <c r="FV265" s="169"/>
      <c r="FW265" s="169"/>
      <c r="FX265" s="169"/>
      <c r="FY265" s="169"/>
      <c r="FZ265" s="169"/>
      <c r="GA265" s="169"/>
      <c r="GB265" s="169"/>
      <c r="GC265" s="169"/>
      <c r="GD265" s="169"/>
      <c r="GE265" s="169"/>
      <c r="GF265" s="169"/>
      <c r="GG265" s="169"/>
      <c r="GH265" s="169"/>
      <c r="GI265" s="169"/>
      <c r="GJ265" s="169"/>
    </row>
    <row r="266" spans="1:192" s="93" customFormat="1" ht="12.75" customHeight="1">
      <c r="A266" s="68"/>
      <c r="B266" s="677"/>
      <c r="C266" s="169"/>
      <c r="D266" s="169"/>
      <c r="E266" s="169"/>
      <c r="F266" s="169"/>
      <c r="G266" s="169"/>
      <c r="H266" s="169"/>
      <c r="I266" s="169"/>
      <c r="J266" s="169"/>
      <c r="K266" s="169"/>
      <c r="L266" s="169"/>
      <c r="M266" s="169"/>
      <c r="N266" s="169"/>
      <c r="O266" s="169"/>
      <c r="P266" s="169"/>
      <c r="Q266" s="169"/>
      <c r="R266" s="169"/>
      <c r="S266" s="169"/>
      <c r="T266" s="169"/>
      <c r="U266" s="169"/>
      <c r="V266" s="169"/>
      <c r="W266" s="169"/>
      <c r="X266" s="169"/>
      <c r="Y266" s="169"/>
      <c r="Z266" s="169"/>
      <c r="AA266" s="169"/>
      <c r="AB266" s="169"/>
      <c r="AC266" s="169"/>
      <c r="AD266" s="169"/>
      <c r="AE266" s="169"/>
      <c r="AF266" s="169"/>
      <c r="AG266" s="169"/>
      <c r="AH266" s="169"/>
      <c r="AI266" s="169"/>
      <c r="AJ266" s="169"/>
      <c r="AK266" s="169"/>
      <c r="AL266" s="169"/>
      <c r="AM266" s="169"/>
      <c r="AN266" s="169"/>
      <c r="AO266" s="169"/>
      <c r="AP266" s="169"/>
      <c r="AQ266" s="169"/>
      <c r="AR266" s="169"/>
      <c r="AS266" s="169"/>
      <c r="AT266" s="169"/>
      <c r="AU266" s="169"/>
      <c r="AV266" s="169"/>
      <c r="AW266" s="169"/>
      <c r="AX266" s="169"/>
      <c r="AY266" s="169"/>
      <c r="AZ266" s="169"/>
      <c r="BA266" s="169"/>
      <c r="BB266" s="169"/>
      <c r="BC266" s="169"/>
      <c r="BD266" s="169"/>
      <c r="BE266" s="169"/>
      <c r="BF266" s="169"/>
      <c r="BG266" s="169"/>
      <c r="BH266" s="169"/>
      <c r="BI266" s="169"/>
      <c r="BJ266" s="169"/>
      <c r="BK266" s="169"/>
      <c r="BL266" s="169"/>
      <c r="BM266" s="169"/>
      <c r="BN266" s="169"/>
      <c r="BO266" s="169"/>
      <c r="BP266" s="169"/>
      <c r="BQ266" s="169"/>
      <c r="BR266" s="169"/>
      <c r="BS266" s="169"/>
      <c r="BT266" s="169"/>
      <c r="BU266" s="169"/>
      <c r="BV266" s="169"/>
      <c r="BW266" s="169"/>
      <c r="BX266" s="169"/>
      <c r="BY266" s="169"/>
      <c r="BZ266" s="169"/>
      <c r="CA266" s="169"/>
      <c r="CB266" s="169"/>
      <c r="CC266" s="169"/>
      <c r="CD266" s="169"/>
      <c r="CE266" s="169"/>
      <c r="CF266" s="169"/>
      <c r="CG266" s="169"/>
      <c r="CH266" s="169"/>
      <c r="CI266" s="169"/>
      <c r="CJ266" s="169"/>
      <c r="CK266" s="169"/>
      <c r="CL266" s="169"/>
      <c r="CM266" s="169"/>
      <c r="CN266" s="169"/>
      <c r="CO266" s="169"/>
      <c r="CP266" s="169"/>
      <c r="CQ266" s="169"/>
      <c r="CR266" s="169"/>
      <c r="CS266" s="169"/>
      <c r="CT266" s="169"/>
      <c r="CU266" s="169"/>
      <c r="CV266" s="169"/>
      <c r="CW266" s="169"/>
      <c r="CX266" s="169"/>
      <c r="CY266" s="169"/>
      <c r="CZ266" s="169"/>
      <c r="DA266" s="169"/>
      <c r="DB266" s="169"/>
      <c r="DC266" s="169"/>
      <c r="DD266" s="169"/>
      <c r="DE266" s="169"/>
      <c r="DF266" s="169"/>
      <c r="DG266" s="169"/>
      <c r="DH266" s="169"/>
      <c r="DI266" s="169"/>
      <c r="DJ266" s="169"/>
      <c r="DK266" s="169"/>
      <c r="DL266" s="169"/>
      <c r="DM266" s="169"/>
      <c r="DN266" s="169"/>
      <c r="DO266" s="169"/>
      <c r="DP266" s="169"/>
      <c r="DQ266" s="169"/>
      <c r="DR266" s="169"/>
      <c r="DS266" s="169"/>
      <c r="DT266" s="169"/>
      <c r="DU266" s="169"/>
      <c r="DV266" s="169"/>
      <c r="DW266" s="169"/>
      <c r="DX266" s="169"/>
      <c r="DY266" s="169"/>
      <c r="DZ266" s="169"/>
      <c r="EA266" s="169"/>
      <c r="EB266" s="169"/>
      <c r="EC266" s="169"/>
      <c r="ED266" s="169"/>
      <c r="EE266" s="169"/>
      <c r="EF266" s="169"/>
      <c r="EG266" s="169"/>
      <c r="EH266" s="169"/>
      <c r="EI266" s="169"/>
      <c r="EJ266" s="169"/>
      <c r="EK266" s="169"/>
      <c r="EL266" s="169"/>
      <c r="EM266" s="169"/>
      <c r="EN266" s="169"/>
      <c r="EO266" s="169"/>
      <c r="EP266" s="169"/>
      <c r="EQ266" s="169"/>
      <c r="ER266" s="169"/>
      <c r="ES266" s="169"/>
      <c r="ET266" s="169"/>
      <c r="EU266" s="169"/>
      <c r="EV266" s="169"/>
      <c r="EW266" s="169"/>
      <c r="EX266" s="169"/>
      <c r="EY266" s="169"/>
      <c r="EZ266" s="169"/>
      <c r="FA266" s="169"/>
      <c r="FB266" s="169"/>
      <c r="FC266" s="169"/>
      <c r="FD266" s="169"/>
      <c r="FE266" s="169"/>
      <c r="FF266" s="169"/>
      <c r="FG266" s="169"/>
      <c r="FH266" s="169"/>
      <c r="FI266" s="169"/>
      <c r="FJ266" s="169"/>
      <c r="FK266" s="169"/>
      <c r="FL266" s="169"/>
      <c r="FM266" s="169"/>
      <c r="FN266" s="169"/>
      <c r="FO266" s="169"/>
      <c r="FP266" s="169"/>
      <c r="FQ266" s="169"/>
      <c r="FR266" s="169"/>
      <c r="FS266" s="169"/>
      <c r="FT266" s="169"/>
      <c r="FU266" s="169"/>
      <c r="FV266" s="169"/>
      <c r="FW266" s="169"/>
      <c r="FX266" s="169"/>
      <c r="FY266" s="169"/>
      <c r="FZ266" s="169"/>
      <c r="GA266" s="169"/>
      <c r="GB266" s="169"/>
      <c r="GC266" s="169"/>
      <c r="GD266" s="169"/>
      <c r="GE266" s="169"/>
      <c r="GF266" s="169"/>
      <c r="GG266" s="169"/>
      <c r="GH266" s="169"/>
      <c r="GI266" s="169"/>
      <c r="GJ266" s="169"/>
    </row>
    <row r="268" spans="1:192" s="93" customFormat="1" ht="12.75" customHeight="1">
      <c r="A268" s="68"/>
      <c r="B268" s="677"/>
      <c r="C268" s="174"/>
      <c r="D268" s="175"/>
      <c r="E268" s="175"/>
      <c r="F268" s="175"/>
      <c r="G268" s="175"/>
      <c r="H268" s="174"/>
      <c r="I268" s="175"/>
      <c r="J268" s="175"/>
      <c r="K268" s="175"/>
      <c r="L268" s="175"/>
      <c r="M268" s="174"/>
      <c r="N268" s="175"/>
      <c r="O268" s="175"/>
      <c r="P268" s="175"/>
      <c r="Q268" s="175"/>
      <c r="R268" s="174"/>
      <c r="S268" s="175"/>
      <c r="T268" s="175"/>
      <c r="U268" s="175"/>
      <c r="V268" s="175"/>
      <c r="W268" s="174"/>
      <c r="X268" s="175"/>
      <c r="Y268" s="175"/>
      <c r="Z268" s="175"/>
      <c r="AA268" s="175"/>
      <c r="AB268" s="174"/>
      <c r="AC268" s="175"/>
      <c r="AD268" s="175"/>
      <c r="AE268" s="175"/>
      <c r="AF268" s="175"/>
      <c r="AG268" s="174"/>
      <c r="AH268" s="175"/>
      <c r="AI268" s="175"/>
      <c r="AJ268" s="175"/>
      <c r="AK268" s="175"/>
      <c r="AL268" s="174"/>
      <c r="AM268" s="175"/>
      <c r="AN268" s="175"/>
      <c r="AO268" s="175"/>
      <c r="AP268" s="175"/>
      <c r="AQ268" s="174"/>
      <c r="AR268" s="175"/>
      <c r="AS268" s="175"/>
      <c r="AT268" s="175"/>
      <c r="AU268" s="175"/>
      <c r="AV268" s="174"/>
      <c r="AW268" s="175"/>
      <c r="AX268" s="175"/>
      <c r="AY268" s="175"/>
      <c r="AZ268" s="175"/>
      <c r="BA268" s="174"/>
      <c r="BB268" s="175"/>
      <c r="BC268" s="175"/>
      <c r="BD268" s="175"/>
      <c r="BE268" s="175"/>
      <c r="BF268" s="174"/>
      <c r="BG268" s="175"/>
      <c r="BH268" s="175"/>
      <c r="BI268" s="175"/>
      <c r="BJ268" s="175"/>
      <c r="BK268" s="174"/>
      <c r="BL268" s="175"/>
      <c r="BM268" s="175"/>
      <c r="BN268" s="175"/>
      <c r="BO268" s="175"/>
      <c r="BP268" s="174"/>
      <c r="BQ268" s="175"/>
      <c r="BR268" s="175"/>
      <c r="BS268" s="175"/>
      <c r="BT268" s="175"/>
      <c r="BU268" s="174"/>
      <c r="BV268" s="175"/>
      <c r="BW268" s="175"/>
      <c r="BX268" s="175"/>
      <c r="BY268" s="175"/>
      <c r="BZ268" s="174"/>
      <c r="CA268" s="175"/>
      <c r="CB268" s="175"/>
      <c r="CC268" s="175"/>
      <c r="CD268" s="175"/>
      <c r="CE268" s="174"/>
      <c r="CF268" s="175"/>
      <c r="CG268" s="175"/>
      <c r="CH268" s="175"/>
      <c r="CI268" s="175"/>
      <c r="CJ268" s="174"/>
      <c r="CK268" s="175"/>
      <c r="CL268" s="175"/>
      <c r="CM268" s="175"/>
      <c r="CN268" s="175"/>
      <c r="CO268" s="174"/>
      <c r="CP268" s="175"/>
      <c r="CQ268" s="175"/>
      <c r="CR268" s="175"/>
      <c r="CS268" s="175"/>
      <c r="CT268" s="174"/>
      <c r="CU268" s="175"/>
      <c r="CV268" s="175"/>
      <c r="CW268" s="175"/>
      <c r="CX268" s="175"/>
      <c r="CY268" s="174"/>
      <c r="CZ268" s="175"/>
      <c r="DA268" s="175"/>
      <c r="DB268" s="175"/>
      <c r="DC268" s="175"/>
      <c r="DD268" s="174"/>
      <c r="DE268" s="175"/>
      <c r="DF268" s="175"/>
      <c r="DG268" s="175"/>
      <c r="DH268" s="175"/>
      <c r="DI268" s="174"/>
      <c r="DJ268" s="175"/>
      <c r="DK268" s="175"/>
      <c r="DL268" s="175"/>
      <c r="DM268" s="175"/>
      <c r="DN268" s="174"/>
      <c r="DO268" s="175"/>
      <c r="DP268" s="175"/>
      <c r="DQ268" s="175"/>
      <c r="DR268" s="175"/>
      <c r="DS268" s="174"/>
      <c r="DT268" s="175"/>
      <c r="DU268" s="175"/>
      <c r="DV268" s="175"/>
      <c r="DW268" s="175"/>
      <c r="DX268" s="174"/>
      <c r="DY268" s="175"/>
      <c r="DZ268" s="175"/>
      <c r="EA268" s="175"/>
      <c r="EB268" s="175"/>
      <c r="EC268" s="174"/>
      <c r="ED268" s="175"/>
      <c r="EE268" s="175"/>
      <c r="EF268" s="175"/>
      <c r="EG268" s="175"/>
      <c r="EH268" s="174"/>
      <c r="EI268" s="175"/>
      <c r="EJ268" s="175"/>
      <c r="EK268" s="175"/>
      <c r="EL268" s="175"/>
      <c r="EM268" s="174"/>
      <c r="EN268" s="175"/>
      <c r="EO268" s="175"/>
      <c r="EP268" s="175"/>
      <c r="EQ268" s="175"/>
      <c r="ER268" s="174"/>
      <c r="ES268" s="175"/>
      <c r="ET268" s="175"/>
      <c r="EU268" s="175"/>
      <c r="EV268" s="175"/>
      <c r="EW268" s="174"/>
      <c r="EX268" s="175"/>
      <c r="EY268" s="175"/>
      <c r="EZ268" s="175"/>
      <c r="FA268" s="175"/>
      <c r="FB268" s="174"/>
      <c r="FC268" s="175"/>
      <c r="FD268" s="175"/>
      <c r="FE268" s="175"/>
      <c r="FF268" s="175"/>
      <c r="FG268" s="174"/>
      <c r="FH268" s="175"/>
      <c r="FI268" s="175"/>
      <c r="FJ268" s="175"/>
      <c r="FK268" s="175"/>
      <c r="FL268" s="174"/>
      <c r="FM268" s="175"/>
      <c r="FN268" s="175"/>
      <c r="FO268" s="175"/>
      <c r="FP268" s="175"/>
      <c r="FQ268" s="174"/>
      <c r="FR268" s="175"/>
      <c r="FS268" s="175"/>
      <c r="FT268" s="175"/>
      <c r="FU268" s="175"/>
      <c r="FV268" s="174"/>
      <c r="FW268" s="175"/>
      <c r="FX268" s="175"/>
      <c r="FY268" s="175"/>
      <c r="FZ268" s="175"/>
      <c r="GA268" s="174"/>
      <c r="GB268" s="175"/>
      <c r="GC268" s="175"/>
      <c r="GD268" s="175"/>
      <c r="GE268" s="175"/>
      <c r="GF268" s="174"/>
      <c r="GG268" s="175"/>
      <c r="GH268" s="175"/>
      <c r="GI268" s="175"/>
      <c r="GJ268" s="175"/>
    </row>
    <row r="269" spans="1:192" s="93" customFormat="1" ht="12.75" customHeight="1">
      <c r="A269" s="68"/>
      <c r="B269" s="677"/>
      <c r="C269" s="176"/>
      <c r="D269" s="177"/>
      <c r="E269" s="177"/>
      <c r="F269" s="177"/>
      <c r="G269" s="177"/>
      <c r="H269" s="176"/>
      <c r="I269" s="177"/>
      <c r="J269" s="177"/>
      <c r="K269" s="177"/>
      <c r="L269" s="177"/>
      <c r="M269" s="176"/>
      <c r="N269" s="177"/>
      <c r="O269" s="177"/>
      <c r="P269" s="177"/>
      <c r="Q269" s="177"/>
      <c r="R269" s="176"/>
      <c r="S269" s="177"/>
      <c r="T269" s="177"/>
      <c r="U269" s="177"/>
      <c r="V269" s="177"/>
      <c r="W269" s="176"/>
      <c r="X269" s="177"/>
      <c r="Y269" s="177"/>
      <c r="Z269" s="177"/>
      <c r="AA269" s="177"/>
      <c r="AB269" s="176"/>
      <c r="AC269" s="177"/>
      <c r="AD269" s="177"/>
      <c r="AE269" s="177"/>
      <c r="AF269" s="177"/>
      <c r="AG269" s="176"/>
      <c r="AH269" s="177"/>
      <c r="AI269" s="177"/>
      <c r="AJ269" s="177"/>
      <c r="AK269" s="177"/>
      <c r="AL269" s="176"/>
      <c r="AM269" s="177"/>
      <c r="AN269" s="177"/>
      <c r="AO269" s="177"/>
      <c r="AP269" s="177"/>
      <c r="AQ269" s="176"/>
      <c r="AR269" s="177"/>
      <c r="AS269" s="177"/>
      <c r="AT269" s="177"/>
      <c r="AU269" s="177"/>
      <c r="AV269" s="176"/>
      <c r="AW269" s="177"/>
      <c r="AX269" s="177"/>
      <c r="AY269" s="177"/>
      <c r="AZ269" s="177"/>
      <c r="BA269" s="176"/>
      <c r="BB269" s="177"/>
      <c r="BC269" s="177"/>
      <c r="BD269" s="177"/>
      <c r="BE269" s="177"/>
      <c r="BF269" s="176"/>
      <c r="BG269" s="177"/>
      <c r="BH269" s="177"/>
      <c r="BI269" s="177"/>
      <c r="BJ269" s="177"/>
      <c r="BK269" s="176"/>
      <c r="BL269" s="177"/>
      <c r="BM269" s="177"/>
      <c r="BN269" s="177"/>
      <c r="BO269" s="177"/>
      <c r="BP269" s="176"/>
      <c r="BQ269" s="177"/>
      <c r="BR269" s="177"/>
      <c r="BS269" s="177"/>
      <c r="BT269" s="177"/>
      <c r="BU269" s="176"/>
      <c r="BV269" s="177"/>
      <c r="BW269" s="177"/>
      <c r="BX269" s="177"/>
      <c r="BY269" s="177"/>
      <c r="BZ269" s="176"/>
      <c r="CA269" s="177"/>
      <c r="CB269" s="177"/>
      <c r="CC269" s="177"/>
      <c r="CD269" s="177"/>
      <c r="CE269" s="176"/>
      <c r="CF269" s="177"/>
      <c r="CG269" s="177"/>
      <c r="CH269" s="177"/>
      <c r="CI269" s="177"/>
      <c r="CJ269" s="176"/>
      <c r="CK269" s="177"/>
      <c r="CL269" s="177"/>
      <c r="CM269" s="177"/>
      <c r="CN269" s="177"/>
      <c r="CO269" s="176"/>
      <c r="CP269" s="177"/>
      <c r="CQ269" s="177"/>
      <c r="CR269" s="177"/>
      <c r="CS269" s="177"/>
      <c r="CT269" s="176"/>
      <c r="CU269" s="177"/>
      <c r="CV269" s="177"/>
      <c r="CW269" s="177"/>
      <c r="CX269" s="177"/>
      <c r="CY269" s="176"/>
      <c r="CZ269" s="177"/>
      <c r="DA269" s="177"/>
      <c r="DB269" s="177"/>
      <c r="DC269" s="177"/>
      <c r="DD269" s="176"/>
      <c r="DE269" s="177"/>
      <c r="DF269" s="177"/>
      <c r="DG269" s="177"/>
      <c r="DH269" s="177"/>
      <c r="DI269" s="176"/>
      <c r="DJ269" s="177"/>
      <c r="DK269" s="177"/>
      <c r="DL269" s="177"/>
      <c r="DM269" s="177"/>
      <c r="DN269" s="176"/>
      <c r="DO269" s="177"/>
      <c r="DP269" s="177"/>
      <c r="DQ269" s="177"/>
      <c r="DR269" s="177"/>
      <c r="DS269" s="176"/>
      <c r="DT269" s="177"/>
      <c r="DU269" s="177"/>
      <c r="DV269" s="177"/>
      <c r="DW269" s="177"/>
      <c r="DX269" s="176"/>
      <c r="DY269" s="177"/>
      <c r="DZ269" s="177"/>
      <c r="EA269" s="177"/>
      <c r="EB269" s="177"/>
      <c r="EC269" s="176"/>
      <c r="ED269" s="177"/>
      <c r="EE269" s="177"/>
      <c r="EF269" s="177"/>
      <c r="EG269" s="177"/>
      <c r="EH269" s="176"/>
      <c r="EI269" s="177"/>
      <c r="EJ269" s="177"/>
      <c r="EK269" s="177"/>
      <c r="EL269" s="177"/>
      <c r="EM269" s="176"/>
      <c r="EN269" s="177"/>
      <c r="EO269" s="177"/>
      <c r="EP269" s="177"/>
      <c r="EQ269" s="177"/>
      <c r="ER269" s="176"/>
      <c r="ES269" s="177"/>
      <c r="ET269" s="177"/>
      <c r="EU269" s="177"/>
      <c r="EV269" s="177"/>
      <c r="EW269" s="176"/>
      <c r="EX269" s="177"/>
      <c r="EY269" s="177"/>
      <c r="EZ269" s="177"/>
      <c r="FA269" s="177"/>
      <c r="FB269" s="176"/>
      <c r="FC269" s="177"/>
      <c r="FD269" s="177"/>
      <c r="FE269" s="177"/>
      <c r="FF269" s="177"/>
      <c r="FG269" s="176"/>
      <c r="FH269" s="177"/>
      <c r="FI269" s="177"/>
      <c r="FJ269" s="177"/>
      <c r="FK269" s="177"/>
      <c r="FL269" s="176"/>
      <c r="FM269" s="177"/>
      <c r="FN269" s="177"/>
      <c r="FO269" s="177"/>
      <c r="FP269" s="177"/>
      <c r="FQ269" s="176"/>
      <c r="FR269" s="177"/>
      <c r="FS269" s="177"/>
      <c r="FT269" s="177"/>
      <c r="FU269" s="177"/>
      <c r="FV269" s="176"/>
      <c r="FW269" s="177"/>
      <c r="FX269" s="177"/>
      <c r="FY269" s="177"/>
      <c r="FZ269" s="177"/>
      <c r="GA269" s="176"/>
      <c r="GB269" s="177"/>
      <c r="GC269" s="177"/>
      <c r="GD269" s="177"/>
      <c r="GE269" s="177"/>
      <c r="GF269" s="176"/>
      <c r="GG269" s="177"/>
      <c r="GH269" s="177"/>
      <c r="GI269" s="177"/>
      <c r="GJ269" s="177"/>
    </row>
    <row r="270" spans="1:192" s="93" customFormat="1" ht="12.75" customHeight="1">
      <c r="A270" s="68"/>
      <c r="B270" s="677"/>
      <c r="C270" s="139"/>
      <c r="D270" s="105"/>
      <c r="E270" s="105"/>
      <c r="F270" s="105"/>
      <c r="G270" s="105"/>
      <c r="H270" s="139"/>
      <c r="I270" s="105"/>
      <c r="J270" s="105"/>
      <c r="K270" s="105"/>
      <c r="L270" s="105"/>
      <c r="M270" s="139"/>
      <c r="N270" s="105"/>
      <c r="O270" s="105"/>
      <c r="P270" s="105"/>
      <c r="Q270" s="105"/>
      <c r="R270" s="139"/>
      <c r="S270" s="105"/>
      <c r="T270" s="105"/>
      <c r="U270" s="105"/>
      <c r="V270" s="105"/>
      <c r="W270" s="139"/>
      <c r="X270" s="105"/>
      <c r="Y270" s="105"/>
      <c r="Z270" s="105"/>
      <c r="AA270" s="105"/>
      <c r="AB270" s="139"/>
      <c r="AC270" s="105"/>
      <c r="AD270" s="105"/>
      <c r="AE270" s="105"/>
      <c r="AF270" s="105"/>
      <c r="AG270" s="139"/>
      <c r="AH270" s="105"/>
      <c r="AI270" s="105"/>
      <c r="AJ270" s="105"/>
      <c r="AK270" s="105"/>
      <c r="AL270" s="139"/>
      <c r="AM270" s="105"/>
      <c r="AN270" s="105"/>
      <c r="AO270" s="105"/>
      <c r="AP270" s="105"/>
      <c r="AQ270" s="139"/>
      <c r="AR270" s="105"/>
      <c r="AS270" s="105"/>
      <c r="AT270" s="105"/>
      <c r="AU270" s="105"/>
      <c r="AV270" s="139"/>
      <c r="AW270" s="105"/>
      <c r="AX270" s="105"/>
      <c r="AY270" s="105"/>
      <c r="AZ270" s="105"/>
      <c r="BA270" s="139"/>
      <c r="BB270" s="105"/>
      <c r="BC270" s="105"/>
      <c r="BD270" s="105"/>
      <c r="BE270" s="105"/>
      <c r="BF270" s="139"/>
      <c r="BG270" s="105"/>
      <c r="BH270" s="105"/>
      <c r="BI270" s="105"/>
      <c r="BJ270" s="105"/>
      <c r="BK270" s="139"/>
      <c r="BL270" s="105"/>
      <c r="BM270" s="105"/>
      <c r="BN270" s="105"/>
      <c r="BO270" s="105"/>
      <c r="BP270" s="139"/>
      <c r="BQ270" s="105"/>
      <c r="BR270" s="105"/>
      <c r="BS270" s="105"/>
      <c r="BT270" s="105"/>
      <c r="BU270" s="139"/>
      <c r="BV270" s="105"/>
      <c r="BW270" s="105"/>
      <c r="BX270" s="105"/>
      <c r="BY270" s="105"/>
      <c r="BZ270" s="139"/>
      <c r="CA270" s="105"/>
      <c r="CB270" s="105"/>
      <c r="CC270" s="105"/>
      <c r="CD270" s="105"/>
      <c r="CE270" s="139"/>
      <c r="CF270" s="105"/>
      <c r="CG270" s="105"/>
      <c r="CH270" s="105"/>
      <c r="CI270" s="105"/>
      <c r="CJ270" s="139"/>
      <c r="CK270" s="105"/>
      <c r="CL270" s="105"/>
      <c r="CM270" s="105"/>
      <c r="CN270" s="105"/>
      <c r="CO270" s="139"/>
      <c r="CP270" s="105"/>
      <c r="CQ270" s="105"/>
      <c r="CR270" s="105"/>
      <c r="CS270" s="105"/>
      <c r="CT270" s="139"/>
      <c r="CU270" s="105"/>
      <c r="CV270" s="105"/>
      <c r="CW270" s="105"/>
      <c r="CX270" s="105"/>
      <c r="CY270" s="139"/>
      <c r="CZ270" s="105"/>
      <c r="DA270" s="105"/>
      <c r="DB270" s="105"/>
      <c r="DC270" s="105"/>
      <c r="DD270" s="139"/>
      <c r="DE270" s="105"/>
      <c r="DF270" s="105"/>
      <c r="DG270" s="105"/>
      <c r="DH270" s="105"/>
      <c r="DI270" s="139"/>
      <c r="DJ270" s="105"/>
      <c r="DK270" s="105"/>
      <c r="DL270" s="105"/>
      <c r="DM270" s="105"/>
      <c r="DN270" s="139"/>
      <c r="DO270" s="105"/>
      <c r="DP270" s="105"/>
      <c r="DQ270" s="105"/>
      <c r="DR270" s="105"/>
      <c r="DS270" s="139"/>
      <c r="DT270" s="105"/>
      <c r="DU270" s="105"/>
      <c r="DV270" s="105"/>
      <c r="DW270" s="105"/>
      <c r="DX270" s="139"/>
      <c r="DY270" s="105"/>
      <c r="DZ270" s="105"/>
      <c r="EA270" s="105"/>
      <c r="EB270" s="105"/>
      <c r="EC270" s="139"/>
      <c r="ED270" s="105"/>
      <c r="EE270" s="105"/>
      <c r="EF270" s="105"/>
      <c r="EG270" s="105"/>
      <c r="EH270" s="139"/>
      <c r="EI270" s="105"/>
      <c r="EJ270" s="105"/>
      <c r="EK270" s="105"/>
      <c r="EL270" s="105"/>
      <c r="EM270" s="139"/>
      <c r="EN270" s="105"/>
      <c r="EO270" s="105"/>
      <c r="EP270" s="105"/>
      <c r="EQ270" s="105"/>
      <c r="ER270" s="139"/>
      <c r="ES270" s="105"/>
      <c r="ET270" s="105"/>
      <c r="EU270" s="105"/>
      <c r="EV270" s="105"/>
      <c r="EW270" s="139"/>
      <c r="EX270" s="105"/>
      <c r="EY270" s="105"/>
      <c r="EZ270" s="105"/>
      <c r="FA270" s="105"/>
      <c r="FB270" s="139"/>
      <c r="FC270" s="105"/>
      <c r="FD270" s="105"/>
      <c r="FE270" s="105"/>
      <c r="FF270" s="105"/>
      <c r="FG270" s="139"/>
      <c r="FH270" s="105"/>
      <c r="FI270" s="105"/>
      <c r="FJ270" s="105"/>
      <c r="FK270" s="105"/>
      <c r="FL270" s="139"/>
      <c r="FM270" s="105"/>
      <c r="FN270" s="105"/>
      <c r="FO270" s="105"/>
      <c r="FP270" s="105"/>
      <c r="FQ270" s="139"/>
      <c r="FR270" s="105"/>
      <c r="FS270" s="105"/>
      <c r="FT270" s="105"/>
      <c r="FU270" s="105"/>
      <c r="FV270" s="139"/>
      <c r="FW270" s="105"/>
      <c r="FX270" s="105"/>
      <c r="FY270" s="105"/>
      <c r="FZ270" s="105"/>
      <c r="GA270" s="139"/>
      <c r="GB270" s="105"/>
      <c r="GC270" s="105"/>
      <c r="GD270" s="105"/>
      <c r="GE270" s="105"/>
      <c r="GF270" s="139"/>
      <c r="GG270" s="105"/>
      <c r="GH270" s="105"/>
      <c r="GI270" s="105"/>
      <c r="GJ270" s="105"/>
    </row>
    <row r="271" spans="1:192" s="93" customFormat="1" ht="12.75" customHeight="1">
      <c r="A271" s="68"/>
      <c r="B271" s="677"/>
      <c r="C271" s="139"/>
      <c r="D271" s="105"/>
      <c r="E271" s="105"/>
      <c r="F271" s="105"/>
      <c r="G271" s="105"/>
      <c r="H271" s="139"/>
      <c r="I271" s="105"/>
      <c r="J271" s="105"/>
      <c r="K271" s="105"/>
      <c r="L271" s="105"/>
      <c r="M271" s="139"/>
      <c r="N271" s="105"/>
      <c r="O271" s="105"/>
      <c r="P271" s="105"/>
      <c r="Q271" s="105"/>
      <c r="R271" s="139"/>
      <c r="S271" s="105"/>
      <c r="T271" s="105"/>
      <c r="U271" s="105"/>
      <c r="V271" s="105"/>
      <c r="W271" s="139"/>
      <c r="X271" s="105"/>
      <c r="Y271" s="105"/>
      <c r="Z271" s="105"/>
      <c r="AA271" s="105"/>
      <c r="AB271" s="139"/>
      <c r="AC271" s="105"/>
      <c r="AD271" s="105"/>
      <c r="AE271" s="105"/>
      <c r="AF271" s="105"/>
      <c r="AG271" s="139"/>
      <c r="AH271" s="105"/>
      <c r="AI271" s="105"/>
      <c r="AJ271" s="105"/>
      <c r="AK271" s="105"/>
      <c r="AL271" s="139"/>
      <c r="AM271" s="105"/>
      <c r="AN271" s="105"/>
      <c r="AO271" s="105"/>
      <c r="AP271" s="105"/>
      <c r="AQ271" s="139"/>
      <c r="AR271" s="105"/>
      <c r="AS271" s="105"/>
      <c r="AT271" s="105"/>
      <c r="AU271" s="105"/>
      <c r="AV271" s="139"/>
      <c r="AW271" s="105"/>
      <c r="AX271" s="105"/>
      <c r="AY271" s="105"/>
      <c r="AZ271" s="105"/>
      <c r="BA271" s="139"/>
      <c r="BB271" s="105"/>
      <c r="BC271" s="105"/>
      <c r="BD271" s="105"/>
      <c r="BE271" s="105"/>
      <c r="BF271" s="139"/>
      <c r="BG271" s="105"/>
      <c r="BH271" s="105"/>
      <c r="BI271" s="105"/>
      <c r="BJ271" s="105"/>
      <c r="BK271" s="139"/>
      <c r="BL271" s="105"/>
      <c r="BM271" s="105"/>
      <c r="BN271" s="105"/>
      <c r="BO271" s="105"/>
      <c r="BP271" s="139"/>
      <c r="BQ271" s="105"/>
      <c r="BR271" s="105"/>
      <c r="BS271" s="105"/>
      <c r="BT271" s="105"/>
      <c r="BU271" s="139"/>
      <c r="BV271" s="105"/>
      <c r="BW271" s="105"/>
      <c r="BX271" s="105"/>
      <c r="BY271" s="105"/>
      <c r="BZ271" s="139"/>
      <c r="CA271" s="105"/>
      <c r="CB271" s="105"/>
      <c r="CC271" s="105"/>
      <c r="CD271" s="105"/>
      <c r="CE271" s="139"/>
      <c r="CF271" s="105"/>
      <c r="CG271" s="105"/>
      <c r="CH271" s="105"/>
      <c r="CI271" s="105"/>
      <c r="CJ271" s="139"/>
      <c r="CK271" s="105"/>
      <c r="CL271" s="105"/>
      <c r="CM271" s="105"/>
      <c r="CN271" s="105"/>
      <c r="CO271" s="139"/>
      <c r="CP271" s="105"/>
      <c r="CQ271" s="105"/>
      <c r="CR271" s="105"/>
      <c r="CS271" s="105"/>
      <c r="CT271" s="139"/>
      <c r="CU271" s="105"/>
      <c r="CV271" s="105"/>
      <c r="CW271" s="105"/>
      <c r="CX271" s="105"/>
      <c r="CY271" s="139"/>
      <c r="CZ271" s="105"/>
      <c r="DA271" s="105"/>
      <c r="DB271" s="105"/>
      <c r="DC271" s="105"/>
      <c r="DD271" s="139"/>
      <c r="DE271" s="105"/>
      <c r="DF271" s="105"/>
      <c r="DG271" s="105"/>
      <c r="DH271" s="105"/>
      <c r="DI271" s="139"/>
      <c r="DJ271" s="105"/>
      <c r="DK271" s="105"/>
      <c r="DL271" s="105"/>
      <c r="DM271" s="105"/>
      <c r="DN271" s="139"/>
      <c r="DO271" s="105"/>
      <c r="DP271" s="105"/>
      <c r="DQ271" s="105"/>
      <c r="DR271" s="105"/>
      <c r="DS271" s="139"/>
      <c r="DT271" s="105"/>
      <c r="DU271" s="105"/>
      <c r="DV271" s="105"/>
      <c r="DW271" s="105"/>
      <c r="DX271" s="139"/>
      <c r="DY271" s="105"/>
      <c r="DZ271" s="105"/>
      <c r="EA271" s="105"/>
      <c r="EB271" s="105"/>
      <c r="EC271" s="139"/>
      <c r="ED271" s="105"/>
      <c r="EE271" s="105"/>
      <c r="EF271" s="105"/>
      <c r="EG271" s="105"/>
      <c r="EH271" s="139"/>
      <c r="EI271" s="105"/>
      <c r="EJ271" s="105"/>
      <c r="EK271" s="105"/>
      <c r="EL271" s="105"/>
      <c r="EM271" s="139"/>
      <c r="EN271" s="105"/>
      <c r="EO271" s="105"/>
      <c r="EP271" s="105"/>
      <c r="EQ271" s="105"/>
      <c r="ER271" s="139"/>
      <c r="ES271" s="105"/>
      <c r="ET271" s="105"/>
      <c r="EU271" s="105"/>
      <c r="EV271" s="105"/>
      <c r="EW271" s="139"/>
      <c r="EX271" s="105"/>
      <c r="EY271" s="105"/>
      <c r="EZ271" s="105"/>
      <c r="FA271" s="105"/>
      <c r="FB271" s="139"/>
      <c r="FC271" s="105"/>
      <c r="FD271" s="105"/>
      <c r="FE271" s="105"/>
      <c r="FF271" s="105"/>
      <c r="FG271" s="139"/>
      <c r="FH271" s="105"/>
      <c r="FI271" s="105"/>
      <c r="FJ271" s="105"/>
      <c r="FK271" s="105"/>
      <c r="FL271" s="139"/>
      <c r="FM271" s="105"/>
      <c r="FN271" s="105"/>
      <c r="FO271" s="105"/>
      <c r="FP271" s="105"/>
      <c r="FQ271" s="139"/>
      <c r="FR271" s="105"/>
      <c r="FS271" s="105"/>
      <c r="FT271" s="105"/>
      <c r="FU271" s="105"/>
      <c r="FV271" s="139"/>
      <c r="FW271" s="105"/>
      <c r="FX271" s="105"/>
      <c r="FY271" s="105"/>
      <c r="FZ271" s="105"/>
      <c r="GA271" s="139"/>
      <c r="GB271" s="105"/>
      <c r="GC271" s="105"/>
      <c r="GD271" s="105"/>
      <c r="GE271" s="105"/>
      <c r="GF271" s="139"/>
      <c r="GG271" s="105"/>
      <c r="GH271" s="105"/>
      <c r="GI271" s="105"/>
      <c r="GJ271" s="105"/>
    </row>
    <row r="272" spans="1:192" s="93" customFormat="1" ht="12.75" customHeight="1">
      <c r="A272" s="68"/>
      <c r="B272" s="677"/>
      <c r="C272" s="139"/>
      <c r="D272" s="105"/>
      <c r="E272" s="105"/>
      <c r="F272" s="105"/>
      <c r="G272" s="105"/>
      <c r="H272" s="139"/>
      <c r="I272" s="105"/>
      <c r="J272" s="105"/>
      <c r="K272" s="105"/>
      <c r="L272" s="105"/>
      <c r="M272" s="139"/>
      <c r="N272" s="105"/>
      <c r="O272" s="105"/>
      <c r="P272" s="105"/>
      <c r="Q272" s="105"/>
      <c r="R272" s="139"/>
      <c r="S272" s="105"/>
      <c r="T272" s="105"/>
      <c r="U272" s="105"/>
      <c r="V272" s="105"/>
      <c r="W272" s="139"/>
      <c r="X272" s="105"/>
      <c r="Y272" s="105"/>
      <c r="Z272" s="105"/>
      <c r="AA272" s="105"/>
      <c r="AB272" s="139"/>
      <c r="AC272" s="105"/>
      <c r="AD272" s="105"/>
      <c r="AE272" s="105"/>
      <c r="AF272" s="105"/>
      <c r="AG272" s="139"/>
      <c r="AH272" s="105"/>
      <c r="AI272" s="105"/>
      <c r="AJ272" s="105"/>
      <c r="AK272" s="105"/>
      <c r="AL272" s="139"/>
      <c r="AM272" s="105"/>
      <c r="AN272" s="105"/>
      <c r="AO272" s="105"/>
      <c r="AP272" s="105"/>
      <c r="AQ272" s="139"/>
      <c r="AR272" s="105"/>
      <c r="AS272" s="105"/>
      <c r="AT272" s="105"/>
      <c r="AU272" s="105"/>
      <c r="AV272" s="139"/>
      <c r="AW272" s="105"/>
      <c r="AX272" s="105"/>
      <c r="AY272" s="105"/>
      <c r="AZ272" s="105"/>
      <c r="BA272" s="139"/>
      <c r="BB272" s="105"/>
      <c r="BC272" s="105"/>
      <c r="BD272" s="105"/>
      <c r="BE272" s="105"/>
      <c r="BF272" s="139"/>
      <c r="BG272" s="105"/>
      <c r="BH272" s="105"/>
      <c r="BI272" s="105"/>
      <c r="BJ272" s="105"/>
      <c r="BK272" s="139"/>
      <c r="BL272" s="105"/>
      <c r="BM272" s="105"/>
      <c r="BN272" s="105"/>
      <c r="BO272" s="105"/>
      <c r="BP272" s="139"/>
      <c r="BQ272" s="105"/>
      <c r="BR272" s="105"/>
      <c r="BS272" s="105"/>
      <c r="BT272" s="105"/>
      <c r="BU272" s="139"/>
      <c r="BV272" s="105"/>
      <c r="BW272" s="105"/>
      <c r="BX272" s="105"/>
      <c r="BY272" s="105"/>
      <c r="BZ272" s="139"/>
      <c r="CA272" s="105"/>
      <c r="CB272" s="105"/>
      <c r="CC272" s="105"/>
      <c r="CD272" s="105"/>
      <c r="CE272" s="139"/>
      <c r="CF272" s="105"/>
      <c r="CG272" s="105"/>
      <c r="CH272" s="105"/>
      <c r="CI272" s="105"/>
      <c r="CJ272" s="139"/>
      <c r="CK272" s="105"/>
      <c r="CL272" s="105"/>
      <c r="CM272" s="105"/>
      <c r="CN272" s="105"/>
      <c r="CO272" s="139"/>
      <c r="CP272" s="105"/>
      <c r="CQ272" s="105"/>
      <c r="CR272" s="105"/>
      <c r="CS272" s="105"/>
      <c r="CT272" s="139"/>
      <c r="CU272" s="105"/>
      <c r="CV272" s="105"/>
      <c r="CW272" s="105"/>
      <c r="CX272" s="105"/>
      <c r="CY272" s="139"/>
      <c r="CZ272" s="105"/>
      <c r="DA272" s="105"/>
      <c r="DB272" s="105"/>
      <c r="DC272" s="105"/>
      <c r="DD272" s="139"/>
      <c r="DE272" s="105"/>
      <c r="DF272" s="105"/>
      <c r="DG272" s="105"/>
      <c r="DH272" s="105"/>
      <c r="DI272" s="139"/>
      <c r="DJ272" s="105"/>
      <c r="DK272" s="105"/>
      <c r="DL272" s="105"/>
      <c r="DM272" s="105"/>
      <c r="DN272" s="139"/>
      <c r="DO272" s="105"/>
      <c r="DP272" s="105"/>
      <c r="DQ272" s="105"/>
      <c r="DR272" s="105"/>
      <c r="DS272" s="139"/>
      <c r="DT272" s="105"/>
      <c r="DU272" s="105"/>
      <c r="DV272" s="105"/>
      <c r="DW272" s="105"/>
      <c r="DX272" s="139"/>
      <c r="DY272" s="105"/>
      <c r="DZ272" s="105"/>
      <c r="EA272" s="105"/>
      <c r="EB272" s="105"/>
      <c r="EC272" s="139"/>
      <c r="ED272" s="105"/>
      <c r="EE272" s="105"/>
      <c r="EF272" s="105"/>
      <c r="EG272" s="105"/>
      <c r="EH272" s="139"/>
      <c r="EI272" s="105"/>
      <c r="EJ272" s="105"/>
      <c r="EK272" s="105"/>
      <c r="EL272" s="105"/>
      <c r="EM272" s="139"/>
      <c r="EN272" s="105"/>
      <c r="EO272" s="105"/>
      <c r="EP272" s="105"/>
      <c r="EQ272" s="105"/>
      <c r="ER272" s="139"/>
      <c r="ES272" s="105"/>
      <c r="ET272" s="105"/>
      <c r="EU272" s="105"/>
      <c r="EV272" s="105"/>
      <c r="EW272" s="139"/>
      <c r="EX272" s="105"/>
      <c r="EY272" s="105"/>
      <c r="EZ272" s="105"/>
      <c r="FA272" s="105"/>
      <c r="FB272" s="139"/>
      <c r="FC272" s="105"/>
      <c r="FD272" s="105"/>
      <c r="FE272" s="105"/>
      <c r="FF272" s="105"/>
      <c r="FG272" s="139"/>
      <c r="FH272" s="105"/>
      <c r="FI272" s="105"/>
      <c r="FJ272" s="105"/>
      <c r="FK272" s="105"/>
      <c r="FL272" s="139"/>
      <c r="FM272" s="105"/>
      <c r="FN272" s="105"/>
      <c r="FO272" s="105"/>
      <c r="FP272" s="105"/>
      <c r="FQ272" s="139"/>
      <c r="FR272" s="105"/>
      <c r="FS272" s="105"/>
      <c r="FT272" s="105"/>
      <c r="FU272" s="105"/>
      <c r="FV272" s="139"/>
      <c r="FW272" s="105"/>
      <c r="FX272" s="105"/>
      <c r="FY272" s="105"/>
      <c r="FZ272" s="105"/>
      <c r="GA272" s="139"/>
      <c r="GB272" s="105"/>
      <c r="GC272" s="105"/>
      <c r="GD272" s="105"/>
      <c r="GE272" s="105"/>
      <c r="GF272" s="139"/>
      <c r="GG272" s="105"/>
      <c r="GH272" s="105"/>
      <c r="GI272" s="105"/>
      <c r="GJ272" s="105"/>
    </row>
    <row r="273" spans="1:192" s="93" customFormat="1" ht="12.75" customHeight="1">
      <c r="A273" s="68"/>
      <c r="B273" s="677"/>
      <c r="C273" s="176"/>
      <c r="D273" s="177"/>
      <c r="E273" s="177"/>
      <c r="F273" s="177"/>
      <c r="G273" s="177"/>
      <c r="H273" s="176"/>
      <c r="I273" s="177"/>
      <c r="J273" s="177"/>
      <c r="K273" s="177"/>
      <c r="L273" s="177"/>
      <c r="M273" s="176"/>
      <c r="N273" s="177"/>
      <c r="O273" s="177"/>
      <c r="P273" s="177"/>
      <c r="Q273" s="177"/>
      <c r="R273" s="176"/>
      <c r="S273" s="177"/>
      <c r="T273" s="177"/>
      <c r="U273" s="177"/>
      <c r="V273" s="177"/>
      <c r="W273" s="176"/>
      <c r="X273" s="177"/>
      <c r="Y273" s="177"/>
      <c r="Z273" s="177"/>
      <c r="AA273" s="177"/>
      <c r="AB273" s="176"/>
      <c r="AC273" s="177"/>
      <c r="AD273" s="177"/>
      <c r="AE273" s="177"/>
      <c r="AF273" s="177"/>
      <c r="AG273" s="176"/>
      <c r="AH273" s="177"/>
      <c r="AI273" s="177"/>
      <c r="AJ273" s="177"/>
      <c r="AK273" s="177"/>
      <c r="AL273" s="176"/>
      <c r="AM273" s="177"/>
      <c r="AN273" s="177"/>
      <c r="AO273" s="177"/>
      <c r="AP273" s="177"/>
      <c r="AQ273" s="176"/>
      <c r="AR273" s="177"/>
      <c r="AS273" s="177"/>
      <c r="AT273" s="177"/>
      <c r="AU273" s="177"/>
      <c r="AV273" s="176"/>
      <c r="AW273" s="177"/>
      <c r="AX273" s="177"/>
      <c r="AY273" s="177"/>
      <c r="AZ273" s="177"/>
      <c r="BA273" s="176"/>
      <c r="BB273" s="177"/>
      <c r="BC273" s="177"/>
      <c r="BD273" s="177"/>
      <c r="BE273" s="177"/>
      <c r="BF273" s="176"/>
      <c r="BG273" s="177"/>
      <c r="BH273" s="177"/>
      <c r="BI273" s="177"/>
      <c r="BJ273" s="177"/>
      <c r="BK273" s="176"/>
      <c r="BL273" s="177"/>
      <c r="BM273" s="177"/>
      <c r="BN273" s="177"/>
      <c r="BO273" s="177"/>
      <c r="BP273" s="176"/>
      <c r="BQ273" s="177"/>
      <c r="BR273" s="177"/>
      <c r="BS273" s="177"/>
      <c r="BT273" s="177"/>
      <c r="BU273" s="176"/>
      <c r="BV273" s="177"/>
      <c r="BW273" s="177"/>
      <c r="BX273" s="177"/>
      <c r="BY273" s="177"/>
      <c r="BZ273" s="176"/>
      <c r="CA273" s="177"/>
      <c r="CB273" s="177"/>
      <c r="CC273" s="177"/>
      <c r="CD273" s="177"/>
      <c r="CE273" s="176"/>
      <c r="CF273" s="177"/>
      <c r="CG273" s="177"/>
      <c r="CH273" s="177"/>
      <c r="CI273" s="177"/>
      <c r="CJ273" s="176"/>
      <c r="CK273" s="177"/>
      <c r="CL273" s="177"/>
      <c r="CM273" s="177"/>
      <c r="CN273" s="177"/>
      <c r="CO273" s="176"/>
      <c r="CP273" s="177"/>
      <c r="CQ273" s="177"/>
      <c r="CR273" s="177"/>
      <c r="CS273" s="177"/>
      <c r="CT273" s="176"/>
      <c r="CU273" s="177"/>
      <c r="CV273" s="177"/>
      <c r="CW273" s="177"/>
      <c r="CX273" s="177"/>
      <c r="CY273" s="176"/>
      <c r="CZ273" s="177"/>
      <c r="DA273" s="177"/>
      <c r="DB273" s="177"/>
      <c r="DC273" s="177"/>
      <c r="DD273" s="176"/>
      <c r="DE273" s="177"/>
      <c r="DF273" s="177"/>
      <c r="DG273" s="177"/>
      <c r="DH273" s="177"/>
      <c r="DI273" s="176"/>
      <c r="DJ273" s="177"/>
      <c r="DK273" s="177"/>
      <c r="DL273" s="177"/>
      <c r="DM273" s="177"/>
      <c r="DN273" s="176"/>
      <c r="DO273" s="177"/>
      <c r="DP273" s="177"/>
      <c r="DQ273" s="177"/>
      <c r="DR273" s="177"/>
      <c r="DS273" s="176"/>
      <c r="DT273" s="177"/>
      <c r="DU273" s="177"/>
      <c r="DV273" s="177"/>
      <c r="DW273" s="177"/>
      <c r="DX273" s="176"/>
      <c r="DY273" s="177"/>
      <c r="DZ273" s="177"/>
      <c r="EA273" s="177"/>
      <c r="EB273" s="177"/>
      <c r="EC273" s="176"/>
      <c r="ED273" s="177"/>
      <c r="EE273" s="177"/>
      <c r="EF273" s="177"/>
      <c r="EG273" s="177"/>
      <c r="EH273" s="176"/>
      <c r="EI273" s="177"/>
      <c r="EJ273" s="177"/>
      <c r="EK273" s="177"/>
      <c r="EL273" s="177"/>
      <c r="EM273" s="176"/>
      <c r="EN273" s="177"/>
      <c r="EO273" s="177"/>
      <c r="EP273" s="177"/>
      <c r="EQ273" s="177"/>
      <c r="ER273" s="176"/>
      <c r="ES273" s="177"/>
      <c r="ET273" s="177"/>
      <c r="EU273" s="177"/>
      <c r="EV273" s="177"/>
      <c r="EW273" s="176"/>
      <c r="EX273" s="177"/>
      <c r="EY273" s="177"/>
      <c r="EZ273" s="177"/>
      <c r="FA273" s="177"/>
      <c r="FB273" s="176"/>
      <c r="FC273" s="177"/>
      <c r="FD273" s="177"/>
      <c r="FE273" s="177"/>
      <c r="FF273" s="177"/>
      <c r="FG273" s="176"/>
      <c r="FH273" s="177"/>
      <c r="FI273" s="177"/>
      <c r="FJ273" s="177"/>
      <c r="FK273" s="177"/>
      <c r="FL273" s="176"/>
      <c r="FM273" s="177"/>
      <c r="FN273" s="177"/>
      <c r="FO273" s="177"/>
      <c r="FP273" s="177"/>
      <c r="FQ273" s="176"/>
      <c r="FR273" s="177"/>
      <c r="FS273" s="177"/>
      <c r="FT273" s="177"/>
      <c r="FU273" s="177"/>
      <c r="FV273" s="176"/>
      <c r="FW273" s="177"/>
      <c r="FX273" s="177"/>
      <c r="FY273" s="177"/>
      <c r="FZ273" s="177"/>
      <c r="GA273" s="176"/>
      <c r="GB273" s="177"/>
      <c r="GC273" s="177"/>
      <c r="GD273" s="177"/>
      <c r="GE273" s="177"/>
      <c r="GF273" s="176"/>
      <c r="GG273" s="177"/>
      <c r="GH273" s="177"/>
      <c r="GI273" s="177"/>
      <c r="GJ273" s="177"/>
    </row>
    <row r="274" spans="1:192" s="93" customFormat="1" ht="12.75" customHeight="1">
      <c r="A274" s="68"/>
      <c r="B274" s="677"/>
      <c r="C274" s="106"/>
      <c r="D274" s="107"/>
      <c r="E274" s="107"/>
      <c r="F274" s="107"/>
      <c r="G274" s="107"/>
      <c r="H274" s="106"/>
      <c r="I274" s="107"/>
      <c r="J274" s="107"/>
      <c r="K274" s="107"/>
      <c r="L274" s="107"/>
      <c r="M274" s="106"/>
      <c r="N274" s="107"/>
      <c r="O274" s="107"/>
      <c r="P274" s="107"/>
      <c r="Q274" s="107"/>
      <c r="R274" s="106"/>
      <c r="S274" s="107"/>
      <c r="T274" s="107"/>
      <c r="U274" s="107"/>
      <c r="V274" s="107"/>
      <c r="W274" s="106"/>
      <c r="X274" s="107"/>
      <c r="Y274" s="107"/>
      <c r="Z274" s="107"/>
      <c r="AA274" s="107"/>
      <c r="AB274" s="106"/>
      <c r="AC274" s="107"/>
      <c r="AD274" s="107"/>
      <c r="AE274" s="107"/>
      <c r="AF274" s="107"/>
      <c r="AG274" s="106"/>
      <c r="AH274" s="107"/>
      <c r="AI274" s="107"/>
      <c r="AJ274" s="107"/>
      <c r="AK274" s="107"/>
      <c r="AL274" s="106"/>
      <c r="AM274" s="107"/>
      <c r="AN274" s="107"/>
      <c r="AO274" s="107"/>
      <c r="AP274" s="107"/>
      <c r="AQ274" s="106"/>
      <c r="AR274" s="107"/>
      <c r="AS274" s="107"/>
      <c r="AT274" s="107"/>
      <c r="AU274" s="107"/>
      <c r="AV274" s="106"/>
      <c r="AW274" s="107"/>
      <c r="AX274" s="107"/>
      <c r="AY274" s="107"/>
      <c r="AZ274" s="107"/>
      <c r="BA274" s="106"/>
      <c r="BB274" s="107"/>
      <c r="BC274" s="107"/>
      <c r="BD274" s="107"/>
      <c r="BE274" s="107"/>
      <c r="BF274" s="106"/>
      <c r="BG274" s="107"/>
      <c r="BH274" s="107"/>
      <c r="BI274" s="107"/>
      <c r="BJ274" s="107"/>
      <c r="BK274" s="106"/>
      <c r="BL274" s="107"/>
      <c r="BM274" s="107"/>
      <c r="BN274" s="107"/>
      <c r="BO274" s="107"/>
      <c r="BP274" s="106"/>
      <c r="BQ274" s="107"/>
      <c r="BR274" s="107"/>
      <c r="BS274" s="107"/>
      <c r="BT274" s="107"/>
      <c r="BU274" s="106"/>
      <c r="BV274" s="107"/>
      <c r="BW274" s="107"/>
      <c r="BX274" s="107"/>
      <c r="BY274" s="107"/>
      <c r="BZ274" s="106"/>
      <c r="CA274" s="107"/>
      <c r="CB274" s="107"/>
      <c r="CC274" s="107"/>
      <c r="CD274" s="107"/>
      <c r="CE274" s="106"/>
      <c r="CF274" s="107"/>
      <c r="CG274" s="107"/>
      <c r="CH274" s="107"/>
      <c r="CI274" s="107"/>
      <c r="CJ274" s="106"/>
      <c r="CK274" s="107"/>
      <c r="CL274" s="107"/>
      <c r="CM274" s="107"/>
      <c r="CN274" s="107"/>
      <c r="CO274" s="106"/>
      <c r="CP274" s="107"/>
      <c r="CQ274" s="107"/>
      <c r="CR274" s="107"/>
      <c r="CS274" s="107"/>
      <c r="CT274" s="106"/>
      <c r="CU274" s="107"/>
      <c r="CV274" s="107"/>
      <c r="CW274" s="107"/>
      <c r="CX274" s="107"/>
      <c r="CY274" s="106"/>
      <c r="CZ274" s="107"/>
      <c r="DA274" s="107"/>
      <c r="DB274" s="107"/>
      <c r="DC274" s="107"/>
      <c r="DD274" s="106"/>
      <c r="DE274" s="107"/>
      <c r="DF274" s="107"/>
      <c r="DG274" s="107"/>
      <c r="DH274" s="107"/>
      <c r="DI274" s="106"/>
      <c r="DJ274" s="107"/>
      <c r="DK274" s="107"/>
      <c r="DL274" s="107"/>
      <c r="DM274" s="107"/>
      <c r="DN274" s="106"/>
      <c r="DO274" s="107"/>
      <c r="DP274" s="107"/>
      <c r="DQ274" s="107"/>
      <c r="DR274" s="107"/>
      <c r="DS274" s="106"/>
      <c r="DT274" s="107"/>
      <c r="DU274" s="107"/>
      <c r="DV274" s="107"/>
      <c r="DW274" s="107"/>
      <c r="DX274" s="106"/>
      <c r="DY274" s="107"/>
      <c r="DZ274" s="107"/>
      <c r="EA274" s="107"/>
      <c r="EB274" s="107"/>
      <c r="EC274" s="106"/>
      <c r="ED274" s="107"/>
      <c r="EE274" s="107"/>
      <c r="EF274" s="107"/>
      <c r="EG274" s="107"/>
      <c r="EH274" s="106"/>
      <c r="EI274" s="107"/>
      <c r="EJ274" s="107"/>
      <c r="EK274" s="107"/>
      <c r="EL274" s="107"/>
      <c r="EM274" s="106"/>
      <c r="EN274" s="107"/>
      <c r="EO274" s="107"/>
      <c r="EP274" s="107"/>
      <c r="EQ274" s="107"/>
      <c r="ER274" s="106"/>
      <c r="ES274" s="107"/>
      <c r="ET274" s="107"/>
      <c r="EU274" s="107"/>
      <c r="EV274" s="107"/>
      <c r="EW274" s="106"/>
      <c r="EX274" s="107"/>
      <c r="EY274" s="107"/>
      <c r="EZ274" s="107"/>
      <c r="FA274" s="107"/>
      <c r="FB274" s="106"/>
      <c r="FC274" s="107"/>
      <c r="FD274" s="107"/>
      <c r="FE274" s="107"/>
      <c r="FF274" s="107"/>
      <c r="FG274" s="106"/>
      <c r="FH274" s="107"/>
      <c r="FI274" s="107"/>
      <c r="FJ274" s="107"/>
      <c r="FK274" s="107"/>
      <c r="FL274" s="106"/>
      <c r="FM274" s="107"/>
      <c r="FN274" s="107"/>
      <c r="FO274" s="107"/>
      <c r="FP274" s="107"/>
      <c r="FQ274" s="106"/>
      <c r="FR274" s="107"/>
      <c r="FS274" s="107"/>
      <c r="FT274" s="107"/>
      <c r="FU274" s="107"/>
      <c r="FV274" s="106"/>
      <c r="FW274" s="107"/>
      <c r="FX274" s="107"/>
      <c r="FY274" s="107"/>
      <c r="FZ274" s="107"/>
      <c r="GA274" s="106"/>
      <c r="GB274" s="107"/>
      <c r="GC274" s="107"/>
      <c r="GD274" s="107"/>
      <c r="GE274" s="107"/>
      <c r="GF274" s="106"/>
      <c r="GG274" s="107"/>
      <c r="GH274" s="107"/>
      <c r="GI274" s="107"/>
      <c r="GJ274" s="107"/>
    </row>
    <row r="275" spans="1:192" s="93" customFormat="1" ht="12.75" customHeight="1">
      <c r="A275" s="68"/>
      <c r="B275" s="677"/>
      <c r="C275" s="106"/>
      <c r="D275" s="107"/>
      <c r="E275" s="107"/>
      <c r="F275" s="107"/>
      <c r="G275" s="107"/>
      <c r="H275" s="106"/>
      <c r="I275" s="107"/>
      <c r="J275" s="107"/>
      <c r="K275" s="107"/>
      <c r="L275" s="107"/>
      <c r="M275" s="106"/>
      <c r="N275" s="107"/>
      <c r="O275" s="107"/>
      <c r="P275" s="107"/>
      <c r="Q275" s="107"/>
      <c r="R275" s="106"/>
      <c r="S275" s="107"/>
      <c r="T275" s="107"/>
      <c r="U275" s="107"/>
      <c r="V275" s="107"/>
      <c r="W275" s="106"/>
      <c r="X275" s="107"/>
      <c r="Y275" s="107"/>
      <c r="Z275" s="107"/>
      <c r="AA275" s="107"/>
      <c r="AB275" s="106"/>
      <c r="AC275" s="107"/>
      <c r="AD275" s="107"/>
      <c r="AE275" s="107"/>
      <c r="AF275" s="107"/>
      <c r="AG275" s="106"/>
      <c r="AH275" s="107"/>
      <c r="AI275" s="107"/>
      <c r="AJ275" s="107"/>
      <c r="AK275" s="107"/>
      <c r="AL275" s="106"/>
      <c r="AM275" s="107"/>
      <c r="AN275" s="107"/>
      <c r="AO275" s="107"/>
      <c r="AP275" s="107"/>
      <c r="AQ275" s="106"/>
      <c r="AR275" s="107"/>
      <c r="AS275" s="107"/>
      <c r="AT275" s="107"/>
      <c r="AU275" s="107"/>
      <c r="AV275" s="106"/>
      <c r="AW275" s="107"/>
      <c r="AX275" s="107"/>
      <c r="AY275" s="107"/>
      <c r="AZ275" s="107"/>
      <c r="BA275" s="106"/>
      <c r="BB275" s="107"/>
      <c r="BC275" s="107"/>
      <c r="BD275" s="107"/>
      <c r="BE275" s="107"/>
      <c r="BF275" s="106"/>
      <c r="BG275" s="107"/>
      <c r="BH275" s="107"/>
      <c r="BI275" s="107"/>
      <c r="BJ275" s="107"/>
      <c r="BK275" s="106"/>
      <c r="BL275" s="107"/>
      <c r="BM275" s="107"/>
      <c r="BN275" s="107"/>
      <c r="BO275" s="107"/>
      <c r="BP275" s="106"/>
      <c r="BQ275" s="107"/>
      <c r="BR275" s="107"/>
      <c r="BS275" s="107"/>
      <c r="BT275" s="107"/>
      <c r="BU275" s="106"/>
      <c r="BV275" s="107"/>
      <c r="BW275" s="107"/>
      <c r="BX275" s="107"/>
      <c r="BY275" s="107"/>
      <c r="BZ275" s="106"/>
      <c r="CA275" s="107"/>
      <c r="CB275" s="107"/>
      <c r="CC275" s="107"/>
      <c r="CD275" s="107"/>
      <c r="CE275" s="106"/>
      <c r="CF275" s="107"/>
      <c r="CG275" s="107"/>
      <c r="CH275" s="107"/>
      <c r="CI275" s="107"/>
      <c r="CJ275" s="106"/>
      <c r="CK275" s="107"/>
      <c r="CL275" s="107"/>
      <c r="CM275" s="107"/>
      <c r="CN275" s="107"/>
      <c r="CO275" s="106"/>
      <c r="CP275" s="107"/>
      <c r="CQ275" s="107"/>
      <c r="CR275" s="107"/>
      <c r="CS275" s="107"/>
      <c r="CT275" s="106"/>
      <c r="CU275" s="107"/>
      <c r="CV275" s="107"/>
      <c r="CW275" s="107"/>
      <c r="CX275" s="107"/>
      <c r="CY275" s="106"/>
      <c r="CZ275" s="107"/>
      <c r="DA275" s="107"/>
      <c r="DB275" s="107"/>
      <c r="DC275" s="107"/>
      <c r="DD275" s="106"/>
      <c r="DE275" s="107"/>
      <c r="DF275" s="107"/>
      <c r="DG275" s="107"/>
      <c r="DH275" s="107"/>
      <c r="DI275" s="106"/>
      <c r="DJ275" s="107"/>
      <c r="DK275" s="107"/>
      <c r="DL275" s="107"/>
      <c r="DM275" s="107"/>
      <c r="DN275" s="106"/>
      <c r="DO275" s="107"/>
      <c r="DP275" s="107"/>
      <c r="DQ275" s="107"/>
      <c r="DR275" s="107"/>
      <c r="DS275" s="106"/>
      <c r="DT275" s="107"/>
      <c r="DU275" s="107"/>
      <c r="DV275" s="107"/>
      <c r="DW275" s="107"/>
      <c r="DX275" s="106"/>
      <c r="DY275" s="107"/>
      <c r="DZ275" s="107"/>
      <c r="EA275" s="107"/>
      <c r="EB275" s="107"/>
      <c r="EC275" s="106"/>
      <c r="ED275" s="107"/>
      <c r="EE275" s="107"/>
      <c r="EF275" s="107"/>
      <c r="EG275" s="107"/>
      <c r="EH275" s="106"/>
      <c r="EI275" s="107"/>
      <c r="EJ275" s="107"/>
      <c r="EK275" s="107"/>
      <c r="EL275" s="107"/>
      <c r="EM275" s="106"/>
      <c r="EN275" s="107"/>
      <c r="EO275" s="107"/>
      <c r="EP275" s="107"/>
      <c r="EQ275" s="107"/>
      <c r="ER275" s="106"/>
      <c r="ES275" s="107"/>
      <c r="ET275" s="107"/>
      <c r="EU275" s="107"/>
      <c r="EV275" s="107"/>
      <c r="EW275" s="106"/>
      <c r="EX275" s="107"/>
      <c r="EY275" s="107"/>
      <c r="EZ275" s="107"/>
      <c r="FA275" s="107"/>
      <c r="FB275" s="106"/>
      <c r="FC275" s="107"/>
      <c r="FD275" s="107"/>
      <c r="FE275" s="107"/>
      <c r="FF275" s="107"/>
      <c r="FG275" s="106"/>
      <c r="FH275" s="107"/>
      <c r="FI275" s="107"/>
      <c r="FJ275" s="107"/>
      <c r="FK275" s="107"/>
      <c r="FL275" s="106"/>
      <c r="FM275" s="107"/>
      <c r="FN275" s="107"/>
      <c r="FO275" s="107"/>
      <c r="FP275" s="107"/>
      <c r="FQ275" s="106"/>
      <c r="FR275" s="107"/>
      <c r="FS275" s="107"/>
      <c r="FT275" s="107"/>
      <c r="FU275" s="107"/>
      <c r="FV275" s="106"/>
      <c r="FW275" s="107"/>
      <c r="FX275" s="107"/>
      <c r="FY275" s="107"/>
      <c r="FZ275" s="107"/>
      <c r="GA275" s="106"/>
      <c r="GB275" s="107"/>
      <c r="GC275" s="107"/>
      <c r="GD275" s="107"/>
      <c r="GE275" s="107"/>
      <c r="GF275" s="106"/>
      <c r="GG275" s="107"/>
      <c r="GH275" s="107"/>
      <c r="GI275" s="107"/>
      <c r="GJ275" s="107"/>
    </row>
    <row r="276" spans="1:192" s="93" customFormat="1" ht="12.75" customHeight="1">
      <c r="A276" s="68"/>
      <c r="B276" s="677"/>
      <c r="C276" s="106"/>
      <c r="D276" s="107"/>
      <c r="E276" s="107"/>
      <c r="F276" s="107"/>
      <c r="G276" s="107"/>
      <c r="H276" s="106"/>
      <c r="I276" s="107"/>
      <c r="J276" s="107"/>
      <c r="K276" s="107"/>
      <c r="L276" s="107"/>
      <c r="M276" s="106"/>
      <c r="N276" s="107"/>
      <c r="O276" s="107"/>
      <c r="P276" s="107"/>
      <c r="Q276" s="107"/>
      <c r="R276" s="106"/>
      <c r="S276" s="107"/>
      <c r="T276" s="107"/>
      <c r="U276" s="107"/>
      <c r="V276" s="107"/>
      <c r="W276" s="106"/>
      <c r="X276" s="107"/>
      <c r="Y276" s="107"/>
      <c r="Z276" s="107"/>
      <c r="AA276" s="107"/>
      <c r="AB276" s="106"/>
      <c r="AC276" s="107"/>
      <c r="AD276" s="107"/>
      <c r="AE276" s="107"/>
      <c r="AF276" s="107"/>
      <c r="AG276" s="106"/>
      <c r="AH276" s="107"/>
      <c r="AI276" s="107"/>
      <c r="AJ276" s="107"/>
      <c r="AK276" s="107"/>
      <c r="AL276" s="106"/>
      <c r="AM276" s="107"/>
      <c r="AN276" s="107"/>
      <c r="AO276" s="107"/>
      <c r="AP276" s="107"/>
      <c r="AQ276" s="106"/>
      <c r="AR276" s="107"/>
      <c r="AS276" s="107"/>
      <c r="AT276" s="107"/>
      <c r="AU276" s="107"/>
      <c r="AV276" s="106"/>
      <c r="AW276" s="107"/>
      <c r="AX276" s="107"/>
      <c r="AY276" s="107"/>
      <c r="AZ276" s="107"/>
      <c r="BA276" s="106"/>
      <c r="BB276" s="107"/>
      <c r="BC276" s="107"/>
      <c r="BD276" s="107"/>
      <c r="BE276" s="107"/>
      <c r="BF276" s="106"/>
      <c r="BG276" s="107"/>
      <c r="BH276" s="107"/>
      <c r="BI276" s="107"/>
      <c r="BJ276" s="107"/>
      <c r="BK276" s="106"/>
      <c r="BL276" s="107"/>
      <c r="BM276" s="107"/>
      <c r="BN276" s="107"/>
      <c r="BO276" s="107"/>
      <c r="BP276" s="106"/>
      <c r="BQ276" s="107"/>
      <c r="BR276" s="107"/>
      <c r="BS276" s="107"/>
      <c r="BT276" s="107"/>
      <c r="BU276" s="106"/>
      <c r="BV276" s="107"/>
      <c r="BW276" s="107"/>
      <c r="BX276" s="107"/>
      <c r="BY276" s="107"/>
      <c r="BZ276" s="106"/>
      <c r="CA276" s="107"/>
      <c r="CB276" s="107"/>
      <c r="CC276" s="107"/>
      <c r="CD276" s="107"/>
      <c r="CE276" s="106"/>
      <c r="CF276" s="107"/>
      <c r="CG276" s="107"/>
      <c r="CH276" s="107"/>
      <c r="CI276" s="107"/>
      <c r="CJ276" s="106"/>
      <c r="CK276" s="107"/>
      <c r="CL276" s="107"/>
      <c r="CM276" s="107"/>
      <c r="CN276" s="107"/>
      <c r="CO276" s="106"/>
      <c r="CP276" s="107"/>
      <c r="CQ276" s="107"/>
      <c r="CR276" s="107"/>
      <c r="CS276" s="107"/>
      <c r="CT276" s="106"/>
      <c r="CU276" s="107"/>
      <c r="CV276" s="107"/>
      <c r="CW276" s="107"/>
      <c r="CX276" s="107"/>
      <c r="CY276" s="106"/>
      <c r="CZ276" s="107"/>
      <c r="DA276" s="107"/>
      <c r="DB276" s="107"/>
      <c r="DC276" s="107"/>
      <c r="DD276" s="106"/>
      <c r="DE276" s="107"/>
      <c r="DF276" s="107"/>
      <c r="DG276" s="107"/>
      <c r="DH276" s="107"/>
      <c r="DI276" s="106"/>
      <c r="DJ276" s="107"/>
      <c r="DK276" s="107"/>
      <c r="DL276" s="107"/>
      <c r="DM276" s="107"/>
      <c r="DN276" s="106"/>
      <c r="DO276" s="107"/>
      <c r="DP276" s="107"/>
      <c r="DQ276" s="107"/>
      <c r="DR276" s="107"/>
      <c r="DS276" s="106"/>
      <c r="DT276" s="107"/>
      <c r="DU276" s="107"/>
      <c r="DV276" s="107"/>
      <c r="DW276" s="107"/>
      <c r="DX276" s="106"/>
      <c r="DY276" s="107"/>
      <c r="DZ276" s="107"/>
      <c r="EA276" s="107"/>
      <c r="EB276" s="107"/>
      <c r="EC276" s="106"/>
      <c r="ED276" s="107"/>
      <c r="EE276" s="107"/>
      <c r="EF276" s="107"/>
      <c r="EG276" s="107"/>
      <c r="EH276" s="106"/>
      <c r="EI276" s="107"/>
      <c r="EJ276" s="107"/>
      <c r="EK276" s="107"/>
      <c r="EL276" s="107"/>
      <c r="EM276" s="106"/>
      <c r="EN276" s="107"/>
      <c r="EO276" s="107"/>
      <c r="EP276" s="107"/>
      <c r="EQ276" s="107"/>
      <c r="ER276" s="106"/>
      <c r="ES276" s="107"/>
      <c r="ET276" s="107"/>
      <c r="EU276" s="107"/>
      <c r="EV276" s="107"/>
      <c r="EW276" s="106"/>
      <c r="EX276" s="107"/>
      <c r="EY276" s="107"/>
      <c r="EZ276" s="107"/>
      <c r="FA276" s="107"/>
      <c r="FB276" s="106"/>
      <c r="FC276" s="107"/>
      <c r="FD276" s="107"/>
      <c r="FE276" s="107"/>
      <c r="FF276" s="107"/>
      <c r="FG276" s="106"/>
      <c r="FH276" s="107"/>
      <c r="FI276" s="107"/>
      <c r="FJ276" s="107"/>
      <c r="FK276" s="107"/>
      <c r="FL276" s="106"/>
      <c r="FM276" s="107"/>
      <c r="FN276" s="107"/>
      <c r="FO276" s="107"/>
      <c r="FP276" s="107"/>
      <c r="FQ276" s="106"/>
      <c r="FR276" s="107"/>
      <c r="FS276" s="107"/>
      <c r="FT276" s="107"/>
      <c r="FU276" s="107"/>
      <c r="FV276" s="106"/>
      <c r="FW276" s="107"/>
      <c r="FX276" s="107"/>
      <c r="FY276" s="107"/>
      <c r="FZ276" s="107"/>
      <c r="GA276" s="106"/>
      <c r="GB276" s="107"/>
      <c r="GC276" s="107"/>
      <c r="GD276" s="107"/>
      <c r="GE276" s="107"/>
      <c r="GF276" s="106"/>
      <c r="GG276" s="107"/>
      <c r="GH276" s="107"/>
      <c r="GI276" s="107"/>
      <c r="GJ276" s="107"/>
    </row>
    <row r="277" spans="1:192" s="93" customFormat="1" ht="12.75" customHeight="1">
      <c r="A277" s="68"/>
      <c r="B277" s="677"/>
      <c r="C277" s="178"/>
      <c r="D277" s="179"/>
      <c r="E277" s="179"/>
      <c r="F277" s="179"/>
      <c r="G277" s="179"/>
      <c r="H277" s="178"/>
      <c r="I277" s="179"/>
      <c r="J277" s="179"/>
      <c r="K277" s="179"/>
      <c r="L277" s="179"/>
      <c r="M277" s="178"/>
      <c r="N277" s="179"/>
      <c r="O277" s="179"/>
      <c r="P277" s="179"/>
      <c r="Q277" s="179"/>
      <c r="R277" s="178"/>
      <c r="S277" s="179"/>
      <c r="T277" s="179"/>
      <c r="U277" s="179"/>
      <c r="V277" s="179"/>
      <c r="W277" s="178"/>
      <c r="X277" s="179"/>
      <c r="Y277" s="179"/>
      <c r="Z277" s="179"/>
      <c r="AA277" s="179"/>
      <c r="AB277" s="178"/>
      <c r="AC277" s="179"/>
      <c r="AD277" s="179"/>
      <c r="AE277" s="179"/>
      <c r="AF277" s="179"/>
      <c r="AG277" s="178"/>
      <c r="AH277" s="179"/>
      <c r="AI277" s="179"/>
      <c r="AJ277" s="179"/>
      <c r="AK277" s="179"/>
      <c r="AL277" s="178"/>
      <c r="AM277" s="179"/>
      <c r="AN277" s="179"/>
      <c r="AO277" s="179"/>
      <c r="AP277" s="179"/>
      <c r="AQ277" s="178"/>
      <c r="AR277" s="179"/>
      <c r="AS277" s="179"/>
      <c r="AT277" s="179"/>
      <c r="AU277" s="179"/>
      <c r="AV277" s="178"/>
      <c r="AW277" s="179"/>
      <c r="AX277" s="179"/>
      <c r="AY277" s="179"/>
      <c r="AZ277" s="179"/>
      <c r="BA277" s="178"/>
      <c r="BB277" s="179"/>
      <c r="BC277" s="179"/>
      <c r="BD277" s="179"/>
      <c r="BE277" s="179"/>
      <c r="BF277" s="178"/>
      <c r="BG277" s="179"/>
      <c r="BH277" s="179"/>
      <c r="BI277" s="179"/>
      <c r="BJ277" s="179"/>
      <c r="BK277" s="178"/>
      <c r="BL277" s="179"/>
      <c r="BM277" s="179"/>
      <c r="BN277" s="179"/>
      <c r="BO277" s="179"/>
      <c r="BP277" s="178"/>
      <c r="BQ277" s="179"/>
      <c r="BR277" s="179"/>
      <c r="BS277" s="179"/>
      <c r="BT277" s="179"/>
      <c r="BU277" s="178"/>
      <c r="BV277" s="179"/>
      <c r="BW277" s="179"/>
      <c r="BX277" s="179"/>
      <c r="BY277" s="179"/>
      <c r="BZ277" s="178"/>
      <c r="CA277" s="179"/>
      <c r="CB277" s="179"/>
      <c r="CC277" s="179"/>
      <c r="CD277" s="179"/>
      <c r="CE277" s="178"/>
      <c r="CF277" s="179"/>
      <c r="CG277" s="179"/>
      <c r="CH277" s="179"/>
      <c r="CI277" s="179"/>
      <c r="CJ277" s="178"/>
      <c r="CK277" s="179"/>
      <c r="CL277" s="179"/>
      <c r="CM277" s="179"/>
      <c r="CN277" s="179"/>
      <c r="CO277" s="178"/>
      <c r="CP277" s="179"/>
      <c r="CQ277" s="179"/>
      <c r="CR277" s="179"/>
      <c r="CS277" s="179"/>
      <c r="CT277" s="178"/>
      <c r="CU277" s="179"/>
      <c r="CV277" s="179"/>
      <c r="CW277" s="179"/>
      <c r="CX277" s="179"/>
      <c r="CY277" s="178"/>
      <c r="CZ277" s="179"/>
      <c r="DA277" s="179"/>
      <c r="DB277" s="179"/>
      <c r="DC277" s="179"/>
      <c r="DD277" s="178"/>
      <c r="DE277" s="179"/>
      <c r="DF277" s="179"/>
      <c r="DG277" s="179"/>
      <c r="DH277" s="179"/>
      <c r="DI277" s="178"/>
      <c r="DJ277" s="179"/>
      <c r="DK277" s="179"/>
      <c r="DL277" s="179"/>
      <c r="DM277" s="179"/>
      <c r="DN277" s="178"/>
      <c r="DO277" s="179"/>
      <c r="DP277" s="179"/>
      <c r="DQ277" s="179"/>
      <c r="DR277" s="179"/>
      <c r="DS277" s="178"/>
      <c r="DT277" s="179"/>
      <c r="DU277" s="179"/>
      <c r="DV277" s="179"/>
      <c r="DW277" s="179"/>
      <c r="DX277" s="178"/>
      <c r="DY277" s="179"/>
      <c r="DZ277" s="179"/>
      <c r="EA277" s="179"/>
      <c r="EB277" s="179"/>
      <c r="EC277" s="178"/>
      <c r="ED277" s="179"/>
      <c r="EE277" s="179"/>
      <c r="EF277" s="179"/>
      <c r="EG277" s="179"/>
      <c r="EH277" s="178"/>
      <c r="EI277" s="179"/>
      <c r="EJ277" s="179"/>
      <c r="EK277" s="179"/>
      <c r="EL277" s="179"/>
      <c r="EM277" s="178"/>
      <c r="EN277" s="179"/>
      <c r="EO277" s="179"/>
      <c r="EP277" s="179"/>
      <c r="EQ277" s="179"/>
      <c r="ER277" s="178"/>
      <c r="ES277" s="179"/>
      <c r="ET277" s="179"/>
      <c r="EU277" s="179"/>
      <c r="EV277" s="179"/>
      <c r="EW277" s="178"/>
      <c r="EX277" s="179"/>
      <c r="EY277" s="179"/>
      <c r="EZ277" s="179"/>
      <c r="FA277" s="179"/>
      <c r="FB277" s="178"/>
      <c r="FC277" s="179"/>
      <c r="FD277" s="179"/>
      <c r="FE277" s="179"/>
      <c r="FF277" s="179"/>
      <c r="FG277" s="178"/>
      <c r="FH277" s="179"/>
      <c r="FI277" s="179"/>
      <c r="FJ277" s="179"/>
      <c r="FK277" s="179"/>
      <c r="FL277" s="178"/>
      <c r="FM277" s="179"/>
      <c r="FN277" s="179"/>
      <c r="FO277" s="179"/>
      <c r="FP277" s="179"/>
      <c r="FQ277" s="178"/>
      <c r="FR277" s="179"/>
      <c r="FS277" s="179"/>
      <c r="FT277" s="179"/>
      <c r="FU277" s="179"/>
      <c r="FV277" s="178"/>
      <c r="FW277" s="179"/>
      <c r="FX277" s="179"/>
      <c r="FY277" s="179"/>
      <c r="FZ277" s="179"/>
      <c r="GA277" s="178"/>
      <c r="GB277" s="179"/>
      <c r="GC277" s="179"/>
      <c r="GD277" s="179"/>
      <c r="GE277" s="179"/>
      <c r="GF277" s="178"/>
      <c r="GG277" s="179"/>
      <c r="GH277" s="179"/>
      <c r="GI277" s="179"/>
      <c r="GJ277" s="179"/>
    </row>
    <row r="278" spans="1:192" s="93" customFormat="1" ht="12.75" customHeight="1">
      <c r="A278" s="68"/>
      <c r="B278" s="677"/>
      <c r="C278" s="106"/>
      <c r="D278" s="107"/>
      <c r="E278" s="107"/>
      <c r="F278" s="107"/>
      <c r="G278" s="107"/>
      <c r="H278" s="106"/>
      <c r="I278" s="107"/>
      <c r="J278" s="107"/>
      <c r="K278" s="107"/>
      <c r="L278" s="107"/>
      <c r="M278" s="106"/>
      <c r="N278" s="107"/>
      <c r="O278" s="107"/>
      <c r="P278" s="107"/>
      <c r="Q278" s="107"/>
      <c r="R278" s="106"/>
      <c r="S278" s="107"/>
      <c r="T278" s="107"/>
      <c r="U278" s="107"/>
      <c r="V278" s="107"/>
      <c r="W278" s="106"/>
      <c r="X278" s="107"/>
      <c r="Y278" s="107"/>
      <c r="Z278" s="107"/>
      <c r="AA278" s="107"/>
      <c r="AB278" s="106"/>
      <c r="AC278" s="107"/>
      <c r="AD278" s="107"/>
      <c r="AE278" s="107"/>
      <c r="AF278" s="107"/>
      <c r="AG278" s="106"/>
      <c r="AH278" s="107"/>
      <c r="AI278" s="107"/>
      <c r="AJ278" s="107"/>
      <c r="AK278" s="107"/>
      <c r="AL278" s="106"/>
      <c r="AM278" s="107"/>
      <c r="AN278" s="107"/>
      <c r="AO278" s="107"/>
      <c r="AP278" s="107"/>
      <c r="AQ278" s="106"/>
      <c r="AR278" s="107"/>
      <c r="AS278" s="107"/>
      <c r="AT278" s="107"/>
      <c r="AU278" s="107"/>
      <c r="AV278" s="106"/>
      <c r="AW278" s="107"/>
      <c r="AX278" s="107"/>
      <c r="AY278" s="107"/>
      <c r="AZ278" s="107"/>
      <c r="BA278" s="106"/>
      <c r="BB278" s="107"/>
      <c r="BC278" s="107"/>
      <c r="BD278" s="107"/>
      <c r="BE278" s="107"/>
      <c r="BF278" s="106"/>
      <c r="BG278" s="107"/>
      <c r="BH278" s="107"/>
      <c r="BI278" s="107"/>
      <c r="BJ278" s="107"/>
      <c r="BK278" s="106"/>
      <c r="BL278" s="107"/>
      <c r="BM278" s="107"/>
      <c r="BN278" s="107"/>
      <c r="BO278" s="107"/>
      <c r="BP278" s="106"/>
      <c r="BQ278" s="107"/>
      <c r="BR278" s="107"/>
      <c r="BS278" s="107"/>
      <c r="BT278" s="107"/>
      <c r="BU278" s="106"/>
      <c r="BV278" s="107"/>
      <c r="BW278" s="107"/>
      <c r="BX278" s="107"/>
      <c r="BY278" s="107"/>
      <c r="BZ278" s="106"/>
      <c r="CA278" s="107"/>
      <c r="CB278" s="107"/>
      <c r="CC278" s="107"/>
      <c r="CD278" s="107"/>
      <c r="CE278" s="106"/>
      <c r="CF278" s="107"/>
      <c r="CG278" s="107"/>
      <c r="CH278" s="107"/>
      <c r="CI278" s="107"/>
      <c r="CJ278" s="106"/>
      <c r="CK278" s="107"/>
      <c r="CL278" s="107"/>
      <c r="CM278" s="107"/>
      <c r="CN278" s="107"/>
      <c r="CO278" s="106"/>
      <c r="CP278" s="107"/>
      <c r="CQ278" s="107"/>
      <c r="CR278" s="107"/>
      <c r="CS278" s="107"/>
      <c r="CT278" s="106"/>
      <c r="CU278" s="107"/>
      <c r="CV278" s="107"/>
      <c r="CW278" s="107"/>
      <c r="CX278" s="107"/>
      <c r="CY278" s="106"/>
      <c r="CZ278" s="107"/>
      <c r="DA278" s="107"/>
      <c r="DB278" s="107"/>
      <c r="DC278" s="107"/>
      <c r="DD278" s="106"/>
      <c r="DE278" s="107"/>
      <c r="DF278" s="107"/>
      <c r="DG278" s="107"/>
      <c r="DH278" s="107"/>
      <c r="DI278" s="106"/>
      <c r="DJ278" s="107"/>
      <c r="DK278" s="107"/>
      <c r="DL278" s="107"/>
      <c r="DM278" s="107"/>
      <c r="DN278" s="106"/>
      <c r="DO278" s="107"/>
      <c r="DP278" s="107"/>
      <c r="DQ278" s="107"/>
      <c r="DR278" s="107"/>
      <c r="DS278" s="106"/>
      <c r="DT278" s="107"/>
      <c r="DU278" s="107"/>
      <c r="DV278" s="107"/>
      <c r="DW278" s="107"/>
      <c r="DX278" s="106"/>
      <c r="DY278" s="107"/>
      <c r="DZ278" s="107"/>
      <c r="EA278" s="107"/>
      <c r="EB278" s="107"/>
      <c r="EC278" s="106"/>
      <c r="ED278" s="107"/>
      <c r="EE278" s="107"/>
      <c r="EF278" s="107"/>
      <c r="EG278" s="107"/>
      <c r="EH278" s="106"/>
      <c r="EI278" s="107"/>
      <c r="EJ278" s="107"/>
      <c r="EK278" s="107"/>
      <c r="EL278" s="107"/>
      <c r="EM278" s="106"/>
      <c r="EN278" s="107"/>
      <c r="EO278" s="107"/>
      <c r="EP278" s="107"/>
      <c r="EQ278" s="107"/>
      <c r="ER278" s="106"/>
      <c r="ES278" s="107"/>
      <c r="ET278" s="107"/>
      <c r="EU278" s="107"/>
      <c r="EV278" s="107"/>
      <c r="EW278" s="106"/>
      <c r="EX278" s="107"/>
      <c r="EY278" s="107"/>
      <c r="EZ278" s="107"/>
      <c r="FA278" s="107"/>
      <c r="FB278" s="106"/>
      <c r="FC278" s="107"/>
      <c r="FD278" s="107"/>
      <c r="FE278" s="107"/>
      <c r="FF278" s="107"/>
      <c r="FG278" s="106"/>
      <c r="FH278" s="107"/>
      <c r="FI278" s="107"/>
      <c r="FJ278" s="107"/>
      <c r="FK278" s="107"/>
      <c r="FL278" s="106"/>
      <c r="FM278" s="107"/>
      <c r="FN278" s="107"/>
      <c r="FO278" s="107"/>
      <c r="FP278" s="107"/>
      <c r="FQ278" s="106"/>
      <c r="FR278" s="107"/>
      <c r="FS278" s="107"/>
      <c r="FT278" s="107"/>
      <c r="FU278" s="107"/>
      <c r="FV278" s="106"/>
      <c r="FW278" s="107"/>
      <c r="FX278" s="107"/>
      <c r="FY278" s="107"/>
      <c r="FZ278" s="107"/>
      <c r="GA278" s="106"/>
      <c r="GB278" s="107"/>
      <c r="GC278" s="107"/>
      <c r="GD278" s="107"/>
      <c r="GE278" s="107"/>
      <c r="GF278" s="106"/>
      <c r="GG278" s="107"/>
      <c r="GH278" s="107"/>
      <c r="GI278" s="107"/>
      <c r="GJ278" s="107"/>
    </row>
    <row r="279" spans="1:192" s="93" customFormat="1" ht="12.75" customHeight="1">
      <c r="A279" s="68"/>
      <c r="B279" s="677"/>
      <c r="C279" s="176"/>
      <c r="D279" s="107"/>
      <c r="E279" s="107"/>
      <c r="F279" s="107"/>
      <c r="G279" s="107"/>
      <c r="H279" s="176"/>
      <c r="I279" s="107"/>
      <c r="J279" s="107"/>
      <c r="K279" s="107"/>
      <c r="L279" s="107"/>
      <c r="M279" s="176"/>
      <c r="N279" s="107"/>
      <c r="O279" s="107"/>
      <c r="P279" s="107"/>
      <c r="Q279" s="107"/>
      <c r="R279" s="176"/>
      <c r="S279" s="107"/>
      <c r="T279" s="107"/>
      <c r="U279" s="107"/>
      <c r="V279" s="107"/>
      <c r="W279" s="176"/>
      <c r="X279" s="107"/>
      <c r="Y279" s="107"/>
      <c r="Z279" s="107"/>
      <c r="AA279" s="107"/>
      <c r="AB279" s="176"/>
      <c r="AC279" s="107"/>
      <c r="AD279" s="107"/>
      <c r="AE279" s="107"/>
      <c r="AF279" s="107"/>
      <c r="AG279" s="176"/>
      <c r="AH279" s="107"/>
      <c r="AI279" s="107"/>
      <c r="AJ279" s="107"/>
      <c r="AK279" s="107"/>
      <c r="AL279" s="176"/>
      <c r="AM279" s="107"/>
      <c r="AN279" s="107"/>
      <c r="AO279" s="107"/>
      <c r="AP279" s="107"/>
      <c r="AQ279" s="176"/>
      <c r="AR279" s="107"/>
      <c r="AS279" s="107"/>
      <c r="AT279" s="107"/>
      <c r="AU279" s="107"/>
      <c r="AV279" s="176"/>
      <c r="AW279" s="107"/>
      <c r="AX279" s="107"/>
      <c r="AY279" s="107"/>
      <c r="AZ279" s="107"/>
      <c r="BA279" s="176"/>
      <c r="BB279" s="107"/>
      <c r="BC279" s="107"/>
      <c r="BD279" s="107"/>
      <c r="BE279" s="107"/>
      <c r="BF279" s="176"/>
      <c r="BG279" s="107"/>
      <c r="BH279" s="107"/>
      <c r="BI279" s="107"/>
      <c r="BJ279" s="107"/>
      <c r="BK279" s="176"/>
      <c r="BL279" s="107"/>
      <c r="BM279" s="107"/>
      <c r="BN279" s="107"/>
      <c r="BO279" s="107"/>
      <c r="BP279" s="176"/>
      <c r="BQ279" s="107"/>
      <c r="BR279" s="107"/>
      <c r="BS279" s="107"/>
      <c r="BT279" s="107"/>
      <c r="BU279" s="176"/>
      <c r="BV279" s="107"/>
      <c r="BW279" s="107"/>
      <c r="BX279" s="107"/>
      <c r="BY279" s="107"/>
      <c r="BZ279" s="176"/>
      <c r="CA279" s="107"/>
      <c r="CB279" s="107"/>
      <c r="CC279" s="107"/>
      <c r="CD279" s="107"/>
      <c r="CE279" s="176"/>
      <c r="CF279" s="107"/>
      <c r="CG279" s="107"/>
      <c r="CH279" s="107"/>
      <c r="CI279" s="107"/>
      <c r="CJ279" s="176"/>
      <c r="CK279" s="107"/>
      <c r="CL279" s="107"/>
      <c r="CM279" s="107"/>
      <c r="CN279" s="107"/>
      <c r="CO279" s="176"/>
      <c r="CP279" s="107"/>
      <c r="CQ279" s="107"/>
      <c r="CR279" s="107"/>
      <c r="CS279" s="107"/>
      <c r="CT279" s="176"/>
      <c r="CU279" s="107"/>
      <c r="CV279" s="107"/>
      <c r="CW279" s="107"/>
      <c r="CX279" s="107"/>
      <c r="CY279" s="176"/>
      <c r="CZ279" s="107"/>
      <c r="DA279" s="107"/>
      <c r="DB279" s="107"/>
      <c r="DC279" s="107"/>
      <c r="DD279" s="176"/>
      <c r="DE279" s="107"/>
      <c r="DF279" s="107"/>
      <c r="DG279" s="107"/>
      <c r="DH279" s="107"/>
      <c r="DI279" s="176"/>
      <c r="DJ279" s="107"/>
      <c r="DK279" s="107"/>
      <c r="DL279" s="107"/>
      <c r="DM279" s="107"/>
      <c r="DN279" s="176"/>
      <c r="DO279" s="107"/>
      <c r="DP279" s="107"/>
      <c r="DQ279" s="107"/>
      <c r="DR279" s="107"/>
      <c r="DS279" s="176"/>
      <c r="DT279" s="107"/>
      <c r="DU279" s="107"/>
      <c r="DV279" s="107"/>
      <c r="DW279" s="107"/>
      <c r="DX279" s="176"/>
      <c r="DY279" s="107"/>
      <c r="DZ279" s="107"/>
      <c r="EA279" s="107"/>
      <c r="EB279" s="107"/>
      <c r="EC279" s="176"/>
      <c r="ED279" s="107"/>
      <c r="EE279" s="107"/>
      <c r="EF279" s="107"/>
      <c r="EG279" s="107"/>
      <c r="EH279" s="176"/>
      <c r="EI279" s="107"/>
      <c r="EJ279" s="107"/>
      <c r="EK279" s="107"/>
      <c r="EL279" s="107"/>
      <c r="EM279" s="176"/>
      <c r="EN279" s="107"/>
      <c r="EO279" s="107"/>
      <c r="EP279" s="107"/>
      <c r="EQ279" s="107"/>
      <c r="ER279" s="176"/>
      <c r="ES279" s="107"/>
      <c r="ET279" s="107"/>
      <c r="EU279" s="107"/>
      <c r="EV279" s="107"/>
      <c r="EW279" s="176"/>
      <c r="EX279" s="107"/>
      <c r="EY279" s="107"/>
      <c r="EZ279" s="107"/>
      <c r="FA279" s="107"/>
      <c r="FB279" s="176"/>
      <c r="FC279" s="107"/>
      <c r="FD279" s="107"/>
      <c r="FE279" s="107"/>
      <c r="FF279" s="107"/>
      <c r="FG279" s="176"/>
      <c r="FH279" s="107"/>
      <c r="FI279" s="107"/>
      <c r="FJ279" s="107"/>
      <c r="FK279" s="107"/>
      <c r="FL279" s="176"/>
      <c r="FM279" s="107"/>
      <c r="FN279" s="107"/>
      <c r="FO279" s="107"/>
      <c r="FP279" s="107"/>
      <c r="FQ279" s="176"/>
      <c r="FR279" s="107"/>
      <c r="FS279" s="107"/>
      <c r="FT279" s="107"/>
      <c r="FU279" s="107"/>
      <c r="FV279" s="176"/>
      <c r="FW279" s="107"/>
      <c r="FX279" s="107"/>
      <c r="FY279" s="107"/>
      <c r="FZ279" s="107"/>
      <c r="GA279" s="176"/>
      <c r="GB279" s="107"/>
      <c r="GC279" s="107"/>
      <c r="GD279" s="107"/>
      <c r="GE279" s="107"/>
      <c r="GF279" s="176"/>
      <c r="GG279" s="107"/>
      <c r="GH279" s="107"/>
      <c r="GI279" s="107"/>
      <c r="GJ279" s="107"/>
    </row>
    <row r="280" spans="1:192" s="93" customFormat="1" ht="12.75" customHeight="1">
      <c r="A280" s="68"/>
      <c r="B280" s="677"/>
      <c r="C280" s="106"/>
      <c r="D280" s="107"/>
      <c r="E280" s="107"/>
      <c r="F280" s="107"/>
      <c r="G280" s="107"/>
      <c r="H280" s="106"/>
      <c r="I280" s="107"/>
      <c r="J280" s="107"/>
      <c r="K280" s="107"/>
      <c r="L280" s="107"/>
      <c r="M280" s="106"/>
      <c r="N280" s="107"/>
      <c r="O280" s="107"/>
      <c r="P280" s="107"/>
      <c r="Q280" s="107"/>
      <c r="R280" s="106"/>
      <c r="S280" s="107"/>
      <c r="T280" s="107"/>
      <c r="U280" s="107"/>
      <c r="V280" s="107"/>
      <c r="W280" s="106"/>
      <c r="X280" s="107"/>
      <c r="Y280" s="107"/>
      <c r="Z280" s="107"/>
      <c r="AA280" s="107"/>
      <c r="AB280" s="106"/>
      <c r="AC280" s="107"/>
      <c r="AD280" s="107"/>
      <c r="AE280" s="107"/>
      <c r="AF280" s="107"/>
      <c r="AG280" s="106"/>
      <c r="AH280" s="107"/>
      <c r="AI280" s="107"/>
      <c r="AJ280" s="107"/>
      <c r="AK280" s="107"/>
      <c r="AL280" s="106"/>
      <c r="AM280" s="107"/>
      <c r="AN280" s="107"/>
      <c r="AO280" s="107"/>
      <c r="AP280" s="107"/>
      <c r="AQ280" s="106"/>
      <c r="AR280" s="107"/>
      <c r="AS280" s="107"/>
      <c r="AT280" s="107"/>
      <c r="AU280" s="107"/>
      <c r="AV280" s="106"/>
      <c r="AW280" s="107"/>
      <c r="AX280" s="107"/>
      <c r="AY280" s="107"/>
      <c r="AZ280" s="107"/>
      <c r="BA280" s="106"/>
      <c r="BB280" s="107"/>
      <c r="BC280" s="107"/>
      <c r="BD280" s="107"/>
      <c r="BE280" s="107"/>
      <c r="BF280" s="106"/>
      <c r="BG280" s="107"/>
      <c r="BH280" s="107"/>
      <c r="BI280" s="107"/>
      <c r="BJ280" s="107"/>
      <c r="BK280" s="106"/>
      <c r="BL280" s="107"/>
      <c r="BM280" s="107"/>
      <c r="BN280" s="107"/>
      <c r="BO280" s="107"/>
      <c r="BP280" s="106"/>
      <c r="BQ280" s="107"/>
      <c r="BR280" s="107"/>
      <c r="BS280" s="107"/>
      <c r="BT280" s="107"/>
      <c r="BU280" s="106"/>
      <c r="BV280" s="107"/>
      <c r="BW280" s="107"/>
      <c r="BX280" s="107"/>
      <c r="BY280" s="107"/>
      <c r="BZ280" s="106"/>
      <c r="CA280" s="107"/>
      <c r="CB280" s="107"/>
      <c r="CC280" s="107"/>
      <c r="CD280" s="107"/>
      <c r="CE280" s="106"/>
      <c r="CF280" s="107"/>
      <c r="CG280" s="107"/>
      <c r="CH280" s="107"/>
      <c r="CI280" s="107"/>
      <c r="CJ280" s="106"/>
      <c r="CK280" s="107"/>
      <c r="CL280" s="107"/>
      <c r="CM280" s="107"/>
      <c r="CN280" s="107"/>
      <c r="CO280" s="106"/>
      <c r="CP280" s="107"/>
      <c r="CQ280" s="107"/>
      <c r="CR280" s="107"/>
      <c r="CS280" s="107"/>
      <c r="CT280" s="106"/>
      <c r="CU280" s="107"/>
      <c r="CV280" s="107"/>
      <c r="CW280" s="107"/>
      <c r="CX280" s="107"/>
      <c r="CY280" s="106"/>
      <c r="CZ280" s="107"/>
      <c r="DA280" s="107"/>
      <c r="DB280" s="107"/>
      <c r="DC280" s="107"/>
      <c r="DD280" s="106"/>
      <c r="DE280" s="107"/>
      <c r="DF280" s="107"/>
      <c r="DG280" s="107"/>
      <c r="DH280" s="107"/>
      <c r="DI280" s="106"/>
      <c r="DJ280" s="107"/>
      <c r="DK280" s="107"/>
      <c r="DL280" s="107"/>
      <c r="DM280" s="107"/>
      <c r="DN280" s="106"/>
      <c r="DO280" s="107"/>
      <c r="DP280" s="107"/>
      <c r="DQ280" s="107"/>
      <c r="DR280" s="107"/>
      <c r="DS280" s="106"/>
      <c r="DT280" s="107"/>
      <c r="DU280" s="107"/>
      <c r="DV280" s="107"/>
      <c r="DW280" s="107"/>
      <c r="DX280" s="106"/>
      <c r="DY280" s="107"/>
      <c r="DZ280" s="107"/>
      <c r="EA280" s="107"/>
      <c r="EB280" s="107"/>
      <c r="EC280" s="106"/>
      <c r="ED280" s="107"/>
      <c r="EE280" s="107"/>
      <c r="EF280" s="107"/>
      <c r="EG280" s="107"/>
      <c r="EH280" s="106"/>
      <c r="EI280" s="107"/>
      <c r="EJ280" s="107"/>
      <c r="EK280" s="107"/>
      <c r="EL280" s="107"/>
      <c r="EM280" s="106"/>
      <c r="EN280" s="107"/>
      <c r="EO280" s="107"/>
      <c r="EP280" s="107"/>
      <c r="EQ280" s="107"/>
      <c r="ER280" s="106"/>
      <c r="ES280" s="107"/>
      <c r="ET280" s="107"/>
      <c r="EU280" s="107"/>
      <c r="EV280" s="107"/>
      <c r="EW280" s="106"/>
      <c r="EX280" s="107"/>
      <c r="EY280" s="107"/>
      <c r="EZ280" s="107"/>
      <c r="FA280" s="107"/>
      <c r="FB280" s="106"/>
      <c r="FC280" s="107"/>
      <c r="FD280" s="107"/>
      <c r="FE280" s="107"/>
      <c r="FF280" s="107"/>
      <c r="FG280" s="106"/>
      <c r="FH280" s="107"/>
      <c r="FI280" s="107"/>
      <c r="FJ280" s="107"/>
      <c r="FK280" s="107"/>
      <c r="FL280" s="106"/>
      <c r="FM280" s="107"/>
      <c r="FN280" s="107"/>
      <c r="FO280" s="107"/>
      <c r="FP280" s="107"/>
      <c r="FQ280" s="106"/>
      <c r="FR280" s="107"/>
      <c r="FS280" s="107"/>
      <c r="FT280" s="107"/>
      <c r="FU280" s="107"/>
      <c r="FV280" s="106"/>
      <c r="FW280" s="107"/>
      <c r="FX280" s="107"/>
      <c r="FY280" s="107"/>
      <c r="FZ280" s="107"/>
      <c r="GA280" s="106"/>
      <c r="GB280" s="107"/>
      <c r="GC280" s="107"/>
      <c r="GD280" s="107"/>
      <c r="GE280" s="107"/>
      <c r="GF280" s="106"/>
      <c r="GG280" s="107"/>
      <c r="GH280" s="107"/>
      <c r="GI280" s="107"/>
      <c r="GJ280" s="107"/>
    </row>
    <row r="281" spans="1:192" s="93" customFormat="1" ht="12.75" customHeight="1">
      <c r="A281" s="68"/>
      <c r="B281" s="677"/>
      <c r="C281" s="106"/>
      <c r="D281" s="180"/>
      <c r="E281" s="180"/>
      <c r="F281" s="180"/>
      <c r="G281" s="180"/>
      <c r="H281" s="106"/>
      <c r="I281" s="180"/>
      <c r="J281" s="180"/>
      <c r="K281" s="180"/>
      <c r="L281" s="180"/>
      <c r="M281" s="106"/>
      <c r="N281" s="180"/>
      <c r="O281" s="180"/>
      <c r="P281" s="180"/>
      <c r="Q281" s="180"/>
      <c r="R281" s="106"/>
      <c r="S281" s="180"/>
      <c r="T281" s="180"/>
      <c r="U281" s="180"/>
      <c r="V281" s="180"/>
      <c r="W281" s="106"/>
      <c r="X281" s="180"/>
      <c r="Y281" s="180"/>
      <c r="Z281" s="180"/>
      <c r="AA281" s="180"/>
      <c r="AB281" s="106"/>
      <c r="AC281" s="180"/>
      <c r="AD281" s="180"/>
      <c r="AE281" s="180"/>
      <c r="AF281" s="180"/>
      <c r="AG281" s="106"/>
      <c r="AH281" s="180"/>
      <c r="AI281" s="180"/>
      <c r="AJ281" s="180"/>
      <c r="AK281" s="180"/>
      <c r="AL281" s="106"/>
      <c r="AM281" s="180"/>
      <c r="AN281" s="180"/>
      <c r="AO281" s="180"/>
      <c r="AP281" s="180"/>
      <c r="AQ281" s="106"/>
      <c r="AR281" s="180"/>
      <c r="AS281" s="180"/>
      <c r="AT281" s="180"/>
      <c r="AU281" s="180"/>
      <c r="AV281" s="106"/>
      <c r="AW281" s="180"/>
      <c r="AX281" s="180"/>
      <c r="AY281" s="180"/>
      <c r="AZ281" s="180"/>
      <c r="BA281" s="106"/>
      <c r="BB281" s="180"/>
      <c r="BC281" s="180"/>
      <c r="BD281" s="180"/>
      <c r="BE281" s="180"/>
      <c r="BF281" s="106"/>
      <c r="BG281" s="180"/>
      <c r="BH281" s="180"/>
      <c r="BI281" s="180"/>
      <c r="BJ281" s="180"/>
      <c r="BK281" s="106"/>
      <c r="BL281" s="180"/>
      <c r="BM281" s="180"/>
      <c r="BN281" s="180"/>
      <c r="BO281" s="180"/>
      <c r="BP281" s="106"/>
      <c r="BQ281" s="180"/>
      <c r="BR281" s="180"/>
      <c r="BS281" s="180"/>
      <c r="BT281" s="180"/>
      <c r="BU281" s="106"/>
      <c r="BV281" s="180"/>
      <c r="BW281" s="180"/>
      <c r="BX281" s="180"/>
      <c r="BY281" s="180"/>
      <c r="BZ281" s="106"/>
      <c r="CA281" s="180"/>
      <c r="CB281" s="180"/>
      <c r="CC281" s="180"/>
      <c r="CD281" s="180"/>
      <c r="CE281" s="106"/>
      <c r="CF281" s="180"/>
      <c r="CG281" s="180"/>
      <c r="CH281" s="180"/>
      <c r="CI281" s="180"/>
      <c r="CJ281" s="106"/>
      <c r="CK281" s="180"/>
      <c r="CL281" s="180"/>
      <c r="CM281" s="180"/>
      <c r="CN281" s="180"/>
      <c r="CO281" s="106"/>
      <c r="CP281" s="180"/>
      <c r="CQ281" s="180"/>
      <c r="CR281" s="180"/>
      <c r="CS281" s="180"/>
      <c r="CT281" s="106"/>
      <c r="CU281" s="180"/>
      <c r="CV281" s="180"/>
      <c r="CW281" s="180"/>
      <c r="CX281" s="180"/>
      <c r="CY281" s="106"/>
      <c r="CZ281" s="180"/>
      <c r="DA281" s="180"/>
      <c r="DB281" s="180"/>
      <c r="DC281" s="180"/>
      <c r="DD281" s="106"/>
      <c r="DE281" s="180"/>
      <c r="DF281" s="180"/>
      <c r="DG281" s="180"/>
      <c r="DH281" s="180"/>
      <c r="DI281" s="106"/>
      <c r="DJ281" s="180"/>
      <c r="DK281" s="180"/>
      <c r="DL281" s="180"/>
      <c r="DM281" s="180"/>
      <c r="DN281" s="106"/>
      <c r="DO281" s="180"/>
      <c r="DP281" s="180"/>
      <c r="DQ281" s="180"/>
      <c r="DR281" s="180"/>
      <c r="DS281" s="106"/>
      <c r="DT281" s="180"/>
      <c r="DU281" s="180"/>
      <c r="DV281" s="180"/>
      <c r="DW281" s="180"/>
      <c r="DX281" s="106"/>
      <c r="DY281" s="180"/>
      <c r="DZ281" s="180"/>
      <c r="EA281" s="180"/>
      <c r="EB281" s="180"/>
      <c r="EC281" s="106"/>
      <c r="ED281" s="180"/>
      <c r="EE281" s="180"/>
      <c r="EF281" s="180"/>
      <c r="EG281" s="180"/>
      <c r="EH281" s="106"/>
      <c r="EI281" s="180"/>
      <c r="EJ281" s="180"/>
      <c r="EK281" s="180"/>
      <c r="EL281" s="180"/>
      <c r="EM281" s="106"/>
      <c r="EN281" s="180"/>
      <c r="EO281" s="180"/>
      <c r="EP281" s="180"/>
      <c r="EQ281" s="180"/>
      <c r="ER281" s="106"/>
      <c r="ES281" s="180"/>
      <c r="ET281" s="180"/>
      <c r="EU281" s="180"/>
      <c r="EV281" s="180"/>
      <c r="EW281" s="106"/>
      <c r="EX281" s="180"/>
      <c r="EY281" s="180"/>
      <c r="EZ281" s="180"/>
      <c r="FA281" s="180"/>
      <c r="FB281" s="106"/>
      <c r="FC281" s="180"/>
      <c r="FD281" s="180"/>
      <c r="FE281" s="180"/>
      <c r="FF281" s="180"/>
      <c r="FG281" s="106"/>
      <c r="FH281" s="180"/>
      <c r="FI281" s="180"/>
      <c r="FJ281" s="180"/>
      <c r="FK281" s="180"/>
      <c r="FL281" s="106"/>
      <c r="FM281" s="180"/>
      <c r="FN281" s="180"/>
      <c r="FO281" s="180"/>
      <c r="FP281" s="180"/>
      <c r="FQ281" s="106"/>
      <c r="FR281" s="180"/>
      <c r="FS281" s="180"/>
      <c r="FT281" s="180"/>
      <c r="FU281" s="180"/>
      <c r="FV281" s="106"/>
      <c r="FW281" s="180"/>
      <c r="FX281" s="180"/>
      <c r="FY281" s="180"/>
      <c r="FZ281" s="180"/>
      <c r="GA281" s="106"/>
      <c r="GB281" s="180"/>
      <c r="GC281" s="180"/>
      <c r="GD281" s="180"/>
      <c r="GE281" s="180"/>
      <c r="GF281" s="106"/>
      <c r="GG281" s="180"/>
      <c r="GH281" s="180"/>
      <c r="GI281" s="180"/>
      <c r="GJ281" s="180"/>
    </row>
    <row r="282" spans="1:192" s="93" customFormat="1" ht="12.75" customHeight="1">
      <c r="A282" s="68"/>
      <c r="B282" s="677"/>
      <c r="C282" s="181"/>
      <c r="D282" s="182"/>
      <c r="E282" s="182"/>
      <c r="F282" s="182"/>
      <c r="G282" s="182"/>
      <c r="H282" s="181"/>
      <c r="I282" s="182"/>
      <c r="J282" s="182"/>
      <c r="K282" s="182"/>
      <c r="L282" s="182"/>
      <c r="M282" s="181"/>
      <c r="N282" s="182"/>
      <c r="O282" s="182"/>
      <c r="P282" s="182"/>
      <c r="Q282" s="182"/>
      <c r="R282" s="181"/>
      <c r="S282" s="182"/>
      <c r="T282" s="182"/>
      <c r="U282" s="182"/>
      <c r="V282" s="182"/>
      <c r="W282" s="181"/>
      <c r="X282" s="182"/>
      <c r="Y282" s="182"/>
      <c r="Z282" s="182"/>
      <c r="AA282" s="182"/>
      <c r="AB282" s="181"/>
      <c r="AC282" s="182"/>
      <c r="AD282" s="182"/>
      <c r="AE282" s="182"/>
      <c r="AF282" s="182"/>
      <c r="AG282" s="181"/>
      <c r="AH282" s="182"/>
      <c r="AI282" s="182"/>
      <c r="AJ282" s="182"/>
      <c r="AK282" s="182"/>
      <c r="AL282" s="181"/>
      <c r="AM282" s="182"/>
      <c r="AN282" s="182"/>
      <c r="AO282" s="182"/>
      <c r="AP282" s="182"/>
      <c r="AQ282" s="181"/>
      <c r="AR282" s="182"/>
      <c r="AS282" s="182"/>
      <c r="AT282" s="182"/>
      <c r="AU282" s="182"/>
      <c r="AV282" s="181"/>
      <c r="AW282" s="182"/>
      <c r="AX282" s="182"/>
      <c r="AY282" s="182"/>
      <c r="AZ282" s="182"/>
      <c r="BA282" s="181"/>
      <c r="BB282" s="182"/>
      <c r="BC282" s="182"/>
      <c r="BD282" s="182"/>
      <c r="BE282" s="182"/>
      <c r="BF282" s="181"/>
      <c r="BG282" s="182"/>
      <c r="BH282" s="182"/>
      <c r="BI282" s="182"/>
      <c r="BJ282" s="182"/>
      <c r="BK282" s="181"/>
      <c r="BL282" s="182"/>
      <c r="BM282" s="182"/>
      <c r="BN282" s="182"/>
      <c r="BO282" s="182"/>
      <c r="BP282" s="181"/>
      <c r="BQ282" s="182"/>
      <c r="BR282" s="182"/>
      <c r="BS282" s="182"/>
      <c r="BT282" s="182"/>
      <c r="BU282" s="181"/>
      <c r="BV282" s="182"/>
      <c r="BW282" s="182"/>
      <c r="BX282" s="182"/>
      <c r="BY282" s="182"/>
      <c r="BZ282" s="181"/>
      <c r="CA282" s="182"/>
      <c r="CB282" s="182"/>
      <c r="CC282" s="182"/>
      <c r="CD282" s="182"/>
      <c r="CE282" s="181"/>
      <c r="CF282" s="182"/>
      <c r="CG282" s="182"/>
      <c r="CH282" s="182"/>
      <c r="CI282" s="182"/>
      <c r="CJ282" s="181"/>
      <c r="CK282" s="182"/>
      <c r="CL282" s="182"/>
      <c r="CM282" s="182"/>
      <c r="CN282" s="182"/>
      <c r="CO282" s="181"/>
      <c r="CP282" s="182"/>
      <c r="CQ282" s="182"/>
      <c r="CR282" s="182"/>
      <c r="CS282" s="182"/>
      <c r="CT282" s="181"/>
      <c r="CU282" s="182"/>
      <c r="CV282" s="182"/>
      <c r="CW282" s="182"/>
      <c r="CX282" s="182"/>
      <c r="CY282" s="181"/>
      <c r="CZ282" s="182"/>
      <c r="DA282" s="182"/>
      <c r="DB282" s="182"/>
      <c r="DC282" s="182"/>
      <c r="DD282" s="181"/>
      <c r="DE282" s="182"/>
      <c r="DF282" s="182"/>
      <c r="DG282" s="182"/>
      <c r="DH282" s="182"/>
      <c r="DI282" s="181"/>
      <c r="DJ282" s="182"/>
      <c r="DK282" s="182"/>
      <c r="DL282" s="182"/>
      <c r="DM282" s="182"/>
      <c r="DN282" s="181"/>
      <c r="DO282" s="182"/>
      <c r="DP282" s="182"/>
      <c r="DQ282" s="182"/>
      <c r="DR282" s="182"/>
      <c r="DS282" s="181"/>
      <c r="DT282" s="182"/>
      <c r="DU282" s="182"/>
      <c r="DV282" s="182"/>
      <c r="DW282" s="182"/>
      <c r="DX282" s="181"/>
      <c r="DY282" s="182"/>
      <c r="DZ282" s="182"/>
      <c r="EA282" s="182"/>
      <c r="EB282" s="182"/>
      <c r="EC282" s="181"/>
      <c r="ED282" s="182"/>
      <c r="EE282" s="182"/>
      <c r="EF282" s="182"/>
      <c r="EG282" s="182"/>
      <c r="EH282" s="181"/>
      <c r="EI282" s="182"/>
      <c r="EJ282" s="182"/>
      <c r="EK282" s="182"/>
      <c r="EL282" s="182"/>
      <c r="EM282" s="181"/>
      <c r="EN282" s="182"/>
      <c r="EO282" s="182"/>
      <c r="EP282" s="182"/>
      <c r="EQ282" s="182"/>
      <c r="ER282" s="181"/>
      <c r="ES282" s="182"/>
      <c r="ET282" s="182"/>
      <c r="EU282" s="182"/>
      <c r="EV282" s="182"/>
      <c r="EW282" s="181"/>
      <c r="EX282" s="182"/>
      <c r="EY282" s="182"/>
      <c r="EZ282" s="182"/>
      <c r="FA282" s="182"/>
      <c r="FB282" s="181"/>
      <c r="FC282" s="182"/>
      <c r="FD282" s="182"/>
      <c r="FE282" s="182"/>
      <c r="FF282" s="182"/>
      <c r="FG282" s="181"/>
      <c r="FH282" s="182"/>
      <c r="FI282" s="182"/>
      <c r="FJ282" s="182"/>
      <c r="FK282" s="182"/>
      <c r="FL282" s="181"/>
      <c r="FM282" s="182"/>
      <c r="FN282" s="182"/>
      <c r="FO282" s="182"/>
      <c r="FP282" s="182"/>
      <c r="FQ282" s="181"/>
      <c r="FR282" s="182"/>
      <c r="FS282" s="182"/>
      <c r="FT282" s="182"/>
      <c r="FU282" s="182"/>
      <c r="FV282" s="181"/>
      <c r="FW282" s="182"/>
      <c r="FX282" s="182"/>
      <c r="FY282" s="182"/>
      <c r="FZ282" s="182"/>
      <c r="GA282" s="181"/>
      <c r="GB282" s="182"/>
      <c r="GC282" s="182"/>
      <c r="GD282" s="182"/>
      <c r="GE282" s="182"/>
      <c r="GF282" s="181"/>
      <c r="GG282" s="182"/>
      <c r="GH282" s="182"/>
      <c r="GI282" s="182"/>
      <c r="GJ282" s="182"/>
    </row>
    <row r="285" spans="1:192" s="93" customFormat="1" ht="12.75" customHeight="1">
      <c r="A285" s="68"/>
      <c r="B285" s="677"/>
      <c r="C285" s="139"/>
      <c r="D285" s="105"/>
      <c r="E285" s="105"/>
      <c r="F285" s="105"/>
      <c r="G285" s="105"/>
      <c r="H285" s="139"/>
      <c r="I285" s="105"/>
      <c r="J285" s="105"/>
      <c r="K285" s="105"/>
      <c r="L285" s="105"/>
      <c r="M285" s="139"/>
      <c r="N285" s="105"/>
      <c r="O285" s="105"/>
      <c r="P285" s="105"/>
      <c r="Q285" s="105"/>
      <c r="R285" s="139"/>
      <c r="S285" s="105"/>
      <c r="T285" s="105"/>
      <c r="U285" s="105"/>
      <c r="V285" s="105"/>
      <c r="W285" s="139"/>
      <c r="X285" s="105"/>
      <c r="Y285" s="105"/>
      <c r="Z285" s="105"/>
      <c r="AA285" s="105"/>
      <c r="AB285" s="139"/>
      <c r="AC285" s="105"/>
      <c r="AD285" s="105"/>
      <c r="AE285" s="105"/>
      <c r="AF285" s="105"/>
      <c r="AG285" s="139"/>
      <c r="AH285" s="105"/>
      <c r="AI285" s="105"/>
      <c r="AJ285" s="105"/>
      <c r="AK285" s="105"/>
      <c r="AL285" s="139"/>
      <c r="AM285" s="105"/>
      <c r="AN285" s="105"/>
      <c r="AO285" s="105"/>
      <c r="AP285" s="105"/>
      <c r="AQ285" s="139"/>
      <c r="AR285" s="105"/>
      <c r="AS285" s="105"/>
      <c r="AT285" s="105"/>
      <c r="AU285" s="105"/>
      <c r="AV285" s="139"/>
      <c r="AW285" s="105"/>
      <c r="AX285" s="105"/>
      <c r="AY285" s="105"/>
      <c r="AZ285" s="105"/>
      <c r="BA285" s="139"/>
      <c r="BB285" s="105"/>
      <c r="BC285" s="105"/>
      <c r="BD285" s="105"/>
      <c r="BE285" s="105"/>
      <c r="BF285" s="139"/>
      <c r="BG285" s="105"/>
      <c r="BH285" s="105"/>
      <c r="BI285" s="105"/>
      <c r="BJ285" s="105"/>
      <c r="BK285" s="139"/>
      <c r="BL285" s="105"/>
      <c r="BM285" s="105"/>
      <c r="BN285" s="105"/>
      <c r="BO285" s="105"/>
      <c r="BP285" s="139"/>
      <c r="BQ285" s="105"/>
      <c r="BR285" s="105"/>
      <c r="BS285" s="105"/>
      <c r="BT285" s="105"/>
      <c r="BU285" s="139"/>
      <c r="BV285" s="105"/>
      <c r="BW285" s="105"/>
      <c r="BX285" s="105"/>
      <c r="BY285" s="105"/>
      <c r="BZ285" s="139"/>
      <c r="CA285" s="105"/>
      <c r="CB285" s="105"/>
      <c r="CC285" s="105"/>
      <c r="CD285" s="105"/>
      <c r="CE285" s="139"/>
      <c r="CF285" s="105"/>
      <c r="CG285" s="105"/>
      <c r="CH285" s="105"/>
      <c r="CI285" s="105"/>
      <c r="CJ285" s="139"/>
      <c r="CK285" s="105"/>
      <c r="CL285" s="105"/>
      <c r="CM285" s="105"/>
      <c r="CN285" s="105"/>
      <c r="CO285" s="139"/>
      <c r="CP285" s="105"/>
      <c r="CQ285" s="105"/>
      <c r="CR285" s="105"/>
      <c r="CS285" s="105"/>
      <c r="CT285" s="139"/>
      <c r="CU285" s="105"/>
      <c r="CV285" s="105"/>
      <c r="CW285" s="105"/>
      <c r="CX285" s="105"/>
      <c r="CY285" s="139"/>
      <c r="CZ285" s="105"/>
      <c r="DA285" s="105"/>
      <c r="DB285" s="105"/>
      <c r="DC285" s="105"/>
      <c r="DD285" s="139"/>
      <c r="DE285" s="105"/>
      <c r="DF285" s="105"/>
      <c r="DG285" s="105"/>
      <c r="DH285" s="105"/>
      <c r="DI285" s="139"/>
      <c r="DJ285" s="105"/>
      <c r="DK285" s="105"/>
      <c r="DL285" s="105"/>
      <c r="DM285" s="105"/>
      <c r="DN285" s="139"/>
      <c r="DO285" s="105"/>
      <c r="DP285" s="105"/>
      <c r="DQ285" s="105"/>
      <c r="DR285" s="105"/>
      <c r="DS285" s="139"/>
      <c r="DT285" s="105"/>
      <c r="DU285" s="105"/>
      <c r="DV285" s="105"/>
      <c r="DW285" s="105"/>
      <c r="DX285" s="139"/>
      <c r="DY285" s="105"/>
      <c r="DZ285" s="105"/>
      <c r="EA285" s="105"/>
      <c r="EB285" s="105"/>
      <c r="EC285" s="139"/>
      <c r="ED285" s="105"/>
      <c r="EE285" s="105"/>
      <c r="EF285" s="105"/>
      <c r="EG285" s="105"/>
      <c r="EH285" s="139"/>
      <c r="EI285" s="105"/>
      <c r="EJ285" s="105"/>
      <c r="EK285" s="105"/>
      <c r="EL285" s="105"/>
      <c r="EM285" s="139"/>
      <c r="EN285" s="105"/>
      <c r="EO285" s="105"/>
      <c r="EP285" s="105"/>
      <c r="EQ285" s="105"/>
      <c r="ER285" s="139"/>
      <c r="ES285" s="105"/>
      <c r="ET285" s="105"/>
      <c r="EU285" s="105"/>
      <c r="EV285" s="105"/>
      <c r="EW285" s="139"/>
      <c r="EX285" s="105"/>
      <c r="EY285" s="105"/>
      <c r="EZ285" s="105"/>
      <c r="FA285" s="105"/>
      <c r="FB285" s="139"/>
      <c r="FC285" s="105"/>
      <c r="FD285" s="105"/>
      <c r="FE285" s="105"/>
      <c r="FF285" s="105"/>
      <c r="FG285" s="139"/>
      <c r="FH285" s="105"/>
      <c r="FI285" s="105"/>
      <c r="FJ285" s="105"/>
      <c r="FK285" s="105"/>
      <c r="FL285" s="139"/>
      <c r="FM285" s="105"/>
      <c r="FN285" s="105"/>
      <c r="FO285" s="105"/>
      <c r="FP285" s="105"/>
      <c r="FQ285" s="139"/>
      <c r="FR285" s="105"/>
      <c r="FS285" s="105"/>
      <c r="FT285" s="105"/>
      <c r="FU285" s="105"/>
      <c r="FV285" s="139"/>
      <c r="FW285" s="105"/>
      <c r="FX285" s="105"/>
      <c r="FY285" s="105"/>
      <c r="FZ285" s="105"/>
      <c r="GA285" s="139"/>
      <c r="GB285" s="105"/>
      <c r="GC285" s="105"/>
      <c r="GD285" s="105"/>
      <c r="GE285" s="105"/>
      <c r="GF285" s="139"/>
      <c r="GG285" s="105"/>
      <c r="GH285" s="105"/>
      <c r="GI285" s="105"/>
      <c r="GJ285" s="105"/>
    </row>
    <row r="288" spans="1:192" s="93" customFormat="1" ht="12.75" customHeight="1">
      <c r="A288" s="68"/>
      <c r="B288" s="677"/>
      <c r="C288" s="183"/>
      <c r="D288" s="184"/>
      <c r="E288" s="184"/>
      <c r="F288" s="184"/>
      <c r="G288" s="184"/>
      <c r="H288" s="183"/>
      <c r="I288" s="184"/>
      <c r="J288" s="184"/>
      <c r="K288" s="184"/>
      <c r="L288" s="184"/>
      <c r="M288" s="183"/>
      <c r="N288" s="184"/>
      <c r="O288" s="184"/>
      <c r="P288" s="184"/>
      <c r="Q288" s="184"/>
      <c r="R288" s="183"/>
      <c r="S288" s="184"/>
      <c r="T288" s="184"/>
      <c r="U288" s="184"/>
      <c r="V288" s="184"/>
      <c r="W288" s="183"/>
      <c r="X288" s="184"/>
      <c r="Y288" s="184"/>
      <c r="Z288" s="184"/>
      <c r="AA288" s="184"/>
      <c r="AB288" s="183"/>
      <c r="AC288" s="184"/>
      <c r="AD288" s="184"/>
      <c r="AE288" s="184"/>
      <c r="AF288" s="184"/>
      <c r="AG288" s="183"/>
      <c r="AH288" s="184"/>
      <c r="AI288" s="184"/>
      <c r="AJ288" s="184"/>
      <c r="AK288" s="184"/>
      <c r="AL288" s="183"/>
      <c r="AM288" s="184"/>
      <c r="AN288" s="184"/>
      <c r="AO288" s="184"/>
      <c r="AP288" s="184"/>
      <c r="AQ288" s="183"/>
      <c r="AR288" s="184"/>
      <c r="AS288" s="184"/>
      <c r="AT288" s="184"/>
      <c r="AU288" s="184"/>
      <c r="AV288" s="183"/>
      <c r="AW288" s="184"/>
      <c r="AX288" s="184"/>
      <c r="AY288" s="184"/>
      <c r="AZ288" s="184"/>
      <c r="BA288" s="183"/>
      <c r="BB288" s="184"/>
      <c r="BC288" s="184"/>
      <c r="BD288" s="184"/>
      <c r="BE288" s="184"/>
      <c r="BF288" s="183"/>
      <c r="BG288" s="184"/>
      <c r="BH288" s="184"/>
      <c r="BI288" s="184"/>
      <c r="BJ288" s="184"/>
      <c r="BK288" s="183"/>
      <c r="BL288" s="184"/>
      <c r="BM288" s="184"/>
      <c r="BN288" s="184"/>
      <c r="BO288" s="184"/>
      <c r="BP288" s="183"/>
      <c r="BQ288" s="184"/>
      <c r="BR288" s="184"/>
      <c r="BS288" s="184"/>
      <c r="BT288" s="184"/>
      <c r="BU288" s="183"/>
      <c r="BV288" s="184"/>
      <c r="BW288" s="184"/>
      <c r="BX288" s="184"/>
      <c r="BY288" s="184"/>
      <c r="BZ288" s="183"/>
      <c r="CA288" s="184"/>
      <c r="CB288" s="184"/>
      <c r="CC288" s="184"/>
      <c r="CD288" s="184"/>
      <c r="CE288" s="183"/>
      <c r="CF288" s="184"/>
      <c r="CG288" s="184"/>
      <c r="CH288" s="184"/>
      <c r="CI288" s="184"/>
      <c r="CJ288" s="183"/>
      <c r="CK288" s="184"/>
      <c r="CL288" s="184"/>
      <c r="CM288" s="184"/>
      <c r="CN288" s="184"/>
      <c r="CO288" s="183"/>
      <c r="CP288" s="184"/>
      <c r="CQ288" s="184"/>
      <c r="CR288" s="184"/>
      <c r="CS288" s="184"/>
      <c r="CT288" s="183"/>
      <c r="CU288" s="184"/>
      <c r="CV288" s="184"/>
      <c r="CW288" s="184"/>
      <c r="CX288" s="184"/>
      <c r="CY288" s="183"/>
      <c r="CZ288" s="184"/>
      <c r="DA288" s="184"/>
      <c r="DB288" s="184"/>
      <c r="DC288" s="184"/>
      <c r="DD288" s="183"/>
      <c r="DE288" s="184"/>
      <c r="DF288" s="184"/>
      <c r="DG288" s="184"/>
      <c r="DH288" s="184"/>
      <c r="DI288" s="183"/>
      <c r="DJ288" s="184"/>
      <c r="DK288" s="184"/>
      <c r="DL288" s="184"/>
      <c r="DM288" s="184"/>
      <c r="DN288" s="183"/>
      <c r="DO288" s="184"/>
      <c r="DP288" s="184"/>
      <c r="DQ288" s="184"/>
      <c r="DR288" s="184"/>
      <c r="DS288" s="183"/>
      <c r="DT288" s="184"/>
      <c r="DU288" s="184"/>
      <c r="DV288" s="184"/>
      <c r="DW288" s="184"/>
      <c r="DX288" s="183"/>
      <c r="DY288" s="184"/>
      <c r="DZ288" s="184"/>
      <c r="EA288" s="184"/>
      <c r="EB288" s="184"/>
      <c r="EC288" s="183"/>
      <c r="ED288" s="184"/>
      <c r="EE288" s="184"/>
      <c r="EF288" s="184"/>
      <c r="EG288" s="184"/>
      <c r="EH288" s="183"/>
      <c r="EI288" s="184"/>
      <c r="EJ288" s="184"/>
      <c r="EK288" s="184"/>
      <c r="EL288" s="184"/>
      <c r="EM288" s="183"/>
      <c r="EN288" s="184"/>
      <c r="EO288" s="184"/>
      <c r="EP288" s="184"/>
      <c r="EQ288" s="184"/>
      <c r="ER288" s="183"/>
      <c r="ES288" s="184"/>
      <c r="ET288" s="184"/>
      <c r="EU288" s="184"/>
      <c r="EV288" s="184"/>
      <c r="EW288" s="183"/>
      <c r="EX288" s="184"/>
      <c r="EY288" s="184"/>
      <c r="EZ288" s="184"/>
      <c r="FA288" s="184"/>
      <c r="FB288" s="183"/>
      <c r="FC288" s="184"/>
      <c r="FD288" s="184"/>
      <c r="FE288" s="184"/>
      <c r="FF288" s="184"/>
      <c r="FG288" s="183"/>
      <c r="FH288" s="184"/>
      <c r="FI288" s="184"/>
      <c r="FJ288" s="184"/>
      <c r="FK288" s="184"/>
      <c r="FL288" s="183"/>
      <c r="FM288" s="184"/>
      <c r="FN288" s="184"/>
      <c r="FO288" s="184"/>
      <c r="FP288" s="184"/>
      <c r="FQ288" s="183"/>
      <c r="FR288" s="184"/>
      <c r="FS288" s="184"/>
      <c r="FT288" s="184"/>
      <c r="FU288" s="184"/>
      <c r="FV288" s="183"/>
      <c r="FW288" s="184"/>
      <c r="FX288" s="184"/>
      <c r="FY288" s="184"/>
      <c r="FZ288" s="184"/>
      <c r="GA288" s="183"/>
      <c r="GB288" s="184"/>
      <c r="GC288" s="184"/>
      <c r="GD288" s="184"/>
      <c r="GE288" s="184"/>
      <c r="GF288" s="183"/>
      <c r="GG288" s="184"/>
      <c r="GH288" s="184"/>
      <c r="GI288" s="184"/>
      <c r="GJ288" s="184"/>
    </row>
    <row r="291" spans="1:192" s="93" customFormat="1" ht="12.75" customHeight="1">
      <c r="A291" s="68"/>
      <c r="B291" s="677"/>
      <c r="C291" s="139"/>
      <c r="D291" s="105"/>
      <c r="E291" s="105"/>
      <c r="F291" s="105"/>
      <c r="G291" s="105"/>
      <c r="H291" s="139"/>
      <c r="I291" s="105"/>
      <c r="J291" s="105"/>
      <c r="K291" s="105"/>
      <c r="L291" s="105"/>
      <c r="M291" s="139"/>
      <c r="N291" s="105"/>
      <c r="O291" s="105"/>
      <c r="P291" s="105"/>
      <c r="Q291" s="105"/>
      <c r="R291" s="139"/>
      <c r="S291" s="105"/>
      <c r="T291" s="105"/>
      <c r="U291" s="105"/>
      <c r="V291" s="105"/>
      <c r="W291" s="139"/>
      <c r="X291" s="105"/>
      <c r="Y291" s="105"/>
      <c r="Z291" s="105"/>
      <c r="AA291" s="105"/>
      <c r="AB291" s="139"/>
      <c r="AC291" s="105"/>
      <c r="AD291" s="105"/>
      <c r="AE291" s="105"/>
      <c r="AF291" s="105"/>
      <c r="AG291" s="139"/>
      <c r="AH291" s="105"/>
      <c r="AI291" s="105"/>
      <c r="AJ291" s="105"/>
      <c r="AK291" s="105"/>
      <c r="AL291" s="139"/>
      <c r="AM291" s="105"/>
      <c r="AN291" s="105"/>
      <c r="AO291" s="105"/>
      <c r="AP291" s="105"/>
      <c r="AQ291" s="139"/>
      <c r="AR291" s="105"/>
      <c r="AS291" s="105"/>
      <c r="AT291" s="105"/>
      <c r="AU291" s="105"/>
      <c r="AV291" s="139"/>
      <c r="AW291" s="105"/>
      <c r="AX291" s="105"/>
      <c r="AY291" s="105"/>
      <c r="AZ291" s="105"/>
      <c r="BA291" s="139"/>
      <c r="BB291" s="105"/>
      <c r="BC291" s="105"/>
      <c r="BD291" s="105"/>
      <c r="BE291" s="105"/>
      <c r="BF291" s="139"/>
      <c r="BG291" s="105"/>
      <c r="BH291" s="105"/>
      <c r="BI291" s="105"/>
      <c r="BJ291" s="105"/>
      <c r="BK291" s="139"/>
      <c r="BL291" s="105"/>
      <c r="BM291" s="105"/>
      <c r="BN291" s="105"/>
      <c r="BO291" s="105"/>
      <c r="BP291" s="139"/>
      <c r="BQ291" s="105"/>
      <c r="BR291" s="105"/>
      <c r="BS291" s="105"/>
      <c r="BT291" s="105"/>
      <c r="BU291" s="139"/>
      <c r="BV291" s="105"/>
      <c r="BW291" s="105"/>
      <c r="BX291" s="105"/>
      <c r="BY291" s="105"/>
      <c r="BZ291" s="139"/>
      <c r="CA291" s="105"/>
      <c r="CB291" s="105"/>
      <c r="CC291" s="105"/>
      <c r="CD291" s="105"/>
      <c r="CE291" s="139"/>
      <c r="CF291" s="105"/>
      <c r="CG291" s="105"/>
      <c r="CH291" s="105"/>
      <c r="CI291" s="105"/>
      <c r="CJ291" s="139"/>
      <c r="CK291" s="105"/>
      <c r="CL291" s="105"/>
      <c r="CM291" s="105"/>
      <c r="CN291" s="105"/>
      <c r="CO291" s="139"/>
      <c r="CP291" s="105"/>
      <c r="CQ291" s="105"/>
      <c r="CR291" s="105"/>
      <c r="CS291" s="105"/>
      <c r="CT291" s="139"/>
      <c r="CU291" s="105"/>
      <c r="CV291" s="105"/>
      <c r="CW291" s="105"/>
      <c r="CX291" s="105"/>
      <c r="CY291" s="139"/>
      <c r="CZ291" s="105"/>
      <c r="DA291" s="105"/>
      <c r="DB291" s="105"/>
      <c r="DC291" s="105"/>
      <c r="DD291" s="139"/>
      <c r="DE291" s="105"/>
      <c r="DF291" s="105"/>
      <c r="DG291" s="105"/>
      <c r="DH291" s="105"/>
      <c r="DI291" s="139"/>
      <c r="DJ291" s="105"/>
      <c r="DK291" s="105"/>
      <c r="DL291" s="105"/>
      <c r="DM291" s="105"/>
      <c r="DN291" s="139"/>
      <c r="DO291" s="105"/>
      <c r="DP291" s="105"/>
      <c r="DQ291" s="105"/>
      <c r="DR291" s="105"/>
      <c r="DS291" s="139"/>
      <c r="DT291" s="105"/>
      <c r="DU291" s="105"/>
      <c r="DV291" s="105"/>
      <c r="DW291" s="105"/>
      <c r="DX291" s="139"/>
      <c r="DY291" s="105"/>
      <c r="DZ291" s="105"/>
      <c r="EA291" s="105"/>
      <c r="EB291" s="105"/>
      <c r="EC291" s="139"/>
      <c r="ED291" s="105"/>
      <c r="EE291" s="105"/>
      <c r="EF291" s="105"/>
      <c r="EG291" s="105"/>
      <c r="EH291" s="139"/>
      <c r="EI291" s="105"/>
      <c r="EJ291" s="105"/>
      <c r="EK291" s="105"/>
      <c r="EL291" s="105"/>
      <c r="EM291" s="139"/>
      <c r="EN291" s="105"/>
      <c r="EO291" s="105"/>
      <c r="EP291" s="105"/>
      <c r="EQ291" s="105"/>
      <c r="ER291" s="139"/>
      <c r="ES291" s="105"/>
      <c r="ET291" s="105"/>
      <c r="EU291" s="105"/>
      <c r="EV291" s="105"/>
      <c r="EW291" s="139"/>
      <c r="EX291" s="105"/>
      <c r="EY291" s="105"/>
      <c r="EZ291" s="105"/>
      <c r="FA291" s="105"/>
      <c r="FB291" s="139"/>
      <c r="FC291" s="105"/>
      <c r="FD291" s="105"/>
      <c r="FE291" s="105"/>
      <c r="FF291" s="105"/>
      <c r="FG291" s="139"/>
      <c r="FH291" s="105"/>
      <c r="FI291" s="105"/>
      <c r="FJ291" s="105"/>
      <c r="FK291" s="105"/>
      <c r="FL291" s="139"/>
      <c r="FM291" s="105"/>
      <c r="FN291" s="105"/>
      <c r="FO291" s="105"/>
      <c r="FP291" s="105"/>
      <c r="FQ291" s="139"/>
      <c r="FR291" s="105"/>
      <c r="FS291" s="105"/>
      <c r="FT291" s="105"/>
      <c r="FU291" s="105"/>
      <c r="FV291" s="139"/>
      <c r="FW291" s="105"/>
      <c r="FX291" s="105"/>
      <c r="FY291" s="105"/>
      <c r="FZ291" s="105"/>
      <c r="GA291" s="139"/>
      <c r="GB291" s="105"/>
      <c r="GC291" s="105"/>
      <c r="GD291" s="105"/>
      <c r="GE291" s="105"/>
      <c r="GF291" s="139"/>
      <c r="GG291" s="105"/>
      <c r="GH291" s="105"/>
      <c r="GI291" s="105"/>
      <c r="GJ291" s="105"/>
    </row>
    <row r="292" spans="1:192" s="93" customFormat="1" ht="12.75" customHeight="1">
      <c r="A292" s="68"/>
      <c r="B292" s="677"/>
      <c r="C292" s="185"/>
      <c r="D292" s="186"/>
      <c r="E292" s="186"/>
      <c r="F292" s="186"/>
      <c r="G292" s="186"/>
      <c r="H292" s="185"/>
      <c r="I292" s="186"/>
      <c r="J292" s="186"/>
      <c r="K292" s="186"/>
      <c r="L292" s="186"/>
      <c r="M292" s="185"/>
      <c r="N292" s="186"/>
      <c r="O292" s="186"/>
      <c r="P292" s="186"/>
      <c r="Q292" s="186"/>
      <c r="R292" s="185"/>
      <c r="S292" s="186"/>
      <c r="T292" s="186"/>
      <c r="U292" s="186"/>
      <c r="V292" s="186"/>
      <c r="W292" s="185"/>
      <c r="X292" s="186"/>
      <c r="Y292" s="186"/>
      <c r="Z292" s="186"/>
      <c r="AA292" s="186"/>
      <c r="AB292" s="185"/>
      <c r="AC292" s="186"/>
      <c r="AD292" s="186"/>
      <c r="AE292" s="186"/>
      <c r="AF292" s="186"/>
      <c r="AG292" s="185"/>
      <c r="AH292" s="186"/>
      <c r="AI292" s="186"/>
      <c r="AJ292" s="186"/>
      <c r="AK292" s="186"/>
      <c r="AL292" s="185"/>
      <c r="AM292" s="186"/>
      <c r="AN292" s="186"/>
      <c r="AO292" s="186"/>
      <c r="AP292" s="186"/>
      <c r="AQ292" s="185"/>
      <c r="AR292" s="186"/>
      <c r="AS292" s="186"/>
      <c r="AT292" s="186"/>
      <c r="AU292" s="186"/>
      <c r="AV292" s="185"/>
      <c r="AW292" s="186"/>
      <c r="AX292" s="186"/>
      <c r="AY292" s="186"/>
      <c r="AZ292" s="186"/>
      <c r="BA292" s="185"/>
      <c r="BB292" s="186"/>
      <c r="BC292" s="186"/>
      <c r="BD292" s="186"/>
      <c r="BE292" s="186"/>
      <c r="BF292" s="185"/>
      <c r="BG292" s="186"/>
      <c r="BH292" s="186"/>
      <c r="BI292" s="186"/>
      <c r="BJ292" s="186"/>
      <c r="BK292" s="185"/>
      <c r="BL292" s="186"/>
      <c r="BM292" s="186"/>
      <c r="BN292" s="186"/>
      <c r="BO292" s="186"/>
      <c r="BP292" s="185"/>
      <c r="BQ292" s="186"/>
      <c r="BR292" s="186"/>
      <c r="BS292" s="186"/>
      <c r="BT292" s="186"/>
      <c r="BU292" s="185"/>
      <c r="BV292" s="186"/>
      <c r="BW292" s="186"/>
      <c r="BX292" s="186"/>
      <c r="BY292" s="186"/>
      <c r="BZ292" s="185"/>
      <c r="CA292" s="186"/>
      <c r="CB292" s="186"/>
      <c r="CC292" s="186"/>
      <c r="CD292" s="186"/>
      <c r="CE292" s="185"/>
      <c r="CF292" s="186"/>
      <c r="CG292" s="186"/>
      <c r="CH292" s="186"/>
      <c r="CI292" s="186"/>
      <c r="CJ292" s="185"/>
      <c r="CK292" s="186"/>
      <c r="CL292" s="186"/>
      <c r="CM292" s="186"/>
      <c r="CN292" s="186"/>
      <c r="CO292" s="185"/>
      <c r="CP292" s="186"/>
      <c r="CQ292" s="186"/>
      <c r="CR292" s="186"/>
      <c r="CS292" s="186"/>
      <c r="CT292" s="185"/>
      <c r="CU292" s="186"/>
      <c r="CV292" s="186"/>
      <c r="CW292" s="186"/>
      <c r="CX292" s="186"/>
      <c r="CY292" s="185"/>
      <c r="CZ292" s="186"/>
      <c r="DA292" s="186"/>
      <c r="DB292" s="186"/>
      <c r="DC292" s="186"/>
      <c r="DD292" s="185"/>
      <c r="DE292" s="186"/>
      <c r="DF292" s="186"/>
      <c r="DG292" s="186"/>
      <c r="DH292" s="186"/>
      <c r="DI292" s="185"/>
      <c r="DJ292" s="186"/>
      <c r="DK292" s="186"/>
      <c r="DL292" s="186"/>
      <c r="DM292" s="186"/>
      <c r="DN292" s="185"/>
      <c r="DO292" s="186"/>
      <c r="DP292" s="186"/>
      <c r="DQ292" s="186"/>
      <c r="DR292" s="186"/>
      <c r="DS292" s="185"/>
      <c r="DT292" s="186"/>
      <c r="DU292" s="186"/>
      <c r="DV292" s="186"/>
      <c r="DW292" s="186"/>
      <c r="DX292" s="185"/>
      <c r="DY292" s="186"/>
      <c r="DZ292" s="186"/>
      <c r="EA292" s="186"/>
      <c r="EB292" s="186"/>
      <c r="EC292" s="185"/>
      <c r="ED292" s="186"/>
      <c r="EE292" s="186"/>
      <c r="EF292" s="186"/>
      <c r="EG292" s="186"/>
      <c r="EH292" s="185"/>
      <c r="EI292" s="186"/>
      <c r="EJ292" s="186"/>
      <c r="EK292" s="186"/>
      <c r="EL292" s="186"/>
      <c r="EM292" s="185"/>
      <c r="EN292" s="186"/>
      <c r="EO292" s="186"/>
      <c r="EP292" s="186"/>
      <c r="EQ292" s="186"/>
      <c r="ER292" s="185"/>
      <c r="ES292" s="186"/>
      <c r="ET292" s="186"/>
      <c r="EU292" s="186"/>
      <c r="EV292" s="186"/>
      <c r="EW292" s="185"/>
      <c r="EX292" s="186"/>
      <c r="EY292" s="186"/>
      <c r="EZ292" s="186"/>
      <c r="FA292" s="186"/>
      <c r="FB292" s="185"/>
      <c r="FC292" s="186"/>
      <c r="FD292" s="186"/>
      <c r="FE292" s="186"/>
      <c r="FF292" s="186"/>
      <c r="FG292" s="185"/>
      <c r="FH292" s="186"/>
      <c r="FI292" s="186"/>
      <c r="FJ292" s="186"/>
      <c r="FK292" s="186"/>
      <c r="FL292" s="185"/>
      <c r="FM292" s="186"/>
      <c r="FN292" s="186"/>
      <c r="FO292" s="186"/>
      <c r="FP292" s="186"/>
      <c r="FQ292" s="185"/>
      <c r="FR292" s="186"/>
      <c r="FS292" s="186"/>
      <c r="FT292" s="186"/>
      <c r="FU292" s="186"/>
      <c r="FV292" s="185"/>
      <c r="FW292" s="186"/>
      <c r="FX292" s="186"/>
      <c r="FY292" s="186"/>
      <c r="FZ292" s="186"/>
      <c r="GA292" s="185"/>
      <c r="GB292" s="186"/>
      <c r="GC292" s="186"/>
      <c r="GD292" s="186"/>
      <c r="GE292" s="186"/>
      <c r="GF292" s="185"/>
      <c r="GG292" s="186"/>
      <c r="GH292" s="186"/>
      <c r="GI292" s="186"/>
      <c r="GJ292" s="186"/>
    </row>
    <row r="293" spans="1:192" s="93" customFormat="1" ht="12.75" customHeight="1">
      <c r="A293" s="68"/>
      <c r="B293" s="677"/>
      <c r="C293" s="181"/>
      <c r="D293" s="105"/>
      <c r="E293" s="105"/>
      <c r="F293" s="105"/>
      <c r="G293" s="105"/>
      <c r="H293" s="181"/>
      <c r="I293" s="105"/>
      <c r="J293" s="105"/>
      <c r="K293" s="105"/>
      <c r="L293" s="105"/>
      <c r="M293" s="181"/>
      <c r="N293" s="105"/>
      <c r="O293" s="105"/>
      <c r="P293" s="105"/>
      <c r="Q293" s="105"/>
      <c r="R293" s="181"/>
      <c r="S293" s="105"/>
      <c r="T293" s="105"/>
      <c r="U293" s="105"/>
      <c r="V293" s="105"/>
      <c r="W293" s="181"/>
      <c r="X293" s="105"/>
      <c r="Y293" s="105"/>
      <c r="Z293" s="105"/>
      <c r="AA293" s="105"/>
      <c r="AB293" s="181"/>
      <c r="AC293" s="105"/>
      <c r="AD293" s="105"/>
      <c r="AE293" s="105"/>
      <c r="AF293" s="105"/>
      <c r="AG293" s="181"/>
      <c r="AH293" s="105"/>
      <c r="AI293" s="105"/>
      <c r="AJ293" s="105"/>
      <c r="AK293" s="105"/>
      <c r="AL293" s="181"/>
      <c r="AM293" s="105"/>
      <c r="AN293" s="105"/>
      <c r="AO293" s="105"/>
      <c r="AP293" s="105"/>
      <c r="AQ293" s="181"/>
      <c r="AR293" s="105"/>
      <c r="AS293" s="105"/>
      <c r="AT293" s="105"/>
      <c r="AU293" s="105"/>
      <c r="AV293" s="181"/>
      <c r="AW293" s="105"/>
      <c r="AX293" s="105"/>
      <c r="AY293" s="105"/>
      <c r="AZ293" s="105"/>
      <c r="BA293" s="181"/>
      <c r="BB293" s="105"/>
      <c r="BC293" s="105"/>
      <c r="BD293" s="105"/>
      <c r="BE293" s="105"/>
      <c r="BF293" s="181"/>
      <c r="BG293" s="105"/>
      <c r="BH293" s="105"/>
      <c r="BI293" s="105"/>
      <c r="BJ293" s="105"/>
      <c r="BK293" s="181"/>
      <c r="BL293" s="105"/>
      <c r="BM293" s="105"/>
      <c r="BN293" s="105"/>
      <c r="BO293" s="105"/>
      <c r="BP293" s="181"/>
      <c r="BQ293" s="105"/>
      <c r="BR293" s="105"/>
      <c r="BS293" s="105"/>
      <c r="BT293" s="105"/>
      <c r="BU293" s="181"/>
      <c r="BV293" s="105"/>
      <c r="BW293" s="105"/>
      <c r="BX293" s="105"/>
      <c r="BY293" s="105"/>
      <c r="BZ293" s="181"/>
      <c r="CA293" s="105"/>
      <c r="CB293" s="105"/>
      <c r="CC293" s="105"/>
      <c r="CD293" s="105"/>
      <c r="CE293" s="181"/>
      <c r="CF293" s="105"/>
      <c r="CG293" s="105"/>
      <c r="CH293" s="105"/>
      <c r="CI293" s="105"/>
      <c r="CJ293" s="181"/>
      <c r="CK293" s="105"/>
      <c r="CL293" s="105"/>
      <c r="CM293" s="105"/>
      <c r="CN293" s="105"/>
      <c r="CO293" s="181"/>
      <c r="CP293" s="105"/>
      <c r="CQ293" s="105"/>
      <c r="CR293" s="105"/>
      <c r="CS293" s="105"/>
      <c r="CT293" s="181"/>
      <c r="CU293" s="105"/>
      <c r="CV293" s="105"/>
      <c r="CW293" s="105"/>
      <c r="CX293" s="105"/>
      <c r="CY293" s="181"/>
      <c r="CZ293" s="105"/>
      <c r="DA293" s="105"/>
      <c r="DB293" s="105"/>
      <c r="DC293" s="105"/>
      <c r="DD293" s="181"/>
      <c r="DE293" s="105"/>
      <c r="DF293" s="105"/>
      <c r="DG293" s="105"/>
      <c r="DH293" s="105"/>
      <c r="DI293" s="181"/>
      <c r="DJ293" s="105"/>
      <c r="DK293" s="105"/>
      <c r="DL293" s="105"/>
      <c r="DM293" s="105"/>
      <c r="DN293" s="181"/>
      <c r="DO293" s="105"/>
      <c r="DP293" s="105"/>
      <c r="DQ293" s="105"/>
      <c r="DR293" s="105"/>
      <c r="DS293" s="181"/>
      <c r="DT293" s="105"/>
      <c r="DU293" s="105"/>
      <c r="DV293" s="105"/>
      <c r="DW293" s="105"/>
      <c r="DX293" s="181"/>
      <c r="DY293" s="105"/>
      <c r="DZ293" s="105"/>
      <c r="EA293" s="105"/>
      <c r="EB293" s="105"/>
      <c r="EC293" s="181"/>
      <c r="ED293" s="105"/>
      <c r="EE293" s="105"/>
      <c r="EF293" s="105"/>
      <c r="EG293" s="105"/>
      <c r="EH293" s="181"/>
      <c r="EI293" s="105"/>
      <c r="EJ293" s="105"/>
      <c r="EK293" s="105"/>
      <c r="EL293" s="105"/>
      <c r="EM293" s="181"/>
      <c r="EN293" s="105"/>
      <c r="EO293" s="105"/>
      <c r="EP293" s="105"/>
      <c r="EQ293" s="105"/>
      <c r="ER293" s="181"/>
      <c r="ES293" s="105"/>
      <c r="ET293" s="105"/>
      <c r="EU293" s="105"/>
      <c r="EV293" s="105"/>
      <c r="EW293" s="181"/>
      <c r="EX293" s="105"/>
      <c r="EY293" s="105"/>
      <c r="EZ293" s="105"/>
      <c r="FA293" s="105"/>
      <c r="FB293" s="181"/>
      <c r="FC293" s="105"/>
      <c r="FD293" s="105"/>
      <c r="FE293" s="105"/>
      <c r="FF293" s="105"/>
      <c r="FG293" s="181"/>
      <c r="FH293" s="105"/>
      <c r="FI293" s="105"/>
      <c r="FJ293" s="105"/>
      <c r="FK293" s="105"/>
      <c r="FL293" s="181"/>
      <c r="FM293" s="105"/>
      <c r="FN293" s="105"/>
      <c r="FO293" s="105"/>
      <c r="FP293" s="105"/>
      <c r="FQ293" s="181"/>
      <c r="FR293" s="105"/>
      <c r="FS293" s="105"/>
      <c r="FT293" s="105"/>
      <c r="FU293" s="105"/>
      <c r="FV293" s="181"/>
      <c r="FW293" s="105"/>
      <c r="FX293" s="105"/>
      <c r="FY293" s="105"/>
      <c r="FZ293" s="105"/>
      <c r="GA293" s="181"/>
      <c r="GB293" s="105"/>
      <c r="GC293" s="105"/>
      <c r="GD293" s="105"/>
      <c r="GE293" s="105"/>
      <c r="GF293" s="181"/>
      <c r="GG293" s="105"/>
      <c r="GH293" s="105"/>
      <c r="GI293" s="105"/>
      <c r="GJ293" s="105"/>
    </row>
    <row r="295" spans="1:192" s="93" customFormat="1" ht="12.75" customHeight="1">
      <c r="A295" s="68"/>
      <c r="B295" s="677"/>
      <c r="C295" s="176"/>
      <c r="D295" s="177"/>
      <c r="E295" s="177"/>
      <c r="F295" s="177"/>
      <c r="G295" s="177"/>
      <c r="H295" s="176"/>
      <c r="I295" s="177"/>
      <c r="J295" s="177"/>
      <c r="K295" s="177"/>
      <c r="L295" s="177"/>
      <c r="M295" s="176"/>
      <c r="N295" s="177"/>
      <c r="O295" s="177"/>
      <c r="P295" s="177"/>
      <c r="Q295" s="177"/>
      <c r="R295" s="176"/>
      <c r="S295" s="177"/>
      <c r="T295" s="177"/>
      <c r="U295" s="177"/>
      <c r="V295" s="177"/>
      <c r="W295" s="176"/>
      <c r="X295" s="177"/>
      <c r="Y295" s="177"/>
      <c r="Z295" s="177"/>
      <c r="AA295" s="177"/>
      <c r="AB295" s="176"/>
      <c r="AC295" s="177"/>
      <c r="AD295" s="177"/>
      <c r="AE295" s="177"/>
      <c r="AF295" s="177"/>
      <c r="AG295" s="176"/>
      <c r="AH295" s="177"/>
      <c r="AI295" s="177"/>
      <c r="AJ295" s="177"/>
      <c r="AK295" s="177"/>
      <c r="AL295" s="176"/>
      <c r="AM295" s="177"/>
      <c r="AN295" s="177"/>
      <c r="AO295" s="177"/>
      <c r="AP295" s="177"/>
      <c r="AQ295" s="176"/>
      <c r="AR295" s="177"/>
      <c r="AS295" s="177"/>
      <c r="AT295" s="177"/>
      <c r="AU295" s="177"/>
      <c r="AV295" s="176"/>
      <c r="AW295" s="177"/>
      <c r="AX295" s="177"/>
      <c r="AY295" s="177"/>
      <c r="AZ295" s="177"/>
      <c r="BA295" s="176"/>
      <c r="BB295" s="177"/>
      <c r="BC295" s="177"/>
      <c r="BD295" s="177"/>
      <c r="BE295" s="177"/>
      <c r="BF295" s="176"/>
      <c r="BG295" s="177"/>
      <c r="BH295" s="177"/>
      <c r="BI295" s="177"/>
      <c r="BJ295" s="177"/>
      <c r="BK295" s="176"/>
      <c r="BL295" s="177"/>
      <c r="BM295" s="177"/>
      <c r="BN295" s="177"/>
      <c r="BO295" s="177"/>
      <c r="BP295" s="176"/>
      <c r="BQ295" s="177"/>
      <c r="BR295" s="177"/>
      <c r="BS295" s="177"/>
      <c r="BT295" s="177"/>
      <c r="BU295" s="176"/>
      <c r="BV295" s="177"/>
      <c r="BW295" s="177"/>
      <c r="BX295" s="177"/>
      <c r="BY295" s="177"/>
      <c r="BZ295" s="176"/>
      <c r="CA295" s="177"/>
      <c r="CB295" s="177"/>
      <c r="CC295" s="177"/>
      <c r="CD295" s="177"/>
      <c r="CE295" s="176"/>
      <c r="CF295" s="177"/>
      <c r="CG295" s="177"/>
      <c r="CH295" s="177"/>
      <c r="CI295" s="177"/>
      <c r="CJ295" s="176"/>
      <c r="CK295" s="177"/>
      <c r="CL295" s="177"/>
      <c r="CM295" s="177"/>
      <c r="CN295" s="177"/>
      <c r="CO295" s="176"/>
      <c r="CP295" s="177"/>
      <c r="CQ295" s="177"/>
      <c r="CR295" s="177"/>
      <c r="CS295" s="177"/>
      <c r="CT295" s="176"/>
      <c r="CU295" s="177"/>
      <c r="CV295" s="177"/>
      <c r="CW295" s="177"/>
      <c r="CX295" s="177"/>
      <c r="CY295" s="176"/>
      <c r="CZ295" s="177"/>
      <c r="DA295" s="177"/>
      <c r="DB295" s="177"/>
      <c r="DC295" s="177"/>
      <c r="DD295" s="176"/>
      <c r="DE295" s="177"/>
      <c r="DF295" s="177"/>
      <c r="DG295" s="177"/>
      <c r="DH295" s="177"/>
      <c r="DI295" s="176"/>
      <c r="DJ295" s="177"/>
      <c r="DK295" s="177"/>
      <c r="DL295" s="177"/>
      <c r="DM295" s="177"/>
      <c r="DN295" s="176"/>
      <c r="DO295" s="177"/>
      <c r="DP295" s="177"/>
      <c r="DQ295" s="177"/>
      <c r="DR295" s="177"/>
      <c r="DS295" s="176"/>
      <c r="DT295" s="177"/>
      <c r="DU295" s="177"/>
      <c r="DV295" s="177"/>
      <c r="DW295" s="177"/>
      <c r="DX295" s="176"/>
      <c r="DY295" s="177"/>
      <c r="DZ295" s="177"/>
      <c r="EA295" s="177"/>
      <c r="EB295" s="177"/>
      <c r="EC295" s="176"/>
      <c r="ED295" s="177"/>
      <c r="EE295" s="177"/>
      <c r="EF295" s="177"/>
      <c r="EG295" s="177"/>
      <c r="EH295" s="176"/>
      <c r="EI295" s="177"/>
      <c r="EJ295" s="177"/>
      <c r="EK295" s="177"/>
      <c r="EL295" s="177"/>
      <c r="EM295" s="176"/>
      <c r="EN295" s="177"/>
      <c r="EO295" s="177"/>
      <c r="EP295" s="177"/>
      <c r="EQ295" s="177"/>
      <c r="ER295" s="176"/>
      <c r="ES295" s="177"/>
      <c r="ET295" s="177"/>
      <c r="EU295" s="177"/>
      <c r="EV295" s="177"/>
      <c r="EW295" s="176"/>
      <c r="EX295" s="177"/>
      <c r="EY295" s="177"/>
      <c r="EZ295" s="177"/>
      <c r="FA295" s="177"/>
      <c r="FB295" s="176"/>
      <c r="FC295" s="177"/>
      <c r="FD295" s="177"/>
      <c r="FE295" s="177"/>
      <c r="FF295" s="177"/>
      <c r="FG295" s="176"/>
      <c r="FH295" s="177"/>
      <c r="FI295" s="177"/>
      <c r="FJ295" s="177"/>
      <c r="FK295" s="177"/>
      <c r="FL295" s="176"/>
      <c r="FM295" s="177"/>
      <c r="FN295" s="177"/>
      <c r="FO295" s="177"/>
      <c r="FP295" s="177"/>
      <c r="FQ295" s="176"/>
      <c r="FR295" s="177"/>
      <c r="FS295" s="177"/>
      <c r="FT295" s="177"/>
      <c r="FU295" s="177"/>
      <c r="FV295" s="176"/>
      <c r="FW295" s="177"/>
      <c r="FX295" s="177"/>
      <c r="FY295" s="177"/>
      <c r="FZ295" s="177"/>
      <c r="GA295" s="176"/>
      <c r="GB295" s="177"/>
      <c r="GC295" s="177"/>
      <c r="GD295" s="177"/>
      <c r="GE295" s="177"/>
      <c r="GF295" s="176"/>
      <c r="GG295" s="177"/>
      <c r="GH295" s="177"/>
      <c r="GI295" s="177"/>
      <c r="GJ295" s="177"/>
    </row>
    <row r="296" spans="1:192" s="93" customFormat="1" ht="12.75" customHeight="1">
      <c r="A296" s="68"/>
      <c r="B296" s="677"/>
      <c r="C296" s="139"/>
      <c r="D296" s="105"/>
      <c r="E296" s="105"/>
      <c r="F296" s="105"/>
      <c r="G296" s="105"/>
      <c r="H296" s="139"/>
      <c r="I296" s="105"/>
      <c r="J296" s="105"/>
      <c r="K296" s="105"/>
      <c r="L296" s="105"/>
      <c r="M296" s="139"/>
      <c r="N296" s="105"/>
      <c r="O296" s="105"/>
      <c r="P296" s="105"/>
      <c r="Q296" s="105"/>
      <c r="R296" s="139"/>
      <c r="S296" s="105"/>
      <c r="T296" s="105"/>
      <c r="U296" s="105"/>
      <c r="V296" s="105"/>
      <c r="W296" s="139"/>
      <c r="X296" s="105"/>
      <c r="Y296" s="105"/>
      <c r="Z296" s="105"/>
      <c r="AA296" s="105"/>
      <c r="AB296" s="139"/>
      <c r="AC296" s="105"/>
      <c r="AD296" s="105"/>
      <c r="AE296" s="105"/>
      <c r="AF296" s="105"/>
      <c r="AG296" s="139"/>
      <c r="AH296" s="105"/>
      <c r="AI296" s="105"/>
      <c r="AJ296" s="105"/>
      <c r="AK296" s="105"/>
      <c r="AL296" s="139"/>
      <c r="AM296" s="105"/>
      <c r="AN296" s="105"/>
      <c r="AO296" s="105"/>
      <c r="AP296" s="105"/>
      <c r="AQ296" s="139"/>
      <c r="AR296" s="105"/>
      <c r="AS296" s="105"/>
      <c r="AT296" s="105"/>
      <c r="AU296" s="105"/>
      <c r="AV296" s="139"/>
      <c r="AW296" s="105"/>
      <c r="AX296" s="105"/>
      <c r="AY296" s="105"/>
      <c r="AZ296" s="105"/>
      <c r="BA296" s="139"/>
      <c r="BB296" s="105"/>
      <c r="BC296" s="105"/>
      <c r="BD296" s="105"/>
      <c r="BE296" s="105"/>
      <c r="BF296" s="139"/>
      <c r="BG296" s="105"/>
      <c r="BH296" s="105"/>
      <c r="BI296" s="105"/>
      <c r="BJ296" s="105"/>
      <c r="BK296" s="139"/>
      <c r="BL296" s="105"/>
      <c r="BM296" s="105"/>
      <c r="BN296" s="105"/>
      <c r="BO296" s="105"/>
      <c r="BP296" s="139"/>
      <c r="BQ296" s="105"/>
      <c r="BR296" s="105"/>
      <c r="BS296" s="105"/>
      <c r="BT296" s="105"/>
      <c r="BU296" s="139"/>
      <c r="BV296" s="105"/>
      <c r="BW296" s="105"/>
      <c r="BX296" s="105"/>
      <c r="BY296" s="105"/>
      <c r="BZ296" s="139"/>
      <c r="CA296" s="105"/>
      <c r="CB296" s="105"/>
      <c r="CC296" s="105"/>
      <c r="CD296" s="105"/>
      <c r="CE296" s="139"/>
      <c r="CF296" s="105"/>
      <c r="CG296" s="105"/>
      <c r="CH296" s="105"/>
      <c r="CI296" s="105"/>
      <c r="CJ296" s="139"/>
      <c r="CK296" s="105"/>
      <c r="CL296" s="105"/>
      <c r="CM296" s="105"/>
      <c r="CN296" s="105"/>
      <c r="CO296" s="139"/>
      <c r="CP296" s="105"/>
      <c r="CQ296" s="105"/>
      <c r="CR296" s="105"/>
      <c r="CS296" s="105"/>
      <c r="CT296" s="139"/>
      <c r="CU296" s="105"/>
      <c r="CV296" s="105"/>
      <c r="CW296" s="105"/>
      <c r="CX296" s="105"/>
      <c r="CY296" s="139"/>
      <c r="CZ296" s="105"/>
      <c r="DA296" s="105"/>
      <c r="DB296" s="105"/>
      <c r="DC296" s="105"/>
      <c r="DD296" s="139"/>
      <c r="DE296" s="105"/>
      <c r="DF296" s="105"/>
      <c r="DG296" s="105"/>
      <c r="DH296" s="105"/>
      <c r="DI296" s="139"/>
      <c r="DJ296" s="105"/>
      <c r="DK296" s="105"/>
      <c r="DL296" s="105"/>
      <c r="DM296" s="105"/>
      <c r="DN296" s="139"/>
      <c r="DO296" s="105"/>
      <c r="DP296" s="105"/>
      <c r="DQ296" s="105"/>
      <c r="DR296" s="105"/>
      <c r="DS296" s="139"/>
      <c r="DT296" s="105"/>
      <c r="DU296" s="105"/>
      <c r="DV296" s="105"/>
      <c r="DW296" s="105"/>
      <c r="DX296" s="139"/>
      <c r="DY296" s="105"/>
      <c r="DZ296" s="105"/>
      <c r="EA296" s="105"/>
      <c r="EB296" s="105"/>
      <c r="EC296" s="139"/>
      <c r="ED296" s="105"/>
      <c r="EE296" s="105"/>
      <c r="EF296" s="105"/>
      <c r="EG296" s="105"/>
      <c r="EH296" s="139"/>
      <c r="EI296" s="105"/>
      <c r="EJ296" s="105"/>
      <c r="EK296" s="105"/>
      <c r="EL296" s="105"/>
      <c r="EM296" s="139"/>
      <c r="EN296" s="105"/>
      <c r="EO296" s="105"/>
      <c r="EP296" s="105"/>
      <c r="EQ296" s="105"/>
      <c r="ER296" s="139"/>
      <c r="ES296" s="105"/>
      <c r="ET296" s="105"/>
      <c r="EU296" s="105"/>
      <c r="EV296" s="105"/>
      <c r="EW296" s="139"/>
      <c r="EX296" s="105"/>
      <c r="EY296" s="105"/>
      <c r="EZ296" s="105"/>
      <c r="FA296" s="105"/>
      <c r="FB296" s="139"/>
      <c r="FC296" s="105"/>
      <c r="FD296" s="105"/>
      <c r="FE296" s="105"/>
      <c r="FF296" s="105"/>
      <c r="FG296" s="139"/>
      <c r="FH296" s="105"/>
      <c r="FI296" s="105"/>
      <c r="FJ296" s="105"/>
      <c r="FK296" s="105"/>
      <c r="FL296" s="139"/>
      <c r="FM296" s="105"/>
      <c r="FN296" s="105"/>
      <c r="FO296" s="105"/>
      <c r="FP296" s="105"/>
      <c r="FQ296" s="139"/>
      <c r="FR296" s="105"/>
      <c r="FS296" s="105"/>
      <c r="FT296" s="105"/>
      <c r="FU296" s="105"/>
      <c r="FV296" s="139"/>
      <c r="FW296" s="105"/>
      <c r="FX296" s="105"/>
      <c r="FY296" s="105"/>
      <c r="FZ296" s="105"/>
      <c r="GA296" s="139"/>
      <c r="GB296" s="105"/>
      <c r="GC296" s="105"/>
      <c r="GD296" s="105"/>
      <c r="GE296" s="105"/>
      <c r="GF296" s="139"/>
      <c r="GG296" s="105"/>
      <c r="GH296" s="105"/>
      <c r="GI296" s="105"/>
      <c r="GJ296" s="105"/>
    </row>
    <row r="298" spans="1:192" s="93" customFormat="1" ht="12.75" customHeight="1">
      <c r="A298" s="68"/>
      <c r="B298" s="677"/>
      <c r="C298" s="187"/>
      <c r="D298" s="180"/>
      <c r="E298" s="180"/>
      <c r="F298" s="180"/>
      <c r="G298" s="180"/>
      <c r="H298" s="187"/>
      <c r="I298" s="180"/>
      <c r="J298" s="180"/>
      <c r="K298" s="180"/>
      <c r="L298" s="180"/>
      <c r="M298" s="187"/>
      <c r="N298" s="180"/>
      <c r="O298" s="180"/>
      <c r="P298" s="180"/>
      <c r="Q298" s="180"/>
      <c r="R298" s="187"/>
      <c r="S298" s="180"/>
      <c r="T298" s="180"/>
      <c r="U298" s="180"/>
      <c r="V298" s="180"/>
      <c r="W298" s="187"/>
      <c r="X298" s="180"/>
      <c r="Y298" s="180"/>
      <c r="Z298" s="180"/>
      <c r="AA298" s="180"/>
      <c r="AB298" s="187"/>
      <c r="AC298" s="180"/>
      <c r="AD298" s="180"/>
      <c r="AE298" s="180"/>
      <c r="AF298" s="180"/>
      <c r="AG298" s="187"/>
      <c r="AH298" s="180"/>
      <c r="AI298" s="180"/>
      <c r="AJ298" s="180"/>
      <c r="AK298" s="180"/>
      <c r="AL298" s="187"/>
      <c r="AM298" s="180"/>
      <c r="AN298" s="180"/>
      <c r="AO298" s="180"/>
      <c r="AP298" s="180"/>
      <c r="AQ298" s="187"/>
      <c r="AR298" s="180"/>
      <c r="AS298" s="180"/>
      <c r="AT298" s="180"/>
      <c r="AU298" s="180"/>
      <c r="AV298" s="187"/>
      <c r="AW298" s="180"/>
      <c r="AX298" s="180"/>
      <c r="AY298" s="180"/>
      <c r="AZ298" s="180"/>
      <c r="BA298" s="187"/>
      <c r="BB298" s="180"/>
      <c r="BC298" s="180"/>
      <c r="BD298" s="180"/>
      <c r="BE298" s="180"/>
      <c r="BF298" s="187"/>
      <c r="BG298" s="180"/>
      <c r="BH298" s="180"/>
      <c r="BI298" s="180"/>
      <c r="BJ298" s="180"/>
      <c r="BK298" s="187"/>
      <c r="BL298" s="180"/>
      <c r="BM298" s="180"/>
      <c r="BN298" s="180"/>
      <c r="BO298" s="180"/>
      <c r="BP298" s="187"/>
      <c r="BQ298" s="180"/>
      <c r="BR298" s="180"/>
      <c r="BS298" s="180"/>
      <c r="BT298" s="180"/>
      <c r="BU298" s="187"/>
      <c r="BV298" s="180"/>
      <c r="BW298" s="180"/>
      <c r="BX298" s="180"/>
      <c r="BY298" s="180"/>
      <c r="BZ298" s="187"/>
      <c r="CA298" s="180"/>
      <c r="CB298" s="180"/>
      <c r="CC298" s="180"/>
      <c r="CD298" s="180"/>
      <c r="CE298" s="187"/>
      <c r="CF298" s="180"/>
      <c r="CG298" s="180"/>
      <c r="CH298" s="180"/>
      <c r="CI298" s="180"/>
      <c r="CJ298" s="187"/>
      <c r="CK298" s="180"/>
      <c r="CL298" s="180"/>
      <c r="CM298" s="180"/>
      <c r="CN298" s="180"/>
      <c r="CO298" s="187"/>
      <c r="CP298" s="180"/>
      <c r="CQ298" s="180"/>
      <c r="CR298" s="180"/>
      <c r="CS298" s="180"/>
      <c r="CT298" s="187"/>
      <c r="CU298" s="180"/>
      <c r="CV298" s="180"/>
      <c r="CW298" s="180"/>
      <c r="CX298" s="180"/>
      <c r="CY298" s="187"/>
      <c r="CZ298" s="180"/>
      <c r="DA298" s="180"/>
      <c r="DB298" s="180"/>
      <c r="DC298" s="180"/>
      <c r="DD298" s="187"/>
      <c r="DE298" s="180"/>
      <c r="DF298" s="180"/>
      <c r="DG298" s="180"/>
      <c r="DH298" s="180"/>
      <c r="DI298" s="187"/>
      <c r="DJ298" s="180"/>
      <c r="DK298" s="180"/>
      <c r="DL298" s="180"/>
      <c r="DM298" s="180"/>
      <c r="DN298" s="187"/>
      <c r="DO298" s="180"/>
      <c r="DP298" s="180"/>
      <c r="DQ298" s="180"/>
      <c r="DR298" s="180"/>
      <c r="DS298" s="187"/>
      <c r="DT298" s="180"/>
      <c r="DU298" s="180"/>
      <c r="DV298" s="180"/>
      <c r="DW298" s="180"/>
      <c r="DX298" s="187"/>
      <c r="DY298" s="180"/>
      <c r="DZ298" s="180"/>
      <c r="EA298" s="180"/>
      <c r="EB298" s="180"/>
      <c r="EC298" s="187"/>
      <c r="ED298" s="180"/>
      <c r="EE298" s="180"/>
      <c r="EF298" s="180"/>
      <c r="EG298" s="180"/>
      <c r="EH298" s="187"/>
      <c r="EI298" s="180"/>
      <c r="EJ298" s="180"/>
      <c r="EK298" s="180"/>
      <c r="EL298" s="180"/>
      <c r="EM298" s="187"/>
      <c r="EN298" s="180"/>
      <c r="EO298" s="180"/>
      <c r="EP298" s="180"/>
      <c r="EQ298" s="180"/>
      <c r="ER298" s="187"/>
      <c r="ES298" s="180"/>
      <c r="ET298" s="180"/>
      <c r="EU298" s="180"/>
      <c r="EV298" s="180"/>
      <c r="EW298" s="187"/>
      <c r="EX298" s="180"/>
      <c r="EY298" s="180"/>
      <c r="EZ298" s="180"/>
      <c r="FA298" s="180"/>
      <c r="FB298" s="187"/>
      <c r="FC298" s="180"/>
      <c r="FD298" s="180"/>
      <c r="FE298" s="180"/>
      <c r="FF298" s="180"/>
      <c r="FG298" s="187"/>
      <c r="FH298" s="180"/>
      <c r="FI298" s="180"/>
      <c r="FJ298" s="180"/>
      <c r="FK298" s="180"/>
      <c r="FL298" s="187"/>
      <c r="FM298" s="180"/>
      <c r="FN298" s="180"/>
      <c r="FO298" s="180"/>
      <c r="FP298" s="180"/>
      <c r="FQ298" s="187"/>
      <c r="FR298" s="180"/>
      <c r="FS298" s="180"/>
      <c r="FT298" s="180"/>
      <c r="FU298" s="180"/>
      <c r="FV298" s="187"/>
      <c r="FW298" s="180"/>
      <c r="FX298" s="180"/>
      <c r="FY298" s="180"/>
      <c r="FZ298" s="180"/>
      <c r="GA298" s="187"/>
      <c r="GB298" s="180"/>
      <c r="GC298" s="180"/>
      <c r="GD298" s="180"/>
      <c r="GE298" s="180"/>
      <c r="GF298" s="187"/>
      <c r="GG298" s="180"/>
      <c r="GH298" s="180"/>
      <c r="GI298" s="180"/>
      <c r="GJ298" s="180"/>
    </row>
    <row r="299" spans="1:192" s="93" customFormat="1" ht="12.75" customHeight="1">
      <c r="A299" s="68"/>
      <c r="B299" s="677"/>
      <c r="C299" s="181"/>
      <c r="D299" s="182"/>
      <c r="E299" s="182"/>
      <c r="F299" s="182"/>
      <c r="G299" s="182"/>
      <c r="H299" s="181"/>
      <c r="I299" s="182"/>
      <c r="J299" s="182"/>
      <c r="K299" s="182"/>
      <c r="L299" s="182"/>
      <c r="M299" s="181"/>
      <c r="N299" s="182"/>
      <c r="O299" s="182"/>
      <c r="P299" s="182"/>
      <c r="Q299" s="182"/>
      <c r="R299" s="181"/>
      <c r="S299" s="182"/>
      <c r="T299" s="182"/>
      <c r="U299" s="182"/>
      <c r="V299" s="182"/>
      <c r="W299" s="181"/>
      <c r="X299" s="182"/>
      <c r="Y299" s="182"/>
      <c r="Z299" s="182"/>
      <c r="AA299" s="182"/>
      <c r="AB299" s="181"/>
      <c r="AC299" s="182"/>
      <c r="AD299" s="182"/>
      <c r="AE299" s="182"/>
      <c r="AF299" s="182"/>
      <c r="AG299" s="181"/>
      <c r="AH299" s="182"/>
      <c r="AI299" s="182"/>
      <c r="AJ299" s="182"/>
      <c r="AK299" s="182"/>
      <c r="AL299" s="181"/>
      <c r="AM299" s="182"/>
      <c r="AN299" s="182"/>
      <c r="AO299" s="182"/>
      <c r="AP299" s="182"/>
      <c r="AQ299" s="181"/>
      <c r="AR299" s="182"/>
      <c r="AS299" s="182"/>
      <c r="AT299" s="182"/>
      <c r="AU299" s="182"/>
      <c r="AV299" s="181"/>
      <c r="AW299" s="182"/>
      <c r="AX299" s="182"/>
      <c r="AY299" s="182"/>
      <c r="AZ299" s="182"/>
      <c r="BA299" s="181"/>
      <c r="BB299" s="182"/>
      <c r="BC299" s="182"/>
      <c r="BD299" s="182"/>
      <c r="BE299" s="182"/>
      <c r="BF299" s="181"/>
      <c r="BG299" s="182"/>
      <c r="BH299" s="182"/>
      <c r="BI299" s="182"/>
      <c r="BJ299" s="182"/>
      <c r="BK299" s="181"/>
      <c r="BL299" s="182"/>
      <c r="BM299" s="182"/>
      <c r="BN299" s="182"/>
      <c r="BO299" s="182"/>
      <c r="BP299" s="181"/>
      <c r="BQ299" s="182"/>
      <c r="BR299" s="182"/>
      <c r="BS299" s="182"/>
      <c r="BT299" s="182"/>
      <c r="BU299" s="181"/>
      <c r="BV299" s="182"/>
      <c r="BW299" s="182"/>
      <c r="BX299" s="182"/>
      <c r="BY299" s="182"/>
      <c r="BZ299" s="181"/>
      <c r="CA299" s="182"/>
      <c r="CB299" s="182"/>
      <c r="CC299" s="182"/>
      <c r="CD299" s="182"/>
      <c r="CE299" s="181"/>
      <c r="CF299" s="182"/>
      <c r="CG299" s="182"/>
      <c r="CH299" s="182"/>
      <c r="CI299" s="182"/>
      <c r="CJ299" s="181"/>
      <c r="CK299" s="182"/>
      <c r="CL299" s="182"/>
      <c r="CM299" s="182"/>
      <c r="CN299" s="182"/>
      <c r="CO299" s="181"/>
      <c r="CP299" s="182"/>
      <c r="CQ299" s="182"/>
      <c r="CR299" s="182"/>
      <c r="CS299" s="182"/>
      <c r="CT299" s="181"/>
      <c r="CU299" s="182"/>
      <c r="CV299" s="182"/>
      <c r="CW299" s="182"/>
      <c r="CX299" s="182"/>
      <c r="CY299" s="181"/>
      <c r="CZ299" s="182"/>
      <c r="DA299" s="182"/>
      <c r="DB299" s="182"/>
      <c r="DC299" s="182"/>
      <c r="DD299" s="181"/>
      <c r="DE299" s="182"/>
      <c r="DF299" s="182"/>
      <c r="DG299" s="182"/>
      <c r="DH299" s="182"/>
      <c r="DI299" s="181"/>
      <c r="DJ299" s="182"/>
      <c r="DK299" s="182"/>
      <c r="DL299" s="182"/>
      <c r="DM299" s="182"/>
      <c r="DN299" s="181"/>
      <c r="DO299" s="182"/>
      <c r="DP299" s="182"/>
      <c r="DQ299" s="182"/>
      <c r="DR299" s="182"/>
      <c r="DS299" s="181"/>
      <c r="DT299" s="182"/>
      <c r="DU299" s="182"/>
      <c r="DV299" s="182"/>
      <c r="DW299" s="182"/>
      <c r="DX299" s="181"/>
      <c r="DY299" s="182"/>
      <c r="DZ299" s="182"/>
      <c r="EA299" s="182"/>
      <c r="EB299" s="182"/>
      <c r="EC299" s="181"/>
      <c r="ED299" s="182"/>
      <c r="EE299" s="182"/>
      <c r="EF299" s="182"/>
      <c r="EG299" s="182"/>
      <c r="EH299" s="181"/>
      <c r="EI299" s="182"/>
      <c r="EJ299" s="182"/>
      <c r="EK299" s="182"/>
      <c r="EL299" s="182"/>
      <c r="EM299" s="181"/>
      <c r="EN299" s="182"/>
      <c r="EO299" s="182"/>
      <c r="EP299" s="182"/>
      <c r="EQ299" s="182"/>
      <c r="ER299" s="181"/>
      <c r="ES299" s="182"/>
      <c r="ET299" s="182"/>
      <c r="EU299" s="182"/>
      <c r="EV299" s="182"/>
      <c r="EW299" s="181"/>
      <c r="EX299" s="182"/>
      <c r="EY299" s="182"/>
      <c r="EZ299" s="182"/>
      <c r="FA299" s="182"/>
      <c r="FB299" s="181"/>
      <c r="FC299" s="182"/>
      <c r="FD299" s="182"/>
      <c r="FE299" s="182"/>
      <c r="FF299" s="182"/>
      <c r="FG299" s="181"/>
      <c r="FH299" s="182"/>
      <c r="FI299" s="182"/>
      <c r="FJ299" s="182"/>
      <c r="FK299" s="182"/>
      <c r="FL299" s="181"/>
      <c r="FM299" s="182"/>
      <c r="FN299" s="182"/>
      <c r="FO299" s="182"/>
      <c r="FP299" s="182"/>
      <c r="FQ299" s="181"/>
      <c r="FR299" s="182"/>
      <c r="FS299" s="182"/>
      <c r="FT299" s="182"/>
      <c r="FU299" s="182"/>
      <c r="FV299" s="181"/>
      <c r="FW299" s="182"/>
      <c r="FX299" s="182"/>
      <c r="FY299" s="182"/>
      <c r="FZ299" s="182"/>
      <c r="GA299" s="181"/>
      <c r="GB299" s="182"/>
      <c r="GC299" s="182"/>
      <c r="GD299" s="182"/>
      <c r="GE299" s="182"/>
      <c r="GF299" s="181"/>
      <c r="GG299" s="182"/>
      <c r="GH299" s="182"/>
      <c r="GI299" s="182"/>
      <c r="GJ299" s="182"/>
    </row>
    <row r="301" spans="1:192" s="93" customFormat="1" ht="12.75" customHeight="1">
      <c r="A301" s="68"/>
      <c r="B301" s="677"/>
      <c r="C301" s="176"/>
      <c r="D301" s="177"/>
      <c r="E301" s="177"/>
      <c r="F301" s="177"/>
      <c r="G301" s="177"/>
      <c r="H301" s="176"/>
      <c r="I301" s="177"/>
      <c r="J301" s="177"/>
      <c r="K301" s="177"/>
      <c r="L301" s="177"/>
      <c r="M301" s="176"/>
      <c r="N301" s="177"/>
      <c r="O301" s="177"/>
      <c r="P301" s="177"/>
      <c r="Q301" s="177"/>
      <c r="R301" s="176"/>
      <c r="S301" s="177"/>
      <c r="T301" s="177"/>
      <c r="U301" s="177"/>
      <c r="V301" s="177"/>
      <c r="W301" s="176"/>
      <c r="X301" s="177"/>
      <c r="Y301" s="177"/>
      <c r="Z301" s="177"/>
      <c r="AA301" s="177"/>
      <c r="AB301" s="176"/>
      <c r="AC301" s="177"/>
      <c r="AD301" s="177"/>
      <c r="AE301" s="177"/>
      <c r="AF301" s="177"/>
      <c r="AG301" s="176"/>
      <c r="AH301" s="177"/>
      <c r="AI301" s="177"/>
      <c r="AJ301" s="177"/>
      <c r="AK301" s="177"/>
      <c r="AL301" s="176"/>
      <c r="AM301" s="177"/>
      <c r="AN301" s="177"/>
      <c r="AO301" s="177"/>
      <c r="AP301" s="177"/>
      <c r="AQ301" s="176"/>
      <c r="AR301" s="177"/>
      <c r="AS301" s="177"/>
      <c r="AT301" s="177"/>
      <c r="AU301" s="177"/>
      <c r="AV301" s="176"/>
      <c r="AW301" s="177"/>
      <c r="AX301" s="177"/>
      <c r="AY301" s="177"/>
      <c r="AZ301" s="177"/>
      <c r="BA301" s="176"/>
      <c r="BB301" s="177"/>
      <c r="BC301" s="177"/>
      <c r="BD301" s="177"/>
      <c r="BE301" s="177"/>
      <c r="BF301" s="176"/>
      <c r="BG301" s="177"/>
      <c r="BH301" s="177"/>
      <c r="BI301" s="177"/>
      <c r="BJ301" s="177"/>
      <c r="BK301" s="176"/>
      <c r="BL301" s="177"/>
      <c r="BM301" s="177"/>
      <c r="BN301" s="177"/>
      <c r="BO301" s="177"/>
      <c r="BP301" s="176"/>
      <c r="BQ301" s="177"/>
      <c r="BR301" s="177"/>
      <c r="BS301" s="177"/>
      <c r="BT301" s="177"/>
      <c r="BU301" s="176"/>
      <c r="BV301" s="177"/>
      <c r="BW301" s="177"/>
      <c r="BX301" s="177"/>
      <c r="BY301" s="177"/>
      <c r="BZ301" s="176"/>
      <c r="CA301" s="177"/>
      <c r="CB301" s="177"/>
      <c r="CC301" s="177"/>
      <c r="CD301" s="177"/>
      <c r="CE301" s="176"/>
      <c r="CF301" s="177"/>
      <c r="CG301" s="177"/>
      <c r="CH301" s="177"/>
      <c r="CI301" s="177"/>
      <c r="CJ301" s="176"/>
      <c r="CK301" s="177"/>
      <c r="CL301" s="177"/>
      <c r="CM301" s="177"/>
      <c r="CN301" s="177"/>
      <c r="CO301" s="176"/>
      <c r="CP301" s="177"/>
      <c r="CQ301" s="177"/>
      <c r="CR301" s="177"/>
      <c r="CS301" s="177"/>
      <c r="CT301" s="176"/>
      <c r="CU301" s="177"/>
      <c r="CV301" s="177"/>
      <c r="CW301" s="177"/>
      <c r="CX301" s="177"/>
      <c r="CY301" s="176"/>
      <c r="CZ301" s="177"/>
      <c r="DA301" s="177"/>
      <c r="DB301" s="177"/>
      <c r="DC301" s="177"/>
      <c r="DD301" s="176"/>
      <c r="DE301" s="177"/>
      <c r="DF301" s="177"/>
      <c r="DG301" s="177"/>
      <c r="DH301" s="177"/>
      <c r="DI301" s="176"/>
      <c r="DJ301" s="177"/>
      <c r="DK301" s="177"/>
      <c r="DL301" s="177"/>
      <c r="DM301" s="177"/>
      <c r="DN301" s="176"/>
      <c r="DO301" s="177"/>
      <c r="DP301" s="177"/>
      <c r="DQ301" s="177"/>
      <c r="DR301" s="177"/>
      <c r="DS301" s="176"/>
      <c r="DT301" s="177"/>
      <c r="DU301" s="177"/>
      <c r="DV301" s="177"/>
      <c r="DW301" s="177"/>
      <c r="DX301" s="176"/>
      <c r="DY301" s="177"/>
      <c r="DZ301" s="177"/>
      <c r="EA301" s="177"/>
      <c r="EB301" s="177"/>
      <c r="EC301" s="176"/>
      <c r="ED301" s="177"/>
      <c r="EE301" s="177"/>
      <c r="EF301" s="177"/>
      <c r="EG301" s="177"/>
      <c r="EH301" s="176"/>
      <c r="EI301" s="177"/>
      <c r="EJ301" s="177"/>
      <c r="EK301" s="177"/>
      <c r="EL301" s="177"/>
      <c r="EM301" s="176"/>
      <c r="EN301" s="177"/>
      <c r="EO301" s="177"/>
      <c r="EP301" s="177"/>
      <c r="EQ301" s="177"/>
      <c r="ER301" s="176"/>
      <c r="ES301" s="177"/>
      <c r="ET301" s="177"/>
      <c r="EU301" s="177"/>
      <c r="EV301" s="177"/>
      <c r="EW301" s="176"/>
      <c r="EX301" s="177"/>
      <c r="EY301" s="177"/>
      <c r="EZ301" s="177"/>
      <c r="FA301" s="177"/>
      <c r="FB301" s="176"/>
      <c r="FC301" s="177"/>
      <c r="FD301" s="177"/>
      <c r="FE301" s="177"/>
      <c r="FF301" s="177"/>
      <c r="FG301" s="176"/>
      <c r="FH301" s="177"/>
      <c r="FI301" s="177"/>
      <c r="FJ301" s="177"/>
      <c r="FK301" s="177"/>
      <c r="FL301" s="176"/>
      <c r="FM301" s="177"/>
      <c r="FN301" s="177"/>
      <c r="FO301" s="177"/>
      <c r="FP301" s="177"/>
      <c r="FQ301" s="176"/>
      <c r="FR301" s="177"/>
      <c r="FS301" s="177"/>
      <c r="FT301" s="177"/>
      <c r="FU301" s="177"/>
      <c r="FV301" s="176"/>
      <c r="FW301" s="177"/>
      <c r="FX301" s="177"/>
      <c r="FY301" s="177"/>
      <c r="FZ301" s="177"/>
      <c r="GA301" s="176"/>
      <c r="GB301" s="177"/>
      <c r="GC301" s="177"/>
      <c r="GD301" s="177"/>
      <c r="GE301" s="177"/>
      <c r="GF301" s="176"/>
      <c r="GG301" s="177"/>
      <c r="GH301" s="177"/>
      <c r="GI301" s="177"/>
      <c r="GJ301" s="177"/>
    </row>
    <row r="302" spans="1:192" s="93" customFormat="1" ht="12.75" customHeight="1">
      <c r="A302" s="68"/>
      <c r="B302" s="677"/>
      <c r="C302" s="139"/>
      <c r="D302" s="105"/>
      <c r="E302" s="105"/>
      <c r="F302" s="105"/>
      <c r="G302" s="105"/>
      <c r="H302" s="139"/>
      <c r="I302" s="105"/>
      <c r="J302" s="105"/>
      <c r="K302" s="105"/>
      <c r="L302" s="105"/>
      <c r="M302" s="139"/>
      <c r="N302" s="105"/>
      <c r="O302" s="105"/>
      <c r="P302" s="105"/>
      <c r="Q302" s="105"/>
      <c r="R302" s="139"/>
      <c r="S302" s="105"/>
      <c r="T302" s="105"/>
      <c r="U302" s="105"/>
      <c r="V302" s="105"/>
      <c r="W302" s="139"/>
      <c r="X302" s="105"/>
      <c r="Y302" s="105"/>
      <c r="Z302" s="105"/>
      <c r="AA302" s="105"/>
      <c r="AB302" s="139"/>
      <c r="AC302" s="105"/>
      <c r="AD302" s="105"/>
      <c r="AE302" s="105"/>
      <c r="AF302" s="105"/>
      <c r="AG302" s="139"/>
      <c r="AH302" s="105"/>
      <c r="AI302" s="105"/>
      <c r="AJ302" s="105"/>
      <c r="AK302" s="105"/>
      <c r="AL302" s="139"/>
      <c r="AM302" s="105"/>
      <c r="AN302" s="105"/>
      <c r="AO302" s="105"/>
      <c r="AP302" s="105"/>
      <c r="AQ302" s="139"/>
      <c r="AR302" s="105"/>
      <c r="AS302" s="105"/>
      <c r="AT302" s="105"/>
      <c r="AU302" s="105"/>
      <c r="AV302" s="139"/>
      <c r="AW302" s="105"/>
      <c r="AX302" s="105"/>
      <c r="AY302" s="105"/>
      <c r="AZ302" s="105"/>
      <c r="BA302" s="139"/>
      <c r="BB302" s="105"/>
      <c r="BC302" s="105"/>
      <c r="BD302" s="105"/>
      <c r="BE302" s="105"/>
      <c r="BF302" s="139"/>
      <c r="BG302" s="105"/>
      <c r="BH302" s="105"/>
      <c r="BI302" s="105"/>
      <c r="BJ302" s="105"/>
      <c r="BK302" s="139"/>
      <c r="BL302" s="105"/>
      <c r="BM302" s="105"/>
      <c r="BN302" s="105"/>
      <c r="BO302" s="105"/>
      <c r="BP302" s="139"/>
      <c r="BQ302" s="105"/>
      <c r="BR302" s="105"/>
      <c r="BS302" s="105"/>
      <c r="BT302" s="105"/>
      <c r="BU302" s="139"/>
      <c r="BV302" s="105"/>
      <c r="BW302" s="105"/>
      <c r="BX302" s="105"/>
      <c r="BY302" s="105"/>
      <c r="BZ302" s="139"/>
      <c r="CA302" s="105"/>
      <c r="CB302" s="105"/>
      <c r="CC302" s="105"/>
      <c r="CD302" s="105"/>
      <c r="CE302" s="139"/>
      <c r="CF302" s="105"/>
      <c r="CG302" s="105"/>
      <c r="CH302" s="105"/>
      <c r="CI302" s="105"/>
      <c r="CJ302" s="139"/>
      <c r="CK302" s="105"/>
      <c r="CL302" s="105"/>
      <c r="CM302" s="105"/>
      <c r="CN302" s="105"/>
      <c r="CO302" s="139"/>
      <c r="CP302" s="105"/>
      <c r="CQ302" s="105"/>
      <c r="CR302" s="105"/>
      <c r="CS302" s="105"/>
      <c r="CT302" s="139"/>
      <c r="CU302" s="105"/>
      <c r="CV302" s="105"/>
      <c r="CW302" s="105"/>
      <c r="CX302" s="105"/>
      <c r="CY302" s="139"/>
      <c r="CZ302" s="105"/>
      <c r="DA302" s="105"/>
      <c r="DB302" s="105"/>
      <c r="DC302" s="105"/>
      <c r="DD302" s="139"/>
      <c r="DE302" s="105"/>
      <c r="DF302" s="105"/>
      <c r="DG302" s="105"/>
      <c r="DH302" s="105"/>
      <c r="DI302" s="139"/>
      <c r="DJ302" s="105"/>
      <c r="DK302" s="105"/>
      <c r="DL302" s="105"/>
      <c r="DM302" s="105"/>
      <c r="DN302" s="139"/>
      <c r="DO302" s="105"/>
      <c r="DP302" s="105"/>
      <c r="DQ302" s="105"/>
      <c r="DR302" s="105"/>
      <c r="DS302" s="139"/>
      <c r="DT302" s="105"/>
      <c r="DU302" s="105"/>
      <c r="DV302" s="105"/>
      <c r="DW302" s="105"/>
      <c r="DX302" s="139"/>
      <c r="DY302" s="105"/>
      <c r="DZ302" s="105"/>
      <c r="EA302" s="105"/>
      <c r="EB302" s="105"/>
      <c r="EC302" s="139"/>
      <c r="ED302" s="105"/>
      <c r="EE302" s="105"/>
      <c r="EF302" s="105"/>
      <c r="EG302" s="105"/>
      <c r="EH302" s="139"/>
      <c r="EI302" s="105"/>
      <c r="EJ302" s="105"/>
      <c r="EK302" s="105"/>
      <c r="EL302" s="105"/>
      <c r="EM302" s="139"/>
      <c r="EN302" s="105"/>
      <c r="EO302" s="105"/>
      <c r="EP302" s="105"/>
      <c r="EQ302" s="105"/>
      <c r="ER302" s="139"/>
      <c r="ES302" s="105"/>
      <c r="ET302" s="105"/>
      <c r="EU302" s="105"/>
      <c r="EV302" s="105"/>
      <c r="EW302" s="139"/>
      <c r="EX302" s="105"/>
      <c r="EY302" s="105"/>
      <c r="EZ302" s="105"/>
      <c r="FA302" s="105"/>
      <c r="FB302" s="139"/>
      <c r="FC302" s="105"/>
      <c r="FD302" s="105"/>
      <c r="FE302" s="105"/>
      <c r="FF302" s="105"/>
      <c r="FG302" s="139"/>
      <c r="FH302" s="105"/>
      <c r="FI302" s="105"/>
      <c r="FJ302" s="105"/>
      <c r="FK302" s="105"/>
      <c r="FL302" s="139"/>
      <c r="FM302" s="105"/>
      <c r="FN302" s="105"/>
      <c r="FO302" s="105"/>
      <c r="FP302" s="105"/>
      <c r="FQ302" s="139"/>
      <c r="FR302" s="105"/>
      <c r="FS302" s="105"/>
      <c r="FT302" s="105"/>
      <c r="FU302" s="105"/>
      <c r="FV302" s="139"/>
      <c r="FW302" s="105"/>
      <c r="FX302" s="105"/>
      <c r="FY302" s="105"/>
      <c r="FZ302" s="105"/>
      <c r="GA302" s="139"/>
      <c r="GB302" s="105"/>
      <c r="GC302" s="105"/>
      <c r="GD302" s="105"/>
      <c r="GE302" s="105"/>
      <c r="GF302" s="139"/>
      <c r="GG302" s="105"/>
      <c r="GH302" s="105"/>
      <c r="GI302" s="105"/>
      <c r="GJ302" s="105"/>
    </row>
    <row r="304" spans="1:192" s="93" customFormat="1" ht="12.75" customHeight="1">
      <c r="A304" s="68"/>
      <c r="B304" s="677"/>
      <c r="C304" s="139"/>
      <c r="D304" s="105"/>
      <c r="E304" s="105"/>
      <c r="F304" s="105"/>
      <c r="G304" s="105"/>
      <c r="H304" s="139"/>
      <c r="I304" s="105"/>
      <c r="J304" s="105"/>
      <c r="K304" s="105"/>
      <c r="L304" s="105"/>
      <c r="M304" s="139"/>
      <c r="N304" s="105"/>
      <c r="O304" s="105"/>
      <c r="P304" s="105"/>
      <c r="Q304" s="105"/>
      <c r="R304" s="139"/>
      <c r="S304" s="105"/>
      <c r="T304" s="105"/>
      <c r="U304" s="105"/>
      <c r="V304" s="105"/>
      <c r="W304" s="139"/>
      <c r="X304" s="105"/>
      <c r="Y304" s="105"/>
      <c r="Z304" s="105"/>
      <c r="AA304" s="105"/>
      <c r="AB304" s="139"/>
      <c r="AC304" s="105"/>
      <c r="AD304" s="105"/>
      <c r="AE304" s="105"/>
      <c r="AF304" s="105"/>
      <c r="AG304" s="139"/>
      <c r="AH304" s="105"/>
      <c r="AI304" s="105"/>
      <c r="AJ304" s="105"/>
      <c r="AK304" s="105"/>
      <c r="AL304" s="139"/>
      <c r="AM304" s="105"/>
      <c r="AN304" s="105"/>
      <c r="AO304" s="105"/>
      <c r="AP304" s="105"/>
      <c r="AQ304" s="139"/>
      <c r="AR304" s="105"/>
      <c r="AS304" s="105"/>
      <c r="AT304" s="105"/>
      <c r="AU304" s="105"/>
      <c r="AV304" s="139"/>
      <c r="AW304" s="105"/>
      <c r="AX304" s="105"/>
      <c r="AY304" s="105"/>
      <c r="AZ304" s="105"/>
      <c r="BA304" s="139"/>
      <c r="BB304" s="105"/>
      <c r="BC304" s="105"/>
      <c r="BD304" s="105"/>
      <c r="BE304" s="105"/>
      <c r="BF304" s="139"/>
      <c r="BG304" s="105"/>
      <c r="BH304" s="105"/>
      <c r="BI304" s="105"/>
      <c r="BJ304" s="105"/>
      <c r="BK304" s="139"/>
      <c r="BL304" s="105"/>
      <c r="BM304" s="105"/>
      <c r="BN304" s="105"/>
      <c r="BO304" s="105"/>
      <c r="BP304" s="139"/>
      <c r="BQ304" s="105"/>
      <c r="BR304" s="105"/>
      <c r="BS304" s="105"/>
      <c r="BT304" s="105"/>
      <c r="BU304" s="139"/>
      <c r="BV304" s="105"/>
      <c r="BW304" s="105"/>
      <c r="BX304" s="105"/>
      <c r="BY304" s="105"/>
      <c r="BZ304" s="139"/>
      <c r="CA304" s="105"/>
      <c r="CB304" s="105"/>
      <c r="CC304" s="105"/>
      <c r="CD304" s="105"/>
      <c r="CE304" s="139"/>
      <c r="CF304" s="105"/>
      <c r="CG304" s="105"/>
      <c r="CH304" s="105"/>
      <c r="CI304" s="105"/>
      <c r="CJ304" s="139"/>
      <c r="CK304" s="105"/>
      <c r="CL304" s="105"/>
      <c r="CM304" s="105"/>
      <c r="CN304" s="105"/>
      <c r="CO304" s="139"/>
      <c r="CP304" s="105"/>
      <c r="CQ304" s="105"/>
      <c r="CR304" s="105"/>
      <c r="CS304" s="105"/>
      <c r="CT304" s="139"/>
      <c r="CU304" s="105"/>
      <c r="CV304" s="105"/>
      <c r="CW304" s="105"/>
      <c r="CX304" s="105"/>
      <c r="CY304" s="139"/>
      <c r="CZ304" s="105"/>
      <c r="DA304" s="105"/>
      <c r="DB304" s="105"/>
      <c r="DC304" s="105"/>
      <c r="DD304" s="139"/>
      <c r="DE304" s="105"/>
      <c r="DF304" s="105"/>
      <c r="DG304" s="105"/>
      <c r="DH304" s="105"/>
      <c r="DI304" s="139"/>
      <c r="DJ304" s="105"/>
      <c r="DK304" s="105"/>
      <c r="DL304" s="105"/>
      <c r="DM304" s="105"/>
      <c r="DN304" s="139"/>
      <c r="DO304" s="105"/>
      <c r="DP304" s="105"/>
      <c r="DQ304" s="105"/>
      <c r="DR304" s="105"/>
      <c r="DS304" s="139"/>
      <c r="DT304" s="105"/>
      <c r="DU304" s="105"/>
      <c r="DV304" s="105"/>
      <c r="DW304" s="105"/>
      <c r="DX304" s="139"/>
      <c r="DY304" s="105"/>
      <c r="DZ304" s="105"/>
      <c r="EA304" s="105"/>
      <c r="EB304" s="105"/>
      <c r="EC304" s="139"/>
      <c r="ED304" s="105"/>
      <c r="EE304" s="105"/>
      <c r="EF304" s="105"/>
      <c r="EG304" s="105"/>
      <c r="EH304" s="139"/>
      <c r="EI304" s="105"/>
      <c r="EJ304" s="105"/>
      <c r="EK304" s="105"/>
      <c r="EL304" s="105"/>
      <c r="EM304" s="139"/>
      <c r="EN304" s="105"/>
      <c r="EO304" s="105"/>
      <c r="EP304" s="105"/>
      <c r="EQ304" s="105"/>
      <c r="ER304" s="139"/>
      <c r="ES304" s="105"/>
      <c r="ET304" s="105"/>
      <c r="EU304" s="105"/>
      <c r="EV304" s="105"/>
      <c r="EW304" s="139"/>
      <c r="EX304" s="105"/>
      <c r="EY304" s="105"/>
      <c r="EZ304" s="105"/>
      <c r="FA304" s="105"/>
      <c r="FB304" s="139"/>
      <c r="FC304" s="105"/>
      <c r="FD304" s="105"/>
      <c r="FE304" s="105"/>
      <c r="FF304" s="105"/>
      <c r="FG304" s="139"/>
      <c r="FH304" s="105"/>
      <c r="FI304" s="105"/>
      <c r="FJ304" s="105"/>
      <c r="FK304" s="105"/>
      <c r="FL304" s="139"/>
      <c r="FM304" s="105"/>
      <c r="FN304" s="105"/>
      <c r="FO304" s="105"/>
      <c r="FP304" s="105"/>
      <c r="FQ304" s="139"/>
      <c r="FR304" s="105"/>
      <c r="FS304" s="105"/>
      <c r="FT304" s="105"/>
      <c r="FU304" s="105"/>
      <c r="FV304" s="139"/>
      <c r="FW304" s="105"/>
      <c r="FX304" s="105"/>
      <c r="FY304" s="105"/>
      <c r="FZ304" s="105"/>
      <c r="GA304" s="139"/>
      <c r="GB304" s="105"/>
      <c r="GC304" s="105"/>
      <c r="GD304" s="105"/>
      <c r="GE304" s="105"/>
      <c r="GF304" s="139"/>
      <c r="GG304" s="105"/>
      <c r="GH304" s="105"/>
      <c r="GI304" s="105"/>
      <c r="GJ304" s="105"/>
    </row>
    <row r="307" spans="1:192" s="93" customFormat="1" ht="12.75" customHeight="1">
      <c r="A307" s="68"/>
      <c r="B307" s="677"/>
      <c r="C307" s="188"/>
      <c r="D307" s="189"/>
      <c r="E307" s="189"/>
      <c r="F307" s="189"/>
      <c r="G307" s="189"/>
      <c r="H307" s="188"/>
      <c r="I307" s="189"/>
      <c r="J307" s="189"/>
      <c r="K307" s="189"/>
      <c r="L307" s="189"/>
      <c r="M307" s="188"/>
      <c r="N307" s="189"/>
      <c r="O307" s="189"/>
      <c r="P307" s="189"/>
      <c r="Q307" s="189"/>
      <c r="R307" s="188"/>
      <c r="S307" s="189"/>
      <c r="T307" s="189"/>
      <c r="U307" s="189"/>
      <c r="V307" s="189"/>
      <c r="W307" s="188"/>
      <c r="X307" s="189"/>
      <c r="Y307" s="189"/>
      <c r="Z307" s="189"/>
      <c r="AA307" s="189"/>
      <c r="AB307" s="188"/>
      <c r="AC307" s="189"/>
      <c r="AD307" s="189"/>
      <c r="AE307" s="189"/>
      <c r="AF307" s="189"/>
      <c r="AG307" s="188"/>
      <c r="AH307" s="189"/>
      <c r="AI307" s="189"/>
      <c r="AJ307" s="189"/>
      <c r="AK307" s="189"/>
      <c r="AL307" s="188"/>
      <c r="AM307" s="189"/>
      <c r="AN307" s="189"/>
      <c r="AO307" s="189"/>
      <c r="AP307" s="189"/>
      <c r="AQ307" s="188"/>
      <c r="AR307" s="189"/>
      <c r="AS307" s="189"/>
      <c r="AT307" s="189"/>
      <c r="AU307" s="189"/>
      <c r="AV307" s="188"/>
      <c r="AW307" s="189"/>
      <c r="AX307" s="189"/>
      <c r="AY307" s="189"/>
      <c r="AZ307" s="189"/>
      <c r="BA307" s="188"/>
      <c r="BB307" s="189"/>
      <c r="BC307" s="189"/>
      <c r="BD307" s="189"/>
      <c r="BE307" s="189"/>
      <c r="BF307" s="188"/>
      <c r="BG307" s="189"/>
      <c r="BH307" s="189"/>
      <c r="BI307" s="189"/>
      <c r="BJ307" s="189"/>
      <c r="BK307" s="188"/>
      <c r="BL307" s="189"/>
      <c r="BM307" s="189"/>
      <c r="BN307" s="189"/>
      <c r="BO307" s="189"/>
      <c r="BP307" s="188"/>
      <c r="BQ307" s="189"/>
      <c r="BR307" s="189"/>
      <c r="BS307" s="189"/>
      <c r="BT307" s="189"/>
      <c r="BU307" s="188"/>
      <c r="BV307" s="189"/>
      <c r="BW307" s="189"/>
      <c r="BX307" s="189"/>
      <c r="BY307" s="189"/>
      <c r="BZ307" s="188"/>
      <c r="CA307" s="189"/>
      <c r="CB307" s="189"/>
      <c r="CC307" s="189"/>
      <c r="CD307" s="189"/>
      <c r="CE307" s="188"/>
      <c r="CF307" s="189"/>
      <c r="CG307" s="189"/>
      <c r="CH307" s="189"/>
      <c r="CI307" s="189"/>
      <c r="CJ307" s="188"/>
      <c r="CK307" s="189"/>
      <c r="CL307" s="189"/>
      <c r="CM307" s="189"/>
      <c r="CN307" s="189"/>
      <c r="CO307" s="188"/>
      <c r="CP307" s="189"/>
      <c r="CQ307" s="189"/>
      <c r="CR307" s="189"/>
      <c r="CS307" s="189"/>
      <c r="CT307" s="188"/>
      <c r="CU307" s="189"/>
      <c r="CV307" s="189"/>
      <c r="CW307" s="189"/>
      <c r="CX307" s="189"/>
      <c r="CY307" s="188"/>
      <c r="CZ307" s="189"/>
      <c r="DA307" s="189"/>
      <c r="DB307" s="189"/>
      <c r="DC307" s="189"/>
      <c r="DD307" s="188"/>
      <c r="DE307" s="189"/>
      <c r="DF307" s="189"/>
      <c r="DG307" s="189"/>
      <c r="DH307" s="189"/>
      <c r="DI307" s="188"/>
      <c r="DJ307" s="189"/>
      <c r="DK307" s="189"/>
      <c r="DL307" s="189"/>
      <c r="DM307" s="189"/>
      <c r="DN307" s="188"/>
      <c r="DO307" s="189"/>
      <c r="DP307" s="189"/>
      <c r="DQ307" s="189"/>
      <c r="DR307" s="189"/>
      <c r="DS307" s="188"/>
      <c r="DT307" s="189"/>
      <c r="DU307" s="189"/>
      <c r="DV307" s="189"/>
      <c r="DW307" s="189"/>
      <c r="DX307" s="188"/>
      <c r="DY307" s="189"/>
      <c r="DZ307" s="189"/>
      <c r="EA307" s="189"/>
      <c r="EB307" s="189"/>
      <c r="EC307" s="188"/>
      <c r="ED307" s="189"/>
      <c r="EE307" s="189"/>
      <c r="EF307" s="189"/>
      <c r="EG307" s="189"/>
      <c r="EH307" s="188"/>
      <c r="EI307" s="189"/>
      <c r="EJ307" s="189"/>
      <c r="EK307" s="189"/>
      <c r="EL307" s="189"/>
      <c r="EM307" s="188"/>
      <c r="EN307" s="189"/>
      <c r="EO307" s="189"/>
      <c r="EP307" s="189"/>
      <c r="EQ307" s="189"/>
      <c r="ER307" s="188"/>
      <c r="ES307" s="189"/>
      <c r="ET307" s="189"/>
      <c r="EU307" s="189"/>
      <c r="EV307" s="189"/>
      <c r="EW307" s="188"/>
      <c r="EX307" s="189"/>
      <c r="EY307" s="189"/>
      <c r="EZ307" s="189"/>
      <c r="FA307" s="189"/>
      <c r="FB307" s="188"/>
      <c r="FC307" s="189"/>
      <c r="FD307" s="189"/>
      <c r="FE307" s="189"/>
      <c r="FF307" s="189"/>
      <c r="FG307" s="188"/>
      <c r="FH307" s="189"/>
      <c r="FI307" s="189"/>
      <c r="FJ307" s="189"/>
      <c r="FK307" s="189"/>
      <c r="FL307" s="188"/>
      <c r="FM307" s="189"/>
      <c r="FN307" s="189"/>
      <c r="FO307" s="189"/>
      <c r="FP307" s="189"/>
      <c r="FQ307" s="188"/>
      <c r="FR307" s="189"/>
      <c r="FS307" s="189"/>
      <c r="FT307" s="189"/>
      <c r="FU307" s="189"/>
      <c r="FV307" s="188"/>
      <c r="FW307" s="189"/>
      <c r="FX307" s="189"/>
      <c r="FY307" s="189"/>
      <c r="FZ307" s="189"/>
      <c r="GA307" s="188"/>
      <c r="GB307" s="189"/>
      <c r="GC307" s="189"/>
      <c r="GD307" s="189"/>
      <c r="GE307" s="189"/>
      <c r="GF307" s="188"/>
      <c r="GG307" s="189"/>
      <c r="GH307" s="189"/>
      <c r="GI307" s="189"/>
      <c r="GJ307" s="189"/>
    </row>
    <row r="308" spans="1:192" s="93" customFormat="1" ht="12.75" customHeight="1">
      <c r="A308" s="68"/>
      <c r="B308" s="677"/>
      <c r="C308" s="139"/>
      <c r="D308" s="105"/>
      <c r="E308" s="105"/>
      <c r="F308" s="105"/>
      <c r="G308" s="105"/>
      <c r="H308" s="139"/>
      <c r="I308" s="105"/>
      <c r="J308" s="105"/>
      <c r="K308" s="105"/>
      <c r="L308" s="105"/>
      <c r="M308" s="139"/>
      <c r="N308" s="105"/>
      <c r="O308" s="105"/>
      <c r="P308" s="105"/>
      <c r="Q308" s="105"/>
      <c r="R308" s="139"/>
      <c r="S308" s="105"/>
      <c r="T308" s="105"/>
      <c r="U308" s="105"/>
      <c r="V308" s="105"/>
      <c r="W308" s="139"/>
      <c r="X308" s="105"/>
      <c r="Y308" s="105"/>
      <c r="Z308" s="105"/>
      <c r="AA308" s="105"/>
      <c r="AB308" s="139"/>
      <c r="AC308" s="105"/>
      <c r="AD308" s="105"/>
      <c r="AE308" s="105"/>
      <c r="AF308" s="105"/>
      <c r="AG308" s="139"/>
      <c r="AH308" s="105"/>
      <c r="AI308" s="105"/>
      <c r="AJ308" s="105"/>
      <c r="AK308" s="105"/>
      <c r="AL308" s="139"/>
      <c r="AM308" s="105"/>
      <c r="AN308" s="105"/>
      <c r="AO308" s="105"/>
      <c r="AP308" s="105"/>
      <c r="AQ308" s="139"/>
      <c r="AR308" s="105"/>
      <c r="AS308" s="105"/>
      <c r="AT308" s="105"/>
      <c r="AU308" s="105"/>
      <c r="AV308" s="139"/>
      <c r="AW308" s="105"/>
      <c r="AX308" s="105"/>
      <c r="AY308" s="105"/>
      <c r="AZ308" s="105"/>
      <c r="BA308" s="139"/>
      <c r="BB308" s="105"/>
      <c r="BC308" s="105"/>
      <c r="BD308" s="105"/>
      <c r="BE308" s="105"/>
      <c r="BF308" s="139"/>
      <c r="BG308" s="105"/>
      <c r="BH308" s="105"/>
      <c r="BI308" s="105"/>
      <c r="BJ308" s="105"/>
      <c r="BK308" s="139"/>
      <c r="BL308" s="105"/>
      <c r="BM308" s="105"/>
      <c r="BN308" s="105"/>
      <c r="BO308" s="105"/>
      <c r="BP308" s="139"/>
      <c r="BQ308" s="105"/>
      <c r="BR308" s="105"/>
      <c r="BS308" s="105"/>
      <c r="BT308" s="105"/>
      <c r="BU308" s="139"/>
      <c r="BV308" s="105"/>
      <c r="BW308" s="105"/>
      <c r="BX308" s="105"/>
      <c r="BY308" s="105"/>
      <c r="BZ308" s="139"/>
      <c r="CA308" s="105"/>
      <c r="CB308" s="105"/>
      <c r="CC308" s="105"/>
      <c r="CD308" s="105"/>
      <c r="CE308" s="139"/>
      <c r="CF308" s="105"/>
      <c r="CG308" s="105"/>
      <c r="CH308" s="105"/>
      <c r="CI308" s="105"/>
      <c r="CJ308" s="139"/>
      <c r="CK308" s="105"/>
      <c r="CL308" s="105"/>
      <c r="CM308" s="105"/>
      <c r="CN308" s="105"/>
      <c r="CO308" s="139"/>
      <c r="CP308" s="105"/>
      <c r="CQ308" s="105"/>
      <c r="CR308" s="105"/>
      <c r="CS308" s="105"/>
      <c r="CT308" s="139"/>
      <c r="CU308" s="105"/>
      <c r="CV308" s="105"/>
      <c r="CW308" s="105"/>
      <c r="CX308" s="105"/>
      <c r="CY308" s="139"/>
      <c r="CZ308" s="105"/>
      <c r="DA308" s="105"/>
      <c r="DB308" s="105"/>
      <c r="DC308" s="105"/>
      <c r="DD308" s="139"/>
      <c r="DE308" s="105"/>
      <c r="DF308" s="105"/>
      <c r="DG308" s="105"/>
      <c r="DH308" s="105"/>
      <c r="DI308" s="139"/>
      <c r="DJ308" s="105"/>
      <c r="DK308" s="105"/>
      <c r="DL308" s="105"/>
      <c r="DM308" s="105"/>
      <c r="DN308" s="139"/>
      <c r="DO308" s="105"/>
      <c r="DP308" s="105"/>
      <c r="DQ308" s="105"/>
      <c r="DR308" s="105"/>
      <c r="DS308" s="139"/>
      <c r="DT308" s="105"/>
      <c r="DU308" s="105"/>
      <c r="DV308" s="105"/>
      <c r="DW308" s="105"/>
      <c r="DX308" s="139"/>
      <c r="DY308" s="105"/>
      <c r="DZ308" s="105"/>
      <c r="EA308" s="105"/>
      <c r="EB308" s="105"/>
      <c r="EC308" s="139"/>
      <c r="ED308" s="105"/>
      <c r="EE308" s="105"/>
      <c r="EF308" s="105"/>
      <c r="EG308" s="105"/>
      <c r="EH308" s="139"/>
      <c r="EI308" s="105"/>
      <c r="EJ308" s="105"/>
      <c r="EK308" s="105"/>
      <c r="EL308" s="105"/>
      <c r="EM308" s="139"/>
      <c r="EN308" s="105"/>
      <c r="EO308" s="105"/>
      <c r="EP308" s="105"/>
      <c r="EQ308" s="105"/>
      <c r="ER308" s="139"/>
      <c r="ES308" s="105"/>
      <c r="ET308" s="105"/>
      <c r="EU308" s="105"/>
      <c r="EV308" s="105"/>
      <c r="EW308" s="139"/>
      <c r="EX308" s="105"/>
      <c r="EY308" s="105"/>
      <c r="EZ308" s="105"/>
      <c r="FA308" s="105"/>
      <c r="FB308" s="139"/>
      <c r="FC308" s="105"/>
      <c r="FD308" s="105"/>
      <c r="FE308" s="105"/>
      <c r="FF308" s="105"/>
      <c r="FG308" s="139"/>
      <c r="FH308" s="105"/>
      <c r="FI308" s="105"/>
      <c r="FJ308" s="105"/>
      <c r="FK308" s="105"/>
      <c r="FL308" s="139"/>
      <c r="FM308" s="105"/>
      <c r="FN308" s="105"/>
      <c r="FO308" s="105"/>
      <c r="FP308" s="105"/>
      <c r="FQ308" s="139"/>
      <c r="FR308" s="105"/>
      <c r="FS308" s="105"/>
      <c r="FT308" s="105"/>
      <c r="FU308" s="105"/>
      <c r="FV308" s="139"/>
      <c r="FW308" s="105"/>
      <c r="FX308" s="105"/>
      <c r="FY308" s="105"/>
      <c r="FZ308" s="105"/>
      <c r="GA308" s="139"/>
      <c r="GB308" s="105"/>
      <c r="GC308" s="105"/>
      <c r="GD308" s="105"/>
      <c r="GE308" s="105"/>
      <c r="GF308" s="139"/>
      <c r="GG308" s="105"/>
      <c r="GH308" s="105"/>
      <c r="GI308" s="105"/>
      <c r="GJ308" s="105"/>
    </row>
    <row r="311" spans="1:192" s="93" customFormat="1" ht="12.75" customHeight="1">
      <c r="A311" s="68"/>
      <c r="B311" s="677"/>
      <c r="C311" s="176"/>
      <c r="D311" s="177"/>
      <c r="E311" s="177"/>
      <c r="F311" s="177"/>
      <c r="G311" s="177"/>
      <c r="H311" s="176"/>
      <c r="I311" s="177"/>
      <c r="J311" s="177"/>
      <c r="K311" s="177"/>
      <c r="L311" s="177"/>
      <c r="M311" s="176"/>
      <c r="N311" s="177"/>
      <c r="O311" s="177"/>
      <c r="P311" s="177"/>
      <c r="Q311" s="177"/>
      <c r="R311" s="176"/>
      <c r="S311" s="177"/>
      <c r="T311" s="177"/>
      <c r="U311" s="177"/>
      <c r="V311" s="177"/>
      <c r="W311" s="176"/>
      <c r="X311" s="177"/>
      <c r="Y311" s="177"/>
      <c r="Z311" s="177"/>
      <c r="AA311" s="177"/>
      <c r="AB311" s="176"/>
      <c r="AC311" s="177"/>
      <c r="AD311" s="177"/>
      <c r="AE311" s="177"/>
      <c r="AF311" s="177"/>
      <c r="AG311" s="176"/>
      <c r="AH311" s="177"/>
      <c r="AI311" s="177"/>
      <c r="AJ311" s="177"/>
      <c r="AK311" s="177"/>
      <c r="AL311" s="176"/>
      <c r="AM311" s="177"/>
      <c r="AN311" s="177"/>
      <c r="AO311" s="177"/>
      <c r="AP311" s="177"/>
      <c r="AQ311" s="176"/>
      <c r="AR311" s="177"/>
      <c r="AS311" s="177"/>
      <c r="AT311" s="177"/>
      <c r="AU311" s="177"/>
      <c r="AV311" s="176"/>
      <c r="AW311" s="177"/>
      <c r="AX311" s="177"/>
      <c r="AY311" s="177"/>
      <c r="AZ311" s="177"/>
      <c r="BA311" s="176"/>
      <c r="BB311" s="177"/>
      <c r="BC311" s="177"/>
      <c r="BD311" s="177"/>
      <c r="BE311" s="177"/>
      <c r="BF311" s="176"/>
      <c r="BG311" s="177"/>
      <c r="BH311" s="177"/>
      <c r="BI311" s="177"/>
      <c r="BJ311" s="177"/>
      <c r="BK311" s="176"/>
      <c r="BL311" s="177"/>
      <c r="BM311" s="177"/>
      <c r="BN311" s="177"/>
      <c r="BO311" s="177"/>
      <c r="BP311" s="176"/>
      <c r="BQ311" s="177"/>
      <c r="BR311" s="177"/>
      <c r="BS311" s="177"/>
      <c r="BT311" s="177"/>
      <c r="BU311" s="176"/>
      <c r="BV311" s="177"/>
      <c r="BW311" s="177"/>
      <c r="BX311" s="177"/>
      <c r="BY311" s="177"/>
      <c r="BZ311" s="176"/>
      <c r="CA311" s="177"/>
      <c r="CB311" s="177"/>
      <c r="CC311" s="177"/>
      <c r="CD311" s="177"/>
      <c r="CE311" s="176"/>
      <c r="CF311" s="177"/>
      <c r="CG311" s="177"/>
      <c r="CH311" s="177"/>
      <c r="CI311" s="177"/>
      <c r="CJ311" s="176"/>
      <c r="CK311" s="177"/>
      <c r="CL311" s="177"/>
      <c r="CM311" s="177"/>
      <c r="CN311" s="177"/>
      <c r="CO311" s="176"/>
      <c r="CP311" s="177"/>
      <c r="CQ311" s="177"/>
      <c r="CR311" s="177"/>
      <c r="CS311" s="177"/>
      <c r="CT311" s="176"/>
      <c r="CU311" s="177"/>
      <c r="CV311" s="177"/>
      <c r="CW311" s="177"/>
      <c r="CX311" s="177"/>
      <c r="CY311" s="176"/>
      <c r="CZ311" s="177"/>
      <c r="DA311" s="177"/>
      <c r="DB311" s="177"/>
      <c r="DC311" s="177"/>
      <c r="DD311" s="176"/>
      <c r="DE311" s="177"/>
      <c r="DF311" s="177"/>
      <c r="DG311" s="177"/>
      <c r="DH311" s="177"/>
      <c r="DI311" s="176"/>
      <c r="DJ311" s="177"/>
      <c r="DK311" s="177"/>
      <c r="DL311" s="177"/>
      <c r="DM311" s="177"/>
      <c r="DN311" s="176"/>
      <c r="DO311" s="177"/>
      <c r="DP311" s="177"/>
      <c r="DQ311" s="177"/>
      <c r="DR311" s="177"/>
      <c r="DS311" s="176"/>
      <c r="DT311" s="177"/>
      <c r="DU311" s="177"/>
      <c r="DV311" s="177"/>
      <c r="DW311" s="177"/>
      <c r="DX311" s="176"/>
      <c r="DY311" s="177"/>
      <c r="DZ311" s="177"/>
      <c r="EA311" s="177"/>
      <c r="EB311" s="177"/>
      <c r="EC311" s="176"/>
      <c r="ED311" s="177"/>
      <c r="EE311" s="177"/>
      <c r="EF311" s="177"/>
      <c r="EG311" s="177"/>
      <c r="EH311" s="176"/>
      <c r="EI311" s="177"/>
      <c r="EJ311" s="177"/>
      <c r="EK311" s="177"/>
      <c r="EL311" s="177"/>
      <c r="EM311" s="176"/>
      <c r="EN311" s="177"/>
      <c r="EO311" s="177"/>
      <c r="EP311" s="177"/>
      <c r="EQ311" s="177"/>
      <c r="ER311" s="176"/>
      <c r="ES311" s="177"/>
      <c r="ET311" s="177"/>
      <c r="EU311" s="177"/>
      <c r="EV311" s="177"/>
      <c r="EW311" s="176"/>
      <c r="EX311" s="177"/>
      <c r="EY311" s="177"/>
      <c r="EZ311" s="177"/>
      <c r="FA311" s="177"/>
      <c r="FB311" s="176"/>
      <c r="FC311" s="177"/>
      <c r="FD311" s="177"/>
      <c r="FE311" s="177"/>
      <c r="FF311" s="177"/>
      <c r="FG311" s="176"/>
      <c r="FH311" s="177"/>
      <c r="FI311" s="177"/>
      <c r="FJ311" s="177"/>
      <c r="FK311" s="177"/>
      <c r="FL311" s="176"/>
      <c r="FM311" s="177"/>
      <c r="FN311" s="177"/>
      <c r="FO311" s="177"/>
      <c r="FP311" s="177"/>
      <c r="FQ311" s="176"/>
      <c r="FR311" s="177"/>
      <c r="FS311" s="177"/>
      <c r="FT311" s="177"/>
      <c r="FU311" s="177"/>
      <c r="FV311" s="176"/>
      <c r="FW311" s="177"/>
      <c r="FX311" s="177"/>
      <c r="FY311" s="177"/>
      <c r="FZ311" s="177"/>
      <c r="GA311" s="176"/>
      <c r="GB311" s="177"/>
      <c r="GC311" s="177"/>
      <c r="GD311" s="177"/>
      <c r="GE311" s="177"/>
      <c r="GF311" s="176"/>
      <c r="GG311" s="177"/>
      <c r="GH311" s="177"/>
      <c r="GI311" s="177"/>
      <c r="GJ311" s="177"/>
    </row>
    <row r="312" spans="1:192" s="93" customFormat="1" ht="12.75" customHeight="1">
      <c r="A312" s="68"/>
      <c r="B312" s="677"/>
      <c r="C312" s="106"/>
      <c r="D312" s="107"/>
      <c r="E312" s="107"/>
      <c r="F312" s="107"/>
      <c r="G312" s="107"/>
      <c r="H312" s="106"/>
      <c r="I312" s="107"/>
      <c r="J312" s="107"/>
      <c r="K312" s="107"/>
      <c r="L312" s="107"/>
      <c r="M312" s="106"/>
      <c r="N312" s="107"/>
      <c r="O312" s="107"/>
      <c r="P312" s="107"/>
      <c r="Q312" s="107"/>
      <c r="R312" s="106"/>
      <c r="S312" s="107"/>
      <c r="T312" s="107"/>
      <c r="U312" s="107"/>
      <c r="V312" s="107"/>
      <c r="W312" s="106"/>
      <c r="X312" s="107"/>
      <c r="Y312" s="107"/>
      <c r="Z312" s="107"/>
      <c r="AA312" s="107"/>
      <c r="AB312" s="106"/>
      <c r="AC312" s="107"/>
      <c r="AD312" s="107"/>
      <c r="AE312" s="107"/>
      <c r="AF312" s="107"/>
      <c r="AG312" s="106"/>
      <c r="AH312" s="107"/>
      <c r="AI312" s="107"/>
      <c r="AJ312" s="107"/>
      <c r="AK312" s="107"/>
      <c r="AL312" s="106"/>
      <c r="AM312" s="107"/>
      <c r="AN312" s="107"/>
      <c r="AO312" s="107"/>
      <c r="AP312" s="107"/>
      <c r="AQ312" s="106"/>
      <c r="AR312" s="107"/>
      <c r="AS312" s="107"/>
      <c r="AT312" s="107"/>
      <c r="AU312" s="107"/>
      <c r="AV312" s="106"/>
      <c r="AW312" s="107"/>
      <c r="AX312" s="107"/>
      <c r="AY312" s="107"/>
      <c r="AZ312" s="107"/>
      <c r="BA312" s="106"/>
      <c r="BB312" s="107"/>
      <c r="BC312" s="107"/>
      <c r="BD312" s="107"/>
      <c r="BE312" s="107"/>
      <c r="BF312" s="106"/>
      <c r="BG312" s="107"/>
      <c r="BH312" s="107"/>
      <c r="BI312" s="107"/>
      <c r="BJ312" s="107"/>
      <c r="BK312" s="106"/>
      <c r="BL312" s="107"/>
      <c r="BM312" s="107"/>
      <c r="BN312" s="107"/>
      <c r="BO312" s="107"/>
      <c r="BP312" s="106"/>
      <c r="BQ312" s="107"/>
      <c r="BR312" s="107"/>
      <c r="BS312" s="107"/>
      <c r="BT312" s="107"/>
      <c r="BU312" s="106"/>
      <c r="BV312" s="107"/>
      <c r="BW312" s="107"/>
      <c r="BX312" s="107"/>
      <c r="BY312" s="107"/>
      <c r="BZ312" s="106"/>
      <c r="CA312" s="107"/>
      <c r="CB312" s="107"/>
      <c r="CC312" s="107"/>
      <c r="CD312" s="107"/>
      <c r="CE312" s="106"/>
      <c r="CF312" s="107"/>
      <c r="CG312" s="107"/>
      <c r="CH312" s="107"/>
      <c r="CI312" s="107"/>
      <c r="CJ312" s="106"/>
      <c r="CK312" s="107"/>
      <c r="CL312" s="107"/>
      <c r="CM312" s="107"/>
      <c r="CN312" s="107"/>
      <c r="CO312" s="106"/>
      <c r="CP312" s="107"/>
      <c r="CQ312" s="107"/>
      <c r="CR312" s="107"/>
      <c r="CS312" s="107"/>
      <c r="CT312" s="106"/>
      <c r="CU312" s="107"/>
      <c r="CV312" s="107"/>
      <c r="CW312" s="107"/>
      <c r="CX312" s="107"/>
      <c r="CY312" s="106"/>
      <c r="CZ312" s="107"/>
      <c r="DA312" s="107"/>
      <c r="DB312" s="107"/>
      <c r="DC312" s="107"/>
      <c r="DD312" s="106"/>
      <c r="DE312" s="107"/>
      <c r="DF312" s="107"/>
      <c r="DG312" s="107"/>
      <c r="DH312" s="107"/>
      <c r="DI312" s="106"/>
      <c r="DJ312" s="107"/>
      <c r="DK312" s="107"/>
      <c r="DL312" s="107"/>
      <c r="DM312" s="107"/>
      <c r="DN312" s="106"/>
      <c r="DO312" s="107"/>
      <c r="DP312" s="107"/>
      <c r="DQ312" s="107"/>
      <c r="DR312" s="107"/>
      <c r="DS312" s="106"/>
      <c r="DT312" s="107"/>
      <c r="DU312" s="107"/>
      <c r="DV312" s="107"/>
      <c r="DW312" s="107"/>
      <c r="DX312" s="106"/>
      <c r="DY312" s="107"/>
      <c r="DZ312" s="107"/>
      <c r="EA312" s="107"/>
      <c r="EB312" s="107"/>
      <c r="EC312" s="106"/>
      <c r="ED312" s="107"/>
      <c r="EE312" s="107"/>
      <c r="EF312" s="107"/>
      <c r="EG312" s="107"/>
      <c r="EH312" s="106"/>
      <c r="EI312" s="107"/>
      <c r="EJ312" s="107"/>
      <c r="EK312" s="107"/>
      <c r="EL312" s="107"/>
      <c r="EM312" s="106"/>
      <c r="EN312" s="107"/>
      <c r="EO312" s="107"/>
      <c r="EP312" s="107"/>
      <c r="EQ312" s="107"/>
      <c r="ER312" s="106"/>
      <c r="ES312" s="107"/>
      <c r="ET312" s="107"/>
      <c r="EU312" s="107"/>
      <c r="EV312" s="107"/>
      <c r="EW312" s="106"/>
      <c r="EX312" s="107"/>
      <c r="EY312" s="107"/>
      <c r="EZ312" s="107"/>
      <c r="FA312" s="107"/>
      <c r="FB312" s="106"/>
      <c r="FC312" s="107"/>
      <c r="FD312" s="107"/>
      <c r="FE312" s="107"/>
      <c r="FF312" s="107"/>
      <c r="FG312" s="106"/>
      <c r="FH312" s="107"/>
      <c r="FI312" s="107"/>
      <c r="FJ312" s="107"/>
      <c r="FK312" s="107"/>
      <c r="FL312" s="106"/>
      <c r="FM312" s="107"/>
      <c r="FN312" s="107"/>
      <c r="FO312" s="107"/>
      <c r="FP312" s="107"/>
      <c r="FQ312" s="106"/>
      <c r="FR312" s="107"/>
      <c r="FS312" s="107"/>
      <c r="FT312" s="107"/>
      <c r="FU312" s="107"/>
      <c r="FV312" s="106"/>
      <c r="FW312" s="107"/>
      <c r="FX312" s="107"/>
      <c r="FY312" s="107"/>
      <c r="FZ312" s="107"/>
      <c r="GA312" s="106"/>
      <c r="GB312" s="107"/>
      <c r="GC312" s="107"/>
      <c r="GD312" s="107"/>
      <c r="GE312" s="107"/>
      <c r="GF312" s="106"/>
      <c r="GG312" s="107"/>
      <c r="GH312" s="107"/>
      <c r="GI312" s="107"/>
      <c r="GJ312" s="107"/>
    </row>
    <row r="313" spans="1:192" s="93" customFormat="1" ht="12.75" customHeight="1">
      <c r="A313" s="68"/>
      <c r="B313" s="677"/>
      <c r="C313" s="106"/>
      <c r="D313" s="107"/>
      <c r="E313" s="107"/>
      <c r="F313" s="107"/>
      <c r="G313" s="107"/>
      <c r="H313" s="106"/>
      <c r="I313" s="107"/>
      <c r="J313" s="107"/>
      <c r="K313" s="107"/>
      <c r="L313" s="107"/>
      <c r="M313" s="106"/>
      <c r="N313" s="107"/>
      <c r="O313" s="107"/>
      <c r="P313" s="107"/>
      <c r="Q313" s="107"/>
      <c r="R313" s="106"/>
      <c r="S313" s="107"/>
      <c r="T313" s="107"/>
      <c r="U313" s="107"/>
      <c r="V313" s="107"/>
      <c r="W313" s="106"/>
      <c r="X313" s="107"/>
      <c r="Y313" s="107"/>
      <c r="Z313" s="107"/>
      <c r="AA313" s="107"/>
      <c r="AB313" s="106"/>
      <c r="AC313" s="107"/>
      <c r="AD313" s="107"/>
      <c r="AE313" s="107"/>
      <c r="AF313" s="107"/>
      <c r="AG313" s="106"/>
      <c r="AH313" s="107"/>
      <c r="AI313" s="107"/>
      <c r="AJ313" s="107"/>
      <c r="AK313" s="107"/>
      <c r="AL313" s="106"/>
      <c r="AM313" s="107"/>
      <c r="AN313" s="107"/>
      <c r="AO313" s="107"/>
      <c r="AP313" s="107"/>
      <c r="AQ313" s="106"/>
      <c r="AR313" s="107"/>
      <c r="AS313" s="107"/>
      <c r="AT313" s="107"/>
      <c r="AU313" s="107"/>
      <c r="AV313" s="106"/>
      <c r="AW313" s="107"/>
      <c r="AX313" s="107"/>
      <c r="AY313" s="107"/>
      <c r="AZ313" s="107"/>
      <c r="BA313" s="106"/>
      <c r="BB313" s="107"/>
      <c r="BC313" s="107"/>
      <c r="BD313" s="107"/>
      <c r="BE313" s="107"/>
      <c r="BF313" s="106"/>
      <c r="BG313" s="107"/>
      <c r="BH313" s="107"/>
      <c r="BI313" s="107"/>
      <c r="BJ313" s="107"/>
      <c r="BK313" s="106"/>
      <c r="BL313" s="107"/>
      <c r="BM313" s="107"/>
      <c r="BN313" s="107"/>
      <c r="BO313" s="107"/>
      <c r="BP313" s="106"/>
      <c r="BQ313" s="107"/>
      <c r="BR313" s="107"/>
      <c r="BS313" s="107"/>
      <c r="BT313" s="107"/>
      <c r="BU313" s="106"/>
      <c r="BV313" s="107"/>
      <c r="BW313" s="107"/>
      <c r="BX313" s="107"/>
      <c r="BY313" s="107"/>
      <c r="BZ313" s="106"/>
      <c r="CA313" s="107"/>
      <c r="CB313" s="107"/>
      <c r="CC313" s="107"/>
      <c r="CD313" s="107"/>
      <c r="CE313" s="106"/>
      <c r="CF313" s="107"/>
      <c r="CG313" s="107"/>
      <c r="CH313" s="107"/>
      <c r="CI313" s="107"/>
      <c r="CJ313" s="106"/>
      <c r="CK313" s="107"/>
      <c r="CL313" s="107"/>
      <c r="CM313" s="107"/>
      <c r="CN313" s="107"/>
      <c r="CO313" s="106"/>
      <c r="CP313" s="107"/>
      <c r="CQ313" s="107"/>
      <c r="CR313" s="107"/>
      <c r="CS313" s="107"/>
      <c r="CT313" s="106"/>
      <c r="CU313" s="107"/>
      <c r="CV313" s="107"/>
      <c r="CW313" s="107"/>
      <c r="CX313" s="107"/>
      <c r="CY313" s="106"/>
      <c r="CZ313" s="107"/>
      <c r="DA313" s="107"/>
      <c r="DB313" s="107"/>
      <c r="DC313" s="107"/>
      <c r="DD313" s="106"/>
      <c r="DE313" s="107"/>
      <c r="DF313" s="107"/>
      <c r="DG313" s="107"/>
      <c r="DH313" s="107"/>
      <c r="DI313" s="106"/>
      <c r="DJ313" s="107"/>
      <c r="DK313" s="107"/>
      <c r="DL313" s="107"/>
      <c r="DM313" s="107"/>
      <c r="DN313" s="106"/>
      <c r="DO313" s="107"/>
      <c r="DP313" s="107"/>
      <c r="DQ313" s="107"/>
      <c r="DR313" s="107"/>
      <c r="DS313" s="106"/>
      <c r="DT313" s="107"/>
      <c r="DU313" s="107"/>
      <c r="DV313" s="107"/>
      <c r="DW313" s="107"/>
      <c r="DX313" s="106"/>
      <c r="DY313" s="107"/>
      <c r="DZ313" s="107"/>
      <c r="EA313" s="107"/>
      <c r="EB313" s="107"/>
      <c r="EC313" s="106"/>
      <c r="ED313" s="107"/>
      <c r="EE313" s="107"/>
      <c r="EF313" s="107"/>
      <c r="EG313" s="107"/>
      <c r="EH313" s="106"/>
      <c r="EI313" s="107"/>
      <c r="EJ313" s="107"/>
      <c r="EK313" s="107"/>
      <c r="EL313" s="107"/>
      <c r="EM313" s="106"/>
      <c r="EN313" s="107"/>
      <c r="EO313" s="107"/>
      <c r="EP313" s="107"/>
      <c r="EQ313" s="107"/>
      <c r="ER313" s="106"/>
      <c r="ES313" s="107"/>
      <c r="ET313" s="107"/>
      <c r="EU313" s="107"/>
      <c r="EV313" s="107"/>
      <c r="EW313" s="106"/>
      <c r="EX313" s="107"/>
      <c r="EY313" s="107"/>
      <c r="EZ313" s="107"/>
      <c r="FA313" s="107"/>
      <c r="FB313" s="106"/>
      <c r="FC313" s="107"/>
      <c r="FD313" s="107"/>
      <c r="FE313" s="107"/>
      <c r="FF313" s="107"/>
      <c r="FG313" s="106"/>
      <c r="FH313" s="107"/>
      <c r="FI313" s="107"/>
      <c r="FJ313" s="107"/>
      <c r="FK313" s="107"/>
      <c r="FL313" s="106"/>
      <c r="FM313" s="107"/>
      <c r="FN313" s="107"/>
      <c r="FO313" s="107"/>
      <c r="FP313" s="107"/>
      <c r="FQ313" s="106"/>
      <c r="FR313" s="107"/>
      <c r="FS313" s="107"/>
      <c r="FT313" s="107"/>
      <c r="FU313" s="107"/>
      <c r="FV313" s="106"/>
      <c r="FW313" s="107"/>
      <c r="FX313" s="107"/>
      <c r="FY313" s="107"/>
      <c r="FZ313" s="107"/>
      <c r="GA313" s="106"/>
      <c r="GB313" s="107"/>
      <c r="GC313" s="107"/>
      <c r="GD313" s="107"/>
      <c r="GE313" s="107"/>
      <c r="GF313" s="106"/>
      <c r="GG313" s="107"/>
      <c r="GH313" s="107"/>
      <c r="GI313" s="107"/>
      <c r="GJ313" s="107"/>
    </row>
    <row r="314" spans="1:192" s="93" customFormat="1" ht="12.75" customHeight="1">
      <c r="A314" s="68"/>
      <c r="B314" s="677"/>
      <c r="C314" s="187"/>
      <c r="D314" s="180"/>
      <c r="E314" s="180"/>
      <c r="F314" s="180"/>
      <c r="G314" s="180"/>
      <c r="H314" s="187"/>
      <c r="I314" s="180"/>
      <c r="J314" s="180"/>
      <c r="K314" s="180"/>
      <c r="L314" s="180"/>
      <c r="M314" s="187"/>
      <c r="N314" s="180"/>
      <c r="O314" s="180"/>
      <c r="P314" s="180"/>
      <c r="Q314" s="180"/>
      <c r="R314" s="187"/>
      <c r="S314" s="180"/>
      <c r="T314" s="180"/>
      <c r="U314" s="180"/>
      <c r="V314" s="180"/>
      <c r="W314" s="187"/>
      <c r="X314" s="180"/>
      <c r="Y314" s="180"/>
      <c r="Z314" s="180"/>
      <c r="AA314" s="180"/>
      <c r="AB314" s="187"/>
      <c r="AC314" s="180"/>
      <c r="AD314" s="180"/>
      <c r="AE314" s="180"/>
      <c r="AF314" s="180"/>
      <c r="AG314" s="187"/>
      <c r="AH314" s="180"/>
      <c r="AI314" s="180"/>
      <c r="AJ314" s="180"/>
      <c r="AK314" s="180"/>
      <c r="AL314" s="187"/>
      <c r="AM314" s="180"/>
      <c r="AN314" s="180"/>
      <c r="AO314" s="180"/>
      <c r="AP314" s="180"/>
      <c r="AQ314" s="187"/>
      <c r="AR314" s="180"/>
      <c r="AS314" s="180"/>
      <c r="AT314" s="180"/>
      <c r="AU314" s="180"/>
      <c r="AV314" s="187"/>
      <c r="AW314" s="180"/>
      <c r="AX314" s="180"/>
      <c r="AY314" s="180"/>
      <c r="AZ314" s="180"/>
      <c r="BA314" s="187"/>
      <c r="BB314" s="180"/>
      <c r="BC314" s="180"/>
      <c r="BD314" s="180"/>
      <c r="BE314" s="180"/>
      <c r="BF314" s="187"/>
      <c r="BG314" s="180"/>
      <c r="BH314" s="180"/>
      <c r="BI314" s="180"/>
      <c r="BJ314" s="180"/>
      <c r="BK314" s="187"/>
      <c r="BL314" s="180"/>
      <c r="BM314" s="180"/>
      <c r="BN314" s="180"/>
      <c r="BO314" s="180"/>
      <c r="BP314" s="187"/>
      <c r="BQ314" s="180"/>
      <c r="BR314" s="180"/>
      <c r="BS314" s="180"/>
      <c r="BT314" s="180"/>
      <c r="BU314" s="187"/>
      <c r="BV314" s="180"/>
      <c r="BW314" s="180"/>
      <c r="BX314" s="180"/>
      <c r="BY314" s="180"/>
      <c r="BZ314" s="187"/>
      <c r="CA314" s="180"/>
      <c r="CB314" s="180"/>
      <c r="CC314" s="180"/>
      <c r="CD314" s="180"/>
      <c r="CE314" s="187"/>
      <c r="CF314" s="180"/>
      <c r="CG314" s="180"/>
      <c r="CH314" s="180"/>
      <c r="CI314" s="180"/>
      <c r="CJ314" s="187"/>
      <c r="CK314" s="180"/>
      <c r="CL314" s="180"/>
      <c r="CM314" s="180"/>
      <c r="CN314" s="180"/>
      <c r="CO314" s="187"/>
      <c r="CP314" s="180"/>
      <c r="CQ314" s="180"/>
      <c r="CR314" s="180"/>
      <c r="CS314" s="180"/>
      <c r="CT314" s="187"/>
      <c r="CU314" s="180"/>
      <c r="CV314" s="180"/>
      <c r="CW314" s="180"/>
      <c r="CX314" s="180"/>
      <c r="CY314" s="187"/>
      <c r="CZ314" s="180"/>
      <c r="DA314" s="180"/>
      <c r="DB314" s="180"/>
      <c r="DC314" s="180"/>
      <c r="DD314" s="187"/>
      <c r="DE314" s="180"/>
      <c r="DF314" s="180"/>
      <c r="DG314" s="180"/>
      <c r="DH314" s="180"/>
      <c r="DI314" s="187"/>
      <c r="DJ314" s="180"/>
      <c r="DK314" s="180"/>
      <c r="DL314" s="180"/>
      <c r="DM314" s="180"/>
      <c r="DN314" s="187"/>
      <c r="DO314" s="180"/>
      <c r="DP314" s="180"/>
      <c r="DQ314" s="180"/>
      <c r="DR314" s="180"/>
      <c r="DS314" s="187"/>
      <c r="DT314" s="180"/>
      <c r="DU314" s="180"/>
      <c r="DV314" s="180"/>
      <c r="DW314" s="180"/>
      <c r="DX314" s="187"/>
      <c r="DY314" s="180"/>
      <c r="DZ314" s="180"/>
      <c r="EA314" s="180"/>
      <c r="EB314" s="180"/>
      <c r="EC314" s="187"/>
      <c r="ED314" s="180"/>
      <c r="EE314" s="180"/>
      <c r="EF314" s="180"/>
      <c r="EG314" s="180"/>
      <c r="EH314" s="187"/>
      <c r="EI314" s="180"/>
      <c r="EJ314" s="180"/>
      <c r="EK314" s="180"/>
      <c r="EL314" s="180"/>
      <c r="EM314" s="187"/>
      <c r="EN314" s="180"/>
      <c r="EO314" s="180"/>
      <c r="EP314" s="180"/>
      <c r="EQ314" s="180"/>
      <c r="ER314" s="187"/>
      <c r="ES314" s="180"/>
      <c r="ET314" s="180"/>
      <c r="EU314" s="180"/>
      <c r="EV314" s="180"/>
      <c r="EW314" s="187"/>
      <c r="EX314" s="180"/>
      <c r="EY314" s="180"/>
      <c r="EZ314" s="180"/>
      <c r="FA314" s="180"/>
      <c r="FB314" s="187"/>
      <c r="FC314" s="180"/>
      <c r="FD314" s="180"/>
      <c r="FE314" s="180"/>
      <c r="FF314" s="180"/>
      <c r="FG314" s="187"/>
      <c r="FH314" s="180"/>
      <c r="FI314" s="180"/>
      <c r="FJ314" s="180"/>
      <c r="FK314" s="180"/>
      <c r="FL314" s="187"/>
      <c r="FM314" s="180"/>
      <c r="FN314" s="180"/>
      <c r="FO314" s="180"/>
      <c r="FP314" s="180"/>
      <c r="FQ314" s="187"/>
      <c r="FR314" s="180"/>
      <c r="FS314" s="180"/>
      <c r="FT314" s="180"/>
      <c r="FU314" s="180"/>
      <c r="FV314" s="187"/>
      <c r="FW314" s="180"/>
      <c r="FX314" s="180"/>
      <c r="FY314" s="180"/>
      <c r="FZ314" s="180"/>
      <c r="GA314" s="187"/>
      <c r="GB314" s="180"/>
      <c r="GC314" s="180"/>
      <c r="GD314" s="180"/>
      <c r="GE314" s="180"/>
      <c r="GF314" s="187"/>
      <c r="GG314" s="180"/>
      <c r="GH314" s="180"/>
      <c r="GI314" s="180"/>
      <c r="GJ314" s="180"/>
    </row>
    <row r="315" spans="1:192" s="93" customFormat="1" ht="12.75" customHeight="1">
      <c r="A315" s="68"/>
      <c r="B315" s="677"/>
      <c r="C315" s="181"/>
      <c r="D315" s="182"/>
      <c r="E315" s="182"/>
      <c r="F315" s="182"/>
      <c r="G315" s="182"/>
      <c r="H315" s="181"/>
      <c r="I315" s="182"/>
      <c r="J315" s="182"/>
      <c r="K315" s="182"/>
      <c r="L315" s="182"/>
      <c r="M315" s="181"/>
      <c r="N315" s="182"/>
      <c r="O315" s="182"/>
      <c r="P315" s="182"/>
      <c r="Q315" s="182"/>
      <c r="R315" s="181"/>
      <c r="S315" s="182"/>
      <c r="T315" s="182"/>
      <c r="U315" s="182"/>
      <c r="V315" s="182"/>
      <c r="W315" s="181"/>
      <c r="X315" s="182"/>
      <c r="Y315" s="182"/>
      <c r="Z315" s="182"/>
      <c r="AA315" s="182"/>
      <c r="AB315" s="181"/>
      <c r="AC315" s="182"/>
      <c r="AD315" s="182"/>
      <c r="AE315" s="182"/>
      <c r="AF315" s="182"/>
      <c r="AG315" s="181"/>
      <c r="AH315" s="182"/>
      <c r="AI315" s="182"/>
      <c r="AJ315" s="182"/>
      <c r="AK315" s="182"/>
      <c r="AL315" s="181"/>
      <c r="AM315" s="182"/>
      <c r="AN315" s="182"/>
      <c r="AO315" s="182"/>
      <c r="AP315" s="182"/>
      <c r="AQ315" s="181"/>
      <c r="AR315" s="182"/>
      <c r="AS315" s="182"/>
      <c r="AT315" s="182"/>
      <c r="AU315" s="182"/>
      <c r="AV315" s="181"/>
      <c r="AW315" s="182"/>
      <c r="AX315" s="182"/>
      <c r="AY315" s="182"/>
      <c r="AZ315" s="182"/>
      <c r="BA315" s="181"/>
      <c r="BB315" s="182"/>
      <c r="BC315" s="182"/>
      <c r="BD315" s="182"/>
      <c r="BE315" s="182"/>
      <c r="BF315" s="181"/>
      <c r="BG315" s="182"/>
      <c r="BH315" s="182"/>
      <c r="BI315" s="182"/>
      <c r="BJ315" s="182"/>
      <c r="BK315" s="181"/>
      <c r="BL315" s="182"/>
      <c r="BM315" s="182"/>
      <c r="BN315" s="182"/>
      <c r="BO315" s="182"/>
      <c r="BP315" s="181"/>
      <c r="BQ315" s="182"/>
      <c r="BR315" s="182"/>
      <c r="BS315" s="182"/>
      <c r="BT315" s="182"/>
      <c r="BU315" s="181"/>
      <c r="BV315" s="182"/>
      <c r="BW315" s="182"/>
      <c r="BX315" s="182"/>
      <c r="BY315" s="182"/>
      <c r="BZ315" s="181"/>
      <c r="CA315" s="182"/>
      <c r="CB315" s="182"/>
      <c r="CC315" s="182"/>
      <c r="CD315" s="182"/>
      <c r="CE315" s="181"/>
      <c r="CF315" s="182"/>
      <c r="CG315" s="182"/>
      <c r="CH315" s="182"/>
      <c r="CI315" s="182"/>
      <c r="CJ315" s="181"/>
      <c r="CK315" s="182"/>
      <c r="CL315" s="182"/>
      <c r="CM315" s="182"/>
      <c r="CN315" s="182"/>
      <c r="CO315" s="181"/>
      <c r="CP315" s="182"/>
      <c r="CQ315" s="182"/>
      <c r="CR315" s="182"/>
      <c r="CS315" s="182"/>
      <c r="CT315" s="181"/>
      <c r="CU315" s="182"/>
      <c r="CV315" s="182"/>
      <c r="CW315" s="182"/>
      <c r="CX315" s="182"/>
      <c r="CY315" s="181"/>
      <c r="CZ315" s="182"/>
      <c r="DA315" s="182"/>
      <c r="DB315" s="182"/>
      <c r="DC315" s="182"/>
      <c r="DD315" s="181"/>
      <c r="DE315" s="182"/>
      <c r="DF315" s="182"/>
      <c r="DG315" s="182"/>
      <c r="DH315" s="182"/>
      <c r="DI315" s="181"/>
      <c r="DJ315" s="182"/>
      <c r="DK315" s="182"/>
      <c r="DL315" s="182"/>
      <c r="DM315" s="182"/>
      <c r="DN315" s="181"/>
      <c r="DO315" s="182"/>
      <c r="DP315" s="182"/>
      <c r="DQ315" s="182"/>
      <c r="DR315" s="182"/>
      <c r="DS315" s="181"/>
      <c r="DT315" s="182"/>
      <c r="DU315" s="182"/>
      <c r="DV315" s="182"/>
      <c r="DW315" s="182"/>
      <c r="DX315" s="181"/>
      <c r="DY315" s="182"/>
      <c r="DZ315" s="182"/>
      <c r="EA315" s="182"/>
      <c r="EB315" s="182"/>
      <c r="EC315" s="181"/>
      <c r="ED315" s="182"/>
      <c r="EE315" s="182"/>
      <c r="EF315" s="182"/>
      <c r="EG315" s="182"/>
      <c r="EH315" s="181"/>
      <c r="EI315" s="182"/>
      <c r="EJ315" s="182"/>
      <c r="EK315" s="182"/>
      <c r="EL315" s="182"/>
      <c r="EM315" s="181"/>
      <c r="EN315" s="182"/>
      <c r="EO315" s="182"/>
      <c r="EP315" s="182"/>
      <c r="EQ315" s="182"/>
      <c r="ER315" s="181"/>
      <c r="ES315" s="182"/>
      <c r="ET315" s="182"/>
      <c r="EU315" s="182"/>
      <c r="EV315" s="182"/>
      <c r="EW315" s="181"/>
      <c r="EX315" s="182"/>
      <c r="EY315" s="182"/>
      <c r="EZ315" s="182"/>
      <c r="FA315" s="182"/>
      <c r="FB315" s="181"/>
      <c r="FC315" s="182"/>
      <c r="FD315" s="182"/>
      <c r="FE315" s="182"/>
      <c r="FF315" s="182"/>
      <c r="FG315" s="181"/>
      <c r="FH315" s="182"/>
      <c r="FI315" s="182"/>
      <c r="FJ315" s="182"/>
      <c r="FK315" s="182"/>
      <c r="FL315" s="181"/>
      <c r="FM315" s="182"/>
      <c r="FN315" s="182"/>
      <c r="FO315" s="182"/>
      <c r="FP315" s="182"/>
      <c r="FQ315" s="181"/>
      <c r="FR315" s="182"/>
      <c r="FS315" s="182"/>
      <c r="FT315" s="182"/>
      <c r="FU315" s="182"/>
      <c r="FV315" s="181"/>
      <c r="FW315" s="182"/>
      <c r="FX315" s="182"/>
      <c r="FY315" s="182"/>
      <c r="FZ315" s="182"/>
      <c r="GA315" s="181"/>
      <c r="GB315" s="182"/>
      <c r="GC315" s="182"/>
      <c r="GD315" s="182"/>
      <c r="GE315" s="182"/>
      <c r="GF315" s="181"/>
      <c r="GG315" s="182"/>
      <c r="GH315" s="182"/>
      <c r="GI315" s="182"/>
      <c r="GJ315" s="182"/>
    </row>
    <row r="316" spans="1:192" s="93" customFormat="1" ht="12.75" customHeight="1">
      <c r="A316" s="68"/>
      <c r="B316" s="677"/>
      <c r="C316" s="106"/>
      <c r="D316" s="107"/>
      <c r="E316" s="107"/>
      <c r="F316" s="107"/>
      <c r="G316" s="107"/>
      <c r="H316" s="106"/>
      <c r="I316" s="107"/>
      <c r="J316" s="107"/>
      <c r="K316" s="107"/>
      <c r="L316" s="107"/>
      <c r="M316" s="106"/>
      <c r="N316" s="107"/>
      <c r="O316" s="107"/>
      <c r="P316" s="107"/>
      <c r="Q316" s="107"/>
      <c r="R316" s="106"/>
      <c r="S316" s="107"/>
      <c r="T316" s="107"/>
      <c r="U316" s="107"/>
      <c r="V316" s="107"/>
      <c r="W316" s="106"/>
      <c r="X316" s="107"/>
      <c r="Y316" s="107"/>
      <c r="Z316" s="107"/>
      <c r="AA316" s="107"/>
      <c r="AB316" s="106"/>
      <c r="AC316" s="107"/>
      <c r="AD316" s="107"/>
      <c r="AE316" s="107"/>
      <c r="AF316" s="107"/>
      <c r="AG316" s="106"/>
      <c r="AH316" s="107"/>
      <c r="AI316" s="107"/>
      <c r="AJ316" s="107"/>
      <c r="AK316" s="107"/>
      <c r="AL316" s="106"/>
      <c r="AM316" s="107"/>
      <c r="AN316" s="107"/>
      <c r="AO316" s="107"/>
      <c r="AP316" s="107"/>
      <c r="AQ316" s="106"/>
      <c r="AR316" s="107"/>
      <c r="AS316" s="107"/>
      <c r="AT316" s="107"/>
      <c r="AU316" s="107"/>
      <c r="AV316" s="106"/>
      <c r="AW316" s="107"/>
      <c r="AX316" s="107"/>
      <c r="AY316" s="107"/>
      <c r="AZ316" s="107"/>
      <c r="BA316" s="106"/>
      <c r="BB316" s="107"/>
      <c r="BC316" s="107"/>
      <c r="BD316" s="107"/>
      <c r="BE316" s="107"/>
      <c r="BF316" s="106"/>
      <c r="BG316" s="107"/>
      <c r="BH316" s="107"/>
      <c r="BI316" s="107"/>
      <c r="BJ316" s="107"/>
      <c r="BK316" s="106"/>
      <c r="BL316" s="107"/>
      <c r="BM316" s="107"/>
      <c r="BN316" s="107"/>
      <c r="BO316" s="107"/>
      <c r="BP316" s="106"/>
      <c r="BQ316" s="107"/>
      <c r="BR316" s="107"/>
      <c r="BS316" s="107"/>
      <c r="BT316" s="107"/>
      <c r="BU316" s="106"/>
      <c r="BV316" s="107"/>
      <c r="BW316" s="107"/>
      <c r="BX316" s="107"/>
      <c r="BY316" s="107"/>
      <c r="BZ316" s="106"/>
      <c r="CA316" s="107"/>
      <c r="CB316" s="107"/>
      <c r="CC316" s="107"/>
      <c r="CD316" s="107"/>
      <c r="CE316" s="106"/>
      <c r="CF316" s="107"/>
      <c r="CG316" s="107"/>
      <c r="CH316" s="107"/>
      <c r="CI316" s="107"/>
      <c r="CJ316" s="106"/>
      <c r="CK316" s="107"/>
      <c r="CL316" s="107"/>
      <c r="CM316" s="107"/>
      <c r="CN316" s="107"/>
      <c r="CO316" s="106"/>
      <c r="CP316" s="107"/>
      <c r="CQ316" s="107"/>
      <c r="CR316" s="107"/>
      <c r="CS316" s="107"/>
      <c r="CT316" s="106"/>
      <c r="CU316" s="107"/>
      <c r="CV316" s="107"/>
      <c r="CW316" s="107"/>
      <c r="CX316" s="107"/>
      <c r="CY316" s="106"/>
      <c r="CZ316" s="107"/>
      <c r="DA316" s="107"/>
      <c r="DB316" s="107"/>
      <c r="DC316" s="107"/>
      <c r="DD316" s="106"/>
      <c r="DE316" s="107"/>
      <c r="DF316" s="107"/>
      <c r="DG316" s="107"/>
      <c r="DH316" s="107"/>
      <c r="DI316" s="106"/>
      <c r="DJ316" s="107"/>
      <c r="DK316" s="107"/>
      <c r="DL316" s="107"/>
      <c r="DM316" s="107"/>
      <c r="DN316" s="106"/>
      <c r="DO316" s="107"/>
      <c r="DP316" s="107"/>
      <c r="DQ316" s="107"/>
      <c r="DR316" s="107"/>
      <c r="DS316" s="106"/>
      <c r="DT316" s="107"/>
      <c r="DU316" s="107"/>
      <c r="DV316" s="107"/>
      <c r="DW316" s="107"/>
      <c r="DX316" s="106"/>
      <c r="DY316" s="107"/>
      <c r="DZ316" s="107"/>
      <c r="EA316" s="107"/>
      <c r="EB316" s="107"/>
      <c r="EC316" s="106"/>
      <c r="ED316" s="107"/>
      <c r="EE316" s="107"/>
      <c r="EF316" s="107"/>
      <c r="EG316" s="107"/>
      <c r="EH316" s="106"/>
      <c r="EI316" s="107"/>
      <c r="EJ316" s="107"/>
      <c r="EK316" s="107"/>
      <c r="EL316" s="107"/>
      <c r="EM316" s="106"/>
      <c r="EN316" s="107"/>
      <c r="EO316" s="107"/>
      <c r="EP316" s="107"/>
      <c r="EQ316" s="107"/>
      <c r="ER316" s="106"/>
      <c r="ES316" s="107"/>
      <c r="ET316" s="107"/>
      <c r="EU316" s="107"/>
      <c r="EV316" s="107"/>
      <c r="EW316" s="106"/>
      <c r="EX316" s="107"/>
      <c r="EY316" s="107"/>
      <c r="EZ316" s="107"/>
      <c r="FA316" s="107"/>
      <c r="FB316" s="106"/>
      <c r="FC316" s="107"/>
      <c r="FD316" s="107"/>
      <c r="FE316" s="107"/>
      <c r="FF316" s="107"/>
      <c r="FG316" s="106"/>
      <c r="FH316" s="107"/>
      <c r="FI316" s="107"/>
      <c r="FJ316" s="107"/>
      <c r="FK316" s="107"/>
      <c r="FL316" s="106"/>
      <c r="FM316" s="107"/>
      <c r="FN316" s="107"/>
      <c r="FO316" s="107"/>
      <c r="FP316" s="107"/>
      <c r="FQ316" s="106"/>
      <c r="FR316" s="107"/>
      <c r="FS316" s="107"/>
      <c r="FT316" s="107"/>
      <c r="FU316" s="107"/>
      <c r="FV316" s="106"/>
      <c r="FW316" s="107"/>
      <c r="FX316" s="107"/>
      <c r="FY316" s="107"/>
      <c r="FZ316" s="107"/>
      <c r="GA316" s="106"/>
      <c r="GB316" s="107"/>
      <c r="GC316" s="107"/>
      <c r="GD316" s="107"/>
      <c r="GE316" s="107"/>
      <c r="GF316" s="106"/>
      <c r="GG316" s="107"/>
      <c r="GH316" s="107"/>
      <c r="GI316" s="107"/>
      <c r="GJ316" s="107"/>
    </row>
    <row r="317" spans="1:192" s="93" customFormat="1" ht="12.75" customHeight="1">
      <c r="A317" s="68"/>
      <c r="B317" s="677"/>
      <c r="C317" s="188"/>
      <c r="D317" s="189"/>
      <c r="E317" s="189"/>
      <c r="F317" s="189"/>
      <c r="G317" s="189"/>
      <c r="H317" s="188"/>
      <c r="I317" s="189"/>
      <c r="J317" s="189"/>
      <c r="K317" s="189"/>
      <c r="L317" s="189"/>
      <c r="M317" s="188"/>
      <c r="N317" s="189"/>
      <c r="O317" s="189"/>
      <c r="P317" s="189"/>
      <c r="Q317" s="189"/>
      <c r="R317" s="188"/>
      <c r="S317" s="189"/>
      <c r="T317" s="189"/>
      <c r="U317" s="189"/>
      <c r="V317" s="189"/>
      <c r="W317" s="188"/>
      <c r="X317" s="189"/>
      <c r="Y317" s="189"/>
      <c r="Z317" s="189"/>
      <c r="AA317" s="189"/>
      <c r="AB317" s="188"/>
      <c r="AC317" s="189"/>
      <c r="AD317" s="189"/>
      <c r="AE317" s="189"/>
      <c r="AF317" s="189"/>
      <c r="AG317" s="188"/>
      <c r="AH317" s="189"/>
      <c r="AI317" s="189"/>
      <c r="AJ317" s="189"/>
      <c r="AK317" s="189"/>
      <c r="AL317" s="188"/>
      <c r="AM317" s="189"/>
      <c r="AN317" s="189"/>
      <c r="AO317" s="189"/>
      <c r="AP317" s="189"/>
      <c r="AQ317" s="188"/>
      <c r="AR317" s="189"/>
      <c r="AS317" s="189"/>
      <c r="AT317" s="189"/>
      <c r="AU317" s="189"/>
      <c r="AV317" s="188"/>
      <c r="AW317" s="189"/>
      <c r="AX317" s="189"/>
      <c r="AY317" s="189"/>
      <c r="AZ317" s="189"/>
      <c r="BA317" s="188"/>
      <c r="BB317" s="189"/>
      <c r="BC317" s="189"/>
      <c r="BD317" s="189"/>
      <c r="BE317" s="189"/>
      <c r="BF317" s="188"/>
      <c r="BG317" s="189"/>
      <c r="BH317" s="189"/>
      <c r="BI317" s="189"/>
      <c r="BJ317" s="189"/>
      <c r="BK317" s="188"/>
      <c r="BL317" s="189"/>
      <c r="BM317" s="189"/>
      <c r="BN317" s="189"/>
      <c r="BO317" s="189"/>
      <c r="BP317" s="188"/>
      <c r="BQ317" s="189"/>
      <c r="BR317" s="189"/>
      <c r="BS317" s="189"/>
      <c r="BT317" s="189"/>
      <c r="BU317" s="188"/>
      <c r="BV317" s="189"/>
      <c r="BW317" s="189"/>
      <c r="BX317" s="189"/>
      <c r="BY317" s="189"/>
      <c r="BZ317" s="188"/>
      <c r="CA317" s="189"/>
      <c r="CB317" s="189"/>
      <c r="CC317" s="189"/>
      <c r="CD317" s="189"/>
      <c r="CE317" s="188"/>
      <c r="CF317" s="189"/>
      <c r="CG317" s="189"/>
      <c r="CH317" s="189"/>
      <c r="CI317" s="189"/>
      <c r="CJ317" s="188"/>
      <c r="CK317" s="189"/>
      <c r="CL317" s="189"/>
      <c r="CM317" s="189"/>
      <c r="CN317" s="189"/>
      <c r="CO317" s="188"/>
      <c r="CP317" s="189"/>
      <c r="CQ317" s="189"/>
      <c r="CR317" s="189"/>
      <c r="CS317" s="189"/>
      <c r="CT317" s="188"/>
      <c r="CU317" s="189"/>
      <c r="CV317" s="189"/>
      <c r="CW317" s="189"/>
      <c r="CX317" s="189"/>
      <c r="CY317" s="188"/>
      <c r="CZ317" s="189"/>
      <c r="DA317" s="189"/>
      <c r="DB317" s="189"/>
      <c r="DC317" s="189"/>
      <c r="DD317" s="188"/>
      <c r="DE317" s="189"/>
      <c r="DF317" s="189"/>
      <c r="DG317" s="189"/>
      <c r="DH317" s="189"/>
      <c r="DI317" s="188"/>
      <c r="DJ317" s="189"/>
      <c r="DK317" s="189"/>
      <c r="DL317" s="189"/>
      <c r="DM317" s="189"/>
      <c r="DN317" s="188"/>
      <c r="DO317" s="189"/>
      <c r="DP317" s="189"/>
      <c r="DQ317" s="189"/>
      <c r="DR317" s="189"/>
      <c r="DS317" s="188"/>
      <c r="DT317" s="189"/>
      <c r="DU317" s="189"/>
      <c r="DV317" s="189"/>
      <c r="DW317" s="189"/>
      <c r="DX317" s="188"/>
      <c r="DY317" s="189"/>
      <c r="DZ317" s="189"/>
      <c r="EA317" s="189"/>
      <c r="EB317" s="189"/>
      <c r="EC317" s="188"/>
      <c r="ED317" s="189"/>
      <c r="EE317" s="189"/>
      <c r="EF317" s="189"/>
      <c r="EG317" s="189"/>
      <c r="EH317" s="188"/>
      <c r="EI317" s="189"/>
      <c r="EJ317" s="189"/>
      <c r="EK317" s="189"/>
      <c r="EL317" s="189"/>
      <c r="EM317" s="188"/>
      <c r="EN317" s="189"/>
      <c r="EO317" s="189"/>
      <c r="EP317" s="189"/>
      <c r="EQ317" s="189"/>
      <c r="ER317" s="188"/>
      <c r="ES317" s="189"/>
      <c r="ET317" s="189"/>
      <c r="EU317" s="189"/>
      <c r="EV317" s="189"/>
      <c r="EW317" s="188"/>
      <c r="EX317" s="189"/>
      <c r="EY317" s="189"/>
      <c r="EZ317" s="189"/>
      <c r="FA317" s="189"/>
      <c r="FB317" s="188"/>
      <c r="FC317" s="189"/>
      <c r="FD317" s="189"/>
      <c r="FE317" s="189"/>
      <c r="FF317" s="189"/>
      <c r="FG317" s="188"/>
      <c r="FH317" s="189"/>
      <c r="FI317" s="189"/>
      <c r="FJ317" s="189"/>
      <c r="FK317" s="189"/>
      <c r="FL317" s="188"/>
      <c r="FM317" s="189"/>
      <c r="FN317" s="189"/>
      <c r="FO317" s="189"/>
      <c r="FP317" s="189"/>
      <c r="FQ317" s="188"/>
      <c r="FR317" s="189"/>
      <c r="FS317" s="189"/>
      <c r="FT317" s="189"/>
      <c r="FU317" s="189"/>
      <c r="FV317" s="188"/>
      <c r="FW317" s="189"/>
      <c r="FX317" s="189"/>
      <c r="FY317" s="189"/>
      <c r="FZ317" s="189"/>
      <c r="GA317" s="188"/>
      <c r="GB317" s="189"/>
      <c r="GC317" s="189"/>
      <c r="GD317" s="189"/>
      <c r="GE317" s="189"/>
      <c r="GF317" s="188"/>
      <c r="GG317" s="189"/>
      <c r="GH317" s="189"/>
      <c r="GI317" s="189"/>
      <c r="GJ317" s="189"/>
    </row>
    <row r="318" spans="1:192" s="93" customFormat="1" ht="12.75" customHeight="1">
      <c r="A318" s="68"/>
      <c r="B318" s="677"/>
      <c r="C318" s="139"/>
      <c r="D318" s="105"/>
      <c r="E318" s="105"/>
      <c r="F318" s="105"/>
      <c r="G318" s="105"/>
      <c r="H318" s="139"/>
      <c r="I318" s="105"/>
      <c r="J318" s="105"/>
      <c r="K318" s="105"/>
      <c r="L318" s="105"/>
      <c r="M318" s="139"/>
      <c r="N318" s="105"/>
      <c r="O318" s="105"/>
      <c r="P318" s="105"/>
      <c r="Q318" s="105"/>
      <c r="R318" s="139"/>
      <c r="S318" s="105"/>
      <c r="T318" s="105"/>
      <c r="U318" s="105"/>
      <c r="V318" s="105"/>
      <c r="W318" s="139"/>
      <c r="X318" s="105"/>
      <c r="Y318" s="105"/>
      <c r="Z318" s="105"/>
      <c r="AA318" s="105"/>
      <c r="AB318" s="139"/>
      <c r="AC318" s="105"/>
      <c r="AD318" s="105"/>
      <c r="AE318" s="105"/>
      <c r="AF318" s="105"/>
      <c r="AG318" s="139"/>
      <c r="AH318" s="105"/>
      <c r="AI318" s="105"/>
      <c r="AJ318" s="105"/>
      <c r="AK318" s="105"/>
      <c r="AL318" s="139"/>
      <c r="AM318" s="105"/>
      <c r="AN318" s="105"/>
      <c r="AO318" s="105"/>
      <c r="AP318" s="105"/>
      <c r="AQ318" s="139"/>
      <c r="AR318" s="105"/>
      <c r="AS318" s="105"/>
      <c r="AT318" s="105"/>
      <c r="AU318" s="105"/>
      <c r="AV318" s="139"/>
      <c r="AW318" s="105"/>
      <c r="AX318" s="105"/>
      <c r="AY318" s="105"/>
      <c r="AZ318" s="105"/>
      <c r="BA318" s="139"/>
      <c r="BB318" s="105"/>
      <c r="BC318" s="105"/>
      <c r="BD318" s="105"/>
      <c r="BE318" s="105"/>
      <c r="BF318" s="139"/>
      <c r="BG318" s="105"/>
      <c r="BH318" s="105"/>
      <c r="BI318" s="105"/>
      <c r="BJ318" s="105"/>
      <c r="BK318" s="139"/>
      <c r="BL318" s="105"/>
      <c r="BM318" s="105"/>
      <c r="BN318" s="105"/>
      <c r="BO318" s="105"/>
      <c r="BP318" s="139"/>
      <c r="BQ318" s="105"/>
      <c r="BR318" s="105"/>
      <c r="BS318" s="105"/>
      <c r="BT318" s="105"/>
      <c r="BU318" s="139"/>
      <c r="BV318" s="105"/>
      <c r="BW318" s="105"/>
      <c r="BX318" s="105"/>
      <c r="BY318" s="105"/>
      <c r="BZ318" s="139"/>
      <c r="CA318" s="105"/>
      <c r="CB318" s="105"/>
      <c r="CC318" s="105"/>
      <c r="CD318" s="105"/>
      <c r="CE318" s="139"/>
      <c r="CF318" s="105"/>
      <c r="CG318" s="105"/>
      <c r="CH318" s="105"/>
      <c r="CI318" s="105"/>
      <c r="CJ318" s="139"/>
      <c r="CK318" s="105"/>
      <c r="CL318" s="105"/>
      <c r="CM318" s="105"/>
      <c r="CN318" s="105"/>
      <c r="CO318" s="139"/>
      <c r="CP318" s="105"/>
      <c r="CQ318" s="105"/>
      <c r="CR318" s="105"/>
      <c r="CS318" s="105"/>
      <c r="CT318" s="139"/>
      <c r="CU318" s="105"/>
      <c r="CV318" s="105"/>
      <c r="CW318" s="105"/>
      <c r="CX318" s="105"/>
      <c r="CY318" s="139"/>
      <c r="CZ318" s="105"/>
      <c r="DA318" s="105"/>
      <c r="DB318" s="105"/>
      <c r="DC318" s="105"/>
      <c r="DD318" s="139"/>
      <c r="DE318" s="105"/>
      <c r="DF318" s="105"/>
      <c r="DG318" s="105"/>
      <c r="DH318" s="105"/>
      <c r="DI318" s="139"/>
      <c r="DJ318" s="105"/>
      <c r="DK318" s="105"/>
      <c r="DL318" s="105"/>
      <c r="DM318" s="105"/>
      <c r="DN318" s="139"/>
      <c r="DO318" s="105"/>
      <c r="DP318" s="105"/>
      <c r="DQ318" s="105"/>
      <c r="DR318" s="105"/>
      <c r="DS318" s="139"/>
      <c r="DT318" s="105"/>
      <c r="DU318" s="105"/>
      <c r="DV318" s="105"/>
      <c r="DW318" s="105"/>
      <c r="DX318" s="139"/>
      <c r="DY318" s="105"/>
      <c r="DZ318" s="105"/>
      <c r="EA318" s="105"/>
      <c r="EB318" s="105"/>
      <c r="EC318" s="139"/>
      <c r="ED318" s="105"/>
      <c r="EE318" s="105"/>
      <c r="EF318" s="105"/>
      <c r="EG318" s="105"/>
      <c r="EH318" s="139"/>
      <c r="EI318" s="105"/>
      <c r="EJ318" s="105"/>
      <c r="EK318" s="105"/>
      <c r="EL318" s="105"/>
      <c r="EM318" s="139"/>
      <c r="EN318" s="105"/>
      <c r="EO318" s="105"/>
      <c r="EP318" s="105"/>
      <c r="EQ318" s="105"/>
      <c r="ER318" s="139"/>
      <c r="ES318" s="105"/>
      <c r="ET318" s="105"/>
      <c r="EU318" s="105"/>
      <c r="EV318" s="105"/>
      <c r="EW318" s="139"/>
      <c r="EX318" s="105"/>
      <c r="EY318" s="105"/>
      <c r="EZ318" s="105"/>
      <c r="FA318" s="105"/>
      <c r="FB318" s="139"/>
      <c r="FC318" s="105"/>
      <c r="FD318" s="105"/>
      <c r="FE318" s="105"/>
      <c r="FF318" s="105"/>
      <c r="FG318" s="139"/>
      <c r="FH318" s="105"/>
      <c r="FI318" s="105"/>
      <c r="FJ318" s="105"/>
      <c r="FK318" s="105"/>
      <c r="FL318" s="139"/>
      <c r="FM318" s="105"/>
      <c r="FN318" s="105"/>
      <c r="FO318" s="105"/>
      <c r="FP318" s="105"/>
      <c r="FQ318" s="139"/>
      <c r="FR318" s="105"/>
      <c r="FS318" s="105"/>
      <c r="FT318" s="105"/>
      <c r="FU318" s="105"/>
      <c r="FV318" s="139"/>
      <c r="FW318" s="105"/>
      <c r="FX318" s="105"/>
      <c r="FY318" s="105"/>
      <c r="FZ318" s="105"/>
      <c r="GA318" s="139"/>
      <c r="GB318" s="105"/>
      <c r="GC318" s="105"/>
      <c r="GD318" s="105"/>
      <c r="GE318" s="105"/>
      <c r="GF318" s="139"/>
      <c r="GG318" s="105"/>
      <c r="GH318" s="105"/>
      <c r="GI318" s="105"/>
      <c r="GJ318" s="105"/>
    </row>
    <row r="324" spans="1:192" s="93" customFormat="1" ht="12.75" customHeight="1">
      <c r="A324" s="68"/>
      <c r="B324" s="677"/>
      <c r="C324" s="190"/>
      <c r="D324" s="191"/>
      <c r="E324" s="191"/>
      <c r="F324" s="191"/>
      <c r="G324" s="191"/>
      <c r="H324" s="190"/>
      <c r="I324" s="191"/>
      <c r="J324" s="191"/>
      <c r="K324" s="191"/>
      <c r="L324" s="191"/>
      <c r="M324" s="190"/>
      <c r="N324" s="191"/>
      <c r="O324" s="191"/>
      <c r="P324" s="191"/>
      <c r="Q324" s="191"/>
      <c r="R324" s="190"/>
      <c r="S324" s="191"/>
      <c r="T324" s="191"/>
      <c r="U324" s="191"/>
      <c r="V324" s="191"/>
      <c r="W324" s="190"/>
      <c r="X324" s="191"/>
      <c r="Y324" s="191"/>
      <c r="Z324" s="191"/>
      <c r="AA324" s="191"/>
      <c r="AB324" s="190"/>
      <c r="AC324" s="191"/>
      <c r="AD324" s="191"/>
      <c r="AE324" s="191"/>
      <c r="AF324" s="191"/>
      <c r="AG324" s="190"/>
      <c r="AH324" s="191"/>
      <c r="AI324" s="191"/>
      <c r="AJ324" s="191"/>
      <c r="AK324" s="191"/>
      <c r="AL324" s="190"/>
      <c r="AM324" s="191"/>
      <c r="AN324" s="191"/>
      <c r="AO324" s="191"/>
      <c r="AP324" s="191"/>
      <c r="AQ324" s="190"/>
      <c r="AR324" s="191"/>
      <c r="AS324" s="191"/>
      <c r="AT324" s="191"/>
      <c r="AU324" s="191"/>
      <c r="AV324" s="190"/>
      <c r="AW324" s="191"/>
      <c r="AX324" s="191"/>
      <c r="AY324" s="191"/>
      <c r="AZ324" s="191"/>
      <c r="BA324" s="190"/>
      <c r="BB324" s="191"/>
      <c r="BC324" s="191"/>
      <c r="BD324" s="191"/>
      <c r="BE324" s="191"/>
      <c r="BF324" s="190"/>
      <c r="BG324" s="191"/>
      <c r="BH324" s="191"/>
      <c r="BI324" s="191"/>
      <c r="BJ324" s="191"/>
      <c r="BK324" s="190"/>
      <c r="BL324" s="191"/>
      <c r="BM324" s="191"/>
      <c r="BN324" s="191"/>
      <c r="BO324" s="191"/>
      <c r="BP324" s="190"/>
      <c r="BQ324" s="191"/>
      <c r="BR324" s="191"/>
      <c r="BS324" s="191"/>
      <c r="BT324" s="191"/>
      <c r="BU324" s="190"/>
      <c r="BV324" s="191"/>
      <c r="BW324" s="191"/>
      <c r="BX324" s="191"/>
      <c r="BY324" s="191"/>
      <c r="BZ324" s="190"/>
      <c r="CA324" s="191"/>
      <c r="CB324" s="191"/>
      <c r="CC324" s="191"/>
      <c r="CD324" s="191"/>
      <c r="CE324" s="190"/>
      <c r="CF324" s="191"/>
      <c r="CG324" s="191"/>
      <c r="CH324" s="191"/>
      <c r="CI324" s="191"/>
      <c r="CJ324" s="190"/>
      <c r="CK324" s="191"/>
      <c r="CL324" s="191"/>
      <c r="CM324" s="191"/>
      <c r="CN324" s="191"/>
      <c r="CO324" s="190"/>
      <c r="CP324" s="191"/>
      <c r="CQ324" s="191"/>
      <c r="CR324" s="191"/>
      <c r="CS324" s="191"/>
      <c r="CT324" s="190"/>
      <c r="CU324" s="191"/>
      <c r="CV324" s="191"/>
      <c r="CW324" s="191"/>
      <c r="CX324" s="191"/>
      <c r="CY324" s="190"/>
      <c r="CZ324" s="191"/>
      <c r="DA324" s="191"/>
      <c r="DB324" s="191"/>
      <c r="DC324" s="191"/>
      <c r="DD324" s="190"/>
      <c r="DE324" s="191"/>
      <c r="DF324" s="191"/>
      <c r="DG324" s="191"/>
      <c r="DH324" s="191"/>
      <c r="DI324" s="190"/>
      <c r="DJ324" s="191"/>
      <c r="DK324" s="191"/>
      <c r="DL324" s="191"/>
      <c r="DM324" s="191"/>
      <c r="DN324" s="190"/>
      <c r="DO324" s="191"/>
      <c r="DP324" s="191"/>
      <c r="DQ324" s="191"/>
      <c r="DR324" s="191"/>
      <c r="DS324" s="190"/>
      <c r="DT324" s="191"/>
      <c r="DU324" s="191"/>
      <c r="DV324" s="191"/>
      <c r="DW324" s="191"/>
      <c r="DX324" s="190"/>
      <c r="DY324" s="191"/>
      <c r="DZ324" s="191"/>
      <c r="EA324" s="191"/>
      <c r="EB324" s="191"/>
      <c r="EC324" s="190"/>
      <c r="ED324" s="191"/>
      <c r="EE324" s="191"/>
      <c r="EF324" s="191"/>
      <c r="EG324" s="191"/>
      <c r="EH324" s="190"/>
      <c r="EI324" s="191"/>
      <c r="EJ324" s="191"/>
      <c r="EK324" s="191"/>
      <c r="EL324" s="191"/>
      <c r="EM324" s="190"/>
      <c r="EN324" s="191"/>
      <c r="EO324" s="191"/>
      <c r="EP324" s="191"/>
      <c r="EQ324" s="191"/>
      <c r="ER324" s="190"/>
      <c r="ES324" s="191"/>
      <c r="ET324" s="191"/>
      <c r="EU324" s="191"/>
      <c r="EV324" s="191"/>
      <c r="EW324" s="190"/>
      <c r="EX324" s="191"/>
      <c r="EY324" s="191"/>
      <c r="EZ324" s="191"/>
      <c r="FA324" s="191"/>
      <c r="FB324" s="190"/>
      <c r="FC324" s="191"/>
      <c r="FD324" s="191"/>
      <c r="FE324" s="191"/>
      <c r="FF324" s="191"/>
      <c r="FG324" s="190"/>
      <c r="FH324" s="191"/>
      <c r="FI324" s="191"/>
      <c r="FJ324" s="191"/>
      <c r="FK324" s="191"/>
      <c r="FL324" s="190"/>
      <c r="FM324" s="191"/>
      <c r="FN324" s="191"/>
      <c r="FO324" s="191"/>
      <c r="FP324" s="191"/>
      <c r="FQ324" s="190"/>
      <c r="FR324" s="191"/>
      <c r="FS324" s="191"/>
      <c r="FT324" s="191"/>
      <c r="FU324" s="191"/>
      <c r="FV324" s="190"/>
      <c r="FW324" s="191"/>
      <c r="FX324" s="191"/>
      <c r="FY324" s="191"/>
      <c r="FZ324" s="191"/>
      <c r="GA324" s="190"/>
      <c r="GB324" s="191"/>
      <c r="GC324" s="191"/>
      <c r="GD324" s="191"/>
      <c r="GE324" s="191"/>
      <c r="GF324" s="190"/>
      <c r="GG324" s="191"/>
      <c r="GH324" s="191"/>
      <c r="GI324" s="191"/>
      <c r="GJ324" s="191"/>
    </row>
    <row r="325" spans="1:192" s="93" customFormat="1" ht="12.75" customHeight="1">
      <c r="A325" s="68"/>
      <c r="B325" s="677"/>
      <c r="C325" s="192"/>
      <c r="D325" s="193"/>
      <c r="E325" s="193"/>
      <c r="F325" s="193"/>
      <c r="G325" s="193"/>
      <c r="H325" s="192"/>
      <c r="I325" s="193"/>
      <c r="J325" s="193"/>
      <c r="K325" s="193"/>
      <c r="L325" s="193"/>
      <c r="M325" s="192"/>
      <c r="N325" s="193"/>
      <c r="O325" s="193"/>
      <c r="P325" s="193"/>
      <c r="Q325" s="193"/>
      <c r="R325" s="192"/>
      <c r="S325" s="193"/>
      <c r="T325" s="193"/>
      <c r="U325" s="193"/>
      <c r="V325" s="193"/>
      <c r="W325" s="192"/>
      <c r="X325" s="193"/>
      <c r="Y325" s="193"/>
      <c r="Z325" s="193"/>
      <c r="AA325" s="193"/>
      <c r="AB325" s="192"/>
      <c r="AC325" s="193"/>
      <c r="AD325" s="193"/>
      <c r="AE325" s="193"/>
      <c r="AF325" s="193"/>
      <c r="AG325" s="192"/>
      <c r="AH325" s="193"/>
      <c r="AI325" s="193"/>
      <c r="AJ325" s="193"/>
      <c r="AK325" s="193"/>
      <c r="AL325" s="192"/>
      <c r="AM325" s="193"/>
      <c r="AN325" s="193"/>
      <c r="AO325" s="193"/>
      <c r="AP325" s="193"/>
      <c r="AQ325" s="192"/>
      <c r="AR325" s="193"/>
      <c r="AS325" s="193"/>
      <c r="AT325" s="193"/>
      <c r="AU325" s="193"/>
      <c r="AV325" s="192"/>
      <c r="AW325" s="193"/>
      <c r="AX325" s="193"/>
      <c r="AY325" s="193"/>
      <c r="AZ325" s="193"/>
      <c r="BA325" s="192"/>
      <c r="BB325" s="193"/>
      <c r="BC325" s="193"/>
      <c r="BD325" s="193"/>
      <c r="BE325" s="193"/>
      <c r="BF325" s="192"/>
      <c r="BG325" s="193"/>
      <c r="BH325" s="193"/>
      <c r="BI325" s="193"/>
      <c r="BJ325" s="193"/>
      <c r="BK325" s="192"/>
      <c r="BL325" s="193"/>
      <c r="BM325" s="193"/>
      <c r="BN325" s="193"/>
      <c r="BO325" s="193"/>
      <c r="BP325" s="192"/>
      <c r="BQ325" s="193"/>
      <c r="BR325" s="193"/>
      <c r="BS325" s="193"/>
      <c r="BT325" s="193"/>
      <c r="BU325" s="192"/>
      <c r="BV325" s="193"/>
      <c r="BW325" s="193"/>
      <c r="BX325" s="193"/>
      <c r="BY325" s="193"/>
      <c r="BZ325" s="192"/>
      <c r="CA325" s="193"/>
      <c r="CB325" s="193"/>
      <c r="CC325" s="193"/>
      <c r="CD325" s="193"/>
      <c r="CE325" s="192"/>
      <c r="CF325" s="193"/>
      <c r="CG325" s="193"/>
      <c r="CH325" s="193"/>
      <c r="CI325" s="193"/>
      <c r="CJ325" s="192"/>
      <c r="CK325" s="193"/>
      <c r="CL325" s="193"/>
      <c r="CM325" s="193"/>
      <c r="CN325" s="193"/>
      <c r="CO325" s="192"/>
      <c r="CP325" s="193"/>
      <c r="CQ325" s="193"/>
      <c r="CR325" s="193"/>
      <c r="CS325" s="193"/>
      <c r="CT325" s="192"/>
      <c r="CU325" s="193"/>
      <c r="CV325" s="193"/>
      <c r="CW325" s="193"/>
      <c r="CX325" s="193"/>
      <c r="CY325" s="192"/>
      <c r="CZ325" s="193"/>
      <c r="DA325" s="193"/>
      <c r="DB325" s="193"/>
      <c r="DC325" s="193"/>
      <c r="DD325" s="192"/>
      <c r="DE325" s="193"/>
      <c r="DF325" s="193"/>
      <c r="DG325" s="193"/>
      <c r="DH325" s="193"/>
      <c r="DI325" s="192"/>
      <c r="DJ325" s="193"/>
      <c r="DK325" s="193"/>
      <c r="DL325" s="193"/>
      <c r="DM325" s="193"/>
      <c r="DN325" s="192"/>
      <c r="DO325" s="193"/>
      <c r="DP325" s="193"/>
      <c r="DQ325" s="193"/>
      <c r="DR325" s="193"/>
      <c r="DS325" s="192"/>
      <c r="DT325" s="193"/>
      <c r="DU325" s="193"/>
      <c r="DV325" s="193"/>
      <c r="DW325" s="193"/>
      <c r="DX325" s="192"/>
      <c r="DY325" s="193"/>
      <c r="DZ325" s="193"/>
      <c r="EA325" s="193"/>
      <c r="EB325" s="193"/>
      <c r="EC325" s="192"/>
      <c r="ED325" s="193"/>
      <c r="EE325" s="193"/>
      <c r="EF325" s="193"/>
      <c r="EG325" s="193"/>
      <c r="EH325" s="192"/>
      <c r="EI325" s="193"/>
      <c r="EJ325" s="193"/>
      <c r="EK325" s="193"/>
      <c r="EL325" s="193"/>
      <c r="EM325" s="192"/>
      <c r="EN325" s="193"/>
      <c r="EO325" s="193"/>
      <c r="EP325" s="193"/>
      <c r="EQ325" s="193"/>
      <c r="ER325" s="192"/>
      <c r="ES325" s="193"/>
      <c r="ET325" s="193"/>
      <c r="EU325" s="193"/>
      <c r="EV325" s="193"/>
      <c r="EW325" s="192"/>
      <c r="EX325" s="193"/>
      <c r="EY325" s="193"/>
      <c r="EZ325" s="193"/>
      <c r="FA325" s="193"/>
      <c r="FB325" s="192"/>
      <c r="FC325" s="193"/>
      <c r="FD325" s="193"/>
      <c r="FE325" s="193"/>
      <c r="FF325" s="193"/>
      <c r="FG325" s="192"/>
      <c r="FH325" s="193"/>
      <c r="FI325" s="193"/>
      <c r="FJ325" s="193"/>
      <c r="FK325" s="193"/>
      <c r="FL325" s="192"/>
      <c r="FM325" s="193"/>
      <c r="FN325" s="193"/>
      <c r="FO325" s="193"/>
      <c r="FP325" s="193"/>
      <c r="FQ325" s="192"/>
      <c r="FR325" s="193"/>
      <c r="FS325" s="193"/>
      <c r="FT325" s="193"/>
      <c r="FU325" s="193"/>
      <c r="FV325" s="192"/>
      <c r="FW325" s="193"/>
      <c r="FX325" s="193"/>
      <c r="FY325" s="193"/>
      <c r="FZ325" s="193"/>
      <c r="GA325" s="192"/>
      <c r="GB325" s="193"/>
      <c r="GC325" s="193"/>
      <c r="GD325" s="193"/>
      <c r="GE325" s="193"/>
      <c r="GF325" s="192"/>
      <c r="GG325" s="193"/>
      <c r="GH325" s="193"/>
      <c r="GI325" s="193"/>
      <c r="GJ325" s="193"/>
    </row>
    <row r="326" spans="1:192" s="93" customFormat="1" ht="12.75" customHeight="1">
      <c r="A326" s="68"/>
      <c r="B326" s="677"/>
      <c r="C326" s="181"/>
      <c r="D326" s="182"/>
      <c r="E326" s="182"/>
      <c r="F326" s="182"/>
      <c r="G326" s="182"/>
      <c r="H326" s="181"/>
      <c r="I326" s="182"/>
      <c r="J326" s="182"/>
      <c r="K326" s="182"/>
      <c r="L326" s="182"/>
      <c r="M326" s="181"/>
      <c r="N326" s="182"/>
      <c r="O326" s="182"/>
      <c r="P326" s="182"/>
      <c r="Q326" s="182"/>
      <c r="R326" s="181"/>
      <c r="S326" s="182"/>
      <c r="T326" s="182"/>
      <c r="U326" s="182"/>
      <c r="V326" s="182"/>
      <c r="W326" s="181"/>
      <c r="X326" s="182"/>
      <c r="Y326" s="182"/>
      <c r="Z326" s="182"/>
      <c r="AA326" s="182"/>
      <c r="AB326" s="181"/>
      <c r="AC326" s="182"/>
      <c r="AD326" s="182"/>
      <c r="AE326" s="182"/>
      <c r="AF326" s="182"/>
      <c r="AG326" s="181"/>
      <c r="AH326" s="182"/>
      <c r="AI326" s="182"/>
      <c r="AJ326" s="182"/>
      <c r="AK326" s="182"/>
      <c r="AL326" s="181"/>
      <c r="AM326" s="182"/>
      <c r="AN326" s="182"/>
      <c r="AO326" s="182"/>
      <c r="AP326" s="182"/>
      <c r="AQ326" s="181"/>
      <c r="AR326" s="182"/>
      <c r="AS326" s="182"/>
      <c r="AT326" s="182"/>
      <c r="AU326" s="182"/>
      <c r="AV326" s="181"/>
      <c r="AW326" s="182"/>
      <c r="AX326" s="182"/>
      <c r="AY326" s="182"/>
      <c r="AZ326" s="182"/>
      <c r="BA326" s="181"/>
      <c r="BB326" s="182"/>
      <c r="BC326" s="182"/>
      <c r="BD326" s="182"/>
      <c r="BE326" s="182"/>
      <c r="BF326" s="181"/>
      <c r="BG326" s="182"/>
      <c r="BH326" s="182"/>
      <c r="BI326" s="182"/>
      <c r="BJ326" s="182"/>
      <c r="BK326" s="181"/>
      <c r="BL326" s="182"/>
      <c r="BM326" s="182"/>
      <c r="BN326" s="182"/>
      <c r="BO326" s="182"/>
      <c r="BP326" s="181"/>
      <c r="BQ326" s="182"/>
      <c r="BR326" s="182"/>
      <c r="BS326" s="182"/>
      <c r="BT326" s="182"/>
      <c r="BU326" s="181"/>
      <c r="BV326" s="182"/>
      <c r="BW326" s="182"/>
      <c r="BX326" s="182"/>
      <c r="BY326" s="182"/>
      <c r="BZ326" s="181"/>
      <c r="CA326" s="182"/>
      <c r="CB326" s="182"/>
      <c r="CC326" s="182"/>
      <c r="CD326" s="182"/>
      <c r="CE326" s="181"/>
      <c r="CF326" s="182"/>
      <c r="CG326" s="182"/>
      <c r="CH326" s="182"/>
      <c r="CI326" s="182"/>
      <c r="CJ326" s="181"/>
      <c r="CK326" s="182"/>
      <c r="CL326" s="182"/>
      <c r="CM326" s="182"/>
      <c r="CN326" s="182"/>
      <c r="CO326" s="181"/>
      <c r="CP326" s="182"/>
      <c r="CQ326" s="182"/>
      <c r="CR326" s="182"/>
      <c r="CS326" s="182"/>
      <c r="CT326" s="181"/>
      <c r="CU326" s="182"/>
      <c r="CV326" s="182"/>
      <c r="CW326" s="182"/>
      <c r="CX326" s="182"/>
      <c r="CY326" s="181"/>
      <c r="CZ326" s="182"/>
      <c r="DA326" s="182"/>
      <c r="DB326" s="182"/>
      <c r="DC326" s="182"/>
      <c r="DD326" s="181"/>
      <c r="DE326" s="182"/>
      <c r="DF326" s="182"/>
      <c r="DG326" s="182"/>
      <c r="DH326" s="182"/>
      <c r="DI326" s="181"/>
      <c r="DJ326" s="182"/>
      <c r="DK326" s="182"/>
      <c r="DL326" s="182"/>
      <c r="DM326" s="182"/>
      <c r="DN326" s="181"/>
      <c r="DO326" s="182"/>
      <c r="DP326" s="182"/>
      <c r="DQ326" s="182"/>
      <c r="DR326" s="182"/>
      <c r="DS326" s="181"/>
      <c r="DT326" s="182"/>
      <c r="DU326" s="182"/>
      <c r="DV326" s="182"/>
      <c r="DW326" s="182"/>
      <c r="DX326" s="181"/>
      <c r="DY326" s="182"/>
      <c r="DZ326" s="182"/>
      <c r="EA326" s="182"/>
      <c r="EB326" s="182"/>
      <c r="EC326" s="181"/>
      <c r="ED326" s="182"/>
      <c r="EE326" s="182"/>
      <c r="EF326" s="182"/>
      <c r="EG326" s="182"/>
      <c r="EH326" s="181"/>
      <c r="EI326" s="182"/>
      <c r="EJ326" s="182"/>
      <c r="EK326" s="182"/>
      <c r="EL326" s="182"/>
      <c r="EM326" s="181"/>
      <c r="EN326" s="182"/>
      <c r="EO326" s="182"/>
      <c r="EP326" s="182"/>
      <c r="EQ326" s="182"/>
      <c r="ER326" s="181"/>
      <c r="ES326" s="182"/>
      <c r="ET326" s="182"/>
      <c r="EU326" s="182"/>
      <c r="EV326" s="182"/>
      <c r="EW326" s="181"/>
      <c r="EX326" s="182"/>
      <c r="EY326" s="182"/>
      <c r="EZ326" s="182"/>
      <c r="FA326" s="182"/>
      <c r="FB326" s="181"/>
      <c r="FC326" s="182"/>
      <c r="FD326" s="182"/>
      <c r="FE326" s="182"/>
      <c r="FF326" s="182"/>
      <c r="FG326" s="181"/>
      <c r="FH326" s="182"/>
      <c r="FI326" s="182"/>
      <c r="FJ326" s="182"/>
      <c r="FK326" s="182"/>
      <c r="FL326" s="181"/>
      <c r="FM326" s="182"/>
      <c r="FN326" s="182"/>
      <c r="FO326" s="182"/>
      <c r="FP326" s="182"/>
      <c r="FQ326" s="181"/>
      <c r="FR326" s="182"/>
      <c r="FS326" s="182"/>
      <c r="FT326" s="182"/>
      <c r="FU326" s="182"/>
      <c r="FV326" s="181"/>
      <c r="FW326" s="182"/>
      <c r="FX326" s="182"/>
      <c r="FY326" s="182"/>
      <c r="FZ326" s="182"/>
      <c r="GA326" s="181"/>
      <c r="GB326" s="182"/>
      <c r="GC326" s="182"/>
      <c r="GD326" s="182"/>
      <c r="GE326" s="182"/>
      <c r="GF326" s="181"/>
      <c r="GG326" s="182"/>
      <c r="GH326" s="182"/>
      <c r="GI326" s="182"/>
      <c r="GJ326" s="182"/>
    </row>
    <row r="328" spans="1:192" s="93" customFormat="1" ht="12.75" customHeight="1">
      <c r="A328" s="68"/>
      <c r="B328" s="677"/>
      <c r="C328" s="176"/>
      <c r="D328" s="177"/>
      <c r="E328" s="177"/>
      <c r="F328" s="177"/>
      <c r="G328" s="177"/>
      <c r="H328" s="176"/>
      <c r="I328" s="177"/>
      <c r="J328" s="177"/>
      <c r="K328" s="177"/>
      <c r="L328" s="177"/>
      <c r="M328" s="176"/>
      <c r="N328" s="177"/>
      <c r="O328" s="177"/>
      <c r="P328" s="177"/>
      <c r="Q328" s="177"/>
      <c r="R328" s="176"/>
      <c r="S328" s="177"/>
      <c r="T328" s="177"/>
      <c r="U328" s="177"/>
      <c r="V328" s="177"/>
      <c r="W328" s="176"/>
      <c r="X328" s="177"/>
      <c r="Y328" s="177"/>
      <c r="Z328" s="177"/>
      <c r="AA328" s="177"/>
      <c r="AB328" s="176"/>
      <c r="AC328" s="177"/>
      <c r="AD328" s="177"/>
      <c r="AE328" s="177"/>
      <c r="AF328" s="177"/>
      <c r="AG328" s="176"/>
      <c r="AH328" s="177"/>
      <c r="AI328" s="177"/>
      <c r="AJ328" s="177"/>
      <c r="AK328" s="177"/>
      <c r="AL328" s="176"/>
      <c r="AM328" s="177"/>
      <c r="AN328" s="177"/>
      <c r="AO328" s="177"/>
      <c r="AP328" s="177"/>
      <c r="AQ328" s="176"/>
      <c r="AR328" s="177"/>
      <c r="AS328" s="177"/>
      <c r="AT328" s="177"/>
      <c r="AU328" s="177"/>
      <c r="AV328" s="176"/>
      <c r="AW328" s="177"/>
      <c r="AX328" s="177"/>
      <c r="AY328" s="177"/>
      <c r="AZ328" s="177"/>
      <c r="BA328" s="176"/>
      <c r="BB328" s="177"/>
      <c r="BC328" s="177"/>
      <c r="BD328" s="177"/>
      <c r="BE328" s="177"/>
      <c r="BF328" s="176"/>
      <c r="BG328" s="177"/>
      <c r="BH328" s="177"/>
      <c r="BI328" s="177"/>
      <c r="BJ328" s="177"/>
      <c r="BK328" s="176"/>
      <c r="BL328" s="177"/>
      <c r="BM328" s="177"/>
      <c r="BN328" s="177"/>
      <c r="BO328" s="177"/>
      <c r="BP328" s="176"/>
      <c r="BQ328" s="177"/>
      <c r="BR328" s="177"/>
      <c r="BS328" s="177"/>
      <c r="BT328" s="177"/>
      <c r="BU328" s="176"/>
      <c r="BV328" s="177"/>
      <c r="BW328" s="177"/>
      <c r="BX328" s="177"/>
      <c r="BY328" s="177"/>
      <c r="BZ328" s="176"/>
      <c r="CA328" s="177"/>
      <c r="CB328" s="177"/>
      <c r="CC328" s="177"/>
      <c r="CD328" s="177"/>
      <c r="CE328" s="176"/>
      <c r="CF328" s="177"/>
      <c r="CG328" s="177"/>
      <c r="CH328" s="177"/>
      <c r="CI328" s="177"/>
      <c r="CJ328" s="176"/>
      <c r="CK328" s="177"/>
      <c r="CL328" s="177"/>
      <c r="CM328" s="177"/>
      <c r="CN328" s="177"/>
      <c r="CO328" s="176"/>
      <c r="CP328" s="177"/>
      <c r="CQ328" s="177"/>
      <c r="CR328" s="177"/>
      <c r="CS328" s="177"/>
      <c r="CT328" s="176"/>
      <c r="CU328" s="177"/>
      <c r="CV328" s="177"/>
      <c r="CW328" s="177"/>
      <c r="CX328" s="177"/>
      <c r="CY328" s="176"/>
      <c r="CZ328" s="177"/>
      <c r="DA328" s="177"/>
      <c r="DB328" s="177"/>
      <c r="DC328" s="177"/>
      <c r="DD328" s="176"/>
      <c r="DE328" s="177"/>
      <c r="DF328" s="177"/>
      <c r="DG328" s="177"/>
      <c r="DH328" s="177"/>
      <c r="DI328" s="176"/>
      <c r="DJ328" s="177"/>
      <c r="DK328" s="177"/>
      <c r="DL328" s="177"/>
      <c r="DM328" s="177"/>
      <c r="DN328" s="176"/>
      <c r="DO328" s="177"/>
      <c r="DP328" s="177"/>
      <c r="DQ328" s="177"/>
      <c r="DR328" s="177"/>
      <c r="DS328" s="176"/>
      <c r="DT328" s="177"/>
      <c r="DU328" s="177"/>
      <c r="DV328" s="177"/>
      <c r="DW328" s="177"/>
      <c r="DX328" s="176"/>
      <c r="DY328" s="177"/>
      <c r="DZ328" s="177"/>
      <c r="EA328" s="177"/>
      <c r="EB328" s="177"/>
      <c r="EC328" s="176"/>
      <c r="ED328" s="177"/>
      <c r="EE328" s="177"/>
      <c r="EF328" s="177"/>
      <c r="EG328" s="177"/>
      <c r="EH328" s="176"/>
      <c r="EI328" s="177"/>
      <c r="EJ328" s="177"/>
      <c r="EK328" s="177"/>
      <c r="EL328" s="177"/>
      <c r="EM328" s="176"/>
      <c r="EN328" s="177"/>
      <c r="EO328" s="177"/>
      <c r="EP328" s="177"/>
      <c r="EQ328" s="177"/>
      <c r="ER328" s="176"/>
      <c r="ES328" s="177"/>
      <c r="ET328" s="177"/>
      <c r="EU328" s="177"/>
      <c r="EV328" s="177"/>
      <c r="EW328" s="176"/>
      <c r="EX328" s="177"/>
      <c r="EY328" s="177"/>
      <c r="EZ328" s="177"/>
      <c r="FA328" s="177"/>
      <c r="FB328" s="176"/>
      <c r="FC328" s="177"/>
      <c r="FD328" s="177"/>
      <c r="FE328" s="177"/>
      <c r="FF328" s="177"/>
      <c r="FG328" s="176"/>
      <c r="FH328" s="177"/>
      <c r="FI328" s="177"/>
      <c r="FJ328" s="177"/>
      <c r="FK328" s="177"/>
      <c r="FL328" s="176"/>
      <c r="FM328" s="177"/>
      <c r="FN328" s="177"/>
      <c r="FO328" s="177"/>
      <c r="FP328" s="177"/>
      <c r="FQ328" s="176"/>
      <c r="FR328" s="177"/>
      <c r="FS328" s="177"/>
      <c r="FT328" s="177"/>
      <c r="FU328" s="177"/>
      <c r="FV328" s="176"/>
      <c r="FW328" s="177"/>
      <c r="FX328" s="177"/>
      <c r="FY328" s="177"/>
      <c r="FZ328" s="177"/>
      <c r="GA328" s="176"/>
      <c r="GB328" s="177"/>
      <c r="GC328" s="177"/>
      <c r="GD328" s="177"/>
      <c r="GE328" s="177"/>
      <c r="GF328" s="176"/>
      <c r="GG328" s="177"/>
      <c r="GH328" s="177"/>
      <c r="GI328" s="177"/>
      <c r="GJ328" s="177"/>
    </row>
    <row r="329" spans="1:192" s="93" customFormat="1" ht="12.75" customHeight="1">
      <c r="A329" s="68"/>
      <c r="B329" s="677"/>
      <c r="C329" s="139"/>
      <c r="D329" s="105"/>
      <c r="E329" s="105"/>
      <c r="F329" s="105"/>
      <c r="G329" s="105"/>
      <c r="H329" s="139"/>
      <c r="I329" s="105"/>
      <c r="J329" s="105"/>
      <c r="K329" s="105"/>
      <c r="L329" s="105"/>
      <c r="M329" s="139"/>
      <c r="N329" s="105"/>
      <c r="O329" s="105"/>
      <c r="P329" s="105"/>
      <c r="Q329" s="105"/>
      <c r="R329" s="139"/>
      <c r="S329" s="105"/>
      <c r="T329" s="105"/>
      <c r="U329" s="105"/>
      <c r="V329" s="105"/>
      <c r="W329" s="139"/>
      <c r="X329" s="105"/>
      <c r="Y329" s="105"/>
      <c r="Z329" s="105"/>
      <c r="AA329" s="105"/>
      <c r="AB329" s="139"/>
      <c r="AC329" s="105"/>
      <c r="AD329" s="105"/>
      <c r="AE329" s="105"/>
      <c r="AF329" s="105"/>
      <c r="AG329" s="139"/>
      <c r="AH329" s="105"/>
      <c r="AI329" s="105"/>
      <c r="AJ329" s="105"/>
      <c r="AK329" s="105"/>
      <c r="AL329" s="139"/>
      <c r="AM329" s="105"/>
      <c r="AN329" s="105"/>
      <c r="AO329" s="105"/>
      <c r="AP329" s="105"/>
      <c r="AQ329" s="139"/>
      <c r="AR329" s="105"/>
      <c r="AS329" s="105"/>
      <c r="AT329" s="105"/>
      <c r="AU329" s="105"/>
      <c r="AV329" s="139"/>
      <c r="AW329" s="105"/>
      <c r="AX329" s="105"/>
      <c r="AY329" s="105"/>
      <c r="AZ329" s="105"/>
      <c r="BA329" s="139"/>
      <c r="BB329" s="105"/>
      <c r="BC329" s="105"/>
      <c r="BD329" s="105"/>
      <c r="BE329" s="105"/>
      <c r="BF329" s="139"/>
      <c r="BG329" s="105"/>
      <c r="BH329" s="105"/>
      <c r="BI329" s="105"/>
      <c r="BJ329" s="105"/>
      <c r="BK329" s="139"/>
      <c r="BL329" s="105"/>
      <c r="BM329" s="105"/>
      <c r="BN329" s="105"/>
      <c r="BO329" s="105"/>
      <c r="BP329" s="139"/>
      <c r="BQ329" s="105"/>
      <c r="BR329" s="105"/>
      <c r="BS329" s="105"/>
      <c r="BT329" s="105"/>
      <c r="BU329" s="139"/>
      <c r="BV329" s="105"/>
      <c r="BW329" s="105"/>
      <c r="BX329" s="105"/>
      <c r="BY329" s="105"/>
      <c r="BZ329" s="139"/>
      <c r="CA329" s="105"/>
      <c r="CB329" s="105"/>
      <c r="CC329" s="105"/>
      <c r="CD329" s="105"/>
      <c r="CE329" s="139"/>
      <c r="CF329" s="105"/>
      <c r="CG329" s="105"/>
      <c r="CH329" s="105"/>
      <c r="CI329" s="105"/>
      <c r="CJ329" s="139"/>
      <c r="CK329" s="105"/>
      <c r="CL329" s="105"/>
      <c r="CM329" s="105"/>
      <c r="CN329" s="105"/>
      <c r="CO329" s="139"/>
      <c r="CP329" s="105"/>
      <c r="CQ329" s="105"/>
      <c r="CR329" s="105"/>
      <c r="CS329" s="105"/>
      <c r="CT329" s="139"/>
      <c r="CU329" s="105"/>
      <c r="CV329" s="105"/>
      <c r="CW329" s="105"/>
      <c r="CX329" s="105"/>
      <c r="CY329" s="139"/>
      <c r="CZ329" s="105"/>
      <c r="DA329" s="105"/>
      <c r="DB329" s="105"/>
      <c r="DC329" s="105"/>
      <c r="DD329" s="139"/>
      <c r="DE329" s="105"/>
      <c r="DF329" s="105"/>
      <c r="DG329" s="105"/>
      <c r="DH329" s="105"/>
      <c r="DI329" s="139"/>
      <c r="DJ329" s="105"/>
      <c r="DK329" s="105"/>
      <c r="DL329" s="105"/>
      <c r="DM329" s="105"/>
      <c r="DN329" s="139"/>
      <c r="DO329" s="105"/>
      <c r="DP329" s="105"/>
      <c r="DQ329" s="105"/>
      <c r="DR329" s="105"/>
      <c r="DS329" s="139"/>
      <c r="DT329" s="105"/>
      <c r="DU329" s="105"/>
      <c r="DV329" s="105"/>
      <c r="DW329" s="105"/>
      <c r="DX329" s="139"/>
      <c r="DY329" s="105"/>
      <c r="DZ329" s="105"/>
      <c r="EA329" s="105"/>
      <c r="EB329" s="105"/>
      <c r="EC329" s="139"/>
      <c r="ED329" s="105"/>
      <c r="EE329" s="105"/>
      <c r="EF329" s="105"/>
      <c r="EG329" s="105"/>
      <c r="EH329" s="139"/>
      <c r="EI329" s="105"/>
      <c r="EJ329" s="105"/>
      <c r="EK329" s="105"/>
      <c r="EL329" s="105"/>
      <c r="EM329" s="139"/>
      <c r="EN329" s="105"/>
      <c r="EO329" s="105"/>
      <c r="EP329" s="105"/>
      <c r="EQ329" s="105"/>
      <c r="ER329" s="139"/>
      <c r="ES329" s="105"/>
      <c r="ET329" s="105"/>
      <c r="EU329" s="105"/>
      <c r="EV329" s="105"/>
      <c r="EW329" s="139"/>
      <c r="EX329" s="105"/>
      <c r="EY329" s="105"/>
      <c r="EZ329" s="105"/>
      <c r="FA329" s="105"/>
      <c r="FB329" s="139"/>
      <c r="FC329" s="105"/>
      <c r="FD329" s="105"/>
      <c r="FE329" s="105"/>
      <c r="FF329" s="105"/>
      <c r="FG329" s="139"/>
      <c r="FH329" s="105"/>
      <c r="FI329" s="105"/>
      <c r="FJ329" s="105"/>
      <c r="FK329" s="105"/>
      <c r="FL329" s="139"/>
      <c r="FM329" s="105"/>
      <c r="FN329" s="105"/>
      <c r="FO329" s="105"/>
      <c r="FP329" s="105"/>
      <c r="FQ329" s="139"/>
      <c r="FR329" s="105"/>
      <c r="FS329" s="105"/>
      <c r="FT329" s="105"/>
      <c r="FU329" s="105"/>
      <c r="FV329" s="139"/>
      <c r="FW329" s="105"/>
      <c r="FX329" s="105"/>
      <c r="FY329" s="105"/>
      <c r="FZ329" s="105"/>
      <c r="GA329" s="139"/>
      <c r="GB329" s="105"/>
      <c r="GC329" s="105"/>
      <c r="GD329" s="105"/>
      <c r="GE329" s="105"/>
      <c r="GF329" s="139"/>
      <c r="GG329" s="105"/>
      <c r="GH329" s="105"/>
      <c r="GI329" s="105"/>
      <c r="GJ329" s="105"/>
    </row>
    <row r="331" spans="1:192" s="93" customFormat="1" ht="12.75" customHeight="1">
      <c r="A331" s="68"/>
      <c r="B331" s="677"/>
      <c r="C331" s="187"/>
      <c r="D331" s="180"/>
      <c r="E331" s="180"/>
      <c r="F331" s="180"/>
      <c r="G331" s="180"/>
      <c r="H331" s="187"/>
      <c r="I331" s="180"/>
      <c r="J331" s="180"/>
      <c r="K331" s="180"/>
      <c r="L331" s="180"/>
      <c r="M331" s="187"/>
      <c r="N331" s="180"/>
      <c r="O331" s="180"/>
      <c r="P331" s="180"/>
      <c r="Q331" s="180"/>
      <c r="R331" s="187"/>
      <c r="S331" s="180"/>
      <c r="T331" s="180"/>
      <c r="U331" s="180"/>
      <c r="V331" s="180"/>
      <c r="W331" s="187"/>
      <c r="X331" s="180"/>
      <c r="Y331" s="180"/>
      <c r="Z331" s="180"/>
      <c r="AA331" s="180"/>
      <c r="AB331" s="187"/>
      <c r="AC331" s="180"/>
      <c r="AD331" s="180"/>
      <c r="AE331" s="180"/>
      <c r="AF331" s="180"/>
      <c r="AG331" s="187"/>
      <c r="AH331" s="180"/>
      <c r="AI331" s="180"/>
      <c r="AJ331" s="180"/>
      <c r="AK331" s="180"/>
      <c r="AL331" s="187"/>
      <c r="AM331" s="180"/>
      <c r="AN331" s="180"/>
      <c r="AO331" s="180"/>
      <c r="AP331" s="180"/>
      <c r="AQ331" s="187"/>
      <c r="AR331" s="180"/>
      <c r="AS331" s="180"/>
      <c r="AT331" s="180"/>
      <c r="AU331" s="180"/>
      <c r="AV331" s="187"/>
      <c r="AW331" s="180"/>
      <c r="AX331" s="180"/>
      <c r="AY331" s="180"/>
      <c r="AZ331" s="180"/>
      <c r="BA331" s="187"/>
      <c r="BB331" s="180"/>
      <c r="BC331" s="180"/>
      <c r="BD331" s="180"/>
      <c r="BE331" s="180"/>
      <c r="BF331" s="187"/>
      <c r="BG331" s="180"/>
      <c r="BH331" s="180"/>
      <c r="BI331" s="180"/>
      <c r="BJ331" s="180"/>
      <c r="BK331" s="187"/>
      <c r="BL331" s="180"/>
      <c r="BM331" s="180"/>
      <c r="BN331" s="180"/>
      <c r="BO331" s="180"/>
      <c r="BP331" s="187"/>
      <c r="BQ331" s="180"/>
      <c r="BR331" s="180"/>
      <c r="BS331" s="180"/>
      <c r="BT331" s="180"/>
      <c r="BU331" s="187"/>
      <c r="BV331" s="180"/>
      <c r="BW331" s="180"/>
      <c r="BX331" s="180"/>
      <c r="BY331" s="180"/>
      <c r="BZ331" s="187"/>
      <c r="CA331" s="180"/>
      <c r="CB331" s="180"/>
      <c r="CC331" s="180"/>
      <c r="CD331" s="180"/>
      <c r="CE331" s="187"/>
      <c r="CF331" s="180"/>
      <c r="CG331" s="180"/>
      <c r="CH331" s="180"/>
      <c r="CI331" s="180"/>
      <c r="CJ331" s="187"/>
      <c r="CK331" s="180"/>
      <c r="CL331" s="180"/>
      <c r="CM331" s="180"/>
      <c r="CN331" s="180"/>
      <c r="CO331" s="187"/>
      <c r="CP331" s="180"/>
      <c r="CQ331" s="180"/>
      <c r="CR331" s="180"/>
      <c r="CS331" s="180"/>
      <c r="CT331" s="187"/>
      <c r="CU331" s="180"/>
      <c r="CV331" s="180"/>
      <c r="CW331" s="180"/>
      <c r="CX331" s="180"/>
      <c r="CY331" s="187"/>
      <c r="CZ331" s="180"/>
      <c r="DA331" s="180"/>
      <c r="DB331" s="180"/>
      <c r="DC331" s="180"/>
      <c r="DD331" s="187"/>
      <c r="DE331" s="180"/>
      <c r="DF331" s="180"/>
      <c r="DG331" s="180"/>
      <c r="DH331" s="180"/>
      <c r="DI331" s="187"/>
      <c r="DJ331" s="180"/>
      <c r="DK331" s="180"/>
      <c r="DL331" s="180"/>
      <c r="DM331" s="180"/>
      <c r="DN331" s="187"/>
      <c r="DO331" s="180"/>
      <c r="DP331" s="180"/>
      <c r="DQ331" s="180"/>
      <c r="DR331" s="180"/>
      <c r="DS331" s="187"/>
      <c r="DT331" s="180"/>
      <c r="DU331" s="180"/>
      <c r="DV331" s="180"/>
      <c r="DW331" s="180"/>
      <c r="DX331" s="187"/>
      <c r="DY331" s="180"/>
      <c r="DZ331" s="180"/>
      <c r="EA331" s="180"/>
      <c r="EB331" s="180"/>
      <c r="EC331" s="187"/>
      <c r="ED331" s="180"/>
      <c r="EE331" s="180"/>
      <c r="EF331" s="180"/>
      <c r="EG331" s="180"/>
      <c r="EH331" s="187"/>
      <c r="EI331" s="180"/>
      <c r="EJ331" s="180"/>
      <c r="EK331" s="180"/>
      <c r="EL331" s="180"/>
      <c r="EM331" s="187"/>
      <c r="EN331" s="180"/>
      <c r="EO331" s="180"/>
      <c r="EP331" s="180"/>
      <c r="EQ331" s="180"/>
      <c r="ER331" s="187"/>
      <c r="ES331" s="180"/>
      <c r="ET331" s="180"/>
      <c r="EU331" s="180"/>
      <c r="EV331" s="180"/>
      <c r="EW331" s="187"/>
      <c r="EX331" s="180"/>
      <c r="EY331" s="180"/>
      <c r="EZ331" s="180"/>
      <c r="FA331" s="180"/>
      <c r="FB331" s="187"/>
      <c r="FC331" s="180"/>
      <c r="FD331" s="180"/>
      <c r="FE331" s="180"/>
      <c r="FF331" s="180"/>
      <c r="FG331" s="187"/>
      <c r="FH331" s="180"/>
      <c r="FI331" s="180"/>
      <c r="FJ331" s="180"/>
      <c r="FK331" s="180"/>
      <c r="FL331" s="187"/>
      <c r="FM331" s="180"/>
      <c r="FN331" s="180"/>
      <c r="FO331" s="180"/>
      <c r="FP331" s="180"/>
      <c r="FQ331" s="187"/>
      <c r="FR331" s="180"/>
      <c r="FS331" s="180"/>
      <c r="FT331" s="180"/>
      <c r="FU331" s="180"/>
      <c r="FV331" s="187"/>
      <c r="FW331" s="180"/>
      <c r="FX331" s="180"/>
      <c r="FY331" s="180"/>
      <c r="FZ331" s="180"/>
      <c r="GA331" s="187"/>
      <c r="GB331" s="180"/>
      <c r="GC331" s="180"/>
      <c r="GD331" s="180"/>
      <c r="GE331" s="180"/>
      <c r="GF331" s="187"/>
      <c r="GG331" s="180"/>
      <c r="GH331" s="180"/>
      <c r="GI331" s="180"/>
      <c r="GJ331" s="180"/>
    </row>
    <row r="332" spans="1:192" s="93" customFormat="1" ht="12.75" customHeight="1">
      <c r="A332" s="68"/>
      <c r="B332" s="677"/>
      <c r="C332" s="181"/>
      <c r="D332" s="182"/>
      <c r="E332" s="182"/>
      <c r="F332" s="182"/>
      <c r="G332" s="182"/>
      <c r="H332" s="181"/>
      <c r="I332" s="182"/>
      <c r="J332" s="182"/>
      <c r="K332" s="182"/>
      <c r="L332" s="182"/>
      <c r="M332" s="181"/>
      <c r="N332" s="182"/>
      <c r="O332" s="182"/>
      <c r="P332" s="182"/>
      <c r="Q332" s="182"/>
      <c r="R332" s="181"/>
      <c r="S332" s="182"/>
      <c r="T332" s="182"/>
      <c r="U332" s="182"/>
      <c r="V332" s="182"/>
      <c r="W332" s="181"/>
      <c r="X332" s="182"/>
      <c r="Y332" s="182"/>
      <c r="Z332" s="182"/>
      <c r="AA332" s="182"/>
      <c r="AB332" s="181"/>
      <c r="AC332" s="182"/>
      <c r="AD332" s="182"/>
      <c r="AE332" s="182"/>
      <c r="AF332" s="182"/>
      <c r="AG332" s="181"/>
      <c r="AH332" s="182"/>
      <c r="AI332" s="182"/>
      <c r="AJ332" s="182"/>
      <c r="AK332" s="182"/>
      <c r="AL332" s="181"/>
      <c r="AM332" s="182"/>
      <c r="AN332" s="182"/>
      <c r="AO332" s="182"/>
      <c r="AP332" s="182"/>
      <c r="AQ332" s="181"/>
      <c r="AR332" s="182"/>
      <c r="AS332" s="182"/>
      <c r="AT332" s="182"/>
      <c r="AU332" s="182"/>
      <c r="AV332" s="181"/>
      <c r="AW332" s="182"/>
      <c r="AX332" s="182"/>
      <c r="AY332" s="182"/>
      <c r="AZ332" s="182"/>
      <c r="BA332" s="181"/>
      <c r="BB332" s="182"/>
      <c r="BC332" s="182"/>
      <c r="BD332" s="182"/>
      <c r="BE332" s="182"/>
      <c r="BF332" s="181"/>
      <c r="BG332" s="182"/>
      <c r="BH332" s="182"/>
      <c r="BI332" s="182"/>
      <c r="BJ332" s="182"/>
      <c r="BK332" s="181"/>
      <c r="BL332" s="182"/>
      <c r="BM332" s="182"/>
      <c r="BN332" s="182"/>
      <c r="BO332" s="182"/>
      <c r="BP332" s="181"/>
      <c r="BQ332" s="182"/>
      <c r="BR332" s="182"/>
      <c r="BS332" s="182"/>
      <c r="BT332" s="182"/>
      <c r="BU332" s="181"/>
      <c r="BV332" s="182"/>
      <c r="BW332" s="182"/>
      <c r="BX332" s="182"/>
      <c r="BY332" s="182"/>
      <c r="BZ332" s="181"/>
      <c r="CA332" s="182"/>
      <c r="CB332" s="182"/>
      <c r="CC332" s="182"/>
      <c r="CD332" s="182"/>
      <c r="CE332" s="181"/>
      <c r="CF332" s="182"/>
      <c r="CG332" s="182"/>
      <c r="CH332" s="182"/>
      <c r="CI332" s="182"/>
      <c r="CJ332" s="181"/>
      <c r="CK332" s="182"/>
      <c r="CL332" s="182"/>
      <c r="CM332" s="182"/>
      <c r="CN332" s="182"/>
      <c r="CO332" s="181"/>
      <c r="CP332" s="182"/>
      <c r="CQ332" s="182"/>
      <c r="CR332" s="182"/>
      <c r="CS332" s="182"/>
      <c r="CT332" s="181"/>
      <c r="CU332" s="182"/>
      <c r="CV332" s="182"/>
      <c r="CW332" s="182"/>
      <c r="CX332" s="182"/>
      <c r="CY332" s="181"/>
      <c r="CZ332" s="182"/>
      <c r="DA332" s="182"/>
      <c r="DB332" s="182"/>
      <c r="DC332" s="182"/>
      <c r="DD332" s="181"/>
      <c r="DE332" s="182"/>
      <c r="DF332" s="182"/>
      <c r="DG332" s="182"/>
      <c r="DH332" s="182"/>
      <c r="DI332" s="181"/>
      <c r="DJ332" s="182"/>
      <c r="DK332" s="182"/>
      <c r="DL332" s="182"/>
      <c r="DM332" s="182"/>
      <c r="DN332" s="181"/>
      <c r="DO332" s="182"/>
      <c r="DP332" s="182"/>
      <c r="DQ332" s="182"/>
      <c r="DR332" s="182"/>
      <c r="DS332" s="181"/>
      <c r="DT332" s="182"/>
      <c r="DU332" s="182"/>
      <c r="DV332" s="182"/>
      <c r="DW332" s="182"/>
      <c r="DX332" s="181"/>
      <c r="DY332" s="182"/>
      <c r="DZ332" s="182"/>
      <c r="EA332" s="182"/>
      <c r="EB332" s="182"/>
      <c r="EC332" s="181"/>
      <c r="ED332" s="182"/>
      <c r="EE332" s="182"/>
      <c r="EF332" s="182"/>
      <c r="EG332" s="182"/>
      <c r="EH332" s="181"/>
      <c r="EI332" s="182"/>
      <c r="EJ332" s="182"/>
      <c r="EK332" s="182"/>
      <c r="EL332" s="182"/>
      <c r="EM332" s="181"/>
      <c r="EN332" s="182"/>
      <c r="EO332" s="182"/>
      <c r="EP332" s="182"/>
      <c r="EQ332" s="182"/>
      <c r="ER332" s="181"/>
      <c r="ES332" s="182"/>
      <c r="ET332" s="182"/>
      <c r="EU332" s="182"/>
      <c r="EV332" s="182"/>
      <c r="EW332" s="181"/>
      <c r="EX332" s="182"/>
      <c r="EY332" s="182"/>
      <c r="EZ332" s="182"/>
      <c r="FA332" s="182"/>
      <c r="FB332" s="181"/>
      <c r="FC332" s="182"/>
      <c r="FD332" s="182"/>
      <c r="FE332" s="182"/>
      <c r="FF332" s="182"/>
      <c r="FG332" s="181"/>
      <c r="FH332" s="182"/>
      <c r="FI332" s="182"/>
      <c r="FJ332" s="182"/>
      <c r="FK332" s="182"/>
      <c r="FL332" s="181"/>
      <c r="FM332" s="182"/>
      <c r="FN332" s="182"/>
      <c r="FO332" s="182"/>
      <c r="FP332" s="182"/>
      <c r="FQ332" s="181"/>
      <c r="FR332" s="182"/>
      <c r="FS332" s="182"/>
      <c r="FT332" s="182"/>
      <c r="FU332" s="182"/>
      <c r="FV332" s="181"/>
      <c r="FW332" s="182"/>
      <c r="FX332" s="182"/>
      <c r="FY332" s="182"/>
      <c r="FZ332" s="182"/>
      <c r="GA332" s="181"/>
      <c r="GB332" s="182"/>
      <c r="GC332" s="182"/>
      <c r="GD332" s="182"/>
      <c r="GE332" s="182"/>
      <c r="GF332" s="181"/>
      <c r="GG332" s="182"/>
      <c r="GH332" s="182"/>
      <c r="GI332" s="182"/>
      <c r="GJ332" s="182"/>
    </row>
    <row r="334" spans="1:192" s="93" customFormat="1" ht="12.75" customHeight="1">
      <c r="A334" s="68"/>
      <c r="B334" s="677"/>
      <c r="C334" s="176"/>
      <c r="D334" s="177"/>
      <c r="E334" s="177"/>
      <c r="F334" s="177"/>
      <c r="G334" s="177"/>
      <c r="H334" s="176"/>
      <c r="I334" s="177"/>
      <c r="J334" s="177"/>
      <c r="K334" s="177"/>
      <c r="L334" s="177"/>
      <c r="M334" s="176"/>
      <c r="N334" s="177"/>
      <c r="O334" s="177"/>
      <c r="P334" s="177"/>
      <c r="Q334" s="177"/>
      <c r="R334" s="176"/>
      <c r="S334" s="177"/>
      <c r="T334" s="177"/>
      <c r="U334" s="177"/>
      <c r="V334" s="177"/>
      <c r="W334" s="176"/>
      <c r="X334" s="177"/>
      <c r="Y334" s="177"/>
      <c r="Z334" s="177"/>
      <c r="AA334" s="177"/>
      <c r="AB334" s="176"/>
      <c r="AC334" s="177"/>
      <c r="AD334" s="177"/>
      <c r="AE334" s="177"/>
      <c r="AF334" s="177"/>
      <c r="AG334" s="176"/>
      <c r="AH334" s="177"/>
      <c r="AI334" s="177"/>
      <c r="AJ334" s="177"/>
      <c r="AK334" s="177"/>
      <c r="AL334" s="176"/>
      <c r="AM334" s="177"/>
      <c r="AN334" s="177"/>
      <c r="AO334" s="177"/>
      <c r="AP334" s="177"/>
      <c r="AQ334" s="176"/>
      <c r="AR334" s="177"/>
      <c r="AS334" s="177"/>
      <c r="AT334" s="177"/>
      <c r="AU334" s="177"/>
      <c r="AV334" s="176"/>
      <c r="AW334" s="177"/>
      <c r="AX334" s="177"/>
      <c r="AY334" s="177"/>
      <c r="AZ334" s="177"/>
      <c r="BA334" s="176"/>
      <c r="BB334" s="177"/>
      <c r="BC334" s="177"/>
      <c r="BD334" s="177"/>
      <c r="BE334" s="177"/>
      <c r="BF334" s="176"/>
      <c r="BG334" s="177"/>
      <c r="BH334" s="177"/>
      <c r="BI334" s="177"/>
      <c r="BJ334" s="177"/>
      <c r="BK334" s="176"/>
      <c r="BL334" s="177"/>
      <c r="BM334" s="177"/>
      <c r="BN334" s="177"/>
      <c r="BO334" s="177"/>
      <c r="BP334" s="176"/>
      <c r="BQ334" s="177"/>
      <c r="BR334" s="177"/>
      <c r="BS334" s="177"/>
      <c r="BT334" s="177"/>
      <c r="BU334" s="176"/>
      <c r="BV334" s="177"/>
      <c r="BW334" s="177"/>
      <c r="BX334" s="177"/>
      <c r="BY334" s="177"/>
      <c r="BZ334" s="176"/>
      <c r="CA334" s="177"/>
      <c r="CB334" s="177"/>
      <c r="CC334" s="177"/>
      <c r="CD334" s="177"/>
      <c r="CE334" s="176"/>
      <c r="CF334" s="177"/>
      <c r="CG334" s="177"/>
      <c r="CH334" s="177"/>
      <c r="CI334" s="177"/>
      <c r="CJ334" s="176"/>
      <c r="CK334" s="177"/>
      <c r="CL334" s="177"/>
      <c r="CM334" s="177"/>
      <c r="CN334" s="177"/>
      <c r="CO334" s="176"/>
      <c r="CP334" s="177"/>
      <c r="CQ334" s="177"/>
      <c r="CR334" s="177"/>
      <c r="CS334" s="177"/>
      <c r="CT334" s="176"/>
      <c r="CU334" s="177"/>
      <c r="CV334" s="177"/>
      <c r="CW334" s="177"/>
      <c r="CX334" s="177"/>
      <c r="CY334" s="176"/>
      <c r="CZ334" s="177"/>
      <c r="DA334" s="177"/>
      <c r="DB334" s="177"/>
      <c r="DC334" s="177"/>
      <c r="DD334" s="176"/>
      <c r="DE334" s="177"/>
      <c r="DF334" s="177"/>
      <c r="DG334" s="177"/>
      <c r="DH334" s="177"/>
      <c r="DI334" s="176"/>
      <c r="DJ334" s="177"/>
      <c r="DK334" s="177"/>
      <c r="DL334" s="177"/>
      <c r="DM334" s="177"/>
      <c r="DN334" s="176"/>
      <c r="DO334" s="177"/>
      <c r="DP334" s="177"/>
      <c r="DQ334" s="177"/>
      <c r="DR334" s="177"/>
      <c r="DS334" s="176"/>
      <c r="DT334" s="177"/>
      <c r="DU334" s="177"/>
      <c r="DV334" s="177"/>
      <c r="DW334" s="177"/>
      <c r="DX334" s="176"/>
      <c r="DY334" s="177"/>
      <c r="DZ334" s="177"/>
      <c r="EA334" s="177"/>
      <c r="EB334" s="177"/>
      <c r="EC334" s="176"/>
      <c r="ED334" s="177"/>
      <c r="EE334" s="177"/>
      <c r="EF334" s="177"/>
      <c r="EG334" s="177"/>
      <c r="EH334" s="176"/>
      <c r="EI334" s="177"/>
      <c r="EJ334" s="177"/>
      <c r="EK334" s="177"/>
      <c r="EL334" s="177"/>
      <c r="EM334" s="176"/>
      <c r="EN334" s="177"/>
      <c r="EO334" s="177"/>
      <c r="EP334" s="177"/>
      <c r="EQ334" s="177"/>
      <c r="ER334" s="176"/>
      <c r="ES334" s="177"/>
      <c r="ET334" s="177"/>
      <c r="EU334" s="177"/>
      <c r="EV334" s="177"/>
      <c r="EW334" s="176"/>
      <c r="EX334" s="177"/>
      <c r="EY334" s="177"/>
      <c r="EZ334" s="177"/>
      <c r="FA334" s="177"/>
      <c r="FB334" s="176"/>
      <c r="FC334" s="177"/>
      <c r="FD334" s="177"/>
      <c r="FE334" s="177"/>
      <c r="FF334" s="177"/>
      <c r="FG334" s="176"/>
      <c r="FH334" s="177"/>
      <c r="FI334" s="177"/>
      <c r="FJ334" s="177"/>
      <c r="FK334" s="177"/>
      <c r="FL334" s="176"/>
      <c r="FM334" s="177"/>
      <c r="FN334" s="177"/>
      <c r="FO334" s="177"/>
      <c r="FP334" s="177"/>
      <c r="FQ334" s="176"/>
      <c r="FR334" s="177"/>
      <c r="FS334" s="177"/>
      <c r="FT334" s="177"/>
      <c r="FU334" s="177"/>
      <c r="FV334" s="176"/>
      <c r="FW334" s="177"/>
      <c r="FX334" s="177"/>
      <c r="FY334" s="177"/>
      <c r="FZ334" s="177"/>
      <c r="GA334" s="176"/>
      <c r="GB334" s="177"/>
      <c r="GC334" s="177"/>
      <c r="GD334" s="177"/>
      <c r="GE334" s="177"/>
      <c r="GF334" s="176"/>
      <c r="GG334" s="177"/>
      <c r="GH334" s="177"/>
      <c r="GI334" s="177"/>
      <c r="GJ334" s="177"/>
    </row>
    <row r="335" spans="1:192" s="93" customFormat="1" ht="12.75" customHeight="1">
      <c r="A335" s="68"/>
      <c r="B335" s="677"/>
      <c r="C335" s="139"/>
      <c r="D335" s="105"/>
      <c r="E335" s="105"/>
      <c r="F335" s="105"/>
      <c r="G335" s="105"/>
      <c r="H335" s="139"/>
      <c r="I335" s="105"/>
      <c r="J335" s="105"/>
      <c r="K335" s="105"/>
      <c r="L335" s="105"/>
      <c r="M335" s="139"/>
      <c r="N335" s="105"/>
      <c r="O335" s="105"/>
      <c r="P335" s="105"/>
      <c r="Q335" s="105"/>
      <c r="R335" s="139"/>
      <c r="S335" s="105"/>
      <c r="T335" s="105"/>
      <c r="U335" s="105"/>
      <c r="V335" s="105"/>
      <c r="W335" s="139"/>
      <c r="X335" s="105"/>
      <c r="Y335" s="105"/>
      <c r="Z335" s="105"/>
      <c r="AA335" s="105"/>
      <c r="AB335" s="139"/>
      <c r="AC335" s="105"/>
      <c r="AD335" s="105"/>
      <c r="AE335" s="105"/>
      <c r="AF335" s="105"/>
      <c r="AG335" s="139"/>
      <c r="AH335" s="105"/>
      <c r="AI335" s="105"/>
      <c r="AJ335" s="105"/>
      <c r="AK335" s="105"/>
      <c r="AL335" s="139"/>
      <c r="AM335" s="105"/>
      <c r="AN335" s="105"/>
      <c r="AO335" s="105"/>
      <c r="AP335" s="105"/>
      <c r="AQ335" s="139"/>
      <c r="AR335" s="105"/>
      <c r="AS335" s="105"/>
      <c r="AT335" s="105"/>
      <c r="AU335" s="105"/>
      <c r="AV335" s="139"/>
      <c r="AW335" s="105"/>
      <c r="AX335" s="105"/>
      <c r="AY335" s="105"/>
      <c r="AZ335" s="105"/>
      <c r="BA335" s="139"/>
      <c r="BB335" s="105"/>
      <c r="BC335" s="105"/>
      <c r="BD335" s="105"/>
      <c r="BE335" s="105"/>
      <c r="BF335" s="139"/>
      <c r="BG335" s="105"/>
      <c r="BH335" s="105"/>
      <c r="BI335" s="105"/>
      <c r="BJ335" s="105"/>
      <c r="BK335" s="139"/>
      <c r="BL335" s="105"/>
      <c r="BM335" s="105"/>
      <c r="BN335" s="105"/>
      <c r="BO335" s="105"/>
      <c r="BP335" s="139"/>
      <c r="BQ335" s="105"/>
      <c r="BR335" s="105"/>
      <c r="BS335" s="105"/>
      <c r="BT335" s="105"/>
      <c r="BU335" s="139"/>
      <c r="BV335" s="105"/>
      <c r="BW335" s="105"/>
      <c r="BX335" s="105"/>
      <c r="BY335" s="105"/>
      <c r="BZ335" s="139"/>
      <c r="CA335" s="105"/>
      <c r="CB335" s="105"/>
      <c r="CC335" s="105"/>
      <c r="CD335" s="105"/>
      <c r="CE335" s="139"/>
      <c r="CF335" s="105"/>
      <c r="CG335" s="105"/>
      <c r="CH335" s="105"/>
      <c r="CI335" s="105"/>
      <c r="CJ335" s="139"/>
      <c r="CK335" s="105"/>
      <c r="CL335" s="105"/>
      <c r="CM335" s="105"/>
      <c r="CN335" s="105"/>
      <c r="CO335" s="139"/>
      <c r="CP335" s="105"/>
      <c r="CQ335" s="105"/>
      <c r="CR335" s="105"/>
      <c r="CS335" s="105"/>
      <c r="CT335" s="139"/>
      <c r="CU335" s="105"/>
      <c r="CV335" s="105"/>
      <c r="CW335" s="105"/>
      <c r="CX335" s="105"/>
      <c r="CY335" s="139"/>
      <c r="CZ335" s="105"/>
      <c r="DA335" s="105"/>
      <c r="DB335" s="105"/>
      <c r="DC335" s="105"/>
      <c r="DD335" s="139"/>
      <c r="DE335" s="105"/>
      <c r="DF335" s="105"/>
      <c r="DG335" s="105"/>
      <c r="DH335" s="105"/>
      <c r="DI335" s="139"/>
      <c r="DJ335" s="105"/>
      <c r="DK335" s="105"/>
      <c r="DL335" s="105"/>
      <c r="DM335" s="105"/>
      <c r="DN335" s="139"/>
      <c r="DO335" s="105"/>
      <c r="DP335" s="105"/>
      <c r="DQ335" s="105"/>
      <c r="DR335" s="105"/>
      <c r="DS335" s="139"/>
      <c r="DT335" s="105"/>
      <c r="DU335" s="105"/>
      <c r="DV335" s="105"/>
      <c r="DW335" s="105"/>
      <c r="DX335" s="139"/>
      <c r="DY335" s="105"/>
      <c r="DZ335" s="105"/>
      <c r="EA335" s="105"/>
      <c r="EB335" s="105"/>
      <c r="EC335" s="139"/>
      <c r="ED335" s="105"/>
      <c r="EE335" s="105"/>
      <c r="EF335" s="105"/>
      <c r="EG335" s="105"/>
      <c r="EH335" s="139"/>
      <c r="EI335" s="105"/>
      <c r="EJ335" s="105"/>
      <c r="EK335" s="105"/>
      <c r="EL335" s="105"/>
      <c r="EM335" s="139"/>
      <c r="EN335" s="105"/>
      <c r="EO335" s="105"/>
      <c r="EP335" s="105"/>
      <c r="EQ335" s="105"/>
      <c r="ER335" s="139"/>
      <c r="ES335" s="105"/>
      <c r="ET335" s="105"/>
      <c r="EU335" s="105"/>
      <c r="EV335" s="105"/>
      <c r="EW335" s="139"/>
      <c r="EX335" s="105"/>
      <c r="EY335" s="105"/>
      <c r="EZ335" s="105"/>
      <c r="FA335" s="105"/>
      <c r="FB335" s="139"/>
      <c r="FC335" s="105"/>
      <c r="FD335" s="105"/>
      <c r="FE335" s="105"/>
      <c r="FF335" s="105"/>
      <c r="FG335" s="139"/>
      <c r="FH335" s="105"/>
      <c r="FI335" s="105"/>
      <c r="FJ335" s="105"/>
      <c r="FK335" s="105"/>
      <c r="FL335" s="139"/>
      <c r="FM335" s="105"/>
      <c r="FN335" s="105"/>
      <c r="FO335" s="105"/>
      <c r="FP335" s="105"/>
      <c r="FQ335" s="139"/>
      <c r="FR335" s="105"/>
      <c r="FS335" s="105"/>
      <c r="FT335" s="105"/>
      <c r="FU335" s="105"/>
      <c r="FV335" s="139"/>
      <c r="FW335" s="105"/>
      <c r="FX335" s="105"/>
      <c r="FY335" s="105"/>
      <c r="FZ335" s="105"/>
      <c r="GA335" s="139"/>
      <c r="GB335" s="105"/>
      <c r="GC335" s="105"/>
      <c r="GD335" s="105"/>
      <c r="GE335" s="105"/>
      <c r="GF335" s="139"/>
      <c r="GG335" s="105"/>
      <c r="GH335" s="105"/>
      <c r="GI335" s="105"/>
      <c r="GJ335" s="105"/>
    </row>
    <row r="339" spans="1:192" s="93" customFormat="1" ht="12.75" customHeight="1">
      <c r="A339" s="68"/>
      <c r="B339" s="677"/>
      <c r="C339" s="183"/>
      <c r="D339" s="184"/>
      <c r="E339" s="184"/>
      <c r="F339" s="184"/>
      <c r="G339" s="184"/>
      <c r="H339" s="183"/>
      <c r="I339" s="184"/>
      <c r="J339" s="184"/>
      <c r="K339" s="184"/>
      <c r="L339" s="184"/>
      <c r="M339" s="183"/>
      <c r="N339" s="184"/>
      <c r="O339" s="184"/>
      <c r="P339" s="184"/>
      <c r="Q339" s="184"/>
      <c r="R339" s="183"/>
      <c r="S339" s="184"/>
      <c r="T339" s="184"/>
      <c r="U339" s="184"/>
      <c r="V339" s="184"/>
      <c r="W339" s="183"/>
      <c r="X339" s="184"/>
      <c r="Y339" s="184"/>
      <c r="Z339" s="184"/>
      <c r="AA339" s="184"/>
      <c r="AB339" s="183"/>
      <c r="AC339" s="184"/>
      <c r="AD339" s="184"/>
      <c r="AE339" s="184"/>
      <c r="AF339" s="184"/>
      <c r="AG339" s="183"/>
      <c r="AH339" s="184"/>
      <c r="AI339" s="184"/>
      <c r="AJ339" s="184"/>
      <c r="AK339" s="184"/>
      <c r="AL339" s="183"/>
      <c r="AM339" s="184"/>
      <c r="AN339" s="184"/>
      <c r="AO339" s="184"/>
      <c r="AP339" s="184"/>
      <c r="AQ339" s="183"/>
      <c r="AR339" s="184"/>
      <c r="AS339" s="184"/>
      <c r="AT339" s="184"/>
      <c r="AU339" s="184"/>
      <c r="AV339" s="183"/>
      <c r="AW339" s="184"/>
      <c r="AX339" s="184"/>
      <c r="AY339" s="184"/>
      <c r="AZ339" s="184"/>
      <c r="BA339" s="183"/>
      <c r="BB339" s="184"/>
      <c r="BC339" s="184"/>
      <c r="BD339" s="184"/>
      <c r="BE339" s="184"/>
      <c r="BF339" s="183"/>
      <c r="BG339" s="184"/>
      <c r="BH339" s="184"/>
      <c r="BI339" s="184"/>
      <c r="BJ339" s="184"/>
      <c r="BK339" s="183"/>
      <c r="BL339" s="184"/>
      <c r="BM339" s="184"/>
      <c r="BN339" s="184"/>
      <c r="BO339" s="184"/>
      <c r="BP339" s="183"/>
      <c r="BQ339" s="184"/>
      <c r="BR339" s="184"/>
      <c r="BS339" s="184"/>
      <c r="BT339" s="184"/>
      <c r="BU339" s="183"/>
      <c r="BV339" s="184"/>
      <c r="BW339" s="184"/>
      <c r="BX339" s="184"/>
      <c r="BY339" s="184"/>
      <c r="BZ339" s="183"/>
      <c r="CA339" s="184"/>
      <c r="CB339" s="184"/>
      <c r="CC339" s="184"/>
      <c r="CD339" s="184"/>
      <c r="CE339" s="183"/>
      <c r="CF339" s="184"/>
      <c r="CG339" s="184"/>
      <c r="CH339" s="184"/>
      <c r="CI339" s="184"/>
      <c r="CJ339" s="183"/>
      <c r="CK339" s="184"/>
      <c r="CL339" s="184"/>
      <c r="CM339" s="184"/>
      <c r="CN339" s="184"/>
      <c r="CO339" s="183"/>
      <c r="CP339" s="184"/>
      <c r="CQ339" s="184"/>
      <c r="CR339" s="184"/>
      <c r="CS339" s="184"/>
      <c r="CT339" s="183"/>
      <c r="CU339" s="184"/>
      <c r="CV339" s="184"/>
      <c r="CW339" s="184"/>
      <c r="CX339" s="184"/>
      <c r="CY339" s="183"/>
      <c r="CZ339" s="184"/>
      <c r="DA339" s="184"/>
      <c r="DB339" s="184"/>
      <c r="DC339" s="184"/>
      <c r="DD339" s="183"/>
      <c r="DE339" s="184"/>
      <c r="DF339" s="184"/>
      <c r="DG339" s="184"/>
      <c r="DH339" s="184"/>
      <c r="DI339" s="183"/>
      <c r="DJ339" s="184"/>
      <c r="DK339" s="184"/>
      <c r="DL339" s="184"/>
      <c r="DM339" s="184"/>
      <c r="DN339" s="183"/>
      <c r="DO339" s="184"/>
      <c r="DP339" s="184"/>
      <c r="DQ339" s="184"/>
      <c r="DR339" s="184"/>
      <c r="DS339" s="183"/>
      <c r="DT339" s="184"/>
      <c r="DU339" s="184"/>
      <c r="DV339" s="184"/>
      <c r="DW339" s="184"/>
      <c r="DX339" s="183"/>
      <c r="DY339" s="184"/>
      <c r="DZ339" s="184"/>
      <c r="EA339" s="184"/>
      <c r="EB339" s="184"/>
      <c r="EC339" s="183"/>
      <c r="ED339" s="184"/>
      <c r="EE339" s="184"/>
      <c r="EF339" s="184"/>
      <c r="EG339" s="184"/>
      <c r="EH339" s="183"/>
      <c r="EI339" s="184"/>
      <c r="EJ339" s="184"/>
      <c r="EK339" s="184"/>
      <c r="EL339" s="184"/>
      <c r="EM339" s="183"/>
      <c r="EN339" s="184"/>
      <c r="EO339" s="184"/>
      <c r="EP339" s="184"/>
      <c r="EQ339" s="184"/>
      <c r="ER339" s="183"/>
      <c r="ES339" s="184"/>
      <c r="ET339" s="184"/>
      <c r="EU339" s="184"/>
      <c r="EV339" s="184"/>
      <c r="EW339" s="183"/>
      <c r="EX339" s="184"/>
      <c r="EY339" s="184"/>
      <c r="EZ339" s="184"/>
      <c r="FA339" s="184"/>
      <c r="FB339" s="183"/>
      <c r="FC339" s="184"/>
      <c r="FD339" s="184"/>
      <c r="FE339" s="184"/>
      <c r="FF339" s="184"/>
      <c r="FG339" s="183"/>
      <c r="FH339" s="184"/>
      <c r="FI339" s="184"/>
      <c r="FJ339" s="184"/>
      <c r="FK339" s="184"/>
      <c r="FL339" s="183"/>
      <c r="FM339" s="184"/>
      <c r="FN339" s="184"/>
      <c r="FO339" s="184"/>
      <c r="FP339" s="184"/>
      <c r="FQ339" s="183"/>
      <c r="FR339" s="184"/>
      <c r="FS339" s="184"/>
      <c r="FT339" s="184"/>
      <c r="FU339" s="184"/>
      <c r="FV339" s="183"/>
      <c r="FW339" s="184"/>
      <c r="FX339" s="184"/>
      <c r="FY339" s="184"/>
      <c r="FZ339" s="184"/>
      <c r="GA339" s="183"/>
      <c r="GB339" s="184"/>
      <c r="GC339" s="184"/>
      <c r="GD339" s="184"/>
      <c r="GE339" s="184"/>
      <c r="GF339" s="183"/>
      <c r="GG339" s="184"/>
      <c r="GH339" s="184"/>
      <c r="GI339" s="184"/>
      <c r="GJ339" s="184"/>
    </row>
    <row r="340" spans="1:192" s="93" customFormat="1" ht="12.75" customHeight="1">
      <c r="A340" s="68"/>
      <c r="B340" s="677"/>
      <c r="C340" s="188"/>
      <c r="D340" s="189"/>
      <c r="E340" s="189"/>
      <c r="F340" s="189"/>
      <c r="G340" s="189"/>
      <c r="H340" s="188"/>
      <c r="I340" s="189"/>
      <c r="J340" s="189"/>
      <c r="K340" s="189"/>
      <c r="L340" s="189"/>
      <c r="M340" s="188"/>
      <c r="N340" s="189"/>
      <c r="O340" s="189"/>
      <c r="P340" s="189"/>
      <c r="Q340" s="189"/>
      <c r="R340" s="188"/>
      <c r="S340" s="189"/>
      <c r="T340" s="189"/>
      <c r="U340" s="189"/>
      <c r="V340" s="189"/>
      <c r="W340" s="188"/>
      <c r="X340" s="189"/>
      <c r="Y340" s="189"/>
      <c r="Z340" s="189"/>
      <c r="AA340" s="189"/>
      <c r="AB340" s="188"/>
      <c r="AC340" s="189"/>
      <c r="AD340" s="189"/>
      <c r="AE340" s="189"/>
      <c r="AF340" s="189"/>
      <c r="AG340" s="188"/>
      <c r="AH340" s="189"/>
      <c r="AI340" s="189"/>
      <c r="AJ340" s="189"/>
      <c r="AK340" s="189"/>
      <c r="AL340" s="188"/>
      <c r="AM340" s="189"/>
      <c r="AN340" s="189"/>
      <c r="AO340" s="189"/>
      <c r="AP340" s="189"/>
      <c r="AQ340" s="188"/>
      <c r="AR340" s="189"/>
      <c r="AS340" s="189"/>
      <c r="AT340" s="189"/>
      <c r="AU340" s="189"/>
      <c r="AV340" s="188"/>
      <c r="AW340" s="189"/>
      <c r="AX340" s="189"/>
      <c r="AY340" s="189"/>
      <c r="AZ340" s="189"/>
      <c r="BA340" s="188"/>
      <c r="BB340" s="189"/>
      <c r="BC340" s="189"/>
      <c r="BD340" s="189"/>
      <c r="BE340" s="189"/>
      <c r="BF340" s="188"/>
      <c r="BG340" s="189"/>
      <c r="BH340" s="189"/>
      <c r="BI340" s="189"/>
      <c r="BJ340" s="189"/>
      <c r="BK340" s="188"/>
      <c r="BL340" s="189"/>
      <c r="BM340" s="189"/>
      <c r="BN340" s="189"/>
      <c r="BO340" s="189"/>
      <c r="BP340" s="188"/>
      <c r="BQ340" s="189"/>
      <c r="BR340" s="189"/>
      <c r="BS340" s="189"/>
      <c r="BT340" s="189"/>
      <c r="BU340" s="188"/>
      <c r="BV340" s="189"/>
      <c r="BW340" s="189"/>
      <c r="BX340" s="189"/>
      <c r="BY340" s="189"/>
      <c r="BZ340" s="188"/>
      <c r="CA340" s="189"/>
      <c r="CB340" s="189"/>
      <c r="CC340" s="189"/>
      <c r="CD340" s="189"/>
      <c r="CE340" s="188"/>
      <c r="CF340" s="189"/>
      <c r="CG340" s="189"/>
      <c r="CH340" s="189"/>
      <c r="CI340" s="189"/>
      <c r="CJ340" s="188"/>
      <c r="CK340" s="189"/>
      <c r="CL340" s="189"/>
      <c r="CM340" s="189"/>
      <c r="CN340" s="189"/>
      <c r="CO340" s="188"/>
      <c r="CP340" s="189"/>
      <c r="CQ340" s="189"/>
      <c r="CR340" s="189"/>
      <c r="CS340" s="189"/>
      <c r="CT340" s="188"/>
      <c r="CU340" s="189"/>
      <c r="CV340" s="189"/>
      <c r="CW340" s="189"/>
      <c r="CX340" s="189"/>
      <c r="CY340" s="188"/>
      <c r="CZ340" s="189"/>
      <c r="DA340" s="189"/>
      <c r="DB340" s="189"/>
      <c r="DC340" s="189"/>
      <c r="DD340" s="188"/>
      <c r="DE340" s="189"/>
      <c r="DF340" s="189"/>
      <c r="DG340" s="189"/>
      <c r="DH340" s="189"/>
      <c r="DI340" s="188"/>
      <c r="DJ340" s="189"/>
      <c r="DK340" s="189"/>
      <c r="DL340" s="189"/>
      <c r="DM340" s="189"/>
      <c r="DN340" s="188"/>
      <c r="DO340" s="189"/>
      <c r="DP340" s="189"/>
      <c r="DQ340" s="189"/>
      <c r="DR340" s="189"/>
      <c r="DS340" s="188"/>
      <c r="DT340" s="189"/>
      <c r="DU340" s="189"/>
      <c r="DV340" s="189"/>
      <c r="DW340" s="189"/>
      <c r="DX340" s="188"/>
      <c r="DY340" s="189"/>
      <c r="DZ340" s="189"/>
      <c r="EA340" s="189"/>
      <c r="EB340" s="189"/>
      <c r="EC340" s="188"/>
      <c r="ED340" s="189"/>
      <c r="EE340" s="189"/>
      <c r="EF340" s="189"/>
      <c r="EG340" s="189"/>
      <c r="EH340" s="188"/>
      <c r="EI340" s="189"/>
      <c r="EJ340" s="189"/>
      <c r="EK340" s="189"/>
      <c r="EL340" s="189"/>
      <c r="EM340" s="188"/>
      <c r="EN340" s="189"/>
      <c r="EO340" s="189"/>
      <c r="EP340" s="189"/>
      <c r="EQ340" s="189"/>
      <c r="ER340" s="188"/>
      <c r="ES340" s="189"/>
      <c r="ET340" s="189"/>
      <c r="EU340" s="189"/>
      <c r="EV340" s="189"/>
      <c r="EW340" s="188"/>
      <c r="EX340" s="189"/>
      <c r="EY340" s="189"/>
      <c r="EZ340" s="189"/>
      <c r="FA340" s="189"/>
      <c r="FB340" s="188"/>
      <c r="FC340" s="189"/>
      <c r="FD340" s="189"/>
      <c r="FE340" s="189"/>
      <c r="FF340" s="189"/>
      <c r="FG340" s="188"/>
      <c r="FH340" s="189"/>
      <c r="FI340" s="189"/>
      <c r="FJ340" s="189"/>
      <c r="FK340" s="189"/>
      <c r="FL340" s="188"/>
      <c r="FM340" s="189"/>
      <c r="FN340" s="189"/>
      <c r="FO340" s="189"/>
      <c r="FP340" s="189"/>
      <c r="FQ340" s="188"/>
      <c r="FR340" s="189"/>
      <c r="FS340" s="189"/>
      <c r="FT340" s="189"/>
      <c r="FU340" s="189"/>
      <c r="FV340" s="188"/>
      <c r="FW340" s="189"/>
      <c r="FX340" s="189"/>
      <c r="FY340" s="189"/>
      <c r="FZ340" s="189"/>
      <c r="GA340" s="188"/>
      <c r="GB340" s="189"/>
      <c r="GC340" s="189"/>
      <c r="GD340" s="189"/>
      <c r="GE340" s="189"/>
      <c r="GF340" s="188"/>
      <c r="GG340" s="189"/>
      <c r="GH340" s="189"/>
      <c r="GI340" s="189"/>
      <c r="GJ340" s="189"/>
    </row>
    <row r="341" spans="1:192" s="93" customFormat="1" ht="12.75" customHeight="1">
      <c r="A341" s="68"/>
      <c r="B341" s="677"/>
      <c r="C341" s="139"/>
      <c r="D341" s="105"/>
      <c r="E341" s="105"/>
      <c r="F341" s="105"/>
      <c r="G341" s="105"/>
      <c r="H341" s="139"/>
      <c r="I341" s="105"/>
      <c r="J341" s="105"/>
      <c r="K341" s="105"/>
      <c r="L341" s="105"/>
      <c r="M341" s="139"/>
      <c r="N341" s="105"/>
      <c r="O341" s="105"/>
      <c r="P341" s="105"/>
      <c r="Q341" s="105"/>
      <c r="R341" s="139"/>
      <c r="S341" s="105"/>
      <c r="T341" s="105"/>
      <c r="U341" s="105"/>
      <c r="V341" s="105"/>
      <c r="W341" s="139"/>
      <c r="X341" s="105"/>
      <c r="Y341" s="105"/>
      <c r="Z341" s="105"/>
      <c r="AA341" s="105"/>
      <c r="AB341" s="139"/>
      <c r="AC341" s="105"/>
      <c r="AD341" s="105"/>
      <c r="AE341" s="105"/>
      <c r="AF341" s="105"/>
      <c r="AG341" s="139"/>
      <c r="AH341" s="105"/>
      <c r="AI341" s="105"/>
      <c r="AJ341" s="105"/>
      <c r="AK341" s="105"/>
      <c r="AL341" s="139"/>
      <c r="AM341" s="105"/>
      <c r="AN341" s="105"/>
      <c r="AO341" s="105"/>
      <c r="AP341" s="105"/>
      <c r="AQ341" s="139"/>
      <c r="AR341" s="105"/>
      <c r="AS341" s="105"/>
      <c r="AT341" s="105"/>
      <c r="AU341" s="105"/>
      <c r="AV341" s="139"/>
      <c r="AW341" s="105"/>
      <c r="AX341" s="105"/>
      <c r="AY341" s="105"/>
      <c r="AZ341" s="105"/>
      <c r="BA341" s="139"/>
      <c r="BB341" s="105"/>
      <c r="BC341" s="105"/>
      <c r="BD341" s="105"/>
      <c r="BE341" s="105"/>
      <c r="BF341" s="139"/>
      <c r="BG341" s="105"/>
      <c r="BH341" s="105"/>
      <c r="BI341" s="105"/>
      <c r="BJ341" s="105"/>
      <c r="BK341" s="139"/>
      <c r="BL341" s="105"/>
      <c r="BM341" s="105"/>
      <c r="BN341" s="105"/>
      <c r="BO341" s="105"/>
      <c r="BP341" s="139"/>
      <c r="BQ341" s="105"/>
      <c r="BR341" s="105"/>
      <c r="BS341" s="105"/>
      <c r="BT341" s="105"/>
      <c r="BU341" s="139"/>
      <c r="BV341" s="105"/>
      <c r="BW341" s="105"/>
      <c r="BX341" s="105"/>
      <c r="BY341" s="105"/>
      <c r="BZ341" s="139"/>
      <c r="CA341" s="105"/>
      <c r="CB341" s="105"/>
      <c r="CC341" s="105"/>
      <c r="CD341" s="105"/>
      <c r="CE341" s="139"/>
      <c r="CF341" s="105"/>
      <c r="CG341" s="105"/>
      <c r="CH341" s="105"/>
      <c r="CI341" s="105"/>
      <c r="CJ341" s="139"/>
      <c r="CK341" s="105"/>
      <c r="CL341" s="105"/>
      <c r="CM341" s="105"/>
      <c r="CN341" s="105"/>
      <c r="CO341" s="139"/>
      <c r="CP341" s="105"/>
      <c r="CQ341" s="105"/>
      <c r="CR341" s="105"/>
      <c r="CS341" s="105"/>
      <c r="CT341" s="139"/>
      <c r="CU341" s="105"/>
      <c r="CV341" s="105"/>
      <c r="CW341" s="105"/>
      <c r="CX341" s="105"/>
      <c r="CY341" s="139"/>
      <c r="CZ341" s="105"/>
      <c r="DA341" s="105"/>
      <c r="DB341" s="105"/>
      <c r="DC341" s="105"/>
      <c r="DD341" s="139"/>
      <c r="DE341" s="105"/>
      <c r="DF341" s="105"/>
      <c r="DG341" s="105"/>
      <c r="DH341" s="105"/>
      <c r="DI341" s="139"/>
      <c r="DJ341" s="105"/>
      <c r="DK341" s="105"/>
      <c r="DL341" s="105"/>
      <c r="DM341" s="105"/>
      <c r="DN341" s="139"/>
      <c r="DO341" s="105"/>
      <c r="DP341" s="105"/>
      <c r="DQ341" s="105"/>
      <c r="DR341" s="105"/>
      <c r="DS341" s="139"/>
      <c r="DT341" s="105"/>
      <c r="DU341" s="105"/>
      <c r="DV341" s="105"/>
      <c r="DW341" s="105"/>
      <c r="DX341" s="139"/>
      <c r="DY341" s="105"/>
      <c r="DZ341" s="105"/>
      <c r="EA341" s="105"/>
      <c r="EB341" s="105"/>
      <c r="EC341" s="139"/>
      <c r="ED341" s="105"/>
      <c r="EE341" s="105"/>
      <c r="EF341" s="105"/>
      <c r="EG341" s="105"/>
      <c r="EH341" s="139"/>
      <c r="EI341" s="105"/>
      <c r="EJ341" s="105"/>
      <c r="EK341" s="105"/>
      <c r="EL341" s="105"/>
      <c r="EM341" s="139"/>
      <c r="EN341" s="105"/>
      <c r="EO341" s="105"/>
      <c r="EP341" s="105"/>
      <c r="EQ341" s="105"/>
      <c r="ER341" s="139"/>
      <c r="ES341" s="105"/>
      <c r="ET341" s="105"/>
      <c r="EU341" s="105"/>
      <c r="EV341" s="105"/>
      <c r="EW341" s="139"/>
      <c r="EX341" s="105"/>
      <c r="EY341" s="105"/>
      <c r="EZ341" s="105"/>
      <c r="FA341" s="105"/>
      <c r="FB341" s="139"/>
      <c r="FC341" s="105"/>
      <c r="FD341" s="105"/>
      <c r="FE341" s="105"/>
      <c r="FF341" s="105"/>
      <c r="FG341" s="139"/>
      <c r="FH341" s="105"/>
      <c r="FI341" s="105"/>
      <c r="FJ341" s="105"/>
      <c r="FK341" s="105"/>
      <c r="FL341" s="139"/>
      <c r="FM341" s="105"/>
      <c r="FN341" s="105"/>
      <c r="FO341" s="105"/>
      <c r="FP341" s="105"/>
      <c r="FQ341" s="139"/>
      <c r="FR341" s="105"/>
      <c r="FS341" s="105"/>
      <c r="FT341" s="105"/>
      <c r="FU341" s="105"/>
      <c r="FV341" s="139"/>
      <c r="FW341" s="105"/>
      <c r="FX341" s="105"/>
      <c r="FY341" s="105"/>
      <c r="FZ341" s="105"/>
      <c r="GA341" s="139"/>
      <c r="GB341" s="105"/>
      <c r="GC341" s="105"/>
      <c r="GD341" s="105"/>
      <c r="GE341" s="105"/>
      <c r="GF341" s="139"/>
      <c r="GG341" s="105"/>
      <c r="GH341" s="105"/>
      <c r="GI341" s="105"/>
      <c r="GJ341" s="105"/>
    </row>
    <row r="344" spans="1:192" s="93" customFormat="1" ht="12.75" customHeight="1">
      <c r="A344" s="68"/>
      <c r="B344" s="677"/>
      <c r="C344" s="176"/>
      <c r="D344" s="177"/>
      <c r="E344" s="177"/>
      <c r="F344" s="177"/>
      <c r="G344" s="177"/>
      <c r="H344" s="176"/>
      <c r="I344" s="177"/>
      <c r="J344" s="177"/>
      <c r="K344" s="177"/>
      <c r="L344" s="177"/>
      <c r="M344" s="176"/>
      <c r="N344" s="177"/>
      <c r="O344" s="177"/>
      <c r="P344" s="177"/>
      <c r="Q344" s="177"/>
      <c r="R344" s="176"/>
      <c r="S344" s="177"/>
      <c r="T344" s="177"/>
      <c r="U344" s="177"/>
      <c r="V344" s="177"/>
      <c r="W344" s="176"/>
      <c r="X344" s="177"/>
      <c r="Y344" s="177"/>
      <c r="Z344" s="177"/>
      <c r="AA344" s="177"/>
      <c r="AB344" s="176"/>
      <c r="AC344" s="177"/>
      <c r="AD344" s="177"/>
      <c r="AE344" s="177"/>
      <c r="AF344" s="177"/>
      <c r="AG344" s="176"/>
      <c r="AH344" s="177"/>
      <c r="AI344" s="177"/>
      <c r="AJ344" s="177"/>
      <c r="AK344" s="177"/>
      <c r="AL344" s="176"/>
      <c r="AM344" s="177"/>
      <c r="AN344" s="177"/>
      <c r="AO344" s="177"/>
      <c r="AP344" s="177"/>
      <c r="AQ344" s="176"/>
      <c r="AR344" s="177"/>
      <c r="AS344" s="177"/>
      <c r="AT344" s="177"/>
      <c r="AU344" s="177"/>
      <c r="AV344" s="176"/>
      <c r="AW344" s="177"/>
      <c r="AX344" s="177"/>
      <c r="AY344" s="177"/>
      <c r="AZ344" s="177"/>
      <c r="BA344" s="176"/>
      <c r="BB344" s="177"/>
      <c r="BC344" s="177"/>
      <c r="BD344" s="177"/>
      <c r="BE344" s="177"/>
      <c r="BF344" s="176"/>
      <c r="BG344" s="177"/>
      <c r="BH344" s="177"/>
      <c r="BI344" s="177"/>
      <c r="BJ344" s="177"/>
      <c r="BK344" s="176"/>
      <c r="BL344" s="177"/>
      <c r="BM344" s="177"/>
      <c r="BN344" s="177"/>
      <c r="BO344" s="177"/>
      <c r="BP344" s="176"/>
      <c r="BQ344" s="177"/>
      <c r="BR344" s="177"/>
      <c r="BS344" s="177"/>
      <c r="BT344" s="177"/>
      <c r="BU344" s="176"/>
      <c r="BV344" s="177"/>
      <c r="BW344" s="177"/>
      <c r="BX344" s="177"/>
      <c r="BY344" s="177"/>
      <c r="BZ344" s="176"/>
      <c r="CA344" s="177"/>
      <c r="CB344" s="177"/>
      <c r="CC344" s="177"/>
      <c r="CD344" s="177"/>
      <c r="CE344" s="176"/>
      <c r="CF344" s="177"/>
      <c r="CG344" s="177"/>
      <c r="CH344" s="177"/>
      <c r="CI344" s="177"/>
      <c r="CJ344" s="176"/>
      <c r="CK344" s="177"/>
      <c r="CL344" s="177"/>
      <c r="CM344" s="177"/>
      <c r="CN344" s="177"/>
      <c r="CO344" s="176"/>
      <c r="CP344" s="177"/>
      <c r="CQ344" s="177"/>
      <c r="CR344" s="177"/>
      <c r="CS344" s="177"/>
      <c r="CT344" s="176"/>
      <c r="CU344" s="177"/>
      <c r="CV344" s="177"/>
      <c r="CW344" s="177"/>
      <c r="CX344" s="177"/>
      <c r="CY344" s="176"/>
      <c r="CZ344" s="177"/>
      <c r="DA344" s="177"/>
      <c r="DB344" s="177"/>
      <c r="DC344" s="177"/>
      <c r="DD344" s="176"/>
      <c r="DE344" s="177"/>
      <c r="DF344" s="177"/>
      <c r="DG344" s="177"/>
      <c r="DH344" s="177"/>
      <c r="DI344" s="176"/>
      <c r="DJ344" s="177"/>
      <c r="DK344" s="177"/>
      <c r="DL344" s="177"/>
      <c r="DM344" s="177"/>
      <c r="DN344" s="176"/>
      <c r="DO344" s="177"/>
      <c r="DP344" s="177"/>
      <c r="DQ344" s="177"/>
      <c r="DR344" s="177"/>
      <c r="DS344" s="176"/>
      <c r="DT344" s="177"/>
      <c r="DU344" s="177"/>
      <c r="DV344" s="177"/>
      <c r="DW344" s="177"/>
      <c r="DX344" s="176"/>
      <c r="DY344" s="177"/>
      <c r="DZ344" s="177"/>
      <c r="EA344" s="177"/>
      <c r="EB344" s="177"/>
      <c r="EC344" s="176"/>
      <c r="ED344" s="177"/>
      <c r="EE344" s="177"/>
      <c r="EF344" s="177"/>
      <c r="EG344" s="177"/>
      <c r="EH344" s="176"/>
      <c r="EI344" s="177"/>
      <c r="EJ344" s="177"/>
      <c r="EK344" s="177"/>
      <c r="EL344" s="177"/>
      <c r="EM344" s="176"/>
      <c r="EN344" s="177"/>
      <c r="EO344" s="177"/>
      <c r="EP344" s="177"/>
      <c r="EQ344" s="177"/>
      <c r="ER344" s="176"/>
      <c r="ES344" s="177"/>
      <c r="ET344" s="177"/>
      <c r="EU344" s="177"/>
      <c r="EV344" s="177"/>
      <c r="EW344" s="176"/>
      <c r="EX344" s="177"/>
      <c r="EY344" s="177"/>
      <c r="EZ344" s="177"/>
      <c r="FA344" s="177"/>
      <c r="FB344" s="176"/>
      <c r="FC344" s="177"/>
      <c r="FD344" s="177"/>
      <c r="FE344" s="177"/>
      <c r="FF344" s="177"/>
      <c r="FG344" s="176"/>
      <c r="FH344" s="177"/>
      <c r="FI344" s="177"/>
      <c r="FJ344" s="177"/>
      <c r="FK344" s="177"/>
      <c r="FL344" s="176"/>
      <c r="FM344" s="177"/>
      <c r="FN344" s="177"/>
      <c r="FO344" s="177"/>
      <c r="FP344" s="177"/>
      <c r="FQ344" s="176"/>
      <c r="FR344" s="177"/>
      <c r="FS344" s="177"/>
      <c r="FT344" s="177"/>
      <c r="FU344" s="177"/>
      <c r="FV344" s="176"/>
      <c r="FW344" s="177"/>
      <c r="FX344" s="177"/>
      <c r="FY344" s="177"/>
      <c r="FZ344" s="177"/>
      <c r="GA344" s="176"/>
      <c r="GB344" s="177"/>
      <c r="GC344" s="177"/>
      <c r="GD344" s="177"/>
      <c r="GE344" s="177"/>
      <c r="GF344" s="176"/>
      <c r="GG344" s="177"/>
      <c r="GH344" s="177"/>
      <c r="GI344" s="177"/>
      <c r="GJ344" s="177"/>
    </row>
    <row r="345" spans="1:192" s="93" customFormat="1" ht="12.75" customHeight="1">
      <c r="A345" s="68"/>
      <c r="B345" s="677"/>
      <c r="C345" s="106"/>
      <c r="D345" s="107"/>
      <c r="E345" s="107"/>
      <c r="F345" s="107"/>
      <c r="G345" s="107"/>
      <c r="H345" s="106"/>
      <c r="I345" s="107"/>
      <c r="J345" s="107"/>
      <c r="K345" s="107"/>
      <c r="L345" s="107"/>
      <c r="M345" s="106"/>
      <c r="N345" s="107"/>
      <c r="O345" s="107"/>
      <c r="P345" s="107"/>
      <c r="Q345" s="107"/>
      <c r="R345" s="106"/>
      <c r="S345" s="107"/>
      <c r="T345" s="107"/>
      <c r="U345" s="107"/>
      <c r="V345" s="107"/>
      <c r="W345" s="106"/>
      <c r="X345" s="107"/>
      <c r="Y345" s="107"/>
      <c r="Z345" s="107"/>
      <c r="AA345" s="107"/>
      <c r="AB345" s="106"/>
      <c r="AC345" s="107"/>
      <c r="AD345" s="107"/>
      <c r="AE345" s="107"/>
      <c r="AF345" s="107"/>
      <c r="AG345" s="106"/>
      <c r="AH345" s="107"/>
      <c r="AI345" s="107"/>
      <c r="AJ345" s="107"/>
      <c r="AK345" s="107"/>
      <c r="AL345" s="106"/>
      <c r="AM345" s="107"/>
      <c r="AN345" s="107"/>
      <c r="AO345" s="107"/>
      <c r="AP345" s="107"/>
      <c r="AQ345" s="106"/>
      <c r="AR345" s="107"/>
      <c r="AS345" s="107"/>
      <c r="AT345" s="107"/>
      <c r="AU345" s="107"/>
      <c r="AV345" s="106"/>
      <c r="AW345" s="107"/>
      <c r="AX345" s="107"/>
      <c r="AY345" s="107"/>
      <c r="AZ345" s="107"/>
      <c r="BA345" s="106"/>
      <c r="BB345" s="107"/>
      <c r="BC345" s="107"/>
      <c r="BD345" s="107"/>
      <c r="BE345" s="107"/>
      <c r="BF345" s="106"/>
      <c r="BG345" s="107"/>
      <c r="BH345" s="107"/>
      <c r="BI345" s="107"/>
      <c r="BJ345" s="107"/>
      <c r="BK345" s="106"/>
      <c r="BL345" s="107"/>
      <c r="BM345" s="107"/>
      <c r="BN345" s="107"/>
      <c r="BO345" s="107"/>
      <c r="BP345" s="106"/>
      <c r="BQ345" s="107"/>
      <c r="BR345" s="107"/>
      <c r="BS345" s="107"/>
      <c r="BT345" s="107"/>
      <c r="BU345" s="106"/>
      <c r="BV345" s="107"/>
      <c r="BW345" s="107"/>
      <c r="BX345" s="107"/>
      <c r="BY345" s="107"/>
      <c r="BZ345" s="106"/>
      <c r="CA345" s="107"/>
      <c r="CB345" s="107"/>
      <c r="CC345" s="107"/>
      <c r="CD345" s="107"/>
      <c r="CE345" s="106"/>
      <c r="CF345" s="107"/>
      <c r="CG345" s="107"/>
      <c r="CH345" s="107"/>
      <c r="CI345" s="107"/>
      <c r="CJ345" s="106"/>
      <c r="CK345" s="107"/>
      <c r="CL345" s="107"/>
      <c r="CM345" s="107"/>
      <c r="CN345" s="107"/>
      <c r="CO345" s="106"/>
      <c r="CP345" s="107"/>
      <c r="CQ345" s="107"/>
      <c r="CR345" s="107"/>
      <c r="CS345" s="107"/>
      <c r="CT345" s="106"/>
      <c r="CU345" s="107"/>
      <c r="CV345" s="107"/>
      <c r="CW345" s="107"/>
      <c r="CX345" s="107"/>
      <c r="CY345" s="106"/>
      <c r="CZ345" s="107"/>
      <c r="DA345" s="107"/>
      <c r="DB345" s="107"/>
      <c r="DC345" s="107"/>
      <c r="DD345" s="106"/>
      <c r="DE345" s="107"/>
      <c r="DF345" s="107"/>
      <c r="DG345" s="107"/>
      <c r="DH345" s="107"/>
      <c r="DI345" s="106"/>
      <c r="DJ345" s="107"/>
      <c r="DK345" s="107"/>
      <c r="DL345" s="107"/>
      <c r="DM345" s="107"/>
      <c r="DN345" s="106"/>
      <c r="DO345" s="107"/>
      <c r="DP345" s="107"/>
      <c r="DQ345" s="107"/>
      <c r="DR345" s="107"/>
      <c r="DS345" s="106"/>
      <c r="DT345" s="107"/>
      <c r="DU345" s="107"/>
      <c r="DV345" s="107"/>
      <c r="DW345" s="107"/>
      <c r="DX345" s="106"/>
      <c r="DY345" s="107"/>
      <c r="DZ345" s="107"/>
      <c r="EA345" s="107"/>
      <c r="EB345" s="107"/>
      <c r="EC345" s="106"/>
      <c r="ED345" s="107"/>
      <c r="EE345" s="107"/>
      <c r="EF345" s="107"/>
      <c r="EG345" s="107"/>
      <c r="EH345" s="106"/>
      <c r="EI345" s="107"/>
      <c r="EJ345" s="107"/>
      <c r="EK345" s="107"/>
      <c r="EL345" s="107"/>
      <c r="EM345" s="106"/>
      <c r="EN345" s="107"/>
      <c r="EO345" s="107"/>
      <c r="EP345" s="107"/>
      <c r="EQ345" s="107"/>
      <c r="ER345" s="106"/>
      <c r="ES345" s="107"/>
      <c r="ET345" s="107"/>
      <c r="EU345" s="107"/>
      <c r="EV345" s="107"/>
      <c r="EW345" s="106"/>
      <c r="EX345" s="107"/>
      <c r="EY345" s="107"/>
      <c r="EZ345" s="107"/>
      <c r="FA345" s="107"/>
      <c r="FB345" s="106"/>
      <c r="FC345" s="107"/>
      <c r="FD345" s="107"/>
      <c r="FE345" s="107"/>
      <c r="FF345" s="107"/>
      <c r="FG345" s="106"/>
      <c r="FH345" s="107"/>
      <c r="FI345" s="107"/>
      <c r="FJ345" s="107"/>
      <c r="FK345" s="107"/>
      <c r="FL345" s="106"/>
      <c r="FM345" s="107"/>
      <c r="FN345" s="107"/>
      <c r="FO345" s="107"/>
      <c r="FP345" s="107"/>
      <c r="FQ345" s="106"/>
      <c r="FR345" s="107"/>
      <c r="FS345" s="107"/>
      <c r="FT345" s="107"/>
      <c r="FU345" s="107"/>
      <c r="FV345" s="106"/>
      <c r="FW345" s="107"/>
      <c r="FX345" s="107"/>
      <c r="FY345" s="107"/>
      <c r="FZ345" s="107"/>
      <c r="GA345" s="106"/>
      <c r="GB345" s="107"/>
      <c r="GC345" s="107"/>
      <c r="GD345" s="107"/>
      <c r="GE345" s="107"/>
      <c r="GF345" s="106"/>
      <c r="GG345" s="107"/>
      <c r="GH345" s="107"/>
      <c r="GI345" s="107"/>
      <c r="GJ345" s="107"/>
    </row>
    <row r="346" spans="1:192" s="93" customFormat="1" ht="12.75" customHeight="1">
      <c r="A346" s="68"/>
      <c r="B346" s="677"/>
      <c r="C346" s="106"/>
      <c r="D346" s="107"/>
      <c r="E346" s="107"/>
      <c r="F346" s="107"/>
      <c r="G346" s="107"/>
      <c r="H346" s="106"/>
      <c r="I346" s="107"/>
      <c r="J346" s="107"/>
      <c r="K346" s="107"/>
      <c r="L346" s="107"/>
      <c r="M346" s="106"/>
      <c r="N346" s="107"/>
      <c r="O346" s="107"/>
      <c r="P346" s="107"/>
      <c r="Q346" s="107"/>
      <c r="R346" s="106"/>
      <c r="S346" s="107"/>
      <c r="T346" s="107"/>
      <c r="U346" s="107"/>
      <c r="V346" s="107"/>
      <c r="W346" s="106"/>
      <c r="X346" s="107"/>
      <c r="Y346" s="107"/>
      <c r="Z346" s="107"/>
      <c r="AA346" s="107"/>
      <c r="AB346" s="106"/>
      <c r="AC346" s="107"/>
      <c r="AD346" s="107"/>
      <c r="AE346" s="107"/>
      <c r="AF346" s="107"/>
      <c r="AG346" s="106"/>
      <c r="AH346" s="107"/>
      <c r="AI346" s="107"/>
      <c r="AJ346" s="107"/>
      <c r="AK346" s="107"/>
      <c r="AL346" s="106"/>
      <c r="AM346" s="107"/>
      <c r="AN346" s="107"/>
      <c r="AO346" s="107"/>
      <c r="AP346" s="107"/>
      <c r="AQ346" s="106"/>
      <c r="AR346" s="107"/>
      <c r="AS346" s="107"/>
      <c r="AT346" s="107"/>
      <c r="AU346" s="107"/>
      <c r="AV346" s="106"/>
      <c r="AW346" s="107"/>
      <c r="AX346" s="107"/>
      <c r="AY346" s="107"/>
      <c r="AZ346" s="107"/>
      <c r="BA346" s="106"/>
      <c r="BB346" s="107"/>
      <c r="BC346" s="107"/>
      <c r="BD346" s="107"/>
      <c r="BE346" s="107"/>
      <c r="BF346" s="106"/>
      <c r="BG346" s="107"/>
      <c r="BH346" s="107"/>
      <c r="BI346" s="107"/>
      <c r="BJ346" s="107"/>
      <c r="BK346" s="106"/>
      <c r="BL346" s="107"/>
      <c r="BM346" s="107"/>
      <c r="BN346" s="107"/>
      <c r="BO346" s="107"/>
      <c r="BP346" s="106"/>
      <c r="BQ346" s="107"/>
      <c r="BR346" s="107"/>
      <c r="BS346" s="107"/>
      <c r="BT346" s="107"/>
      <c r="BU346" s="106"/>
      <c r="BV346" s="107"/>
      <c r="BW346" s="107"/>
      <c r="BX346" s="107"/>
      <c r="BY346" s="107"/>
      <c r="BZ346" s="106"/>
      <c r="CA346" s="107"/>
      <c r="CB346" s="107"/>
      <c r="CC346" s="107"/>
      <c r="CD346" s="107"/>
      <c r="CE346" s="106"/>
      <c r="CF346" s="107"/>
      <c r="CG346" s="107"/>
      <c r="CH346" s="107"/>
      <c r="CI346" s="107"/>
      <c r="CJ346" s="106"/>
      <c r="CK346" s="107"/>
      <c r="CL346" s="107"/>
      <c r="CM346" s="107"/>
      <c r="CN346" s="107"/>
      <c r="CO346" s="106"/>
      <c r="CP346" s="107"/>
      <c r="CQ346" s="107"/>
      <c r="CR346" s="107"/>
      <c r="CS346" s="107"/>
      <c r="CT346" s="106"/>
      <c r="CU346" s="107"/>
      <c r="CV346" s="107"/>
      <c r="CW346" s="107"/>
      <c r="CX346" s="107"/>
      <c r="CY346" s="106"/>
      <c r="CZ346" s="107"/>
      <c r="DA346" s="107"/>
      <c r="DB346" s="107"/>
      <c r="DC346" s="107"/>
      <c r="DD346" s="106"/>
      <c r="DE346" s="107"/>
      <c r="DF346" s="107"/>
      <c r="DG346" s="107"/>
      <c r="DH346" s="107"/>
      <c r="DI346" s="106"/>
      <c r="DJ346" s="107"/>
      <c r="DK346" s="107"/>
      <c r="DL346" s="107"/>
      <c r="DM346" s="107"/>
      <c r="DN346" s="106"/>
      <c r="DO346" s="107"/>
      <c r="DP346" s="107"/>
      <c r="DQ346" s="107"/>
      <c r="DR346" s="107"/>
      <c r="DS346" s="106"/>
      <c r="DT346" s="107"/>
      <c r="DU346" s="107"/>
      <c r="DV346" s="107"/>
      <c r="DW346" s="107"/>
      <c r="DX346" s="106"/>
      <c r="DY346" s="107"/>
      <c r="DZ346" s="107"/>
      <c r="EA346" s="107"/>
      <c r="EB346" s="107"/>
      <c r="EC346" s="106"/>
      <c r="ED346" s="107"/>
      <c r="EE346" s="107"/>
      <c r="EF346" s="107"/>
      <c r="EG346" s="107"/>
      <c r="EH346" s="106"/>
      <c r="EI346" s="107"/>
      <c r="EJ346" s="107"/>
      <c r="EK346" s="107"/>
      <c r="EL346" s="107"/>
      <c r="EM346" s="106"/>
      <c r="EN346" s="107"/>
      <c r="EO346" s="107"/>
      <c r="EP346" s="107"/>
      <c r="EQ346" s="107"/>
      <c r="ER346" s="106"/>
      <c r="ES346" s="107"/>
      <c r="ET346" s="107"/>
      <c r="EU346" s="107"/>
      <c r="EV346" s="107"/>
      <c r="EW346" s="106"/>
      <c r="EX346" s="107"/>
      <c r="EY346" s="107"/>
      <c r="EZ346" s="107"/>
      <c r="FA346" s="107"/>
      <c r="FB346" s="106"/>
      <c r="FC346" s="107"/>
      <c r="FD346" s="107"/>
      <c r="FE346" s="107"/>
      <c r="FF346" s="107"/>
      <c r="FG346" s="106"/>
      <c r="FH346" s="107"/>
      <c r="FI346" s="107"/>
      <c r="FJ346" s="107"/>
      <c r="FK346" s="107"/>
      <c r="FL346" s="106"/>
      <c r="FM346" s="107"/>
      <c r="FN346" s="107"/>
      <c r="FO346" s="107"/>
      <c r="FP346" s="107"/>
      <c r="FQ346" s="106"/>
      <c r="FR346" s="107"/>
      <c r="FS346" s="107"/>
      <c r="FT346" s="107"/>
      <c r="FU346" s="107"/>
      <c r="FV346" s="106"/>
      <c r="FW346" s="107"/>
      <c r="FX346" s="107"/>
      <c r="FY346" s="107"/>
      <c r="FZ346" s="107"/>
      <c r="GA346" s="106"/>
      <c r="GB346" s="107"/>
      <c r="GC346" s="107"/>
      <c r="GD346" s="107"/>
      <c r="GE346" s="107"/>
      <c r="GF346" s="106"/>
      <c r="GG346" s="107"/>
      <c r="GH346" s="107"/>
      <c r="GI346" s="107"/>
      <c r="GJ346" s="107"/>
    </row>
    <row r="347" spans="1:192" s="93" customFormat="1" ht="12.75" customHeight="1">
      <c r="A347" s="68"/>
      <c r="B347" s="677"/>
      <c r="C347" s="106"/>
      <c r="D347" s="107"/>
      <c r="E347" s="107"/>
      <c r="F347" s="107"/>
      <c r="G347" s="107"/>
      <c r="H347" s="106"/>
      <c r="I347" s="107"/>
      <c r="J347" s="107"/>
      <c r="K347" s="107"/>
      <c r="L347" s="107"/>
      <c r="M347" s="106"/>
      <c r="N347" s="107"/>
      <c r="O347" s="107"/>
      <c r="P347" s="107"/>
      <c r="Q347" s="107"/>
      <c r="R347" s="106"/>
      <c r="S347" s="107"/>
      <c r="T347" s="107"/>
      <c r="U347" s="107"/>
      <c r="V347" s="107"/>
      <c r="W347" s="106"/>
      <c r="X347" s="107"/>
      <c r="Y347" s="107"/>
      <c r="Z347" s="107"/>
      <c r="AA347" s="107"/>
      <c r="AB347" s="106"/>
      <c r="AC347" s="107"/>
      <c r="AD347" s="107"/>
      <c r="AE347" s="107"/>
      <c r="AF347" s="107"/>
      <c r="AG347" s="106"/>
      <c r="AH347" s="107"/>
      <c r="AI347" s="107"/>
      <c r="AJ347" s="107"/>
      <c r="AK347" s="107"/>
      <c r="AL347" s="106"/>
      <c r="AM347" s="107"/>
      <c r="AN347" s="107"/>
      <c r="AO347" s="107"/>
      <c r="AP347" s="107"/>
      <c r="AQ347" s="106"/>
      <c r="AR347" s="107"/>
      <c r="AS347" s="107"/>
      <c r="AT347" s="107"/>
      <c r="AU347" s="107"/>
      <c r="AV347" s="106"/>
      <c r="AW347" s="107"/>
      <c r="AX347" s="107"/>
      <c r="AY347" s="107"/>
      <c r="AZ347" s="107"/>
      <c r="BA347" s="106"/>
      <c r="BB347" s="107"/>
      <c r="BC347" s="107"/>
      <c r="BD347" s="107"/>
      <c r="BE347" s="107"/>
      <c r="BF347" s="106"/>
      <c r="BG347" s="107"/>
      <c r="BH347" s="107"/>
      <c r="BI347" s="107"/>
      <c r="BJ347" s="107"/>
      <c r="BK347" s="106"/>
      <c r="BL347" s="107"/>
      <c r="BM347" s="107"/>
      <c r="BN347" s="107"/>
      <c r="BO347" s="107"/>
      <c r="BP347" s="106"/>
      <c r="BQ347" s="107"/>
      <c r="BR347" s="107"/>
      <c r="BS347" s="107"/>
      <c r="BT347" s="107"/>
      <c r="BU347" s="106"/>
      <c r="BV347" s="107"/>
      <c r="BW347" s="107"/>
      <c r="BX347" s="107"/>
      <c r="BY347" s="107"/>
      <c r="BZ347" s="106"/>
      <c r="CA347" s="107"/>
      <c r="CB347" s="107"/>
      <c r="CC347" s="107"/>
      <c r="CD347" s="107"/>
      <c r="CE347" s="106"/>
      <c r="CF347" s="107"/>
      <c r="CG347" s="107"/>
      <c r="CH347" s="107"/>
      <c r="CI347" s="107"/>
      <c r="CJ347" s="106"/>
      <c r="CK347" s="107"/>
      <c r="CL347" s="107"/>
      <c r="CM347" s="107"/>
      <c r="CN347" s="107"/>
      <c r="CO347" s="106"/>
      <c r="CP347" s="107"/>
      <c r="CQ347" s="107"/>
      <c r="CR347" s="107"/>
      <c r="CS347" s="107"/>
      <c r="CT347" s="106"/>
      <c r="CU347" s="107"/>
      <c r="CV347" s="107"/>
      <c r="CW347" s="107"/>
      <c r="CX347" s="107"/>
      <c r="CY347" s="106"/>
      <c r="CZ347" s="107"/>
      <c r="DA347" s="107"/>
      <c r="DB347" s="107"/>
      <c r="DC347" s="107"/>
      <c r="DD347" s="106"/>
      <c r="DE347" s="107"/>
      <c r="DF347" s="107"/>
      <c r="DG347" s="107"/>
      <c r="DH347" s="107"/>
      <c r="DI347" s="106"/>
      <c r="DJ347" s="107"/>
      <c r="DK347" s="107"/>
      <c r="DL347" s="107"/>
      <c r="DM347" s="107"/>
      <c r="DN347" s="106"/>
      <c r="DO347" s="107"/>
      <c r="DP347" s="107"/>
      <c r="DQ347" s="107"/>
      <c r="DR347" s="107"/>
      <c r="DS347" s="106"/>
      <c r="DT347" s="107"/>
      <c r="DU347" s="107"/>
      <c r="DV347" s="107"/>
      <c r="DW347" s="107"/>
      <c r="DX347" s="106"/>
      <c r="DY347" s="107"/>
      <c r="DZ347" s="107"/>
      <c r="EA347" s="107"/>
      <c r="EB347" s="107"/>
      <c r="EC347" s="106"/>
      <c r="ED347" s="107"/>
      <c r="EE347" s="107"/>
      <c r="EF347" s="107"/>
      <c r="EG347" s="107"/>
      <c r="EH347" s="106"/>
      <c r="EI347" s="107"/>
      <c r="EJ347" s="107"/>
      <c r="EK347" s="107"/>
      <c r="EL347" s="107"/>
      <c r="EM347" s="106"/>
      <c r="EN347" s="107"/>
      <c r="EO347" s="107"/>
      <c r="EP347" s="107"/>
      <c r="EQ347" s="107"/>
      <c r="ER347" s="106"/>
      <c r="ES347" s="107"/>
      <c r="ET347" s="107"/>
      <c r="EU347" s="107"/>
      <c r="EV347" s="107"/>
      <c r="EW347" s="106"/>
      <c r="EX347" s="107"/>
      <c r="EY347" s="107"/>
      <c r="EZ347" s="107"/>
      <c r="FA347" s="107"/>
      <c r="FB347" s="106"/>
      <c r="FC347" s="107"/>
      <c r="FD347" s="107"/>
      <c r="FE347" s="107"/>
      <c r="FF347" s="107"/>
      <c r="FG347" s="106"/>
      <c r="FH347" s="107"/>
      <c r="FI347" s="107"/>
      <c r="FJ347" s="107"/>
      <c r="FK347" s="107"/>
      <c r="FL347" s="106"/>
      <c r="FM347" s="107"/>
      <c r="FN347" s="107"/>
      <c r="FO347" s="107"/>
      <c r="FP347" s="107"/>
      <c r="FQ347" s="106"/>
      <c r="FR347" s="107"/>
      <c r="FS347" s="107"/>
      <c r="FT347" s="107"/>
      <c r="FU347" s="107"/>
      <c r="FV347" s="106"/>
      <c r="FW347" s="107"/>
      <c r="FX347" s="107"/>
      <c r="FY347" s="107"/>
      <c r="FZ347" s="107"/>
      <c r="GA347" s="106"/>
      <c r="GB347" s="107"/>
      <c r="GC347" s="107"/>
      <c r="GD347" s="107"/>
      <c r="GE347" s="107"/>
      <c r="GF347" s="106"/>
      <c r="GG347" s="107"/>
      <c r="GH347" s="107"/>
      <c r="GI347" s="107"/>
      <c r="GJ347" s="107"/>
    </row>
    <row r="348" spans="1:192" s="93" customFormat="1" ht="12.75" customHeight="1">
      <c r="A348" s="68"/>
      <c r="B348" s="677"/>
      <c r="C348" s="178"/>
      <c r="D348" s="107"/>
      <c r="E348" s="107"/>
      <c r="F348" s="107"/>
      <c r="G348" s="107"/>
      <c r="H348" s="178"/>
      <c r="I348" s="107"/>
      <c r="J348" s="107"/>
      <c r="K348" s="107"/>
      <c r="L348" s="107"/>
      <c r="M348" s="178"/>
      <c r="N348" s="107"/>
      <c r="O348" s="107"/>
      <c r="P348" s="107"/>
      <c r="Q348" s="107"/>
      <c r="R348" s="178"/>
      <c r="S348" s="107"/>
      <c r="T348" s="107"/>
      <c r="U348" s="107"/>
      <c r="V348" s="107"/>
      <c r="W348" s="178"/>
      <c r="X348" s="107"/>
      <c r="Y348" s="107"/>
      <c r="Z348" s="107"/>
      <c r="AA348" s="107"/>
      <c r="AB348" s="178"/>
      <c r="AC348" s="107"/>
      <c r="AD348" s="107"/>
      <c r="AE348" s="107"/>
      <c r="AF348" s="107"/>
      <c r="AG348" s="178"/>
      <c r="AH348" s="107"/>
      <c r="AI348" s="107"/>
      <c r="AJ348" s="107"/>
      <c r="AK348" s="107"/>
      <c r="AL348" s="178"/>
      <c r="AM348" s="107"/>
      <c r="AN348" s="107"/>
      <c r="AO348" s="107"/>
      <c r="AP348" s="107"/>
      <c r="AQ348" s="178"/>
      <c r="AR348" s="107"/>
      <c r="AS348" s="107"/>
      <c r="AT348" s="107"/>
      <c r="AU348" s="107"/>
      <c r="AV348" s="178"/>
      <c r="AW348" s="107"/>
      <c r="AX348" s="107"/>
      <c r="AY348" s="107"/>
      <c r="AZ348" s="107"/>
      <c r="BA348" s="178"/>
      <c r="BB348" s="107"/>
      <c r="BC348" s="107"/>
      <c r="BD348" s="107"/>
      <c r="BE348" s="107"/>
      <c r="BF348" s="178"/>
      <c r="BG348" s="107"/>
      <c r="BH348" s="107"/>
      <c r="BI348" s="107"/>
      <c r="BJ348" s="107"/>
      <c r="BK348" s="178"/>
      <c r="BL348" s="107"/>
      <c r="BM348" s="107"/>
      <c r="BN348" s="107"/>
      <c r="BO348" s="107"/>
      <c r="BP348" s="178"/>
      <c r="BQ348" s="107"/>
      <c r="BR348" s="107"/>
      <c r="BS348" s="107"/>
      <c r="BT348" s="107"/>
      <c r="BU348" s="178"/>
      <c r="BV348" s="107"/>
      <c r="BW348" s="107"/>
      <c r="BX348" s="107"/>
      <c r="BY348" s="107"/>
      <c r="BZ348" s="178"/>
      <c r="CA348" s="107"/>
      <c r="CB348" s="107"/>
      <c r="CC348" s="107"/>
      <c r="CD348" s="107"/>
      <c r="CE348" s="178"/>
      <c r="CF348" s="107"/>
      <c r="CG348" s="107"/>
      <c r="CH348" s="107"/>
      <c r="CI348" s="107"/>
      <c r="CJ348" s="178"/>
      <c r="CK348" s="107"/>
      <c r="CL348" s="107"/>
      <c r="CM348" s="107"/>
      <c r="CN348" s="107"/>
      <c r="CO348" s="178"/>
      <c r="CP348" s="107"/>
      <c r="CQ348" s="107"/>
      <c r="CR348" s="107"/>
      <c r="CS348" s="107"/>
      <c r="CT348" s="178"/>
      <c r="CU348" s="107"/>
      <c r="CV348" s="107"/>
      <c r="CW348" s="107"/>
      <c r="CX348" s="107"/>
      <c r="CY348" s="178"/>
      <c r="CZ348" s="107"/>
      <c r="DA348" s="107"/>
      <c r="DB348" s="107"/>
      <c r="DC348" s="107"/>
      <c r="DD348" s="178"/>
      <c r="DE348" s="107"/>
      <c r="DF348" s="107"/>
      <c r="DG348" s="107"/>
      <c r="DH348" s="107"/>
      <c r="DI348" s="178"/>
      <c r="DJ348" s="107"/>
      <c r="DK348" s="107"/>
      <c r="DL348" s="107"/>
      <c r="DM348" s="107"/>
      <c r="DN348" s="178"/>
      <c r="DO348" s="107"/>
      <c r="DP348" s="107"/>
      <c r="DQ348" s="107"/>
      <c r="DR348" s="107"/>
      <c r="DS348" s="178"/>
      <c r="DT348" s="107"/>
      <c r="DU348" s="107"/>
      <c r="DV348" s="107"/>
      <c r="DW348" s="107"/>
      <c r="DX348" s="178"/>
      <c r="DY348" s="107"/>
      <c r="DZ348" s="107"/>
      <c r="EA348" s="107"/>
      <c r="EB348" s="107"/>
      <c r="EC348" s="178"/>
      <c r="ED348" s="107"/>
      <c r="EE348" s="107"/>
      <c r="EF348" s="107"/>
      <c r="EG348" s="107"/>
      <c r="EH348" s="178"/>
      <c r="EI348" s="107"/>
      <c r="EJ348" s="107"/>
      <c r="EK348" s="107"/>
      <c r="EL348" s="107"/>
      <c r="EM348" s="178"/>
      <c r="EN348" s="107"/>
      <c r="EO348" s="107"/>
      <c r="EP348" s="107"/>
      <c r="EQ348" s="107"/>
      <c r="ER348" s="178"/>
      <c r="ES348" s="107"/>
      <c r="ET348" s="107"/>
      <c r="EU348" s="107"/>
      <c r="EV348" s="107"/>
      <c r="EW348" s="178"/>
      <c r="EX348" s="107"/>
      <c r="EY348" s="107"/>
      <c r="EZ348" s="107"/>
      <c r="FA348" s="107"/>
      <c r="FB348" s="178"/>
      <c r="FC348" s="107"/>
      <c r="FD348" s="107"/>
      <c r="FE348" s="107"/>
      <c r="FF348" s="107"/>
      <c r="FG348" s="178"/>
      <c r="FH348" s="107"/>
      <c r="FI348" s="107"/>
      <c r="FJ348" s="107"/>
      <c r="FK348" s="107"/>
      <c r="FL348" s="178"/>
      <c r="FM348" s="107"/>
      <c r="FN348" s="107"/>
      <c r="FO348" s="107"/>
      <c r="FP348" s="107"/>
      <c r="FQ348" s="178"/>
      <c r="FR348" s="107"/>
      <c r="FS348" s="107"/>
      <c r="FT348" s="107"/>
      <c r="FU348" s="107"/>
      <c r="FV348" s="178"/>
      <c r="FW348" s="107"/>
      <c r="FX348" s="107"/>
      <c r="FY348" s="107"/>
      <c r="FZ348" s="107"/>
      <c r="GA348" s="178"/>
      <c r="GB348" s="107"/>
      <c r="GC348" s="107"/>
      <c r="GD348" s="107"/>
      <c r="GE348" s="107"/>
      <c r="GF348" s="178"/>
      <c r="GG348" s="107"/>
      <c r="GH348" s="107"/>
      <c r="GI348" s="107"/>
      <c r="GJ348" s="107"/>
    </row>
    <row r="349" spans="1:192" s="93" customFormat="1" ht="12.75" customHeight="1">
      <c r="A349" s="68"/>
      <c r="B349" s="677"/>
      <c r="C349" s="106"/>
      <c r="D349" s="107"/>
      <c r="E349" s="107"/>
      <c r="F349" s="107"/>
      <c r="G349" s="107"/>
      <c r="H349" s="106"/>
      <c r="I349" s="107"/>
      <c r="J349" s="107"/>
      <c r="K349" s="107"/>
      <c r="L349" s="107"/>
      <c r="M349" s="106"/>
      <c r="N349" s="107"/>
      <c r="O349" s="107"/>
      <c r="P349" s="107"/>
      <c r="Q349" s="107"/>
      <c r="R349" s="106"/>
      <c r="S349" s="107"/>
      <c r="T349" s="107"/>
      <c r="U349" s="107"/>
      <c r="V349" s="107"/>
      <c r="W349" s="106"/>
      <c r="X349" s="107"/>
      <c r="Y349" s="107"/>
      <c r="Z349" s="107"/>
      <c r="AA349" s="107"/>
      <c r="AB349" s="106"/>
      <c r="AC349" s="107"/>
      <c r="AD349" s="107"/>
      <c r="AE349" s="107"/>
      <c r="AF349" s="107"/>
      <c r="AG349" s="106"/>
      <c r="AH349" s="107"/>
      <c r="AI349" s="107"/>
      <c r="AJ349" s="107"/>
      <c r="AK349" s="107"/>
      <c r="AL349" s="106"/>
      <c r="AM349" s="107"/>
      <c r="AN349" s="107"/>
      <c r="AO349" s="107"/>
      <c r="AP349" s="107"/>
      <c r="AQ349" s="106"/>
      <c r="AR349" s="107"/>
      <c r="AS349" s="107"/>
      <c r="AT349" s="107"/>
      <c r="AU349" s="107"/>
      <c r="AV349" s="106"/>
      <c r="AW349" s="107"/>
      <c r="AX349" s="107"/>
      <c r="AY349" s="107"/>
      <c r="AZ349" s="107"/>
      <c r="BA349" s="106"/>
      <c r="BB349" s="107"/>
      <c r="BC349" s="107"/>
      <c r="BD349" s="107"/>
      <c r="BE349" s="107"/>
      <c r="BF349" s="106"/>
      <c r="BG349" s="107"/>
      <c r="BH349" s="107"/>
      <c r="BI349" s="107"/>
      <c r="BJ349" s="107"/>
      <c r="BK349" s="106"/>
      <c r="BL349" s="107"/>
      <c r="BM349" s="107"/>
      <c r="BN349" s="107"/>
      <c r="BO349" s="107"/>
      <c r="BP349" s="106"/>
      <c r="BQ349" s="107"/>
      <c r="BR349" s="107"/>
      <c r="BS349" s="107"/>
      <c r="BT349" s="107"/>
      <c r="BU349" s="106"/>
      <c r="BV349" s="107"/>
      <c r="BW349" s="107"/>
      <c r="BX349" s="107"/>
      <c r="BY349" s="107"/>
      <c r="BZ349" s="106"/>
      <c r="CA349" s="107"/>
      <c r="CB349" s="107"/>
      <c r="CC349" s="107"/>
      <c r="CD349" s="107"/>
      <c r="CE349" s="106"/>
      <c r="CF349" s="107"/>
      <c r="CG349" s="107"/>
      <c r="CH349" s="107"/>
      <c r="CI349" s="107"/>
      <c r="CJ349" s="106"/>
      <c r="CK349" s="107"/>
      <c r="CL349" s="107"/>
      <c r="CM349" s="107"/>
      <c r="CN349" s="107"/>
      <c r="CO349" s="106"/>
      <c r="CP349" s="107"/>
      <c r="CQ349" s="107"/>
      <c r="CR349" s="107"/>
      <c r="CS349" s="107"/>
      <c r="CT349" s="106"/>
      <c r="CU349" s="107"/>
      <c r="CV349" s="107"/>
      <c r="CW349" s="107"/>
      <c r="CX349" s="107"/>
      <c r="CY349" s="106"/>
      <c r="CZ349" s="107"/>
      <c r="DA349" s="107"/>
      <c r="DB349" s="107"/>
      <c r="DC349" s="107"/>
      <c r="DD349" s="106"/>
      <c r="DE349" s="107"/>
      <c r="DF349" s="107"/>
      <c r="DG349" s="107"/>
      <c r="DH349" s="107"/>
      <c r="DI349" s="106"/>
      <c r="DJ349" s="107"/>
      <c r="DK349" s="107"/>
      <c r="DL349" s="107"/>
      <c r="DM349" s="107"/>
      <c r="DN349" s="106"/>
      <c r="DO349" s="107"/>
      <c r="DP349" s="107"/>
      <c r="DQ349" s="107"/>
      <c r="DR349" s="107"/>
      <c r="DS349" s="106"/>
      <c r="DT349" s="107"/>
      <c r="DU349" s="107"/>
      <c r="DV349" s="107"/>
      <c r="DW349" s="107"/>
      <c r="DX349" s="106"/>
      <c r="DY349" s="107"/>
      <c r="DZ349" s="107"/>
      <c r="EA349" s="107"/>
      <c r="EB349" s="107"/>
      <c r="EC349" s="106"/>
      <c r="ED349" s="107"/>
      <c r="EE349" s="107"/>
      <c r="EF349" s="107"/>
      <c r="EG349" s="107"/>
      <c r="EH349" s="106"/>
      <c r="EI349" s="107"/>
      <c r="EJ349" s="107"/>
      <c r="EK349" s="107"/>
      <c r="EL349" s="107"/>
      <c r="EM349" s="106"/>
      <c r="EN349" s="107"/>
      <c r="EO349" s="107"/>
      <c r="EP349" s="107"/>
      <c r="EQ349" s="107"/>
      <c r="ER349" s="106"/>
      <c r="ES349" s="107"/>
      <c r="ET349" s="107"/>
      <c r="EU349" s="107"/>
      <c r="EV349" s="107"/>
      <c r="EW349" s="106"/>
      <c r="EX349" s="107"/>
      <c r="EY349" s="107"/>
      <c r="EZ349" s="107"/>
      <c r="FA349" s="107"/>
      <c r="FB349" s="106"/>
      <c r="FC349" s="107"/>
      <c r="FD349" s="107"/>
      <c r="FE349" s="107"/>
      <c r="FF349" s="107"/>
      <c r="FG349" s="106"/>
      <c r="FH349" s="107"/>
      <c r="FI349" s="107"/>
      <c r="FJ349" s="107"/>
      <c r="FK349" s="107"/>
      <c r="FL349" s="106"/>
      <c r="FM349" s="107"/>
      <c r="FN349" s="107"/>
      <c r="FO349" s="107"/>
      <c r="FP349" s="107"/>
      <c r="FQ349" s="106"/>
      <c r="FR349" s="107"/>
      <c r="FS349" s="107"/>
      <c r="FT349" s="107"/>
      <c r="FU349" s="107"/>
      <c r="FV349" s="106"/>
      <c r="FW349" s="107"/>
      <c r="FX349" s="107"/>
      <c r="FY349" s="107"/>
      <c r="FZ349" s="107"/>
      <c r="GA349" s="106"/>
      <c r="GB349" s="107"/>
      <c r="GC349" s="107"/>
      <c r="GD349" s="107"/>
      <c r="GE349" s="107"/>
      <c r="GF349" s="106"/>
      <c r="GG349" s="107"/>
      <c r="GH349" s="107"/>
      <c r="GI349" s="107"/>
      <c r="GJ349" s="107"/>
    </row>
    <row r="350" spans="1:192" s="93" customFormat="1" ht="12.75" customHeight="1">
      <c r="A350" s="68"/>
      <c r="B350" s="677"/>
      <c r="C350" s="176"/>
      <c r="D350" s="107"/>
      <c r="E350" s="107"/>
      <c r="F350" s="107"/>
      <c r="G350" s="107"/>
      <c r="H350" s="176"/>
      <c r="I350" s="107"/>
      <c r="J350" s="107"/>
      <c r="K350" s="107"/>
      <c r="L350" s="107"/>
      <c r="M350" s="176"/>
      <c r="N350" s="107"/>
      <c r="O350" s="107"/>
      <c r="P350" s="107"/>
      <c r="Q350" s="107"/>
      <c r="R350" s="176"/>
      <c r="S350" s="107"/>
      <c r="T350" s="107"/>
      <c r="U350" s="107"/>
      <c r="V350" s="107"/>
      <c r="W350" s="176"/>
      <c r="X350" s="107"/>
      <c r="Y350" s="107"/>
      <c r="Z350" s="107"/>
      <c r="AA350" s="107"/>
      <c r="AB350" s="176"/>
      <c r="AC350" s="107"/>
      <c r="AD350" s="107"/>
      <c r="AE350" s="107"/>
      <c r="AF350" s="107"/>
      <c r="AG350" s="176"/>
      <c r="AH350" s="107"/>
      <c r="AI350" s="107"/>
      <c r="AJ350" s="107"/>
      <c r="AK350" s="107"/>
      <c r="AL350" s="176"/>
      <c r="AM350" s="107"/>
      <c r="AN350" s="107"/>
      <c r="AO350" s="107"/>
      <c r="AP350" s="107"/>
      <c r="AQ350" s="176"/>
      <c r="AR350" s="107"/>
      <c r="AS350" s="107"/>
      <c r="AT350" s="107"/>
      <c r="AU350" s="107"/>
      <c r="AV350" s="176"/>
      <c r="AW350" s="107"/>
      <c r="AX350" s="107"/>
      <c r="AY350" s="107"/>
      <c r="AZ350" s="107"/>
      <c r="BA350" s="176"/>
      <c r="BB350" s="107"/>
      <c r="BC350" s="107"/>
      <c r="BD350" s="107"/>
      <c r="BE350" s="107"/>
      <c r="BF350" s="176"/>
      <c r="BG350" s="107"/>
      <c r="BH350" s="107"/>
      <c r="BI350" s="107"/>
      <c r="BJ350" s="107"/>
      <c r="BK350" s="176"/>
      <c r="BL350" s="107"/>
      <c r="BM350" s="107"/>
      <c r="BN350" s="107"/>
      <c r="BO350" s="107"/>
      <c r="BP350" s="176"/>
      <c r="BQ350" s="107"/>
      <c r="BR350" s="107"/>
      <c r="BS350" s="107"/>
      <c r="BT350" s="107"/>
      <c r="BU350" s="176"/>
      <c r="BV350" s="107"/>
      <c r="BW350" s="107"/>
      <c r="BX350" s="107"/>
      <c r="BY350" s="107"/>
      <c r="BZ350" s="176"/>
      <c r="CA350" s="107"/>
      <c r="CB350" s="107"/>
      <c r="CC350" s="107"/>
      <c r="CD350" s="107"/>
      <c r="CE350" s="176"/>
      <c r="CF350" s="107"/>
      <c r="CG350" s="107"/>
      <c r="CH350" s="107"/>
      <c r="CI350" s="107"/>
      <c r="CJ350" s="176"/>
      <c r="CK350" s="107"/>
      <c r="CL350" s="107"/>
      <c r="CM350" s="107"/>
      <c r="CN350" s="107"/>
      <c r="CO350" s="176"/>
      <c r="CP350" s="107"/>
      <c r="CQ350" s="107"/>
      <c r="CR350" s="107"/>
      <c r="CS350" s="107"/>
      <c r="CT350" s="176"/>
      <c r="CU350" s="107"/>
      <c r="CV350" s="107"/>
      <c r="CW350" s="107"/>
      <c r="CX350" s="107"/>
      <c r="CY350" s="176"/>
      <c r="CZ350" s="107"/>
      <c r="DA350" s="107"/>
      <c r="DB350" s="107"/>
      <c r="DC350" s="107"/>
      <c r="DD350" s="176"/>
      <c r="DE350" s="107"/>
      <c r="DF350" s="107"/>
      <c r="DG350" s="107"/>
      <c r="DH350" s="107"/>
      <c r="DI350" s="176"/>
      <c r="DJ350" s="107"/>
      <c r="DK350" s="107"/>
      <c r="DL350" s="107"/>
      <c r="DM350" s="107"/>
      <c r="DN350" s="176"/>
      <c r="DO350" s="107"/>
      <c r="DP350" s="107"/>
      <c r="DQ350" s="107"/>
      <c r="DR350" s="107"/>
      <c r="DS350" s="176"/>
      <c r="DT350" s="107"/>
      <c r="DU350" s="107"/>
      <c r="DV350" s="107"/>
      <c r="DW350" s="107"/>
      <c r="DX350" s="176"/>
      <c r="DY350" s="107"/>
      <c r="DZ350" s="107"/>
      <c r="EA350" s="107"/>
      <c r="EB350" s="107"/>
      <c r="EC350" s="176"/>
      <c r="ED350" s="107"/>
      <c r="EE350" s="107"/>
      <c r="EF350" s="107"/>
      <c r="EG350" s="107"/>
      <c r="EH350" s="176"/>
      <c r="EI350" s="107"/>
      <c r="EJ350" s="107"/>
      <c r="EK350" s="107"/>
      <c r="EL350" s="107"/>
      <c r="EM350" s="176"/>
      <c r="EN350" s="107"/>
      <c r="EO350" s="107"/>
      <c r="EP350" s="107"/>
      <c r="EQ350" s="107"/>
      <c r="ER350" s="176"/>
      <c r="ES350" s="107"/>
      <c r="ET350" s="107"/>
      <c r="EU350" s="107"/>
      <c r="EV350" s="107"/>
      <c r="EW350" s="176"/>
      <c r="EX350" s="107"/>
      <c r="EY350" s="107"/>
      <c r="EZ350" s="107"/>
      <c r="FA350" s="107"/>
      <c r="FB350" s="176"/>
      <c r="FC350" s="107"/>
      <c r="FD350" s="107"/>
      <c r="FE350" s="107"/>
      <c r="FF350" s="107"/>
      <c r="FG350" s="176"/>
      <c r="FH350" s="107"/>
      <c r="FI350" s="107"/>
      <c r="FJ350" s="107"/>
      <c r="FK350" s="107"/>
      <c r="FL350" s="176"/>
      <c r="FM350" s="107"/>
      <c r="FN350" s="107"/>
      <c r="FO350" s="107"/>
      <c r="FP350" s="107"/>
      <c r="FQ350" s="176"/>
      <c r="FR350" s="107"/>
      <c r="FS350" s="107"/>
      <c r="FT350" s="107"/>
      <c r="FU350" s="107"/>
      <c r="FV350" s="176"/>
      <c r="FW350" s="107"/>
      <c r="FX350" s="107"/>
      <c r="FY350" s="107"/>
      <c r="FZ350" s="107"/>
      <c r="GA350" s="176"/>
      <c r="GB350" s="107"/>
      <c r="GC350" s="107"/>
      <c r="GD350" s="107"/>
      <c r="GE350" s="107"/>
      <c r="GF350" s="176"/>
      <c r="GG350" s="107"/>
      <c r="GH350" s="107"/>
      <c r="GI350" s="107"/>
      <c r="GJ350" s="107"/>
    </row>
    <row r="351" spans="1:192" s="93" customFormat="1" ht="12.75" customHeight="1">
      <c r="A351" s="68"/>
      <c r="B351" s="677"/>
      <c r="C351" s="106"/>
      <c r="D351" s="107"/>
      <c r="E351" s="107"/>
      <c r="F351" s="107"/>
      <c r="G351" s="107"/>
      <c r="H351" s="106"/>
      <c r="I351" s="107"/>
      <c r="J351" s="107"/>
      <c r="K351" s="107"/>
      <c r="L351" s="107"/>
      <c r="M351" s="106"/>
      <c r="N351" s="107"/>
      <c r="O351" s="107"/>
      <c r="P351" s="107"/>
      <c r="Q351" s="107"/>
      <c r="R351" s="106"/>
      <c r="S351" s="107"/>
      <c r="T351" s="107"/>
      <c r="U351" s="107"/>
      <c r="V351" s="107"/>
      <c r="W351" s="106"/>
      <c r="X351" s="107"/>
      <c r="Y351" s="107"/>
      <c r="Z351" s="107"/>
      <c r="AA351" s="107"/>
      <c r="AB351" s="106"/>
      <c r="AC351" s="107"/>
      <c r="AD351" s="107"/>
      <c r="AE351" s="107"/>
      <c r="AF351" s="107"/>
      <c r="AG351" s="106"/>
      <c r="AH351" s="107"/>
      <c r="AI351" s="107"/>
      <c r="AJ351" s="107"/>
      <c r="AK351" s="107"/>
      <c r="AL351" s="106"/>
      <c r="AM351" s="107"/>
      <c r="AN351" s="107"/>
      <c r="AO351" s="107"/>
      <c r="AP351" s="107"/>
      <c r="AQ351" s="106"/>
      <c r="AR351" s="107"/>
      <c r="AS351" s="107"/>
      <c r="AT351" s="107"/>
      <c r="AU351" s="107"/>
      <c r="AV351" s="106"/>
      <c r="AW351" s="107"/>
      <c r="AX351" s="107"/>
      <c r="AY351" s="107"/>
      <c r="AZ351" s="107"/>
      <c r="BA351" s="106"/>
      <c r="BB351" s="107"/>
      <c r="BC351" s="107"/>
      <c r="BD351" s="107"/>
      <c r="BE351" s="107"/>
      <c r="BF351" s="106"/>
      <c r="BG351" s="107"/>
      <c r="BH351" s="107"/>
      <c r="BI351" s="107"/>
      <c r="BJ351" s="107"/>
      <c r="BK351" s="106"/>
      <c r="BL351" s="107"/>
      <c r="BM351" s="107"/>
      <c r="BN351" s="107"/>
      <c r="BO351" s="107"/>
      <c r="BP351" s="106"/>
      <c r="BQ351" s="107"/>
      <c r="BR351" s="107"/>
      <c r="BS351" s="107"/>
      <c r="BT351" s="107"/>
      <c r="BU351" s="106"/>
      <c r="BV351" s="107"/>
      <c r="BW351" s="107"/>
      <c r="BX351" s="107"/>
      <c r="BY351" s="107"/>
      <c r="BZ351" s="106"/>
      <c r="CA351" s="107"/>
      <c r="CB351" s="107"/>
      <c r="CC351" s="107"/>
      <c r="CD351" s="107"/>
      <c r="CE351" s="106"/>
      <c r="CF351" s="107"/>
      <c r="CG351" s="107"/>
      <c r="CH351" s="107"/>
      <c r="CI351" s="107"/>
      <c r="CJ351" s="106"/>
      <c r="CK351" s="107"/>
      <c r="CL351" s="107"/>
      <c r="CM351" s="107"/>
      <c r="CN351" s="107"/>
      <c r="CO351" s="106"/>
      <c r="CP351" s="107"/>
      <c r="CQ351" s="107"/>
      <c r="CR351" s="107"/>
      <c r="CS351" s="107"/>
      <c r="CT351" s="106"/>
      <c r="CU351" s="107"/>
      <c r="CV351" s="107"/>
      <c r="CW351" s="107"/>
      <c r="CX351" s="107"/>
      <c r="CY351" s="106"/>
      <c r="CZ351" s="107"/>
      <c r="DA351" s="107"/>
      <c r="DB351" s="107"/>
      <c r="DC351" s="107"/>
      <c r="DD351" s="106"/>
      <c r="DE351" s="107"/>
      <c r="DF351" s="107"/>
      <c r="DG351" s="107"/>
      <c r="DH351" s="107"/>
      <c r="DI351" s="106"/>
      <c r="DJ351" s="107"/>
      <c r="DK351" s="107"/>
      <c r="DL351" s="107"/>
      <c r="DM351" s="107"/>
      <c r="DN351" s="106"/>
      <c r="DO351" s="107"/>
      <c r="DP351" s="107"/>
      <c r="DQ351" s="107"/>
      <c r="DR351" s="107"/>
      <c r="DS351" s="106"/>
      <c r="DT351" s="107"/>
      <c r="DU351" s="107"/>
      <c r="DV351" s="107"/>
      <c r="DW351" s="107"/>
      <c r="DX351" s="106"/>
      <c r="DY351" s="107"/>
      <c r="DZ351" s="107"/>
      <c r="EA351" s="107"/>
      <c r="EB351" s="107"/>
      <c r="EC351" s="106"/>
      <c r="ED351" s="107"/>
      <c r="EE351" s="107"/>
      <c r="EF351" s="107"/>
      <c r="EG351" s="107"/>
      <c r="EH351" s="106"/>
      <c r="EI351" s="107"/>
      <c r="EJ351" s="107"/>
      <c r="EK351" s="107"/>
      <c r="EL351" s="107"/>
      <c r="EM351" s="106"/>
      <c r="EN351" s="107"/>
      <c r="EO351" s="107"/>
      <c r="EP351" s="107"/>
      <c r="EQ351" s="107"/>
      <c r="ER351" s="106"/>
      <c r="ES351" s="107"/>
      <c r="ET351" s="107"/>
      <c r="EU351" s="107"/>
      <c r="EV351" s="107"/>
      <c r="EW351" s="106"/>
      <c r="EX351" s="107"/>
      <c r="EY351" s="107"/>
      <c r="EZ351" s="107"/>
      <c r="FA351" s="107"/>
      <c r="FB351" s="106"/>
      <c r="FC351" s="107"/>
      <c r="FD351" s="107"/>
      <c r="FE351" s="107"/>
      <c r="FF351" s="107"/>
      <c r="FG351" s="106"/>
      <c r="FH351" s="107"/>
      <c r="FI351" s="107"/>
      <c r="FJ351" s="107"/>
      <c r="FK351" s="107"/>
      <c r="FL351" s="106"/>
      <c r="FM351" s="107"/>
      <c r="FN351" s="107"/>
      <c r="FO351" s="107"/>
      <c r="FP351" s="107"/>
      <c r="FQ351" s="106"/>
      <c r="FR351" s="107"/>
      <c r="FS351" s="107"/>
      <c r="FT351" s="107"/>
      <c r="FU351" s="107"/>
      <c r="FV351" s="106"/>
      <c r="FW351" s="107"/>
      <c r="FX351" s="107"/>
      <c r="FY351" s="107"/>
      <c r="FZ351" s="107"/>
      <c r="GA351" s="106"/>
      <c r="GB351" s="107"/>
      <c r="GC351" s="107"/>
      <c r="GD351" s="107"/>
      <c r="GE351" s="107"/>
      <c r="GF351" s="106"/>
      <c r="GG351" s="107"/>
      <c r="GH351" s="107"/>
      <c r="GI351" s="107"/>
      <c r="GJ351" s="107"/>
    </row>
    <row r="352" spans="1:192" s="93" customFormat="1" ht="12.75" customHeight="1">
      <c r="A352" s="68"/>
      <c r="B352" s="677"/>
      <c r="C352" s="106"/>
      <c r="D352" s="107"/>
      <c r="E352" s="107"/>
      <c r="F352" s="107"/>
      <c r="G352" s="107"/>
      <c r="H352" s="106"/>
      <c r="I352" s="107"/>
      <c r="J352" s="107"/>
      <c r="K352" s="107"/>
      <c r="L352" s="107"/>
      <c r="M352" s="106"/>
      <c r="N352" s="107"/>
      <c r="O352" s="107"/>
      <c r="P352" s="107"/>
      <c r="Q352" s="107"/>
      <c r="R352" s="106"/>
      <c r="S352" s="107"/>
      <c r="T352" s="107"/>
      <c r="U352" s="107"/>
      <c r="V352" s="107"/>
      <c r="W352" s="106"/>
      <c r="X352" s="107"/>
      <c r="Y352" s="107"/>
      <c r="Z352" s="107"/>
      <c r="AA352" s="107"/>
      <c r="AB352" s="106"/>
      <c r="AC352" s="107"/>
      <c r="AD352" s="107"/>
      <c r="AE352" s="107"/>
      <c r="AF352" s="107"/>
      <c r="AG352" s="106"/>
      <c r="AH352" s="107"/>
      <c r="AI352" s="107"/>
      <c r="AJ352" s="107"/>
      <c r="AK352" s="107"/>
      <c r="AL352" s="106"/>
      <c r="AM352" s="107"/>
      <c r="AN352" s="107"/>
      <c r="AO352" s="107"/>
      <c r="AP352" s="107"/>
      <c r="AQ352" s="106"/>
      <c r="AR352" s="107"/>
      <c r="AS352" s="107"/>
      <c r="AT352" s="107"/>
      <c r="AU352" s="107"/>
      <c r="AV352" s="106"/>
      <c r="AW352" s="107"/>
      <c r="AX352" s="107"/>
      <c r="AY352" s="107"/>
      <c r="AZ352" s="107"/>
      <c r="BA352" s="106"/>
      <c r="BB352" s="107"/>
      <c r="BC352" s="107"/>
      <c r="BD352" s="107"/>
      <c r="BE352" s="107"/>
      <c r="BF352" s="106"/>
      <c r="BG352" s="107"/>
      <c r="BH352" s="107"/>
      <c r="BI352" s="107"/>
      <c r="BJ352" s="107"/>
      <c r="BK352" s="106"/>
      <c r="BL352" s="107"/>
      <c r="BM352" s="107"/>
      <c r="BN352" s="107"/>
      <c r="BO352" s="107"/>
      <c r="BP352" s="106"/>
      <c r="BQ352" s="107"/>
      <c r="BR352" s="107"/>
      <c r="BS352" s="107"/>
      <c r="BT352" s="107"/>
      <c r="BU352" s="106"/>
      <c r="BV352" s="107"/>
      <c r="BW352" s="107"/>
      <c r="BX352" s="107"/>
      <c r="BY352" s="107"/>
      <c r="BZ352" s="106"/>
      <c r="CA352" s="107"/>
      <c r="CB352" s="107"/>
      <c r="CC352" s="107"/>
      <c r="CD352" s="107"/>
      <c r="CE352" s="106"/>
      <c r="CF352" s="107"/>
      <c r="CG352" s="107"/>
      <c r="CH352" s="107"/>
      <c r="CI352" s="107"/>
      <c r="CJ352" s="106"/>
      <c r="CK352" s="107"/>
      <c r="CL352" s="107"/>
      <c r="CM352" s="107"/>
      <c r="CN352" s="107"/>
      <c r="CO352" s="106"/>
      <c r="CP352" s="107"/>
      <c r="CQ352" s="107"/>
      <c r="CR352" s="107"/>
      <c r="CS352" s="107"/>
      <c r="CT352" s="106"/>
      <c r="CU352" s="107"/>
      <c r="CV352" s="107"/>
      <c r="CW352" s="107"/>
      <c r="CX352" s="107"/>
      <c r="CY352" s="106"/>
      <c r="CZ352" s="107"/>
      <c r="DA352" s="107"/>
      <c r="DB352" s="107"/>
      <c r="DC352" s="107"/>
      <c r="DD352" s="106"/>
      <c r="DE352" s="107"/>
      <c r="DF352" s="107"/>
      <c r="DG352" s="107"/>
      <c r="DH352" s="107"/>
      <c r="DI352" s="106"/>
      <c r="DJ352" s="107"/>
      <c r="DK352" s="107"/>
      <c r="DL352" s="107"/>
      <c r="DM352" s="107"/>
      <c r="DN352" s="106"/>
      <c r="DO352" s="107"/>
      <c r="DP352" s="107"/>
      <c r="DQ352" s="107"/>
      <c r="DR352" s="107"/>
      <c r="DS352" s="106"/>
      <c r="DT352" s="107"/>
      <c r="DU352" s="107"/>
      <c r="DV352" s="107"/>
      <c r="DW352" s="107"/>
      <c r="DX352" s="106"/>
      <c r="DY352" s="107"/>
      <c r="DZ352" s="107"/>
      <c r="EA352" s="107"/>
      <c r="EB352" s="107"/>
      <c r="EC352" s="106"/>
      <c r="ED352" s="107"/>
      <c r="EE352" s="107"/>
      <c r="EF352" s="107"/>
      <c r="EG352" s="107"/>
      <c r="EH352" s="106"/>
      <c r="EI352" s="107"/>
      <c r="EJ352" s="107"/>
      <c r="EK352" s="107"/>
      <c r="EL352" s="107"/>
      <c r="EM352" s="106"/>
      <c r="EN352" s="107"/>
      <c r="EO352" s="107"/>
      <c r="EP352" s="107"/>
      <c r="EQ352" s="107"/>
      <c r="ER352" s="106"/>
      <c r="ES352" s="107"/>
      <c r="ET352" s="107"/>
      <c r="EU352" s="107"/>
      <c r="EV352" s="107"/>
      <c r="EW352" s="106"/>
      <c r="EX352" s="107"/>
      <c r="EY352" s="107"/>
      <c r="EZ352" s="107"/>
      <c r="FA352" s="107"/>
      <c r="FB352" s="106"/>
      <c r="FC352" s="107"/>
      <c r="FD352" s="107"/>
      <c r="FE352" s="107"/>
      <c r="FF352" s="107"/>
      <c r="FG352" s="106"/>
      <c r="FH352" s="107"/>
      <c r="FI352" s="107"/>
      <c r="FJ352" s="107"/>
      <c r="FK352" s="107"/>
      <c r="FL352" s="106"/>
      <c r="FM352" s="107"/>
      <c r="FN352" s="107"/>
      <c r="FO352" s="107"/>
      <c r="FP352" s="107"/>
      <c r="FQ352" s="106"/>
      <c r="FR352" s="107"/>
      <c r="FS352" s="107"/>
      <c r="FT352" s="107"/>
      <c r="FU352" s="107"/>
      <c r="FV352" s="106"/>
      <c r="FW352" s="107"/>
      <c r="FX352" s="107"/>
      <c r="FY352" s="107"/>
      <c r="FZ352" s="107"/>
      <c r="GA352" s="106"/>
      <c r="GB352" s="107"/>
      <c r="GC352" s="107"/>
      <c r="GD352" s="107"/>
      <c r="GE352" s="107"/>
      <c r="GF352" s="106"/>
      <c r="GG352" s="107"/>
      <c r="GH352" s="107"/>
      <c r="GI352" s="107"/>
      <c r="GJ352" s="107"/>
    </row>
    <row r="353" spans="1:192" s="93" customFormat="1" ht="12.75" customHeight="1">
      <c r="A353" s="68"/>
      <c r="B353" s="677"/>
      <c r="C353" s="192"/>
      <c r="D353" s="193"/>
      <c r="E353" s="193"/>
      <c r="F353" s="193"/>
      <c r="G353" s="193"/>
      <c r="H353" s="192"/>
      <c r="I353" s="193"/>
      <c r="J353" s="193"/>
      <c r="K353" s="193"/>
      <c r="L353" s="193"/>
      <c r="M353" s="192"/>
      <c r="N353" s="193"/>
      <c r="O353" s="193"/>
      <c r="P353" s="193"/>
      <c r="Q353" s="193"/>
      <c r="R353" s="192"/>
      <c r="S353" s="193"/>
      <c r="T353" s="193"/>
      <c r="U353" s="193"/>
      <c r="V353" s="193"/>
      <c r="W353" s="192"/>
      <c r="X353" s="193"/>
      <c r="Y353" s="193"/>
      <c r="Z353" s="193"/>
      <c r="AA353" s="193"/>
      <c r="AB353" s="192"/>
      <c r="AC353" s="193"/>
      <c r="AD353" s="193"/>
      <c r="AE353" s="193"/>
      <c r="AF353" s="193"/>
      <c r="AG353" s="192"/>
      <c r="AH353" s="193"/>
      <c r="AI353" s="193"/>
      <c r="AJ353" s="193"/>
      <c r="AK353" s="193"/>
      <c r="AL353" s="192"/>
      <c r="AM353" s="193"/>
      <c r="AN353" s="193"/>
      <c r="AO353" s="193"/>
      <c r="AP353" s="193"/>
      <c r="AQ353" s="192"/>
      <c r="AR353" s="193"/>
      <c r="AS353" s="193"/>
      <c r="AT353" s="193"/>
      <c r="AU353" s="193"/>
      <c r="AV353" s="192"/>
      <c r="AW353" s="193"/>
      <c r="AX353" s="193"/>
      <c r="AY353" s="193"/>
      <c r="AZ353" s="193"/>
      <c r="BA353" s="192"/>
      <c r="BB353" s="193"/>
      <c r="BC353" s="193"/>
      <c r="BD353" s="193"/>
      <c r="BE353" s="193"/>
      <c r="BF353" s="192"/>
      <c r="BG353" s="193"/>
      <c r="BH353" s="193"/>
      <c r="BI353" s="193"/>
      <c r="BJ353" s="193"/>
      <c r="BK353" s="192"/>
      <c r="BL353" s="193"/>
      <c r="BM353" s="193"/>
      <c r="BN353" s="193"/>
      <c r="BO353" s="193"/>
      <c r="BP353" s="192"/>
      <c r="BQ353" s="193"/>
      <c r="BR353" s="193"/>
      <c r="BS353" s="193"/>
      <c r="BT353" s="193"/>
      <c r="BU353" s="192"/>
      <c r="BV353" s="193"/>
      <c r="BW353" s="193"/>
      <c r="BX353" s="193"/>
      <c r="BY353" s="193"/>
      <c r="BZ353" s="192"/>
      <c r="CA353" s="193"/>
      <c r="CB353" s="193"/>
      <c r="CC353" s="193"/>
      <c r="CD353" s="193"/>
      <c r="CE353" s="192"/>
      <c r="CF353" s="193"/>
      <c r="CG353" s="193"/>
      <c r="CH353" s="193"/>
      <c r="CI353" s="193"/>
      <c r="CJ353" s="192"/>
      <c r="CK353" s="193"/>
      <c r="CL353" s="193"/>
      <c r="CM353" s="193"/>
      <c r="CN353" s="193"/>
      <c r="CO353" s="192"/>
      <c r="CP353" s="193"/>
      <c r="CQ353" s="193"/>
      <c r="CR353" s="193"/>
      <c r="CS353" s="193"/>
      <c r="CT353" s="192"/>
      <c r="CU353" s="193"/>
      <c r="CV353" s="193"/>
      <c r="CW353" s="193"/>
      <c r="CX353" s="193"/>
      <c r="CY353" s="192"/>
      <c r="CZ353" s="193"/>
      <c r="DA353" s="193"/>
      <c r="DB353" s="193"/>
      <c r="DC353" s="193"/>
      <c r="DD353" s="192"/>
      <c r="DE353" s="193"/>
      <c r="DF353" s="193"/>
      <c r="DG353" s="193"/>
      <c r="DH353" s="193"/>
      <c r="DI353" s="192"/>
      <c r="DJ353" s="193"/>
      <c r="DK353" s="193"/>
      <c r="DL353" s="193"/>
      <c r="DM353" s="193"/>
      <c r="DN353" s="192"/>
      <c r="DO353" s="193"/>
      <c r="DP353" s="193"/>
      <c r="DQ353" s="193"/>
      <c r="DR353" s="193"/>
      <c r="DS353" s="192"/>
      <c r="DT353" s="193"/>
      <c r="DU353" s="193"/>
      <c r="DV353" s="193"/>
      <c r="DW353" s="193"/>
      <c r="DX353" s="192"/>
      <c r="DY353" s="193"/>
      <c r="DZ353" s="193"/>
      <c r="EA353" s="193"/>
      <c r="EB353" s="193"/>
      <c r="EC353" s="192"/>
      <c r="ED353" s="193"/>
      <c r="EE353" s="193"/>
      <c r="EF353" s="193"/>
      <c r="EG353" s="193"/>
      <c r="EH353" s="192"/>
      <c r="EI353" s="193"/>
      <c r="EJ353" s="193"/>
      <c r="EK353" s="193"/>
      <c r="EL353" s="193"/>
      <c r="EM353" s="192"/>
      <c r="EN353" s="193"/>
      <c r="EO353" s="193"/>
      <c r="EP353" s="193"/>
      <c r="EQ353" s="193"/>
      <c r="ER353" s="192"/>
      <c r="ES353" s="193"/>
      <c r="ET353" s="193"/>
      <c r="EU353" s="193"/>
      <c r="EV353" s="193"/>
      <c r="EW353" s="192"/>
      <c r="EX353" s="193"/>
      <c r="EY353" s="193"/>
      <c r="EZ353" s="193"/>
      <c r="FA353" s="193"/>
      <c r="FB353" s="192"/>
      <c r="FC353" s="193"/>
      <c r="FD353" s="193"/>
      <c r="FE353" s="193"/>
      <c r="FF353" s="193"/>
      <c r="FG353" s="192"/>
      <c r="FH353" s="193"/>
      <c r="FI353" s="193"/>
      <c r="FJ353" s="193"/>
      <c r="FK353" s="193"/>
      <c r="FL353" s="192"/>
      <c r="FM353" s="193"/>
      <c r="FN353" s="193"/>
      <c r="FO353" s="193"/>
      <c r="FP353" s="193"/>
      <c r="FQ353" s="192"/>
      <c r="FR353" s="193"/>
      <c r="FS353" s="193"/>
      <c r="FT353" s="193"/>
      <c r="FU353" s="193"/>
      <c r="FV353" s="192"/>
      <c r="FW353" s="193"/>
      <c r="FX353" s="193"/>
      <c r="FY353" s="193"/>
      <c r="FZ353" s="193"/>
      <c r="GA353" s="192"/>
      <c r="GB353" s="193"/>
      <c r="GC353" s="193"/>
      <c r="GD353" s="193"/>
      <c r="GE353" s="193"/>
      <c r="GF353" s="192"/>
      <c r="GG353" s="193"/>
      <c r="GH353" s="193"/>
      <c r="GI353" s="193"/>
      <c r="GJ353" s="193"/>
    </row>
    <row r="354" spans="1:192" s="93" customFormat="1" ht="12.75" customHeight="1">
      <c r="A354" s="68"/>
      <c r="B354" s="677"/>
      <c r="C354" s="181"/>
      <c r="D354" s="182"/>
      <c r="E354" s="182"/>
      <c r="F354" s="182"/>
      <c r="G354" s="182"/>
      <c r="H354" s="181"/>
      <c r="I354" s="182"/>
      <c r="J354" s="182"/>
      <c r="K354" s="182"/>
      <c r="L354" s="182"/>
      <c r="M354" s="181"/>
      <c r="N354" s="182"/>
      <c r="O354" s="182"/>
      <c r="P354" s="182"/>
      <c r="Q354" s="182"/>
      <c r="R354" s="181"/>
      <c r="S354" s="182"/>
      <c r="T354" s="182"/>
      <c r="U354" s="182"/>
      <c r="V354" s="182"/>
      <c r="W354" s="181"/>
      <c r="X354" s="182"/>
      <c r="Y354" s="182"/>
      <c r="Z354" s="182"/>
      <c r="AA354" s="182"/>
      <c r="AB354" s="181"/>
      <c r="AC354" s="182"/>
      <c r="AD354" s="182"/>
      <c r="AE354" s="182"/>
      <c r="AF354" s="182"/>
      <c r="AG354" s="181"/>
      <c r="AH354" s="182"/>
      <c r="AI354" s="182"/>
      <c r="AJ354" s="182"/>
      <c r="AK354" s="182"/>
      <c r="AL354" s="181"/>
      <c r="AM354" s="182"/>
      <c r="AN354" s="182"/>
      <c r="AO354" s="182"/>
      <c r="AP354" s="182"/>
      <c r="AQ354" s="181"/>
      <c r="AR354" s="182"/>
      <c r="AS354" s="182"/>
      <c r="AT354" s="182"/>
      <c r="AU354" s="182"/>
      <c r="AV354" s="181"/>
      <c r="AW354" s="182"/>
      <c r="AX354" s="182"/>
      <c r="AY354" s="182"/>
      <c r="AZ354" s="182"/>
      <c r="BA354" s="181"/>
      <c r="BB354" s="182"/>
      <c r="BC354" s="182"/>
      <c r="BD354" s="182"/>
      <c r="BE354" s="182"/>
      <c r="BF354" s="181"/>
      <c r="BG354" s="182"/>
      <c r="BH354" s="182"/>
      <c r="BI354" s="182"/>
      <c r="BJ354" s="182"/>
      <c r="BK354" s="181"/>
      <c r="BL354" s="182"/>
      <c r="BM354" s="182"/>
      <c r="BN354" s="182"/>
      <c r="BO354" s="182"/>
      <c r="BP354" s="181"/>
      <c r="BQ354" s="182"/>
      <c r="BR354" s="182"/>
      <c r="BS354" s="182"/>
      <c r="BT354" s="182"/>
      <c r="BU354" s="181"/>
      <c r="BV354" s="182"/>
      <c r="BW354" s="182"/>
      <c r="BX354" s="182"/>
      <c r="BY354" s="182"/>
      <c r="BZ354" s="181"/>
      <c r="CA354" s="182"/>
      <c r="CB354" s="182"/>
      <c r="CC354" s="182"/>
      <c r="CD354" s="182"/>
      <c r="CE354" s="181"/>
      <c r="CF354" s="182"/>
      <c r="CG354" s="182"/>
      <c r="CH354" s="182"/>
      <c r="CI354" s="182"/>
      <c r="CJ354" s="181"/>
      <c r="CK354" s="182"/>
      <c r="CL354" s="182"/>
      <c r="CM354" s="182"/>
      <c r="CN354" s="182"/>
      <c r="CO354" s="181"/>
      <c r="CP354" s="182"/>
      <c r="CQ354" s="182"/>
      <c r="CR354" s="182"/>
      <c r="CS354" s="182"/>
      <c r="CT354" s="181"/>
      <c r="CU354" s="182"/>
      <c r="CV354" s="182"/>
      <c r="CW354" s="182"/>
      <c r="CX354" s="182"/>
      <c r="CY354" s="181"/>
      <c r="CZ354" s="182"/>
      <c r="DA354" s="182"/>
      <c r="DB354" s="182"/>
      <c r="DC354" s="182"/>
      <c r="DD354" s="181"/>
      <c r="DE354" s="182"/>
      <c r="DF354" s="182"/>
      <c r="DG354" s="182"/>
      <c r="DH354" s="182"/>
      <c r="DI354" s="181"/>
      <c r="DJ354" s="182"/>
      <c r="DK354" s="182"/>
      <c r="DL354" s="182"/>
      <c r="DM354" s="182"/>
      <c r="DN354" s="181"/>
      <c r="DO354" s="182"/>
      <c r="DP354" s="182"/>
      <c r="DQ354" s="182"/>
      <c r="DR354" s="182"/>
      <c r="DS354" s="181"/>
      <c r="DT354" s="182"/>
      <c r="DU354" s="182"/>
      <c r="DV354" s="182"/>
      <c r="DW354" s="182"/>
      <c r="DX354" s="181"/>
      <c r="DY354" s="182"/>
      <c r="DZ354" s="182"/>
      <c r="EA354" s="182"/>
      <c r="EB354" s="182"/>
      <c r="EC354" s="181"/>
      <c r="ED354" s="182"/>
      <c r="EE354" s="182"/>
      <c r="EF354" s="182"/>
      <c r="EG354" s="182"/>
      <c r="EH354" s="181"/>
      <c r="EI354" s="182"/>
      <c r="EJ354" s="182"/>
      <c r="EK354" s="182"/>
      <c r="EL354" s="182"/>
      <c r="EM354" s="181"/>
      <c r="EN354" s="182"/>
      <c r="EO354" s="182"/>
      <c r="EP354" s="182"/>
      <c r="EQ354" s="182"/>
      <c r="ER354" s="181"/>
      <c r="ES354" s="182"/>
      <c r="ET354" s="182"/>
      <c r="EU354" s="182"/>
      <c r="EV354" s="182"/>
      <c r="EW354" s="181"/>
      <c r="EX354" s="182"/>
      <c r="EY354" s="182"/>
      <c r="EZ354" s="182"/>
      <c r="FA354" s="182"/>
      <c r="FB354" s="181"/>
      <c r="FC354" s="182"/>
      <c r="FD354" s="182"/>
      <c r="FE354" s="182"/>
      <c r="FF354" s="182"/>
      <c r="FG354" s="181"/>
      <c r="FH354" s="182"/>
      <c r="FI354" s="182"/>
      <c r="FJ354" s="182"/>
      <c r="FK354" s="182"/>
      <c r="FL354" s="181"/>
      <c r="FM354" s="182"/>
      <c r="FN354" s="182"/>
      <c r="FO354" s="182"/>
      <c r="FP354" s="182"/>
      <c r="FQ354" s="181"/>
      <c r="FR354" s="182"/>
      <c r="FS354" s="182"/>
      <c r="FT354" s="182"/>
      <c r="FU354" s="182"/>
      <c r="FV354" s="181"/>
      <c r="FW354" s="182"/>
      <c r="FX354" s="182"/>
      <c r="FY354" s="182"/>
      <c r="FZ354" s="182"/>
      <c r="GA354" s="181"/>
      <c r="GB354" s="182"/>
      <c r="GC354" s="182"/>
      <c r="GD354" s="182"/>
      <c r="GE354" s="182"/>
      <c r="GF354" s="181"/>
      <c r="GG354" s="182"/>
      <c r="GH354" s="182"/>
      <c r="GI354" s="182"/>
      <c r="GJ354" s="182"/>
    </row>
    <row r="355" spans="1:192" s="93" customFormat="1" ht="12.75" customHeight="1">
      <c r="A355" s="68"/>
      <c r="B355" s="677"/>
      <c r="C355" s="106"/>
      <c r="D355" s="107"/>
      <c r="E355" s="107"/>
      <c r="F355" s="107"/>
      <c r="G355" s="107"/>
      <c r="H355" s="106"/>
      <c r="I355" s="107"/>
      <c r="J355" s="107"/>
      <c r="K355" s="107"/>
      <c r="L355" s="107"/>
      <c r="M355" s="106"/>
      <c r="N355" s="107"/>
      <c r="O355" s="107"/>
      <c r="P355" s="107"/>
      <c r="Q355" s="107"/>
      <c r="R355" s="106"/>
      <c r="S355" s="107"/>
      <c r="T355" s="107"/>
      <c r="U355" s="107"/>
      <c r="V355" s="107"/>
      <c r="W355" s="106"/>
      <c r="X355" s="107"/>
      <c r="Y355" s="107"/>
      <c r="Z355" s="107"/>
      <c r="AA355" s="107"/>
      <c r="AB355" s="106"/>
      <c r="AC355" s="107"/>
      <c r="AD355" s="107"/>
      <c r="AE355" s="107"/>
      <c r="AF355" s="107"/>
      <c r="AG355" s="106"/>
      <c r="AH355" s="107"/>
      <c r="AI355" s="107"/>
      <c r="AJ355" s="107"/>
      <c r="AK355" s="107"/>
      <c r="AL355" s="106"/>
      <c r="AM355" s="107"/>
      <c r="AN355" s="107"/>
      <c r="AO355" s="107"/>
      <c r="AP355" s="107"/>
      <c r="AQ355" s="106"/>
      <c r="AR355" s="107"/>
      <c r="AS355" s="107"/>
      <c r="AT355" s="107"/>
      <c r="AU355" s="107"/>
      <c r="AV355" s="106"/>
      <c r="AW355" s="107"/>
      <c r="AX355" s="107"/>
      <c r="AY355" s="107"/>
      <c r="AZ355" s="107"/>
      <c r="BA355" s="106"/>
      <c r="BB355" s="107"/>
      <c r="BC355" s="107"/>
      <c r="BD355" s="107"/>
      <c r="BE355" s="107"/>
      <c r="BF355" s="106"/>
      <c r="BG355" s="107"/>
      <c r="BH355" s="107"/>
      <c r="BI355" s="107"/>
      <c r="BJ355" s="107"/>
      <c r="BK355" s="106"/>
      <c r="BL355" s="107"/>
      <c r="BM355" s="107"/>
      <c r="BN355" s="107"/>
      <c r="BO355" s="107"/>
      <c r="BP355" s="106"/>
      <c r="BQ355" s="107"/>
      <c r="BR355" s="107"/>
      <c r="BS355" s="107"/>
      <c r="BT355" s="107"/>
      <c r="BU355" s="106"/>
      <c r="BV355" s="107"/>
      <c r="BW355" s="107"/>
      <c r="BX355" s="107"/>
      <c r="BY355" s="107"/>
      <c r="BZ355" s="106"/>
      <c r="CA355" s="107"/>
      <c r="CB355" s="107"/>
      <c r="CC355" s="107"/>
      <c r="CD355" s="107"/>
      <c r="CE355" s="106"/>
      <c r="CF355" s="107"/>
      <c r="CG355" s="107"/>
      <c r="CH355" s="107"/>
      <c r="CI355" s="107"/>
      <c r="CJ355" s="106"/>
      <c r="CK355" s="107"/>
      <c r="CL355" s="107"/>
      <c r="CM355" s="107"/>
      <c r="CN355" s="107"/>
      <c r="CO355" s="106"/>
      <c r="CP355" s="107"/>
      <c r="CQ355" s="107"/>
      <c r="CR355" s="107"/>
      <c r="CS355" s="107"/>
      <c r="CT355" s="106"/>
      <c r="CU355" s="107"/>
      <c r="CV355" s="107"/>
      <c r="CW355" s="107"/>
      <c r="CX355" s="107"/>
      <c r="CY355" s="106"/>
      <c r="CZ355" s="107"/>
      <c r="DA355" s="107"/>
      <c r="DB355" s="107"/>
      <c r="DC355" s="107"/>
      <c r="DD355" s="106"/>
      <c r="DE355" s="107"/>
      <c r="DF355" s="107"/>
      <c r="DG355" s="107"/>
      <c r="DH355" s="107"/>
      <c r="DI355" s="106"/>
      <c r="DJ355" s="107"/>
      <c r="DK355" s="107"/>
      <c r="DL355" s="107"/>
      <c r="DM355" s="107"/>
      <c r="DN355" s="106"/>
      <c r="DO355" s="107"/>
      <c r="DP355" s="107"/>
      <c r="DQ355" s="107"/>
      <c r="DR355" s="107"/>
      <c r="DS355" s="106"/>
      <c r="DT355" s="107"/>
      <c r="DU355" s="107"/>
      <c r="DV355" s="107"/>
      <c r="DW355" s="107"/>
      <c r="DX355" s="106"/>
      <c r="DY355" s="107"/>
      <c r="DZ355" s="107"/>
      <c r="EA355" s="107"/>
      <c r="EB355" s="107"/>
      <c r="EC355" s="106"/>
      <c r="ED355" s="107"/>
      <c r="EE355" s="107"/>
      <c r="EF355" s="107"/>
      <c r="EG355" s="107"/>
      <c r="EH355" s="106"/>
      <c r="EI355" s="107"/>
      <c r="EJ355" s="107"/>
      <c r="EK355" s="107"/>
      <c r="EL355" s="107"/>
      <c r="EM355" s="106"/>
      <c r="EN355" s="107"/>
      <c r="EO355" s="107"/>
      <c r="EP355" s="107"/>
      <c r="EQ355" s="107"/>
      <c r="ER355" s="106"/>
      <c r="ES355" s="107"/>
      <c r="ET355" s="107"/>
      <c r="EU355" s="107"/>
      <c r="EV355" s="107"/>
      <c r="EW355" s="106"/>
      <c r="EX355" s="107"/>
      <c r="EY355" s="107"/>
      <c r="EZ355" s="107"/>
      <c r="FA355" s="107"/>
      <c r="FB355" s="106"/>
      <c r="FC355" s="107"/>
      <c r="FD355" s="107"/>
      <c r="FE355" s="107"/>
      <c r="FF355" s="107"/>
      <c r="FG355" s="106"/>
      <c r="FH355" s="107"/>
      <c r="FI355" s="107"/>
      <c r="FJ355" s="107"/>
      <c r="FK355" s="107"/>
      <c r="FL355" s="106"/>
      <c r="FM355" s="107"/>
      <c r="FN355" s="107"/>
      <c r="FO355" s="107"/>
      <c r="FP355" s="107"/>
      <c r="FQ355" s="106"/>
      <c r="FR355" s="107"/>
      <c r="FS355" s="107"/>
      <c r="FT355" s="107"/>
      <c r="FU355" s="107"/>
      <c r="FV355" s="106"/>
      <c r="FW355" s="107"/>
      <c r="FX355" s="107"/>
      <c r="FY355" s="107"/>
      <c r="FZ355" s="107"/>
      <c r="GA355" s="106"/>
      <c r="GB355" s="107"/>
      <c r="GC355" s="107"/>
      <c r="GD355" s="107"/>
      <c r="GE355" s="107"/>
      <c r="GF355" s="106"/>
      <c r="GG355" s="107"/>
      <c r="GH355" s="107"/>
      <c r="GI355" s="107"/>
      <c r="GJ355" s="107"/>
    </row>
    <row r="356" spans="1:192" s="93" customFormat="1" ht="12.75" customHeight="1">
      <c r="A356" s="68"/>
      <c r="B356" s="677"/>
      <c r="C356" s="139"/>
      <c r="D356" s="105"/>
      <c r="E356" s="105"/>
      <c r="F356" s="105"/>
      <c r="G356" s="105"/>
      <c r="H356" s="139"/>
      <c r="I356" s="105"/>
      <c r="J356" s="105"/>
      <c r="K356" s="105"/>
      <c r="L356" s="105"/>
      <c r="M356" s="139"/>
      <c r="N356" s="105"/>
      <c r="O356" s="105"/>
      <c r="P356" s="105"/>
      <c r="Q356" s="105"/>
      <c r="R356" s="139"/>
      <c r="S356" s="105"/>
      <c r="T356" s="105"/>
      <c r="U356" s="105"/>
      <c r="V356" s="105"/>
      <c r="W356" s="139"/>
      <c r="X356" s="105"/>
      <c r="Y356" s="105"/>
      <c r="Z356" s="105"/>
      <c r="AA356" s="105"/>
      <c r="AB356" s="139"/>
      <c r="AC356" s="105"/>
      <c r="AD356" s="105"/>
      <c r="AE356" s="105"/>
      <c r="AF356" s="105"/>
      <c r="AG356" s="139"/>
      <c r="AH356" s="105"/>
      <c r="AI356" s="105"/>
      <c r="AJ356" s="105"/>
      <c r="AK356" s="105"/>
      <c r="AL356" s="139"/>
      <c r="AM356" s="105"/>
      <c r="AN356" s="105"/>
      <c r="AO356" s="105"/>
      <c r="AP356" s="105"/>
      <c r="AQ356" s="139"/>
      <c r="AR356" s="105"/>
      <c r="AS356" s="105"/>
      <c r="AT356" s="105"/>
      <c r="AU356" s="105"/>
      <c r="AV356" s="139"/>
      <c r="AW356" s="105"/>
      <c r="AX356" s="105"/>
      <c r="AY356" s="105"/>
      <c r="AZ356" s="105"/>
      <c r="BA356" s="139"/>
      <c r="BB356" s="105"/>
      <c r="BC356" s="105"/>
      <c r="BD356" s="105"/>
      <c r="BE356" s="105"/>
      <c r="BF356" s="139"/>
      <c r="BG356" s="105"/>
      <c r="BH356" s="105"/>
      <c r="BI356" s="105"/>
      <c r="BJ356" s="105"/>
      <c r="BK356" s="139"/>
      <c r="BL356" s="105"/>
      <c r="BM356" s="105"/>
      <c r="BN356" s="105"/>
      <c r="BO356" s="105"/>
      <c r="BP356" s="139"/>
      <c r="BQ356" s="105"/>
      <c r="BR356" s="105"/>
      <c r="BS356" s="105"/>
      <c r="BT356" s="105"/>
      <c r="BU356" s="139"/>
      <c r="BV356" s="105"/>
      <c r="BW356" s="105"/>
      <c r="BX356" s="105"/>
      <c r="BY356" s="105"/>
      <c r="BZ356" s="139"/>
      <c r="CA356" s="105"/>
      <c r="CB356" s="105"/>
      <c r="CC356" s="105"/>
      <c r="CD356" s="105"/>
      <c r="CE356" s="139"/>
      <c r="CF356" s="105"/>
      <c r="CG356" s="105"/>
      <c r="CH356" s="105"/>
      <c r="CI356" s="105"/>
      <c r="CJ356" s="139"/>
      <c r="CK356" s="105"/>
      <c r="CL356" s="105"/>
      <c r="CM356" s="105"/>
      <c r="CN356" s="105"/>
      <c r="CO356" s="139"/>
      <c r="CP356" s="105"/>
      <c r="CQ356" s="105"/>
      <c r="CR356" s="105"/>
      <c r="CS356" s="105"/>
      <c r="CT356" s="139"/>
      <c r="CU356" s="105"/>
      <c r="CV356" s="105"/>
      <c r="CW356" s="105"/>
      <c r="CX356" s="105"/>
      <c r="CY356" s="139"/>
      <c r="CZ356" s="105"/>
      <c r="DA356" s="105"/>
      <c r="DB356" s="105"/>
      <c r="DC356" s="105"/>
      <c r="DD356" s="139"/>
      <c r="DE356" s="105"/>
      <c r="DF356" s="105"/>
      <c r="DG356" s="105"/>
      <c r="DH356" s="105"/>
      <c r="DI356" s="139"/>
      <c r="DJ356" s="105"/>
      <c r="DK356" s="105"/>
      <c r="DL356" s="105"/>
      <c r="DM356" s="105"/>
      <c r="DN356" s="139"/>
      <c r="DO356" s="105"/>
      <c r="DP356" s="105"/>
      <c r="DQ356" s="105"/>
      <c r="DR356" s="105"/>
      <c r="DS356" s="139"/>
      <c r="DT356" s="105"/>
      <c r="DU356" s="105"/>
      <c r="DV356" s="105"/>
      <c r="DW356" s="105"/>
      <c r="DX356" s="139"/>
      <c r="DY356" s="105"/>
      <c r="DZ356" s="105"/>
      <c r="EA356" s="105"/>
      <c r="EB356" s="105"/>
      <c r="EC356" s="139"/>
      <c r="ED356" s="105"/>
      <c r="EE356" s="105"/>
      <c r="EF356" s="105"/>
      <c r="EG356" s="105"/>
      <c r="EH356" s="139"/>
      <c r="EI356" s="105"/>
      <c r="EJ356" s="105"/>
      <c r="EK356" s="105"/>
      <c r="EL356" s="105"/>
      <c r="EM356" s="139"/>
      <c r="EN356" s="105"/>
      <c r="EO356" s="105"/>
      <c r="EP356" s="105"/>
      <c r="EQ356" s="105"/>
      <c r="ER356" s="139"/>
      <c r="ES356" s="105"/>
      <c r="ET356" s="105"/>
      <c r="EU356" s="105"/>
      <c r="EV356" s="105"/>
      <c r="EW356" s="139"/>
      <c r="EX356" s="105"/>
      <c r="EY356" s="105"/>
      <c r="EZ356" s="105"/>
      <c r="FA356" s="105"/>
      <c r="FB356" s="139"/>
      <c r="FC356" s="105"/>
      <c r="FD356" s="105"/>
      <c r="FE356" s="105"/>
      <c r="FF356" s="105"/>
      <c r="FG356" s="139"/>
      <c r="FH356" s="105"/>
      <c r="FI356" s="105"/>
      <c r="FJ356" s="105"/>
      <c r="FK356" s="105"/>
      <c r="FL356" s="139"/>
      <c r="FM356" s="105"/>
      <c r="FN356" s="105"/>
      <c r="FO356" s="105"/>
      <c r="FP356" s="105"/>
      <c r="FQ356" s="139"/>
      <c r="FR356" s="105"/>
      <c r="FS356" s="105"/>
      <c r="FT356" s="105"/>
      <c r="FU356" s="105"/>
      <c r="FV356" s="139"/>
      <c r="FW356" s="105"/>
      <c r="FX356" s="105"/>
      <c r="FY356" s="105"/>
      <c r="FZ356" s="105"/>
      <c r="GA356" s="139"/>
      <c r="GB356" s="105"/>
      <c r="GC356" s="105"/>
      <c r="GD356" s="105"/>
      <c r="GE356" s="105"/>
      <c r="GF356" s="139"/>
      <c r="GG356" s="105"/>
      <c r="GH356" s="105"/>
      <c r="GI356" s="105"/>
      <c r="GJ356" s="105"/>
    </row>
    <row r="358" spans="1:192" s="93" customFormat="1" ht="12.75" customHeight="1">
      <c r="A358" s="68"/>
      <c r="B358" s="677"/>
      <c r="C358" s="188"/>
      <c r="D358" s="189"/>
      <c r="E358" s="189"/>
      <c r="F358" s="189"/>
      <c r="G358" s="189"/>
      <c r="H358" s="188"/>
      <c r="I358" s="189"/>
      <c r="J358" s="189"/>
      <c r="K358" s="189"/>
      <c r="L358" s="189"/>
      <c r="M358" s="188"/>
      <c r="N358" s="189"/>
      <c r="O358" s="189"/>
      <c r="P358" s="189"/>
      <c r="Q358" s="189"/>
      <c r="R358" s="188"/>
      <c r="S358" s="189"/>
      <c r="T358" s="189"/>
      <c r="U358" s="189"/>
      <c r="V358" s="189"/>
      <c r="W358" s="188"/>
      <c r="X358" s="189"/>
      <c r="Y358" s="189"/>
      <c r="Z358" s="189"/>
      <c r="AA358" s="189"/>
      <c r="AB358" s="188"/>
      <c r="AC358" s="189"/>
      <c r="AD358" s="189"/>
      <c r="AE358" s="189"/>
      <c r="AF358" s="189"/>
      <c r="AG358" s="188"/>
      <c r="AH358" s="189"/>
      <c r="AI358" s="189"/>
      <c r="AJ358" s="189"/>
      <c r="AK358" s="189"/>
      <c r="AL358" s="188"/>
      <c r="AM358" s="189"/>
      <c r="AN358" s="189"/>
      <c r="AO358" s="189"/>
      <c r="AP358" s="189"/>
      <c r="AQ358" s="188"/>
      <c r="AR358" s="189"/>
      <c r="AS358" s="189"/>
      <c r="AT358" s="189"/>
      <c r="AU358" s="189"/>
      <c r="AV358" s="188"/>
      <c r="AW358" s="189"/>
      <c r="AX358" s="189"/>
      <c r="AY358" s="189"/>
      <c r="AZ358" s="189"/>
      <c r="BA358" s="188"/>
      <c r="BB358" s="189"/>
      <c r="BC358" s="189"/>
      <c r="BD358" s="189"/>
      <c r="BE358" s="189"/>
      <c r="BF358" s="188"/>
      <c r="BG358" s="189"/>
      <c r="BH358" s="189"/>
      <c r="BI358" s="189"/>
      <c r="BJ358" s="189"/>
      <c r="BK358" s="188"/>
      <c r="BL358" s="189"/>
      <c r="BM358" s="189"/>
      <c r="BN358" s="189"/>
      <c r="BO358" s="189"/>
      <c r="BP358" s="188"/>
      <c r="BQ358" s="189"/>
      <c r="BR358" s="189"/>
      <c r="BS358" s="189"/>
      <c r="BT358" s="189"/>
      <c r="BU358" s="188"/>
      <c r="BV358" s="189"/>
      <c r="BW358" s="189"/>
      <c r="BX358" s="189"/>
      <c r="BY358" s="189"/>
      <c r="BZ358" s="188"/>
      <c r="CA358" s="189"/>
      <c r="CB358" s="189"/>
      <c r="CC358" s="189"/>
      <c r="CD358" s="189"/>
      <c r="CE358" s="188"/>
      <c r="CF358" s="189"/>
      <c r="CG358" s="189"/>
      <c r="CH358" s="189"/>
      <c r="CI358" s="189"/>
      <c r="CJ358" s="188"/>
      <c r="CK358" s="189"/>
      <c r="CL358" s="189"/>
      <c r="CM358" s="189"/>
      <c r="CN358" s="189"/>
      <c r="CO358" s="188"/>
      <c r="CP358" s="189"/>
      <c r="CQ358" s="189"/>
      <c r="CR358" s="189"/>
      <c r="CS358" s="189"/>
      <c r="CT358" s="188"/>
      <c r="CU358" s="189"/>
      <c r="CV358" s="189"/>
      <c r="CW358" s="189"/>
      <c r="CX358" s="189"/>
      <c r="CY358" s="188"/>
      <c r="CZ358" s="189"/>
      <c r="DA358" s="189"/>
      <c r="DB358" s="189"/>
      <c r="DC358" s="189"/>
      <c r="DD358" s="188"/>
      <c r="DE358" s="189"/>
      <c r="DF358" s="189"/>
      <c r="DG358" s="189"/>
      <c r="DH358" s="189"/>
      <c r="DI358" s="188"/>
      <c r="DJ358" s="189"/>
      <c r="DK358" s="189"/>
      <c r="DL358" s="189"/>
      <c r="DM358" s="189"/>
      <c r="DN358" s="188"/>
      <c r="DO358" s="189"/>
      <c r="DP358" s="189"/>
      <c r="DQ358" s="189"/>
      <c r="DR358" s="189"/>
      <c r="DS358" s="188"/>
      <c r="DT358" s="189"/>
      <c r="DU358" s="189"/>
      <c r="DV358" s="189"/>
      <c r="DW358" s="189"/>
      <c r="DX358" s="188"/>
      <c r="DY358" s="189"/>
      <c r="DZ358" s="189"/>
      <c r="EA358" s="189"/>
      <c r="EB358" s="189"/>
      <c r="EC358" s="188"/>
      <c r="ED358" s="189"/>
      <c r="EE358" s="189"/>
      <c r="EF358" s="189"/>
      <c r="EG358" s="189"/>
      <c r="EH358" s="188"/>
      <c r="EI358" s="189"/>
      <c r="EJ358" s="189"/>
      <c r="EK358" s="189"/>
      <c r="EL358" s="189"/>
      <c r="EM358" s="188"/>
      <c r="EN358" s="189"/>
      <c r="EO358" s="189"/>
      <c r="EP358" s="189"/>
      <c r="EQ358" s="189"/>
      <c r="ER358" s="188"/>
      <c r="ES358" s="189"/>
      <c r="ET358" s="189"/>
      <c r="EU358" s="189"/>
      <c r="EV358" s="189"/>
      <c r="EW358" s="188"/>
      <c r="EX358" s="189"/>
      <c r="EY358" s="189"/>
      <c r="EZ358" s="189"/>
      <c r="FA358" s="189"/>
      <c r="FB358" s="188"/>
      <c r="FC358" s="189"/>
      <c r="FD358" s="189"/>
      <c r="FE358" s="189"/>
      <c r="FF358" s="189"/>
      <c r="FG358" s="188"/>
      <c r="FH358" s="189"/>
      <c r="FI358" s="189"/>
      <c r="FJ358" s="189"/>
      <c r="FK358" s="189"/>
      <c r="FL358" s="188"/>
      <c r="FM358" s="189"/>
      <c r="FN358" s="189"/>
      <c r="FO358" s="189"/>
      <c r="FP358" s="189"/>
      <c r="FQ358" s="188"/>
      <c r="FR358" s="189"/>
      <c r="FS358" s="189"/>
      <c r="FT358" s="189"/>
      <c r="FU358" s="189"/>
      <c r="FV358" s="188"/>
      <c r="FW358" s="189"/>
      <c r="FX358" s="189"/>
      <c r="FY358" s="189"/>
      <c r="FZ358" s="189"/>
      <c r="GA358" s="188"/>
      <c r="GB358" s="189"/>
      <c r="GC358" s="189"/>
      <c r="GD358" s="189"/>
      <c r="GE358" s="189"/>
      <c r="GF358" s="188"/>
      <c r="GG358" s="189"/>
      <c r="GH358" s="189"/>
      <c r="GI358" s="189"/>
      <c r="GJ358" s="189"/>
    </row>
    <row r="359" spans="1:192" s="93" customFormat="1" ht="12.75" customHeight="1">
      <c r="A359" s="68"/>
      <c r="B359" s="677"/>
      <c r="C359" s="139"/>
      <c r="D359" s="105"/>
      <c r="E359" s="105"/>
      <c r="F359" s="105"/>
      <c r="G359" s="105"/>
      <c r="H359" s="139"/>
      <c r="I359" s="105"/>
      <c r="J359" s="105"/>
      <c r="K359" s="105"/>
      <c r="L359" s="105"/>
      <c r="M359" s="139"/>
      <c r="N359" s="105"/>
      <c r="O359" s="105"/>
      <c r="P359" s="105"/>
      <c r="Q359" s="105"/>
      <c r="R359" s="139"/>
      <c r="S359" s="105"/>
      <c r="T359" s="105"/>
      <c r="U359" s="105"/>
      <c r="V359" s="105"/>
      <c r="W359" s="139"/>
      <c r="X359" s="105"/>
      <c r="Y359" s="105"/>
      <c r="Z359" s="105"/>
      <c r="AA359" s="105"/>
      <c r="AB359" s="139"/>
      <c r="AC359" s="105"/>
      <c r="AD359" s="105"/>
      <c r="AE359" s="105"/>
      <c r="AF359" s="105"/>
      <c r="AG359" s="139"/>
      <c r="AH359" s="105"/>
      <c r="AI359" s="105"/>
      <c r="AJ359" s="105"/>
      <c r="AK359" s="105"/>
      <c r="AL359" s="139"/>
      <c r="AM359" s="105"/>
      <c r="AN359" s="105"/>
      <c r="AO359" s="105"/>
      <c r="AP359" s="105"/>
      <c r="AQ359" s="139"/>
      <c r="AR359" s="105"/>
      <c r="AS359" s="105"/>
      <c r="AT359" s="105"/>
      <c r="AU359" s="105"/>
      <c r="AV359" s="139"/>
      <c r="AW359" s="105"/>
      <c r="AX359" s="105"/>
      <c r="AY359" s="105"/>
      <c r="AZ359" s="105"/>
      <c r="BA359" s="139"/>
      <c r="BB359" s="105"/>
      <c r="BC359" s="105"/>
      <c r="BD359" s="105"/>
      <c r="BE359" s="105"/>
      <c r="BF359" s="139"/>
      <c r="BG359" s="105"/>
      <c r="BH359" s="105"/>
      <c r="BI359" s="105"/>
      <c r="BJ359" s="105"/>
      <c r="BK359" s="139"/>
      <c r="BL359" s="105"/>
      <c r="BM359" s="105"/>
      <c r="BN359" s="105"/>
      <c r="BO359" s="105"/>
      <c r="BP359" s="139"/>
      <c r="BQ359" s="105"/>
      <c r="BR359" s="105"/>
      <c r="BS359" s="105"/>
      <c r="BT359" s="105"/>
      <c r="BU359" s="139"/>
      <c r="BV359" s="105"/>
      <c r="BW359" s="105"/>
      <c r="BX359" s="105"/>
      <c r="BY359" s="105"/>
      <c r="BZ359" s="139"/>
      <c r="CA359" s="105"/>
      <c r="CB359" s="105"/>
      <c r="CC359" s="105"/>
      <c r="CD359" s="105"/>
      <c r="CE359" s="139"/>
      <c r="CF359" s="105"/>
      <c r="CG359" s="105"/>
      <c r="CH359" s="105"/>
      <c r="CI359" s="105"/>
      <c r="CJ359" s="139"/>
      <c r="CK359" s="105"/>
      <c r="CL359" s="105"/>
      <c r="CM359" s="105"/>
      <c r="CN359" s="105"/>
      <c r="CO359" s="139"/>
      <c r="CP359" s="105"/>
      <c r="CQ359" s="105"/>
      <c r="CR359" s="105"/>
      <c r="CS359" s="105"/>
      <c r="CT359" s="139"/>
      <c r="CU359" s="105"/>
      <c r="CV359" s="105"/>
      <c r="CW359" s="105"/>
      <c r="CX359" s="105"/>
      <c r="CY359" s="139"/>
      <c r="CZ359" s="105"/>
      <c r="DA359" s="105"/>
      <c r="DB359" s="105"/>
      <c r="DC359" s="105"/>
      <c r="DD359" s="139"/>
      <c r="DE359" s="105"/>
      <c r="DF359" s="105"/>
      <c r="DG359" s="105"/>
      <c r="DH359" s="105"/>
      <c r="DI359" s="139"/>
      <c r="DJ359" s="105"/>
      <c r="DK359" s="105"/>
      <c r="DL359" s="105"/>
      <c r="DM359" s="105"/>
      <c r="DN359" s="139"/>
      <c r="DO359" s="105"/>
      <c r="DP359" s="105"/>
      <c r="DQ359" s="105"/>
      <c r="DR359" s="105"/>
      <c r="DS359" s="139"/>
      <c r="DT359" s="105"/>
      <c r="DU359" s="105"/>
      <c r="DV359" s="105"/>
      <c r="DW359" s="105"/>
      <c r="DX359" s="139"/>
      <c r="DY359" s="105"/>
      <c r="DZ359" s="105"/>
      <c r="EA359" s="105"/>
      <c r="EB359" s="105"/>
      <c r="EC359" s="139"/>
      <c r="ED359" s="105"/>
      <c r="EE359" s="105"/>
      <c r="EF359" s="105"/>
      <c r="EG359" s="105"/>
      <c r="EH359" s="139"/>
      <c r="EI359" s="105"/>
      <c r="EJ359" s="105"/>
      <c r="EK359" s="105"/>
      <c r="EL359" s="105"/>
      <c r="EM359" s="139"/>
      <c r="EN359" s="105"/>
      <c r="EO359" s="105"/>
      <c r="EP359" s="105"/>
      <c r="EQ359" s="105"/>
      <c r="ER359" s="139"/>
      <c r="ES359" s="105"/>
      <c r="ET359" s="105"/>
      <c r="EU359" s="105"/>
      <c r="EV359" s="105"/>
      <c r="EW359" s="139"/>
      <c r="EX359" s="105"/>
      <c r="EY359" s="105"/>
      <c r="EZ359" s="105"/>
      <c r="FA359" s="105"/>
      <c r="FB359" s="139"/>
      <c r="FC359" s="105"/>
      <c r="FD359" s="105"/>
      <c r="FE359" s="105"/>
      <c r="FF359" s="105"/>
      <c r="FG359" s="139"/>
      <c r="FH359" s="105"/>
      <c r="FI359" s="105"/>
      <c r="FJ359" s="105"/>
      <c r="FK359" s="105"/>
      <c r="FL359" s="139"/>
      <c r="FM359" s="105"/>
      <c r="FN359" s="105"/>
      <c r="FO359" s="105"/>
      <c r="FP359" s="105"/>
      <c r="FQ359" s="139"/>
      <c r="FR359" s="105"/>
      <c r="FS359" s="105"/>
      <c r="FT359" s="105"/>
      <c r="FU359" s="105"/>
      <c r="FV359" s="139"/>
      <c r="FW359" s="105"/>
      <c r="FX359" s="105"/>
      <c r="FY359" s="105"/>
      <c r="FZ359" s="105"/>
      <c r="GA359" s="139"/>
      <c r="GB359" s="105"/>
      <c r="GC359" s="105"/>
      <c r="GD359" s="105"/>
      <c r="GE359" s="105"/>
      <c r="GF359" s="139"/>
      <c r="GG359" s="105"/>
      <c r="GH359" s="105"/>
      <c r="GI359" s="105"/>
      <c r="GJ359" s="105"/>
    </row>
    <row r="362" spans="1:192" s="93" customFormat="1" ht="12.75" customHeight="1">
      <c r="A362" s="68"/>
      <c r="B362" s="677"/>
      <c r="C362" s="183"/>
      <c r="D362" s="184"/>
      <c r="E362" s="184"/>
      <c r="F362" s="184"/>
      <c r="G362" s="184"/>
      <c r="H362" s="183"/>
      <c r="I362" s="184"/>
      <c r="J362" s="184"/>
      <c r="K362" s="184"/>
      <c r="L362" s="184"/>
      <c r="M362" s="183"/>
      <c r="N362" s="184"/>
      <c r="O362" s="184"/>
      <c r="P362" s="184"/>
      <c r="Q362" s="184"/>
      <c r="R362" s="183"/>
      <c r="S362" s="184"/>
      <c r="T362" s="184"/>
      <c r="U362" s="184"/>
      <c r="V362" s="184"/>
      <c r="W362" s="183"/>
      <c r="X362" s="184"/>
      <c r="Y362" s="184"/>
      <c r="Z362" s="184"/>
      <c r="AA362" s="184"/>
      <c r="AB362" s="183"/>
      <c r="AC362" s="184"/>
      <c r="AD362" s="184"/>
      <c r="AE362" s="184"/>
      <c r="AF362" s="184"/>
      <c r="AG362" s="183"/>
      <c r="AH362" s="184"/>
      <c r="AI362" s="184"/>
      <c r="AJ362" s="184"/>
      <c r="AK362" s="184"/>
      <c r="AL362" s="183"/>
      <c r="AM362" s="184"/>
      <c r="AN362" s="184"/>
      <c r="AO362" s="184"/>
      <c r="AP362" s="184"/>
      <c r="AQ362" s="183"/>
      <c r="AR362" s="184"/>
      <c r="AS362" s="184"/>
      <c r="AT362" s="184"/>
      <c r="AU362" s="184"/>
      <c r="AV362" s="183"/>
      <c r="AW362" s="184"/>
      <c r="AX362" s="184"/>
      <c r="AY362" s="184"/>
      <c r="AZ362" s="184"/>
      <c r="BA362" s="183"/>
      <c r="BB362" s="184"/>
      <c r="BC362" s="184"/>
      <c r="BD362" s="184"/>
      <c r="BE362" s="184"/>
      <c r="BF362" s="183"/>
      <c r="BG362" s="184"/>
      <c r="BH362" s="184"/>
      <c r="BI362" s="184"/>
      <c r="BJ362" s="184"/>
      <c r="BK362" s="183"/>
      <c r="BL362" s="184"/>
      <c r="BM362" s="184"/>
      <c r="BN362" s="184"/>
      <c r="BO362" s="184"/>
      <c r="BP362" s="183"/>
      <c r="BQ362" s="184"/>
      <c r="BR362" s="184"/>
      <c r="BS362" s="184"/>
      <c r="BT362" s="184"/>
      <c r="BU362" s="183"/>
      <c r="BV362" s="184"/>
      <c r="BW362" s="184"/>
      <c r="BX362" s="184"/>
      <c r="BY362" s="184"/>
      <c r="BZ362" s="183"/>
      <c r="CA362" s="184"/>
      <c r="CB362" s="184"/>
      <c r="CC362" s="184"/>
      <c r="CD362" s="184"/>
      <c r="CE362" s="183"/>
      <c r="CF362" s="184"/>
      <c r="CG362" s="184"/>
      <c r="CH362" s="184"/>
      <c r="CI362" s="184"/>
      <c r="CJ362" s="183"/>
      <c r="CK362" s="184"/>
      <c r="CL362" s="184"/>
      <c r="CM362" s="184"/>
      <c r="CN362" s="184"/>
      <c r="CO362" s="183"/>
      <c r="CP362" s="184"/>
      <c r="CQ362" s="184"/>
      <c r="CR362" s="184"/>
      <c r="CS362" s="184"/>
      <c r="CT362" s="183"/>
      <c r="CU362" s="184"/>
      <c r="CV362" s="184"/>
      <c r="CW362" s="184"/>
      <c r="CX362" s="184"/>
      <c r="CY362" s="183"/>
      <c r="CZ362" s="184"/>
      <c r="DA362" s="184"/>
      <c r="DB362" s="184"/>
      <c r="DC362" s="184"/>
      <c r="DD362" s="183"/>
      <c r="DE362" s="184"/>
      <c r="DF362" s="184"/>
      <c r="DG362" s="184"/>
      <c r="DH362" s="184"/>
      <c r="DI362" s="183"/>
      <c r="DJ362" s="184"/>
      <c r="DK362" s="184"/>
      <c r="DL362" s="184"/>
      <c r="DM362" s="184"/>
      <c r="DN362" s="183"/>
      <c r="DO362" s="184"/>
      <c r="DP362" s="184"/>
      <c r="DQ362" s="184"/>
      <c r="DR362" s="184"/>
      <c r="DS362" s="183"/>
      <c r="DT362" s="184"/>
      <c r="DU362" s="184"/>
      <c r="DV362" s="184"/>
      <c r="DW362" s="184"/>
      <c r="DX362" s="183"/>
      <c r="DY362" s="184"/>
      <c r="DZ362" s="184"/>
      <c r="EA362" s="184"/>
      <c r="EB362" s="184"/>
      <c r="EC362" s="183"/>
      <c r="ED362" s="184"/>
      <c r="EE362" s="184"/>
      <c r="EF362" s="184"/>
      <c r="EG362" s="184"/>
      <c r="EH362" s="183"/>
      <c r="EI362" s="184"/>
      <c r="EJ362" s="184"/>
      <c r="EK362" s="184"/>
      <c r="EL362" s="184"/>
      <c r="EM362" s="183"/>
      <c r="EN362" s="184"/>
      <c r="EO362" s="184"/>
      <c r="EP362" s="184"/>
      <c r="EQ362" s="184"/>
      <c r="ER362" s="183"/>
      <c r="ES362" s="184"/>
      <c r="ET362" s="184"/>
      <c r="EU362" s="184"/>
      <c r="EV362" s="184"/>
      <c r="EW362" s="183"/>
      <c r="EX362" s="184"/>
      <c r="EY362" s="184"/>
      <c r="EZ362" s="184"/>
      <c r="FA362" s="184"/>
      <c r="FB362" s="183"/>
      <c r="FC362" s="184"/>
      <c r="FD362" s="184"/>
      <c r="FE362" s="184"/>
      <c r="FF362" s="184"/>
      <c r="FG362" s="183"/>
      <c r="FH362" s="184"/>
      <c r="FI362" s="184"/>
      <c r="FJ362" s="184"/>
      <c r="FK362" s="184"/>
      <c r="FL362" s="183"/>
      <c r="FM362" s="184"/>
      <c r="FN362" s="184"/>
      <c r="FO362" s="184"/>
      <c r="FP362" s="184"/>
      <c r="FQ362" s="183"/>
      <c r="FR362" s="184"/>
      <c r="FS362" s="184"/>
      <c r="FT362" s="184"/>
      <c r="FU362" s="184"/>
      <c r="FV362" s="183"/>
      <c r="FW362" s="184"/>
      <c r="FX362" s="184"/>
      <c r="FY362" s="184"/>
      <c r="FZ362" s="184"/>
      <c r="GA362" s="183"/>
      <c r="GB362" s="184"/>
      <c r="GC362" s="184"/>
      <c r="GD362" s="184"/>
      <c r="GE362" s="184"/>
      <c r="GF362" s="183"/>
      <c r="GG362" s="184"/>
      <c r="GH362" s="184"/>
      <c r="GI362" s="184"/>
      <c r="GJ362" s="184"/>
    </row>
    <row r="365" spans="1:192" s="93" customFormat="1" ht="12.75" customHeight="1">
      <c r="A365" s="68"/>
      <c r="B365" s="677"/>
      <c r="C365" s="192"/>
      <c r="D365" s="193"/>
      <c r="E365" s="193"/>
      <c r="F365" s="193"/>
      <c r="G365" s="193"/>
      <c r="H365" s="192"/>
      <c r="I365" s="193"/>
      <c r="J365" s="193"/>
      <c r="K365" s="193"/>
      <c r="L365" s="193"/>
      <c r="M365" s="192"/>
      <c r="N365" s="193"/>
      <c r="O365" s="193"/>
      <c r="P365" s="193"/>
      <c r="Q365" s="193"/>
      <c r="R365" s="192"/>
      <c r="S365" s="193"/>
      <c r="T365" s="193"/>
      <c r="U365" s="193"/>
      <c r="V365" s="193"/>
      <c r="W365" s="192"/>
      <c r="X365" s="193"/>
      <c r="Y365" s="193"/>
      <c r="Z365" s="193"/>
      <c r="AA365" s="193"/>
      <c r="AB365" s="192"/>
      <c r="AC365" s="193"/>
      <c r="AD365" s="193"/>
      <c r="AE365" s="193"/>
      <c r="AF365" s="193"/>
      <c r="AG365" s="192"/>
      <c r="AH365" s="193"/>
      <c r="AI365" s="193"/>
      <c r="AJ365" s="193"/>
      <c r="AK365" s="193"/>
      <c r="AL365" s="192"/>
      <c r="AM365" s="193"/>
      <c r="AN365" s="193"/>
      <c r="AO365" s="193"/>
      <c r="AP365" s="193"/>
      <c r="AQ365" s="192"/>
      <c r="AR365" s="193"/>
      <c r="AS365" s="193"/>
      <c r="AT365" s="193"/>
      <c r="AU365" s="193"/>
      <c r="AV365" s="192"/>
      <c r="AW365" s="193"/>
      <c r="AX365" s="193"/>
      <c r="AY365" s="193"/>
      <c r="AZ365" s="193"/>
      <c r="BA365" s="192"/>
      <c r="BB365" s="193"/>
      <c r="BC365" s="193"/>
      <c r="BD365" s="193"/>
      <c r="BE365" s="193"/>
      <c r="BF365" s="192"/>
      <c r="BG365" s="193"/>
      <c r="BH365" s="193"/>
      <c r="BI365" s="193"/>
      <c r="BJ365" s="193"/>
      <c r="BK365" s="192"/>
      <c r="BL365" s="193"/>
      <c r="BM365" s="193"/>
      <c r="BN365" s="193"/>
      <c r="BO365" s="193"/>
      <c r="BP365" s="192"/>
      <c r="BQ365" s="193"/>
      <c r="BR365" s="193"/>
      <c r="BS365" s="193"/>
      <c r="BT365" s="193"/>
      <c r="BU365" s="192"/>
      <c r="BV365" s="193"/>
      <c r="BW365" s="193"/>
      <c r="BX365" s="193"/>
      <c r="BY365" s="193"/>
      <c r="BZ365" s="192"/>
      <c r="CA365" s="193"/>
      <c r="CB365" s="193"/>
      <c r="CC365" s="193"/>
      <c r="CD365" s="193"/>
      <c r="CE365" s="192"/>
      <c r="CF365" s="193"/>
      <c r="CG365" s="193"/>
      <c r="CH365" s="193"/>
      <c r="CI365" s="193"/>
      <c r="CJ365" s="192"/>
      <c r="CK365" s="193"/>
      <c r="CL365" s="193"/>
      <c r="CM365" s="193"/>
      <c r="CN365" s="193"/>
      <c r="CO365" s="192"/>
      <c r="CP365" s="193"/>
      <c r="CQ365" s="193"/>
      <c r="CR365" s="193"/>
      <c r="CS365" s="193"/>
      <c r="CT365" s="192"/>
      <c r="CU365" s="193"/>
      <c r="CV365" s="193"/>
      <c r="CW365" s="193"/>
      <c r="CX365" s="193"/>
      <c r="CY365" s="192"/>
      <c r="CZ365" s="193"/>
      <c r="DA365" s="193"/>
      <c r="DB365" s="193"/>
      <c r="DC365" s="193"/>
      <c r="DD365" s="192"/>
      <c r="DE365" s="193"/>
      <c r="DF365" s="193"/>
      <c r="DG365" s="193"/>
      <c r="DH365" s="193"/>
      <c r="DI365" s="192"/>
      <c r="DJ365" s="193"/>
      <c r="DK365" s="193"/>
      <c r="DL365" s="193"/>
      <c r="DM365" s="193"/>
      <c r="DN365" s="192"/>
      <c r="DO365" s="193"/>
      <c r="DP365" s="193"/>
      <c r="DQ365" s="193"/>
      <c r="DR365" s="193"/>
      <c r="DS365" s="192"/>
      <c r="DT365" s="193"/>
      <c r="DU365" s="193"/>
      <c r="DV365" s="193"/>
      <c r="DW365" s="193"/>
      <c r="DX365" s="192"/>
      <c r="DY365" s="193"/>
      <c r="DZ365" s="193"/>
      <c r="EA365" s="193"/>
      <c r="EB365" s="193"/>
      <c r="EC365" s="192"/>
      <c r="ED365" s="193"/>
      <c r="EE365" s="193"/>
      <c r="EF365" s="193"/>
      <c r="EG365" s="193"/>
      <c r="EH365" s="192"/>
      <c r="EI365" s="193"/>
      <c r="EJ365" s="193"/>
      <c r="EK365" s="193"/>
      <c r="EL365" s="193"/>
      <c r="EM365" s="192"/>
      <c r="EN365" s="193"/>
      <c r="EO365" s="193"/>
      <c r="EP365" s="193"/>
      <c r="EQ365" s="193"/>
      <c r="ER365" s="192"/>
      <c r="ES365" s="193"/>
      <c r="ET365" s="193"/>
      <c r="EU365" s="193"/>
      <c r="EV365" s="193"/>
      <c r="EW365" s="192"/>
      <c r="EX365" s="193"/>
      <c r="EY365" s="193"/>
      <c r="EZ365" s="193"/>
      <c r="FA365" s="193"/>
      <c r="FB365" s="192"/>
      <c r="FC365" s="193"/>
      <c r="FD365" s="193"/>
      <c r="FE365" s="193"/>
      <c r="FF365" s="193"/>
      <c r="FG365" s="192"/>
      <c r="FH365" s="193"/>
      <c r="FI365" s="193"/>
      <c r="FJ365" s="193"/>
      <c r="FK365" s="193"/>
      <c r="FL365" s="192"/>
      <c r="FM365" s="193"/>
      <c r="FN365" s="193"/>
      <c r="FO365" s="193"/>
      <c r="FP365" s="193"/>
      <c r="FQ365" s="192"/>
      <c r="FR365" s="193"/>
      <c r="FS365" s="193"/>
      <c r="FT365" s="193"/>
      <c r="FU365" s="193"/>
      <c r="FV365" s="192"/>
      <c r="FW365" s="193"/>
      <c r="FX365" s="193"/>
      <c r="FY365" s="193"/>
      <c r="FZ365" s="193"/>
      <c r="GA365" s="192"/>
      <c r="GB365" s="193"/>
      <c r="GC365" s="193"/>
      <c r="GD365" s="193"/>
      <c r="GE365" s="193"/>
      <c r="GF365" s="192"/>
      <c r="GG365" s="193"/>
      <c r="GH365" s="193"/>
      <c r="GI365" s="193"/>
      <c r="GJ365" s="193"/>
    </row>
    <row r="366" spans="1:192" s="93" customFormat="1" ht="12.75" customHeight="1">
      <c r="A366" s="68"/>
      <c r="B366" s="677"/>
      <c r="C366" s="181"/>
      <c r="D366" s="182"/>
      <c r="E366" s="182"/>
      <c r="F366" s="182"/>
      <c r="G366" s="182"/>
      <c r="H366" s="181"/>
      <c r="I366" s="182"/>
      <c r="J366" s="182"/>
      <c r="K366" s="182"/>
      <c r="L366" s="182"/>
      <c r="M366" s="181"/>
      <c r="N366" s="182"/>
      <c r="O366" s="182"/>
      <c r="P366" s="182"/>
      <c r="Q366" s="182"/>
      <c r="R366" s="181"/>
      <c r="S366" s="182"/>
      <c r="T366" s="182"/>
      <c r="U366" s="182"/>
      <c r="V366" s="182"/>
      <c r="W366" s="181"/>
      <c r="X366" s="182"/>
      <c r="Y366" s="182"/>
      <c r="Z366" s="182"/>
      <c r="AA366" s="182"/>
      <c r="AB366" s="181"/>
      <c r="AC366" s="182"/>
      <c r="AD366" s="182"/>
      <c r="AE366" s="182"/>
      <c r="AF366" s="182"/>
      <c r="AG366" s="181"/>
      <c r="AH366" s="182"/>
      <c r="AI366" s="182"/>
      <c r="AJ366" s="182"/>
      <c r="AK366" s="182"/>
      <c r="AL366" s="181"/>
      <c r="AM366" s="182"/>
      <c r="AN366" s="182"/>
      <c r="AO366" s="182"/>
      <c r="AP366" s="182"/>
      <c r="AQ366" s="181"/>
      <c r="AR366" s="182"/>
      <c r="AS366" s="182"/>
      <c r="AT366" s="182"/>
      <c r="AU366" s="182"/>
      <c r="AV366" s="181"/>
      <c r="AW366" s="182"/>
      <c r="AX366" s="182"/>
      <c r="AY366" s="182"/>
      <c r="AZ366" s="182"/>
      <c r="BA366" s="181"/>
      <c r="BB366" s="182"/>
      <c r="BC366" s="182"/>
      <c r="BD366" s="182"/>
      <c r="BE366" s="182"/>
      <c r="BF366" s="181"/>
      <c r="BG366" s="182"/>
      <c r="BH366" s="182"/>
      <c r="BI366" s="182"/>
      <c r="BJ366" s="182"/>
      <c r="BK366" s="181"/>
      <c r="BL366" s="182"/>
      <c r="BM366" s="182"/>
      <c r="BN366" s="182"/>
      <c r="BO366" s="182"/>
      <c r="BP366" s="181"/>
      <c r="BQ366" s="182"/>
      <c r="BR366" s="182"/>
      <c r="BS366" s="182"/>
      <c r="BT366" s="182"/>
      <c r="BU366" s="181"/>
      <c r="BV366" s="182"/>
      <c r="BW366" s="182"/>
      <c r="BX366" s="182"/>
      <c r="BY366" s="182"/>
      <c r="BZ366" s="181"/>
      <c r="CA366" s="182"/>
      <c r="CB366" s="182"/>
      <c r="CC366" s="182"/>
      <c r="CD366" s="182"/>
      <c r="CE366" s="181"/>
      <c r="CF366" s="182"/>
      <c r="CG366" s="182"/>
      <c r="CH366" s="182"/>
      <c r="CI366" s="182"/>
      <c r="CJ366" s="181"/>
      <c r="CK366" s="182"/>
      <c r="CL366" s="182"/>
      <c r="CM366" s="182"/>
      <c r="CN366" s="182"/>
      <c r="CO366" s="181"/>
      <c r="CP366" s="182"/>
      <c r="CQ366" s="182"/>
      <c r="CR366" s="182"/>
      <c r="CS366" s="182"/>
      <c r="CT366" s="181"/>
      <c r="CU366" s="182"/>
      <c r="CV366" s="182"/>
      <c r="CW366" s="182"/>
      <c r="CX366" s="182"/>
      <c r="CY366" s="181"/>
      <c r="CZ366" s="182"/>
      <c r="DA366" s="182"/>
      <c r="DB366" s="182"/>
      <c r="DC366" s="182"/>
      <c r="DD366" s="181"/>
      <c r="DE366" s="182"/>
      <c r="DF366" s="182"/>
      <c r="DG366" s="182"/>
      <c r="DH366" s="182"/>
      <c r="DI366" s="181"/>
      <c r="DJ366" s="182"/>
      <c r="DK366" s="182"/>
      <c r="DL366" s="182"/>
      <c r="DM366" s="182"/>
      <c r="DN366" s="181"/>
      <c r="DO366" s="182"/>
      <c r="DP366" s="182"/>
      <c r="DQ366" s="182"/>
      <c r="DR366" s="182"/>
      <c r="DS366" s="181"/>
      <c r="DT366" s="182"/>
      <c r="DU366" s="182"/>
      <c r="DV366" s="182"/>
      <c r="DW366" s="182"/>
      <c r="DX366" s="181"/>
      <c r="DY366" s="182"/>
      <c r="DZ366" s="182"/>
      <c r="EA366" s="182"/>
      <c r="EB366" s="182"/>
      <c r="EC366" s="181"/>
      <c r="ED366" s="182"/>
      <c r="EE366" s="182"/>
      <c r="EF366" s="182"/>
      <c r="EG366" s="182"/>
      <c r="EH366" s="181"/>
      <c r="EI366" s="182"/>
      <c r="EJ366" s="182"/>
      <c r="EK366" s="182"/>
      <c r="EL366" s="182"/>
      <c r="EM366" s="181"/>
      <c r="EN366" s="182"/>
      <c r="EO366" s="182"/>
      <c r="EP366" s="182"/>
      <c r="EQ366" s="182"/>
      <c r="ER366" s="181"/>
      <c r="ES366" s="182"/>
      <c r="ET366" s="182"/>
      <c r="EU366" s="182"/>
      <c r="EV366" s="182"/>
      <c r="EW366" s="181"/>
      <c r="EX366" s="182"/>
      <c r="EY366" s="182"/>
      <c r="EZ366" s="182"/>
      <c r="FA366" s="182"/>
      <c r="FB366" s="181"/>
      <c r="FC366" s="182"/>
      <c r="FD366" s="182"/>
      <c r="FE366" s="182"/>
      <c r="FF366" s="182"/>
      <c r="FG366" s="181"/>
      <c r="FH366" s="182"/>
      <c r="FI366" s="182"/>
      <c r="FJ366" s="182"/>
      <c r="FK366" s="182"/>
      <c r="FL366" s="181"/>
      <c r="FM366" s="182"/>
      <c r="FN366" s="182"/>
      <c r="FO366" s="182"/>
      <c r="FP366" s="182"/>
      <c r="FQ366" s="181"/>
      <c r="FR366" s="182"/>
      <c r="FS366" s="182"/>
      <c r="FT366" s="182"/>
      <c r="FU366" s="182"/>
      <c r="FV366" s="181"/>
      <c r="FW366" s="182"/>
      <c r="FX366" s="182"/>
      <c r="FY366" s="182"/>
      <c r="FZ366" s="182"/>
      <c r="GA366" s="181"/>
      <c r="GB366" s="182"/>
      <c r="GC366" s="182"/>
      <c r="GD366" s="182"/>
      <c r="GE366" s="182"/>
      <c r="GF366" s="181"/>
      <c r="GG366" s="182"/>
      <c r="GH366" s="182"/>
      <c r="GI366" s="182"/>
      <c r="GJ366" s="182"/>
    </row>
    <row r="368" spans="1:192" s="93" customFormat="1" ht="12.75" customHeight="1">
      <c r="A368" s="68"/>
      <c r="B368" s="677"/>
      <c r="C368" s="139"/>
      <c r="D368" s="105"/>
      <c r="E368" s="105"/>
      <c r="F368" s="105"/>
      <c r="G368" s="105"/>
      <c r="H368" s="139"/>
      <c r="I368" s="105"/>
      <c r="J368" s="105"/>
      <c r="K368" s="105"/>
      <c r="L368" s="105"/>
      <c r="M368" s="139"/>
      <c r="N368" s="105"/>
      <c r="O368" s="105"/>
      <c r="P368" s="105"/>
      <c r="Q368" s="105"/>
      <c r="R368" s="139"/>
      <c r="S368" s="105"/>
      <c r="T368" s="105"/>
      <c r="U368" s="105"/>
      <c r="V368" s="105"/>
      <c r="W368" s="139"/>
      <c r="X368" s="105"/>
      <c r="Y368" s="105"/>
      <c r="Z368" s="105"/>
      <c r="AA368" s="105"/>
      <c r="AB368" s="139"/>
      <c r="AC368" s="105"/>
      <c r="AD368" s="105"/>
      <c r="AE368" s="105"/>
      <c r="AF368" s="105"/>
      <c r="AG368" s="139"/>
      <c r="AH368" s="105"/>
      <c r="AI368" s="105"/>
      <c r="AJ368" s="105"/>
      <c r="AK368" s="105"/>
      <c r="AL368" s="139"/>
      <c r="AM368" s="105"/>
      <c r="AN368" s="105"/>
      <c r="AO368" s="105"/>
      <c r="AP368" s="105"/>
      <c r="AQ368" s="139"/>
      <c r="AR368" s="105"/>
      <c r="AS368" s="105"/>
      <c r="AT368" s="105"/>
      <c r="AU368" s="105"/>
      <c r="AV368" s="139"/>
      <c r="AW368" s="105"/>
      <c r="AX368" s="105"/>
      <c r="AY368" s="105"/>
      <c r="AZ368" s="105"/>
      <c r="BA368" s="139"/>
      <c r="BB368" s="105"/>
      <c r="BC368" s="105"/>
      <c r="BD368" s="105"/>
      <c r="BE368" s="105"/>
      <c r="BF368" s="139"/>
      <c r="BG368" s="105"/>
      <c r="BH368" s="105"/>
      <c r="BI368" s="105"/>
      <c r="BJ368" s="105"/>
      <c r="BK368" s="139"/>
      <c r="BL368" s="105"/>
      <c r="BM368" s="105"/>
      <c r="BN368" s="105"/>
      <c r="BO368" s="105"/>
      <c r="BP368" s="139"/>
      <c r="BQ368" s="105"/>
      <c r="BR368" s="105"/>
      <c r="BS368" s="105"/>
      <c r="BT368" s="105"/>
      <c r="BU368" s="139"/>
      <c r="BV368" s="105"/>
      <c r="BW368" s="105"/>
      <c r="BX368" s="105"/>
      <c r="BY368" s="105"/>
      <c r="BZ368" s="139"/>
      <c r="CA368" s="105"/>
      <c r="CB368" s="105"/>
      <c r="CC368" s="105"/>
      <c r="CD368" s="105"/>
      <c r="CE368" s="139"/>
      <c r="CF368" s="105"/>
      <c r="CG368" s="105"/>
      <c r="CH368" s="105"/>
      <c r="CI368" s="105"/>
      <c r="CJ368" s="139"/>
      <c r="CK368" s="105"/>
      <c r="CL368" s="105"/>
      <c r="CM368" s="105"/>
      <c r="CN368" s="105"/>
      <c r="CO368" s="139"/>
      <c r="CP368" s="105"/>
      <c r="CQ368" s="105"/>
      <c r="CR368" s="105"/>
      <c r="CS368" s="105"/>
      <c r="CT368" s="139"/>
      <c r="CU368" s="105"/>
      <c r="CV368" s="105"/>
      <c r="CW368" s="105"/>
      <c r="CX368" s="105"/>
      <c r="CY368" s="139"/>
      <c r="CZ368" s="105"/>
      <c r="DA368" s="105"/>
      <c r="DB368" s="105"/>
      <c r="DC368" s="105"/>
      <c r="DD368" s="139"/>
      <c r="DE368" s="105"/>
      <c r="DF368" s="105"/>
      <c r="DG368" s="105"/>
      <c r="DH368" s="105"/>
      <c r="DI368" s="139"/>
      <c r="DJ368" s="105"/>
      <c r="DK368" s="105"/>
      <c r="DL368" s="105"/>
      <c r="DM368" s="105"/>
      <c r="DN368" s="139"/>
      <c r="DO368" s="105"/>
      <c r="DP368" s="105"/>
      <c r="DQ368" s="105"/>
      <c r="DR368" s="105"/>
      <c r="DS368" s="139"/>
      <c r="DT368" s="105"/>
      <c r="DU368" s="105"/>
      <c r="DV368" s="105"/>
      <c r="DW368" s="105"/>
      <c r="DX368" s="139"/>
      <c r="DY368" s="105"/>
      <c r="DZ368" s="105"/>
      <c r="EA368" s="105"/>
      <c r="EB368" s="105"/>
      <c r="EC368" s="139"/>
      <c r="ED368" s="105"/>
      <c r="EE368" s="105"/>
      <c r="EF368" s="105"/>
      <c r="EG368" s="105"/>
      <c r="EH368" s="139"/>
      <c r="EI368" s="105"/>
      <c r="EJ368" s="105"/>
      <c r="EK368" s="105"/>
      <c r="EL368" s="105"/>
      <c r="EM368" s="139"/>
      <c r="EN368" s="105"/>
      <c r="EO368" s="105"/>
      <c r="EP368" s="105"/>
      <c r="EQ368" s="105"/>
      <c r="ER368" s="139"/>
      <c r="ES368" s="105"/>
      <c r="ET368" s="105"/>
      <c r="EU368" s="105"/>
      <c r="EV368" s="105"/>
      <c r="EW368" s="139"/>
      <c r="EX368" s="105"/>
      <c r="EY368" s="105"/>
      <c r="EZ368" s="105"/>
      <c r="FA368" s="105"/>
      <c r="FB368" s="139"/>
      <c r="FC368" s="105"/>
      <c r="FD368" s="105"/>
      <c r="FE368" s="105"/>
      <c r="FF368" s="105"/>
      <c r="FG368" s="139"/>
      <c r="FH368" s="105"/>
      <c r="FI368" s="105"/>
      <c r="FJ368" s="105"/>
      <c r="FK368" s="105"/>
      <c r="FL368" s="139"/>
      <c r="FM368" s="105"/>
      <c r="FN368" s="105"/>
      <c r="FO368" s="105"/>
      <c r="FP368" s="105"/>
      <c r="FQ368" s="139"/>
      <c r="FR368" s="105"/>
      <c r="FS368" s="105"/>
      <c r="FT368" s="105"/>
      <c r="FU368" s="105"/>
      <c r="FV368" s="139"/>
      <c r="FW368" s="105"/>
      <c r="FX368" s="105"/>
      <c r="FY368" s="105"/>
      <c r="FZ368" s="105"/>
      <c r="GA368" s="139"/>
      <c r="GB368" s="105"/>
      <c r="GC368" s="105"/>
      <c r="GD368" s="105"/>
      <c r="GE368" s="105"/>
      <c r="GF368" s="139"/>
      <c r="GG368" s="105"/>
      <c r="GH368" s="105"/>
      <c r="GI368" s="105"/>
      <c r="GJ368" s="105"/>
    </row>
    <row r="371" spans="1:192" s="93" customFormat="1" ht="12.75" customHeight="1">
      <c r="A371" s="68"/>
      <c r="B371" s="677"/>
      <c r="C371" s="139"/>
      <c r="D371" s="105"/>
      <c r="E371" s="105"/>
      <c r="F371" s="105"/>
      <c r="G371" s="105"/>
      <c r="H371" s="139"/>
      <c r="I371" s="105"/>
      <c r="J371" s="105"/>
      <c r="K371" s="105"/>
      <c r="L371" s="105"/>
      <c r="M371" s="139"/>
      <c r="N371" s="105"/>
      <c r="O371" s="105"/>
      <c r="P371" s="105"/>
      <c r="Q371" s="105"/>
      <c r="R371" s="139"/>
      <c r="S371" s="105"/>
      <c r="T371" s="105"/>
      <c r="U371" s="105"/>
      <c r="V371" s="105"/>
      <c r="W371" s="139"/>
      <c r="X371" s="105"/>
      <c r="Y371" s="105"/>
      <c r="Z371" s="105"/>
      <c r="AA371" s="105"/>
      <c r="AB371" s="139"/>
      <c r="AC371" s="105"/>
      <c r="AD371" s="105"/>
      <c r="AE371" s="105"/>
      <c r="AF371" s="105"/>
      <c r="AG371" s="139"/>
      <c r="AH371" s="105"/>
      <c r="AI371" s="105"/>
      <c r="AJ371" s="105"/>
      <c r="AK371" s="105"/>
      <c r="AL371" s="139"/>
      <c r="AM371" s="105"/>
      <c r="AN371" s="105"/>
      <c r="AO371" s="105"/>
      <c r="AP371" s="105"/>
      <c r="AQ371" s="139"/>
      <c r="AR371" s="105"/>
      <c r="AS371" s="105"/>
      <c r="AT371" s="105"/>
      <c r="AU371" s="105"/>
      <c r="AV371" s="139"/>
      <c r="AW371" s="105"/>
      <c r="AX371" s="105"/>
      <c r="AY371" s="105"/>
      <c r="AZ371" s="105"/>
      <c r="BA371" s="139"/>
      <c r="BB371" s="105"/>
      <c r="BC371" s="105"/>
      <c r="BD371" s="105"/>
      <c r="BE371" s="105"/>
      <c r="BF371" s="139"/>
      <c r="BG371" s="105"/>
      <c r="BH371" s="105"/>
      <c r="BI371" s="105"/>
      <c r="BJ371" s="105"/>
      <c r="BK371" s="139"/>
      <c r="BL371" s="105"/>
      <c r="BM371" s="105"/>
      <c r="BN371" s="105"/>
      <c r="BO371" s="105"/>
      <c r="BP371" s="139"/>
      <c r="BQ371" s="105"/>
      <c r="BR371" s="105"/>
      <c r="BS371" s="105"/>
      <c r="BT371" s="105"/>
      <c r="BU371" s="139"/>
      <c r="BV371" s="105"/>
      <c r="BW371" s="105"/>
      <c r="BX371" s="105"/>
      <c r="BY371" s="105"/>
      <c r="BZ371" s="139"/>
      <c r="CA371" s="105"/>
      <c r="CB371" s="105"/>
      <c r="CC371" s="105"/>
      <c r="CD371" s="105"/>
      <c r="CE371" s="139"/>
      <c r="CF371" s="105"/>
      <c r="CG371" s="105"/>
      <c r="CH371" s="105"/>
      <c r="CI371" s="105"/>
      <c r="CJ371" s="139"/>
      <c r="CK371" s="105"/>
      <c r="CL371" s="105"/>
      <c r="CM371" s="105"/>
      <c r="CN371" s="105"/>
      <c r="CO371" s="139"/>
      <c r="CP371" s="105"/>
      <c r="CQ371" s="105"/>
      <c r="CR371" s="105"/>
      <c r="CS371" s="105"/>
      <c r="CT371" s="139"/>
      <c r="CU371" s="105"/>
      <c r="CV371" s="105"/>
      <c r="CW371" s="105"/>
      <c r="CX371" s="105"/>
      <c r="CY371" s="139"/>
      <c r="CZ371" s="105"/>
      <c r="DA371" s="105"/>
      <c r="DB371" s="105"/>
      <c r="DC371" s="105"/>
      <c r="DD371" s="139"/>
      <c r="DE371" s="105"/>
      <c r="DF371" s="105"/>
      <c r="DG371" s="105"/>
      <c r="DH371" s="105"/>
      <c r="DI371" s="139"/>
      <c r="DJ371" s="105"/>
      <c r="DK371" s="105"/>
      <c r="DL371" s="105"/>
      <c r="DM371" s="105"/>
      <c r="DN371" s="139"/>
      <c r="DO371" s="105"/>
      <c r="DP371" s="105"/>
      <c r="DQ371" s="105"/>
      <c r="DR371" s="105"/>
      <c r="DS371" s="139"/>
      <c r="DT371" s="105"/>
      <c r="DU371" s="105"/>
      <c r="DV371" s="105"/>
      <c r="DW371" s="105"/>
      <c r="DX371" s="139"/>
      <c r="DY371" s="105"/>
      <c r="DZ371" s="105"/>
      <c r="EA371" s="105"/>
      <c r="EB371" s="105"/>
      <c r="EC371" s="139"/>
      <c r="ED371" s="105"/>
      <c r="EE371" s="105"/>
      <c r="EF371" s="105"/>
      <c r="EG371" s="105"/>
      <c r="EH371" s="139"/>
      <c r="EI371" s="105"/>
      <c r="EJ371" s="105"/>
      <c r="EK371" s="105"/>
      <c r="EL371" s="105"/>
      <c r="EM371" s="139"/>
      <c r="EN371" s="105"/>
      <c r="EO371" s="105"/>
      <c r="EP371" s="105"/>
      <c r="EQ371" s="105"/>
      <c r="ER371" s="139"/>
      <c r="ES371" s="105"/>
      <c r="ET371" s="105"/>
      <c r="EU371" s="105"/>
      <c r="EV371" s="105"/>
      <c r="EW371" s="139"/>
      <c r="EX371" s="105"/>
      <c r="EY371" s="105"/>
      <c r="EZ371" s="105"/>
      <c r="FA371" s="105"/>
      <c r="FB371" s="139"/>
      <c r="FC371" s="105"/>
      <c r="FD371" s="105"/>
      <c r="FE371" s="105"/>
      <c r="FF371" s="105"/>
      <c r="FG371" s="139"/>
      <c r="FH371" s="105"/>
      <c r="FI371" s="105"/>
      <c r="FJ371" s="105"/>
      <c r="FK371" s="105"/>
      <c r="FL371" s="139"/>
      <c r="FM371" s="105"/>
      <c r="FN371" s="105"/>
      <c r="FO371" s="105"/>
      <c r="FP371" s="105"/>
      <c r="FQ371" s="139"/>
      <c r="FR371" s="105"/>
      <c r="FS371" s="105"/>
      <c r="FT371" s="105"/>
      <c r="FU371" s="105"/>
      <c r="FV371" s="139"/>
      <c r="FW371" s="105"/>
      <c r="FX371" s="105"/>
      <c r="FY371" s="105"/>
      <c r="FZ371" s="105"/>
      <c r="GA371" s="139"/>
      <c r="GB371" s="105"/>
      <c r="GC371" s="105"/>
      <c r="GD371" s="105"/>
      <c r="GE371" s="105"/>
      <c r="GF371" s="139"/>
      <c r="GG371" s="105"/>
      <c r="GH371" s="105"/>
      <c r="GI371" s="105"/>
      <c r="GJ371" s="105"/>
    </row>
    <row r="373" spans="1:192" s="93" customFormat="1" ht="12.75" customHeight="1">
      <c r="A373" s="68"/>
      <c r="B373" s="677"/>
      <c r="C373" s="187"/>
      <c r="D373" s="180"/>
      <c r="E373" s="180"/>
      <c r="F373" s="180"/>
      <c r="G373" s="180"/>
      <c r="H373" s="187"/>
      <c r="I373" s="180"/>
      <c r="J373" s="180"/>
      <c r="K373" s="180"/>
      <c r="L373" s="180"/>
      <c r="M373" s="187"/>
      <c r="N373" s="180"/>
      <c r="O373" s="180"/>
      <c r="P373" s="180"/>
      <c r="Q373" s="180"/>
      <c r="R373" s="187"/>
      <c r="S373" s="180"/>
      <c r="T373" s="180"/>
      <c r="U373" s="180"/>
      <c r="V373" s="180"/>
      <c r="W373" s="187"/>
      <c r="X373" s="180"/>
      <c r="Y373" s="180"/>
      <c r="Z373" s="180"/>
      <c r="AA373" s="180"/>
      <c r="AB373" s="187"/>
      <c r="AC373" s="180"/>
      <c r="AD373" s="180"/>
      <c r="AE373" s="180"/>
      <c r="AF373" s="180"/>
      <c r="AG373" s="187"/>
      <c r="AH373" s="180"/>
      <c r="AI373" s="180"/>
      <c r="AJ373" s="180"/>
      <c r="AK373" s="180"/>
      <c r="AL373" s="187"/>
      <c r="AM373" s="180"/>
      <c r="AN373" s="180"/>
      <c r="AO373" s="180"/>
      <c r="AP373" s="180"/>
      <c r="AQ373" s="187"/>
      <c r="AR373" s="180"/>
      <c r="AS373" s="180"/>
      <c r="AT373" s="180"/>
      <c r="AU373" s="180"/>
      <c r="AV373" s="187"/>
      <c r="AW373" s="180"/>
      <c r="AX373" s="180"/>
      <c r="AY373" s="180"/>
      <c r="AZ373" s="180"/>
      <c r="BA373" s="187"/>
      <c r="BB373" s="180"/>
      <c r="BC373" s="180"/>
      <c r="BD373" s="180"/>
      <c r="BE373" s="180"/>
      <c r="BF373" s="187"/>
      <c r="BG373" s="180"/>
      <c r="BH373" s="180"/>
      <c r="BI373" s="180"/>
      <c r="BJ373" s="180"/>
      <c r="BK373" s="187"/>
      <c r="BL373" s="180"/>
      <c r="BM373" s="180"/>
      <c r="BN373" s="180"/>
      <c r="BO373" s="180"/>
      <c r="BP373" s="187"/>
      <c r="BQ373" s="180"/>
      <c r="BR373" s="180"/>
      <c r="BS373" s="180"/>
      <c r="BT373" s="180"/>
      <c r="BU373" s="187"/>
      <c r="BV373" s="180"/>
      <c r="BW373" s="180"/>
      <c r="BX373" s="180"/>
      <c r="BY373" s="180"/>
      <c r="BZ373" s="187"/>
      <c r="CA373" s="180"/>
      <c r="CB373" s="180"/>
      <c r="CC373" s="180"/>
      <c r="CD373" s="180"/>
      <c r="CE373" s="187"/>
      <c r="CF373" s="180"/>
      <c r="CG373" s="180"/>
      <c r="CH373" s="180"/>
      <c r="CI373" s="180"/>
      <c r="CJ373" s="187"/>
      <c r="CK373" s="180"/>
      <c r="CL373" s="180"/>
      <c r="CM373" s="180"/>
      <c r="CN373" s="180"/>
      <c r="CO373" s="187"/>
      <c r="CP373" s="180"/>
      <c r="CQ373" s="180"/>
      <c r="CR373" s="180"/>
      <c r="CS373" s="180"/>
      <c r="CT373" s="187"/>
      <c r="CU373" s="180"/>
      <c r="CV373" s="180"/>
      <c r="CW373" s="180"/>
      <c r="CX373" s="180"/>
      <c r="CY373" s="187"/>
      <c r="CZ373" s="180"/>
      <c r="DA373" s="180"/>
      <c r="DB373" s="180"/>
      <c r="DC373" s="180"/>
      <c r="DD373" s="187"/>
      <c r="DE373" s="180"/>
      <c r="DF373" s="180"/>
      <c r="DG373" s="180"/>
      <c r="DH373" s="180"/>
      <c r="DI373" s="187"/>
      <c r="DJ373" s="180"/>
      <c r="DK373" s="180"/>
      <c r="DL373" s="180"/>
      <c r="DM373" s="180"/>
      <c r="DN373" s="187"/>
      <c r="DO373" s="180"/>
      <c r="DP373" s="180"/>
      <c r="DQ373" s="180"/>
      <c r="DR373" s="180"/>
      <c r="DS373" s="187"/>
      <c r="DT373" s="180"/>
      <c r="DU373" s="180"/>
      <c r="DV373" s="180"/>
      <c r="DW373" s="180"/>
      <c r="DX373" s="187"/>
      <c r="DY373" s="180"/>
      <c r="DZ373" s="180"/>
      <c r="EA373" s="180"/>
      <c r="EB373" s="180"/>
      <c r="EC373" s="187"/>
      <c r="ED373" s="180"/>
      <c r="EE373" s="180"/>
      <c r="EF373" s="180"/>
      <c r="EG373" s="180"/>
      <c r="EH373" s="187"/>
      <c r="EI373" s="180"/>
      <c r="EJ373" s="180"/>
      <c r="EK373" s="180"/>
      <c r="EL373" s="180"/>
      <c r="EM373" s="187"/>
      <c r="EN373" s="180"/>
      <c r="EO373" s="180"/>
      <c r="EP373" s="180"/>
      <c r="EQ373" s="180"/>
      <c r="ER373" s="187"/>
      <c r="ES373" s="180"/>
      <c r="ET373" s="180"/>
      <c r="EU373" s="180"/>
      <c r="EV373" s="180"/>
      <c r="EW373" s="187"/>
      <c r="EX373" s="180"/>
      <c r="EY373" s="180"/>
      <c r="EZ373" s="180"/>
      <c r="FA373" s="180"/>
      <c r="FB373" s="187"/>
      <c r="FC373" s="180"/>
      <c r="FD373" s="180"/>
      <c r="FE373" s="180"/>
      <c r="FF373" s="180"/>
      <c r="FG373" s="187"/>
      <c r="FH373" s="180"/>
      <c r="FI373" s="180"/>
      <c r="FJ373" s="180"/>
      <c r="FK373" s="180"/>
      <c r="FL373" s="187"/>
      <c r="FM373" s="180"/>
      <c r="FN373" s="180"/>
      <c r="FO373" s="180"/>
      <c r="FP373" s="180"/>
      <c r="FQ373" s="187"/>
      <c r="FR373" s="180"/>
      <c r="FS373" s="180"/>
      <c r="FT373" s="180"/>
      <c r="FU373" s="180"/>
      <c r="FV373" s="187"/>
      <c r="FW373" s="180"/>
      <c r="FX373" s="180"/>
      <c r="FY373" s="180"/>
      <c r="FZ373" s="180"/>
      <c r="GA373" s="187"/>
      <c r="GB373" s="180"/>
      <c r="GC373" s="180"/>
      <c r="GD373" s="180"/>
      <c r="GE373" s="180"/>
      <c r="GF373" s="187"/>
      <c r="GG373" s="180"/>
      <c r="GH373" s="180"/>
      <c r="GI373" s="180"/>
      <c r="GJ373" s="180"/>
    </row>
    <row r="374" spans="1:192" s="93" customFormat="1" ht="12.75" customHeight="1">
      <c r="A374" s="68"/>
      <c r="B374" s="677"/>
      <c r="C374" s="181"/>
      <c r="D374" s="182"/>
      <c r="E374" s="182"/>
      <c r="F374" s="182"/>
      <c r="G374" s="182"/>
      <c r="H374" s="181"/>
      <c r="I374" s="182"/>
      <c r="J374" s="182"/>
      <c r="K374" s="182"/>
      <c r="L374" s="182"/>
      <c r="M374" s="181"/>
      <c r="N374" s="182"/>
      <c r="O374" s="182"/>
      <c r="P374" s="182"/>
      <c r="Q374" s="182"/>
      <c r="R374" s="181"/>
      <c r="S374" s="182"/>
      <c r="T374" s="182"/>
      <c r="U374" s="182"/>
      <c r="V374" s="182"/>
      <c r="W374" s="181"/>
      <c r="X374" s="182"/>
      <c r="Y374" s="182"/>
      <c r="Z374" s="182"/>
      <c r="AA374" s="182"/>
      <c r="AB374" s="181"/>
      <c r="AC374" s="182"/>
      <c r="AD374" s="182"/>
      <c r="AE374" s="182"/>
      <c r="AF374" s="182"/>
      <c r="AG374" s="181"/>
      <c r="AH374" s="182"/>
      <c r="AI374" s="182"/>
      <c r="AJ374" s="182"/>
      <c r="AK374" s="182"/>
      <c r="AL374" s="181"/>
      <c r="AM374" s="182"/>
      <c r="AN374" s="182"/>
      <c r="AO374" s="182"/>
      <c r="AP374" s="182"/>
      <c r="AQ374" s="181"/>
      <c r="AR374" s="182"/>
      <c r="AS374" s="182"/>
      <c r="AT374" s="182"/>
      <c r="AU374" s="182"/>
      <c r="AV374" s="181"/>
      <c r="AW374" s="182"/>
      <c r="AX374" s="182"/>
      <c r="AY374" s="182"/>
      <c r="AZ374" s="182"/>
      <c r="BA374" s="181"/>
      <c r="BB374" s="182"/>
      <c r="BC374" s="182"/>
      <c r="BD374" s="182"/>
      <c r="BE374" s="182"/>
      <c r="BF374" s="181"/>
      <c r="BG374" s="182"/>
      <c r="BH374" s="182"/>
      <c r="BI374" s="182"/>
      <c r="BJ374" s="182"/>
      <c r="BK374" s="181"/>
      <c r="BL374" s="182"/>
      <c r="BM374" s="182"/>
      <c r="BN374" s="182"/>
      <c r="BO374" s="182"/>
      <c r="BP374" s="181"/>
      <c r="BQ374" s="182"/>
      <c r="BR374" s="182"/>
      <c r="BS374" s="182"/>
      <c r="BT374" s="182"/>
      <c r="BU374" s="181"/>
      <c r="BV374" s="182"/>
      <c r="BW374" s="182"/>
      <c r="BX374" s="182"/>
      <c r="BY374" s="182"/>
      <c r="BZ374" s="181"/>
      <c r="CA374" s="182"/>
      <c r="CB374" s="182"/>
      <c r="CC374" s="182"/>
      <c r="CD374" s="182"/>
      <c r="CE374" s="181"/>
      <c r="CF374" s="182"/>
      <c r="CG374" s="182"/>
      <c r="CH374" s="182"/>
      <c r="CI374" s="182"/>
      <c r="CJ374" s="181"/>
      <c r="CK374" s="182"/>
      <c r="CL374" s="182"/>
      <c r="CM374" s="182"/>
      <c r="CN374" s="182"/>
      <c r="CO374" s="181"/>
      <c r="CP374" s="182"/>
      <c r="CQ374" s="182"/>
      <c r="CR374" s="182"/>
      <c r="CS374" s="182"/>
      <c r="CT374" s="181"/>
      <c r="CU374" s="182"/>
      <c r="CV374" s="182"/>
      <c r="CW374" s="182"/>
      <c r="CX374" s="182"/>
      <c r="CY374" s="181"/>
      <c r="CZ374" s="182"/>
      <c r="DA374" s="182"/>
      <c r="DB374" s="182"/>
      <c r="DC374" s="182"/>
      <c r="DD374" s="181"/>
      <c r="DE374" s="182"/>
      <c r="DF374" s="182"/>
      <c r="DG374" s="182"/>
      <c r="DH374" s="182"/>
      <c r="DI374" s="181"/>
      <c r="DJ374" s="182"/>
      <c r="DK374" s="182"/>
      <c r="DL374" s="182"/>
      <c r="DM374" s="182"/>
      <c r="DN374" s="181"/>
      <c r="DO374" s="182"/>
      <c r="DP374" s="182"/>
      <c r="DQ374" s="182"/>
      <c r="DR374" s="182"/>
      <c r="DS374" s="181"/>
      <c r="DT374" s="182"/>
      <c r="DU374" s="182"/>
      <c r="DV374" s="182"/>
      <c r="DW374" s="182"/>
      <c r="DX374" s="181"/>
      <c r="DY374" s="182"/>
      <c r="DZ374" s="182"/>
      <c r="EA374" s="182"/>
      <c r="EB374" s="182"/>
      <c r="EC374" s="181"/>
      <c r="ED374" s="182"/>
      <c r="EE374" s="182"/>
      <c r="EF374" s="182"/>
      <c r="EG374" s="182"/>
      <c r="EH374" s="181"/>
      <c r="EI374" s="182"/>
      <c r="EJ374" s="182"/>
      <c r="EK374" s="182"/>
      <c r="EL374" s="182"/>
      <c r="EM374" s="181"/>
      <c r="EN374" s="182"/>
      <c r="EO374" s="182"/>
      <c r="EP374" s="182"/>
      <c r="EQ374" s="182"/>
      <c r="ER374" s="181"/>
      <c r="ES374" s="182"/>
      <c r="ET374" s="182"/>
      <c r="EU374" s="182"/>
      <c r="EV374" s="182"/>
      <c r="EW374" s="181"/>
      <c r="EX374" s="182"/>
      <c r="EY374" s="182"/>
      <c r="EZ374" s="182"/>
      <c r="FA374" s="182"/>
      <c r="FB374" s="181"/>
      <c r="FC374" s="182"/>
      <c r="FD374" s="182"/>
      <c r="FE374" s="182"/>
      <c r="FF374" s="182"/>
      <c r="FG374" s="181"/>
      <c r="FH374" s="182"/>
      <c r="FI374" s="182"/>
      <c r="FJ374" s="182"/>
      <c r="FK374" s="182"/>
      <c r="FL374" s="181"/>
      <c r="FM374" s="182"/>
      <c r="FN374" s="182"/>
      <c r="FO374" s="182"/>
      <c r="FP374" s="182"/>
      <c r="FQ374" s="181"/>
      <c r="FR374" s="182"/>
      <c r="FS374" s="182"/>
      <c r="FT374" s="182"/>
      <c r="FU374" s="182"/>
      <c r="FV374" s="181"/>
      <c r="FW374" s="182"/>
      <c r="FX374" s="182"/>
      <c r="FY374" s="182"/>
      <c r="FZ374" s="182"/>
      <c r="GA374" s="181"/>
      <c r="GB374" s="182"/>
      <c r="GC374" s="182"/>
      <c r="GD374" s="182"/>
      <c r="GE374" s="182"/>
      <c r="GF374" s="181"/>
      <c r="GG374" s="182"/>
      <c r="GH374" s="182"/>
      <c r="GI374" s="182"/>
      <c r="GJ374" s="182"/>
    </row>
    <row r="376" spans="1:192" s="93" customFormat="1" ht="12.75" customHeight="1">
      <c r="A376" s="68"/>
      <c r="B376" s="677"/>
      <c r="C376" s="139"/>
      <c r="D376" s="105"/>
      <c r="E376" s="105"/>
      <c r="F376" s="105"/>
      <c r="G376" s="105"/>
      <c r="H376" s="139"/>
      <c r="I376" s="105"/>
      <c r="J376" s="105"/>
      <c r="K376" s="105"/>
      <c r="L376" s="105"/>
      <c r="M376" s="139"/>
      <c r="N376" s="105"/>
      <c r="O376" s="105"/>
      <c r="P376" s="105"/>
      <c r="Q376" s="105"/>
      <c r="R376" s="139"/>
      <c r="S376" s="105"/>
      <c r="T376" s="105"/>
      <c r="U376" s="105"/>
      <c r="V376" s="105"/>
      <c r="W376" s="139"/>
      <c r="X376" s="105"/>
      <c r="Y376" s="105"/>
      <c r="Z376" s="105"/>
      <c r="AA376" s="105"/>
      <c r="AB376" s="139"/>
      <c r="AC376" s="105"/>
      <c r="AD376" s="105"/>
      <c r="AE376" s="105"/>
      <c r="AF376" s="105"/>
      <c r="AG376" s="139"/>
      <c r="AH376" s="105"/>
      <c r="AI376" s="105"/>
      <c r="AJ376" s="105"/>
      <c r="AK376" s="105"/>
      <c r="AL376" s="139"/>
      <c r="AM376" s="105"/>
      <c r="AN376" s="105"/>
      <c r="AO376" s="105"/>
      <c r="AP376" s="105"/>
      <c r="AQ376" s="139"/>
      <c r="AR376" s="105"/>
      <c r="AS376" s="105"/>
      <c r="AT376" s="105"/>
      <c r="AU376" s="105"/>
      <c r="AV376" s="139"/>
      <c r="AW376" s="105"/>
      <c r="AX376" s="105"/>
      <c r="AY376" s="105"/>
      <c r="AZ376" s="105"/>
      <c r="BA376" s="139"/>
      <c r="BB376" s="105"/>
      <c r="BC376" s="105"/>
      <c r="BD376" s="105"/>
      <c r="BE376" s="105"/>
      <c r="BF376" s="139"/>
      <c r="BG376" s="105"/>
      <c r="BH376" s="105"/>
      <c r="BI376" s="105"/>
      <c r="BJ376" s="105"/>
      <c r="BK376" s="139"/>
      <c r="BL376" s="105"/>
      <c r="BM376" s="105"/>
      <c r="BN376" s="105"/>
      <c r="BO376" s="105"/>
      <c r="BP376" s="139"/>
      <c r="BQ376" s="105"/>
      <c r="BR376" s="105"/>
      <c r="BS376" s="105"/>
      <c r="BT376" s="105"/>
      <c r="BU376" s="139"/>
      <c r="BV376" s="105"/>
      <c r="BW376" s="105"/>
      <c r="BX376" s="105"/>
      <c r="BY376" s="105"/>
      <c r="BZ376" s="139"/>
      <c r="CA376" s="105"/>
      <c r="CB376" s="105"/>
      <c r="CC376" s="105"/>
      <c r="CD376" s="105"/>
      <c r="CE376" s="139"/>
      <c r="CF376" s="105"/>
      <c r="CG376" s="105"/>
      <c r="CH376" s="105"/>
      <c r="CI376" s="105"/>
      <c r="CJ376" s="139"/>
      <c r="CK376" s="105"/>
      <c r="CL376" s="105"/>
      <c r="CM376" s="105"/>
      <c r="CN376" s="105"/>
      <c r="CO376" s="139"/>
      <c r="CP376" s="105"/>
      <c r="CQ376" s="105"/>
      <c r="CR376" s="105"/>
      <c r="CS376" s="105"/>
      <c r="CT376" s="139"/>
      <c r="CU376" s="105"/>
      <c r="CV376" s="105"/>
      <c r="CW376" s="105"/>
      <c r="CX376" s="105"/>
      <c r="CY376" s="139"/>
      <c r="CZ376" s="105"/>
      <c r="DA376" s="105"/>
      <c r="DB376" s="105"/>
      <c r="DC376" s="105"/>
      <c r="DD376" s="139"/>
      <c r="DE376" s="105"/>
      <c r="DF376" s="105"/>
      <c r="DG376" s="105"/>
      <c r="DH376" s="105"/>
      <c r="DI376" s="139"/>
      <c r="DJ376" s="105"/>
      <c r="DK376" s="105"/>
      <c r="DL376" s="105"/>
      <c r="DM376" s="105"/>
      <c r="DN376" s="139"/>
      <c r="DO376" s="105"/>
      <c r="DP376" s="105"/>
      <c r="DQ376" s="105"/>
      <c r="DR376" s="105"/>
      <c r="DS376" s="139"/>
      <c r="DT376" s="105"/>
      <c r="DU376" s="105"/>
      <c r="DV376" s="105"/>
      <c r="DW376" s="105"/>
      <c r="DX376" s="139"/>
      <c r="DY376" s="105"/>
      <c r="DZ376" s="105"/>
      <c r="EA376" s="105"/>
      <c r="EB376" s="105"/>
      <c r="EC376" s="139"/>
      <c r="ED376" s="105"/>
      <c r="EE376" s="105"/>
      <c r="EF376" s="105"/>
      <c r="EG376" s="105"/>
      <c r="EH376" s="139"/>
      <c r="EI376" s="105"/>
      <c r="EJ376" s="105"/>
      <c r="EK376" s="105"/>
      <c r="EL376" s="105"/>
      <c r="EM376" s="139"/>
      <c r="EN376" s="105"/>
      <c r="EO376" s="105"/>
      <c r="EP376" s="105"/>
      <c r="EQ376" s="105"/>
      <c r="ER376" s="139"/>
      <c r="ES376" s="105"/>
      <c r="ET376" s="105"/>
      <c r="EU376" s="105"/>
      <c r="EV376" s="105"/>
      <c r="EW376" s="139"/>
      <c r="EX376" s="105"/>
      <c r="EY376" s="105"/>
      <c r="EZ376" s="105"/>
      <c r="FA376" s="105"/>
      <c r="FB376" s="139"/>
      <c r="FC376" s="105"/>
      <c r="FD376" s="105"/>
      <c r="FE376" s="105"/>
      <c r="FF376" s="105"/>
      <c r="FG376" s="139"/>
      <c r="FH376" s="105"/>
      <c r="FI376" s="105"/>
      <c r="FJ376" s="105"/>
      <c r="FK376" s="105"/>
      <c r="FL376" s="139"/>
      <c r="FM376" s="105"/>
      <c r="FN376" s="105"/>
      <c r="FO376" s="105"/>
      <c r="FP376" s="105"/>
      <c r="FQ376" s="139"/>
      <c r="FR376" s="105"/>
      <c r="FS376" s="105"/>
      <c r="FT376" s="105"/>
      <c r="FU376" s="105"/>
      <c r="FV376" s="139"/>
      <c r="FW376" s="105"/>
      <c r="FX376" s="105"/>
      <c r="FY376" s="105"/>
      <c r="FZ376" s="105"/>
      <c r="GA376" s="139"/>
      <c r="GB376" s="105"/>
      <c r="GC376" s="105"/>
      <c r="GD376" s="105"/>
      <c r="GE376" s="105"/>
      <c r="GF376" s="139"/>
      <c r="GG376" s="105"/>
      <c r="GH376" s="105"/>
      <c r="GI376" s="105"/>
      <c r="GJ376" s="105"/>
    </row>
    <row r="378" spans="1:192" s="93" customFormat="1" ht="12.75" customHeight="1">
      <c r="A378" s="68"/>
      <c r="B378" s="677"/>
      <c r="C378" s="176"/>
      <c r="D378" s="177"/>
      <c r="E378" s="177"/>
      <c r="F378" s="177"/>
      <c r="G378" s="177"/>
      <c r="H378" s="176"/>
      <c r="I378" s="177"/>
      <c r="J378" s="177"/>
      <c r="K378" s="177"/>
      <c r="L378" s="177"/>
      <c r="M378" s="176"/>
      <c r="N378" s="177"/>
      <c r="O378" s="177"/>
      <c r="P378" s="177"/>
      <c r="Q378" s="177"/>
      <c r="R378" s="176"/>
      <c r="S378" s="177"/>
      <c r="T378" s="177"/>
      <c r="U378" s="177"/>
      <c r="V378" s="177"/>
      <c r="W378" s="176"/>
      <c r="X378" s="177"/>
      <c r="Y378" s="177"/>
      <c r="Z378" s="177"/>
      <c r="AA378" s="177"/>
      <c r="AB378" s="176"/>
      <c r="AC378" s="177"/>
      <c r="AD378" s="177"/>
      <c r="AE378" s="177"/>
      <c r="AF378" s="177"/>
      <c r="AG378" s="176"/>
      <c r="AH378" s="177"/>
      <c r="AI378" s="177"/>
      <c r="AJ378" s="177"/>
      <c r="AK378" s="177"/>
      <c r="AL378" s="176"/>
      <c r="AM378" s="177"/>
      <c r="AN378" s="177"/>
      <c r="AO378" s="177"/>
      <c r="AP378" s="177"/>
      <c r="AQ378" s="176"/>
      <c r="AR378" s="177"/>
      <c r="AS378" s="177"/>
      <c r="AT378" s="177"/>
      <c r="AU378" s="177"/>
      <c r="AV378" s="176"/>
      <c r="AW378" s="177"/>
      <c r="AX378" s="177"/>
      <c r="AY378" s="177"/>
      <c r="AZ378" s="177"/>
      <c r="BA378" s="176"/>
      <c r="BB378" s="177"/>
      <c r="BC378" s="177"/>
      <c r="BD378" s="177"/>
      <c r="BE378" s="177"/>
      <c r="BF378" s="176"/>
      <c r="BG378" s="177"/>
      <c r="BH378" s="177"/>
      <c r="BI378" s="177"/>
      <c r="BJ378" s="177"/>
      <c r="BK378" s="176"/>
      <c r="BL378" s="177"/>
      <c r="BM378" s="177"/>
      <c r="BN378" s="177"/>
      <c r="BO378" s="177"/>
      <c r="BP378" s="176"/>
      <c r="BQ378" s="177"/>
      <c r="BR378" s="177"/>
      <c r="BS378" s="177"/>
      <c r="BT378" s="177"/>
      <c r="BU378" s="176"/>
      <c r="BV378" s="177"/>
      <c r="BW378" s="177"/>
      <c r="BX378" s="177"/>
      <c r="BY378" s="177"/>
      <c r="BZ378" s="176"/>
      <c r="CA378" s="177"/>
      <c r="CB378" s="177"/>
      <c r="CC378" s="177"/>
      <c r="CD378" s="177"/>
      <c r="CE378" s="176"/>
      <c r="CF378" s="177"/>
      <c r="CG378" s="177"/>
      <c r="CH378" s="177"/>
      <c r="CI378" s="177"/>
      <c r="CJ378" s="176"/>
      <c r="CK378" s="177"/>
      <c r="CL378" s="177"/>
      <c r="CM378" s="177"/>
      <c r="CN378" s="177"/>
      <c r="CO378" s="176"/>
      <c r="CP378" s="177"/>
      <c r="CQ378" s="177"/>
      <c r="CR378" s="177"/>
      <c r="CS378" s="177"/>
      <c r="CT378" s="176"/>
      <c r="CU378" s="177"/>
      <c r="CV378" s="177"/>
      <c r="CW378" s="177"/>
      <c r="CX378" s="177"/>
      <c r="CY378" s="176"/>
      <c r="CZ378" s="177"/>
      <c r="DA378" s="177"/>
      <c r="DB378" s="177"/>
      <c r="DC378" s="177"/>
      <c r="DD378" s="176"/>
      <c r="DE378" s="177"/>
      <c r="DF378" s="177"/>
      <c r="DG378" s="177"/>
      <c r="DH378" s="177"/>
      <c r="DI378" s="176"/>
      <c r="DJ378" s="177"/>
      <c r="DK378" s="177"/>
      <c r="DL378" s="177"/>
      <c r="DM378" s="177"/>
      <c r="DN378" s="176"/>
      <c r="DO378" s="177"/>
      <c r="DP378" s="177"/>
      <c r="DQ378" s="177"/>
      <c r="DR378" s="177"/>
      <c r="DS378" s="176"/>
      <c r="DT378" s="177"/>
      <c r="DU378" s="177"/>
      <c r="DV378" s="177"/>
      <c r="DW378" s="177"/>
      <c r="DX378" s="176"/>
      <c r="DY378" s="177"/>
      <c r="DZ378" s="177"/>
      <c r="EA378" s="177"/>
      <c r="EB378" s="177"/>
      <c r="EC378" s="176"/>
      <c r="ED378" s="177"/>
      <c r="EE378" s="177"/>
      <c r="EF378" s="177"/>
      <c r="EG378" s="177"/>
      <c r="EH378" s="176"/>
      <c r="EI378" s="177"/>
      <c r="EJ378" s="177"/>
      <c r="EK378" s="177"/>
      <c r="EL378" s="177"/>
      <c r="EM378" s="176"/>
      <c r="EN378" s="177"/>
      <c r="EO378" s="177"/>
      <c r="EP378" s="177"/>
      <c r="EQ378" s="177"/>
      <c r="ER378" s="176"/>
      <c r="ES378" s="177"/>
      <c r="ET378" s="177"/>
      <c r="EU378" s="177"/>
      <c r="EV378" s="177"/>
      <c r="EW378" s="176"/>
      <c r="EX378" s="177"/>
      <c r="EY378" s="177"/>
      <c r="EZ378" s="177"/>
      <c r="FA378" s="177"/>
      <c r="FB378" s="176"/>
      <c r="FC378" s="177"/>
      <c r="FD378" s="177"/>
      <c r="FE378" s="177"/>
      <c r="FF378" s="177"/>
      <c r="FG378" s="176"/>
      <c r="FH378" s="177"/>
      <c r="FI378" s="177"/>
      <c r="FJ378" s="177"/>
      <c r="FK378" s="177"/>
      <c r="FL378" s="176"/>
      <c r="FM378" s="177"/>
      <c r="FN378" s="177"/>
      <c r="FO378" s="177"/>
      <c r="FP378" s="177"/>
      <c r="FQ378" s="176"/>
      <c r="FR378" s="177"/>
      <c r="FS378" s="177"/>
      <c r="FT378" s="177"/>
      <c r="FU378" s="177"/>
      <c r="FV378" s="176"/>
      <c r="FW378" s="177"/>
      <c r="FX378" s="177"/>
      <c r="FY378" s="177"/>
      <c r="FZ378" s="177"/>
      <c r="GA378" s="176"/>
      <c r="GB378" s="177"/>
      <c r="GC378" s="177"/>
      <c r="GD378" s="177"/>
      <c r="GE378" s="177"/>
      <c r="GF378" s="176"/>
      <c r="GG378" s="177"/>
      <c r="GH378" s="177"/>
      <c r="GI378" s="177"/>
      <c r="GJ378" s="177"/>
    </row>
    <row r="379" spans="1:192" s="93" customFormat="1" ht="12.75" customHeight="1">
      <c r="A379" s="68"/>
      <c r="B379" s="677"/>
      <c r="C379" s="139"/>
      <c r="D379" s="105"/>
      <c r="E379" s="105"/>
      <c r="F379" s="105"/>
      <c r="G379" s="105"/>
      <c r="H379" s="139"/>
      <c r="I379" s="105"/>
      <c r="J379" s="105"/>
      <c r="K379" s="105"/>
      <c r="L379" s="105"/>
      <c r="M379" s="139"/>
      <c r="N379" s="105"/>
      <c r="O379" s="105"/>
      <c r="P379" s="105"/>
      <c r="Q379" s="105"/>
      <c r="R379" s="139"/>
      <c r="S379" s="105"/>
      <c r="T379" s="105"/>
      <c r="U379" s="105"/>
      <c r="V379" s="105"/>
      <c r="W379" s="139"/>
      <c r="X379" s="105"/>
      <c r="Y379" s="105"/>
      <c r="Z379" s="105"/>
      <c r="AA379" s="105"/>
      <c r="AB379" s="139"/>
      <c r="AC379" s="105"/>
      <c r="AD379" s="105"/>
      <c r="AE379" s="105"/>
      <c r="AF379" s="105"/>
      <c r="AG379" s="139"/>
      <c r="AH379" s="105"/>
      <c r="AI379" s="105"/>
      <c r="AJ379" s="105"/>
      <c r="AK379" s="105"/>
      <c r="AL379" s="139"/>
      <c r="AM379" s="105"/>
      <c r="AN379" s="105"/>
      <c r="AO379" s="105"/>
      <c r="AP379" s="105"/>
      <c r="AQ379" s="139"/>
      <c r="AR379" s="105"/>
      <c r="AS379" s="105"/>
      <c r="AT379" s="105"/>
      <c r="AU379" s="105"/>
      <c r="AV379" s="139"/>
      <c r="AW379" s="105"/>
      <c r="AX379" s="105"/>
      <c r="AY379" s="105"/>
      <c r="AZ379" s="105"/>
      <c r="BA379" s="139"/>
      <c r="BB379" s="105"/>
      <c r="BC379" s="105"/>
      <c r="BD379" s="105"/>
      <c r="BE379" s="105"/>
      <c r="BF379" s="139"/>
      <c r="BG379" s="105"/>
      <c r="BH379" s="105"/>
      <c r="BI379" s="105"/>
      <c r="BJ379" s="105"/>
      <c r="BK379" s="139"/>
      <c r="BL379" s="105"/>
      <c r="BM379" s="105"/>
      <c r="BN379" s="105"/>
      <c r="BO379" s="105"/>
      <c r="BP379" s="139"/>
      <c r="BQ379" s="105"/>
      <c r="BR379" s="105"/>
      <c r="BS379" s="105"/>
      <c r="BT379" s="105"/>
      <c r="BU379" s="139"/>
      <c r="BV379" s="105"/>
      <c r="BW379" s="105"/>
      <c r="BX379" s="105"/>
      <c r="BY379" s="105"/>
      <c r="BZ379" s="139"/>
      <c r="CA379" s="105"/>
      <c r="CB379" s="105"/>
      <c r="CC379" s="105"/>
      <c r="CD379" s="105"/>
      <c r="CE379" s="139"/>
      <c r="CF379" s="105"/>
      <c r="CG379" s="105"/>
      <c r="CH379" s="105"/>
      <c r="CI379" s="105"/>
      <c r="CJ379" s="139"/>
      <c r="CK379" s="105"/>
      <c r="CL379" s="105"/>
      <c r="CM379" s="105"/>
      <c r="CN379" s="105"/>
      <c r="CO379" s="139"/>
      <c r="CP379" s="105"/>
      <c r="CQ379" s="105"/>
      <c r="CR379" s="105"/>
      <c r="CS379" s="105"/>
      <c r="CT379" s="139"/>
      <c r="CU379" s="105"/>
      <c r="CV379" s="105"/>
      <c r="CW379" s="105"/>
      <c r="CX379" s="105"/>
      <c r="CY379" s="139"/>
      <c r="CZ379" s="105"/>
      <c r="DA379" s="105"/>
      <c r="DB379" s="105"/>
      <c r="DC379" s="105"/>
      <c r="DD379" s="139"/>
      <c r="DE379" s="105"/>
      <c r="DF379" s="105"/>
      <c r="DG379" s="105"/>
      <c r="DH379" s="105"/>
      <c r="DI379" s="139"/>
      <c r="DJ379" s="105"/>
      <c r="DK379" s="105"/>
      <c r="DL379" s="105"/>
      <c r="DM379" s="105"/>
      <c r="DN379" s="139"/>
      <c r="DO379" s="105"/>
      <c r="DP379" s="105"/>
      <c r="DQ379" s="105"/>
      <c r="DR379" s="105"/>
      <c r="DS379" s="139"/>
      <c r="DT379" s="105"/>
      <c r="DU379" s="105"/>
      <c r="DV379" s="105"/>
      <c r="DW379" s="105"/>
      <c r="DX379" s="139"/>
      <c r="DY379" s="105"/>
      <c r="DZ379" s="105"/>
      <c r="EA379" s="105"/>
      <c r="EB379" s="105"/>
      <c r="EC379" s="139"/>
      <c r="ED379" s="105"/>
      <c r="EE379" s="105"/>
      <c r="EF379" s="105"/>
      <c r="EG379" s="105"/>
      <c r="EH379" s="139"/>
      <c r="EI379" s="105"/>
      <c r="EJ379" s="105"/>
      <c r="EK379" s="105"/>
      <c r="EL379" s="105"/>
      <c r="EM379" s="139"/>
      <c r="EN379" s="105"/>
      <c r="EO379" s="105"/>
      <c r="EP379" s="105"/>
      <c r="EQ379" s="105"/>
      <c r="ER379" s="139"/>
      <c r="ES379" s="105"/>
      <c r="ET379" s="105"/>
      <c r="EU379" s="105"/>
      <c r="EV379" s="105"/>
      <c r="EW379" s="139"/>
      <c r="EX379" s="105"/>
      <c r="EY379" s="105"/>
      <c r="EZ379" s="105"/>
      <c r="FA379" s="105"/>
      <c r="FB379" s="139"/>
      <c r="FC379" s="105"/>
      <c r="FD379" s="105"/>
      <c r="FE379" s="105"/>
      <c r="FF379" s="105"/>
      <c r="FG379" s="139"/>
      <c r="FH379" s="105"/>
      <c r="FI379" s="105"/>
      <c r="FJ379" s="105"/>
      <c r="FK379" s="105"/>
      <c r="FL379" s="139"/>
      <c r="FM379" s="105"/>
      <c r="FN379" s="105"/>
      <c r="FO379" s="105"/>
      <c r="FP379" s="105"/>
      <c r="FQ379" s="139"/>
      <c r="FR379" s="105"/>
      <c r="FS379" s="105"/>
      <c r="FT379" s="105"/>
      <c r="FU379" s="105"/>
      <c r="FV379" s="139"/>
      <c r="FW379" s="105"/>
      <c r="FX379" s="105"/>
      <c r="FY379" s="105"/>
      <c r="FZ379" s="105"/>
      <c r="GA379" s="139"/>
      <c r="GB379" s="105"/>
      <c r="GC379" s="105"/>
      <c r="GD379" s="105"/>
      <c r="GE379" s="105"/>
      <c r="GF379" s="139"/>
      <c r="GG379" s="105"/>
      <c r="GH379" s="105"/>
      <c r="GI379" s="105"/>
      <c r="GJ379" s="105"/>
    </row>
    <row r="383" spans="1:192" s="93" customFormat="1" ht="12.75" customHeight="1">
      <c r="A383" s="68"/>
      <c r="B383" s="677"/>
      <c r="C383" s="139"/>
      <c r="D383" s="105"/>
      <c r="E383" s="105"/>
      <c r="F383" s="105"/>
      <c r="G383" s="105"/>
      <c r="H383" s="139"/>
      <c r="I383" s="105"/>
      <c r="J383" s="105"/>
      <c r="K383" s="105"/>
      <c r="L383" s="105"/>
      <c r="M383" s="139"/>
      <c r="N383" s="105"/>
      <c r="O383" s="105"/>
      <c r="P383" s="105"/>
      <c r="Q383" s="105"/>
      <c r="R383" s="139"/>
      <c r="S383" s="105"/>
      <c r="T383" s="105"/>
      <c r="U383" s="105"/>
      <c r="V383" s="105"/>
      <c r="W383" s="139"/>
      <c r="X383" s="105"/>
      <c r="Y383" s="105"/>
      <c r="Z383" s="105"/>
      <c r="AA383" s="105"/>
      <c r="AB383" s="139"/>
      <c r="AC383" s="105"/>
      <c r="AD383" s="105"/>
      <c r="AE383" s="105"/>
      <c r="AF383" s="105"/>
      <c r="AG383" s="139"/>
      <c r="AH383" s="105"/>
      <c r="AI383" s="105"/>
      <c r="AJ383" s="105"/>
      <c r="AK383" s="105"/>
      <c r="AL383" s="139"/>
      <c r="AM383" s="105"/>
      <c r="AN383" s="105"/>
      <c r="AO383" s="105"/>
      <c r="AP383" s="105"/>
      <c r="AQ383" s="139"/>
      <c r="AR383" s="105"/>
      <c r="AS383" s="105"/>
      <c r="AT383" s="105"/>
      <c r="AU383" s="105"/>
      <c r="AV383" s="139"/>
      <c r="AW383" s="105"/>
      <c r="AX383" s="105"/>
      <c r="AY383" s="105"/>
      <c r="AZ383" s="105"/>
      <c r="BA383" s="139"/>
      <c r="BB383" s="105"/>
      <c r="BC383" s="105"/>
      <c r="BD383" s="105"/>
      <c r="BE383" s="105"/>
      <c r="BF383" s="139"/>
      <c r="BG383" s="105"/>
      <c r="BH383" s="105"/>
      <c r="BI383" s="105"/>
      <c r="BJ383" s="105"/>
      <c r="BK383" s="139"/>
      <c r="BL383" s="105"/>
      <c r="BM383" s="105"/>
      <c r="BN383" s="105"/>
      <c r="BO383" s="105"/>
      <c r="BP383" s="139"/>
      <c r="BQ383" s="105"/>
      <c r="BR383" s="105"/>
      <c r="BS383" s="105"/>
      <c r="BT383" s="105"/>
      <c r="BU383" s="139"/>
      <c r="BV383" s="105"/>
      <c r="BW383" s="105"/>
      <c r="BX383" s="105"/>
      <c r="BY383" s="105"/>
      <c r="BZ383" s="139"/>
      <c r="CA383" s="105"/>
      <c r="CB383" s="105"/>
      <c r="CC383" s="105"/>
      <c r="CD383" s="105"/>
      <c r="CE383" s="139"/>
      <c r="CF383" s="105"/>
      <c r="CG383" s="105"/>
      <c r="CH383" s="105"/>
      <c r="CI383" s="105"/>
      <c r="CJ383" s="139"/>
      <c r="CK383" s="105"/>
      <c r="CL383" s="105"/>
      <c r="CM383" s="105"/>
      <c r="CN383" s="105"/>
      <c r="CO383" s="139"/>
      <c r="CP383" s="105"/>
      <c r="CQ383" s="105"/>
      <c r="CR383" s="105"/>
      <c r="CS383" s="105"/>
      <c r="CT383" s="139"/>
      <c r="CU383" s="105"/>
      <c r="CV383" s="105"/>
      <c r="CW383" s="105"/>
      <c r="CX383" s="105"/>
      <c r="CY383" s="139"/>
      <c r="CZ383" s="105"/>
      <c r="DA383" s="105"/>
      <c r="DB383" s="105"/>
      <c r="DC383" s="105"/>
      <c r="DD383" s="139"/>
      <c r="DE383" s="105"/>
      <c r="DF383" s="105"/>
      <c r="DG383" s="105"/>
      <c r="DH383" s="105"/>
      <c r="DI383" s="139"/>
      <c r="DJ383" s="105"/>
      <c r="DK383" s="105"/>
      <c r="DL383" s="105"/>
      <c r="DM383" s="105"/>
      <c r="DN383" s="139"/>
      <c r="DO383" s="105"/>
      <c r="DP383" s="105"/>
      <c r="DQ383" s="105"/>
      <c r="DR383" s="105"/>
      <c r="DS383" s="139"/>
      <c r="DT383" s="105"/>
      <c r="DU383" s="105"/>
      <c r="DV383" s="105"/>
      <c r="DW383" s="105"/>
      <c r="DX383" s="139"/>
      <c r="DY383" s="105"/>
      <c r="DZ383" s="105"/>
      <c r="EA383" s="105"/>
      <c r="EB383" s="105"/>
      <c r="EC383" s="139"/>
      <c r="ED383" s="105"/>
      <c r="EE383" s="105"/>
      <c r="EF383" s="105"/>
      <c r="EG383" s="105"/>
      <c r="EH383" s="139"/>
      <c r="EI383" s="105"/>
      <c r="EJ383" s="105"/>
      <c r="EK383" s="105"/>
      <c r="EL383" s="105"/>
      <c r="EM383" s="139"/>
      <c r="EN383" s="105"/>
      <c r="EO383" s="105"/>
      <c r="EP383" s="105"/>
      <c r="EQ383" s="105"/>
      <c r="ER383" s="139"/>
      <c r="ES383" s="105"/>
      <c r="ET383" s="105"/>
      <c r="EU383" s="105"/>
      <c r="EV383" s="105"/>
      <c r="EW383" s="139"/>
      <c r="EX383" s="105"/>
      <c r="EY383" s="105"/>
      <c r="EZ383" s="105"/>
      <c r="FA383" s="105"/>
      <c r="FB383" s="139"/>
      <c r="FC383" s="105"/>
      <c r="FD383" s="105"/>
      <c r="FE383" s="105"/>
      <c r="FF383" s="105"/>
      <c r="FG383" s="139"/>
      <c r="FH383" s="105"/>
      <c r="FI383" s="105"/>
      <c r="FJ383" s="105"/>
      <c r="FK383" s="105"/>
      <c r="FL383" s="139"/>
      <c r="FM383" s="105"/>
      <c r="FN383" s="105"/>
      <c r="FO383" s="105"/>
      <c r="FP383" s="105"/>
      <c r="FQ383" s="139"/>
      <c r="FR383" s="105"/>
      <c r="FS383" s="105"/>
      <c r="FT383" s="105"/>
      <c r="FU383" s="105"/>
      <c r="FV383" s="139"/>
      <c r="FW383" s="105"/>
      <c r="FX383" s="105"/>
      <c r="FY383" s="105"/>
      <c r="FZ383" s="105"/>
      <c r="GA383" s="139"/>
      <c r="GB383" s="105"/>
      <c r="GC383" s="105"/>
      <c r="GD383" s="105"/>
      <c r="GE383" s="105"/>
      <c r="GF383" s="139"/>
      <c r="GG383" s="105"/>
      <c r="GH383" s="105"/>
      <c r="GI383" s="105"/>
      <c r="GJ383" s="105"/>
    </row>
    <row r="384" spans="1:192" s="93" customFormat="1" ht="12.75" customHeight="1">
      <c r="A384" s="68"/>
      <c r="B384" s="677"/>
      <c r="C384" s="139"/>
      <c r="D384" s="105"/>
      <c r="E384" s="105"/>
      <c r="F384" s="105"/>
      <c r="G384" s="105"/>
      <c r="H384" s="139"/>
      <c r="I384" s="105"/>
      <c r="J384" s="105"/>
      <c r="K384" s="105"/>
      <c r="L384" s="105"/>
      <c r="M384" s="139"/>
      <c r="N384" s="105"/>
      <c r="O384" s="105"/>
      <c r="P384" s="105"/>
      <c r="Q384" s="105"/>
      <c r="R384" s="139"/>
      <c r="S384" s="105"/>
      <c r="T384" s="105"/>
      <c r="U384" s="105"/>
      <c r="V384" s="105"/>
      <c r="W384" s="139"/>
      <c r="X384" s="105"/>
      <c r="Y384" s="105"/>
      <c r="Z384" s="105"/>
      <c r="AA384" s="105"/>
      <c r="AB384" s="139"/>
      <c r="AC384" s="105"/>
      <c r="AD384" s="105"/>
      <c r="AE384" s="105"/>
      <c r="AF384" s="105"/>
      <c r="AG384" s="139"/>
      <c r="AH384" s="105"/>
      <c r="AI384" s="105"/>
      <c r="AJ384" s="105"/>
      <c r="AK384" s="105"/>
      <c r="AL384" s="139"/>
      <c r="AM384" s="105"/>
      <c r="AN384" s="105"/>
      <c r="AO384" s="105"/>
      <c r="AP384" s="105"/>
      <c r="AQ384" s="139"/>
      <c r="AR384" s="105"/>
      <c r="AS384" s="105"/>
      <c r="AT384" s="105"/>
      <c r="AU384" s="105"/>
      <c r="AV384" s="139"/>
      <c r="AW384" s="105"/>
      <c r="AX384" s="105"/>
      <c r="AY384" s="105"/>
      <c r="AZ384" s="105"/>
      <c r="BA384" s="139"/>
      <c r="BB384" s="105"/>
      <c r="BC384" s="105"/>
      <c r="BD384" s="105"/>
      <c r="BE384" s="105"/>
      <c r="BF384" s="139"/>
      <c r="BG384" s="105"/>
      <c r="BH384" s="105"/>
      <c r="BI384" s="105"/>
      <c r="BJ384" s="105"/>
      <c r="BK384" s="139"/>
      <c r="BL384" s="105"/>
      <c r="BM384" s="105"/>
      <c r="BN384" s="105"/>
      <c r="BO384" s="105"/>
      <c r="BP384" s="139"/>
      <c r="BQ384" s="105"/>
      <c r="BR384" s="105"/>
      <c r="BS384" s="105"/>
      <c r="BT384" s="105"/>
      <c r="BU384" s="139"/>
      <c r="BV384" s="105"/>
      <c r="BW384" s="105"/>
      <c r="BX384" s="105"/>
      <c r="BY384" s="105"/>
      <c r="BZ384" s="139"/>
      <c r="CA384" s="105"/>
      <c r="CB384" s="105"/>
      <c r="CC384" s="105"/>
      <c r="CD384" s="105"/>
      <c r="CE384" s="139"/>
      <c r="CF384" s="105"/>
      <c r="CG384" s="105"/>
      <c r="CH384" s="105"/>
      <c r="CI384" s="105"/>
      <c r="CJ384" s="139"/>
      <c r="CK384" s="105"/>
      <c r="CL384" s="105"/>
      <c r="CM384" s="105"/>
      <c r="CN384" s="105"/>
      <c r="CO384" s="139"/>
      <c r="CP384" s="105"/>
      <c r="CQ384" s="105"/>
      <c r="CR384" s="105"/>
      <c r="CS384" s="105"/>
      <c r="CT384" s="139"/>
      <c r="CU384" s="105"/>
      <c r="CV384" s="105"/>
      <c r="CW384" s="105"/>
      <c r="CX384" s="105"/>
      <c r="CY384" s="139"/>
      <c r="CZ384" s="105"/>
      <c r="DA384" s="105"/>
      <c r="DB384" s="105"/>
      <c r="DC384" s="105"/>
      <c r="DD384" s="139"/>
      <c r="DE384" s="105"/>
      <c r="DF384" s="105"/>
      <c r="DG384" s="105"/>
      <c r="DH384" s="105"/>
      <c r="DI384" s="139"/>
      <c r="DJ384" s="105"/>
      <c r="DK384" s="105"/>
      <c r="DL384" s="105"/>
      <c r="DM384" s="105"/>
      <c r="DN384" s="139"/>
      <c r="DO384" s="105"/>
      <c r="DP384" s="105"/>
      <c r="DQ384" s="105"/>
      <c r="DR384" s="105"/>
      <c r="DS384" s="139"/>
      <c r="DT384" s="105"/>
      <c r="DU384" s="105"/>
      <c r="DV384" s="105"/>
      <c r="DW384" s="105"/>
      <c r="DX384" s="139"/>
      <c r="DY384" s="105"/>
      <c r="DZ384" s="105"/>
      <c r="EA384" s="105"/>
      <c r="EB384" s="105"/>
      <c r="EC384" s="139"/>
      <c r="ED384" s="105"/>
      <c r="EE384" s="105"/>
      <c r="EF384" s="105"/>
      <c r="EG384" s="105"/>
      <c r="EH384" s="139"/>
      <c r="EI384" s="105"/>
      <c r="EJ384" s="105"/>
      <c r="EK384" s="105"/>
      <c r="EL384" s="105"/>
      <c r="EM384" s="139"/>
      <c r="EN384" s="105"/>
      <c r="EO384" s="105"/>
      <c r="EP384" s="105"/>
      <c r="EQ384" s="105"/>
      <c r="ER384" s="139"/>
      <c r="ES384" s="105"/>
      <c r="ET384" s="105"/>
      <c r="EU384" s="105"/>
      <c r="EV384" s="105"/>
      <c r="EW384" s="139"/>
      <c r="EX384" s="105"/>
      <c r="EY384" s="105"/>
      <c r="EZ384" s="105"/>
      <c r="FA384" s="105"/>
      <c r="FB384" s="139"/>
      <c r="FC384" s="105"/>
      <c r="FD384" s="105"/>
      <c r="FE384" s="105"/>
      <c r="FF384" s="105"/>
      <c r="FG384" s="139"/>
      <c r="FH384" s="105"/>
      <c r="FI384" s="105"/>
      <c r="FJ384" s="105"/>
      <c r="FK384" s="105"/>
      <c r="FL384" s="139"/>
      <c r="FM384" s="105"/>
      <c r="FN384" s="105"/>
      <c r="FO384" s="105"/>
      <c r="FP384" s="105"/>
      <c r="FQ384" s="139"/>
      <c r="FR384" s="105"/>
      <c r="FS384" s="105"/>
      <c r="FT384" s="105"/>
      <c r="FU384" s="105"/>
      <c r="FV384" s="139"/>
      <c r="FW384" s="105"/>
      <c r="FX384" s="105"/>
      <c r="FY384" s="105"/>
      <c r="FZ384" s="105"/>
      <c r="GA384" s="139"/>
      <c r="GB384" s="105"/>
      <c r="GC384" s="105"/>
      <c r="GD384" s="105"/>
      <c r="GE384" s="105"/>
      <c r="GF384" s="139"/>
      <c r="GG384" s="105"/>
      <c r="GH384" s="105"/>
      <c r="GI384" s="105"/>
      <c r="GJ384" s="105"/>
    </row>
    <row r="385" spans="1:192" s="93" customFormat="1" ht="12.75" customHeight="1">
      <c r="A385" s="68"/>
      <c r="B385" s="677"/>
      <c r="C385" s="183"/>
      <c r="D385" s="184"/>
      <c r="E385" s="184"/>
      <c r="F385" s="184"/>
      <c r="G385" s="184"/>
      <c r="H385" s="183"/>
      <c r="I385" s="184"/>
      <c r="J385" s="184"/>
      <c r="K385" s="184"/>
      <c r="L385" s="184"/>
      <c r="M385" s="183"/>
      <c r="N385" s="184"/>
      <c r="O385" s="184"/>
      <c r="P385" s="184"/>
      <c r="Q385" s="184"/>
      <c r="R385" s="183"/>
      <c r="S385" s="184"/>
      <c r="T385" s="184"/>
      <c r="U385" s="184"/>
      <c r="V385" s="184"/>
      <c r="W385" s="183"/>
      <c r="X385" s="184"/>
      <c r="Y385" s="184"/>
      <c r="Z385" s="184"/>
      <c r="AA385" s="184"/>
      <c r="AB385" s="183"/>
      <c r="AC385" s="184"/>
      <c r="AD385" s="184"/>
      <c r="AE385" s="184"/>
      <c r="AF385" s="184"/>
      <c r="AG385" s="183"/>
      <c r="AH385" s="184"/>
      <c r="AI385" s="184"/>
      <c r="AJ385" s="184"/>
      <c r="AK385" s="184"/>
      <c r="AL385" s="183"/>
      <c r="AM385" s="184"/>
      <c r="AN385" s="184"/>
      <c r="AO385" s="184"/>
      <c r="AP385" s="184"/>
      <c r="AQ385" s="183"/>
      <c r="AR385" s="184"/>
      <c r="AS385" s="184"/>
      <c r="AT385" s="184"/>
      <c r="AU385" s="184"/>
      <c r="AV385" s="183"/>
      <c r="AW385" s="184"/>
      <c r="AX385" s="184"/>
      <c r="AY385" s="184"/>
      <c r="AZ385" s="184"/>
      <c r="BA385" s="183"/>
      <c r="BB385" s="184"/>
      <c r="BC385" s="184"/>
      <c r="BD385" s="184"/>
      <c r="BE385" s="184"/>
      <c r="BF385" s="183"/>
      <c r="BG385" s="184"/>
      <c r="BH385" s="184"/>
      <c r="BI385" s="184"/>
      <c r="BJ385" s="184"/>
      <c r="BK385" s="183"/>
      <c r="BL385" s="184"/>
      <c r="BM385" s="184"/>
      <c r="BN385" s="184"/>
      <c r="BO385" s="184"/>
      <c r="BP385" s="183"/>
      <c r="BQ385" s="184"/>
      <c r="BR385" s="184"/>
      <c r="BS385" s="184"/>
      <c r="BT385" s="184"/>
      <c r="BU385" s="183"/>
      <c r="BV385" s="184"/>
      <c r="BW385" s="184"/>
      <c r="BX385" s="184"/>
      <c r="BY385" s="184"/>
      <c r="BZ385" s="183"/>
      <c r="CA385" s="184"/>
      <c r="CB385" s="184"/>
      <c r="CC385" s="184"/>
      <c r="CD385" s="184"/>
      <c r="CE385" s="183"/>
      <c r="CF385" s="184"/>
      <c r="CG385" s="184"/>
      <c r="CH385" s="184"/>
      <c r="CI385" s="184"/>
      <c r="CJ385" s="183"/>
      <c r="CK385" s="184"/>
      <c r="CL385" s="184"/>
      <c r="CM385" s="184"/>
      <c r="CN385" s="184"/>
      <c r="CO385" s="183"/>
      <c r="CP385" s="184"/>
      <c r="CQ385" s="184"/>
      <c r="CR385" s="184"/>
      <c r="CS385" s="184"/>
      <c r="CT385" s="183"/>
      <c r="CU385" s="184"/>
      <c r="CV385" s="184"/>
      <c r="CW385" s="184"/>
      <c r="CX385" s="184"/>
      <c r="CY385" s="183"/>
      <c r="CZ385" s="184"/>
      <c r="DA385" s="184"/>
      <c r="DB385" s="184"/>
      <c r="DC385" s="184"/>
      <c r="DD385" s="183"/>
      <c r="DE385" s="184"/>
      <c r="DF385" s="184"/>
      <c r="DG385" s="184"/>
      <c r="DH385" s="184"/>
      <c r="DI385" s="183"/>
      <c r="DJ385" s="184"/>
      <c r="DK385" s="184"/>
      <c r="DL385" s="184"/>
      <c r="DM385" s="184"/>
      <c r="DN385" s="183"/>
      <c r="DO385" s="184"/>
      <c r="DP385" s="184"/>
      <c r="DQ385" s="184"/>
      <c r="DR385" s="184"/>
      <c r="DS385" s="183"/>
      <c r="DT385" s="184"/>
      <c r="DU385" s="184"/>
      <c r="DV385" s="184"/>
      <c r="DW385" s="184"/>
      <c r="DX385" s="183"/>
      <c r="DY385" s="184"/>
      <c r="DZ385" s="184"/>
      <c r="EA385" s="184"/>
      <c r="EB385" s="184"/>
      <c r="EC385" s="183"/>
      <c r="ED385" s="184"/>
      <c r="EE385" s="184"/>
      <c r="EF385" s="184"/>
      <c r="EG385" s="184"/>
      <c r="EH385" s="183"/>
      <c r="EI385" s="184"/>
      <c r="EJ385" s="184"/>
      <c r="EK385" s="184"/>
      <c r="EL385" s="184"/>
      <c r="EM385" s="183"/>
      <c r="EN385" s="184"/>
      <c r="EO385" s="184"/>
      <c r="EP385" s="184"/>
      <c r="EQ385" s="184"/>
      <c r="ER385" s="183"/>
      <c r="ES385" s="184"/>
      <c r="ET385" s="184"/>
      <c r="EU385" s="184"/>
      <c r="EV385" s="184"/>
      <c r="EW385" s="183"/>
      <c r="EX385" s="184"/>
      <c r="EY385" s="184"/>
      <c r="EZ385" s="184"/>
      <c r="FA385" s="184"/>
      <c r="FB385" s="183"/>
      <c r="FC385" s="184"/>
      <c r="FD385" s="184"/>
      <c r="FE385" s="184"/>
      <c r="FF385" s="184"/>
      <c r="FG385" s="183"/>
      <c r="FH385" s="184"/>
      <c r="FI385" s="184"/>
      <c r="FJ385" s="184"/>
      <c r="FK385" s="184"/>
      <c r="FL385" s="183"/>
      <c r="FM385" s="184"/>
      <c r="FN385" s="184"/>
      <c r="FO385" s="184"/>
      <c r="FP385" s="184"/>
      <c r="FQ385" s="183"/>
      <c r="FR385" s="184"/>
      <c r="FS385" s="184"/>
      <c r="FT385" s="184"/>
      <c r="FU385" s="184"/>
      <c r="FV385" s="183"/>
      <c r="FW385" s="184"/>
      <c r="FX385" s="184"/>
      <c r="FY385" s="184"/>
      <c r="FZ385" s="184"/>
      <c r="GA385" s="183"/>
      <c r="GB385" s="184"/>
      <c r="GC385" s="184"/>
      <c r="GD385" s="184"/>
      <c r="GE385" s="184"/>
      <c r="GF385" s="183"/>
      <c r="GG385" s="184"/>
      <c r="GH385" s="184"/>
      <c r="GI385" s="184"/>
      <c r="GJ385" s="184"/>
    </row>
    <row r="386" spans="1:192" s="93" customFormat="1" ht="12.75" customHeight="1">
      <c r="A386" s="68"/>
      <c r="B386" s="677"/>
      <c r="C386" s="139"/>
      <c r="D386" s="105"/>
      <c r="E386" s="105"/>
      <c r="F386" s="105"/>
      <c r="G386" s="105"/>
      <c r="H386" s="139"/>
      <c r="I386" s="105"/>
      <c r="J386" s="105"/>
      <c r="K386" s="105"/>
      <c r="L386" s="105"/>
      <c r="M386" s="139"/>
      <c r="N386" s="105"/>
      <c r="O386" s="105"/>
      <c r="P386" s="105"/>
      <c r="Q386" s="105"/>
      <c r="R386" s="139"/>
      <c r="S386" s="105"/>
      <c r="T386" s="105"/>
      <c r="U386" s="105"/>
      <c r="V386" s="105"/>
      <c r="W386" s="139"/>
      <c r="X386" s="105"/>
      <c r="Y386" s="105"/>
      <c r="Z386" s="105"/>
      <c r="AA386" s="105"/>
      <c r="AB386" s="139"/>
      <c r="AC386" s="105"/>
      <c r="AD386" s="105"/>
      <c r="AE386" s="105"/>
      <c r="AF386" s="105"/>
      <c r="AG386" s="139"/>
      <c r="AH386" s="105"/>
      <c r="AI386" s="105"/>
      <c r="AJ386" s="105"/>
      <c r="AK386" s="105"/>
      <c r="AL386" s="139"/>
      <c r="AM386" s="105"/>
      <c r="AN386" s="105"/>
      <c r="AO386" s="105"/>
      <c r="AP386" s="105"/>
      <c r="AQ386" s="139"/>
      <c r="AR386" s="105"/>
      <c r="AS386" s="105"/>
      <c r="AT386" s="105"/>
      <c r="AU386" s="105"/>
      <c r="AV386" s="139"/>
      <c r="AW386" s="105"/>
      <c r="AX386" s="105"/>
      <c r="AY386" s="105"/>
      <c r="AZ386" s="105"/>
      <c r="BA386" s="139"/>
      <c r="BB386" s="105"/>
      <c r="BC386" s="105"/>
      <c r="BD386" s="105"/>
      <c r="BE386" s="105"/>
      <c r="BF386" s="139"/>
      <c r="BG386" s="105"/>
      <c r="BH386" s="105"/>
      <c r="BI386" s="105"/>
      <c r="BJ386" s="105"/>
      <c r="BK386" s="139"/>
      <c r="BL386" s="105"/>
      <c r="BM386" s="105"/>
      <c r="BN386" s="105"/>
      <c r="BO386" s="105"/>
      <c r="BP386" s="139"/>
      <c r="BQ386" s="105"/>
      <c r="BR386" s="105"/>
      <c r="BS386" s="105"/>
      <c r="BT386" s="105"/>
      <c r="BU386" s="139"/>
      <c r="BV386" s="105"/>
      <c r="BW386" s="105"/>
      <c r="BX386" s="105"/>
      <c r="BY386" s="105"/>
      <c r="BZ386" s="139"/>
      <c r="CA386" s="105"/>
      <c r="CB386" s="105"/>
      <c r="CC386" s="105"/>
      <c r="CD386" s="105"/>
      <c r="CE386" s="139"/>
      <c r="CF386" s="105"/>
      <c r="CG386" s="105"/>
      <c r="CH386" s="105"/>
      <c r="CI386" s="105"/>
      <c r="CJ386" s="139"/>
      <c r="CK386" s="105"/>
      <c r="CL386" s="105"/>
      <c r="CM386" s="105"/>
      <c r="CN386" s="105"/>
      <c r="CO386" s="139"/>
      <c r="CP386" s="105"/>
      <c r="CQ386" s="105"/>
      <c r="CR386" s="105"/>
      <c r="CS386" s="105"/>
      <c r="CT386" s="139"/>
      <c r="CU386" s="105"/>
      <c r="CV386" s="105"/>
      <c r="CW386" s="105"/>
      <c r="CX386" s="105"/>
      <c r="CY386" s="139"/>
      <c r="CZ386" s="105"/>
      <c r="DA386" s="105"/>
      <c r="DB386" s="105"/>
      <c r="DC386" s="105"/>
      <c r="DD386" s="139"/>
      <c r="DE386" s="105"/>
      <c r="DF386" s="105"/>
      <c r="DG386" s="105"/>
      <c r="DH386" s="105"/>
      <c r="DI386" s="139"/>
      <c r="DJ386" s="105"/>
      <c r="DK386" s="105"/>
      <c r="DL386" s="105"/>
      <c r="DM386" s="105"/>
      <c r="DN386" s="139"/>
      <c r="DO386" s="105"/>
      <c r="DP386" s="105"/>
      <c r="DQ386" s="105"/>
      <c r="DR386" s="105"/>
      <c r="DS386" s="139"/>
      <c r="DT386" s="105"/>
      <c r="DU386" s="105"/>
      <c r="DV386" s="105"/>
      <c r="DW386" s="105"/>
      <c r="DX386" s="139"/>
      <c r="DY386" s="105"/>
      <c r="DZ386" s="105"/>
      <c r="EA386" s="105"/>
      <c r="EB386" s="105"/>
      <c r="EC386" s="139"/>
      <c r="ED386" s="105"/>
      <c r="EE386" s="105"/>
      <c r="EF386" s="105"/>
      <c r="EG386" s="105"/>
      <c r="EH386" s="139"/>
      <c r="EI386" s="105"/>
      <c r="EJ386" s="105"/>
      <c r="EK386" s="105"/>
      <c r="EL386" s="105"/>
      <c r="EM386" s="139"/>
      <c r="EN386" s="105"/>
      <c r="EO386" s="105"/>
      <c r="EP386" s="105"/>
      <c r="EQ386" s="105"/>
      <c r="ER386" s="139"/>
      <c r="ES386" s="105"/>
      <c r="ET386" s="105"/>
      <c r="EU386" s="105"/>
      <c r="EV386" s="105"/>
      <c r="EW386" s="139"/>
      <c r="EX386" s="105"/>
      <c r="EY386" s="105"/>
      <c r="EZ386" s="105"/>
      <c r="FA386" s="105"/>
      <c r="FB386" s="139"/>
      <c r="FC386" s="105"/>
      <c r="FD386" s="105"/>
      <c r="FE386" s="105"/>
      <c r="FF386" s="105"/>
      <c r="FG386" s="139"/>
      <c r="FH386" s="105"/>
      <c r="FI386" s="105"/>
      <c r="FJ386" s="105"/>
      <c r="FK386" s="105"/>
      <c r="FL386" s="139"/>
      <c r="FM386" s="105"/>
      <c r="FN386" s="105"/>
      <c r="FO386" s="105"/>
      <c r="FP386" s="105"/>
      <c r="FQ386" s="139"/>
      <c r="FR386" s="105"/>
      <c r="FS386" s="105"/>
      <c r="FT386" s="105"/>
      <c r="FU386" s="105"/>
      <c r="FV386" s="139"/>
      <c r="FW386" s="105"/>
      <c r="FX386" s="105"/>
      <c r="FY386" s="105"/>
      <c r="FZ386" s="105"/>
      <c r="GA386" s="139"/>
      <c r="GB386" s="105"/>
      <c r="GC386" s="105"/>
      <c r="GD386" s="105"/>
      <c r="GE386" s="105"/>
      <c r="GF386" s="139"/>
      <c r="GG386" s="105"/>
      <c r="GH386" s="105"/>
      <c r="GI386" s="105"/>
      <c r="GJ386" s="105"/>
    </row>
    <row r="387" spans="1:192" s="93" customFormat="1" ht="12.75" customHeight="1">
      <c r="A387" s="68"/>
      <c r="B387" s="677"/>
      <c r="C387" s="190"/>
      <c r="D387" s="191"/>
      <c r="E387" s="191"/>
      <c r="F387" s="191"/>
      <c r="G387" s="191"/>
      <c r="H387" s="190"/>
      <c r="I387" s="191"/>
      <c r="J387" s="191"/>
      <c r="K387" s="191"/>
      <c r="L387" s="191"/>
      <c r="M387" s="190"/>
      <c r="N387" s="191"/>
      <c r="O387" s="191"/>
      <c r="P387" s="191"/>
      <c r="Q387" s="191"/>
      <c r="R387" s="190"/>
      <c r="S387" s="191"/>
      <c r="T387" s="191"/>
      <c r="U387" s="191"/>
      <c r="V387" s="191"/>
      <c r="W387" s="190"/>
      <c r="X387" s="191"/>
      <c r="Y387" s="191"/>
      <c r="Z387" s="191"/>
      <c r="AA387" s="191"/>
      <c r="AB387" s="190"/>
      <c r="AC387" s="191"/>
      <c r="AD387" s="191"/>
      <c r="AE387" s="191"/>
      <c r="AF387" s="191"/>
      <c r="AG387" s="190"/>
      <c r="AH387" s="191"/>
      <c r="AI387" s="191"/>
      <c r="AJ387" s="191"/>
      <c r="AK387" s="191"/>
      <c r="AL387" s="190"/>
      <c r="AM387" s="191"/>
      <c r="AN387" s="191"/>
      <c r="AO387" s="191"/>
      <c r="AP387" s="191"/>
      <c r="AQ387" s="190"/>
      <c r="AR387" s="191"/>
      <c r="AS387" s="191"/>
      <c r="AT387" s="191"/>
      <c r="AU387" s="191"/>
      <c r="AV387" s="190"/>
      <c r="AW387" s="191"/>
      <c r="AX387" s="191"/>
      <c r="AY387" s="191"/>
      <c r="AZ387" s="191"/>
      <c r="BA387" s="190"/>
      <c r="BB387" s="191"/>
      <c r="BC387" s="191"/>
      <c r="BD387" s="191"/>
      <c r="BE387" s="191"/>
      <c r="BF387" s="190"/>
      <c r="BG387" s="191"/>
      <c r="BH387" s="191"/>
      <c r="BI387" s="191"/>
      <c r="BJ387" s="191"/>
      <c r="BK387" s="190"/>
      <c r="BL387" s="191"/>
      <c r="BM387" s="191"/>
      <c r="BN387" s="191"/>
      <c r="BO387" s="191"/>
      <c r="BP387" s="190"/>
      <c r="BQ387" s="191"/>
      <c r="BR387" s="191"/>
      <c r="BS387" s="191"/>
      <c r="BT387" s="191"/>
      <c r="BU387" s="190"/>
      <c r="BV387" s="191"/>
      <c r="BW387" s="191"/>
      <c r="BX387" s="191"/>
      <c r="BY387" s="191"/>
      <c r="BZ387" s="190"/>
      <c r="CA387" s="191"/>
      <c r="CB387" s="191"/>
      <c r="CC387" s="191"/>
      <c r="CD387" s="191"/>
      <c r="CE387" s="190"/>
      <c r="CF387" s="191"/>
      <c r="CG387" s="191"/>
      <c r="CH387" s="191"/>
      <c r="CI387" s="191"/>
      <c r="CJ387" s="190"/>
      <c r="CK387" s="191"/>
      <c r="CL387" s="191"/>
      <c r="CM387" s="191"/>
      <c r="CN387" s="191"/>
      <c r="CO387" s="190"/>
      <c r="CP387" s="191"/>
      <c r="CQ387" s="191"/>
      <c r="CR387" s="191"/>
      <c r="CS387" s="191"/>
      <c r="CT387" s="190"/>
      <c r="CU387" s="191"/>
      <c r="CV387" s="191"/>
      <c r="CW387" s="191"/>
      <c r="CX387" s="191"/>
      <c r="CY387" s="190"/>
      <c r="CZ387" s="191"/>
      <c r="DA387" s="191"/>
      <c r="DB387" s="191"/>
      <c r="DC387" s="191"/>
      <c r="DD387" s="190"/>
      <c r="DE387" s="191"/>
      <c r="DF387" s="191"/>
      <c r="DG387" s="191"/>
      <c r="DH387" s="191"/>
      <c r="DI387" s="190"/>
      <c r="DJ387" s="191"/>
      <c r="DK387" s="191"/>
      <c r="DL387" s="191"/>
      <c r="DM387" s="191"/>
      <c r="DN387" s="190"/>
      <c r="DO387" s="191"/>
      <c r="DP387" s="191"/>
      <c r="DQ387" s="191"/>
      <c r="DR387" s="191"/>
      <c r="DS387" s="190"/>
      <c r="DT387" s="191"/>
      <c r="DU387" s="191"/>
      <c r="DV387" s="191"/>
      <c r="DW387" s="191"/>
      <c r="DX387" s="190"/>
      <c r="DY387" s="191"/>
      <c r="DZ387" s="191"/>
      <c r="EA387" s="191"/>
      <c r="EB387" s="191"/>
      <c r="EC387" s="190"/>
      <c r="ED387" s="191"/>
      <c r="EE387" s="191"/>
      <c r="EF387" s="191"/>
      <c r="EG387" s="191"/>
      <c r="EH387" s="190"/>
      <c r="EI387" s="191"/>
      <c r="EJ387" s="191"/>
      <c r="EK387" s="191"/>
      <c r="EL387" s="191"/>
      <c r="EM387" s="190"/>
      <c r="EN387" s="191"/>
      <c r="EO387" s="191"/>
      <c r="EP387" s="191"/>
      <c r="EQ387" s="191"/>
      <c r="ER387" s="190"/>
      <c r="ES387" s="191"/>
      <c r="ET387" s="191"/>
      <c r="EU387" s="191"/>
      <c r="EV387" s="191"/>
      <c r="EW387" s="190"/>
      <c r="EX387" s="191"/>
      <c r="EY387" s="191"/>
      <c r="EZ387" s="191"/>
      <c r="FA387" s="191"/>
      <c r="FB387" s="190"/>
      <c r="FC387" s="191"/>
      <c r="FD387" s="191"/>
      <c r="FE387" s="191"/>
      <c r="FF387" s="191"/>
      <c r="FG387" s="190"/>
      <c r="FH387" s="191"/>
      <c r="FI387" s="191"/>
      <c r="FJ387" s="191"/>
      <c r="FK387" s="191"/>
      <c r="FL387" s="190"/>
      <c r="FM387" s="191"/>
      <c r="FN387" s="191"/>
      <c r="FO387" s="191"/>
      <c r="FP387" s="191"/>
      <c r="FQ387" s="190"/>
      <c r="FR387" s="191"/>
      <c r="FS387" s="191"/>
      <c r="FT387" s="191"/>
      <c r="FU387" s="191"/>
      <c r="FV387" s="190"/>
      <c r="FW387" s="191"/>
      <c r="FX387" s="191"/>
      <c r="FY387" s="191"/>
      <c r="FZ387" s="191"/>
      <c r="GA387" s="190"/>
      <c r="GB387" s="191"/>
      <c r="GC387" s="191"/>
      <c r="GD387" s="191"/>
      <c r="GE387" s="191"/>
      <c r="GF387" s="190"/>
      <c r="GG387" s="191"/>
      <c r="GH387" s="191"/>
      <c r="GI387" s="191"/>
      <c r="GJ387" s="191"/>
    </row>
    <row r="390" spans="1:192" s="93" customFormat="1" ht="12.75" customHeight="1">
      <c r="A390" s="68"/>
      <c r="B390" s="677"/>
      <c r="C390" s="183"/>
      <c r="D390" s="184"/>
      <c r="E390" s="184"/>
      <c r="F390" s="184"/>
      <c r="G390" s="184"/>
      <c r="H390" s="183"/>
      <c r="I390" s="184"/>
      <c r="J390" s="184"/>
      <c r="K390" s="184"/>
      <c r="L390" s="184"/>
      <c r="M390" s="183"/>
      <c r="N390" s="184"/>
      <c r="O390" s="184"/>
      <c r="P390" s="184"/>
      <c r="Q390" s="184"/>
      <c r="R390" s="183"/>
      <c r="S390" s="184"/>
      <c r="T390" s="184"/>
      <c r="U390" s="184"/>
      <c r="V390" s="184"/>
      <c r="W390" s="183"/>
      <c r="X390" s="184"/>
      <c r="Y390" s="184"/>
      <c r="Z390" s="184"/>
      <c r="AA390" s="184"/>
      <c r="AB390" s="183"/>
      <c r="AC390" s="184"/>
      <c r="AD390" s="184"/>
      <c r="AE390" s="184"/>
      <c r="AF390" s="184"/>
      <c r="AG390" s="183"/>
      <c r="AH390" s="184"/>
      <c r="AI390" s="184"/>
      <c r="AJ390" s="184"/>
      <c r="AK390" s="184"/>
      <c r="AL390" s="183"/>
      <c r="AM390" s="184"/>
      <c r="AN390" s="184"/>
      <c r="AO390" s="184"/>
      <c r="AP390" s="184"/>
      <c r="AQ390" s="183"/>
      <c r="AR390" s="184"/>
      <c r="AS390" s="184"/>
      <c r="AT390" s="184"/>
      <c r="AU390" s="184"/>
      <c r="AV390" s="183"/>
      <c r="AW390" s="184"/>
      <c r="AX390" s="184"/>
      <c r="AY390" s="184"/>
      <c r="AZ390" s="184"/>
      <c r="BA390" s="183"/>
      <c r="BB390" s="184"/>
      <c r="BC390" s="184"/>
      <c r="BD390" s="184"/>
      <c r="BE390" s="184"/>
      <c r="BF390" s="183"/>
      <c r="BG390" s="184"/>
      <c r="BH390" s="184"/>
      <c r="BI390" s="184"/>
      <c r="BJ390" s="184"/>
      <c r="BK390" s="183"/>
      <c r="BL390" s="184"/>
      <c r="BM390" s="184"/>
      <c r="BN390" s="184"/>
      <c r="BO390" s="184"/>
      <c r="BP390" s="183"/>
      <c r="BQ390" s="184"/>
      <c r="BR390" s="184"/>
      <c r="BS390" s="184"/>
      <c r="BT390" s="184"/>
      <c r="BU390" s="183"/>
      <c r="BV390" s="184"/>
      <c r="BW390" s="184"/>
      <c r="BX390" s="184"/>
      <c r="BY390" s="184"/>
      <c r="BZ390" s="183"/>
      <c r="CA390" s="184"/>
      <c r="CB390" s="184"/>
      <c r="CC390" s="184"/>
      <c r="CD390" s="184"/>
      <c r="CE390" s="183"/>
      <c r="CF390" s="184"/>
      <c r="CG390" s="184"/>
      <c r="CH390" s="184"/>
      <c r="CI390" s="184"/>
      <c r="CJ390" s="183"/>
      <c r="CK390" s="184"/>
      <c r="CL390" s="184"/>
      <c r="CM390" s="184"/>
      <c r="CN390" s="184"/>
      <c r="CO390" s="183"/>
      <c r="CP390" s="184"/>
      <c r="CQ390" s="184"/>
      <c r="CR390" s="184"/>
      <c r="CS390" s="184"/>
      <c r="CT390" s="183"/>
      <c r="CU390" s="184"/>
      <c r="CV390" s="184"/>
      <c r="CW390" s="184"/>
      <c r="CX390" s="184"/>
      <c r="CY390" s="183"/>
      <c r="CZ390" s="184"/>
      <c r="DA390" s="184"/>
      <c r="DB390" s="184"/>
      <c r="DC390" s="184"/>
      <c r="DD390" s="183"/>
      <c r="DE390" s="184"/>
      <c r="DF390" s="184"/>
      <c r="DG390" s="184"/>
      <c r="DH390" s="184"/>
      <c r="DI390" s="183"/>
      <c r="DJ390" s="184"/>
      <c r="DK390" s="184"/>
      <c r="DL390" s="184"/>
      <c r="DM390" s="184"/>
      <c r="DN390" s="183"/>
      <c r="DO390" s="184"/>
      <c r="DP390" s="184"/>
      <c r="DQ390" s="184"/>
      <c r="DR390" s="184"/>
      <c r="DS390" s="183"/>
      <c r="DT390" s="184"/>
      <c r="DU390" s="184"/>
      <c r="DV390" s="184"/>
      <c r="DW390" s="184"/>
      <c r="DX390" s="183"/>
      <c r="DY390" s="184"/>
      <c r="DZ390" s="184"/>
      <c r="EA390" s="184"/>
      <c r="EB390" s="184"/>
      <c r="EC390" s="183"/>
      <c r="ED390" s="184"/>
      <c r="EE390" s="184"/>
      <c r="EF390" s="184"/>
      <c r="EG390" s="184"/>
      <c r="EH390" s="183"/>
      <c r="EI390" s="184"/>
      <c r="EJ390" s="184"/>
      <c r="EK390" s="184"/>
      <c r="EL390" s="184"/>
      <c r="EM390" s="183"/>
      <c r="EN390" s="184"/>
      <c r="EO390" s="184"/>
      <c r="EP390" s="184"/>
      <c r="EQ390" s="184"/>
      <c r="ER390" s="183"/>
      <c r="ES390" s="184"/>
      <c r="ET390" s="184"/>
      <c r="EU390" s="184"/>
      <c r="EV390" s="184"/>
      <c r="EW390" s="183"/>
      <c r="EX390" s="184"/>
      <c r="EY390" s="184"/>
      <c r="EZ390" s="184"/>
      <c r="FA390" s="184"/>
      <c r="FB390" s="183"/>
      <c r="FC390" s="184"/>
      <c r="FD390" s="184"/>
      <c r="FE390" s="184"/>
      <c r="FF390" s="184"/>
      <c r="FG390" s="183"/>
      <c r="FH390" s="184"/>
      <c r="FI390" s="184"/>
      <c r="FJ390" s="184"/>
      <c r="FK390" s="184"/>
      <c r="FL390" s="183"/>
      <c r="FM390" s="184"/>
      <c r="FN390" s="184"/>
      <c r="FO390" s="184"/>
      <c r="FP390" s="184"/>
      <c r="FQ390" s="183"/>
      <c r="FR390" s="184"/>
      <c r="FS390" s="184"/>
      <c r="FT390" s="184"/>
      <c r="FU390" s="184"/>
      <c r="FV390" s="183"/>
      <c r="FW390" s="184"/>
      <c r="FX390" s="184"/>
      <c r="FY390" s="184"/>
      <c r="FZ390" s="184"/>
      <c r="GA390" s="183"/>
      <c r="GB390" s="184"/>
      <c r="GC390" s="184"/>
      <c r="GD390" s="184"/>
      <c r="GE390" s="184"/>
      <c r="GF390" s="183"/>
      <c r="GG390" s="184"/>
      <c r="GH390" s="184"/>
      <c r="GI390" s="184"/>
      <c r="GJ390" s="184"/>
    </row>
    <row r="391" spans="1:192" s="93" customFormat="1" ht="12.75" customHeight="1">
      <c r="A391" s="68"/>
      <c r="B391" s="677"/>
      <c r="C391" s="139"/>
      <c r="D391" s="105"/>
      <c r="E391" s="105"/>
      <c r="F391" s="105"/>
      <c r="G391" s="105"/>
      <c r="H391" s="139"/>
      <c r="I391" s="105"/>
      <c r="J391" s="105"/>
      <c r="K391" s="105"/>
      <c r="L391" s="105"/>
      <c r="M391" s="139"/>
      <c r="N391" s="105"/>
      <c r="O391" s="105"/>
      <c r="P391" s="105"/>
      <c r="Q391" s="105"/>
      <c r="R391" s="139"/>
      <c r="S391" s="105"/>
      <c r="T391" s="105"/>
      <c r="U391" s="105"/>
      <c r="V391" s="105"/>
      <c r="W391" s="139"/>
      <c r="X391" s="105"/>
      <c r="Y391" s="105"/>
      <c r="Z391" s="105"/>
      <c r="AA391" s="105"/>
      <c r="AB391" s="139"/>
      <c r="AC391" s="105"/>
      <c r="AD391" s="105"/>
      <c r="AE391" s="105"/>
      <c r="AF391" s="105"/>
      <c r="AG391" s="139"/>
      <c r="AH391" s="105"/>
      <c r="AI391" s="105"/>
      <c r="AJ391" s="105"/>
      <c r="AK391" s="105"/>
      <c r="AL391" s="139"/>
      <c r="AM391" s="105"/>
      <c r="AN391" s="105"/>
      <c r="AO391" s="105"/>
      <c r="AP391" s="105"/>
      <c r="AQ391" s="139"/>
      <c r="AR391" s="105"/>
      <c r="AS391" s="105"/>
      <c r="AT391" s="105"/>
      <c r="AU391" s="105"/>
      <c r="AV391" s="139"/>
      <c r="AW391" s="105"/>
      <c r="AX391" s="105"/>
      <c r="AY391" s="105"/>
      <c r="AZ391" s="105"/>
      <c r="BA391" s="139"/>
      <c r="BB391" s="105"/>
      <c r="BC391" s="105"/>
      <c r="BD391" s="105"/>
      <c r="BE391" s="105"/>
      <c r="BF391" s="139"/>
      <c r="BG391" s="105"/>
      <c r="BH391" s="105"/>
      <c r="BI391" s="105"/>
      <c r="BJ391" s="105"/>
      <c r="BK391" s="139"/>
      <c r="BL391" s="105"/>
      <c r="BM391" s="105"/>
      <c r="BN391" s="105"/>
      <c r="BO391" s="105"/>
      <c r="BP391" s="139"/>
      <c r="BQ391" s="105"/>
      <c r="BR391" s="105"/>
      <c r="BS391" s="105"/>
      <c r="BT391" s="105"/>
      <c r="BU391" s="139"/>
      <c r="BV391" s="105"/>
      <c r="BW391" s="105"/>
      <c r="BX391" s="105"/>
      <c r="BY391" s="105"/>
      <c r="BZ391" s="139"/>
      <c r="CA391" s="105"/>
      <c r="CB391" s="105"/>
      <c r="CC391" s="105"/>
      <c r="CD391" s="105"/>
      <c r="CE391" s="139"/>
      <c r="CF391" s="105"/>
      <c r="CG391" s="105"/>
      <c r="CH391" s="105"/>
      <c r="CI391" s="105"/>
      <c r="CJ391" s="139"/>
      <c r="CK391" s="105"/>
      <c r="CL391" s="105"/>
      <c r="CM391" s="105"/>
      <c r="CN391" s="105"/>
      <c r="CO391" s="139"/>
      <c r="CP391" s="105"/>
      <c r="CQ391" s="105"/>
      <c r="CR391" s="105"/>
      <c r="CS391" s="105"/>
      <c r="CT391" s="139"/>
      <c r="CU391" s="105"/>
      <c r="CV391" s="105"/>
      <c r="CW391" s="105"/>
      <c r="CX391" s="105"/>
      <c r="CY391" s="139"/>
      <c r="CZ391" s="105"/>
      <c r="DA391" s="105"/>
      <c r="DB391" s="105"/>
      <c r="DC391" s="105"/>
      <c r="DD391" s="139"/>
      <c r="DE391" s="105"/>
      <c r="DF391" s="105"/>
      <c r="DG391" s="105"/>
      <c r="DH391" s="105"/>
      <c r="DI391" s="139"/>
      <c r="DJ391" s="105"/>
      <c r="DK391" s="105"/>
      <c r="DL391" s="105"/>
      <c r="DM391" s="105"/>
      <c r="DN391" s="139"/>
      <c r="DO391" s="105"/>
      <c r="DP391" s="105"/>
      <c r="DQ391" s="105"/>
      <c r="DR391" s="105"/>
      <c r="DS391" s="139"/>
      <c r="DT391" s="105"/>
      <c r="DU391" s="105"/>
      <c r="DV391" s="105"/>
      <c r="DW391" s="105"/>
      <c r="DX391" s="139"/>
      <c r="DY391" s="105"/>
      <c r="DZ391" s="105"/>
      <c r="EA391" s="105"/>
      <c r="EB391" s="105"/>
      <c r="EC391" s="139"/>
      <c r="ED391" s="105"/>
      <c r="EE391" s="105"/>
      <c r="EF391" s="105"/>
      <c r="EG391" s="105"/>
      <c r="EH391" s="139"/>
      <c r="EI391" s="105"/>
      <c r="EJ391" s="105"/>
      <c r="EK391" s="105"/>
      <c r="EL391" s="105"/>
      <c r="EM391" s="139"/>
      <c r="EN391" s="105"/>
      <c r="EO391" s="105"/>
      <c r="EP391" s="105"/>
      <c r="EQ391" s="105"/>
      <c r="ER391" s="139"/>
      <c r="ES391" s="105"/>
      <c r="ET391" s="105"/>
      <c r="EU391" s="105"/>
      <c r="EV391" s="105"/>
      <c r="EW391" s="139"/>
      <c r="EX391" s="105"/>
      <c r="EY391" s="105"/>
      <c r="EZ391" s="105"/>
      <c r="FA391" s="105"/>
      <c r="FB391" s="139"/>
      <c r="FC391" s="105"/>
      <c r="FD391" s="105"/>
      <c r="FE391" s="105"/>
      <c r="FF391" s="105"/>
      <c r="FG391" s="139"/>
      <c r="FH391" s="105"/>
      <c r="FI391" s="105"/>
      <c r="FJ391" s="105"/>
      <c r="FK391" s="105"/>
      <c r="FL391" s="139"/>
      <c r="FM391" s="105"/>
      <c r="FN391" s="105"/>
      <c r="FO391" s="105"/>
      <c r="FP391" s="105"/>
      <c r="FQ391" s="139"/>
      <c r="FR391" s="105"/>
      <c r="FS391" s="105"/>
      <c r="FT391" s="105"/>
      <c r="FU391" s="105"/>
      <c r="FV391" s="139"/>
      <c r="FW391" s="105"/>
      <c r="FX391" s="105"/>
      <c r="FY391" s="105"/>
      <c r="FZ391" s="105"/>
      <c r="GA391" s="139"/>
      <c r="GB391" s="105"/>
      <c r="GC391" s="105"/>
      <c r="GD391" s="105"/>
      <c r="GE391" s="105"/>
      <c r="GF391" s="139"/>
      <c r="GG391" s="105"/>
      <c r="GH391" s="105"/>
      <c r="GI391" s="105"/>
      <c r="GJ391" s="105"/>
    </row>
    <row r="392" spans="1:192" s="93" customFormat="1" ht="12.75" customHeight="1">
      <c r="A392" s="68"/>
      <c r="B392" s="677"/>
      <c r="C392" s="190"/>
      <c r="D392" s="191"/>
      <c r="E392" s="191"/>
      <c r="F392" s="191"/>
      <c r="G392" s="191"/>
      <c r="H392" s="190"/>
      <c r="I392" s="191"/>
      <c r="J392" s="191"/>
      <c r="K392" s="191"/>
      <c r="L392" s="191"/>
      <c r="M392" s="190"/>
      <c r="N392" s="191"/>
      <c r="O392" s="191"/>
      <c r="P392" s="191"/>
      <c r="Q392" s="191"/>
      <c r="R392" s="190"/>
      <c r="S392" s="191"/>
      <c r="T392" s="191"/>
      <c r="U392" s="191"/>
      <c r="V392" s="191"/>
      <c r="W392" s="190"/>
      <c r="X392" s="191"/>
      <c r="Y392" s="191"/>
      <c r="Z392" s="191"/>
      <c r="AA392" s="191"/>
      <c r="AB392" s="190"/>
      <c r="AC392" s="191"/>
      <c r="AD392" s="191"/>
      <c r="AE392" s="191"/>
      <c r="AF392" s="191"/>
      <c r="AG392" s="190"/>
      <c r="AH392" s="191"/>
      <c r="AI392" s="191"/>
      <c r="AJ392" s="191"/>
      <c r="AK392" s="191"/>
      <c r="AL392" s="190"/>
      <c r="AM392" s="191"/>
      <c r="AN392" s="191"/>
      <c r="AO392" s="191"/>
      <c r="AP392" s="191"/>
      <c r="AQ392" s="190"/>
      <c r="AR392" s="191"/>
      <c r="AS392" s="191"/>
      <c r="AT392" s="191"/>
      <c r="AU392" s="191"/>
      <c r="AV392" s="190"/>
      <c r="AW392" s="191"/>
      <c r="AX392" s="191"/>
      <c r="AY392" s="191"/>
      <c r="AZ392" s="191"/>
      <c r="BA392" s="190"/>
      <c r="BB392" s="191"/>
      <c r="BC392" s="191"/>
      <c r="BD392" s="191"/>
      <c r="BE392" s="191"/>
      <c r="BF392" s="190"/>
      <c r="BG392" s="191"/>
      <c r="BH392" s="191"/>
      <c r="BI392" s="191"/>
      <c r="BJ392" s="191"/>
      <c r="BK392" s="190"/>
      <c r="BL392" s="191"/>
      <c r="BM392" s="191"/>
      <c r="BN392" s="191"/>
      <c r="BO392" s="191"/>
      <c r="BP392" s="190"/>
      <c r="BQ392" s="191"/>
      <c r="BR392" s="191"/>
      <c r="BS392" s="191"/>
      <c r="BT392" s="191"/>
      <c r="BU392" s="190"/>
      <c r="BV392" s="191"/>
      <c r="BW392" s="191"/>
      <c r="BX392" s="191"/>
      <c r="BY392" s="191"/>
      <c r="BZ392" s="190"/>
      <c r="CA392" s="191"/>
      <c r="CB392" s="191"/>
      <c r="CC392" s="191"/>
      <c r="CD392" s="191"/>
      <c r="CE392" s="190"/>
      <c r="CF392" s="191"/>
      <c r="CG392" s="191"/>
      <c r="CH392" s="191"/>
      <c r="CI392" s="191"/>
      <c r="CJ392" s="190"/>
      <c r="CK392" s="191"/>
      <c r="CL392" s="191"/>
      <c r="CM392" s="191"/>
      <c r="CN392" s="191"/>
      <c r="CO392" s="190"/>
      <c r="CP392" s="191"/>
      <c r="CQ392" s="191"/>
      <c r="CR392" s="191"/>
      <c r="CS392" s="191"/>
      <c r="CT392" s="190"/>
      <c r="CU392" s="191"/>
      <c r="CV392" s="191"/>
      <c r="CW392" s="191"/>
      <c r="CX392" s="191"/>
      <c r="CY392" s="190"/>
      <c r="CZ392" s="191"/>
      <c r="DA392" s="191"/>
      <c r="DB392" s="191"/>
      <c r="DC392" s="191"/>
      <c r="DD392" s="190"/>
      <c r="DE392" s="191"/>
      <c r="DF392" s="191"/>
      <c r="DG392" s="191"/>
      <c r="DH392" s="191"/>
      <c r="DI392" s="190"/>
      <c r="DJ392" s="191"/>
      <c r="DK392" s="191"/>
      <c r="DL392" s="191"/>
      <c r="DM392" s="191"/>
      <c r="DN392" s="190"/>
      <c r="DO392" s="191"/>
      <c r="DP392" s="191"/>
      <c r="DQ392" s="191"/>
      <c r="DR392" s="191"/>
      <c r="DS392" s="190"/>
      <c r="DT392" s="191"/>
      <c r="DU392" s="191"/>
      <c r="DV392" s="191"/>
      <c r="DW392" s="191"/>
      <c r="DX392" s="190"/>
      <c r="DY392" s="191"/>
      <c r="DZ392" s="191"/>
      <c r="EA392" s="191"/>
      <c r="EB392" s="191"/>
      <c r="EC392" s="190"/>
      <c r="ED392" s="191"/>
      <c r="EE392" s="191"/>
      <c r="EF392" s="191"/>
      <c r="EG392" s="191"/>
      <c r="EH392" s="190"/>
      <c r="EI392" s="191"/>
      <c r="EJ392" s="191"/>
      <c r="EK392" s="191"/>
      <c r="EL392" s="191"/>
      <c r="EM392" s="190"/>
      <c r="EN392" s="191"/>
      <c r="EO392" s="191"/>
      <c r="EP392" s="191"/>
      <c r="EQ392" s="191"/>
      <c r="ER392" s="190"/>
      <c r="ES392" s="191"/>
      <c r="ET392" s="191"/>
      <c r="EU392" s="191"/>
      <c r="EV392" s="191"/>
      <c r="EW392" s="190"/>
      <c r="EX392" s="191"/>
      <c r="EY392" s="191"/>
      <c r="EZ392" s="191"/>
      <c r="FA392" s="191"/>
      <c r="FB392" s="190"/>
      <c r="FC392" s="191"/>
      <c r="FD392" s="191"/>
      <c r="FE392" s="191"/>
      <c r="FF392" s="191"/>
      <c r="FG392" s="190"/>
      <c r="FH392" s="191"/>
      <c r="FI392" s="191"/>
      <c r="FJ392" s="191"/>
      <c r="FK392" s="191"/>
      <c r="FL392" s="190"/>
      <c r="FM392" s="191"/>
      <c r="FN392" s="191"/>
      <c r="FO392" s="191"/>
      <c r="FP392" s="191"/>
      <c r="FQ392" s="190"/>
      <c r="FR392" s="191"/>
      <c r="FS392" s="191"/>
      <c r="FT392" s="191"/>
      <c r="FU392" s="191"/>
      <c r="FV392" s="190"/>
      <c r="FW392" s="191"/>
      <c r="FX392" s="191"/>
      <c r="FY392" s="191"/>
      <c r="FZ392" s="191"/>
      <c r="GA392" s="190"/>
      <c r="GB392" s="191"/>
      <c r="GC392" s="191"/>
      <c r="GD392" s="191"/>
      <c r="GE392" s="191"/>
      <c r="GF392" s="190"/>
      <c r="GG392" s="191"/>
      <c r="GH392" s="191"/>
      <c r="GI392" s="191"/>
      <c r="GJ392" s="191"/>
    </row>
    <row r="394" spans="1:192" s="93" customFormat="1" ht="12.75" customHeight="1">
      <c r="A394" s="68"/>
      <c r="B394" s="677"/>
      <c r="C394" s="194"/>
      <c r="D394" s="195"/>
      <c r="E394" s="195"/>
      <c r="F394" s="195"/>
      <c r="G394" s="195"/>
      <c r="H394" s="194"/>
      <c r="I394" s="195"/>
      <c r="J394" s="195"/>
      <c r="K394" s="195"/>
      <c r="L394" s="195"/>
      <c r="M394" s="194"/>
      <c r="N394" s="195"/>
      <c r="O394" s="195"/>
      <c r="P394" s="195"/>
      <c r="Q394" s="195"/>
      <c r="R394" s="194"/>
      <c r="S394" s="195"/>
      <c r="T394" s="195"/>
      <c r="U394" s="195"/>
      <c r="V394" s="195"/>
      <c r="W394" s="194"/>
      <c r="X394" s="195"/>
      <c r="Y394" s="195"/>
      <c r="Z394" s="195"/>
      <c r="AA394" s="195"/>
      <c r="AB394" s="194"/>
      <c r="AC394" s="195"/>
      <c r="AD394" s="195"/>
      <c r="AE394" s="195"/>
      <c r="AF394" s="195"/>
      <c r="AG394" s="194"/>
      <c r="AH394" s="195"/>
      <c r="AI394" s="195"/>
      <c r="AJ394" s="195"/>
      <c r="AK394" s="195"/>
      <c r="AL394" s="194"/>
      <c r="AM394" s="195"/>
      <c r="AN394" s="195"/>
      <c r="AO394" s="195"/>
      <c r="AP394" s="195"/>
      <c r="AQ394" s="194"/>
      <c r="AR394" s="195"/>
      <c r="AS394" s="195"/>
      <c r="AT394" s="195"/>
      <c r="AU394" s="195"/>
      <c r="AV394" s="194"/>
      <c r="AW394" s="195"/>
      <c r="AX394" s="195"/>
      <c r="AY394" s="195"/>
      <c r="AZ394" s="195"/>
      <c r="BA394" s="194"/>
      <c r="BB394" s="195"/>
      <c r="BC394" s="195"/>
      <c r="BD394" s="195"/>
      <c r="BE394" s="195"/>
      <c r="BF394" s="194"/>
      <c r="BG394" s="195"/>
      <c r="BH394" s="195"/>
      <c r="BI394" s="195"/>
      <c r="BJ394" s="195"/>
      <c r="BK394" s="194"/>
      <c r="BL394" s="195"/>
      <c r="BM394" s="195"/>
      <c r="BN394" s="195"/>
      <c r="BO394" s="195"/>
      <c r="BP394" s="194"/>
      <c r="BQ394" s="195"/>
      <c r="BR394" s="195"/>
      <c r="BS394" s="195"/>
      <c r="BT394" s="195"/>
      <c r="BU394" s="194"/>
      <c r="BV394" s="195"/>
      <c r="BW394" s="195"/>
      <c r="BX394" s="195"/>
      <c r="BY394" s="195"/>
      <c r="BZ394" s="194"/>
      <c r="CA394" s="195"/>
      <c r="CB394" s="195"/>
      <c r="CC394" s="195"/>
      <c r="CD394" s="195"/>
      <c r="CE394" s="194"/>
      <c r="CF394" s="195"/>
      <c r="CG394" s="195"/>
      <c r="CH394" s="195"/>
      <c r="CI394" s="195"/>
      <c r="CJ394" s="194"/>
      <c r="CK394" s="195"/>
      <c r="CL394" s="195"/>
      <c r="CM394" s="195"/>
      <c r="CN394" s="195"/>
      <c r="CO394" s="194"/>
      <c r="CP394" s="195"/>
      <c r="CQ394" s="195"/>
      <c r="CR394" s="195"/>
      <c r="CS394" s="195"/>
      <c r="CT394" s="194"/>
      <c r="CU394" s="195"/>
      <c r="CV394" s="195"/>
      <c r="CW394" s="195"/>
      <c r="CX394" s="195"/>
      <c r="CY394" s="194"/>
      <c r="CZ394" s="195"/>
      <c r="DA394" s="195"/>
      <c r="DB394" s="195"/>
      <c r="DC394" s="195"/>
      <c r="DD394" s="194"/>
      <c r="DE394" s="195"/>
      <c r="DF394" s="195"/>
      <c r="DG394" s="195"/>
      <c r="DH394" s="195"/>
      <c r="DI394" s="194"/>
      <c r="DJ394" s="195"/>
      <c r="DK394" s="195"/>
      <c r="DL394" s="195"/>
      <c r="DM394" s="195"/>
      <c r="DN394" s="194"/>
      <c r="DO394" s="195"/>
      <c r="DP394" s="195"/>
      <c r="DQ394" s="195"/>
      <c r="DR394" s="195"/>
      <c r="DS394" s="194"/>
      <c r="DT394" s="195"/>
      <c r="DU394" s="195"/>
      <c r="DV394" s="195"/>
      <c r="DW394" s="195"/>
      <c r="DX394" s="194"/>
      <c r="DY394" s="195"/>
      <c r="DZ394" s="195"/>
      <c r="EA394" s="195"/>
      <c r="EB394" s="195"/>
      <c r="EC394" s="194"/>
      <c r="ED394" s="195"/>
      <c r="EE394" s="195"/>
      <c r="EF394" s="195"/>
      <c r="EG394" s="195"/>
      <c r="EH394" s="194"/>
      <c r="EI394" s="195"/>
      <c r="EJ394" s="195"/>
      <c r="EK394" s="195"/>
      <c r="EL394" s="195"/>
      <c r="EM394" s="194"/>
      <c r="EN394" s="195"/>
      <c r="EO394" s="195"/>
      <c r="EP394" s="195"/>
      <c r="EQ394" s="195"/>
      <c r="ER394" s="194"/>
      <c r="ES394" s="195"/>
      <c r="ET394" s="195"/>
      <c r="EU394" s="195"/>
      <c r="EV394" s="195"/>
      <c r="EW394" s="194"/>
      <c r="EX394" s="195"/>
      <c r="EY394" s="195"/>
      <c r="EZ394" s="195"/>
      <c r="FA394" s="195"/>
      <c r="FB394" s="194"/>
      <c r="FC394" s="195"/>
      <c r="FD394" s="195"/>
      <c r="FE394" s="195"/>
      <c r="FF394" s="195"/>
      <c r="FG394" s="194"/>
      <c r="FH394" s="195"/>
      <c r="FI394" s="195"/>
      <c r="FJ394" s="195"/>
      <c r="FK394" s="195"/>
      <c r="FL394" s="194"/>
      <c r="FM394" s="195"/>
      <c r="FN394" s="195"/>
      <c r="FO394" s="195"/>
      <c r="FP394" s="195"/>
      <c r="FQ394" s="194"/>
      <c r="FR394" s="195"/>
      <c r="FS394" s="195"/>
      <c r="FT394" s="195"/>
      <c r="FU394" s="195"/>
      <c r="FV394" s="194"/>
      <c r="FW394" s="195"/>
      <c r="FX394" s="195"/>
      <c r="FY394" s="195"/>
      <c r="FZ394" s="195"/>
      <c r="GA394" s="194"/>
      <c r="GB394" s="195"/>
      <c r="GC394" s="195"/>
      <c r="GD394" s="195"/>
      <c r="GE394" s="195"/>
      <c r="GF394" s="194"/>
      <c r="GG394" s="195"/>
      <c r="GH394" s="195"/>
      <c r="GI394" s="195"/>
      <c r="GJ394" s="195"/>
    </row>
    <row r="395" spans="1:192" s="93" customFormat="1" ht="12.75" customHeight="1">
      <c r="A395" s="68"/>
      <c r="B395" s="677"/>
      <c r="C395" s="188"/>
      <c r="D395" s="189"/>
      <c r="E395" s="189"/>
      <c r="F395" s="189"/>
      <c r="G395" s="189"/>
      <c r="H395" s="188"/>
      <c r="I395" s="189"/>
      <c r="J395" s="189"/>
      <c r="K395" s="189"/>
      <c r="L395" s="189"/>
      <c r="M395" s="188"/>
      <c r="N395" s="189"/>
      <c r="O395" s="189"/>
      <c r="P395" s="189"/>
      <c r="Q395" s="189"/>
      <c r="R395" s="188"/>
      <c r="S395" s="189"/>
      <c r="T395" s="189"/>
      <c r="U395" s="189"/>
      <c r="V395" s="189"/>
      <c r="W395" s="188"/>
      <c r="X395" s="189"/>
      <c r="Y395" s="189"/>
      <c r="Z395" s="189"/>
      <c r="AA395" s="189"/>
      <c r="AB395" s="188"/>
      <c r="AC395" s="189"/>
      <c r="AD395" s="189"/>
      <c r="AE395" s="189"/>
      <c r="AF395" s="189"/>
      <c r="AG395" s="188"/>
      <c r="AH395" s="189"/>
      <c r="AI395" s="189"/>
      <c r="AJ395" s="189"/>
      <c r="AK395" s="189"/>
      <c r="AL395" s="188"/>
      <c r="AM395" s="189"/>
      <c r="AN395" s="189"/>
      <c r="AO395" s="189"/>
      <c r="AP395" s="189"/>
      <c r="AQ395" s="188"/>
      <c r="AR395" s="189"/>
      <c r="AS395" s="189"/>
      <c r="AT395" s="189"/>
      <c r="AU395" s="189"/>
      <c r="AV395" s="188"/>
      <c r="AW395" s="189"/>
      <c r="AX395" s="189"/>
      <c r="AY395" s="189"/>
      <c r="AZ395" s="189"/>
      <c r="BA395" s="188"/>
      <c r="BB395" s="189"/>
      <c r="BC395" s="189"/>
      <c r="BD395" s="189"/>
      <c r="BE395" s="189"/>
      <c r="BF395" s="188"/>
      <c r="BG395" s="189"/>
      <c r="BH395" s="189"/>
      <c r="BI395" s="189"/>
      <c r="BJ395" s="189"/>
      <c r="BK395" s="188"/>
      <c r="BL395" s="189"/>
      <c r="BM395" s="189"/>
      <c r="BN395" s="189"/>
      <c r="BO395" s="189"/>
      <c r="BP395" s="188"/>
      <c r="BQ395" s="189"/>
      <c r="BR395" s="189"/>
      <c r="BS395" s="189"/>
      <c r="BT395" s="189"/>
      <c r="BU395" s="188"/>
      <c r="BV395" s="189"/>
      <c r="BW395" s="189"/>
      <c r="BX395" s="189"/>
      <c r="BY395" s="189"/>
      <c r="BZ395" s="188"/>
      <c r="CA395" s="189"/>
      <c r="CB395" s="189"/>
      <c r="CC395" s="189"/>
      <c r="CD395" s="189"/>
      <c r="CE395" s="188"/>
      <c r="CF395" s="189"/>
      <c r="CG395" s="189"/>
      <c r="CH395" s="189"/>
      <c r="CI395" s="189"/>
      <c r="CJ395" s="188"/>
      <c r="CK395" s="189"/>
      <c r="CL395" s="189"/>
      <c r="CM395" s="189"/>
      <c r="CN395" s="189"/>
      <c r="CO395" s="188"/>
      <c r="CP395" s="189"/>
      <c r="CQ395" s="189"/>
      <c r="CR395" s="189"/>
      <c r="CS395" s="189"/>
      <c r="CT395" s="188"/>
      <c r="CU395" s="189"/>
      <c r="CV395" s="189"/>
      <c r="CW395" s="189"/>
      <c r="CX395" s="189"/>
      <c r="CY395" s="188"/>
      <c r="CZ395" s="189"/>
      <c r="DA395" s="189"/>
      <c r="DB395" s="189"/>
      <c r="DC395" s="189"/>
      <c r="DD395" s="188"/>
      <c r="DE395" s="189"/>
      <c r="DF395" s="189"/>
      <c r="DG395" s="189"/>
      <c r="DH395" s="189"/>
      <c r="DI395" s="188"/>
      <c r="DJ395" s="189"/>
      <c r="DK395" s="189"/>
      <c r="DL395" s="189"/>
      <c r="DM395" s="189"/>
      <c r="DN395" s="188"/>
      <c r="DO395" s="189"/>
      <c r="DP395" s="189"/>
      <c r="DQ395" s="189"/>
      <c r="DR395" s="189"/>
      <c r="DS395" s="188"/>
      <c r="DT395" s="189"/>
      <c r="DU395" s="189"/>
      <c r="DV395" s="189"/>
      <c r="DW395" s="189"/>
      <c r="DX395" s="188"/>
      <c r="DY395" s="189"/>
      <c r="DZ395" s="189"/>
      <c r="EA395" s="189"/>
      <c r="EB395" s="189"/>
      <c r="EC395" s="188"/>
      <c r="ED395" s="189"/>
      <c r="EE395" s="189"/>
      <c r="EF395" s="189"/>
      <c r="EG395" s="189"/>
      <c r="EH395" s="188"/>
      <c r="EI395" s="189"/>
      <c r="EJ395" s="189"/>
      <c r="EK395" s="189"/>
      <c r="EL395" s="189"/>
      <c r="EM395" s="188"/>
      <c r="EN395" s="189"/>
      <c r="EO395" s="189"/>
      <c r="EP395" s="189"/>
      <c r="EQ395" s="189"/>
      <c r="ER395" s="188"/>
      <c r="ES395" s="189"/>
      <c r="ET395" s="189"/>
      <c r="EU395" s="189"/>
      <c r="EV395" s="189"/>
      <c r="EW395" s="188"/>
      <c r="EX395" s="189"/>
      <c r="EY395" s="189"/>
      <c r="EZ395" s="189"/>
      <c r="FA395" s="189"/>
      <c r="FB395" s="188"/>
      <c r="FC395" s="189"/>
      <c r="FD395" s="189"/>
      <c r="FE395" s="189"/>
      <c r="FF395" s="189"/>
      <c r="FG395" s="188"/>
      <c r="FH395" s="189"/>
      <c r="FI395" s="189"/>
      <c r="FJ395" s="189"/>
      <c r="FK395" s="189"/>
      <c r="FL395" s="188"/>
      <c r="FM395" s="189"/>
      <c r="FN395" s="189"/>
      <c r="FO395" s="189"/>
      <c r="FP395" s="189"/>
      <c r="FQ395" s="188"/>
      <c r="FR395" s="189"/>
      <c r="FS395" s="189"/>
      <c r="FT395" s="189"/>
      <c r="FU395" s="189"/>
      <c r="FV395" s="188"/>
      <c r="FW395" s="189"/>
      <c r="FX395" s="189"/>
      <c r="FY395" s="189"/>
      <c r="FZ395" s="189"/>
      <c r="GA395" s="188"/>
      <c r="GB395" s="189"/>
      <c r="GC395" s="189"/>
      <c r="GD395" s="189"/>
      <c r="GE395" s="189"/>
      <c r="GF395" s="188"/>
      <c r="GG395" s="189"/>
      <c r="GH395" s="189"/>
      <c r="GI395" s="189"/>
      <c r="GJ395" s="189"/>
    </row>
    <row r="396" spans="1:192" s="93" customFormat="1" ht="12.75" customHeight="1">
      <c r="A396" s="68"/>
      <c r="B396" s="677"/>
      <c r="C396" s="139"/>
      <c r="D396" s="105"/>
      <c r="E396" s="105"/>
      <c r="F396" s="105"/>
      <c r="G396" s="105"/>
      <c r="H396" s="139"/>
      <c r="I396" s="105"/>
      <c r="J396" s="105"/>
      <c r="K396" s="105"/>
      <c r="L396" s="105"/>
      <c r="M396" s="139"/>
      <c r="N396" s="105"/>
      <c r="O396" s="105"/>
      <c r="P396" s="105"/>
      <c r="Q396" s="105"/>
      <c r="R396" s="139"/>
      <c r="S396" s="105"/>
      <c r="T396" s="105"/>
      <c r="U396" s="105"/>
      <c r="V396" s="105"/>
      <c r="W396" s="139"/>
      <c r="X396" s="105"/>
      <c r="Y396" s="105"/>
      <c r="Z396" s="105"/>
      <c r="AA396" s="105"/>
      <c r="AB396" s="139"/>
      <c r="AC396" s="105"/>
      <c r="AD396" s="105"/>
      <c r="AE396" s="105"/>
      <c r="AF396" s="105"/>
      <c r="AG396" s="139"/>
      <c r="AH396" s="105"/>
      <c r="AI396" s="105"/>
      <c r="AJ396" s="105"/>
      <c r="AK396" s="105"/>
      <c r="AL396" s="139"/>
      <c r="AM396" s="105"/>
      <c r="AN396" s="105"/>
      <c r="AO396" s="105"/>
      <c r="AP396" s="105"/>
      <c r="AQ396" s="139"/>
      <c r="AR396" s="105"/>
      <c r="AS396" s="105"/>
      <c r="AT396" s="105"/>
      <c r="AU396" s="105"/>
      <c r="AV396" s="139"/>
      <c r="AW396" s="105"/>
      <c r="AX396" s="105"/>
      <c r="AY396" s="105"/>
      <c r="AZ396" s="105"/>
      <c r="BA396" s="139"/>
      <c r="BB396" s="105"/>
      <c r="BC396" s="105"/>
      <c r="BD396" s="105"/>
      <c r="BE396" s="105"/>
      <c r="BF396" s="139"/>
      <c r="BG396" s="105"/>
      <c r="BH396" s="105"/>
      <c r="BI396" s="105"/>
      <c r="BJ396" s="105"/>
      <c r="BK396" s="139"/>
      <c r="BL396" s="105"/>
      <c r="BM396" s="105"/>
      <c r="BN396" s="105"/>
      <c r="BO396" s="105"/>
      <c r="BP396" s="139"/>
      <c r="BQ396" s="105"/>
      <c r="BR396" s="105"/>
      <c r="BS396" s="105"/>
      <c r="BT396" s="105"/>
      <c r="BU396" s="139"/>
      <c r="BV396" s="105"/>
      <c r="BW396" s="105"/>
      <c r="BX396" s="105"/>
      <c r="BY396" s="105"/>
      <c r="BZ396" s="139"/>
      <c r="CA396" s="105"/>
      <c r="CB396" s="105"/>
      <c r="CC396" s="105"/>
      <c r="CD396" s="105"/>
      <c r="CE396" s="139"/>
      <c r="CF396" s="105"/>
      <c r="CG396" s="105"/>
      <c r="CH396" s="105"/>
      <c r="CI396" s="105"/>
      <c r="CJ396" s="139"/>
      <c r="CK396" s="105"/>
      <c r="CL396" s="105"/>
      <c r="CM396" s="105"/>
      <c r="CN396" s="105"/>
      <c r="CO396" s="139"/>
      <c r="CP396" s="105"/>
      <c r="CQ396" s="105"/>
      <c r="CR396" s="105"/>
      <c r="CS396" s="105"/>
      <c r="CT396" s="139"/>
      <c r="CU396" s="105"/>
      <c r="CV396" s="105"/>
      <c r="CW396" s="105"/>
      <c r="CX396" s="105"/>
      <c r="CY396" s="139"/>
      <c r="CZ396" s="105"/>
      <c r="DA396" s="105"/>
      <c r="DB396" s="105"/>
      <c r="DC396" s="105"/>
      <c r="DD396" s="139"/>
      <c r="DE396" s="105"/>
      <c r="DF396" s="105"/>
      <c r="DG396" s="105"/>
      <c r="DH396" s="105"/>
      <c r="DI396" s="139"/>
      <c r="DJ396" s="105"/>
      <c r="DK396" s="105"/>
      <c r="DL396" s="105"/>
      <c r="DM396" s="105"/>
      <c r="DN396" s="139"/>
      <c r="DO396" s="105"/>
      <c r="DP396" s="105"/>
      <c r="DQ396" s="105"/>
      <c r="DR396" s="105"/>
      <c r="DS396" s="139"/>
      <c r="DT396" s="105"/>
      <c r="DU396" s="105"/>
      <c r="DV396" s="105"/>
      <c r="DW396" s="105"/>
      <c r="DX396" s="139"/>
      <c r="DY396" s="105"/>
      <c r="DZ396" s="105"/>
      <c r="EA396" s="105"/>
      <c r="EB396" s="105"/>
      <c r="EC396" s="139"/>
      <c r="ED396" s="105"/>
      <c r="EE396" s="105"/>
      <c r="EF396" s="105"/>
      <c r="EG396" s="105"/>
      <c r="EH396" s="139"/>
      <c r="EI396" s="105"/>
      <c r="EJ396" s="105"/>
      <c r="EK396" s="105"/>
      <c r="EL396" s="105"/>
      <c r="EM396" s="139"/>
      <c r="EN396" s="105"/>
      <c r="EO396" s="105"/>
      <c r="EP396" s="105"/>
      <c r="EQ396" s="105"/>
      <c r="ER396" s="139"/>
      <c r="ES396" s="105"/>
      <c r="ET396" s="105"/>
      <c r="EU396" s="105"/>
      <c r="EV396" s="105"/>
      <c r="EW396" s="139"/>
      <c r="EX396" s="105"/>
      <c r="EY396" s="105"/>
      <c r="EZ396" s="105"/>
      <c r="FA396" s="105"/>
      <c r="FB396" s="139"/>
      <c r="FC396" s="105"/>
      <c r="FD396" s="105"/>
      <c r="FE396" s="105"/>
      <c r="FF396" s="105"/>
      <c r="FG396" s="139"/>
      <c r="FH396" s="105"/>
      <c r="FI396" s="105"/>
      <c r="FJ396" s="105"/>
      <c r="FK396" s="105"/>
      <c r="FL396" s="139"/>
      <c r="FM396" s="105"/>
      <c r="FN396" s="105"/>
      <c r="FO396" s="105"/>
      <c r="FP396" s="105"/>
      <c r="FQ396" s="139"/>
      <c r="FR396" s="105"/>
      <c r="FS396" s="105"/>
      <c r="FT396" s="105"/>
      <c r="FU396" s="105"/>
      <c r="FV396" s="139"/>
      <c r="FW396" s="105"/>
      <c r="FX396" s="105"/>
      <c r="FY396" s="105"/>
      <c r="FZ396" s="105"/>
      <c r="GA396" s="139"/>
      <c r="GB396" s="105"/>
      <c r="GC396" s="105"/>
      <c r="GD396" s="105"/>
      <c r="GE396" s="105"/>
      <c r="GF396" s="139"/>
      <c r="GG396" s="105"/>
      <c r="GH396" s="105"/>
      <c r="GI396" s="105"/>
      <c r="GJ396" s="105"/>
    </row>
    <row r="397" spans="1:192" s="93" customFormat="1" ht="12.75" customHeight="1">
      <c r="A397" s="68"/>
      <c r="B397" s="677"/>
      <c r="C397" s="190"/>
      <c r="D397" s="191"/>
      <c r="E397" s="191"/>
      <c r="F397" s="191"/>
      <c r="G397" s="191"/>
      <c r="H397" s="190"/>
      <c r="I397" s="191"/>
      <c r="J397" s="191"/>
      <c r="K397" s="191"/>
      <c r="L397" s="191"/>
      <c r="M397" s="190"/>
      <c r="N397" s="191"/>
      <c r="O397" s="191"/>
      <c r="P397" s="191"/>
      <c r="Q397" s="191"/>
      <c r="R397" s="190"/>
      <c r="S397" s="191"/>
      <c r="T397" s="191"/>
      <c r="U397" s="191"/>
      <c r="V397" s="191"/>
      <c r="W397" s="190"/>
      <c r="X397" s="191"/>
      <c r="Y397" s="191"/>
      <c r="Z397" s="191"/>
      <c r="AA397" s="191"/>
      <c r="AB397" s="190"/>
      <c r="AC397" s="191"/>
      <c r="AD397" s="191"/>
      <c r="AE397" s="191"/>
      <c r="AF397" s="191"/>
      <c r="AG397" s="190"/>
      <c r="AH397" s="191"/>
      <c r="AI397" s="191"/>
      <c r="AJ397" s="191"/>
      <c r="AK397" s="191"/>
      <c r="AL397" s="190"/>
      <c r="AM397" s="191"/>
      <c r="AN397" s="191"/>
      <c r="AO397" s="191"/>
      <c r="AP397" s="191"/>
      <c r="AQ397" s="190"/>
      <c r="AR397" s="191"/>
      <c r="AS397" s="191"/>
      <c r="AT397" s="191"/>
      <c r="AU397" s="191"/>
      <c r="AV397" s="190"/>
      <c r="AW397" s="191"/>
      <c r="AX397" s="191"/>
      <c r="AY397" s="191"/>
      <c r="AZ397" s="191"/>
      <c r="BA397" s="190"/>
      <c r="BB397" s="191"/>
      <c r="BC397" s="191"/>
      <c r="BD397" s="191"/>
      <c r="BE397" s="191"/>
      <c r="BF397" s="190"/>
      <c r="BG397" s="191"/>
      <c r="BH397" s="191"/>
      <c r="BI397" s="191"/>
      <c r="BJ397" s="191"/>
      <c r="BK397" s="190"/>
      <c r="BL397" s="191"/>
      <c r="BM397" s="191"/>
      <c r="BN397" s="191"/>
      <c r="BO397" s="191"/>
      <c r="BP397" s="190"/>
      <c r="BQ397" s="191"/>
      <c r="BR397" s="191"/>
      <c r="BS397" s="191"/>
      <c r="BT397" s="191"/>
      <c r="BU397" s="190"/>
      <c r="BV397" s="191"/>
      <c r="BW397" s="191"/>
      <c r="BX397" s="191"/>
      <c r="BY397" s="191"/>
      <c r="BZ397" s="190"/>
      <c r="CA397" s="191"/>
      <c r="CB397" s="191"/>
      <c r="CC397" s="191"/>
      <c r="CD397" s="191"/>
      <c r="CE397" s="190"/>
      <c r="CF397" s="191"/>
      <c r="CG397" s="191"/>
      <c r="CH397" s="191"/>
      <c r="CI397" s="191"/>
      <c r="CJ397" s="190"/>
      <c r="CK397" s="191"/>
      <c r="CL397" s="191"/>
      <c r="CM397" s="191"/>
      <c r="CN397" s="191"/>
      <c r="CO397" s="190"/>
      <c r="CP397" s="191"/>
      <c r="CQ397" s="191"/>
      <c r="CR397" s="191"/>
      <c r="CS397" s="191"/>
      <c r="CT397" s="190"/>
      <c r="CU397" s="191"/>
      <c r="CV397" s="191"/>
      <c r="CW397" s="191"/>
      <c r="CX397" s="191"/>
      <c r="CY397" s="190"/>
      <c r="CZ397" s="191"/>
      <c r="DA397" s="191"/>
      <c r="DB397" s="191"/>
      <c r="DC397" s="191"/>
      <c r="DD397" s="190"/>
      <c r="DE397" s="191"/>
      <c r="DF397" s="191"/>
      <c r="DG397" s="191"/>
      <c r="DH397" s="191"/>
      <c r="DI397" s="190"/>
      <c r="DJ397" s="191"/>
      <c r="DK397" s="191"/>
      <c r="DL397" s="191"/>
      <c r="DM397" s="191"/>
      <c r="DN397" s="190"/>
      <c r="DO397" s="191"/>
      <c r="DP397" s="191"/>
      <c r="DQ397" s="191"/>
      <c r="DR397" s="191"/>
      <c r="DS397" s="190"/>
      <c r="DT397" s="191"/>
      <c r="DU397" s="191"/>
      <c r="DV397" s="191"/>
      <c r="DW397" s="191"/>
      <c r="DX397" s="190"/>
      <c r="DY397" s="191"/>
      <c r="DZ397" s="191"/>
      <c r="EA397" s="191"/>
      <c r="EB397" s="191"/>
      <c r="EC397" s="190"/>
      <c r="ED397" s="191"/>
      <c r="EE397" s="191"/>
      <c r="EF397" s="191"/>
      <c r="EG397" s="191"/>
      <c r="EH397" s="190"/>
      <c r="EI397" s="191"/>
      <c r="EJ397" s="191"/>
      <c r="EK397" s="191"/>
      <c r="EL397" s="191"/>
      <c r="EM397" s="190"/>
      <c r="EN397" s="191"/>
      <c r="EO397" s="191"/>
      <c r="EP397" s="191"/>
      <c r="EQ397" s="191"/>
      <c r="ER397" s="190"/>
      <c r="ES397" s="191"/>
      <c r="ET397" s="191"/>
      <c r="EU397" s="191"/>
      <c r="EV397" s="191"/>
      <c r="EW397" s="190"/>
      <c r="EX397" s="191"/>
      <c r="EY397" s="191"/>
      <c r="EZ397" s="191"/>
      <c r="FA397" s="191"/>
      <c r="FB397" s="190"/>
      <c r="FC397" s="191"/>
      <c r="FD397" s="191"/>
      <c r="FE397" s="191"/>
      <c r="FF397" s="191"/>
      <c r="FG397" s="190"/>
      <c r="FH397" s="191"/>
      <c r="FI397" s="191"/>
      <c r="FJ397" s="191"/>
      <c r="FK397" s="191"/>
      <c r="FL397" s="190"/>
      <c r="FM397" s="191"/>
      <c r="FN397" s="191"/>
      <c r="FO397" s="191"/>
      <c r="FP397" s="191"/>
      <c r="FQ397" s="190"/>
      <c r="FR397" s="191"/>
      <c r="FS397" s="191"/>
      <c r="FT397" s="191"/>
      <c r="FU397" s="191"/>
      <c r="FV397" s="190"/>
      <c r="FW397" s="191"/>
      <c r="FX397" s="191"/>
      <c r="FY397" s="191"/>
      <c r="FZ397" s="191"/>
      <c r="GA397" s="190"/>
      <c r="GB397" s="191"/>
      <c r="GC397" s="191"/>
      <c r="GD397" s="191"/>
      <c r="GE397" s="191"/>
      <c r="GF397" s="190"/>
      <c r="GG397" s="191"/>
      <c r="GH397" s="191"/>
      <c r="GI397" s="191"/>
      <c r="GJ397" s="191"/>
    </row>
    <row r="399" spans="1:192" s="93" customFormat="1" ht="12.75" customHeight="1">
      <c r="A399" s="68"/>
      <c r="B399" s="677"/>
      <c r="C399" s="196"/>
      <c r="D399" s="197"/>
      <c r="E399" s="197"/>
      <c r="F399" s="197"/>
      <c r="G399" s="197"/>
      <c r="H399" s="196"/>
      <c r="I399" s="197"/>
      <c r="J399" s="197"/>
      <c r="K399" s="197"/>
      <c r="L399" s="197"/>
      <c r="M399" s="196"/>
      <c r="N399" s="197"/>
      <c r="O399" s="197"/>
      <c r="P399" s="197"/>
      <c r="Q399" s="197"/>
      <c r="R399" s="196"/>
      <c r="S399" s="197"/>
      <c r="T399" s="197"/>
      <c r="U399" s="197"/>
      <c r="V399" s="197"/>
      <c r="W399" s="196"/>
      <c r="X399" s="197"/>
      <c r="Y399" s="197"/>
      <c r="Z399" s="197"/>
      <c r="AA399" s="197"/>
      <c r="AB399" s="196"/>
      <c r="AC399" s="197"/>
      <c r="AD399" s="197"/>
      <c r="AE399" s="197"/>
      <c r="AF399" s="197"/>
      <c r="AG399" s="196"/>
      <c r="AH399" s="197"/>
      <c r="AI399" s="197"/>
      <c r="AJ399" s="197"/>
      <c r="AK399" s="197"/>
      <c r="AL399" s="196"/>
      <c r="AM399" s="197"/>
      <c r="AN399" s="197"/>
      <c r="AO399" s="197"/>
      <c r="AP399" s="197"/>
      <c r="AQ399" s="196"/>
      <c r="AR399" s="197"/>
      <c r="AS399" s="197"/>
      <c r="AT399" s="197"/>
      <c r="AU399" s="197"/>
      <c r="AV399" s="196"/>
      <c r="AW399" s="197"/>
      <c r="AX399" s="197"/>
      <c r="AY399" s="197"/>
      <c r="AZ399" s="197"/>
      <c r="BA399" s="196"/>
      <c r="BB399" s="197"/>
      <c r="BC399" s="197"/>
      <c r="BD399" s="197"/>
      <c r="BE399" s="197"/>
      <c r="BF399" s="196"/>
      <c r="BG399" s="197"/>
      <c r="BH399" s="197"/>
      <c r="BI399" s="197"/>
      <c r="BJ399" s="197"/>
      <c r="BK399" s="196"/>
      <c r="BL399" s="197"/>
      <c r="BM399" s="197"/>
      <c r="BN399" s="197"/>
      <c r="BO399" s="197"/>
      <c r="BP399" s="196"/>
      <c r="BQ399" s="197"/>
      <c r="BR399" s="197"/>
      <c r="BS399" s="197"/>
      <c r="BT399" s="197"/>
      <c r="BU399" s="196"/>
      <c r="BV399" s="197"/>
      <c r="BW399" s="197"/>
      <c r="BX399" s="197"/>
      <c r="BY399" s="197"/>
      <c r="BZ399" s="196"/>
      <c r="CA399" s="197"/>
      <c r="CB399" s="197"/>
      <c r="CC399" s="197"/>
      <c r="CD399" s="197"/>
      <c r="CE399" s="196"/>
      <c r="CF399" s="197"/>
      <c r="CG399" s="197"/>
      <c r="CH399" s="197"/>
      <c r="CI399" s="197"/>
      <c r="CJ399" s="196"/>
      <c r="CK399" s="197"/>
      <c r="CL399" s="197"/>
      <c r="CM399" s="197"/>
      <c r="CN399" s="197"/>
      <c r="CO399" s="196"/>
      <c r="CP399" s="197"/>
      <c r="CQ399" s="197"/>
      <c r="CR399" s="197"/>
      <c r="CS399" s="197"/>
      <c r="CT399" s="196"/>
      <c r="CU399" s="197"/>
      <c r="CV399" s="197"/>
      <c r="CW399" s="197"/>
      <c r="CX399" s="197"/>
      <c r="CY399" s="196"/>
      <c r="CZ399" s="197"/>
      <c r="DA399" s="197"/>
      <c r="DB399" s="197"/>
      <c r="DC399" s="197"/>
      <c r="DD399" s="196"/>
      <c r="DE399" s="197"/>
      <c r="DF399" s="197"/>
      <c r="DG399" s="197"/>
      <c r="DH399" s="197"/>
      <c r="DI399" s="196"/>
      <c r="DJ399" s="197"/>
      <c r="DK399" s="197"/>
      <c r="DL399" s="197"/>
      <c r="DM399" s="197"/>
      <c r="DN399" s="196"/>
      <c r="DO399" s="197"/>
      <c r="DP399" s="197"/>
      <c r="DQ399" s="197"/>
      <c r="DR399" s="197"/>
      <c r="DS399" s="196"/>
      <c r="DT399" s="197"/>
      <c r="DU399" s="197"/>
      <c r="DV399" s="197"/>
      <c r="DW399" s="197"/>
      <c r="DX399" s="196"/>
      <c r="DY399" s="197"/>
      <c r="DZ399" s="197"/>
      <c r="EA399" s="197"/>
      <c r="EB399" s="197"/>
      <c r="EC399" s="196"/>
      <c r="ED399" s="197"/>
      <c r="EE399" s="197"/>
      <c r="EF399" s="197"/>
      <c r="EG399" s="197"/>
      <c r="EH399" s="196"/>
      <c r="EI399" s="197"/>
      <c r="EJ399" s="197"/>
      <c r="EK399" s="197"/>
      <c r="EL399" s="197"/>
      <c r="EM399" s="196"/>
      <c r="EN399" s="197"/>
      <c r="EO399" s="197"/>
      <c r="EP399" s="197"/>
      <c r="EQ399" s="197"/>
      <c r="ER399" s="196"/>
      <c r="ES399" s="197"/>
      <c r="ET399" s="197"/>
      <c r="EU399" s="197"/>
      <c r="EV399" s="197"/>
      <c r="EW399" s="196"/>
      <c r="EX399" s="197"/>
      <c r="EY399" s="197"/>
      <c r="EZ399" s="197"/>
      <c r="FA399" s="197"/>
      <c r="FB399" s="196"/>
      <c r="FC399" s="197"/>
      <c r="FD399" s="197"/>
      <c r="FE399" s="197"/>
      <c r="FF399" s="197"/>
      <c r="FG399" s="196"/>
      <c r="FH399" s="197"/>
      <c r="FI399" s="197"/>
      <c r="FJ399" s="197"/>
      <c r="FK399" s="197"/>
      <c r="FL399" s="196"/>
      <c r="FM399" s="197"/>
      <c r="FN399" s="197"/>
      <c r="FO399" s="197"/>
      <c r="FP399" s="197"/>
      <c r="FQ399" s="196"/>
      <c r="FR399" s="197"/>
      <c r="FS399" s="197"/>
      <c r="FT399" s="197"/>
      <c r="FU399" s="197"/>
      <c r="FV399" s="196"/>
      <c r="FW399" s="197"/>
      <c r="FX399" s="197"/>
      <c r="FY399" s="197"/>
      <c r="FZ399" s="197"/>
      <c r="GA399" s="196"/>
      <c r="GB399" s="197"/>
      <c r="GC399" s="197"/>
      <c r="GD399" s="197"/>
      <c r="GE399" s="197"/>
      <c r="GF399" s="196"/>
      <c r="GG399" s="197"/>
      <c r="GH399" s="197"/>
      <c r="GI399" s="197"/>
      <c r="GJ399" s="197"/>
    </row>
    <row r="400" spans="1:192" s="93" customFormat="1" ht="12.75" customHeight="1">
      <c r="A400" s="68"/>
      <c r="B400" s="677"/>
      <c r="C400" s="198"/>
      <c r="D400" s="199"/>
      <c r="E400" s="199"/>
      <c r="F400" s="199"/>
      <c r="G400" s="199"/>
      <c r="H400" s="198"/>
      <c r="I400" s="199"/>
      <c r="J400" s="199"/>
      <c r="K400" s="199"/>
      <c r="L400" s="199"/>
      <c r="M400" s="198"/>
      <c r="N400" s="199"/>
      <c r="O400" s="199"/>
      <c r="P400" s="199"/>
      <c r="Q400" s="199"/>
      <c r="R400" s="198"/>
      <c r="S400" s="199"/>
      <c r="T400" s="199"/>
      <c r="U400" s="199"/>
      <c r="V400" s="199"/>
      <c r="W400" s="198"/>
      <c r="X400" s="199"/>
      <c r="Y400" s="199"/>
      <c r="Z400" s="199"/>
      <c r="AA400" s="199"/>
      <c r="AB400" s="198"/>
      <c r="AC400" s="199"/>
      <c r="AD400" s="199"/>
      <c r="AE400" s="199"/>
      <c r="AF400" s="199"/>
      <c r="AG400" s="198"/>
      <c r="AH400" s="199"/>
      <c r="AI400" s="199"/>
      <c r="AJ400" s="199"/>
      <c r="AK400" s="199"/>
      <c r="AL400" s="198"/>
      <c r="AM400" s="199"/>
      <c r="AN400" s="199"/>
      <c r="AO400" s="199"/>
      <c r="AP400" s="199"/>
      <c r="AQ400" s="198"/>
      <c r="AR400" s="199"/>
      <c r="AS400" s="199"/>
      <c r="AT400" s="199"/>
      <c r="AU400" s="199"/>
      <c r="AV400" s="198"/>
      <c r="AW400" s="199"/>
      <c r="AX400" s="199"/>
      <c r="AY400" s="199"/>
      <c r="AZ400" s="199"/>
      <c r="BA400" s="198"/>
      <c r="BB400" s="199"/>
      <c r="BC400" s="199"/>
      <c r="BD400" s="199"/>
      <c r="BE400" s="199"/>
      <c r="BF400" s="198"/>
      <c r="BG400" s="199"/>
      <c r="BH400" s="199"/>
      <c r="BI400" s="199"/>
      <c r="BJ400" s="199"/>
      <c r="BK400" s="198"/>
      <c r="BL400" s="199"/>
      <c r="BM400" s="199"/>
      <c r="BN400" s="199"/>
      <c r="BO400" s="199"/>
      <c r="BP400" s="198"/>
      <c r="BQ400" s="199"/>
      <c r="BR400" s="199"/>
      <c r="BS400" s="199"/>
      <c r="BT400" s="199"/>
      <c r="BU400" s="198"/>
      <c r="BV400" s="199"/>
      <c r="BW400" s="199"/>
      <c r="BX400" s="199"/>
      <c r="BY400" s="199"/>
      <c r="BZ400" s="198"/>
      <c r="CA400" s="199"/>
      <c r="CB400" s="199"/>
      <c r="CC400" s="199"/>
      <c r="CD400" s="199"/>
      <c r="CE400" s="198"/>
      <c r="CF400" s="199"/>
      <c r="CG400" s="199"/>
      <c r="CH400" s="199"/>
      <c r="CI400" s="199"/>
      <c r="CJ400" s="198"/>
      <c r="CK400" s="199"/>
      <c r="CL400" s="199"/>
      <c r="CM400" s="199"/>
      <c r="CN400" s="199"/>
      <c r="CO400" s="198"/>
      <c r="CP400" s="199"/>
      <c r="CQ400" s="199"/>
      <c r="CR400" s="199"/>
      <c r="CS400" s="199"/>
      <c r="CT400" s="198"/>
      <c r="CU400" s="199"/>
      <c r="CV400" s="199"/>
      <c r="CW400" s="199"/>
      <c r="CX400" s="199"/>
      <c r="CY400" s="198"/>
      <c r="CZ400" s="199"/>
      <c r="DA400" s="199"/>
      <c r="DB400" s="199"/>
      <c r="DC400" s="199"/>
      <c r="DD400" s="198"/>
      <c r="DE400" s="199"/>
      <c r="DF400" s="199"/>
      <c r="DG400" s="199"/>
      <c r="DH400" s="199"/>
      <c r="DI400" s="198"/>
      <c r="DJ400" s="199"/>
      <c r="DK400" s="199"/>
      <c r="DL400" s="199"/>
      <c r="DM400" s="199"/>
      <c r="DN400" s="198"/>
      <c r="DO400" s="199"/>
      <c r="DP400" s="199"/>
      <c r="DQ400" s="199"/>
      <c r="DR400" s="199"/>
      <c r="DS400" s="198"/>
      <c r="DT400" s="199"/>
      <c r="DU400" s="199"/>
      <c r="DV400" s="199"/>
      <c r="DW400" s="199"/>
      <c r="DX400" s="198"/>
      <c r="DY400" s="199"/>
      <c r="DZ400" s="199"/>
      <c r="EA400" s="199"/>
      <c r="EB400" s="199"/>
      <c r="EC400" s="198"/>
      <c r="ED400" s="199"/>
      <c r="EE400" s="199"/>
      <c r="EF400" s="199"/>
      <c r="EG400" s="199"/>
      <c r="EH400" s="198"/>
      <c r="EI400" s="199"/>
      <c r="EJ400" s="199"/>
      <c r="EK400" s="199"/>
      <c r="EL400" s="199"/>
      <c r="EM400" s="198"/>
      <c r="EN400" s="199"/>
      <c r="EO400" s="199"/>
      <c r="EP400" s="199"/>
      <c r="EQ400" s="199"/>
      <c r="ER400" s="198"/>
      <c r="ES400" s="199"/>
      <c r="ET400" s="199"/>
      <c r="EU400" s="199"/>
      <c r="EV400" s="199"/>
      <c r="EW400" s="198"/>
      <c r="EX400" s="199"/>
      <c r="EY400" s="199"/>
      <c r="EZ400" s="199"/>
      <c r="FA400" s="199"/>
      <c r="FB400" s="198"/>
      <c r="FC400" s="199"/>
      <c r="FD400" s="199"/>
      <c r="FE400" s="199"/>
      <c r="FF400" s="199"/>
      <c r="FG400" s="198"/>
      <c r="FH400" s="199"/>
      <c r="FI400" s="199"/>
      <c r="FJ400" s="199"/>
      <c r="FK400" s="199"/>
      <c r="FL400" s="198"/>
      <c r="FM400" s="199"/>
      <c r="FN400" s="199"/>
      <c r="FO400" s="199"/>
      <c r="FP400" s="199"/>
      <c r="FQ400" s="198"/>
      <c r="FR400" s="199"/>
      <c r="FS400" s="199"/>
      <c r="FT400" s="199"/>
      <c r="FU400" s="199"/>
      <c r="FV400" s="198"/>
      <c r="FW400" s="199"/>
      <c r="FX400" s="199"/>
      <c r="FY400" s="199"/>
      <c r="FZ400" s="199"/>
      <c r="GA400" s="198"/>
      <c r="GB400" s="199"/>
      <c r="GC400" s="199"/>
      <c r="GD400" s="199"/>
      <c r="GE400" s="199"/>
      <c r="GF400" s="198"/>
      <c r="GG400" s="199"/>
      <c r="GH400" s="199"/>
      <c r="GI400" s="199"/>
      <c r="GJ400" s="199"/>
    </row>
    <row r="401" spans="1:192" s="93" customFormat="1" ht="12.75" customHeight="1">
      <c r="A401" s="68"/>
      <c r="B401" s="677"/>
      <c r="C401" s="139"/>
      <c r="D401" s="105"/>
      <c r="E401" s="105"/>
      <c r="F401" s="105"/>
      <c r="G401" s="105"/>
      <c r="H401" s="139"/>
      <c r="I401" s="105"/>
      <c r="J401" s="105"/>
      <c r="K401" s="105"/>
      <c r="L401" s="105"/>
      <c r="M401" s="139"/>
      <c r="N401" s="105"/>
      <c r="O401" s="105"/>
      <c r="P401" s="105"/>
      <c r="Q401" s="105"/>
      <c r="R401" s="139"/>
      <c r="S401" s="105"/>
      <c r="T401" s="105"/>
      <c r="U401" s="105"/>
      <c r="V401" s="105"/>
      <c r="W401" s="139"/>
      <c r="X401" s="105"/>
      <c r="Y401" s="105"/>
      <c r="Z401" s="105"/>
      <c r="AA401" s="105"/>
      <c r="AB401" s="139"/>
      <c r="AC401" s="105"/>
      <c r="AD401" s="105"/>
      <c r="AE401" s="105"/>
      <c r="AF401" s="105"/>
      <c r="AG401" s="139"/>
      <c r="AH401" s="105"/>
      <c r="AI401" s="105"/>
      <c r="AJ401" s="105"/>
      <c r="AK401" s="105"/>
      <c r="AL401" s="139"/>
      <c r="AM401" s="105"/>
      <c r="AN401" s="105"/>
      <c r="AO401" s="105"/>
      <c r="AP401" s="105"/>
      <c r="AQ401" s="139"/>
      <c r="AR401" s="105"/>
      <c r="AS401" s="105"/>
      <c r="AT401" s="105"/>
      <c r="AU401" s="105"/>
      <c r="AV401" s="139"/>
      <c r="AW401" s="105"/>
      <c r="AX401" s="105"/>
      <c r="AY401" s="105"/>
      <c r="AZ401" s="105"/>
      <c r="BA401" s="139"/>
      <c r="BB401" s="105"/>
      <c r="BC401" s="105"/>
      <c r="BD401" s="105"/>
      <c r="BE401" s="105"/>
      <c r="BF401" s="139"/>
      <c r="BG401" s="105"/>
      <c r="BH401" s="105"/>
      <c r="BI401" s="105"/>
      <c r="BJ401" s="105"/>
      <c r="BK401" s="139"/>
      <c r="BL401" s="105"/>
      <c r="BM401" s="105"/>
      <c r="BN401" s="105"/>
      <c r="BO401" s="105"/>
      <c r="BP401" s="139"/>
      <c r="BQ401" s="105"/>
      <c r="BR401" s="105"/>
      <c r="BS401" s="105"/>
      <c r="BT401" s="105"/>
      <c r="BU401" s="139"/>
      <c r="BV401" s="105"/>
      <c r="BW401" s="105"/>
      <c r="BX401" s="105"/>
      <c r="BY401" s="105"/>
      <c r="BZ401" s="139"/>
      <c r="CA401" s="105"/>
      <c r="CB401" s="105"/>
      <c r="CC401" s="105"/>
      <c r="CD401" s="105"/>
      <c r="CE401" s="139"/>
      <c r="CF401" s="105"/>
      <c r="CG401" s="105"/>
      <c r="CH401" s="105"/>
      <c r="CI401" s="105"/>
      <c r="CJ401" s="139"/>
      <c r="CK401" s="105"/>
      <c r="CL401" s="105"/>
      <c r="CM401" s="105"/>
      <c r="CN401" s="105"/>
      <c r="CO401" s="139"/>
      <c r="CP401" s="105"/>
      <c r="CQ401" s="105"/>
      <c r="CR401" s="105"/>
      <c r="CS401" s="105"/>
      <c r="CT401" s="139"/>
      <c r="CU401" s="105"/>
      <c r="CV401" s="105"/>
      <c r="CW401" s="105"/>
      <c r="CX401" s="105"/>
      <c r="CY401" s="139"/>
      <c r="CZ401" s="105"/>
      <c r="DA401" s="105"/>
      <c r="DB401" s="105"/>
      <c r="DC401" s="105"/>
      <c r="DD401" s="139"/>
      <c r="DE401" s="105"/>
      <c r="DF401" s="105"/>
      <c r="DG401" s="105"/>
      <c r="DH401" s="105"/>
      <c r="DI401" s="139"/>
      <c r="DJ401" s="105"/>
      <c r="DK401" s="105"/>
      <c r="DL401" s="105"/>
      <c r="DM401" s="105"/>
      <c r="DN401" s="139"/>
      <c r="DO401" s="105"/>
      <c r="DP401" s="105"/>
      <c r="DQ401" s="105"/>
      <c r="DR401" s="105"/>
      <c r="DS401" s="139"/>
      <c r="DT401" s="105"/>
      <c r="DU401" s="105"/>
      <c r="DV401" s="105"/>
      <c r="DW401" s="105"/>
      <c r="DX401" s="139"/>
      <c r="DY401" s="105"/>
      <c r="DZ401" s="105"/>
      <c r="EA401" s="105"/>
      <c r="EB401" s="105"/>
      <c r="EC401" s="139"/>
      <c r="ED401" s="105"/>
      <c r="EE401" s="105"/>
      <c r="EF401" s="105"/>
      <c r="EG401" s="105"/>
      <c r="EH401" s="139"/>
      <c r="EI401" s="105"/>
      <c r="EJ401" s="105"/>
      <c r="EK401" s="105"/>
      <c r="EL401" s="105"/>
      <c r="EM401" s="139"/>
      <c r="EN401" s="105"/>
      <c r="EO401" s="105"/>
      <c r="EP401" s="105"/>
      <c r="EQ401" s="105"/>
      <c r="ER401" s="139"/>
      <c r="ES401" s="105"/>
      <c r="ET401" s="105"/>
      <c r="EU401" s="105"/>
      <c r="EV401" s="105"/>
      <c r="EW401" s="139"/>
      <c r="EX401" s="105"/>
      <c r="EY401" s="105"/>
      <c r="EZ401" s="105"/>
      <c r="FA401" s="105"/>
      <c r="FB401" s="139"/>
      <c r="FC401" s="105"/>
      <c r="FD401" s="105"/>
      <c r="FE401" s="105"/>
      <c r="FF401" s="105"/>
      <c r="FG401" s="139"/>
      <c r="FH401" s="105"/>
      <c r="FI401" s="105"/>
      <c r="FJ401" s="105"/>
      <c r="FK401" s="105"/>
      <c r="FL401" s="139"/>
      <c r="FM401" s="105"/>
      <c r="FN401" s="105"/>
      <c r="FO401" s="105"/>
      <c r="FP401" s="105"/>
      <c r="FQ401" s="139"/>
      <c r="FR401" s="105"/>
      <c r="FS401" s="105"/>
      <c r="FT401" s="105"/>
      <c r="FU401" s="105"/>
      <c r="FV401" s="139"/>
      <c r="FW401" s="105"/>
      <c r="FX401" s="105"/>
      <c r="FY401" s="105"/>
      <c r="FZ401" s="105"/>
      <c r="GA401" s="139"/>
      <c r="GB401" s="105"/>
      <c r="GC401" s="105"/>
      <c r="GD401" s="105"/>
      <c r="GE401" s="105"/>
      <c r="GF401" s="139"/>
      <c r="GG401" s="105"/>
      <c r="GH401" s="105"/>
      <c r="GI401" s="105"/>
      <c r="GJ401" s="105"/>
    </row>
    <row r="402" spans="1:192" s="93" customFormat="1" ht="12.75" customHeight="1">
      <c r="A402" s="68"/>
      <c r="B402" s="677"/>
      <c r="C402" s="139"/>
      <c r="D402" s="105"/>
      <c r="E402" s="105"/>
      <c r="F402" s="105"/>
      <c r="G402" s="105"/>
      <c r="H402" s="139"/>
      <c r="I402" s="105"/>
      <c r="J402" s="105"/>
      <c r="K402" s="105"/>
      <c r="L402" s="105"/>
      <c r="M402" s="139"/>
      <c r="N402" s="105"/>
      <c r="O402" s="105"/>
      <c r="P402" s="105"/>
      <c r="Q402" s="105"/>
      <c r="R402" s="139"/>
      <c r="S402" s="105"/>
      <c r="T402" s="105"/>
      <c r="U402" s="105"/>
      <c r="V402" s="105"/>
      <c r="W402" s="139"/>
      <c r="X402" s="105"/>
      <c r="Y402" s="105"/>
      <c r="Z402" s="105"/>
      <c r="AA402" s="105"/>
      <c r="AB402" s="139"/>
      <c r="AC402" s="105"/>
      <c r="AD402" s="105"/>
      <c r="AE402" s="105"/>
      <c r="AF402" s="105"/>
      <c r="AG402" s="139"/>
      <c r="AH402" s="105"/>
      <c r="AI402" s="105"/>
      <c r="AJ402" s="105"/>
      <c r="AK402" s="105"/>
      <c r="AL402" s="139"/>
      <c r="AM402" s="105"/>
      <c r="AN402" s="105"/>
      <c r="AO402" s="105"/>
      <c r="AP402" s="105"/>
      <c r="AQ402" s="139"/>
      <c r="AR402" s="105"/>
      <c r="AS402" s="105"/>
      <c r="AT402" s="105"/>
      <c r="AU402" s="105"/>
      <c r="AV402" s="139"/>
      <c r="AW402" s="105"/>
      <c r="AX402" s="105"/>
      <c r="AY402" s="105"/>
      <c r="AZ402" s="105"/>
      <c r="BA402" s="139"/>
      <c r="BB402" s="105"/>
      <c r="BC402" s="105"/>
      <c r="BD402" s="105"/>
      <c r="BE402" s="105"/>
      <c r="BF402" s="139"/>
      <c r="BG402" s="105"/>
      <c r="BH402" s="105"/>
      <c r="BI402" s="105"/>
      <c r="BJ402" s="105"/>
      <c r="BK402" s="139"/>
      <c r="BL402" s="105"/>
      <c r="BM402" s="105"/>
      <c r="BN402" s="105"/>
      <c r="BO402" s="105"/>
      <c r="BP402" s="139"/>
      <c r="BQ402" s="105"/>
      <c r="BR402" s="105"/>
      <c r="BS402" s="105"/>
      <c r="BT402" s="105"/>
      <c r="BU402" s="139"/>
      <c r="BV402" s="105"/>
      <c r="BW402" s="105"/>
      <c r="BX402" s="105"/>
      <c r="BY402" s="105"/>
      <c r="BZ402" s="139"/>
      <c r="CA402" s="105"/>
      <c r="CB402" s="105"/>
      <c r="CC402" s="105"/>
      <c r="CD402" s="105"/>
      <c r="CE402" s="139"/>
      <c r="CF402" s="105"/>
      <c r="CG402" s="105"/>
      <c r="CH402" s="105"/>
      <c r="CI402" s="105"/>
      <c r="CJ402" s="139"/>
      <c r="CK402" s="105"/>
      <c r="CL402" s="105"/>
      <c r="CM402" s="105"/>
      <c r="CN402" s="105"/>
      <c r="CO402" s="139"/>
      <c r="CP402" s="105"/>
      <c r="CQ402" s="105"/>
      <c r="CR402" s="105"/>
      <c r="CS402" s="105"/>
      <c r="CT402" s="139"/>
      <c r="CU402" s="105"/>
      <c r="CV402" s="105"/>
      <c r="CW402" s="105"/>
      <c r="CX402" s="105"/>
      <c r="CY402" s="139"/>
      <c r="CZ402" s="105"/>
      <c r="DA402" s="105"/>
      <c r="DB402" s="105"/>
      <c r="DC402" s="105"/>
      <c r="DD402" s="139"/>
      <c r="DE402" s="105"/>
      <c r="DF402" s="105"/>
      <c r="DG402" s="105"/>
      <c r="DH402" s="105"/>
      <c r="DI402" s="139"/>
      <c r="DJ402" s="105"/>
      <c r="DK402" s="105"/>
      <c r="DL402" s="105"/>
      <c r="DM402" s="105"/>
      <c r="DN402" s="139"/>
      <c r="DO402" s="105"/>
      <c r="DP402" s="105"/>
      <c r="DQ402" s="105"/>
      <c r="DR402" s="105"/>
      <c r="DS402" s="139"/>
      <c r="DT402" s="105"/>
      <c r="DU402" s="105"/>
      <c r="DV402" s="105"/>
      <c r="DW402" s="105"/>
      <c r="DX402" s="139"/>
      <c r="DY402" s="105"/>
      <c r="DZ402" s="105"/>
      <c r="EA402" s="105"/>
      <c r="EB402" s="105"/>
      <c r="EC402" s="139"/>
      <c r="ED402" s="105"/>
      <c r="EE402" s="105"/>
      <c r="EF402" s="105"/>
      <c r="EG402" s="105"/>
      <c r="EH402" s="139"/>
      <c r="EI402" s="105"/>
      <c r="EJ402" s="105"/>
      <c r="EK402" s="105"/>
      <c r="EL402" s="105"/>
      <c r="EM402" s="139"/>
      <c r="EN402" s="105"/>
      <c r="EO402" s="105"/>
      <c r="EP402" s="105"/>
      <c r="EQ402" s="105"/>
      <c r="ER402" s="139"/>
      <c r="ES402" s="105"/>
      <c r="ET402" s="105"/>
      <c r="EU402" s="105"/>
      <c r="EV402" s="105"/>
      <c r="EW402" s="139"/>
      <c r="EX402" s="105"/>
      <c r="EY402" s="105"/>
      <c r="EZ402" s="105"/>
      <c r="FA402" s="105"/>
      <c r="FB402" s="139"/>
      <c r="FC402" s="105"/>
      <c r="FD402" s="105"/>
      <c r="FE402" s="105"/>
      <c r="FF402" s="105"/>
      <c r="FG402" s="139"/>
      <c r="FH402" s="105"/>
      <c r="FI402" s="105"/>
      <c r="FJ402" s="105"/>
      <c r="FK402" s="105"/>
      <c r="FL402" s="139"/>
      <c r="FM402" s="105"/>
      <c r="FN402" s="105"/>
      <c r="FO402" s="105"/>
      <c r="FP402" s="105"/>
      <c r="FQ402" s="139"/>
      <c r="FR402" s="105"/>
      <c r="FS402" s="105"/>
      <c r="FT402" s="105"/>
      <c r="FU402" s="105"/>
      <c r="FV402" s="139"/>
      <c r="FW402" s="105"/>
      <c r="FX402" s="105"/>
      <c r="FY402" s="105"/>
      <c r="FZ402" s="105"/>
      <c r="GA402" s="139"/>
      <c r="GB402" s="105"/>
      <c r="GC402" s="105"/>
      <c r="GD402" s="105"/>
      <c r="GE402" s="105"/>
      <c r="GF402" s="139"/>
      <c r="GG402" s="105"/>
      <c r="GH402" s="105"/>
      <c r="GI402" s="105"/>
      <c r="GJ402" s="105"/>
    </row>
    <row r="403" spans="1:192" s="93" customFormat="1" ht="12.75" customHeight="1">
      <c r="A403" s="68"/>
      <c r="B403" s="677"/>
      <c r="C403" s="139"/>
      <c r="D403" s="105"/>
      <c r="E403" s="105"/>
      <c r="F403" s="105"/>
      <c r="G403" s="105"/>
      <c r="H403" s="139"/>
      <c r="I403" s="105"/>
      <c r="J403" s="105"/>
      <c r="K403" s="105"/>
      <c r="L403" s="105"/>
      <c r="M403" s="139"/>
      <c r="N403" s="105"/>
      <c r="O403" s="105"/>
      <c r="P403" s="105"/>
      <c r="Q403" s="105"/>
      <c r="R403" s="139"/>
      <c r="S403" s="105"/>
      <c r="T403" s="105"/>
      <c r="U403" s="105"/>
      <c r="V403" s="105"/>
      <c r="W403" s="139"/>
      <c r="X403" s="105"/>
      <c r="Y403" s="105"/>
      <c r="Z403" s="105"/>
      <c r="AA403" s="105"/>
      <c r="AB403" s="139"/>
      <c r="AC403" s="105"/>
      <c r="AD403" s="105"/>
      <c r="AE403" s="105"/>
      <c r="AF403" s="105"/>
      <c r="AG403" s="139"/>
      <c r="AH403" s="105"/>
      <c r="AI403" s="105"/>
      <c r="AJ403" s="105"/>
      <c r="AK403" s="105"/>
      <c r="AL403" s="139"/>
      <c r="AM403" s="105"/>
      <c r="AN403" s="105"/>
      <c r="AO403" s="105"/>
      <c r="AP403" s="105"/>
      <c r="AQ403" s="139"/>
      <c r="AR403" s="105"/>
      <c r="AS403" s="105"/>
      <c r="AT403" s="105"/>
      <c r="AU403" s="105"/>
      <c r="AV403" s="139"/>
      <c r="AW403" s="105"/>
      <c r="AX403" s="105"/>
      <c r="AY403" s="105"/>
      <c r="AZ403" s="105"/>
      <c r="BA403" s="139"/>
      <c r="BB403" s="105"/>
      <c r="BC403" s="105"/>
      <c r="BD403" s="105"/>
      <c r="BE403" s="105"/>
      <c r="BF403" s="139"/>
      <c r="BG403" s="105"/>
      <c r="BH403" s="105"/>
      <c r="BI403" s="105"/>
      <c r="BJ403" s="105"/>
      <c r="BK403" s="139"/>
      <c r="BL403" s="105"/>
      <c r="BM403" s="105"/>
      <c r="BN403" s="105"/>
      <c r="BO403" s="105"/>
      <c r="BP403" s="139"/>
      <c r="BQ403" s="105"/>
      <c r="BR403" s="105"/>
      <c r="BS403" s="105"/>
      <c r="BT403" s="105"/>
      <c r="BU403" s="139"/>
      <c r="BV403" s="105"/>
      <c r="BW403" s="105"/>
      <c r="BX403" s="105"/>
      <c r="BY403" s="105"/>
      <c r="BZ403" s="139"/>
      <c r="CA403" s="105"/>
      <c r="CB403" s="105"/>
      <c r="CC403" s="105"/>
      <c r="CD403" s="105"/>
      <c r="CE403" s="139"/>
      <c r="CF403" s="105"/>
      <c r="CG403" s="105"/>
      <c r="CH403" s="105"/>
      <c r="CI403" s="105"/>
      <c r="CJ403" s="139"/>
      <c r="CK403" s="105"/>
      <c r="CL403" s="105"/>
      <c r="CM403" s="105"/>
      <c r="CN403" s="105"/>
      <c r="CO403" s="139"/>
      <c r="CP403" s="105"/>
      <c r="CQ403" s="105"/>
      <c r="CR403" s="105"/>
      <c r="CS403" s="105"/>
      <c r="CT403" s="139"/>
      <c r="CU403" s="105"/>
      <c r="CV403" s="105"/>
      <c r="CW403" s="105"/>
      <c r="CX403" s="105"/>
      <c r="CY403" s="139"/>
      <c r="CZ403" s="105"/>
      <c r="DA403" s="105"/>
      <c r="DB403" s="105"/>
      <c r="DC403" s="105"/>
      <c r="DD403" s="139"/>
      <c r="DE403" s="105"/>
      <c r="DF403" s="105"/>
      <c r="DG403" s="105"/>
      <c r="DH403" s="105"/>
      <c r="DI403" s="139"/>
      <c r="DJ403" s="105"/>
      <c r="DK403" s="105"/>
      <c r="DL403" s="105"/>
      <c r="DM403" s="105"/>
      <c r="DN403" s="139"/>
      <c r="DO403" s="105"/>
      <c r="DP403" s="105"/>
      <c r="DQ403" s="105"/>
      <c r="DR403" s="105"/>
      <c r="DS403" s="139"/>
      <c r="DT403" s="105"/>
      <c r="DU403" s="105"/>
      <c r="DV403" s="105"/>
      <c r="DW403" s="105"/>
      <c r="DX403" s="139"/>
      <c r="DY403" s="105"/>
      <c r="DZ403" s="105"/>
      <c r="EA403" s="105"/>
      <c r="EB403" s="105"/>
      <c r="EC403" s="139"/>
      <c r="ED403" s="105"/>
      <c r="EE403" s="105"/>
      <c r="EF403" s="105"/>
      <c r="EG403" s="105"/>
      <c r="EH403" s="139"/>
      <c r="EI403" s="105"/>
      <c r="EJ403" s="105"/>
      <c r="EK403" s="105"/>
      <c r="EL403" s="105"/>
      <c r="EM403" s="139"/>
      <c r="EN403" s="105"/>
      <c r="EO403" s="105"/>
      <c r="EP403" s="105"/>
      <c r="EQ403" s="105"/>
      <c r="ER403" s="139"/>
      <c r="ES403" s="105"/>
      <c r="ET403" s="105"/>
      <c r="EU403" s="105"/>
      <c r="EV403" s="105"/>
      <c r="EW403" s="139"/>
      <c r="EX403" s="105"/>
      <c r="EY403" s="105"/>
      <c r="EZ403" s="105"/>
      <c r="FA403" s="105"/>
      <c r="FB403" s="139"/>
      <c r="FC403" s="105"/>
      <c r="FD403" s="105"/>
      <c r="FE403" s="105"/>
      <c r="FF403" s="105"/>
      <c r="FG403" s="139"/>
      <c r="FH403" s="105"/>
      <c r="FI403" s="105"/>
      <c r="FJ403" s="105"/>
      <c r="FK403" s="105"/>
      <c r="FL403" s="139"/>
      <c r="FM403" s="105"/>
      <c r="FN403" s="105"/>
      <c r="FO403" s="105"/>
      <c r="FP403" s="105"/>
      <c r="FQ403" s="139"/>
      <c r="FR403" s="105"/>
      <c r="FS403" s="105"/>
      <c r="FT403" s="105"/>
      <c r="FU403" s="105"/>
      <c r="FV403" s="139"/>
      <c r="FW403" s="105"/>
      <c r="FX403" s="105"/>
      <c r="FY403" s="105"/>
      <c r="FZ403" s="105"/>
      <c r="GA403" s="139"/>
      <c r="GB403" s="105"/>
      <c r="GC403" s="105"/>
      <c r="GD403" s="105"/>
      <c r="GE403" s="105"/>
      <c r="GF403" s="139"/>
      <c r="GG403" s="105"/>
      <c r="GH403" s="105"/>
      <c r="GI403" s="105"/>
      <c r="GJ403" s="105"/>
    </row>
    <row r="404" spans="1:192" s="93" customFormat="1" ht="12.75" customHeight="1">
      <c r="A404" s="68"/>
      <c r="B404" s="677"/>
      <c r="C404" s="139"/>
      <c r="D404" s="105"/>
      <c r="E404" s="105"/>
      <c r="F404" s="105"/>
      <c r="G404" s="105"/>
      <c r="H404" s="139"/>
      <c r="I404" s="105"/>
      <c r="J404" s="105"/>
      <c r="K404" s="105"/>
      <c r="L404" s="105"/>
      <c r="M404" s="139"/>
      <c r="N404" s="105"/>
      <c r="O404" s="105"/>
      <c r="P404" s="105"/>
      <c r="Q404" s="105"/>
      <c r="R404" s="139"/>
      <c r="S404" s="105"/>
      <c r="T404" s="105"/>
      <c r="U404" s="105"/>
      <c r="V404" s="105"/>
      <c r="W404" s="139"/>
      <c r="X404" s="105"/>
      <c r="Y404" s="105"/>
      <c r="Z404" s="105"/>
      <c r="AA404" s="105"/>
      <c r="AB404" s="139"/>
      <c r="AC404" s="105"/>
      <c r="AD404" s="105"/>
      <c r="AE404" s="105"/>
      <c r="AF404" s="105"/>
      <c r="AG404" s="139"/>
      <c r="AH404" s="105"/>
      <c r="AI404" s="105"/>
      <c r="AJ404" s="105"/>
      <c r="AK404" s="105"/>
      <c r="AL404" s="139"/>
      <c r="AM404" s="105"/>
      <c r="AN404" s="105"/>
      <c r="AO404" s="105"/>
      <c r="AP404" s="105"/>
      <c r="AQ404" s="139"/>
      <c r="AR404" s="105"/>
      <c r="AS404" s="105"/>
      <c r="AT404" s="105"/>
      <c r="AU404" s="105"/>
      <c r="AV404" s="139"/>
      <c r="AW404" s="105"/>
      <c r="AX404" s="105"/>
      <c r="AY404" s="105"/>
      <c r="AZ404" s="105"/>
      <c r="BA404" s="139"/>
      <c r="BB404" s="105"/>
      <c r="BC404" s="105"/>
      <c r="BD404" s="105"/>
      <c r="BE404" s="105"/>
      <c r="BF404" s="139"/>
      <c r="BG404" s="105"/>
      <c r="BH404" s="105"/>
      <c r="BI404" s="105"/>
      <c r="BJ404" s="105"/>
      <c r="BK404" s="139"/>
      <c r="BL404" s="105"/>
      <c r="BM404" s="105"/>
      <c r="BN404" s="105"/>
      <c r="BO404" s="105"/>
      <c r="BP404" s="139"/>
      <c r="BQ404" s="105"/>
      <c r="BR404" s="105"/>
      <c r="BS404" s="105"/>
      <c r="BT404" s="105"/>
      <c r="BU404" s="139"/>
      <c r="BV404" s="105"/>
      <c r="BW404" s="105"/>
      <c r="BX404" s="105"/>
      <c r="BY404" s="105"/>
      <c r="BZ404" s="139"/>
      <c r="CA404" s="105"/>
      <c r="CB404" s="105"/>
      <c r="CC404" s="105"/>
      <c r="CD404" s="105"/>
      <c r="CE404" s="139"/>
      <c r="CF404" s="105"/>
      <c r="CG404" s="105"/>
      <c r="CH404" s="105"/>
      <c r="CI404" s="105"/>
      <c r="CJ404" s="139"/>
      <c r="CK404" s="105"/>
      <c r="CL404" s="105"/>
      <c r="CM404" s="105"/>
      <c r="CN404" s="105"/>
      <c r="CO404" s="139"/>
      <c r="CP404" s="105"/>
      <c r="CQ404" s="105"/>
      <c r="CR404" s="105"/>
      <c r="CS404" s="105"/>
      <c r="CT404" s="139"/>
      <c r="CU404" s="105"/>
      <c r="CV404" s="105"/>
      <c r="CW404" s="105"/>
      <c r="CX404" s="105"/>
      <c r="CY404" s="139"/>
      <c r="CZ404" s="105"/>
      <c r="DA404" s="105"/>
      <c r="DB404" s="105"/>
      <c r="DC404" s="105"/>
      <c r="DD404" s="139"/>
      <c r="DE404" s="105"/>
      <c r="DF404" s="105"/>
      <c r="DG404" s="105"/>
      <c r="DH404" s="105"/>
      <c r="DI404" s="139"/>
      <c r="DJ404" s="105"/>
      <c r="DK404" s="105"/>
      <c r="DL404" s="105"/>
      <c r="DM404" s="105"/>
      <c r="DN404" s="139"/>
      <c r="DO404" s="105"/>
      <c r="DP404" s="105"/>
      <c r="DQ404" s="105"/>
      <c r="DR404" s="105"/>
      <c r="DS404" s="139"/>
      <c r="DT404" s="105"/>
      <c r="DU404" s="105"/>
      <c r="DV404" s="105"/>
      <c r="DW404" s="105"/>
      <c r="DX404" s="139"/>
      <c r="DY404" s="105"/>
      <c r="DZ404" s="105"/>
      <c r="EA404" s="105"/>
      <c r="EB404" s="105"/>
      <c r="EC404" s="139"/>
      <c r="ED404" s="105"/>
      <c r="EE404" s="105"/>
      <c r="EF404" s="105"/>
      <c r="EG404" s="105"/>
      <c r="EH404" s="139"/>
      <c r="EI404" s="105"/>
      <c r="EJ404" s="105"/>
      <c r="EK404" s="105"/>
      <c r="EL404" s="105"/>
      <c r="EM404" s="139"/>
      <c r="EN404" s="105"/>
      <c r="EO404" s="105"/>
      <c r="EP404" s="105"/>
      <c r="EQ404" s="105"/>
      <c r="ER404" s="139"/>
      <c r="ES404" s="105"/>
      <c r="ET404" s="105"/>
      <c r="EU404" s="105"/>
      <c r="EV404" s="105"/>
      <c r="EW404" s="139"/>
      <c r="EX404" s="105"/>
      <c r="EY404" s="105"/>
      <c r="EZ404" s="105"/>
      <c r="FA404" s="105"/>
      <c r="FB404" s="139"/>
      <c r="FC404" s="105"/>
      <c r="FD404" s="105"/>
      <c r="FE404" s="105"/>
      <c r="FF404" s="105"/>
      <c r="FG404" s="139"/>
      <c r="FH404" s="105"/>
      <c r="FI404" s="105"/>
      <c r="FJ404" s="105"/>
      <c r="FK404" s="105"/>
      <c r="FL404" s="139"/>
      <c r="FM404" s="105"/>
      <c r="FN404" s="105"/>
      <c r="FO404" s="105"/>
      <c r="FP404" s="105"/>
      <c r="FQ404" s="139"/>
      <c r="FR404" s="105"/>
      <c r="FS404" s="105"/>
      <c r="FT404" s="105"/>
      <c r="FU404" s="105"/>
      <c r="FV404" s="139"/>
      <c r="FW404" s="105"/>
      <c r="FX404" s="105"/>
      <c r="FY404" s="105"/>
      <c r="FZ404" s="105"/>
      <c r="GA404" s="139"/>
      <c r="GB404" s="105"/>
      <c r="GC404" s="105"/>
      <c r="GD404" s="105"/>
      <c r="GE404" s="105"/>
      <c r="GF404" s="139"/>
      <c r="GG404" s="105"/>
      <c r="GH404" s="105"/>
      <c r="GI404" s="105"/>
      <c r="GJ404" s="105"/>
    </row>
    <row r="405" spans="1:192" s="93" customFormat="1" ht="12.75" customHeight="1">
      <c r="A405" s="68"/>
      <c r="B405" s="677"/>
      <c r="C405" s="200"/>
      <c r="D405" s="201"/>
      <c r="E405" s="201"/>
      <c r="F405" s="201"/>
      <c r="G405" s="201"/>
      <c r="H405" s="200"/>
      <c r="I405" s="201"/>
      <c r="J405" s="201"/>
      <c r="K405" s="201"/>
      <c r="L405" s="201"/>
      <c r="M405" s="200"/>
      <c r="N405" s="201"/>
      <c r="O405" s="201"/>
      <c r="P405" s="201"/>
      <c r="Q405" s="201"/>
      <c r="R405" s="200"/>
      <c r="S405" s="201"/>
      <c r="T405" s="201"/>
      <c r="U405" s="201"/>
      <c r="V405" s="201"/>
      <c r="W405" s="200"/>
      <c r="X405" s="201"/>
      <c r="Y405" s="201"/>
      <c r="Z405" s="201"/>
      <c r="AA405" s="201"/>
      <c r="AB405" s="200"/>
      <c r="AC405" s="201"/>
      <c r="AD405" s="201"/>
      <c r="AE405" s="201"/>
      <c r="AF405" s="201"/>
      <c r="AG405" s="200"/>
      <c r="AH405" s="201"/>
      <c r="AI405" s="201"/>
      <c r="AJ405" s="201"/>
      <c r="AK405" s="201"/>
      <c r="AL405" s="200"/>
      <c r="AM405" s="201"/>
      <c r="AN405" s="201"/>
      <c r="AO405" s="201"/>
      <c r="AP405" s="201"/>
      <c r="AQ405" s="200"/>
      <c r="AR405" s="201"/>
      <c r="AS405" s="201"/>
      <c r="AT405" s="201"/>
      <c r="AU405" s="201"/>
      <c r="AV405" s="200"/>
      <c r="AW405" s="201"/>
      <c r="AX405" s="201"/>
      <c r="AY405" s="201"/>
      <c r="AZ405" s="201"/>
      <c r="BA405" s="200"/>
      <c r="BB405" s="201"/>
      <c r="BC405" s="201"/>
      <c r="BD405" s="201"/>
      <c r="BE405" s="201"/>
      <c r="BF405" s="200"/>
      <c r="BG405" s="201"/>
      <c r="BH405" s="201"/>
      <c r="BI405" s="201"/>
      <c r="BJ405" s="201"/>
      <c r="BK405" s="200"/>
      <c r="BL405" s="201"/>
      <c r="BM405" s="201"/>
      <c r="BN405" s="201"/>
      <c r="BO405" s="201"/>
      <c r="BP405" s="200"/>
      <c r="BQ405" s="201"/>
      <c r="BR405" s="201"/>
      <c r="BS405" s="201"/>
      <c r="BT405" s="201"/>
      <c r="BU405" s="200"/>
      <c r="BV405" s="201"/>
      <c r="BW405" s="201"/>
      <c r="BX405" s="201"/>
      <c r="BY405" s="201"/>
      <c r="BZ405" s="200"/>
      <c r="CA405" s="201"/>
      <c r="CB405" s="201"/>
      <c r="CC405" s="201"/>
      <c r="CD405" s="201"/>
      <c r="CE405" s="200"/>
      <c r="CF405" s="201"/>
      <c r="CG405" s="201"/>
      <c r="CH405" s="201"/>
      <c r="CI405" s="201"/>
      <c r="CJ405" s="200"/>
      <c r="CK405" s="201"/>
      <c r="CL405" s="201"/>
      <c r="CM405" s="201"/>
      <c r="CN405" s="201"/>
      <c r="CO405" s="200"/>
      <c r="CP405" s="201"/>
      <c r="CQ405" s="201"/>
      <c r="CR405" s="201"/>
      <c r="CS405" s="201"/>
      <c r="CT405" s="200"/>
      <c r="CU405" s="201"/>
      <c r="CV405" s="201"/>
      <c r="CW405" s="201"/>
      <c r="CX405" s="201"/>
      <c r="CY405" s="200"/>
      <c r="CZ405" s="201"/>
      <c r="DA405" s="201"/>
      <c r="DB405" s="201"/>
      <c r="DC405" s="201"/>
      <c r="DD405" s="200"/>
      <c r="DE405" s="201"/>
      <c r="DF405" s="201"/>
      <c r="DG405" s="201"/>
      <c r="DH405" s="201"/>
      <c r="DI405" s="200"/>
      <c r="DJ405" s="201"/>
      <c r="DK405" s="201"/>
      <c r="DL405" s="201"/>
      <c r="DM405" s="201"/>
      <c r="DN405" s="200"/>
      <c r="DO405" s="201"/>
      <c r="DP405" s="201"/>
      <c r="DQ405" s="201"/>
      <c r="DR405" s="201"/>
      <c r="DS405" s="200"/>
      <c r="DT405" s="201"/>
      <c r="DU405" s="201"/>
      <c r="DV405" s="201"/>
      <c r="DW405" s="201"/>
      <c r="DX405" s="200"/>
      <c r="DY405" s="201"/>
      <c r="DZ405" s="201"/>
      <c r="EA405" s="201"/>
      <c r="EB405" s="201"/>
      <c r="EC405" s="200"/>
      <c r="ED405" s="201"/>
      <c r="EE405" s="201"/>
      <c r="EF405" s="201"/>
      <c r="EG405" s="201"/>
      <c r="EH405" s="200"/>
      <c r="EI405" s="201"/>
      <c r="EJ405" s="201"/>
      <c r="EK405" s="201"/>
      <c r="EL405" s="201"/>
      <c r="EM405" s="200"/>
      <c r="EN405" s="201"/>
      <c r="EO405" s="201"/>
      <c r="EP405" s="201"/>
      <c r="EQ405" s="201"/>
      <c r="ER405" s="200"/>
      <c r="ES405" s="201"/>
      <c r="ET405" s="201"/>
      <c r="EU405" s="201"/>
      <c r="EV405" s="201"/>
      <c r="EW405" s="200"/>
      <c r="EX405" s="201"/>
      <c r="EY405" s="201"/>
      <c r="EZ405" s="201"/>
      <c r="FA405" s="201"/>
      <c r="FB405" s="200"/>
      <c r="FC405" s="201"/>
      <c r="FD405" s="201"/>
      <c r="FE405" s="201"/>
      <c r="FF405" s="201"/>
      <c r="FG405" s="200"/>
      <c r="FH405" s="201"/>
      <c r="FI405" s="201"/>
      <c r="FJ405" s="201"/>
      <c r="FK405" s="201"/>
      <c r="FL405" s="200"/>
      <c r="FM405" s="201"/>
      <c r="FN405" s="201"/>
      <c r="FO405" s="201"/>
      <c r="FP405" s="201"/>
      <c r="FQ405" s="200"/>
      <c r="FR405" s="201"/>
      <c r="FS405" s="201"/>
      <c r="FT405" s="201"/>
      <c r="FU405" s="201"/>
      <c r="FV405" s="200"/>
      <c r="FW405" s="201"/>
      <c r="FX405" s="201"/>
      <c r="FY405" s="201"/>
      <c r="FZ405" s="201"/>
      <c r="GA405" s="200"/>
      <c r="GB405" s="201"/>
      <c r="GC405" s="201"/>
      <c r="GD405" s="201"/>
      <c r="GE405" s="201"/>
      <c r="GF405" s="200"/>
      <c r="GG405" s="201"/>
      <c r="GH405" s="201"/>
      <c r="GI405" s="201"/>
      <c r="GJ405" s="201"/>
    </row>
    <row r="406" spans="1:192" s="93" customFormat="1" ht="12.75" customHeight="1">
      <c r="A406" s="68"/>
      <c r="B406" s="677"/>
      <c r="C406" s="202"/>
      <c r="D406" s="142"/>
      <c r="E406" s="142"/>
      <c r="F406" s="142"/>
      <c r="G406" s="142"/>
      <c r="H406" s="202"/>
      <c r="I406" s="142"/>
      <c r="J406" s="142"/>
      <c r="K406" s="142"/>
      <c r="L406" s="142"/>
      <c r="M406" s="202"/>
      <c r="N406" s="142"/>
      <c r="O406" s="142"/>
      <c r="P406" s="142"/>
      <c r="Q406" s="142"/>
      <c r="R406" s="202"/>
      <c r="S406" s="142"/>
      <c r="T406" s="142"/>
      <c r="U406" s="142"/>
      <c r="V406" s="142"/>
      <c r="W406" s="202"/>
      <c r="X406" s="142"/>
      <c r="Y406" s="142"/>
      <c r="Z406" s="142"/>
      <c r="AA406" s="142"/>
      <c r="AB406" s="202"/>
      <c r="AC406" s="142"/>
      <c r="AD406" s="142"/>
      <c r="AE406" s="142"/>
      <c r="AF406" s="142"/>
      <c r="AG406" s="202"/>
      <c r="AH406" s="142"/>
      <c r="AI406" s="142"/>
      <c r="AJ406" s="142"/>
      <c r="AK406" s="142"/>
      <c r="AL406" s="202"/>
      <c r="AM406" s="142"/>
      <c r="AN406" s="142"/>
      <c r="AO406" s="142"/>
      <c r="AP406" s="142"/>
      <c r="AQ406" s="202"/>
      <c r="AR406" s="142"/>
      <c r="AS406" s="142"/>
      <c r="AT406" s="142"/>
      <c r="AU406" s="142"/>
      <c r="AV406" s="202"/>
      <c r="AW406" s="142"/>
      <c r="AX406" s="142"/>
      <c r="AY406" s="142"/>
      <c r="AZ406" s="142"/>
      <c r="BA406" s="202"/>
      <c r="BB406" s="142"/>
      <c r="BC406" s="142"/>
      <c r="BD406" s="142"/>
      <c r="BE406" s="142"/>
      <c r="BF406" s="202"/>
      <c r="BG406" s="142"/>
      <c r="BH406" s="142"/>
      <c r="BI406" s="142"/>
      <c r="BJ406" s="142"/>
      <c r="BK406" s="202"/>
      <c r="BL406" s="142"/>
      <c r="BM406" s="142"/>
      <c r="BN406" s="142"/>
      <c r="BO406" s="142"/>
      <c r="BP406" s="202"/>
      <c r="BQ406" s="142"/>
      <c r="BR406" s="142"/>
      <c r="BS406" s="142"/>
      <c r="BT406" s="142"/>
      <c r="BU406" s="202"/>
      <c r="BV406" s="142"/>
      <c r="BW406" s="142"/>
      <c r="BX406" s="142"/>
      <c r="BY406" s="142"/>
      <c r="BZ406" s="202"/>
      <c r="CA406" s="142"/>
      <c r="CB406" s="142"/>
      <c r="CC406" s="142"/>
      <c r="CD406" s="142"/>
      <c r="CE406" s="202"/>
      <c r="CF406" s="142"/>
      <c r="CG406" s="142"/>
      <c r="CH406" s="142"/>
      <c r="CI406" s="142"/>
      <c r="CJ406" s="202"/>
      <c r="CK406" s="142"/>
      <c r="CL406" s="142"/>
      <c r="CM406" s="142"/>
      <c r="CN406" s="142"/>
      <c r="CO406" s="202"/>
      <c r="CP406" s="142"/>
      <c r="CQ406" s="142"/>
      <c r="CR406" s="142"/>
      <c r="CS406" s="142"/>
      <c r="CT406" s="202"/>
      <c r="CU406" s="142"/>
      <c r="CV406" s="142"/>
      <c r="CW406" s="142"/>
      <c r="CX406" s="142"/>
      <c r="CY406" s="202"/>
      <c r="CZ406" s="142"/>
      <c r="DA406" s="142"/>
      <c r="DB406" s="142"/>
      <c r="DC406" s="142"/>
      <c r="DD406" s="202"/>
      <c r="DE406" s="142"/>
      <c r="DF406" s="142"/>
      <c r="DG406" s="142"/>
      <c r="DH406" s="142"/>
      <c r="DI406" s="202"/>
      <c r="DJ406" s="142"/>
      <c r="DK406" s="142"/>
      <c r="DL406" s="142"/>
      <c r="DM406" s="142"/>
      <c r="DN406" s="202"/>
      <c r="DO406" s="142"/>
      <c r="DP406" s="142"/>
      <c r="DQ406" s="142"/>
      <c r="DR406" s="142"/>
      <c r="DS406" s="202"/>
      <c r="DT406" s="142"/>
      <c r="DU406" s="142"/>
      <c r="DV406" s="142"/>
      <c r="DW406" s="142"/>
      <c r="DX406" s="202"/>
      <c r="DY406" s="142"/>
      <c r="DZ406" s="142"/>
      <c r="EA406" s="142"/>
      <c r="EB406" s="142"/>
      <c r="EC406" s="202"/>
      <c r="ED406" s="142"/>
      <c r="EE406" s="142"/>
      <c r="EF406" s="142"/>
      <c r="EG406" s="142"/>
      <c r="EH406" s="202"/>
      <c r="EI406" s="142"/>
      <c r="EJ406" s="142"/>
      <c r="EK406" s="142"/>
      <c r="EL406" s="142"/>
      <c r="EM406" s="202"/>
      <c r="EN406" s="142"/>
      <c r="EO406" s="142"/>
      <c r="EP406" s="142"/>
      <c r="EQ406" s="142"/>
      <c r="ER406" s="202"/>
      <c r="ES406" s="142"/>
      <c r="ET406" s="142"/>
      <c r="EU406" s="142"/>
      <c r="EV406" s="142"/>
      <c r="EW406" s="202"/>
      <c r="EX406" s="142"/>
      <c r="EY406" s="142"/>
      <c r="EZ406" s="142"/>
      <c r="FA406" s="142"/>
      <c r="FB406" s="202"/>
      <c r="FC406" s="142"/>
      <c r="FD406" s="142"/>
      <c r="FE406" s="142"/>
      <c r="FF406" s="142"/>
      <c r="FG406" s="202"/>
      <c r="FH406" s="142"/>
      <c r="FI406" s="142"/>
      <c r="FJ406" s="142"/>
      <c r="FK406" s="142"/>
      <c r="FL406" s="202"/>
      <c r="FM406" s="142"/>
      <c r="FN406" s="142"/>
      <c r="FO406" s="142"/>
      <c r="FP406" s="142"/>
      <c r="FQ406" s="202"/>
      <c r="FR406" s="142"/>
      <c r="FS406" s="142"/>
      <c r="FT406" s="142"/>
      <c r="FU406" s="142"/>
      <c r="FV406" s="202"/>
      <c r="FW406" s="142"/>
      <c r="FX406" s="142"/>
      <c r="FY406" s="142"/>
      <c r="FZ406" s="142"/>
      <c r="GA406" s="202"/>
      <c r="GB406" s="142"/>
      <c r="GC406" s="142"/>
      <c r="GD406" s="142"/>
      <c r="GE406" s="142"/>
      <c r="GF406" s="202"/>
      <c r="GG406" s="142"/>
      <c r="GH406" s="142"/>
      <c r="GI406" s="142"/>
      <c r="GJ406" s="142"/>
    </row>
    <row r="407" spans="1:192" s="93" customFormat="1" ht="12.75" customHeight="1">
      <c r="A407" s="68"/>
      <c r="B407" s="677"/>
      <c r="C407" s="202"/>
      <c r="D407" s="142"/>
      <c r="E407" s="142"/>
      <c r="F407" s="142"/>
      <c r="G407" s="142"/>
      <c r="H407" s="202"/>
      <c r="I407" s="142"/>
      <c r="J407" s="142"/>
      <c r="K407" s="142"/>
      <c r="L407" s="142"/>
      <c r="M407" s="202"/>
      <c r="N407" s="142"/>
      <c r="O407" s="142"/>
      <c r="P407" s="142"/>
      <c r="Q407" s="142"/>
      <c r="R407" s="202"/>
      <c r="S407" s="142"/>
      <c r="T407" s="142"/>
      <c r="U407" s="142"/>
      <c r="V407" s="142"/>
      <c r="W407" s="202"/>
      <c r="X407" s="142"/>
      <c r="Y407" s="142"/>
      <c r="Z407" s="142"/>
      <c r="AA407" s="142"/>
      <c r="AB407" s="202"/>
      <c r="AC407" s="142"/>
      <c r="AD407" s="142"/>
      <c r="AE407" s="142"/>
      <c r="AF407" s="142"/>
      <c r="AG407" s="202"/>
      <c r="AH407" s="142"/>
      <c r="AI407" s="142"/>
      <c r="AJ407" s="142"/>
      <c r="AK407" s="142"/>
      <c r="AL407" s="202"/>
      <c r="AM407" s="142"/>
      <c r="AN407" s="142"/>
      <c r="AO407" s="142"/>
      <c r="AP407" s="142"/>
      <c r="AQ407" s="202"/>
      <c r="AR407" s="142"/>
      <c r="AS407" s="142"/>
      <c r="AT407" s="142"/>
      <c r="AU407" s="142"/>
      <c r="AV407" s="202"/>
      <c r="AW407" s="142"/>
      <c r="AX407" s="142"/>
      <c r="AY407" s="142"/>
      <c r="AZ407" s="142"/>
      <c r="BA407" s="202"/>
      <c r="BB407" s="142"/>
      <c r="BC407" s="142"/>
      <c r="BD407" s="142"/>
      <c r="BE407" s="142"/>
      <c r="BF407" s="202"/>
      <c r="BG407" s="142"/>
      <c r="BH407" s="142"/>
      <c r="BI407" s="142"/>
      <c r="BJ407" s="142"/>
      <c r="BK407" s="202"/>
      <c r="BL407" s="142"/>
      <c r="BM407" s="142"/>
      <c r="BN407" s="142"/>
      <c r="BO407" s="142"/>
      <c r="BP407" s="202"/>
      <c r="BQ407" s="142"/>
      <c r="BR407" s="142"/>
      <c r="BS407" s="142"/>
      <c r="BT407" s="142"/>
      <c r="BU407" s="202"/>
      <c r="BV407" s="142"/>
      <c r="BW407" s="142"/>
      <c r="BX407" s="142"/>
      <c r="BY407" s="142"/>
      <c r="BZ407" s="202"/>
      <c r="CA407" s="142"/>
      <c r="CB407" s="142"/>
      <c r="CC407" s="142"/>
      <c r="CD407" s="142"/>
      <c r="CE407" s="202"/>
      <c r="CF407" s="142"/>
      <c r="CG407" s="142"/>
      <c r="CH407" s="142"/>
      <c r="CI407" s="142"/>
      <c r="CJ407" s="202"/>
      <c r="CK407" s="142"/>
      <c r="CL407" s="142"/>
      <c r="CM407" s="142"/>
      <c r="CN407" s="142"/>
      <c r="CO407" s="202"/>
      <c r="CP407" s="142"/>
      <c r="CQ407" s="142"/>
      <c r="CR407" s="142"/>
      <c r="CS407" s="142"/>
      <c r="CT407" s="202"/>
      <c r="CU407" s="142"/>
      <c r="CV407" s="142"/>
      <c r="CW407" s="142"/>
      <c r="CX407" s="142"/>
      <c r="CY407" s="202"/>
      <c r="CZ407" s="142"/>
      <c r="DA407" s="142"/>
      <c r="DB407" s="142"/>
      <c r="DC407" s="142"/>
      <c r="DD407" s="202"/>
      <c r="DE407" s="142"/>
      <c r="DF407" s="142"/>
      <c r="DG407" s="142"/>
      <c r="DH407" s="142"/>
      <c r="DI407" s="202"/>
      <c r="DJ407" s="142"/>
      <c r="DK407" s="142"/>
      <c r="DL407" s="142"/>
      <c r="DM407" s="142"/>
      <c r="DN407" s="202"/>
      <c r="DO407" s="142"/>
      <c r="DP407" s="142"/>
      <c r="DQ407" s="142"/>
      <c r="DR407" s="142"/>
      <c r="DS407" s="202"/>
      <c r="DT407" s="142"/>
      <c r="DU407" s="142"/>
      <c r="DV407" s="142"/>
      <c r="DW407" s="142"/>
      <c r="DX407" s="202"/>
      <c r="DY407" s="142"/>
      <c r="DZ407" s="142"/>
      <c r="EA407" s="142"/>
      <c r="EB407" s="142"/>
      <c r="EC407" s="202"/>
      <c r="ED407" s="142"/>
      <c r="EE407" s="142"/>
      <c r="EF407" s="142"/>
      <c r="EG407" s="142"/>
      <c r="EH407" s="202"/>
      <c r="EI407" s="142"/>
      <c r="EJ407" s="142"/>
      <c r="EK407" s="142"/>
      <c r="EL407" s="142"/>
      <c r="EM407" s="202"/>
      <c r="EN407" s="142"/>
      <c r="EO407" s="142"/>
      <c r="EP407" s="142"/>
      <c r="EQ407" s="142"/>
      <c r="ER407" s="202"/>
      <c r="ES407" s="142"/>
      <c r="ET407" s="142"/>
      <c r="EU407" s="142"/>
      <c r="EV407" s="142"/>
      <c r="EW407" s="202"/>
      <c r="EX407" s="142"/>
      <c r="EY407" s="142"/>
      <c r="EZ407" s="142"/>
      <c r="FA407" s="142"/>
      <c r="FB407" s="202"/>
      <c r="FC407" s="142"/>
      <c r="FD407" s="142"/>
      <c r="FE407" s="142"/>
      <c r="FF407" s="142"/>
      <c r="FG407" s="202"/>
      <c r="FH407" s="142"/>
      <c r="FI407" s="142"/>
      <c r="FJ407" s="142"/>
      <c r="FK407" s="142"/>
      <c r="FL407" s="202"/>
      <c r="FM407" s="142"/>
      <c r="FN407" s="142"/>
      <c r="FO407" s="142"/>
      <c r="FP407" s="142"/>
      <c r="FQ407" s="202"/>
      <c r="FR407" s="142"/>
      <c r="FS407" s="142"/>
      <c r="FT407" s="142"/>
      <c r="FU407" s="142"/>
      <c r="FV407" s="202"/>
      <c r="FW407" s="142"/>
      <c r="FX407" s="142"/>
      <c r="FY407" s="142"/>
      <c r="FZ407" s="142"/>
      <c r="GA407" s="202"/>
      <c r="GB407" s="142"/>
      <c r="GC407" s="142"/>
      <c r="GD407" s="142"/>
      <c r="GE407" s="142"/>
      <c r="GF407" s="202"/>
      <c r="GG407" s="142"/>
      <c r="GH407" s="142"/>
      <c r="GI407" s="142"/>
      <c r="GJ407" s="142"/>
    </row>
    <row r="408" spans="1:192" s="93" customFormat="1" ht="12.75" customHeight="1">
      <c r="A408" s="68"/>
      <c r="B408" s="677"/>
      <c r="C408" s="203"/>
      <c r="D408" s="105"/>
      <c r="E408" s="105"/>
      <c r="F408" s="105"/>
      <c r="G408" s="105"/>
      <c r="H408" s="203"/>
      <c r="I408" s="105"/>
      <c r="J408" s="105"/>
      <c r="K408" s="105"/>
      <c r="L408" s="105"/>
      <c r="M408" s="203"/>
      <c r="N408" s="105"/>
      <c r="O408" s="105"/>
      <c r="P408" s="105"/>
      <c r="Q408" s="105"/>
      <c r="R408" s="203"/>
      <c r="S408" s="105"/>
      <c r="T408" s="105"/>
      <c r="U408" s="105"/>
      <c r="V408" s="105"/>
      <c r="W408" s="203"/>
      <c r="X408" s="105"/>
      <c r="Y408" s="105"/>
      <c r="Z408" s="105"/>
      <c r="AA408" s="105"/>
      <c r="AB408" s="203"/>
      <c r="AC408" s="105"/>
      <c r="AD408" s="105"/>
      <c r="AE408" s="105"/>
      <c r="AF408" s="105"/>
      <c r="AG408" s="203"/>
      <c r="AH408" s="105"/>
      <c r="AI408" s="105"/>
      <c r="AJ408" s="105"/>
      <c r="AK408" s="105"/>
      <c r="AL408" s="203"/>
      <c r="AM408" s="105"/>
      <c r="AN408" s="105"/>
      <c r="AO408" s="105"/>
      <c r="AP408" s="105"/>
      <c r="AQ408" s="203"/>
      <c r="AR408" s="105"/>
      <c r="AS408" s="105"/>
      <c r="AT408" s="105"/>
      <c r="AU408" s="105"/>
      <c r="AV408" s="203"/>
      <c r="AW408" s="105"/>
      <c r="AX408" s="105"/>
      <c r="AY408" s="105"/>
      <c r="AZ408" s="105"/>
      <c r="BA408" s="203"/>
      <c r="BB408" s="105"/>
      <c r="BC408" s="105"/>
      <c r="BD408" s="105"/>
      <c r="BE408" s="105"/>
      <c r="BF408" s="203"/>
      <c r="BG408" s="105"/>
      <c r="BH408" s="105"/>
      <c r="BI408" s="105"/>
      <c r="BJ408" s="105"/>
      <c r="BK408" s="203"/>
      <c r="BL408" s="105"/>
      <c r="BM408" s="105"/>
      <c r="BN408" s="105"/>
      <c r="BO408" s="105"/>
      <c r="BP408" s="203"/>
      <c r="BQ408" s="105"/>
      <c r="BR408" s="105"/>
      <c r="BS408" s="105"/>
      <c r="BT408" s="105"/>
      <c r="BU408" s="203"/>
      <c r="BV408" s="105"/>
      <c r="BW408" s="105"/>
      <c r="BX408" s="105"/>
      <c r="BY408" s="105"/>
      <c r="BZ408" s="203"/>
      <c r="CA408" s="105"/>
      <c r="CB408" s="105"/>
      <c r="CC408" s="105"/>
      <c r="CD408" s="105"/>
      <c r="CE408" s="203"/>
      <c r="CF408" s="105"/>
      <c r="CG408" s="105"/>
      <c r="CH408" s="105"/>
      <c r="CI408" s="105"/>
      <c r="CJ408" s="203"/>
      <c r="CK408" s="105"/>
      <c r="CL408" s="105"/>
      <c r="CM408" s="105"/>
      <c r="CN408" s="105"/>
      <c r="CO408" s="203"/>
      <c r="CP408" s="105"/>
      <c r="CQ408" s="105"/>
      <c r="CR408" s="105"/>
      <c r="CS408" s="105"/>
      <c r="CT408" s="203"/>
      <c r="CU408" s="105"/>
      <c r="CV408" s="105"/>
      <c r="CW408" s="105"/>
      <c r="CX408" s="105"/>
      <c r="CY408" s="203"/>
      <c r="CZ408" s="105"/>
      <c r="DA408" s="105"/>
      <c r="DB408" s="105"/>
      <c r="DC408" s="105"/>
      <c r="DD408" s="203"/>
      <c r="DE408" s="105"/>
      <c r="DF408" s="105"/>
      <c r="DG408" s="105"/>
      <c r="DH408" s="105"/>
      <c r="DI408" s="203"/>
      <c r="DJ408" s="105"/>
      <c r="DK408" s="105"/>
      <c r="DL408" s="105"/>
      <c r="DM408" s="105"/>
      <c r="DN408" s="203"/>
      <c r="DO408" s="105"/>
      <c r="DP408" s="105"/>
      <c r="DQ408" s="105"/>
      <c r="DR408" s="105"/>
      <c r="DS408" s="203"/>
      <c r="DT408" s="105"/>
      <c r="DU408" s="105"/>
      <c r="DV408" s="105"/>
      <c r="DW408" s="105"/>
      <c r="DX408" s="203"/>
      <c r="DY408" s="105"/>
      <c r="DZ408" s="105"/>
      <c r="EA408" s="105"/>
      <c r="EB408" s="105"/>
      <c r="EC408" s="203"/>
      <c r="ED408" s="105"/>
      <c r="EE408" s="105"/>
      <c r="EF408" s="105"/>
      <c r="EG408" s="105"/>
      <c r="EH408" s="203"/>
      <c r="EI408" s="105"/>
      <c r="EJ408" s="105"/>
      <c r="EK408" s="105"/>
      <c r="EL408" s="105"/>
      <c r="EM408" s="203"/>
      <c r="EN408" s="105"/>
      <c r="EO408" s="105"/>
      <c r="EP408" s="105"/>
      <c r="EQ408" s="105"/>
      <c r="ER408" s="203"/>
      <c r="ES408" s="105"/>
      <c r="ET408" s="105"/>
      <c r="EU408" s="105"/>
      <c r="EV408" s="105"/>
      <c r="EW408" s="203"/>
      <c r="EX408" s="105"/>
      <c r="EY408" s="105"/>
      <c r="EZ408" s="105"/>
      <c r="FA408" s="105"/>
      <c r="FB408" s="203"/>
      <c r="FC408" s="105"/>
      <c r="FD408" s="105"/>
      <c r="FE408" s="105"/>
      <c r="FF408" s="105"/>
      <c r="FG408" s="203"/>
      <c r="FH408" s="105"/>
      <c r="FI408" s="105"/>
      <c r="FJ408" s="105"/>
      <c r="FK408" s="105"/>
      <c r="FL408" s="203"/>
      <c r="FM408" s="105"/>
      <c r="FN408" s="105"/>
      <c r="FO408" s="105"/>
      <c r="FP408" s="105"/>
      <c r="FQ408" s="203"/>
      <c r="FR408" s="105"/>
      <c r="FS408" s="105"/>
      <c r="FT408" s="105"/>
      <c r="FU408" s="105"/>
      <c r="FV408" s="203"/>
      <c r="FW408" s="105"/>
      <c r="FX408" s="105"/>
      <c r="FY408" s="105"/>
      <c r="FZ408" s="105"/>
      <c r="GA408" s="203"/>
      <c r="GB408" s="105"/>
      <c r="GC408" s="105"/>
      <c r="GD408" s="105"/>
      <c r="GE408" s="105"/>
      <c r="GF408" s="203"/>
      <c r="GG408" s="105"/>
      <c r="GH408" s="105"/>
      <c r="GI408" s="105"/>
      <c r="GJ408" s="105"/>
    </row>
    <row r="410" spans="1:192" s="93" customFormat="1" ht="12.75" customHeight="1">
      <c r="A410" s="68"/>
      <c r="B410" s="677"/>
      <c r="C410" s="204"/>
      <c r="D410" s="201"/>
      <c r="E410" s="201"/>
      <c r="F410" s="201"/>
      <c r="G410" s="201"/>
      <c r="H410" s="204"/>
      <c r="I410" s="201"/>
      <c r="J410" s="201"/>
      <c r="K410" s="201"/>
      <c r="L410" s="201"/>
      <c r="M410" s="204"/>
      <c r="N410" s="201"/>
      <c r="O410" s="201"/>
      <c r="P410" s="201"/>
      <c r="Q410" s="201"/>
      <c r="R410" s="204"/>
      <c r="S410" s="201"/>
      <c r="T410" s="201"/>
      <c r="U410" s="201"/>
      <c r="V410" s="201"/>
      <c r="W410" s="204"/>
      <c r="X410" s="201"/>
      <c r="Y410" s="201"/>
      <c r="Z410" s="201"/>
      <c r="AA410" s="201"/>
      <c r="AB410" s="204"/>
      <c r="AC410" s="201"/>
      <c r="AD410" s="201"/>
      <c r="AE410" s="201"/>
      <c r="AF410" s="201"/>
      <c r="AG410" s="204"/>
      <c r="AH410" s="201"/>
      <c r="AI410" s="201"/>
      <c r="AJ410" s="201"/>
      <c r="AK410" s="201"/>
      <c r="AL410" s="204"/>
      <c r="AM410" s="201"/>
      <c r="AN410" s="201"/>
      <c r="AO410" s="201"/>
      <c r="AP410" s="201"/>
      <c r="AQ410" s="204"/>
      <c r="AR410" s="201"/>
      <c r="AS410" s="201"/>
      <c r="AT410" s="201"/>
      <c r="AU410" s="201"/>
      <c r="AV410" s="204"/>
      <c r="AW410" s="201"/>
      <c r="AX410" s="201"/>
      <c r="AY410" s="201"/>
      <c r="AZ410" s="201"/>
      <c r="BA410" s="204"/>
      <c r="BB410" s="201"/>
      <c r="BC410" s="201"/>
      <c r="BD410" s="201"/>
      <c r="BE410" s="201"/>
      <c r="BF410" s="204"/>
      <c r="BG410" s="201"/>
      <c r="BH410" s="201"/>
      <c r="BI410" s="201"/>
      <c r="BJ410" s="201"/>
      <c r="BK410" s="204"/>
      <c r="BL410" s="201"/>
      <c r="BM410" s="201"/>
      <c r="BN410" s="201"/>
      <c r="BO410" s="201"/>
      <c r="BP410" s="204"/>
      <c r="BQ410" s="201"/>
      <c r="BR410" s="201"/>
      <c r="BS410" s="201"/>
      <c r="BT410" s="201"/>
      <c r="BU410" s="204"/>
      <c r="BV410" s="201"/>
      <c r="BW410" s="201"/>
      <c r="BX410" s="201"/>
      <c r="BY410" s="201"/>
      <c r="BZ410" s="204"/>
      <c r="CA410" s="201"/>
      <c r="CB410" s="201"/>
      <c r="CC410" s="201"/>
      <c r="CD410" s="201"/>
      <c r="CE410" s="204"/>
      <c r="CF410" s="201"/>
      <c r="CG410" s="201"/>
      <c r="CH410" s="201"/>
      <c r="CI410" s="201"/>
      <c r="CJ410" s="204"/>
      <c r="CK410" s="201"/>
      <c r="CL410" s="201"/>
      <c r="CM410" s="201"/>
      <c r="CN410" s="201"/>
      <c r="CO410" s="204"/>
      <c r="CP410" s="201"/>
      <c r="CQ410" s="201"/>
      <c r="CR410" s="201"/>
      <c r="CS410" s="201"/>
      <c r="CT410" s="204"/>
      <c r="CU410" s="201"/>
      <c r="CV410" s="201"/>
      <c r="CW410" s="201"/>
      <c r="CX410" s="201"/>
      <c r="CY410" s="204"/>
      <c r="CZ410" s="201"/>
      <c r="DA410" s="201"/>
      <c r="DB410" s="201"/>
      <c r="DC410" s="201"/>
      <c r="DD410" s="204"/>
      <c r="DE410" s="201"/>
      <c r="DF410" s="201"/>
      <c r="DG410" s="201"/>
      <c r="DH410" s="201"/>
      <c r="DI410" s="204"/>
      <c r="DJ410" s="201"/>
      <c r="DK410" s="201"/>
      <c r="DL410" s="201"/>
      <c r="DM410" s="201"/>
      <c r="DN410" s="204"/>
      <c r="DO410" s="201"/>
      <c r="DP410" s="201"/>
      <c r="DQ410" s="201"/>
      <c r="DR410" s="201"/>
      <c r="DS410" s="204"/>
      <c r="DT410" s="201"/>
      <c r="DU410" s="201"/>
      <c r="DV410" s="201"/>
      <c r="DW410" s="201"/>
      <c r="DX410" s="204"/>
      <c r="DY410" s="201"/>
      <c r="DZ410" s="201"/>
      <c r="EA410" s="201"/>
      <c r="EB410" s="201"/>
      <c r="EC410" s="204"/>
      <c r="ED410" s="201"/>
      <c r="EE410" s="201"/>
      <c r="EF410" s="201"/>
      <c r="EG410" s="201"/>
      <c r="EH410" s="204"/>
      <c r="EI410" s="201"/>
      <c r="EJ410" s="201"/>
      <c r="EK410" s="201"/>
      <c r="EL410" s="201"/>
      <c r="EM410" s="204"/>
      <c r="EN410" s="201"/>
      <c r="EO410" s="201"/>
      <c r="EP410" s="201"/>
      <c r="EQ410" s="201"/>
      <c r="ER410" s="204"/>
      <c r="ES410" s="201"/>
      <c r="ET410" s="201"/>
      <c r="EU410" s="201"/>
      <c r="EV410" s="201"/>
      <c r="EW410" s="204"/>
      <c r="EX410" s="201"/>
      <c r="EY410" s="201"/>
      <c r="EZ410" s="201"/>
      <c r="FA410" s="201"/>
      <c r="FB410" s="204"/>
      <c r="FC410" s="201"/>
      <c r="FD410" s="201"/>
      <c r="FE410" s="201"/>
      <c r="FF410" s="201"/>
      <c r="FG410" s="204"/>
      <c r="FH410" s="201"/>
      <c r="FI410" s="201"/>
      <c r="FJ410" s="201"/>
      <c r="FK410" s="201"/>
      <c r="FL410" s="204"/>
      <c r="FM410" s="201"/>
      <c r="FN410" s="201"/>
      <c r="FO410" s="201"/>
      <c r="FP410" s="201"/>
      <c r="FQ410" s="204"/>
      <c r="FR410" s="201"/>
      <c r="FS410" s="201"/>
      <c r="FT410" s="201"/>
      <c r="FU410" s="201"/>
      <c r="FV410" s="204"/>
      <c r="FW410" s="201"/>
      <c r="FX410" s="201"/>
      <c r="FY410" s="201"/>
      <c r="FZ410" s="201"/>
      <c r="GA410" s="204"/>
      <c r="GB410" s="201"/>
      <c r="GC410" s="201"/>
      <c r="GD410" s="201"/>
      <c r="GE410" s="201"/>
      <c r="GF410" s="204"/>
      <c r="GG410" s="201"/>
      <c r="GH410" s="201"/>
      <c r="GI410" s="201"/>
      <c r="GJ410" s="201"/>
    </row>
    <row r="415" spans="1:192" s="93" customFormat="1" ht="12.75" customHeight="1">
      <c r="A415" s="68"/>
      <c r="B415" s="677"/>
      <c r="C415" s="204"/>
      <c r="D415" s="201"/>
      <c r="E415" s="201"/>
      <c r="F415" s="201"/>
      <c r="G415" s="201"/>
      <c r="H415" s="204"/>
      <c r="I415" s="201"/>
      <c r="J415" s="201"/>
      <c r="K415" s="201"/>
      <c r="L415" s="201"/>
      <c r="M415" s="204"/>
      <c r="N415" s="201"/>
      <c r="O415" s="201"/>
      <c r="P415" s="201"/>
      <c r="Q415" s="201"/>
      <c r="R415" s="204"/>
      <c r="S415" s="201"/>
      <c r="T415" s="201"/>
      <c r="U415" s="201"/>
      <c r="V415" s="201"/>
      <c r="W415" s="204"/>
      <c r="X415" s="201"/>
      <c r="Y415" s="201"/>
      <c r="Z415" s="201"/>
      <c r="AA415" s="201"/>
      <c r="AB415" s="204"/>
      <c r="AC415" s="201"/>
      <c r="AD415" s="201"/>
      <c r="AE415" s="201"/>
      <c r="AF415" s="201"/>
      <c r="AG415" s="204"/>
      <c r="AH415" s="201"/>
      <c r="AI415" s="201"/>
      <c r="AJ415" s="201"/>
      <c r="AK415" s="201"/>
      <c r="AL415" s="204"/>
      <c r="AM415" s="201"/>
      <c r="AN415" s="201"/>
      <c r="AO415" s="201"/>
      <c r="AP415" s="201"/>
      <c r="AQ415" s="204"/>
      <c r="AR415" s="201"/>
      <c r="AS415" s="201"/>
      <c r="AT415" s="201"/>
      <c r="AU415" s="201"/>
      <c r="AV415" s="204"/>
      <c r="AW415" s="201"/>
      <c r="AX415" s="201"/>
      <c r="AY415" s="201"/>
      <c r="AZ415" s="201"/>
      <c r="BA415" s="204"/>
      <c r="BB415" s="201"/>
      <c r="BC415" s="201"/>
      <c r="BD415" s="201"/>
      <c r="BE415" s="201"/>
      <c r="BF415" s="204"/>
      <c r="BG415" s="201"/>
      <c r="BH415" s="201"/>
      <c r="BI415" s="201"/>
      <c r="BJ415" s="201"/>
      <c r="BK415" s="204"/>
      <c r="BL415" s="201"/>
      <c r="BM415" s="201"/>
      <c r="BN415" s="201"/>
      <c r="BO415" s="201"/>
      <c r="BP415" s="204"/>
      <c r="BQ415" s="201"/>
      <c r="BR415" s="201"/>
      <c r="BS415" s="201"/>
      <c r="BT415" s="201"/>
      <c r="BU415" s="204"/>
      <c r="BV415" s="201"/>
      <c r="BW415" s="201"/>
      <c r="BX415" s="201"/>
      <c r="BY415" s="201"/>
      <c r="BZ415" s="204"/>
      <c r="CA415" s="201"/>
      <c r="CB415" s="201"/>
      <c r="CC415" s="201"/>
      <c r="CD415" s="201"/>
      <c r="CE415" s="204"/>
      <c r="CF415" s="201"/>
      <c r="CG415" s="201"/>
      <c r="CH415" s="201"/>
      <c r="CI415" s="201"/>
      <c r="CJ415" s="204"/>
      <c r="CK415" s="201"/>
      <c r="CL415" s="201"/>
      <c r="CM415" s="201"/>
      <c r="CN415" s="201"/>
      <c r="CO415" s="204"/>
      <c r="CP415" s="201"/>
      <c r="CQ415" s="201"/>
      <c r="CR415" s="201"/>
      <c r="CS415" s="201"/>
      <c r="CT415" s="204"/>
      <c r="CU415" s="201"/>
      <c r="CV415" s="201"/>
      <c r="CW415" s="201"/>
      <c r="CX415" s="201"/>
      <c r="CY415" s="204"/>
      <c r="CZ415" s="201"/>
      <c r="DA415" s="201"/>
      <c r="DB415" s="201"/>
      <c r="DC415" s="201"/>
      <c r="DD415" s="204"/>
      <c r="DE415" s="201"/>
      <c r="DF415" s="201"/>
      <c r="DG415" s="201"/>
      <c r="DH415" s="201"/>
      <c r="DI415" s="204"/>
      <c r="DJ415" s="201"/>
      <c r="DK415" s="201"/>
      <c r="DL415" s="201"/>
      <c r="DM415" s="201"/>
      <c r="DN415" s="204"/>
      <c r="DO415" s="201"/>
      <c r="DP415" s="201"/>
      <c r="DQ415" s="201"/>
      <c r="DR415" s="201"/>
      <c r="DS415" s="204"/>
      <c r="DT415" s="201"/>
      <c r="DU415" s="201"/>
      <c r="DV415" s="201"/>
      <c r="DW415" s="201"/>
      <c r="DX415" s="204"/>
      <c r="DY415" s="201"/>
      <c r="DZ415" s="201"/>
      <c r="EA415" s="201"/>
      <c r="EB415" s="201"/>
      <c r="EC415" s="204"/>
      <c r="ED415" s="201"/>
      <c r="EE415" s="201"/>
      <c r="EF415" s="201"/>
      <c r="EG415" s="201"/>
      <c r="EH415" s="204"/>
      <c r="EI415" s="201"/>
      <c r="EJ415" s="201"/>
      <c r="EK415" s="201"/>
      <c r="EL415" s="201"/>
      <c r="EM415" s="204"/>
      <c r="EN415" s="201"/>
      <c r="EO415" s="201"/>
      <c r="EP415" s="201"/>
      <c r="EQ415" s="201"/>
      <c r="ER415" s="204"/>
      <c r="ES415" s="201"/>
      <c r="ET415" s="201"/>
      <c r="EU415" s="201"/>
      <c r="EV415" s="201"/>
      <c r="EW415" s="204"/>
      <c r="EX415" s="201"/>
      <c r="EY415" s="201"/>
      <c r="EZ415" s="201"/>
      <c r="FA415" s="201"/>
      <c r="FB415" s="204"/>
      <c r="FC415" s="201"/>
      <c r="FD415" s="201"/>
      <c r="FE415" s="201"/>
      <c r="FF415" s="201"/>
      <c r="FG415" s="204"/>
      <c r="FH415" s="201"/>
      <c r="FI415" s="201"/>
      <c r="FJ415" s="201"/>
      <c r="FK415" s="201"/>
      <c r="FL415" s="204"/>
      <c r="FM415" s="201"/>
      <c r="FN415" s="201"/>
      <c r="FO415" s="201"/>
      <c r="FP415" s="201"/>
      <c r="FQ415" s="204"/>
      <c r="FR415" s="201"/>
      <c r="FS415" s="201"/>
      <c r="FT415" s="201"/>
      <c r="FU415" s="201"/>
      <c r="FV415" s="204"/>
      <c r="FW415" s="201"/>
      <c r="FX415" s="201"/>
      <c r="FY415" s="201"/>
      <c r="FZ415" s="201"/>
      <c r="GA415" s="204"/>
      <c r="GB415" s="201"/>
      <c r="GC415" s="201"/>
      <c r="GD415" s="201"/>
      <c r="GE415" s="201"/>
      <c r="GF415" s="204"/>
      <c r="GG415" s="201"/>
      <c r="GH415" s="201"/>
      <c r="GI415" s="201"/>
      <c r="GJ415" s="201"/>
    </row>
    <row r="416" spans="1:192" s="93" customFormat="1" ht="12.75" customHeight="1">
      <c r="A416" s="68"/>
      <c r="B416" s="677"/>
      <c r="C416" s="139"/>
      <c r="D416" s="105"/>
      <c r="E416" s="105"/>
      <c r="F416" s="105"/>
      <c r="G416" s="105"/>
      <c r="H416" s="139"/>
      <c r="I416" s="105"/>
      <c r="J416" s="105"/>
      <c r="K416" s="105"/>
      <c r="L416" s="105"/>
      <c r="M416" s="139"/>
      <c r="N416" s="105"/>
      <c r="O416" s="105"/>
      <c r="P416" s="105"/>
      <c r="Q416" s="105"/>
      <c r="R416" s="139"/>
      <c r="S416" s="105"/>
      <c r="T416" s="105"/>
      <c r="U416" s="105"/>
      <c r="V416" s="105"/>
      <c r="W416" s="139"/>
      <c r="X416" s="105"/>
      <c r="Y416" s="105"/>
      <c r="Z416" s="105"/>
      <c r="AA416" s="105"/>
      <c r="AB416" s="139"/>
      <c r="AC416" s="105"/>
      <c r="AD416" s="105"/>
      <c r="AE416" s="105"/>
      <c r="AF416" s="105"/>
      <c r="AG416" s="139"/>
      <c r="AH416" s="105"/>
      <c r="AI416" s="105"/>
      <c r="AJ416" s="105"/>
      <c r="AK416" s="105"/>
      <c r="AL416" s="139"/>
      <c r="AM416" s="105"/>
      <c r="AN416" s="105"/>
      <c r="AO416" s="105"/>
      <c r="AP416" s="105"/>
      <c r="AQ416" s="139"/>
      <c r="AR416" s="105"/>
      <c r="AS416" s="105"/>
      <c r="AT416" s="105"/>
      <c r="AU416" s="105"/>
      <c r="AV416" s="139"/>
      <c r="AW416" s="105"/>
      <c r="AX416" s="105"/>
      <c r="AY416" s="105"/>
      <c r="AZ416" s="105"/>
      <c r="BA416" s="139"/>
      <c r="BB416" s="105"/>
      <c r="BC416" s="105"/>
      <c r="BD416" s="105"/>
      <c r="BE416" s="105"/>
      <c r="BF416" s="139"/>
      <c r="BG416" s="105"/>
      <c r="BH416" s="105"/>
      <c r="BI416" s="105"/>
      <c r="BJ416" s="105"/>
      <c r="BK416" s="139"/>
      <c r="BL416" s="105"/>
      <c r="BM416" s="105"/>
      <c r="BN416" s="105"/>
      <c r="BO416" s="105"/>
      <c r="BP416" s="139"/>
      <c r="BQ416" s="105"/>
      <c r="BR416" s="105"/>
      <c r="BS416" s="105"/>
      <c r="BT416" s="105"/>
      <c r="BU416" s="139"/>
      <c r="BV416" s="105"/>
      <c r="BW416" s="105"/>
      <c r="BX416" s="105"/>
      <c r="BY416" s="105"/>
      <c r="BZ416" s="139"/>
      <c r="CA416" s="105"/>
      <c r="CB416" s="105"/>
      <c r="CC416" s="105"/>
      <c r="CD416" s="105"/>
      <c r="CE416" s="139"/>
      <c r="CF416" s="105"/>
      <c r="CG416" s="105"/>
      <c r="CH416" s="105"/>
      <c r="CI416" s="105"/>
      <c r="CJ416" s="139"/>
      <c r="CK416" s="105"/>
      <c r="CL416" s="105"/>
      <c r="CM416" s="105"/>
      <c r="CN416" s="105"/>
      <c r="CO416" s="139"/>
      <c r="CP416" s="105"/>
      <c r="CQ416" s="105"/>
      <c r="CR416" s="105"/>
      <c r="CS416" s="105"/>
      <c r="CT416" s="139"/>
      <c r="CU416" s="105"/>
      <c r="CV416" s="105"/>
      <c r="CW416" s="105"/>
      <c r="CX416" s="105"/>
      <c r="CY416" s="139"/>
      <c r="CZ416" s="105"/>
      <c r="DA416" s="105"/>
      <c r="DB416" s="105"/>
      <c r="DC416" s="105"/>
      <c r="DD416" s="139"/>
      <c r="DE416" s="105"/>
      <c r="DF416" s="105"/>
      <c r="DG416" s="105"/>
      <c r="DH416" s="105"/>
      <c r="DI416" s="139"/>
      <c r="DJ416" s="105"/>
      <c r="DK416" s="105"/>
      <c r="DL416" s="105"/>
      <c r="DM416" s="105"/>
      <c r="DN416" s="139"/>
      <c r="DO416" s="105"/>
      <c r="DP416" s="105"/>
      <c r="DQ416" s="105"/>
      <c r="DR416" s="105"/>
      <c r="DS416" s="139"/>
      <c r="DT416" s="105"/>
      <c r="DU416" s="105"/>
      <c r="DV416" s="105"/>
      <c r="DW416" s="105"/>
      <c r="DX416" s="139"/>
      <c r="DY416" s="105"/>
      <c r="DZ416" s="105"/>
      <c r="EA416" s="105"/>
      <c r="EB416" s="105"/>
      <c r="EC416" s="139"/>
      <c r="ED416" s="105"/>
      <c r="EE416" s="105"/>
      <c r="EF416" s="105"/>
      <c r="EG416" s="105"/>
      <c r="EH416" s="139"/>
      <c r="EI416" s="105"/>
      <c r="EJ416" s="105"/>
      <c r="EK416" s="105"/>
      <c r="EL416" s="105"/>
      <c r="EM416" s="139"/>
      <c r="EN416" s="105"/>
      <c r="EO416" s="105"/>
      <c r="EP416" s="105"/>
      <c r="EQ416" s="105"/>
      <c r="ER416" s="139"/>
      <c r="ES416" s="105"/>
      <c r="ET416" s="105"/>
      <c r="EU416" s="105"/>
      <c r="EV416" s="105"/>
      <c r="EW416" s="139"/>
      <c r="EX416" s="105"/>
      <c r="EY416" s="105"/>
      <c r="EZ416" s="105"/>
      <c r="FA416" s="105"/>
      <c r="FB416" s="139"/>
      <c r="FC416" s="105"/>
      <c r="FD416" s="105"/>
      <c r="FE416" s="105"/>
      <c r="FF416" s="105"/>
      <c r="FG416" s="139"/>
      <c r="FH416" s="105"/>
      <c r="FI416" s="105"/>
      <c r="FJ416" s="105"/>
      <c r="FK416" s="105"/>
      <c r="FL416" s="139"/>
      <c r="FM416" s="105"/>
      <c r="FN416" s="105"/>
      <c r="FO416" s="105"/>
      <c r="FP416" s="105"/>
      <c r="FQ416" s="139"/>
      <c r="FR416" s="105"/>
      <c r="FS416" s="105"/>
      <c r="FT416" s="105"/>
      <c r="FU416" s="105"/>
      <c r="FV416" s="139"/>
      <c r="FW416" s="105"/>
      <c r="FX416" s="105"/>
      <c r="FY416" s="105"/>
      <c r="FZ416" s="105"/>
      <c r="GA416" s="139"/>
      <c r="GB416" s="105"/>
      <c r="GC416" s="105"/>
      <c r="GD416" s="105"/>
      <c r="GE416" s="105"/>
      <c r="GF416" s="139"/>
      <c r="GG416" s="105"/>
      <c r="GH416" s="105"/>
      <c r="GI416" s="105"/>
      <c r="GJ416" s="105"/>
    </row>
    <row r="417" spans="1:192" s="93" customFormat="1" ht="12.75" customHeight="1">
      <c r="A417" s="68"/>
      <c r="B417" s="677"/>
      <c r="C417" s="139"/>
      <c r="D417" s="105"/>
      <c r="E417" s="105"/>
      <c r="F417" s="105"/>
      <c r="G417" s="105"/>
      <c r="H417" s="139"/>
      <c r="I417" s="105"/>
      <c r="J417" s="105"/>
      <c r="K417" s="105"/>
      <c r="L417" s="105"/>
      <c r="M417" s="139"/>
      <c r="N417" s="105"/>
      <c r="O417" s="105"/>
      <c r="P417" s="105"/>
      <c r="Q417" s="105"/>
      <c r="R417" s="139"/>
      <c r="S417" s="105"/>
      <c r="T417" s="105"/>
      <c r="U417" s="105"/>
      <c r="V417" s="105"/>
      <c r="W417" s="139"/>
      <c r="X417" s="105"/>
      <c r="Y417" s="105"/>
      <c r="Z417" s="105"/>
      <c r="AA417" s="105"/>
      <c r="AB417" s="139"/>
      <c r="AC417" s="105"/>
      <c r="AD417" s="105"/>
      <c r="AE417" s="105"/>
      <c r="AF417" s="105"/>
      <c r="AG417" s="139"/>
      <c r="AH417" s="105"/>
      <c r="AI417" s="105"/>
      <c r="AJ417" s="105"/>
      <c r="AK417" s="105"/>
      <c r="AL417" s="139"/>
      <c r="AM417" s="105"/>
      <c r="AN417" s="105"/>
      <c r="AO417" s="105"/>
      <c r="AP417" s="105"/>
      <c r="AQ417" s="139"/>
      <c r="AR417" s="105"/>
      <c r="AS417" s="105"/>
      <c r="AT417" s="105"/>
      <c r="AU417" s="105"/>
      <c r="AV417" s="139"/>
      <c r="AW417" s="105"/>
      <c r="AX417" s="105"/>
      <c r="AY417" s="105"/>
      <c r="AZ417" s="105"/>
      <c r="BA417" s="139"/>
      <c r="BB417" s="105"/>
      <c r="BC417" s="105"/>
      <c r="BD417" s="105"/>
      <c r="BE417" s="105"/>
      <c r="BF417" s="139"/>
      <c r="BG417" s="105"/>
      <c r="BH417" s="105"/>
      <c r="BI417" s="105"/>
      <c r="BJ417" s="105"/>
      <c r="BK417" s="139"/>
      <c r="BL417" s="105"/>
      <c r="BM417" s="105"/>
      <c r="BN417" s="105"/>
      <c r="BO417" s="105"/>
      <c r="BP417" s="139"/>
      <c r="BQ417" s="105"/>
      <c r="BR417" s="105"/>
      <c r="BS417" s="105"/>
      <c r="BT417" s="105"/>
      <c r="BU417" s="139"/>
      <c r="BV417" s="105"/>
      <c r="BW417" s="105"/>
      <c r="BX417" s="105"/>
      <c r="BY417" s="105"/>
      <c r="BZ417" s="139"/>
      <c r="CA417" s="105"/>
      <c r="CB417" s="105"/>
      <c r="CC417" s="105"/>
      <c r="CD417" s="105"/>
      <c r="CE417" s="139"/>
      <c r="CF417" s="105"/>
      <c r="CG417" s="105"/>
      <c r="CH417" s="105"/>
      <c r="CI417" s="105"/>
      <c r="CJ417" s="139"/>
      <c r="CK417" s="105"/>
      <c r="CL417" s="105"/>
      <c r="CM417" s="105"/>
      <c r="CN417" s="105"/>
      <c r="CO417" s="139"/>
      <c r="CP417" s="105"/>
      <c r="CQ417" s="105"/>
      <c r="CR417" s="105"/>
      <c r="CS417" s="105"/>
      <c r="CT417" s="139"/>
      <c r="CU417" s="105"/>
      <c r="CV417" s="105"/>
      <c r="CW417" s="105"/>
      <c r="CX417" s="105"/>
      <c r="CY417" s="139"/>
      <c r="CZ417" s="105"/>
      <c r="DA417" s="105"/>
      <c r="DB417" s="105"/>
      <c r="DC417" s="105"/>
      <c r="DD417" s="139"/>
      <c r="DE417" s="105"/>
      <c r="DF417" s="105"/>
      <c r="DG417" s="105"/>
      <c r="DH417" s="105"/>
      <c r="DI417" s="139"/>
      <c r="DJ417" s="105"/>
      <c r="DK417" s="105"/>
      <c r="DL417" s="105"/>
      <c r="DM417" s="105"/>
      <c r="DN417" s="139"/>
      <c r="DO417" s="105"/>
      <c r="DP417" s="105"/>
      <c r="DQ417" s="105"/>
      <c r="DR417" s="105"/>
      <c r="DS417" s="139"/>
      <c r="DT417" s="105"/>
      <c r="DU417" s="105"/>
      <c r="DV417" s="105"/>
      <c r="DW417" s="105"/>
      <c r="DX417" s="139"/>
      <c r="DY417" s="105"/>
      <c r="DZ417" s="105"/>
      <c r="EA417" s="105"/>
      <c r="EB417" s="105"/>
      <c r="EC417" s="139"/>
      <c r="ED417" s="105"/>
      <c r="EE417" s="105"/>
      <c r="EF417" s="105"/>
      <c r="EG417" s="105"/>
      <c r="EH417" s="139"/>
      <c r="EI417" s="105"/>
      <c r="EJ417" s="105"/>
      <c r="EK417" s="105"/>
      <c r="EL417" s="105"/>
      <c r="EM417" s="139"/>
      <c r="EN417" s="105"/>
      <c r="EO417" s="105"/>
      <c r="EP417" s="105"/>
      <c r="EQ417" s="105"/>
      <c r="ER417" s="139"/>
      <c r="ES417" s="105"/>
      <c r="ET417" s="105"/>
      <c r="EU417" s="105"/>
      <c r="EV417" s="105"/>
      <c r="EW417" s="139"/>
      <c r="EX417" s="105"/>
      <c r="EY417" s="105"/>
      <c r="EZ417" s="105"/>
      <c r="FA417" s="105"/>
      <c r="FB417" s="139"/>
      <c r="FC417" s="105"/>
      <c r="FD417" s="105"/>
      <c r="FE417" s="105"/>
      <c r="FF417" s="105"/>
      <c r="FG417" s="139"/>
      <c r="FH417" s="105"/>
      <c r="FI417" s="105"/>
      <c r="FJ417" s="105"/>
      <c r="FK417" s="105"/>
      <c r="FL417" s="139"/>
      <c r="FM417" s="105"/>
      <c r="FN417" s="105"/>
      <c r="FO417" s="105"/>
      <c r="FP417" s="105"/>
      <c r="FQ417" s="139"/>
      <c r="FR417" s="105"/>
      <c r="FS417" s="105"/>
      <c r="FT417" s="105"/>
      <c r="FU417" s="105"/>
      <c r="FV417" s="139"/>
      <c r="FW417" s="105"/>
      <c r="FX417" s="105"/>
      <c r="FY417" s="105"/>
      <c r="FZ417" s="105"/>
      <c r="GA417" s="139"/>
      <c r="GB417" s="105"/>
      <c r="GC417" s="105"/>
      <c r="GD417" s="105"/>
      <c r="GE417" s="105"/>
      <c r="GF417" s="139"/>
      <c r="GG417" s="105"/>
      <c r="GH417" s="105"/>
      <c r="GI417" s="105"/>
      <c r="GJ417" s="105"/>
    </row>
    <row r="418" spans="1:192" s="93" customFormat="1" ht="12.75" customHeight="1">
      <c r="A418" s="68"/>
      <c r="B418" s="677"/>
      <c r="C418" s="139"/>
      <c r="D418" s="105"/>
      <c r="E418" s="105"/>
      <c r="F418" s="105"/>
      <c r="G418" s="105"/>
      <c r="H418" s="139"/>
      <c r="I418" s="105"/>
      <c r="J418" s="105"/>
      <c r="K418" s="105"/>
      <c r="L418" s="105"/>
      <c r="M418" s="139"/>
      <c r="N418" s="105"/>
      <c r="O418" s="105"/>
      <c r="P418" s="105"/>
      <c r="Q418" s="105"/>
      <c r="R418" s="139"/>
      <c r="S418" s="105"/>
      <c r="T418" s="105"/>
      <c r="U418" s="105"/>
      <c r="V418" s="105"/>
      <c r="W418" s="139"/>
      <c r="X418" s="105"/>
      <c r="Y418" s="105"/>
      <c r="Z418" s="105"/>
      <c r="AA418" s="105"/>
      <c r="AB418" s="139"/>
      <c r="AC418" s="105"/>
      <c r="AD418" s="105"/>
      <c r="AE418" s="105"/>
      <c r="AF418" s="105"/>
      <c r="AG418" s="139"/>
      <c r="AH418" s="105"/>
      <c r="AI418" s="105"/>
      <c r="AJ418" s="105"/>
      <c r="AK418" s="105"/>
      <c r="AL418" s="139"/>
      <c r="AM418" s="105"/>
      <c r="AN418" s="105"/>
      <c r="AO418" s="105"/>
      <c r="AP418" s="105"/>
      <c r="AQ418" s="139"/>
      <c r="AR418" s="105"/>
      <c r="AS418" s="105"/>
      <c r="AT418" s="105"/>
      <c r="AU418" s="105"/>
      <c r="AV418" s="139"/>
      <c r="AW418" s="105"/>
      <c r="AX418" s="105"/>
      <c r="AY418" s="105"/>
      <c r="AZ418" s="105"/>
      <c r="BA418" s="139"/>
      <c r="BB418" s="105"/>
      <c r="BC418" s="105"/>
      <c r="BD418" s="105"/>
      <c r="BE418" s="105"/>
      <c r="BF418" s="139"/>
      <c r="BG418" s="105"/>
      <c r="BH418" s="105"/>
      <c r="BI418" s="105"/>
      <c r="BJ418" s="105"/>
      <c r="BK418" s="139"/>
      <c r="BL418" s="105"/>
      <c r="BM418" s="105"/>
      <c r="BN418" s="105"/>
      <c r="BO418" s="105"/>
      <c r="BP418" s="139"/>
      <c r="BQ418" s="105"/>
      <c r="BR418" s="105"/>
      <c r="BS418" s="105"/>
      <c r="BT418" s="105"/>
      <c r="BU418" s="139"/>
      <c r="BV418" s="105"/>
      <c r="BW418" s="105"/>
      <c r="BX418" s="105"/>
      <c r="BY418" s="105"/>
      <c r="BZ418" s="139"/>
      <c r="CA418" s="105"/>
      <c r="CB418" s="105"/>
      <c r="CC418" s="105"/>
      <c r="CD418" s="105"/>
      <c r="CE418" s="139"/>
      <c r="CF418" s="105"/>
      <c r="CG418" s="105"/>
      <c r="CH418" s="105"/>
      <c r="CI418" s="105"/>
      <c r="CJ418" s="139"/>
      <c r="CK418" s="105"/>
      <c r="CL418" s="105"/>
      <c r="CM418" s="105"/>
      <c r="CN418" s="105"/>
      <c r="CO418" s="139"/>
      <c r="CP418" s="105"/>
      <c r="CQ418" s="105"/>
      <c r="CR418" s="105"/>
      <c r="CS418" s="105"/>
      <c r="CT418" s="139"/>
      <c r="CU418" s="105"/>
      <c r="CV418" s="105"/>
      <c r="CW418" s="105"/>
      <c r="CX418" s="105"/>
      <c r="CY418" s="139"/>
      <c r="CZ418" s="105"/>
      <c r="DA418" s="105"/>
      <c r="DB418" s="105"/>
      <c r="DC418" s="105"/>
      <c r="DD418" s="139"/>
      <c r="DE418" s="105"/>
      <c r="DF418" s="105"/>
      <c r="DG418" s="105"/>
      <c r="DH418" s="105"/>
      <c r="DI418" s="139"/>
      <c r="DJ418" s="105"/>
      <c r="DK418" s="105"/>
      <c r="DL418" s="105"/>
      <c r="DM418" s="105"/>
      <c r="DN418" s="139"/>
      <c r="DO418" s="105"/>
      <c r="DP418" s="105"/>
      <c r="DQ418" s="105"/>
      <c r="DR418" s="105"/>
      <c r="DS418" s="139"/>
      <c r="DT418" s="105"/>
      <c r="DU418" s="105"/>
      <c r="DV418" s="105"/>
      <c r="DW418" s="105"/>
      <c r="DX418" s="139"/>
      <c r="DY418" s="105"/>
      <c r="DZ418" s="105"/>
      <c r="EA418" s="105"/>
      <c r="EB418" s="105"/>
      <c r="EC418" s="139"/>
      <c r="ED418" s="105"/>
      <c r="EE418" s="105"/>
      <c r="EF418" s="105"/>
      <c r="EG418" s="105"/>
      <c r="EH418" s="139"/>
      <c r="EI418" s="105"/>
      <c r="EJ418" s="105"/>
      <c r="EK418" s="105"/>
      <c r="EL418" s="105"/>
      <c r="EM418" s="139"/>
      <c r="EN418" s="105"/>
      <c r="EO418" s="105"/>
      <c r="EP418" s="105"/>
      <c r="EQ418" s="105"/>
      <c r="ER418" s="139"/>
      <c r="ES418" s="105"/>
      <c r="ET418" s="105"/>
      <c r="EU418" s="105"/>
      <c r="EV418" s="105"/>
      <c r="EW418" s="139"/>
      <c r="EX418" s="105"/>
      <c r="EY418" s="105"/>
      <c r="EZ418" s="105"/>
      <c r="FA418" s="105"/>
      <c r="FB418" s="139"/>
      <c r="FC418" s="105"/>
      <c r="FD418" s="105"/>
      <c r="FE418" s="105"/>
      <c r="FF418" s="105"/>
      <c r="FG418" s="139"/>
      <c r="FH418" s="105"/>
      <c r="FI418" s="105"/>
      <c r="FJ418" s="105"/>
      <c r="FK418" s="105"/>
      <c r="FL418" s="139"/>
      <c r="FM418" s="105"/>
      <c r="FN418" s="105"/>
      <c r="FO418" s="105"/>
      <c r="FP418" s="105"/>
      <c r="FQ418" s="139"/>
      <c r="FR418" s="105"/>
      <c r="FS418" s="105"/>
      <c r="FT418" s="105"/>
      <c r="FU418" s="105"/>
      <c r="FV418" s="139"/>
      <c r="FW418" s="105"/>
      <c r="FX418" s="105"/>
      <c r="FY418" s="105"/>
      <c r="FZ418" s="105"/>
      <c r="GA418" s="139"/>
      <c r="GB418" s="105"/>
      <c r="GC418" s="105"/>
      <c r="GD418" s="105"/>
      <c r="GE418" s="105"/>
      <c r="GF418" s="139"/>
      <c r="GG418" s="105"/>
      <c r="GH418" s="105"/>
      <c r="GI418" s="105"/>
      <c r="GJ418" s="105"/>
    </row>
    <row r="420" spans="1:192" s="93" customFormat="1" ht="12.75" customHeight="1">
      <c r="A420" s="68"/>
      <c r="B420" s="677"/>
      <c r="C420" s="205"/>
      <c r="D420" s="206"/>
      <c r="E420" s="206"/>
      <c r="F420" s="206"/>
      <c r="G420" s="206"/>
      <c r="H420" s="205"/>
      <c r="I420" s="206"/>
      <c r="J420" s="206"/>
      <c r="K420" s="206"/>
      <c r="L420" s="206"/>
      <c r="M420" s="205"/>
      <c r="N420" s="206"/>
      <c r="O420" s="206"/>
      <c r="P420" s="206"/>
      <c r="Q420" s="206"/>
      <c r="R420" s="205"/>
      <c r="S420" s="206"/>
      <c r="T420" s="206"/>
      <c r="U420" s="206"/>
      <c r="V420" s="206"/>
      <c r="W420" s="205"/>
      <c r="X420" s="206"/>
      <c r="Y420" s="206"/>
      <c r="Z420" s="206"/>
      <c r="AA420" s="206"/>
      <c r="AB420" s="205"/>
      <c r="AC420" s="206"/>
      <c r="AD420" s="206"/>
      <c r="AE420" s="206"/>
      <c r="AF420" s="206"/>
      <c r="AG420" s="205"/>
      <c r="AH420" s="206"/>
      <c r="AI420" s="206"/>
      <c r="AJ420" s="206"/>
      <c r="AK420" s="206"/>
      <c r="AL420" s="205"/>
      <c r="AM420" s="206"/>
      <c r="AN420" s="206"/>
      <c r="AO420" s="206"/>
      <c r="AP420" s="206"/>
      <c r="AQ420" s="205"/>
      <c r="AR420" s="206"/>
      <c r="AS420" s="206"/>
      <c r="AT420" s="206"/>
      <c r="AU420" s="206"/>
      <c r="AV420" s="205"/>
      <c r="AW420" s="206"/>
      <c r="AX420" s="206"/>
      <c r="AY420" s="206"/>
      <c r="AZ420" s="206"/>
      <c r="BA420" s="205"/>
      <c r="BB420" s="206"/>
      <c r="BC420" s="206"/>
      <c r="BD420" s="206"/>
      <c r="BE420" s="206"/>
      <c r="BF420" s="205"/>
      <c r="BG420" s="206"/>
      <c r="BH420" s="206"/>
      <c r="BI420" s="206"/>
      <c r="BJ420" s="206"/>
      <c r="BK420" s="205"/>
      <c r="BL420" s="206"/>
      <c r="BM420" s="206"/>
      <c r="BN420" s="206"/>
      <c r="BO420" s="206"/>
      <c r="BP420" s="205"/>
      <c r="BQ420" s="206"/>
      <c r="BR420" s="206"/>
      <c r="BS420" s="206"/>
      <c r="BT420" s="206"/>
      <c r="BU420" s="205"/>
      <c r="BV420" s="206"/>
      <c r="BW420" s="206"/>
      <c r="BX420" s="206"/>
      <c r="BY420" s="206"/>
      <c r="BZ420" s="205"/>
      <c r="CA420" s="206"/>
      <c r="CB420" s="206"/>
      <c r="CC420" s="206"/>
      <c r="CD420" s="206"/>
      <c r="CE420" s="205"/>
      <c r="CF420" s="206"/>
      <c r="CG420" s="206"/>
      <c r="CH420" s="206"/>
      <c r="CI420" s="206"/>
      <c r="CJ420" s="205"/>
      <c r="CK420" s="206"/>
      <c r="CL420" s="206"/>
      <c r="CM420" s="206"/>
      <c r="CN420" s="206"/>
      <c r="CO420" s="205"/>
      <c r="CP420" s="206"/>
      <c r="CQ420" s="206"/>
      <c r="CR420" s="206"/>
      <c r="CS420" s="206"/>
      <c r="CT420" s="205"/>
      <c r="CU420" s="206"/>
      <c r="CV420" s="206"/>
      <c r="CW420" s="206"/>
      <c r="CX420" s="206"/>
      <c r="CY420" s="205"/>
      <c r="CZ420" s="206"/>
      <c r="DA420" s="206"/>
      <c r="DB420" s="206"/>
      <c r="DC420" s="206"/>
      <c r="DD420" s="205"/>
      <c r="DE420" s="206"/>
      <c r="DF420" s="206"/>
      <c r="DG420" s="206"/>
      <c r="DH420" s="206"/>
      <c r="DI420" s="205"/>
      <c r="DJ420" s="206"/>
      <c r="DK420" s="206"/>
      <c r="DL420" s="206"/>
      <c r="DM420" s="206"/>
      <c r="DN420" s="205"/>
      <c r="DO420" s="206"/>
      <c r="DP420" s="206"/>
      <c r="DQ420" s="206"/>
      <c r="DR420" s="206"/>
      <c r="DS420" s="205"/>
      <c r="DT420" s="206"/>
      <c r="DU420" s="206"/>
      <c r="DV420" s="206"/>
      <c r="DW420" s="206"/>
      <c r="DX420" s="205"/>
      <c r="DY420" s="206"/>
      <c r="DZ420" s="206"/>
      <c r="EA420" s="206"/>
      <c r="EB420" s="206"/>
      <c r="EC420" s="205"/>
      <c r="ED420" s="206"/>
      <c r="EE420" s="206"/>
      <c r="EF420" s="206"/>
      <c r="EG420" s="206"/>
      <c r="EH420" s="205"/>
      <c r="EI420" s="206"/>
      <c r="EJ420" s="206"/>
      <c r="EK420" s="206"/>
      <c r="EL420" s="206"/>
      <c r="EM420" s="205"/>
      <c r="EN420" s="206"/>
      <c r="EO420" s="206"/>
      <c r="EP420" s="206"/>
      <c r="EQ420" s="206"/>
      <c r="ER420" s="205"/>
      <c r="ES420" s="206"/>
      <c r="ET420" s="206"/>
      <c r="EU420" s="206"/>
      <c r="EV420" s="206"/>
      <c r="EW420" s="205"/>
      <c r="EX420" s="206"/>
      <c r="EY420" s="206"/>
      <c r="EZ420" s="206"/>
      <c r="FA420" s="206"/>
      <c r="FB420" s="205"/>
      <c r="FC420" s="206"/>
      <c r="FD420" s="206"/>
      <c r="FE420" s="206"/>
      <c r="FF420" s="206"/>
      <c r="FG420" s="205"/>
      <c r="FH420" s="206"/>
      <c r="FI420" s="206"/>
      <c r="FJ420" s="206"/>
      <c r="FK420" s="206"/>
      <c r="FL420" s="205"/>
      <c r="FM420" s="206"/>
      <c r="FN420" s="206"/>
      <c r="FO420" s="206"/>
      <c r="FP420" s="206"/>
      <c r="FQ420" s="205"/>
      <c r="FR420" s="206"/>
      <c r="FS420" s="206"/>
      <c r="FT420" s="206"/>
      <c r="FU420" s="206"/>
      <c r="FV420" s="205"/>
      <c r="FW420" s="206"/>
      <c r="FX420" s="206"/>
      <c r="FY420" s="206"/>
      <c r="FZ420" s="206"/>
      <c r="GA420" s="205"/>
      <c r="GB420" s="206"/>
      <c r="GC420" s="206"/>
      <c r="GD420" s="206"/>
      <c r="GE420" s="206"/>
      <c r="GF420" s="205"/>
      <c r="GG420" s="206"/>
      <c r="GH420" s="206"/>
      <c r="GI420" s="206"/>
      <c r="GJ420" s="206"/>
    </row>
    <row r="421" spans="1:192" s="93" customFormat="1" ht="12.75" customHeight="1">
      <c r="A421" s="68"/>
      <c r="B421" s="677"/>
      <c r="C421" s="203"/>
      <c r="D421" s="105"/>
      <c r="E421" s="105"/>
      <c r="F421" s="105"/>
      <c r="G421" s="105"/>
      <c r="H421" s="203"/>
      <c r="I421" s="105"/>
      <c r="J421" s="105"/>
      <c r="K421" s="105"/>
      <c r="L421" s="105"/>
      <c r="M421" s="203"/>
      <c r="N421" s="105"/>
      <c r="O421" s="105"/>
      <c r="P421" s="105"/>
      <c r="Q421" s="105"/>
      <c r="R421" s="203"/>
      <c r="S421" s="105"/>
      <c r="T421" s="105"/>
      <c r="U421" s="105"/>
      <c r="V421" s="105"/>
      <c r="W421" s="203"/>
      <c r="X421" s="105"/>
      <c r="Y421" s="105"/>
      <c r="Z421" s="105"/>
      <c r="AA421" s="105"/>
      <c r="AB421" s="203"/>
      <c r="AC421" s="105"/>
      <c r="AD421" s="105"/>
      <c r="AE421" s="105"/>
      <c r="AF421" s="105"/>
      <c r="AG421" s="203"/>
      <c r="AH421" s="105"/>
      <c r="AI421" s="105"/>
      <c r="AJ421" s="105"/>
      <c r="AK421" s="105"/>
      <c r="AL421" s="203"/>
      <c r="AM421" s="105"/>
      <c r="AN421" s="105"/>
      <c r="AO421" s="105"/>
      <c r="AP421" s="105"/>
      <c r="AQ421" s="203"/>
      <c r="AR421" s="105"/>
      <c r="AS421" s="105"/>
      <c r="AT421" s="105"/>
      <c r="AU421" s="105"/>
      <c r="AV421" s="203"/>
      <c r="AW421" s="105"/>
      <c r="AX421" s="105"/>
      <c r="AY421" s="105"/>
      <c r="AZ421" s="105"/>
      <c r="BA421" s="203"/>
      <c r="BB421" s="105"/>
      <c r="BC421" s="105"/>
      <c r="BD421" s="105"/>
      <c r="BE421" s="105"/>
      <c r="BF421" s="203"/>
      <c r="BG421" s="105"/>
      <c r="BH421" s="105"/>
      <c r="BI421" s="105"/>
      <c r="BJ421" s="105"/>
      <c r="BK421" s="203"/>
      <c r="BL421" s="105"/>
      <c r="BM421" s="105"/>
      <c r="BN421" s="105"/>
      <c r="BO421" s="105"/>
      <c r="BP421" s="203"/>
      <c r="BQ421" s="105"/>
      <c r="BR421" s="105"/>
      <c r="BS421" s="105"/>
      <c r="BT421" s="105"/>
      <c r="BU421" s="203"/>
      <c r="BV421" s="105"/>
      <c r="BW421" s="105"/>
      <c r="BX421" s="105"/>
      <c r="BY421" s="105"/>
      <c r="BZ421" s="203"/>
      <c r="CA421" s="105"/>
      <c r="CB421" s="105"/>
      <c r="CC421" s="105"/>
      <c r="CD421" s="105"/>
      <c r="CE421" s="203"/>
      <c r="CF421" s="105"/>
      <c r="CG421" s="105"/>
      <c r="CH421" s="105"/>
      <c r="CI421" s="105"/>
      <c r="CJ421" s="203"/>
      <c r="CK421" s="105"/>
      <c r="CL421" s="105"/>
      <c r="CM421" s="105"/>
      <c r="CN421" s="105"/>
      <c r="CO421" s="203"/>
      <c r="CP421" s="105"/>
      <c r="CQ421" s="105"/>
      <c r="CR421" s="105"/>
      <c r="CS421" s="105"/>
      <c r="CT421" s="203"/>
      <c r="CU421" s="105"/>
      <c r="CV421" s="105"/>
      <c r="CW421" s="105"/>
      <c r="CX421" s="105"/>
      <c r="CY421" s="203"/>
      <c r="CZ421" s="105"/>
      <c r="DA421" s="105"/>
      <c r="DB421" s="105"/>
      <c r="DC421" s="105"/>
      <c r="DD421" s="203"/>
      <c r="DE421" s="105"/>
      <c r="DF421" s="105"/>
      <c r="DG421" s="105"/>
      <c r="DH421" s="105"/>
      <c r="DI421" s="203"/>
      <c r="DJ421" s="105"/>
      <c r="DK421" s="105"/>
      <c r="DL421" s="105"/>
      <c r="DM421" s="105"/>
      <c r="DN421" s="203"/>
      <c r="DO421" s="105"/>
      <c r="DP421" s="105"/>
      <c r="DQ421" s="105"/>
      <c r="DR421" s="105"/>
      <c r="DS421" s="203"/>
      <c r="DT421" s="105"/>
      <c r="DU421" s="105"/>
      <c r="DV421" s="105"/>
      <c r="DW421" s="105"/>
      <c r="DX421" s="203"/>
      <c r="DY421" s="105"/>
      <c r="DZ421" s="105"/>
      <c r="EA421" s="105"/>
      <c r="EB421" s="105"/>
      <c r="EC421" s="203"/>
      <c r="ED421" s="105"/>
      <c r="EE421" s="105"/>
      <c r="EF421" s="105"/>
      <c r="EG421" s="105"/>
      <c r="EH421" s="203"/>
      <c r="EI421" s="105"/>
      <c r="EJ421" s="105"/>
      <c r="EK421" s="105"/>
      <c r="EL421" s="105"/>
      <c r="EM421" s="203"/>
      <c r="EN421" s="105"/>
      <c r="EO421" s="105"/>
      <c r="EP421" s="105"/>
      <c r="EQ421" s="105"/>
      <c r="ER421" s="203"/>
      <c r="ES421" s="105"/>
      <c r="ET421" s="105"/>
      <c r="EU421" s="105"/>
      <c r="EV421" s="105"/>
      <c r="EW421" s="203"/>
      <c r="EX421" s="105"/>
      <c r="EY421" s="105"/>
      <c r="EZ421" s="105"/>
      <c r="FA421" s="105"/>
      <c r="FB421" s="203"/>
      <c r="FC421" s="105"/>
      <c r="FD421" s="105"/>
      <c r="FE421" s="105"/>
      <c r="FF421" s="105"/>
      <c r="FG421" s="203"/>
      <c r="FH421" s="105"/>
      <c r="FI421" s="105"/>
      <c r="FJ421" s="105"/>
      <c r="FK421" s="105"/>
      <c r="FL421" s="203"/>
      <c r="FM421" s="105"/>
      <c r="FN421" s="105"/>
      <c r="FO421" s="105"/>
      <c r="FP421" s="105"/>
      <c r="FQ421" s="203"/>
      <c r="FR421" s="105"/>
      <c r="FS421" s="105"/>
      <c r="FT421" s="105"/>
      <c r="FU421" s="105"/>
      <c r="FV421" s="203"/>
      <c r="FW421" s="105"/>
      <c r="FX421" s="105"/>
      <c r="FY421" s="105"/>
      <c r="FZ421" s="105"/>
      <c r="GA421" s="203"/>
      <c r="GB421" s="105"/>
      <c r="GC421" s="105"/>
      <c r="GD421" s="105"/>
      <c r="GE421" s="105"/>
      <c r="GF421" s="203"/>
      <c r="GG421" s="105"/>
      <c r="GH421" s="105"/>
      <c r="GI421" s="105"/>
      <c r="GJ421" s="105"/>
    </row>
    <row r="422" spans="1:192" s="93" customFormat="1" ht="12.75" customHeight="1">
      <c r="A422" s="68"/>
      <c r="B422" s="677"/>
      <c r="C422" s="203"/>
      <c r="D422" s="105"/>
      <c r="E422" s="105"/>
      <c r="F422" s="105"/>
      <c r="G422" s="105"/>
      <c r="H422" s="203"/>
      <c r="I422" s="105"/>
      <c r="J422" s="105"/>
      <c r="K422" s="105"/>
      <c r="L422" s="105"/>
      <c r="M422" s="203"/>
      <c r="N422" s="105"/>
      <c r="O422" s="105"/>
      <c r="P422" s="105"/>
      <c r="Q422" s="105"/>
      <c r="R422" s="203"/>
      <c r="S422" s="105"/>
      <c r="T422" s="105"/>
      <c r="U422" s="105"/>
      <c r="V422" s="105"/>
      <c r="W422" s="203"/>
      <c r="X422" s="105"/>
      <c r="Y422" s="105"/>
      <c r="Z422" s="105"/>
      <c r="AA422" s="105"/>
      <c r="AB422" s="203"/>
      <c r="AC422" s="105"/>
      <c r="AD422" s="105"/>
      <c r="AE422" s="105"/>
      <c r="AF422" s="105"/>
      <c r="AG422" s="203"/>
      <c r="AH422" s="105"/>
      <c r="AI422" s="105"/>
      <c r="AJ422" s="105"/>
      <c r="AK422" s="105"/>
      <c r="AL422" s="203"/>
      <c r="AM422" s="105"/>
      <c r="AN422" s="105"/>
      <c r="AO422" s="105"/>
      <c r="AP422" s="105"/>
      <c r="AQ422" s="203"/>
      <c r="AR422" s="105"/>
      <c r="AS422" s="105"/>
      <c r="AT422" s="105"/>
      <c r="AU422" s="105"/>
      <c r="AV422" s="203"/>
      <c r="AW422" s="105"/>
      <c r="AX422" s="105"/>
      <c r="AY422" s="105"/>
      <c r="AZ422" s="105"/>
      <c r="BA422" s="203"/>
      <c r="BB422" s="105"/>
      <c r="BC422" s="105"/>
      <c r="BD422" s="105"/>
      <c r="BE422" s="105"/>
      <c r="BF422" s="203"/>
      <c r="BG422" s="105"/>
      <c r="BH422" s="105"/>
      <c r="BI422" s="105"/>
      <c r="BJ422" s="105"/>
      <c r="BK422" s="203"/>
      <c r="BL422" s="105"/>
      <c r="BM422" s="105"/>
      <c r="BN422" s="105"/>
      <c r="BO422" s="105"/>
      <c r="BP422" s="203"/>
      <c r="BQ422" s="105"/>
      <c r="BR422" s="105"/>
      <c r="BS422" s="105"/>
      <c r="BT422" s="105"/>
      <c r="BU422" s="203"/>
      <c r="BV422" s="105"/>
      <c r="BW422" s="105"/>
      <c r="BX422" s="105"/>
      <c r="BY422" s="105"/>
      <c r="BZ422" s="203"/>
      <c r="CA422" s="105"/>
      <c r="CB422" s="105"/>
      <c r="CC422" s="105"/>
      <c r="CD422" s="105"/>
      <c r="CE422" s="203"/>
      <c r="CF422" s="105"/>
      <c r="CG422" s="105"/>
      <c r="CH422" s="105"/>
      <c r="CI422" s="105"/>
      <c r="CJ422" s="203"/>
      <c r="CK422" s="105"/>
      <c r="CL422" s="105"/>
      <c r="CM422" s="105"/>
      <c r="CN422" s="105"/>
      <c r="CO422" s="203"/>
      <c r="CP422" s="105"/>
      <c r="CQ422" s="105"/>
      <c r="CR422" s="105"/>
      <c r="CS422" s="105"/>
      <c r="CT422" s="203"/>
      <c r="CU422" s="105"/>
      <c r="CV422" s="105"/>
      <c r="CW422" s="105"/>
      <c r="CX422" s="105"/>
      <c r="CY422" s="203"/>
      <c r="CZ422" s="105"/>
      <c r="DA422" s="105"/>
      <c r="DB422" s="105"/>
      <c r="DC422" s="105"/>
      <c r="DD422" s="203"/>
      <c r="DE422" s="105"/>
      <c r="DF422" s="105"/>
      <c r="DG422" s="105"/>
      <c r="DH422" s="105"/>
      <c r="DI422" s="203"/>
      <c r="DJ422" s="105"/>
      <c r="DK422" s="105"/>
      <c r="DL422" s="105"/>
      <c r="DM422" s="105"/>
      <c r="DN422" s="203"/>
      <c r="DO422" s="105"/>
      <c r="DP422" s="105"/>
      <c r="DQ422" s="105"/>
      <c r="DR422" s="105"/>
      <c r="DS422" s="203"/>
      <c r="DT422" s="105"/>
      <c r="DU422" s="105"/>
      <c r="DV422" s="105"/>
      <c r="DW422" s="105"/>
      <c r="DX422" s="203"/>
      <c r="DY422" s="105"/>
      <c r="DZ422" s="105"/>
      <c r="EA422" s="105"/>
      <c r="EB422" s="105"/>
      <c r="EC422" s="203"/>
      <c r="ED422" s="105"/>
      <c r="EE422" s="105"/>
      <c r="EF422" s="105"/>
      <c r="EG422" s="105"/>
      <c r="EH422" s="203"/>
      <c r="EI422" s="105"/>
      <c r="EJ422" s="105"/>
      <c r="EK422" s="105"/>
      <c r="EL422" s="105"/>
      <c r="EM422" s="203"/>
      <c r="EN422" s="105"/>
      <c r="EO422" s="105"/>
      <c r="EP422" s="105"/>
      <c r="EQ422" s="105"/>
      <c r="ER422" s="203"/>
      <c r="ES422" s="105"/>
      <c r="ET422" s="105"/>
      <c r="EU422" s="105"/>
      <c r="EV422" s="105"/>
      <c r="EW422" s="203"/>
      <c r="EX422" s="105"/>
      <c r="EY422" s="105"/>
      <c r="EZ422" s="105"/>
      <c r="FA422" s="105"/>
      <c r="FB422" s="203"/>
      <c r="FC422" s="105"/>
      <c r="FD422" s="105"/>
      <c r="FE422" s="105"/>
      <c r="FF422" s="105"/>
      <c r="FG422" s="203"/>
      <c r="FH422" s="105"/>
      <c r="FI422" s="105"/>
      <c r="FJ422" s="105"/>
      <c r="FK422" s="105"/>
      <c r="FL422" s="203"/>
      <c r="FM422" s="105"/>
      <c r="FN422" s="105"/>
      <c r="FO422" s="105"/>
      <c r="FP422" s="105"/>
      <c r="FQ422" s="203"/>
      <c r="FR422" s="105"/>
      <c r="FS422" s="105"/>
      <c r="FT422" s="105"/>
      <c r="FU422" s="105"/>
      <c r="FV422" s="203"/>
      <c r="FW422" s="105"/>
      <c r="FX422" s="105"/>
      <c r="FY422" s="105"/>
      <c r="FZ422" s="105"/>
      <c r="GA422" s="203"/>
      <c r="GB422" s="105"/>
      <c r="GC422" s="105"/>
      <c r="GD422" s="105"/>
      <c r="GE422" s="105"/>
      <c r="GF422" s="203"/>
      <c r="GG422" s="105"/>
      <c r="GH422" s="105"/>
      <c r="GI422" s="105"/>
      <c r="GJ422" s="105"/>
    </row>
    <row r="423" spans="1:192" s="93" customFormat="1" ht="12.75" customHeight="1">
      <c r="A423" s="68"/>
      <c r="B423" s="677"/>
      <c r="C423" s="203"/>
      <c r="D423" s="105"/>
      <c r="E423" s="105"/>
      <c r="F423" s="105"/>
      <c r="G423" s="105"/>
      <c r="H423" s="203"/>
      <c r="I423" s="105"/>
      <c r="J423" s="105"/>
      <c r="K423" s="105"/>
      <c r="L423" s="105"/>
      <c r="M423" s="203"/>
      <c r="N423" s="105"/>
      <c r="O423" s="105"/>
      <c r="P423" s="105"/>
      <c r="Q423" s="105"/>
      <c r="R423" s="203"/>
      <c r="S423" s="105"/>
      <c r="T423" s="105"/>
      <c r="U423" s="105"/>
      <c r="V423" s="105"/>
      <c r="W423" s="203"/>
      <c r="X423" s="105"/>
      <c r="Y423" s="105"/>
      <c r="Z423" s="105"/>
      <c r="AA423" s="105"/>
      <c r="AB423" s="203"/>
      <c r="AC423" s="105"/>
      <c r="AD423" s="105"/>
      <c r="AE423" s="105"/>
      <c r="AF423" s="105"/>
      <c r="AG423" s="203"/>
      <c r="AH423" s="105"/>
      <c r="AI423" s="105"/>
      <c r="AJ423" s="105"/>
      <c r="AK423" s="105"/>
      <c r="AL423" s="203"/>
      <c r="AM423" s="105"/>
      <c r="AN423" s="105"/>
      <c r="AO423" s="105"/>
      <c r="AP423" s="105"/>
      <c r="AQ423" s="203"/>
      <c r="AR423" s="105"/>
      <c r="AS423" s="105"/>
      <c r="AT423" s="105"/>
      <c r="AU423" s="105"/>
      <c r="AV423" s="203"/>
      <c r="AW423" s="105"/>
      <c r="AX423" s="105"/>
      <c r="AY423" s="105"/>
      <c r="AZ423" s="105"/>
      <c r="BA423" s="203"/>
      <c r="BB423" s="105"/>
      <c r="BC423" s="105"/>
      <c r="BD423" s="105"/>
      <c r="BE423" s="105"/>
      <c r="BF423" s="203"/>
      <c r="BG423" s="105"/>
      <c r="BH423" s="105"/>
      <c r="BI423" s="105"/>
      <c r="BJ423" s="105"/>
      <c r="BK423" s="203"/>
      <c r="BL423" s="105"/>
      <c r="BM423" s="105"/>
      <c r="BN423" s="105"/>
      <c r="BO423" s="105"/>
      <c r="BP423" s="203"/>
      <c r="BQ423" s="105"/>
      <c r="BR423" s="105"/>
      <c r="BS423" s="105"/>
      <c r="BT423" s="105"/>
      <c r="BU423" s="203"/>
      <c r="BV423" s="105"/>
      <c r="BW423" s="105"/>
      <c r="BX423" s="105"/>
      <c r="BY423" s="105"/>
      <c r="BZ423" s="203"/>
      <c r="CA423" s="105"/>
      <c r="CB423" s="105"/>
      <c r="CC423" s="105"/>
      <c r="CD423" s="105"/>
      <c r="CE423" s="203"/>
      <c r="CF423" s="105"/>
      <c r="CG423" s="105"/>
      <c r="CH423" s="105"/>
      <c r="CI423" s="105"/>
      <c r="CJ423" s="203"/>
      <c r="CK423" s="105"/>
      <c r="CL423" s="105"/>
      <c r="CM423" s="105"/>
      <c r="CN423" s="105"/>
      <c r="CO423" s="203"/>
      <c r="CP423" s="105"/>
      <c r="CQ423" s="105"/>
      <c r="CR423" s="105"/>
      <c r="CS423" s="105"/>
      <c r="CT423" s="203"/>
      <c r="CU423" s="105"/>
      <c r="CV423" s="105"/>
      <c r="CW423" s="105"/>
      <c r="CX423" s="105"/>
      <c r="CY423" s="203"/>
      <c r="CZ423" s="105"/>
      <c r="DA423" s="105"/>
      <c r="DB423" s="105"/>
      <c r="DC423" s="105"/>
      <c r="DD423" s="203"/>
      <c r="DE423" s="105"/>
      <c r="DF423" s="105"/>
      <c r="DG423" s="105"/>
      <c r="DH423" s="105"/>
      <c r="DI423" s="203"/>
      <c r="DJ423" s="105"/>
      <c r="DK423" s="105"/>
      <c r="DL423" s="105"/>
      <c r="DM423" s="105"/>
      <c r="DN423" s="203"/>
      <c r="DO423" s="105"/>
      <c r="DP423" s="105"/>
      <c r="DQ423" s="105"/>
      <c r="DR423" s="105"/>
      <c r="DS423" s="203"/>
      <c r="DT423" s="105"/>
      <c r="DU423" s="105"/>
      <c r="DV423" s="105"/>
      <c r="DW423" s="105"/>
      <c r="DX423" s="203"/>
      <c r="DY423" s="105"/>
      <c r="DZ423" s="105"/>
      <c r="EA423" s="105"/>
      <c r="EB423" s="105"/>
      <c r="EC423" s="203"/>
      <c r="ED423" s="105"/>
      <c r="EE423" s="105"/>
      <c r="EF423" s="105"/>
      <c r="EG423" s="105"/>
      <c r="EH423" s="203"/>
      <c r="EI423" s="105"/>
      <c r="EJ423" s="105"/>
      <c r="EK423" s="105"/>
      <c r="EL423" s="105"/>
      <c r="EM423" s="203"/>
      <c r="EN423" s="105"/>
      <c r="EO423" s="105"/>
      <c r="EP423" s="105"/>
      <c r="EQ423" s="105"/>
      <c r="ER423" s="203"/>
      <c r="ES423" s="105"/>
      <c r="ET423" s="105"/>
      <c r="EU423" s="105"/>
      <c r="EV423" s="105"/>
      <c r="EW423" s="203"/>
      <c r="EX423" s="105"/>
      <c r="EY423" s="105"/>
      <c r="EZ423" s="105"/>
      <c r="FA423" s="105"/>
      <c r="FB423" s="203"/>
      <c r="FC423" s="105"/>
      <c r="FD423" s="105"/>
      <c r="FE423" s="105"/>
      <c r="FF423" s="105"/>
      <c r="FG423" s="203"/>
      <c r="FH423" s="105"/>
      <c r="FI423" s="105"/>
      <c r="FJ423" s="105"/>
      <c r="FK423" s="105"/>
      <c r="FL423" s="203"/>
      <c r="FM423" s="105"/>
      <c r="FN423" s="105"/>
      <c r="FO423" s="105"/>
      <c r="FP423" s="105"/>
      <c r="FQ423" s="203"/>
      <c r="FR423" s="105"/>
      <c r="FS423" s="105"/>
      <c r="FT423" s="105"/>
      <c r="FU423" s="105"/>
      <c r="FV423" s="203"/>
      <c r="FW423" s="105"/>
      <c r="FX423" s="105"/>
      <c r="FY423" s="105"/>
      <c r="FZ423" s="105"/>
      <c r="GA423" s="203"/>
      <c r="GB423" s="105"/>
      <c r="GC423" s="105"/>
      <c r="GD423" s="105"/>
      <c r="GE423" s="105"/>
      <c r="GF423" s="203"/>
      <c r="GG423" s="105"/>
      <c r="GH423" s="105"/>
      <c r="GI423" s="105"/>
      <c r="GJ423" s="105"/>
    </row>
    <row r="425" spans="1:192" s="93" customFormat="1" ht="12.75" customHeight="1">
      <c r="A425" s="68"/>
      <c r="B425" s="677"/>
      <c r="C425" s="207"/>
      <c r="D425" s="177"/>
      <c r="E425" s="177"/>
      <c r="F425" s="177"/>
      <c r="G425" s="177"/>
      <c r="H425" s="207"/>
      <c r="I425" s="177"/>
      <c r="J425" s="177"/>
      <c r="K425" s="177"/>
      <c r="L425" s="177"/>
      <c r="M425" s="207"/>
      <c r="N425" s="177"/>
      <c r="O425" s="177"/>
      <c r="P425" s="177"/>
      <c r="Q425" s="177"/>
      <c r="R425" s="207"/>
      <c r="S425" s="177"/>
      <c r="T425" s="177"/>
      <c r="U425" s="177"/>
      <c r="V425" s="177"/>
      <c r="W425" s="207"/>
      <c r="X425" s="177"/>
      <c r="Y425" s="177"/>
      <c r="Z425" s="177"/>
      <c r="AA425" s="177"/>
      <c r="AB425" s="207"/>
      <c r="AC425" s="177"/>
      <c r="AD425" s="177"/>
      <c r="AE425" s="177"/>
      <c r="AF425" s="177"/>
      <c r="AG425" s="207"/>
      <c r="AH425" s="177"/>
      <c r="AI425" s="177"/>
      <c r="AJ425" s="177"/>
      <c r="AK425" s="177"/>
      <c r="AL425" s="207"/>
      <c r="AM425" s="177"/>
      <c r="AN425" s="177"/>
      <c r="AO425" s="177"/>
      <c r="AP425" s="177"/>
      <c r="AQ425" s="207"/>
      <c r="AR425" s="177"/>
      <c r="AS425" s="177"/>
      <c r="AT425" s="177"/>
      <c r="AU425" s="177"/>
      <c r="AV425" s="207"/>
      <c r="AW425" s="177"/>
      <c r="AX425" s="177"/>
      <c r="AY425" s="177"/>
      <c r="AZ425" s="177"/>
      <c r="BA425" s="207"/>
      <c r="BB425" s="177"/>
      <c r="BC425" s="177"/>
      <c r="BD425" s="177"/>
      <c r="BE425" s="177"/>
      <c r="BF425" s="207"/>
      <c r="BG425" s="177"/>
      <c r="BH425" s="177"/>
      <c r="BI425" s="177"/>
      <c r="BJ425" s="177"/>
      <c r="BK425" s="207"/>
      <c r="BL425" s="177"/>
      <c r="BM425" s="177"/>
      <c r="BN425" s="177"/>
      <c r="BO425" s="177"/>
      <c r="BP425" s="207"/>
      <c r="BQ425" s="177"/>
      <c r="BR425" s="177"/>
      <c r="BS425" s="177"/>
      <c r="BT425" s="177"/>
      <c r="BU425" s="207"/>
      <c r="BV425" s="177"/>
      <c r="BW425" s="177"/>
      <c r="BX425" s="177"/>
      <c r="BY425" s="177"/>
      <c r="BZ425" s="207"/>
      <c r="CA425" s="177"/>
      <c r="CB425" s="177"/>
      <c r="CC425" s="177"/>
      <c r="CD425" s="177"/>
      <c r="CE425" s="207"/>
      <c r="CF425" s="177"/>
      <c r="CG425" s="177"/>
      <c r="CH425" s="177"/>
      <c r="CI425" s="177"/>
      <c r="CJ425" s="207"/>
      <c r="CK425" s="177"/>
      <c r="CL425" s="177"/>
      <c r="CM425" s="177"/>
      <c r="CN425" s="177"/>
      <c r="CO425" s="207"/>
      <c r="CP425" s="177"/>
      <c r="CQ425" s="177"/>
      <c r="CR425" s="177"/>
      <c r="CS425" s="177"/>
      <c r="CT425" s="207"/>
      <c r="CU425" s="177"/>
      <c r="CV425" s="177"/>
      <c r="CW425" s="177"/>
      <c r="CX425" s="177"/>
      <c r="CY425" s="207"/>
      <c r="CZ425" s="177"/>
      <c r="DA425" s="177"/>
      <c r="DB425" s="177"/>
      <c r="DC425" s="177"/>
      <c r="DD425" s="207"/>
      <c r="DE425" s="177"/>
      <c r="DF425" s="177"/>
      <c r="DG425" s="177"/>
      <c r="DH425" s="177"/>
      <c r="DI425" s="207"/>
      <c r="DJ425" s="177"/>
      <c r="DK425" s="177"/>
      <c r="DL425" s="177"/>
      <c r="DM425" s="177"/>
      <c r="DN425" s="207"/>
      <c r="DO425" s="177"/>
      <c r="DP425" s="177"/>
      <c r="DQ425" s="177"/>
      <c r="DR425" s="177"/>
      <c r="DS425" s="207"/>
      <c r="DT425" s="177"/>
      <c r="DU425" s="177"/>
      <c r="DV425" s="177"/>
      <c r="DW425" s="177"/>
      <c r="DX425" s="207"/>
      <c r="DY425" s="177"/>
      <c r="DZ425" s="177"/>
      <c r="EA425" s="177"/>
      <c r="EB425" s="177"/>
      <c r="EC425" s="207"/>
      <c r="ED425" s="177"/>
      <c r="EE425" s="177"/>
      <c r="EF425" s="177"/>
      <c r="EG425" s="177"/>
      <c r="EH425" s="207"/>
      <c r="EI425" s="177"/>
      <c r="EJ425" s="177"/>
      <c r="EK425" s="177"/>
      <c r="EL425" s="177"/>
      <c r="EM425" s="207"/>
      <c r="EN425" s="177"/>
      <c r="EO425" s="177"/>
      <c r="EP425" s="177"/>
      <c r="EQ425" s="177"/>
      <c r="ER425" s="207"/>
      <c r="ES425" s="177"/>
      <c r="ET425" s="177"/>
      <c r="EU425" s="177"/>
      <c r="EV425" s="177"/>
      <c r="EW425" s="207"/>
      <c r="EX425" s="177"/>
      <c r="EY425" s="177"/>
      <c r="EZ425" s="177"/>
      <c r="FA425" s="177"/>
      <c r="FB425" s="207"/>
      <c r="FC425" s="177"/>
      <c r="FD425" s="177"/>
      <c r="FE425" s="177"/>
      <c r="FF425" s="177"/>
      <c r="FG425" s="207"/>
      <c r="FH425" s="177"/>
      <c r="FI425" s="177"/>
      <c r="FJ425" s="177"/>
      <c r="FK425" s="177"/>
      <c r="FL425" s="207"/>
      <c r="FM425" s="177"/>
      <c r="FN425" s="177"/>
      <c r="FO425" s="177"/>
      <c r="FP425" s="177"/>
      <c r="FQ425" s="207"/>
      <c r="FR425" s="177"/>
      <c r="FS425" s="177"/>
      <c r="FT425" s="177"/>
      <c r="FU425" s="177"/>
      <c r="FV425" s="207"/>
      <c r="FW425" s="177"/>
      <c r="FX425" s="177"/>
      <c r="FY425" s="177"/>
      <c r="FZ425" s="177"/>
      <c r="GA425" s="207"/>
      <c r="GB425" s="177"/>
      <c r="GC425" s="177"/>
      <c r="GD425" s="177"/>
      <c r="GE425" s="177"/>
      <c r="GF425" s="207"/>
      <c r="GG425" s="177"/>
      <c r="GH425" s="177"/>
      <c r="GI425" s="177"/>
      <c r="GJ425" s="177"/>
    </row>
    <row r="426" spans="1:192" s="93" customFormat="1" ht="12.75" customHeight="1">
      <c r="A426" s="68"/>
      <c r="B426" s="677"/>
      <c r="C426" s="208"/>
      <c r="D426" s="142"/>
      <c r="E426" s="142"/>
      <c r="F426" s="142"/>
      <c r="G426" s="142"/>
      <c r="H426" s="208"/>
      <c r="I426" s="142"/>
      <c r="J426" s="142"/>
      <c r="K426" s="142"/>
      <c r="L426" s="142"/>
      <c r="M426" s="208"/>
      <c r="N426" s="142"/>
      <c r="O426" s="142"/>
      <c r="P426" s="142"/>
      <c r="Q426" s="142"/>
      <c r="R426" s="208"/>
      <c r="S426" s="142"/>
      <c r="T426" s="142"/>
      <c r="U426" s="142"/>
      <c r="V426" s="142"/>
      <c r="W426" s="208"/>
      <c r="X426" s="142"/>
      <c r="Y426" s="142"/>
      <c r="Z426" s="142"/>
      <c r="AA426" s="142"/>
      <c r="AB426" s="208"/>
      <c r="AC426" s="142"/>
      <c r="AD426" s="142"/>
      <c r="AE426" s="142"/>
      <c r="AF426" s="142"/>
      <c r="AG426" s="208"/>
      <c r="AH426" s="142"/>
      <c r="AI426" s="142"/>
      <c r="AJ426" s="142"/>
      <c r="AK426" s="142"/>
      <c r="AL426" s="208"/>
      <c r="AM426" s="142"/>
      <c r="AN426" s="142"/>
      <c r="AO426" s="142"/>
      <c r="AP426" s="142"/>
      <c r="AQ426" s="208"/>
      <c r="AR426" s="142"/>
      <c r="AS426" s="142"/>
      <c r="AT426" s="142"/>
      <c r="AU426" s="142"/>
      <c r="AV426" s="208"/>
      <c r="AW426" s="142"/>
      <c r="AX426" s="142"/>
      <c r="AY426" s="142"/>
      <c r="AZ426" s="142"/>
      <c r="BA426" s="208"/>
      <c r="BB426" s="142"/>
      <c r="BC426" s="142"/>
      <c r="BD426" s="142"/>
      <c r="BE426" s="142"/>
      <c r="BF426" s="208"/>
      <c r="BG426" s="142"/>
      <c r="BH426" s="142"/>
      <c r="BI426" s="142"/>
      <c r="BJ426" s="142"/>
      <c r="BK426" s="208"/>
      <c r="BL426" s="142"/>
      <c r="BM426" s="142"/>
      <c r="BN426" s="142"/>
      <c r="BO426" s="142"/>
      <c r="BP426" s="208"/>
      <c r="BQ426" s="142"/>
      <c r="BR426" s="142"/>
      <c r="BS426" s="142"/>
      <c r="BT426" s="142"/>
      <c r="BU426" s="208"/>
      <c r="BV426" s="142"/>
      <c r="BW426" s="142"/>
      <c r="BX426" s="142"/>
      <c r="BY426" s="142"/>
      <c r="BZ426" s="208"/>
      <c r="CA426" s="142"/>
      <c r="CB426" s="142"/>
      <c r="CC426" s="142"/>
      <c r="CD426" s="142"/>
      <c r="CE426" s="208"/>
      <c r="CF426" s="142"/>
      <c r="CG426" s="142"/>
      <c r="CH426" s="142"/>
      <c r="CI426" s="142"/>
      <c r="CJ426" s="208"/>
      <c r="CK426" s="142"/>
      <c r="CL426" s="142"/>
      <c r="CM426" s="142"/>
      <c r="CN426" s="142"/>
      <c r="CO426" s="208"/>
      <c r="CP426" s="142"/>
      <c r="CQ426" s="142"/>
      <c r="CR426" s="142"/>
      <c r="CS426" s="142"/>
      <c r="CT426" s="208"/>
      <c r="CU426" s="142"/>
      <c r="CV426" s="142"/>
      <c r="CW426" s="142"/>
      <c r="CX426" s="142"/>
      <c r="CY426" s="208"/>
      <c r="CZ426" s="142"/>
      <c r="DA426" s="142"/>
      <c r="DB426" s="142"/>
      <c r="DC426" s="142"/>
      <c r="DD426" s="208"/>
      <c r="DE426" s="142"/>
      <c r="DF426" s="142"/>
      <c r="DG426" s="142"/>
      <c r="DH426" s="142"/>
      <c r="DI426" s="208"/>
      <c r="DJ426" s="142"/>
      <c r="DK426" s="142"/>
      <c r="DL426" s="142"/>
      <c r="DM426" s="142"/>
      <c r="DN426" s="208"/>
      <c r="DO426" s="142"/>
      <c r="DP426" s="142"/>
      <c r="DQ426" s="142"/>
      <c r="DR426" s="142"/>
      <c r="DS426" s="208"/>
      <c r="DT426" s="142"/>
      <c r="DU426" s="142"/>
      <c r="DV426" s="142"/>
      <c r="DW426" s="142"/>
      <c r="DX426" s="208"/>
      <c r="DY426" s="142"/>
      <c r="DZ426" s="142"/>
      <c r="EA426" s="142"/>
      <c r="EB426" s="142"/>
      <c r="EC426" s="208"/>
      <c r="ED426" s="142"/>
      <c r="EE426" s="142"/>
      <c r="EF426" s="142"/>
      <c r="EG426" s="142"/>
      <c r="EH426" s="208"/>
      <c r="EI426" s="142"/>
      <c r="EJ426" s="142"/>
      <c r="EK426" s="142"/>
      <c r="EL426" s="142"/>
      <c r="EM426" s="208"/>
      <c r="EN426" s="142"/>
      <c r="EO426" s="142"/>
      <c r="EP426" s="142"/>
      <c r="EQ426" s="142"/>
      <c r="ER426" s="208"/>
      <c r="ES426" s="142"/>
      <c r="ET426" s="142"/>
      <c r="EU426" s="142"/>
      <c r="EV426" s="142"/>
      <c r="EW426" s="208"/>
      <c r="EX426" s="142"/>
      <c r="EY426" s="142"/>
      <c r="EZ426" s="142"/>
      <c r="FA426" s="142"/>
      <c r="FB426" s="208"/>
      <c r="FC426" s="142"/>
      <c r="FD426" s="142"/>
      <c r="FE426" s="142"/>
      <c r="FF426" s="142"/>
      <c r="FG426" s="208"/>
      <c r="FH426" s="142"/>
      <c r="FI426" s="142"/>
      <c r="FJ426" s="142"/>
      <c r="FK426" s="142"/>
      <c r="FL426" s="208"/>
      <c r="FM426" s="142"/>
      <c r="FN426" s="142"/>
      <c r="FO426" s="142"/>
      <c r="FP426" s="142"/>
      <c r="FQ426" s="208"/>
      <c r="FR426" s="142"/>
      <c r="FS426" s="142"/>
      <c r="FT426" s="142"/>
      <c r="FU426" s="142"/>
      <c r="FV426" s="208"/>
      <c r="FW426" s="142"/>
      <c r="FX426" s="142"/>
      <c r="FY426" s="142"/>
      <c r="FZ426" s="142"/>
      <c r="GA426" s="208"/>
      <c r="GB426" s="142"/>
      <c r="GC426" s="142"/>
      <c r="GD426" s="142"/>
      <c r="GE426" s="142"/>
      <c r="GF426" s="208"/>
      <c r="GG426" s="142"/>
      <c r="GH426" s="142"/>
      <c r="GI426" s="142"/>
      <c r="GJ426" s="142"/>
    </row>
    <row r="427" spans="1:192" s="93" customFormat="1" ht="12.75" customHeight="1">
      <c r="A427" s="68"/>
      <c r="B427" s="677"/>
      <c r="C427" s="208"/>
      <c r="D427" s="142"/>
      <c r="E427" s="142"/>
      <c r="F427" s="142"/>
      <c r="G427" s="142"/>
      <c r="H427" s="208"/>
      <c r="I427" s="142"/>
      <c r="J427" s="142"/>
      <c r="K427" s="142"/>
      <c r="L427" s="142"/>
      <c r="M427" s="208"/>
      <c r="N427" s="142"/>
      <c r="O427" s="142"/>
      <c r="P427" s="142"/>
      <c r="Q427" s="142"/>
      <c r="R427" s="208"/>
      <c r="S427" s="142"/>
      <c r="T427" s="142"/>
      <c r="U427" s="142"/>
      <c r="V427" s="142"/>
      <c r="W427" s="208"/>
      <c r="X427" s="142"/>
      <c r="Y427" s="142"/>
      <c r="Z427" s="142"/>
      <c r="AA427" s="142"/>
      <c r="AB427" s="208"/>
      <c r="AC427" s="142"/>
      <c r="AD427" s="142"/>
      <c r="AE427" s="142"/>
      <c r="AF427" s="142"/>
      <c r="AG427" s="208"/>
      <c r="AH427" s="142"/>
      <c r="AI427" s="142"/>
      <c r="AJ427" s="142"/>
      <c r="AK427" s="142"/>
      <c r="AL427" s="208"/>
      <c r="AM427" s="142"/>
      <c r="AN427" s="142"/>
      <c r="AO427" s="142"/>
      <c r="AP427" s="142"/>
      <c r="AQ427" s="208"/>
      <c r="AR427" s="142"/>
      <c r="AS427" s="142"/>
      <c r="AT427" s="142"/>
      <c r="AU427" s="142"/>
      <c r="AV427" s="208"/>
      <c r="AW427" s="142"/>
      <c r="AX427" s="142"/>
      <c r="AY427" s="142"/>
      <c r="AZ427" s="142"/>
      <c r="BA427" s="208"/>
      <c r="BB427" s="142"/>
      <c r="BC427" s="142"/>
      <c r="BD427" s="142"/>
      <c r="BE427" s="142"/>
      <c r="BF427" s="208"/>
      <c r="BG427" s="142"/>
      <c r="BH427" s="142"/>
      <c r="BI427" s="142"/>
      <c r="BJ427" s="142"/>
      <c r="BK427" s="208"/>
      <c r="BL427" s="142"/>
      <c r="BM427" s="142"/>
      <c r="BN427" s="142"/>
      <c r="BO427" s="142"/>
      <c r="BP427" s="208"/>
      <c r="BQ427" s="142"/>
      <c r="BR427" s="142"/>
      <c r="BS427" s="142"/>
      <c r="BT427" s="142"/>
      <c r="BU427" s="208"/>
      <c r="BV427" s="142"/>
      <c r="BW427" s="142"/>
      <c r="BX427" s="142"/>
      <c r="BY427" s="142"/>
      <c r="BZ427" s="208"/>
      <c r="CA427" s="142"/>
      <c r="CB427" s="142"/>
      <c r="CC427" s="142"/>
      <c r="CD427" s="142"/>
      <c r="CE427" s="208"/>
      <c r="CF427" s="142"/>
      <c r="CG427" s="142"/>
      <c r="CH427" s="142"/>
      <c r="CI427" s="142"/>
      <c r="CJ427" s="208"/>
      <c r="CK427" s="142"/>
      <c r="CL427" s="142"/>
      <c r="CM427" s="142"/>
      <c r="CN427" s="142"/>
      <c r="CO427" s="208"/>
      <c r="CP427" s="142"/>
      <c r="CQ427" s="142"/>
      <c r="CR427" s="142"/>
      <c r="CS427" s="142"/>
      <c r="CT427" s="208"/>
      <c r="CU427" s="142"/>
      <c r="CV427" s="142"/>
      <c r="CW427" s="142"/>
      <c r="CX427" s="142"/>
      <c r="CY427" s="208"/>
      <c r="CZ427" s="142"/>
      <c r="DA427" s="142"/>
      <c r="DB427" s="142"/>
      <c r="DC427" s="142"/>
      <c r="DD427" s="208"/>
      <c r="DE427" s="142"/>
      <c r="DF427" s="142"/>
      <c r="DG427" s="142"/>
      <c r="DH427" s="142"/>
      <c r="DI427" s="208"/>
      <c r="DJ427" s="142"/>
      <c r="DK427" s="142"/>
      <c r="DL427" s="142"/>
      <c r="DM427" s="142"/>
      <c r="DN427" s="208"/>
      <c r="DO427" s="142"/>
      <c r="DP427" s="142"/>
      <c r="DQ427" s="142"/>
      <c r="DR427" s="142"/>
      <c r="DS427" s="208"/>
      <c r="DT427" s="142"/>
      <c r="DU427" s="142"/>
      <c r="DV427" s="142"/>
      <c r="DW427" s="142"/>
      <c r="DX427" s="208"/>
      <c r="DY427" s="142"/>
      <c r="DZ427" s="142"/>
      <c r="EA427" s="142"/>
      <c r="EB427" s="142"/>
      <c r="EC427" s="208"/>
      <c r="ED427" s="142"/>
      <c r="EE427" s="142"/>
      <c r="EF427" s="142"/>
      <c r="EG427" s="142"/>
      <c r="EH427" s="208"/>
      <c r="EI427" s="142"/>
      <c r="EJ427" s="142"/>
      <c r="EK427" s="142"/>
      <c r="EL427" s="142"/>
      <c r="EM427" s="208"/>
      <c r="EN427" s="142"/>
      <c r="EO427" s="142"/>
      <c r="EP427" s="142"/>
      <c r="EQ427" s="142"/>
      <c r="ER427" s="208"/>
      <c r="ES427" s="142"/>
      <c r="ET427" s="142"/>
      <c r="EU427" s="142"/>
      <c r="EV427" s="142"/>
      <c r="EW427" s="208"/>
      <c r="EX427" s="142"/>
      <c r="EY427" s="142"/>
      <c r="EZ427" s="142"/>
      <c r="FA427" s="142"/>
      <c r="FB427" s="208"/>
      <c r="FC427" s="142"/>
      <c r="FD427" s="142"/>
      <c r="FE427" s="142"/>
      <c r="FF427" s="142"/>
      <c r="FG427" s="208"/>
      <c r="FH427" s="142"/>
      <c r="FI427" s="142"/>
      <c r="FJ427" s="142"/>
      <c r="FK427" s="142"/>
      <c r="FL427" s="208"/>
      <c r="FM427" s="142"/>
      <c r="FN427" s="142"/>
      <c r="FO427" s="142"/>
      <c r="FP427" s="142"/>
      <c r="FQ427" s="208"/>
      <c r="FR427" s="142"/>
      <c r="FS427" s="142"/>
      <c r="FT427" s="142"/>
      <c r="FU427" s="142"/>
      <c r="FV427" s="208"/>
      <c r="FW427" s="142"/>
      <c r="FX427" s="142"/>
      <c r="FY427" s="142"/>
      <c r="FZ427" s="142"/>
      <c r="GA427" s="208"/>
      <c r="GB427" s="142"/>
      <c r="GC427" s="142"/>
      <c r="GD427" s="142"/>
      <c r="GE427" s="142"/>
      <c r="GF427" s="208"/>
      <c r="GG427" s="142"/>
      <c r="GH427" s="142"/>
      <c r="GI427" s="142"/>
      <c r="GJ427" s="142"/>
    </row>
    <row r="429" spans="1:192" s="93" customFormat="1" ht="12.75" customHeight="1">
      <c r="A429" s="68"/>
      <c r="B429" s="677"/>
      <c r="C429" s="209"/>
      <c r="D429" s="210"/>
      <c r="E429" s="210"/>
      <c r="F429" s="210"/>
      <c r="G429" s="210"/>
      <c r="H429" s="209"/>
      <c r="I429" s="210"/>
      <c r="J429" s="210"/>
      <c r="K429" s="210"/>
      <c r="L429" s="210"/>
      <c r="M429" s="209"/>
      <c r="N429" s="210"/>
      <c r="O429" s="210"/>
      <c r="P429" s="210"/>
      <c r="Q429" s="210"/>
      <c r="R429" s="209"/>
      <c r="S429" s="210"/>
      <c r="T429" s="210"/>
      <c r="U429" s="210"/>
      <c r="V429" s="210"/>
      <c r="W429" s="209"/>
      <c r="X429" s="210"/>
      <c r="Y429" s="210"/>
      <c r="Z429" s="210"/>
      <c r="AA429" s="210"/>
      <c r="AB429" s="209"/>
      <c r="AC429" s="210"/>
      <c r="AD429" s="210"/>
      <c r="AE429" s="210"/>
      <c r="AF429" s="210"/>
      <c r="AG429" s="209"/>
      <c r="AH429" s="210"/>
      <c r="AI429" s="210"/>
      <c r="AJ429" s="210"/>
      <c r="AK429" s="210"/>
      <c r="AL429" s="209"/>
      <c r="AM429" s="210"/>
      <c r="AN429" s="210"/>
      <c r="AO429" s="210"/>
      <c r="AP429" s="210"/>
      <c r="AQ429" s="209"/>
      <c r="AR429" s="210"/>
      <c r="AS429" s="210"/>
      <c r="AT429" s="210"/>
      <c r="AU429" s="210"/>
      <c r="AV429" s="209"/>
      <c r="AW429" s="210"/>
      <c r="AX429" s="210"/>
      <c r="AY429" s="210"/>
      <c r="AZ429" s="210"/>
      <c r="BA429" s="209"/>
      <c r="BB429" s="210"/>
      <c r="BC429" s="210"/>
      <c r="BD429" s="210"/>
      <c r="BE429" s="210"/>
      <c r="BF429" s="209"/>
      <c r="BG429" s="210"/>
      <c r="BH429" s="210"/>
      <c r="BI429" s="210"/>
      <c r="BJ429" s="210"/>
      <c r="BK429" s="209"/>
      <c r="BL429" s="210"/>
      <c r="BM429" s="210"/>
      <c r="BN429" s="210"/>
      <c r="BO429" s="210"/>
      <c r="BP429" s="209"/>
      <c r="BQ429" s="210"/>
      <c r="BR429" s="210"/>
      <c r="BS429" s="210"/>
      <c r="BT429" s="210"/>
      <c r="BU429" s="209"/>
      <c r="BV429" s="210"/>
      <c r="BW429" s="210"/>
      <c r="BX429" s="210"/>
      <c r="BY429" s="210"/>
      <c r="BZ429" s="209"/>
      <c r="CA429" s="210"/>
      <c r="CB429" s="210"/>
      <c r="CC429" s="210"/>
      <c r="CD429" s="210"/>
      <c r="CE429" s="209"/>
      <c r="CF429" s="210"/>
      <c r="CG429" s="210"/>
      <c r="CH429" s="210"/>
      <c r="CI429" s="210"/>
      <c r="CJ429" s="209"/>
      <c r="CK429" s="210"/>
      <c r="CL429" s="210"/>
      <c r="CM429" s="210"/>
      <c r="CN429" s="210"/>
      <c r="CO429" s="209"/>
      <c r="CP429" s="210"/>
      <c r="CQ429" s="210"/>
      <c r="CR429" s="210"/>
      <c r="CS429" s="210"/>
      <c r="CT429" s="209"/>
      <c r="CU429" s="210"/>
      <c r="CV429" s="210"/>
      <c r="CW429" s="210"/>
      <c r="CX429" s="210"/>
      <c r="CY429" s="209"/>
      <c r="CZ429" s="210"/>
      <c r="DA429" s="210"/>
      <c r="DB429" s="210"/>
      <c r="DC429" s="210"/>
      <c r="DD429" s="209"/>
      <c r="DE429" s="210"/>
      <c r="DF429" s="210"/>
      <c r="DG429" s="210"/>
      <c r="DH429" s="210"/>
      <c r="DI429" s="209"/>
      <c r="DJ429" s="210"/>
      <c r="DK429" s="210"/>
      <c r="DL429" s="210"/>
      <c r="DM429" s="210"/>
      <c r="DN429" s="209"/>
      <c r="DO429" s="210"/>
      <c r="DP429" s="210"/>
      <c r="DQ429" s="210"/>
      <c r="DR429" s="210"/>
      <c r="DS429" s="209"/>
      <c r="DT429" s="210"/>
      <c r="DU429" s="210"/>
      <c r="DV429" s="210"/>
      <c r="DW429" s="210"/>
      <c r="DX429" s="209"/>
      <c r="DY429" s="210"/>
      <c r="DZ429" s="210"/>
      <c r="EA429" s="210"/>
      <c r="EB429" s="210"/>
      <c r="EC429" s="209"/>
      <c r="ED429" s="210"/>
      <c r="EE429" s="210"/>
      <c r="EF429" s="210"/>
      <c r="EG429" s="210"/>
      <c r="EH429" s="209"/>
      <c r="EI429" s="210"/>
      <c r="EJ429" s="210"/>
      <c r="EK429" s="210"/>
      <c r="EL429" s="210"/>
      <c r="EM429" s="209"/>
      <c r="EN429" s="210"/>
      <c r="EO429" s="210"/>
      <c r="EP429" s="210"/>
      <c r="EQ429" s="210"/>
      <c r="ER429" s="209"/>
      <c r="ES429" s="210"/>
      <c r="ET429" s="210"/>
      <c r="EU429" s="210"/>
      <c r="EV429" s="210"/>
      <c r="EW429" s="209"/>
      <c r="EX429" s="210"/>
      <c r="EY429" s="210"/>
      <c r="EZ429" s="210"/>
      <c r="FA429" s="210"/>
      <c r="FB429" s="209"/>
      <c r="FC429" s="210"/>
      <c r="FD429" s="210"/>
      <c r="FE429" s="210"/>
      <c r="FF429" s="210"/>
      <c r="FG429" s="209"/>
      <c r="FH429" s="210"/>
      <c r="FI429" s="210"/>
      <c r="FJ429" s="210"/>
      <c r="FK429" s="210"/>
      <c r="FL429" s="209"/>
      <c r="FM429" s="210"/>
      <c r="FN429" s="210"/>
      <c r="FO429" s="210"/>
      <c r="FP429" s="210"/>
      <c r="FQ429" s="209"/>
      <c r="FR429" s="210"/>
      <c r="FS429" s="210"/>
      <c r="FT429" s="210"/>
      <c r="FU429" s="210"/>
      <c r="FV429" s="209"/>
      <c r="FW429" s="210"/>
      <c r="FX429" s="210"/>
      <c r="FY429" s="210"/>
      <c r="FZ429" s="210"/>
      <c r="GA429" s="209"/>
      <c r="GB429" s="210"/>
      <c r="GC429" s="210"/>
      <c r="GD429" s="210"/>
      <c r="GE429" s="210"/>
      <c r="GF429" s="209"/>
      <c r="GG429" s="210"/>
      <c r="GH429" s="210"/>
      <c r="GI429" s="210"/>
      <c r="GJ429" s="210"/>
    </row>
    <row r="430" spans="1:192" s="93" customFormat="1" ht="12.75" customHeight="1">
      <c r="A430" s="68"/>
      <c r="B430" s="677"/>
      <c r="C430" s="211"/>
      <c r="D430" s="212"/>
      <c r="E430" s="212"/>
      <c r="F430" s="212"/>
      <c r="G430" s="212"/>
      <c r="H430" s="211"/>
      <c r="I430" s="212"/>
      <c r="J430" s="212"/>
      <c r="K430" s="212"/>
      <c r="L430" s="212"/>
      <c r="M430" s="211"/>
      <c r="N430" s="212"/>
      <c r="O430" s="212"/>
      <c r="P430" s="212"/>
      <c r="Q430" s="212"/>
      <c r="R430" s="211"/>
      <c r="S430" s="212"/>
      <c r="T430" s="212"/>
      <c r="U430" s="212"/>
      <c r="V430" s="212"/>
      <c r="W430" s="211"/>
      <c r="X430" s="212"/>
      <c r="Y430" s="212"/>
      <c r="Z430" s="212"/>
      <c r="AA430" s="212"/>
      <c r="AB430" s="211"/>
      <c r="AC430" s="212"/>
      <c r="AD430" s="212"/>
      <c r="AE430" s="212"/>
      <c r="AF430" s="212"/>
      <c r="AG430" s="211"/>
      <c r="AH430" s="212"/>
      <c r="AI430" s="212"/>
      <c r="AJ430" s="212"/>
      <c r="AK430" s="212"/>
      <c r="AL430" s="211"/>
      <c r="AM430" s="212"/>
      <c r="AN430" s="212"/>
      <c r="AO430" s="212"/>
      <c r="AP430" s="212"/>
      <c r="AQ430" s="211"/>
      <c r="AR430" s="212"/>
      <c r="AS430" s="212"/>
      <c r="AT430" s="212"/>
      <c r="AU430" s="212"/>
      <c r="AV430" s="211"/>
      <c r="AW430" s="212"/>
      <c r="AX430" s="212"/>
      <c r="AY430" s="212"/>
      <c r="AZ430" s="212"/>
      <c r="BA430" s="211"/>
      <c r="BB430" s="212"/>
      <c r="BC430" s="212"/>
      <c r="BD430" s="212"/>
      <c r="BE430" s="212"/>
      <c r="BF430" s="211"/>
      <c r="BG430" s="212"/>
      <c r="BH430" s="212"/>
      <c r="BI430" s="212"/>
      <c r="BJ430" s="212"/>
      <c r="BK430" s="211"/>
      <c r="BL430" s="212"/>
      <c r="BM430" s="212"/>
      <c r="BN430" s="212"/>
      <c r="BO430" s="212"/>
      <c r="BP430" s="211"/>
      <c r="BQ430" s="212"/>
      <c r="BR430" s="212"/>
      <c r="BS430" s="212"/>
      <c r="BT430" s="212"/>
      <c r="BU430" s="211"/>
      <c r="BV430" s="212"/>
      <c r="BW430" s="212"/>
      <c r="BX430" s="212"/>
      <c r="BY430" s="212"/>
      <c r="BZ430" s="211"/>
      <c r="CA430" s="212"/>
      <c r="CB430" s="212"/>
      <c r="CC430" s="212"/>
      <c r="CD430" s="212"/>
      <c r="CE430" s="211"/>
      <c r="CF430" s="212"/>
      <c r="CG430" s="212"/>
      <c r="CH430" s="212"/>
      <c r="CI430" s="212"/>
      <c r="CJ430" s="211"/>
      <c r="CK430" s="212"/>
      <c r="CL430" s="212"/>
      <c r="CM430" s="212"/>
      <c r="CN430" s="212"/>
      <c r="CO430" s="211"/>
      <c r="CP430" s="212"/>
      <c r="CQ430" s="212"/>
      <c r="CR430" s="212"/>
      <c r="CS430" s="212"/>
      <c r="CT430" s="211"/>
      <c r="CU430" s="212"/>
      <c r="CV430" s="212"/>
      <c r="CW430" s="212"/>
      <c r="CX430" s="212"/>
      <c r="CY430" s="211"/>
      <c r="CZ430" s="212"/>
      <c r="DA430" s="212"/>
      <c r="DB430" s="212"/>
      <c r="DC430" s="212"/>
      <c r="DD430" s="211"/>
      <c r="DE430" s="212"/>
      <c r="DF430" s="212"/>
      <c r="DG430" s="212"/>
      <c r="DH430" s="212"/>
      <c r="DI430" s="211"/>
      <c r="DJ430" s="212"/>
      <c r="DK430" s="212"/>
      <c r="DL430" s="212"/>
      <c r="DM430" s="212"/>
      <c r="DN430" s="211"/>
      <c r="DO430" s="212"/>
      <c r="DP430" s="212"/>
      <c r="DQ430" s="212"/>
      <c r="DR430" s="212"/>
      <c r="DS430" s="211"/>
      <c r="DT430" s="212"/>
      <c r="DU430" s="212"/>
      <c r="DV430" s="212"/>
      <c r="DW430" s="212"/>
      <c r="DX430" s="211"/>
      <c r="DY430" s="212"/>
      <c r="DZ430" s="212"/>
      <c r="EA430" s="212"/>
      <c r="EB430" s="212"/>
      <c r="EC430" s="211"/>
      <c r="ED430" s="212"/>
      <c r="EE430" s="212"/>
      <c r="EF430" s="212"/>
      <c r="EG430" s="212"/>
      <c r="EH430" s="211"/>
      <c r="EI430" s="212"/>
      <c r="EJ430" s="212"/>
      <c r="EK430" s="212"/>
      <c r="EL430" s="212"/>
      <c r="EM430" s="211"/>
      <c r="EN430" s="212"/>
      <c r="EO430" s="212"/>
      <c r="EP430" s="212"/>
      <c r="EQ430" s="212"/>
      <c r="ER430" s="211"/>
      <c r="ES430" s="212"/>
      <c r="ET430" s="212"/>
      <c r="EU430" s="212"/>
      <c r="EV430" s="212"/>
      <c r="EW430" s="211"/>
      <c r="EX430" s="212"/>
      <c r="EY430" s="212"/>
      <c r="EZ430" s="212"/>
      <c r="FA430" s="212"/>
      <c r="FB430" s="211"/>
      <c r="FC430" s="212"/>
      <c r="FD430" s="212"/>
      <c r="FE430" s="212"/>
      <c r="FF430" s="212"/>
      <c r="FG430" s="211"/>
      <c r="FH430" s="212"/>
      <c r="FI430" s="212"/>
      <c r="FJ430" s="212"/>
      <c r="FK430" s="212"/>
      <c r="FL430" s="211"/>
      <c r="FM430" s="212"/>
      <c r="FN430" s="212"/>
      <c r="FO430" s="212"/>
      <c r="FP430" s="212"/>
      <c r="FQ430" s="211"/>
      <c r="FR430" s="212"/>
      <c r="FS430" s="212"/>
      <c r="FT430" s="212"/>
      <c r="FU430" s="212"/>
      <c r="FV430" s="211"/>
      <c r="FW430" s="212"/>
      <c r="FX430" s="212"/>
      <c r="FY430" s="212"/>
      <c r="FZ430" s="212"/>
      <c r="GA430" s="211"/>
      <c r="GB430" s="212"/>
      <c r="GC430" s="212"/>
      <c r="GD430" s="212"/>
      <c r="GE430" s="212"/>
      <c r="GF430" s="211"/>
      <c r="GG430" s="212"/>
      <c r="GH430" s="212"/>
      <c r="GI430" s="212"/>
      <c r="GJ430" s="212"/>
    </row>
    <row r="437" spans="1:192" s="93" customFormat="1" ht="12.75" customHeight="1">
      <c r="A437" s="68"/>
      <c r="B437" s="677"/>
      <c r="C437" s="139"/>
      <c r="D437" s="105"/>
      <c r="E437" s="105"/>
      <c r="F437" s="105"/>
      <c r="G437" s="105"/>
      <c r="H437" s="139"/>
      <c r="I437" s="105"/>
      <c r="J437" s="105"/>
      <c r="K437" s="105"/>
      <c r="L437" s="105"/>
      <c r="M437" s="139"/>
      <c r="N437" s="105"/>
      <c r="O437" s="105"/>
      <c r="P437" s="105"/>
      <c r="Q437" s="105"/>
      <c r="R437" s="139"/>
      <c r="S437" s="105"/>
      <c r="T437" s="105"/>
      <c r="U437" s="105"/>
      <c r="V437" s="105"/>
      <c r="W437" s="139"/>
      <c r="X437" s="105"/>
      <c r="Y437" s="105"/>
      <c r="Z437" s="105"/>
      <c r="AA437" s="105"/>
      <c r="AB437" s="139"/>
      <c r="AC437" s="105"/>
      <c r="AD437" s="105"/>
      <c r="AE437" s="105"/>
      <c r="AF437" s="105"/>
      <c r="AG437" s="139"/>
      <c r="AH437" s="105"/>
      <c r="AI437" s="105"/>
      <c r="AJ437" s="105"/>
      <c r="AK437" s="105"/>
      <c r="AL437" s="139"/>
      <c r="AM437" s="105"/>
      <c r="AN437" s="105"/>
      <c r="AO437" s="105"/>
      <c r="AP437" s="105"/>
      <c r="AQ437" s="139"/>
      <c r="AR437" s="105"/>
      <c r="AS437" s="105"/>
      <c r="AT437" s="105"/>
      <c r="AU437" s="105"/>
      <c r="AV437" s="139"/>
      <c r="AW437" s="105"/>
      <c r="AX437" s="105"/>
      <c r="AY437" s="105"/>
      <c r="AZ437" s="105"/>
      <c r="BA437" s="139"/>
      <c r="BB437" s="105"/>
      <c r="BC437" s="105"/>
      <c r="BD437" s="105"/>
      <c r="BE437" s="105"/>
      <c r="BF437" s="139"/>
      <c r="BG437" s="105"/>
      <c r="BH437" s="105"/>
      <c r="BI437" s="105"/>
      <c r="BJ437" s="105"/>
      <c r="BK437" s="139"/>
      <c r="BL437" s="105"/>
      <c r="BM437" s="105"/>
      <c r="BN437" s="105"/>
      <c r="BO437" s="105"/>
      <c r="BP437" s="139"/>
      <c r="BQ437" s="105"/>
      <c r="BR437" s="105"/>
      <c r="BS437" s="105"/>
      <c r="BT437" s="105"/>
      <c r="BU437" s="139"/>
      <c r="BV437" s="105"/>
      <c r="BW437" s="105"/>
      <c r="BX437" s="105"/>
      <c r="BY437" s="105"/>
      <c r="BZ437" s="139"/>
      <c r="CA437" s="105"/>
      <c r="CB437" s="105"/>
      <c r="CC437" s="105"/>
      <c r="CD437" s="105"/>
      <c r="CE437" s="139"/>
      <c r="CF437" s="105"/>
      <c r="CG437" s="105"/>
      <c r="CH437" s="105"/>
      <c r="CI437" s="105"/>
      <c r="CJ437" s="139"/>
      <c r="CK437" s="105"/>
      <c r="CL437" s="105"/>
      <c r="CM437" s="105"/>
      <c r="CN437" s="105"/>
      <c r="CO437" s="139"/>
      <c r="CP437" s="105"/>
      <c r="CQ437" s="105"/>
      <c r="CR437" s="105"/>
      <c r="CS437" s="105"/>
      <c r="CT437" s="139"/>
      <c r="CU437" s="105"/>
      <c r="CV437" s="105"/>
      <c r="CW437" s="105"/>
      <c r="CX437" s="105"/>
      <c r="CY437" s="139"/>
      <c r="CZ437" s="105"/>
      <c r="DA437" s="105"/>
      <c r="DB437" s="105"/>
      <c r="DC437" s="105"/>
      <c r="DD437" s="139"/>
      <c r="DE437" s="105"/>
      <c r="DF437" s="105"/>
      <c r="DG437" s="105"/>
      <c r="DH437" s="105"/>
      <c r="DI437" s="139"/>
      <c r="DJ437" s="105"/>
      <c r="DK437" s="105"/>
      <c r="DL437" s="105"/>
      <c r="DM437" s="105"/>
      <c r="DN437" s="139"/>
      <c r="DO437" s="105"/>
      <c r="DP437" s="105"/>
      <c r="DQ437" s="105"/>
      <c r="DR437" s="105"/>
      <c r="DS437" s="139"/>
      <c r="DT437" s="105"/>
      <c r="DU437" s="105"/>
      <c r="DV437" s="105"/>
      <c r="DW437" s="105"/>
      <c r="DX437" s="139"/>
      <c r="DY437" s="105"/>
      <c r="DZ437" s="105"/>
      <c r="EA437" s="105"/>
      <c r="EB437" s="105"/>
      <c r="EC437" s="139"/>
      <c r="ED437" s="105"/>
      <c r="EE437" s="105"/>
      <c r="EF437" s="105"/>
      <c r="EG437" s="105"/>
      <c r="EH437" s="139"/>
      <c r="EI437" s="105"/>
      <c r="EJ437" s="105"/>
      <c r="EK437" s="105"/>
      <c r="EL437" s="105"/>
      <c r="EM437" s="139"/>
      <c r="EN437" s="105"/>
      <c r="EO437" s="105"/>
      <c r="EP437" s="105"/>
      <c r="EQ437" s="105"/>
      <c r="ER437" s="139"/>
      <c r="ES437" s="105"/>
      <c r="ET437" s="105"/>
      <c r="EU437" s="105"/>
      <c r="EV437" s="105"/>
      <c r="EW437" s="139"/>
      <c r="EX437" s="105"/>
      <c r="EY437" s="105"/>
      <c r="EZ437" s="105"/>
      <c r="FA437" s="105"/>
      <c r="FB437" s="139"/>
      <c r="FC437" s="105"/>
      <c r="FD437" s="105"/>
      <c r="FE437" s="105"/>
      <c r="FF437" s="105"/>
      <c r="FG437" s="139"/>
      <c r="FH437" s="105"/>
      <c r="FI437" s="105"/>
      <c r="FJ437" s="105"/>
      <c r="FK437" s="105"/>
      <c r="FL437" s="139"/>
      <c r="FM437" s="105"/>
      <c r="FN437" s="105"/>
      <c r="FO437" s="105"/>
      <c r="FP437" s="105"/>
      <c r="FQ437" s="139"/>
      <c r="FR437" s="105"/>
      <c r="FS437" s="105"/>
      <c r="FT437" s="105"/>
      <c r="FU437" s="105"/>
      <c r="FV437" s="139"/>
      <c r="FW437" s="105"/>
      <c r="FX437" s="105"/>
      <c r="FY437" s="105"/>
      <c r="FZ437" s="105"/>
      <c r="GA437" s="139"/>
      <c r="GB437" s="105"/>
      <c r="GC437" s="105"/>
      <c r="GD437" s="105"/>
      <c r="GE437" s="105"/>
      <c r="GF437" s="139"/>
      <c r="GG437" s="105"/>
      <c r="GH437" s="105"/>
      <c r="GI437" s="105"/>
      <c r="GJ437" s="105"/>
    </row>
    <row r="438" spans="1:192" s="93" customFormat="1" ht="12.75" customHeight="1">
      <c r="A438" s="68"/>
      <c r="B438" s="677"/>
      <c r="C438" s="139"/>
      <c r="D438" s="105"/>
      <c r="E438" s="105"/>
      <c r="F438" s="105"/>
      <c r="G438" s="105"/>
      <c r="H438" s="139"/>
      <c r="I438" s="105"/>
      <c r="J438" s="105"/>
      <c r="K438" s="105"/>
      <c r="L438" s="105"/>
      <c r="M438" s="139"/>
      <c r="N438" s="105"/>
      <c r="O438" s="105"/>
      <c r="P438" s="105"/>
      <c r="Q438" s="105"/>
      <c r="R438" s="139"/>
      <c r="S438" s="105"/>
      <c r="T438" s="105"/>
      <c r="U438" s="105"/>
      <c r="V438" s="105"/>
      <c r="W438" s="139"/>
      <c r="X438" s="105"/>
      <c r="Y438" s="105"/>
      <c r="Z438" s="105"/>
      <c r="AA438" s="105"/>
      <c r="AB438" s="139"/>
      <c r="AC438" s="105"/>
      <c r="AD438" s="105"/>
      <c r="AE438" s="105"/>
      <c r="AF438" s="105"/>
      <c r="AG438" s="139"/>
      <c r="AH438" s="105"/>
      <c r="AI438" s="105"/>
      <c r="AJ438" s="105"/>
      <c r="AK438" s="105"/>
      <c r="AL438" s="139"/>
      <c r="AM438" s="105"/>
      <c r="AN438" s="105"/>
      <c r="AO438" s="105"/>
      <c r="AP438" s="105"/>
      <c r="AQ438" s="139"/>
      <c r="AR438" s="105"/>
      <c r="AS438" s="105"/>
      <c r="AT438" s="105"/>
      <c r="AU438" s="105"/>
      <c r="AV438" s="139"/>
      <c r="AW438" s="105"/>
      <c r="AX438" s="105"/>
      <c r="AY438" s="105"/>
      <c r="AZ438" s="105"/>
      <c r="BA438" s="139"/>
      <c r="BB438" s="105"/>
      <c r="BC438" s="105"/>
      <c r="BD438" s="105"/>
      <c r="BE438" s="105"/>
      <c r="BF438" s="139"/>
      <c r="BG438" s="105"/>
      <c r="BH438" s="105"/>
      <c r="BI438" s="105"/>
      <c r="BJ438" s="105"/>
      <c r="BK438" s="139"/>
      <c r="BL438" s="105"/>
      <c r="BM438" s="105"/>
      <c r="BN438" s="105"/>
      <c r="BO438" s="105"/>
      <c r="BP438" s="139"/>
      <c r="BQ438" s="105"/>
      <c r="BR438" s="105"/>
      <c r="BS438" s="105"/>
      <c r="BT438" s="105"/>
      <c r="BU438" s="139"/>
      <c r="BV438" s="105"/>
      <c r="BW438" s="105"/>
      <c r="BX438" s="105"/>
      <c r="BY438" s="105"/>
      <c r="BZ438" s="139"/>
      <c r="CA438" s="105"/>
      <c r="CB438" s="105"/>
      <c r="CC438" s="105"/>
      <c r="CD438" s="105"/>
      <c r="CE438" s="139"/>
      <c r="CF438" s="105"/>
      <c r="CG438" s="105"/>
      <c r="CH438" s="105"/>
      <c r="CI438" s="105"/>
      <c r="CJ438" s="139"/>
      <c r="CK438" s="105"/>
      <c r="CL438" s="105"/>
      <c r="CM438" s="105"/>
      <c r="CN438" s="105"/>
      <c r="CO438" s="139"/>
      <c r="CP438" s="105"/>
      <c r="CQ438" s="105"/>
      <c r="CR438" s="105"/>
      <c r="CS438" s="105"/>
      <c r="CT438" s="139"/>
      <c r="CU438" s="105"/>
      <c r="CV438" s="105"/>
      <c r="CW438" s="105"/>
      <c r="CX438" s="105"/>
      <c r="CY438" s="139"/>
      <c r="CZ438" s="105"/>
      <c r="DA438" s="105"/>
      <c r="DB438" s="105"/>
      <c r="DC438" s="105"/>
      <c r="DD438" s="139"/>
      <c r="DE438" s="105"/>
      <c r="DF438" s="105"/>
      <c r="DG438" s="105"/>
      <c r="DH438" s="105"/>
      <c r="DI438" s="139"/>
      <c r="DJ438" s="105"/>
      <c r="DK438" s="105"/>
      <c r="DL438" s="105"/>
      <c r="DM438" s="105"/>
      <c r="DN438" s="139"/>
      <c r="DO438" s="105"/>
      <c r="DP438" s="105"/>
      <c r="DQ438" s="105"/>
      <c r="DR438" s="105"/>
      <c r="DS438" s="139"/>
      <c r="DT438" s="105"/>
      <c r="DU438" s="105"/>
      <c r="DV438" s="105"/>
      <c r="DW438" s="105"/>
      <c r="DX438" s="139"/>
      <c r="DY438" s="105"/>
      <c r="DZ438" s="105"/>
      <c r="EA438" s="105"/>
      <c r="EB438" s="105"/>
      <c r="EC438" s="139"/>
      <c r="ED438" s="105"/>
      <c r="EE438" s="105"/>
      <c r="EF438" s="105"/>
      <c r="EG438" s="105"/>
      <c r="EH438" s="139"/>
      <c r="EI438" s="105"/>
      <c r="EJ438" s="105"/>
      <c r="EK438" s="105"/>
      <c r="EL438" s="105"/>
      <c r="EM438" s="139"/>
      <c r="EN438" s="105"/>
      <c r="EO438" s="105"/>
      <c r="EP438" s="105"/>
      <c r="EQ438" s="105"/>
      <c r="ER438" s="139"/>
      <c r="ES438" s="105"/>
      <c r="ET438" s="105"/>
      <c r="EU438" s="105"/>
      <c r="EV438" s="105"/>
      <c r="EW438" s="139"/>
      <c r="EX438" s="105"/>
      <c r="EY438" s="105"/>
      <c r="EZ438" s="105"/>
      <c r="FA438" s="105"/>
      <c r="FB438" s="139"/>
      <c r="FC438" s="105"/>
      <c r="FD438" s="105"/>
      <c r="FE438" s="105"/>
      <c r="FF438" s="105"/>
      <c r="FG438" s="139"/>
      <c r="FH438" s="105"/>
      <c r="FI438" s="105"/>
      <c r="FJ438" s="105"/>
      <c r="FK438" s="105"/>
      <c r="FL438" s="139"/>
      <c r="FM438" s="105"/>
      <c r="FN438" s="105"/>
      <c r="FO438" s="105"/>
      <c r="FP438" s="105"/>
      <c r="FQ438" s="139"/>
      <c r="FR438" s="105"/>
      <c r="FS438" s="105"/>
      <c r="FT438" s="105"/>
      <c r="FU438" s="105"/>
      <c r="FV438" s="139"/>
      <c r="FW438" s="105"/>
      <c r="FX438" s="105"/>
      <c r="FY438" s="105"/>
      <c r="FZ438" s="105"/>
      <c r="GA438" s="139"/>
      <c r="GB438" s="105"/>
      <c r="GC438" s="105"/>
      <c r="GD438" s="105"/>
      <c r="GE438" s="105"/>
      <c r="GF438" s="139"/>
      <c r="GG438" s="105"/>
      <c r="GH438" s="105"/>
      <c r="GI438" s="105"/>
      <c r="GJ438" s="105"/>
    </row>
    <row r="440" spans="1:192" s="93" customFormat="1" ht="12.75" customHeight="1">
      <c r="A440" s="68"/>
      <c r="B440" s="677"/>
      <c r="C440" s="139"/>
      <c r="D440" s="105"/>
      <c r="E440" s="105"/>
      <c r="F440" s="105"/>
      <c r="G440" s="105"/>
      <c r="H440" s="139"/>
      <c r="I440" s="105"/>
      <c r="J440" s="105"/>
      <c r="K440" s="105"/>
      <c r="L440" s="105"/>
      <c r="M440" s="139"/>
      <c r="N440" s="105"/>
      <c r="O440" s="105"/>
      <c r="P440" s="105"/>
      <c r="Q440" s="105"/>
      <c r="R440" s="139"/>
      <c r="S440" s="105"/>
      <c r="T440" s="105"/>
      <c r="U440" s="105"/>
      <c r="V440" s="105"/>
      <c r="W440" s="139"/>
      <c r="X440" s="105"/>
      <c r="Y440" s="105"/>
      <c r="Z440" s="105"/>
      <c r="AA440" s="105"/>
      <c r="AB440" s="139"/>
      <c r="AC440" s="105"/>
      <c r="AD440" s="105"/>
      <c r="AE440" s="105"/>
      <c r="AF440" s="105"/>
      <c r="AG440" s="139"/>
      <c r="AH440" s="105"/>
      <c r="AI440" s="105"/>
      <c r="AJ440" s="105"/>
      <c r="AK440" s="105"/>
      <c r="AL440" s="139"/>
      <c r="AM440" s="105"/>
      <c r="AN440" s="105"/>
      <c r="AO440" s="105"/>
      <c r="AP440" s="105"/>
      <c r="AQ440" s="139"/>
      <c r="AR440" s="105"/>
      <c r="AS440" s="105"/>
      <c r="AT440" s="105"/>
      <c r="AU440" s="105"/>
      <c r="AV440" s="139"/>
      <c r="AW440" s="105"/>
      <c r="AX440" s="105"/>
      <c r="AY440" s="105"/>
      <c r="AZ440" s="105"/>
      <c r="BA440" s="139"/>
      <c r="BB440" s="105"/>
      <c r="BC440" s="105"/>
      <c r="BD440" s="105"/>
      <c r="BE440" s="105"/>
      <c r="BF440" s="139"/>
      <c r="BG440" s="105"/>
      <c r="BH440" s="105"/>
      <c r="BI440" s="105"/>
      <c r="BJ440" s="105"/>
      <c r="BK440" s="139"/>
      <c r="BL440" s="105"/>
      <c r="BM440" s="105"/>
      <c r="BN440" s="105"/>
      <c r="BO440" s="105"/>
      <c r="BP440" s="139"/>
      <c r="BQ440" s="105"/>
      <c r="BR440" s="105"/>
      <c r="BS440" s="105"/>
      <c r="BT440" s="105"/>
      <c r="BU440" s="139"/>
      <c r="BV440" s="105"/>
      <c r="BW440" s="105"/>
      <c r="BX440" s="105"/>
      <c r="BY440" s="105"/>
      <c r="BZ440" s="139"/>
      <c r="CA440" s="105"/>
      <c r="CB440" s="105"/>
      <c r="CC440" s="105"/>
      <c r="CD440" s="105"/>
      <c r="CE440" s="139"/>
      <c r="CF440" s="105"/>
      <c r="CG440" s="105"/>
      <c r="CH440" s="105"/>
      <c r="CI440" s="105"/>
      <c r="CJ440" s="139"/>
      <c r="CK440" s="105"/>
      <c r="CL440" s="105"/>
      <c r="CM440" s="105"/>
      <c r="CN440" s="105"/>
      <c r="CO440" s="139"/>
      <c r="CP440" s="105"/>
      <c r="CQ440" s="105"/>
      <c r="CR440" s="105"/>
      <c r="CS440" s="105"/>
      <c r="CT440" s="139"/>
      <c r="CU440" s="105"/>
      <c r="CV440" s="105"/>
      <c r="CW440" s="105"/>
      <c r="CX440" s="105"/>
      <c r="CY440" s="139"/>
      <c r="CZ440" s="105"/>
      <c r="DA440" s="105"/>
      <c r="DB440" s="105"/>
      <c r="DC440" s="105"/>
      <c r="DD440" s="139"/>
      <c r="DE440" s="105"/>
      <c r="DF440" s="105"/>
      <c r="DG440" s="105"/>
      <c r="DH440" s="105"/>
      <c r="DI440" s="139"/>
      <c r="DJ440" s="105"/>
      <c r="DK440" s="105"/>
      <c r="DL440" s="105"/>
      <c r="DM440" s="105"/>
      <c r="DN440" s="139"/>
      <c r="DO440" s="105"/>
      <c r="DP440" s="105"/>
      <c r="DQ440" s="105"/>
      <c r="DR440" s="105"/>
      <c r="DS440" s="139"/>
      <c r="DT440" s="105"/>
      <c r="DU440" s="105"/>
      <c r="DV440" s="105"/>
      <c r="DW440" s="105"/>
      <c r="DX440" s="139"/>
      <c r="DY440" s="105"/>
      <c r="DZ440" s="105"/>
      <c r="EA440" s="105"/>
      <c r="EB440" s="105"/>
      <c r="EC440" s="139"/>
      <c r="ED440" s="105"/>
      <c r="EE440" s="105"/>
      <c r="EF440" s="105"/>
      <c r="EG440" s="105"/>
      <c r="EH440" s="139"/>
      <c r="EI440" s="105"/>
      <c r="EJ440" s="105"/>
      <c r="EK440" s="105"/>
      <c r="EL440" s="105"/>
      <c r="EM440" s="139"/>
      <c r="EN440" s="105"/>
      <c r="EO440" s="105"/>
      <c r="EP440" s="105"/>
      <c r="EQ440" s="105"/>
      <c r="ER440" s="139"/>
      <c r="ES440" s="105"/>
      <c r="ET440" s="105"/>
      <c r="EU440" s="105"/>
      <c r="EV440" s="105"/>
      <c r="EW440" s="139"/>
      <c r="EX440" s="105"/>
      <c r="EY440" s="105"/>
      <c r="EZ440" s="105"/>
      <c r="FA440" s="105"/>
      <c r="FB440" s="139"/>
      <c r="FC440" s="105"/>
      <c r="FD440" s="105"/>
      <c r="FE440" s="105"/>
      <c r="FF440" s="105"/>
      <c r="FG440" s="139"/>
      <c r="FH440" s="105"/>
      <c r="FI440" s="105"/>
      <c r="FJ440" s="105"/>
      <c r="FK440" s="105"/>
      <c r="FL440" s="139"/>
      <c r="FM440" s="105"/>
      <c r="FN440" s="105"/>
      <c r="FO440" s="105"/>
      <c r="FP440" s="105"/>
      <c r="FQ440" s="139"/>
      <c r="FR440" s="105"/>
      <c r="FS440" s="105"/>
      <c r="FT440" s="105"/>
      <c r="FU440" s="105"/>
      <c r="FV440" s="139"/>
      <c r="FW440" s="105"/>
      <c r="FX440" s="105"/>
      <c r="FY440" s="105"/>
      <c r="FZ440" s="105"/>
      <c r="GA440" s="139"/>
      <c r="GB440" s="105"/>
      <c r="GC440" s="105"/>
      <c r="GD440" s="105"/>
      <c r="GE440" s="105"/>
      <c r="GF440" s="139"/>
      <c r="GG440" s="105"/>
      <c r="GH440" s="105"/>
      <c r="GI440" s="105"/>
      <c r="GJ440" s="105"/>
    </row>
    <row r="441" spans="1:192" s="93" customFormat="1" ht="12.75" customHeight="1">
      <c r="A441" s="68"/>
      <c r="B441" s="677"/>
      <c r="C441" s="139"/>
      <c r="D441" s="105"/>
      <c r="E441" s="105"/>
      <c r="F441" s="105"/>
      <c r="G441" s="105"/>
      <c r="H441" s="139"/>
      <c r="I441" s="105"/>
      <c r="J441" s="105"/>
      <c r="K441" s="105"/>
      <c r="L441" s="105"/>
      <c r="M441" s="139"/>
      <c r="N441" s="105"/>
      <c r="O441" s="105"/>
      <c r="P441" s="105"/>
      <c r="Q441" s="105"/>
      <c r="R441" s="139"/>
      <c r="S441" s="105"/>
      <c r="T441" s="105"/>
      <c r="U441" s="105"/>
      <c r="V441" s="105"/>
      <c r="W441" s="139"/>
      <c r="X441" s="105"/>
      <c r="Y441" s="105"/>
      <c r="Z441" s="105"/>
      <c r="AA441" s="105"/>
      <c r="AB441" s="139"/>
      <c r="AC441" s="105"/>
      <c r="AD441" s="105"/>
      <c r="AE441" s="105"/>
      <c r="AF441" s="105"/>
      <c r="AG441" s="139"/>
      <c r="AH441" s="105"/>
      <c r="AI441" s="105"/>
      <c r="AJ441" s="105"/>
      <c r="AK441" s="105"/>
      <c r="AL441" s="139"/>
      <c r="AM441" s="105"/>
      <c r="AN441" s="105"/>
      <c r="AO441" s="105"/>
      <c r="AP441" s="105"/>
      <c r="AQ441" s="139"/>
      <c r="AR441" s="105"/>
      <c r="AS441" s="105"/>
      <c r="AT441" s="105"/>
      <c r="AU441" s="105"/>
      <c r="AV441" s="139"/>
      <c r="AW441" s="105"/>
      <c r="AX441" s="105"/>
      <c r="AY441" s="105"/>
      <c r="AZ441" s="105"/>
      <c r="BA441" s="139"/>
      <c r="BB441" s="105"/>
      <c r="BC441" s="105"/>
      <c r="BD441" s="105"/>
      <c r="BE441" s="105"/>
      <c r="BF441" s="139"/>
      <c r="BG441" s="105"/>
      <c r="BH441" s="105"/>
      <c r="BI441" s="105"/>
      <c r="BJ441" s="105"/>
      <c r="BK441" s="139"/>
      <c r="BL441" s="105"/>
      <c r="BM441" s="105"/>
      <c r="BN441" s="105"/>
      <c r="BO441" s="105"/>
      <c r="BP441" s="139"/>
      <c r="BQ441" s="105"/>
      <c r="BR441" s="105"/>
      <c r="BS441" s="105"/>
      <c r="BT441" s="105"/>
      <c r="BU441" s="139"/>
      <c r="BV441" s="105"/>
      <c r="BW441" s="105"/>
      <c r="BX441" s="105"/>
      <c r="BY441" s="105"/>
      <c r="BZ441" s="139"/>
      <c r="CA441" s="105"/>
      <c r="CB441" s="105"/>
      <c r="CC441" s="105"/>
      <c r="CD441" s="105"/>
      <c r="CE441" s="139"/>
      <c r="CF441" s="105"/>
      <c r="CG441" s="105"/>
      <c r="CH441" s="105"/>
      <c r="CI441" s="105"/>
      <c r="CJ441" s="139"/>
      <c r="CK441" s="105"/>
      <c r="CL441" s="105"/>
      <c r="CM441" s="105"/>
      <c r="CN441" s="105"/>
      <c r="CO441" s="139"/>
      <c r="CP441" s="105"/>
      <c r="CQ441" s="105"/>
      <c r="CR441" s="105"/>
      <c r="CS441" s="105"/>
      <c r="CT441" s="139"/>
      <c r="CU441" s="105"/>
      <c r="CV441" s="105"/>
      <c r="CW441" s="105"/>
      <c r="CX441" s="105"/>
      <c r="CY441" s="139"/>
      <c r="CZ441" s="105"/>
      <c r="DA441" s="105"/>
      <c r="DB441" s="105"/>
      <c r="DC441" s="105"/>
      <c r="DD441" s="139"/>
      <c r="DE441" s="105"/>
      <c r="DF441" s="105"/>
      <c r="DG441" s="105"/>
      <c r="DH441" s="105"/>
      <c r="DI441" s="139"/>
      <c r="DJ441" s="105"/>
      <c r="DK441" s="105"/>
      <c r="DL441" s="105"/>
      <c r="DM441" s="105"/>
      <c r="DN441" s="139"/>
      <c r="DO441" s="105"/>
      <c r="DP441" s="105"/>
      <c r="DQ441" s="105"/>
      <c r="DR441" s="105"/>
      <c r="DS441" s="139"/>
      <c r="DT441" s="105"/>
      <c r="DU441" s="105"/>
      <c r="DV441" s="105"/>
      <c r="DW441" s="105"/>
      <c r="DX441" s="139"/>
      <c r="DY441" s="105"/>
      <c r="DZ441" s="105"/>
      <c r="EA441" s="105"/>
      <c r="EB441" s="105"/>
      <c r="EC441" s="139"/>
      <c r="ED441" s="105"/>
      <c r="EE441" s="105"/>
      <c r="EF441" s="105"/>
      <c r="EG441" s="105"/>
      <c r="EH441" s="139"/>
      <c r="EI441" s="105"/>
      <c r="EJ441" s="105"/>
      <c r="EK441" s="105"/>
      <c r="EL441" s="105"/>
      <c r="EM441" s="139"/>
      <c r="EN441" s="105"/>
      <c r="EO441" s="105"/>
      <c r="EP441" s="105"/>
      <c r="EQ441" s="105"/>
      <c r="ER441" s="139"/>
      <c r="ES441" s="105"/>
      <c r="ET441" s="105"/>
      <c r="EU441" s="105"/>
      <c r="EV441" s="105"/>
      <c r="EW441" s="139"/>
      <c r="EX441" s="105"/>
      <c r="EY441" s="105"/>
      <c r="EZ441" s="105"/>
      <c r="FA441" s="105"/>
      <c r="FB441" s="139"/>
      <c r="FC441" s="105"/>
      <c r="FD441" s="105"/>
      <c r="FE441" s="105"/>
      <c r="FF441" s="105"/>
      <c r="FG441" s="139"/>
      <c r="FH441" s="105"/>
      <c r="FI441" s="105"/>
      <c r="FJ441" s="105"/>
      <c r="FK441" s="105"/>
      <c r="FL441" s="139"/>
      <c r="FM441" s="105"/>
      <c r="FN441" s="105"/>
      <c r="FO441" s="105"/>
      <c r="FP441" s="105"/>
      <c r="FQ441" s="139"/>
      <c r="FR441" s="105"/>
      <c r="FS441" s="105"/>
      <c r="FT441" s="105"/>
      <c r="FU441" s="105"/>
      <c r="FV441" s="139"/>
      <c r="FW441" s="105"/>
      <c r="FX441" s="105"/>
      <c r="FY441" s="105"/>
      <c r="FZ441" s="105"/>
      <c r="GA441" s="139"/>
      <c r="GB441" s="105"/>
      <c r="GC441" s="105"/>
      <c r="GD441" s="105"/>
      <c r="GE441" s="105"/>
      <c r="GF441" s="139"/>
      <c r="GG441" s="105"/>
      <c r="GH441" s="105"/>
      <c r="GI441" s="105"/>
      <c r="GJ441" s="105"/>
    </row>
    <row r="442" spans="1:192" s="93" customFormat="1" ht="12.75" customHeight="1">
      <c r="A442" s="68"/>
      <c r="B442" s="677"/>
      <c r="C442" s="213"/>
      <c r="D442" s="214"/>
      <c r="E442" s="214"/>
      <c r="F442" s="214"/>
      <c r="G442" s="214"/>
      <c r="H442" s="213"/>
      <c r="I442" s="214"/>
      <c r="J442" s="214"/>
      <c r="K442" s="214"/>
      <c r="L442" s="214"/>
      <c r="M442" s="213"/>
      <c r="N442" s="214"/>
      <c r="O442" s="214"/>
      <c r="P442" s="214"/>
      <c r="Q442" s="214"/>
      <c r="R442" s="213"/>
      <c r="S442" s="214"/>
      <c r="T442" s="214"/>
      <c r="U442" s="214"/>
      <c r="V442" s="214"/>
      <c r="W442" s="213"/>
      <c r="X442" s="214"/>
      <c r="Y442" s="214"/>
      <c r="Z442" s="214"/>
      <c r="AA442" s="214"/>
      <c r="AB442" s="213"/>
      <c r="AC442" s="214"/>
      <c r="AD442" s="214"/>
      <c r="AE442" s="214"/>
      <c r="AF442" s="214"/>
      <c r="AG442" s="213"/>
      <c r="AH442" s="214"/>
      <c r="AI442" s="214"/>
      <c r="AJ442" s="214"/>
      <c r="AK442" s="214"/>
      <c r="AL442" s="213"/>
      <c r="AM442" s="214"/>
      <c r="AN442" s="214"/>
      <c r="AO442" s="214"/>
      <c r="AP442" s="214"/>
      <c r="AQ442" s="213"/>
      <c r="AR442" s="214"/>
      <c r="AS442" s="214"/>
      <c r="AT442" s="214"/>
      <c r="AU442" s="214"/>
      <c r="AV442" s="213"/>
      <c r="AW442" s="214"/>
      <c r="AX442" s="214"/>
      <c r="AY442" s="214"/>
      <c r="AZ442" s="214"/>
      <c r="BA442" s="213"/>
      <c r="BB442" s="214"/>
      <c r="BC442" s="214"/>
      <c r="BD442" s="214"/>
      <c r="BE442" s="214"/>
      <c r="BF442" s="213"/>
      <c r="BG442" s="214"/>
      <c r="BH442" s="214"/>
      <c r="BI442" s="214"/>
      <c r="BJ442" s="214"/>
      <c r="BK442" s="213"/>
      <c r="BL442" s="214"/>
      <c r="BM442" s="214"/>
      <c r="BN442" s="214"/>
      <c r="BO442" s="214"/>
      <c r="BP442" s="213"/>
      <c r="BQ442" s="214"/>
      <c r="BR442" s="214"/>
      <c r="BS442" s="214"/>
      <c r="BT442" s="214"/>
      <c r="BU442" s="213"/>
      <c r="BV442" s="214"/>
      <c r="BW442" s="214"/>
      <c r="BX442" s="214"/>
      <c r="BY442" s="214"/>
      <c r="BZ442" s="213"/>
      <c r="CA442" s="214"/>
      <c r="CB442" s="214"/>
      <c r="CC442" s="214"/>
      <c r="CD442" s="214"/>
      <c r="CE442" s="213"/>
      <c r="CF442" s="214"/>
      <c r="CG442" s="214"/>
      <c r="CH442" s="214"/>
      <c r="CI442" s="214"/>
      <c r="CJ442" s="213"/>
      <c r="CK442" s="214"/>
      <c r="CL442" s="214"/>
      <c r="CM442" s="214"/>
      <c r="CN442" s="214"/>
      <c r="CO442" s="213"/>
      <c r="CP442" s="214"/>
      <c r="CQ442" s="214"/>
      <c r="CR442" s="214"/>
      <c r="CS442" s="214"/>
      <c r="CT442" s="213"/>
      <c r="CU442" s="214"/>
      <c r="CV442" s="214"/>
      <c r="CW442" s="214"/>
      <c r="CX442" s="214"/>
      <c r="CY442" s="213"/>
      <c r="CZ442" s="214"/>
      <c r="DA442" s="214"/>
      <c r="DB442" s="214"/>
      <c r="DC442" s="214"/>
      <c r="DD442" s="213"/>
      <c r="DE442" s="214"/>
      <c r="DF442" s="214"/>
      <c r="DG442" s="214"/>
      <c r="DH442" s="214"/>
      <c r="DI442" s="213"/>
      <c r="DJ442" s="214"/>
      <c r="DK442" s="214"/>
      <c r="DL442" s="214"/>
      <c r="DM442" s="214"/>
      <c r="DN442" s="213"/>
      <c r="DO442" s="214"/>
      <c r="DP442" s="214"/>
      <c r="DQ442" s="214"/>
      <c r="DR442" s="214"/>
      <c r="DS442" s="213"/>
      <c r="DT442" s="214"/>
      <c r="DU442" s="214"/>
      <c r="DV442" s="214"/>
      <c r="DW442" s="214"/>
      <c r="DX442" s="213"/>
      <c r="DY442" s="214"/>
      <c r="DZ442" s="214"/>
      <c r="EA442" s="214"/>
      <c r="EB442" s="214"/>
      <c r="EC442" s="213"/>
      <c r="ED442" s="214"/>
      <c r="EE442" s="214"/>
      <c r="EF442" s="214"/>
      <c r="EG442" s="214"/>
      <c r="EH442" s="213"/>
      <c r="EI442" s="214"/>
      <c r="EJ442" s="214"/>
      <c r="EK442" s="214"/>
      <c r="EL442" s="214"/>
      <c r="EM442" s="213"/>
      <c r="EN442" s="214"/>
      <c r="EO442" s="214"/>
      <c r="EP442" s="214"/>
      <c r="EQ442" s="214"/>
      <c r="ER442" s="213"/>
      <c r="ES442" s="214"/>
      <c r="ET442" s="214"/>
      <c r="EU442" s="214"/>
      <c r="EV442" s="214"/>
      <c r="EW442" s="213"/>
      <c r="EX442" s="214"/>
      <c r="EY442" s="214"/>
      <c r="EZ442" s="214"/>
      <c r="FA442" s="214"/>
      <c r="FB442" s="213"/>
      <c r="FC442" s="214"/>
      <c r="FD442" s="214"/>
      <c r="FE442" s="214"/>
      <c r="FF442" s="214"/>
      <c r="FG442" s="213"/>
      <c r="FH442" s="214"/>
      <c r="FI442" s="214"/>
      <c r="FJ442" s="214"/>
      <c r="FK442" s="214"/>
      <c r="FL442" s="213"/>
      <c r="FM442" s="214"/>
      <c r="FN442" s="214"/>
      <c r="FO442" s="214"/>
      <c r="FP442" s="214"/>
      <c r="FQ442" s="213"/>
      <c r="FR442" s="214"/>
      <c r="FS442" s="214"/>
      <c r="FT442" s="214"/>
      <c r="FU442" s="214"/>
      <c r="FV442" s="213"/>
      <c r="FW442" s="214"/>
      <c r="FX442" s="214"/>
      <c r="FY442" s="214"/>
      <c r="FZ442" s="214"/>
      <c r="GA442" s="213"/>
      <c r="GB442" s="214"/>
      <c r="GC442" s="214"/>
      <c r="GD442" s="214"/>
      <c r="GE442" s="214"/>
      <c r="GF442" s="213"/>
      <c r="GG442" s="214"/>
      <c r="GH442" s="214"/>
      <c r="GI442" s="214"/>
      <c r="GJ442" s="214"/>
    </row>
    <row r="443" spans="1:192" s="93" customFormat="1" ht="12.75" customHeight="1">
      <c r="A443" s="68"/>
      <c r="B443" s="677"/>
      <c r="C443" s="139"/>
      <c r="D443" s="105"/>
      <c r="E443" s="105"/>
      <c r="F443" s="105"/>
      <c r="G443" s="105"/>
      <c r="H443" s="139"/>
      <c r="I443" s="105"/>
      <c r="J443" s="105"/>
      <c r="K443" s="105"/>
      <c r="L443" s="105"/>
      <c r="M443" s="139"/>
      <c r="N443" s="105"/>
      <c r="O443" s="105"/>
      <c r="P443" s="105"/>
      <c r="Q443" s="105"/>
      <c r="R443" s="139"/>
      <c r="S443" s="105"/>
      <c r="T443" s="105"/>
      <c r="U443" s="105"/>
      <c r="V443" s="105"/>
      <c r="W443" s="139"/>
      <c r="X443" s="105"/>
      <c r="Y443" s="105"/>
      <c r="Z443" s="105"/>
      <c r="AA443" s="105"/>
      <c r="AB443" s="139"/>
      <c r="AC443" s="105"/>
      <c r="AD443" s="105"/>
      <c r="AE443" s="105"/>
      <c r="AF443" s="105"/>
      <c r="AG443" s="139"/>
      <c r="AH443" s="105"/>
      <c r="AI443" s="105"/>
      <c r="AJ443" s="105"/>
      <c r="AK443" s="105"/>
      <c r="AL443" s="139"/>
      <c r="AM443" s="105"/>
      <c r="AN443" s="105"/>
      <c r="AO443" s="105"/>
      <c r="AP443" s="105"/>
      <c r="AQ443" s="139"/>
      <c r="AR443" s="105"/>
      <c r="AS443" s="105"/>
      <c r="AT443" s="105"/>
      <c r="AU443" s="105"/>
      <c r="AV443" s="139"/>
      <c r="AW443" s="105"/>
      <c r="AX443" s="105"/>
      <c r="AY443" s="105"/>
      <c r="AZ443" s="105"/>
      <c r="BA443" s="139"/>
      <c r="BB443" s="105"/>
      <c r="BC443" s="105"/>
      <c r="BD443" s="105"/>
      <c r="BE443" s="105"/>
      <c r="BF443" s="139"/>
      <c r="BG443" s="105"/>
      <c r="BH443" s="105"/>
      <c r="BI443" s="105"/>
      <c r="BJ443" s="105"/>
      <c r="BK443" s="139"/>
      <c r="BL443" s="105"/>
      <c r="BM443" s="105"/>
      <c r="BN443" s="105"/>
      <c r="BO443" s="105"/>
      <c r="BP443" s="139"/>
      <c r="BQ443" s="105"/>
      <c r="BR443" s="105"/>
      <c r="BS443" s="105"/>
      <c r="BT443" s="105"/>
      <c r="BU443" s="139"/>
      <c r="BV443" s="105"/>
      <c r="BW443" s="105"/>
      <c r="BX443" s="105"/>
      <c r="BY443" s="105"/>
      <c r="BZ443" s="139"/>
      <c r="CA443" s="105"/>
      <c r="CB443" s="105"/>
      <c r="CC443" s="105"/>
      <c r="CD443" s="105"/>
      <c r="CE443" s="139"/>
      <c r="CF443" s="105"/>
      <c r="CG443" s="105"/>
      <c r="CH443" s="105"/>
      <c r="CI443" s="105"/>
      <c r="CJ443" s="139"/>
      <c r="CK443" s="105"/>
      <c r="CL443" s="105"/>
      <c r="CM443" s="105"/>
      <c r="CN443" s="105"/>
      <c r="CO443" s="139"/>
      <c r="CP443" s="105"/>
      <c r="CQ443" s="105"/>
      <c r="CR443" s="105"/>
      <c r="CS443" s="105"/>
      <c r="CT443" s="139"/>
      <c r="CU443" s="105"/>
      <c r="CV443" s="105"/>
      <c r="CW443" s="105"/>
      <c r="CX443" s="105"/>
      <c r="CY443" s="139"/>
      <c r="CZ443" s="105"/>
      <c r="DA443" s="105"/>
      <c r="DB443" s="105"/>
      <c r="DC443" s="105"/>
      <c r="DD443" s="139"/>
      <c r="DE443" s="105"/>
      <c r="DF443" s="105"/>
      <c r="DG443" s="105"/>
      <c r="DH443" s="105"/>
      <c r="DI443" s="139"/>
      <c r="DJ443" s="105"/>
      <c r="DK443" s="105"/>
      <c r="DL443" s="105"/>
      <c r="DM443" s="105"/>
      <c r="DN443" s="139"/>
      <c r="DO443" s="105"/>
      <c r="DP443" s="105"/>
      <c r="DQ443" s="105"/>
      <c r="DR443" s="105"/>
      <c r="DS443" s="139"/>
      <c r="DT443" s="105"/>
      <c r="DU443" s="105"/>
      <c r="DV443" s="105"/>
      <c r="DW443" s="105"/>
      <c r="DX443" s="139"/>
      <c r="DY443" s="105"/>
      <c r="DZ443" s="105"/>
      <c r="EA443" s="105"/>
      <c r="EB443" s="105"/>
      <c r="EC443" s="139"/>
      <c r="ED443" s="105"/>
      <c r="EE443" s="105"/>
      <c r="EF443" s="105"/>
      <c r="EG443" s="105"/>
      <c r="EH443" s="139"/>
      <c r="EI443" s="105"/>
      <c r="EJ443" s="105"/>
      <c r="EK443" s="105"/>
      <c r="EL443" s="105"/>
      <c r="EM443" s="139"/>
      <c r="EN443" s="105"/>
      <c r="EO443" s="105"/>
      <c r="EP443" s="105"/>
      <c r="EQ443" s="105"/>
      <c r="ER443" s="139"/>
      <c r="ES443" s="105"/>
      <c r="ET443" s="105"/>
      <c r="EU443" s="105"/>
      <c r="EV443" s="105"/>
      <c r="EW443" s="139"/>
      <c r="EX443" s="105"/>
      <c r="EY443" s="105"/>
      <c r="EZ443" s="105"/>
      <c r="FA443" s="105"/>
      <c r="FB443" s="139"/>
      <c r="FC443" s="105"/>
      <c r="FD443" s="105"/>
      <c r="FE443" s="105"/>
      <c r="FF443" s="105"/>
      <c r="FG443" s="139"/>
      <c r="FH443" s="105"/>
      <c r="FI443" s="105"/>
      <c r="FJ443" s="105"/>
      <c r="FK443" s="105"/>
      <c r="FL443" s="139"/>
      <c r="FM443" s="105"/>
      <c r="FN443" s="105"/>
      <c r="FO443" s="105"/>
      <c r="FP443" s="105"/>
      <c r="FQ443" s="139"/>
      <c r="FR443" s="105"/>
      <c r="FS443" s="105"/>
      <c r="FT443" s="105"/>
      <c r="FU443" s="105"/>
      <c r="FV443" s="139"/>
      <c r="FW443" s="105"/>
      <c r="FX443" s="105"/>
      <c r="FY443" s="105"/>
      <c r="FZ443" s="105"/>
      <c r="GA443" s="139"/>
      <c r="GB443" s="105"/>
      <c r="GC443" s="105"/>
      <c r="GD443" s="105"/>
      <c r="GE443" s="105"/>
      <c r="GF443" s="139"/>
      <c r="GG443" s="105"/>
      <c r="GH443" s="105"/>
      <c r="GI443" s="105"/>
      <c r="GJ443" s="105"/>
    </row>
    <row r="446" spans="1:192" s="93" customFormat="1" ht="12.75" customHeight="1">
      <c r="A446" s="68"/>
      <c r="B446" s="677"/>
      <c r="C446" s="215"/>
      <c r="D446" s="216"/>
      <c r="E446" s="216"/>
      <c r="F446" s="216"/>
      <c r="G446" s="216"/>
      <c r="H446" s="215"/>
      <c r="I446" s="216"/>
      <c r="J446" s="216"/>
      <c r="K446" s="216"/>
      <c r="L446" s="216"/>
      <c r="M446" s="215"/>
      <c r="N446" s="216"/>
      <c r="O446" s="216"/>
      <c r="P446" s="216"/>
      <c r="Q446" s="216"/>
      <c r="R446" s="215"/>
      <c r="S446" s="216"/>
      <c r="T446" s="216"/>
      <c r="U446" s="216"/>
      <c r="V446" s="216"/>
      <c r="W446" s="215"/>
      <c r="X446" s="216"/>
      <c r="Y446" s="216"/>
      <c r="Z446" s="216"/>
      <c r="AA446" s="216"/>
      <c r="AB446" s="215"/>
      <c r="AC446" s="216"/>
      <c r="AD446" s="216"/>
      <c r="AE446" s="216"/>
      <c r="AF446" s="216"/>
      <c r="AG446" s="215"/>
      <c r="AH446" s="216"/>
      <c r="AI446" s="216"/>
      <c r="AJ446" s="216"/>
      <c r="AK446" s="216"/>
      <c r="AL446" s="215"/>
      <c r="AM446" s="216"/>
      <c r="AN446" s="216"/>
      <c r="AO446" s="216"/>
      <c r="AP446" s="216"/>
      <c r="AQ446" s="215"/>
      <c r="AR446" s="216"/>
      <c r="AS446" s="216"/>
      <c r="AT446" s="216"/>
      <c r="AU446" s="216"/>
      <c r="AV446" s="215"/>
      <c r="AW446" s="216"/>
      <c r="AX446" s="216"/>
      <c r="AY446" s="216"/>
      <c r="AZ446" s="216"/>
      <c r="BA446" s="215"/>
      <c r="BB446" s="216"/>
      <c r="BC446" s="216"/>
      <c r="BD446" s="216"/>
      <c r="BE446" s="216"/>
      <c r="BF446" s="215"/>
      <c r="BG446" s="216"/>
      <c r="BH446" s="216"/>
      <c r="BI446" s="216"/>
      <c r="BJ446" s="216"/>
      <c r="BK446" s="215"/>
      <c r="BL446" s="216"/>
      <c r="BM446" s="216"/>
      <c r="BN446" s="216"/>
      <c r="BO446" s="216"/>
      <c r="BP446" s="215"/>
      <c r="BQ446" s="216"/>
      <c r="BR446" s="216"/>
      <c r="BS446" s="216"/>
      <c r="BT446" s="216"/>
      <c r="BU446" s="215"/>
      <c r="BV446" s="216"/>
      <c r="BW446" s="216"/>
      <c r="BX446" s="216"/>
      <c r="BY446" s="216"/>
      <c r="BZ446" s="215"/>
      <c r="CA446" s="216"/>
      <c r="CB446" s="216"/>
      <c r="CC446" s="216"/>
      <c r="CD446" s="216"/>
      <c r="CE446" s="215"/>
      <c r="CF446" s="216"/>
      <c r="CG446" s="216"/>
      <c r="CH446" s="216"/>
      <c r="CI446" s="216"/>
      <c r="CJ446" s="215"/>
      <c r="CK446" s="216"/>
      <c r="CL446" s="216"/>
      <c r="CM446" s="216"/>
      <c r="CN446" s="216"/>
      <c r="CO446" s="215"/>
      <c r="CP446" s="216"/>
      <c r="CQ446" s="216"/>
      <c r="CR446" s="216"/>
      <c r="CS446" s="216"/>
      <c r="CT446" s="215"/>
      <c r="CU446" s="216"/>
      <c r="CV446" s="216"/>
      <c r="CW446" s="216"/>
      <c r="CX446" s="216"/>
      <c r="CY446" s="215"/>
      <c r="CZ446" s="216"/>
      <c r="DA446" s="216"/>
      <c r="DB446" s="216"/>
      <c r="DC446" s="216"/>
      <c r="DD446" s="215"/>
      <c r="DE446" s="216"/>
      <c r="DF446" s="216"/>
      <c r="DG446" s="216"/>
      <c r="DH446" s="216"/>
      <c r="DI446" s="215"/>
      <c r="DJ446" s="216"/>
      <c r="DK446" s="216"/>
      <c r="DL446" s="216"/>
      <c r="DM446" s="216"/>
      <c r="DN446" s="215"/>
      <c r="DO446" s="216"/>
      <c r="DP446" s="216"/>
      <c r="DQ446" s="216"/>
      <c r="DR446" s="216"/>
      <c r="DS446" s="215"/>
      <c r="DT446" s="216"/>
      <c r="DU446" s="216"/>
      <c r="DV446" s="216"/>
      <c r="DW446" s="216"/>
      <c r="DX446" s="215"/>
      <c r="DY446" s="216"/>
      <c r="DZ446" s="216"/>
      <c r="EA446" s="216"/>
      <c r="EB446" s="216"/>
      <c r="EC446" s="215"/>
      <c r="ED446" s="216"/>
      <c r="EE446" s="216"/>
      <c r="EF446" s="216"/>
      <c r="EG446" s="216"/>
      <c r="EH446" s="215"/>
      <c r="EI446" s="216"/>
      <c r="EJ446" s="216"/>
      <c r="EK446" s="216"/>
      <c r="EL446" s="216"/>
      <c r="EM446" s="215"/>
      <c r="EN446" s="216"/>
      <c r="EO446" s="216"/>
      <c r="EP446" s="216"/>
      <c r="EQ446" s="216"/>
      <c r="ER446" s="215"/>
      <c r="ES446" s="216"/>
      <c r="ET446" s="216"/>
      <c r="EU446" s="216"/>
      <c r="EV446" s="216"/>
      <c r="EW446" s="215"/>
      <c r="EX446" s="216"/>
      <c r="EY446" s="216"/>
      <c r="EZ446" s="216"/>
      <c r="FA446" s="216"/>
      <c r="FB446" s="215"/>
      <c r="FC446" s="216"/>
      <c r="FD446" s="216"/>
      <c r="FE446" s="216"/>
      <c r="FF446" s="216"/>
      <c r="FG446" s="215"/>
      <c r="FH446" s="216"/>
      <c r="FI446" s="216"/>
      <c r="FJ446" s="216"/>
      <c r="FK446" s="216"/>
      <c r="FL446" s="215"/>
      <c r="FM446" s="216"/>
      <c r="FN446" s="216"/>
      <c r="FO446" s="216"/>
      <c r="FP446" s="216"/>
      <c r="FQ446" s="215"/>
      <c r="FR446" s="216"/>
      <c r="FS446" s="216"/>
      <c r="FT446" s="216"/>
      <c r="FU446" s="216"/>
      <c r="FV446" s="215"/>
      <c r="FW446" s="216"/>
      <c r="FX446" s="216"/>
      <c r="FY446" s="216"/>
      <c r="FZ446" s="216"/>
      <c r="GA446" s="215"/>
      <c r="GB446" s="216"/>
      <c r="GC446" s="216"/>
      <c r="GD446" s="216"/>
      <c r="GE446" s="216"/>
      <c r="GF446" s="215"/>
      <c r="GG446" s="216"/>
      <c r="GH446" s="216"/>
      <c r="GI446" s="216"/>
      <c r="GJ446" s="216"/>
    </row>
    <row r="447" spans="1:192" s="93" customFormat="1" ht="12.75" customHeight="1">
      <c r="A447" s="68"/>
      <c r="B447" s="677"/>
      <c r="C447" s="139"/>
      <c r="D447" s="105"/>
      <c r="E447" s="105"/>
      <c r="F447" s="105"/>
      <c r="G447" s="105"/>
      <c r="H447" s="139"/>
      <c r="I447" s="105"/>
      <c r="J447" s="105"/>
      <c r="K447" s="105"/>
      <c r="L447" s="105"/>
      <c r="M447" s="139"/>
      <c r="N447" s="105"/>
      <c r="O447" s="105"/>
      <c r="P447" s="105"/>
      <c r="Q447" s="105"/>
      <c r="R447" s="139"/>
      <c r="S447" s="105"/>
      <c r="T447" s="105"/>
      <c r="U447" s="105"/>
      <c r="V447" s="105"/>
      <c r="W447" s="139"/>
      <c r="X447" s="105"/>
      <c r="Y447" s="105"/>
      <c r="Z447" s="105"/>
      <c r="AA447" s="105"/>
      <c r="AB447" s="139"/>
      <c r="AC447" s="105"/>
      <c r="AD447" s="105"/>
      <c r="AE447" s="105"/>
      <c r="AF447" s="105"/>
      <c r="AG447" s="139"/>
      <c r="AH447" s="105"/>
      <c r="AI447" s="105"/>
      <c r="AJ447" s="105"/>
      <c r="AK447" s="105"/>
      <c r="AL447" s="139"/>
      <c r="AM447" s="105"/>
      <c r="AN447" s="105"/>
      <c r="AO447" s="105"/>
      <c r="AP447" s="105"/>
      <c r="AQ447" s="139"/>
      <c r="AR447" s="105"/>
      <c r="AS447" s="105"/>
      <c r="AT447" s="105"/>
      <c r="AU447" s="105"/>
      <c r="AV447" s="139"/>
      <c r="AW447" s="105"/>
      <c r="AX447" s="105"/>
      <c r="AY447" s="105"/>
      <c r="AZ447" s="105"/>
      <c r="BA447" s="139"/>
      <c r="BB447" s="105"/>
      <c r="BC447" s="105"/>
      <c r="BD447" s="105"/>
      <c r="BE447" s="105"/>
      <c r="BF447" s="139"/>
      <c r="BG447" s="105"/>
      <c r="BH447" s="105"/>
      <c r="BI447" s="105"/>
      <c r="BJ447" s="105"/>
      <c r="BK447" s="139"/>
      <c r="BL447" s="105"/>
      <c r="BM447" s="105"/>
      <c r="BN447" s="105"/>
      <c r="BO447" s="105"/>
      <c r="BP447" s="139"/>
      <c r="BQ447" s="105"/>
      <c r="BR447" s="105"/>
      <c r="BS447" s="105"/>
      <c r="BT447" s="105"/>
      <c r="BU447" s="139"/>
      <c r="BV447" s="105"/>
      <c r="BW447" s="105"/>
      <c r="BX447" s="105"/>
      <c r="BY447" s="105"/>
      <c r="BZ447" s="139"/>
      <c r="CA447" s="105"/>
      <c r="CB447" s="105"/>
      <c r="CC447" s="105"/>
      <c r="CD447" s="105"/>
      <c r="CE447" s="139"/>
      <c r="CF447" s="105"/>
      <c r="CG447" s="105"/>
      <c r="CH447" s="105"/>
      <c r="CI447" s="105"/>
      <c r="CJ447" s="139"/>
      <c r="CK447" s="105"/>
      <c r="CL447" s="105"/>
      <c r="CM447" s="105"/>
      <c r="CN447" s="105"/>
      <c r="CO447" s="139"/>
      <c r="CP447" s="105"/>
      <c r="CQ447" s="105"/>
      <c r="CR447" s="105"/>
      <c r="CS447" s="105"/>
      <c r="CT447" s="139"/>
      <c r="CU447" s="105"/>
      <c r="CV447" s="105"/>
      <c r="CW447" s="105"/>
      <c r="CX447" s="105"/>
      <c r="CY447" s="139"/>
      <c r="CZ447" s="105"/>
      <c r="DA447" s="105"/>
      <c r="DB447" s="105"/>
      <c r="DC447" s="105"/>
      <c r="DD447" s="139"/>
      <c r="DE447" s="105"/>
      <c r="DF447" s="105"/>
      <c r="DG447" s="105"/>
      <c r="DH447" s="105"/>
      <c r="DI447" s="139"/>
      <c r="DJ447" s="105"/>
      <c r="DK447" s="105"/>
      <c r="DL447" s="105"/>
      <c r="DM447" s="105"/>
      <c r="DN447" s="139"/>
      <c r="DO447" s="105"/>
      <c r="DP447" s="105"/>
      <c r="DQ447" s="105"/>
      <c r="DR447" s="105"/>
      <c r="DS447" s="139"/>
      <c r="DT447" s="105"/>
      <c r="DU447" s="105"/>
      <c r="DV447" s="105"/>
      <c r="DW447" s="105"/>
      <c r="DX447" s="139"/>
      <c r="DY447" s="105"/>
      <c r="DZ447" s="105"/>
      <c r="EA447" s="105"/>
      <c r="EB447" s="105"/>
      <c r="EC447" s="139"/>
      <c r="ED447" s="105"/>
      <c r="EE447" s="105"/>
      <c r="EF447" s="105"/>
      <c r="EG447" s="105"/>
      <c r="EH447" s="139"/>
      <c r="EI447" s="105"/>
      <c r="EJ447" s="105"/>
      <c r="EK447" s="105"/>
      <c r="EL447" s="105"/>
      <c r="EM447" s="139"/>
      <c r="EN447" s="105"/>
      <c r="EO447" s="105"/>
      <c r="EP447" s="105"/>
      <c r="EQ447" s="105"/>
      <c r="ER447" s="139"/>
      <c r="ES447" s="105"/>
      <c r="ET447" s="105"/>
      <c r="EU447" s="105"/>
      <c r="EV447" s="105"/>
      <c r="EW447" s="139"/>
      <c r="EX447" s="105"/>
      <c r="EY447" s="105"/>
      <c r="EZ447" s="105"/>
      <c r="FA447" s="105"/>
      <c r="FB447" s="139"/>
      <c r="FC447" s="105"/>
      <c r="FD447" s="105"/>
      <c r="FE447" s="105"/>
      <c r="FF447" s="105"/>
      <c r="FG447" s="139"/>
      <c r="FH447" s="105"/>
      <c r="FI447" s="105"/>
      <c r="FJ447" s="105"/>
      <c r="FK447" s="105"/>
      <c r="FL447" s="139"/>
      <c r="FM447" s="105"/>
      <c r="FN447" s="105"/>
      <c r="FO447" s="105"/>
      <c r="FP447" s="105"/>
      <c r="FQ447" s="139"/>
      <c r="FR447" s="105"/>
      <c r="FS447" s="105"/>
      <c r="FT447" s="105"/>
      <c r="FU447" s="105"/>
      <c r="FV447" s="139"/>
      <c r="FW447" s="105"/>
      <c r="FX447" s="105"/>
      <c r="FY447" s="105"/>
      <c r="FZ447" s="105"/>
      <c r="GA447" s="139"/>
      <c r="GB447" s="105"/>
      <c r="GC447" s="105"/>
      <c r="GD447" s="105"/>
      <c r="GE447" s="105"/>
      <c r="GF447" s="139"/>
      <c r="GG447" s="105"/>
      <c r="GH447" s="105"/>
      <c r="GI447" s="105"/>
      <c r="GJ447" s="105"/>
    </row>
    <row r="448" spans="1:192" s="93" customFormat="1" ht="12.75" customHeight="1">
      <c r="A448" s="68"/>
      <c r="B448" s="677"/>
      <c r="C448" s="139"/>
      <c r="D448" s="105"/>
      <c r="E448" s="105"/>
      <c r="F448" s="105"/>
      <c r="G448" s="105"/>
      <c r="H448" s="139"/>
      <c r="I448" s="105"/>
      <c r="J448" s="105"/>
      <c r="K448" s="105"/>
      <c r="L448" s="105"/>
      <c r="M448" s="139"/>
      <c r="N448" s="105"/>
      <c r="O448" s="105"/>
      <c r="P448" s="105"/>
      <c r="Q448" s="105"/>
      <c r="R448" s="139"/>
      <c r="S448" s="105"/>
      <c r="T448" s="105"/>
      <c r="U448" s="105"/>
      <c r="V448" s="105"/>
      <c r="W448" s="139"/>
      <c r="X448" s="105"/>
      <c r="Y448" s="105"/>
      <c r="Z448" s="105"/>
      <c r="AA448" s="105"/>
      <c r="AB448" s="139"/>
      <c r="AC448" s="105"/>
      <c r="AD448" s="105"/>
      <c r="AE448" s="105"/>
      <c r="AF448" s="105"/>
      <c r="AG448" s="139"/>
      <c r="AH448" s="105"/>
      <c r="AI448" s="105"/>
      <c r="AJ448" s="105"/>
      <c r="AK448" s="105"/>
      <c r="AL448" s="139"/>
      <c r="AM448" s="105"/>
      <c r="AN448" s="105"/>
      <c r="AO448" s="105"/>
      <c r="AP448" s="105"/>
      <c r="AQ448" s="139"/>
      <c r="AR448" s="105"/>
      <c r="AS448" s="105"/>
      <c r="AT448" s="105"/>
      <c r="AU448" s="105"/>
      <c r="AV448" s="139"/>
      <c r="AW448" s="105"/>
      <c r="AX448" s="105"/>
      <c r="AY448" s="105"/>
      <c r="AZ448" s="105"/>
      <c r="BA448" s="139"/>
      <c r="BB448" s="105"/>
      <c r="BC448" s="105"/>
      <c r="BD448" s="105"/>
      <c r="BE448" s="105"/>
      <c r="BF448" s="139"/>
      <c r="BG448" s="105"/>
      <c r="BH448" s="105"/>
      <c r="BI448" s="105"/>
      <c r="BJ448" s="105"/>
      <c r="BK448" s="139"/>
      <c r="BL448" s="105"/>
      <c r="BM448" s="105"/>
      <c r="BN448" s="105"/>
      <c r="BO448" s="105"/>
      <c r="BP448" s="139"/>
      <c r="BQ448" s="105"/>
      <c r="BR448" s="105"/>
      <c r="BS448" s="105"/>
      <c r="BT448" s="105"/>
      <c r="BU448" s="139"/>
      <c r="BV448" s="105"/>
      <c r="BW448" s="105"/>
      <c r="BX448" s="105"/>
      <c r="BY448" s="105"/>
      <c r="BZ448" s="139"/>
      <c r="CA448" s="105"/>
      <c r="CB448" s="105"/>
      <c r="CC448" s="105"/>
      <c r="CD448" s="105"/>
      <c r="CE448" s="139"/>
      <c r="CF448" s="105"/>
      <c r="CG448" s="105"/>
      <c r="CH448" s="105"/>
      <c r="CI448" s="105"/>
      <c r="CJ448" s="139"/>
      <c r="CK448" s="105"/>
      <c r="CL448" s="105"/>
      <c r="CM448" s="105"/>
      <c r="CN448" s="105"/>
      <c r="CO448" s="139"/>
      <c r="CP448" s="105"/>
      <c r="CQ448" s="105"/>
      <c r="CR448" s="105"/>
      <c r="CS448" s="105"/>
      <c r="CT448" s="139"/>
      <c r="CU448" s="105"/>
      <c r="CV448" s="105"/>
      <c r="CW448" s="105"/>
      <c r="CX448" s="105"/>
      <c r="CY448" s="139"/>
      <c r="CZ448" s="105"/>
      <c r="DA448" s="105"/>
      <c r="DB448" s="105"/>
      <c r="DC448" s="105"/>
      <c r="DD448" s="139"/>
      <c r="DE448" s="105"/>
      <c r="DF448" s="105"/>
      <c r="DG448" s="105"/>
      <c r="DH448" s="105"/>
      <c r="DI448" s="139"/>
      <c r="DJ448" s="105"/>
      <c r="DK448" s="105"/>
      <c r="DL448" s="105"/>
      <c r="DM448" s="105"/>
      <c r="DN448" s="139"/>
      <c r="DO448" s="105"/>
      <c r="DP448" s="105"/>
      <c r="DQ448" s="105"/>
      <c r="DR448" s="105"/>
      <c r="DS448" s="139"/>
      <c r="DT448" s="105"/>
      <c r="DU448" s="105"/>
      <c r="DV448" s="105"/>
      <c r="DW448" s="105"/>
      <c r="DX448" s="139"/>
      <c r="DY448" s="105"/>
      <c r="DZ448" s="105"/>
      <c r="EA448" s="105"/>
      <c r="EB448" s="105"/>
      <c r="EC448" s="139"/>
      <c r="ED448" s="105"/>
      <c r="EE448" s="105"/>
      <c r="EF448" s="105"/>
      <c r="EG448" s="105"/>
      <c r="EH448" s="139"/>
      <c r="EI448" s="105"/>
      <c r="EJ448" s="105"/>
      <c r="EK448" s="105"/>
      <c r="EL448" s="105"/>
      <c r="EM448" s="139"/>
      <c r="EN448" s="105"/>
      <c r="EO448" s="105"/>
      <c r="EP448" s="105"/>
      <c r="EQ448" s="105"/>
      <c r="ER448" s="139"/>
      <c r="ES448" s="105"/>
      <c r="ET448" s="105"/>
      <c r="EU448" s="105"/>
      <c r="EV448" s="105"/>
      <c r="EW448" s="139"/>
      <c r="EX448" s="105"/>
      <c r="EY448" s="105"/>
      <c r="EZ448" s="105"/>
      <c r="FA448" s="105"/>
      <c r="FB448" s="139"/>
      <c r="FC448" s="105"/>
      <c r="FD448" s="105"/>
      <c r="FE448" s="105"/>
      <c r="FF448" s="105"/>
      <c r="FG448" s="139"/>
      <c r="FH448" s="105"/>
      <c r="FI448" s="105"/>
      <c r="FJ448" s="105"/>
      <c r="FK448" s="105"/>
      <c r="FL448" s="139"/>
      <c r="FM448" s="105"/>
      <c r="FN448" s="105"/>
      <c r="FO448" s="105"/>
      <c r="FP448" s="105"/>
      <c r="FQ448" s="139"/>
      <c r="FR448" s="105"/>
      <c r="FS448" s="105"/>
      <c r="FT448" s="105"/>
      <c r="FU448" s="105"/>
      <c r="FV448" s="139"/>
      <c r="FW448" s="105"/>
      <c r="FX448" s="105"/>
      <c r="FY448" s="105"/>
      <c r="FZ448" s="105"/>
      <c r="GA448" s="139"/>
      <c r="GB448" s="105"/>
      <c r="GC448" s="105"/>
      <c r="GD448" s="105"/>
      <c r="GE448" s="105"/>
      <c r="GF448" s="139"/>
      <c r="GG448" s="105"/>
      <c r="GH448" s="105"/>
      <c r="GI448" s="105"/>
      <c r="GJ448" s="105"/>
    </row>
    <row r="449" spans="1:192" s="93" customFormat="1" ht="12.75" customHeight="1">
      <c r="A449" s="68"/>
      <c r="B449" s="677"/>
      <c r="C449" s="215"/>
      <c r="D449" s="216"/>
      <c r="E449" s="216"/>
      <c r="F449" s="216"/>
      <c r="G449" s="216"/>
      <c r="H449" s="215"/>
      <c r="I449" s="216"/>
      <c r="J449" s="216"/>
      <c r="K449" s="216"/>
      <c r="L449" s="216"/>
      <c r="M449" s="215"/>
      <c r="N449" s="216"/>
      <c r="O449" s="216"/>
      <c r="P449" s="216"/>
      <c r="Q449" s="216"/>
      <c r="R449" s="215"/>
      <c r="S449" s="216"/>
      <c r="T449" s="216"/>
      <c r="U449" s="216"/>
      <c r="V449" s="216"/>
      <c r="W449" s="215"/>
      <c r="X449" s="216"/>
      <c r="Y449" s="216"/>
      <c r="Z449" s="216"/>
      <c r="AA449" s="216"/>
      <c r="AB449" s="215"/>
      <c r="AC449" s="216"/>
      <c r="AD449" s="216"/>
      <c r="AE449" s="216"/>
      <c r="AF449" s="216"/>
      <c r="AG449" s="215"/>
      <c r="AH449" s="216"/>
      <c r="AI449" s="216"/>
      <c r="AJ449" s="216"/>
      <c r="AK449" s="216"/>
      <c r="AL449" s="215"/>
      <c r="AM449" s="216"/>
      <c r="AN449" s="216"/>
      <c r="AO449" s="216"/>
      <c r="AP449" s="216"/>
      <c r="AQ449" s="215"/>
      <c r="AR449" s="216"/>
      <c r="AS449" s="216"/>
      <c r="AT449" s="216"/>
      <c r="AU449" s="216"/>
      <c r="AV449" s="215"/>
      <c r="AW449" s="216"/>
      <c r="AX449" s="216"/>
      <c r="AY449" s="216"/>
      <c r="AZ449" s="216"/>
      <c r="BA449" s="215"/>
      <c r="BB449" s="216"/>
      <c r="BC449" s="216"/>
      <c r="BD449" s="216"/>
      <c r="BE449" s="216"/>
      <c r="BF449" s="215"/>
      <c r="BG449" s="216"/>
      <c r="BH449" s="216"/>
      <c r="BI449" s="216"/>
      <c r="BJ449" s="216"/>
      <c r="BK449" s="215"/>
      <c r="BL449" s="216"/>
      <c r="BM449" s="216"/>
      <c r="BN449" s="216"/>
      <c r="BO449" s="216"/>
      <c r="BP449" s="215"/>
      <c r="BQ449" s="216"/>
      <c r="BR449" s="216"/>
      <c r="BS449" s="216"/>
      <c r="BT449" s="216"/>
      <c r="BU449" s="215"/>
      <c r="BV449" s="216"/>
      <c r="BW449" s="216"/>
      <c r="BX449" s="216"/>
      <c r="BY449" s="216"/>
      <c r="BZ449" s="215"/>
      <c r="CA449" s="216"/>
      <c r="CB449" s="216"/>
      <c r="CC449" s="216"/>
      <c r="CD449" s="216"/>
      <c r="CE449" s="215"/>
      <c r="CF449" s="216"/>
      <c r="CG449" s="216"/>
      <c r="CH449" s="216"/>
      <c r="CI449" s="216"/>
      <c r="CJ449" s="215"/>
      <c r="CK449" s="216"/>
      <c r="CL449" s="216"/>
      <c r="CM449" s="216"/>
      <c r="CN449" s="216"/>
      <c r="CO449" s="215"/>
      <c r="CP449" s="216"/>
      <c r="CQ449" s="216"/>
      <c r="CR449" s="216"/>
      <c r="CS449" s="216"/>
      <c r="CT449" s="215"/>
      <c r="CU449" s="216"/>
      <c r="CV449" s="216"/>
      <c r="CW449" s="216"/>
      <c r="CX449" s="216"/>
      <c r="CY449" s="215"/>
      <c r="CZ449" s="216"/>
      <c r="DA449" s="216"/>
      <c r="DB449" s="216"/>
      <c r="DC449" s="216"/>
      <c r="DD449" s="215"/>
      <c r="DE449" s="216"/>
      <c r="DF449" s="216"/>
      <c r="DG449" s="216"/>
      <c r="DH449" s="216"/>
      <c r="DI449" s="215"/>
      <c r="DJ449" s="216"/>
      <c r="DK449" s="216"/>
      <c r="DL449" s="216"/>
      <c r="DM449" s="216"/>
      <c r="DN449" s="215"/>
      <c r="DO449" s="216"/>
      <c r="DP449" s="216"/>
      <c r="DQ449" s="216"/>
      <c r="DR449" s="216"/>
      <c r="DS449" s="215"/>
      <c r="DT449" s="216"/>
      <c r="DU449" s="216"/>
      <c r="DV449" s="216"/>
      <c r="DW449" s="216"/>
      <c r="DX449" s="215"/>
      <c r="DY449" s="216"/>
      <c r="DZ449" s="216"/>
      <c r="EA449" s="216"/>
      <c r="EB449" s="216"/>
      <c r="EC449" s="215"/>
      <c r="ED449" s="216"/>
      <c r="EE449" s="216"/>
      <c r="EF449" s="216"/>
      <c r="EG449" s="216"/>
      <c r="EH449" s="215"/>
      <c r="EI449" s="216"/>
      <c r="EJ449" s="216"/>
      <c r="EK449" s="216"/>
      <c r="EL449" s="216"/>
      <c r="EM449" s="215"/>
      <c r="EN449" s="216"/>
      <c r="EO449" s="216"/>
      <c r="EP449" s="216"/>
      <c r="EQ449" s="216"/>
      <c r="ER449" s="215"/>
      <c r="ES449" s="216"/>
      <c r="ET449" s="216"/>
      <c r="EU449" s="216"/>
      <c r="EV449" s="216"/>
      <c r="EW449" s="215"/>
      <c r="EX449" s="216"/>
      <c r="EY449" s="216"/>
      <c r="EZ449" s="216"/>
      <c r="FA449" s="216"/>
      <c r="FB449" s="215"/>
      <c r="FC449" s="216"/>
      <c r="FD449" s="216"/>
      <c r="FE449" s="216"/>
      <c r="FF449" s="216"/>
      <c r="FG449" s="215"/>
      <c r="FH449" s="216"/>
      <c r="FI449" s="216"/>
      <c r="FJ449" s="216"/>
      <c r="FK449" s="216"/>
      <c r="FL449" s="215"/>
      <c r="FM449" s="216"/>
      <c r="FN449" s="216"/>
      <c r="FO449" s="216"/>
      <c r="FP449" s="216"/>
      <c r="FQ449" s="215"/>
      <c r="FR449" s="216"/>
      <c r="FS449" s="216"/>
      <c r="FT449" s="216"/>
      <c r="FU449" s="216"/>
      <c r="FV449" s="215"/>
      <c r="FW449" s="216"/>
      <c r="FX449" s="216"/>
      <c r="FY449" s="216"/>
      <c r="FZ449" s="216"/>
      <c r="GA449" s="215"/>
      <c r="GB449" s="216"/>
      <c r="GC449" s="216"/>
      <c r="GD449" s="216"/>
      <c r="GE449" s="216"/>
      <c r="GF449" s="215"/>
      <c r="GG449" s="216"/>
      <c r="GH449" s="216"/>
      <c r="GI449" s="216"/>
      <c r="GJ449" s="216"/>
    </row>
    <row r="450" spans="1:192" s="93" customFormat="1" ht="12.75" customHeight="1">
      <c r="A450" s="68"/>
      <c r="B450" s="677"/>
      <c r="C450" s="139"/>
      <c r="D450" s="105"/>
      <c r="E450" s="105"/>
      <c r="F450" s="105"/>
      <c r="G450" s="105"/>
      <c r="H450" s="139"/>
      <c r="I450" s="105"/>
      <c r="J450" s="105"/>
      <c r="K450" s="105"/>
      <c r="L450" s="105"/>
      <c r="M450" s="139"/>
      <c r="N450" s="105"/>
      <c r="O450" s="105"/>
      <c r="P450" s="105"/>
      <c r="Q450" s="105"/>
      <c r="R450" s="139"/>
      <c r="S450" s="105"/>
      <c r="T450" s="105"/>
      <c r="U450" s="105"/>
      <c r="V450" s="105"/>
      <c r="W450" s="139"/>
      <c r="X450" s="105"/>
      <c r="Y450" s="105"/>
      <c r="Z450" s="105"/>
      <c r="AA450" s="105"/>
      <c r="AB450" s="139"/>
      <c r="AC450" s="105"/>
      <c r="AD450" s="105"/>
      <c r="AE450" s="105"/>
      <c r="AF450" s="105"/>
      <c r="AG450" s="139"/>
      <c r="AH450" s="105"/>
      <c r="AI450" s="105"/>
      <c r="AJ450" s="105"/>
      <c r="AK450" s="105"/>
      <c r="AL450" s="139"/>
      <c r="AM450" s="105"/>
      <c r="AN450" s="105"/>
      <c r="AO450" s="105"/>
      <c r="AP450" s="105"/>
      <c r="AQ450" s="139"/>
      <c r="AR450" s="105"/>
      <c r="AS450" s="105"/>
      <c r="AT450" s="105"/>
      <c r="AU450" s="105"/>
      <c r="AV450" s="139"/>
      <c r="AW450" s="105"/>
      <c r="AX450" s="105"/>
      <c r="AY450" s="105"/>
      <c r="AZ450" s="105"/>
      <c r="BA450" s="139"/>
      <c r="BB450" s="105"/>
      <c r="BC450" s="105"/>
      <c r="BD450" s="105"/>
      <c r="BE450" s="105"/>
      <c r="BF450" s="139"/>
      <c r="BG450" s="105"/>
      <c r="BH450" s="105"/>
      <c r="BI450" s="105"/>
      <c r="BJ450" s="105"/>
      <c r="BK450" s="139"/>
      <c r="BL450" s="105"/>
      <c r="BM450" s="105"/>
      <c r="BN450" s="105"/>
      <c r="BO450" s="105"/>
      <c r="BP450" s="139"/>
      <c r="BQ450" s="105"/>
      <c r="BR450" s="105"/>
      <c r="BS450" s="105"/>
      <c r="BT450" s="105"/>
      <c r="BU450" s="139"/>
      <c r="BV450" s="105"/>
      <c r="BW450" s="105"/>
      <c r="BX450" s="105"/>
      <c r="BY450" s="105"/>
      <c r="BZ450" s="139"/>
      <c r="CA450" s="105"/>
      <c r="CB450" s="105"/>
      <c r="CC450" s="105"/>
      <c r="CD450" s="105"/>
      <c r="CE450" s="139"/>
      <c r="CF450" s="105"/>
      <c r="CG450" s="105"/>
      <c r="CH450" s="105"/>
      <c r="CI450" s="105"/>
      <c r="CJ450" s="139"/>
      <c r="CK450" s="105"/>
      <c r="CL450" s="105"/>
      <c r="CM450" s="105"/>
      <c r="CN450" s="105"/>
      <c r="CO450" s="139"/>
      <c r="CP450" s="105"/>
      <c r="CQ450" s="105"/>
      <c r="CR450" s="105"/>
      <c r="CS450" s="105"/>
      <c r="CT450" s="139"/>
      <c r="CU450" s="105"/>
      <c r="CV450" s="105"/>
      <c r="CW450" s="105"/>
      <c r="CX450" s="105"/>
      <c r="CY450" s="139"/>
      <c r="CZ450" s="105"/>
      <c r="DA450" s="105"/>
      <c r="DB450" s="105"/>
      <c r="DC450" s="105"/>
      <c r="DD450" s="139"/>
      <c r="DE450" s="105"/>
      <c r="DF450" s="105"/>
      <c r="DG450" s="105"/>
      <c r="DH450" s="105"/>
      <c r="DI450" s="139"/>
      <c r="DJ450" s="105"/>
      <c r="DK450" s="105"/>
      <c r="DL450" s="105"/>
      <c r="DM450" s="105"/>
      <c r="DN450" s="139"/>
      <c r="DO450" s="105"/>
      <c r="DP450" s="105"/>
      <c r="DQ450" s="105"/>
      <c r="DR450" s="105"/>
      <c r="DS450" s="139"/>
      <c r="DT450" s="105"/>
      <c r="DU450" s="105"/>
      <c r="DV450" s="105"/>
      <c r="DW450" s="105"/>
      <c r="DX450" s="139"/>
      <c r="DY450" s="105"/>
      <c r="DZ450" s="105"/>
      <c r="EA450" s="105"/>
      <c r="EB450" s="105"/>
      <c r="EC450" s="139"/>
      <c r="ED450" s="105"/>
      <c r="EE450" s="105"/>
      <c r="EF450" s="105"/>
      <c r="EG450" s="105"/>
      <c r="EH450" s="139"/>
      <c r="EI450" s="105"/>
      <c r="EJ450" s="105"/>
      <c r="EK450" s="105"/>
      <c r="EL450" s="105"/>
      <c r="EM450" s="139"/>
      <c r="EN450" s="105"/>
      <c r="EO450" s="105"/>
      <c r="EP450" s="105"/>
      <c r="EQ450" s="105"/>
      <c r="ER450" s="139"/>
      <c r="ES450" s="105"/>
      <c r="ET450" s="105"/>
      <c r="EU450" s="105"/>
      <c r="EV450" s="105"/>
      <c r="EW450" s="139"/>
      <c r="EX450" s="105"/>
      <c r="EY450" s="105"/>
      <c r="EZ450" s="105"/>
      <c r="FA450" s="105"/>
      <c r="FB450" s="139"/>
      <c r="FC450" s="105"/>
      <c r="FD450" s="105"/>
      <c r="FE450" s="105"/>
      <c r="FF450" s="105"/>
      <c r="FG450" s="139"/>
      <c r="FH450" s="105"/>
      <c r="FI450" s="105"/>
      <c r="FJ450" s="105"/>
      <c r="FK450" s="105"/>
      <c r="FL450" s="139"/>
      <c r="FM450" s="105"/>
      <c r="FN450" s="105"/>
      <c r="FO450" s="105"/>
      <c r="FP450" s="105"/>
      <c r="FQ450" s="139"/>
      <c r="FR450" s="105"/>
      <c r="FS450" s="105"/>
      <c r="FT450" s="105"/>
      <c r="FU450" s="105"/>
      <c r="FV450" s="139"/>
      <c r="FW450" s="105"/>
      <c r="FX450" s="105"/>
      <c r="FY450" s="105"/>
      <c r="FZ450" s="105"/>
      <c r="GA450" s="139"/>
      <c r="GB450" s="105"/>
      <c r="GC450" s="105"/>
      <c r="GD450" s="105"/>
      <c r="GE450" s="105"/>
      <c r="GF450" s="139"/>
      <c r="GG450" s="105"/>
      <c r="GH450" s="105"/>
      <c r="GI450" s="105"/>
      <c r="GJ450" s="105"/>
    </row>
    <row r="451" spans="1:192" s="93" customFormat="1" ht="12.75" customHeight="1">
      <c r="A451" s="68"/>
      <c r="B451" s="677"/>
      <c r="C451" s="139"/>
      <c r="D451" s="105"/>
      <c r="E451" s="105"/>
      <c r="F451" s="105"/>
      <c r="G451" s="105"/>
      <c r="H451" s="139"/>
      <c r="I451" s="105"/>
      <c r="J451" s="105"/>
      <c r="K451" s="105"/>
      <c r="L451" s="105"/>
      <c r="M451" s="139"/>
      <c r="N451" s="105"/>
      <c r="O451" s="105"/>
      <c r="P451" s="105"/>
      <c r="Q451" s="105"/>
      <c r="R451" s="139"/>
      <c r="S451" s="105"/>
      <c r="T451" s="105"/>
      <c r="U451" s="105"/>
      <c r="V451" s="105"/>
      <c r="W451" s="139"/>
      <c r="X451" s="105"/>
      <c r="Y451" s="105"/>
      <c r="Z451" s="105"/>
      <c r="AA451" s="105"/>
      <c r="AB451" s="139"/>
      <c r="AC451" s="105"/>
      <c r="AD451" s="105"/>
      <c r="AE451" s="105"/>
      <c r="AF451" s="105"/>
      <c r="AG451" s="139"/>
      <c r="AH451" s="105"/>
      <c r="AI451" s="105"/>
      <c r="AJ451" s="105"/>
      <c r="AK451" s="105"/>
      <c r="AL451" s="139"/>
      <c r="AM451" s="105"/>
      <c r="AN451" s="105"/>
      <c r="AO451" s="105"/>
      <c r="AP451" s="105"/>
      <c r="AQ451" s="139"/>
      <c r="AR451" s="105"/>
      <c r="AS451" s="105"/>
      <c r="AT451" s="105"/>
      <c r="AU451" s="105"/>
      <c r="AV451" s="139"/>
      <c r="AW451" s="105"/>
      <c r="AX451" s="105"/>
      <c r="AY451" s="105"/>
      <c r="AZ451" s="105"/>
      <c r="BA451" s="139"/>
      <c r="BB451" s="105"/>
      <c r="BC451" s="105"/>
      <c r="BD451" s="105"/>
      <c r="BE451" s="105"/>
      <c r="BF451" s="139"/>
      <c r="BG451" s="105"/>
      <c r="BH451" s="105"/>
      <c r="BI451" s="105"/>
      <c r="BJ451" s="105"/>
      <c r="BK451" s="139"/>
      <c r="BL451" s="105"/>
      <c r="BM451" s="105"/>
      <c r="BN451" s="105"/>
      <c r="BO451" s="105"/>
      <c r="BP451" s="139"/>
      <c r="BQ451" s="105"/>
      <c r="BR451" s="105"/>
      <c r="BS451" s="105"/>
      <c r="BT451" s="105"/>
      <c r="BU451" s="139"/>
      <c r="BV451" s="105"/>
      <c r="BW451" s="105"/>
      <c r="BX451" s="105"/>
      <c r="BY451" s="105"/>
      <c r="BZ451" s="139"/>
      <c r="CA451" s="105"/>
      <c r="CB451" s="105"/>
      <c r="CC451" s="105"/>
      <c r="CD451" s="105"/>
      <c r="CE451" s="139"/>
      <c r="CF451" s="105"/>
      <c r="CG451" s="105"/>
      <c r="CH451" s="105"/>
      <c r="CI451" s="105"/>
      <c r="CJ451" s="139"/>
      <c r="CK451" s="105"/>
      <c r="CL451" s="105"/>
      <c r="CM451" s="105"/>
      <c r="CN451" s="105"/>
      <c r="CO451" s="139"/>
      <c r="CP451" s="105"/>
      <c r="CQ451" s="105"/>
      <c r="CR451" s="105"/>
      <c r="CS451" s="105"/>
      <c r="CT451" s="139"/>
      <c r="CU451" s="105"/>
      <c r="CV451" s="105"/>
      <c r="CW451" s="105"/>
      <c r="CX451" s="105"/>
      <c r="CY451" s="139"/>
      <c r="CZ451" s="105"/>
      <c r="DA451" s="105"/>
      <c r="DB451" s="105"/>
      <c r="DC451" s="105"/>
      <c r="DD451" s="139"/>
      <c r="DE451" s="105"/>
      <c r="DF451" s="105"/>
      <c r="DG451" s="105"/>
      <c r="DH451" s="105"/>
      <c r="DI451" s="139"/>
      <c r="DJ451" s="105"/>
      <c r="DK451" s="105"/>
      <c r="DL451" s="105"/>
      <c r="DM451" s="105"/>
      <c r="DN451" s="139"/>
      <c r="DO451" s="105"/>
      <c r="DP451" s="105"/>
      <c r="DQ451" s="105"/>
      <c r="DR451" s="105"/>
      <c r="DS451" s="139"/>
      <c r="DT451" s="105"/>
      <c r="DU451" s="105"/>
      <c r="DV451" s="105"/>
      <c r="DW451" s="105"/>
      <c r="DX451" s="139"/>
      <c r="DY451" s="105"/>
      <c r="DZ451" s="105"/>
      <c r="EA451" s="105"/>
      <c r="EB451" s="105"/>
      <c r="EC451" s="139"/>
      <c r="ED451" s="105"/>
      <c r="EE451" s="105"/>
      <c r="EF451" s="105"/>
      <c r="EG451" s="105"/>
      <c r="EH451" s="139"/>
      <c r="EI451" s="105"/>
      <c r="EJ451" s="105"/>
      <c r="EK451" s="105"/>
      <c r="EL451" s="105"/>
      <c r="EM451" s="139"/>
      <c r="EN451" s="105"/>
      <c r="EO451" s="105"/>
      <c r="EP451" s="105"/>
      <c r="EQ451" s="105"/>
      <c r="ER451" s="139"/>
      <c r="ES451" s="105"/>
      <c r="ET451" s="105"/>
      <c r="EU451" s="105"/>
      <c r="EV451" s="105"/>
      <c r="EW451" s="139"/>
      <c r="EX451" s="105"/>
      <c r="EY451" s="105"/>
      <c r="EZ451" s="105"/>
      <c r="FA451" s="105"/>
      <c r="FB451" s="139"/>
      <c r="FC451" s="105"/>
      <c r="FD451" s="105"/>
      <c r="FE451" s="105"/>
      <c r="FF451" s="105"/>
      <c r="FG451" s="139"/>
      <c r="FH451" s="105"/>
      <c r="FI451" s="105"/>
      <c r="FJ451" s="105"/>
      <c r="FK451" s="105"/>
      <c r="FL451" s="139"/>
      <c r="FM451" s="105"/>
      <c r="FN451" s="105"/>
      <c r="FO451" s="105"/>
      <c r="FP451" s="105"/>
      <c r="FQ451" s="139"/>
      <c r="FR451" s="105"/>
      <c r="FS451" s="105"/>
      <c r="FT451" s="105"/>
      <c r="FU451" s="105"/>
      <c r="FV451" s="139"/>
      <c r="FW451" s="105"/>
      <c r="FX451" s="105"/>
      <c r="FY451" s="105"/>
      <c r="FZ451" s="105"/>
      <c r="GA451" s="139"/>
      <c r="GB451" s="105"/>
      <c r="GC451" s="105"/>
      <c r="GD451" s="105"/>
      <c r="GE451" s="105"/>
      <c r="GF451" s="139"/>
      <c r="GG451" s="105"/>
      <c r="GH451" s="105"/>
      <c r="GI451" s="105"/>
      <c r="GJ451" s="105"/>
    </row>
    <row r="453" spans="1:192" s="93" customFormat="1" ht="12.75" customHeight="1">
      <c r="A453" s="68"/>
      <c r="B453" s="677"/>
      <c r="C453" s="139"/>
      <c r="D453" s="105"/>
      <c r="E453" s="105"/>
      <c r="F453" s="105"/>
      <c r="G453" s="105"/>
      <c r="H453" s="139"/>
      <c r="I453" s="105"/>
      <c r="J453" s="105"/>
      <c r="K453" s="105"/>
      <c r="L453" s="105"/>
      <c r="M453" s="139"/>
      <c r="N453" s="105"/>
      <c r="O453" s="105"/>
      <c r="P453" s="105"/>
      <c r="Q453" s="105"/>
      <c r="R453" s="139"/>
      <c r="S453" s="105"/>
      <c r="T453" s="105"/>
      <c r="U453" s="105"/>
      <c r="V453" s="105"/>
      <c r="W453" s="139"/>
      <c r="X453" s="105"/>
      <c r="Y453" s="105"/>
      <c r="Z453" s="105"/>
      <c r="AA453" s="105"/>
      <c r="AB453" s="139"/>
      <c r="AC453" s="105"/>
      <c r="AD453" s="105"/>
      <c r="AE453" s="105"/>
      <c r="AF453" s="105"/>
      <c r="AG453" s="139"/>
      <c r="AH453" s="105"/>
      <c r="AI453" s="105"/>
      <c r="AJ453" s="105"/>
      <c r="AK453" s="105"/>
      <c r="AL453" s="139"/>
      <c r="AM453" s="105"/>
      <c r="AN453" s="105"/>
      <c r="AO453" s="105"/>
      <c r="AP453" s="105"/>
      <c r="AQ453" s="139"/>
      <c r="AR453" s="105"/>
      <c r="AS453" s="105"/>
      <c r="AT453" s="105"/>
      <c r="AU453" s="105"/>
      <c r="AV453" s="139"/>
      <c r="AW453" s="105"/>
      <c r="AX453" s="105"/>
      <c r="AY453" s="105"/>
      <c r="AZ453" s="105"/>
      <c r="BA453" s="139"/>
      <c r="BB453" s="105"/>
      <c r="BC453" s="105"/>
      <c r="BD453" s="105"/>
      <c r="BE453" s="105"/>
      <c r="BF453" s="139"/>
      <c r="BG453" s="105"/>
      <c r="BH453" s="105"/>
      <c r="BI453" s="105"/>
      <c r="BJ453" s="105"/>
      <c r="BK453" s="139"/>
      <c r="BL453" s="105"/>
      <c r="BM453" s="105"/>
      <c r="BN453" s="105"/>
      <c r="BO453" s="105"/>
      <c r="BP453" s="139"/>
      <c r="BQ453" s="105"/>
      <c r="BR453" s="105"/>
      <c r="BS453" s="105"/>
      <c r="BT453" s="105"/>
      <c r="BU453" s="139"/>
      <c r="BV453" s="105"/>
      <c r="BW453" s="105"/>
      <c r="BX453" s="105"/>
      <c r="BY453" s="105"/>
      <c r="BZ453" s="139"/>
      <c r="CA453" s="105"/>
      <c r="CB453" s="105"/>
      <c r="CC453" s="105"/>
      <c r="CD453" s="105"/>
      <c r="CE453" s="139"/>
      <c r="CF453" s="105"/>
      <c r="CG453" s="105"/>
      <c r="CH453" s="105"/>
      <c r="CI453" s="105"/>
      <c r="CJ453" s="139"/>
      <c r="CK453" s="105"/>
      <c r="CL453" s="105"/>
      <c r="CM453" s="105"/>
      <c r="CN453" s="105"/>
      <c r="CO453" s="139"/>
      <c r="CP453" s="105"/>
      <c r="CQ453" s="105"/>
      <c r="CR453" s="105"/>
      <c r="CS453" s="105"/>
      <c r="CT453" s="139"/>
      <c r="CU453" s="105"/>
      <c r="CV453" s="105"/>
      <c r="CW453" s="105"/>
      <c r="CX453" s="105"/>
      <c r="CY453" s="139"/>
      <c r="CZ453" s="105"/>
      <c r="DA453" s="105"/>
      <c r="DB453" s="105"/>
      <c r="DC453" s="105"/>
      <c r="DD453" s="139"/>
      <c r="DE453" s="105"/>
      <c r="DF453" s="105"/>
      <c r="DG453" s="105"/>
      <c r="DH453" s="105"/>
      <c r="DI453" s="139"/>
      <c r="DJ453" s="105"/>
      <c r="DK453" s="105"/>
      <c r="DL453" s="105"/>
      <c r="DM453" s="105"/>
      <c r="DN453" s="139"/>
      <c r="DO453" s="105"/>
      <c r="DP453" s="105"/>
      <c r="DQ453" s="105"/>
      <c r="DR453" s="105"/>
      <c r="DS453" s="139"/>
      <c r="DT453" s="105"/>
      <c r="DU453" s="105"/>
      <c r="DV453" s="105"/>
      <c r="DW453" s="105"/>
      <c r="DX453" s="139"/>
      <c r="DY453" s="105"/>
      <c r="DZ453" s="105"/>
      <c r="EA453" s="105"/>
      <c r="EB453" s="105"/>
      <c r="EC453" s="139"/>
      <c r="ED453" s="105"/>
      <c r="EE453" s="105"/>
      <c r="EF453" s="105"/>
      <c r="EG453" s="105"/>
      <c r="EH453" s="139"/>
      <c r="EI453" s="105"/>
      <c r="EJ453" s="105"/>
      <c r="EK453" s="105"/>
      <c r="EL453" s="105"/>
      <c r="EM453" s="139"/>
      <c r="EN453" s="105"/>
      <c r="EO453" s="105"/>
      <c r="EP453" s="105"/>
      <c r="EQ453" s="105"/>
      <c r="ER453" s="139"/>
      <c r="ES453" s="105"/>
      <c r="ET453" s="105"/>
      <c r="EU453" s="105"/>
      <c r="EV453" s="105"/>
      <c r="EW453" s="139"/>
      <c r="EX453" s="105"/>
      <c r="EY453" s="105"/>
      <c r="EZ453" s="105"/>
      <c r="FA453" s="105"/>
      <c r="FB453" s="139"/>
      <c r="FC453" s="105"/>
      <c r="FD453" s="105"/>
      <c r="FE453" s="105"/>
      <c r="FF453" s="105"/>
      <c r="FG453" s="139"/>
      <c r="FH453" s="105"/>
      <c r="FI453" s="105"/>
      <c r="FJ453" s="105"/>
      <c r="FK453" s="105"/>
      <c r="FL453" s="139"/>
      <c r="FM453" s="105"/>
      <c r="FN453" s="105"/>
      <c r="FO453" s="105"/>
      <c r="FP453" s="105"/>
      <c r="FQ453" s="139"/>
      <c r="FR453" s="105"/>
      <c r="FS453" s="105"/>
      <c r="FT453" s="105"/>
      <c r="FU453" s="105"/>
      <c r="FV453" s="139"/>
      <c r="FW453" s="105"/>
      <c r="FX453" s="105"/>
      <c r="FY453" s="105"/>
      <c r="FZ453" s="105"/>
      <c r="GA453" s="139"/>
      <c r="GB453" s="105"/>
      <c r="GC453" s="105"/>
      <c r="GD453" s="105"/>
      <c r="GE453" s="105"/>
      <c r="GF453" s="139"/>
      <c r="GG453" s="105"/>
      <c r="GH453" s="105"/>
      <c r="GI453" s="105"/>
      <c r="GJ453" s="105"/>
    </row>
    <row r="454" spans="1:192" s="93" customFormat="1" ht="12.75" customHeight="1">
      <c r="A454" s="68"/>
      <c r="B454" s="677"/>
      <c r="C454" s="139"/>
      <c r="D454" s="105"/>
      <c r="E454" s="105"/>
      <c r="F454" s="105"/>
      <c r="G454" s="105"/>
      <c r="H454" s="139"/>
      <c r="I454" s="105"/>
      <c r="J454" s="105"/>
      <c r="K454" s="105"/>
      <c r="L454" s="105"/>
      <c r="M454" s="139"/>
      <c r="N454" s="105"/>
      <c r="O454" s="105"/>
      <c r="P454" s="105"/>
      <c r="Q454" s="105"/>
      <c r="R454" s="139"/>
      <c r="S454" s="105"/>
      <c r="T454" s="105"/>
      <c r="U454" s="105"/>
      <c r="V454" s="105"/>
      <c r="W454" s="139"/>
      <c r="X454" s="105"/>
      <c r="Y454" s="105"/>
      <c r="Z454" s="105"/>
      <c r="AA454" s="105"/>
      <c r="AB454" s="139"/>
      <c r="AC454" s="105"/>
      <c r="AD454" s="105"/>
      <c r="AE454" s="105"/>
      <c r="AF454" s="105"/>
      <c r="AG454" s="139"/>
      <c r="AH454" s="105"/>
      <c r="AI454" s="105"/>
      <c r="AJ454" s="105"/>
      <c r="AK454" s="105"/>
      <c r="AL454" s="139"/>
      <c r="AM454" s="105"/>
      <c r="AN454" s="105"/>
      <c r="AO454" s="105"/>
      <c r="AP454" s="105"/>
      <c r="AQ454" s="139"/>
      <c r="AR454" s="105"/>
      <c r="AS454" s="105"/>
      <c r="AT454" s="105"/>
      <c r="AU454" s="105"/>
      <c r="AV454" s="139"/>
      <c r="AW454" s="105"/>
      <c r="AX454" s="105"/>
      <c r="AY454" s="105"/>
      <c r="AZ454" s="105"/>
      <c r="BA454" s="139"/>
      <c r="BB454" s="105"/>
      <c r="BC454" s="105"/>
      <c r="BD454" s="105"/>
      <c r="BE454" s="105"/>
      <c r="BF454" s="139"/>
      <c r="BG454" s="105"/>
      <c r="BH454" s="105"/>
      <c r="BI454" s="105"/>
      <c r="BJ454" s="105"/>
      <c r="BK454" s="139"/>
      <c r="BL454" s="105"/>
      <c r="BM454" s="105"/>
      <c r="BN454" s="105"/>
      <c r="BO454" s="105"/>
      <c r="BP454" s="139"/>
      <c r="BQ454" s="105"/>
      <c r="BR454" s="105"/>
      <c r="BS454" s="105"/>
      <c r="BT454" s="105"/>
      <c r="BU454" s="139"/>
      <c r="BV454" s="105"/>
      <c r="BW454" s="105"/>
      <c r="BX454" s="105"/>
      <c r="BY454" s="105"/>
      <c r="BZ454" s="139"/>
      <c r="CA454" s="105"/>
      <c r="CB454" s="105"/>
      <c r="CC454" s="105"/>
      <c r="CD454" s="105"/>
      <c r="CE454" s="139"/>
      <c r="CF454" s="105"/>
      <c r="CG454" s="105"/>
      <c r="CH454" s="105"/>
      <c r="CI454" s="105"/>
      <c r="CJ454" s="139"/>
      <c r="CK454" s="105"/>
      <c r="CL454" s="105"/>
      <c r="CM454" s="105"/>
      <c r="CN454" s="105"/>
      <c r="CO454" s="139"/>
      <c r="CP454" s="105"/>
      <c r="CQ454" s="105"/>
      <c r="CR454" s="105"/>
      <c r="CS454" s="105"/>
      <c r="CT454" s="139"/>
      <c r="CU454" s="105"/>
      <c r="CV454" s="105"/>
      <c r="CW454" s="105"/>
      <c r="CX454" s="105"/>
      <c r="CY454" s="139"/>
      <c r="CZ454" s="105"/>
      <c r="DA454" s="105"/>
      <c r="DB454" s="105"/>
      <c r="DC454" s="105"/>
      <c r="DD454" s="139"/>
      <c r="DE454" s="105"/>
      <c r="DF454" s="105"/>
      <c r="DG454" s="105"/>
      <c r="DH454" s="105"/>
      <c r="DI454" s="139"/>
      <c r="DJ454" s="105"/>
      <c r="DK454" s="105"/>
      <c r="DL454" s="105"/>
      <c r="DM454" s="105"/>
      <c r="DN454" s="139"/>
      <c r="DO454" s="105"/>
      <c r="DP454" s="105"/>
      <c r="DQ454" s="105"/>
      <c r="DR454" s="105"/>
      <c r="DS454" s="139"/>
      <c r="DT454" s="105"/>
      <c r="DU454" s="105"/>
      <c r="DV454" s="105"/>
      <c r="DW454" s="105"/>
      <c r="DX454" s="139"/>
      <c r="DY454" s="105"/>
      <c r="DZ454" s="105"/>
      <c r="EA454" s="105"/>
      <c r="EB454" s="105"/>
      <c r="EC454" s="139"/>
      <c r="ED454" s="105"/>
      <c r="EE454" s="105"/>
      <c r="EF454" s="105"/>
      <c r="EG454" s="105"/>
      <c r="EH454" s="139"/>
      <c r="EI454" s="105"/>
      <c r="EJ454" s="105"/>
      <c r="EK454" s="105"/>
      <c r="EL454" s="105"/>
      <c r="EM454" s="139"/>
      <c r="EN454" s="105"/>
      <c r="EO454" s="105"/>
      <c r="EP454" s="105"/>
      <c r="EQ454" s="105"/>
      <c r="ER454" s="139"/>
      <c r="ES454" s="105"/>
      <c r="ET454" s="105"/>
      <c r="EU454" s="105"/>
      <c r="EV454" s="105"/>
      <c r="EW454" s="139"/>
      <c r="EX454" s="105"/>
      <c r="EY454" s="105"/>
      <c r="EZ454" s="105"/>
      <c r="FA454" s="105"/>
      <c r="FB454" s="139"/>
      <c r="FC454" s="105"/>
      <c r="FD454" s="105"/>
      <c r="FE454" s="105"/>
      <c r="FF454" s="105"/>
      <c r="FG454" s="139"/>
      <c r="FH454" s="105"/>
      <c r="FI454" s="105"/>
      <c r="FJ454" s="105"/>
      <c r="FK454" s="105"/>
      <c r="FL454" s="139"/>
      <c r="FM454" s="105"/>
      <c r="FN454" s="105"/>
      <c r="FO454" s="105"/>
      <c r="FP454" s="105"/>
      <c r="FQ454" s="139"/>
      <c r="FR454" s="105"/>
      <c r="FS454" s="105"/>
      <c r="FT454" s="105"/>
      <c r="FU454" s="105"/>
      <c r="FV454" s="139"/>
      <c r="FW454" s="105"/>
      <c r="FX454" s="105"/>
      <c r="FY454" s="105"/>
      <c r="FZ454" s="105"/>
      <c r="GA454" s="139"/>
      <c r="GB454" s="105"/>
      <c r="GC454" s="105"/>
      <c r="GD454" s="105"/>
      <c r="GE454" s="105"/>
      <c r="GF454" s="139"/>
      <c r="GG454" s="105"/>
      <c r="GH454" s="105"/>
      <c r="GI454" s="105"/>
      <c r="GJ454" s="105"/>
    </row>
    <row r="455" spans="1:192" s="93" customFormat="1" ht="12.75" customHeight="1">
      <c r="A455" s="68"/>
      <c r="B455" s="677"/>
      <c r="C455" s="139"/>
      <c r="D455" s="105"/>
      <c r="E455" s="105"/>
      <c r="F455" s="105"/>
      <c r="G455" s="105"/>
      <c r="H455" s="139"/>
      <c r="I455" s="105"/>
      <c r="J455" s="105"/>
      <c r="K455" s="105"/>
      <c r="L455" s="105"/>
      <c r="M455" s="139"/>
      <c r="N455" s="105"/>
      <c r="O455" s="105"/>
      <c r="P455" s="105"/>
      <c r="Q455" s="105"/>
      <c r="R455" s="139"/>
      <c r="S455" s="105"/>
      <c r="T455" s="105"/>
      <c r="U455" s="105"/>
      <c r="V455" s="105"/>
      <c r="W455" s="139"/>
      <c r="X455" s="105"/>
      <c r="Y455" s="105"/>
      <c r="Z455" s="105"/>
      <c r="AA455" s="105"/>
      <c r="AB455" s="139"/>
      <c r="AC455" s="105"/>
      <c r="AD455" s="105"/>
      <c r="AE455" s="105"/>
      <c r="AF455" s="105"/>
      <c r="AG455" s="139"/>
      <c r="AH455" s="105"/>
      <c r="AI455" s="105"/>
      <c r="AJ455" s="105"/>
      <c r="AK455" s="105"/>
      <c r="AL455" s="139"/>
      <c r="AM455" s="105"/>
      <c r="AN455" s="105"/>
      <c r="AO455" s="105"/>
      <c r="AP455" s="105"/>
      <c r="AQ455" s="139"/>
      <c r="AR455" s="105"/>
      <c r="AS455" s="105"/>
      <c r="AT455" s="105"/>
      <c r="AU455" s="105"/>
      <c r="AV455" s="139"/>
      <c r="AW455" s="105"/>
      <c r="AX455" s="105"/>
      <c r="AY455" s="105"/>
      <c r="AZ455" s="105"/>
      <c r="BA455" s="139"/>
      <c r="BB455" s="105"/>
      <c r="BC455" s="105"/>
      <c r="BD455" s="105"/>
      <c r="BE455" s="105"/>
      <c r="BF455" s="139"/>
      <c r="BG455" s="105"/>
      <c r="BH455" s="105"/>
      <c r="BI455" s="105"/>
      <c r="BJ455" s="105"/>
      <c r="BK455" s="139"/>
      <c r="BL455" s="105"/>
      <c r="BM455" s="105"/>
      <c r="BN455" s="105"/>
      <c r="BO455" s="105"/>
      <c r="BP455" s="139"/>
      <c r="BQ455" s="105"/>
      <c r="BR455" s="105"/>
      <c r="BS455" s="105"/>
      <c r="BT455" s="105"/>
      <c r="BU455" s="139"/>
      <c r="BV455" s="105"/>
      <c r="BW455" s="105"/>
      <c r="BX455" s="105"/>
      <c r="BY455" s="105"/>
      <c r="BZ455" s="139"/>
      <c r="CA455" s="105"/>
      <c r="CB455" s="105"/>
      <c r="CC455" s="105"/>
      <c r="CD455" s="105"/>
      <c r="CE455" s="139"/>
      <c r="CF455" s="105"/>
      <c r="CG455" s="105"/>
      <c r="CH455" s="105"/>
      <c r="CI455" s="105"/>
      <c r="CJ455" s="139"/>
      <c r="CK455" s="105"/>
      <c r="CL455" s="105"/>
      <c r="CM455" s="105"/>
      <c r="CN455" s="105"/>
      <c r="CO455" s="139"/>
      <c r="CP455" s="105"/>
      <c r="CQ455" s="105"/>
      <c r="CR455" s="105"/>
      <c r="CS455" s="105"/>
      <c r="CT455" s="139"/>
      <c r="CU455" s="105"/>
      <c r="CV455" s="105"/>
      <c r="CW455" s="105"/>
      <c r="CX455" s="105"/>
      <c r="CY455" s="139"/>
      <c r="CZ455" s="105"/>
      <c r="DA455" s="105"/>
      <c r="DB455" s="105"/>
      <c r="DC455" s="105"/>
      <c r="DD455" s="139"/>
      <c r="DE455" s="105"/>
      <c r="DF455" s="105"/>
      <c r="DG455" s="105"/>
      <c r="DH455" s="105"/>
      <c r="DI455" s="139"/>
      <c r="DJ455" s="105"/>
      <c r="DK455" s="105"/>
      <c r="DL455" s="105"/>
      <c r="DM455" s="105"/>
      <c r="DN455" s="139"/>
      <c r="DO455" s="105"/>
      <c r="DP455" s="105"/>
      <c r="DQ455" s="105"/>
      <c r="DR455" s="105"/>
      <c r="DS455" s="139"/>
      <c r="DT455" s="105"/>
      <c r="DU455" s="105"/>
      <c r="DV455" s="105"/>
      <c r="DW455" s="105"/>
      <c r="DX455" s="139"/>
      <c r="DY455" s="105"/>
      <c r="DZ455" s="105"/>
      <c r="EA455" s="105"/>
      <c r="EB455" s="105"/>
      <c r="EC455" s="139"/>
      <c r="ED455" s="105"/>
      <c r="EE455" s="105"/>
      <c r="EF455" s="105"/>
      <c r="EG455" s="105"/>
      <c r="EH455" s="139"/>
      <c r="EI455" s="105"/>
      <c r="EJ455" s="105"/>
      <c r="EK455" s="105"/>
      <c r="EL455" s="105"/>
      <c r="EM455" s="139"/>
      <c r="EN455" s="105"/>
      <c r="EO455" s="105"/>
      <c r="EP455" s="105"/>
      <c r="EQ455" s="105"/>
      <c r="ER455" s="139"/>
      <c r="ES455" s="105"/>
      <c r="ET455" s="105"/>
      <c r="EU455" s="105"/>
      <c r="EV455" s="105"/>
      <c r="EW455" s="139"/>
      <c r="EX455" s="105"/>
      <c r="EY455" s="105"/>
      <c r="EZ455" s="105"/>
      <c r="FA455" s="105"/>
      <c r="FB455" s="139"/>
      <c r="FC455" s="105"/>
      <c r="FD455" s="105"/>
      <c r="FE455" s="105"/>
      <c r="FF455" s="105"/>
      <c r="FG455" s="139"/>
      <c r="FH455" s="105"/>
      <c r="FI455" s="105"/>
      <c r="FJ455" s="105"/>
      <c r="FK455" s="105"/>
      <c r="FL455" s="139"/>
      <c r="FM455" s="105"/>
      <c r="FN455" s="105"/>
      <c r="FO455" s="105"/>
      <c r="FP455" s="105"/>
      <c r="FQ455" s="139"/>
      <c r="FR455" s="105"/>
      <c r="FS455" s="105"/>
      <c r="FT455" s="105"/>
      <c r="FU455" s="105"/>
      <c r="FV455" s="139"/>
      <c r="FW455" s="105"/>
      <c r="FX455" s="105"/>
      <c r="FY455" s="105"/>
      <c r="FZ455" s="105"/>
      <c r="GA455" s="139"/>
      <c r="GB455" s="105"/>
      <c r="GC455" s="105"/>
      <c r="GD455" s="105"/>
      <c r="GE455" s="105"/>
      <c r="GF455" s="139"/>
      <c r="GG455" s="105"/>
      <c r="GH455" s="105"/>
      <c r="GI455" s="105"/>
      <c r="GJ455" s="105"/>
    </row>
    <row r="459" spans="1:192" s="93" customFormat="1" ht="12.75" customHeight="1">
      <c r="A459" s="68"/>
      <c r="B459" s="677"/>
      <c r="C459" s="139"/>
      <c r="D459" s="105"/>
      <c r="E459" s="105"/>
      <c r="F459" s="105"/>
      <c r="G459" s="105"/>
      <c r="H459" s="139"/>
      <c r="I459" s="105"/>
      <c r="J459" s="105"/>
      <c r="K459" s="105"/>
      <c r="L459" s="105"/>
      <c r="M459" s="139"/>
      <c r="N459" s="105"/>
      <c r="O459" s="105"/>
      <c r="P459" s="105"/>
      <c r="Q459" s="105"/>
      <c r="R459" s="139"/>
      <c r="S459" s="105"/>
      <c r="T459" s="105"/>
      <c r="U459" s="105"/>
      <c r="V459" s="105"/>
      <c r="W459" s="139"/>
      <c r="X459" s="105"/>
      <c r="Y459" s="105"/>
      <c r="Z459" s="105"/>
      <c r="AA459" s="105"/>
      <c r="AB459" s="139"/>
      <c r="AC459" s="105"/>
      <c r="AD459" s="105"/>
      <c r="AE459" s="105"/>
      <c r="AF459" s="105"/>
      <c r="AG459" s="139"/>
      <c r="AH459" s="105"/>
      <c r="AI459" s="105"/>
      <c r="AJ459" s="105"/>
      <c r="AK459" s="105"/>
      <c r="AL459" s="139"/>
      <c r="AM459" s="105"/>
      <c r="AN459" s="105"/>
      <c r="AO459" s="105"/>
      <c r="AP459" s="105"/>
      <c r="AQ459" s="139"/>
      <c r="AR459" s="105"/>
      <c r="AS459" s="105"/>
      <c r="AT459" s="105"/>
      <c r="AU459" s="105"/>
      <c r="AV459" s="139"/>
      <c r="AW459" s="105"/>
      <c r="AX459" s="105"/>
      <c r="AY459" s="105"/>
      <c r="AZ459" s="105"/>
      <c r="BA459" s="139"/>
      <c r="BB459" s="105"/>
      <c r="BC459" s="105"/>
      <c r="BD459" s="105"/>
      <c r="BE459" s="105"/>
      <c r="BF459" s="139"/>
      <c r="BG459" s="105"/>
      <c r="BH459" s="105"/>
      <c r="BI459" s="105"/>
      <c r="BJ459" s="105"/>
      <c r="BK459" s="139"/>
      <c r="BL459" s="105"/>
      <c r="BM459" s="105"/>
      <c r="BN459" s="105"/>
      <c r="BO459" s="105"/>
      <c r="BP459" s="139"/>
      <c r="BQ459" s="105"/>
      <c r="BR459" s="105"/>
      <c r="BS459" s="105"/>
      <c r="BT459" s="105"/>
      <c r="BU459" s="139"/>
      <c r="BV459" s="105"/>
      <c r="BW459" s="105"/>
      <c r="BX459" s="105"/>
      <c r="BY459" s="105"/>
      <c r="BZ459" s="139"/>
      <c r="CA459" s="105"/>
      <c r="CB459" s="105"/>
      <c r="CC459" s="105"/>
      <c r="CD459" s="105"/>
      <c r="CE459" s="139"/>
      <c r="CF459" s="105"/>
      <c r="CG459" s="105"/>
      <c r="CH459" s="105"/>
      <c r="CI459" s="105"/>
      <c r="CJ459" s="139"/>
      <c r="CK459" s="105"/>
      <c r="CL459" s="105"/>
      <c r="CM459" s="105"/>
      <c r="CN459" s="105"/>
      <c r="CO459" s="139"/>
      <c r="CP459" s="105"/>
      <c r="CQ459" s="105"/>
      <c r="CR459" s="105"/>
      <c r="CS459" s="105"/>
      <c r="CT459" s="139"/>
      <c r="CU459" s="105"/>
      <c r="CV459" s="105"/>
      <c r="CW459" s="105"/>
      <c r="CX459" s="105"/>
      <c r="CY459" s="139"/>
      <c r="CZ459" s="105"/>
      <c r="DA459" s="105"/>
      <c r="DB459" s="105"/>
      <c r="DC459" s="105"/>
      <c r="DD459" s="139"/>
      <c r="DE459" s="105"/>
      <c r="DF459" s="105"/>
      <c r="DG459" s="105"/>
      <c r="DH459" s="105"/>
      <c r="DI459" s="139"/>
      <c r="DJ459" s="105"/>
      <c r="DK459" s="105"/>
      <c r="DL459" s="105"/>
      <c r="DM459" s="105"/>
      <c r="DN459" s="139"/>
      <c r="DO459" s="105"/>
      <c r="DP459" s="105"/>
      <c r="DQ459" s="105"/>
      <c r="DR459" s="105"/>
      <c r="DS459" s="139"/>
      <c r="DT459" s="105"/>
      <c r="DU459" s="105"/>
      <c r="DV459" s="105"/>
      <c r="DW459" s="105"/>
      <c r="DX459" s="139"/>
      <c r="DY459" s="105"/>
      <c r="DZ459" s="105"/>
      <c r="EA459" s="105"/>
      <c r="EB459" s="105"/>
      <c r="EC459" s="139"/>
      <c r="ED459" s="105"/>
      <c r="EE459" s="105"/>
      <c r="EF459" s="105"/>
      <c r="EG459" s="105"/>
      <c r="EH459" s="139"/>
      <c r="EI459" s="105"/>
      <c r="EJ459" s="105"/>
      <c r="EK459" s="105"/>
      <c r="EL459" s="105"/>
      <c r="EM459" s="139"/>
      <c r="EN459" s="105"/>
      <c r="EO459" s="105"/>
      <c r="EP459" s="105"/>
      <c r="EQ459" s="105"/>
      <c r="ER459" s="139"/>
      <c r="ES459" s="105"/>
      <c r="ET459" s="105"/>
      <c r="EU459" s="105"/>
      <c r="EV459" s="105"/>
      <c r="EW459" s="139"/>
      <c r="EX459" s="105"/>
      <c r="EY459" s="105"/>
      <c r="EZ459" s="105"/>
      <c r="FA459" s="105"/>
      <c r="FB459" s="139"/>
      <c r="FC459" s="105"/>
      <c r="FD459" s="105"/>
      <c r="FE459" s="105"/>
      <c r="FF459" s="105"/>
      <c r="FG459" s="139"/>
      <c r="FH459" s="105"/>
      <c r="FI459" s="105"/>
      <c r="FJ459" s="105"/>
      <c r="FK459" s="105"/>
      <c r="FL459" s="139"/>
      <c r="FM459" s="105"/>
      <c r="FN459" s="105"/>
      <c r="FO459" s="105"/>
      <c r="FP459" s="105"/>
      <c r="FQ459" s="139"/>
      <c r="FR459" s="105"/>
      <c r="FS459" s="105"/>
      <c r="FT459" s="105"/>
      <c r="FU459" s="105"/>
      <c r="FV459" s="139"/>
      <c r="FW459" s="105"/>
      <c r="FX459" s="105"/>
      <c r="FY459" s="105"/>
      <c r="FZ459" s="105"/>
      <c r="GA459" s="139"/>
      <c r="GB459" s="105"/>
      <c r="GC459" s="105"/>
      <c r="GD459" s="105"/>
      <c r="GE459" s="105"/>
      <c r="GF459" s="139"/>
      <c r="GG459" s="105"/>
      <c r="GH459" s="105"/>
      <c r="GI459" s="105"/>
      <c r="GJ459" s="105"/>
    </row>
    <row r="460" spans="1:192" s="93" customFormat="1" ht="12.75" customHeight="1">
      <c r="A460" s="68"/>
      <c r="B460" s="677"/>
      <c r="C460" s="139"/>
      <c r="D460" s="105"/>
      <c r="E460" s="105"/>
      <c r="F460" s="105"/>
      <c r="G460" s="105"/>
      <c r="H460" s="139"/>
      <c r="I460" s="105"/>
      <c r="J460" s="105"/>
      <c r="K460" s="105"/>
      <c r="L460" s="105"/>
      <c r="M460" s="139"/>
      <c r="N460" s="105"/>
      <c r="O460" s="105"/>
      <c r="P460" s="105"/>
      <c r="Q460" s="105"/>
      <c r="R460" s="139"/>
      <c r="S460" s="105"/>
      <c r="T460" s="105"/>
      <c r="U460" s="105"/>
      <c r="V460" s="105"/>
      <c r="W460" s="139"/>
      <c r="X460" s="105"/>
      <c r="Y460" s="105"/>
      <c r="Z460" s="105"/>
      <c r="AA460" s="105"/>
      <c r="AB460" s="139"/>
      <c r="AC460" s="105"/>
      <c r="AD460" s="105"/>
      <c r="AE460" s="105"/>
      <c r="AF460" s="105"/>
      <c r="AG460" s="139"/>
      <c r="AH460" s="105"/>
      <c r="AI460" s="105"/>
      <c r="AJ460" s="105"/>
      <c r="AK460" s="105"/>
      <c r="AL460" s="139"/>
      <c r="AM460" s="105"/>
      <c r="AN460" s="105"/>
      <c r="AO460" s="105"/>
      <c r="AP460" s="105"/>
      <c r="AQ460" s="139"/>
      <c r="AR460" s="105"/>
      <c r="AS460" s="105"/>
      <c r="AT460" s="105"/>
      <c r="AU460" s="105"/>
      <c r="AV460" s="139"/>
      <c r="AW460" s="105"/>
      <c r="AX460" s="105"/>
      <c r="AY460" s="105"/>
      <c r="AZ460" s="105"/>
      <c r="BA460" s="139"/>
      <c r="BB460" s="105"/>
      <c r="BC460" s="105"/>
      <c r="BD460" s="105"/>
      <c r="BE460" s="105"/>
      <c r="BF460" s="139"/>
      <c r="BG460" s="105"/>
      <c r="BH460" s="105"/>
      <c r="BI460" s="105"/>
      <c r="BJ460" s="105"/>
      <c r="BK460" s="139"/>
      <c r="BL460" s="105"/>
      <c r="BM460" s="105"/>
      <c r="BN460" s="105"/>
      <c r="BO460" s="105"/>
      <c r="BP460" s="139"/>
      <c r="BQ460" s="105"/>
      <c r="BR460" s="105"/>
      <c r="BS460" s="105"/>
      <c r="BT460" s="105"/>
      <c r="BU460" s="139"/>
      <c r="BV460" s="105"/>
      <c r="BW460" s="105"/>
      <c r="BX460" s="105"/>
      <c r="BY460" s="105"/>
      <c r="BZ460" s="139"/>
      <c r="CA460" s="105"/>
      <c r="CB460" s="105"/>
      <c r="CC460" s="105"/>
      <c r="CD460" s="105"/>
      <c r="CE460" s="139"/>
      <c r="CF460" s="105"/>
      <c r="CG460" s="105"/>
      <c r="CH460" s="105"/>
      <c r="CI460" s="105"/>
      <c r="CJ460" s="139"/>
      <c r="CK460" s="105"/>
      <c r="CL460" s="105"/>
      <c r="CM460" s="105"/>
      <c r="CN460" s="105"/>
      <c r="CO460" s="139"/>
      <c r="CP460" s="105"/>
      <c r="CQ460" s="105"/>
      <c r="CR460" s="105"/>
      <c r="CS460" s="105"/>
      <c r="CT460" s="139"/>
      <c r="CU460" s="105"/>
      <c r="CV460" s="105"/>
      <c r="CW460" s="105"/>
      <c r="CX460" s="105"/>
      <c r="CY460" s="139"/>
      <c r="CZ460" s="105"/>
      <c r="DA460" s="105"/>
      <c r="DB460" s="105"/>
      <c r="DC460" s="105"/>
      <c r="DD460" s="139"/>
      <c r="DE460" s="105"/>
      <c r="DF460" s="105"/>
      <c r="DG460" s="105"/>
      <c r="DH460" s="105"/>
      <c r="DI460" s="139"/>
      <c r="DJ460" s="105"/>
      <c r="DK460" s="105"/>
      <c r="DL460" s="105"/>
      <c r="DM460" s="105"/>
      <c r="DN460" s="139"/>
      <c r="DO460" s="105"/>
      <c r="DP460" s="105"/>
      <c r="DQ460" s="105"/>
      <c r="DR460" s="105"/>
      <c r="DS460" s="139"/>
      <c r="DT460" s="105"/>
      <c r="DU460" s="105"/>
      <c r="DV460" s="105"/>
      <c r="DW460" s="105"/>
      <c r="DX460" s="139"/>
      <c r="DY460" s="105"/>
      <c r="DZ460" s="105"/>
      <c r="EA460" s="105"/>
      <c r="EB460" s="105"/>
      <c r="EC460" s="139"/>
      <c r="ED460" s="105"/>
      <c r="EE460" s="105"/>
      <c r="EF460" s="105"/>
      <c r="EG460" s="105"/>
      <c r="EH460" s="139"/>
      <c r="EI460" s="105"/>
      <c r="EJ460" s="105"/>
      <c r="EK460" s="105"/>
      <c r="EL460" s="105"/>
      <c r="EM460" s="139"/>
      <c r="EN460" s="105"/>
      <c r="EO460" s="105"/>
      <c r="EP460" s="105"/>
      <c r="EQ460" s="105"/>
      <c r="ER460" s="139"/>
      <c r="ES460" s="105"/>
      <c r="ET460" s="105"/>
      <c r="EU460" s="105"/>
      <c r="EV460" s="105"/>
      <c r="EW460" s="139"/>
      <c r="EX460" s="105"/>
      <c r="EY460" s="105"/>
      <c r="EZ460" s="105"/>
      <c r="FA460" s="105"/>
      <c r="FB460" s="139"/>
      <c r="FC460" s="105"/>
      <c r="FD460" s="105"/>
      <c r="FE460" s="105"/>
      <c r="FF460" s="105"/>
      <c r="FG460" s="139"/>
      <c r="FH460" s="105"/>
      <c r="FI460" s="105"/>
      <c r="FJ460" s="105"/>
      <c r="FK460" s="105"/>
      <c r="FL460" s="139"/>
      <c r="FM460" s="105"/>
      <c r="FN460" s="105"/>
      <c r="FO460" s="105"/>
      <c r="FP460" s="105"/>
      <c r="FQ460" s="139"/>
      <c r="FR460" s="105"/>
      <c r="FS460" s="105"/>
      <c r="FT460" s="105"/>
      <c r="FU460" s="105"/>
      <c r="FV460" s="139"/>
      <c r="FW460" s="105"/>
      <c r="FX460" s="105"/>
      <c r="FY460" s="105"/>
      <c r="FZ460" s="105"/>
      <c r="GA460" s="139"/>
      <c r="GB460" s="105"/>
      <c r="GC460" s="105"/>
      <c r="GD460" s="105"/>
      <c r="GE460" s="105"/>
      <c r="GF460" s="139"/>
      <c r="GG460" s="105"/>
      <c r="GH460" s="105"/>
      <c r="GI460" s="105"/>
      <c r="GJ460" s="105"/>
    </row>
    <row r="461" spans="1:192" s="93" customFormat="1" ht="12.75" customHeight="1">
      <c r="A461" s="68"/>
      <c r="B461" s="677"/>
      <c r="C461" s="139"/>
      <c r="D461" s="105"/>
      <c r="E461" s="105"/>
      <c r="F461" s="105"/>
      <c r="G461" s="105"/>
      <c r="H461" s="139"/>
      <c r="I461" s="105"/>
      <c r="J461" s="105"/>
      <c r="K461" s="105"/>
      <c r="L461" s="105"/>
      <c r="M461" s="139"/>
      <c r="N461" s="105"/>
      <c r="O461" s="105"/>
      <c r="P461" s="105"/>
      <c r="Q461" s="105"/>
      <c r="R461" s="139"/>
      <c r="S461" s="105"/>
      <c r="T461" s="105"/>
      <c r="U461" s="105"/>
      <c r="V461" s="105"/>
      <c r="W461" s="139"/>
      <c r="X461" s="105"/>
      <c r="Y461" s="105"/>
      <c r="Z461" s="105"/>
      <c r="AA461" s="105"/>
      <c r="AB461" s="139"/>
      <c r="AC461" s="105"/>
      <c r="AD461" s="105"/>
      <c r="AE461" s="105"/>
      <c r="AF461" s="105"/>
      <c r="AG461" s="139"/>
      <c r="AH461" s="105"/>
      <c r="AI461" s="105"/>
      <c r="AJ461" s="105"/>
      <c r="AK461" s="105"/>
      <c r="AL461" s="139"/>
      <c r="AM461" s="105"/>
      <c r="AN461" s="105"/>
      <c r="AO461" s="105"/>
      <c r="AP461" s="105"/>
      <c r="AQ461" s="139"/>
      <c r="AR461" s="105"/>
      <c r="AS461" s="105"/>
      <c r="AT461" s="105"/>
      <c r="AU461" s="105"/>
      <c r="AV461" s="139"/>
      <c r="AW461" s="105"/>
      <c r="AX461" s="105"/>
      <c r="AY461" s="105"/>
      <c r="AZ461" s="105"/>
      <c r="BA461" s="139"/>
      <c r="BB461" s="105"/>
      <c r="BC461" s="105"/>
      <c r="BD461" s="105"/>
      <c r="BE461" s="105"/>
      <c r="BF461" s="139"/>
      <c r="BG461" s="105"/>
      <c r="BH461" s="105"/>
      <c r="BI461" s="105"/>
      <c r="BJ461" s="105"/>
      <c r="BK461" s="139"/>
      <c r="BL461" s="105"/>
      <c r="BM461" s="105"/>
      <c r="BN461" s="105"/>
      <c r="BO461" s="105"/>
      <c r="BP461" s="139"/>
      <c r="BQ461" s="105"/>
      <c r="BR461" s="105"/>
      <c r="BS461" s="105"/>
      <c r="BT461" s="105"/>
      <c r="BU461" s="139"/>
      <c r="BV461" s="105"/>
      <c r="BW461" s="105"/>
      <c r="BX461" s="105"/>
      <c r="BY461" s="105"/>
      <c r="BZ461" s="139"/>
      <c r="CA461" s="105"/>
      <c r="CB461" s="105"/>
      <c r="CC461" s="105"/>
      <c r="CD461" s="105"/>
      <c r="CE461" s="139"/>
      <c r="CF461" s="105"/>
      <c r="CG461" s="105"/>
      <c r="CH461" s="105"/>
      <c r="CI461" s="105"/>
      <c r="CJ461" s="139"/>
      <c r="CK461" s="105"/>
      <c r="CL461" s="105"/>
      <c r="CM461" s="105"/>
      <c r="CN461" s="105"/>
      <c r="CO461" s="139"/>
      <c r="CP461" s="105"/>
      <c r="CQ461" s="105"/>
      <c r="CR461" s="105"/>
      <c r="CS461" s="105"/>
      <c r="CT461" s="139"/>
      <c r="CU461" s="105"/>
      <c r="CV461" s="105"/>
      <c r="CW461" s="105"/>
      <c r="CX461" s="105"/>
      <c r="CY461" s="139"/>
      <c r="CZ461" s="105"/>
      <c r="DA461" s="105"/>
      <c r="DB461" s="105"/>
      <c r="DC461" s="105"/>
      <c r="DD461" s="139"/>
      <c r="DE461" s="105"/>
      <c r="DF461" s="105"/>
      <c r="DG461" s="105"/>
      <c r="DH461" s="105"/>
      <c r="DI461" s="139"/>
      <c r="DJ461" s="105"/>
      <c r="DK461" s="105"/>
      <c r="DL461" s="105"/>
      <c r="DM461" s="105"/>
      <c r="DN461" s="139"/>
      <c r="DO461" s="105"/>
      <c r="DP461" s="105"/>
      <c r="DQ461" s="105"/>
      <c r="DR461" s="105"/>
      <c r="DS461" s="139"/>
      <c r="DT461" s="105"/>
      <c r="DU461" s="105"/>
      <c r="DV461" s="105"/>
      <c r="DW461" s="105"/>
      <c r="DX461" s="139"/>
      <c r="DY461" s="105"/>
      <c r="DZ461" s="105"/>
      <c r="EA461" s="105"/>
      <c r="EB461" s="105"/>
      <c r="EC461" s="139"/>
      <c r="ED461" s="105"/>
      <c r="EE461" s="105"/>
      <c r="EF461" s="105"/>
      <c r="EG461" s="105"/>
      <c r="EH461" s="139"/>
      <c r="EI461" s="105"/>
      <c r="EJ461" s="105"/>
      <c r="EK461" s="105"/>
      <c r="EL461" s="105"/>
      <c r="EM461" s="139"/>
      <c r="EN461" s="105"/>
      <c r="EO461" s="105"/>
      <c r="EP461" s="105"/>
      <c r="EQ461" s="105"/>
      <c r="ER461" s="139"/>
      <c r="ES461" s="105"/>
      <c r="ET461" s="105"/>
      <c r="EU461" s="105"/>
      <c r="EV461" s="105"/>
      <c r="EW461" s="139"/>
      <c r="EX461" s="105"/>
      <c r="EY461" s="105"/>
      <c r="EZ461" s="105"/>
      <c r="FA461" s="105"/>
      <c r="FB461" s="139"/>
      <c r="FC461" s="105"/>
      <c r="FD461" s="105"/>
      <c r="FE461" s="105"/>
      <c r="FF461" s="105"/>
      <c r="FG461" s="139"/>
      <c r="FH461" s="105"/>
      <c r="FI461" s="105"/>
      <c r="FJ461" s="105"/>
      <c r="FK461" s="105"/>
      <c r="FL461" s="139"/>
      <c r="FM461" s="105"/>
      <c r="FN461" s="105"/>
      <c r="FO461" s="105"/>
      <c r="FP461" s="105"/>
      <c r="FQ461" s="139"/>
      <c r="FR461" s="105"/>
      <c r="FS461" s="105"/>
      <c r="FT461" s="105"/>
      <c r="FU461" s="105"/>
      <c r="FV461" s="139"/>
      <c r="FW461" s="105"/>
      <c r="FX461" s="105"/>
      <c r="FY461" s="105"/>
      <c r="FZ461" s="105"/>
      <c r="GA461" s="139"/>
      <c r="GB461" s="105"/>
      <c r="GC461" s="105"/>
      <c r="GD461" s="105"/>
      <c r="GE461" s="105"/>
      <c r="GF461" s="139"/>
      <c r="GG461" s="105"/>
      <c r="GH461" s="105"/>
      <c r="GI461" s="105"/>
      <c r="GJ461" s="105"/>
    </row>
    <row r="462" spans="1:192" s="93" customFormat="1" ht="12.75" customHeight="1">
      <c r="A462" s="68"/>
      <c r="B462" s="677"/>
      <c r="C462" s="139"/>
      <c r="D462" s="105"/>
      <c r="E462" s="105"/>
      <c r="F462" s="105"/>
      <c r="G462" s="105"/>
      <c r="H462" s="139"/>
      <c r="I462" s="105"/>
      <c r="J462" s="105"/>
      <c r="K462" s="105"/>
      <c r="L462" s="105"/>
      <c r="M462" s="139"/>
      <c r="N462" s="105"/>
      <c r="O462" s="105"/>
      <c r="P462" s="105"/>
      <c r="Q462" s="105"/>
      <c r="R462" s="139"/>
      <c r="S462" s="105"/>
      <c r="T462" s="105"/>
      <c r="U462" s="105"/>
      <c r="V462" s="105"/>
      <c r="W462" s="139"/>
      <c r="X462" s="105"/>
      <c r="Y462" s="105"/>
      <c r="Z462" s="105"/>
      <c r="AA462" s="105"/>
      <c r="AB462" s="139"/>
      <c r="AC462" s="105"/>
      <c r="AD462" s="105"/>
      <c r="AE462" s="105"/>
      <c r="AF462" s="105"/>
      <c r="AG462" s="139"/>
      <c r="AH462" s="105"/>
      <c r="AI462" s="105"/>
      <c r="AJ462" s="105"/>
      <c r="AK462" s="105"/>
      <c r="AL462" s="139"/>
      <c r="AM462" s="105"/>
      <c r="AN462" s="105"/>
      <c r="AO462" s="105"/>
      <c r="AP462" s="105"/>
      <c r="AQ462" s="139"/>
      <c r="AR462" s="105"/>
      <c r="AS462" s="105"/>
      <c r="AT462" s="105"/>
      <c r="AU462" s="105"/>
      <c r="AV462" s="139"/>
      <c r="AW462" s="105"/>
      <c r="AX462" s="105"/>
      <c r="AY462" s="105"/>
      <c r="AZ462" s="105"/>
      <c r="BA462" s="139"/>
      <c r="BB462" s="105"/>
      <c r="BC462" s="105"/>
      <c r="BD462" s="105"/>
      <c r="BE462" s="105"/>
      <c r="BF462" s="139"/>
      <c r="BG462" s="105"/>
      <c r="BH462" s="105"/>
      <c r="BI462" s="105"/>
      <c r="BJ462" s="105"/>
      <c r="BK462" s="139"/>
      <c r="BL462" s="105"/>
      <c r="BM462" s="105"/>
      <c r="BN462" s="105"/>
      <c r="BO462" s="105"/>
      <c r="BP462" s="139"/>
      <c r="BQ462" s="105"/>
      <c r="BR462" s="105"/>
      <c r="BS462" s="105"/>
      <c r="BT462" s="105"/>
      <c r="BU462" s="139"/>
      <c r="BV462" s="105"/>
      <c r="BW462" s="105"/>
      <c r="BX462" s="105"/>
      <c r="BY462" s="105"/>
      <c r="BZ462" s="139"/>
      <c r="CA462" s="105"/>
      <c r="CB462" s="105"/>
      <c r="CC462" s="105"/>
      <c r="CD462" s="105"/>
      <c r="CE462" s="139"/>
      <c r="CF462" s="105"/>
      <c r="CG462" s="105"/>
      <c r="CH462" s="105"/>
      <c r="CI462" s="105"/>
      <c r="CJ462" s="139"/>
      <c r="CK462" s="105"/>
      <c r="CL462" s="105"/>
      <c r="CM462" s="105"/>
      <c r="CN462" s="105"/>
      <c r="CO462" s="139"/>
      <c r="CP462" s="105"/>
      <c r="CQ462" s="105"/>
      <c r="CR462" s="105"/>
      <c r="CS462" s="105"/>
      <c r="CT462" s="139"/>
      <c r="CU462" s="105"/>
      <c r="CV462" s="105"/>
      <c r="CW462" s="105"/>
      <c r="CX462" s="105"/>
      <c r="CY462" s="139"/>
      <c r="CZ462" s="105"/>
      <c r="DA462" s="105"/>
      <c r="DB462" s="105"/>
      <c r="DC462" s="105"/>
      <c r="DD462" s="139"/>
      <c r="DE462" s="105"/>
      <c r="DF462" s="105"/>
      <c r="DG462" s="105"/>
      <c r="DH462" s="105"/>
      <c r="DI462" s="139"/>
      <c r="DJ462" s="105"/>
      <c r="DK462" s="105"/>
      <c r="DL462" s="105"/>
      <c r="DM462" s="105"/>
      <c r="DN462" s="139"/>
      <c r="DO462" s="105"/>
      <c r="DP462" s="105"/>
      <c r="DQ462" s="105"/>
      <c r="DR462" s="105"/>
      <c r="DS462" s="139"/>
      <c r="DT462" s="105"/>
      <c r="DU462" s="105"/>
      <c r="DV462" s="105"/>
      <c r="DW462" s="105"/>
      <c r="DX462" s="139"/>
      <c r="DY462" s="105"/>
      <c r="DZ462" s="105"/>
      <c r="EA462" s="105"/>
      <c r="EB462" s="105"/>
      <c r="EC462" s="139"/>
      <c r="ED462" s="105"/>
      <c r="EE462" s="105"/>
      <c r="EF462" s="105"/>
      <c r="EG462" s="105"/>
      <c r="EH462" s="139"/>
      <c r="EI462" s="105"/>
      <c r="EJ462" s="105"/>
      <c r="EK462" s="105"/>
      <c r="EL462" s="105"/>
      <c r="EM462" s="139"/>
      <c r="EN462" s="105"/>
      <c r="EO462" s="105"/>
      <c r="EP462" s="105"/>
      <c r="EQ462" s="105"/>
      <c r="ER462" s="139"/>
      <c r="ES462" s="105"/>
      <c r="ET462" s="105"/>
      <c r="EU462" s="105"/>
      <c r="EV462" s="105"/>
      <c r="EW462" s="139"/>
      <c r="EX462" s="105"/>
      <c r="EY462" s="105"/>
      <c r="EZ462" s="105"/>
      <c r="FA462" s="105"/>
      <c r="FB462" s="139"/>
      <c r="FC462" s="105"/>
      <c r="FD462" s="105"/>
      <c r="FE462" s="105"/>
      <c r="FF462" s="105"/>
      <c r="FG462" s="139"/>
      <c r="FH462" s="105"/>
      <c r="FI462" s="105"/>
      <c r="FJ462" s="105"/>
      <c r="FK462" s="105"/>
      <c r="FL462" s="139"/>
      <c r="FM462" s="105"/>
      <c r="FN462" s="105"/>
      <c r="FO462" s="105"/>
      <c r="FP462" s="105"/>
      <c r="FQ462" s="139"/>
      <c r="FR462" s="105"/>
      <c r="FS462" s="105"/>
      <c r="FT462" s="105"/>
      <c r="FU462" s="105"/>
      <c r="FV462" s="139"/>
      <c r="FW462" s="105"/>
      <c r="FX462" s="105"/>
      <c r="FY462" s="105"/>
      <c r="FZ462" s="105"/>
      <c r="GA462" s="139"/>
      <c r="GB462" s="105"/>
      <c r="GC462" s="105"/>
      <c r="GD462" s="105"/>
      <c r="GE462" s="105"/>
      <c r="GF462" s="139"/>
      <c r="GG462" s="105"/>
      <c r="GH462" s="105"/>
      <c r="GI462" s="105"/>
      <c r="GJ462" s="105"/>
    </row>
    <row r="465" spans="1:192" s="93" customFormat="1" ht="12.75" customHeight="1">
      <c r="A465" s="68"/>
      <c r="B465" s="677"/>
      <c r="C465" s="169"/>
      <c r="D465" s="169"/>
      <c r="E465" s="169"/>
      <c r="F465" s="169"/>
      <c r="G465" s="169"/>
      <c r="H465" s="169"/>
      <c r="I465" s="169"/>
      <c r="J465" s="169"/>
      <c r="K465" s="169"/>
      <c r="L465" s="169"/>
      <c r="M465" s="169"/>
      <c r="N465" s="169"/>
      <c r="O465" s="169"/>
      <c r="P465" s="169"/>
      <c r="Q465" s="169"/>
      <c r="R465" s="169"/>
      <c r="S465" s="169"/>
      <c r="T465" s="169"/>
      <c r="U465" s="169"/>
      <c r="V465" s="169"/>
      <c r="W465" s="169"/>
      <c r="X465" s="169"/>
      <c r="Y465" s="169"/>
      <c r="Z465" s="169"/>
      <c r="AA465" s="169"/>
      <c r="AB465" s="169"/>
      <c r="AC465" s="169"/>
      <c r="AD465" s="169"/>
      <c r="AE465" s="169"/>
      <c r="AF465" s="169"/>
      <c r="AG465" s="169"/>
      <c r="AH465" s="169"/>
      <c r="AI465" s="169"/>
      <c r="AJ465" s="169"/>
      <c r="AK465" s="169"/>
      <c r="AL465" s="169"/>
      <c r="AM465" s="169"/>
      <c r="AN465" s="169"/>
      <c r="AO465" s="169"/>
      <c r="AP465" s="169"/>
      <c r="AQ465" s="169"/>
      <c r="AR465" s="169"/>
      <c r="AS465" s="169"/>
      <c r="AT465" s="169"/>
      <c r="AU465" s="169"/>
      <c r="AV465" s="169"/>
      <c r="AW465" s="169"/>
      <c r="AX465" s="169"/>
      <c r="AY465" s="169"/>
      <c r="AZ465" s="169"/>
      <c r="BA465" s="169"/>
      <c r="BB465" s="169"/>
      <c r="BC465" s="169"/>
      <c r="BD465" s="169"/>
      <c r="BE465" s="169"/>
      <c r="BF465" s="169"/>
      <c r="BG465" s="169"/>
      <c r="BH465" s="169"/>
      <c r="BI465" s="169"/>
      <c r="BJ465" s="169"/>
      <c r="BK465" s="169"/>
      <c r="BL465" s="169"/>
      <c r="BM465" s="169"/>
      <c r="BN465" s="169"/>
      <c r="BO465" s="169"/>
      <c r="BP465" s="169"/>
      <c r="BQ465" s="169"/>
      <c r="BR465" s="169"/>
      <c r="BS465" s="169"/>
      <c r="BT465" s="169"/>
      <c r="BU465" s="169"/>
      <c r="BV465" s="169"/>
      <c r="BW465" s="169"/>
      <c r="BX465" s="169"/>
      <c r="BY465" s="169"/>
      <c r="BZ465" s="169"/>
      <c r="CA465" s="169"/>
      <c r="CB465" s="169"/>
      <c r="CC465" s="169"/>
      <c r="CD465" s="169"/>
      <c r="CE465" s="169"/>
      <c r="CF465" s="169"/>
      <c r="CG465" s="169"/>
      <c r="CH465" s="169"/>
      <c r="CI465" s="169"/>
      <c r="CJ465" s="169"/>
      <c r="CK465" s="169"/>
      <c r="CL465" s="169"/>
      <c r="CM465" s="169"/>
      <c r="CN465" s="169"/>
      <c r="CO465" s="169"/>
      <c r="CP465" s="169"/>
      <c r="CQ465" s="169"/>
      <c r="CR465" s="169"/>
      <c r="CS465" s="169"/>
      <c r="CT465" s="169"/>
      <c r="CU465" s="169"/>
      <c r="CV465" s="169"/>
      <c r="CW465" s="169"/>
      <c r="CX465" s="169"/>
      <c r="CY465" s="169"/>
      <c r="CZ465" s="169"/>
      <c r="DA465" s="169"/>
      <c r="DB465" s="169"/>
      <c r="DC465" s="169"/>
      <c r="DD465" s="169"/>
      <c r="DE465" s="169"/>
      <c r="DF465" s="169"/>
      <c r="DG465" s="169"/>
      <c r="DH465" s="169"/>
      <c r="DI465" s="169"/>
      <c r="DJ465" s="169"/>
      <c r="DK465" s="169"/>
      <c r="DL465" s="169"/>
      <c r="DM465" s="169"/>
      <c r="DN465" s="169"/>
      <c r="DO465" s="169"/>
      <c r="DP465" s="169"/>
      <c r="DQ465" s="169"/>
      <c r="DR465" s="169"/>
      <c r="DS465" s="169"/>
      <c r="DT465" s="169"/>
      <c r="DU465" s="169"/>
      <c r="DV465" s="169"/>
      <c r="DW465" s="169"/>
      <c r="DX465" s="169"/>
      <c r="DY465" s="169"/>
      <c r="DZ465" s="169"/>
      <c r="EA465" s="169"/>
      <c r="EB465" s="169"/>
      <c r="EC465" s="169"/>
      <c r="ED465" s="169"/>
      <c r="EE465" s="169"/>
      <c r="EF465" s="169"/>
      <c r="EG465" s="169"/>
      <c r="EH465" s="169"/>
      <c r="EI465" s="169"/>
      <c r="EJ465" s="169"/>
      <c r="EK465" s="169"/>
      <c r="EL465" s="169"/>
      <c r="EM465" s="169"/>
      <c r="EN465" s="169"/>
      <c r="EO465" s="169"/>
      <c r="EP465" s="169"/>
      <c r="EQ465" s="169"/>
      <c r="ER465" s="169"/>
      <c r="ES465" s="169"/>
      <c r="ET465" s="169"/>
      <c r="EU465" s="169"/>
      <c r="EV465" s="169"/>
      <c r="EW465" s="169"/>
      <c r="EX465" s="169"/>
      <c r="EY465" s="169"/>
      <c r="EZ465" s="169"/>
      <c r="FA465" s="169"/>
      <c r="FB465" s="169"/>
      <c r="FC465" s="169"/>
      <c r="FD465" s="169"/>
      <c r="FE465" s="169"/>
      <c r="FF465" s="169"/>
      <c r="FG465" s="169"/>
      <c r="FH465" s="169"/>
      <c r="FI465" s="169"/>
      <c r="FJ465" s="169"/>
      <c r="FK465" s="169"/>
      <c r="FL465" s="169"/>
      <c r="FM465" s="169"/>
      <c r="FN465" s="169"/>
      <c r="FO465" s="169"/>
      <c r="FP465" s="169"/>
      <c r="FQ465" s="169"/>
      <c r="FR465" s="169"/>
      <c r="FS465" s="169"/>
      <c r="FT465" s="169"/>
      <c r="FU465" s="169"/>
      <c r="FV465" s="169"/>
      <c r="FW465" s="169"/>
      <c r="FX465" s="169"/>
      <c r="FY465" s="169"/>
      <c r="FZ465" s="169"/>
      <c r="GA465" s="169"/>
      <c r="GB465" s="169"/>
      <c r="GC465" s="169"/>
      <c r="GD465" s="169"/>
      <c r="GE465" s="169"/>
      <c r="GF465" s="169"/>
      <c r="GG465" s="169"/>
      <c r="GH465" s="169"/>
      <c r="GI465" s="169"/>
      <c r="GJ465" s="169"/>
    </row>
    <row r="466" spans="1:192" s="93" customFormat="1" ht="12.75" customHeight="1">
      <c r="A466" s="68"/>
      <c r="B466" s="677"/>
      <c r="C466" s="169"/>
      <c r="D466" s="169"/>
      <c r="E466" s="169"/>
      <c r="F466" s="169"/>
      <c r="G466" s="169"/>
      <c r="H466" s="169"/>
      <c r="I466" s="169"/>
      <c r="J466" s="169"/>
      <c r="K466" s="169"/>
      <c r="L466" s="169"/>
      <c r="M466" s="169"/>
      <c r="N466" s="169"/>
      <c r="O466" s="169"/>
      <c r="P466" s="169"/>
      <c r="Q466" s="169"/>
      <c r="R466" s="169"/>
      <c r="S466" s="169"/>
      <c r="T466" s="169"/>
      <c r="U466" s="169"/>
      <c r="V466" s="169"/>
      <c r="W466" s="169"/>
      <c r="X466" s="169"/>
      <c r="Y466" s="169"/>
      <c r="Z466" s="169"/>
      <c r="AA466" s="169"/>
      <c r="AB466" s="169"/>
      <c r="AC466" s="169"/>
      <c r="AD466" s="169"/>
      <c r="AE466" s="169"/>
      <c r="AF466" s="169"/>
      <c r="AG466" s="169"/>
      <c r="AH466" s="169"/>
      <c r="AI466" s="169"/>
      <c r="AJ466" s="169"/>
      <c r="AK466" s="169"/>
      <c r="AL466" s="169"/>
      <c r="AM466" s="169"/>
      <c r="AN466" s="169"/>
      <c r="AO466" s="169"/>
      <c r="AP466" s="169"/>
      <c r="AQ466" s="169"/>
      <c r="AR466" s="169"/>
      <c r="AS466" s="169"/>
      <c r="AT466" s="169"/>
      <c r="AU466" s="169"/>
      <c r="AV466" s="169"/>
      <c r="AW466" s="169"/>
      <c r="AX466" s="169"/>
      <c r="AY466" s="169"/>
      <c r="AZ466" s="169"/>
      <c r="BA466" s="169"/>
      <c r="BB466" s="169"/>
      <c r="BC466" s="169"/>
      <c r="BD466" s="169"/>
      <c r="BE466" s="169"/>
      <c r="BF466" s="169"/>
      <c r="BG466" s="169"/>
      <c r="BH466" s="169"/>
      <c r="BI466" s="169"/>
      <c r="BJ466" s="169"/>
      <c r="BK466" s="169"/>
      <c r="BL466" s="169"/>
      <c r="BM466" s="169"/>
      <c r="BN466" s="169"/>
      <c r="BO466" s="169"/>
      <c r="BP466" s="169"/>
      <c r="BQ466" s="169"/>
      <c r="BR466" s="169"/>
      <c r="BS466" s="169"/>
      <c r="BT466" s="169"/>
      <c r="BU466" s="169"/>
      <c r="BV466" s="169"/>
      <c r="BW466" s="169"/>
      <c r="BX466" s="169"/>
      <c r="BY466" s="169"/>
      <c r="BZ466" s="169"/>
      <c r="CA466" s="169"/>
      <c r="CB466" s="169"/>
      <c r="CC466" s="169"/>
      <c r="CD466" s="169"/>
      <c r="CE466" s="169"/>
      <c r="CF466" s="169"/>
      <c r="CG466" s="169"/>
      <c r="CH466" s="169"/>
      <c r="CI466" s="169"/>
      <c r="CJ466" s="169"/>
      <c r="CK466" s="169"/>
      <c r="CL466" s="169"/>
      <c r="CM466" s="169"/>
      <c r="CN466" s="169"/>
      <c r="CO466" s="169"/>
      <c r="CP466" s="169"/>
      <c r="CQ466" s="169"/>
      <c r="CR466" s="169"/>
      <c r="CS466" s="169"/>
      <c r="CT466" s="169"/>
      <c r="CU466" s="169"/>
      <c r="CV466" s="169"/>
      <c r="CW466" s="169"/>
      <c r="CX466" s="169"/>
      <c r="CY466" s="169"/>
      <c r="CZ466" s="169"/>
      <c r="DA466" s="169"/>
      <c r="DB466" s="169"/>
      <c r="DC466" s="169"/>
      <c r="DD466" s="169"/>
      <c r="DE466" s="169"/>
      <c r="DF466" s="169"/>
      <c r="DG466" s="169"/>
      <c r="DH466" s="169"/>
      <c r="DI466" s="169"/>
      <c r="DJ466" s="169"/>
      <c r="DK466" s="169"/>
      <c r="DL466" s="169"/>
      <c r="DM466" s="169"/>
      <c r="DN466" s="169"/>
      <c r="DO466" s="169"/>
      <c r="DP466" s="169"/>
      <c r="DQ466" s="169"/>
      <c r="DR466" s="169"/>
      <c r="DS466" s="169"/>
      <c r="DT466" s="169"/>
      <c r="DU466" s="169"/>
      <c r="DV466" s="169"/>
      <c r="DW466" s="169"/>
      <c r="DX466" s="169"/>
      <c r="DY466" s="169"/>
      <c r="DZ466" s="169"/>
      <c r="EA466" s="169"/>
      <c r="EB466" s="169"/>
      <c r="EC466" s="169"/>
      <c r="ED466" s="169"/>
      <c r="EE466" s="169"/>
      <c r="EF466" s="169"/>
      <c r="EG466" s="169"/>
      <c r="EH466" s="169"/>
      <c r="EI466" s="169"/>
      <c r="EJ466" s="169"/>
      <c r="EK466" s="169"/>
      <c r="EL466" s="169"/>
      <c r="EM466" s="169"/>
      <c r="EN466" s="169"/>
      <c r="EO466" s="169"/>
      <c r="EP466" s="169"/>
      <c r="EQ466" s="169"/>
      <c r="ER466" s="169"/>
      <c r="ES466" s="169"/>
      <c r="ET466" s="169"/>
      <c r="EU466" s="169"/>
      <c r="EV466" s="169"/>
      <c r="EW466" s="169"/>
      <c r="EX466" s="169"/>
      <c r="EY466" s="169"/>
      <c r="EZ466" s="169"/>
      <c r="FA466" s="169"/>
      <c r="FB466" s="169"/>
      <c r="FC466" s="169"/>
      <c r="FD466" s="169"/>
      <c r="FE466" s="169"/>
      <c r="FF466" s="169"/>
      <c r="FG466" s="169"/>
      <c r="FH466" s="169"/>
      <c r="FI466" s="169"/>
      <c r="FJ466" s="169"/>
      <c r="FK466" s="169"/>
      <c r="FL466" s="169"/>
      <c r="FM466" s="169"/>
      <c r="FN466" s="169"/>
      <c r="FO466" s="169"/>
      <c r="FP466" s="169"/>
      <c r="FQ466" s="169"/>
      <c r="FR466" s="169"/>
      <c r="FS466" s="169"/>
      <c r="FT466" s="169"/>
      <c r="FU466" s="169"/>
      <c r="FV466" s="169"/>
      <c r="FW466" s="169"/>
      <c r="FX466" s="169"/>
      <c r="FY466" s="169"/>
      <c r="FZ466" s="169"/>
      <c r="GA466" s="169"/>
      <c r="GB466" s="169"/>
      <c r="GC466" s="169"/>
      <c r="GD466" s="169"/>
      <c r="GE466" s="169"/>
      <c r="GF466" s="169"/>
      <c r="GG466" s="169"/>
      <c r="GH466" s="169"/>
      <c r="GI466" s="169"/>
      <c r="GJ466" s="169"/>
    </row>
    <row r="467" spans="1:192" s="93" customFormat="1" ht="12.75" customHeight="1">
      <c r="A467" s="68"/>
      <c r="B467" s="677"/>
      <c r="C467" s="169"/>
      <c r="D467" s="169"/>
      <c r="E467" s="169"/>
      <c r="F467" s="169"/>
      <c r="G467" s="169"/>
      <c r="H467" s="169"/>
      <c r="I467" s="169"/>
      <c r="J467" s="169"/>
      <c r="K467" s="169"/>
      <c r="L467" s="169"/>
      <c r="M467" s="169"/>
      <c r="N467" s="169"/>
      <c r="O467" s="169"/>
      <c r="P467" s="169"/>
      <c r="Q467" s="169"/>
      <c r="R467" s="169"/>
      <c r="S467" s="169"/>
      <c r="T467" s="169"/>
      <c r="U467" s="169"/>
      <c r="V467" s="169"/>
      <c r="W467" s="169"/>
      <c r="X467" s="169"/>
      <c r="Y467" s="169"/>
      <c r="Z467" s="169"/>
      <c r="AA467" s="169"/>
      <c r="AB467" s="169"/>
      <c r="AC467" s="169"/>
      <c r="AD467" s="169"/>
      <c r="AE467" s="169"/>
      <c r="AF467" s="169"/>
      <c r="AG467" s="169"/>
      <c r="AH467" s="169"/>
      <c r="AI467" s="169"/>
      <c r="AJ467" s="169"/>
      <c r="AK467" s="169"/>
      <c r="AL467" s="169"/>
      <c r="AM467" s="169"/>
      <c r="AN467" s="169"/>
      <c r="AO467" s="169"/>
      <c r="AP467" s="169"/>
      <c r="AQ467" s="169"/>
      <c r="AR467" s="169"/>
      <c r="AS467" s="169"/>
      <c r="AT467" s="169"/>
      <c r="AU467" s="169"/>
      <c r="AV467" s="169"/>
      <c r="AW467" s="169"/>
      <c r="AX467" s="169"/>
      <c r="AY467" s="169"/>
      <c r="AZ467" s="169"/>
      <c r="BA467" s="169"/>
      <c r="BB467" s="169"/>
      <c r="BC467" s="169"/>
      <c r="BD467" s="169"/>
      <c r="BE467" s="169"/>
      <c r="BF467" s="169"/>
      <c r="BG467" s="169"/>
      <c r="BH467" s="169"/>
      <c r="BI467" s="169"/>
      <c r="BJ467" s="169"/>
      <c r="BK467" s="169"/>
      <c r="BL467" s="169"/>
      <c r="BM467" s="169"/>
      <c r="BN467" s="169"/>
      <c r="BO467" s="169"/>
      <c r="BP467" s="169"/>
      <c r="BQ467" s="169"/>
      <c r="BR467" s="169"/>
      <c r="BS467" s="169"/>
      <c r="BT467" s="169"/>
      <c r="BU467" s="169"/>
      <c r="BV467" s="169"/>
      <c r="BW467" s="169"/>
      <c r="BX467" s="169"/>
      <c r="BY467" s="169"/>
      <c r="BZ467" s="169"/>
      <c r="CA467" s="169"/>
      <c r="CB467" s="169"/>
      <c r="CC467" s="169"/>
      <c r="CD467" s="169"/>
      <c r="CE467" s="169"/>
      <c r="CF467" s="169"/>
      <c r="CG467" s="169"/>
      <c r="CH467" s="169"/>
      <c r="CI467" s="169"/>
      <c r="CJ467" s="169"/>
      <c r="CK467" s="169"/>
      <c r="CL467" s="169"/>
      <c r="CM467" s="169"/>
      <c r="CN467" s="169"/>
      <c r="CO467" s="169"/>
      <c r="CP467" s="169"/>
      <c r="CQ467" s="169"/>
      <c r="CR467" s="169"/>
      <c r="CS467" s="169"/>
      <c r="CT467" s="169"/>
      <c r="CU467" s="169"/>
      <c r="CV467" s="169"/>
      <c r="CW467" s="169"/>
      <c r="CX467" s="169"/>
      <c r="CY467" s="169"/>
      <c r="CZ467" s="169"/>
      <c r="DA467" s="169"/>
      <c r="DB467" s="169"/>
      <c r="DC467" s="169"/>
      <c r="DD467" s="169"/>
      <c r="DE467" s="169"/>
      <c r="DF467" s="169"/>
      <c r="DG467" s="169"/>
      <c r="DH467" s="169"/>
      <c r="DI467" s="169"/>
      <c r="DJ467" s="169"/>
      <c r="DK467" s="169"/>
      <c r="DL467" s="169"/>
      <c r="DM467" s="169"/>
      <c r="DN467" s="169"/>
      <c r="DO467" s="169"/>
      <c r="DP467" s="169"/>
      <c r="DQ467" s="169"/>
      <c r="DR467" s="169"/>
      <c r="DS467" s="169"/>
      <c r="DT467" s="169"/>
      <c r="DU467" s="169"/>
      <c r="DV467" s="169"/>
      <c r="DW467" s="169"/>
      <c r="DX467" s="169"/>
      <c r="DY467" s="169"/>
      <c r="DZ467" s="169"/>
      <c r="EA467" s="169"/>
      <c r="EB467" s="169"/>
      <c r="EC467" s="169"/>
      <c r="ED467" s="169"/>
      <c r="EE467" s="169"/>
      <c r="EF467" s="169"/>
      <c r="EG467" s="169"/>
      <c r="EH467" s="169"/>
      <c r="EI467" s="169"/>
      <c r="EJ467" s="169"/>
      <c r="EK467" s="169"/>
      <c r="EL467" s="169"/>
      <c r="EM467" s="169"/>
      <c r="EN467" s="169"/>
      <c r="EO467" s="169"/>
      <c r="EP467" s="169"/>
      <c r="EQ467" s="169"/>
      <c r="ER467" s="169"/>
      <c r="ES467" s="169"/>
      <c r="ET467" s="169"/>
      <c r="EU467" s="169"/>
      <c r="EV467" s="169"/>
      <c r="EW467" s="169"/>
      <c r="EX467" s="169"/>
      <c r="EY467" s="169"/>
      <c r="EZ467" s="169"/>
      <c r="FA467" s="169"/>
      <c r="FB467" s="169"/>
      <c r="FC467" s="169"/>
      <c r="FD467" s="169"/>
      <c r="FE467" s="169"/>
      <c r="FF467" s="169"/>
      <c r="FG467" s="169"/>
      <c r="FH467" s="169"/>
      <c r="FI467" s="169"/>
      <c r="FJ467" s="169"/>
      <c r="FK467" s="169"/>
      <c r="FL467" s="169"/>
      <c r="FM467" s="169"/>
      <c r="FN467" s="169"/>
      <c r="FO467" s="169"/>
      <c r="FP467" s="169"/>
      <c r="FQ467" s="169"/>
      <c r="FR467" s="169"/>
      <c r="FS467" s="169"/>
      <c r="FT467" s="169"/>
      <c r="FU467" s="169"/>
      <c r="FV467" s="169"/>
      <c r="FW467" s="169"/>
      <c r="FX467" s="169"/>
      <c r="FY467" s="169"/>
      <c r="FZ467" s="169"/>
      <c r="GA467" s="169"/>
      <c r="GB467" s="169"/>
      <c r="GC467" s="169"/>
      <c r="GD467" s="169"/>
      <c r="GE467" s="169"/>
      <c r="GF467" s="169"/>
      <c r="GG467" s="169"/>
      <c r="GH467" s="169"/>
      <c r="GI467" s="169"/>
      <c r="GJ467" s="169"/>
    </row>
    <row r="468" spans="1:192" s="93" customFormat="1" ht="12.75" customHeight="1">
      <c r="A468" s="68"/>
      <c r="B468" s="677"/>
      <c r="C468" s="106"/>
      <c r="D468" s="106"/>
      <c r="E468" s="106"/>
      <c r="F468" s="106"/>
      <c r="G468" s="106"/>
      <c r="H468" s="106"/>
      <c r="I468" s="106"/>
      <c r="J468" s="106"/>
      <c r="K468" s="106"/>
      <c r="L468" s="106"/>
      <c r="M468" s="106"/>
      <c r="N468" s="106"/>
      <c r="O468" s="106"/>
      <c r="P468" s="106"/>
      <c r="Q468" s="106"/>
      <c r="R468" s="106"/>
      <c r="S468" s="106"/>
      <c r="T468" s="106"/>
      <c r="U468" s="106"/>
      <c r="V468" s="106"/>
      <c r="W468" s="106"/>
      <c r="X468" s="106"/>
      <c r="Y468" s="106"/>
      <c r="Z468" s="106"/>
      <c r="AA468" s="106"/>
      <c r="AB468" s="106"/>
      <c r="AC468" s="106"/>
      <c r="AD468" s="106"/>
      <c r="AE468" s="106"/>
      <c r="AF468" s="106"/>
      <c r="AG468" s="106"/>
      <c r="AH468" s="106"/>
      <c r="AI468" s="106"/>
      <c r="AJ468" s="106"/>
      <c r="AK468" s="106"/>
      <c r="AL468" s="106"/>
      <c r="AM468" s="106"/>
      <c r="AN468" s="106"/>
      <c r="AO468" s="106"/>
      <c r="AP468" s="106"/>
      <c r="AQ468" s="106"/>
      <c r="AR468" s="106"/>
      <c r="AS468" s="106"/>
      <c r="AT468" s="106"/>
      <c r="AU468" s="106"/>
      <c r="AV468" s="106"/>
      <c r="AW468" s="106"/>
      <c r="AX468" s="106"/>
      <c r="AY468" s="106"/>
      <c r="AZ468" s="106"/>
      <c r="BA468" s="106"/>
      <c r="BB468" s="106"/>
      <c r="BC468" s="106"/>
      <c r="BD468" s="106"/>
      <c r="BE468" s="106"/>
      <c r="BF468" s="106"/>
      <c r="BG468" s="106"/>
      <c r="BH468" s="106"/>
      <c r="BI468" s="106"/>
      <c r="BJ468" s="106"/>
      <c r="BK468" s="106"/>
      <c r="BL468" s="106"/>
      <c r="BM468" s="106"/>
      <c r="BN468" s="106"/>
      <c r="BO468" s="106"/>
      <c r="BP468" s="106"/>
      <c r="BQ468" s="106"/>
      <c r="BR468" s="106"/>
      <c r="BS468" s="106"/>
      <c r="BT468" s="106"/>
      <c r="BU468" s="106"/>
      <c r="BV468" s="106"/>
      <c r="BW468" s="106"/>
      <c r="BX468" s="106"/>
      <c r="BY468" s="106"/>
      <c r="BZ468" s="106"/>
      <c r="CA468" s="106"/>
      <c r="CB468" s="106"/>
      <c r="CC468" s="106"/>
      <c r="CD468" s="106"/>
      <c r="CE468" s="106"/>
      <c r="CF468" s="106"/>
      <c r="CG468" s="106"/>
      <c r="CH468" s="106"/>
      <c r="CI468" s="106"/>
      <c r="CJ468" s="106"/>
      <c r="CK468" s="106"/>
      <c r="CL468" s="106"/>
      <c r="CM468" s="106"/>
      <c r="CN468" s="106"/>
      <c r="CO468" s="106"/>
      <c r="CP468" s="106"/>
      <c r="CQ468" s="106"/>
      <c r="CR468" s="106"/>
      <c r="CS468" s="106"/>
      <c r="CT468" s="106"/>
      <c r="CU468" s="106"/>
      <c r="CV468" s="106"/>
      <c r="CW468" s="106"/>
      <c r="CX468" s="106"/>
      <c r="CY468" s="106"/>
      <c r="CZ468" s="106"/>
      <c r="DA468" s="106"/>
      <c r="DB468" s="106"/>
      <c r="DC468" s="106"/>
      <c r="DD468" s="106"/>
      <c r="DE468" s="106"/>
      <c r="DF468" s="106"/>
      <c r="DG468" s="106"/>
      <c r="DH468" s="106"/>
      <c r="DI468" s="106"/>
      <c r="DJ468" s="106"/>
      <c r="DK468" s="106"/>
      <c r="DL468" s="106"/>
      <c r="DM468" s="106"/>
      <c r="DN468" s="106"/>
      <c r="DO468" s="106"/>
      <c r="DP468" s="106"/>
      <c r="DQ468" s="106"/>
      <c r="DR468" s="106"/>
      <c r="DS468" s="106"/>
      <c r="DT468" s="106"/>
      <c r="DU468" s="106"/>
      <c r="DV468" s="106"/>
      <c r="DW468" s="106"/>
      <c r="DX468" s="106"/>
      <c r="DY468" s="106"/>
      <c r="DZ468" s="106"/>
      <c r="EA468" s="106"/>
      <c r="EB468" s="106"/>
      <c r="EC468" s="106"/>
      <c r="ED468" s="106"/>
      <c r="EE468" s="106"/>
      <c r="EF468" s="106"/>
      <c r="EG468" s="106"/>
      <c r="EH468" s="106"/>
      <c r="EI468" s="106"/>
      <c r="EJ468" s="106"/>
      <c r="EK468" s="106"/>
      <c r="EL468" s="106"/>
      <c r="EM468" s="106"/>
      <c r="EN468" s="106"/>
      <c r="EO468" s="106"/>
      <c r="EP468" s="106"/>
      <c r="EQ468" s="106"/>
      <c r="ER468" s="106"/>
      <c r="ES468" s="106"/>
      <c r="ET468" s="106"/>
      <c r="EU468" s="106"/>
      <c r="EV468" s="106"/>
      <c r="EW468" s="106"/>
      <c r="EX468" s="106"/>
      <c r="EY468" s="106"/>
      <c r="EZ468" s="106"/>
      <c r="FA468" s="106"/>
      <c r="FB468" s="106"/>
      <c r="FC468" s="106"/>
      <c r="FD468" s="106"/>
      <c r="FE468" s="106"/>
      <c r="FF468" s="106"/>
      <c r="FG468" s="106"/>
      <c r="FH468" s="106"/>
      <c r="FI468" s="106"/>
      <c r="FJ468" s="106"/>
      <c r="FK468" s="106"/>
      <c r="FL468" s="106"/>
      <c r="FM468" s="106"/>
      <c r="FN468" s="106"/>
      <c r="FO468" s="106"/>
      <c r="FP468" s="106"/>
      <c r="FQ468" s="106"/>
      <c r="FR468" s="106"/>
      <c r="FS468" s="106"/>
      <c r="FT468" s="106"/>
      <c r="FU468" s="106"/>
      <c r="FV468" s="106"/>
      <c r="FW468" s="106"/>
      <c r="FX468" s="106"/>
      <c r="FY468" s="106"/>
      <c r="FZ468" s="106"/>
      <c r="GA468" s="106"/>
      <c r="GB468" s="106"/>
      <c r="GC468" s="106"/>
      <c r="GD468" s="106"/>
      <c r="GE468" s="106"/>
      <c r="GF468" s="106"/>
      <c r="GG468" s="106"/>
      <c r="GH468" s="106"/>
      <c r="GI468" s="106"/>
      <c r="GJ468" s="106"/>
    </row>
    <row r="469" spans="1:192" s="93" customFormat="1" ht="12.75" customHeight="1">
      <c r="A469" s="68"/>
      <c r="B469" s="677"/>
      <c r="C469" s="217"/>
      <c r="D469" s="217"/>
      <c r="E469" s="217"/>
      <c r="F469" s="217"/>
      <c r="G469" s="217"/>
      <c r="H469" s="217"/>
      <c r="I469" s="217"/>
      <c r="J469" s="217"/>
      <c r="K469" s="217"/>
      <c r="L469" s="217"/>
      <c r="M469" s="217"/>
      <c r="N469" s="217"/>
      <c r="O469" s="217"/>
      <c r="P469" s="217"/>
      <c r="Q469" s="217"/>
      <c r="R469" s="217"/>
      <c r="S469" s="217"/>
      <c r="T469" s="217"/>
      <c r="U469" s="217"/>
      <c r="V469" s="217"/>
      <c r="W469" s="217"/>
      <c r="X469" s="217"/>
      <c r="Y469" s="217"/>
      <c r="Z469" s="217"/>
      <c r="AA469" s="217"/>
      <c r="AB469" s="217"/>
      <c r="AC469" s="217"/>
      <c r="AD469" s="217"/>
      <c r="AE469" s="217"/>
      <c r="AF469" s="217"/>
      <c r="AG469" s="217"/>
      <c r="AH469" s="217"/>
      <c r="AI469" s="217"/>
      <c r="AJ469" s="217"/>
      <c r="AK469" s="217"/>
      <c r="AL469" s="217"/>
      <c r="AM469" s="217"/>
      <c r="AN469" s="217"/>
      <c r="AO469" s="217"/>
      <c r="AP469" s="217"/>
      <c r="AQ469" s="217"/>
      <c r="AR469" s="217"/>
      <c r="AS469" s="217"/>
      <c r="AT469" s="217"/>
      <c r="AU469" s="217"/>
      <c r="AV469" s="217"/>
      <c r="AW469" s="217"/>
      <c r="AX469" s="217"/>
      <c r="AY469" s="217"/>
      <c r="AZ469" s="217"/>
      <c r="BA469" s="217"/>
      <c r="BB469" s="217"/>
      <c r="BC469" s="217"/>
      <c r="BD469" s="217"/>
      <c r="BE469" s="217"/>
      <c r="BF469" s="217"/>
      <c r="BG469" s="217"/>
      <c r="BH469" s="217"/>
      <c r="BI469" s="217"/>
      <c r="BJ469" s="217"/>
      <c r="BK469" s="217"/>
      <c r="BL469" s="217"/>
      <c r="BM469" s="217"/>
      <c r="BN469" s="217"/>
      <c r="BO469" s="217"/>
      <c r="BP469" s="217"/>
      <c r="BQ469" s="217"/>
      <c r="BR469" s="217"/>
      <c r="BS469" s="217"/>
      <c r="BT469" s="217"/>
      <c r="BU469" s="217"/>
      <c r="BV469" s="217"/>
      <c r="BW469" s="217"/>
      <c r="BX469" s="217"/>
      <c r="BY469" s="217"/>
      <c r="BZ469" s="217"/>
      <c r="CA469" s="217"/>
      <c r="CB469" s="217"/>
      <c r="CC469" s="217"/>
      <c r="CD469" s="217"/>
      <c r="CE469" s="217"/>
      <c r="CF469" s="217"/>
      <c r="CG469" s="217"/>
      <c r="CH469" s="217"/>
      <c r="CI469" s="217"/>
      <c r="CJ469" s="217"/>
      <c r="CK469" s="217"/>
      <c r="CL469" s="217"/>
      <c r="CM469" s="217"/>
      <c r="CN469" s="217"/>
      <c r="CO469" s="217"/>
      <c r="CP469" s="217"/>
      <c r="CQ469" s="217"/>
      <c r="CR469" s="217"/>
      <c r="CS469" s="217"/>
      <c r="CT469" s="217"/>
      <c r="CU469" s="217"/>
      <c r="CV469" s="217"/>
      <c r="CW469" s="217"/>
      <c r="CX469" s="217"/>
      <c r="CY469" s="217"/>
      <c r="CZ469" s="217"/>
      <c r="DA469" s="217"/>
      <c r="DB469" s="217"/>
      <c r="DC469" s="217"/>
      <c r="DD469" s="217"/>
      <c r="DE469" s="217"/>
      <c r="DF469" s="217"/>
      <c r="DG469" s="217"/>
      <c r="DH469" s="217"/>
      <c r="DI469" s="217"/>
      <c r="DJ469" s="217"/>
      <c r="DK469" s="217"/>
      <c r="DL469" s="217"/>
      <c r="DM469" s="217"/>
      <c r="DN469" s="217"/>
      <c r="DO469" s="217"/>
      <c r="DP469" s="217"/>
      <c r="DQ469" s="217"/>
      <c r="DR469" s="217"/>
      <c r="DS469" s="217"/>
      <c r="DT469" s="217"/>
      <c r="DU469" s="217"/>
      <c r="DV469" s="217"/>
      <c r="DW469" s="217"/>
      <c r="DX469" s="217"/>
      <c r="DY469" s="217"/>
      <c r="DZ469" s="217"/>
      <c r="EA469" s="217"/>
      <c r="EB469" s="217"/>
      <c r="EC469" s="217"/>
      <c r="ED469" s="217"/>
      <c r="EE469" s="217"/>
      <c r="EF469" s="217"/>
      <c r="EG469" s="217"/>
      <c r="EH469" s="217"/>
      <c r="EI469" s="217"/>
      <c r="EJ469" s="217"/>
      <c r="EK469" s="217"/>
      <c r="EL469" s="217"/>
      <c r="EM469" s="217"/>
      <c r="EN469" s="217"/>
      <c r="EO469" s="217"/>
      <c r="EP469" s="217"/>
      <c r="EQ469" s="217"/>
      <c r="ER469" s="217"/>
      <c r="ES469" s="217"/>
      <c r="ET469" s="217"/>
      <c r="EU469" s="217"/>
      <c r="EV469" s="217"/>
      <c r="EW469" s="217"/>
      <c r="EX469" s="217"/>
      <c r="EY469" s="217"/>
      <c r="EZ469" s="217"/>
      <c r="FA469" s="217"/>
      <c r="FB469" s="217"/>
      <c r="FC469" s="217"/>
      <c r="FD469" s="217"/>
      <c r="FE469" s="217"/>
      <c r="FF469" s="217"/>
      <c r="FG469" s="217"/>
      <c r="FH469" s="217"/>
      <c r="FI469" s="217"/>
      <c r="FJ469" s="217"/>
      <c r="FK469" s="217"/>
      <c r="FL469" s="217"/>
      <c r="FM469" s="217"/>
      <c r="FN469" s="217"/>
      <c r="FO469" s="217"/>
      <c r="FP469" s="217"/>
      <c r="FQ469" s="217"/>
      <c r="FR469" s="217"/>
      <c r="FS469" s="217"/>
      <c r="FT469" s="217"/>
      <c r="FU469" s="217"/>
      <c r="FV469" s="217"/>
      <c r="FW469" s="217"/>
      <c r="FX469" s="217"/>
      <c r="FY469" s="217"/>
      <c r="FZ469" s="217"/>
      <c r="GA469" s="217"/>
      <c r="GB469" s="217"/>
      <c r="GC469" s="217"/>
      <c r="GD469" s="217"/>
      <c r="GE469" s="217"/>
      <c r="GF469" s="217"/>
      <c r="GG469" s="217"/>
      <c r="GH469" s="217"/>
      <c r="GI469" s="217"/>
      <c r="GJ469" s="217"/>
    </row>
    <row r="470" spans="1:192" s="93" customFormat="1" ht="12.75" customHeight="1">
      <c r="A470" s="68"/>
      <c r="B470" s="677"/>
      <c r="C470" s="169"/>
      <c r="D470" s="169"/>
      <c r="E470" s="169"/>
      <c r="F470" s="169"/>
      <c r="G470" s="169"/>
      <c r="H470" s="169"/>
      <c r="I470" s="169"/>
      <c r="J470" s="169"/>
      <c r="K470" s="169"/>
      <c r="L470" s="169"/>
      <c r="M470" s="169"/>
      <c r="N470" s="169"/>
      <c r="O470" s="169"/>
      <c r="P470" s="169"/>
      <c r="Q470" s="169"/>
      <c r="R470" s="169"/>
      <c r="S470" s="169"/>
      <c r="T470" s="169"/>
      <c r="U470" s="169"/>
      <c r="V470" s="169"/>
      <c r="W470" s="169"/>
      <c r="X470" s="169"/>
      <c r="Y470" s="169"/>
      <c r="Z470" s="169"/>
      <c r="AA470" s="169"/>
      <c r="AB470" s="169"/>
      <c r="AC470" s="169"/>
      <c r="AD470" s="169"/>
      <c r="AE470" s="169"/>
      <c r="AF470" s="169"/>
      <c r="AG470" s="169"/>
      <c r="AH470" s="169"/>
      <c r="AI470" s="169"/>
      <c r="AJ470" s="169"/>
      <c r="AK470" s="169"/>
      <c r="AL470" s="169"/>
      <c r="AM470" s="169"/>
      <c r="AN470" s="169"/>
      <c r="AO470" s="169"/>
      <c r="AP470" s="169"/>
      <c r="AQ470" s="169"/>
      <c r="AR470" s="169"/>
      <c r="AS470" s="169"/>
      <c r="AT470" s="169"/>
      <c r="AU470" s="169"/>
      <c r="AV470" s="169"/>
      <c r="AW470" s="169"/>
      <c r="AX470" s="169"/>
      <c r="AY470" s="169"/>
      <c r="AZ470" s="169"/>
      <c r="BA470" s="169"/>
      <c r="BB470" s="169"/>
      <c r="BC470" s="169"/>
      <c r="BD470" s="169"/>
      <c r="BE470" s="169"/>
      <c r="BF470" s="169"/>
      <c r="BG470" s="169"/>
      <c r="BH470" s="169"/>
      <c r="BI470" s="169"/>
      <c r="BJ470" s="169"/>
      <c r="BK470" s="169"/>
      <c r="BL470" s="169"/>
      <c r="BM470" s="169"/>
      <c r="BN470" s="169"/>
      <c r="BO470" s="169"/>
      <c r="BP470" s="169"/>
      <c r="BQ470" s="169"/>
      <c r="BR470" s="169"/>
      <c r="BS470" s="169"/>
      <c r="BT470" s="169"/>
      <c r="BU470" s="169"/>
      <c r="BV470" s="169"/>
      <c r="BW470" s="169"/>
      <c r="BX470" s="169"/>
      <c r="BY470" s="169"/>
      <c r="BZ470" s="169"/>
      <c r="CA470" s="169"/>
      <c r="CB470" s="169"/>
      <c r="CC470" s="169"/>
      <c r="CD470" s="169"/>
      <c r="CE470" s="169"/>
      <c r="CF470" s="169"/>
      <c r="CG470" s="169"/>
      <c r="CH470" s="169"/>
      <c r="CI470" s="169"/>
      <c r="CJ470" s="169"/>
      <c r="CK470" s="169"/>
      <c r="CL470" s="169"/>
      <c r="CM470" s="169"/>
      <c r="CN470" s="169"/>
      <c r="CO470" s="169"/>
      <c r="CP470" s="169"/>
      <c r="CQ470" s="169"/>
      <c r="CR470" s="169"/>
      <c r="CS470" s="169"/>
      <c r="CT470" s="169"/>
      <c r="CU470" s="169"/>
      <c r="CV470" s="169"/>
      <c r="CW470" s="169"/>
      <c r="CX470" s="169"/>
      <c r="CY470" s="169"/>
      <c r="CZ470" s="169"/>
      <c r="DA470" s="169"/>
      <c r="DB470" s="169"/>
      <c r="DC470" s="169"/>
      <c r="DD470" s="169"/>
      <c r="DE470" s="169"/>
      <c r="DF470" s="169"/>
      <c r="DG470" s="169"/>
      <c r="DH470" s="169"/>
      <c r="DI470" s="169"/>
      <c r="DJ470" s="169"/>
      <c r="DK470" s="169"/>
      <c r="DL470" s="169"/>
      <c r="DM470" s="169"/>
      <c r="DN470" s="169"/>
      <c r="DO470" s="169"/>
      <c r="DP470" s="169"/>
      <c r="DQ470" s="169"/>
      <c r="DR470" s="169"/>
      <c r="DS470" s="169"/>
      <c r="DT470" s="169"/>
      <c r="DU470" s="169"/>
      <c r="DV470" s="169"/>
      <c r="DW470" s="169"/>
      <c r="DX470" s="169"/>
      <c r="DY470" s="169"/>
      <c r="DZ470" s="169"/>
      <c r="EA470" s="169"/>
      <c r="EB470" s="169"/>
      <c r="EC470" s="169"/>
      <c r="ED470" s="169"/>
      <c r="EE470" s="169"/>
      <c r="EF470" s="169"/>
      <c r="EG470" s="169"/>
      <c r="EH470" s="169"/>
      <c r="EI470" s="169"/>
      <c r="EJ470" s="169"/>
      <c r="EK470" s="169"/>
      <c r="EL470" s="169"/>
      <c r="EM470" s="169"/>
      <c r="EN470" s="169"/>
      <c r="EO470" s="169"/>
      <c r="EP470" s="169"/>
      <c r="EQ470" s="169"/>
      <c r="ER470" s="169"/>
      <c r="ES470" s="169"/>
      <c r="ET470" s="169"/>
      <c r="EU470" s="169"/>
      <c r="EV470" s="169"/>
      <c r="EW470" s="169"/>
      <c r="EX470" s="169"/>
      <c r="EY470" s="169"/>
      <c r="EZ470" s="169"/>
      <c r="FA470" s="169"/>
      <c r="FB470" s="169"/>
      <c r="FC470" s="169"/>
      <c r="FD470" s="169"/>
      <c r="FE470" s="169"/>
      <c r="FF470" s="169"/>
      <c r="FG470" s="169"/>
      <c r="FH470" s="169"/>
      <c r="FI470" s="169"/>
      <c r="FJ470" s="169"/>
      <c r="FK470" s="169"/>
      <c r="FL470" s="169"/>
      <c r="FM470" s="169"/>
      <c r="FN470" s="169"/>
      <c r="FO470" s="169"/>
      <c r="FP470" s="169"/>
      <c r="FQ470" s="169"/>
      <c r="FR470" s="169"/>
      <c r="FS470" s="169"/>
      <c r="FT470" s="169"/>
      <c r="FU470" s="169"/>
      <c r="FV470" s="169"/>
      <c r="FW470" s="169"/>
      <c r="FX470" s="169"/>
      <c r="FY470" s="169"/>
      <c r="FZ470" s="169"/>
      <c r="GA470" s="169"/>
      <c r="GB470" s="169"/>
      <c r="GC470" s="169"/>
      <c r="GD470" s="169"/>
      <c r="GE470" s="169"/>
      <c r="GF470" s="169"/>
      <c r="GG470" s="169"/>
      <c r="GH470" s="169"/>
      <c r="GI470" s="169"/>
      <c r="GJ470" s="169"/>
    </row>
    <row r="471" spans="1:192" s="93" customFormat="1" ht="12.75" customHeight="1">
      <c r="A471" s="68"/>
      <c r="B471" s="677"/>
      <c r="C471" s="169"/>
      <c r="D471" s="169"/>
      <c r="E471" s="169"/>
      <c r="F471" s="169"/>
      <c r="G471" s="169"/>
      <c r="H471" s="169"/>
      <c r="I471" s="169"/>
      <c r="J471" s="169"/>
      <c r="K471" s="169"/>
      <c r="L471" s="169"/>
      <c r="M471" s="169"/>
      <c r="N471" s="169"/>
      <c r="O471" s="169"/>
      <c r="P471" s="169"/>
      <c r="Q471" s="169"/>
      <c r="R471" s="169"/>
      <c r="S471" s="169"/>
      <c r="T471" s="169"/>
      <c r="U471" s="169"/>
      <c r="V471" s="169"/>
      <c r="W471" s="169"/>
      <c r="X471" s="169"/>
      <c r="Y471" s="169"/>
      <c r="Z471" s="169"/>
      <c r="AA471" s="169"/>
      <c r="AB471" s="169"/>
      <c r="AC471" s="169"/>
      <c r="AD471" s="169"/>
      <c r="AE471" s="169"/>
      <c r="AF471" s="169"/>
      <c r="AG471" s="169"/>
      <c r="AH471" s="169"/>
      <c r="AI471" s="169"/>
      <c r="AJ471" s="169"/>
      <c r="AK471" s="169"/>
      <c r="AL471" s="169"/>
      <c r="AM471" s="169"/>
      <c r="AN471" s="169"/>
      <c r="AO471" s="169"/>
      <c r="AP471" s="169"/>
      <c r="AQ471" s="169"/>
      <c r="AR471" s="169"/>
      <c r="AS471" s="169"/>
      <c r="AT471" s="169"/>
      <c r="AU471" s="169"/>
      <c r="AV471" s="169"/>
      <c r="AW471" s="169"/>
      <c r="AX471" s="169"/>
      <c r="AY471" s="169"/>
      <c r="AZ471" s="169"/>
      <c r="BA471" s="169"/>
      <c r="BB471" s="169"/>
      <c r="BC471" s="169"/>
      <c r="BD471" s="169"/>
      <c r="BE471" s="169"/>
      <c r="BF471" s="169"/>
      <c r="BG471" s="169"/>
      <c r="BH471" s="169"/>
      <c r="BI471" s="169"/>
      <c r="BJ471" s="169"/>
      <c r="BK471" s="169"/>
      <c r="BL471" s="169"/>
      <c r="BM471" s="169"/>
      <c r="BN471" s="169"/>
      <c r="BO471" s="169"/>
      <c r="BP471" s="169"/>
      <c r="BQ471" s="169"/>
      <c r="BR471" s="169"/>
      <c r="BS471" s="169"/>
      <c r="BT471" s="169"/>
      <c r="BU471" s="169"/>
      <c r="BV471" s="169"/>
      <c r="BW471" s="169"/>
      <c r="BX471" s="169"/>
      <c r="BY471" s="169"/>
      <c r="BZ471" s="169"/>
      <c r="CA471" s="169"/>
      <c r="CB471" s="169"/>
      <c r="CC471" s="169"/>
      <c r="CD471" s="169"/>
      <c r="CE471" s="169"/>
      <c r="CF471" s="169"/>
      <c r="CG471" s="169"/>
      <c r="CH471" s="169"/>
      <c r="CI471" s="169"/>
      <c r="CJ471" s="169"/>
      <c r="CK471" s="169"/>
      <c r="CL471" s="169"/>
      <c r="CM471" s="169"/>
      <c r="CN471" s="169"/>
      <c r="CO471" s="169"/>
      <c r="CP471" s="169"/>
      <c r="CQ471" s="169"/>
      <c r="CR471" s="169"/>
      <c r="CS471" s="169"/>
      <c r="CT471" s="169"/>
      <c r="CU471" s="169"/>
      <c r="CV471" s="169"/>
      <c r="CW471" s="169"/>
      <c r="CX471" s="169"/>
      <c r="CY471" s="169"/>
      <c r="CZ471" s="169"/>
      <c r="DA471" s="169"/>
      <c r="DB471" s="169"/>
      <c r="DC471" s="169"/>
      <c r="DD471" s="169"/>
      <c r="DE471" s="169"/>
      <c r="DF471" s="169"/>
      <c r="DG471" s="169"/>
      <c r="DH471" s="169"/>
      <c r="DI471" s="169"/>
      <c r="DJ471" s="169"/>
      <c r="DK471" s="169"/>
      <c r="DL471" s="169"/>
      <c r="DM471" s="169"/>
      <c r="DN471" s="169"/>
      <c r="DO471" s="169"/>
      <c r="DP471" s="169"/>
      <c r="DQ471" s="169"/>
      <c r="DR471" s="169"/>
      <c r="DS471" s="169"/>
      <c r="DT471" s="169"/>
      <c r="DU471" s="169"/>
      <c r="DV471" s="169"/>
      <c r="DW471" s="169"/>
      <c r="DX471" s="169"/>
      <c r="DY471" s="169"/>
      <c r="DZ471" s="169"/>
      <c r="EA471" s="169"/>
      <c r="EB471" s="169"/>
      <c r="EC471" s="169"/>
      <c r="ED471" s="169"/>
      <c r="EE471" s="169"/>
      <c r="EF471" s="169"/>
      <c r="EG471" s="169"/>
      <c r="EH471" s="169"/>
      <c r="EI471" s="169"/>
      <c r="EJ471" s="169"/>
      <c r="EK471" s="169"/>
      <c r="EL471" s="169"/>
      <c r="EM471" s="169"/>
      <c r="EN471" s="169"/>
      <c r="EO471" s="169"/>
      <c r="EP471" s="169"/>
      <c r="EQ471" s="169"/>
      <c r="ER471" s="169"/>
      <c r="ES471" s="169"/>
      <c r="ET471" s="169"/>
      <c r="EU471" s="169"/>
      <c r="EV471" s="169"/>
      <c r="EW471" s="169"/>
      <c r="EX471" s="169"/>
      <c r="EY471" s="169"/>
      <c r="EZ471" s="169"/>
      <c r="FA471" s="169"/>
      <c r="FB471" s="169"/>
      <c r="FC471" s="169"/>
      <c r="FD471" s="169"/>
      <c r="FE471" s="169"/>
      <c r="FF471" s="169"/>
      <c r="FG471" s="169"/>
      <c r="FH471" s="169"/>
      <c r="FI471" s="169"/>
      <c r="FJ471" s="169"/>
      <c r="FK471" s="169"/>
      <c r="FL471" s="169"/>
      <c r="FM471" s="169"/>
      <c r="FN471" s="169"/>
      <c r="FO471" s="169"/>
      <c r="FP471" s="169"/>
      <c r="FQ471" s="169"/>
      <c r="FR471" s="169"/>
      <c r="FS471" s="169"/>
      <c r="FT471" s="169"/>
      <c r="FU471" s="169"/>
      <c r="FV471" s="169"/>
      <c r="FW471" s="169"/>
      <c r="FX471" s="169"/>
      <c r="FY471" s="169"/>
      <c r="FZ471" s="169"/>
      <c r="GA471" s="169"/>
      <c r="GB471" s="169"/>
      <c r="GC471" s="169"/>
      <c r="GD471" s="169"/>
      <c r="GE471" s="169"/>
      <c r="GF471" s="169"/>
      <c r="GG471" s="169"/>
      <c r="GH471" s="169"/>
      <c r="GI471" s="169"/>
      <c r="GJ471" s="169"/>
    </row>
    <row r="472" spans="1:192" s="93" customFormat="1" ht="12.75" customHeight="1">
      <c r="A472" s="68"/>
      <c r="B472" s="677"/>
      <c r="C472" s="106"/>
      <c r="D472" s="106"/>
      <c r="E472" s="106"/>
      <c r="F472" s="106"/>
      <c r="G472" s="106"/>
      <c r="H472" s="106"/>
      <c r="I472" s="106"/>
      <c r="J472" s="106"/>
      <c r="K472" s="106"/>
      <c r="L472" s="106"/>
      <c r="M472" s="106"/>
      <c r="N472" s="106"/>
      <c r="O472" s="106"/>
      <c r="P472" s="106"/>
      <c r="Q472" s="106"/>
      <c r="R472" s="106"/>
      <c r="S472" s="106"/>
      <c r="T472" s="106"/>
      <c r="U472" s="106"/>
      <c r="V472" s="106"/>
      <c r="W472" s="106"/>
      <c r="X472" s="106"/>
      <c r="Y472" s="106"/>
      <c r="Z472" s="106"/>
      <c r="AA472" s="106"/>
      <c r="AB472" s="106"/>
      <c r="AC472" s="106"/>
      <c r="AD472" s="106"/>
      <c r="AE472" s="106"/>
      <c r="AF472" s="106"/>
      <c r="AG472" s="106"/>
      <c r="AH472" s="106"/>
      <c r="AI472" s="106"/>
      <c r="AJ472" s="106"/>
      <c r="AK472" s="106"/>
      <c r="AL472" s="106"/>
      <c r="AM472" s="106"/>
      <c r="AN472" s="106"/>
      <c r="AO472" s="106"/>
      <c r="AP472" s="106"/>
      <c r="AQ472" s="106"/>
      <c r="AR472" s="106"/>
      <c r="AS472" s="106"/>
      <c r="AT472" s="106"/>
      <c r="AU472" s="106"/>
      <c r="AV472" s="106"/>
      <c r="AW472" s="106"/>
      <c r="AX472" s="106"/>
      <c r="AY472" s="106"/>
      <c r="AZ472" s="106"/>
      <c r="BA472" s="106"/>
      <c r="BB472" s="106"/>
      <c r="BC472" s="106"/>
      <c r="BD472" s="106"/>
      <c r="BE472" s="106"/>
      <c r="BF472" s="106"/>
      <c r="BG472" s="106"/>
      <c r="BH472" s="106"/>
      <c r="BI472" s="106"/>
      <c r="BJ472" s="106"/>
      <c r="BK472" s="106"/>
      <c r="BL472" s="106"/>
      <c r="BM472" s="106"/>
      <c r="BN472" s="106"/>
      <c r="BO472" s="106"/>
      <c r="BP472" s="106"/>
      <c r="BQ472" s="106"/>
      <c r="BR472" s="106"/>
      <c r="BS472" s="106"/>
      <c r="BT472" s="106"/>
      <c r="BU472" s="106"/>
      <c r="BV472" s="106"/>
      <c r="BW472" s="106"/>
      <c r="BX472" s="106"/>
      <c r="BY472" s="106"/>
      <c r="BZ472" s="106"/>
      <c r="CA472" s="106"/>
      <c r="CB472" s="106"/>
      <c r="CC472" s="106"/>
      <c r="CD472" s="106"/>
      <c r="CE472" s="106"/>
      <c r="CF472" s="106"/>
      <c r="CG472" s="106"/>
      <c r="CH472" s="106"/>
      <c r="CI472" s="106"/>
      <c r="CJ472" s="106"/>
      <c r="CK472" s="106"/>
      <c r="CL472" s="106"/>
      <c r="CM472" s="106"/>
      <c r="CN472" s="106"/>
      <c r="CO472" s="106"/>
      <c r="CP472" s="106"/>
      <c r="CQ472" s="106"/>
      <c r="CR472" s="106"/>
      <c r="CS472" s="106"/>
      <c r="CT472" s="106"/>
      <c r="CU472" s="106"/>
      <c r="CV472" s="106"/>
      <c r="CW472" s="106"/>
      <c r="CX472" s="106"/>
      <c r="CY472" s="106"/>
      <c r="CZ472" s="106"/>
      <c r="DA472" s="106"/>
      <c r="DB472" s="106"/>
      <c r="DC472" s="106"/>
      <c r="DD472" s="106"/>
      <c r="DE472" s="106"/>
      <c r="DF472" s="106"/>
      <c r="DG472" s="106"/>
      <c r="DH472" s="106"/>
      <c r="DI472" s="106"/>
      <c r="DJ472" s="106"/>
      <c r="DK472" s="106"/>
      <c r="DL472" s="106"/>
      <c r="DM472" s="106"/>
      <c r="DN472" s="106"/>
      <c r="DO472" s="106"/>
      <c r="DP472" s="106"/>
      <c r="DQ472" s="106"/>
      <c r="DR472" s="106"/>
      <c r="DS472" s="106"/>
      <c r="DT472" s="106"/>
      <c r="DU472" s="106"/>
      <c r="DV472" s="106"/>
      <c r="DW472" s="106"/>
      <c r="DX472" s="106"/>
      <c r="DY472" s="106"/>
      <c r="DZ472" s="106"/>
      <c r="EA472" s="106"/>
      <c r="EB472" s="106"/>
      <c r="EC472" s="106"/>
      <c r="ED472" s="106"/>
      <c r="EE472" s="106"/>
      <c r="EF472" s="106"/>
      <c r="EG472" s="106"/>
      <c r="EH472" s="106"/>
      <c r="EI472" s="106"/>
      <c r="EJ472" s="106"/>
      <c r="EK472" s="106"/>
      <c r="EL472" s="106"/>
      <c r="EM472" s="106"/>
      <c r="EN472" s="106"/>
      <c r="EO472" s="106"/>
      <c r="EP472" s="106"/>
      <c r="EQ472" s="106"/>
      <c r="ER472" s="106"/>
      <c r="ES472" s="106"/>
      <c r="ET472" s="106"/>
      <c r="EU472" s="106"/>
      <c r="EV472" s="106"/>
      <c r="EW472" s="106"/>
      <c r="EX472" s="106"/>
      <c r="EY472" s="106"/>
      <c r="EZ472" s="106"/>
      <c r="FA472" s="106"/>
      <c r="FB472" s="106"/>
      <c r="FC472" s="106"/>
      <c r="FD472" s="106"/>
      <c r="FE472" s="106"/>
      <c r="FF472" s="106"/>
      <c r="FG472" s="106"/>
      <c r="FH472" s="106"/>
      <c r="FI472" s="106"/>
      <c r="FJ472" s="106"/>
      <c r="FK472" s="106"/>
      <c r="FL472" s="106"/>
      <c r="FM472" s="106"/>
      <c r="FN472" s="106"/>
      <c r="FO472" s="106"/>
      <c r="FP472" s="106"/>
      <c r="FQ472" s="106"/>
      <c r="FR472" s="106"/>
      <c r="FS472" s="106"/>
      <c r="FT472" s="106"/>
      <c r="FU472" s="106"/>
      <c r="FV472" s="106"/>
      <c r="FW472" s="106"/>
      <c r="FX472" s="106"/>
      <c r="FY472" s="106"/>
      <c r="FZ472" s="106"/>
      <c r="GA472" s="106"/>
      <c r="GB472" s="106"/>
      <c r="GC472" s="106"/>
      <c r="GD472" s="106"/>
      <c r="GE472" s="106"/>
      <c r="GF472" s="106"/>
      <c r="GG472" s="106"/>
      <c r="GH472" s="106"/>
      <c r="GI472" s="106"/>
      <c r="GJ472" s="106"/>
    </row>
    <row r="473" spans="1:192" s="93" customFormat="1" ht="12.75" customHeight="1">
      <c r="A473" s="68"/>
      <c r="B473" s="677"/>
      <c r="C473" s="106"/>
      <c r="D473" s="106"/>
      <c r="E473" s="106"/>
      <c r="F473" s="106"/>
      <c r="G473" s="106"/>
      <c r="H473" s="106"/>
      <c r="I473" s="106"/>
      <c r="J473" s="106"/>
      <c r="K473" s="106"/>
      <c r="L473" s="106"/>
      <c r="M473" s="106"/>
      <c r="N473" s="106"/>
      <c r="O473" s="106"/>
      <c r="P473" s="106"/>
      <c r="Q473" s="106"/>
      <c r="R473" s="106"/>
      <c r="S473" s="106"/>
      <c r="T473" s="106"/>
      <c r="U473" s="106"/>
      <c r="V473" s="106"/>
      <c r="W473" s="106"/>
      <c r="X473" s="106"/>
      <c r="Y473" s="106"/>
      <c r="Z473" s="106"/>
      <c r="AA473" s="106"/>
      <c r="AB473" s="106"/>
      <c r="AC473" s="106"/>
      <c r="AD473" s="106"/>
      <c r="AE473" s="106"/>
      <c r="AF473" s="106"/>
      <c r="AG473" s="106"/>
      <c r="AH473" s="106"/>
      <c r="AI473" s="106"/>
      <c r="AJ473" s="106"/>
      <c r="AK473" s="106"/>
      <c r="AL473" s="106"/>
      <c r="AM473" s="106"/>
      <c r="AN473" s="106"/>
      <c r="AO473" s="106"/>
      <c r="AP473" s="106"/>
      <c r="AQ473" s="106"/>
      <c r="AR473" s="106"/>
      <c r="AS473" s="106"/>
      <c r="AT473" s="106"/>
      <c r="AU473" s="106"/>
      <c r="AV473" s="106"/>
      <c r="AW473" s="106"/>
      <c r="AX473" s="106"/>
      <c r="AY473" s="106"/>
      <c r="AZ473" s="106"/>
      <c r="BA473" s="106"/>
      <c r="BB473" s="106"/>
      <c r="BC473" s="106"/>
      <c r="BD473" s="106"/>
      <c r="BE473" s="106"/>
      <c r="BF473" s="106"/>
      <c r="BG473" s="106"/>
      <c r="BH473" s="106"/>
      <c r="BI473" s="106"/>
      <c r="BJ473" s="106"/>
      <c r="BK473" s="106"/>
      <c r="BL473" s="106"/>
      <c r="BM473" s="106"/>
      <c r="BN473" s="106"/>
      <c r="BO473" s="106"/>
      <c r="BP473" s="106"/>
      <c r="BQ473" s="106"/>
      <c r="BR473" s="106"/>
      <c r="BS473" s="106"/>
      <c r="BT473" s="106"/>
      <c r="BU473" s="106"/>
      <c r="BV473" s="106"/>
      <c r="BW473" s="106"/>
      <c r="BX473" s="106"/>
      <c r="BY473" s="106"/>
      <c r="BZ473" s="106"/>
      <c r="CA473" s="106"/>
      <c r="CB473" s="106"/>
      <c r="CC473" s="106"/>
      <c r="CD473" s="106"/>
      <c r="CE473" s="106"/>
      <c r="CF473" s="106"/>
      <c r="CG473" s="106"/>
      <c r="CH473" s="106"/>
      <c r="CI473" s="106"/>
      <c r="CJ473" s="106"/>
      <c r="CK473" s="106"/>
      <c r="CL473" s="106"/>
      <c r="CM473" s="106"/>
      <c r="CN473" s="106"/>
      <c r="CO473" s="106"/>
      <c r="CP473" s="106"/>
      <c r="CQ473" s="106"/>
      <c r="CR473" s="106"/>
      <c r="CS473" s="106"/>
      <c r="CT473" s="106"/>
      <c r="CU473" s="106"/>
      <c r="CV473" s="106"/>
      <c r="CW473" s="106"/>
      <c r="CX473" s="106"/>
      <c r="CY473" s="106"/>
      <c r="CZ473" s="106"/>
      <c r="DA473" s="106"/>
      <c r="DB473" s="106"/>
      <c r="DC473" s="106"/>
      <c r="DD473" s="106"/>
      <c r="DE473" s="106"/>
      <c r="DF473" s="106"/>
      <c r="DG473" s="106"/>
      <c r="DH473" s="106"/>
      <c r="DI473" s="106"/>
      <c r="DJ473" s="106"/>
      <c r="DK473" s="106"/>
      <c r="DL473" s="106"/>
      <c r="DM473" s="106"/>
      <c r="DN473" s="106"/>
      <c r="DO473" s="106"/>
      <c r="DP473" s="106"/>
      <c r="DQ473" s="106"/>
      <c r="DR473" s="106"/>
      <c r="DS473" s="106"/>
      <c r="DT473" s="106"/>
      <c r="DU473" s="106"/>
      <c r="DV473" s="106"/>
      <c r="DW473" s="106"/>
      <c r="DX473" s="106"/>
      <c r="DY473" s="106"/>
      <c r="DZ473" s="106"/>
      <c r="EA473" s="106"/>
      <c r="EB473" s="106"/>
      <c r="EC473" s="106"/>
      <c r="ED473" s="106"/>
      <c r="EE473" s="106"/>
      <c r="EF473" s="106"/>
      <c r="EG473" s="106"/>
      <c r="EH473" s="106"/>
      <c r="EI473" s="106"/>
      <c r="EJ473" s="106"/>
      <c r="EK473" s="106"/>
      <c r="EL473" s="106"/>
      <c r="EM473" s="106"/>
      <c r="EN473" s="106"/>
      <c r="EO473" s="106"/>
      <c r="EP473" s="106"/>
      <c r="EQ473" s="106"/>
      <c r="ER473" s="106"/>
      <c r="ES473" s="106"/>
      <c r="ET473" s="106"/>
      <c r="EU473" s="106"/>
      <c r="EV473" s="106"/>
      <c r="EW473" s="106"/>
      <c r="EX473" s="106"/>
      <c r="EY473" s="106"/>
      <c r="EZ473" s="106"/>
      <c r="FA473" s="106"/>
      <c r="FB473" s="106"/>
      <c r="FC473" s="106"/>
      <c r="FD473" s="106"/>
      <c r="FE473" s="106"/>
      <c r="FF473" s="106"/>
      <c r="FG473" s="106"/>
      <c r="FH473" s="106"/>
      <c r="FI473" s="106"/>
      <c r="FJ473" s="106"/>
      <c r="FK473" s="106"/>
      <c r="FL473" s="106"/>
      <c r="FM473" s="106"/>
      <c r="FN473" s="106"/>
      <c r="FO473" s="106"/>
      <c r="FP473" s="106"/>
      <c r="FQ473" s="106"/>
      <c r="FR473" s="106"/>
      <c r="FS473" s="106"/>
      <c r="FT473" s="106"/>
      <c r="FU473" s="106"/>
      <c r="FV473" s="106"/>
      <c r="FW473" s="106"/>
      <c r="FX473" s="106"/>
      <c r="FY473" s="106"/>
      <c r="FZ473" s="106"/>
      <c r="GA473" s="106"/>
      <c r="GB473" s="106"/>
      <c r="GC473" s="106"/>
      <c r="GD473" s="106"/>
      <c r="GE473" s="106"/>
      <c r="GF473" s="106"/>
      <c r="GG473" s="106"/>
      <c r="GH473" s="106"/>
      <c r="GI473" s="106"/>
      <c r="GJ473" s="106"/>
    </row>
    <row r="474" spans="1:192" s="93" customFormat="1" ht="12.75" customHeight="1">
      <c r="A474" s="68"/>
      <c r="B474" s="677"/>
      <c r="C474" s="169"/>
      <c r="D474" s="169"/>
      <c r="E474" s="169"/>
      <c r="F474" s="169"/>
      <c r="G474" s="169"/>
      <c r="H474" s="169"/>
      <c r="I474" s="169"/>
      <c r="J474" s="169"/>
      <c r="K474" s="169"/>
      <c r="L474" s="169"/>
      <c r="M474" s="169"/>
      <c r="N474" s="169"/>
      <c r="O474" s="169"/>
      <c r="P474" s="169"/>
      <c r="Q474" s="169"/>
      <c r="R474" s="169"/>
      <c r="S474" s="169"/>
      <c r="T474" s="169"/>
      <c r="U474" s="169"/>
      <c r="V474" s="169"/>
      <c r="W474" s="169"/>
      <c r="X474" s="169"/>
      <c r="Y474" s="169"/>
      <c r="Z474" s="169"/>
      <c r="AA474" s="169"/>
      <c r="AB474" s="169"/>
      <c r="AC474" s="169"/>
      <c r="AD474" s="169"/>
      <c r="AE474" s="169"/>
      <c r="AF474" s="169"/>
      <c r="AG474" s="169"/>
      <c r="AH474" s="169"/>
      <c r="AI474" s="169"/>
      <c r="AJ474" s="169"/>
      <c r="AK474" s="169"/>
      <c r="AL474" s="169"/>
      <c r="AM474" s="169"/>
      <c r="AN474" s="169"/>
      <c r="AO474" s="169"/>
      <c r="AP474" s="169"/>
      <c r="AQ474" s="169"/>
      <c r="AR474" s="169"/>
      <c r="AS474" s="169"/>
      <c r="AT474" s="169"/>
      <c r="AU474" s="169"/>
      <c r="AV474" s="169"/>
      <c r="AW474" s="169"/>
      <c r="AX474" s="169"/>
      <c r="AY474" s="169"/>
      <c r="AZ474" s="169"/>
      <c r="BA474" s="169"/>
      <c r="BB474" s="169"/>
      <c r="BC474" s="169"/>
      <c r="BD474" s="169"/>
      <c r="BE474" s="169"/>
      <c r="BF474" s="169"/>
      <c r="BG474" s="169"/>
      <c r="BH474" s="169"/>
      <c r="BI474" s="169"/>
      <c r="BJ474" s="169"/>
      <c r="BK474" s="169"/>
      <c r="BL474" s="169"/>
      <c r="BM474" s="169"/>
      <c r="BN474" s="169"/>
      <c r="BO474" s="169"/>
      <c r="BP474" s="169"/>
      <c r="BQ474" s="169"/>
      <c r="BR474" s="169"/>
      <c r="BS474" s="169"/>
      <c r="BT474" s="169"/>
      <c r="BU474" s="169"/>
      <c r="BV474" s="169"/>
      <c r="BW474" s="169"/>
      <c r="BX474" s="169"/>
      <c r="BY474" s="169"/>
      <c r="BZ474" s="169"/>
      <c r="CA474" s="169"/>
      <c r="CB474" s="169"/>
      <c r="CC474" s="169"/>
      <c r="CD474" s="169"/>
      <c r="CE474" s="169"/>
      <c r="CF474" s="169"/>
      <c r="CG474" s="169"/>
      <c r="CH474" s="169"/>
      <c r="CI474" s="169"/>
      <c r="CJ474" s="169"/>
      <c r="CK474" s="169"/>
      <c r="CL474" s="169"/>
      <c r="CM474" s="169"/>
      <c r="CN474" s="169"/>
      <c r="CO474" s="169"/>
      <c r="CP474" s="169"/>
      <c r="CQ474" s="169"/>
      <c r="CR474" s="169"/>
      <c r="CS474" s="169"/>
      <c r="CT474" s="169"/>
      <c r="CU474" s="169"/>
      <c r="CV474" s="169"/>
      <c r="CW474" s="169"/>
      <c r="CX474" s="169"/>
      <c r="CY474" s="169"/>
      <c r="CZ474" s="169"/>
      <c r="DA474" s="169"/>
      <c r="DB474" s="169"/>
      <c r="DC474" s="169"/>
      <c r="DD474" s="169"/>
      <c r="DE474" s="169"/>
      <c r="DF474" s="169"/>
      <c r="DG474" s="169"/>
      <c r="DH474" s="169"/>
      <c r="DI474" s="169"/>
      <c r="DJ474" s="169"/>
      <c r="DK474" s="169"/>
      <c r="DL474" s="169"/>
      <c r="DM474" s="169"/>
      <c r="DN474" s="169"/>
      <c r="DO474" s="169"/>
      <c r="DP474" s="169"/>
      <c r="DQ474" s="169"/>
      <c r="DR474" s="169"/>
      <c r="DS474" s="169"/>
      <c r="DT474" s="169"/>
      <c r="DU474" s="169"/>
      <c r="DV474" s="169"/>
      <c r="DW474" s="169"/>
      <c r="DX474" s="169"/>
      <c r="DY474" s="169"/>
      <c r="DZ474" s="169"/>
      <c r="EA474" s="169"/>
      <c r="EB474" s="169"/>
      <c r="EC474" s="169"/>
      <c r="ED474" s="169"/>
      <c r="EE474" s="169"/>
      <c r="EF474" s="169"/>
      <c r="EG474" s="169"/>
      <c r="EH474" s="169"/>
      <c r="EI474" s="169"/>
      <c r="EJ474" s="169"/>
      <c r="EK474" s="169"/>
      <c r="EL474" s="169"/>
      <c r="EM474" s="169"/>
      <c r="EN474" s="169"/>
      <c r="EO474" s="169"/>
      <c r="EP474" s="169"/>
      <c r="EQ474" s="169"/>
      <c r="ER474" s="169"/>
      <c r="ES474" s="169"/>
      <c r="ET474" s="169"/>
      <c r="EU474" s="169"/>
      <c r="EV474" s="169"/>
      <c r="EW474" s="169"/>
      <c r="EX474" s="169"/>
      <c r="EY474" s="169"/>
      <c r="EZ474" s="169"/>
      <c r="FA474" s="169"/>
      <c r="FB474" s="169"/>
      <c r="FC474" s="169"/>
      <c r="FD474" s="169"/>
      <c r="FE474" s="169"/>
      <c r="FF474" s="169"/>
      <c r="FG474" s="169"/>
      <c r="FH474" s="169"/>
      <c r="FI474" s="169"/>
      <c r="FJ474" s="169"/>
      <c r="FK474" s="169"/>
      <c r="FL474" s="169"/>
      <c r="FM474" s="169"/>
      <c r="FN474" s="169"/>
      <c r="FO474" s="169"/>
      <c r="FP474" s="169"/>
      <c r="FQ474" s="169"/>
      <c r="FR474" s="169"/>
      <c r="FS474" s="169"/>
      <c r="FT474" s="169"/>
      <c r="FU474" s="169"/>
      <c r="FV474" s="169"/>
      <c r="FW474" s="169"/>
      <c r="FX474" s="169"/>
      <c r="FY474" s="169"/>
      <c r="FZ474" s="169"/>
      <c r="GA474" s="169"/>
      <c r="GB474" s="169"/>
      <c r="GC474" s="169"/>
      <c r="GD474" s="169"/>
      <c r="GE474" s="169"/>
      <c r="GF474" s="169"/>
      <c r="GG474" s="169"/>
      <c r="GH474" s="169"/>
      <c r="GI474" s="169"/>
      <c r="GJ474" s="169"/>
    </row>
    <row r="475" spans="1:192" s="93" customFormat="1" ht="12.75" customHeight="1">
      <c r="A475" s="68"/>
      <c r="B475" s="677"/>
      <c r="C475" s="218"/>
      <c r="D475" s="218"/>
      <c r="E475" s="218"/>
      <c r="F475" s="218"/>
      <c r="G475" s="218"/>
      <c r="H475" s="218"/>
      <c r="I475" s="218"/>
      <c r="J475" s="218"/>
      <c r="K475" s="218"/>
      <c r="L475" s="218"/>
      <c r="M475" s="218"/>
      <c r="N475" s="218"/>
      <c r="O475" s="218"/>
      <c r="P475" s="218"/>
      <c r="Q475" s="218"/>
      <c r="R475" s="218"/>
      <c r="S475" s="218"/>
      <c r="T475" s="218"/>
      <c r="U475" s="218"/>
      <c r="V475" s="218"/>
      <c r="W475" s="218"/>
      <c r="X475" s="218"/>
      <c r="Y475" s="218"/>
      <c r="Z475" s="218"/>
      <c r="AA475" s="218"/>
      <c r="AB475" s="218"/>
      <c r="AC475" s="218"/>
      <c r="AD475" s="218"/>
      <c r="AE475" s="218"/>
      <c r="AF475" s="218"/>
      <c r="AG475" s="218"/>
      <c r="AH475" s="218"/>
      <c r="AI475" s="218"/>
      <c r="AJ475" s="218"/>
      <c r="AK475" s="218"/>
      <c r="AL475" s="218"/>
      <c r="AM475" s="218"/>
      <c r="AN475" s="218"/>
      <c r="AO475" s="218"/>
      <c r="AP475" s="218"/>
      <c r="AQ475" s="218"/>
      <c r="AR475" s="218"/>
      <c r="AS475" s="218"/>
      <c r="AT475" s="218"/>
      <c r="AU475" s="218"/>
      <c r="AV475" s="218"/>
      <c r="AW475" s="218"/>
      <c r="AX475" s="218"/>
      <c r="AY475" s="218"/>
      <c r="AZ475" s="218"/>
      <c r="BA475" s="218"/>
      <c r="BB475" s="218"/>
      <c r="BC475" s="218"/>
      <c r="BD475" s="218"/>
      <c r="BE475" s="218"/>
      <c r="BF475" s="218"/>
      <c r="BG475" s="218"/>
      <c r="BH475" s="218"/>
      <c r="BI475" s="218"/>
      <c r="BJ475" s="218"/>
      <c r="BK475" s="218"/>
      <c r="BL475" s="218"/>
      <c r="BM475" s="218"/>
      <c r="BN475" s="218"/>
      <c r="BO475" s="218"/>
      <c r="BP475" s="218"/>
      <c r="BQ475" s="218"/>
      <c r="BR475" s="218"/>
      <c r="BS475" s="218"/>
      <c r="BT475" s="218"/>
      <c r="BU475" s="218"/>
      <c r="BV475" s="218"/>
      <c r="BW475" s="218"/>
      <c r="BX475" s="218"/>
      <c r="BY475" s="218"/>
      <c r="BZ475" s="218"/>
      <c r="CA475" s="218"/>
      <c r="CB475" s="218"/>
      <c r="CC475" s="218"/>
      <c r="CD475" s="218"/>
      <c r="CE475" s="218"/>
      <c r="CF475" s="218"/>
      <c r="CG475" s="218"/>
      <c r="CH475" s="218"/>
      <c r="CI475" s="218"/>
      <c r="CJ475" s="218"/>
      <c r="CK475" s="218"/>
      <c r="CL475" s="218"/>
      <c r="CM475" s="218"/>
      <c r="CN475" s="218"/>
      <c r="CO475" s="218"/>
      <c r="CP475" s="218"/>
      <c r="CQ475" s="218"/>
      <c r="CR475" s="218"/>
      <c r="CS475" s="218"/>
      <c r="CT475" s="218"/>
      <c r="CU475" s="218"/>
      <c r="CV475" s="218"/>
      <c r="CW475" s="218"/>
      <c r="CX475" s="218"/>
      <c r="CY475" s="218"/>
      <c r="CZ475" s="218"/>
      <c r="DA475" s="218"/>
      <c r="DB475" s="218"/>
      <c r="DC475" s="218"/>
      <c r="DD475" s="218"/>
      <c r="DE475" s="218"/>
      <c r="DF475" s="218"/>
      <c r="DG475" s="218"/>
      <c r="DH475" s="218"/>
      <c r="DI475" s="218"/>
      <c r="DJ475" s="218"/>
      <c r="DK475" s="218"/>
      <c r="DL475" s="218"/>
      <c r="DM475" s="218"/>
      <c r="DN475" s="218"/>
      <c r="DO475" s="218"/>
      <c r="DP475" s="218"/>
      <c r="DQ475" s="218"/>
      <c r="DR475" s="218"/>
      <c r="DS475" s="218"/>
      <c r="DT475" s="218"/>
      <c r="DU475" s="218"/>
      <c r="DV475" s="218"/>
      <c r="DW475" s="218"/>
      <c r="DX475" s="218"/>
      <c r="DY475" s="218"/>
      <c r="DZ475" s="218"/>
      <c r="EA475" s="218"/>
      <c r="EB475" s="218"/>
      <c r="EC475" s="218"/>
      <c r="ED475" s="218"/>
      <c r="EE475" s="218"/>
      <c r="EF475" s="218"/>
      <c r="EG475" s="218"/>
      <c r="EH475" s="218"/>
      <c r="EI475" s="218"/>
      <c r="EJ475" s="218"/>
      <c r="EK475" s="218"/>
      <c r="EL475" s="218"/>
      <c r="EM475" s="218"/>
      <c r="EN475" s="218"/>
      <c r="EO475" s="218"/>
      <c r="EP475" s="218"/>
      <c r="EQ475" s="218"/>
      <c r="ER475" s="218"/>
      <c r="ES475" s="218"/>
      <c r="ET475" s="218"/>
      <c r="EU475" s="218"/>
      <c r="EV475" s="218"/>
      <c r="EW475" s="218"/>
      <c r="EX475" s="218"/>
      <c r="EY475" s="218"/>
      <c r="EZ475" s="218"/>
      <c r="FA475" s="218"/>
      <c r="FB475" s="218"/>
      <c r="FC475" s="218"/>
      <c r="FD475" s="218"/>
      <c r="FE475" s="218"/>
      <c r="FF475" s="218"/>
      <c r="FG475" s="218"/>
      <c r="FH475" s="218"/>
      <c r="FI475" s="218"/>
      <c r="FJ475" s="218"/>
      <c r="FK475" s="218"/>
      <c r="FL475" s="218"/>
      <c r="FM475" s="218"/>
      <c r="FN475" s="218"/>
      <c r="FO475" s="218"/>
      <c r="FP475" s="218"/>
      <c r="FQ475" s="218"/>
      <c r="FR475" s="218"/>
      <c r="FS475" s="218"/>
      <c r="FT475" s="218"/>
      <c r="FU475" s="218"/>
      <c r="FV475" s="218"/>
      <c r="FW475" s="218"/>
      <c r="FX475" s="218"/>
      <c r="FY475" s="218"/>
      <c r="FZ475" s="218"/>
      <c r="GA475" s="218"/>
      <c r="GB475" s="218"/>
      <c r="GC475" s="218"/>
      <c r="GD475" s="218"/>
      <c r="GE475" s="218"/>
      <c r="GF475" s="218"/>
      <c r="GG475" s="218"/>
      <c r="GH475" s="218"/>
      <c r="GI475" s="218"/>
      <c r="GJ475" s="218"/>
    </row>
    <row r="476" spans="1:192" s="93" customFormat="1" ht="12.75" customHeight="1">
      <c r="A476" s="68"/>
      <c r="B476" s="677"/>
      <c r="C476" s="106"/>
      <c r="D476" s="106"/>
      <c r="E476" s="106"/>
      <c r="F476" s="106"/>
      <c r="G476" s="106"/>
      <c r="H476" s="106"/>
      <c r="I476" s="106"/>
      <c r="J476" s="106"/>
      <c r="K476" s="106"/>
      <c r="L476" s="106"/>
      <c r="M476" s="106"/>
      <c r="N476" s="106"/>
      <c r="O476" s="106"/>
      <c r="P476" s="106"/>
      <c r="Q476" s="106"/>
      <c r="R476" s="106"/>
      <c r="S476" s="106"/>
      <c r="T476" s="106"/>
      <c r="U476" s="106"/>
      <c r="V476" s="106"/>
      <c r="W476" s="106"/>
      <c r="X476" s="106"/>
      <c r="Y476" s="106"/>
      <c r="Z476" s="106"/>
      <c r="AA476" s="106"/>
      <c r="AB476" s="106"/>
      <c r="AC476" s="106"/>
      <c r="AD476" s="106"/>
      <c r="AE476" s="106"/>
      <c r="AF476" s="106"/>
      <c r="AG476" s="106"/>
      <c r="AH476" s="106"/>
      <c r="AI476" s="106"/>
      <c r="AJ476" s="106"/>
      <c r="AK476" s="106"/>
      <c r="AL476" s="106"/>
      <c r="AM476" s="106"/>
      <c r="AN476" s="106"/>
      <c r="AO476" s="106"/>
      <c r="AP476" s="106"/>
      <c r="AQ476" s="106"/>
      <c r="AR476" s="106"/>
      <c r="AS476" s="106"/>
      <c r="AT476" s="106"/>
      <c r="AU476" s="106"/>
      <c r="AV476" s="106"/>
      <c r="AW476" s="106"/>
      <c r="AX476" s="106"/>
      <c r="AY476" s="106"/>
      <c r="AZ476" s="106"/>
      <c r="BA476" s="106"/>
      <c r="BB476" s="106"/>
      <c r="BC476" s="106"/>
      <c r="BD476" s="106"/>
      <c r="BE476" s="106"/>
      <c r="BF476" s="106"/>
      <c r="BG476" s="106"/>
      <c r="BH476" s="106"/>
      <c r="BI476" s="106"/>
      <c r="BJ476" s="106"/>
      <c r="BK476" s="106"/>
      <c r="BL476" s="106"/>
      <c r="BM476" s="106"/>
      <c r="BN476" s="106"/>
      <c r="BO476" s="106"/>
      <c r="BP476" s="106"/>
      <c r="BQ476" s="106"/>
      <c r="BR476" s="106"/>
      <c r="BS476" s="106"/>
      <c r="BT476" s="106"/>
      <c r="BU476" s="106"/>
      <c r="BV476" s="106"/>
      <c r="BW476" s="106"/>
      <c r="BX476" s="106"/>
      <c r="BY476" s="106"/>
      <c r="BZ476" s="106"/>
      <c r="CA476" s="106"/>
      <c r="CB476" s="106"/>
      <c r="CC476" s="106"/>
      <c r="CD476" s="106"/>
      <c r="CE476" s="106"/>
      <c r="CF476" s="106"/>
      <c r="CG476" s="106"/>
      <c r="CH476" s="106"/>
      <c r="CI476" s="106"/>
      <c r="CJ476" s="106"/>
      <c r="CK476" s="106"/>
      <c r="CL476" s="106"/>
      <c r="CM476" s="106"/>
      <c r="CN476" s="106"/>
      <c r="CO476" s="106"/>
      <c r="CP476" s="106"/>
      <c r="CQ476" s="106"/>
      <c r="CR476" s="106"/>
      <c r="CS476" s="106"/>
      <c r="CT476" s="106"/>
      <c r="CU476" s="106"/>
      <c r="CV476" s="106"/>
      <c r="CW476" s="106"/>
      <c r="CX476" s="106"/>
      <c r="CY476" s="106"/>
      <c r="CZ476" s="106"/>
      <c r="DA476" s="106"/>
      <c r="DB476" s="106"/>
      <c r="DC476" s="106"/>
      <c r="DD476" s="106"/>
      <c r="DE476" s="106"/>
      <c r="DF476" s="106"/>
      <c r="DG476" s="106"/>
      <c r="DH476" s="106"/>
      <c r="DI476" s="106"/>
      <c r="DJ476" s="106"/>
      <c r="DK476" s="106"/>
      <c r="DL476" s="106"/>
      <c r="DM476" s="106"/>
      <c r="DN476" s="106"/>
      <c r="DO476" s="106"/>
      <c r="DP476" s="106"/>
      <c r="DQ476" s="106"/>
      <c r="DR476" s="106"/>
      <c r="DS476" s="106"/>
      <c r="DT476" s="106"/>
      <c r="DU476" s="106"/>
      <c r="DV476" s="106"/>
      <c r="DW476" s="106"/>
      <c r="DX476" s="106"/>
      <c r="DY476" s="106"/>
      <c r="DZ476" s="106"/>
      <c r="EA476" s="106"/>
      <c r="EB476" s="106"/>
      <c r="EC476" s="106"/>
      <c r="ED476" s="106"/>
      <c r="EE476" s="106"/>
      <c r="EF476" s="106"/>
      <c r="EG476" s="106"/>
      <c r="EH476" s="106"/>
      <c r="EI476" s="106"/>
      <c r="EJ476" s="106"/>
      <c r="EK476" s="106"/>
      <c r="EL476" s="106"/>
      <c r="EM476" s="106"/>
      <c r="EN476" s="106"/>
      <c r="EO476" s="106"/>
      <c r="EP476" s="106"/>
      <c r="EQ476" s="106"/>
      <c r="ER476" s="106"/>
      <c r="ES476" s="106"/>
      <c r="ET476" s="106"/>
      <c r="EU476" s="106"/>
      <c r="EV476" s="106"/>
      <c r="EW476" s="106"/>
      <c r="EX476" s="106"/>
      <c r="EY476" s="106"/>
      <c r="EZ476" s="106"/>
      <c r="FA476" s="106"/>
      <c r="FB476" s="106"/>
      <c r="FC476" s="106"/>
      <c r="FD476" s="106"/>
      <c r="FE476" s="106"/>
      <c r="FF476" s="106"/>
      <c r="FG476" s="106"/>
      <c r="FH476" s="106"/>
      <c r="FI476" s="106"/>
      <c r="FJ476" s="106"/>
      <c r="FK476" s="106"/>
      <c r="FL476" s="106"/>
      <c r="FM476" s="106"/>
      <c r="FN476" s="106"/>
      <c r="FO476" s="106"/>
      <c r="FP476" s="106"/>
      <c r="FQ476" s="106"/>
      <c r="FR476" s="106"/>
      <c r="FS476" s="106"/>
      <c r="FT476" s="106"/>
      <c r="FU476" s="106"/>
      <c r="FV476" s="106"/>
      <c r="FW476" s="106"/>
      <c r="FX476" s="106"/>
      <c r="FY476" s="106"/>
      <c r="FZ476" s="106"/>
      <c r="GA476" s="106"/>
      <c r="GB476" s="106"/>
      <c r="GC476" s="106"/>
      <c r="GD476" s="106"/>
      <c r="GE476" s="106"/>
      <c r="GF476" s="106"/>
      <c r="GG476" s="106"/>
      <c r="GH476" s="106"/>
      <c r="GI476" s="106"/>
      <c r="GJ476" s="106"/>
    </row>
    <row r="477" spans="1:192" s="93" customFormat="1" ht="12.75" customHeight="1">
      <c r="A477" s="68"/>
      <c r="B477" s="677"/>
      <c r="C477" s="106"/>
      <c r="D477" s="106"/>
      <c r="E477" s="106"/>
      <c r="F477" s="106"/>
      <c r="G477" s="106"/>
      <c r="H477" s="106"/>
      <c r="I477" s="106"/>
      <c r="J477" s="106"/>
      <c r="K477" s="106"/>
      <c r="L477" s="106"/>
      <c r="M477" s="106"/>
      <c r="N477" s="106"/>
      <c r="O477" s="106"/>
      <c r="P477" s="106"/>
      <c r="Q477" s="106"/>
      <c r="R477" s="106"/>
      <c r="S477" s="106"/>
      <c r="T477" s="106"/>
      <c r="U477" s="106"/>
      <c r="V477" s="106"/>
      <c r="W477" s="106"/>
      <c r="X477" s="106"/>
      <c r="Y477" s="106"/>
      <c r="Z477" s="106"/>
      <c r="AA477" s="106"/>
      <c r="AB477" s="106"/>
      <c r="AC477" s="106"/>
      <c r="AD477" s="106"/>
      <c r="AE477" s="106"/>
      <c r="AF477" s="106"/>
      <c r="AG477" s="106"/>
      <c r="AH477" s="106"/>
      <c r="AI477" s="106"/>
      <c r="AJ477" s="106"/>
      <c r="AK477" s="106"/>
      <c r="AL477" s="106"/>
      <c r="AM477" s="106"/>
      <c r="AN477" s="106"/>
      <c r="AO477" s="106"/>
      <c r="AP477" s="106"/>
      <c r="AQ477" s="106"/>
      <c r="AR477" s="106"/>
      <c r="AS477" s="106"/>
      <c r="AT477" s="106"/>
      <c r="AU477" s="106"/>
      <c r="AV477" s="106"/>
      <c r="AW477" s="106"/>
      <c r="AX477" s="106"/>
      <c r="AY477" s="106"/>
      <c r="AZ477" s="106"/>
      <c r="BA477" s="106"/>
      <c r="BB477" s="106"/>
      <c r="BC477" s="106"/>
      <c r="BD477" s="106"/>
      <c r="BE477" s="106"/>
      <c r="BF477" s="106"/>
      <c r="BG477" s="106"/>
      <c r="BH477" s="106"/>
      <c r="BI477" s="106"/>
      <c r="BJ477" s="106"/>
      <c r="BK477" s="106"/>
      <c r="BL477" s="106"/>
      <c r="BM477" s="106"/>
      <c r="BN477" s="106"/>
      <c r="BO477" s="106"/>
      <c r="BP477" s="106"/>
      <c r="BQ477" s="106"/>
      <c r="BR477" s="106"/>
      <c r="BS477" s="106"/>
      <c r="BT477" s="106"/>
      <c r="BU477" s="106"/>
      <c r="BV477" s="106"/>
      <c r="BW477" s="106"/>
      <c r="BX477" s="106"/>
      <c r="BY477" s="106"/>
      <c r="BZ477" s="106"/>
      <c r="CA477" s="106"/>
      <c r="CB477" s="106"/>
      <c r="CC477" s="106"/>
      <c r="CD477" s="106"/>
      <c r="CE477" s="106"/>
      <c r="CF477" s="106"/>
      <c r="CG477" s="106"/>
      <c r="CH477" s="106"/>
      <c r="CI477" s="106"/>
      <c r="CJ477" s="106"/>
      <c r="CK477" s="106"/>
      <c r="CL477" s="106"/>
      <c r="CM477" s="106"/>
      <c r="CN477" s="106"/>
      <c r="CO477" s="106"/>
      <c r="CP477" s="106"/>
      <c r="CQ477" s="106"/>
      <c r="CR477" s="106"/>
      <c r="CS477" s="106"/>
      <c r="CT477" s="106"/>
      <c r="CU477" s="106"/>
      <c r="CV477" s="106"/>
      <c r="CW477" s="106"/>
      <c r="CX477" s="106"/>
      <c r="CY477" s="106"/>
      <c r="CZ477" s="106"/>
      <c r="DA477" s="106"/>
      <c r="DB477" s="106"/>
      <c r="DC477" s="106"/>
      <c r="DD477" s="106"/>
      <c r="DE477" s="106"/>
      <c r="DF477" s="106"/>
      <c r="DG477" s="106"/>
      <c r="DH477" s="106"/>
      <c r="DI477" s="106"/>
      <c r="DJ477" s="106"/>
      <c r="DK477" s="106"/>
      <c r="DL477" s="106"/>
      <c r="DM477" s="106"/>
      <c r="DN477" s="106"/>
      <c r="DO477" s="106"/>
      <c r="DP477" s="106"/>
      <c r="DQ477" s="106"/>
      <c r="DR477" s="106"/>
      <c r="DS477" s="106"/>
      <c r="DT477" s="106"/>
      <c r="DU477" s="106"/>
      <c r="DV477" s="106"/>
      <c r="DW477" s="106"/>
      <c r="DX477" s="106"/>
      <c r="DY477" s="106"/>
      <c r="DZ477" s="106"/>
      <c r="EA477" s="106"/>
      <c r="EB477" s="106"/>
      <c r="EC477" s="106"/>
      <c r="ED477" s="106"/>
      <c r="EE477" s="106"/>
      <c r="EF477" s="106"/>
      <c r="EG477" s="106"/>
      <c r="EH477" s="106"/>
      <c r="EI477" s="106"/>
      <c r="EJ477" s="106"/>
      <c r="EK477" s="106"/>
      <c r="EL477" s="106"/>
      <c r="EM477" s="106"/>
      <c r="EN477" s="106"/>
      <c r="EO477" s="106"/>
      <c r="EP477" s="106"/>
      <c r="EQ477" s="106"/>
      <c r="ER477" s="106"/>
      <c r="ES477" s="106"/>
      <c r="ET477" s="106"/>
      <c r="EU477" s="106"/>
      <c r="EV477" s="106"/>
      <c r="EW477" s="106"/>
      <c r="EX477" s="106"/>
      <c r="EY477" s="106"/>
      <c r="EZ477" s="106"/>
      <c r="FA477" s="106"/>
      <c r="FB477" s="106"/>
      <c r="FC477" s="106"/>
      <c r="FD477" s="106"/>
      <c r="FE477" s="106"/>
      <c r="FF477" s="106"/>
      <c r="FG477" s="106"/>
      <c r="FH477" s="106"/>
      <c r="FI477" s="106"/>
      <c r="FJ477" s="106"/>
      <c r="FK477" s="106"/>
      <c r="FL477" s="106"/>
      <c r="FM477" s="106"/>
      <c r="FN477" s="106"/>
      <c r="FO477" s="106"/>
      <c r="FP477" s="106"/>
      <c r="FQ477" s="106"/>
      <c r="FR477" s="106"/>
      <c r="FS477" s="106"/>
      <c r="FT477" s="106"/>
      <c r="FU477" s="106"/>
      <c r="FV477" s="106"/>
      <c r="FW477" s="106"/>
      <c r="FX477" s="106"/>
      <c r="FY477" s="106"/>
      <c r="FZ477" s="106"/>
      <c r="GA477" s="106"/>
      <c r="GB477" s="106"/>
      <c r="GC477" s="106"/>
      <c r="GD477" s="106"/>
      <c r="GE477" s="106"/>
      <c r="GF477" s="106"/>
      <c r="GG477" s="106"/>
      <c r="GH477" s="106"/>
      <c r="GI477" s="106"/>
      <c r="GJ477" s="106"/>
    </row>
    <row r="478" spans="1:192" s="93" customFormat="1" ht="12.75" customHeight="1">
      <c r="A478" s="68"/>
      <c r="B478" s="677"/>
      <c r="C478" s="219"/>
      <c r="D478" s="219"/>
      <c r="E478" s="219"/>
      <c r="F478" s="219"/>
      <c r="G478" s="219"/>
      <c r="H478" s="219"/>
      <c r="I478" s="219"/>
      <c r="J478" s="219"/>
      <c r="K478" s="219"/>
      <c r="L478" s="219"/>
      <c r="M478" s="219"/>
      <c r="N478" s="219"/>
      <c r="O478" s="219"/>
      <c r="P478" s="219"/>
      <c r="Q478" s="219"/>
      <c r="R478" s="219"/>
      <c r="S478" s="219"/>
      <c r="T478" s="219"/>
      <c r="U478" s="219"/>
      <c r="V478" s="219"/>
      <c r="W478" s="219"/>
      <c r="X478" s="219"/>
      <c r="Y478" s="219"/>
      <c r="Z478" s="219"/>
      <c r="AA478" s="219"/>
      <c r="AB478" s="219"/>
      <c r="AC478" s="219"/>
      <c r="AD478" s="219"/>
      <c r="AE478" s="219"/>
      <c r="AF478" s="219"/>
      <c r="AG478" s="219"/>
      <c r="AH478" s="219"/>
      <c r="AI478" s="219"/>
      <c r="AJ478" s="219"/>
      <c r="AK478" s="219"/>
      <c r="AL478" s="219"/>
      <c r="AM478" s="219"/>
      <c r="AN478" s="219"/>
      <c r="AO478" s="219"/>
      <c r="AP478" s="219"/>
      <c r="AQ478" s="219"/>
      <c r="AR478" s="219"/>
      <c r="AS478" s="219"/>
      <c r="AT478" s="219"/>
      <c r="AU478" s="219"/>
      <c r="AV478" s="219"/>
      <c r="AW478" s="219"/>
      <c r="AX478" s="219"/>
      <c r="AY478" s="219"/>
      <c r="AZ478" s="219"/>
      <c r="BA478" s="219"/>
      <c r="BB478" s="219"/>
      <c r="BC478" s="219"/>
      <c r="BD478" s="219"/>
      <c r="BE478" s="219"/>
      <c r="BF478" s="219"/>
      <c r="BG478" s="219"/>
      <c r="BH478" s="219"/>
      <c r="BI478" s="219"/>
      <c r="BJ478" s="219"/>
      <c r="BK478" s="219"/>
      <c r="BL478" s="219"/>
      <c r="BM478" s="219"/>
      <c r="BN478" s="219"/>
      <c r="BO478" s="219"/>
      <c r="BP478" s="219"/>
      <c r="BQ478" s="219"/>
      <c r="BR478" s="219"/>
      <c r="BS478" s="219"/>
      <c r="BT478" s="219"/>
      <c r="BU478" s="219"/>
      <c r="BV478" s="219"/>
      <c r="BW478" s="219"/>
      <c r="BX478" s="219"/>
      <c r="BY478" s="219"/>
      <c r="BZ478" s="219"/>
      <c r="CA478" s="219"/>
      <c r="CB478" s="219"/>
      <c r="CC478" s="219"/>
      <c r="CD478" s="219"/>
      <c r="CE478" s="219"/>
      <c r="CF478" s="219"/>
      <c r="CG478" s="219"/>
      <c r="CH478" s="219"/>
      <c r="CI478" s="219"/>
      <c r="CJ478" s="219"/>
      <c r="CK478" s="219"/>
      <c r="CL478" s="219"/>
      <c r="CM478" s="219"/>
      <c r="CN478" s="219"/>
      <c r="CO478" s="219"/>
      <c r="CP478" s="219"/>
      <c r="CQ478" s="219"/>
      <c r="CR478" s="219"/>
      <c r="CS478" s="219"/>
      <c r="CT478" s="219"/>
      <c r="CU478" s="219"/>
      <c r="CV478" s="219"/>
      <c r="CW478" s="219"/>
      <c r="CX478" s="219"/>
      <c r="CY478" s="219"/>
      <c r="CZ478" s="219"/>
      <c r="DA478" s="219"/>
      <c r="DB478" s="219"/>
      <c r="DC478" s="219"/>
      <c r="DD478" s="219"/>
      <c r="DE478" s="219"/>
      <c r="DF478" s="219"/>
      <c r="DG478" s="219"/>
      <c r="DH478" s="219"/>
      <c r="DI478" s="219"/>
      <c r="DJ478" s="219"/>
      <c r="DK478" s="219"/>
      <c r="DL478" s="219"/>
      <c r="DM478" s="219"/>
      <c r="DN478" s="219"/>
      <c r="DO478" s="219"/>
      <c r="DP478" s="219"/>
      <c r="DQ478" s="219"/>
      <c r="DR478" s="219"/>
      <c r="DS478" s="219"/>
      <c r="DT478" s="219"/>
      <c r="DU478" s="219"/>
      <c r="DV478" s="219"/>
      <c r="DW478" s="219"/>
      <c r="DX478" s="219"/>
      <c r="DY478" s="219"/>
      <c r="DZ478" s="219"/>
      <c r="EA478" s="219"/>
      <c r="EB478" s="219"/>
      <c r="EC478" s="219"/>
      <c r="ED478" s="219"/>
      <c r="EE478" s="219"/>
      <c r="EF478" s="219"/>
      <c r="EG478" s="219"/>
      <c r="EH478" s="219"/>
      <c r="EI478" s="219"/>
      <c r="EJ478" s="219"/>
      <c r="EK478" s="219"/>
      <c r="EL478" s="219"/>
      <c r="EM478" s="219"/>
      <c r="EN478" s="219"/>
      <c r="EO478" s="219"/>
      <c r="EP478" s="219"/>
      <c r="EQ478" s="219"/>
      <c r="ER478" s="219"/>
      <c r="ES478" s="219"/>
      <c r="ET478" s="219"/>
      <c r="EU478" s="219"/>
      <c r="EV478" s="219"/>
      <c r="EW478" s="219"/>
      <c r="EX478" s="219"/>
      <c r="EY478" s="219"/>
      <c r="EZ478" s="219"/>
      <c r="FA478" s="219"/>
      <c r="FB478" s="219"/>
      <c r="FC478" s="219"/>
      <c r="FD478" s="219"/>
      <c r="FE478" s="219"/>
      <c r="FF478" s="219"/>
      <c r="FG478" s="219"/>
      <c r="FH478" s="219"/>
      <c r="FI478" s="219"/>
      <c r="FJ478" s="219"/>
      <c r="FK478" s="219"/>
      <c r="FL478" s="219"/>
      <c r="FM478" s="219"/>
      <c r="FN478" s="219"/>
      <c r="FO478" s="219"/>
      <c r="FP478" s="219"/>
      <c r="FQ478" s="219"/>
      <c r="FR478" s="219"/>
      <c r="FS478" s="219"/>
      <c r="FT478" s="219"/>
      <c r="FU478" s="219"/>
      <c r="FV478" s="219"/>
      <c r="FW478" s="219"/>
      <c r="FX478" s="219"/>
      <c r="FY478" s="219"/>
      <c r="FZ478" s="219"/>
      <c r="GA478" s="219"/>
      <c r="GB478" s="219"/>
      <c r="GC478" s="219"/>
      <c r="GD478" s="219"/>
      <c r="GE478" s="219"/>
      <c r="GF478" s="219"/>
      <c r="GG478" s="219"/>
      <c r="GH478" s="219"/>
      <c r="GI478" s="219"/>
      <c r="GJ478" s="219"/>
    </row>
    <row r="479" spans="1:192" s="93" customFormat="1" ht="12.75" customHeight="1">
      <c r="A479" s="68"/>
      <c r="B479" s="677"/>
      <c r="C479" s="169"/>
      <c r="D479" s="169"/>
      <c r="E479" s="169"/>
      <c r="F479" s="169"/>
      <c r="G479" s="169"/>
      <c r="H479" s="169"/>
      <c r="I479" s="169"/>
      <c r="J479" s="169"/>
      <c r="K479" s="169"/>
      <c r="L479" s="169"/>
      <c r="M479" s="169"/>
      <c r="N479" s="169"/>
      <c r="O479" s="169"/>
      <c r="P479" s="169"/>
      <c r="Q479" s="169"/>
      <c r="R479" s="169"/>
      <c r="S479" s="169"/>
      <c r="T479" s="169"/>
      <c r="U479" s="169"/>
      <c r="V479" s="169"/>
      <c r="W479" s="169"/>
      <c r="X479" s="169"/>
      <c r="Y479" s="169"/>
      <c r="Z479" s="169"/>
      <c r="AA479" s="169"/>
      <c r="AB479" s="169"/>
      <c r="AC479" s="169"/>
      <c r="AD479" s="169"/>
      <c r="AE479" s="169"/>
      <c r="AF479" s="169"/>
      <c r="AG479" s="169"/>
      <c r="AH479" s="169"/>
      <c r="AI479" s="169"/>
      <c r="AJ479" s="169"/>
      <c r="AK479" s="169"/>
      <c r="AL479" s="169"/>
      <c r="AM479" s="169"/>
      <c r="AN479" s="169"/>
      <c r="AO479" s="169"/>
      <c r="AP479" s="169"/>
      <c r="AQ479" s="169"/>
      <c r="AR479" s="169"/>
      <c r="AS479" s="169"/>
      <c r="AT479" s="169"/>
      <c r="AU479" s="169"/>
      <c r="AV479" s="169"/>
      <c r="AW479" s="169"/>
      <c r="AX479" s="169"/>
      <c r="AY479" s="169"/>
      <c r="AZ479" s="169"/>
      <c r="BA479" s="169"/>
      <c r="BB479" s="169"/>
      <c r="BC479" s="169"/>
      <c r="BD479" s="169"/>
      <c r="BE479" s="169"/>
      <c r="BF479" s="169"/>
      <c r="BG479" s="169"/>
      <c r="BH479" s="169"/>
      <c r="BI479" s="169"/>
      <c r="BJ479" s="169"/>
      <c r="BK479" s="169"/>
      <c r="BL479" s="169"/>
      <c r="BM479" s="169"/>
      <c r="BN479" s="169"/>
      <c r="BO479" s="169"/>
      <c r="BP479" s="169"/>
      <c r="BQ479" s="169"/>
      <c r="BR479" s="169"/>
      <c r="BS479" s="169"/>
      <c r="BT479" s="169"/>
      <c r="BU479" s="169"/>
      <c r="BV479" s="169"/>
      <c r="BW479" s="169"/>
      <c r="BX479" s="169"/>
      <c r="BY479" s="169"/>
      <c r="BZ479" s="169"/>
      <c r="CA479" s="169"/>
      <c r="CB479" s="169"/>
      <c r="CC479" s="169"/>
      <c r="CD479" s="169"/>
      <c r="CE479" s="169"/>
      <c r="CF479" s="169"/>
      <c r="CG479" s="169"/>
      <c r="CH479" s="169"/>
      <c r="CI479" s="169"/>
      <c r="CJ479" s="169"/>
      <c r="CK479" s="169"/>
      <c r="CL479" s="169"/>
      <c r="CM479" s="169"/>
      <c r="CN479" s="169"/>
      <c r="CO479" s="169"/>
      <c r="CP479" s="169"/>
      <c r="CQ479" s="169"/>
      <c r="CR479" s="169"/>
      <c r="CS479" s="169"/>
      <c r="CT479" s="169"/>
      <c r="CU479" s="169"/>
      <c r="CV479" s="169"/>
      <c r="CW479" s="169"/>
      <c r="CX479" s="169"/>
      <c r="CY479" s="169"/>
      <c r="CZ479" s="169"/>
      <c r="DA479" s="169"/>
      <c r="DB479" s="169"/>
      <c r="DC479" s="169"/>
      <c r="DD479" s="169"/>
      <c r="DE479" s="169"/>
      <c r="DF479" s="169"/>
      <c r="DG479" s="169"/>
      <c r="DH479" s="169"/>
      <c r="DI479" s="169"/>
      <c r="DJ479" s="169"/>
      <c r="DK479" s="169"/>
      <c r="DL479" s="169"/>
      <c r="DM479" s="169"/>
      <c r="DN479" s="169"/>
      <c r="DO479" s="169"/>
      <c r="DP479" s="169"/>
      <c r="DQ479" s="169"/>
      <c r="DR479" s="169"/>
      <c r="DS479" s="169"/>
      <c r="DT479" s="169"/>
      <c r="DU479" s="169"/>
      <c r="DV479" s="169"/>
      <c r="DW479" s="169"/>
      <c r="DX479" s="169"/>
      <c r="DY479" s="169"/>
      <c r="DZ479" s="169"/>
      <c r="EA479" s="169"/>
      <c r="EB479" s="169"/>
      <c r="EC479" s="169"/>
      <c r="ED479" s="169"/>
      <c r="EE479" s="169"/>
      <c r="EF479" s="169"/>
      <c r="EG479" s="169"/>
      <c r="EH479" s="169"/>
      <c r="EI479" s="169"/>
      <c r="EJ479" s="169"/>
      <c r="EK479" s="169"/>
      <c r="EL479" s="169"/>
      <c r="EM479" s="169"/>
      <c r="EN479" s="169"/>
      <c r="EO479" s="169"/>
      <c r="EP479" s="169"/>
      <c r="EQ479" s="169"/>
      <c r="ER479" s="169"/>
      <c r="ES479" s="169"/>
      <c r="ET479" s="169"/>
      <c r="EU479" s="169"/>
      <c r="EV479" s="169"/>
      <c r="EW479" s="169"/>
      <c r="EX479" s="169"/>
      <c r="EY479" s="169"/>
      <c r="EZ479" s="169"/>
      <c r="FA479" s="169"/>
      <c r="FB479" s="169"/>
      <c r="FC479" s="169"/>
      <c r="FD479" s="169"/>
      <c r="FE479" s="169"/>
      <c r="FF479" s="169"/>
      <c r="FG479" s="169"/>
      <c r="FH479" s="169"/>
      <c r="FI479" s="169"/>
      <c r="FJ479" s="169"/>
      <c r="FK479" s="169"/>
      <c r="FL479" s="169"/>
      <c r="FM479" s="169"/>
      <c r="FN479" s="169"/>
      <c r="FO479" s="169"/>
      <c r="FP479" s="169"/>
      <c r="FQ479" s="169"/>
      <c r="FR479" s="169"/>
      <c r="FS479" s="169"/>
      <c r="FT479" s="169"/>
      <c r="FU479" s="169"/>
      <c r="FV479" s="169"/>
      <c r="FW479" s="169"/>
      <c r="FX479" s="169"/>
      <c r="FY479" s="169"/>
      <c r="FZ479" s="169"/>
      <c r="GA479" s="169"/>
      <c r="GB479" s="169"/>
      <c r="GC479" s="169"/>
      <c r="GD479" s="169"/>
      <c r="GE479" s="169"/>
      <c r="GF479" s="169"/>
      <c r="GG479" s="169"/>
      <c r="GH479" s="169"/>
      <c r="GI479" s="169"/>
      <c r="GJ479" s="169"/>
    </row>
    <row r="480" spans="1:192" s="93" customFormat="1" ht="12.75" customHeight="1">
      <c r="A480" s="68"/>
      <c r="B480" s="677"/>
      <c r="C480" s="169"/>
      <c r="D480" s="169"/>
      <c r="E480" s="169"/>
      <c r="F480" s="169"/>
      <c r="G480" s="169"/>
      <c r="H480" s="169"/>
      <c r="I480" s="169"/>
      <c r="J480" s="169"/>
      <c r="K480" s="169"/>
      <c r="L480" s="169"/>
      <c r="M480" s="169"/>
      <c r="N480" s="169"/>
      <c r="O480" s="169"/>
      <c r="P480" s="169"/>
      <c r="Q480" s="169"/>
      <c r="R480" s="169"/>
      <c r="S480" s="169"/>
      <c r="T480" s="169"/>
      <c r="U480" s="169"/>
      <c r="V480" s="169"/>
      <c r="W480" s="169"/>
      <c r="X480" s="169"/>
      <c r="Y480" s="169"/>
      <c r="Z480" s="169"/>
      <c r="AA480" s="169"/>
      <c r="AB480" s="169"/>
      <c r="AC480" s="169"/>
      <c r="AD480" s="169"/>
      <c r="AE480" s="169"/>
      <c r="AF480" s="169"/>
      <c r="AG480" s="169"/>
      <c r="AH480" s="169"/>
      <c r="AI480" s="169"/>
      <c r="AJ480" s="169"/>
      <c r="AK480" s="169"/>
      <c r="AL480" s="169"/>
      <c r="AM480" s="169"/>
      <c r="AN480" s="169"/>
      <c r="AO480" s="169"/>
      <c r="AP480" s="169"/>
      <c r="AQ480" s="169"/>
      <c r="AR480" s="169"/>
      <c r="AS480" s="169"/>
      <c r="AT480" s="169"/>
      <c r="AU480" s="169"/>
      <c r="AV480" s="169"/>
      <c r="AW480" s="169"/>
      <c r="AX480" s="169"/>
      <c r="AY480" s="169"/>
      <c r="AZ480" s="169"/>
      <c r="BA480" s="169"/>
      <c r="BB480" s="169"/>
      <c r="BC480" s="169"/>
      <c r="BD480" s="169"/>
      <c r="BE480" s="169"/>
      <c r="BF480" s="169"/>
      <c r="BG480" s="169"/>
      <c r="BH480" s="169"/>
      <c r="BI480" s="169"/>
      <c r="BJ480" s="169"/>
      <c r="BK480" s="169"/>
      <c r="BL480" s="169"/>
      <c r="BM480" s="169"/>
      <c r="BN480" s="169"/>
      <c r="BO480" s="169"/>
      <c r="BP480" s="169"/>
      <c r="BQ480" s="169"/>
      <c r="BR480" s="169"/>
      <c r="BS480" s="169"/>
      <c r="BT480" s="169"/>
      <c r="BU480" s="169"/>
      <c r="BV480" s="169"/>
      <c r="BW480" s="169"/>
      <c r="BX480" s="169"/>
      <c r="BY480" s="169"/>
      <c r="BZ480" s="169"/>
      <c r="CA480" s="169"/>
      <c r="CB480" s="169"/>
      <c r="CC480" s="169"/>
      <c r="CD480" s="169"/>
      <c r="CE480" s="169"/>
      <c r="CF480" s="169"/>
      <c r="CG480" s="169"/>
      <c r="CH480" s="169"/>
      <c r="CI480" s="169"/>
      <c r="CJ480" s="169"/>
      <c r="CK480" s="169"/>
      <c r="CL480" s="169"/>
      <c r="CM480" s="169"/>
      <c r="CN480" s="169"/>
      <c r="CO480" s="169"/>
      <c r="CP480" s="169"/>
      <c r="CQ480" s="169"/>
      <c r="CR480" s="169"/>
      <c r="CS480" s="169"/>
      <c r="CT480" s="169"/>
      <c r="CU480" s="169"/>
      <c r="CV480" s="169"/>
      <c r="CW480" s="169"/>
      <c r="CX480" s="169"/>
      <c r="CY480" s="169"/>
      <c r="CZ480" s="169"/>
      <c r="DA480" s="169"/>
      <c r="DB480" s="169"/>
      <c r="DC480" s="169"/>
      <c r="DD480" s="169"/>
      <c r="DE480" s="169"/>
      <c r="DF480" s="169"/>
      <c r="DG480" s="169"/>
      <c r="DH480" s="169"/>
      <c r="DI480" s="169"/>
      <c r="DJ480" s="169"/>
      <c r="DK480" s="169"/>
      <c r="DL480" s="169"/>
      <c r="DM480" s="169"/>
      <c r="DN480" s="169"/>
      <c r="DO480" s="169"/>
      <c r="DP480" s="169"/>
      <c r="DQ480" s="169"/>
      <c r="DR480" s="169"/>
      <c r="DS480" s="169"/>
      <c r="DT480" s="169"/>
      <c r="DU480" s="169"/>
      <c r="DV480" s="169"/>
      <c r="DW480" s="169"/>
      <c r="DX480" s="169"/>
      <c r="DY480" s="169"/>
      <c r="DZ480" s="169"/>
      <c r="EA480" s="169"/>
      <c r="EB480" s="169"/>
      <c r="EC480" s="169"/>
      <c r="ED480" s="169"/>
      <c r="EE480" s="169"/>
      <c r="EF480" s="169"/>
      <c r="EG480" s="169"/>
      <c r="EH480" s="169"/>
      <c r="EI480" s="169"/>
      <c r="EJ480" s="169"/>
      <c r="EK480" s="169"/>
      <c r="EL480" s="169"/>
      <c r="EM480" s="169"/>
      <c r="EN480" s="169"/>
      <c r="EO480" s="169"/>
      <c r="EP480" s="169"/>
      <c r="EQ480" s="169"/>
      <c r="ER480" s="169"/>
      <c r="ES480" s="169"/>
      <c r="ET480" s="169"/>
      <c r="EU480" s="169"/>
      <c r="EV480" s="169"/>
      <c r="EW480" s="169"/>
      <c r="EX480" s="169"/>
      <c r="EY480" s="169"/>
      <c r="EZ480" s="169"/>
      <c r="FA480" s="169"/>
      <c r="FB480" s="169"/>
      <c r="FC480" s="169"/>
      <c r="FD480" s="169"/>
      <c r="FE480" s="169"/>
      <c r="FF480" s="169"/>
      <c r="FG480" s="169"/>
      <c r="FH480" s="169"/>
      <c r="FI480" s="169"/>
      <c r="FJ480" s="169"/>
      <c r="FK480" s="169"/>
      <c r="FL480" s="169"/>
      <c r="FM480" s="169"/>
      <c r="FN480" s="169"/>
      <c r="FO480" s="169"/>
      <c r="FP480" s="169"/>
      <c r="FQ480" s="169"/>
      <c r="FR480" s="169"/>
      <c r="FS480" s="169"/>
      <c r="FT480" s="169"/>
      <c r="FU480" s="169"/>
      <c r="FV480" s="169"/>
      <c r="FW480" s="169"/>
      <c r="FX480" s="169"/>
      <c r="FY480" s="169"/>
      <c r="FZ480" s="169"/>
      <c r="GA480" s="169"/>
      <c r="GB480" s="169"/>
      <c r="GC480" s="169"/>
      <c r="GD480" s="169"/>
      <c r="GE480" s="169"/>
      <c r="GF480" s="169"/>
      <c r="GG480" s="169"/>
      <c r="GH480" s="169"/>
      <c r="GI480" s="169"/>
      <c r="GJ480" s="169"/>
    </row>
    <row r="481" spans="1:192" s="93" customFormat="1" ht="12.75" customHeight="1">
      <c r="A481" s="68"/>
      <c r="B481" s="677"/>
      <c r="C481" s="220"/>
      <c r="D481" s="220"/>
      <c r="E481" s="220"/>
      <c r="F481" s="220"/>
      <c r="G481" s="220"/>
      <c r="H481" s="220"/>
      <c r="I481" s="220"/>
      <c r="J481" s="220"/>
      <c r="K481" s="220"/>
      <c r="L481" s="220"/>
      <c r="M481" s="220"/>
      <c r="N481" s="220"/>
      <c r="O481" s="220"/>
      <c r="P481" s="220"/>
      <c r="Q481" s="220"/>
      <c r="R481" s="220"/>
      <c r="S481" s="220"/>
      <c r="T481" s="220"/>
      <c r="U481" s="220"/>
      <c r="V481" s="220"/>
      <c r="W481" s="220"/>
      <c r="X481" s="220"/>
      <c r="Y481" s="220"/>
      <c r="Z481" s="220"/>
      <c r="AA481" s="220"/>
      <c r="AB481" s="220"/>
      <c r="AC481" s="220"/>
      <c r="AD481" s="220"/>
      <c r="AE481" s="220"/>
      <c r="AF481" s="220"/>
      <c r="AG481" s="220"/>
      <c r="AH481" s="220"/>
      <c r="AI481" s="220"/>
      <c r="AJ481" s="220"/>
      <c r="AK481" s="220"/>
      <c r="AL481" s="220"/>
      <c r="AM481" s="220"/>
      <c r="AN481" s="220"/>
      <c r="AO481" s="220"/>
      <c r="AP481" s="220"/>
      <c r="AQ481" s="220"/>
      <c r="AR481" s="220"/>
      <c r="AS481" s="220"/>
      <c r="AT481" s="220"/>
      <c r="AU481" s="220"/>
      <c r="AV481" s="220"/>
      <c r="AW481" s="220"/>
      <c r="AX481" s="220"/>
      <c r="AY481" s="220"/>
      <c r="AZ481" s="220"/>
      <c r="BA481" s="220"/>
      <c r="BB481" s="220"/>
      <c r="BC481" s="220"/>
      <c r="BD481" s="220"/>
      <c r="BE481" s="220"/>
      <c r="BF481" s="220"/>
      <c r="BG481" s="220"/>
      <c r="BH481" s="220"/>
      <c r="BI481" s="220"/>
      <c r="BJ481" s="220"/>
      <c r="BK481" s="220"/>
      <c r="BL481" s="220"/>
      <c r="BM481" s="220"/>
      <c r="BN481" s="220"/>
      <c r="BO481" s="220"/>
      <c r="BP481" s="220"/>
      <c r="BQ481" s="220"/>
      <c r="BR481" s="220"/>
      <c r="BS481" s="220"/>
      <c r="BT481" s="220"/>
      <c r="BU481" s="220"/>
      <c r="BV481" s="220"/>
      <c r="BW481" s="220"/>
      <c r="BX481" s="220"/>
      <c r="BY481" s="220"/>
      <c r="BZ481" s="220"/>
      <c r="CA481" s="220"/>
      <c r="CB481" s="220"/>
      <c r="CC481" s="220"/>
      <c r="CD481" s="220"/>
      <c r="CE481" s="220"/>
      <c r="CF481" s="220"/>
      <c r="CG481" s="220"/>
      <c r="CH481" s="220"/>
      <c r="CI481" s="220"/>
      <c r="CJ481" s="220"/>
      <c r="CK481" s="220"/>
      <c r="CL481" s="220"/>
      <c r="CM481" s="220"/>
      <c r="CN481" s="220"/>
      <c r="CO481" s="220"/>
      <c r="CP481" s="220"/>
      <c r="CQ481" s="220"/>
      <c r="CR481" s="220"/>
      <c r="CS481" s="220"/>
      <c r="CT481" s="220"/>
      <c r="CU481" s="220"/>
      <c r="CV481" s="220"/>
      <c r="CW481" s="220"/>
      <c r="CX481" s="220"/>
      <c r="CY481" s="220"/>
      <c r="CZ481" s="220"/>
      <c r="DA481" s="220"/>
      <c r="DB481" s="220"/>
      <c r="DC481" s="220"/>
      <c r="DD481" s="220"/>
      <c r="DE481" s="220"/>
      <c r="DF481" s="220"/>
      <c r="DG481" s="220"/>
      <c r="DH481" s="220"/>
      <c r="DI481" s="220"/>
      <c r="DJ481" s="220"/>
      <c r="DK481" s="220"/>
      <c r="DL481" s="220"/>
      <c r="DM481" s="220"/>
      <c r="DN481" s="220"/>
      <c r="DO481" s="220"/>
      <c r="DP481" s="220"/>
      <c r="DQ481" s="220"/>
      <c r="DR481" s="220"/>
      <c r="DS481" s="220"/>
      <c r="DT481" s="220"/>
      <c r="DU481" s="220"/>
      <c r="DV481" s="220"/>
      <c r="DW481" s="220"/>
      <c r="DX481" s="220"/>
      <c r="DY481" s="220"/>
      <c r="DZ481" s="220"/>
      <c r="EA481" s="220"/>
      <c r="EB481" s="220"/>
      <c r="EC481" s="220"/>
      <c r="ED481" s="220"/>
      <c r="EE481" s="220"/>
      <c r="EF481" s="220"/>
      <c r="EG481" s="220"/>
      <c r="EH481" s="220"/>
      <c r="EI481" s="220"/>
      <c r="EJ481" s="220"/>
      <c r="EK481" s="220"/>
      <c r="EL481" s="220"/>
      <c r="EM481" s="220"/>
      <c r="EN481" s="220"/>
      <c r="EO481" s="220"/>
      <c r="EP481" s="220"/>
      <c r="EQ481" s="220"/>
      <c r="ER481" s="220"/>
      <c r="ES481" s="220"/>
      <c r="ET481" s="220"/>
      <c r="EU481" s="220"/>
      <c r="EV481" s="220"/>
      <c r="EW481" s="220"/>
      <c r="EX481" s="220"/>
      <c r="EY481" s="220"/>
      <c r="EZ481" s="220"/>
      <c r="FA481" s="220"/>
      <c r="FB481" s="220"/>
      <c r="FC481" s="220"/>
      <c r="FD481" s="220"/>
      <c r="FE481" s="220"/>
      <c r="FF481" s="220"/>
      <c r="FG481" s="220"/>
      <c r="FH481" s="220"/>
      <c r="FI481" s="220"/>
      <c r="FJ481" s="220"/>
      <c r="FK481" s="220"/>
      <c r="FL481" s="220"/>
      <c r="FM481" s="220"/>
      <c r="FN481" s="220"/>
      <c r="FO481" s="220"/>
      <c r="FP481" s="220"/>
      <c r="FQ481" s="220"/>
      <c r="FR481" s="220"/>
      <c r="FS481" s="220"/>
      <c r="FT481" s="220"/>
      <c r="FU481" s="220"/>
      <c r="FV481" s="220"/>
      <c r="FW481" s="220"/>
      <c r="FX481" s="220"/>
      <c r="FY481" s="220"/>
      <c r="FZ481" s="220"/>
      <c r="GA481" s="220"/>
      <c r="GB481" s="220"/>
      <c r="GC481" s="220"/>
      <c r="GD481" s="220"/>
      <c r="GE481" s="220"/>
      <c r="GF481" s="220"/>
      <c r="GG481" s="220"/>
      <c r="GH481" s="220"/>
      <c r="GI481" s="220"/>
      <c r="GJ481" s="220"/>
    </row>
    <row r="482" spans="1:192" s="93" customFormat="1" ht="12.75" customHeight="1">
      <c r="A482" s="68"/>
      <c r="B482" s="677"/>
      <c r="C482" s="106"/>
      <c r="D482" s="106"/>
      <c r="E482" s="106"/>
      <c r="F482" s="106"/>
      <c r="G482" s="106"/>
      <c r="H482" s="106"/>
      <c r="I482" s="106"/>
      <c r="J482" s="106"/>
      <c r="K482" s="106"/>
      <c r="L482" s="106"/>
      <c r="M482" s="106"/>
      <c r="N482" s="106"/>
      <c r="O482" s="106"/>
      <c r="P482" s="106"/>
      <c r="Q482" s="106"/>
      <c r="R482" s="106"/>
      <c r="S482" s="106"/>
      <c r="T482" s="106"/>
      <c r="U482" s="106"/>
      <c r="V482" s="106"/>
      <c r="W482" s="106"/>
      <c r="X482" s="106"/>
      <c r="Y482" s="106"/>
      <c r="Z482" s="106"/>
      <c r="AA482" s="106"/>
      <c r="AB482" s="106"/>
      <c r="AC482" s="106"/>
      <c r="AD482" s="106"/>
      <c r="AE482" s="106"/>
      <c r="AF482" s="106"/>
      <c r="AG482" s="106"/>
      <c r="AH482" s="106"/>
      <c r="AI482" s="106"/>
      <c r="AJ482" s="106"/>
      <c r="AK482" s="106"/>
      <c r="AL482" s="106"/>
      <c r="AM482" s="106"/>
      <c r="AN482" s="106"/>
      <c r="AO482" s="106"/>
      <c r="AP482" s="106"/>
      <c r="AQ482" s="106"/>
      <c r="AR482" s="106"/>
      <c r="AS482" s="106"/>
      <c r="AT482" s="106"/>
      <c r="AU482" s="106"/>
      <c r="AV482" s="106"/>
      <c r="AW482" s="106"/>
      <c r="AX482" s="106"/>
      <c r="AY482" s="106"/>
      <c r="AZ482" s="106"/>
      <c r="BA482" s="106"/>
      <c r="BB482" s="106"/>
      <c r="BC482" s="106"/>
      <c r="BD482" s="106"/>
      <c r="BE482" s="106"/>
      <c r="BF482" s="106"/>
      <c r="BG482" s="106"/>
      <c r="BH482" s="106"/>
      <c r="BI482" s="106"/>
      <c r="BJ482" s="106"/>
      <c r="BK482" s="106"/>
      <c r="BL482" s="106"/>
      <c r="BM482" s="106"/>
      <c r="BN482" s="106"/>
      <c r="BO482" s="106"/>
      <c r="BP482" s="106"/>
      <c r="BQ482" s="106"/>
      <c r="BR482" s="106"/>
      <c r="BS482" s="106"/>
      <c r="BT482" s="106"/>
      <c r="BU482" s="106"/>
      <c r="BV482" s="106"/>
      <c r="BW482" s="106"/>
      <c r="BX482" s="106"/>
      <c r="BY482" s="106"/>
      <c r="BZ482" s="106"/>
      <c r="CA482" s="106"/>
      <c r="CB482" s="106"/>
      <c r="CC482" s="106"/>
      <c r="CD482" s="106"/>
      <c r="CE482" s="106"/>
      <c r="CF482" s="106"/>
      <c r="CG482" s="106"/>
      <c r="CH482" s="106"/>
      <c r="CI482" s="106"/>
      <c r="CJ482" s="106"/>
      <c r="CK482" s="106"/>
      <c r="CL482" s="106"/>
      <c r="CM482" s="106"/>
      <c r="CN482" s="106"/>
      <c r="CO482" s="106"/>
      <c r="CP482" s="106"/>
      <c r="CQ482" s="106"/>
      <c r="CR482" s="106"/>
      <c r="CS482" s="106"/>
      <c r="CT482" s="106"/>
      <c r="CU482" s="106"/>
      <c r="CV482" s="106"/>
      <c r="CW482" s="106"/>
      <c r="CX482" s="106"/>
      <c r="CY482" s="106"/>
      <c r="CZ482" s="106"/>
      <c r="DA482" s="106"/>
      <c r="DB482" s="106"/>
      <c r="DC482" s="106"/>
      <c r="DD482" s="106"/>
      <c r="DE482" s="106"/>
      <c r="DF482" s="106"/>
      <c r="DG482" s="106"/>
      <c r="DH482" s="106"/>
      <c r="DI482" s="106"/>
      <c r="DJ482" s="106"/>
      <c r="DK482" s="106"/>
      <c r="DL482" s="106"/>
      <c r="DM482" s="106"/>
      <c r="DN482" s="106"/>
      <c r="DO482" s="106"/>
      <c r="DP482" s="106"/>
      <c r="DQ482" s="106"/>
      <c r="DR482" s="106"/>
      <c r="DS482" s="106"/>
      <c r="DT482" s="106"/>
      <c r="DU482" s="106"/>
      <c r="DV482" s="106"/>
      <c r="DW482" s="106"/>
      <c r="DX482" s="106"/>
      <c r="DY482" s="106"/>
      <c r="DZ482" s="106"/>
      <c r="EA482" s="106"/>
      <c r="EB482" s="106"/>
      <c r="EC482" s="106"/>
      <c r="ED482" s="106"/>
      <c r="EE482" s="106"/>
      <c r="EF482" s="106"/>
      <c r="EG482" s="106"/>
      <c r="EH482" s="106"/>
      <c r="EI482" s="106"/>
      <c r="EJ482" s="106"/>
      <c r="EK482" s="106"/>
      <c r="EL482" s="106"/>
      <c r="EM482" s="106"/>
      <c r="EN482" s="106"/>
      <c r="EO482" s="106"/>
      <c r="EP482" s="106"/>
      <c r="EQ482" s="106"/>
      <c r="ER482" s="106"/>
      <c r="ES482" s="106"/>
      <c r="ET482" s="106"/>
      <c r="EU482" s="106"/>
      <c r="EV482" s="106"/>
      <c r="EW482" s="106"/>
      <c r="EX482" s="106"/>
      <c r="EY482" s="106"/>
      <c r="EZ482" s="106"/>
      <c r="FA482" s="106"/>
      <c r="FB482" s="106"/>
      <c r="FC482" s="106"/>
      <c r="FD482" s="106"/>
      <c r="FE482" s="106"/>
      <c r="FF482" s="106"/>
      <c r="FG482" s="106"/>
      <c r="FH482" s="106"/>
      <c r="FI482" s="106"/>
      <c r="FJ482" s="106"/>
      <c r="FK482" s="106"/>
      <c r="FL482" s="106"/>
      <c r="FM482" s="106"/>
      <c r="FN482" s="106"/>
      <c r="FO482" s="106"/>
      <c r="FP482" s="106"/>
      <c r="FQ482" s="106"/>
      <c r="FR482" s="106"/>
      <c r="FS482" s="106"/>
      <c r="FT482" s="106"/>
      <c r="FU482" s="106"/>
      <c r="FV482" s="106"/>
      <c r="FW482" s="106"/>
      <c r="FX482" s="106"/>
      <c r="FY482" s="106"/>
      <c r="FZ482" s="106"/>
      <c r="GA482" s="106"/>
      <c r="GB482" s="106"/>
      <c r="GC482" s="106"/>
      <c r="GD482" s="106"/>
      <c r="GE482" s="106"/>
      <c r="GF482" s="106"/>
      <c r="GG482" s="106"/>
      <c r="GH482" s="106"/>
      <c r="GI482" s="106"/>
      <c r="GJ482" s="106"/>
    </row>
    <row r="483" spans="1:192" s="93" customFormat="1" ht="12.75" customHeight="1">
      <c r="A483" s="68"/>
      <c r="B483" s="677"/>
      <c r="C483" s="221"/>
      <c r="D483" s="221"/>
      <c r="E483" s="221"/>
      <c r="F483" s="221"/>
      <c r="G483" s="221"/>
      <c r="H483" s="221"/>
      <c r="I483" s="221"/>
      <c r="J483" s="221"/>
      <c r="K483" s="221"/>
      <c r="L483" s="221"/>
      <c r="M483" s="221"/>
      <c r="N483" s="221"/>
      <c r="O483" s="221"/>
      <c r="P483" s="221"/>
      <c r="Q483" s="221"/>
      <c r="R483" s="221"/>
      <c r="S483" s="221"/>
      <c r="T483" s="221"/>
      <c r="U483" s="221"/>
      <c r="V483" s="221"/>
      <c r="W483" s="221"/>
      <c r="X483" s="221"/>
      <c r="Y483" s="221"/>
      <c r="Z483" s="221"/>
      <c r="AA483" s="221"/>
      <c r="AB483" s="221"/>
      <c r="AC483" s="221"/>
      <c r="AD483" s="221"/>
      <c r="AE483" s="221"/>
      <c r="AF483" s="221"/>
      <c r="AG483" s="221"/>
      <c r="AH483" s="221"/>
      <c r="AI483" s="221"/>
      <c r="AJ483" s="221"/>
      <c r="AK483" s="221"/>
      <c r="AL483" s="221"/>
      <c r="AM483" s="221"/>
      <c r="AN483" s="221"/>
      <c r="AO483" s="221"/>
      <c r="AP483" s="221"/>
      <c r="AQ483" s="221"/>
      <c r="AR483" s="221"/>
      <c r="AS483" s="221"/>
      <c r="AT483" s="221"/>
      <c r="AU483" s="221"/>
      <c r="AV483" s="221"/>
      <c r="AW483" s="221"/>
      <c r="AX483" s="221"/>
      <c r="AY483" s="221"/>
      <c r="AZ483" s="221"/>
      <c r="BA483" s="221"/>
      <c r="BB483" s="221"/>
      <c r="BC483" s="221"/>
      <c r="BD483" s="221"/>
      <c r="BE483" s="221"/>
      <c r="BF483" s="221"/>
      <c r="BG483" s="221"/>
      <c r="BH483" s="221"/>
      <c r="BI483" s="221"/>
      <c r="BJ483" s="221"/>
      <c r="BK483" s="221"/>
      <c r="BL483" s="221"/>
      <c r="BM483" s="221"/>
      <c r="BN483" s="221"/>
      <c r="BO483" s="221"/>
      <c r="BP483" s="221"/>
      <c r="BQ483" s="221"/>
      <c r="BR483" s="221"/>
      <c r="BS483" s="221"/>
      <c r="BT483" s="221"/>
      <c r="BU483" s="221"/>
      <c r="BV483" s="221"/>
      <c r="BW483" s="221"/>
      <c r="BX483" s="221"/>
      <c r="BY483" s="221"/>
      <c r="BZ483" s="221"/>
      <c r="CA483" s="221"/>
      <c r="CB483" s="221"/>
      <c r="CC483" s="221"/>
      <c r="CD483" s="221"/>
      <c r="CE483" s="221"/>
      <c r="CF483" s="221"/>
      <c r="CG483" s="221"/>
      <c r="CH483" s="221"/>
      <c r="CI483" s="221"/>
      <c r="CJ483" s="221"/>
      <c r="CK483" s="221"/>
      <c r="CL483" s="221"/>
      <c r="CM483" s="221"/>
      <c r="CN483" s="221"/>
      <c r="CO483" s="221"/>
      <c r="CP483" s="221"/>
      <c r="CQ483" s="221"/>
      <c r="CR483" s="221"/>
      <c r="CS483" s="221"/>
      <c r="CT483" s="221"/>
      <c r="CU483" s="221"/>
      <c r="CV483" s="221"/>
      <c r="CW483" s="221"/>
      <c r="CX483" s="221"/>
      <c r="CY483" s="221"/>
      <c r="CZ483" s="221"/>
      <c r="DA483" s="221"/>
      <c r="DB483" s="221"/>
      <c r="DC483" s="221"/>
      <c r="DD483" s="221"/>
      <c r="DE483" s="221"/>
      <c r="DF483" s="221"/>
      <c r="DG483" s="221"/>
      <c r="DH483" s="221"/>
      <c r="DI483" s="221"/>
      <c r="DJ483" s="221"/>
      <c r="DK483" s="221"/>
      <c r="DL483" s="221"/>
      <c r="DM483" s="221"/>
      <c r="DN483" s="221"/>
      <c r="DO483" s="221"/>
      <c r="DP483" s="221"/>
      <c r="DQ483" s="221"/>
      <c r="DR483" s="221"/>
      <c r="DS483" s="221"/>
      <c r="DT483" s="221"/>
      <c r="DU483" s="221"/>
      <c r="DV483" s="221"/>
      <c r="DW483" s="221"/>
      <c r="DX483" s="221"/>
      <c r="DY483" s="221"/>
      <c r="DZ483" s="221"/>
      <c r="EA483" s="221"/>
      <c r="EB483" s="221"/>
      <c r="EC483" s="221"/>
      <c r="ED483" s="221"/>
      <c r="EE483" s="221"/>
      <c r="EF483" s="221"/>
      <c r="EG483" s="221"/>
      <c r="EH483" s="221"/>
      <c r="EI483" s="221"/>
      <c r="EJ483" s="221"/>
      <c r="EK483" s="221"/>
      <c r="EL483" s="221"/>
      <c r="EM483" s="221"/>
      <c r="EN483" s="221"/>
      <c r="EO483" s="221"/>
      <c r="EP483" s="221"/>
      <c r="EQ483" s="221"/>
      <c r="ER483" s="221"/>
      <c r="ES483" s="221"/>
      <c r="ET483" s="221"/>
      <c r="EU483" s="221"/>
      <c r="EV483" s="221"/>
      <c r="EW483" s="221"/>
      <c r="EX483" s="221"/>
      <c r="EY483" s="221"/>
      <c r="EZ483" s="221"/>
      <c r="FA483" s="221"/>
      <c r="FB483" s="221"/>
      <c r="FC483" s="221"/>
      <c r="FD483" s="221"/>
      <c r="FE483" s="221"/>
      <c r="FF483" s="221"/>
      <c r="FG483" s="221"/>
      <c r="FH483" s="221"/>
      <c r="FI483" s="221"/>
      <c r="FJ483" s="221"/>
      <c r="FK483" s="221"/>
      <c r="FL483" s="221"/>
      <c r="FM483" s="221"/>
      <c r="FN483" s="221"/>
      <c r="FO483" s="221"/>
      <c r="FP483" s="221"/>
      <c r="FQ483" s="221"/>
      <c r="FR483" s="221"/>
      <c r="FS483" s="221"/>
      <c r="FT483" s="221"/>
      <c r="FU483" s="221"/>
      <c r="FV483" s="221"/>
      <c r="FW483" s="221"/>
      <c r="FX483" s="221"/>
      <c r="FY483" s="221"/>
      <c r="FZ483" s="221"/>
      <c r="GA483" s="221"/>
      <c r="GB483" s="221"/>
      <c r="GC483" s="221"/>
      <c r="GD483" s="221"/>
      <c r="GE483" s="221"/>
      <c r="GF483" s="221"/>
      <c r="GG483" s="221"/>
      <c r="GH483" s="221"/>
      <c r="GI483" s="221"/>
      <c r="GJ483" s="221"/>
    </row>
    <row r="484" spans="1:192" s="93" customFormat="1" ht="12.75" customHeight="1">
      <c r="A484" s="68"/>
      <c r="B484" s="677"/>
      <c r="C484" s="222"/>
      <c r="D484" s="222"/>
      <c r="E484" s="222"/>
      <c r="F484" s="222"/>
      <c r="G484" s="222"/>
      <c r="H484" s="222"/>
      <c r="I484" s="222"/>
      <c r="J484" s="222"/>
      <c r="K484" s="222"/>
      <c r="L484" s="222"/>
      <c r="M484" s="222"/>
      <c r="N484" s="222"/>
      <c r="O484" s="222"/>
      <c r="P484" s="222"/>
      <c r="Q484" s="222"/>
      <c r="R484" s="222"/>
      <c r="S484" s="222"/>
      <c r="T484" s="222"/>
      <c r="U484" s="222"/>
      <c r="V484" s="222"/>
      <c r="W484" s="222"/>
      <c r="X484" s="222"/>
      <c r="Y484" s="222"/>
      <c r="Z484" s="222"/>
      <c r="AA484" s="222"/>
      <c r="AB484" s="222"/>
      <c r="AC484" s="222"/>
      <c r="AD484" s="222"/>
      <c r="AE484" s="222"/>
      <c r="AF484" s="222"/>
      <c r="AG484" s="222"/>
      <c r="AH484" s="222"/>
      <c r="AI484" s="222"/>
      <c r="AJ484" s="222"/>
      <c r="AK484" s="222"/>
      <c r="AL484" s="222"/>
      <c r="AM484" s="222"/>
      <c r="AN484" s="222"/>
      <c r="AO484" s="222"/>
      <c r="AP484" s="222"/>
      <c r="AQ484" s="222"/>
      <c r="AR484" s="222"/>
      <c r="AS484" s="222"/>
      <c r="AT484" s="222"/>
      <c r="AU484" s="222"/>
      <c r="AV484" s="222"/>
      <c r="AW484" s="222"/>
      <c r="AX484" s="222"/>
      <c r="AY484" s="222"/>
      <c r="AZ484" s="222"/>
      <c r="BA484" s="222"/>
      <c r="BB484" s="222"/>
      <c r="BC484" s="222"/>
      <c r="BD484" s="222"/>
      <c r="BE484" s="222"/>
      <c r="BF484" s="222"/>
      <c r="BG484" s="222"/>
      <c r="BH484" s="222"/>
      <c r="BI484" s="222"/>
      <c r="BJ484" s="222"/>
      <c r="BK484" s="222"/>
      <c r="BL484" s="222"/>
      <c r="BM484" s="222"/>
      <c r="BN484" s="222"/>
      <c r="BO484" s="222"/>
      <c r="BP484" s="222"/>
      <c r="BQ484" s="222"/>
      <c r="BR484" s="222"/>
      <c r="BS484" s="222"/>
      <c r="BT484" s="222"/>
      <c r="BU484" s="222"/>
      <c r="BV484" s="222"/>
      <c r="BW484" s="222"/>
      <c r="BX484" s="222"/>
      <c r="BY484" s="222"/>
      <c r="BZ484" s="222"/>
      <c r="CA484" s="222"/>
      <c r="CB484" s="222"/>
      <c r="CC484" s="222"/>
      <c r="CD484" s="222"/>
      <c r="CE484" s="222"/>
      <c r="CF484" s="222"/>
      <c r="CG484" s="222"/>
      <c r="CH484" s="222"/>
      <c r="CI484" s="222"/>
      <c r="CJ484" s="222"/>
      <c r="CK484" s="222"/>
      <c r="CL484" s="222"/>
      <c r="CM484" s="222"/>
      <c r="CN484" s="222"/>
      <c r="CO484" s="222"/>
      <c r="CP484" s="222"/>
      <c r="CQ484" s="222"/>
      <c r="CR484" s="222"/>
      <c r="CS484" s="222"/>
      <c r="CT484" s="222"/>
      <c r="CU484" s="222"/>
      <c r="CV484" s="222"/>
      <c r="CW484" s="222"/>
      <c r="CX484" s="222"/>
      <c r="CY484" s="222"/>
      <c r="CZ484" s="222"/>
      <c r="DA484" s="222"/>
      <c r="DB484" s="222"/>
      <c r="DC484" s="222"/>
      <c r="DD484" s="222"/>
      <c r="DE484" s="222"/>
      <c r="DF484" s="222"/>
      <c r="DG484" s="222"/>
      <c r="DH484" s="222"/>
      <c r="DI484" s="222"/>
      <c r="DJ484" s="222"/>
      <c r="DK484" s="222"/>
      <c r="DL484" s="222"/>
      <c r="DM484" s="222"/>
      <c r="DN484" s="222"/>
      <c r="DO484" s="222"/>
      <c r="DP484" s="222"/>
      <c r="DQ484" s="222"/>
      <c r="DR484" s="222"/>
      <c r="DS484" s="222"/>
      <c r="DT484" s="222"/>
      <c r="DU484" s="222"/>
      <c r="DV484" s="222"/>
      <c r="DW484" s="222"/>
      <c r="DX484" s="222"/>
      <c r="DY484" s="222"/>
      <c r="DZ484" s="222"/>
      <c r="EA484" s="222"/>
      <c r="EB484" s="222"/>
      <c r="EC484" s="222"/>
      <c r="ED484" s="222"/>
      <c r="EE484" s="222"/>
      <c r="EF484" s="222"/>
      <c r="EG484" s="222"/>
      <c r="EH484" s="222"/>
      <c r="EI484" s="222"/>
      <c r="EJ484" s="222"/>
      <c r="EK484" s="222"/>
      <c r="EL484" s="222"/>
      <c r="EM484" s="222"/>
      <c r="EN484" s="222"/>
      <c r="EO484" s="222"/>
      <c r="EP484" s="222"/>
      <c r="EQ484" s="222"/>
      <c r="ER484" s="222"/>
      <c r="ES484" s="222"/>
      <c r="ET484" s="222"/>
      <c r="EU484" s="222"/>
      <c r="EV484" s="222"/>
      <c r="EW484" s="222"/>
      <c r="EX484" s="222"/>
      <c r="EY484" s="222"/>
      <c r="EZ484" s="222"/>
      <c r="FA484" s="222"/>
      <c r="FB484" s="222"/>
      <c r="FC484" s="222"/>
      <c r="FD484" s="222"/>
      <c r="FE484" s="222"/>
      <c r="FF484" s="222"/>
      <c r="FG484" s="222"/>
      <c r="FH484" s="222"/>
      <c r="FI484" s="222"/>
      <c r="FJ484" s="222"/>
      <c r="FK484" s="222"/>
      <c r="FL484" s="222"/>
      <c r="FM484" s="222"/>
      <c r="FN484" s="222"/>
      <c r="FO484" s="222"/>
      <c r="FP484" s="222"/>
      <c r="FQ484" s="222"/>
      <c r="FR484" s="222"/>
      <c r="FS484" s="222"/>
      <c r="FT484" s="222"/>
      <c r="FU484" s="222"/>
      <c r="FV484" s="222"/>
      <c r="FW484" s="222"/>
      <c r="FX484" s="222"/>
      <c r="FY484" s="222"/>
      <c r="FZ484" s="222"/>
      <c r="GA484" s="222"/>
      <c r="GB484" s="222"/>
      <c r="GC484" s="222"/>
      <c r="GD484" s="222"/>
      <c r="GE484" s="222"/>
      <c r="GF484" s="222"/>
      <c r="GG484" s="222"/>
      <c r="GH484" s="222"/>
      <c r="GI484" s="222"/>
      <c r="GJ484" s="222"/>
    </row>
    <row r="485" spans="1:192" s="93" customFormat="1" ht="12.75" customHeight="1">
      <c r="A485" s="68"/>
      <c r="B485" s="677"/>
      <c r="C485" s="222"/>
      <c r="D485" s="222"/>
      <c r="E485" s="222"/>
      <c r="F485" s="222"/>
      <c r="G485" s="222"/>
      <c r="H485" s="222"/>
      <c r="I485" s="222"/>
      <c r="J485" s="222"/>
      <c r="K485" s="222"/>
      <c r="L485" s="222"/>
      <c r="M485" s="222"/>
      <c r="N485" s="222"/>
      <c r="O485" s="222"/>
      <c r="P485" s="222"/>
      <c r="Q485" s="222"/>
      <c r="R485" s="222"/>
      <c r="S485" s="222"/>
      <c r="T485" s="222"/>
      <c r="U485" s="222"/>
      <c r="V485" s="222"/>
      <c r="W485" s="222"/>
      <c r="X485" s="222"/>
      <c r="Y485" s="222"/>
      <c r="Z485" s="222"/>
      <c r="AA485" s="222"/>
      <c r="AB485" s="222"/>
      <c r="AC485" s="222"/>
      <c r="AD485" s="222"/>
      <c r="AE485" s="222"/>
      <c r="AF485" s="222"/>
      <c r="AG485" s="222"/>
      <c r="AH485" s="222"/>
      <c r="AI485" s="222"/>
      <c r="AJ485" s="222"/>
      <c r="AK485" s="222"/>
      <c r="AL485" s="222"/>
      <c r="AM485" s="222"/>
      <c r="AN485" s="222"/>
      <c r="AO485" s="222"/>
      <c r="AP485" s="222"/>
      <c r="AQ485" s="222"/>
      <c r="AR485" s="222"/>
      <c r="AS485" s="222"/>
      <c r="AT485" s="222"/>
      <c r="AU485" s="222"/>
      <c r="AV485" s="222"/>
      <c r="AW485" s="222"/>
      <c r="AX485" s="222"/>
      <c r="AY485" s="222"/>
      <c r="AZ485" s="222"/>
      <c r="BA485" s="222"/>
      <c r="BB485" s="222"/>
      <c r="BC485" s="222"/>
      <c r="BD485" s="222"/>
      <c r="BE485" s="222"/>
      <c r="BF485" s="222"/>
      <c r="BG485" s="222"/>
      <c r="BH485" s="222"/>
      <c r="BI485" s="222"/>
      <c r="BJ485" s="222"/>
      <c r="BK485" s="222"/>
      <c r="BL485" s="222"/>
      <c r="BM485" s="222"/>
      <c r="BN485" s="222"/>
      <c r="BO485" s="222"/>
      <c r="BP485" s="222"/>
      <c r="BQ485" s="222"/>
      <c r="BR485" s="222"/>
      <c r="BS485" s="222"/>
      <c r="BT485" s="222"/>
      <c r="BU485" s="222"/>
      <c r="BV485" s="222"/>
      <c r="BW485" s="222"/>
      <c r="BX485" s="222"/>
      <c r="BY485" s="222"/>
      <c r="BZ485" s="222"/>
      <c r="CA485" s="222"/>
      <c r="CB485" s="222"/>
      <c r="CC485" s="222"/>
      <c r="CD485" s="222"/>
      <c r="CE485" s="222"/>
      <c r="CF485" s="222"/>
      <c r="CG485" s="222"/>
      <c r="CH485" s="222"/>
      <c r="CI485" s="222"/>
      <c r="CJ485" s="222"/>
      <c r="CK485" s="222"/>
      <c r="CL485" s="222"/>
      <c r="CM485" s="222"/>
      <c r="CN485" s="222"/>
      <c r="CO485" s="222"/>
      <c r="CP485" s="222"/>
      <c r="CQ485" s="222"/>
      <c r="CR485" s="222"/>
      <c r="CS485" s="222"/>
      <c r="CT485" s="222"/>
      <c r="CU485" s="222"/>
      <c r="CV485" s="222"/>
      <c r="CW485" s="222"/>
      <c r="CX485" s="222"/>
      <c r="CY485" s="222"/>
      <c r="CZ485" s="222"/>
      <c r="DA485" s="222"/>
      <c r="DB485" s="222"/>
      <c r="DC485" s="222"/>
      <c r="DD485" s="222"/>
      <c r="DE485" s="222"/>
      <c r="DF485" s="222"/>
      <c r="DG485" s="222"/>
      <c r="DH485" s="222"/>
      <c r="DI485" s="222"/>
      <c r="DJ485" s="222"/>
      <c r="DK485" s="222"/>
      <c r="DL485" s="222"/>
      <c r="DM485" s="222"/>
      <c r="DN485" s="222"/>
      <c r="DO485" s="222"/>
      <c r="DP485" s="222"/>
      <c r="DQ485" s="222"/>
      <c r="DR485" s="222"/>
      <c r="DS485" s="222"/>
      <c r="DT485" s="222"/>
      <c r="DU485" s="222"/>
      <c r="DV485" s="222"/>
      <c r="DW485" s="222"/>
      <c r="DX485" s="222"/>
      <c r="DY485" s="222"/>
      <c r="DZ485" s="222"/>
      <c r="EA485" s="222"/>
      <c r="EB485" s="222"/>
      <c r="EC485" s="222"/>
      <c r="ED485" s="222"/>
      <c r="EE485" s="222"/>
      <c r="EF485" s="222"/>
      <c r="EG485" s="222"/>
      <c r="EH485" s="222"/>
      <c r="EI485" s="222"/>
      <c r="EJ485" s="222"/>
      <c r="EK485" s="222"/>
      <c r="EL485" s="222"/>
      <c r="EM485" s="222"/>
      <c r="EN485" s="222"/>
      <c r="EO485" s="222"/>
      <c r="EP485" s="222"/>
      <c r="EQ485" s="222"/>
      <c r="ER485" s="222"/>
      <c r="ES485" s="222"/>
      <c r="ET485" s="222"/>
      <c r="EU485" s="222"/>
      <c r="EV485" s="222"/>
      <c r="EW485" s="222"/>
      <c r="EX485" s="222"/>
      <c r="EY485" s="222"/>
      <c r="EZ485" s="222"/>
      <c r="FA485" s="222"/>
      <c r="FB485" s="222"/>
      <c r="FC485" s="222"/>
      <c r="FD485" s="222"/>
      <c r="FE485" s="222"/>
      <c r="FF485" s="222"/>
      <c r="FG485" s="222"/>
      <c r="FH485" s="222"/>
      <c r="FI485" s="222"/>
      <c r="FJ485" s="222"/>
      <c r="FK485" s="222"/>
      <c r="FL485" s="222"/>
      <c r="FM485" s="222"/>
      <c r="FN485" s="222"/>
      <c r="FO485" s="222"/>
      <c r="FP485" s="222"/>
      <c r="FQ485" s="222"/>
      <c r="FR485" s="222"/>
      <c r="FS485" s="222"/>
      <c r="FT485" s="222"/>
      <c r="FU485" s="222"/>
      <c r="FV485" s="222"/>
      <c r="FW485" s="222"/>
      <c r="FX485" s="222"/>
      <c r="FY485" s="222"/>
      <c r="FZ485" s="222"/>
      <c r="GA485" s="222"/>
      <c r="GB485" s="222"/>
      <c r="GC485" s="222"/>
      <c r="GD485" s="222"/>
      <c r="GE485" s="222"/>
      <c r="GF485" s="222"/>
      <c r="GG485" s="222"/>
      <c r="GH485" s="222"/>
      <c r="GI485" s="222"/>
      <c r="GJ485" s="222"/>
    </row>
    <row r="486" spans="1:192" s="93" customFormat="1" ht="12.75" customHeight="1">
      <c r="A486" s="68"/>
      <c r="B486" s="677"/>
      <c r="C486" s="222"/>
      <c r="D486" s="222"/>
      <c r="E486" s="222"/>
      <c r="F486" s="222"/>
      <c r="G486" s="222"/>
      <c r="H486" s="222"/>
      <c r="I486" s="222"/>
      <c r="J486" s="222"/>
      <c r="K486" s="222"/>
      <c r="L486" s="222"/>
      <c r="M486" s="222"/>
      <c r="N486" s="222"/>
      <c r="O486" s="222"/>
      <c r="P486" s="222"/>
      <c r="Q486" s="222"/>
      <c r="R486" s="222"/>
      <c r="S486" s="222"/>
      <c r="T486" s="222"/>
      <c r="U486" s="222"/>
      <c r="V486" s="222"/>
      <c r="W486" s="222"/>
      <c r="X486" s="222"/>
      <c r="Y486" s="222"/>
      <c r="Z486" s="222"/>
      <c r="AA486" s="222"/>
      <c r="AB486" s="222"/>
      <c r="AC486" s="222"/>
      <c r="AD486" s="222"/>
      <c r="AE486" s="222"/>
      <c r="AF486" s="222"/>
      <c r="AG486" s="222"/>
      <c r="AH486" s="222"/>
      <c r="AI486" s="222"/>
      <c r="AJ486" s="222"/>
      <c r="AK486" s="222"/>
      <c r="AL486" s="222"/>
      <c r="AM486" s="222"/>
      <c r="AN486" s="222"/>
      <c r="AO486" s="222"/>
      <c r="AP486" s="222"/>
      <c r="AQ486" s="222"/>
      <c r="AR486" s="222"/>
      <c r="AS486" s="222"/>
      <c r="AT486" s="222"/>
      <c r="AU486" s="222"/>
      <c r="AV486" s="222"/>
      <c r="AW486" s="222"/>
      <c r="AX486" s="222"/>
      <c r="AY486" s="222"/>
      <c r="AZ486" s="222"/>
      <c r="BA486" s="222"/>
      <c r="BB486" s="222"/>
      <c r="BC486" s="222"/>
      <c r="BD486" s="222"/>
      <c r="BE486" s="222"/>
      <c r="BF486" s="222"/>
      <c r="BG486" s="222"/>
      <c r="BH486" s="222"/>
      <c r="BI486" s="222"/>
      <c r="BJ486" s="222"/>
      <c r="BK486" s="222"/>
      <c r="BL486" s="222"/>
      <c r="BM486" s="222"/>
      <c r="BN486" s="222"/>
      <c r="BO486" s="222"/>
      <c r="BP486" s="222"/>
      <c r="BQ486" s="222"/>
      <c r="BR486" s="222"/>
      <c r="BS486" s="222"/>
      <c r="BT486" s="222"/>
      <c r="BU486" s="222"/>
      <c r="BV486" s="222"/>
      <c r="BW486" s="222"/>
      <c r="BX486" s="222"/>
      <c r="BY486" s="222"/>
      <c r="BZ486" s="222"/>
      <c r="CA486" s="222"/>
      <c r="CB486" s="222"/>
      <c r="CC486" s="222"/>
      <c r="CD486" s="222"/>
      <c r="CE486" s="222"/>
      <c r="CF486" s="222"/>
      <c r="CG486" s="222"/>
      <c r="CH486" s="222"/>
      <c r="CI486" s="222"/>
      <c r="CJ486" s="222"/>
      <c r="CK486" s="222"/>
      <c r="CL486" s="222"/>
      <c r="CM486" s="222"/>
      <c r="CN486" s="222"/>
      <c r="CO486" s="222"/>
      <c r="CP486" s="222"/>
      <c r="CQ486" s="222"/>
      <c r="CR486" s="222"/>
      <c r="CS486" s="222"/>
      <c r="CT486" s="222"/>
      <c r="CU486" s="222"/>
      <c r="CV486" s="222"/>
      <c r="CW486" s="222"/>
      <c r="CX486" s="222"/>
      <c r="CY486" s="222"/>
      <c r="CZ486" s="222"/>
      <c r="DA486" s="222"/>
      <c r="DB486" s="222"/>
      <c r="DC486" s="222"/>
      <c r="DD486" s="222"/>
      <c r="DE486" s="222"/>
      <c r="DF486" s="222"/>
      <c r="DG486" s="222"/>
      <c r="DH486" s="222"/>
      <c r="DI486" s="222"/>
      <c r="DJ486" s="222"/>
      <c r="DK486" s="222"/>
      <c r="DL486" s="222"/>
      <c r="DM486" s="222"/>
      <c r="DN486" s="222"/>
      <c r="DO486" s="222"/>
      <c r="DP486" s="222"/>
      <c r="DQ486" s="222"/>
      <c r="DR486" s="222"/>
      <c r="DS486" s="222"/>
      <c r="DT486" s="222"/>
      <c r="DU486" s="222"/>
      <c r="DV486" s="222"/>
      <c r="DW486" s="222"/>
      <c r="DX486" s="222"/>
      <c r="DY486" s="222"/>
      <c r="DZ486" s="222"/>
      <c r="EA486" s="222"/>
      <c r="EB486" s="222"/>
      <c r="EC486" s="222"/>
      <c r="ED486" s="222"/>
      <c r="EE486" s="222"/>
      <c r="EF486" s="222"/>
      <c r="EG486" s="222"/>
      <c r="EH486" s="222"/>
      <c r="EI486" s="222"/>
      <c r="EJ486" s="222"/>
      <c r="EK486" s="222"/>
      <c r="EL486" s="222"/>
      <c r="EM486" s="222"/>
      <c r="EN486" s="222"/>
      <c r="EO486" s="222"/>
      <c r="EP486" s="222"/>
      <c r="EQ486" s="222"/>
      <c r="ER486" s="222"/>
      <c r="ES486" s="222"/>
      <c r="ET486" s="222"/>
      <c r="EU486" s="222"/>
      <c r="EV486" s="222"/>
      <c r="EW486" s="222"/>
      <c r="EX486" s="222"/>
      <c r="EY486" s="222"/>
      <c r="EZ486" s="222"/>
      <c r="FA486" s="222"/>
      <c r="FB486" s="222"/>
      <c r="FC486" s="222"/>
      <c r="FD486" s="222"/>
      <c r="FE486" s="222"/>
      <c r="FF486" s="222"/>
      <c r="FG486" s="222"/>
      <c r="FH486" s="222"/>
      <c r="FI486" s="222"/>
      <c r="FJ486" s="222"/>
      <c r="FK486" s="222"/>
      <c r="FL486" s="222"/>
      <c r="FM486" s="222"/>
      <c r="FN486" s="222"/>
      <c r="FO486" s="222"/>
      <c r="FP486" s="222"/>
      <c r="FQ486" s="222"/>
      <c r="FR486" s="222"/>
      <c r="FS486" s="222"/>
      <c r="FT486" s="222"/>
      <c r="FU486" s="222"/>
      <c r="FV486" s="222"/>
      <c r="FW486" s="222"/>
      <c r="FX486" s="222"/>
      <c r="FY486" s="222"/>
      <c r="FZ486" s="222"/>
      <c r="GA486" s="222"/>
      <c r="GB486" s="222"/>
      <c r="GC486" s="222"/>
      <c r="GD486" s="222"/>
      <c r="GE486" s="222"/>
      <c r="GF486" s="222"/>
      <c r="GG486" s="222"/>
      <c r="GH486" s="222"/>
      <c r="GI486" s="222"/>
      <c r="GJ486" s="222"/>
    </row>
    <row r="487" spans="1:192" s="93" customFormat="1" ht="12.75" customHeight="1">
      <c r="A487" s="68"/>
      <c r="B487" s="677"/>
      <c r="C487" s="223"/>
      <c r="D487" s="224"/>
      <c r="E487" s="224"/>
      <c r="F487" s="224"/>
      <c r="G487" s="224"/>
      <c r="H487" s="223"/>
      <c r="I487" s="224"/>
      <c r="J487" s="224"/>
      <c r="K487" s="224"/>
      <c r="L487" s="224"/>
      <c r="M487" s="223"/>
      <c r="N487" s="224"/>
      <c r="O487" s="224"/>
      <c r="P487" s="224"/>
      <c r="Q487" s="224"/>
      <c r="R487" s="223"/>
      <c r="S487" s="224"/>
      <c r="T487" s="224"/>
      <c r="U487" s="224"/>
      <c r="V487" s="224"/>
      <c r="W487" s="223"/>
      <c r="X487" s="224"/>
      <c r="Y487" s="224"/>
      <c r="Z487" s="224"/>
      <c r="AA487" s="224"/>
      <c r="AB487" s="223"/>
      <c r="AC487" s="224"/>
      <c r="AD487" s="224"/>
      <c r="AE487" s="224"/>
      <c r="AF487" s="224"/>
      <c r="AG487" s="223"/>
      <c r="AH487" s="224"/>
      <c r="AI487" s="224"/>
      <c r="AJ487" s="224"/>
      <c r="AK487" s="224"/>
      <c r="AL487" s="223"/>
      <c r="AM487" s="224"/>
      <c r="AN487" s="224"/>
      <c r="AO487" s="224"/>
      <c r="AP487" s="224"/>
      <c r="AQ487" s="223"/>
      <c r="AR487" s="224"/>
      <c r="AS487" s="224"/>
      <c r="AT487" s="224"/>
      <c r="AU487" s="224"/>
      <c r="AV487" s="223"/>
      <c r="AW487" s="224"/>
      <c r="AX487" s="224"/>
      <c r="AY487" s="224"/>
      <c r="AZ487" s="224"/>
      <c r="BA487" s="223"/>
      <c r="BB487" s="224"/>
      <c r="BC487" s="224"/>
      <c r="BD487" s="224"/>
      <c r="BE487" s="224"/>
      <c r="BF487" s="223"/>
      <c r="BG487" s="224"/>
      <c r="BH487" s="224"/>
      <c r="BI487" s="224"/>
      <c r="BJ487" s="224"/>
      <c r="BK487" s="223"/>
      <c r="BL487" s="224"/>
      <c r="BM487" s="224"/>
      <c r="BN487" s="224"/>
      <c r="BO487" s="224"/>
      <c r="BP487" s="223"/>
      <c r="BQ487" s="224"/>
      <c r="BR487" s="224"/>
      <c r="BS487" s="224"/>
      <c r="BT487" s="224"/>
      <c r="BU487" s="223"/>
      <c r="BV487" s="224"/>
      <c r="BW487" s="224"/>
      <c r="BX487" s="224"/>
      <c r="BY487" s="224"/>
      <c r="BZ487" s="223"/>
      <c r="CA487" s="224"/>
      <c r="CB487" s="224"/>
      <c r="CC487" s="224"/>
      <c r="CD487" s="224"/>
      <c r="CE487" s="223"/>
      <c r="CF487" s="224"/>
      <c r="CG487" s="224"/>
      <c r="CH487" s="224"/>
      <c r="CI487" s="224"/>
      <c r="CJ487" s="223"/>
      <c r="CK487" s="224"/>
      <c r="CL487" s="224"/>
      <c r="CM487" s="224"/>
      <c r="CN487" s="224"/>
      <c r="CO487" s="223"/>
      <c r="CP487" s="224"/>
      <c r="CQ487" s="224"/>
      <c r="CR487" s="224"/>
      <c r="CS487" s="224"/>
      <c r="CT487" s="223"/>
      <c r="CU487" s="224"/>
      <c r="CV487" s="224"/>
      <c r="CW487" s="224"/>
      <c r="CX487" s="224"/>
      <c r="CY487" s="223"/>
      <c r="CZ487" s="224"/>
      <c r="DA487" s="224"/>
      <c r="DB487" s="224"/>
      <c r="DC487" s="224"/>
      <c r="DD487" s="223"/>
      <c r="DE487" s="224"/>
      <c r="DF487" s="224"/>
      <c r="DG487" s="224"/>
      <c r="DH487" s="224"/>
      <c r="DI487" s="223"/>
      <c r="DJ487" s="224"/>
      <c r="DK487" s="224"/>
      <c r="DL487" s="224"/>
      <c r="DM487" s="224"/>
      <c r="DN487" s="223"/>
      <c r="DO487" s="224"/>
      <c r="DP487" s="224"/>
      <c r="DQ487" s="224"/>
      <c r="DR487" s="224"/>
      <c r="DS487" s="223"/>
      <c r="DT487" s="224"/>
      <c r="DU487" s="224"/>
      <c r="DV487" s="224"/>
      <c r="DW487" s="224"/>
      <c r="DX487" s="223"/>
      <c r="DY487" s="224"/>
      <c r="DZ487" s="224"/>
      <c r="EA487" s="224"/>
      <c r="EB487" s="224"/>
      <c r="EC487" s="223"/>
      <c r="ED487" s="224"/>
      <c r="EE487" s="224"/>
      <c r="EF487" s="224"/>
      <c r="EG487" s="224"/>
      <c r="EH487" s="223"/>
      <c r="EI487" s="224"/>
      <c r="EJ487" s="224"/>
      <c r="EK487" s="224"/>
      <c r="EL487" s="224"/>
      <c r="EM487" s="223"/>
      <c r="EN487" s="224"/>
      <c r="EO487" s="224"/>
      <c r="EP487" s="224"/>
      <c r="EQ487" s="224"/>
      <c r="ER487" s="223"/>
      <c r="ES487" s="224"/>
      <c r="ET487" s="224"/>
      <c r="EU487" s="224"/>
      <c r="EV487" s="224"/>
      <c r="EW487" s="223"/>
      <c r="EX487" s="224"/>
      <c r="EY487" s="224"/>
      <c r="EZ487" s="224"/>
      <c r="FA487" s="224"/>
      <c r="FB487" s="223"/>
      <c r="FC487" s="224"/>
      <c r="FD487" s="224"/>
      <c r="FE487" s="224"/>
      <c r="FF487" s="224"/>
      <c r="FG487" s="223"/>
      <c r="FH487" s="224"/>
      <c r="FI487" s="224"/>
      <c r="FJ487" s="224"/>
      <c r="FK487" s="224"/>
      <c r="FL487" s="223"/>
      <c r="FM487" s="224"/>
      <c r="FN487" s="224"/>
      <c r="FO487" s="224"/>
      <c r="FP487" s="224"/>
      <c r="FQ487" s="223"/>
      <c r="FR487" s="224"/>
      <c r="FS487" s="224"/>
      <c r="FT487" s="224"/>
      <c r="FU487" s="224"/>
      <c r="FV487" s="223"/>
      <c r="FW487" s="224"/>
      <c r="FX487" s="224"/>
      <c r="FY487" s="224"/>
      <c r="FZ487" s="224"/>
      <c r="GA487" s="223"/>
      <c r="GB487" s="224"/>
      <c r="GC487" s="224"/>
      <c r="GD487" s="224"/>
      <c r="GE487" s="224"/>
      <c r="GF487" s="223"/>
      <c r="GG487" s="224"/>
      <c r="GH487" s="224"/>
      <c r="GI487" s="224"/>
      <c r="GJ487" s="224"/>
    </row>
    <row r="488" spans="1:192" s="93" customFormat="1" ht="12.75" customHeight="1">
      <c r="A488" s="68"/>
      <c r="B488" s="677"/>
      <c r="C488" s="223"/>
      <c r="D488" s="224"/>
      <c r="E488" s="224"/>
      <c r="F488" s="224"/>
      <c r="G488" s="224"/>
      <c r="H488" s="223"/>
      <c r="I488" s="224"/>
      <c r="J488" s="224"/>
      <c r="K488" s="224"/>
      <c r="L488" s="224"/>
      <c r="M488" s="223"/>
      <c r="N488" s="224"/>
      <c r="O488" s="224"/>
      <c r="P488" s="224"/>
      <c r="Q488" s="224"/>
      <c r="R488" s="223"/>
      <c r="S488" s="224"/>
      <c r="T488" s="224"/>
      <c r="U488" s="224"/>
      <c r="V488" s="224"/>
      <c r="W488" s="223"/>
      <c r="X488" s="224"/>
      <c r="Y488" s="224"/>
      <c r="Z488" s="224"/>
      <c r="AA488" s="224"/>
      <c r="AB488" s="223"/>
      <c r="AC488" s="224"/>
      <c r="AD488" s="224"/>
      <c r="AE488" s="224"/>
      <c r="AF488" s="224"/>
      <c r="AG488" s="223"/>
      <c r="AH488" s="224"/>
      <c r="AI488" s="224"/>
      <c r="AJ488" s="224"/>
      <c r="AK488" s="224"/>
      <c r="AL488" s="223"/>
      <c r="AM488" s="224"/>
      <c r="AN488" s="224"/>
      <c r="AO488" s="224"/>
      <c r="AP488" s="224"/>
      <c r="AQ488" s="223"/>
      <c r="AR488" s="224"/>
      <c r="AS488" s="224"/>
      <c r="AT488" s="224"/>
      <c r="AU488" s="224"/>
      <c r="AV488" s="223"/>
      <c r="AW488" s="224"/>
      <c r="AX488" s="224"/>
      <c r="AY488" s="224"/>
      <c r="AZ488" s="224"/>
      <c r="BA488" s="223"/>
      <c r="BB488" s="224"/>
      <c r="BC488" s="224"/>
      <c r="BD488" s="224"/>
      <c r="BE488" s="224"/>
      <c r="BF488" s="223"/>
      <c r="BG488" s="224"/>
      <c r="BH488" s="224"/>
      <c r="BI488" s="224"/>
      <c r="BJ488" s="224"/>
      <c r="BK488" s="223"/>
      <c r="BL488" s="224"/>
      <c r="BM488" s="224"/>
      <c r="BN488" s="224"/>
      <c r="BO488" s="224"/>
      <c r="BP488" s="223"/>
      <c r="BQ488" s="224"/>
      <c r="BR488" s="224"/>
      <c r="BS488" s="224"/>
      <c r="BT488" s="224"/>
      <c r="BU488" s="223"/>
      <c r="BV488" s="224"/>
      <c r="BW488" s="224"/>
      <c r="BX488" s="224"/>
      <c r="BY488" s="224"/>
      <c r="BZ488" s="223"/>
      <c r="CA488" s="224"/>
      <c r="CB488" s="224"/>
      <c r="CC488" s="224"/>
      <c r="CD488" s="224"/>
      <c r="CE488" s="223"/>
      <c r="CF488" s="224"/>
      <c r="CG488" s="224"/>
      <c r="CH488" s="224"/>
      <c r="CI488" s="224"/>
      <c r="CJ488" s="223"/>
      <c r="CK488" s="224"/>
      <c r="CL488" s="224"/>
      <c r="CM488" s="224"/>
      <c r="CN488" s="224"/>
      <c r="CO488" s="223"/>
      <c r="CP488" s="224"/>
      <c r="CQ488" s="224"/>
      <c r="CR488" s="224"/>
      <c r="CS488" s="224"/>
      <c r="CT488" s="223"/>
      <c r="CU488" s="224"/>
      <c r="CV488" s="224"/>
      <c r="CW488" s="224"/>
      <c r="CX488" s="224"/>
      <c r="CY488" s="223"/>
      <c r="CZ488" s="224"/>
      <c r="DA488" s="224"/>
      <c r="DB488" s="224"/>
      <c r="DC488" s="224"/>
      <c r="DD488" s="223"/>
      <c r="DE488" s="224"/>
      <c r="DF488" s="224"/>
      <c r="DG488" s="224"/>
      <c r="DH488" s="224"/>
      <c r="DI488" s="223"/>
      <c r="DJ488" s="224"/>
      <c r="DK488" s="224"/>
      <c r="DL488" s="224"/>
      <c r="DM488" s="224"/>
      <c r="DN488" s="223"/>
      <c r="DO488" s="224"/>
      <c r="DP488" s="224"/>
      <c r="DQ488" s="224"/>
      <c r="DR488" s="224"/>
      <c r="DS488" s="223"/>
      <c r="DT488" s="224"/>
      <c r="DU488" s="224"/>
      <c r="DV488" s="224"/>
      <c r="DW488" s="224"/>
      <c r="DX488" s="223"/>
      <c r="DY488" s="224"/>
      <c r="DZ488" s="224"/>
      <c r="EA488" s="224"/>
      <c r="EB488" s="224"/>
      <c r="EC488" s="223"/>
      <c r="ED488" s="224"/>
      <c r="EE488" s="224"/>
      <c r="EF488" s="224"/>
      <c r="EG488" s="224"/>
      <c r="EH488" s="223"/>
      <c r="EI488" s="224"/>
      <c r="EJ488" s="224"/>
      <c r="EK488" s="224"/>
      <c r="EL488" s="224"/>
      <c r="EM488" s="223"/>
      <c r="EN488" s="224"/>
      <c r="EO488" s="224"/>
      <c r="EP488" s="224"/>
      <c r="EQ488" s="224"/>
      <c r="ER488" s="223"/>
      <c r="ES488" s="224"/>
      <c r="ET488" s="224"/>
      <c r="EU488" s="224"/>
      <c r="EV488" s="224"/>
      <c r="EW488" s="223"/>
      <c r="EX488" s="224"/>
      <c r="EY488" s="224"/>
      <c r="EZ488" s="224"/>
      <c r="FA488" s="224"/>
      <c r="FB488" s="223"/>
      <c r="FC488" s="224"/>
      <c r="FD488" s="224"/>
      <c r="FE488" s="224"/>
      <c r="FF488" s="224"/>
      <c r="FG488" s="223"/>
      <c r="FH488" s="224"/>
      <c r="FI488" s="224"/>
      <c r="FJ488" s="224"/>
      <c r="FK488" s="224"/>
      <c r="FL488" s="223"/>
      <c r="FM488" s="224"/>
      <c r="FN488" s="224"/>
      <c r="FO488" s="224"/>
      <c r="FP488" s="224"/>
      <c r="FQ488" s="223"/>
      <c r="FR488" s="224"/>
      <c r="FS488" s="224"/>
      <c r="FT488" s="224"/>
      <c r="FU488" s="224"/>
      <c r="FV488" s="223"/>
      <c r="FW488" s="224"/>
      <c r="FX488" s="224"/>
      <c r="FY488" s="224"/>
      <c r="FZ488" s="224"/>
      <c r="GA488" s="223"/>
      <c r="GB488" s="224"/>
      <c r="GC488" s="224"/>
      <c r="GD488" s="224"/>
      <c r="GE488" s="224"/>
      <c r="GF488" s="223"/>
      <c r="GG488" s="224"/>
      <c r="GH488" s="224"/>
      <c r="GI488" s="224"/>
      <c r="GJ488" s="224"/>
    </row>
    <row r="489" spans="1:192" s="93" customFormat="1" ht="12.75" customHeight="1">
      <c r="A489" s="68"/>
      <c r="B489" s="677"/>
      <c r="C489" s="169"/>
      <c r="D489" s="169"/>
      <c r="E489" s="169"/>
      <c r="F489" s="169"/>
      <c r="G489" s="169"/>
      <c r="H489" s="169"/>
      <c r="I489" s="169"/>
      <c r="J489" s="169"/>
      <c r="K489" s="169"/>
      <c r="L489" s="169"/>
      <c r="M489" s="169"/>
      <c r="N489" s="169"/>
      <c r="O489" s="169"/>
      <c r="P489" s="169"/>
      <c r="Q489" s="169"/>
      <c r="R489" s="169"/>
      <c r="S489" s="169"/>
      <c r="T489" s="169"/>
      <c r="U489" s="169"/>
      <c r="V489" s="169"/>
      <c r="W489" s="169"/>
      <c r="X489" s="169"/>
      <c r="Y489" s="169"/>
      <c r="Z489" s="169"/>
      <c r="AA489" s="169"/>
      <c r="AB489" s="169"/>
      <c r="AC489" s="169"/>
      <c r="AD489" s="169"/>
      <c r="AE489" s="169"/>
      <c r="AF489" s="169"/>
      <c r="AG489" s="169"/>
      <c r="AH489" s="169"/>
      <c r="AI489" s="169"/>
      <c r="AJ489" s="169"/>
      <c r="AK489" s="169"/>
      <c r="AL489" s="169"/>
      <c r="AM489" s="169"/>
      <c r="AN489" s="169"/>
      <c r="AO489" s="169"/>
      <c r="AP489" s="169"/>
      <c r="AQ489" s="169"/>
      <c r="AR489" s="169"/>
      <c r="AS489" s="169"/>
      <c r="AT489" s="169"/>
      <c r="AU489" s="169"/>
      <c r="AV489" s="169"/>
      <c r="AW489" s="169"/>
      <c r="AX489" s="169"/>
      <c r="AY489" s="169"/>
      <c r="AZ489" s="169"/>
      <c r="BA489" s="169"/>
      <c r="BB489" s="169"/>
      <c r="BC489" s="169"/>
      <c r="BD489" s="169"/>
      <c r="BE489" s="169"/>
      <c r="BF489" s="169"/>
      <c r="BG489" s="169"/>
      <c r="BH489" s="169"/>
      <c r="BI489" s="169"/>
      <c r="BJ489" s="169"/>
      <c r="BK489" s="169"/>
      <c r="BL489" s="169"/>
      <c r="BM489" s="169"/>
      <c r="BN489" s="169"/>
      <c r="BO489" s="169"/>
      <c r="BP489" s="169"/>
      <c r="BQ489" s="169"/>
      <c r="BR489" s="169"/>
      <c r="BS489" s="169"/>
      <c r="BT489" s="169"/>
      <c r="BU489" s="169"/>
      <c r="BV489" s="169"/>
      <c r="BW489" s="169"/>
      <c r="BX489" s="169"/>
      <c r="BY489" s="169"/>
      <c r="BZ489" s="169"/>
      <c r="CA489" s="169"/>
      <c r="CB489" s="169"/>
      <c r="CC489" s="169"/>
      <c r="CD489" s="169"/>
      <c r="CE489" s="169"/>
      <c r="CF489" s="169"/>
      <c r="CG489" s="169"/>
      <c r="CH489" s="169"/>
      <c r="CI489" s="169"/>
      <c r="CJ489" s="169"/>
      <c r="CK489" s="169"/>
      <c r="CL489" s="169"/>
      <c r="CM489" s="169"/>
      <c r="CN489" s="169"/>
      <c r="CO489" s="169"/>
      <c r="CP489" s="169"/>
      <c r="CQ489" s="169"/>
      <c r="CR489" s="169"/>
      <c r="CS489" s="169"/>
      <c r="CT489" s="169"/>
      <c r="CU489" s="169"/>
      <c r="CV489" s="169"/>
      <c r="CW489" s="169"/>
      <c r="CX489" s="169"/>
      <c r="CY489" s="169"/>
      <c r="CZ489" s="169"/>
      <c r="DA489" s="169"/>
      <c r="DB489" s="169"/>
      <c r="DC489" s="169"/>
      <c r="DD489" s="169"/>
      <c r="DE489" s="169"/>
      <c r="DF489" s="169"/>
      <c r="DG489" s="169"/>
      <c r="DH489" s="169"/>
      <c r="DI489" s="169"/>
      <c r="DJ489" s="169"/>
      <c r="DK489" s="169"/>
      <c r="DL489" s="169"/>
      <c r="DM489" s="169"/>
      <c r="DN489" s="169"/>
      <c r="DO489" s="169"/>
      <c r="DP489" s="169"/>
      <c r="DQ489" s="169"/>
      <c r="DR489" s="169"/>
      <c r="DS489" s="169"/>
      <c r="DT489" s="169"/>
      <c r="DU489" s="169"/>
      <c r="DV489" s="169"/>
      <c r="DW489" s="169"/>
      <c r="DX489" s="169"/>
      <c r="DY489" s="169"/>
      <c r="DZ489" s="169"/>
      <c r="EA489" s="169"/>
      <c r="EB489" s="169"/>
      <c r="EC489" s="169"/>
      <c r="ED489" s="169"/>
      <c r="EE489" s="169"/>
      <c r="EF489" s="169"/>
      <c r="EG489" s="169"/>
      <c r="EH489" s="169"/>
      <c r="EI489" s="169"/>
      <c r="EJ489" s="169"/>
      <c r="EK489" s="169"/>
      <c r="EL489" s="169"/>
      <c r="EM489" s="169"/>
      <c r="EN489" s="169"/>
      <c r="EO489" s="169"/>
      <c r="EP489" s="169"/>
      <c r="EQ489" s="169"/>
      <c r="ER489" s="169"/>
      <c r="ES489" s="169"/>
      <c r="ET489" s="169"/>
      <c r="EU489" s="169"/>
      <c r="EV489" s="169"/>
      <c r="EW489" s="169"/>
      <c r="EX489" s="169"/>
      <c r="EY489" s="169"/>
      <c r="EZ489" s="169"/>
      <c r="FA489" s="169"/>
      <c r="FB489" s="169"/>
      <c r="FC489" s="169"/>
      <c r="FD489" s="169"/>
      <c r="FE489" s="169"/>
      <c r="FF489" s="169"/>
      <c r="FG489" s="169"/>
      <c r="FH489" s="169"/>
      <c r="FI489" s="169"/>
      <c r="FJ489" s="169"/>
      <c r="FK489" s="169"/>
      <c r="FL489" s="169"/>
      <c r="FM489" s="169"/>
      <c r="FN489" s="169"/>
      <c r="FO489" s="169"/>
      <c r="FP489" s="169"/>
      <c r="FQ489" s="169"/>
      <c r="FR489" s="169"/>
      <c r="FS489" s="169"/>
      <c r="FT489" s="169"/>
      <c r="FU489" s="169"/>
      <c r="FV489" s="169"/>
      <c r="FW489" s="169"/>
      <c r="FX489" s="169"/>
      <c r="FY489" s="169"/>
      <c r="FZ489" s="169"/>
      <c r="GA489" s="169"/>
      <c r="GB489" s="169"/>
      <c r="GC489" s="169"/>
      <c r="GD489" s="169"/>
      <c r="GE489" s="169"/>
      <c r="GF489" s="169"/>
      <c r="GG489" s="169"/>
      <c r="GH489" s="169"/>
      <c r="GI489" s="169"/>
      <c r="GJ489" s="169"/>
    </row>
    <row r="490" spans="1:192" s="93" customFormat="1" ht="12.75" customHeight="1">
      <c r="A490" s="68"/>
      <c r="B490" s="677"/>
      <c r="C490" s="167"/>
      <c r="D490" s="167"/>
      <c r="E490" s="167"/>
      <c r="F490" s="167"/>
      <c r="G490" s="167"/>
      <c r="H490" s="167"/>
      <c r="I490" s="167"/>
      <c r="J490" s="167"/>
      <c r="K490" s="167"/>
      <c r="L490" s="167"/>
      <c r="M490" s="167"/>
      <c r="N490" s="167"/>
      <c r="O490" s="167"/>
      <c r="P490" s="167"/>
      <c r="Q490" s="167"/>
      <c r="R490" s="167"/>
      <c r="S490" s="167"/>
      <c r="T490" s="167"/>
      <c r="U490" s="167"/>
      <c r="V490" s="167"/>
      <c r="W490" s="167"/>
      <c r="X490" s="167"/>
      <c r="Y490" s="167"/>
      <c r="Z490" s="167"/>
      <c r="AA490" s="167"/>
      <c r="AB490" s="167"/>
      <c r="AC490" s="167"/>
      <c r="AD490" s="167"/>
      <c r="AE490" s="167"/>
      <c r="AF490" s="167"/>
      <c r="AG490" s="167"/>
      <c r="AH490" s="167"/>
      <c r="AI490" s="167"/>
      <c r="AJ490" s="167"/>
      <c r="AK490" s="167"/>
      <c r="AL490" s="167"/>
      <c r="AM490" s="167"/>
      <c r="AN490" s="167"/>
      <c r="AO490" s="167"/>
      <c r="AP490" s="167"/>
      <c r="AQ490" s="167"/>
      <c r="AR490" s="167"/>
      <c r="AS490" s="167"/>
      <c r="AT490" s="167"/>
      <c r="AU490" s="167"/>
      <c r="AV490" s="167"/>
      <c r="AW490" s="167"/>
      <c r="AX490" s="167"/>
      <c r="AY490" s="167"/>
      <c r="AZ490" s="167"/>
      <c r="BA490" s="167"/>
      <c r="BB490" s="167"/>
      <c r="BC490" s="167"/>
      <c r="BD490" s="167"/>
      <c r="BE490" s="167"/>
      <c r="BF490" s="167"/>
      <c r="BG490" s="167"/>
      <c r="BH490" s="167"/>
      <c r="BI490" s="167"/>
      <c r="BJ490" s="167"/>
      <c r="BK490" s="167"/>
      <c r="BL490" s="167"/>
      <c r="BM490" s="167"/>
      <c r="BN490" s="167"/>
      <c r="BO490" s="167"/>
      <c r="BP490" s="167"/>
      <c r="BQ490" s="167"/>
      <c r="BR490" s="167"/>
      <c r="BS490" s="167"/>
      <c r="BT490" s="167"/>
      <c r="BU490" s="167"/>
      <c r="BV490" s="167"/>
      <c r="BW490" s="167"/>
      <c r="BX490" s="167"/>
      <c r="BY490" s="167"/>
      <c r="BZ490" s="167"/>
      <c r="CA490" s="167"/>
      <c r="CB490" s="167"/>
      <c r="CC490" s="167"/>
      <c r="CD490" s="167"/>
      <c r="CE490" s="167"/>
      <c r="CF490" s="167"/>
      <c r="CG490" s="167"/>
      <c r="CH490" s="167"/>
      <c r="CI490" s="167"/>
      <c r="CJ490" s="167"/>
      <c r="CK490" s="167"/>
      <c r="CL490" s="167"/>
      <c r="CM490" s="167"/>
      <c r="CN490" s="167"/>
      <c r="CO490" s="167"/>
      <c r="CP490" s="167"/>
      <c r="CQ490" s="167"/>
      <c r="CR490" s="167"/>
      <c r="CS490" s="167"/>
      <c r="CT490" s="167"/>
      <c r="CU490" s="167"/>
      <c r="CV490" s="167"/>
      <c r="CW490" s="167"/>
      <c r="CX490" s="167"/>
      <c r="CY490" s="167"/>
      <c r="CZ490" s="167"/>
      <c r="DA490" s="167"/>
      <c r="DB490" s="167"/>
      <c r="DC490" s="167"/>
      <c r="DD490" s="167"/>
      <c r="DE490" s="167"/>
      <c r="DF490" s="167"/>
      <c r="DG490" s="167"/>
      <c r="DH490" s="167"/>
      <c r="DI490" s="167"/>
      <c r="DJ490" s="167"/>
      <c r="DK490" s="167"/>
      <c r="DL490" s="167"/>
      <c r="DM490" s="167"/>
      <c r="DN490" s="167"/>
      <c r="DO490" s="167"/>
      <c r="DP490" s="167"/>
      <c r="DQ490" s="167"/>
      <c r="DR490" s="167"/>
      <c r="DS490" s="167"/>
      <c r="DT490" s="167"/>
      <c r="DU490" s="167"/>
      <c r="DV490" s="167"/>
      <c r="DW490" s="167"/>
      <c r="DX490" s="167"/>
      <c r="DY490" s="167"/>
      <c r="DZ490" s="167"/>
      <c r="EA490" s="167"/>
      <c r="EB490" s="167"/>
      <c r="EC490" s="167"/>
      <c r="ED490" s="167"/>
      <c r="EE490" s="167"/>
      <c r="EF490" s="167"/>
      <c r="EG490" s="167"/>
      <c r="EH490" s="167"/>
      <c r="EI490" s="167"/>
      <c r="EJ490" s="167"/>
      <c r="EK490" s="167"/>
      <c r="EL490" s="167"/>
      <c r="EM490" s="167"/>
      <c r="EN490" s="167"/>
      <c r="EO490" s="167"/>
      <c r="EP490" s="167"/>
      <c r="EQ490" s="167"/>
      <c r="ER490" s="167"/>
      <c r="ES490" s="167"/>
      <c r="ET490" s="167"/>
      <c r="EU490" s="167"/>
      <c r="EV490" s="167"/>
      <c r="EW490" s="167"/>
      <c r="EX490" s="167"/>
      <c r="EY490" s="167"/>
      <c r="EZ490" s="167"/>
      <c r="FA490" s="167"/>
      <c r="FB490" s="167"/>
      <c r="FC490" s="167"/>
      <c r="FD490" s="167"/>
      <c r="FE490" s="167"/>
      <c r="FF490" s="167"/>
      <c r="FG490" s="167"/>
      <c r="FH490" s="167"/>
      <c r="FI490" s="167"/>
      <c r="FJ490" s="167"/>
      <c r="FK490" s="167"/>
      <c r="FL490" s="167"/>
      <c r="FM490" s="167"/>
      <c r="FN490" s="167"/>
      <c r="FO490" s="167"/>
      <c r="FP490" s="167"/>
      <c r="FQ490" s="167"/>
      <c r="FR490" s="167"/>
      <c r="FS490" s="167"/>
      <c r="FT490" s="167"/>
      <c r="FU490" s="167"/>
      <c r="FV490" s="167"/>
      <c r="FW490" s="167"/>
      <c r="FX490" s="167"/>
      <c r="FY490" s="167"/>
      <c r="FZ490" s="167"/>
      <c r="GA490" s="167"/>
      <c r="GB490" s="167"/>
      <c r="GC490" s="167"/>
      <c r="GD490" s="167"/>
      <c r="GE490" s="167"/>
      <c r="GF490" s="167"/>
      <c r="GG490" s="167"/>
      <c r="GH490" s="167"/>
      <c r="GI490" s="167"/>
      <c r="GJ490" s="167"/>
    </row>
    <row r="491" spans="1:192" s="93" customFormat="1" ht="12.75" customHeight="1">
      <c r="A491" s="68"/>
      <c r="B491" s="677"/>
      <c r="C491" s="165"/>
      <c r="D491" s="165"/>
      <c r="E491" s="165"/>
      <c r="F491" s="165"/>
      <c r="G491" s="165"/>
      <c r="H491" s="165"/>
      <c r="I491" s="165"/>
      <c r="J491" s="165"/>
      <c r="K491" s="165"/>
      <c r="L491" s="165"/>
      <c r="M491" s="165"/>
      <c r="N491" s="165"/>
      <c r="O491" s="165"/>
      <c r="P491" s="165"/>
      <c r="Q491" s="165"/>
      <c r="R491" s="165"/>
      <c r="S491" s="165"/>
      <c r="T491" s="165"/>
      <c r="U491" s="165"/>
      <c r="V491" s="165"/>
      <c r="W491" s="165"/>
      <c r="X491" s="165"/>
      <c r="Y491" s="165"/>
      <c r="Z491" s="165"/>
      <c r="AA491" s="165"/>
      <c r="AB491" s="165"/>
      <c r="AC491" s="165"/>
      <c r="AD491" s="165"/>
      <c r="AE491" s="165"/>
      <c r="AF491" s="165"/>
      <c r="AG491" s="165"/>
      <c r="AH491" s="165"/>
      <c r="AI491" s="165"/>
      <c r="AJ491" s="165"/>
      <c r="AK491" s="165"/>
      <c r="AL491" s="165"/>
      <c r="AM491" s="165"/>
      <c r="AN491" s="165"/>
      <c r="AO491" s="165"/>
      <c r="AP491" s="165"/>
      <c r="AQ491" s="165"/>
      <c r="AR491" s="165"/>
      <c r="AS491" s="165"/>
      <c r="AT491" s="165"/>
      <c r="AU491" s="165"/>
      <c r="AV491" s="165"/>
      <c r="AW491" s="165"/>
      <c r="AX491" s="165"/>
      <c r="AY491" s="165"/>
      <c r="AZ491" s="165"/>
      <c r="BA491" s="165"/>
      <c r="BB491" s="165"/>
      <c r="BC491" s="165"/>
      <c r="BD491" s="165"/>
      <c r="BE491" s="165"/>
      <c r="BF491" s="165"/>
      <c r="BG491" s="165"/>
      <c r="BH491" s="165"/>
      <c r="BI491" s="165"/>
      <c r="BJ491" s="165"/>
      <c r="BK491" s="165"/>
      <c r="BL491" s="165"/>
      <c r="BM491" s="165"/>
      <c r="BN491" s="165"/>
      <c r="BO491" s="165"/>
      <c r="BP491" s="165"/>
      <c r="BQ491" s="165"/>
      <c r="BR491" s="165"/>
      <c r="BS491" s="165"/>
      <c r="BT491" s="165"/>
      <c r="BU491" s="165"/>
      <c r="BV491" s="165"/>
      <c r="BW491" s="165"/>
      <c r="BX491" s="165"/>
      <c r="BY491" s="165"/>
      <c r="BZ491" s="165"/>
      <c r="CA491" s="165"/>
      <c r="CB491" s="165"/>
      <c r="CC491" s="165"/>
      <c r="CD491" s="165"/>
      <c r="CE491" s="165"/>
      <c r="CF491" s="165"/>
      <c r="CG491" s="165"/>
      <c r="CH491" s="165"/>
      <c r="CI491" s="165"/>
      <c r="CJ491" s="165"/>
      <c r="CK491" s="165"/>
      <c r="CL491" s="165"/>
      <c r="CM491" s="165"/>
      <c r="CN491" s="165"/>
      <c r="CO491" s="165"/>
      <c r="CP491" s="165"/>
      <c r="CQ491" s="165"/>
      <c r="CR491" s="165"/>
      <c r="CS491" s="165"/>
      <c r="CT491" s="165"/>
      <c r="CU491" s="165"/>
      <c r="CV491" s="165"/>
      <c r="CW491" s="165"/>
      <c r="CX491" s="165"/>
      <c r="CY491" s="165"/>
      <c r="CZ491" s="165"/>
      <c r="DA491" s="165"/>
      <c r="DB491" s="165"/>
      <c r="DC491" s="165"/>
      <c r="DD491" s="165"/>
      <c r="DE491" s="165"/>
      <c r="DF491" s="165"/>
      <c r="DG491" s="165"/>
      <c r="DH491" s="165"/>
      <c r="DI491" s="165"/>
      <c r="DJ491" s="165"/>
      <c r="DK491" s="165"/>
      <c r="DL491" s="165"/>
      <c r="DM491" s="165"/>
      <c r="DN491" s="165"/>
      <c r="DO491" s="165"/>
      <c r="DP491" s="165"/>
      <c r="DQ491" s="165"/>
      <c r="DR491" s="165"/>
      <c r="DS491" s="165"/>
      <c r="DT491" s="165"/>
      <c r="DU491" s="165"/>
      <c r="DV491" s="165"/>
      <c r="DW491" s="165"/>
      <c r="DX491" s="165"/>
      <c r="DY491" s="165"/>
      <c r="DZ491" s="165"/>
      <c r="EA491" s="165"/>
      <c r="EB491" s="165"/>
      <c r="EC491" s="165"/>
      <c r="ED491" s="165"/>
      <c r="EE491" s="165"/>
      <c r="EF491" s="165"/>
      <c r="EG491" s="165"/>
      <c r="EH491" s="165"/>
      <c r="EI491" s="165"/>
      <c r="EJ491" s="165"/>
      <c r="EK491" s="165"/>
      <c r="EL491" s="165"/>
      <c r="EM491" s="165"/>
      <c r="EN491" s="165"/>
      <c r="EO491" s="165"/>
      <c r="EP491" s="165"/>
      <c r="EQ491" s="165"/>
      <c r="ER491" s="165"/>
      <c r="ES491" s="165"/>
      <c r="ET491" s="165"/>
      <c r="EU491" s="165"/>
      <c r="EV491" s="165"/>
      <c r="EW491" s="165"/>
      <c r="EX491" s="165"/>
      <c r="EY491" s="165"/>
      <c r="EZ491" s="165"/>
      <c r="FA491" s="165"/>
      <c r="FB491" s="165"/>
      <c r="FC491" s="165"/>
      <c r="FD491" s="165"/>
      <c r="FE491" s="165"/>
      <c r="FF491" s="165"/>
      <c r="FG491" s="165"/>
      <c r="FH491" s="165"/>
      <c r="FI491" s="165"/>
      <c r="FJ491" s="165"/>
      <c r="FK491" s="165"/>
      <c r="FL491" s="165"/>
      <c r="FM491" s="165"/>
      <c r="FN491" s="165"/>
      <c r="FO491" s="165"/>
      <c r="FP491" s="165"/>
      <c r="FQ491" s="165"/>
      <c r="FR491" s="165"/>
      <c r="FS491" s="165"/>
      <c r="FT491" s="165"/>
      <c r="FU491" s="165"/>
      <c r="FV491" s="165"/>
      <c r="FW491" s="165"/>
      <c r="FX491" s="165"/>
      <c r="FY491" s="165"/>
      <c r="FZ491" s="165"/>
      <c r="GA491" s="165"/>
      <c r="GB491" s="165"/>
      <c r="GC491" s="165"/>
      <c r="GD491" s="165"/>
      <c r="GE491" s="165"/>
      <c r="GF491" s="165"/>
      <c r="GG491" s="165"/>
      <c r="GH491" s="165"/>
      <c r="GI491" s="165"/>
      <c r="GJ491" s="165"/>
    </row>
    <row r="492" spans="1:192" s="93" customFormat="1" ht="12.75" customHeight="1">
      <c r="A492" s="68"/>
      <c r="B492" s="677"/>
      <c r="C492" s="169"/>
      <c r="D492" s="169"/>
      <c r="E492" s="169"/>
      <c r="F492" s="169"/>
      <c r="G492" s="169"/>
      <c r="H492" s="169"/>
      <c r="I492" s="169"/>
      <c r="J492" s="169"/>
      <c r="K492" s="169"/>
      <c r="L492" s="169"/>
      <c r="M492" s="169"/>
      <c r="N492" s="169"/>
      <c r="O492" s="169"/>
      <c r="P492" s="169"/>
      <c r="Q492" s="169"/>
      <c r="R492" s="169"/>
      <c r="S492" s="169"/>
      <c r="T492" s="169"/>
      <c r="U492" s="169"/>
      <c r="V492" s="169"/>
      <c r="W492" s="169"/>
      <c r="X492" s="169"/>
      <c r="Y492" s="169"/>
      <c r="Z492" s="169"/>
      <c r="AA492" s="169"/>
      <c r="AB492" s="169"/>
      <c r="AC492" s="169"/>
      <c r="AD492" s="169"/>
      <c r="AE492" s="169"/>
      <c r="AF492" s="169"/>
      <c r="AG492" s="169"/>
      <c r="AH492" s="169"/>
      <c r="AI492" s="169"/>
      <c r="AJ492" s="169"/>
      <c r="AK492" s="169"/>
      <c r="AL492" s="169"/>
      <c r="AM492" s="169"/>
      <c r="AN492" s="169"/>
      <c r="AO492" s="169"/>
      <c r="AP492" s="169"/>
      <c r="AQ492" s="169"/>
      <c r="AR492" s="169"/>
      <c r="AS492" s="169"/>
      <c r="AT492" s="169"/>
      <c r="AU492" s="169"/>
      <c r="AV492" s="169"/>
      <c r="AW492" s="169"/>
      <c r="AX492" s="169"/>
      <c r="AY492" s="169"/>
      <c r="AZ492" s="169"/>
      <c r="BA492" s="169"/>
      <c r="BB492" s="169"/>
      <c r="BC492" s="169"/>
      <c r="BD492" s="169"/>
      <c r="BE492" s="169"/>
      <c r="BF492" s="169"/>
      <c r="BG492" s="169"/>
      <c r="BH492" s="169"/>
      <c r="BI492" s="169"/>
      <c r="BJ492" s="169"/>
      <c r="BK492" s="169"/>
      <c r="BL492" s="169"/>
      <c r="BM492" s="169"/>
      <c r="BN492" s="169"/>
      <c r="BO492" s="169"/>
      <c r="BP492" s="169"/>
      <c r="BQ492" s="169"/>
      <c r="BR492" s="169"/>
      <c r="BS492" s="169"/>
      <c r="BT492" s="169"/>
      <c r="BU492" s="169"/>
      <c r="BV492" s="169"/>
      <c r="BW492" s="169"/>
      <c r="BX492" s="169"/>
      <c r="BY492" s="169"/>
      <c r="BZ492" s="169"/>
      <c r="CA492" s="169"/>
      <c r="CB492" s="169"/>
      <c r="CC492" s="169"/>
      <c r="CD492" s="169"/>
      <c r="CE492" s="169"/>
      <c r="CF492" s="169"/>
      <c r="CG492" s="169"/>
      <c r="CH492" s="169"/>
      <c r="CI492" s="169"/>
      <c r="CJ492" s="169"/>
      <c r="CK492" s="169"/>
      <c r="CL492" s="169"/>
      <c r="CM492" s="169"/>
      <c r="CN492" s="169"/>
      <c r="CO492" s="169"/>
      <c r="CP492" s="169"/>
      <c r="CQ492" s="169"/>
      <c r="CR492" s="169"/>
      <c r="CS492" s="169"/>
      <c r="CT492" s="169"/>
      <c r="CU492" s="169"/>
      <c r="CV492" s="169"/>
      <c r="CW492" s="169"/>
      <c r="CX492" s="169"/>
      <c r="CY492" s="169"/>
      <c r="CZ492" s="169"/>
      <c r="DA492" s="169"/>
      <c r="DB492" s="169"/>
      <c r="DC492" s="169"/>
      <c r="DD492" s="169"/>
      <c r="DE492" s="169"/>
      <c r="DF492" s="169"/>
      <c r="DG492" s="169"/>
      <c r="DH492" s="169"/>
      <c r="DI492" s="169"/>
      <c r="DJ492" s="169"/>
      <c r="DK492" s="169"/>
      <c r="DL492" s="169"/>
      <c r="DM492" s="169"/>
      <c r="DN492" s="169"/>
      <c r="DO492" s="169"/>
      <c r="DP492" s="169"/>
      <c r="DQ492" s="169"/>
      <c r="DR492" s="169"/>
      <c r="DS492" s="169"/>
      <c r="DT492" s="169"/>
      <c r="DU492" s="169"/>
      <c r="DV492" s="169"/>
      <c r="DW492" s="169"/>
      <c r="DX492" s="169"/>
      <c r="DY492" s="169"/>
      <c r="DZ492" s="169"/>
      <c r="EA492" s="169"/>
      <c r="EB492" s="169"/>
      <c r="EC492" s="169"/>
      <c r="ED492" s="169"/>
      <c r="EE492" s="169"/>
      <c r="EF492" s="169"/>
      <c r="EG492" s="169"/>
      <c r="EH492" s="169"/>
      <c r="EI492" s="169"/>
      <c r="EJ492" s="169"/>
      <c r="EK492" s="169"/>
      <c r="EL492" s="169"/>
      <c r="EM492" s="169"/>
      <c r="EN492" s="169"/>
      <c r="EO492" s="169"/>
      <c r="EP492" s="169"/>
      <c r="EQ492" s="169"/>
      <c r="ER492" s="169"/>
      <c r="ES492" s="169"/>
      <c r="ET492" s="169"/>
      <c r="EU492" s="169"/>
      <c r="EV492" s="169"/>
      <c r="EW492" s="169"/>
      <c r="EX492" s="169"/>
      <c r="EY492" s="169"/>
      <c r="EZ492" s="169"/>
      <c r="FA492" s="169"/>
      <c r="FB492" s="169"/>
      <c r="FC492" s="169"/>
      <c r="FD492" s="169"/>
      <c r="FE492" s="169"/>
      <c r="FF492" s="169"/>
      <c r="FG492" s="169"/>
      <c r="FH492" s="169"/>
      <c r="FI492" s="169"/>
      <c r="FJ492" s="169"/>
      <c r="FK492" s="169"/>
      <c r="FL492" s="169"/>
      <c r="FM492" s="169"/>
      <c r="FN492" s="169"/>
      <c r="FO492" s="169"/>
      <c r="FP492" s="169"/>
      <c r="FQ492" s="169"/>
      <c r="FR492" s="169"/>
      <c r="FS492" s="169"/>
      <c r="FT492" s="169"/>
      <c r="FU492" s="169"/>
      <c r="FV492" s="169"/>
      <c r="FW492" s="169"/>
      <c r="FX492" s="169"/>
      <c r="FY492" s="169"/>
      <c r="FZ492" s="169"/>
      <c r="GA492" s="169"/>
      <c r="GB492" s="169"/>
      <c r="GC492" s="169"/>
      <c r="GD492" s="169"/>
      <c r="GE492" s="169"/>
      <c r="GF492" s="169"/>
      <c r="GG492" s="169"/>
      <c r="GH492" s="169"/>
      <c r="GI492" s="169"/>
      <c r="GJ492" s="169"/>
    </row>
    <row r="493" spans="1:192" s="93" customFormat="1" ht="12.75" customHeight="1">
      <c r="A493" s="68"/>
      <c r="B493" s="677"/>
      <c r="C493" s="106"/>
      <c r="D493" s="106"/>
      <c r="E493" s="106"/>
      <c r="F493" s="106"/>
      <c r="G493" s="106"/>
      <c r="H493" s="106"/>
      <c r="I493" s="106"/>
      <c r="J493" s="106"/>
      <c r="K493" s="106"/>
      <c r="L493" s="106"/>
      <c r="M493" s="106"/>
      <c r="N493" s="106"/>
      <c r="O493" s="106"/>
      <c r="P493" s="106"/>
      <c r="Q493" s="106"/>
      <c r="R493" s="106"/>
      <c r="S493" s="106"/>
      <c r="T493" s="106"/>
      <c r="U493" s="106"/>
      <c r="V493" s="106"/>
      <c r="W493" s="106"/>
      <c r="X493" s="106"/>
      <c r="Y493" s="106"/>
      <c r="Z493" s="106"/>
      <c r="AA493" s="106"/>
      <c r="AB493" s="106"/>
      <c r="AC493" s="106"/>
      <c r="AD493" s="106"/>
      <c r="AE493" s="106"/>
      <c r="AF493" s="106"/>
      <c r="AG493" s="106"/>
      <c r="AH493" s="106"/>
      <c r="AI493" s="106"/>
      <c r="AJ493" s="106"/>
      <c r="AK493" s="106"/>
      <c r="AL493" s="106"/>
      <c r="AM493" s="106"/>
      <c r="AN493" s="106"/>
      <c r="AO493" s="106"/>
      <c r="AP493" s="106"/>
      <c r="AQ493" s="106"/>
      <c r="AR493" s="106"/>
      <c r="AS493" s="106"/>
      <c r="AT493" s="106"/>
      <c r="AU493" s="106"/>
      <c r="AV493" s="106"/>
      <c r="AW493" s="106"/>
      <c r="AX493" s="106"/>
      <c r="AY493" s="106"/>
      <c r="AZ493" s="106"/>
      <c r="BA493" s="106"/>
      <c r="BB493" s="106"/>
      <c r="BC493" s="106"/>
      <c r="BD493" s="106"/>
      <c r="BE493" s="106"/>
      <c r="BF493" s="106"/>
      <c r="BG493" s="106"/>
      <c r="BH493" s="106"/>
      <c r="BI493" s="106"/>
      <c r="BJ493" s="106"/>
      <c r="BK493" s="106"/>
      <c r="BL493" s="106"/>
      <c r="BM493" s="106"/>
      <c r="BN493" s="106"/>
      <c r="BO493" s="106"/>
      <c r="BP493" s="106"/>
      <c r="BQ493" s="106"/>
      <c r="BR493" s="106"/>
      <c r="BS493" s="106"/>
      <c r="BT493" s="106"/>
      <c r="BU493" s="106"/>
      <c r="BV493" s="106"/>
      <c r="BW493" s="106"/>
      <c r="BX493" s="106"/>
      <c r="BY493" s="106"/>
      <c r="BZ493" s="106"/>
      <c r="CA493" s="106"/>
      <c r="CB493" s="106"/>
      <c r="CC493" s="106"/>
      <c r="CD493" s="106"/>
      <c r="CE493" s="106"/>
      <c r="CF493" s="106"/>
      <c r="CG493" s="106"/>
      <c r="CH493" s="106"/>
      <c r="CI493" s="106"/>
      <c r="CJ493" s="106"/>
      <c r="CK493" s="106"/>
      <c r="CL493" s="106"/>
      <c r="CM493" s="106"/>
      <c r="CN493" s="106"/>
      <c r="CO493" s="106"/>
      <c r="CP493" s="106"/>
      <c r="CQ493" s="106"/>
      <c r="CR493" s="106"/>
      <c r="CS493" s="106"/>
      <c r="CT493" s="106"/>
      <c r="CU493" s="106"/>
      <c r="CV493" s="106"/>
      <c r="CW493" s="106"/>
      <c r="CX493" s="106"/>
      <c r="CY493" s="106"/>
      <c r="CZ493" s="106"/>
      <c r="DA493" s="106"/>
      <c r="DB493" s="106"/>
      <c r="DC493" s="106"/>
      <c r="DD493" s="106"/>
      <c r="DE493" s="106"/>
      <c r="DF493" s="106"/>
      <c r="DG493" s="106"/>
      <c r="DH493" s="106"/>
      <c r="DI493" s="106"/>
      <c r="DJ493" s="106"/>
      <c r="DK493" s="106"/>
      <c r="DL493" s="106"/>
      <c r="DM493" s="106"/>
      <c r="DN493" s="106"/>
      <c r="DO493" s="106"/>
      <c r="DP493" s="106"/>
      <c r="DQ493" s="106"/>
      <c r="DR493" s="106"/>
      <c r="DS493" s="106"/>
      <c r="DT493" s="106"/>
      <c r="DU493" s="106"/>
      <c r="DV493" s="106"/>
      <c r="DW493" s="106"/>
      <c r="DX493" s="106"/>
      <c r="DY493" s="106"/>
      <c r="DZ493" s="106"/>
      <c r="EA493" s="106"/>
      <c r="EB493" s="106"/>
      <c r="EC493" s="106"/>
      <c r="ED493" s="106"/>
      <c r="EE493" s="106"/>
      <c r="EF493" s="106"/>
      <c r="EG493" s="106"/>
      <c r="EH493" s="106"/>
      <c r="EI493" s="106"/>
      <c r="EJ493" s="106"/>
      <c r="EK493" s="106"/>
      <c r="EL493" s="106"/>
      <c r="EM493" s="106"/>
      <c r="EN493" s="106"/>
      <c r="EO493" s="106"/>
      <c r="EP493" s="106"/>
      <c r="EQ493" s="106"/>
      <c r="ER493" s="106"/>
      <c r="ES493" s="106"/>
      <c r="ET493" s="106"/>
      <c r="EU493" s="106"/>
      <c r="EV493" s="106"/>
      <c r="EW493" s="106"/>
      <c r="EX493" s="106"/>
      <c r="EY493" s="106"/>
      <c r="EZ493" s="106"/>
      <c r="FA493" s="106"/>
      <c r="FB493" s="106"/>
      <c r="FC493" s="106"/>
      <c r="FD493" s="106"/>
      <c r="FE493" s="106"/>
      <c r="FF493" s="106"/>
      <c r="FG493" s="106"/>
      <c r="FH493" s="106"/>
      <c r="FI493" s="106"/>
      <c r="FJ493" s="106"/>
      <c r="FK493" s="106"/>
      <c r="FL493" s="106"/>
      <c r="FM493" s="106"/>
      <c r="FN493" s="106"/>
      <c r="FO493" s="106"/>
      <c r="FP493" s="106"/>
      <c r="FQ493" s="106"/>
      <c r="FR493" s="106"/>
      <c r="FS493" s="106"/>
      <c r="FT493" s="106"/>
      <c r="FU493" s="106"/>
      <c r="FV493" s="106"/>
      <c r="FW493" s="106"/>
      <c r="FX493" s="106"/>
      <c r="FY493" s="106"/>
      <c r="FZ493" s="106"/>
      <c r="GA493" s="106"/>
      <c r="GB493" s="106"/>
      <c r="GC493" s="106"/>
      <c r="GD493" s="106"/>
      <c r="GE493" s="106"/>
      <c r="GF493" s="106"/>
      <c r="GG493" s="106"/>
      <c r="GH493" s="106"/>
      <c r="GI493" s="106"/>
      <c r="GJ493" s="106"/>
    </row>
    <row r="494" spans="1:192" s="93" customFormat="1" ht="12.75" customHeight="1">
      <c r="A494" s="68"/>
      <c r="B494" s="677"/>
      <c r="C494" s="169"/>
      <c r="D494" s="169"/>
      <c r="E494" s="169"/>
      <c r="F494" s="169"/>
      <c r="G494" s="169"/>
      <c r="H494" s="169"/>
      <c r="I494" s="169"/>
      <c r="J494" s="169"/>
      <c r="K494" s="169"/>
      <c r="L494" s="169"/>
      <c r="M494" s="169"/>
      <c r="N494" s="169"/>
      <c r="O494" s="169"/>
      <c r="P494" s="169"/>
      <c r="Q494" s="169"/>
      <c r="R494" s="169"/>
      <c r="S494" s="169"/>
      <c r="T494" s="169"/>
      <c r="U494" s="169"/>
      <c r="V494" s="169"/>
      <c r="W494" s="169"/>
      <c r="X494" s="169"/>
      <c r="Y494" s="169"/>
      <c r="Z494" s="169"/>
      <c r="AA494" s="169"/>
      <c r="AB494" s="169"/>
      <c r="AC494" s="169"/>
      <c r="AD494" s="169"/>
      <c r="AE494" s="169"/>
      <c r="AF494" s="169"/>
      <c r="AG494" s="169"/>
      <c r="AH494" s="169"/>
      <c r="AI494" s="169"/>
      <c r="AJ494" s="169"/>
      <c r="AK494" s="169"/>
      <c r="AL494" s="169"/>
      <c r="AM494" s="169"/>
      <c r="AN494" s="169"/>
      <c r="AO494" s="169"/>
      <c r="AP494" s="169"/>
      <c r="AQ494" s="169"/>
      <c r="AR494" s="169"/>
      <c r="AS494" s="169"/>
      <c r="AT494" s="169"/>
      <c r="AU494" s="169"/>
      <c r="AV494" s="169"/>
      <c r="AW494" s="169"/>
      <c r="AX494" s="169"/>
      <c r="AY494" s="169"/>
      <c r="AZ494" s="169"/>
      <c r="BA494" s="169"/>
      <c r="BB494" s="169"/>
      <c r="BC494" s="169"/>
      <c r="BD494" s="169"/>
      <c r="BE494" s="169"/>
      <c r="BF494" s="169"/>
      <c r="BG494" s="169"/>
      <c r="BH494" s="169"/>
      <c r="BI494" s="169"/>
      <c r="BJ494" s="169"/>
      <c r="BK494" s="169"/>
      <c r="BL494" s="169"/>
      <c r="BM494" s="169"/>
      <c r="BN494" s="169"/>
      <c r="BO494" s="169"/>
      <c r="BP494" s="169"/>
      <c r="BQ494" s="169"/>
      <c r="BR494" s="169"/>
      <c r="BS494" s="169"/>
      <c r="BT494" s="169"/>
      <c r="BU494" s="169"/>
      <c r="BV494" s="169"/>
      <c r="BW494" s="169"/>
      <c r="BX494" s="169"/>
      <c r="BY494" s="169"/>
      <c r="BZ494" s="169"/>
      <c r="CA494" s="169"/>
      <c r="CB494" s="169"/>
      <c r="CC494" s="169"/>
      <c r="CD494" s="169"/>
      <c r="CE494" s="169"/>
      <c r="CF494" s="169"/>
      <c r="CG494" s="169"/>
      <c r="CH494" s="169"/>
      <c r="CI494" s="169"/>
      <c r="CJ494" s="169"/>
      <c r="CK494" s="169"/>
      <c r="CL494" s="169"/>
      <c r="CM494" s="169"/>
      <c r="CN494" s="169"/>
      <c r="CO494" s="169"/>
      <c r="CP494" s="169"/>
      <c r="CQ494" s="169"/>
      <c r="CR494" s="169"/>
      <c r="CS494" s="169"/>
      <c r="CT494" s="169"/>
      <c r="CU494" s="169"/>
      <c r="CV494" s="169"/>
      <c r="CW494" s="169"/>
      <c r="CX494" s="169"/>
      <c r="CY494" s="169"/>
      <c r="CZ494" s="169"/>
      <c r="DA494" s="169"/>
      <c r="DB494" s="169"/>
      <c r="DC494" s="169"/>
      <c r="DD494" s="169"/>
      <c r="DE494" s="169"/>
      <c r="DF494" s="169"/>
      <c r="DG494" s="169"/>
      <c r="DH494" s="169"/>
      <c r="DI494" s="169"/>
      <c r="DJ494" s="169"/>
      <c r="DK494" s="169"/>
      <c r="DL494" s="169"/>
      <c r="DM494" s="169"/>
      <c r="DN494" s="169"/>
      <c r="DO494" s="169"/>
      <c r="DP494" s="169"/>
      <c r="DQ494" s="169"/>
      <c r="DR494" s="169"/>
      <c r="DS494" s="169"/>
      <c r="DT494" s="169"/>
      <c r="DU494" s="169"/>
      <c r="DV494" s="169"/>
      <c r="DW494" s="169"/>
      <c r="DX494" s="169"/>
      <c r="DY494" s="169"/>
      <c r="DZ494" s="169"/>
      <c r="EA494" s="169"/>
      <c r="EB494" s="169"/>
      <c r="EC494" s="169"/>
      <c r="ED494" s="169"/>
      <c r="EE494" s="169"/>
      <c r="EF494" s="169"/>
      <c r="EG494" s="169"/>
      <c r="EH494" s="169"/>
      <c r="EI494" s="169"/>
      <c r="EJ494" s="169"/>
      <c r="EK494" s="169"/>
      <c r="EL494" s="169"/>
      <c r="EM494" s="169"/>
      <c r="EN494" s="169"/>
      <c r="EO494" s="169"/>
      <c r="EP494" s="169"/>
      <c r="EQ494" s="169"/>
      <c r="ER494" s="169"/>
      <c r="ES494" s="169"/>
      <c r="ET494" s="169"/>
      <c r="EU494" s="169"/>
      <c r="EV494" s="169"/>
      <c r="EW494" s="169"/>
      <c r="EX494" s="169"/>
      <c r="EY494" s="169"/>
      <c r="EZ494" s="169"/>
      <c r="FA494" s="169"/>
      <c r="FB494" s="169"/>
      <c r="FC494" s="169"/>
      <c r="FD494" s="169"/>
      <c r="FE494" s="169"/>
      <c r="FF494" s="169"/>
      <c r="FG494" s="169"/>
      <c r="FH494" s="169"/>
      <c r="FI494" s="169"/>
      <c r="FJ494" s="169"/>
      <c r="FK494" s="169"/>
      <c r="FL494" s="169"/>
      <c r="FM494" s="169"/>
      <c r="FN494" s="169"/>
      <c r="FO494" s="169"/>
      <c r="FP494" s="169"/>
      <c r="FQ494" s="169"/>
      <c r="FR494" s="169"/>
      <c r="FS494" s="169"/>
      <c r="FT494" s="169"/>
      <c r="FU494" s="169"/>
      <c r="FV494" s="169"/>
      <c r="FW494" s="169"/>
      <c r="FX494" s="169"/>
      <c r="FY494" s="169"/>
      <c r="FZ494" s="169"/>
      <c r="GA494" s="169"/>
      <c r="GB494" s="169"/>
      <c r="GC494" s="169"/>
      <c r="GD494" s="169"/>
      <c r="GE494" s="169"/>
      <c r="GF494" s="169"/>
      <c r="GG494" s="169"/>
      <c r="GH494" s="169"/>
      <c r="GI494" s="169"/>
      <c r="GJ494" s="169"/>
    </row>
    <row r="495" spans="1:192" s="93" customFormat="1" ht="12.75" customHeight="1">
      <c r="A495" s="68"/>
      <c r="B495" s="677"/>
      <c r="C495" s="169"/>
      <c r="D495" s="169"/>
      <c r="E495" s="169"/>
      <c r="F495" s="169"/>
      <c r="G495" s="169"/>
      <c r="H495" s="169"/>
      <c r="I495" s="169"/>
      <c r="J495" s="169"/>
      <c r="K495" s="169"/>
      <c r="L495" s="169"/>
      <c r="M495" s="169"/>
      <c r="N495" s="169"/>
      <c r="O495" s="169"/>
      <c r="P495" s="169"/>
      <c r="Q495" s="169"/>
      <c r="R495" s="169"/>
      <c r="S495" s="169"/>
      <c r="T495" s="169"/>
      <c r="U495" s="169"/>
      <c r="V495" s="169"/>
      <c r="W495" s="169"/>
      <c r="X495" s="169"/>
      <c r="Y495" s="169"/>
      <c r="Z495" s="169"/>
      <c r="AA495" s="169"/>
      <c r="AB495" s="169"/>
      <c r="AC495" s="169"/>
      <c r="AD495" s="169"/>
      <c r="AE495" s="169"/>
      <c r="AF495" s="169"/>
      <c r="AG495" s="169"/>
      <c r="AH495" s="169"/>
      <c r="AI495" s="169"/>
      <c r="AJ495" s="169"/>
      <c r="AK495" s="169"/>
      <c r="AL495" s="169"/>
      <c r="AM495" s="169"/>
      <c r="AN495" s="169"/>
      <c r="AO495" s="169"/>
      <c r="AP495" s="169"/>
      <c r="AQ495" s="169"/>
      <c r="AR495" s="169"/>
      <c r="AS495" s="169"/>
      <c r="AT495" s="169"/>
      <c r="AU495" s="169"/>
      <c r="AV495" s="169"/>
      <c r="AW495" s="169"/>
      <c r="AX495" s="169"/>
      <c r="AY495" s="169"/>
      <c r="AZ495" s="169"/>
      <c r="BA495" s="169"/>
      <c r="BB495" s="169"/>
      <c r="BC495" s="169"/>
      <c r="BD495" s="169"/>
      <c r="BE495" s="169"/>
      <c r="BF495" s="169"/>
      <c r="BG495" s="169"/>
      <c r="BH495" s="169"/>
      <c r="BI495" s="169"/>
      <c r="BJ495" s="169"/>
      <c r="BK495" s="169"/>
      <c r="BL495" s="169"/>
      <c r="BM495" s="169"/>
      <c r="BN495" s="169"/>
      <c r="BO495" s="169"/>
      <c r="BP495" s="169"/>
      <c r="BQ495" s="169"/>
      <c r="BR495" s="169"/>
      <c r="BS495" s="169"/>
      <c r="BT495" s="169"/>
      <c r="BU495" s="169"/>
      <c r="BV495" s="169"/>
      <c r="BW495" s="169"/>
      <c r="BX495" s="169"/>
      <c r="BY495" s="169"/>
      <c r="BZ495" s="169"/>
      <c r="CA495" s="169"/>
      <c r="CB495" s="169"/>
      <c r="CC495" s="169"/>
      <c r="CD495" s="169"/>
      <c r="CE495" s="169"/>
      <c r="CF495" s="169"/>
      <c r="CG495" s="169"/>
      <c r="CH495" s="169"/>
      <c r="CI495" s="169"/>
      <c r="CJ495" s="169"/>
      <c r="CK495" s="169"/>
      <c r="CL495" s="169"/>
      <c r="CM495" s="169"/>
      <c r="CN495" s="169"/>
      <c r="CO495" s="169"/>
      <c r="CP495" s="169"/>
      <c r="CQ495" s="169"/>
      <c r="CR495" s="169"/>
      <c r="CS495" s="169"/>
      <c r="CT495" s="169"/>
      <c r="CU495" s="169"/>
      <c r="CV495" s="169"/>
      <c r="CW495" s="169"/>
      <c r="CX495" s="169"/>
      <c r="CY495" s="169"/>
      <c r="CZ495" s="169"/>
      <c r="DA495" s="169"/>
      <c r="DB495" s="169"/>
      <c r="DC495" s="169"/>
      <c r="DD495" s="169"/>
      <c r="DE495" s="169"/>
      <c r="DF495" s="169"/>
      <c r="DG495" s="169"/>
      <c r="DH495" s="169"/>
      <c r="DI495" s="169"/>
      <c r="DJ495" s="169"/>
      <c r="DK495" s="169"/>
      <c r="DL495" s="169"/>
      <c r="DM495" s="169"/>
      <c r="DN495" s="169"/>
      <c r="DO495" s="169"/>
      <c r="DP495" s="169"/>
      <c r="DQ495" s="169"/>
      <c r="DR495" s="169"/>
      <c r="DS495" s="169"/>
      <c r="DT495" s="169"/>
      <c r="DU495" s="169"/>
      <c r="DV495" s="169"/>
      <c r="DW495" s="169"/>
      <c r="DX495" s="169"/>
      <c r="DY495" s="169"/>
      <c r="DZ495" s="169"/>
      <c r="EA495" s="169"/>
      <c r="EB495" s="169"/>
      <c r="EC495" s="169"/>
      <c r="ED495" s="169"/>
      <c r="EE495" s="169"/>
      <c r="EF495" s="169"/>
      <c r="EG495" s="169"/>
      <c r="EH495" s="169"/>
      <c r="EI495" s="169"/>
      <c r="EJ495" s="169"/>
      <c r="EK495" s="169"/>
      <c r="EL495" s="169"/>
      <c r="EM495" s="169"/>
      <c r="EN495" s="169"/>
      <c r="EO495" s="169"/>
      <c r="EP495" s="169"/>
      <c r="EQ495" s="169"/>
      <c r="ER495" s="169"/>
      <c r="ES495" s="169"/>
      <c r="ET495" s="169"/>
      <c r="EU495" s="169"/>
      <c r="EV495" s="169"/>
      <c r="EW495" s="169"/>
      <c r="EX495" s="169"/>
      <c r="EY495" s="169"/>
      <c r="EZ495" s="169"/>
      <c r="FA495" s="169"/>
      <c r="FB495" s="169"/>
      <c r="FC495" s="169"/>
      <c r="FD495" s="169"/>
      <c r="FE495" s="169"/>
      <c r="FF495" s="169"/>
      <c r="FG495" s="169"/>
      <c r="FH495" s="169"/>
      <c r="FI495" s="169"/>
      <c r="FJ495" s="169"/>
      <c r="FK495" s="169"/>
      <c r="FL495" s="169"/>
      <c r="FM495" s="169"/>
      <c r="FN495" s="169"/>
      <c r="FO495" s="169"/>
      <c r="FP495" s="169"/>
      <c r="FQ495" s="169"/>
      <c r="FR495" s="169"/>
      <c r="FS495" s="169"/>
      <c r="FT495" s="169"/>
      <c r="FU495" s="169"/>
      <c r="FV495" s="169"/>
      <c r="FW495" s="169"/>
      <c r="FX495" s="169"/>
      <c r="FY495" s="169"/>
      <c r="FZ495" s="169"/>
      <c r="GA495" s="169"/>
      <c r="GB495" s="169"/>
      <c r="GC495" s="169"/>
      <c r="GD495" s="169"/>
      <c r="GE495" s="169"/>
      <c r="GF495" s="169"/>
      <c r="GG495" s="169"/>
      <c r="GH495" s="169"/>
      <c r="GI495" s="169"/>
      <c r="GJ495" s="169"/>
    </row>
    <row r="496" spans="1:192" s="93" customFormat="1" ht="12.75" customHeight="1">
      <c r="A496" s="68"/>
      <c r="B496" s="677"/>
      <c r="C496" s="169"/>
      <c r="D496" s="169"/>
      <c r="E496" s="169"/>
      <c r="F496" s="169"/>
      <c r="G496" s="169"/>
      <c r="H496" s="169"/>
      <c r="I496" s="169"/>
      <c r="J496" s="169"/>
      <c r="K496" s="169"/>
      <c r="L496" s="169"/>
      <c r="M496" s="169"/>
      <c r="N496" s="169"/>
      <c r="O496" s="169"/>
      <c r="P496" s="169"/>
      <c r="Q496" s="169"/>
      <c r="R496" s="169"/>
      <c r="S496" s="169"/>
      <c r="T496" s="169"/>
      <c r="U496" s="169"/>
      <c r="V496" s="169"/>
      <c r="W496" s="169"/>
      <c r="X496" s="169"/>
      <c r="Y496" s="169"/>
      <c r="Z496" s="169"/>
      <c r="AA496" s="169"/>
      <c r="AB496" s="169"/>
      <c r="AC496" s="169"/>
      <c r="AD496" s="169"/>
      <c r="AE496" s="169"/>
      <c r="AF496" s="169"/>
      <c r="AG496" s="169"/>
      <c r="AH496" s="169"/>
      <c r="AI496" s="169"/>
      <c r="AJ496" s="169"/>
      <c r="AK496" s="169"/>
      <c r="AL496" s="169"/>
      <c r="AM496" s="169"/>
      <c r="AN496" s="169"/>
      <c r="AO496" s="169"/>
      <c r="AP496" s="169"/>
      <c r="AQ496" s="169"/>
      <c r="AR496" s="169"/>
      <c r="AS496" s="169"/>
      <c r="AT496" s="169"/>
      <c r="AU496" s="169"/>
      <c r="AV496" s="169"/>
      <c r="AW496" s="169"/>
      <c r="AX496" s="169"/>
      <c r="AY496" s="169"/>
      <c r="AZ496" s="169"/>
      <c r="BA496" s="169"/>
      <c r="BB496" s="169"/>
      <c r="BC496" s="169"/>
      <c r="BD496" s="169"/>
      <c r="BE496" s="169"/>
      <c r="BF496" s="169"/>
      <c r="BG496" s="169"/>
      <c r="BH496" s="169"/>
      <c r="BI496" s="169"/>
      <c r="BJ496" s="169"/>
      <c r="BK496" s="169"/>
      <c r="BL496" s="169"/>
      <c r="BM496" s="169"/>
      <c r="BN496" s="169"/>
      <c r="BO496" s="169"/>
      <c r="BP496" s="169"/>
      <c r="BQ496" s="169"/>
      <c r="BR496" s="169"/>
      <c r="BS496" s="169"/>
      <c r="BT496" s="169"/>
      <c r="BU496" s="169"/>
      <c r="BV496" s="169"/>
      <c r="BW496" s="169"/>
      <c r="BX496" s="169"/>
      <c r="BY496" s="169"/>
      <c r="BZ496" s="169"/>
      <c r="CA496" s="169"/>
      <c r="CB496" s="169"/>
      <c r="CC496" s="169"/>
      <c r="CD496" s="169"/>
      <c r="CE496" s="169"/>
      <c r="CF496" s="169"/>
      <c r="CG496" s="169"/>
      <c r="CH496" s="169"/>
      <c r="CI496" s="169"/>
      <c r="CJ496" s="169"/>
      <c r="CK496" s="169"/>
      <c r="CL496" s="169"/>
      <c r="CM496" s="169"/>
      <c r="CN496" s="169"/>
      <c r="CO496" s="169"/>
      <c r="CP496" s="169"/>
      <c r="CQ496" s="169"/>
      <c r="CR496" s="169"/>
      <c r="CS496" s="169"/>
      <c r="CT496" s="169"/>
      <c r="CU496" s="169"/>
      <c r="CV496" s="169"/>
      <c r="CW496" s="169"/>
      <c r="CX496" s="169"/>
      <c r="CY496" s="169"/>
      <c r="CZ496" s="169"/>
      <c r="DA496" s="169"/>
      <c r="DB496" s="169"/>
      <c r="DC496" s="169"/>
      <c r="DD496" s="169"/>
      <c r="DE496" s="169"/>
      <c r="DF496" s="169"/>
      <c r="DG496" s="169"/>
      <c r="DH496" s="169"/>
      <c r="DI496" s="169"/>
      <c r="DJ496" s="169"/>
      <c r="DK496" s="169"/>
      <c r="DL496" s="169"/>
      <c r="DM496" s="169"/>
      <c r="DN496" s="169"/>
      <c r="DO496" s="169"/>
      <c r="DP496" s="169"/>
      <c r="DQ496" s="169"/>
      <c r="DR496" s="169"/>
      <c r="DS496" s="169"/>
      <c r="DT496" s="169"/>
      <c r="DU496" s="169"/>
      <c r="DV496" s="169"/>
      <c r="DW496" s="169"/>
      <c r="DX496" s="169"/>
      <c r="DY496" s="169"/>
      <c r="DZ496" s="169"/>
      <c r="EA496" s="169"/>
      <c r="EB496" s="169"/>
      <c r="EC496" s="169"/>
      <c r="ED496" s="169"/>
      <c r="EE496" s="169"/>
      <c r="EF496" s="169"/>
      <c r="EG496" s="169"/>
      <c r="EH496" s="169"/>
      <c r="EI496" s="169"/>
      <c r="EJ496" s="169"/>
      <c r="EK496" s="169"/>
      <c r="EL496" s="169"/>
      <c r="EM496" s="169"/>
      <c r="EN496" s="169"/>
      <c r="EO496" s="169"/>
      <c r="EP496" s="169"/>
      <c r="EQ496" s="169"/>
      <c r="ER496" s="169"/>
      <c r="ES496" s="169"/>
      <c r="ET496" s="169"/>
      <c r="EU496" s="169"/>
      <c r="EV496" s="169"/>
      <c r="EW496" s="169"/>
      <c r="EX496" s="169"/>
      <c r="EY496" s="169"/>
      <c r="EZ496" s="169"/>
      <c r="FA496" s="169"/>
      <c r="FB496" s="169"/>
      <c r="FC496" s="169"/>
      <c r="FD496" s="169"/>
      <c r="FE496" s="169"/>
      <c r="FF496" s="169"/>
      <c r="FG496" s="169"/>
      <c r="FH496" s="169"/>
      <c r="FI496" s="169"/>
      <c r="FJ496" s="169"/>
      <c r="FK496" s="169"/>
      <c r="FL496" s="169"/>
      <c r="FM496" s="169"/>
      <c r="FN496" s="169"/>
      <c r="FO496" s="169"/>
      <c r="FP496" s="169"/>
      <c r="FQ496" s="169"/>
      <c r="FR496" s="169"/>
      <c r="FS496" s="169"/>
      <c r="FT496" s="169"/>
      <c r="FU496" s="169"/>
      <c r="FV496" s="169"/>
      <c r="FW496" s="169"/>
      <c r="FX496" s="169"/>
      <c r="FY496" s="169"/>
      <c r="FZ496" s="169"/>
      <c r="GA496" s="169"/>
      <c r="GB496" s="169"/>
      <c r="GC496" s="169"/>
      <c r="GD496" s="169"/>
      <c r="GE496" s="169"/>
      <c r="GF496" s="169"/>
      <c r="GG496" s="169"/>
      <c r="GH496" s="169"/>
      <c r="GI496" s="169"/>
      <c r="GJ496" s="169"/>
    </row>
    <row r="497" spans="1:192" s="93" customFormat="1" ht="12.75" customHeight="1">
      <c r="A497" s="68"/>
      <c r="B497" s="677"/>
      <c r="C497" s="169"/>
      <c r="D497" s="169"/>
      <c r="E497" s="169"/>
      <c r="F497" s="169"/>
      <c r="G497" s="169"/>
      <c r="H497" s="169"/>
      <c r="I497" s="169"/>
      <c r="J497" s="169"/>
      <c r="K497" s="169"/>
      <c r="L497" s="169"/>
      <c r="M497" s="169"/>
      <c r="N497" s="169"/>
      <c r="O497" s="169"/>
      <c r="P497" s="169"/>
      <c r="Q497" s="169"/>
      <c r="R497" s="169"/>
      <c r="S497" s="169"/>
      <c r="T497" s="169"/>
      <c r="U497" s="169"/>
      <c r="V497" s="169"/>
      <c r="W497" s="169"/>
      <c r="X497" s="169"/>
      <c r="Y497" s="169"/>
      <c r="Z497" s="169"/>
      <c r="AA497" s="169"/>
      <c r="AB497" s="169"/>
      <c r="AC497" s="169"/>
      <c r="AD497" s="169"/>
      <c r="AE497" s="169"/>
      <c r="AF497" s="169"/>
      <c r="AG497" s="169"/>
      <c r="AH497" s="169"/>
      <c r="AI497" s="169"/>
      <c r="AJ497" s="169"/>
      <c r="AK497" s="169"/>
      <c r="AL497" s="169"/>
      <c r="AM497" s="169"/>
      <c r="AN497" s="169"/>
      <c r="AO497" s="169"/>
      <c r="AP497" s="169"/>
      <c r="AQ497" s="169"/>
      <c r="AR497" s="169"/>
      <c r="AS497" s="169"/>
      <c r="AT497" s="169"/>
      <c r="AU497" s="169"/>
      <c r="AV497" s="169"/>
      <c r="AW497" s="169"/>
      <c r="AX497" s="169"/>
      <c r="AY497" s="169"/>
      <c r="AZ497" s="169"/>
      <c r="BA497" s="169"/>
      <c r="BB497" s="169"/>
      <c r="BC497" s="169"/>
      <c r="BD497" s="169"/>
      <c r="BE497" s="169"/>
      <c r="BF497" s="169"/>
      <c r="BG497" s="169"/>
      <c r="BH497" s="169"/>
      <c r="BI497" s="169"/>
      <c r="BJ497" s="169"/>
      <c r="BK497" s="169"/>
      <c r="BL497" s="169"/>
      <c r="BM497" s="169"/>
      <c r="BN497" s="169"/>
      <c r="BO497" s="169"/>
      <c r="BP497" s="169"/>
      <c r="BQ497" s="169"/>
      <c r="BR497" s="169"/>
      <c r="BS497" s="169"/>
      <c r="BT497" s="169"/>
      <c r="BU497" s="169"/>
      <c r="BV497" s="169"/>
      <c r="BW497" s="169"/>
      <c r="BX497" s="169"/>
      <c r="BY497" s="169"/>
      <c r="BZ497" s="169"/>
      <c r="CA497" s="169"/>
      <c r="CB497" s="169"/>
      <c r="CC497" s="169"/>
      <c r="CD497" s="169"/>
      <c r="CE497" s="169"/>
      <c r="CF497" s="169"/>
      <c r="CG497" s="169"/>
      <c r="CH497" s="169"/>
      <c r="CI497" s="169"/>
      <c r="CJ497" s="169"/>
      <c r="CK497" s="169"/>
      <c r="CL497" s="169"/>
      <c r="CM497" s="169"/>
      <c r="CN497" s="169"/>
      <c r="CO497" s="169"/>
      <c r="CP497" s="169"/>
      <c r="CQ497" s="169"/>
      <c r="CR497" s="169"/>
      <c r="CS497" s="169"/>
      <c r="CT497" s="169"/>
      <c r="CU497" s="169"/>
      <c r="CV497" s="169"/>
      <c r="CW497" s="169"/>
      <c r="CX497" s="169"/>
      <c r="CY497" s="169"/>
      <c r="CZ497" s="169"/>
      <c r="DA497" s="169"/>
      <c r="DB497" s="169"/>
      <c r="DC497" s="169"/>
      <c r="DD497" s="169"/>
      <c r="DE497" s="169"/>
      <c r="DF497" s="169"/>
      <c r="DG497" s="169"/>
      <c r="DH497" s="169"/>
      <c r="DI497" s="169"/>
      <c r="DJ497" s="169"/>
      <c r="DK497" s="169"/>
      <c r="DL497" s="169"/>
      <c r="DM497" s="169"/>
      <c r="DN497" s="169"/>
      <c r="DO497" s="169"/>
      <c r="DP497" s="169"/>
      <c r="DQ497" s="169"/>
      <c r="DR497" s="169"/>
      <c r="DS497" s="169"/>
      <c r="DT497" s="169"/>
      <c r="DU497" s="169"/>
      <c r="DV497" s="169"/>
      <c r="DW497" s="169"/>
      <c r="DX497" s="169"/>
      <c r="DY497" s="169"/>
      <c r="DZ497" s="169"/>
      <c r="EA497" s="169"/>
      <c r="EB497" s="169"/>
      <c r="EC497" s="169"/>
      <c r="ED497" s="169"/>
      <c r="EE497" s="169"/>
      <c r="EF497" s="169"/>
      <c r="EG497" s="169"/>
      <c r="EH497" s="169"/>
      <c r="EI497" s="169"/>
      <c r="EJ497" s="169"/>
      <c r="EK497" s="169"/>
      <c r="EL497" s="169"/>
      <c r="EM497" s="169"/>
      <c r="EN497" s="169"/>
      <c r="EO497" s="169"/>
      <c r="EP497" s="169"/>
      <c r="EQ497" s="169"/>
      <c r="ER497" s="169"/>
      <c r="ES497" s="169"/>
      <c r="ET497" s="169"/>
      <c r="EU497" s="169"/>
      <c r="EV497" s="169"/>
      <c r="EW497" s="169"/>
      <c r="EX497" s="169"/>
      <c r="EY497" s="169"/>
      <c r="EZ497" s="169"/>
      <c r="FA497" s="169"/>
      <c r="FB497" s="169"/>
      <c r="FC497" s="169"/>
      <c r="FD497" s="169"/>
      <c r="FE497" s="169"/>
      <c r="FF497" s="169"/>
      <c r="FG497" s="169"/>
      <c r="FH497" s="169"/>
      <c r="FI497" s="169"/>
      <c r="FJ497" s="169"/>
      <c r="FK497" s="169"/>
      <c r="FL497" s="169"/>
      <c r="FM497" s="169"/>
      <c r="FN497" s="169"/>
      <c r="FO497" s="169"/>
      <c r="FP497" s="169"/>
      <c r="FQ497" s="169"/>
      <c r="FR497" s="169"/>
      <c r="FS497" s="169"/>
      <c r="FT497" s="169"/>
      <c r="FU497" s="169"/>
      <c r="FV497" s="169"/>
      <c r="FW497" s="169"/>
      <c r="FX497" s="169"/>
      <c r="FY497" s="169"/>
      <c r="FZ497" s="169"/>
      <c r="GA497" s="169"/>
      <c r="GB497" s="169"/>
      <c r="GC497" s="169"/>
      <c r="GD497" s="169"/>
      <c r="GE497" s="169"/>
      <c r="GF497" s="169"/>
      <c r="GG497" s="169"/>
      <c r="GH497" s="169"/>
      <c r="GI497" s="169"/>
      <c r="GJ497" s="169"/>
    </row>
    <row r="498" spans="1:192" s="93" customFormat="1" ht="12.75" customHeight="1">
      <c r="A498" s="68"/>
      <c r="B498" s="677"/>
      <c r="C498" s="169"/>
      <c r="D498" s="169"/>
      <c r="E498" s="169"/>
      <c r="F498" s="169"/>
      <c r="G498" s="169"/>
      <c r="H498" s="169"/>
      <c r="I498" s="169"/>
      <c r="J498" s="169"/>
      <c r="K498" s="169"/>
      <c r="L498" s="169"/>
      <c r="M498" s="169"/>
      <c r="N498" s="169"/>
      <c r="O498" s="169"/>
      <c r="P498" s="169"/>
      <c r="Q498" s="169"/>
      <c r="R498" s="169"/>
      <c r="S498" s="169"/>
      <c r="T498" s="169"/>
      <c r="U498" s="169"/>
      <c r="V498" s="169"/>
      <c r="W498" s="169"/>
      <c r="X498" s="169"/>
      <c r="Y498" s="169"/>
      <c r="Z498" s="169"/>
      <c r="AA498" s="169"/>
      <c r="AB498" s="169"/>
      <c r="AC498" s="169"/>
      <c r="AD498" s="169"/>
      <c r="AE498" s="169"/>
      <c r="AF498" s="169"/>
      <c r="AG498" s="169"/>
      <c r="AH498" s="169"/>
      <c r="AI498" s="169"/>
      <c r="AJ498" s="169"/>
      <c r="AK498" s="169"/>
      <c r="AL498" s="169"/>
      <c r="AM498" s="169"/>
      <c r="AN498" s="169"/>
      <c r="AO498" s="169"/>
      <c r="AP498" s="169"/>
      <c r="AQ498" s="169"/>
      <c r="AR498" s="169"/>
      <c r="AS498" s="169"/>
      <c r="AT498" s="169"/>
      <c r="AU498" s="169"/>
      <c r="AV498" s="169"/>
      <c r="AW498" s="169"/>
      <c r="AX498" s="169"/>
      <c r="AY498" s="169"/>
      <c r="AZ498" s="169"/>
      <c r="BA498" s="169"/>
      <c r="BB498" s="169"/>
      <c r="BC498" s="169"/>
      <c r="BD498" s="169"/>
      <c r="BE498" s="169"/>
      <c r="BF498" s="169"/>
      <c r="BG498" s="169"/>
      <c r="BH498" s="169"/>
      <c r="BI498" s="169"/>
      <c r="BJ498" s="169"/>
      <c r="BK498" s="169"/>
      <c r="BL498" s="169"/>
      <c r="BM498" s="169"/>
      <c r="BN498" s="169"/>
      <c r="BO498" s="169"/>
      <c r="BP498" s="169"/>
      <c r="BQ498" s="169"/>
      <c r="BR498" s="169"/>
      <c r="BS498" s="169"/>
      <c r="BT498" s="169"/>
      <c r="BU498" s="169"/>
      <c r="BV498" s="169"/>
      <c r="BW498" s="169"/>
      <c r="BX498" s="169"/>
      <c r="BY498" s="169"/>
      <c r="BZ498" s="169"/>
      <c r="CA498" s="169"/>
      <c r="CB498" s="169"/>
      <c r="CC498" s="169"/>
      <c r="CD498" s="169"/>
      <c r="CE498" s="169"/>
      <c r="CF498" s="169"/>
      <c r="CG498" s="169"/>
      <c r="CH498" s="169"/>
      <c r="CI498" s="169"/>
      <c r="CJ498" s="169"/>
      <c r="CK498" s="169"/>
      <c r="CL498" s="169"/>
      <c r="CM498" s="169"/>
      <c r="CN498" s="169"/>
      <c r="CO498" s="169"/>
      <c r="CP498" s="169"/>
      <c r="CQ498" s="169"/>
      <c r="CR498" s="169"/>
      <c r="CS498" s="169"/>
      <c r="CT498" s="169"/>
      <c r="CU498" s="169"/>
      <c r="CV498" s="169"/>
      <c r="CW498" s="169"/>
      <c r="CX498" s="169"/>
      <c r="CY498" s="169"/>
      <c r="CZ498" s="169"/>
      <c r="DA498" s="169"/>
      <c r="DB498" s="169"/>
      <c r="DC498" s="169"/>
      <c r="DD498" s="169"/>
      <c r="DE498" s="169"/>
      <c r="DF498" s="169"/>
      <c r="DG498" s="169"/>
      <c r="DH498" s="169"/>
      <c r="DI498" s="169"/>
      <c r="DJ498" s="169"/>
      <c r="DK498" s="169"/>
      <c r="DL498" s="169"/>
      <c r="DM498" s="169"/>
      <c r="DN498" s="169"/>
      <c r="DO498" s="169"/>
      <c r="DP498" s="169"/>
      <c r="DQ498" s="169"/>
      <c r="DR498" s="169"/>
      <c r="DS498" s="169"/>
      <c r="DT498" s="169"/>
      <c r="DU498" s="169"/>
      <c r="DV498" s="169"/>
      <c r="DW498" s="169"/>
      <c r="DX498" s="169"/>
      <c r="DY498" s="169"/>
      <c r="DZ498" s="169"/>
      <c r="EA498" s="169"/>
      <c r="EB498" s="169"/>
      <c r="EC498" s="169"/>
      <c r="ED498" s="169"/>
      <c r="EE498" s="169"/>
      <c r="EF498" s="169"/>
      <c r="EG498" s="169"/>
      <c r="EH498" s="169"/>
      <c r="EI498" s="169"/>
      <c r="EJ498" s="169"/>
      <c r="EK498" s="169"/>
      <c r="EL498" s="169"/>
      <c r="EM498" s="169"/>
      <c r="EN498" s="169"/>
      <c r="EO498" s="169"/>
      <c r="EP498" s="169"/>
      <c r="EQ498" s="169"/>
      <c r="ER498" s="169"/>
      <c r="ES498" s="169"/>
      <c r="ET498" s="169"/>
      <c r="EU498" s="169"/>
      <c r="EV498" s="169"/>
      <c r="EW498" s="169"/>
      <c r="EX498" s="169"/>
      <c r="EY498" s="169"/>
      <c r="EZ498" s="169"/>
      <c r="FA498" s="169"/>
      <c r="FB498" s="169"/>
      <c r="FC498" s="169"/>
      <c r="FD498" s="169"/>
      <c r="FE498" s="169"/>
      <c r="FF498" s="169"/>
      <c r="FG498" s="169"/>
      <c r="FH498" s="169"/>
      <c r="FI498" s="169"/>
      <c r="FJ498" s="169"/>
      <c r="FK498" s="169"/>
      <c r="FL498" s="169"/>
      <c r="FM498" s="169"/>
      <c r="FN498" s="169"/>
      <c r="FO498" s="169"/>
      <c r="FP498" s="169"/>
      <c r="FQ498" s="169"/>
      <c r="FR498" s="169"/>
      <c r="FS498" s="169"/>
      <c r="FT498" s="169"/>
      <c r="FU498" s="169"/>
      <c r="FV498" s="169"/>
      <c r="FW498" s="169"/>
      <c r="FX498" s="169"/>
      <c r="FY498" s="169"/>
      <c r="FZ498" s="169"/>
      <c r="GA498" s="169"/>
      <c r="GB498" s="169"/>
      <c r="GC498" s="169"/>
      <c r="GD498" s="169"/>
      <c r="GE498" s="169"/>
      <c r="GF498" s="169"/>
      <c r="GG498" s="169"/>
      <c r="GH498" s="169"/>
      <c r="GI498" s="169"/>
      <c r="GJ498" s="169"/>
    </row>
    <row r="499" spans="1:192" s="93" customFormat="1" ht="12.75" customHeight="1">
      <c r="A499" s="68"/>
      <c r="B499" s="677"/>
      <c r="C499" s="169"/>
      <c r="D499" s="169"/>
      <c r="E499" s="169"/>
      <c r="F499" s="169"/>
      <c r="G499" s="169"/>
      <c r="H499" s="169"/>
      <c r="I499" s="169"/>
      <c r="J499" s="169"/>
      <c r="K499" s="169"/>
      <c r="L499" s="169"/>
      <c r="M499" s="169"/>
      <c r="N499" s="169"/>
      <c r="O499" s="169"/>
      <c r="P499" s="169"/>
      <c r="Q499" s="169"/>
      <c r="R499" s="169"/>
      <c r="S499" s="169"/>
      <c r="T499" s="169"/>
      <c r="U499" s="169"/>
      <c r="V499" s="169"/>
      <c r="W499" s="169"/>
      <c r="X499" s="169"/>
      <c r="Y499" s="169"/>
      <c r="Z499" s="169"/>
      <c r="AA499" s="169"/>
      <c r="AB499" s="169"/>
      <c r="AC499" s="169"/>
      <c r="AD499" s="169"/>
      <c r="AE499" s="169"/>
      <c r="AF499" s="169"/>
      <c r="AG499" s="169"/>
      <c r="AH499" s="169"/>
      <c r="AI499" s="169"/>
      <c r="AJ499" s="169"/>
      <c r="AK499" s="169"/>
      <c r="AL499" s="169"/>
      <c r="AM499" s="169"/>
      <c r="AN499" s="169"/>
      <c r="AO499" s="169"/>
      <c r="AP499" s="169"/>
      <c r="AQ499" s="169"/>
      <c r="AR499" s="169"/>
      <c r="AS499" s="169"/>
      <c r="AT499" s="169"/>
      <c r="AU499" s="169"/>
      <c r="AV499" s="169"/>
      <c r="AW499" s="169"/>
      <c r="AX499" s="169"/>
      <c r="AY499" s="169"/>
      <c r="AZ499" s="169"/>
      <c r="BA499" s="169"/>
      <c r="BB499" s="169"/>
      <c r="BC499" s="169"/>
      <c r="BD499" s="169"/>
      <c r="BE499" s="169"/>
      <c r="BF499" s="169"/>
      <c r="BG499" s="169"/>
      <c r="BH499" s="169"/>
      <c r="BI499" s="169"/>
      <c r="BJ499" s="169"/>
      <c r="BK499" s="169"/>
      <c r="BL499" s="169"/>
      <c r="BM499" s="169"/>
      <c r="BN499" s="169"/>
      <c r="BO499" s="169"/>
      <c r="BP499" s="169"/>
      <c r="BQ499" s="169"/>
      <c r="BR499" s="169"/>
      <c r="BS499" s="169"/>
      <c r="BT499" s="169"/>
      <c r="BU499" s="169"/>
      <c r="BV499" s="169"/>
      <c r="BW499" s="169"/>
      <c r="BX499" s="169"/>
      <c r="BY499" s="169"/>
      <c r="BZ499" s="169"/>
      <c r="CA499" s="169"/>
      <c r="CB499" s="169"/>
      <c r="CC499" s="169"/>
      <c r="CD499" s="169"/>
      <c r="CE499" s="169"/>
      <c r="CF499" s="169"/>
      <c r="CG499" s="169"/>
      <c r="CH499" s="169"/>
      <c r="CI499" s="169"/>
      <c r="CJ499" s="169"/>
      <c r="CK499" s="169"/>
      <c r="CL499" s="169"/>
      <c r="CM499" s="169"/>
      <c r="CN499" s="169"/>
      <c r="CO499" s="169"/>
      <c r="CP499" s="169"/>
      <c r="CQ499" s="169"/>
      <c r="CR499" s="169"/>
      <c r="CS499" s="169"/>
      <c r="CT499" s="169"/>
      <c r="CU499" s="169"/>
      <c r="CV499" s="169"/>
      <c r="CW499" s="169"/>
      <c r="CX499" s="169"/>
      <c r="CY499" s="169"/>
      <c r="CZ499" s="169"/>
      <c r="DA499" s="169"/>
      <c r="DB499" s="169"/>
      <c r="DC499" s="169"/>
      <c r="DD499" s="169"/>
      <c r="DE499" s="169"/>
      <c r="DF499" s="169"/>
      <c r="DG499" s="169"/>
      <c r="DH499" s="169"/>
      <c r="DI499" s="169"/>
      <c r="DJ499" s="169"/>
      <c r="DK499" s="169"/>
      <c r="DL499" s="169"/>
      <c r="DM499" s="169"/>
      <c r="DN499" s="169"/>
      <c r="DO499" s="169"/>
      <c r="DP499" s="169"/>
      <c r="DQ499" s="169"/>
      <c r="DR499" s="169"/>
      <c r="DS499" s="169"/>
      <c r="DT499" s="169"/>
      <c r="DU499" s="169"/>
      <c r="DV499" s="169"/>
      <c r="DW499" s="169"/>
      <c r="DX499" s="169"/>
      <c r="DY499" s="169"/>
      <c r="DZ499" s="169"/>
      <c r="EA499" s="169"/>
      <c r="EB499" s="169"/>
      <c r="EC499" s="169"/>
      <c r="ED499" s="169"/>
      <c r="EE499" s="169"/>
      <c r="EF499" s="169"/>
      <c r="EG499" s="169"/>
      <c r="EH499" s="169"/>
      <c r="EI499" s="169"/>
      <c r="EJ499" s="169"/>
      <c r="EK499" s="169"/>
      <c r="EL499" s="169"/>
      <c r="EM499" s="169"/>
      <c r="EN499" s="169"/>
      <c r="EO499" s="169"/>
      <c r="EP499" s="169"/>
      <c r="EQ499" s="169"/>
      <c r="ER499" s="169"/>
      <c r="ES499" s="169"/>
      <c r="ET499" s="169"/>
      <c r="EU499" s="169"/>
      <c r="EV499" s="169"/>
      <c r="EW499" s="169"/>
      <c r="EX499" s="169"/>
      <c r="EY499" s="169"/>
      <c r="EZ499" s="169"/>
      <c r="FA499" s="169"/>
      <c r="FB499" s="169"/>
      <c r="FC499" s="169"/>
      <c r="FD499" s="169"/>
      <c r="FE499" s="169"/>
      <c r="FF499" s="169"/>
      <c r="FG499" s="169"/>
      <c r="FH499" s="169"/>
      <c r="FI499" s="169"/>
      <c r="FJ499" s="169"/>
      <c r="FK499" s="169"/>
      <c r="FL499" s="169"/>
      <c r="FM499" s="169"/>
      <c r="FN499" s="169"/>
      <c r="FO499" s="169"/>
      <c r="FP499" s="169"/>
      <c r="FQ499" s="169"/>
      <c r="FR499" s="169"/>
      <c r="FS499" s="169"/>
      <c r="FT499" s="169"/>
      <c r="FU499" s="169"/>
      <c r="FV499" s="169"/>
      <c r="FW499" s="169"/>
      <c r="FX499" s="169"/>
      <c r="FY499" s="169"/>
      <c r="FZ499" s="169"/>
      <c r="GA499" s="169"/>
      <c r="GB499" s="169"/>
      <c r="GC499" s="169"/>
      <c r="GD499" s="169"/>
      <c r="GE499" s="169"/>
      <c r="GF499" s="169"/>
      <c r="GG499" s="169"/>
      <c r="GH499" s="169"/>
      <c r="GI499" s="169"/>
      <c r="GJ499" s="169"/>
    </row>
    <row r="500" spans="1:192" s="93" customFormat="1" ht="12.75" customHeight="1">
      <c r="A500" s="68"/>
      <c r="B500" s="677"/>
      <c r="C500" s="225"/>
      <c r="D500" s="225"/>
      <c r="E500" s="225"/>
      <c r="F500" s="225"/>
      <c r="G500" s="225"/>
      <c r="H500" s="225"/>
      <c r="I500" s="225"/>
      <c r="J500" s="225"/>
      <c r="K500" s="225"/>
      <c r="L500" s="225"/>
      <c r="M500" s="225"/>
      <c r="N500" s="225"/>
      <c r="O500" s="225"/>
      <c r="P500" s="225"/>
      <c r="Q500" s="225"/>
      <c r="R500" s="225"/>
      <c r="S500" s="225"/>
      <c r="T500" s="225"/>
      <c r="U500" s="225"/>
      <c r="V500" s="225"/>
      <c r="W500" s="225"/>
      <c r="X500" s="225"/>
      <c r="Y500" s="225"/>
      <c r="Z500" s="225"/>
      <c r="AA500" s="225"/>
      <c r="AB500" s="225"/>
      <c r="AC500" s="225"/>
      <c r="AD500" s="225"/>
      <c r="AE500" s="225"/>
      <c r="AF500" s="225"/>
      <c r="AG500" s="225"/>
      <c r="AH500" s="225"/>
      <c r="AI500" s="225"/>
      <c r="AJ500" s="225"/>
      <c r="AK500" s="225"/>
      <c r="AL500" s="225"/>
      <c r="AM500" s="225"/>
      <c r="AN500" s="225"/>
      <c r="AO500" s="225"/>
      <c r="AP500" s="225"/>
      <c r="AQ500" s="225"/>
      <c r="AR500" s="225"/>
      <c r="AS500" s="225"/>
      <c r="AT500" s="225"/>
      <c r="AU500" s="225"/>
      <c r="AV500" s="225"/>
      <c r="AW500" s="225"/>
      <c r="AX500" s="225"/>
      <c r="AY500" s="225"/>
      <c r="AZ500" s="225"/>
      <c r="BA500" s="225"/>
      <c r="BB500" s="225"/>
      <c r="BC500" s="225"/>
      <c r="BD500" s="225"/>
      <c r="BE500" s="225"/>
      <c r="BF500" s="225"/>
      <c r="BG500" s="225"/>
      <c r="BH500" s="225"/>
      <c r="BI500" s="225"/>
      <c r="BJ500" s="225"/>
      <c r="BK500" s="225"/>
      <c r="BL500" s="225"/>
      <c r="BM500" s="225"/>
      <c r="BN500" s="225"/>
      <c r="BO500" s="225"/>
      <c r="BP500" s="225"/>
      <c r="BQ500" s="225"/>
      <c r="BR500" s="225"/>
      <c r="BS500" s="225"/>
      <c r="BT500" s="225"/>
      <c r="BU500" s="225"/>
      <c r="BV500" s="225"/>
      <c r="BW500" s="225"/>
      <c r="BX500" s="225"/>
      <c r="BY500" s="225"/>
      <c r="BZ500" s="225"/>
      <c r="CA500" s="225"/>
      <c r="CB500" s="225"/>
      <c r="CC500" s="225"/>
      <c r="CD500" s="225"/>
      <c r="CE500" s="225"/>
      <c r="CF500" s="225"/>
      <c r="CG500" s="225"/>
      <c r="CH500" s="225"/>
      <c r="CI500" s="225"/>
      <c r="CJ500" s="225"/>
      <c r="CK500" s="225"/>
      <c r="CL500" s="225"/>
      <c r="CM500" s="225"/>
      <c r="CN500" s="225"/>
      <c r="CO500" s="225"/>
      <c r="CP500" s="225"/>
      <c r="CQ500" s="225"/>
      <c r="CR500" s="225"/>
      <c r="CS500" s="225"/>
      <c r="CT500" s="225"/>
      <c r="CU500" s="225"/>
      <c r="CV500" s="225"/>
      <c r="CW500" s="225"/>
      <c r="CX500" s="225"/>
      <c r="CY500" s="225"/>
      <c r="CZ500" s="225"/>
      <c r="DA500" s="225"/>
      <c r="DB500" s="225"/>
      <c r="DC500" s="225"/>
      <c r="DD500" s="225"/>
      <c r="DE500" s="225"/>
      <c r="DF500" s="225"/>
      <c r="DG500" s="225"/>
      <c r="DH500" s="225"/>
      <c r="DI500" s="225"/>
      <c r="DJ500" s="225"/>
      <c r="DK500" s="225"/>
      <c r="DL500" s="225"/>
      <c r="DM500" s="225"/>
      <c r="DN500" s="225"/>
      <c r="DO500" s="225"/>
      <c r="DP500" s="225"/>
      <c r="DQ500" s="225"/>
      <c r="DR500" s="225"/>
      <c r="DS500" s="225"/>
      <c r="DT500" s="225"/>
      <c r="DU500" s="225"/>
      <c r="DV500" s="225"/>
      <c r="DW500" s="225"/>
      <c r="DX500" s="225"/>
      <c r="DY500" s="225"/>
      <c r="DZ500" s="225"/>
      <c r="EA500" s="225"/>
      <c r="EB500" s="225"/>
      <c r="EC500" s="225"/>
      <c r="ED500" s="225"/>
      <c r="EE500" s="225"/>
      <c r="EF500" s="225"/>
      <c r="EG500" s="225"/>
      <c r="EH500" s="225"/>
      <c r="EI500" s="225"/>
      <c r="EJ500" s="225"/>
      <c r="EK500" s="225"/>
      <c r="EL500" s="225"/>
      <c r="EM500" s="225"/>
      <c r="EN500" s="225"/>
      <c r="EO500" s="225"/>
      <c r="EP500" s="225"/>
      <c r="EQ500" s="225"/>
      <c r="ER500" s="225"/>
      <c r="ES500" s="225"/>
      <c r="ET500" s="225"/>
      <c r="EU500" s="225"/>
      <c r="EV500" s="225"/>
      <c r="EW500" s="225"/>
      <c r="EX500" s="225"/>
      <c r="EY500" s="225"/>
      <c r="EZ500" s="225"/>
      <c r="FA500" s="225"/>
      <c r="FB500" s="225"/>
      <c r="FC500" s="225"/>
      <c r="FD500" s="225"/>
      <c r="FE500" s="225"/>
      <c r="FF500" s="225"/>
      <c r="FG500" s="225"/>
      <c r="FH500" s="225"/>
      <c r="FI500" s="225"/>
      <c r="FJ500" s="225"/>
      <c r="FK500" s="225"/>
      <c r="FL500" s="225"/>
      <c r="FM500" s="225"/>
      <c r="FN500" s="225"/>
      <c r="FO500" s="225"/>
      <c r="FP500" s="225"/>
      <c r="FQ500" s="225"/>
      <c r="FR500" s="225"/>
      <c r="FS500" s="225"/>
      <c r="FT500" s="225"/>
      <c r="FU500" s="225"/>
      <c r="FV500" s="225"/>
      <c r="FW500" s="225"/>
      <c r="FX500" s="225"/>
      <c r="FY500" s="225"/>
      <c r="FZ500" s="225"/>
      <c r="GA500" s="225"/>
      <c r="GB500" s="225"/>
      <c r="GC500" s="225"/>
      <c r="GD500" s="225"/>
      <c r="GE500" s="225"/>
      <c r="GF500" s="225"/>
      <c r="GG500" s="225"/>
      <c r="GH500" s="225"/>
      <c r="GI500" s="225"/>
      <c r="GJ500" s="225"/>
    </row>
    <row r="501" spans="1:192" s="93" customFormat="1" ht="12.75" customHeight="1">
      <c r="A501" s="68"/>
      <c r="B501" s="677"/>
      <c r="C501" s="106"/>
      <c r="D501" s="106"/>
      <c r="E501" s="106"/>
      <c r="F501" s="106"/>
      <c r="G501" s="106"/>
      <c r="H501" s="106"/>
      <c r="I501" s="106"/>
      <c r="J501" s="106"/>
      <c r="K501" s="106"/>
      <c r="L501" s="106"/>
      <c r="M501" s="106"/>
      <c r="N501" s="106"/>
      <c r="O501" s="106"/>
      <c r="P501" s="106"/>
      <c r="Q501" s="106"/>
      <c r="R501" s="106"/>
      <c r="S501" s="106"/>
      <c r="T501" s="106"/>
      <c r="U501" s="106"/>
      <c r="V501" s="106"/>
      <c r="W501" s="106"/>
      <c r="X501" s="106"/>
      <c r="Y501" s="106"/>
      <c r="Z501" s="106"/>
      <c r="AA501" s="106"/>
      <c r="AB501" s="106"/>
      <c r="AC501" s="106"/>
      <c r="AD501" s="106"/>
      <c r="AE501" s="106"/>
      <c r="AF501" s="106"/>
      <c r="AG501" s="106"/>
      <c r="AH501" s="106"/>
      <c r="AI501" s="106"/>
      <c r="AJ501" s="106"/>
      <c r="AK501" s="106"/>
      <c r="AL501" s="106"/>
      <c r="AM501" s="106"/>
      <c r="AN501" s="106"/>
      <c r="AO501" s="106"/>
      <c r="AP501" s="106"/>
      <c r="AQ501" s="106"/>
      <c r="AR501" s="106"/>
      <c r="AS501" s="106"/>
      <c r="AT501" s="106"/>
      <c r="AU501" s="106"/>
      <c r="AV501" s="106"/>
      <c r="AW501" s="106"/>
      <c r="AX501" s="106"/>
      <c r="AY501" s="106"/>
      <c r="AZ501" s="106"/>
      <c r="BA501" s="106"/>
      <c r="BB501" s="106"/>
      <c r="BC501" s="106"/>
      <c r="BD501" s="106"/>
      <c r="BE501" s="106"/>
      <c r="BF501" s="106"/>
      <c r="BG501" s="106"/>
      <c r="BH501" s="106"/>
      <c r="BI501" s="106"/>
      <c r="BJ501" s="106"/>
      <c r="BK501" s="106"/>
      <c r="BL501" s="106"/>
      <c r="BM501" s="106"/>
      <c r="BN501" s="106"/>
      <c r="BO501" s="106"/>
      <c r="BP501" s="106"/>
      <c r="BQ501" s="106"/>
      <c r="BR501" s="106"/>
      <c r="BS501" s="106"/>
      <c r="BT501" s="106"/>
      <c r="BU501" s="106"/>
      <c r="BV501" s="106"/>
      <c r="BW501" s="106"/>
      <c r="BX501" s="106"/>
      <c r="BY501" s="106"/>
      <c r="BZ501" s="106"/>
      <c r="CA501" s="106"/>
      <c r="CB501" s="106"/>
      <c r="CC501" s="106"/>
      <c r="CD501" s="106"/>
      <c r="CE501" s="106"/>
      <c r="CF501" s="106"/>
      <c r="CG501" s="106"/>
      <c r="CH501" s="106"/>
      <c r="CI501" s="106"/>
      <c r="CJ501" s="106"/>
      <c r="CK501" s="106"/>
      <c r="CL501" s="106"/>
      <c r="CM501" s="106"/>
      <c r="CN501" s="106"/>
      <c r="CO501" s="106"/>
      <c r="CP501" s="106"/>
      <c r="CQ501" s="106"/>
      <c r="CR501" s="106"/>
      <c r="CS501" s="106"/>
      <c r="CT501" s="106"/>
      <c r="CU501" s="106"/>
      <c r="CV501" s="106"/>
      <c r="CW501" s="106"/>
      <c r="CX501" s="106"/>
      <c r="CY501" s="106"/>
      <c r="CZ501" s="106"/>
      <c r="DA501" s="106"/>
      <c r="DB501" s="106"/>
      <c r="DC501" s="106"/>
      <c r="DD501" s="106"/>
      <c r="DE501" s="106"/>
      <c r="DF501" s="106"/>
      <c r="DG501" s="106"/>
      <c r="DH501" s="106"/>
      <c r="DI501" s="106"/>
      <c r="DJ501" s="106"/>
      <c r="DK501" s="106"/>
      <c r="DL501" s="106"/>
      <c r="DM501" s="106"/>
      <c r="DN501" s="106"/>
      <c r="DO501" s="106"/>
      <c r="DP501" s="106"/>
      <c r="DQ501" s="106"/>
      <c r="DR501" s="106"/>
      <c r="DS501" s="106"/>
      <c r="DT501" s="106"/>
      <c r="DU501" s="106"/>
      <c r="DV501" s="106"/>
      <c r="DW501" s="106"/>
      <c r="DX501" s="106"/>
      <c r="DY501" s="106"/>
      <c r="DZ501" s="106"/>
      <c r="EA501" s="106"/>
      <c r="EB501" s="106"/>
      <c r="EC501" s="106"/>
      <c r="ED501" s="106"/>
      <c r="EE501" s="106"/>
      <c r="EF501" s="106"/>
      <c r="EG501" s="106"/>
      <c r="EH501" s="106"/>
      <c r="EI501" s="106"/>
      <c r="EJ501" s="106"/>
      <c r="EK501" s="106"/>
      <c r="EL501" s="106"/>
      <c r="EM501" s="106"/>
      <c r="EN501" s="106"/>
      <c r="EO501" s="106"/>
      <c r="EP501" s="106"/>
      <c r="EQ501" s="106"/>
      <c r="ER501" s="106"/>
      <c r="ES501" s="106"/>
      <c r="ET501" s="106"/>
      <c r="EU501" s="106"/>
      <c r="EV501" s="106"/>
      <c r="EW501" s="106"/>
      <c r="EX501" s="106"/>
      <c r="EY501" s="106"/>
      <c r="EZ501" s="106"/>
      <c r="FA501" s="106"/>
      <c r="FB501" s="106"/>
      <c r="FC501" s="106"/>
      <c r="FD501" s="106"/>
      <c r="FE501" s="106"/>
      <c r="FF501" s="106"/>
      <c r="FG501" s="106"/>
      <c r="FH501" s="106"/>
      <c r="FI501" s="106"/>
      <c r="FJ501" s="106"/>
      <c r="FK501" s="106"/>
      <c r="FL501" s="106"/>
      <c r="FM501" s="106"/>
      <c r="FN501" s="106"/>
      <c r="FO501" s="106"/>
      <c r="FP501" s="106"/>
      <c r="FQ501" s="106"/>
      <c r="FR501" s="106"/>
      <c r="FS501" s="106"/>
      <c r="FT501" s="106"/>
      <c r="FU501" s="106"/>
      <c r="FV501" s="106"/>
      <c r="FW501" s="106"/>
      <c r="FX501" s="106"/>
      <c r="FY501" s="106"/>
      <c r="FZ501" s="106"/>
      <c r="GA501" s="106"/>
      <c r="GB501" s="106"/>
      <c r="GC501" s="106"/>
      <c r="GD501" s="106"/>
      <c r="GE501" s="106"/>
      <c r="GF501" s="106"/>
      <c r="GG501" s="106"/>
      <c r="GH501" s="106"/>
      <c r="GI501" s="106"/>
      <c r="GJ501" s="106"/>
    </row>
    <row r="502" spans="1:192" s="93" customFormat="1" ht="12.75" customHeight="1">
      <c r="A502" s="68"/>
      <c r="B502" s="677"/>
      <c r="C502" s="106"/>
      <c r="D502" s="106"/>
      <c r="E502" s="106"/>
      <c r="F502" s="106"/>
      <c r="G502" s="106"/>
      <c r="H502" s="106"/>
      <c r="I502" s="106"/>
      <c r="J502" s="106"/>
      <c r="K502" s="106"/>
      <c r="L502" s="106"/>
      <c r="M502" s="106"/>
      <c r="N502" s="106"/>
      <c r="O502" s="106"/>
      <c r="P502" s="106"/>
      <c r="Q502" s="106"/>
      <c r="R502" s="106"/>
      <c r="S502" s="106"/>
      <c r="T502" s="106"/>
      <c r="U502" s="106"/>
      <c r="V502" s="106"/>
      <c r="W502" s="106"/>
      <c r="X502" s="106"/>
      <c r="Y502" s="106"/>
      <c r="Z502" s="106"/>
      <c r="AA502" s="106"/>
      <c r="AB502" s="106"/>
      <c r="AC502" s="106"/>
      <c r="AD502" s="106"/>
      <c r="AE502" s="106"/>
      <c r="AF502" s="106"/>
      <c r="AG502" s="106"/>
      <c r="AH502" s="106"/>
      <c r="AI502" s="106"/>
      <c r="AJ502" s="106"/>
      <c r="AK502" s="106"/>
      <c r="AL502" s="106"/>
      <c r="AM502" s="106"/>
      <c r="AN502" s="106"/>
      <c r="AO502" s="106"/>
      <c r="AP502" s="106"/>
      <c r="AQ502" s="106"/>
      <c r="AR502" s="106"/>
      <c r="AS502" s="106"/>
      <c r="AT502" s="106"/>
      <c r="AU502" s="106"/>
      <c r="AV502" s="106"/>
      <c r="AW502" s="106"/>
      <c r="AX502" s="106"/>
      <c r="AY502" s="106"/>
      <c r="AZ502" s="106"/>
      <c r="BA502" s="106"/>
      <c r="BB502" s="106"/>
      <c r="BC502" s="106"/>
      <c r="BD502" s="106"/>
      <c r="BE502" s="106"/>
      <c r="BF502" s="106"/>
      <c r="BG502" s="106"/>
      <c r="BH502" s="106"/>
      <c r="BI502" s="106"/>
      <c r="BJ502" s="106"/>
      <c r="BK502" s="106"/>
      <c r="BL502" s="106"/>
      <c r="BM502" s="106"/>
      <c r="BN502" s="106"/>
      <c r="BO502" s="106"/>
      <c r="BP502" s="106"/>
      <c r="BQ502" s="106"/>
      <c r="BR502" s="106"/>
      <c r="BS502" s="106"/>
      <c r="BT502" s="106"/>
      <c r="BU502" s="106"/>
      <c r="BV502" s="106"/>
      <c r="BW502" s="106"/>
      <c r="BX502" s="106"/>
      <c r="BY502" s="106"/>
      <c r="BZ502" s="106"/>
      <c r="CA502" s="106"/>
      <c r="CB502" s="106"/>
      <c r="CC502" s="106"/>
      <c r="CD502" s="106"/>
      <c r="CE502" s="106"/>
      <c r="CF502" s="106"/>
      <c r="CG502" s="106"/>
      <c r="CH502" s="106"/>
      <c r="CI502" s="106"/>
      <c r="CJ502" s="106"/>
      <c r="CK502" s="106"/>
      <c r="CL502" s="106"/>
      <c r="CM502" s="106"/>
      <c r="CN502" s="106"/>
      <c r="CO502" s="106"/>
      <c r="CP502" s="106"/>
      <c r="CQ502" s="106"/>
      <c r="CR502" s="106"/>
      <c r="CS502" s="106"/>
      <c r="CT502" s="106"/>
      <c r="CU502" s="106"/>
      <c r="CV502" s="106"/>
      <c r="CW502" s="106"/>
      <c r="CX502" s="106"/>
      <c r="CY502" s="106"/>
      <c r="CZ502" s="106"/>
      <c r="DA502" s="106"/>
      <c r="DB502" s="106"/>
      <c r="DC502" s="106"/>
      <c r="DD502" s="106"/>
      <c r="DE502" s="106"/>
      <c r="DF502" s="106"/>
      <c r="DG502" s="106"/>
      <c r="DH502" s="106"/>
      <c r="DI502" s="106"/>
      <c r="DJ502" s="106"/>
      <c r="DK502" s="106"/>
      <c r="DL502" s="106"/>
      <c r="DM502" s="106"/>
      <c r="DN502" s="106"/>
      <c r="DO502" s="106"/>
      <c r="DP502" s="106"/>
      <c r="DQ502" s="106"/>
      <c r="DR502" s="106"/>
      <c r="DS502" s="106"/>
      <c r="DT502" s="106"/>
      <c r="DU502" s="106"/>
      <c r="DV502" s="106"/>
      <c r="DW502" s="106"/>
      <c r="DX502" s="106"/>
      <c r="DY502" s="106"/>
      <c r="DZ502" s="106"/>
      <c r="EA502" s="106"/>
      <c r="EB502" s="106"/>
      <c r="EC502" s="106"/>
      <c r="ED502" s="106"/>
      <c r="EE502" s="106"/>
      <c r="EF502" s="106"/>
      <c r="EG502" s="106"/>
      <c r="EH502" s="106"/>
      <c r="EI502" s="106"/>
      <c r="EJ502" s="106"/>
      <c r="EK502" s="106"/>
      <c r="EL502" s="106"/>
      <c r="EM502" s="106"/>
      <c r="EN502" s="106"/>
      <c r="EO502" s="106"/>
      <c r="EP502" s="106"/>
      <c r="EQ502" s="106"/>
      <c r="ER502" s="106"/>
      <c r="ES502" s="106"/>
      <c r="ET502" s="106"/>
      <c r="EU502" s="106"/>
      <c r="EV502" s="106"/>
      <c r="EW502" s="106"/>
      <c r="EX502" s="106"/>
      <c r="EY502" s="106"/>
      <c r="EZ502" s="106"/>
      <c r="FA502" s="106"/>
      <c r="FB502" s="106"/>
      <c r="FC502" s="106"/>
      <c r="FD502" s="106"/>
      <c r="FE502" s="106"/>
      <c r="FF502" s="106"/>
      <c r="FG502" s="106"/>
      <c r="FH502" s="106"/>
      <c r="FI502" s="106"/>
      <c r="FJ502" s="106"/>
      <c r="FK502" s="106"/>
      <c r="FL502" s="106"/>
      <c r="FM502" s="106"/>
      <c r="FN502" s="106"/>
      <c r="FO502" s="106"/>
      <c r="FP502" s="106"/>
      <c r="FQ502" s="106"/>
      <c r="FR502" s="106"/>
      <c r="FS502" s="106"/>
      <c r="FT502" s="106"/>
      <c r="FU502" s="106"/>
      <c r="FV502" s="106"/>
      <c r="FW502" s="106"/>
      <c r="FX502" s="106"/>
      <c r="FY502" s="106"/>
      <c r="FZ502" s="106"/>
      <c r="GA502" s="106"/>
      <c r="GB502" s="106"/>
      <c r="GC502" s="106"/>
      <c r="GD502" s="106"/>
      <c r="GE502" s="106"/>
      <c r="GF502" s="106"/>
      <c r="GG502" s="106"/>
      <c r="GH502" s="106"/>
      <c r="GI502" s="106"/>
      <c r="GJ502" s="106"/>
    </row>
    <row r="503" spans="1:192" s="93" customFormat="1" ht="12.75" customHeight="1">
      <c r="A503" s="68"/>
      <c r="B503" s="677"/>
      <c r="C503" s="225"/>
      <c r="D503" s="225"/>
      <c r="E503" s="225"/>
      <c r="F503" s="225"/>
      <c r="G503" s="225"/>
      <c r="H503" s="225"/>
      <c r="I503" s="225"/>
      <c r="J503" s="225"/>
      <c r="K503" s="225"/>
      <c r="L503" s="225"/>
      <c r="M503" s="225"/>
      <c r="N503" s="225"/>
      <c r="O503" s="225"/>
      <c r="P503" s="225"/>
      <c r="Q503" s="225"/>
      <c r="R503" s="225"/>
      <c r="S503" s="225"/>
      <c r="T503" s="225"/>
      <c r="U503" s="225"/>
      <c r="V503" s="225"/>
      <c r="W503" s="225"/>
      <c r="X503" s="225"/>
      <c r="Y503" s="225"/>
      <c r="Z503" s="225"/>
      <c r="AA503" s="225"/>
      <c r="AB503" s="225"/>
      <c r="AC503" s="225"/>
      <c r="AD503" s="225"/>
      <c r="AE503" s="225"/>
      <c r="AF503" s="225"/>
      <c r="AG503" s="225"/>
      <c r="AH503" s="225"/>
      <c r="AI503" s="225"/>
      <c r="AJ503" s="225"/>
      <c r="AK503" s="225"/>
      <c r="AL503" s="225"/>
      <c r="AM503" s="225"/>
      <c r="AN503" s="225"/>
      <c r="AO503" s="225"/>
      <c r="AP503" s="225"/>
      <c r="AQ503" s="225"/>
      <c r="AR503" s="225"/>
      <c r="AS503" s="225"/>
      <c r="AT503" s="225"/>
      <c r="AU503" s="225"/>
      <c r="AV503" s="225"/>
      <c r="AW503" s="225"/>
      <c r="AX503" s="225"/>
      <c r="AY503" s="225"/>
      <c r="AZ503" s="225"/>
      <c r="BA503" s="225"/>
      <c r="BB503" s="225"/>
      <c r="BC503" s="225"/>
      <c r="BD503" s="225"/>
      <c r="BE503" s="225"/>
      <c r="BF503" s="225"/>
      <c r="BG503" s="225"/>
      <c r="BH503" s="225"/>
      <c r="BI503" s="225"/>
      <c r="BJ503" s="225"/>
      <c r="BK503" s="225"/>
      <c r="BL503" s="225"/>
      <c r="BM503" s="225"/>
      <c r="BN503" s="225"/>
      <c r="BO503" s="225"/>
      <c r="BP503" s="225"/>
      <c r="BQ503" s="225"/>
      <c r="BR503" s="225"/>
      <c r="BS503" s="225"/>
      <c r="BT503" s="225"/>
      <c r="BU503" s="225"/>
      <c r="BV503" s="225"/>
      <c r="BW503" s="225"/>
      <c r="BX503" s="225"/>
      <c r="BY503" s="225"/>
      <c r="BZ503" s="225"/>
      <c r="CA503" s="225"/>
      <c r="CB503" s="225"/>
      <c r="CC503" s="225"/>
      <c r="CD503" s="225"/>
      <c r="CE503" s="225"/>
      <c r="CF503" s="225"/>
      <c r="CG503" s="225"/>
      <c r="CH503" s="225"/>
      <c r="CI503" s="225"/>
      <c r="CJ503" s="225"/>
      <c r="CK503" s="225"/>
      <c r="CL503" s="225"/>
      <c r="CM503" s="225"/>
      <c r="CN503" s="225"/>
      <c r="CO503" s="225"/>
      <c r="CP503" s="225"/>
      <c r="CQ503" s="225"/>
      <c r="CR503" s="225"/>
      <c r="CS503" s="225"/>
      <c r="CT503" s="225"/>
      <c r="CU503" s="225"/>
      <c r="CV503" s="225"/>
      <c r="CW503" s="225"/>
      <c r="CX503" s="225"/>
      <c r="CY503" s="225"/>
      <c r="CZ503" s="225"/>
      <c r="DA503" s="225"/>
      <c r="DB503" s="225"/>
      <c r="DC503" s="225"/>
      <c r="DD503" s="225"/>
      <c r="DE503" s="225"/>
      <c r="DF503" s="225"/>
      <c r="DG503" s="225"/>
      <c r="DH503" s="225"/>
      <c r="DI503" s="225"/>
      <c r="DJ503" s="225"/>
      <c r="DK503" s="225"/>
      <c r="DL503" s="225"/>
      <c r="DM503" s="225"/>
      <c r="DN503" s="225"/>
      <c r="DO503" s="225"/>
      <c r="DP503" s="225"/>
      <c r="DQ503" s="225"/>
      <c r="DR503" s="225"/>
      <c r="DS503" s="225"/>
      <c r="DT503" s="225"/>
      <c r="DU503" s="225"/>
      <c r="DV503" s="225"/>
      <c r="DW503" s="225"/>
      <c r="DX503" s="225"/>
      <c r="DY503" s="225"/>
      <c r="DZ503" s="225"/>
      <c r="EA503" s="225"/>
      <c r="EB503" s="225"/>
      <c r="EC503" s="225"/>
      <c r="ED503" s="225"/>
      <c r="EE503" s="225"/>
      <c r="EF503" s="225"/>
      <c r="EG503" s="225"/>
      <c r="EH503" s="225"/>
      <c r="EI503" s="225"/>
      <c r="EJ503" s="225"/>
      <c r="EK503" s="225"/>
      <c r="EL503" s="225"/>
      <c r="EM503" s="225"/>
      <c r="EN503" s="225"/>
      <c r="EO503" s="225"/>
      <c r="EP503" s="225"/>
      <c r="EQ503" s="225"/>
      <c r="ER503" s="225"/>
      <c r="ES503" s="225"/>
      <c r="ET503" s="225"/>
      <c r="EU503" s="225"/>
      <c r="EV503" s="225"/>
      <c r="EW503" s="225"/>
      <c r="EX503" s="225"/>
      <c r="EY503" s="225"/>
      <c r="EZ503" s="225"/>
      <c r="FA503" s="225"/>
      <c r="FB503" s="225"/>
      <c r="FC503" s="225"/>
      <c r="FD503" s="225"/>
      <c r="FE503" s="225"/>
      <c r="FF503" s="225"/>
      <c r="FG503" s="225"/>
      <c r="FH503" s="225"/>
      <c r="FI503" s="225"/>
      <c r="FJ503" s="225"/>
      <c r="FK503" s="225"/>
      <c r="FL503" s="225"/>
      <c r="FM503" s="225"/>
      <c r="FN503" s="225"/>
      <c r="FO503" s="225"/>
      <c r="FP503" s="225"/>
      <c r="FQ503" s="225"/>
      <c r="FR503" s="225"/>
      <c r="FS503" s="225"/>
      <c r="FT503" s="225"/>
      <c r="FU503" s="225"/>
      <c r="FV503" s="225"/>
      <c r="FW503" s="225"/>
      <c r="FX503" s="225"/>
      <c r="FY503" s="225"/>
      <c r="FZ503" s="225"/>
      <c r="GA503" s="225"/>
      <c r="GB503" s="225"/>
      <c r="GC503" s="225"/>
      <c r="GD503" s="225"/>
      <c r="GE503" s="225"/>
      <c r="GF503" s="225"/>
      <c r="GG503" s="225"/>
      <c r="GH503" s="225"/>
      <c r="GI503" s="225"/>
      <c r="GJ503" s="225"/>
    </row>
    <row r="504" spans="1:192" s="93" customFormat="1" ht="12.75" customHeight="1">
      <c r="A504" s="68"/>
      <c r="B504" s="677"/>
      <c r="C504" s="225"/>
      <c r="D504" s="225"/>
      <c r="E504" s="225"/>
      <c r="F504" s="225"/>
      <c r="G504" s="225"/>
      <c r="H504" s="225"/>
      <c r="I504" s="225"/>
      <c r="J504" s="225"/>
      <c r="K504" s="225"/>
      <c r="L504" s="225"/>
      <c r="M504" s="225"/>
      <c r="N504" s="225"/>
      <c r="O504" s="225"/>
      <c r="P504" s="225"/>
      <c r="Q504" s="225"/>
      <c r="R504" s="225"/>
      <c r="S504" s="225"/>
      <c r="T504" s="225"/>
      <c r="U504" s="225"/>
      <c r="V504" s="225"/>
      <c r="W504" s="225"/>
      <c r="X504" s="225"/>
      <c r="Y504" s="225"/>
      <c r="Z504" s="225"/>
      <c r="AA504" s="225"/>
      <c r="AB504" s="225"/>
      <c r="AC504" s="225"/>
      <c r="AD504" s="225"/>
      <c r="AE504" s="225"/>
      <c r="AF504" s="225"/>
      <c r="AG504" s="225"/>
      <c r="AH504" s="225"/>
      <c r="AI504" s="225"/>
      <c r="AJ504" s="225"/>
      <c r="AK504" s="225"/>
      <c r="AL504" s="225"/>
      <c r="AM504" s="225"/>
      <c r="AN504" s="225"/>
      <c r="AO504" s="225"/>
      <c r="AP504" s="225"/>
      <c r="AQ504" s="225"/>
      <c r="AR504" s="225"/>
      <c r="AS504" s="225"/>
      <c r="AT504" s="225"/>
      <c r="AU504" s="225"/>
      <c r="AV504" s="225"/>
      <c r="AW504" s="225"/>
      <c r="AX504" s="225"/>
      <c r="AY504" s="225"/>
      <c r="AZ504" s="225"/>
      <c r="BA504" s="225"/>
      <c r="BB504" s="225"/>
      <c r="BC504" s="225"/>
      <c r="BD504" s="225"/>
      <c r="BE504" s="225"/>
      <c r="BF504" s="225"/>
      <c r="BG504" s="225"/>
      <c r="BH504" s="225"/>
      <c r="BI504" s="225"/>
      <c r="BJ504" s="225"/>
      <c r="BK504" s="225"/>
      <c r="BL504" s="225"/>
      <c r="BM504" s="225"/>
      <c r="BN504" s="225"/>
      <c r="BO504" s="225"/>
      <c r="BP504" s="225"/>
      <c r="BQ504" s="225"/>
      <c r="BR504" s="225"/>
      <c r="BS504" s="225"/>
      <c r="BT504" s="225"/>
      <c r="BU504" s="225"/>
      <c r="BV504" s="225"/>
      <c r="BW504" s="225"/>
      <c r="BX504" s="225"/>
      <c r="BY504" s="225"/>
      <c r="BZ504" s="225"/>
      <c r="CA504" s="225"/>
      <c r="CB504" s="225"/>
      <c r="CC504" s="225"/>
      <c r="CD504" s="225"/>
      <c r="CE504" s="225"/>
      <c r="CF504" s="225"/>
      <c r="CG504" s="225"/>
      <c r="CH504" s="225"/>
      <c r="CI504" s="225"/>
      <c r="CJ504" s="225"/>
      <c r="CK504" s="225"/>
      <c r="CL504" s="225"/>
      <c r="CM504" s="225"/>
      <c r="CN504" s="225"/>
      <c r="CO504" s="225"/>
      <c r="CP504" s="225"/>
      <c r="CQ504" s="225"/>
      <c r="CR504" s="225"/>
      <c r="CS504" s="225"/>
      <c r="CT504" s="225"/>
      <c r="CU504" s="225"/>
      <c r="CV504" s="225"/>
      <c r="CW504" s="225"/>
      <c r="CX504" s="225"/>
      <c r="CY504" s="225"/>
      <c r="CZ504" s="225"/>
      <c r="DA504" s="225"/>
      <c r="DB504" s="225"/>
      <c r="DC504" s="225"/>
      <c r="DD504" s="225"/>
      <c r="DE504" s="225"/>
      <c r="DF504" s="225"/>
      <c r="DG504" s="225"/>
      <c r="DH504" s="225"/>
      <c r="DI504" s="225"/>
      <c r="DJ504" s="225"/>
      <c r="DK504" s="225"/>
      <c r="DL504" s="225"/>
      <c r="DM504" s="225"/>
      <c r="DN504" s="225"/>
      <c r="DO504" s="225"/>
      <c r="DP504" s="225"/>
      <c r="DQ504" s="225"/>
      <c r="DR504" s="225"/>
      <c r="DS504" s="225"/>
      <c r="DT504" s="225"/>
      <c r="DU504" s="225"/>
      <c r="DV504" s="225"/>
      <c r="DW504" s="225"/>
      <c r="DX504" s="225"/>
      <c r="DY504" s="225"/>
      <c r="DZ504" s="225"/>
      <c r="EA504" s="225"/>
      <c r="EB504" s="225"/>
      <c r="EC504" s="225"/>
      <c r="ED504" s="225"/>
      <c r="EE504" s="225"/>
      <c r="EF504" s="225"/>
      <c r="EG504" s="225"/>
      <c r="EH504" s="225"/>
      <c r="EI504" s="225"/>
      <c r="EJ504" s="225"/>
      <c r="EK504" s="225"/>
      <c r="EL504" s="225"/>
      <c r="EM504" s="225"/>
      <c r="EN504" s="225"/>
      <c r="EO504" s="225"/>
      <c r="EP504" s="225"/>
      <c r="EQ504" s="225"/>
      <c r="ER504" s="225"/>
      <c r="ES504" s="225"/>
      <c r="ET504" s="225"/>
      <c r="EU504" s="225"/>
      <c r="EV504" s="225"/>
      <c r="EW504" s="225"/>
      <c r="EX504" s="225"/>
      <c r="EY504" s="225"/>
      <c r="EZ504" s="225"/>
      <c r="FA504" s="225"/>
      <c r="FB504" s="225"/>
      <c r="FC504" s="225"/>
      <c r="FD504" s="225"/>
      <c r="FE504" s="225"/>
      <c r="FF504" s="225"/>
      <c r="FG504" s="225"/>
      <c r="FH504" s="225"/>
      <c r="FI504" s="225"/>
      <c r="FJ504" s="225"/>
      <c r="FK504" s="225"/>
      <c r="FL504" s="225"/>
      <c r="FM504" s="225"/>
      <c r="FN504" s="225"/>
      <c r="FO504" s="225"/>
      <c r="FP504" s="225"/>
      <c r="FQ504" s="225"/>
      <c r="FR504" s="225"/>
      <c r="FS504" s="225"/>
      <c r="FT504" s="225"/>
      <c r="FU504" s="225"/>
      <c r="FV504" s="225"/>
      <c r="FW504" s="225"/>
      <c r="FX504" s="225"/>
      <c r="FY504" s="225"/>
      <c r="FZ504" s="225"/>
      <c r="GA504" s="225"/>
      <c r="GB504" s="225"/>
      <c r="GC504" s="225"/>
      <c r="GD504" s="225"/>
      <c r="GE504" s="225"/>
      <c r="GF504" s="225"/>
      <c r="GG504" s="225"/>
      <c r="GH504" s="225"/>
      <c r="GI504" s="225"/>
      <c r="GJ504" s="225"/>
    </row>
    <row r="505" spans="1:192" s="93" customFormat="1" ht="12.75" customHeight="1">
      <c r="A505" s="68"/>
      <c r="B505" s="677"/>
      <c r="C505" s="169"/>
      <c r="D505" s="169"/>
      <c r="E505" s="169"/>
      <c r="F505" s="169"/>
      <c r="G505" s="169"/>
      <c r="H505" s="169"/>
      <c r="I505" s="169"/>
      <c r="J505" s="169"/>
      <c r="K505" s="169"/>
      <c r="L505" s="169"/>
      <c r="M505" s="169"/>
      <c r="N505" s="169"/>
      <c r="O505" s="169"/>
      <c r="P505" s="169"/>
      <c r="Q505" s="169"/>
      <c r="R505" s="169"/>
      <c r="S505" s="169"/>
      <c r="T505" s="169"/>
      <c r="U505" s="169"/>
      <c r="V505" s="169"/>
      <c r="W505" s="169"/>
      <c r="X505" s="169"/>
      <c r="Y505" s="169"/>
      <c r="Z505" s="169"/>
      <c r="AA505" s="169"/>
      <c r="AB505" s="169"/>
      <c r="AC505" s="169"/>
      <c r="AD505" s="169"/>
      <c r="AE505" s="169"/>
      <c r="AF505" s="169"/>
      <c r="AG505" s="169"/>
      <c r="AH505" s="169"/>
      <c r="AI505" s="169"/>
      <c r="AJ505" s="169"/>
      <c r="AK505" s="169"/>
      <c r="AL505" s="169"/>
      <c r="AM505" s="169"/>
      <c r="AN505" s="169"/>
      <c r="AO505" s="169"/>
      <c r="AP505" s="169"/>
      <c r="AQ505" s="169"/>
      <c r="AR505" s="169"/>
      <c r="AS505" s="169"/>
      <c r="AT505" s="169"/>
      <c r="AU505" s="169"/>
      <c r="AV505" s="169"/>
      <c r="AW505" s="169"/>
      <c r="AX505" s="169"/>
      <c r="AY505" s="169"/>
      <c r="AZ505" s="169"/>
      <c r="BA505" s="169"/>
      <c r="BB505" s="169"/>
      <c r="BC505" s="169"/>
      <c r="BD505" s="169"/>
      <c r="BE505" s="169"/>
      <c r="BF505" s="169"/>
      <c r="BG505" s="169"/>
      <c r="BH505" s="169"/>
      <c r="BI505" s="169"/>
      <c r="BJ505" s="169"/>
      <c r="BK505" s="169"/>
      <c r="BL505" s="169"/>
      <c r="BM505" s="169"/>
      <c r="BN505" s="169"/>
      <c r="BO505" s="169"/>
      <c r="BP505" s="169"/>
      <c r="BQ505" s="169"/>
      <c r="BR505" s="169"/>
      <c r="BS505" s="169"/>
      <c r="BT505" s="169"/>
      <c r="BU505" s="169"/>
      <c r="BV505" s="169"/>
      <c r="BW505" s="169"/>
      <c r="BX505" s="169"/>
      <c r="BY505" s="169"/>
      <c r="BZ505" s="169"/>
      <c r="CA505" s="169"/>
      <c r="CB505" s="169"/>
      <c r="CC505" s="169"/>
      <c r="CD505" s="169"/>
      <c r="CE505" s="169"/>
      <c r="CF505" s="169"/>
      <c r="CG505" s="169"/>
      <c r="CH505" s="169"/>
      <c r="CI505" s="169"/>
      <c r="CJ505" s="169"/>
      <c r="CK505" s="169"/>
      <c r="CL505" s="169"/>
      <c r="CM505" s="169"/>
      <c r="CN505" s="169"/>
      <c r="CO505" s="169"/>
      <c r="CP505" s="169"/>
      <c r="CQ505" s="169"/>
      <c r="CR505" s="169"/>
      <c r="CS505" s="169"/>
      <c r="CT505" s="169"/>
      <c r="CU505" s="169"/>
      <c r="CV505" s="169"/>
      <c r="CW505" s="169"/>
      <c r="CX505" s="169"/>
      <c r="CY505" s="169"/>
      <c r="CZ505" s="169"/>
      <c r="DA505" s="169"/>
      <c r="DB505" s="169"/>
      <c r="DC505" s="169"/>
      <c r="DD505" s="169"/>
      <c r="DE505" s="169"/>
      <c r="DF505" s="169"/>
      <c r="DG505" s="169"/>
      <c r="DH505" s="169"/>
      <c r="DI505" s="169"/>
      <c r="DJ505" s="169"/>
      <c r="DK505" s="169"/>
      <c r="DL505" s="169"/>
      <c r="DM505" s="169"/>
      <c r="DN505" s="169"/>
      <c r="DO505" s="169"/>
      <c r="DP505" s="169"/>
      <c r="DQ505" s="169"/>
      <c r="DR505" s="169"/>
      <c r="DS505" s="169"/>
      <c r="DT505" s="169"/>
      <c r="DU505" s="169"/>
      <c r="DV505" s="169"/>
      <c r="DW505" s="169"/>
      <c r="DX505" s="169"/>
      <c r="DY505" s="169"/>
      <c r="DZ505" s="169"/>
      <c r="EA505" s="169"/>
      <c r="EB505" s="169"/>
      <c r="EC505" s="169"/>
      <c r="ED505" s="169"/>
      <c r="EE505" s="169"/>
      <c r="EF505" s="169"/>
      <c r="EG505" s="169"/>
      <c r="EH505" s="169"/>
      <c r="EI505" s="169"/>
      <c r="EJ505" s="169"/>
      <c r="EK505" s="169"/>
      <c r="EL505" s="169"/>
      <c r="EM505" s="169"/>
      <c r="EN505" s="169"/>
      <c r="EO505" s="169"/>
      <c r="EP505" s="169"/>
      <c r="EQ505" s="169"/>
      <c r="ER505" s="169"/>
      <c r="ES505" s="169"/>
      <c r="ET505" s="169"/>
      <c r="EU505" s="169"/>
      <c r="EV505" s="169"/>
      <c r="EW505" s="169"/>
      <c r="EX505" s="169"/>
      <c r="EY505" s="169"/>
      <c r="EZ505" s="169"/>
      <c r="FA505" s="169"/>
      <c r="FB505" s="169"/>
      <c r="FC505" s="169"/>
      <c r="FD505" s="169"/>
      <c r="FE505" s="169"/>
      <c r="FF505" s="169"/>
      <c r="FG505" s="169"/>
      <c r="FH505" s="169"/>
      <c r="FI505" s="169"/>
      <c r="FJ505" s="169"/>
      <c r="FK505" s="169"/>
      <c r="FL505" s="169"/>
      <c r="FM505" s="169"/>
      <c r="FN505" s="169"/>
      <c r="FO505" s="169"/>
      <c r="FP505" s="169"/>
      <c r="FQ505" s="169"/>
      <c r="FR505" s="169"/>
      <c r="FS505" s="169"/>
      <c r="FT505" s="169"/>
      <c r="FU505" s="169"/>
      <c r="FV505" s="169"/>
      <c r="FW505" s="169"/>
      <c r="FX505" s="169"/>
      <c r="FY505" s="169"/>
      <c r="FZ505" s="169"/>
      <c r="GA505" s="169"/>
      <c r="GB505" s="169"/>
      <c r="GC505" s="169"/>
      <c r="GD505" s="169"/>
      <c r="GE505" s="169"/>
      <c r="GF505" s="169"/>
      <c r="GG505" s="169"/>
      <c r="GH505" s="169"/>
      <c r="GI505" s="169"/>
      <c r="GJ505" s="169"/>
    </row>
    <row r="506" spans="1:192" s="93" customFormat="1" ht="12.75" customHeight="1">
      <c r="A506" s="68"/>
      <c r="B506" s="677"/>
      <c r="C506" s="169"/>
      <c r="D506" s="169"/>
      <c r="E506" s="169"/>
      <c r="F506" s="169"/>
      <c r="G506" s="169"/>
      <c r="H506" s="169"/>
      <c r="I506" s="169"/>
      <c r="J506" s="169"/>
      <c r="K506" s="169"/>
      <c r="L506" s="169"/>
      <c r="M506" s="169"/>
      <c r="N506" s="169"/>
      <c r="O506" s="169"/>
      <c r="P506" s="169"/>
      <c r="Q506" s="169"/>
      <c r="R506" s="169"/>
      <c r="S506" s="169"/>
      <c r="T506" s="169"/>
      <c r="U506" s="169"/>
      <c r="V506" s="169"/>
      <c r="W506" s="169"/>
      <c r="X506" s="169"/>
      <c r="Y506" s="169"/>
      <c r="Z506" s="169"/>
      <c r="AA506" s="169"/>
      <c r="AB506" s="169"/>
      <c r="AC506" s="169"/>
      <c r="AD506" s="169"/>
      <c r="AE506" s="169"/>
      <c r="AF506" s="169"/>
      <c r="AG506" s="169"/>
      <c r="AH506" s="169"/>
      <c r="AI506" s="169"/>
      <c r="AJ506" s="169"/>
      <c r="AK506" s="169"/>
      <c r="AL506" s="169"/>
      <c r="AM506" s="169"/>
      <c r="AN506" s="169"/>
      <c r="AO506" s="169"/>
      <c r="AP506" s="169"/>
      <c r="AQ506" s="169"/>
      <c r="AR506" s="169"/>
      <c r="AS506" s="169"/>
      <c r="AT506" s="169"/>
      <c r="AU506" s="169"/>
      <c r="AV506" s="169"/>
      <c r="AW506" s="169"/>
      <c r="AX506" s="169"/>
      <c r="AY506" s="169"/>
      <c r="AZ506" s="169"/>
      <c r="BA506" s="169"/>
      <c r="BB506" s="169"/>
      <c r="BC506" s="169"/>
      <c r="BD506" s="169"/>
      <c r="BE506" s="169"/>
      <c r="BF506" s="169"/>
      <c r="BG506" s="169"/>
      <c r="BH506" s="169"/>
      <c r="BI506" s="169"/>
      <c r="BJ506" s="169"/>
      <c r="BK506" s="169"/>
      <c r="BL506" s="169"/>
      <c r="BM506" s="169"/>
      <c r="BN506" s="169"/>
      <c r="BO506" s="169"/>
      <c r="BP506" s="169"/>
      <c r="BQ506" s="169"/>
      <c r="BR506" s="169"/>
      <c r="BS506" s="169"/>
      <c r="BT506" s="169"/>
      <c r="BU506" s="169"/>
      <c r="BV506" s="169"/>
      <c r="BW506" s="169"/>
      <c r="BX506" s="169"/>
      <c r="BY506" s="169"/>
      <c r="BZ506" s="169"/>
      <c r="CA506" s="169"/>
      <c r="CB506" s="169"/>
      <c r="CC506" s="169"/>
      <c r="CD506" s="169"/>
      <c r="CE506" s="169"/>
      <c r="CF506" s="169"/>
      <c r="CG506" s="169"/>
      <c r="CH506" s="169"/>
      <c r="CI506" s="169"/>
      <c r="CJ506" s="169"/>
      <c r="CK506" s="169"/>
      <c r="CL506" s="169"/>
      <c r="CM506" s="169"/>
      <c r="CN506" s="169"/>
      <c r="CO506" s="169"/>
      <c r="CP506" s="169"/>
      <c r="CQ506" s="169"/>
      <c r="CR506" s="169"/>
      <c r="CS506" s="169"/>
      <c r="CT506" s="169"/>
      <c r="CU506" s="169"/>
      <c r="CV506" s="169"/>
      <c r="CW506" s="169"/>
      <c r="CX506" s="169"/>
      <c r="CY506" s="169"/>
      <c r="CZ506" s="169"/>
      <c r="DA506" s="169"/>
      <c r="DB506" s="169"/>
      <c r="DC506" s="169"/>
      <c r="DD506" s="169"/>
      <c r="DE506" s="169"/>
      <c r="DF506" s="169"/>
      <c r="DG506" s="169"/>
      <c r="DH506" s="169"/>
      <c r="DI506" s="169"/>
      <c r="DJ506" s="169"/>
      <c r="DK506" s="169"/>
      <c r="DL506" s="169"/>
      <c r="DM506" s="169"/>
      <c r="DN506" s="169"/>
      <c r="DO506" s="169"/>
      <c r="DP506" s="169"/>
      <c r="DQ506" s="169"/>
      <c r="DR506" s="169"/>
      <c r="DS506" s="169"/>
      <c r="DT506" s="169"/>
      <c r="DU506" s="169"/>
      <c r="DV506" s="169"/>
      <c r="DW506" s="169"/>
      <c r="DX506" s="169"/>
      <c r="DY506" s="169"/>
      <c r="DZ506" s="169"/>
      <c r="EA506" s="169"/>
      <c r="EB506" s="169"/>
      <c r="EC506" s="169"/>
      <c r="ED506" s="169"/>
      <c r="EE506" s="169"/>
      <c r="EF506" s="169"/>
      <c r="EG506" s="169"/>
      <c r="EH506" s="169"/>
      <c r="EI506" s="169"/>
      <c r="EJ506" s="169"/>
      <c r="EK506" s="169"/>
      <c r="EL506" s="169"/>
      <c r="EM506" s="169"/>
      <c r="EN506" s="169"/>
      <c r="EO506" s="169"/>
      <c r="EP506" s="169"/>
      <c r="EQ506" s="169"/>
      <c r="ER506" s="169"/>
      <c r="ES506" s="169"/>
      <c r="ET506" s="169"/>
      <c r="EU506" s="169"/>
      <c r="EV506" s="169"/>
      <c r="EW506" s="169"/>
      <c r="EX506" s="169"/>
      <c r="EY506" s="169"/>
      <c r="EZ506" s="169"/>
      <c r="FA506" s="169"/>
      <c r="FB506" s="169"/>
      <c r="FC506" s="169"/>
      <c r="FD506" s="169"/>
      <c r="FE506" s="169"/>
      <c r="FF506" s="169"/>
      <c r="FG506" s="169"/>
      <c r="FH506" s="169"/>
      <c r="FI506" s="169"/>
      <c r="FJ506" s="169"/>
      <c r="FK506" s="169"/>
      <c r="FL506" s="169"/>
      <c r="FM506" s="169"/>
      <c r="FN506" s="169"/>
      <c r="FO506" s="169"/>
      <c r="FP506" s="169"/>
      <c r="FQ506" s="169"/>
      <c r="FR506" s="169"/>
      <c r="FS506" s="169"/>
      <c r="FT506" s="169"/>
      <c r="FU506" s="169"/>
      <c r="FV506" s="169"/>
      <c r="FW506" s="169"/>
      <c r="FX506" s="169"/>
      <c r="FY506" s="169"/>
      <c r="FZ506" s="169"/>
      <c r="GA506" s="169"/>
      <c r="GB506" s="169"/>
      <c r="GC506" s="169"/>
      <c r="GD506" s="169"/>
      <c r="GE506" s="169"/>
      <c r="GF506" s="169"/>
      <c r="GG506" s="169"/>
      <c r="GH506" s="169"/>
      <c r="GI506" s="169"/>
      <c r="GJ506" s="169"/>
    </row>
    <row r="507" spans="1:192" s="93" customFormat="1" ht="12.75" customHeight="1">
      <c r="A507" s="68"/>
      <c r="B507" s="677"/>
      <c r="C507" s="169"/>
      <c r="D507" s="169"/>
      <c r="E507" s="169"/>
      <c r="F507" s="169"/>
      <c r="G507" s="169"/>
      <c r="H507" s="169"/>
      <c r="I507" s="169"/>
      <c r="J507" s="169"/>
      <c r="K507" s="169"/>
      <c r="L507" s="169"/>
      <c r="M507" s="169"/>
      <c r="N507" s="169"/>
      <c r="O507" s="169"/>
      <c r="P507" s="169"/>
      <c r="Q507" s="169"/>
      <c r="R507" s="169"/>
      <c r="S507" s="169"/>
      <c r="T507" s="169"/>
      <c r="U507" s="169"/>
      <c r="V507" s="169"/>
      <c r="W507" s="169"/>
      <c r="X507" s="169"/>
      <c r="Y507" s="169"/>
      <c r="Z507" s="169"/>
      <c r="AA507" s="169"/>
      <c r="AB507" s="169"/>
      <c r="AC507" s="169"/>
      <c r="AD507" s="169"/>
      <c r="AE507" s="169"/>
      <c r="AF507" s="169"/>
      <c r="AG507" s="169"/>
      <c r="AH507" s="169"/>
      <c r="AI507" s="169"/>
      <c r="AJ507" s="169"/>
      <c r="AK507" s="169"/>
      <c r="AL507" s="169"/>
      <c r="AM507" s="169"/>
      <c r="AN507" s="169"/>
      <c r="AO507" s="169"/>
      <c r="AP507" s="169"/>
      <c r="AQ507" s="169"/>
      <c r="AR507" s="169"/>
      <c r="AS507" s="169"/>
      <c r="AT507" s="169"/>
      <c r="AU507" s="169"/>
      <c r="AV507" s="169"/>
      <c r="AW507" s="169"/>
      <c r="AX507" s="169"/>
      <c r="AY507" s="169"/>
      <c r="AZ507" s="169"/>
      <c r="BA507" s="169"/>
      <c r="BB507" s="169"/>
      <c r="BC507" s="169"/>
      <c r="BD507" s="169"/>
      <c r="BE507" s="169"/>
      <c r="BF507" s="169"/>
      <c r="BG507" s="169"/>
      <c r="BH507" s="169"/>
      <c r="BI507" s="169"/>
      <c r="BJ507" s="169"/>
      <c r="BK507" s="169"/>
      <c r="BL507" s="169"/>
      <c r="BM507" s="169"/>
      <c r="BN507" s="169"/>
      <c r="BO507" s="169"/>
      <c r="BP507" s="169"/>
      <c r="BQ507" s="169"/>
      <c r="BR507" s="169"/>
      <c r="BS507" s="169"/>
      <c r="BT507" s="169"/>
      <c r="BU507" s="169"/>
      <c r="BV507" s="169"/>
      <c r="BW507" s="169"/>
      <c r="BX507" s="169"/>
      <c r="BY507" s="169"/>
      <c r="BZ507" s="169"/>
      <c r="CA507" s="169"/>
      <c r="CB507" s="169"/>
      <c r="CC507" s="169"/>
      <c r="CD507" s="169"/>
      <c r="CE507" s="169"/>
      <c r="CF507" s="169"/>
      <c r="CG507" s="169"/>
      <c r="CH507" s="169"/>
      <c r="CI507" s="169"/>
      <c r="CJ507" s="169"/>
      <c r="CK507" s="169"/>
      <c r="CL507" s="169"/>
      <c r="CM507" s="169"/>
      <c r="CN507" s="169"/>
      <c r="CO507" s="169"/>
      <c r="CP507" s="169"/>
      <c r="CQ507" s="169"/>
      <c r="CR507" s="169"/>
      <c r="CS507" s="169"/>
      <c r="CT507" s="169"/>
      <c r="CU507" s="169"/>
      <c r="CV507" s="169"/>
      <c r="CW507" s="169"/>
      <c r="CX507" s="169"/>
      <c r="CY507" s="169"/>
      <c r="CZ507" s="169"/>
      <c r="DA507" s="169"/>
      <c r="DB507" s="169"/>
      <c r="DC507" s="169"/>
      <c r="DD507" s="169"/>
      <c r="DE507" s="169"/>
      <c r="DF507" s="169"/>
      <c r="DG507" s="169"/>
      <c r="DH507" s="169"/>
      <c r="DI507" s="169"/>
      <c r="DJ507" s="169"/>
      <c r="DK507" s="169"/>
      <c r="DL507" s="169"/>
      <c r="DM507" s="169"/>
      <c r="DN507" s="169"/>
      <c r="DO507" s="169"/>
      <c r="DP507" s="169"/>
      <c r="DQ507" s="169"/>
      <c r="DR507" s="169"/>
      <c r="DS507" s="169"/>
      <c r="DT507" s="169"/>
      <c r="DU507" s="169"/>
      <c r="DV507" s="169"/>
      <c r="DW507" s="169"/>
      <c r="DX507" s="169"/>
      <c r="DY507" s="169"/>
      <c r="DZ507" s="169"/>
      <c r="EA507" s="169"/>
      <c r="EB507" s="169"/>
      <c r="EC507" s="169"/>
      <c r="ED507" s="169"/>
      <c r="EE507" s="169"/>
      <c r="EF507" s="169"/>
      <c r="EG507" s="169"/>
      <c r="EH507" s="169"/>
      <c r="EI507" s="169"/>
      <c r="EJ507" s="169"/>
      <c r="EK507" s="169"/>
      <c r="EL507" s="169"/>
      <c r="EM507" s="169"/>
      <c r="EN507" s="169"/>
      <c r="EO507" s="169"/>
      <c r="EP507" s="169"/>
      <c r="EQ507" s="169"/>
      <c r="ER507" s="169"/>
      <c r="ES507" s="169"/>
      <c r="ET507" s="169"/>
      <c r="EU507" s="169"/>
      <c r="EV507" s="169"/>
      <c r="EW507" s="169"/>
      <c r="EX507" s="169"/>
      <c r="EY507" s="169"/>
      <c r="EZ507" s="169"/>
      <c r="FA507" s="169"/>
      <c r="FB507" s="169"/>
      <c r="FC507" s="169"/>
      <c r="FD507" s="169"/>
      <c r="FE507" s="169"/>
      <c r="FF507" s="169"/>
      <c r="FG507" s="169"/>
      <c r="FH507" s="169"/>
      <c r="FI507" s="169"/>
      <c r="FJ507" s="169"/>
      <c r="FK507" s="169"/>
      <c r="FL507" s="169"/>
      <c r="FM507" s="169"/>
      <c r="FN507" s="169"/>
      <c r="FO507" s="169"/>
      <c r="FP507" s="169"/>
      <c r="FQ507" s="169"/>
      <c r="FR507" s="169"/>
      <c r="FS507" s="169"/>
      <c r="FT507" s="169"/>
      <c r="FU507" s="169"/>
      <c r="FV507" s="169"/>
      <c r="FW507" s="169"/>
      <c r="FX507" s="169"/>
      <c r="FY507" s="169"/>
      <c r="FZ507" s="169"/>
      <c r="GA507" s="169"/>
      <c r="GB507" s="169"/>
      <c r="GC507" s="169"/>
      <c r="GD507" s="169"/>
      <c r="GE507" s="169"/>
      <c r="GF507" s="169"/>
      <c r="GG507" s="169"/>
      <c r="GH507" s="169"/>
      <c r="GI507" s="169"/>
      <c r="GJ507" s="169"/>
    </row>
    <row r="508" spans="1:192" s="93" customFormat="1" ht="12.75" customHeight="1">
      <c r="A508" s="68"/>
      <c r="B508" s="677"/>
      <c r="C508" s="106"/>
      <c r="D508" s="106"/>
      <c r="E508" s="106"/>
      <c r="F508" s="106"/>
      <c r="G508" s="106"/>
      <c r="H508" s="106"/>
      <c r="I508" s="106"/>
      <c r="J508" s="106"/>
      <c r="K508" s="106"/>
      <c r="L508" s="106"/>
      <c r="M508" s="106"/>
      <c r="N508" s="106"/>
      <c r="O508" s="106"/>
      <c r="P508" s="106"/>
      <c r="Q508" s="106"/>
      <c r="R508" s="106"/>
      <c r="S508" s="106"/>
      <c r="T508" s="106"/>
      <c r="U508" s="106"/>
      <c r="V508" s="106"/>
      <c r="W508" s="106"/>
      <c r="X508" s="106"/>
      <c r="Y508" s="106"/>
      <c r="Z508" s="106"/>
      <c r="AA508" s="106"/>
      <c r="AB508" s="106"/>
      <c r="AC508" s="106"/>
      <c r="AD508" s="106"/>
      <c r="AE508" s="106"/>
      <c r="AF508" s="106"/>
      <c r="AG508" s="106"/>
      <c r="AH508" s="106"/>
      <c r="AI508" s="106"/>
      <c r="AJ508" s="106"/>
      <c r="AK508" s="106"/>
      <c r="AL508" s="106"/>
      <c r="AM508" s="106"/>
      <c r="AN508" s="106"/>
      <c r="AO508" s="106"/>
      <c r="AP508" s="106"/>
      <c r="AQ508" s="106"/>
      <c r="AR508" s="106"/>
      <c r="AS508" s="106"/>
      <c r="AT508" s="106"/>
      <c r="AU508" s="106"/>
      <c r="AV508" s="106"/>
      <c r="AW508" s="106"/>
      <c r="AX508" s="106"/>
      <c r="AY508" s="106"/>
      <c r="AZ508" s="106"/>
      <c r="BA508" s="106"/>
      <c r="BB508" s="106"/>
      <c r="BC508" s="106"/>
      <c r="BD508" s="106"/>
      <c r="BE508" s="106"/>
      <c r="BF508" s="106"/>
      <c r="BG508" s="106"/>
      <c r="BH508" s="106"/>
      <c r="BI508" s="106"/>
      <c r="BJ508" s="106"/>
      <c r="BK508" s="106"/>
      <c r="BL508" s="106"/>
      <c r="BM508" s="106"/>
      <c r="BN508" s="106"/>
      <c r="BO508" s="106"/>
      <c r="BP508" s="106"/>
      <c r="BQ508" s="106"/>
      <c r="BR508" s="106"/>
      <c r="BS508" s="106"/>
      <c r="BT508" s="106"/>
      <c r="BU508" s="106"/>
      <c r="BV508" s="106"/>
      <c r="BW508" s="106"/>
      <c r="BX508" s="106"/>
      <c r="BY508" s="106"/>
      <c r="BZ508" s="106"/>
      <c r="CA508" s="106"/>
      <c r="CB508" s="106"/>
      <c r="CC508" s="106"/>
      <c r="CD508" s="106"/>
      <c r="CE508" s="106"/>
      <c r="CF508" s="106"/>
      <c r="CG508" s="106"/>
      <c r="CH508" s="106"/>
      <c r="CI508" s="106"/>
      <c r="CJ508" s="106"/>
      <c r="CK508" s="106"/>
      <c r="CL508" s="106"/>
      <c r="CM508" s="106"/>
      <c r="CN508" s="106"/>
      <c r="CO508" s="106"/>
      <c r="CP508" s="106"/>
      <c r="CQ508" s="106"/>
      <c r="CR508" s="106"/>
      <c r="CS508" s="106"/>
      <c r="CT508" s="106"/>
      <c r="CU508" s="106"/>
      <c r="CV508" s="106"/>
      <c r="CW508" s="106"/>
      <c r="CX508" s="106"/>
      <c r="CY508" s="106"/>
      <c r="CZ508" s="106"/>
      <c r="DA508" s="106"/>
      <c r="DB508" s="106"/>
      <c r="DC508" s="106"/>
      <c r="DD508" s="106"/>
      <c r="DE508" s="106"/>
      <c r="DF508" s="106"/>
      <c r="DG508" s="106"/>
      <c r="DH508" s="106"/>
      <c r="DI508" s="106"/>
      <c r="DJ508" s="106"/>
      <c r="DK508" s="106"/>
      <c r="DL508" s="106"/>
      <c r="DM508" s="106"/>
      <c r="DN508" s="106"/>
      <c r="DO508" s="106"/>
      <c r="DP508" s="106"/>
      <c r="DQ508" s="106"/>
      <c r="DR508" s="106"/>
      <c r="DS508" s="106"/>
      <c r="DT508" s="106"/>
      <c r="DU508" s="106"/>
      <c r="DV508" s="106"/>
      <c r="DW508" s="106"/>
      <c r="DX508" s="106"/>
      <c r="DY508" s="106"/>
      <c r="DZ508" s="106"/>
      <c r="EA508" s="106"/>
      <c r="EB508" s="106"/>
      <c r="EC508" s="106"/>
      <c r="ED508" s="106"/>
      <c r="EE508" s="106"/>
      <c r="EF508" s="106"/>
      <c r="EG508" s="106"/>
      <c r="EH508" s="106"/>
      <c r="EI508" s="106"/>
      <c r="EJ508" s="106"/>
      <c r="EK508" s="106"/>
      <c r="EL508" s="106"/>
      <c r="EM508" s="106"/>
      <c r="EN508" s="106"/>
      <c r="EO508" s="106"/>
      <c r="EP508" s="106"/>
      <c r="EQ508" s="106"/>
      <c r="ER508" s="106"/>
      <c r="ES508" s="106"/>
      <c r="ET508" s="106"/>
      <c r="EU508" s="106"/>
      <c r="EV508" s="106"/>
      <c r="EW508" s="106"/>
      <c r="EX508" s="106"/>
      <c r="EY508" s="106"/>
      <c r="EZ508" s="106"/>
      <c r="FA508" s="106"/>
      <c r="FB508" s="106"/>
      <c r="FC508" s="106"/>
      <c r="FD508" s="106"/>
      <c r="FE508" s="106"/>
      <c r="FF508" s="106"/>
      <c r="FG508" s="106"/>
      <c r="FH508" s="106"/>
      <c r="FI508" s="106"/>
      <c r="FJ508" s="106"/>
      <c r="FK508" s="106"/>
      <c r="FL508" s="106"/>
      <c r="FM508" s="106"/>
      <c r="FN508" s="106"/>
      <c r="FO508" s="106"/>
      <c r="FP508" s="106"/>
      <c r="FQ508" s="106"/>
      <c r="FR508" s="106"/>
      <c r="FS508" s="106"/>
      <c r="FT508" s="106"/>
      <c r="FU508" s="106"/>
      <c r="FV508" s="106"/>
      <c r="FW508" s="106"/>
      <c r="FX508" s="106"/>
      <c r="FY508" s="106"/>
      <c r="FZ508" s="106"/>
      <c r="GA508" s="106"/>
      <c r="GB508" s="106"/>
      <c r="GC508" s="106"/>
      <c r="GD508" s="106"/>
      <c r="GE508" s="106"/>
      <c r="GF508" s="106"/>
      <c r="GG508" s="106"/>
      <c r="GH508" s="106"/>
      <c r="GI508" s="106"/>
      <c r="GJ508" s="106"/>
    </row>
    <row r="509" spans="1:192" s="93" customFormat="1" ht="12.75" customHeight="1">
      <c r="A509" s="68"/>
      <c r="B509" s="677"/>
      <c r="C509" s="226"/>
      <c r="D509" s="106"/>
      <c r="E509" s="106"/>
      <c r="F509" s="106"/>
      <c r="G509" s="106"/>
      <c r="H509" s="226"/>
      <c r="I509" s="106"/>
      <c r="J509" s="106"/>
      <c r="K509" s="106"/>
      <c r="L509" s="106"/>
      <c r="M509" s="226"/>
      <c r="N509" s="106"/>
      <c r="O509" s="106"/>
      <c r="P509" s="106"/>
      <c r="Q509" s="106"/>
      <c r="R509" s="226"/>
      <c r="S509" s="106"/>
      <c r="T509" s="106"/>
      <c r="U509" s="106"/>
      <c r="V509" s="106"/>
      <c r="W509" s="226"/>
      <c r="X509" s="106"/>
      <c r="Y509" s="106"/>
      <c r="Z509" s="106"/>
      <c r="AA509" s="106"/>
      <c r="AB509" s="226"/>
      <c r="AC509" s="106"/>
      <c r="AD509" s="106"/>
      <c r="AE509" s="106"/>
      <c r="AF509" s="106"/>
      <c r="AG509" s="226"/>
      <c r="AH509" s="106"/>
      <c r="AI509" s="106"/>
      <c r="AJ509" s="106"/>
      <c r="AK509" s="106"/>
      <c r="AL509" s="226"/>
      <c r="AM509" s="106"/>
      <c r="AN509" s="106"/>
      <c r="AO509" s="106"/>
      <c r="AP509" s="106"/>
      <c r="AQ509" s="226"/>
      <c r="AR509" s="106"/>
      <c r="AS509" s="106"/>
      <c r="AT509" s="106"/>
      <c r="AU509" s="106"/>
      <c r="AV509" s="226"/>
      <c r="AW509" s="106"/>
      <c r="AX509" s="106"/>
      <c r="AY509" s="106"/>
      <c r="AZ509" s="106"/>
      <c r="BA509" s="226"/>
      <c r="BB509" s="106"/>
      <c r="BC509" s="106"/>
      <c r="BD509" s="106"/>
      <c r="BE509" s="106"/>
      <c r="BF509" s="226"/>
      <c r="BG509" s="106"/>
      <c r="BH509" s="106"/>
      <c r="BI509" s="106"/>
      <c r="BJ509" s="106"/>
      <c r="BK509" s="226"/>
      <c r="BL509" s="106"/>
      <c r="BM509" s="106"/>
      <c r="BN509" s="106"/>
      <c r="BO509" s="106"/>
      <c r="BP509" s="226"/>
      <c r="BQ509" s="106"/>
      <c r="BR509" s="106"/>
      <c r="BS509" s="106"/>
      <c r="BT509" s="106"/>
      <c r="BU509" s="226"/>
      <c r="BV509" s="106"/>
      <c r="BW509" s="106"/>
      <c r="BX509" s="106"/>
      <c r="BY509" s="106"/>
      <c r="BZ509" s="226"/>
      <c r="CA509" s="106"/>
      <c r="CB509" s="106"/>
      <c r="CC509" s="106"/>
      <c r="CD509" s="106"/>
      <c r="CE509" s="226"/>
      <c r="CF509" s="106"/>
      <c r="CG509" s="106"/>
      <c r="CH509" s="106"/>
      <c r="CI509" s="106"/>
      <c r="CJ509" s="226"/>
      <c r="CK509" s="106"/>
      <c r="CL509" s="106"/>
      <c r="CM509" s="106"/>
      <c r="CN509" s="106"/>
      <c r="CO509" s="226"/>
      <c r="CP509" s="106"/>
      <c r="CQ509" s="106"/>
      <c r="CR509" s="106"/>
      <c r="CS509" s="106"/>
      <c r="CT509" s="226"/>
      <c r="CU509" s="106"/>
      <c r="CV509" s="106"/>
      <c r="CW509" s="106"/>
      <c r="CX509" s="106"/>
      <c r="CY509" s="226"/>
      <c r="CZ509" s="106"/>
      <c r="DA509" s="106"/>
      <c r="DB509" s="106"/>
      <c r="DC509" s="106"/>
      <c r="DD509" s="226"/>
      <c r="DE509" s="106"/>
      <c r="DF509" s="106"/>
      <c r="DG509" s="106"/>
      <c r="DH509" s="106"/>
      <c r="DI509" s="226"/>
      <c r="DJ509" s="106"/>
      <c r="DK509" s="106"/>
      <c r="DL509" s="106"/>
      <c r="DM509" s="106"/>
      <c r="DN509" s="226"/>
      <c r="DO509" s="106"/>
      <c r="DP509" s="106"/>
      <c r="DQ509" s="106"/>
      <c r="DR509" s="106"/>
      <c r="DS509" s="226"/>
      <c r="DT509" s="106"/>
      <c r="DU509" s="106"/>
      <c r="DV509" s="106"/>
      <c r="DW509" s="106"/>
      <c r="DX509" s="226"/>
      <c r="DY509" s="106"/>
      <c r="DZ509" s="106"/>
      <c r="EA509" s="106"/>
      <c r="EB509" s="106"/>
      <c r="EC509" s="226"/>
      <c r="ED509" s="106"/>
      <c r="EE509" s="106"/>
      <c r="EF509" s="106"/>
      <c r="EG509" s="106"/>
      <c r="EH509" s="226"/>
      <c r="EI509" s="106"/>
      <c r="EJ509" s="106"/>
      <c r="EK509" s="106"/>
      <c r="EL509" s="106"/>
      <c r="EM509" s="226"/>
      <c r="EN509" s="106"/>
      <c r="EO509" s="106"/>
      <c r="EP509" s="106"/>
      <c r="EQ509" s="106"/>
      <c r="ER509" s="226"/>
      <c r="ES509" s="106"/>
      <c r="ET509" s="106"/>
      <c r="EU509" s="106"/>
      <c r="EV509" s="106"/>
      <c r="EW509" s="226"/>
      <c r="EX509" s="106"/>
      <c r="EY509" s="106"/>
      <c r="EZ509" s="106"/>
      <c r="FA509" s="106"/>
      <c r="FB509" s="226"/>
      <c r="FC509" s="106"/>
      <c r="FD509" s="106"/>
      <c r="FE509" s="106"/>
      <c r="FF509" s="106"/>
      <c r="FG509" s="226"/>
      <c r="FH509" s="106"/>
      <c r="FI509" s="106"/>
      <c r="FJ509" s="106"/>
      <c r="FK509" s="106"/>
      <c r="FL509" s="226"/>
      <c r="FM509" s="106"/>
      <c r="FN509" s="106"/>
      <c r="FO509" s="106"/>
      <c r="FP509" s="106"/>
      <c r="FQ509" s="226"/>
      <c r="FR509" s="106"/>
      <c r="FS509" s="106"/>
      <c r="FT509" s="106"/>
      <c r="FU509" s="106"/>
      <c r="FV509" s="226"/>
      <c r="FW509" s="106"/>
      <c r="FX509" s="106"/>
      <c r="FY509" s="106"/>
      <c r="FZ509" s="106"/>
      <c r="GA509" s="226"/>
      <c r="GB509" s="106"/>
      <c r="GC509" s="106"/>
      <c r="GD509" s="106"/>
      <c r="GE509" s="106"/>
      <c r="GF509" s="226"/>
      <c r="GG509" s="106"/>
      <c r="GH509" s="106"/>
      <c r="GI509" s="106"/>
      <c r="GJ509" s="106"/>
    </row>
    <row r="510" spans="1:192" s="93" customFormat="1" ht="12.75" customHeight="1">
      <c r="A510" s="68"/>
      <c r="B510" s="677"/>
      <c r="C510" s="106"/>
      <c r="D510" s="106"/>
      <c r="E510" s="106"/>
      <c r="F510" s="106"/>
      <c r="G510" s="106"/>
      <c r="H510" s="106"/>
      <c r="I510" s="106"/>
      <c r="J510" s="106"/>
      <c r="K510" s="106"/>
      <c r="L510" s="106"/>
      <c r="M510" s="106"/>
      <c r="N510" s="106"/>
      <c r="O510" s="106"/>
      <c r="P510" s="106"/>
      <c r="Q510" s="106"/>
      <c r="R510" s="106"/>
      <c r="S510" s="106"/>
      <c r="T510" s="106"/>
      <c r="U510" s="106"/>
      <c r="V510" s="106"/>
      <c r="W510" s="106"/>
      <c r="X510" s="106"/>
      <c r="Y510" s="106"/>
      <c r="Z510" s="106"/>
      <c r="AA510" s="106"/>
      <c r="AB510" s="106"/>
      <c r="AC510" s="106"/>
      <c r="AD510" s="106"/>
      <c r="AE510" s="106"/>
      <c r="AF510" s="106"/>
      <c r="AG510" s="106"/>
      <c r="AH510" s="106"/>
      <c r="AI510" s="106"/>
      <c r="AJ510" s="106"/>
      <c r="AK510" s="106"/>
      <c r="AL510" s="106"/>
      <c r="AM510" s="106"/>
      <c r="AN510" s="106"/>
      <c r="AO510" s="106"/>
      <c r="AP510" s="106"/>
      <c r="AQ510" s="106"/>
      <c r="AR510" s="106"/>
      <c r="AS510" s="106"/>
      <c r="AT510" s="106"/>
      <c r="AU510" s="106"/>
      <c r="AV510" s="106"/>
      <c r="AW510" s="106"/>
      <c r="AX510" s="106"/>
      <c r="AY510" s="106"/>
      <c r="AZ510" s="106"/>
      <c r="BA510" s="106"/>
      <c r="BB510" s="106"/>
      <c r="BC510" s="106"/>
      <c r="BD510" s="106"/>
      <c r="BE510" s="106"/>
      <c r="BF510" s="106"/>
      <c r="BG510" s="106"/>
      <c r="BH510" s="106"/>
      <c r="BI510" s="106"/>
      <c r="BJ510" s="106"/>
      <c r="BK510" s="106"/>
      <c r="BL510" s="106"/>
      <c r="BM510" s="106"/>
      <c r="BN510" s="106"/>
      <c r="BO510" s="106"/>
      <c r="BP510" s="106"/>
      <c r="BQ510" s="106"/>
      <c r="BR510" s="106"/>
      <c r="BS510" s="106"/>
      <c r="BT510" s="106"/>
      <c r="BU510" s="106"/>
      <c r="BV510" s="106"/>
      <c r="BW510" s="106"/>
      <c r="BX510" s="106"/>
      <c r="BY510" s="106"/>
      <c r="BZ510" s="106"/>
      <c r="CA510" s="106"/>
      <c r="CB510" s="106"/>
      <c r="CC510" s="106"/>
      <c r="CD510" s="106"/>
      <c r="CE510" s="106"/>
      <c r="CF510" s="106"/>
      <c r="CG510" s="106"/>
      <c r="CH510" s="106"/>
      <c r="CI510" s="106"/>
      <c r="CJ510" s="106"/>
      <c r="CK510" s="106"/>
      <c r="CL510" s="106"/>
      <c r="CM510" s="106"/>
      <c r="CN510" s="106"/>
      <c r="CO510" s="106"/>
      <c r="CP510" s="106"/>
      <c r="CQ510" s="106"/>
      <c r="CR510" s="106"/>
      <c r="CS510" s="106"/>
      <c r="CT510" s="106"/>
      <c r="CU510" s="106"/>
      <c r="CV510" s="106"/>
      <c r="CW510" s="106"/>
      <c r="CX510" s="106"/>
      <c r="CY510" s="106"/>
      <c r="CZ510" s="106"/>
      <c r="DA510" s="106"/>
      <c r="DB510" s="106"/>
      <c r="DC510" s="106"/>
      <c r="DD510" s="106"/>
      <c r="DE510" s="106"/>
      <c r="DF510" s="106"/>
      <c r="DG510" s="106"/>
      <c r="DH510" s="106"/>
      <c r="DI510" s="106"/>
      <c r="DJ510" s="106"/>
      <c r="DK510" s="106"/>
      <c r="DL510" s="106"/>
      <c r="DM510" s="106"/>
      <c r="DN510" s="106"/>
      <c r="DO510" s="106"/>
      <c r="DP510" s="106"/>
      <c r="DQ510" s="106"/>
      <c r="DR510" s="106"/>
      <c r="DS510" s="106"/>
      <c r="DT510" s="106"/>
      <c r="DU510" s="106"/>
      <c r="DV510" s="106"/>
      <c r="DW510" s="106"/>
      <c r="DX510" s="106"/>
      <c r="DY510" s="106"/>
      <c r="DZ510" s="106"/>
      <c r="EA510" s="106"/>
      <c r="EB510" s="106"/>
      <c r="EC510" s="106"/>
      <c r="ED510" s="106"/>
      <c r="EE510" s="106"/>
      <c r="EF510" s="106"/>
      <c r="EG510" s="106"/>
      <c r="EH510" s="106"/>
      <c r="EI510" s="106"/>
      <c r="EJ510" s="106"/>
      <c r="EK510" s="106"/>
      <c r="EL510" s="106"/>
      <c r="EM510" s="106"/>
      <c r="EN510" s="106"/>
      <c r="EO510" s="106"/>
      <c r="EP510" s="106"/>
      <c r="EQ510" s="106"/>
      <c r="ER510" s="106"/>
      <c r="ES510" s="106"/>
      <c r="ET510" s="106"/>
      <c r="EU510" s="106"/>
      <c r="EV510" s="106"/>
      <c r="EW510" s="106"/>
      <c r="EX510" s="106"/>
      <c r="EY510" s="106"/>
      <c r="EZ510" s="106"/>
      <c r="FA510" s="106"/>
      <c r="FB510" s="106"/>
      <c r="FC510" s="106"/>
      <c r="FD510" s="106"/>
      <c r="FE510" s="106"/>
      <c r="FF510" s="106"/>
      <c r="FG510" s="106"/>
      <c r="FH510" s="106"/>
      <c r="FI510" s="106"/>
      <c r="FJ510" s="106"/>
      <c r="FK510" s="106"/>
      <c r="FL510" s="106"/>
      <c r="FM510" s="106"/>
      <c r="FN510" s="106"/>
      <c r="FO510" s="106"/>
      <c r="FP510" s="106"/>
      <c r="FQ510" s="106"/>
      <c r="FR510" s="106"/>
      <c r="FS510" s="106"/>
      <c r="FT510" s="106"/>
      <c r="FU510" s="106"/>
      <c r="FV510" s="106"/>
      <c r="FW510" s="106"/>
      <c r="FX510" s="106"/>
      <c r="FY510" s="106"/>
      <c r="FZ510" s="106"/>
      <c r="GA510" s="106"/>
      <c r="GB510" s="106"/>
      <c r="GC510" s="106"/>
      <c r="GD510" s="106"/>
      <c r="GE510" s="106"/>
      <c r="GF510" s="106"/>
      <c r="GG510" s="106"/>
      <c r="GH510" s="106"/>
      <c r="GI510" s="106"/>
      <c r="GJ510" s="106"/>
    </row>
    <row r="511" spans="1:192" s="93" customFormat="1" ht="12.75" customHeight="1">
      <c r="A511" s="68"/>
      <c r="B511" s="677"/>
      <c r="C511" s="227"/>
      <c r="D511" s="222"/>
      <c r="E511" s="222"/>
      <c r="F511" s="222"/>
      <c r="G511" s="222"/>
      <c r="H511" s="227"/>
      <c r="I511" s="222"/>
      <c r="J511" s="222"/>
      <c r="K511" s="222"/>
      <c r="L511" s="222"/>
      <c r="M511" s="227"/>
      <c r="N511" s="222"/>
      <c r="O511" s="222"/>
      <c r="P511" s="222"/>
      <c r="Q511" s="222"/>
      <c r="R511" s="227"/>
      <c r="S511" s="222"/>
      <c r="T511" s="222"/>
      <c r="U511" s="222"/>
      <c r="V511" s="222"/>
      <c r="W511" s="227"/>
      <c r="X511" s="222"/>
      <c r="Y511" s="222"/>
      <c r="Z511" s="222"/>
      <c r="AA511" s="222"/>
      <c r="AB511" s="227"/>
      <c r="AC511" s="222"/>
      <c r="AD511" s="222"/>
      <c r="AE511" s="222"/>
      <c r="AF511" s="222"/>
      <c r="AG511" s="227"/>
      <c r="AH511" s="222"/>
      <c r="AI511" s="222"/>
      <c r="AJ511" s="222"/>
      <c r="AK511" s="222"/>
      <c r="AL511" s="227"/>
      <c r="AM511" s="222"/>
      <c r="AN511" s="222"/>
      <c r="AO511" s="222"/>
      <c r="AP511" s="222"/>
      <c r="AQ511" s="227"/>
      <c r="AR511" s="222"/>
      <c r="AS511" s="222"/>
      <c r="AT511" s="222"/>
      <c r="AU511" s="222"/>
      <c r="AV511" s="227"/>
      <c r="AW511" s="222"/>
      <c r="AX511" s="222"/>
      <c r="AY511" s="222"/>
      <c r="AZ511" s="222"/>
      <c r="BA511" s="227"/>
      <c r="BB511" s="222"/>
      <c r="BC511" s="222"/>
      <c r="BD511" s="222"/>
      <c r="BE511" s="222"/>
      <c r="BF511" s="227"/>
      <c r="BG511" s="222"/>
      <c r="BH511" s="222"/>
      <c r="BI511" s="222"/>
      <c r="BJ511" s="222"/>
      <c r="BK511" s="227"/>
      <c r="BL511" s="222"/>
      <c r="BM511" s="222"/>
      <c r="BN511" s="222"/>
      <c r="BO511" s="222"/>
      <c r="BP511" s="227"/>
      <c r="BQ511" s="222"/>
      <c r="BR511" s="222"/>
      <c r="BS511" s="222"/>
      <c r="BT511" s="222"/>
      <c r="BU511" s="227"/>
      <c r="BV511" s="222"/>
      <c r="BW511" s="222"/>
      <c r="BX511" s="222"/>
      <c r="BY511" s="222"/>
      <c r="BZ511" s="227"/>
      <c r="CA511" s="222"/>
      <c r="CB511" s="222"/>
      <c r="CC511" s="222"/>
      <c r="CD511" s="222"/>
      <c r="CE511" s="227"/>
      <c r="CF511" s="222"/>
      <c r="CG511" s="222"/>
      <c r="CH511" s="222"/>
      <c r="CI511" s="222"/>
      <c r="CJ511" s="227"/>
      <c r="CK511" s="222"/>
      <c r="CL511" s="222"/>
      <c r="CM511" s="222"/>
      <c r="CN511" s="222"/>
      <c r="CO511" s="227"/>
      <c r="CP511" s="222"/>
      <c r="CQ511" s="222"/>
      <c r="CR511" s="222"/>
      <c r="CS511" s="222"/>
      <c r="CT511" s="227"/>
      <c r="CU511" s="222"/>
      <c r="CV511" s="222"/>
      <c r="CW511" s="222"/>
      <c r="CX511" s="222"/>
      <c r="CY511" s="227"/>
      <c r="CZ511" s="222"/>
      <c r="DA511" s="222"/>
      <c r="DB511" s="222"/>
      <c r="DC511" s="222"/>
      <c r="DD511" s="227"/>
      <c r="DE511" s="222"/>
      <c r="DF511" s="222"/>
      <c r="DG511" s="222"/>
      <c r="DH511" s="222"/>
      <c r="DI511" s="227"/>
      <c r="DJ511" s="222"/>
      <c r="DK511" s="222"/>
      <c r="DL511" s="222"/>
      <c r="DM511" s="222"/>
      <c r="DN511" s="227"/>
      <c r="DO511" s="222"/>
      <c r="DP511" s="222"/>
      <c r="DQ511" s="222"/>
      <c r="DR511" s="222"/>
      <c r="DS511" s="227"/>
      <c r="DT511" s="222"/>
      <c r="DU511" s="222"/>
      <c r="DV511" s="222"/>
      <c r="DW511" s="222"/>
      <c r="DX511" s="227"/>
      <c r="DY511" s="222"/>
      <c r="DZ511" s="222"/>
      <c r="EA511" s="222"/>
      <c r="EB511" s="222"/>
      <c r="EC511" s="227"/>
      <c r="ED511" s="222"/>
      <c r="EE511" s="222"/>
      <c r="EF511" s="222"/>
      <c r="EG511" s="222"/>
      <c r="EH511" s="227"/>
      <c r="EI511" s="222"/>
      <c r="EJ511" s="222"/>
      <c r="EK511" s="222"/>
      <c r="EL511" s="222"/>
      <c r="EM511" s="227"/>
      <c r="EN511" s="222"/>
      <c r="EO511" s="222"/>
      <c r="EP511" s="222"/>
      <c r="EQ511" s="222"/>
      <c r="ER511" s="227"/>
      <c r="ES511" s="222"/>
      <c r="ET511" s="222"/>
      <c r="EU511" s="222"/>
      <c r="EV511" s="222"/>
      <c r="EW511" s="227"/>
      <c r="EX511" s="222"/>
      <c r="EY511" s="222"/>
      <c r="EZ511" s="222"/>
      <c r="FA511" s="222"/>
      <c r="FB511" s="227"/>
      <c r="FC511" s="222"/>
      <c r="FD511" s="222"/>
      <c r="FE511" s="222"/>
      <c r="FF511" s="222"/>
      <c r="FG511" s="227"/>
      <c r="FH511" s="222"/>
      <c r="FI511" s="222"/>
      <c r="FJ511" s="222"/>
      <c r="FK511" s="222"/>
      <c r="FL511" s="227"/>
      <c r="FM511" s="222"/>
      <c r="FN511" s="222"/>
      <c r="FO511" s="222"/>
      <c r="FP511" s="222"/>
      <c r="FQ511" s="227"/>
      <c r="FR511" s="222"/>
      <c r="FS511" s="222"/>
      <c r="FT511" s="222"/>
      <c r="FU511" s="222"/>
      <c r="FV511" s="227"/>
      <c r="FW511" s="222"/>
      <c r="FX511" s="222"/>
      <c r="FY511" s="222"/>
      <c r="FZ511" s="222"/>
      <c r="GA511" s="227"/>
      <c r="GB511" s="222"/>
      <c r="GC511" s="222"/>
      <c r="GD511" s="222"/>
      <c r="GE511" s="222"/>
      <c r="GF511" s="227"/>
      <c r="GG511" s="222"/>
      <c r="GH511" s="222"/>
      <c r="GI511" s="222"/>
      <c r="GJ511" s="222"/>
    </row>
    <row r="512" spans="1:192" s="93" customFormat="1" ht="12.75" customHeight="1">
      <c r="A512" s="68"/>
      <c r="B512" s="677"/>
      <c r="C512" s="226"/>
      <c r="D512" s="106"/>
      <c r="E512" s="106"/>
      <c r="F512" s="106"/>
      <c r="G512" s="106"/>
      <c r="H512" s="226"/>
      <c r="I512" s="106"/>
      <c r="J512" s="106"/>
      <c r="K512" s="106"/>
      <c r="L512" s="106"/>
      <c r="M512" s="226"/>
      <c r="N512" s="106"/>
      <c r="O512" s="106"/>
      <c r="P512" s="106"/>
      <c r="Q512" s="106"/>
      <c r="R512" s="226"/>
      <c r="S512" s="106"/>
      <c r="T512" s="106"/>
      <c r="U512" s="106"/>
      <c r="V512" s="106"/>
      <c r="W512" s="226"/>
      <c r="X512" s="106"/>
      <c r="Y512" s="106"/>
      <c r="Z512" s="106"/>
      <c r="AA512" s="106"/>
      <c r="AB512" s="226"/>
      <c r="AC512" s="106"/>
      <c r="AD512" s="106"/>
      <c r="AE512" s="106"/>
      <c r="AF512" s="106"/>
      <c r="AG512" s="226"/>
      <c r="AH512" s="106"/>
      <c r="AI512" s="106"/>
      <c r="AJ512" s="106"/>
      <c r="AK512" s="106"/>
      <c r="AL512" s="226"/>
      <c r="AM512" s="106"/>
      <c r="AN512" s="106"/>
      <c r="AO512" s="106"/>
      <c r="AP512" s="106"/>
      <c r="AQ512" s="226"/>
      <c r="AR512" s="106"/>
      <c r="AS512" s="106"/>
      <c r="AT512" s="106"/>
      <c r="AU512" s="106"/>
      <c r="AV512" s="226"/>
      <c r="AW512" s="106"/>
      <c r="AX512" s="106"/>
      <c r="AY512" s="106"/>
      <c r="AZ512" s="106"/>
      <c r="BA512" s="226"/>
      <c r="BB512" s="106"/>
      <c r="BC512" s="106"/>
      <c r="BD512" s="106"/>
      <c r="BE512" s="106"/>
      <c r="BF512" s="226"/>
      <c r="BG512" s="106"/>
      <c r="BH512" s="106"/>
      <c r="BI512" s="106"/>
      <c r="BJ512" s="106"/>
      <c r="BK512" s="226"/>
      <c r="BL512" s="106"/>
      <c r="BM512" s="106"/>
      <c r="BN512" s="106"/>
      <c r="BO512" s="106"/>
      <c r="BP512" s="226"/>
      <c r="BQ512" s="106"/>
      <c r="BR512" s="106"/>
      <c r="BS512" s="106"/>
      <c r="BT512" s="106"/>
      <c r="BU512" s="226"/>
      <c r="BV512" s="106"/>
      <c r="BW512" s="106"/>
      <c r="BX512" s="106"/>
      <c r="BY512" s="106"/>
      <c r="BZ512" s="226"/>
      <c r="CA512" s="106"/>
      <c r="CB512" s="106"/>
      <c r="CC512" s="106"/>
      <c r="CD512" s="106"/>
      <c r="CE512" s="226"/>
      <c r="CF512" s="106"/>
      <c r="CG512" s="106"/>
      <c r="CH512" s="106"/>
      <c r="CI512" s="106"/>
      <c r="CJ512" s="226"/>
      <c r="CK512" s="106"/>
      <c r="CL512" s="106"/>
      <c r="CM512" s="106"/>
      <c r="CN512" s="106"/>
      <c r="CO512" s="226"/>
      <c r="CP512" s="106"/>
      <c r="CQ512" s="106"/>
      <c r="CR512" s="106"/>
      <c r="CS512" s="106"/>
      <c r="CT512" s="226"/>
      <c r="CU512" s="106"/>
      <c r="CV512" s="106"/>
      <c r="CW512" s="106"/>
      <c r="CX512" s="106"/>
      <c r="CY512" s="226"/>
      <c r="CZ512" s="106"/>
      <c r="DA512" s="106"/>
      <c r="DB512" s="106"/>
      <c r="DC512" s="106"/>
      <c r="DD512" s="226"/>
      <c r="DE512" s="106"/>
      <c r="DF512" s="106"/>
      <c r="DG512" s="106"/>
      <c r="DH512" s="106"/>
      <c r="DI512" s="226"/>
      <c r="DJ512" s="106"/>
      <c r="DK512" s="106"/>
      <c r="DL512" s="106"/>
      <c r="DM512" s="106"/>
      <c r="DN512" s="226"/>
      <c r="DO512" s="106"/>
      <c r="DP512" s="106"/>
      <c r="DQ512" s="106"/>
      <c r="DR512" s="106"/>
      <c r="DS512" s="226"/>
      <c r="DT512" s="106"/>
      <c r="DU512" s="106"/>
      <c r="DV512" s="106"/>
      <c r="DW512" s="106"/>
      <c r="DX512" s="226"/>
      <c r="DY512" s="106"/>
      <c r="DZ512" s="106"/>
      <c r="EA512" s="106"/>
      <c r="EB512" s="106"/>
      <c r="EC512" s="226"/>
      <c r="ED512" s="106"/>
      <c r="EE512" s="106"/>
      <c r="EF512" s="106"/>
      <c r="EG512" s="106"/>
      <c r="EH512" s="226"/>
      <c r="EI512" s="106"/>
      <c r="EJ512" s="106"/>
      <c r="EK512" s="106"/>
      <c r="EL512" s="106"/>
      <c r="EM512" s="226"/>
      <c r="EN512" s="106"/>
      <c r="EO512" s="106"/>
      <c r="EP512" s="106"/>
      <c r="EQ512" s="106"/>
      <c r="ER512" s="226"/>
      <c r="ES512" s="106"/>
      <c r="ET512" s="106"/>
      <c r="EU512" s="106"/>
      <c r="EV512" s="106"/>
      <c r="EW512" s="226"/>
      <c r="EX512" s="106"/>
      <c r="EY512" s="106"/>
      <c r="EZ512" s="106"/>
      <c r="FA512" s="106"/>
      <c r="FB512" s="226"/>
      <c r="FC512" s="106"/>
      <c r="FD512" s="106"/>
      <c r="FE512" s="106"/>
      <c r="FF512" s="106"/>
      <c r="FG512" s="226"/>
      <c r="FH512" s="106"/>
      <c r="FI512" s="106"/>
      <c r="FJ512" s="106"/>
      <c r="FK512" s="106"/>
      <c r="FL512" s="226"/>
      <c r="FM512" s="106"/>
      <c r="FN512" s="106"/>
      <c r="FO512" s="106"/>
      <c r="FP512" s="106"/>
      <c r="FQ512" s="226"/>
      <c r="FR512" s="106"/>
      <c r="FS512" s="106"/>
      <c r="FT512" s="106"/>
      <c r="FU512" s="106"/>
      <c r="FV512" s="226"/>
      <c r="FW512" s="106"/>
      <c r="FX512" s="106"/>
      <c r="FY512" s="106"/>
      <c r="FZ512" s="106"/>
      <c r="GA512" s="226"/>
      <c r="GB512" s="106"/>
      <c r="GC512" s="106"/>
      <c r="GD512" s="106"/>
      <c r="GE512" s="106"/>
      <c r="GF512" s="226"/>
      <c r="GG512" s="106"/>
      <c r="GH512" s="106"/>
      <c r="GI512" s="106"/>
      <c r="GJ512" s="106"/>
    </row>
    <row r="513" spans="1:192" s="93" customFormat="1" ht="12.75" customHeight="1">
      <c r="A513" s="68"/>
      <c r="B513" s="677"/>
      <c r="C513" s="226"/>
      <c r="D513" s="106"/>
      <c r="E513" s="106"/>
      <c r="F513" s="106"/>
      <c r="G513" s="106"/>
      <c r="H513" s="226"/>
      <c r="I513" s="106"/>
      <c r="J513" s="106"/>
      <c r="K513" s="106"/>
      <c r="L513" s="106"/>
      <c r="M513" s="226"/>
      <c r="N513" s="106"/>
      <c r="O513" s="106"/>
      <c r="P513" s="106"/>
      <c r="Q513" s="106"/>
      <c r="R513" s="226"/>
      <c r="S513" s="106"/>
      <c r="T513" s="106"/>
      <c r="U513" s="106"/>
      <c r="V513" s="106"/>
      <c r="W513" s="226"/>
      <c r="X513" s="106"/>
      <c r="Y513" s="106"/>
      <c r="Z513" s="106"/>
      <c r="AA513" s="106"/>
      <c r="AB513" s="226"/>
      <c r="AC513" s="106"/>
      <c r="AD513" s="106"/>
      <c r="AE513" s="106"/>
      <c r="AF513" s="106"/>
      <c r="AG513" s="226"/>
      <c r="AH513" s="106"/>
      <c r="AI513" s="106"/>
      <c r="AJ513" s="106"/>
      <c r="AK513" s="106"/>
      <c r="AL513" s="226"/>
      <c r="AM513" s="106"/>
      <c r="AN513" s="106"/>
      <c r="AO513" s="106"/>
      <c r="AP513" s="106"/>
      <c r="AQ513" s="226"/>
      <c r="AR513" s="106"/>
      <c r="AS513" s="106"/>
      <c r="AT513" s="106"/>
      <c r="AU513" s="106"/>
      <c r="AV513" s="226"/>
      <c r="AW513" s="106"/>
      <c r="AX513" s="106"/>
      <c r="AY513" s="106"/>
      <c r="AZ513" s="106"/>
      <c r="BA513" s="226"/>
      <c r="BB513" s="106"/>
      <c r="BC513" s="106"/>
      <c r="BD513" s="106"/>
      <c r="BE513" s="106"/>
      <c r="BF513" s="226"/>
      <c r="BG513" s="106"/>
      <c r="BH513" s="106"/>
      <c r="BI513" s="106"/>
      <c r="BJ513" s="106"/>
      <c r="BK513" s="226"/>
      <c r="BL513" s="106"/>
      <c r="BM513" s="106"/>
      <c r="BN513" s="106"/>
      <c r="BO513" s="106"/>
      <c r="BP513" s="226"/>
      <c r="BQ513" s="106"/>
      <c r="BR513" s="106"/>
      <c r="BS513" s="106"/>
      <c r="BT513" s="106"/>
      <c r="BU513" s="226"/>
      <c r="BV513" s="106"/>
      <c r="BW513" s="106"/>
      <c r="BX513" s="106"/>
      <c r="BY513" s="106"/>
      <c r="BZ513" s="226"/>
      <c r="CA513" s="106"/>
      <c r="CB513" s="106"/>
      <c r="CC513" s="106"/>
      <c r="CD513" s="106"/>
      <c r="CE513" s="226"/>
      <c r="CF513" s="106"/>
      <c r="CG513" s="106"/>
      <c r="CH513" s="106"/>
      <c r="CI513" s="106"/>
      <c r="CJ513" s="226"/>
      <c r="CK513" s="106"/>
      <c r="CL513" s="106"/>
      <c r="CM513" s="106"/>
      <c r="CN513" s="106"/>
      <c r="CO513" s="226"/>
      <c r="CP513" s="106"/>
      <c r="CQ513" s="106"/>
      <c r="CR513" s="106"/>
      <c r="CS513" s="106"/>
      <c r="CT513" s="226"/>
      <c r="CU513" s="106"/>
      <c r="CV513" s="106"/>
      <c r="CW513" s="106"/>
      <c r="CX513" s="106"/>
      <c r="CY513" s="226"/>
      <c r="CZ513" s="106"/>
      <c r="DA513" s="106"/>
      <c r="DB513" s="106"/>
      <c r="DC513" s="106"/>
      <c r="DD513" s="226"/>
      <c r="DE513" s="106"/>
      <c r="DF513" s="106"/>
      <c r="DG513" s="106"/>
      <c r="DH513" s="106"/>
      <c r="DI513" s="226"/>
      <c r="DJ513" s="106"/>
      <c r="DK513" s="106"/>
      <c r="DL513" s="106"/>
      <c r="DM513" s="106"/>
      <c r="DN513" s="226"/>
      <c r="DO513" s="106"/>
      <c r="DP513" s="106"/>
      <c r="DQ513" s="106"/>
      <c r="DR513" s="106"/>
      <c r="DS513" s="226"/>
      <c r="DT513" s="106"/>
      <c r="DU513" s="106"/>
      <c r="DV513" s="106"/>
      <c r="DW513" s="106"/>
      <c r="DX513" s="226"/>
      <c r="DY513" s="106"/>
      <c r="DZ513" s="106"/>
      <c r="EA513" s="106"/>
      <c r="EB513" s="106"/>
      <c r="EC513" s="226"/>
      <c r="ED513" s="106"/>
      <c r="EE513" s="106"/>
      <c r="EF513" s="106"/>
      <c r="EG513" s="106"/>
      <c r="EH513" s="226"/>
      <c r="EI513" s="106"/>
      <c r="EJ513" s="106"/>
      <c r="EK513" s="106"/>
      <c r="EL513" s="106"/>
      <c r="EM513" s="226"/>
      <c r="EN513" s="106"/>
      <c r="EO513" s="106"/>
      <c r="EP513" s="106"/>
      <c r="EQ513" s="106"/>
      <c r="ER513" s="226"/>
      <c r="ES513" s="106"/>
      <c r="ET513" s="106"/>
      <c r="EU513" s="106"/>
      <c r="EV513" s="106"/>
      <c r="EW513" s="226"/>
      <c r="EX513" s="106"/>
      <c r="EY513" s="106"/>
      <c r="EZ513" s="106"/>
      <c r="FA513" s="106"/>
      <c r="FB513" s="226"/>
      <c r="FC513" s="106"/>
      <c r="FD513" s="106"/>
      <c r="FE513" s="106"/>
      <c r="FF513" s="106"/>
      <c r="FG513" s="226"/>
      <c r="FH513" s="106"/>
      <c r="FI513" s="106"/>
      <c r="FJ513" s="106"/>
      <c r="FK513" s="106"/>
      <c r="FL513" s="226"/>
      <c r="FM513" s="106"/>
      <c r="FN513" s="106"/>
      <c r="FO513" s="106"/>
      <c r="FP513" s="106"/>
      <c r="FQ513" s="226"/>
      <c r="FR513" s="106"/>
      <c r="FS513" s="106"/>
      <c r="FT513" s="106"/>
      <c r="FU513" s="106"/>
      <c r="FV513" s="226"/>
      <c r="FW513" s="106"/>
      <c r="FX513" s="106"/>
      <c r="FY513" s="106"/>
      <c r="FZ513" s="106"/>
      <c r="GA513" s="226"/>
      <c r="GB513" s="106"/>
      <c r="GC513" s="106"/>
      <c r="GD513" s="106"/>
      <c r="GE513" s="106"/>
      <c r="GF513" s="226"/>
      <c r="GG513" s="106"/>
      <c r="GH513" s="106"/>
      <c r="GI513" s="106"/>
      <c r="GJ513" s="106"/>
    </row>
    <row r="514" spans="1:192" s="93" customFormat="1" ht="12.75" customHeight="1">
      <c r="A514" s="68"/>
      <c r="B514" s="677"/>
      <c r="C514" s="106"/>
      <c r="D514" s="106"/>
      <c r="E514" s="106"/>
      <c r="F514" s="106"/>
      <c r="G514" s="106"/>
      <c r="H514" s="106"/>
      <c r="I514" s="106"/>
      <c r="J514" s="106"/>
      <c r="K514" s="106"/>
      <c r="L514" s="106"/>
      <c r="M514" s="106"/>
      <c r="N514" s="106"/>
      <c r="O514" s="106"/>
      <c r="P514" s="106"/>
      <c r="Q514" s="106"/>
      <c r="R514" s="106"/>
      <c r="S514" s="106"/>
      <c r="T514" s="106"/>
      <c r="U514" s="106"/>
      <c r="V514" s="106"/>
      <c r="W514" s="106"/>
      <c r="X514" s="106"/>
      <c r="Y514" s="106"/>
      <c r="Z514" s="106"/>
      <c r="AA514" s="106"/>
      <c r="AB514" s="106"/>
      <c r="AC514" s="106"/>
      <c r="AD514" s="106"/>
      <c r="AE514" s="106"/>
      <c r="AF514" s="106"/>
      <c r="AG514" s="106"/>
      <c r="AH514" s="106"/>
      <c r="AI514" s="106"/>
      <c r="AJ514" s="106"/>
      <c r="AK514" s="106"/>
      <c r="AL514" s="106"/>
      <c r="AM514" s="106"/>
      <c r="AN514" s="106"/>
      <c r="AO514" s="106"/>
      <c r="AP514" s="106"/>
      <c r="AQ514" s="106"/>
      <c r="AR514" s="106"/>
      <c r="AS514" s="106"/>
      <c r="AT514" s="106"/>
      <c r="AU514" s="106"/>
      <c r="AV514" s="106"/>
      <c r="AW514" s="106"/>
      <c r="AX514" s="106"/>
      <c r="AY514" s="106"/>
      <c r="AZ514" s="106"/>
      <c r="BA514" s="106"/>
      <c r="BB514" s="106"/>
      <c r="BC514" s="106"/>
      <c r="BD514" s="106"/>
      <c r="BE514" s="106"/>
      <c r="BF514" s="106"/>
      <c r="BG514" s="106"/>
      <c r="BH514" s="106"/>
      <c r="BI514" s="106"/>
      <c r="BJ514" s="106"/>
      <c r="BK514" s="106"/>
      <c r="BL514" s="106"/>
      <c r="BM514" s="106"/>
      <c r="BN514" s="106"/>
      <c r="BO514" s="106"/>
      <c r="BP514" s="106"/>
      <c r="BQ514" s="106"/>
      <c r="BR514" s="106"/>
      <c r="BS514" s="106"/>
      <c r="BT514" s="106"/>
      <c r="BU514" s="106"/>
      <c r="BV514" s="106"/>
      <c r="BW514" s="106"/>
      <c r="BX514" s="106"/>
      <c r="BY514" s="106"/>
      <c r="BZ514" s="106"/>
      <c r="CA514" s="106"/>
      <c r="CB514" s="106"/>
      <c r="CC514" s="106"/>
      <c r="CD514" s="106"/>
      <c r="CE514" s="106"/>
      <c r="CF514" s="106"/>
      <c r="CG514" s="106"/>
      <c r="CH514" s="106"/>
      <c r="CI514" s="106"/>
      <c r="CJ514" s="106"/>
      <c r="CK514" s="106"/>
      <c r="CL514" s="106"/>
      <c r="CM514" s="106"/>
      <c r="CN514" s="106"/>
      <c r="CO514" s="106"/>
      <c r="CP514" s="106"/>
      <c r="CQ514" s="106"/>
      <c r="CR514" s="106"/>
      <c r="CS514" s="106"/>
      <c r="CT514" s="106"/>
      <c r="CU514" s="106"/>
      <c r="CV514" s="106"/>
      <c r="CW514" s="106"/>
      <c r="CX514" s="106"/>
      <c r="CY514" s="106"/>
      <c r="CZ514" s="106"/>
      <c r="DA514" s="106"/>
      <c r="DB514" s="106"/>
      <c r="DC514" s="106"/>
      <c r="DD514" s="106"/>
      <c r="DE514" s="106"/>
      <c r="DF514" s="106"/>
      <c r="DG514" s="106"/>
      <c r="DH514" s="106"/>
      <c r="DI514" s="106"/>
      <c r="DJ514" s="106"/>
      <c r="DK514" s="106"/>
      <c r="DL514" s="106"/>
      <c r="DM514" s="106"/>
      <c r="DN514" s="106"/>
      <c r="DO514" s="106"/>
      <c r="DP514" s="106"/>
      <c r="DQ514" s="106"/>
      <c r="DR514" s="106"/>
      <c r="DS514" s="106"/>
      <c r="DT514" s="106"/>
      <c r="DU514" s="106"/>
      <c r="DV514" s="106"/>
      <c r="DW514" s="106"/>
      <c r="DX514" s="106"/>
      <c r="DY514" s="106"/>
      <c r="DZ514" s="106"/>
      <c r="EA514" s="106"/>
      <c r="EB514" s="106"/>
      <c r="EC514" s="106"/>
      <c r="ED514" s="106"/>
      <c r="EE514" s="106"/>
      <c r="EF514" s="106"/>
      <c r="EG514" s="106"/>
      <c r="EH514" s="106"/>
      <c r="EI514" s="106"/>
      <c r="EJ514" s="106"/>
      <c r="EK514" s="106"/>
      <c r="EL514" s="106"/>
      <c r="EM514" s="106"/>
      <c r="EN514" s="106"/>
      <c r="EO514" s="106"/>
      <c r="EP514" s="106"/>
      <c r="EQ514" s="106"/>
      <c r="ER514" s="106"/>
      <c r="ES514" s="106"/>
      <c r="ET514" s="106"/>
      <c r="EU514" s="106"/>
      <c r="EV514" s="106"/>
      <c r="EW514" s="106"/>
      <c r="EX514" s="106"/>
      <c r="EY514" s="106"/>
      <c r="EZ514" s="106"/>
      <c r="FA514" s="106"/>
      <c r="FB514" s="106"/>
      <c r="FC514" s="106"/>
      <c r="FD514" s="106"/>
      <c r="FE514" s="106"/>
      <c r="FF514" s="106"/>
      <c r="FG514" s="106"/>
      <c r="FH514" s="106"/>
      <c r="FI514" s="106"/>
      <c r="FJ514" s="106"/>
      <c r="FK514" s="106"/>
      <c r="FL514" s="106"/>
      <c r="FM514" s="106"/>
      <c r="FN514" s="106"/>
      <c r="FO514" s="106"/>
      <c r="FP514" s="106"/>
      <c r="FQ514" s="106"/>
      <c r="FR514" s="106"/>
      <c r="FS514" s="106"/>
      <c r="FT514" s="106"/>
      <c r="FU514" s="106"/>
      <c r="FV514" s="106"/>
      <c r="FW514" s="106"/>
      <c r="FX514" s="106"/>
      <c r="FY514" s="106"/>
      <c r="FZ514" s="106"/>
      <c r="GA514" s="106"/>
      <c r="GB514" s="106"/>
      <c r="GC514" s="106"/>
      <c r="GD514" s="106"/>
      <c r="GE514" s="106"/>
      <c r="GF514" s="106"/>
      <c r="GG514" s="106"/>
      <c r="GH514" s="106"/>
      <c r="GI514" s="106"/>
      <c r="GJ514" s="106"/>
    </row>
    <row r="515" spans="1:192" s="93" customFormat="1" ht="12.75" customHeight="1">
      <c r="A515" s="68"/>
      <c r="B515" s="677"/>
      <c r="C515" s="106"/>
      <c r="D515" s="106"/>
      <c r="E515" s="106"/>
      <c r="F515" s="106"/>
      <c r="G515" s="106"/>
      <c r="H515" s="106"/>
      <c r="I515" s="106"/>
      <c r="J515" s="106"/>
      <c r="K515" s="106"/>
      <c r="L515" s="106"/>
      <c r="M515" s="106"/>
      <c r="N515" s="106"/>
      <c r="O515" s="106"/>
      <c r="P515" s="106"/>
      <c r="Q515" s="106"/>
      <c r="R515" s="106"/>
      <c r="S515" s="106"/>
      <c r="T515" s="106"/>
      <c r="U515" s="106"/>
      <c r="V515" s="106"/>
      <c r="W515" s="106"/>
      <c r="X515" s="106"/>
      <c r="Y515" s="106"/>
      <c r="Z515" s="106"/>
      <c r="AA515" s="106"/>
      <c r="AB515" s="106"/>
      <c r="AC515" s="106"/>
      <c r="AD515" s="106"/>
      <c r="AE515" s="106"/>
      <c r="AF515" s="106"/>
      <c r="AG515" s="106"/>
      <c r="AH515" s="106"/>
      <c r="AI515" s="106"/>
      <c r="AJ515" s="106"/>
      <c r="AK515" s="106"/>
      <c r="AL515" s="106"/>
      <c r="AM515" s="106"/>
      <c r="AN515" s="106"/>
      <c r="AO515" s="106"/>
      <c r="AP515" s="106"/>
      <c r="AQ515" s="106"/>
      <c r="AR515" s="106"/>
      <c r="AS515" s="106"/>
      <c r="AT515" s="106"/>
      <c r="AU515" s="106"/>
      <c r="AV515" s="106"/>
      <c r="AW515" s="106"/>
      <c r="AX515" s="106"/>
      <c r="AY515" s="106"/>
      <c r="AZ515" s="106"/>
      <c r="BA515" s="106"/>
      <c r="BB515" s="106"/>
      <c r="BC515" s="106"/>
      <c r="BD515" s="106"/>
      <c r="BE515" s="106"/>
      <c r="BF515" s="106"/>
      <c r="BG515" s="106"/>
      <c r="BH515" s="106"/>
      <c r="BI515" s="106"/>
      <c r="BJ515" s="106"/>
      <c r="BK515" s="106"/>
      <c r="BL515" s="106"/>
      <c r="BM515" s="106"/>
      <c r="BN515" s="106"/>
      <c r="BO515" s="106"/>
      <c r="BP515" s="106"/>
      <c r="BQ515" s="106"/>
      <c r="BR515" s="106"/>
      <c r="BS515" s="106"/>
      <c r="BT515" s="106"/>
      <c r="BU515" s="106"/>
      <c r="BV515" s="106"/>
      <c r="BW515" s="106"/>
      <c r="BX515" s="106"/>
      <c r="BY515" s="106"/>
      <c r="BZ515" s="106"/>
      <c r="CA515" s="106"/>
      <c r="CB515" s="106"/>
      <c r="CC515" s="106"/>
      <c r="CD515" s="106"/>
      <c r="CE515" s="106"/>
      <c r="CF515" s="106"/>
      <c r="CG515" s="106"/>
      <c r="CH515" s="106"/>
      <c r="CI515" s="106"/>
      <c r="CJ515" s="106"/>
      <c r="CK515" s="106"/>
      <c r="CL515" s="106"/>
      <c r="CM515" s="106"/>
      <c r="CN515" s="106"/>
      <c r="CO515" s="106"/>
      <c r="CP515" s="106"/>
      <c r="CQ515" s="106"/>
      <c r="CR515" s="106"/>
      <c r="CS515" s="106"/>
      <c r="CT515" s="106"/>
      <c r="CU515" s="106"/>
      <c r="CV515" s="106"/>
      <c r="CW515" s="106"/>
      <c r="CX515" s="106"/>
      <c r="CY515" s="106"/>
      <c r="CZ515" s="106"/>
      <c r="DA515" s="106"/>
      <c r="DB515" s="106"/>
      <c r="DC515" s="106"/>
      <c r="DD515" s="106"/>
      <c r="DE515" s="106"/>
      <c r="DF515" s="106"/>
      <c r="DG515" s="106"/>
      <c r="DH515" s="106"/>
      <c r="DI515" s="106"/>
      <c r="DJ515" s="106"/>
      <c r="DK515" s="106"/>
      <c r="DL515" s="106"/>
      <c r="DM515" s="106"/>
      <c r="DN515" s="106"/>
      <c r="DO515" s="106"/>
      <c r="DP515" s="106"/>
      <c r="DQ515" s="106"/>
      <c r="DR515" s="106"/>
      <c r="DS515" s="106"/>
      <c r="DT515" s="106"/>
      <c r="DU515" s="106"/>
      <c r="DV515" s="106"/>
      <c r="DW515" s="106"/>
      <c r="DX515" s="106"/>
      <c r="DY515" s="106"/>
      <c r="DZ515" s="106"/>
      <c r="EA515" s="106"/>
      <c r="EB515" s="106"/>
      <c r="EC515" s="106"/>
      <c r="ED515" s="106"/>
      <c r="EE515" s="106"/>
      <c r="EF515" s="106"/>
      <c r="EG515" s="106"/>
      <c r="EH515" s="106"/>
      <c r="EI515" s="106"/>
      <c r="EJ515" s="106"/>
      <c r="EK515" s="106"/>
      <c r="EL515" s="106"/>
      <c r="EM515" s="106"/>
      <c r="EN515" s="106"/>
      <c r="EO515" s="106"/>
      <c r="EP515" s="106"/>
      <c r="EQ515" s="106"/>
      <c r="ER515" s="106"/>
      <c r="ES515" s="106"/>
      <c r="ET515" s="106"/>
      <c r="EU515" s="106"/>
      <c r="EV515" s="106"/>
      <c r="EW515" s="106"/>
      <c r="EX515" s="106"/>
      <c r="EY515" s="106"/>
      <c r="EZ515" s="106"/>
      <c r="FA515" s="106"/>
      <c r="FB515" s="106"/>
      <c r="FC515" s="106"/>
      <c r="FD515" s="106"/>
      <c r="FE515" s="106"/>
      <c r="FF515" s="106"/>
      <c r="FG515" s="106"/>
      <c r="FH515" s="106"/>
      <c r="FI515" s="106"/>
      <c r="FJ515" s="106"/>
      <c r="FK515" s="106"/>
      <c r="FL515" s="106"/>
      <c r="FM515" s="106"/>
      <c r="FN515" s="106"/>
      <c r="FO515" s="106"/>
      <c r="FP515" s="106"/>
      <c r="FQ515" s="106"/>
      <c r="FR515" s="106"/>
      <c r="FS515" s="106"/>
      <c r="FT515" s="106"/>
      <c r="FU515" s="106"/>
      <c r="FV515" s="106"/>
      <c r="FW515" s="106"/>
      <c r="FX515" s="106"/>
      <c r="FY515" s="106"/>
      <c r="FZ515" s="106"/>
      <c r="GA515" s="106"/>
      <c r="GB515" s="106"/>
      <c r="GC515" s="106"/>
      <c r="GD515" s="106"/>
      <c r="GE515" s="106"/>
      <c r="GF515" s="106"/>
      <c r="GG515" s="106"/>
      <c r="GH515" s="106"/>
      <c r="GI515" s="106"/>
      <c r="GJ515" s="106"/>
    </row>
    <row r="516" spans="1:192" s="93" customFormat="1" ht="12.75" customHeight="1">
      <c r="A516" s="68"/>
      <c r="B516" s="677"/>
      <c r="C516" s="106"/>
      <c r="D516" s="106"/>
      <c r="E516" s="106"/>
      <c r="F516" s="106"/>
      <c r="G516" s="106"/>
      <c r="H516" s="106"/>
      <c r="I516" s="106"/>
      <c r="J516" s="106"/>
      <c r="K516" s="106"/>
      <c r="L516" s="106"/>
      <c r="M516" s="106"/>
      <c r="N516" s="106"/>
      <c r="O516" s="106"/>
      <c r="P516" s="106"/>
      <c r="Q516" s="106"/>
      <c r="R516" s="106"/>
      <c r="S516" s="106"/>
      <c r="T516" s="106"/>
      <c r="U516" s="106"/>
      <c r="V516" s="106"/>
      <c r="W516" s="106"/>
      <c r="X516" s="106"/>
      <c r="Y516" s="106"/>
      <c r="Z516" s="106"/>
      <c r="AA516" s="106"/>
      <c r="AB516" s="106"/>
      <c r="AC516" s="106"/>
      <c r="AD516" s="106"/>
      <c r="AE516" s="106"/>
      <c r="AF516" s="106"/>
      <c r="AG516" s="106"/>
      <c r="AH516" s="106"/>
      <c r="AI516" s="106"/>
      <c r="AJ516" s="106"/>
      <c r="AK516" s="106"/>
      <c r="AL516" s="106"/>
      <c r="AM516" s="106"/>
      <c r="AN516" s="106"/>
      <c r="AO516" s="106"/>
      <c r="AP516" s="106"/>
      <c r="AQ516" s="106"/>
      <c r="AR516" s="106"/>
      <c r="AS516" s="106"/>
      <c r="AT516" s="106"/>
      <c r="AU516" s="106"/>
      <c r="AV516" s="106"/>
      <c r="AW516" s="106"/>
      <c r="AX516" s="106"/>
      <c r="AY516" s="106"/>
      <c r="AZ516" s="106"/>
      <c r="BA516" s="106"/>
      <c r="BB516" s="106"/>
      <c r="BC516" s="106"/>
      <c r="BD516" s="106"/>
      <c r="BE516" s="106"/>
      <c r="BF516" s="106"/>
      <c r="BG516" s="106"/>
      <c r="BH516" s="106"/>
      <c r="BI516" s="106"/>
      <c r="BJ516" s="106"/>
      <c r="BK516" s="106"/>
      <c r="BL516" s="106"/>
      <c r="BM516" s="106"/>
      <c r="BN516" s="106"/>
      <c r="BO516" s="106"/>
      <c r="BP516" s="106"/>
      <c r="BQ516" s="106"/>
      <c r="BR516" s="106"/>
      <c r="BS516" s="106"/>
      <c r="BT516" s="106"/>
      <c r="BU516" s="106"/>
      <c r="BV516" s="106"/>
      <c r="BW516" s="106"/>
      <c r="BX516" s="106"/>
      <c r="BY516" s="106"/>
      <c r="BZ516" s="106"/>
      <c r="CA516" s="106"/>
      <c r="CB516" s="106"/>
      <c r="CC516" s="106"/>
      <c r="CD516" s="106"/>
      <c r="CE516" s="106"/>
      <c r="CF516" s="106"/>
      <c r="CG516" s="106"/>
      <c r="CH516" s="106"/>
      <c r="CI516" s="106"/>
      <c r="CJ516" s="106"/>
      <c r="CK516" s="106"/>
      <c r="CL516" s="106"/>
      <c r="CM516" s="106"/>
      <c r="CN516" s="106"/>
      <c r="CO516" s="106"/>
      <c r="CP516" s="106"/>
      <c r="CQ516" s="106"/>
      <c r="CR516" s="106"/>
      <c r="CS516" s="106"/>
      <c r="CT516" s="106"/>
      <c r="CU516" s="106"/>
      <c r="CV516" s="106"/>
      <c r="CW516" s="106"/>
      <c r="CX516" s="106"/>
      <c r="CY516" s="106"/>
      <c r="CZ516" s="106"/>
      <c r="DA516" s="106"/>
      <c r="DB516" s="106"/>
      <c r="DC516" s="106"/>
      <c r="DD516" s="106"/>
      <c r="DE516" s="106"/>
      <c r="DF516" s="106"/>
      <c r="DG516" s="106"/>
      <c r="DH516" s="106"/>
      <c r="DI516" s="106"/>
      <c r="DJ516" s="106"/>
      <c r="DK516" s="106"/>
      <c r="DL516" s="106"/>
      <c r="DM516" s="106"/>
      <c r="DN516" s="106"/>
      <c r="DO516" s="106"/>
      <c r="DP516" s="106"/>
      <c r="DQ516" s="106"/>
      <c r="DR516" s="106"/>
      <c r="DS516" s="106"/>
      <c r="DT516" s="106"/>
      <c r="DU516" s="106"/>
      <c r="DV516" s="106"/>
      <c r="DW516" s="106"/>
      <c r="DX516" s="106"/>
      <c r="DY516" s="106"/>
      <c r="DZ516" s="106"/>
      <c r="EA516" s="106"/>
      <c r="EB516" s="106"/>
      <c r="EC516" s="106"/>
      <c r="ED516" s="106"/>
      <c r="EE516" s="106"/>
      <c r="EF516" s="106"/>
      <c r="EG516" s="106"/>
      <c r="EH516" s="106"/>
      <c r="EI516" s="106"/>
      <c r="EJ516" s="106"/>
      <c r="EK516" s="106"/>
      <c r="EL516" s="106"/>
      <c r="EM516" s="106"/>
      <c r="EN516" s="106"/>
      <c r="EO516" s="106"/>
      <c r="EP516" s="106"/>
      <c r="EQ516" s="106"/>
      <c r="ER516" s="106"/>
      <c r="ES516" s="106"/>
      <c r="ET516" s="106"/>
      <c r="EU516" s="106"/>
      <c r="EV516" s="106"/>
      <c r="EW516" s="106"/>
      <c r="EX516" s="106"/>
      <c r="EY516" s="106"/>
      <c r="EZ516" s="106"/>
      <c r="FA516" s="106"/>
      <c r="FB516" s="106"/>
      <c r="FC516" s="106"/>
      <c r="FD516" s="106"/>
      <c r="FE516" s="106"/>
      <c r="FF516" s="106"/>
      <c r="FG516" s="106"/>
      <c r="FH516" s="106"/>
      <c r="FI516" s="106"/>
      <c r="FJ516" s="106"/>
      <c r="FK516" s="106"/>
      <c r="FL516" s="106"/>
      <c r="FM516" s="106"/>
      <c r="FN516" s="106"/>
      <c r="FO516" s="106"/>
      <c r="FP516" s="106"/>
      <c r="FQ516" s="106"/>
      <c r="FR516" s="106"/>
      <c r="FS516" s="106"/>
      <c r="FT516" s="106"/>
      <c r="FU516" s="106"/>
      <c r="FV516" s="106"/>
      <c r="FW516" s="106"/>
      <c r="FX516" s="106"/>
      <c r="FY516" s="106"/>
      <c r="FZ516" s="106"/>
      <c r="GA516" s="106"/>
      <c r="GB516" s="106"/>
      <c r="GC516" s="106"/>
      <c r="GD516" s="106"/>
      <c r="GE516" s="106"/>
      <c r="GF516" s="106"/>
      <c r="GG516" s="106"/>
      <c r="GH516" s="106"/>
      <c r="GI516" s="106"/>
      <c r="GJ516" s="106"/>
    </row>
    <row r="517" spans="1:192" s="93" customFormat="1" ht="12.75" customHeight="1">
      <c r="A517" s="68"/>
      <c r="B517" s="677"/>
      <c r="C517" s="169"/>
      <c r="D517" s="106"/>
      <c r="E517" s="106"/>
      <c r="F517" s="106"/>
      <c r="G517" s="106"/>
      <c r="H517" s="169"/>
      <c r="I517" s="106"/>
      <c r="J517" s="106"/>
      <c r="K517" s="106"/>
      <c r="L517" s="106"/>
      <c r="M517" s="169"/>
      <c r="N517" s="106"/>
      <c r="O517" s="106"/>
      <c r="P517" s="106"/>
      <c r="Q517" s="106"/>
      <c r="R517" s="169"/>
      <c r="S517" s="106"/>
      <c r="T517" s="106"/>
      <c r="U517" s="106"/>
      <c r="V517" s="106"/>
      <c r="W517" s="169"/>
      <c r="X517" s="106"/>
      <c r="Y517" s="106"/>
      <c r="Z517" s="106"/>
      <c r="AA517" s="106"/>
      <c r="AB517" s="169"/>
      <c r="AC517" s="106"/>
      <c r="AD517" s="106"/>
      <c r="AE517" s="106"/>
      <c r="AF517" s="106"/>
      <c r="AG517" s="169"/>
      <c r="AH517" s="106"/>
      <c r="AI517" s="106"/>
      <c r="AJ517" s="106"/>
      <c r="AK517" s="106"/>
      <c r="AL517" s="169"/>
      <c r="AM517" s="106"/>
      <c r="AN517" s="106"/>
      <c r="AO517" s="106"/>
      <c r="AP517" s="106"/>
      <c r="AQ517" s="169"/>
      <c r="AR517" s="106"/>
      <c r="AS517" s="106"/>
      <c r="AT517" s="106"/>
      <c r="AU517" s="106"/>
      <c r="AV517" s="169"/>
      <c r="AW517" s="106"/>
      <c r="AX517" s="106"/>
      <c r="AY517" s="106"/>
      <c r="AZ517" s="106"/>
      <c r="BA517" s="169"/>
      <c r="BB517" s="106"/>
      <c r="BC517" s="106"/>
      <c r="BD517" s="106"/>
      <c r="BE517" s="106"/>
      <c r="BF517" s="169"/>
      <c r="BG517" s="106"/>
      <c r="BH517" s="106"/>
      <c r="BI517" s="106"/>
      <c r="BJ517" s="106"/>
      <c r="BK517" s="169"/>
      <c r="BL517" s="106"/>
      <c r="BM517" s="106"/>
      <c r="BN517" s="106"/>
      <c r="BO517" s="106"/>
      <c r="BP517" s="169"/>
      <c r="BQ517" s="106"/>
      <c r="BR517" s="106"/>
      <c r="BS517" s="106"/>
      <c r="BT517" s="106"/>
      <c r="BU517" s="169"/>
      <c r="BV517" s="106"/>
      <c r="BW517" s="106"/>
      <c r="BX517" s="106"/>
      <c r="BY517" s="106"/>
      <c r="BZ517" s="169"/>
      <c r="CA517" s="106"/>
      <c r="CB517" s="106"/>
      <c r="CC517" s="106"/>
      <c r="CD517" s="106"/>
      <c r="CE517" s="169"/>
      <c r="CF517" s="106"/>
      <c r="CG517" s="106"/>
      <c r="CH517" s="106"/>
      <c r="CI517" s="106"/>
      <c r="CJ517" s="169"/>
      <c r="CK517" s="106"/>
      <c r="CL517" s="106"/>
      <c r="CM517" s="106"/>
      <c r="CN517" s="106"/>
      <c r="CO517" s="169"/>
      <c r="CP517" s="106"/>
      <c r="CQ517" s="106"/>
      <c r="CR517" s="106"/>
      <c r="CS517" s="106"/>
      <c r="CT517" s="169"/>
      <c r="CU517" s="106"/>
      <c r="CV517" s="106"/>
      <c r="CW517" s="106"/>
      <c r="CX517" s="106"/>
      <c r="CY517" s="169"/>
      <c r="CZ517" s="106"/>
      <c r="DA517" s="106"/>
      <c r="DB517" s="106"/>
      <c r="DC517" s="106"/>
      <c r="DD517" s="169"/>
      <c r="DE517" s="106"/>
      <c r="DF517" s="106"/>
      <c r="DG517" s="106"/>
      <c r="DH517" s="106"/>
      <c r="DI517" s="169"/>
      <c r="DJ517" s="106"/>
      <c r="DK517" s="106"/>
      <c r="DL517" s="106"/>
      <c r="DM517" s="106"/>
      <c r="DN517" s="169"/>
      <c r="DO517" s="106"/>
      <c r="DP517" s="106"/>
      <c r="DQ517" s="106"/>
      <c r="DR517" s="106"/>
      <c r="DS517" s="169"/>
      <c r="DT517" s="106"/>
      <c r="DU517" s="106"/>
      <c r="DV517" s="106"/>
      <c r="DW517" s="106"/>
      <c r="DX517" s="169"/>
      <c r="DY517" s="106"/>
      <c r="DZ517" s="106"/>
      <c r="EA517" s="106"/>
      <c r="EB517" s="106"/>
      <c r="EC517" s="169"/>
      <c r="ED517" s="106"/>
      <c r="EE517" s="106"/>
      <c r="EF517" s="106"/>
      <c r="EG517" s="106"/>
      <c r="EH517" s="169"/>
      <c r="EI517" s="106"/>
      <c r="EJ517" s="106"/>
      <c r="EK517" s="106"/>
      <c r="EL517" s="106"/>
      <c r="EM517" s="169"/>
      <c r="EN517" s="106"/>
      <c r="EO517" s="106"/>
      <c r="EP517" s="106"/>
      <c r="EQ517" s="106"/>
      <c r="ER517" s="169"/>
      <c r="ES517" s="106"/>
      <c r="ET517" s="106"/>
      <c r="EU517" s="106"/>
      <c r="EV517" s="106"/>
      <c r="EW517" s="169"/>
      <c r="EX517" s="106"/>
      <c r="EY517" s="106"/>
      <c r="EZ517" s="106"/>
      <c r="FA517" s="106"/>
      <c r="FB517" s="169"/>
      <c r="FC517" s="106"/>
      <c r="FD517" s="106"/>
      <c r="FE517" s="106"/>
      <c r="FF517" s="106"/>
      <c r="FG517" s="169"/>
      <c r="FH517" s="106"/>
      <c r="FI517" s="106"/>
      <c r="FJ517" s="106"/>
      <c r="FK517" s="106"/>
      <c r="FL517" s="169"/>
      <c r="FM517" s="106"/>
      <c r="FN517" s="106"/>
      <c r="FO517" s="106"/>
      <c r="FP517" s="106"/>
      <c r="FQ517" s="169"/>
      <c r="FR517" s="106"/>
      <c r="FS517" s="106"/>
      <c r="FT517" s="106"/>
      <c r="FU517" s="106"/>
      <c r="FV517" s="169"/>
      <c r="FW517" s="106"/>
      <c r="FX517" s="106"/>
      <c r="FY517" s="106"/>
      <c r="FZ517" s="106"/>
      <c r="GA517" s="169"/>
      <c r="GB517" s="106"/>
      <c r="GC517" s="106"/>
      <c r="GD517" s="106"/>
      <c r="GE517" s="106"/>
      <c r="GF517" s="169"/>
      <c r="GG517" s="106"/>
      <c r="GH517" s="106"/>
      <c r="GI517" s="106"/>
      <c r="GJ517" s="106"/>
    </row>
    <row r="518" spans="1:192" s="93" customFormat="1" ht="12.75" customHeight="1">
      <c r="A518" s="68"/>
      <c r="B518" s="677"/>
      <c r="C518" s="226"/>
      <c r="D518" s="106"/>
      <c r="E518" s="106"/>
      <c r="F518" s="106"/>
      <c r="G518" s="106"/>
      <c r="H518" s="226"/>
      <c r="I518" s="106"/>
      <c r="J518" s="106"/>
      <c r="K518" s="106"/>
      <c r="L518" s="106"/>
      <c r="M518" s="226"/>
      <c r="N518" s="106"/>
      <c r="O518" s="106"/>
      <c r="P518" s="106"/>
      <c r="Q518" s="106"/>
      <c r="R518" s="226"/>
      <c r="S518" s="106"/>
      <c r="T518" s="106"/>
      <c r="U518" s="106"/>
      <c r="V518" s="106"/>
      <c r="W518" s="226"/>
      <c r="X518" s="106"/>
      <c r="Y518" s="106"/>
      <c r="Z518" s="106"/>
      <c r="AA518" s="106"/>
      <c r="AB518" s="226"/>
      <c r="AC518" s="106"/>
      <c r="AD518" s="106"/>
      <c r="AE518" s="106"/>
      <c r="AF518" s="106"/>
      <c r="AG518" s="226"/>
      <c r="AH518" s="106"/>
      <c r="AI518" s="106"/>
      <c r="AJ518" s="106"/>
      <c r="AK518" s="106"/>
      <c r="AL518" s="226"/>
      <c r="AM518" s="106"/>
      <c r="AN518" s="106"/>
      <c r="AO518" s="106"/>
      <c r="AP518" s="106"/>
      <c r="AQ518" s="226"/>
      <c r="AR518" s="106"/>
      <c r="AS518" s="106"/>
      <c r="AT518" s="106"/>
      <c r="AU518" s="106"/>
      <c r="AV518" s="226"/>
      <c r="AW518" s="106"/>
      <c r="AX518" s="106"/>
      <c r="AY518" s="106"/>
      <c r="AZ518" s="106"/>
      <c r="BA518" s="226"/>
      <c r="BB518" s="106"/>
      <c r="BC518" s="106"/>
      <c r="BD518" s="106"/>
      <c r="BE518" s="106"/>
      <c r="BF518" s="226"/>
      <c r="BG518" s="106"/>
      <c r="BH518" s="106"/>
      <c r="BI518" s="106"/>
      <c r="BJ518" s="106"/>
      <c r="BK518" s="226"/>
      <c r="BL518" s="106"/>
      <c r="BM518" s="106"/>
      <c r="BN518" s="106"/>
      <c r="BO518" s="106"/>
      <c r="BP518" s="226"/>
      <c r="BQ518" s="106"/>
      <c r="BR518" s="106"/>
      <c r="BS518" s="106"/>
      <c r="BT518" s="106"/>
      <c r="BU518" s="226"/>
      <c r="BV518" s="106"/>
      <c r="BW518" s="106"/>
      <c r="BX518" s="106"/>
      <c r="BY518" s="106"/>
      <c r="BZ518" s="226"/>
      <c r="CA518" s="106"/>
      <c r="CB518" s="106"/>
      <c r="CC518" s="106"/>
      <c r="CD518" s="106"/>
      <c r="CE518" s="226"/>
      <c r="CF518" s="106"/>
      <c r="CG518" s="106"/>
      <c r="CH518" s="106"/>
      <c r="CI518" s="106"/>
      <c r="CJ518" s="226"/>
      <c r="CK518" s="106"/>
      <c r="CL518" s="106"/>
      <c r="CM518" s="106"/>
      <c r="CN518" s="106"/>
      <c r="CO518" s="226"/>
      <c r="CP518" s="106"/>
      <c r="CQ518" s="106"/>
      <c r="CR518" s="106"/>
      <c r="CS518" s="106"/>
      <c r="CT518" s="226"/>
      <c r="CU518" s="106"/>
      <c r="CV518" s="106"/>
      <c r="CW518" s="106"/>
      <c r="CX518" s="106"/>
      <c r="CY518" s="226"/>
      <c r="CZ518" s="106"/>
      <c r="DA518" s="106"/>
      <c r="DB518" s="106"/>
      <c r="DC518" s="106"/>
      <c r="DD518" s="226"/>
      <c r="DE518" s="106"/>
      <c r="DF518" s="106"/>
      <c r="DG518" s="106"/>
      <c r="DH518" s="106"/>
      <c r="DI518" s="226"/>
      <c r="DJ518" s="106"/>
      <c r="DK518" s="106"/>
      <c r="DL518" s="106"/>
      <c r="DM518" s="106"/>
      <c r="DN518" s="226"/>
      <c r="DO518" s="106"/>
      <c r="DP518" s="106"/>
      <c r="DQ518" s="106"/>
      <c r="DR518" s="106"/>
      <c r="DS518" s="226"/>
      <c r="DT518" s="106"/>
      <c r="DU518" s="106"/>
      <c r="DV518" s="106"/>
      <c r="DW518" s="106"/>
      <c r="DX518" s="226"/>
      <c r="DY518" s="106"/>
      <c r="DZ518" s="106"/>
      <c r="EA518" s="106"/>
      <c r="EB518" s="106"/>
      <c r="EC518" s="226"/>
      <c r="ED518" s="106"/>
      <c r="EE518" s="106"/>
      <c r="EF518" s="106"/>
      <c r="EG518" s="106"/>
      <c r="EH518" s="226"/>
      <c r="EI518" s="106"/>
      <c r="EJ518" s="106"/>
      <c r="EK518" s="106"/>
      <c r="EL518" s="106"/>
      <c r="EM518" s="226"/>
      <c r="EN518" s="106"/>
      <c r="EO518" s="106"/>
      <c r="EP518" s="106"/>
      <c r="EQ518" s="106"/>
      <c r="ER518" s="226"/>
      <c r="ES518" s="106"/>
      <c r="ET518" s="106"/>
      <c r="EU518" s="106"/>
      <c r="EV518" s="106"/>
      <c r="EW518" s="226"/>
      <c r="EX518" s="106"/>
      <c r="EY518" s="106"/>
      <c r="EZ518" s="106"/>
      <c r="FA518" s="106"/>
      <c r="FB518" s="226"/>
      <c r="FC518" s="106"/>
      <c r="FD518" s="106"/>
      <c r="FE518" s="106"/>
      <c r="FF518" s="106"/>
      <c r="FG518" s="226"/>
      <c r="FH518" s="106"/>
      <c r="FI518" s="106"/>
      <c r="FJ518" s="106"/>
      <c r="FK518" s="106"/>
      <c r="FL518" s="226"/>
      <c r="FM518" s="106"/>
      <c r="FN518" s="106"/>
      <c r="FO518" s="106"/>
      <c r="FP518" s="106"/>
      <c r="FQ518" s="226"/>
      <c r="FR518" s="106"/>
      <c r="FS518" s="106"/>
      <c r="FT518" s="106"/>
      <c r="FU518" s="106"/>
      <c r="FV518" s="226"/>
      <c r="FW518" s="106"/>
      <c r="FX518" s="106"/>
      <c r="FY518" s="106"/>
      <c r="FZ518" s="106"/>
      <c r="GA518" s="226"/>
      <c r="GB518" s="106"/>
      <c r="GC518" s="106"/>
      <c r="GD518" s="106"/>
      <c r="GE518" s="106"/>
      <c r="GF518" s="226"/>
      <c r="GG518" s="106"/>
      <c r="GH518" s="106"/>
      <c r="GI518" s="106"/>
      <c r="GJ518" s="106"/>
    </row>
    <row r="519" spans="1:192" s="93" customFormat="1" ht="12.75" customHeight="1">
      <c r="A519" s="68"/>
      <c r="B519" s="677"/>
      <c r="C519" s="226"/>
      <c r="D519" s="106"/>
      <c r="E519" s="106"/>
      <c r="F519" s="106"/>
      <c r="G519" s="106"/>
      <c r="H519" s="226"/>
      <c r="I519" s="106"/>
      <c r="J519" s="106"/>
      <c r="K519" s="106"/>
      <c r="L519" s="106"/>
      <c r="M519" s="226"/>
      <c r="N519" s="106"/>
      <c r="O519" s="106"/>
      <c r="P519" s="106"/>
      <c r="Q519" s="106"/>
      <c r="R519" s="226"/>
      <c r="S519" s="106"/>
      <c r="T519" s="106"/>
      <c r="U519" s="106"/>
      <c r="V519" s="106"/>
      <c r="W519" s="226"/>
      <c r="X519" s="106"/>
      <c r="Y519" s="106"/>
      <c r="Z519" s="106"/>
      <c r="AA519" s="106"/>
      <c r="AB519" s="226"/>
      <c r="AC519" s="106"/>
      <c r="AD519" s="106"/>
      <c r="AE519" s="106"/>
      <c r="AF519" s="106"/>
      <c r="AG519" s="226"/>
      <c r="AH519" s="106"/>
      <c r="AI519" s="106"/>
      <c r="AJ519" s="106"/>
      <c r="AK519" s="106"/>
      <c r="AL519" s="226"/>
      <c r="AM519" s="106"/>
      <c r="AN519" s="106"/>
      <c r="AO519" s="106"/>
      <c r="AP519" s="106"/>
      <c r="AQ519" s="226"/>
      <c r="AR519" s="106"/>
      <c r="AS519" s="106"/>
      <c r="AT519" s="106"/>
      <c r="AU519" s="106"/>
      <c r="AV519" s="226"/>
      <c r="AW519" s="106"/>
      <c r="AX519" s="106"/>
      <c r="AY519" s="106"/>
      <c r="AZ519" s="106"/>
      <c r="BA519" s="226"/>
      <c r="BB519" s="106"/>
      <c r="BC519" s="106"/>
      <c r="BD519" s="106"/>
      <c r="BE519" s="106"/>
      <c r="BF519" s="226"/>
      <c r="BG519" s="106"/>
      <c r="BH519" s="106"/>
      <c r="BI519" s="106"/>
      <c r="BJ519" s="106"/>
      <c r="BK519" s="226"/>
      <c r="BL519" s="106"/>
      <c r="BM519" s="106"/>
      <c r="BN519" s="106"/>
      <c r="BO519" s="106"/>
      <c r="BP519" s="226"/>
      <c r="BQ519" s="106"/>
      <c r="BR519" s="106"/>
      <c r="BS519" s="106"/>
      <c r="BT519" s="106"/>
      <c r="BU519" s="226"/>
      <c r="BV519" s="106"/>
      <c r="BW519" s="106"/>
      <c r="BX519" s="106"/>
      <c r="BY519" s="106"/>
      <c r="BZ519" s="226"/>
      <c r="CA519" s="106"/>
      <c r="CB519" s="106"/>
      <c r="CC519" s="106"/>
      <c r="CD519" s="106"/>
      <c r="CE519" s="226"/>
      <c r="CF519" s="106"/>
      <c r="CG519" s="106"/>
      <c r="CH519" s="106"/>
      <c r="CI519" s="106"/>
      <c r="CJ519" s="226"/>
      <c r="CK519" s="106"/>
      <c r="CL519" s="106"/>
      <c r="CM519" s="106"/>
      <c r="CN519" s="106"/>
      <c r="CO519" s="226"/>
      <c r="CP519" s="106"/>
      <c r="CQ519" s="106"/>
      <c r="CR519" s="106"/>
      <c r="CS519" s="106"/>
      <c r="CT519" s="226"/>
      <c r="CU519" s="106"/>
      <c r="CV519" s="106"/>
      <c r="CW519" s="106"/>
      <c r="CX519" s="106"/>
      <c r="CY519" s="226"/>
      <c r="CZ519" s="106"/>
      <c r="DA519" s="106"/>
      <c r="DB519" s="106"/>
      <c r="DC519" s="106"/>
      <c r="DD519" s="226"/>
      <c r="DE519" s="106"/>
      <c r="DF519" s="106"/>
      <c r="DG519" s="106"/>
      <c r="DH519" s="106"/>
      <c r="DI519" s="226"/>
      <c r="DJ519" s="106"/>
      <c r="DK519" s="106"/>
      <c r="DL519" s="106"/>
      <c r="DM519" s="106"/>
      <c r="DN519" s="226"/>
      <c r="DO519" s="106"/>
      <c r="DP519" s="106"/>
      <c r="DQ519" s="106"/>
      <c r="DR519" s="106"/>
      <c r="DS519" s="226"/>
      <c r="DT519" s="106"/>
      <c r="DU519" s="106"/>
      <c r="DV519" s="106"/>
      <c r="DW519" s="106"/>
      <c r="DX519" s="226"/>
      <c r="DY519" s="106"/>
      <c r="DZ519" s="106"/>
      <c r="EA519" s="106"/>
      <c r="EB519" s="106"/>
      <c r="EC519" s="226"/>
      <c r="ED519" s="106"/>
      <c r="EE519" s="106"/>
      <c r="EF519" s="106"/>
      <c r="EG519" s="106"/>
      <c r="EH519" s="226"/>
      <c r="EI519" s="106"/>
      <c r="EJ519" s="106"/>
      <c r="EK519" s="106"/>
      <c r="EL519" s="106"/>
      <c r="EM519" s="226"/>
      <c r="EN519" s="106"/>
      <c r="EO519" s="106"/>
      <c r="EP519" s="106"/>
      <c r="EQ519" s="106"/>
      <c r="ER519" s="226"/>
      <c r="ES519" s="106"/>
      <c r="ET519" s="106"/>
      <c r="EU519" s="106"/>
      <c r="EV519" s="106"/>
      <c r="EW519" s="226"/>
      <c r="EX519" s="106"/>
      <c r="EY519" s="106"/>
      <c r="EZ519" s="106"/>
      <c r="FA519" s="106"/>
      <c r="FB519" s="226"/>
      <c r="FC519" s="106"/>
      <c r="FD519" s="106"/>
      <c r="FE519" s="106"/>
      <c r="FF519" s="106"/>
      <c r="FG519" s="226"/>
      <c r="FH519" s="106"/>
      <c r="FI519" s="106"/>
      <c r="FJ519" s="106"/>
      <c r="FK519" s="106"/>
      <c r="FL519" s="226"/>
      <c r="FM519" s="106"/>
      <c r="FN519" s="106"/>
      <c r="FO519" s="106"/>
      <c r="FP519" s="106"/>
      <c r="FQ519" s="226"/>
      <c r="FR519" s="106"/>
      <c r="FS519" s="106"/>
      <c r="FT519" s="106"/>
      <c r="FU519" s="106"/>
      <c r="FV519" s="226"/>
      <c r="FW519" s="106"/>
      <c r="FX519" s="106"/>
      <c r="FY519" s="106"/>
      <c r="FZ519" s="106"/>
      <c r="GA519" s="226"/>
      <c r="GB519" s="106"/>
      <c r="GC519" s="106"/>
      <c r="GD519" s="106"/>
      <c r="GE519" s="106"/>
      <c r="GF519" s="226"/>
      <c r="GG519" s="106"/>
      <c r="GH519" s="106"/>
      <c r="GI519" s="106"/>
      <c r="GJ519" s="106"/>
    </row>
    <row r="520" spans="1:192" s="93" customFormat="1" ht="12.75" customHeight="1">
      <c r="A520" s="68"/>
      <c r="B520" s="677"/>
      <c r="C520" s="106"/>
      <c r="D520" s="106"/>
      <c r="E520" s="106"/>
      <c r="F520" s="106"/>
      <c r="G520" s="106"/>
      <c r="H520" s="106"/>
      <c r="I520" s="106"/>
      <c r="J520" s="106"/>
      <c r="K520" s="106"/>
      <c r="L520" s="106"/>
      <c r="M520" s="106"/>
      <c r="N520" s="106"/>
      <c r="O520" s="106"/>
      <c r="P520" s="106"/>
      <c r="Q520" s="106"/>
      <c r="R520" s="106"/>
      <c r="S520" s="106"/>
      <c r="T520" s="106"/>
      <c r="U520" s="106"/>
      <c r="V520" s="106"/>
      <c r="W520" s="106"/>
      <c r="X520" s="106"/>
      <c r="Y520" s="106"/>
      <c r="Z520" s="106"/>
      <c r="AA520" s="106"/>
      <c r="AB520" s="106"/>
      <c r="AC520" s="106"/>
      <c r="AD520" s="106"/>
      <c r="AE520" s="106"/>
      <c r="AF520" s="106"/>
      <c r="AG520" s="106"/>
      <c r="AH520" s="106"/>
      <c r="AI520" s="106"/>
      <c r="AJ520" s="106"/>
      <c r="AK520" s="106"/>
      <c r="AL520" s="106"/>
      <c r="AM520" s="106"/>
      <c r="AN520" s="106"/>
      <c r="AO520" s="106"/>
      <c r="AP520" s="106"/>
      <c r="AQ520" s="106"/>
      <c r="AR520" s="106"/>
      <c r="AS520" s="106"/>
      <c r="AT520" s="106"/>
      <c r="AU520" s="106"/>
      <c r="AV520" s="106"/>
      <c r="AW520" s="106"/>
      <c r="AX520" s="106"/>
      <c r="AY520" s="106"/>
      <c r="AZ520" s="106"/>
      <c r="BA520" s="106"/>
      <c r="BB520" s="106"/>
      <c r="BC520" s="106"/>
      <c r="BD520" s="106"/>
      <c r="BE520" s="106"/>
      <c r="BF520" s="106"/>
      <c r="BG520" s="106"/>
      <c r="BH520" s="106"/>
      <c r="BI520" s="106"/>
      <c r="BJ520" s="106"/>
      <c r="BK520" s="106"/>
      <c r="BL520" s="106"/>
      <c r="BM520" s="106"/>
      <c r="BN520" s="106"/>
      <c r="BO520" s="106"/>
      <c r="BP520" s="106"/>
      <c r="BQ520" s="106"/>
      <c r="BR520" s="106"/>
      <c r="BS520" s="106"/>
      <c r="BT520" s="106"/>
      <c r="BU520" s="106"/>
      <c r="BV520" s="106"/>
      <c r="BW520" s="106"/>
      <c r="BX520" s="106"/>
      <c r="BY520" s="106"/>
      <c r="BZ520" s="106"/>
      <c r="CA520" s="106"/>
      <c r="CB520" s="106"/>
      <c r="CC520" s="106"/>
      <c r="CD520" s="106"/>
      <c r="CE520" s="106"/>
      <c r="CF520" s="106"/>
      <c r="CG520" s="106"/>
      <c r="CH520" s="106"/>
      <c r="CI520" s="106"/>
      <c r="CJ520" s="106"/>
      <c r="CK520" s="106"/>
      <c r="CL520" s="106"/>
      <c r="CM520" s="106"/>
      <c r="CN520" s="106"/>
      <c r="CO520" s="106"/>
      <c r="CP520" s="106"/>
      <c r="CQ520" s="106"/>
      <c r="CR520" s="106"/>
      <c r="CS520" s="106"/>
      <c r="CT520" s="106"/>
      <c r="CU520" s="106"/>
      <c r="CV520" s="106"/>
      <c r="CW520" s="106"/>
      <c r="CX520" s="106"/>
      <c r="CY520" s="106"/>
      <c r="CZ520" s="106"/>
      <c r="DA520" s="106"/>
      <c r="DB520" s="106"/>
      <c r="DC520" s="106"/>
      <c r="DD520" s="106"/>
      <c r="DE520" s="106"/>
      <c r="DF520" s="106"/>
      <c r="DG520" s="106"/>
      <c r="DH520" s="106"/>
      <c r="DI520" s="106"/>
      <c r="DJ520" s="106"/>
      <c r="DK520" s="106"/>
      <c r="DL520" s="106"/>
      <c r="DM520" s="106"/>
      <c r="DN520" s="106"/>
      <c r="DO520" s="106"/>
      <c r="DP520" s="106"/>
      <c r="DQ520" s="106"/>
      <c r="DR520" s="106"/>
      <c r="DS520" s="106"/>
      <c r="DT520" s="106"/>
      <c r="DU520" s="106"/>
      <c r="DV520" s="106"/>
      <c r="DW520" s="106"/>
      <c r="DX520" s="106"/>
      <c r="DY520" s="106"/>
      <c r="DZ520" s="106"/>
      <c r="EA520" s="106"/>
      <c r="EB520" s="106"/>
      <c r="EC520" s="106"/>
      <c r="ED520" s="106"/>
      <c r="EE520" s="106"/>
      <c r="EF520" s="106"/>
      <c r="EG520" s="106"/>
      <c r="EH520" s="106"/>
      <c r="EI520" s="106"/>
      <c r="EJ520" s="106"/>
      <c r="EK520" s="106"/>
      <c r="EL520" s="106"/>
      <c r="EM520" s="106"/>
      <c r="EN520" s="106"/>
      <c r="EO520" s="106"/>
      <c r="EP520" s="106"/>
      <c r="EQ520" s="106"/>
      <c r="ER520" s="106"/>
      <c r="ES520" s="106"/>
      <c r="ET520" s="106"/>
      <c r="EU520" s="106"/>
      <c r="EV520" s="106"/>
      <c r="EW520" s="106"/>
      <c r="EX520" s="106"/>
      <c r="EY520" s="106"/>
      <c r="EZ520" s="106"/>
      <c r="FA520" s="106"/>
      <c r="FB520" s="106"/>
      <c r="FC520" s="106"/>
      <c r="FD520" s="106"/>
      <c r="FE520" s="106"/>
      <c r="FF520" s="106"/>
      <c r="FG520" s="106"/>
      <c r="FH520" s="106"/>
      <c r="FI520" s="106"/>
      <c r="FJ520" s="106"/>
      <c r="FK520" s="106"/>
      <c r="FL520" s="106"/>
      <c r="FM520" s="106"/>
      <c r="FN520" s="106"/>
      <c r="FO520" s="106"/>
      <c r="FP520" s="106"/>
      <c r="FQ520" s="106"/>
      <c r="FR520" s="106"/>
      <c r="FS520" s="106"/>
      <c r="FT520" s="106"/>
      <c r="FU520" s="106"/>
      <c r="FV520" s="106"/>
      <c r="FW520" s="106"/>
      <c r="FX520" s="106"/>
      <c r="FY520" s="106"/>
      <c r="FZ520" s="106"/>
      <c r="GA520" s="106"/>
      <c r="GB520" s="106"/>
      <c r="GC520" s="106"/>
      <c r="GD520" s="106"/>
      <c r="GE520" s="106"/>
      <c r="GF520" s="106"/>
      <c r="GG520" s="106"/>
      <c r="GH520" s="106"/>
      <c r="GI520" s="106"/>
      <c r="GJ520" s="106"/>
    </row>
    <row r="521" spans="1:192" s="93" customFormat="1" ht="12.75" customHeight="1">
      <c r="A521" s="68"/>
      <c r="B521" s="677"/>
      <c r="C521" s="222"/>
      <c r="D521" s="222"/>
      <c r="E521" s="222"/>
      <c r="F521" s="222"/>
      <c r="G521" s="222"/>
      <c r="H521" s="222"/>
      <c r="I521" s="222"/>
      <c r="J521" s="222"/>
      <c r="K521" s="222"/>
      <c r="L521" s="222"/>
      <c r="M521" s="222"/>
      <c r="N521" s="222"/>
      <c r="O521" s="222"/>
      <c r="P521" s="222"/>
      <c r="Q521" s="222"/>
      <c r="R521" s="222"/>
      <c r="S521" s="222"/>
      <c r="T521" s="222"/>
      <c r="U521" s="222"/>
      <c r="V521" s="222"/>
      <c r="W521" s="222"/>
      <c r="X521" s="222"/>
      <c r="Y521" s="222"/>
      <c r="Z521" s="222"/>
      <c r="AA521" s="222"/>
      <c r="AB521" s="222"/>
      <c r="AC521" s="222"/>
      <c r="AD521" s="222"/>
      <c r="AE521" s="222"/>
      <c r="AF521" s="222"/>
      <c r="AG521" s="222"/>
      <c r="AH521" s="222"/>
      <c r="AI521" s="222"/>
      <c r="AJ521" s="222"/>
      <c r="AK521" s="222"/>
      <c r="AL521" s="222"/>
      <c r="AM521" s="222"/>
      <c r="AN521" s="222"/>
      <c r="AO521" s="222"/>
      <c r="AP521" s="222"/>
      <c r="AQ521" s="222"/>
      <c r="AR521" s="222"/>
      <c r="AS521" s="222"/>
      <c r="AT521" s="222"/>
      <c r="AU521" s="222"/>
      <c r="AV521" s="222"/>
      <c r="AW521" s="222"/>
      <c r="AX521" s="222"/>
      <c r="AY521" s="222"/>
      <c r="AZ521" s="222"/>
      <c r="BA521" s="222"/>
      <c r="BB521" s="222"/>
      <c r="BC521" s="222"/>
      <c r="BD521" s="222"/>
      <c r="BE521" s="222"/>
      <c r="BF521" s="222"/>
      <c r="BG521" s="222"/>
      <c r="BH521" s="222"/>
      <c r="BI521" s="222"/>
      <c r="BJ521" s="222"/>
      <c r="BK521" s="222"/>
      <c r="BL521" s="222"/>
      <c r="BM521" s="222"/>
      <c r="BN521" s="222"/>
      <c r="BO521" s="222"/>
      <c r="BP521" s="222"/>
      <c r="BQ521" s="222"/>
      <c r="BR521" s="222"/>
      <c r="BS521" s="222"/>
      <c r="BT521" s="222"/>
      <c r="BU521" s="222"/>
      <c r="BV521" s="222"/>
      <c r="BW521" s="222"/>
      <c r="BX521" s="222"/>
      <c r="BY521" s="222"/>
      <c r="BZ521" s="222"/>
      <c r="CA521" s="222"/>
      <c r="CB521" s="222"/>
      <c r="CC521" s="222"/>
      <c r="CD521" s="222"/>
      <c r="CE521" s="222"/>
      <c r="CF521" s="222"/>
      <c r="CG521" s="222"/>
      <c r="CH521" s="222"/>
      <c r="CI521" s="222"/>
      <c r="CJ521" s="222"/>
      <c r="CK521" s="222"/>
      <c r="CL521" s="222"/>
      <c r="CM521" s="222"/>
      <c r="CN521" s="222"/>
      <c r="CO521" s="222"/>
      <c r="CP521" s="222"/>
      <c r="CQ521" s="222"/>
      <c r="CR521" s="222"/>
      <c r="CS521" s="222"/>
      <c r="CT521" s="222"/>
      <c r="CU521" s="222"/>
      <c r="CV521" s="222"/>
      <c r="CW521" s="222"/>
      <c r="CX521" s="222"/>
      <c r="CY521" s="222"/>
      <c r="CZ521" s="222"/>
      <c r="DA521" s="222"/>
      <c r="DB521" s="222"/>
      <c r="DC521" s="222"/>
      <c r="DD521" s="222"/>
      <c r="DE521" s="222"/>
      <c r="DF521" s="222"/>
      <c r="DG521" s="222"/>
      <c r="DH521" s="222"/>
      <c r="DI521" s="222"/>
      <c r="DJ521" s="222"/>
      <c r="DK521" s="222"/>
      <c r="DL521" s="222"/>
      <c r="DM521" s="222"/>
      <c r="DN521" s="222"/>
      <c r="DO521" s="222"/>
      <c r="DP521" s="222"/>
      <c r="DQ521" s="222"/>
      <c r="DR521" s="222"/>
      <c r="DS521" s="222"/>
      <c r="DT521" s="222"/>
      <c r="DU521" s="222"/>
      <c r="DV521" s="222"/>
      <c r="DW521" s="222"/>
      <c r="DX521" s="222"/>
      <c r="DY521" s="222"/>
      <c r="DZ521" s="222"/>
      <c r="EA521" s="222"/>
      <c r="EB521" s="222"/>
      <c r="EC521" s="222"/>
      <c r="ED521" s="222"/>
      <c r="EE521" s="222"/>
      <c r="EF521" s="222"/>
      <c r="EG521" s="222"/>
      <c r="EH521" s="222"/>
      <c r="EI521" s="222"/>
      <c r="EJ521" s="222"/>
      <c r="EK521" s="222"/>
      <c r="EL521" s="222"/>
      <c r="EM521" s="222"/>
      <c r="EN521" s="222"/>
      <c r="EO521" s="222"/>
      <c r="EP521" s="222"/>
      <c r="EQ521" s="222"/>
      <c r="ER521" s="222"/>
      <c r="ES521" s="222"/>
      <c r="ET521" s="222"/>
      <c r="EU521" s="222"/>
      <c r="EV521" s="222"/>
      <c r="EW521" s="222"/>
      <c r="EX521" s="222"/>
      <c r="EY521" s="222"/>
      <c r="EZ521" s="222"/>
      <c r="FA521" s="222"/>
      <c r="FB521" s="222"/>
      <c r="FC521" s="222"/>
      <c r="FD521" s="222"/>
      <c r="FE521" s="222"/>
      <c r="FF521" s="222"/>
      <c r="FG521" s="222"/>
      <c r="FH521" s="222"/>
      <c r="FI521" s="222"/>
      <c r="FJ521" s="222"/>
      <c r="FK521" s="222"/>
      <c r="FL521" s="222"/>
      <c r="FM521" s="222"/>
      <c r="FN521" s="222"/>
      <c r="FO521" s="222"/>
      <c r="FP521" s="222"/>
      <c r="FQ521" s="222"/>
      <c r="FR521" s="222"/>
      <c r="FS521" s="222"/>
      <c r="FT521" s="222"/>
      <c r="FU521" s="222"/>
      <c r="FV521" s="222"/>
      <c r="FW521" s="222"/>
      <c r="FX521" s="222"/>
      <c r="FY521" s="222"/>
      <c r="FZ521" s="222"/>
      <c r="GA521" s="222"/>
      <c r="GB521" s="222"/>
      <c r="GC521" s="222"/>
      <c r="GD521" s="222"/>
      <c r="GE521" s="222"/>
      <c r="GF521" s="222"/>
      <c r="GG521" s="222"/>
      <c r="GH521" s="222"/>
      <c r="GI521" s="222"/>
      <c r="GJ521" s="222"/>
    </row>
    <row r="522" spans="1:192" s="93" customFormat="1" ht="12.75" customHeight="1">
      <c r="A522" s="68"/>
      <c r="B522" s="677"/>
      <c r="C522" s="226"/>
      <c r="D522" s="106"/>
      <c r="E522" s="106"/>
      <c r="F522" s="106"/>
      <c r="G522" s="106"/>
      <c r="H522" s="226"/>
      <c r="I522" s="106"/>
      <c r="J522" s="106"/>
      <c r="K522" s="106"/>
      <c r="L522" s="106"/>
      <c r="M522" s="226"/>
      <c r="N522" s="106"/>
      <c r="O522" s="106"/>
      <c r="P522" s="106"/>
      <c r="Q522" s="106"/>
      <c r="R522" s="226"/>
      <c r="S522" s="106"/>
      <c r="T522" s="106"/>
      <c r="U522" s="106"/>
      <c r="V522" s="106"/>
      <c r="W522" s="226"/>
      <c r="X522" s="106"/>
      <c r="Y522" s="106"/>
      <c r="Z522" s="106"/>
      <c r="AA522" s="106"/>
      <c r="AB522" s="226"/>
      <c r="AC522" s="106"/>
      <c r="AD522" s="106"/>
      <c r="AE522" s="106"/>
      <c r="AF522" s="106"/>
      <c r="AG522" s="226"/>
      <c r="AH522" s="106"/>
      <c r="AI522" s="106"/>
      <c r="AJ522" s="106"/>
      <c r="AK522" s="106"/>
      <c r="AL522" s="226"/>
      <c r="AM522" s="106"/>
      <c r="AN522" s="106"/>
      <c r="AO522" s="106"/>
      <c r="AP522" s="106"/>
      <c r="AQ522" s="226"/>
      <c r="AR522" s="106"/>
      <c r="AS522" s="106"/>
      <c r="AT522" s="106"/>
      <c r="AU522" s="106"/>
      <c r="AV522" s="226"/>
      <c r="AW522" s="106"/>
      <c r="AX522" s="106"/>
      <c r="AY522" s="106"/>
      <c r="AZ522" s="106"/>
      <c r="BA522" s="226"/>
      <c r="BB522" s="106"/>
      <c r="BC522" s="106"/>
      <c r="BD522" s="106"/>
      <c r="BE522" s="106"/>
      <c r="BF522" s="226"/>
      <c r="BG522" s="106"/>
      <c r="BH522" s="106"/>
      <c r="BI522" s="106"/>
      <c r="BJ522" s="106"/>
      <c r="BK522" s="226"/>
      <c r="BL522" s="106"/>
      <c r="BM522" s="106"/>
      <c r="BN522" s="106"/>
      <c r="BO522" s="106"/>
      <c r="BP522" s="226"/>
      <c r="BQ522" s="106"/>
      <c r="BR522" s="106"/>
      <c r="BS522" s="106"/>
      <c r="BT522" s="106"/>
      <c r="BU522" s="226"/>
      <c r="BV522" s="106"/>
      <c r="BW522" s="106"/>
      <c r="BX522" s="106"/>
      <c r="BY522" s="106"/>
      <c r="BZ522" s="226"/>
      <c r="CA522" s="106"/>
      <c r="CB522" s="106"/>
      <c r="CC522" s="106"/>
      <c r="CD522" s="106"/>
      <c r="CE522" s="226"/>
      <c r="CF522" s="106"/>
      <c r="CG522" s="106"/>
      <c r="CH522" s="106"/>
      <c r="CI522" s="106"/>
      <c r="CJ522" s="226"/>
      <c r="CK522" s="106"/>
      <c r="CL522" s="106"/>
      <c r="CM522" s="106"/>
      <c r="CN522" s="106"/>
      <c r="CO522" s="226"/>
      <c r="CP522" s="106"/>
      <c r="CQ522" s="106"/>
      <c r="CR522" s="106"/>
      <c r="CS522" s="106"/>
      <c r="CT522" s="226"/>
      <c r="CU522" s="106"/>
      <c r="CV522" s="106"/>
      <c r="CW522" s="106"/>
      <c r="CX522" s="106"/>
      <c r="CY522" s="226"/>
      <c r="CZ522" s="106"/>
      <c r="DA522" s="106"/>
      <c r="DB522" s="106"/>
      <c r="DC522" s="106"/>
      <c r="DD522" s="226"/>
      <c r="DE522" s="106"/>
      <c r="DF522" s="106"/>
      <c r="DG522" s="106"/>
      <c r="DH522" s="106"/>
      <c r="DI522" s="226"/>
      <c r="DJ522" s="106"/>
      <c r="DK522" s="106"/>
      <c r="DL522" s="106"/>
      <c r="DM522" s="106"/>
      <c r="DN522" s="226"/>
      <c r="DO522" s="106"/>
      <c r="DP522" s="106"/>
      <c r="DQ522" s="106"/>
      <c r="DR522" s="106"/>
      <c r="DS522" s="226"/>
      <c r="DT522" s="106"/>
      <c r="DU522" s="106"/>
      <c r="DV522" s="106"/>
      <c r="DW522" s="106"/>
      <c r="DX522" s="226"/>
      <c r="DY522" s="106"/>
      <c r="DZ522" s="106"/>
      <c r="EA522" s="106"/>
      <c r="EB522" s="106"/>
      <c r="EC522" s="226"/>
      <c r="ED522" s="106"/>
      <c r="EE522" s="106"/>
      <c r="EF522" s="106"/>
      <c r="EG522" s="106"/>
      <c r="EH522" s="226"/>
      <c r="EI522" s="106"/>
      <c r="EJ522" s="106"/>
      <c r="EK522" s="106"/>
      <c r="EL522" s="106"/>
      <c r="EM522" s="226"/>
      <c r="EN522" s="106"/>
      <c r="EO522" s="106"/>
      <c r="EP522" s="106"/>
      <c r="EQ522" s="106"/>
      <c r="ER522" s="226"/>
      <c r="ES522" s="106"/>
      <c r="ET522" s="106"/>
      <c r="EU522" s="106"/>
      <c r="EV522" s="106"/>
      <c r="EW522" s="226"/>
      <c r="EX522" s="106"/>
      <c r="EY522" s="106"/>
      <c r="EZ522" s="106"/>
      <c r="FA522" s="106"/>
      <c r="FB522" s="226"/>
      <c r="FC522" s="106"/>
      <c r="FD522" s="106"/>
      <c r="FE522" s="106"/>
      <c r="FF522" s="106"/>
      <c r="FG522" s="226"/>
      <c r="FH522" s="106"/>
      <c r="FI522" s="106"/>
      <c r="FJ522" s="106"/>
      <c r="FK522" s="106"/>
      <c r="FL522" s="226"/>
      <c r="FM522" s="106"/>
      <c r="FN522" s="106"/>
      <c r="FO522" s="106"/>
      <c r="FP522" s="106"/>
      <c r="FQ522" s="226"/>
      <c r="FR522" s="106"/>
      <c r="FS522" s="106"/>
      <c r="FT522" s="106"/>
      <c r="FU522" s="106"/>
      <c r="FV522" s="226"/>
      <c r="FW522" s="106"/>
      <c r="FX522" s="106"/>
      <c r="FY522" s="106"/>
      <c r="FZ522" s="106"/>
      <c r="GA522" s="226"/>
      <c r="GB522" s="106"/>
      <c r="GC522" s="106"/>
      <c r="GD522" s="106"/>
      <c r="GE522" s="106"/>
      <c r="GF522" s="226"/>
      <c r="GG522" s="106"/>
      <c r="GH522" s="106"/>
      <c r="GI522" s="106"/>
      <c r="GJ522" s="106"/>
    </row>
    <row r="523" spans="1:192" s="93" customFormat="1" ht="12.75" customHeight="1">
      <c r="A523" s="68"/>
      <c r="B523" s="677"/>
      <c r="C523" s="226"/>
      <c r="D523" s="106"/>
      <c r="E523" s="106"/>
      <c r="F523" s="106"/>
      <c r="G523" s="106"/>
      <c r="H523" s="226"/>
      <c r="I523" s="106"/>
      <c r="J523" s="106"/>
      <c r="K523" s="106"/>
      <c r="L523" s="106"/>
      <c r="M523" s="226"/>
      <c r="N523" s="106"/>
      <c r="O523" s="106"/>
      <c r="P523" s="106"/>
      <c r="Q523" s="106"/>
      <c r="R523" s="226"/>
      <c r="S523" s="106"/>
      <c r="T523" s="106"/>
      <c r="U523" s="106"/>
      <c r="V523" s="106"/>
      <c r="W523" s="226"/>
      <c r="X523" s="106"/>
      <c r="Y523" s="106"/>
      <c r="Z523" s="106"/>
      <c r="AA523" s="106"/>
      <c r="AB523" s="226"/>
      <c r="AC523" s="106"/>
      <c r="AD523" s="106"/>
      <c r="AE523" s="106"/>
      <c r="AF523" s="106"/>
      <c r="AG523" s="226"/>
      <c r="AH523" s="106"/>
      <c r="AI523" s="106"/>
      <c r="AJ523" s="106"/>
      <c r="AK523" s="106"/>
      <c r="AL523" s="226"/>
      <c r="AM523" s="106"/>
      <c r="AN523" s="106"/>
      <c r="AO523" s="106"/>
      <c r="AP523" s="106"/>
      <c r="AQ523" s="226"/>
      <c r="AR523" s="106"/>
      <c r="AS523" s="106"/>
      <c r="AT523" s="106"/>
      <c r="AU523" s="106"/>
      <c r="AV523" s="226"/>
      <c r="AW523" s="106"/>
      <c r="AX523" s="106"/>
      <c r="AY523" s="106"/>
      <c r="AZ523" s="106"/>
      <c r="BA523" s="226"/>
      <c r="BB523" s="106"/>
      <c r="BC523" s="106"/>
      <c r="BD523" s="106"/>
      <c r="BE523" s="106"/>
      <c r="BF523" s="226"/>
      <c r="BG523" s="106"/>
      <c r="BH523" s="106"/>
      <c r="BI523" s="106"/>
      <c r="BJ523" s="106"/>
      <c r="BK523" s="226"/>
      <c r="BL523" s="106"/>
      <c r="BM523" s="106"/>
      <c r="BN523" s="106"/>
      <c r="BO523" s="106"/>
      <c r="BP523" s="226"/>
      <c r="BQ523" s="106"/>
      <c r="BR523" s="106"/>
      <c r="BS523" s="106"/>
      <c r="BT523" s="106"/>
      <c r="BU523" s="226"/>
      <c r="BV523" s="106"/>
      <c r="BW523" s="106"/>
      <c r="BX523" s="106"/>
      <c r="BY523" s="106"/>
      <c r="BZ523" s="226"/>
      <c r="CA523" s="106"/>
      <c r="CB523" s="106"/>
      <c r="CC523" s="106"/>
      <c r="CD523" s="106"/>
      <c r="CE523" s="226"/>
      <c r="CF523" s="106"/>
      <c r="CG523" s="106"/>
      <c r="CH523" s="106"/>
      <c r="CI523" s="106"/>
      <c r="CJ523" s="226"/>
      <c r="CK523" s="106"/>
      <c r="CL523" s="106"/>
      <c r="CM523" s="106"/>
      <c r="CN523" s="106"/>
      <c r="CO523" s="226"/>
      <c r="CP523" s="106"/>
      <c r="CQ523" s="106"/>
      <c r="CR523" s="106"/>
      <c r="CS523" s="106"/>
      <c r="CT523" s="226"/>
      <c r="CU523" s="106"/>
      <c r="CV523" s="106"/>
      <c r="CW523" s="106"/>
      <c r="CX523" s="106"/>
      <c r="CY523" s="226"/>
      <c r="CZ523" s="106"/>
      <c r="DA523" s="106"/>
      <c r="DB523" s="106"/>
      <c r="DC523" s="106"/>
      <c r="DD523" s="226"/>
      <c r="DE523" s="106"/>
      <c r="DF523" s="106"/>
      <c r="DG523" s="106"/>
      <c r="DH523" s="106"/>
      <c r="DI523" s="226"/>
      <c r="DJ523" s="106"/>
      <c r="DK523" s="106"/>
      <c r="DL523" s="106"/>
      <c r="DM523" s="106"/>
      <c r="DN523" s="226"/>
      <c r="DO523" s="106"/>
      <c r="DP523" s="106"/>
      <c r="DQ523" s="106"/>
      <c r="DR523" s="106"/>
      <c r="DS523" s="226"/>
      <c r="DT523" s="106"/>
      <c r="DU523" s="106"/>
      <c r="DV523" s="106"/>
      <c r="DW523" s="106"/>
      <c r="DX523" s="226"/>
      <c r="DY523" s="106"/>
      <c r="DZ523" s="106"/>
      <c r="EA523" s="106"/>
      <c r="EB523" s="106"/>
      <c r="EC523" s="226"/>
      <c r="ED523" s="106"/>
      <c r="EE523" s="106"/>
      <c r="EF523" s="106"/>
      <c r="EG523" s="106"/>
      <c r="EH523" s="226"/>
      <c r="EI523" s="106"/>
      <c r="EJ523" s="106"/>
      <c r="EK523" s="106"/>
      <c r="EL523" s="106"/>
      <c r="EM523" s="226"/>
      <c r="EN523" s="106"/>
      <c r="EO523" s="106"/>
      <c r="EP523" s="106"/>
      <c r="EQ523" s="106"/>
      <c r="ER523" s="226"/>
      <c r="ES523" s="106"/>
      <c r="ET523" s="106"/>
      <c r="EU523" s="106"/>
      <c r="EV523" s="106"/>
      <c r="EW523" s="226"/>
      <c r="EX523" s="106"/>
      <c r="EY523" s="106"/>
      <c r="EZ523" s="106"/>
      <c r="FA523" s="106"/>
      <c r="FB523" s="226"/>
      <c r="FC523" s="106"/>
      <c r="FD523" s="106"/>
      <c r="FE523" s="106"/>
      <c r="FF523" s="106"/>
      <c r="FG523" s="226"/>
      <c r="FH523" s="106"/>
      <c r="FI523" s="106"/>
      <c r="FJ523" s="106"/>
      <c r="FK523" s="106"/>
      <c r="FL523" s="226"/>
      <c r="FM523" s="106"/>
      <c r="FN523" s="106"/>
      <c r="FO523" s="106"/>
      <c r="FP523" s="106"/>
      <c r="FQ523" s="226"/>
      <c r="FR523" s="106"/>
      <c r="FS523" s="106"/>
      <c r="FT523" s="106"/>
      <c r="FU523" s="106"/>
      <c r="FV523" s="226"/>
      <c r="FW523" s="106"/>
      <c r="FX523" s="106"/>
      <c r="FY523" s="106"/>
      <c r="FZ523" s="106"/>
      <c r="GA523" s="226"/>
      <c r="GB523" s="106"/>
      <c r="GC523" s="106"/>
      <c r="GD523" s="106"/>
      <c r="GE523" s="106"/>
      <c r="GF523" s="226"/>
      <c r="GG523" s="106"/>
      <c r="GH523" s="106"/>
      <c r="GI523" s="106"/>
      <c r="GJ523" s="106"/>
    </row>
    <row r="524" spans="1:192" s="93" customFormat="1" ht="12.75" customHeight="1">
      <c r="A524" s="68"/>
      <c r="B524" s="677"/>
      <c r="C524" s="225"/>
      <c r="D524" s="225"/>
      <c r="E524" s="225"/>
      <c r="F524" s="225"/>
      <c r="G524" s="225"/>
      <c r="H524" s="225"/>
      <c r="I524" s="225"/>
      <c r="J524" s="225"/>
      <c r="K524" s="225"/>
      <c r="L524" s="225"/>
      <c r="M524" s="225"/>
      <c r="N524" s="225"/>
      <c r="O524" s="225"/>
      <c r="P524" s="225"/>
      <c r="Q524" s="225"/>
      <c r="R524" s="225"/>
      <c r="S524" s="225"/>
      <c r="T524" s="225"/>
      <c r="U524" s="225"/>
      <c r="V524" s="225"/>
      <c r="W524" s="225"/>
      <c r="X524" s="225"/>
      <c r="Y524" s="225"/>
      <c r="Z524" s="225"/>
      <c r="AA524" s="225"/>
      <c r="AB524" s="225"/>
      <c r="AC524" s="225"/>
      <c r="AD524" s="225"/>
      <c r="AE524" s="225"/>
      <c r="AF524" s="225"/>
      <c r="AG524" s="225"/>
      <c r="AH524" s="225"/>
      <c r="AI524" s="225"/>
      <c r="AJ524" s="225"/>
      <c r="AK524" s="225"/>
      <c r="AL524" s="225"/>
      <c r="AM524" s="225"/>
      <c r="AN524" s="225"/>
      <c r="AO524" s="225"/>
      <c r="AP524" s="225"/>
      <c r="AQ524" s="225"/>
      <c r="AR524" s="225"/>
      <c r="AS524" s="225"/>
      <c r="AT524" s="225"/>
      <c r="AU524" s="225"/>
      <c r="AV524" s="225"/>
      <c r="AW524" s="225"/>
      <c r="AX524" s="225"/>
      <c r="AY524" s="225"/>
      <c r="AZ524" s="225"/>
      <c r="BA524" s="225"/>
      <c r="BB524" s="225"/>
      <c r="BC524" s="225"/>
      <c r="BD524" s="225"/>
      <c r="BE524" s="225"/>
      <c r="BF524" s="225"/>
      <c r="BG524" s="225"/>
      <c r="BH524" s="225"/>
      <c r="BI524" s="225"/>
      <c r="BJ524" s="225"/>
      <c r="BK524" s="225"/>
      <c r="BL524" s="225"/>
      <c r="BM524" s="225"/>
      <c r="BN524" s="225"/>
      <c r="BO524" s="225"/>
      <c r="BP524" s="225"/>
      <c r="BQ524" s="225"/>
      <c r="BR524" s="225"/>
      <c r="BS524" s="225"/>
      <c r="BT524" s="225"/>
      <c r="BU524" s="225"/>
      <c r="BV524" s="225"/>
      <c r="BW524" s="225"/>
      <c r="BX524" s="225"/>
      <c r="BY524" s="225"/>
      <c r="BZ524" s="225"/>
      <c r="CA524" s="225"/>
      <c r="CB524" s="225"/>
      <c r="CC524" s="225"/>
      <c r="CD524" s="225"/>
      <c r="CE524" s="225"/>
      <c r="CF524" s="225"/>
      <c r="CG524" s="225"/>
      <c r="CH524" s="225"/>
      <c r="CI524" s="225"/>
      <c r="CJ524" s="225"/>
      <c r="CK524" s="225"/>
      <c r="CL524" s="225"/>
      <c r="CM524" s="225"/>
      <c r="CN524" s="225"/>
      <c r="CO524" s="225"/>
      <c r="CP524" s="225"/>
      <c r="CQ524" s="225"/>
      <c r="CR524" s="225"/>
      <c r="CS524" s="225"/>
      <c r="CT524" s="225"/>
      <c r="CU524" s="225"/>
      <c r="CV524" s="225"/>
      <c r="CW524" s="225"/>
      <c r="CX524" s="225"/>
      <c r="CY524" s="225"/>
      <c r="CZ524" s="225"/>
      <c r="DA524" s="225"/>
      <c r="DB524" s="225"/>
      <c r="DC524" s="225"/>
      <c r="DD524" s="225"/>
      <c r="DE524" s="225"/>
      <c r="DF524" s="225"/>
      <c r="DG524" s="225"/>
      <c r="DH524" s="225"/>
      <c r="DI524" s="225"/>
      <c r="DJ524" s="225"/>
      <c r="DK524" s="225"/>
      <c r="DL524" s="225"/>
      <c r="DM524" s="225"/>
      <c r="DN524" s="225"/>
      <c r="DO524" s="225"/>
      <c r="DP524" s="225"/>
      <c r="DQ524" s="225"/>
      <c r="DR524" s="225"/>
      <c r="DS524" s="225"/>
      <c r="DT524" s="225"/>
      <c r="DU524" s="225"/>
      <c r="DV524" s="225"/>
      <c r="DW524" s="225"/>
      <c r="DX524" s="225"/>
      <c r="DY524" s="225"/>
      <c r="DZ524" s="225"/>
      <c r="EA524" s="225"/>
      <c r="EB524" s="225"/>
      <c r="EC524" s="225"/>
      <c r="ED524" s="225"/>
      <c r="EE524" s="225"/>
      <c r="EF524" s="225"/>
      <c r="EG524" s="225"/>
      <c r="EH524" s="225"/>
      <c r="EI524" s="225"/>
      <c r="EJ524" s="225"/>
      <c r="EK524" s="225"/>
      <c r="EL524" s="225"/>
      <c r="EM524" s="225"/>
      <c r="EN524" s="225"/>
      <c r="EO524" s="225"/>
      <c r="EP524" s="225"/>
      <c r="EQ524" s="225"/>
      <c r="ER524" s="225"/>
      <c r="ES524" s="225"/>
      <c r="ET524" s="225"/>
      <c r="EU524" s="225"/>
      <c r="EV524" s="225"/>
      <c r="EW524" s="225"/>
      <c r="EX524" s="225"/>
      <c r="EY524" s="225"/>
      <c r="EZ524" s="225"/>
      <c r="FA524" s="225"/>
      <c r="FB524" s="225"/>
      <c r="FC524" s="225"/>
      <c r="FD524" s="225"/>
      <c r="FE524" s="225"/>
      <c r="FF524" s="225"/>
      <c r="FG524" s="225"/>
      <c r="FH524" s="225"/>
      <c r="FI524" s="225"/>
      <c r="FJ524" s="225"/>
      <c r="FK524" s="225"/>
      <c r="FL524" s="225"/>
      <c r="FM524" s="225"/>
      <c r="FN524" s="225"/>
      <c r="FO524" s="225"/>
      <c r="FP524" s="225"/>
      <c r="FQ524" s="225"/>
      <c r="FR524" s="225"/>
      <c r="FS524" s="225"/>
      <c r="FT524" s="225"/>
      <c r="FU524" s="225"/>
      <c r="FV524" s="225"/>
      <c r="FW524" s="225"/>
      <c r="FX524" s="225"/>
      <c r="FY524" s="225"/>
      <c r="FZ524" s="225"/>
      <c r="GA524" s="225"/>
      <c r="GB524" s="225"/>
      <c r="GC524" s="225"/>
      <c r="GD524" s="225"/>
      <c r="GE524" s="225"/>
      <c r="GF524" s="225"/>
      <c r="GG524" s="225"/>
      <c r="GH524" s="225"/>
      <c r="GI524" s="225"/>
      <c r="GJ524" s="225"/>
    </row>
    <row r="525" spans="1:192" s="93" customFormat="1" ht="12.75" customHeight="1">
      <c r="A525" s="68"/>
      <c r="B525" s="677"/>
      <c r="C525" s="220"/>
      <c r="D525" s="220"/>
      <c r="E525" s="220"/>
      <c r="F525" s="220"/>
      <c r="G525" s="220"/>
      <c r="H525" s="220"/>
      <c r="I525" s="220"/>
      <c r="J525" s="220"/>
      <c r="K525" s="220"/>
      <c r="L525" s="220"/>
      <c r="M525" s="220"/>
      <c r="N525" s="220"/>
      <c r="O525" s="220"/>
      <c r="P525" s="220"/>
      <c r="Q525" s="220"/>
      <c r="R525" s="220"/>
      <c r="S525" s="220"/>
      <c r="T525" s="220"/>
      <c r="U525" s="220"/>
      <c r="V525" s="220"/>
      <c r="W525" s="220"/>
      <c r="X525" s="220"/>
      <c r="Y525" s="220"/>
      <c r="Z525" s="220"/>
      <c r="AA525" s="220"/>
      <c r="AB525" s="220"/>
      <c r="AC525" s="220"/>
      <c r="AD525" s="220"/>
      <c r="AE525" s="220"/>
      <c r="AF525" s="220"/>
      <c r="AG525" s="220"/>
      <c r="AH525" s="220"/>
      <c r="AI525" s="220"/>
      <c r="AJ525" s="220"/>
      <c r="AK525" s="220"/>
      <c r="AL525" s="220"/>
      <c r="AM525" s="220"/>
      <c r="AN525" s="220"/>
      <c r="AO525" s="220"/>
      <c r="AP525" s="220"/>
      <c r="AQ525" s="220"/>
      <c r="AR525" s="220"/>
      <c r="AS525" s="220"/>
      <c r="AT525" s="220"/>
      <c r="AU525" s="220"/>
      <c r="AV525" s="220"/>
      <c r="AW525" s="220"/>
      <c r="AX525" s="220"/>
      <c r="AY525" s="220"/>
      <c r="AZ525" s="220"/>
      <c r="BA525" s="220"/>
      <c r="BB525" s="220"/>
      <c r="BC525" s="220"/>
      <c r="BD525" s="220"/>
      <c r="BE525" s="220"/>
      <c r="BF525" s="220"/>
      <c r="BG525" s="220"/>
      <c r="BH525" s="220"/>
      <c r="BI525" s="220"/>
      <c r="BJ525" s="220"/>
      <c r="BK525" s="220"/>
      <c r="BL525" s="220"/>
      <c r="BM525" s="220"/>
      <c r="BN525" s="220"/>
      <c r="BO525" s="220"/>
      <c r="BP525" s="220"/>
      <c r="BQ525" s="220"/>
      <c r="BR525" s="220"/>
      <c r="BS525" s="220"/>
      <c r="BT525" s="220"/>
      <c r="BU525" s="220"/>
      <c r="BV525" s="220"/>
      <c r="BW525" s="220"/>
      <c r="BX525" s="220"/>
      <c r="BY525" s="220"/>
      <c r="BZ525" s="220"/>
      <c r="CA525" s="220"/>
      <c r="CB525" s="220"/>
      <c r="CC525" s="220"/>
      <c r="CD525" s="220"/>
      <c r="CE525" s="220"/>
      <c r="CF525" s="220"/>
      <c r="CG525" s="220"/>
      <c r="CH525" s="220"/>
      <c r="CI525" s="220"/>
      <c r="CJ525" s="220"/>
      <c r="CK525" s="220"/>
      <c r="CL525" s="220"/>
      <c r="CM525" s="220"/>
      <c r="CN525" s="220"/>
      <c r="CO525" s="220"/>
      <c r="CP525" s="220"/>
      <c r="CQ525" s="220"/>
      <c r="CR525" s="220"/>
      <c r="CS525" s="220"/>
      <c r="CT525" s="220"/>
      <c r="CU525" s="220"/>
      <c r="CV525" s="220"/>
      <c r="CW525" s="220"/>
      <c r="CX525" s="220"/>
      <c r="CY525" s="220"/>
      <c r="CZ525" s="220"/>
      <c r="DA525" s="220"/>
      <c r="DB525" s="220"/>
      <c r="DC525" s="220"/>
      <c r="DD525" s="220"/>
      <c r="DE525" s="220"/>
      <c r="DF525" s="220"/>
      <c r="DG525" s="220"/>
      <c r="DH525" s="220"/>
      <c r="DI525" s="220"/>
      <c r="DJ525" s="220"/>
      <c r="DK525" s="220"/>
      <c r="DL525" s="220"/>
      <c r="DM525" s="220"/>
      <c r="DN525" s="220"/>
      <c r="DO525" s="220"/>
      <c r="DP525" s="220"/>
      <c r="DQ525" s="220"/>
      <c r="DR525" s="220"/>
      <c r="DS525" s="220"/>
      <c r="DT525" s="220"/>
      <c r="DU525" s="220"/>
      <c r="DV525" s="220"/>
      <c r="DW525" s="220"/>
      <c r="DX525" s="220"/>
      <c r="DY525" s="220"/>
      <c r="DZ525" s="220"/>
      <c r="EA525" s="220"/>
      <c r="EB525" s="220"/>
      <c r="EC525" s="220"/>
      <c r="ED525" s="220"/>
      <c r="EE525" s="220"/>
      <c r="EF525" s="220"/>
      <c r="EG525" s="220"/>
      <c r="EH525" s="220"/>
      <c r="EI525" s="220"/>
      <c r="EJ525" s="220"/>
      <c r="EK525" s="220"/>
      <c r="EL525" s="220"/>
      <c r="EM525" s="220"/>
      <c r="EN525" s="220"/>
      <c r="EO525" s="220"/>
      <c r="EP525" s="220"/>
      <c r="EQ525" s="220"/>
      <c r="ER525" s="220"/>
      <c r="ES525" s="220"/>
      <c r="ET525" s="220"/>
      <c r="EU525" s="220"/>
      <c r="EV525" s="220"/>
      <c r="EW525" s="220"/>
      <c r="EX525" s="220"/>
      <c r="EY525" s="220"/>
      <c r="EZ525" s="220"/>
      <c r="FA525" s="220"/>
      <c r="FB525" s="220"/>
      <c r="FC525" s="220"/>
      <c r="FD525" s="220"/>
      <c r="FE525" s="220"/>
      <c r="FF525" s="220"/>
      <c r="FG525" s="220"/>
      <c r="FH525" s="220"/>
      <c r="FI525" s="220"/>
      <c r="FJ525" s="220"/>
      <c r="FK525" s="220"/>
      <c r="FL525" s="220"/>
      <c r="FM525" s="220"/>
      <c r="FN525" s="220"/>
      <c r="FO525" s="220"/>
      <c r="FP525" s="220"/>
      <c r="FQ525" s="220"/>
      <c r="FR525" s="220"/>
      <c r="FS525" s="220"/>
      <c r="FT525" s="220"/>
      <c r="FU525" s="220"/>
      <c r="FV525" s="220"/>
      <c r="FW525" s="220"/>
      <c r="FX525" s="220"/>
      <c r="FY525" s="220"/>
      <c r="FZ525" s="220"/>
      <c r="GA525" s="220"/>
      <c r="GB525" s="220"/>
      <c r="GC525" s="220"/>
      <c r="GD525" s="220"/>
      <c r="GE525" s="220"/>
      <c r="GF525" s="220"/>
      <c r="GG525" s="220"/>
      <c r="GH525" s="220"/>
      <c r="GI525" s="220"/>
      <c r="GJ525" s="220"/>
    </row>
    <row r="526" spans="1:192" s="93" customFormat="1" ht="12.75" customHeight="1">
      <c r="A526" s="68"/>
      <c r="B526" s="677"/>
      <c r="C526" s="106"/>
      <c r="D526" s="106"/>
      <c r="E526" s="106"/>
      <c r="F526" s="106"/>
      <c r="G526" s="106"/>
      <c r="H526" s="106"/>
      <c r="I526" s="106"/>
      <c r="J526" s="106"/>
      <c r="K526" s="106"/>
      <c r="L526" s="106"/>
      <c r="M526" s="106"/>
      <c r="N526" s="106"/>
      <c r="O526" s="106"/>
      <c r="P526" s="106"/>
      <c r="Q526" s="106"/>
      <c r="R526" s="106"/>
      <c r="S526" s="106"/>
      <c r="T526" s="106"/>
      <c r="U526" s="106"/>
      <c r="V526" s="106"/>
      <c r="W526" s="106"/>
      <c r="X526" s="106"/>
      <c r="Y526" s="106"/>
      <c r="Z526" s="106"/>
      <c r="AA526" s="106"/>
      <c r="AB526" s="106"/>
      <c r="AC526" s="106"/>
      <c r="AD526" s="106"/>
      <c r="AE526" s="106"/>
      <c r="AF526" s="106"/>
      <c r="AG526" s="106"/>
      <c r="AH526" s="106"/>
      <c r="AI526" s="106"/>
      <c r="AJ526" s="106"/>
      <c r="AK526" s="106"/>
      <c r="AL526" s="106"/>
      <c r="AM526" s="106"/>
      <c r="AN526" s="106"/>
      <c r="AO526" s="106"/>
      <c r="AP526" s="106"/>
      <c r="AQ526" s="106"/>
      <c r="AR526" s="106"/>
      <c r="AS526" s="106"/>
      <c r="AT526" s="106"/>
      <c r="AU526" s="106"/>
      <c r="AV526" s="106"/>
      <c r="AW526" s="106"/>
      <c r="AX526" s="106"/>
      <c r="AY526" s="106"/>
      <c r="AZ526" s="106"/>
      <c r="BA526" s="106"/>
      <c r="BB526" s="106"/>
      <c r="BC526" s="106"/>
      <c r="BD526" s="106"/>
      <c r="BE526" s="106"/>
      <c r="BF526" s="106"/>
      <c r="BG526" s="106"/>
      <c r="BH526" s="106"/>
      <c r="BI526" s="106"/>
      <c r="BJ526" s="106"/>
      <c r="BK526" s="106"/>
      <c r="BL526" s="106"/>
      <c r="BM526" s="106"/>
      <c r="BN526" s="106"/>
      <c r="BO526" s="106"/>
      <c r="BP526" s="106"/>
      <c r="BQ526" s="106"/>
      <c r="BR526" s="106"/>
      <c r="BS526" s="106"/>
      <c r="BT526" s="106"/>
      <c r="BU526" s="106"/>
      <c r="BV526" s="106"/>
      <c r="BW526" s="106"/>
      <c r="BX526" s="106"/>
      <c r="BY526" s="106"/>
      <c r="BZ526" s="106"/>
      <c r="CA526" s="106"/>
      <c r="CB526" s="106"/>
      <c r="CC526" s="106"/>
      <c r="CD526" s="106"/>
      <c r="CE526" s="106"/>
      <c r="CF526" s="106"/>
      <c r="CG526" s="106"/>
      <c r="CH526" s="106"/>
      <c r="CI526" s="106"/>
      <c r="CJ526" s="106"/>
      <c r="CK526" s="106"/>
      <c r="CL526" s="106"/>
      <c r="CM526" s="106"/>
      <c r="CN526" s="106"/>
      <c r="CO526" s="106"/>
      <c r="CP526" s="106"/>
      <c r="CQ526" s="106"/>
      <c r="CR526" s="106"/>
      <c r="CS526" s="106"/>
      <c r="CT526" s="106"/>
      <c r="CU526" s="106"/>
      <c r="CV526" s="106"/>
      <c r="CW526" s="106"/>
      <c r="CX526" s="106"/>
      <c r="CY526" s="106"/>
      <c r="CZ526" s="106"/>
      <c r="DA526" s="106"/>
      <c r="DB526" s="106"/>
      <c r="DC526" s="106"/>
      <c r="DD526" s="106"/>
      <c r="DE526" s="106"/>
      <c r="DF526" s="106"/>
      <c r="DG526" s="106"/>
      <c r="DH526" s="106"/>
      <c r="DI526" s="106"/>
      <c r="DJ526" s="106"/>
      <c r="DK526" s="106"/>
      <c r="DL526" s="106"/>
      <c r="DM526" s="106"/>
      <c r="DN526" s="106"/>
      <c r="DO526" s="106"/>
      <c r="DP526" s="106"/>
      <c r="DQ526" s="106"/>
      <c r="DR526" s="106"/>
      <c r="DS526" s="106"/>
      <c r="DT526" s="106"/>
      <c r="DU526" s="106"/>
      <c r="DV526" s="106"/>
      <c r="DW526" s="106"/>
      <c r="DX526" s="106"/>
      <c r="DY526" s="106"/>
      <c r="DZ526" s="106"/>
      <c r="EA526" s="106"/>
      <c r="EB526" s="106"/>
      <c r="EC526" s="106"/>
      <c r="ED526" s="106"/>
      <c r="EE526" s="106"/>
      <c r="EF526" s="106"/>
      <c r="EG526" s="106"/>
      <c r="EH526" s="106"/>
      <c r="EI526" s="106"/>
      <c r="EJ526" s="106"/>
      <c r="EK526" s="106"/>
      <c r="EL526" s="106"/>
      <c r="EM526" s="106"/>
      <c r="EN526" s="106"/>
      <c r="EO526" s="106"/>
      <c r="EP526" s="106"/>
      <c r="EQ526" s="106"/>
      <c r="ER526" s="106"/>
      <c r="ES526" s="106"/>
      <c r="ET526" s="106"/>
      <c r="EU526" s="106"/>
      <c r="EV526" s="106"/>
      <c r="EW526" s="106"/>
      <c r="EX526" s="106"/>
      <c r="EY526" s="106"/>
      <c r="EZ526" s="106"/>
      <c r="FA526" s="106"/>
      <c r="FB526" s="106"/>
      <c r="FC526" s="106"/>
      <c r="FD526" s="106"/>
      <c r="FE526" s="106"/>
      <c r="FF526" s="106"/>
      <c r="FG526" s="106"/>
      <c r="FH526" s="106"/>
      <c r="FI526" s="106"/>
      <c r="FJ526" s="106"/>
      <c r="FK526" s="106"/>
      <c r="FL526" s="106"/>
      <c r="FM526" s="106"/>
      <c r="FN526" s="106"/>
      <c r="FO526" s="106"/>
      <c r="FP526" s="106"/>
      <c r="FQ526" s="106"/>
      <c r="FR526" s="106"/>
      <c r="FS526" s="106"/>
      <c r="FT526" s="106"/>
      <c r="FU526" s="106"/>
      <c r="FV526" s="106"/>
      <c r="FW526" s="106"/>
      <c r="FX526" s="106"/>
      <c r="FY526" s="106"/>
      <c r="FZ526" s="106"/>
      <c r="GA526" s="106"/>
      <c r="GB526" s="106"/>
      <c r="GC526" s="106"/>
      <c r="GD526" s="106"/>
      <c r="GE526" s="106"/>
      <c r="GF526" s="106"/>
      <c r="GG526" s="106"/>
      <c r="GH526" s="106"/>
      <c r="GI526" s="106"/>
      <c r="GJ526" s="106"/>
    </row>
    <row r="527" spans="1:192" s="93" customFormat="1" ht="12.75" customHeight="1">
      <c r="A527" s="68"/>
      <c r="B527" s="677"/>
      <c r="C527" s="169"/>
      <c r="D527" s="169"/>
      <c r="E527" s="169"/>
      <c r="F527" s="169"/>
      <c r="G527" s="169"/>
      <c r="H527" s="169"/>
      <c r="I527" s="169"/>
      <c r="J527" s="169"/>
      <c r="K527" s="169"/>
      <c r="L527" s="169"/>
      <c r="M527" s="169"/>
      <c r="N527" s="169"/>
      <c r="O527" s="169"/>
      <c r="P527" s="169"/>
      <c r="Q527" s="169"/>
      <c r="R527" s="169"/>
      <c r="S527" s="169"/>
      <c r="T527" s="169"/>
      <c r="U527" s="169"/>
      <c r="V527" s="169"/>
      <c r="W527" s="169"/>
      <c r="X527" s="169"/>
      <c r="Y527" s="169"/>
      <c r="Z527" s="169"/>
      <c r="AA527" s="169"/>
      <c r="AB527" s="169"/>
      <c r="AC527" s="169"/>
      <c r="AD527" s="169"/>
      <c r="AE527" s="169"/>
      <c r="AF527" s="169"/>
      <c r="AG527" s="169"/>
      <c r="AH527" s="169"/>
      <c r="AI527" s="169"/>
      <c r="AJ527" s="169"/>
      <c r="AK527" s="169"/>
      <c r="AL527" s="169"/>
      <c r="AM527" s="169"/>
      <c r="AN527" s="169"/>
      <c r="AO527" s="169"/>
      <c r="AP527" s="169"/>
      <c r="AQ527" s="169"/>
      <c r="AR527" s="169"/>
      <c r="AS527" s="169"/>
      <c r="AT527" s="169"/>
      <c r="AU527" s="169"/>
      <c r="AV527" s="169"/>
      <c r="AW527" s="169"/>
      <c r="AX527" s="169"/>
      <c r="AY527" s="169"/>
      <c r="AZ527" s="169"/>
      <c r="BA527" s="169"/>
      <c r="BB527" s="169"/>
      <c r="BC527" s="169"/>
      <c r="BD527" s="169"/>
      <c r="BE527" s="169"/>
      <c r="BF527" s="169"/>
      <c r="BG527" s="169"/>
      <c r="BH527" s="169"/>
      <c r="BI527" s="169"/>
      <c r="BJ527" s="169"/>
      <c r="BK527" s="169"/>
      <c r="BL527" s="169"/>
      <c r="BM527" s="169"/>
      <c r="BN527" s="169"/>
      <c r="BO527" s="169"/>
      <c r="BP527" s="169"/>
      <c r="BQ527" s="169"/>
      <c r="BR527" s="169"/>
      <c r="BS527" s="169"/>
      <c r="BT527" s="169"/>
      <c r="BU527" s="169"/>
      <c r="BV527" s="169"/>
      <c r="BW527" s="169"/>
      <c r="BX527" s="169"/>
      <c r="BY527" s="169"/>
      <c r="BZ527" s="169"/>
      <c r="CA527" s="169"/>
      <c r="CB527" s="169"/>
      <c r="CC527" s="169"/>
      <c r="CD527" s="169"/>
      <c r="CE527" s="169"/>
      <c r="CF527" s="169"/>
      <c r="CG527" s="169"/>
      <c r="CH527" s="169"/>
      <c r="CI527" s="169"/>
      <c r="CJ527" s="169"/>
      <c r="CK527" s="169"/>
      <c r="CL527" s="169"/>
      <c r="CM527" s="169"/>
      <c r="CN527" s="169"/>
      <c r="CO527" s="169"/>
      <c r="CP527" s="169"/>
      <c r="CQ527" s="169"/>
      <c r="CR527" s="169"/>
      <c r="CS527" s="169"/>
      <c r="CT527" s="169"/>
      <c r="CU527" s="169"/>
      <c r="CV527" s="169"/>
      <c r="CW527" s="169"/>
      <c r="CX527" s="169"/>
      <c r="CY527" s="169"/>
      <c r="CZ527" s="169"/>
      <c r="DA527" s="169"/>
      <c r="DB527" s="169"/>
      <c r="DC527" s="169"/>
      <c r="DD527" s="169"/>
      <c r="DE527" s="169"/>
      <c r="DF527" s="169"/>
      <c r="DG527" s="169"/>
      <c r="DH527" s="169"/>
      <c r="DI527" s="169"/>
      <c r="DJ527" s="169"/>
      <c r="DK527" s="169"/>
      <c r="DL527" s="169"/>
      <c r="DM527" s="169"/>
      <c r="DN527" s="169"/>
      <c r="DO527" s="169"/>
      <c r="DP527" s="169"/>
      <c r="DQ527" s="169"/>
      <c r="DR527" s="169"/>
      <c r="DS527" s="169"/>
      <c r="DT527" s="169"/>
      <c r="DU527" s="169"/>
      <c r="DV527" s="169"/>
      <c r="DW527" s="169"/>
      <c r="DX527" s="169"/>
      <c r="DY527" s="169"/>
      <c r="DZ527" s="169"/>
      <c r="EA527" s="169"/>
      <c r="EB527" s="169"/>
      <c r="EC527" s="169"/>
      <c r="ED527" s="169"/>
      <c r="EE527" s="169"/>
      <c r="EF527" s="169"/>
      <c r="EG527" s="169"/>
      <c r="EH527" s="169"/>
      <c r="EI527" s="169"/>
      <c r="EJ527" s="169"/>
      <c r="EK527" s="169"/>
      <c r="EL527" s="169"/>
      <c r="EM527" s="169"/>
      <c r="EN527" s="169"/>
      <c r="EO527" s="169"/>
      <c r="EP527" s="169"/>
      <c r="EQ527" s="169"/>
      <c r="ER527" s="169"/>
      <c r="ES527" s="169"/>
      <c r="ET527" s="169"/>
      <c r="EU527" s="169"/>
      <c r="EV527" s="169"/>
      <c r="EW527" s="169"/>
      <c r="EX527" s="169"/>
      <c r="EY527" s="169"/>
      <c r="EZ527" s="169"/>
      <c r="FA527" s="169"/>
      <c r="FB527" s="169"/>
      <c r="FC527" s="169"/>
      <c r="FD527" s="169"/>
      <c r="FE527" s="169"/>
      <c r="FF527" s="169"/>
      <c r="FG527" s="169"/>
      <c r="FH527" s="169"/>
      <c r="FI527" s="169"/>
      <c r="FJ527" s="169"/>
      <c r="FK527" s="169"/>
      <c r="FL527" s="169"/>
      <c r="FM527" s="169"/>
      <c r="FN527" s="169"/>
      <c r="FO527" s="169"/>
      <c r="FP527" s="169"/>
      <c r="FQ527" s="169"/>
      <c r="FR527" s="169"/>
      <c r="FS527" s="169"/>
      <c r="FT527" s="169"/>
      <c r="FU527" s="169"/>
      <c r="FV527" s="169"/>
      <c r="FW527" s="169"/>
      <c r="FX527" s="169"/>
      <c r="FY527" s="169"/>
      <c r="FZ527" s="169"/>
      <c r="GA527" s="169"/>
      <c r="GB527" s="169"/>
      <c r="GC527" s="169"/>
      <c r="GD527" s="169"/>
      <c r="GE527" s="169"/>
      <c r="GF527" s="169"/>
      <c r="GG527" s="169"/>
      <c r="GH527" s="169"/>
      <c r="GI527" s="169"/>
      <c r="GJ527" s="169"/>
    </row>
    <row r="528" spans="1:192" s="93" customFormat="1" ht="12.75" customHeight="1">
      <c r="A528" s="68"/>
      <c r="B528" s="677"/>
      <c r="C528" s="222"/>
      <c r="D528" s="222"/>
      <c r="E528" s="222"/>
      <c r="F528" s="222"/>
      <c r="G528" s="222"/>
      <c r="H528" s="222"/>
      <c r="I528" s="222"/>
      <c r="J528" s="222"/>
      <c r="K528" s="222"/>
      <c r="L528" s="222"/>
      <c r="M528" s="222"/>
      <c r="N528" s="222"/>
      <c r="O528" s="222"/>
      <c r="P528" s="222"/>
      <c r="Q528" s="222"/>
      <c r="R528" s="222"/>
      <c r="S528" s="222"/>
      <c r="T528" s="222"/>
      <c r="U528" s="222"/>
      <c r="V528" s="222"/>
      <c r="W528" s="222"/>
      <c r="X528" s="222"/>
      <c r="Y528" s="222"/>
      <c r="Z528" s="222"/>
      <c r="AA528" s="222"/>
      <c r="AB528" s="222"/>
      <c r="AC528" s="222"/>
      <c r="AD528" s="222"/>
      <c r="AE528" s="222"/>
      <c r="AF528" s="222"/>
      <c r="AG528" s="222"/>
      <c r="AH528" s="222"/>
      <c r="AI528" s="222"/>
      <c r="AJ528" s="222"/>
      <c r="AK528" s="222"/>
      <c r="AL528" s="222"/>
      <c r="AM528" s="222"/>
      <c r="AN528" s="222"/>
      <c r="AO528" s="222"/>
      <c r="AP528" s="222"/>
      <c r="AQ528" s="222"/>
      <c r="AR528" s="222"/>
      <c r="AS528" s="222"/>
      <c r="AT528" s="222"/>
      <c r="AU528" s="222"/>
      <c r="AV528" s="222"/>
      <c r="AW528" s="222"/>
      <c r="AX528" s="222"/>
      <c r="AY528" s="222"/>
      <c r="AZ528" s="222"/>
      <c r="BA528" s="222"/>
      <c r="BB528" s="222"/>
      <c r="BC528" s="222"/>
      <c r="BD528" s="222"/>
      <c r="BE528" s="222"/>
      <c r="BF528" s="222"/>
      <c r="BG528" s="222"/>
      <c r="BH528" s="222"/>
      <c r="BI528" s="222"/>
      <c r="BJ528" s="222"/>
      <c r="BK528" s="222"/>
      <c r="BL528" s="222"/>
      <c r="BM528" s="222"/>
      <c r="BN528" s="222"/>
      <c r="BO528" s="222"/>
      <c r="BP528" s="222"/>
      <c r="BQ528" s="222"/>
      <c r="BR528" s="222"/>
      <c r="BS528" s="222"/>
      <c r="BT528" s="222"/>
      <c r="BU528" s="222"/>
      <c r="BV528" s="222"/>
      <c r="BW528" s="222"/>
      <c r="BX528" s="222"/>
      <c r="BY528" s="222"/>
      <c r="BZ528" s="222"/>
      <c r="CA528" s="222"/>
      <c r="CB528" s="222"/>
      <c r="CC528" s="222"/>
      <c r="CD528" s="222"/>
      <c r="CE528" s="222"/>
      <c r="CF528" s="222"/>
      <c r="CG528" s="222"/>
      <c r="CH528" s="222"/>
      <c r="CI528" s="222"/>
      <c r="CJ528" s="222"/>
      <c r="CK528" s="222"/>
      <c r="CL528" s="222"/>
      <c r="CM528" s="222"/>
      <c r="CN528" s="222"/>
      <c r="CO528" s="222"/>
      <c r="CP528" s="222"/>
      <c r="CQ528" s="222"/>
      <c r="CR528" s="222"/>
      <c r="CS528" s="222"/>
      <c r="CT528" s="222"/>
      <c r="CU528" s="222"/>
      <c r="CV528" s="222"/>
      <c r="CW528" s="222"/>
      <c r="CX528" s="222"/>
      <c r="CY528" s="222"/>
      <c r="CZ528" s="222"/>
      <c r="DA528" s="222"/>
      <c r="DB528" s="222"/>
      <c r="DC528" s="222"/>
      <c r="DD528" s="222"/>
      <c r="DE528" s="222"/>
      <c r="DF528" s="222"/>
      <c r="DG528" s="222"/>
      <c r="DH528" s="222"/>
      <c r="DI528" s="222"/>
      <c r="DJ528" s="222"/>
      <c r="DK528" s="222"/>
      <c r="DL528" s="222"/>
      <c r="DM528" s="222"/>
      <c r="DN528" s="222"/>
      <c r="DO528" s="222"/>
      <c r="DP528" s="222"/>
      <c r="DQ528" s="222"/>
      <c r="DR528" s="222"/>
      <c r="DS528" s="222"/>
      <c r="DT528" s="222"/>
      <c r="DU528" s="222"/>
      <c r="DV528" s="222"/>
      <c r="DW528" s="222"/>
      <c r="DX528" s="222"/>
      <c r="DY528" s="222"/>
      <c r="DZ528" s="222"/>
      <c r="EA528" s="222"/>
      <c r="EB528" s="222"/>
      <c r="EC528" s="222"/>
      <c r="ED528" s="222"/>
      <c r="EE528" s="222"/>
      <c r="EF528" s="222"/>
      <c r="EG528" s="222"/>
      <c r="EH528" s="222"/>
      <c r="EI528" s="222"/>
      <c r="EJ528" s="222"/>
      <c r="EK528" s="222"/>
      <c r="EL528" s="222"/>
      <c r="EM528" s="222"/>
      <c r="EN528" s="222"/>
      <c r="EO528" s="222"/>
      <c r="EP528" s="222"/>
      <c r="EQ528" s="222"/>
      <c r="ER528" s="222"/>
      <c r="ES528" s="222"/>
      <c r="ET528" s="222"/>
      <c r="EU528" s="222"/>
      <c r="EV528" s="222"/>
      <c r="EW528" s="222"/>
      <c r="EX528" s="222"/>
      <c r="EY528" s="222"/>
      <c r="EZ528" s="222"/>
      <c r="FA528" s="222"/>
      <c r="FB528" s="222"/>
      <c r="FC528" s="222"/>
      <c r="FD528" s="222"/>
      <c r="FE528" s="222"/>
      <c r="FF528" s="222"/>
      <c r="FG528" s="222"/>
      <c r="FH528" s="222"/>
      <c r="FI528" s="222"/>
      <c r="FJ528" s="222"/>
      <c r="FK528" s="222"/>
      <c r="FL528" s="222"/>
      <c r="FM528" s="222"/>
      <c r="FN528" s="222"/>
      <c r="FO528" s="222"/>
      <c r="FP528" s="222"/>
      <c r="FQ528" s="222"/>
      <c r="FR528" s="222"/>
      <c r="FS528" s="222"/>
      <c r="FT528" s="222"/>
      <c r="FU528" s="222"/>
      <c r="FV528" s="222"/>
      <c r="FW528" s="222"/>
      <c r="FX528" s="222"/>
      <c r="FY528" s="222"/>
      <c r="FZ528" s="222"/>
      <c r="GA528" s="222"/>
      <c r="GB528" s="222"/>
      <c r="GC528" s="222"/>
      <c r="GD528" s="222"/>
      <c r="GE528" s="222"/>
      <c r="GF528" s="222"/>
      <c r="GG528" s="222"/>
      <c r="GH528" s="222"/>
      <c r="GI528" s="222"/>
      <c r="GJ528" s="222"/>
    </row>
    <row r="529" spans="1:192" s="93" customFormat="1" ht="12.75" customHeight="1">
      <c r="A529" s="68"/>
      <c r="B529" s="677"/>
      <c r="C529" s="222"/>
      <c r="D529" s="222"/>
      <c r="E529" s="222"/>
      <c r="F529" s="222"/>
      <c r="G529" s="222"/>
      <c r="H529" s="222"/>
      <c r="I529" s="222"/>
      <c r="J529" s="222"/>
      <c r="K529" s="222"/>
      <c r="L529" s="222"/>
      <c r="M529" s="222"/>
      <c r="N529" s="222"/>
      <c r="O529" s="222"/>
      <c r="P529" s="222"/>
      <c r="Q529" s="222"/>
      <c r="R529" s="222"/>
      <c r="S529" s="222"/>
      <c r="T529" s="222"/>
      <c r="U529" s="222"/>
      <c r="V529" s="222"/>
      <c r="W529" s="222"/>
      <c r="X529" s="222"/>
      <c r="Y529" s="222"/>
      <c r="Z529" s="222"/>
      <c r="AA529" s="222"/>
      <c r="AB529" s="222"/>
      <c r="AC529" s="222"/>
      <c r="AD529" s="222"/>
      <c r="AE529" s="222"/>
      <c r="AF529" s="222"/>
      <c r="AG529" s="222"/>
      <c r="AH529" s="222"/>
      <c r="AI529" s="222"/>
      <c r="AJ529" s="222"/>
      <c r="AK529" s="222"/>
      <c r="AL529" s="222"/>
      <c r="AM529" s="222"/>
      <c r="AN529" s="222"/>
      <c r="AO529" s="222"/>
      <c r="AP529" s="222"/>
      <c r="AQ529" s="222"/>
      <c r="AR529" s="222"/>
      <c r="AS529" s="222"/>
      <c r="AT529" s="222"/>
      <c r="AU529" s="222"/>
      <c r="AV529" s="222"/>
      <c r="AW529" s="222"/>
      <c r="AX529" s="222"/>
      <c r="AY529" s="222"/>
      <c r="AZ529" s="222"/>
      <c r="BA529" s="222"/>
      <c r="BB529" s="222"/>
      <c r="BC529" s="222"/>
      <c r="BD529" s="222"/>
      <c r="BE529" s="222"/>
      <c r="BF529" s="222"/>
      <c r="BG529" s="222"/>
      <c r="BH529" s="222"/>
      <c r="BI529" s="222"/>
      <c r="BJ529" s="222"/>
      <c r="BK529" s="222"/>
      <c r="BL529" s="222"/>
      <c r="BM529" s="222"/>
      <c r="BN529" s="222"/>
      <c r="BO529" s="222"/>
      <c r="BP529" s="222"/>
      <c r="BQ529" s="222"/>
      <c r="BR529" s="222"/>
      <c r="BS529" s="222"/>
      <c r="BT529" s="222"/>
      <c r="BU529" s="222"/>
      <c r="BV529" s="222"/>
      <c r="BW529" s="222"/>
      <c r="BX529" s="222"/>
      <c r="BY529" s="222"/>
      <c r="BZ529" s="222"/>
      <c r="CA529" s="222"/>
      <c r="CB529" s="222"/>
      <c r="CC529" s="222"/>
      <c r="CD529" s="222"/>
      <c r="CE529" s="222"/>
      <c r="CF529" s="222"/>
      <c r="CG529" s="222"/>
      <c r="CH529" s="222"/>
      <c r="CI529" s="222"/>
      <c r="CJ529" s="222"/>
      <c r="CK529" s="222"/>
      <c r="CL529" s="222"/>
      <c r="CM529" s="222"/>
      <c r="CN529" s="222"/>
      <c r="CO529" s="222"/>
      <c r="CP529" s="222"/>
      <c r="CQ529" s="222"/>
      <c r="CR529" s="222"/>
      <c r="CS529" s="222"/>
      <c r="CT529" s="222"/>
      <c r="CU529" s="222"/>
      <c r="CV529" s="222"/>
      <c r="CW529" s="222"/>
      <c r="CX529" s="222"/>
      <c r="CY529" s="222"/>
      <c r="CZ529" s="222"/>
      <c r="DA529" s="222"/>
      <c r="DB529" s="222"/>
      <c r="DC529" s="222"/>
      <c r="DD529" s="222"/>
      <c r="DE529" s="222"/>
      <c r="DF529" s="222"/>
      <c r="DG529" s="222"/>
      <c r="DH529" s="222"/>
      <c r="DI529" s="222"/>
      <c r="DJ529" s="222"/>
      <c r="DK529" s="222"/>
      <c r="DL529" s="222"/>
      <c r="DM529" s="222"/>
      <c r="DN529" s="222"/>
      <c r="DO529" s="222"/>
      <c r="DP529" s="222"/>
      <c r="DQ529" s="222"/>
      <c r="DR529" s="222"/>
      <c r="DS529" s="222"/>
      <c r="DT529" s="222"/>
      <c r="DU529" s="222"/>
      <c r="DV529" s="222"/>
      <c r="DW529" s="222"/>
      <c r="DX529" s="222"/>
      <c r="DY529" s="222"/>
      <c r="DZ529" s="222"/>
      <c r="EA529" s="222"/>
      <c r="EB529" s="222"/>
      <c r="EC529" s="222"/>
      <c r="ED529" s="222"/>
      <c r="EE529" s="222"/>
      <c r="EF529" s="222"/>
      <c r="EG529" s="222"/>
      <c r="EH529" s="222"/>
      <c r="EI529" s="222"/>
      <c r="EJ529" s="222"/>
      <c r="EK529" s="222"/>
      <c r="EL529" s="222"/>
      <c r="EM529" s="222"/>
      <c r="EN529" s="222"/>
      <c r="EO529" s="222"/>
      <c r="EP529" s="222"/>
      <c r="EQ529" s="222"/>
      <c r="ER529" s="222"/>
      <c r="ES529" s="222"/>
      <c r="ET529" s="222"/>
      <c r="EU529" s="222"/>
      <c r="EV529" s="222"/>
      <c r="EW529" s="222"/>
      <c r="EX529" s="222"/>
      <c r="EY529" s="222"/>
      <c r="EZ529" s="222"/>
      <c r="FA529" s="222"/>
      <c r="FB529" s="222"/>
      <c r="FC529" s="222"/>
      <c r="FD529" s="222"/>
      <c r="FE529" s="222"/>
      <c r="FF529" s="222"/>
      <c r="FG529" s="222"/>
      <c r="FH529" s="222"/>
      <c r="FI529" s="222"/>
      <c r="FJ529" s="222"/>
      <c r="FK529" s="222"/>
      <c r="FL529" s="222"/>
      <c r="FM529" s="222"/>
      <c r="FN529" s="222"/>
      <c r="FO529" s="222"/>
      <c r="FP529" s="222"/>
      <c r="FQ529" s="222"/>
      <c r="FR529" s="222"/>
      <c r="FS529" s="222"/>
      <c r="FT529" s="222"/>
      <c r="FU529" s="222"/>
      <c r="FV529" s="222"/>
      <c r="FW529" s="222"/>
      <c r="FX529" s="222"/>
      <c r="FY529" s="222"/>
      <c r="FZ529" s="222"/>
      <c r="GA529" s="222"/>
      <c r="GB529" s="222"/>
      <c r="GC529" s="222"/>
      <c r="GD529" s="222"/>
      <c r="GE529" s="222"/>
      <c r="GF529" s="222"/>
      <c r="GG529" s="222"/>
      <c r="GH529" s="222"/>
      <c r="GI529" s="222"/>
      <c r="GJ529" s="222"/>
    </row>
    <row r="530" spans="1:192" s="93" customFormat="1" ht="12.75" customHeight="1">
      <c r="A530" s="68"/>
      <c r="B530" s="677"/>
      <c r="C530" s="225"/>
      <c r="D530" s="225"/>
      <c r="E530" s="225"/>
      <c r="F530" s="225"/>
      <c r="G530" s="225"/>
      <c r="H530" s="225"/>
      <c r="I530" s="225"/>
      <c r="J530" s="225"/>
      <c r="K530" s="225"/>
      <c r="L530" s="225"/>
      <c r="M530" s="225"/>
      <c r="N530" s="225"/>
      <c r="O530" s="225"/>
      <c r="P530" s="225"/>
      <c r="Q530" s="225"/>
      <c r="R530" s="225"/>
      <c r="S530" s="225"/>
      <c r="T530" s="225"/>
      <c r="U530" s="225"/>
      <c r="V530" s="225"/>
      <c r="W530" s="225"/>
      <c r="X530" s="225"/>
      <c r="Y530" s="225"/>
      <c r="Z530" s="225"/>
      <c r="AA530" s="225"/>
      <c r="AB530" s="225"/>
      <c r="AC530" s="225"/>
      <c r="AD530" s="225"/>
      <c r="AE530" s="225"/>
      <c r="AF530" s="225"/>
      <c r="AG530" s="225"/>
      <c r="AH530" s="225"/>
      <c r="AI530" s="225"/>
      <c r="AJ530" s="225"/>
      <c r="AK530" s="225"/>
      <c r="AL530" s="225"/>
      <c r="AM530" s="225"/>
      <c r="AN530" s="225"/>
      <c r="AO530" s="225"/>
      <c r="AP530" s="225"/>
      <c r="AQ530" s="225"/>
      <c r="AR530" s="225"/>
      <c r="AS530" s="225"/>
      <c r="AT530" s="225"/>
      <c r="AU530" s="225"/>
      <c r="AV530" s="225"/>
      <c r="AW530" s="225"/>
      <c r="AX530" s="225"/>
      <c r="AY530" s="225"/>
      <c r="AZ530" s="225"/>
      <c r="BA530" s="225"/>
      <c r="BB530" s="225"/>
      <c r="BC530" s="225"/>
      <c r="BD530" s="225"/>
      <c r="BE530" s="225"/>
      <c r="BF530" s="225"/>
      <c r="BG530" s="225"/>
      <c r="BH530" s="225"/>
      <c r="BI530" s="225"/>
      <c r="BJ530" s="225"/>
      <c r="BK530" s="225"/>
      <c r="BL530" s="225"/>
      <c r="BM530" s="225"/>
      <c r="BN530" s="225"/>
      <c r="BO530" s="225"/>
      <c r="BP530" s="225"/>
      <c r="BQ530" s="225"/>
      <c r="BR530" s="225"/>
      <c r="BS530" s="225"/>
      <c r="BT530" s="225"/>
      <c r="BU530" s="225"/>
      <c r="BV530" s="225"/>
      <c r="BW530" s="225"/>
      <c r="BX530" s="225"/>
      <c r="BY530" s="225"/>
      <c r="BZ530" s="225"/>
      <c r="CA530" s="225"/>
      <c r="CB530" s="225"/>
      <c r="CC530" s="225"/>
      <c r="CD530" s="225"/>
      <c r="CE530" s="225"/>
      <c r="CF530" s="225"/>
      <c r="CG530" s="225"/>
      <c r="CH530" s="225"/>
      <c r="CI530" s="225"/>
      <c r="CJ530" s="225"/>
      <c r="CK530" s="225"/>
      <c r="CL530" s="225"/>
      <c r="CM530" s="225"/>
      <c r="CN530" s="225"/>
      <c r="CO530" s="225"/>
      <c r="CP530" s="225"/>
      <c r="CQ530" s="225"/>
      <c r="CR530" s="225"/>
      <c r="CS530" s="225"/>
      <c r="CT530" s="225"/>
      <c r="CU530" s="225"/>
      <c r="CV530" s="225"/>
      <c r="CW530" s="225"/>
      <c r="CX530" s="225"/>
      <c r="CY530" s="225"/>
      <c r="CZ530" s="225"/>
      <c r="DA530" s="225"/>
      <c r="DB530" s="225"/>
      <c r="DC530" s="225"/>
      <c r="DD530" s="225"/>
      <c r="DE530" s="225"/>
      <c r="DF530" s="225"/>
      <c r="DG530" s="225"/>
      <c r="DH530" s="225"/>
      <c r="DI530" s="225"/>
      <c r="DJ530" s="225"/>
      <c r="DK530" s="225"/>
      <c r="DL530" s="225"/>
      <c r="DM530" s="225"/>
      <c r="DN530" s="225"/>
      <c r="DO530" s="225"/>
      <c r="DP530" s="225"/>
      <c r="DQ530" s="225"/>
      <c r="DR530" s="225"/>
      <c r="DS530" s="225"/>
      <c r="DT530" s="225"/>
      <c r="DU530" s="225"/>
      <c r="DV530" s="225"/>
      <c r="DW530" s="225"/>
      <c r="DX530" s="225"/>
      <c r="DY530" s="225"/>
      <c r="DZ530" s="225"/>
      <c r="EA530" s="225"/>
      <c r="EB530" s="225"/>
      <c r="EC530" s="225"/>
      <c r="ED530" s="225"/>
      <c r="EE530" s="225"/>
      <c r="EF530" s="225"/>
      <c r="EG530" s="225"/>
      <c r="EH530" s="225"/>
      <c r="EI530" s="225"/>
      <c r="EJ530" s="225"/>
      <c r="EK530" s="225"/>
      <c r="EL530" s="225"/>
      <c r="EM530" s="225"/>
      <c r="EN530" s="225"/>
      <c r="EO530" s="225"/>
      <c r="EP530" s="225"/>
      <c r="EQ530" s="225"/>
      <c r="ER530" s="225"/>
      <c r="ES530" s="225"/>
      <c r="ET530" s="225"/>
      <c r="EU530" s="225"/>
      <c r="EV530" s="225"/>
      <c r="EW530" s="225"/>
      <c r="EX530" s="225"/>
      <c r="EY530" s="225"/>
      <c r="EZ530" s="225"/>
      <c r="FA530" s="225"/>
      <c r="FB530" s="225"/>
      <c r="FC530" s="225"/>
      <c r="FD530" s="225"/>
      <c r="FE530" s="225"/>
      <c r="FF530" s="225"/>
      <c r="FG530" s="225"/>
      <c r="FH530" s="225"/>
      <c r="FI530" s="225"/>
      <c r="FJ530" s="225"/>
      <c r="FK530" s="225"/>
      <c r="FL530" s="225"/>
      <c r="FM530" s="225"/>
      <c r="FN530" s="225"/>
      <c r="FO530" s="225"/>
      <c r="FP530" s="225"/>
      <c r="FQ530" s="225"/>
      <c r="FR530" s="225"/>
      <c r="FS530" s="225"/>
      <c r="FT530" s="225"/>
      <c r="FU530" s="225"/>
      <c r="FV530" s="225"/>
      <c r="FW530" s="225"/>
      <c r="FX530" s="225"/>
      <c r="FY530" s="225"/>
      <c r="FZ530" s="225"/>
      <c r="GA530" s="225"/>
      <c r="GB530" s="225"/>
      <c r="GC530" s="225"/>
      <c r="GD530" s="225"/>
      <c r="GE530" s="225"/>
      <c r="GF530" s="225"/>
      <c r="GG530" s="225"/>
      <c r="GH530" s="225"/>
      <c r="GI530" s="225"/>
      <c r="GJ530" s="225"/>
    </row>
    <row r="531" spans="1:192" s="93" customFormat="1" ht="12.75" customHeight="1">
      <c r="A531" s="68"/>
      <c r="B531" s="677"/>
      <c r="C531" s="223"/>
      <c r="D531" s="224"/>
      <c r="E531" s="224"/>
      <c r="F531" s="224"/>
      <c r="G531" s="224"/>
      <c r="H531" s="223"/>
      <c r="I531" s="224"/>
      <c r="J531" s="224"/>
      <c r="K531" s="224"/>
      <c r="L531" s="224"/>
      <c r="M531" s="223"/>
      <c r="N531" s="224"/>
      <c r="O531" s="224"/>
      <c r="P531" s="224"/>
      <c r="Q531" s="224"/>
      <c r="R531" s="223"/>
      <c r="S531" s="224"/>
      <c r="T531" s="224"/>
      <c r="U531" s="224"/>
      <c r="V531" s="224"/>
      <c r="W531" s="223"/>
      <c r="X531" s="224"/>
      <c r="Y531" s="224"/>
      <c r="Z531" s="224"/>
      <c r="AA531" s="224"/>
      <c r="AB531" s="223"/>
      <c r="AC531" s="224"/>
      <c r="AD531" s="224"/>
      <c r="AE531" s="224"/>
      <c r="AF531" s="224"/>
      <c r="AG531" s="223"/>
      <c r="AH531" s="224"/>
      <c r="AI531" s="224"/>
      <c r="AJ531" s="224"/>
      <c r="AK531" s="224"/>
      <c r="AL531" s="223"/>
      <c r="AM531" s="224"/>
      <c r="AN531" s="224"/>
      <c r="AO531" s="224"/>
      <c r="AP531" s="224"/>
      <c r="AQ531" s="223"/>
      <c r="AR531" s="224"/>
      <c r="AS531" s="224"/>
      <c r="AT531" s="224"/>
      <c r="AU531" s="224"/>
      <c r="AV531" s="223"/>
      <c r="AW531" s="224"/>
      <c r="AX531" s="224"/>
      <c r="AY531" s="224"/>
      <c r="AZ531" s="224"/>
      <c r="BA531" s="223"/>
      <c r="BB531" s="224"/>
      <c r="BC531" s="224"/>
      <c r="BD531" s="224"/>
      <c r="BE531" s="224"/>
      <c r="BF531" s="223"/>
      <c r="BG531" s="224"/>
      <c r="BH531" s="224"/>
      <c r="BI531" s="224"/>
      <c r="BJ531" s="224"/>
      <c r="BK531" s="223"/>
      <c r="BL531" s="224"/>
      <c r="BM531" s="224"/>
      <c r="BN531" s="224"/>
      <c r="BO531" s="224"/>
      <c r="BP531" s="223"/>
      <c r="BQ531" s="224"/>
      <c r="BR531" s="224"/>
      <c r="BS531" s="224"/>
      <c r="BT531" s="224"/>
      <c r="BU531" s="223"/>
      <c r="BV531" s="224"/>
      <c r="BW531" s="224"/>
      <c r="BX531" s="224"/>
      <c r="BY531" s="224"/>
      <c r="BZ531" s="223"/>
      <c r="CA531" s="224"/>
      <c r="CB531" s="224"/>
      <c r="CC531" s="224"/>
      <c r="CD531" s="224"/>
      <c r="CE531" s="223"/>
      <c r="CF531" s="224"/>
      <c r="CG531" s="224"/>
      <c r="CH531" s="224"/>
      <c r="CI531" s="224"/>
      <c r="CJ531" s="223"/>
      <c r="CK531" s="224"/>
      <c r="CL531" s="224"/>
      <c r="CM531" s="224"/>
      <c r="CN531" s="224"/>
      <c r="CO531" s="223"/>
      <c r="CP531" s="224"/>
      <c r="CQ531" s="224"/>
      <c r="CR531" s="224"/>
      <c r="CS531" s="224"/>
      <c r="CT531" s="223"/>
      <c r="CU531" s="224"/>
      <c r="CV531" s="224"/>
      <c r="CW531" s="224"/>
      <c r="CX531" s="224"/>
      <c r="CY531" s="223"/>
      <c r="CZ531" s="224"/>
      <c r="DA531" s="224"/>
      <c r="DB531" s="224"/>
      <c r="DC531" s="224"/>
      <c r="DD531" s="223"/>
      <c r="DE531" s="224"/>
      <c r="DF531" s="224"/>
      <c r="DG531" s="224"/>
      <c r="DH531" s="224"/>
      <c r="DI531" s="223"/>
      <c r="DJ531" s="224"/>
      <c r="DK531" s="224"/>
      <c r="DL531" s="224"/>
      <c r="DM531" s="224"/>
      <c r="DN531" s="223"/>
      <c r="DO531" s="224"/>
      <c r="DP531" s="224"/>
      <c r="DQ531" s="224"/>
      <c r="DR531" s="224"/>
      <c r="DS531" s="223"/>
      <c r="DT531" s="224"/>
      <c r="DU531" s="224"/>
      <c r="DV531" s="224"/>
      <c r="DW531" s="224"/>
      <c r="DX531" s="223"/>
      <c r="DY531" s="224"/>
      <c r="DZ531" s="224"/>
      <c r="EA531" s="224"/>
      <c r="EB531" s="224"/>
      <c r="EC531" s="223"/>
      <c r="ED531" s="224"/>
      <c r="EE531" s="224"/>
      <c r="EF531" s="224"/>
      <c r="EG531" s="224"/>
      <c r="EH531" s="223"/>
      <c r="EI531" s="224"/>
      <c r="EJ531" s="224"/>
      <c r="EK531" s="224"/>
      <c r="EL531" s="224"/>
      <c r="EM531" s="223"/>
      <c r="EN531" s="224"/>
      <c r="EO531" s="224"/>
      <c r="EP531" s="224"/>
      <c r="EQ531" s="224"/>
      <c r="ER531" s="223"/>
      <c r="ES531" s="224"/>
      <c r="ET531" s="224"/>
      <c r="EU531" s="224"/>
      <c r="EV531" s="224"/>
      <c r="EW531" s="223"/>
      <c r="EX531" s="224"/>
      <c r="EY531" s="224"/>
      <c r="EZ531" s="224"/>
      <c r="FA531" s="224"/>
      <c r="FB531" s="223"/>
      <c r="FC531" s="224"/>
      <c r="FD531" s="224"/>
      <c r="FE531" s="224"/>
      <c r="FF531" s="224"/>
      <c r="FG531" s="223"/>
      <c r="FH531" s="224"/>
      <c r="FI531" s="224"/>
      <c r="FJ531" s="224"/>
      <c r="FK531" s="224"/>
      <c r="FL531" s="223"/>
      <c r="FM531" s="224"/>
      <c r="FN531" s="224"/>
      <c r="FO531" s="224"/>
      <c r="FP531" s="224"/>
      <c r="FQ531" s="223"/>
      <c r="FR531" s="224"/>
      <c r="FS531" s="224"/>
      <c r="FT531" s="224"/>
      <c r="FU531" s="224"/>
      <c r="FV531" s="223"/>
      <c r="FW531" s="224"/>
      <c r="FX531" s="224"/>
      <c r="FY531" s="224"/>
      <c r="FZ531" s="224"/>
      <c r="GA531" s="223"/>
      <c r="GB531" s="224"/>
      <c r="GC531" s="224"/>
      <c r="GD531" s="224"/>
      <c r="GE531" s="224"/>
      <c r="GF531" s="223"/>
      <c r="GG531" s="224"/>
      <c r="GH531" s="224"/>
      <c r="GI531" s="224"/>
      <c r="GJ531" s="224"/>
    </row>
    <row r="532" spans="1:192" s="93" customFormat="1" ht="12.75" customHeight="1">
      <c r="A532" s="68"/>
      <c r="B532" s="677"/>
      <c r="C532" s="223"/>
      <c r="D532" s="224"/>
      <c r="E532" s="224"/>
      <c r="F532" s="224"/>
      <c r="G532" s="224"/>
      <c r="H532" s="223"/>
      <c r="I532" s="224"/>
      <c r="J532" s="224"/>
      <c r="K532" s="224"/>
      <c r="L532" s="224"/>
      <c r="M532" s="223"/>
      <c r="N532" s="224"/>
      <c r="O532" s="224"/>
      <c r="P532" s="224"/>
      <c r="Q532" s="224"/>
      <c r="R532" s="223"/>
      <c r="S532" s="224"/>
      <c r="T532" s="224"/>
      <c r="U532" s="224"/>
      <c r="V532" s="224"/>
      <c r="W532" s="223"/>
      <c r="X532" s="224"/>
      <c r="Y532" s="224"/>
      <c r="Z532" s="224"/>
      <c r="AA532" s="224"/>
      <c r="AB532" s="223"/>
      <c r="AC532" s="224"/>
      <c r="AD532" s="224"/>
      <c r="AE532" s="224"/>
      <c r="AF532" s="224"/>
      <c r="AG532" s="223"/>
      <c r="AH532" s="224"/>
      <c r="AI532" s="224"/>
      <c r="AJ532" s="224"/>
      <c r="AK532" s="224"/>
      <c r="AL532" s="223"/>
      <c r="AM532" s="224"/>
      <c r="AN532" s="224"/>
      <c r="AO532" s="224"/>
      <c r="AP532" s="224"/>
      <c r="AQ532" s="223"/>
      <c r="AR532" s="224"/>
      <c r="AS532" s="224"/>
      <c r="AT532" s="224"/>
      <c r="AU532" s="224"/>
      <c r="AV532" s="223"/>
      <c r="AW532" s="224"/>
      <c r="AX532" s="224"/>
      <c r="AY532" s="224"/>
      <c r="AZ532" s="224"/>
      <c r="BA532" s="223"/>
      <c r="BB532" s="224"/>
      <c r="BC532" s="224"/>
      <c r="BD532" s="224"/>
      <c r="BE532" s="224"/>
      <c r="BF532" s="223"/>
      <c r="BG532" s="224"/>
      <c r="BH532" s="224"/>
      <c r="BI532" s="224"/>
      <c r="BJ532" s="224"/>
      <c r="BK532" s="223"/>
      <c r="BL532" s="224"/>
      <c r="BM532" s="224"/>
      <c r="BN532" s="224"/>
      <c r="BO532" s="224"/>
      <c r="BP532" s="223"/>
      <c r="BQ532" s="224"/>
      <c r="BR532" s="224"/>
      <c r="BS532" s="224"/>
      <c r="BT532" s="224"/>
      <c r="BU532" s="223"/>
      <c r="BV532" s="224"/>
      <c r="BW532" s="224"/>
      <c r="BX532" s="224"/>
      <c r="BY532" s="224"/>
      <c r="BZ532" s="223"/>
      <c r="CA532" s="224"/>
      <c r="CB532" s="224"/>
      <c r="CC532" s="224"/>
      <c r="CD532" s="224"/>
      <c r="CE532" s="223"/>
      <c r="CF532" s="224"/>
      <c r="CG532" s="224"/>
      <c r="CH532" s="224"/>
      <c r="CI532" s="224"/>
      <c r="CJ532" s="223"/>
      <c r="CK532" s="224"/>
      <c r="CL532" s="224"/>
      <c r="CM532" s="224"/>
      <c r="CN532" s="224"/>
      <c r="CO532" s="223"/>
      <c r="CP532" s="224"/>
      <c r="CQ532" s="224"/>
      <c r="CR532" s="224"/>
      <c r="CS532" s="224"/>
      <c r="CT532" s="223"/>
      <c r="CU532" s="224"/>
      <c r="CV532" s="224"/>
      <c r="CW532" s="224"/>
      <c r="CX532" s="224"/>
      <c r="CY532" s="223"/>
      <c r="CZ532" s="224"/>
      <c r="DA532" s="224"/>
      <c r="DB532" s="224"/>
      <c r="DC532" s="224"/>
      <c r="DD532" s="223"/>
      <c r="DE532" s="224"/>
      <c r="DF532" s="224"/>
      <c r="DG532" s="224"/>
      <c r="DH532" s="224"/>
      <c r="DI532" s="223"/>
      <c r="DJ532" s="224"/>
      <c r="DK532" s="224"/>
      <c r="DL532" s="224"/>
      <c r="DM532" s="224"/>
      <c r="DN532" s="223"/>
      <c r="DO532" s="224"/>
      <c r="DP532" s="224"/>
      <c r="DQ532" s="224"/>
      <c r="DR532" s="224"/>
      <c r="DS532" s="223"/>
      <c r="DT532" s="224"/>
      <c r="DU532" s="224"/>
      <c r="DV532" s="224"/>
      <c r="DW532" s="224"/>
      <c r="DX532" s="223"/>
      <c r="DY532" s="224"/>
      <c r="DZ532" s="224"/>
      <c r="EA532" s="224"/>
      <c r="EB532" s="224"/>
      <c r="EC532" s="223"/>
      <c r="ED532" s="224"/>
      <c r="EE532" s="224"/>
      <c r="EF532" s="224"/>
      <c r="EG532" s="224"/>
      <c r="EH532" s="223"/>
      <c r="EI532" s="224"/>
      <c r="EJ532" s="224"/>
      <c r="EK532" s="224"/>
      <c r="EL532" s="224"/>
      <c r="EM532" s="223"/>
      <c r="EN532" s="224"/>
      <c r="EO532" s="224"/>
      <c r="EP532" s="224"/>
      <c r="EQ532" s="224"/>
      <c r="ER532" s="223"/>
      <c r="ES532" s="224"/>
      <c r="ET532" s="224"/>
      <c r="EU532" s="224"/>
      <c r="EV532" s="224"/>
      <c r="EW532" s="223"/>
      <c r="EX532" s="224"/>
      <c r="EY532" s="224"/>
      <c r="EZ532" s="224"/>
      <c r="FA532" s="224"/>
      <c r="FB532" s="223"/>
      <c r="FC532" s="224"/>
      <c r="FD532" s="224"/>
      <c r="FE532" s="224"/>
      <c r="FF532" s="224"/>
      <c r="FG532" s="223"/>
      <c r="FH532" s="224"/>
      <c r="FI532" s="224"/>
      <c r="FJ532" s="224"/>
      <c r="FK532" s="224"/>
      <c r="FL532" s="223"/>
      <c r="FM532" s="224"/>
      <c r="FN532" s="224"/>
      <c r="FO532" s="224"/>
      <c r="FP532" s="224"/>
      <c r="FQ532" s="223"/>
      <c r="FR532" s="224"/>
      <c r="FS532" s="224"/>
      <c r="FT532" s="224"/>
      <c r="FU532" s="224"/>
      <c r="FV532" s="223"/>
      <c r="FW532" s="224"/>
      <c r="FX532" s="224"/>
      <c r="FY532" s="224"/>
      <c r="FZ532" s="224"/>
      <c r="GA532" s="223"/>
      <c r="GB532" s="224"/>
      <c r="GC532" s="224"/>
      <c r="GD532" s="224"/>
      <c r="GE532" s="224"/>
      <c r="GF532" s="223"/>
      <c r="GG532" s="224"/>
      <c r="GH532" s="224"/>
      <c r="GI532" s="224"/>
      <c r="GJ532" s="224"/>
    </row>
    <row r="533" spans="1:192" s="93" customFormat="1" ht="12.75" customHeight="1">
      <c r="A533" s="68"/>
      <c r="B533" s="677"/>
      <c r="C533" s="223"/>
      <c r="D533" s="224"/>
      <c r="E533" s="224"/>
      <c r="F533" s="224"/>
      <c r="G533" s="224"/>
      <c r="H533" s="223"/>
      <c r="I533" s="224"/>
      <c r="J533" s="224"/>
      <c r="K533" s="224"/>
      <c r="L533" s="224"/>
      <c r="M533" s="223"/>
      <c r="N533" s="224"/>
      <c r="O533" s="224"/>
      <c r="P533" s="224"/>
      <c r="Q533" s="224"/>
      <c r="R533" s="223"/>
      <c r="S533" s="224"/>
      <c r="T533" s="224"/>
      <c r="U533" s="224"/>
      <c r="V533" s="224"/>
      <c r="W533" s="223"/>
      <c r="X533" s="224"/>
      <c r="Y533" s="224"/>
      <c r="Z533" s="224"/>
      <c r="AA533" s="224"/>
      <c r="AB533" s="223"/>
      <c r="AC533" s="224"/>
      <c r="AD533" s="224"/>
      <c r="AE533" s="224"/>
      <c r="AF533" s="224"/>
      <c r="AG533" s="223"/>
      <c r="AH533" s="224"/>
      <c r="AI533" s="224"/>
      <c r="AJ533" s="224"/>
      <c r="AK533" s="224"/>
      <c r="AL533" s="223"/>
      <c r="AM533" s="224"/>
      <c r="AN533" s="224"/>
      <c r="AO533" s="224"/>
      <c r="AP533" s="224"/>
      <c r="AQ533" s="223"/>
      <c r="AR533" s="224"/>
      <c r="AS533" s="224"/>
      <c r="AT533" s="224"/>
      <c r="AU533" s="224"/>
      <c r="AV533" s="223"/>
      <c r="AW533" s="224"/>
      <c r="AX533" s="224"/>
      <c r="AY533" s="224"/>
      <c r="AZ533" s="224"/>
      <c r="BA533" s="223"/>
      <c r="BB533" s="224"/>
      <c r="BC533" s="224"/>
      <c r="BD533" s="224"/>
      <c r="BE533" s="224"/>
      <c r="BF533" s="223"/>
      <c r="BG533" s="224"/>
      <c r="BH533" s="224"/>
      <c r="BI533" s="224"/>
      <c r="BJ533" s="224"/>
      <c r="BK533" s="223"/>
      <c r="BL533" s="224"/>
      <c r="BM533" s="224"/>
      <c r="BN533" s="224"/>
      <c r="BO533" s="224"/>
      <c r="BP533" s="223"/>
      <c r="BQ533" s="224"/>
      <c r="BR533" s="224"/>
      <c r="BS533" s="224"/>
      <c r="BT533" s="224"/>
      <c r="BU533" s="223"/>
      <c r="BV533" s="224"/>
      <c r="BW533" s="224"/>
      <c r="BX533" s="224"/>
      <c r="BY533" s="224"/>
      <c r="BZ533" s="223"/>
      <c r="CA533" s="224"/>
      <c r="CB533" s="224"/>
      <c r="CC533" s="224"/>
      <c r="CD533" s="224"/>
      <c r="CE533" s="223"/>
      <c r="CF533" s="224"/>
      <c r="CG533" s="224"/>
      <c r="CH533" s="224"/>
      <c r="CI533" s="224"/>
      <c r="CJ533" s="223"/>
      <c r="CK533" s="224"/>
      <c r="CL533" s="224"/>
      <c r="CM533" s="224"/>
      <c r="CN533" s="224"/>
      <c r="CO533" s="223"/>
      <c r="CP533" s="224"/>
      <c r="CQ533" s="224"/>
      <c r="CR533" s="224"/>
      <c r="CS533" s="224"/>
      <c r="CT533" s="223"/>
      <c r="CU533" s="224"/>
      <c r="CV533" s="224"/>
      <c r="CW533" s="224"/>
      <c r="CX533" s="224"/>
      <c r="CY533" s="223"/>
      <c r="CZ533" s="224"/>
      <c r="DA533" s="224"/>
      <c r="DB533" s="224"/>
      <c r="DC533" s="224"/>
      <c r="DD533" s="223"/>
      <c r="DE533" s="224"/>
      <c r="DF533" s="224"/>
      <c r="DG533" s="224"/>
      <c r="DH533" s="224"/>
      <c r="DI533" s="223"/>
      <c r="DJ533" s="224"/>
      <c r="DK533" s="224"/>
      <c r="DL533" s="224"/>
      <c r="DM533" s="224"/>
      <c r="DN533" s="223"/>
      <c r="DO533" s="224"/>
      <c r="DP533" s="224"/>
      <c r="DQ533" s="224"/>
      <c r="DR533" s="224"/>
      <c r="DS533" s="223"/>
      <c r="DT533" s="224"/>
      <c r="DU533" s="224"/>
      <c r="DV533" s="224"/>
      <c r="DW533" s="224"/>
      <c r="DX533" s="223"/>
      <c r="DY533" s="224"/>
      <c r="DZ533" s="224"/>
      <c r="EA533" s="224"/>
      <c r="EB533" s="224"/>
      <c r="EC533" s="223"/>
      <c r="ED533" s="224"/>
      <c r="EE533" s="224"/>
      <c r="EF533" s="224"/>
      <c r="EG533" s="224"/>
      <c r="EH533" s="223"/>
      <c r="EI533" s="224"/>
      <c r="EJ533" s="224"/>
      <c r="EK533" s="224"/>
      <c r="EL533" s="224"/>
      <c r="EM533" s="223"/>
      <c r="EN533" s="224"/>
      <c r="EO533" s="224"/>
      <c r="EP533" s="224"/>
      <c r="EQ533" s="224"/>
      <c r="ER533" s="223"/>
      <c r="ES533" s="224"/>
      <c r="ET533" s="224"/>
      <c r="EU533" s="224"/>
      <c r="EV533" s="224"/>
      <c r="EW533" s="223"/>
      <c r="EX533" s="224"/>
      <c r="EY533" s="224"/>
      <c r="EZ533" s="224"/>
      <c r="FA533" s="224"/>
      <c r="FB533" s="223"/>
      <c r="FC533" s="224"/>
      <c r="FD533" s="224"/>
      <c r="FE533" s="224"/>
      <c r="FF533" s="224"/>
      <c r="FG533" s="223"/>
      <c r="FH533" s="224"/>
      <c r="FI533" s="224"/>
      <c r="FJ533" s="224"/>
      <c r="FK533" s="224"/>
      <c r="FL533" s="223"/>
      <c r="FM533" s="224"/>
      <c r="FN533" s="224"/>
      <c r="FO533" s="224"/>
      <c r="FP533" s="224"/>
      <c r="FQ533" s="223"/>
      <c r="FR533" s="224"/>
      <c r="FS533" s="224"/>
      <c r="FT533" s="224"/>
      <c r="FU533" s="224"/>
      <c r="FV533" s="223"/>
      <c r="FW533" s="224"/>
      <c r="FX533" s="224"/>
      <c r="FY533" s="224"/>
      <c r="FZ533" s="224"/>
      <c r="GA533" s="223"/>
      <c r="GB533" s="224"/>
      <c r="GC533" s="224"/>
      <c r="GD533" s="224"/>
      <c r="GE533" s="224"/>
      <c r="GF533" s="223"/>
      <c r="GG533" s="224"/>
      <c r="GH533" s="224"/>
      <c r="GI533" s="224"/>
      <c r="GJ533" s="224"/>
    </row>
    <row r="534" spans="1:192" s="93" customFormat="1" ht="12.75" customHeight="1">
      <c r="A534" s="68"/>
      <c r="B534" s="677"/>
      <c r="C534" s="169"/>
      <c r="D534" s="169"/>
      <c r="E534" s="169"/>
      <c r="F534" s="169"/>
      <c r="G534" s="169"/>
      <c r="H534" s="169"/>
      <c r="I534" s="169"/>
      <c r="J534" s="169"/>
      <c r="K534" s="169"/>
      <c r="L534" s="169"/>
      <c r="M534" s="169"/>
      <c r="N534" s="169"/>
      <c r="O534" s="169"/>
      <c r="P534" s="169"/>
      <c r="Q534" s="169"/>
      <c r="R534" s="169"/>
      <c r="S534" s="169"/>
      <c r="T534" s="169"/>
      <c r="U534" s="169"/>
      <c r="V534" s="169"/>
      <c r="W534" s="169"/>
      <c r="X534" s="169"/>
      <c r="Y534" s="169"/>
      <c r="Z534" s="169"/>
      <c r="AA534" s="169"/>
      <c r="AB534" s="169"/>
      <c r="AC534" s="169"/>
      <c r="AD534" s="169"/>
      <c r="AE534" s="169"/>
      <c r="AF534" s="169"/>
      <c r="AG534" s="169"/>
      <c r="AH534" s="169"/>
      <c r="AI534" s="169"/>
      <c r="AJ534" s="169"/>
      <c r="AK534" s="169"/>
      <c r="AL534" s="169"/>
      <c r="AM534" s="169"/>
      <c r="AN534" s="169"/>
      <c r="AO534" s="169"/>
      <c r="AP534" s="169"/>
      <c r="AQ534" s="169"/>
      <c r="AR534" s="169"/>
      <c r="AS534" s="169"/>
      <c r="AT534" s="169"/>
      <c r="AU534" s="169"/>
      <c r="AV534" s="169"/>
      <c r="AW534" s="169"/>
      <c r="AX534" s="169"/>
      <c r="AY534" s="169"/>
      <c r="AZ534" s="169"/>
      <c r="BA534" s="169"/>
      <c r="BB534" s="169"/>
      <c r="BC534" s="169"/>
      <c r="BD534" s="169"/>
      <c r="BE534" s="169"/>
      <c r="BF534" s="169"/>
      <c r="BG534" s="169"/>
      <c r="BH534" s="169"/>
      <c r="BI534" s="169"/>
      <c r="BJ534" s="169"/>
      <c r="BK534" s="169"/>
      <c r="BL534" s="169"/>
      <c r="BM534" s="169"/>
      <c r="BN534" s="169"/>
      <c r="BO534" s="169"/>
      <c r="BP534" s="169"/>
      <c r="BQ534" s="169"/>
      <c r="BR534" s="169"/>
      <c r="BS534" s="169"/>
      <c r="BT534" s="169"/>
      <c r="BU534" s="169"/>
      <c r="BV534" s="169"/>
      <c r="BW534" s="169"/>
      <c r="BX534" s="169"/>
      <c r="BY534" s="169"/>
      <c r="BZ534" s="169"/>
      <c r="CA534" s="169"/>
      <c r="CB534" s="169"/>
      <c r="CC534" s="169"/>
      <c r="CD534" s="169"/>
      <c r="CE534" s="169"/>
      <c r="CF534" s="169"/>
      <c r="CG534" s="169"/>
      <c r="CH534" s="169"/>
      <c r="CI534" s="169"/>
      <c r="CJ534" s="169"/>
      <c r="CK534" s="169"/>
      <c r="CL534" s="169"/>
      <c r="CM534" s="169"/>
      <c r="CN534" s="169"/>
      <c r="CO534" s="169"/>
      <c r="CP534" s="169"/>
      <c r="CQ534" s="169"/>
      <c r="CR534" s="169"/>
      <c r="CS534" s="169"/>
      <c r="CT534" s="169"/>
      <c r="CU534" s="169"/>
      <c r="CV534" s="169"/>
      <c r="CW534" s="169"/>
      <c r="CX534" s="169"/>
      <c r="CY534" s="169"/>
      <c r="CZ534" s="169"/>
      <c r="DA534" s="169"/>
      <c r="DB534" s="169"/>
      <c r="DC534" s="169"/>
      <c r="DD534" s="169"/>
      <c r="DE534" s="169"/>
      <c r="DF534" s="169"/>
      <c r="DG534" s="169"/>
      <c r="DH534" s="169"/>
      <c r="DI534" s="169"/>
      <c r="DJ534" s="169"/>
      <c r="DK534" s="169"/>
      <c r="DL534" s="169"/>
      <c r="DM534" s="169"/>
      <c r="DN534" s="169"/>
      <c r="DO534" s="169"/>
      <c r="DP534" s="169"/>
      <c r="DQ534" s="169"/>
      <c r="DR534" s="169"/>
      <c r="DS534" s="169"/>
      <c r="DT534" s="169"/>
      <c r="DU534" s="169"/>
      <c r="DV534" s="169"/>
      <c r="DW534" s="169"/>
      <c r="DX534" s="169"/>
      <c r="DY534" s="169"/>
      <c r="DZ534" s="169"/>
      <c r="EA534" s="169"/>
      <c r="EB534" s="169"/>
      <c r="EC534" s="169"/>
      <c r="ED534" s="169"/>
      <c r="EE534" s="169"/>
      <c r="EF534" s="169"/>
      <c r="EG534" s="169"/>
      <c r="EH534" s="169"/>
      <c r="EI534" s="169"/>
      <c r="EJ534" s="169"/>
      <c r="EK534" s="169"/>
      <c r="EL534" s="169"/>
      <c r="EM534" s="169"/>
      <c r="EN534" s="169"/>
      <c r="EO534" s="169"/>
      <c r="EP534" s="169"/>
      <c r="EQ534" s="169"/>
      <c r="ER534" s="169"/>
      <c r="ES534" s="169"/>
      <c r="ET534" s="169"/>
      <c r="EU534" s="169"/>
      <c r="EV534" s="169"/>
      <c r="EW534" s="169"/>
      <c r="EX534" s="169"/>
      <c r="EY534" s="169"/>
      <c r="EZ534" s="169"/>
      <c r="FA534" s="169"/>
      <c r="FB534" s="169"/>
      <c r="FC534" s="169"/>
      <c r="FD534" s="169"/>
      <c r="FE534" s="169"/>
      <c r="FF534" s="169"/>
      <c r="FG534" s="169"/>
      <c r="FH534" s="169"/>
      <c r="FI534" s="169"/>
      <c r="FJ534" s="169"/>
      <c r="FK534" s="169"/>
      <c r="FL534" s="169"/>
      <c r="FM534" s="169"/>
      <c r="FN534" s="169"/>
      <c r="FO534" s="169"/>
      <c r="FP534" s="169"/>
      <c r="FQ534" s="169"/>
      <c r="FR534" s="169"/>
      <c r="FS534" s="169"/>
      <c r="FT534" s="169"/>
      <c r="FU534" s="169"/>
      <c r="FV534" s="169"/>
      <c r="FW534" s="169"/>
      <c r="FX534" s="169"/>
      <c r="FY534" s="169"/>
      <c r="FZ534" s="169"/>
      <c r="GA534" s="169"/>
      <c r="GB534" s="169"/>
      <c r="GC534" s="169"/>
      <c r="GD534" s="169"/>
      <c r="GE534" s="169"/>
      <c r="GF534" s="169"/>
      <c r="GG534" s="169"/>
      <c r="GH534" s="169"/>
      <c r="GI534" s="169"/>
      <c r="GJ534" s="169"/>
    </row>
    <row r="535" spans="1:192" s="93" customFormat="1" ht="12.75" customHeight="1">
      <c r="A535" s="68"/>
      <c r="B535" s="677"/>
      <c r="C535" s="228"/>
      <c r="D535" s="228"/>
      <c r="E535" s="228"/>
      <c r="F535" s="228"/>
      <c r="G535" s="228"/>
      <c r="H535" s="228"/>
      <c r="I535" s="228"/>
      <c r="J535" s="228"/>
      <c r="K535" s="228"/>
      <c r="L535" s="228"/>
      <c r="M535" s="228"/>
      <c r="N535" s="228"/>
      <c r="O535" s="228"/>
      <c r="P535" s="228"/>
      <c r="Q535" s="228"/>
      <c r="R535" s="228"/>
      <c r="S535" s="228"/>
      <c r="T535" s="228"/>
      <c r="U535" s="228"/>
      <c r="V535" s="228"/>
      <c r="W535" s="228"/>
      <c r="X535" s="228"/>
      <c r="Y535" s="228"/>
      <c r="Z535" s="228"/>
      <c r="AA535" s="228"/>
      <c r="AB535" s="228"/>
      <c r="AC535" s="228"/>
      <c r="AD535" s="228"/>
      <c r="AE535" s="228"/>
      <c r="AF535" s="228"/>
      <c r="AG535" s="228"/>
      <c r="AH535" s="228"/>
      <c r="AI535" s="228"/>
      <c r="AJ535" s="228"/>
      <c r="AK535" s="228"/>
      <c r="AL535" s="228"/>
      <c r="AM535" s="228"/>
      <c r="AN535" s="228"/>
      <c r="AO535" s="228"/>
      <c r="AP535" s="228"/>
      <c r="AQ535" s="228"/>
      <c r="AR535" s="228"/>
      <c r="AS535" s="228"/>
      <c r="AT535" s="228"/>
      <c r="AU535" s="228"/>
      <c r="AV535" s="228"/>
      <c r="AW535" s="228"/>
      <c r="AX535" s="228"/>
      <c r="AY535" s="228"/>
      <c r="AZ535" s="228"/>
      <c r="BA535" s="228"/>
      <c r="BB535" s="228"/>
      <c r="BC535" s="228"/>
      <c r="BD535" s="228"/>
      <c r="BE535" s="228"/>
      <c r="BF535" s="228"/>
      <c r="BG535" s="228"/>
      <c r="BH535" s="228"/>
      <c r="BI535" s="228"/>
      <c r="BJ535" s="228"/>
      <c r="BK535" s="228"/>
      <c r="BL535" s="228"/>
      <c r="BM535" s="228"/>
      <c r="BN535" s="228"/>
      <c r="BO535" s="228"/>
      <c r="BP535" s="228"/>
      <c r="BQ535" s="228"/>
      <c r="BR535" s="228"/>
      <c r="BS535" s="228"/>
      <c r="BT535" s="228"/>
      <c r="BU535" s="228"/>
      <c r="BV535" s="228"/>
      <c r="BW535" s="228"/>
      <c r="BX535" s="228"/>
      <c r="BY535" s="228"/>
      <c r="BZ535" s="228"/>
      <c r="CA535" s="228"/>
      <c r="CB535" s="228"/>
      <c r="CC535" s="228"/>
      <c r="CD535" s="228"/>
      <c r="CE535" s="228"/>
      <c r="CF535" s="228"/>
      <c r="CG535" s="228"/>
      <c r="CH535" s="228"/>
      <c r="CI535" s="228"/>
      <c r="CJ535" s="228"/>
      <c r="CK535" s="228"/>
      <c r="CL535" s="228"/>
      <c r="CM535" s="228"/>
      <c r="CN535" s="228"/>
      <c r="CO535" s="228"/>
      <c r="CP535" s="228"/>
      <c r="CQ535" s="228"/>
      <c r="CR535" s="228"/>
      <c r="CS535" s="228"/>
      <c r="CT535" s="228"/>
      <c r="CU535" s="228"/>
      <c r="CV535" s="228"/>
      <c r="CW535" s="228"/>
      <c r="CX535" s="228"/>
      <c r="CY535" s="228"/>
      <c r="CZ535" s="228"/>
      <c r="DA535" s="228"/>
      <c r="DB535" s="228"/>
      <c r="DC535" s="228"/>
      <c r="DD535" s="228"/>
      <c r="DE535" s="228"/>
      <c r="DF535" s="228"/>
      <c r="DG535" s="228"/>
      <c r="DH535" s="228"/>
      <c r="DI535" s="228"/>
      <c r="DJ535" s="228"/>
      <c r="DK535" s="228"/>
      <c r="DL535" s="228"/>
      <c r="DM535" s="228"/>
      <c r="DN535" s="228"/>
      <c r="DO535" s="228"/>
      <c r="DP535" s="228"/>
      <c r="DQ535" s="228"/>
      <c r="DR535" s="228"/>
      <c r="DS535" s="228"/>
      <c r="DT535" s="228"/>
      <c r="DU535" s="228"/>
      <c r="DV535" s="228"/>
      <c r="DW535" s="228"/>
      <c r="DX535" s="228"/>
      <c r="DY535" s="228"/>
      <c r="DZ535" s="228"/>
      <c r="EA535" s="228"/>
      <c r="EB535" s="228"/>
      <c r="EC535" s="228"/>
      <c r="ED535" s="228"/>
      <c r="EE535" s="228"/>
      <c r="EF535" s="228"/>
      <c r="EG535" s="228"/>
      <c r="EH535" s="228"/>
      <c r="EI535" s="228"/>
      <c r="EJ535" s="228"/>
      <c r="EK535" s="228"/>
      <c r="EL535" s="228"/>
      <c r="EM535" s="228"/>
      <c r="EN535" s="228"/>
      <c r="EO535" s="228"/>
      <c r="EP535" s="228"/>
      <c r="EQ535" s="228"/>
      <c r="ER535" s="228"/>
      <c r="ES535" s="228"/>
      <c r="ET535" s="228"/>
      <c r="EU535" s="228"/>
      <c r="EV535" s="228"/>
      <c r="EW535" s="228"/>
      <c r="EX535" s="228"/>
      <c r="EY535" s="228"/>
      <c r="EZ535" s="228"/>
      <c r="FA535" s="228"/>
      <c r="FB535" s="228"/>
      <c r="FC535" s="228"/>
      <c r="FD535" s="228"/>
      <c r="FE535" s="228"/>
      <c r="FF535" s="228"/>
      <c r="FG535" s="228"/>
      <c r="FH535" s="228"/>
      <c r="FI535" s="228"/>
      <c r="FJ535" s="228"/>
      <c r="FK535" s="228"/>
      <c r="FL535" s="228"/>
      <c r="FM535" s="228"/>
      <c r="FN535" s="228"/>
      <c r="FO535" s="228"/>
      <c r="FP535" s="228"/>
      <c r="FQ535" s="228"/>
      <c r="FR535" s="228"/>
      <c r="FS535" s="228"/>
      <c r="FT535" s="228"/>
      <c r="FU535" s="228"/>
      <c r="FV535" s="228"/>
      <c r="FW535" s="228"/>
      <c r="FX535" s="228"/>
      <c r="FY535" s="228"/>
      <c r="FZ535" s="228"/>
      <c r="GA535" s="228"/>
      <c r="GB535" s="228"/>
      <c r="GC535" s="228"/>
      <c r="GD535" s="228"/>
      <c r="GE535" s="228"/>
      <c r="GF535" s="228"/>
      <c r="GG535" s="228"/>
      <c r="GH535" s="228"/>
      <c r="GI535" s="228"/>
      <c r="GJ535" s="228"/>
    </row>
    <row r="536" spans="1:192" s="93" customFormat="1" ht="12.75" customHeight="1">
      <c r="A536" s="68"/>
      <c r="B536" s="677"/>
      <c r="C536" s="169"/>
      <c r="D536" s="169"/>
      <c r="E536" s="169"/>
      <c r="F536" s="169"/>
      <c r="G536" s="169"/>
      <c r="H536" s="169"/>
      <c r="I536" s="169"/>
      <c r="J536" s="169"/>
      <c r="K536" s="169"/>
      <c r="L536" s="169"/>
      <c r="M536" s="169"/>
      <c r="N536" s="169"/>
      <c r="O536" s="169"/>
      <c r="P536" s="169"/>
      <c r="Q536" s="169"/>
      <c r="R536" s="169"/>
      <c r="S536" s="169"/>
      <c r="T536" s="169"/>
      <c r="U536" s="169"/>
      <c r="V536" s="169"/>
      <c r="W536" s="169"/>
      <c r="X536" s="169"/>
      <c r="Y536" s="169"/>
      <c r="Z536" s="169"/>
      <c r="AA536" s="169"/>
      <c r="AB536" s="169"/>
      <c r="AC536" s="169"/>
      <c r="AD536" s="169"/>
      <c r="AE536" s="169"/>
      <c r="AF536" s="169"/>
      <c r="AG536" s="169"/>
      <c r="AH536" s="169"/>
      <c r="AI536" s="169"/>
      <c r="AJ536" s="169"/>
      <c r="AK536" s="169"/>
      <c r="AL536" s="169"/>
      <c r="AM536" s="169"/>
      <c r="AN536" s="169"/>
      <c r="AO536" s="169"/>
      <c r="AP536" s="169"/>
      <c r="AQ536" s="169"/>
      <c r="AR536" s="169"/>
      <c r="AS536" s="169"/>
      <c r="AT536" s="169"/>
      <c r="AU536" s="169"/>
      <c r="AV536" s="169"/>
      <c r="AW536" s="169"/>
      <c r="AX536" s="169"/>
      <c r="AY536" s="169"/>
      <c r="AZ536" s="169"/>
      <c r="BA536" s="169"/>
      <c r="BB536" s="169"/>
      <c r="BC536" s="169"/>
      <c r="BD536" s="169"/>
      <c r="BE536" s="169"/>
      <c r="BF536" s="169"/>
      <c r="BG536" s="169"/>
      <c r="BH536" s="169"/>
      <c r="BI536" s="169"/>
      <c r="BJ536" s="169"/>
      <c r="BK536" s="169"/>
      <c r="BL536" s="169"/>
      <c r="BM536" s="169"/>
      <c r="BN536" s="169"/>
      <c r="BO536" s="169"/>
      <c r="BP536" s="169"/>
      <c r="BQ536" s="169"/>
      <c r="BR536" s="169"/>
      <c r="BS536" s="169"/>
      <c r="BT536" s="169"/>
      <c r="BU536" s="169"/>
      <c r="BV536" s="169"/>
      <c r="BW536" s="169"/>
      <c r="BX536" s="169"/>
      <c r="BY536" s="169"/>
      <c r="BZ536" s="169"/>
      <c r="CA536" s="169"/>
      <c r="CB536" s="169"/>
      <c r="CC536" s="169"/>
      <c r="CD536" s="169"/>
      <c r="CE536" s="169"/>
      <c r="CF536" s="169"/>
      <c r="CG536" s="169"/>
      <c r="CH536" s="169"/>
      <c r="CI536" s="169"/>
      <c r="CJ536" s="169"/>
      <c r="CK536" s="169"/>
      <c r="CL536" s="169"/>
      <c r="CM536" s="169"/>
      <c r="CN536" s="169"/>
      <c r="CO536" s="169"/>
      <c r="CP536" s="169"/>
      <c r="CQ536" s="169"/>
      <c r="CR536" s="169"/>
      <c r="CS536" s="169"/>
      <c r="CT536" s="169"/>
      <c r="CU536" s="169"/>
      <c r="CV536" s="169"/>
      <c r="CW536" s="169"/>
      <c r="CX536" s="169"/>
      <c r="CY536" s="169"/>
      <c r="CZ536" s="169"/>
      <c r="DA536" s="169"/>
      <c r="DB536" s="169"/>
      <c r="DC536" s="169"/>
      <c r="DD536" s="169"/>
      <c r="DE536" s="169"/>
      <c r="DF536" s="169"/>
      <c r="DG536" s="169"/>
      <c r="DH536" s="169"/>
      <c r="DI536" s="169"/>
      <c r="DJ536" s="169"/>
      <c r="DK536" s="169"/>
      <c r="DL536" s="169"/>
      <c r="DM536" s="169"/>
      <c r="DN536" s="169"/>
      <c r="DO536" s="169"/>
      <c r="DP536" s="169"/>
      <c r="DQ536" s="169"/>
      <c r="DR536" s="169"/>
      <c r="DS536" s="169"/>
      <c r="DT536" s="169"/>
      <c r="DU536" s="169"/>
      <c r="DV536" s="169"/>
      <c r="DW536" s="169"/>
      <c r="DX536" s="169"/>
      <c r="DY536" s="169"/>
      <c r="DZ536" s="169"/>
      <c r="EA536" s="169"/>
      <c r="EB536" s="169"/>
      <c r="EC536" s="169"/>
      <c r="ED536" s="169"/>
      <c r="EE536" s="169"/>
      <c r="EF536" s="169"/>
      <c r="EG536" s="169"/>
      <c r="EH536" s="169"/>
      <c r="EI536" s="169"/>
      <c r="EJ536" s="169"/>
      <c r="EK536" s="169"/>
      <c r="EL536" s="169"/>
      <c r="EM536" s="169"/>
      <c r="EN536" s="169"/>
      <c r="EO536" s="169"/>
      <c r="EP536" s="169"/>
      <c r="EQ536" s="169"/>
      <c r="ER536" s="169"/>
      <c r="ES536" s="169"/>
      <c r="ET536" s="169"/>
      <c r="EU536" s="169"/>
      <c r="EV536" s="169"/>
      <c r="EW536" s="169"/>
      <c r="EX536" s="169"/>
      <c r="EY536" s="169"/>
      <c r="EZ536" s="169"/>
      <c r="FA536" s="169"/>
      <c r="FB536" s="169"/>
      <c r="FC536" s="169"/>
      <c r="FD536" s="169"/>
      <c r="FE536" s="169"/>
      <c r="FF536" s="169"/>
      <c r="FG536" s="169"/>
      <c r="FH536" s="169"/>
      <c r="FI536" s="169"/>
      <c r="FJ536" s="169"/>
      <c r="FK536" s="169"/>
      <c r="FL536" s="169"/>
      <c r="FM536" s="169"/>
      <c r="FN536" s="169"/>
      <c r="FO536" s="169"/>
      <c r="FP536" s="169"/>
      <c r="FQ536" s="169"/>
      <c r="FR536" s="169"/>
      <c r="FS536" s="169"/>
      <c r="FT536" s="169"/>
      <c r="FU536" s="169"/>
      <c r="FV536" s="169"/>
      <c r="FW536" s="169"/>
      <c r="FX536" s="169"/>
      <c r="FY536" s="169"/>
      <c r="FZ536" s="169"/>
      <c r="GA536" s="169"/>
      <c r="GB536" s="169"/>
      <c r="GC536" s="169"/>
      <c r="GD536" s="169"/>
      <c r="GE536" s="169"/>
      <c r="GF536" s="169"/>
      <c r="GG536" s="169"/>
      <c r="GH536" s="169"/>
      <c r="GI536" s="169"/>
      <c r="GJ536" s="169"/>
    </row>
    <row r="537" spans="1:192" s="93" customFormat="1" ht="12.75" customHeight="1">
      <c r="A537" s="68"/>
      <c r="B537" s="677"/>
      <c r="C537" s="106"/>
      <c r="D537" s="106"/>
      <c r="E537" s="106"/>
      <c r="F537" s="106"/>
      <c r="G537" s="106"/>
      <c r="H537" s="106"/>
      <c r="I537" s="106"/>
      <c r="J537" s="106"/>
      <c r="K537" s="106"/>
      <c r="L537" s="106"/>
      <c r="M537" s="106"/>
      <c r="N537" s="106"/>
      <c r="O537" s="106"/>
      <c r="P537" s="106"/>
      <c r="Q537" s="106"/>
      <c r="R537" s="106"/>
      <c r="S537" s="106"/>
      <c r="T537" s="106"/>
      <c r="U537" s="106"/>
      <c r="V537" s="106"/>
      <c r="W537" s="106"/>
      <c r="X537" s="106"/>
      <c r="Y537" s="106"/>
      <c r="Z537" s="106"/>
      <c r="AA537" s="106"/>
      <c r="AB537" s="106"/>
      <c r="AC537" s="106"/>
      <c r="AD537" s="106"/>
      <c r="AE537" s="106"/>
      <c r="AF537" s="106"/>
      <c r="AG537" s="106"/>
      <c r="AH537" s="106"/>
      <c r="AI537" s="106"/>
      <c r="AJ537" s="106"/>
      <c r="AK537" s="106"/>
      <c r="AL537" s="106"/>
      <c r="AM537" s="106"/>
      <c r="AN537" s="106"/>
      <c r="AO537" s="106"/>
      <c r="AP537" s="106"/>
      <c r="AQ537" s="106"/>
      <c r="AR537" s="106"/>
      <c r="AS537" s="106"/>
      <c r="AT537" s="106"/>
      <c r="AU537" s="106"/>
      <c r="AV537" s="106"/>
      <c r="AW537" s="106"/>
      <c r="AX537" s="106"/>
      <c r="AY537" s="106"/>
      <c r="AZ537" s="106"/>
      <c r="BA537" s="106"/>
      <c r="BB537" s="106"/>
      <c r="BC537" s="106"/>
      <c r="BD537" s="106"/>
      <c r="BE537" s="106"/>
      <c r="BF537" s="106"/>
      <c r="BG537" s="106"/>
      <c r="BH537" s="106"/>
      <c r="BI537" s="106"/>
      <c r="BJ537" s="106"/>
      <c r="BK537" s="106"/>
      <c r="BL537" s="106"/>
      <c r="BM537" s="106"/>
      <c r="BN537" s="106"/>
      <c r="BO537" s="106"/>
      <c r="BP537" s="106"/>
      <c r="BQ537" s="106"/>
      <c r="BR537" s="106"/>
      <c r="BS537" s="106"/>
      <c r="BT537" s="106"/>
      <c r="BU537" s="106"/>
      <c r="BV537" s="106"/>
      <c r="BW537" s="106"/>
      <c r="BX537" s="106"/>
      <c r="BY537" s="106"/>
      <c r="BZ537" s="106"/>
      <c r="CA537" s="106"/>
      <c r="CB537" s="106"/>
      <c r="CC537" s="106"/>
      <c r="CD537" s="106"/>
      <c r="CE537" s="106"/>
      <c r="CF537" s="106"/>
      <c r="CG537" s="106"/>
      <c r="CH537" s="106"/>
      <c r="CI537" s="106"/>
      <c r="CJ537" s="106"/>
      <c r="CK537" s="106"/>
      <c r="CL537" s="106"/>
      <c r="CM537" s="106"/>
      <c r="CN537" s="106"/>
      <c r="CO537" s="106"/>
      <c r="CP537" s="106"/>
      <c r="CQ537" s="106"/>
      <c r="CR537" s="106"/>
      <c r="CS537" s="106"/>
      <c r="CT537" s="106"/>
      <c r="CU537" s="106"/>
      <c r="CV537" s="106"/>
      <c r="CW537" s="106"/>
      <c r="CX537" s="106"/>
      <c r="CY537" s="106"/>
      <c r="CZ537" s="106"/>
      <c r="DA537" s="106"/>
      <c r="DB537" s="106"/>
      <c r="DC537" s="106"/>
      <c r="DD537" s="106"/>
      <c r="DE537" s="106"/>
      <c r="DF537" s="106"/>
      <c r="DG537" s="106"/>
      <c r="DH537" s="106"/>
      <c r="DI537" s="106"/>
      <c r="DJ537" s="106"/>
      <c r="DK537" s="106"/>
      <c r="DL537" s="106"/>
      <c r="DM537" s="106"/>
      <c r="DN537" s="106"/>
      <c r="DO537" s="106"/>
      <c r="DP537" s="106"/>
      <c r="DQ537" s="106"/>
      <c r="DR537" s="106"/>
      <c r="DS537" s="106"/>
      <c r="DT537" s="106"/>
      <c r="DU537" s="106"/>
      <c r="DV537" s="106"/>
      <c r="DW537" s="106"/>
      <c r="DX537" s="106"/>
      <c r="DY537" s="106"/>
      <c r="DZ537" s="106"/>
      <c r="EA537" s="106"/>
      <c r="EB537" s="106"/>
      <c r="EC537" s="106"/>
      <c r="ED537" s="106"/>
      <c r="EE537" s="106"/>
      <c r="EF537" s="106"/>
      <c r="EG537" s="106"/>
      <c r="EH537" s="106"/>
      <c r="EI537" s="106"/>
      <c r="EJ537" s="106"/>
      <c r="EK537" s="106"/>
      <c r="EL537" s="106"/>
      <c r="EM537" s="106"/>
      <c r="EN537" s="106"/>
      <c r="EO537" s="106"/>
      <c r="EP537" s="106"/>
      <c r="EQ537" s="106"/>
      <c r="ER537" s="106"/>
      <c r="ES537" s="106"/>
      <c r="ET537" s="106"/>
      <c r="EU537" s="106"/>
      <c r="EV537" s="106"/>
      <c r="EW537" s="106"/>
      <c r="EX537" s="106"/>
      <c r="EY537" s="106"/>
      <c r="EZ537" s="106"/>
      <c r="FA537" s="106"/>
      <c r="FB537" s="106"/>
      <c r="FC537" s="106"/>
      <c r="FD537" s="106"/>
      <c r="FE537" s="106"/>
      <c r="FF537" s="106"/>
      <c r="FG537" s="106"/>
      <c r="FH537" s="106"/>
      <c r="FI537" s="106"/>
      <c r="FJ537" s="106"/>
      <c r="FK537" s="106"/>
      <c r="FL537" s="106"/>
      <c r="FM537" s="106"/>
      <c r="FN537" s="106"/>
      <c r="FO537" s="106"/>
      <c r="FP537" s="106"/>
      <c r="FQ537" s="106"/>
      <c r="FR537" s="106"/>
      <c r="FS537" s="106"/>
      <c r="FT537" s="106"/>
      <c r="FU537" s="106"/>
      <c r="FV537" s="106"/>
      <c r="FW537" s="106"/>
      <c r="FX537" s="106"/>
      <c r="FY537" s="106"/>
      <c r="FZ537" s="106"/>
      <c r="GA537" s="106"/>
      <c r="GB537" s="106"/>
      <c r="GC537" s="106"/>
      <c r="GD537" s="106"/>
      <c r="GE537" s="106"/>
      <c r="GF537" s="106"/>
      <c r="GG537" s="106"/>
      <c r="GH537" s="106"/>
      <c r="GI537" s="106"/>
      <c r="GJ537" s="106"/>
    </row>
    <row r="538" spans="1:192" s="93" customFormat="1" ht="12.75" customHeight="1">
      <c r="A538" s="68"/>
      <c r="B538" s="677"/>
      <c r="C538" s="169"/>
      <c r="D538" s="169"/>
      <c r="E538" s="169"/>
      <c r="F538" s="169"/>
      <c r="G538" s="169"/>
      <c r="H538" s="169"/>
      <c r="I538" s="169"/>
      <c r="J538" s="169"/>
      <c r="K538" s="169"/>
      <c r="L538" s="169"/>
      <c r="M538" s="169"/>
      <c r="N538" s="169"/>
      <c r="O538" s="169"/>
      <c r="P538" s="169"/>
      <c r="Q538" s="169"/>
      <c r="R538" s="169"/>
      <c r="S538" s="169"/>
      <c r="T538" s="169"/>
      <c r="U538" s="169"/>
      <c r="V538" s="169"/>
      <c r="W538" s="169"/>
      <c r="X538" s="169"/>
      <c r="Y538" s="169"/>
      <c r="Z538" s="169"/>
      <c r="AA538" s="169"/>
      <c r="AB538" s="169"/>
      <c r="AC538" s="169"/>
      <c r="AD538" s="169"/>
      <c r="AE538" s="169"/>
      <c r="AF538" s="169"/>
      <c r="AG538" s="169"/>
      <c r="AH538" s="169"/>
      <c r="AI538" s="169"/>
      <c r="AJ538" s="169"/>
      <c r="AK538" s="169"/>
      <c r="AL538" s="169"/>
      <c r="AM538" s="169"/>
      <c r="AN538" s="169"/>
      <c r="AO538" s="169"/>
      <c r="AP538" s="169"/>
      <c r="AQ538" s="169"/>
      <c r="AR538" s="169"/>
      <c r="AS538" s="169"/>
      <c r="AT538" s="169"/>
      <c r="AU538" s="169"/>
      <c r="AV538" s="169"/>
      <c r="AW538" s="169"/>
      <c r="AX538" s="169"/>
      <c r="AY538" s="169"/>
      <c r="AZ538" s="169"/>
      <c r="BA538" s="169"/>
      <c r="BB538" s="169"/>
      <c r="BC538" s="169"/>
      <c r="BD538" s="169"/>
      <c r="BE538" s="169"/>
      <c r="BF538" s="169"/>
      <c r="BG538" s="169"/>
      <c r="BH538" s="169"/>
      <c r="BI538" s="169"/>
      <c r="BJ538" s="169"/>
      <c r="BK538" s="169"/>
      <c r="BL538" s="169"/>
      <c r="BM538" s="169"/>
      <c r="BN538" s="169"/>
      <c r="BO538" s="169"/>
      <c r="BP538" s="169"/>
      <c r="BQ538" s="169"/>
      <c r="BR538" s="169"/>
      <c r="BS538" s="169"/>
      <c r="BT538" s="169"/>
      <c r="BU538" s="169"/>
      <c r="BV538" s="169"/>
      <c r="BW538" s="169"/>
      <c r="BX538" s="169"/>
      <c r="BY538" s="169"/>
      <c r="BZ538" s="169"/>
      <c r="CA538" s="169"/>
      <c r="CB538" s="169"/>
      <c r="CC538" s="169"/>
      <c r="CD538" s="169"/>
      <c r="CE538" s="169"/>
      <c r="CF538" s="169"/>
      <c r="CG538" s="169"/>
      <c r="CH538" s="169"/>
      <c r="CI538" s="169"/>
      <c r="CJ538" s="169"/>
      <c r="CK538" s="169"/>
      <c r="CL538" s="169"/>
      <c r="CM538" s="169"/>
      <c r="CN538" s="169"/>
      <c r="CO538" s="169"/>
      <c r="CP538" s="169"/>
      <c r="CQ538" s="169"/>
      <c r="CR538" s="169"/>
      <c r="CS538" s="169"/>
      <c r="CT538" s="169"/>
      <c r="CU538" s="169"/>
      <c r="CV538" s="169"/>
      <c r="CW538" s="169"/>
      <c r="CX538" s="169"/>
      <c r="CY538" s="169"/>
      <c r="CZ538" s="169"/>
      <c r="DA538" s="169"/>
      <c r="DB538" s="169"/>
      <c r="DC538" s="169"/>
      <c r="DD538" s="169"/>
      <c r="DE538" s="169"/>
      <c r="DF538" s="169"/>
      <c r="DG538" s="169"/>
      <c r="DH538" s="169"/>
      <c r="DI538" s="169"/>
      <c r="DJ538" s="169"/>
      <c r="DK538" s="169"/>
      <c r="DL538" s="169"/>
      <c r="DM538" s="169"/>
      <c r="DN538" s="169"/>
      <c r="DO538" s="169"/>
      <c r="DP538" s="169"/>
      <c r="DQ538" s="169"/>
      <c r="DR538" s="169"/>
      <c r="DS538" s="169"/>
      <c r="DT538" s="169"/>
      <c r="DU538" s="169"/>
      <c r="DV538" s="169"/>
      <c r="DW538" s="169"/>
      <c r="DX538" s="169"/>
      <c r="DY538" s="169"/>
      <c r="DZ538" s="169"/>
      <c r="EA538" s="169"/>
      <c r="EB538" s="169"/>
      <c r="EC538" s="169"/>
      <c r="ED538" s="169"/>
      <c r="EE538" s="169"/>
      <c r="EF538" s="169"/>
      <c r="EG538" s="169"/>
      <c r="EH538" s="169"/>
      <c r="EI538" s="169"/>
      <c r="EJ538" s="169"/>
      <c r="EK538" s="169"/>
      <c r="EL538" s="169"/>
      <c r="EM538" s="169"/>
      <c r="EN538" s="169"/>
      <c r="EO538" s="169"/>
      <c r="EP538" s="169"/>
      <c r="EQ538" s="169"/>
      <c r="ER538" s="169"/>
      <c r="ES538" s="169"/>
      <c r="ET538" s="169"/>
      <c r="EU538" s="169"/>
      <c r="EV538" s="169"/>
      <c r="EW538" s="169"/>
      <c r="EX538" s="169"/>
      <c r="EY538" s="169"/>
      <c r="EZ538" s="169"/>
      <c r="FA538" s="169"/>
      <c r="FB538" s="169"/>
      <c r="FC538" s="169"/>
      <c r="FD538" s="169"/>
      <c r="FE538" s="169"/>
      <c r="FF538" s="169"/>
      <c r="FG538" s="169"/>
      <c r="FH538" s="169"/>
      <c r="FI538" s="169"/>
      <c r="FJ538" s="169"/>
      <c r="FK538" s="169"/>
      <c r="FL538" s="169"/>
      <c r="FM538" s="169"/>
      <c r="FN538" s="169"/>
      <c r="FO538" s="169"/>
      <c r="FP538" s="169"/>
      <c r="FQ538" s="169"/>
      <c r="FR538" s="169"/>
      <c r="FS538" s="169"/>
      <c r="FT538" s="169"/>
      <c r="FU538" s="169"/>
      <c r="FV538" s="169"/>
      <c r="FW538" s="169"/>
      <c r="FX538" s="169"/>
      <c r="FY538" s="169"/>
      <c r="FZ538" s="169"/>
      <c r="GA538" s="169"/>
      <c r="GB538" s="169"/>
      <c r="GC538" s="169"/>
      <c r="GD538" s="169"/>
      <c r="GE538" s="169"/>
      <c r="GF538" s="169"/>
      <c r="GG538" s="169"/>
      <c r="GH538" s="169"/>
      <c r="GI538" s="169"/>
      <c r="GJ538" s="169"/>
    </row>
    <row r="539" spans="1:192" s="93" customFormat="1" ht="12.75" customHeight="1">
      <c r="A539" s="68"/>
      <c r="B539" s="677"/>
      <c r="C539" s="169"/>
      <c r="D539" s="169"/>
      <c r="E539" s="169"/>
      <c r="F539" s="169"/>
      <c r="G539" s="169"/>
      <c r="H539" s="169"/>
      <c r="I539" s="169"/>
      <c r="J539" s="169"/>
      <c r="K539" s="169"/>
      <c r="L539" s="169"/>
      <c r="M539" s="169"/>
      <c r="N539" s="169"/>
      <c r="O539" s="169"/>
      <c r="P539" s="169"/>
      <c r="Q539" s="169"/>
      <c r="R539" s="169"/>
      <c r="S539" s="169"/>
      <c r="T539" s="169"/>
      <c r="U539" s="169"/>
      <c r="V539" s="169"/>
      <c r="W539" s="169"/>
      <c r="X539" s="169"/>
      <c r="Y539" s="169"/>
      <c r="Z539" s="169"/>
      <c r="AA539" s="169"/>
      <c r="AB539" s="169"/>
      <c r="AC539" s="169"/>
      <c r="AD539" s="169"/>
      <c r="AE539" s="169"/>
      <c r="AF539" s="169"/>
      <c r="AG539" s="169"/>
      <c r="AH539" s="169"/>
      <c r="AI539" s="169"/>
      <c r="AJ539" s="169"/>
      <c r="AK539" s="169"/>
      <c r="AL539" s="169"/>
      <c r="AM539" s="169"/>
      <c r="AN539" s="169"/>
      <c r="AO539" s="169"/>
      <c r="AP539" s="169"/>
      <c r="AQ539" s="169"/>
      <c r="AR539" s="169"/>
      <c r="AS539" s="169"/>
      <c r="AT539" s="169"/>
      <c r="AU539" s="169"/>
      <c r="AV539" s="169"/>
      <c r="AW539" s="169"/>
      <c r="AX539" s="169"/>
      <c r="AY539" s="169"/>
      <c r="AZ539" s="169"/>
      <c r="BA539" s="169"/>
      <c r="BB539" s="169"/>
      <c r="BC539" s="169"/>
      <c r="BD539" s="169"/>
      <c r="BE539" s="169"/>
      <c r="BF539" s="169"/>
      <c r="BG539" s="169"/>
      <c r="BH539" s="169"/>
      <c r="BI539" s="169"/>
      <c r="BJ539" s="169"/>
      <c r="BK539" s="169"/>
      <c r="BL539" s="169"/>
      <c r="BM539" s="169"/>
      <c r="BN539" s="169"/>
      <c r="BO539" s="169"/>
      <c r="BP539" s="169"/>
      <c r="BQ539" s="169"/>
      <c r="BR539" s="169"/>
      <c r="BS539" s="169"/>
      <c r="BT539" s="169"/>
      <c r="BU539" s="169"/>
      <c r="BV539" s="169"/>
      <c r="BW539" s="169"/>
      <c r="BX539" s="169"/>
      <c r="BY539" s="169"/>
      <c r="BZ539" s="169"/>
      <c r="CA539" s="169"/>
      <c r="CB539" s="169"/>
      <c r="CC539" s="169"/>
      <c r="CD539" s="169"/>
      <c r="CE539" s="169"/>
      <c r="CF539" s="169"/>
      <c r="CG539" s="169"/>
      <c r="CH539" s="169"/>
      <c r="CI539" s="169"/>
      <c r="CJ539" s="169"/>
      <c r="CK539" s="169"/>
      <c r="CL539" s="169"/>
      <c r="CM539" s="169"/>
      <c r="CN539" s="169"/>
      <c r="CO539" s="169"/>
      <c r="CP539" s="169"/>
      <c r="CQ539" s="169"/>
      <c r="CR539" s="169"/>
      <c r="CS539" s="169"/>
      <c r="CT539" s="169"/>
      <c r="CU539" s="169"/>
      <c r="CV539" s="169"/>
      <c r="CW539" s="169"/>
      <c r="CX539" s="169"/>
      <c r="CY539" s="169"/>
      <c r="CZ539" s="169"/>
      <c r="DA539" s="169"/>
      <c r="DB539" s="169"/>
      <c r="DC539" s="169"/>
      <c r="DD539" s="169"/>
      <c r="DE539" s="169"/>
      <c r="DF539" s="169"/>
      <c r="DG539" s="169"/>
      <c r="DH539" s="169"/>
      <c r="DI539" s="169"/>
      <c r="DJ539" s="169"/>
      <c r="DK539" s="169"/>
      <c r="DL539" s="169"/>
      <c r="DM539" s="169"/>
      <c r="DN539" s="169"/>
      <c r="DO539" s="169"/>
      <c r="DP539" s="169"/>
      <c r="DQ539" s="169"/>
      <c r="DR539" s="169"/>
      <c r="DS539" s="169"/>
      <c r="DT539" s="169"/>
      <c r="DU539" s="169"/>
      <c r="DV539" s="169"/>
      <c r="DW539" s="169"/>
      <c r="DX539" s="169"/>
      <c r="DY539" s="169"/>
      <c r="DZ539" s="169"/>
      <c r="EA539" s="169"/>
      <c r="EB539" s="169"/>
      <c r="EC539" s="169"/>
      <c r="ED539" s="169"/>
      <c r="EE539" s="169"/>
      <c r="EF539" s="169"/>
      <c r="EG539" s="169"/>
      <c r="EH539" s="169"/>
      <c r="EI539" s="169"/>
      <c r="EJ539" s="169"/>
      <c r="EK539" s="169"/>
      <c r="EL539" s="169"/>
      <c r="EM539" s="169"/>
      <c r="EN539" s="169"/>
      <c r="EO539" s="169"/>
      <c r="EP539" s="169"/>
      <c r="EQ539" s="169"/>
      <c r="ER539" s="169"/>
      <c r="ES539" s="169"/>
      <c r="ET539" s="169"/>
      <c r="EU539" s="169"/>
      <c r="EV539" s="169"/>
      <c r="EW539" s="169"/>
      <c r="EX539" s="169"/>
      <c r="EY539" s="169"/>
      <c r="EZ539" s="169"/>
      <c r="FA539" s="169"/>
      <c r="FB539" s="169"/>
      <c r="FC539" s="169"/>
      <c r="FD539" s="169"/>
      <c r="FE539" s="169"/>
      <c r="FF539" s="169"/>
      <c r="FG539" s="169"/>
      <c r="FH539" s="169"/>
      <c r="FI539" s="169"/>
      <c r="FJ539" s="169"/>
      <c r="FK539" s="169"/>
      <c r="FL539" s="169"/>
      <c r="FM539" s="169"/>
      <c r="FN539" s="169"/>
      <c r="FO539" s="169"/>
      <c r="FP539" s="169"/>
      <c r="FQ539" s="169"/>
      <c r="FR539" s="169"/>
      <c r="FS539" s="169"/>
      <c r="FT539" s="169"/>
      <c r="FU539" s="169"/>
      <c r="FV539" s="169"/>
      <c r="FW539" s="169"/>
      <c r="FX539" s="169"/>
      <c r="FY539" s="169"/>
      <c r="FZ539" s="169"/>
      <c r="GA539" s="169"/>
      <c r="GB539" s="169"/>
      <c r="GC539" s="169"/>
      <c r="GD539" s="169"/>
      <c r="GE539" s="169"/>
      <c r="GF539" s="169"/>
      <c r="GG539" s="169"/>
      <c r="GH539" s="169"/>
      <c r="GI539" s="169"/>
      <c r="GJ539" s="169"/>
    </row>
    <row r="540" spans="1:192" s="93" customFormat="1" ht="12.75" customHeight="1">
      <c r="A540" s="68"/>
      <c r="B540" s="677"/>
      <c r="C540" s="198"/>
      <c r="D540" s="198"/>
      <c r="E540" s="198"/>
      <c r="F540" s="198"/>
      <c r="G540" s="198"/>
      <c r="H540" s="198"/>
      <c r="I540" s="198"/>
      <c r="J540" s="198"/>
      <c r="K540" s="198"/>
      <c r="L540" s="198"/>
      <c r="M540" s="198"/>
      <c r="N540" s="198"/>
      <c r="O540" s="198"/>
      <c r="P540" s="198"/>
      <c r="Q540" s="198"/>
      <c r="R540" s="198"/>
      <c r="S540" s="198"/>
      <c r="T540" s="198"/>
      <c r="U540" s="198"/>
      <c r="V540" s="198"/>
      <c r="W540" s="198"/>
      <c r="X540" s="198"/>
      <c r="Y540" s="198"/>
      <c r="Z540" s="198"/>
      <c r="AA540" s="198"/>
      <c r="AB540" s="198"/>
      <c r="AC540" s="198"/>
      <c r="AD540" s="198"/>
      <c r="AE540" s="198"/>
      <c r="AF540" s="198"/>
      <c r="AG540" s="198"/>
      <c r="AH540" s="198"/>
      <c r="AI540" s="198"/>
      <c r="AJ540" s="198"/>
      <c r="AK540" s="198"/>
      <c r="AL540" s="198"/>
      <c r="AM540" s="198"/>
      <c r="AN540" s="198"/>
      <c r="AO540" s="198"/>
      <c r="AP540" s="198"/>
      <c r="AQ540" s="198"/>
      <c r="AR540" s="198"/>
      <c r="AS540" s="198"/>
      <c r="AT540" s="198"/>
      <c r="AU540" s="198"/>
      <c r="AV540" s="198"/>
      <c r="AW540" s="198"/>
      <c r="AX540" s="198"/>
      <c r="AY540" s="198"/>
      <c r="AZ540" s="198"/>
      <c r="BA540" s="198"/>
      <c r="BB540" s="198"/>
      <c r="BC540" s="198"/>
      <c r="BD540" s="198"/>
      <c r="BE540" s="198"/>
      <c r="BF540" s="198"/>
      <c r="BG540" s="198"/>
      <c r="BH540" s="198"/>
      <c r="BI540" s="198"/>
      <c r="BJ540" s="198"/>
      <c r="BK540" s="198"/>
      <c r="BL540" s="198"/>
      <c r="BM540" s="198"/>
      <c r="BN540" s="198"/>
      <c r="BO540" s="198"/>
      <c r="BP540" s="198"/>
      <c r="BQ540" s="198"/>
      <c r="BR540" s="198"/>
      <c r="BS540" s="198"/>
      <c r="BT540" s="198"/>
      <c r="BU540" s="198"/>
      <c r="BV540" s="198"/>
      <c r="BW540" s="198"/>
      <c r="BX540" s="198"/>
      <c r="BY540" s="198"/>
      <c r="BZ540" s="198"/>
      <c r="CA540" s="198"/>
      <c r="CB540" s="198"/>
      <c r="CC540" s="198"/>
      <c r="CD540" s="198"/>
      <c r="CE540" s="198"/>
      <c r="CF540" s="198"/>
      <c r="CG540" s="198"/>
      <c r="CH540" s="198"/>
      <c r="CI540" s="198"/>
      <c r="CJ540" s="198"/>
      <c r="CK540" s="198"/>
      <c r="CL540" s="198"/>
      <c r="CM540" s="198"/>
      <c r="CN540" s="198"/>
      <c r="CO540" s="198"/>
      <c r="CP540" s="198"/>
      <c r="CQ540" s="198"/>
      <c r="CR540" s="198"/>
      <c r="CS540" s="198"/>
      <c r="CT540" s="198"/>
      <c r="CU540" s="198"/>
      <c r="CV540" s="198"/>
      <c r="CW540" s="198"/>
      <c r="CX540" s="198"/>
      <c r="CY540" s="198"/>
      <c r="CZ540" s="198"/>
      <c r="DA540" s="198"/>
      <c r="DB540" s="198"/>
      <c r="DC540" s="198"/>
      <c r="DD540" s="198"/>
      <c r="DE540" s="198"/>
      <c r="DF540" s="198"/>
      <c r="DG540" s="198"/>
      <c r="DH540" s="198"/>
      <c r="DI540" s="198"/>
      <c r="DJ540" s="198"/>
      <c r="DK540" s="198"/>
      <c r="DL540" s="198"/>
      <c r="DM540" s="198"/>
      <c r="DN540" s="198"/>
      <c r="DO540" s="198"/>
      <c r="DP540" s="198"/>
      <c r="DQ540" s="198"/>
      <c r="DR540" s="198"/>
      <c r="DS540" s="198"/>
      <c r="DT540" s="198"/>
      <c r="DU540" s="198"/>
      <c r="DV540" s="198"/>
      <c r="DW540" s="198"/>
      <c r="DX540" s="198"/>
      <c r="DY540" s="198"/>
      <c r="DZ540" s="198"/>
      <c r="EA540" s="198"/>
      <c r="EB540" s="198"/>
      <c r="EC540" s="198"/>
      <c r="ED540" s="198"/>
      <c r="EE540" s="198"/>
      <c r="EF540" s="198"/>
      <c r="EG540" s="198"/>
      <c r="EH540" s="198"/>
      <c r="EI540" s="198"/>
      <c r="EJ540" s="198"/>
      <c r="EK540" s="198"/>
      <c r="EL540" s="198"/>
      <c r="EM540" s="198"/>
      <c r="EN540" s="198"/>
      <c r="EO540" s="198"/>
      <c r="EP540" s="198"/>
      <c r="EQ540" s="198"/>
      <c r="ER540" s="198"/>
      <c r="ES540" s="198"/>
      <c r="ET540" s="198"/>
      <c r="EU540" s="198"/>
      <c r="EV540" s="198"/>
      <c r="EW540" s="198"/>
      <c r="EX540" s="198"/>
      <c r="EY540" s="198"/>
      <c r="EZ540" s="198"/>
      <c r="FA540" s="198"/>
      <c r="FB540" s="198"/>
      <c r="FC540" s="198"/>
      <c r="FD540" s="198"/>
      <c r="FE540" s="198"/>
      <c r="FF540" s="198"/>
      <c r="FG540" s="198"/>
      <c r="FH540" s="198"/>
      <c r="FI540" s="198"/>
      <c r="FJ540" s="198"/>
      <c r="FK540" s="198"/>
      <c r="FL540" s="198"/>
      <c r="FM540" s="198"/>
      <c r="FN540" s="198"/>
      <c r="FO540" s="198"/>
      <c r="FP540" s="198"/>
      <c r="FQ540" s="198"/>
      <c r="FR540" s="198"/>
      <c r="FS540" s="198"/>
      <c r="FT540" s="198"/>
      <c r="FU540" s="198"/>
      <c r="FV540" s="198"/>
      <c r="FW540" s="198"/>
      <c r="FX540" s="198"/>
      <c r="FY540" s="198"/>
      <c r="FZ540" s="198"/>
      <c r="GA540" s="198"/>
      <c r="GB540" s="198"/>
      <c r="GC540" s="198"/>
      <c r="GD540" s="198"/>
      <c r="GE540" s="198"/>
      <c r="GF540" s="198"/>
      <c r="GG540" s="198"/>
      <c r="GH540" s="198"/>
      <c r="GI540" s="198"/>
      <c r="GJ540" s="198"/>
    </row>
    <row r="541" spans="1:192" s="93" customFormat="1" ht="12.75" customHeight="1">
      <c r="A541" s="68"/>
      <c r="B541" s="677"/>
      <c r="C541" s="220"/>
      <c r="D541" s="169"/>
      <c r="E541" s="169"/>
      <c r="F541" s="169"/>
      <c r="G541" s="169"/>
      <c r="H541" s="220"/>
      <c r="I541" s="169"/>
      <c r="J541" s="169"/>
      <c r="K541" s="169"/>
      <c r="L541" s="169"/>
      <c r="M541" s="220"/>
      <c r="N541" s="169"/>
      <c r="O541" s="169"/>
      <c r="P541" s="169"/>
      <c r="Q541" s="169"/>
      <c r="R541" s="220"/>
      <c r="S541" s="169"/>
      <c r="T541" s="169"/>
      <c r="U541" s="169"/>
      <c r="V541" s="169"/>
      <c r="W541" s="220"/>
      <c r="X541" s="169"/>
      <c r="Y541" s="169"/>
      <c r="Z541" s="169"/>
      <c r="AA541" s="169"/>
      <c r="AB541" s="220"/>
      <c r="AC541" s="169"/>
      <c r="AD541" s="169"/>
      <c r="AE541" s="169"/>
      <c r="AF541" s="169"/>
      <c r="AG541" s="220"/>
      <c r="AH541" s="169"/>
      <c r="AI541" s="169"/>
      <c r="AJ541" s="169"/>
      <c r="AK541" s="169"/>
      <c r="AL541" s="220"/>
      <c r="AM541" s="169"/>
      <c r="AN541" s="169"/>
      <c r="AO541" s="169"/>
      <c r="AP541" s="169"/>
      <c r="AQ541" s="220"/>
      <c r="AR541" s="169"/>
      <c r="AS541" s="169"/>
      <c r="AT541" s="169"/>
      <c r="AU541" s="169"/>
      <c r="AV541" s="220"/>
      <c r="AW541" s="169"/>
      <c r="AX541" s="169"/>
      <c r="AY541" s="169"/>
      <c r="AZ541" s="169"/>
      <c r="BA541" s="220"/>
      <c r="BB541" s="169"/>
      <c r="BC541" s="169"/>
      <c r="BD541" s="169"/>
      <c r="BE541" s="169"/>
      <c r="BF541" s="220"/>
      <c r="BG541" s="169"/>
      <c r="BH541" s="169"/>
      <c r="BI541" s="169"/>
      <c r="BJ541" s="169"/>
      <c r="BK541" s="220"/>
      <c r="BL541" s="169"/>
      <c r="BM541" s="169"/>
      <c r="BN541" s="169"/>
      <c r="BO541" s="169"/>
      <c r="BP541" s="220"/>
      <c r="BQ541" s="169"/>
      <c r="BR541" s="169"/>
      <c r="BS541" s="169"/>
      <c r="BT541" s="169"/>
      <c r="BU541" s="220"/>
      <c r="BV541" s="169"/>
      <c r="BW541" s="169"/>
      <c r="BX541" s="169"/>
      <c r="BY541" s="169"/>
      <c r="BZ541" s="220"/>
      <c r="CA541" s="169"/>
      <c r="CB541" s="169"/>
      <c r="CC541" s="169"/>
      <c r="CD541" s="169"/>
      <c r="CE541" s="220"/>
      <c r="CF541" s="169"/>
      <c r="CG541" s="169"/>
      <c r="CH541" s="169"/>
      <c r="CI541" s="169"/>
      <c r="CJ541" s="220"/>
      <c r="CK541" s="169"/>
      <c r="CL541" s="169"/>
      <c r="CM541" s="169"/>
      <c r="CN541" s="169"/>
      <c r="CO541" s="220"/>
      <c r="CP541" s="169"/>
      <c r="CQ541" s="169"/>
      <c r="CR541" s="169"/>
      <c r="CS541" s="169"/>
      <c r="CT541" s="220"/>
      <c r="CU541" s="169"/>
      <c r="CV541" s="169"/>
      <c r="CW541" s="169"/>
      <c r="CX541" s="169"/>
      <c r="CY541" s="220"/>
      <c r="CZ541" s="169"/>
      <c r="DA541" s="169"/>
      <c r="DB541" s="169"/>
      <c r="DC541" s="169"/>
      <c r="DD541" s="220"/>
      <c r="DE541" s="169"/>
      <c r="DF541" s="169"/>
      <c r="DG541" s="169"/>
      <c r="DH541" s="169"/>
      <c r="DI541" s="220"/>
      <c r="DJ541" s="169"/>
      <c r="DK541" s="169"/>
      <c r="DL541" s="169"/>
      <c r="DM541" s="169"/>
      <c r="DN541" s="220"/>
      <c r="DO541" s="169"/>
      <c r="DP541" s="169"/>
      <c r="DQ541" s="169"/>
      <c r="DR541" s="169"/>
      <c r="DS541" s="220"/>
      <c r="DT541" s="169"/>
      <c r="DU541" s="169"/>
      <c r="DV541" s="169"/>
      <c r="DW541" s="169"/>
      <c r="DX541" s="220"/>
      <c r="DY541" s="169"/>
      <c r="DZ541" s="169"/>
      <c r="EA541" s="169"/>
      <c r="EB541" s="169"/>
      <c r="EC541" s="220"/>
      <c r="ED541" s="169"/>
      <c r="EE541" s="169"/>
      <c r="EF541" s="169"/>
      <c r="EG541" s="169"/>
      <c r="EH541" s="220"/>
      <c r="EI541" s="169"/>
      <c r="EJ541" s="169"/>
      <c r="EK541" s="169"/>
      <c r="EL541" s="169"/>
      <c r="EM541" s="220"/>
      <c r="EN541" s="169"/>
      <c r="EO541" s="169"/>
      <c r="EP541" s="169"/>
      <c r="EQ541" s="169"/>
      <c r="ER541" s="220"/>
      <c r="ES541" s="169"/>
      <c r="ET541" s="169"/>
      <c r="EU541" s="169"/>
      <c r="EV541" s="169"/>
      <c r="EW541" s="220"/>
      <c r="EX541" s="169"/>
      <c r="EY541" s="169"/>
      <c r="EZ541" s="169"/>
      <c r="FA541" s="169"/>
      <c r="FB541" s="220"/>
      <c r="FC541" s="169"/>
      <c r="FD541" s="169"/>
      <c r="FE541" s="169"/>
      <c r="FF541" s="169"/>
      <c r="FG541" s="220"/>
      <c r="FH541" s="169"/>
      <c r="FI541" s="169"/>
      <c r="FJ541" s="169"/>
      <c r="FK541" s="169"/>
      <c r="FL541" s="220"/>
      <c r="FM541" s="169"/>
      <c r="FN541" s="169"/>
      <c r="FO541" s="169"/>
      <c r="FP541" s="169"/>
      <c r="FQ541" s="220"/>
      <c r="FR541" s="169"/>
      <c r="FS541" s="169"/>
      <c r="FT541" s="169"/>
      <c r="FU541" s="169"/>
      <c r="FV541" s="220"/>
      <c r="FW541" s="169"/>
      <c r="FX541" s="169"/>
      <c r="FY541" s="169"/>
      <c r="FZ541" s="169"/>
      <c r="GA541" s="220"/>
      <c r="GB541" s="169"/>
      <c r="GC541" s="169"/>
      <c r="GD541" s="169"/>
      <c r="GE541" s="169"/>
      <c r="GF541" s="220"/>
      <c r="GG541" s="169"/>
      <c r="GH541" s="169"/>
      <c r="GI541" s="169"/>
      <c r="GJ541" s="169"/>
    </row>
    <row r="542" spans="1:192" s="93" customFormat="1" ht="12.75" customHeight="1">
      <c r="A542" s="68"/>
      <c r="B542" s="677"/>
      <c r="C542" s="220"/>
      <c r="D542" s="169"/>
      <c r="E542" s="169"/>
      <c r="F542" s="169"/>
      <c r="G542" s="169"/>
      <c r="H542" s="220"/>
      <c r="I542" s="169"/>
      <c r="J542" s="169"/>
      <c r="K542" s="169"/>
      <c r="L542" s="169"/>
      <c r="M542" s="220"/>
      <c r="N542" s="169"/>
      <c r="O542" s="169"/>
      <c r="P542" s="169"/>
      <c r="Q542" s="169"/>
      <c r="R542" s="220"/>
      <c r="S542" s="169"/>
      <c r="T542" s="169"/>
      <c r="U542" s="169"/>
      <c r="V542" s="169"/>
      <c r="W542" s="220"/>
      <c r="X542" s="169"/>
      <c r="Y542" s="169"/>
      <c r="Z542" s="169"/>
      <c r="AA542" s="169"/>
      <c r="AB542" s="220"/>
      <c r="AC542" s="169"/>
      <c r="AD542" s="169"/>
      <c r="AE542" s="169"/>
      <c r="AF542" s="169"/>
      <c r="AG542" s="220"/>
      <c r="AH542" s="169"/>
      <c r="AI542" s="169"/>
      <c r="AJ542" s="169"/>
      <c r="AK542" s="169"/>
      <c r="AL542" s="220"/>
      <c r="AM542" s="169"/>
      <c r="AN542" s="169"/>
      <c r="AO542" s="169"/>
      <c r="AP542" s="169"/>
      <c r="AQ542" s="220"/>
      <c r="AR542" s="169"/>
      <c r="AS542" s="169"/>
      <c r="AT542" s="169"/>
      <c r="AU542" s="169"/>
      <c r="AV542" s="220"/>
      <c r="AW542" s="169"/>
      <c r="AX542" s="169"/>
      <c r="AY542" s="169"/>
      <c r="AZ542" s="169"/>
      <c r="BA542" s="220"/>
      <c r="BB542" s="169"/>
      <c r="BC542" s="169"/>
      <c r="BD542" s="169"/>
      <c r="BE542" s="169"/>
      <c r="BF542" s="220"/>
      <c r="BG542" s="169"/>
      <c r="BH542" s="169"/>
      <c r="BI542" s="169"/>
      <c r="BJ542" s="169"/>
      <c r="BK542" s="220"/>
      <c r="BL542" s="169"/>
      <c r="BM542" s="169"/>
      <c r="BN542" s="169"/>
      <c r="BO542" s="169"/>
      <c r="BP542" s="220"/>
      <c r="BQ542" s="169"/>
      <c r="BR542" s="169"/>
      <c r="BS542" s="169"/>
      <c r="BT542" s="169"/>
      <c r="BU542" s="220"/>
      <c r="BV542" s="169"/>
      <c r="BW542" s="169"/>
      <c r="BX542" s="169"/>
      <c r="BY542" s="169"/>
      <c r="BZ542" s="220"/>
      <c r="CA542" s="169"/>
      <c r="CB542" s="169"/>
      <c r="CC542" s="169"/>
      <c r="CD542" s="169"/>
      <c r="CE542" s="220"/>
      <c r="CF542" s="169"/>
      <c r="CG542" s="169"/>
      <c r="CH542" s="169"/>
      <c r="CI542" s="169"/>
      <c r="CJ542" s="220"/>
      <c r="CK542" s="169"/>
      <c r="CL542" s="169"/>
      <c r="CM542" s="169"/>
      <c r="CN542" s="169"/>
      <c r="CO542" s="220"/>
      <c r="CP542" s="169"/>
      <c r="CQ542" s="169"/>
      <c r="CR542" s="169"/>
      <c r="CS542" s="169"/>
      <c r="CT542" s="220"/>
      <c r="CU542" s="169"/>
      <c r="CV542" s="169"/>
      <c r="CW542" s="169"/>
      <c r="CX542" s="169"/>
      <c r="CY542" s="220"/>
      <c r="CZ542" s="169"/>
      <c r="DA542" s="169"/>
      <c r="DB542" s="169"/>
      <c r="DC542" s="169"/>
      <c r="DD542" s="220"/>
      <c r="DE542" s="169"/>
      <c r="DF542" s="169"/>
      <c r="DG542" s="169"/>
      <c r="DH542" s="169"/>
      <c r="DI542" s="220"/>
      <c r="DJ542" s="169"/>
      <c r="DK542" s="169"/>
      <c r="DL542" s="169"/>
      <c r="DM542" s="169"/>
      <c r="DN542" s="220"/>
      <c r="DO542" s="169"/>
      <c r="DP542" s="169"/>
      <c r="DQ542" s="169"/>
      <c r="DR542" s="169"/>
      <c r="DS542" s="220"/>
      <c r="DT542" s="169"/>
      <c r="DU542" s="169"/>
      <c r="DV542" s="169"/>
      <c r="DW542" s="169"/>
      <c r="DX542" s="220"/>
      <c r="DY542" s="169"/>
      <c r="DZ542" s="169"/>
      <c r="EA542" s="169"/>
      <c r="EB542" s="169"/>
      <c r="EC542" s="220"/>
      <c r="ED542" s="169"/>
      <c r="EE542" s="169"/>
      <c r="EF542" s="169"/>
      <c r="EG542" s="169"/>
      <c r="EH542" s="220"/>
      <c r="EI542" s="169"/>
      <c r="EJ542" s="169"/>
      <c r="EK542" s="169"/>
      <c r="EL542" s="169"/>
      <c r="EM542" s="220"/>
      <c r="EN542" s="169"/>
      <c r="EO542" s="169"/>
      <c r="EP542" s="169"/>
      <c r="EQ542" s="169"/>
      <c r="ER542" s="220"/>
      <c r="ES542" s="169"/>
      <c r="ET542" s="169"/>
      <c r="EU542" s="169"/>
      <c r="EV542" s="169"/>
      <c r="EW542" s="220"/>
      <c r="EX542" s="169"/>
      <c r="EY542" s="169"/>
      <c r="EZ542" s="169"/>
      <c r="FA542" s="169"/>
      <c r="FB542" s="220"/>
      <c r="FC542" s="169"/>
      <c r="FD542" s="169"/>
      <c r="FE542" s="169"/>
      <c r="FF542" s="169"/>
      <c r="FG542" s="220"/>
      <c r="FH542" s="169"/>
      <c r="FI542" s="169"/>
      <c r="FJ542" s="169"/>
      <c r="FK542" s="169"/>
      <c r="FL542" s="220"/>
      <c r="FM542" s="169"/>
      <c r="FN542" s="169"/>
      <c r="FO542" s="169"/>
      <c r="FP542" s="169"/>
      <c r="FQ542" s="220"/>
      <c r="FR542" s="169"/>
      <c r="FS542" s="169"/>
      <c r="FT542" s="169"/>
      <c r="FU542" s="169"/>
      <c r="FV542" s="220"/>
      <c r="FW542" s="169"/>
      <c r="FX542" s="169"/>
      <c r="FY542" s="169"/>
      <c r="FZ542" s="169"/>
      <c r="GA542" s="220"/>
      <c r="GB542" s="169"/>
      <c r="GC542" s="169"/>
      <c r="GD542" s="169"/>
      <c r="GE542" s="169"/>
      <c r="GF542" s="220"/>
      <c r="GG542" s="169"/>
      <c r="GH542" s="169"/>
      <c r="GI542" s="169"/>
      <c r="GJ542" s="169"/>
    </row>
    <row r="543" spans="1:192" s="93" customFormat="1" ht="12.75" customHeight="1">
      <c r="A543" s="68"/>
      <c r="B543" s="677"/>
      <c r="C543" s="221"/>
      <c r="D543" s="221"/>
      <c r="E543" s="221"/>
      <c r="F543" s="221"/>
      <c r="G543" s="221"/>
      <c r="H543" s="221"/>
      <c r="I543" s="221"/>
      <c r="J543" s="221"/>
      <c r="K543" s="221"/>
      <c r="L543" s="221"/>
      <c r="M543" s="221"/>
      <c r="N543" s="221"/>
      <c r="O543" s="221"/>
      <c r="P543" s="221"/>
      <c r="Q543" s="221"/>
      <c r="R543" s="221"/>
      <c r="S543" s="221"/>
      <c r="T543" s="221"/>
      <c r="U543" s="221"/>
      <c r="V543" s="221"/>
      <c r="W543" s="221"/>
      <c r="X543" s="221"/>
      <c r="Y543" s="221"/>
      <c r="Z543" s="221"/>
      <c r="AA543" s="221"/>
      <c r="AB543" s="221"/>
      <c r="AC543" s="221"/>
      <c r="AD543" s="221"/>
      <c r="AE543" s="221"/>
      <c r="AF543" s="221"/>
      <c r="AG543" s="221"/>
      <c r="AH543" s="221"/>
      <c r="AI543" s="221"/>
      <c r="AJ543" s="221"/>
      <c r="AK543" s="221"/>
      <c r="AL543" s="221"/>
      <c r="AM543" s="221"/>
      <c r="AN543" s="221"/>
      <c r="AO543" s="221"/>
      <c r="AP543" s="221"/>
      <c r="AQ543" s="221"/>
      <c r="AR543" s="221"/>
      <c r="AS543" s="221"/>
      <c r="AT543" s="221"/>
      <c r="AU543" s="221"/>
      <c r="AV543" s="221"/>
      <c r="AW543" s="221"/>
      <c r="AX543" s="221"/>
      <c r="AY543" s="221"/>
      <c r="AZ543" s="221"/>
      <c r="BA543" s="221"/>
      <c r="BB543" s="221"/>
      <c r="BC543" s="221"/>
      <c r="BD543" s="221"/>
      <c r="BE543" s="221"/>
      <c r="BF543" s="221"/>
      <c r="BG543" s="221"/>
      <c r="BH543" s="221"/>
      <c r="BI543" s="221"/>
      <c r="BJ543" s="221"/>
      <c r="BK543" s="221"/>
      <c r="BL543" s="221"/>
      <c r="BM543" s="221"/>
      <c r="BN543" s="221"/>
      <c r="BO543" s="221"/>
      <c r="BP543" s="221"/>
      <c r="BQ543" s="221"/>
      <c r="BR543" s="221"/>
      <c r="BS543" s="221"/>
      <c r="BT543" s="221"/>
      <c r="BU543" s="221"/>
      <c r="BV543" s="221"/>
      <c r="BW543" s="221"/>
      <c r="BX543" s="221"/>
      <c r="BY543" s="221"/>
      <c r="BZ543" s="221"/>
      <c r="CA543" s="221"/>
      <c r="CB543" s="221"/>
      <c r="CC543" s="221"/>
      <c r="CD543" s="221"/>
      <c r="CE543" s="221"/>
      <c r="CF543" s="221"/>
      <c r="CG543" s="221"/>
      <c r="CH543" s="221"/>
      <c r="CI543" s="221"/>
      <c r="CJ543" s="221"/>
      <c r="CK543" s="221"/>
      <c r="CL543" s="221"/>
      <c r="CM543" s="221"/>
      <c r="CN543" s="221"/>
      <c r="CO543" s="221"/>
      <c r="CP543" s="221"/>
      <c r="CQ543" s="221"/>
      <c r="CR543" s="221"/>
      <c r="CS543" s="221"/>
      <c r="CT543" s="221"/>
      <c r="CU543" s="221"/>
      <c r="CV543" s="221"/>
      <c r="CW543" s="221"/>
      <c r="CX543" s="221"/>
      <c r="CY543" s="221"/>
      <c r="CZ543" s="221"/>
      <c r="DA543" s="221"/>
      <c r="DB543" s="221"/>
      <c r="DC543" s="221"/>
      <c r="DD543" s="221"/>
      <c r="DE543" s="221"/>
      <c r="DF543" s="221"/>
      <c r="DG543" s="221"/>
      <c r="DH543" s="221"/>
      <c r="DI543" s="221"/>
      <c r="DJ543" s="221"/>
      <c r="DK543" s="221"/>
      <c r="DL543" s="221"/>
      <c r="DM543" s="221"/>
      <c r="DN543" s="221"/>
      <c r="DO543" s="221"/>
      <c r="DP543" s="221"/>
      <c r="DQ543" s="221"/>
      <c r="DR543" s="221"/>
      <c r="DS543" s="221"/>
      <c r="DT543" s="221"/>
      <c r="DU543" s="221"/>
      <c r="DV543" s="221"/>
      <c r="DW543" s="221"/>
      <c r="DX543" s="221"/>
      <c r="DY543" s="221"/>
      <c r="DZ543" s="221"/>
      <c r="EA543" s="221"/>
      <c r="EB543" s="221"/>
      <c r="EC543" s="221"/>
      <c r="ED543" s="221"/>
      <c r="EE543" s="221"/>
      <c r="EF543" s="221"/>
      <c r="EG543" s="221"/>
      <c r="EH543" s="221"/>
      <c r="EI543" s="221"/>
      <c r="EJ543" s="221"/>
      <c r="EK543" s="221"/>
      <c r="EL543" s="221"/>
      <c r="EM543" s="221"/>
      <c r="EN543" s="221"/>
      <c r="EO543" s="221"/>
      <c r="EP543" s="221"/>
      <c r="EQ543" s="221"/>
      <c r="ER543" s="221"/>
      <c r="ES543" s="221"/>
      <c r="ET543" s="221"/>
      <c r="EU543" s="221"/>
      <c r="EV543" s="221"/>
      <c r="EW543" s="221"/>
      <c r="EX543" s="221"/>
      <c r="EY543" s="221"/>
      <c r="EZ543" s="221"/>
      <c r="FA543" s="221"/>
      <c r="FB543" s="221"/>
      <c r="FC543" s="221"/>
      <c r="FD543" s="221"/>
      <c r="FE543" s="221"/>
      <c r="FF543" s="221"/>
      <c r="FG543" s="221"/>
      <c r="FH543" s="221"/>
      <c r="FI543" s="221"/>
      <c r="FJ543" s="221"/>
      <c r="FK543" s="221"/>
      <c r="FL543" s="221"/>
      <c r="FM543" s="221"/>
      <c r="FN543" s="221"/>
      <c r="FO543" s="221"/>
      <c r="FP543" s="221"/>
      <c r="FQ543" s="221"/>
      <c r="FR543" s="221"/>
      <c r="FS543" s="221"/>
      <c r="FT543" s="221"/>
      <c r="FU543" s="221"/>
      <c r="FV543" s="221"/>
      <c r="FW543" s="221"/>
      <c r="FX543" s="221"/>
      <c r="FY543" s="221"/>
      <c r="FZ543" s="221"/>
      <c r="GA543" s="221"/>
      <c r="GB543" s="221"/>
      <c r="GC543" s="221"/>
      <c r="GD543" s="221"/>
      <c r="GE543" s="221"/>
      <c r="GF543" s="221"/>
      <c r="GG543" s="221"/>
      <c r="GH543" s="221"/>
      <c r="GI543" s="221"/>
      <c r="GJ543" s="221"/>
    </row>
    <row r="544" spans="1:192" s="93" customFormat="1" ht="12.75" customHeight="1">
      <c r="A544" s="68"/>
      <c r="B544" s="677"/>
      <c r="C544" s="169"/>
      <c r="D544" s="169"/>
      <c r="E544" s="169"/>
      <c r="F544" s="169"/>
      <c r="G544" s="169"/>
      <c r="H544" s="169"/>
      <c r="I544" s="169"/>
      <c r="J544" s="169"/>
      <c r="K544" s="169"/>
      <c r="L544" s="169"/>
      <c r="M544" s="169"/>
      <c r="N544" s="169"/>
      <c r="O544" s="169"/>
      <c r="P544" s="169"/>
      <c r="Q544" s="169"/>
      <c r="R544" s="169"/>
      <c r="S544" s="169"/>
      <c r="T544" s="169"/>
      <c r="U544" s="169"/>
      <c r="V544" s="169"/>
      <c r="W544" s="169"/>
      <c r="X544" s="169"/>
      <c r="Y544" s="169"/>
      <c r="Z544" s="169"/>
      <c r="AA544" s="169"/>
      <c r="AB544" s="169"/>
      <c r="AC544" s="169"/>
      <c r="AD544" s="169"/>
      <c r="AE544" s="169"/>
      <c r="AF544" s="169"/>
      <c r="AG544" s="169"/>
      <c r="AH544" s="169"/>
      <c r="AI544" s="169"/>
      <c r="AJ544" s="169"/>
      <c r="AK544" s="169"/>
      <c r="AL544" s="169"/>
      <c r="AM544" s="169"/>
      <c r="AN544" s="169"/>
      <c r="AO544" s="169"/>
      <c r="AP544" s="169"/>
      <c r="AQ544" s="169"/>
      <c r="AR544" s="169"/>
      <c r="AS544" s="169"/>
      <c r="AT544" s="169"/>
      <c r="AU544" s="169"/>
      <c r="AV544" s="169"/>
      <c r="AW544" s="169"/>
      <c r="AX544" s="169"/>
      <c r="AY544" s="169"/>
      <c r="AZ544" s="169"/>
      <c r="BA544" s="169"/>
      <c r="BB544" s="169"/>
      <c r="BC544" s="169"/>
      <c r="BD544" s="169"/>
      <c r="BE544" s="169"/>
      <c r="BF544" s="169"/>
      <c r="BG544" s="169"/>
      <c r="BH544" s="169"/>
      <c r="BI544" s="169"/>
      <c r="BJ544" s="169"/>
      <c r="BK544" s="169"/>
      <c r="BL544" s="169"/>
      <c r="BM544" s="169"/>
      <c r="BN544" s="169"/>
      <c r="BO544" s="169"/>
      <c r="BP544" s="169"/>
      <c r="BQ544" s="169"/>
      <c r="BR544" s="169"/>
      <c r="BS544" s="169"/>
      <c r="BT544" s="169"/>
      <c r="BU544" s="169"/>
      <c r="BV544" s="169"/>
      <c r="BW544" s="169"/>
      <c r="BX544" s="169"/>
      <c r="BY544" s="169"/>
      <c r="BZ544" s="169"/>
      <c r="CA544" s="169"/>
      <c r="CB544" s="169"/>
      <c r="CC544" s="169"/>
      <c r="CD544" s="169"/>
      <c r="CE544" s="169"/>
      <c r="CF544" s="169"/>
      <c r="CG544" s="169"/>
      <c r="CH544" s="169"/>
      <c r="CI544" s="169"/>
      <c r="CJ544" s="169"/>
      <c r="CK544" s="169"/>
      <c r="CL544" s="169"/>
      <c r="CM544" s="169"/>
      <c r="CN544" s="169"/>
      <c r="CO544" s="169"/>
      <c r="CP544" s="169"/>
      <c r="CQ544" s="169"/>
      <c r="CR544" s="169"/>
      <c r="CS544" s="169"/>
      <c r="CT544" s="169"/>
      <c r="CU544" s="169"/>
      <c r="CV544" s="169"/>
      <c r="CW544" s="169"/>
      <c r="CX544" s="169"/>
      <c r="CY544" s="169"/>
      <c r="CZ544" s="169"/>
      <c r="DA544" s="169"/>
      <c r="DB544" s="169"/>
      <c r="DC544" s="169"/>
      <c r="DD544" s="169"/>
      <c r="DE544" s="169"/>
      <c r="DF544" s="169"/>
      <c r="DG544" s="169"/>
      <c r="DH544" s="169"/>
      <c r="DI544" s="169"/>
      <c r="DJ544" s="169"/>
      <c r="DK544" s="169"/>
      <c r="DL544" s="169"/>
      <c r="DM544" s="169"/>
      <c r="DN544" s="169"/>
      <c r="DO544" s="169"/>
      <c r="DP544" s="169"/>
      <c r="DQ544" s="169"/>
      <c r="DR544" s="169"/>
      <c r="DS544" s="169"/>
      <c r="DT544" s="169"/>
      <c r="DU544" s="169"/>
      <c r="DV544" s="169"/>
      <c r="DW544" s="169"/>
      <c r="DX544" s="169"/>
      <c r="DY544" s="169"/>
      <c r="DZ544" s="169"/>
      <c r="EA544" s="169"/>
      <c r="EB544" s="169"/>
      <c r="EC544" s="169"/>
      <c r="ED544" s="169"/>
      <c r="EE544" s="169"/>
      <c r="EF544" s="169"/>
      <c r="EG544" s="169"/>
      <c r="EH544" s="169"/>
      <c r="EI544" s="169"/>
      <c r="EJ544" s="169"/>
      <c r="EK544" s="169"/>
      <c r="EL544" s="169"/>
      <c r="EM544" s="169"/>
      <c r="EN544" s="169"/>
      <c r="EO544" s="169"/>
      <c r="EP544" s="169"/>
      <c r="EQ544" s="169"/>
      <c r="ER544" s="169"/>
      <c r="ES544" s="169"/>
      <c r="ET544" s="169"/>
      <c r="EU544" s="169"/>
      <c r="EV544" s="169"/>
      <c r="EW544" s="169"/>
      <c r="EX544" s="169"/>
      <c r="EY544" s="169"/>
      <c r="EZ544" s="169"/>
      <c r="FA544" s="169"/>
      <c r="FB544" s="169"/>
      <c r="FC544" s="169"/>
      <c r="FD544" s="169"/>
      <c r="FE544" s="169"/>
      <c r="FF544" s="169"/>
      <c r="FG544" s="169"/>
      <c r="FH544" s="169"/>
      <c r="FI544" s="169"/>
      <c r="FJ544" s="169"/>
      <c r="FK544" s="169"/>
      <c r="FL544" s="169"/>
      <c r="FM544" s="169"/>
      <c r="FN544" s="169"/>
      <c r="FO544" s="169"/>
      <c r="FP544" s="169"/>
      <c r="FQ544" s="169"/>
      <c r="FR544" s="169"/>
      <c r="FS544" s="169"/>
      <c r="FT544" s="169"/>
      <c r="FU544" s="169"/>
      <c r="FV544" s="169"/>
      <c r="FW544" s="169"/>
      <c r="FX544" s="169"/>
      <c r="FY544" s="169"/>
      <c r="FZ544" s="169"/>
      <c r="GA544" s="169"/>
      <c r="GB544" s="169"/>
      <c r="GC544" s="169"/>
      <c r="GD544" s="169"/>
      <c r="GE544" s="169"/>
      <c r="GF544" s="169"/>
      <c r="GG544" s="169"/>
      <c r="GH544" s="169"/>
      <c r="GI544" s="169"/>
      <c r="GJ544" s="169"/>
    </row>
    <row r="545" spans="1:192" s="93" customFormat="1" ht="12.75" customHeight="1">
      <c r="A545" s="68"/>
      <c r="B545" s="677"/>
      <c r="C545" s="220"/>
      <c r="D545" s="169"/>
      <c r="E545" s="169"/>
      <c r="F545" s="169"/>
      <c r="G545" s="169"/>
      <c r="H545" s="220"/>
      <c r="I545" s="169"/>
      <c r="J545" s="169"/>
      <c r="K545" s="169"/>
      <c r="L545" s="169"/>
      <c r="M545" s="220"/>
      <c r="N545" s="169"/>
      <c r="O545" s="169"/>
      <c r="P545" s="169"/>
      <c r="Q545" s="169"/>
      <c r="R545" s="220"/>
      <c r="S545" s="169"/>
      <c r="T545" s="169"/>
      <c r="U545" s="169"/>
      <c r="V545" s="169"/>
      <c r="W545" s="220"/>
      <c r="X545" s="169"/>
      <c r="Y545" s="169"/>
      <c r="Z545" s="169"/>
      <c r="AA545" s="169"/>
      <c r="AB545" s="220"/>
      <c r="AC545" s="169"/>
      <c r="AD545" s="169"/>
      <c r="AE545" s="169"/>
      <c r="AF545" s="169"/>
      <c r="AG545" s="220"/>
      <c r="AH545" s="169"/>
      <c r="AI545" s="169"/>
      <c r="AJ545" s="169"/>
      <c r="AK545" s="169"/>
      <c r="AL545" s="220"/>
      <c r="AM545" s="169"/>
      <c r="AN545" s="169"/>
      <c r="AO545" s="169"/>
      <c r="AP545" s="169"/>
      <c r="AQ545" s="220"/>
      <c r="AR545" s="169"/>
      <c r="AS545" s="169"/>
      <c r="AT545" s="169"/>
      <c r="AU545" s="169"/>
      <c r="AV545" s="220"/>
      <c r="AW545" s="169"/>
      <c r="AX545" s="169"/>
      <c r="AY545" s="169"/>
      <c r="AZ545" s="169"/>
      <c r="BA545" s="220"/>
      <c r="BB545" s="169"/>
      <c r="BC545" s="169"/>
      <c r="BD545" s="169"/>
      <c r="BE545" s="169"/>
      <c r="BF545" s="220"/>
      <c r="BG545" s="169"/>
      <c r="BH545" s="169"/>
      <c r="BI545" s="169"/>
      <c r="BJ545" s="169"/>
      <c r="BK545" s="220"/>
      <c r="BL545" s="169"/>
      <c r="BM545" s="169"/>
      <c r="BN545" s="169"/>
      <c r="BO545" s="169"/>
      <c r="BP545" s="220"/>
      <c r="BQ545" s="169"/>
      <c r="BR545" s="169"/>
      <c r="BS545" s="169"/>
      <c r="BT545" s="169"/>
      <c r="BU545" s="220"/>
      <c r="BV545" s="169"/>
      <c r="BW545" s="169"/>
      <c r="BX545" s="169"/>
      <c r="BY545" s="169"/>
      <c r="BZ545" s="220"/>
      <c r="CA545" s="169"/>
      <c r="CB545" s="169"/>
      <c r="CC545" s="169"/>
      <c r="CD545" s="169"/>
      <c r="CE545" s="220"/>
      <c r="CF545" s="169"/>
      <c r="CG545" s="169"/>
      <c r="CH545" s="169"/>
      <c r="CI545" s="169"/>
      <c r="CJ545" s="220"/>
      <c r="CK545" s="169"/>
      <c r="CL545" s="169"/>
      <c r="CM545" s="169"/>
      <c r="CN545" s="169"/>
      <c r="CO545" s="220"/>
      <c r="CP545" s="169"/>
      <c r="CQ545" s="169"/>
      <c r="CR545" s="169"/>
      <c r="CS545" s="169"/>
      <c r="CT545" s="220"/>
      <c r="CU545" s="169"/>
      <c r="CV545" s="169"/>
      <c r="CW545" s="169"/>
      <c r="CX545" s="169"/>
      <c r="CY545" s="220"/>
      <c r="CZ545" s="169"/>
      <c r="DA545" s="169"/>
      <c r="DB545" s="169"/>
      <c r="DC545" s="169"/>
      <c r="DD545" s="220"/>
      <c r="DE545" s="169"/>
      <c r="DF545" s="169"/>
      <c r="DG545" s="169"/>
      <c r="DH545" s="169"/>
      <c r="DI545" s="220"/>
      <c r="DJ545" s="169"/>
      <c r="DK545" s="169"/>
      <c r="DL545" s="169"/>
      <c r="DM545" s="169"/>
      <c r="DN545" s="220"/>
      <c r="DO545" s="169"/>
      <c r="DP545" s="169"/>
      <c r="DQ545" s="169"/>
      <c r="DR545" s="169"/>
      <c r="DS545" s="220"/>
      <c r="DT545" s="169"/>
      <c r="DU545" s="169"/>
      <c r="DV545" s="169"/>
      <c r="DW545" s="169"/>
      <c r="DX545" s="220"/>
      <c r="DY545" s="169"/>
      <c r="DZ545" s="169"/>
      <c r="EA545" s="169"/>
      <c r="EB545" s="169"/>
      <c r="EC545" s="220"/>
      <c r="ED545" s="169"/>
      <c r="EE545" s="169"/>
      <c r="EF545" s="169"/>
      <c r="EG545" s="169"/>
      <c r="EH545" s="220"/>
      <c r="EI545" s="169"/>
      <c r="EJ545" s="169"/>
      <c r="EK545" s="169"/>
      <c r="EL545" s="169"/>
      <c r="EM545" s="220"/>
      <c r="EN545" s="169"/>
      <c r="EO545" s="169"/>
      <c r="EP545" s="169"/>
      <c r="EQ545" s="169"/>
      <c r="ER545" s="220"/>
      <c r="ES545" s="169"/>
      <c r="ET545" s="169"/>
      <c r="EU545" s="169"/>
      <c r="EV545" s="169"/>
      <c r="EW545" s="220"/>
      <c r="EX545" s="169"/>
      <c r="EY545" s="169"/>
      <c r="EZ545" s="169"/>
      <c r="FA545" s="169"/>
      <c r="FB545" s="220"/>
      <c r="FC545" s="169"/>
      <c r="FD545" s="169"/>
      <c r="FE545" s="169"/>
      <c r="FF545" s="169"/>
      <c r="FG545" s="220"/>
      <c r="FH545" s="169"/>
      <c r="FI545" s="169"/>
      <c r="FJ545" s="169"/>
      <c r="FK545" s="169"/>
      <c r="FL545" s="220"/>
      <c r="FM545" s="169"/>
      <c r="FN545" s="169"/>
      <c r="FO545" s="169"/>
      <c r="FP545" s="169"/>
      <c r="FQ545" s="220"/>
      <c r="FR545" s="169"/>
      <c r="FS545" s="169"/>
      <c r="FT545" s="169"/>
      <c r="FU545" s="169"/>
      <c r="FV545" s="220"/>
      <c r="FW545" s="169"/>
      <c r="FX545" s="169"/>
      <c r="FY545" s="169"/>
      <c r="FZ545" s="169"/>
      <c r="GA545" s="220"/>
      <c r="GB545" s="169"/>
      <c r="GC545" s="169"/>
      <c r="GD545" s="169"/>
      <c r="GE545" s="169"/>
      <c r="GF545" s="220"/>
      <c r="GG545" s="169"/>
      <c r="GH545" s="169"/>
      <c r="GI545" s="169"/>
      <c r="GJ545" s="169"/>
    </row>
    <row r="546" spans="1:192" s="93" customFormat="1" ht="12.75" customHeight="1">
      <c r="A546" s="68"/>
      <c r="B546" s="677"/>
      <c r="C546" s="220"/>
      <c r="D546" s="169"/>
      <c r="E546" s="169"/>
      <c r="F546" s="169"/>
      <c r="G546" s="169"/>
      <c r="H546" s="220"/>
      <c r="I546" s="169"/>
      <c r="J546" s="169"/>
      <c r="K546" s="169"/>
      <c r="L546" s="169"/>
      <c r="M546" s="220"/>
      <c r="N546" s="169"/>
      <c r="O546" s="169"/>
      <c r="P546" s="169"/>
      <c r="Q546" s="169"/>
      <c r="R546" s="220"/>
      <c r="S546" s="169"/>
      <c r="T546" s="169"/>
      <c r="U546" s="169"/>
      <c r="V546" s="169"/>
      <c r="W546" s="220"/>
      <c r="X546" s="169"/>
      <c r="Y546" s="169"/>
      <c r="Z546" s="169"/>
      <c r="AA546" s="169"/>
      <c r="AB546" s="220"/>
      <c r="AC546" s="169"/>
      <c r="AD546" s="169"/>
      <c r="AE546" s="169"/>
      <c r="AF546" s="169"/>
      <c r="AG546" s="220"/>
      <c r="AH546" s="169"/>
      <c r="AI546" s="169"/>
      <c r="AJ546" s="169"/>
      <c r="AK546" s="169"/>
      <c r="AL546" s="220"/>
      <c r="AM546" s="169"/>
      <c r="AN546" s="169"/>
      <c r="AO546" s="169"/>
      <c r="AP546" s="169"/>
      <c r="AQ546" s="220"/>
      <c r="AR546" s="169"/>
      <c r="AS546" s="169"/>
      <c r="AT546" s="169"/>
      <c r="AU546" s="169"/>
      <c r="AV546" s="220"/>
      <c r="AW546" s="169"/>
      <c r="AX546" s="169"/>
      <c r="AY546" s="169"/>
      <c r="AZ546" s="169"/>
      <c r="BA546" s="220"/>
      <c r="BB546" s="169"/>
      <c r="BC546" s="169"/>
      <c r="BD546" s="169"/>
      <c r="BE546" s="169"/>
      <c r="BF546" s="220"/>
      <c r="BG546" s="169"/>
      <c r="BH546" s="169"/>
      <c r="BI546" s="169"/>
      <c r="BJ546" s="169"/>
      <c r="BK546" s="220"/>
      <c r="BL546" s="169"/>
      <c r="BM546" s="169"/>
      <c r="BN546" s="169"/>
      <c r="BO546" s="169"/>
      <c r="BP546" s="220"/>
      <c r="BQ546" s="169"/>
      <c r="BR546" s="169"/>
      <c r="BS546" s="169"/>
      <c r="BT546" s="169"/>
      <c r="BU546" s="220"/>
      <c r="BV546" s="169"/>
      <c r="BW546" s="169"/>
      <c r="BX546" s="169"/>
      <c r="BY546" s="169"/>
      <c r="BZ546" s="220"/>
      <c r="CA546" s="169"/>
      <c r="CB546" s="169"/>
      <c r="CC546" s="169"/>
      <c r="CD546" s="169"/>
      <c r="CE546" s="220"/>
      <c r="CF546" s="169"/>
      <c r="CG546" s="169"/>
      <c r="CH546" s="169"/>
      <c r="CI546" s="169"/>
      <c r="CJ546" s="220"/>
      <c r="CK546" s="169"/>
      <c r="CL546" s="169"/>
      <c r="CM546" s="169"/>
      <c r="CN546" s="169"/>
      <c r="CO546" s="220"/>
      <c r="CP546" s="169"/>
      <c r="CQ546" s="169"/>
      <c r="CR546" s="169"/>
      <c r="CS546" s="169"/>
      <c r="CT546" s="220"/>
      <c r="CU546" s="169"/>
      <c r="CV546" s="169"/>
      <c r="CW546" s="169"/>
      <c r="CX546" s="169"/>
      <c r="CY546" s="220"/>
      <c r="CZ546" s="169"/>
      <c r="DA546" s="169"/>
      <c r="DB546" s="169"/>
      <c r="DC546" s="169"/>
      <c r="DD546" s="220"/>
      <c r="DE546" s="169"/>
      <c r="DF546" s="169"/>
      <c r="DG546" s="169"/>
      <c r="DH546" s="169"/>
      <c r="DI546" s="220"/>
      <c r="DJ546" s="169"/>
      <c r="DK546" s="169"/>
      <c r="DL546" s="169"/>
      <c r="DM546" s="169"/>
      <c r="DN546" s="220"/>
      <c r="DO546" s="169"/>
      <c r="DP546" s="169"/>
      <c r="DQ546" s="169"/>
      <c r="DR546" s="169"/>
      <c r="DS546" s="220"/>
      <c r="DT546" s="169"/>
      <c r="DU546" s="169"/>
      <c r="DV546" s="169"/>
      <c r="DW546" s="169"/>
      <c r="DX546" s="220"/>
      <c r="DY546" s="169"/>
      <c r="DZ546" s="169"/>
      <c r="EA546" s="169"/>
      <c r="EB546" s="169"/>
      <c r="EC546" s="220"/>
      <c r="ED546" s="169"/>
      <c r="EE546" s="169"/>
      <c r="EF546" s="169"/>
      <c r="EG546" s="169"/>
      <c r="EH546" s="220"/>
      <c r="EI546" s="169"/>
      <c r="EJ546" s="169"/>
      <c r="EK546" s="169"/>
      <c r="EL546" s="169"/>
      <c r="EM546" s="220"/>
      <c r="EN546" s="169"/>
      <c r="EO546" s="169"/>
      <c r="EP546" s="169"/>
      <c r="EQ546" s="169"/>
      <c r="ER546" s="220"/>
      <c r="ES546" s="169"/>
      <c r="ET546" s="169"/>
      <c r="EU546" s="169"/>
      <c r="EV546" s="169"/>
      <c r="EW546" s="220"/>
      <c r="EX546" s="169"/>
      <c r="EY546" s="169"/>
      <c r="EZ546" s="169"/>
      <c r="FA546" s="169"/>
      <c r="FB546" s="220"/>
      <c r="FC546" s="169"/>
      <c r="FD546" s="169"/>
      <c r="FE546" s="169"/>
      <c r="FF546" s="169"/>
      <c r="FG546" s="220"/>
      <c r="FH546" s="169"/>
      <c r="FI546" s="169"/>
      <c r="FJ546" s="169"/>
      <c r="FK546" s="169"/>
      <c r="FL546" s="220"/>
      <c r="FM546" s="169"/>
      <c r="FN546" s="169"/>
      <c r="FO546" s="169"/>
      <c r="FP546" s="169"/>
      <c r="FQ546" s="220"/>
      <c r="FR546" s="169"/>
      <c r="FS546" s="169"/>
      <c r="FT546" s="169"/>
      <c r="FU546" s="169"/>
      <c r="FV546" s="220"/>
      <c r="FW546" s="169"/>
      <c r="FX546" s="169"/>
      <c r="FY546" s="169"/>
      <c r="FZ546" s="169"/>
      <c r="GA546" s="220"/>
      <c r="GB546" s="169"/>
      <c r="GC546" s="169"/>
      <c r="GD546" s="169"/>
      <c r="GE546" s="169"/>
      <c r="GF546" s="220"/>
      <c r="GG546" s="169"/>
      <c r="GH546" s="169"/>
      <c r="GI546" s="169"/>
      <c r="GJ546" s="169"/>
    </row>
    <row r="547" spans="1:192" s="93" customFormat="1" ht="12.75" customHeight="1">
      <c r="A547" s="68"/>
      <c r="B547" s="677"/>
      <c r="C547" s="220"/>
      <c r="D547" s="169"/>
      <c r="E547" s="169"/>
      <c r="F547" s="169"/>
      <c r="G547" s="169"/>
      <c r="H547" s="220"/>
      <c r="I547" s="169"/>
      <c r="J547" s="169"/>
      <c r="K547" s="169"/>
      <c r="L547" s="169"/>
      <c r="M547" s="220"/>
      <c r="N547" s="169"/>
      <c r="O547" s="169"/>
      <c r="P547" s="169"/>
      <c r="Q547" s="169"/>
      <c r="R547" s="220"/>
      <c r="S547" s="169"/>
      <c r="T547" s="169"/>
      <c r="U547" s="169"/>
      <c r="V547" s="169"/>
      <c r="W547" s="220"/>
      <c r="X547" s="169"/>
      <c r="Y547" s="169"/>
      <c r="Z547" s="169"/>
      <c r="AA547" s="169"/>
      <c r="AB547" s="220"/>
      <c r="AC547" s="169"/>
      <c r="AD547" s="169"/>
      <c r="AE547" s="169"/>
      <c r="AF547" s="169"/>
      <c r="AG547" s="220"/>
      <c r="AH547" s="169"/>
      <c r="AI547" s="169"/>
      <c r="AJ547" s="169"/>
      <c r="AK547" s="169"/>
      <c r="AL547" s="220"/>
      <c r="AM547" s="169"/>
      <c r="AN547" s="169"/>
      <c r="AO547" s="169"/>
      <c r="AP547" s="169"/>
      <c r="AQ547" s="220"/>
      <c r="AR547" s="169"/>
      <c r="AS547" s="169"/>
      <c r="AT547" s="169"/>
      <c r="AU547" s="169"/>
      <c r="AV547" s="220"/>
      <c r="AW547" s="169"/>
      <c r="AX547" s="169"/>
      <c r="AY547" s="169"/>
      <c r="AZ547" s="169"/>
      <c r="BA547" s="220"/>
      <c r="BB547" s="169"/>
      <c r="BC547" s="169"/>
      <c r="BD547" s="169"/>
      <c r="BE547" s="169"/>
      <c r="BF547" s="220"/>
      <c r="BG547" s="169"/>
      <c r="BH547" s="169"/>
      <c r="BI547" s="169"/>
      <c r="BJ547" s="169"/>
      <c r="BK547" s="220"/>
      <c r="BL547" s="169"/>
      <c r="BM547" s="169"/>
      <c r="BN547" s="169"/>
      <c r="BO547" s="169"/>
      <c r="BP547" s="220"/>
      <c r="BQ547" s="169"/>
      <c r="BR547" s="169"/>
      <c r="BS547" s="169"/>
      <c r="BT547" s="169"/>
      <c r="BU547" s="220"/>
      <c r="BV547" s="169"/>
      <c r="BW547" s="169"/>
      <c r="BX547" s="169"/>
      <c r="BY547" s="169"/>
      <c r="BZ547" s="220"/>
      <c r="CA547" s="169"/>
      <c r="CB547" s="169"/>
      <c r="CC547" s="169"/>
      <c r="CD547" s="169"/>
      <c r="CE547" s="220"/>
      <c r="CF547" s="169"/>
      <c r="CG547" s="169"/>
      <c r="CH547" s="169"/>
      <c r="CI547" s="169"/>
      <c r="CJ547" s="220"/>
      <c r="CK547" s="169"/>
      <c r="CL547" s="169"/>
      <c r="CM547" s="169"/>
      <c r="CN547" s="169"/>
      <c r="CO547" s="220"/>
      <c r="CP547" s="169"/>
      <c r="CQ547" s="169"/>
      <c r="CR547" s="169"/>
      <c r="CS547" s="169"/>
      <c r="CT547" s="220"/>
      <c r="CU547" s="169"/>
      <c r="CV547" s="169"/>
      <c r="CW547" s="169"/>
      <c r="CX547" s="169"/>
      <c r="CY547" s="220"/>
      <c r="CZ547" s="169"/>
      <c r="DA547" s="169"/>
      <c r="DB547" s="169"/>
      <c r="DC547" s="169"/>
      <c r="DD547" s="220"/>
      <c r="DE547" s="169"/>
      <c r="DF547" s="169"/>
      <c r="DG547" s="169"/>
      <c r="DH547" s="169"/>
      <c r="DI547" s="220"/>
      <c r="DJ547" s="169"/>
      <c r="DK547" s="169"/>
      <c r="DL547" s="169"/>
      <c r="DM547" s="169"/>
      <c r="DN547" s="220"/>
      <c r="DO547" s="169"/>
      <c r="DP547" s="169"/>
      <c r="DQ547" s="169"/>
      <c r="DR547" s="169"/>
      <c r="DS547" s="220"/>
      <c r="DT547" s="169"/>
      <c r="DU547" s="169"/>
      <c r="DV547" s="169"/>
      <c r="DW547" s="169"/>
      <c r="DX547" s="220"/>
      <c r="DY547" s="169"/>
      <c r="DZ547" s="169"/>
      <c r="EA547" s="169"/>
      <c r="EB547" s="169"/>
      <c r="EC547" s="220"/>
      <c r="ED547" s="169"/>
      <c r="EE547" s="169"/>
      <c r="EF547" s="169"/>
      <c r="EG547" s="169"/>
      <c r="EH547" s="220"/>
      <c r="EI547" s="169"/>
      <c r="EJ547" s="169"/>
      <c r="EK547" s="169"/>
      <c r="EL547" s="169"/>
      <c r="EM547" s="220"/>
      <c r="EN547" s="169"/>
      <c r="EO547" s="169"/>
      <c r="EP547" s="169"/>
      <c r="EQ547" s="169"/>
      <c r="ER547" s="220"/>
      <c r="ES547" s="169"/>
      <c r="ET547" s="169"/>
      <c r="EU547" s="169"/>
      <c r="EV547" s="169"/>
      <c r="EW547" s="220"/>
      <c r="EX547" s="169"/>
      <c r="EY547" s="169"/>
      <c r="EZ547" s="169"/>
      <c r="FA547" s="169"/>
      <c r="FB547" s="220"/>
      <c r="FC547" s="169"/>
      <c r="FD547" s="169"/>
      <c r="FE547" s="169"/>
      <c r="FF547" s="169"/>
      <c r="FG547" s="220"/>
      <c r="FH547" s="169"/>
      <c r="FI547" s="169"/>
      <c r="FJ547" s="169"/>
      <c r="FK547" s="169"/>
      <c r="FL547" s="220"/>
      <c r="FM547" s="169"/>
      <c r="FN547" s="169"/>
      <c r="FO547" s="169"/>
      <c r="FP547" s="169"/>
      <c r="FQ547" s="220"/>
      <c r="FR547" s="169"/>
      <c r="FS547" s="169"/>
      <c r="FT547" s="169"/>
      <c r="FU547" s="169"/>
      <c r="FV547" s="220"/>
      <c r="FW547" s="169"/>
      <c r="FX547" s="169"/>
      <c r="FY547" s="169"/>
      <c r="FZ547" s="169"/>
      <c r="GA547" s="220"/>
      <c r="GB547" s="169"/>
      <c r="GC547" s="169"/>
      <c r="GD547" s="169"/>
      <c r="GE547" s="169"/>
      <c r="GF547" s="220"/>
      <c r="GG547" s="169"/>
      <c r="GH547" s="169"/>
      <c r="GI547" s="169"/>
      <c r="GJ547" s="169"/>
    </row>
    <row r="548" spans="1:192" s="93" customFormat="1" ht="12.75" customHeight="1">
      <c r="A548" s="68"/>
      <c r="B548" s="677"/>
      <c r="C548" s="220"/>
      <c r="D548" s="169"/>
      <c r="E548" s="169"/>
      <c r="F548" s="169"/>
      <c r="G548" s="169"/>
      <c r="H548" s="220"/>
      <c r="I548" s="169"/>
      <c r="J548" s="169"/>
      <c r="K548" s="169"/>
      <c r="L548" s="169"/>
      <c r="M548" s="220"/>
      <c r="N548" s="169"/>
      <c r="O548" s="169"/>
      <c r="P548" s="169"/>
      <c r="Q548" s="169"/>
      <c r="R548" s="220"/>
      <c r="S548" s="169"/>
      <c r="T548" s="169"/>
      <c r="U548" s="169"/>
      <c r="V548" s="169"/>
      <c r="W548" s="220"/>
      <c r="X548" s="169"/>
      <c r="Y548" s="169"/>
      <c r="Z548" s="169"/>
      <c r="AA548" s="169"/>
      <c r="AB548" s="220"/>
      <c r="AC548" s="169"/>
      <c r="AD548" s="169"/>
      <c r="AE548" s="169"/>
      <c r="AF548" s="169"/>
      <c r="AG548" s="220"/>
      <c r="AH548" s="169"/>
      <c r="AI548" s="169"/>
      <c r="AJ548" s="169"/>
      <c r="AK548" s="169"/>
      <c r="AL548" s="220"/>
      <c r="AM548" s="169"/>
      <c r="AN548" s="169"/>
      <c r="AO548" s="169"/>
      <c r="AP548" s="169"/>
      <c r="AQ548" s="220"/>
      <c r="AR548" s="169"/>
      <c r="AS548" s="169"/>
      <c r="AT548" s="169"/>
      <c r="AU548" s="169"/>
      <c r="AV548" s="220"/>
      <c r="AW548" s="169"/>
      <c r="AX548" s="169"/>
      <c r="AY548" s="169"/>
      <c r="AZ548" s="169"/>
      <c r="BA548" s="220"/>
      <c r="BB548" s="169"/>
      <c r="BC548" s="169"/>
      <c r="BD548" s="169"/>
      <c r="BE548" s="169"/>
      <c r="BF548" s="220"/>
      <c r="BG548" s="169"/>
      <c r="BH548" s="169"/>
      <c r="BI548" s="169"/>
      <c r="BJ548" s="169"/>
      <c r="BK548" s="220"/>
      <c r="BL548" s="169"/>
      <c r="BM548" s="169"/>
      <c r="BN548" s="169"/>
      <c r="BO548" s="169"/>
      <c r="BP548" s="220"/>
      <c r="BQ548" s="169"/>
      <c r="BR548" s="169"/>
      <c r="BS548" s="169"/>
      <c r="BT548" s="169"/>
      <c r="BU548" s="220"/>
      <c r="BV548" s="169"/>
      <c r="BW548" s="169"/>
      <c r="BX548" s="169"/>
      <c r="BY548" s="169"/>
      <c r="BZ548" s="220"/>
      <c r="CA548" s="169"/>
      <c r="CB548" s="169"/>
      <c r="CC548" s="169"/>
      <c r="CD548" s="169"/>
      <c r="CE548" s="220"/>
      <c r="CF548" s="169"/>
      <c r="CG548" s="169"/>
      <c r="CH548" s="169"/>
      <c r="CI548" s="169"/>
      <c r="CJ548" s="220"/>
      <c r="CK548" s="169"/>
      <c r="CL548" s="169"/>
      <c r="CM548" s="169"/>
      <c r="CN548" s="169"/>
      <c r="CO548" s="220"/>
      <c r="CP548" s="169"/>
      <c r="CQ548" s="169"/>
      <c r="CR548" s="169"/>
      <c r="CS548" s="169"/>
      <c r="CT548" s="220"/>
      <c r="CU548" s="169"/>
      <c r="CV548" s="169"/>
      <c r="CW548" s="169"/>
      <c r="CX548" s="169"/>
      <c r="CY548" s="220"/>
      <c r="CZ548" s="169"/>
      <c r="DA548" s="169"/>
      <c r="DB548" s="169"/>
      <c r="DC548" s="169"/>
      <c r="DD548" s="220"/>
      <c r="DE548" s="169"/>
      <c r="DF548" s="169"/>
      <c r="DG548" s="169"/>
      <c r="DH548" s="169"/>
      <c r="DI548" s="220"/>
      <c r="DJ548" s="169"/>
      <c r="DK548" s="169"/>
      <c r="DL548" s="169"/>
      <c r="DM548" s="169"/>
      <c r="DN548" s="220"/>
      <c r="DO548" s="169"/>
      <c r="DP548" s="169"/>
      <c r="DQ548" s="169"/>
      <c r="DR548" s="169"/>
      <c r="DS548" s="220"/>
      <c r="DT548" s="169"/>
      <c r="DU548" s="169"/>
      <c r="DV548" s="169"/>
      <c r="DW548" s="169"/>
      <c r="DX548" s="220"/>
      <c r="DY548" s="169"/>
      <c r="DZ548" s="169"/>
      <c r="EA548" s="169"/>
      <c r="EB548" s="169"/>
      <c r="EC548" s="220"/>
      <c r="ED548" s="169"/>
      <c r="EE548" s="169"/>
      <c r="EF548" s="169"/>
      <c r="EG548" s="169"/>
      <c r="EH548" s="220"/>
      <c r="EI548" s="169"/>
      <c r="EJ548" s="169"/>
      <c r="EK548" s="169"/>
      <c r="EL548" s="169"/>
      <c r="EM548" s="220"/>
      <c r="EN548" s="169"/>
      <c r="EO548" s="169"/>
      <c r="EP548" s="169"/>
      <c r="EQ548" s="169"/>
      <c r="ER548" s="220"/>
      <c r="ES548" s="169"/>
      <c r="ET548" s="169"/>
      <c r="EU548" s="169"/>
      <c r="EV548" s="169"/>
      <c r="EW548" s="220"/>
      <c r="EX548" s="169"/>
      <c r="EY548" s="169"/>
      <c r="EZ548" s="169"/>
      <c r="FA548" s="169"/>
      <c r="FB548" s="220"/>
      <c r="FC548" s="169"/>
      <c r="FD548" s="169"/>
      <c r="FE548" s="169"/>
      <c r="FF548" s="169"/>
      <c r="FG548" s="220"/>
      <c r="FH548" s="169"/>
      <c r="FI548" s="169"/>
      <c r="FJ548" s="169"/>
      <c r="FK548" s="169"/>
      <c r="FL548" s="220"/>
      <c r="FM548" s="169"/>
      <c r="FN548" s="169"/>
      <c r="FO548" s="169"/>
      <c r="FP548" s="169"/>
      <c r="FQ548" s="220"/>
      <c r="FR548" s="169"/>
      <c r="FS548" s="169"/>
      <c r="FT548" s="169"/>
      <c r="FU548" s="169"/>
      <c r="FV548" s="220"/>
      <c r="FW548" s="169"/>
      <c r="FX548" s="169"/>
      <c r="FY548" s="169"/>
      <c r="FZ548" s="169"/>
      <c r="GA548" s="220"/>
      <c r="GB548" s="169"/>
      <c r="GC548" s="169"/>
      <c r="GD548" s="169"/>
      <c r="GE548" s="169"/>
      <c r="GF548" s="220"/>
      <c r="GG548" s="169"/>
      <c r="GH548" s="169"/>
      <c r="GI548" s="169"/>
      <c r="GJ548" s="169"/>
    </row>
    <row r="549" spans="1:192" s="93" customFormat="1" ht="12.75" customHeight="1">
      <c r="A549" s="68"/>
      <c r="B549" s="677"/>
      <c r="C549" s="220"/>
      <c r="D549" s="169"/>
      <c r="E549" s="169"/>
      <c r="F549" s="169"/>
      <c r="G549" s="169"/>
      <c r="H549" s="220"/>
      <c r="I549" s="169"/>
      <c r="J549" s="169"/>
      <c r="K549" s="169"/>
      <c r="L549" s="169"/>
      <c r="M549" s="220"/>
      <c r="N549" s="169"/>
      <c r="O549" s="169"/>
      <c r="P549" s="169"/>
      <c r="Q549" s="169"/>
      <c r="R549" s="220"/>
      <c r="S549" s="169"/>
      <c r="T549" s="169"/>
      <c r="U549" s="169"/>
      <c r="V549" s="169"/>
      <c r="W549" s="220"/>
      <c r="X549" s="169"/>
      <c r="Y549" s="169"/>
      <c r="Z549" s="169"/>
      <c r="AA549" s="169"/>
      <c r="AB549" s="220"/>
      <c r="AC549" s="169"/>
      <c r="AD549" s="169"/>
      <c r="AE549" s="169"/>
      <c r="AF549" s="169"/>
      <c r="AG549" s="220"/>
      <c r="AH549" s="169"/>
      <c r="AI549" s="169"/>
      <c r="AJ549" s="169"/>
      <c r="AK549" s="169"/>
      <c r="AL549" s="220"/>
      <c r="AM549" s="169"/>
      <c r="AN549" s="169"/>
      <c r="AO549" s="169"/>
      <c r="AP549" s="169"/>
      <c r="AQ549" s="220"/>
      <c r="AR549" s="169"/>
      <c r="AS549" s="169"/>
      <c r="AT549" s="169"/>
      <c r="AU549" s="169"/>
      <c r="AV549" s="220"/>
      <c r="AW549" s="169"/>
      <c r="AX549" s="169"/>
      <c r="AY549" s="169"/>
      <c r="AZ549" s="169"/>
      <c r="BA549" s="220"/>
      <c r="BB549" s="169"/>
      <c r="BC549" s="169"/>
      <c r="BD549" s="169"/>
      <c r="BE549" s="169"/>
      <c r="BF549" s="220"/>
      <c r="BG549" s="169"/>
      <c r="BH549" s="169"/>
      <c r="BI549" s="169"/>
      <c r="BJ549" s="169"/>
      <c r="BK549" s="220"/>
      <c r="BL549" s="169"/>
      <c r="BM549" s="169"/>
      <c r="BN549" s="169"/>
      <c r="BO549" s="169"/>
      <c r="BP549" s="220"/>
      <c r="BQ549" s="169"/>
      <c r="BR549" s="169"/>
      <c r="BS549" s="169"/>
      <c r="BT549" s="169"/>
      <c r="BU549" s="220"/>
      <c r="BV549" s="169"/>
      <c r="BW549" s="169"/>
      <c r="BX549" s="169"/>
      <c r="BY549" s="169"/>
      <c r="BZ549" s="220"/>
      <c r="CA549" s="169"/>
      <c r="CB549" s="169"/>
      <c r="CC549" s="169"/>
      <c r="CD549" s="169"/>
      <c r="CE549" s="220"/>
      <c r="CF549" s="169"/>
      <c r="CG549" s="169"/>
      <c r="CH549" s="169"/>
      <c r="CI549" s="169"/>
      <c r="CJ549" s="220"/>
      <c r="CK549" s="169"/>
      <c r="CL549" s="169"/>
      <c r="CM549" s="169"/>
      <c r="CN549" s="169"/>
      <c r="CO549" s="220"/>
      <c r="CP549" s="169"/>
      <c r="CQ549" s="169"/>
      <c r="CR549" s="169"/>
      <c r="CS549" s="169"/>
      <c r="CT549" s="220"/>
      <c r="CU549" s="169"/>
      <c r="CV549" s="169"/>
      <c r="CW549" s="169"/>
      <c r="CX549" s="169"/>
      <c r="CY549" s="220"/>
      <c r="CZ549" s="169"/>
      <c r="DA549" s="169"/>
      <c r="DB549" s="169"/>
      <c r="DC549" s="169"/>
      <c r="DD549" s="220"/>
      <c r="DE549" s="169"/>
      <c r="DF549" s="169"/>
      <c r="DG549" s="169"/>
      <c r="DH549" s="169"/>
      <c r="DI549" s="220"/>
      <c r="DJ549" s="169"/>
      <c r="DK549" s="169"/>
      <c r="DL549" s="169"/>
      <c r="DM549" s="169"/>
      <c r="DN549" s="220"/>
      <c r="DO549" s="169"/>
      <c r="DP549" s="169"/>
      <c r="DQ549" s="169"/>
      <c r="DR549" s="169"/>
      <c r="DS549" s="220"/>
      <c r="DT549" s="169"/>
      <c r="DU549" s="169"/>
      <c r="DV549" s="169"/>
      <c r="DW549" s="169"/>
      <c r="DX549" s="220"/>
      <c r="DY549" s="169"/>
      <c r="DZ549" s="169"/>
      <c r="EA549" s="169"/>
      <c r="EB549" s="169"/>
      <c r="EC549" s="220"/>
      <c r="ED549" s="169"/>
      <c r="EE549" s="169"/>
      <c r="EF549" s="169"/>
      <c r="EG549" s="169"/>
      <c r="EH549" s="220"/>
      <c r="EI549" s="169"/>
      <c r="EJ549" s="169"/>
      <c r="EK549" s="169"/>
      <c r="EL549" s="169"/>
      <c r="EM549" s="220"/>
      <c r="EN549" s="169"/>
      <c r="EO549" s="169"/>
      <c r="EP549" s="169"/>
      <c r="EQ549" s="169"/>
      <c r="ER549" s="220"/>
      <c r="ES549" s="169"/>
      <c r="ET549" s="169"/>
      <c r="EU549" s="169"/>
      <c r="EV549" s="169"/>
      <c r="EW549" s="220"/>
      <c r="EX549" s="169"/>
      <c r="EY549" s="169"/>
      <c r="EZ549" s="169"/>
      <c r="FA549" s="169"/>
      <c r="FB549" s="220"/>
      <c r="FC549" s="169"/>
      <c r="FD549" s="169"/>
      <c r="FE549" s="169"/>
      <c r="FF549" s="169"/>
      <c r="FG549" s="220"/>
      <c r="FH549" s="169"/>
      <c r="FI549" s="169"/>
      <c r="FJ549" s="169"/>
      <c r="FK549" s="169"/>
      <c r="FL549" s="220"/>
      <c r="FM549" s="169"/>
      <c r="FN549" s="169"/>
      <c r="FO549" s="169"/>
      <c r="FP549" s="169"/>
      <c r="FQ549" s="220"/>
      <c r="FR549" s="169"/>
      <c r="FS549" s="169"/>
      <c r="FT549" s="169"/>
      <c r="FU549" s="169"/>
      <c r="FV549" s="220"/>
      <c r="FW549" s="169"/>
      <c r="FX549" s="169"/>
      <c r="FY549" s="169"/>
      <c r="FZ549" s="169"/>
      <c r="GA549" s="220"/>
      <c r="GB549" s="169"/>
      <c r="GC549" s="169"/>
      <c r="GD549" s="169"/>
      <c r="GE549" s="169"/>
      <c r="GF549" s="220"/>
      <c r="GG549" s="169"/>
      <c r="GH549" s="169"/>
      <c r="GI549" s="169"/>
      <c r="GJ549" s="169"/>
    </row>
    <row r="550" spans="1:192" s="93" customFormat="1" ht="12.75" customHeight="1">
      <c r="A550" s="68"/>
      <c r="B550" s="677"/>
      <c r="C550" s="220"/>
      <c r="D550" s="169"/>
      <c r="E550" s="169"/>
      <c r="F550" s="169"/>
      <c r="G550" s="169"/>
      <c r="H550" s="220"/>
      <c r="I550" s="169"/>
      <c r="J550" s="169"/>
      <c r="K550" s="169"/>
      <c r="L550" s="169"/>
      <c r="M550" s="220"/>
      <c r="N550" s="169"/>
      <c r="O550" s="169"/>
      <c r="P550" s="169"/>
      <c r="Q550" s="169"/>
      <c r="R550" s="220"/>
      <c r="S550" s="169"/>
      <c r="T550" s="169"/>
      <c r="U550" s="169"/>
      <c r="V550" s="169"/>
      <c r="W550" s="220"/>
      <c r="X550" s="169"/>
      <c r="Y550" s="169"/>
      <c r="Z550" s="169"/>
      <c r="AA550" s="169"/>
      <c r="AB550" s="220"/>
      <c r="AC550" s="169"/>
      <c r="AD550" s="169"/>
      <c r="AE550" s="169"/>
      <c r="AF550" s="169"/>
      <c r="AG550" s="220"/>
      <c r="AH550" s="169"/>
      <c r="AI550" s="169"/>
      <c r="AJ550" s="169"/>
      <c r="AK550" s="169"/>
      <c r="AL550" s="220"/>
      <c r="AM550" s="169"/>
      <c r="AN550" s="169"/>
      <c r="AO550" s="169"/>
      <c r="AP550" s="169"/>
      <c r="AQ550" s="220"/>
      <c r="AR550" s="169"/>
      <c r="AS550" s="169"/>
      <c r="AT550" s="169"/>
      <c r="AU550" s="169"/>
      <c r="AV550" s="220"/>
      <c r="AW550" s="169"/>
      <c r="AX550" s="169"/>
      <c r="AY550" s="169"/>
      <c r="AZ550" s="169"/>
      <c r="BA550" s="220"/>
      <c r="BB550" s="169"/>
      <c r="BC550" s="169"/>
      <c r="BD550" s="169"/>
      <c r="BE550" s="169"/>
      <c r="BF550" s="220"/>
      <c r="BG550" s="169"/>
      <c r="BH550" s="169"/>
      <c r="BI550" s="169"/>
      <c r="BJ550" s="169"/>
      <c r="BK550" s="220"/>
      <c r="BL550" s="169"/>
      <c r="BM550" s="169"/>
      <c r="BN550" s="169"/>
      <c r="BO550" s="169"/>
      <c r="BP550" s="220"/>
      <c r="BQ550" s="169"/>
      <c r="BR550" s="169"/>
      <c r="BS550" s="169"/>
      <c r="BT550" s="169"/>
      <c r="BU550" s="220"/>
      <c r="BV550" s="169"/>
      <c r="BW550" s="169"/>
      <c r="BX550" s="169"/>
      <c r="BY550" s="169"/>
      <c r="BZ550" s="220"/>
      <c r="CA550" s="169"/>
      <c r="CB550" s="169"/>
      <c r="CC550" s="169"/>
      <c r="CD550" s="169"/>
      <c r="CE550" s="220"/>
      <c r="CF550" s="169"/>
      <c r="CG550" s="169"/>
      <c r="CH550" s="169"/>
      <c r="CI550" s="169"/>
      <c r="CJ550" s="220"/>
      <c r="CK550" s="169"/>
      <c r="CL550" s="169"/>
      <c r="CM550" s="169"/>
      <c r="CN550" s="169"/>
      <c r="CO550" s="220"/>
      <c r="CP550" s="169"/>
      <c r="CQ550" s="169"/>
      <c r="CR550" s="169"/>
      <c r="CS550" s="169"/>
      <c r="CT550" s="220"/>
      <c r="CU550" s="169"/>
      <c r="CV550" s="169"/>
      <c r="CW550" s="169"/>
      <c r="CX550" s="169"/>
      <c r="CY550" s="220"/>
      <c r="CZ550" s="169"/>
      <c r="DA550" s="169"/>
      <c r="DB550" s="169"/>
      <c r="DC550" s="169"/>
      <c r="DD550" s="220"/>
      <c r="DE550" s="169"/>
      <c r="DF550" s="169"/>
      <c r="DG550" s="169"/>
      <c r="DH550" s="169"/>
      <c r="DI550" s="220"/>
      <c r="DJ550" s="169"/>
      <c r="DK550" s="169"/>
      <c r="DL550" s="169"/>
      <c r="DM550" s="169"/>
      <c r="DN550" s="220"/>
      <c r="DO550" s="169"/>
      <c r="DP550" s="169"/>
      <c r="DQ550" s="169"/>
      <c r="DR550" s="169"/>
      <c r="DS550" s="220"/>
      <c r="DT550" s="169"/>
      <c r="DU550" s="169"/>
      <c r="DV550" s="169"/>
      <c r="DW550" s="169"/>
      <c r="DX550" s="220"/>
      <c r="DY550" s="169"/>
      <c r="DZ550" s="169"/>
      <c r="EA550" s="169"/>
      <c r="EB550" s="169"/>
      <c r="EC550" s="220"/>
      <c r="ED550" s="169"/>
      <c r="EE550" s="169"/>
      <c r="EF550" s="169"/>
      <c r="EG550" s="169"/>
      <c r="EH550" s="220"/>
      <c r="EI550" s="169"/>
      <c r="EJ550" s="169"/>
      <c r="EK550" s="169"/>
      <c r="EL550" s="169"/>
      <c r="EM550" s="220"/>
      <c r="EN550" s="169"/>
      <c r="EO550" s="169"/>
      <c r="EP550" s="169"/>
      <c r="EQ550" s="169"/>
      <c r="ER550" s="220"/>
      <c r="ES550" s="169"/>
      <c r="ET550" s="169"/>
      <c r="EU550" s="169"/>
      <c r="EV550" s="169"/>
      <c r="EW550" s="220"/>
      <c r="EX550" s="169"/>
      <c r="EY550" s="169"/>
      <c r="EZ550" s="169"/>
      <c r="FA550" s="169"/>
      <c r="FB550" s="220"/>
      <c r="FC550" s="169"/>
      <c r="FD550" s="169"/>
      <c r="FE550" s="169"/>
      <c r="FF550" s="169"/>
      <c r="FG550" s="220"/>
      <c r="FH550" s="169"/>
      <c r="FI550" s="169"/>
      <c r="FJ550" s="169"/>
      <c r="FK550" s="169"/>
      <c r="FL550" s="220"/>
      <c r="FM550" s="169"/>
      <c r="FN550" s="169"/>
      <c r="FO550" s="169"/>
      <c r="FP550" s="169"/>
      <c r="FQ550" s="220"/>
      <c r="FR550" s="169"/>
      <c r="FS550" s="169"/>
      <c r="FT550" s="169"/>
      <c r="FU550" s="169"/>
      <c r="FV550" s="220"/>
      <c r="FW550" s="169"/>
      <c r="FX550" s="169"/>
      <c r="FY550" s="169"/>
      <c r="FZ550" s="169"/>
      <c r="GA550" s="220"/>
      <c r="GB550" s="169"/>
      <c r="GC550" s="169"/>
      <c r="GD550" s="169"/>
      <c r="GE550" s="169"/>
      <c r="GF550" s="220"/>
      <c r="GG550" s="169"/>
      <c r="GH550" s="169"/>
      <c r="GI550" s="169"/>
      <c r="GJ550" s="169"/>
    </row>
    <row r="551" spans="1:192" s="93" customFormat="1" ht="12.75" customHeight="1">
      <c r="A551" s="68"/>
      <c r="B551" s="677"/>
      <c r="C551" s="169"/>
      <c r="D551" s="169"/>
      <c r="E551" s="169"/>
      <c r="F551" s="169"/>
      <c r="G551" s="169"/>
      <c r="H551" s="169"/>
      <c r="I551" s="169"/>
      <c r="J551" s="169"/>
      <c r="K551" s="169"/>
      <c r="L551" s="169"/>
      <c r="M551" s="169"/>
      <c r="N551" s="169"/>
      <c r="O551" s="169"/>
      <c r="P551" s="169"/>
      <c r="Q551" s="169"/>
      <c r="R551" s="169"/>
      <c r="S551" s="169"/>
      <c r="T551" s="169"/>
      <c r="U551" s="169"/>
      <c r="V551" s="169"/>
      <c r="W551" s="169"/>
      <c r="X551" s="169"/>
      <c r="Y551" s="169"/>
      <c r="Z551" s="169"/>
      <c r="AA551" s="169"/>
      <c r="AB551" s="169"/>
      <c r="AC551" s="169"/>
      <c r="AD551" s="169"/>
      <c r="AE551" s="169"/>
      <c r="AF551" s="169"/>
      <c r="AG551" s="169"/>
      <c r="AH551" s="169"/>
      <c r="AI551" s="169"/>
      <c r="AJ551" s="169"/>
      <c r="AK551" s="169"/>
      <c r="AL551" s="169"/>
      <c r="AM551" s="169"/>
      <c r="AN551" s="169"/>
      <c r="AO551" s="169"/>
      <c r="AP551" s="169"/>
      <c r="AQ551" s="169"/>
      <c r="AR551" s="169"/>
      <c r="AS551" s="169"/>
      <c r="AT551" s="169"/>
      <c r="AU551" s="169"/>
      <c r="AV551" s="169"/>
      <c r="AW551" s="169"/>
      <c r="AX551" s="169"/>
      <c r="AY551" s="169"/>
      <c r="AZ551" s="169"/>
      <c r="BA551" s="169"/>
      <c r="BB551" s="169"/>
      <c r="BC551" s="169"/>
      <c r="BD551" s="169"/>
      <c r="BE551" s="169"/>
      <c r="BF551" s="169"/>
      <c r="BG551" s="169"/>
      <c r="BH551" s="169"/>
      <c r="BI551" s="169"/>
      <c r="BJ551" s="169"/>
      <c r="BK551" s="169"/>
      <c r="BL551" s="169"/>
      <c r="BM551" s="169"/>
      <c r="BN551" s="169"/>
      <c r="BO551" s="169"/>
      <c r="BP551" s="169"/>
      <c r="BQ551" s="169"/>
      <c r="BR551" s="169"/>
      <c r="BS551" s="169"/>
      <c r="BT551" s="169"/>
      <c r="BU551" s="169"/>
      <c r="BV551" s="169"/>
      <c r="BW551" s="169"/>
      <c r="BX551" s="169"/>
      <c r="BY551" s="169"/>
      <c r="BZ551" s="169"/>
      <c r="CA551" s="169"/>
      <c r="CB551" s="169"/>
      <c r="CC551" s="169"/>
      <c r="CD551" s="169"/>
      <c r="CE551" s="169"/>
      <c r="CF551" s="169"/>
      <c r="CG551" s="169"/>
      <c r="CH551" s="169"/>
      <c r="CI551" s="169"/>
      <c r="CJ551" s="169"/>
      <c r="CK551" s="169"/>
      <c r="CL551" s="169"/>
      <c r="CM551" s="169"/>
      <c r="CN551" s="169"/>
      <c r="CO551" s="169"/>
      <c r="CP551" s="169"/>
      <c r="CQ551" s="169"/>
      <c r="CR551" s="169"/>
      <c r="CS551" s="169"/>
      <c r="CT551" s="169"/>
      <c r="CU551" s="169"/>
      <c r="CV551" s="169"/>
      <c r="CW551" s="169"/>
      <c r="CX551" s="169"/>
      <c r="CY551" s="169"/>
      <c r="CZ551" s="169"/>
      <c r="DA551" s="169"/>
      <c r="DB551" s="169"/>
      <c r="DC551" s="169"/>
      <c r="DD551" s="169"/>
      <c r="DE551" s="169"/>
      <c r="DF551" s="169"/>
      <c r="DG551" s="169"/>
      <c r="DH551" s="169"/>
      <c r="DI551" s="169"/>
      <c r="DJ551" s="169"/>
      <c r="DK551" s="169"/>
      <c r="DL551" s="169"/>
      <c r="DM551" s="169"/>
      <c r="DN551" s="169"/>
      <c r="DO551" s="169"/>
      <c r="DP551" s="169"/>
      <c r="DQ551" s="169"/>
      <c r="DR551" s="169"/>
      <c r="DS551" s="169"/>
      <c r="DT551" s="169"/>
      <c r="DU551" s="169"/>
      <c r="DV551" s="169"/>
      <c r="DW551" s="169"/>
      <c r="DX551" s="169"/>
      <c r="DY551" s="169"/>
      <c r="DZ551" s="169"/>
      <c r="EA551" s="169"/>
      <c r="EB551" s="169"/>
      <c r="EC551" s="169"/>
      <c r="ED551" s="169"/>
      <c r="EE551" s="169"/>
      <c r="EF551" s="169"/>
      <c r="EG551" s="169"/>
      <c r="EH551" s="169"/>
      <c r="EI551" s="169"/>
      <c r="EJ551" s="169"/>
      <c r="EK551" s="169"/>
      <c r="EL551" s="169"/>
      <c r="EM551" s="169"/>
      <c r="EN551" s="169"/>
      <c r="EO551" s="169"/>
      <c r="EP551" s="169"/>
      <c r="EQ551" s="169"/>
      <c r="ER551" s="169"/>
      <c r="ES551" s="169"/>
      <c r="ET551" s="169"/>
      <c r="EU551" s="169"/>
      <c r="EV551" s="169"/>
      <c r="EW551" s="169"/>
      <c r="EX551" s="169"/>
      <c r="EY551" s="169"/>
      <c r="EZ551" s="169"/>
      <c r="FA551" s="169"/>
      <c r="FB551" s="169"/>
      <c r="FC551" s="169"/>
      <c r="FD551" s="169"/>
      <c r="FE551" s="169"/>
      <c r="FF551" s="169"/>
      <c r="FG551" s="169"/>
      <c r="FH551" s="169"/>
      <c r="FI551" s="169"/>
      <c r="FJ551" s="169"/>
      <c r="FK551" s="169"/>
      <c r="FL551" s="169"/>
      <c r="FM551" s="169"/>
      <c r="FN551" s="169"/>
      <c r="FO551" s="169"/>
      <c r="FP551" s="169"/>
      <c r="FQ551" s="169"/>
      <c r="FR551" s="169"/>
      <c r="FS551" s="169"/>
      <c r="FT551" s="169"/>
      <c r="FU551" s="169"/>
      <c r="FV551" s="169"/>
      <c r="FW551" s="169"/>
      <c r="FX551" s="169"/>
      <c r="FY551" s="169"/>
      <c r="FZ551" s="169"/>
      <c r="GA551" s="169"/>
      <c r="GB551" s="169"/>
      <c r="GC551" s="169"/>
      <c r="GD551" s="169"/>
      <c r="GE551" s="169"/>
      <c r="GF551" s="169"/>
      <c r="GG551" s="169"/>
      <c r="GH551" s="169"/>
      <c r="GI551" s="169"/>
      <c r="GJ551" s="169"/>
    </row>
    <row r="552" spans="1:192" s="93" customFormat="1" ht="12.75" customHeight="1">
      <c r="A552" s="68"/>
      <c r="B552" s="677"/>
      <c r="C552" s="169"/>
      <c r="D552" s="169"/>
      <c r="E552" s="169"/>
      <c r="F552" s="169"/>
      <c r="G552" s="169"/>
      <c r="H552" s="169"/>
      <c r="I552" s="169"/>
      <c r="J552" s="169"/>
      <c r="K552" s="169"/>
      <c r="L552" s="169"/>
      <c r="M552" s="169"/>
      <c r="N552" s="169"/>
      <c r="O552" s="169"/>
      <c r="P552" s="169"/>
      <c r="Q552" s="169"/>
      <c r="R552" s="169"/>
      <c r="S552" s="169"/>
      <c r="T552" s="169"/>
      <c r="U552" s="169"/>
      <c r="V552" s="169"/>
      <c r="W552" s="169"/>
      <c r="X552" s="169"/>
      <c r="Y552" s="169"/>
      <c r="Z552" s="169"/>
      <c r="AA552" s="169"/>
      <c r="AB552" s="169"/>
      <c r="AC552" s="169"/>
      <c r="AD552" s="169"/>
      <c r="AE552" s="169"/>
      <c r="AF552" s="169"/>
      <c r="AG552" s="169"/>
      <c r="AH552" s="169"/>
      <c r="AI552" s="169"/>
      <c r="AJ552" s="169"/>
      <c r="AK552" s="169"/>
      <c r="AL552" s="169"/>
      <c r="AM552" s="169"/>
      <c r="AN552" s="169"/>
      <c r="AO552" s="169"/>
      <c r="AP552" s="169"/>
      <c r="AQ552" s="169"/>
      <c r="AR552" s="169"/>
      <c r="AS552" s="169"/>
      <c r="AT552" s="169"/>
      <c r="AU552" s="169"/>
      <c r="AV552" s="169"/>
      <c r="AW552" s="169"/>
      <c r="AX552" s="169"/>
      <c r="AY552" s="169"/>
      <c r="AZ552" s="169"/>
      <c r="BA552" s="169"/>
      <c r="BB552" s="169"/>
      <c r="BC552" s="169"/>
      <c r="BD552" s="169"/>
      <c r="BE552" s="169"/>
      <c r="BF552" s="169"/>
      <c r="BG552" s="169"/>
      <c r="BH552" s="169"/>
      <c r="BI552" s="169"/>
      <c r="BJ552" s="169"/>
      <c r="BK552" s="169"/>
      <c r="BL552" s="169"/>
      <c r="BM552" s="169"/>
      <c r="BN552" s="169"/>
      <c r="BO552" s="169"/>
      <c r="BP552" s="169"/>
      <c r="BQ552" s="169"/>
      <c r="BR552" s="169"/>
      <c r="BS552" s="169"/>
      <c r="BT552" s="169"/>
      <c r="BU552" s="169"/>
      <c r="BV552" s="169"/>
      <c r="BW552" s="169"/>
      <c r="BX552" s="169"/>
      <c r="BY552" s="169"/>
      <c r="BZ552" s="169"/>
      <c r="CA552" s="169"/>
      <c r="CB552" s="169"/>
      <c r="CC552" s="169"/>
      <c r="CD552" s="169"/>
      <c r="CE552" s="169"/>
      <c r="CF552" s="169"/>
      <c r="CG552" s="169"/>
      <c r="CH552" s="169"/>
      <c r="CI552" s="169"/>
      <c r="CJ552" s="169"/>
      <c r="CK552" s="169"/>
      <c r="CL552" s="169"/>
      <c r="CM552" s="169"/>
      <c r="CN552" s="169"/>
      <c r="CO552" s="169"/>
      <c r="CP552" s="169"/>
      <c r="CQ552" s="169"/>
      <c r="CR552" s="169"/>
      <c r="CS552" s="169"/>
      <c r="CT552" s="169"/>
      <c r="CU552" s="169"/>
      <c r="CV552" s="169"/>
      <c r="CW552" s="169"/>
      <c r="CX552" s="169"/>
      <c r="CY552" s="169"/>
      <c r="CZ552" s="169"/>
      <c r="DA552" s="169"/>
      <c r="DB552" s="169"/>
      <c r="DC552" s="169"/>
      <c r="DD552" s="169"/>
      <c r="DE552" s="169"/>
      <c r="DF552" s="169"/>
      <c r="DG552" s="169"/>
      <c r="DH552" s="169"/>
      <c r="DI552" s="169"/>
      <c r="DJ552" s="169"/>
      <c r="DK552" s="169"/>
      <c r="DL552" s="169"/>
      <c r="DM552" s="169"/>
      <c r="DN552" s="169"/>
      <c r="DO552" s="169"/>
      <c r="DP552" s="169"/>
      <c r="DQ552" s="169"/>
      <c r="DR552" s="169"/>
      <c r="DS552" s="169"/>
      <c r="DT552" s="169"/>
      <c r="DU552" s="169"/>
      <c r="DV552" s="169"/>
      <c r="DW552" s="169"/>
      <c r="DX552" s="169"/>
      <c r="DY552" s="169"/>
      <c r="DZ552" s="169"/>
      <c r="EA552" s="169"/>
      <c r="EB552" s="169"/>
      <c r="EC552" s="169"/>
      <c r="ED552" s="169"/>
      <c r="EE552" s="169"/>
      <c r="EF552" s="169"/>
      <c r="EG552" s="169"/>
      <c r="EH552" s="169"/>
      <c r="EI552" s="169"/>
      <c r="EJ552" s="169"/>
      <c r="EK552" s="169"/>
      <c r="EL552" s="169"/>
      <c r="EM552" s="169"/>
      <c r="EN552" s="169"/>
      <c r="EO552" s="169"/>
      <c r="EP552" s="169"/>
      <c r="EQ552" s="169"/>
      <c r="ER552" s="169"/>
      <c r="ES552" s="169"/>
      <c r="ET552" s="169"/>
      <c r="EU552" s="169"/>
      <c r="EV552" s="169"/>
      <c r="EW552" s="169"/>
      <c r="EX552" s="169"/>
      <c r="EY552" s="169"/>
      <c r="EZ552" s="169"/>
      <c r="FA552" s="169"/>
      <c r="FB552" s="169"/>
      <c r="FC552" s="169"/>
      <c r="FD552" s="169"/>
      <c r="FE552" s="169"/>
      <c r="FF552" s="169"/>
      <c r="FG552" s="169"/>
      <c r="FH552" s="169"/>
      <c r="FI552" s="169"/>
      <c r="FJ552" s="169"/>
      <c r="FK552" s="169"/>
      <c r="FL552" s="169"/>
      <c r="FM552" s="169"/>
      <c r="FN552" s="169"/>
      <c r="FO552" s="169"/>
      <c r="FP552" s="169"/>
      <c r="FQ552" s="169"/>
      <c r="FR552" s="169"/>
      <c r="FS552" s="169"/>
      <c r="FT552" s="169"/>
      <c r="FU552" s="169"/>
      <c r="FV552" s="169"/>
      <c r="FW552" s="169"/>
      <c r="FX552" s="169"/>
      <c r="FY552" s="169"/>
      <c r="FZ552" s="169"/>
      <c r="GA552" s="169"/>
      <c r="GB552" s="169"/>
      <c r="GC552" s="169"/>
      <c r="GD552" s="169"/>
      <c r="GE552" s="169"/>
      <c r="GF552" s="169"/>
      <c r="GG552" s="169"/>
      <c r="GH552" s="169"/>
      <c r="GI552" s="169"/>
      <c r="GJ552" s="169"/>
    </row>
    <row r="553" spans="1:192" s="93" customFormat="1" ht="12.75" customHeight="1">
      <c r="A553" s="68"/>
      <c r="B553" s="677"/>
      <c r="C553" s="106"/>
      <c r="D553" s="106"/>
      <c r="E553" s="106"/>
      <c r="F553" s="106"/>
      <c r="G553" s="106"/>
      <c r="H553" s="106"/>
      <c r="I553" s="106"/>
      <c r="J553" s="106"/>
      <c r="K553" s="106"/>
      <c r="L553" s="106"/>
      <c r="M553" s="106"/>
      <c r="N553" s="106"/>
      <c r="O553" s="106"/>
      <c r="P553" s="106"/>
      <c r="Q553" s="106"/>
      <c r="R553" s="106"/>
      <c r="S553" s="106"/>
      <c r="T553" s="106"/>
      <c r="U553" s="106"/>
      <c r="V553" s="106"/>
      <c r="W553" s="106"/>
      <c r="X553" s="106"/>
      <c r="Y553" s="106"/>
      <c r="Z553" s="106"/>
      <c r="AA553" s="106"/>
      <c r="AB553" s="106"/>
      <c r="AC553" s="106"/>
      <c r="AD553" s="106"/>
      <c r="AE553" s="106"/>
      <c r="AF553" s="106"/>
      <c r="AG553" s="106"/>
      <c r="AH553" s="106"/>
      <c r="AI553" s="106"/>
      <c r="AJ553" s="106"/>
      <c r="AK553" s="106"/>
      <c r="AL553" s="106"/>
      <c r="AM553" s="106"/>
      <c r="AN553" s="106"/>
      <c r="AO553" s="106"/>
      <c r="AP553" s="106"/>
      <c r="AQ553" s="106"/>
      <c r="AR553" s="106"/>
      <c r="AS553" s="106"/>
      <c r="AT553" s="106"/>
      <c r="AU553" s="106"/>
      <c r="AV553" s="106"/>
      <c r="AW553" s="106"/>
      <c r="AX553" s="106"/>
      <c r="AY553" s="106"/>
      <c r="AZ553" s="106"/>
      <c r="BA553" s="106"/>
      <c r="BB553" s="106"/>
      <c r="BC553" s="106"/>
      <c r="BD553" s="106"/>
      <c r="BE553" s="106"/>
      <c r="BF553" s="106"/>
      <c r="BG553" s="106"/>
      <c r="BH553" s="106"/>
      <c r="BI553" s="106"/>
      <c r="BJ553" s="106"/>
      <c r="BK553" s="106"/>
      <c r="BL553" s="106"/>
      <c r="BM553" s="106"/>
      <c r="BN553" s="106"/>
      <c r="BO553" s="106"/>
      <c r="BP553" s="106"/>
      <c r="BQ553" s="106"/>
      <c r="BR553" s="106"/>
      <c r="BS553" s="106"/>
      <c r="BT553" s="106"/>
      <c r="BU553" s="106"/>
      <c r="BV553" s="106"/>
      <c r="BW553" s="106"/>
      <c r="BX553" s="106"/>
      <c r="BY553" s="106"/>
      <c r="BZ553" s="106"/>
      <c r="CA553" s="106"/>
      <c r="CB553" s="106"/>
      <c r="CC553" s="106"/>
      <c r="CD553" s="106"/>
      <c r="CE553" s="106"/>
      <c r="CF553" s="106"/>
      <c r="CG553" s="106"/>
      <c r="CH553" s="106"/>
      <c r="CI553" s="106"/>
      <c r="CJ553" s="106"/>
      <c r="CK553" s="106"/>
      <c r="CL553" s="106"/>
      <c r="CM553" s="106"/>
      <c r="CN553" s="106"/>
      <c r="CO553" s="106"/>
      <c r="CP553" s="106"/>
      <c r="CQ553" s="106"/>
      <c r="CR553" s="106"/>
      <c r="CS553" s="106"/>
      <c r="CT553" s="106"/>
      <c r="CU553" s="106"/>
      <c r="CV553" s="106"/>
      <c r="CW553" s="106"/>
      <c r="CX553" s="106"/>
      <c r="CY553" s="106"/>
      <c r="CZ553" s="106"/>
      <c r="DA553" s="106"/>
      <c r="DB553" s="106"/>
      <c r="DC553" s="106"/>
      <c r="DD553" s="106"/>
      <c r="DE553" s="106"/>
      <c r="DF553" s="106"/>
      <c r="DG553" s="106"/>
      <c r="DH553" s="106"/>
      <c r="DI553" s="106"/>
      <c r="DJ553" s="106"/>
      <c r="DK553" s="106"/>
      <c r="DL553" s="106"/>
      <c r="DM553" s="106"/>
      <c r="DN553" s="106"/>
      <c r="DO553" s="106"/>
      <c r="DP553" s="106"/>
      <c r="DQ553" s="106"/>
      <c r="DR553" s="106"/>
      <c r="DS553" s="106"/>
      <c r="DT553" s="106"/>
      <c r="DU553" s="106"/>
      <c r="DV553" s="106"/>
      <c r="DW553" s="106"/>
      <c r="DX553" s="106"/>
      <c r="DY553" s="106"/>
      <c r="DZ553" s="106"/>
      <c r="EA553" s="106"/>
      <c r="EB553" s="106"/>
      <c r="EC553" s="106"/>
      <c r="ED553" s="106"/>
      <c r="EE553" s="106"/>
      <c r="EF553" s="106"/>
      <c r="EG553" s="106"/>
      <c r="EH553" s="106"/>
      <c r="EI553" s="106"/>
      <c r="EJ553" s="106"/>
      <c r="EK553" s="106"/>
      <c r="EL553" s="106"/>
      <c r="EM553" s="106"/>
      <c r="EN553" s="106"/>
      <c r="EO553" s="106"/>
      <c r="EP553" s="106"/>
      <c r="EQ553" s="106"/>
      <c r="ER553" s="106"/>
      <c r="ES553" s="106"/>
      <c r="ET553" s="106"/>
      <c r="EU553" s="106"/>
      <c r="EV553" s="106"/>
      <c r="EW553" s="106"/>
      <c r="EX553" s="106"/>
      <c r="EY553" s="106"/>
      <c r="EZ553" s="106"/>
      <c r="FA553" s="106"/>
      <c r="FB553" s="106"/>
      <c r="FC553" s="106"/>
      <c r="FD553" s="106"/>
      <c r="FE553" s="106"/>
      <c r="FF553" s="106"/>
      <c r="FG553" s="106"/>
      <c r="FH553" s="106"/>
      <c r="FI553" s="106"/>
      <c r="FJ553" s="106"/>
      <c r="FK553" s="106"/>
      <c r="FL553" s="106"/>
      <c r="FM553" s="106"/>
      <c r="FN553" s="106"/>
      <c r="FO553" s="106"/>
      <c r="FP553" s="106"/>
      <c r="FQ553" s="106"/>
      <c r="FR553" s="106"/>
      <c r="FS553" s="106"/>
      <c r="FT553" s="106"/>
      <c r="FU553" s="106"/>
      <c r="FV553" s="106"/>
      <c r="FW553" s="106"/>
      <c r="FX553" s="106"/>
      <c r="FY553" s="106"/>
      <c r="FZ553" s="106"/>
      <c r="GA553" s="106"/>
      <c r="GB553" s="106"/>
      <c r="GC553" s="106"/>
      <c r="GD553" s="106"/>
      <c r="GE553" s="106"/>
      <c r="GF553" s="106"/>
      <c r="GG553" s="106"/>
      <c r="GH553" s="106"/>
      <c r="GI553" s="106"/>
      <c r="GJ553" s="106"/>
    </row>
    <row r="554" spans="1:192" s="93" customFormat="1" ht="12.75" customHeight="1">
      <c r="A554" s="68"/>
      <c r="B554" s="677"/>
      <c r="C554" s="147"/>
      <c r="D554" s="147"/>
      <c r="E554" s="147"/>
      <c r="F554" s="147"/>
      <c r="G554" s="147"/>
      <c r="H554" s="147"/>
      <c r="I554" s="147"/>
      <c r="J554" s="147"/>
      <c r="K554" s="147"/>
      <c r="L554" s="147"/>
      <c r="M554" s="147"/>
      <c r="N554" s="147"/>
      <c r="O554" s="147"/>
      <c r="P554" s="147"/>
      <c r="Q554" s="147"/>
      <c r="R554" s="147"/>
      <c r="S554" s="147"/>
      <c r="T554" s="147"/>
      <c r="U554" s="147"/>
      <c r="V554" s="147"/>
      <c r="W554" s="147"/>
      <c r="X554" s="147"/>
      <c r="Y554" s="147"/>
      <c r="Z554" s="147"/>
      <c r="AA554" s="147"/>
      <c r="AB554" s="147"/>
      <c r="AC554" s="147"/>
      <c r="AD554" s="147"/>
      <c r="AE554" s="147"/>
      <c r="AF554" s="147"/>
      <c r="AG554" s="147"/>
      <c r="AH554" s="147"/>
      <c r="AI554" s="147"/>
      <c r="AJ554" s="147"/>
      <c r="AK554" s="147"/>
      <c r="AL554" s="147"/>
      <c r="AM554" s="147"/>
      <c r="AN554" s="147"/>
      <c r="AO554" s="147"/>
      <c r="AP554" s="147"/>
      <c r="AQ554" s="147"/>
      <c r="AR554" s="147"/>
      <c r="AS554" s="147"/>
      <c r="AT554" s="147"/>
      <c r="AU554" s="147"/>
      <c r="AV554" s="147"/>
      <c r="AW554" s="147"/>
      <c r="AX554" s="147"/>
      <c r="AY554" s="147"/>
      <c r="AZ554" s="147"/>
      <c r="BA554" s="147"/>
      <c r="BB554" s="147"/>
      <c r="BC554" s="147"/>
      <c r="BD554" s="147"/>
      <c r="BE554" s="147"/>
      <c r="BF554" s="147"/>
      <c r="BG554" s="147"/>
      <c r="BH554" s="147"/>
      <c r="BI554" s="147"/>
      <c r="BJ554" s="147"/>
      <c r="BK554" s="147"/>
      <c r="BL554" s="147"/>
      <c r="BM554" s="147"/>
      <c r="BN554" s="147"/>
      <c r="BO554" s="147"/>
      <c r="BP554" s="147"/>
      <c r="BQ554" s="147"/>
      <c r="BR554" s="147"/>
      <c r="BS554" s="147"/>
      <c r="BT554" s="147"/>
      <c r="BU554" s="147"/>
      <c r="BV554" s="147"/>
      <c r="BW554" s="147"/>
      <c r="BX554" s="147"/>
      <c r="BY554" s="147"/>
      <c r="BZ554" s="147"/>
      <c r="CA554" s="147"/>
      <c r="CB554" s="147"/>
      <c r="CC554" s="147"/>
      <c r="CD554" s="147"/>
      <c r="CE554" s="147"/>
      <c r="CF554" s="147"/>
      <c r="CG554" s="147"/>
      <c r="CH554" s="147"/>
      <c r="CI554" s="147"/>
      <c r="CJ554" s="147"/>
      <c r="CK554" s="147"/>
      <c r="CL554" s="147"/>
      <c r="CM554" s="147"/>
      <c r="CN554" s="147"/>
      <c r="CO554" s="147"/>
      <c r="CP554" s="147"/>
      <c r="CQ554" s="147"/>
      <c r="CR554" s="147"/>
      <c r="CS554" s="147"/>
      <c r="CT554" s="147"/>
      <c r="CU554" s="147"/>
      <c r="CV554" s="147"/>
      <c r="CW554" s="147"/>
      <c r="CX554" s="147"/>
      <c r="CY554" s="147"/>
      <c r="CZ554" s="147"/>
      <c r="DA554" s="147"/>
      <c r="DB554" s="147"/>
      <c r="DC554" s="147"/>
      <c r="DD554" s="147"/>
      <c r="DE554" s="147"/>
      <c r="DF554" s="147"/>
      <c r="DG554" s="147"/>
      <c r="DH554" s="147"/>
      <c r="DI554" s="147"/>
      <c r="DJ554" s="147"/>
      <c r="DK554" s="147"/>
      <c r="DL554" s="147"/>
      <c r="DM554" s="147"/>
      <c r="DN554" s="147"/>
      <c r="DO554" s="147"/>
      <c r="DP554" s="147"/>
      <c r="DQ554" s="147"/>
      <c r="DR554" s="147"/>
      <c r="DS554" s="147"/>
      <c r="DT554" s="147"/>
      <c r="DU554" s="147"/>
      <c r="DV554" s="147"/>
      <c r="DW554" s="147"/>
      <c r="DX554" s="147"/>
      <c r="DY554" s="147"/>
      <c r="DZ554" s="147"/>
      <c r="EA554" s="147"/>
      <c r="EB554" s="147"/>
      <c r="EC554" s="147"/>
      <c r="ED554" s="147"/>
      <c r="EE554" s="147"/>
      <c r="EF554" s="147"/>
      <c r="EG554" s="147"/>
      <c r="EH554" s="147"/>
      <c r="EI554" s="147"/>
      <c r="EJ554" s="147"/>
      <c r="EK554" s="147"/>
      <c r="EL554" s="147"/>
      <c r="EM554" s="147"/>
      <c r="EN554" s="147"/>
      <c r="EO554" s="147"/>
      <c r="EP554" s="147"/>
      <c r="EQ554" s="147"/>
      <c r="ER554" s="147"/>
      <c r="ES554" s="147"/>
      <c r="ET554" s="147"/>
      <c r="EU554" s="147"/>
      <c r="EV554" s="147"/>
      <c r="EW554" s="147"/>
      <c r="EX554" s="147"/>
      <c r="EY554" s="147"/>
      <c r="EZ554" s="147"/>
      <c r="FA554" s="147"/>
      <c r="FB554" s="147"/>
      <c r="FC554" s="147"/>
      <c r="FD554" s="147"/>
      <c r="FE554" s="147"/>
      <c r="FF554" s="147"/>
      <c r="FG554" s="147"/>
      <c r="FH554" s="147"/>
      <c r="FI554" s="147"/>
      <c r="FJ554" s="147"/>
      <c r="FK554" s="147"/>
      <c r="FL554" s="147"/>
      <c r="FM554" s="147"/>
      <c r="FN554" s="147"/>
      <c r="FO554" s="147"/>
      <c r="FP554" s="147"/>
      <c r="FQ554" s="147"/>
      <c r="FR554" s="147"/>
      <c r="FS554" s="147"/>
      <c r="FT554" s="147"/>
      <c r="FU554" s="147"/>
      <c r="FV554" s="147"/>
      <c r="FW554" s="147"/>
      <c r="FX554" s="147"/>
      <c r="FY554" s="147"/>
      <c r="FZ554" s="147"/>
      <c r="GA554" s="147"/>
      <c r="GB554" s="147"/>
      <c r="GC554" s="147"/>
      <c r="GD554" s="147"/>
      <c r="GE554" s="147"/>
      <c r="GF554" s="147"/>
      <c r="GG554" s="147"/>
      <c r="GH554" s="147"/>
      <c r="GI554" s="147"/>
      <c r="GJ554" s="147"/>
    </row>
    <row r="555" spans="1:192" s="93" customFormat="1" ht="12.75" customHeight="1">
      <c r="A555" s="68"/>
      <c r="B555" s="677"/>
      <c r="C555" s="229"/>
      <c r="D555" s="229"/>
      <c r="E555" s="229"/>
      <c r="F555" s="229"/>
      <c r="G555" s="229"/>
      <c r="H555" s="229"/>
      <c r="I555" s="229"/>
      <c r="J555" s="229"/>
      <c r="K555" s="229"/>
      <c r="L555" s="229"/>
      <c r="M555" s="229"/>
      <c r="N555" s="229"/>
      <c r="O555" s="229"/>
      <c r="P555" s="229"/>
      <c r="Q555" s="229"/>
      <c r="R555" s="229"/>
      <c r="S555" s="229"/>
      <c r="T555" s="229"/>
      <c r="U555" s="229"/>
      <c r="V555" s="229"/>
      <c r="W555" s="229"/>
      <c r="X555" s="229"/>
      <c r="Y555" s="229"/>
      <c r="Z555" s="229"/>
      <c r="AA555" s="229"/>
      <c r="AB555" s="229"/>
      <c r="AC555" s="229"/>
      <c r="AD555" s="229"/>
      <c r="AE555" s="229"/>
      <c r="AF555" s="229"/>
      <c r="AG555" s="229"/>
      <c r="AH555" s="229"/>
      <c r="AI555" s="229"/>
      <c r="AJ555" s="229"/>
      <c r="AK555" s="229"/>
      <c r="AL555" s="229"/>
      <c r="AM555" s="229"/>
      <c r="AN555" s="229"/>
      <c r="AO555" s="229"/>
      <c r="AP555" s="229"/>
      <c r="AQ555" s="229"/>
      <c r="AR555" s="229"/>
      <c r="AS555" s="229"/>
      <c r="AT555" s="229"/>
      <c r="AU555" s="229"/>
      <c r="AV555" s="229"/>
      <c r="AW555" s="229"/>
      <c r="AX555" s="229"/>
      <c r="AY555" s="229"/>
      <c r="AZ555" s="229"/>
      <c r="BA555" s="229"/>
      <c r="BB555" s="229"/>
      <c r="BC555" s="229"/>
      <c r="BD555" s="229"/>
      <c r="BE555" s="229"/>
      <c r="BF555" s="229"/>
      <c r="BG555" s="229"/>
      <c r="BH555" s="229"/>
      <c r="BI555" s="229"/>
      <c r="BJ555" s="229"/>
      <c r="BK555" s="229"/>
      <c r="BL555" s="229"/>
      <c r="BM555" s="229"/>
      <c r="BN555" s="229"/>
      <c r="BO555" s="229"/>
      <c r="BP555" s="229"/>
      <c r="BQ555" s="229"/>
      <c r="BR555" s="229"/>
      <c r="BS555" s="229"/>
      <c r="BT555" s="229"/>
      <c r="BU555" s="229"/>
      <c r="BV555" s="229"/>
      <c r="BW555" s="229"/>
      <c r="BX555" s="229"/>
      <c r="BY555" s="229"/>
      <c r="BZ555" s="229"/>
      <c r="CA555" s="229"/>
      <c r="CB555" s="229"/>
      <c r="CC555" s="229"/>
      <c r="CD555" s="229"/>
      <c r="CE555" s="229"/>
      <c r="CF555" s="229"/>
      <c r="CG555" s="229"/>
      <c r="CH555" s="229"/>
      <c r="CI555" s="229"/>
      <c r="CJ555" s="229"/>
      <c r="CK555" s="229"/>
      <c r="CL555" s="229"/>
      <c r="CM555" s="229"/>
      <c r="CN555" s="229"/>
      <c r="CO555" s="229"/>
      <c r="CP555" s="229"/>
      <c r="CQ555" s="229"/>
      <c r="CR555" s="229"/>
      <c r="CS555" s="229"/>
      <c r="CT555" s="229"/>
      <c r="CU555" s="229"/>
      <c r="CV555" s="229"/>
      <c r="CW555" s="229"/>
      <c r="CX555" s="229"/>
      <c r="CY555" s="229"/>
      <c r="CZ555" s="229"/>
      <c r="DA555" s="229"/>
      <c r="DB555" s="229"/>
      <c r="DC555" s="229"/>
      <c r="DD555" s="229"/>
      <c r="DE555" s="229"/>
      <c r="DF555" s="229"/>
      <c r="DG555" s="229"/>
      <c r="DH555" s="229"/>
      <c r="DI555" s="229"/>
      <c r="DJ555" s="229"/>
      <c r="DK555" s="229"/>
      <c r="DL555" s="229"/>
      <c r="DM555" s="229"/>
      <c r="DN555" s="229"/>
      <c r="DO555" s="229"/>
      <c r="DP555" s="229"/>
      <c r="DQ555" s="229"/>
      <c r="DR555" s="229"/>
      <c r="DS555" s="229"/>
      <c r="DT555" s="229"/>
      <c r="DU555" s="229"/>
      <c r="DV555" s="229"/>
      <c r="DW555" s="229"/>
      <c r="DX555" s="229"/>
      <c r="DY555" s="229"/>
      <c r="DZ555" s="229"/>
      <c r="EA555" s="229"/>
      <c r="EB555" s="229"/>
      <c r="EC555" s="229"/>
      <c r="ED555" s="229"/>
      <c r="EE555" s="229"/>
      <c r="EF555" s="229"/>
      <c r="EG555" s="229"/>
      <c r="EH555" s="229"/>
      <c r="EI555" s="229"/>
      <c r="EJ555" s="229"/>
      <c r="EK555" s="229"/>
      <c r="EL555" s="229"/>
      <c r="EM555" s="229"/>
      <c r="EN555" s="229"/>
      <c r="EO555" s="229"/>
      <c r="EP555" s="229"/>
      <c r="EQ555" s="229"/>
      <c r="ER555" s="229"/>
      <c r="ES555" s="229"/>
      <c r="ET555" s="229"/>
      <c r="EU555" s="229"/>
      <c r="EV555" s="229"/>
      <c r="EW555" s="229"/>
      <c r="EX555" s="229"/>
      <c r="EY555" s="229"/>
      <c r="EZ555" s="229"/>
      <c r="FA555" s="229"/>
      <c r="FB555" s="229"/>
      <c r="FC555" s="229"/>
      <c r="FD555" s="229"/>
      <c r="FE555" s="229"/>
      <c r="FF555" s="229"/>
      <c r="FG555" s="229"/>
      <c r="FH555" s="229"/>
      <c r="FI555" s="229"/>
      <c r="FJ555" s="229"/>
      <c r="FK555" s="229"/>
      <c r="FL555" s="229"/>
      <c r="FM555" s="229"/>
      <c r="FN555" s="229"/>
      <c r="FO555" s="229"/>
      <c r="FP555" s="229"/>
      <c r="FQ555" s="229"/>
      <c r="FR555" s="229"/>
      <c r="FS555" s="229"/>
      <c r="FT555" s="229"/>
      <c r="FU555" s="229"/>
      <c r="FV555" s="229"/>
      <c r="FW555" s="229"/>
      <c r="FX555" s="229"/>
      <c r="FY555" s="229"/>
      <c r="FZ555" s="229"/>
      <c r="GA555" s="229"/>
      <c r="GB555" s="229"/>
      <c r="GC555" s="229"/>
      <c r="GD555" s="229"/>
      <c r="GE555" s="229"/>
      <c r="GF555" s="229"/>
      <c r="GG555" s="229"/>
      <c r="GH555" s="229"/>
      <c r="GI555" s="229"/>
      <c r="GJ555" s="229"/>
    </row>
    <row r="556" spans="1:192" s="93" customFormat="1" ht="12.75" customHeight="1">
      <c r="A556" s="68"/>
      <c r="B556" s="677"/>
      <c r="C556" s="229"/>
      <c r="D556" s="229"/>
      <c r="E556" s="229"/>
      <c r="F556" s="229"/>
      <c r="G556" s="229"/>
      <c r="H556" s="229"/>
      <c r="I556" s="229"/>
      <c r="J556" s="229"/>
      <c r="K556" s="229"/>
      <c r="L556" s="229"/>
      <c r="M556" s="229"/>
      <c r="N556" s="229"/>
      <c r="O556" s="229"/>
      <c r="P556" s="229"/>
      <c r="Q556" s="229"/>
      <c r="R556" s="229"/>
      <c r="S556" s="229"/>
      <c r="T556" s="229"/>
      <c r="U556" s="229"/>
      <c r="V556" s="229"/>
      <c r="W556" s="229"/>
      <c r="X556" s="229"/>
      <c r="Y556" s="229"/>
      <c r="Z556" s="229"/>
      <c r="AA556" s="229"/>
      <c r="AB556" s="229"/>
      <c r="AC556" s="229"/>
      <c r="AD556" s="229"/>
      <c r="AE556" s="229"/>
      <c r="AF556" s="229"/>
      <c r="AG556" s="229"/>
      <c r="AH556" s="229"/>
      <c r="AI556" s="229"/>
      <c r="AJ556" s="229"/>
      <c r="AK556" s="229"/>
      <c r="AL556" s="229"/>
      <c r="AM556" s="229"/>
      <c r="AN556" s="229"/>
      <c r="AO556" s="229"/>
      <c r="AP556" s="229"/>
      <c r="AQ556" s="229"/>
      <c r="AR556" s="229"/>
      <c r="AS556" s="229"/>
      <c r="AT556" s="229"/>
      <c r="AU556" s="229"/>
      <c r="AV556" s="229"/>
      <c r="AW556" s="229"/>
      <c r="AX556" s="229"/>
      <c r="AY556" s="229"/>
      <c r="AZ556" s="229"/>
      <c r="BA556" s="229"/>
      <c r="BB556" s="229"/>
      <c r="BC556" s="229"/>
      <c r="BD556" s="229"/>
      <c r="BE556" s="229"/>
      <c r="BF556" s="229"/>
      <c r="BG556" s="229"/>
      <c r="BH556" s="229"/>
      <c r="BI556" s="229"/>
      <c r="BJ556" s="229"/>
      <c r="BK556" s="229"/>
      <c r="BL556" s="229"/>
      <c r="BM556" s="229"/>
      <c r="BN556" s="229"/>
      <c r="BO556" s="229"/>
      <c r="BP556" s="229"/>
      <c r="BQ556" s="229"/>
      <c r="BR556" s="229"/>
      <c r="BS556" s="229"/>
      <c r="BT556" s="229"/>
      <c r="BU556" s="229"/>
      <c r="BV556" s="229"/>
      <c r="BW556" s="229"/>
      <c r="BX556" s="229"/>
      <c r="BY556" s="229"/>
      <c r="BZ556" s="229"/>
      <c r="CA556" s="229"/>
      <c r="CB556" s="229"/>
      <c r="CC556" s="229"/>
      <c r="CD556" s="229"/>
      <c r="CE556" s="229"/>
      <c r="CF556" s="229"/>
      <c r="CG556" s="229"/>
      <c r="CH556" s="229"/>
      <c r="CI556" s="229"/>
      <c r="CJ556" s="229"/>
      <c r="CK556" s="229"/>
      <c r="CL556" s="229"/>
      <c r="CM556" s="229"/>
      <c r="CN556" s="229"/>
      <c r="CO556" s="229"/>
      <c r="CP556" s="229"/>
      <c r="CQ556" s="229"/>
      <c r="CR556" s="229"/>
      <c r="CS556" s="229"/>
      <c r="CT556" s="229"/>
      <c r="CU556" s="229"/>
      <c r="CV556" s="229"/>
      <c r="CW556" s="229"/>
      <c r="CX556" s="229"/>
      <c r="CY556" s="229"/>
      <c r="CZ556" s="229"/>
      <c r="DA556" s="229"/>
      <c r="DB556" s="229"/>
      <c r="DC556" s="229"/>
      <c r="DD556" s="229"/>
      <c r="DE556" s="229"/>
      <c r="DF556" s="229"/>
      <c r="DG556" s="229"/>
      <c r="DH556" s="229"/>
      <c r="DI556" s="229"/>
      <c r="DJ556" s="229"/>
      <c r="DK556" s="229"/>
      <c r="DL556" s="229"/>
      <c r="DM556" s="229"/>
      <c r="DN556" s="229"/>
      <c r="DO556" s="229"/>
      <c r="DP556" s="229"/>
      <c r="DQ556" s="229"/>
      <c r="DR556" s="229"/>
      <c r="DS556" s="229"/>
      <c r="DT556" s="229"/>
      <c r="DU556" s="229"/>
      <c r="DV556" s="229"/>
      <c r="DW556" s="229"/>
      <c r="DX556" s="229"/>
      <c r="DY556" s="229"/>
      <c r="DZ556" s="229"/>
      <c r="EA556" s="229"/>
      <c r="EB556" s="229"/>
      <c r="EC556" s="229"/>
      <c r="ED556" s="229"/>
      <c r="EE556" s="229"/>
      <c r="EF556" s="229"/>
      <c r="EG556" s="229"/>
      <c r="EH556" s="229"/>
      <c r="EI556" s="229"/>
      <c r="EJ556" s="229"/>
      <c r="EK556" s="229"/>
      <c r="EL556" s="229"/>
      <c r="EM556" s="229"/>
      <c r="EN556" s="229"/>
      <c r="EO556" s="229"/>
      <c r="EP556" s="229"/>
      <c r="EQ556" s="229"/>
      <c r="ER556" s="229"/>
      <c r="ES556" s="229"/>
      <c r="ET556" s="229"/>
      <c r="EU556" s="229"/>
      <c r="EV556" s="229"/>
      <c r="EW556" s="229"/>
      <c r="EX556" s="229"/>
      <c r="EY556" s="229"/>
      <c r="EZ556" s="229"/>
      <c r="FA556" s="229"/>
      <c r="FB556" s="229"/>
      <c r="FC556" s="229"/>
      <c r="FD556" s="229"/>
      <c r="FE556" s="229"/>
      <c r="FF556" s="229"/>
      <c r="FG556" s="229"/>
      <c r="FH556" s="229"/>
      <c r="FI556" s="229"/>
      <c r="FJ556" s="229"/>
      <c r="FK556" s="229"/>
      <c r="FL556" s="229"/>
      <c r="FM556" s="229"/>
      <c r="FN556" s="229"/>
      <c r="FO556" s="229"/>
      <c r="FP556" s="229"/>
      <c r="FQ556" s="229"/>
      <c r="FR556" s="229"/>
      <c r="FS556" s="229"/>
      <c r="FT556" s="229"/>
      <c r="FU556" s="229"/>
      <c r="FV556" s="229"/>
      <c r="FW556" s="229"/>
      <c r="FX556" s="229"/>
      <c r="FY556" s="229"/>
      <c r="FZ556" s="229"/>
      <c r="GA556" s="229"/>
      <c r="GB556" s="229"/>
      <c r="GC556" s="229"/>
      <c r="GD556" s="229"/>
      <c r="GE556" s="229"/>
      <c r="GF556" s="229"/>
      <c r="GG556" s="229"/>
      <c r="GH556" s="229"/>
      <c r="GI556" s="229"/>
      <c r="GJ556" s="229"/>
    </row>
    <row r="557" spans="1:192" s="93" customFormat="1" ht="12.75" customHeight="1">
      <c r="A557" s="68"/>
      <c r="B557" s="677"/>
      <c r="C557" s="230"/>
      <c r="D557" s="224"/>
      <c r="E557" s="224"/>
      <c r="F557" s="224"/>
      <c r="G557" s="224"/>
      <c r="H557" s="230"/>
      <c r="I557" s="224"/>
      <c r="J557" s="224"/>
      <c r="K557" s="224"/>
      <c r="L557" s="224"/>
      <c r="M557" s="230"/>
      <c r="N557" s="224"/>
      <c r="O557" s="224"/>
      <c r="P557" s="224"/>
      <c r="Q557" s="224"/>
      <c r="R557" s="230"/>
      <c r="S557" s="224"/>
      <c r="T557" s="224"/>
      <c r="U557" s="224"/>
      <c r="V557" s="224"/>
      <c r="W557" s="230"/>
      <c r="X557" s="224"/>
      <c r="Y557" s="224"/>
      <c r="Z557" s="224"/>
      <c r="AA557" s="224"/>
      <c r="AB557" s="230"/>
      <c r="AC557" s="224"/>
      <c r="AD557" s="224"/>
      <c r="AE557" s="224"/>
      <c r="AF557" s="224"/>
      <c r="AG557" s="230"/>
      <c r="AH557" s="224"/>
      <c r="AI557" s="224"/>
      <c r="AJ557" s="224"/>
      <c r="AK557" s="224"/>
      <c r="AL557" s="230"/>
      <c r="AM557" s="224"/>
      <c r="AN557" s="224"/>
      <c r="AO557" s="224"/>
      <c r="AP557" s="224"/>
      <c r="AQ557" s="230"/>
      <c r="AR557" s="224"/>
      <c r="AS557" s="224"/>
      <c r="AT557" s="224"/>
      <c r="AU557" s="224"/>
      <c r="AV557" s="230"/>
      <c r="AW557" s="224"/>
      <c r="AX557" s="224"/>
      <c r="AY557" s="224"/>
      <c r="AZ557" s="224"/>
      <c r="BA557" s="230"/>
      <c r="BB557" s="224"/>
      <c r="BC557" s="224"/>
      <c r="BD557" s="224"/>
      <c r="BE557" s="224"/>
      <c r="BF557" s="230"/>
      <c r="BG557" s="224"/>
      <c r="BH557" s="224"/>
      <c r="BI557" s="224"/>
      <c r="BJ557" s="224"/>
      <c r="BK557" s="230"/>
      <c r="BL557" s="224"/>
      <c r="BM557" s="224"/>
      <c r="BN557" s="224"/>
      <c r="BO557" s="224"/>
      <c r="BP557" s="230"/>
      <c r="BQ557" s="224"/>
      <c r="BR557" s="224"/>
      <c r="BS557" s="224"/>
      <c r="BT557" s="224"/>
      <c r="BU557" s="230"/>
      <c r="BV557" s="224"/>
      <c r="BW557" s="224"/>
      <c r="BX557" s="224"/>
      <c r="BY557" s="224"/>
      <c r="BZ557" s="230"/>
      <c r="CA557" s="224"/>
      <c r="CB557" s="224"/>
      <c r="CC557" s="224"/>
      <c r="CD557" s="224"/>
      <c r="CE557" s="230"/>
      <c r="CF557" s="224"/>
      <c r="CG557" s="224"/>
      <c r="CH557" s="224"/>
      <c r="CI557" s="224"/>
      <c r="CJ557" s="230"/>
      <c r="CK557" s="224"/>
      <c r="CL557" s="224"/>
      <c r="CM557" s="224"/>
      <c r="CN557" s="224"/>
      <c r="CO557" s="230"/>
      <c r="CP557" s="224"/>
      <c r="CQ557" s="224"/>
      <c r="CR557" s="224"/>
      <c r="CS557" s="224"/>
      <c r="CT557" s="230"/>
      <c r="CU557" s="224"/>
      <c r="CV557" s="224"/>
      <c r="CW557" s="224"/>
      <c r="CX557" s="224"/>
      <c r="CY557" s="230"/>
      <c r="CZ557" s="224"/>
      <c r="DA557" s="224"/>
      <c r="DB557" s="224"/>
      <c r="DC557" s="224"/>
      <c r="DD557" s="230"/>
      <c r="DE557" s="224"/>
      <c r="DF557" s="224"/>
      <c r="DG557" s="224"/>
      <c r="DH557" s="224"/>
      <c r="DI557" s="230"/>
      <c r="DJ557" s="224"/>
      <c r="DK557" s="224"/>
      <c r="DL557" s="224"/>
      <c r="DM557" s="224"/>
      <c r="DN557" s="230"/>
      <c r="DO557" s="224"/>
      <c r="DP557" s="224"/>
      <c r="DQ557" s="224"/>
      <c r="DR557" s="224"/>
      <c r="DS557" s="230"/>
      <c r="DT557" s="224"/>
      <c r="DU557" s="224"/>
      <c r="DV557" s="224"/>
      <c r="DW557" s="224"/>
      <c r="DX557" s="230"/>
      <c r="DY557" s="224"/>
      <c r="DZ557" s="224"/>
      <c r="EA557" s="224"/>
      <c r="EB557" s="224"/>
      <c r="EC557" s="230"/>
      <c r="ED557" s="224"/>
      <c r="EE557" s="224"/>
      <c r="EF557" s="224"/>
      <c r="EG557" s="224"/>
      <c r="EH557" s="230"/>
      <c r="EI557" s="224"/>
      <c r="EJ557" s="224"/>
      <c r="EK557" s="224"/>
      <c r="EL557" s="224"/>
      <c r="EM557" s="230"/>
      <c r="EN557" s="224"/>
      <c r="EO557" s="224"/>
      <c r="EP557" s="224"/>
      <c r="EQ557" s="224"/>
      <c r="ER557" s="230"/>
      <c r="ES557" s="224"/>
      <c r="ET557" s="224"/>
      <c r="EU557" s="224"/>
      <c r="EV557" s="224"/>
      <c r="EW557" s="230"/>
      <c r="EX557" s="224"/>
      <c r="EY557" s="224"/>
      <c r="EZ557" s="224"/>
      <c r="FA557" s="224"/>
      <c r="FB557" s="230"/>
      <c r="FC557" s="224"/>
      <c r="FD557" s="224"/>
      <c r="FE557" s="224"/>
      <c r="FF557" s="224"/>
      <c r="FG557" s="230"/>
      <c r="FH557" s="224"/>
      <c r="FI557" s="224"/>
      <c r="FJ557" s="224"/>
      <c r="FK557" s="224"/>
      <c r="FL557" s="230"/>
      <c r="FM557" s="224"/>
      <c r="FN557" s="224"/>
      <c r="FO557" s="224"/>
      <c r="FP557" s="224"/>
      <c r="FQ557" s="230"/>
      <c r="FR557" s="224"/>
      <c r="FS557" s="224"/>
      <c r="FT557" s="224"/>
      <c r="FU557" s="224"/>
      <c r="FV557" s="230"/>
      <c r="FW557" s="224"/>
      <c r="FX557" s="224"/>
      <c r="FY557" s="224"/>
      <c r="FZ557" s="224"/>
      <c r="GA557" s="230"/>
      <c r="GB557" s="224"/>
      <c r="GC557" s="224"/>
      <c r="GD557" s="224"/>
      <c r="GE557" s="224"/>
      <c r="GF557" s="230"/>
      <c r="GG557" s="224"/>
      <c r="GH557" s="224"/>
      <c r="GI557" s="224"/>
      <c r="GJ557" s="224"/>
    </row>
    <row r="558" spans="1:192" s="93" customFormat="1" ht="12.75" customHeight="1">
      <c r="A558" s="68"/>
      <c r="B558" s="677"/>
      <c r="C558" s="231"/>
      <c r="D558" s="231"/>
      <c r="E558" s="231"/>
      <c r="F558" s="231"/>
      <c r="G558" s="231"/>
      <c r="H558" s="231"/>
      <c r="I558" s="231"/>
      <c r="J558" s="231"/>
      <c r="K558" s="231"/>
      <c r="L558" s="231"/>
      <c r="M558" s="231"/>
      <c r="N558" s="231"/>
      <c r="O558" s="231"/>
      <c r="P558" s="231"/>
      <c r="Q558" s="231"/>
      <c r="R558" s="231"/>
      <c r="S558" s="231"/>
      <c r="T558" s="231"/>
      <c r="U558" s="231"/>
      <c r="V558" s="231"/>
      <c r="W558" s="231"/>
      <c r="X558" s="231"/>
      <c r="Y558" s="231"/>
      <c r="Z558" s="231"/>
      <c r="AA558" s="231"/>
      <c r="AB558" s="231"/>
      <c r="AC558" s="231"/>
      <c r="AD558" s="231"/>
      <c r="AE558" s="231"/>
      <c r="AF558" s="231"/>
      <c r="AG558" s="231"/>
      <c r="AH558" s="231"/>
      <c r="AI558" s="231"/>
      <c r="AJ558" s="231"/>
      <c r="AK558" s="231"/>
      <c r="AL558" s="231"/>
      <c r="AM558" s="231"/>
      <c r="AN558" s="231"/>
      <c r="AO558" s="231"/>
      <c r="AP558" s="231"/>
      <c r="AQ558" s="231"/>
      <c r="AR558" s="231"/>
      <c r="AS558" s="231"/>
      <c r="AT558" s="231"/>
      <c r="AU558" s="231"/>
      <c r="AV558" s="231"/>
      <c r="AW558" s="231"/>
      <c r="AX558" s="231"/>
      <c r="AY558" s="231"/>
      <c r="AZ558" s="231"/>
      <c r="BA558" s="231"/>
      <c r="BB558" s="231"/>
      <c r="BC558" s="231"/>
      <c r="BD558" s="231"/>
      <c r="BE558" s="231"/>
      <c r="BF558" s="231"/>
      <c r="BG558" s="231"/>
      <c r="BH558" s="231"/>
      <c r="BI558" s="231"/>
      <c r="BJ558" s="231"/>
      <c r="BK558" s="231"/>
      <c r="BL558" s="231"/>
      <c r="BM558" s="231"/>
      <c r="BN558" s="231"/>
      <c r="BO558" s="231"/>
      <c r="BP558" s="231"/>
      <c r="BQ558" s="231"/>
      <c r="BR558" s="231"/>
      <c r="BS558" s="231"/>
      <c r="BT558" s="231"/>
      <c r="BU558" s="231"/>
      <c r="BV558" s="231"/>
      <c r="BW558" s="231"/>
      <c r="BX558" s="231"/>
      <c r="BY558" s="231"/>
      <c r="BZ558" s="231"/>
      <c r="CA558" s="231"/>
      <c r="CB558" s="231"/>
      <c r="CC558" s="231"/>
      <c r="CD558" s="231"/>
      <c r="CE558" s="231"/>
      <c r="CF558" s="231"/>
      <c r="CG558" s="231"/>
      <c r="CH558" s="231"/>
      <c r="CI558" s="231"/>
      <c r="CJ558" s="231"/>
      <c r="CK558" s="231"/>
      <c r="CL558" s="231"/>
      <c r="CM558" s="231"/>
      <c r="CN558" s="231"/>
      <c r="CO558" s="231"/>
      <c r="CP558" s="231"/>
      <c r="CQ558" s="231"/>
      <c r="CR558" s="231"/>
      <c r="CS558" s="231"/>
      <c r="CT558" s="231"/>
      <c r="CU558" s="231"/>
      <c r="CV558" s="231"/>
      <c r="CW558" s="231"/>
      <c r="CX558" s="231"/>
      <c r="CY558" s="231"/>
      <c r="CZ558" s="231"/>
      <c r="DA558" s="231"/>
      <c r="DB558" s="231"/>
      <c r="DC558" s="231"/>
      <c r="DD558" s="231"/>
      <c r="DE558" s="231"/>
      <c r="DF558" s="231"/>
      <c r="DG558" s="231"/>
      <c r="DH558" s="231"/>
      <c r="DI558" s="231"/>
      <c r="DJ558" s="231"/>
      <c r="DK558" s="231"/>
      <c r="DL558" s="231"/>
      <c r="DM558" s="231"/>
      <c r="DN558" s="231"/>
      <c r="DO558" s="231"/>
      <c r="DP558" s="231"/>
      <c r="DQ558" s="231"/>
      <c r="DR558" s="231"/>
      <c r="DS558" s="231"/>
      <c r="DT558" s="231"/>
      <c r="DU558" s="231"/>
      <c r="DV558" s="231"/>
      <c r="DW558" s="231"/>
      <c r="DX558" s="231"/>
      <c r="DY558" s="231"/>
      <c r="DZ558" s="231"/>
      <c r="EA558" s="231"/>
      <c r="EB558" s="231"/>
      <c r="EC558" s="231"/>
      <c r="ED558" s="231"/>
      <c r="EE558" s="231"/>
      <c r="EF558" s="231"/>
      <c r="EG558" s="231"/>
      <c r="EH558" s="231"/>
      <c r="EI558" s="231"/>
      <c r="EJ558" s="231"/>
      <c r="EK558" s="231"/>
      <c r="EL558" s="231"/>
      <c r="EM558" s="231"/>
      <c r="EN558" s="231"/>
      <c r="EO558" s="231"/>
      <c r="EP558" s="231"/>
      <c r="EQ558" s="231"/>
      <c r="ER558" s="231"/>
      <c r="ES558" s="231"/>
      <c r="ET558" s="231"/>
      <c r="EU558" s="231"/>
      <c r="EV558" s="231"/>
      <c r="EW558" s="231"/>
      <c r="EX558" s="231"/>
      <c r="EY558" s="231"/>
      <c r="EZ558" s="231"/>
      <c r="FA558" s="231"/>
      <c r="FB558" s="231"/>
      <c r="FC558" s="231"/>
      <c r="FD558" s="231"/>
      <c r="FE558" s="231"/>
      <c r="FF558" s="231"/>
      <c r="FG558" s="231"/>
      <c r="FH558" s="231"/>
      <c r="FI558" s="231"/>
      <c r="FJ558" s="231"/>
      <c r="FK558" s="231"/>
      <c r="FL558" s="231"/>
      <c r="FM558" s="231"/>
      <c r="FN558" s="231"/>
      <c r="FO558" s="231"/>
      <c r="FP558" s="231"/>
      <c r="FQ558" s="231"/>
      <c r="FR558" s="231"/>
      <c r="FS558" s="231"/>
      <c r="FT558" s="231"/>
      <c r="FU558" s="231"/>
      <c r="FV558" s="231"/>
      <c r="FW558" s="231"/>
      <c r="FX558" s="231"/>
      <c r="FY558" s="231"/>
      <c r="FZ558" s="231"/>
      <c r="GA558" s="231"/>
      <c r="GB558" s="231"/>
      <c r="GC558" s="231"/>
      <c r="GD558" s="231"/>
      <c r="GE558" s="231"/>
      <c r="GF558" s="231"/>
      <c r="GG558" s="231"/>
      <c r="GH558" s="231"/>
      <c r="GI558" s="231"/>
      <c r="GJ558" s="231"/>
    </row>
    <row r="559" spans="1:192" s="93" customFormat="1" ht="12.75" customHeight="1">
      <c r="A559" s="68"/>
      <c r="B559" s="677"/>
      <c r="C559" s="220"/>
      <c r="D559" s="169"/>
      <c r="E559" s="169"/>
      <c r="F559" s="169"/>
      <c r="G559" s="169"/>
      <c r="H559" s="220"/>
      <c r="I559" s="169"/>
      <c r="J559" s="169"/>
      <c r="K559" s="169"/>
      <c r="L559" s="169"/>
      <c r="M559" s="220"/>
      <c r="N559" s="169"/>
      <c r="O559" s="169"/>
      <c r="P559" s="169"/>
      <c r="Q559" s="169"/>
      <c r="R559" s="220"/>
      <c r="S559" s="169"/>
      <c r="T559" s="169"/>
      <c r="U559" s="169"/>
      <c r="V559" s="169"/>
      <c r="W559" s="220"/>
      <c r="X559" s="169"/>
      <c r="Y559" s="169"/>
      <c r="Z559" s="169"/>
      <c r="AA559" s="169"/>
      <c r="AB559" s="220"/>
      <c r="AC559" s="169"/>
      <c r="AD559" s="169"/>
      <c r="AE559" s="169"/>
      <c r="AF559" s="169"/>
      <c r="AG559" s="220"/>
      <c r="AH559" s="169"/>
      <c r="AI559" s="169"/>
      <c r="AJ559" s="169"/>
      <c r="AK559" s="169"/>
      <c r="AL559" s="220"/>
      <c r="AM559" s="169"/>
      <c r="AN559" s="169"/>
      <c r="AO559" s="169"/>
      <c r="AP559" s="169"/>
      <c r="AQ559" s="220"/>
      <c r="AR559" s="169"/>
      <c r="AS559" s="169"/>
      <c r="AT559" s="169"/>
      <c r="AU559" s="169"/>
      <c r="AV559" s="220"/>
      <c r="AW559" s="169"/>
      <c r="AX559" s="169"/>
      <c r="AY559" s="169"/>
      <c r="AZ559" s="169"/>
      <c r="BA559" s="220"/>
      <c r="BB559" s="169"/>
      <c r="BC559" s="169"/>
      <c r="BD559" s="169"/>
      <c r="BE559" s="169"/>
      <c r="BF559" s="220"/>
      <c r="BG559" s="169"/>
      <c r="BH559" s="169"/>
      <c r="BI559" s="169"/>
      <c r="BJ559" s="169"/>
      <c r="BK559" s="220"/>
      <c r="BL559" s="169"/>
      <c r="BM559" s="169"/>
      <c r="BN559" s="169"/>
      <c r="BO559" s="169"/>
      <c r="BP559" s="220"/>
      <c r="BQ559" s="169"/>
      <c r="BR559" s="169"/>
      <c r="BS559" s="169"/>
      <c r="BT559" s="169"/>
      <c r="BU559" s="220"/>
      <c r="BV559" s="169"/>
      <c r="BW559" s="169"/>
      <c r="BX559" s="169"/>
      <c r="BY559" s="169"/>
      <c r="BZ559" s="220"/>
      <c r="CA559" s="169"/>
      <c r="CB559" s="169"/>
      <c r="CC559" s="169"/>
      <c r="CD559" s="169"/>
      <c r="CE559" s="220"/>
      <c r="CF559" s="169"/>
      <c r="CG559" s="169"/>
      <c r="CH559" s="169"/>
      <c r="CI559" s="169"/>
      <c r="CJ559" s="220"/>
      <c r="CK559" s="169"/>
      <c r="CL559" s="169"/>
      <c r="CM559" s="169"/>
      <c r="CN559" s="169"/>
      <c r="CO559" s="220"/>
      <c r="CP559" s="169"/>
      <c r="CQ559" s="169"/>
      <c r="CR559" s="169"/>
      <c r="CS559" s="169"/>
      <c r="CT559" s="220"/>
      <c r="CU559" s="169"/>
      <c r="CV559" s="169"/>
      <c r="CW559" s="169"/>
      <c r="CX559" s="169"/>
      <c r="CY559" s="220"/>
      <c r="CZ559" s="169"/>
      <c r="DA559" s="169"/>
      <c r="DB559" s="169"/>
      <c r="DC559" s="169"/>
      <c r="DD559" s="220"/>
      <c r="DE559" s="169"/>
      <c r="DF559" s="169"/>
      <c r="DG559" s="169"/>
      <c r="DH559" s="169"/>
      <c r="DI559" s="220"/>
      <c r="DJ559" s="169"/>
      <c r="DK559" s="169"/>
      <c r="DL559" s="169"/>
      <c r="DM559" s="169"/>
      <c r="DN559" s="220"/>
      <c r="DO559" s="169"/>
      <c r="DP559" s="169"/>
      <c r="DQ559" s="169"/>
      <c r="DR559" s="169"/>
      <c r="DS559" s="220"/>
      <c r="DT559" s="169"/>
      <c r="DU559" s="169"/>
      <c r="DV559" s="169"/>
      <c r="DW559" s="169"/>
      <c r="DX559" s="220"/>
      <c r="DY559" s="169"/>
      <c r="DZ559" s="169"/>
      <c r="EA559" s="169"/>
      <c r="EB559" s="169"/>
      <c r="EC559" s="220"/>
      <c r="ED559" s="169"/>
      <c r="EE559" s="169"/>
      <c r="EF559" s="169"/>
      <c r="EG559" s="169"/>
      <c r="EH559" s="220"/>
      <c r="EI559" s="169"/>
      <c r="EJ559" s="169"/>
      <c r="EK559" s="169"/>
      <c r="EL559" s="169"/>
      <c r="EM559" s="220"/>
      <c r="EN559" s="169"/>
      <c r="EO559" s="169"/>
      <c r="EP559" s="169"/>
      <c r="EQ559" s="169"/>
      <c r="ER559" s="220"/>
      <c r="ES559" s="169"/>
      <c r="ET559" s="169"/>
      <c r="EU559" s="169"/>
      <c r="EV559" s="169"/>
      <c r="EW559" s="220"/>
      <c r="EX559" s="169"/>
      <c r="EY559" s="169"/>
      <c r="EZ559" s="169"/>
      <c r="FA559" s="169"/>
      <c r="FB559" s="220"/>
      <c r="FC559" s="169"/>
      <c r="FD559" s="169"/>
      <c r="FE559" s="169"/>
      <c r="FF559" s="169"/>
      <c r="FG559" s="220"/>
      <c r="FH559" s="169"/>
      <c r="FI559" s="169"/>
      <c r="FJ559" s="169"/>
      <c r="FK559" s="169"/>
      <c r="FL559" s="220"/>
      <c r="FM559" s="169"/>
      <c r="FN559" s="169"/>
      <c r="FO559" s="169"/>
      <c r="FP559" s="169"/>
      <c r="FQ559" s="220"/>
      <c r="FR559" s="169"/>
      <c r="FS559" s="169"/>
      <c r="FT559" s="169"/>
      <c r="FU559" s="169"/>
      <c r="FV559" s="220"/>
      <c r="FW559" s="169"/>
      <c r="FX559" s="169"/>
      <c r="FY559" s="169"/>
      <c r="FZ559" s="169"/>
      <c r="GA559" s="220"/>
      <c r="GB559" s="169"/>
      <c r="GC559" s="169"/>
      <c r="GD559" s="169"/>
      <c r="GE559" s="169"/>
      <c r="GF559" s="220"/>
      <c r="GG559" s="169"/>
      <c r="GH559" s="169"/>
      <c r="GI559" s="169"/>
      <c r="GJ559" s="169"/>
    </row>
    <row r="560" spans="1:192" s="93" customFormat="1" ht="12.75" customHeight="1">
      <c r="A560" s="68"/>
      <c r="B560" s="677"/>
      <c r="C560" s="169"/>
      <c r="D560" s="169"/>
      <c r="E560" s="169"/>
      <c r="F560" s="169"/>
      <c r="G560" s="169"/>
      <c r="H560" s="169"/>
      <c r="I560" s="169"/>
      <c r="J560" s="169"/>
      <c r="K560" s="169"/>
      <c r="L560" s="169"/>
      <c r="M560" s="169"/>
      <c r="N560" s="169"/>
      <c r="O560" s="169"/>
      <c r="P560" s="169"/>
      <c r="Q560" s="169"/>
      <c r="R560" s="169"/>
      <c r="S560" s="169"/>
      <c r="T560" s="169"/>
      <c r="U560" s="169"/>
      <c r="V560" s="169"/>
      <c r="W560" s="169"/>
      <c r="X560" s="169"/>
      <c r="Y560" s="169"/>
      <c r="Z560" s="169"/>
      <c r="AA560" s="169"/>
      <c r="AB560" s="169"/>
      <c r="AC560" s="169"/>
      <c r="AD560" s="169"/>
      <c r="AE560" s="169"/>
      <c r="AF560" s="169"/>
      <c r="AG560" s="169"/>
      <c r="AH560" s="169"/>
      <c r="AI560" s="169"/>
      <c r="AJ560" s="169"/>
      <c r="AK560" s="169"/>
      <c r="AL560" s="169"/>
      <c r="AM560" s="169"/>
      <c r="AN560" s="169"/>
      <c r="AO560" s="169"/>
      <c r="AP560" s="169"/>
      <c r="AQ560" s="169"/>
      <c r="AR560" s="169"/>
      <c r="AS560" s="169"/>
      <c r="AT560" s="169"/>
      <c r="AU560" s="169"/>
      <c r="AV560" s="169"/>
      <c r="AW560" s="169"/>
      <c r="AX560" s="169"/>
      <c r="AY560" s="169"/>
      <c r="AZ560" s="169"/>
      <c r="BA560" s="169"/>
      <c r="BB560" s="169"/>
      <c r="BC560" s="169"/>
      <c r="BD560" s="169"/>
      <c r="BE560" s="169"/>
      <c r="BF560" s="169"/>
      <c r="BG560" s="169"/>
      <c r="BH560" s="169"/>
      <c r="BI560" s="169"/>
      <c r="BJ560" s="169"/>
      <c r="BK560" s="169"/>
      <c r="BL560" s="169"/>
      <c r="BM560" s="169"/>
      <c r="BN560" s="169"/>
      <c r="BO560" s="169"/>
      <c r="BP560" s="169"/>
      <c r="BQ560" s="169"/>
      <c r="BR560" s="169"/>
      <c r="BS560" s="169"/>
      <c r="BT560" s="169"/>
      <c r="BU560" s="169"/>
      <c r="BV560" s="169"/>
      <c r="BW560" s="169"/>
      <c r="BX560" s="169"/>
      <c r="BY560" s="169"/>
      <c r="BZ560" s="169"/>
      <c r="CA560" s="169"/>
      <c r="CB560" s="169"/>
      <c r="CC560" s="169"/>
      <c r="CD560" s="169"/>
      <c r="CE560" s="169"/>
      <c r="CF560" s="169"/>
      <c r="CG560" s="169"/>
      <c r="CH560" s="169"/>
      <c r="CI560" s="169"/>
      <c r="CJ560" s="169"/>
      <c r="CK560" s="169"/>
      <c r="CL560" s="169"/>
      <c r="CM560" s="169"/>
      <c r="CN560" s="169"/>
      <c r="CO560" s="169"/>
      <c r="CP560" s="169"/>
      <c r="CQ560" s="169"/>
      <c r="CR560" s="169"/>
      <c r="CS560" s="169"/>
      <c r="CT560" s="169"/>
      <c r="CU560" s="169"/>
      <c r="CV560" s="169"/>
      <c r="CW560" s="169"/>
      <c r="CX560" s="169"/>
      <c r="CY560" s="169"/>
      <c r="CZ560" s="169"/>
      <c r="DA560" s="169"/>
      <c r="DB560" s="169"/>
      <c r="DC560" s="169"/>
      <c r="DD560" s="169"/>
      <c r="DE560" s="169"/>
      <c r="DF560" s="169"/>
      <c r="DG560" s="169"/>
      <c r="DH560" s="169"/>
      <c r="DI560" s="169"/>
      <c r="DJ560" s="169"/>
      <c r="DK560" s="169"/>
      <c r="DL560" s="169"/>
      <c r="DM560" s="169"/>
      <c r="DN560" s="169"/>
      <c r="DO560" s="169"/>
      <c r="DP560" s="169"/>
      <c r="DQ560" s="169"/>
      <c r="DR560" s="169"/>
      <c r="DS560" s="169"/>
      <c r="DT560" s="169"/>
      <c r="DU560" s="169"/>
      <c r="DV560" s="169"/>
      <c r="DW560" s="169"/>
      <c r="DX560" s="169"/>
      <c r="DY560" s="169"/>
      <c r="DZ560" s="169"/>
      <c r="EA560" s="169"/>
      <c r="EB560" s="169"/>
      <c r="EC560" s="169"/>
      <c r="ED560" s="169"/>
      <c r="EE560" s="169"/>
      <c r="EF560" s="169"/>
      <c r="EG560" s="169"/>
      <c r="EH560" s="169"/>
      <c r="EI560" s="169"/>
      <c r="EJ560" s="169"/>
      <c r="EK560" s="169"/>
      <c r="EL560" s="169"/>
      <c r="EM560" s="169"/>
      <c r="EN560" s="169"/>
      <c r="EO560" s="169"/>
      <c r="EP560" s="169"/>
      <c r="EQ560" s="169"/>
      <c r="ER560" s="169"/>
      <c r="ES560" s="169"/>
      <c r="ET560" s="169"/>
      <c r="EU560" s="169"/>
      <c r="EV560" s="169"/>
      <c r="EW560" s="169"/>
      <c r="EX560" s="169"/>
      <c r="EY560" s="169"/>
      <c r="EZ560" s="169"/>
      <c r="FA560" s="169"/>
      <c r="FB560" s="169"/>
      <c r="FC560" s="169"/>
      <c r="FD560" s="169"/>
      <c r="FE560" s="169"/>
      <c r="FF560" s="169"/>
      <c r="FG560" s="169"/>
      <c r="FH560" s="169"/>
      <c r="FI560" s="169"/>
      <c r="FJ560" s="169"/>
      <c r="FK560" s="169"/>
      <c r="FL560" s="169"/>
      <c r="FM560" s="169"/>
      <c r="FN560" s="169"/>
      <c r="FO560" s="169"/>
      <c r="FP560" s="169"/>
      <c r="FQ560" s="169"/>
      <c r="FR560" s="169"/>
      <c r="FS560" s="169"/>
      <c r="FT560" s="169"/>
      <c r="FU560" s="169"/>
      <c r="FV560" s="169"/>
      <c r="FW560" s="169"/>
      <c r="FX560" s="169"/>
      <c r="FY560" s="169"/>
      <c r="FZ560" s="169"/>
      <c r="GA560" s="169"/>
      <c r="GB560" s="169"/>
      <c r="GC560" s="169"/>
      <c r="GD560" s="169"/>
      <c r="GE560" s="169"/>
      <c r="GF560" s="169"/>
      <c r="GG560" s="169"/>
      <c r="GH560" s="169"/>
      <c r="GI560" s="169"/>
      <c r="GJ560" s="169"/>
    </row>
    <row r="561" spans="1:192" s="93" customFormat="1" ht="12.75" customHeight="1">
      <c r="A561" s="68"/>
      <c r="B561" s="677"/>
      <c r="C561" s="169"/>
      <c r="D561" s="169"/>
      <c r="E561" s="169"/>
      <c r="F561" s="169"/>
      <c r="G561" s="169"/>
      <c r="H561" s="169"/>
      <c r="I561" s="169"/>
      <c r="J561" s="169"/>
      <c r="K561" s="169"/>
      <c r="L561" s="169"/>
      <c r="M561" s="169"/>
      <c r="N561" s="169"/>
      <c r="O561" s="169"/>
      <c r="P561" s="169"/>
      <c r="Q561" s="169"/>
      <c r="R561" s="169"/>
      <c r="S561" s="169"/>
      <c r="T561" s="169"/>
      <c r="U561" s="169"/>
      <c r="V561" s="169"/>
      <c r="W561" s="169"/>
      <c r="X561" s="169"/>
      <c r="Y561" s="169"/>
      <c r="Z561" s="169"/>
      <c r="AA561" s="169"/>
      <c r="AB561" s="169"/>
      <c r="AC561" s="169"/>
      <c r="AD561" s="169"/>
      <c r="AE561" s="169"/>
      <c r="AF561" s="169"/>
      <c r="AG561" s="169"/>
      <c r="AH561" s="169"/>
      <c r="AI561" s="169"/>
      <c r="AJ561" s="169"/>
      <c r="AK561" s="169"/>
      <c r="AL561" s="169"/>
      <c r="AM561" s="169"/>
      <c r="AN561" s="169"/>
      <c r="AO561" s="169"/>
      <c r="AP561" s="169"/>
      <c r="AQ561" s="169"/>
      <c r="AR561" s="169"/>
      <c r="AS561" s="169"/>
      <c r="AT561" s="169"/>
      <c r="AU561" s="169"/>
      <c r="AV561" s="169"/>
      <c r="AW561" s="169"/>
      <c r="AX561" s="169"/>
      <c r="AY561" s="169"/>
      <c r="AZ561" s="169"/>
      <c r="BA561" s="169"/>
      <c r="BB561" s="169"/>
      <c r="BC561" s="169"/>
      <c r="BD561" s="169"/>
      <c r="BE561" s="169"/>
      <c r="BF561" s="169"/>
      <c r="BG561" s="169"/>
      <c r="BH561" s="169"/>
      <c r="BI561" s="169"/>
      <c r="BJ561" s="169"/>
      <c r="BK561" s="169"/>
      <c r="BL561" s="169"/>
      <c r="BM561" s="169"/>
      <c r="BN561" s="169"/>
      <c r="BO561" s="169"/>
      <c r="BP561" s="169"/>
      <c r="BQ561" s="169"/>
      <c r="BR561" s="169"/>
      <c r="BS561" s="169"/>
      <c r="BT561" s="169"/>
      <c r="BU561" s="169"/>
      <c r="BV561" s="169"/>
      <c r="BW561" s="169"/>
      <c r="BX561" s="169"/>
      <c r="BY561" s="169"/>
      <c r="BZ561" s="169"/>
      <c r="CA561" s="169"/>
      <c r="CB561" s="169"/>
      <c r="CC561" s="169"/>
      <c r="CD561" s="169"/>
      <c r="CE561" s="169"/>
      <c r="CF561" s="169"/>
      <c r="CG561" s="169"/>
      <c r="CH561" s="169"/>
      <c r="CI561" s="169"/>
      <c r="CJ561" s="169"/>
      <c r="CK561" s="169"/>
      <c r="CL561" s="169"/>
      <c r="CM561" s="169"/>
      <c r="CN561" s="169"/>
      <c r="CO561" s="169"/>
      <c r="CP561" s="169"/>
      <c r="CQ561" s="169"/>
      <c r="CR561" s="169"/>
      <c r="CS561" s="169"/>
      <c r="CT561" s="169"/>
      <c r="CU561" s="169"/>
      <c r="CV561" s="169"/>
      <c r="CW561" s="169"/>
      <c r="CX561" s="169"/>
      <c r="CY561" s="169"/>
      <c r="CZ561" s="169"/>
      <c r="DA561" s="169"/>
      <c r="DB561" s="169"/>
      <c r="DC561" s="169"/>
      <c r="DD561" s="169"/>
      <c r="DE561" s="169"/>
      <c r="DF561" s="169"/>
      <c r="DG561" s="169"/>
      <c r="DH561" s="169"/>
      <c r="DI561" s="169"/>
      <c r="DJ561" s="169"/>
      <c r="DK561" s="169"/>
      <c r="DL561" s="169"/>
      <c r="DM561" s="169"/>
      <c r="DN561" s="169"/>
      <c r="DO561" s="169"/>
      <c r="DP561" s="169"/>
      <c r="DQ561" s="169"/>
      <c r="DR561" s="169"/>
      <c r="DS561" s="169"/>
      <c r="DT561" s="169"/>
      <c r="DU561" s="169"/>
      <c r="DV561" s="169"/>
      <c r="DW561" s="169"/>
      <c r="DX561" s="169"/>
      <c r="DY561" s="169"/>
      <c r="DZ561" s="169"/>
      <c r="EA561" s="169"/>
      <c r="EB561" s="169"/>
      <c r="EC561" s="169"/>
      <c r="ED561" s="169"/>
      <c r="EE561" s="169"/>
      <c r="EF561" s="169"/>
      <c r="EG561" s="169"/>
      <c r="EH561" s="169"/>
      <c r="EI561" s="169"/>
      <c r="EJ561" s="169"/>
      <c r="EK561" s="169"/>
      <c r="EL561" s="169"/>
      <c r="EM561" s="169"/>
      <c r="EN561" s="169"/>
      <c r="EO561" s="169"/>
      <c r="EP561" s="169"/>
      <c r="EQ561" s="169"/>
      <c r="ER561" s="169"/>
      <c r="ES561" s="169"/>
      <c r="ET561" s="169"/>
      <c r="EU561" s="169"/>
      <c r="EV561" s="169"/>
      <c r="EW561" s="169"/>
      <c r="EX561" s="169"/>
      <c r="EY561" s="169"/>
      <c r="EZ561" s="169"/>
      <c r="FA561" s="169"/>
      <c r="FB561" s="169"/>
      <c r="FC561" s="169"/>
      <c r="FD561" s="169"/>
      <c r="FE561" s="169"/>
      <c r="FF561" s="169"/>
      <c r="FG561" s="169"/>
      <c r="FH561" s="169"/>
      <c r="FI561" s="169"/>
      <c r="FJ561" s="169"/>
      <c r="FK561" s="169"/>
      <c r="FL561" s="169"/>
      <c r="FM561" s="169"/>
      <c r="FN561" s="169"/>
      <c r="FO561" s="169"/>
      <c r="FP561" s="169"/>
      <c r="FQ561" s="169"/>
      <c r="FR561" s="169"/>
      <c r="FS561" s="169"/>
      <c r="FT561" s="169"/>
      <c r="FU561" s="169"/>
      <c r="FV561" s="169"/>
      <c r="FW561" s="169"/>
      <c r="FX561" s="169"/>
      <c r="FY561" s="169"/>
      <c r="FZ561" s="169"/>
      <c r="GA561" s="169"/>
      <c r="GB561" s="169"/>
      <c r="GC561" s="169"/>
      <c r="GD561" s="169"/>
      <c r="GE561" s="169"/>
      <c r="GF561" s="169"/>
      <c r="GG561" s="169"/>
      <c r="GH561" s="169"/>
      <c r="GI561" s="169"/>
      <c r="GJ561" s="169"/>
    </row>
    <row r="562" spans="1:192" s="93" customFormat="1" ht="12.75" customHeight="1">
      <c r="A562" s="68"/>
      <c r="B562" s="677"/>
      <c r="C562" s="169"/>
      <c r="D562" s="169"/>
      <c r="E562" s="169"/>
      <c r="F562" s="169"/>
      <c r="G562" s="169"/>
      <c r="H562" s="169"/>
      <c r="I562" s="169"/>
      <c r="J562" s="169"/>
      <c r="K562" s="169"/>
      <c r="L562" s="169"/>
      <c r="M562" s="169"/>
      <c r="N562" s="169"/>
      <c r="O562" s="169"/>
      <c r="P562" s="169"/>
      <c r="Q562" s="169"/>
      <c r="R562" s="169"/>
      <c r="S562" s="169"/>
      <c r="T562" s="169"/>
      <c r="U562" s="169"/>
      <c r="V562" s="169"/>
      <c r="W562" s="169"/>
      <c r="X562" s="169"/>
      <c r="Y562" s="169"/>
      <c r="Z562" s="169"/>
      <c r="AA562" s="169"/>
      <c r="AB562" s="169"/>
      <c r="AC562" s="169"/>
      <c r="AD562" s="169"/>
      <c r="AE562" s="169"/>
      <c r="AF562" s="169"/>
      <c r="AG562" s="169"/>
      <c r="AH562" s="169"/>
      <c r="AI562" s="169"/>
      <c r="AJ562" s="169"/>
      <c r="AK562" s="169"/>
      <c r="AL562" s="169"/>
      <c r="AM562" s="169"/>
      <c r="AN562" s="169"/>
      <c r="AO562" s="169"/>
      <c r="AP562" s="169"/>
      <c r="AQ562" s="169"/>
      <c r="AR562" s="169"/>
      <c r="AS562" s="169"/>
      <c r="AT562" s="169"/>
      <c r="AU562" s="169"/>
      <c r="AV562" s="169"/>
      <c r="AW562" s="169"/>
      <c r="AX562" s="169"/>
      <c r="AY562" s="169"/>
      <c r="AZ562" s="169"/>
      <c r="BA562" s="169"/>
      <c r="BB562" s="169"/>
      <c r="BC562" s="169"/>
      <c r="BD562" s="169"/>
      <c r="BE562" s="169"/>
      <c r="BF562" s="169"/>
      <c r="BG562" s="169"/>
      <c r="BH562" s="169"/>
      <c r="BI562" s="169"/>
      <c r="BJ562" s="169"/>
      <c r="BK562" s="169"/>
      <c r="BL562" s="169"/>
      <c r="BM562" s="169"/>
      <c r="BN562" s="169"/>
      <c r="BO562" s="169"/>
      <c r="BP562" s="169"/>
      <c r="BQ562" s="169"/>
      <c r="BR562" s="169"/>
      <c r="BS562" s="169"/>
      <c r="BT562" s="169"/>
      <c r="BU562" s="169"/>
      <c r="BV562" s="169"/>
      <c r="BW562" s="169"/>
      <c r="BX562" s="169"/>
      <c r="BY562" s="169"/>
      <c r="BZ562" s="169"/>
      <c r="CA562" s="169"/>
      <c r="CB562" s="169"/>
      <c r="CC562" s="169"/>
      <c r="CD562" s="169"/>
      <c r="CE562" s="169"/>
      <c r="CF562" s="169"/>
      <c r="CG562" s="169"/>
      <c r="CH562" s="169"/>
      <c r="CI562" s="169"/>
      <c r="CJ562" s="169"/>
      <c r="CK562" s="169"/>
      <c r="CL562" s="169"/>
      <c r="CM562" s="169"/>
      <c r="CN562" s="169"/>
      <c r="CO562" s="169"/>
      <c r="CP562" s="169"/>
      <c r="CQ562" s="169"/>
      <c r="CR562" s="169"/>
      <c r="CS562" s="169"/>
      <c r="CT562" s="169"/>
      <c r="CU562" s="169"/>
      <c r="CV562" s="169"/>
      <c r="CW562" s="169"/>
      <c r="CX562" s="169"/>
      <c r="CY562" s="169"/>
      <c r="CZ562" s="169"/>
      <c r="DA562" s="169"/>
      <c r="DB562" s="169"/>
      <c r="DC562" s="169"/>
      <c r="DD562" s="169"/>
      <c r="DE562" s="169"/>
      <c r="DF562" s="169"/>
      <c r="DG562" s="169"/>
      <c r="DH562" s="169"/>
      <c r="DI562" s="169"/>
      <c r="DJ562" s="169"/>
      <c r="DK562" s="169"/>
      <c r="DL562" s="169"/>
      <c r="DM562" s="169"/>
      <c r="DN562" s="169"/>
      <c r="DO562" s="169"/>
      <c r="DP562" s="169"/>
      <c r="DQ562" s="169"/>
      <c r="DR562" s="169"/>
      <c r="DS562" s="169"/>
      <c r="DT562" s="169"/>
      <c r="DU562" s="169"/>
      <c r="DV562" s="169"/>
      <c r="DW562" s="169"/>
      <c r="DX562" s="169"/>
      <c r="DY562" s="169"/>
      <c r="DZ562" s="169"/>
      <c r="EA562" s="169"/>
      <c r="EB562" s="169"/>
      <c r="EC562" s="169"/>
      <c r="ED562" s="169"/>
      <c r="EE562" s="169"/>
      <c r="EF562" s="169"/>
      <c r="EG562" s="169"/>
      <c r="EH562" s="169"/>
      <c r="EI562" s="169"/>
      <c r="EJ562" s="169"/>
      <c r="EK562" s="169"/>
      <c r="EL562" s="169"/>
      <c r="EM562" s="169"/>
      <c r="EN562" s="169"/>
      <c r="EO562" s="169"/>
      <c r="EP562" s="169"/>
      <c r="EQ562" s="169"/>
      <c r="ER562" s="169"/>
      <c r="ES562" s="169"/>
      <c r="ET562" s="169"/>
      <c r="EU562" s="169"/>
      <c r="EV562" s="169"/>
      <c r="EW562" s="169"/>
      <c r="EX562" s="169"/>
      <c r="EY562" s="169"/>
      <c r="EZ562" s="169"/>
      <c r="FA562" s="169"/>
      <c r="FB562" s="169"/>
      <c r="FC562" s="169"/>
      <c r="FD562" s="169"/>
      <c r="FE562" s="169"/>
      <c r="FF562" s="169"/>
      <c r="FG562" s="169"/>
      <c r="FH562" s="169"/>
      <c r="FI562" s="169"/>
      <c r="FJ562" s="169"/>
      <c r="FK562" s="169"/>
      <c r="FL562" s="169"/>
      <c r="FM562" s="169"/>
      <c r="FN562" s="169"/>
      <c r="FO562" s="169"/>
      <c r="FP562" s="169"/>
      <c r="FQ562" s="169"/>
      <c r="FR562" s="169"/>
      <c r="FS562" s="169"/>
      <c r="FT562" s="169"/>
      <c r="FU562" s="169"/>
      <c r="FV562" s="169"/>
      <c r="FW562" s="169"/>
      <c r="FX562" s="169"/>
      <c r="FY562" s="169"/>
      <c r="FZ562" s="169"/>
      <c r="GA562" s="169"/>
      <c r="GB562" s="169"/>
      <c r="GC562" s="169"/>
      <c r="GD562" s="169"/>
      <c r="GE562" s="169"/>
      <c r="GF562" s="169"/>
      <c r="GG562" s="169"/>
      <c r="GH562" s="169"/>
      <c r="GI562" s="169"/>
      <c r="GJ562" s="169"/>
    </row>
    <row r="563" spans="1:192" s="93" customFormat="1" ht="12.75" customHeight="1">
      <c r="A563" s="68"/>
      <c r="B563" s="677"/>
      <c r="C563" s="169"/>
      <c r="D563" s="169"/>
      <c r="E563" s="169"/>
      <c r="F563" s="169"/>
      <c r="G563" s="169"/>
      <c r="H563" s="169"/>
      <c r="I563" s="169"/>
      <c r="J563" s="169"/>
      <c r="K563" s="169"/>
      <c r="L563" s="169"/>
      <c r="M563" s="169"/>
      <c r="N563" s="169"/>
      <c r="O563" s="169"/>
      <c r="P563" s="169"/>
      <c r="Q563" s="169"/>
      <c r="R563" s="169"/>
      <c r="S563" s="169"/>
      <c r="T563" s="169"/>
      <c r="U563" s="169"/>
      <c r="V563" s="169"/>
      <c r="W563" s="169"/>
      <c r="X563" s="169"/>
      <c r="Y563" s="169"/>
      <c r="Z563" s="169"/>
      <c r="AA563" s="169"/>
      <c r="AB563" s="169"/>
      <c r="AC563" s="169"/>
      <c r="AD563" s="169"/>
      <c r="AE563" s="169"/>
      <c r="AF563" s="169"/>
      <c r="AG563" s="169"/>
      <c r="AH563" s="169"/>
      <c r="AI563" s="169"/>
      <c r="AJ563" s="169"/>
      <c r="AK563" s="169"/>
      <c r="AL563" s="169"/>
      <c r="AM563" s="169"/>
      <c r="AN563" s="169"/>
      <c r="AO563" s="169"/>
      <c r="AP563" s="169"/>
      <c r="AQ563" s="169"/>
      <c r="AR563" s="169"/>
      <c r="AS563" s="169"/>
      <c r="AT563" s="169"/>
      <c r="AU563" s="169"/>
      <c r="AV563" s="169"/>
      <c r="AW563" s="169"/>
      <c r="AX563" s="169"/>
      <c r="AY563" s="169"/>
      <c r="AZ563" s="169"/>
      <c r="BA563" s="169"/>
      <c r="BB563" s="169"/>
      <c r="BC563" s="169"/>
      <c r="BD563" s="169"/>
      <c r="BE563" s="169"/>
      <c r="BF563" s="169"/>
      <c r="BG563" s="169"/>
      <c r="BH563" s="169"/>
      <c r="BI563" s="169"/>
      <c r="BJ563" s="169"/>
      <c r="BK563" s="169"/>
      <c r="BL563" s="169"/>
      <c r="BM563" s="169"/>
      <c r="BN563" s="169"/>
      <c r="BO563" s="169"/>
      <c r="BP563" s="169"/>
      <c r="BQ563" s="169"/>
      <c r="BR563" s="169"/>
      <c r="BS563" s="169"/>
      <c r="BT563" s="169"/>
      <c r="BU563" s="169"/>
      <c r="BV563" s="169"/>
      <c r="BW563" s="169"/>
      <c r="BX563" s="169"/>
      <c r="BY563" s="169"/>
      <c r="BZ563" s="169"/>
      <c r="CA563" s="169"/>
      <c r="CB563" s="169"/>
      <c r="CC563" s="169"/>
      <c r="CD563" s="169"/>
      <c r="CE563" s="169"/>
      <c r="CF563" s="169"/>
      <c r="CG563" s="169"/>
      <c r="CH563" s="169"/>
      <c r="CI563" s="169"/>
      <c r="CJ563" s="169"/>
      <c r="CK563" s="169"/>
      <c r="CL563" s="169"/>
      <c r="CM563" s="169"/>
      <c r="CN563" s="169"/>
      <c r="CO563" s="169"/>
      <c r="CP563" s="169"/>
      <c r="CQ563" s="169"/>
      <c r="CR563" s="169"/>
      <c r="CS563" s="169"/>
      <c r="CT563" s="169"/>
      <c r="CU563" s="169"/>
      <c r="CV563" s="169"/>
      <c r="CW563" s="169"/>
      <c r="CX563" s="169"/>
      <c r="CY563" s="169"/>
      <c r="CZ563" s="169"/>
      <c r="DA563" s="169"/>
      <c r="DB563" s="169"/>
      <c r="DC563" s="169"/>
      <c r="DD563" s="169"/>
      <c r="DE563" s="169"/>
      <c r="DF563" s="169"/>
      <c r="DG563" s="169"/>
      <c r="DH563" s="169"/>
      <c r="DI563" s="169"/>
      <c r="DJ563" s="169"/>
      <c r="DK563" s="169"/>
      <c r="DL563" s="169"/>
      <c r="DM563" s="169"/>
      <c r="DN563" s="169"/>
      <c r="DO563" s="169"/>
      <c r="DP563" s="169"/>
      <c r="DQ563" s="169"/>
      <c r="DR563" s="169"/>
      <c r="DS563" s="169"/>
      <c r="DT563" s="169"/>
      <c r="DU563" s="169"/>
      <c r="DV563" s="169"/>
      <c r="DW563" s="169"/>
      <c r="DX563" s="169"/>
      <c r="DY563" s="169"/>
      <c r="DZ563" s="169"/>
      <c r="EA563" s="169"/>
      <c r="EB563" s="169"/>
      <c r="EC563" s="169"/>
      <c r="ED563" s="169"/>
      <c r="EE563" s="169"/>
      <c r="EF563" s="169"/>
      <c r="EG563" s="169"/>
      <c r="EH563" s="169"/>
      <c r="EI563" s="169"/>
      <c r="EJ563" s="169"/>
      <c r="EK563" s="169"/>
      <c r="EL563" s="169"/>
      <c r="EM563" s="169"/>
      <c r="EN563" s="169"/>
      <c r="EO563" s="169"/>
      <c r="EP563" s="169"/>
      <c r="EQ563" s="169"/>
      <c r="ER563" s="169"/>
      <c r="ES563" s="169"/>
      <c r="ET563" s="169"/>
      <c r="EU563" s="169"/>
      <c r="EV563" s="169"/>
      <c r="EW563" s="169"/>
      <c r="EX563" s="169"/>
      <c r="EY563" s="169"/>
      <c r="EZ563" s="169"/>
      <c r="FA563" s="169"/>
      <c r="FB563" s="169"/>
      <c r="FC563" s="169"/>
      <c r="FD563" s="169"/>
      <c r="FE563" s="169"/>
      <c r="FF563" s="169"/>
      <c r="FG563" s="169"/>
      <c r="FH563" s="169"/>
      <c r="FI563" s="169"/>
      <c r="FJ563" s="169"/>
      <c r="FK563" s="169"/>
      <c r="FL563" s="169"/>
      <c r="FM563" s="169"/>
      <c r="FN563" s="169"/>
      <c r="FO563" s="169"/>
      <c r="FP563" s="169"/>
      <c r="FQ563" s="169"/>
      <c r="FR563" s="169"/>
      <c r="FS563" s="169"/>
      <c r="FT563" s="169"/>
      <c r="FU563" s="169"/>
      <c r="FV563" s="169"/>
      <c r="FW563" s="169"/>
      <c r="FX563" s="169"/>
      <c r="FY563" s="169"/>
      <c r="FZ563" s="169"/>
      <c r="GA563" s="169"/>
      <c r="GB563" s="169"/>
      <c r="GC563" s="169"/>
      <c r="GD563" s="169"/>
      <c r="GE563" s="169"/>
      <c r="GF563" s="169"/>
      <c r="GG563" s="169"/>
      <c r="GH563" s="169"/>
      <c r="GI563" s="169"/>
      <c r="GJ563" s="169"/>
    </row>
    <row r="564" spans="1:192" s="93" customFormat="1" ht="12.75" customHeight="1">
      <c r="A564" s="68"/>
      <c r="B564" s="677"/>
      <c r="C564" s="169"/>
      <c r="D564" s="169"/>
      <c r="E564" s="169"/>
      <c r="F564" s="169"/>
      <c r="G564" s="169"/>
      <c r="H564" s="169"/>
      <c r="I564" s="169"/>
      <c r="J564" s="169"/>
      <c r="K564" s="169"/>
      <c r="L564" s="169"/>
      <c r="M564" s="169"/>
      <c r="N564" s="169"/>
      <c r="O564" s="169"/>
      <c r="P564" s="169"/>
      <c r="Q564" s="169"/>
      <c r="R564" s="169"/>
      <c r="S564" s="169"/>
      <c r="T564" s="169"/>
      <c r="U564" s="169"/>
      <c r="V564" s="169"/>
      <c r="W564" s="169"/>
      <c r="X564" s="169"/>
      <c r="Y564" s="169"/>
      <c r="Z564" s="169"/>
      <c r="AA564" s="169"/>
      <c r="AB564" s="169"/>
      <c r="AC564" s="169"/>
      <c r="AD564" s="169"/>
      <c r="AE564" s="169"/>
      <c r="AF564" s="169"/>
      <c r="AG564" s="169"/>
      <c r="AH564" s="169"/>
      <c r="AI564" s="169"/>
      <c r="AJ564" s="169"/>
      <c r="AK564" s="169"/>
      <c r="AL564" s="169"/>
      <c r="AM564" s="169"/>
      <c r="AN564" s="169"/>
      <c r="AO564" s="169"/>
      <c r="AP564" s="169"/>
      <c r="AQ564" s="169"/>
      <c r="AR564" s="169"/>
      <c r="AS564" s="169"/>
      <c r="AT564" s="169"/>
      <c r="AU564" s="169"/>
      <c r="AV564" s="169"/>
      <c r="AW564" s="169"/>
      <c r="AX564" s="169"/>
      <c r="AY564" s="169"/>
      <c r="AZ564" s="169"/>
      <c r="BA564" s="169"/>
      <c r="BB564" s="169"/>
      <c r="BC564" s="169"/>
      <c r="BD564" s="169"/>
      <c r="BE564" s="169"/>
      <c r="BF564" s="169"/>
      <c r="BG564" s="169"/>
      <c r="BH564" s="169"/>
      <c r="BI564" s="169"/>
      <c r="BJ564" s="169"/>
      <c r="BK564" s="169"/>
      <c r="BL564" s="169"/>
      <c r="BM564" s="169"/>
      <c r="BN564" s="169"/>
      <c r="BO564" s="169"/>
      <c r="BP564" s="169"/>
      <c r="BQ564" s="169"/>
      <c r="BR564" s="169"/>
      <c r="BS564" s="169"/>
      <c r="BT564" s="169"/>
      <c r="BU564" s="169"/>
      <c r="BV564" s="169"/>
      <c r="BW564" s="169"/>
      <c r="BX564" s="169"/>
      <c r="BY564" s="169"/>
      <c r="BZ564" s="169"/>
      <c r="CA564" s="169"/>
      <c r="CB564" s="169"/>
      <c r="CC564" s="169"/>
      <c r="CD564" s="169"/>
      <c r="CE564" s="169"/>
      <c r="CF564" s="169"/>
      <c r="CG564" s="169"/>
      <c r="CH564" s="169"/>
      <c r="CI564" s="169"/>
      <c r="CJ564" s="169"/>
      <c r="CK564" s="169"/>
      <c r="CL564" s="169"/>
      <c r="CM564" s="169"/>
      <c r="CN564" s="169"/>
      <c r="CO564" s="169"/>
      <c r="CP564" s="169"/>
      <c r="CQ564" s="169"/>
      <c r="CR564" s="169"/>
      <c r="CS564" s="169"/>
      <c r="CT564" s="169"/>
      <c r="CU564" s="169"/>
      <c r="CV564" s="169"/>
      <c r="CW564" s="169"/>
      <c r="CX564" s="169"/>
      <c r="CY564" s="169"/>
      <c r="CZ564" s="169"/>
      <c r="DA564" s="169"/>
      <c r="DB564" s="169"/>
      <c r="DC564" s="169"/>
      <c r="DD564" s="169"/>
      <c r="DE564" s="169"/>
      <c r="DF564" s="169"/>
      <c r="DG564" s="169"/>
      <c r="DH564" s="169"/>
      <c r="DI564" s="169"/>
      <c r="DJ564" s="169"/>
      <c r="DK564" s="169"/>
      <c r="DL564" s="169"/>
      <c r="DM564" s="169"/>
      <c r="DN564" s="169"/>
      <c r="DO564" s="169"/>
      <c r="DP564" s="169"/>
      <c r="DQ564" s="169"/>
      <c r="DR564" s="169"/>
      <c r="DS564" s="169"/>
      <c r="DT564" s="169"/>
      <c r="DU564" s="169"/>
      <c r="DV564" s="169"/>
      <c r="DW564" s="169"/>
      <c r="DX564" s="169"/>
      <c r="DY564" s="169"/>
      <c r="DZ564" s="169"/>
      <c r="EA564" s="169"/>
      <c r="EB564" s="169"/>
      <c r="EC564" s="169"/>
      <c r="ED564" s="169"/>
      <c r="EE564" s="169"/>
      <c r="EF564" s="169"/>
      <c r="EG564" s="169"/>
      <c r="EH564" s="169"/>
      <c r="EI564" s="169"/>
      <c r="EJ564" s="169"/>
      <c r="EK564" s="169"/>
      <c r="EL564" s="169"/>
      <c r="EM564" s="169"/>
      <c r="EN564" s="169"/>
      <c r="EO564" s="169"/>
      <c r="EP564" s="169"/>
      <c r="EQ564" s="169"/>
      <c r="ER564" s="169"/>
      <c r="ES564" s="169"/>
      <c r="ET564" s="169"/>
      <c r="EU564" s="169"/>
      <c r="EV564" s="169"/>
      <c r="EW564" s="169"/>
      <c r="EX564" s="169"/>
      <c r="EY564" s="169"/>
      <c r="EZ564" s="169"/>
      <c r="FA564" s="169"/>
      <c r="FB564" s="169"/>
      <c r="FC564" s="169"/>
      <c r="FD564" s="169"/>
      <c r="FE564" s="169"/>
      <c r="FF564" s="169"/>
      <c r="FG564" s="169"/>
      <c r="FH564" s="169"/>
      <c r="FI564" s="169"/>
      <c r="FJ564" s="169"/>
      <c r="FK564" s="169"/>
      <c r="FL564" s="169"/>
      <c r="FM564" s="169"/>
      <c r="FN564" s="169"/>
      <c r="FO564" s="169"/>
      <c r="FP564" s="169"/>
      <c r="FQ564" s="169"/>
      <c r="FR564" s="169"/>
      <c r="FS564" s="169"/>
      <c r="FT564" s="169"/>
      <c r="FU564" s="169"/>
      <c r="FV564" s="169"/>
      <c r="FW564" s="169"/>
      <c r="FX564" s="169"/>
      <c r="FY564" s="169"/>
      <c r="FZ564" s="169"/>
      <c r="GA564" s="169"/>
      <c r="GB564" s="169"/>
      <c r="GC564" s="169"/>
      <c r="GD564" s="169"/>
      <c r="GE564" s="169"/>
      <c r="GF564" s="169"/>
      <c r="GG564" s="169"/>
      <c r="GH564" s="169"/>
      <c r="GI564" s="169"/>
      <c r="GJ564" s="169"/>
    </row>
    <row r="565" spans="1:192" s="93" customFormat="1" ht="12.75" customHeight="1">
      <c r="A565" s="68"/>
      <c r="B565" s="677"/>
      <c r="C565" s="220"/>
      <c r="D565" s="169"/>
      <c r="E565" s="169"/>
      <c r="F565" s="169"/>
      <c r="G565" s="169"/>
      <c r="H565" s="220"/>
      <c r="I565" s="169"/>
      <c r="J565" s="169"/>
      <c r="K565" s="169"/>
      <c r="L565" s="169"/>
      <c r="M565" s="220"/>
      <c r="N565" s="169"/>
      <c r="O565" s="169"/>
      <c r="P565" s="169"/>
      <c r="Q565" s="169"/>
      <c r="R565" s="220"/>
      <c r="S565" s="169"/>
      <c r="T565" s="169"/>
      <c r="U565" s="169"/>
      <c r="V565" s="169"/>
      <c r="W565" s="220"/>
      <c r="X565" s="169"/>
      <c r="Y565" s="169"/>
      <c r="Z565" s="169"/>
      <c r="AA565" s="169"/>
      <c r="AB565" s="220"/>
      <c r="AC565" s="169"/>
      <c r="AD565" s="169"/>
      <c r="AE565" s="169"/>
      <c r="AF565" s="169"/>
      <c r="AG565" s="220"/>
      <c r="AH565" s="169"/>
      <c r="AI565" s="169"/>
      <c r="AJ565" s="169"/>
      <c r="AK565" s="169"/>
      <c r="AL565" s="220"/>
      <c r="AM565" s="169"/>
      <c r="AN565" s="169"/>
      <c r="AO565" s="169"/>
      <c r="AP565" s="169"/>
      <c r="AQ565" s="220"/>
      <c r="AR565" s="169"/>
      <c r="AS565" s="169"/>
      <c r="AT565" s="169"/>
      <c r="AU565" s="169"/>
      <c r="AV565" s="220"/>
      <c r="AW565" s="169"/>
      <c r="AX565" s="169"/>
      <c r="AY565" s="169"/>
      <c r="AZ565" s="169"/>
      <c r="BA565" s="220"/>
      <c r="BB565" s="169"/>
      <c r="BC565" s="169"/>
      <c r="BD565" s="169"/>
      <c r="BE565" s="169"/>
      <c r="BF565" s="220"/>
      <c r="BG565" s="169"/>
      <c r="BH565" s="169"/>
      <c r="BI565" s="169"/>
      <c r="BJ565" s="169"/>
      <c r="BK565" s="220"/>
      <c r="BL565" s="169"/>
      <c r="BM565" s="169"/>
      <c r="BN565" s="169"/>
      <c r="BO565" s="169"/>
      <c r="BP565" s="220"/>
      <c r="BQ565" s="169"/>
      <c r="BR565" s="169"/>
      <c r="BS565" s="169"/>
      <c r="BT565" s="169"/>
      <c r="BU565" s="220"/>
      <c r="BV565" s="169"/>
      <c r="BW565" s="169"/>
      <c r="BX565" s="169"/>
      <c r="BY565" s="169"/>
      <c r="BZ565" s="220"/>
      <c r="CA565" s="169"/>
      <c r="CB565" s="169"/>
      <c r="CC565" s="169"/>
      <c r="CD565" s="169"/>
      <c r="CE565" s="220"/>
      <c r="CF565" s="169"/>
      <c r="CG565" s="169"/>
      <c r="CH565" s="169"/>
      <c r="CI565" s="169"/>
      <c r="CJ565" s="220"/>
      <c r="CK565" s="169"/>
      <c r="CL565" s="169"/>
      <c r="CM565" s="169"/>
      <c r="CN565" s="169"/>
      <c r="CO565" s="220"/>
      <c r="CP565" s="169"/>
      <c r="CQ565" s="169"/>
      <c r="CR565" s="169"/>
      <c r="CS565" s="169"/>
      <c r="CT565" s="220"/>
      <c r="CU565" s="169"/>
      <c r="CV565" s="169"/>
      <c r="CW565" s="169"/>
      <c r="CX565" s="169"/>
      <c r="CY565" s="220"/>
      <c r="CZ565" s="169"/>
      <c r="DA565" s="169"/>
      <c r="DB565" s="169"/>
      <c r="DC565" s="169"/>
      <c r="DD565" s="220"/>
      <c r="DE565" s="169"/>
      <c r="DF565" s="169"/>
      <c r="DG565" s="169"/>
      <c r="DH565" s="169"/>
      <c r="DI565" s="220"/>
      <c r="DJ565" s="169"/>
      <c r="DK565" s="169"/>
      <c r="DL565" s="169"/>
      <c r="DM565" s="169"/>
      <c r="DN565" s="220"/>
      <c r="DO565" s="169"/>
      <c r="DP565" s="169"/>
      <c r="DQ565" s="169"/>
      <c r="DR565" s="169"/>
      <c r="DS565" s="220"/>
      <c r="DT565" s="169"/>
      <c r="DU565" s="169"/>
      <c r="DV565" s="169"/>
      <c r="DW565" s="169"/>
      <c r="DX565" s="220"/>
      <c r="DY565" s="169"/>
      <c r="DZ565" s="169"/>
      <c r="EA565" s="169"/>
      <c r="EB565" s="169"/>
      <c r="EC565" s="220"/>
      <c r="ED565" s="169"/>
      <c r="EE565" s="169"/>
      <c r="EF565" s="169"/>
      <c r="EG565" s="169"/>
      <c r="EH565" s="220"/>
      <c r="EI565" s="169"/>
      <c r="EJ565" s="169"/>
      <c r="EK565" s="169"/>
      <c r="EL565" s="169"/>
      <c r="EM565" s="220"/>
      <c r="EN565" s="169"/>
      <c r="EO565" s="169"/>
      <c r="EP565" s="169"/>
      <c r="EQ565" s="169"/>
      <c r="ER565" s="220"/>
      <c r="ES565" s="169"/>
      <c r="ET565" s="169"/>
      <c r="EU565" s="169"/>
      <c r="EV565" s="169"/>
      <c r="EW565" s="220"/>
      <c r="EX565" s="169"/>
      <c r="EY565" s="169"/>
      <c r="EZ565" s="169"/>
      <c r="FA565" s="169"/>
      <c r="FB565" s="220"/>
      <c r="FC565" s="169"/>
      <c r="FD565" s="169"/>
      <c r="FE565" s="169"/>
      <c r="FF565" s="169"/>
      <c r="FG565" s="220"/>
      <c r="FH565" s="169"/>
      <c r="FI565" s="169"/>
      <c r="FJ565" s="169"/>
      <c r="FK565" s="169"/>
      <c r="FL565" s="220"/>
      <c r="FM565" s="169"/>
      <c r="FN565" s="169"/>
      <c r="FO565" s="169"/>
      <c r="FP565" s="169"/>
      <c r="FQ565" s="220"/>
      <c r="FR565" s="169"/>
      <c r="FS565" s="169"/>
      <c r="FT565" s="169"/>
      <c r="FU565" s="169"/>
      <c r="FV565" s="220"/>
      <c r="FW565" s="169"/>
      <c r="FX565" s="169"/>
      <c r="FY565" s="169"/>
      <c r="FZ565" s="169"/>
      <c r="GA565" s="220"/>
      <c r="GB565" s="169"/>
      <c r="GC565" s="169"/>
      <c r="GD565" s="169"/>
      <c r="GE565" s="169"/>
      <c r="GF565" s="220"/>
      <c r="GG565" s="169"/>
      <c r="GH565" s="169"/>
      <c r="GI565" s="169"/>
      <c r="GJ565" s="169"/>
    </row>
    <row r="566" spans="1:192" s="93" customFormat="1" ht="12.75" customHeight="1">
      <c r="A566" s="68"/>
      <c r="B566" s="677"/>
      <c r="C566" s="230"/>
      <c r="D566" s="224"/>
      <c r="E566" s="224"/>
      <c r="F566" s="224"/>
      <c r="G566" s="224"/>
      <c r="H566" s="230"/>
      <c r="I566" s="224"/>
      <c r="J566" s="224"/>
      <c r="K566" s="224"/>
      <c r="L566" s="224"/>
      <c r="M566" s="230"/>
      <c r="N566" s="224"/>
      <c r="O566" s="224"/>
      <c r="P566" s="224"/>
      <c r="Q566" s="224"/>
      <c r="R566" s="230"/>
      <c r="S566" s="224"/>
      <c r="T566" s="224"/>
      <c r="U566" s="224"/>
      <c r="V566" s="224"/>
      <c r="W566" s="230"/>
      <c r="X566" s="224"/>
      <c r="Y566" s="224"/>
      <c r="Z566" s="224"/>
      <c r="AA566" s="224"/>
      <c r="AB566" s="230"/>
      <c r="AC566" s="224"/>
      <c r="AD566" s="224"/>
      <c r="AE566" s="224"/>
      <c r="AF566" s="224"/>
      <c r="AG566" s="230"/>
      <c r="AH566" s="224"/>
      <c r="AI566" s="224"/>
      <c r="AJ566" s="224"/>
      <c r="AK566" s="224"/>
      <c r="AL566" s="230"/>
      <c r="AM566" s="224"/>
      <c r="AN566" s="224"/>
      <c r="AO566" s="224"/>
      <c r="AP566" s="224"/>
      <c r="AQ566" s="230"/>
      <c r="AR566" s="224"/>
      <c r="AS566" s="224"/>
      <c r="AT566" s="224"/>
      <c r="AU566" s="224"/>
      <c r="AV566" s="230"/>
      <c r="AW566" s="224"/>
      <c r="AX566" s="224"/>
      <c r="AY566" s="224"/>
      <c r="AZ566" s="224"/>
      <c r="BA566" s="230"/>
      <c r="BB566" s="224"/>
      <c r="BC566" s="224"/>
      <c r="BD566" s="224"/>
      <c r="BE566" s="224"/>
      <c r="BF566" s="230"/>
      <c r="BG566" s="224"/>
      <c r="BH566" s="224"/>
      <c r="BI566" s="224"/>
      <c r="BJ566" s="224"/>
      <c r="BK566" s="230"/>
      <c r="BL566" s="224"/>
      <c r="BM566" s="224"/>
      <c r="BN566" s="224"/>
      <c r="BO566" s="224"/>
      <c r="BP566" s="230"/>
      <c r="BQ566" s="224"/>
      <c r="BR566" s="224"/>
      <c r="BS566" s="224"/>
      <c r="BT566" s="224"/>
      <c r="BU566" s="230"/>
      <c r="BV566" s="224"/>
      <c r="BW566" s="224"/>
      <c r="BX566" s="224"/>
      <c r="BY566" s="224"/>
      <c r="BZ566" s="230"/>
      <c r="CA566" s="224"/>
      <c r="CB566" s="224"/>
      <c r="CC566" s="224"/>
      <c r="CD566" s="224"/>
      <c r="CE566" s="230"/>
      <c r="CF566" s="224"/>
      <c r="CG566" s="224"/>
      <c r="CH566" s="224"/>
      <c r="CI566" s="224"/>
      <c r="CJ566" s="230"/>
      <c r="CK566" s="224"/>
      <c r="CL566" s="224"/>
      <c r="CM566" s="224"/>
      <c r="CN566" s="224"/>
      <c r="CO566" s="230"/>
      <c r="CP566" s="224"/>
      <c r="CQ566" s="224"/>
      <c r="CR566" s="224"/>
      <c r="CS566" s="224"/>
      <c r="CT566" s="230"/>
      <c r="CU566" s="224"/>
      <c r="CV566" s="224"/>
      <c r="CW566" s="224"/>
      <c r="CX566" s="224"/>
      <c r="CY566" s="230"/>
      <c r="CZ566" s="224"/>
      <c r="DA566" s="224"/>
      <c r="DB566" s="224"/>
      <c r="DC566" s="224"/>
      <c r="DD566" s="230"/>
      <c r="DE566" s="224"/>
      <c r="DF566" s="224"/>
      <c r="DG566" s="224"/>
      <c r="DH566" s="224"/>
      <c r="DI566" s="230"/>
      <c r="DJ566" s="224"/>
      <c r="DK566" s="224"/>
      <c r="DL566" s="224"/>
      <c r="DM566" s="224"/>
      <c r="DN566" s="230"/>
      <c r="DO566" s="224"/>
      <c r="DP566" s="224"/>
      <c r="DQ566" s="224"/>
      <c r="DR566" s="224"/>
      <c r="DS566" s="230"/>
      <c r="DT566" s="224"/>
      <c r="DU566" s="224"/>
      <c r="DV566" s="224"/>
      <c r="DW566" s="224"/>
      <c r="DX566" s="230"/>
      <c r="DY566" s="224"/>
      <c r="DZ566" s="224"/>
      <c r="EA566" s="224"/>
      <c r="EB566" s="224"/>
      <c r="EC566" s="230"/>
      <c r="ED566" s="224"/>
      <c r="EE566" s="224"/>
      <c r="EF566" s="224"/>
      <c r="EG566" s="224"/>
      <c r="EH566" s="230"/>
      <c r="EI566" s="224"/>
      <c r="EJ566" s="224"/>
      <c r="EK566" s="224"/>
      <c r="EL566" s="224"/>
      <c r="EM566" s="230"/>
      <c r="EN566" s="224"/>
      <c r="EO566" s="224"/>
      <c r="EP566" s="224"/>
      <c r="EQ566" s="224"/>
      <c r="ER566" s="230"/>
      <c r="ES566" s="224"/>
      <c r="ET566" s="224"/>
      <c r="EU566" s="224"/>
      <c r="EV566" s="224"/>
      <c r="EW566" s="230"/>
      <c r="EX566" s="224"/>
      <c r="EY566" s="224"/>
      <c r="EZ566" s="224"/>
      <c r="FA566" s="224"/>
      <c r="FB566" s="230"/>
      <c r="FC566" s="224"/>
      <c r="FD566" s="224"/>
      <c r="FE566" s="224"/>
      <c r="FF566" s="224"/>
      <c r="FG566" s="230"/>
      <c r="FH566" s="224"/>
      <c r="FI566" s="224"/>
      <c r="FJ566" s="224"/>
      <c r="FK566" s="224"/>
      <c r="FL566" s="230"/>
      <c r="FM566" s="224"/>
      <c r="FN566" s="224"/>
      <c r="FO566" s="224"/>
      <c r="FP566" s="224"/>
      <c r="FQ566" s="230"/>
      <c r="FR566" s="224"/>
      <c r="FS566" s="224"/>
      <c r="FT566" s="224"/>
      <c r="FU566" s="224"/>
      <c r="FV566" s="230"/>
      <c r="FW566" s="224"/>
      <c r="FX566" s="224"/>
      <c r="FY566" s="224"/>
      <c r="FZ566" s="224"/>
      <c r="GA566" s="230"/>
      <c r="GB566" s="224"/>
      <c r="GC566" s="224"/>
      <c r="GD566" s="224"/>
      <c r="GE566" s="224"/>
      <c r="GF566" s="230"/>
      <c r="GG566" s="224"/>
      <c r="GH566" s="224"/>
      <c r="GI566" s="224"/>
      <c r="GJ566" s="224"/>
    </row>
    <row r="567" spans="1:192" s="93" customFormat="1" ht="12.75" customHeight="1">
      <c r="A567" s="68"/>
      <c r="B567" s="677"/>
      <c r="C567" s="231"/>
      <c r="D567" s="231"/>
      <c r="E567" s="231"/>
      <c r="F567" s="231"/>
      <c r="G567" s="231"/>
      <c r="H567" s="231"/>
      <c r="I567" s="231"/>
      <c r="J567" s="231"/>
      <c r="K567" s="231"/>
      <c r="L567" s="231"/>
      <c r="M567" s="231"/>
      <c r="N567" s="231"/>
      <c r="O567" s="231"/>
      <c r="P567" s="231"/>
      <c r="Q567" s="231"/>
      <c r="R567" s="231"/>
      <c r="S567" s="231"/>
      <c r="T567" s="231"/>
      <c r="U567" s="231"/>
      <c r="V567" s="231"/>
      <c r="W567" s="231"/>
      <c r="X567" s="231"/>
      <c r="Y567" s="231"/>
      <c r="Z567" s="231"/>
      <c r="AA567" s="231"/>
      <c r="AB567" s="231"/>
      <c r="AC567" s="231"/>
      <c r="AD567" s="231"/>
      <c r="AE567" s="231"/>
      <c r="AF567" s="231"/>
      <c r="AG567" s="231"/>
      <c r="AH567" s="231"/>
      <c r="AI567" s="231"/>
      <c r="AJ567" s="231"/>
      <c r="AK567" s="231"/>
      <c r="AL567" s="231"/>
      <c r="AM567" s="231"/>
      <c r="AN567" s="231"/>
      <c r="AO567" s="231"/>
      <c r="AP567" s="231"/>
      <c r="AQ567" s="231"/>
      <c r="AR567" s="231"/>
      <c r="AS567" s="231"/>
      <c r="AT567" s="231"/>
      <c r="AU567" s="231"/>
      <c r="AV567" s="231"/>
      <c r="AW567" s="231"/>
      <c r="AX567" s="231"/>
      <c r="AY567" s="231"/>
      <c r="AZ567" s="231"/>
      <c r="BA567" s="231"/>
      <c r="BB567" s="231"/>
      <c r="BC567" s="231"/>
      <c r="BD567" s="231"/>
      <c r="BE567" s="231"/>
      <c r="BF567" s="231"/>
      <c r="BG567" s="231"/>
      <c r="BH567" s="231"/>
      <c r="BI567" s="231"/>
      <c r="BJ567" s="231"/>
      <c r="BK567" s="231"/>
      <c r="BL567" s="231"/>
      <c r="BM567" s="231"/>
      <c r="BN567" s="231"/>
      <c r="BO567" s="231"/>
      <c r="BP567" s="231"/>
      <c r="BQ567" s="231"/>
      <c r="BR567" s="231"/>
      <c r="BS567" s="231"/>
      <c r="BT567" s="231"/>
      <c r="BU567" s="231"/>
      <c r="BV567" s="231"/>
      <c r="BW567" s="231"/>
      <c r="BX567" s="231"/>
      <c r="BY567" s="231"/>
      <c r="BZ567" s="231"/>
      <c r="CA567" s="231"/>
      <c r="CB567" s="231"/>
      <c r="CC567" s="231"/>
      <c r="CD567" s="231"/>
      <c r="CE567" s="231"/>
      <c r="CF567" s="231"/>
      <c r="CG567" s="231"/>
      <c r="CH567" s="231"/>
      <c r="CI567" s="231"/>
      <c r="CJ567" s="231"/>
      <c r="CK567" s="231"/>
      <c r="CL567" s="231"/>
      <c r="CM567" s="231"/>
      <c r="CN567" s="231"/>
      <c r="CO567" s="231"/>
      <c r="CP567" s="231"/>
      <c r="CQ567" s="231"/>
      <c r="CR567" s="231"/>
      <c r="CS567" s="231"/>
      <c r="CT567" s="231"/>
      <c r="CU567" s="231"/>
      <c r="CV567" s="231"/>
      <c r="CW567" s="231"/>
      <c r="CX567" s="231"/>
      <c r="CY567" s="231"/>
      <c r="CZ567" s="231"/>
      <c r="DA567" s="231"/>
      <c r="DB567" s="231"/>
      <c r="DC567" s="231"/>
      <c r="DD567" s="231"/>
      <c r="DE567" s="231"/>
      <c r="DF567" s="231"/>
      <c r="DG567" s="231"/>
      <c r="DH567" s="231"/>
      <c r="DI567" s="231"/>
      <c r="DJ567" s="231"/>
      <c r="DK567" s="231"/>
      <c r="DL567" s="231"/>
      <c r="DM567" s="231"/>
      <c r="DN567" s="231"/>
      <c r="DO567" s="231"/>
      <c r="DP567" s="231"/>
      <c r="DQ567" s="231"/>
      <c r="DR567" s="231"/>
      <c r="DS567" s="231"/>
      <c r="DT567" s="231"/>
      <c r="DU567" s="231"/>
      <c r="DV567" s="231"/>
      <c r="DW567" s="231"/>
      <c r="DX567" s="231"/>
      <c r="DY567" s="231"/>
      <c r="DZ567" s="231"/>
      <c r="EA567" s="231"/>
      <c r="EB567" s="231"/>
      <c r="EC567" s="231"/>
      <c r="ED567" s="231"/>
      <c r="EE567" s="231"/>
      <c r="EF567" s="231"/>
      <c r="EG567" s="231"/>
      <c r="EH567" s="231"/>
      <c r="EI567" s="231"/>
      <c r="EJ567" s="231"/>
      <c r="EK567" s="231"/>
      <c r="EL567" s="231"/>
      <c r="EM567" s="231"/>
      <c r="EN567" s="231"/>
      <c r="EO567" s="231"/>
      <c r="EP567" s="231"/>
      <c r="EQ567" s="231"/>
      <c r="ER567" s="231"/>
      <c r="ES567" s="231"/>
      <c r="ET567" s="231"/>
      <c r="EU567" s="231"/>
      <c r="EV567" s="231"/>
      <c r="EW567" s="231"/>
      <c r="EX567" s="231"/>
      <c r="EY567" s="231"/>
      <c r="EZ567" s="231"/>
      <c r="FA567" s="231"/>
      <c r="FB567" s="231"/>
      <c r="FC567" s="231"/>
      <c r="FD567" s="231"/>
      <c r="FE567" s="231"/>
      <c r="FF567" s="231"/>
      <c r="FG567" s="231"/>
      <c r="FH567" s="231"/>
      <c r="FI567" s="231"/>
      <c r="FJ567" s="231"/>
      <c r="FK567" s="231"/>
      <c r="FL567" s="231"/>
      <c r="FM567" s="231"/>
      <c r="FN567" s="231"/>
      <c r="FO567" s="231"/>
      <c r="FP567" s="231"/>
      <c r="FQ567" s="231"/>
      <c r="FR567" s="231"/>
      <c r="FS567" s="231"/>
      <c r="FT567" s="231"/>
      <c r="FU567" s="231"/>
      <c r="FV567" s="231"/>
      <c r="FW567" s="231"/>
      <c r="FX567" s="231"/>
      <c r="FY567" s="231"/>
      <c r="FZ567" s="231"/>
      <c r="GA567" s="231"/>
      <c r="GB567" s="231"/>
      <c r="GC567" s="231"/>
      <c r="GD567" s="231"/>
      <c r="GE567" s="231"/>
      <c r="GF567" s="231"/>
      <c r="GG567" s="231"/>
      <c r="GH567" s="231"/>
      <c r="GI567" s="231"/>
      <c r="GJ567" s="231"/>
    </row>
    <row r="568" spans="1:192" s="93" customFormat="1" ht="12.75" customHeight="1">
      <c r="A568" s="68"/>
      <c r="B568" s="677"/>
      <c r="C568" s="231"/>
      <c r="D568" s="231"/>
      <c r="E568" s="231"/>
      <c r="F568" s="231"/>
      <c r="G568" s="231"/>
      <c r="H568" s="231"/>
      <c r="I568" s="231"/>
      <c r="J568" s="231"/>
      <c r="K568" s="231"/>
      <c r="L568" s="231"/>
      <c r="M568" s="231"/>
      <c r="N568" s="231"/>
      <c r="O568" s="231"/>
      <c r="P568" s="231"/>
      <c r="Q568" s="231"/>
      <c r="R568" s="231"/>
      <c r="S568" s="231"/>
      <c r="T568" s="231"/>
      <c r="U568" s="231"/>
      <c r="V568" s="231"/>
      <c r="W568" s="231"/>
      <c r="X568" s="231"/>
      <c r="Y568" s="231"/>
      <c r="Z568" s="231"/>
      <c r="AA568" s="231"/>
      <c r="AB568" s="231"/>
      <c r="AC568" s="231"/>
      <c r="AD568" s="231"/>
      <c r="AE568" s="231"/>
      <c r="AF568" s="231"/>
      <c r="AG568" s="231"/>
      <c r="AH568" s="231"/>
      <c r="AI568" s="231"/>
      <c r="AJ568" s="231"/>
      <c r="AK568" s="231"/>
      <c r="AL568" s="231"/>
      <c r="AM568" s="231"/>
      <c r="AN568" s="231"/>
      <c r="AO568" s="231"/>
      <c r="AP568" s="231"/>
      <c r="AQ568" s="231"/>
      <c r="AR568" s="231"/>
      <c r="AS568" s="231"/>
      <c r="AT568" s="231"/>
      <c r="AU568" s="231"/>
      <c r="AV568" s="231"/>
      <c r="AW568" s="231"/>
      <c r="AX568" s="231"/>
      <c r="AY568" s="231"/>
      <c r="AZ568" s="231"/>
      <c r="BA568" s="231"/>
      <c r="BB568" s="231"/>
      <c r="BC568" s="231"/>
      <c r="BD568" s="231"/>
      <c r="BE568" s="231"/>
      <c r="BF568" s="231"/>
      <c r="BG568" s="231"/>
      <c r="BH568" s="231"/>
      <c r="BI568" s="231"/>
      <c r="BJ568" s="231"/>
      <c r="BK568" s="231"/>
      <c r="BL568" s="231"/>
      <c r="BM568" s="231"/>
      <c r="BN568" s="231"/>
      <c r="BO568" s="231"/>
      <c r="BP568" s="231"/>
      <c r="BQ568" s="231"/>
      <c r="BR568" s="231"/>
      <c r="BS568" s="231"/>
      <c r="BT568" s="231"/>
      <c r="BU568" s="231"/>
      <c r="BV568" s="231"/>
      <c r="BW568" s="231"/>
      <c r="BX568" s="231"/>
      <c r="BY568" s="231"/>
      <c r="BZ568" s="231"/>
      <c r="CA568" s="231"/>
      <c r="CB568" s="231"/>
      <c r="CC568" s="231"/>
      <c r="CD568" s="231"/>
      <c r="CE568" s="231"/>
      <c r="CF568" s="231"/>
      <c r="CG568" s="231"/>
      <c r="CH568" s="231"/>
      <c r="CI568" s="231"/>
      <c r="CJ568" s="231"/>
      <c r="CK568" s="231"/>
      <c r="CL568" s="231"/>
      <c r="CM568" s="231"/>
      <c r="CN568" s="231"/>
      <c r="CO568" s="231"/>
      <c r="CP568" s="231"/>
      <c r="CQ568" s="231"/>
      <c r="CR568" s="231"/>
      <c r="CS568" s="231"/>
      <c r="CT568" s="231"/>
      <c r="CU568" s="231"/>
      <c r="CV568" s="231"/>
      <c r="CW568" s="231"/>
      <c r="CX568" s="231"/>
      <c r="CY568" s="231"/>
      <c r="CZ568" s="231"/>
      <c r="DA568" s="231"/>
      <c r="DB568" s="231"/>
      <c r="DC568" s="231"/>
      <c r="DD568" s="231"/>
      <c r="DE568" s="231"/>
      <c r="DF568" s="231"/>
      <c r="DG568" s="231"/>
      <c r="DH568" s="231"/>
      <c r="DI568" s="231"/>
      <c r="DJ568" s="231"/>
      <c r="DK568" s="231"/>
      <c r="DL568" s="231"/>
      <c r="DM568" s="231"/>
      <c r="DN568" s="231"/>
      <c r="DO568" s="231"/>
      <c r="DP568" s="231"/>
      <c r="DQ568" s="231"/>
      <c r="DR568" s="231"/>
      <c r="DS568" s="231"/>
      <c r="DT568" s="231"/>
      <c r="DU568" s="231"/>
      <c r="DV568" s="231"/>
      <c r="DW568" s="231"/>
      <c r="DX568" s="231"/>
      <c r="DY568" s="231"/>
      <c r="DZ568" s="231"/>
      <c r="EA568" s="231"/>
      <c r="EB568" s="231"/>
      <c r="EC568" s="231"/>
      <c r="ED568" s="231"/>
      <c r="EE568" s="231"/>
      <c r="EF568" s="231"/>
      <c r="EG568" s="231"/>
      <c r="EH568" s="231"/>
      <c r="EI568" s="231"/>
      <c r="EJ568" s="231"/>
      <c r="EK568" s="231"/>
      <c r="EL568" s="231"/>
      <c r="EM568" s="231"/>
      <c r="EN568" s="231"/>
      <c r="EO568" s="231"/>
      <c r="EP568" s="231"/>
      <c r="EQ568" s="231"/>
      <c r="ER568" s="231"/>
      <c r="ES568" s="231"/>
      <c r="ET568" s="231"/>
      <c r="EU568" s="231"/>
      <c r="EV568" s="231"/>
      <c r="EW568" s="231"/>
      <c r="EX568" s="231"/>
      <c r="EY568" s="231"/>
      <c r="EZ568" s="231"/>
      <c r="FA568" s="231"/>
      <c r="FB568" s="231"/>
      <c r="FC568" s="231"/>
      <c r="FD568" s="231"/>
      <c r="FE568" s="231"/>
      <c r="FF568" s="231"/>
      <c r="FG568" s="231"/>
      <c r="FH568" s="231"/>
      <c r="FI568" s="231"/>
      <c r="FJ568" s="231"/>
      <c r="FK568" s="231"/>
      <c r="FL568" s="231"/>
      <c r="FM568" s="231"/>
      <c r="FN568" s="231"/>
      <c r="FO568" s="231"/>
      <c r="FP568" s="231"/>
      <c r="FQ568" s="231"/>
      <c r="FR568" s="231"/>
      <c r="FS568" s="231"/>
      <c r="FT568" s="231"/>
      <c r="FU568" s="231"/>
      <c r="FV568" s="231"/>
      <c r="FW568" s="231"/>
      <c r="FX568" s="231"/>
      <c r="FY568" s="231"/>
      <c r="FZ568" s="231"/>
      <c r="GA568" s="231"/>
      <c r="GB568" s="231"/>
      <c r="GC568" s="231"/>
      <c r="GD568" s="231"/>
      <c r="GE568" s="231"/>
      <c r="GF568" s="231"/>
      <c r="GG568" s="231"/>
      <c r="GH568" s="231"/>
      <c r="GI568" s="231"/>
      <c r="GJ568" s="231"/>
    </row>
    <row r="569" spans="1:192" s="93" customFormat="1" ht="12.75" customHeight="1">
      <c r="A569" s="68"/>
      <c r="B569" s="677"/>
      <c r="C569" s="232"/>
      <c r="D569" s="232"/>
      <c r="E569" s="232"/>
      <c r="F569" s="232"/>
      <c r="G569" s="232"/>
      <c r="H569" s="232"/>
      <c r="I569" s="232"/>
      <c r="J569" s="232"/>
      <c r="K569" s="232"/>
      <c r="L569" s="232"/>
      <c r="M569" s="232"/>
      <c r="N569" s="232"/>
      <c r="O569" s="232"/>
      <c r="P569" s="232"/>
      <c r="Q569" s="232"/>
      <c r="R569" s="232"/>
      <c r="S569" s="232"/>
      <c r="T569" s="232"/>
      <c r="U569" s="232"/>
      <c r="V569" s="232"/>
      <c r="W569" s="232"/>
      <c r="X569" s="232"/>
      <c r="Y569" s="232"/>
      <c r="Z569" s="232"/>
      <c r="AA569" s="232"/>
      <c r="AB569" s="232"/>
      <c r="AC569" s="232"/>
      <c r="AD569" s="232"/>
      <c r="AE569" s="232"/>
      <c r="AF569" s="232"/>
      <c r="AG569" s="232"/>
      <c r="AH569" s="232"/>
      <c r="AI569" s="232"/>
      <c r="AJ569" s="232"/>
      <c r="AK569" s="232"/>
      <c r="AL569" s="232"/>
      <c r="AM569" s="232"/>
      <c r="AN569" s="232"/>
      <c r="AO569" s="232"/>
      <c r="AP569" s="232"/>
      <c r="AQ569" s="232"/>
      <c r="AR569" s="232"/>
      <c r="AS569" s="232"/>
      <c r="AT569" s="232"/>
      <c r="AU569" s="232"/>
      <c r="AV569" s="232"/>
      <c r="AW569" s="232"/>
      <c r="AX569" s="232"/>
      <c r="AY569" s="232"/>
      <c r="AZ569" s="232"/>
      <c r="BA569" s="232"/>
      <c r="BB569" s="232"/>
      <c r="BC569" s="232"/>
      <c r="BD569" s="232"/>
      <c r="BE569" s="232"/>
      <c r="BF569" s="232"/>
      <c r="BG569" s="232"/>
      <c r="BH569" s="232"/>
      <c r="BI569" s="232"/>
      <c r="BJ569" s="232"/>
      <c r="BK569" s="232"/>
      <c r="BL569" s="232"/>
      <c r="BM569" s="232"/>
      <c r="BN569" s="232"/>
      <c r="BO569" s="232"/>
      <c r="BP569" s="232"/>
      <c r="BQ569" s="232"/>
      <c r="BR569" s="232"/>
      <c r="BS569" s="232"/>
      <c r="BT569" s="232"/>
      <c r="BU569" s="232"/>
      <c r="BV569" s="232"/>
      <c r="BW569" s="232"/>
      <c r="BX569" s="232"/>
      <c r="BY569" s="232"/>
      <c r="BZ569" s="232"/>
      <c r="CA569" s="232"/>
      <c r="CB569" s="232"/>
      <c r="CC569" s="232"/>
      <c r="CD569" s="232"/>
      <c r="CE569" s="232"/>
      <c r="CF569" s="232"/>
      <c r="CG569" s="232"/>
      <c r="CH569" s="232"/>
      <c r="CI569" s="232"/>
      <c r="CJ569" s="232"/>
      <c r="CK569" s="232"/>
      <c r="CL569" s="232"/>
      <c r="CM569" s="232"/>
      <c r="CN569" s="232"/>
      <c r="CO569" s="232"/>
      <c r="CP569" s="232"/>
      <c r="CQ569" s="232"/>
      <c r="CR569" s="232"/>
      <c r="CS569" s="232"/>
      <c r="CT569" s="232"/>
      <c r="CU569" s="232"/>
      <c r="CV569" s="232"/>
      <c r="CW569" s="232"/>
      <c r="CX569" s="232"/>
      <c r="CY569" s="232"/>
      <c r="CZ569" s="232"/>
      <c r="DA569" s="232"/>
      <c r="DB569" s="232"/>
      <c r="DC569" s="232"/>
      <c r="DD569" s="232"/>
      <c r="DE569" s="232"/>
      <c r="DF569" s="232"/>
      <c r="DG569" s="232"/>
      <c r="DH569" s="232"/>
      <c r="DI569" s="232"/>
      <c r="DJ569" s="232"/>
      <c r="DK569" s="232"/>
      <c r="DL569" s="232"/>
      <c r="DM569" s="232"/>
      <c r="DN569" s="232"/>
      <c r="DO569" s="232"/>
      <c r="DP569" s="232"/>
      <c r="DQ569" s="232"/>
      <c r="DR569" s="232"/>
      <c r="DS569" s="232"/>
      <c r="DT569" s="232"/>
      <c r="DU569" s="232"/>
      <c r="DV569" s="232"/>
      <c r="DW569" s="232"/>
      <c r="DX569" s="232"/>
      <c r="DY569" s="232"/>
      <c r="DZ569" s="232"/>
      <c r="EA569" s="232"/>
      <c r="EB569" s="232"/>
      <c r="EC569" s="232"/>
      <c r="ED569" s="232"/>
      <c r="EE569" s="232"/>
      <c r="EF569" s="232"/>
      <c r="EG569" s="232"/>
      <c r="EH569" s="232"/>
      <c r="EI569" s="232"/>
      <c r="EJ569" s="232"/>
      <c r="EK569" s="232"/>
      <c r="EL569" s="232"/>
      <c r="EM569" s="232"/>
      <c r="EN569" s="232"/>
      <c r="EO569" s="232"/>
      <c r="EP569" s="232"/>
      <c r="EQ569" s="232"/>
      <c r="ER569" s="232"/>
      <c r="ES569" s="232"/>
      <c r="ET569" s="232"/>
      <c r="EU569" s="232"/>
      <c r="EV569" s="232"/>
      <c r="EW569" s="232"/>
      <c r="EX569" s="232"/>
      <c r="EY569" s="232"/>
      <c r="EZ569" s="232"/>
      <c r="FA569" s="232"/>
      <c r="FB569" s="232"/>
      <c r="FC569" s="232"/>
      <c r="FD569" s="232"/>
      <c r="FE569" s="232"/>
      <c r="FF569" s="232"/>
      <c r="FG569" s="232"/>
      <c r="FH569" s="232"/>
      <c r="FI569" s="232"/>
      <c r="FJ569" s="232"/>
      <c r="FK569" s="232"/>
      <c r="FL569" s="232"/>
      <c r="FM569" s="232"/>
      <c r="FN569" s="232"/>
      <c r="FO569" s="232"/>
      <c r="FP569" s="232"/>
      <c r="FQ569" s="232"/>
      <c r="FR569" s="232"/>
      <c r="FS569" s="232"/>
      <c r="FT569" s="232"/>
      <c r="FU569" s="232"/>
      <c r="FV569" s="232"/>
      <c r="FW569" s="232"/>
      <c r="FX569" s="232"/>
      <c r="FY569" s="232"/>
      <c r="FZ569" s="232"/>
      <c r="GA569" s="232"/>
      <c r="GB569" s="232"/>
      <c r="GC569" s="232"/>
      <c r="GD569" s="232"/>
      <c r="GE569" s="232"/>
      <c r="GF569" s="232"/>
      <c r="GG569" s="232"/>
      <c r="GH569" s="232"/>
      <c r="GI569" s="232"/>
      <c r="GJ569" s="232"/>
    </row>
    <row r="570" spans="1:192" s="93" customFormat="1" ht="12.75" customHeight="1">
      <c r="A570" s="68"/>
      <c r="B570" s="677"/>
      <c r="C570" s="232"/>
      <c r="D570" s="232"/>
      <c r="E570" s="232"/>
      <c r="F570" s="232"/>
      <c r="G570" s="232"/>
      <c r="H570" s="232"/>
      <c r="I570" s="232"/>
      <c r="J570" s="232"/>
      <c r="K570" s="232"/>
      <c r="L570" s="232"/>
      <c r="M570" s="232"/>
      <c r="N570" s="232"/>
      <c r="O570" s="232"/>
      <c r="P570" s="232"/>
      <c r="Q570" s="232"/>
      <c r="R570" s="232"/>
      <c r="S570" s="232"/>
      <c r="T570" s="232"/>
      <c r="U570" s="232"/>
      <c r="V570" s="232"/>
      <c r="W570" s="232"/>
      <c r="X570" s="232"/>
      <c r="Y570" s="232"/>
      <c r="Z570" s="232"/>
      <c r="AA570" s="232"/>
      <c r="AB570" s="232"/>
      <c r="AC570" s="232"/>
      <c r="AD570" s="232"/>
      <c r="AE570" s="232"/>
      <c r="AF570" s="232"/>
      <c r="AG570" s="232"/>
      <c r="AH570" s="232"/>
      <c r="AI570" s="232"/>
      <c r="AJ570" s="232"/>
      <c r="AK570" s="232"/>
      <c r="AL570" s="232"/>
      <c r="AM570" s="232"/>
      <c r="AN570" s="232"/>
      <c r="AO570" s="232"/>
      <c r="AP570" s="232"/>
      <c r="AQ570" s="232"/>
      <c r="AR570" s="232"/>
      <c r="AS570" s="232"/>
      <c r="AT570" s="232"/>
      <c r="AU570" s="232"/>
      <c r="AV570" s="232"/>
      <c r="AW570" s="232"/>
      <c r="AX570" s="232"/>
      <c r="AY570" s="232"/>
      <c r="AZ570" s="232"/>
      <c r="BA570" s="232"/>
      <c r="BB570" s="232"/>
      <c r="BC570" s="232"/>
      <c r="BD570" s="232"/>
      <c r="BE570" s="232"/>
      <c r="BF570" s="232"/>
      <c r="BG570" s="232"/>
      <c r="BH570" s="232"/>
      <c r="BI570" s="232"/>
      <c r="BJ570" s="232"/>
      <c r="BK570" s="232"/>
      <c r="BL570" s="232"/>
      <c r="BM570" s="232"/>
      <c r="BN570" s="232"/>
      <c r="BO570" s="232"/>
      <c r="BP570" s="232"/>
      <c r="BQ570" s="232"/>
      <c r="BR570" s="232"/>
      <c r="BS570" s="232"/>
      <c r="BT570" s="232"/>
      <c r="BU570" s="232"/>
      <c r="BV570" s="232"/>
      <c r="BW570" s="232"/>
      <c r="BX570" s="232"/>
      <c r="BY570" s="232"/>
      <c r="BZ570" s="232"/>
      <c r="CA570" s="232"/>
      <c r="CB570" s="232"/>
      <c r="CC570" s="232"/>
      <c r="CD570" s="232"/>
      <c r="CE570" s="232"/>
      <c r="CF570" s="232"/>
      <c r="CG570" s="232"/>
      <c r="CH570" s="232"/>
      <c r="CI570" s="232"/>
      <c r="CJ570" s="232"/>
      <c r="CK570" s="232"/>
      <c r="CL570" s="232"/>
      <c r="CM570" s="232"/>
      <c r="CN570" s="232"/>
      <c r="CO570" s="232"/>
      <c r="CP570" s="232"/>
      <c r="CQ570" s="232"/>
      <c r="CR570" s="232"/>
      <c r="CS570" s="232"/>
      <c r="CT570" s="232"/>
      <c r="CU570" s="232"/>
      <c r="CV570" s="232"/>
      <c r="CW570" s="232"/>
      <c r="CX570" s="232"/>
      <c r="CY570" s="232"/>
      <c r="CZ570" s="232"/>
      <c r="DA570" s="232"/>
      <c r="DB570" s="232"/>
      <c r="DC570" s="232"/>
      <c r="DD570" s="232"/>
      <c r="DE570" s="232"/>
      <c r="DF570" s="232"/>
      <c r="DG570" s="232"/>
      <c r="DH570" s="232"/>
      <c r="DI570" s="232"/>
      <c r="DJ570" s="232"/>
      <c r="DK570" s="232"/>
      <c r="DL570" s="232"/>
      <c r="DM570" s="232"/>
      <c r="DN570" s="232"/>
      <c r="DO570" s="232"/>
      <c r="DP570" s="232"/>
      <c r="DQ570" s="232"/>
      <c r="DR570" s="232"/>
      <c r="DS570" s="232"/>
      <c r="DT570" s="232"/>
      <c r="DU570" s="232"/>
      <c r="DV570" s="232"/>
      <c r="DW570" s="232"/>
      <c r="DX570" s="232"/>
      <c r="DY570" s="232"/>
      <c r="DZ570" s="232"/>
      <c r="EA570" s="232"/>
      <c r="EB570" s="232"/>
      <c r="EC570" s="232"/>
      <c r="ED570" s="232"/>
      <c r="EE570" s="232"/>
      <c r="EF570" s="232"/>
      <c r="EG570" s="232"/>
      <c r="EH570" s="232"/>
      <c r="EI570" s="232"/>
      <c r="EJ570" s="232"/>
      <c r="EK570" s="232"/>
      <c r="EL570" s="232"/>
      <c r="EM570" s="232"/>
      <c r="EN570" s="232"/>
      <c r="EO570" s="232"/>
      <c r="EP570" s="232"/>
      <c r="EQ570" s="232"/>
      <c r="ER570" s="232"/>
      <c r="ES570" s="232"/>
      <c r="ET570" s="232"/>
      <c r="EU570" s="232"/>
      <c r="EV570" s="232"/>
      <c r="EW570" s="232"/>
      <c r="EX570" s="232"/>
      <c r="EY570" s="232"/>
      <c r="EZ570" s="232"/>
      <c r="FA570" s="232"/>
      <c r="FB570" s="232"/>
      <c r="FC570" s="232"/>
      <c r="FD570" s="232"/>
      <c r="FE570" s="232"/>
      <c r="FF570" s="232"/>
      <c r="FG570" s="232"/>
      <c r="FH570" s="232"/>
      <c r="FI570" s="232"/>
      <c r="FJ570" s="232"/>
      <c r="FK570" s="232"/>
      <c r="FL570" s="232"/>
      <c r="FM570" s="232"/>
      <c r="FN570" s="232"/>
      <c r="FO570" s="232"/>
      <c r="FP570" s="232"/>
      <c r="FQ570" s="232"/>
      <c r="FR570" s="232"/>
      <c r="FS570" s="232"/>
      <c r="FT570" s="232"/>
      <c r="FU570" s="232"/>
      <c r="FV570" s="232"/>
      <c r="FW570" s="232"/>
      <c r="FX570" s="232"/>
      <c r="FY570" s="232"/>
      <c r="FZ570" s="232"/>
      <c r="GA570" s="232"/>
      <c r="GB570" s="232"/>
      <c r="GC570" s="232"/>
      <c r="GD570" s="232"/>
      <c r="GE570" s="232"/>
      <c r="GF570" s="232"/>
      <c r="GG570" s="232"/>
      <c r="GH570" s="232"/>
      <c r="GI570" s="232"/>
      <c r="GJ570" s="232"/>
    </row>
    <row r="571" spans="1:192" s="93" customFormat="1" ht="12.75" customHeight="1">
      <c r="A571" s="68"/>
      <c r="B571" s="677"/>
      <c r="C571" s="231"/>
      <c r="D571" s="231"/>
      <c r="E571" s="231"/>
      <c r="F571" s="231"/>
      <c r="G571" s="231"/>
      <c r="H571" s="231"/>
      <c r="I571" s="231"/>
      <c r="J571" s="231"/>
      <c r="K571" s="231"/>
      <c r="L571" s="231"/>
      <c r="M571" s="231"/>
      <c r="N571" s="231"/>
      <c r="O571" s="231"/>
      <c r="P571" s="231"/>
      <c r="Q571" s="231"/>
      <c r="R571" s="231"/>
      <c r="S571" s="231"/>
      <c r="T571" s="231"/>
      <c r="U571" s="231"/>
      <c r="V571" s="231"/>
      <c r="W571" s="231"/>
      <c r="X571" s="231"/>
      <c r="Y571" s="231"/>
      <c r="Z571" s="231"/>
      <c r="AA571" s="231"/>
      <c r="AB571" s="231"/>
      <c r="AC571" s="231"/>
      <c r="AD571" s="231"/>
      <c r="AE571" s="231"/>
      <c r="AF571" s="231"/>
      <c r="AG571" s="231"/>
      <c r="AH571" s="231"/>
      <c r="AI571" s="231"/>
      <c r="AJ571" s="231"/>
      <c r="AK571" s="231"/>
      <c r="AL571" s="231"/>
      <c r="AM571" s="231"/>
      <c r="AN571" s="231"/>
      <c r="AO571" s="231"/>
      <c r="AP571" s="231"/>
      <c r="AQ571" s="231"/>
      <c r="AR571" s="231"/>
      <c r="AS571" s="231"/>
      <c r="AT571" s="231"/>
      <c r="AU571" s="231"/>
      <c r="AV571" s="231"/>
      <c r="AW571" s="231"/>
      <c r="AX571" s="231"/>
      <c r="AY571" s="231"/>
      <c r="AZ571" s="231"/>
      <c r="BA571" s="231"/>
      <c r="BB571" s="231"/>
      <c r="BC571" s="231"/>
      <c r="BD571" s="231"/>
      <c r="BE571" s="231"/>
      <c r="BF571" s="231"/>
      <c r="BG571" s="231"/>
      <c r="BH571" s="231"/>
      <c r="BI571" s="231"/>
      <c r="BJ571" s="231"/>
      <c r="BK571" s="231"/>
      <c r="BL571" s="231"/>
      <c r="BM571" s="231"/>
      <c r="BN571" s="231"/>
      <c r="BO571" s="231"/>
      <c r="BP571" s="231"/>
      <c r="BQ571" s="231"/>
      <c r="BR571" s="231"/>
      <c r="BS571" s="231"/>
      <c r="BT571" s="231"/>
      <c r="BU571" s="231"/>
      <c r="BV571" s="231"/>
      <c r="BW571" s="231"/>
      <c r="BX571" s="231"/>
      <c r="BY571" s="231"/>
      <c r="BZ571" s="231"/>
      <c r="CA571" s="231"/>
      <c r="CB571" s="231"/>
      <c r="CC571" s="231"/>
      <c r="CD571" s="231"/>
      <c r="CE571" s="231"/>
      <c r="CF571" s="231"/>
      <c r="CG571" s="231"/>
      <c r="CH571" s="231"/>
      <c r="CI571" s="231"/>
      <c r="CJ571" s="231"/>
      <c r="CK571" s="231"/>
      <c r="CL571" s="231"/>
      <c r="CM571" s="231"/>
      <c r="CN571" s="231"/>
      <c r="CO571" s="231"/>
      <c r="CP571" s="231"/>
      <c r="CQ571" s="231"/>
      <c r="CR571" s="231"/>
      <c r="CS571" s="231"/>
      <c r="CT571" s="231"/>
      <c r="CU571" s="231"/>
      <c r="CV571" s="231"/>
      <c r="CW571" s="231"/>
      <c r="CX571" s="231"/>
      <c r="CY571" s="231"/>
      <c r="CZ571" s="231"/>
      <c r="DA571" s="231"/>
      <c r="DB571" s="231"/>
      <c r="DC571" s="231"/>
      <c r="DD571" s="231"/>
      <c r="DE571" s="231"/>
      <c r="DF571" s="231"/>
      <c r="DG571" s="231"/>
      <c r="DH571" s="231"/>
      <c r="DI571" s="231"/>
      <c r="DJ571" s="231"/>
      <c r="DK571" s="231"/>
      <c r="DL571" s="231"/>
      <c r="DM571" s="231"/>
      <c r="DN571" s="231"/>
      <c r="DO571" s="231"/>
      <c r="DP571" s="231"/>
      <c r="DQ571" s="231"/>
      <c r="DR571" s="231"/>
      <c r="DS571" s="231"/>
      <c r="DT571" s="231"/>
      <c r="DU571" s="231"/>
      <c r="DV571" s="231"/>
      <c r="DW571" s="231"/>
      <c r="DX571" s="231"/>
      <c r="DY571" s="231"/>
      <c r="DZ571" s="231"/>
      <c r="EA571" s="231"/>
      <c r="EB571" s="231"/>
      <c r="EC571" s="231"/>
      <c r="ED571" s="231"/>
      <c r="EE571" s="231"/>
      <c r="EF571" s="231"/>
      <c r="EG571" s="231"/>
      <c r="EH571" s="231"/>
      <c r="EI571" s="231"/>
      <c r="EJ571" s="231"/>
      <c r="EK571" s="231"/>
      <c r="EL571" s="231"/>
      <c r="EM571" s="231"/>
      <c r="EN571" s="231"/>
      <c r="EO571" s="231"/>
      <c r="EP571" s="231"/>
      <c r="EQ571" s="231"/>
      <c r="ER571" s="231"/>
      <c r="ES571" s="231"/>
      <c r="ET571" s="231"/>
      <c r="EU571" s="231"/>
      <c r="EV571" s="231"/>
      <c r="EW571" s="231"/>
      <c r="EX571" s="231"/>
      <c r="EY571" s="231"/>
      <c r="EZ571" s="231"/>
      <c r="FA571" s="231"/>
      <c r="FB571" s="231"/>
      <c r="FC571" s="231"/>
      <c r="FD571" s="231"/>
      <c r="FE571" s="231"/>
      <c r="FF571" s="231"/>
      <c r="FG571" s="231"/>
      <c r="FH571" s="231"/>
      <c r="FI571" s="231"/>
      <c r="FJ571" s="231"/>
      <c r="FK571" s="231"/>
      <c r="FL571" s="231"/>
      <c r="FM571" s="231"/>
      <c r="FN571" s="231"/>
      <c r="FO571" s="231"/>
      <c r="FP571" s="231"/>
      <c r="FQ571" s="231"/>
      <c r="FR571" s="231"/>
      <c r="FS571" s="231"/>
      <c r="FT571" s="231"/>
      <c r="FU571" s="231"/>
      <c r="FV571" s="231"/>
      <c r="FW571" s="231"/>
      <c r="FX571" s="231"/>
      <c r="FY571" s="231"/>
      <c r="FZ571" s="231"/>
      <c r="GA571" s="231"/>
      <c r="GB571" s="231"/>
      <c r="GC571" s="231"/>
      <c r="GD571" s="231"/>
      <c r="GE571" s="231"/>
      <c r="GF571" s="231"/>
      <c r="GG571" s="231"/>
      <c r="GH571" s="231"/>
      <c r="GI571" s="231"/>
      <c r="GJ571" s="231"/>
    </row>
    <row r="572" spans="1:192" s="93" customFormat="1" ht="12.75" customHeight="1">
      <c r="A572" s="68"/>
      <c r="B572" s="677"/>
      <c r="C572" s="232"/>
      <c r="D572" s="232"/>
      <c r="E572" s="232"/>
      <c r="F572" s="232"/>
      <c r="G572" s="232"/>
      <c r="H572" s="232"/>
      <c r="I572" s="232"/>
      <c r="J572" s="232"/>
      <c r="K572" s="232"/>
      <c r="L572" s="232"/>
      <c r="M572" s="232"/>
      <c r="N572" s="232"/>
      <c r="O572" s="232"/>
      <c r="P572" s="232"/>
      <c r="Q572" s="232"/>
      <c r="R572" s="232"/>
      <c r="S572" s="232"/>
      <c r="T572" s="232"/>
      <c r="U572" s="232"/>
      <c r="V572" s="232"/>
      <c r="W572" s="232"/>
      <c r="X572" s="232"/>
      <c r="Y572" s="232"/>
      <c r="Z572" s="232"/>
      <c r="AA572" s="232"/>
      <c r="AB572" s="232"/>
      <c r="AC572" s="232"/>
      <c r="AD572" s="232"/>
      <c r="AE572" s="232"/>
      <c r="AF572" s="232"/>
      <c r="AG572" s="232"/>
      <c r="AH572" s="232"/>
      <c r="AI572" s="232"/>
      <c r="AJ572" s="232"/>
      <c r="AK572" s="232"/>
      <c r="AL572" s="232"/>
      <c r="AM572" s="232"/>
      <c r="AN572" s="232"/>
      <c r="AO572" s="232"/>
      <c r="AP572" s="232"/>
      <c r="AQ572" s="232"/>
      <c r="AR572" s="232"/>
      <c r="AS572" s="232"/>
      <c r="AT572" s="232"/>
      <c r="AU572" s="232"/>
      <c r="AV572" s="232"/>
      <c r="AW572" s="232"/>
      <c r="AX572" s="232"/>
      <c r="AY572" s="232"/>
      <c r="AZ572" s="232"/>
      <c r="BA572" s="232"/>
      <c r="BB572" s="232"/>
      <c r="BC572" s="232"/>
      <c r="BD572" s="232"/>
      <c r="BE572" s="232"/>
      <c r="BF572" s="232"/>
      <c r="BG572" s="232"/>
      <c r="BH572" s="232"/>
      <c r="BI572" s="232"/>
      <c r="BJ572" s="232"/>
      <c r="BK572" s="232"/>
      <c r="BL572" s="232"/>
      <c r="BM572" s="232"/>
      <c r="BN572" s="232"/>
      <c r="BO572" s="232"/>
      <c r="BP572" s="232"/>
      <c r="BQ572" s="232"/>
      <c r="BR572" s="232"/>
      <c r="BS572" s="232"/>
      <c r="BT572" s="232"/>
      <c r="BU572" s="232"/>
      <c r="BV572" s="232"/>
      <c r="BW572" s="232"/>
      <c r="BX572" s="232"/>
      <c r="BY572" s="232"/>
      <c r="BZ572" s="232"/>
      <c r="CA572" s="232"/>
      <c r="CB572" s="232"/>
      <c r="CC572" s="232"/>
      <c r="CD572" s="232"/>
      <c r="CE572" s="232"/>
      <c r="CF572" s="232"/>
      <c r="CG572" s="232"/>
      <c r="CH572" s="232"/>
      <c r="CI572" s="232"/>
      <c r="CJ572" s="232"/>
      <c r="CK572" s="232"/>
      <c r="CL572" s="232"/>
      <c r="CM572" s="232"/>
      <c r="CN572" s="232"/>
      <c r="CO572" s="232"/>
      <c r="CP572" s="232"/>
      <c r="CQ572" s="232"/>
      <c r="CR572" s="232"/>
      <c r="CS572" s="232"/>
      <c r="CT572" s="232"/>
      <c r="CU572" s="232"/>
      <c r="CV572" s="232"/>
      <c r="CW572" s="232"/>
      <c r="CX572" s="232"/>
      <c r="CY572" s="232"/>
      <c r="CZ572" s="232"/>
      <c r="DA572" s="232"/>
      <c r="DB572" s="232"/>
      <c r="DC572" s="232"/>
      <c r="DD572" s="232"/>
      <c r="DE572" s="232"/>
      <c r="DF572" s="232"/>
      <c r="DG572" s="232"/>
      <c r="DH572" s="232"/>
      <c r="DI572" s="232"/>
      <c r="DJ572" s="232"/>
      <c r="DK572" s="232"/>
      <c r="DL572" s="232"/>
      <c r="DM572" s="232"/>
      <c r="DN572" s="232"/>
      <c r="DO572" s="232"/>
      <c r="DP572" s="232"/>
      <c r="DQ572" s="232"/>
      <c r="DR572" s="232"/>
      <c r="DS572" s="232"/>
      <c r="DT572" s="232"/>
      <c r="DU572" s="232"/>
      <c r="DV572" s="232"/>
      <c r="DW572" s="232"/>
      <c r="DX572" s="232"/>
      <c r="DY572" s="232"/>
      <c r="DZ572" s="232"/>
      <c r="EA572" s="232"/>
      <c r="EB572" s="232"/>
      <c r="EC572" s="232"/>
      <c r="ED572" s="232"/>
      <c r="EE572" s="232"/>
      <c r="EF572" s="232"/>
      <c r="EG572" s="232"/>
      <c r="EH572" s="232"/>
      <c r="EI572" s="232"/>
      <c r="EJ572" s="232"/>
      <c r="EK572" s="232"/>
      <c r="EL572" s="232"/>
      <c r="EM572" s="232"/>
      <c r="EN572" s="232"/>
      <c r="EO572" s="232"/>
      <c r="EP572" s="232"/>
      <c r="EQ572" s="232"/>
      <c r="ER572" s="232"/>
      <c r="ES572" s="232"/>
      <c r="ET572" s="232"/>
      <c r="EU572" s="232"/>
      <c r="EV572" s="232"/>
      <c r="EW572" s="232"/>
      <c r="EX572" s="232"/>
      <c r="EY572" s="232"/>
      <c r="EZ572" s="232"/>
      <c r="FA572" s="232"/>
      <c r="FB572" s="232"/>
      <c r="FC572" s="232"/>
      <c r="FD572" s="232"/>
      <c r="FE572" s="232"/>
      <c r="FF572" s="232"/>
      <c r="FG572" s="232"/>
      <c r="FH572" s="232"/>
      <c r="FI572" s="232"/>
      <c r="FJ572" s="232"/>
      <c r="FK572" s="232"/>
      <c r="FL572" s="232"/>
      <c r="FM572" s="232"/>
      <c r="FN572" s="232"/>
      <c r="FO572" s="232"/>
      <c r="FP572" s="232"/>
      <c r="FQ572" s="232"/>
      <c r="FR572" s="232"/>
      <c r="FS572" s="232"/>
      <c r="FT572" s="232"/>
      <c r="FU572" s="232"/>
      <c r="FV572" s="232"/>
      <c r="FW572" s="232"/>
      <c r="FX572" s="232"/>
      <c r="FY572" s="232"/>
      <c r="FZ572" s="232"/>
      <c r="GA572" s="232"/>
      <c r="GB572" s="232"/>
      <c r="GC572" s="232"/>
      <c r="GD572" s="232"/>
      <c r="GE572" s="232"/>
      <c r="GF572" s="232"/>
      <c r="GG572" s="232"/>
      <c r="GH572" s="232"/>
      <c r="GI572" s="232"/>
      <c r="GJ572" s="232"/>
    </row>
    <row r="573" spans="1:192" s="93" customFormat="1" ht="12.75" customHeight="1">
      <c r="A573" s="68"/>
      <c r="B573" s="677"/>
      <c r="C573" s="232"/>
      <c r="D573" s="232"/>
      <c r="E573" s="232"/>
      <c r="F573" s="232"/>
      <c r="G573" s="232"/>
      <c r="H573" s="232"/>
      <c r="I573" s="232"/>
      <c r="J573" s="232"/>
      <c r="K573" s="232"/>
      <c r="L573" s="232"/>
      <c r="M573" s="232"/>
      <c r="N573" s="232"/>
      <c r="O573" s="232"/>
      <c r="P573" s="232"/>
      <c r="Q573" s="232"/>
      <c r="R573" s="232"/>
      <c r="S573" s="232"/>
      <c r="T573" s="232"/>
      <c r="U573" s="232"/>
      <c r="V573" s="232"/>
      <c r="W573" s="232"/>
      <c r="X573" s="232"/>
      <c r="Y573" s="232"/>
      <c r="Z573" s="232"/>
      <c r="AA573" s="232"/>
      <c r="AB573" s="232"/>
      <c r="AC573" s="232"/>
      <c r="AD573" s="232"/>
      <c r="AE573" s="232"/>
      <c r="AF573" s="232"/>
      <c r="AG573" s="232"/>
      <c r="AH573" s="232"/>
      <c r="AI573" s="232"/>
      <c r="AJ573" s="232"/>
      <c r="AK573" s="232"/>
      <c r="AL573" s="232"/>
      <c r="AM573" s="232"/>
      <c r="AN573" s="232"/>
      <c r="AO573" s="232"/>
      <c r="AP573" s="232"/>
      <c r="AQ573" s="232"/>
      <c r="AR573" s="232"/>
      <c r="AS573" s="232"/>
      <c r="AT573" s="232"/>
      <c r="AU573" s="232"/>
      <c r="AV573" s="232"/>
      <c r="AW573" s="232"/>
      <c r="AX573" s="232"/>
      <c r="AY573" s="232"/>
      <c r="AZ573" s="232"/>
      <c r="BA573" s="232"/>
      <c r="BB573" s="232"/>
      <c r="BC573" s="232"/>
      <c r="BD573" s="232"/>
      <c r="BE573" s="232"/>
      <c r="BF573" s="232"/>
      <c r="BG573" s="232"/>
      <c r="BH573" s="232"/>
      <c r="BI573" s="232"/>
      <c r="BJ573" s="232"/>
      <c r="BK573" s="232"/>
      <c r="BL573" s="232"/>
      <c r="BM573" s="232"/>
      <c r="BN573" s="232"/>
      <c r="BO573" s="232"/>
      <c r="BP573" s="232"/>
      <c r="BQ573" s="232"/>
      <c r="BR573" s="232"/>
      <c r="BS573" s="232"/>
      <c r="BT573" s="232"/>
      <c r="BU573" s="232"/>
      <c r="BV573" s="232"/>
      <c r="BW573" s="232"/>
      <c r="BX573" s="232"/>
      <c r="BY573" s="232"/>
      <c r="BZ573" s="232"/>
      <c r="CA573" s="232"/>
      <c r="CB573" s="232"/>
      <c r="CC573" s="232"/>
      <c r="CD573" s="232"/>
      <c r="CE573" s="232"/>
      <c r="CF573" s="232"/>
      <c r="CG573" s="232"/>
      <c r="CH573" s="232"/>
      <c r="CI573" s="232"/>
      <c r="CJ573" s="232"/>
      <c r="CK573" s="232"/>
      <c r="CL573" s="232"/>
      <c r="CM573" s="232"/>
      <c r="CN573" s="232"/>
      <c r="CO573" s="232"/>
      <c r="CP573" s="232"/>
      <c r="CQ573" s="232"/>
      <c r="CR573" s="232"/>
      <c r="CS573" s="232"/>
      <c r="CT573" s="232"/>
      <c r="CU573" s="232"/>
      <c r="CV573" s="232"/>
      <c r="CW573" s="232"/>
      <c r="CX573" s="232"/>
      <c r="CY573" s="232"/>
      <c r="CZ573" s="232"/>
      <c r="DA573" s="232"/>
      <c r="DB573" s="232"/>
      <c r="DC573" s="232"/>
      <c r="DD573" s="232"/>
      <c r="DE573" s="232"/>
      <c r="DF573" s="232"/>
      <c r="DG573" s="232"/>
      <c r="DH573" s="232"/>
      <c r="DI573" s="232"/>
      <c r="DJ573" s="232"/>
      <c r="DK573" s="232"/>
      <c r="DL573" s="232"/>
      <c r="DM573" s="232"/>
      <c r="DN573" s="232"/>
      <c r="DO573" s="232"/>
      <c r="DP573" s="232"/>
      <c r="DQ573" s="232"/>
      <c r="DR573" s="232"/>
      <c r="DS573" s="232"/>
      <c r="DT573" s="232"/>
      <c r="DU573" s="232"/>
      <c r="DV573" s="232"/>
      <c r="DW573" s="232"/>
      <c r="DX573" s="232"/>
      <c r="DY573" s="232"/>
      <c r="DZ573" s="232"/>
      <c r="EA573" s="232"/>
      <c r="EB573" s="232"/>
      <c r="EC573" s="232"/>
      <c r="ED573" s="232"/>
      <c r="EE573" s="232"/>
      <c r="EF573" s="232"/>
      <c r="EG573" s="232"/>
      <c r="EH573" s="232"/>
      <c r="EI573" s="232"/>
      <c r="EJ573" s="232"/>
      <c r="EK573" s="232"/>
      <c r="EL573" s="232"/>
      <c r="EM573" s="232"/>
      <c r="EN573" s="232"/>
      <c r="EO573" s="232"/>
      <c r="EP573" s="232"/>
      <c r="EQ573" s="232"/>
      <c r="ER573" s="232"/>
      <c r="ES573" s="232"/>
      <c r="ET573" s="232"/>
      <c r="EU573" s="232"/>
      <c r="EV573" s="232"/>
      <c r="EW573" s="232"/>
      <c r="EX573" s="232"/>
      <c r="EY573" s="232"/>
      <c r="EZ573" s="232"/>
      <c r="FA573" s="232"/>
      <c r="FB573" s="232"/>
      <c r="FC573" s="232"/>
      <c r="FD573" s="232"/>
      <c r="FE573" s="232"/>
      <c r="FF573" s="232"/>
      <c r="FG573" s="232"/>
      <c r="FH573" s="232"/>
      <c r="FI573" s="232"/>
      <c r="FJ573" s="232"/>
      <c r="FK573" s="232"/>
      <c r="FL573" s="232"/>
      <c r="FM573" s="232"/>
      <c r="FN573" s="232"/>
      <c r="FO573" s="232"/>
      <c r="FP573" s="232"/>
      <c r="FQ573" s="232"/>
      <c r="FR573" s="232"/>
      <c r="FS573" s="232"/>
      <c r="FT573" s="232"/>
      <c r="FU573" s="232"/>
      <c r="FV573" s="232"/>
      <c r="FW573" s="232"/>
      <c r="FX573" s="232"/>
      <c r="FY573" s="232"/>
      <c r="FZ573" s="232"/>
      <c r="GA573" s="232"/>
      <c r="GB573" s="232"/>
      <c r="GC573" s="232"/>
      <c r="GD573" s="232"/>
      <c r="GE573" s="232"/>
      <c r="GF573" s="232"/>
      <c r="GG573" s="232"/>
      <c r="GH573" s="232"/>
      <c r="GI573" s="232"/>
      <c r="GJ573" s="232"/>
    </row>
    <row r="574" spans="1:192" s="93" customFormat="1" ht="12.75" customHeight="1">
      <c r="A574" s="68"/>
      <c r="B574" s="677"/>
      <c r="C574" s="231"/>
      <c r="D574" s="231"/>
      <c r="E574" s="231"/>
      <c r="F574" s="231"/>
      <c r="G574" s="231"/>
      <c r="H574" s="231"/>
      <c r="I574" s="231"/>
      <c r="J574" s="231"/>
      <c r="K574" s="231"/>
      <c r="L574" s="231"/>
      <c r="M574" s="231"/>
      <c r="N574" s="231"/>
      <c r="O574" s="231"/>
      <c r="P574" s="231"/>
      <c r="Q574" s="231"/>
      <c r="R574" s="231"/>
      <c r="S574" s="231"/>
      <c r="T574" s="231"/>
      <c r="U574" s="231"/>
      <c r="V574" s="231"/>
      <c r="W574" s="231"/>
      <c r="X574" s="231"/>
      <c r="Y574" s="231"/>
      <c r="Z574" s="231"/>
      <c r="AA574" s="231"/>
      <c r="AB574" s="231"/>
      <c r="AC574" s="231"/>
      <c r="AD574" s="231"/>
      <c r="AE574" s="231"/>
      <c r="AF574" s="231"/>
      <c r="AG574" s="231"/>
      <c r="AH574" s="231"/>
      <c r="AI574" s="231"/>
      <c r="AJ574" s="231"/>
      <c r="AK574" s="231"/>
      <c r="AL574" s="231"/>
      <c r="AM574" s="231"/>
      <c r="AN574" s="231"/>
      <c r="AO574" s="231"/>
      <c r="AP574" s="231"/>
      <c r="AQ574" s="231"/>
      <c r="AR574" s="231"/>
      <c r="AS574" s="231"/>
      <c r="AT574" s="231"/>
      <c r="AU574" s="231"/>
      <c r="AV574" s="231"/>
      <c r="AW574" s="231"/>
      <c r="AX574" s="231"/>
      <c r="AY574" s="231"/>
      <c r="AZ574" s="231"/>
      <c r="BA574" s="231"/>
      <c r="BB574" s="231"/>
      <c r="BC574" s="231"/>
      <c r="BD574" s="231"/>
      <c r="BE574" s="231"/>
      <c r="BF574" s="231"/>
      <c r="BG574" s="231"/>
      <c r="BH574" s="231"/>
      <c r="BI574" s="231"/>
      <c r="BJ574" s="231"/>
      <c r="BK574" s="231"/>
      <c r="BL574" s="231"/>
      <c r="BM574" s="231"/>
      <c r="BN574" s="231"/>
      <c r="BO574" s="231"/>
      <c r="BP574" s="231"/>
      <c r="BQ574" s="231"/>
      <c r="BR574" s="231"/>
      <c r="BS574" s="231"/>
      <c r="BT574" s="231"/>
      <c r="BU574" s="231"/>
      <c r="BV574" s="231"/>
      <c r="BW574" s="231"/>
      <c r="BX574" s="231"/>
      <c r="BY574" s="231"/>
      <c r="BZ574" s="231"/>
      <c r="CA574" s="231"/>
      <c r="CB574" s="231"/>
      <c r="CC574" s="231"/>
      <c r="CD574" s="231"/>
      <c r="CE574" s="231"/>
      <c r="CF574" s="231"/>
      <c r="CG574" s="231"/>
      <c r="CH574" s="231"/>
      <c r="CI574" s="231"/>
      <c r="CJ574" s="231"/>
      <c r="CK574" s="231"/>
      <c r="CL574" s="231"/>
      <c r="CM574" s="231"/>
      <c r="CN574" s="231"/>
      <c r="CO574" s="231"/>
      <c r="CP574" s="231"/>
      <c r="CQ574" s="231"/>
      <c r="CR574" s="231"/>
      <c r="CS574" s="231"/>
      <c r="CT574" s="231"/>
      <c r="CU574" s="231"/>
      <c r="CV574" s="231"/>
      <c r="CW574" s="231"/>
      <c r="CX574" s="231"/>
      <c r="CY574" s="231"/>
      <c r="CZ574" s="231"/>
      <c r="DA574" s="231"/>
      <c r="DB574" s="231"/>
      <c r="DC574" s="231"/>
      <c r="DD574" s="231"/>
      <c r="DE574" s="231"/>
      <c r="DF574" s="231"/>
      <c r="DG574" s="231"/>
      <c r="DH574" s="231"/>
      <c r="DI574" s="231"/>
      <c r="DJ574" s="231"/>
      <c r="DK574" s="231"/>
      <c r="DL574" s="231"/>
      <c r="DM574" s="231"/>
      <c r="DN574" s="231"/>
      <c r="DO574" s="231"/>
      <c r="DP574" s="231"/>
      <c r="DQ574" s="231"/>
      <c r="DR574" s="231"/>
      <c r="DS574" s="231"/>
      <c r="DT574" s="231"/>
      <c r="DU574" s="231"/>
      <c r="DV574" s="231"/>
      <c r="DW574" s="231"/>
      <c r="DX574" s="231"/>
      <c r="DY574" s="231"/>
      <c r="DZ574" s="231"/>
      <c r="EA574" s="231"/>
      <c r="EB574" s="231"/>
      <c r="EC574" s="231"/>
      <c r="ED574" s="231"/>
      <c r="EE574" s="231"/>
      <c r="EF574" s="231"/>
      <c r="EG574" s="231"/>
      <c r="EH574" s="231"/>
      <c r="EI574" s="231"/>
      <c r="EJ574" s="231"/>
      <c r="EK574" s="231"/>
      <c r="EL574" s="231"/>
      <c r="EM574" s="231"/>
      <c r="EN574" s="231"/>
      <c r="EO574" s="231"/>
      <c r="EP574" s="231"/>
      <c r="EQ574" s="231"/>
      <c r="ER574" s="231"/>
      <c r="ES574" s="231"/>
      <c r="ET574" s="231"/>
      <c r="EU574" s="231"/>
      <c r="EV574" s="231"/>
      <c r="EW574" s="231"/>
      <c r="EX574" s="231"/>
      <c r="EY574" s="231"/>
      <c r="EZ574" s="231"/>
      <c r="FA574" s="231"/>
      <c r="FB574" s="231"/>
      <c r="FC574" s="231"/>
      <c r="FD574" s="231"/>
      <c r="FE574" s="231"/>
      <c r="FF574" s="231"/>
      <c r="FG574" s="231"/>
      <c r="FH574" s="231"/>
      <c r="FI574" s="231"/>
      <c r="FJ574" s="231"/>
      <c r="FK574" s="231"/>
      <c r="FL574" s="231"/>
      <c r="FM574" s="231"/>
      <c r="FN574" s="231"/>
      <c r="FO574" s="231"/>
      <c r="FP574" s="231"/>
      <c r="FQ574" s="231"/>
      <c r="FR574" s="231"/>
      <c r="FS574" s="231"/>
      <c r="FT574" s="231"/>
      <c r="FU574" s="231"/>
      <c r="FV574" s="231"/>
      <c r="FW574" s="231"/>
      <c r="FX574" s="231"/>
      <c r="FY574" s="231"/>
      <c r="FZ574" s="231"/>
      <c r="GA574" s="231"/>
      <c r="GB574" s="231"/>
      <c r="GC574" s="231"/>
      <c r="GD574" s="231"/>
      <c r="GE574" s="231"/>
      <c r="GF574" s="231"/>
      <c r="GG574" s="231"/>
      <c r="GH574" s="231"/>
      <c r="GI574" s="231"/>
      <c r="GJ574" s="231"/>
    </row>
    <row r="575" spans="1:192" s="93" customFormat="1" ht="12.75" customHeight="1">
      <c r="A575" s="68"/>
      <c r="B575" s="677"/>
      <c r="C575" s="220"/>
      <c r="D575" s="169"/>
      <c r="E575" s="169"/>
      <c r="F575" s="169"/>
      <c r="G575" s="169"/>
      <c r="H575" s="220"/>
      <c r="I575" s="169"/>
      <c r="J575" s="169"/>
      <c r="K575" s="169"/>
      <c r="L575" s="169"/>
      <c r="M575" s="220"/>
      <c r="N575" s="169"/>
      <c r="O575" s="169"/>
      <c r="P575" s="169"/>
      <c r="Q575" s="169"/>
      <c r="R575" s="220"/>
      <c r="S575" s="169"/>
      <c r="T575" s="169"/>
      <c r="U575" s="169"/>
      <c r="V575" s="169"/>
      <c r="W575" s="220"/>
      <c r="X575" s="169"/>
      <c r="Y575" s="169"/>
      <c r="Z575" s="169"/>
      <c r="AA575" s="169"/>
      <c r="AB575" s="220"/>
      <c r="AC575" s="169"/>
      <c r="AD575" s="169"/>
      <c r="AE575" s="169"/>
      <c r="AF575" s="169"/>
      <c r="AG575" s="220"/>
      <c r="AH575" s="169"/>
      <c r="AI575" s="169"/>
      <c r="AJ575" s="169"/>
      <c r="AK575" s="169"/>
      <c r="AL575" s="220"/>
      <c r="AM575" s="169"/>
      <c r="AN575" s="169"/>
      <c r="AO575" s="169"/>
      <c r="AP575" s="169"/>
      <c r="AQ575" s="220"/>
      <c r="AR575" s="169"/>
      <c r="AS575" s="169"/>
      <c r="AT575" s="169"/>
      <c r="AU575" s="169"/>
      <c r="AV575" s="220"/>
      <c r="AW575" s="169"/>
      <c r="AX575" s="169"/>
      <c r="AY575" s="169"/>
      <c r="AZ575" s="169"/>
      <c r="BA575" s="220"/>
      <c r="BB575" s="169"/>
      <c r="BC575" s="169"/>
      <c r="BD575" s="169"/>
      <c r="BE575" s="169"/>
      <c r="BF575" s="220"/>
      <c r="BG575" s="169"/>
      <c r="BH575" s="169"/>
      <c r="BI575" s="169"/>
      <c r="BJ575" s="169"/>
      <c r="BK575" s="220"/>
      <c r="BL575" s="169"/>
      <c r="BM575" s="169"/>
      <c r="BN575" s="169"/>
      <c r="BO575" s="169"/>
      <c r="BP575" s="220"/>
      <c r="BQ575" s="169"/>
      <c r="BR575" s="169"/>
      <c r="BS575" s="169"/>
      <c r="BT575" s="169"/>
      <c r="BU575" s="220"/>
      <c r="BV575" s="169"/>
      <c r="BW575" s="169"/>
      <c r="BX575" s="169"/>
      <c r="BY575" s="169"/>
      <c r="BZ575" s="220"/>
      <c r="CA575" s="169"/>
      <c r="CB575" s="169"/>
      <c r="CC575" s="169"/>
      <c r="CD575" s="169"/>
      <c r="CE575" s="220"/>
      <c r="CF575" s="169"/>
      <c r="CG575" s="169"/>
      <c r="CH575" s="169"/>
      <c r="CI575" s="169"/>
      <c r="CJ575" s="220"/>
      <c r="CK575" s="169"/>
      <c r="CL575" s="169"/>
      <c r="CM575" s="169"/>
      <c r="CN575" s="169"/>
      <c r="CO575" s="220"/>
      <c r="CP575" s="169"/>
      <c r="CQ575" s="169"/>
      <c r="CR575" s="169"/>
      <c r="CS575" s="169"/>
      <c r="CT575" s="220"/>
      <c r="CU575" s="169"/>
      <c r="CV575" s="169"/>
      <c r="CW575" s="169"/>
      <c r="CX575" s="169"/>
      <c r="CY575" s="220"/>
      <c r="CZ575" s="169"/>
      <c r="DA575" s="169"/>
      <c r="DB575" s="169"/>
      <c r="DC575" s="169"/>
      <c r="DD575" s="220"/>
      <c r="DE575" s="169"/>
      <c r="DF575" s="169"/>
      <c r="DG575" s="169"/>
      <c r="DH575" s="169"/>
      <c r="DI575" s="220"/>
      <c r="DJ575" s="169"/>
      <c r="DK575" s="169"/>
      <c r="DL575" s="169"/>
      <c r="DM575" s="169"/>
      <c r="DN575" s="220"/>
      <c r="DO575" s="169"/>
      <c r="DP575" s="169"/>
      <c r="DQ575" s="169"/>
      <c r="DR575" s="169"/>
      <c r="DS575" s="220"/>
      <c r="DT575" s="169"/>
      <c r="DU575" s="169"/>
      <c r="DV575" s="169"/>
      <c r="DW575" s="169"/>
      <c r="DX575" s="220"/>
      <c r="DY575" s="169"/>
      <c r="DZ575" s="169"/>
      <c r="EA575" s="169"/>
      <c r="EB575" s="169"/>
      <c r="EC575" s="220"/>
      <c r="ED575" s="169"/>
      <c r="EE575" s="169"/>
      <c r="EF575" s="169"/>
      <c r="EG575" s="169"/>
      <c r="EH575" s="220"/>
      <c r="EI575" s="169"/>
      <c r="EJ575" s="169"/>
      <c r="EK575" s="169"/>
      <c r="EL575" s="169"/>
      <c r="EM575" s="220"/>
      <c r="EN575" s="169"/>
      <c r="EO575" s="169"/>
      <c r="EP575" s="169"/>
      <c r="EQ575" s="169"/>
      <c r="ER575" s="220"/>
      <c r="ES575" s="169"/>
      <c r="ET575" s="169"/>
      <c r="EU575" s="169"/>
      <c r="EV575" s="169"/>
      <c r="EW575" s="220"/>
      <c r="EX575" s="169"/>
      <c r="EY575" s="169"/>
      <c r="EZ575" s="169"/>
      <c r="FA575" s="169"/>
      <c r="FB575" s="220"/>
      <c r="FC575" s="169"/>
      <c r="FD575" s="169"/>
      <c r="FE575" s="169"/>
      <c r="FF575" s="169"/>
      <c r="FG575" s="220"/>
      <c r="FH575" s="169"/>
      <c r="FI575" s="169"/>
      <c r="FJ575" s="169"/>
      <c r="FK575" s="169"/>
      <c r="FL575" s="220"/>
      <c r="FM575" s="169"/>
      <c r="FN575" s="169"/>
      <c r="FO575" s="169"/>
      <c r="FP575" s="169"/>
      <c r="FQ575" s="220"/>
      <c r="FR575" s="169"/>
      <c r="FS575" s="169"/>
      <c r="FT575" s="169"/>
      <c r="FU575" s="169"/>
      <c r="FV575" s="220"/>
      <c r="FW575" s="169"/>
      <c r="FX575" s="169"/>
      <c r="FY575" s="169"/>
      <c r="FZ575" s="169"/>
      <c r="GA575" s="220"/>
      <c r="GB575" s="169"/>
      <c r="GC575" s="169"/>
      <c r="GD575" s="169"/>
      <c r="GE575" s="169"/>
      <c r="GF575" s="220"/>
      <c r="GG575" s="169"/>
      <c r="GH575" s="169"/>
      <c r="GI575" s="169"/>
      <c r="GJ575" s="169"/>
    </row>
    <row r="576" spans="1:192" s="93" customFormat="1" ht="12.75" customHeight="1">
      <c r="A576" s="68"/>
      <c r="B576" s="677"/>
      <c r="C576" s="198"/>
      <c r="D576" s="198"/>
      <c r="E576" s="198"/>
      <c r="F576" s="198"/>
      <c r="G576" s="198"/>
      <c r="H576" s="198"/>
      <c r="I576" s="198"/>
      <c r="J576" s="198"/>
      <c r="K576" s="198"/>
      <c r="L576" s="198"/>
      <c r="M576" s="198"/>
      <c r="N576" s="198"/>
      <c r="O576" s="198"/>
      <c r="P576" s="198"/>
      <c r="Q576" s="198"/>
      <c r="R576" s="198"/>
      <c r="S576" s="198"/>
      <c r="T576" s="198"/>
      <c r="U576" s="198"/>
      <c r="V576" s="198"/>
      <c r="W576" s="198"/>
      <c r="X576" s="198"/>
      <c r="Y576" s="198"/>
      <c r="Z576" s="198"/>
      <c r="AA576" s="198"/>
      <c r="AB576" s="198"/>
      <c r="AC576" s="198"/>
      <c r="AD576" s="198"/>
      <c r="AE576" s="198"/>
      <c r="AF576" s="198"/>
      <c r="AG576" s="198"/>
      <c r="AH576" s="198"/>
      <c r="AI576" s="198"/>
      <c r="AJ576" s="198"/>
      <c r="AK576" s="198"/>
      <c r="AL576" s="198"/>
      <c r="AM576" s="198"/>
      <c r="AN576" s="198"/>
      <c r="AO576" s="198"/>
      <c r="AP576" s="198"/>
      <c r="AQ576" s="198"/>
      <c r="AR576" s="198"/>
      <c r="AS576" s="198"/>
      <c r="AT576" s="198"/>
      <c r="AU576" s="198"/>
      <c r="AV576" s="198"/>
      <c r="AW576" s="198"/>
      <c r="AX576" s="198"/>
      <c r="AY576" s="198"/>
      <c r="AZ576" s="198"/>
      <c r="BA576" s="198"/>
      <c r="BB576" s="198"/>
      <c r="BC576" s="198"/>
      <c r="BD576" s="198"/>
      <c r="BE576" s="198"/>
      <c r="BF576" s="198"/>
      <c r="BG576" s="198"/>
      <c r="BH576" s="198"/>
      <c r="BI576" s="198"/>
      <c r="BJ576" s="198"/>
      <c r="BK576" s="198"/>
      <c r="BL576" s="198"/>
      <c r="BM576" s="198"/>
      <c r="BN576" s="198"/>
      <c r="BO576" s="198"/>
      <c r="BP576" s="198"/>
      <c r="BQ576" s="198"/>
      <c r="BR576" s="198"/>
      <c r="BS576" s="198"/>
      <c r="BT576" s="198"/>
      <c r="BU576" s="198"/>
      <c r="BV576" s="198"/>
      <c r="BW576" s="198"/>
      <c r="BX576" s="198"/>
      <c r="BY576" s="198"/>
      <c r="BZ576" s="198"/>
      <c r="CA576" s="198"/>
      <c r="CB576" s="198"/>
      <c r="CC576" s="198"/>
      <c r="CD576" s="198"/>
      <c r="CE576" s="198"/>
      <c r="CF576" s="198"/>
      <c r="CG576" s="198"/>
      <c r="CH576" s="198"/>
      <c r="CI576" s="198"/>
      <c r="CJ576" s="198"/>
      <c r="CK576" s="198"/>
      <c r="CL576" s="198"/>
      <c r="CM576" s="198"/>
      <c r="CN576" s="198"/>
      <c r="CO576" s="198"/>
      <c r="CP576" s="198"/>
      <c r="CQ576" s="198"/>
      <c r="CR576" s="198"/>
      <c r="CS576" s="198"/>
      <c r="CT576" s="198"/>
      <c r="CU576" s="198"/>
      <c r="CV576" s="198"/>
      <c r="CW576" s="198"/>
      <c r="CX576" s="198"/>
      <c r="CY576" s="198"/>
      <c r="CZ576" s="198"/>
      <c r="DA576" s="198"/>
      <c r="DB576" s="198"/>
      <c r="DC576" s="198"/>
      <c r="DD576" s="198"/>
      <c r="DE576" s="198"/>
      <c r="DF576" s="198"/>
      <c r="DG576" s="198"/>
      <c r="DH576" s="198"/>
      <c r="DI576" s="198"/>
      <c r="DJ576" s="198"/>
      <c r="DK576" s="198"/>
      <c r="DL576" s="198"/>
      <c r="DM576" s="198"/>
      <c r="DN576" s="198"/>
      <c r="DO576" s="198"/>
      <c r="DP576" s="198"/>
      <c r="DQ576" s="198"/>
      <c r="DR576" s="198"/>
      <c r="DS576" s="198"/>
      <c r="DT576" s="198"/>
      <c r="DU576" s="198"/>
      <c r="DV576" s="198"/>
      <c r="DW576" s="198"/>
      <c r="DX576" s="198"/>
      <c r="DY576" s="198"/>
      <c r="DZ576" s="198"/>
      <c r="EA576" s="198"/>
      <c r="EB576" s="198"/>
      <c r="EC576" s="198"/>
      <c r="ED576" s="198"/>
      <c r="EE576" s="198"/>
      <c r="EF576" s="198"/>
      <c r="EG576" s="198"/>
      <c r="EH576" s="198"/>
      <c r="EI576" s="198"/>
      <c r="EJ576" s="198"/>
      <c r="EK576" s="198"/>
      <c r="EL576" s="198"/>
      <c r="EM576" s="198"/>
      <c r="EN576" s="198"/>
      <c r="EO576" s="198"/>
      <c r="EP576" s="198"/>
      <c r="EQ576" s="198"/>
      <c r="ER576" s="198"/>
      <c r="ES576" s="198"/>
      <c r="ET576" s="198"/>
      <c r="EU576" s="198"/>
      <c r="EV576" s="198"/>
      <c r="EW576" s="198"/>
      <c r="EX576" s="198"/>
      <c r="EY576" s="198"/>
      <c r="EZ576" s="198"/>
      <c r="FA576" s="198"/>
      <c r="FB576" s="198"/>
      <c r="FC576" s="198"/>
      <c r="FD576" s="198"/>
      <c r="FE576" s="198"/>
      <c r="FF576" s="198"/>
      <c r="FG576" s="198"/>
      <c r="FH576" s="198"/>
      <c r="FI576" s="198"/>
      <c r="FJ576" s="198"/>
      <c r="FK576" s="198"/>
      <c r="FL576" s="198"/>
      <c r="FM576" s="198"/>
      <c r="FN576" s="198"/>
      <c r="FO576" s="198"/>
      <c r="FP576" s="198"/>
      <c r="FQ576" s="198"/>
      <c r="FR576" s="198"/>
      <c r="FS576" s="198"/>
      <c r="FT576" s="198"/>
      <c r="FU576" s="198"/>
      <c r="FV576" s="198"/>
      <c r="FW576" s="198"/>
      <c r="FX576" s="198"/>
      <c r="FY576" s="198"/>
      <c r="FZ576" s="198"/>
      <c r="GA576" s="198"/>
      <c r="GB576" s="198"/>
      <c r="GC576" s="198"/>
      <c r="GD576" s="198"/>
      <c r="GE576" s="198"/>
      <c r="GF576" s="198"/>
      <c r="GG576" s="198"/>
      <c r="GH576" s="198"/>
      <c r="GI576" s="198"/>
      <c r="GJ576" s="198"/>
    </row>
    <row r="577" spans="1:192" s="93" customFormat="1" ht="12.75" customHeight="1">
      <c r="A577" s="68"/>
      <c r="B577" s="677"/>
      <c r="C577" s="169"/>
      <c r="D577" s="169"/>
      <c r="E577" s="169"/>
      <c r="F577" s="169"/>
      <c r="G577" s="169"/>
      <c r="H577" s="169"/>
      <c r="I577" s="169"/>
      <c r="J577" s="169"/>
      <c r="K577" s="169"/>
      <c r="L577" s="169"/>
      <c r="M577" s="169"/>
      <c r="N577" s="169"/>
      <c r="O577" s="169"/>
      <c r="P577" s="169"/>
      <c r="Q577" s="169"/>
      <c r="R577" s="169"/>
      <c r="S577" s="169"/>
      <c r="T577" s="169"/>
      <c r="U577" s="169"/>
      <c r="V577" s="169"/>
      <c r="W577" s="169"/>
      <c r="X577" s="169"/>
      <c r="Y577" s="169"/>
      <c r="Z577" s="169"/>
      <c r="AA577" s="169"/>
      <c r="AB577" s="169"/>
      <c r="AC577" s="169"/>
      <c r="AD577" s="169"/>
      <c r="AE577" s="169"/>
      <c r="AF577" s="169"/>
      <c r="AG577" s="169"/>
      <c r="AH577" s="169"/>
      <c r="AI577" s="169"/>
      <c r="AJ577" s="169"/>
      <c r="AK577" s="169"/>
      <c r="AL577" s="169"/>
      <c r="AM577" s="169"/>
      <c r="AN577" s="169"/>
      <c r="AO577" s="169"/>
      <c r="AP577" s="169"/>
      <c r="AQ577" s="169"/>
      <c r="AR577" s="169"/>
      <c r="AS577" s="169"/>
      <c r="AT577" s="169"/>
      <c r="AU577" s="169"/>
      <c r="AV577" s="169"/>
      <c r="AW577" s="169"/>
      <c r="AX577" s="169"/>
      <c r="AY577" s="169"/>
      <c r="AZ577" s="169"/>
      <c r="BA577" s="169"/>
      <c r="BB577" s="169"/>
      <c r="BC577" s="169"/>
      <c r="BD577" s="169"/>
      <c r="BE577" s="169"/>
      <c r="BF577" s="169"/>
      <c r="BG577" s="169"/>
      <c r="BH577" s="169"/>
      <c r="BI577" s="169"/>
      <c r="BJ577" s="169"/>
      <c r="BK577" s="169"/>
      <c r="BL577" s="169"/>
      <c r="BM577" s="169"/>
      <c r="BN577" s="169"/>
      <c r="BO577" s="169"/>
      <c r="BP577" s="169"/>
      <c r="BQ577" s="169"/>
      <c r="BR577" s="169"/>
      <c r="BS577" s="169"/>
      <c r="BT577" s="169"/>
      <c r="BU577" s="169"/>
      <c r="BV577" s="169"/>
      <c r="BW577" s="169"/>
      <c r="BX577" s="169"/>
      <c r="BY577" s="169"/>
      <c r="BZ577" s="169"/>
      <c r="CA577" s="169"/>
      <c r="CB577" s="169"/>
      <c r="CC577" s="169"/>
      <c r="CD577" s="169"/>
      <c r="CE577" s="169"/>
      <c r="CF577" s="169"/>
      <c r="CG577" s="169"/>
      <c r="CH577" s="169"/>
      <c r="CI577" s="169"/>
      <c r="CJ577" s="169"/>
      <c r="CK577" s="169"/>
      <c r="CL577" s="169"/>
      <c r="CM577" s="169"/>
      <c r="CN577" s="169"/>
      <c r="CO577" s="169"/>
      <c r="CP577" s="169"/>
      <c r="CQ577" s="169"/>
      <c r="CR577" s="169"/>
      <c r="CS577" s="169"/>
      <c r="CT577" s="169"/>
      <c r="CU577" s="169"/>
      <c r="CV577" s="169"/>
      <c r="CW577" s="169"/>
      <c r="CX577" s="169"/>
      <c r="CY577" s="169"/>
      <c r="CZ577" s="169"/>
      <c r="DA577" s="169"/>
      <c r="DB577" s="169"/>
      <c r="DC577" s="169"/>
      <c r="DD577" s="169"/>
      <c r="DE577" s="169"/>
      <c r="DF577" s="169"/>
      <c r="DG577" s="169"/>
      <c r="DH577" s="169"/>
      <c r="DI577" s="169"/>
      <c r="DJ577" s="169"/>
      <c r="DK577" s="169"/>
      <c r="DL577" s="169"/>
      <c r="DM577" s="169"/>
      <c r="DN577" s="169"/>
      <c r="DO577" s="169"/>
      <c r="DP577" s="169"/>
      <c r="DQ577" s="169"/>
      <c r="DR577" s="169"/>
      <c r="DS577" s="169"/>
      <c r="DT577" s="169"/>
      <c r="DU577" s="169"/>
      <c r="DV577" s="169"/>
      <c r="DW577" s="169"/>
      <c r="DX577" s="169"/>
      <c r="DY577" s="169"/>
      <c r="DZ577" s="169"/>
      <c r="EA577" s="169"/>
      <c r="EB577" s="169"/>
      <c r="EC577" s="169"/>
      <c r="ED577" s="169"/>
      <c r="EE577" s="169"/>
      <c r="EF577" s="169"/>
      <c r="EG577" s="169"/>
      <c r="EH577" s="169"/>
      <c r="EI577" s="169"/>
      <c r="EJ577" s="169"/>
      <c r="EK577" s="169"/>
      <c r="EL577" s="169"/>
      <c r="EM577" s="169"/>
      <c r="EN577" s="169"/>
      <c r="EO577" s="169"/>
      <c r="EP577" s="169"/>
      <c r="EQ577" s="169"/>
      <c r="ER577" s="169"/>
      <c r="ES577" s="169"/>
      <c r="ET577" s="169"/>
      <c r="EU577" s="169"/>
      <c r="EV577" s="169"/>
      <c r="EW577" s="169"/>
      <c r="EX577" s="169"/>
      <c r="EY577" s="169"/>
      <c r="EZ577" s="169"/>
      <c r="FA577" s="169"/>
      <c r="FB577" s="169"/>
      <c r="FC577" s="169"/>
      <c r="FD577" s="169"/>
      <c r="FE577" s="169"/>
      <c r="FF577" s="169"/>
      <c r="FG577" s="169"/>
      <c r="FH577" s="169"/>
      <c r="FI577" s="169"/>
      <c r="FJ577" s="169"/>
      <c r="FK577" s="169"/>
      <c r="FL577" s="169"/>
      <c r="FM577" s="169"/>
      <c r="FN577" s="169"/>
      <c r="FO577" s="169"/>
      <c r="FP577" s="169"/>
      <c r="FQ577" s="169"/>
      <c r="FR577" s="169"/>
      <c r="FS577" s="169"/>
      <c r="FT577" s="169"/>
      <c r="FU577" s="169"/>
      <c r="FV577" s="169"/>
      <c r="FW577" s="169"/>
      <c r="FX577" s="169"/>
      <c r="FY577" s="169"/>
      <c r="FZ577" s="169"/>
      <c r="GA577" s="169"/>
      <c r="GB577" s="169"/>
      <c r="GC577" s="169"/>
      <c r="GD577" s="169"/>
      <c r="GE577" s="169"/>
      <c r="GF577" s="169"/>
      <c r="GG577" s="169"/>
      <c r="GH577" s="169"/>
      <c r="GI577" s="169"/>
      <c r="GJ577" s="169"/>
    </row>
    <row r="578" spans="1:192" s="93" customFormat="1" ht="12.75" customHeight="1">
      <c r="A578" s="68"/>
      <c r="B578" s="677"/>
      <c r="C578" s="169"/>
      <c r="D578" s="169"/>
      <c r="E578" s="169"/>
      <c r="F578" s="169"/>
      <c r="G578" s="169"/>
      <c r="H578" s="169"/>
      <c r="I578" s="169"/>
      <c r="J578" s="169"/>
      <c r="K578" s="169"/>
      <c r="L578" s="169"/>
      <c r="M578" s="169"/>
      <c r="N578" s="169"/>
      <c r="O578" s="169"/>
      <c r="P578" s="169"/>
      <c r="Q578" s="169"/>
      <c r="R578" s="169"/>
      <c r="S578" s="169"/>
      <c r="T578" s="169"/>
      <c r="U578" s="169"/>
      <c r="V578" s="169"/>
      <c r="W578" s="169"/>
      <c r="X578" s="169"/>
      <c r="Y578" s="169"/>
      <c r="Z578" s="169"/>
      <c r="AA578" s="169"/>
      <c r="AB578" s="169"/>
      <c r="AC578" s="169"/>
      <c r="AD578" s="169"/>
      <c r="AE578" s="169"/>
      <c r="AF578" s="169"/>
      <c r="AG578" s="169"/>
      <c r="AH578" s="169"/>
      <c r="AI578" s="169"/>
      <c r="AJ578" s="169"/>
      <c r="AK578" s="169"/>
      <c r="AL578" s="169"/>
      <c r="AM578" s="169"/>
      <c r="AN578" s="169"/>
      <c r="AO578" s="169"/>
      <c r="AP578" s="169"/>
      <c r="AQ578" s="169"/>
      <c r="AR578" s="169"/>
      <c r="AS578" s="169"/>
      <c r="AT578" s="169"/>
      <c r="AU578" s="169"/>
      <c r="AV578" s="169"/>
      <c r="AW578" s="169"/>
      <c r="AX578" s="169"/>
      <c r="AY578" s="169"/>
      <c r="AZ578" s="169"/>
      <c r="BA578" s="169"/>
      <c r="BB578" s="169"/>
      <c r="BC578" s="169"/>
      <c r="BD578" s="169"/>
      <c r="BE578" s="169"/>
      <c r="BF578" s="169"/>
      <c r="BG578" s="169"/>
      <c r="BH578" s="169"/>
      <c r="BI578" s="169"/>
      <c r="BJ578" s="169"/>
      <c r="BK578" s="169"/>
      <c r="BL578" s="169"/>
      <c r="BM578" s="169"/>
      <c r="BN578" s="169"/>
      <c r="BO578" s="169"/>
      <c r="BP578" s="169"/>
      <c r="BQ578" s="169"/>
      <c r="BR578" s="169"/>
      <c r="BS578" s="169"/>
      <c r="BT578" s="169"/>
      <c r="BU578" s="169"/>
      <c r="BV578" s="169"/>
      <c r="BW578" s="169"/>
      <c r="BX578" s="169"/>
      <c r="BY578" s="169"/>
      <c r="BZ578" s="169"/>
      <c r="CA578" s="169"/>
      <c r="CB578" s="169"/>
      <c r="CC578" s="169"/>
      <c r="CD578" s="169"/>
      <c r="CE578" s="169"/>
      <c r="CF578" s="169"/>
      <c r="CG578" s="169"/>
      <c r="CH578" s="169"/>
      <c r="CI578" s="169"/>
      <c r="CJ578" s="169"/>
      <c r="CK578" s="169"/>
      <c r="CL578" s="169"/>
      <c r="CM578" s="169"/>
      <c r="CN578" s="169"/>
      <c r="CO578" s="169"/>
      <c r="CP578" s="169"/>
      <c r="CQ578" s="169"/>
      <c r="CR578" s="169"/>
      <c r="CS578" s="169"/>
      <c r="CT578" s="169"/>
      <c r="CU578" s="169"/>
      <c r="CV578" s="169"/>
      <c r="CW578" s="169"/>
      <c r="CX578" s="169"/>
      <c r="CY578" s="169"/>
      <c r="CZ578" s="169"/>
      <c r="DA578" s="169"/>
      <c r="DB578" s="169"/>
      <c r="DC578" s="169"/>
      <c r="DD578" s="169"/>
      <c r="DE578" s="169"/>
      <c r="DF578" s="169"/>
      <c r="DG578" s="169"/>
      <c r="DH578" s="169"/>
      <c r="DI578" s="169"/>
      <c r="DJ578" s="169"/>
      <c r="DK578" s="169"/>
      <c r="DL578" s="169"/>
      <c r="DM578" s="169"/>
      <c r="DN578" s="169"/>
      <c r="DO578" s="169"/>
      <c r="DP578" s="169"/>
      <c r="DQ578" s="169"/>
      <c r="DR578" s="169"/>
      <c r="DS578" s="169"/>
      <c r="DT578" s="169"/>
      <c r="DU578" s="169"/>
      <c r="DV578" s="169"/>
      <c r="DW578" s="169"/>
      <c r="DX578" s="169"/>
      <c r="DY578" s="169"/>
      <c r="DZ578" s="169"/>
      <c r="EA578" s="169"/>
      <c r="EB578" s="169"/>
      <c r="EC578" s="169"/>
      <c r="ED578" s="169"/>
      <c r="EE578" s="169"/>
      <c r="EF578" s="169"/>
      <c r="EG578" s="169"/>
      <c r="EH578" s="169"/>
      <c r="EI578" s="169"/>
      <c r="EJ578" s="169"/>
      <c r="EK578" s="169"/>
      <c r="EL578" s="169"/>
      <c r="EM578" s="169"/>
      <c r="EN578" s="169"/>
      <c r="EO578" s="169"/>
      <c r="EP578" s="169"/>
      <c r="EQ578" s="169"/>
      <c r="ER578" s="169"/>
      <c r="ES578" s="169"/>
      <c r="ET578" s="169"/>
      <c r="EU578" s="169"/>
      <c r="EV578" s="169"/>
      <c r="EW578" s="169"/>
      <c r="EX578" s="169"/>
      <c r="EY578" s="169"/>
      <c r="EZ578" s="169"/>
      <c r="FA578" s="169"/>
      <c r="FB578" s="169"/>
      <c r="FC578" s="169"/>
      <c r="FD578" s="169"/>
      <c r="FE578" s="169"/>
      <c r="FF578" s="169"/>
      <c r="FG578" s="169"/>
      <c r="FH578" s="169"/>
      <c r="FI578" s="169"/>
      <c r="FJ578" s="169"/>
      <c r="FK578" s="169"/>
      <c r="FL578" s="169"/>
      <c r="FM578" s="169"/>
      <c r="FN578" s="169"/>
      <c r="FO578" s="169"/>
      <c r="FP578" s="169"/>
      <c r="FQ578" s="169"/>
      <c r="FR578" s="169"/>
      <c r="FS578" s="169"/>
      <c r="FT578" s="169"/>
      <c r="FU578" s="169"/>
      <c r="FV578" s="169"/>
      <c r="FW578" s="169"/>
      <c r="FX578" s="169"/>
      <c r="FY578" s="169"/>
      <c r="FZ578" s="169"/>
      <c r="GA578" s="169"/>
      <c r="GB578" s="169"/>
      <c r="GC578" s="169"/>
      <c r="GD578" s="169"/>
      <c r="GE578" s="169"/>
      <c r="GF578" s="169"/>
      <c r="GG578" s="169"/>
      <c r="GH578" s="169"/>
      <c r="GI578" s="169"/>
      <c r="GJ578" s="169"/>
    </row>
    <row r="579" spans="1:192" s="93" customFormat="1" ht="12.75" customHeight="1">
      <c r="A579" s="68"/>
      <c r="B579" s="677"/>
      <c r="C579" s="169"/>
      <c r="D579" s="169"/>
      <c r="E579" s="169"/>
      <c r="F579" s="169"/>
      <c r="G579" s="169"/>
      <c r="H579" s="169"/>
      <c r="I579" s="169"/>
      <c r="J579" s="169"/>
      <c r="K579" s="169"/>
      <c r="L579" s="169"/>
      <c r="M579" s="169"/>
      <c r="N579" s="169"/>
      <c r="O579" s="169"/>
      <c r="P579" s="169"/>
      <c r="Q579" s="169"/>
      <c r="R579" s="169"/>
      <c r="S579" s="169"/>
      <c r="T579" s="169"/>
      <c r="U579" s="169"/>
      <c r="V579" s="169"/>
      <c r="W579" s="169"/>
      <c r="X579" s="169"/>
      <c r="Y579" s="169"/>
      <c r="Z579" s="169"/>
      <c r="AA579" s="169"/>
      <c r="AB579" s="169"/>
      <c r="AC579" s="169"/>
      <c r="AD579" s="169"/>
      <c r="AE579" s="169"/>
      <c r="AF579" s="169"/>
      <c r="AG579" s="169"/>
      <c r="AH579" s="169"/>
      <c r="AI579" s="169"/>
      <c r="AJ579" s="169"/>
      <c r="AK579" s="169"/>
      <c r="AL579" s="169"/>
      <c r="AM579" s="169"/>
      <c r="AN579" s="169"/>
      <c r="AO579" s="169"/>
      <c r="AP579" s="169"/>
      <c r="AQ579" s="169"/>
      <c r="AR579" s="169"/>
      <c r="AS579" s="169"/>
      <c r="AT579" s="169"/>
      <c r="AU579" s="169"/>
      <c r="AV579" s="169"/>
      <c r="AW579" s="169"/>
      <c r="AX579" s="169"/>
      <c r="AY579" s="169"/>
      <c r="AZ579" s="169"/>
      <c r="BA579" s="169"/>
      <c r="BB579" s="169"/>
      <c r="BC579" s="169"/>
      <c r="BD579" s="169"/>
      <c r="BE579" s="169"/>
      <c r="BF579" s="169"/>
      <c r="BG579" s="169"/>
      <c r="BH579" s="169"/>
      <c r="BI579" s="169"/>
      <c r="BJ579" s="169"/>
      <c r="BK579" s="169"/>
      <c r="BL579" s="169"/>
      <c r="BM579" s="169"/>
      <c r="BN579" s="169"/>
      <c r="BO579" s="169"/>
      <c r="BP579" s="169"/>
      <c r="BQ579" s="169"/>
      <c r="BR579" s="169"/>
      <c r="BS579" s="169"/>
      <c r="BT579" s="169"/>
      <c r="BU579" s="169"/>
      <c r="BV579" s="169"/>
      <c r="BW579" s="169"/>
      <c r="BX579" s="169"/>
      <c r="BY579" s="169"/>
      <c r="BZ579" s="169"/>
      <c r="CA579" s="169"/>
      <c r="CB579" s="169"/>
      <c r="CC579" s="169"/>
      <c r="CD579" s="169"/>
      <c r="CE579" s="169"/>
      <c r="CF579" s="169"/>
      <c r="CG579" s="169"/>
      <c r="CH579" s="169"/>
      <c r="CI579" s="169"/>
      <c r="CJ579" s="169"/>
      <c r="CK579" s="169"/>
      <c r="CL579" s="169"/>
      <c r="CM579" s="169"/>
      <c r="CN579" s="169"/>
      <c r="CO579" s="169"/>
      <c r="CP579" s="169"/>
      <c r="CQ579" s="169"/>
      <c r="CR579" s="169"/>
      <c r="CS579" s="169"/>
      <c r="CT579" s="169"/>
      <c r="CU579" s="169"/>
      <c r="CV579" s="169"/>
      <c r="CW579" s="169"/>
      <c r="CX579" s="169"/>
      <c r="CY579" s="169"/>
      <c r="CZ579" s="169"/>
      <c r="DA579" s="169"/>
      <c r="DB579" s="169"/>
      <c r="DC579" s="169"/>
      <c r="DD579" s="169"/>
      <c r="DE579" s="169"/>
      <c r="DF579" s="169"/>
      <c r="DG579" s="169"/>
      <c r="DH579" s="169"/>
      <c r="DI579" s="169"/>
      <c r="DJ579" s="169"/>
      <c r="DK579" s="169"/>
      <c r="DL579" s="169"/>
      <c r="DM579" s="169"/>
      <c r="DN579" s="169"/>
      <c r="DO579" s="169"/>
      <c r="DP579" s="169"/>
      <c r="DQ579" s="169"/>
      <c r="DR579" s="169"/>
      <c r="DS579" s="169"/>
      <c r="DT579" s="169"/>
      <c r="DU579" s="169"/>
      <c r="DV579" s="169"/>
      <c r="DW579" s="169"/>
      <c r="DX579" s="169"/>
      <c r="DY579" s="169"/>
      <c r="DZ579" s="169"/>
      <c r="EA579" s="169"/>
      <c r="EB579" s="169"/>
      <c r="EC579" s="169"/>
      <c r="ED579" s="169"/>
      <c r="EE579" s="169"/>
      <c r="EF579" s="169"/>
      <c r="EG579" s="169"/>
      <c r="EH579" s="169"/>
      <c r="EI579" s="169"/>
      <c r="EJ579" s="169"/>
      <c r="EK579" s="169"/>
      <c r="EL579" s="169"/>
      <c r="EM579" s="169"/>
      <c r="EN579" s="169"/>
      <c r="EO579" s="169"/>
      <c r="EP579" s="169"/>
      <c r="EQ579" s="169"/>
      <c r="ER579" s="169"/>
      <c r="ES579" s="169"/>
      <c r="ET579" s="169"/>
      <c r="EU579" s="169"/>
      <c r="EV579" s="169"/>
      <c r="EW579" s="169"/>
      <c r="EX579" s="169"/>
      <c r="EY579" s="169"/>
      <c r="EZ579" s="169"/>
      <c r="FA579" s="169"/>
      <c r="FB579" s="169"/>
      <c r="FC579" s="169"/>
      <c r="FD579" s="169"/>
      <c r="FE579" s="169"/>
      <c r="FF579" s="169"/>
      <c r="FG579" s="169"/>
      <c r="FH579" s="169"/>
      <c r="FI579" s="169"/>
      <c r="FJ579" s="169"/>
      <c r="FK579" s="169"/>
      <c r="FL579" s="169"/>
      <c r="FM579" s="169"/>
      <c r="FN579" s="169"/>
      <c r="FO579" s="169"/>
      <c r="FP579" s="169"/>
      <c r="FQ579" s="169"/>
      <c r="FR579" s="169"/>
      <c r="FS579" s="169"/>
      <c r="FT579" s="169"/>
      <c r="FU579" s="169"/>
      <c r="FV579" s="169"/>
      <c r="FW579" s="169"/>
      <c r="FX579" s="169"/>
      <c r="FY579" s="169"/>
      <c r="FZ579" s="169"/>
      <c r="GA579" s="169"/>
      <c r="GB579" s="169"/>
      <c r="GC579" s="169"/>
      <c r="GD579" s="169"/>
      <c r="GE579" s="169"/>
      <c r="GF579" s="169"/>
      <c r="GG579" s="169"/>
      <c r="GH579" s="169"/>
      <c r="GI579" s="169"/>
      <c r="GJ579" s="169"/>
    </row>
    <row r="580" spans="1:192" s="93" customFormat="1" ht="12.75" customHeight="1">
      <c r="A580" s="68"/>
      <c r="B580" s="677"/>
      <c r="C580" s="169"/>
      <c r="D580" s="169"/>
      <c r="E580" s="169"/>
      <c r="F580" s="169"/>
      <c r="G580" s="169"/>
      <c r="H580" s="169"/>
      <c r="I580" s="169"/>
      <c r="J580" s="169"/>
      <c r="K580" s="169"/>
      <c r="L580" s="169"/>
      <c r="M580" s="169"/>
      <c r="N580" s="169"/>
      <c r="O580" s="169"/>
      <c r="P580" s="169"/>
      <c r="Q580" s="169"/>
      <c r="R580" s="169"/>
      <c r="S580" s="169"/>
      <c r="T580" s="169"/>
      <c r="U580" s="169"/>
      <c r="V580" s="169"/>
      <c r="W580" s="169"/>
      <c r="X580" s="169"/>
      <c r="Y580" s="169"/>
      <c r="Z580" s="169"/>
      <c r="AA580" s="169"/>
      <c r="AB580" s="169"/>
      <c r="AC580" s="169"/>
      <c r="AD580" s="169"/>
      <c r="AE580" s="169"/>
      <c r="AF580" s="169"/>
      <c r="AG580" s="169"/>
      <c r="AH580" s="169"/>
      <c r="AI580" s="169"/>
      <c r="AJ580" s="169"/>
      <c r="AK580" s="169"/>
      <c r="AL580" s="169"/>
      <c r="AM580" s="169"/>
      <c r="AN580" s="169"/>
      <c r="AO580" s="169"/>
      <c r="AP580" s="169"/>
      <c r="AQ580" s="169"/>
      <c r="AR580" s="169"/>
      <c r="AS580" s="169"/>
      <c r="AT580" s="169"/>
      <c r="AU580" s="169"/>
      <c r="AV580" s="169"/>
      <c r="AW580" s="169"/>
      <c r="AX580" s="169"/>
      <c r="AY580" s="169"/>
      <c r="AZ580" s="169"/>
      <c r="BA580" s="169"/>
      <c r="BB580" s="169"/>
      <c r="BC580" s="169"/>
      <c r="BD580" s="169"/>
      <c r="BE580" s="169"/>
      <c r="BF580" s="169"/>
      <c r="BG580" s="169"/>
      <c r="BH580" s="169"/>
      <c r="BI580" s="169"/>
      <c r="BJ580" s="169"/>
      <c r="BK580" s="169"/>
      <c r="BL580" s="169"/>
      <c r="BM580" s="169"/>
      <c r="BN580" s="169"/>
      <c r="BO580" s="169"/>
      <c r="BP580" s="169"/>
      <c r="BQ580" s="169"/>
      <c r="BR580" s="169"/>
      <c r="BS580" s="169"/>
      <c r="BT580" s="169"/>
      <c r="BU580" s="169"/>
      <c r="BV580" s="169"/>
      <c r="BW580" s="169"/>
      <c r="BX580" s="169"/>
      <c r="BY580" s="169"/>
      <c r="BZ580" s="169"/>
      <c r="CA580" s="169"/>
      <c r="CB580" s="169"/>
      <c r="CC580" s="169"/>
      <c r="CD580" s="169"/>
      <c r="CE580" s="169"/>
      <c r="CF580" s="169"/>
      <c r="CG580" s="169"/>
      <c r="CH580" s="169"/>
      <c r="CI580" s="169"/>
      <c r="CJ580" s="169"/>
      <c r="CK580" s="169"/>
      <c r="CL580" s="169"/>
      <c r="CM580" s="169"/>
      <c r="CN580" s="169"/>
      <c r="CO580" s="169"/>
      <c r="CP580" s="169"/>
      <c r="CQ580" s="169"/>
      <c r="CR580" s="169"/>
      <c r="CS580" s="169"/>
      <c r="CT580" s="169"/>
      <c r="CU580" s="169"/>
      <c r="CV580" s="169"/>
      <c r="CW580" s="169"/>
      <c r="CX580" s="169"/>
      <c r="CY580" s="169"/>
      <c r="CZ580" s="169"/>
      <c r="DA580" s="169"/>
      <c r="DB580" s="169"/>
      <c r="DC580" s="169"/>
      <c r="DD580" s="169"/>
      <c r="DE580" s="169"/>
      <c r="DF580" s="169"/>
      <c r="DG580" s="169"/>
      <c r="DH580" s="169"/>
      <c r="DI580" s="169"/>
      <c r="DJ580" s="169"/>
      <c r="DK580" s="169"/>
      <c r="DL580" s="169"/>
      <c r="DM580" s="169"/>
      <c r="DN580" s="169"/>
      <c r="DO580" s="169"/>
      <c r="DP580" s="169"/>
      <c r="DQ580" s="169"/>
      <c r="DR580" s="169"/>
      <c r="DS580" s="169"/>
      <c r="DT580" s="169"/>
      <c r="DU580" s="169"/>
      <c r="DV580" s="169"/>
      <c r="DW580" s="169"/>
      <c r="DX580" s="169"/>
      <c r="DY580" s="169"/>
      <c r="DZ580" s="169"/>
      <c r="EA580" s="169"/>
      <c r="EB580" s="169"/>
      <c r="EC580" s="169"/>
      <c r="ED580" s="169"/>
      <c r="EE580" s="169"/>
      <c r="EF580" s="169"/>
      <c r="EG580" s="169"/>
      <c r="EH580" s="169"/>
      <c r="EI580" s="169"/>
      <c r="EJ580" s="169"/>
      <c r="EK580" s="169"/>
      <c r="EL580" s="169"/>
      <c r="EM580" s="169"/>
      <c r="EN580" s="169"/>
      <c r="EO580" s="169"/>
      <c r="EP580" s="169"/>
      <c r="EQ580" s="169"/>
      <c r="ER580" s="169"/>
      <c r="ES580" s="169"/>
      <c r="ET580" s="169"/>
      <c r="EU580" s="169"/>
      <c r="EV580" s="169"/>
      <c r="EW580" s="169"/>
      <c r="EX580" s="169"/>
      <c r="EY580" s="169"/>
      <c r="EZ580" s="169"/>
      <c r="FA580" s="169"/>
      <c r="FB580" s="169"/>
      <c r="FC580" s="169"/>
      <c r="FD580" s="169"/>
      <c r="FE580" s="169"/>
      <c r="FF580" s="169"/>
      <c r="FG580" s="169"/>
      <c r="FH580" s="169"/>
      <c r="FI580" s="169"/>
      <c r="FJ580" s="169"/>
      <c r="FK580" s="169"/>
      <c r="FL580" s="169"/>
      <c r="FM580" s="169"/>
      <c r="FN580" s="169"/>
      <c r="FO580" s="169"/>
      <c r="FP580" s="169"/>
      <c r="FQ580" s="169"/>
      <c r="FR580" s="169"/>
      <c r="FS580" s="169"/>
      <c r="FT580" s="169"/>
      <c r="FU580" s="169"/>
      <c r="FV580" s="169"/>
      <c r="FW580" s="169"/>
      <c r="FX580" s="169"/>
      <c r="FY580" s="169"/>
      <c r="FZ580" s="169"/>
      <c r="GA580" s="169"/>
      <c r="GB580" s="169"/>
      <c r="GC580" s="169"/>
      <c r="GD580" s="169"/>
      <c r="GE580" s="169"/>
      <c r="GF580" s="169"/>
      <c r="GG580" s="169"/>
      <c r="GH580" s="169"/>
      <c r="GI580" s="169"/>
      <c r="GJ580" s="169"/>
    </row>
    <row r="581" spans="1:192" s="93" customFormat="1" ht="12.75" customHeight="1">
      <c r="A581" s="68"/>
      <c r="B581" s="677"/>
      <c r="C581" s="220"/>
      <c r="D581" s="169"/>
      <c r="E581" s="169"/>
      <c r="F581" s="169"/>
      <c r="G581" s="169"/>
      <c r="H581" s="220"/>
      <c r="I581" s="169"/>
      <c r="J581" s="169"/>
      <c r="K581" s="169"/>
      <c r="L581" s="169"/>
      <c r="M581" s="220"/>
      <c r="N581" s="169"/>
      <c r="O581" s="169"/>
      <c r="P581" s="169"/>
      <c r="Q581" s="169"/>
      <c r="R581" s="220"/>
      <c r="S581" s="169"/>
      <c r="T581" s="169"/>
      <c r="U581" s="169"/>
      <c r="V581" s="169"/>
      <c r="W581" s="220"/>
      <c r="X581" s="169"/>
      <c r="Y581" s="169"/>
      <c r="Z581" s="169"/>
      <c r="AA581" s="169"/>
      <c r="AB581" s="220"/>
      <c r="AC581" s="169"/>
      <c r="AD581" s="169"/>
      <c r="AE581" s="169"/>
      <c r="AF581" s="169"/>
      <c r="AG581" s="220"/>
      <c r="AH581" s="169"/>
      <c r="AI581" s="169"/>
      <c r="AJ581" s="169"/>
      <c r="AK581" s="169"/>
      <c r="AL581" s="220"/>
      <c r="AM581" s="169"/>
      <c r="AN581" s="169"/>
      <c r="AO581" s="169"/>
      <c r="AP581" s="169"/>
      <c r="AQ581" s="220"/>
      <c r="AR581" s="169"/>
      <c r="AS581" s="169"/>
      <c r="AT581" s="169"/>
      <c r="AU581" s="169"/>
      <c r="AV581" s="220"/>
      <c r="AW581" s="169"/>
      <c r="AX581" s="169"/>
      <c r="AY581" s="169"/>
      <c r="AZ581" s="169"/>
      <c r="BA581" s="220"/>
      <c r="BB581" s="169"/>
      <c r="BC581" s="169"/>
      <c r="BD581" s="169"/>
      <c r="BE581" s="169"/>
      <c r="BF581" s="220"/>
      <c r="BG581" s="169"/>
      <c r="BH581" s="169"/>
      <c r="BI581" s="169"/>
      <c r="BJ581" s="169"/>
      <c r="BK581" s="220"/>
      <c r="BL581" s="169"/>
      <c r="BM581" s="169"/>
      <c r="BN581" s="169"/>
      <c r="BO581" s="169"/>
      <c r="BP581" s="220"/>
      <c r="BQ581" s="169"/>
      <c r="BR581" s="169"/>
      <c r="BS581" s="169"/>
      <c r="BT581" s="169"/>
      <c r="BU581" s="220"/>
      <c r="BV581" s="169"/>
      <c r="BW581" s="169"/>
      <c r="BX581" s="169"/>
      <c r="BY581" s="169"/>
      <c r="BZ581" s="220"/>
      <c r="CA581" s="169"/>
      <c r="CB581" s="169"/>
      <c r="CC581" s="169"/>
      <c r="CD581" s="169"/>
      <c r="CE581" s="220"/>
      <c r="CF581" s="169"/>
      <c r="CG581" s="169"/>
      <c r="CH581" s="169"/>
      <c r="CI581" s="169"/>
      <c r="CJ581" s="220"/>
      <c r="CK581" s="169"/>
      <c r="CL581" s="169"/>
      <c r="CM581" s="169"/>
      <c r="CN581" s="169"/>
      <c r="CO581" s="220"/>
      <c r="CP581" s="169"/>
      <c r="CQ581" s="169"/>
      <c r="CR581" s="169"/>
      <c r="CS581" s="169"/>
      <c r="CT581" s="220"/>
      <c r="CU581" s="169"/>
      <c r="CV581" s="169"/>
      <c r="CW581" s="169"/>
      <c r="CX581" s="169"/>
      <c r="CY581" s="220"/>
      <c r="CZ581" s="169"/>
      <c r="DA581" s="169"/>
      <c r="DB581" s="169"/>
      <c r="DC581" s="169"/>
      <c r="DD581" s="220"/>
      <c r="DE581" s="169"/>
      <c r="DF581" s="169"/>
      <c r="DG581" s="169"/>
      <c r="DH581" s="169"/>
      <c r="DI581" s="220"/>
      <c r="DJ581" s="169"/>
      <c r="DK581" s="169"/>
      <c r="DL581" s="169"/>
      <c r="DM581" s="169"/>
      <c r="DN581" s="220"/>
      <c r="DO581" s="169"/>
      <c r="DP581" s="169"/>
      <c r="DQ581" s="169"/>
      <c r="DR581" s="169"/>
      <c r="DS581" s="220"/>
      <c r="DT581" s="169"/>
      <c r="DU581" s="169"/>
      <c r="DV581" s="169"/>
      <c r="DW581" s="169"/>
      <c r="DX581" s="220"/>
      <c r="DY581" s="169"/>
      <c r="DZ581" s="169"/>
      <c r="EA581" s="169"/>
      <c r="EB581" s="169"/>
      <c r="EC581" s="220"/>
      <c r="ED581" s="169"/>
      <c r="EE581" s="169"/>
      <c r="EF581" s="169"/>
      <c r="EG581" s="169"/>
      <c r="EH581" s="220"/>
      <c r="EI581" s="169"/>
      <c r="EJ581" s="169"/>
      <c r="EK581" s="169"/>
      <c r="EL581" s="169"/>
      <c r="EM581" s="220"/>
      <c r="EN581" s="169"/>
      <c r="EO581" s="169"/>
      <c r="EP581" s="169"/>
      <c r="EQ581" s="169"/>
      <c r="ER581" s="220"/>
      <c r="ES581" s="169"/>
      <c r="ET581" s="169"/>
      <c r="EU581" s="169"/>
      <c r="EV581" s="169"/>
      <c r="EW581" s="220"/>
      <c r="EX581" s="169"/>
      <c r="EY581" s="169"/>
      <c r="EZ581" s="169"/>
      <c r="FA581" s="169"/>
      <c r="FB581" s="220"/>
      <c r="FC581" s="169"/>
      <c r="FD581" s="169"/>
      <c r="FE581" s="169"/>
      <c r="FF581" s="169"/>
      <c r="FG581" s="220"/>
      <c r="FH581" s="169"/>
      <c r="FI581" s="169"/>
      <c r="FJ581" s="169"/>
      <c r="FK581" s="169"/>
      <c r="FL581" s="220"/>
      <c r="FM581" s="169"/>
      <c r="FN581" s="169"/>
      <c r="FO581" s="169"/>
      <c r="FP581" s="169"/>
      <c r="FQ581" s="220"/>
      <c r="FR581" s="169"/>
      <c r="FS581" s="169"/>
      <c r="FT581" s="169"/>
      <c r="FU581" s="169"/>
      <c r="FV581" s="220"/>
      <c r="FW581" s="169"/>
      <c r="FX581" s="169"/>
      <c r="FY581" s="169"/>
      <c r="FZ581" s="169"/>
      <c r="GA581" s="220"/>
      <c r="GB581" s="169"/>
      <c r="GC581" s="169"/>
      <c r="GD581" s="169"/>
      <c r="GE581" s="169"/>
      <c r="GF581" s="220"/>
      <c r="GG581" s="169"/>
      <c r="GH581" s="169"/>
      <c r="GI581" s="169"/>
      <c r="GJ581" s="169"/>
    </row>
    <row r="582" spans="1:192" s="93" customFormat="1" ht="12.75" customHeight="1">
      <c r="A582" s="68"/>
      <c r="B582" s="677"/>
      <c r="C582" s="220"/>
      <c r="D582" s="169"/>
      <c r="E582" s="169"/>
      <c r="F582" s="169"/>
      <c r="G582" s="169"/>
      <c r="H582" s="220"/>
      <c r="I582" s="169"/>
      <c r="J582" s="169"/>
      <c r="K582" s="169"/>
      <c r="L582" s="169"/>
      <c r="M582" s="220"/>
      <c r="N582" s="169"/>
      <c r="O582" s="169"/>
      <c r="P582" s="169"/>
      <c r="Q582" s="169"/>
      <c r="R582" s="220"/>
      <c r="S582" s="169"/>
      <c r="T582" s="169"/>
      <c r="U582" s="169"/>
      <c r="V582" s="169"/>
      <c r="W582" s="220"/>
      <c r="X582" s="169"/>
      <c r="Y582" s="169"/>
      <c r="Z582" s="169"/>
      <c r="AA582" s="169"/>
      <c r="AB582" s="220"/>
      <c r="AC582" s="169"/>
      <c r="AD582" s="169"/>
      <c r="AE582" s="169"/>
      <c r="AF582" s="169"/>
      <c r="AG582" s="220"/>
      <c r="AH582" s="169"/>
      <c r="AI582" s="169"/>
      <c r="AJ582" s="169"/>
      <c r="AK582" s="169"/>
      <c r="AL582" s="220"/>
      <c r="AM582" s="169"/>
      <c r="AN582" s="169"/>
      <c r="AO582" s="169"/>
      <c r="AP582" s="169"/>
      <c r="AQ582" s="220"/>
      <c r="AR582" s="169"/>
      <c r="AS582" s="169"/>
      <c r="AT582" s="169"/>
      <c r="AU582" s="169"/>
      <c r="AV582" s="220"/>
      <c r="AW582" s="169"/>
      <c r="AX582" s="169"/>
      <c r="AY582" s="169"/>
      <c r="AZ582" s="169"/>
      <c r="BA582" s="220"/>
      <c r="BB582" s="169"/>
      <c r="BC582" s="169"/>
      <c r="BD582" s="169"/>
      <c r="BE582" s="169"/>
      <c r="BF582" s="220"/>
      <c r="BG582" s="169"/>
      <c r="BH582" s="169"/>
      <c r="BI582" s="169"/>
      <c r="BJ582" s="169"/>
      <c r="BK582" s="220"/>
      <c r="BL582" s="169"/>
      <c r="BM582" s="169"/>
      <c r="BN582" s="169"/>
      <c r="BO582" s="169"/>
      <c r="BP582" s="220"/>
      <c r="BQ582" s="169"/>
      <c r="BR582" s="169"/>
      <c r="BS582" s="169"/>
      <c r="BT582" s="169"/>
      <c r="BU582" s="220"/>
      <c r="BV582" s="169"/>
      <c r="BW582" s="169"/>
      <c r="BX582" s="169"/>
      <c r="BY582" s="169"/>
      <c r="BZ582" s="220"/>
      <c r="CA582" s="169"/>
      <c r="CB582" s="169"/>
      <c r="CC582" s="169"/>
      <c r="CD582" s="169"/>
      <c r="CE582" s="220"/>
      <c r="CF582" s="169"/>
      <c r="CG582" s="169"/>
      <c r="CH582" s="169"/>
      <c r="CI582" s="169"/>
      <c r="CJ582" s="220"/>
      <c r="CK582" s="169"/>
      <c r="CL582" s="169"/>
      <c r="CM582" s="169"/>
      <c r="CN582" s="169"/>
      <c r="CO582" s="220"/>
      <c r="CP582" s="169"/>
      <c r="CQ582" s="169"/>
      <c r="CR582" s="169"/>
      <c r="CS582" s="169"/>
      <c r="CT582" s="220"/>
      <c r="CU582" s="169"/>
      <c r="CV582" s="169"/>
      <c r="CW582" s="169"/>
      <c r="CX582" s="169"/>
      <c r="CY582" s="220"/>
      <c r="CZ582" s="169"/>
      <c r="DA582" s="169"/>
      <c r="DB582" s="169"/>
      <c r="DC582" s="169"/>
      <c r="DD582" s="220"/>
      <c r="DE582" s="169"/>
      <c r="DF582" s="169"/>
      <c r="DG582" s="169"/>
      <c r="DH582" s="169"/>
      <c r="DI582" s="220"/>
      <c r="DJ582" s="169"/>
      <c r="DK582" s="169"/>
      <c r="DL582" s="169"/>
      <c r="DM582" s="169"/>
      <c r="DN582" s="220"/>
      <c r="DO582" s="169"/>
      <c r="DP582" s="169"/>
      <c r="DQ582" s="169"/>
      <c r="DR582" s="169"/>
      <c r="DS582" s="220"/>
      <c r="DT582" s="169"/>
      <c r="DU582" s="169"/>
      <c r="DV582" s="169"/>
      <c r="DW582" s="169"/>
      <c r="DX582" s="220"/>
      <c r="DY582" s="169"/>
      <c r="DZ582" s="169"/>
      <c r="EA582" s="169"/>
      <c r="EB582" s="169"/>
      <c r="EC582" s="220"/>
      <c r="ED582" s="169"/>
      <c r="EE582" s="169"/>
      <c r="EF582" s="169"/>
      <c r="EG582" s="169"/>
      <c r="EH582" s="220"/>
      <c r="EI582" s="169"/>
      <c r="EJ582" s="169"/>
      <c r="EK582" s="169"/>
      <c r="EL582" s="169"/>
      <c r="EM582" s="220"/>
      <c r="EN582" s="169"/>
      <c r="EO582" s="169"/>
      <c r="EP582" s="169"/>
      <c r="EQ582" s="169"/>
      <c r="ER582" s="220"/>
      <c r="ES582" s="169"/>
      <c r="ET582" s="169"/>
      <c r="EU582" s="169"/>
      <c r="EV582" s="169"/>
      <c r="EW582" s="220"/>
      <c r="EX582" s="169"/>
      <c r="EY582" s="169"/>
      <c r="EZ582" s="169"/>
      <c r="FA582" s="169"/>
      <c r="FB582" s="220"/>
      <c r="FC582" s="169"/>
      <c r="FD582" s="169"/>
      <c r="FE582" s="169"/>
      <c r="FF582" s="169"/>
      <c r="FG582" s="220"/>
      <c r="FH582" s="169"/>
      <c r="FI582" s="169"/>
      <c r="FJ582" s="169"/>
      <c r="FK582" s="169"/>
      <c r="FL582" s="220"/>
      <c r="FM582" s="169"/>
      <c r="FN582" s="169"/>
      <c r="FO582" s="169"/>
      <c r="FP582" s="169"/>
      <c r="FQ582" s="220"/>
      <c r="FR582" s="169"/>
      <c r="FS582" s="169"/>
      <c r="FT582" s="169"/>
      <c r="FU582" s="169"/>
      <c r="FV582" s="220"/>
      <c r="FW582" s="169"/>
      <c r="FX582" s="169"/>
      <c r="FY582" s="169"/>
      <c r="FZ582" s="169"/>
      <c r="GA582" s="220"/>
      <c r="GB582" s="169"/>
      <c r="GC582" s="169"/>
      <c r="GD582" s="169"/>
      <c r="GE582" s="169"/>
      <c r="GF582" s="220"/>
      <c r="GG582" s="169"/>
      <c r="GH582" s="169"/>
      <c r="GI582" s="169"/>
      <c r="GJ582" s="169"/>
    </row>
    <row r="583" spans="1:192" s="93" customFormat="1" ht="12.75" customHeight="1">
      <c r="A583" s="68"/>
      <c r="B583" s="677"/>
      <c r="C583" s="220"/>
      <c r="D583" s="169"/>
      <c r="E583" s="169"/>
      <c r="F583" s="169"/>
      <c r="G583" s="169"/>
      <c r="H583" s="220"/>
      <c r="I583" s="169"/>
      <c r="J583" s="169"/>
      <c r="K583" s="169"/>
      <c r="L583" s="169"/>
      <c r="M583" s="220"/>
      <c r="N583" s="169"/>
      <c r="O583" s="169"/>
      <c r="P583" s="169"/>
      <c r="Q583" s="169"/>
      <c r="R583" s="220"/>
      <c r="S583" s="169"/>
      <c r="T583" s="169"/>
      <c r="U583" s="169"/>
      <c r="V583" s="169"/>
      <c r="W583" s="220"/>
      <c r="X583" s="169"/>
      <c r="Y583" s="169"/>
      <c r="Z583" s="169"/>
      <c r="AA583" s="169"/>
      <c r="AB583" s="220"/>
      <c r="AC583" s="169"/>
      <c r="AD583" s="169"/>
      <c r="AE583" s="169"/>
      <c r="AF583" s="169"/>
      <c r="AG583" s="220"/>
      <c r="AH583" s="169"/>
      <c r="AI583" s="169"/>
      <c r="AJ583" s="169"/>
      <c r="AK583" s="169"/>
      <c r="AL583" s="220"/>
      <c r="AM583" s="169"/>
      <c r="AN583" s="169"/>
      <c r="AO583" s="169"/>
      <c r="AP583" s="169"/>
      <c r="AQ583" s="220"/>
      <c r="AR583" s="169"/>
      <c r="AS583" s="169"/>
      <c r="AT583" s="169"/>
      <c r="AU583" s="169"/>
      <c r="AV583" s="220"/>
      <c r="AW583" s="169"/>
      <c r="AX583" s="169"/>
      <c r="AY583" s="169"/>
      <c r="AZ583" s="169"/>
      <c r="BA583" s="220"/>
      <c r="BB583" s="169"/>
      <c r="BC583" s="169"/>
      <c r="BD583" s="169"/>
      <c r="BE583" s="169"/>
      <c r="BF583" s="220"/>
      <c r="BG583" s="169"/>
      <c r="BH583" s="169"/>
      <c r="BI583" s="169"/>
      <c r="BJ583" s="169"/>
      <c r="BK583" s="220"/>
      <c r="BL583" s="169"/>
      <c r="BM583" s="169"/>
      <c r="BN583" s="169"/>
      <c r="BO583" s="169"/>
      <c r="BP583" s="220"/>
      <c r="BQ583" s="169"/>
      <c r="BR583" s="169"/>
      <c r="BS583" s="169"/>
      <c r="BT583" s="169"/>
      <c r="BU583" s="220"/>
      <c r="BV583" s="169"/>
      <c r="BW583" s="169"/>
      <c r="BX583" s="169"/>
      <c r="BY583" s="169"/>
      <c r="BZ583" s="220"/>
      <c r="CA583" s="169"/>
      <c r="CB583" s="169"/>
      <c r="CC583" s="169"/>
      <c r="CD583" s="169"/>
      <c r="CE583" s="220"/>
      <c r="CF583" s="169"/>
      <c r="CG583" s="169"/>
      <c r="CH583" s="169"/>
      <c r="CI583" s="169"/>
      <c r="CJ583" s="220"/>
      <c r="CK583" s="169"/>
      <c r="CL583" s="169"/>
      <c r="CM583" s="169"/>
      <c r="CN583" s="169"/>
      <c r="CO583" s="220"/>
      <c r="CP583" s="169"/>
      <c r="CQ583" s="169"/>
      <c r="CR583" s="169"/>
      <c r="CS583" s="169"/>
      <c r="CT583" s="220"/>
      <c r="CU583" s="169"/>
      <c r="CV583" s="169"/>
      <c r="CW583" s="169"/>
      <c r="CX583" s="169"/>
      <c r="CY583" s="220"/>
      <c r="CZ583" s="169"/>
      <c r="DA583" s="169"/>
      <c r="DB583" s="169"/>
      <c r="DC583" s="169"/>
      <c r="DD583" s="220"/>
      <c r="DE583" s="169"/>
      <c r="DF583" s="169"/>
      <c r="DG583" s="169"/>
      <c r="DH583" s="169"/>
      <c r="DI583" s="220"/>
      <c r="DJ583" s="169"/>
      <c r="DK583" s="169"/>
      <c r="DL583" s="169"/>
      <c r="DM583" s="169"/>
      <c r="DN583" s="220"/>
      <c r="DO583" s="169"/>
      <c r="DP583" s="169"/>
      <c r="DQ583" s="169"/>
      <c r="DR583" s="169"/>
      <c r="DS583" s="220"/>
      <c r="DT583" s="169"/>
      <c r="DU583" s="169"/>
      <c r="DV583" s="169"/>
      <c r="DW583" s="169"/>
      <c r="DX583" s="220"/>
      <c r="DY583" s="169"/>
      <c r="DZ583" s="169"/>
      <c r="EA583" s="169"/>
      <c r="EB583" s="169"/>
      <c r="EC583" s="220"/>
      <c r="ED583" s="169"/>
      <c r="EE583" s="169"/>
      <c r="EF583" s="169"/>
      <c r="EG583" s="169"/>
      <c r="EH583" s="220"/>
      <c r="EI583" s="169"/>
      <c r="EJ583" s="169"/>
      <c r="EK583" s="169"/>
      <c r="EL583" s="169"/>
      <c r="EM583" s="220"/>
      <c r="EN583" s="169"/>
      <c r="EO583" s="169"/>
      <c r="EP583" s="169"/>
      <c r="EQ583" s="169"/>
      <c r="ER583" s="220"/>
      <c r="ES583" s="169"/>
      <c r="ET583" s="169"/>
      <c r="EU583" s="169"/>
      <c r="EV583" s="169"/>
      <c r="EW583" s="220"/>
      <c r="EX583" s="169"/>
      <c r="EY583" s="169"/>
      <c r="EZ583" s="169"/>
      <c r="FA583" s="169"/>
      <c r="FB583" s="220"/>
      <c r="FC583" s="169"/>
      <c r="FD583" s="169"/>
      <c r="FE583" s="169"/>
      <c r="FF583" s="169"/>
      <c r="FG583" s="220"/>
      <c r="FH583" s="169"/>
      <c r="FI583" s="169"/>
      <c r="FJ583" s="169"/>
      <c r="FK583" s="169"/>
      <c r="FL583" s="220"/>
      <c r="FM583" s="169"/>
      <c r="FN583" s="169"/>
      <c r="FO583" s="169"/>
      <c r="FP583" s="169"/>
      <c r="FQ583" s="220"/>
      <c r="FR583" s="169"/>
      <c r="FS583" s="169"/>
      <c r="FT583" s="169"/>
      <c r="FU583" s="169"/>
      <c r="FV583" s="220"/>
      <c r="FW583" s="169"/>
      <c r="FX583" s="169"/>
      <c r="FY583" s="169"/>
      <c r="FZ583" s="169"/>
      <c r="GA583" s="220"/>
      <c r="GB583" s="169"/>
      <c r="GC583" s="169"/>
      <c r="GD583" s="169"/>
      <c r="GE583" s="169"/>
      <c r="GF583" s="220"/>
      <c r="GG583" s="169"/>
      <c r="GH583" s="169"/>
      <c r="GI583" s="169"/>
      <c r="GJ583" s="169"/>
    </row>
    <row r="584" spans="1:192" s="93" customFormat="1" ht="12.75" customHeight="1">
      <c r="A584" s="68"/>
      <c r="B584" s="677"/>
      <c r="C584" s="220"/>
      <c r="D584" s="169"/>
      <c r="E584" s="169"/>
      <c r="F584" s="169"/>
      <c r="G584" s="169"/>
      <c r="H584" s="220"/>
      <c r="I584" s="169"/>
      <c r="J584" s="169"/>
      <c r="K584" s="169"/>
      <c r="L584" s="169"/>
      <c r="M584" s="220"/>
      <c r="N584" s="169"/>
      <c r="O584" s="169"/>
      <c r="P584" s="169"/>
      <c r="Q584" s="169"/>
      <c r="R584" s="220"/>
      <c r="S584" s="169"/>
      <c r="T584" s="169"/>
      <c r="U584" s="169"/>
      <c r="V584" s="169"/>
      <c r="W584" s="220"/>
      <c r="X584" s="169"/>
      <c r="Y584" s="169"/>
      <c r="Z584" s="169"/>
      <c r="AA584" s="169"/>
      <c r="AB584" s="220"/>
      <c r="AC584" s="169"/>
      <c r="AD584" s="169"/>
      <c r="AE584" s="169"/>
      <c r="AF584" s="169"/>
      <c r="AG584" s="220"/>
      <c r="AH584" s="169"/>
      <c r="AI584" s="169"/>
      <c r="AJ584" s="169"/>
      <c r="AK584" s="169"/>
      <c r="AL584" s="220"/>
      <c r="AM584" s="169"/>
      <c r="AN584" s="169"/>
      <c r="AO584" s="169"/>
      <c r="AP584" s="169"/>
      <c r="AQ584" s="220"/>
      <c r="AR584" s="169"/>
      <c r="AS584" s="169"/>
      <c r="AT584" s="169"/>
      <c r="AU584" s="169"/>
      <c r="AV584" s="220"/>
      <c r="AW584" s="169"/>
      <c r="AX584" s="169"/>
      <c r="AY584" s="169"/>
      <c r="AZ584" s="169"/>
      <c r="BA584" s="220"/>
      <c r="BB584" s="169"/>
      <c r="BC584" s="169"/>
      <c r="BD584" s="169"/>
      <c r="BE584" s="169"/>
      <c r="BF584" s="220"/>
      <c r="BG584" s="169"/>
      <c r="BH584" s="169"/>
      <c r="BI584" s="169"/>
      <c r="BJ584" s="169"/>
      <c r="BK584" s="220"/>
      <c r="BL584" s="169"/>
      <c r="BM584" s="169"/>
      <c r="BN584" s="169"/>
      <c r="BO584" s="169"/>
      <c r="BP584" s="220"/>
      <c r="BQ584" s="169"/>
      <c r="BR584" s="169"/>
      <c r="BS584" s="169"/>
      <c r="BT584" s="169"/>
      <c r="BU584" s="220"/>
      <c r="BV584" s="169"/>
      <c r="BW584" s="169"/>
      <c r="BX584" s="169"/>
      <c r="BY584" s="169"/>
      <c r="BZ584" s="220"/>
      <c r="CA584" s="169"/>
      <c r="CB584" s="169"/>
      <c r="CC584" s="169"/>
      <c r="CD584" s="169"/>
      <c r="CE584" s="220"/>
      <c r="CF584" s="169"/>
      <c r="CG584" s="169"/>
      <c r="CH584" s="169"/>
      <c r="CI584" s="169"/>
      <c r="CJ584" s="220"/>
      <c r="CK584" s="169"/>
      <c r="CL584" s="169"/>
      <c r="CM584" s="169"/>
      <c r="CN584" s="169"/>
      <c r="CO584" s="220"/>
      <c r="CP584" s="169"/>
      <c r="CQ584" s="169"/>
      <c r="CR584" s="169"/>
      <c r="CS584" s="169"/>
      <c r="CT584" s="220"/>
      <c r="CU584" s="169"/>
      <c r="CV584" s="169"/>
      <c r="CW584" s="169"/>
      <c r="CX584" s="169"/>
      <c r="CY584" s="220"/>
      <c r="CZ584" s="169"/>
      <c r="DA584" s="169"/>
      <c r="DB584" s="169"/>
      <c r="DC584" s="169"/>
      <c r="DD584" s="220"/>
      <c r="DE584" s="169"/>
      <c r="DF584" s="169"/>
      <c r="DG584" s="169"/>
      <c r="DH584" s="169"/>
      <c r="DI584" s="220"/>
      <c r="DJ584" s="169"/>
      <c r="DK584" s="169"/>
      <c r="DL584" s="169"/>
      <c r="DM584" s="169"/>
      <c r="DN584" s="220"/>
      <c r="DO584" s="169"/>
      <c r="DP584" s="169"/>
      <c r="DQ584" s="169"/>
      <c r="DR584" s="169"/>
      <c r="DS584" s="220"/>
      <c r="DT584" s="169"/>
      <c r="DU584" s="169"/>
      <c r="DV584" s="169"/>
      <c r="DW584" s="169"/>
      <c r="DX584" s="220"/>
      <c r="DY584" s="169"/>
      <c r="DZ584" s="169"/>
      <c r="EA584" s="169"/>
      <c r="EB584" s="169"/>
      <c r="EC584" s="220"/>
      <c r="ED584" s="169"/>
      <c r="EE584" s="169"/>
      <c r="EF584" s="169"/>
      <c r="EG584" s="169"/>
      <c r="EH584" s="220"/>
      <c r="EI584" s="169"/>
      <c r="EJ584" s="169"/>
      <c r="EK584" s="169"/>
      <c r="EL584" s="169"/>
      <c r="EM584" s="220"/>
      <c r="EN584" s="169"/>
      <c r="EO584" s="169"/>
      <c r="EP584" s="169"/>
      <c r="EQ584" s="169"/>
      <c r="ER584" s="220"/>
      <c r="ES584" s="169"/>
      <c r="ET584" s="169"/>
      <c r="EU584" s="169"/>
      <c r="EV584" s="169"/>
      <c r="EW584" s="220"/>
      <c r="EX584" s="169"/>
      <c r="EY584" s="169"/>
      <c r="EZ584" s="169"/>
      <c r="FA584" s="169"/>
      <c r="FB584" s="220"/>
      <c r="FC584" s="169"/>
      <c r="FD584" s="169"/>
      <c r="FE584" s="169"/>
      <c r="FF584" s="169"/>
      <c r="FG584" s="220"/>
      <c r="FH584" s="169"/>
      <c r="FI584" s="169"/>
      <c r="FJ584" s="169"/>
      <c r="FK584" s="169"/>
      <c r="FL584" s="220"/>
      <c r="FM584" s="169"/>
      <c r="FN584" s="169"/>
      <c r="FO584" s="169"/>
      <c r="FP584" s="169"/>
      <c r="FQ584" s="220"/>
      <c r="FR584" s="169"/>
      <c r="FS584" s="169"/>
      <c r="FT584" s="169"/>
      <c r="FU584" s="169"/>
      <c r="FV584" s="220"/>
      <c r="FW584" s="169"/>
      <c r="FX584" s="169"/>
      <c r="FY584" s="169"/>
      <c r="FZ584" s="169"/>
      <c r="GA584" s="220"/>
      <c r="GB584" s="169"/>
      <c r="GC584" s="169"/>
      <c r="GD584" s="169"/>
      <c r="GE584" s="169"/>
      <c r="GF584" s="220"/>
      <c r="GG584" s="169"/>
      <c r="GH584" s="169"/>
      <c r="GI584" s="169"/>
      <c r="GJ584" s="169"/>
    </row>
    <row r="585" spans="1:192" s="93" customFormat="1" ht="12.75" customHeight="1">
      <c r="A585" s="68"/>
      <c r="B585" s="677"/>
      <c r="C585" s="220"/>
      <c r="D585" s="169"/>
      <c r="E585" s="169"/>
      <c r="F585" s="169"/>
      <c r="G585" s="169"/>
      <c r="H585" s="220"/>
      <c r="I585" s="169"/>
      <c r="J585" s="169"/>
      <c r="K585" s="169"/>
      <c r="L585" s="169"/>
      <c r="M585" s="220"/>
      <c r="N585" s="169"/>
      <c r="O585" s="169"/>
      <c r="P585" s="169"/>
      <c r="Q585" s="169"/>
      <c r="R585" s="220"/>
      <c r="S585" s="169"/>
      <c r="T585" s="169"/>
      <c r="U585" s="169"/>
      <c r="V585" s="169"/>
      <c r="W585" s="220"/>
      <c r="X585" s="169"/>
      <c r="Y585" s="169"/>
      <c r="Z585" s="169"/>
      <c r="AA585" s="169"/>
      <c r="AB585" s="220"/>
      <c r="AC585" s="169"/>
      <c r="AD585" s="169"/>
      <c r="AE585" s="169"/>
      <c r="AF585" s="169"/>
      <c r="AG585" s="220"/>
      <c r="AH585" s="169"/>
      <c r="AI585" s="169"/>
      <c r="AJ585" s="169"/>
      <c r="AK585" s="169"/>
      <c r="AL585" s="220"/>
      <c r="AM585" s="169"/>
      <c r="AN585" s="169"/>
      <c r="AO585" s="169"/>
      <c r="AP585" s="169"/>
      <c r="AQ585" s="220"/>
      <c r="AR585" s="169"/>
      <c r="AS585" s="169"/>
      <c r="AT585" s="169"/>
      <c r="AU585" s="169"/>
      <c r="AV585" s="220"/>
      <c r="AW585" s="169"/>
      <c r="AX585" s="169"/>
      <c r="AY585" s="169"/>
      <c r="AZ585" s="169"/>
      <c r="BA585" s="220"/>
      <c r="BB585" s="169"/>
      <c r="BC585" s="169"/>
      <c r="BD585" s="169"/>
      <c r="BE585" s="169"/>
      <c r="BF585" s="220"/>
      <c r="BG585" s="169"/>
      <c r="BH585" s="169"/>
      <c r="BI585" s="169"/>
      <c r="BJ585" s="169"/>
      <c r="BK585" s="220"/>
      <c r="BL585" s="169"/>
      <c r="BM585" s="169"/>
      <c r="BN585" s="169"/>
      <c r="BO585" s="169"/>
      <c r="BP585" s="220"/>
      <c r="BQ585" s="169"/>
      <c r="BR585" s="169"/>
      <c r="BS585" s="169"/>
      <c r="BT585" s="169"/>
      <c r="BU585" s="220"/>
      <c r="BV585" s="169"/>
      <c r="BW585" s="169"/>
      <c r="BX585" s="169"/>
      <c r="BY585" s="169"/>
      <c r="BZ585" s="220"/>
      <c r="CA585" s="169"/>
      <c r="CB585" s="169"/>
      <c r="CC585" s="169"/>
      <c r="CD585" s="169"/>
      <c r="CE585" s="220"/>
      <c r="CF585" s="169"/>
      <c r="CG585" s="169"/>
      <c r="CH585" s="169"/>
      <c r="CI585" s="169"/>
      <c r="CJ585" s="220"/>
      <c r="CK585" s="169"/>
      <c r="CL585" s="169"/>
      <c r="CM585" s="169"/>
      <c r="CN585" s="169"/>
      <c r="CO585" s="220"/>
      <c r="CP585" s="169"/>
      <c r="CQ585" s="169"/>
      <c r="CR585" s="169"/>
      <c r="CS585" s="169"/>
      <c r="CT585" s="220"/>
      <c r="CU585" s="169"/>
      <c r="CV585" s="169"/>
      <c r="CW585" s="169"/>
      <c r="CX585" s="169"/>
      <c r="CY585" s="220"/>
      <c r="CZ585" s="169"/>
      <c r="DA585" s="169"/>
      <c r="DB585" s="169"/>
      <c r="DC585" s="169"/>
      <c r="DD585" s="220"/>
      <c r="DE585" s="169"/>
      <c r="DF585" s="169"/>
      <c r="DG585" s="169"/>
      <c r="DH585" s="169"/>
      <c r="DI585" s="220"/>
      <c r="DJ585" s="169"/>
      <c r="DK585" s="169"/>
      <c r="DL585" s="169"/>
      <c r="DM585" s="169"/>
      <c r="DN585" s="220"/>
      <c r="DO585" s="169"/>
      <c r="DP585" s="169"/>
      <c r="DQ585" s="169"/>
      <c r="DR585" s="169"/>
      <c r="DS585" s="220"/>
      <c r="DT585" s="169"/>
      <c r="DU585" s="169"/>
      <c r="DV585" s="169"/>
      <c r="DW585" s="169"/>
      <c r="DX585" s="220"/>
      <c r="DY585" s="169"/>
      <c r="DZ585" s="169"/>
      <c r="EA585" s="169"/>
      <c r="EB585" s="169"/>
      <c r="EC585" s="220"/>
      <c r="ED585" s="169"/>
      <c r="EE585" s="169"/>
      <c r="EF585" s="169"/>
      <c r="EG585" s="169"/>
      <c r="EH585" s="220"/>
      <c r="EI585" s="169"/>
      <c r="EJ585" s="169"/>
      <c r="EK585" s="169"/>
      <c r="EL585" s="169"/>
      <c r="EM585" s="220"/>
      <c r="EN585" s="169"/>
      <c r="EO585" s="169"/>
      <c r="EP585" s="169"/>
      <c r="EQ585" s="169"/>
      <c r="ER585" s="220"/>
      <c r="ES585" s="169"/>
      <c r="ET585" s="169"/>
      <c r="EU585" s="169"/>
      <c r="EV585" s="169"/>
      <c r="EW585" s="220"/>
      <c r="EX585" s="169"/>
      <c r="EY585" s="169"/>
      <c r="EZ585" s="169"/>
      <c r="FA585" s="169"/>
      <c r="FB585" s="220"/>
      <c r="FC585" s="169"/>
      <c r="FD585" s="169"/>
      <c r="FE585" s="169"/>
      <c r="FF585" s="169"/>
      <c r="FG585" s="220"/>
      <c r="FH585" s="169"/>
      <c r="FI585" s="169"/>
      <c r="FJ585" s="169"/>
      <c r="FK585" s="169"/>
      <c r="FL585" s="220"/>
      <c r="FM585" s="169"/>
      <c r="FN585" s="169"/>
      <c r="FO585" s="169"/>
      <c r="FP585" s="169"/>
      <c r="FQ585" s="220"/>
      <c r="FR585" s="169"/>
      <c r="FS585" s="169"/>
      <c r="FT585" s="169"/>
      <c r="FU585" s="169"/>
      <c r="FV585" s="220"/>
      <c r="FW585" s="169"/>
      <c r="FX585" s="169"/>
      <c r="FY585" s="169"/>
      <c r="FZ585" s="169"/>
      <c r="GA585" s="220"/>
      <c r="GB585" s="169"/>
      <c r="GC585" s="169"/>
      <c r="GD585" s="169"/>
      <c r="GE585" s="169"/>
      <c r="GF585" s="220"/>
      <c r="GG585" s="169"/>
      <c r="GH585" s="169"/>
      <c r="GI585" s="169"/>
      <c r="GJ585" s="169"/>
    </row>
    <row r="586" spans="1:192" s="93" customFormat="1" ht="12.75" customHeight="1">
      <c r="A586" s="68"/>
      <c r="B586" s="677"/>
      <c r="C586" s="220"/>
      <c r="D586" s="169"/>
      <c r="E586" s="169"/>
      <c r="F586" s="169"/>
      <c r="G586" s="169"/>
      <c r="H586" s="220"/>
      <c r="I586" s="169"/>
      <c r="J586" s="169"/>
      <c r="K586" s="169"/>
      <c r="L586" s="169"/>
      <c r="M586" s="220"/>
      <c r="N586" s="169"/>
      <c r="O586" s="169"/>
      <c r="P586" s="169"/>
      <c r="Q586" s="169"/>
      <c r="R586" s="220"/>
      <c r="S586" s="169"/>
      <c r="T586" s="169"/>
      <c r="U586" s="169"/>
      <c r="V586" s="169"/>
      <c r="W586" s="220"/>
      <c r="X586" s="169"/>
      <c r="Y586" s="169"/>
      <c r="Z586" s="169"/>
      <c r="AA586" s="169"/>
      <c r="AB586" s="220"/>
      <c r="AC586" s="169"/>
      <c r="AD586" s="169"/>
      <c r="AE586" s="169"/>
      <c r="AF586" s="169"/>
      <c r="AG586" s="220"/>
      <c r="AH586" s="169"/>
      <c r="AI586" s="169"/>
      <c r="AJ586" s="169"/>
      <c r="AK586" s="169"/>
      <c r="AL586" s="220"/>
      <c r="AM586" s="169"/>
      <c r="AN586" s="169"/>
      <c r="AO586" s="169"/>
      <c r="AP586" s="169"/>
      <c r="AQ586" s="220"/>
      <c r="AR586" s="169"/>
      <c r="AS586" s="169"/>
      <c r="AT586" s="169"/>
      <c r="AU586" s="169"/>
      <c r="AV586" s="220"/>
      <c r="AW586" s="169"/>
      <c r="AX586" s="169"/>
      <c r="AY586" s="169"/>
      <c r="AZ586" s="169"/>
      <c r="BA586" s="220"/>
      <c r="BB586" s="169"/>
      <c r="BC586" s="169"/>
      <c r="BD586" s="169"/>
      <c r="BE586" s="169"/>
      <c r="BF586" s="220"/>
      <c r="BG586" s="169"/>
      <c r="BH586" s="169"/>
      <c r="BI586" s="169"/>
      <c r="BJ586" s="169"/>
      <c r="BK586" s="220"/>
      <c r="BL586" s="169"/>
      <c r="BM586" s="169"/>
      <c r="BN586" s="169"/>
      <c r="BO586" s="169"/>
      <c r="BP586" s="220"/>
      <c r="BQ586" s="169"/>
      <c r="BR586" s="169"/>
      <c r="BS586" s="169"/>
      <c r="BT586" s="169"/>
      <c r="BU586" s="220"/>
      <c r="BV586" s="169"/>
      <c r="BW586" s="169"/>
      <c r="BX586" s="169"/>
      <c r="BY586" s="169"/>
      <c r="BZ586" s="220"/>
      <c r="CA586" s="169"/>
      <c r="CB586" s="169"/>
      <c r="CC586" s="169"/>
      <c r="CD586" s="169"/>
      <c r="CE586" s="220"/>
      <c r="CF586" s="169"/>
      <c r="CG586" s="169"/>
      <c r="CH586" s="169"/>
      <c r="CI586" s="169"/>
      <c r="CJ586" s="220"/>
      <c r="CK586" s="169"/>
      <c r="CL586" s="169"/>
      <c r="CM586" s="169"/>
      <c r="CN586" s="169"/>
      <c r="CO586" s="220"/>
      <c r="CP586" s="169"/>
      <c r="CQ586" s="169"/>
      <c r="CR586" s="169"/>
      <c r="CS586" s="169"/>
      <c r="CT586" s="220"/>
      <c r="CU586" s="169"/>
      <c r="CV586" s="169"/>
      <c r="CW586" s="169"/>
      <c r="CX586" s="169"/>
      <c r="CY586" s="220"/>
      <c r="CZ586" s="169"/>
      <c r="DA586" s="169"/>
      <c r="DB586" s="169"/>
      <c r="DC586" s="169"/>
      <c r="DD586" s="220"/>
      <c r="DE586" s="169"/>
      <c r="DF586" s="169"/>
      <c r="DG586" s="169"/>
      <c r="DH586" s="169"/>
      <c r="DI586" s="220"/>
      <c r="DJ586" s="169"/>
      <c r="DK586" s="169"/>
      <c r="DL586" s="169"/>
      <c r="DM586" s="169"/>
      <c r="DN586" s="220"/>
      <c r="DO586" s="169"/>
      <c r="DP586" s="169"/>
      <c r="DQ586" s="169"/>
      <c r="DR586" s="169"/>
      <c r="DS586" s="220"/>
      <c r="DT586" s="169"/>
      <c r="DU586" s="169"/>
      <c r="DV586" s="169"/>
      <c r="DW586" s="169"/>
      <c r="DX586" s="220"/>
      <c r="DY586" s="169"/>
      <c r="DZ586" s="169"/>
      <c r="EA586" s="169"/>
      <c r="EB586" s="169"/>
      <c r="EC586" s="220"/>
      <c r="ED586" s="169"/>
      <c r="EE586" s="169"/>
      <c r="EF586" s="169"/>
      <c r="EG586" s="169"/>
      <c r="EH586" s="220"/>
      <c r="EI586" s="169"/>
      <c r="EJ586" s="169"/>
      <c r="EK586" s="169"/>
      <c r="EL586" s="169"/>
      <c r="EM586" s="220"/>
      <c r="EN586" s="169"/>
      <c r="EO586" s="169"/>
      <c r="EP586" s="169"/>
      <c r="EQ586" s="169"/>
      <c r="ER586" s="220"/>
      <c r="ES586" s="169"/>
      <c r="ET586" s="169"/>
      <c r="EU586" s="169"/>
      <c r="EV586" s="169"/>
      <c r="EW586" s="220"/>
      <c r="EX586" s="169"/>
      <c r="EY586" s="169"/>
      <c r="EZ586" s="169"/>
      <c r="FA586" s="169"/>
      <c r="FB586" s="220"/>
      <c r="FC586" s="169"/>
      <c r="FD586" s="169"/>
      <c r="FE586" s="169"/>
      <c r="FF586" s="169"/>
      <c r="FG586" s="220"/>
      <c r="FH586" s="169"/>
      <c r="FI586" s="169"/>
      <c r="FJ586" s="169"/>
      <c r="FK586" s="169"/>
      <c r="FL586" s="220"/>
      <c r="FM586" s="169"/>
      <c r="FN586" s="169"/>
      <c r="FO586" s="169"/>
      <c r="FP586" s="169"/>
      <c r="FQ586" s="220"/>
      <c r="FR586" s="169"/>
      <c r="FS586" s="169"/>
      <c r="FT586" s="169"/>
      <c r="FU586" s="169"/>
      <c r="FV586" s="220"/>
      <c r="FW586" s="169"/>
      <c r="FX586" s="169"/>
      <c r="FY586" s="169"/>
      <c r="FZ586" s="169"/>
      <c r="GA586" s="220"/>
      <c r="GB586" s="169"/>
      <c r="GC586" s="169"/>
      <c r="GD586" s="169"/>
      <c r="GE586" s="169"/>
      <c r="GF586" s="220"/>
      <c r="GG586" s="169"/>
      <c r="GH586" s="169"/>
      <c r="GI586" s="169"/>
      <c r="GJ586" s="169"/>
    </row>
    <row r="587" spans="1:192" s="93" customFormat="1" ht="12.75" customHeight="1">
      <c r="A587" s="68"/>
      <c r="B587" s="677"/>
      <c r="C587" s="233"/>
      <c r="D587" s="233"/>
      <c r="E587" s="233"/>
      <c r="F587" s="233"/>
      <c r="G587" s="233"/>
      <c r="H587" s="233"/>
      <c r="I587" s="233"/>
      <c r="J587" s="233"/>
      <c r="K587" s="233"/>
      <c r="L587" s="233"/>
      <c r="M587" s="233"/>
      <c r="N587" s="233"/>
      <c r="O587" s="233"/>
      <c r="P587" s="233"/>
      <c r="Q587" s="233"/>
      <c r="R587" s="233"/>
      <c r="S587" s="233"/>
      <c r="T587" s="233"/>
      <c r="U587" s="233"/>
      <c r="V587" s="233"/>
      <c r="W587" s="233"/>
      <c r="X587" s="233"/>
      <c r="Y587" s="233"/>
      <c r="Z587" s="233"/>
      <c r="AA587" s="233"/>
      <c r="AB587" s="233"/>
      <c r="AC587" s="233"/>
      <c r="AD587" s="233"/>
      <c r="AE587" s="233"/>
      <c r="AF587" s="233"/>
      <c r="AG587" s="233"/>
      <c r="AH587" s="233"/>
      <c r="AI587" s="233"/>
      <c r="AJ587" s="233"/>
      <c r="AK587" s="233"/>
      <c r="AL587" s="233"/>
      <c r="AM587" s="233"/>
      <c r="AN587" s="233"/>
      <c r="AO587" s="233"/>
      <c r="AP587" s="233"/>
      <c r="AQ587" s="233"/>
      <c r="AR587" s="233"/>
      <c r="AS587" s="233"/>
      <c r="AT587" s="233"/>
      <c r="AU587" s="233"/>
      <c r="AV587" s="233"/>
      <c r="AW587" s="233"/>
      <c r="AX587" s="233"/>
      <c r="AY587" s="233"/>
      <c r="AZ587" s="233"/>
      <c r="BA587" s="233"/>
      <c r="BB587" s="233"/>
      <c r="BC587" s="233"/>
      <c r="BD587" s="233"/>
      <c r="BE587" s="233"/>
      <c r="BF587" s="233"/>
      <c r="BG587" s="233"/>
      <c r="BH587" s="233"/>
      <c r="BI587" s="233"/>
      <c r="BJ587" s="233"/>
      <c r="BK587" s="233"/>
      <c r="BL587" s="233"/>
      <c r="BM587" s="233"/>
      <c r="BN587" s="233"/>
      <c r="BO587" s="233"/>
      <c r="BP587" s="233"/>
      <c r="BQ587" s="233"/>
      <c r="BR587" s="233"/>
      <c r="BS587" s="233"/>
      <c r="BT587" s="233"/>
      <c r="BU587" s="233"/>
      <c r="BV587" s="233"/>
      <c r="BW587" s="233"/>
      <c r="BX587" s="233"/>
      <c r="BY587" s="233"/>
      <c r="BZ587" s="233"/>
      <c r="CA587" s="233"/>
      <c r="CB587" s="233"/>
      <c r="CC587" s="233"/>
      <c r="CD587" s="233"/>
      <c r="CE587" s="233"/>
      <c r="CF587" s="233"/>
      <c r="CG587" s="233"/>
      <c r="CH587" s="233"/>
      <c r="CI587" s="233"/>
      <c r="CJ587" s="233"/>
      <c r="CK587" s="233"/>
      <c r="CL587" s="233"/>
      <c r="CM587" s="233"/>
      <c r="CN587" s="233"/>
      <c r="CO587" s="233"/>
      <c r="CP587" s="233"/>
      <c r="CQ587" s="233"/>
      <c r="CR587" s="233"/>
      <c r="CS587" s="233"/>
      <c r="CT587" s="233"/>
      <c r="CU587" s="233"/>
      <c r="CV587" s="233"/>
      <c r="CW587" s="233"/>
      <c r="CX587" s="233"/>
      <c r="CY587" s="233"/>
      <c r="CZ587" s="233"/>
      <c r="DA587" s="233"/>
      <c r="DB587" s="233"/>
      <c r="DC587" s="233"/>
      <c r="DD587" s="233"/>
      <c r="DE587" s="233"/>
      <c r="DF587" s="233"/>
      <c r="DG587" s="233"/>
      <c r="DH587" s="233"/>
      <c r="DI587" s="233"/>
      <c r="DJ587" s="233"/>
      <c r="DK587" s="233"/>
      <c r="DL587" s="233"/>
      <c r="DM587" s="233"/>
      <c r="DN587" s="233"/>
      <c r="DO587" s="233"/>
      <c r="DP587" s="233"/>
      <c r="DQ587" s="233"/>
      <c r="DR587" s="233"/>
      <c r="DS587" s="233"/>
      <c r="DT587" s="233"/>
      <c r="DU587" s="233"/>
      <c r="DV587" s="233"/>
      <c r="DW587" s="233"/>
      <c r="DX587" s="233"/>
      <c r="DY587" s="233"/>
      <c r="DZ587" s="233"/>
      <c r="EA587" s="233"/>
      <c r="EB587" s="233"/>
      <c r="EC587" s="233"/>
      <c r="ED587" s="233"/>
      <c r="EE587" s="233"/>
      <c r="EF587" s="233"/>
      <c r="EG587" s="233"/>
      <c r="EH587" s="233"/>
      <c r="EI587" s="233"/>
      <c r="EJ587" s="233"/>
      <c r="EK587" s="233"/>
      <c r="EL587" s="233"/>
      <c r="EM587" s="233"/>
      <c r="EN587" s="233"/>
      <c r="EO587" s="233"/>
      <c r="EP587" s="233"/>
      <c r="EQ587" s="233"/>
      <c r="ER587" s="233"/>
      <c r="ES587" s="233"/>
      <c r="ET587" s="233"/>
      <c r="EU587" s="233"/>
      <c r="EV587" s="233"/>
      <c r="EW587" s="233"/>
      <c r="EX587" s="233"/>
      <c r="EY587" s="233"/>
      <c r="EZ587" s="233"/>
      <c r="FA587" s="233"/>
      <c r="FB587" s="233"/>
      <c r="FC587" s="233"/>
      <c r="FD587" s="233"/>
      <c r="FE587" s="233"/>
      <c r="FF587" s="233"/>
      <c r="FG587" s="233"/>
      <c r="FH587" s="233"/>
      <c r="FI587" s="233"/>
      <c r="FJ587" s="233"/>
      <c r="FK587" s="233"/>
      <c r="FL587" s="233"/>
      <c r="FM587" s="233"/>
      <c r="FN587" s="233"/>
      <c r="FO587" s="233"/>
      <c r="FP587" s="233"/>
      <c r="FQ587" s="233"/>
      <c r="FR587" s="233"/>
      <c r="FS587" s="233"/>
      <c r="FT587" s="233"/>
      <c r="FU587" s="233"/>
      <c r="FV587" s="233"/>
      <c r="FW587" s="233"/>
      <c r="FX587" s="233"/>
      <c r="FY587" s="233"/>
      <c r="FZ587" s="233"/>
      <c r="GA587" s="233"/>
      <c r="GB587" s="233"/>
      <c r="GC587" s="233"/>
      <c r="GD587" s="233"/>
      <c r="GE587" s="233"/>
      <c r="GF587" s="233"/>
      <c r="GG587" s="233"/>
      <c r="GH587" s="233"/>
      <c r="GI587" s="233"/>
      <c r="GJ587" s="233"/>
    </row>
    <row r="588" spans="1:192" s="93" customFormat="1" ht="12.75" customHeight="1">
      <c r="A588" s="68"/>
      <c r="B588" s="677"/>
      <c r="C588" s="220"/>
      <c r="D588" s="169"/>
      <c r="E588" s="169"/>
      <c r="F588" s="169"/>
      <c r="G588" s="169"/>
      <c r="H588" s="220"/>
      <c r="I588" s="169"/>
      <c r="J588" s="169"/>
      <c r="K588" s="169"/>
      <c r="L588" s="169"/>
      <c r="M588" s="220"/>
      <c r="N588" s="169"/>
      <c r="O588" s="169"/>
      <c r="P588" s="169"/>
      <c r="Q588" s="169"/>
      <c r="R588" s="220"/>
      <c r="S588" s="169"/>
      <c r="T588" s="169"/>
      <c r="U588" s="169"/>
      <c r="V588" s="169"/>
      <c r="W588" s="220"/>
      <c r="X588" s="169"/>
      <c r="Y588" s="169"/>
      <c r="Z588" s="169"/>
      <c r="AA588" s="169"/>
      <c r="AB588" s="220"/>
      <c r="AC588" s="169"/>
      <c r="AD588" s="169"/>
      <c r="AE588" s="169"/>
      <c r="AF588" s="169"/>
      <c r="AG588" s="220"/>
      <c r="AH588" s="169"/>
      <c r="AI588" s="169"/>
      <c r="AJ588" s="169"/>
      <c r="AK588" s="169"/>
      <c r="AL588" s="220"/>
      <c r="AM588" s="169"/>
      <c r="AN588" s="169"/>
      <c r="AO588" s="169"/>
      <c r="AP588" s="169"/>
      <c r="AQ588" s="220"/>
      <c r="AR588" s="169"/>
      <c r="AS588" s="169"/>
      <c r="AT588" s="169"/>
      <c r="AU588" s="169"/>
      <c r="AV588" s="220"/>
      <c r="AW588" s="169"/>
      <c r="AX588" s="169"/>
      <c r="AY588" s="169"/>
      <c r="AZ588" s="169"/>
      <c r="BA588" s="220"/>
      <c r="BB588" s="169"/>
      <c r="BC588" s="169"/>
      <c r="BD588" s="169"/>
      <c r="BE588" s="169"/>
      <c r="BF588" s="220"/>
      <c r="BG588" s="169"/>
      <c r="BH588" s="169"/>
      <c r="BI588" s="169"/>
      <c r="BJ588" s="169"/>
      <c r="BK588" s="220"/>
      <c r="BL588" s="169"/>
      <c r="BM588" s="169"/>
      <c r="BN588" s="169"/>
      <c r="BO588" s="169"/>
      <c r="BP588" s="220"/>
      <c r="BQ588" s="169"/>
      <c r="BR588" s="169"/>
      <c r="BS588" s="169"/>
      <c r="BT588" s="169"/>
      <c r="BU588" s="220"/>
      <c r="BV588" s="169"/>
      <c r="BW588" s="169"/>
      <c r="BX588" s="169"/>
      <c r="BY588" s="169"/>
      <c r="BZ588" s="220"/>
      <c r="CA588" s="169"/>
      <c r="CB588" s="169"/>
      <c r="CC588" s="169"/>
      <c r="CD588" s="169"/>
      <c r="CE588" s="220"/>
      <c r="CF588" s="169"/>
      <c r="CG588" s="169"/>
      <c r="CH588" s="169"/>
      <c r="CI588" s="169"/>
      <c r="CJ588" s="220"/>
      <c r="CK588" s="169"/>
      <c r="CL588" s="169"/>
      <c r="CM588" s="169"/>
      <c r="CN588" s="169"/>
      <c r="CO588" s="220"/>
      <c r="CP588" s="169"/>
      <c r="CQ588" s="169"/>
      <c r="CR588" s="169"/>
      <c r="CS588" s="169"/>
      <c r="CT588" s="220"/>
      <c r="CU588" s="169"/>
      <c r="CV588" s="169"/>
      <c r="CW588" s="169"/>
      <c r="CX588" s="169"/>
      <c r="CY588" s="220"/>
      <c r="CZ588" s="169"/>
      <c r="DA588" s="169"/>
      <c r="DB588" s="169"/>
      <c r="DC588" s="169"/>
      <c r="DD588" s="220"/>
      <c r="DE588" s="169"/>
      <c r="DF588" s="169"/>
      <c r="DG588" s="169"/>
      <c r="DH588" s="169"/>
      <c r="DI588" s="220"/>
      <c r="DJ588" s="169"/>
      <c r="DK588" s="169"/>
      <c r="DL588" s="169"/>
      <c r="DM588" s="169"/>
      <c r="DN588" s="220"/>
      <c r="DO588" s="169"/>
      <c r="DP588" s="169"/>
      <c r="DQ588" s="169"/>
      <c r="DR588" s="169"/>
      <c r="DS588" s="220"/>
      <c r="DT588" s="169"/>
      <c r="DU588" s="169"/>
      <c r="DV588" s="169"/>
      <c r="DW588" s="169"/>
      <c r="DX588" s="220"/>
      <c r="DY588" s="169"/>
      <c r="DZ588" s="169"/>
      <c r="EA588" s="169"/>
      <c r="EB588" s="169"/>
      <c r="EC588" s="220"/>
      <c r="ED588" s="169"/>
      <c r="EE588" s="169"/>
      <c r="EF588" s="169"/>
      <c r="EG588" s="169"/>
      <c r="EH588" s="220"/>
      <c r="EI588" s="169"/>
      <c r="EJ588" s="169"/>
      <c r="EK588" s="169"/>
      <c r="EL588" s="169"/>
      <c r="EM588" s="220"/>
      <c r="EN588" s="169"/>
      <c r="EO588" s="169"/>
      <c r="EP588" s="169"/>
      <c r="EQ588" s="169"/>
      <c r="ER588" s="220"/>
      <c r="ES588" s="169"/>
      <c r="ET588" s="169"/>
      <c r="EU588" s="169"/>
      <c r="EV588" s="169"/>
      <c r="EW588" s="220"/>
      <c r="EX588" s="169"/>
      <c r="EY588" s="169"/>
      <c r="EZ588" s="169"/>
      <c r="FA588" s="169"/>
      <c r="FB588" s="220"/>
      <c r="FC588" s="169"/>
      <c r="FD588" s="169"/>
      <c r="FE588" s="169"/>
      <c r="FF588" s="169"/>
      <c r="FG588" s="220"/>
      <c r="FH588" s="169"/>
      <c r="FI588" s="169"/>
      <c r="FJ588" s="169"/>
      <c r="FK588" s="169"/>
      <c r="FL588" s="220"/>
      <c r="FM588" s="169"/>
      <c r="FN588" s="169"/>
      <c r="FO588" s="169"/>
      <c r="FP588" s="169"/>
      <c r="FQ588" s="220"/>
      <c r="FR588" s="169"/>
      <c r="FS588" s="169"/>
      <c r="FT588" s="169"/>
      <c r="FU588" s="169"/>
      <c r="FV588" s="220"/>
      <c r="FW588" s="169"/>
      <c r="FX588" s="169"/>
      <c r="FY588" s="169"/>
      <c r="FZ588" s="169"/>
      <c r="GA588" s="220"/>
      <c r="GB588" s="169"/>
      <c r="GC588" s="169"/>
      <c r="GD588" s="169"/>
      <c r="GE588" s="169"/>
      <c r="GF588" s="220"/>
      <c r="GG588" s="169"/>
      <c r="GH588" s="169"/>
      <c r="GI588" s="169"/>
      <c r="GJ588" s="169"/>
    </row>
    <row r="589" spans="1:192" s="93" customFormat="1" ht="12.75" customHeight="1">
      <c r="A589" s="68"/>
      <c r="B589" s="677"/>
      <c r="C589" s="220"/>
      <c r="D589" s="169"/>
      <c r="E589" s="169"/>
      <c r="F589" s="169"/>
      <c r="G589" s="169"/>
      <c r="H589" s="220"/>
      <c r="I589" s="169"/>
      <c r="J589" s="169"/>
      <c r="K589" s="169"/>
      <c r="L589" s="169"/>
      <c r="M589" s="220"/>
      <c r="N589" s="169"/>
      <c r="O589" s="169"/>
      <c r="P589" s="169"/>
      <c r="Q589" s="169"/>
      <c r="R589" s="220"/>
      <c r="S589" s="169"/>
      <c r="T589" s="169"/>
      <c r="U589" s="169"/>
      <c r="V589" s="169"/>
      <c r="W589" s="220"/>
      <c r="X589" s="169"/>
      <c r="Y589" s="169"/>
      <c r="Z589" s="169"/>
      <c r="AA589" s="169"/>
      <c r="AB589" s="220"/>
      <c r="AC589" s="169"/>
      <c r="AD589" s="169"/>
      <c r="AE589" s="169"/>
      <c r="AF589" s="169"/>
      <c r="AG589" s="220"/>
      <c r="AH589" s="169"/>
      <c r="AI589" s="169"/>
      <c r="AJ589" s="169"/>
      <c r="AK589" s="169"/>
      <c r="AL589" s="220"/>
      <c r="AM589" s="169"/>
      <c r="AN589" s="169"/>
      <c r="AO589" s="169"/>
      <c r="AP589" s="169"/>
      <c r="AQ589" s="220"/>
      <c r="AR589" s="169"/>
      <c r="AS589" s="169"/>
      <c r="AT589" s="169"/>
      <c r="AU589" s="169"/>
      <c r="AV589" s="220"/>
      <c r="AW589" s="169"/>
      <c r="AX589" s="169"/>
      <c r="AY589" s="169"/>
      <c r="AZ589" s="169"/>
      <c r="BA589" s="220"/>
      <c r="BB589" s="169"/>
      <c r="BC589" s="169"/>
      <c r="BD589" s="169"/>
      <c r="BE589" s="169"/>
      <c r="BF589" s="220"/>
      <c r="BG589" s="169"/>
      <c r="BH589" s="169"/>
      <c r="BI589" s="169"/>
      <c r="BJ589" s="169"/>
      <c r="BK589" s="220"/>
      <c r="BL589" s="169"/>
      <c r="BM589" s="169"/>
      <c r="BN589" s="169"/>
      <c r="BO589" s="169"/>
      <c r="BP589" s="220"/>
      <c r="BQ589" s="169"/>
      <c r="BR589" s="169"/>
      <c r="BS589" s="169"/>
      <c r="BT589" s="169"/>
      <c r="BU589" s="220"/>
      <c r="BV589" s="169"/>
      <c r="BW589" s="169"/>
      <c r="BX589" s="169"/>
      <c r="BY589" s="169"/>
      <c r="BZ589" s="220"/>
      <c r="CA589" s="169"/>
      <c r="CB589" s="169"/>
      <c r="CC589" s="169"/>
      <c r="CD589" s="169"/>
      <c r="CE589" s="220"/>
      <c r="CF589" s="169"/>
      <c r="CG589" s="169"/>
      <c r="CH589" s="169"/>
      <c r="CI589" s="169"/>
      <c r="CJ589" s="220"/>
      <c r="CK589" s="169"/>
      <c r="CL589" s="169"/>
      <c r="CM589" s="169"/>
      <c r="CN589" s="169"/>
      <c r="CO589" s="220"/>
      <c r="CP589" s="169"/>
      <c r="CQ589" s="169"/>
      <c r="CR589" s="169"/>
      <c r="CS589" s="169"/>
      <c r="CT589" s="220"/>
      <c r="CU589" s="169"/>
      <c r="CV589" s="169"/>
      <c r="CW589" s="169"/>
      <c r="CX589" s="169"/>
      <c r="CY589" s="220"/>
      <c r="CZ589" s="169"/>
      <c r="DA589" s="169"/>
      <c r="DB589" s="169"/>
      <c r="DC589" s="169"/>
      <c r="DD589" s="220"/>
      <c r="DE589" s="169"/>
      <c r="DF589" s="169"/>
      <c r="DG589" s="169"/>
      <c r="DH589" s="169"/>
      <c r="DI589" s="220"/>
      <c r="DJ589" s="169"/>
      <c r="DK589" s="169"/>
      <c r="DL589" s="169"/>
      <c r="DM589" s="169"/>
      <c r="DN589" s="220"/>
      <c r="DO589" s="169"/>
      <c r="DP589" s="169"/>
      <c r="DQ589" s="169"/>
      <c r="DR589" s="169"/>
      <c r="DS589" s="220"/>
      <c r="DT589" s="169"/>
      <c r="DU589" s="169"/>
      <c r="DV589" s="169"/>
      <c r="DW589" s="169"/>
      <c r="DX589" s="220"/>
      <c r="DY589" s="169"/>
      <c r="DZ589" s="169"/>
      <c r="EA589" s="169"/>
      <c r="EB589" s="169"/>
      <c r="EC589" s="220"/>
      <c r="ED589" s="169"/>
      <c r="EE589" s="169"/>
      <c r="EF589" s="169"/>
      <c r="EG589" s="169"/>
      <c r="EH589" s="220"/>
      <c r="EI589" s="169"/>
      <c r="EJ589" s="169"/>
      <c r="EK589" s="169"/>
      <c r="EL589" s="169"/>
      <c r="EM589" s="220"/>
      <c r="EN589" s="169"/>
      <c r="EO589" s="169"/>
      <c r="EP589" s="169"/>
      <c r="EQ589" s="169"/>
      <c r="ER589" s="220"/>
      <c r="ES589" s="169"/>
      <c r="ET589" s="169"/>
      <c r="EU589" s="169"/>
      <c r="EV589" s="169"/>
      <c r="EW589" s="220"/>
      <c r="EX589" s="169"/>
      <c r="EY589" s="169"/>
      <c r="EZ589" s="169"/>
      <c r="FA589" s="169"/>
      <c r="FB589" s="220"/>
      <c r="FC589" s="169"/>
      <c r="FD589" s="169"/>
      <c r="FE589" s="169"/>
      <c r="FF589" s="169"/>
      <c r="FG589" s="220"/>
      <c r="FH589" s="169"/>
      <c r="FI589" s="169"/>
      <c r="FJ589" s="169"/>
      <c r="FK589" s="169"/>
      <c r="FL589" s="220"/>
      <c r="FM589" s="169"/>
      <c r="FN589" s="169"/>
      <c r="FO589" s="169"/>
      <c r="FP589" s="169"/>
      <c r="FQ589" s="220"/>
      <c r="FR589" s="169"/>
      <c r="FS589" s="169"/>
      <c r="FT589" s="169"/>
      <c r="FU589" s="169"/>
      <c r="FV589" s="220"/>
      <c r="FW589" s="169"/>
      <c r="FX589" s="169"/>
      <c r="FY589" s="169"/>
      <c r="FZ589" s="169"/>
      <c r="GA589" s="220"/>
      <c r="GB589" s="169"/>
      <c r="GC589" s="169"/>
      <c r="GD589" s="169"/>
      <c r="GE589" s="169"/>
      <c r="GF589" s="220"/>
      <c r="GG589" s="169"/>
      <c r="GH589" s="169"/>
      <c r="GI589" s="169"/>
      <c r="GJ589" s="169"/>
    </row>
    <row r="591" spans="1:192" s="93" customFormat="1" ht="12.75" customHeight="1">
      <c r="A591" s="68"/>
      <c r="B591" s="677"/>
      <c r="C591" s="220"/>
      <c r="D591" s="169"/>
      <c r="E591" s="169"/>
      <c r="F591" s="169"/>
      <c r="G591" s="169"/>
      <c r="H591" s="220"/>
      <c r="I591" s="169"/>
      <c r="J591" s="169"/>
      <c r="K591" s="169"/>
      <c r="L591" s="169"/>
      <c r="M591" s="220"/>
      <c r="N591" s="169"/>
      <c r="O591" s="169"/>
      <c r="P591" s="169"/>
      <c r="Q591" s="169"/>
      <c r="R591" s="220"/>
      <c r="S591" s="169"/>
      <c r="T591" s="169"/>
      <c r="U591" s="169"/>
      <c r="V591" s="169"/>
      <c r="W591" s="220"/>
      <c r="X591" s="169"/>
      <c r="Y591" s="169"/>
      <c r="Z591" s="169"/>
      <c r="AA591" s="169"/>
      <c r="AB591" s="220"/>
      <c r="AC591" s="169"/>
      <c r="AD591" s="169"/>
      <c r="AE591" s="169"/>
      <c r="AF591" s="169"/>
      <c r="AG591" s="220"/>
      <c r="AH591" s="169"/>
      <c r="AI591" s="169"/>
      <c r="AJ591" s="169"/>
      <c r="AK591" s="169"/>
      <c r="AL591" s="220"/>
      <c r="AM591" s="169"/>
      <c r="AN591" s="169"/>
      <c r="AO591" s="169"/>
      <c r="AP591" s="169"/>
      <c r="AQ591" s="220"/>
      <c r="AR591" s="169"/>
      <c r="AS591" s="169"/>
      <c r="AT591" s="169"/>
      <c r="AU591" s="169"/>
      <c r="AV591" s="220"/>
      <c r="AW591" s="169"/>
      <c r="AX591" s="169"/>
      <c r="AY591" s="169"/>
      <c r="AZ591" s="169"/>
      <c r="BA591" s="220"/>
      <c r="BB591" s="169"/>
      <c r="BC591" s="169"/>
      <c r="BD591" s="169"/>
      <c r="BE591" s="169"/>
      <c r="BF591" s="220"/>
      <c r="BG591" s="169"/>
      <c r="BH591" s="169"/>
      <c r="BI591" s="169"/>
      <c r="BJ591" s="169"/>
      <c r="BK591" s="220"/>
      <c r="BL591" s="169"/>
      <c r="BM591" s="169"/>
      <c r="BN591" s="169"/>
      <c r="BO591" s="169"/>
      <c r="BP591" s="220"/>
      <c r="BQ591" s="169"/>
      <c r="BR591" s="169"/>
      <c r="BS591" s="169"/>
      <c r="BT591" s="169"/>
      <c r="BU591" s="220"/>
      <c r="BV591" s="169"/>
      <c r="BW591" s="169"/>
      <c r="BX591" s="169"/>
      <c r="BY591" s="169"/>
      <c r="BZ591" s="220"/>
      <c r="CA591" s="169"/>
      <c r="CB591" s="169"/>
      <c r="CC591" s="169"/>
      <c r="CD591" s="169"/>
      <c r="CE591" s="220"/>
      <c r="CF591" s="169"/>
      <c r="CG591" s="169"/>
      <c r="CH591" s="169"/>
      <c r="CI591" s="169"/>
      <c r="CJ591" s="220"/>
      <c r="CK591" s="169"/>
      <c r="CL591" s="169"/>
      <c r="CM591" s="169"/>
      <c r="CN591" s="169"/>
      <c r="CO591" s="220"/>
      <c r="CP591" s="169"/>
      <c r="CQ591" s="169"/>
      <c r="CR591" s="169"/>
      <c r="CS591" s="169"/>
      <c r="CT591" s="220"/>
      <c r="CU591" s="169"/>
      <c r="CV591" s="169"/>
      <c r="CW591" s="169"/>
      <c r="CX591" s="169"/>
      <c r="CY591" s="220"/>
      <c r="CZ591" s="169"/>
      <c r="DA591" s="169"/>
      <c r="DB591" s="169"/>
      <c r="DC591" s="169"/>
      <c r="DD591" s="220"/>
      <c r="DE591" s="169"/>
      <c r="DF591" s="169"/>
      <c r="DG591" s="169"/>
      <c r="DH591" s="169"/>
      <c r="DI591" s="220"/>
      <c r="DJ591" s="169"/>
      <c r="DK591" s="169"/>
      <c r="DL591" s="169"/>
      <c r="DM591" s="169"/>
      <c r="DN591" s="220"/>
      <c r="DO591" s="169"/>
      <c r="DP591" s="169"/>
      <c r="DQ591" s="169"/>
      <c r="DR591" s="169"/>
      <c r="DS591" s="220"/>
      <c r="DT591" s="169"/>
      <c r="DU591" s="169"/>
      <c r="DV591" s="169"/>
      <c r="DW591" s="169"/>
      <c r="DX591" s="220"/>
      <c r="DY591" s="169"/>
      <c r="DZ591" s="169"/>
      <c r="EA591" s="169"/>
      <c r="EB591" s="169"/>
      <c r="EC591" s="220"/>
      <c r="ED591" s="169"/>
      <c r="EE591" s="169"/>
      <c r="EF591" s="169"/>
      <c r="EG591" s="169"/>
      <c r="EH591" s="220"/>
      <c r="EI591" s="169"/>
      <c r="EJ591" s="169"/>
      <c r="EK591" s="169"/>
      <c r="EL591" s="169"/>
      <c r="EM591" s="220"/>
      <c r="EN591" s="169"/>
      <c r="EO591" s="169"/>
      <c r="EP591" s="169"/>
      <c r="EQ591" s="169"/>
      <c r="ER591" s="220"/>
      <c r="ES591" s="169"/>
      <c r="ET591" s="169"/>
      <c r="EU591" s="169"/>
      <c r="EV591" s="169"/>
      <c r="EW591" s="220"/>
      <c r="EX591" s="169"/>
      <c r="EY591" s="169"/>
      <c r="EZ591" s="169"/>
      <c r="FA591" s="169"/>
      <c r="FB591" s="220"/>
      <c r="FC591" s="169"/>
      <c r="FD591" s="169"/>
      <c r="FE591" s="169"/>
      <c r="FF591" s="169"/>
      <c r="FG591" s="220"/>
      <c r="FH591" s="169"/>
      <c r="FI591" s="169"/>
      <c r="FJ591" s="169"/>
      <c r="FK591" s="169"/>
      <c r="FL591" s="220"/>
      <c r="FM591" s="169"/>
      <c r="FN591" s="169"/>
      <c r="FO591" s="169"/>
      <c r="FP591" s="169"/>
      <c r="FQ591" s="220"/>
      <c r="FR591" s="169"/>
      <c r="FS591" s="169"/>
      <c r="FT591" s="169"/>
      <c r="FU591" s="169"/>
      <c r="FV591" s="220"/>
      <c r="FW591" s="169"/>
      <c r="FX591" s="169"/>
      <c r="FY591" s="169"/>
      <c r="FZ591" s="169"/>
      <c r="GA591" s="220"/>
      <c r="GB591" s="169"/>
      <c r="GC591" s="169"/>
      <c r="GD591" s="169"/>
      <c r="GE591" s="169"/>
      <c r="GF591" s="220"/>
      <c r="GG591" s="169"/>
      <c r="GH591" s="169"/>
      <c r="GI591" s="169"/>
      <c r="GJ591" s="169"/>
    </row>
    <row r="592" spans="1:192" s="93" customFormat="1" ht="12.75" customHeight="1">
      <c r="A592" s="68"/>
      <c r="B592" s="677"/>
      <c r="C592" s="220"/>
      <c r="D592" s="169"/>
      <c r="E592" s="169"/>
      <c r="F592" s="169"/>
      <c r="G592" s="169"/>
      <c r="H592" s="220"/>
      <c r="I592" s="169"/>
      <c r="J592" s="169"/>
      <c r="K592" s="169"/>
      <c r="L592" s="169"/>
      <c r="M592" s="220"/>
      <c r="N592" s="169"/>
      <c r="O592" s="169"/>
      <c r="P592" s="169"/>
      <c r="Q592" s="169"/>
      <c r="R592" s="220"/>
      <c r="S592" s="169"/>
      <c r="T592" s="169"/>
      <c r="U592" s="169"/>
      <c r="V592" s="169"/>
      <c r="W592" s="220"/>
      <c r="X592" s="169"/>
      <c r="Y592" s="169"/>
      <c r="Z592" s="169"/>
      <c r="AA592" s="169"/>
      <c r="AB592" s="220"/>
      <c r="AC592" s="169"/>
      <c r="AD592" s="169"/>
      <c r="AE592" s="169"/>
      <c r="AF592" s="169"/>
      <c r="AG592" s="220"/>
      <c r="AH592" s="169"/>
      <c r="AI592" s="169"/>
      <c r="AJ592" s="169"/>
      <c r="AK592" s="169"/>
      <c r="AL592" s="220"/>
      <c r="AM592" s="169"/>
      <c r="AN592" s="169"/>
      <c r="AO592" s="169"/>
      <c r="AP592" s="169"/>
      <c r="AQ592" s="220"/>
      <c r="AR592" s="169"/>
      <c r="AS592" s="169"/>
      <c r="AT592" s="169"/>
      <c r="AU592" s="169"/>
      <c r="AV592" s="220"/>
      <c r="AW592" s="169"/>
      <c r="AX592" s="169"/>
      <c r="AY592" s="169"/>
      <c r="AZ592" s="169"/>
      <c r="BA592" s="220"/>
      <c r="BB592" s="169"/>
      <c r="BC592" s="169"/>
      <c r="BD592" s="169"/>
      <c r="BE592" s="169"/>
      <c r="BF592" s="220"/>
      <c r="BG592" s="169"/>
      <c r="BH592" s="169"/>
      <c r="BI592" s="169"/>
      <c r="BJ592" s="169"/>
      <c r="BK592" s="220"/>
      <c r="BL592" s="169"/>
      <c r="BM592" s="169"/>
      <c r="BN592" s="169"/>
      <c r="BO592" s="169"/>
      <c r="BP592" s="220"/>
      <c r="BQ592" s="169"/>
      <c r="BR592" s="169"/>
      <c r="BS592" s="169"/>
      <c r="BT592" s="169"/>
      <c r="BU592" s="220"/>
      <c r="BV592" s="169"/>
      <c r="BW592" s="169"/>
      <c r="BX592" s="169"/>
      <c r="BY592" s="169"/>
      <c r="BZ592" s="220"/>
      <c r="CA592" s="169"/>
      <c r="CB592" s="169"/>
      <c r="CC592" s="169"/>
      <c r="CD592" s="169"/>
      <c r="CE592" s="220"/>
      <c r="CF592" s="169"/>
      <c r="CG592" s="169"/>
      <c r="CH592" s="169"/>
      <c r="CI592" s="169"/>
      <c r="CJ592" s="220"/>
      <c r="CK592" s="169"/>
      <c r="CL592" s="169"/>
      <c r="CM592" s="169"/>
      <c r="CN592" s="169"/>
      <c r="CO592" s="220"/>
      <c r="CP592" s="169"/>
      <c r="CQ592" s="169"/>
      <c r="CR592" s="169"/>
      <c r="CS592" s="169"/>
      <c r="CT592" s="220"/>
      <c r="CU592" s="169"/>
      <c r="CV592" s="169"/>
      <c r="CW592" s="169"/>
      <c r="CX592" s="169"/>
      <c r="CY592" s="220"/>
      <c r="CZ592" s="169"/>
      <c r="DA592" s="169"/>
      <c r="DB592" s="169"/>
      <c r="DC592" s="169"/>
      <c r="DD592" s="220"/>
      <c r="DE592" s="169"/>
      <c r="DF592" s="169"/>
      <c r="DG592" s="169"/>
      <c r="DH592" s="169"/>
      <c r="DI592" s="220"/>
      <c r="DJ592" s="169"/>
      <c r="DK592" s="169"/>
      <c r="DL592" s="169"/>
      <c r="DM592" s="169"/>
      <c r="DN592" s="220"/>
      <c r="DO592" s="169"/>
      <c r="DP592" s="169"/>
      <c r="DQ592" s="169"/>
      <c r="DR592" s="169"/>
      <c r="DS592" s="220"/>
      <c r="DT592" s="169"/>
      <c r="DU592" s="169"/>
      <c r="DV592" s="169"/>
      <c r="DW592" s="169"/>
      <c r="DX592" s="220"/>
      <c r="DY592" s="169"/>
      <c r="DZ592" s="169"/>
      <c r="EA592" s="169"/>
      <c r="EB592" s="169"/>
      <c r="EC592" s="220"/>
      <c r="ED592" s="169"/>
      <c r="EE592" s="169"/>
      <c r="EF592" s="169"/>
      <c r="EG592" s="169"/>
      <c r="EH592" s="220"/>
      <c r="EI592" s="169"/>
      <c r="EJ592" s="169"/>
      <c r="EK592" s="169"/>
      <c r="EL592" s="169"/>
      <c r="EM592" s="220"/>
      <c r="EN592" s="169"/>
      <c r="EO592" s="169"/>
      <c r="EP592" s="169"/>
      <c r="EQ592" s="169"/>
      <c r="ER592" s="220"/>
      <c r="ES592" s="169"/>
      <c r="ET592" s="169"/>
      <c r="EU592" s="169"/>
      <c r="EV592" s="169"/>
      <c r="EW592" s="220"/>
      <c r="EX592" s="169"/>
      <c r="EY592" s="169"/>
      <c r="EZ592" s="169"/>
      <c r="FA592" s="169"/>
      <c r="FB592" s="220"/>
      <c r="FC592" s="169"/>
      <c r="FD592" s="169"/>
      <c r="FE592" s="169"/>
      <c r="FF592" s="169"/>
      <c r="FG592" s="220"/>
      <c r="FH592" s="169"/>
      <c r="FI592" s="169"/>
      <c r="FJ592" s="169"/>
      <c r="FK592" s="169"/>
      <c r="FL592" s="220"/>
      <c r="FM592" s="169"/>
      <c r="FN592" s="169"/>
      <c r="FO592" s="169"/>
      <c r="FP592" s="169"/>
      <c r="FQ592" s="220"/>
      <c r="FR592" s="169"/>
      <c r="FS592" s="169"/>
      <c r="FT592" s="169"/>
      <c r="FU592" s="169"/>
      <c r="FV592" s="220"/>
      <c r="FW592" s="169"/>
      <c r="FX592" s="169"/>
      <c r="FY592" s="169"/>
      <c r="FZ592" s="169"/>
      <c r="GA592" s="220"/>
      <c r="GB592" s="169"/>
      <c r="GC592" s="169"/>
      <c r="GD592" s="169"/>
      <c r="GE592" s="169"/>
      <c r="GF592" s="220"/>
      <c r="GG592" s="169"/>
      <c r="GH592" s="169"/>
      <c r="GI592" s="169"/>
      <c r="GJ592" s="169"/>
    </row>
    <row r="593" spans="1:192" s="93" customFormat="1" ht="12.75" customHeight="1">
      <c r="A593" s="68"/>
      <c r="B593" s="677"/>
      <c r="C593" s="220"/>
      <c r="D593" s="169"/>
      <c r="E593" s="169"/>
      <c r="F593" s="169"/>
      <c r="G593" s="169"/>
      <c r="H593" s="220"/>
      <c r="I593" s="169"/>
      <c r="J593" s="169"/>
      <c r="K593" s="169"/>
      <c r="L593" s="169"/>
      <c r="M593" s="220"/>
      <c r="N593" s="169"/>
      <c r="O593" s="169"/>
      <c r="P593" s="169"/>
      <c r="Q593" s="169"/>
      <c r="R593" s="220"/>
      <c r="S593" s="169"/>
      <c r="T593" s="169"/>
      <c r="U593" s="169"/>
      <c r="V593" s="169"/>
      <c r="W593" s="220"/>
      <c r="X593" s="169"/>
      <c r="Y593" s="169"/>
      <c r="Z593" s="169"/>
      <c r="AA593" s="169"/>
      <c r="AB593" s="220"/>
      <c r="AC593" s="169"/>
      <c r="AD593" s="169"/>
      <c r="AE593" s="169"/>
      <c r="AF593" s="169"/>
      <c r="AG593" s="220"/>
      <c r="AH593" s="169"/>
      <c r="AI593" s="169"/>
      <c r="AJ593" s="169"/>
      <c r="AK593" s="169"/>
      <c r="AL593" s="220"/>
      <c r="AM593" s="169"/>
      <c r="AN593" s="169"/>
      <c r="AO593" s="169"/>
      <c r="AP593" s="169"/>
      <c r="AQ593" s="220"/>
      <c r="AR593" s="169"/>
      <c r="AS593" s="169"/>
      <c r="AT593" s="169"/>
      <c r="AU593" s="169"/>
      <c r="AV593" s="220"/>
      <c r="AW593" s="169"/>
      <c r="AX593" s="169"/>
      <c r="AY593" s="169"/>
      <c r="AZ593" s="169"/>
      <c r="BA593" s="220"/>
      <c r="BB593" s="169"/>
      <c r="BC593" s="169"/>
      <c r="BD593" s="169"/>
      <c r="BE593" s="169"/>
      <c r="BF593" s="220"/>
      <c r="BG593" s="169"/>
      <c r="BH593" s="169"/>
      <c r="BI593" s="169"/>
      <c r="BJ593" s="169"/>
      <c r="BK593" s="220"/>
      <c r="BL593" s="169"/>
      <c r="BM593" s="169"/>
      <c r="BN593" s="169"/>
      <c r="BO593" s="169"/>
      <c r="BP593" s="220"/>
      <c r="BQ593" s="169"/>
      <c r="BR593" s="169"/>
      <c r="BS593" s="169"/>
      <c r="BT593" s="169"/>
      <c r="BU593" s="220"/>
      <c r="BV593" s="169"/>
      <c r="BW593" s="169"/>
      <c r="BX593" s="169"/>
      <c r="BY593" s="169"/>
      <c r="BZ593" s="220"/>
      <c r="CA593" s="169"/>
      <c r="CB593" s="169"/>
      <c r="CC593" s="169"/>
      <c r="CD593" s="169"/>
      <c r="CE593" s="220"/>
      <c r="CF593" s="169"/>
      <c r="CG593" s="169"/>
      <c r="CH593" s="169"/>
      <c r="CI593" s="169"/>
      <c r="CJ593" s="220"/>
      <c r="CK593" s="169"/>
      <c r="CL593" s="169"/>
      <c r="CM593" s="169"/>
      <c r="CN593" s="169"/>
      <c r="CO593" s="220"/>
      <c r="CP593" s="169"/>
      <c r="CQ593" s="169"/>
      <c r="CR593" s="169"/>
      <c r="CS593" s="169"/>
      <c r="CT593" s="220"/>
      <c r="CU593" s="169"/>
      <c r="CV593" s="169"/>
      <c r="CW593" s="169"/>
      <c r="CX593" s="169"/>
      <c r="CY593" s="220"/>
      <c r="CZ593" s="169"/>
      <c r="DA593" s="169"/>
      <c r="DB593" s="169"/>
      <c r="DC593" s="169"/>
      <c r="DD593" s="220"/>
      <c r="DE593" s="169"/>
      <c r="DF593" s="169"/>
      <c r="DG593" s="169"/>
      <c r="DH593" s="169"/>
      <c r="DI593" s="220"/>
      <c r="DJ593" s="169"/>
      <c r="DK593" s="169"/>
      <c r="DL593" s="169"/>
      <c r="DM593" s="169"/>
      <c r="DN593" s="220"/>
      <c r="DO593" s="169"/>
      <c r="DP593" s="169"/>
      <c r="DQ593" s="169"/>
      <c r="DR593" s="169"/>
      <c r="DS593" s="220"/>
      <c r="DT593" s="169"/>
      <c r="DU593" s="169"/>
      <c r="DV593" s="169"/>
      <c r="DW593" s="169"/>
      <c r="DX593" s="220"/>
      <c r="DY593" s="169"/>
      <c r="DZ593" s="169"/>
      <c r="EA593" s="169"/>
      <c r="EB593" s="169"/>
      <c r="EC593" s="220"/>
      <c r="ED593" s="169"/>
      <c r="EE593" s="169"/>
      <c r="EF593" s="169"/>
      <c r="EG593" s="169"/>
      <c r="EH593" s="220"/>
      <c r="EI593" s="169"/>
      <c r="EJ593" s="169"/>
      <c r="EK593" s="169"/>
      <c r="EL593" s="169"/>
      <c r="EM593" s="220"/>
      <c r="EN593" s="169"/>
      <c r="EO593" s="169"/>
      <c r="EP593" s="169"/>
      <c r="EQ593" s="169"/>
      <c r="ER593" s="220"/>
      <c r="ES593" s="169"/>
      <c r="ET593" s="169"/>
      <c r="EU593" s="169"/>
      <c r="EV593" s="169"/>
      <c r="EW593" s="220"/>
      <c r="EX593" s="169"/>
      <c r="EY593" s="169"/>
      <c r="EZ593" s="169"/>
      <c r="FA593" s="169"/>
      <c r="FB593" s="220"/>
      <c r="FC593" s="169"/>
      <c r="FD593" s="169"/>
      <c r="FE593" s="169"/>
      <c r="FF593" s="169"/>
      <c r="FG593" s="220"/>
      <c r="FH593" s="169"/>
      <c r="FI593" s="169"/>
      <c r="FJ593" s="169"/>
      <c r="FK593" s="169"/>
      <c r="FL593" s="220"/>
      <c r="FM593" s="169"/>
      <c r="FN593" s="169"/>
      <c r="FO593" s="169"/>
      <c r="FP593" s="169"/>
      <c r="FQ593" s="220"/>
      <c r="FR593" s="169"/>
      <c r="FS593" s="169"/>
      <c r="FT593" s="169"/>
      <c r="FU593" s="169"/>
      <c r="FV593" s="220"/>
      <c r="FW593" s="169"/>
      <c r="FX593" s="169"/>
      <c r="FY593" s="169"/>
      <c r="FZ593" s="169"/>
      <c r="GA593" s="220"/>
      <c r="GB593" s="169"/>
      <c r="GC593" s="169"/>
      <c r="GD593" s="169"/>
      <c r="GE593" s="169"/>
      <c r="GF593" s="220"/>
      <c r="GG593" s="169"/>
      <c r="GH593" s="169"/>
      <c r="GI593" s="169"/>
      <c r="GJ593" s="169"/>
    </row>
    <row r="594" spans="1:192" s="93" customFormat="1" ht="12.75" customHeight="1">
      <c r="A594" s="68"/>
      <c r="B594" s="677"/>
      <c r="C594" s="220"/>
      <c r="D594" s="169"/>
      <c r="E594" s="169"/>
      <c r="F594" s="169"/>
      <c r="G594" s="169"/>
      <c r="H594" s="220"/>
      <c r="I594" s="169"/>
      <c r="J594" s="169"/>
      <c r="K594" s="169"/>
      <c r="L594" s="169"/>
      <c r="M594" s="220"/>
      <c r="N594" s="169"/>
      <c r="O594" s="169"/>
      <c r="P594" s="169"/>
      <c r="Q594" s="169"/>
      <c r="R594" s="220"/>
      <c r="S594" s="169"/>
      <c r="T594" s="169"/>
      <c r="U594" s="169"/>
      <c r="V594" s="169"/>
      <c r="W594" s="220"/>
      <c r="X594" s="169"/>
      <c r="Y594" s="169"/>
      <c r="Z594" s="169"/>
      <c r="AA594" s="169"/>
      <c r="AB594" s="220"/>
      <c r="AC594" s="169"/>
      <c r="AD594" s="169"/>
      <c r="AE594" s="169"/>
      <c r="AF594" s="169"/>
      <c r="AG594" s="220"/>
      <c r="AH594" s="169"/>
      <c r="AI594" s="169"/>
      <c r="AJ594" s="169"/>
      <c r="AK594" s="169"/>
      <c r="AL594" s="220"/>
      <c r="AM594" s="169"/>
      <c r="AN594" s="169"/>
      <c r="AO594" s="169"/>
      <c r="AP594" s="169"/>
      <c r="AQ594" s="220"/>
      <c r="AR594" s="169"/>
      <c r="AS594" s="169"/>
      <c r="AT594" s="169"/>
      <c r="AU594" s="169"/>
      <c r="AV594" s="220"/>
      <c r="AW594" s="169"/>
      <c r="AX594" s="169"/>
      <c r="AY594" s="169"/>
      <c r="AZ594" s="169"/>
      <c r="BA594" s="220"/>
      <c r="BB594" s="169"/>
      <c r="BC594" s="169"/>
      <c r="BD594" s="169"/>
      <c r="BE594" s="169"/>
      <c r="BF594" s="220"/>
      <c r="BG594" s="169"/>
      <c r="BH594" s="169"/>
      <c r="BI594" s="169"/>
      <c r="BJ594" s="169"/>
      <c r="BK594" s="220"/>
      <c r="BL594" s="169"/>
      <c r="BM594" s="169"/>
      <c r="BN594" s="169"/>
      <c r="BO594" s="169"/>
      <c r="BP594" s="220"/>
      <c r="BQ594" s="169"/>
      <c r="BR594" s="169"/>
      <c r="BS594" s="169"/>
      <c r="BT594" s="169"/>
      <c r="BU594" s="220"/>
      <c r="BV594" s="169"/>
      <c r="BW594" s="169"/>
      <c r="BX594" s="169"/>
      <c r="BY594" s="169"/>
      <c r="BZ594" s="220"/>
      <c r="CA594" s="169"/>
      <c r="CB594" s="169"/>
      <c r="CC594" s="169"/>
      <c r="CD594" s="169"/>
      <c r="CE594" s="220"/>
      <c r="CF594" s="169"/>
      <c r="CG594" s="169"/>
      <c r="CH594" s="169"/>
      <c r="CI594" s="169"/>
      <c r="CJ594" s="220"/>
      <c r="CK594" s="169"/>
      <c r="CL594" s="169"/>
      <c r="CM594" s="169"/>
      <c r="CN594" s="169"/>
      <c r="CO594" s="220"/>
      <c r="CP594" s="169"/>
      <c r="CQ594" s="169"/>
      <c r="CR594" s="169"/>
      <c r="CS594" s="169"/>
      <c r="CT594" s="220"/>
      <c r="CU594" s="169"/>
      <c r="CV594" s="169"/>
      <c r="CW594" s="169"/>
      <c r="CX594" s="169"/>
      <c r="CY594" s="220"/>
      <c r="CZ594" s="169"/>
      <c r="DA594" s="169"/>
      <c r="DB594" s="169"/>
      <c r="DC594" s="169"/>
      <c r="DD594" s="220"/>
      <c r="DE594" s="169"/>
      <c r="DF594" s="169"/>
      <c r="DG594" s="169"/>
      <c r="DH594" s="169"/>
      <c r="DI594" s="220"/>
      <c r="DJ594" s="169"/>
      <c r="DK594" s="169"/>
      <c r="DL594" s="169"/>
      <c r="DM594" s="169"/>
      <c r="DN594" s="220"/>
      <c r="DO594" s="169"/>
      <c r="DP594" s="169"/>
      <c r="DQ594" s="169"/>
      <c r="DR594" s="169"/>
      <c r="DS594" s="220"/>
      <c r="DT594" s="169"/>
      <c r="DU594" s="169"/>
      <c r="DV594" s="169"/>
      <c r="DW594" s="169"/>
      <c r="DX594" s="220"/>
      <c r="DY594" s="169"/>
      <c r="DZ594" s="169"/>
      <c r="EA594" s="169"/>
      <c r="EB594" s="169"/>
      <c r="EC594" s="220"/>
      <c r="ED594" s="169"/>
      <c r="EE594" s="169"/>
      <c r="EF594" s="169"/>
      <c r="EG594" s="169"/>
      <c r="EH594" s="220"/>
      <c r="EI594" s="169"/>
      <c r="EJ594" s="169"/>
      <c r="EK594" s="169"/>
      <c r="EL594" s="169"/>
      <c r="EM594" s="220"/>
      <c r="EN594" s="169"/>
      <c r="EO594" s="169"/>
      <c r="EP594" s="169"/>
      <c r="EQ594" s="169"/>
      <c r="ER594" s="220"/>
      <c r="ES594" s="169"/>
      <c r="ET594" s="169"/>
      <c r="EU594" s="169"/>
      <c r="EV594" s="169"/>
      <c r="EW594" s="220"/>
      <c r="EX594" s="169"/>
      <c r="EY594" s="169"/>
      <c r="EZ594" s="169"/>
      <c r="FA594" s="169"/>
      <c r="FB594" s="220"/>
      <c r="FC594" s="169"/>
      <c r="FD594" s="169"/>
      <c r="FE594" s="169"/>
      <c r="FF594" s="169"/>
      <c r="FG594" s="220"/>
      <c r="FH594" s="169"/>
      <c r="FI594" s="169"/>
      <c r="FJ594" s="169"/>
      <c r="FK594" s="169"/>
      <c r="FL594" s="220"/>
      <c r="FM594" s="169"/>
      <c r="FN594" s="169"/>
      <c r="FO594" s="169"/>
      <c r="FP594" s="169"/>
      <c r="FQ594" s="220"/>
      <c r="FR594" s="169"/>
      <c r="FS594" s="169"/>
      <c r="FT594" s="169"/>
      <c r="FU594" s="169"/>
      <c r="FV594" s="220"/>
      <c r="FW594" s="169"/>
      <c r="FX594" s="169"/>
      <c r="FY594" s="169"/>
      <c r="FZ594" s="169"/>
      <c r="GA594" s="220"/>
      <c r="GB594" s="169"/>
      <c r="GC594" s="169"/>
      <c r="GD594" s="169"/>
      <c r="GE594" s="169"/>
      <c r="GF594" s="220"/>
      <c r="GG594" s="169"/>
      <c r="GH594" s="169"/>
      <c r="GI594" s="169"/>
      <c r="GJ594" s="169"/>
    </row>
    <row r="595" spans="1:192" s="93" customFormat="1" ht="12.75" customHeight="1">
      <c r="A595" s="68"/>
      <c r="B595" s="677"/>
      <c r="C595" s="220"/>
      <c r="D595" s="169"/>
      <c r="E595" s="169"/>
      <c r="F595" s="169"/>
      <c r="G595" s="169"/>
      <c r="H595" s="220"/>
      <c r="I595" s="169"/>
      <c r="J595" s="169"/>
      <c r="K595" s="169"/>
      <c r="L595" s="169"/>
      <c r="M595" s="220"/>
      <c r="N595" s="169"/>
      <c r="O595" s="169"/>
      <c r="P595" s="169"/>
      <c r="Q595" s="169"/>
      <c r="R595" s="220"/>
      <c r="S595" s="169"/>
      <c r="T595" s="169"/>
      <c r="U595" s="169"/>
      <c r="V595" s="169"/>
      <c r="W595" s="220"/>
      <c r="X595" s="169"/>
      <c r="Y595" s="169"/>
      <c r="Z595" s="169"/>
      <c r="AA595" s="169"/>
      <c r="AB595" s="220"/>
      <c r="AC595" s="169"/>
      <c r="AD595" s="169"/>
      <c r="AE595" s="169"/>
      <c r="AF595" s="169"/>
      <c r="AG595" s="220"/>
      <c r="AH595" s="169"/>
      <c r="AI595" s="169"/>
      <c r="AJ595" s="169"/>
      <c r="AK595" s="169"/>
      <c r="AL595" s="220"/>
      <c r="AM595" s="169"/>
      <c r="AN595" s="169"/>
      <c r="AO595" s="169"/>
      <c r="AP595" s="169"/>
      <c r="AQ595" s="220"/>
      <c r="AR595" s="169"/>
      <c r="AS595" s="169"/>
      <c r="AT595" s="169"/>
      <c r="AU595" s="169"/>
      <c r="AV595" s="220"/>
      <c r="AW595" s="169"/>
      <c r="AX595" s="169"/>
      <c r="AY595" s="169"/>
      <c r="AZ595" s="169"/>
      <c r="BA595" s="220"/>
      <c r="BB595" s="169"/>
      <c r="BC595" s="169"/>
      <c r="BD595" s="169"/>
      <c r="BE595" s="169"/>
      <c r="BF595" s="220"/>
      <c r="BG595" s="169"/>
      <c r="BH595" s="169"/>
      <c r="BI595" s="169"/>
      <c r="BJ595" s="169"/>
      <c r="BK595" s="220"/>
      <c r="BL595" s="169"/>
      <c r="BM595" s="169"/>
      <c r="BN595" s="169"/>
      <c r="BO595" s="169"/>
      <c r="BP595" s="220"/>
      <c r="BQ595" s="169"/>
      <c r="BR595" s="169"/>
      <c r="BS595" s="169"/>
      <c r="BT595" s="169"/>
      <c r="BU595" s="220"/>
      <c r="BV595" s="169"/>
      <c r="BW595" s="169"/>
      <c r="BX595" s="169"/>
      <c r="BY595" s="169"/>
      <c r="BZ595" s="220"/>
      <c r="CA595" s="169"/>
      <c r="CB595" s="169"/>
      <c r="CC595" s="169"/>
      <c r="CD595" s="169"/>
      <c r="CE595" s="220"/>
      <c r="CF595" s="169"/>
      <c r="CG595" s="169"/>
      <c r="CH595" s="169"/>
      <c r="CI595" s="169"/>
      <c r="CJ595" s="220"/>
      <c r="CK595" s="169"/>
      <c r="CL595" s="169"/>
      <c r="CM595" s="169"/>
      <c r="CN595" s="169"/>
      <c r="CO595" s="220"/>
      <c r="CP595" s="169"/>
      <c r="CQ595" s="169"/>
      <c r="CR595" s="169"/>
      <c r="CS595" s="169"/>
      <c r="CT595" s="220"/>
      <c r="CU595" s="169"/>
      <c r="CV595" s="169"/>
      <c r="CW595" s="169"/>
      <c r="CX595" s="169"/>
      <c r="CY595" s="220"/>
      <c r="CZ595" s="169"/>
      <c r="DA595" s="169"/>
      <c r="DB595" s="169"/>
      <c r="DC595" s="169"/>
      <c r="DD595" s="220"/>
      <c r="DE595" s="169"/>
      <c r="DF595" s="169"/>
      <c r="DG595" s="169"/>
      <c r="DH595" s="169"/>
      <c r="DI595" s="220"/>
      <c r="DJ595" s="169"/>
      <c r="DK595" s="169"/>
      <c r="DL595" s="169"/>
      <c r="DM595" s="169"/>
      <c r="DN595" s="220"/>
      <c r="DO595" s="169"/>
      <c r="DP595" s="169"/>
      <c r="DQ595" s="169"/>
      <c r="DR595" s="169"/>
      <c r="DS595" s="220"/>
      <c r="DT595" s="169"/>
      <c r="DU595" s="169"/>
      <c r="DV595" s="169"/>
      <c r="DW595" s="169"/>
      <c r="DX595" s="220"/>
      <c r="DY595" s="169"/>
      <c r="DZ595" s="169"/>
      <c r="EA595" s="169"/>
      <c r="EB595" s="169"/>
      <c r="EC595" s="220"/>
      <c r="ED595" s="169"/>
      <c r="EE595" s="169"/>
      <c r="EF595" s="169"/>
      <c r="EG595" s="169"/>
      <c r="EH595" s="220"/>
      <c r="EI595" s="169"/>
      <c r="EJ595" s="169"/>
      <c r="EK595" s="169"/>
      <c r="EL595" s="169"/>
      <c r="EM595" s="220"/>
      <c r="EN595" s="169"/>
      <c r="EO595" s="169"/>
      <c r="EP595" s="169"/>
      <c r="EQ595" s="169"/>
      <c r="ER595" s="220"/>
      <c r="ES595" s="169"/>
      <c r="ET595" s="169"/>
      <c r="EU595" s="169"/>
      <c r="EV595" s="169"/>
      <c r="EW595" s="220"/>
      <c r="EX595" s="169"/>
      <c r="EY595" s="169"/>
      <c r="EZ595" s="169"/>
      <c r="FA595" s="169"/>
      <c r="FB595" s="220"/>
      <c r="FC595" s="169"/>
      <c r="FD595" s="169"/>
      <c r="FE595" s="169"/>
      <c r="FF595" s="169"/>
      <c r="FG595" s="220"/>
      <c r="FH595" s="169"/>
      <c r="FI595" s="169"/>
      <c r="FJ595" s="169"/>
      <c r="FK595" s="169"/>
      <c r="FL595" s="220"/>
      <c r="FM595" s="169"/>
      <c r="FN595" s="169"/>
      <c r="FO595" s="169"/>
      <c r="FP595" s="169"/>
      <c r="FQ595" s="220"/>
      <c r="FR595" s="169"/>
      <c r="FS595" s="169"/>
      <c r="FT595" s="169"/>
      <c r="FU595" s="169"/>
      <c r="FV595" s="220"/>
      <c r="FW595" s="169"/>
      <c r="FX595" s="169"/>
      <c r="FY595" s="169"/>
      <c r="FZ595" s="169"/>
      <c r="GA595" s="220"/>
      <c r="GB595" s="169"/>
      <c r="GC595" s="169"/>
      <c r="GD595" s="169"/>
      <c r="GE595" s="169"/>
      <c r="GF595" s="220"/>
      <c r="GG595" s="169"/>
      <c r="GH595" s="169"/>
      <c r="GI595" s="169"/>
      <c r="GJ595" s="169"/>
    </row>
    <row r="596" spans="1:192" s="93" customFormat="1" ht="12.75" customHeight="1">
      <c r="A596" s="68"/>
      <c r="B596" s="677"/>
      <c r="C596" s="220"/>
      <c r="D596" s="169"/>
      <c r="E596" s="169"/>
      <c r="F596" s="169"/>
      <c r="G596" s="169"/>
      <c r="H596" s="220"/>
      <c r="I596" s="169"/>
      <c r="J596" s="169"/>
      <c r="K596" s="169"/>
      <c r="L596" s="169"/>
      <c r="M596" s="220"/>
      <c r="N596" s="169"/>
      <c r="O596" s="169"/>
      <c r="P596" s="169"/>
      <c r="Q596" s="169"/>
      <c r="R596" s="220"/>
      <c r="S596" s="169"/>
      <c r="T596" s="169"/>
      <c r="U596" s="169"/>
      <c r="V596" s="169"/>
      <c r="W596" s="220"/>
      <c r="X596" s="169"/>
      <c r="Y596" s="169"/>
      <c r="Z596" s="169"/>
      <c r="AA596" s="169"/>
      <c r="AB596" s="220"/>
      <c r="AC596" s="169"/>
      <c r="AD596" s="169"/>
      <c r="AE596" s="169"/>
      <c r="AF596" s="169"/>
      <c r="AG596" s="220"/>
      <c r="AH596" s="169"/>
      <c r="AI596" s="169"/>
      <c r="AJ596" s="169"/>
      <c r="AK596" s="169"/>
      <c r="AL596" s="220"/>
      <c r="AM596" s="169"/>
      <c r="AN596" s="169"/>
      <c r="AO596" s="169"/>
      <c r="AP596" s="169"/>
      <c r="AQ596" s="220"/>
      <c r="AR596" s="169"/>
      <c r="AS596" s="169"/>
      <c r="AT596" s="169"/>
      <c r="AU596" s="169"/>
      <c r="AV596" s="220"/>
      <c r="AW596" s="169"/>
      <c r="AX596" s="169"/>
      <c r="AY596" s="169"/>
      <c r="AZ596" s="169"/>
      <c r="BA596" s="220"/>
      <c r="BB596" s="169"/>
      <c r="BC596" s="169"/>
      <c r="BD596" s="169"/>
      <c r="BE596" s="169"/>
      <c r="BF596" s="220"/>
      <c r="BG596" s="169"/>
      <c r="BH596" s="169"/>
      <c r="BI596" s="169"/>
      <c r="BJ596" s="169"/>
      <c r="BK596" s="220"/>
      <c r="BL596" s="169"/>
      <c r="BM596" s="169"/>
      <c r="BN596" s="169"/>
      <c r="BO596" s="169"/>
      <c r="BP596" s="220"/>
      <c r="BQ596" s="169"/>
      <c r="BR596" s="169"/>
      <c r="BS596" s="169"/>
      <c r="BT596" s="169"/>
      <c r="BU596" s="220"/>
      <c r="BV596" s="169"/>
      <c r="BW596" s="169"/>
      <c r="BX596" s="169"/>
      <c r="BY596" s="169"/>
      <c r="BZ596" s="220"/>
      <c r="CA596" s="169"/>
      <c r="CB596" s="169"/>
      <c r="CC596" s="169"/>
      <c r="CD596" s="169"/>
      <c r="CE596" s="220"/>
      <c r="CF596" s="169"/>
      <c r="CG596" s="169"/>
      <c r="CH596" s="169"/>
      <c r="CI596" s="169"/>
      <c r="CJ596" s="220"/>
      <c r="CK596" s="169"/>
      <c r="CL596" s="169"/>
      <c r="CM596" s="169"/>
      <c r="CN596" s="169"/>
      <c r="CO596" s="220"/>
      <c r="CP596" s="169"/>
      <c r="CQ596" s="169"/>
      <c r="CR596" s="169"/>
      <c r="CS596" s="169"/>
      <c r="CT596" s="220"/>
      <c r="CU596" s="169"/>
      <c r="CV596" s="169"/>
      <c r="CW596" s="169"/>
      <c r="CX596" s="169"/>
      <c r="CY596" s="220"/>
      <c r="CZ596" s="169"/>
      <c r="DA596" s="169"/>
      <c r="DB596" s="169"/>
      <c r="DC596" s="169"/>
      <c r="DD596" s="220"/>
      <c r="DE596" s="169"/>
      <c r="DF596" s="169"/>
      <c r="DG596" s="169"/>
      <c r="DH596" s="169"/>
      <c r="DI596" s="220"/>
      <c r="DJ596" s="169"/>
      <c r="DK596" s="169"/>
      <c r="DL596" s="169"/>
      <c r="DM596" s="169"/>
      <c r="DN596" s="220"/>
      <c r="DO596" s="169"/>
      <c r="DP596" s="169"/>
      <c r="DQ596" s="169"/>
      <c r="DR596" s="169"/>
      <c r="DS596" s="220"/>
      <c r="DT596" s="169"/>
      <c r="DU596" s="169"/>
      <c r="DV596" s="169"/>
      <c r="DW596" s="169"/>
      <c r="DX596" s="220"/>
      <c r="DY596" s="169"/>
      <c r="DZ596" s="169"/>
      <c r="EA596" s="169"/>
      <c r="EB596" s="169"/>
      <c r="EC596" s="220"/>
      <c r="ED596" s="169"/>
      <c r="EE596" s="169"/>
      <c r="EF596" s="169"/>
      <c r="EG596" s="169"/>
      <c r="EH596" s="220"/>
      <c r="EI596" s="169"/>
      <c r="EJ596" s="169"/>
      <c r="EK596" s="169"/>
      <c r="EL596" s="169"/>
      <c r="EM596" s="220"/>
      <c r="EN596" s="169"/>
      <c r="EO596" s="169"/>
      <c r="EP596" s="169"/>
      <c r="EQ596" s="169"/>
      <c r="ER596" s="220"/>
      <c r="ES596" s="169"/>
      <c r="ET596" s="169"/>
      <c r="EU596" s="169"/>
      <c r="EV596" s="169"/>
      <c r="EW596" s="220"/>
      <c r="EX596" s="169"/>
      <c r="EY596" s="169"/>
      <c r="EZ596" s="169"/>
      <c r="FA596" s="169"/>
      <c r="FB596" s="220"/>
      <c r="FC596" s="169"/>
      <c r="FD596" s="169"/>
      <c r="FE596" s="169"/>
      <c r="FF596" s="169"/>
      <c r="FG596" s="220"/>
      <c r="FH596" s="169"/>
      <c r="FI596" s="169"/>
      <c r="FJ596" s="169"/>
      <c r="FK596" s="169"/>
      <c r="FL596" s="220"/>
      <c r="FM596" s="169"/>
      <c r="FN596" s="169"/>
      <c r="FO596" s="169"/>
      <c r="FP596" s="169"/>
      <c r="FQ596" s="220"/>
      <c r="FR596" s="169"/>
      <c r="FS596" s="169"/>
      <c r="FT596" s="169"/>
      <c r="FU596" s="169"/>
      <c r="FV596" s="220"/>
      <c r="FW596" s="169"/>
      <c r="FX596" s="169"/>
      <c r="FY596" s="169"/>
      <c r="FZ596" s="169"/>
      <c r="GA596" s="220"/>
      <c r="GB596" s="169"/>
      <c r="GC596" s="169"/>
      <c r="GD596" s="169"/>
      <c r="GE596" s="169"/>
      <c r="GF596" s="220"/>
      <c r="GG596" s="169"/>
      <c r="GH596" s="169"/>
      <c r="GI596" s="169"/>
      <c r="GJ596" s="169"/>
    </row>
    <row r="597" spans="1:192" s="93" customFormat="1" ht="12.75" customHeight="1">
      <c r="A597" s="68"/>
      <c r="B597" s="677"/>
      <c r="C597" s="220"/>
      <c r="D597" s="169"/>
      <c r="E597" s="169"/>
      <c r="F597" s="169"/>
      <c r="G597" s="169"/>
      <c r="H597" s="220"/>
      <c r="I597" s="169"/>
      <c r="J597" s="169"/>
      <c r="K597" s="169"/>
      <c r="L597" s="169"/>
      <c r="M597" s="220"/>
      <c r="N597" s="169"/>
      <c r="O597" s="169"/>
      <c r="P597" s="169"/>
      <c r="Q597" s="169"/>
      <c r="R597" s="220"/>
      <c r="S597" s="169"/>
      <c r="T597" s="169"/>
      <c r="U597" s="169"/>
      <c r="V597" s="169"/>
      <c r="W597" s="220"/>
      <c r="X597" s="169"/>
      <c r="Y597" s="169"/>
      <c r="Z597" s="169"/>
      <c r="AA597" s="169"/>
      <c r="AB597" s="220"/>
      <c r="AC597" s="169"/>
      <c r="AD597" s="169"/>
      <c r="AE597" s="169"/>
      <c r="AF597" s="169"/>
      <c r="AG597" s="220"/>
      <c r="AH597" s="169"/>
      <c r="AI597" s="169"/>
      <c r="AJ597" s="169"/>
      <c r="AK597" s="169"/>
      <c r="AL597" s="220"/>
      <c r="AM597" s="169"/>
      <c r="AN597" s="169"/>
      <c r="AO597" s="169"/>
      <c r="AP597" s="169"/>
      <c r="AQ597" s="220"/>
      <c r="AR597" s="169"/>
      <c r="AS597" s="169"/>
      <c r="AT597" s="169"/>
      <c r="AU597" s="169"/>
      <c r="AV597" s="220"/>
      <c r="AW597" s="169"/>
      <c r="AX597" s="169"/>
      <c r="AY597" s="169"/>
      <c r="AZ597" s="169"/>
      <c r="BA597" s="220"/>
      <c r="BB597" s="169"/>
      <c r="BC597" s="169"/>
      <c r="BD597" s="169"/>
      <c r="BE597" s="169"/>
      <c r="BF597" s="220"/>
      <c r="BG597" s="169"/>
      <c r="BH597" s="169"/>
      <c r="BI597" s="169"/>
      <c r="BJ597" s="169"/>
      <c r="BK597" s="220"/>
      <c r="BL597" s="169"/>
      <c r="BM597" s="169"/>
      <c r="BN597" s="169"/>
      <c r="BO597" s="169"/>
      <c r="BP597" s="220"/>
      <c r="BQ597" s="169"/>
      <c r="BR597" s="169"/>
      <c r="BS597" s="169"/>
      <c r="BT597" s="169"/>
      <c r="BU597" s="220"/>
      <c r="BV597" s="169"/>
      <c r="BW597" s="169"/>
      <c r="BX597" s="169"/>
      <c r="BY597" s="169"/>
      <c r="BZ597" s="220"/>
      <c r="CA597" s="169"/>
      <c r="CB597" s="169"/>
      <c r="CC597" s="169"/>
      <c r="CD597" s="169"/>
      <c r="CE597" s="220"/>
      <c r="CF597" s="169"/>
      <c r="CG597" s="169"/>
      <c r="CH597" s="169"/>
      <c r="CI597" s="169"/>
      <c r="CJ597" s="220"/>
      <c r="CK597" s="169"/>
      <c r="CL597" s="169"/>
      <c r="CM597" s="169"/>
      <c r="CN597" s="169"/>
      <c r="CO597" s="220"/>
      <c r="CP597" s="169"/>
      <c r="CQ597" s="169"/>
      <c r="CR597" s="169"/>
      <c r="CS597" s="169"/>
      <c r="CT597" s="220"/>
      <c r="CU597" s="169"/>
      <c r="CV597" s="169"/>
      <c r="CW597" s="169"/>
      <c r="CX597" s="169"/>
      <c r="CY597" s="220"/>
      <c r="CZ597" s="169"/>
      <c r="DA597" s="169"/>
      <c r="DB597" s="169"/>
      <c r="DC597" s="169"/>
      <c r="DD597" s="220"/>
      <c r="DE597" s="169"/>
      <c r="DF597" s="169"/>
      <c r="DG597" s="169"/>
      <c r="DH597" s="169"/>
      <c r="DI597" s="220"/>
      <c r="DJ597" s="169"/>
      <c r="DK597" s="169"/>
      <c r="DL597" s="169"/>
      <c r="DM597" s="169"/>
      <c r="DN597" s="220"/>
      <c r="DO597" s="169"/>
      <c r="DP597" s="169"/>
      <c r="DQ597" s="169"/>
      <c r="DR597" s="169"/>
      <c r="DS597" s="220"/>
      <c r="DT597" s="169"/>
      <c r="DU597" s="169"/>
      <c r="DV597" s="169"/>
      <c r="DW597" s="169"/>
      <c r="DX597" s="220"/>
      <c r="DY597" s="169"/>
      <c r="DZ597" s="169"/>
      <c r="EA597" s="169"/>
      <c r="EB597" s="169"/>
      <c r="EC597" s="220"/>
      <c r="ED597" s="169"/>
      <c r="EE597" s="169"/>
      <c r="EF597" s="169"/>
      <c r="EG597" s="169"/>
      <c r="EH597" s="220"/>
      <c r="EI597" s="169"/>
      <c r="EJ597" s="169"/>
      <c r="EK597" s="169"/>
      <c r="EL597" s="169"/>
      <c r="EM597" s="220"/>
      <c r="EN597" s="169"/>
      <c r="EO597" s="169"/>
      <c r="EP597" s="169"/>
      <c r="EQ597" s="169"/>
      <c r="ER597" s="220"/>
      <c r="ES597" s="169"/>
      <c r="ET597" s="169"/>
      <c r="EU597" s="169"/>
      <c r="EV597" s="169"/>
      <c r="EW597" s="220"/>
      <c r="EX597" s="169"/>
      <c r="EY597" s="169"/>
      <c r="EZ597" s="169"/>
      <c r="FA597" s="169"/>
      <c r="FB597" s="220"/>
      <c r="FC597" s="169"/>
      <c r="FD597" s="169"/>
      <c r="FE597" s="169"/>
      <c r="FF597" s="169"/>
      <c r="FG597" s="220"/>
      <c r="FH597" s="169"/>
      <c r="FI597" s="169"/>
      <c r="FJ597" s="169"/>
      <c r="FK597" s="169"/>
      <c r="FL597" s="220"/>
      <c r="FM597" s="169"/>
      <c r="FN597" s="169"/>
      <c r="FO597" s="169"/>
      <c r="FP597" s="169"/>
      <c r="FQ597" s="220"/>
      <c r="FR597" s="169"/>
      <c r="FS597" s="169"/>
      <c r="FT597" s="169"/>
      <c r="FU597" s="169"/>
      <c r="FV597" s="220"/>
      <c r="FW597" s="169"/>
      <c r="FX597" s="169"/>
      <c r="FY597" s="169"/>
      <c r="FZ597" s="169"/>
      <c r="GA597" s="220"/>
      <c r="GB597" s="169"/>
      <c r="GC597" s="169"/>
      <c r="GD597" s="169"/>
      <c r="GE597" s="169"/>
      <c r="GF597" s="220"/>
      <c r="GG597" s="169"/>
      <c r="GH597" s="169"/>
      <c r="GI597" s="169"/>
      <c r="GJ597" s="169"/>
    </row>
    <row r="598" spans="1:192" s="93" customFormat="1" ht="12.75" customHeight="1">
      <c r="A598" s="68"/>
      <c r="B598" s="677"/>
      <c r="C598" s="220"/>
      <c r="D598" s="169"/>
      <c r="E598" s="169"/>
      <c r="F598" s="169"/>
      <c r="G598" s="169"/>
      <c r="H598" s="220"/>
      <c r="I598" s="169"/>
      <c r="J598" s="169"/>
      <c r="K598" s="169"/>
      <c r="L598" s="169"/>
      <c r="M598" s="220"/>
      <c r="N598" s="169"/>
      <c r="O598" s="169"/>
      <c r="P598" s="169"/>
      <c r="Q598" s="169"/>
      <c r="R598" s="220"/>
      <c r="S598" s="169"/>
      <c r="T598" s="169"/>
      <c r="U598" s="169"/>
      <c r="V598" s="169"/>
      <c r="W598" s="220"/>
      <c r="X598" s="169"/>
      <c r="Y598" s="169"/>
      <c r="Z598" s="169"/>
      <c r="AA598" s="169"/>
      <c r="AB598" s="220"/>
      <c r="AC598" s="169"/>
      <c r="AD598" s="169"/>
      <c r="AE598" s="169"/>
      <c r="AF598" s="169"/>
      <c r="AG598" s="220"/>
      <c r="AH598" s="169"/>
      <c r="AI598" s="169"/>
      <c r="AJ598" s="169"/>
      <c r="AK598" s="169"/>
      <c r="AL598" s="220"/>
      <c r="AM598" s="169"/>
      <c r="AN598" s="169"/>
      <c r="AO598" s="169"/>
      <c r="AP598" s="169"/>
      <c r="AQ598" s="220"/>
      <c r="AR598" s="169"/>
      <c r="AS598" s="169"/>
      <c r="AT598" s="169"/>
      <c r="AU598" s="169"/>
      <c r="AV598" s="220"/>
      <c r="AW598" s="169"/>
      <c r="AX598" s="169"/>
      <c r="AY598" s="169"/>
      <c r="AZ598" s="169"/>
      <c r="BA598" s="220"/>
      <c r="BB598" s="169"/>
      <c r="BC598" s="169"/>
      <c r="BD598" s="169"/>
      <c r="BE598" s="169"/>
      <c r="BF598" s="220"/>
      <c r="BG598" s="169"/>
      <c r="BH598" s="169"/>
      <c r="BI598" s="169"/>
      <c r="BJ598" s="169"/>
      <c r="BK598" s="220"/>
      <c r="BL598" s="169"/>
      <c r="BM598" s="169"/>
      <c r="BN598" s="169"/>
      <c r="BO598" s="169"/>
      <c r="BP598" s="220"/>
      <c r="BQ598" s="169"/>
      <c r="BR598" s="169"/>
      <c r="BS598" s="169"/>
      <c r="BT598" s="169"/>
      <c r="BU598" s="220"/>
      <c r="BV598" s="169"/>
      <c r="BW598" s="169"/>
      <c r="BX598" s="169"/>
      <c r="BY598" s="169"/>
      <c r="BZ598" s="220"/>
      <c r="CA598" s="169"/>
      <c r="CB598" s="169"/>
      <c r="CC598" s="169"/>
      <c r="CD598" s="169"/>
      <c r="CE598" s="220"/>
      <c r="CF598" s="169"/>
      <c r="CG598" s="169"/>
      <c r="CH598" s="169"/>
      <c r="CI598" s="169"/>
      <c r="CJ598" s="220"/>
      <c r="CK598" s="169"/>
      <c r="CL598" s="169"/>
      <c r="CM598" s="169"/>
      <c r="CN598" s="169"/>
      <c r="CO598" s="220"/>
      <c r="CP598" s="169"/>
      <c r="CQ598" s="169"/>
      <c r="CR598" s="169"/>
      <c r="CS598" s="169"/>
      <c r="CT598" s="220"/>
      <c r="CU598" s="169"/>
      <c r="CV598" s="169"/>
      <c r="CW598" s="169"/>
      <c r="CX598" s="169"/>
      <c r="CY598" s="220"/>
      <c r="CZ598" s="169"/>
      <c r="DA598" s="169"/>
      <c r="DB598" s="169"/>
      <c r="DC598" s="169"/>
      <c r="DD598" s="220"/>
      <c r="DE598" s="169"/>
      <c r="DF598" s="169"/>
      <c r="DG598" s="169"/>
      <c r="DH598" s="169"/>
      <c r="DI598" s="220"/>
      <c r="DJ598" s="169"/>
      <c r="DK598" s="169"/>
      <c r="DL598" s="169"/>
      <c r="DM598" s="169"/>
      <c r="DN598" s="220"/>
      <c r="DO598" s="169"/>
      <c r="DP598" s="169"/>
      <c r="DQ598" s="169"/>
      <c r="DR598" s="169"/>
      <c r="DS598" s="220"/>
      <c r="DT598" s="169"/>
      <c r="DU598" s="169"/>
      <c r="DV598" s="169"/>
      <c r="DW598" s="169"/>
      <c r="DX598" s="220"/>
      <c r="DY598" s="169"/>
      <c r="DZ598" s="169"/>
      <c r="EA598" s="169"/>
      <c r="EB598" s="169"/>
      <c r="EC598" s="220"/>
      <c r="ED598" s="169"/>
      <c r="EE598" s="169"/>
      <c r="EF598" s="169"/>
      <c r="EG598" s="169"/>
      <c r="EH598" s="220"/>
      <c r="EI598" s="169"/>
      <c r="EJ598" s="169"/>
      <c r="EK598" s="169"/>
      <c r="EL598" s="169"/>
      <c r="EM598" s="220"/>
      <c r="EN598" s="169"/>
      <c r="EO598" s="169"/>
      <c r="EP598" s="169"/>
      <c r="EQ598" s="169"/>
      <c r="ER598" s="220"/>
      <c r="ES598" s="169"/>
      <c r="ET598" s="169"/>
      <c r="EU598" s="169"/>
      <c r="EV598" s="169"/>
      <c r="EW598" s="220"/>
      <c r="EX598" s="169"/>
      <c r="EY598" s="169"/>
      <c r="EZ598" s="169"/>
      <c r="FA598" s="169"/>
      <c r="FB598" s="220"/>
      <c r="FC598" s="169"/>
      <c r="FD598" s="169"/>
      <c r="FE598" s="169"/>
      <c r="FF598" s="169"/>
      <c r="FG598" s="220"/>
      <c r="FH598" s="169"/>
      <c r="FI598" s="169"/>
      <c r="FJ598" s="169"/>
      <c r="FK598" s="169"/>
      <c r="FL598" s="220"/>
      <c r="FM598" s="169"/>
      <c r="FN598" s="169"/>
      <c r="FO598" s="169"/>
      <c r="FP598" s="169"/>
      <c r="FQ598" s="220"/>
      <c r="FR598" s="169"/>
      <c r="FS598" s="169"/>
      <c r="FT598" s="169"/>
      <c r="FU598" s="169"/>
      <c r="FV598" s="220"/>
      <c r="FW598" s="169"/>
      <c r="FX598" s="169"/>
      <c r="FY598" s="169"/>
      <c r="FZ598" s="169"/>
      <c r="GA598" s="220"/>
      <c r="GB598" s="169"/>
      <c r="GC598" s="169"/>
      <c r="GD598" s="169"/>
      <c r="GE598" s="169"/>
      <c r="GF598" s="220"/>
      <c r="GG598" s="169"/>
      <c r="GH598" s="169"/>
      <c r="GI598" s="169"/>
      <c r="GJ598" s="169"/>
    </row>
    <row r="599" spans="1:192" s="93" customFormat="1" ht="12.75" customHeight="1">
      <c r="A599" s="68"/>
      <c r="B599" s="677"/>
      <c r="C599" s="220"/>
      <c r="D599" s="169"/>
      <c r="E599" s="169"/>
      <c r="F599" s="169"/>
      <c r="G599" s="169"/>
      <c r="H599" s="220"/>
      <c r="I599" s="169"/>
      <c r="J599" s="169"/>
      <c r="K599" s="169"/>
      <c r="L599" s="169"/>
      <c r="M599" s="220"/>
      <c r="N599" s="169"/>
      <c r="O599" s="169"/>
      <c r="P599" s="169"/>
      <c r="Q599" s="169"/>
      <c r="R599" s="220"/>
      <c r="S599" s="169"/>
      <c r="T599" s="169"/>
      <c r="U599" s="169"/>
      <c r="V599" s="169"/>
      <c r="W599" s="220"/>
      <c r="X599" s="169"/>
      <c r="Y599" s="169"/>
      <c r="Z599" s="169"/>
      <c r="AA599" s="169"/>
      <c r="AB599" s="220"/>
      <c r="AC599" s="169"/>
      <c r="AD599" s="169"/>
      <c r="AE599" s="169"/>
      <c r="AF599" s="169"/>
      <c r="AG599" s="220"/>
      <c r="AH599" s="169"/>
      <c r="AI599" s="169"/>
      <c r="AJ599" s="169"/>
      <c r="AK599" s="169"/>
      <c r="AL599" s="220"/>
      <c r="AM599" s="169"/>
      <c r="AN599" s="169"/>
      <c r="AO599" s="169"/>
      <c r="AP599" s="169"/>
      <c r="AQ599" s="220"/>
      <c r="AR599" s="169"/>
      <c r="AS599" s="169"/>
      <c r="AT599" s="169"/>
      <c r="AU599" s="169"/>
      <c r="AV599" s="220"/>
      <c r="AW599" s="169"/>
      <c r="AX599" s="169"/>
      <c r="AY599" s="169"/>
      <c r="AZ599" s="169"/>
      <c r="BA599" s="220"/>
      <c r="BB599" s="169"/>
      <c r="BC599" s="169"/>
      <c r="BD599" s="169"/>
      <c r="BE599" s="169"/>
      <c r="BF599" s="220"/>
      <c r="BG599" s="169"/>
      <c r="BH599" s="169"/>
      <c r="BI599" s="169"/>
      <c r="BJ599" s="169"/>
      <c r="BK599" s="220"/>
      <c r="BL599" s="169"/>
      <c r="BM599" s="169"/>
      <c r="BN599" s="169"/>
      <c r="BO599" s="169"/>
      <c r="BP599" s="220"/>
      <c r="BQ599" s="169"/>
      <c r="BR599" s="169"/>
      <c r="BS599" s="169"/>
      <c r="BT599" s="169"/>
      <c r="BU599" s="220"/>
      <c r="BV599" s="169"/>
      <c r="BW599" s="169"/>
      <c r="BX599" s="169"/>
      <c r="BY599" s="169"/>
      <c r="BZ599" s="220"/>
      <c r="CA599" s="169"/>
      <c r="CB599" s="169"/>
      <c r="CC599" s="169"/>
      <c r="CD599" s="169"/>
      <c r="CE599" s="220"/>
      <c r="CF599" s="169"/>
      <c r="CG599" s="169"/>
      <c r="CH599" s="169"/>
      <c r="CI599" s="169"/>
      <c r="CJ599" s="220"/>
      <c r="CK599" s="169"/>
      <c r="CL599" s="169"/>
      <c r="CM599" s="169"/>
      <c r="CN599" s="169"/>
      <c r="CO599" s="220"/>
      <c r="CP599" s="169"/>
      <c r="CQ599" s="169"/>
      <c r="CR599" s="169"/>
      <c r="CS599" s="169"/>
      <c r="CT599" s="220"/>
      <c r="CU599" s="169"/>
      <c r="CV599" s="169"/>
      <c r="CW599" s="169"/>
      <c r="CX599" s="169"/>
      <c r="CY599" s="220"/>
      <c r="CZ599" s="169"/>
      <c r="DA599" s="169"/>
      <c r="DB599" s="169"/>
      <c r="DC599" s="169"/>
      <c r="DD599" s="220"/>
      <c r="DE599" s="169"/>
      <c r="DF599" s="169"/>
      <c r="DG599" s="169"/>
      <c r="DH599" s="169"/>
      <c r="DI599" s="220"/>
      <c r="DJ599" s="169"/>
      <c r="DK599" s="169"/>
      <c r="DL599" s="169"/>
      <c r="DM599" s="169"/>
      <c r="DN599" s="220"/>
      <c r="DO599" s="169"/>
      <c r="DP599" s="169"/>
      <c r="DQ599" s="169"/>
      <c r="DR599" s="169"/>
      <c r="DS599" s="220"/>
      <c r="DT599" s="169"/>
      <c r="DU599" s="169"/>
      <c r="DV599" s="169"/>
      <c r="DW599" s="169"/>
      <c r="DX599" s="220"/>
      <c r="DY599" s="169"/>
      <c r="DZ599" s="169"/>
      <c r="EA599" s="169"/>
      <c r="EB599" s="169"/>
      <c r="EC599" s="220"/>
      <c r="ED599" s="169"/>
      <c r="EE599" s="169"/>
      <c r="EF599" s="169"/>
      <c r="EG599" s="169"/>
      <c r="EH599" s="220"/>
      <c r="EI599" s="169"/>
      <c r="EJ599" s="169"/>
      <c r="EK599" s="169"/>
      <c r="EL599" s="169"/>
      <c r="EM599" s="220"/>
      <c r="EN599" s="169"/>
      <c r="EO599" s="169"/>
      <c r="EP599" s="169"/>
      <c r="EQ599" s="169"/>
      <c r="ER599" s="220"/>
      <c r="ES599" s="169"/>
      <c r="ET599" s="169"/>
      <c r="EU599" s="169"/>
      <c r="EV599" s="169"/>
      <c r="EW599" s="220"/>
      <c r="EX599" s="169"/>
      <c r="EY599" s="169"/>
      <c r="EZ599" s="169"/>
      <c r="FA599" s="169"/>
      <c r="FB599" s="220"/>
      <c r="FC599" s="169"/>
      <c r="FD599" s="169"/>
      <c r="FE599" s="169"/>
      <c r="FF599" s="169"/>
      <c r="FG599" s="220"/>
      <c r="FH599" s="169"/>
      <c r="FI599" s="169"/>
      <c r="FJ599" s="169"/>
      <c r="FK599" s="169"/>
      <c r="FL599" s="220"/>
      <c r="FM599" s="169"/>
      <c r="FN599" s="169"/>
      <c r="FO599" s="169"/>
      <c r="FP599" s="169"/>
      <c r="FQ599" s="220"/>
      <c r="FR599" s="169"/>
      <c r="FS599" s="169"/>
      <c r="FT599" s="169"/>
      <c r="FU599" s="169"/>
      <c r="FV599" s="220"/>
      <c r="FW599" s="169"/>
      <c r="FX599" s="169"/>
      <c r="FY599" s="169"/>
      <c r="FZ599" s="169"/>
      <c r="GA599" s="220"/>
      <c r="GB599" s="169"/>
      <c r="GC599" s="169"/>
      <c r="GD599" s="169"/>
      <c r="GE599" s="169"/>
      <c r="GF599" s="220"/>
      <c r="GG599" s="169"/>
      <c r="GH599" s="169"/>
      <c r="GI599" s="169"/>
      <c r="GJ599" s="169"/>
    </row>
    <row r="600" spans="1:192" s="93" customFormat="1" ht="12.75" customHeight="1">
      <c r="A600" s="68"/>
      <c r="B600" s="677"/>
      <c r="C600" s="220"/>
      <c r="D600" s="169"/>
      <c r="E600" s="169"/>
      <c r="F600" s="169"/>
      <c r="G600" s="169"/>
      <c r="H600" s="220"/>
      <c r="I600" s="169"/>
      <c r="J600" s="169"/>
      <c r="K600" s="169"/>
      <c r="L600" s="169"/>
      <c r="M600" s="220"/>
      <c r="N600" s="169"/>
      <c r="O600" s="169"/>
      <c r="P600" s="169"/>
      <c r="Q600" s="169"/>
      <c r="R600" s="220"/>
      <c r="S600" s="169"/>
      <c r="T600" s="169"/>
      <c r="U600" s="169"/>
      <c r="V600" s="169"/>
      <c r="W600" s="220"/>
      <c r="X600" s="169"/>
      <c r="Y600" s="169"/>
      <c r="Z600" s="169"/>
      <c r="AA600" s="169"/>
      <c r="AB600" s="220"/>
      <c r="AC600" s="169"/>
      <c r="AD600" s="169"/>
      <c r="AE600" s="169"/>
      <c r="AF600" s="169"/>
      <c r="AG600" s="220"/>
      <c r="AH600" s="169"/>
      <c r="AI600" s="169"/>
      <c r="AJ600" s="169"/>
      <c r="AK600" s="169"/>
      <c r="AL600" s="220"/>
      <c r="AM600" s="169"/>
      <c r="AN600" s="169"/>
      <c r="AO600" s="169"/>
      <c r="AP600" s="169"/>
      <c r="AQ600" s="220"/>
      <c r="AR600" s="169"/>
      <c r="AS600" s="169"/>
      <c r="AT600" s="169"/>
      <c r="AU600" s="169"/>
      <c r="AV600" s="220"/>
      <c r="AW600" s="169"/>
      <c r="AX600" s="169"/>
      <c r="AY600" s="169"/>
      <c r="AZ600" s="169"/>
      <c r="BA600" s="220"/>
      <c r="BB600" s="169"/>
      <c r="BC600" s="169"/>
      <c r="BD600" s="169"/>
      <c r="BE600" s="169"/>
      <c r="BF600" s="220"/>
      <c r="BG600" s="169"/>
      <c r="BH600" s="169"/>
      <c r="BI600" s="169"/>
      <c r="BJ600" s="169"/>
      <c r="BK600" s="220"/>
      <c r="BL600" s="169"/>
      <c r="BM600" s="169"/>
      <c r="BN600" s="169"/>
      <c r="BO600" s="169"/>
      <c r="BP600" s="220"/>
      <c r="BQ600" s="169"/>
      <c r="BR600" s="169"/>
      <c r="BS600" s="169"/>
      <c r="BT600" s="169"/>
      <c r="BU600" s="220"/>
      <c r="BV600" s="169"/>
      <c r="BW600" s="169"/>
      <c r="BX600" s="169"/>
      <c r="BY600" s="169"/>
      <c r="BZ600" s="220"/>
      <c r="CA600" s="169"/>
      <c r="CB600" s="169"/>
      <c r="CC600" s="169"/>
      <c r="CD600" s="169"/>
      <c r="CE600" s="220"/>
      <c r="CF600" s="169"/>
      <c r="CG600" s="169"/>
      <c r="CH600" s="169"/>
      <c r="CI600" s="169"/>
      <c r="CJ600" s="220"/>
      <c r="CK600" s="169"/>
      <c r="CL600" s="169"/>
      <c r="CM600" s="169"/>
      <c r="CN600" s="169"/>
      <c r="CO600" s="220"/>
      <c r="CP600" s="169"/>
      <c r="CQ600" s="169"/>
      <c r="CR600" s="169"/>
      <c r="CS600" s="169"/>
      <c r="CT600" s="220"/>
      <c r="CU600" s="169"/>
      <c r="CV600" s="169"/>
      <c r="CW600" s="169"/>
      <c r="CX600" s="169"/>
      <c r="CY600" s="220"/>
      <c r="CZ600" s="169"/>
      <c r="DA600" s="169"/>
      <c r="DB600" s="169"/>
      <c r="DC600" s="169"/>
      <c r="DD600" s="220"/>
      <c r="DE600" s="169"/>
      <c r="DF600" s="169"/>
      <c r="DG600" s="169"/>
      <c r="DH600" s="169"/>
      <c r="DI600" s="220"/>
      <c r="DJ600" s="169"/>
      <c r="DK600" s="169"/>
      <c r="DL600" s="169"/>
      <c r="DM600" s="169"/>
      <c r="DN600" s="220"/>
      <c r="DO600" s="169"/>
      <c r="DP600" s="169"/>
      <c r="DQ600" s="169"/>
      <c r="DR600" s="169"/>
      <c r="DS600" s="220"/>
      <c r="DT600" s="169"/>
      <c r="DU600" s="169"/>
      <c r="DV600" s="169"/>
      <c r="DW600" s="169"/>
      <c r="DX600" s="220"/>
      <c r="DY600" s="169"/>
      <c r="DZ600" s="169"/>
      <c r="EA600" s="169"/>
      <c r="EB600" s="169"/>
      <c r="EC600" s="220"/>
      <c r="ED600" s="169"/>
      <c r="EE600" s="169"/>
      <c r="EF600" s="169"/>
      <c r="EG600" s="169"/>
      <c r="EH600" s="220"/>
      <c r="EI600" s="169"/>
      <c r="EJ600" s="169"/>
      <c r="EK600" s="169"/>
      <c r="EL600" s="169"/>
      <c r="EM600" s="220"/>
      <c r="EN600" s="169"/>
      <c r="EO600" s="169"/>
      <c r="EP600" s="169"/>
      <c r="EQ600" s="169"/>
      <c r="ER600" s="220"/>
      <c r="ES600" s="169"/>
      <c r="ET600" s="169"/>
      <c r="EU600" s="169"/>
      <c r="EV600" s="169"/>
      <c r="EW600" s="220"/>
      <c r="EX600" s="169"/>
      <c r="EY600" s="169"/>
      <c r="EZ600" s="169"/>
      <c r="FA600" s="169"/>
      <c r="FB600" s="220"/>
      <c r="FC600" s="169"/>
      <c r="FD600" s="169"/>
      <c r="FE600" s="169"/>
      <c r="FF600" s="169"/>
      <c r="FG600" s="220"/>
      <c r="FH600" s="169"/>
      <c r="FI600" s="169"/>
      <c r="FJ600" s="169"/>
      <c r="FK600" s="169"/>
      <c r="FL600" s="220"/>
      <c r="FM600" s="169"/>
      <c r="FN600" s="169"/>
      <c r="FO600" s="169"/>
      <c r="FP600" s="169"/>
      <c r="FQ600" s="220"/>
      <c r="FR600" s="169"/>
      <c r="FS600" s="169"/>
      <c r="FT600" s="169"/>
      <c r="FU600" s="169"/>
      <c r="FV600" s="220"/>
      <c r="FW600" s="169"/>
      <c r="FX600" s="169"/>
      <c r="FY600" s="169"/>
      <c r="FZ600" s="169"/>
      <c r="GA600" s="220"/>
      <c r="GB600" s="169"/>
      <c r="GC600" s="169"/>
      <c r="GD600" s="169"/>
      <c r="GE600" s="169"/>
      <c r="GF600" s="220"/>
      <c r="GG600" s="169"/>
      <c r="GH600" s="169"/>
      <c r="GI600" s="169"/>
      <c r="GJ600" s="169"/>
    </row>
    <row r="601" spans="1:192" s="93" customFormat="1" ht="12.75" customHeight="1">
      <c r="A601" s="68"/>
      <c r="B601" s="677"/>
      <c r="C601" s="220"/>
      <c r="D601" s="169"/>
      <c r="E601" s="169"/>
      <c r="F601" s="169"/>
      <c r="G601" s="169"/>
      <c r="H601" s="220"/>
      <c r="I601" s="169"/>
      <c r="J601" s="169"/>
      <c r="K601" s="169"/>
      <c r="L601" s="169"/>
      <c r="M601" s="220"/>
      <c r="N601" s="169"/>
      <c r="O601" s="169"/>
      <c r="P601" s="169"/>
      <c r="Q601" s="169"/>
      <c r="R601" s="220"/>
      <c r="S601" s="169"/>
      <c r="T601" s="169"/>
      <c r="U601" s="169"/>
      <c r="V601" s="169"/>
      <c r="W601" s="220"/>
      <c r="X601" s="169"/>
      <c r="Y601" s="169"/>
      <c r="Z601" s="169"/>
      <c r="AA601" s="169"/>
      <c r="AB601" s="220"/>
      <c r="AC601" s="169"/>
      <c r="AD601" s="169"/>
      <c r="AE601" s="169"/>
      <c r="AF601" s="169"/>
      <c r="AG601" s="220"/>
      <c r="AH601" s="169"/>
      <c r="AI601" s="169"/>
      <c r="AJ601" s="169"/>
      <c r="AK601" s="169"/>
      <c r="AL601" s="220"/>
      <c r="AM601" s="169"/>
      <c r="AN601" s="169"/>
      <c r="AO601" s="169"/>
      <c r="AP601" s="169"/>
      <c r="AQ601" s="220"/>
      <c r="AR601" s="169"/>
      <c r="AS601" s="169"/>
      <c r="AT601" s="169"/>
      <c r="AU601" s="169"/>
      <c r="AV601" s="220"/>
      <c r="AW601" s="169"/>
      <c r="AX601" s="169"/>
      <c r="AY601" s="169"/>
      <c r="AZ601" s="169"/>
      <c r="BA601" s="220"/>
      <c r="BB601" s="169"/>
      <c r="BC601" s="169"/>
      <c r="BD601" s="169"/>
      <c r="BE601" s="169"/>
      <c r="BF601" s="220"/>
      <c r="BG601" s="169"/>
      <c r="BH601" s="169"/>
      <c r="BI601" s="169"/>
      <c r="BJ601" s="169"/>
      <c r="BK601" s="220"/>
      <c r="BL601" s="169"/>
      <c r="BM601" s="169"/>
      <c r="BN601" s="169"/>
      <c r="BO601" s="169"/>
      <c r="BP601" s="220"/>
      <c r="BQ601" s="169"/>
      <c r="BR601" s="169"/>
      <c r="BS601" s="169"/>
      <c r="BT601" s="169"/>
      <c r="BU601" s="220"/>
      <c r="BV601" s="169"/>
      <c r="BW601" s="169"/>
      <c r="BX601" s="169"/>
      <c r="BY601" s="169"/>
      <c r="BZ601" s="220"/>
      <c r="CA601" s="169"/>
      <c r="CB601" s="169"/>
      <c r="CC601" s="169"/>
      <c r="CD601" s="169"/>
      <c r="CE601" s="220"/>
      <c r="CF601" s="169"/>
      <c r="CG601" s="169"/>
      <c r="CH601" s="169"/>
      <c r="CI601" s="169"/>
      <c r="CJ601" s="220"/>
      <c r="CK601" s="169"/>
      <c r="CL601" s="169"/>
      <c r="CM601" s="169"/>
      <c r="CN601" s="169"/>
      <c r="CO601" s="220"/>
      <c r="CP601" s="169"/>
      <c r="CQ601" s="169"/>
      <c r="CR601" s="169"/>
      <c r="CS601" s="169"/>
      <c r="CT601" s="220"/>
      <c r="CU601" s="169"/>
      <c r="CV601" s="169"/>
      <c r="CW601" s="169"/>
      <c r="CX601" s="169"/>
      <c r="CY601" s="220"/>
      <c r="CZ601" s="169"/>
      <c r="DA601" s="169"/>
      <c r="DB601" s="169"/>
      <c r="DC601" s="169"/>
      <c r="DD601" s="220"/>
      <c r="DE601" s="169"/>
      <c r="DF601" s="169"/>
      <c r="DG601" s="169"/>
      <c r="DH601" s="169"/>
      <c r="DI601" s="220"/>
      <c r="DJ601" s="169"/>
      <c r="DK601" s="169"/>
      <c r="DL601" s="169"/>
      <c r="DM601" s="169"/>
      <c r="DN601" s="220"/>
      <c r="DO601" s="169"/>
      <c r="DP601" s="169"/>
      <c r="DQ601" s="169"/>
      <c r="DR601" s="169"/>
      <c r="DS601" s="220"/>
      <c r="DT601" s="169"/>
      <c r="DU601" s="169"/>
      <c r="DV601" s="169"/>
      <c r="DW601" s="169"/>
      <c r="DX601" s="220"/>
      <c r="DY601" s="169"/>
      <c r="DZ601" s="169"/>
      <c r="EA601" s="169"/>
      <c r="EB601" s="169"/>
      <c r="EC601" s="220"/>
      <c r="ED601" s="169"/>
      <c r="EE601" s="169"/>
      <c r="EF601" s="169"/>
      <c r="EG601" s="169"/>
      <c r="EH601" s="220"/>
      <c r="EI601" s="169"/>
      <c r="EJ601" s="169"/>
      <c r="EK601" s="169"/>
      <c r="EL601" s="169"/>
      <c r="EM601" s="220"/>
      <c r="EN601" s="169"/>
      <c r="EO601" s="169"/>
      <c r="EP601" s="169"/>
      <c r="EQ601" s="169"/>
      <c r="ER601" s="220"/>
      <c r="ES601" s="169"/>
      <c r="ET601" s="169"/>
      <c r="EU601" s="169"/>
      <c r="EV601" s="169"/>
      <c r="EW601" s="220"/>
      <c r="EX601" s="169"/>
      <c r="EY601" s="169"/>
      <c r="EZ601" s="169"/>
      <c r="FA601" s="169"/>
      <c r="FB601" s="220"/>
      <c r="FC601" s="169"/>
      <c r="FD601" s="169"/>
      <c r="FE601" s="169"/>
      <c r="FF601" s="169"/>
      <c r="FG601" s="220"/>
      <c r="FH601" s="169"/>
      <c r="FI601" s="169"/>
      <c r="FJ601" s="169"/>
      <c r="FK601" s="169"/>
      <c r="FL601" s="220"/>
      <c r="FM601" s="169"/>
      <c r="FN601" s="169"/>
      <c r="FO601" s="169"/>
      <c r="FP601" s="169"/>
      <c r="FQ601" s="220"/>
      <c r="FR601" s="169"/>
      <c r="FS601" s="169"/>
      <c r="FT601" s="169"/>
      <c r="FU601" s="169"/>
      <c r="FV601" s="220"/>
      <c r="FW601" s="169"/>
      <c r="FX601" s="169"/>
      <c r="FY601" s="169"/>
      <c r="FZ601" s="169"/>
      <c r="GA601" s="220"/>
      <c r="GB601" s="169"/>
      <c r="GC601" s="169"/>
      <c r="GD601" s="169"/>
      <c r="GE601" s="169"/>
      <c r="GF601" s="220"/>
      <c r="GG601" s="169"/>
      <c r="GH601" s="169"/>
      <c r="GI601" s="169"/>
      <c r="GJ601" s="169"/>
    </row>
    <row r="602" spans="1:192" s="93" customFormat="1" ht="12.75" customHeight="1">
      <c r="A602" s="68"/>
      <c r="B602" s="677"/>
      <c r="C602" s="220"/>
      <c r="D602" s="169"/>
      <c r="E602" s="169"/>
      <c r="F602" s="169"/>
      <c r="G602" s="169"/>
      <c r="H602" s="220"/>
      <c r="I602" s="169"/>
      <c r="J602" s="169"/>
      <c r="K602" s="169"/>
      <c r="L602" s="169"/>
      <c r="M602" s="220"/>
      <c r="N602" s="169"/>
      <c r="O602" s="169"/>
      <c r="P602" s="169"/>
      <c r="Q602" s="169"/>
      <c r="R602" s="220"/>
      <c r="S602" s="169"/>
      <c r="T602" s="169"/>
      <c r="U602" s="169"/>
      <c r="V602" s="169"/>
      <c r="W602" s="220"/>
      <c r="X602" s="169"/>
      <c r="Y602" s="169"/>
      <c r="Z602" s="169"/>
      <c r="AA602" s="169"/>
      <c r="AB602" s="220"/>
      <c r="AC602" s="169"/>
      <c r="AD602" s="169"/>
      <c r="AE602" s="169"/>
      <c r="AF602" s="169"/>
      <c r="AG602" s="220"/>
      <c r="AH602" s="169"/>
      <c r="AI602" s="169"/>
      <c r="AJ602" s="169"/>
      <c r="AK602" s="169"/>
      <c r="AL602" s="220"/>
      <c r="AM602" s="169"/>
      <c r="AN602" s="169"/>
      <c r="AO602" s="169"/>
      <c r="AP602" s="169"/>
      <c r="AQ602" s="220"/>
      <c r="AR602" s="169"/>
      <c r="AS602" s="169"/>
      <c r="AT602" s="169"/>
      <c r="AU602" s="169"/>
      <c r="AV602" s="220"/>
      <c r="AW602" s="169"/>
      <c r="AX602" s="169"/>
      <c r="AY602" s="169"/>
      <c r="AZ602" s="169"/>
      <c r="BA602" s="220"/>
      <c r="BB602" s="169"/>
      <c r="BC602" s="169"/>
      <c r="BD602" s="169"/>
      <c r="BE602" s="169"/>
      <c r="BF602" s="220"/>
      <c r="BG602" s="169"/>
      <c r="BH602" s="169"/>
      <c r="BI602" s="169"/>
      <c r="BJ602" s="169"/>
      <c r="BK602" s="220"/>
      <c r="BL602" s="169"/>
      <c r="BM602" s="169"/>
      <c r="BN602" s="169"/>
      <c r="BO602" s="169"/>
      <c r="BP602" s="220"/>
      <c r="BQ602" s="169"/>
      <c r="BR602" s="169"/>
      <c r="BS602" s="169"/>
      <c r="BT602" s="169"/>
      <c r="BU602" s="220"/>
      <c r="BV602" s="169"/>
      <c r="BW602" s="169"/>
      <c r="BX602" s="169"/>
      <c r="BY602" s="169"/>
      <c r="BZ602" s="220"/>
      <c r="CA602" s="169"/>
      <c r="CB602" s="169"/>
      <c r="CC602" s="169"/>
      <c r="CD602" s="169"/>
      <c r="CE602" s="220"/>
      <c r="CF602" s="169"/>
      <c r="CG602" s="169"/>
      <c r="CH602" s="169"/>
      <c r="CI602" s="169"/>
      <c r="CJ602" s="220"/>
      <c r="CK602" s="169"/>
      <c r="CL602" s="169"/>
      <c r="CM602" s="169"/>
      <c r="CN602" s="169"/>
      <c r="CO602" s="220"/>
      <c r="CP602" s="169"/>
      <c r="CQ602" s="169"/>
      <c r="CR602" s="169"/>
      <c r="CS602" s="169"/>
      <c r="CT602" s="220"/>
      <c r="CU602" s="169"/>
      <c r="CV602" s="169"/>
      <c r="CW602" s="169"/>
      <c r="CX602" s="169"/>
      <c r="CY602" s="220"/>
      <c r="CZ602" s="169"/>
      <c r="DA602" s="169"/>
      <c r="DB602" s="169"/>
      <c r="DC602" s="169"/>
      <c r="DD602" s="220"/>
      <c r="DE602" s="169"/>
      <c r="DF602" s="169"/>
      <c r="DG602" s="169"/>
      <c r="DH602" s="169"/>
      <c r="DI602" s="220"/>
      <c r="DJ602" s="169"/>
      <c r="DK602" s="169"/>
      <c r="DL602" s="169"/>
      <c r="DM602" s="169"/>
      <c r="DN602" s="220"/>
      <c r="DO602" s="169"/>
      <c r="DP602" s="169"/>
      <c r="DQ602" s="169"/>
      <c r="DR602" s="169"/>
      <c r="DS602" s="220"/>
      <c r="DT602" s="169"/>
      <c r="DU602" s="169"/>
      <c r="DV602" s="169"/>
      <c r="DW602" s="169"/>
      <c r="DX602" s="220"/>
      <c r="DY602" s="169"/>
      <c r="DZ602" s="169"/>
      <c r="EA602" s="169"/>
      <c r="EB602" s="169"/>
      <c r="EC602" s="220"/>
      <c r="ED602" s="169"/>
      <c r="EE602" s="169"/>
      <c r="EF602" s="169"/>
      <c r="EG602" s="169"/>
      <c r="EH602" s="220"/>
      <c r="EI602" s="169"/>
      <c r="EJ602" s="169"/>
      <c r="EK602" s="169"/>
      <c r="EL602" s="169"/>
      <c r="EM602" s="220"/>
      <c r="EN602" s="169"/>
      <c r="EO602" s="169"/>
      <c r="EP602" s="169"/>
      <c r="EQ602" s="169"/>
      <c r="ER602" s="220"/>
      <c r="ES602" s="169"/>
      <c r="ET602" s="169"/>
      <c r="EU602" s="169"/>
      <c r="EV602" s="169"/>
      <c r="EW602" s="220"/>
      <c r="EX602" s="169"/>
      <c r="EY602" s="169"/>
      <c r="EZ602" s="169"/>
      <c r="FA602" s="169"/>
      <c r="FB602" s="220"/>
      <c r="FC602" s="169"/>
      <c r="FD602" s="169"/>
      <c r="FE602" s="169"/>
      <c r="FF602" s="169"/>
      <c r="FG602" s="220"/>
      <c r="FH602" s="169"/>
      <c r="FI602" s="169"/>
      <c r="FJ602" s="169"/>
      <c r="FK602" s="169"/>
      <c r="FL602" s="220"/>
      <c r="FM602" s="169"/>
      <c r="FN602" s="169"/>
      <c r="FO602" s="169"/>
      <c r="FP602" s="169"/>
      <c r="FQ602" s="220"/>
      <c r="FR602" s="169"/>
      <c r="FS602" s="169"/>
      <c r="FT602" s="169"/>
      <c r="FU602" s="169"/>
      <c r="FV602" s="220"/>
      <c r="FW602" s="169"/>
      <c r="FX602" s="169"/>
      <c r="FY602" s="169"/>
      <c r="FZ602" s="169"/>
      <c r="GA602" s="220"/>
      <c r="GB602" s="169"/>
      <c r="GC602" s="169"/>
      <c r="GD602" s="169"/>
      <c r="GE602" s="169"/>
      <c r="GF602" s="220"/>
      <c r="GG602" s="169"/>
      <c r="GH602" s="169"/>
      <c r="GI602" s="169"/>
      <c r="GJ602" s="169"/>
    </row>
    <row r="603" spans="1:192" s="93" customFormat="1" ht="12.75" customHeight="1">
      <c r="A603" s="68"/>
      <c r="B603" s="677"/>
      <c r="C603" s="220"/>
      <c r="D603" s="169"/>
      <c r="E603" s="169"/>
      <c r="F603" s="169"/>
      <c r="G603" s="169"/>
      <c r="H603" s="220"/>
      <c r="I603" s="169"/>
      <c r="J603" s="169"/>
      <c r="K603" s="169"/>
      <c r="L603" s="169"/>
      <c r="M603" s="220"/>
      <c r="N603" s="169"/>
      <c r="O603" s="169"/>
      <c r="P603" s="169"/>
      <c r="Q603" s="169"/>
      <c r="R603" s="220"/>
      <c r="S603" s="169"/>
      <c r="T603" s="169"/>
      <c r="U603" s="169"/>
      <c r="V603" s="169"/>
      <c r="W603" s="220"/>
      <c r="X603" s="169"/>
      <c r="Y603" s="169"/>
      <c r="Z603" s="169"/>
      <c r="AA603" s="169"/>
      <c r="AB603" s="220"/>
      <c r="AC603" s="169"/>
      <c r="AD603" s="169"/>
      <c r="AE603" s="169"/>
      <c r="AF603" s="169"/>
      <c r="AG603" s="220"/>
      <c r="AH603" s="169"/>
      <c r="AI603" s="169"/>
      <c r="AJ603" s="169"/>
      <c r="AK603" s="169"/>
      <c r="AL603" s="220"/>
      <c r="AM603" s="169"/>
      <c r="AN603" s="169"/>
      <c r="AO603" s="169"/>
      <c r="AP603" s="169"/>
      <c r="AQ603" s="220"/>
      <c r="AR603" s="169"/>
      <c r="AS603" s="169"/>
      <c r="AT603" s="169"/>
      <c r="AU603" s="169"/>
      <c r="AV603" s="220"/>
      <c r="AW603" s="169"/>
      <c r="AX603" s="169"/>
      <c r="AY603" s="169"/>
      <c r="AZ603" s="169"/>
      <c r="BA603" s="220"/>
      <c r="BB603" s="169"/>
      <c r="BC603" s="169"/>
      <c r="BD603" s="169"/>
      <c r="BE603" s="169"/>
      <c r="BF603" s="220"/>
      <c r="BG603" s="169"/>
      <c r="BH603" s="169"/>
      <c r="BI603" s="169"/>
      <c r="BJ603" s="169"/>
      <c r="BK603" s="220"/>
      <c r="BL603" s="169"/>
      <c r="BM603" s="169"/>
      <c r="BN603" s="169"/>
      <c r="BO603" s="169"/>
      <c r="BP603" s="220"/>
      <c r="BQ603" s="169"/>
      <c r="BR603" s="169"/>
      <c r="BS603" s="169"/>
      <c r="BT603" s="169"/>
      <c r="BU603" s="220"/>
      <c r="BV603" s="169"/>
      <c r="BW603" s="169"/>
      <c r="BX603" s="169"/>
      <c r="BY603" s="169"/>
      <c r="BZ603" s="220"/>
      <c r="CA603" s="169"/>
      <c r="CB603" s="169"/>
      <c r="CC603" s="169"/>
      <c r="CD603" s="169"/>
      <c r="CE603" s="220"/>
      <c r="CF603" s="169"/>
      <c r="CG603" s="169"/>
      <c r="CH603" s="169"/>
      <c r="CI603" s="169"/>
      <c r="CJ603" s="220"/>
      <c r="CK603" s="169"/>
      <c r="CL603" s="169"/>
      <c r="CM603" s="169"/>
      <c r="CN603" s="169"/>
      <c r="CO603" s="220"/>
      <c r="CP603" s="169"/>
      <c r="CQ603" s="169"/>
      <c r="CR603" s="169"/>
      <c r="CS603" s="169"/>
      <c r="CT603" s="220"/>
      <c r="CU603" s="169"/>
      <c r="CV603" s="169"/>
      <c r="CW603" s="169"/>
      <c r="CX603" s="169"/>
      <c r="CY603" s="220"/>
      <c r="CZ603" s="169"/>
      <c r="DA603" s="169"/>
      <c r="DB603" s="169"/>
      <c r="DC603" s="169"/>
      <c r="DD603" s="220"/>
      <c r="DE603" s="169"/>
      <c r="DF603" s="169"/>
      <c r="DG603" s="169"/>
      <c r="DH603" s="169"/>
      <c r="DI603" s="220"/>
      <c r="DJ603" s="169"/>
      <c r="DK603" s="169"/>
      <c r="DL603" s="169"/>
      <c r="DM603" s="169"/>
      <c r="DN603" s="220"/>
      <c r="DO603" s="169"/>
      <c r="DP603" s="169"/>
      <c r="DQ603" s="169"/>
      <c r="DR603" s="169"/>
      <c r="DS603" s="220"/>
      <c r="DT603" s="169"/>
      <c r="DU603" s="169"/>
      <c r="DV603" s="169"/>
      <c r="DW603" s="169"/>
      <c r="DX603" s="220"/>
      <c r="DY603" s="169"/>
      <c r="DZ603" s="169"/>
      <c r="EA603" s="169"/>
      <c r="EB603" s="169"/>
      <c r="EC603" s="220"/>
      <c r="ED603" s="169"/>
      <c r="EE603" s="169"/>
      <c r="EF603" s="169"/>
      <c r="EG603" s="169"/>
      <c r="EH603" s="220"/>
      <c r="EI603" s="169"/>
      <c r="EJ603" s="169"/>
      <c r="EK603" s="169"/>
      <c r="EL603" s="169"/>
      <c r="EM603" s="220"/>
      <c r="EN603" s="169"/>
      <c r="EO603" s="169"/>
      <c r="EP603" s="169"/>
      <c r="EQ603" s="169"/>
      <c r="ER603" s="220"/>
      <c r="ES603" s="169"/>
      <c r="ET603" s="169"/>
      <c r="EU603" s="169"/>
      <c r="EV603" s="169"/>
      <c r="EW603" s="220"/>
      <c r="EX603" s="169"/>
      <c r="EY603" s="169"/>
      <c r="EZ603" s="169"/>
      <c r="FA603" s="169"/>
      <c r="FB603" s="220"/>
      <c r="FC603" s="169"/>
      <c r="FD603" s="169"/>
      <c r="FE603" s="169"/>
      <c r="FF603" s="169"/>
      <c r="FG603" s="220"/>
      <c r="FH603" s="169"/>
      <c r="FI603" s="169"/>
      <c r="FJ603" s="169"/>
      <c r="FK603" s="169"/>
      <c r="FL603" s="220"/>
      <c r="FM603" s="169"/>
      <c r="FN603" s="169"/>
      <c r="FO603" s="169"/>
      <c r="FP603" s="169"/>
      <c r="FQ603" s="220"/>
      <c r="FR603" s="169"/>
      <c r="FS603" s="169"/>
      <c r="FT603" s="169"/>
      <c r="FU603" s="169"/>
      <c r="FV603" s="220"/>
      <c r="FW603" s="169"/>
      <c r="FX603" s="169"/>
      <c r="FY603" s="169"/>
      <c r="FZ603" s="169"/>
      <c r="GA603" s="220"/>
      <c r="GB603" s="169"/>
      <c r="GC603" s="169"/>
      <c r="GD603" s="169"/>
      <c r="GE603" s="169"/>
      <c r="GF603" s="220"/>
      <c r="GG603" s="169"/>
      <c r="GH603" s="169"/>
      <c r="GI603" s="169"/>
      <c r="GJ603" s="169"/>
    </row>
    <row r="604" spans="1:192" s="93" customFormat="1" ht="12.75" customHeight="1">
      <c r="A604" s="68"/>
      <c r="B604" s="677"/>
      <c r="C604" s="220"/>
      <c r="D604" s="169"/>
      <c r="E604" s="169"/>
      <c r="F604" s="169"/>
      <c r="G604" s="169"/>
      <c r="H604" s="220"/>
      <c r="I604" s="169"/>
      <c r="J604" s="169"/>
      <c r="K604" s="169"/>
      <c r="L604" s="169"/>
      <c r="M604" s="220"/>
      <c r="N604" s="169"/>
      <c r="O604" s="169"/>
      <c r="P604" s="169"/>
      <c r="Q604" s="169"/>
      <c r="R604" s="220"/>
      <c r="S604" s="169"/>
      <c r="T604" s="169"/>
      <c r="U604" s="169"/>
      <c r="V604" s="169"/>
      <c r="W604" s="220"/>
      <c r="X604" s="169"/>
      <c r="Y604" s="169"/>
      <c r="Z604" s="169"/>
      <c r="AA604" s="169"/>
      <c r="AB604" s="220"/>
      <c r="AC604" s="169"/>
      <c r="AD604" s="169"/>
      <c r="AE604" s="169"/>
      <c r="AF604" s="169"/>
      <c r="AG604" s="220"/>
      <c r="AH604" s="169"/>
      <c r="AI604" s="169"/>
      <c r="AJ604" s="169"/>
      <c r="AK604" s="169"/>
      <c r="AL604" s="220"/>
      <c r="AM604" s="169"/>
      <c r="AN604" s="169"/>
      <c r="AO604" s="169"/>
      <c r="AP604" s="169"/>
      <c r="AQ604" s="220"/>
      <c r="AR604" s="169"/>
      <c r="AS604" s="169"/>
      <c r="AT604" s="169"/>
      <c r="AU604" s="169"/>
      <c r="AV604" s="220"/>
      <c r="AW604" s="169"/>
      <c r="AX604" s="169"/>
      <c r="AY604" s="169"/>
      <c r="AZ604" s="169"/>
      <c r="BA604" s="220"/>
      <c r="BB604" s="169"/>
      <c r="BC604" s="169"/>
      <c r="BD604" s="169"/>
      <c r="BE604" s="169"/>
      <c r="BF604" s="220"/>
      <c r="BG604" s="169"/>
      <c r="BH604" s="169"/>
      <c r="BI604" s="169"/>
      <c r="BJ604" s="169"/>
      <c r="BK604" s="220"/>
      <c r="BL604" s="169"/>
      <c r="BM604" s="169"/>
      <c r="BN604" s="169"/>
      <c r="BO604" s="169"/>
      <c r="BP604" s="220"/>
      <c r="BQ604" s="169"/>
      <c r="BR604" s="169"/>
      <c r="BS604" s="169"/>
      <c r="BT604" s="169"/>
      <c r="BU604" s="220"/>
      <c r="BV604" s="169"/>
      <c r="BW604" s="169"/>
      <c r="BX604" s="169"/>
      <c r="BY604" s="169"/>
      <c r="BZ604" s="220"/>
      <c r="CA604" s="169"/>
      <c r="CB604" s="169"/>
      <c r="CC604" s="169"/>
      <c r="CD604" s="169"/>
      <c r="CE604" s="220"/>
      <c r="CF604" s="169"/>
      <c r="CG604" s="169"/>
      <c r="CH604" s="169"/>
      <c r="CI604" s="169"/>
      <c r="CJ604" s="220"/>
      <c r="CK604" s="169"/>
      <c r="CL604" s="169"/>
      <c r="CM604" s="169"/>
      <c r="CN604" s="169"/>
      <c r="CO604" s="220"/>
      <c r="CP604" s="169"/>
      <c r="CQ604" s="169"/>
      <c r="CR604" s="169"/>
      <c r="CS604" s="169"/>
      <c r="CT604" s="220"/>
      <c r="CU604" s="169"/>
      <c r="CV604" s="169"/>
      <c r="CW604" s="169"/>
      <c r="CX604" s="169"/>
      <c r="CY604" s="220"/>
      <c r="CZ604" s="169"/>
      <c r="DA604" s="169"/>
      <c r="DB604" s="169"/>
      <c r="DC604" s="169"/>
      <c r="DD604" s="220"/>
      <c r="DE604" s="169"/>
      <c r="DF604" s="169"/>
      <c r="DG604" s="169"/>
      <c r="DH604" s="169"/>
      <c r="DI604" s="220"/>
      <c r="DJ604" s="169"/>
      <c r="DK604" s="169"/>
      <c r="DL604" s="169"/>
      <c r="DM604" s="169"/>
      <c r="DN604" s="220"/>
      <c r="DO604" s="169"/>
      <c r="DP604" s="169"/>
      <c r="DQ604" s="169"/>
      <c r="DR604" s="169"/>
      <c r="DS604" s="220"/>
      <c r="DT604" s="169"/>
      <c r="DU604" s="169"/>
      <c r="DV604" s="169"/>
      <c r="DW604" s="169"/>
      <c r="DX604" s="220"/>
      <c r="DY604" s="169"/>
      <c r="DZ604" s="169"/>
      <c r="EA604" s="169"/>
      <c r="EB604" s="169"/>
      <c r="EC604" s="220"/>
      <c r="ED604" s="169"/>
      <c r="EE604" s="169"/>
      <c r="EF604" s="169"/>
      <c r="EG604" s="169"/>
      <c r="EH604" s="220"/>
      <c r="EI604" s="169"/>
      <c r="EJ604" s="169"/>
      <c r="EK604" s="169"/>
      <c r="EL604" s="169"/>
      <c r="EM604" s="220"/>
      <c r="EN604" s="169"/>
      <c r="EO604" s="169"/>
      <c r="EP604" s="169"/>
      <c r="EQ604" s="169"/>
      <c r="ER604" s="220"/>
      <c r="ES604" s="169"/>
      <c r="ET604" s="169"/>
      <c r="EU604" s="169"/>
      <c r="EV604" s="169"/>
      <c r="EW604" s="220"/>
      <c r="EX604" s="169"/>
      <c r="EY604" s="169"/>
      <c r="EZ604" s="169"/>
      <c r="FA604" s="169"/>
      <c r="FB604" s="220"/>
      <c r="FC604" s="169"/>
      <c r="FD604" s="169"/>
      <c r="FE604" s="169"/>
      <c r="FF604" s="169"/>
      <c r="FG604" s="220"/>
      <c r="FH604" s="169"/>
      <c r="FI604" s="169"/>
      <c r="FJ604" s="169"/>
      <c r="FK604" s="169"/>
      <c r="FL604" s="220"/>
      <c r="FM604" s="169"/>
      <c r="FN604" s="169"/>
      <c r="FO604" s="169"/>
      <c r="FP604" s="169"/>
      <c r="FQ604" s="220"/>
      <c r="FR604" s="169"/>
      <c r="FS604" s="169"/>
      <c r="FT604" s="169"/>
      <c r="FU604" s="169"/>
      <c r="FV604" s="220"/>
      <c r="FW604" s="169"/>
      <c r="FX604" s="169"/>
      <c r="FY604" s="169"/>
      <c r="FZ604" s="169"/>
      <c r="GA604" s="220"/>
      <c r="GB604" s="169"/>
      <c r="GC604" s="169"/>
      <c r="GD604" s="169"/>
      <c r="GE604" s="169"/>
      <c r="GF604" s="220"/>
      <c r="GG604" s="169"/>
      <c r="GH604" s="169"/>
      <c r="GI604" s="169"/>
      <c r="GJ604" s="169"/>
    </row>
    <row r="605" spans="1:192" s="93" customFormat="1" ht="12.75" customHeight="1">
      <c r="A605" s="68"/>
      <c r="B605" s="677"/>
      <c r="C605" s="234"/>
      <c r="D605" s="234"/>
      <c r="E605" s="234"/>
      <c r="F605" s="234"/>
      <c r="G605" s="234"/>
      <c r="H605" s="234"/>
      <c r="I605" s="234"/>
      <c r="J605" s="234"/>
      <c r="K605" s="234"/>
      <c r="L605" s="234"/>
      <c r="M605" s="234"/>
      <c r="N605" s="234"/>
      <c r="O605" s="234"/>
      <c r="P605" s="234"/>
      <c r="Q605" s="234"/>
      <c r="R605" s="234"/>
      <c r="S605" s="234"/>
      <c r="T605" s="234"/>
      <c r="U605" s="234"/>
      <c r="V605" s="234"/>
      <c r="W605" s="234"/>
      <c r="X605" s="234"/>
      <c r="Y605" s="234"/>
      <c r="Z605" s="234"/>
      <c r="AA605" s="234"/>
      <c r="AB605" s="234"/>
      <c r="AC605" s="234"/>
      <c r="AD605" s="234"/>
      <c r="AE605" s="234"/>
      <c r="AF605" s="234"/>
      <c r="AG605" s="234"/>
      <c r="AH605" s="234"/>
      <c r="AI605" s="234"/>
      <c r="AJ605" s="234"/>
      <c r="AK605" s="234"/>
      <c r="AL605" s="234"/>
      <c r="AM605" s="234"/>
      <c r="AN605" s="234"/>
      <c r="AO605" s="234"/>
      <c r="AP605" s="234"/>
      <c r="AQ605" s="234"/>
      <c r="AR605" s="234"/>
      <c r="AS605" s="234"/>
      <c r="AT605" s="234"/>
      <c r="AU605" s="234"/>
      <c r="AV605" s="234"/>
      <c r="AW605" s="234"/>
      <c r="AX605" s="234"/>
      <c r="AY605" s="234"/>
      <c r="AZ605" s="234"/>
      <c r="BA605" s="234"/>
      <c r="BB605" s="234"/>
      <c r="BC605" s="234"/>
      <c r="BD605" s="234"/>
      <c r="BE605" s="234"/>
      <c r="BF605" s="234"/>
      <c r="BG605" s="234"/>
      <c r="BH605" s="234"/>
      <c r="BI605" s="234"/>
      <c r="BJ605" s="234"/>
      <c r="BK605" s="234"/>
      <c r="BL605" s="234"/>
      <c r="BM605" s="234"/>
      <c r="BN605" s="234"/>
      <c r="BO605" s="234"/>
      <c r="BP605" s="234"/>
      <c r="BQ605" s="234"/>
      <c r="BR605" s="234"/>
      <c r="BS605" s="234"/>
      <c r="BT605" s="234"/>
      <c r="BU605" s="234"/>
      <c r="BV605" s="234"/>
      <c r="BW605" s="234"/>
      <c r="BX605" s="234"/>
      <c r="BY605" s="234"/>
      <c r="BZ605" s="234"/>
      <c r="CA605" s="234"/>
      <c r="CB605" s="234"/>
      <c r="CC605" s="234"/>
      <c r="CD605" s="234"/>
      <c r="CE605" s="234"/>
      <c r="CF605" s="234"/>
      <c r="CG605" s="234"/>
      <c r="CH605" s="234"/>
      <c r="CI605" s="234"/>
      <c r="CJ605" s="234"/>
      <c r="CK605" s="234"/>
      <c r="CL605" s="234"/>
      <c r="CM605" s="234"/>
      <c r="CN605" s="234"/>
      <c r="CO605" s="234"/>
      <c r="CP605" s="234"/>
      <c r="CQ605" s="234"/>
      <c r="CR605" s="234"/>
      <c r="CS605" s="234"/>
      <c r="CT605" s="234"/>
      <c r="CU605" s="234"/>
      <c r="CV605" s="234"/>
      <c r="CW605" s="234"/>
      <c r="CX605" s="234"/>
      <c r="CY605" s="234"/>
      <c r="CZ605" s="234"/>
      <c r="DA605" s="234"/>
      <c r="DB605" s="234"/>
      <c r="DC605" s="234"/>
      <c r="DD605" s="234"/>
      <c r="DE605" s="234"/>
      <c r="DF605" s="234"/>
      <c r="DG605" s="234"/>
      <c r="DH605" s="234"/>
      <c r="DI605" s="234"/>
      <c r="DJ605" s="234"/>
      <c r="DK605" s="234"/>
      <c r="DL605" s="234"/>
      <c r="DM605" s="234"/>
      <c r="DN605" s="234"/>
      <c r="DO605" s="234"/>
      <c r="DP605" s="234"/>
      <c r="DQ605" s="234"/>
      <c r="DR605" s="234"/>
      <c r="DS605" s="234"/>
      <c r="DT605" s="234"/>
      <c r="DU605" s="234"/>
      <c r="DV605" s="234"/>
      <c r="DW605" s="234"/>
      <c r="DX605" s="234"/>
      <c r="DY605" s="234"/>
      <c r="DZ605" s="234"/>
      <c r="EA605" s="234"/>
      <c r="EB605" s="234"/>
      <c r="EC605" s="234"/>
      <c r="ED605" s="234"/>
      <c r="EE605" s="234"/>
      <c r="EF605" s="234"/>
      <c r="EG605" s="234"/>
      <c r="EH605" s="234"/>
      <c r="EI605" s="234"/>
      <c r="EJ605" s="234"/>
      <c r="EK605" s="234"/>
      <c r="EL605" s="234"/>
      <c r="EM605" s="234"/>
      <c r="EN605" s="234"/>
      <c r="EO605" s="234"/>
      <c r="EP605" s="234"/>
      <c r="EQ605" s="234"/>
      <c r="ER605" s="234"/>
      <c r="ES605" s="234"/>
      <c r="ET605" s="234"/>
      <c r="EU605" s="234"/>
      <c r="EV605" s="234"/>
      <c r="EW605" s="234"/>
      <c r="EX605" s="234"/>
      <c r="EY605" s="234"/>
      <c r="EZ605" s="234"/>
      <c r="FA605" s="234"/>
      <c r="FB605" s="234"/>
      <c r="FC605" s="234"/>
      <c r="FD605" s="234"/>
      <c r="FE605" s="234"/>
      <c r="FF605" s="234"/>
      <c r="FG605" s="234"/>
      <c r="FH605" s="234"/>
      <c r="FI605" s="234"/>
      <c r="FJ605" s="234"/>
      <c r="FK605" s="234"/>
      <c r="FL605" s="234"/>
      <c r="FM605" s="234"/>
      <c r="FN605" s="234"/>
      <c r="FO605" s="234"/>
      <c r="FP605" s="234"/>
      <c r="FQ605" s="234"/>
      <c r="FR605" s="234"/>
      <c r="FS605" s="234"/>
      <c r="FT605" s="234"/>
      <c r="FU605" s="234"/>
      <c r="FV605" s="234"/>
      <c r="FW605" s="234"/>
      <c r="FX605" s="234"/>
      <c r="FY605" s="234"/>
      <c r="FZ605" s="234"/>
      <c r="GA605" s="234"/>
      <c r="GB605" s="234"/>
      <c r="GC605" s="234"/>
      <c r="GD605" s="234"/>
      <c r="GE605" s="234"/>
      <c r="GF605" s="234"/>
      <c r="GG605" s="234"/>
      <c r="GH605" s="234"/>
      <c r="GI605" s="234"/>
      <c r="GJ605" s="234"/>
    </row>
    <row r="606" spans="1:192" s="93" customFormat="1" ht="12.75" customHeight="1">
      <c r="A606" s="68"/>
      <c r="B606" s="677"/>
      <c r="C606" s="106"/>
      <c r="D606" s="106"/>
      <c r="E606" s="106"/>
      <c r="F606" s="106"/>
      <c r="G606" s="106"/>
      <c r="H606" s="106"/>
      <c r="I606" s="106"/>
      <c r="J606" s="106"/>
      <c r="K606" s="106"/>
      <c r="L606" s="106"/>
      <c r="M606" s="106"/>
      <c r="N606" s="106"/>
      <c r="O606" s="106"/>
      <c r="P606" s="106"/>
      <c r="Q606" s="106"/>
      <c r="R606" s="106"/>
      <c r="S606" s="106"/>
      <c r="T606" s="106"/>
      <c r="U606" s="106"/>
      <c r="V606" s="106"/>
      <c r="W606" s="106"/>
      <c r="X606" s="106"/>
      <c r="Y606" s="106"/>
      <c r="Z606" s="106"/>
      <c r="AA606" s="106"/>
      <c r="AB606" s="106"/>
      <c r="AC606" s="106"/>
      <c r="AD606" s="106"/>
      <c r="AE606" s="106"/>
      <c r="AF606" s="106"/>
      <c r="AG606" s="106"/>
      <c r="AH606" s="106"/>
      <c r="AI606" s="106"/>
      <c r="AJ606" s="106"/>
      <c r="AK606" s="106"/>
      <c r="AL606" s="106"/>
      <c r="AM606" s="106"/>
      <c r="AN606" s="106"/>
      <c r="AO606" s="106"/>
      <c r="AP606" s="106"/>
      <c r="AQ606" s="106"/>
      <c r="AR606" s="106"/>
      <c r="AS606" s="106"/>
      <c r="AT606" s="106"/>
      <c r="AU606" s="106"/>
      <c r="AV606" s="106"/>
      <c r="AW606" s="106"/>
      <c r="AX606" s="106"/>
      <c r="AY606" s="106"/>
      <c r="AZ606" s="106"/>
      <c r="BA606" s="106"/>
      <c r="BB606" s="106"/>
      <c r="BC606" s="106"/>
      <c r="BD606" s="106"/>
      <c r="BE606" s="106"/>
      <c r="BF606" s="106"/>
      <c r="BG606" s="106"/>
      <c r="BH606" s="106"/>
      <c r="BI606" s="106"/>
      <c r="BJ606" s="106"/>
      <c r="BK606" s="106"/>
      <c r="BL606" s="106"/>
      <c r="BM606" s="106"/>
      <c r="BN606" s="106"/>
      <c r="BO606" s="106"/>
      <c r="BP606" s="106"/>
      <c r="BQ606" s="106"/>
      <c r="BR606" s="106"/>
      <c r="BS606" s="106"/>
      <c r="BT606" s="106"/>
      <c r="BU606" s="106"/>
      <c r="BV606" s="106"/>
      <c r="BW606" s="106"/>
      <c r="BX606" s="106"/>
      <c r="BY606" s="106"/>
      <c r="BZ606" s="106"/>
      <c r="CA606" s="106"/>
      <c r="CB606" s="106"/>
      <c r="CC606" s="106"/>
      <c r="CD606" s="106"/>
      <c r="CE606" s="106"/>
      <c r="CF606" s="106"/>
      <c r="CG606" s="106"/>
      <c r="CH606" s="106"/>
      <c r="CI606" s="106"/>
      <c r="CJ606" s="106"/>
      <c r="CK606" s="106"/>
      <c r="CL606" s="106"/>
      <c r="CM606" s="106"/>
      <c r="CN606" s="106"/>
      <c r="CO606" s="106"/>
      <c r="CP606" s="106"/>
      <c r="CQ606" s="106"/>
      <c r="CR606" s="106"/>
      <c r="CS606" s="106"/>
      <c r="CT606" s="106"/>
      <c r="CU606" s="106"/>
      <c r="CV606" s="106"/>
      <c r="CW606" s="106"/>
      <c r="CX606" s="106"/>
      <c r="CY606" s="106"/>
      <c r="CZ606" s="106"/>
      <c r="DA606" s="106"/>
      <c r="DB606" s="106"/>
      <c r="DC606" s="106"/>
      <c r="DD606" s="106"/>
      <c r="DE606" s="106"/>
      <c r="DF606" s="106"/>
      <c r="DG606" s="106"/>
      <c r="DH606" s="106"/>
      <c r="DI606" s="106"/>
      <c r="DJ606" s="106"/>
      <c r="DK606" s="106"/>
      <c r="DL606" s="106"/>
      <c r="DM606" s="106"/>
      <c r="DN606" s="106"/>
      <c r="DO606" s="106"/>
      <c r="DP606" s="106"/>
      <c r="DQ606" s="106"/>
      <c r="DR606" s="106"/>
      <c r="DS606" s="106"/>
      <c r="DT606" s="106"/>
      <c r="DU606" s="106"/>
      <c r="DV606" s="106"/>
      <c r="DW606" s="106"/>
      <c r="DX606" s="106"/>
      <c r="DY606" s="106"/>
      <c r="DZ606" s="106"/>
      <c r="EA606" s="106"/>
      <c r="EB606" s="106"/>
      <c r="EC606" s="106"/>
      <c r="ED606" s="106"/>
      <c r="EE606" s="106"/>
      <c r="EF606" s="106"/>
      <c r="EG606" s="106"/>
      <c r="EH606" s="106"/>
      <c r="EI606" s="106"/>
      <c r="EJ606" s="106"/>
      <c r="EK606" s="106"/>
      <c r="EL606" s="106"/>
      <c r="EM606" s="106"/>
      <c r="EN606" s="106"/>
      <c r="EO606" s="106"/>
      <c r="EP606" s="106"/>
      <c r="EQ606" s="106"/>
      <c r="ER606" s="106"/>
      <c r="ES606" s="106"/>
      <c r="ET606" s="106"/>
      <c r="EU606" s="106"/>
      <c r="EV606" s="106"/>
      <c r="EW606" s="106"/>
      <c r="EX606" s="106"/>
      <c r="EY606" s="106"/>
      <c r="EZ606" s="106"/>
      <c r="FA606" s="106"/>
      <c r="FB606" s="106"/>
      <c r="FC606" s="106"/>
      <c r="FD606" s="106"/>
      <c r="FE606" s="106"/>
      <c r="FF606" s="106"/>
      <c r="FG606" s="106"/>
      <c r="FH606" s="106"/>
      <c r="FI606" s="106"/>
      <c r="FJ606" s="106"/>
      <c r="FK606" s="106"/>
      <c r="FL606" s="106"/>
      <c r="FM606" s="106"/>
      <c r="FN606" s="106"/>
      <c r="FO606" s="106"/>
      <c r="FP606" s="106"/>
      <c r="FQ606" s="106"/>
      <c r="FR606" s="106"/>
      <c r="FS606" s="106"/>
      <c r="FT606" s="106"/>
      <c r="FU606" s="106"/>
      <c r="FV606" s="106"/>
      <c r="FW606" s="106"/>
      <c r="FX606" s="106"/>
      <c r="FY606" s="106"/>
      <c r="FZ606" s="106"/>
      <c r="GA606" s="106"/>
      <c r="GB606" s="106"/>
      <c r="GC606" s="106"/>
      <c r="GD606" s="106"/>
      <c r="GE606" s="106"/>
      <c r="GF606" s="106"/>
      <c r="GG606" s="106"/>
      <c r="GH606" s="106"/>
      <c r="GI606" s="106"/>
      <c r="GJ606" s="106"/>
    </row>
    <row r="607" spans="1:192" s="93" customFormat="1" ht="12.75" customHeight="1">
      <c r="A607" s="68"/>
      <c r="B607" s="677"/>
      <c r="C607" s="220"/>
      <c r="D607" s="169"/>
      <c r="E607" s="169"/>
      <c r="F607" s="169"/>
      <c r="G607" s="169"/>
      <c r="H607" s="220"/>
      <c r="I607" s="169"/>
      <c r="J607" s="169"/>
      <c r="K607" s="169"/>
      <c r="L607" s="169"/>
      <c r="M607" s="220"/>
      <c r="N607" s="169"/>
      <c r="O607" s="169"/>
      <c r="P607" s="169"/>
      <c r="Q607" s="169"/>
      <c r="R607" s="220"/>
      <c r="S607" s="169"/>
      <c r="T607" s="169"/>
      <c r="U607" s="169"/>
      <c r="V607" s="169"/>
      <c r="W607" s="220"/>
      <c r="X607" s="169"/>
      <c r="Y607" s="169"/>
      <c r="Z607" s="169"/>
      <c r="AA607" s="169"/>
      <c r="AB607" s="220"/>
      <c r="AC607" s="169"/>
      <c r="AD607" s="169"/>
      <c r="AE607" s="169"/>
      <c r="AF607" s="169"/>
      <c r="AG607" s="220"/>
      <c r="AH607" s="169"/>
      <c r="AI607" s="169"/>
      <c r="AJ607" s="169"/>
      <c r="AK607" s="169"/>
      <c r="AL607" s="220"/>
      <c r="AM607" s="169"/>
      <c r="AN607" s="169"/>
      <c r="AO607" s="169"/>
      <c r="AP607" s="169"/>
      <c r="AQ607" s="220"/>
      <c r="AR607" s="169"/>
      <c r="AS607" s="169"/>
      <c r="AT607" s="169"/>
      <c r="AU607" s="169"/>
      <c r="AV607" s="220"/>
      <c r="AW607" s="169"/>
      <c r="AX607" s="169"/>
      <c r="AY607" s="169"/>
      <c r="AZ607" s="169"/>
      <c r="BA607" s="220"/>
      <c r="BB607" s="169"/>
      <c r="BC607" s="169"/>
      <c r="BD607" s="169"/>
      <c r="BE607" s="169"/>
      <c r="BF607" s="220"/>
      <c r="BG607" s="169"/>
      <c r="BH607" s="169"/>
      <c r="BI607" s="169"/>
      <c r="BJ607" s="169"/>
      <c r="BK607" s="220"/>
      <c r="BL607" s="169"/>
      <c r="BM607" s="169"/>
      <c r="BN607" s="169"/>
      <c r="BO607" s="169"/>
      <c r="BP607" s="220"/>
      <c r="BQ607" s="169"/>
      <c r="BR607" s="169"/>
      <c r="BS607" s="169"/>
      <c r="BT607" s="169"/>
      <c r="BU607" s="220"/>
      <c r="BV607" s="169"/>
      <c r="BW607" s="169"/>
      <c r="BX607" s="169"/>
      <c r="BY607" s="169"/>
      <c r="BZ607" s="220"/>
      <c r="CA607" s="169"/>
      <c r="CB607" s="169"/>
      <c r="CC607" s="169"/>
      <c r="CD607" s="169"/>
      <c r="CE607" s="220"/>
      <c r="CF607" s="169"/>
      <c r="CG607" s="169"/>
      <c r="CH607" s="169"/>
      <c r="CI607" s="169"/>
      <c r="CJ607" s="220"/>
      <c r="CK607" s="169"/>
      <c r="CL607" s="169"/>
      <c r="CM607" s="169"/>
      <c r="CN607" s="169"/>
      <c r="CO607" s="220"/>
      <c r="CP607" s="169"/>
      <c r="CQ607" s="169"/>
      <c r="CR607" s="169"/>
      <c r="CS607" s="169"/>
      <c r="CT607" s="220"/>
      <c r="CU607" s="169"/>
      <c r="CV607" s="169"/>
      <c r="CW607" s="169"/>
      <c r="CX607" s="169"/>
      <c r="CY607" s="220"/>
      <c r="CZ607" s="169"/>
      <c r="DA607" s="169"/>
      <c r="DB607" s="169"/>
      <c r="DC607" s="169"/>
      <c r="DD607" s="220"/>
      <c r="DE607" s="169"/>
      <c r="DF607" s="169"/>
      <c r="DG607" s="169"/>
      <c r="DH607" s="169"/>
      <c r="DI607" s="220"/>
      <c r="DJ607" s="169"/>
      <c r="DK607" s="169"/>
      <c r="DL607" s="169"/>
      <c r="DM607" s="169"/>
      <c r="DN607" s="220"/>
      <c r="DO607" s="169"/>
      <c r="DP607" s="169"/>
      <c r="DQ607" s="169"/>
      <c r="DR607" s="169"/>
      <c r="DS607" s="220"/>
      <c r="DT607" s="169"/>
      <c r="DU607" s="169"/>
      <c r="DV607" s="169"/>
      <c r="DW607" s="169"/>
      <c r="DX607" s="220"/>
      <c r="DY607" s="169"/>
      <c r="DZ607" s="169"/>
      <c r="EA607" s="169"/>
      <c r="EB607" s="169"/>
      <c r="EC607" s="220"/>
      <c r="ED607" s="169"/>
      <c r="EE607" s="169"/>
      <c r="EF607" s="169"/>
      <c r="EG607" s="169"/>
      <c r="EH607" s="220"/>
      <c r="EI607" s="169"/>
      <c r="EJ607" s="169"/>
      <c r="EK607" s="169"/>
      <c r="EL607" s="169"/>
      <c r="EM607" s="220"/>
      <c r="EN607" s="169"/>
      <c r="EO607" s="169"/>
      <c r="EP607" s="169"/>
      <c r="EQ607" s="169"/>
      <c r="ER607" s="220"/>
      <c r="ES607" s="169"/>
      <c r="ET607" s="169"/>
      <c r="EU607" s="169"/>
      <c r="EV607" s="169"/>
      <c r="EW607" s="220"/>
      <c r="EX607" s="169"/>
      <c r="EY607" s="169"/>
      <c r="EZ607" s="169"/>
      <c r="FA607" s="169"/>
      <c r="FB607" s="220"/>
      <c r="FC607" s="169"/>
      <c r="FD607" s="169"/>
      <c r="FE607" s="169"/>
      <c r="FF607" s="169"/>
      <c r="FG607" s="220"/>
      <c r="FH607" s="169"/>
      <c r="FI607" s="169"/>
      <c r="FJ607" s="169"/>
      <c r="FK607" s="169"/>
      <c r="FL607" s="220"/>
      <c r="FM607" s="169"/>
      <c r="FN607" s="169"/>
      <c r="FO607" s="169"/>
      <c r="FP607" s="169"/>
      <c r="FQ607" s="220"/>
      <c r="FR607" s="169"/>
      <c r="FS607" s="169"/>
      <c r="FT607" s="169"/>
      <c r="FU607" s="169"/>
      <c r="FV607" s="220"/>
      <c r="FW607" s="169"/>
      <c r="FX607" s="169"/>
      <c r="FY607" s="169"/>
      <c r="FZ607" s="169"/>
      <c r="GA607" s="220"/>
      <c r="GB607" s="169"/>
      <c r="GC607" s="169"/>
      <c r="GD607" s="169"/>
      <c r="GE607" s="169"/>
      <c r="GF607" s="220"/>
      <c r="GG607" s="169"/>
      <c r="GH607" s="169"/>
      <c r="GI607" s="169"/>
      <c r="GJ607" s="169"/>
    </row>
    <row r="608" spans="1:192" s="93" customFormat="1" ht="12.75" customHeight="1">
      <c r="A608" s="68"/>
      <c r="B608" s="677"/>
      <c r="C608" s="234"/>
      <c r="D608" s="234"/>
      <c r="E608" s="234"/>
      <c r="F608" s="234"/>
      <c r="G608" s="234"/>
      <c r="H608" s="234"/>
      <c r="I608" s="234"/>
      <c r="J608" s="234"/>
      <c r="K608" s="234"/>
      <c r="L608" s="234"/>
      <c r="M608" s="234"/>
      <c r="N608" s="234"/>
      <c r="O608" s="234"/>
      <c r="P608" s="234"/>
      <c r="Q608" s="234"/>
      <c r="R608" s="234"/>
      <c r="S608" s="234"/>
      <c r="T608" s="234"/>
      <c r="U608" s="234"/>
      <c r="V608" s="234"/>
      <c r="W608" s="234"/>
      <c r="X608" s="234"/>
      <c r="Y608" s="234"/>
      <c r="Z608" s="234"/>
      <c r="AA608" s="234"/>
      <c r="AB608" s="234"/>
      <c r="AC608" s="234"/>
      <c r="AD608" s="234"/>
      <c r="AE608" s="234"/>
      <c r="AF608" s="234"/>
      <c r="AG608" s="234"/>
      <c r="AH608" s="234"/>
      <c r="AI608" s="234"/>
      <c r="AJ608" s="234"/>
      <c r="AK608" s="234"/>
      <c r="AL608" s="234"/>
      <c r="AM608" s="234"/>
      <c r="AN608" s="234"/>
      <c r="AO608" s="234"/>
      <c r="AP608" s="234"/>
      <c r="AQ608" s="234"/>
      <c r="AR608" s="234"/>
      <c r="AS608" s="234"/>
      <c r="AT608" s="234"/>
      <c r="AU608" s="234"/>
      <c r="AV608" s="234"/>
      <c r="AW608" s="234"/>
      <c r="AX608" s="234"/>
      <c r="AY608" s="234"/>
      <c r="AZ608" s="234"/>
      <c r="BA608" s="234"/>
      <c r="BB608" s="234"/>
      <c r="BC608" s="234"/>
      <c r="BD608" s="234"/>
      <c r="BE608" s="234"/>
      <c r="BF608" s="234"/>
      <c r="BG608" s="234"/>
      <c r="BH608" s="234"/>
      <c r="BI608" s="234"/>
      <c r="BJ608" s="234"/>
      <c r="BK608" s="234"/>
      <c r="BL608" s="234"/>
      <c r="BM608" s="234"/>
      <c r="BN608" s="234"/>
      <c r="BO608" s="234"/>
      <c r="BP608" s="234"/>
      <c r="BQ608" s="234"/>
      <c r="BR608" s="234"/>
      <c r="BS608" s="234"/>
      <c r="BT608" s="234"/>
      <c r="BU608" s="234"/>
      <c r="BV608" s="234"/>
      <c r="BW608" s="234"/>
      <c r="BX608" s="234"/>
      <c r="BY608" s="234"/>
      <c r="BZ608" s="234"/>
      <c r="CA608" s="234"/>
      <c r="CB608" s="234"/>
      <c r="CC608" s="234"/>
      <c r="CD608" s="234"/>
      <c r="CE608" s="234"/>
      <c r="CF608" s="234"/>
      <c r="CG608" s="234"/>
      <c r="CH608" s="234"/>
      <c r="CI608" s="234"/>
      <c r="CJ608" s="234"/>
      <c r="CK608" s="234"/>
      <c r="CL608" s="234"/>
      <c r="CM608" s="234"/>
      <c r="CN608" s="234"/>
      <c r="CO608" s="234"/>
      <c r="CP608" s="234"/>
      <c r="CQ608" s="234"/>
      <c r="CR608" s="234"/>
      <c r="CS608" s="234"/>
      <c r="CT608" s="234"/>
      <c r="CU608" s="234"/>
      <c r="CV608" s="234"/>
      <c r="CW608" s="234"/>
      <c r="CX608" s="234"/>
      <c r="CY608" s="234"/>
      <c r="CZ608" s="234"/>
      <c r="DA608" s="234"/>
      <c r="DB608" s="234"/>
      <c r="DC608" s="234"/>
      <c r="DD608" s="234"/>
      <c r="DE608" s="234"/>
      <c r="DF608" s="234"/>
      <c r="DG608" s="234"/>
      <c r="DH608" s="234"/>
      <c r="DI608" s="234"/>
      <c r="DJ608" s="234"/>
      <c r="DK608" s="234"/>
      <c r="DL608" s="234"/>
      <c r="DM608" s="234"/>
      <c r="DN608" s="234"/>
      <c r="DO608" s="234"/>
      <c r="DP608" s="234"/>
      <c r="DQ608" s="234"/>
      <c r="DR608" s="234"/>
      <c r="DS608" s="234"/>
      <c r="DT608" s="234"/>
      <c r="DU608" s="234"/>
      <c r="DV608" s="234"/>
      <c r="DW608" s="234"/>
      <c r="DX608" s="234"/>
      <c r="DY608" s="234"/>
      <c r="DZ608" s="234"/>
      <c r="EA608" s="234"/>
      <c r="EB608" s="234"/>
      <c r="EC608" s="234"/>
      <c r="ED608" s="234"/>
      <c r="EE608" s="234"/>
      <c r="EF608" s="234"/>
      <c r="EG608" s="234"/>
      <c r="EH608" s="234"/>
      <c r="EI608" s="234"/>
      <c r="EJ608" s="234"/>
      <c r="EK608" s="234"/>
      <c r="EL608" s="234"/>
      <c r="EM608" s="234"/>
      <c r="EN608" s="234"/>
      <c r="EO608" s="234"/>
      <c r="EP608" s="234"/>
      <c r="EQ608" s="234"/>
      <c r="ER608" s="234"/>
      <c r="ES608" s="234"/>
      <c r="ET608" s="234"/>
      <c r="EU608" s="234"/>
      <c r="EV608" s="234"/>
      <c r="EW608" s="234"/>
      <c r="EX608" s="234"/>
      <c r="EY608" s="234"/>
      <c r="EZ608" s="234"/>
      <c r="FA608" s="234"/>
      <c r="FB608" s="234"/>
      <c r="FC608" s="234"/>
      <c r="FD608" s="234"/>
      <c r="FE608" s="234"/>
      <c r="FF608" s="234"/>
      <c r="FG608" s="234"/>
      <c r="FH608" s="234"/>
      <c r="FI608" s="234"/>
      <c r="FJ608" s="234"/>
      <c r="FK608" s="234"/>
      <c r="FL608" s="234"/>
      <c r="FM608" s="234"/>
      <c r="FN608" s="234"/>
      <c r="FO608" s="234"/>
      <c r="FP608" s="234"/>
      <c r="FQ608" s="234"/>
      <c r="FR608" s="234"/>
      <c r="FS608" s="234"/>
      <c r="FT608" s="234"/>
      <c r="FU608" s="234"/>
      <c r="FV608" s="234"/>
      <c r="FW608" s="234"/>
      <c r="FX608" s="234"/>
      <c r="FY608" s="234"/>
      <c r="FZ608" s="234"/>
      <c r="GA608" s="234"/>
      <c r="GB608" s="234"/>
      <c r="GC608" s="234"/>
      <c r="GD608" s="234"/>
      <c r="GE608" s="234"/>
      <c r="GF608" s="234"/>
      <c r="GG608" s="234"/>
      <c r="GH608" s="234"/>
      <c r="GI608" s="234"/>
      <c r="GJ608" s="234"/>
    </row>
    <row r="609" spans="2:192" ht="12.75" customHeight="1">
      <c r="B609" s="677"/>
      <c r="C609" s="106"/>
      <c r="D609" s="106"/>
      <c r="E609" s="106"/>
      <c r="F609" s="106"/>
      <c r="G609" s="106"/>
      <c r="H609" s="106"/>
      <c r="I609" s="106"/>
      <c r="J609" s="106"/>
      <c r="K609" s="106"/>
      <c r="L609" s="106"/>
      <c r="M609" s="106"/>
      <c r="N609" s="106"/>
      <c r="O609" s="106"/>
      <c r="P609" s="106"/>
      <c r="Q609" s="106"/>
      <c r="R609" s="106"/>
      <c r="S609" s="106"/>
      <c r="T609" s="106"/>
      <c r="U609" s="106"/>
      <c r="V609" s="106"/>
      <c r="W609" s="106"/>
      <c r="X609" s="106"/>
      <c r="Y609" s="106"/>
      <c r="Z609" s="106"/>
      <c r="AA609" s="106"/>
      <c r="AB609" s="106"/>
      <c r="AC609" s="106"/>
      <c r="AD609" s="106"/>
      <c r="AE609" s="106"/>
      <c r="AF609" s="106"/>
      <c r="AG609" s="106"/>
      <c r="AH609" s="106"/>
      <c r="AI609" s="106"/>
      <c r="AJ609" s="106"/>
      <c r="AK609" s="106"/>
      <c r="AL609" s="106"/>
      <c r="AM609" s="106"/>
      <c r="AN609" s="106"/>
      <c r="AO609" s="106"/>
      <c r="AP609" s="106"/>
      <c r="AQ609" s="106"/>
      <c r="AR609" s="106"/>
      <c r="AS609" s="106"/>
      <c r="AT609" s="106"/>
      <c r="AU609" s="106"/>
      <c r="AV609" s="106"/>
      <c r="AW609" s="106"/>
      <c r="AX609" s="106"/>
      <c r="AY609" s="106"/>
      <c r="AZ609" s="106"/>
      <c r="BA609" s="106"/>
      <c r="BB609" s="106"/>
      <c r="BC609" s="106"/>
      <c r="BD609" s="106"/>
      <c r="BE609" s="106"/>
      <c r="BF609" s="106"/>
      <c r="BG609" s="106"/>
      <c r="BH609" s="106"/>
      <c r="BI609" s="106"/>
      <c r="BJ609" s="106"/>
      <c r="BK609" s="106"/>
      <c r="BL609" s="106"/>
      <c r="BM609" s="106"/>
      <c r="BN609" s="106"/>
      <c r="BO609" s="106"/>
      <c r="BP609" s="106"/>
      <c r="BQ609" s="106"/>
      <c r="BR609" s="106"/>
      <c r="BS609" s="106"/>
      <c r="BT609" s="106"/>
      <c r="BU609" s="106"/>
      <c r="BV609" s="106"/>
      <c r="BW609" s="106"/>
      <c r="BX609" s="106"/>
      <c r="BY609" s="106"/>
      <c r="BZ609" s="106"/>
      <c r="CA609" s="106"/>
      <c r="CB609" s="106"/>
      <c r="CC609" s="106"/>
      <c r="CD609" s="106"/>
      <c r="CE609" s="106"/>
      <c r="CF609" s="106"/>
      <c r="CG609" s="106"/>
      <c r="CH609" s="106"/>
      <c r="CI609" s="106"/>
      <c r="CJ609" s="106"/>
      <c r="CK609" s="106"/>
      <c r="CL609" s="106"/>
      <c r="CM609" s="106"/>
      <c r="CN609" s="106"/>
      <c r="CO609" s="106"/>
      <c r="CP609" s="106"/>
      <c r="CQ609" s="106"/>
      <c r="CR609" s="106"/>
      <c r="CS609" s="106"/>
      <c r="CT609" s="106"/>
      <c r="CU609" s="106"/>
      <c r="CV609" s="106"/>
      <c r="CW609" s="106"/>
      <c r="CX609" s="106"/>
      <c r="CY609" s="106"/>
      <c r="CZ609" s="106"/>
      <c r="DA609" s="106"/>
      <c r="DB609" s="106"/>
      <c r="DC609" s="106"/>
      <c r="DD609" s="106"/>
      <c r="DE609" s="106"/>
      <c r="DF609" s="106"/>
      <c r="DG609" s="106"/>
      <c r="DH609" s="106"/>
      <c r="DI609" s="106"/>
      <c r="DJ609" s="106"/>
      <c r="DK609" s="106"/>
      <c r="DL609" s="106"/>
      <c r="DM609" s="106"/>
      <c r="DN609" s="106"/>
      <c r="DO609" s="106"/>
      <c r="DP609" s="106"/>
      <c r="DQ609" s="106"/>
      <c r="DR609" s="106"/>
      <c r="DS609" s="106"/>
      <c r="DT609" s="106"/>
      <c r="DU609" s="106"/>
      <c r="DV609" s="106"/>
      <c r="DW609" s="106"/>
      <c r="DX609" s="106"/>
      <c r="DY609" s="106"/>
      <c r="DZ609" s="106"/>
      <c r="EA609" s="106"/>
      <c r="EB609" s="106"/>
      <c r="EC609" s="106"/>
      <c r="ED609" s="106"/>
      <c r="EE609" s="106"/>
      <c r="EF609" s="106"/>
      <c r="EG609" s="106"/>
      <c r="EH609" s="106"/>
      <c r="EI609" s="106"/>
      <c r="EJ609" s="106"/>
      <c r="EK609" s="106"/>
      <c r="EL609" s="106"/>
      <c r="EM609" s="106"/>
      <c r="EN609" s="106"/>
      <c r="EO609" s="106"/>
      <c r="EP609" s="106"/>
      <c r="EQ609" s="106"/>
      <c r="ER609" s="106"/>
      <c r="ES609" s="106"/>
      <c r="ET609" s="106"/>
      <c r="EU609" s="106"/>
      <c r="EV609" s="106"/>
      <c r="EW609" s="106"/>
      <c r="EX609" s="106"/>
      <c r="EY609" s="106"/>
      <c r="EZ609" s="106"/>
      <c r="FA609" s="106"/>
      <c r="FB609" s="106"/>
      <c r="FC609" s="106"/>
      <c r="FD609" s="106"/>
      <c r="FE609" s="106"/>
      <c r="FF609" s="106"/>
      <c r="FG609" s="106"/>
      <c r="FH609" s="106"/>
      <c r="FI609" s="106"/>
      <c r="FJ609" s="106"/>
      <c r="FK609" s="106"/>
      <c r="FL609" s="106"/>
      <c r="FM609" s="106"/>
      <c r="FN609" s="106"/>
      <c r="FO609" s="106"/>
      <c r="FP609" s="106"/>
      <c r="FQ609" s="106"/>
      <c r="FR609" s="106"/>
      <c r="FS609" s="106"/>
      <c r="FT609" s="106"/>
      <c r="FU609" s="106"/>
      <c r="FV609" s="106"/>
      <c r="FW609" s="106"/>
      <c r="FX609" s="106"/>
      <c r="FY609" s="106"/>
      <c r="FZ609" s="106"/>
      <c r="GA609" s="106"/>
      <c r="GB609" s="106"/>
      <c r="GC609" s="106"/>
      <c r="GD609" s="106"/>
      <c r="GE609" s="106"/>
      <c r="GF609" s="106"/>
      <c r="GG609" s="106"/>
      <c r="GH609" s="106"/>
      <c r="GI609" s="106"/>
      <c r="GJ609" s="106"/>
    </row>
  </sheetData>
  <conditionalFormatting sqref="FB10:GJ11 GG12:GJ12 FB13:GJ48 FB50:GJ51">
    <cfRule type="cellIs" dxfId="10" priority="1" operator="lessThan">
      <formula>0</formula>
    </cfRule>
  </conditionalFormatting>
  <conditionalFormatting sqref="FC12:FF12 FH12:FK12 FM12:FP12 FR12:FU12 FW12:FZ12 GB12:GE12">
    <cfRule type="cellIs" dxfId="9" priority="2" operator="lessThan">
      <formula>0</formula>
    </cfRule>
  </conditionalFormatting>
  <pageMargins left="0.7" right="0.7" top="0.75" bottom="0.75" header="0.3" footer="0.3"/>
  <pageSetup orientation="portrait" r:id="rId1"/>
  <customProperties>
    <customPr name="Qube.Worksheet.Visibility" r:id="rId2"/>
  </customProperties>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CC284F-4076-4024-962B-358205C24490}">
  <sheetPr>
    <tabColor rgb="FF002060"/>
  </sheetPr>
  <dimension ref="A1:GJ572"/>
  <sheetViews>
    <sheetView showGridLines="0" zoomScaleNormal="100" workbookViewId="0">
      <pane xSplit="2" ySplit="8" topLeftCell="EW9" activePane="bottomRight" state="frozen"/>
      <selection activeCell="DD115" sqref="DD115"/>
      <selection pane="topRight" activeCell="DD115" sqref="DD115"/>
      <selection pane="bottomLeft" activeCell="DD115" sqref="DD115"/>
      <selection pane="bottomRight"/>
    </sheetView>
  </sheetViews>
  <sheetFormatPr defaultColWidth="9.109375" defaultRowHeight="12.75" customHeight="1" outlineLevelRow="1" outlineLevelCol="1"/>
  <cols>
    <col min="1" max="1" width="3.5546875" style="68" customWidth="1"/>
    <col min="2" max="2" width="79" style="677" bestFit="1" customWidth="1"/>
    <col min="3" max="3" width="10.5546875" style="94" hidden="1" customWidth="1" outlineLevel="1"/>
    <col min="4" max="6" width="10.5546875" style="142" hidden="1" customWidth="1" outlineLevel="1"/>
    <col min="7" max="7" width="10.5546875" style="142" customWidth="1" collapsed="1"/>
    <col min="8" max="8" width="10.5546875" style="94" hidden="1" customWidth="1" outlineLevel="1"/>
    <col min="9" max="11" width="10.5546875" style="142" hidden="1" customWidth="1" outlineLevel="1"/>
    <col min="12" max="12" width="10.5546875" style="142" customWidth="1" collapsed="1"/>
    <col min="13" max="13" width="10.5546875" style="94" hidden="1" customWidth="1" outlineLevel="1"/>
    <col min="14" max="16" width="10.5546875" style="142" hidden="1" customWidth="1" outlineLevel="1"/>
    <col min="17" max="17" width="10.5546875" style="142" customWidth="1" collapsed="1"/>
    <col min="18" max="18" width="10.5546875" style="94" hidden="1" customWidth="1" outlineLevel="1"/>
    <col min="19" max="21" width="10.5546875" style="142" hidden="1" customWidth="1" outlineLevel="1"/>
    <col min="22" max="22" width="10.5546875" style="142" customWidth="1" collapsed="1"/>
    <col min="23" max="23" width="10.5546875" style="94" hidden="1" customWidth="1" outlineLevel="1"/>
    <col min="24" max="26" width="10.5546875" style="142" hidden="1" customWidth="1" outlineLevel="1"/>
    <col min="27" max="27" width="10.5546875" style="142" customWidth="1" collapsed="1"/>
    <col min="28" max="28" width="10.5546875" style="94" hidden="1" customWidth="1" outlineLevel="1"/>
    <col min="29" max="31" width="10.5546875" style="142" hidden="1" customWidth="1" outlineLevel="1"/>
    <col min="32" max="32" width="10.5546875" style="142" customWidth="1" collapsed="1"/>
    <col min="33" max="33" width="10.5546875" style="94" hidden="1" customWidth="1" outlineLevel="1"/>
    <col min="34" max="36" width="10.5546875" style="142" hidden="1" customWidth="1" outlineLevel="1"/>
    <col min="37" max="37" width="10.5546875" style="142" customWidth="1" collapsed="1"/>
    <col min="38" max="38" width="10.5546875" style="94" hidden="1" customWidth="1" outlineLevel="1"/>
    <col min="39" max="41" width="10.5546875" style="142" hidden="1" customWidth="1" outlineLevel="1"/>
    <col min="42" max="42" width="10.5546875" style="142" customWidth="1" collapsed="1"/>
    <col min="43" max="43" width="10.5546875" style="94" hidden="1" customWidth="1" outlineLevel="1"/>
    <col min="44" max="46" width="10.5546875" style="142" hidden="1" customWidth="1" outlineLevel="1"/>
    <col min="47" max="47" width="10.5546875" style="142" customWidth="1" collapsed="1"/>
    <col min="48" max="48" width="10.5546875" style="94" hidden="1" customWidth="1" outlineLevel="1"/>
    <col min="49" max="51" width="10.5546875" style="142" hidden="1" customWidth="1" outlineLevel="1"/>
    <col min="52" max="52" width="10.5546875" style="142" customWidth="1" collapsed="1"/>
    <col min="53" max="53" width="10.5546875" style="94" hidden="1" customWidth="1" outlineLevel="1"/>
    <col min="54" max="56" width="10.5546875" style="142" hidden="1" customWidth="1" outlineLevel="1"/>
    <col min="57" max="57" width="10.5546875" style="142" customWidth="1" collapsed="1"/>
    <col min="58" max="58" width="10.5546875" style="94" hidden="1" customWidth="1" outlineLevel="1"/>
    <col min="59" max="61" width="10.5546875" style="142" hidden="1" customWidth="1" outlineLevel="1"/>
    <col min="62" max="62" width="10.5546875" style="142" customWidth="1" collapsed="1"/>
    <col min="63" max="63" width="10.5546875" style="94" hidden="1" customWidth="1" outlineLevel="1"/>
    <col min="64" max="66" width="10.5546875" style="142" hidden="1" customWidth="1" outlineLevel="1"/>
    <col min="67" max="67" width="10.5546875" style="142" customWidth="1" collapsed="1"/>
    <col min="68" max="68" width="10.5546875" style="94" hidden="1" customWidth="1" outlineLevel="1"/>
    <col min="69" max="71" width="10.5546875" style="142" hidden="1" customWidth="1" outlineLevel="1"/>
    <col min="72" max="72" width="10.5546875" style="142" customWidth="1" collapsed="1"/>
    <col min="73" max="73" width="10.5546875" style="94" hidden="1" customWidth="1" outlineLevel="1"/>
    <col min="74" max="76" width="10.5546875" style="142" hidden="1" customWidth="1" outlineLevel="1"/>
    <col min="77" max="77" width="10.5546875" style="142" customWidth="1" collapsed="1"/>
    <col min="78" max="78" width="10.5546875" style="94" hidden="1" customWidth="1" outlineLevel="1"/>
    <col min="79" max="81" width="10.5546875" style="142" hidden="1" customWidth="1" outlineLevel="1"/>
    <col min="82" max="82" width="10.5546875" style="142" customWidth="1" collapsed="1"/>
    <col min="83" max="83" width="10.5546875" style="94" hidden="1" customWidth="1" outlineLevel="1"/>
    <col min="84" max="86" width="10.5546875" style="142" hidden="1" customWidth="1" outlineLevel="1"/>
    <col min="87" max="87" width="10.5546875" style="142" customWidth="1" collapsed="1"/>
    <col min="88" max="88" width="10.5546875" style="94" hidden="1" customWidth="1" outlineLevel="1"/>
    <col min="89" max="91" width="10.5546875" style="142" hidden="1" customWidth="1" outlineLevel="1"/>
    <col min="92" max="92" width="10.5546875" style="142" customWidth="1" collapsed="1"/>
    <col min="93" max="93" width="10.5546875" style="94" hidden="1" customWidth="1" outlineLevel="1"/>
    <col min="94" max="96" width="10.5546875" style="142" hidden="1" customWidth="1" outlineLevel="1"/>
    <col min="97" max="97" width="10.5546875" style="142" customWidth="1" collapsed="1"/>
    <col min="98" max="98" width="10.5546875" style="94" hidden="1" customWidth="1" outlineLevel="1"/>
    <col min="99" max="101" width="10.5546875" style="142" hidden="1" customWidth="1" outlineLevel="1"/>
    <col min="102" max="102" width="10.5546875" style="142" customWidth="1" collapsed="1"/>
    <col min="103" max="103" width="10.5546875" style="94" hidden="1" customWidth="1" outlineLevel="1"/>
    <col min="104" max="106" width="10.5546875" style="142" hidden="1" customWidth="1" outlineLevel="1"/>
    <col min="107" max="107" width="10.5546875" style="142" customWidth="1" collapsed="1"/>
    <col min="108" max="108" width="10.5546875" style="94" hidden="1" customWidth="1" outlineLevel="1"/>
    <col min="109" max="111" width="10.5546875" style="142" hidden="1" customWidth="1" outlineLevel="1"/>
    <col min="112" max="112" width="10.5546875" style="142" customWidth="1" collapsed="1"/>
    <col min="113" max="113" width="10.5546875" style="94" hidden="1" customWidth="1" outlineLevel="1"/>
    <col min="114" max="116" width="10.5546875" style="142" hidden="1" customWidth="1" outlineLevel="1"/>
    <col min="117" max="117" width="10.5546875" style="142" customWidth="1" collapsed="1"/>
    <col min="118" max="118" width="10.5546875" style="94" hidden="1" customWidth="1" outlineLevel="1"/>
    <col min="119" max="121" width="10.5546875" style="142" hidden="1" customWidth="1" outlineLevel="1"/>
    <col min="122" max="122" width="10.5546875" style="142" customWidth="1" collapsed="1"/>
    <col min="123" max="123" width="10.5546875" style="94" hidden="1" customWidth="1" outlineLevel="1"/>
    <col min="124" max="126" width="10.5546875" style="142" hidden="1" customWidth="1" outlineLevel="1"/>
    <col min="127" max="127" width="10.5546875" style="142" customWidth="1" collapsed="1"/>
    <col min="128" max="128" width="10.5546875" style="94" hidden="1" customWidth="1" outlineLevel="1"/>
    <col min="129" max="131" width="10.5546875" style="142" hidden="1" customWidth="1" outlineLevel="1"/>
    <col min="132" max="132" width="10.5546875" style="142" customWidth="1" collapsed="1"/>
    <col min="133" max="133" width="10.5546875" style="94" hidden="1" customWidth="1" outlineLevel="1"/>
    <col min="134" max="136" width="10.5546875" style="142" hidden="1" customWidth="1" outlineLevel="1"/>
    <col min="137" max="137" width="10.5546875" style="142" customWidth="1" collapsed="1"/>
    <col min="138" max="138" width="10.5546875" style="94" hidden="1" customWidth="1" outlineLevel="1"/>
    <col min="139" max="141" width="10.5546875" style="142" hidden="1" customWidth="1" outlineLevel="1"/>
    <col min="142" max="142" width="10.5546875" style="142" customWidth="1" collapsed="1"/>
    <col min="143" max="143" width="10.5546875" style="94" hidden="1" customWidth="1" outlineLevel="1"/>
    <col min="144" max="146" width="10.5546875" style="142" hidden="1" customWidth="1" outlineLevel="1"/>
    <col min="147" max="147" width="10.5546875" style="142" customWidth="1" collapsed="1"/>
    <col min="148" max="148" width="10.5546875" style="94" hidden="1" customWidth="1" outlineLevel="1"/>
    <col min="149" max="149" width="10.5546875" style="142" hidden="1" customWidth="1" outlineLevel="1"/>
    <col min="150" max="150" width="12.44140625" style="142" hidden="1" customWidth="1" outlineLevel="1"/>
    <col min="151" max="151" width="10.5546875" style="142" hidden="1" customWidth="1" outlineLevel="1"/>
    <col min="152" max="152" width="10.5546875" style="142" customWidth="1" collapsed="1"/>
    <col min="153" max="153" width="10.5546875" style="94" customWidth="1" outlineLevel="1"/>
    <col min="154" max="156" width="10.5546875" style="142" customWidth="1" outlineLevel="1"/>
    <col min="157" max="157" width="10.5546875" style="142" customWidth="1"/>
    <col min="158" max="158" width="10.5546875" style="94" customWidth="1" outlineLevel="1"/>
    <col min="159" max="161" width="10.5546875" style="142" customWidth="1" outlineLevel="1"/>
    <col min="162" max="162" width="10.5546875" style="142" customWidth="1"/>
    <col min="163" max="163" width="10.5546875" style="94" customWidth="1" outlineLevel="1"/>
    <col min="164" max="166" width="10.5546875" style="142" customWidth="1" outlineLevel="1"/>
    <col min="167" max="167" width="10.5546875" style="142" customWidth="1"/>
    <col min="168" max="168" width="10.5546875" style="94" hidden="1" customWidth="1" outlineLevel="1"/>
    <col min="169" max="171" width="10.5546875" style="142" hidden="1" customWidth="1" outlineLevel="1"/>
    <col min="172" max="172" width="10.5546875" style="142" customWidth="1" collapsed="1"/>
    <col min="173" max="173" width="10.5546875" style="94" hidden="1" customWidth="1" outlineLevel="1"/>
    <col min="174" max="176" width="10.5546875" style="142" hidden="1" customWidth="1" outlineLevel="1"/>
    <col min="177" max="177" width="10.5546875" style="142" customWidth="1" collapsed="1"/>
    <col min="178" max="178" width="10.5546875" style="94" hidden="1" customWidth="1" outlineLevel="1"/>
    <col min="179" max="181" width="10.5546875" style="142" hidden="1" customWidth="1" outlineLevel="1"/>
    <col min="182" max="182" width="10.5546875" style="142" customWidth="1" collapsed="1"/>
    <col min="183" max="183" width="10.5546875" style="94" hidden="1" customWidth="1" outlineLevel="1"/>
    <col min="184" max="186" width="10.5546875" style="142" hidden="1" customWidth="1" outlineLevel="1"/>
    <col min="187" max="187" width="10.5546875" style="142" customWidth="1" collapsed="1"/>
    <col min="188" max="188" width="10.5546875" style="94" hidden="1" customWidth="1" outlineLevel="1"/>
    <col min="189" max="191" width="10.5546875" style="142" hidden="1" customWidth="1" outlineLevel="1"/>
    <col min="192" max="192" width="10.5546875" style="142" customWidth="1" collapsed="1"/>
    <col min="193" max="16384" width="9.109375" style="93"/>
  </cols>
  <sheetData>
    <row r="1" spans="1:192" ht="12.75" customHeight="1">
      <c r="D1" s="95"/>
      <c r="E1" s="95"/>
      <c r="F1" s="95"/>
      <c r="G1" s="95"/>
      <c r="I1" s="95"/>
      <c r="J1" s="95"/>
      <c r="K1" s="95"/>
      <c r="L1" s="95"/>
      <c r="N1" s="95"/>
      <c r="O1" s="95"/>
      <c r="P1" s="95"/>
      <c r="Q1" s="95"/>
      <c r="S1" s="95"/>
      <c r="T1" s="95"/>
      <c r="U1" s="95"/>
      <c r="V1" s="95"/>
      <c r="X1" s="95"/>
      <c r="Y1" s="95"/>
      <c r="Z1" s="95"/>
      <c r="AA1" s="95"/>
      <c r="AC1" s="95"/>
      <c r="AD1" s="95"/>
      <c r="AE1" s="95"/>
      <c r="AF1" s="95"/>
      <c r="AH1" s="95"/>
      <c r="AI1" s="95"/>
      <c r="AJ1" s="95"/>
      <c r="AK1" s="95"/>
      <c r="AM1" s="95"/>
      <c r="AN1" s="95"/>
      <c r="AO1" s="95"/>
      <c r="AP1" s="95"/>
      <c r="AR1" s="95"/>
      <c r="AS1" s="95"/>
      <c r="AT1" s="95"/>
      <c r="AU1" s="95"/>
      <c r="AW1" s="95"/>
      <c r="AX1" s="95"/>
      <c r="AY1" s="95"/>
      <c r="AZ1" s="95"/>
      <c r="BB1" s="95"/>
      <c r="BC1" s="95"/>
      <c r="BD1" s="95"/>
      <c r="BE1" s="95"/>
      <c r="BG1" s="95"/>
      <c r="BH1" s="95"/>
      <c r="BI1" s="95"/>
      <c r="BJ1" s="95"/>
      <c r="BL1" s="95"/>
      <c r="BM1" s="95"/>
      <c r="BN1" s="95"/>
      <c r="BO1" s="95"/>
      <c r="BQ1" s="95"/>
      <c r="BR1" s="95"/>
      <c r="BS1" s="95"/>
      <c r="BT1" s="95"/>
      <c r="BV1" s="95"/>
      <c r="BW1" s="95"/>
      <c r="BX1" s="95"/>
      <c r="BY1" s="95"/>
      <c r="CA1" s="95"/>
      <c r="CB1" s="95"/>
      <c r="CC1" s="95"/>
      <c r="CD1" s="95"/>
      <c r="CF1" s="95"/>
      <c r="CG1" s="95"/>
      <c r="CH1" s="95"/>
      <c r="CI1" s="95"/>
      <c r="CK1" s="95"/>
      <c r="CL1" s="95"/>
      <c r="CM1" s="95"/>
      <c r="CN1" s="95"/>
      <c r="CP1" s="95"/>
      <c r="CQ1" s="95"/>
      <c r="CR1" s="95"/>
      <c r="CS1" s="95"/>
      <c r="CU1" s="95"/>
      <c r="CV1" s="95"/>
      <c r="CW1" s="95"/>
      <c r="CX1" s="95"/>
      <c r="CZ1" s="95"/>
      <c r="DA1" s="95"/>
      <c r="DB1" s="95"/>
      <c r="DC1" s="95"/>
      <c r="DE1" s="95"/>
      <c r="DF1" s="95"/>
      <c r="DG1" s="95"/>
      <c r="DH1" s="95"/>
      <c r="DJ1" s="95"/>
      <c r="DK1" s="95"/>
      <c r="DL1" s="95"/>
      <c r="DM1" s="95"/>
      <c r="DO1" s="95"/>
      <c r="DP1" s="95"/>
      <c r="DQ1" s="95"/>
      <c r="DR1" s="95"/>
      <c r="DT1" s="95"/>
      <c r="DU1" s="95"/>
      <c r="DV1" s="95"/>
      <c r="DW1" s="95"/>
      <c r="DY1" s="95"/>
      <c r="DZ1" s="95"/>
      <c r="EA1" s="95"/>
      <c r="EB1" s="95"/>
      <c r="ED1" s="95"/>
      <c r="EE1" s="95"/>
      <c r="EF1" s="95"/>
      <c r="EG1" s="95"/>
      <c r="EI1" s="95"/>
      <c r="EJ1" s="95"/>
      <c r="EK1" s="95"/>
      <c r="EL1" s="95"/>
      <c r="EN1" s="95"/>
      <c r="EO1" s="95"/>
      <c r="EP1" s="95"/>
      <c r="EQ1" s="95"/>
      <c r="ES1" s="95"/>
      <c r="ET1" s="95"/>
      <c r="EU1" s="95"/>
      <c r="EV1" s="95"/>
      <c r="EX1" s="95"/>
      <c r="EY1" s="95"/>
      <c r="EZ1" s="95"/>
      <c r="FA1" s="95"/>
      <c r="FC1" s="95"/>
      <c r="FD1" s="95"/>
      <c r="FE1" s="95"/>
      <c r="FF1" s="95"/>
      <c r="FH1" s="95"/>
      <c r="FI1" s="95"/>
      <c r="FJ1" s="95"/>
      <c r="FK1" s="95"/>
      <c r="FM1" s="95"/>
      <c r="FN1" s="95"/>
      <c r="FO1" s="95"/>
      <c r="FP1" s="95"/>
      <c r="FR1" s="95"/>
      <c r="FS1" s="95"/>
      <c r="FT1" s="95"/>
      <c r="FU1" s="95"/>
      <c r="FW1" s="95"/>
      <c r="FX1" s="95"/>
      <c r="FY1" s="95"/>
      <c r="FZ1" s="95"/>
      <c r="GB1" s="95"/>
      <c r="GC1" s="95"/>
      <c r="GD1" s="95"/>
      <c r="GE1" s="95"/>
      <c r="GG1" s="95"/>
      <c r="GH1" s="95"/>
      <c r="GI1" s="95"/>
      <c r="GJ1" s="95"/>
    </row>
    <row r="2" spans="1:192" ht="12.75" customHeight="1">
      <c r="B2" s="1434" t="s">
        <v>63</v>
      </c>
      <c r="D2" s="95"/>
      <c r="E2" s="95"/>
      <c r="F2" s="95"/>
      <c r="G2" s="95"/>
      <c r="I2" s="95"/>
      <c r="J2" s="95"/>
      <c r="K2" s="95"/>
      <c r="L2" s="95"/>
      <c r="N2" s="95"/>
      <c r="O2" s="95"/>
      <c r="P2" s="95"/>
      <c r="Q2" s="95"/>
      <c r="S2" s="95"/>
      <c r="T2" s="95"/>
      <c r="U2" s="95"/>
      <c r="V2" s="95"/>
      <c r="X2" s="95"/>
      <c r="Y2" s="95"/>
      <c r="Z2" s="95"/>
      <c r="AA2" s="95"/>
      <c r="AC2" s="95"/>
      <c r="AD2" s="95"/>
      <c r="AE2" s="95"/>
      <c r="AF2" s="95"/>
      <c r="AH2" s="95"/>
      <c r="AI2" s="95"/>
      <c r="AJ2" s="95"/>
      <c r="AK2" s="95"/>
      <c r="AM2" s="95"/>
      <c r="AN2" s="95"/>
      <c r="AO2" s="95"/>
      <c r="AP2" s="95"/>
      <c r="AR2" s="95"/>
      <c r="AS2" s="95"/>
      <c r="AT2" s="95"/>
      <c r="AU2" s="95"/>
      <c r="AW2" s="95"/>
      <c r="AX2" s="95"/>
      <c r="AY2" s="95"/>
      <c r="AZ2" s="95"/>
      <c r="BB2" s="95"/>
      <c r="BC2" s="95"/>
      <c r="BD2" s="95"/>
      <c r="BE2" s="95"/>
      <c r="BG2" s="95"/>
      <c r="BH2" s="95"/>
      <c r="BI2" s="95"/>
      <c r="BJ2" s="95"/>
      <c r="BL2" s="95"/>
      <c r="BM2" s="95"/>
      <c r="BN2" s="95"/>
      <c r="BO2" s="95"/>
      <c r="BQ2" s="95"/>
      <c r="BR2" s="95"/>
      <c r="BS2" s="95"/>
      <c r="BT2" s="95"/>
      <c r="BV2" s="95"/>
      <c r="BW2" s="95"/>
      <c r="BX2" s="95"/>
      <c r="BY2" s="95"/>
      <c r="CA2" s="95"/>
      <c r="CB2" s="95"/>
      <c r="CC2" s="95"/>
      <c r="CD2" s="95"/>
      <c r="CF2" s="95"/>
      <c r="CG2" s="95"/>
      <c r="CH2" s="95"/>
      <c r="CI2" s="95"/>
      <c r="CK2" s="95"/>
      <c r="CL2" s="95"/>
      <c r="CM2" s="95"/>
      <c r="CN2" s="95"/>
      <c r="CP2" s="95"/>
      <c r="CQ2" s="95"/>
      <c r="CR2" s="95"/>
      <c r="CS2" s="95"/>
      <c r="CU2" s="95"/>
      <c r="CV2" s="95"/>
      <c r="CW2" s="95"/>
      <c r="CX2" s="95"/>
      <c r="CZ2" s="95"/>
      <c r="DA2" s="95"/>
      <c r="DB2" s="95"/>
      <c r="DC2" s="95"/>
      <c r="DE2" s="95"/>
      <c r="DF2" s="95"/>
      <c r="DG2" s="95"/>
      <c r="DH2" s="95"/>
      <c r="DJ2" s="95"/>
      <c r="DK2" s="95"/>
      <c r="DL2" s="95"/>
      <c r="DM2" s="95"/>
      <c r="DO2" s="95"/>
      <c r="DP2" s="95"/>
      <c r="DQ2" s="95"/>
      <c r="DR2" s="95"/>
      <c r="DT2" s="95"/>
      <c r="DU2" s="95"/>
      <c r="DV2" s="95"/>
      <c r="DW2" s="95"/>
      <c r="DY2" s="95"/>
      <c r="DZ2" s="95"/>
      <c r="EA2" s="95"/>
      <c r="EB2" s="95"/>
      <c r="ED2" s="95"/>
      <c r="EE2" s="95"/>
      <c r="EF2" s="95"/>
      <c r="EG2" s="95"/>
      <c r="EI2" s="95"/>
      <c r="EJ2" s="95"/>
      <c r="EK2" s="95"/>
      <c r="EL2" s="95"/>
      <c r="EN2" s="95"/>
      <c r="EO2" s="95"/>
      <c r="EP2" s="95"/>
      <c r="EQ2" s="95"/>
      <c r="ES2" s="95"/>
      <c r="ET2" s="95"/>
      <c r="EU2" s="95"/>
      <c r="EV2" s="95"/>
      <c r="EX2" s="95"/>
      <c r="EY2" s="95"/>
      <c r="EZ2" s="95"/>
      <c r="FA2" s="95"/>
      <c r="FC2" s="95"/>
      <c r="FD2" s="95"/>
      <c r="FE2" s="95"/>
      <c r="FF2" s="95"/>
      <c r="FH2" s="95"/>
      <c r="FI2" s="95"/>
      <c r="FJ2" s="95"/>
      <c r="FK2" s="95"/>
      <c r="FM2" s="95"/>
      <c r="FN2" s="95"/>
      <c r="FO2" s="95"/>
      <c r="FP2" s="95"/>
      <c r="FR2" s="95"/>
      <c r="FS2" s="95"/>
      <c r="FT2" s="95"/>
      <c r="FU2" s="95"/>
      <c r="FW2" s="95"/>
      <c r="FX2" s="95"/>
      <c r="FY2" s="95"/>
      <c r="FZ2" s="95"/>
      <c r="GB2" s="95"/>
      <c r="GC2" s="95"/>
      <c r="GD2" s="95"/>
      <c r="GE2" s="95"/>
      <c r="GG2" s="95"/>
      <c r="GH2" s="95"/>
      <c r="GI2" s="95"/>
      <c r="GJ2" s="95"/>
    </row>
    <row r="3" spans="1:192" ht="12.75" customHeight="1">
      <c r="B3" s="1434" t="s">
        <v>64</v>
      </c>
      <c r="D3" s="94"/>
      <c r="E3" s="94"/>
      <c r="F3" s="94"/>
      <c r="G3" s="95"/>
      <c r="I3" s="94"/>
      <c r="J3" s="94"/>
      <c r="K3" s="94"/>
      <c r="L3" s="95"/>
      <c r="N3" s="94"/>
      <c r="O3" s="94"/>
      <c r="P3" s="94"/>
      <c r="Q3" s="95"/>
      <c r="S3" s="94"/>
      <c r="T3" s="94"/>
      <c r="U3" s="94"/>
      <c r="V3" s="95"/>
      <c r="X3" s="94"/>
      <c r="Y3" s="94"/>
      <c r="Z3" s="94"/>
      <c r="AA3" s="95"/>
      <c r="AC3" s="94"/>
      <c r="AD3" s="94"/>
      <c r="AE3" s="94"/>
      <c r="AF3" s="95"/>
      <c r="AH3" s="94"/>
      <c r="AI3" s="94"/>
      <c r="AJ3" s="94"/>
      <c r="AK3" s="95"/>
      <c r="AM3" s="94"/>
      <c r="AN3" s="94"/>
      <c r="AO3" s="94"/>
      <c r="AP3" s="95"/>
      <c r="AR3" s="94"/>
      <c r="AS3" s="94"/>
      <c r="AT3" s="94"/>
      <c r="AU3" s="95"/>
      <c r="AW3" s="94"/>
      <c r="AX3" s="94"/>
      <c r="AY3" s="94"/>
      <c r="AZ3" s="95"/>
      <c r="BB3" s="94"/>
      <c r="BC3" s="94"/>
      <c r="BD3" s="94"/>
      <c r="BE3" s="95"/>
      <c r="BG3" s="94"/>
      <c r="BH3" s="94"/>
      <c r="BI3" s="94"/>
      <c r="BJ3" s="95"/>
      <c r="BL3" s="94"/>
      <c r="BM3" s="94"/>
      <c r="BN3" s="94"/>
      <c r="BO3" s="95"/>
      <c r="BQ3" s="94"/>
      <c r="BR3" s="94"/>
      <c r="BS3" s="94"/>
      <c r="BT3" s="95"/>
      <c r="BV3" s="94"/>
      <c r="BW3" s="94"/>
      <c r="BX3" s="94"/>
      <c r="BY3" s="95"/>
      <c r="CA3" s="94"/>
      <c r="CB3" s="94"/>
      <c r="CC3" s="94"/>
      <c r="CD3" s="95"/>
      <c r="CF3" s="94"/>
      <c r="CG3" s="94"/>
      <c r="CH3" s="94"/>
      <c r="CI3" s="95"/>
      <c r="CK3" s="94"/>
      <c r="CL3" s="94"/>
      <c r="CM3" s="94"/>
      <c r="CN3" s="95"/>
      <c r="CP3" s="94"/>
      <c r="CQ3" s="94"/>
      <c r="CR3" s="94"/>
      <c r="CS3" s="95"/>
      <c r="CU3" s="94"/>
      <c r="CV3" s="94"/>
      <c r="CW3" s="94"/>
      <c r="CX3" s="95"/>
      <c r="CZ3" s="94"/>
      <c r="DA3" s="94"/>
      <c r="DB3" s="94"/>
      <c r="DC3" s="95"/>
      <c r="DE3" s="94"/>
      <c r="DF3" s="94"/>
      <c r="DG3" s="94"/>
      <c r="DH3" s="95"/>
      <c r="DJ3" s="94"/>
      <c r="DK3" s="94"/>
      <c r="DL3" s="94"/>
      <c r="DM3" s="95"/>
      <c r="DO3" s="94"/>
      <c r="DP3" s="94"/>
      <c r="DQ3" s="94"/>
      <c r="DR3" s="95"/>
      <c r="DT3" s="94"/>
      <c r="DU3" s="94"/>
      <c r="DV3" s="94"/>
      <c r="DW3" s="95"/>
      <c r="DY3" s="94"/>
      <c r="DZ3" s="94"/>
      <c r="EA3" s="94"/>
      <c r="EB3" s="95"/>
      <c r="ED3" s="94"/>
      <c r="EE3" s="94"/>
      <c r="EF3" s="94"/>
      <c r="EG3" s="95"/>
      <c r="EI3" s="94"/>
      <c r="EJ3" s="94"/>
      <c r="EK3" s="94"/>
      <c r="EL3" s="95"/>
      <c r="EN3" s="94"/>
      <c r="EO3" s="94"/>
      <c r="EP3" s="94"/>
      <c r="EQ3" s="95"/>
      <c r="ES3" s="94"/>
      <c r="ET3" s="94"/>
      <c r="EU3" s="94"/>
      <c r="EV3" s="95"/>
      <c r="EX3" s="94"/>
      <c r="EY3" s="94"/>
      <c r="EZ3" s="94"/>
      <c r="FA3" s="95"/>
      <c r="FC3" s="94"/>
      <c r="FD3" s="94"/>
      <c r="FE3" s="94"/>
      <c r="FF3" s="95"/>
      <c r="FH3" s="94"/>
      <c r="FI3" s="94"/>
      <c r="FJ3" s="94"/>
      <c r="FK3" s="95"/>
      <c r="FM3" s="94"/>
      <c r="FN3" s="94"/>
      <c r="FO3" s="94"/>
      <c r="FP3" s="95"/>
      <c r="FR3" s="94"/>
      <c r="FS3" s="94"/>
      <c r="FT3" s="94"/>
      <c r="FU3" s="95"/>
      <c r="FW3" s="94"/>
      <c r="FX3" s="94"/>
      <c r="FY3" s="94"/>
      <c r="FZ3" s="95"/>
      <c r="GB3" s="94"/>
      <c r="GC3" s="94"/>
      <c r="GD3" s="94"/>
      <c r="GE3" s="95"/>
      <c r="GG3" s="94"/>
      <c r="GH3" s="94"/>
      <c r="GI3" s="94"/>
      <c r="GJ3" s="95"/>
    </row>
    <row r="4" spans="1:192" ht="12.75" customHeight="1">
      <c r="B4" s="1434" t="s">
        <v>27</v>
      </c>
      <c r="C4" s="143"/>
      <c r="D4" s="95"/>
      <c r="E4" s="95"/>
      <c r="F4" s="95"/>
      <c r="G4" s="243"/>
      <c r="H4" s="143"/>
      <c r="I4" s="95"/>
      <c r="J4" s="95"/>
      <c r="K4" s="95"/>
      <c r="L4" s="243"/>
      <c r="M4" s="143"/>
      <c r="N4" s="95"/>
      <c r="O4" s="95"/>
      <c r="P4" s="95"/>
      <c r="Q4" s="243"/>
      <c r="R4" s="143"/>
      <c r="S4" s="95"/>
      <c r="T4" s="95"/>
      <c r="U4" s="95"/>
      <c r="V4" s="243"/>
      <c r="W4" s="143"/>
      <c r="X4" s="95"/>
      <c r="Y4" s="95"/>
      <c r="Z4" s="95"/>
      <c r="AA4" s="243"/>
      <c r="AB4" s="143"/>
      <c r="AC4" s="95"/>
      <c r="AD4" s="95"/>
      <c r="AE4" s="95"/>
      <c r="AF4" s="243"/>
      <c r="AG4" s="967"/>
      <c r="AH4" s="967"/>
      <c r="AI4" s="967" t="s">
        <v>420</v>
      </c>
      <c r="AJ4" s="967"/>
      <c r="AK4" s="967"/>
      <c r="AL4" s="143"/>
      <c r="AM4" s="95"/>
      <c r="AN4" s="95"/>
      <c r="AO4" s="95"/>
      <c r="AP4" s="243"/>
      <c r="AQ4" s="968"/>
      <c r="AR4" s="969"/>
      <c r="AS4" s="970" t="s">
        <v>418</v>
      </c>
      <c r="AT4" s="969"/>
      <c r="AU4" s="969"/>
      <c r="AV4" s="143"/>
      <c r="AW4" s="95"/>
      <c r="AX4" s="95"/>
      <c r="AY4" s="95"/>
      <c r="AZ4" s="243"/>
      <c r="BA4" s="143"/>
      <c r="BB4" s="95"/>
      <c r="BC4" s="95"/>
      <c r="BD4" s="95"/>
      <c r="BE4" s="243"/>
      <c r="BF4" s="143"/>
      <c r="BG4" s="95"/>
      <c r="BH4" s="95"/>
      <c r="BI4" s="95"/>
      <c r="BJ4" s="243"/>
      <c r="BK4" s="143"/>
      <c r="BL4" s="95"/>
      <c r="BM4" s="95"/>
      <c r="BN4" s="95"/>
      <c r="BO4" s="243"/>
      <c r="BP4" s="143"/>
      <c r="BQ4" s="95"/>
      <c r="BR4" s="95"/>
      <c r="BS4" s="95"/>
      <c r="BT4" s="243"/>
      <c r="BU4" s="143"/>
      <c r="BV4" s="95"/>
      <c r="BW4" s="95"/>
      <c r="BX4" s="95"/>
      <c r="BY4" s="243"/>
      <c r="BZ4" s="143"/>
      <c r="CA4" s="95"/>
      <c r="CB4" s="95"/>
      <c r="CC4" s="95"/>
      <c r="CD4" s="243"/>
      <c r="CE4" s="143"/>
      <c r="CF4" s="95"/>
      <c r="CG4" s="95"/>
      <c r="CH4" s="95"/>
      <c r="CI4" s="243"/>
      <c r="CJ4" s="143"/>
      <c r="CK4" s="95"/>
      <c r="CL4" s="95"/>
      <c r="CM4" s="95"/>
      <c r="CN4" s="243"/>
      <c r="CO4" s="143"/>
      <c r="CP4" s="95"/>
      <c r="CQ4" s="95"/>
      <c r="CR4" s="95"/>
      <c r="CS4" s="243"/>
      <c r="CT4" s="143"/>
      <c r="CU4" s="95"/>
      <c r="CV4" s="95"/>
      <c r="CW4" s="95"/>
      <c r="CX4" s="243"/>
      <c r="CY4" s="143"/>
      <c r="CZ4" s="95"/>
      <c r="DA4" s="95"/>
      <c r="DB4" s="95"/>
      <c r="DC4" s="243"/>
      <c r="DD4" s="143"/>
      <c r="DE4" s="95"/>
      <c r="DF4" s="95"/>
      <c r="DG4" s="95"/>
      <c r="DH4" s="243"/>
      <c r="DI4" s="968"/>
      <c r="DJ4" s="969"/>
      <c r="DK4" s="970" t="s">
        <v>419</v>
      </c>
      <c r="DL4" s="969"/>
      <c r="DM4" s="969"/>
      <c r="DN4" s="143"/>
      <c r="DO4" s="95"/>
      <c r="DP4" s="95"/>
      <c r="DQ4" s="95"/>
      <c r="DR4" s="243"/>
      <c r="DS4" s="143"/>
      <c r="DT4" s="95"/>
      <c r="DU4" s="95"/>
      <c r="DV4" s="95"/>
      <c r="DW4" s="243"/>
      <c r="DX4" s="143"/>
      <c r="DY4" s="95"/>
      <c r="DZ4" s="95"/>
      <c r="EA4" s="95"/>
      <c r="EB4" s="243"/>
      <c r="EC4" s="143"/>
      <c r="ED4" s="95"/>
      <c r="EE4" s="95"/>
      <c r="EF4" s="95"/>
      <c r="EG4" s="243"/>
      <c r="EH4" s="143"/>
      <c r="EI4" s="95"/>
      <c r="EJ4" s="95"/>
      <c r="EK4" s="95"/>
      <c r="EL4" s="243"/>
      <c r="EM4" s="143"/>
      <c r="EN4" s="95"/>
      <c r="EO4" s="95"/>
      <c r="EP4" s="95"/>
      <c r="EQ4" s="243"/>
      <c r="ER4" s="143"/>
      <c r="ES4" s="95"/>
      <c r="ET4" s="95"/>
      <c r="EU4" s="95"/>
      <c r="EV4" s="243"/>
      <c r="EW4" s="143"/>
      <c r="EX4" s="95"/>
      <c r="EY4" s="95"/>
      <c r="EZ4" s="95"/>
      <c r="FA4" s="243"/>
      <c r="FB4" s="143"/>
      <c r="FC4" s="95"/>
      <c r="FD4" s="95"/>
      <c r="FE4" s="95"/>
      <c r="FF4" s="243"/>
      <c r="FG4" s="143"/>
      <c r="FH4" s="95"/>
      <c r="FI4" s="95"/>
      <c r="FJ4" s="95"/>
      <c r="FK4" s="243"/>
      <c r="FL4" s="143"/>
      <c r="FM4" s="95"/>
      <c r="FN4" s="95"/>
      <c r="FO4" s="95"/>
      <c r="FP4" s="243"/>
      <c r="FQ4" s="143"/>
      <c r="FR4" s="95"/>
      <c r="FS4" s="95"/>
      <c r="FT4" s="95"/>
      <c r="FU4" s="243"/>
      <c r="FV4" s="143"/>
      <c r="FW4" s="95"/>
      <c r="FX4" s="95"/>
      <c r="FY4" s="95"/>
      <c r="FZ4" s="243"/>
      <c r="GA4" s="143"/>
      <c r="GB4" s="95"/>
      <c r="GC4" s="95"/>
      <c r="GD4" s="95"/>
      <c r="GE4" s="243"/>
      <c r="GF4" s="143"/>
      <c r="GG4" s="95"/>
      <c r="GH4" s="95"/>
      <c r="GI4" s="95"/>
      <c r="GJ4" s="243"/>
    </row>
    <row r="5" spans="1:192" ht="12.75" customHeight="1">
      <c r="D5" s="95"/>
      <c r="E5" s="95"/>
      <c r="F5" s="95"/>
      <c r="G5" s="95"/>
      <c r="I5" s="95"/>
      <c r="J5" s="95"/>
      <c r="K5" s="95"/>
      <c r="L5" s="95"/>
      <c r="N5" s="95"/>
      <c r="O5" s="95"/>
      <c r="P5" s="95"/>
      <c r="Q5" s="95"/>
      <c r="S5" s="95"/>
      <c r="T5" s="95"/>
      <c r="U5" s="95"/>
      <c r="V5" s="95"/>
      <c r="X5" s="95"/>
      <c r="Y5" s="95"/>
      <c r="Z5" s="95"/>
      <c r="AA5" s="95"/>
      <c r="AC5" s="95"/>
      <c r="AD5" s="95"/>
      <c r="AE5" s="95"/>
      <c r="AF5" s="95"/>
      <c r="AM5" s="95"/>
      <c r="AN5" s="95"/>
      <c r="AO5" s="95"/>
      <c r="AP5" s="95"/>
      <c r="AW5" s="95"/>
      <c r="AX5" s="95"/>
      <c r="AY5" s="95"/>
      <c r="AZ5" s="95"/>
      <c r="BB5" s="95"/>
      <c r="BC5" s="95"/>
      <c r="BD5" s="95"/>
      <c r="BE5" s="95"/>
      <c r="BG5" s="95"/>
      <c r="BH5" s="95"/>
      <c r="BI5" s="95"/>
      <c r="BJ5" s="95"/>
      <c r="BL5" s="95"/>
      <c r="BM5" s="95"/>
      <c r="BN5" s="95"/>
      <c r="BO5" s="95"/>
      <c r="BQ5" s="95"/>
      <c r="BR5" s="95"/>
      <c r="BS5" s="95"/>
      <c r="BT5" s="95"/>
      <c r="BV5" s="95"/>
      <c r="BW5" s="95"/>
      <c r="BX5" s="95"/>
      <c r="BY5" s="95"/>
      <c r="CA5" s="95"/>
      <c r="CB5" s="95"/>
      <c r="CC5" s="95"/>
      <c r="CD5" s="95"/>
      <c r="CF5" s="95"/>
      <c r="CG5" s="95"/>
      <c r="CH5" s="95"/>
      <c r="CI5" s="95"/>
      <c r="CK5" s="95"/>
      <c r="CL5" s="95"/>
      <c r="CM5" s="95"/>
      <c r="CN5" s="95"/>
      <c r="CP5" s="95"/>
      <c r="CQ5" s="95"/>
      <c r="CR5" s="95"/>
      <c r="CS5" s="95"/>
      <c r="CU5" s="95"/>
      <c r="CV5" s="95"/>
      <c r="CW5" s="95"/>
      <c r="CX5" s="95"/>
      <c r="CZ5" s="95"/>
      <c r="DA5" s="95"/>
      <c r="DB5" s="95"/>
      <c r="DC5" s="95"/>
      <c r="DE5" s="95"/>
      <c r="DF5" s="95"/>
      <c r="DG5" s="95"/>
      <c r="DH5" s="95"/>
      <c r="DO5" s="95"/>
      <c r="DP5" s="95"/>
      <c r="DQ5" s="95"/>
      <c r="DR5" s="95"/>
      <c r="DT5" s="95"/>
      <c r="DU5" s="95"/>
      <c r="DV5" s="95"/>
      <c r="DW5" s="95"/>
      <c r="DY5" s="95"/>
      <c r="DZ5" s="95"/>
      <c r="EA5" s="95"/>
      <c r="EB5" s="95"/>
      <c r="ED5" s="95"/>
      <c r="EE5" s="95"/>
      <c r="EF5" s="95"/>
      <c r="EG5" s="95"/>
      <c r="EI5" s="95"/>
      <c r="EJ5" s="95"/>
      <c r="EK5" s="95"/>
      <c r="EL5" s="95"/>
      <c r="EN5" s="95"/>
      <c r="EO5" s="95"/>
      <c r="EP5" s="95"/>
      <c r="EQ5" s="95"/>
      <c r="ES5" s="95"/>
      <c r="ET5" s="95"/>
      <c r="EU5" s="95"/>
      <c r="EV5" s="95"/>
      <c r="EX5" s="95"/>
      <c r="EY5" s="95"/>
      <c r="EZ5" s="95"/>
      <c r="FA5" s="95"/>
      <c r="FC5" s="95"/>
      <c r="FD5" s="95"/>
      <c r="FE5" s="95"/>
      <c r="FF5" s="95"/>
      <c r="FH5" s="95"/>
      <c r="FI5" s="95"/>
      <c r="FJ5" s="95"/>
      <c r="FK5" s="95"/>
      <c r="FM5" s="95"/>
      <c r="FN5" s="95"/>
      <c r="FO5" s="95"/>
      <c r="FP5" s="95"/>
      <c r="FR5" s="95"/>
      <c r="FS5" s="95"/>
      <c r="FT5" s="95"/>
      <c r="FU5" s="95"/>
      <c r="FW5" s="95"/>
      <c r="FX5" s="95"/>
      <c r="FY5" s="95"/>
      <c r="FZ5" s="95"/>
      <c r="GB5" s="95"/>
      <c r="GC5" s="95"/>
      <c r="GD5" s="95"/>
      <c r="GE5" s="95"/>
      <c r="GG5" s="95"/>
      <c r="GH5" s="95"/>
      <c r="GI5" s="95"/>
      <c r="GJ5" s="95"/>
    </row>
    <row r="6" spans="1:192" ht="12.75" customHeight="1">
      <c r="C6" s="47" t="str">
        <f>Dates!C3</f>
      </c>
      <c r="D6" s="47"/>
      <c r="E6" s="47"/>
      <c r="F6" s="47"/>
      <c r="G6" s="93"/>
      <c r="H6" s="47" t="str">
        <f>Dates!H3</f>
      </c>
      <c r="I6" s="47"/>
      <c r="J6" s="47"/>
      <c r="K6" s="47"/>
      <c r="L6" s="93"/>
      <c r="M6" s="47" t="str">
        <f>Dates!M3</f>
      </c>
      <c r="N6" s="47"/>
      <c r="O6" s="47"/>
      <c r="P6" s="47"/>
      <c r="Q6" s="93"/>
      <c r="R6" s="47" t="str">
        <f>Dates!R3</f>
      </c>
      <c r="S6" s="47"/>
      <c r="T6" s="47"/>
      <c r="U6" s="47"/>
      <c r="V6" s="93"/>
      <c r="W6" s="47" t="str">
        <f>Dates!W3</f>
      </c>
      <c r="X6" s="47"/>
      <c r="Y6" s="47"/>
      <c r="Z6" s="47"/>
      <c r="AA6" s="93"/>
      <c r="AB6" s="47" t="str">
        <f>Dates!AB3</f>
      </c>
      <c r="AC6" s="47"/>
      <c r="AD6" s="47"/>
      <c r="AE6" s="47"/>
      <c r="AF6" s="93"/>
      <c r="AG6" s="47" t="str">
        <f>Dates!AG3</f>
      </c>
      <c r="AH6" s="47"/>
      <c r="AI6" s="47"/>
      <c r="AJ6" s="47"/>
      <c r="AK6" s="93"/>
      <c r="AL6" s="47" t="str">
        <f>Dates!AL3</f>
      </c>
      <c r="AM6" s="47"/>
      <c r="AN6" s="47"/>
      <c r="AO6" s="47"/>
      <c r="AP6" s="93"/>
      <c r="AQ6" s="47" t="str">
        <f>Dates!AQ3</f>
      </c>
      <c r="AR6" s="47"/>
      <c r="AS6" s="47"/>
      <c r="AT6" s="47"/>
      <c r="AU6" s="93"/>
      <c r="AV6" s="47" t="str">
        <f>Dates!AV3</f>
      </c>
      <c r="AW6" s="47"/>
      <c r="AX6" s="47"/>
      <c r="AY6" s="47"/>
      <c r="AZ6" s="93"/>
      <c r="BA6" s="47" t="str">
        <f>Dates!BA3</f>
      </c>
      <c r="BB6" s="47"/>
      <c r="BC6" s="47"/>
      <c r="BD6" s="47"/>
      <c r="BE6" s="93"/>
      <c r="BF6" s="47" t="str">
        <f>Dates!BF3</f>
      </c>
      <c r="BG6" s="47"/>
      <c r="BH6" s="47"/>
      <c r="BI6" s="47"/>
      <c r="BJ6" s="93"/>
      <c r="BK6" s="47" t="str">
        <f>Dates!BK3</f>
      </c>
      <c r="BL6" s="47"/>
      <c r="BM6" s="47"/>
      <c r="BN6" s="47"/>
      <c r="BO6" s="93"/>
      <c r="BP6" s="47" t="str">
        <f>Dates!BP3</f>
      </c>
      <c r="BQ6" s="47"/>
      <c r="BR6" s="47"/>
      <c r="BS6" s="47"/>
      <c r="BT6" s="93"/>
      <c r="BU6" s="47" t="str">
        <f>Dates!BU3</f>
      </c>
      <c r="BV6" s="47"/>
      <c r="BW6" s="47"/>
      <c r="BX6" s="47"/>
      <c r="BY6" s="93"/>
      <c r="BZ6" s="47" t="str">
        <f>Dates!BZ3</f>
      </c>
      <c r="CA6" s="47"/>
      <c r="CB6" s="47"/>
      <c r="CC6" s="47"/>
      <c r="CD6" s="93"/>
      <c r="CE6" s="47" t="str">
        <f>Dates!CE3</f>
      </c>
      <c r="CF6" s="47"/>
      <c r="CG6" s="47"/>
      <c r="CH6" s="47"/>
      <c r="CI6" s="93"/>
      <c r="CJ6" s="47" t="str">
        <f>Dates!CJ3</f>
      </c>
      <c r="CK6" s="47"/>
      <c r="CL6" s="47"/>
      <c r="CM6" s="47"/>
      <c r="CN6" s="93"/>
      <c r="CO6" s="47" t="str">
        <f>Dates!CO3</f>
      </c>
      <c r="CP6" s="47"/>
      <c r="CQ6" s="47"/>
      <c r="CR6" s="47"/>
      <c r="CS6" s="93"/>
      <c r="CT6" s="47" t="str">
        <f>Dates!CT3</f>
      </c>
      <c r="CU6" s="47"/>
      <c r="CV6" s="47"/>
      <c r="CW6" s="47"/>
      <c r="CX6" s="93"/>
      <c r="CY6" s="47" t="str">
        <f>Dates!CY3</f>
      </c>
      <c r="CZ6" s="47"/>
      <c r="DA6" s="47"/>
      <c r="DB6" s="47"/>
      <c r="DC6" s="93"/>
      <c r="DD6" s="47" t="str">
        <f>Dates!DD3</f>
      </c>
      <c r="DE6" s="47"/>
      <c r="DF6" s="47"/>
      <c r="DG6" s="47"/>
      <c r="DH6" s="93"/>
      <c r="DI6" s="47" t="str">
        <f>Dates!DI3</f>
      </c>
      <c r="DJ6" s="47"/>
      <c r="DK6" s="47"/>
      <c r="DL6" s="47"/>
      <c r="DM6" s="93"/>
      <c r="DN6" s="47" t="str">
        <f>Dates!DN3</f>
      </c>
      <c r="DO6" s="47"/>
      <c r="DP6" s="47"/>
      <c r="DQ6" s="47"/>
      <c r="DR6" s="93"/>
      <c r="DS6" s="47" t="str">
        <f>Dates!DS3</f>
      </c>
      <c r="DT6" s="47"/>
      <c r="DU6" s="47"/>
      <c r="DV6" s="47"/>
      <c r="DW6" s="93"/>
      <c r="DX6" s="47" t="str">
        <f>Dates!DX3</f>
      </c>
      <c r="DY6" s="47"/>
      <c r="DZ6" s="47"/>
      <c r="EA6" s="47"/>
      <c r="EB6" s="93"/>
      <c r="EC6" s="47" t="str">
        <f>Dates!EC3</f>
      </c>
      <c r="ED6" s="47"/>
      <c r="EE6" s="47"/>
      <c r="EF6" s="47"/>
      <c r="EG6" s="93"/>
      <c r="EH6" s="47" t="str">
        <f>Dates!EH3</f>
      </c>
      <c r="EI6" s="47"/>
      <c r="EJ6" s="47"/>
      <c r="EK6" s="47"/>
      <c r="EL6" s="93"/>
      <c r="EM6" s="47" t="str">
        <f>Dates!EM3</f>
      </c>
      <c r="EN6" s="47"/>
      <c r="EO6" s="47"/>
      <c r="EP6" s="47"/>
      <c r="EQ6" s="93"/>
      <c r="ER6" s="47" t="str">
        <f>Dates!ER3</f>
      </c>
      <c r="ES6" s="47"/>
      <c r="ET6" s="47"/>
      <c r="EU6" s="47"/>
      <c r="EV6" s="93"/>
      <c r="EW6" s="47" t="str">
        <f>Dates!EW3</f>
      </c>
      <c r="EX6" s="47"/>
      <c r="EY6" s="47"/>
      <c r="EZ6" s="47"/>
      <c r="FA6" s="93"/>
      <c r="FB6" s="47" t="str">
        <f>Dates!FB3</f>
      </c>
      <c r="FC6" s="47"/>
      <c r="FD6" s="47"/>
      <c r="FE6" s="47"/>
      <c r="FF6" s="93"/>
      <c r="FG6" s="47" t="str">
        <f>Dates!FG3</f>
      </c>
      <c r="FH6" s="47"/>
      <c r="FI6" s="47"/>
      <c r="FJ6" s="47"/>
      <c r="FK6" s="93"/>
      <c r="FL6" s="47" t="str">
        <f>Dates!FL3</f>
      </c>
      <c r="FM6" s="47"/>
      <c r="FN6" s="47"/>
      <c r="FO6" s="47"/>
      <c r="FP6" s="93"/>
      <c r="FQ6" s="47" t="str">
        <f>Dates!FQ3</f>
      </c>
      <c r="FR6" s="47"/>
      <c r="FS6" s="47"/>
      <c r="FT6" s="47"/>
      <c r="FU6" s="93"/>
      <c r="FV6" s="47" t="str">
        <f>Dates!FV3</f>
      </c>
      <c r="FW6" s="47"/>
      <c r="FX6" s="47"/>
      <c r="FY6" s="47"/>
      <c r="FZ6" s="93"/>
      <c r="GA6" s="47" t="str">
        <f>Dates!GA3</f>
      </c>
      <c r="GB6" s="47"/>
      <c r="GC6" s="47"/>
      <c r="GD6" s="47"/>
      <c r="GE6" s="93"/>
      <c r="GF6" s="47" t="str">
        <f>Dates!GF3</f>
      </c>
      <c r="GG6" s="47"/>
      <c r="GH6" s="47"/>
      <c r="GI6" s="47"/>
      <c r="GJ6" s="93"/>
    </row>
    <row r="7" spans="1:192" ht="12.75" customHeight="1">
      <c r="C7" s="96" t="str">
        <f>Dates!C4</f>
      </c>
      <c r="D7" s="96" t="str">
        <f>Dates!D4</f>
      </c>
      <c r="E7" s="96" t="str">
        <f>Dates!E4</f>
      </c>
      <c r="F7" s="96" t="str">
        <f>Dates!F4</f>
      </c>
      <c r="G7" s="97" t="str">
        <f>Dates!G4</f>
      </c>
      <c r="H7" s="96" t="str">
        <f>Dates!H4</f>
      </c>
      <c r="I7" s="96" t="str">
        <f>Dates!I4</f>
      </c>
      <c r="J7" s="96" t="str">
        <f>Dates!J4</f>
      </c>
      <c r="K7" s="96" t="str">
        <f>Dates!K4</f>
      </c>
      <c r="L7" s="97" t="str">
        <f>Dates!L4</f>
      </c>
      <c r="M7" s="96" t="str">
        <f>Dates!M4</f>
      </c>
      <c r="N7" s="96" t="str">
        <f>Dates!N4</f>
      </c>
      <c r="O7" s="96" t="str">
        <f>Dates!O4</f>
      </c>
      <c r="P7" s="96" t="str">
        <f>Dates!P4</f>
      </c>
      <c r="Q7" s="97" t="str">
        <f>Dates!Q4</f>
      </c>
      <c r="R7" s="96" t="str">
        <f>Dates!R4</f>
      </c>
      <c r="S7" s="96" t="str">
        <f>Dates!S4</f>
      </c>
      <c r="T7" s="96" t="str">
        <f>Dates!T4</f>
      </c>
      <c r="U7" s="96" t="str">
        <f>Dates!U4</f>
      </c>
      <c r="V7" s="97" t="str">
        <f>Dates!V4</f>
      </c>
      <c r="W7" s="96" t="str">
        <f>Dates!W4</f>
      </c>
      <c r="X7" s="96" t="str">
        <f>Dates!X4</f>
      </c>
      <c r="Y7" s="96" t="str">
        <f>Dates!Y4</f>
      </c>
      <c r="Z7" s="96" t="str">
        <f>Dates!Z4</f>
      </c>
      <c r="AA7" s="97" t="str">
        <f>Dates!AA4</f>
      </c>
      <c r="AB7" s="96" t="str">
        <f>Dates!AB4</f>
      </c>
      <c r="AC7" s="96" t="str">
        <f>Dates!AC4</f>
      </c>
      <c r="AD7" s="96" t="str">
        <f>Dates!AD4</f>
      </c>
      <c r="AE7" s="96" t="str">
        <f>Dates!AE4</f>
      </c>
      <c r="AF7" s="97" t="str">
        <f>Dates!AF4</f>
      </c>
      <c r="AG7" s="96" t="str">
        <f>Dates!AG4</f>
      </c>
      <c r="AH7" s="96" t="str">
        <f>Dates!AH4</f>
      </c>
      <c r="AI7" s="96" t="str">
        <f>Dates!AI4</f>
      </c>
      <c r="AJ7" s="96" t="str">
        <f>Dates!AJ4</f>
      </c>
      <c r="AK7" s="97" t="str">
        <f>Dates!AK4</f>
      </c>
      <c r="AL7" s="96" t="str">
        <f>Dates!AL4</f>
      </c>
      <c r="AM7" s="96" t="str">
        <f>Dates!AM4</f>
      </c>
      <c r="AN7" s="96" t="str">
        <f>Dates!AN4</f>
      </c>
      <c r="AO7" s="96" t="str">
        <f>Dates!AO4</f>
      </c>
      <c r="AP7" s="97" t="str">
        <f>Dates!AP4</f>
      </c>
      <c r="AQ7" s="96" t="str">
        <f>Dates!AQ4</f>
      </c>
      <c r="AR7" s="96" t="str">
        <f>Dates!AR4</f>
      </c>
      <c r="AS7" s="96" t="str">
        <f>Dates!AS4</f>
      </c>
      <c r="AT7" s="96" t="str">
        <f>Dates!AT4</f>
      </c>
      <c r="AU7" s="97" t="str">
        <f>Dates!AU4</f>
      </c>
      <c r="AV7" s="96" t="str">
        <f>Dates!AV4</f>
      </c>
      <c r="AW7" s="96" t="str">
        <f>Dates!AW4</f>
      </c>
      <c r="AX7" s="96" t="str">
        <f>Dates!AX4</f>
      </c>
      <c r="AY7" s="96" t="str">
        <f>Dates!AY4</f>
      </c>
      <c r="AZ7" s="97" t="str">
        <f>Dates!AZ4</f>
      </c>
      <c r="BA7" s="96" t="str">
        <f>Dates!BA4</f>
      </c>
      <c r="BB7" s="96" t="str">
        <f>Dates!BB4</f>
      </c>
      <c r="BC7" s="96" t="str">
        <f>Dates!BC4</f>
      </c>
      <c r="BD7" s="96" t="str">
        <f>Dates!BD4</f>
      </c>
      <c r="BE7" s="97" t="str">
        <f>Dates!BE4</f>
      </c>
      <c r="BF7" s="96" t="str">
        <f>Dates!BF4</f>
      </c>
      <c r="BG7" s="96" t="str">
        <f>Dates!BG4</f>
      </c>
      <c r="BH7" s="96" t="str">
        <f>Dates!BH4</f>
      </c>
      <c r="BI7" s="96" t="str">
        <f>Dates!BI4</f>
      </c>
      <c r="BJ7" s="97" t="str">
        <f>Dates!BJ4</f>
      </c>
      <c r="BK7" s="96" t="str">
        <f>Dates!BK4</f>
      </c>
      <c r="BL7" s="96" t="str">
        <f>Dates!BL4</f>
      </c>
      <c r="BM7" s="96" t="str">
        <f>Dates!BM4</f>
      </c>
      <c r="BN7" s="96" t="str">
        <f>Dates!BN4</f>
      </c>
      <c r="BO7" s="97" t="str">
        <f>Dates!BO4</f>
      </c>
      <c r="BP7" s="96" t="str">
        <f>Dates!BP4</f>
      </c>
      <c r="BQ7" s="96" t="str">
        <f>Dates!BQ4</f>
      </c>
      <c r="BR7" s="96" t="str">
        <f>Dates!BR4</f>
      </c>
      <c r="BS7" s="96" t="str">
        <f>Dates!BS4</f>
      </c>
      <c r="BT7" s="97" t="str">
        <f>Dates!BT4</f>
      </c>
      <c r="BU7" s="96" t="str">
        <f>Dates!BU4</f>
      </c>
      <c r="BV7" s="96" t="str">
        <f>Dates!BV4</f>
      </c>
      <c r="BW7" s="96" t="str">
        <f>Dates!BW4</f>
      </c>
      <c r="BX7" s="96" t="str">
        <f>Dates!BX4</f>
      </c>
      <c r="BY7" s="97" t="str">
        <f>Dates!BY4</f>
      </c>
      <c r="BZ7" s="96" t="str">
        <f>Dates!BZ4</f>
      </c>
      <c r="CA7" s="96" t="str">
        <f>Dates!CA4</f>
      </c>
      <c r="CB7" s="96" t="str">
        <f>Dates!CB4</f>
      </c>
      <c r="CC7" s="96" t="str">
        <f>Dates!CC4</f>
      </c>
      <c r="CD7" s="97" t="str">
        <f>Dates!CD4</f>
      </c>
      <c r="CE7" s="96" t="str">
        <f>Dates!CE4</f>
      </c>
      <c r="CF7" s="96" t="str">
        <f>Dates!CF4</f>
      </c>
      <c r="CG7" s="96" t="str">
        <f>Dates!CG4</f>
      </c>
      <c r="CH7" s="96" t="str">
        <f>Dates!CH4</f>
      </c>
      <c r="CI7" s="97" t="str">
        <f>Dates!CI4</f>
      </c>
      <c r="CJ7" s="96" t="str">
        <f>Dates!CJ4</f>
      </c>
      <c r="CK7" s="96" t="str">
        <f>Dates!CK4</f>
      </c>
      <c r="CL7" s="96" t="str">
        <f>Dates!CL4</f>
      </c>
      <c r="CM7" s="96" t="str">
        <f>Dates!CM4</f>
      </c>
      <c r="CN7" s="97" t="str">
        <f>Dates!CN4</f>
      </c>
      <c r="CO7" s="96" t="str">
        <f>Dates!CO4</f>
      </c>
      <c r="CP7" s="96" t="str">
        <f>Dates!CP4</f>
      </c>
      <c r="CQ7" s="96" t="str">
        <f>Dates!CQ4</f>
      </c>
      <c r="CR7" s="96" t="str">
        <f>Dates!CR4</f>
      </c>
      <c r="CS7" s="97" t="str">
        <f>Dates!CS4</f>
      </c>
      <c r="CT7" s="96" t="str">
        <f>Dates!CT4</f>
      </c>
      <c r="CU7" s="96" t="str">
        <f>Dates!CU4</f>
      </c>
      <c r="CV7" s="96" t="str">
        <f>Dates!CV4</f>
      </c>
      <c r="CW7" s="96" t="str">
        <f>Dates!CW4</f>
      </c>
      <c r="CX7" s="97" t="str">
        <f>Dates!CX4</f>
      </c>
      <c r="CY7" s="96" t="str">
        <f>Dates!CY4</f>
      </c>
      <c r="CZ7" s="96" t="str">
        <f>Dates!CZ4</f>
      </c>
      <c r="DA7" s="96" t="str">
        <f>Dates!DA4</f>
      </c>
      <c r="DB7" s="96" t="str">
        <f>Dates!DB4</f>
      </c>
      <c r="DC7" s="97" t="str">
        <f>Dates!DC4</f>
      </c>
      <c r="DD7" s="96" t="str">
        <f>Dates!DD4</f>
      </c>
      <c r="DE7" s="96" t="str">
        <f>Dates!DE4</f>
      </c>
      <c r="DF7" s="96" t="str">
        <f>Dates!DF4</f>
      </c>
      <c r="DG7" s="96" t="str">
        <f>Dates!DG4</f>
      </c>
      <c r="DH7" s="97" t="str">
        <f>Dates!DH4</f>
      </c>
      <c r="DI7" s="96" t="str">
        <f>Dates!DI4</f>
      </c>
      <c r="DJ7" s="96" t="str">
        <f>Dates!DJ4</f>
      </c>
      <c r="DK7" s="96" t="str">
        <f>Dates!DK4</f>
      </c>
      <c r="DL7" s="96" t="str">
        <f>Dates!DL4</f>
      </c>
      <c r="DM7" s="97" t="str">
        <f>Dates!DM4</f>
      </c>
      <c r="DN7" s="96" t="str">
        <f>Dates!DN4</f>
      </c>
      <c r="DO7" s="96" t="str">
        <f>Dates!DO4</f>
      </c>
      <c r="DP7" s="96" t="str">
        <f>Dates!DP4</f>
      </c>
      <c r="DQ7" s="96" t="str">
        <f>Dates!DQ4</f>
      </c>
      <c r="DR7" s="97" t="str">
        <f>Dates!DR4</f>
      </c>
      <c r="DS7" s="96" t="str">
        <f>Dates!DS4</f>
      </c>
      <c r="DT7" s="96" t="str">
        <f>Dates!DT4</f>
      </c>
      <c r="DU7" s="96" t="str">
        <f>Dates!DU4</f>
      </c>
      <c r="DV7" s="96" t="str">
        <f>Dates!DV4</f>
      </c>
      <c r="DW7" s="97" t="str">
        <f>Dates!DW4</f>
      </c>
      <c r="DX7" s="96" t="str">
        <f>Dates!DX4</f>
      </c>
      <c r="DY7" s="96" t="str">
        <f>Dates!DY4</f>
      </c>
      <c r="DZ7" s="96" t="str">
        <f>Dates!DZ4</f>
      </c>
      <c r="EA7" s="96" t="str">
        <f>Dates!EA4</f>
      </c>
      <c r="EB7" s="97" t="str">
        <f>Dates!EB4</f>
      </c>
      <c r="EC7" s="96" t="str">
        <f>Dates!EC4</f>
      </c>
      <c r="ED7" s="96" t="str">
        <f>Dates!ED4</f>
      </c>
      <c r="EE7" s="96" t="str">
        <f>Dates!EE4</f>
      </c>
      <c r="EF7" s="96" t="str">
        <f>Dates!EF4</f>
      </c>
      <c r="EG7" s="97" t="str">
        <f>Dates!EG4</f>
      </c>
      <c r="EH7" s="96" t="str">
        <f>Dates!EH4</f>
      </c>
      <c r="EI7" s="96" t="str">
        <f>Dates!EI4</f>
      </c>
      <c r="EJ7" s="96" t="str">
        <f>Dates!EJ4</f>
      </c>
      <c r="EK7" s="96" t="str">
        <f>Dates!EK4</f>
      </c>
      <c r="EL7" s="97" t="str">
        <f>Dates!EL4</f>
      </c>
      <c r="EM7" s="96" t="str">
        <f>Dates!EM4</f>
      </c>
      <c r="EN7" s="96" t="str">
        <f>Dates!EN4</f>
      </c>
      <c r="EO7" s="96" t="str">
        <f>Dates!EO4</f>
      </c>
      <c r="EP7" s="96" t="str">
        <f>Dates!EP4</f>
      </c>
      <c r="EQ7" s="97" t="str">
        <f>Dates!EQ4</f>
      </c>
      <c r="ER7" s="96" t="str">
        <f>Dates!ER4</f>
      </c>
      <c r="ES7" s="96" t="str">
        <f>Dates!ES4</f>
      </c>
      <c r="ET7" s="96" t="str">
        <f>Dates!ET4</f>
      </c>
      <c r="EU7" s="96" t="str">
        <f>Dates!EU4</f>
      </c>
      <c r="EV7" s="97" t="str">
        <f>Dates!EV4</f>
      </c>
      <c r="EW7" s="96" t="str">
        <f>Dates!EW4</f>
      </c>
      <c r="EX7" s="96" t="str">
        <f>Dates!EX4</f>
      </c>
      <c r="EY7" s="96" t="str">
        <f>Dates!EY4</f>
      </c>
      <c r="EZ7" s="96" t="str">
        <f>Dates!EZ4</f>
      </c>
      <c r="FA7" s="97" t="str">
        <f>Dates!FA4</f>
      </c>
      <c r="FB7" s="96" t="str">
        <f>Dates!FB4</f>
      </c>
      <c r="FC7" s="96" t="str">
        <f>Dates!FC4</f>
      </c>
      <c r="FD7" s="96" t="str">
        <f>Dates!FD4</f>
      </c>
      <c r="FE7" s="96" t="str">
        <f>Dates!FE4</f>
      </c>
      <c r="FF7" s="97" t="str">
        <f>Dates!FF4</f>
      </c>
      <c r="FG7" s="96" t="str">
        <f>Dates!FG4</f>
      </c>
      <c r="FH7" s="96" t="str">
        <f>Dates!FH4</f>
      </c>
      <c r="FI7" s="96" t="str">
        <f>Dates!FI4</f>
      </c>
      <c r="FJ7" s="96" t="str">
        <f>Dates!FJ4</f>
      </c>
      <c r="FK7" s="97" t="str">
        <f>Dates!FK4</f>
      </c>
      <c r="FL7" s="96" t="str">
        <f>Dates!FL4</f>
      </c>
      <c r="FM7" s="96" t="str">
        <f>Dates!FM4</f>
      </c>
      <c r="FN7" s="96" t="str">
        <f>Dates!FN4</f>
      </c>
      <c r="FO7" s="96" t="str">
        <f>Dates!FO4</f>
      </c>
      <c r="FP7" s="97" t="str">
        <f>Dates!FP4</f>
      </c>
      <c r="FQ7" s="96" t="str">
        <f>Dates!FQ4</f>
      </c>
      <c r="FR7" s="96" t="str">
        <f>Dates!FR4</f>
      </c>
      <c r="FS7" s="96" t="str">
        <f>Dates!FS4</f>
      </c>
      <c r="FT7" s="96" t="str">
        <f>Dates!FT4</f>
      </c>
      <c r="FU7" s="97" t="str">
        <f>Dates!FU4</f>
      </c>
      <c r="FV7" s="96" t="str">
        <f>Dates!FV4</f>
      </c>
      <c r="FW7" s="96" t="str">
        <f>Dates!FW4</f>
      </c>
      <c r="FX7" s="96" t="str">
        <f>Dates!FX4</f>
      </c>
      <c r="FY7" s="96" t="str">
        <f>Dates!FY4</f>
      </c>
      <c r="FZ7" s="97" t="str">
        <f>Dates!FZ4</f>
      </c>
      <c r="GA7" s="96" t="str">
        <f>Dates!GA4</f>
      </c>
      <c r="GB7" s="96" t="str">
        <f>Dates!GB4</f>
      </c>
      <c r="GC7" s="96" t="str">
        <f>Dates!GC4</f>
      </c>
      <c r="GD7" s="96" t="str">
        <f>Dates!GD4</f>
      </c>
      <c r="GE7" s="97" t="str">
        <f>Dates!GE4</f>
      </c>
      <c r="GF7" s="96" t="str">
        <f>Dates!GF4</f>
      </c>
      <c r="GG7" s="96" t="str">
        <f>Dates!GG4</f>
      </c>
      <c r="GH7" s="96" t="str">
        <f>Dates!GH4</f>
      </c>
      <c r="GI7" s="96" t="str">
        <f>Dates!GI4</f>
      </c>
      <c r="GJ7" s="97" t="str">
        <f>Dates!GJ4</f>
      </c>
    </row>
    <row r="8" spans="1:192" ht="12.75" customHeight="1">
      <c r="C8" s="98">
        <f>Dates!C5</f>
      </c>
      <c r="D8" s="98">
        <f>Dates!D5</f>
      </c>
      <c r="E8" s="98">
        <f>Dates!E5</f>
      </c>
      <c r="F8" s="98">
        <f>Dates!F5</f>
      </c>
      <c r="G8" s="99">
        <f>Dates!G5</f>
      </c>
      <c r="H8" s="98">
        <f>Dates!H5</f>
      </c>
      <c r="I8" s="98">
        <f>Dates!I5</f>
      </c>
      <c r="J8" s="98">
        <f>Dates!J5</f>
      </c>
      <c r="K8" s="98">
        <f>Dates!K5</f>
      </c>
      <c r="L8" s="99">
        <f>Dates!L5</f>
      </c>
      <c r="M8" s="98">
        <f>Dates!M5</f>
      </c>
      <c r="N8" s="98">
        <f>Dates!N5</f>
      </c>
      <c r="O8" s="98">
        <f>Dates!O5</f>
      </c>
      <c r="P8" s="98">
        <f>Dates!P5</f>
      </c>
      <c r="Q8" s="99">
        <f>Dates!Q5</f>
      </c>
      <c r="R8" s="98">
        <f>Dates!R5</f>
      </c>
      <c r="S8" s="98">
        <f>Dates!S5</f>
      </c>
      <c r="T8" s="98">
        <f>Dates!T5</f>
      </c>
      <c r="U8" s="98">
        <f>Dates!U5</f>
      </c>
      <c r="V8" s="99">
        <f>Dates!V5</f>
      </c>
      <c r="W8" s="98">
        <f>Dates!W5</f>
      </c>
      <c r="X8" s="98">
        <f>Dates!X5</f>
      </c>
      <c r="Y8" s="98">
        <f>Dates!Y5</f>
      </c>
      <c r="Z8" s="98">
        <f>Dates!Z5</f>
      </c>
      <c r="AA8" s="99">
        <f>Dates!AA5</f>
      </c>
      <c r="AB8" s="98">
        <f>Dates!AB5</f>
      </c>
      <c r="AC8" s="98">
        <f>Dates!AC5</f>
      </c>
      <c r="AD8" s="98">
        <f>Dates!AD5</f>
      </c>
      <c r="AE8" s="98">
        <f>Dates!AE5</f>
      </c>
      <c r="AF8" s="99">
        <f>Dates!AF5</f>
      </c>
      <c r="AG8" s="98">
        <f>Dates!AG5</f>
      </c>
      <c r="AH8" s="98">
        <f>Dates!AH5</f>
      </c>
      <c r="AI8" s="98">
        <f>Dates!AI5</f>
      </c>
      <c r="AJ8" s="98">
        <f>Dates!AJ5</f>
      </c>
      <c r="AK8" s="99">
        <f>Dates!AK5</f>
      </c>
      <c r="AL8" s="98">
        <f>Dates!AL5</f>
      </c>
      <c r="AM8" s="98">
        <f>Dates!AM5</f>
      </c>
      <c r="AN8" s="98">
        <f>Dates!AN5</f>
      </c>
      <c r="AO8" s="98">
        <f>Dates!AO5</f>
      </c>
      <c r="AP8" s="99">
        <f>Dates!AP5</f>
      </c>
      <c r="AQ8" s="98">
        <f>Dates!AQ5</f>
      </c>
      <c r="AR8" s="98">
        <f>Dates!AR5</f>
      </c>
      <c r="AS8" s="98">
        <f>Dates!AS5</f>
      </c>
      <c r="AT8" s="98">
        <f>Dates!AT5</f>
      </c>
      <c r="AU8" s="99">
        <f>Dates!AU5</f>
      </c>
      <c r="AV8" s="98">
        <f>Dates!AV5</f>
      </c>
      <c r="AW8" s="98">
        <f>Dates!AW5</f>
      </c>
      <c r="AX8" s="98">
        <f>Dates!AX5</f>
      </c>
      <c r="AY8" s="98">
        <f>Dates!AY5</f>
      </c>
      <c r="AZ8" s="99">
        <f>Dates!AZ5</f>
      </c>
      <c r="BA8" s="98">
        <f>Dates!BA5</f>
      </c>
      <c r="BB8" s="98">
        <f>Dates!BB5</f>
      </c>
      <c r="BC8" s="98">
        <f>Dates!BC5</f>
      </c>
      <c r="BD8" s="98">
        <f>Dates!BD5</f>
      </c>
      <c r="BE8" s="99">
        <f>Dates!BE5</f>
      </c>
      <c r="BF8" s="98">
        <f>Dates!BF5</f>
      </c>
      <c r="BG8" s="98">
        <f>Dates!BG5</f>
      </c>
      <c r="BH8" s="98">
        <f>Dates!BH5</f>
      </c>
      <c r="BI8" s="98">
        <f>Dates!BI5</f>
      </c>
      <c r="BJ8" s="99">
        <f>Dates!BJ5</f>
      </c>
      <c r="BK8" s="98">
        <f>Dates!BK5</f>
      </c>
      <c r="BL8" s="98">
        <f>Dates!BL5</f>
      </c>
      <c r="BM8" s="98">
        <f>Dates!BM5</f>
      </c>
      <c r="BN8" s="98">
        <f>Dates!BN5</f>
      </c>
      <c r="BO8" s="99">
        <f>Dates!BO5</f>
      </c>
      <c r="BP8" s="98">
        <f>Dates!BP5</f>
      </c>
      <c r="BQ8" s="98">
        <f>Dates!BQ5</f>
      </c>
      <c r="BR8" s="98">
        <f>Dates!BR5</f>
      </c>
      <c r="BS8" s="98">
        <f>Dates!BS5</f>
      </c>
      <c r="BT8" s="99">
        <f>Dates!BT5</f>
      </c>
      <c r="BU8" s="98">
        <f>Dates!BU5</f>
      </c>
      <c r="BV8" s="98">
        <f>Dates!BV5</f>
      </c>
      <c r="BW8" s="98">
        <f>Dates!BW5</f>
      </c>
      <c r="BX8" s="98">
        <f>Dates!BX5</f>
      </c>
      <c r="BY8" s="99">
        <f>Dates!BY5</f>
      </c>
      <c r="BZ8" s="98">
        <f>Dates!BZ5</f>
      </c>
      <c r="CA8" s="98">
        <f>Dates!CA5</f>
      </c>
      <c r="CB8" s="98">
        <f>Dates!CB5</f>
      </c>
      <c r="CC8" s="98">
        <f>Dates!CC5</f>
      </c>
      <c r="CD8" s="99">
        <f>Dates!CD5</f>
      </c>
      <c r="CE8" s="98">
        <f>Dates!CE5</f>
      </c>
      <c r="CF8" s="98">
        <f>Dates!CF5</f>
      </c>
      <c r="CG8" s="98">
        <f>Dates!CG5</f>
      </c>
      <c r="CH8" s="98">
        <f>Dates!CH5</f>
      </c>
      <c r="CI8" s="99">
        <f>Dates!CI5</f>
      </c>
      <c r="CJ8" s="98">
        <f>Dates!CJ5</f>
      </c>
      <c r="CK8" s="98">
        <f>Dates!CK5</f>
      </c>
      <c r="CL8" s="98">
        <f>Dates!CL5</f>
      </c>
      <c r="CM8" s="98">
        <f>Dates!CM5</f>
      </c>
      <c r="CN8" s="99">
        <f>Dates!CN5</f>
      </c>
      <c r="CO8" s="98">
        <f>Dates!CO5</f>
      </c>
      <c r="CP8" s="98">
        <f>Dates!CP5</f>
      </c>
      <c r="CQ8" s="98">
        <f>Dates!CQ5</f>
      </c>
      <c r="CR8" s="98">
        <f>Dates!CR5</f>
      </c>
      <c r="CS8" s="99">
        <f>Dates!CS5</f>
      </c>
      <c r="CT8" s="98">
        <f>Dates!CT5</f>
      </c>
      <c r="CU8" s="98">
        <f>Dates!CU5</f>
      </c>
      <c r="CV8" s="98">
        <f>Dates!CV5</f>
      </c>
      <c r="CW8" s="98">
        <f>Dates!CW5</f>
      </c>
      <c r="CX8" s="99">
        <f>Dates!CX5</f>
      </c>
      <c r="CY8" s="98">
        <f>Dates!CY5</f>
      </c>
      <c r="CZ8" s="98">
        <f>Dates!CZ5</f>
      </c>
      <c r="DA8" s="98">
        <f>Dates!DA5</f>
      </c>
      <c r="DB8" s="98">
        <f>Dates!DB5</f>
      </c>
      <c r="DC8" s="99">
        <f>Dates!DC5</f>
      </c>
      <c r="DD8" s="98">
        <f>Dates!DD5</f>
      </c>
      <c r="DE8" s="98">
        <f>Dates!DE5</f>
      </c>
      <c r="DF8" s="98">
        <f>Dates!DF5</f>
      </c>
      <c r="DG8" s="98">
        <f>Dates!DG5</f>
      </c>
      <c r="DH8" s="99">
        <f>Dates!DH5</f>
      </c>
      <c r="DI8" s="98">
        <f>Dates!DI5</f>
      </c>
      <c r="DJ8" s="98">
        <f>Dates!DJ5</f>
      </c>
      <c r="DK8" s="98">
        <f>Dates!DK5</f>
      </c>
      <c r="DL8" s="98">
        <f>Dates!DL5</f>
      </c>
      <c r="DM8" s="99">
        <f>Dates!DM5</f>
      </c>
      <c r="DN8" s="98">
        <f>Dates!DN5</f>
      </c>
      <c r="DO8" s="98">
        <f>Dates!DO5</f>
      </c>
      <c r="DP8" s="98">
        <f>Dates!DP5</f>
      </c>
      <c r="DQ8" s="98">
        <f>Dates!DQ5</f>
      </c>
      <c r="DR8" s="99">
        <f>Dates!DR5</f>
      </c>
      <c r="DS8" s="98">
        <f>Dates!DS5</f>
      </c>
      <c r="DT8" s="98">
        <f>Dates!DT5</f>
      </c>
      <c r="DU8" s="98">
        <f>Dates!DU5</f>
      </c>
      <c r="DV8" s="98">
        <f>Dates!DV5</f>
      </c>
      <c r="DW8" s="99">
        <f>Dates!DW5</f>
      </c>
      <c r="DX8" s="98">
        <f>Dates!DX5</f>
      </c>
      <c r="DY8" s="98">
        <f>Dates!DY5</f>
      </c>
      <c r="DZ8" s="98">
        <f>Dates!DZ5</f>
      </c>
      <c r="EA8" s="98">
        <f>Dates!EA5</f>
      </c>
      <c r="EB8" s="99">
        <f>Dates!EB5</f>
      </c>
      <c r="EC8" s="98">
        <f>Dates!EC5</f>
      </c>
      <c r="ED8" s="98">
        <f>Dates!ED5</f>
      </c>
      <c r="EE8" s="98">
        <f>Dates!EE5</f>
      </c>
      <c r="EF8" s="98">
        <f>Dates!EF5</f>
      </c>
      <c r="EG8" s="99">
        <f>Dates!EG5</f>
      </c>
      <c r="EH8" s="98">
        <f>Dates!EH5</f>
      </c>
      <c r="EI8" s="98">
        <f>Dates!EI5</f>
      </c>
      <c r="EJ8" s="98">
        <f>Dates!EJ5</f>
      </c>
      <c r="EK8" s="98">
        <f>Dates!EK5</f>
      </c>
      <c r="EL8" s="99">
        <f>Dates!EL5</f>
      </c>
      <c r="EM8" s="98">
        <f>Dates!EM5</f>
      </c>
      <c r="EN8" s="98">
        <f>Dates!EN5</f>
      </c>
      <c r="EO8" s="98">
        <f>Dates!EO5</f>
      </c>
      <c r="EP8" s="98">
        <f>Dates!EP5</f>
      </c>
      <c r="EQ8" s="99">
        <f>Dates!EQ5</f>
      </c>
      <c r="ER8" s="98">
        <f>Dates!ER5</f>
      </c>
      <c r="ES8" s="98">
        <f>Dates!ES5</f>
      </c>
      <c r="ET8" s="98">
        <f>Dates!ET5</f>
      </c>
      <c r="EU8" s="98">
        <f>Dates!EU5</f>
      </c>
      <c r="EV8" s="99">
        <f>Dates!EV5</f>
      </c>
      <c r="EW8" s="98">
        <f>Dates!EW5</f>
      </c>
      <c r="EX8" s="98">
        <f>Dates!EX5</f>
      </c>
      <c r="EY8" s="98">
        <f>Dates!EY5</f>
      </c>
      <c r="EZ8" s="98">
        <f>Dates!EZ5</f>
      </c>
      <c r="FA8" s="99">
        <f>Dates!FA5</f>
      </c>
      <c r="FB8" s="98">
        <f>Dates!FB5</f>
      </c>
      <c r="FC8" s="98">
        <f>Dates!FC5</f>
      </c>
      <c r="FD8" s="98">
        <f>Dates!FD5</f>
      </c>
      <c r="FE8" s="98">
        <f>Dates!FE5</f>
      </c>
      <c r="FF8" s="99">
        <f>Dates!FF5</f>
      </c>
      <c r="FG8" s="98">
        <f>Dates!FG5</f>
      </c>
      <c r="FH8" s="98">
        <f>Dates!FH5</f>
      </c>
      <c r="FI8" s="98">
        <f>Dates!FI5</f>
      </c>
      <c r="FJ8" s="98">
        <f>Dates!FJ5</f>
      </c>
      <c r="FK8" s="99">
        <f>Dates!FK5</f>
      </c>
      <c r="FL8" s="98">
        <f>Dates!FL5</f>
      </c>
      <c r="FM8" s="98">
        <f>Dates!FM5</f>
      </c>
      <c r="FN8" s="98">
        <f>Dates!FN5</f>
      </c>
      <c r="FO8" s="98">
        <f>Dates!FO5</f>
      </c>
      <c r="FP8" s="99">
        <f>Dates!FP5</f>
      </c>
      <c r="FQ8" s="98">
        <f>Dates!FQ5</f>
      </c>
      <c r="FR8" s="98">
        <f>Dates!FR5</f>
      </c>
      <c r="FS8" s="98">
        <f>Dates!FS5</f>
      </c>
      <c r="FT8" s="98">
        <f>Dates!FT5</f>
      </c>
      <c r="FU8" s="99">
        <f>Dates!FU5</f>
      </c>
      <c r="FV8" s="98">
        <f>Dates!FV5</f>
      </c>
      <c r="FW8" s="98">
        <f>Dates!FW5</f>
      </c>
      <c r="FX8" s="98">
        <f>Dates!FX5</f>
      </c>
      <c r="FY8" s="98">
        <f>Dates!FY5</f>
      </c>
      <c r="FZ8" s="99">
        <f>Dates!FZ5</f>
      </c>
      <c r="GA8" s="98">
        <f>Dates!GA5</f>
      </c>
      <c r="GB8" s="98">
        <f>Dates!GB5</f>
      </c>
      <c r="GC8" s="98">
        <f>Dates!GC5</f>
      </c>
      <c r="GD8" s="98">
        <f>Dates!GD5</f>
      </c>
      <c r="GE8" s="99">
        <f>Dates!GE5</f>
      </c>
      <c r="GF8" s="98">
        <f>Dates!GF5</f>
      </c>
      <c r="GG8" s="98">
        <f>Dates!GG5</f>
      </c>
      <c r="GH8" s="98">
        <f>Dates!GH5</f>
      </c>
      <c r="GI8" s="98">
        <f>Dates!GI5</f>
      </c>
      <c r="GJ8" s="99">
        <f>Dates!GJ5</f>
      </c>
    </row>
    <row r="9" spans="1:192" s="374" customFormat="1" ht="12.75" customHeight="1">
      <c r="A9" s="370"/>
      <c r="B9" s="703" t="s">
        <v>107</v>
      </c>
      <c r="C9" s="963"/>
      <c r="D9" s="963"/>
      <c r="E9" s="963"/>
      <c r="F9" s="963"/>
      <c r="G9" s="964"/>
      <c r="H9" s="963"/>
      <c r="I9" s="963"/>
      <c r="J9" s="963"/>
      <c r="K9" s="963"/>
      <c r="L9" s="964"/>
      <c r="M9" s="963"/>
      <c r="N9" s="963"/>
      <c r="O9" s="963"/>
      <c r="P9" s="963"/>
      <c r="Q9" s="964"/>
      <c r="R9" s="963"/>
      <c r="S9" s="963"/>
      <c r="T9" s="963"/>
      <c r="U9" s="963"/>
      <c r="V9" s="964"/>
      <c r="W9" s="963"/>
      <c r="X9" s="963"/>
      <c r="Y9" s="963"/>
      <c r="Z9" s="963"/>
      <c r="AA9" s="964"/>
      <c r="AB9" s="963"/>
      <c r="AC9" s="963"/>
      <c r="AD9" s="963"/>
      <c r="AE9" s="963"/>
      <c r="AF9" s="964"/>
      <c r="AG9" s="963"/>
      <c r="AH9" s="963"/>
      <c r="AI9" s="963"/>
      <c r="AJ9" s="963"/>
      <c r="AK9" s="964"/>
      <c r="AL9" s="963"/>
      <c r="AM9" s="963"/>
      <c r="AN9" s="963"/>
      <c r="AO9" s="963"/>
      <c r="AP9" s="964"/>
      <c r="AQ9" s="963"/>
      <c r="AR9" s="963"/>
      <c r="AS9" s="963"/>
      <c r="AT9" s="963"/>
      <c r="AU9" s="964"/>
      <c r="AV9" s="963"/>
      <c r="AW9" s="963"/>
      <c r="AX9" s="963"/>
      <c r="AY9" s="963"/>
      <c r="AZ9" s="964"/>
      <c r="BA9" s="963"/>
      <c r="BB9" s="963"/>
      <c r="BC9" s="963"/>
      <c r="BD9" s="963"/>
      <c r="BE9" s="964"/>
      <c r="BF9" s="963"/>
      <c r="BG9" s="963"/>
      <c r="BH9" s="963"/>
      <c r="BI9" s="963"/>
      <c r="BJ9" s="964"/>
      <c r="BK9" s="963"/>
      <c r="BL9" s="963"/>
      <c r="BM9" s="963"/>
      <c r="BN9" s="963"/>
      <c r="BO9" s="964"/>
      <c r="BP9" s="963"/>
      <c r="BQ9" s="963"/>
      <c r="BR9" s="963"/>
      <c r="BS9" s="963"/>
      <c r="BT9" s="964"/>
      <c r="BU9" s="963"/>
      <c r="BV9" s="963"/>
      <c r="BW9" s="963"/>
      <c r="BX9" s="963"/>
      <c r="BY9" s="964"/>
      <c r="BZ9" s="963"/>
      <c r="CA9" s="963"/>
      <c r="CB9" s="963"/>
      <c r="CC9" s="963"/>
      <c r="CD9" s="964"/>
      <c r="CE9" s="963"/>
      <c r="CF9" s="963"/>
      <c r="CG9" s="963"/>
      <c r="CH9" s="963"/>
      <c r="CI9" s="964"/>
      <c r="CJ9" s="963"/>
      <c r="CK9" s="963"/>
      <c r="CL9" s="963"/>
      <c r="CM9" s="963"/>
      <c r="CN9" s="964"/>
      <c r="CO9" s="963"/>
      <c r="CP9" s="963"/>
      <c r="CQ9" s="963"/>
      <c r="CR9" s="963"/>
      <c r="CS9" s="964"/>
      <c r="CT9" s="963"/>
      <c r="CU9" s="963"/>
      <c r="CV9" s="963"/>
      <c r="CW9" s="963"/>
      <c r="CX9" s="964"/>
      <c r="CY9" s="963"/>
      <c r="CZ9" s="963"/>
      <c r="DA9" s="963"/>
      <c r="DB9" s="963"/>
      <c r="DC9" s="964"/>
      <c r="DD9" s="963"/>
      <c r="DE9" s="963"/>
      <c r="DF9" s="963"/>
      <c r="DG9" s="963"/>
      <c r="DH9" s="964"/>
      <c r="DI9" s="963"/>
      <c r="DJ9" s="963"/>
      <c r="DK9" s="963"/>
      <c r="DL9" s="963"/>
      <c r="DM9" s="964"/>
      <c r="DN9" s="963"/>
      <c r="DO9" s="963"/>
      <c r="DP9" s="963"/>
      <c r="DQ9" s="963"/>
      <c r="DR9" s="964"/>
      <c r="DS9" s="963"/>
      <c r="DT9" s="963"/>
      <c r="DU9" s="963"/>
      <c r="DV9" s="963"/>
      <c r="DW9" s="964"/>
      <c r="DX9" s="963"/>
      <c r="DY9" s="963"/>
      <c r="DZ9" s="963"/>
      <c r="EA9" s="963"/>
      <c r="EB9" s="964"/>
      <c r="EC9" s="963"/>
      <c r="ED9" s="963"/>
      <c r="EE9" s="963"/>
      <c r="EF9" s="963"/>
      <c r="EG9" s="964"/>
      <c r="EH9" s="963"/>
      <c r="EI9" s="963"/>
      <c r="EJ9" s="963"/>
      <c r="EK9" s="963"/>
      <c r="EL9" s="964"/>
      <c r="EM9" s="963"/>
      <c r="EN9" s="963"/>
      <c r="EO9" s="963"/>
      <c r="EP9" s="963"/>
      <c r="EQ9" s="964"/>
      <c r="ER9" s="963"/>
      <c r="ES9" s="963"/>
      <c r="ET9" s="963"/>
      <c r="EU9" s="963"/>
      <c r="EV9" s="964"/>
      <c r="EW9" s="963"/>
      <c r="EX9" s="963"/>
      <c r="EY9" s="963"/>
      <c r="EZ9" s="963"/>
      <c r="FA9" s="964"/>
      <c r="FB9" s="963"/>
      <c r="FC9" s="963"/>
      <c r="FD9" s="963"/>
      <c r="FE9" s="963"/>
      <c r="FF9" s="964"/>
      <c r="FG9" s="963"/>
      <c r="FH9" s="963"/>
      <c r="FI9" s="963"/>
      <c r="FJ9" s="963"/>
      <c r="FK9" s="964"/>
      <c r="FL9" s="963"/>
      <c r="FM9" s="963"/>
      <c r="FN9" s="963"/>
      <c r="FO9" s="963"/>
      <c r="FP9" s="964"/>
      <c r="FQ9" s="963"/>
      <c r="FR9" s="963"/>
      <c r="FS9" s="963"/>
      <c r="FT9" s="963"/>
      <c r="FU9" s="964"/>
      <c r="FV9" s="963"/>
      <c r="FW9" s="963"/>
      <c r="FX9" s="963"/>
      <c r="FY9" s="963"/>
      <c r="FZ9" s="964"/>
      <c r="GA9" s="963"/>
      <c r="GB9" s="963"/>
      <c r="GC9" s="963"/>
      <c r="GD9" s="963"/>
      <c r="GE9" s="964"/>
      <c r="GF9" s="963"/>
      <c r="GG9" s="963"/>
      <c r="GH9" s="963"/>
      <c r="GI9" s="963"/>
      <c r="GJ9" s="964"/>
    </row>
    <row r="10" spans="1:192" s="1402" customFormat="1" ht="12.75" customHeight="1">
      <c r="A10" s="1401"/>
      <c r="B10" s="705" t="s">
        <v>108</v>
      </c>
      <c r="C10" s="768">
        <f>IS!C139</f>
      </c>
      <c r="D10" s="768">
        <f>IS!D139</f>
      </c>
      <c r="E10" s="768">
        <f>IS!E139</f>
      </c>
      <c r="F10" s="768">
        <f>IS!F139</f>
      </c>
      <c r="G10" s="965">
        <f>IS!G139</f>
      </c>
      <c r="H10" s="768">
        <f>IS!H139</f>
      </c>
      <c r="I10" s="768">
        <f>IS!I139</f>
      </c>
      <c r="J10" s="768">
        <f>IS!J139</f>
      </c>
      <c r="K10" s="768">
        <f>IS!K139</f>
      </c>
      <c r="L10" s="965">
        <f>IS!L139</f>
      </c>
      <c r="M10" s="768">
        <f>IS!M139</f>
      </c>
      <c r="N10" s="768">
        <f>IS!N139</f>
      </c>
      <c r="O10" s="768">
        <f>IS!O139</f>
      </c>
      <c r="P10" s="768">
        <f>IS!P139</f>
      </c>
      <c r="Q10" s="965">
        <f>IS!Q139</f>
      </c>
      <c r="R10" s="768">
        <f>IS!R139</f>
      </c>
      <c r="S10" s="768">
        <f>IS!S139</f>
      </c>
      <c r="T10" s="768">
        <f>IS!T139</f>
      </c>
      <c r="U10" s="768">
        <f>IS!U139</f>
      </c>
      <c r="V10" s="965">
        <f>IS!V139</f>
      </c>
      <c r="W10" s="768">
        <f>IS!W139</f>
      </c>
      <c r="X10" s="768">
        <f>IS!X139</f>
      </c>
      <c r="Y10" s="768">
        <f>IS!Y139</f>
      </c>
      <c r="Z10" s="768">
        <f>IS!Z139</f>
      </c>
      <c r="AA10" s="965">
        <f>IS!AA139</f>
      </c>
      <c r="AB10" s="768">
        <f>IS!AB139</f>
      </c>
      <c r="AC10" s="768">
        <f>IS!AC139</f>
      </c>
      <c r="AD10" s="768">
        <f>IS!AD139</f>
      </c>
      <c r="AE10" s="768">
        <f>IS!AE139</f>
      </c>
      <c r="AF10" s="965">
        <f>IS!AF139</f>
      </c>
      <c r="AG10" s="768">
        <f>IS!AG139</f>
      </c>
      <c r="AH10" s="768">
        <f>IS!AH139</f>
      </c>
      <c r="AI10" s="768">
        <f>IS!AI139</f>
      </c>
      <c r="AJ10" s="768">
        <f>IS!AJ139</f>
      </c>
      <c r="AK10" s="965">
        <f>IS!AK139</f>
      </c>
      <c r="AL10" s="768">
        <f>IS!AL139</f>
      </c>
      <c r="AM10" s="768">
        <f>IS!AM139</f>
      </c>
      <c r="AN10" s="768">
        <f>IS!AN139</f>
      </c>
      <c r="AO10" s="768">
        <f>IS!AO139</f>
      </c>
      <c r="AP10" s="965">
        <f>IS!AP139</f>
      </c>
      <c r="AQ10" s="768">
        <f>IS!AQ139</f>
      </c>
      <c r="AR10" s="768">
        <f>IS!AR139</f>
      </c>
      <c r="AS10" s="768">
        <f>IS!AS139</f>
      </c>
      <c r="AT10" s="768">
        <f>IS!AT139</f>
      </c>
      <c r="AU10" s="965">
        <f>IS!AU139</f>
      </c>
      <c r="AV10" s="768">
        <f>IS!AV139</f>
      </c>
      <c r="AW10" s="768">
        <f>IS!AW139</f>
      </c>
      <c r="AX10" s="768">
        <f>IS!AX139</f>
      </c>
      <c r="AY10" s="768">
        <f>IS!AY139</f>
      </c>
      <c r="AZ10" s="965">
        <f>IS!AZ139</f>
      </c>
      <c r="BA10" s="768">
        <f>IS!BA139</f>
      </c>
      <c r="BB10" s="768">
        <f>IS!BB139</f>
      </c>
      <c r="BC10" s="768">
        <f>IS!BC139</f>
      </c>
      <c r="BD10" s="768">
        <f>IS!BD139</f>
      </c>
      <c r="BE10" s="965">
        <f>IS!BE139</f>
      </c>
      <c r="BF10" s="768">
        <f>IS!BF139</f>
      </c>
      <c r="BG10" s="768">
        <f>IS!BG139</f>
      </c>
      <c r="BH10" s="768">
        <f>IS!BH139</f>
      </c>
      <c r="BI10" s="768">
        <f>IS!BI139</f>
      </c>
      <c r="BJ10" s="965">
        <f>IS!BJ139</f>
      </c>
      <c r="BK10" s="768">
        <f>IS!BK139</f>
      </c>
      <c r="BL10" s="768">
        <f>IS!BL139</f>
      </c>
      <c r="BM10" s="768">
        <f>IS!BM139</f>
      </c>
      <c r="BN10" s="768">
        <f>IS!BN139</f>
      </c>
      <c r="BO10" s="965">
        <f>IS!BO139</f>
      </c>
      <c r="BP10" s="768">
        <f>IS!BP139</f>
      </c>
      <c r="BQ10" s="768">
        <f>IS!BQ139</f>
      </c>
      <c r="BR10" s="768">
        <f>IS!BR139</f>
      </c>
      <c r="BS10" s="768">
        <f>IS!BS139</f>
      </c>
      <c r="BT10" s="965">
        <f>IS!BT139</f>
      </c>
      <c r="BU10" s="768">
        <f>IS!BU139</f>
      </c>
      <c r="BV10" s="768">
        <f>IS!BV139</f>
      </c>
      <c r="BW10" s="768">
        <f>IS!BW139</f>
      </c>
      <c r="BX10" s="768">
        <f>IS!BX139</f>
      </c>
      <c r="BY10" s="965">
        <f>IS!BY139</f>
      </c>
      <c r="BZ10" s="768">
        <f>IS!BZ139</f>
      </c>
      <c r="CA10" s="768">
        <f>IS!CA139</f>
      </c>
      <c r="CB10" s="768">
        <f>IS!CB139</f>
      </c>
      <c r="CC10" s="768">
        <f>IS!CC139</f>
      </c>
      <c r="CD10" s="965">
        <f>IS!CD139</f>
      </c>
      <c r="CE10" s="768">
        <f>IS!CE139</f>
      </c>
      <c r="CF10" s="768">
        <f>IS!CF139</f>
      </c>
      <c r="CG10" s="768">
        <f>IS!CG139</f>
      </c>
      <c r="CH10" s="768">
        <f>IS!CH139</f>
      </c>
      <c r="CI10" s="965">
        <f>IS!CI139</f>
      </c>
      <c r="CJ10" s="768">
        <f>IS!CJ139</f>
      </c>
      <c r="CK10" s="768">
        <f>IS!CK139</f>
      </c>
      <c r="CL10" s="768">
        <f>IS!CL139</f>
      </c>
      <c r="CM10" s="768">
        <f>IS!CM139</f>
      </c>
      <c r="CN10" s="965">
        <f>IS!CN139</f>
      </c>
      <c r="CO10" s="768">
        <f>IS!CO139</f>
      </c>
      <c r="CP10" s="768">
        <f>IS!CP139</f>
      </c>
      <c r="CQ10" s="768">
        <f>IS!CQ139</f>
      </c>
      <c r="CR10" s="768">
        <f>IS!CR139</f>
      </c>
      <c r="CS10" s="965">
        <f>IS!CS139</f>
      </c>
      <c r="CT10" s="768">
        <f>IS!CT139</f>
      </c>
      <c r="CU10" s="768">
        <f>IS!CU139</f>
      </c>
      <c r="CV10" s="768">
        <f>IS!CV139</f>
      </c>
      <c r="CW10" s="768">
        <f>IS!CW139</f>
      </c>
      <c r="CX10" s="965">
        <f>IS!CX139</f>
      </c>
      <c r="CY10" s="768">
        <f>IS!CY139</f>
      </c>
      <c r="CZ10" s="768">
        <f>IS!CZ139</f>
      </c>
      <c r="DA10" s="768">
        <f>IS!DA139</f>
      </c>
      <c r="DB10" s="768">
        <f>IS!DB139</f>
      </c>
      <c r="DC10" s="965">
        <f>IS!DC139</f>
      </c>
      <c r="DD10" s="768">
        <f>IS!DD139</f>
      </c>
      <c r="DE10" s="768">
        <f>IS!DE139</f>
      </c>
      <c r="DF10" s="768">
        <f>IS!DF139</f>
      </c>
      <c r="DG10" s="768">
        <f>IS!DG139</f>
      </c>
      <c r="DH10" s="965">
        <f>IS!DH139</f>
      </c>
      <c r="DI10" s="768">
        <f>IS!DI139</f>
      </c>
      <c r="DJ10" s="768">
        <f>IS!DJ139</f>
      </c>
      <c r="DK10" s="768">
        <f>IS!DK139</f>
      </c>
      <c r="DL10" s="768">
        <f>IS!DL139</f>
      </c>
      <c r="DM10" s="965">
        <f>IS!DM139</f>
      </c>
      <c r="DN10" s="768">
        <f>IS!DN139</f>
      </c>
      <c r="DO10" s="768">
        <f>IS!DO139</f>
      </c>
      <c r="DP10" s="768">
        <f>IS!DP139</f>
      </c>
      <c r="DQ10" s="768">
        <f>IS!DQ139</f>
      </c>
      <c r="DR10" s="965">
        <f>IS!DR139</f>
      </c>
      <c r="DS10" s="768">
        <f>IS!DS139</f>
      </c>
      <c r="DT10" s="768">
        <f>IS!DT139</f>
      </c>
      <c r="DU10" s="768">
        <f>IS!DU139</f>
      </c>
      <c r="DV10" s="768">
        <f>IS!DV139</f>
      </c>
      <c r="DW10" s="965">
        <f>IS!DW139</f>
      </c>
      <c r="DX10" s="768">
        <f>IS!DX139</f>
      </c>
      <c r="DY10" s="768">
        <f>IS!DY139</f>
      </c>
      <c r="DZ10" s="768">
        <f>IS!DZ139</f>
      </c>
      <c r="EA10" s="768">
        <f>IS!EA139</f>
      </c>
      <c r="EB10" s="965">
        <f>IS!EB139</f>
      </c>
      <c r="EC10" s="768">
        <f>IS!EC139</f>
      </c>
      <c r="ED10" s="768">
        <f>IS!ED139</f>
      </c>
      <c r="EE10" s="768">
        <f>IS!EE139</f>
      </c>
      <c r="EF10" s="768">
        <f>IS!EF139</f>
      </c>
      <c r="EG10" s="965">
        <f>IS!EG139</f>
      </c>
      <c r="EH10" s="768">
        <f>IS!EH139</f>
      </c>
      <c r="EI10" s="768">
        <f>IS!EI139</f>
      </c>
      <c r="EJ10" s="768">
        <f>IS!EJ139</f>
      </c>
      <c r="EK10" s="768">
        <f>IS!EK139</f>
      </c>
      <c r="EL10" s="965">
        <f>IS!EL139</f>
      </c>
      <c r="EM10" s="768">
        <f>IS!EM139</f>
      </c>
      <c r="EN10" s="768">
        <f>IS!EN139</f>
      </c>
      <c r="EO10" s="768">
        <f>IS!EO139</f>
      </c>
      <c r="EP10" s="768">
        <f>IS!EP139</f>
      </c>
      <c r="EQ10" s="965">
        <f>IS!EQ139</f>
      </c>
      <c r="ER10" s="768">
        <f>IS!ER139</f>
      </c>
      <c r="ES10" s="768">
        <f>IS!ES139</f>
      </c>
      <c r="ET10" s="768">
        <f>IS!ET139</f>
      </c>
      <c r="EU10" s="768">
        <f>IS!EU139</f>
      </c>
      <c r="EV10" s="965">
        <f>IS!EV139</f>
      </c>
      <c r="EW10" s="955">
        <f>IS!EW139</f>
      </c>
      <c r="EX10" s="955">
        <f>IS!EX139</f>
      </c>
      <c r="EY10" s="955">
        <f>IS!EY139</f>
      </c>
      <c r="EZ10" s="955">
        <f>IS!EZ139</f>
      </c>
      <c r="FA10" s="965">
        <f>IS!FA139</f>
      </c>
      <c r="FB10" s="768">
        <f>IS!FB139</f>
      </c>
      <c r="FC10" s="768">
        <f>IS!FC139</f>
      </c>
      <c r="FD10" s="768">
        <f>IS!FD139</f>
      </c>
      <c r="FE10" s="768">
        <f>IS!FE139</f>
      </c>
      <c r="FF10" s="965">
        <f>IS!FF139</f>
      </c>
      <c r="FG10" s="768">
        <f>IS!FG139</f>
      </c>
      <c r="FH10" s="768">
        <f>IS!FH139</f>
      </c>
      <c r="FI10" s="768">
        <f>IS!FI139</f>
      </c>
      <c r="FJ10" s="768">
        <f>IS!FJ139</f>
      </c>
      <c r="FK10" s="965">
        <f>IS!FK139</f>
      </c>
      <c r="FL10" s="768">
        <f>IS!FL139</f>
      </c>
      <c r="FM10" s="768">
        <f>IS!FM139</f>
      </c>
      <c r="FN10" s="768">
        <f>IS!FN139</f>
      </c>
      <c r="FO10" s="768">
        <f>IS!FO139</f>
      </c>
      <c r="FP10" s="965">
        <f>IS!FP139</f>
      </c>
      <c r="FQ10" s="768">
        <f>IS!FQ139</f>
      </c>
      <c r="FR10" s="768">
        <f>IS!FR139</f>
      </c>
      <c r="FS10" s="768">
        <f>IS!FS139</f>
      </c>
      <c r="FT10" s="768">
        <f>IS!FT139</f>
      </c>
      <c r="FU10" s="965">
        <f>IS!FU139</f>
      </c>
      <c r="FV10" s="768">
        <f>IS!FV139</f>
      </c>
      <c r="FW10" s="768">
        <f>IS!FW139</f>
      </c>
      <c r="FX10" s="768">
        <f>IS!FX139</f>
      </c>
      <c r="FY10" s="768">
        <f>IS!FY139</f>
      </c>
      <c r="FZ10" s="965">
        <f>IS!FZ139</f>
      </c>
      <c r="GA10" s="768">
        <f>IS!GA139</f>
      </c>
      <c r="GB10" s="768">
        <f>IS!GB139</f>
      </c>
      <c r="GC10" s="768">
        <f>IS!GC139</f>
      </c>
      <c r="GD10" s="768">
        <f>IS!GD139</f>
      </c>
      <c r="GE10" s="965">
        <f>IS!GE139</f>
      </c>
      <c r="GF10" s="768">
        <f>IS!GF139</f>
      </c>
      <c r="GG10" s="768">
        <f>IS!GG139</f>
      </c>
      <c r="GH10" s="768">
        <f>IS!GH139</f>
      </c>
      <c r="GI10" s="768">
        <f>IS!GI139</f>
      </c>
      <c r="GJ10" s="965">
        <f>IS!GJ139</f>
      </c>
    </row>
    <row r="11" spans="1:192" s="273" customFormat="1" ht="12.75" hidden="1" customHeight="1" outlineLevel="1">
      <c r="A11" s="274"/>
      <c r="B11" s="719" t="s">
        <v>142</v>
      </c>
      <c r="C11" s="633">
        <v>0</v>
      </c>
      <c r="D11" s="633">
        <v>0</v>
      </c>
      <c r="E11" s="633">
        <v>0</v>
      </c>
      <c r="F11" s="633">
        <v>0</v>
      </c>
      <c r="G11" s="901">
        <f t="shared" ref="G11:G19" si="0">SUM(C11:F11)</f>
      </c>
      <c r="H11" s="633">
        <v>0</v>
      </c>
      <c r="I11" s="633">
        <v>0</v>
      </c>
      <c r="J11" s="633">
        <v>0</v>
      </c>
      <c r="K11" s="633">
        <v>0</v>
      </c>
      <c r="L11" s="901">
        <f>SUM(H11:K11)</f>
      </c>
      <c r="M11" s="633">
        <v>0</v>
      </c>
      <c r="N11" s="633">
        <v>0</v>
      </c>
      <c r="O11" s="633">
        <v>0</v>
      </c>
      <c r="P11" s="633">
        <v>0</v>
      </c>
      <c r="Q11" s="901">
        <f t="shared" ref="Q11:Q19" si="1">SUM(M11:P11)</f>
      </c>
      <c r="R11" s="633">
        <v>0</v>
      </c>
      <c r="S11" s="633">
        <v>0</v>
      </c>
      <c r="T11" s="633">
        <v>0</v>
      </c>
      <c r="U11" s="633">
        <v>0</v>
      </c>
      <c r="V11" s="901">
        <f t="shared" ref="V11:V19" si="2">SUM(R11:U11)</f>
      </c>
      <c r="W11" s="633">
        <v>0</v>
      </c>
      <c r="X11" s="633">
        <v>0</v>
      </c>
      <c r="Y11" s="633">
        <v>0</v>
      </c>
      <c r="Z11" s="633">
        <v>0</v>
      </c>
      <c r="AA11" s="901">
        <f>SUM(W11:Z11)</f>
      </c>
      <c r="AB11" s="633">
        <v>0</v>
      </c>
      <c r="AC11" s="633">
        <v>0</v>
      </c>
      <c r="AD11" s="633">
        <v>0</v>
      </c>
      <c r="AE11" s="633">
        <v>0</v>
      </c>
      <c r="AF11" s="901">
        <f>SUM(AB11:AE11)</f>
      </c>
      <c r="AG11" s="633">
        <v>0</v>
      </c>
      <c r="AH11" s="633">
        <v>0</v>
      </c>
      <c r="AI11" s="633">
        <v>0</v>
      </c>
      <c r="AJ11" s="633">
        <v>0</v>
      </c>
      <c r="AK11" s="901">
        <f>SUM(AG11:AJ11)</f>
      </c>
      <c r="AL11" s="633">
        <v>0</v>
      </c>
      <c r="AM11" s="633">
        <v>0</v>
      </c>
      <c r="AN11" s="633">
        <v>0</v>
      </c>
      <c r="AO11" s="633">
        <v>0</v>
      </c>
      <c r="AP11" s="901">
        <f>SUM(AL11:AO11)</f>
      </c>
      <c r="AQ11" s="633">
        <v>0</v>
      </c>
      <c r="AR11" s="633">
        <v>0</v>
      </c>
      <c r="AS11" s="633">
        <v>0</v>
      </c>
      <c r="AT11" s="633">
        <v>0</v>
      </c>
      <c r="AU11" s="901">
        <f>SUM(AQ11:AT11)</f>
      </c>
      <c r="AV11" s="633">
        <v>0</v>
      </c>
      <c r="AW11" s="633">
        <v>0</v>
      </c>
      <c r="AX11" s="633">
        <v>0</v>
      </c>
      <c r="AY11" s="633">
        <v>0</v>
      </c>
      <c r="AZ11" s="901">
        <f>SUM(AV11:AY11)</f>
      </c>
      <c r="BA11" s="633">
        <v>0</v>
      </c>
      <c r="BB11" s="633">
        <v>0</v>
      </c>
      <c r="BC11" s="633">
        <v>0</v>
      </c>
      <c r="BD11" s="633">
        <v>0</v>
      </c>
      <c r="BE11" s="901">
        <f>SUM(BA11:BD11)</f>
      </c>
      <c r="BF11" s="633">
        <v>0</v>
      </c>
      <c r="BG11" s="633">
        <v>0</v>
      </c>
      <c r="BH11" s="633">
        <v>0</v>
      </c>
      <c r="BI11" s="633">
        <v>0</v>
      </c>
      <c r="BJ11" s="901">
        <f>SUM(BF11:BI11)</f>
      </c>
      <c r="BK11" s="633">
        <v>0</v>
      </c>
      <c r="BL11" s="633">
        <v>0</v>
      </c>
      <c r="BM11" s="633">
        <v>0</v>
      </c>
      <c r="BN11" s="633">
        <v>0</v>
      </c>
      <c r="BO11" s="901">
        <f>SUM(BK11:BN11)</f>
      </c>
      <c r="BP11" s="633">
        <v>0</v>
      </c>
      <c r="BQ11" s="633">
        <v>0</v>
      </c>
      <c r="BR11" s="633">
        <v>0</v>
      </c>
      <c r="BS11" s="633">
        <v>0</v>
      </c>
      <c r="BT11" s="901">
        <f>SUM(BP11:BS11)</f>
      </c>
      <c r="BU11" s="633">
        <v>0</v>
      </c>
      <c r="BV11" s="633">
        <v>0</v>
      </c>
      <c r="BW11" s="633">
        <v>0</v>
      </c>
      <c r="BX11" s="633">
        <v>0</v>
      </c>
      <c r="BY11" s="901">
        <f t="shared" ref="BY11:BY19" si="3">SUM(BU11:BX11)</f>
      </c>
      <c r="BZ11" s="633">
        <v>0</v>
      </c>
      <c r="CA11" s="633">
        <v>0</v>
      </c>
      <c r="CB11" s="633">
        <v>0</v>
      </c>
      <c r="CC11" s="633">
        <v>0</v>
      </c>
      <c r="CD11" s="901">
        <f>SUM(BZ11:CC11)</f>
      </c>
      <c r="CE11" s="633">
        <v>0</v>
      </c>
      <c r="CF11" s="633">
        <v>0</v>
      </c>
      <c r="CG11" s="633">
        <v>0</v>
      </c>
      <c r="CH11" s="633">
        <v>0</v>
      </c>
      <c r="CI11" s="901">
        <f>SUM(CE11:CH11)</f>
      </c>
      <c r="CJ11" s="633">
        <v>0</v>
      </c>
      <c r="CK11" s="633">
        <v>0</v>
      </c>
      <c r="CL11" s="633">
        <v>0</v>
      </c>
      <c r="CM11" s="633">
        <v>6193</v>
      </c>
      <c r="CN11" s="901">
        <f>SUM(CJ11:CM11)</f>
      </c>
      <c r="CO11" s="633">
        <v>0</v>
      </c>
      <c r="CP11" s="633">
        <v>0</v>
      </c>
      <c r="CQ11" s="633">
        <v>0</v>
      </c>
      <c r="CR11" s="633">
        <v>0</v>
      </c>
      <c r="CS11" s="901">
        <f>SUM(CO11:CR11)</f>
      </c>
      <c r="CT11" s="633">
        <v>0</v>
      </c>
      <c r="CU11" s="633">
        <v>0</v>
      </c>
      <c r="CV11" s="633">
        <v>0</v>
      </c>
      <c r="CW11" s="633">
        <v>0</v>
      </c>
      <c r="CX11" s="901">
        <f>SUM(CT11:CW11)</f>
      </c>
      <c r="CY11" s="633">
        <v>0</v>
      </c>
      <c r="CZ11" s="633">
        <v>0</v>
      </c>
      <c r="DA11" s="633">
        <v>0</v>
      </c>
      <c r="DB11" s="633">
        <v>7498</v>
      </c>
      <c r="DC11" s="901">
        <f>SUM(CY11:DB11)</f>
      </c>
      <c r="DD11" s="633">
        <v>0</v>
      </c>
      <c r="DE11" s="633">
        <v>0</v>
      </c>
      <c r="DF11" s="633">
        <v>0</v>
      </c>
      <c r="DG11" s="633">
        <v>630</v>
      </c>
      <c r="DH11" s="901">
        <f>SUM(DD11:DG11)</f>
      </c>
      <c r="DI11" s="633">
        <v>0</v>
      </c>
      <c r="DJ11" s="633">
        <v>0</v>
      </c>
      <c r="DK11" s="633">
        <v>0</v>
      </c>
      <c r="DL11" s="633">
        <v>0</v>
      </c>
      <c r="DM11" s="901">
        <f>SUM(DI11:DL11)</f>
      </c>
      <c r="DN11" s="633">
        <v>0</v>
      </c>
      <c r="DO11" s="633">
        <v>0</v>
      </c>
      <c r="DP11" s="633">
        <v>0</v>
      </c>
      <c r="DQ11" s="633">
        <v>0</v>
      </c>
      <c r="DR11" s="901">
        <f>SUM(DN11:DQ11)</f>
      </c>
      <c r="DS11" s="633">
        <v>0</v>
      </c>
      <c r="DT11" s="633">
        <v>0</v>
      </c>
      <c r="DU11" s="633">
        <v>0</v>
      </c>
      <c r="DV11" s="633">
        <v>0</v>
      </c>
      <c r="DW11" s="901">
        <f>SUM(DS11:DV11)</f>
      </c>
      <c r="DX11" s="633">
        <v>0</v>
      </c>
      <c r="DY11" s="633">
        <v>0</v>
      </c>
      <c r="DZ11" s="633">
        <v>0</v>
      </c>
      <c r="EA11" s="633">
        <v>0</v>
      </c>
      <c r="EB11" s="901">
        <f>SUM(DX11:EA11)</f>
      </c>
      <c r="EC11" s="633">
        <v>0</v>
      </c>
      <c r="ED11" s="633">
        <v>0</v>
      </c>
      <c r="EE11" s="633">
        <v>0</v>
      </c>
      <c r="EF11" s="633">
        <v>0</v>
      </c>
      <c r="EG11" s="901">
        <f>SUM(EC11:EF11)</f>
      </c>
      <c r="EH11" s="633">
        <v>0</v>
      </c>
      <c r="EI11" s="633">
        <v>0</v>
      </c>
      <c r="EJ11" s="633">
        <v>0</v>
      </c>
      <c r="EK11" s="633">
        <v>0</v>
      </c>
      <c r="EL11" s="901">
        <f>SUM(EH11:EK11)</f>
      </c>
      <c r="EM11" s="633">
        <v>0</v>
      </c>
      <c r="EN11" s="633">
        <v>0</v>
      </c>
      <c r="EO11" s="633">
        <v>0</v>
      </c>
      <c r="EP11" s="633">
        <v>0</v>
      </c>
      <c r="EQ11" s="901">
        <f>SUM(EM11:EP11)</f>
      </c>
      <c r="ER11" s="633">
        <v>0</v>
      </c>
      <c r="ES11" s="633">
        <v>0</v>
      </c>
      <c r="ET11" s="633">
        <v>0</v>
      </c>
      <c r="EU11" s="633">
        <v>0</v>
      </c>
      <c r="EV11" s="901"/>
      <c r="EW11" s="633">
        <v>0</v>
      </c>
      <c r="EX11" s="954">
        <v>0</v>
      </c>
      <c r="EY11" s="954">
        <v>0</v>
      </c>
      <c r="EZ11" s="954">
        <v>0</v>
      </c>
      <c r="FA11" s="901"/>
      <c r="FB11" s="948"/>
      <c r="FC11" s="948"/>
      <c r="FD11" s="948"/>
      <c r="FE11" s="948"/>
      <c r="FF11" s="901"/>
      <c r="FG11" s="948"/>
      <c r="FH11" s="948"/>
      <c r="FI11" s="948"/>
      <c r="FJ11" s="948"/>
      <c r="FK11" s="901"/>
      <c r="FL11" s="948"/>
      <c r="FM11" s="948"/>
      <c r="FN11" s="948"/>
      <c r="FO11" s="948"/>
      <c r="FP11" s="901"/>
      <c r="FQ11" s="948"/>
      <c r="FR11" s="948"/>
      <c r="FS11" s="948"/>
      <c r="FT11" s="948"/>
      <c r="FU11" s="901"/>
      <c r="FV11" s="948"/>
      <c r="FW11" s="948"/>
      <c r="FX11" s="948"/>
      <c r="FY11" s="948"/>
      <c r="FZ11" s="901"/>
      <c r="GA11" s="948"/>
      <c r="GB11" s="948"/>
      <c r="GC11" s="948"/>
      <c r="GD11" s="948"/>
      <c r="GE11" s="901"/>
      <c r="GF11" s="948"/>
      <c r="GG11" s="948"/>
      <c r="GH11" s="948"/>
      <c r="GI11" s="948"/>
      <c r="GJ11" s="901"/>
    </row>
    <row r="12" spans="1:192" s="273" customFormat="1" ht="12.75" hidden="1" customHeight="1" outlineLevel="1">
      <c r="A12" s="274"/>
      <c r="B12" s="719" t="s">
        <v>417</v>
      </c>
      <c r="C12" s="633">
        <v>0</v>
      </c>
      <c r="D12" s="633">
        <v>0</v>
      </c>
      <c r="E12" s="633">
        <v>0</v>
      </c>
      <c r="F12" s="633">
        <v>0</v>
      </c>
      <c r="G12" s="901">
        <f t="shared" si="0"/>
      </c>
      <c r="H12" s="633">
        <v>0</v>
      </c>
      <c r="I12" s="633">
        <v>0</v>
      </c>
      <c r="J12" s="633">
        <v>0</v>
      </c>
      <c r="K12" s="633">
        <v>0</v>
      </c>
      <c r="L12" s="901">
        <f>SUM(H12:K12)</f>
      </c>
      <c r="M12" s="633">
        <v>162</v>
      </c>
      <c r="N12" s="633">
        <f>306-M12</f>
      </c>
      <c r="O12" s="633">
        <f>414-N12-M12</f>
      </c>
      <c r="P12" s="633">
        <f>557-O12-N12-M12</f>
      </c>
      <c r="Q12" s="901">
        <f t="shared" si="1"/>
      </c>
      <c r="R12" s="633">
        <v>228</v>
      </c>
      <c r="S12" s="633">
        <f>497-R12</f>
      </c>
      <c r="T12" s="633">
        <f>776-S12-R12</f>
      </c>
      <c r="U12" s="633">
        <f>1024-T12-S12-R12</f>
      </c>
      <c r="V12" s="901">
        <f t="shared" si="2"/>
      </c>
      <c r="W12" s="633">
        <v>0</v>
      </c>
      <c r="X12" s="633">
        <v>0</v>
      </c>
      <c r="Y12" s="633">
        <v>0</v>
      </c>
      <c r="Z12" s="633">
        <v>0</v>
      </c>
      <c r="AA12" s="901">
        <f>SUM(W12:Z12)</f>
      </c>
      <c r="AB12" s="633">
        <v>0</v>
      </c>
      <c r="AC12" s="633">
        <v>0</v>
      </c>
      <c r="AD12" s="633">
        <v>0</v>
      </c>
      <c r="AE12" s="633">
        <v>0</v>
      </c>
      <c r="AF12" s="901">
        <f>SUM(AB12:AE12)</f>
      </c>
      <c r="AG12" s="633">
        <v>375</v>
      </c>
      <c r="AH12" s="633">
        <f>375-AG12</f>
      </c>
      <c r="AI12" s="633">
        <f>375-AH12-AG12</f>
      </c>
      <c r="AJ12" s="633">
        <f>375-AI12-AH12-AG12</f>
      </c>
      <c r="AK12" s="901">
        <f>SUM(AG12:AJ12)</f>
      </c>
      <c r="AL12" s="633">
        <v>0</v>
      </c>
      <c r="AM12" s="633">
        <v>0</v>
      </c>
      <c r="AN12" s="633">
        <v>0</v>
      </c>
      <c r="AO12" s="633">
        <v>0</v>
      </c>
      <c r="AP12" s="901">
        <f>SUM(AL12:AO12)</f>
      </c>
      <c r="AQ12" s="633">
        <v>0</v>
      </c>
      <c r="AR12" s="633">
        <v>0</v>
      </c>
      <c r="AS12" s="633">
        <v>0</v>
      </c>
      <c r="AT12" s="633">
        <v>0</v>
      </c>
      <c r="AU12" s="901">
        <f>SUM(AQ12:AT12)</f>
      </c>
      <c r="AV12" s="633">
        <v>0</v>
      </c>
      <c r="AW12" s="633">
        <v>0</v>
      </c>
      <c r="AX12" s="633">
        <v>0</v>
      </c>
      <c r="AY12" s="633">
        <v>0</v>
      </c>
      <c r="AZ12" s="901">
        <f>SUM(AV12:AY12)</f>
      </c>
      <c r="BA12" s="633">
        <v>0</v>
      </c>
      <c r="BB12" s="633">
        <v>0</v>
      </c>
      <c r="BC12" s="633">
        <v>0</v>
      </c>
      <c r="BD12" s="633">
        <v>0</v>
      </c>
      <c r="BE12" s="901">
        <f>SUM(BA12:BD12)</f>
      </c>
      <c r="BF12" s="633">
        <v>0</v>
      </c>
      <c r="BG12" s="633">
        <v>0</v>
      </c>
      <c r="BH12" s="633">
        <v>0</v>
      </c>
      <c r="BI12" s="633">
        <v>0</v>
      </c>
      <c r="BJ12" s="901">
        <f>SUM(BF12:BI12)</f>
      </c>
      <c r="BK12" s="633">
        <v>0</v>
      </c>
      <c r="BL12" s="633">
        <v>0</v>
      </c>
      <c r="BM12" s="633">
        <v>0</v>
      </c>
      <c r="BN12" s="633">
        <v>0</v>
      </c>
      <c r="BO12" s="901">
        <f>SUM(BK12:BN12)</f>
      </c>
      <c r="BP12" s="633">
        <v>0</v>
      </c>
      <c r="BQ12" s="633">
        <v>0</v>
      </c>
      <c r="BR12" s="633">
        <v>0</v>
      </c>
      <c r="BS12" s="633">
        <v>0</v>
      </c>
      <c r="BT12" s="901">
        <f>SUM(BP12:BS12)</f>
      </c>
      <c r="BU12" s="633">
        <v>0</v>
      </c>
      <c r="BV12" s="633">
        <v>0</v>
      </c>
      <c r="BW12" s="633">
        <v>0</v>
      </c>
      <c r="BX12" s="633">
        <v>0</v>
      </c>
      <c r="BY12" s="901">
        <f t="shared" si="3"/>
      </c>
      <c r="BZ12" s="633">
        <v>0</v>
      </c>
      <c r="CA12" s="633">
        <v>0</v>
      </c>
      <c r="CB12" s="633">
        <v>0</v>
      </c>
      <c r="CC12" s="633">
        <v>0</v>
      </c>
      <c r="CD12" s="901">
        <f>SUM(BZ12:CC12)</f>
      </c>
      <c r="CE12" s="633">
        <v>0</v>
      </c>
      <c r="CF12" s="633">
        <v>0</v>
      </c>
      <c r="CG12" s="633">
        <v>0</v>
      </c>
      <c r="CH12" s="633">
        <v>0</v>
      </c>
      <c r="CI12" s="901">
        <f>SUM(CE12:CH12)</f>
      </c>
      <c r="CJ12" s="633">
        <v>0</v>
      </c>
      <c r="CK12" s="633">
        <v>0</v>
      </c>
      <c r="CL12" s="633">
        <v>0</v>
      </c>
      <c r="CM12" s="633">
        <v>0</v>
      </c>
      <c r="CN12" s="901">
        <f>SUM(CJ12:CM12)</f>
      </c>
      <c r="CO12" s="633">
        <v>0</v>
      </c>
      <c r="CP12" s="633">
        <v>0</v>
      </c>
      <c r="CQ12" s="633">
        <v>0</v>
      </c>
      <c r="CR12" s="633">
        <v>0</v>
      </c>
      <c r="CS12" s="901">
        <f>SUM(CO12:CR12)</f>
      </c>
      <c r="CT12" s="633">
        <v>0</v>
      </c>
      <c r="CU12" s="633">
        <v>0</v>
      </c>
      <c r="CV12" s="633">
        <v>0</v>
      </c>
      <c r="CW12" s="633">
        <v>0</v>
      </c>
      <c r="CX12" s="901">
        <f>SUM(CT12:CW12)</f>
      </c>
      <c r="CY12" s="633">
        <v>0</v>
      </c>
      <c r="CZ12" s="633">
        <v>0</v>
      </c>
      <c r="DA12" s="633">
        <v>0</v>
      </c>
      <c r="DB12" s="633">
        <v>0</v>
      </c>
      <c r="DC12" s="901">
        <f>SUM(CY12:DB12)</f>
      </c>
      <c r="DD12" s="633">
        <v>0</v>
      </c>
      <c r="DE12" s="633">
        <v>0</v>
      </c>
      <c r="DF12" s="633">
        <v>0</v>
      </c>
      <c r="DG12" s="633">
        <v>0</v>
      </c>
      <c r="DH12" s="901">
        <f>SUM(DD12:DG12)</f>
      </c>
      <c r="DI12" s="633">
        <v>0</v>
      </c>
      <c r="DJ12" s="633">
        <v>0</v>
      </c>
      <c r="DK12" s="633">
        <v>0</v>
      </c>
      <c r="DL12" s="633">
        <v>0</v>
      </c>
      <c r="DM12" s="901">
        <f>SUM(DI12:DL12)</f>
      </c>
      <c r="DN12" s="633">
        <v>0</v>
      </c>
      <c r="DO12" s="633">
        <v>0</v>
      </c>
      <c r="DP12" s="633">
        <v>0</v>
      </c>
      <c r="DQ12" s="633">
        <v>0</v>
      </c>
      <c r="DR12" s="901">
        <f>SUM(DN12:DQ12)</f>
      </c>
      <c r="DS12" s="633">
        <v>0</v>
      </c>
      <c r="DT12" s="633">
        <v>0</v>
      </c>
      <c r="DU12" s="633">
        <v>0</v>
      </c>
      <c r="DV12" s="633">
        <v>0</v>
      </c>
      <c r="DW12" s="901">
        <f>SUM(DS12:DV12)</f>
      </c>
      <c r="DX12" s="633">
        <v>0</v>
      </c>
      <c r="DY12" s="633">
        <v>0</v>
      </c>
      <c r="DZ12" s="633">
        <v>0</v>
      </c>
      <c r="EA12" s="633">
        <v>0</v>
      </c>
      <c r="EB12" s="901">
        <f>SUM(DX12:EA12)</f>
      </c>
      <c r="EC12" s="633">
        <v>0</v>
      </c>
      <c r="ED12" s="633">
        <v>0</v>
      </c>
      <c r="EE12" s="633">
        <v>0</v>
      </c>
      <c r="EF12" s="633">
        <v>0</v>
      </c>
      <c r="EG12" s="901">
        <f>SUM(EC12:EF12)</f>
      </c>
      <c r="EH12" s="633">
        <v>0</v>
      </c>
      <c r="EI12" s="633">
        <v>0</v>
      </c>
      <c r="EJ12" s="633">
        <v>0</v>
      </c>
      <c r="EK12" s="633">
        <v>0</v>
      </c>
      <c r="EL12" s="901">
        <f>SUM(EH12:EK12)</f>
      </c>
      <c r="EM12" s="633">
        <v>0</v>
      </c>
      <c r="EN12" s="633">
        <v>0</v>
      </c>
      <c r="EO12" s="633">
        <v>0</v>
      </c>
      <c r="EP12" s="633">
        <v>0</v>
      </c>
      <c r="EQ12" s="901">
        <f>SUM(EM12:EP12)</f>
      </c>
      <c r="ER12" s="633">
        <v>0</v>
      </c>
      <c r="ES12" s="633">
        <v>0</v>
      </c>
      <c r="ET12" s="954">
        <v>0</v>
      </c>
      <c r="EU12" s="954">
        <v>0</v>
      </c>
      <c r="EV12" s="901"/>
      <c r="EW12" s="954">
        <v>0</v>
      </c>
      <c r="EX12" s="954">
        <v>0</v>
      </c>
      <c r="EY12" s="954">
        <v>0</v>
      </c>
      <c r="EZ12" s="954">
        <v>0</v>
      </c>
      <c r="FA12" s="901"/>
      <c r="FB12" s="948"/>
      <c r="FC12" s="948"/>
      <c r="FD12" s="948"/>
      <c r="FE12" s="948"/>
      <c r="FF12" s="901"/>
      <c r="FG12" s="948"/>
      <c r="FH12" s="948"/>
      <c r="FI12" s="948"/>
      <c r="FJ12" s="948"/>
      <c r="FK12" s="901"/>
      <c r="FL12" s="948"/>
      <c r="FM12" s="948"/>
      <c r="FN12" s="948"/>
      <c r="FO12" s="948"/>
      <c r="FP12" s="901"/>
      <c r="FQ12" s="948"/>
      <c r="FR12" s="948"/>
      <c r="FS12" s="948"/>
      <c r="FT12" s="948"/>
      <c r="FU12" s="901"/>
      <c r="FV12" s="948"/>
      <c r="FW12" s="948"/>
      <c r="FX12" s="948"/>
      <c r="FY12" s="948"/>
      <c r="FZ12" s="901"/>
      <c r="GA12" s="948"/>
      <c r="GB12" s="948"/>
      <c r="GC12" s="948"/>
      <c r="GD12" s="948"/>
      <c r="GE12" s="901"/>
      <c r="GF12" s="948"/>
      <c r="GG12" s="948"/>
      <c r="GH12" s="948"/>
      <c r="GI12" s="948"/>
      <c r="GJ12" s="901"/>
    </row>
    <row r="13" spans="1:192" s="273" customFormat="1" ht="12.75" customHeight="1" collapsed="1">
      <c r="A13" s="274"/>
      <c r="B13" s="719" t="s">
        <v>121</v>
      </c>
      <c r="C13" s="633">
        <v>67</v>
      </c>
      <c r="D13" s="633">
        <f>133-C13</f>
      </c>
      <c r="E13" s="633">
        <f>203-D13-C13</f>
      </c>
      <c r="F13" s="633">
        <f>269-E13-D13-C13</f>
      </c>
      <c r="G13" s="901">
        <f t="shared" si="0"/>
      </c>
      <c r="H13" s="633">
        <v>69</v>
      </c>
      <c r="I13" s="633">
        <f>147-H13</f>
      </c>
      <c r="J13" s="633">
        <f>336-I13-H13</f>
      </c>
      <c r="K13" s="633">
        <f>480-J13-I13-H13</f>
      </c>
      <c r="L13" s="901">
        <f>SUM(H13:K13)</f>
      </c>
      <c r="M13" s="633">
        <v>0</v>
      </c>
      <c r="N13" s="633">
        <v>0</v>
      </c>
      <c r="O13" s="633">
        <v>0</v>
      </c>
      <c r="P13" s="633">
        <v>0</v>
      </c>
      <c r="Q13" s="901">
        <f t="shared" si="1"/>
      </c>
      <c r="R13" s="633">
        <v>0</v>
      </c>
      <c r="S13" s="633">
        <v>0</v>
      </c>
      <c r="T13" s="633">
        <v>0</v>
      </c>
      <c r="U13" s="633">
        <v>0</v>
      </c>
      <c r="V13" s="901">
        <f t="shared" si="2"/>
      </c>
      <c r="W13" s="633">
        <v>179</v>
      </c>
      <c r="X13" s="633">
        <f>356-W13</f>
      </c>
      <c r="Y13" s="633">
        <f>514-X13-W13</f>
      </c>
      <c r="Z13" s="633">
        <f>926-Y13-X13-W13</f>
      </c>
      <c r="AA13" s="901">
        <f t="shared" ref="AA13:AA19" si="4">SUM(W13:Z13)</f>
      </c>
      <c r="AB13" s="633">
        <v>440</v>
      </c>
      <c r="AC13" s="633">
        <f>765-AB13</f>
      </c>
      <c r="AD13" s="633">
        <f>1040-AC13-AB13</f>
      </c>
      <c r="AE13" s="633">
        <f>748-AD13-AC13-AB13</f>
      </c>
      <c r="AF13" s="901">
        <f t="shared" ref="AF13:AF19" si="5">SUM(AB13:AE13)</f>
      </c>
      <c r="AG13" s="633">
        <v>250</v>
      </c>
      <c r="AH13" s="633">
        <f>489-AG13</f>
      </c>
      <c r="AI13" s="633">
        <f>972-AH13-AG13</f>
      </c>
      <c r="AJ13" s="633">
        <f>1536-AI13-AH13-AG13</f>
      </c>
      <c r="AK13" s="901">
        <f t="shared" ref="AK13:AK19" si="6">SUM(AG13:AJ13)</f>
      </c>
      <c r="AL13" s="633">
        <v>282</v>
      </c>
      <c r="AM13" s="633">
        <f>577-AL13</f>
      </c>
      <c r="AN13" s="633">
        <f>725-AM13-AL13</f>
      </c>
      <c r="AO13" s="633">
        <f>1084-AN13-AM13-AL13</f>
      </c>
      <c r="AP13" s="901">
        <f t="shared" ref="AP13:AP19" si="7">SUM(AL13:AO13)</f>
      </c>
      <c r="AQ13" s="633">
        <v>273</v>
      </c>
      <c r="AR13" s="633">
        <v>275</v>
      </c>
      <c r="AS13" s="633">
        <v>383</v>
      </c>
      <c r="AT13" s="633">
        <v>462</v>
      </c>
      <c r="AU13" s="901">
        <f t="shared" ref="AU13:AU19" si="8">SUM(AQ13:AT13)</f>
      </c>
      <c r="AV13" s="633">
        <v>328</v>
      </c>
      <c r="AW13" s="633">
        <v>300</v>
      </c>
      <c r="AX13" s="633">
        <v>249</v>
      </c>
      <c r="AY13" s="633">
        <v>309</v>
      </c>
      <c r="AZ13" s="901">
        <f t="shared" ref="AZ13:AZ19" si="9">SUM(AV13:AY13)</f>
      </c>
      <c r="BA13" s="633">
        <v>183</v>
      </c>
      <c r="BB13" s="633">
        <v>108</v>
      </c>
      <c r="BC13" s="633">
        <v>282</v>
      </c>
      <c r="BD13" s="633">
        <v>282</v>
      </c>
      <c r="BE13" s="901">
        <f t="shared" ref="BE13:BE19" si="10">SUM(BA13:BD13)</f>
      </c>
      <c r="BF13" s="633">
        <v>234</v>
      </c>
      <c r="BG13" s="633">
        <v>231</v>
      </c>
      <c r="BH13" s="633">
        <v>177</v>
      </c>
      <c r="BI13" s="633">
        <v>261</v>
      </c>
      <c r="BJ13" s="901">
        <f t="shared" ref="BJ13:BJ19" si="11">SUM(BF13:BI13)</f>
      </c>
      <c r="BK13" s="633">
        <v>249</v>
      </c>
      <c r="BL13" s="633">
        <v>365</v>
      </c>
      <c r="BM13" s="633">
        <v>445</v>
      </c>
      <c r="BN13" s="633">
        <v>381</v>
      </c>
      <c r="BO13" s="901">
        <f t="shared" ref="BO13:BO19" si="12">SUM(BK13:BN13)</f>
      </c>
      <c r="BP13" s="633">
        <v>435</v>
      </c>
      <c r="BQ13" s="633">
        <v>481</v>
      </c>
      <c r="BR13" s="633">
        <v>532</v>
      </c>
      <c r="BS13" s="633">
        <v>608</v>
      </c>
      <c r="BT13" s="901">
        <f t="shared" ref="BT13:BT19" si="13">SUM(BP13:BS13)</f>
      </c>
      <c r="BU13" s="633">
        <v>585</v>
      </c>
      <c r="BV13" s="633">
        <v>632</v>
      </c>
      <c r="BW13" s="633">
        <v>664</v>
      </c>
      <c r="BX13" s="633">
        <v>681</v>
      </c>
      <c r="BY13" s="901">
        <f t="shared" si="3"/>
      </c>
      <c r="BZ13" s="633">
        <v>646</v>
      </c>
      <c r="CA13" s="633">
        <v>615</v>
      </c>
      <c r="CB13" s="633">
        <v>694</v>
      </c>
      <c r="CC13" s="633">
        <v>718</v>
      </c>
      <c r="CD13" s="901">
        <f t="shared" ref="CD13:CD19" si="14">SUM(BZ13:CC13)</f>
      </c>
      <c r="CE13" s="633">
        <v>694</v>
      </c>
      <c r="CF13" s="633">
        <v>663</v>
      </c>
      <c r="CG13" s="633">
        <v>720</v>
      </c>
      <c r="CH13" s="633">
        <v>689</v>
      </c>
      <c r="CI13" s="901">
        <f t="shared" ref="CI13:CI19" si="15">SUM(CE13:CH13)</f>
      </c>
      <c r="CJ13" s="633">
        <v>726</v>
      </c>
      <c r="CK13" s="633">
        <v>678</v>
      </c>
      <c r="CL13" s="633">
        <v>766</v>
      </c>
      <c r="CM13" s="633">
        <v>797</v>
      </c>
      <c r="CN13" s="901">
        <f t="shared" ref="CN13:CN19" si="16">SUM(CJ13:CM13)</f>
      </c>
      <c r="CO13" s="633">
        <v>710</v>
      </c>
      <c r="CP13" s="633">
        <v>1009</v>
      </c>
      <c r="CQ13" s="633">
        <v>1053</v>
      </c>
      <c r="CR13" s="633">
        <v>983</v>
      </c>
      <c r="CS13" s="901">
        <f t="shared" ref="CS13:CS18" si="17">SUM(CO13:CR13)</f>
      </c>
      <c r="CT13" s="633">
        <v>954</v>
      </c>
      <c r="CU13" s="633">
        <v>1261</v>
      </c>
      <c r="CV13" s="633">
        <v>1255</v>
      </c>
      <c r="CW13" s="633">
        <v>1742</v>
      </c>
      <c r="CX13" s="901">
        <f t="shared" ref="CX13:CX18" si="18">SUM(CT13:CW13)</f>
      </c>
      <c r="CY13" s="633">
        <v>1428</v>
      </c>
      <c r="CZ13" s="633">
        <v>1521</v>
      </c>
      <c r="DA13" s="633">
        <v>1515</v>
      </c>
      <c r="DB13" s="633">
        <v>1493</v>
      </c>
      <c r="DC13" s="901">
        <f t="shared" ref="DC13:DC19" si="19">SUM(CY13:DB13)</f>
      </c>
      <c r="DD13" s="633">
        <v>1461</v>
      </c>
      <c r="DE13" s="633">
        <v>1544</v>
      </c>
      <c r="DF13" s="633">
        <v>1707</v>
      </c>
      <c r="DG13" s="633">
        <v>1910</v>
      </c>
      <c r="DH13" s="901">
        <f t="shared" ref="DH13:DH19" si="20">SUM(DD13:DG13)</f>
      </c>
      <c r="DI13" s="633">
        <v>1816</v>
      </c>
      <c r="DJ13" s="633">
        <v>2166</v>
      </c>
      <c r="DK13" s="633">
        <v>2453</v>
      </c>
      <c r="DL13" s="633">
        <v>2343</v>
      </c>
      <c r="DM13" s="901">
        <f t="shared" ref="DM13:DM18" si="21">SUM(DI13:DL13)</f>
      </c>
      <c r="DN13" s="633">
        <v>2499</v>
      </c>
      <c r="DO13" s="633">
        <v>2536</v>
      </c>
      <c r="DP13" s="633">
        <v>2710</v>
      </c>
      <c r="DQ13" s="633">
        <v>2516</v>
      </c>
      <c r="DR13" s="901">
        <f t="shared" ref="DR13:DR19" si="22">SUM(DN13:DQ13)</f>
      </c>
      <c r="DS13" s="633">
        <v>2837</v>
      </c>
      <c r="DT13" s="633">
        <v>2995</v>
      </c>
      <c r="DU13" s="633">
        <v>2926</v>
      </c>
      <c r="DV13" s="633">
        <v>2924</v>
      </c>
      <c r="DW13" s="901">
        <f t="shared" ref="DW13:DW19" si="23">SUM(DS13:DV13)</f>
      </c>
      <c r="DX13" s="633">
        <v>2971</v>
      </c>
      <c r="DY13" s="633">
        <v>3203</v>
      </c>
      <c r="DZ13" s="633">
        <v>3118</v>
      </c>
      <c r="EA13" s="633">
        <v>3504</v>
      </c>
      <c r="EB13" s="901">
        <f t="shared" ref="EB13:EB19" si="24">SUM(DX13:EA13)</f>
      </c>
      <c r="EC13" s="633">
        <v>2645</v>
      </c>
      <c r="ED13" s="633">
        <v>2761</v>
      </c>
      <c r="EE13" s="633">
        <v>2936</v>
      </c>
      <c r="EF13" s="633">
        <v>3344</v>
      </c>
      <c r="EG13" s="901">
        <f t="shared" ref="EG13:EG18" si="25">SUM(EC13:EF13)</f>
      </c>
      <c r="EH13" s="633">
        <v>3212</v>
      </c>
      <c r="EI13" s="633">
        <v>3496</v>
      </c>
      <c r="EJ13" s="633">
        <v>3773</v>
      </c>
      <c r="EK13" s="633">
        <v>3979</v>
      </c>
      <c r="EL13" s="901">
        <f t="shared" ref="EL13:EL19" si="26">SUM(EH13:EK13)</f>
      </c>
      <c r="EM13" s="633">
        <v>2790</v>
      </c>
      <c r="EN13" s="633">
        <v>3648</v>
      </c>
      <c r="EO13" s="633">
        <v>3549</v>
      </c>
      <c r="EP13" s="633">
        <v>3874</v>
      </c>
      <c r="EQ13" s="901">
        <f t="shared" ref="EQ13:EQ18" si="27">SUM(EM13:EP13)</f>
      </c>
      <c r="ER13" s="633">
        <v>3921</v>
      </c>
      <c r="ES13" s="633">
        <v>5959</v>
      </c>
      <c r="ET13" s="954">
        <v>6027</v>
      </c>
      <c r="EU13" s="954">
        <v>6380</v>
      </c>
      <c r="EV13" s="901">
        <f t="shared" ref="EV13:EV19" si="28">SUM(ER13:EU13)</f>
      </c>
      <c r="EW13" s="954">
        <v>7383</v>
      </c>
      <c r="EX13" s="954">
        <v>6827</v>
      </c>
      <c r="EY13" s="954">
        <v>8740</v>
      </c>
      <c r="EZ13" s="954">
        <v>11203</v>
      </c>
      <c r="FA13" s="901">
        <f t="shared" ref="FA13:FA19" si="29">SUM(EW13:EZ13)</f>
      </c>
      <c r="FB13" s="768">
        <f>BS!FB136+BS!FB137</f>
      </c>
      <c r="FC13" s="768">
        <f>BS!FC136+BS!FC137</f>
      </c>
      <c r="FD13" s="768">
        <f>BS!FD136+BS!FD137</f>
      </c>
      <c r="FE13" s="768">
        <f>BS!FE136+BS!FE137</f>
      </c>
      <c r="FF13" s="901">
        <f t="shared" ref="FF13:FF19" si="30">SUM(FB13:FE13)</f>
      </c>
      <c r="FG13" s="768">
        <f>BS!FG136+BS!FG137</f>
      </c>
      <c r="FH13" s="768">
        <f>BS!FH136+BS!FH137</f>
      </c>
      <c r="FI13" s="768">
        <f>BS!FI136+BS!FI137</f>
      </c>
      <c r="FJ13" s="768">
        <f>BS!FJ136+BS!FJ137</f>
      </c>
      <c r="FK13" s="901">
        <f t="shared" ref="FK13:FK19" si="31">SUM(FG13:FJ13)</f>
      </c>
      <c r="FL13" s="768">
        <f>BS!FL136+BS!FL137</f>
      </c>
      <c r="FM13" s="768">
        <f>BS!FM136+BS!FM137</f>
      </c>
      <c r="FN13" s="768">
        <f>BS!FN136+BS!FN137</f>
      </c>
      <c r="FO13" s="768">
        <f>BS!FO136+BS!FO137</f>
      </c>
      <c r="FP13" s="901">
        <f t="shared" ref="FP13:FP19" si="32">SUM(FL13:FO13)</f>
      </c>
      <c r="FQ13" s="768">
        <f>BS!FQ136+BS!FQ137</f>
      </c>
      <c r="FR13" s="768">
        <f>BS!FR136+BS!FR137</f>
      </c>
      <c r="FS13" s="768">
        <f>BS!FS136+BS!FS137</f>
      </c>
      <c r="FT13" s="768">
        <f>BS!FT136+BS!FT137</f>
      </c>
      <c r="FU13" s="901">
        <f t="shared" ref="FU13:FU19" si="33">SUM(FQ13:FT13)</f>
      </c>
      <c r="FV13" s="768">
        <f>BS!FV136+BS!FV137</f>
      </c>
      <c r="FW13" s="768">
        <f>BS!FW136+BS!FW137</f>
      </c>
      <c r="FX13" s="768">
        <f>BS!FX136+BS!FX137</f>
      </c>
      <c r="FY13" s="768">
        <f>BS!FY136+BS!FY137</f>
      </c>
      <c r="FZ13" s="901">
        <f t="shared" ref="FZ13:FZ19" si="34">SUM(FV13:FY13)</f>
      </c>
      <c r="GA13" s="768">
        <f>BS!GA136+BS!GA137</f>
      </c>
      <c r="GB13" s="768">
        <f>BS!GB136+BS!GB137</f>
      </c>
      <c r="GC13" s="768">
        <f>BS!GC136+BS!GC137</f>
      </c>
      <c r="GD13" s="768">
        <f>BS!GD136+BS!GD137</f>
      </c>
      <c r="GE13" s="901">
        <f t="shared" ref="GE13:GE19" si="35">SUM(GA13:GD13)</f>
      </c>
      <c r="GF13" s="768">
        <f>BS!GF136+BS!GF137</f>
      </c>
      <c r="GG13" s="768">
        <f>BS!GG136+BS!GG137</f>
      </c>
      <c r="GH13" s="768">
        <f>BS!GH136+BS!GH137</f>
      </c>
      <c r="GI13" s="768">
        <f>BS!GI136+BS!GI137</f>
      </c>
      <c r="GJ13" s="901">
        <f t="shared" ref="GJ13:GJ19" si="36">SUM(GF13:GI13)</f>
      </c>
    </row>
    <row r="14" spans="1:192" s="273" customFormat="1" ht="12.75" customHeight="1">
      <c r="A14" s="274"/>
      <c r="B14" s="719" t="s">
        <v>109</v>
      </c>
      <c r="C14" s="633">
        <v>0</v>
      </c>
      <c r="D14" s="633">
        <v>0</v>
      </c>
      <c r="E14" s="633">
        <v>0</v>
      </c>
      <c r="F14" s="633">
        <v>0</v>
      </c>
      <c r="G14" s="901">
        <f t="shared" si="0"/>
      </c>
      <c r="H14" s="633">
        <v>0</v>
      </c>
      <c r="I14" s="633">
        <v>0</v>
      </c>
      <c r="J14" s="633">
        <v>0</v>
      </c>
      <c r="K14" s="633">
        <v>0</v>
      </c>
      <c r="L14" s="901">
        <f t="shared" ref="L14:L19" si="37">SUM(H14:K14)</f>
      </c>
      <c r="M14" s="633">
        <v>0</v>
      </c>
      <c r="N14" s="633">
        <v>0</v>
      </c>
      <c r="O14" s="633">
        <v>0</v>
      </c>
      <c r="P14" s="633">
        <v>0</v>
      </c>
      <c r="Q14" s="901">
        <f t="shared" si="1"/>
      </c>
      <c r="R14" s="633">
        <v>0</v>
      </c>
      <c r="S14" s="633">
        <v>0</v>
      </c>
      <c r="T14" s="633">
        <v>0</v>
      </c>
      <c r="U14" s="633">
        <v>0</v>
      </c>
      <c r="V14" s="901">
        <f t="shared" si="2"/>
      </c>
      <c r="W14" s="633">
        <v>0</v>
      </c>
      <c r="X14" s="633">
        <v>0</v>
      </c>
      <c r="Y14" s="633">
        <v>0</v>
      </c>
      <c r="Z14" s="633">
        <v>0</v>
      </c>
      <c r="AA14" s="901">
        <f>SUM(W14:Z14)</f>
      </c>
      <c r="AB14" s="633">
        <v>0</v>
      </c>
      <c r="AC14" s="633">
        <v>0</v>
      </c>
      <c r="AD14" s="633">
        <v>0</v>
      </c>
      <c r="AE14" s="633">
        <v>0</v>
      </c>
      <c r="AF14" s="901">
        <f>SUM(AB14:AE14)</f>
      </c>
      <c r="AG14" s="633">
        <v>0</v>
      </c>
      <c r="AH14" s="633">
        <v>0</v>
      </c>
      <c r="AI14" s="633">
        <v>0</v>
      </c>
      <c r="AJ14" s="633">
        <v>0</v>
      </c>
      <c r="AK14" s="901">
        <f>SUM(AG14:AJ14)</f>
      </c>
      <c r="AL14" s="633">
        <v>0</v>
      </c>
      <c r="AM14" s="633">
        <v>0</v>
      </c>
      <c r="AN14" s="633">
        <v>0</v>
      </c>
      <c r="AO14" s="633">
        <v>0</v>
      </c>
      <c r="AP14" s="901">
        <f>SUM(AL14:AO14)</f>
      </c>
      <c r="AQ14" s="633">
        <v>1048</v>
      </c>
      <c r="AR14" s="633">
        <v>1058</v>
      </c>
      <c r="AS14" s="633">
        <v>978</v>
      </c>
      <c r="AT14" s="633">
        <v>665</v>
      </c>
      <c r="AU14" s="901">
        <f t="shared" si="8"/>
      </c>
      <c r="AV14" s="633">
        <v>1015</v>
      </c>
      <c r="AW14" s="633">
        <v>3232</v>
      </c>
      <c r="AX14" s="633">
        <v>748</v>
      </c>
      <c r="AY14" s="633">
        <v>739</v>
      </c>
      <c r="AZ14" s="901">
        <f t="shared" si="9"/>
      </c>
      <c r="BA14" s="633">
        <v>745</v>
      </c>
      <c r="BB14" s="633">
        <v>551</v>
      </c>
      <c r="BC14" s="633">
        <v>617</v>
      </c>
      <c r="BD14" s="633">
        <v>535</v>
      </c>
      <c r="BE14" s="901">
        <f t="shared" si="10"/>
      </c>
      <c r="BF14" s="633">
        <v>464</v>
      </c>
      <c r="BG14" s="633">
        <v>514</v>
      </c>
      <c r="BH14" s="633">
        <v>374</v>
      </c>
      <c r="BI14" s="633">
        <v>363</v>
      </c>
      <c r="BJ14" s="901">
        <f t="shared" si="11"/>
      </c>
      <c r="BK14" s="633">
        <v>456</v>
      </c>
      <c r="BL14" s="633">
        <v>437</v>
      </c>
      <c r="BM14" s="633">
        <v>321</v>
      </c>
      <c r="BN14" s="633">
        <v>336</v>
      </c>
      <c r="BO14" s="901">
        <f t="shared" si="12"/>
      </c>
      <c r="BP14" s="633">
        <v>333</v>
      </c>
      <c r="BQ14" s="633">
        <v>360</v>
      </c>
      <c r="BR14" s="633">
        <v>373</v>
      </c>
      <c r="BS14" s="633">
        <v>413</v>
      </c>
      <c r="BT14" s="901">
        <f t="shared" si="13"/>
      </c>
      <c r="BU14" s="633">
        <v>443</v>
      </c>
      <c r="BV14" s="633">
        <v>417</v>
      </c>
      <c r="BW14" s="633">
        <v>432</v>
      </c>
      <c r="BX14" s="633">
        <v>416</v>
      </c>
      <c r="BY14" s="901">
        <f t="shared" si="3"/>
      </c>
      <c r="BZ14" s="633">
        <v>443</v>
      </c>
      <c r="CA14" s="633">
        <v>485</v>
      </c>
      <c r="CB14" s="633">
        <v>481</v>
      </c>
      <c r="CC14" s="633">
        <v>482</v>
      </c>
      <c r="CD14" s="901">
        <f t="shared" si="14"/>
      </c>
      <c r="CE14" s="633">
        <v>528</v>
      </c>
      <c r="CF14" s="633">
        <v>553</v>
      </c>
      <c r="CG14" s="633">
        <v>541</v>
      </c>
      <c r="CH14" s="633">
        <v>544</v>
      </c>
      <c r="CI14" s="901">
        <f t="shared" si="15"/>
      </c>
      <c r="CJ14" s="633">
        <v>558</v>
      </c>
      <c r="CK14" s="633">
        <v>575</v>
      </c>
      <c r="CL14" s="633">
        <v>591</v>
      </c>
      <c r="CM14" s="633">
        <v>520</v>
      </c>
      <c r="CN14" s="901">
        <f t="shared" si="16"/>
      </c>
      <c r="CO14" s="633">
        <v>603</v>
      </c>
      <c r="CP14" s="633">
        <v>603</v>
      </c>
      <c r="CQ14" s="633">
        <v>599</v>
      </c>
      <c r="CR14" s="633">
        <v>601</v>
      </c>
      <c r="CS14" s="901">
        <f t="shared" si="17"/>
      </c>
      <c r="CT14" s="633">
        <v>635</v>
      </c>
      <c r="CU14" s="633">
        <v>591</v>
      </c>
      <c r="CV14" s="633">
        <v>602</v>
      </c>
      <c r="CW14" s="633">
        <v>618</v>
      </c>
      <c r="CX14" s="901">
        <f t="shared" si="18"/>
      </c>
      <c r="CY14" s="633">
        <v>646</v>
      </c>
      <c r="CZ14" s="633">
        <v>633</v>
      </c>
      <c r="DA14" s="633">
        <v>641</v>
      </c>
      <c r="DB14" s="633">
        <v>654</v>
      </c>
      <c r="DC14" s="901">
        <f t="shared" si="19"/>
      </c>
      <c r="DD14" s="633">
        <v>674</v>
      </c>
      <c r="DE14" s="633">
        <v>658</v>
      </c>
      <c r="DF14" s="633">
        <v>672</v>
      </c>
      <c r="DG14" s="633">
        <v>664</v>
      </c>
      <c r="DH14" s="901">
        <f t="shared" si="20"/>
      </c>
      <c r="DI14" s="633">
        <v>703</v>
      </c>
      <c r="DJ14" s="633">
        <v>767</v>
      </c>
      <c r="DK14" s="633">
        <v>883</v>
      </c>
      <c r="DL14" s="633">
        <v>913</v>
      </c>
      <c r="DM14" s="901">
        <f t="shared" si="21"/>
      </c>
      <c r="DN14" s="633">
        <v>973</v>
      </c>
      <c r="DO14" s="633">
        <v>986</v>
      </c>
      <c r="DP14" s="633">
        <v>969</v>
      </c>
      <c r="DQ14" s="633">
        <v>1012</v>
      </c>
      <c r="DR14" s="901">
        <f t="shared" si="22"/>
      </c>
      <c r="DS14" s="633">
        <v>1107</v>
      </c>
      <c r="DT14" s="633">
        <v>1183</v>
      </c>
      <c r="DU14" s="633">
        <v>1172</v>
      </c>
      <c r="DV14" s="633">
        <v>1190</v>
      </c>
      <c r="DW14" s="901">
        <f t="shared" si="23"/>
      </c>
      <c r="DX14" s="633">
        <v>1262</v>
      </c>
      <c r="DY14" s="633">
        <v>1340</v>
      </c>
      <c r="DZ14" s="633">
        <v>1338</v>
      </c>
      <c r="EA14" s="633">
        <v>1349</v>
      </c>
      <c r="EB14" s="901">
        <f t="shared" si="24"/>
      </c>
      <c r="EC14" s="633">
        <v>1456</v>
      </c>
      <c r="ED14" s="633">
        <v>1566</v>
      </c>
      <c r="EE14" s="633">
        <v>1525</v>
      </c>
      <c r="EF14" s="633">
        <v>1571</v>
      </c>
      <c r="EG14" s="901">
        <f t="shared" si="25"/>
      </c>
      <c r="EH14" s="633">
        <v>1702</v>
      </c>
      <c r="EI14" s="633">
        <v>1897</v>
      </c>
      <c r="EJ14" s="633">
        <v>1906</v>
      </c>
      <c r="EK14" s="633">
        <v>1997</v>
      </c>
      <c r="EL14" s="901">
        <f t="shared" si="26"/>
      </c>
      <c r="EM14" s="633">
        <v>2192</v>
      </c>
      <c r="EN14" s="633">
        <v>2538</v>
      </c>
      <c r="EO14" s="633">
        <v>2465</v>
      </c>
      <c r="EP14" s="633">
        <v>2416</v>
      </c>
      <c r="EQ14" s="901">
        <f t="shared" si="27"/>
      </c>
      <c r="ER14" s="633">
        <v>2507</v>
      </c>
      <c r="ES14" s="633">
        <v>2828</v>
      </c>
      <c r="ET14" s="954">
        <v>2703</v>
      </c>
      <c r="EU14" s="954">
        <v>2696</v>
      </c>
      <c r="EV14" s="901">
        <f t="shared" si="28"/>
      </c>
      <c r="EW14" s="954">
        <v>2832</v>
      </c>
      <c r="EX14" s="954">
        <v>3089</v>
      </c>
      <c r="EY14" s="954">
        <v>2980</v>
      </c>
      <c r="EZ14" s="954">
        <v>3073</v>
      </c>
      <c r="FA14" s="901">
        <f t="shared" si="29"/>
      </c>
      <c r="FB14" s="768">
        <f>BS!FB150</f>
      </c>
      <c r="FC14" s="768">
        <f>BS!FC150</f>
      </c>
      <c r="FD14" s="768">
        <f>BS!FD150</f>
      </c>
      <c r="FE14" s="768">
        <f>BS!FE150</f>
      </c>
      <c r="FF14" s="901">
        <f t="shared" si="30"/>
      </c>
      <c r="FG14" s="768">
        <f>BS!FG150</f>
      </c>
      <c r="FH14" s="768">
        <f>BS!FH150</f>
      </c>
      <c r="FI14" s="768">
        <f>BS!FI150</f>
      </c>
      <c r="FJ14" s="768">
        <f>BS!FJ150</f>
      </c>
      <c r="FK14" s="901">
        <f t="shared" si="31"/>
      </c>
      <c r="FL14" s="768">
        <f>BS!FL150</f>
      </c>
      <c r="FM14" s="768">
        <f>BS!FM150</f>
      </c>
      <c r="FN14" s="768">
        <f>BS!FN150</f>
      </c>
      <c r="FO14" s="768">
        <f>BS!FO150</f>
      </c>
      <c r="FP14" s="901">
        <f t="shared" si="32"/>
      </c>
      <c r="FQ14" s="768">
        <f>BS!FQ150</f>
      </c>
      <c r="FR14" s="768">
        <f>BS!FR150</f>
      </c>
      <c r="FS14" s="768">
        <f>BS!FS150</f>
      </c>
      <c r="FT14" s="768">
        <f>BS!FT150</f>
      </c>
      <c r="FU14" s="901">
        <f t="shared" si="33"/>
      </c>
      <c r="FV14" s="768">
        <f>BS!FV150</f>
      </c>
      <c r="FW14" s="768">
        <f>BS!FW150</f>
      </c>
      <c r="FX14" s="768">
        <f>BS!FX150</f>
      </c>
      <c r="FY14" s="768">
        <f>BS!FY150</f>
      </c>
      <c r="FZ14" s="901">
        <f t="shared" si="34"/>
      </c>
      <c r="GA14" s="768">
        <f>BS!GA150</f>
      </c>
      <c r="GB14" s="768">
        <f>BS!GB150</f>
      </c>
      <c r="GC14" s="768">
        <f>BS!GC150</f>
      </c>
      <c r="GD14" s="768">
        <f>BS!GD150</f>
      </c>
      <c r="GE14" s="901">
        <f t="shared" si="35"/>
      </c>
      <c r="GF14" s="768">
        <f>BS!GF150</f>
      </c>
      <c r="GG14" s="768">
        <f>BS!GG150</f>
      </c>
      <c r="GH14" s="768">
        <f>BS!GH150</f>
      </c>
      <c r="GI14" s="768">
        <f>BS!GI150</f>
      </c>
      <c r="GJ14" s="901">
        <f t="shared" si="36"/>
      </c>
    </row>
    <row r="15" spans="1:192" s="273" customFormat="1" ht="12.75" customHeight="1">
      <c r="A15" s="274"/>
      <c r="B15" s="719" t="s">
        <v>122</v>
      </c>
      <c r="C15" s="633">
        <v>0</v>
      </c>
      <c r="D15" s="633">
        <v>0</v>
      </c>
      <c r="E15" s="633">
        <v>0</v>
      </c>
      <c r="F15" s="633">
        <v>0</v>
      </c>
      <c r="G15" s="901">
        <f t="shared" si="0"/>
      </c>
      <c r="H15" s="633">
        <v>0</v>
      </c>
      <c r="I15" s="633">
        <v>0</v>
      </c>
      <c r="J15" s="633">
        <v>0</v>
      </c>
      <c r="K15" s="633">
        <v>0</v>
      </c>
      <c r="L15" s="901">
        <f t="shared" si="37"/>
      </c>
      <c r="M15" s="633">
        <v>0</v>
      </c>
      <c r="N15" s="633">
        <v>0</v>
      </c>
      <c r="O15" s="633">
        <v>0</v>
      </c>
      <c r="P15" s="633">
        <v>0</v>
      </c>
      <c r="Q15" s="901">
        <f t="shared" si="1"/>
      </c>
      <c r="R15" s="633">
        <v>296</v>
      </c>
      <c r="S15" s="633">
        <f>296-R15</f>
      </c>
      <c r="T15" s="633">
        <f>296-S15-R15</f>
      </c>
      <c r="U15" s="633">
        <f>296-T15-S15-R15</f>
      </c>
      <c r="V15" s="901">
        <f t="shared" si="2"/>
      </c>
      <c r="W15" s="633">
        <v>-160</v>
      </c>
      <c r="X15" s="633">
        <f>-160-W15</f>
      </c>
      <c r="Y15" s="633">
        <f>-160-X15-W15</f>
      </c>
      <c r="Z15" s="633">
        <f>-160-Y15-X15-W15</f>
      </c>
      <c r="AA15" s="901">
        <f>SUM(W15:Z15)</f>
      </c>
      <c r="AB15" s="633">
        <v>-156</v>
      </c>
      <c r="AC15" s="633">
        <f>-156-AB15</f>
      </c>
      <c r="AD15" s="633">
        <f>-156-AC15-AB15</f>
      </c>
      <c r="AE15" s="633">
        <f>-156-AD15-AC15-AB15</f>
      </c>
      <c r="AF15" s="901">
        <f>SUM(AB15:AE15)</f>
      </c>
      <c r="AG15" s="633">
        <v>-599</v>
      </c>
      <c r="AH15" s="633">
        <f>-843-AG15</f>
      </c>
      <c r="AI15" s="633">
        <f>-943-AH15-AG15</f>
      </c>
      <c r="AJ15" s="633">
        <f>2221-AI15-AH15-AG15</f>
      </c>
      <c r="AK15" s="901">
        <f t="shared" si="6"/>
      </c>
      <c r="AL15" s="633">
        <v>1517</v>
      </c>
      <c r="AM15" s="633">
        <f>1462-AL15</f>
      </c>
      <c r="AN15" s="633">
        <f>1252-AM15-AL15</f>
      </c>
      <c r="AO15" s="633">
        <f>2424-AN15-AM15-AL15</f>
      </c>
      <c r="AP15" s="901">
        <f t="shared" si="7"/>
      </c>
      <c r="AQ15" s="633">
        <v>475</v>
      </c>
      <c r="AR15" s="633">
        <v>140</v>
      </c>
      <c r="AS15" s="633">
        <v>-17</v>
      </c>
      <c r="AT15" s="633">
        <v>-218</v>
      </c>
      <c r="AU15" s="901">
        <f t="shared" si="8"/>
      </c>
      <c r="AV15" s="633">
        <v>-279</v>
      </c>
      <c r="AW15" s="633">
        <v>-321</v>
      </c>
      <c r="AX15" s="633">
        <v>-512</v>
      </c>
      <c r="AY15" s="633">
        <v>-184</v>
      </c>
      <c r="AZ15" s="901">
        <f t="shared" si="9"/>
      </c>
      <c r="BA15" s="633">
        <v>165</v>
      </c>
      <c r="BB15" s="633">
        <v>74</v>
      </c>
      <c r="BC15" s="633">
        <v>-223</v>
      </c>
      <c r="BD15" s="633">
        <v>-543</v>
      </c>
      <c r="BE15" s="901">
        <f t="shared" si="10"/>
      </c>
      <c r="BF15" s="633">
        <v>-130</v>
      </c>
      <c r="BG15" s="633">
        <v>-75</v>
      </c>
      <c r="BH15" s="633">
        <v>-59</v>
      </c>
      <c r="BI15" s="633">
        <v>-6</v>
      </c>
      <c r="BJ15" s="901">
        <f t="shared" si="11"/>
      </c>
      <c r="BK15" s="633">
        <v>-206</v>
      </c>
      <c r="BL15" s="633">
        <v>-29</v>
      </c>
      <c r="BM15" s="633">
        <v>-61</v>
      </c>
      <c r="BN15" s="633">
        <v>4</v>
      </c>
      <c r="BO15" s="901">
        <f t="shared" si="12"/>
      </c>
      <c r="BP15" s="633">
        <v>-187</v>
      </c>
      <c r="BQ15" s="633">
        <v>-134</v>
      </c>
      <c r="BR15" s="633">
        <v>-179</v>
      </c>
      <c r="BS15" s="633">
        <v>-72</v>
      </c>
      <c r="BT15" s="901">
        <f t="shared" si="13"/>
      </c>
      <c r="BU15" s="633">
        <v>36</v>
      </c>
      <c r="BV15" s="633">
        <v>139</v>
      </c>
      <c r="BW15" s="633">
        <v>507</v>
      </c>
      <c r="BX15" s="633">
        <v>1</v>
      </c>
      <c r="BY15" s="901">
        <f t="shared" si="3"/>
      </c>
      <c r="BZ15" s="633">
        <v>-66</v>
      </c>
      <c r="CA15" s="633">
        <v>-188</v>
      </c>
      <c r="CB15" s="633">
        <v>-68</v>
      </c>
      <c r="CC15" s="633">
        <v>114</v>
      </c>
      <c r="CD15" s="901">
        <f t="shared" si="14"/>
      </c>
      <c r="CE15" s="633">
        <v>-29</v>
      </c>
      <c r="CF15" s="633">
        <v>-226</v>
      </c>
      <c r="CG15" s="633">
        <v>-122</v>
      </c>
      <c r="CH15" s="633">
        <v>15</v>
      </c>
      <c r="CI15" s="901">
        <f t="shared" si="15"/>
      </c>
      <c r="CJ15" s="633">
        <v>-30</v>
      </c>
      <c r="CK15" s="633">
        <v>-112</v>
      </c>
      <c r="CL15" s="633">
        <v>68</v>
      </c>
      <c r="CM15" s="633">
        <v>-126</v>
      </c>
      <c r="CN15" s="901">
        <f t="shared" si="16"/>
      </c>
      <c r="CO15" s="633">
        <v>11</v>
      </c>
      <c r="CP15" s="633">
        <v>22</v>
      </c>
      <c r="CQ15" s="633">
        <v>-52</v>
      </c>
      <c r="CR15" s="633">
        <v>99</v>
      </c>
      <c r="CS15" s="901">
        <f t="shared" si="17"/>
      </c>
      <c r="CT15" s="633">
        <v>93</v>
      </c>
      <c r="CU15" s="633">
        <v>47</v>
      </c>
      <c r="CV15" s="633">
        <v>-40</v>
      </c>
      <c r="CW15" s="633">
        <v>-209</v>
      </c>
      <c r="CX15" s="901">
        <f t="shared" si="18"/>
      </c>
      <c r="CY15" s="633">
        <v>55</v>
      </c>
      <c r="CZ15" s="633">
        <v>-179</v>
      </c>
      <c r="DA15" s="633">
        <v>-55</v>
      </c>
      <c r="DB15" s="633">
        <v>-264</v>
      </c>
      <c r="DC15" s="901">
        <f t="shared" si="19"/>
      </c>
      <c r="DD15" s="633">
        <v>101</v>
      </c>
      <c r="DE15" s="633">
        <v>50</v>
      </c>
      <c r="DF15" s="633">
        <v>65</v>
      </c>
      <c r="DG15" s="633">
        <v>-439</v>
      </c>
      <c r="DH15" s="901">
        <f t="shared" si="20"/>
      </c>
      <c r="DI15" s="633">
        <v>-311</v>
      </c>
      <c r="DJ15" s="633">
        <v>-652</v>
      </c>
      <c r="DK15" s="633">
        <v>-590</v>
      </c>
      <c r="DL15" s="633">
        <v>-520</v>
      </c>
      <c r="DM15" s="901">
        <f t="shared" si="21"/>
      </c>
      <c r="DN15" s="633">
        <v>-523</v>
      </c>
      <c r="DO15" s="633">
        <v>-684</v>
      </c>
      <c r="DP15" s="633">
        <v>-438</v>
      </c>
      <c r="DQ15" s="633">
        <v>-567</v>
      </c>
      <c r="DR15" s="901">
        <f t="shared" si="22"/>
      </c>
      <c r="DS15" s="633">
        <v>-240</v>
      </c>
      <c r="DT15" s="633">
        <v>-135</v>
      </c>
      <c r="DU15" s="633">
        <v>-95</v>
      </c>
      <c r="DV15" s="633">
        <v>-322</v>
      </c>
      <c r="DW15" s="901">
        <f t="shared" si="23"/>
      </c>
      <c r="DX15" s="633">
        <v>11</v>
      </c>
      <c r="DY15" s="633">
        <v>-203</v>
      </c>
      <c r="DZ15" s="633">
        <v>52</v>
      </c>
      <c r="EA15" s="633">
        <v>-79</v>
      </c>
      <c r="EB15" s="901">
        <f t="shared" si="24"/>
      </c>
      <c r="EC15" s="633">
        <v>-128</v>
      </c>
      <c r="ED15" s="633">
        <v>-354</v>
      </c>
      <c r="EE15" s="633">
        <v>-351</v>
      </c>
      <c r="EF15" s="633">
        <v>-416</v>
      </c>
      <c r="EG15" s="901">
        <f t="shared" si="25"/>
      </c>
      <c r="EH15" s="633">
        <v>-364</v>
      </c>
      <c r="EI15" s="633">
        <v>-307</v>
      </c>
      <c r="EJ15" s="633">
        <v>105</v>
      </c>
      <c r="EK15" s="633">
        <v>157</v>
      </c>
      <c r="EL15" s="901">
        <f t="shared" si="26"/>
      </c>
      <c r="EM15" s="633">
        <v>-22</v>
      </c>
      <c r="EN15" s="633">
        <v>214</v>
      </c>
      <c r="EO15" s="633">
        <v>-40</v>
      </c>
      <c r="EP15" s="633">
        <v>44</v>
      </c>
      <c r="EQ15" s="901">
        <f t="shared" si="27"/>
      </c>
      <c r="ER15" s="633">
        <v>14</v>
      </c>
      <c r="ES15" s="633">
        <v>198</v>
      </c>
      <c r="ET15" s="954">
        <v>49</v>
      </c>
      <c r="EU15" s="954">
        <v>44</v>
      </c>
      <c r="EV15" s="901">
        <f t="shared" si="28"/>
      </c>
      <c r="EW15" s="954">
        <v>-125</v>
      </c>
      <c r="EX15" s="954">
        <v>976</v>
      </c>
      <c r="EY15" s="954">
        <v>-298</v>
      </c>
      <c r="EZ15" s="954">
        <v>56</v>
      </c>
      <c r="FA15" s="901">
        <f t="shared" si="29"/>
      </c>
      <c r="FB15" s="929"/>
      <c r="FC15" s="929"/>
      <c r="FD15" s="929"/>
      <c r="FE15" s="929"/>
      <c r="FF15" s="901">
        <f t="shared" si="30"/>
      </c>
      <c r="FG15" s="929"/>
      <c r="FH15" s="929"/>
      <c r="FI15" s="929"/>
      <c r="FJ15" s="929"/>
      <c r="FK15" s="901">
        <f t="shared" si="31"/>
      </c>
      <c r="FL15" s="929"/>
      <c r="FM15" s="929"/>
      <c r="FN15" s="929"/>
      <c r="FO15" s="929"/>
      <c r="FP15" s="901">
        <f t="shared" si="32"/>
      </c>
      <c r="FQ15" s="929"/>
      <c r="FR15" s="929"/>
      <c r="FS15" s="929"/>
      <c r="FT15" s="929"/>
      <c r="FU15" s="901">
        <f t="shared" si="33"/>
      </c>
      <c r="FV15" s="929"/>
      <c r="FW15" s="929"/>
      <c r="FX15" s="929"/>
      <c r="FY15" s="929"/>
      <c r="FZ15" s="901">
        <f t="shared" si="34"/>
      </c>
      <c r="GA15" s="929"/>
      <c r="GB15" s="929"/>
      <c r="GC15" s="929"/>
      <c r="GD15" s="929"/>
      <c r="GE15" s="901">
        <f t="shared" si="35"/>
      </c>
      <c r="GF15" s="929"/>
      <c r="GG15" s="929"/>
      <c r="GH15" s="929"/>
      <c r="GI15" s="929"/>
      <c r="GJ15" s="901">
        <f t="shared" si="36"/>
      </c>
    </row>
    <row r="16" spans="1:192" s="273" customFormat="1" ht="12.75" hidden="1" customHeight="1" outlineLevel="1">
      <c r="A16" s="274"/>
      <c r="B16" s="719" t="s">
        <v>143</v>
      </c>
      <c r="C16" s="633">
        <v>0</v>
      </c>
      <c r="D16" s="633">
        <v>0</v>
      </c>
      <c r="E16" s="633">
        <v>0</v>
      </c>
      <c r="F16" s="633">
        <v>0</v>
      </c>
      <c r="G16" s="901">
        <f t="shared" si="0"/>
      </c>
      <c r="H16" s="633">
        <v>0</v>
      </c>
      <c r="I16" s="633">
        <v>0</v>
      </c>
      <c r="J16" s="633">
        <v>0</v>
      </c>
      <c r="K16" s="633">
        <v>0</v>
      </c>
      <c r="L16" s="901">
        <f t="shared" si="37"/>
      </c>
      <c r="M16" s="633">
        <v>0</v>
      </c>
      <c r="N16" s="633">
        <v>0</v>
      </c>
      <c r="O16" s="633">
        <v>0</v>
      </c>
      <c r="P16" s="633">
        <v>0</v>
      </c>
      <c r="Q16" s="901">
        <f t="shared" si="1"/>
      </c>
      <c r="R16" s="633">
        <v>0</v>
      </c>
      <c r="S16" s="633">
        <v>0</v>
      </c>
      <c r="T16" s="633">
        <v>0</v>
      </c>
      <c r="U16" s="633">
        <v>0</v>
      </c>
      <c r="V16" s="901">
        <f t="shared" si="2"/>
      </c>
      <c r="W16" s="633">
        <v>0</v>
      </c>
      <c r="X16" s="633">
        <v>0</v>
      </c>
      <c r="Y16" s="633">
        <v>0</v>
      </c>
      <c r="Z16" s="633">
        <v>3107</v>
      </c>
      <c r="AA16" s="901">
        <f t="shared" si="4"/>
      </c>
      <c r="AB16" s="633">
        <v>0</v>
      </c>
      <c r="AC16" s="633">
        <v>0</v>
      </c>
      <c r="AD16" s="633">
        <v>0</v>
      </c>
      <c r="AE16" s="633">
        <f>5535-AD16-AC16-AB16</f>
      </c>
      <c r="AF16" s="901">
        <f t="shared" si="5"/>
      </c>
      <c r="AG16" s="633">
        <v>453</v>
      </c>
      <c r="AH16" s="633">
        <f>897-AG16</f>
      </c>
      <c r="AI16" s="633">
        <f>1271-AH16-AG16</f>
      </c>
      <c r="AJ16" s="633">
        <f>2066-AI16-AH16-AG16</f>
      </c>
      <c r="AK16" s="901">
        <f t="shared" si="6"/>
      </c>
      <c r="AL16" s="633">
        <v>415</v>
      </c>
      <c r="AM16" s="633">
        <f>751-AL16</f>
      </c>
      <c r="AN16" s="633">
        <f>1097-AM16-AL16</f>
      </c>
      <c r="AO16" s="633">
        <f>1596-AN16-AM16-AL16</f>
      </c>
      <c r="AP16" s="901">
        <f t="shared" si="7"/>
      </c>
      <c r="AQ16" s="633">
        <v>365</v>
      </c>
      <c r="AR16" s="633">
        <v>296</v>
      </c>
      <c r="AS16" s="633">
        <v>329</v>
      </c>
      <c r="AT16" s="633">
        <v>375</v>
      </c>
      <c r="AU16" s="901">
        <f t="shared" si="8"/>
      </c>
      <c r="AV16" s="633">
        <v>489</v>
      </c>
      <c r="AW16" s="633">
        <v>148</v>
      </c>
      <c r="AX16" s="633">
        <v>135</v>
      </c>
      <c r="AY16" s="633">
        <v>328</v>
      </c>
      <c r="AZ16" s="901">
        <f t="shared" si="9"/>
      </c>
      <c r="BA16" s="633">
        <v>128</v>
      </c>
      <c r="BB16" s="633">
        <v>99</v>
      </c>
      <c r="BC16" s="633">
        <v>37</v>
      </c>
      <c r="BD16" s="633">
        <v>404</v>
      </c>
      <c r="BE16" s="901">
        <f t="shared" si="10"/>
      </c>
      <c r="BF16" s="633">
        <v>-31</v>
      </c>
      <c r="BG16" s="633">
        <v>-13</v>
      </c>
      <c r="BH16" s="633">
        <v>-23</v>
      </c>
      <c r="BI16" s="633">
        <v>-22</v>
      </c>
      <c r="BJ16" s="901">
        <f t="shared" si="11"/>
      </c>
      <c r="BK16" s="633">
        <v>-40</v>
      </c>
      <c r="BL16" s="633">
        <v>-8</v>
      </c>
      <c r="BM16" s="633">
        <v>-7</v>
      </c>
      <c r="BN16" s="633">
        <v>-22</v>
      </c>
      <c r="BO16" s="901">
        <f t="shared" si="12"/>
      </c>
      <c r="BP16" s="633">
        <v>-69</v>
      </c>
      <c r="BQ16" s="633">
        <v>-33</v>
      </c>
      <c r="BR16" s="633">
        <v>-9</v>
      </c>
      <c r="BS16" s="633">
        <v>-9</v>
      </c>
      <c r="BT16" s="901">
        <f t="shared" si="13"/>
      </c>
      <c r="BU16" s="633">
        <v>-44</v>
      </c>
      <c r="BV16" s="633">
        <v>-2</v>
      </c>
      <c r="BW16" s="633">
        <v>-2</v>
      </c>
      <c r="BX16" s="633">
        <v>-4</v>
      </c>
      <c r="BY16" s="901">
        <f t="shared" si="3"/>
      </c>
      <c r="BZ16" s="633">
        <v>-9</v>
      </c>
      <c r="CA16" s="633">
        <v>-15</v>
      </c>
      <c r="CB16" s="633">
        <v>-14</v>
      </c>
      <c r="CC16" s="633">
        <v>-7</v>
      </c>
      <c r="CD16" s="901">
        <f t="shared" si="14"/>
      </c>
      <c r="CE16" s="633">
        <v>-5</v>
      </c>
      <c r="CF16" s="633">
        <v>-4</v>
      </c>
      <c r="CG16" s="633">
        <v>-5</v>
      </c>
      <c r="CH16" s="633">
        <v>-3</v>
      </c>
      <c r="CI16" s="901">
        <f t="shared" si="15"/>
      </c>
      <c r="CJ16" s="633">
        <v>-70</v>
      </c>
      <c r="CK16" s="633">
        <v>-4</v>
      </c>
      <c r="CL16" s="633">
        <v>-10</v>
      </c>
      <c r="CM16" s="633">
        <v>-9</v>
      </c>
      <c r="CN16" s="901">
        <f t="shared" si="16"/>
      </c>
      <c r="CO16" s="633">
        <v>-177</v>
      </c>
      <c r="CP16" s="633">
        <v>-9</v>
      </c>
      <c r="CQ16" s="633">
        <v>-6</v>
      </c>
      <c r="CR16" s="633">
        <v>-17</v>
      </c>
      <c r="CS16" s="901">
        <f t="shared" si="17"/>
      </c>
      <c r="CT16" s="633">
        <v>-205</v>
      </c>
      <c r="CU16" s="633">
        <v>-20</v>
      </c>
      <c r="CV16" s="633">
        <v>-22</v>
      </c>
      <c r="CW16" s="633">
        <v>-24</v>
      </c>
      <c r="CX16" s="901">
        <f t="shared" si="18"/>
      </c>
      <c r="CY16" s="633">
        <v>-502</v>
      </c>
      <c r="CZ16" s="633">
        <v>-22</v>
      </c>
      <c r="DA16" s="633">
        <v>-31</v>
      </c>
      <c r="DB16" s="633">
        <v>-33</v>
      </c>
      <c r="DC16" s="901">
        <f t="shared" si="19"/>
      </c>
      <c r="DD16" s="633">
        <v>-282</v>
      </c>
      <c r="DE16" s="633">
        <v>-20</v>
      </c>
      <c r="DF16" s="633">
        <v>0</v>
      </c>
      <c r="DG16" s="633">
        <v>0</v>
      </c>
      <c r="DH16" s="901">
        <f t="shared" si="20"/>
      </c>
      <c r="DI16" s="633">
        <v>0</v>
      </c>
      <c r="DJ16" s="633">
        <v>0</v>
      </c>
      <c r="DK16" s="633">
        <v>0</v>
      </c>
      <c r="DL16" s="633">
        <v>0</v>
      </c>
      <c r="DM16" s="901">
        <f t="shared" si="21"/>
      </c>
      <c r="DN16" s="633">
        <v>0</v>
      </c>
      <c r="DO16" s="633">
        <v>0</v>
      </c>
      <c r="DP16" s="633">
        <v>0</v>
      </c>
      <c r="DQ16" s="633">
        <v>0</v>
      </c>
      <c r="DR16" s="901">
        <f t="shared" si="22"/>
      </c>
      <c r="DS16" s="633">
        <v>0</v>
      </c>
      <c r="DT16" s="633">
        <v>0</v>
      </c>
      <c r="DU16" s="633">
        <v>0</v>
      </c>
      <c r="DV16" s="633">
        <v>0</v>
      </c>
      <c r="DW16" s="901">
        <f t="shared" si="23"/>
      </c>
      <c r="DX16" s="633">
        <v>0</v>
      </c>
      <c r="DY16" s="633">
        <v>0</v>
      </c>
      <c r="DZ16" s="633">
        <v>0</v>
      </c>
      <c r="EA16" s="633">
        <v>0</v>
      </c>
      <c r="EB16" s="901">
        <f t="shared" si="24"/>
      </c>
      <c r="EC16" s="633">
        <v>0</v>
      </c>
      <c r="ED16" s="633">
        <v>0</v>
      </c>
      <c r="EE16" s="633">
        <v>0</v>
      </c>
      <c r="EF16" s="633">
        <v>0</v>
      </c>
      <c r="EG16" s="901">
        <f t="shared" si="25"/>
      </c>
      <c r="EH16" s="633">
        <v>0</v>
      </c>
      <c r="EI16" s="633">
        <v>0</v>
      </c>
      <c r="EJ16" s="633">
        <v>0</v>
      </c>
      <c r="EK16" s="633">
        <v>0</v>
      </c>
      <c r="EL16" s="901">
        <f t="shared" si="26"/>
      </c>
      <c r="EM16" s="633">
        <v>0</v>
      </c>
      <c r="EN16" s="633">
        <v>0</v>
      </c>
      <c r="EO16" s="633">
        <v>0</v>
      </c>
      <c r="EP16" s="633">
        <v>0</v>
      </c>
      <c r="EQ16" s="901">
        <f t="shared" si="27"/>
      </c>
      <c r="ER16" s="633">
        <v>0</v>
      </c>
      <c r="ES16" s="633">
        <v>0</v>
      </c>
      <c r="ET16" s="954">
        <v>0</v>
      </c>
      <c r="EU16" s="954">
        <v>0</v>
      </c>
      <c r="EV16" s="901"/>
      <c r="EW16" s="954">
        <v>0</v>
      </c>
      <c r="EX16" s="954">
        <v>0</v>
      </c>
      <c r="EY16" s="954">
        <v>0</v>
      </c>
      <c r="EZ16" s="954">
        <v>0</v>
      </c>
      <c r="FA16" s="901">
        <f t="shared" si="29"/>
      </c>
      <c r="FB16" s="929"/>
      <c r="FC16" s="929"/>
      <c r="FD16" s="929"/>
      <c r="FE16" s="929"/>
      <c r="FF16" s="901">
        <f t="shared" si="30"/>
      </c>
      <c r="FG16" s="929"/>
      <c r="FH16" s="929"/>
      <c r="FI16" s="929"/>
      <c r="FJ16" s="929"/>
      <c r="FK16" s="901">
        <f t="shared" si="31"/>
      </c>
      <c r="FL16" s="929"/>
      <c r="FM16" s="929"/>
      <c r="FN16" s="929"/>
      <c r="FO16" s="929"/>
      <c r="FP16" s="901">
        <f t="shared" si="32"/>
      </c>
      <c r="FQ16" s="929"/>
      <c r="FR16" s="929"/>
      <c r="FS16" s="929"/>
      <c r="FT16" s="929"/>
      <c r="FU16" s="901">
        <f t="shared" si="33"/>
      </c>
      <c r="FV16" s="929"/>
      <c r="FW16" s="929"/>
      <c r="FX16" s="929"/>
      <c r="FY16" s="929"/>
      <c r="FZ16" s="901">
        <f t="shared" si="34"/>
      </c>
      <c r="GA16" s="929"/>
      <c r="GB16" s="929"/>
      <c r="GC16" s="929"/>
      <c r="GD16" s="929"/>
      <c r="GE16" s="901">
        <f t="shared" si="35"/>
      </c>
      <c r="GF16" s="929"/>
      <c r="GG16" s="929"/>
      <c r="GH16" s="929"/>
      <c r="GI16" s="929"/>
      <c r="GJ16" s="901">
        <f t="shared" si="36"/>
      </c>
    </row>
    <row r="17" spans="1:192" s="273" customFormat="1" ht="12.75" customHeight="1" collapsed="1">
      <c r="A17" s="274"/>
      <c r="B17" s="719" t="s">
        <v>101</v>
      </c>
      <c r="C17" s="633">
        <v>0</v>
      </c>
      <c r="D17" s="633">
        <v>0</v>
      </c>
      <c r="E17" s="633">
        <v>0</v>
      </c>
      <c r="F17" s="633">
        <v>0</v>
      </c>
      <c r="G17" s="901">
        <f t="shared" si="0"/>
      </c>
      <c r="H17" s="633">
        <v>0</v>
      </c>
      <c r="I17" s="633">
        <v>0</v>
      </c>
      <c r="J17" s="633">
        <v>0</v>
      </c>
      <c r="K17" s="633">
        <v>0</v>
      </c>
      <c r="L17" s="901">
        <f t="shared" si="37"/>
      </c>
      <c r="M17" s="633">
        <v>0</v>
      </c>
      <c r="N17" s="633">
        <v>0</v>
      </c>
      <c r="O17" s="633">
        <v>0</v>
      </c>
      <c r="P17" s="633">
        <v>0</v>
      </c>
      <c r="Q17" s="901">
        <f t="shared" si="1"/>
      </c>
      <c r="R17" s="633">
        <v>0</v>
      </c>
      <c r="S17" s="633">
        <v>0</v>
      </c>
      <c r="T17" s="633">
        <v>0</v>
      </c>
      <c r="U17" s="633">
        <v>0</v>
      </c>
      <c r="V17" s="901">
        <f t="shared" si="2"/>
      </c>
      <c r="W17" s="633">
        <v>0</v>
      </c>
      <c r="X17" s="633">
        <v>0</v>
      </c>
      <c r="Y17" s="633">
        <v>0</v>
      </c>
      <c r="Z17" s="633">
        <v>0</v>
      </c>
      <c r="AA17" s="901">
        <f>SUM(W17:Z17)</f>
      </c>
      <c r="AB17" s="633">
        <v>0</v>
      </c>
      <c r="AC17" s="633">
        <v>0</v>
      </c>
      <c r="AD17" s="633">
        <v>0</v>
      </c>
      <c r="AE17" s="633">
        <v>0</v>
      </c>
      <c r="AF17" s="901">
        <f>SUM(AB17:AE17)</f>
      </c>
      <c r="AG17" s="633">
        <v>734</v>
      </c>
      <c r="AH17" s="633">
        <f>996-AG17</f>
      </c>
      <c r="AI17" s="633">
        <f>1357-AH17-AG17</f>
      </c>
      <c r="AJ17" s="633">
        <f>-420-AI17-AH17-AG17</f>
      </c>
      <c r="AK17" s="901">
        <f t="shared" si="6"/>
      </c>
      <c r="AL17" s="633">
        <v>-839</v>
      </c>
      <c r="AM17" s="633">
        <f>-861-AL17</f>
      </c>
      <c r="AN17" s="633">
        <f>-717-AM17-AL17</f>
      </c>
      <c r="AO17" s="633">
        <f>-416-AN17-AM17-AL17</f>
      </c>
      <c r="AP17" s="901">
        <f t="shared" si="7"/>
      </c>
      <c r="AQ17" s="633">
        <v>-939</v>
      </c>
      <c r="AR17" s="633">
        <v>-592</v>
      </c>
      <c r="AS17" s="633">
        <v>169</v>
      </c>
      <c r="AT17" s="633">
        <v>468</v>
      </c>
      <c r="AU17" s="901">
        <f t="shared" si="8"/>
      </c>
      <c r="AV17" s="633">
        <v>6</v>
      </c>
      <c r="AW17" s="633">
        <v>-985</v>
      </c>
      <c r="AX17" s="633">
        <v>54</v>
      </c>
      <c r="AY17" s="633">
        <v>-554</v>
      </c>
      <c r="AZ17" s="901">
        <f t="shared" si="9"/>
      </c>
      <c r="BA17" s="633">
        <v>293</v>
      </c>
      <c r="BB17" s="633">
        <v>68</v>
      </c>
      <c r="BC17" s="633">
        <v>-292</v>
      </c>
      <c r="BD17" s="633">
        <v>-248</v>
      </c>
      <c r="BE17" s="901">
        <f t="shared" si="10"/>
      </c>
      <c r="BF17" s="633">
        <v>-128</v>
      </c>
      <c r="BG17" s="633">
        <v>170</v>
      </c>
      <c r="BH17" s="633">
        <v>-271</v>
      </c>
      <c r="BI17" s="633">
        <v>448</v>
      </c>
      <c r="BJ17" s="901">
        <f t="shared" si="11"/>
      </c>
      <c r="BK17" s="633">
        <v>166</v>
      </c>
      <c r="BL17" s="633">
        <v>-517</v>
      </c>
      <c r="BM17" s="633">
        <v>981</v>
      </c>
      <c r="BN17" s="633">
        <v>-209</v>
      </c>
      <c r="BO17" s="901">
        <f t="shared" si="12"/>
      </c>
      <c r="BP17" s="633">
        <v>357</v>
      </c>
      <c r="BQ17" s="633">
        <v>323</v>
      </c>
      <c r="BR17" s="633">
        <v>103</v>
      </c>
      <c r="BS17" s="633">
        <v>152</v>
      </c>
      <c r="BT17" s="901">
        <f t="shared" si="13"/>
      </c>
      <c r="BU17" s="633">
        <v>376</v>
      </c>
      <c r="BV17" s="633">
        <v>454</v>
      </c>
      <c r="BW17" s="633">
        <v>-368</v>
      </c>
      <c r="BX17" s="633">
        <v>300</v>
      </c>
      <c r="BY17" s="901">
        <f t="shared" si="3"/>
      </c>
      <c r="BZ17" s="633">
        <v>-46</v>
      </c>
      <c r="CA17" s="633">
        <v>550</v>
      </c>
      <c r="CB17" s="633">
        <v>-241</v>
      </c>
      <c r="CC17" s="633">
        <v>-483</v>
      </c>
      <c r="CD17" s="901">
        <f t="shared" si="14"/>
      </c>
      <c r="CE17" s="633">
        <v>-148</v>
      </c>
      <c r="CF17" s="633">
        <v>-117</v>
      </c>
      <c r="CG17" s="633">
        <v>-59</v>
      </c>
      <c r="CH17" s="633">
        <v>326</v>
      </c>
      <c r="CI17" s="901">
        <f t="shared" si="15"/>
      </c>
      <c r="CJ17" s="633">
        <v>402</v>
      </c>
      <c r="CK17" s="633">
        <v>14</v>
      </c>
      <c r="CL17" s="633">
        <v>-134</v>
      </c>
      <c r="CM17" s="633">
        <v>672</v>
      </c>
      <c r="CN17" s="901">
        <f t="shared" si="16"/>
      </c>
      <c r="CO17" s="633">
        <v>38</v>
      </c>
      <c r="CP17" s="633">
        <v>140</v>
      </c>
      <c r="CQ17" s="633">
        <v>226</v>
      </c>
      <c r="CR17" s="633">
        <v>-423</v>
      </c>
      <c r="CS17" s="901">
        <f t="shared" si="17"/>
      </c>
      <c r="CT17" s="633">
        <v>404</v>
      </c>
      <c r="CU17" s="633">
        <v>-176</v>
      </c>
      <c r="CV17" s="633">
        <v>-190</v>
      </c>
      <c r="CW17" s="633">
        <v>-369</v>
      </c>
      <c r="CX17" s="901">
        <f>SUM(CT17:CW17)</f>
      </c>
      <c r="CY17" s="633">
        <v>301</v>
      </c>
      <c r="CZ17" s="633">
        <v>314</v>
      </c>
      <c r="DA17" s="633">
        <v>253</v>
      </c>
      <c r="DB17" s="633">
        <v>-644</v>
      </c>
      <c r="DC17" s="901">
        <f t="shared" si="19"/>
      </c>
      <c r="DD17" s="633">
        <v>73</v>
      </c>
      <c r="DE17" s="633">
        <v>-247</v>
      </c>
      <c r="DF17" s="633">
        <v>351</v>
      </c>
      <c r="DG17" s="633">
        <v>-625</v>
      </c>
      <c r="DH17" s="901">
        <f t="shared" si="20"/>
      </c>
      <c r="DI17" s="633">
        <v>540</v>
      </c>
      <c r="DJ17" s="633">
        <v>5</v>
      </c>
      <c r="DK17" s="633">
        <v>-284</v>
      </c>
      <c r="DL17" s="633">
        <v>-1090</v>
      </c>
      <c r="DM17" s="901">
        <f t="shared" si="21"/>
      </c>
      <c r="DN17" s="633">
        <v>-53</v>
      </c>
      <c r="DO17" s="633">
        <v>-2305</v>
      </c>
      <c r="DP17" s="633">
        <v>-396</v>
      </c>
      <c r="DQ17" s="633">
        <v>-2389</v>
      </c>
      <c r="DR17" s="901">
        <f t="shared" si="22"/>
      </c>
      <c r="DS17" s="633">
        <v>-247</v>
      </c>
      <c r="DT17" s="633">
        <v>-173</v>
      </c>
      <c r="DU17" s="633">
        <v>-320</v>
      </c>
      <c r="DV17" s="633">
        <v>-5723</v>
      </c>
      <c r="DW17" s="901">
        <f t="shared" si="23"/>
      </c>
      <c r="DX17" s="633">
        <v>-177</v>
      </c>
      <c r="DY17" s="633">
        <v>-53</v>
      </c>
      <c r="DZ17" s="633">
        <v>-206</v>
      </c>
      <c r="EA17" s="633">
        <v>447</v>
      </c>
      <c r="EB17" s="901">
        <f t="shared" si="24"/>
      </c>
      <c r="EC17" s="633">
        <v>-11</v>
      </c>
      <c r="ED17" s="633">
        <v>-17</v>
      </c>
      <c r="EE17" s="633">
        <v>-88</v>
      </c>
      <c r="EF17" s="633">
        <v>-34</v>
      </c>
      <c r="EG17" s="901">
        <f t="shared" si="25"/>
      </c>
      <c r="EH17" s="633">
        <v>-5970</v>
      </c>
      <c r="EI17" s="633">
        <v>183</v>
      </c>
      <c r="EJ17" s="633">
        <v>-198</v>
      </c>
      <c r="EK17" s="633">
        <v>283</v>
      </c>
      <c r="EL17" s="901">
        <f t="shared" si="26"/>
      </c>
      <c r="EM17" s="633">
        <v>-1191</v>
      </c>
      <c r="EN17" s="633">
        <v>-1305</v>
      </c>
      <c r="EO17" s="633">
        <v>-1675</v>
      </c>
      <c r="EP17" s="633">
        <v>-1888</v>
      </c>
      <c r="EQ17" s="901">
        <f t="shared" si="27"/>
      </c>
      <c r="ER17" s="633">
        <v>-568</v>
      </c>
      <c r="ES17" s="633">
        <v>-1702</v>
      </c>
      <c r="ET17" s="954">
        <v>-1323</v>
      </c>
      <c r="EU17" s="954">
        <v>-1145</v>
      </c>
      <c r="EV17" s="901">
        <f t="shared" si="28"/>
      </c>
      <c r="EW17" s="954">
        <v>-1433</v>
      </c>
      <c r="EX17" s="954">
        <v>-1158</v>
      </c>
      <c r="EY17" s="954">
        <v>-2244</v>
      </c>
      <c r="EZ17" s="954">
        <v>-2221</v>
      </c>
      <c r="FA17" s="901">
        <f t="shared" si="29"/>
      </c>
      <c r="FB17" s="929"/>
      <c r="FC17" s="929"/>
      <c r="FD17" s="929"/>
      <c r="FE17" s="929"/>
      <c r="FF17" s="901">
        <f t="shared" si="30"/>
      </c>
      <c r="FG17" s="929"/>
      <c r="FH17" s="929"/>
      <c r="FI17" s="929"/>
      <c r="FJ17" s="929"/>
      <c r="FK17" s="901">
        <f t="shared" si="31"/>
      </c>
      <c r="FL17" s="929"/>
      <c r="FM17" s="929"/>
      <c r="FN17" s="929"/>
      <c r="FO17" s="929"/>
      <c r="FP17" s="901">
        <f t="shared" si="32"/>
      </c>
      <c r="FQ17" s="929"/>
      <c r="FR17" s="929"/>
      <c r="FS17" s="929"/>
      <c r="FT17" s="929"/>
      <c r="FU17" s="901">
        <f t="shared" si="33"/>
      </c>
      <c r="FV17" s="929"/>
      <c r="FW17" s="929"/>
      <c r="FX17" s="929"/>
      <c r="FY17" s="929"/>
      <c r="FZ17" s="901">
        <f t="shared" si="34"/>
      </c>
      <c r="GA17" s="929"/>
      <c r="GB17" s="929"/>
      <c r="GC17" s="929"/>
      <c r="GD17" s="929"/>
      <c r="GE17" s="901">
        <f t="shared" si="35"/>
      </c>
      <c r="GF17" s="929"/>
      <c r="GG17" s="929"/>
      <c r="GH17" s="929"/>
      <c r="GI17" s="929"/>
      <c r="GJ17" s="901">
        <f t="shared" si="36"/>
      </c>
    </row>
    <row r="18" spans="1:192" s="273" customFormat="1" ht="12.75" hidden="1" customHeight="1" outlineLevel="1">
      <c r="A18" s="274"/>
      <c r="B18" s="719" t="s">
        <v>140</v>
      </c>
      <c r="C18" s="633">
        <v>0</v>
      </c>
      <c r="D18" s="633">
        <v>0</v>
      </c>
      <c r="E18" s="633">
        <v>0</v>
      </c>
      <c r="F18" s="633">
        <v>0</v>
      </c>
      <c r="G18" s="901">
        <f t="shared" si="0"/>
      </c>
      <c r="H18" s="633">
        <v>0</v>
      </c>
      <c r="I18" s="633">
        <v>0</v>
      </c>
      <c r="J18" s="633">
        <v>0</v>
      </c>
      <c r="K18" s="633">
        <v>0</v>
      </c>
      <c r="L18" s="901">
        <f t="shared" si="37"/>
      </c>
      <c r="M18" s="633">
        <v>194</v>
      </c>
      <c r="N18" s="633">
        <f>648-M18</f>
      </c>
      <c r="O18" s="633">
        <f>1054-N18-M18</f>
      </c>
      <c r="P18" s="633">
        <f>1601-O18-N18-M18</f>
      </c>
      <c r="Q18" s="901">
        <f t="shared" si="1"/>
      </c>
      <c r="R18" s="633">
        <v>533</v>
      </c>
      <c r="S18" s="633">
        <f>1254-R18</f>
      </c>
      <c r="T18" s="633">
        <f>2139-S18-R18</f>
      </c>
      <c r="U18" s="633">
        <f>3268-T18-S18-R18</f>
      </c>
      <c r="V18" s="901">
        <f t="shared" si="2"/>
      </c>
      <c r="W18" s="633">
        <v>1010</v>
      </c>
      <c r="X18" s="633">
        <f>2371-W18</f>
      </c>
      <c r="Y18" s="633">
        <f>4139-X18-W18</f>
      </c>
      <c r="Z18" s="633">
        <f>5877-Y18-X18-W18</f>
      </c>
      <c r="AA18" s="901">
        <f>SUM(W18:Z18)</f>
      </c>
      <c r="AB18" s="633">
        <v>1253</v>
      </c>
      <c r="AC18" s="633">
        <f>2638-AB18</f>
      </c>
      <c r="AD18" s="633">
        <f>4278-AC18-AB18</f>
      </c>
      <c r="AE18" s="633">
        <f>6177-AD18-AC18-AB18</f>
      </c>
      <c r="AF18" s="901">
        <f>SUM(AB18:AE18)</f>
      </c>
      <c r="AG18" s="633">
        <v>1457</v>
      </c>
      <c r="AH18" s="633">
        <f>3288-AG18</f>
      </c>
      <c r="AI18" s="633">
        <f>5141-AH18-AG18</f>
      </c>
      <c r="AJ18" s="633">
        <f>6970-AI18-AH18-AG18</f>
      </c>
      <c r="AK18" s="901">
        <f t="shared" si="6"/>
      </c>
      <c r="AL18" s="633">
        <v>1104</v>
      </c>
      <c r="AM18" s="633">
        <f>3825-AL18</f>
      </c>
      <c r="AN18" s="633">
        <f>7311-AM18-AL18</f>
      </c>
      <c r="AO18" s="633">
        <f>11152-AN18-AM18-AL18</f>
      </c>
      <c r="AP18" s="901">
        <f t="shared" si="7"/>
      </c>
      <c r="AQ18" s="633">
        <v>4093</v>
      </c>
      <c r="AR18" s="633">
        <v>2500</v>
      </c>
      <c r="AS18" s="633">
        <v>2463</v>
      </c>
      <c r="AT18" s="633">
        <v>3463</v>
      </c>
      <c r="AU18" s="901">
        <f t="shared" si="8"/>
      </c>
      <c r="AV18" s="633">
        <v>2214</v>
      </c>
      <c r="AW18" s="633">
        <v>2774</v>
      </c>
      <c r="AX18" s="633">
        <v>2793</v>
      </c>
      <c r="AY18" s="633">
        <v>3996</v>
      </c>
      <c r="AZ18" s="901">
        <f t="shared" si="9"/>
      </c>
      <c r="BA18" s="633">
        <v>2599</v>
      </c>
      <c r="BB18" s="633">
        <v>3354</v>
      </c>
      <c r="BC18" s="633">
        <v>3212</v>
      </c>
      <c r="BD18" s="633">
        <v>4666</v>
      </c>
      <c r="BE18" s="901">
        <f t="shared" si="10"/>
      </c>
      <c r="BF18" s="633">
        <v>3032</v>
      </c>
      <c r="BG18" s="633">
        <v>3670</v>
      </c>
      <c r="BH18" s="633">
        <v>3670</v>
      </c>
      <c r="BI18" s="633">
        <v>6081</v>
      </c>
      <c r="BJ18" s="901">
        <f t="shared" si="11"/>
      </c>
      <c r="BK18" s="633">
        <v>3217</v>
      </c>
      <c r="BL18" s="633">
        <v>6029</v>
      </c>
      <c r="BM18" s="633">
        <v>4551</v>
      </c>
      <c r="BN18" s="633">
        <v>7235</v>
      </c>
      <c r="BO18" s="901">
        <f t="shared" si="12"/>
      </c>
      <c r="BP18" s="633">
        <v>3821</v>
      </c>
      <c r="BQ18" s="633">
        <v>5995</v>
      </c>
      <c r="BR18" s="633">
        <v>5228</v>
      </c>
      <c r="BS18" s="633">
        <v>9488</v>
      </c>
      <c r="BT18" s="901">
        <f t="shared" si="13"/>
      </c>
      <c r="BU18" s="633">
        <v>4186</v>
      </c>
      <c r="BV18" s="633">
        <v>5969</v>
      </c>
      <c r="BW18" s="633">
        <v>5899</v>
      </c>
      <c r="BX18" s="633">
        <v>8355</v>
      </c>
      <c r="BY18" s="901">
        <f t="shared" si="3"/>
      </c>
      <c r="BZ18" s="633">
        <v>6679</v>
      </c>
      <c r="CA18" s="633">
        <v>6926</v>
      </c>
      <c r="CB18" s="633">
        <v>6087</v>
      </c>
      <c r="CC18" s="633">
        <v>9682</v>
      </c>
      <c r="CD18" s="901">
        <f t="shared" si="14"/>
      </c>
      <c r="CE18" s="633">
        <v>5881</v>
      </c>
      <c r="CF18" s="633">
        <v>6834</v>
      </c>
      <c r="CG18" s="633">
        <v>6616</v>
      </c>
      <c r="CH18" s="633">
        <v>11896</v>
      </c>
      <c r="CI18" s="901">
        <f t="shared" si="15"/>
      </c>
      <c r="CJ18" s="633">
        <v>6139</v>
      </c>
      <c r="CK18" s="633">
        <v>7544</v>
      </c>
      <c r="CL18" s="633">
        <v>8142</v>
      </c>
      <c r="CM18" s="633">
        <v>14279</v>
      </c>
      <c r="CN18" s="901">
        <f t="shared" si="16"/>
      </c>
      <c r="CO18" s="633">
        <v>8209</v>
      </c>
      <c r="CP18" s="633">
        <v>10737</v>
      </c>
      <c r="CQ18" s="633">
        <v>9686</v>
      </c>
      <c r="CR18" s="633">
        <v>15621</v>
      </c>
      <c r="CS18" s="901">
        <f t="shared" si="17"/>
      </c>
      <c r="CT18" s="633">
        <v>7436</v>
      </c>
      <c r="CU18" s="633">
        <v>9845</v>
      </c>
      <c r="CV18" s="633">
        <v>10175</v>
      </c>
      <c r="CW18" s="633">
        <v>16869</v>
      </c>
      <c r="CX18" s="901">
        <f t="shared" si="18"/>
      </c>
      <c r="CY18" s="633">
        <v>8022</v>
      </c>
      <c r="CZ18" s="633">
        <v>10200</v>
      </c>
      <c r="DA18" s="633">
        <v>10163</v>
      </c>
      <c r="DB18" s="633">
        <v>16687</v>
      </c>
      <c r="DC18" s="901">
        <f t="shared" si="19"/>
      </c>
      <c r="DD18" s="633">
        <v>10423</v>
      </c>
      <c r="DE18" s="633">
        <v>12570</v>
      </c>
      <c r="DF18" s="633">
        <v>13073</v>
      </c>
      <c r="DG18" s="633">
        <v>21006</v>
      </c>
      <c r="DH18" s="901">
        <f t="shared" si="20"/>
      </c>
      <c r="DI18" s="633">
        <v>0</v>
      </c>
      <c r="DJ18" s="633">
        <v>0</v>
      </c>
      <c r="DK18" s="633">
        <v>0</v>
      </c>
      <c r="DL18" s="633">
        <v>0</v>
      </c>
      <c r="DM18" s="901">
        <f t="shared" si="21"/>
      </c>
      <c r="DN18" s="633">
        <v>0</v>
      </c>
      <c r="DO18" s="633">
        <v>0</v>
      </c>
      <c r="DP18" s="633">
        <v>0</v>
      </c>
      <c r="DQ18" s="633">
        <v>0</v>
      </c>
      <c r="DR18" s="901">
        <f t="shared" si="22"/>
      </c>
      <c r="DS18" s="633">
        <v>0</v>
      </c>
      <c r="DT18" s="633">
        <v>0</v>
      </c>
      <c r="DU18" s="633">
        <v>0</v>
      </c>
      <c r="DV18" s="633">
        <v>0</v>
      </c>
      <c r="DW18" s="901">
        <f t="shared" si="23"/>
      </c>
      <c r="DX18" s="633">
        <v>0</v>
      </c>
      <c r="DY18" s="633">
        <v>0</v>
      </c>
      <c r="DZ18" s="633">
        <v>0</v>
      </c>
      <c r="EA18" s="633">
        <v>0</v>
      </c>
      <c r="EB18" s="901">
        <f t="shared" si="24"/>
      </c>
      <c r="EC18" s="633">
        <v>0</v>
      </c>
      <c r="ED18" s="633">
        <v>0</v>
      </c>
      <c r="EE18" s="633">
        <v>0</v>
      </c>
      <c r="EF18" s="633">
        <v>0</v>
      </c>
      <c r="EG18" s="901">
        <f t="shared" si="25"/>
      </c>
      <c r="EH18" s="633">
        <v>0</v>
      </c>
      <c r="EI18" s="633">
        <v>0</v>
      </c>
      <c r="EJ18" s="633">
        <v>0</v>
      </c>
      <c r="EK18" s="633">
        <v>0</v>
      </c>
      <c r="EL18" s="901">
        <f t="shared" si="26"/>
      </c>
      <c r="EM18" s="633">
        <v>0</v>
      </c>
      <c r="EN18" s="633">
        <v>0</v>
      </c>
      <c r="EO18" s="633">
        <v>0</v>
      </c>
      <c r="EP18" s="633">
        <v>0</v>
      </c>
      <c r="EQ18" s="901">
        <f t="shared" si="27"/>
      </c>
      <c r="ER18" s="633">
        <v>0</v>
      </c>
      <c r="ES18" s="633">
        <v>0</v>
      </c>
      <c r="ET18" s="954">
        <v>0</v>
      </c>
      <c r="EU18" s="954">
        <v>0</v>
      </c>
      <c r="EV18" s="901">
        <f t="shared" si="28"/>
      </c>
      <c r="EW18" s="954">
        <v>0</v>
      </c>
      <c r="EX18" s="954">
        <v>0</v>
      </c>
      <c r="EY18" s="954">
        <v>0</v>
      </c>
      <c r="EZ18" s="954">
        <v>0</v>
      </c>
      <c r="FA18" s="901">
        <f t="shared" si="29"/>
      </c>
      <c r="FB18" s="929"/>
      <c r="FC18" s="929"/>
      <c r="FD18" s="929"/>
      <c r="FE18" s="929"/>
      <c r="FF18" s="901">
        <f t="shared" si="30"/>
      </c>
      <c r="FG18" s="929"/>
      <c r="FH18" s="929"/>
      <c r="FI18" s="929"/>
      <c r="FJ18" s="929"/>
      <c r="FK18" s="901">
        <f t="shared" si="31"/>
      </c>
      <c r="FL18" s="929"/>
      <c r="FM18" s="929"/>
      <c r="FN18" s="929"/>
      <c r="FO18" s="929"/>
      <c r="FP18" s="901">
        <f t="shared" si="32"/>
      </c>
      <c r="FQ18" s="929"/>
      <c r="FR18" s="929"/>
      <c r="FS18" s="929"/>
      <c r="FT18" s="929"/>
      <c r="FU18" s="901">
        <f t="shared" si="33"/>
      </c>
      <c r="FV18" s="929"/>
      <c r="FW18" s="929"/>
      <c r="FX18" s="929"/>
      <c r="FY18" s="929"/>
      <c r="FZ18" s="901">
        <f t="shared" si="34"/>
      </c>
      <c r="GA18" s="929"/>
      <c r="GB18" s="929"/>
      <c r="GC18" s="929"/>
      <c r="GD18" s="929"/>
      <c r="GE18" s="901">
        <f t="shared" si="35"/>
      </c>
      <c r="GF18" s="929"/>
      <c r="GG18" s="929"/>
      <c r="GH18" s="929"/>
      <c r="GI18" s="929"/>
      <c r="GJ18" s="901">
        <f t="shared" si="36"/>
      </c>
    </row>
    <row r="19" spans="1:192" s="273" customFormat="1" ht="12.75" hidden="1" customHeight="1" outlineLevel="1">
      <c r="A19" s="274"/>
      <c r="B19" s="719" t="s">
        <v>141</v>
      </c>
      <c r="C19" s="633">
        <v>0</v>
      </c>
      <c r="D19" s="633">
        <v>0</v>
      </c>
      <c r="E19" s="633">
        <v>0</v>
      </c>
      <c r="F19" s="633">
        <v>0</v>
      </c>
      <c r="G19" s="901">
        <f t="shared" si="0"/>
      </c>
      <c r="H19" s="633">
        <v>0</v>
      </c>
      <c r="I19" s="633">
        <v>0</v>
      </c>
      <c r="J19" s="633">
        <v>0</v>
      </c>
      <c r="K19" s="633">
        <v>0</v>
      </c>
      <c r="L19" s="901">
        <f t="shared" si="37"/>
      </c>
      <c r="M19" s="633">
        <v>-103</v>
      </c>
      <c r="N19" s="633">
        <f>-195-M19</f>
      </c>
      <c r="O19" s="633">
        <f>-353-N19-M19</f>
      </c>
      <c r="P19" s="633">
        <f>-743-O19-N19-M19</f>
      </c>
      <c r="Q19" s="901">
        <f t="shared" si="1"/>
      </c>
      <c r="R19" s="633">
        <v>-280</v>
      </c>
      <c r="S19" s="633">
        <f>-634-R19</f>
      </c>
      <c r="T19" s="633">
        <f>-1094-S19-R19</f>
      </c>
      <c r="U19" s="633">
        <f>-1798-T19-S19-R19</f>
      </c>
      <c r="V19" s="901">
        <f t="shared" si="2"/>
      </c>
      <c r="W19" s="633">
        <v>-765</v>
      </c>
      <c r="X19" s="633">
        <f>-1707-W19</f>
      </c>
      <c r="Y19" s="633">
        <f>-2832-X19-W19</f>
      </c>
      <c r="Z19" s="633">
        <f>-4526-Y19-X19-W19</f>
      </c>
      <c r="AA19" s="901">
        <f t="shared" si="4"/>
      </c>
      <c r="AB19" s="633">
        <v>-1363</v>
      </c>
      <c r="AC19" s="633">
        <f>-2618-AB19</f>
      </c>
      <c r="AD19" s="633">
        <f>-4058-AC19-AB19</f>
      </c>
      <c r="AE19" s="633">
        <f>-5600-AD19-AC19-AB19</f>
      </c>
      <c r="AF19" s="901">
        <f t="shared" si="5"/>
      </c>
      <c r="AG19" s="633">
        <v>-1507</v>
      </c>
      <c r="AH19" s="633">
        <f>-2980-AG19</f>
      </c>
      <c r="AI19" s="633">
        <f>-4652-AH19-AG19</f>
      </c>
      <c r="AJ19" s="633">
        <f>-6369-AI19-AH19-AG19</f>
      </c>
      <c r="AK19" s="901">
        <f t="shared" si="6"/>
      </c>
      <c r="AL19" s="633">
        <v>-914</v>
      </c>
      <c r="AM19" s="633">
        <f>-2863-AL19</f>
      </c>
      <c r="AN19" s="633">
        <f>-5917-AM19-AL19</f>
      </c>
      <c r="AO19" s="633">
        <f>-8929-AN19-AM19-AL19</f>
      </c>
      <c r="AP19" s="901">
        <f t="shared" si="7"/>
      </c>
      <c r="AQ19" s="633">
        <v>-2743</v>
      </c>
      <c r="AR19" s="633">
        <v>-2795</v>
      </c>
      <c r="AS19" s="633">
        <v>-2770</v>
      </c>
      <c r="AT19" s="633">
        <v>-2984</v>
      </c>
      <c r="AU19" s="901">
        <f t="shared" si="8"/>
      </c>
      <c r="AV19" s="633">
        <v>-2983</v>
      </c>
      <c r="AW19" s="633">
        <v>-3166</v>
      </c>
      <c r="AX19" s="633">
        <v>-3119</v>
      </c>
      <c r="AY19" s="633">
        <v>-3259</v>
      </c>
      <c r="AZ19" s="901">
        <f t="shared" si="9"/>
      </c>
      <c r="BA19" s="633">
        <v>-3062</v>
      </c>
      <c r="BB19" s="633">
        <v>-3166</v>
      </c>
      <c r="BC19" s="633">
        <v>-3241</v>
      </c>
      <c r="BD19" s="633">
        <v>-3450</v>
      </c>
      <c r="BE19" s="901">
        <f t="shared" si="10"/>
      </c>
      <c r="BF19" s="633">
        <v>-3419</v>
      </c>
      <c r="BG19" s="633">
        <v>-3622</v>
      </c>
      <c r="BH19" s="633">
        <v>-3615</v>
      </c>
      <c r="BI19" s="633">
        <v>-4073</v>
      </c>
      <c r="BJ19" s="901">
        <f t="shared" si="11"/>
      </c>
      <c r="BK19" s="633">
        <v>-4050</v>
      </c>
      <c r="BL19" s="633">
        <v>-4265</v>
      </c>
      <c r="BM19" s="633">
        <v>-6121</v>
      </c>
      <c r="BN19" s="633">
        <v>-4946</v>
      </c>
      <c r="BO19" s="901">
        <f t="shared" si="12"/>
      </c>
      <c r="BP19" s="633">
        <v>-4965</v>
      </c>
      <c r="BQ19" s="633">
        <v>-5368</v>
      </c>
      <c r="BR19" s="633">
        <v>-5368</v>
      </c>
      <c r="BS19" s="633">
        <v>-6243</v>
      </c>
      <c r="BT19" s="901">
        <f t="shared" si="13"/>
      </c>
      <c r="BU19" s="633">
        <v>-6044</v>
      </c>
      <c r="BV19" s="633">
        <v>-6364</v>
      </c>
      <c r="BW19" s="633">
        <v>-6670</v>
      </c>
      <c r="BX19" s="633">
        <v>-6348</v>
      </c>
      <c r="BY19" s="901">
        <f t="shared" si="3"/>
      </c>
      <c r="BZ19" s="633">
        <v>-6237</v>
      </c>
      <c r="CA19" s="633">
        <v>-9126</v>
      </c>
      <c r="CB19" s="633">
        <v>-6395</v>
      </c>
      <c r="CC19" s="633">
        <v>-7055</v>
      </c>
      <c r="CD19" s="901">
        <f t="shared" si="14"/>
      </c>
      <c r="CE19" s="633">
        <v>-6862</v>
      </c>
      <c r="CF19" s="633">
        <v>-7301</v>
      </c>
      <c r="CG19" s="633">
        <v>-7026</v>
      </c>
      <c r="CH19" s="633">
        <v>-7746</v>
      </c>
      <c r="CI19" s="901">
        <f t="shared" si="15"/>
      </c>
      <c r="CJ19" s="633">
        <v>-7653</v>
      </c>
      <c r="CK19" s="633">
        <v>-8057</v>
      </c>
      <c r="CL19" s="633">
        <v>-8283</v>
      </c>
      <c r="CM19" s="633">
        <v>-9354</v>
      </c>
      <c r="CN19" s="901">
        <f t="shared" si="16"/>
      </c>
      <c r="CO19" s="633">
        <v>-8770</v>
      </c>
      <c r="CP19" s="633">
        <v>-10483</v>
      </c>
      <c r="CQ19" s="633">
        <v>-11599</v>
      </c>
      <c r="CR19" s="633">
        <v>-11069</v>
      </c>
      <c r="CS19" s="901">
        <f>SUM(CO19:CR19)</f>
      </c>
      <c r="CT19" s="633">
        <v>-9677</v>
      </c>
      <c r="CU19" s="633">
        <v>-10578</v>
      </c>
      <c r="CV19" s="633">
        <v>-10139</v>
      </c>
      <c r="CW19" s="633">
        <v>-11345</v>
      </c>
      <c r="CX19" s="901">
        <f>SUM(CT19:CW19)</f>
      </c>
      <c r="CY19" s="633">
        <v>-10643</v>
      </c>
      <c r="CZ19" s="633">
        <v>-11495</v>
      </c>
      <c r="DA19" s="633">
        <v>-11209</v>
      </c>
      <c r="DB19" s="633">
        <v>-11573</v>
      </c>
      <c r="DC19" s="901">
        <f t="shared" si="19"/>
      </c>
      <c r="DD19" s="633">
        <v>-11355</v>
      </c>
      <c r="DE19" s="633">
        <v>-11929</v>
      </c>
      <c r="DF19" s="633">
        <v>-12210</v>
      </c>
      <c r="DG19" s="633">
        <v>-13004</v>
      </c>
      <c r="DH19" s="901">
        <f t="shared" si="20"/>
      </c>
      <c r="DI19" s="633">
        <v>0</v>
      </c>
      <c r="DJ19" s="633">
        <v>0</v>
      </c>
      <c r="DK19" s="633">
        <v>0</v>
      </c>
      <c r="DL19" s="633">
        <v>0</v>
      </c>
      <c r="DM19" s="901">
        <f>SUM(DI19:DL19)</f>
      </c>
      <c r="DN19" s="633">
        <v>0</v>
      </c>
      <c r="DO19" s="633">
        <v>0</v>
      </c>
      <c r="DP19" s="633">
        <v>0</v>
      </c>
      <c r="DQ19" s="633">
        <v>0</v>
      </c>
      <c r="DR19" s="901">
        <f t="shared" si="22"/>
      </c>
      <c r="DS19" s="633">
        <v>0</v>
      </c>
      <c r="DT19" s="633">
        <v>0</v>
      </c>
      <c r="DU19" s="633">
        <v>0</v>
      </c>
      <c r="DV19" s="633">
        <v>0</v>
      </c>
      <c r="DW19" s="901">
        <f t="shared" si="23"/>
      </c>
      <c r="DX19" s="633">
        <v>0</v>
      </c>
      <c r="DY19" s="633">
        <v>0</v>
      </c>
      <c r="DZ19" s="633">
        <v>0</v>
      </c>
      <c r="EA19" s="633">
        <v>0</v>
      </c>
      <c r="EB19" s="901">
        <f t="shared" si="24"/>
      </c>
      <c r="EC19" s="633">
        <v>0</v>
      </c>
      <c r="ED19" s="633">
        <v>0</v>
      </c>
      <c r="EE19" s="633">
        <v>0</v>
      </c>
      <c r="EF19" s="633">
        <v>0</v>
      </c>
      <c r="EG19" s="901">
        <f>SUM(EC19:EF19)</f>
      </c>
      <c r="EH19" s="633">
        <v>0</v>
      </c>
      <c r="EI19" s="633">
        <v>0</v>
      </c>
      <c r="EJ19" s="633">
        <v>0</v>
      </c>
      <c r="EK19" s="633">
        <v>0</v>
      </c>
      <c r="EL19" s="901">
        <f t="shared" si="26"/>
      </c>
      <c r="EM19" s="633">
        <v>0</v>
      </c>
      <c r="EN19" s="633">
        <v>0</v>
      </c>
      <c r="EO19" s="633">
        <v>0</v>
      </c>
      <c r="EP19" s="633">
        <v>0</v>
      </c>
      <c r="EQ19" s="901">
        <f>SUM(EM19:EP19)</f>
      </c>
      <c r="ER19" s="633">
        <v>0</v>
      </c>
      <c r="ES19" s="633">
        <v>0</v>
      </c>
      <c r="ET19" s="954">
        <v>0</v>
      </c>
      <c r="EU19" s="954">
        <v>0</v>
      </c>
      <c r="EV19" s="901">
        <f t="shared" si="28"/>
      </c>
      <c r="EW19" s="954">
        <v>0</v>
      </c>
      <c r="EX19" s="954">
        <v>0</v>
      </c>
      <c r="EY19" s="954">
        <v>0</v>
      </c>
      <c r="EZ19" s="954">
        <v>0</v>
      </c>
      <c r="FA19" s="901">
        <f t="shared" si="29"/>
      </c>
      <c r="FB19" s="929"/>
      <c r="FC19" s="929"/>
      <c r="FD19" s="929"/>
      <c r="FE19" s="929"/>
      <c r="FF19" s="901">
        <f t="shared" si="30"/>
      </c>
      <c r="FG19" s="929"/>
      <c r="FH19" s="929"/>
      <c r="FI19" s="929"/>
      <c r="FJ19" s="929"/>
      <c r="FK19" s="901">
        <f t="shared" si="31"/>
      </c>
      <c r="FL19" s="929"/>
      <c r="FM19" s="929"/>
      <c r="FN19" s="929"/>
      <c r="FO19" s="929"/>
      <c r="FP19" s="901">
        <f t="shared" si="32"/>
      </c>
      <c r="FQ19" s="929"/>
      <c r="FR19" s="929"/>
      <c r="FS19" s="929"/>
      <c r="FT19" s="929"/>
      <c r="FU19" s="901">
        <f t="shared" si="33"/>
      </c>
      <c r="FV19" s="929"/>
      <c r="FW19" s="929"/>
      <c r="FX19" s="929"/>
      <c r="FY19" s="929"/>
      <c r="FZ19" s="901">
        <f t="shared" si="34"/>
      </c>
      <c r="GA19" s="929"/>
      <c r="GB19" s="929"/>
      <c r="GC19" s="929"/>
      <c r="GD19" s="929"/>
      <c r="GE19" s="901">
        <f t="shared" si="35"/>
      </c>
      <c r="GF19" s="929"/>
      <c r="GG19" s="929"/>
      <c r="GH19" s="929"/>
      <c r="GI19" s="929"/>
      <c r="GJ19" s="901">
        <f t="shared" si="36"/>
      </c>
    </row>
    <row r="20" spans="1:192" s="277" customFormat="1" ht="12.75" customHeight="1" collapsed="1">
      <c r="A20" s="274"/>
      <c r="B20" s="719"/>
      <c r="C20" s="448"/>
      <c r="D20" s="493"/>
      <c r="E20" s="493"/>
      <c r="F20" s="493"/>
      <c r="G20" s="901"/>
      <c r="H20" s="448"/>
      <c r="I20" s="493"/>
      <c r="J20" s="493"/>
      <c r="K20" s="493"/>
      <c r="L20" s="901"/>
      <c r="M20" s="448"/>
      <c r="N20" s="493"/>
      <c r="O20" s="493"/>
      <c r="P20" s="493"/>
      <c r="Q20" s="901"/>
      <c r="R20" s="448"/>
      <c r="S20" s="493"/>
      <c r="T20" s="493"/>
      <c r="U20" s="493"/>
      <c r="V20" s="901"/>
      <c r="W20" s="448"/>
      <c r="X20" s="493"/>
      <c r="Y20" s="493"/>
      <c r="Z20" s="493"/>
      <c r="AA20" s="901"/>
      <c r="AB20" s="633"/>
      <c r="AC20" s="633"/>
      <c r="AD20" s="633"/>
      <c r="AE20" s="633"/>
      <c r="AF20" s="901"/>
      <c r="AG20" s="448"/>
      <c r="AH20" s="493"/>
      <c r="AI20" s="493"/>
      <c r="AJ20" s="493"/>
      <c r="AK20" s="901"/>
      <c r="AL20" s="448"/>
      <c r="AM20" s="493"/>
      <c r="AN20" s="493"/>
      <c r="AO20" s="493"/>
      <c r="AP20" s="901"/>
      <c r="AQ20" s="448"/>
      <c r="AR20" s="493"/>
      <c r="AS20" s="493"/>
      <c r="AT20" s="493"/>
      <c r="AU20" s="901"/>
      <c r="AV20" s="448"/>
      <c r="AW20" s="493"/>
      <c r="AX20" s="493"/>
      <c r="AY20" s="493"/>
      <c r="AZ20" s="901"/>
      <c r="BA20" s="448"/>
      <c r="BB20" s="493"/>
      <c r="BC20" s="493"/>
      <c r="BD20" s="493"/>
      <c r="BE20" s="901"/>
      <c r="BF20" s="448"/>
      <c r="BG20" s="493"/>
      <c r="BH20" s="493"/>
      <c r="BI20" s="493"/>
      <c r="BJ20" s="901"/>
      <c r="BK20" s="448"/>
      <c r="BL20" s="493"/>
      <c r="BM20" s="493"/>
      <c r="BN20" s="493"/>
      <c r="BO20" s="901"/>
      <c r="BP20" s="633"/>
      <c r="BQ20" s="633"/>
      <c r="BR20" s="633"/>
      <c r="BS20" s="633"/>
      <c r="BT20" s="901"/>
      <c r="BU20" s="633"/>
      <c r="BV20" s="633"/>
      <c r="BW20" s="633"/>
      <c r="BX20" s="633"/>
      <c r="BY20" s="901"/>
      <c r="BZ20" s="633"/>
      <c r="CA20" s="633"/>
      <c r="CB20" s="633"/>
      <c r="CC20" s="633"/>
      <c r="CD20" s="901"/>
      <c r="CE20" s="633"/>
      <c r="CF20" s="633"/>
      <c r="CG20" s="633"/>
      <c r="CH20" s="633"/>
      <c r="CI20" s="901"/>
      <c r="CJ20" s="633"/>
      <c r="CK20" s="633"/>
      <c r="CL20" s="633"/>
      <c r="CM20" s="633"/>
      <c r="CN20" s="901"/>
      <c r="CO20" s="633"/>
      <c r="CP20" s="633"/>
      <c r="CQ20" s="633"/>
      <c r="CR20" s="633"/>
      <c r="CS20" s="901"/>
      <c r="CT20" s="633"/>
      <c r="CU20" s="633"/>
      <c r="CV20" s="633"/>
      <c r="CW20" s="633"/>
      <c r="CX20" s="901"/>
      <c r="CY20" s="633"/>
      <c r="CZ20" s="633"/>
      <c r="DA20" s="633"/>
      <c r="DB20" s="633"/>
      <c r="DC20" s="901"/>
      <c r="DD20" s="633"/>
      <c r="DE20" s="633"/>
      <c r="DF20" s="633"/>
      <c r="DG20" s="633"/>
      <c r="DH20" s="901"/>
      <c r="DI20" s="633"/>
      <c r="DJ20" s="633"/>
      <c r="DK20" s="633"/>
      <c r="DL20" s="633"/>
      <c r="DM20" s="901"/>
      <c r="DN20" s="633"/>
      <c r="DO20" s="633"/>
      <c r="DP20" s="633"/>
      <c r="DQ20" s="633"/>
      <c r="DR20" s="901"/>
      <c r="DS20" s="633"/>
      <c r="DT20" s="633"/>
      <c r="DU20" s="633"/>
      <c r="DV20" s="633"/>
      <c r="DW20" s="901"/>
      <c r="DX20" s="633"/>
      <c r="DY20" s="633"/>
      <c r="DZ20" s="633"/>
      <c r="EA20" s="633"/>
      <c r="EB20" s="901"/>
      <c r="EC20" s="633"/>
      <c r="ED20" s="633"/>
      <c r="EE20" s="633"/>
      <c r="EF20" s="633"/>
      <c r="EG20" s="901"/>
      <c r="EH20" s="633"/>
      <c r="EI20" s="633"/>
      <c r="EJ20" s="633"/>
      <c r="EK20" s="633"/>
      <c r="EL20" s="901"/>
      <c r="EM20" s="633"/>
      <c r="EN20" s="633"/>
      <c r="EO20" s="633"/>
      <c r="EP20" s="633"/>
      <c r="EQ20" s="901"/>
      <c r="ER20" s="633"/>
      <c r="ES20" s="633"/>
      <c r="ET20" s="954"/>
      <c r="EU20" s="954"/>
      <c r="EV20" s="901"/>
      <c r="EW20" s="496"/>
      <c r="EX20" s="815"/>
      <c r="EY20" s="815"/>
      <c r="EZ20" s="815"/>
      <c r="FA20" s="901"/>
      <c r="FB20" s="448"/>
      <c r="FC20" s="493"/>
      <c r="FD20" s="493"/>
      <c r="FE20" s="493"/>
      <c r="FF20" s="901"/>
      <c r="FG20" s="448"/>
      <c r="FH20" s="493"/>
      <c r="FI20" s="493"/>
      <c r="FJ20" s="493"/>
      <c r="FK20" s="901"/>
      <c r="FL20" s="448"/>
      <c r="FM20" s="493"/>
      <c r="FN20" s="493"/>
      <c r="FO20" s="493"/>
      <c r="FP20" s="901"/>
      <c r="FQ20" s="448"/>
      <c r="FR20" s="493"/>
      <c r="FS20" s="493"/>
      <c r="FT20" s="493"/>
      <c r="FU20" s="901"/>
      <c r="FV20" s="448"/>
      <c r="FW20" s="493"/>
      <c r="FX20" s="493"/>
      <c r="FY20" s="493"/>
      <c r="FZ20" s="901"/>
      <c r="GA20" s="448"/>
      <c r="GB20" s="493"/>
      <c r="GC20" s="493"/>
      <c r="GD20" s="493"/>
      <c r="GE20" s="901"/>
      <c r="GF20" s="448"/>
      <c r="GG20" s="493"/>
      <c r="GH20" s="493"/>
      <c r="GI20" s="493"/>
      <c r="GJ20" s="901"/>
    </row>
    <row r="21" spans="1:192" s="277" customFormat="1" ht="12.75" customHeight="1">
      <c r="A21" s="274"/>
      <c r="B21" s="720" t="s">
        <v>110</v>
      </c>
      <c r="C21" s="493"/>
      <c r="D21" s="493"/>
      <c r="E21" s="493"/>
      <c r="F21" s="493"/>
      <c r="G21" s="901"/>
      <c r="H21" s="493"/>
      <c r="I21" s="493"/>
      <c r="J21" s="493"/>
      <c r="K21" s="493"/>
      <c r="L21" s="901"/>
      <c r="M21" s="493"/>
      <c r="N21" s="493"/>
      <c r="O21" s="493"/>
      <c r="P21" s="493"/>
      <c r="Q21" s="901"/>
      <c r="R21" s="493"/>
      <c r="S21" s="493"/>
      <c r="T21" s="493"/>
      <c r="U21" s="493"/>
      <c r="V21" s="901"/>
      <c r="W21" s="493"/>
      <c r="X21" s="493"/>
      <c r="Y21" s="493"/>
      <c r="Z21" s="493"/>
      <c r="AA21" s="901"/>
      <c r="AB21" s="633"/>
      <c r="AC21" s="633"/>
      <c r="AD21" s="633"/>
      <c r="AE21" s="633"/>
      <c r="AF21" s="901"/>
      <c r="AG21" s="493"/>
      <c r="AH21" s="493"/>
      <c r="AI21" s="493"/>
      <c r="AJ21" s="493"/>
      <c r="AK21" s="901"/>
      <c r="AL21" s="493"/>
      <c r="AM21" s="493"/>
      <c r="AN21" s="493"/>
      <c r="AO21" s="493"/>
      <c r="AP21" s="901"/>
      <c r="AQ21" s="493"/>
      <c r="AR21" s="493"/>
      <c r="AS21" s="493"/>
      <c r="AT21" s="493"/>
      <c r="AU21" s="901"/>
      <c r="AV21" s="493"/>
      <c r="AW21" s="493"/>
      <c r="AX21" s="493"/>
      <c r="AY21" s="493"/>
      <c r="AZ21" s="901"/>
      <c r="BA21" s="493"/>
      <c r="BB21" s="493"/>
      <c r="BC21" s="493"/>
      <c r="BD21" s="493"/>
      <c r="BE21" s="901"/>
      <c r="BF21" s="493"/>
      <c r="BG21" s="493"/>
      <c r="BH21" s="493"/>
      <c r="BI21" s="493"/>
      <c r="BJ21" s="901"/>
      <c r="BK21" s="493"/>
      <c r="BL21" s="493"/>
      <c r="BM21" s="493"/>
      <c r="BN21" s="493"/>
      <c r="BO21" s="901"/>
      <c r="BP21" s="949"/>
      <c r="BQ21" s="949"/>
      <c r="BR21" s="949"/>
      <c r="BS21" s="949"/>
      <c r="BT21" s="901"/>
      <c r="BU21" s="949"/>
      <c r="BV21" s="949"/>
      <c r="BW21" s="949"/>
      <c r="BX21" s="949"/>
      <c r="BY21" s="901"/>
      <c r="BZ21" s="949"/>
      <c r="CA21" s="949"/>
      <c r="CB21" s="949"/>
      <c r="CC21" s="949"/>
      <c r="CD21" s="901"/>
      <c r="CE21" s="949"/>
      <c r="CF21" s="949"/>
      <c r="CG21" s="949"/>
      <c r="CH21" s="949"/>
      <c r="CI21" s="901"/>
      <c r="CJ21" s="949"/>
      <c r="CK21" s="949"/>
      <c r="CL21" s="949"/>
      <c r="CM21" s="949"/>
      <c r="CN21" s="901"/>
      <c r="CO21" s="949"/>
      <c r="CP21" s="949"/>
      <c r="CQ21" s="949"/>
      <c r="CR21" s="949"/>
      <c r="CS21" s="901"/>
      <c r="CT21" s="949"/>
      <c r="CU21" s="949"/>
      <c r="CV21" s="949"/>
      <c r="CW21" s="949"/>
      <c r="CX21" s="901"/>
      <c r="CY21" s="949"/>
      <c r="CZ21" s="949"/>
      <c r="DA21" s="949"/>
      <c r="DB21" s="949"/>
      <c r="DC21" s="901"/>
      <c r="DD21" s="949"/>
      <c r="DE21" s="949"/>
      <c r="DF21" s="949"/>
      <c r="DG21" s="949"/>
      <c r="DH21" s="901"/>
      <c r="DI21" s="949"/>
      <c r="DJ21" s="949"/>
      <c r="DK21" s="949"/>
      <c r="DL21" s="949"/>
      <c r="DM21" s="901"/>
      <c r="DN21" s="949"/>
      <c r="DO21" s="949"/>
      <c r="DP21" s="949"/>
      <c r="DQ21" s="949"/>
      <c r="DR21" s="901"/>
      <c r="DS21" s="949"/>
      <c r="DT21" s="949"/>
      <c r="DU21" s="949"/>
      <c r="DV21" s="949"/>
      <c r="DW21" s="901"/>
      <c r="DX21" s="949"/>
      <c r="DY21" s="949"/>
      <c r="DZ21" s="949"/>
      <c r="EA21" s="949"/>
      <c r="EB21" s="901"/>
      <c r="EC21" s="949"/>
      <c r="ED21" s="949"/>
      <c r="EE21" s="949"/>
      <c r="EF21" s="949"/>
      <c r="EG21" s="901"/>
      <c r="EH21" s="949"/>
      <c r="EI21" s="949"/>
      <c r="EJ21" s="949"/>
      <c r="EK21" s="949"/>
      <c r="EL21" s="901"/>
      <c r="EM21" s="949"/>
      <c r="EN21" s="949"/>
      <c r="EO21" s="949"/>
      <c r="EP21" s="949"/>
      <c r="EQ21" s="901"/>
      <c r="ER21" s="949"/>
      <c r="ES21" s="493"/>
      <c r="ET21" s="815"/>
      <c r="EU21" s="815"/>
      <c r="EV21" s="901"/>
      <c r="EW21" s="1596"/>
      <c r="EX21" s="1596"/>
      <c r="EY21" s="815"/>
      <c r="EZ21" s="815"/>
      <c r="FA21" s="901"/>
      <c r="FB21" s="949"/>
      <c r="FC21" s="949"/>
      <c r="FD21" s="949"/>
      <c r="FE21" s="949"/>
      <c r="FF21" s="901"/>
      <c r="FG21" s="949"/>
      <c r="FH21" s="949"/>
      <c r="FI21" s="949"/>
      <c r="FJ21" s="949"/>
      <c r="FK21" s="901"/>
      <c r="FL21" s="949"/>
      <c r="FM21" s="949"/>
      <c r="FN21" s="949"/>
      <c r="FO21" s="949"/>
      <c r="FP21" s="901"/>
      <c r="FQ21" s="949"/>
      <c r="FR21" s="949"/>
      <c r="FS21" s="949"/>
      <c r="FT21" s="949"/>
      <c r="FU21" s="901"/>
      <c r="FV21" s="949"/>
      <c r="FW21" s="949"/>
      <c r="FX21" s="949"/>
      <c r="FY21" s="949"/>
      <c r="FZ21" s="901"/>
      <c r="GA21" s="949"/>
      <c r="GB21" s="949"/>
      <c r="GC21" s="949"/>
      <c r="GD21" s="949"/>
      <c r="GE21" s="901"/>
      <c r="GF21" s="949"/>
      <c r="GG21" s="949"/>
      <c r="GH21" s="949"/>
      <c r="GI21" s="949"/>
      <c r="GJ21" s="901"/>
    </row>
    <row r="22" spans="1:192" s="277" customFormat="1" ht="12.75" customHeight="1">
      <c r="A22" s="274"/>
      <c r="B22" s="719" t="s">
        <v>111</v>
      </c>
      <c r="C22" s="633">
        <v>-59</v>
      </c>
      <c r="D22" s="633">
        <f>-134-C22</f>
      </c>
      <c r="E22" s="633">
        <f>-40-D22-C22</f>
      </c>
      <c r="F22" s="633">
        <f>-91-E22-D22-C22</f>
      </c>
      <c r="G22" s="901">
        <f t="shared" ref="G22:G29" si="38">SUM(C22:F22)</f>
      </c>
      <c r="H22" s="633">
        <v>-467</v>
      </c>
      <c r="I22" s="633">
        <f>-187-H22</f>
      </c>
      <c r="J22" s="633">
        <f>-154-I22-H22</f>
      </c>
      <c r="K22" s="633">
        <f>-71-J22-I22-H22</f>
      </c>
      <c r="L22" s="901">
        <f t="shared" ref="L22:L29" si="39">SUM(H22:K22)</f>
      </c>
      <c r="M22" s="633">
        <v>-205</v>
      </c>
      <c r="N22" s="633">
        <f>-326-M22</f>
      </c>
      <c r="O22" s="633">
        <f>-252-N22-M22</f>
      </c>
      <c r="P22" s="633">
        <f>-336-O22-N22-M22</f>
      </c>
      <c r="Q22" s="901">
        <f t="shared" ref="Q22:Q31" si="40">SUM(M22:P22)</f>
      </c>
      <c r="R22" s="633">
        <v>180</v>
      </c>
      <c r="S22" s="633">
        <f>-129-R22</f>
      </c>
      <c r="T22" s="633">
        <f>-123-S22-R22</f>
      </c>
      <c r="U22" s="633">
        <f>-520-T22-S22-R22</f>
      </c>
      <c r="V22" s="901">
        <f t="shared" ref="V22:V31" si="41">SUM(R22:U22)</f>
      </c>
      <c r="W22" s="633">
        <v>341</v>
      </c>
      <c r="X22" s="633">
        <f>-486-W22</f>
      </c>
      <c r="Y22" s="633">
        <f>-192-X22-W22</f>
      </c>
      <c r="Z22" s="633">
        <f>-687-Y22-X22-W22</f>
      </c>
      <c r="AA22" s="901">
        <f t="shared" ref="AA22:AA31" si="42">SUM(W22:Z22)</f>
      </c>
      <c r="AB22" s="633">
        <v>-345</v>
      </c>
      <c r="AC22" s="633">
        <f>-1030-AB22</f>
      </c>
      <c r="AD22" s="633">
        <f>-558-AC22-AB22</f>
      </c>
      <c r="AE22" s="633">
        <f>-944-AD22-AC22-AB22</f>
      </c>
      <c r="AF22" s="901">
        <f t="shared" ref="AF22:AF31" si="43">SUM(AB22:AE22)</f>
      </c>
      <c r="AG22" s="633">
        <v>116</v>
      </c>
      <c r="AH22" s="633">
        <f>-898-AG22</f>
      </c>
      <c r="AI22" s="633">
        <f>-281-AH22-AG22</f>
      </c>
      <c r="AJ22" s="633">
        <f>-418-AI22-AH22-AG22</f>
      </c>
      <c r="AK22" s="901">
        <f t="shared" ref="AK22:AK30" si="44">SUM(AG22:AJ22)</f>
      </c>
      <c r="AL22" s="633">
        <v>69</v>
      </c>
      <c r="AM22" s="633">
        <f>-1399-AL22</f>
      </c>
      <c r="AN22" s="633">
        <f>-745-AM22-AL22</f>
      </c>
      <c r="AO22" s="633">
        <f>-1623-AN22-AM22-AL22</f>
      </c>
      <c r="AP22" s="901">
        <f t="shared" ref="AP22:AP30" si="45">SUM(AL22:AO22)</f>
      </c>
      <c r="AQ22" s="633">
        <v>751</v>
      </c>
      <c r="AR22" s="633">
        <v>-349</v>
      </c>
      <c r="AS22" s="633">
        <v>823</v>
      </c>
      <c r="AT22" s="633">
        <v>-1038</v>
      </c>
      <c r="AU22" s="901">
        <f t="shared" ref="AU22:AU30" si="46">SUM(AQ22:AT22)</f>
      </c>
      <c r="AV22" s="633">
        <v>676</v>
      </c>
      <c r="AW22" s="633">
        <v>-1004</v>
      </c>
      <c r="AX22" s="633">
        <v>697</v>
      </c>
      <c r="AY22" s="633">
        <v>-1056</v>
      </c>
      <c r="AZ22" s="901">
        <f t="shared" ref="AZ22:AZ30" si="47">SUM(AV22:AY22)</f>
      </c>
      <c r="BA22" s="633">
        <v>861</v>
      </c>
      <c r="BB22" s="633">
        <v>-1398</v>
      </c>
      <c r="BC22" s="633">
        <v>1001</v>
      </c>
      <c r="BD22" s="633">
        <v>-1707</v>
      </c>
      <c r="BE22" s="901">
        <f t="shared" ref="BE22:BE30" si="48">SUM(BA22:BD22)</f>
      </c>
      <c r="BF22" s="633">
        <v>1408</v>
      </c>
      <c r="BG22" s="633">
        <v>-2012</v>
      </c>
      <c r="BH22" s="633">
        <v>972</v>
      </c>
      <c r="BI22" s="633">
        <v>-2439</v>
      </c>
      <c r="BJ22" s="901">
        <f t="shared" ref="BJ22:BJ30" si="49">SUM(BF22:BI22)</f>
      </c>
      <c r="BK22" s="633">
        <v>2501</v>
      </c>
      <c r="BL22" s="633">
        <v>-2945</v>
      </c>
      <c r="BM22" s="633">
        <v>1455</v>
      </c>
      <c r="BN22" s="633">
        <v>-2775</v>
      </c>
      <c r="BO22" s="901">
        <f t="shared" ref="BO22:BO30" si="50">SUM(BK22:BN22)</f>
      </c>
      <c r="BP22" s="633">
        <v>2806</v>
      </c>
      <c r="BQ22" s="633">
        <v>-2586</v>
      </c>
      <c r="BR22" s="633">
        <v>1857</v>
      </c>
      <c r="BS22" s="633">
        <v>-3646</v>
      </c>
      <c r="BT22" s="901">
        <f t="shared" ref="BT22:BT30" si="51">SUM(BP22:BS22)</f>
      </c>
      <c r="BU22" s="633">
        <v>3985</v>
      </c>
      <c r="BV22" s="633">
        <v>-1647</v>
      </c>
      <c r="BW22" s="633">
        <v>1697</v>
      </c>
      <c r="BX22" s="633">
        <v>-1820</v>
      </c>
      <c r="BY22" s="901">
        <f t="shared" ref="BY22:BY30" si="52">SUM(BU22:BX22)</f>
      </c>
      <c r="BZ22" s="633">
        <v>2748</v>
      </c>
      <c r="CA22" s="633">
        <v>-2789</v>
      </c>
      <c r="CB22" s="633">
        <v>1947</v>
      </c>
      <c r="CC22" s="633">
        <v>-4144</v>
      </c>
      <c r="CD22" s="901">
        <f t="shared" ref="CD22:CD30" si="53">SUM(BZ22:CC22)</f>
      </c>
      <c r="CE22" s="633">
        <v>3674</v>
      </c>
      <c r="CF22" s="633">
        <v>-3270</v>
      </c>
      <c r="CG22" s="633">
        <v>3031</v>
      </c>
      <c r="CH22" s="633">
        <v>-4886</v>
      </c>
      <c r="CI22" s="901">
        <f t="shared" ref="CI22:CI30" si="54">SUM(CE22:CH22)</f>
      </c>
      <c r="CJ22" s="633">
        <v>4733</v>
      </c>
      <c r="CK22" s="633">
        <v>-3652</v>
      </c>
      <c r="CL22" s="633">
        <v>2770</v>
      </c>
      <c r="CM22" s="633">
        <v>-5007</v>
      </c>
      <c r="CN22" s="901">
        <f t="shared" ref="CN22:CN30" si="55">SUM(CJ22:CM22)</f>
      </c>
      <c r="CO22" s="633">
        <v>6156</v>
      </c>
      <c r="CP22" s="633">
        <v>-4488</v>
      </c>
      <c r="CQ22" s="633">
        <v>2191</v>
      </c>
      <c r="CR22" s="633">
        <v>-5666</v>
      </c>
      <c r="CS22" s="901">
        <f t="shared" ref="CS22:CS30" si="56">SUM(CO22:CR22)</f>
      </c>
      <c r="CT22" s="633">
        <v>6617</v>
      </c>
      <c r="CU22" s="633">
        <v>-4875</v>
      </c>
      <c r="CV22" s="633">
        <v>2501</v>
      </c>
      <c r="CW22" s="633">
        <v>-5363</v>
      </c>
      <c r="CX22" s="901">
        <f t="shared" ref="CX22:CX30" si="57">SUM(CT22:CW22)</f>
      </c>
      <c r="CY22" s="633">
        <v>6627</v>
      </c>
      <c r="CZ22" s="633">
        <v>-3378</v>
      </c>
      <c r="DA22" s="633">
        <v>3655</v>
      </c>
      <c r="DB22" s="633">
        <v>-5448</v>
      </c>
      <c r="DC22" s="901">
        <f t="shared" ref="DC22:DC30" si="58">SUM(CY22:DB22)</f>
      </c>
      <c r="DD22" s="633">
        <v>6376</v>
      </c>
      <c r="DE22" s="633">
        <v>-3118</v>
      </c>
      <c r="DF22" s="633">
        <v>2288</v>
      </c>
      <c r="DG22" s="633">
        <v>-6076</v>
      </c>
      <c r="DH22" s="901">
        <f t="shared" ref="DH22:DH30" si="59">SUM(DD22:DG22)</f>
      </c>
      <c r="DI22" s="633">
        <v>7187</v>
      </c>
      <c r="DJ22" s="633">
        <v>-2789</v>
      </c>
      <c r="DK22" s="633">
        <v>1415</v>
      </c>
      <c r="DL22" s="633">
        <v>-7029</v>
      </c>
      <c r="DM22" s="901">
        <f t="shared" ref="DM22:DM30" si="60">SUM(DI22:DL22)</f>
      </c>
      <c r="DN22" s="633">
        <v>7949</v>
      </c>
      <c r="DO22" s="633">
        <v>-3908</v>
      </c>
      <c r="DP22" s="633">
        <v>1285</v>
      </c>
      <c r="DQ22" s="633">
        <v>-9188</v>
      </c>
      <c r="DR22" s="901">
        <f t="shared" ref="DR22:DR30" si="61">SUM(DN22:DQ22)</f>
      </c>
      <c r="DS22" s="633">
        <v>9194</v>
      </c>
      <c r="DT22" s="633">
        <v>-2396</v>
      </c>
      <c r="DU22" s="633">
        <v>460</v>
      </c>
      <c r="DV22" s="633">
        <v>-10070</v>
      </c>
      <c r="DW22" s="901">
        <f t="shared" ref="DW22:DW30" si="62">SUM(DS22:DV22)</f>
      </c>
      <c r="DX22" s="633">
        <v>10090</v>
      </c>
      <c r="DY22" s="633">
        <v>-4203</v>
      </c>
      <c r="DZ22" s="633">
        <v>891</v>
      </c>
      <c r="EA22" s="633">
        <v>-9355</v>
      </c>
      <c r="EB22" s="901">
        <f t="shared" ref="EB22:EB30" si="63">SUM(DX22:EA22)</f>
      </c>
      <c r="EC22" s="633">
        <v>8843</v>
      </c>
      <c r="ED22" s="633">
        <v>-4008</v>
      </c>
      <c r="EE22" s="633">
        <v>290</v>
      </c>
      <c r="EF22" s="633">
        <v>-11606</v>
      </c>
      <c r="EG22" s="901">
        <f t="shared" ref="EG22:EG30" si="64">SUM(EC22:EF22)</f>
      </c>
      <c r="EH22" s="633">
        <v>10486</v>
      </c>
      <c r="EI22" s="633">
        <v>-5543</v>
      </c>
      <c r="EJ22" s="633">
        <v>857</v>
      </c>
      <c r="EK22" s="633">
        <v>-12634</v>
      </c>
      <c r="EL22" s="901">
        <f t="shared" ref="EL22:EL30" si="65">SUM(EH22:EK22)</f>
      </c>
      <c r="EM22" s="633">
        <v>11729</v>
      </c>
      <c r="EN22" s="633">
        <v>-3164</v>
      </c>
      <c r="EO22" s="633">
        <v>-1408</v>
      </c>
      <c r="EP22" s="633">
        <v>-11244</v>
      </c>
      <c r="EQ22" s="901">
        <f t="shared" ref="EQ22:EQ30" si="66">SUM(EM22:EP22)</f>
      </c>
      <c r="ER22" s="633">
        <v>11034</v>
      </c>
      <c r="ES22" s="633">
        <v>-2951</v>
      </c>
      <c r="ET22" s="954">
        <v>-2028</v>
      </c>
      <c r="EU22" s="954">
        <v>-13246</v>
      </c>
      <c r="EV22" s="901">
        <f t="shared" ref="EV22:EV30" si="67">SUM(ER22:EU22)</f>
      </c>
      <c r="EW22" s="954">
        <v>14037</v>
      </c>
      <c r="EX22" s="954">
        <v>-5978</v>
      </c>
      <c r="EY22" s="954">
        <v>-2461</v>
      </c>
      <c r="EZ22" s="954">
        <v>-16179</v>
      </c>
      <c r="FA22" s="901">
        <f t="shared" ref="FA22:FA30" si="68">SUM(EW22:EZ22)</f>
      </c>
      <c r="FB22" s="768">
        <f>(BS!EZ12-BS!FB12)</f>
      </c>
      <c r="FC22" s="768">
        <f>(BS!FB12-BS!FC12)</f>
      </c>
      <c r="FD22" s="768">
        <f>(BS!FC12-BS!FD12)</f>
      </c>
      <c r="FE22" s="768">
        <f>(BS!FD12-BS!FE12)</f>
      </c>
      <c r="FF22" s="901">
        <f t="shared" ref="FF22:FF30" si="69">SUM(FB22:FE22)</f>
      </c>
      <c r="FG22" s="768">
        <f>(BS!FE12-BS!FG12)</f>
      </c>
      <c r="FH22" s="768">
        <f>(BS!FG12-BS!FH12)</f>
      </c>
      <c r="FI22" s="768">
        <f>(BS!FH12-BS!FI12)</f>
      </c>
      <c r="FJ22" s="768">
        <f>(BS!FI12-BS!FJ12)</f>
      </c>
      <c r="FK22" s="901">
        <f t="shared" ref="FK22:FK30" si="70">SUM(FG22:FJ22)</f>
      </c>
      <c r="FL22" s="768">
        <f>(BS!FJ12-BS!FL12)</f>
      </c>
      <c r="FM22" s="768">
        <f>(BS!FL12-BS!FM12)</f>
      </c>
      <c r="FN22" s="768">
        <f>(BS!FM12-BS!FN12)</f>
      </c>
      <c r="FO22" s="768">
        <f>(BS!FN12-BS!FO12)</f>
      </c>
      <c r="FP22" s="901">
        <f t="shared" ref="FP22:FP30" si="71">SUM(FL22:FO22)</f>
      </c>
      <c r="FQ22" s="768">
        <f>(BS!FO12-BS!FQ12)</f>
      </c>
      <c r="FR22" s="768">
        <f>(BS!FQ12-BS!FR12)</f>
      </c>
      <c r="FS22" s="768">
        <f>(BS!FR12-BS!FS12)</f>
      </c>
      <c r="FT22" s="768">
        <f>(BS!FS12-BS!FT12)</f>
      </c>
      <c r="FU22" s="901">
        <f t="shared" ref="FU22:FU30" si="72">SUM(FQ22:FT22)</f>
      </c>
      <c r="FV22" s="768">
        <f>(BS!FT12-BS!FV12)</f>
      </c>
      <c r="FW22" s="768">
        <f>(BS!FV12-BS!FW12)</f>
      </c>
      <c r="FX22" s="768">
        <f>(BS!FW12-BS!FX12)</f>
      </c>
      <c r="FY22" s="768">
        <f>(BS!FX12-BS!FY12)</f>
      </c>
      <c r="FZ22" s="901">
        <f t="shared" ref="FZ22:FZ30" si="73">SUM(FV22:FY22)</f>
      </c>
      <c r="GA22" s="768">
        <f>(BS!FY12-BS!GA12)</f>
      </c>
      <c r="GB22" s="768">
        <f>(BS!GA12-BS!GB12)</f>
      </c>
      <c r="GC22" s="768">
        <f>(BS!GB12-BS!GC12)</f>
      </c>
      <c r="GD22" s="768">
        <f>(BS!GC12-BS!GD12)</f>
      </c>
      <c r="GE22" s="901">
        <f t="shared" ref="GE22:GE30" si="74">SUM(GA22:GD22)</f>
      </c>
      <c r="GF22" s="768">
        <f>(BS!GD12-BS!GF12)</f>
      </c>
      <c r="GG22" s="768">
        <f>(BS!GF12-BS!GG12)</f>
      </c>
      <c r="GH22" s="768">
        <f>(BS!GG12-BS!GH12)</f>
      </c>
      <c r="GI22" s="768">
        <f>(BS!GH12-BS!GI12)</f>
      </c>
      <c r="GJ22" s="901">
        <f t="shared" ref="GJ22:GJ30" si="75">SUM(GF22:GI22)</f>
      </c>
    </row>
    <row r="23" spans="1:192" s="277" customFormat="1" ht="12.75" customHeight="1">
      <c r="A23" s="274"/>
      <c r="B23" s="719" t="s">
        <v>89</v>
      </c>
      <c r="C23" s="633">
        <v>-7</v>
      </c>
      <c r="D23" s="633">
        <f>-17-C23</f>
      </c>
      <c r="E23" s="633">
        <f>17-D23-C23</f>
      </c>
      <c r="F23" s="633">
        <v>-17</v>
      </c>
      <c r="G23" s="901">
        <f t="shared" si="38"/>
      </c>
      <c r="H23" s="633">
        <v>-37</v>
      </c>
      <c r="I23" s="633">
        <f>-20-H23</f>
      </c>
      <c r="J23" s="633">
        <f>53-I23-H23</f>
      </c>
      <c r="K23" s="633">
        <v>-53</v>
      </c>
      <c r="L23" s="901">
        <f t="shared" si="39"/>
      </c>
      <c r="M23" s="633">
        <v>0</v>
      </c>
      <c r="N23" s="633">
        <v>0</v>
      </c>
      <c r="O23" s="633">
        <v>0</v>
      </c>
      <c r="P23" s="633">
        <v>0</v>
      </c>
      <c r="Q23" s="901">
        <f t="shared" si="40"/>
      </c>
      <c r="R23" s="633">
        <v>0</v>
      </c>
      <c r="S23" s="633">
        <v>0</v>
      </c>
      <c r="T23" s="633">
        <v>0</v>
      </c>
      <c r="U23" s="633">
        <v>0</v>
      </c>
      <c r="V23" s="901">
        <f t="shared" si="41"/>
      </c>
      <c r="W23" s="633">
        <v>0</v>
      </c>
      <c r="X23" s="633">
        <v>0</v>
      </c>
      <c r="Y23" s="633">
        <v>0</v>
      </c>
      <c r="Z23" s="633">
        <v>0</v>
      </c>
      <c r="AA23" s="901">
        <f t="shared" si="42"/>
      </c>
      <c r="AB23" s="633">
        <v>0</v>
      </c>
      <c r="AC23" s="633">
        <v>0</v>
      </c>
      <c r="AD23" s="633">
        <v>0</v>
      </c>
      <c r="AE23" s="633">
        <v>0</v>
      </c>
      <c r="AF23" s="901">
        <f t="shared" si="43"/>
      </c>
      <c r="AG23" s="633">
        <v>0</v>
      </c>
      <c r="AH23" s="633">
        <v>0</v>
      </c>
      <c r="AI23" s="633">
        <v>0</v>
      </c>
      <c r="AJ23" s="633">
        <v>0</v>
      </c>
      <c r="AK23" s="901">
        <f>SUM(AG23:AJ23)</f>
      </c>
      <c r="AL23" s="633">
        <v>0</v>
      </c>
      <c r="AM23" s="633">
        <v>0</v>
      </c>
      <c r="AN23" s="633">
        <v>0</v>
      </c>
      <c r="AO23" s="633">
        <v>0</v>
      </c>
      <c r="AP23" s="901">
        <f>SUM(AL23:AO23)</f>
      </c>
      <c r="AQ23" s="633">
        <v>0</v>
      </c>
      <c r="AR23" s="633">
        <v>0</v>
      </c>
      <c r="AS23" s="633">
        <v>0</v>
      </c>
      <c r="AT23" s="633">
        <v>0</v>
      </c>
      <c r="AU23" s="901">
        <f>SUM(AQ23:AT23)</f>
      </c>
      <c r="AV23" s="633">
        <v>0</v>
      </c>
      <c r="AW23" s="633">
        <v>0</v>
      </c>
      <c r="AX23" s="633">
        <v>0</v>
      </c>
      <c r="AY23" s="633">
        <v>0</v>
      </c>
      <c r="AZ23" s="901">
        <f>SUM(AV23:AY23)</f>
      </c>
      <c r="BA23" s="633">
        <v>0</v>
      </c>
      <c r="BB23" s="633">
        <v>0</v>
      </c>
      <c r="BC23" s="633">
        <v>0</v>
      </c>
      <c r="BD23" s="633">
        <v>0</v>
      </c>
      <c r="BE23" s="901">
        <f>SUM(BA23:BD23)</f>
      </c>
      <c r="BF23" s="633">
        <v>0</v>
      </c>
      <c r="BG23" s="633">
        <v>0</v>
      </c>
      <c r="BH23" s="633">
        <v>0</v>
      </c>
      <c r="BI23" s="633">
        <v>0</v>
      </c>
      <c r="BJ23" s="901">
        <f>SUM(BF23:BI23)</f>
      </c>
      <c r="BK23" s="633">
        <v>0</v>
      </c>
      <c r="BL23" s="633">
        <v>0</v>
      </c>
      <c r="BM23" s="633">
        <v>0</v>
      </c>
      <c r="BN23" s="633">
        <v>0</v>
      </c>
      <c r="BO23" s="901">
        <f t="shared" si="50"/>
      </c>
      <c r="BP23" s="633">
        <v>0</v>
      </c>
      <c r="BQ23" s="633">
        <v>0</v>
      </c>
      <c r="BR23" s="633">
        <v>0</v>
      </c>
      <c r="BS23" s="633">
        <v>0</v>
      </c>
      <c r="BT23" s="901">
        <f t="shared" si="51"/>
      </c>
      <c r="BU23" s="633">
        <v>0</v>
      </c>
      <c r="BV23" s="633">
        <v>0</v>
      </c>
      <c r="BW23" s="633">
        <v>0</v>
      </c>
      <c r="BX23" s="633">
        <v>0</v>
      </c>
      <c r="BY23" s="901">
        <f t="shared" si="52"/>
      </c>
      <c r="BZ23" s="633">
        <v>0</v>
      </c>
      <c r="CA23" s="633">
        <v>0</v>
      </c>
      <c r="CB23" s="633">
        <v>0</v>
      </c>
      <c r="CC23" s="633">
        <v>0</v>
      </c>
      <c r="CD23" s="901">
        <f t="shared" si="53"/>
      </c>
      <c r="CE23" s="633">
        <v>-468</v>
      </c>
      <c r="CF23" s="633">
        <v>380</v>
      </c>
      <c r="CG23" s="633">
        <v>-170</v>
      </c>
      <c r="CH23" s="633">
        <v>-303</v>
      </c>
      <c r="CI23" s="901">
        <f t="shared" si="54"/>
      </c>
      <c r="CJ23" s="633">
        <v>-920</v>
      </c>
      <c r="CK23" s="633">
        <v>891</v>
      </c>
      <c r="CL23" s="633">
        <v>-50</v>
      </c>
      <c r="CM23" s="633">
        <v>263</v>
      </c>
      <c r="CN23" s="901">
        <f t="shared" si="55"/>
      </c>
      <c r="CO23" s="633">
        <v>-473</v>
      </c>
      <c r="CP23" s="633">
        <v>-33</v>
      </c>
      <c r="CQ23" s="633">
        <v>-483</v>
      </c>
      <c r="CR23" s="633">
        <v>187</v>
      </c>
      <c r="CS23" s="901">
        <f t="shared" si="56"/>
      </c>
      <c r="CT23" s="633">
        <v>-667</v>
      </c>
      <c r="CU23" s="633">
        <v>1029</v>
      </c>
      <c r="CV23" s="633">
        <v>-324</v>
      </c>
      <c r="CW23" s="633">
        <v>-199</v>
      </c>
      <c r="CX23" s="901">
        <f t="shared" si="57"/>
      </c>
      <c r="CY23" s="633">
        <v>-483</v>
      </c>
      <c r="CZ23" s="633">
        <v>1070</v>
      </c>
      <c r="DA23" s="633">
        <v>-430</v>
      </c>
      <c r="DB23" s="633">
        <v>-429</v>
      </c>
      <c r="DC23" s="901">
        <f t="shared" si="58"/>
      </c>
      <c r="DD23" s="633">
        <v>-937</v>
      </c>
      <c r="DE23" s="633">
        <v>1104</v>
      </c>
      <c r="DF23" s="633">
        <v>241</v>
      </c>
      <c r="DG23" s="633">
        <v>192</v>
      </c>
      <c r="DH23" s="901">
        <f t="shared" si="59"/>
      </c>
      <c r="DI23" s="633">
        <v>-867</v>
      </c>
      <c r="DJ23" s="633">
        <v>1132</v>
      </c>
      <c r="DK23" s="633">
        <v>-16</v>
      </c>
      <c r="DL23" s="633">
        <v>-199</v>
      </c>
      <c r="DM23" s="901">
        <f t="shared" si="60"/>
      </c>
      <c r="DN23" s="633">
        <v>-1023</v>
      </c>
      <c r="DO23" s="633">
        <v>1205</v>
      </c>
      <c r="DP23" s="633">
        <v>-75</v>
      </c>
      <c r="DQ23" s="633">
        <v>-572</v>
      </c>
      <c r="DR23" s="901">
        <f t="shared" si="61"/>
      </c>
      <c r="DS23" s="633">
        <v>-956</v>
      </c>
      <c r="DT23" s="633">
        <v>1654</v>
      </c>
      <c r="DU23" s="633">
        <v>12</v>
      </c>
      <c r="DV23" s="633">
        <v>-113</v>
      </c>
      <c r="DW23" s="901">
        <f t="shared" si="62"/>
      </c>
      <c r="DX23" s="633">
        <v>-561</v>
      </c>
      <c r="DY23" s="633">
        <v>799</v>
      </c>
      <c r="DZ23" s="633">
        <v>181</v>
      </c>
      <c r="EA23" s="633">
        <v>-251</v>
      </c>
      <c r="EB23" s="901">
        <f t="shared" si="63"/>
      </c>
      <c r="EC23" s="633">
        <v>-808</v>
      </c>
      <c r="ED23" s="633">
        <v>788</v>
      </c>
      <c r="EE23" s="633">
        <v>-329</v>
      </c>
      <c r="EF23" s="633">
        <v>-388</v>
      </c>
      <c r="EG23" s="901">
        <f t="shared" si="64"/>
      </c>
      <c r="EH23" s="633">
        <v>-777</v>
      </c>
      <c r="EI23" s="633">
        <v>394</v>
      </c>
      <c r="EJ23" s="633">
        <v>-279</v>
      </c>
      <c r="EK23" s="633">
        <v>-461</v>
      </c>
      <c r="EL23" s="901">
        <f t="shared" si="65"/>
      </c>
      <c r="EM23" s="633">
        <v>-543</v>
      </c>
      <c r="EN23" s="633">
        <v>1305</v>
      </c>
      <c r="EO23" s="633">
        <v>106</v>
      </c>
      <c r="EP23" s="633">
        <v>374</v>
      </c>
      <c r="EQ23" s="901">
        <f t="shared" si="66"/>
      </c>
      <c r="ER23" s="633">
        <v>-505</v>
      </c>
      <c r="ES23" s="633">
        <v>1474</v>
      </c>
      <c r="ET23" s="954">
        <v>260</v>
      </c>
      <c r="EU23" s="954">
        <v>55</v>
      </c>
      <c r="EV23" s="901">
        <f t="shared" si="67"/>
      </c>
      <c r="EW23" s="954">
        <v>-373</v>
      </c>
      <c r="EX23" s="954">
        <v>711</v>
      </c>
      <c r="EY23" s="954">
        <v>52</v>
      </c>
      <c r="EZ23" s="954">
        <v>-81</v>
      </c>
      <c r="FA23" s="901">
        <f t="shared" si="68"/>
      </c>
      <c r="FB23" s="768">
        <f>(BS!EZ13-BS!FB13)</f>
      </c>
      <c r="FC23" s="768">
        <f>(BS!FB13-BS!FC13)</f>
      </c>
      <c r="FD23" s="768">
        <f>(BS!FC13-BS!FD13)</f>
      </c>
      <c r="FE23" s="768">
        <f>(BS!FD13-BS!FE13)</f>
      </c>
      <c r="FF23" s="901">
        <f t="shared" si="69"/>
      </c>
      <c r="FG23" s="768">
        <f>(BS!FE13-BS!FG13)</f>
      </c>
      <c r="FH23" s="768">
        <f>(BS!FG13-BS!FH13)</f>
      </c>
      <c r="FI23" s="768">
        <f>(BS!FH13-BS!FI13)</f>
      </c>
      <c r="FJ23" s="768">
        <f>(BS!FI13-BS!FJ13)</f>
      </c>
      <c r="FK23" s="901">
        <f t="shared" si="70"/>
      </c>
      <c r="FL23" s="768">
        <f>(BS!FJ13-BS!FL13)</f>
      </c>
      <c r="FM23" s="768">
        <f>(BS!FL13-BS!FM13)</f>
      </c>
      <c r="FN23" s="768">
        <f>(BS!FM13-BS!FN13)</f>
      </c>
      <c r="FO23" s="768">
        <f>(BS!FN13-BS!FO13)</f>
      </c>
      <c r="FP23" s="901">
        <f t="shared" si="71"/>
      </c>
      <c r="FQ23" s="768">
        <f>(BS!FO13-BS!FQ13)</f>
      </c>
      <c r="FR23" s="768">
        <f>(BS!FQ13-BS!FR13)</f>
      </c>
      <c r="FS23" s="768">
        <f>(BS!FR13-BS!FS13)</f>
      </c>
      <c r="FT23" s="768">
        <f>(BS!FS13-BS!FT13)</f>
      </c>
      <c r="FU23" s="901">
        <f t="shared" si="72"/>
      </c>
      <c r="FV23" s="768">
        <f>(BS!FT13-BS!FV13)</f>
      </c>
      <c r="FW23" s="768">
        <f>(BS!FV13-BS!FW13)</f>
      </c>
      <c r="FX23" s="768">
        <f>(BS!FW13-BS!FX13)</f>
      </c>
      <c r="FY23" s="768">
        <f>(BS!FX13-BS!FY13)</f>
      </c>
      <c r="FZ23" s="901">
        <f t="shared" si="73"/>
      </c>
      <c r="GA23" s="768">
        <f>(BS!FY13-BS!GA13)</f>
      </c>
      <c r="GB23" s="768">
        <f>(BS!GA13-BS!GB13)</f>
      </c>
      <c r="GC23" s="768">
        <f>(BS!GB13-BS!GC13)</f>
      </c>
      <c r="GD23" s="768">
        <f>(BS!GC13-BS!GD13)</f>
      </c>
      <c r="GE23" s="901">
        <f t="shared" si="74"/>
      </c>
      <c r="GF23" s="768">
        <f>(BS!GD13-BS!GF13)</f>
      </c>
      <c r="GG23" s="768">
        <f>(BS!GF13-BS!GG13)</f>
      </c>
      <c r="GH23" s="768">
        <f>(BS!GG13-BS!GH13)</f>
      </c>
      <c r="GI23" s="768">
        <f>(BS!GH13-BS!GI13)</f>
      </c>
      <c r="GJ23" s="901">
        <f t="shared" si="75"/>
      </c>
    </row>
    <row r="24" spans="1:192" s="278" customFormat="1" ht="12.75" customHeight="1">
      <c r="A24" s="279"/>
      <c r="B24" s="719" t="s">
        <v>74</v>
      </c>
      <c r="C24" s="633">
        <v>-23</v>
      </c>
      <c r="D24" s="633">
        <f>-30-C24</f>
      </c>
      <c r="E24" s="633">
        <f>-24-D24-C24</f>
      </c>
      <c r="F24" s="633">
        <f>-60-E24-D24-C24</f>
      </c>
      <c r="G24" s="901">
        <f t="shared" si="38"/>
      </c>
      <c r="H24" s="633">
        <v>26</v>
      </c>
      <c r="I24" s="633">
        <f>-5-H24</f>
      </c>
      <c r="J24" s="633">
        <f>-24-I24-H24</f>
      </c>
      <c r="K24" s="633">
        <f>25-J24-I24-H24</f>
      </c>
      <c r="L24" s="901">
        <f t="shared" si="39"/>
      </c>
      <c r="M24" s="633">
        <v>-15</v>
      </c>
      <c r="N24" s="633">
        <f>-43-M24</f>
      </c>
      <c r="O24" s="633">
        <f>-18-N24-M24</f>
      </c>
      <c r="P24" s="633">
        <f>-165-O24-N24-M24</f>
      </c>
      <c r="Q24" s="901">
        <f t="shared" si="40"/>
      </c>
      <c r="R24" s="633">
        <v>53</v>
      </c>
      <c r="S24" s="633">
        <f>-33-R24</f>
      </c>
      <c r="T24" s="633">
        <f>53-S24-R24</f>
      </c>
      <c r="U24" s="633">
        <f>-88-T24-S24-R24</f>
      </c>
      <c r="V24" s="901">
        <f t="shared" si="41"/>
      </c>
      <c r="W24" s="633">
        <v>-64</v>
      </c>
      <c r="X24" s="633">
        <f>-24-W24</f>
      </c>
      <c r="Y24" s="633">
        <f>-104-X24-W24</f>
      </c>
      <c r="Z24" s="633">
        <f>-235-Y24-X24-W24</f>
      </c>
      <c r="AA24" s="901">
        <f t="shared" si="42"/>
      </c>
      <c r="AB24" s="633">
        <v>64</v>
      </c>
      <c r="AC24" s="633">
        <f>-149-AB24</f>
      </c>
      <c r="AD24" s="633">
        <f>-328-AC24-AB24</f>
      </c>
      <c r="AE24" s="633">
        <f>-775-AD24-AC24-AB24</f>
      </c>
      <c r="AF24" s="901">
        <f t="shared" si="43"/>
      </c>
      <c r="AG24" s="633">
        <v>-211</v>
      </c>
      <c r="AH24" s="633">
        <f>-448-AG24</f>
      </c>
      <c r="AI24" s="633">
        <f>-557-AH24-AG24</f>
      </c>
      <c r="AJ24" s="633">
        <f>-482-AI24-AH24-AG24</f>
      </c>
      <c r="AK24" s="901">
        <f t="shared" si="44"/>
      </c>
      <c r="AL24" s="633">
        <v>-39</v>
      </c>
      <c r="AM24" s="633">
        <f>97-AL24</f>
      </c>
      <c r="AN24" s="633">
        <f>-208-AM24-AL24</f>
      </c>
      <c r="AO24" s="633">
        <f>-264-AN24-AM24-AL24</f>
      </c>
      <c r="AP24" s="901">
        <f t="shared" si="45"/>
      </c>
      <c r="AQ24" s="633">
        <v>-37</v>
      </c>
      <c r="AR24" s="633">
        <v>404</v>
      </c>
      <c r="AS24" s="633">
        <v>51</v>
      </c>
      <c r="AT24" s="633">
        <v>-6</v>
      </c>
      <c r="AU24" s="901">
        <f t="shared" si="46"/>
      </c>
      <c r="AV24" s="633">
        <v>-314</v>
      </c>
      <c r="AW24" s="633">
        <v>607</v>
      </c>
      <c r="AX24" s="633">
        <v>63</v>
      </c>
      <c r="AY24" s="633">
        <v>122</v>
      </c>
      <c r="AZ24" s="901">
        <f t="shared" si="47"/>
      </c>
      <c r="BA24" s="633">
        <v>-202</v>
      </c>
      <c r="BB24" s="633">
        <v>373</v>
      </c>
      <c r="BC24" s="633">
        <v>-130</v>
      </c>
      <c r="BD24" s="633">
        <v>-286</v>
      </c>
      <c r="BE24" s="901">
        <f t="shared" si="48"/>
      </c>
      <c r="BF24" s="633">
        <v>-340</v>
      </c>
      <c r="BG24" s="633">
        <v>-354</v>
      </c>
      <c r="BH24" s="633">
        <v>-134</v>
      </c>
      <c r="BI24" s="633">
        <v>-577</v>
      </c>
      <c r="BJ24" s="901">
        <f t="shared" si="49"/>
      </c>
      <c r="BK24" s="633">
        <v>-1080</v>
      </c>
      <c r="BL24" s="633">
        <v>723</v>
      </c>
      <c r="BM24" s="633">
        <v>7</v>
      </c>
      <c r="BN24" s="633">
        <v>582</v>
      </c>
      <c r="BO24" s="901">
        <f t="shared" si="50"/>
      </c>
      <c r="BP24" s="633">
        <v>-235</v>
      </c>
      <c r="BQ24" s="633">
        <v>445</v>
      </c>
      <c r="BR24" s="633">
        <v>-69</v>
      </c>
      <c r="BS24" s="633">
        <v>12</v>
      </c>
      <c r="BT24" s="901">
        <f t="shared" si="51"/>
      </c>
      <c r="BU24" s="633">
        <v>-558</v>
      </c>
      <c r="BV24" s="633">
        <v>797</v>
      </c>
      <c r="BW24" s="633">
        <v>106</v>
      </c>
      <c r="BX24" s="633">
        <v>-767</v>
      </c>
      <c r="BY24" s="901">
        <f t="shared" si="52"/>
      </c>
      <c r="BZ24" s="633">
        <v>-654</v>
      </c>
      <c r="CA24" s="633">
        <v>1244</v>
      </c>
      <c r="CB24" s="633">
        <v>-284</v>
      </c>
      <c r="CC24" s="633">
        <v>114</v>
      </c>
      <c r="CD24" s="901">
        <f t="shared" si="53"/>
      </c>
      <c r="CE24" s="633">
        <v>208</v>
      </c>
      <c r="CF24" s="633">
        <v>-77</v>
      </c>
      <c r="CG24" s="633">
        <v>-618</v>
      </c>
      <c r="CH24" s="633">
        <v>-772</v>
      </c>
      <c r="CI24" s="901">
        <f t="shared" si="54"/>
      </c>
      <c r="CJ24" s="633">
        <v>260</v>
      </c>
      <c r="CK24" s="633">
        <v>605</v>
      </c>
      <c r="CL24" s="633">
        <v>73</v>
      </c>
      <c r="CM24" s="633">
        <v>-445</v>
      </c>
      <c r="CN24" s="901">
        <f t="shared" si="55"/>
      </c>
      <c r="CO24" s="633">
        <v>-385</v>
      </c>
      <c r="CP24" s="633">
        <v>150</v>
      </c>
      <c r="CQ24" s="633">
        <v>139</v>
      </c>
      <c r="CR24" s="633">
        <v>-33</v>
      </c>
      <c r="CS24" s="901">
        <f t="shared" si="56"/>
      </c>
      <c r="CT24" s="633">
        <v>-556</v>
      </c>
      <c r="CU24" s="633">
        <v>-95</v>
      </c>
      <c r="CV24" s="633">
        <v>340</v>
      </c>
      <c r="CW24" s="633">
        <v>282</v>
      </c>
      <c r="CX24" s="901">
        <f t="shared" si="57"/>
      </c>
      <c r="CY24" s="633">
        <v>-280</v>
      </c>
      <c r="CZ24" s="633">
        <v>-159</v>
      </c>
      <c r="DA24" s="633">
        <v>-111</v>
      </c>
      <c r="DB24" s="633">
        <v>612</v>
      </c>
      <c r="DC24" s="901">
        <f t="shared" si="58"/>
      </c>
      <c r="DD24" s="633">
        <v>-280</v>
      </c>
      <c r="DE24" s="633">
        <v>-912</v>
      </c>
      <c r="DF24" s="633">
        <v>-420</v>
      </c>
      <c r="DG24" s="633">
        <v>747</v>
      </c>
      <c r="DH24" s="901">
        <f t="shared" si="59"/>
      </c>
      <c r="DI24" s="633">
        <v>-965</v>
      </c>
      <c r="DJ24" s="633">
        <v>1300</v>
      </c>
      <c r="DK24" s="633">
        <v>-31</v>
      </c>
      <c r="DL24" s="633">
        <v>724</v>
      </c>
      <c r="DM24" s="901">
        <f t="shared" si="60"/>
      </c>
      <c r="DN24" s="633">
        <v>-318</v>
      </c>
      <c r="DO24" s="633">
        <v>354</v>
      </c>
      <c r="DP24" s="633">
        <v>-149</v>
      </c>
      <c r="DQ24" s="633">
        <v>-839</v>
      </c>
      <c r="DR24" s="901">
        <f t="shared" si="61"/>
      </c>
      <c r="DS24" s="633">
        <v>-677</v>
      </c>
      <c r="DT24" s="633">
        <v>-173</v>
      </c>
      <c r="DU24" s="633">
        <v>-14</v>
      </c>
      <c r="DV24" s="633">
        <v>-854</v>
      </c>
      <c r="DW24" s="901">
        <f t="shared" si="62"/>
      </c>
      <c r="DX24" s="633">
        <v>-438</v>
      </c>
      <c r="DY24" s="633">
        <v>165</v>
      </c>
      <c r="DZ24" s="633">
        <v>94</v>
      </c>
      <c r="EA24" s="633">
        <v>-2151</v>
      </c>
      <c r="EB24" s="901">
        <f t="shared" si="63"/>
      </c>
      <c r="EC24" s="633">
        <v>-54</v>
      </c>
      <c r="ED24" s="633">
        <v>730</v>
      </c>
      <c r="EE24" s="633">
        <v>478</v>
      </c>
      <c r="EF24" s="633">
        <v>-2086</v>
      </c>
      <c r="EG24" s="901">
        <f t="shared" si="64"/>
      </c>
      <c r="EH24" s="633">
        <v>940</v>
      </c>
      <c r="EI24" s="633">
        <v>830</v>
      </c>
      <c r="EJ24" s="633">
        <v>91</v>
      </c>
      <c r="EK24" s="633">
        <v>-2570</v>
      </c>
      <c r="EL24" s="901">
        <f t="shared" si="65"/>
      </c>
      <c r="EM24" s="633">
        <v>-332</v>
      </c>
      <c r="EN24" s="633">
        <v>-392</v>
      </c>
      <c r="EO24" s="633">
        <v>1152</v>
      </c>
      <c r="EP24" s="633">
        <v>-2419</v>
      </c>
      <c r="EQ24" s="901">
        <f t="shared" si="66"/>
      </c>
      <c r="ER24" s="633">
        <v>-796</v>
      </c>
      <c r="ES24" s="633">
        <v>725</v>
      </c>
      <c r="ET24" s="954">
        <v>951</v>
      </c>
      <c r="EU24" s="954">
        <v>-2528</v>
      </c>
      <c r="EV24" s="901">
        <f t="shared" si="67"/>
      </c>
      <c r="EW24" s="954">
        <v>-82</v>
      </c>
      <c r="EX24" s="954">
        <v>-353</v>
      </c>
      <c r="EY24" s="954">
        <v>1076</v>
      </c>
      <c r="EZ24" s="954">
        <v>-3686</v>
      </c>
      <c r="FA24" s="901">
        <f t="shared" si="68"/>
      </c>
      <c r="FB24" s="768">
        <f>(BS!EZ15-BS!FB15)</f>
      </c>
      <c r="FC24" s="768">
        <f>(BS!FB15-BS!FC15)</f>
      </c>
      <c r="FD24" s="768">
        <f>(BS!FC15-BS!FD15)</f>
      </c>
      <c r="FE24" s="768">
        <f>(BS!FD15-BS!FE15)</f>
      </c>
      <c r="FF24" s="901">
        <f t="shared" si="69"/>
      </c>
      <c r="FG24" s="768">
        <f>(BS!FE15-BS!FG15)</f>
      </c>
      <c r="FH24" s="768">
        <f>(BS!FG15-BS!FH15)</f>
      </c>
      <c r="FI24" s="768">
        <f>(BS!FH15-BS!FI15)</f>
      </c>
      <c r="FJ24" s="768">
        <f>(BS!FI15-BS!FJ15)</f>
      </c>
      <c r="FK24" s="901">
        <f t="shared" si="70"/>
      </c>
      <c r="FL24" s="768">
        <f>(BS!FJ15-BS!FL15)</f>
      </c>
      <c r="FM24" s="768">
        <f>(BS!FL15-BS!FM15)</f>
      </c>
      <c r="FN24" s="768">
        <f>(BS!FM15-BS!FN15)</f>
      </c>
      <c r="FO24" s="768">
        <f>(BS!FN15-BS!FO15)</f>
      </c>
      <c r="FP24" s="901">
        <f t="shared" si="71"/>
      </c>
      <c r="FQ24" s="768">
        <f>(BS!FO15-BS!FQ15)</f>
      </c>
      <c r="FR24" s="768">
        <f>(BS!FQ15-BS!FR15)</f>
      </c>
      <c r="FS24" s="768">
        <f>(BS!FR15-BS!FS15)</f>
      </c>
      <c r="FT24" s="768">
        <f>(BS!FS15-BS!FT15)</f>
      </c>
      <c r="FU24" s="901">
        <f t="shared" si="72"/>
      </c>
      <c r="FV24" s="768">
        <f>(BS!FT15-BS!FV15)</f>
      </c>
      <c r="FW24" s="768">
        <f>(BS!FV15-BS!FW15)</f>
      </c>
      <c r="FX24" s="768">
        <f>(BS!FW15-BS!FX15)</f>
      </c>
      <c r="FY24" s="768">
        <f>(BS!FX15-BS!FY15)</f>
      </c>
      <c r="FZ24" s="901">
        <f t="shared" si="73"/>
      </c>
      <c r="GA24" s="768">
        <f>(BS!FY15-BS!GA15)</f>
      </c>
      <c r="GB24" s="768">
        <f>(BS!GA15-BS!GB15)</f>
      </c>
      <c r="GC24" s="768">
        <f>(BS!GB15-BS!GC15)</f>
      </c>
      <c r="GD24" s="768">
        <f>(BS!GC15-BS!GD15)</f>
      </c>
      <c r="GE24" s="901">
        <f t="shared" si="74"/>
      </c>
      <c r="GF24" s="768">
        <f>(BS!GD15-BS!GF15)</f>
      </c>
      <c r="GG24" s="768">
        <f>(BS!GF15-BS!GG15)</f>
      </c>
      <c r="GH24" s="768">
        <f>(BS!GG15-BS!GH15)</f>
      </c>
      <c r="GI24" s="768">
        <f>(BS!GH15-BS!GI15)</f>
      </c>
      <c r="GJ24" s="901">
        <f t="shared" si="75"/>
      </c>
    </row>
    <row r="25" spans="1:192" s="278" customFormat="1" ht="12.75" customHeight="1">
      <c r="A25" s="279"/>
      <c r="B25" s="719" t="s">
        <v>92</v>
      </c>
      <c r="C25" s="633">
        <v>0</v>
      </c>
      <c r="D25" s="633">
        <v>0</v>
      </c>
      <c r="E25" s="633">
        <v>0</v>
      </c>
      <c r="F25" s="633">
        <v>0</v>
      </c>
      <c r="G25" s="901">
        <f>SUM(C25:F25)</f>
      </c>
      <c r="H25" s="633">
        <v>0</v>
      </c>
      <c r="I25" s="633">
        <v>0</v>
      </c>
      <c r="J25" s="633">
        <v>0</v>
      </c>
      <c r="K25" s="633">
        <v>0</v>
      </c>
      <c r="L25" s="901">
        <f>SUM(H25:K25)</f>
      </c>
      <c r="M25" s="633">
        <v>0</v>
      </c>
      <c r="N25" s="633">
        <v>0</v>
      </c>
      <c r="O25" s="633">
        <v>0</v>
      </c>
      <c r="P25" s="633">
        <v>0</v>
      </c>
      <c r="Q25" s="901">
        <f t="shared" si="40"/>
      </c>
      <c r="R25" s="633">
        <v>0</v>
      </c>
      <c r="S25" s="633">
        <v>0</v>
      </c>
      <c r="T25" s="633">
        <v>0</v>
      </c>
      <c r="U25" s="633">
        <v>0</v>
      </c>
      <c r="V25" s="901">
        <f t="shared" si="41"/>
      </c>
      <c r="W25" s="633">
        <v>0</v>
      </c>
      <c r="X25" s="633">
        <v>0</v>
      </c>
      <c r="Y25" s="633">
        <v>0</v>
      </c>
      <c r="Z25" s="633">
        <v>0</v>
      </c>
      <c r="AA25" s="901">
        <f t="shared" si="42"/>
      </c>
      <c r="AB25" s="633">
        <v>0</v>
      </c>
      <c r="AC25" s="633">
        <v>0</v>
      </c>
      <c r="AD25" s="633">
        <v>0</v>
      </c>
      <c r="AE25" s="633">
        <v>0</v>
      </c>
      <c r="AF25" s="901">
        <f t="shared" si="43"/>
      </c>
      <c r="AG25" s="633">
        <v>-61</v>
      </c>
      <c r="AH25" s="633">
        <f>-31-AG25</f>
      </c>
      <c r="AI25" s="633">
        <f>-228-AH25-AG25</f>
      </c>
      <c r="AJ25" s="633">
        <f>-330-AI25-AH25-AG25</f>
      </c>
      <c r="AK25" s="901">
        <f t="shared" si="44"/>
      </c>
      <c r="AL25" s="633">
        <v>122</v>
      </c>
      <c r="AM25" s="633">
        <f>-25-AL25</f>
      </c>
      <c r="AN25" s="633">
        <f>-37-AM25-AL25</f>
      </c>
      <c r="AO25" s="633">
        <f>-9-AN25-AM25-AL25</f>
      </c>
      <c r="AP25" s="901">
        <f t="shared" si="45"/>
      </c>
      <c r="AQ25" s="633">
        <v>28</v>
      </c>
      <c r="AR25" s="633">
        <v>-50</v>
      </c>
      <c r="AS25" s="633">
        <v>-9</v>
      </c>
      <c r="AT25" s="633">
        <v>3</v>
      </c>
      <c r="AU25" s="901">
        <f t="shared" si="46"/>
      </c>
      <c r="AV25" s="633">
        <v>-14</v>
      </c>
      <c r="AW25" s="633">
        <v>55</v>
      </c>
      <c r="AX25" s="633">
        <v>-6</v>
      </c>
      <c r="AY25" s="633">
        <v>-1</v>
      </c>
      <c r="AZ25" s="901">
        <f t="shared" si="47"/>
      </c>
      <c r="BA25" s="633">
        <v>18</v>
      </c>
      <c r="BB25" s="633">
        <v>7</v>
      </c>
      <c r="BC25" s="633">
        <v>40</v>
      </c>
      <c r="BD25" s="633">
        <v>-44</v>
      </c>
      <c r="BE25" s="901">
        <f t="shared" si="48"/>
      </c>
      <c r="BF25" s="633">
        <v>2</v>
      </c>
      <c r="BG25" s="633">
        <v>-10</v>
      </c>
      <c r="BH25" s="633">
        <v>-4</v>
      </c>
      <c r="BI25" s="633">
        <v>-37</v>
      </c>
      <c r="BJ25" s="901">
        <f t="shared" si="49"/>
      </c>
      <c r="BK25" s="633">
        <v>-135</v>
      </c>
      <c r="BL25" s="633">
        <v>-264</v>
      </c>
      <c r="BM25" s="633">
        <v>-32</v>
      </c>
      <c r="BN25" s="633">
        <v>-4</v>
      </c>
      <c r="BO25" s="901">
        <f t="shared" si="50"/>
      </c>
      <c r="BP25" s="633">
        <v>-11</v>
      </c>
      <c r="BQ25" s="633">
        <v>-55</v>
      </c>
      <c r="BR25" s="633">
        <v>-1</v>
      </c>
      <c r="BS25" s="633">
        <v>-31</v>
      </c>
      <c r="BT25" s="901">
        <f t="shared" si="51"/>
      </c>
      <c r="BU25" s="633">
        <v>-116</v>
      </c>
      <c r="BV25" s="633">
        <v>-69</v>
      </c>
      <c r="BW25" s="633">
        <v>26</v>
      </c>
      <c r="BX25" s="633">
        <v>-114</v>
      </c>
      <c r="BY25" s="901">
        <f t="shared" si="52"/>
      </c>
      <c r="BZ25" s="633">
        <v>-78</v>
      </c>
      <c r="CA25" s="633">
        <v>16</v>
      </c>
      <c r="CB25" s="633">
        <v>-81</v>
      </c>
      <c r="CC25" s="633">
        <v>-80</v>
      </c>
      <c r="CD25" s="901">
        <f t="shared" si="53"/>
      </c>
      <c r="CE25" s="633">
        <v>62</v>
      </c>
      <c r="CF25" s="633">
        <v>118</v>
      </c>
      <c r="CG25" s="633">
        <v>-8</v>
      </c>
      <c r="CH25" s="633">
        <v>-110</v>
      </c>
      <c r="CI25" s="901">
        <f t="shared" si="54"/>
      </c>
      <c r="CJ25" s="633">
        <v>-75</v>
      </c>
      <c r="CK25" s="633">
        <v>30</v>
      </c>
      <c r="CL25" s="633">
        <v>9</v>
      </c>
      <c r="CM25" s="633">
        <v>-212</v>
      </c>
      <c r="CN25" s="901">
        <f t="shared" si="55"/>
      </c>
      <c r="CO25" s="633">
        <v>-233</v>
      </c>
      <c r="CP25" s="633">
        <v>-80</v>
      </c>
      <c r="CQ25" s="633">
        <v>-13</v>
      </c>
      <c r="CR25" s="633">
        <v>-152</v>
      </c>
      <c r="CS25" s="901">
        <f t="shared" si="56"/>
      </c>
      <c r="CT25" s="633">
        <v>-81</v>
      </c>
      <c r="CU25" s="633">
        <v>-315</v>
      </c>
      <c r="CV25" s="633">
        <v>-73</v>
      </c>
      <c r="CW25" s="633">
        <v>-159</v>
      </c>
      <c r="CX25" s="901">
        <f t="shared" si="57"/>
      </c>
      <c r="CY25" s="633">
        <v>279</v>
      </c>
      <c r="CZ25" s="633">
        <v>170</v>
      </c>
      <c r="DA25" s="633">
        <v>-108</v>
      </c>
      <c r="DB25" s="633">
        <v>5</v>
      </c>
      <c r="DC25" s="901">
        <f t="shared" si="58"/>
      </c>
      <c r="DD25" s="633">
        <v>-5</v>
      </c>
      <c r="DE25" s="633">
        <v>56</v>
      </c>
      <c r="DF25" s="633">
        <v>7</v>
      </c>
      <c r="DG25" s="633">
        <v>-99</v>
      </c>
      <c r="DH25" s="901">
        <f t="shared" si="59"/>
      </c>
      <c r="DI25" s="633">
        <v>-93</v>
      </c>
      <c r="DJ25" s="633">
        <v>-200</v>
      </c>
      <c r="DK25" s="633">
        <v>-387</v>
      </c>
      <c r="DL25" s="633">
        <v>-237</v>
      </c>
      <c r="DM25" s="901">
        <f t="shared" si="60"/>
      </c>
      <c r="DN25" s="633">
        <v>-278</v>
      </c>
      <c r="DO25" s="633">
        <v>-344</v>
      </c>
      <c r="DP25" s="633">
        <v>-213</v>
      </c>
      <c r="DQ25" s="633">
        <v>550</v>
      </c>
      <c r="DR25" s="901">
        <f t="shared" si="61"/>
      </c>
      <c r="DS25" s="633">
        <v>21</v>
      </c>
      <c r="DT25" s="633">
        <v>-473</v>
      </c>
      <c r="DU25" s="633">
        <v>-517</v>
      </c>
      <c r="DV25" s="633">
        <v>-865</v>
      </c>
      <c r="DW25" s="901">
        <f t="shared" si="62"/>
      </c>
      <c r="DX25" s="633">
        <v>-333</v>
      </c>
      <c r="DY25" s="633">
        <v>-517</v>
      </c>
      <c r="DZ25" s="633">
        <v>124</v>
      </c>
      <c r="EA25" s="633">
        <v>-311</v>
      </c>
      <c r="EB25" s="901">
        <f t="shared" si="63"/>
      </c>
      <c r="EC25" s="633">
        <v>-62</v>
      </c>
      <c r="ED25" s="633">
        <v>-1499</v>
      </c>
      <c r="EE25" s="633">
        <v>-885</v>
      </c>
      <c r="EF25" s="633">
        <v>-1013</v>
      </c>
      <c r="EG25" s="901">
        <f t="shared" si="64"/>
      </c>
      <c r="EH25" s="633">
        <v>-598</v>
      </c>
      <c r="EI25" s="633">
        <v>-908</v>
      </c>
      <c r="EJ25" s="633">
        <v>-724</v>
      </c>
      <c r="EK25" s="633">
        <v>-575</v>
      </c>
      <c r="EL25" s="901">
        <f t="shared" si="65"/>
      </c>
      <c r="EM25" s="633">
        <v>-666</v>
      </c>
      <c r="EN25" s="633">
        <v>-65</v>
      </c>
      <c r="EO25" s="633">
        <v>-554</v>
      </c>
      <c r="EP25" s="633">
        <v>-1548</v>
      </c>
      <c r="EQ25" s="901">
        <f t="shared" si="66"/>
      </c>
      <c r="ER25" s="633">
        <v>-2013</v>
      </c>
      <c r="ES25" s="950">
        <v>-1427</v>
      </c>
      <c r="ET25" s="1124">
        <v>-2137</v>
      </c>
      <c r="EU25" s="1492">
        <v>-1240</v>
      </c>
      <c r="EV25" s="901">
        <f t="shared" si="67"/>
      </c>
      <c r="EW25" s="1597">
        <v>-1761</v>
      </c>
      <c r="EX25" s="1124">
        <v>-1089</v>
      </c>
      <c r="EY25" s="1124">
        <v>-518</v>
      </c>
      <c r="EZ25" s="1492">
        <v>418</v>
      </c>
      <c r="FA25" s="901">
        <f t="shared" si="68"/>
      </c>
      <c r="FB25" s="953">
        <f>(BS!EZ24-BS!FB24)</f>
      </c>
      <c r="FC25" s="951">
        <f>(BS!FB24-BS!FC24)</f>
      </c>
      <c r="FD25" s="951">
        <f>(BS!FC24-BS!FD24)</f>
      </c>
      <c r="FE25" s="952">
        <f>(BS!FD24-BS!FE24)</f>
      </c>
      <c r="FF25" s="901">
        <f t="shared" si="69"/>
      </c>
      <c r="FG25" s="953">
        <f>(BS!FE24-BS!FG24)</f>
      </c>
      <c r="FH25" s="951">
        <f>(BS!FG24-BS!FH24)</f>
      </c>
      <c r="FI25" s="951">
        <f>(BS!FH24-BS!FI24)</f>
      </c>
      <c r="FJ25" s="952">
        <f>(BS!FI24-BS!FJ24)</f>
      </c>
      <c r="FK25" s="901">
        <f t="shared" si="70"/>
      </c>
      <c r="FL25" s="953">
        <f>(BS!FJ24-BS!FL24)</f>
      </c>
      <c r="FM25" s="951">
        <f>(BS!FL24-BS!FM24)</f>
      </c>
      <c r="FN25" s="951">
        <f>(BS!FM24-BS!FN24)</f>
      </c>
      <c r="FO25" s="952">
        <f>(BS!FN24-BS!FO24)</f>
      </c>
      <c r="FP25" s="901">
        <f t="shared" si="71"/>
      </c>
      <c r="FQ25" s="953">
        <f>(BS!FO24-BS!FQ24)</f>
      </c>
      <c r="FR25" s="951">
        <f>(BS!FQ24-BS!FR24)</f>
      </c>
      <c r="FS25" s="951">
        <f>(BS!FR24-BS!FS24)</f>
      </c>
      <c r="FT25" s="952">
        <f>(BS!FS24-BS!FT24)</f>
      </c>
      <c r="FU25" s="901">
        <f t="shared" si="72"/>
      </c>
      <c r="FV25" s="953">
        <f>(BS!FT24-BS!FV24)</f>
      </c>
      <c r="FW25" s="951">
        <f>(BS!FV24-BS!FW24)</f>
      </c>
      <c r="FX25" s="951">
        <f>(BS!FW24-BS!FX24)</f>
      </c>
      <c r="FY25" s="952">
        <f>(BS!FX24-BS!FY24)</f>
      </c>
      <c r="FZ25" s="901">
        <f t="shared" si="73"/>
      </c>
      <c r="GA25" s="953">
        <f>(BS!FY24-BS!GA24)</f>
      </c>
      <c r="GB25" s="951">
        <f>(BS!GA24-BS!GB24)</f>
      </c>
      <c r="GC25" s="951">
        <f>(BS!GB24-BS!GC24)</f>
      </c>
      <c r="GD25" s="952">
        <f>(BS!GC24-BS!GD24)</f>
      </c>
      <c r="GE25" s="901">
        <f t="shared" si="74"/>
      </c>
      <c r="GF25" s="953">
        <f>(BS!GD24-BS!GF24)</f>
      </c>
      <c r="GG25" s="951">
        <f>(BS!GF24-BS!GG24)</f>
      </c>
      <c r="GH25" s="951">
        <f>(BS!GG24-BS!GH24)</f>
      </c>
      <c r="GI25" s="952">
        <f>(BS!GH24-BS!GI24)</f>
      </c>
      <c r="GJ25" s="901">
        <f t="shared" si="75"/>
      </c>
    </row>
    <row r="26" spans="1:192" s="278" customFormat="1" ht="12.75" customHeight="1">
      <c r="A26" s="279"/>
      <c r="B26" s="719" t="s">
        <v>81</v>
      </c>
      <c r="C26" s="633">
        <v>0</v>
      </c>
      <c r="D26" s="633">
        <v>0</v>
      </c>
      <c r="E26" s="633">
        <v>0</v>
      </c>
      <c r="F26" s="633">
        <v>0</v>
      </c>
      <c r="G26" s="901">
        <f>SUM(C26:F26)</f>
      </c>
      <c r="H26" s="633">
        <v>0</v>
      </c>
      <c r="I26" s="633">
        <v>0</v>
      </c>
      <c r="J26" s="633">
        <v>0</v>
      </c>
      <c r="K26" s="633">
        <v>0</v>
      </c>
      <c r="L26" s="901">
        <f>SUM(H26:K26)</f>
      </c>
      <c r="M26" s="633">
        <v>0</v>
      </c>
      <c r="N26" s="633">
        <v>0</v>
      </c>
      <c r="O26" s="633">
        <v>0</v>
      </c>
      <c r="P26" s="633">
        <v>0</v>
      </c>
      <c r="Q26" s="901">
        <f t="shared" si="40"/>
      </c>
      <c r="R26" s="633">
        <v>0</v>
      </c>
      <c r="S26" s="633">
        <v>0</v>
      </c>
      <c r="T26" s="633">
        <v>0</v>
      </c>
      <c r="U26" s="633">
        <v>0</v>
      </c>
      <c r="V26" s="901">
        <f t="shared" si="41"/>
      </c>
      <c r="W26" s="633">
        <v>0</v>
      </c>
      <c r="X26" s="633">
        <v>0</v>
      </c>
      <c r="Y26" s="633">
        <v>0</v>
      </c>
      <c r="Z26" s="633">
        <v>0</v>
      </c>
      <c r="AA26" s="901">
        <f t="shared" si="42"/>
      </c>
      <c r="AB26" s="633">
        <v>0</v>
      </c>
      <c r="AC26" s="633">
        <v>0</v>
      </c>
      <c r="AD26" s="633">
        <v>0</v>
      </c>
      <c r="AE26" s="633">
        <v>0</v>
      </c>
      <c r="AF26" s="901">
        <f t="shared" si="43"/>
      </c>
      <c r="AG26" s="633">
        <v>0</v>
      </c>
      <c r="AH26" s="633">
        <v>0</v>
      </c>
      <c r="AI26" s="633">
        <v>0</v>
      </c>
      <c r="AJ26" s="633">
        <v>0</v>
      </c>
      <c r="AK26" s="901">
        <f>SUM(AG26:AJ26)</f>
      </c>
      <c r="AL26" s="633">
        <v>0</v>
      </c>
      <c r="AM26" s="633">
        <v>0</v>
      </c>
      <c r="AN26" s="633">
        <v>0</v>
      </c>
      <c r="AO26" s="633">
        <v>0</v>
      </c>
      <c r="AP26" s="901">
        <f>SUM(AL26:AO26)</f>
      </c>
      <c r="AQ26" s="633">
        <v>0</v>
      </c>
      <c r="AR26" s="633">
        <v>0</v>
      </c>
      <c r="AS26" s="633">
        <v>0</v>
      </c>
      <c r="AT26" s="633">
        <v>0</v>
      </c>
      <c r="AU26" s="901">
        <f>SUM(AQ26:AT26)</f>
      </c>
      <c r="AV26" s="633">
        <v>0</v>
      </c>
      <c r="AW26" s="633">
        <v>0</v>
      </c>
      <c r="AX26" s="633">
        <v>0</v>
      </c>
      <c r="AY26" s="633">
        <v>0</v>
      </c>
      <c r="AZ26" s="901">
        <f>SUM(AV26:AY26)</f>
      </c>
      <c r="BA26" s="633">
        <v>0</v>
      </c>
      <c r="BB26" s="633">
        <v>0</v>
      </c>
      <c r="BC26" s="633">
        <v>0</v>
      </c>
      <c r="BD26" s="633">
        <v>0</v>
      </c>
      <c r="BE26" s="901">
        <f>SUM(BA26:BD26)</f>
      </c>
      <c r="BF26" s="633">
        <v>0</v>
      </c>
      <c r="BG26" s="633">
        <v>0</v>
      </c>
      <c r="BH26" s="633">
        <v>0</v>
      </c>
      <c r="BI26" s="633">
        <v>0</v>
      </c>
      <c r="BJ26" s="901">
        <f>SUM(BF26:BI26)</f>
      </c>
      <c r="BK26" s="633">
        <v>0</v>
      </c>
      <c r="BL26" s="633">
        <v>0</v>
      </c>
      <c r="BM26" s="633">
        <v>0</v>
      </c>
      <c r="BN26" s="633">
        <v>0</v>
      </c>
      <c r="BO26" s="901">
        <f t="shared" si="50"/>
      </c>
      <c r="BP26" s="633">
        <v>0</v>
      </c>
      <c r="BQ26" s="633">
        <v>0</v>
      </c>
      <c r="BR26" s="633">
        <v>0</v>
      </c>
      <c r="BS26" s="633">
        <v>0</v>
      </c>
      <c r="BT26" s="901">
        <f t="shared" si="51"/>
      </c>
      <c r="BU26" s="633">
        <v>0</v>
      </c>
      <c r="BV26" s="633">
        <v>0</v>
      </c>
      <c r="BW26" s="633">
        <v>0</v>
      </c>
      <c r="BX26" s="633">
        <v>0</v>
      </c>
      <c r="BY26" s="901">
        <f t="shared" si="52"/>
      </c>
      <c r="BZ26" s="633">
        <v>0</v>
      </c>
      <c r="CA26" s="633">
        <v>0</v>
      </c>
      <c r="CB26" s="633">
        <v>0</v>
      </c>
      <c r="CC26" s="633">
        <v>0</v>
      </c>
      <c r="CD26" s="901">
        <f t="shared" si="53"/>
      </c>
      <c r="CE26" s="633">
        <v>-400</v>
      </c>
      <c r="CF26" s="633">
        <v>216</v>
      </c>
      <c r="CG26" s="633">
        <v>-51</v>
      </c>
      <c r="CH26" s="633">
        <v>293</v>
      </c>
      <c r="CI26" s="901">
        <f t="shared" si="54"/>
      </c>
      <c r="CJ26" s="633">
        <v>-442</v>
      </c>
      <c r="CK26" s="633">
        <v>176</v>
      </c>
      <c r="CL26" s="633">
        <v>-114</v>
      </c>
      <c r="CM26" s="633">
        <v>349</v>
      </c>
      <c r="CN26" s="901">
        <f t="shared" si="55"/>
      </c>
      <c r="CO26" s="633">
        <v>-567</v>
      </c>
      <c r="CP26" s="633">
        <v>685</v>
      </c>
      <c r="CQ26" s="633">
        <v>-67</v>
      </c>
      <c r="CR26" s="633">
        <v>486</v>
      </c>
      <c r="CS26" s="901">
        <f t="shared" si="56"/>
      </c>
      <c r="CT26" s="633">
        <v>-276</v>
      </c>
      <c r="CU26" s="633">
        <v>602</v>
      </c>
      <c r="CV26" s="633">
        <v>-716</v>
      </c>
      <c r="CW26" s="633">
        <v>863</v>
      </c>
      <c r="CX26" s="901">
        <f t="shared" si="57"/>
      </c>
      <c r="CY26" s="633">
        <v>-659</v>
      </c>
      <c r="CZ26" s="633">
        <v>137</v>
      </c>
      <c r="DA26" s="633">
        <v>-390</v>
      </c>
      <c r="DB26" s="633">
        <v>-142</v>
      </c>
      <c r="DC26" s="901">
        <f t="shared" si="58"/>
      </c>
      <c r="DD26" s="633">
        <v>-135</v>
      </c>
      <c r="DE26" s="633">
        <v>369</v>
      </c>
      <c r="DF26" s="633">
        <v>-129</v>
      </c>
      <c r="DG26" s="633">
        <v>-17</v>
      </c>
      <c r="DH26" s="901">
        <f t="shared" si="59"/>
      </c>
      <c r="DI26" s="633">
        <v>-443</v>
      </c>
      <c r="DJ26" s="633">
        <v>99</v>
      </c>
      <c r="DK26" s="633">
        <v>-425</v>
      </c>
      <c r="DL26" s="633">
        <v>850</v>
      </c>
      <c r="DM26" s="901">
        <f t="shared" si="60"/>
      </c>
      <c r="DN26" s="633">
        <v>-407</v>
      </c>
      <c r="DO26" s="633">
        <v>938</v>
      </c>
      <c r="DP26" s="633">
        <v>-393</v>
      </c>
      <c r="DQ26" s="633">
        <v>1010</v>
      </c>
      <c r="DR26" s="901">
        <f t="shared" si="61"/>
      </c>
      <c r="DS26" s="633">
        <v>-395</v>
      </c>
      <c r="DT26" s="633">
        <v>-440</v>
      </c>
      <c r="DU26" s="633">
        <v>-197</v>
      </c>
      <c r="DV26" s="633">
        <v>1264</v>
      </c>
      <c r="DW26" s="901">
        <f t="shared" si="62"/>
      </c>
      <c r="DX26" s="633">
        <v>-547</v>
      </c>
      <c r="DY26" s="633">
        <v>-7</v>
      </c>
      <c r="DZ26" s="633">
        <v>546</v>
      </c>
      <c r="EA26" s="633">
        <v>3026</v>
      </c>
      <c r="EB26" s="901">
        <f t="shared" si="63"/>
      </c>
      <c r="EC26" s="633">
        <v>315</v>
      </c>
      <c r="ED26" s="633">
        <v>33</v>
      </c>
      <c r="EE26" s="633">
        <v>833</v>
      </c>
      <c r="EF26" s="633">
        <v>1617</v>
      </c>
      <c r="EG26" s="901">
        <f t="shared" si="64"/>
      </c>
      <c r="EH26" s="633">
        <v>-471</v>
      </c>
      <c r="EI26" s="633">
        <v>235</v>
      </c>
      <c r="EJ26" s="633">
        <v>520</v>
      </c>
      <c r="EK26" s="633">
        <v>2659</v>
      </c>
      <c r="EL26" s="901">
        <f t="shared" si="65"/>
      </c>
      <c r="EM26" s="633">
        <v>-1567</v>
      </c>
      <c r="EN26" s="633">
        <v>-2058</v>
      </c>
      <c r="EO26" s="633">
        <v>-407</v>
      </c>
      <c r="EP26" s="633">
        <v>1311</v>
      </c>
      <c r="EQ26" s="901">
        <f t="shared" si="66"/>
      </c>
      <c r="ER26" s="633">
        <v>1214</v>
      </c>
      <c r="ES26" s="633">
        <v>-2521</v>
      </c>
      <c r="ET26" s="954">
        <v>648</v>
      </c>
      <c r="EU26" s="954">
        <v>4204</v>
      </c>
      <c r="EV26" s="901">
        <f t="shared" si="67"/>
      </c>
      <c r="EW26" s="954">
        <v>-916</v>
      </c>
      <c r="EX26" s="954">
        <v>958</v>
      </c>
      <c r="EY26" s="954">
        <v>1179</v>
      </c>
      <c r="EZ26" s="954">
        <v>-652</v>
      </c>
      <c r="FA26" s="901">
        <f t="shared" si="68"/>
      </c>
      <c r="FB26" s="768">
        <f>(BS!FB28-BS!EZ28)</f>
      </c>
      <c r="FC26" s="768">
        <f>(BS!FC28-BS!FB28)</f>
      </c>
      <c r="FD26" s="768">
        <f>(BS!FD28-BS!FC28)</f>
      </c>
      <c r="FE26" s="768">
        <f>(BS!FE28-BS!FD28)</f>
      </c>
      <c r="FF26" s="901">
        <f t="shared" si="69"/>
      </c>
      <c r="FG26" s="768">
        <f>(BS!FG28-BS!FE28)</f>
      </c>
      <c r="FH26" s="768">
        <f>(BS!FH28-BS!FG28)</f>
      </c>
      <c r="FI26" s="768">
        <f>(BS!FI28-BS!FH28)</f>
      </c>
      <c r="FJ26" s="768">
        <f>(BS!FJ28-BS!FI28)</f>
      </c>
      <c r="FK26" s="901">
        <f t="shared" si="70"/>
      </c>
      <c r="FL26" s="768">
        <f>(BS!FL28-BS!FJ28)</f>
      </c>
      <c r="FM26" s="768">
        <f>(BS!FM28-BS!FL28)</f>
      </c>
      <c r="FN26" s="768">
        <f>(BS!FN28-BS!FM28)</f>
      </c>
      <c r="FO26" s="768">
        <f>(BS!FO28-BS!FN28)</f>
      </c>
      <c r="FP26" s="901">
        <f t="shared" si="71"/>
      </c>
      <c r="FQ26" s="768">
        <f>(BS!FQ28-BS!FO28)</f>
      </c>
      <c r="FR26" s="768">
        <f>(BS!FR28-BS!FQ28)</f>
      </c>
      <c r="FS26" s="768">
        <f>(BS!FS28-BS!FR28)</f>
      </c>
      <c r="FT26" s="768">
        <f>(BS!FT28-BS!FS28)</f>
      </c>
      <c r="FU26" s="901">
        <f t="shared" si="72"/>
      </c>
      <c r="FV26" s="768">
        <f>(BS!FV28-BS!FT28)</f>
      </c>
      <c r="FW26" s="768">
        <f>(BS!FW28-BS!FV28)</f>
      </c>
      <c r="FX26" s="768">
        <f>(BS!FX28-BS!FW28)</f>
      </c>
      <c r="FY26" s="768">
        <f>(BS!FY28-BS!FX28)</f>
      </c>
      <c r="FZ26" s="901">
        <f t="shared" si="73"/>
      </c>
      <c r="GA26" s="768">
        <f>(BS!GA28-BS!FY28)</f>
      </c>
      <c r="GB26" s="768">
        <f>(BS!GB28-BS!GA28)</f>
      </c>
      <c r="GC26" s="768">
        <f>(BS!GC28-BS!GB28)</f>
      </c>
      <c r="GD26" s="768">
        <f>(BS!GD28-BS!GC28)</f>
      </c>
      <c r="GE26" s="901">
        <f t="shared" si="74"/>
      </c>
      <c r="GF26" s="768">
        <f>(BS!GF28-BS!GD28)</f>
      </c>
      <c r="GG26" s="768">
        <f>(BS!GG28-BS!GF28)</f>
      </c>
      <c r="GH26" s="768">
        <f>(BS!GH28-BS!GG28)</f>
      </c>
      <c r="GI26" s="768">
        <f>(BS!GI28-BS!GH28)</f>
      </c>
      <c r="GJ26" s="901">
        <f t="shared" si="75"/>
      </c>
    </row>
    <row r="27" spans="1:192" s="278" customFormat="1" ht="12.75" customHeight="1">
      <c r="A27" s="279"/>
      <c r="B27" s="719" t="s">
        <v>123</v>
      </c>
      <c r="C27" s="633">
        <v>0</v>
      </c>
      <c r="D27" s="633">
        <v>0</v>
      </c>
      <c r="E27" s="633">
        <v>0</v>
      </c>
      <c r="F27" s="633">
        <v>0</v>
      </c>
      <c r="G27" s="901">
        <f>SUM(C27:F27)</f>
      </c>
      <c r="H27" s="633">
        <v>0</v>
      </c>
      <c r="I27" s="633">
        <v>0</v>
      </c>
      <c r="J27" s="633">
        <v>0</v>
      </c>
      <c r="K27" s="633">
        <v>0</v>
      </c>
      <c r="L27" s="901">
        <f>SUM(H27:K27)</f>
      </c>
      <c r="M27" s="633">
        <v>0</v>
      </c>
      <c r="N27" s="633">
        <v>0</v>
      </c>
      <c r="O27" s="633">
        <v>0</v>
      </c>
      <c r="P27" s="633">
        <v>0</v>
      </c>
      <c r="Q27" s="901">
        <f t="shared" si="40"/>
      </c>
      <c r="R27" s="633">
        <v>0</v>
      </c>
      <c r="S27" s="633">
        <v>0</v>
      </c>
      <c r="T27" s="633">
        <v>0</v>
      </c>
      <c r="U27" s="633">
        <v>0</v>
      </c>
      <c r="V27" s="901">
        <f t="shared" si="41"/>
      </c>
      <c r="W27" s="633">
        <v>0</v>
      </c>
      <c r="X27" s="633">
        <v>0</v>
      </c>
      <c r="Y27" s="633">
        <v>0</v>
      </c>
      <c r="Z27" s="633">
        <v>0</v>
      </c>
      <c r="AA27" s="901">
        <f t="shared" si="42"/>
      </c>
      <c r="AB27" s="633">
        <v>0</v>
      </c>
      <c r="AC27" s="633">
        <v>0</v>
      </c>
      <c r="AD27" s="633">
        <v>0</v>
      </c>
      <c r="AE27" s="633">
        <v>0</v>
      </c>
      <c r="AF27" s="901">
        <f t="shared" si="43"/>
      </c>
      <c r="AG27" s="633">
        <v>0</v>
      </c>
      <c r="AH27" s="633">
        <v>0</v>
      </c>
      <c r="AI27" s="633">
        <v>0</v>
      </c>
      <c r="AJ27" s="633">
        <v>0</v>
      </c>
      <c r="AK27" s="901">
        <f>SUM(AG27:AJ27)</f>
      </c>
      <c r="AL27" s="633">
        <v>0</v>
      </c>
      <c r="AM27" s="633">
        <v>0</v>
      </c>
      <c r="AN27" s="633">
        <v>0</v>
      </c>
      <c r="AO27" s="633">
        <v>0</v>
      </c>
      <c r="AP27" s="901">
        <f>SUM(AL27:AO27)</f>
      </c>
      <c r="AQ27" s="633">
        <v>0</v>
      </c>
      <c r="AR27" s="633">
        <v>0</v>
      </c>
      <c r="AS27" s="633">
        <v>0</v>
      </c>
      <c r="AT27" s="633">
        <v>0</v>
      </c>
      <c r="AU27" s="901">
        <f>SUM(AQ27:AT27)</f>
      </c>
      <c r="AV27" s="633">
        <v>0</v>
      </c>
      <c r="AW27" s="633">
        <v>0</v>
      </c>
      <c r="AX27" s="633">
        <v>0</v>
      </c>
      <c r="AY27" s="633">
        <v>0</v>
      </c>
      <c r="AZ27" s="901">
        <f>SUM(AV27:AY27)</f>
      </c>
      <c r="BA27" s="633">
        <v>0</v>
      </c>
      <c r="BB27" s="633">
        <v>0</v>
      </c>
      <c r="BC27" s="633">
        <v>0</v>
      </c>
      <c r="BD27" s="633">
        <v>0</v>
      </c>
      <c r="BE27" s="901">
        <f>SUM(BA27:BD27)</f>
      </c>
      <c r="BF27" s="633">
        <v>0</v>
      </c>
      <c r="BG27" s="633">
        <v>0</v>
      </c>
      <c r="BH27" s="633">
        <v>0</v>
      </c>
      <c r="BI27" s="633">
        <v>0</v>
      </c>
      <c r="BJ27" s="901">
        <f>SUM(BF27:BI27)</f>
      </c>
      <c r="BK27" s="633">
        <v>0</v>
      </c>
      <c r="BL27" s="633">
        <v>0</v>
      </c>
      <c r="BM27" s="633">
        <v>0</v>
      </c>
      <c r="BN27" s="633">
        <v>0</v>
      </c>
      <c r="BO27" s="901">
        <f t="shared" si="50"/>
      </c>
      <c r="BP27" s="633">
        <v>0</v>
      </c>
      <c r="BQ27" s="633">
        <v>0</v>
      </c>
      <c r="BR27" s="633">
        <v>0</v>
      </c>
      <c r="BS27" s="633">
        <v>0</v>
      </c>
      <c r="BT27" s="901">
        <f t="shared" si="51"/>
      </c>
      <c r="BU27" s="633">
        <v>0</v>
      </c>
      <c r="BV27" s="633">
        <v>0</v>
      </c>
      <c r="BW27" s="633">
        <v>0</v>
      </c>
      <c r="BX27" s="633">
        <v>0</v>
      </c>
      <c r="BY27" s="901">
        <f t="shared" si="52"/>
      </c>
      <c r="BZ27" s="633">
        <v>0</v>
      </c>
      <c r="CA27" s="633">
        <v>0</v>
      </c>
      <c r="CB27" s="633">
        <v>0</v>
      </c>
      <c r="CC27" s="633">
        <v>0</v>
      </c>
      <c r="CD27" s="901">
        <f t="shared" si="53"/>
      </c>
      <c r="CE27" s="633">
        <v>0</v>
      </c>
      <c r="CF27" s="633">
        <v>0</v>
      </c>
      <c r="CG27" s="633">
        <v>0</v>
      </c>
      <c r="CH27" s="633">
        <v>0</v>
      </c>
      <c r="CI27" s="901">
        <f t="shared" si="54"/>
      </c>
      <c r="CJ27" s="633">
        <v>0</v>
      </c>
      <c r="CK27" s="633">
        <v>0</v>
      </c>
      <c r="CL27" s="633">
        <v>0</v>
      </c>
      <c r="CM27" s="633">
        <v>0</v>
      </c>
      <c r="CN27" s="901">
        <f t="shared" si="55"/>
      </c>
      <c r="CO27" s="633">
        <v>0</v>
      </c>
      <c r="CP27" s="633">
        <v>0</v>
      </c>
      <c r="CQ27" s="633">
        <v>0</v>
      </c>
      <c r="CR27" s="633">
        <v>0</v>
      </c>
      <c r="CS27" s="901">
        <f t="shared" si="56"/>
      </c>
      <c r="CT27" s="633">
        <v>0</v>
      </c>
      <c r="CU27" s="633">
        <v>0</v>
      </c>
      <c r="CV27" s="633">
        <v>0</v>
      </c>
      <c r="CW27" s="633">
        <v>0</v>
      </c>
      <c r="CX27" s="901">
        <f t="shared" si="57"/>
      </c>
      <c r="CY27" s="633">
        <v>0</v>
      </c>
      <c r="CZ27" s="633">
        <v>0</v>
      </c>
      <c r="DA27" s="633">
        <v>0</v>
      </c>
      <c r="DB27" s="633">
        <v>0</v>
      </c>
      <c r="DC27" s="901">
        <f t="shared" si="58"/>
      </c>
      <c r="DD27" s="633">
        <v>0</v>
      </c>
      <c r="DE27" s="633">
        <v>0</v>
      </c>
      <c r="DF27" s="633">
        <v>0</v>
      </c>
      <c r="DG27" s="633">
        <v>0</v>
      </c>
      <c r="DH27" s="901">
        <f t="shared" si="59"/>
      </c>
      <c r="DI27" s="633">
        <v>-1807</v>
      </c>
      <c r="DJ27" s="633">
        <v>-1077</v>
      </c>
      <c r="DK27" s="633">
        <v>-45</v>
      </c>
      <c r="DL27" s="633">
        <v>6749</v>
      </c>
      <c r="DM27" s="901">
        <f t="shared" si="60"/>
      </c>
      <c r="DN27" s="633">
        <v>-1806</v>
      </c>
      <c r="DO27" s="633">
        <v>-1065</v>
      </c>
      <c r="DP27" s="633">
        <v>91</v>
      </c>
      <c r="DQ27" s="633">
        <v>8702</v>
      </c>
      <c r="DR27" s="901">
        <f t="shared" si="61"/>
      </c>
      <c r="DS27" s="633">
        <v>-2441</v>
      </c>
      <c r="DT27" s="633">
        <v>-2122</v>
      </c>
      <c r="DU27" s="633">
        <v>20</v>
      </c>
      <c r="DV27" s="633">
        <v>9005</v>
      </c>
      <c r="DW27" s="901">
        <f t="shared" si="62"/>
      </c>
      <c r="DX27" s="633">
        <v>-2892</v>
      </c>
      <c r="DY27" s="633">
        <v>-2936</v>
      </c>
      <c r="DZ27" s="633">
        <v>-736</v>
      </c>
      <c r="EA27" s="633">
        <v>8776</v>
      </c>
      <c r="EB27" s="901">
        <f t="shared" si="63"/>
      </c>
      <c r="EC27" s="633">
        <v>-3064</v>
      </c>
      <c r="ED27" s="633">
        <v>-3227</v>
      </c>
      <c r="EE27" s="633">
        <v>-473</v>
      </c>
      <c r="EF27" s="633">
        <v>11397</v>
      </c>
      <c r="EG27" s="901">
        <f t="shared" si="64"/>
      </c>
      <c r="EH27" s="633">
        <v>-2885</v>
      </c>
      <c r="EI27" s="633">
        <v>-4343</v>
      </c>
      <c r="EJ27" s="633">
        <v>-209</v>
      </c>
      <c r="EK27" s="633">
        <v>12546</v>
      </c>
      <c r="EL27" s="901">
        <f t="shared" si="65"/>
      </c>
      <c r="EM27" s="633">
        <v>-3322</v>
      </c>
      <c r="EN27" s="633">
        <v>-5186</v>
      </c>
      <c r="EO27" s="633">
        <v>-181</v>
      </c>
      <c r="EP27" s="633">
        <v>14224</v>
      </c>
      <c r="EQ27" s="901">
        <f t="shared" si="66"/>
      </c>
      <c r="ER27" s="633">
        <v>-4126</v>
      </c>
      <c r="ES27" s="954">
        <v>-5538</v>
      </c>
      <c r="ET27" s="954">
        <v>-645</v>
      </c>
      <c r="EU27" s="954">
        <v>15657</v>
      </c>
      <c r="EV27" s="901">
        <f t="shared" si="67"/>
      </c>
      <c r="EW27" s="954">
        <v>-5553</v>
      </c>
      <c r="EX27" s="954">
        <v>-6338</v>
      </c>
      <c r="EY27" s="954">
        <v>-1032</v>
      </c>
      <c r="EZ27" s="954">
        <v>18361</v>
      </c>
      <c r="FA27" s="901">
        <f t="shared" si="68"/>
      </c>
      <c r="FB27" s="955">
        <f>'Def. Rev. &amp; Billings'!FB35</f>
      </c>
      <c r="FC27" s="955">
        <f>'Def. Rev. &amp; Billings'!FC35</f>
      </c>
      <c r="FD27" s="955">
        <f>'Def. Rev. &amp; Billings'!FD35</f>
      </c>
      <c r="FE27" s="955">
        <f>'Def. Rev. &amp; Billings'!FE35</f>
      </c>
      <c r="FF27" s="901">
        <f t="shared" si="69"/>
      </c>
      <c r="FG27" s="955">
        <f>'Def. Rev. &amp; Billings'!FG35</f>
      </c>
      <c r="FH27" s="955">
        <f>'Def. Rev. &amp; Billings'!FH35</f>
      </c>
      <c r="FI27" s="955">
        <f>'Def. Rev. &amp; Billings'!FI35</f>
      </c>
      <c r="FJ27" s="955">
        <f>'Def. Rev. &amp; Billings'!FJ35</f>
      </c>
      <c r="FK27" s="901">
        <f t="shared" si="70"/>
      </c>
      <c r="FL27" s="955">
        <f>'Def. Rev. &amp; Billings'!FL35</f>
      </c>
      <c r="FM27" s="955">
        <f>'Def. Rev. &amp; Billings'!FM35</f>
      </c>
      <c r="FN27" s="955">
        <f>'Def. Rev. &amp; Billings'!FN35</f>
      </c>
      <c r="FO27" s="955">
        <f>'Def. Rev. &amp; Billings'!FO35</f>
      </c>
      <c r="FP27" s="901">
        <f t="shared" si="71"/>
      </c>
      <c r="FQ27" s="955">
        <f>'Def. Rev. &amp; Billings'!FQ35</f>
      </c>
      <c r="FR27" s="955">
        <f>'Def. Rev. &amp; Billings'!FR35</f>
      </c>
      <c r="FS27" s="955">
        <f>'Def. Rev. &amp; Billings'!FS35</f>
      </c>
      <c r="FT27" s="955">
        <f>'Def. Rev. &amp; Billings'!FT35</f>
      </c>
      <c r="FU27" s="901">
        <f t="shared" si="72"/>
      </c>
      <c r="FV27" s="955">
        <f>'Def. Rev. &amp; Billings'!FV35</f>
      </c>
      <c r="FW27" s="955">
        <f>'Def. Rev. &amp; Billings'!FW35</f>
      </c>
      <c r="FX27" s="955">
        <f>'Def. Rev. &amp; Billings'!FX35</f>
      </c>
      <c r="FY27" s="955">
        <f>'Def. Rev. &amp; Billings'!FY35</f>
      </c>
      <c r="FZ27" s="901">
        <f t="shared" si="73"/>
      </c>
      <c r="GA27" s="955">
        <f>'Def. Rev. &amp; Billings'!GA35</f>
      </c>
      <c r="GB27" s="955">
        <f>'Def. Rev. &amp; Billings'!GB35</f>
      </c>
      <c r="GC27" s="955">
        <f>'Def. Rev. &amp; Billings'!GC35</f>
      </c>
      <c r="GD27" s="955">
        <f>'Def. Rev. &amp; Billings'!GD35</f>
      </c>
      <c r="GE27" s="901">
        <f t="shared" si="74"/>
      </c>
      <c r="GF27" s="955">
        <f>'Def. Rev. &amp; Billings'!GF35</f>
      </c>
      <c r="GG27" s="955">
        <f>'Def. Rev. &amp; Billings'!GG35</f>
      </c>
      <c r="GH27" s="955">
        <f>'Def. Rev. &amp; Billings'!GH35</f>
      </c>
      <c r="GI27" s="955">
        <f>'Def. Rev. &amp; Billings'!GI35</f>
      </c>
      <c r="GJ27" s="901">
        <f t="shared" si="75"/>
      </c>
    </row>
    <row r="28" spans="1:192" s="278" customFormat="1" ht="12.75" customHeight="1">
      <c r="A28" s="279"/>
      <c r="B28" s="719" t="s">
        <v>124</v>
      </c>
      <c r="C28" s="633">
        <v>0</v>
      </c>
      <c r="D28" s="633">
        <v>0</v>
      </c>
      <c r="E28" s="633">
        <v>0</v>
      </c>
      <c r="F28" s="633">
        <v>0</v>
      </c>
      <c r="G28" s="901">
        <f>SUM(C28:F28)</f>
      </c>
      <c r="H28" s="633">
        <v>0</v>
      </c>
      <c r="I28" s="633">
        <v>0</v>
      </c>
      <c r="J28" s="633">
        <v>0</v>
      </c>
      <c r="K28" s="633">
        <v>0</v>
      </c>
      <c r="L28" s="901">
        <f>SUM(H28:K28)</f>
      </c>
      <c r="M28" s="633">
        <v>0</v>
      </c>
      <c r="N28" s="633">
        <v>0</v>
      </c>
      <c r="O28" s="633">
        <v>0</v>
      </c>
      <c r="P28" s="633">
        <v>0</v>
      </c>
      <c r="Q28" s="901">
        <f t="shared" si="40"/>
      </c>
      <c r="R28" s="633">
        <v>0</v>
      </c>
      <c r="S28" s="633">
        <v>0</v>
      </c>
      <c r="T28" s="633">
        <v>0</v>
      </c>
      <c r="U28" s="633">
        <v>0</v>
      </c>
      <c r="V28" s="901">
        <f t="shared" si="41"/>
      </c>
      <c r="W28" s="633">
        <v>0</v>
      </c>
      <c r="X28" s="633">
        <v>0</v>
      </c>
      <c r="Y28" s="633">
        <v>0</v>
      </c>
      <c r="Z28" s="633">
        <v>0</v>
      </c>
      <c r="AA28" s="901">
        <f t="shared" si="42"/>
      </c>
      <c r="AB28" s="633">
        <v>0</v>
      </c>
      <c r="AC28" s="633">
        <v>0</v>
      </c>
      <c r="AD28" s="633">
        <v>0</v>
      </c>
      <c r="AE28" s="633">
        <v>0</v>
      </c>
      <c r="AF28" s="901">
        <f t="shared" si="43"/>
      </c>
      <c r="AG28" s="633">
        <v>0</v>
      </c>
      <c r="AH28" s="633">
        <v>0</v>
      </c>
      <c r="AI28" s="633">
        <v>0</v>
      </c>
      <c r="AJ28" s="633">
        <v>0</v>
      </c>
      <c r="AK28" s="901">
        <f>SUM(AG28:AJ28)</f>
      </c>
      <c r="AL28" s="633">
        <v>0</v>
      </c>
      <c r="AM28" s="633">
        <v>0</v>
      </c>
      <c r="AN28" s="633">
        <v>0</v>
      </c>
      <c r="AO28" s="633">
        <v>0</v>
      </c>
      <c r="AP28" s="901">
        <f>SUM(AL28:AO28)</f>
      </c>
      <c r="AQ28" s="633">
        <v>0</v>
      </c>
      <c r="AR28" s="633">
        <v>0</v>
      </c>
      <c r="AS28" s="633">
        <v>0</v>
      </c>
      <c r="AT28" s="633">
        <v>0</v>
      </c>
      <c r="AU28" s="901">
        <f>SUM(AQ28:AT28)</f>
      </c>
      <c r="AV28" s="633">
        <v>0</v>
      </c>
      <c r="AW28" s="633">
        <v>0</v>
      </c>
      <c r="AX28" s="633">
        <v>0</v>
      </c>
      <c r="AY28" s="633">
        <v>0</v>
      </c>
      <c r="AZ28" s="901">
        <f>SUM(AV28:AY28)</f>
      </c>
      <c r="BA28" s="633">
        <v>0</v>
      </c>
      <c r="BB28" s="633">
        <v>0</v>
      </c>
      <c r="BC28" s="633">
        <v>0</v>
      </c>
      <c r="BD28" s="633">
        <v>0</v>
      </c>
      <c r="BE28" s="901">
        <f>SUM(BA28:BD28)</f>
      </c>
      <c r="BF28" s="633">
        <v>0</v>
      </c>
      <c r="BG28" s="633">
        <v>0</v>
      </c>
      <c r="BH28" s="633">
        <v>0</v>
      </c>
      <c r="BI28" s="633">
        <v>0</v>
      </c>
      <c r="BJ28" s="901">
        <f>SUM(BF28:BI28)</f>
      </c>
      <c r="BK28" s="633">
        <v>0</v>
      </c>
      <c r="BL28" s="633">
        <v>0</v>
      </c>
      <c r="BM28" s="633">
        <v>0</v>
      </c>
      <c r="BN28" s="633">
        <v>0</v>
      </c>
      <c r="BO28" s="901">
        <f t="shared" si="50"/>
      </c>
      <c r="BP28" s="633">
        <v>0</v>
      </c>
      <c r="BQ28" s="633">
        <v>0</v>
      </c>
      <c r="BR28" s="633">
        <v>0</v>
      </c>
      <c r="BS28" s="633">
        <v>0</v>
      </c>
      <c r="BT28" s="901">
        <f t="shared" si="51"/>
      </c>
      <c r="BU28" s="633">
        <v>0</v>
      </c>
      <c r="BV28" s="633">
        <v>0</v>
      </c>
      <c r="BW28" s="633">
        <v>0</v>
      </c>
      <c r="BX28" s="633">
        <v>0</v>
      </c>
      <c r="BY28" s="901">
        <f t="shared" si="52"/>
      </c>
      <c r="BZ28" s="633">
        <v>0</v>
      </c>
      <c r="CA28" s="633">
        <v>0</v>
      </c>
      <c r="CB28" s="633">
        <v>0</v>
      </c>
      <c r="CC28" s="633">
        <v>0</v>
      </c>
      <c r="CD28" s="901">
        <f t="shared" si="53"/>
      </c>
      <c r="CE28" s="633">
        <v>0</v>
      </c>
      <c r="CF28" s="633">
        <v>0</v>
      </c>
      <c r="CG28" s="633">
        <v>0</v>
      </c>
      <c r="CH28" s="633">
        <v>0</v>
      </c>
      <c r="CI28" s="901">
        <f t="shared" si="54"/>
      </c>
      <c r="CJ28" s="633">
        <v>0</v>
      </c>
      <c r="CK28" s="633">
        <v>0</v>
      </c>
      <c r="CL28" s="633">
        <v>0</v>
      </c>
      <c r="CM28" s="633">
        <v>0</v>
      </c>
      <c r="CN28" s="901">
        <f t="shared" si="55"/>
      </c>
      <c r="CO28" s="633">
        <v>0</v>
      </c>
      <c r="CP28" s="633">
        <v>0</v>
      </c>
      <c r="CQ28" s="633">
        <v>0</v>
      </c>
      <c r="CR28" s="633">
        <v>0</v>
      </c>
      <c r="CS28" s="901">
        <f t="shared" si="56"/>
      </c>
      <c r="CT28" s="633">
        <v>0</v>
      </c>
      <c r="CU28" s="633">
        <v>0</v>
      </c>
      <c r="CV28" s="633">
        <v>0</v>
      </c>
      <c r="CW28" s="633">
        <v>0</v>
      </c>
      <c r="CX28" s="901">
        <f t="shared" si="57"/>
      </c>
      <c r="CY28" s="633">
        <v>0</v>
      </c>
      <c r="CZ28" s="633">
        <v>0</v>
      </c>
      <c r="DA28" s="633">
        <v>0</v>
      </c>
      <c r="DB28" s="633">
        <v>0</v>
      </c>
      <c r="DC28" s="901">
        <f t="shared" si="58"/>
      </c>
      <c r="DD28" s="633">
        <v>0</v>
      </c>
      <c r="DE28" s="633">
        <v>0</v>
      </c>
      <c r="DF28" s="633">
        <v>0</v>
      </c>
      <c r="DG28" s="633">
        <v>0</v>
      </c>
      <c r="DH28" s="901">
        <f t="shared" si="59"/>
      </c>
      <c r="DI28" s="633">
        <v>0</v>
      </c>
      <c r="DJ28" s="633">
        <v>843</v>
      </c>
      <c r="DK28" s="633">
        <v>1247</v>
      </c>
      <c r="DL28" s="633">
        <v>-862</v>
      </c>
      <c r="DM28" s="901">
        <f t="shared" si="60"/>
      </c>
      <c r="DN28" s="633"/>
      <c r="DO28" s="633">
        <v>15974</v>
      </c>
      <c r="DP28" s="633">
        <v>645</v>
      </c>
      <c r="DQ28" s="633">
        <v>903</v>
      </c>
      <c r="DR28" s="901">
        <f t="shared" si="61"/>
      </c>
      <c r="DS28" s="633">
        <v>-1091</v>
      </c>
      <c r="DT28" s="633">
        <v>-64</v>
      </c>
      <c r="DU28" s="633">
        <v>276</v>
      </c>
      <c r="DV28" s="633">
        <v>3808</v>
      </c>
      <c r="DW28" s="901">
        <f t="shared" si="62"/>
      </c>
      <c r="DX28" s="633">
        <v>-3336</v>
      </c>
      <c r="DY28" s="633">
        <v>-471</v>
      </c>
      <c r="DZ28" s="633">
        <v>765</v>
      </c>
      <c r="EA28" s="633">
        <v>-589</v>
      </c>
      <c r="EB28" s="901">
        <f t="shared" si="63"/>
      </c>
      <c r="EC28" s="633">
        <v>-983</v>
      </c>
      <c r="ED28" s="633">
        <v>-2368</v>
      </c>
      <c r="EE28" s="633">
        <v>1074</v>
      </c>
      <c r="EF28" s="633">
        <v>-32</v>
      </c>
      <c r="EG28" s="901">
        <f t="shared" si="64"/>
      </c>
      <c r="EH28" s="633">
        <v>2653</v>
      </c>
      <c r="EI28" s="633">
        <v>-2057</v>
      </c>
      <c r="EJ28" s="633">
        <v>1091</v>
      </c>
      <c r="EK28" s="633">
        <v>-991</v>
      </c>
      <c r="EL28" s="901">
        <f t="shared" si="65"/>
      </c>
      <c r="EM28" s="633">
        <v>410</v>
      </c>
      <c r="EN28" s="633">
        <v>-2863</v>
      </c>
      <c r="EO28" s="633">
        <v>1414</v>
      </c>
      <c r="EP28" s="633">
        <v>681</v>
      </c>
      <c r="EQ28" s="901">
        <f t="shared" si="66"/>
      </c>
      <c r="ER28" s="633">
        <v>1425</v>
      </c>
      <c r="ES28" s="954">
        <v>-1554</v>
      </c>
      <c r="ET28" s="954">
        <v>2622</v>
      </c>
      <c r="EU28" s="954">
        <v>-806</v>
      </c>
      <c r="EV28" s="901">
        <f t="shared" si="67"/>
      </c>
      <c r="EW28" s="954">
        <v>1016</v>
      </c>
      <c r="EX28" s="954">
        <v>-3395</v>
      </c>
      <c r="EY28" s="954">
        <v>1298</v>
      </c>
      <c r="EZ28" s="954">
        <v>1043</v>
      </c>
      <c r="FA28" s="901">
        <f t="shared" si="68"/>
      </c>
      <c r="FB28" s="955">
        <f>(BS!FB32-BS!EZ32)+(BS!FB39-BS!EZ39)</f>
      </c>
      <c r="FC28" s="955">
        <f>(BS!FC32-BS!FB32)+(BS!FC39-BS!FB39)</f>
      </c>
      <c r="FD28" s="955">
        <f>(BS!FD32-BS!FC32)+(BS!FD39-BS!FC39)</f>
      </c>
      <c r="FE28" s="955">
        <f>(BS!FE32-BS!FD32)+(BS!FE39-BS!FD39)</f>
      </c>
      <c r="FF28" s="901">
        <f t="shared" si="69"/>
      </c>
      <c r="FG28" s="955">
        <f>(BS!FG32-BS!FE32)+(BS!FG39-BS!FE39)</f>
      </c>
      <c r="FH28" s="955">
        <f>(BS!FH32-BS!FG32)+(BS!FH39-BS!FG39)</f>
      </c>
      <c r="FI28" s="955">
        <f>(BS!FI32-BS!FH32)+(BS!FI39-BS!FH39)</f>
      </c>
      <c r="FJ28" s="955">
        <f>(BS!FJ32-BS!FI32)+(BS!FJ39-BS!FI39)</f>
      </c>
      <c r="FK28" s="901">
        <f t="shared" si="70"/>
      </c>
      <c r="FL28" s="955">
        <f>(BS!FL32-BS!FJ32)+(BS!FL39-BS!FJ39)</f>
      </c>
      <c r="FM28" s="955">
        <f>(BS!FM32-BS!FL32)+(BS!FM39-BS!FL39)</f>
      </c>
      <c r="FN28" s="955">
        <f>(BS!FN32-BS!FM32)+(BS!FN39-BS!FM39)</f>
      </c>
      <c r="FO28" s="955">
        <f>(BS!FO32-BS!FN32)+(BS!FO39-BS!FN39)</f>
      </c>
      <c r="FP28" s="901">
        <f t="shared" si="71"/>
      </c>
      <c r="FQ28" s="955">
        <f>(BS!FQ32-BS!FO32)+(BS!FQ39-BS!FO39)</f>
      </c>
      <c r="FR28" s="955">
        <f>(BS!FR32-BS!FQ32)+(BS!FR39-BS!FQ39)</f>
      </c>
      <c r="FS28" s="955">
        <f>(BS!FS32-BS!FR32)+(BS!FS39-BS!FR39)</f>
      </c>
      <c r="FT28" s="955">
        <f>(BS!FT32-BS!FS32)+(BS!FT39-BS!FS39)</f>
      </c>
      <c r="FU28" s="901">
        <f t="shared" si="72"/>
      </c>
      <c r="FV28" s="955">
        <f>(BS!FV32-BS!FT32)+(BS!FV39-BS!FT39)</f>
      </c>
      <c r="FW28" s="955">
        <f>(BS!FW32-BS!FV32)+(BS!FW39-BS!FV39)</f>
      </c>
      <c r="FX28" s="955">
        <f>(BS!FX32-BS!FW32)+(BS!FX39-BS!FW39)</f>
      </c>
      <c r="FY28" s="955">
        <f>(BS!FY32-BS!FX32)+(BS!FY39-BS!FX39)</f>
      </c>
      <c r="FZ28" s="901">
        <f t="shared" si="73"/>
      </c>
      <c r="GA28" s="955">
        <f>(BS!GA32-BS!FY32)+(BS!GA39-BS!FY39)</f>
      </c>
      <c r="GB28" s="955">
        <f>(BS!GB32-BS!GA32)+(BS!GB39-BS!GA39)</f>
      </c>
      <c r="GC28" s="955">
        <f>(BS!GC32-BS!GB32)+(BS!GC39-BS!GB39)</f>
      </c>
      <c r="GD28" s="955">
        <f>(BS!GD32-BS!GC32)+(BS!GD39-BS!GC39)</f>
      </c>
      <c r="GE28" s="901">
        <f t="shared" si="74"/>
      </c>
      <c r="GF28" s="955">
        <f>(BS!GF32-BS!GD32)+(BS!GF39-BS!GD39)</f>
      </c>
      <c r="GG28" s="955">
        <f>(BS!GG32-BS!GF32)+(BS!GG39-BS!GF39)</f>
      </c>
      <c r="GH28" s="955">
        <f>(BS!GH32-BS!GG32)+(BS!GH39-BS!GG39)</f>
      </c>
      <c r="GI28" s="955">
        <f>(BS!GI32-BS!GH32)+(BS!GI39-BS!GH39)</f>
      </c>
      <c r="GJ28" s="901">
        <f t="shared" si="75"/>
      </c>
    </row>
    <row r="29" spans="1:192" s="278" customFormat="1" ht="12.75" customHeight="1">
      <c r="A29" s="279"/>
      <c r="B29" s="719" t="s">
        <v>82</v>
      </c>
      <c r="C29" s="633">
        <v>96</v>
      </c>
      <c r="D29" s="633">
        <f>194-C29</f>
      </c>
      <c r="E29" s="633">
        <f>237-D29-C29</f>
      </c>
      <c r="F29" s="633">
        <f>419-E29-D29-C29</f>
      </c>
      <c r="G29" s="901">
        <f t="shared" si="38"/>
      </c>
      <c r="H29" s="633">
        <v>410</v>
      </c>
      <c r="I29" s="633">
        <f>892-H29</f>
      </c>
      <c r="J29" s="633">
        <f>959-I29-H29</f>
      </c>
      <c r="K29" s="633">
        <f>1090-J29-I29-H29</f>
      </c>
      <c r="L29" s="901">
        <f t="shared" si="39"/>
      </c>
      <c r="M29" s="633">
        <v>136</v>
      </c>
      <c r="N29" s="633">
        <f>256-M29</f>
      </c>
      <c r="O29" s="633">
        <f>377-N29-M29</f>
      </c>
      <c r="P29" s="633">
        <f>321-O29-N29-M29</f>
      </c>
      <c r="Q29" s="901">
        <f t="shared" si="40"/>
      </c>
      <c r="R29" s="633">
        <v>7</v>
      </c>
      <c r="S29" s="633">
        <f>297-R29</f>
      </c>
      <c r="T29" s="633">
        <f>266-S29-R29</f>
      </c>
      <c r="U29" s="633">
        <f>208-T29-S29-R29</f>
      </c>
      <c r="V29" s="901">
        <f t="shared" si="41"/>
      </c>
      <c r="W29" s="633">
        <v>360</v>
      </c>
      <c r="X29" s="633">
        <f>719-W29</f>
      </c>
      <c r="Y29" s="633">
        <f>471-X29-W29</f>
      </c>
      <c r="Z29" s="633">
        <f>1050-Y29-X29-W29</f>
      </c>
      <c r="AA29" s="901">
        <f t="shared" si="42"/>
      </c>
      <c r="AB29" s="633">
        <v>-94</v>
      </c>
      <c r="AC29" s="633">
        <f>61-AB29</f>
      </c>
      <c r="AD29" s="633">
        <f>-823-AC29-AB29</f>
      </c>
      <c r="AE29" s="633">
        <f>-445-AD29-AC29-AB29</f>
      </c>
      <c r="AF29" s="901">
        <f t="shared" si="43"/>
      </c>
      <c r="AG29" s="633">
        <v>-253</v>
      </c>
      <c r="AH29" s="633">
        <f>155-AG29</f>
      </c>
      <c r="AI29" s="633">
        <f>142-AH29-AG29</f>
      </c>
      <c r="AJ29" s="633">
        <f>774-AI29-AH29-AG29</f>
      </c>
      <c r="AK29" s="901">
        <f t="shared" si="44"/>
      </c>
      <c r="AL29" s="633">
        <v>389</v>
      </c>
      <c r="AM29" s="633">
        <f>1602-AL29</f>
      </c>
      <c r="AN29" s="633">
        <f>1731-AM29-AL29</f>
      </c>
      <c r="AO29" s="633">
        <f>1449-AN29-AM29-AL29</f>
      </c>
      <c r="AP29" s="901">
        <f t="shared" si="45"/>
      </c>
      <c r="AQ29" s="633">
        <v>797</v>
      </c>
      <c r="AR29" s="633">
        <v>-375</v>
      </c>
      <c r="AS29" s="633">
        <v>-384</v>
      </c>
      <c r="AT29" s="633">
        <v>-3</v>
      </c>
      <c r="AU29" s="901">
        <f t="shared" si="46"/>
      </c>
      <c r="AV29" s="633">
        <v>-276</v>
      </c>
      <c r="AW29" s="633">
        <v>1256</v>
      </c>
      <c r="AX29" s="633">
        <v>1951</v>
      </c>
      <c r="AY29" s="633">
        <v>-868</v>
      </c>
      <c r="AZ29" s="901">
        <f t="shared" si="47"/>
      </c>
      <c r="BA29" s="633">
        <v>-345</v>
      </c>
      <c r="BB29" s="633">
        <v>-175</v>
      </c>
      <c r="BC29" s="633">
        <v>803</v>
      </c>
      <c r="BD29" s="633">
        <v>113</v>
      </c>
      <c r="BE29" s="901">
        <f t="shared" si="48"/>
      </c>
      <c r="BF29" s="633">
        <v>-209</v>
      </c>
      <c r="BG29" s="633">
        <v>-89</v>
      </c>
      <c r="BH29" s="633">
        <v>229</v>
      </c>
      <c r="BI29" s="633">
        <v>-76</v>
      </c>
      <c r="BJ29" s="901">
        <f t="shared" si="49"/>
      </c>
      <c r="BK29" s="633">
        <v>-842</v>
      </c>
      <c r="BL29" s="633">
        <v>-354</v>
      </c>
      <c r="BM29" s="633">
        <v>772</v>
      </c>
      <c r="BN29" s="633">
        <v>-128</v>
      </c>
      <c r="BO29" s="901">
        <f t="shared" si="50"/>
      </c>
      <c r="BP29" s="633">
        <v>-1189</v>
      </c>
      <c r="BQ29" s="633">
        <v>325</v>
      </c>
      <c r="BR29" s="633">
        <v>1389</v>
      </c>
      <c r="BS29" s="633">
        <v>-1273</v>
      </c>
      <c r="BT29" s="901">
        <f t="shared" si="51"/>
      </c>
      <c r="BU29" s="633">
        <v>-4552</v>
      </c>
      <c r="BV29" s="633">
        <v>614</v>
      </c>
      <c r="BW29" s="633">
        <v>114</v>
      </c>
      <c r="BX29" s="633">
        <v>453</v>
      </c>
      <c r="BY29" s="901">
        <f t="shared" si="52"/>
      </c>
      <c r="BZ29" s="633">
        <v>-1239</v>
      </c>
      <c r="CA29" s="633">
        <v>285</v>
      </c>
      <c r="CB29" s="633">
        <v>897</v>
      </c>
      <c r="CC29" s="633">
        <v>1352</v>
      </c>
      <c r="CD29" s="901">
        <f t="shared" si="53"/>
      </c>
      <c r="CE29" s="633">
        <v>-911</v>
      </c>
      <c r="CF29" s="633">
        <v>-500</v>
      </c>
      <c r="CG29" s="633">
        <v>237</v>
      </c>
      <c r="CH29" s="633">
        <v>28</v>
      </c>
      <c r="CI29" s="901">
        <f t="shared" si="54"/>
      </c>
      <c r="CJ29" s="633">
        <v>-993</v>
      </c>
      <c r="CK29" s="633">
        <v>394</v>
      </c>
      <c r="CL29" s="633">
        <v>492</v>
      </c>
      <c r="CM29" s="633">
        <v>517</v>
      </c>
      <c r="CN29" s="901">
        <f t="shared" si="55"/>
      </c>
      <c r="CO29" s="633">
        <v>-1287</v>
      </c>
      <c r="CP29" s="633">
        <v>168</v>
      </c>
      <c r="CQ29" s="633">
        <v>1238</v>
      </c>
      <c r="CR29" s="633">
        <v>27</v>
      </c>
      <c r="CS29" s="901">
        <f t="shared" si="56"/>
      </c>
      <c r="CT29" s="633">
        <v>-1255</v>
      </c>
      <c r="CU29" s="633">
        <v>388</v>
      </c>
      <c r="CV29" s="633">
        <v>870</v>
      </c>
      <c r="CW29" s="633">
        <v>1072</v>
      </c>
      <c r="CX29" s="901">
        <f t="shared" si="57"/>
      </c>
      <c r="CY29" s="633">
        <v>-1166</v>
      </c>
      <c r="CZ29" s="633">
        <v>-986</v>
      </c>
      <c r="DA29" s="633">
        <v>200</v>
      </c>
      <c r="DB29" s="633">
        <v>1328</v>
      </c>
      <c r="DC29" s="901">
        <f t="shared" si="58"/>
      </c>
      <c r="DD29" s="633">
        <v>-2024</v>
      </c>
      <c r="DE29" s="633">
        <v>105</v>
      </c>
      <c r="DF29" s="633">
        <v>626</v>
      </c>
      <c r="DG29" s="633">
        <v>1033</v>
      </c>
      <c r="DH29" s="901">
        <f t="shared" si="59"/>
      </c>
      <c r="DI29" s="633">
        <v>-321</v>
      </c>
      <c r="DJ29" s="633">
        <v>-1267</v>
      </c>
      <c r="DK29" s="633">
        <v>671</v>
      </c>
      <c r="DL29" s="633">
        <v>1412</v>
      </c>
      <c r="DM29" s="901">
        <f t="shared" si="60"/>
      </c>
      <c r="DN29" s="633">
        <v>-1962</v>
      </c>
      <c r="DO29" s="633">
        <v>643</v>
      </c>
      <c r="DP29" s="633">
        <v>546</v>
      </c>
      <c r="DQ29" s="633">
        <v>1773</v>
      </c>
      <c r="DR29" s="901">
        <f t="shared" si="61"/>
      </c>
      <c r="DS29" s="633">
        <v>-2322</v>
      </c>
      <c r="DT29" s="633">
        <v>656</v>
      </c>
      <c r="DU29" s="633">
        <v>649</v>
      </c>
      <c r="DV29" s="633">
        <v>2436</v>
      </c>
      <c r="DW29" s="901">
        <f t="shared" si="62"/>
      </c>
      <c r="DX29" s="633">
        <v>-3320</v>
      </c>
      <c r="DY29" s="633">
        <v>1489</v>
      </c>
      <c r="DZ29" s="633">
        <v>695</v>
      </c>
      <c r="EA29" s="633">
        <v>2482</v>
      </c>
      <c r="EB29" s="901">
        <f t="shared" si="63"/>
      </c>
      <c r="EC29" s="633">
        <v>-2951</v>
      </c>
      <c r="ED29" s="633">
        <v>1755</v>
      </c>
      <c r="EE29" s="633">
        <v>1590</v>
      </c>
      <c r="EF29" s="633">
        <v>3755</v>
      </c>
      <c r="EG29" s="901">
        <f t="shared" si="64"/>
      </c>
      <c r="EH29" s="633">
        <v>-4143</v>
      </c>
      <c r="EI29" s="633">
        <v>1745</v>
      </c>
      <c r="EJ29" s="633">
        <v>1287</v>
      </c>
      <c r="EK29" s="633">
        <v>3455</v>
      </c>
      <c r="EL29" s="901">
        <f t="shared" si="65"/>
      </c>
      <c r="EM29" s="633">
        <v>-4024</v>
      </c>
      <c r="EN29" s="633">
        <v>1819</v>
      </c>
      <c r="EO29" s="633">
        <v>1715</v>
      </c>
      <c r="EP29" s="633">
        <v>2762</v>
      </c>
      <c r="EQ29" s="901">
        <f t="shared" si="66"/>
      </c>
      <c r="ER29" s="633">
        <v>-4106</v>
      </c>
      <c r="ES29" s="633">
        <v>1518</v>
      </c>
      <c r="ET29" s="954">
        <v>2803</v>
      </c>
      <c r="EU29" s="954">
        <v>4652</v>
      </c>
      <c r="EV29" s="901">
        <f t="shared" si="67"/>
      </c>
      <c r="EW29" s="954">
        <v>-5479</v>
      </c>
      <c r="EX29" s="954">
        <v>3217</v>
      </c>
      <c r="EY29" s="954">
        <v>2839</v>
      </c>
      <c r="EZ29" s="954">
        <v>5346</v>
      </c>
      <c r="FA29" s="901">
        <f t="shared" si="68"/>
      </c>
      <c r="FB29" s="768">
        <f>(BS!FB35-BS!EZ35)</f>
      </c>
      <c r="FC29" s="768">
        <f>(BS!FC35-BS!FB35)</f>
      </c>
      <c r="FD29" s="768">
        <f>(BS!FD35-BS!FC35)</f>
      </c>
      <c r="FE29" s="768">
        <f>(BS!FE35-BS!FD35)</f>
      </c>
      <c r="FF29" s="901">
        <f t="shared" si="69"/>
      </c>
      <c r="FG29" s="768">
        <f>(BS!FG35-BS!FE35)</f>
      </c>
      <c r="FH29" s="768">
        <f>(BS!FH35-BS!FG35)</f>
      </c>
      <c r="FI29" s="768">
        <f>(BS!FI35-BS!FH35)</f>
      </c>
      <c r="FJ29" s="768">
        <f>(BS!FJ35-BS!FI35)</f>
      </c>
      <c r="FK29" s="901">
        <f t="shared" si="70"/>
      </c>
      <c r="FL29" s="768">
        <f>(BS!FL35-BS!FJ35)</f>
      </c>
      <c r="FM29" s="768">
        <f>(BS!FM35-BS!FL35)</f>
      </c>
      <c r="FN29" s="768">
        <f>(BS!FN35-BS!FM35)</f>
      </c>
      <c r="FO29" s="768">
        <f>(BS!FO35-BS!FN35)</f>
      </c>
      <c r="FP29" s="901">
        <f t="shared" si="71"/>
      </c>
      <c r="FQ29" s="768">
        <f>(BS!FQ35-BS!FO35)</f>
      </c>
      <c r="FR29" s="768">
        <f>(BS!FR35-BS!FQ35)</f>
      </c>
      <c r="FS29" s="768">
        <f>(BS!FS35-BS!FR35)</f>
      </c>
      <c r="FT29" s="768">
        <f>(BS!FT35-BS!FS35)</f>
      </c>
      <c r="FU29" s="901">
        <f t="shared" si="72"/>
      </c>
      <c r="FV29" s="768">
        <f>(BS!FV35-BS!FT35)</f>
      </c>
      <c r="FW29" s="768">
        <f>(BS!FW35-BS!FV35)</f>
      </c>
      <c r="FX29" s="768">
        <f>(BS!FX35-BS!FW35)</f>
      </c>
      <c r="FY29" s="768">
        <f>(BS!FY35-BS!FX35)</f>
      </c>
      <c r="FZ29" s="901">
        <f t="shared" si="73"/>
      </c>
      <c r="GA29" s="768">
        <f>(BS!GA35-BS!FY35)</f>
      </c>
      <c r="GB29" s="768">
        <f>(BS!GB35-BS!GA35)</f>
      </c>
      <c r="GC29" s="768">
        <f>(BS!GC35-BS!GB35)</f>
      </c>
      <c r="GD29" s="768">
        <f>(BS!GD35-BS!GC35)</f>
      </c>
      <c r="GE29" s="901">
        <f t="shared" si="74"/>
      </c>
      <c r="GF29" s="768">
        <f>(BS!GF35-BS!GD35)</f>
      </c>
      <c r="GG29" s="768">
        <f>(BS!GG35-BS!GF35)</f>
      </c>
      <c r="GH29" s="768">
        <f>(BS!GH35-BS!GG35)</f>
      </c>
      <c r="GI29" s="768">
        <f>(BS!GI35-BS!GH35)</f>
      </c>
      <c r="GJ29" s="901">
        <f t="shared" si="75"/>
      </c>
    </row>
    <row r="30" spans="1:192" s="278" customFormat="1" ht="12.75" customHeight="1">
      <c r="A30" s="279"/>
      <c r="B30" s="719" t="s">
        <v>84</v>
      </c>
      <c r="C30" s="633">
        <v>0</v>
      </c>
      <c r="D30" s="633">
        <v>0</v>
      </c>
      <c r="E30" s="633">
        <v>0</v>
      </c>
      <c r="F30" s="633">
        <v>0</v>
      </c>
      <c r="G30" s="901">
        <f>SUM(C30:F30)</f>
      </c>
      <c r="H30" s="633">
        <v>0</v>
      </c>
      <c r="I30" s="633">
        <v>0</v>
      </c>
      <c r="J30" s="633">
        <v>0</v>
      </c>
      <c r="K30" s="633">
        <v>0</v>
      </c>
      <c r="L30" s="901">
        <f>SUM(H30:K30)</f>
      </c>
      <c r="M30" s="633">
        <v>0</v>
      </c>
      <c r="N30" s="633">
        <v>0</v>
      </c>
      <c r="O30" s="633">
        <v>0</v>
      </c>
      <c r="P30" s="633">
        <v>0</v>
      </c>
      <c r="Q30" s="901">
        <f t="shared" si="40"/>
      </c>
      <c r="R30" s="633">
        <v>0</v>
      </c>
      <c r="S30" s="633">
        <v>0</v>
      </c>
      <c r="T30" s="633">
        <v>0</v>
      </c>
      <c r="U30" s="633">
        <v>0</v>
      </c>
      <c r="V30" s="901">
        <f t="shared" si="41"/>
      </c>
      <c r="W30" s="633">
        <v>0</v>
      </c>
      <c r="X30" s="633">
        <v>0</v>
      </c>
      <c r="Y30" s="633">
        <v>0</v>
      </c>
      <c r="Z30" s="633">
        <v>0</v>
      </c>
      <c r="AA30" s="901">
        <f t="shared" si="42"/>
      </c>
      <c r="AB30" s="633">
        <v>0</v>
      </c>
      <c r="AC30" s="633">
        <v>0</v>
      </c>
      <c r="AD30" s="633">
        <v>0</v>
      </c>
      <c r="AE30" s="633">
        <v>0</v>
      </c>
      <c r="AF30" s="901">
        <f t="shared" si="43"/>
      </c>
      <c r="AG30" s="633">
        <v>0</v>
      </c>
      <c r="AH30" s="633">
        <f>49-AG30</f>
      </c>
      <c r="AI30" s="633">
        <f>-35-AH30-AG30</f>
      </c>
      <c r="AJ30" s="633">
        <f>153-AI30-AH30-AG30</f>
      </c>
      <c r="AK30" s="901">
        <f t="shared" si="44"/>
      </c>
      <c r="AL30" s="633">
        <v>0</v>
      </c>
      <c r="AM30" s="633">
        <f>222-AL30</f>
      </c>
      <c r="AN30" s="633">
        <f>279-AM30-AL30</f>
      </c>
      <c r="AO30" s="633">
        <f>216-AN30-AM30-AL30</f>
      </c>
      <c r="AP30" s="901">
        <f t="shared" si="45"/>
      </c>
      <c r="AQ30" s="633">
        <v>20</v>
      </c>
      <c r="AR30" s="633">
        <v>390</v>
      </c>
      <c r="AS30" s="633">
        <v>11</v>
      </c>
      <c r="AT30" s="633">
        <v>19</v>
      </c>
      <c r="AU30" s="901">
        <f t="shared" si="46"/>
      </c>
      <c r="AV30" s="633">
        <v>-52</v>
      </c>
      <c r="AW30" s="633">
        <v>129</v>
      </c>
      <c r="AX30" s="633">
        <v>602</v>
      </c>
      <c r="AY30" s="633">
        <v>-604</v>
      </c>
      <c r="AZ30" s="901">
        <f t="shared" si="47"/>
      </c>
      <c r="BA30" s="633">
        <v>96</v>
      </c>
      <c r="BB30" s="633">
        <v>261</v>
      </c>
      <c r="BC30" s="633">
        <v>334</v>
      </c>
      <c r="BD30" s="633">
        <v>554</v>
      </c>
      <c r="BE30" s="901">
        <f t="shared" si="48"/>
      </c>
      <c r="BF30" s="633">
        <v>305</v>
      </c>
      <c r="BG30" s="633">
        <v>168</v>
      </c>
      <c r="BH30" s="633">
        <v>270</v>
      </c>
      <c r="BI30" s="633">
        <v>530</v>
      </c>
      <c r="BJ30" s="901">
        <f t="shared" si="49"/>
      </c>
      <c r="BK30" s="633">
        <v>347</v>
      </c>
      <c r="BL30" s="633">
        <v>244</v>
      </c>
      <c r="BM30" s="633">
        <v>54</v>
      </c>
      <c r="BN30" s="633">
        <v>913</v>
      </c>
      <c r="BO30" s="901">
        <f t="shared" si="50"/>
      </c>
      <c r="BP30" s="633">
        <v>493</v>
      </c>
      <c r="BQ30" s="633">
        <v>107</v>
      </c>
      <c r="BR30" s="633">
        <v>-1162</v>
      </c>
      <c r="BS30" s="633">
        <v>389</v>
      </c>
      <c r="BT30" s="901">
        <f t="shared" si="51"/>
      </c>
      <c r="BU30" s="633">
        <v>700</v>
      </c>
      <c r="BV30" s="633">
        <v>668</v>
      </c>
      <c r="BW30" s="633">
        <v>662</v>
      </c>
      <c r="BX30" s="633">
        <v>-357</v>
      </c>
      <c r="BY30" s="901">
        <f t="shared" si="52"/>
      </c>
      <c r="BZ30" s="633">
        <v>346</v>
      </c>
      <c r="CA30" s="633">
        <v>304</v>
      </c>
      <c r="CB30" s="633">
        <v>364</v>
      </c>
      <c r="CC30" s="633">
        <v>393</v>
      </c>
      <c r="CD30" s="901">
        <f t="shared" si="53"/>
      </c>
      <c r="CE30" s="633">
        <v>560</v>
      </c>
      <c r="CF30" s="633">
        <v>283</v>
      </c>
      <c r="CG30" s="633">
        <v>354</v>
      </c>
      <c r="CH30" s="633">
        <v>97</v>
      </c>
      <c r="CI30" s="901">
        <f t="shared" si="54"/>
      </c>
      <c r="CJ30" s="633">
        <v>120</v>
      </c>
      <c r="CK30" s="633">
        <v>156</v>
      </c>
      <c r="CL30" s="633">
        <v>166</v>
      </c>
      <c r="CM30" s="633">
        <v>-268</v>
      </c>
      <c r="CN30" s="901">
        <f t="shared" si="55"/>
      </c>
      <c r="CO30" s="633">
        <v>183</v>
      </c>
      <c r="CP30" s="633">
        <v>-18</v>
      </c>
      <c r="CQ30" s="633">
        <v>699</v>
      </c>
      <c r="CR30" s="633">
        <v>294</v>
      </c>
      <c r="CS30" s="901">
        <f t="shared" si="56"/>
      </c>
      <c r="CT30" s="633">
        <v>-461</v>
      </c>
      <c r="CU30" s="633">
        <v>151</v>
      </c>
      <c r="CV30" s="633">
        <v>200</v>
      </c>
      <c r="CW30" s="633">
        <v>1124</v>
      </c>
      <c r="CX30" s="901">
        <f t="shared" si="57"/>
      </c>
      <c r="CY30" s="633">
        <v>189</v>
      </c>
      <c r="CZ30" s="633">
        <v>651</v>
      </c>
      <c r="DA30" s="633">
        <v>492</v>
      </c>
      <c r="DB30" s="633">
        <v>267</v>
      </c>
      <c r="DC30" s="901">
        <f t="shared" si="58"/>
      </c>
      <c r="DD30" s="633">
        <v>-116</v>
      </c>
      <c r="DE30" s="633">
        <v>370</v>
      </c>
      <c r="DF30" s="633">
        <v>340</v>
      </c>
      <c r="DG30" s="633">
        <v>-580</v>
      </c>
      <c r="DH30" s="901">
        <f t="shared" si="59"/>
      </c>
      <c r="DI30" s="633">
        <v>443</v>
      </c>
      <c r="DJ30" s="633">
        <v>-301</v>
      </c>
      <c r="DK30" s="633">
        <v>283</v>
      </c>
      <c r="DL30" s="633">
        <v>-118</v>
      </c>
      <c r="DM30" s="901">
        <f t="shared" si="60"/>
      </c>
      <c r="DN30" s="633">
        <v>813</v>
      </c>
      <c r="DO30" s="633">
        <v>-153</v>
      </c>
      <c r="DP30" s="633">
        <v>145</v>
      </c>
      <c r="DQ30" s="633">
        <v>-366</v>
      </c>
      <c r="DR30" s="901">
        <f t="shared" si="61"/>
      </c>
      <c r="DS30" s="633">
        <v>43</v>
      </c>
      <c r="DT30" s="633">
        <v>-32</v>
      </c>
      <c r="DU30" s="633">
        <v>339</v>
      </c>
      <c r="DV30" s="633">
        <v>241</v>
      </c>
      <c r="DW30" s="901">
        <f t="shared" si="62"/>
      </c>
      <c r="DX30" s="633">
        <v>410</v>
      </c>
      <c r="DY30" s="633">
        <v>425</v>
      </c>
      <c r="DZ30" s="633">
        <v>-110</v>
      </c>
      <c r="EA30" s="633">
        <v>623</v>
      </c>
      <c r="EB30" s="901">
        <f t="shared" si="63"/>
      </c>
      <c r="EC30" s="633">
        <v>244</v>
      </c>
      <c r="ED30" s="633">
        <v>893</v>
      </c>
      <c r="EE30" s="633">
        <v>122</v>
      </c>
      <c r="EF30" s="633">
        <v>143</v>
      </c>
      <c r="EG30" s="901">
        <f t="shared" si="64"/>
      </c>
      <c r="EH30" s="633">
        <v>250</v>
      </c>
      <c r="EI30" s="633">
        <v>93</v>
      </c>
      <c r="EJ30" s="633">
        <v>438</v>
      </c>
      <c r="EK30" s="633">
        <v>44</v>
      </c>
      <c r="EL30" s="901">
        <f t="shared" si="65"/>
      </c>
      <c r="EM30" s="633">
        <v>188</v>
      </c>
      <c r="EN30" s="633">
        <v>257</v>
      </c>
      <c r="EO30" s="633">
        <v>6</v>
      </c>
      <c r="EP30" s="633">
        <v>102</v>
      </c>
      <c r="EQ30" s="901">
        <f t="shared" si="66"/>
      </c>
      <c r="ER30" s="633">
        <v>291</v>
      </c>
      <c r="ES30" s="633">
        <v>-26</v>
      </c>
      <c r="ET30" s="954">
        <v>48</v>
      </c>
      <c r="EU30" s="954">
        <v>436</v>
      </c>
      <c r="EV30" s="901">
        <f t="shared" si="67"/>
      </c>
      <c r="EW30" s="954">
        <v>-33</v>
      </c>
      <c r="EX30" s="954">
        <v>716</v>
      </c>
      <c r="EY30" s="954">
        <v>-391</v>
      </c>
      <c r="EZ30" s="954">
        <v>-1267</v>
      </c>
      <c r="FA30" s="901">
        <f t="shared" si="68"/>
      </c>
      <c r="FB30" s="768">
        <f>(BS!FB43-BS!EZ43)</f>
      </c>
      <c r="FC30" s="768">
        <f>(BS!FC43-BS!FB43)</f>
      </c>
      <c r="FD30" s="768">
        <f>(BS!FD43-BS!FC43)</f>
      </c>
      <c r="FE30" s="768">
        <f>(BS!FE43-BS!FD43)</f>
      </c>
      <c r="FF30" s="901">
        <f t="shared" si="69"/>
      </c>
      <c r="FG30" s="768">
        <f>(BS!FG43-BS!FE43)</f>
      </c>
      <c r="FH30" s="768">
        <f>(BS!FH43-BS!FG43)</f>
      </c>
      <c r="FI30" s="768">
        <f>(BS!FI43-BS!FH43)</f>
      </c>
      <c r="FJ30" s="768">
        <f>(BS!FJ43-BS!FI43)</f>
      </c>
      <c r="FK30" s="901">
        <f t="shared" si="70"/>
      </c>
      <c r="FL30" s="768">
        <f>(BS!FL43-BS!FJ43)</f>
      </c>
      <c r="FM30" s="768">
        <f>(BS!FM43-BS!FL43)</f>
      </c>
      <c r="FN30" s="768">
        <f>(BS!FN43-BS!FM43)</f>
      </c>
      <c r="FO30" s="768">
        <f>(BS!FO43-BS!FN43)</f>
      </c>
      <c r="FP30" s="901">
        <f t="shared" si="71"/>
      </c>
      <c r="FQ30" s="768">
        <f>(BS!FQ43-BS!FO43)</f>
      </c>
      <c r="FR30" s="768">
        <f>(BS!FR43-BS!FQ43)</f>
      </c>
      <c r="FS30" s="768">
        <f>(BS!FS43-BS!FR43)</f>
      </c>
      <c r="FT30" s="768">
        <f>(BS!FT43-BS!FS43)</f>
      </c>
      <c r="FU30" s="901">
        <f t="shared" si="72"/>
      </c>
      <c r="FV30" s="768">
        <f>(BS!FV43-BS!FT43)</f>
      </c>
      <c r="FW30" s="768">
        <f>(BS!FW43-BS!FV43)</f>
      </c>
      <c r="FX30" s="768">
        <f>(BS!FX43-BS!FW43)</f>
      </c>
      <c r="FY30" s="768">
        <f>(BS!FY43-BS!FX43)</f>
      </c>
      <c r="FZ30" s="901">
        <f t="shared" si="73"/>
      </c>
      <c r="GA30" s="768">
        <f>(BS!GA43-BS!FY43)</f>
      </c>
      <c r="GB30" s="768">
        <f>(BS!GB43-BS!GA43)</f>
      </c>
      <c r="GC30" s="768">
        <f>(BS!GC43-BS!GB43)</f>
      </c>
      <c r="GD30" s="768">
        <f>(BS!GD43-BS!GC43)</f>
      </c>
      <c r="GE30" s="901">
        <f t="shared" si="74"/>
      </c>
      <c r="GF30" s="768">
        <f>(BS!GF43-BS!GD43)</f>
      </c>
      <c r="GG30" s="768">
        <f>(BS!GG43-BS!GF43)</f>
      </c>
      <c r="GH30" s="768">
        <f>(BS!GH43-BS!GG43)</f>
      </c>
      <c r="GI30" s="768">
        <f>(BS!GI43-BS!GH43)</f>
      </c>
      <c r="GJ30" s="901">
        <f t="shared" si="75"/>
      </c>
    </row>
    <row r="31" spans="1:192" s="281" customFormat="1" ht="12.75" customHeight="1">
      <c r="A31" s="274"/>
      <c r="B31" s="706" t="s">
        <v>45</v>
      </c>
      <c r="C31" s="931">
        <f>SUM(C10:C19,C22:C30)</f>
      </c>
      <c r="D31" s="931">
        <f>SUM(D10:D19,D22:D30)</f>
      </c>
      <c r="E31" s="931">
        <f>SUM(E10:E19,E22:E30)</f>
      </c>
      <c r="F31" s="931">
        <f>SUM(F10:F19,F22:F30)</f>
      </c>
      <c r="G31" s="956">
        <f>SUM(C31:F31)</f>
      </c>
      <c r="H31" s="931">
        <f>SUM(H10:H19,H22:H30)</f>
      </c>
      <c r="I31" s="931">
        <f>SUM(I10:I19,I22:I30)</f>
      </c>
      <c r="J31" s="931">
        <f>SUM(J10:J19,J22:J30)</f>
      </c>
      <c r="K31" s="931">
        <f>SUM(K10:K19,K22:K30)</f>
      </c>
      <c r="L31" s="956">
        <f>SUM(H31:K31)</f>
      </c>
      <c r="M31" s="931">
        <f>SUM(M10:M19,M22:M30)</f>
      </c>
      <c r="N31" s="931">
        <f>SUM(N10:N19,N22:N30)</f>
      </c>
      <c r="O31" s="931">
        <f>SUM(O10:O19,O22:O30)</f>
      </c>
      <c r="P31" s="931">
        <f>SUM(P10:P19,P22:P30)</f>
      </c>
      <c r="Q31" s="956">
        <f t="shared" si="40"/>
      </c>
      <c r="R31" s="931">
        <f>SUM(R10:R19,R22:R30)</f>
      </c>
      <c r="S31" s="931">
        <f>SUM(S10:S19,S22:S30)</f>
      </c>
      <c r="T31" s="931">
        <f>SUM(T10:T19,T22:T30)</f>
      </c>
      <c r="U31" s="931">
        <f>SUM(U10:U19,U22:U30)</f>
      </c>
      <c r="V31" s="956">
        <f t="shared" si="41"/>
      </c>
      <c r="W31" s="931">
        <f>SUM(W10:W19,W22:W30)</f>
      </c>
      <c r="X31" s="931">
        <f>SUM(X10:X19,X22:X30)</f>
      </c>
      <c r="Y31" s="931">
        <f>SUM(Y10:Y19,Y22:Y30)</f>
      </c>
      <c r="Z31" s="931">
        <f>SUM(Z10:Z19,Z22:Z30)</f>
      </c>
      <c r="AA31" s="956">
        <f t="shared" si="42"/>
      </c>
      <c r="AB31" s="931">
        <f>SUM(AB10:AB19,AB22:AB30)</f>
      </c>
      <c r="AC31" s="931">
        <f>SUM(AC10:AC19,AC22:AC30)</f>
      </c>
      <c r="AD31" s="931">
        <f>SUM(AD10:AD19,AD22:AD30)</f>
      </c>
      <c r="AE31" s="931">
        <f>SUM(AE10:AE19,AE22:AE30)</f>
      </c>
      <c r="AF31" s="956">
        <f t="shared" si="43"/>
      </c>
      <c r="AG31" s="931">
        <f>SUM(AG10:AG19,AG22:AG30)</f>
      </c>
      <c r="AH31" s="931">
        <f>SUM(AH10:AH19,AH22:AH30)</f>
      </c>
      <c r="AI31" s="931">
        <f>SUM(AI10:AI19,AI22:AI30)</f>
      </c>
      <c r="AJ31" s="931">
        <f>SUM(AJ10:AJ19,AJ22:AJ30)</f>
      </c>
      <c r="AK31" s="956">
        <f>SUM(AG31:AJ31)</f>
      </c>
      <c r="AL31" s="931">
        <f>SUM(AL10:AL19,AL22:AL30)</f>
      </c>
      <c r="AM31" s="931">
        <f>SUM(AM10:AM19,AM22:AM30)</f>
      </c>
      <c r="AN31" s="931">
        <f>SUM(AN10:AN19,AN22:AN30)</f>
      </c>
      <c r="AO31" s="931">
        <f>SUM(AO10:AO19,AO22:AO30)</f>
      </c>
      <c r="AP31" s="956">
        <f>SUM(AL31:AO31)</f>
      </c>
      <c r="AQ31" s="931">
        <f>SUM(AQ10:AQ19,AQ22:AQ30)</f>
      </c>
      <c r="AR31" s="931">
        <f>SUM(AR10:AR19,AR22:AR30)</f>
      </c>
      <c r="AS31" s="931">
        <f>SUM(AS10:AS19,AS22:AS30)</f>
      </c>
      <c r="AT31" s="931">
        <f>SUM(AT10:AT19,AT22:AT30)</f>
      </c>
      <c r="AU31" s="956">
        <f>SUM(AQ31:AT31)</f>
      </c>
      <c r="AV31" s="931">
        <f>SUM(AV10:AV19,AV22:AV30)</f>
      </c>
      <c r="AW31" s="931">
        <f>SUM(AW10:AW19,AW22:AW30)</f>
      </c>
      <c r="AX31" s="931">
        <f>SUM(AX10:AX19,AX22:AX30)</f>
      </c>
      <c r="AY31" s="931">
        <f>SUM(AY10:AY19,AY22:AY30)</f>
      </c>
      <c r="AZ31" s="956">
        <f>SUM(AV31:AY31)</f>
      </c>
      <c r="BA31" s="931">
        <f>SUM(BA10:BA19,BA22:BA30)</f>
      </c>
      <c r="BB31" s="931">
        <f>SUM(BB10:BB19,BB22:BB30)</f>
      </c>
      <c r="BC31" s="931">
        <f>SUM(BC10:BC19,BC22:BC30)</f>
      </c>
      <c r="BD31" s="931">
        <f>SUM(BD10:BD19,BD22:BD30)</f>
      </c>
      <c r="BE31" s="956">
        <f>SUM(BA31:BD31)</f>
      </c>
      <c r="BF31" s="931">
        <f>SUM(BF10:BF19,BF22:BF30)</f>
      </c>
      <c r="BG31" s="931">
        <f>SUM(BG10:BG19,BG22:BG30)</f>
      </c>
      <c r="BH31" s="931">
        <f>SUM(BH10:BH19,BH22:BH30)</f>
      </c>
      <c r="BI31" s="931">
        <f>SUM(BI10:BI19,BI22:BI30)</f>
      </c>
      <c r="BJ31" s="956">
        <f>SUM(BF31:BI31)</f>
      </c>
      <c r="BK31" s="931">
        <f>SUM(BK10:BK19,BK22:BK30)</f>
      </c>
      <c r="BL31" s="931">
        <f>SUM(BL10:BL19,BL22:BL30)</f>
      </c>
      <c r="BM31" s="931">
        <f>SUM(BM10:BM19,BM22:BM30)</f>
      </c>
      <c r="BN31" s="931">
        <f>SUM(BN10:BN19,BN22:BN30)</f>
      </c>
      <c r="BO31" s="956">
        <f>SUM(BK31:BN31)</f>
      </c>
      <c r="BP31" s="931">
        <f>SUM(BP10:BP19,BP22:BP30)</f>
      </c>
      <c r="BQ31" s="931">
        <f>SUM(BQ10:BQ19,BQ22:BQ30)</f>
      </c>
      <c r="BR31" s="931">
        <f>SUM(BR10:BR19,BR22:BR30)</f>
      </c>
      <c r="BS31" s="931">
        <f>SUM(BS10:BS19,BS22:BS30)</f>
      </c>
      <c r="BT31" s="956">
        <f>SUM(BP31:BS31)</f>
      </c>
      <c r="BU31" s="931">
        <f>SUM(BU10:BU19,BU22:BU30)</f>
      </c>
      <c r="BV31" s="931">
        <f>SUM(BV10:BV19,BV22:BV30)</f>
      </c>
      <c r="BW31" s="931">
        <f>SUM(BW10:BW19,BW22:BW30)</f>
      </c>
      <c r="BX31" s="931">
        <f>SUM(BX10:BX19,BX22:BX30)</f>
      </c>
      <c r="BY31" s="956">
        <f>SUM(BU31:BX31)</f>
      </c>
      <c r="BZ31" s="931">
        <f>SUM(BZ10:BZ19,BZ22:BZ30)</f>
      </c>
      <c r="CA31" s="931">
        <f>SUM(CA10:CA19,CA22:CA30)</f>
      </c>
      <c r="CB31" s="931">
        <f>SUM(CB10:CB19,CB22:CB30)</f>
      </c>
      <c r="CC31" s="931">
        <f>SUM(CC10:CC19,CC22:CC30)</f>
      </c>
      <c r="CD31" s="956">
        <f>SUM(BZ31:CC31)</f>
      </c>
      <c r="CE31" s="931">
        <f>SUM(CE10:CE19,CE22:CE30)</f>
      </c>
      <c r="CF31" s="931">
        <f>SUM(CF10:CF19,CF22:CF30)</f>
      </c>
      <c r="CG31" s="931">
        <f>SUM(CG10:CG19,CG22:CG30)</f>
      </c>
      <c r="CH31" s="931">
        <f>SUM(CH10:CH19,CH22:CH30)</f>
      </c>
      <c r="CI31" s="956">
        <f>SUM(CE31:CH31)</f>
      </c>
      <c r="CJ31" s="931">
        <f>SUM(CJ10:CJ19,CJ22:CJ30)</f>
      </c>
      <c r="CK31" s="931">
        <f>SUM(CK10:CK19,CK22:CK30)</f>
      </c>
      <c r="CL31" s="931">
        <f>SUM(CL10:CL19,CL22:CL30)</f>
      </c>
      <c r="CM31" s="931">
        <f>SUM(CM10:CM19,CM22:CM30)</f>
      </c>
      <c r="CN31" s="956">
        <f>SUM(CJ31:CM31)</f>
      </c>
      <c r="CO31" s="931">
        <f>SUM(CO10:CO19,CO22:CO30)</f>
      </c>
      <c r="CP31" s="931">
        <f>SUM(CP10:CP19,CP22:CP30)</f>
      </c>
      <c r="CQ31" s="931">
        <f>SUM(CQ10:CQ19,CQ22:CQ30)</f>
      </c>
      <c r="CR31" s="931">
        <f>SUM(CR10:CR19,CR22:CR30)</f>
      </c>
      <c r="CS31" s="956">
        <f>SUM(CO31:CR31)</f>
      </c>
      <c r="CT31" s="931">
        <f>SUM(CT10:CT19,CT22:CT30)</f>
      </c>
      <c r="CU31" s="931">
        <f>SUM(CU10:CU19,CU22:CU30)</f>
      </c>
      <c r="CV31" s="931">
        <f>SUM(CV10:CV19,CV22:CV30)</f>
      </c>
      <c r="CW31" s="931">
        <f>SUM(CW10:CW19,CW22:CW30)</f>
      </c>
      <c r="CX31" s="956">
        <f>SUM(CT31:CW31)</f>
      </c>
      <c r="CY31" s="931">
        <f>SUM(CY10:CY19,CY22:CY30)</f>
      </c>
      <c r="CZ31" s="931">
        <f>SUM(CZ10:CZ19,CZ22:CZ30)</f>
      </c>
      <c r="DA31" s="931">
        <f>SUM(DA10:DA19,DA22:DA30)</f>
      </c>
      <c r="DB31" s="931">
        <f>SUM(DB10:DB19,DB22:DB30)</f>
      </c>
      <c r="DC31" s="956">
        <f>SUM(CY31:DB31)</f>
      </c>
      <c r="DD31" s="931">
        <f>SUM(DD10:DD19,DD22:DD30)</f>
      </c>
      <c r="DE31" s="931">
        <f>SUM(DE10:DE19,DE22:DE30)</f>
      </c>
      <c r="DF31" s="931">
        <f>SUM(DF10:DF19,DF22:DF30)</f>
      </c>
      <c r="DG31" s="931">
        <f>SUM(DG10:DG19,DG22:DG30)</f>
      </c>
      <c r="DH31" s="956">
        <f>SUM(DD31:DG31)</f>
      </c>
      <c r="DI31" s="931">
        <f>SUM(DI10:DI19,DI22:DI30)</f>
      </c>
      <c r="DJ31" s="931">
        <f>SUM(DJ10:DJ19,DJ22:DJ30)</f>
      </c>
      <c r="DK31" s="931">
        <f>SUM(DK10:DK19,DK22:DK30)</f>
      </c>
      <c r="DL31" s="931">
        <f>SUM(DL10:DL19,DL22:DL30)</f>
      </c>
      <c r="DM31" s="956">
        <f>SUM(DI31:DL31)</f>
      </c>
      <c r="DN31" s="931">
        <f>SUM(DN10:DN19,DN22:DN30)</f>
      </c>
      <c r="DO31" s="931">
        <f>SUM(DO10:DO19,DO22:DO30)</f>
      </c>
      <c r="DP31" s="931">
        <f>SUM(DP10:DP19,DP22:DP30)</f>
      </c>
      <c r="DQ31" s="931">
        <f>SUM(DQ10:DQ19,DQ22:DQ30)</f>
      </c>
      <c r="DR31" s="956">
        <f>SUM(DN31:DQ31)</f>
      </c>
      <c r="DS31" s="931">
        <f>SUM(DS10:DS19,DS22:DS30)</f>
      </c>
      <c r="DT31" s="931">
        <f>SUM(DT10:DT19,DT22:DT30)</f>
      </c>
      <c r="DU31" s="931">
        <f>SUM(DU10:DU19,DU22:DU30)</f>
      </c>
      <c r="DV31" s="931">
        <f>SUM(DV10:DV19,DV22:DV30)</f>
      </c>
      <c r="DW31" s="956">
        <f>SUM(DS31:DV31)</f>
      </c>
      <c r="DX31" s="931">
        <f>SUM(DX10:DX19,DX22:DX30)</f>
      </c>
      <c r="DY31" s="931">
        <f>SUM(DY10:DY19,DY22:DY30)</f>
      </c>
      <c r="DZ31" s="931">
        <f>SUM(DZ10:DZ19,DZ22:DZ30)</f>
      </c>
      <c r="EA31" s="931">
        <f>SUM(EA10:EA19,EA22:EA30)</f>
      </c>
      <c r="EB31" s="956">
        <f>SUM(DX31:EA31)</f>
      </c>
      <c r="EC31" s="931">
        <f>SUM(EC10:EC19,EC22:EC30)</f>
      </c>
      <c r="ED31" s="931">
        <f>SUM(ED10:ED19,ED22:ED30)</f>
      </c>
      <c r="EE31" s="931">
        <f>SUM(EE10:EE19,EE22:EE30)</f>
      </c>
      <c r="EF31" s="931">
        <f>SUM(EF10:EF19,EF22:EF30)</f>
      </c>
      <c r="EG31" s="956">
        <f>SUM(EC31:EF31)</f>
      </c>
      <c r="EH31" s="931">
        <f>SUM(EH10:EH19,EH22:EH30)</f>
      </c>
      <c r="EI31" s="931">
        <f>SUM(EI10:EI19,EI22:EI30)</f>
      </c>
      <c r="EJ31" s="931">
        <f>SUM(EJ10:EJ19,EJ22:EJ30)</f>
      </c>
      <c r="EK31" s="931">
        <f>SUM(EK10:EK19,EK22:EK30)</f>
      </c>
      <c r="EL31" s="956">
        <f>SUM(EH31:EK31)</f>
      </c>
      <c r="EM31" s="931">
        <f>SUM(EM10:EM19,EM22:EM30)</f>
      </c>
      <c r="EN31" s="931">
        <f>SUM(EN10:EN19,EN22:EN30)</f>
      </c>
      <c r="EO31" s="931">
        <f>SUM(EO10:EO19,EO22:EO30)</f>
      </c>
      <c r="EP31" s="931">
        <f>SUM(EP10:EP19,EP22:EP30)</f>
      </c>
      <c r="EQ31" s="956">
        <f>SUM(EM31:EP31)</f>
      </c>
      <c r="ER31" s="931">
        <f>SUM(ER10:ER19,ER22:ER30)</f>
      </c>
      <c r="ES31" s="931">
        <f>SUM(ES10:ES19,ES22:ES30)</f>
      </c>
      <c r="ET31" s="931">
        <f>SUM(ET10:ET19,ET22:ET30)</f>
      </c>
      <c r="EU31" s="931">
        <f>SUM(EU10:EU19,EU22:EU30)</f>
      </c>
      <c r="EV31" s="956">
        <f>SUM(ER31:EU31)</f>
      </c>
      <c r="EW31" s="1404">
        <f>SUM(EW10:EW19,EW22:EW30)</f>
      </c>
      <c r="EX31" s="1404">
        <f>SUM(EX10:EX19,EX22:EX30)</f>
      </c>
      <c r="EY31" s="1404">
        <f>SUM(EY10:EY19,EY22:EY30)</f>
      </c>
      <c r="EZ31" s="1404">
        <f>SUM(EZ10:EZ19,EZ22:EZ30)</f>
      </c>
      <c r="FA31" s="956">
        <f>SUM(EW31:EZ31)</f>
      </c>
      <c r="FB31" s="931">
        <f>SUM(FB10:FB19,FB22:FB30)</f>
      </c>
      <c r="FC31" s="931">
        <f>SUM(FC10:FC19,FC22:FC30)</f>
      </c>
      <c r="FD31" s="931">
        <f>SUM(FD10:FD19,FD22:FD30)</f>
      </c>
      <c r="FE31" s="931">
        <f>SUM(FE10:FE19,FE22:FE30)</f>
      </c>
      <c r="FF31" s="956">
        <f>SUM(FB31:FE31)</f>
      </c>
      <c r="FG31" s="931">
        <f>SUM(FG10:FG19,FG22:FG30)</f>
      </c>
      <c r="FH31" s="931">
        <f>SUM(FH10:FH19,FH22:FH30)</f>
      </c>
      <c r="FI31" s="931">
        <f>SUM(FI10:FI19,FI22:FI30)</f>
      </c>
      <c r="FJ31" s="931">
        <f>SUM(FJ10:FJ19,FJ22:FJ30)</f>
      </c>
      <c r="FK31" s="956">
        <f>SUM(FG31:FJ31)</f>
      </c>
      <c r="FL31" s="931">
        <f>SUM(FL10:FL19,FL22:FL30)</f>
      </c>
      <c r="FM31" s="931">
        <f>SUM(FM10:FM19,FM22:FM30)</f>
      </c>
      <c r="FN31" s="931">
        <f>SUM(FN10:FN19,FN22:FN30)</f>
      </c>
      <c r="FO31" s="931">
        <f>SUM(FO10:FO19,FO22:FO30)</f>
      </c>
      <c r="FP31" s="956">
        <f>SUM(FL31:FO31)</f>
      </c>
      <c r="FQ31" s="931">
        <f>SUM(FQ10:FQ19,FQ22:FQ30)</f>
      </c>
      <c r="FR31" s="931">
        <f>SUM(FR10:FR19,FR22:FR30)</f>
      </c>
      <c r="FS31" s="931">
        <f>SUM(FS10:FS19,FS22:FS30)</f>
      </c>
      <c r="FT31" s="931">
        <f>SUM(FT10:FT19,FT22:FT30)</f>
      </c>
      <c r="FU31" s="956">
        <f>SUM(FQ31:FT31)</f>
      </c>
      <c r="FV31" s="931">
        <f>SUM(FV10:FV19,FV22:FV30)</f>
      </c>
      <c r="FW31" s="931">
        <f>SUM(FW10:FW19,FW22:FW30)</f>
      </c>
      <c r="FX31" s="931">
        <f>SUM(FX10:FX19,FX22:FX30)</f>
      </c>
      <c r="FY31" s="931">
        <f>SUM(FY10:FY19,FY22:FY30)</f>
      </c>
      <c r="FZ31" s="956">
        <f>SUM(FV31:FY31)</f>
      </c>
      <c r="GA31" s="931">
        <f>SUM(GA10:GA19,GA22:GA30)</f>
      </c>
      <c r="GB31" s="931">
        <f>SUM(GB10:GB19,GB22:GB30)</f>
      </c>
      <c r="GC31" s="931">
        <f>SUM(GC10:GC19,GC22:GC30)</f>
      </c>
      <c r="GD31" s="931">
        <f>SUM(GD10:GD19,GD22:GD30)</f>
      </c>
      <c r="GE31" s="956">
        <f>SUM(GA31:GD31)</f>
      </c>
      <c r="GF31" s="931">
        <f>SUM(GF10:GF19,GF22:GF30)</f>
      </c>
      <c r="GG31" s="931">
        <f>SUM(GG10:GG19,GG22:GG30)</f>
      </c>
      <c r="GH31" s="931">
        <f>SUM(GH10:GH19,GH22:GH30)</f>
      </c>
      <c r="GI31" s="931">
        <f>SUM(GI10:GI19,GI22:GI30)</f>
      </c>
      <c r="GJ31" s="956">
        <f>SUM(GF31:GI31)</f>
      </c>
    </row>
    <row r="32" spans="1:192" s="1306" customFormat="1" ht="12.75" customHeight="1">
      <c r="A32" s="1237" t="s">
        <v>353</v>
      </c>
      <c r="B32" s="782" t="s">
        <v>354</v>
      </c>
      <c r="C32" s="1304" t="str">
        <f>IFERROR(C31/IS!#REF!,"")</f>
      </c>
      <c r="D32" s="1304" t="str">
        <f>IFERROR(D31/IS!#REF!,"")</f>
      </c>
      <c r="E32" s="1304" t="str">
        <f>IFERROR(E31/IS!#REF!,"")</f>
      </c>
      <c r="F32" s="1304" t="str">
        <f>IFERROR(F31/IS!#REF!,"")</f>
      </c>
      <c r="G32" s="1305">
        <f>IFERROR(G31/IS!G24,"")</f>
      </c>
      <c r="H32" s="1304">
        <f>IFERROR(H31/IS!H24,"")</f>
      </c>
      <c r="I32" s="1304">
        <f>IFERROR(I31/IS!I24,"")</f>
      </c>
      <c r="J32" s="1304">
        <f>IFERROR(J31/IS!J24,"")</f>
      </c>
      <c r="K32" s="1304">
        <f>IFERROR(K31/IS!K24,"")</f>
      </c>
      <c r="L32" s="1305">
        <f>IFERROR(L31/IS!L24,"")</f>
      </c>
      <c r="M32" s="1304">
        <f>IFERROR(M31/IS!M24,"")</f>
      </c>
      <c r="N32" s="1304">
        <f>IFERROR(N31/IS!N24,"")</f>
      </c>
      <c r="O32" s="1304">
        <f>IFERROR(O31/IS!O24,"")</f>
      </c>
      <c r="P32" s="1304">
        <f>IFERROR(P31/IS!P24,"")</f>
      </c>
      <c r="Q32" s="1305">
        <f>IFERROR(Q31/IS!Q24,"")</f>
      </c>
      <c r="R32" s="1304">
        <f>IFERROR(R31/IS!R24,"")</f>
      </c>
      <c r="S32" s="1304">
        <f>IFERROR(S31/IS!S24,"")</f>
      </c>
      <c r="T32" s="1304">
        <f>IFERROR(T31/IS!T24,"")</f>
      </c>
      <c r="U32" s="1304">
        <f>IFERROR(U31/IS!U24,"")</f>
      </c>
      <c r="V32" s="1305">
        <f>IFERROR(V31/IS!V24,"")</f>
      </c>
      <c r="W32" s="1304">
        <f>IFERROR(W31/IS!W24,"")</f>
      </c>
      <c r="X32" s="1304">
        <f>IFERROR(X31/IS!X24,"")</f>
      </c>
      <c r="Y32" s="1304">
        <f>IFERROR(Y31/IS!Y24,"")</f>
      </c>
      <c r="Z32" s="1304">
        <f>IFERROR(Z31/IS!Z24,"")</f>
      </c>
      <c r="AA32" s="1305">
        <f>IFERROR(AA31/IS!AA24,"")</f>
      </c>
      <c r="AB32" s="1304">
        <f>IFERROR(AB31/IS!AB24,"")</f>
      </c>
      <c r="AC32" s="1304">
        <f>IFERROR(AC31/IS!AC24,"")</f>
      </c>
      <c r="AD32" s="1304">
        <f>IFERROR(AD31/IS!AD24,"")</f>
      </c>
      <c r="AE32" s="1304">
        <f>IFERROR(AE31/IS!AE24,"")</f>
      </c>
      <c r="AF32" s="1305">
        <f>IFERROR(AF31/IS!AF24,"")</f>
      </c>
      <c r="AG32" s="1304">
        <f>IFERROR(AG31/IS!AG24,"")</f>
      </c>
      <c r="AH32" s="1304">
        <f>IFERROR(AH31/IS!AH24,"")</f>
      </c>
      <c r="AI32" s="1304">
        <f>IFERROR(AI31/IS!AI24,"")</f>
      </c>
      <c r="AJ32" s="1304">
        <f>IFERROR(AJ31/IS!AJ24,"")</f>
      </c>
      <c r="AK32" s="1305">
        <f>IFERROR(AK31/IS!AK24,"")</f>
      </c>
      <c r="AL32" s="1304">
        <f>IFERROR(AL31/IS!AL24,"")</f>
      </c>
      <c r="AM32" s="1304">
        <f>IFERROR(AM31/IS!AM24,"")</f>
      </c>
      <c r="AN32" s="1304">
        <f>IFERROR(AN31/IS!AN24,"")</f>
      </c>
      <c r="AO32" s="1304">
        <f>IFERROR(AO31/IS!AO24,"")</f>
      </c>
      <c r="AP32" s="1305">
        <f>IFERROR(AP31/IS!AP24,"")</f>
      </c>
      <c r="AQ32" s="1304">
        <f>IFERROR(AQ31/IS!AQ24,"")</f>
      </c>
      <c r="AR32" s="1304">
        <f>IFERROR(AR31/IS!AR24,"")</f>
      </c>
      <c r="AS32" s="1304">
        <f>IFERROR(AS31/IS!AS24,"")</f>
      </c>
      <c r="AT32" s="1304">
        <f>IFERROR(AT31/IS!AT24,"")</f>
      </c>
      <c r="AU32" s="1305">
        <f>IFERROR(AU31/IS!AU24,"")</f>
      </c>
      <c r="AV32" s="1304">
        <f>IFERROR(AV31/IS!AV24,"")</f>
      </c>
      <c r="AW32" s="1304">
        <f>IFERROR(AW31/IS!AW24,"")</f>
      </c>
      <c r="AX32" s="1304">
        <f>IFERROR(AX31/IS!AX24,"")</f>
      </c>
      <c r="AY32" s="1304">
        <f>IFERROR(AY31/IS!AY24,"")</f>
      </c>
      <c r="AZ32" s="1305">
        <f>IFERROR(AZ31/IS!AZ24,"")</f>
      </c>
      <c r="BA32" s="1304">
        <f>IFERROR(BA31/IS!BA24,"")</f>
      </c>
      <c r="BB32" s="1304">
        <f>IFERROR(BB31/IS!BB24,"")</f>
      </c>
      <c r="BC32" s="1304">
        <f>IFERROR(BC31/IS!BC24,"")</f>
      </c>
      <c r="BD32" s="1304">
        <f>IFERROR(BD31/IS!BD24,"")</f>
      </c>
      <c r="BE32" s="1305">
        <f>IFERROR(BE31/IS!BE24,"")</f>
      </c>
      <c r="BF32" s="1304">
        <f>IFERROR(BF31/IS!BF24,"")</f>
      </c>
      <c r="BG32" s="1304">
        <f>IFERROR(BG31/IS!BG24,"")</f>
      </c>
      <c r="BH32" s="1304">
        <f>IFERROR(BH31/IS!BH24,"")</f>
      </c>
      <c r="BI32" s="1304">
        <f>IFERROR(BI31/IS!BI24,"")</f>
      </c>
      <c r="BJ32" s="1305">
        <f>IFERROR(BJ31/IS!BJ24,"")</f>
      </c>
      <c r="BK32" s="1304">
        <f>IFERROR(BK31/IS!BK24,"")</f>
      </c>
      <c r="BL32" s="1304">
        <f>IFERROR(BL31/IS!BL24,"")</f>
      </c>
      <c r="BM32" s="1304">
        <f>IFERROR(BM31/IS!BM24,"")</f>
      </c>
      <c r="BN32" s="1304">
        <f>IFERROR(BN31/IS!BN24,"")</f>
      </c>
      <c r="BO32" s="1305">
        <f>IFERROR(BO31/IS!BO24,"")</f>
      </c>
      <c r="BP32" s="1304">
        <f>IFERROR(BP31/IS!BP24,"")</f>
      </c>
      <c r="BQ32" s="1304">
        <f>IFERROR(BQ31/IS!BQ24,"")</f>
      </c>
      <c r="BR32" s="1304">
        <f>IFERROR(BR31/IS!BR24,"")</f>
      </c>
      <c r="BS32" s="1304">
        <f>IFERROR(BS31/IS!BS24,"")</f>
      </c>
      <c r="BT32" s="1305">
        <f>IFERROR(BT31/IS!BT24,"")</f>
      </c>
      <c r="BU32" s="1304">
        <f>IFERROR(BU31/IS!BU24,"")</f>
      </c>
      <c r="BV32" s="1304">
        <f>IFERROR(BV31/IS!BV24,"")</f>
      </c>
      <c r="BW32" s="1304">
        <f>IFERROR(BW31/IS!BW24,"")</f>
      </c>
      <c r="BX32" s="1304">
        <f>IFERROR(BX31/IS!BX24,"")</f>
      </c>
      <c r="BY32" s="1305">
        <f>IFERROR(BY31/IS!BY24,"")</f>
      </c>
      <c r="BZ32" s="1304">
        <f>IFERROR(BZ31/IS!BZ24,"")</f>
      </c>
      <c r="CA32" s="1304">
        <f>IFERROR(CA31/IS!CA24,"")</f>
      </c>
      <c r="CB32" s="1304">
        <f>IFERROR(CB31/IS!CB24,"")</f>
      </c>
      <c r="CC32" s="1304">
        <f>IFERROR(CC31/IS!CC24,"")</f>
      </c>
      <c r="CD32" s="1305">
        <f>IFERROR(CD31/IS!CD24,"")</f>
      </c>
      <c r="CE32" s="1304">
        <f>IFERROR(CE31/IS!CE24,"")</f>
      </c>
      <c r="CF32" s="1304">
        <f>IFERROR(CF31/IS!CF24,"")</f>
      </c>
      <c r="CG32" s="1304">
        <f>IFERROR(CG31/IS!CG24,"")</f>
      </c>
      <c r="CH32" s="1304">
        <f>IFERROR(CH31/IS!CH24,"")</f>
      </c>
      <c r="CI32" s="1305">
        <f>IFERROR(CI31/IS!CI24,"")</f>
      </c>
      <c r="CJ32" s="1304">
        <f>IFERROR(CJ31/IS!CJ24,"")</f>
      </c>
      <c r="CK32" s="1304">
        <f>IFERROR(CK31/IS!CK24,"")</f>
      </c>
      <c r="CL32" s="1304">
        <f>IFERROR(CL31/IS!CL24,"")</f>
      </c>
      <c r="CM32" s="1304">
        <f>IFERROR(CM31/IS!CM24,"")</f>
      </c>
      <c r="CN32" s="1305">
        <f>IFERROR(CN31/IS!CN24,"")</f>
      </c>
      <c r="CO32" s="1304">
        <f>IFERROR(CO31/IS!CO24,"")</f>
      </c>
      <c r="CP32" s="1304">
        <f>IFERROR(CP31/IS!CP24,"")</f>
      </c>
      <c r="CQ32" s="1304">
        <f>IFERROR(CQ31/IS!CQ24,"")</f>
      </c>
      <c r="CR32" s="1304">
        <f>IFERROR(CR31/IS!CR24,"")</f>
      </c>
      <c r="CS32" s="1305">
        <f>IFERROR(CS31/IS!CS24,"")</f>
      </c>
      <c r="CT32" s="1304">
        <f>IFERROR(CT31/IS!CT24,"")</f>
      </c>
      <c r="CU32" s="1304">
        <f>IFERROR(CU31/IS!CU24,"")</f>
      </c>
      <c r="CV32" s="1304">
        <f>IFERROR(CV31/IS!CV24,"")</f>
      </c>
      <c r="CW32" s="1304">
        <f>IFERROR(CW31/IS!CW24,"")</f>
      </c>
      <c r="CX32" s="1305">
        <f>IFERROR(CX31/IS!CX24,"")</f>
      </c>
      <c r="CY32" s="1304">
        <f>IFERROR(CY31/IS!CY24,"")</f>
      </c>
      <c r="CZ32" s="1304">
        <f>IFERROR(CZ31/IS!CZ24,"")</f>
      </c>
      <c r="DA32" s="1304">
        <f>IFERROR(DA31/IS!DA24,"")</f>
      </c>
      <c r="DB32" s="1304">
        <f>IFERROR(DB31/IS!DB24,"")</f>
      </c>
      <c r="DC32" s="1305">
        <f>IFERROR(DC31/IS!DC24,"")</f>
      </c>
      <c r="DD32" s="1304">
        <f>IFERROR(DD31/IS!DD24,"")</f>
      </c>
      <c r="DE32" s="1304">
        <f>IFERROR(DE31/IS!DE24,"")</f>
      </c>
      <c r="DF32" s="1304">
        <f>IFERROR(DF31/IS!DF24,"")</f>
      </c>
      <c r="DG32" s="1304">
        <f>IFERROR(DG31/IS!DG24,"")</f>
      </c>
      <c r="DH32" s="1305">
        <f>IFERROR(DH31/IS!DH24,"")</f>
      </c>
      <c r="DI32" s="1304">
        <f>IFERROR(DI31/IS!DI24,"")</f>
      </c>
      <c r="DJ32" s="1304">
        <f>IFERROR(DJ31/IS!DJ24,"")</f>
      </c>
      <c r="DK32" s="1304">
        <f>IFERROR(DK31/IS!DK24,"")</f>
      </c>
      <c r="DL32" s="1304">
        <f>IFERROR(DL31/IS!DL24,"")</f>
      </c>
      <c r="DM32" s="1305">
        <f>IFERROR(DM31/IS!DM24,"")</f>
      </c>
      <c r="DN32" s="1304">
        <f>IFERROR(DN31/IS!DN24,"")</f>
      </c>
      <c r="DO32" s="1304">
        <f>IFERROR(DO31/IS!DO24,"")</f>
      </c>
      <c r="DP32" s="1304">
        <f>IFERROR(DP31/IS!DP24,"")</f>
      </c>
      <c r="DQ32" s="1304">
        <f>IFERROR(DQ31/IS!DQ24,"")</f>
      </c>
      <c r="DR32" s="1305">
        <f>IFERROR(DR31/IS!DR24,"")</f>
      </c>
      <c r="DS32" s="1304">
        <f>IFERROR(DS31/IS!DS24,"")</f>
      </c>
      <c r="DT32" s="1304">
        <f>IFERROR(DT31/IS!DT24,"")</f>
      </c>
      <c r="DU32" s="1304">
        <f>IFERROR(DU31/IS!DU24,"")</f>
      </c>
      <c r="DV32" s="1304">
        <f>IFERROR(DV31/IS!DV24,"")</f>
      </c>
      <c r="DW32" s="1305">
        <f>IFERROR(DW31/IS!DW24,"")</f>
      </c>
      <c r="DX32" s="1304">
        <f>IFERROR(DX31/IS!DX24,"")</f>
      </c>
      <c r="DY32" s="1304">
        <f>IFERROR(DY31/IS!DY24,"")</f>
      </c>
      <c r="DZ32" s="1304">
        <f>IFERROR(DZ31/IS!DZ24,"")</f>
      </c>
      <c r="EA32" s="1304">
        <f>IFERROR(EA31/IS!EA24,"")</f>
      </c>
      <c r="EB32" s="1305">
        <f>IFERROR(EB31/IS!EB24,"")</f>
      </c>
      <c r="EC32" s="1304">
        <f>IFERROR(EC31/IS!EC24,"")</f>
      </c>
      <c r="ED32" s="1304">
        <f>IFERROR(ED31/IS!ED24,"")</f>
      </c>
      <c r="EE32" s="1304">
        <f>IFERROR(EE31/IS!EE24,"")</f>
      </c>
      <c r="EF32" s="1304">
        <f>IFERROR(EF31/IS!EF24,"")</f>
      </c>
      <c r="EG32" s="1305">
        <f>IFERROR(EG31/IS!EG24,"")</f>
      </c>
      <c r="EH32" s="1304">
        <f>IFERROR(EH31/IS!EH24,"")</f>
      </c>
      <c r="EI32" s="1304">
        <f>IFERROR(EI31/IS!EI24,"")</f>
      </c>
      <c r="EJ32" s="1304">
        <f>IFERROR(EJ31/IS!EJ24,"")</f>
      </c>
      <c r="EK32" s="1304">
        <f>IFERROR(EK31/IS!EK24,"")</f>
      </c>
      <c r="EL32" s="1305">
        <f>IFERROR(EL31/IS!EL24,"")</f>
      </c>
      <c r="EM32" s="1304">
        <f>IFERROR(EM31/IS!EM24,"")</f>
      </c>
      <c r="EN32" s="1304">
        <f>IFERROR(EN31/IS!EN24,"")</f>
      </c>
      <c r="EO32" s="1304">
        <f>IFERROR(EO31/IS!EO24,"")</f>
      </c>
      <c r="EP32" s="1304">
        <f>IFERROR(EP31/IS!EP24,"")</f>
      </c>
      <c r="EQ32" s="1305">
        <f>IFERROR(EQ31/IS!EQ24,"")</f>
      </c>
      <c r="ER32" s="1304">
        <f>IFERROR(ER31/IS!ER24,"")</f>
      </c>
      <c r="ES32" s="1304">
        <f>IFERROR(ES31/IS!ES24,"")</f>
      </c>
      <c r="ET32" s="1304">
        <f>IFERROR(ET31/IS!ET24,"")</f>
      </c>
      <c r="EU32" s="1304">
        <f>IFERROR(EU31/IS!EU24,"")</f>
      </c>
      <c r="EV32" s="1305">
        <f>IFERROR(EV31/IS!EV24,"")</f>
      </c>
      <c r="EW32" s="1598">
        <f>IFERROR(EW31/IS!EW24,"")</f>
      </c>
      <c r="EX32" s="1304">
        <f>IFERROR(EX31/IS!EX24,"")</f>
      </c>
      <c r="EY32" s="1598">
        <f>IFERROR(EY31/IS!EY24,"")</f>
      </c>
      <c r="EZ32" s="1304">
        <f>IFERROR(EZ31/IS!EZ24,"")</f>
      </c>
      <c r="FA32" s="1305">
        <f>IFERROR(FA31/IS!FA24,"")</f>
      </c>
      <c r="FB32" s="1304">
        <f>IFERROR(FB31/IS!FB24,"")</f>
      </c>
      <c r="FC32" s="1304">
        <f>IFERROR(FC31/IS!FC24,"")</f>
      </c>
      <c r="FD32" s="1304">
        <f>IFERROR(FD31/IS!FD24,"")</f>
      </c>
      <c r="FE32" s="1304">
        <f>IFERROR(FE31/IS!FE24,"")</f>
      </c>
      <c r="FF32" s="1305">
        <f>IFERROR(FF31/IS!FF24,"")</f>
      </c>
      <c r="FG32" s="1304">
        <f>IFERROR(FG31/IS!FG24,"")</f>
      </c>
      <c r="FH32" s="1304">
        <f>IFERROR(FH31/IS!FH24,"")</f>
      </c>
      <c r="FI32" s="1304">
        <f>IFERROR(FI31/IS!FI24,"")</f>
      </c>
      <c r="FJ32" s="1304">
        <f>IFERROR(FJ31/IS!FJ24,"")</f>
      </c>
      <c r="FK32" s="1305">
        <f>IFERROR(FK31/IS!FK24,"")</f>
      </c>
      <c r="FL32" s="1304">
        <f>IFERROR(FL31/IS!FL24,"")</f>
      </c>
      <c r="FM32" s="1304">
        <f>IFERROR(FM31/IS!FM24,"")</f>
      </c>
      <c r="FN32" s="1304">
        <f>IFERROR(FN31/IS!FN24,"")</f>
      </c>
      <c r="FO32" s="1304">
        <f>IFERROR(FO31/IS!FO24,"")</f>
      </c>
      <c r="FP32" s="1305">
        <f>IFERROR(FP31/IS!FP24,"")</f>
      </c>
      <c r="FQ32" s="1304">
        <f>IFERROR(FQ31/IS!FQ24,"")</f>
      </c>
      <c r="FR32" s="1304">
        <f>IFERROR(FR31/IS!FR24,"")</f>
      </c>
      <c r="FS32" s="1304">
        <f>IFERROR(FS31/IS!FS24,"")</f>
      </c>
      <c r="FT32" s="1304">
        <f>IFERROR(FT31/IS!FT24,"")</f>
      </c>
      <c r="FU32" s="1305">
        <f>IFERROR(FU31/IS!FU24,"")</f>
      </c>
      <c r="FV32" s="1304">
        <f>IFERROR(FV31/IS!FV24,"")</f>
      </c>
      <c r="FW32" s="1304">
        <f>IFERROR(FW31/IS!FW24,"")</f>
      </c>
      <c r="FX32" s="1304">
        <f>IFERROR(FX31/IS!FX24,"")</f>
      </c>
      <c r="FY32" s="1304">
        <f>IFERROR(FY31/IS!FY24,"")</f>
      </c>
      <c r="FZ32" s="1305">
        <f>IFERROR(FZ31/IS!FZ24,"")</f>
      </c>
      <c r="GA32" s="1304">
        <f>IFERROR(GA31/IS!GA24,"")</f>
      </c>
      <c r="GB32" s="1304">
        <f>IFERROR(GB31/IS!GB24,"")</f>
      </c>
      <c r="GC32" s="1304">
        <f>IFERROR(GC31/IS!GC24,"")</f>
      </c>
      <c r="GD32" s="1304">
        <f>IFERROR(GD31/IS!GD24,"")</f>
      </c>
      <c r="GE32" s="1305">
        <f>IFERROR(GE31/IS!GE24,"")</f>
      </c>
      <c r="GF32" s="1304">
        <f>IFERROR(GF31/IS!GF24,"")</f>
      </c>
      <c r="GG32" s="1304">
        <f>IFERROR(GG31/IS!GG24,"")</f>
      </c>
      <c r="GH32" s="1304">
        <f>IFERROR(GH31/IS!GH24,"")</f>
      </c>
      <c r="GI32" s="1304">
        <f>IFERROR(GI31/IS!GI24,"")</f>
      </c>
      <c r="GJ32" s="1305">
        <f>IFERROR(GJ31/IS!GJ24,"")</f>
      </c>
    </row>
    <row r="33" spans="1:192" s="135" customFormat="1" ht="12.75" customHeight="1">
      <c r="A33" s="134"/>
      <c r="B33" s="782"/>
      <c r="C33" s="776"/>
      <c r="D33" s="776"/>
      <c r="E33" s="776"/>
      <c r="F33" s="776"/>
      <c r="G33" s="264"/>
      <c r="H33" s="776"/>
      <c r="I33" s="776"/>
      <c r="J33" s="776"/>
      <c r="K33" s="776"/>
      <c r="L33" s="264"/>
      <c r="M33" s="776"/>
      <c r="N33" s="776"/>
      <c r="O33" s="776"/>
      <c r="P33" s="776"/>
      <c r="Q33" s="264"/>
      <c r="R33" s="776"/>
      <c r="S33" s="776"/>
      <c r="T33" s="776"/>
      <c r="U33" s="776"/>
      <c r="V33" s="264"/>
      <c r="W33" s="776"/>
      <c r="X33" s="776"/>
      <c r="Y33" s="776"/>
      <c r="Z33" s="776"/>
      <c r="AA33" s="264"/>
      <c r="AB33" s="776"/>
      <c r="AC33" s="776"/>
      <c r="AD33" s="776"/>
      <c r="AE33" s="776"/>
      <c r="AF33" s="264"/>
      <c r="AG33" s="776"/>
      <c r="AH33" s="776"/>
      <c r="AI33" s="776"/>
      <c r="AJ33" s="776"/>
      <c r="AK33" s="264"/>
      <c r="AL33" s="776"/>
      <c r="AM33" s="776"/>
      <c r="AN33" s="776"/>
      <c r="AO33" s="776"/>
      <c r="AP33" s="264"/>
      <c r="AQ33" s="776"/>
      <c r="AR33" s="776"/>
      <c r="AS33" s="776"/>
      <c r="AT33" s="776"/>
      <c r="AU33" s="264"/>
      <c r="AV33" s="776"/>
      <c r="AW33" s="776"/>
      <c r="AX33" s="776"/>
      <c r="AY33" s="776"/>
      <c r="AZ33" s="264"/>
      <c r="BA33" s="776"/>
      <c r="BB33" s="776"/>
      <c r="BC33" s="776"/>
      <c r="BD33" s="776"/>
      <c r="BE33" s="264"/>
      <c r="BF33" s="776"/>
      <c r="BG33" s="776"/>
      <c r="BH33" s="776"/>
      <c r="BI33" s="776"/>
      <c r="BJ33" s="264"/>
      <c r="BK33" s="776"/>
      <c r="BL33" s="776"/>
      <c r="BM33" s="776"/>
      <c r="BN33" s="776"/>
      <c r="BO33" s="264"/>
      <c r="BP33" s="776"/>
      <c r="BQ33" s="776"/>
      <c r="BR33" s="776"/>
      <c r="BS33" s="776"/>
      <c r="BT33" s="264"/>
      <c r="BU33" s="776"/>
      <c r="BV33" s="776"/>
      <c r="BW33" s="776"/>
      <c r="BX33" s="776"/>
      <c r="BY33" s="264"/>
      <c r="BZ33" s="776"/>
      <c r="CA33" s="776"/>
      <c r="CB33" s="776"/>
      <c r="CC33" s="776"/>
      <c r="CD33" s="264"/>
      <c r="CE33" s="776"/>
      <c r="CF33" s="776"/>
      <c r="CG33" s="776"/>
      <c r="CH33" s="776"/>
      <c r="CI33" s="264"/>
      <c r="CJ33" s="776"/>
      <c r="CK33" s="776"/>
      <c r="CL33" s="776"/>
      <c r="CM33" s="776"/>
      <c r="CN33" s="264"/>
      <c r="CO33" s="776"/>
      <c r="CP33" s="776"/>
      <c r="CQ33" s="776"/>
      <c r="CR33" s="776"/>
      <c r="CS33" s="264"/>
      <c r="CT33" s="776"/>
      <c r="CU33" s="776"/>
      <c r="CV33" s="776"/>
      <c r="CW33" s="776"/>
      <c r="CX33" s="264"/>
      <c r="CY33" s="776"/>
      <c r="CZ33" s="776"/>
      <c r="DA33" s="776"/>
      <c r="DB33" s="776"/>
      <c r="DC33" s="264"/>
      <c r="DD33" s="776"/>
      <c r="DE33" s="776"/>
      <c r="DF33" s="776"/>
      <c r="DG33" s="776"/>
      <c r="DH33" s="264"/>
      <c r="DI33" s="776"/>
      <c r="DJ33" s="776"/>
      <c r="DK33" s="776"/>
      <c r="DL33" s="776"/>
      <c r="DM33" s="264"/>
      <c r="DN33" s="776"/>
      <c r="DO33" s="776"/>
      <c r="DP33" s="776"/>
      <c r="DQ33" s="776"/>
      <c r="DR33" s="264"/>
      <c r="DS33" s="776"/>
      <c r="DT33" s="776"/>
      <c r="DU33" s="776"/>
      <c r="DV33" s="776"/>
      <c r="DW33" s="264"/>
      <c r="DX33" s="776"/>
      <c r="DY33" s="776"/>
      <c r="DZ33" s="776"/>
      <c r="EA33" s="776"/>
      <c r="EB33" s="264"/>
      <c r="EC33" s="776"/>
      <c r="ED33" s="776"/>
      <c r="EE33" s="776"/>
      <c r="EF33" s="776"/>
      <c r="EG33" s="264"/>
      <c r="EH33" s="776"/>
      <c r="EI33" s="776"/>
      <c r="EJ33" s="776"/>
      <c r="EK33" s="776"/>
      <c r="EL33" s="264"/>
      <c r="EM33" s="776"/>
      <c r="EN33" s="776"/>
      <c r="EO33" s="776"/>
      <c r="EP33" s="776"/>
      <c r="EQ33" s="264"/>
      <c r="ER33" s="776"/>
      <c r="ES33" s="776"/>
      <c r="ET33" s="776"/>
      <c r="EU33" s="776"/>
      <c r="EV33" s="264"/>
      <c r="EW33" s="1599"/>
      <c r="EX33" s="776"/>
      <c r="EY33" s="776"/>
      <c r="EZ33" s="776"/>
      <c r="FA33" s="264"/>
      <c r="FB33" s="776"/>
      <c r="FC33" s="776"/>
      <c r="FD33" s="776"/>
      <c r="FE33" s="776"/>
      <c r="FF33" s="264"/>
      <c r="FG33" s="776"/>
      <c r="FH33" s="776"/>
      <c r="FI33" s="776"/>
      <c r="FJ33" s="776"/>
      <c r="FK33" s="264"/>
      <c r="FL33" s="776"/>
      <c r="FM33" s="776"/>
      <c r="FN33" s="776"/>
      <c r="FO33" s="776"/>
      <c r="FP33" s="264"/>
      <c r="FQ33" s="776"/>
      <c r="FR33" s="776"/>
      <c r="FS33" s="776"/>
      <c r="FT33" s="776"/>
      <c r="FU33" s="264"/>
      <c r="FV33" s="776"/>
      <c r="FW33" s="776"/>
      <c r="FX33" s="776"/>
      <c r="FY33" s="776"/>
      <c r="FZ33" s="264"/>
      <c r="GA33" s="776"/>
      <c r="GB33" s="776"/>
      <c r="GC33" s="776"/>
      <c r="GD33" s="776"/>
      <c r="GE33" s="264"/>
      <c r="GF33" s="776"/>
      <c r="GG33" s="776"/>
      <c r="GH33" s="776"/>
      <c r="GI33" s="776"/>
      <c r="GJ33" s="264"/>
    </row>
    <row r="34" spans="1:192" s="277" customFormat="1" ht="12.75" customHeight="1">
      <c r="A34" s="274"/>
      <c r="B34" s="703" t="s">
        <v>114</v>
      </c>
      <c r="C34" s="935"/>
      <c r="D34" s="372"/>
      <c r="E34" s="372"/>
      <c r="F34" s="493"/>
      <c r="G34" s="635"/>
      <c r="H34" s="935"/>
      <c r="I34" s="372"/>
      <c r="J34" s="372"/>
      <c r="K34" s="493"/>
      <c r="L34" s="635"/>
      <c r="M34" s="935"/>
      <c r="N34" s="372"/>
      <c r="O34" s="372"/>
      <c r="P34" s="493"/>
      <c r="Q34" s="635"/>
      <c r="R34" s="935"/>
      <c r="S34" s="372"/>
      <c r="T34" s="372"/>
      <c r="U34" s="493"/>
      <c r="V34" s="635"/>
      <c r="W34" s="935"/>
      <c r="X34" s="372"/>
      <c r="Y34" s="372"/>
      <c r="Z34" s="493"/>
      <c r="AA34" s="635"/>
      <c r="AB34" s="935"/>
      <c r="AC34" s="372"/>
      <c r="AD34" s="372"/>
      <c r="AE34" s="493"/>
      <c r="AF34" s="635"/>
      <c r="AG34" s="935"/>
      <c r="AH34" s="372"/>
      <c r="AI34" s="372"/>
      <c r="AJ34" s="493"/>
      <c r="AK34" s="635"/>
      <c r="AL34" s="935"/>
      <c r="AM34" s="372"/>
      <c r="AN34" s="372"/>
      <c r="AO34" s="493"/>
      <c r="AP34" s="635"/>
      <c r="AQ34" s="935"/>
      <c r="AR34" s="372"/>
      <c r="AS34" s="372"/>
      <c r="AT34" s="493"/>
      <c r="AU34" s="635"/>
      <c r="AV34" s="935"/>
      <c r="AW34" s="372"/>
      <c r="AX34" s="372"/>
      <c r="AY34" s="493"/>
      <c r="AZ34" s="635"/>
      <c r="BA34" s="935"/>
      <c r="BB34" s="372"/>
      <c r="BC34" s="372"/>
      <c r="BD34" s="493"/>
      <c r="BE34" s="635"/>
      <c r="BF34" s="935"/>
      <c r="BG34" s="372"/>
      <c r="BH34" s="372"/>
      <c r="BI34" s="493"/>
      <c r="BJ34" s="635"/>
      <c r="BK34" s="935"/>
      <c r="BL34" s="372"/>
      <c r="BM34" s="372"/>
      <c r="BN34" s="493"/>
      <c r="BO34" s="635"/>
      <c r="BP34" s="935"/>
      <c r="BQ34" s="935"/>
      <c r="BR34" s="935"/>
      <c r="BS34" s="935"/>
      <c r="BT34" s="635"/>
      <c r="BU34" s="935"/>
      <c r="BV34" s="935"/>
      <c r="BW34" s="935"/>
      <c r="BX34" s="935"/>
      <c r="BY34" s="635"/>
      <c r="BZ34" s="935"/>
      <c r="CA34" s="935"/>
      <c r="CB34" s="935"/>
      <c r="CC34" s="935"/>
      <c r="CD34" s="635"/>
      <c r="CE34" s="935"/>
      <c r="CF34" s="935"/>
      <c r="CG34" s="935"/>
      <c r="CH34" s="935"/>
      <c r="CI34" s="635"/>
      <c r="CJ34" s="935"/>
      <c r="CK34" s="935"/>
      <c r="CL34" s="935"/>
      <c r="CM34" s="935"/>
      <c r="CN34" s="635"/>
      <c r="CO34" s="935"/>
      <c r="CP34" s="935"/>
      <c r="CQ34" s="935"/>
      <c r="CR34" s="935"/>
      <c r="CS34" s="635"/>
      <c r="CT34" s="935"/>
      <c r="CU34" s="935"/>
      <c r="CV34" s="935"/>
      <c r="CW34" s="935"/>
      <c r="CX34" s="635"/>
      <c r="CY34" s="935"/>
      <c r="CZ34" s="935"/>
      <c r="DA34" s="935"/>
      <c r="DB34" s="935"/>
      <c r="DC34" s="635"/>
      <c r="DD34" s="935"/>
      <c r="DE34" s="935"/>
      <c r="DF34" s="935"/>
      <c r="DG34" s="935"/>
      <c r="DH34" s="635"/>
      <c r="DI34" s="935"/>
      <c r="DJ34" s="935"/>
      <c r="DK34" s="935"/>
      <c r="DL34" s="935"/>
      <c r="DM34" s="635"/>
      <c r="DN34" s="935"/>
      <c r="DO34" s="935"/>
      <c r="DP34" s="935"/>
      <c r="DQ34" s="935"/>
      <c r="DR34" s="635"/>
      <c r="DS34" s="935"/>
      <c r="DT34" s="935"/>
      <c r="DU34" s="935"/>
      <c r="DV34" s="935"/>
      <c r="DW34" s="635"/>
      <c r="DX34" s="935"/>
      <c r="DY34" s="935"/>
      <c r="DZ34" s="935"/>
      <c r="EA34" s="935"/>
      <c r="EB34" s="635"/>
      <c r="EC34" s="935"/>
      <c r="ED34" s="935"/>
      <c r="EE34" s="935"/>
      <c r="EF34" s="935"/>
      <c r="EG34" s="635"/>
      <c r="EH34" s="935"/>
      <c r="EI34" s="935"/>
      <c r="EJ34" s="935"/>
      <c r="EK34" s="935"/>
      <c r="EL34" s="635"/>
      <c r="EM34" s="935"/>
      <c r="EN34" s="935"/>
      <c r="EO34" s="935"/>
      <c r="EP34" s="935"/>
      <c r="EQ34" s="635"/>
      <c r="ER34" s="935"/>
      <c r="ES34" s="957"/>
      <c r="ET34" s="1403"/>
      <c r="EU34" s="935"/>
      <c r="EV34" s="635"/>
      <c r="EW34" s="1403"/>
      <c r="EX34" s="372"/>
      <c r="EY34" s="372"/>
      <c r="EZ34" s="493"/>
      <c r="FA34" s="635"/>
      <c r="FB34" s="935"/>
      <c r="FC34" s="372"/>
      <c r="FD34" s="372"/>
      <c r="FE34" s="493"/>
      <c r="FF34" s="635"/>
      <c r="FG34" s="935"/>
      <c r="FH34" s="372"/>
      <c r="FI34" s="372"/>
      <c r="FJ34" s="493"/>
      <c r="FK34" s="635"/>
      <c r="FL34" s="935"/>
      <c r="FM34" s="372"/>
      <c r="FN34" s="372"/>
      <c r="FO34" s="493"/>
      <c r="FP34" s="635"/>
      <c r="FQ34" s="935"/>
      <c r="FR34" s="372"/>
      <c r="FS34" s="372"/>
      <c r="FT34" s="493"/>
      <c r="FU34" s="635"/>
      <c r="FV34" s="935"/>
      <c r="FW34" s="372"/>
      <c r="FX34" s="372"/>
      <c r="FY34" s="493"/>
      <c r="FZ34" s="635"/>
      <c r="GA34" s="935"/>
      <c r="GB34" s="372"/>
      <c r="GC34" s="372"/>
      <c r="GD34" s="493"/>
      <c r="GE34" s="635"/>
      <c r="GF34" s="935"/>
      <c r="GG34" s="372"/>
      <c r="GH34" s="372"/>
      <c r="GI34" s="493"/>
      <c r="GJ34" s="635"/>
    </row>
    <row r="35" spans="1:192" s="277" customFormat="1" ht="12.75" hidden="1" customHeight="1" outlineLevel="1">
      <c r="A35" s="274"/>
      <c r="B35" s="705" t="s">
        <v>139</v>
      </c>
      <c r="C35" s="633">
        <v>0</v>
      </c>
      <c r="D35" s="633">
        <v>0</v>
      </c>
      <c r="E35" s="633">
        <v>0</v>
      </c>
      <c r="F35" s="633">
        <v>0</v>
      </c>
      <c r="G35" s="901">
        <f t="shared" ref="G35:G46" si="76">SUM(C35:F35)</f>
      </c>
      <c r="H35" s="633">
        <v>0</v>
      </c>
      <c r="I35" s="633">
        <v>0</v>
      </c>
      <c r="J35" s="633">
        <v>0</v>
      </c>
      <c r="K35" s="633">
        <v>0</v>
      </c>
      <c r="L35" s="901">
        <f t="shared" ref="L35:L46" si="77">SUM(H35:K35)</f>
      </c>
      <c r="M35" s="633">
        <v>0</v>
      </c>
      <c r="N35" s="633">
        <v>0</v>
      </c>
      <c r="O35" s="633">
        <v>0</v>
      </c>
      <c r="P35" s="633">
        <v>0</v>
      </c>
      <c r="Q35" s="901">
        <f t="shared" ref="Q35:Q46" si="78">SUM(M35:P35)</f>
      </c>
      <c r="R35" s="633">
        <v>0</v>
      </c>
      <c r="S35" s="633">
        <v>0</v>
      </c>
      <c r="T35" s="633">
        <v>0</v>
      </c>
      <c r="U35" s="633">
        <v>0</v>
      </c>
      <c r="V35" s="901">
        <f t="shared" ref="V35:V40" si="79">SUM(R35:U35)</f>
      </c>
      <c r="W35" s="633">
        <v>0</v>
      </c>
      <c r="X35" s="633">
        <v>0</v>
      </c>
      <c r="Y35" s="633">
        <v>0</v>
      </c>
      <c r="Z35" s="633">
        <v>0</v>
      </c>
      <c r="AA35" s="901">
        <f t="shared" ref="AA35:AA46" si="80">SUM(W35:Z35)</f>
      </c>
      <c r="AB35" s="633">
        <v>0</v>
      </c>
      <c r="AC35" s="633">
        <v>0</v>
      </c>
      <c r="AD35" s="633">
        <v>0</v>
      </c>
      <c r="AE35" s="633">
        <v>0</v>
      </c>
      <c r="AF35" s="901">
        <f t="shared" ref="AF35:AF40" si="81">SUM(AB35:AE35)</f>
      </c>
      <c r="AG35" s="633">
        <v>0</v>
      </c>
      <c r="AH35" s="633">
        <v>0</v>
      </c>
      <c r="AI35" s="633">
        <v>0</v>
      </c>
      <c r="AJ35" s="633">
        <v>0</v>
      </c>
      <c r="AK35" s="901">
        <f t="shared" ref="AK35:AK40" si="82">SUM(AG35:AJ35)</f>
      </c>
      <c r="AL35" s="633">
        <v>0</v>
      </c>
      <c r="AM35" s="633">
        <v>0</v>
      </c>
      <c r="AN35" s="633">
        <v>0</v>
      </c>
      <c r="AO35" s="633">
        <v>0</v>
      </c>
      <c r="AP35" s="901">
        <f t="shared" ref="AP35:AP46" si="83">SUM(AL35:AO35)</f>
      </c>
      <c r="AQ35" s="633">
        <v>0</v>
      </c>
      <c r="AR35" s="633">
        <v>0</v>
      </c>
      <c r="AS35" s="633">
        <v>0</v>
      </c>
      <c r="AT35" s="633">
        <v>0</v>
      </c>
      <c r="AU35" s="901">
        <f t="shared" ref="AU35:AU40" si="84">SUM(AQ35:AT35)</f>
      </c>
      <c r="AV35" s="633">
        <v>0</v>
      </c>
      <c r="AW35" s="633">
        <v>0</v>
      </c>
      <c r="AX35" s="633">
        <v>0</v>
      </c>
      <c r="AY35" s="633">
        <v>0</v>
      </c>
      <c r="AZ35" s="901">
        <f t="shared" ref="AZ35:AZ40" si="85">SUM(AV35:AY35)</f>
      </c>
      <c r="BA35" s="633">
        <v>0</v>
      </c>
      <c r="BB35" s="633">
        <v>0</v>
      </c>
      <c r="BC35" s="633">
        <v>0</v>
      </c>
      <c r="BD35" s="633">
        <v>0</v>
      </c>
      <c r="BE35" s="901">
        <f t="shared" ref="BE35:BE40" si="86">SUM(BA35:BD35)</f>
      </c>
      <c r="BF35" s="633">
        <v>0</v>
      </c>
      <c r="BG35" s="633">
        <v>0</v>
      </c>
      <c r="BH35" s="633">
        <v>0</v>
      </c>
      <c r="BI35" s="633">
        <v>0</v>
      </c>
      <c r="BJ35" s="901">
        <f t="shared" ref="BJ35:BJ46" si="87">SUM(BF35:BI35)</f>
      </c>
      <c r="BK35" s="633">
        <v>0</v>
      </c>
      <c r="BL35" s="633">
        <v>0</v>
      </c>
      <c r="BM35" s="633">
        <v>0</v>
      </c>
      <c r="BN35" s="633">
        <v>0</v>
      </c>
      <c r="BO35" s="901">
        <f t="shared" ref="BO35:BO57" si="88">SUM(BK35:BN35)</f>
      </c>
      <c r="BP35" s="633">
        <v>0</v>
      </c>
      <c r="BQ35" s="633">
        <v>0</v>
      </c>
      <c r="BR35" s="633">
        <v>0</v>
      </c>
      <c r="BS35" s="633">
        <v>0</v>
      </c>
      <c r="BT35" s="901">
        <f t="shared" ref="BT35:BT57" si="89">SUM(BP35:BS35)</f>
      </c>
      <c r="BU35" s="633">
        <v>1975</v>
      </c>
      <c r="BV35" s="633">
        <v>21</v>
      </c>
      <c r="BW35" s="633">
        <v>-329</v>
      </c>
      <c r="BX35" s="633">
        <v>-489</v>
      </c>
      <c r="BY35" s="901">
        <f t="shared" ref="BY35:BY57" si="90">SUM(BU35:BX35)</f>
      </c>
      <c r="BZ35" s="633">
        <v>378</v>
      </c>
      <c r="CA35" s="633">
        <v>-475</v>
      </c>
      <c r="CB35" s="633">
        <v>-349</v>
      </c>
      <c r="CC35" s="633">
        <v>-545</v>
      </c>
      <c r="CD35" s="901">
        <f>SUM(BZ35:CC35)</f>
      </c>
      <c r="CE35" s="633">
        <v>0</v>
      </c>
      <c r="CF35" s="633">
        <v>0</v>
      </c>
      <c r="CG35" s="633">
        <v>0</v>
      </c>
      <c r="CH35" s="633">
        <v>0</v>
      </c>
      <c r="CI35" s="901">
        <f t="shared" ref="CI35:CI46" si="91">SUM(CE35:CH35)</f>
      </c>
      <c r="CJ35" s="633">
        <v>0</v>
      </c>
      <c r="CK35" s="633">
        <v>0</v>
      </c>
      <c r="CL35" s="633">
        <v>0</v>
      </c>
      <c r="CM35" s="633">
        <v>0</v>
      </c>
      <c r="CN35" s="901">
        <f>SUM(CJ35:CM35)</f>
      </c>
      <c r="CO35" s="633">
        <v>0</v>
      </c>
      <c r="CP35" s="633">
        <v>0</v>
      </c>
      <c r="CQ35" s="633">
        <v>0</v>
      </c>
      <c r="CR35" s="633">
        <v>0</v>
      </c>
      <c r="CS35" s="901">
        <f t="shared" ref="CS35:CS46" si="92">SUM(CO35:CR35)</f>
      </c>
      <c r="CT35" s="633">
        <v>0</v>
      </c>
      <c r="CU35" s="633">
        <v>0</v>
      </c>
      <c r="CV35" s="633">
        <v>0</v>
      </c>
      <c r="CW35" s="633">
        <v>0</v>
      </c>
      <c r="CX35" s="901">
        <f>SUM(CT35:CW35)</f>
      </c>
      <c r="CY35" s="633">
        <v>0</v>
      </c>
      <c r="CZ35" s="633">
        <v>0</v>
      </c>
      <c r="DA35" s="633">
        <v>0</v>
      </c>
      <c r="DB35" s="633">
        <v>0</v>
      </c>
      <c r="DC35" s="901">
        <f t="shared" ref="DC35:DC46" si="93">SUM(CY35:DB35)</f>
      </c>
      <c r="DD35" s="633">
        <v>0</v>
      </c>
      <c r="DE35" s="633">
        <v>-7031</v>
      </c>
      <c r="DF35" s="633">
        <v>2622</v>
      </c>
      <c r="DG35" s="633">
        <v>0</v>
      </c>
      <c r="DH35" s="901">
        <f>SUM(DD35:DG35)</f>
      </c>
      <c r="DI35" s="633">
        <v>-3390</v>
      </c>
      <c r="DJ35" s="633">
        <v>-3755</v>
      </c>
      <c r="DK35" s="633">
        <v>-1302</v>
      </c>
      <c r="DL35" s="633">
        <v>3484</v>
      </c>
      <c r="DM35" s="901">
        <f t="shared" ref="DM35:DM46" si="94">SUM(DI35:DL35)</f>
      </c>
      <c r="DN35" s="633">
        <v>0</v>
      </c>
      <c r="DO35" s="633">
        <v>0</v>
      </c>
      <c r="DP35" s="633">
        <v>0</v>
      </c>
      <c r="DQ35" s="633">
        <v>0</v>
      </c>
      <c r="DR35" s="901">
        <f>SUM(DN35:DQ35)</f>
      </c>
      <c r="DS35" s="633">
        <v>0</v>
      </c>
      <c r="DT35" s="633">
        <v>0</v>
      </c>
      <c r="DU35" s="633">
        <v>0</v>
      </c>
      <c r="DV35" s="633">
        <v>0</v>
      </c>
      <c r="DW35" s="901">
        <f>SUM(DS35:DV35)</f>
      </c>
      <c r="DX35" s="633">
        <v>0</v>
      </c>
      <c r="DY35" s="633">
        <v>0</v>
      </c>
      <c r="DZ35" s="633">
        <v>0</v>
      </c>
      <c r="EA35" s="633">
        <v>0</v>
      </c>
      <c r="EB35" s="901">
        <f t="shared" ref="EB35:EB46" si="95">SUM(DX35:EA35)</f>
      </c>
      <c r="EC35" s="633">
        <v>0</v>
      </c>
      <c r="ED35" s="633">
        <v>0</v>
      </c>
      <c r="EE35" s="633">
        <v>0</v>
      </c>
      <c r="EF35" s="633">
        <v>0</v>
      </c>
      <c r="EG35" s="901">
        <f t="shared" ref="EG35:EG46" si="96">SUM(EC35:EF35)</f>
      </c>
      <c r="EH35" s="633">
        <v>0</v>
      </c>
      <c r="EI35" s="633">
        <v>0</v>
      </c>
      <c r="EJ35" s="633">
        <v>0</v>
      </c>
      <c r="EK35" s="633">
        <v>0</v>
      </c>
      <c r="EL35" s="901">
        <f t="shared" ref="EL35:EL46" si="97">SUM(EH35:EK35)</f>
      </c>
      <c r="EM35" s="633">
        <v>0</v>
      </c>
      <c r="EN35" s="633">
        <v>0</v>
      </c>
      <c r="EO35" s="633">
        <v>0</v>
      </c>
      <c r="EP35" s="633">
        <v>0</v>
      </c>
      <c r="EQ35" s="901">
        <f t="shared" ref="EQ35:EQ46" si="98">SUM(EM35:EP35)</f>
      </c>
      <c r="ER35" s="633">
        <v>0</v>
      </c>
      <c r="ES35" s="633">
        <v>0</v>
      </c>
      <c r="ET35" s="954">
        <v>0</v>
      </c>
      <c r="EU35" s="954">
        <v>0</v>
      </c>
      <c r="EV35" s="901">
        <f>SUM(ER35:EU35)</f>
      </c>
      <c r="EW35" s="1600">
        <v>0</v>
      </c>
      <c r="EX35" s="815">
        <v>0</v>
      </c>
      <c r="EY35" s="815">
        <v>0</v>
      </c>
      <c r="EZ35" s="815">
        <v>0</v>
      </c>
      <c r="FA35" s="901">
        <f>SUM(EW35:EZ35)</f>
      </c>
      <c r="FB35" s="935"/>
      <c r="FC35" s="372"/>
      <c r="FD35" s="372"/>
      <c r="FE35" s="493"/>
      <c r="FF35" s="901">
        <f>SUM(FB35:FE35)</f>
      </c>
      <c r="FG35" s="935"/>
      <c r="FH35" s="372"/>
      <c r="FI35" s="372"/>
      <c r="FJ35" s="493"/>
      <c r="FK35" s="901">
        <f>SUM(FG35:FJ35)</f>
      </c>
      <c r="FL35" s="935"/>
      <c r="FM35" s="372"/>
      <c r="FN35" s="372"/>
      <c r="FO35" s="493"/>
      <c r="FP35" s="901">
        <f>SUM(FL35:FO35)</f>
      </c>
      <c r="FQ35" s="935"/>
      <c r="FR35" s="372"/>
      <c r="FS35" s="372"/>
      <c r="FT35" s="493"/>
      <c r="FU35" s="901">
        <f>SUM(FQ35:FT35)</f>
      </c>
      <c r="FV35" s="935"/>
      <c r="FW35" s="372"/>
      <c r="FX35" s="372"/>
      <c r="FY35" s="493"/>
      <c r="FZ35" s="901">
        <f>SUM(FV35:FY35)</f>
      </c>
      <c r="GA35" s="935"/>
      <c r="GB35" s="372"/>
      <c r="GC35" s="372"/>
      <c r="GD35" s="493"/>
      <c r="GE35" s="901">
        <f>SUM(GA35:GD35)</f>
      </c>
      <c r="GF35" s="935"/>
      <c r="GG35" s="372"/>
      <c r="GH35" s="372"/>
      <c r="GI35" s="493"/>
      <c r="GJ35" s="901">
        <f>SUM(GF35:GI35)</f>
      </c>
    </row>
    <row r="36" spans="1:192" s="277" customFormat="1" ht="12.75" customHeight="1" collapsed="1">
      <c r="A36" s="274"/>
      <c r="B36" s="1452" t="s">
        <v>133</v>
      </c>
      <c r="C36" s="633">
        <v>0</v>
      </c>
      <c r="D36" s="633">
        <v>0</v>
      </c>
      <c r="E36" s="633">
        <v>0</v>
      </c>
      <c r="F36" s="633">
        <v>0</v>
      </c>
      <c r="G36" s="901">
        <f t="shared" si="76"/>
      </c>
      <c r="H36" s="633">
        <v>0</v>
      </c>
      <c r="I36" s="633">
        <v>0</v>
      </c>
      <c r="J36" s="633">
        <v>0</v>
      </c>
      <c r="K36" s="633">
        <v>0</v>
      </c>
      <c r="L36" s="901">
        <f t="shared" si="77"/>
      </c>
      <c r="M36" s="633">
        <v>0</v>
      </c>
      <c r="N36" s="633">
        <v>0</v>
      </c>
      <c r="O36" s="633">
        <v>0</v>
      </c>
      <c r="P36" s="633">
        <v>0</v>
      </c>
      <c r="Q36" s="901">
        <f t="shared" si="78"/>
      </c>
      <c r="R36" s="633">
        <v>0</v>
      </c>
      <c r="S36" s="633">
        <v>0</v>
      </c>
      <c r="T36" s="633">
        <v>0</v>
      </c>
      <c r="U36" s="633">
        <v>0</v>
      </c>
      <c r="V36" s="901">
        <f t="shared" si="79"/>
      </c>
      <c r="W36" s="633">
        <v>0</v>
      </c>
      <c r="X36" s="633">
        <v>0</v>
      </c>
      <c r="Y36" s="633">
        <v>0</v>
      </c>
      <c r="Z36" s="633">
        <v>0</v>
      </c>
      <c r="AA36" s="901">
        <f t="shared" si="80"/>
      </c>
      <c r="AB36" s="633">
        <v>0</v>
      </c>
      <c r="AC36" s="633">
        <v>0</v>
      </c>
      <c r="AD36" s="633">
        <v>0</v>
      </c>
      <c r="AE36" s="633">
        <v>0</v>
      </c>
      <c r="AF36" s="901">
        <f t="shared" si="81"/>
      </c>
      <c r="AG36" s="633">
        <v>0</v>
      </c>
      <c r="AH36" s="633">
        <v>0</v>
      </c>
      <c r="AI36" s="633">
        <v>0</v>
      </c>
      <c r="AJ36" s="633">
        <v>0</v>
      </c>
      <c r="AK36" s="901">
        <f t="shared" si="82"/>
      </c>
      <c r="AL36" s="633">
        <v>0</v>
      </c>
      <c r="AM36" s="633">
        <v>0</v>
      </c>
      <c r="AN36" s="633">
        <v>0</v>
      </c>
      <c r="AO36" s="633">
        <v>0</v>
      </c>
      <c r="AP36" s="901">
        <f t="shared" si="83"/>
      </c>
      <c r="AQ36" s="633">
        <v>0</v>
      </c>
      <c r="AR36" s="633">
        <v>0</v>
      </c>
      <c r="AS36" s="633">
        <v>0</v>
      </c>
      <c r="AT36" s="633">
        <v>0</v>
      </c>
      <c r="AU36" s="901">
        <f t="shared" si="84"/>
      </c>
      <c r="AV36" s="633">
        <v>0</v>
      </c>
      <c r="AW36" s="633">
        <v>0</v>
      </c>
      <c r="AX36" s="633">
        <v>0</v>
      </c>
      <c r="AY36" s="633">
        <v>0</v>
      </c>
      <c r="AZ36" s="901">
        <f t="shared" si="85"/>
      </c>
      <c r="BA36" s="633">
        <v>0</v>
      </c>
      <c r="BB36" s="633">
        <v>0</v>
      </c>
      <c r="BC36" s="633">
        <v>0</v>
      </c>
      <c r="BD36" s="633">
        <v>0</v>
      </c>
      <c r="BE36" s="901">
        <f t="shared" si="86"/>
      </c>
      <c r="BF36" s="633">
        <v>0</v>
      </c>
      <c r="BG36" s="633">
        <v>0</v>
      </c>
      <c r="BH36" s="633">
        <v>0</v>
      </c>
      <c r="BI36" s="633">
        <v>0</v>
      </c>
      <c r="BJ36" s="901">
        <f t="shared" si="87"/>
      </c>
      <c r="BK36" s="633">
        <v>0</v>
      </c>
      <c r="BL36" s="633">
        <v>0</v>
      </c>
      <c r="BM36" s="633">
        <v>0</v>
      </c>
      <c r="BN36" s="633">
        <v>0</v>
      </c>
      <c r="BO36" s="901">
        <f t="shared" si="88"/>
      </c>
      <c r="BP36" s="633">
        <v>0</v>
      </c>
      <c r="BQ36" s="633">
        <v>0</v>
      </c>
      <c r="BR36" s="633">
        <v>0</v>
      </c>
      <c r="BS36" s="633">
        <v>0</v>
      </c>
      <c r="BT36" s="901">
        <f t="shared" si="89"/>
      </c>
      <c r="BU36" s="633">
        <v>0</v>
      </c>
      <c r="BV36" s="633">
        <v>0</v>
      </c>
      <c r="BW36" s="633">
        <v>0</v>
      </c>
      <c r="BX36" s="633">
        <v>0</v>
      </c>
      <c r="BY36" s="901">
        <f t="shared" si="90"/>
      </c>
      <c r="BZ36" s="633">
        <v>0</v>
      </c>
      <c r="CA36" s="633">
        <v>0</v>
      </c>
      <c r="CB36" s="633">
        <v>0</v>
      </c>
      <c r="CC36" s="633">
        <v>0</v>
      </c>
      <c r="CD36" s="901">
        <f t="shared" ref="CD36:CD57" si="99">SUM(BZ36:CC36)</f>
      </c>
      <c r="CE36" s="633">
        <v>814</v>
      </c>
      <c r="CF36" s="633">
        <v>0</v>
      </c>
      <c r="CG36" s="633">
        <v>0</v>
      </c>
      <c r="CH36" s="633">
        <v>0</v>
      </c>
      <c r="CI36" s="901">
        <f t="shared" si="91"/>
      </c>
      <c r="CJ36" s="633">
        <v>0</v>
      </c>
      <c r="CK36" s="633">
        <v>0</v>
      </c>
      <c r="CL36" s="633">
        <v>0</v>
      </c>
      <c r="CM36" s="633">
        <v>0</v>
      </c>
      <c r="CN36" s="901">
        <f t="shared" ref="CN36:CN57" si="100">SUM(CJ36:CM36)</f>
      </c>
      <c r="CO36" s="633">
        <v>0</v>
      </c>
      <c r="CP36" s="633">
        <v>0</v>
      </c>
      <c r="CQ36" s="633">
        <v>0</v>
      </c>
      <c r="CR36" s="633">
        <v>0</v>
      </c>
      <c r="CS36" s="901">
        <f t="shared" si="92"/>
      </c>
      <c r="CT36" s="633">
        <v>712</v>
      </c>
      <c r="CU36" s="633">
        <v>0</v>
      </c>
      <c r="CV36" s="633">
        <v>0</v>
      </c>
      <c r="CW36" s="633">
        <v>500</v>
      </c>
      <c r="CX36" s="901">
        <f t="shared" ref="CX36:CX57" si="101">SUM(CT36:CW36)</f>
      </c>
      <c r="CY36" s="633">
        <v>2999</v>
      </c>
      <c r="CZ36" s="633">
        <v>4798</v>
      </c>
      <c r="DA36" s="633">
        <v>0</v>
      </c>
      <c r="DB36" s="633">
        <v>3259</v>
      </c>
      <c r="DC36" s="901">
        <f t="shared" si="93"/>
      </c>
      <c r="DD36" s="633">
        <v>4890</v>
      </c>
      <c r="DE36" s="633">
        <v>0</v>
      </c>
      <c r="DF36" s="633">
        <v>0</v>
      </c>
      <c r="DG36" s="633">
        <v>6714</v>
      </c>
      <c r="DH36" s="901">
        <f t="shared" ref="DH36:DH57" si="102">SUM(DD36:DG36)</f>
      </c>
      <c r="DI36" s="633">
        <v>0</v>
      </c>
      <c r="DJ36" s="633">
        <v>0</v>
      </c>
      <c r="DK36" s="633">
        <v>0</v>
      </c>
      <c r="DL36" s="633">
        <v>0</v>
      </c>
      <c r="DM36" s="901">
        <f t="shared" si="94"/>
      </c>
      <c r="DN36" s="633">
        <v>0</v>
      </c>
      <c r="DO36" s="633">
        <v>3759</v>
      </c>
      <c r="DP36" s="633">
        <v>0</v>
      </c>
      <c r="DQ36" s="633">
        <v>0</v>
      </c>
      <c r="DR36" s="901">
        <f t="shared" ref="DR36:DR57" si="103">SUM(DN36:DQ36)</f>
      </c>
      <c r="DS36" s="633">
        <v>0</v>
      </c>
      <c r="DT36" s="633">
        <v>0</v>
      </c>
      <c r="DU36" s="633">
        <v>0</v>
      </c>
      <c r="DV36" s="633">
        <v>0</v>
      </c>
      <c r="DW36" s="901">
        <f t="shared" ref="DW36:DW57" si="104">SUM(DS36:DV36)</f>
      </c>
      <c r="DX36" s="633">
        <v>0</v>
      </c>
      <c r="DY36" s="633">
        <v>0</v>
      </c>
      <c r="DZ36" s="633">
        <v>0</v>
      </c>
      <c r="EA36" s="633">
        <v>0</v>
      </c>
      <c r="EB36" s="901">
        <f t="shared" si="95"/>
      </c>
      <c r="EC36" s="633">
        <v>0</v>
      </c>
      <c r="ED36" s="633">
        <v>0</v>
      </c>
      <c r="EE36" s="633">
        <v>0</v>
      </c>
      <c r="EF36" s="633">
        <v>0</v>
      </c>
      <c r="EG36" s="901">
        <f t="shared" si="96"/>
      </c>
      <c r="EH36" s="633">
        <v>0</v>
      </c>
      <c r="EI36" s="633">
        <v>0</v>
      </c>
      <c r="EJ36" s="633">
        <v>0</v>
      </c>
      <c r="EK36" s="633">
        <v>0</v>
      </c>
      <c r="EL36" s="901">
        <f t="shared" si="97"/>
      </c>
      <c r="EM36" s="633">
        <v>0</v>
      </c>
      <c r="EN36" s="633">
        <v>0</v>
      </c>
      <c r="EO36" s="633">
        <v>0</v>
      </c>
      <c r="EP36" s="633">
        <v>0</v>
      </c>
      <c r="EQ36" s="901">
        <f t="shared" si="98"/>
      </c>
      <c r="ER36" s="633">
        <v>18692</v>
      </c>
      <c r="ES36" s="633">
        <v>-8490</v>
      </c>
      <c r="ET36" s="954">
        <v>-3810</v>
      </c>
      <c r="EU36" s="954">
        <v>-1142</v>
      </c>
      <c r="EV36" s="901">
        <f t="shared" ref="EV36:EV57" si="105">SUM(ER36:EU36)</f>
      </c>
      <c r="EW36" s="1600">
        <v>-5746</v>
      </c>
      <c r="EX36" s="815">
        <v>0</v>
      </c>
      <c r="EY36" s="815">
        <v>0</v>
      </c>
      <c r="EZ36" s="815">
        <v>0</v>
      </c>
      <c r="FA36" s="901">
        <f t="shared" ref="FA36:FA57" si="106">SUM(EW36:EZ36)</f>
      </c>
      <c r="FB36" s="935"/>
      <c r="FC36" s="372"/>
      <c r="FD36" s="372"/>
      <c r="FE36" s="493"/>
      <c r="FF36" s="901">
        <f t="shared" ref="FF36:FF57" si="107">SUM(FB36:FE36)</f>
      </c>
      <c r="FG36" s="935"/>
      <c r="FH36" s="372"/>
      <c r="FI36" s="372"/>
      <c r="FJ36" s="493"/>
      <c r="FK36" s="901">
        <f t="shared" ref="FK36:FK57" si="108">SUM(FG36:FJ36)</f>
      </c>
      <c r="FL36" s="935"/>
      <c r="FM36" s="372"/>
      <c r="FN36" s="372"/>
      <c r="FO36" s="493"/>
      <c r="FP36" s="901">
        <f t="shared" ref="FP36:FP57" si="109">SUM(FL36:FO36)</f>
      </c>
      <c r="FQ36" s="935"/>
      <c r="FR36" s="372"/>
      <c r="FS36" s="372"/>
      <c r="FT36" s="493"/>
      <c r="FU36" s="901">
        <f t="shared" ref="FU36:FU57" si="110">SUM(FQ36:FT36)</f>
      </c>
      <c r="FV36" s="935"/>
      <c r="FW36" s="372"/>
      <c r="FX36" s="372"/>
      <c r="FY36" s="493"/>
      <c r="FZ36" s="901">
        <f t="shared" ref="FZ36:FZ57" si="111">SUM(FV36:FY36)</f>
      </c>
      <c r="GA36" s="935"/>
      <c r="GB36" s="372"/>
      <c r="GC36" s="372"/>
      <c r="GD36" s="493"/>
      <c r="GE36" s="901">
        <f t="shared" ref="GE36:GE57" si="112">SUM(GA36:GD36)</f>
      </c>
      <c r="GF36" s="935"/>
      <c r="GG36" s="372"/>
      <c r="GH36" s="372"/>
      <c r="GI36" s="493"/>
      <c r="GJ36" s="901">
        <f t="shared" ref="GJ36:GJ45" si="113">SUM(GF36:GI36)</f>
      </c>
    </row>
    <row r="37" spans="1:192" s="277" customFormat="1" ht="12.75" hidden="1" customHeight="1" outlineLevel="1">
      <c r="A37" s="274"/>
      <c r="B37" s="1452" t="s">
        <v>138</v>
      </c>
      <c r="C37" s="633">
        <v>0</v>
      </c>
      <c r="D37" s="633">
        <v>0</v>
      </c>
      <c r="E37" s="633">
        <v>0</v>
      </c>
      <c r="F37" s="633">
        <v>0</v>
      </c>
      <c r="G37" s="901">
        <f t="shared" si="76"/>
      </c>
      <c r="H37" s="633">
        <v>0</v>
      </c>
      <c r="I37" s="633">
        <v>0</v>
      </c>
      <c r="J37" s="633">
        <v>0</v>
      </c>
      <c r="K37" s="633">
        <v>0</v>
      </c>
      <c r="L37" s="901">
        <f t="shared" si="77"/>
      </c>
      <c r="M37" s="633">
        <v>0</v>
      </c>
      <c r="N37" s="633">
        <v>0</v>
      </c>
      <c r="O37" s="633">
        <v>0</v>
      </c>
      <c r="P37" s="633">
        <v>0</v>
      </c>
      <c r="Q37" s="901">
        <f t="shared" si="78"/>
      </c>
      <c r="R37" s="633">
        <v>0</v>
      </c>
      <c r="S37" s="633">
        <v>0</v>
      </c>
      <c r="T37" s="633">
        <v>0</v>
      </c>
      <c r="U37" s="633">
        <v>0</v>
      </c>
      <c r="V37" s="901">
        <f t="shared" si="79"/>
      </c>
      <c r="W37" s="633">
        <v>0</v>
      </c>
      <c r="X37" s="633">
        <v>0</v>
      </c>
      <c r="Y37" s="633">
        <v>0</v>
      </c>
      <c r="Z37" s="633">
        <v>0</v>
      </c>
      <c r="AA37" s="901">
        <f t="shared" si="80"/>
      </c>
      <c r="AB37" s="633">
        <v>0</v>
      </c>
      <c r="AC37" s="633">
        <v>0</v>
      </c>
      <c r="AD37" s="633">
        <v>0</v>
      </c>
      <c r="AE37" s="633">
        <v>0</v>
      </c>
      <c r="AF37" s="901">
        <f t="shared" si="81"/>
      </c>
      <c r="AG37" s="633">
        <v>0</v>
      </c>
      <c r="AH37" s="633">
        <v>0</v>
      </c>
      <c r="AI37" s="633">
        <v>0</v>
      </c>
      <c r="AJ37" s="633">
        <v>0</v>
      </c>
      <c r="AK37" s="901">
        <f t="shared" si="82"/>
      </c>
      <c r="AL37" s="633">
        <v>0</v>
      </c>
      <c r="AM37" s="633">
        <v>0</v>
      </c>
      <c r="AN37" s="633">
        <v>0</v>
      </c>
      <c r="AO37" s="633">
        <v>0</v>
      </c>
      <c r="AP37" s="901">
        <f t="shared" si="83"/>
      </c>
      <c r="AQ37" s="633">
        <v>0</v>
      </c>
      <c r="AR37" s="633">
        <v>0</v>
      </c>
      <c r="AS37" s="633">
        <v>0</v>
      </c>
      <c r="AT37" s="633">
        <v>0</v>
      </c>
      <c r="AU37" s="901">
        <f t="shared" si="84"/>
      </c>
      <c r="AV37" s="633">
        <v>0</v>
      </c>
      <c r="AW37" s="633">
        <v>0</v>
      </c>
      <c r="AX37" s="633">
        <v>0</v>
      </c>
      <c r="AY37" s="633">
        <v>0</v>
      </c>
      <c r="AZ37" s="901">
        <f t="shared" si="85"/>
      </c>
      <c r="BA37" s="633">
        <v>0</v>
      </c>
      <c r="BB37" s="633">
        <v>0</v>
      </c>
      <c r="BC37" s="633">
        <v>0</v>
      </c>
      <c r="BD37" s="633">
        <v>0</v>
      </c>
      <c r="BE37" s="901">
        <f t="shared" si="86"/>
      </c>
      <c r="BF37" s="633">
        <v>0</v>
      </c>
      <c r="BG37" s="633">
        <v>0</v>
      </c>
      <c r="BH37" s="633">
        <v>0</v>
      </c>
      <c r="BI37" s="633">
        <v>0</v>
      </c>
      <c r="BJ37" s="901">
        <f t="shared" si="87"/>
      </c>
      <c r="BK37" s="633">
        <v>0</v>
      </c>
      <c r="BL37" s="633">
        <v>0</v>
      </c>
      <c r="BM37" s="633">
        <v>0</v>
      </c>
      <c r="BN37" s="633">
        <v>0</v>
      </c>
      <c r="BO37" s="901">
        <f t="shared" si="88"/>
      </c>
      <c r="BP37" s="633">
        <v>0</v>
      </c>
      <c r="BQ37" s="633">
        <v>0</v>
      </c>
      <c r="BR37" s="633">
        <v>0</v>
      </c>
      <c r="BS37" s="633">
        <v>0</v>
      </c>
      <c r="BT37" s="901">
        <f t="shared" si="89"/>
      </c>
      <c r="BU37" s="633">
        <v>0</v>
      </c>
      <c r="BV37" s="633">
        <v>0</v>
      </c>
      <c r="BW37" s="633">
        <v>0</v>
      </c>
      <c r="BX37" s="633">
        <v>0</v>
      </c>
      <c r="BY37" s="901">
        <f t="shared" si="90"/>
      </c>
      <c r="BZ37" s="633">
        <v>0</v>
      </c>
      <c r="CA37" s="633">
        <v>0</v>
      </c>
      <c r="CB37" s="633">
        <v>0</v>
      </c>
      <c r="CC37" s="633">
        <v>0</v>
      </c>
      <c r="CD37" s="901">
        <f t="shared" si="99"/>
      </c>
      <c r="CE37" s="633">
        <v>0</v>
      </c>
      <c r="CF37" s="633">
        <v>-1000</v>
      </c>
      <c r="CG37" s="633">
        <v>0</v>
      </c>
      <c r="CH37" s="633">
        <v>0</v>
      </c>
      <c r="CI37" s="901">
        <f t="shared" si="91"/>
      </c>
      <c r="CJ37" s="633">
        <v>0</v>
      </c>
      <c r="CK37" s="633">
        <v>0</v>
      </c>
      <c r="CL37" s="633">
        <v>0</v>
      </c>
      <c r="CM37" s="633">
        <v>0</v>
      </c>
      <c r="CN37" s="901">
        <f t="shared" si="100"/>
      </c>
      <c r="CO37" s="633">
        <v>0</v>
      </c>
      <c r="CP37" s="633">
        <v>0</v>
      </c>
      <c r="CQ37" s="633">
        <v>0</v>
      </c>
      <c r="CR37" s="633">
        <v>0</v>
      </c>
      <c r="CS37" s="901">
        <f t="shared" si="92"/>
      </c>
      <c r="CT37" s="633">
        <v>0</v>
      </c>
      <c r="CU37" s="633">
        <v>-712</v>
      </c>
      <c r="CV37" s="633">
        <v>0</v>
      </c>
      <c r="CW37" s="633">
        <v>0</v>
      </c>
      <c r="CX37" s="901">
        <f t="shared" si="101"/>
      </c>
      <c r="CY37" s="633">
        <v>0</v>
      </c>
      <c r="CZ37" s="633">
        <v>0</v>
      </c>
      <c r="DA37" s="633">
        <v>-6575</v>
      </c>
      <c r="DB37" s="633">
        <v>0</v>
      </c>
      <c r="DC37" s="901">
        <f t="shared" si="93"/>
      </c>
      <c r="DD37" s="633">
        <v>0</v>
      </c>
      <c r="DE37" s="633">
        <v>0</v>
      </c>
      <c r="DF37" s="633">
        <v>0</v>
      </c>
      <c r="DG37" s="633">
        <v>0</v>
      </c>
      <c r="DH37" s="901">
        <f t="shared" si="102"/>
      </c>
      <c r="DI37" s="633">
        <v>0</v>
      </c>
      <c r="DJ37" s="633">
        <v>0</v>
      </c>
      <c r="DK37" s="633">
        <v>0</v>
      </c>
      <c r="DL37" s="633">
        <v>0</v>
      </c>
      <c r="DM37" s="901">
        <f t="shared" si="94"/>
      </c>
      <c r="DN37" s="633">
        <v>-3710</v>
      </c>
      <c r="DO37" s="633">
        <v>0</v>
      </c>
      <c r="DP37" s="633">
        <v>-7373</v>
      </c>
      <c r="DQ37" s="633">
        <v>0</v>
      </c>
      <c r="DR37" s="901">
        <f t="shared" si="103"/>
      </c>
      <c r="DS37" s="633">
        <v>0</v>
      </c>
      <c r="DT37" s="633">
        <v>0</v>
      </c>
      <c r="DU37" s="633">
        <v>0</v>
      </c>
      <c r="DV37" s="633">
        <v>0</v>
      </c>
      <c r="DW37" s="901">
        <f t="shared" si="104"/>
      </c>
      <c r="DX37" s="633">
        <v>0</v>
      </c>
      <c r="DY37" s="633">
        <v>0</v>
      </c>
      <c r="DZ37" s="633">
        <v>0</v>
      </c>
      <c r="EA37" s="633">
        <v>0</v>
      </c>
      <c r="EB37" s="901">
        <f t="shared" si="95"/>
      </c>
      <c r="EC37" s="633">
        <v>0</v>
      </c>
      <c r="ED37" s="633">
        <v>0</v>
      </c>
      <c r="EE37" s="633">
        <v>0</v>
      </c>
      <c r="EF37" s="633">
        <v>0</v>
      </c>
      <c r="EG37" s="901">
        <f t="shared" si="96"/>
      </c>
      <c r="EH37" s="633">
        <v>0</v>
      </c>
      <c r="EI37" s="633">
        <v>0</v>
      </c>
      <c r="EJ37" s="633">
        <v>0</v>
      </c>
      <c r="EK37" s="633">
        <v>0</v>
      </c>
      <c r="EL37" s="901">
        <f t="shared" si="97"/>
      </c>
      <c r="EM37" s="633">
        <v>0</v>
      </c>
      <c r="EN37" s="633">
        <v>0</v>
      </c>
      <c r="EO37" s="633">
        <v>0</v>
      </c>
      <c r="EP37" s="633">
        <v>0</v>
      </c>
      <c r="EQ37" s="901">
        <f t="shared" si="98"/>
      </c>
      <c r="ER37" s="633">
        <v>0</v>
      </c>
      <c r="ES37" s="633">
        <v>0</v>
      </c>
      <c r="ET37" s="954">
        <v>0</v>
      </c>
      <c r="EU37" s="954">
        <v>0</v>
      </c>
      <c r="EV37" s="901">
        <f t="shared" si="105"/>
      </c>
      <c r="EW37" s="1600">
        <v>0</v>
      </c>
      <c r="EX37" s="815">
        <v>0</v>
      </c>
      <c r="EY37" s="815">
        <v>0</v>
      </c>
      <c r="EZ37" s="815">
        <v>0</v>
      </c>
      <c r="FA37" s="901">
        <f t="shared" si="106"/>
      </c>
      <c r="FB37" s="935"/>
      <c r="FC37" s="372"/>
      <c r="FD37" s="372"/>
      <c r="FE37" s="493"/>
      <c r="FF37" s="901">
        <f t="shared" si="107"/>
      </c>
      <c r="FG37" s="935"/>
      <c r="FH37" s="372"/>
      <c r="FI37" s="372"/>
      <c r="FJ37" s="493"/>
      <c r="FK37" s="901">
        <f t="shared" si="108"/>
      </c>
      <c r="FL37" s="935"/>
      <c r="FM37" s="372"/>
      <c r="FN37" s="372"/>
      <c r="FO37" s="493"/>
      <c r="FP37" s="901">
        <f t="shared" si="109"/>
      </c>
      <c r="FQ37" s="935"/>
      <c r="FR37" s="372"/>
      <c r="FS37" s="372"/>
      <c r="FT37" s="493"/>
      <c r="FU37" s="901">
        <f t="shared" si="110"/>
      </c>
      <c r="FV37" s="935"/>
      <c r="FW37" s="372"/>
      <c r="FX37" s="372"/>
      <c r="FY37" s="493"/>
      <c r="FZ37" s="901">
        <f t="shared" si="111"/>
      </c>
      <c r="GA37" s="935"/>
      <c r="GB37" s="372"/>
      <c r="GC37" s="372"/>
      <c r="GD37" s="493"/>
      <c r="GE37" s="901">
        <f t="shared" si="112"/>
      </c>
      <c r="GF37" s="935"/>
      <c r="GG37" s="372"/>
      <c r="GH37" s="372"/>
      <c r="GI37" s="493"/>
      <c r="GJ37" s="901">
        <f t="shared" si="113"/>
      </c>
    </row>
    <row r="38" spans="1:192" s="277" customFormat="1" ht="12.75" customHeight="1" collapsed="1">
      <c r="A38" s="274"/>
      <c r="B38" s="1452" t="s">
        <v>134</v>
      </c>
      <c r="C38" s="633">
        <v>0</v>
      </c>
      <c r="D38" s="633">
        <v>0</v>
      </c>
      <c r="E38" s="633">
        <v>0</v>
      </c>
      <c r="F38" s="633">
        <v>0</v>
      </c>
      <c r="G38" s="901">
        <f t="shared" si="76"/>
      </c>
      <c r="H38" s="633">
        <v>0</v>
      </c>
      <c r="I38" s="633">
        <v>0</v>
      </c>
      <c r="J38" s="633">
        <v>0</v>
      </c>
      <c r="K38" s="633">
        <v>0</v>
      </c>
      <c r="L38" s="901">
        <f t="shared" si="77"/>
      </c>
      <c r="M38" s="633">
        <v>0</v>
      </c>
      <c r="N38" s="633">
        <v>0</v>
      </c>
      <c r="O38" s="633">
        <v>0</v>
      </c>
      <c r="P38" s="633">
        <v>0</v>
      </c>
      <c r="Q38" s="901">
        <f t="shared" si="78"/>
      </c>
      <c r="R38" s="633">
        <v>0</v>
      </c>
      <c r="S38" s="633">
        <v>0</v>
      </c>
      <c r="T38" s="633">
        <v>0</v>
      </c>
      <c r="U38" s="633">
        <v>0</v>
      </c>
      <c r="V38" s="901">
        <f t="shared" si="79"/>
      </c>
      <c r="W38" s="633">
        <v>0</v>
      </c>
      <c r="X38" s="633">
        <v>0</v>
      </c>
      <c r="Y38" s="633">
        <v>0</v>
      </c>
      <c r="Z38" s="633">
        <v>0</v>
      </c>
      <c r="AA38" s="901">
        <f t="shared" si="80"/>
      </c>
      <c r="AB38" s="633">
        <v>0</v>
      </c>
      <c r="AC38" s="633">
        <v>0</v>
      </c>
      <c r="AD38" s="633">
        <v>0</v>
      </c>
      <c r="AE38" s="633">
        <v>0</v>
      </c>
      <c r="AF38" s="901">
        <f t="shared" si="81"/>
      </c>
      <c r="AG38" s="633">
        <v>0</v>
      </c>
      <c r="AH38" s="633">
        <v>0</v>
      </c>
      <c r="AI38" s="633">
        <v>0</v>
      </c>
      <c r="AJ38" s="633">
        <v>0</v>
      </c>
      <c r="AK38" s="901">
        <f t="shared" si="82"/>
      </c>
      <c r="AL38" s="633">
        <v>0</v>
      </c>
      <c r="AM38" s="633">
        <v>0</v>
      </c>
      <c r="AN38" s="633">
        <v>0</v>
      </c>
      <c r="AO38" s="633">
        <v>0</v>
      </c>
      <c r="AP38" s="901">
        <f t="shared" si="83"/>
      </c>
      <c r="AQ38" s="633">
        <v>0</v>
      </c>
      <c r="AR38" s="633">
        <v>0</v>
      </c>
      <c r="AS38" s="633">
        <v>0</v>
      </c>
      <c r="AT38" s="633">
        <v>0</v>
      </c>
      <c r="AU38" s="901">
        <f t="shared" si="84"/>
      </c>
      <c r="AV38" s="633">
        <v>0</v>
      </c>
      <c r="AW38" s="633">
        <v>0</v>
      </c>
      <c r="AX38" s="633">
        <v>0</v>
      </c>
      <c r="AY38" s="633">
        <v>0</v>
      </c>
      <c r="AZ38" s="901">
        <f t="shared" si="85"/>
      </c>
      <c r="BA38" s="633">
        <v>0</v>
      </c>
      <c r="BB38" s="633">
        <v>0</v>
      </c>
      <c r="BC38" s="633">
        <v>0</v>
      </c>
      <c r="BD38" s="633">
        <v>0</v>
      </c>
      <c r="BE38" s="901">
        <f t="shared" si="86"/>
      </c>
      <c r="BF38" s="633">
        <v>0</v>
      </c>
      <c r="BG38" s="633">
        <v>0</v>
      </c>
      <c r="BH38" s="633">
        <v>0</v>
      </c>
      <c r="BI38" s="633">
        <v>0</v>
      </c>
      <c r="BJ38" s="901">
        <f t="shared" si="87"/>
      </c>
      <c r="BK38" s="633">
        <v>0</v>
      </c>
      <c r="BL38" s="633">
        <v>0</v>
      </c>
      <c r="BM38" s="633">
        <v>0</v>
      </c>
      <c r="BN38" s="633">
        <v>0</v>
      </c>
      <c r="BO38" s="901">
        <f t="shared" si="88"/>
      </c>
      <c r="BP38" s="633">
        <v>0</v>
      </c>
      <c r="BQ38" s="633">
        <v>0</v>
      </c>
      <c r="BR38" s="633">
        <v>0</v>
      </c>
      <c r="BS38" s="633">
        <v>0</v>
      </c>
      <c r="BT38" s="901">
        <f t="shared" si="89"/>
      </c>
      <c r="BU38" s="633">
        <v>0</v>
      </c>
      <c r="BV38" s="633">
        <v>0</v>
      </c>
      <c r="BW38" s="633">
        <v>328</v>
      </c>
      <c r="BX38" s="633">
        <v>4468</v>
      </c>
      <c r="BY38" s="901">
        <f t="shared" si="90"/>
      </c>
      <c r="BZ38" s="633">
        <v>695</v>
      </c>
      <c r="CA38" s="633">
        <v>1046</v>
      </c>
      <c r="CB38" s="633">
        <v>851</v>
      </c>
      <c r="CC38" s="633">
        <v>1575</v>
      </c>
      <c r="CD38" s="901">
        <f t="shared" si="99"/>
      </c>
      <c r="CE38" s="633">
        <v>4721</v>
      </c>
      <c r="CF38" s="633">
        <v>0</v>
      </c>
      <c r="CG38" s="633">
        <v>2239</v>
      </c>
      <c r="CH38" s="633">
        <v>0</v>
      </c>
      <c r="CI38" s="901">
        <f t="shared" si="91"/>
      </c>
      <c r="CJ38" s="633">
        <v>0</v>
      </c>
      <c r="CK38" s="633">
        <v>0</v>
      </c>
      <c r="CL38" s="633">
        <v>0</v>
      </c>
      <c r="CM38" s="633">
        <v>0</v>
      </c>
      <c r="CN38" s="901">
        <f t="shared" si="100"/>
      </c>
      <c r="CO38" s="633">
        <v>0</v>
      </c>
      <c r="CP38" s="633">
        <v>2232</v>
      </c>
      <c r="CQ38" s="633">
        <v>0</v>
      </c>
      <c r="CR38" s="633">
        <v>2651</v>
      </c>
      <c r="CS38" s="901">
        <f t="shared" si="92"/>
      </c>
      <c r="CT38" s="633">
        <v>588</v>
      </c>
      <c r="CU38" s="633">
        <v>8262</v>
      </c>
      <c r="CV38" s="633">
        <v>0</v>
      </c>
      <c r="CW38" s="633">
        <v>1500</v>
      </c>
      <c r="CX38" s="901">
        <f t="shared" si="101"/>
      </c>
      <c r="CY38" s="633">
        <v>0</v>
      </c>
      <c r="CZ38" s="633">
        <v>0</v>
      </c>
      <c r="DA38" s="633">
        <v>10680</v>
      </c>
      <c r="DB38" s="633">
        <v>0</v>
      </c>
      <c r="DC38" s="901">
        <f t="shared" si="93"/>
      </c>
      <c r="DD38" s="633">
        <v>121</v>
      </c>
      <c r="DE38" s="633">
        <v>13128</v>
      </c>
      <c r="DF38" s="633">
        <v>25</v>
      </c>
      <c r="DG38" s="633">
        <v>610</v>
      </c>
      <c r="DH38" s="901">
        <f t="shared" si="102"/>
      </c>
      <c r="DI38" s="633">
        <v>24977</v>
      </c>
      <c r="DJ38" s="633">
        <v>17069</v>
      </c>
      <c r="DK38" s="633">
        <v>547</v>
      </c>
      <c r="DL38" s="633">
        <v>1751</v>
      </c>
      <c r="DM38" s="901">
        <f t="shared" si="94"/>
      </c>
      <c r="DN38" s="633">
        <v>3954</v>
      </c>
      <c r="DO38" s="633">
        <v>3229</v>
      </c>
      <c r="DP38" s="633">
        <v>0</v>
      </c>
      <c r="DQ38" s="633">
        <v>0</v>
      </c>
      <c r="DR38" s="901">
        <f t="shared" si="103"/>
      </c>
      <c r="DS38" s="633">
        <v>0</v>
      </c>
      <c r="DT38" s="633">
        <v>0</v>
      </c>
      <c r="DU38" s="633">
        <v>0</v>
      </c>
      <c r="DV38" s="633">
        <v>0</v>
      </c>
      <c r="DW38" s="901">
        <f t="shared" si="104"/>
      </c>
      <c r="DX38" s="633">
        <v>0</v>
      </c>
      <c r="DY38" s="633">
        <v>0</v>
      </c>
      <c r="DZ38" s="633">
        <v>0</v>
      </c>
      <c r="EA38" s="633">
        <v>0</v>
      </c>
      <c r="EB38" s="901">
        <f t="shared" si="95"/>
      </c>
      <c r="EC38" s="633">
        <v>0</v>
      </c>
      <c r="ED38" s="633">
        <v>0</v>
      </c>
      <c r="EE38" s="633">
        <v>0</v>
      </c>
      <c r="EF38" s="633">
        <v>0</v>
      </c>
      <c r="EG38" s="901">
        <f t="shared" si="96"/>
      </c>
      <c r="EH38" s="633">
        <v>0</v>
      </c>
      <c r="EI38" s="633">
        <v>0</v>
      </c>
      <c r="EJ38" s="633">
        <v>0</v>
      </c>
      <c r="EK38" s="633">
        <v>0</v>
      </c>
      <c r="EL38" s="901">
        <f t="shared" si="97"/>
      </c>
      <c r="EM38" s="633">
        <v>0</v>
      </c>
      <c r="EN38" s="633">
        <v>0</v>
      </c>
      <c r="EO38" s="633">
        <v>0</v>
      </c>
      <c r="EP38" s="633">
        <v>0</v>
      </c>
      <c r="EQ38" s="901">
        <f t="shared" si="98"/>
      </c>
      <c r="ER38" s="633">
        <v>7073</v>
      </c>
      <c r="ES38" s="633">
        <v>10773</v>
      </c>
      <c r="ET38" s="954">
        <v>6352</v>
      </c>
      <c r="EU38" s="954">
        <v>197</v>
      </c>
      <c r="EV38" s="901">
        <f t="shared" si="105"/>
      </c>
      <c r="EW38" s="1600">
        <v>0</v>
      </c>
      <c r="EX38" s="815">
        <v>0</v>
      </c>
      <c r="EY38" s="815">
        <v>0</v>
      </c>
      <c r="EZ38" s="815">
        <v>0</v>
      </c>
      <c r="FA38" s="901">
        <f t="shared" si="106"/>
      </c>
      <c r="FB38" s="935"/>
      <c r="FC38" s="372"/>
      <c r="FD38" s="372"/>
      <c r="FE38" s="493"/>
      <c r="FF38" s="901">
        <f t="shared" si="107"/>
      </c>
      <c r="FG38" s="935"/>
      <c r="FH38" s="372"/>
      <c r="FI38" s="372"/>
      <c r="FJ38" s="493"/>
      <c r="FK38" s="901">
        <f t="shared" si="108"/>
      </c>
      <c r="FL38" s="935"/>
      <c r="FM38" s="372"/>
      <c r="FN38" s="372"/>
      <c r="FO38" s="493"/>
      <c r="FP38" s="901">
        <f t="shared" si="109"/>
      </c>
      <c r="FQ38" s="935"/>
      <c r="FR38" s="372"/>
      <c r="FS38" s="372"/>
      <c r="FT38" s="493"/>
      <c r="FU38" s="901">
        <f t="shared" si="110"/>
      </c>
      <c r="FV38" s="935"/>
      <c r="FW38" s="372"/>
      <c r="FX38" s="372"/>
      <c r="FY38" s="493"/>
      <c r="FZ38" s="901">
        <f t="shared" si="111"/>
      </c>
      <c r="GA38" s="935"/>
      <c r="GB38" s="372"/>
      <c r="GC38" s="372"/>
      <c r="GD38" s="493"/>
      <c r="GE38" s="901">
        <f t="shared" si="112"/>
      </c>
      <c r="GF38" s="935"/>
      <c r="GG38" s="372"/>
      <c r="GH38" s="372"/>
      <c r="GI38" s="493"/>
      <c r="GJ38" s="901">
        <f t="shared" si="113"/>
      </c>
    </row>
    <row r="39" spans="1:192" s="277" customFormat="1" ht="12.75" hidden="1" customHeight="1" outlineLevel="1">
      <c r="A39" s="274"/>
      <c r="B39" s="1452" t="s">
        <v>137</v>
      </c>
      <c r="C39" s="633">
        <v>0</v>
      </c>
      <c r="D39" s="633">
        <v>0</v>
      </c>
      <c r="E39" s="633">
        <v>0</v>
      </c>
      <c r="F39" s="633">
        <v>0</v>
      </c>
      <c r="G39" s="901">
        <f t="shared" si="76"/>
      </c>
      <c r="H39" s="633">
        <v>0</v>
      </c>
      <c r="I39" s="633">
        <v>0</v>
      </c>
      <c r="J39" s="633">
        <v>0</v>
      </c>
      <c r="K39" s="633">
        <v>0</v>
      </c>
      <c r="L39" s="901">
        <f t="shared" si="77"/>
      </c>
      <c r="M39" s="633">
        <v>0</v>
      </c>
      <c r="N39" s="633">
        <v>0</v>
      </c>
      <c r="O39" s="633">
        <v>0</v>
      </c>
      <c r="P39" s="633">
        <v>0</v>
      </c>
      <c r="Q39" s="901">
        <f t="shared" si="78"/>
      </c>
      <c r="R39" s="633">
        <v>0</v>
      </c>
      <c r="S39" s="633">
        <v>0</v>
      </c>
      <c r="T39" s="633">
        <v>0</v>
      </c>
      <c r="U39" s="633">
        <v>0</v>
      </c>
      <c r="V39" s="901">
        <f t="shared" si="79"/>
      </c>
      <c r="W39" s="633">
        <v>0</v>
      </c>
      <c r="X39" s="633">
        <v>0</v>
      </c>
      <c r="Y39" s="633">
        <v>0</v>
      </c>
      <c r="Z39" s="633">
        <v>0</v>
      </c>
      <c r="AA39" s="901">
        <f t="shared" si="80"/>
      </c>
      <c r="AB39" s="633">
        <v>0</v>
      </c>
      <c r="AC39" s="633">
        <v>0</v>
      </c>
      <c r="AD39" s="633">
        <v>0</v>
      </c>
      <c r="AE39" s="633">
        <v>0</v>
      </c>
      <c r="AF39" s="901">
        <f t="shared" si="81"/>
      </c>
      <c r="AG39" s="633">
        <v>0</v>
      </c>
      <c r="AH39" s="633">
        <v>0</v>
      </c>
      <c r="AI39" s="633">
        <v>0</v>
      </c>
      <c r="AJ39" s="633">
        <v>0</v>
      </c>
      <c r="AK39" s="901">
        <f t="shared" si="82"/>
      </c>
      <c r="AL39" s="633">
        <v>0</v>
      </c>
      <c r="AM39" s="633">
        <v>0</v>
      </c>
      <c r="AN39" s="633">
        <v>0</v>
      </c>
      <c r="AO39" s="633">
        <v>0</v>
      </c>
      <c r="AP39" s="901">
        <f t="shared" si="83"/>
      </c>
      <c r="AQ39" s="633">
        <v>0</v>
      </c>
      <c r="AR39" s="633">
        <v>0</v>
      </c>
      <c r="AS39" s="633">
        <v>0</v>
      </c>
      <c r="AT39" s="633">
        <v>0</v>
      </c>
      <c r="AU39" s="901">
        <f t="shared" si="84"/>
      </c>
      <c r="AV39" s="633">
        <v>0</v>
      </c>
      <c r="AW39" s="633">
        <v>0</v>
      </c>
      <c r="AX39" s="633">
        <v>0</v>
      </c>
      <c r="AY39" s="633">
        <v>0</v>
      </c>
      <c r="AZ39" s="901">
        <f t="shared" si="85"/>
      </c>
      <c r="BA39" s="633">
        <v>0</v>
      </c>
      <c r="BB39" s="633">
        <v>0</v>
      </c>
      <c r="BC39" s="633">
        <v>0</v>
      </c>
      <c r="BD39" s="633">
        <v>0</v>
      </c>
      <c r="BE39" s="901">
        <f t="shared" si="86"/>
      </c>
      <c r="BF39" s="633">
        <v>0</v>
      </c>
      <c r="BG39" s="633">
        <v>0</v>
      </c>
      <c r="BH39" s="633">
        <v>0</v>
      </c>
      <c r="BI39" s="633">
        <v>0</v>
      </c>
      <c r="BJ39" s="901">
        <f t="shared" si="87"/>
      </c>
      <c r="BK39" s="633">
        <v>0</v>
      </c>
      <c r="BL39" s="633">
        <v>0</v>
      </c>
      <c r="BM39" s="633">
        <v>0</v>
      </c>
      <c r="BN39" s="633">
        <v>0</v>
      </c>
      <c r="BO39" s="901">
        <f>SUM(BK39:BN39)</f>
      </c>
      <c r="BP39" s="633">
        <v>0</v>
      </c>
      <c r="BQ39" s="633">
        <v>0</v>
      </c>
      <c r="BR39" s="633">
        <v>0</v>
      </c>
      <c r="BS39" s="633">
        <v>0</v>
      </c>
      <c r="BT39" s="901">
        <f t="shared" si="89"/>
      </c>
      <c r="BU39" s="633">
        <v>0</v>
      </c>
      <c r="BV39" s="633">
        <v>0</v>
      </c>
      <c r="BW39" s="633">
        <v>0</v>
      </c>
      <c r="BX39" s="633">
        <v>0</v>
      </c>
      <c r="BY39" s="901">
        <f>SUM(BU39:BX39)</f>
      </c>
      <c r="BZ39" s="633">
        <v>0</v>
      </c>
      <c r="CA39" s="633">
        <v>0</v>
      </c>
      <c r="CB39" s="633">
        <v>0</v>
      </c>
      <c r="CC39" s="633">
        <v>0</v>
      </c>
      <c r="CD39" s="901">
        <f t="shared" si="99"/>
      </c>
      <c r="CE39" s="633">
        <v>0</v>
      </c>
      <c r="CF39" s="633">
        <v>0</v>
      </c>
      <c r="CG39" s="633">
        <v>0</v>
      </c>
      <c r="CH39" s="633">
        <v>0</v>
      </c>
      <c r="CI39" s="901">
        <f t="shared" si="91"/>
      </c>
      <c r="CJ39" s="633">
        <v>0</v>
      </c>
      <c r="CK39" s="633">
        <v>0</v>
      </c>
      <c r="CL39" s="633">
        <v>0</v>
      </c>
      <c r="CM39" s="633">
        <v>0</v>
      </c>
      <c r="CN39" s="901">
        <f t="shared" si="100"/>
      </c>
      <c r="CO39" s="633">
        <v>0</v>
      </c>
      <c r="CP39" s="633">
        <v>0</v>
      </c>
      <c r="CQ39" s="633">
        <v>0</v>
      </c>
      <c r="CR39" s="633">
        <v>0</v>
      </c>
      <c r="CS39" s="901">
        <f t="shared" si="92"/>
      </c>
      <c r="CT39" s="633">
        <v>0</v>
      </c>
      <c r="CU39" s="633">
        <v>0</v>
      </c>
      <c r="CV39" s="633">
        <v>0</v>
      </c>
      <c r="CW39" s="633">
        <v>0</v>
      </c>
      <c r="CX39" s="901">
        <f t="shared" si="101"/>
      </c>
      <c r="CY39" s="633">
        <v>0</v>
      </c>
      <c r="CZ39" s="633">
        <v>0</v>
      </c>
      <c r="DA39" s="633">
        <v>0</v>
      </c>
      <c r="DB39" s="633">
        <v>0</v>
      </c>
      <c r="DC39" s="901">
        <f t="shared" si="93"/>
      </c>
      <c r="DD39" s="633">
        <v>0</v>
      </c>
      <c r="DE39" s="633">
        <v>0</v>
      </c>
      <c r="DF39" s="633">
        <v>0</v>
      </c>
      <c r="DG39" s="633">
        <v>0</v>
      </c>
      <c r="DH39" s="901">
        <f t="shared" si="102"/>
      </c>
      <c r="DI39" s="633">
        <v>0</v>
      </c>
      <c r="DJ39" s="633">
        <v>0</v>
      </c>
      <c r="DK39" s="633">
        <v>0</v>
      </c>
      <c r="DL39" s="633">
        <v>0</v>
      </c>
      <c r="DM39" s="901">
        <f t="shared" si="94"/>
      </c>
      <c r="DN39" s="633">
        <v>0</v>
      </c>
      <c r="DO39" s="633">
        <v>0</v>
      </c>
      <c r="DP39" s="633">
        <v>0</v>
      </c>
      <c r="DQ39" s="633">
        <v>0</v>
      </c>
      <c r="DR39" s="901">
        <f t="shared" si="103"/>
      </c>
      <c r="DS39" s="633">
        <v>0</v>
      </c>
      <c r="DT39" s="633">
        <v>0</v>
      </c>
      <c r="DU39" s="633">
        <v>0</v>
      </c>
      <c r="DV39" s="633">
        <v>0</v>
      </c>
      <c r="DW39" s="901">
        <f t="shared" si="104"/>
      </c>
      <c r="DX39" s="633">
        <v>0</v>
      </c>
      <c r="DY39" s="633">
        <v>0</v>
      </c>
      <c r="DZ39" s="633">
        <v>0</v>
      </c>
      <c r="EA39" s="633">
        <v>-3417</v>
      </c>
      <c r="EB39" s="901">
        <f t="shared" si="95"/>
      </c>
      <c r="EC39" s="633">
        <v>0</v>
      </c>
      <c r="ED39" s="633">
        <v>0</v>
      </c>
      <c r="EE39" s="633">
        <v>-1754</v>
      </c>
      <c r="EF39" s="633">
        <v>0</v>
      </c>
      <c r="EG39" s="901">
        <f t="shared" si="96"/>
      </c>
      <c r="EH39" s="633">
        <v>0</v>
      </c>
      <c r="EI39" s="633">
        <v>0</v>
      </c>
      <c r="EJ39" s="633">
        <v>0</v>
      </c>
      <c r="EK39" s="633">
        <v>0</v>
      </c>
      <c r="EL39" s="901">
        <f t="shared" si="97"/>
      </c>
      <c r="EM39" s="633">
        <v>0</v>
      </c>
      <c r="EN39" s="633">
        <v>0</v>
      </c>
      <c r="EO39" s="633">
        <v>0</v>
      </c>
      <c r="EP39" s="633">
        <v>0</v>
      </c>
      <c r="EQ39" s="901">
        <f t="shared" si="98"/>
      </c>
      <c r="ER39" s="633">
        <v>0</v>
      </c>
      <c r="ES39" s="633">
        <v>0</v>
      </c>
      <c r="ET39" s="954">
        <v>0</v>
      </c>
      <c r="EU39" s="954">
        <v>0</v>
      </c>
      <c r="EV39" s="901">
        <f t="shared" si="105"/>
      </c>
      <c r="EW39" s="1600">
        <v>0</v>
      </c>
      <c r="EX39" s="815">
        <v>0</v>
      </c>
      <c r="EY39" s="815">
        <v>0</v>
      </c>
      <c r="EZ39" s="815">
        <v>0</v>
      </c>
      <c r="FA39" s="901">
        <f t="shared" si="106"/>
      </c>
      <c r="FB39" s="935"/>
      <c r="FC39" s="372"/>
      <c r="FD39" s="372"/>
      <c r="FE39" s="493"/>
      <c r="FF39" s="901">
        <f t="shared" si="107"/>
      </c>
      <c r="FG39" s="935"/>
      <c r="FH39" s="372"/>
      <c r="FI39" s="372"/>
      <c r="FJ39" s="493"/>
      <c r="FK39" s="901">
        <f t="shared" si="108"/>
      </c>
      <c r="FL39" s="935"/>
      <c r="FM39" s="372"/>
      <c r="FN39" s="372"/>
      <c r="FO39" s="493"/>
      <c r="FP39" s="901">
        <f t="shared" si="109"/>
      </c>
      <c r="FQ39" s="935"/>
      <c r="FR39" s="372"/>
      <c r="FS39" s="372"/>
      <c r="FT39" s="493"/>
      <c r="FU39" s="901">
        <f t="shared" si="110"/>
      </c>
      <c r="FV39" s="935"/>
      <c r="FW39" s="372"/>
      <c r="FX39" s="372"/>
      <c r="FY39" s="493"/>
      <c r="FZ39" s="901">
        <f t="shared" si="111"/>
      </c>
      <c r="GA39" s="935"/>
      <c r="GB39" s="372"/>
      <c r="GC39" s="372"/>
      <c r="GD39" s="493"/>
      <c r="GE39" s="901">
        <f t="shared" si="112"/>
      </c>
      <c r="GF39" s="935"/>
      <c r="GG39" s="372"/>
      <c r="GH39" s="372"/>
      <c r="GI39" s="493"/>
      <c r="GJ39" s="901">
        <f t="shared" si="113"/>
      </c>
    </row>
    <row r="40" spans="1:192" s="277" customFormat="1" ht="12.75" customHeight="1" collapsed="1">
      <c r="A40" s="274"/>
      <c r="B40" s="1452" t="s">
        <v>130</v>
      </c>
      <c r="C40" s="633">
        <v>0</v>
      </c>
      <c r="D40" s="633">
        <v>0</v>
      </c>
      <c r="E40" s="633">
        <v>0</v>
      </c>
      <c r="F40" s="633">
        <v>0</v>
      </c>
      <c r="G40" s="901">
        <f t="shared" si="76"/>
      </c>
      <c r="H40" s="633">
        <v>0</v>
      </c>
      <c r="I40" s="633">
        <v>0</v>
      </c>
      <c r="J40" s="633">
        <v>0</v>
      </c>
      <c r="K40" s="633">
        <v>0</v>
      </c>
      <c r="L40" s="901">
        <f t="shared" si="77"/>
      </c>
      <c r="M40" s="633">
        <v>0</v>
      </c>
      <c r="N40" s="633">
        <v>0</v>
      </c>
      <c r="O40" s="633">
        <v>0</v>
      </c>
      <c r="P40" s="633">
        <v>0</v>
      </c>
      <c r="Q40" s="901">
        <f t="shared" si="78"/>
      </c>
      <c r="R40" s="633">
        <v>0</v>
      </c>
      <c r="S40" s="633">
        <v>0</v>
      </c>
      <c r="T40" s="633">
        <v>0</v>
      </c>
      <c r="U40" s="633">
        <v>0</v>
      </c>
      <c r="V40" s="901">
        <f t="shared" si="79"/>
      </c>
      <c r="W40" s="633">
        <v>0</v>
      </c>
      <c r="X40" s="633">
        <v>0</v>
      </c>
      <c r="Y40" s="633">
        <v>0</v>
      </c>
      <c r="Z40" s="633">
        <v>0</v>
      </c>
      <c r="AA40" s="901">
        <f t="shared" si="80"/>
      </c>
      <c r="AB40" s="633">
        <v>0</v>
      </c>
      <c r="AC40" s="633">
        <v>0</v>
      </c>
      <c r="AD40" s="633">
        <v>0</v>
      </c>
      <c r="AE40" s="633">
        <v>0</v>
      </c>
      <c r="AF40" s="901">
        <f t="shared" si="81"/>
      </c>
      <c r="AG40" s="633">
        <v>0</v>
      </c>
      <c r="AH40" s="633">
        <v>0</v>
      </c>
      <c r="AI40" s="633">
        <v>0</v>
      </c>
      <c r="AJ40" s="633">
        <v>0</v>
      </c>
      <c r="AK40" s="901">
        <f t="shared" si="82"/>
      </c>
      <c r="AL40" s="633">
        <v>0</v>
      </c>
      <c r="AM40" s="633">
        <v>0</v>
      </c>
      <c r="AN40" s="633">
        <v>0</v>
      </c>
      <c r="AO40" s="633">
        <v>0</v>
      </c>
      <c r="AP40" s="901">
        <f t="shared" si="83"/>
      </c>
      <c r="AQ40" s="633">
        <v>0</v>
      </c>
      <c r="AR40" s="633">
        <v>0</v>
      </c>
      <c r="AS40" s="633">
        <v>0</v>
      </c>
      <c r="AT40" s="633">
        <v>0</v>
      </c>
      <c r="AU40" s="901">
        <f t="shared" si="84"/>
      </c>
      <c r="AV40" s="633">
        <v>0</v>
      </c>
      <c r="AW40" s="633">
        <v>0</v>
      </c>
      <c r="AX40" s="633">
        <v>0</v>
      </c>
      <c r="AY40" s="633">
        <v>0</v>
      </c>
      <c r="AZ40" s="901">
        <f t="shared" si="85"/>
      </c>
      <c r="BA40" s="633">
        <v>0</v>
      </c>
      <c r="BB40" s="633">
        <v>0</v>
      </c>
      <c r="BC40" s="633">
        <v>0</v>
      </c>
      <c r="BD40" s="633">
        <v>0</v>
      </c>
      <c r="BE40" s="901">
        <f t="shared" si="86"/>
      </c>
      <c r="BF40" s="633">
        <v>0</v>
      </c>
      <c r="BG40" s="633">
        <v>0</v>
      </c>
      <c r="BH40" s="633">
        <v>0</v>
      </c>
      <c r="BI40" s="633">
        <v>0</v>
      </c>
      <c r="BJ40" s="901">
        <f t="shared" si="87"/>
      </c>
      <c r="BK40" s="633">
        <v>0</v>
      </c>
      <c r="BL40" s="633">
        <v>0</v>
      </c>
      <c r="BM40" s="633">
        <v>0</v>
      </c>
      <c r="BN40" s="633">
        <v>0</v>
      </c>
      <c r="BO40" s="901">
        <f t="shared" si="88"/>
      </c>
      <c r="BP40" s="633">
        <v>0</v>
      </c>
      <c r="BQ40" s="633">
        <v>0</v>
      </c>
      <c r="BR40" s="633">
        <v>0</v>
      </c>
      <c r="BS40" s="633">
        <v>0</v>
      </c>
      <c r="BT40" s="901">
        <f t="shared" si="89"/>
      </c>
      <c r="BU40" s="633">
        <v>0</v>
      </c>
      <c r="BV40" s="633">
        <v>0</v>
      </c>
      <c r="BW40" s="633">
        <v>0</v>
      </c>
      <c r="BX40" s="633">
        <v>-228</v>
      </c>
      <c r="BY40" s="901">
        <f t="shared" si="90"/>
      </c>
      <c r="BZ40" s="633">
        <v>-823</v>
      </c>
      <c r="CA40" s="633">
        <v>-573</v>
      </c>
      <c r="CB40" s="633">
        <v>-502</v>
      </c>
      <c r="CC40" s="633">
        <v>-1088</v>
      </c>
      <c r="CD40" s="901">
        <f t="shared" si="99"/>
      </c>
      <c r="CE40" s="633">
        <v>-814</v>
      </c>
      <c r="CF40" s="633">
        <v>0</v>
      </c>
      <c r="CG40" s="633">
        <v>0</v>
      </c>
      <c r="CH40" s="633">
        <v>0</v>
      </c>
      <c r="CI40" s="901">
        <f t="shared" si="91"/>
      </c>
      <c r="CJ40" s="633">
        <v>0</v>
      </c>
      <c r="CK40" s="633">
        <v>0</v>
      </c>
      <c r="CL40" s="633">
        <v>0</v>
      </c>
      <c r="CM40" s="633">
        <v>0</v>
      </c>
      <c r="CN40" s="901">
        <f t="shared" si="100"/>
      </c>
      <c r="CO40" s="633">
        <v>0</v>
      </c>
      <c r="CP40" s="633">
        <v>0</v>
      </c>
      <c r="CQ40" s="633">
        <v>0</v>
      </c>
      <c r="CR40" s="633">
        <v>-1346</v>
      </c>
      <c r="CS40" s="901">
        <f t="shared" si="92"/>
      </c>
      <c r="CT40" s="633">
        <v>-1000</v>
      </c>
      <c r="CU40" s="633">
        <v>-588</v>
      </c>
      <c r="CV40" s="633">
        <v>-300</v>
      </c>
      <c r="CW40" s="633">
        <v>-2000</v>
      </c>
      <c r="CX40" s="901">
        <f t="shared" si="101"/>
      </c>
      <c r="CY40" s="633">
        <v>-1500</v>
      </c>
      <c r="CZ40" s="633">
        <v>0</v>
      </c>
      <c r="DA40" s="633">
        <v>0</v>
      </c>
      <c r="DB40" s="633">
        <v>0</v>
      </c>
      <c r="DC40" s="901">
        <f t="shared" si="93"/>
      </c>
      <c r="DD40" s="633">
        <v>-1750</v>
      </c>
      <c r="DE40" s="633">
        <v>-121</v>
      </c>
      <c r="DF40" s="633">
        <v>-900</v>
      </c>
      <c r="DG40" s="633">
        <v>-25</v>
      </c>
      <c r="DH40" s="901">
        <f t="shared" si="102"/>
      </c>
      <c r="DI40" s="633">
        <v>-225</v>
      </c>
      <c r="DJ40" s="633">
        <v>-4118</v>
      </c>
      <c r="DK40" s="633">
        <v>-211</v>
      </c>
      <c r="DL40" s="633">
        <v>-3368</v>
      </c>
      <c r="DM40" s="901">
        <f t="shared" si="94"/>
      </c>
      <c r="DN40" s="633">
        <v>-1169</v>
      </c>
      <c r="DO40" s="633">
        <v>-3327</v>
      </c>
      <c r="DP40" s="633">
        <v>-4883</v>
      </c>
      <c r="DQ40" s="633">
        <v>-681</v>
      </c>
      <c r="DR40" s="901">
        <f t="shared" si="103"/>
      </c>
      <c r="DS40" s="633">
        <v>0</v>
      </c>
      <c r="DT40" s="633">
        <v>-3000</v>
      </c>
      <c r="DU40" s="633">
        <v>0</v>
      </c>
      <c r="DV40" s="633">
        <v>-1000</v>
      </c>
      <c r="DW40" s="901">
        <f t="shared" si="104"/>
      </c>
      <c r="DX40" s="633">
        <v>-2500</v>
      </c>
      <c r="DY40" s="633">
        <v>-18</v>
      </c>
      <c r="DZ40" s="633">
        <v>-3000</v>
      </c>
      <c r="EA40" s="633">
        <v>0</v>
      </c>
      <c r="EB40" s="901">
        <f t="shared" si="95"/>
      </c>
      <c r="EC40" s="633">
        <v>0</v>
      </c>
      <c r="ED40" s="633">
        <v>-3250</v>
      </c>
      <c r="EE40" s="633">
        <v>-500</v>
      </c>
      <c r="EF40" s="633">
        <v>0</v>
      </c>
      <c r="EG40" s="901">
        <f t="shared" si="96"/>
      </c>
      <c r="EH40" s="633">
        <v>-4826</v>
      </c>
      <c r="EI40" s="633">
        <v>0</v>
      </c>
      <c r="EJ40" s="633">
        <v>-4197</v>
      </c>
      <c r="EK40" s="633">
        <v>0</v>
      </c>
      <c r="EL40" s="901">
        <f t="shared" si="97"/>
      </c>
      <c r="EM40" s="633">
        <v>-1000</v>
      </c>
      <c r="EN40" s="633">
        <v>-750</v>
      </c>
      <c r="EO40" s="633">
        <v>0</v>
      </c>
      <c r="EP40" s="633">
        <v>-1000</v>
      </c>
      <c r="EQ40" s="901">
        <f t="shared" si="98"/>
      </c>
      <c r="ER40" s="633">
        <v>-1500</v>
      </c>
      <c r="ES40" s="633">
        <v>-2916</v>
      </c>
      <c r="ET40" s="954">
        <v>-11589</v>
      </c>
      <c r="EU40" s="954">
        <v>-13065</v>
      </c>
      <c r="EV40" s="901">
        <f t="shared" si="105"/>
      </c>
      <c r="EW40" s="1600">
        <v>-966</v>
      </c>
      <c r="EX40" s="815">
        <v>0</v>
      </c>
      <c r="EY40" s="815">
        <v>-2250</v>
      </c>
      <c r="EZ40" s="815">
        <v>0</v>
      </c>
      <c r="FA40" s="901">
        <f t="shared" si="106"/>
      </c>
      <c r="FB40" s="935"/>
      <c r="FC40" s="372"/>
      <c r="FD40" s="372"/>
      <c r="FE40" s="493"/>
      <c r="FF40" s="901">
        <f t="shared" si="107"/>
      </c>
      <c r="FG40" s="935"/>
      <c r="FH40" s="372"/>
      <c r="FI40" s="372"/>
      <c r="FJ40" s="493"/>
      <c r="FK40" s="901">
        <f t="shared" si="108"/>
      </c>
      <c r="FL40" s="935"/>
      <c r="FM40" s="372"/>
      <c r="FN40" s="372"/>
      <c r="FO40" s="493"/>
      <c r="FP40" s="901">
        <f t="shared" si="109"/>
      </c>
      <c r="FQ40" s="935"/>
      <c r="FR40" s="372"/>
      <c r="FS40" s="372"/>
      <c r="FT40" s="493"/>
      <c r="FU40" s="901">
        <f t="shared" si="110"/>
      </c>
      <c r="FV40" s="935"/>
      <c r="FW40" s="372"/>
      <c r="FX40" s="372"/>
      <c r="FY40" s="493"/>
      <c r="FZ40" s="901">
        <f t="shared" si="111"/>
      </c>
      <c r="GA40" s="935"/>
      <c r="GB40" s="372"/>
      <c r="GC40" s="372"/>
      <c r="GD40" s="493"/>
      <c r="GE40" s="901">
        <f t="shared" si="112"/>
      </c>
      <c r="GF40" s="935"/>
      <c r="GG40" s="372"/>
      <c r="GH40" s="372"/>
      <c r="GI40" s="493"/>
      <c r="GJ40" s="901">
        <f t="shared" si="113"/>
      </c>
    </row>
    <row r="41" spans="1:192" s="277" customFormat="1" ht="12.75" customHeight="1">
      <c r="A41" s="274"/>
      <c r="B41" s="1452" t="s">
        <v>135</v>
      </c>
      <c r="C41" s="957">
        <v>81</v>
      </c>
      <c r="D41" s="493">
        <f>140-C41</f>
      </c>
      <c r="E41" s="493">
        <f>259-D41-C41</f>
      </c>
      <c r="F41" s="493">
        <f>332-E41-D41-C41</f>
      </c>
      <c r="G41" s="901">
        <f t="shared" si="76"/>
      </c>
      <c r="H41" s="957">
        <v>98</v>
      </c>
      <c r="I41" s="493">
        <f>173-H41</f>
      </c>
      <c r="J41" s="493">
        <f>384-I41-H41</f>
      </c>
      <c r="K41" s="493">
        <f>504-J41-I41-H41</f>
      </c>
      <c r="L41" s="901">
        <f t="shared" si="77"/>
      </c>
      <c r="M41" s="957">
        <v>215</v>
      </c>
      <c r="N41" s="493">
        <f>314-M41</f>
      </c>
      <c r="O41" s="493">
        <f>553-N41-M41</f>
      </c>
      <c r="P41" s="493">
        <f>744-O41-N41-M41</f>
      </c>
      <c r="Q41" s="901">
        <f t="shared" si="78"/>
      </c>
      <c r="R41" s="957">
        <v>207</v>
      </c>
      <c r="S41" s="493">
        <f>328-R41</f>
      </c>
      <c r="T41" s="493">
        <f>650-S41-R41</f>
      </c>
      <c r="U41" s="493">
        <f>959-T41-S41-R41</f>
      </c>
      <c r="V41" s="901">
        <f t="shared" ref="V41:V46" si="114">SUM(R41:U41)</f>
      </c>
      <c r="W41" s="957">
        <v>316</v>
      </c>
      <c r="X41" s="493">
        <f>614-W41</f>
      </c>
      <c r="Y41" s="493">
        <f>1102-X41-W41</f>
      </c>
      <c r="Z41" s="493">
        <f>1350-Y41-X41-W41</f>
      </c>
      <c r="AA41" s="901">
        <f t="shared" si="80"/>
      </c>
      <c r="AB41" s="957">
        <v>461</v>
      </c>
      <c r="AC41" s="493">
        <f>913-AB41</f>
      </c>
      <c r="AD41" s="493">
        <f>1750-AC41-AB41</f>
      </c>
      <c r="AE41" s="493">
        <f>2245-AD41-AC41-AB41</f>
      </c>
      <c r="AF41" s="901">
        <f t="shared" ref="AF41:AF46" si="115">SUM(AB41:AE41)</f>
      </c>
      <c r="AG41" s="957">
        <v>375</v>
      </c>
      <c r="AH41" s="493">
        <f>698-AG41</f>
      </c>
      <c r="AI41" s="493">
        <f>1095-AH41-AG41</f>
      </c>
      <c r="AJ41" s="493">
        <f>1620-AI41-AH41-AG41</f>
      </c>
      <c r="AK41" s="901">
        <f t="shared" ref="AK41:AK46" si="116">SUM(AG41:AJ41)</f>
      </c>
      <c r="AL41" s="957">
        <v>391</v>
      </c>
      <c r="AM41" s="493">
        <f>786-AL41</f>
      </c>
      <c r="AN41" s="493">
        <f>1211-AM41-AL41</f>
      </c>
      <c r="AO41" s="493">
        <f>1497-AN41-AM41-AL41</f>
      </c>
      <c r="AP41" s="901">
        <f t="shared" si="83"/>
      </c>
      <c r="AQ41" s="957">
        <v>539</v>
      </c>
      <c r="AR41" s="493">
        <v>365</v>
      </c>
      <c r="AS41" s="493">
        <v>485</v>
      </c>
      <c r="AT41" s="493">
        <v>731</v>
      </c>
      <c r="AU41" s="901">
        <f t="shared" ref="AU41:AU46" si="117">SUM(AQ41:AT41)</f>
      </c>
      <c r="AV41" s="957">
        <v>695</v>
      </c>
      <c r="AW41" s="493">
        <v>189</v>
      </c>
      <c r="AX41" s="493">
        <v>568</v>
      </c>
      <c r="AY41" s="493">
        <v>1296</v>
      </c>
      <c r="AZ41" s="901">
        <f t="shared" ref="AZ41:AZ46" si="118">SUM(AV41:AY41)</f>
      </c>
      <c r="BA41" s="957">
        <v>487</v>
      </c>
      <c r="BB41" s="493">
        <v>795</v>
      </c>
      <c r="BC41" s="493">
        <v>354</v>
      </c>
      <c r="BD41" s="493">
        <v>1473</v>
      </c>
      <c r="BE41" s="901">
        <f t="shared" ref="BE41:BE46" si="119">SUM(BA41:BD41)</f>
      </c>
      <c r="BF41" s="957">
        <v>1001</v>
      </c>
      <c r="BG41" s="493">
        <v>466</v>
      </c>
      <c r="BH41" s="493">
        <v>442</v>
      </c>
      <c r="BI41" s="493">
        <v>192</v>
      </c>
      <c r="BJ41" s="901">
        <f t="shared" si="87"/>
      </c>
      <c r="BK41" s="957">
        <v>385</v>
      </c>
      <c r="BL41" s="493">
        <v>4449</v>
      </c>
      <c r="BM41" s="493">
        <v>784</v>
      </c>
      <c r="BN41" s="493">
        <v>1164</v>
      </c>
      <c r="BO41" s="901">
        <f t="shared" si="88"/>
      </c>
      <c r="BP41" s="633">
        <v>646</v>
      </c>
      <c r="BQ41" s="633">
        <v>2335</v>
      </c>
      <c r="BR41" s="633">
        <v>268</v>
      </c>
      <c r="BS41" s="633">
        <v>245</v>
      </c>
      <c r="BT41" s="901">
        <f t="shared" si="89"/>
      </c>
      <c r="BU41" s="633">
        <v>228</v>
      </c>
      <c r="BV41" s="633">
        <v>96</v>
      </c>
      <c r="BW41" s="633">
        <v>112</v>
      </c>
      <c r="BX41" s="633">
        <v>143</v>
      </c>
      <c r="BY41" s="901">
        <f t="shared" si="90"/>
      </c>
      <c r="BZ41" s="633">
        <v>248</v>
      </c>
      <c r="CA41" s="633">
        <v>729</v>
      </c>
      <c r="CB41" s="633">
        <v>422</v>
      </c>
      <c r="CC41" s="633">
        <v>912</v>
      </c>
      <c r="CD41" s="901">
        <f t="shared" si="99"/>
      </c>
      <c r="CE41" s="633">
        <v>177</v>
      </c>
      <c r="CF41" s="633">
        <v>660</v>
      </c>
      <c r="CG41" s="633">
        <v>1405</v>
      </c>
      <c r="CH41" s="633">
        <v>180</v>
      </c>
      <c r="CI41" s="901">
        <f t="shared" si="91"/>
      </c>
      <c r="CJ41" s="633">
        <v>336</v>
      </c>
      <c r="CK41" s="633">
        <v>208</v>
      </c>
      <c r="CL41" s="633">
        <v>1091</v>
      </c>
      <c r="CM41" s="633">
        <v>278</v>
      </c>
      <c r="CN41" s="901">
        <f t="shared" si="100"/>
      </c>
      <c r="CO41" s="633">
        <v>417</v>
      </c>
      <c r="CP41" s="633">
        <v>145</v>
      </c>
      <c r="CQ41" s="633">
        <v>203</v>
      </c>
      <c r="CR41" s="633">
        <v>166</v>
      </c>
      <c r="CS41" s="901">
        <f t="shared" si="92"/>
      </c>
      <c r="CT41" s="633">
        <v>203</v>
      </c>
      <c r="CU41" s="633">
        <v>117</v>
      </c>
      <c r="CV41" s="633">
        <v>141</v>
      </c>
      <c r="CW41" s="633">
        <v>146</v>
      </c>
      <c r="CX41" s="901">
        <f t="shared" si="101"/>
      </c>
      <c r="CY41" s="633">
        <v>216</v>
      </c>
      <c r="CZ41" s="633">
        <v>121</v>
      </c>
      <c r="DA41" s="633">
        <v>146</v>
      </c>
      <c r="DB41" s="633">
        <v>151</v>
      </c>
      <c r="DC41" s="901">
        <f t="shared" si="93"/>
      </c>
      <c r="DD41" s="633">
        <v>219</v>
      </c>
      <c r="DE41" s="633">
        <v>117</v>
      </c>
      <c r="DF41" s="633">
        <v>159</v>
      </c>
      <c r="DG41" s="633">
        <v>173</v>
      </c>
      <c r="DH41" s="901">
        <f t="shared" si="102"/>
      </c>
      <c r="DI41" s="633">
        <v>241</v>
      </c>
      <c r="DJ41" s="633">
        <v>131</v>
      </c>
      <c r="DK41" s="633">
        <v>179</v>
      </c>
      <c r="DL41" s="633">
        <v>221</v>
      </c>
      <c r="DM41" s="901">
        <f t="shared" si="94"/>
      </c>
      <c r="DN41" s="633">
        <v>307</v>
      </c>
      <c r="DO41" s="633">
        <v>189</v>
      </c>
      <c r="DP41" s="633">
        <v>251</v>
      </c>
      <c r="DQ41" s="633">
        <v>255</v>
      </c>
      <c r="DR41" s="901">
        <f t="shared" si="103"/>
      </c>
      <c r="DS41" s="633">
        <v>360</v>
      </c>
      <c r="DT41" s="633">
        <v>200</v>
      </c>
      <c r="DU41" s="633">
        <v>274</v>
      </c>
      <c r="DV41" s="633">
        <v>308</v>
      </c>
      <c r="DW41" s="901">
        <f t="shared" si="104"/>
      </c>
      <c r="DX41" s="633">
        <v>427</v>
      </c>
      <c r="DY41" s="633">
        <v>234</v>
      </c>
      <c r="DZ41" s="633">
        <v>342</v>
      </c>
      <c r="EA41" s="633">
        <v>340</v>
      </c>
      <c r="EB41" s="901">
        <f t="shared" si="95"/>
      </c>
      <c r="EC41" s="633">
        <v>545</v>
      </c>
      <c r="ED41" s="633">
        <v>302</v>
      </c>
      <c r="EE41" s="633">
        <v>396</v>
      </c>
      <c r="EF41" s="633">
        <v>450</v>
      </c>
      <c r="EG41" s="901">
        <f t="shared" si="96"/>
      </c>
      <c r="EH41" s="633">
        <v>612</v>
      </c>
      <c r="EI41" s="633">
        <v>291</v>
      </c>
      <c r="EJ41" s="633">
        <v>477</v>
      </c>
      <c r="EK41" s="633">
        <v>461</v>
      </c>
      <c r="EL41" s="901">
        <f t="shared" si="97"/>
      </c>
      <c r="EM41" s="633">
        <v>575</v>
      </c>
      <c r="EN41" s="633">
        <v>243</v>
      </c>
      <c r="EO41" s="633">
        <v>536</v>
      </c>
      <c r="EP41" s="633">
        <v>512</v>
      </c>
      <c r="EQ41" s="901">
        <f t="shared" si="98"/>
      </c>
      <c r="ER41" s="633">
        <v>685</v>
      </c>
      <c r="ES41" s="633">
        <v>261</v>
      </c>
      <c r="ET41" s="954">
        <v>522</v>
      </c>
      <c r="EU41" s="954">
        <v>534</v>
      </c>
      <c r="EV41" s="901">
        <f t="shared" si="105"/>
      </c>
      <c r="EW41" s="1600">
        <v>706</v>
      </c>
      <c r="EX41" s="815">
        <v>256</v>
      </c>
      <c r="EY41" s="815">
        <v>546</v>
      </c>
      <c r="EZ41" s="815">
        <v>548</v>
      </c>
      <c r="FA41" s="901">
        <f t="shared" si="106"/>
      </c>
      <c r="FB41" s="935"/>
      <c r="FC41" s="372"/>
      <c r="FD41" s="372"/>
      <c r="FE41" s="493"/>
      <c r="FF41" s="901">
        <f t="shared" si="107"/>
      </c>
      <c r="FG41" s="935"/>
      <c r="FH41" s="372"/>
      <c r="FI41" s="372"/>
      <c r="FJ41" s="493"/>
      <c r="FK41" s="901">
        <f t="shared" si="108"/>
      </c>
      <c r="FL41" s="935"/>
      <c r="FM41" s="372"/>
      <c r="FN41" s="372"/>
      <c r="FO41" s="493"/>
      <c r="FP41" s="901">
        <f t="shared" si="109"/>
      </c>
      <c r="FQ41" s="935"/>
      <c r="FR41" s="372"/>
      <c r="FS41" s="372"/>
      <c r="FT41" s="493"/>
      <c r="FU41" s="901">
        <f t="shared" si="110"/>
      </c>
      <c r="FV41" s="935"/>
      <c r="FW41" s="372"/>
      <c r="FX41" s="372"/>
      <c r="FY41" s="493"/>
      <c r="FZ41" s="901">
        <f t="shared" si="111"/>
      </c>
      <c r="GA41" s="935"/>
      <c r="GB41" s="372"/>
      <c r="GC41" s="372"/>
      <c r="GD41" s="493"/>
      <c r="GE41" s="901">
        <f t="shared" si="112"/>
      </c>
      <c r="GF41" s="935"/>
      <c r="GG41" s="372"/>
      <c r="GH41" s="372"/>
      <c r="GI41" s="493"/>
      <c r="GJ41" s="901">
        <f t="shared" si="113"/>
      </c>
    </row>
    <row r="42" spans="1:192" s="277" customFormat="1" ht="12.75" customHeight="1">
      <c r="A42" s="274"/>
      <c r="B42" s="1452" t="s">
        <v>131</v>
      </c>
      <c r="C42" s="957">
        <v>-242</v>
      </c>
      <c r="D42" s="493">
        <f>-560-C42</f>
      </c>
      <c r="E42" s="493">
        <f>-664-D42-C42</f>
      </c>
      <c r="F42" s="493">
        <f>-649-E42-D42-C42</f>
      </c>
      <c r="G42" s="901">
        <f t="shared" si="76"/>
      </c>
      <c r="H42" s="957">
        <v>-129</v>
      </c>
      <c r="I42" s="493">
        <f>-472-H42</f>
      </c>
      <c r="J42" s="493">
        <f>-800-I42-H42</f>
      </c>
      <c r="K42" s="493">
        <f>-1261-J42-I42-H42</f>
      </c>
      <c r="L42" s="901">
        <f t="shared" si="77"/>
      </c>
      <c r="M42" s="957">
        <v>-729</v>
      </c>
      <c r="N42" s="493">
        <f>-1101-M42</f>
      </c>
      <c r="O42" s="493">
        <f>-3101-N42-M42</f>
      </c>
      <c r="P42" s="493">
        <f>-3101-O42-N42-M42</f>
      </c>
      <c r="Q42" s="901">
        <f t="shared" si="78"/>
      </c>
      <c r="R42" s="957">
        <v>-913</v>
      </c>
      <c r="S42" s="493">
        <f>-1596-R42</f>
      </c>
      <c r="T42" s="493">
        <f>-1605-S42-R42</f>
      </c>
      <c r="U42" s="493">
        <f>-2468-T42-S42-R42</f>
      </c>
      <c r="V42" s="901">
        <f t="shared" si="114"/>
      </c>
      <c r="W42" s="957">
        <v>-504</v>
      </c>
      <c r="X42" s="493">
        <f>-772-W42</f>
      </c>
      <c r="Y42" s="493">
        <f>-1527-X42-W42</f>
      </c>
      <c r="Z42" s="493">
        <f>-2950-Y42-X42-W42</f>
      </c>
      <c r="AA42" s="901">
        <f t="shared" si="80"/>
      </c>
      <c r="AB42" s="957">
        <v>-1034</v>
      </c>
      <c r="AC42" s="493">
        <f>-4852-AB42</f>
      </c>
      <c r="AD42" s="493">
        <f>-4872-AC42-AB42</f>
      </c>
      <c r="AE42" s="493">
        <f>-4896-AD42-AC42-AB42</f>
      </c>
      <c r="AF42" s="901">
        <f t="shared" si="115"/>
      </c>
      <c r="AG42" s="957">
        <v>-1752</v>
      </c>
      <c r="AH42" s="493">
        <f>-3225-AG42</f>
      </c>
      <c r="AI42" s="493">
        <f>-4381-AH42-AG42</f>
      </c>
      <c r="AJ42" s="493">
        <f>-6074-AI42-AH42-AG42</f>
      </c>
      <c r="AK42" s="901">
        <f t="shared" si="116"/>
      </c>
      <c r="AL42" s="957">
        <v>-1125</v>
      </c>
      <c r="AM42" s="493">
        <f>-1266-AL42</f>
      </c>
      <c r="AN42" s="493">
        <f>-1942-AM42-AL42</f>
      </c>
      <c r="AO42" s="493">
        <f>-6069-AN42-AM42-AL42</f>
      </c>
      <c r="AP42" s="901">
        <f t="shared" si="83"/>
      </c>
      <c r="AQ42" s="957">
        <v>-3497</v>
      </c>
      <c r="AR42" s="493">
        <v>-936</v>
      </c>
      <c r="AS42" s="493">
        <v>-839</v>
      </c>
      <c r="AT42" s="493">
        <v>-1214</v>
      </c>
      <c r="AU42" s="901">
        <f t="shared" si="117"/>
      </c>
      <c r="AV42" s="957">
        <v>-1045</v>
      </c>
      <c r="AW42" s="493">
        <v>-730</v>
      </c>
      <c r="AX42" s="493">
        <v>-1608</v>
      </c>
      <c r="AY42" s="493">
        <v>0</v>
      </c>
      <c r="AZ42" s="901">
        <f t="shared" si="118"/>
      </c>
      <c r="BA42" s="957">
        <v>-355</v>
      </c>
      <c r="BB42" s="493">
        <v>-969</v>
      </c>
      <c r="BC42" s="493">
        <v>-2427</v>
      </c>
      <c r="BD42" s="493">
        <v>-4306</v>
      </c>
      <c r="BE42" s="901">
        <f t="shared" si="119"/>
      </c>
      <c r="BF42" s="957">
        <v>-3116</v>
      </c>
      <c r="BG42" s="493">
        <v>-7435</v>
      </c>
      <c r="BH42" s="493">
        <v>-4675</v>
      </c>
      <c r="BI42" s="493">
        <v>-3981</v>
      </c>
      <c r="BJ42" s="901">
        <f t="shared" si="87"/>
      </c>
      <c r="BK42" s="957">
        <v>-7683</v>
      </c>
      <c r="BL42" s="493">
        <v>-5797</v>
      </c>
      <c r="BM42" s="493">
        <v>-6878</v>
      </c>
      <c r="BN42" s="493">
        <v>-7217</v>
      </c>
      <c r="BO42" s="901">
        <f t="shared" si="88"/>
      </c>
      <c r="BP42" s="633">
        <v>-2930</v>
      </c>
      <c r="BQ42" s="633">
        <v>-4057</v>
      </c>
      <c r="BR42" s="633">
        <v>-1240</v>
      </c>
      <c r="BS42" s="633">
        <v>-4306</v>
      </c>
      <c r="BT42" s="901">
        <f t="shared" si="89"/>
      </c>
      <c r="BU42" s="633">
        <v>-6493</v>
      </c>
      <c r="BV42" s="633">
        <v>-2820</v>
      </c>
      <c r="BW42" s="633">
        <v>-18</v>
      </c>
      <c r="BX42" s="633">
        <v>-22</v>
      </c>
      <c r="BY42" s="901">
        <f t="shared" si="90"/>
      </c>
      <c r="BZ42" s="633">
        <v>-1540</v>
      </c>
      <c r="CA42" s="633">
        <v>-3867</v>
      </c>
      <c r="CB42" s="633">
        <v>-2023</v>
      </c>
      <c r="CC42" s="633">
        <v>-3839</v>
      </c>
      <c r="CD42" s="901">
        <f t="shared" si="99"/>
      </c>
      <c r="CE42" s="633">
        <v>-4399</v>
      </c>
      <c r="CF42" s="633">
        <v>-5052</v>
      </c>
      <c r="CG42" s="633">
        <v>-848</v>
      </c>
      <c r="CH42" s="633">
        <v>-1256</v>
      </c>
      <c r="CI42" s="901">
        <f t="shared" si="91"/>
      </c>
      <c r="CJ42" s="633">
        <v>-1934</v>
      </c>
      <c r="CK42" s="633">
        <v>-1042</v>
      </c>
      <c r="CL42" s="633">
        <v>-1023</v>
      </c>
      <c r="CM42" s="633">
        <v>-1030</v>
      </c>
      <c r="CN42" s="901">
        <f t="shared" si="100"/>
      </c>
      <c r="CO42" s="633">
        <v>-1632</v>
      </c>
      <c r="CP42" s="633">
        <v>-1658</v>
      </c>
      <c r="CQ42" s="633">
        <v>-1028</v>
      </c>
      <c r="CR42" s="633">
        <v>-1042</v>
      </c>
      <c r="CS42" s="901">
        <f t="shared" si="92"/>
      </c>
      <c r="CT42" s="633">
        <v>-2188</v>
      </c>
      <c r="CU42" s="633">
        <v>-2113</v>
      </c>
      <c r="CV42" s="633">
        <v>-1845</v>
      </c>
      <c r="CW42" s="633">
        <v>-1170</v>
      </c>
      <c r="CX42" s="901">
        <f t="shared" si="101"/>
      </c>
      <c r="CY42" s="633">
        <v>-2888</v>
      </c>
      <c r="CZ42" s="633">
        <v>-2145</v>
      </c>
      <c r="DA42" s="633">
        <v>-5131</v>
      </c>
      <c r="DB42" s="633">
        <v>-4279</v>
      </c>
      <c r="DC42" s="901">
        <f t="shared" si="93"/>
      </c>
      <c r="DD42" s="633">
        <v>-4757</v>
      </c>
      <c r="DE42" s="633">
        <v>-3678</v>
      </c>
      <c r="DF42" s="633">
        <v>-3857</v>
      </c>
      <c r="DG42" s="633">
        <v>-3677</v>
      </c>
      <c r="DH42" s="901">
        <f t="shared" si="102"/>
      </c>
      <c r="DI42" s="633">
        <v>-4362</v>
      </c>
      <c r="DJ42" s="633">
        <v>-3599</v>
      </c>
      <c r="DK42" s="633">
        <v>-2062</v>
      </c>
      <c r="DL42" s="633">
        <v>-1765</v>
      </c>
      <c r="DM42" s="901">
        <f t="shared" si="94"/>
      </c>
      <c r="DN42" s="633">
        <v>-2570</v>
      </c>
      <c r="DO42" s="633">
        <v>-2008</v>
      </c>
      <c r="DP42" s="633">
        <v>-3781</v>
      </c>
      <c r="DQ42" s="633">
        <v>-2362</v>
      </c>
      <c r="DR42" s="901">
        <f t="shared" si="103"/>
      </c>
      <c r="DS42" s="633">
        <v>-3744</v>
      </c>
      <c r="DT42" s="633">
        <v>-6413</v>
      </c>
      <c r="DU42" s="633">
        <v>-4753</v>
      </c>
      <c r="DV42" s="633">
        <v>-4633</v>
      </c>
      <c r="DW42" s="901">
        <f t="shared" si="104"/>
      </c>
      <c r="DX42" s="633">
        <v>-4912</v>
      </c>
      <c r="DY42" s="633">
        <v>-5206</v>
      </c>
      <c r="DZ42" s="633">
        <v>-7059</v>
      </c>
      <c r="EA42" s="633">
        <v>-5791</v>
      </c>
      <c r="EB42" s="901">
        <f t="shared" si="95"/>
      </c>
      <c r="EC42" s="633">
        <v>-6743</v>
      </c>
      <c r="ED42" s="633">
        <v>-6535</v>
      </c>
      <c r="EE42" s="633">
        <v>-6930</v>
      </c>
      <c r="EF42" s="633">
        <v>-7177</v>
      </c>
      <c r="EG42" s="901">
        <f t="shared" si="96"/>
      </c>
      <c r="EH42" s="633">
        <v>-7684</v>
      </c>
      <c r="EI42" s="633">
        <v>-7433</v>
      </c>
      <c r="EJ42" s="633">
        <v>-8822</v>
      </c>
      <c r="EK42" s="633">
        <v>-8757</v>
      </c>
      <c r="EL42" s="901">
        <f t="shared" si="97"/>
      </c>
      <c r="EM42" s="633">
        <v>-5573</v>
      </c>
      <c r="EN42" s="633">
        <v>-5459</v>
      </c>
      <c r="EO42" s="633">
        <v>-5509</v>
      </c>
      <c r="EP42" s="633">
        <v>-5704</v>
      </c>
      <c r="EQ42" s="901">
        <f t="shared" si="98"/>
      </c>
      <c r="ER42" s="633">
        <v>-4831</v>
      </c>
      <c r="ES42" s="633">
        <v>-4000</v>
      </c>
      <c r="ET42" s="954">
        <v>-4213</v>
      </c>
      <c r="EU42" s="954">
        <v>-4210</v>
      </c>
      <c r="EV42" s="901">
        <f t="shared" si="105"/>
      </c>
      <c r="EW42" s="1600">
        <v>-4107</v>
      </c>
      <c r="EX42" s="815">
        <v>-4986</v>
      </c>
      <c r="EY42" s="815">
        <v>-4781</v>
      </c>
      <c r="EZ42" s="815">
        <v>-4546</v>
      </c>
      <c r="FA42" s="901">
        <f t="shared" si="106"/>
      </c>
      <c r="FB42" s="1266">
        <f>'Share Count'!FB22</f>
      </c>
      <c r="FC42" s="690">
        <f>'Share Count'!FC22</f>
      </c>
      <c r="FD42" s="690">
        <f>'Share Count'!FD22</f>
      </c>
      <c r="FE42" s="690">
        <f>'Share Count'!FE22</f>
      </c>
      <c r="FF42" s="901">
        <f t="shared" si="107"/>
      </c>
      <c r="FG42" s="1266">
        <f>'Share Count'!FG22</f>
      </c>
      <c r="FH42" s="690">
        <f>'Share Count'!FH22</f>
      </c>
      <c r="FI42" s="690">
        <f>'Share Count'!FI22</f>
      </c>
      <c r="FJ42" s="690">
        <f>'Share Count'!FJ22</f>
      </c>
      <c r="FK42" s="901">
        <f t="shared" si="108"/>
      </c>
      <c r="FL42" s="1266">
        <f>'Share Count'!FL22</f>
      </c>
      <c r="FM42" s="690">
        <f>'Share Count'!FM22</f>
      </c>
      <c r="FN42" s="690">
        <f>'Share Count'!FN22</f>
      </c>
      <c r="FO42" s="690">
        <f>'Share Count'!FO22</f>
      </c>
      <c r="FP42" s="901">
        <f t="shared" si="109"/>
      </c>
      <c r="FQ42" s="1266">
        <f>'Share Count'!FQ22</f>
      </c>
      <c r="FR42" s="690">
        <f>'Share Count'!FR22</f>
      </c>
      <c r="FS42" s="690">
        <f>'Share Count'!FS22</f>
      </c>
      <c r="FT42" s="690">
        <f>'Share Count'!FT22</f>
      </c>
      <c r="FU42" s="901">
        <f t="shared" si="110"/>
      </c>
      <c r="FV42" s="1266">
        <f>'Share Count'!FV22</f>
      </c>
      <c r="FW42" s="690">
        <f>'Share Count'!FW22</f>
      </c>
      <c r="FX42" s="690">
        <f>'Share Count'!FX22</f>
      </c>
      <c r="FY42" s="690">
        <f>'Share Count'!FY22</f>
      </c>
      <c r="FZ42" s="901">
        <f t="shared" si="111"/>
      </c>
      <c r="GA42" s="1266">
        <f>'Share Count'!GA22</f>
      </c>
      <c r="GB42" s="690">
        <f>'Share Count'!GB22</f>
      </c>
      <c r="GC42" s="690">
        <f>'Share Count'!GC22</f>
      </c>
      <c r="GD42" s="690">
        <f>'Share Count'!GD22</f>
      </c>
      <c r="GE42" s="901">
        <f t="shared" si="112"/>
      </c>
      <c r="GF42" s="1266">
        <f>'Share Count'!GF22</f>
      </c>
      <c r="GG42" s="690">
        <f>'Share Count'!GG22</f>
      </c>
      <c r="GH42" s="690">
        <f>'Share Count'!GH22</f>
      </c>
      <c r="GI42" s="690">
        <f>'Share Count'!GI22</f>
      </c>
      <c r="GJ42" s="901">
        <f t="shared" si="113"/>
      </c>
    </row>
    <row r="43" spans="1:192" s="277" customFormat="1" ht="12.75" customHeight="1">
      <c r="A43" s="274"/>
      <c r="B43" s="1452" t="s">
        <v>132</v>
      </c>
      <c r="C43" s="633">
        <v>0</v>
      </c>
      <c r="D43" s="633">
        <v>0</v>
      </c>
      <c r="E43" s="633">
        <v>0</v>
      </c>
      <c r="F43" s="633">
        <v>0</v>
      </c>
      <c r="G43" s="901">
        <f t="shared" si="76"/>
      </c>
      <c r="H43" s="633">
        <v>0</v>
      </c>
      <c r="I43" s="633">
        <v>0</v>
      </c>
      <c r="J43" s="633">
        <v>0</v>
      </c>
      <c r="K43" s="633">
        <v>0</v>
      </c>
      <c r="L43" s="901">
        <f t="shared" si="77"/>
      </c>
      <c r="M43" s="633">
        <v>0</v>
      </c>
      <c r="N43" s="633">
        <v>0</v>
      </c>
      <c r="O43" s="633">
        <v>0</v>
      </c>
      <c r="P43" s="633">
        <v>0</v>
      </c>
      <c r="Q43" s="901">
        <f t="shared" si="78"/>
      </c>
      <c r="R43" s="633">
        <v>0</v>
      </c>
      <c r="S43" s="633">
        <v>0</v>
      </c>
      <c r="T43" s="633">
        <v>0</v>
      </c>
      <c r="U43" s="633">
        <v>0</v>
      </c>
      <c r="V43" s="901">
        <f t="shared" si="114"/>
      </c>
      <c r="W43" s="633">
        <v>0</v>
      </c>
      <c r="X43" s="633">
        <v>0</v>
      </c>
      <c r="Y43" s="633">
        <v>0</v>
      </c>
      <c r="Z43" s="633">
        <v>0</v>
      </c>
      <c r="AA43" s="901">
        <f t="shared" si="80"/>
      </c>
      <c r="AB43" s="633">
        <v>0</v>
      </c>
      <c r="AC43" s="633">
        <v>0</v>
      </c>
      <c r="AD43" s="633">
        <v>0</v>
      </c>
      <c r="AE43" s="633">
        <v>0</v>
      </c>
      <c r="AF43" s="901">
        <f t="shared" si="115"/>
      </c>
      <c r="AG43" s="633">
        <v>0</v>
      </c>
      <c r="AH43" s="633">
        <v>0</v>
      </c>
      <c r="AI43" s="633">
        <v>0</v>
      </c>
      <c r="AJ43" s="633">
        <v>0</v>
      </c>
      <c r="AK43" s="901">
        <f t="shared" si="116"/>
      </c>
      <c r="AL43" s="633">
        <v>0</v>
      </c>
      <c r="AM43" s="633">
        <v>0</v>
      </c>
      <c r="AN43" s="633">
        <v>0</v>
      </c>
      <c r="AO43" s="633">
        <v>0</v>
      </c>
      <c r="AP43" s="901">
        <f t="shared" si="83"/>
      </c>
      <c r="AQ43" s="957">
        <v>0</v>
      </c>
      <c r="AR43" s="493">
        <v>0</v>
      </c>
      <c r="AS43" s="493">
        <v>-857</v>
      </c>
      <c r="AT43" s="493">
        <v>0</v>
      </c>
      <c r="AU43" s="901">
        <f t="shared" si="117"/>
      </c>
      <c r="AV43" s="957">
        <v>0</v>
      </c>
      <c r="AW43" s="493">
        <v>-1729</v>
      </c>
      <c r="AX43" s="493">
        <v>0</v>
      </c>
      <c r="AY43" s="493">
        <v>0</v>
      </c>
      <c r="AZ43" s="901">
        <f t="shared" si="118"/>
      </c>
      <c r="BA43" s="957">
        <v>-870</v>
      </c>
      <c r="BB43" s="493">
        <v>-33498</v>
      </c>
      <c r="BC43" s="493">
        <v>-885</v>
      </c>
      <c r="BD43" s="493">
        <v>-859</v>
      </c>
      <c r="BE43" s="901">
        <f t="shared" si="119"/>
      </c>
      <c r="BF43" s="957">
        <v>-857</v>
      </c>
      <c r="BG43" s="493">
        <v>-846</v>
      </c>
      <c r="BH43" s="493">
        <v>-925</v>
      </c>
      <c r="BI43" s="493">
        <v>-917</v>
      </c>
      <c r="BJ43" s="901">
        <f t="shared" si="87"/>
      </c>
      <c r="BK43" s="957">
        <v>-897</v>
      </c>
      <c r="BL43" s="493">
        <v>-980</v>
      </c>
      <c r="BM43" s="493">
        <v>-976</v>
      </c>
      <c r="BN43" s="493">
        <v>-952</v>
      </c>
      <c r="BO43" s="901">
        <f t="shared" si="88"/>
      </c>
      <c r="BP43" s="633">
        <v>-938</v>
      </c>
      <c r="BQ43" s="633">
        <v>-1034</v>
      </c>
      <c r="BR43" s="633">
        <v>-1023</v>
      </c>
      <c r="BS43" s="633">
        <v>-1020</v>
      </c>
      <c r="BT43" s="901">
        <f t="shared" si="89"/>
      </c>
      <c r="BU43" s="633">
        <v>-998</v>
      </c>
      <c r="BV43" s="633">
        <v>-1157</v>
      </c>
      <c r="BW43" s="633">
        <v>-1155</v>
      </c>
      <c r="BX43" s="633">
        <v>-1158</v>
      </c>
      <c r="BY43" s="901">
        <f t="shared" si="90"/>
      </c>
      <c r="BZ43" s="633">
        <v>-1157</v>
      </c>
      <c r="CA43" s="633">
        <v>-1152</v>
      </c>
      <c r="CB43" s="633">
        <v>-1139</v>
      </c>
      <c r="CC43" s="633">
        <v>-1130</v>
      </c>
      <c r="CD43" s="901">
        <f t="shared" si="99"/>
      </c>
      <c r="CE43" s="633">
        <v>-1118</v>
      </c>
      <c r="CF43" s="633">
        <v>-1363</v>
      </c>
      <c r="CG43" s="633">
        <v>-1349</v>
      </c>
      <c r="CH43" s="633">
        <v>-1350</v>
      </c>
      <c r="CI43" s="901">
        <f t="shared" si="91"/>
      </c>
      <c r="CJ43" s="633">
        <v>-1341</v>
      </c>
      <c r="CK43" s="633">
        <v>-1683</v>
      </c>
      <c r="CL43" s="633">
        <v>-1683</v>
      </c>
      <c r="CM43" s="633">
        <v>-1678</v>
      </c>
      <c r="CN43" s="901">
        <f t="shared" si="100"/>
      </c>
      <c r="CO43" s="633">
        <v>-1676</v>
      </c>
      <c r="CP43" s="633">
        <v>-1933</v>
      </c>
      <c r="CQ43" s="633">
        <v>-1925</v>
      </c>
      <c r="CR43" s="633">
        <v>-1921</v>
      </c>
      <c r="CS43" s="901">
        <f t="shared" si="92"/>
      </c>
      <c r="CT43" s="633">
        <v>-1916</v>
      </c>
      <c r="CU43" s="633">
        <v>-2332</v>
      </c>
      <c r="CV43" s="633">
        <v>-2322</v>
      </c>
      <c r="CW43" s="633">
        <v>-2309</v>
      </c>
      <c r="CX43" s="901">
        <f t="shared" si="101"/>
      </c>
      <c r="CY43" s="633">
        <v>-2307</v>
      </c>
      <c r="CZ43" s="633">
        <v>-2547</v>
      </c>
      <c r="DA43" s="633">
        <v>-2532</v>
      </c>
      <c r="DB43" s="633">
        <v>-2496</v>
      </c>
      <c r="DC43" s="901">
        <f t="shared" si="93"/>
      </c>
      <c r="DD43" s="633">
        <v>-2475</v>
      </c>
      <c r="DE43" s="633">
        <v>-2868</v>
      </c>
      <c r="DF43" s="633">
        <v>-2842</v>
      </c>
      <c r="DG43" s="633">
        <v>-2821</v>
      </c>
      <c r="DH43" s="901">
        <f t="shared" si="102"/>
      </c>
      <c r="DI43" s="633">
        <v>-2800</v>
      </c>
      <c r="DJ43" s="633">
        <v>-3024</v>
      </c>
      <c r="DK43" s="633">
        <v>-3012</v>
      </c>
      <c r="DL43" s="633">
        <v>-3009</v>
      </c>
      <c r="DM43" s="901">
        <f t="shared" si="94"/>
      </c>
      <c r="DN43" s="633">
        <v>-3003</v>
      </c>
      <c r="DO43" s="633">
        <v>-3238</v>
      </c>
      <c r="DP43" s="633">
        <v>-3232</v>
      </c>
      <c r="DQ43" s="633">
        <v>-3226</v>
      </c>
      <c r="DR43" s="901">
        <f t="shared" si="103"/>
      </c>
      <c r="DS43" s="633">
        <v>-3220</v>
      </c>
      <c r="DT43" s="633">
        <v>-3544</v>
      </c>
      <c r="DU43" s="633">
        <v>-3526</v>
      </c>
      <c r="DV43" s="633">
        <v>-3521</v>
      </c>
      <c r="DW43" s="901">
        <f t="shared" si="104"/>
      </c>
      <c r="DX43" s="633">
        <v>-3510</v>
      </c>
      <c r="DY43" s="633">
        <v>-3886</v>
      </c>
      <c r="DZ43" s="633">
        <v>-3876</v>
      </c>
      <c r="EA43" s="633">
        <v>-3865</v>
      </c>
      <c r="EB43" s="901">
        <f t="shared" si="95"/>
      </c>
      <c r="EC43" s="633">
        <v>-3856</v>
      </c>
      <c r="ED43" s="633">
        <v>-4230</v>
      </c>
      <c r="EE43" s="633">
        <v>-4221</v>
      </c>
      <c r="EF43" s="633">
        <v>-4214</v>
      </c>
      <c r="EG43" s="901">
        <f t="shared" si="96"/>
      </c>
      <c r="EH43" s="633">
        <v>-4206</v>
      </c>
      <c r="EI43" s="633">
        <v>-4652</v>
      </c>
      <c r="EJ43" s="633">
        <v>-4645</v>
      </c>
      <c r="EK43" s="633">
        <v>-4632</v>
      </c>
      <c r="EL43" s="901">
        <f t="shared" si="97"/>
      </c>
      <c r="EM43" s="633">
        <v>-4621</v>
      </c>
      <c r="EN43" s="633">
        <v>-5066</v>
      </c>
      <c r="EO43" s="633">
        <v>-5059</v>
      </c>
      <c r="EP43" s="633">
        <v>-5054</v>
      </c>
      <c r="EQ43" s="901">
        <f t="shared" si="98"/>
      </c>
      <c r="ER43" s="633">
        <v>-5051</v>
      </c>
      <c r="ES43" s="633">
        <v>-5574</v>
      </c>
      <c r="ET43" s="954">
        <v>-5572</v>
      </c>
      <c r="EU43" s="954">
        <v>-5574</v>
      </c>
      <c r="EV43" s="901">
        <f t="shared" si="105"/>
      </c>
      <c r="EW43" s="1600">
        <v>-5574</v>
      </c>
      <c r="EX43" s="815">
        <v>-6170</v>
      </c>
      <c r="EY43" s="815">
        <v>-6169</v>
      </c>
      <c r="EZ43" s="815">
        <v>-6169</v>
      </c>
      <c r="FA43" s="901">
        <f t="shared" si="106"/>
      </c>
      <c r="FB43" s="1266">
        <f>'Share Count'!FB34</f>
      </c>
      <c r="FC43" s="690">
        <f>'Share Count'!FC34</f>
      </c>
      <c r="FD43" s="690">
        <f>'Share Count'!FD34</f>
      </c>
      <c r="FE43" s="690">
        <f>'Share Count'!FE34</f>
      </c>
      <c r="FF43" s="901">
        <f t="shared" si="107"/>
      </c>
      <c r="FG43" s="1266">
        <f>'Share Count'!FG34</f>
      </c>
      <c r="FH43" s="690">
        <f>'Share Count'!FH34</f>
      </c>
      <c r="FI43" s="690">
        <f>'Share Count'!FI34</f>
      </c>
      <c r="FJ43" s="690">
        <f>'Share Count'!FJ34</f>
      </c>
      <c r="FK43" s="901">
        <f t="shared" si="108"/>
      </c>
      <c r="FL43" s="1266">
        <f>'Share Count'!FL34</f>
      </c>
      <c r="FM43" s="690">
        <f>'Share Count'!FM34</f>
      </c>
      <c r="FN43" s="690">
        <f>'Share Count'!FN34</f>
      </c>
      <c r="FO43" s="690">
        <f>'Share Count'!FO34</f>
      </c>
      <c r="FP43" s="901">
        <f t="shared" si="109"/>
      </c>
      <c r="FQ43" s="1266">
        <f>'Share Count'!FQ34</f>
      </c>
      <c r="FR43" s="690">
        <f>'Share Count'!FR34</f>
      </c>
      <c r="FS43" s="690">
        <f>'Share Count'!FS34</f>
      </c>
      <c r="FT43" s="690">
        <f>'Share Count'!FT34</f>
      </c>
      <c r="FU43" s="901">
        <f t="shared" si="110"/>
      </c>
      <c r="FV43" s="1266">
        <f>'Share Count'!FV34</f>
      </c>
      <c r="FW43" s="690">
        <f>'Share Count'!FW34</f>
      </c>
      <c r="FX43" s="690">
        <f>'Share Count'!FX34</f>
      </c>
      <c r="FY43" s="690">
        <f>'Share Count'!FY34</f>
      </c>
      <c r="FZ43" s="901">
        <f t="shared" si="111"/>
      </c>
      <c r="GA43" s="1266">
        <f>'Share Count'!GA34</f>
      </c>
      <c r="GB43" s="690">
        <f>'Share Count'!GB34</f>
      </c>
      <c r="GC43" s="690">
        <f>'Share Count'!GC34</f>
      </c>
      <c r="GD43" s="690">
        <f>'Share Count'!GD34</f>
      </c>
      <c r="GE43" s="901">
        <f t="shared" si="112"/>
      </c>
      <c r="GF43" s="1266">
        <f>'Share Count'!GF34</f>
      </c>
      <c r="GG43" s="690">
        <f>'Share Count'!GG34</f>
      </c>
      <c r="GH43" s="690">
        <f>'Share Count'!GH34</f>
      </c>
      <c r="GI43" s="690">
        <f>'Share Count'!GI34</f>
      </c>
      <c r="GJ43" s="901">
        <f t="shared" si="113"/>
      </c>
    </row>
    <row r="44" spans="1:192" s="277" customFormat="1" ht="12.75" hidden="1" customHeight="1" outlineLevel="1">
      <c r="A44" s="274"/>
      <c r="B44" s="1452" t="s">
        <v>143</v>
      </c>
      <c r="C44" s="957">
        <v>39</v>
      </c>
      <c r="D44" s="493">
        <f>78-C44</f>
      </c>
      <c r="E44" s="493">
        <f>123-D44-C44</f>
      </c>
      <c r="F44" s="493">
        <f>179-E44-D44-C44</f>
      </c>
      <c r="G44" s="901">
        <f t="shared" si="76"/>
      </c>
      <c r="H44" s="957">
        <v>58</v>
      </c>
      <c r="I44" s="493">
        <f>71-H44</f>
      </c>
      <c r="J44" s="493">
        <f>243-I44-H44</f>
      </c>
      <c r="K44" s="493">
        <f>352-J44-I44-H44</f>
      </c>
      <c r="L44" s="901">
        <f t="shared" si="77"/>
      </c>
      <c r="M44" s="957">
        <v>106</v>
      </c>
      <c r="N44" s="493">
        <f>226-M44</f>
      </c>
      <c r="O44" s="493">
        <f>482-N44-M44</f>
      </c>
      <c r="P44" s="493">
        <f>796-O44-N44-M44</f>
      </c>
      <c r="Q44" s="901">
        <f t="shared" si="78"/>
      </c>
      <c r="R44" s="957">
        <v>199</v>
      </c>
      <c r="S44" s="493">
        <f>407-R44</f>
      </c>
      <c r="T44" s="493">
        <f>910-S44-R44</f>
      </c>
      <c r="U44" s="493">
        <f>1553-T44-S44-R44</f>
      </c>
      <c r="V44" s="901">
        <f t="shared" si="114"/>
      </c>
      <c r="W44" s="957">
        <v>591</v>
      </c>
      <c r="X44" s="493">
        <f>1218-W44</f>
      </c>
      <c r="Y44" s="493">
        <f>2238-X44-W44</f>
      </c>
      <c r="Z44" s="493">
        <f>-Y44-X44-W44</f>
      </c>
      <c r="AA44" s="901">
        <f t="shared" si="80"/>
      </c>
      <c r="AB44" s="957">
        <v>1215</v>
      </c>
      <c r="AC44" s="493">
        <f>2636-AB44</f>
      </c>
      <c r="AD44" s="493">
        <f>4002-AC44-AB44</f>
      </c>
      <c r="AE44" s="493">
        <f>-AD44-AC44-AB44</f>
      </c>
      <c r="AF44" s="901">
        <f t="shared" si="115"/>
      </c>
      <c r="AG44" s="633">
        <v>0</v>
      </c>
      <c r="AH44" s="633">
        <v>0</v>
      </c>
      <c r="AI44" s="633">
        <v>0</v>
      </c>
      <c r="AJ44" s="633">
        <v>0</v>
      </c>
      <c r="AK44" s="901">
        <f t="shared" si="116"/>
      </c>
      <c r="AL44" s="633">
        <v>0</v>
      </c>
      <c r="AM44" s="633">
        <v>0</v>
      </c>
      <c r="AN44" s="633">
        <v>0</v>
      </c>
      <c r="AO44" s="633">
        <v>0</v>
      </c>
      <c r="AP44" s="901">
        <f t="shared" si="83"/>
      </c>
      <c r="AQ44" s="633">
        <v>0</v>
      </c>
      <c r="AR44" s="633">
        <v>0</v>
      </c>
      <c r="AS44" s="633">
        <v>0</v>
      </c>
      <c r="AT44" s="633">
        <v>0</v>
      </c>
      <c r="AU44" s="901">
        <f t="shared" si="117"/>
      </c>
      <c r="AV44" s="633">
        <v>0</v>
      </c>
      <c r="AW44" s="633">
        <v>0</v>
      </c>
      <c r="AX44" s="633">
        <v>0</v>
      </c>
      <c r="AY44" s="633">
        <v>0</v>
      </c>
      <c r="AZ44" s="901">
        <f t="shared" si="118"/>
      </c>
      <c r="BA44" s="633">
        <v>0</v>
      </c>
      <c r="BB44" s="633">
        <v>0</v>
      </c>
      <c r="BC44" s="633">
        <v>0</v>
      </c>
      <c r="BD44" s="633">
        <v>0</v>
      </c>
      <c r="BE44" s="901">
        <f t="shared" si="119"/>
      </c>
      <c r="BF44" s="957">
        <v>31</v>
      </c>
      <c r="BG44" s="493">
        <v>13</v>
      </c>
      <c r="BH44" s="493">
        <v>23</v>
      </c>
      <c r="BI44" s="493">
        <v>22</v>
      </c>
      <c r="BJ44" s="901">
        <f t="shared" si="87"/>
      </c>
      <c r="BK44" s="957">
        <v>40</v>
      </c>
      <c r="BL44" s="493">
        <v>8</v>
      </c>
      <c r="BM44" s="493">
        <v>7</v>
      </c>
      <c r="BN44" s="493">
        <v>22</v>
      </c>
      <c r="BO44" s="901">
        <f t="shared" si="88"/>
      </c>
      <c r="BP44" s="633">
        <v>69</v>
      </c>
      <c r="BQ44" s="633">
        <v>33</v>
      </c>
      <c r="BR44" s="633">
        <v>9</v>
      </c>
      <c r="BS44" s="633">
        <v>9</v>
      </c>
      <c r="BT44" s="901">
        <f t="shared" si="89"/>
      </c>
      <c r="BU44" s="633">
        <v>44</v>
      </c>
      <c r="BV44" s="633">
        <v>2</v>
      </c>
      <c r="BW44" s="633">
        <v>2</v>
      </c>
      <c r="BX44" s="633">
        <v>4</v>
      </c>
      <c r="BY44" s="901">
        <f t="shared" si="90"/>
      </c>
      <c r="BZ44" s="633">
        <v>9</v>
      </c>
      <c r="CA44" s="633">
        <v>15</v>
      </c>
      <c r="CB44" s="633">
        <v>14</v>
      </c>
      <c r="CC44" s="633">
        <v>7</v>
      </c>
      <c r="CD44" s="901">
        <f t="shared" si="99"/>
      </c>
      <c r="CE44" s="633">
        <v>5</v>
      </c>
      <c r="CF44" s="633">
        <v>4</v>
      </c>
      <c r="CG44" s="633">
        <v>5</v>
      </c>
      <c r="CH44" s="633">
        <v>3</v>
      </c>
      <c r="CI44" s="901">
        <f t="shared" si="91"/>
      </c>
      <c r="CJ44" s="633">
        <v>70</v>
      </c>
      <c r="CK44" s="633">
        <v>4</v>
      </c>
      <c r="CL44" s="633">
        <v>10</v>
      </c>
      <c r="CM44" s="633">
        <v>9</v>
      </c>
      <c r="CN44" s="901">
        <f t="shared" si="100"/>
      </c>
      <c r="CO44" s="633">
        <v>177</v>
      </c>
      <c r="CP44" s="633">
        <v>9</v>
      </c>
      <c r="CQ44" s="633">
        <v>6</v>
      </c>
      <c r="CR44" s="633">
        <v>17</v>
      </c>
      <c r="CS44" s="901">
        <f t="shared" si="92"/>
      </c>
      <c r="CT44" s="633">
        <v>205</v>
      </c>
      <c r="CU44" s="633">
        <v>20</v>
      </c>
      <c r="CV44" s="633">
        <v>22</v>
      </c>
      <c r="CW44" s="633">
        <v>24</v>
      </c>
      <c r="CX44" s="901">
        <f t="shared" si="101"/>
      </c>
      <c r="CY44" s="633">
        <v>502</v>
      </c>
      <c r="CZ44" s="633">
        <v>22</v>
      </c>
      <c r="DA44" s="633">
        <v>31</v>
      </c>
      <c r="DB44" s="633">
        <v>33</v>
      </c>
      <c r="DC44" s="901">
        <f t="shared" si="93"/>
      </c>
      <c r="DD44" s="633">
        <v>282</v>
      </c>
      <c r="DE44" s="633">
        <v>20</v>
      </c>
      <c r="DF44" s="633">
        <v>0</v>
      </c>
      <c r="DG44" s="633">
        <v>0</v>
      </c>
      <c r="DH44" s="901">
        <f t="shared" si="102"/>
      </c>
      <c r="DI44" s="633">
        <v>0</v>
      </c>
      <c r="DJ44" s="633">
        <v>0</v>
      </c>
      <c r="DK44" s="633">
        <v>0</v>
      </c>
      <c r="DL44" s="633">
        <v>0</v>
      </c>
      <c r="DM44" s="901">
        <f t="shared" si="94"/>
      </c>
      <c r="DN44" s="633">
        <v>0</v>
      </c>
      <c r="DO44" s="633">
        <v>0</v>
      </c>
      <c r="DP44" s="633">
        <v>0</v>
      </c>
      <c r="DQ44" s="633">
        <v>0</v>
      </c>
      <c r="DR44" s="901">
        <f t="shared" si="103"/>
      </c>
      <c r="DS44" s="633">
        <v>0</v>
      </c>
      <c r="DT44" s="633">
        <v>0</v>
      </c>
      <c r="DU44" s="633">
        <v>0</v>
      </c>
      <c r="DV44" s="633">
        <v>0</v>
      </c>
      <c r="DW44" s="901">
        <f t="shared" si="104"/>
      </c>
      <c r="DX44" s="633">
        <v>0</v>
      </c>
      <c r="DY44" s="633">
        <v>0</v>
      </c>
      <c r="DZ44" s="633">
        <v>0</v>
      </c>
      <c r="EA44" s="633">
        <v>0</v>
      </c>
      <c r="EB44" s="901">
        <f t="shared" si="95"/>
      </c>
      <c r="EC44" s="633">
        <v>0</v>
      </c>
      <c r="ED44" s="633">
        <v>0</v>
      </c>
      <c r="EE44" s="633">
        <v>0</v>
      </c>
      <c r="EF44" s="633">
        <v>0</v>
      </c>
      <c r="EG44" s="901">
        <f t="shared" si="96"/>
      </c>
      <c r="EH44" s="633">
        <v>0</v>
      </c>
      <c r="EI44" s="633">
        <v>0</v>
      </c>
      <c r="EJ44" s="633">
        <v>0</v>
      </c>
      <c r="EK44" s="633">
        <v>0</v>
      </c>
      <c r="EL44" s="901">
        <f t="shared" si="97"/>
      </c>
      <c r="EM44" s="633">
        <v>0</v>
      </c>
      <c r="EN44" s="633">
        <v>0</v>
      </c>
      <c r="EO44" s="633">
        <v>0</v>
      </c>
      <c r="EP44" s="633">
        <v>0</v>
      </c>
      <c r="EQ44" s="901">
        <f t="shared" si="98"/>
      </c>
      <c r="ER44" s="633">
        <v>0</v>
      </c>
      <c r="ES44" s="633">
        <v>0</v>
      </c>
      <c r="ET44" s="954">
        <v>0</v>
      </c>
      <c r="EU44" s="954">
        <v>0</v>
      </c>
      <c r="EV44" s="901">
        <f t="shared" si="105"/>
      </c>
      <c r="EW44" s="1600">
        <v>0</v>
      </c>
      <c r="EX44" s="815">
        <v>0</v>
      </c>
      <c r="EY44" s="815">
        <v>0</v>
      </c>
      <c r="EZ44" s="815">
        <v>0</v>
      </c>
      <c r="FA44" s="901">
        <f t="shared" si="106"/>
      </c>
      <c r="FB44" s="935"/>
      <c r="FC44" s="372"/>
      <c r="FD44" s="372"/>
      <c r="FE44" s="493"/>
      <c r="FF44" s="901">
        <f t="shared" si="107"/>
      </c>
      <c r="FG44" s="935"/>
      <c r="FH44" s="372"/>
      <c r="FI44" s="372"/>
      <c r="FJ44" s="493"/>
      <c r="FK44" s="901">
        <f t="shared" si="108"/>
      </c>
      <c r="FL44" s="935"/>
      <c r="FM44" s="372"/>
      <c r="FN44" s="372"/>
      <c r="FO44" s="493"/>
      <c r="FP44" s="901">
        <f t="shared" si="109"/>
      </c>
      <c r="FQ44" s="935"/>
      <c r="FR44" s="372"/>
      <c r="FS44" s="372"/>
      <c r="FT44" s="493"/>
      <c r="FU44" s="901">
        <f t="shared" si="110"/>
      </c>
      <c r="FV44" s="935"/>
      <c r="FW44" s="372"/>
      <c r="FX44" s="372"/>
      <c r="FY44" s="493"/>
      <c r="FZ44" s="901">
        <f t="shared" si="111"/>
      </c>
      <c r="GA44" s="935"/>
      <c r="GB44" s="372"/>
      <c r="GC44" s="372"/>
      <c r="GD44" s="493"/>
      <c r="GE44" s="901">
        <f t="shared" si="112"/>
      </c>
      <c r="GF44" s="935"/>
      <c r="GG44" s="372"/>
      <c r="GH44" s="372"/>
      <c r="GI44" s="493"/>
      <c r="GJ44" s="901">
        <f t="shared" si="113"/>
      </c>
    </row>
    <row r="45" spans="1:192" s="277" customFormat="1" ht="12.75" customHeight="1" collapsed="1">
      <c r="A45" s="274"/>
      <c r="B45" s="719" t="s">
        <v>129</v>
      </c>
      <c r="C45" s="633">
        <v>0</v>
      </c>
      <c r="D45" s="633">
        <v>0</v>
      </c>
      <c r="E45" s="633">
        <v>0</v>
      </c>
      <c r="F45" s="633">
        <v>0</v>
      </c>
      <c r="G45" s="901">
        <f t="shared" si="76"/>
      </c>
      <c r="H45" s="633">
        <v>0</v>
      </c>
      <c r="I45" s="633">
        <v>0</v>
      </c>
      <c r="J45" s="633">
        <v>0</v>
      </c>
      <c r="K45" s="633">
        <v>0</v>
      </c>
      <c r="L45" s="901">
        <f t="shared" si="77"/>
      </c>
      <c r="M45" s="633">
        <v>32</v>
      </c>
      <c r="N45" s="633">
        <f>980+77-M45</f>
      </c>
      <c r="O45" s="633">
        <f>126+980-7-N45-M45</f>
      </c>
      <c r="P45" s="633">
        <f>95+980-15-O45-N45-M45</f>
      </c>
      <c r="Q45" s="901">
        <f t="shared" si="78"/>
      </c>
      <c r="R45" s="633">
        <f>280-7</f>
      </c>
      <c r="S45" s="633">
        <f>325-14-R45</f>
      </c>
      <c r="T45" s="633">
        <f>388-21-S45-R45</f>
      </c>
      <c r="U45" s="633">
        <f>538-28-T45-S45-R45</f>
      </c>
      <c r="V45" s="901">
        <f t="shared" si="114"/>
      </c>
      <c r="W45" s="633">
        <v>218</v>
      </c>
      <c r="X45" s="633">
        <f>355-14-W45</f>
      </c>
      <c r="Y45" s="633">
        <f>757-21-X45-W45</f>
      </c>
      <c r="Z45" s="633">
        <f>-28-Y45-X45-W45+766</f>
      </c>
      <c r="AA45" s="901">
        <f t="shared" si="80"/>
      </c>
      <c r="AB45" s="633">
        <f>290-7</f>
      </c>
      <c r="AC45" s="633">
        <f>472-AB45-13</f>
      </c>
      <c r="AD45" s="633">
        <f>472-13-AC45-AB45</f>
      </c>
      <c r="AE45" s="633">
        <f>472-AD45-AC45-AB45-13</f>
      </c>
      <c r="AF45" s="901">
        <f t="shared" si="115"/>
      </c>
      <c r="AG45" s="633">
        <v>81</v>
      </c>
      <c r="AH45" s="633">
        <f>-405-AG45</f>
      </c>
      <c r="AI45" s="633">
        <f>-405-264-AH45-AG45</f>
      </c>
      <c r="AJ45" s="633">
        <f>235-1367-AI45-AH45-AG45</f>
      </c>
      <c r="AK45" s="901">
        <f t="shared" si="116"/>
      </c>
      <c r="AL45" s="633">
        <v>0</v>
      </c>
      <c r="AM45" s="633">
        <v>0</v>
      </c>
      <c r="AN45" s="633">
        <v>0</v>
      </c>
      <c r="AO45" s="633">
        <v>0</v>
      </c>
      <c r="AP45" s="901">
        <f t="shared" si="83"/>
      </c>
      <c r="AQ45" s="633">
        <v>0</v>
      </c>
      <c r="AR45" s="633">
        <v>0</v>
      </c>
      <c r="AS45" s="633">
        <v>0</v>
      </c>
      <c r="AT45" s="633">
        <v>0</v>
      </c>
      <c r="AU45" s="901">
        <f t="shared" si="117"/>
      </c>
      <c r="AV45" s="633">
        <v>0</v>
      </c>
      <c r="AW45" s="633">
        <v>0</v>
      </c>
      <c r="AX45" s="633">
        <v>0</v>
      </c>
      <c r="AY45" s="633">
        <v>0</v>
      </c>
      <c r="AZ45" s="901">
        <f t="shared" si="118"/>
      </c>
      <c r="BA45" s="633">
        <v>0</v>
      </c>
      <c r="BB45" s="633">
        <v>0</v>
      </c>
      <c r="BC45" s="633">
        <v>0</v>
      </c>
      <c r="BD45" s="633">
        <v>-18</v>
      </c>
      <c r="BE45" s="901">
        <f t="shared" si="119"/>
      </c>
      <c r="BF45" s="633">
        <v>0</v>
      </c>
      <c r="BG45" s="633">
        <v>0</v>
      </c>
      <c r="BH45" s="633">
        <v>0</v>
      </c>
      <c r="BI45" s="633">
        <v>0</v>
      </c>
      <c r="BJ45" s="901">
        <f t="shared" si="87"/>
      </c>
      <c r="BK45" s="633">
        <v>-20</v>
      </c>
      <c r="BL45" s="633">
        <v>-3</v>
      </c>
      <c r="BM45" s="633">
        <v>0</v>
      </c>
      <c r="BN45" s="633">
        <v>0</v>
      </c>
      <c r="BO45" s="901">
        <f t="shared" si="88"/>
      </c>
      <c r="BP45" s="633">
        <v>0</v>
      </c>
      <c r="BQ45" s="633">
        <v>0</v>
      </c>
      <c r="BR45" s="633">
        <v>0</v>
      </c>
      <c r="BS45" s="633">
        <v>0</v>
      </c>
      <c r="BT45" s="901">
        <f t="shared" si="89"/>
      </c>
      <c r="BU45" s="633">
        <v>0</v>
      </c>
      <c r="BV45" s="633">
        <v>0</v>
      </c>
      <c r="BW45" s="633">
        <v>0</v>
      </c>
      <c r="BX45" s="633">
        <v>-19</v>
      </c>
      <c r="BY45" s="901">
        <f t="shared" si="90"/>
      </c>
      <c r="BZ45" s="633">
        <v>0</v>
      </c>
      <c r="CA45" s="633">
        <v>0</v>
      </c>
      <c r="CB45" s="633">
        <v>0</v>
      </c>
      <c r="CC45" s="633">
        <v>10</v>
      </c>
      <c r="CD45" s="901">
        <f t="shared" si="99"/>
      </c>
      <c r="CE45" s="633">
        <v>-25</v>
      </c>
      <c r="CF45" s="633">
        <v>0</v>
      </c>
      <c r="CG45" s="633">
        <v>-15</v>
      </c>
      <c r="CH45" s="633">
        <v>0</v>
      </c>
      <c r="CI45" s="901">
        <f t="shared" si="91"/>
      </c>
      <c r="CJ45" s="633">
        <v>0</v>
      </c>
      <c r="CK45" s="633">
        <v>0</v>
      </c>
      <c r="CL45" s="633">
        <v>0</v>
      </c>
      <c r="CM45" s="633">
        <v>0</v>
      </c>
      <c r="CN45" s="901">
        <f t="shared" si="100"/>
      </c>
      <c r="CO45" s="633">
        <v>0</v>
      </c>
      <c r="CP45" s="633">
        <v>-16</v>
      </c>
      <c r="CQ45" s="633">
        <v>0</v>
      </c>
      <c r="CR45" s="633">
        <v>6</v>
      </c>
      <c r="CS45" s="901">
        <f t="shared" si="92"/>
      </c>
      <c r="CT45" s="633">
        <v>0</v>
      </c>
      <c r="CU45" s="633">
        <v>-39</v>
      </c>
      <c r="CV45" s="633">
        <v>0</v>
      </c>
      <c r="CW45" s="633">
        <v>0</v>
      </c>
      <c r="CX45" s="901">
        <f t="shared" si="101"/>
      </c>
      <c r="CY45" s="633">
        <v>0</v>
      </c>
      <c r="CZ45" s="633">
        <v>285</v>
      </c>
      <c r="DA45" s="633">
        <v>316</v>
      </c>
      <c r="DB45" s="633">
        <v>-239</v>
      </c>
      <c r="DC45" s="901">
        <f t="shared" si="93"/>
      </c>
      <c r="DD45" s="633">
        <v>-178</v>
      </c>
      <c r="DE45" s="633">
        <v>-65</v>
      </c>
      <c r="DF45" s="633">
        <v>-123</v>
      </c>
      <c r="DG45" s="633">
        <v>-3</v>
      </c>
      <c r="DH45" s="901">
        <f t="shared" si="102"/>
      </c>
      <c r="DI45" s="633">
        <v>-112</v>
      </c>
      <c r="DJ45" s="633">
        <v>312</v>
      </c>
      <c r="DK45" s="633">
        <v>-375</v>
      </c>
      <c r="DL45" s="633">
        <v>-15</v>
      </c>
      <c r="DM45" s="901">
        <f t="shared" si="94"/>
      </c>
      <c r="DN45" s="633">
        <v>-150</v>
      </c>
      <c r="DO45" s="633">
        <v>-156</v>
      </c>
      <c r="DP45" s="633">
        <v>-640</v>
      </c>
      <c r="DQ45" s="633">
        <v>-25</v>
      </c>
      <c r="DR45" s="901">
        <f t="shared" si="103"/>
      </c>
      <c r="DS45" s="633">
        <v>-780</v>
      </c>
      <c r="DT45" s="633">
        <v>-459</v>
      </c>
      <c r="DU45" s="633">
        <v>404</v>
      </c>
      <c r="DV45" s="633">
        <v>160</v>
      </c>
      <c r="DW45" s="901">
        <f t="shared" si="104"/>
      </c>
      <c r="DX45" s="633">
        <v>286</v>
      </c>
      <c r="DY45" s="633">
        <v>-39</v>
      </c>
      <c r="DZ45" s="633">
        <v>-1052</v>
      </c>
      <c r="EA45" s="633">
        <v>471</v>
      </c>
      <c r="EB45" s="901">
        <f t="shared" si="95"/>
      </c>
      <c r="EC45" s="633">
        <v>-235</v>
      </c>
      <c r="ED45" s="633">
        <v>79</v>
      </c>
      <c r="EE45" s="633">
        <v>-183</v>
      </c>
      <c r="EF45" s="633">
        <v>-430</v>
      </c>
      <c r="EG45" s="901">
        <f t="shared" si="96"/>
      </c>
      <c r="EH45" s="633">
        <v>-172</v>
      </c>
      <c r="EI45" s="633">
        <v>-192</v>
      </c>
      <c r="EJ45" s="633">
        <v>-158</v>
      </c>
      <c r="EK45" s="633">
        <v>-341</v>
      </c>
      <c r="EL45" s="901">
        <f t="shared" si="97"/>
      </c>
      <c r="EM45" s="633">
        <v>-264</v>
      </c>
      <c r="EN45" s="633">
        <v>-317</v>
      </c>
      <c r="EO45" s="633">
        <v>-258</v>
      </c>
      <c r="EP45" s="633">
        <v>-167</v>
      </c>
      <c r="EQ45" s="901">
        <f t="shared" si="98"/>
      </c>
      <c r="ER45" s="633">
        <v>-307</v>
      </c>
      <c r="ES45" s="633">
        <v>-201</v>
      </c>
      <c r="ET45" s="954">
        <v>-498</v>
      </c>
      <c r="EU45" s="954">
        <v>-303</v>
      </c>
      <c r="EV45" s="901">
        <f t="shared" si="105"/>
      </c>
      <c r="EW45" s="1600">
        <v>-889</v>
      </c>
      <c r="EX45" s="815">
        <v>-343</v>
      </c>
      <c r="EY45" s="815">
        <v>-382</v>
      </c>
      <c r="EZ45" s="815">
        <v>-677</v>
      </c>
      <c r="FA45" s="901">
        <f t="shared" si="106"/>
      </c>
      <c r="FB45" s="935"/>
      <c r="FC45" s="372"/>
      <c r="FD45" s="372"/>
      <c r="FE45" s="493"/>
      <c r="FF45" s="901">
        <f t="shared" si="107"/>
      </c>
      <c r="FG45" s="935"/>
      <c r="FH45" s="372"/>
      <c r="FI45" s="372"/>
      <c r="FJ45" s="493"/>
      <c r="FK45" s="901">
        <f t="shared" si="108"/>
      </c>
      <c r="FL45" s="935"/>
      <c r="FM45" s="372"/>
      <c r="FN45" s="372"/>
      <c r="FO45" s="493"/>
      <c r="FP45" s="901">
        <f t="shared" si="109"/>
      </c>
      <c r="FQ45" s="935"/>
      <c r="FR45" s="372"/>
      <c r="FS45" s="372"/>
      <c r="FT45" s="493"/>
      <c r="FU45" s="901">
        <f t="shared" si="110"/>
      </c>
      <c r="FV45" s="935"/>
      <c r="FW45" s="372"/>
      <c r="FX45" s="372"/>
      <c r="FY45" s="493"/>
      <c r="FZ45" s="901">
        <f t="shared" si="111"/>
      </c>
      <c r="GA45" s="935"/>
      <c r="GB45" s="372"/>
      <c r="GC45" s="372"/>
      <c r="GD45" s="493"/>
      <c r="GE45" s="901">
        <f t="shared" si="112"/>
      </c>
      <c r="GF45" s="935"/>
      <c r="GG45" s="372"/>
      <c r="GH45" s="372"/>
      <c r="GI45" s="493"/>
      <c r="GJ45" s="901">
        <f t="shared" si="113"/>
      </c>
    </row>
    <row r="46" spans="1:192" s="281" customFormat="1" ht="12.75" customHeight="1">
      <c r="A46" s="280"/>
      <c r="B46" s="706" t="s">
        <v>115</v>
      </c>
      <c r="C46" s="933">
        <f>SUM(C35:C45)</f>
      </c>
      <c r="D46" s="933">
        <f>SUM(D35:D45)</f>
      </c>
      <c r="E46" s="933">
        <f>SUM(E35:E45)</f>
      </c>
      <c r="F46" s="933">
        <f>SUM(F35:F45)</f>
      </c>
      <c r="G46" s="956">
        <f t="shared" si="76"/>
      </c>
      <c r="H46" s="933">
        <f>SUM(H35:H45)</f>
      </c>
      <c r="I46" s="933">
        <f>SUM(I35:I45)</f>
      </c>
      <c r="J46" s="933">
        <f>SUM(J35:J45)</f>
      </c>
      <c r="K46" s="933">
        <f>SUM(K35:K45)</f>
      </c>
      <c r="L46" s="956">
        <f t="shared" si="77"/>
      </c>
      <c r="M46" s="933">
        <f>SUM(M35:M45)</f>
      </c>
      <c r="N46" s="933">
        <f>SUM(N35:N45)</f>
      </c>
      <c r="O46" s="933">
        <f>SUM(O35:O45)</f>
      </c>
      <c r="P46" s="933">
        <f>SUM(P35:P45)</f>
      </c>
      <c r="Q46" s="956">
        <f t="shared" si="78"/>
      </c>
      <c r="R46" s="933">
        <f>SUM(R35:R45)</f>
      </c>
      <c r="S46" s="933">
        <f>SUM(S35:S45)</f>
      </c>
      <c r="T46" s="933">
        <f>SUM(T35:T45)</f>
      </c>
      <c r="U46" s="933">
        <f>SUM(U35:U45)</f>
      </c>
      <c r="V46" s="956">
        <f t="shared" si="114"/>
      </c>
      <c r="W46" s="933">
        <f>SUM(W35:W45)</f>
      </c>
      <c r="X46" s="933">
        <f>SUM(X35:X45)</f>
      </c>
      <c r="Y46" s="933">
        <f>SUM(Y35:Y45)</f>
      </c>
      <c r="Z46" s="933">
        <f>SUM(Z35:Z45)</f>
      </c>
      <c r="AA46" s="956">
        <f t="shared" si="80"/>
      </c>
      <c r="AB46" s="933">
        <f>SUM(AB35:AB45)</f>
      </c>
      <c r="AC46" s="933">
        <f>SUM(AC35:AC45)</f>
      </c>
      <c r="AD46" s="933">
        <f>SUM(AD35:AD45)</f>
      </c>
      <c r="AE46" s="933">
        <f>SUM(AE35:AE45)</f>
      </c>
      <c r="AF46" s="956">
        <f t="shared" si="115"/>
      </c>
      <c r="AG46" s="933">
        <f>SUM(AG35:AG45)</f>
      </c>
      <c r="AH46" s="933">
        <f>SUM(AH35:AH45)</f>
      </c>
      <c r="AI46" s="933">
        <f>SUM(AI35:AI45)</f>
      </c>
      <c r="AJ46" s="933">
        <f>SUM(AJ35:AJ45)</f>
      </c>
      <c r="AK46" s="956">
        <f t="shared" si="116"/>
      </c>
      <c r="AL46" s="933">
        <f>SUM(AL35:AL45)</f>
      </c>
      <c r="AM46" s="933">
        <f>SUM(AM35:AM45)</f>
      </c>
      <c r="AN46" s="933">
        <f>SUM(AN35:AN45)</f>
      </c>
      <c r="AO46" s="933">
        <f>SUM(AO35:AO45)</f>
      </c>
      <c r="AP46" s="956">
        <f t="shared" si="83"/>
      </c>
      <c r="AQ46" s="933">
        <f>SUM(AQ35:AQ45)</f>
      </c>
      <c r="AR46" s="933">
        <f>SUM(AR35:AR45)</f>
      </c>
      <c r="AS46" s="933">
        <f>SUM(AS35:AS45)</f>
      </c>
      <c r="AT46" s="933">
        <f>SUM(AT35:AT45)</f>
      </c>
      <c r="AU46" s="956">
        <f t="shared" si="117"/>
      </c>
      <c r="AV46" s="933">
        <f>SUM(AV35:AV45)</f>
      </c>
      <c r="AW46" s="933">
        <f>SUM(AW35:AW45)</f>
      </c>
      <c r="AX46" s="933">
        <f>SUM(AX35:AX45)</f>
      </c>
      <c r="AY46" s="933">
        <f>SUM(AY35:AY45)</f>
      </c>
      <c r="AZ46" s="956">
        <f t="shared" si="118"/>
      </c>
      <c r="BA46" s="933">
        <f>SUM(BA35:BA45)</f>
      </c>
      <c r="BB46" s="933">
        <f>SUM(BB35:BB45)</f>
      </c>
      <c r="BC46" s="933">
        <f>SUM(BC35:BC45)</f>
      </c>
      <c r="BD46" s="933">
        <f>SUM(BD35:BD45)</f>
      </c>
      <c r="BE46" s="956">
        <f t="shared" si="119"/>
      </c>
      <c r="BF46" s="933">
        <f>SUM(BF35:BF45)</f>
      </c>
      <c r="BG46" s="933">
        <f>SUM(BG35:BG45)</f>
      </c>
      <c r="BH46" s="933">
        <f>SUM(BH35:BH45)</f>
      </c>
      <c r="BI46" s="933">
        <f>SUM(BI35:BI45)</f>
      </c>
      <c r="BJ46" s="956">
        <f t="shared" si="87"/>
      </c>
      <c r="BK46" s="933">
        <f>SUM(BK35:BK45)</f>
      </c>
      <c r="BL46" s="933">
        <f>SUM(BL35:BL45)</f>
      </c>
      <c r="BM46" s="933">
        <f>SUM(BM35:BM45)</f>
      </c>
      <c r="BN46" s="933">
        <f>SUM(BN35:BN45)</f>
      </c>
      <c r="BO46" s="956">
        <f>SUM(BK46:BN46)</f>
      </c>
      <c r="BP46" s="933">
        <f>SUM(BP35:BP45)</f>
      </c>
      <c r="BQ46" s="933">
        <f>SUM(BQ35:BQ45)</f>
      </c>
      <c r="BR46" s="933">
        <f>SUM(BR35:BR45)</f>
      </c>
      <c r="BS46" s="933">
        <f>SUM(BS35:BS45)</f>
      </c>
      <c r="BT46" s="956">
        <f>SUM(BP46:BS46)</f>
      </c>
      <c r="BU46" s="933">
        <f>SUM(BU35:BU45)</f>
      </c>
      <c r="BV46" s="933">
        <f>SUM(BV35:BV45)</f>
      </c>
      <c r="BW46" s="933">
        <f>SUM(BW35:BW45)</f>
      </c>
      <c r="BX46" s="933">
        <f>SUM(BX35:BX45)</f>
      </c>
      <c r="BY46" s="956">
        <f>SUM(BU46:BX46)</f>
      </c>
      <c r="BZ46" s="933">
        <f>SUM(BZ35:BZ45)</f>
      </c>
      <c r="CA46" s="933">
        <f>SUM(CA35:CA45)</f>
      </c>
      <c r="CB46" s="933">
        <f>SUM(CB35:CB45)</f>
      </c>
      <c r="CC46" s="933">
        <f>SUM(CC35:CC45)</f>
      </c>
      <c r="CD46" s="956">
        <f>SUM(BZ46:CC46)</f>
      </c>
      <c r="CE46" s="933">
        <f>SUM(CE35:CE45)</f>
      </c>
      <c r="CF46" s="933">
        <f>SUM(CF35:CF45)</f>
      </c>
      <c r="CG46" s="933">
        <f>SUM(CG35:CG45)</f>
      </c>
      <c r="CH46" s="933">
        <f>SUM(CH35:CH45)</f>
      </c>
      <c r="CI46" s="956">
        <f t="shared" si="91"/>
      </c>
      <c r="CJ46" s="933">
        <f>SUM(CJ35:CJ45)</f>
      </c>
      <c r="CK46" s="933">
        <f>SUM(CK35:CK45)</f>
      </c>
      <c r="CL46" s="933">
        <f>SUM(CL35:CL45)</f>
      </c>
      <c r="CM46" s="933">
        <f>SUM(CM35:CM45)</f>
      </c>
      <c r="CN46" s="956">
        <f>SUM(CJ46:CM46)</f>
      </c>
      <c r="CO46" s="933">
        <f>SUM(CO35:CO45)</f>
      </c>
      <c r="CP46" s="933">
        <f>SUM(CP35:CP45)</f>
      </c>
      <c r="CQ46" s="933">
        <f>SUM(CQ35:CQ45)</f>
      </c>
      <c r="CR46" s="933">
        <f>SUM(CR35:CR45)</f>
      </c>
      <c r="CS46" s="956">
        <f t="shared" si="92"/>
      </c>
      <c r="CT46" s="933">
        <f>SUM(CT35:CT45)</f>
      </c>
      <c r="CU46" s="933">
        <f>SUM(CU35:CU45)</f>
      </c>
      <c r="CV46" s="933">
        <f>SUM(CV35:CV45)</f>
      </c>
      <c r="CW46" s="933">
        <f>SUM(CW35:CW45)</f>
      </c>
      <c r="CX46" s="956">
        <f>SUM(CT46:CW46)</f>
      </c>
      <c r="CY46" s="933">
        <f>SUM(CY35:CY45)</f>
      </c>
      <c r="CZ46" s="933">
        <f>SUM(CZ35:CZ45)</f>
      </c>
      <c r="DA46" s="933">
        <f>SUM(DA35:DA45)</f>
      </c>
      <c r="DB46" s="933">
        <f>SUM(DB35:DB45)</f>
      </c>
      <c r="DC46" s="956">
        <f t="shared" si="93"/>
      </c>
      <c r="DD46" s="933">
        <f>SUM(DD35:DD45)</f>
      </c>
      <c r="DE46" s="933">
        <f>SUM(DE35:DE45)</f>
      </c>
      <c r="DF46" s="933">
        <f>SUM(DF35:DF45)</f>
      </c>
      <c r="DG46" s="933">
        <f>SUM(DG35:DG45)</f>
      </c>
      <c r="DH46" s="956">
        <f>SUM(DD46:DG46)</f>
      </c>
      <c r="DI46" s="933">
        <f>SUM(DI35:DI45)</f>
      </c>
      <c r="DJ46" s="933">
        <f>SUM(DJ35:DJ45)</f>
      </c>
      <c r="DK46" s="933">
        <f>SUM(DK35:DK45)</f>
      </c>
      <c r="DL46" s="933">
        <f>SUM(DL35:DL45)</f>
      </c>
      <c r="DM46" s="956">
        <f t="shared" si="94"/>
      </c>
      <c r="DN46" s="933">
        <f>SUM(DN35:DN45)</f>
      </c>
      <c r="DO46" s="933">
        <f>SUM(DO35:DO45)</f>
      </c>
      <c r="DP46" s="933">
        <f>SUM(DP35:DP45)</f>
      </c>
      <c r="DQ46" s="933">
        <f>SUM(DQ35:DQ45)</f>
      </c>
      <c r="DR46" s="956">
        <f>SUM(DN46:DQ46)</f>
      </c>
      <c r="DS46" s="933">
        <f>SUM(DS35:DS45)</f>
      </c>
      <c r="DT46" s="933">
        <f>SUM(DT35:DT45)</f>
      </c>
      <c r="DU46" s="933">
        <f>SUM(DU35:DU45)</f>
      </c>
      <c r="DV46" s="933">
        <f>SUM(DV35:DV45)</f>
      </c>
      <c r="DW46" s="956">
        <f>SUM(DS46:DV46)</f>
      </c>
      <c r="DX46" s="933">
        <f>SUM(DX35:DX45)</f>
      </c>
      <c r="DY46" s="933">
        <f>SUM(DY35:DY45)</f>
      </c>
      <c r="DZ46" s="933">
        <f>SUM(DZ35:DZ45)</f>
      </c>
      <c r="EA46" s="933">
        <f>SUM(EA35:EA45)</f>
      </c>
      <c r="EB46" s="956">
        <f t="shared" si="95"/>
      </c>
      <c r="EC46" s="933">
        <f>SUM(EC35:EC45)</f>
      </c>
      <c r="ED46" s="933">
        <f>SUM(ED35:ED45)</f>
      </c>
      <c r="EE46" s="933">
        <f>SUM(EE35:EE45)</f>
      </c>
      <c r="EF46" s="933">
        <f>SUM(EF35:EF45)</f>
      </c>
      <c r="EG46" s="956">
        <f t="shared" si="96"/>
      </c>
      <c r="EH46" s="933">
        <f>SUM(EH35:EH45)</f>
      </c>
      <c r="EI46" s="933">
        <f>SUM(EI35:EI45)</f>
      </c>
      <c r="EJ46" s="933">
        <f>SUM(EJ35:EJ45)</f>
      </c>
      <c r="EK46" s="933">
        <f>SUM(EK35:EK45)</f>
      </c>
      <c r="EL46" s="956">
        <f t="shared" si="97"/>
      </c>
      <c r="EM46" s="933">
        <f>SUM(EM35:EM45)</f>
      </c>
      <c r="EN46" s="933">
        <f>SUM(EN35:EN45)</f>
      </c>
      <c r="EO46" s="933">
        <f>SUM(EO35:EO45)</f>
      </c>
      <c r="EP46" s="933">
        <f>SUM(EP35:EP45)</f>
      </c>
      <c r="EQ46" s="956">
        <f t="shared" si="98"/>
      </c>
      <c r="ER46" s="933">
        <f>SUM(ER35:ER45)</f>
      </c>
      <c r="ES46" s="933">
        <f>SUM(ES35:ES45)</f>
      </c>
      <c r="ET46" s="933">
        <f>SUM(ET35:ET45)</f>
      </c>
      <c r="EU46" s="1493">
        <f>SUM(EU35:EU45)</f>
      </c>
      <c r="EV46" s="956">
        <f>SUM(ER46:EU46)</f>
      </c>
      <c r="EW46" s="933">
        <f>SUM(EW35:EW45)</f>
      </c>
      <c r="EX46" s="1493">
        <f>SUM(EX35:EX45)</f>
      </c>
      <c r="EY46" s="933">
        <f>SUM(EY35:EY45)</f>
      </c>
      <c r="EZ46" s="1493">
        <f>SUM(EZ35:EZ45)</f>
      </c>
      <c r="FA46" s="956">
        <f>SUM(EW46:EZ46)</f>
      </c>
      <c r="FB46" s="933">
        <f>SUM(FB35:FB45)</f>
      </c>
      <c r="FC46" s="933">
        <f>SUM(FC35:FC45)</f>
      </c>
      <c r="FD46" s="933">
        <f>SUM(FD35:FD45)</f>
      </c>
      <c r="FE46" s="933">
        <f>SUM(FE35:FE45)</f>
      </c>
      <c r="FF46" s="956">
        <f>SUM(FB46:FE46)</f>
      </c>
      <c r="FG46" s="933">
        <f>SUM(FG35:FG45)</f>
      </c>
      <c r="FH46" s="933">
        <f>SUM(FH35:FH45)</f>
      </c>
      <c r="FI46" s="933">
        <f>SUM(FI35:FI45)</f>
      </c>
      <c r="FJ46" s="933">
        <f>SUM(FJ35:FJ45)</f>
      </c>
      <c r="FK46" s="956">
        <f>SUM(FG46:FJ46)</f>
      </c>
      <c r="FL46" s="933">
        <f>SUM(FL35:FL45)</f>
      </c>
      <c r="FM46" s="933">
        <f>SUM(FM35:FM45)</f>
      </c>
      <c r="FN46" s="933">
        <f>SUM(FN35:FN45)</f>
      </c>
      <c r="FO46" s="933">
        <f>SUM(FO35:FO45)</f>
      </c>
      <c r="FP46" s="956">
        <f>SUM(FL46:FO46)</f>
      </c>
      <c r="FQ46" s="933">
        <f>SUM(FQ35:FQ45)</f>
      </c>
      <c r="FR46" s="933">
        <f>SUM(FR35:FR45)</f>
      </c>
      <c r="FS46" s="933">
        <f>SUM(FS35:FS45)</f>
      </c>
      <c r="FT46" s="933">
        <f>SUM(FT35:FT45)</f>
      </c>
      <c r="FU46" s="956">
        <f>SUM(FQ46:FT46)</f>
      </c>
      <c r="FV46" s="933">
        <f>SUM(FV35:FV45)</f>
      </c>
      <c r="FW46" s="933">
        <f>SUM(FW35:FW45)</f>
      </c>
      <c r="FX46" s="933">
        <f>SUM(FX35:FX45)</f>
      </c>
      <c r="FY46" s="933">
        <f>SUM(FY35:FY45)</f>
      </c>
      <c r="FZ46" s="956">
        <f>SUM(FV46:FY46)</f>
      </c>
      <c r="GA46" s="933">
        <f>SUM(GA35:GA45)</f>
      </c>
      <c r="GB46" s="933">
        <f>SUM(GB35:GB45)</f>
      </c>
      <c r="GC46" s="933">
        <f>SUM(GC35:GC45)</f>
      </c>
      <c r="GD46" s="933">
        <f>SUM(GD35:GD45)</f>
      </c>
      <c r="GE46" s="956">
        <f>SUM(GA46:GD46)</f>
      </c>
      <c r="GF46" s="933">
        <f>SUM(GF35:GF45)</f>
      </c>
      <c r="GG46" s="933">
        <f>SUM(GG35:GG45)</f>
      </c>
      <c r="GH46" s="933">
        <f>SUM(GH35:GH45)</f>
      </c>
      <c r="GI46" s="933">
        <f>SUM(GI35:GI45)</f>
      </c>
      <c r="GJ46" s="956">
        <f>SUM(GF46:GI46)</f>
      </c>
    </row>
    <row r="47" spans="1:192" s="277" customFormat="1" ht="12.75" customHeight="1">
      <c r="A47" s="274"/>
      <c r="B47" s="703"/>
      <c r="C47" s="938"/>
      <c r="D47" s="372"/>
      <c r="E47" s="372"/>
      <c r="F47" s="372"/>
      <c r="G47" s="635"/>
      <c r="H47" s="938"/>
      <c r="I47" s="372"/>
      <c r="J47" s="372"/>
      <c r="K47" s="372"/>
      <c r="L47" s="635"/>
      <c r="M47" s="938"/>
      <c r="N47" s="372"/>
      <c r="O47" s="372"/>
      <c r="P47" s="372"/>
      <c r="Q47" s="635"/>
      <c r="R47" s="938"/>
      <c r="S47" s="372"/>
      <c r="T47" s="372"/>
      <c r="U47" s="372"/>
      <c r="V47" s="635"/>
      <c r="W47" s="938"/>
      <c r="X47" s="372"/>
      <c r="Y47" s="372"/>
      <c r="Z47" s="372"/>
      <c r="AA47" s="635"/>
      <c r="AB47" s="938"/>
      <c r="AC47" s="372"/>
      <c r="AD47" s="372"/>
      <c r="AE47" s="372"/>
      <c r="AF47" s="635"/>
      <c r="AG47" s="938"/>
      <c r="AH47" s="372"/>
      <c r="AI47" s="372"/>
      <c r="AJ47" s="372"/>
      <c r="AK47" s="635"/>
      <c r="AL47" s="938"/>
      <c r="AM47" s="372"/>
      <c r="AN47" s="372"/>
      <c r="AO47" s="372"/>
      <c r="AP47" s="635"/>
      <c r="AQ47" s="938"/>
      <c r="AR47" s="372"/>
      <c r="AS47" s="372"/>
      <c r="AT47" s="372"/>
      <c r="AU47" s="635"/>
      <c r="AV47" s="938"/>
      <c r="AW47" s="372"/>
      <c r="AX47" s="372"/>
      <c r="AY47" s="372"/>
      <c r="AZ47" s="635"/>
      <c r="BA47" s="938"/>
      <c r="BB47" s="372"/>
      <c r="BC47" s="372"/>
      <c r="BD47" s="372"/>
      <c r="BE47" s="635"/>
      <c r="BF47" s="938"/>
      <c r="BG47" s="372"/>
      <c r="BH47" s="372"/>
      <c r="BI47" s="372"/>
      <c r="BJ47" s="635"/>
      <c r="BK47" s="938"/>
      <c r="BL47" s="372"/>
      <c r="BM47" s="372"/>
      <c r="BN47" s="372"/>
      <c r="BO47" s="635"/>
      <c r="BP47" s="938"/>
      <c r="BQ47" s="938"/>
      <c r="BR47" s="938"/>
      <c r="BS47" s="938"/>
      <c r="BT47" s="635"/>
      <c r="BU47" s="938"/>
      <c r="BV47" s="938"/>
      <c r="BW47" s="938"/>
      <c r="BX47" s="938"/>
      <c r="BY47" s="635"/>
      <c r="BZ47" s="938"/>
      <c r="CA47" s="938"/>
      <c r="CB47" s="938"/>
      <c r="CC47" s="938"/>
      <c r="CD47" s="635"/>
      <c r="CE47" s="938"/>
      <c r="CF47" s="938"/>
      <c r="CG47" s="938"/>
      <c r="CH47" s="938"/>
      <c r="CI47" s="635"/>
      <c r="CJ47" s="938"/>
      <c r="CK47" s="938"/>
      <c r="CL47" s="938"/>
      <c r="CM47" s="938"/>
      <c r="CN47" s="635"/>
      <c r="CO47" s="938"/>
      <c r="CP47" s="938"/>
      <c r="CQ47" s="938"/>
      <c r="CR47" s="938"/>
      <c r="CS47" s="635"/>
      <c r="CT47" s="938"/>
      <c r="CU47" s="938"/>
      <c r="CV47" s="938"/>
      <c r="CW47" s="938"/>
      <c r="CX47" s="635"/>
      <c r="CY47" s="938"/>
      <c r="CZ47" s="938"/>
      <c r="DA47" s="938"/>
      <c r="DB47" s="938"/>
      <c r="DC47" s="635"/>
      <c r="DD47" s="938"/>
      <c r="DE47" s="938"/>
      <c r="DF47" s="938"/>
      <c r="DG47" s="938"/>
      <c r="DH47" s="635"/>
      <c r="DI47" s="938"/>
      <c r="DJ47" s="938"/>
      <c r="DK47" s="938"/>
      <c r="DL47" s="938"/>
      <c r="DM47" s="635"/>
      <c r="DN47" s="938"/>
      <c r="DO47" s="938"/>
      <c r="DP47" s="938"/>
      <c r="DQ47" s="938"/>
      <c r="DR47" s="635"/>
      <c r="DS47" s="938"/>
      <c r="DT47" s="938"/>
      <c r="DU47" s="938"/>
      <c r="DV47" s="938"/>
      <c r="DW47" s="635"/>
      <c r="DX47" s="938"/>
      <c r="DY47" s="938"/>
      <c r="DZ47" s="938"/>
      <c r="EA47" s="938"/>
      <c r="EB47" s="635"/>
      <c r="EC47" s="938"/>
      <c r="ED47" s="938"/>
      <c r="EE47" s="938"/>
      <c r="EF47" s="938"/>
      <c r="EG47" s="635"/>
      <c r="EH47" s="938"/>
      <c r="EI47" s="938"/>
      <c r="EJ47" s="938"/>
      <c r="EK47" s="938"/>
      <c r="EL47" s="635"/>
      <c r="EM47" s="938"/>
      <c r="EN47" s="938"/>
      <c r="EO47" s="938"/>
      <c r="EP47" s="938"/>
      <c r="EQ47" s="635"/>
      <c r="ER47" s="938"/>
      <c r="ES47" s="448"/>
      <c r="ET47" s="938"/>
      <c r="EU47" s="1494"/>
      <c r="EV47" s="635"/>
      <c r="EW47" s="938"/>
      <c r="EX47" s="1659"/>
      <c r="EY47" s="372"/>
      <c r="EZ47" s="372"/>
      <c r="FA47" s="635"/>
      <c r="FB47" s="938"/>
      <c r="FC47" s="372"/>
      <c r="FD47" s="372"/>
      <c r="FE47" s="372"/>
      <c r="FF47" s="635"/>
      <c r="FG47" s="938"/>
      <c r="FH47" s="372"/>
      <c r="FI47" s="372"/>
      <c r="FJ47" s="372"/>
      <c r="FK47" s="635"/>
      <c r="FL47" s="938"/>
      <c r="FM47" s="372"/>
      <c r="FN47" s="372"/>
      <c r="FO47" s="372"/>
      <c r="FP47" s="635"/>
      <c r="FQ47" s="938"/>
      <c r="FR47" s="372"/>
      <c r="FS47" s="372"/>
      <c r="FT47" s="372"/>
      <c r="FU47" s="635"/>
      <c r="FV47" s="938"/>
      <c r="FW47" s="372"/>
      <c r="FX47" s="372"/>
      <c r="FY47" s="372"/>
      <c r="FZ47" s="635"/>
      <c r="GA47" s="938"/>
      <c r="GB47" s="372"/>
      <c r="GC47" s="372"/>
      <c r="GD47" s="372"/>
      <c r="GE47" s="635"/>
      <c r="GF47" s="938"/>
      <c r="GG47" s="372"/>
      <c r="GH47" s="372"/>
      <c r="GI47" s="372"/>
      <c r="GJ47" s="635"/>
    </row>
    <row r="48" spans="1:192" s="277" customFormat="1" ht="12.75" customHeight="1">
      <c r="A48" s="274"/>
      <c r="B48" s="703" t="s">
        <v>112</v>
      </c>
      <c r="C48" s="935"/>
      <c r="D48" s="372"/>
      <c r="E48" s="372"/>
      <c r="F48" s="372"/>
      <c r="G48" s="635"/>
      <c r="H48" s="935"/>
      <c r="I48" s="372"/>
      <c r="J48" s="372"/>
      <c r="K48" s="372"/>
      <c r="L48" s="635"/>
      <c r="M48" s="935"/>
      <c r="N48" s="372"/>
      <c r="O48" s="372"/>
      <c r="P48" s="372"/>
      <c r="Q48" s="635"/>
      <c r="R48" s="935"/>
      <c r="S48" s="372"/>
      <c r="T48" s="372"/>
      <c r="U48" s="372"/>
      <c r="V48" s="635"/>
      <c r="W48" s="935"/>
      <c r="X48" s="372"/>
      <c r="Y48" s="372"/>
      <c r="Z48" s="372"/>
      <c r="AA48" s="635"/>
      <c r="AB48" s="935"/>
      <c r="AC48" s="372"/>
      <c r="AD48" s="372"/>
      <c r="AE48" s="372"/>
      <c r="AF48" s="635"/>
      <c r="AG48" s="935"/>
      <c r="AH48" s="372"/>
      <c r="AI48" s="372"/>
      <c r="AJ48" s="372"/>
      <c r="AK48" s="635"/>
      <c r="AL48" s="935"/>
      <c r="AM48" s="372"/>
      <c r="AN48" s="372"/>
      <c r="AO48" s="372"/>
      <c r="AP48" s="635"/>
      <c r="AQ48" s="935"/>
      <c r="AR48" s="372"/>
      <c r="AS48" s="372"/>
      <c r="AT48" s="372"/>
      <c r="AU48" s="635"/>
      <c r="AV48" s="935"/>
      <c r="AW48" s="372"/>
      <c r="AX48" s="372"/>
      <c r="AY48" s="372"/>
      <c r="AZ48" s="635"/>
      <c r="BA48" s="935"/>
      <c r="BB48" s="372"/>
      <c r="BC48" s="372"/>
      <c r="BD48" s="372"/>
      <c r="BE48" s="635"/>
      <c r="BF48" s="935"/>
      <c r="BG48" s="372"/>
      <c r="BH48" s="372"/>
      <c r="BI48" s="372"/>
      <c r="BJ48" s="635"/>
      <c r="BK48" s="935"/>
      <c r="BL48" s="372"/>
      <c r="BM48" s="372"/>
      <c r="BN48" s="372"/>
      <c r="BO48" s="635"/>
      <c r="BP48" s="935"/>
      <c r="BQ48" s="935"/>
      <c r="BR48" s="935"/>
      <c r="BS48" s="935"/>
      <c r="BT48" s="635"/>
      <c r="BU48" s="935"/>
      <c r="BV48" s="935"/>
      <c r="BW48" s="935"/>
      <c r="BX48" s="935"/>
      <c r="BY48" s="635"/>
      <c r="BZ48" s="935"/>
      <c r="CA48" s="935"/>
      <c r="CB48" s="935"/>
      <c r="CC48" s="935"/>
      <c r="CD48" s="635"/>
      <c r="CE48" s="935"/>
      <c r="CF48" s="935"/>
      <c r="CG48" s="935"/>
      <c r="CH48" s="935"/>
      <c r="CI48" s="635"/>
      <c r="CJ48" s="935"/>
      <c r="CK48" s="935"/>
      <c r="CL48" s="935"/>
      <c r="CM48" s="935"/>
      <c r="CN48" s="635"/>
      <c r="CO48" s="935"/>
      <c r="CP48" s="935"/>
      <c r="CQ48" s="935"/>
      <c r="CR48" s="935"/>
      <c r="CS48" s="635"/>
      <c r="CT48" s="935"/>
      <c r="CU48" s="935"/>
      <c r="CV48" s="935"/>
      <c r="CW48" s="935"/>
      <c r="CX48" s="635"/>
      <c r="CY48" s="935"/>
      <c r="CZ48" s="935"/>
      <c r="DA48" s="935"/>
      <c r="DB48" s="935"/>
      <c r="DC48" s="635"/>
      <c r="DD48" s="935"/>
      <c r="DE48" s="935"/>
      <c r="DF48" s="935"/>
      <c r="DG48" s="935"/>
      <c r="DH48" s="635"/>
      <c r="DI48" s="935"/>
      <c r="DJ48" s="935"/>
      <c r="DK48" s="935"/>
      <c r="DL48" s="935"/>
      <c r="DM48" s="635"/>
      <c r="DN48" s="935"/>
      <c r="DO48" s="935"/>
      <c r="DP48" s="935"/>
      <c r="DQ48" s="935"/>
      <c r="DR48" s="635"/>
      <c r="DS48" s="935"/>
      <c r="DT48" s="935"/>
      <c r="DU48" s="935"/>
      <c r="DV48" s="935"/>
      <c r="DW48" s="635"/>
      <c r="DX48" s="935"/>
      <c r="DY48" s="935"/>
      <c r="DZ48" s="935"/>
      <c r="EA48" s="935"/>
      <c r="EB48" s="635"/>
      <c r="EC48" s="935"/>
      <c r="ED48" s="935"/>
      <c r="EE48" s="935"/>
      <c r="EF48" s="935"/>
      <c r="EG48" s="635"/>
      <c r="EH48" s="935"/>
      <c r="EI48" s="935"/>
      <c r="EJ48" s="935"/>
      <c r="EK48" s="935"/>
      <c r="EL48" s="635"/>
      <c r="EM48" s="935"/>
      <c r="EN48" s="935"/>
      <c r="EO48" s="935"/>
      <c r="EP48" s="935"/>
      <c r="EQ48" s="635"/>
      <c r="ER48" s="935"/>
      <c r="ES48" s="957"/>
      <c r="ET48" s="935"/>
      <c r="EU48" s="1403"/>
      <c r="EV48" s="635"/>
      <c r="EW48" s="1403"/>
      <c r="EX48" s="1659"/>
      <c r="EY48" s="372"/>
      <c r="EZ48" s="372"/>
      <c r="FA48" s="635"/>
      <c r="FB48" s="935"/>
      <c r="FC48" s="372"/>
      <c r="FD48" s="372"/>
      <c r="FE48" s="372"/>
      <c r="FF48" s="635"/>
      <c r="FG48" s="935"/>
      <c r="FH48" s="372"/>
      <c r="FI48" s="372"/>
      <c r="FJ48" s="372"/>
      <c r="FK48" s="635"/>
      <c r="FL48" s="935"/>
      <c r="FM48" s="372"/>
      <c r="FN48" s="372"/>
      <c r="FO48" s="372"/>
      <c r="FP48" s="635"/>
      <c r="FQ48" s="935"/>
      <c r="FR48" s="372"/>
      <c r="FS48" s="372"/>
      <c r="FT48" s="372"/>
      <c r="FU48" s="635"/>
      <c r="FV48" s="935"/>
      <c r="FW48" s="372"/>
      <c r="FX48" s="372"/>
      <c r="FY48" s="372"/>
      <c r="FZ48" s="635"/>
      <c r="GA48" s="935"/>
      <c r="GB48" s="372"/>
      <c r="GC48" s="372"/>
      <c r="GD48" s="372"/>
      <c r="GE48" s="635"/>
      <c r="GF48" s="935"/>
      <c r="GG48" s="372"/>
      <c r="GH48" s="372"/>
      <c r="GI48" s="372"/>
      <c r="GJ48" s="635"/>
    </row>
    <row r="49" spans="1:192" s="277" customFormat="1" ht="12.75" customHeight="1">
      <c r="A49" s="274"/>
      <c r="B49" s="1452" t="s">
        <v>125</v>
      </c>
      <c r="C49" s="633">
        <v>-67</v>
      </c>
      <c r="D49" s="633">
        <f>-170-C49</f>
      </c>
      <c r="E49" s="633">
        <f>-272-D49-C49</f>
      </c>
      <c r="F49" s="633">
        <f>-495-E49-D49-C49</f>
      </c>
      <c r="G49" s="901">
        <f t="shared" ref="G49:G54" si="120">SUM(C49:F49)</f>
      </c>
      <c r="H49" s="633">
        <v>-116</v>
      </c>
      <c r="I49" s="633">
        <f>-204-H49</f>
      </c>
      <c r="J49" s="633">
        <f>-336-I49-H49</f>
      </c>
      <c r="K49" s="633">
        <f>-494-J49-I49-H49</f>
      </c>
      <c r="L49" s="901">
        <f t="shared" ref="L49:L55" si="121">SUM(H49:K49)</f>
      </c>
      <c r="M49" s="633">
        <v>-99</v>
      </c>
      <c r="N49" s="633">
        <f>-216-M49</f>
      </c>
      <c r="O49" s="633">
        <f>-326-N49-M49</f>
      </c>
      <c r="P49" s="633">
        <f>-499-O49-N49-M49</f>
      </c>
      <c r="Q49" s="901">
        <f t="shared" ref="Q49:Q54" si="122">SUM(M49:P49)</f>
      </c>
      <c r="R49" s="633">
        <v>-117</v>
      </c>
      <c r="S49" s="633">
        <f>-268-R49</f>
      </c>
      <c r="T49" s="633">
        <f>-415-S49-R49</f>
      </c>
      <c r="U49" s="633">
        <f>-656-T49-S49-R49</f>
      </c>
      <c r="V49" s="901">
        <f t="shared" ref="V49:V55" si="123">SUM(R49:U49)</f>
      </c>
      <c r="W49" s="633">
        <v>-106</v>
      </c>
      <c r="X49" s="633">
        <f>-241-W49</f>
      </c>
      <c r="Y49" s="633">
        <f>-291-X49-W49</f>
      </c>
      <c r="Z49" s="633">
        <f>-583-Y49-X49-W49</f>
      </c>
      <c r="AA49" s="901">
        <f t="shared" ref="AA49:AA54" si="124">SUM(W49:Z49)</f>
      </c>
      <c r="AB49" s="633">
        <v>-139</v>
      </c>
      <c r="AC49" s="633">
        <f>-371-AB49</f>
      </c>
      <c r="AD49" s="633">
        <f>-617-AC49-AB49</f>
      </c>
      <c r="AE49" s="633">
        <f>-879-AD49-AC49-AB49</f>
      </c>
      <c r="AF49" s="901">
        <f t="shared" ref="AF49:AF55" si="125">SUM(AB49:AE49)</f>
      </c>
      <c r="AG49" s="633">
        <v>-245</v>
      </c>
      <c r="AH49" s="633">
        <f>-517-AG49</f>
      </c>
      <c r="AI49" s="633">
        <f>-781-AH49-AG49</f>
      </c>
      <c r="AJ49" s="633">
        <f>-1103-AI49-AH49-AG49</f>
      </c>
      <c r="AK49" s="901">
        <f t="shared" ref="AK49:AK55" si="126">SUM(AG49:AJ49)</f>
      </c>
      <c r="AL49" s="633">
        <v>-150</v>
      </c>
      <c r="AM49" s="633">
        <f>-322-AL49</f>
      </c>
      <c r="AN49" s="633">
        <f>-488-AM49-AL49</f>
      </c>
      <c r="AO49" s="633">
        <f>-770-AN49-AM49-AL49</f>
      </c>
      <c r="AP49" s="901">
        <f t="shared" ref="AP49:AP54" si="127">SUM(AL49:AO49)</f>
      </c>
      <c r="AQ49" s="633">
        <v>-160</v>
      </c>
      <c r="AR49" s="633">
        <v>-276</v>
      </c>
      <c r="AS49" s="633">
        <v>-182</v>
      </c>
      <c r="AT49" s="633">
        <v>-273</v>
      </c>
      <c r="AU49" s="901">
        <f t="shared" ref="AU49:AU55" si="128">SUM(AQ49:AT49)</f>
      </c>
      <c r="AV49" s="633">
        <v>-167</v>
      </c>
      <c r="AW49" s="633">
        <v>-172</v>
      </c>
      <c r="AX49" s="633">
        <v>-213</v>
      </c>
      <c r="AY49" s="633">
        <v>-557</v>
      </c>
      <c r="AZ49" s="901">
        <f t="shared" ref="AZ49:AZ55" si="129">SUM(AV49:AY49)</f>
      </c>
      <c r="BA49" s="633">
        <v>-173</v>
      </c>
      <c r="BB49" s="633">
        <v>-176</v>
      </c>
      <c r="BC49" s="633">
        <v>-203</v>
      </c>
      <c r="BD49" s="633">
        <v>-260</v>
      </c>
      <c r="BE49" s="901">
        <f t="shared" ref="BE49:BE55" si="130">SUM(BA49:BD49)</f>
      </c>
      <c r="BF49" s="633">
        <v>-213</v>
      </c>
      <c r="BG49" s="633">
        <v>-318</v>
      </c>
      <c r="BH49" s="633">
        <v>-302</v>
      </c>
      <c r="BI49" s="633">
        <v>-745</v>
      </c>
      <c r="BJ49" s="901">
        <f t="shared" ref="BJ49:BJ57" si="131">SUM(BF49:BI49)</f>
      </c>
      <c r="BK49" s="633">
        <v>-411</v>
      </c>
      <c r="BL49" s="633">
        <v>-572</v>
      </c>
      <c r="BM49" s="633">
        <v>-461</v>
      </c>
      <c r="BN49" s="633">
        <v>-820</v>
      </c>
      <c r="BO49" s="901">
        <f t="shared" ref="BO49:BO55" si="132">SUM(BK49:BN49)</f>
      </c>
      <c r="BP49" s="633">
        <v>-510</v>
      </c>
      <c r="BQ49" s="633">
        <v>-695</v>
      </c>
      <c r="BR49" s="633">
        <v>-759</v>
      </c>
      <c r="BS49" s="633">
        <v>-1218</v>
      </c>
      <c r="BT49" s="901">
        <f t="shared" ref="BT49:BT55" si="133">SUM(BP49:BS49)</f>
      </c>
      <c r="BU49" s="633">
        <v>-778</v>
      </c>
      <c r="BV49" s="633">
        <v>-842</v>
      </c>
      <c r="BW49" s="633">
        <v>-632</v>
      </c>
      <c r="BX49" s="633">
        <v>-867</v>
      </c>
      <c r="BY49" s="901">
        <f t="shared" ref="BY49:BY55" si="134">SUM(BU49:BX49)</f>
      </c>
      <c r="BZ49" s="633">
        <v>-435</v>
      </c>
      <c r="CA49" s="633">
        <v>-376</v>
      </c>
      <c r="CB49" s="633">
        <v>-408</v>
      </c>
      <c r="CC49" s="633">
        <v>-758</v>
      </c>
      <c r="CD49" s="901">
        <f t="shared" ref="CD49:CD55" si="135">SUM(BZ49:CC49)</f>
      </c>
      <c r="CE49" s="633">
        <v>-564</v>
      </c>
      <c r="CF49" s="633">
        <v>-491</v>
      </c>
      <c r="CG49" s="633">
        <v>-658</v>
      </c>
      <c r="CH49" s="633">
        <v>-642</v>
      </c>
      <c r="CI49" s="901">
        <f t="shared" ref="CI49:CI55" si="136">SUM(CE49:CH49)</f>
      </c>
      <c r="CJ49" s="633">
        <v>-436</v>
      </c>
      <c r="CK49" s="633">
        <v>-498</v>
      </c>
      <c r="CL49" s="633">
        <v>-749</v>
      </c>
      <c r="CM49" s="633">
        <v>-622</v>
      </c>
      <c r="CN49" s="901">
        <f t="shared" ref="CN49:CN55" si="137">SUM(CJ49:CM49)</f>
      </c>
      <c r="CO49" s="633">
        <v>-603</v>
      </c>
      <c r="CP49" s="633">
        <v>-930</v>
      </c>
      <c r="CQ49" s="633">
        <v>-930</v>
      </c>
      <c r="CR49" s="633">
        <v>-1794</v>
      </c>
      <c r="CS49" s="901">
        <f t="shared" ref="CS49:CS55" si="138">SUM(CO49:CR49)</f>
      </c>
      <c r="CT49" s="633">
        <v>-1231</v>
      </c>
      <c r="CU49" s="633">
        <v>-1732</v>
      </c>
      <c r="CV49" s="633">
        <v>-1192</v>
      </c>
      <c r="CW49" s="633">
        <v>-1330</v>
      </c>
      <c r="CX49" s="901">
        <f t="shared" ref="CX49:CX55" si="139">SUM(CT49:CW49)</f>
      </c>
      <c r="CY49" s="633">
        <v>-1282</v>
      </c>
      <c r="CZ49" s="633">
        <v>-1490</v>
      </c>
      <c r="DA49" s="633">
        <v>-1391</v>
      </c>
      <c r="DB49" s="633">
        <v>-1781</v>
      </c>
      <c r="DC49" s="901">
        <f t="shared" ref="DC49:DC55" si="140">SUM(CY49:DB49)</f>
      </c>
      <c r="DD49" s="633">
        <v>-1356</v>
      </c>
      <c r="DE49" s="633">
        <v>-2024</v>
      </c>
      <c r="DF49" s="633">
        <v>-2308</v>
      </c>
      <c r="DG49" s="633">
        <v>-2655</v>
      </c>
      <c r="DH49" s="901">
        <f t="shared" ref="DH49:DH55" si="141">SUM(DD49:DG49)</f>
      </c>
      <c r="DI49" s="633">
        <v>-2163</v>
      </c>
      <c r="DJ49" s="633">
        <v>-1988</v>
      </c>
      <c r="DK49" s="633">
        <v>-1695</v>
      </c>
      <c r="DL49" s="633">
        <v>-2283</v>
      </c>
      <c r="DM49" s="901">
        <f t="shared" ref="DM49:DM55" si="142">SUM(DI49:DL49)</f>
      </c>
      <c r="DN49" s="633">
        <v>-2132</v>
      </c>
      <c r="DO49" s="633">
        <v>-2586</v>
      </c>
      <c r="DP49" s="633">
        <v>-2934</v>
      </c>
      <c r="DQ49" s="633">
        <v>-3980</v>
      </c>
      <c r="DR49" s="901">
        <f t="shared" ref="DR49:DR55" si="143">SUM(DN49:DQ49)</f>
      </c>
      <c r="DS49" s="633">
        <v>-3602</v>
      </c>
      <c r="DT49" s="633">
        <v>-3707</v>
      </c>
      <c r="DU49" s="633">
        <v>-2565</v>
      </c>
      <c r="DV49" s="633">
        <v>-4051</v>
      </c>
      <c r="DW49" s="901">
        <f t="shared" ref="DW49:DW55" si="144">SUM(DS49:DV49)</f>
      </c>
      <c r="DX49" s="633">
        <v>-3385</v>
      </c>
      <c r="DY49" s="633">
        <v>-3545</v>
      </c>
      <c r="DZ49" s="633">
        <v>-3767</v>
      </c>
      <c r="EA49" s="633">
        <v>-4744</v>
      </c>
      <c r="EB49" s="901">
        <f t="shared" ref="EB49:EB55" si="145">SUM(DX49:EA49)</f>
      </c>
      <c r="EC49" s="633">
        <v>-4907</v>
      </c>
      <c r="ED49" s="633">
        <v>-4174</v>
      </c>
      <c r="EE49" s="633">
        <v>-5089</v>
      </c>
      <c r="EF49" s="633">
        <v>-6452</v>
      </c>
      <c r="EG49" s="901">
        <f t="shared" ref="EG49:EG55" si="146">SUM(EC49:EF49)</f>
      </c>
      <c r="EH49" s="633">
        <v>-5810</v>
      </c>
      <c r="EI49" s="633">
        <v>-5865</v>
      </c>
      <c r="EJ49" s="633">
        <v>-5340</v>
      </c>
      <c r="EK49" s="633">
        <v>-6871</v>
      </c>
      <c r="EL49" s="901">
        <f t="shared" ref="EL49:EL55" si="147">SUM(EH49:EK49)</f>
      </c>
      <c r="EM49" s="633">
        <v>-6283</v>
      </c>
      <c r="EN49" s="633">
        <v>-6274</v>
      </c>
      <c r="EO49" s="633">
        <v>-6607</v>
      </c>
      <c r="EP49" s="633">
        <v>-8943</v>
      </c>
      <c r="EQ49" s="901">
        <f t="shared" ref="EQ49:EQ55" si="148">SUM(EM49:EP49)</f>
      </c>
      <c r="ER49" s="633">
        <v>-9917</v>
      </c>
      <c r="ES49" s="633">
        <v>-9735</v>
      </c>
      <c r="ET49" s="954">
        <v>-10952</v>
      </c>
      <c r="EU49" s="954">
        <v>-13873</v>
      </c>
      <c r="EV49" s="901">
        <f t="shared" ref="EV49:EV55" si="149">SUM(ER49:EU49)</f>
      </c>
      <c r="EW49" s="954">
        <v>-14923</v>
      </c>
      <c r="EX49" s="954">
        <v>-15804</v>
      </c>
      <c r="EY49" s="954">
        <v>-16745</v>
      </c>
      <c r="EZ49" s="954">
        <v>-17079</v>
      </c>
      <c r="FA49" s="901">
        <f t="shared" ref="FA49:FA55" si="150">SUM(EW49:EZ49)</f>
      </c>
      <c r="FB49" s="768">
        <f>BS!FB108</f>
      </c>
      <c r="FC49" s="768">
        <f>BS!FC108</f>
      </c>
      <c r="FD49" s="768">
        <f>BS!FD108</f>
      </c>
      <c r="FE49" s="768">
        <f>BS!FE108</f>
      </c>
      <c r="FF49" s="901">
        <f t="shared" ref="FF49:FF55" si="151">SUM(FB49:FE49)</f>
      </c>
      <c r="FG49" s="768">
        <f>BS!FG108</f>
      </c>
      <c r="FH49" s="768">
        <f>BS!FH108</f>
      </c>
      <c r="FI49" s="768">
        <f>BS!FI108</f>
      </c>
      <c r="FJ49" s="768">
        <f>BS!FJ108</f>
      </c>
      <c r="FK49" s="901">
        <f t="shared" ref="FK49:FK55" si="152">SUM(FG49:FJ49)</f>
      </c>
      <c r="FL49" s="768">
        <f>BS!FL108</f>
      </c>
      <c r="FM49" s="768">
        <f>BS!FM108</f>
      </c>
      <c r="FN49" s="768">
        <f>BS!FN108</f>
      </c>
      <c r="FO49" s="768">
        <f>BS!FO108</f>
      </c>
      <c r="FP49" s="901">
        <f t="shared" ref="FP49:FP55" si="153">SUM(FL49:FO49)</f>
      </c>
      <c r="FQ49" s="768">
        <f>BS!FQ108</f>
      </c>
      <c r="FR49" s="768">
        <f>BS!FR108</f>
      </c>
      <c r="FS49" s="768">
        <f>BS!FS108</f>
      </c>
      <c r="FT49" s="768">
        <f>BS!FT108</f>
      </c>
      <c r="FU49" s="901">
        <f t="shared" ref="FU49:FU55" si="154">SUM(FQ49:FT49)</f>
      </c>
      <c r="FV49" s="768">
        <f>BS!FV108</f>
      </c>
      <c r="FW49" s="768">
        <f>BS!FW108</f>
      </c>
      <c r="FX49" s="768">
        <f>BS!FX108</f>
      </c>
      <c r="FY49" s="768">
        <f>BS!FY108</f>
      </c>
      <c r="FZ49" s="901">
        <f t="shared" ref="FZ49:FZ55" si="155">SUM(FV49:FY49)</f>
      </c>
      <c r="GA49" s="768">
        <f>BS!GA108</f>
      </c>
      <c r="GB49" s="768">
        <f>BS!GB108</f>
      </c>
      <c r="GC49" s="768">
        <f>BS!GC108</f>
      </c>
      <c r="GD49" s="768">
        <f>BS!GD108</f>
      </c>
      <c r="GE49" s="901">
        <f t="shared" ref="GE49:GE55" si="156">SUM(GA49:GD49)</f>
      </c>
      <c r="GF49" s="768">
        <f>BS!GF108</f>
      </c>
      <c r="GG49" s="768">
        <f>BS!GG108</f>
      </c>
      <c r="GH49" s="768">
        <f>BS!GH108</f>
      </c>
      <c r="GI49" s="768">
        <f>BS!GI108</f>
      </c>
      <c r="GJ49" s="901">
        <f t="shared" ref="GJ49:GJ55" si="157">SUM(GF49:GI49)</f>
      </c>
    </row>
    <row r="50" spans="1:192" s="277" customFormat="1" ht="12.75" customHeight="1">
      <c r="A50" s="274"/>
      <c r="B50" s="1452" t="s">
        <v>136</v>
      </c>
      <c r="C50" s="633">
        <v>0</v>
      </c>
      <c r="D50" s="633">
        <v>0</v>
      </c>
      <c r="E50" s="633">
        <v>0</v>
      </c>
      <c r="F50" s="633">
        <v>0</v>
      </c>
      <c r="G50" s="901">
        <f t="shared" si="120"/>
      </c>
      <c r="H50" s="633">
        <v>0</v>
      </c>
      <c r="I50" s="633">
        <v>0</v>
      </c>
      <c r="J50" s="633">
        <v>0</v>
      </c>
      <c r="K50" s="633">
        <v>0</v>
      </c>
      <c r="L50" s="901">
        <f t="shared" si="121"/>
      </c>
      <c r="M50" s="633">
        <v>0</v>
      </c>
      <c r="N50" s="633">
        <v>0</v>
      </c>
      <c r="O50" s="633">
        <v>0</v>
      </c>
      <c r="P50" s="633">
        <v>0</v>
      </c>
      <c r="Q50" s="901">
        <f t="shared" si="122"/>
      </c>
      <c r="R50" s="633">
        <v>-190</v>
      </c>
      <c r="S50" s="633">
        <f>-190-R50</f>
      </c>
      <c r="T50" s="633">
        <f>-190-S50-R50</f>
      </c>
      <c r="U50" s="633">
        <f>-190-T50-S50-R50</f>
      </c>
      <c r="V50" s="901">
        <f t="shared" si="123"/>
      </c>
      <c r="W50" s="633">
        <v>0</v>
      </c>
      <c r="X50" s="633">
        <v>0</v>
      </c>
      <c r="Y50" s="633">
        <v>0</v>
      </c>
      <c r="Z50" s="633">
        <v>0</v>
      </c>
      <c r="AA50" s="901">
        <f t="shared" si="124"/>
      </c>
      <c r="AB50" s="633">
        <v>0</v>
      </c>
      <c r="AC50" s="633">
        <v>0</v>
      </c>
      <c r="AD50" s="633">
        <v>0</v>
      </c>
      <c r="AE50" s="633">
        <v>0</v>
      </c>
      <c r="AF50" s="901">
        <f t="shared" si="125"/>
      </c>
      <c r="AG50" s="633">
        <v>0</v>
      </c>
      <c r="AH50" s="633">
        <v>0</v>
      </c>
      <c r="AI50" s="633">
        <v>0</v>
      </c>
      <c r="AJ50" s="633">
        <v>0</v>
      </c>
      <c r="AK50" s="901">
        <f t="shared" si="126"/>
      </c>
      <c r="AL50" s="633">
        <v>0</v>
      </c>
      <c r="AM50" s="633">
        <v>0</v>
      </c>
      <c r="AN50" s="633">
        <v>0</v>
      </c>
      <c r="AO50" s="633">
        <v>0</v>
      </c>
      <c r="AP50" s="901">
        <f t="shared" si="127"/>
      </c>
      <c r="AQ50" s="633">
        <v>-870</v>
      </c>
      <c r="AR50" s="633">
        <v>-9</v>
      </c>
      <c r="AS50" s="633">
        <v>-12</v>
      </c>
      <c r="AT50" s="633">
        <v>-172</v>
      </c>
      <c r="AU50" s="901">
        <f t="shared" si="128"/>
      </c>
      <c r="AV50" s="633">
        <v>-4</v>
      </c>
      <c r="AW50" s="633">
        <v>0</v>
      </c>
      <c r="AX50" s="633">
        <v>0</v>
      </c>
      <c r="AY50" s="633">
        <v>0</v>
      </c>
      <c r="AZ50" s="901">
        <f t="shared" si="129"/>
      </c>
      <c r="BA50" s="633">
        <v>0</v>
      </c>
      <c r="BB50" s="633">
        <v>-1</v>
      </c>
      <c r="BC50" s="633">
        <v>-11</v>
      </c>
      <c r="BD50" s="633">
        <v>-195</v>
      </c>
      <c r="BE50" s="901">
        <f t="shared" si="130"/>
      </c>
      <c r="BF50" s="633">
        <v>-187</v>
      </c>
      <c r="BG50" s="633">
        <v>-63</v>
      </c>
      <c r="BH50" s="633">
        <v>-83</v>
      </c>
      <c r="BI50" s="633">
        <v>-316</v>
      </c>
      <c r="BJ50" s="901">
        <f t="shared" si="131"/>
      </c>
      <c r="BK50" s="633">
        <v>-336</v>
      </c>
      <c r="BL50" s="633">
        <v>-125</v>
      </c>
      <c r="BM50" s="633">
        <v>-41</v>
      </c>
      <c r="BN50" s="633">
        <v>-648</v>
      </c>
      <c r="BO50" s="901">
        <f t="shared" si="132"/>
      </c>
      <c r="BP50" s="633">
        <v>-5396</v>
      </c>
      <c r="BQ50" s="633">
        <v>-433</v>
      </c>
      <c r="BR50" s="633">
        <v>-138</v>
      </c>
      <c r="BS50" s="633">
        <v>-2086</v>
      </c>
      <c r="BT50" s="901">
        <f t="shared" si="133"/>
      </c>
      <c r="BU50" s="633">
        <v>-377</v>
      </c>
      <c r="BV50" s="633">
        <v>-450</v>
      </c>
      <c r="BW50" s="633">
        <v>0</v>
      </c>
      <c r="BX50" s="633">
        <v>-41</v>
      </c>
      <c r="BY50" s="901">
        <f t="shared" si="134"/>
      </c>
      <c r="BZ50" s="633">
        <v>-39</v>
      </c>
      <c r="CA50" s="633">
        <v>-63</v>
      </c>
      <c r="CB50" s="633">
        <v>-143</v>
      </c>
      <c r="CC50" s="633">
        <v>0</v>
      </c>
      <c r="CD50" s="901">
        <f t="shared" si="135"/>
      </c>
      <c r="CE50" s="633">
        <v>0</v>
      </c>
      <c r="CF50" s="633">
        <v>-69</v>
      </c>
      <c r="CG50" s="633">
        <v>0</v>
      </c>
      <c r="CH50" s="633">
        <v>-2</v>
      </c>
      <c r="CI50" s="901">
        <f t="shared" si="136"/>
      </c>
      <c r="CJ50" s="633">
        <v>-875</v>
      </c>
      <c r="CK50" s="633">
        <v>-8627</v>
      </c>
      <c r="CL50" s="633">
        <v>-84</v>
      </c>
      <c r="CM50" s="633">
        <v>-526</v>
      </c>
      <c r="CN50" s="901">
        <f t="shared" si="137"/>
      </c>
      <c r="CO50" s="633">
        <v>-1145</v>
      </c>
      <c r="CP50" s="633">
        <v>-311</v>
      </c>
      <c r="CQ50" s="633">
        <v>-108</v>
      </c>
      <c r="CR50" s="633">
        <v>-20</v>
      </c>
      <c r="CS50" s="901">
        <f t="shared" si="138"/>
      </c>
      <c r="CT50" s="633">
        <v>-15</v>
      </c>
      <c r="CU50" s="633">
        <v>-139</v>
      </c>
      <c r="CV50" s="633">
        <v>-157</v>
      </c>
      <c r="CW50" s="633">
        <v>-5626</v>
      </c>
      <c r="CX50" s="901">
        <f t="shared" si="139"/>
      </c>
      <c r="CY50" s="633">
        <v>-141</v>
      </c>
      <c r="CZ50" s="633">
        <v>-2794</v>
      </c>
      <c r="DA50" s="633">
        <v>-162</v>
      </c>
      <c r="DB50" s="633">
        <v>-626</v>
      </c>
      <c r="DC50" s="901">
        <f t="shared" si="140"/>
      </c>
      <c r="DD50" s="633">
        <v>-390</v>
      </c>
      <c r="DE50" s="633">
        <v>-381</v>
      </c>
      <c r="DF50" s="633">
        <v>-559</v>
      </c>
      <c r="DG50" s="633">
        <v>-63</v>
      </c>
      <c r="DH50" s="901">
        <f t="shared" si="141"/>
      </c>
      <c r="DI50" s="633">
        <v>-24</v>
      </c>
      <c r="DJ50" s="633">
        <v>-24760</v>
      </c>
      <c r="DK50" s="633">
        <v>-802</v>
      </c>
      <c r="DL50" s="633">
        <v>-358</v>
      </c>
      <c r="DM50" s="901">
        <f t="shared" si="142"/>
      </c>
      <c r="DN50" s="633">
        <v>-179</v>
      </c>
      <c r="DO50" s="633">
        <v>-27</v>
      </c>
      <c r="DP50" s="633">
        <v>-248</v>
      </c>
      <c r="DQ50" s="633">
        <v>-434</v>
      </c>
      <c r="DR50" s="901">
        <f t="shared" si="143"/>
      </c>
      <c r="DS50" s="633">
        <v>-245</v>
      </c>
      <c r="DT50" s="633">
        <v>-1593</v>
      </c>
      <c r="DU50" s="633">
        <v>-269</v>
      </c>
      <c r="DV50" s="633">
        <v>-281</v>
      </c>
      <c r="DW50" s="901">
        <f t="shared" si="144"/>
      </c>
      <c r="DX50" s="633">
        <v>-462</v>
      </c>
      <c r="DY50" s="633">
        <v>-80</v>
      </c>
      <c r="DZ50" s="633">
        <v>-329</v>
      </c>
      <c r="EA50" s="633">
        <v>-1650</v>
      </c>
      <c r="EB50" s="901">
        <f t="shared" si="145"/>
      </c>
      <c r="EC50" s="633">
        <v>-481</v>
      </c>
      <c r="ED50" s="633">
        <v>-415</v>
      </c>
      <c r="EE50" s="633">
        <v>-7512</v>
      </c>
      <c r="EF50" s="633">
        <v>-501</v>
      </c>
      <c r="EG50" s="901">
        <f t="shared" si="146"/>
      </c>
      <c r="EH50" s="633">
        <v>-1206</v>
      </c>
      <c r="EI50" s="633">
        <v>-850</v>
      </c>
      <c r="EJ50" s="633">
        <v>-18719</v>
      </c>
      <c r="EK50" s="633">
        <v>-1263</v>
      </c>
      <c r="EL50" s="901">
        <f t="shared" si="147"/>
      </c>
      <c r="EM50" s="633">
        <v>-349</v>
      </c>
      <c r="EN50" s="633">
        <v>-679</v>
      </c>
      <c r="EO50" s="633">
        <v>-301</v>
      </c>
      <c r="EP50" s="633">
        <v>-341</v>
      </c>
      <c r="EQ50" s="901">
        <f t="shared" si="148"/>
      </c>
      <c r="ER50" s="633">
        <v>-1186</v>
      </c>
      <c r="ES50" s="633">
        <v>-65029</v>
      </c>
      <c r="ET50" s="954">
        <v>-1575</v>
      </c>
      <c r="EU50" s="954">
        <v>-1342</v>
      </c>
      <c r="EV50" s="901">
        <f t="shared" si="149"/>
      </c>
      <c r="EW50" s="954">
        <v>-1849</v>
      </c>
      <c r="EX50" s="954">
        <v>-1405</v>
      </c>
      <c r="EY50" s="954">
        <v>-981</v>
      </c>
      <c r="EZ50" s="954">
        <v>-1743</v>
      </c>
      <c r="FA50" s="901">
        <f t="shared" si="150"/>
      </c>
      <c r="FB50" s="958"/>
      <c r="FC50" s="958"/>
      <c r="FD50" s="958"/>
      <c r="FE50" s="958"/>
      <c r="FF50" s="901">
        <f t="shared" si="151"/>
      </c>
      <c r="FG50" s="958"/>
      <c r="FH50" s="958"/>
      <c r="FI50" s="958"/>
      <c r="FJ50" s="958"/>
      <c r="FK50" s="901">
        <f t="shared" si="152"/>
      </c>
      <c r="FL50" s="958"/>
      <c r="FM50" s="958"/>
      <c r="FN50" s="958"/>
      <c r="FO50" s="958"/>
      <c r="FP50" s="901">
        <f t="shared" si="153"/>
      </c>
      <c r="FQ50" s="958"/>
      <c r="FR50" s="958"/>
      <c r="FS50" s="958"/>
      <c r="FT50" s="958"/>
      <c r="FU50" s="901">
        <f t="shared" si="154"/>
      </c>
      <c r="FV50" s="958"/>
      <c r="FW50" s="958"/>
      <c r="FX50" s="958"/>
      <c r="FY50" s="958"/>
      <c r="FZ50" s="901">
        <f t="shared" si="155"/>
      </c>
      <c r="GA50" s="958"/>
      <c r="GB50" s="958"/>
      <c r="GC50" s="958"/>
      <c r="GD50" s="958"/>
      <c r="GE50" s="901">
        <f t="shared" si="156"/>
      </c>
      <c r="GF50" s="958"/>
      <c r="GG50" s="958"/>
      <c r="GH50" s="958"/>
      <c r="GI50" s="958"/>
      <c r="GJ50" s="901">
        <f t="shared" si="157"/>
      </c>
    </row>
    <row r="51" spans="1:192" s="277" customFormat="1" ht="12.75" customHeight="1">
      <c r="A51" s="274"/>
      <c r="B51" s="1452" t="s">
        <v>126</v>
      </c>
      <c r="C51" s="633">
        <f>-35-313</f>
      </c>
      <c r="D51" s="633">
        <f>-90-785-C51</f>
      </c>
      <c r="E51" s="633">
        <f>-91-1123-D51-C51</f>
      </c>
      <c r="F51" s="633">
        <f>-230-651-E51-D51-C51</f>
      </c>
      <c r="G51" s="901">
        <f t="shared" si="120"/>
      </c>
      <c r="H51" s="633">
        <f>-98-370</f>
      </c>
      <c r="I51" s="633">
        <f>-203-906-H51</f>
      </c>
      <c r="J51" s="633">
        <f>-257-I51-H51-1045</f>
      </c>
      <c r="K51" s="633">
        <f>-625-1551-J51-I51-H51</f>
      </c>
      <c r="L51" s="901">
        <f t="shared" si="121"/>
      </c>
      <c r="M51" s="633">
        <f>-156+259</f>
      </c>
      <c r="N51" s="633">
        <f>-66-1725-M51</f>
      </c>
      <c r="O51" s="633">
        <f>-155-895-N51-M51</f>
      </c>
      <c r="P51" s="633">
        <f>-1669-921-O51-N51-M51</f>
      </c>
      <c r="Q51" s="901">
        <f t="shared" si="122"/>
      </c>
      <c r="R51" s="633">
        <f>-455-429</f>
      </c>
      <c r="S51" s="633">
        <f>-1164-2263-R51</f>
      </c>
      <c r="T51" s="633">
        <f>-1756-2952-S51-R51</f>
      </c>
      <c r="U51" s="633">
        <f>-1598-4828-T51-S51-R51</f>
      </c>
      <c r="V51" s="901">
        <f t="shared" si="123"/>
      </c>
      <c r="W51" s="633">
        <v>-5042</v>
      </c>
      <c r="X51" s="633">
        <f>-10220-W51</f>
      </c>
      <c r="Y51" s="633">
        <f>-20556-X51-W51</f>
      </c>
      <c r="Z51" s="633">
        <f>-36441-Y51-X51-W51</f>
      </c>
      <c r="AA51" s="901">
        <f t="shared" si="124"/>
      </c>
      <c r="AB51" s="633">
        <v>-7227</v>
      </c>
      <c r="AC51" s="633">
        <f>-18759-AB51</f>
      </c>
      <c r="AD51" s="633">
        <f>-29244-AC51-AB51</f>
      </c>
      <c r="AE51" s="633">
        <f>-43158-AD51-AC51-AB51</f>
      </c>
      <c r="AF51" s="901">
        <f t="shared" si="125"/>
      </c>
      <c r="AG51" s="633">
        <v>-13723</v>
      </c>
      <c r="AH51" s="633">
        <f>-26525-AG51</f>
      </c>
      <c r="AI51" s="633">
        <f>-49966-AH51-AG51</f>
      </c>
      <c r="AJ51" s="633">
        <f>-66346-AI51-AH51-AG51</f>
      </c>
      <c r="AK51" s="901">
        <f t="shared" si="126"/>
      </c>
      <c r="AL51" s="633">
        <v>-16020</v>
      </c>
      <c r="AM51" s="633">
        <f>-32439-AL51</f>
      </c>
      <c r="AN51" s="633">
        <f>-60248-AM51-AL51</f>
      </c>
      <c r="AO51" s="633">
        <f>-89386-AN51-AM51-AL51</f>
      </c>
      <c r="AP51" s="901">
        <f t="shared" si="127"/>
      </c>
      <c r="AQ51" s="633">
        <v>-26685</v>
      </c>
      <c r="AR51" s="633">
        <v>-19406</v>
      </c>
      <c r="AS51" s="633">
        <v>-25106</v>
      </c>
      <c r="AT51" s="633">
        <v>-18424</v>
      </c>
      <c r="AU51" s="901">
        <f t="shared" si="128"/>
      </c>
      <c r="AV51" s="633">
        <v>-24598</v>
      </c>
      <c r="AW51" s="633">
        <v>-22377</v>
      </c>
      <c r="AX51" s="633">
        <v>-19580</v>
      </c>
      <c r="AY51" s="633">
        <v>-25940</v>
      </c>
      <c r="AZ51" s="901">
        <f t="shared" si="129"/>
      </c>
      <c r="BA51" s="633">
        <v>-29608</v>
      </c>
      <c r="BB51" s="633">
        <v>-16013</v>
      </c>
      <c r="BC51" s="633">
        <v>-13085</v>
      </c>
      <c r="BD51" s="633">
        <v>-9247</v>
      </c>
      <c r="BE51" s="901">
        <f t="shared" si="130"/>
      </c>
      <c r="BF51" s="633">
        <v>-19410</v>
      </c>
      <c r="BG51" s="633">
        <v>-16151</v>
      </c>
      <c r="BH51" s="633">
        <v>-10082</v>
      </c>
      <c r="BI51" s="633">
        <v>-5474</v>
      </c>
      <c r="BJ51" s="901">
        <f t="shared" si="131"/>
      </c>
      <c r="BK51" s="633">
        <v>-12855</v>
      </c>
      <c r="BL51" s="633">
        <v>-9102</v>
      </c>
      <c r="BM51" s="633">
        <v>-7257</v>
      </c>
      <c r="BN51" s="633">
        <v>-7094</v>
      </c>
      <c r="BO51" s="901">
        <f t="shared" si="132"/>
      </c>
      <c r="BP51" s="633">
        <v>-5997</v>
      </c>
      <c r="BQ51" s="633">
        <v>-6317</v>
      </c>
      <c r="BR51" s="633">
        <v>-3481</v>
      </c>
      <c r="BS51" s="633">
        <v>-5159</v>
      </c>
      <c r="BT51" s="901">
        <f t="shared" si="133"/>
      </c>
      <c r="BU51" s="633">
        <v>-4246</v>
      </c>
      <c r="BV51" s="633">
        <v>-6596</v>
      </c>
      <c r="BW51" s="633">
        <v>-10683</v>
      </c>
      <c r="BX51" s="633">
        <v>-15325</v>
      </c>
      <c r="BY51" s="901">
        <f t="shared" si="134"/>
      </c>
      <c r="BZ51" s="633">
        <v>-10490</v>
      </c>
      <c r="CA51" s="633">
        <v>-4287</v>
      </c>
      <c r="CB51" s="633">
        <v>-11217</v>
      </c>
      <c r="CC51" s="633">
        <v>-4174</v>
      </c>
      <c r="CD51" s="901">
        <f t="shared" si="135"/>
      </c>
      <c r="CE51" s="633">
        <v>-7417</v>
      </c>
      <c r="CF51" s="633">
        <v>-5896</v>
      </c>
      <c r="CG51" s="633">
        <v>-14394</v>
      </c>
      <c r="CH51" s="633">
        <v>-8286</v>
      </c>
      <c r="CI51" s="901">
        <f t="shared" si="136"/>
      </c>
      <c r="CJ51" s="633">
        <v>-11299</v>
      </c>
      <c r="CK51" s="633">
        <v>-10047</v>
      </c>
      <c r="CL51" s="633">
        <v>-23951</v>
      </c>
      <c r="CM51" s="633">
        <v>-11953</v>
      </c>
      <c r="CN51" s="901">
        <f t="shared" si="137"/>
      </c>
      <c r="CO51" s="633">
        <v>-20138</v>
      </c>
      <c r="CP51" s="633">
        <v>-10074</v>
      </c>
      <c r="CQ51" s="633">
        <v>-18160</v>
      </c>
      <c r="CR51" s="633">
        <v>-27024</v>
      </c>
      <c r="CS51" s="901">
        <f t="shared" si="138"/>
      </c>
      <c r="CT51" s="633">
        <v>-14768</v>
      </c>
      <c r="CU51" s="633">
        <v>-13126</v>
      </c>
      <c r="CV51" s="633">
        <v>-21323</v>
      </c>
      <c r="CW51" s="633">
        <v>-23473</v>
      </c>
      <c r="CX51" s="901">
        <f t="shared" si="139"/>
      </c>
      <c r="CY51" s="633">
        <v>-24085</v>
      </c>
      <c r="CZ51" s="633">
        <v>-19167</v>
      </c>
      <c r="DA51" s="633">
        <v>-30218</v>
      </c>
      <c r="DB51" s="633">
        <v>-25259</v>
      </c>
      <c r="DC51" s="901">
        <f t="shared" si="140"/>
      </c>
      <c r="DD51" s="633">
        <v>-37570</v>
      </c>
      <c r="DE51" s="633">
        <v>-34750</v>
      </c>
      <c r="DF51" s="633">
        <v>-27341</v>
      </c>
      <c r="DG51" s="633">
        <v>-30097</v>
      </c>
      <c r="DH51" s="901">
        <f t="shared" si="141"/>
      </c>
      <c r="DI51" s="633">
        <v>-57181</v>
      </c>
      <c r="DJ51" s="633">
        <v>-46775</v>
      </c>
      <c r="DK51" s="633">
        <v>-43918</v>
      </c>
      <c r="DL51" s="633">
        <v>-29031</v>
      </c>
      <c r="DM51" s="901">
        <f t="shared" si="142"/>
      </c>
      <c r="DN51" s="633">
        <v>-32961</v>
      </c>
      <c r="DO51" s="633">
        <v>-45154</v>
      </c>
      <c r="DP51" s="633">
        <v>-26885</v>
      </c>
      <c r="DQ51" s="633">
        <v>-32380</v>
      </c>
      <c r="DR51" s="901">
        <f t="shared" si="143"/>
      </c>
      <c r="DS51" s="633">
        <v>-19551</v>
      </c>
      <c r="DT51" s="633">
        <v>-16858</v>
      </c>
      <c r="DU51" s="633">
        <v>-5846</v>
      </c>
      <c r="DV51" s="633">
        <v>-15442</v>
      </c>
      <c r="DW51" s="901">
        <f t="shared" si="144"/>
      </c>
      <c r="DX51" s="633">
        <v>-23390</v>
      </c>
      <c r="DY51" s="633">
        <v>-19011</v>
      </c>
      <c r="DZ51" s="633">
        <v>-15910</v>
      </c>
      <c r="EA51" s="633">
        <v>-18879</v>
      </c>
      <c r="EB51" s="901">
        <f t="shared" si="145"/>
      </c>
      <c r="EC51" s="633">
        <v>-14580</v>
      </c>
      <c r="ED51" s="633">
        <v>-15092</v>
      </c>
      <c r="EE51" s="633">
        <v>-18375</v>
      </c>
      <c r="EF51" s="633">
        <v>-14877</v>
      </c>
      <c r="EG51" s="901">
        <f t="shared" si="146"/>
      </c>
      <c r="EH51" s="633">
        <v>-10309</v>
      </c>
      <c r="EI51" s="633">
        <v>-2505</v>
      </c>
      <c r="EJ51" s="633">
        <v>-8723</v>
      </c>
      <c r="EK51" s="633">
        <v>-4919</v>
      </c>
      <c r="EL51" s="901">
        <f t="shared" si="147"/>
      </c>
      <c r="EM51" s="633">
        <v>-5013</v>
      </c>
      <c r="EN51" s="633">
        <v>-11599</v>
      </c>
      <c r="EO51" s="633">
        <v>-9063</v>
      </c>
      <c r="EP51" s="633">
        <v>-11976</v>
      </c>
      <c r="EQ51" s="901">
        <f t="shared" si="148"/>
      </c>
      <c r="ER51" s="633">
        <v>-8460</v>
      </c>
      <c r="ES51" s="633">
        <v>-4258</v>
      </c>
      <c r="ET51" s="954">
        <v>-2183</v>
      </c>
      <c r="EU51" s="954">
        <v>-2831</v>
      </c>
      <c r="EV51" s="901">
        <f t="shared" si="149"/>
      </c>
      <c r="EW51" s="954">
        <v>-1620</v>
      </c>
      <c r="EX51" s="954">
        <v>-2050</v>
      </c>
      <c r="EY51" s="954">
        <v>-4474</v>
      </c>
      <c r="EZ51" s="954">
        <v>-21631</v>
      </c>
      <c r="FA51" s="901">
        <f t="shared" si="150"/>
      </c>
      <c r="FB51" s="958"/>
      <c r="FC51" s="958"/>
      <c r="FD51" s="958"/>
      <c r="FE51" s="958"/>
      <c r="FF51" s="901">
        <f t="shared" si="151"/>
      </c>
      <c r="FG51" s="958"/>
      <c r="FH51" s="958"/>
      <c r="FI51" s="958"/>
      <c r="FJ51" s="958"/>
      <c r="FK51" s="901">
        <f t="shared" si="152"/>
      </c>
      <c r="FL51" s="958"/>
      <c r="FM51" s="958"/>
      <c r="FN51" s="958"/>
      <c r="FO51" s="958"/>
      <c r="FP51" s="901">
        <f t="shared" si="153"/>
      </c>
      <c r="FQ51" s="958"/>
      <c r="FR51" s="958"/>
      <c r="FS51" s="958"/>
      <c r="FT51" s="958"/>
      <c r="FU51" s="901">
        <f t="shared" si="154"/>
      </c>
      <c r="FV51" s="958"/>
      <c r="FW51" s="958"/>
      <c r="FX51" s="958"/>
      <c r="FY51" s="958"/>
      <c r="FZ51" s="901">
        <f t="shared" si="155"/>
      </c>
      <c r="GA51" s="958"/>
      <c r="GB51" s="958"/>
      <c r="GC51" s="958"/>
      <c r="GD51" s="958"/>
      <c r="GE51" s="901">
        <f t="shared" si="156"/>
      </c>
      <c r="GF51" s="958"/>
      <c r="GG51" s="958"/>
      <c r="GH51" s="958"/>
      <c r="GI51" s="958"/>
      <c r="GJ51" s="901">
        <f t="shared" si="157"/>
      </c>
    </row>
    <row r="52" spans="1:192" s="277" customFormat="1" ht="12.75" customHeight="1">
      <c r="A52" s="274"/>
      <c r="B52" s="1452" t="s">
        <v>127</v>
      </c>
      <c r="C52" s="633">
        <v>0</v>
      </c>
      <c r="D52" s="633">
        <v>0</v>
      </c>
      <c r="E52" s="633">
        <v>0</v>
      </c>
      <c r="F52" s="633">
        <v>0</v>
      </c>
      <c r="G52" s="901">
        <f t="shared" si="120"/>
      </c>
      <c r="H52" s="633">
        <v>0</v>
      </c>
      <c r="I52" s="633">
        <v>0</v>
      </c>
      <c r="J52" s="633">
        <v>0</v>
      </c>
      <c r="K52" s="633">
        <v>0</v>
      </c>
      <c r="L52" s="901">
        <f t="shared" si="121"/>
      </c>
      <c r="M52" s="633">
        <v>0</v>
      </c>
      <c r="N52" s="633">
        <v>0</v>
      </c>
      <c r="O52" s="633">
        <v>0</v>
      </c>
      <c r="P52" s="633">
        <v>0</v>
      </c>
      <c r="Q52" s="901">
        <f t="shared" si="122"/>
      </c>
      <c r="R52" s="633">
        <v>0</v>
      </c>
      <c r="S52" s="633">
        <v>0</v>
      </c>
      <c r="T52" s="633">
        <v>0</v>
      </c>
      <c r="U52" s="633">
        <v>0</v>
      </c>
      <c r="V52" s="901">
        <f t="shared" si="123"/>
      </c>
      <c r="W52" s="633">
        <v>632</v>
      </c>
      <c r="X52" s="633">
        <f>1199-W52</f>
      </c>
      <c r="Y52" s="633">
        <f>3175-X52-W52</f>
      </c>
      <c r="Z52" s="633">
        <f>4674-Y52-X52-W52</f>
      </c>
      <c r="AA52" s="901">
        <f t="shared" si="124"/>
      </c>
      <c r="AB52" s="633">
        <v>786</v>
      </c>
      <c r="AC52" s="633">
        <f>950-AB52</f>
      </c>
      <c r="AD52" s="633">
        <f>3086-AC52-AB52</f>
      </c>
      <c r="AE52" s="633">
        <f>4025-AD52-AC52-AB52</f>
      </c>
      <c r="AF52" s="901">
        <f t="shared" si="125"/>
      </c>
      <c r="AG52" s="633">
        <v>1570</v>
      </c>
      <c r="AH52" s="633">
        <f>2970-AG52</f>
      </c>
      <c r="AI52" s="633">
        <f>4443-AH52-AG52</f>
      </c>
      <c r="AJ52" s="633">
        <f>5867-AI52-AH52-AG52</f>
      </c>
      <c r="AK52" s="901">
        <f t="shared" si="126"/>
      </c>
      <c r="AL52" s="633">
        <v>861</v>
      </c>
      <c r="AM52" s="633">
        <f>2290-AL52</f>
      </c>
      <c r="AN52" s="633">
        <f>4091-AM52-AL52</f>
      </c>
      <c r="AO52" s="633">
        <f>26246-AN52-AM52-AL52</f>
      </c>
      <c r="AP52" s="901">
        <f t="shared" si="127"/>
      </c>
      <c r="AQ52" s="633">
        <v>3230</v>
      </c>
      <c r="AR52" s="633">
        <v>3302</v>
      </c>
      <c r="AS52" s="633">
        <v>710</v>
      </c>
      <c r="AT52" s="633">
        <v>1963</v>
      </c>
      <c r="AU52" s="901">
        <f t="shared" si="128"/>
      </c>
      <c r="AV52" s="633">
        <v>2650</v>
      </c>
      <c r="AW52" s="633">
        <v>825</v>
      </c>
      <c r="AX52" s="633">
        <v>361</v>
      </c>
      <c r="AY52" s="633">
        <v>1725</v>
      </c>
      <c r="AZ52" s="901">
        <f t="shared" si="129"/>
      </c>
      <c r="BA52" s="633">
        <v>7201</v>
      </c>
      <c r="BB52" s="633">
        <v>19536</v>
      </c>
      <c r="BC52" s="633">
        <v>1454</v>
      </c>
      <c r="BD52" s="633">
        <v>962</v>
      </c>
      <c r="BE52" s="901">
        <f t="shared" si="130"/>
      </c>
      <c r="BF52" s="633">
        <v>949</v>
      </c>
      <c r="BG52" s="633">
        <v>743</v>
      </c>
      <c r="BH52" s="633">
        <v>1208</v>
      </c>
      <c r="BI52" s="633">
        <v>977</v>
      </c>
      <c r="BJ52" s="901">
        <f t="shared" si="131"/>
      </c>
      <c r="BK52" s="633">
        <v>834</v>
      </c>
      <c r="BL52" s="633">
        <v>1325</v>
      </c>
      <c r="BM52" s="633">
        <v>1688</v>
      </c>
      <c r="BN52" s="633">
        <v>889</v>
      </c>
      <c r="BO52" s="901">
        <f t="shared" si="132"/>
      </c>
      <c r="BP52" s="633">
        <v>330</v>
      </c>
      <c r="BQ52" s="633">
        <v>470</v>
      </c>
      <c r="BR52" s="633">
        <v>462</v>
      </c>
      <c r="BS52" s="633">
        <v>1335</v>
      </c>
      <c r="BT52" s="901">
        <f t="shared" si="133"/>
      </c>
      <c r="BU52" s="633">
        <v>464</v>
      </c>
      <c r="BV52" s="633">
        <v>290</v>
      </c>
      <c r="BW52" s="633">
        <v>915</v>
      </c>
      <c r="BX52" s="633">
        <v>4522</v>
      </c>
      <c r="BY52" s="901">
        <f t="shared" si="134"/>
      </c>
      <c r="BZ52" s="633">
        <v>3498</v>
      </c>
      <c r="CA52" s="633">
        <v>1896</v>
      </c>
      <c r="CB52" s="633">
        <v>1054</v>
      </c>
      <c r="CC52" s="633">
        <v>1005</v>
      </c>
      <c r="CD52" s="901">
        <f t="shared" si="135"/>
      </c>
      <c r="CE52" s="633">
        <v>870</v>
      </c>
      <c r="CF52" s="633">
        <v>1836</v>
      </c>
      <c r="CG52" s="633">
        <v>2286</v>
      </c>
      <c r="CH52" s="633">
        <v>1905</v>
      </c>
      <c r="CI52" s="901">
        <f t="shared" si="136"/>
      </c>
      <c r="CJ52" s="633">
        <v>2825</v>
      </c>
      <c r="CK52" s="633">
        <v>6061</v>
      </c>
      <c r="CL52" s="633">
        <v>4236</v>
      </c>
      <c r="CM52" s="633">
        <v>2453</v>
      </c>
      <c r="CN52" s="901">
        <f t="shared" si="137"/>
      </c>
      <c r="CO52" s="633">
        <v>1259</v>
      </c>
      <c r="CP52" s="633">
        <v>1989</v>
      </c>
      <c r="CQ52" s="633">
        <v>1265</v>
      </c>
      <c r="CR52" s="633">
        <v>617</v>
      </c>
      <c r="CS52" s="901">
        <f t="shared" si="138"/>
      </c>
      <c r="CT52" s="633">
        <v>347</v>
      </c>
      <c r="CU52" s="633">
        <v>1451</v>
      </c>
      <c r="CV52" s="633">
        <v>2336</v>
      </c>
      <c r="CW52" s="633">
        <v>1138</v>
      </c>
      <c r="CX52" s="901">
        <f t="shared" si="139"/>
      </c>
      <c r="CY52" s="633">
        <v>1693</v>
      </c>
      <c r="CZ52" s="633">
        <v>2389</v>
      </c>
      <c r="DA52" s="633">
        <v>5561</v>
      </c>
      <c r="DB52" s="633">
        <v>5370</v>
      </c>
      <c r="DC52" s="901">
        <f t="shared" si="140"/>
      </c>
      <c r="DD52" s="633">
        <v>5686</v>
      </c>
      <c r="DE52" s="633">
        <v>5351</v>
      </c>
      <c r="DF52" s="633">
        <v>5192</v>
      </c>
      <c r="DG52" s="633">
        <v>5825</v>
      </c>
      <c r="DH52" s="901">
        <f t="shared" si="141"/>
      </c>
      <c r="DI52" s="633">
        <v>8659</v>
      </c>
      <c r="DJ52" s="633">
        <v>8715</v>
      </c>
      <c r="DK52" s="633">
        <v>4860</v>
      </c>
      <c r="DL52" s="633">
        <v>5810</v>
      </c>
      <c r="DM52" s="901">
        <f t="shared" si="142"/>
      </c>
      <c r="DN52" s="633">
        <v>5226</v>
      </c>
      <c r="DO52" s="633">
        <v>6352</v>
      </c>
      <c r="DP52" s="633">
        <v>7674</v>
      </c>
      <c r="DQ52" s="633">
        <v>7108</v>
      </c>
      <c r="DR52" s="901">
        <f t="shared" si="143"/>
      </c>
      <c r="DS52" s="633">
        <v>5214</v>
      </c>
      <c r="DT52" s="633">
        <v>3782</v>
      </c>
      <c r="DU52" s="633">
        <v>5893</v>
      </c>
      <c r="DV52" s="633">
        <v>5154</v>
      </c>
      <c r="DW52" s="901">
        <f t="shared" si="144"/>
      </c>
      <c r="DX52" s="633">
        <v>19082</v>
      </c>
      <c r="DY52" s="633">
        <v>11230</v>
      </c>
      <c r="DZ52" s="633">
        <v>17247</v>
      </c>
      <c r="EA52" s="633">
        <v>18890</v>
      </c>
      <c r="EB52" s="901">
        <f t="shared" si="145"/>
      </c>
      <c r="EC52" s="633">
        <v>14266</v>
      </c>
      <c r="ED52" s="633">
        <v>15264</v>
      </c>
      <c r="EE52" s="633">
        <v>15016</v>
      </c>
      <c r="EF52" s="633">
        <v>7246</v>
      </c>
      <c r="EG52" s="901">
        <f t="shared" si="146"/>
      </c>
      <c r="EH52" s="633">
        <v>8862</v>
      </c>
      <c r="EI52" s="633">
        <v>5253</v>
      </c>
      <c r="EJ52" s="633">
        <v>1099</v>
      </c>
      <c r="EK52" s="633">
        <v>1237</v>
      </c>
      <c r="EL52" s="901">
        <f t="shared" si="147"/>
      </c>
      <c r="EM52" s="633">
        <v>6662</v>
      </c>
      <c r="EN52" s="633">
        <v>6928</v>
      </c>
      <c r="EO52" s="633">
        <v>13154</v>
      </c>
      <c r="EP52" s="633">
        <v>6766</v>
      </c>
      <c r="EQ52" s="901">
        <f t="shared" si="148"/>
      </c>
      <c r="ER52" s="633">
        <v>15718</v>
      </c>
      <c r="ES52" s="633">
        <v>4150</v>
      </c>
      <c r="ET52" s="954">
        <v>3350</v>
      </c>
      <c r="EU52" s="954">
        <v>1557</v>
      </c>
      <c r="EV52" s="901">
        <f t="shared" si="149"/>
      </c>
      <c r="EW52" s="954">
        <v>2136</v>
      </c>
      <c r="EX52" s="954">
        <v>2604</v>
      </c>
      <c r="EY52" s="954">
        <v>6721</v>
      </c>
      <c r="EZ52" s="954">
        <v>4618</v>
      </c>
      <c r="FA52" s="901">
        <f t="shared" si="150"/>
      </c>
      <c r="FB52" s="958"/>
      <c r="FC52" s="958"/>
      <c r="FD52" s="958"/>
      <c r="FE52" s="958"/>
      <c r="FF52" s="901">
        <f t="shared" si="151"/>
      </c>
      <c r="FG52" s="958"/>
      <c r="FH52" s="958"/>
      <c r="FI52" s="958"/>
      <c r="FJ52" s="958"/>
      <c r="FK52" s="901">
        <f t="shared" si="152"/>
      </c>
      <c r="FL52" s="958"/>
      <c r="FM52" s="958"/>
      <c r="FN52" s="958"/>
      <c r="FO52" s="958"/>
      <c r="FP52" s="901">
        <f t="shared" si="153"/>
      </c>
      <c r="FQ52" s="958"/>
      <c r="FR52" s="958"/>
      <c r="FS52" s="958"/>
      <c r="FT52" s="958"/>
      <c r="FU52" s="901">
        <f t="shared" si="154"/>
      </c>
      <c r="FV52" s="958"/>
      <c r="FW52" s="958"/>
      <c r="FX52" s="958"/>
      <c r="FY52" s="958"/>
      <c r="FZ52" s="901">
        <f t="shared" si="155"/>
      </c>
      <c r="GA52" s="958"/>
      <c r="GB52" s="958"/>
      <c r="GC52" s="958"/>
      <c r="GD52" s="958"/>
      <c r="GE52" s="901">
        <f t="shared" si="156"/>
      </c>
      <c r="GF52" s="958"/>
      <c r="GG52" s="958"/>
      <c r="GH52" s="958"/>
      <c r="GI52" s="958"/>
      <c r="GJ52" s="901">
        <f t="shared" si="157"/>
      </c>
    </row>
    <row r="53" spans="1:192" s="277" customFormat="1" ht="12.75" customHeight="1">
      <c r="A53" s="274"/>
      <c r="B53" s="1452" t="s">
        <v>128</v>
      </c>
      <c r="C53" s="633">
        <v>0</v>
      </c>
      <c r="D53" s="633">
        <v>0</v>
      </c>
      <c r="E53" s="633">
        <v>0</v>
      </c>
      <c r="F53" s="633">
        <v>0</v>
      </c>
      <c r="G53" s="901">
        <f t="shared" si="120"/>
      </c>
      <c r="H53" s="633">
        <v>0</v>
      </c>
      <c r="I53" s="633">
        <v>0</v>
      </c>
      <c r="J53" s="633">
        <v>0</v>
      </c>
      <c r="K53" s="633">
        <v>0</v>
      </c>
      <c r="L53" s="901">
        <f t="shared" si="121"/>
      </c>
      <c r="M53" s="633">
        <v>0</v>
      </c>
      <c r="N53" s="633">
        <v>0</v>
      </c>
      <c r="O53" s="633">
        <v>0</v>
      </c>
      <c r="P53" s="633">
        <v>0</v>
      </c>
      <c r="Q53" s="901">
        <f t="shared" si="122"/>
      </c>
      <c r="R53" s="633">
        <v>0</v>
      </c>
      <c r="S53" s="633">
        <v>0</v>
      </c>
      <c r="T53" s="633">
        <v>0</v>
      </c>
      <c r="U53" s="633">
        <v>0</v>
      </c>
      <c r="V53" s="901">
        <f t="shared" si="123"/>
      </c>
      <c r="W53" s="633">
        <v>2565</v>
      </c>
      <c r="X53" s="633">
        <f>5263-W53</f>
      </c>
      <c r="Y53" s="633">
        <f>9950-X53-W53</f>
      </c>
      <c r="Z53" s="633">
        <f>21080-Y53-X53-W53</f>
      </c>
      <c r="AA53" s="901">
        <f t="shared" si="124"/>
      </c>
      <c r="AB53" s="633">
        <v>3460</v>
      </c>
      <c r="AC53" s="633">
        <f>14923-AB53</f>
      </c>
      <c r="AD53" s="633">
        <f>19182-AC53-AB53</f>
      </c>
      <c r="AE53" s="633">
        <f>28085-AD53-AC53-AB53</f>
      </c>
      <c r="AF53" s="901">
        <f t="shared" si="125"/>
      </c>
      <c r="AG53" s="633">
        <v>8462</v>
      </c>
      <c r="AH53" s="633">
        <f>19818-AG53</f>
      </c>
      <c r="AI53" s="633">
        <f>39719-AH53-AG53</f>
      </c>
      <c r="AJ53" s="633">
        <f>52848-AI53-AH53-AG53</f>
      </c>
      <c r="AK53" s="901">
        <f t="shared" si="126"/>
      </c>
      <c r="AL53" s="633">
        <v>11840</v>
      </c>
      <c r="AM53" s="633">
        <f>25322-AL53</f>
      </c>
      <c r="AN53" s="633">
        <f>47500-AM53-AL53</f>
      </c>
      <c r="AO53" s="633">
        <f>53065-AN53-AM53-AL53</f>
      </c>
      <c r="AP53" s="901">
        <f t="shared" si="127"/>
      </c>
      <c r="AQ53" s="633">
        <v>23588</v>
      </c>
      <c r="AR53" s="633">
        <v>14370</v>
      </c>
      <c r="AS53" s="633">
        <v>20383</v>
      </c>
      <c r="AT53" s="633">
        <v>16816</v>
      </c>
      <c r="AU53" s="901">
        <f t="shared" si="128"/>
      </c>
      <c r="AV53" s="633">
        <v>18371</v>
      </c>
      <c r="AW53" s="633">
        <v>19775</v>
      </c>
      <c r="AX53" s="633">
        <v>18694</v>
      </c>
      <c r="AY53" s="633">
        <v>28462</v>
      </c>
      <c r="AZ53" s="901">
        <f t="shared" si="129"/>
      </c>
      <c r="BA53" s="633">
        <v>14467</v>
      </c>
      <c r="BB53" s="633">
        <v>20068</v>
      </c>
      <c r="BC53" s="633">
        <v>10032</v>
      </c>
      <c r="BD53" s="633">
        <v>9599</v>
      </c>
      <c r="BE53" s="901">
        <f t="shared" si="130"/>
      </c>
      <c r="BF53" s="633">
        <v>15600</v>
      </c>
      <c r="BG53" s="633">
        <v>22481</v>
      </c>
      <c r="BH53" s="633">
        <v>8755</v>
      </c>
      <c r="BI53" s="633">
        <v>7517</v>
      </c>
      <c r="BJ53" s="901">
        <f t="shared" si="131"/>
      </c>
      <c r="BK53" s="633">
        <v>18701</v>
      </c>
      <c r="BL53" s="633">
        <v>7448</v>
      </c>
      <c r="BM53" s="633">
        <v>6264</v>
      </c>
      <c r="BN53" s="633">
        <v>9038</v>
      </c>
      <c r="BO53" s="901">
        <f t="shared" si="132"/>
      </c>
      <c r="BP53" s="633">
        <v>9120</v>
      </c>
      <c r="BQ53" s="633">
        <v>6696</v>
      </c>
      <c r="BR53" s="633">
        <v>2829</v>
      </c>
      <c r="BS53" s="633">
        <v>6487</v>
      </c>
      <c r="BT53" s="901">
        <f t="shared" si="133"/>
      </c>
      <c r="BU53" s="633">
        <v>7075</v>
      </c>
      <c r="BV53" s="633">
        <v>5700</v>
      </c>
      <c r="BW53" s="633">
        <v>3327</v>
      </c>
      <c r="BX53" s="633">
        <v>3704</v>
      </c>
      <c r="BY53" s="901">
        <f t="shared" si="134"/>
      </c>
      <c r="BZ53" s="633">
        <v>4417</v>
      </c>
      <c r="CA53" s="633">
        <v>3361</v>
      </c>
      <c r="CB53" s="633">
        <v>4927</v>
      </c>
      <c r="CC53" s="633">
        <v>2420</v>
      </c>
      <c r="CD53" s="901">
        <f t="shared" si="135"/>
      </c>
      <c r="CE53" s="633">
        <v>1427</v>
      </c>
      <c r="CF53" s="633">
        <v>2603</v>
      </c>
      <c r="CG53" s="633">
        <v>5738</v>
      </c>
      <c r="CH53" s="633">
        <v>6112</v>
      </c>
      <c r="CI53" s="901">
        <f t="shared" si="136"/>
      </c>
      <c r="CJ53" s="633">
        <v>7536</v>
      </c>
      <c r="CK53" s="633">
        <v>7835</v>
      </c>
      <c r="CL53" s="633">
        <v>7946</v>
      </c>
      <c r="CM53" s="633">
        <v>6383</v>
      </c>
      <c r="CN53" s="901">
        <f t="shared" si="137"/>
      </c>
      <c r="CO53" s="633">
        <v>13307</v>
      </c>
      <c r="CP53" s="633">
        <v>7126</v>
      </c>
      <c r="CQ53" s="633">
        <v>9730</v>
      </c>
      <c r="CR53" s="633">
        <v>22301</v>
      </c>
      <c r="CS53" s="901">
        <f t="shared" si="138"/>
      </c>
      <c r="CT53" s="633">
        <v>11117</v>
      </c>
      <c r="CU53" s="633">
        <v>12354</v>
      </c>
      <c r="CV53" s="633">
        <v>16006</v>
      </c>
      <c r="CW53" s="633">
        <v>20617</v>
      </c>
      <c r="CX53" s="901">
        <f t="shared" si="139"/>
      </c>
      <c r="CY53" s="633">
        <v>16445</v>
      </c>
      <c r="CZ53" s="633">
        <v>16108</v>
      </c>
      <c r="DA53" s="633">
        <v>21063</v>
      </c>
      <c r="DB53" s="633">
        <v>17232</v>
      </c>
      <c r="DC53" s="901">
        <f t="shared" si="140"/>
      </c>
      <c r="DD53" s="633">
        <v>28502</v>
      </c>
      <c r="DE53" s="633">
        <v>28191</v>
      </c>
      <c r="DF53" s="633">
        <v>19599</v>
      </c>
      <c r="DG53" s="633">
        <v>16995</v>
      </c>
      <c r="DH53" s="901">
        <f t="shared" si="141"/>
      </c>
      <c r="DI53" s="633">
        <v>32323</v>
      </c>
      <c r="DJ53" s="633">
        <v>48987</v>
      </c>
      <c r="DK53" s="633">
        <v>36444</v>
      </c>
      <c r="DL53" s="633">
        <v>18596</v>
      </c>
      <c r="DM53" s="901">
        <f t="shared" si="142"/>
      </c>
      <c r="DN53" s="633">
        <v>23036</v>
      </c>
      <c r="DO53" s="633">
        <v>41261</v>
      </c>
      <c r="DP53" s="633">
        <v>26256</v>
      </c>
      <c r="DQ53" s="633">
        <v>27024</v>
      </c>
      <c r="DR53" s="901">
        <f t="shared" si="143"/>
      </c>
      <c r="DS53" s="633">
        <v>15231</v>
      </c>
      <c r="DT53" s="633">
        <v>14176</v>
      </c>
      <c r="DU53" s="633">
        <v>1424</v>
      </c>
      <c r="DV53" s="633">
        <v>7363</v>
      </c>
      <c r="DW53" s="901">
        <f t="shared" si="144"/>
      </c>
      <c r="DX53" s="633">
        <v>6379</v>
      </c>
      <c r="DY53" s="633">
        <v>5370</v>
      </c>
      <c r="DZ53" s="633">
        <v>2810</v>
      </c>
      <c r="EA53" s="633">
        <v>3162</v>
      </c>
      <c r="EB53" s="901">
        <f t="shared" si="145"/>
      </c>
      <c r="EC53" s="633">
        <v>2414</v>
      </c>
      <c r="ED53" s="633">
        <v>2421</v>
      </c>
      <c r="EE53" s="633">
        <v>5876</v>
      </c>
      <c r="EF53" s="633">
        <v>3297</v>
      </c>
      <c r="EG53" s="901">
        <f t="shared" si="146"/>
      </c>
      <c r="EH53" s="633">
        <v>5630</v>
      </c>
      <c r="EI53" s="633">
        <v>2895</v>
      </c>
      <c r="EJ53" s="633">
        <v>16693</v>
      </c>
      <c r="EK53" s="633">
        <v>3225</v>
      </c>
      <c r="EL53" s="901">
        <f t="shared" si="147"/>
      </c>
      <c r="EM53" s="633">
        <v>2711</v>
      </c>
      <c r="EN53" s="633">
        <v>4775</v>
      </c>
      <c r="EO53" s="633">
        <v>1239</v>
      </c>
      <c r="EP53" s="633">
        <v>5629</v>
      </c>
      <c r="EQ53" s="901">
        <f t="shared" si="148"/>
      </c>
      <c r="ER53" s="633">
        <v>5330</v>
      </c>
      <c r="ES53" s="633">
        <v>1600</v>
      </c>
      <c r="ET53" s="954">
        <v>1941</v>
      </c>
      <c r="EU53" s="954">
        <v>2023</v>
      </c>
      <c r="EV53" s="901">
        <f t="shared" si="149"/>
      </c>
      <c r="EW53" s="954">
        <v>1968</v>
      </c>
      <c r="EX53" s="954">
        <v>2559</v>
      </c>
      <c r="EY53" s="954">
        <v>2161</v>
      </c>
      <c r="EZ53" s="954">
        <v>2621</v>
      </c>
      <c r="FA53" s="901">
        <f t="shared" si="150"/>
      </c>
      <c r="FB53" s="958"/>
      <c r="FC53" s="958"/>
      <c r="FD53" s="958"/>
      <c r="FE53" s="958"/>
      <c r="FF53" s="901">
        <f t="shared" si="151"/>
      </c>
      <c r="FG53" s="958"/>
      <c r="FH53" s="958"/>
      <c r="FI53" s="958"/>
      <c r="FJ53" s="958"/>
      <c r="FK53" s="901">
        <f t="shared" si="152"/>
      </c>
      <c r="FL53" s="958"/>
      <c r="FM53" s="958"/>
      <c r="FN53" s="958"/>
      <c r="FO53" s="958"/>
      <c r="FP53" s="901">
        <f t="shared" si="153"/>
      </c>
      <c r="FQ53" s="958"/>
      <c r="FR53" s="958"/>
      <c r="FS53" s="958"/>
      <c r="FT53" s="958"/>
      <c r="FU53" s="901">
        <f t="shared" si="154"/>
      </c>
      <c r="FV53" s="958"/>
      <c r="FW53" s="958"/>
      <c r="FX53" s="958"/>
      <c r="FY53" s="958"/>
      <c r="FZ53" s="901">
        <f t="shared" si="155"/>
      </c>
      <c r="GA53" s="958"/>
      <c r="GB53" s="958"/>
      <c r="GC53" s="958"/>
      <c r="GD53" s="958"/>
      <c r="GE53" s="901">
        <f t="shared" si="156"/>
      </c>
      <c r="GF53" s="958"/>
      <c r="GG53" s="958"/>
      <c r="GH53" s="958"/>
      <c r="GI53" s="958"/>
      <c r="GJ53" s="901">
        <f t="shared" si="157"/>
      </c>
    </row>
    <row r="54" spans="1:192" s="277" customFormat="1" ht="12.75" hidden="1" customHeight="1" outlineLevel="1">
      <c r="A54" s="274"/>
      <c r="B54" s="1452" t="s">
        <v>106</v>
      </c>
      <c r="C54" s="633">
        <v>0</v>
      </c>
      <c r="D54" s="633">
        <v>0</v>
      </c>
      <c r="E54" s="633">
        <v>0</v>
      </c>
      <c r="F54" s="633">
        <v>0</v>
      </c>
      <c r="G54" s="901">
        <f t="shared" si="120"/>
      </c>
      <c r="H54" s="633">
        <v>0</v>
      </c>
      <c r="I54" s="633">
        <v>0</v>
      </c>
      <c r="J54" s="633">
        <v>0</v>
      </c>
      <c r="K54" s="633">
        <v>0</v>
      </c>
      <c r="L54" s="901">
        <f t="shared" si="121"/>
      </c>
      <c r="M54" s="633">
        <v>0</v>
      </c>
      <c r="N54" s="633">
        <v>0</v>
      </c>
      <c r="O54" s="633">
        <v>0</v>
      </c>
      <c r="P54" s="633">
        <v>0</v>
      </c>
      <c r="Q54" s="901">
        <f t="shared" si="122"/>
      </c>
      <c r="R54" s="633">
        <v>0</v>
      </c>
      <c r="S54" s="633">
        <v>0</v>
      </c>
      <c r="T54" s="633">
        <v>0</v>
      </c>
      <c r="U54" s="633">
        <v>0</v>
      </c>
      <c r="V54" s="901">
        <f t="shared" si="123"/>
      </c>
      <c r="W54" s="633">
        <v>0</v>
      </c>
      <c r="X54" s="633">
        <v>0</v>
      </c>
      <c r="Y54" s="633">
        <v>0</v>
      </c>
      <c r="Z54" s="633">
        <v>0</v>
      </c>
      <c r="AA54" s="901">
        <f t="shared" si="124"/>
      </c>
      <c r="AB54" s="633">
        <v>0</v>
      </c>
      <c r="AC54" s="633">
        <v>0</v>
      </c>
      <c r="AD54" s="633">
        <v>0</v>
      </c>
      <c r="AE54" s="633">
        <v>0</v>
      </c>
      <c r="AF54" s="901">
        <f t="shared" si="125"/>
      </c>
      <c r="AG54" s="633">
        <v>0</v>
      </c>
      <c r="AH54" s="633">
        <v>0</v>
      </c>
      <c r="AI54" s="633">
        <v>0</v>
      </c>
      <c r="AJ54" s="633">
        <v>0</v>
      </c>
      <c r="AK54" s="901">
        <f t="shared" si="126"/>
      </c>
      <c r="AL54" s="633">
        <v>0</v>
      </c>
      <c r="AM54" s="633">
        <v>0</v>
      </c>
      <c r="AN54" s="633">
        <v>0</v>
      </c>
      <c r="AO54" s="633">
        <v>0</v>
      </c>
      <c r="AP54" s="901">
        <f t="shared" si="127"/>
      </c>
      <c r="AQ54" s="633">
        <v>0</v>
      </c>
      <c r="AR54" s="633">
        <v>0</v>
      </c>
      <c r="AS54" s="633">
        <v>0</v>
      </c>
      <c r="AT54" s="633">
        <v>0</v>
      </c>
      <c r="AU54" s="901">
        <f t="shared" si="128"/>
      </c>
      <c r="AV54" s="633">
        <v>0</v>
      </c>
      <c r="AW54" s="633">
        <v>0</v>
      </c>
      <c r="AX54" s="633">
        <v>0</v>
      </c>
      <c r="AY54" s="633">
        <v>0</v>
      </c>
      <c r="AZ54" s="901">
        <f t="shared" si="129"/>
      </c>
      <c r="BA54" s="633">
        <v>0</v>
      </c>
      <c r="BB54" s="633">
        <v>0</v>
      </c>
      <c r="BC54" s="633">
        <v>0</v>
      </c>
      <c r="BD54" s="633">
        <v>0</v>
      </c>
      <c r="BE54" s="901">
        <f t="shared" si="130"/>
      </c>
      <c r="BF54" s="633">
        <v>0</v>
      </c>
      <c r="BG54" s="633">
        <v>0</v>
      </c>
      <c r="BH54" s="633">
        <v>1337</v>
      </c>
      <c r="BI54" s="633">
        <v>1780</v>
      </c>
      <c r="BJ54" s="901">
        <f t="shared" si="131"/>
      </c>
      <c r="BK54" s="633">
        <v>528</v>
      </c>
      <c r="BL54" s="633">
        <v>-932</v>
      </c>
      <c r="BM54" s="633">
        <v>318</v>
      </c>
      <c r="BN54" s="633">
        <v>-290</v>
      </c>
      <c r="BO54" s="901">
        <f>SUM(BK54:BN54)</f>
      </c>
      <c r="BP54" s="633">
        <v>196</v>
      </c>
      <c r="BQ54" s="633">
        <v>-770</v>
      </c>
      <c r="BR54" s="633">
        <v>309</v>
      </c>
      <c r="BS54" s="633">
        <v>138</v>
      </c>
      <c r="BT54" s="901">
        <f t="shared" si="133"/>
      </c>
      <c r="BU54" s="633">
        <v>-1543</v>
      </c>
      <c r="BV54" s="633">
        <v>-601</v>
      </c>
      <c r="BW54" s="633">
        <v>1064</v>
      </c>
      <c r="BX54" s="633">
        <v>150</v>
      </c>
      <c r="BY54" s="901">
        <f>SUM(BU54:BX54)</f>
      </c>
      <c r="BZ54" s="633">
        <v>1850</v>
      </c>
      <c r="CA54" s="633">
        <v>-623</v>
      </c>
      <c r="CB54" s="633">
        <v>-117</v>
      </c>
      <c r="CC54" s="633">
        <v>-2612</v>
      </c>
      <c r="CD54" s="901">
        <f>SUM(BZ54:CC54)</f>
      </c>
      <c r="CE54" s="633">
        <v>727</v>
      </c>
      <c r="CF54" s="633">
        <v>447</v>
      </c>
      <c r="CG54" s="633">
        <v>-111</v>
      </c>
      <c r="CH54" s="633">
        <v>-37</v>
      </c>
      <c r="CI54" s="901">
        <f>SUM(CE54:CH54)</f>
      </c>
      <c r="CJ54" s="633">
        <v>-66</v>
      </c>
      <c r="CK54" s="633">
        <v>-292</v>
      </c>
      <c r="CL54" s="633">
        <v>361</v>
      </c>
      <c r="CM54" s="633">
        <v>-397</v>
      </c>
      <c r="CN54" s="901">
        <f>SUM(CJ54:CM54)</f>
      </c>
      <c r="CO54" s="633">
        <v>-399</v>
      </c>
      <c r="CP54" s="633">
        <v>-393</v>
      </c>
      <c r="CQ54" s="633">
        <v>543</v>
      </c>
      <c r="CR54" s="633">
        <v>81</v>
      </c>
      <c r="CS54" s="901">
        <f>SUM(CO54:CR54)</f>
      </c>
      <c r="CT54" s="633">
        <v>-64</v>
      </c>
      <c r="CU54" s="633">
        <v>167</v>
      </c>
      <c r="CV54" s="633">
        <v>46</v>
      </c>
      <c r="CW54" s="633">
        <v>-236</v>
      </c>
      <c r="CX54" s="901">
        <f>SUM(CT54:CW54)</f>
      </c>
      <c r="CY54" s="633">
        <v>-367</v>
      </c>
      <c r="CZ54" s="633">
        <v>238</v>
      </c>
      <c r="DA54" s="633">
        <v>-334</v>
      </c>
      <c r="DB54" s="633">
        <v>-3</v>
      </c>
      <c r="DC54" s="901">
        <f>SUM(CY54:DB54)</f>
      </c>
      <c r="DD54" s="633">
        <v>62</v>
      </c>
      <c r="DE54" s="633">
        <v>285</v>
      </c>
      <c r="DF54" s="633">
        <v>-66</v>
      </c>
      <c r="DG54" s="633">
        <v>-78</v>
      </c>
      <c r="DH54" s="901">
        <f>SUM(DD54:DG54)</f>
      </c>
      <c r="DI54" s="633">
        <v>-84</v>
      </c>
      <c r="DJ54" s="633">
        <v>1070</v>
      </c>
      <c r="DK54" s="633">
        <v>-1080</v>
      </c>
      <c r="DL54" s="633">
        <v>-103</v>
      </c>
      <c r="DM54" s="901">
        <f>SUM(DI54:DL54)</f>
      </c>
      <c r="DN54" s="633">
        <v>106</v>
      </c>
      <c r="DO54" s="633">
        <v>-177</v>
      </c>
      <c r="DP54" s="633">
        <v>-19</v>
      </c>
      <c r="DQ54" s="633">
        <v>-8</v>
      </c>
      <c r="DR54" s="901">
        <f>SUM(DN54:DQ54)</f>
      </c>
      <c r="DS54" s="633">
        <v>0</v>
      </c>
      <c r="DT54" s="633">
        <v>0</v>
      </c>
      <c r="DU54" s="633">
        <v>0</v>
      </c>
      <c r="DV54" s="633">
        <v>0</v>
      </c>
      <c r="DW54" s="901">
        <f>SUM(DS54:DV54)</f>
      </c>
      <c r="DX54" s="633">
        <v>0</v>
      </c>
      <c r="DY54" s="633">
        <v>0</v>
      </c>
      <c r="DZ54" s="633">
        <v>0</v>
      </c>
      <c r="EA54" s="633">
        <v>0</v>
      </c>
      <c r="EB54" s="901">
        <f t="shared" si="145"/>
      </c>
      <c r="EC54" s="633">
        <v>0</v>
      </c>
      <c r="ED54" s="633">
        <v>0</v>
      </c>
      <c r="EE54" s="633">
        <v>0</v>
      </c>
      <c r="EF54" s="633">
        <v>0</v>
      </c>
      <c r="EG54" s="901">
        <f t="shared" si="146"/>
      </c>
      <c r="EH54" s="633">
        <v>0</v>
      </c>
      <c r="EI54" s="633">
        <v>0</v>
      </c>
      <c r="EJ54" s="633">
        <v>0</v>
      </c>
      <c r="EK54" s="633">
        <v>0</v>
      </c>
      <c r="EL54" s="901">
        <f t="shared" si="147"/>
      </c>
      <c r="EM54" s="633">
        <v>0</v>
      </c>
      <c r="EN54" s="633">
        <v>0</v>
      </c>
      <c r="EO54" s="633">
        <v>0</v>
      </c>
      <c r="EP54" s="633">
        <v>0</v>
      </c>
      <c r="EQ54" s="901">
        <f t="shared" si="148"/>
      </c>
      <c r="ER54" s="633">
        <v>0</v>
      </c>
      <c r="ES54" s="633">
        <v>0</v>
      </c>
      <c r="ET54" s="954">
        <v>0</v>
      </c>
      <c r="EU54" s="954">
        <v>0</v>
      </c>
      <c r="EV54" s="901">
        <f t="shared" si="149"/>
      </c>
      <c r="EW54" s="954"/>
      <c r="EX54" s="954">
        <v>0</v>
      </c>
      <c r="EY54" s="954">
        <v>0</v>
      </c>
      <c r="EZ54" s="954">
        <v>0</v>
      </c>
      <c r="FA54" s="901">
        <f t="shared" si="150"/>
      </c>
      <c r="FB54" s="958"/>
      <c r="FC54" s="958"/>
      <c r="FD54" s="958"/>
      <c r="FE54" s="958"/>
      <c r="FF54" s="901">
        <f t="shared" si="151"/>
      </c>
      <c r="FG54" s="958"/>
      <c r="FH54" s="958"/>
      <c r="FI54" s="958"/>
      <c r="FJ54" s="958"/>
      <c r="FK54" s="901">
        <f t="shared" si="152"/>
      </c>
      <c r="FL54" s="958"/>
      <c r="FM54" s="958"/>
      <c r="FN54" s="958"/>
      <c r="FO54" s="958"/>
      <c r="FP54" s="901">
        <f t="shared" si="153"/>
      </c>
      <c r="FQ54" s="958"/>
      <c r="FR54" s="958"/>
      <c r="FS54" s="958"/>
      <c r="FT54" s="958"/>
      <c r="FU54" s="901">
        <f t="shared" si="154"/>
      </c>
      <c r="FV54" s="958"/>
      <c r="FW54" s="958"/>
      <c r="FX54" s="958"/>
      <c r="FY54" s="958"/>
      <c r="FZ54" s="901">
        <f t="shared" si="155"/>
      </c>
      <c r="GA54" s="958"/>
      <c r="GB54" s="958"/>
      <c r="GC54" s="958"/>
      <c r="GD54" s="958"/>
      <c r="GE54" s="901">
        <f t="shared" si="156"/>
      </c>
      <c r="GF54" s="958"/>
      <c r="GG54" s="958"/>
      <c r="GH54" s="958"/>
      <c r="GI54" s="958"/>
      <c r="GJ54" s="901">
        <f t="shared" si="157"/>
      </c>
    </row>
    <row r="55" spans="1:192" s="277" customFormat="1" ht="12.75" customHeight="1" collapsed="1">
      <c r="A55" s="274"/>
      <c r="B55" s="1452" t="s">
        <v>129</v>
      </c>
      <c r="C55" s="633">
        <v>0</v>
      </c>
      <c r="D55" s="633">
        <v>0</v>
      </c>
      <c r="E55" s="633">
        <v>0</v>
      </c>
      <c r="F55" s="633">
        <v>0</v>
      </c>
      <c r="G55" s="901">
        <f>SUM(C55:F55)</f>
      </c>
      <c r="H55" s="633">
        <v>0</v>
      </c>
      <c r="I55" s="633">
        <v>0</v>
      </c>
      <c r="J55" s="633">
        <v>0</v>
      </c>
      <c r="K55" s="633">
        <v>0</v>
      </c>
      <c r="L55" s="901">
        <f t="shared" si="121"/>
      </c>
      <c r="M55" s="633">
        <v>0</v>
      </c>
      <c r="N55" s="633">
        <v>0</v>
      </c>
      <c r="O55" s="633">
        <v>0</v>
      </c>
      <c r="P55" s="633">
        <v>0</v>
      </c>
      <c r="Q55" s="901">
        <f>SUM(M55:P55)</f>
      </c>
      <c r="R55" s="633">
        <v>0</v>
      </c>
      <c r="S55" s="633">
        <v>0</v>
      </c>
      <c r="T55" s="633">
        <v>0</v>
      </c>
      <c r="U55" s="633">
        <v>0</v>
      </c>
      <c r="V55" s="901">
        <f t="shared" si="123"/>
      </c>
      <c r="W55" s="633">
        <v>79</v>
      </c>
      <c r="X55" s="633">
        <f>79-W55</f>
      </c>
      <c r="Y55" s="633">
        <f>79-X55-W55</f>
      </c>
      <c r="Z55" s="633">
        <f>79-Y55-X55-W55</f>
      </c>
      <c r="AA55" s="901">
        <f>SUM(W55:Z55)</f>
      </c>
      <c r="AB55" s="633">
        <v>0</v>
      </c>
      <c r="AC55" s="633">
        <v>0</v>
      </c>
      <c r="AD55" s="633">
        <v>0</v>
      </c>
      <c r="AE55" s="633">
        <v>0</v>
      </c>
      <c r="AF55" s="901">
        <f t="shared" si="125"/>
      </c>
      <c r="AG55" s="633">
        <v>0</v>
      </c>
      <c r="AH55" s="633">
        <v>0</v>
      </c>
      <c r="AI55" s="633">
        <v>0</v>
      </c>
      <c r="AJ55" s="633">
        <v>0</v>
      </c>
      <c r="AK55" s="901">
        <f t="shared" si="126"/>
      </c>
      <c r="AL55" s="633">
        <v>0</v>
      </c>
      <c r="AM55" s="633">
        <v>0</v>
      </c>
      <c r="AN55" s="633">
        <v>0</v>
      </c>
      <c r="AO55" s="633">
        <v>0</v>
      </c>
      <c r="AP55" s="901">
        <f>SUM(AL55:AO55)</f>
      </c>
      <c r="AQ55" s="633">
        <v>0</v>
      </c>
      <c r="AR55" s="633">
        <v>0</v>
      </c>
      <c r="AS55" s="633">
        <v>0</v>
      </c>
      <c r="AT55" s="633">
        <v>0</v>
      </c>
      <c r="AU55" s="901">
        <f t="shared" si="128"/>
      </c>
      <c r="AV55" s="633">
        <v>0</v>
      </c>
      <c r="AW55" s="633">
        <v>0</v>
      </c>
      <c r="AX55" s="633">
        <v>0</v>
      </c>
      <c r="AY55" s="633">
        <v>0</v>
      </c>
      <c r="AZ55" s="901">
        <f t="shared" si="129"/>
      </c>
      <c r="BA55" s="633">
        <v>0</v>
      </c>
      <c r="BB55" s="633">
        <v>0</v>
      </c>
      <c r="BC55" s="633">
        <v>0</v>
      </c>
      <c r="BD55" s="633">
        <v>0</v>
      </c>
      <c r="BE55" s="901">
        <f t="shared" si="130"/>
      </c>
      <c r="BF55" s="633">
        <v>0</v>
      </c>
      <c r="BG55" s="633">
        <v>0</v>
      </c>
      <c r="BH55" s="633">
        <v>0</v>
      </c>
      <c r="BI55" s="633">
        <v>0</v>
      </c>
      <c r="BJ55" s="901">
        <f t="shared" si="131"/>
      </c>
      <c r="BK55" s="633">
        <v>0</v>
      </c>
      <c r="BL55" s="633">
        <v>0</v>
      </c>
      <c r="BM55" s="633">
        <v>0</v>
      </c>
      <c r="BN55" s="633">
        <v>0</v>
      </c>
      <c r="BO55" s="901">
        <f t="shared" si="132"/>
      </c>
      <c r="BP55" s="633">
        <v>0</v>
      </c>
      <c r="BQ55" s="633">
        <v>0</v>
      </c>
      <c r="BR55" s="633">
        <v>0</v>
      </c>
      <c r="BS55" s="633">
        <v>0</v>
      </c>
      <c r="BT55" s="901">
        <f t="shared" si="133"/>
      </c>
      <c r="BU55" s="633">
        <v>0</v>
      </c>
      <c r="BV55" s="633">
        <v>0</v>
      </c>
      <c r="BW55" s="633">
        <v>0</v>
      </c>
      <c r="BX55" s="633">
        <v>0</v>
      </c>
      <c r="BY55" s="901">
        <f t="shared" si="134"/>
      </c>
      <c r="BZ55" s="633">
        <v>0</v>
      </c>
      <c r="CA55" s="633">
        <v>0</v>
      </c>
      <c r="CB55" s="633">
        <v>0</v>
      </c>
      <c r="CC55" s="633">
        <v>0</v>
      </c>
      <c r="CD55" s="901">
        <f t="shared" si="135"/>
      </c>
      <c r="CE55" s="633">
        <v>0</v>
      </c>
      <c r="CF55" s="633">
        <v>0</v>
      </c>
      <c r="CG55" s="633">
        <v>0</v>
      </c>
      <c r="CH55" s="633">
        <v>0</v>
      </c>
      <c r="CI55" s="901">
        <f t="shared" si="136"/>
      </c>
      <c r="CJ55" s="633">
        <v>0</v>
      </c>
      <c r="CK55" s="633">
        <v>0</v>
      </c>
      <c r="CL55" s="633">
        <v>0</v>
      </c>
      <c r="CM55" s="633">
        <v>0</v>
      </c>
      <c r="CN55" s="901">
        <f t="shared" si="137"/>
      </c>
      <c r="CO55" s="633">
        <v>0</v>
      </c>
      <c r="CP55" s="633">
        <v>0</v>
      </c>
      <c r="CQ55" s="633">
        <v>0</v>
      </c>
      <c r="CR55" s="633">
        <v>0</v>
      </c>
      <c r="CS55" s="901">
        <f t="shared" si="138"/>
      </c>
      <c r="CT55" s="633">
        <v>0</v>
      </c>
      <c r="CU55" s="633">
        <v>0</v>
      </c>
      <c r="CV55" s="633">
        <v>0</v>
      </c>
      <c r="CW55" s="633">
        <v>0</v>
      </c>
      <c r="CX55" s="901">
        <f t="shared" si="139"/>
      </c>
      <c r="CY55" s="633">
        <v>0</v>
      </c>
      <c r="CZ55" s="633">
        <v>0</v>
      </c>
      <c r="DA55" s="633">
        <v>0</v>
      </c>
      <c r="DB55" s="633">
        <v>0</v>
      </c>
      <c r="DC55" s="901">
        <f t="shared" si="140"/>
      </c>
      <c r="DD55" s="633">
        <v>0</v>
      </c>
      <c r="DE55" s="633">
        <v>0</v>
      </c>
      <c r="DF55" s="633">
        <v>0</v>
      </c>
      <c r="DG55" s="633">
        <v>0</v>
      </c>
      <c r="DH55" s="901">
        <f t="shared" si="141"/>
      </c>
      <c r="DI55" s="633">
        <v>0</v>
      </c>
      <c r="DJ55" s="633">
        <v>0</v>
      </c>
      <c r="DK55" s="633">
        <v>0</v>
      </c>
      <c r="DL55" s="633">
        <v>0</v>
      </c>
      <c r="DM55" s="901">
        <f t="shared" si="142"/>
      </c>
      <c r="DN55" s="633">
        <v>0</v>
      </c>
      <c r="DO55" s="633">
        <v>0</v>
      </c>
      <c r="DP55" s="633">
        <v>0</v>
      </c>
      <c r="DQ55" s="633">
        <v>0</v>
      </c>
      <c r="DR55" s="901">
        <f t="shared" si="143"/>
      </c>
      <c r="DS55" s="633">
        <v>0</v>
      </c>
      <c r="DT55" s="633">
        <v>0</v>
      </c>
      <c r="DU55" s="633">
        <v>0</v>
      </c>
      <c r="DV55" s="633">
        <v>0</v>
      </c>
      <c r="DW55" s="901">
        <f t="shared" si="144"/>
      </c>
      <c r="DX55" s="633">
        <v>0</v>
      </c>
      <c r="DY55" s="633">
        <v>0</v>
      </c>
      <c r="DZ55" s="633">
        <v>0</v>
      </c>
      <c r="EA55" s="633">
        <v>-1241</v>
      </c>
      <c r="EB55" s="901">
        <f t="shared" si="145"/>
      </c>
      <c r="EC55" s="633">
        <v>-2083</v>
      </c>
      <c r="ED55" s="633">
        <v>327</v>
      </c>
      <c r="EE55" s="633">
        <v>400</v>
      </c>
      <c r="EF55" s="633">
        <v>434</v>
      </c>
      <c r="EG55" s="901">
        <f t="shared" si="146"/>
      </c>
      <c r="EH55" s="633">
        <v>-417</v>
      </c>
      <c r="EI55" s="633">
        <v>-89</v>
      </c>
      <c r="EJ55" s="633">
        <v>-1181</v>
      </c>
      <c r="EK55" s="633">
        <v>-1138</v>
      </c>
      <c r="EL55" s="901">
        <f t="shared" si="147"/>
      </c>
      <c r="EM55" s="633">
        <v>-860</v>
      </c>
      <c r="EN55" s="633">
        <v>-301</v>
      </c>
      <c r="EO55" s="633">
        <v>-1686</v>
      </c>
      <c r="EP55" s="633">
        <v>-269</v>
      </c>
      <c r="EQ55" s="901">
        <f t="shared" si="148"/>
      </c>
      <c r="ER55" s="633">
        <v>-982</v>
      </c>
      <c r="ES55" s="633">
        <v>1347</v>
      </c>
      <c r="ET55" s="954">
        <v>-1281</v>
      </c>
      <c r="EU55" s="954">
        <v>-382</v>
      </c>
      <c r="EV55" s="901">
        <f t="shared" si="149"/>
      </c>
      <c r="EW55" s="954">
        <v>-913</v>
      </c>
      <c r="EX55" s="954">
        <v>-16</v>
      </c>
      <c r="EY55" s="954">
        <v>604</v>
      </c>
      <c r="EZ55" s="954">
        <v>2642</v>
      </c>
      <c r="FA55" s="901">
        <f t="shared" si="150"/>
      </c>
      <c r="FB55" s="958"/>
      <c r="FC55" s="958"/>
      <c r="FD55" s="958"/>
      <c r="FE55" s="958"/>
      <c r="FF55" s="901">
        <f t="shared" si="151"/>
      </c>
      <c r="FG55" s="958"/>
      <c r="FH55" s="958"/>
      <c r="FI55" s="958"/>
      <c r="FJ55" s="958"/>
      <c r="FK55" s="901">
        <f t="shared" si="152"/>
      </c>
      <c r="FL55" s="958"/>
      <c r="FM55" s="958"/>
      <c r="FN55" s="958"/>
      <c r="FO55" s="958"/>
      <c r="FP55" s="901">
        <f t="shared" si="153"/>
      </c>
      <c r="FQ55" s="958"/>
      <c r="FR55" s="958"/>
      <c r="FS55" s="958"/>
      <c r="FT55" s="958"/>
      <c r="FU55" s="901">
        <f t="shared" si="154"/>
      </c>
      <c r="FV55" s="958"/>
      <c r="FW55" s="958"/>
      <c r="FX55" s="958"/>
      <c r="FY55" s="958"/>
      <c r="FZ55" s="901">
        <f t="shared" si="155"/>
      </c>
      <c r="GA55" s="958"/>
      <c r="GB55" s="958"/>
      <c r="GC55" s="958"/>
      <c r="GD55" s="958"/>
      <c r="GE55" s="901">
        <f t="shared" si="156"/>
      </c>
      <c r="GF55" s="958"/>
      <c r="GG55" s="958"/>
      <c r="GH55" s="958"/>
      <c r="GI55" s="958"/>
      <c r="GJ55" s="901">
        <f t="shared" si="157"/>
      </c>
    </row>
    <row r="56" spans="1:192" s="281" customFormat="1" ht="12.75" customHeight="1">
      <c r="A56" s="280"/>
      <c r="B56" s="706" t="s">
        <v>113</v>
      </c>
      <c r="C56" s="931">
        <f>SUM(C49:C55)</f>
      </c>
      <c r="D56" s="931">
        <f>SUM(D49:D55)</f>
      </c>
      <c r="E56" s="931">
        <f>SUM(E49:E55)</f>
      </c>
      <c r="F56" s="931">
        <f>SUM(F49:F55)</f>
      </c>
      <c r="G56" s="956">
        <f>SUM(C56:F56)</f>
      </c>
      <c r="H56" s="931">
        <f>SUM(H49:H55)</f>
      </c>
      <c r="I56" s="931">
        <f>SUM(I49:I55)</f>
      </c>
      <c r="J56" s="931">
        <f>SUM(J49:J55)</f>
      </c>
      <c r="K56" s="931">
        <f>SUM(K49:K55)</f>
      </c>
      <c r="L56" s="956">
        <f>SUM(H56:K56)</f>
      </c>
      <c r="M56" s="931">
        <f>SUM(M49:M55)</f>
      </c>
      <c r="N56" s="931">
        <f>SUM(N49:N55)</f>
      </c>
      <c r="O56" s="931">
        <f>SUM(O49:O55)</f>
      </c>
      <c r="P56" s="931">
        <f>SUM(P49:P55)</f>
      </c>
      <c r="Q56" s="956">
        <f>SUM(M56:P56)</f>
      </c>
      <c r="R56" s="931">
        <f>SUM(R49:R55)</f>
      </c>
      <c r="S56" s="931">
        <f>SUM(S49:S55)</f>
      </c>
      <c r="T56" s="931">
        <f>SUM(T49:T55)</f>
      </c>
      <c r="U56" s="931">
        <f>SUM(U49:U55)</f>
      </c>
      <c r="V56" s="956">
        <f>SUM(R56:U56)</f>
      </c>
      <c r="W56" s="931">
        <f>SUM(W49:W55)</f>
      </c>
      <c r="X56" s="931">
        <f>SUM(X49:X55)</f>
      </c>
      <c r="Y56" s="931">
        <f>SUM(Y49:Y55)</f>
      </c>
      <c r="Z56" s="931">
        <f>SUM(Z49:Z55)</f>
      </c>
      <c r="AA56" s="956">
        <f>SUM(W56:Z56)</f>
      </c>
      <c r="AB56" s="931">
        <f>SUM(AB49:AB55)</f>
      </c>
      <c r="AC56" s="931">
        <f>SUM(AC49:AC55)</f>
      </c>
      <c r="AD56" s="931">
        <f>SUM(AD49:AD55)</f>
      </c>
      <c r="AE56" s="931">
        <f>SUM(AE49:AE55)</f>
      </c>
      <c r="AF56" s="956">
        <f>SUM(AB56:AE56)</f>
      </c>
      <c r="AG56" s="931">
        <f>SUM(AG49:AG55)</f>
      </c>
      <c r="AH56" s="931">
        <f>SUM(AH49:AH55)</f>
      </c>
      <c r="AI56" s="931">
        <f>SUM(AI49:AI55)</f>
      </c>
      <c r="AJ56" s="931">
        <f>SUM(AJ49:AJ55)</f>
      </c>
      <c r="AK56" s="956">
        <f>SUM(AG56:AJ56)</f>
      </c>
      <c r="AL56" s="931">
        <f>SUM(AL49:AL55)</f>
      </c>
      <c r="AM56" s="931">
        <f>SUM(AM49:AM55)</f>
      </c>
      <c r="AN56" s="931">
        <f>SUM(AN49:AN55)</f>
      </c>
      <c r="AO56" s="931">
        <f>SUM(AO49:AO55)</f>
      </c>
      <c r="AP56" s="956">
        <f>SUM(AL56:AO56)</f>
      </c>
      <c r="AQ56" s="931">
        <f>SUM(AQ49:AQ55)</f>
      </c>
      <c r="AR56" s="931">
        <f>SUM(AR49:AR55)</f>
      </c>
      <c r="AS56" s="931">
        <f>SUM(AS49:AS55)</f>
      </c>
      <c r="AT56" s="931">
        <f>SUM(AT49:AT55)</f>
      </c>
      <c r="AU56" s="956">
        <f>SUM(AQ56:AT56)</f>
      </c>
      <c r="AV56" s="931">
        <f>SUM(AV49:AV55)</f>
      </c>
      <c r="AW56" s="931">
        <f>SUM(AW49:AW55)</f>
      </c>
      <c r="AX56" s="931">
        <f>SUM(AX49:AX55)</f>
      </c>
      <c r="AY56" s="931">
        <f>SUM(AY49:AY55)</f>
      </c>
      <c r="AZ56" s="956">
        <f>SUM(AV56:AY56)</f>
      </c>
      <c r="BA56" s="931">
        <f>SUM(BA49:BA55)</f>
      </c>
      <c r="BB56" s="931">
        <f>SUM(BB49:BB55)</f>
      </c>
      <c r="BC56" s="931">
        <f>SUM(BC49:BC55)</f>
      </c>
      <c r="BD56" s="931">
        <f>SUM(BD49:BD55)</f>
      </c>
      <c r="BE56" s="956">
        <f>SUM(BA56:BD56)</f>
      </c>
      <c r="BF56" s="931">
        <f>SUM(BF49:BF55)</f>
      </c>
      <c r="BG56" s="931">
        <f>SUM(BG49:BG55)</f>
      </c>
      <c r="BH56" s="931">
        <f>SUM(BH49:BH55)</f>
      </c>
      <c r="BI56" s="931">
        <f>SUM(BI49:BI55)</f>
      </c>
      <c r="BJ56" s="956">
        <f t="shared" si="131"/>
      </c>
      <c r="BK56" s="931">
        <f>SUM(BK49:BK55)</f>
      </c>
      <c r="BL56" s="931">
        <f>SUM(BL49:BL55)</f>
      </c>
      <c r="BM56" s="931">
        <f>SUM(BM49:BM55)</f>
      </c>
      <c r="BN56" s="931">
        <f>SUM(BN49:BN55)</f>
      </c>
      <c r="BO56" s="956">
        <f>SUM(BK56:BN56)</f>
      </c>
      <c r="BP56" s="931">
        <f>SUM(BP49:BP55)</f>
      </c>
      <c r="BQ56" s="931">
        <f>SUM(BQ49:BQ55)</f>
      </c>
      <c r="BR56" s="931">
        <f>SUM(BR49:BR55)</f>
      </c>
      <c r="BS56" s="931">
        <f>SUM(BS49:BS55)</f>
      </c>
      <c r="BT56" s="956">
        <f>SUM(BP56:BS56)</f>
      </c>
      <c r="BU56" s="931">
        <f>SUM(BU49:BU55)</f>
      </c>
      <c r="BV56" s="931">
        <f>SUM(BV49:BV55)</f>
      </c>
      <c r="BW56" s="931">
        <f>SUM(BW49:BW55)</f>
      </c>
      <c r="BX56" s="931">
        <f>SUM(BX49:BX55)</f>
      </c>
      <c r="BY56" s="956">
        <f>SUM(BU56:BX56)</f>
      </c>
      <c r="BZ56" s="931">
        <f>SUM(BZ49:BZ55)</f>
      </c>
      <c r="CA56" s="931">
        <f>SUM(CA49:CA55)</f>
      </c>
      <c r="CB56" s="931">
        <f>SUM(CB49:CB55)</f>
      </c>
      <c r="CC56" s="931">
        <f>SUM(CC49:CC55)</f>
      </c>
      <c r="CD56" s="956">
        <f>SUM(BZ56:CC56)</f>
      </c>
      <c r="CE56" s="931">
        <f>SUM(CE49:CE55)</f>
      </c>
      <c r="CF56" s="931">
        <f>SUM(CF49:CF55)</f>
      </c>
      <c r="CG56" s="931">
        <f>SUM(CG49:CG55)</f>
      </c>
      <c r="CH56" s="931">
        <f>SUM(CH49:CH55)</f>
      </c>
      <c r="CI56" s="956">
        <f>SUM(CE56:CH56)</f>
      </c>
      <c r="CJ56" s="931">
        <f>SUM(CJ49:CJ55)</f>
      </c>
      <c r="CK56" s="931">
        <f>SUM(CK49:CK55)</f>
      </c>
      <c r="CL56" s="931">
        <f>SUM(CL49:CL55)</f>
      </c>
      <c r="CM56" s="931">
        <f>SUM(CM49:CM55)</f>
      </c>
      <c r="CN56" s="956">
        <f>SUM(CJ56:CM56)</f>
      </c>
      <c r="CO56" s="931">
        <f>SUM(CO49:CO55)</f>
      </c>
      <c r="CP56" s="931">
        <f>SUM(CP49:CP55)</f>
      </c>
      <c r="CQ56" s="931">
        <f>SUM(CQ49:CQ55)</f>
      </c>
      <c r="CR56" s="931">
        <f>SUM(CR49:CR55)</f>
      </c>
      <c r="CS56" s="956">
        <f>SUM(CO56:CR56)</f>
      </c>
      <c r="CT56" s="931">
        <f>SUM(CT49:CT55)</f>
      </c>
      <c r="CU56" s="931">
        <f>SUM(CU49:CU55)</f>
      </c>
      <c r="CV56" s="931">
        <f>SUM(CV49:CV55)</f>
      </c>
      <c r="CW56" s="931">
        <f>SUM(CW49:CW55)</f>
      </c>
      <c r="CX56" s="956">
        <f>SUM(CT56:CW56)</f>
      </c>
      <c r="CY56" s="931">
        <f>SUM(CY49:CY55)</f>
      </c>
      <c r="CZ56" s="931">
        <f>SUM(CZ49:CZ55)</f>
      </c>
      <c r="DA56" s="931">
        <f>SUM(DA49:DA55)</f>
      </c>
      <c r="DB56" s="931">
        <f>SUM(DB49:DB55)</f>
      </c>
      <c r="DC56" s="956">
        <f>SUM(CY56:DB56)</f>
      </c>
      <c r="DD56" s="931">
        <f>SUM(DD49:DD55)</f>
      </c>
      <c r="DE56" s="931">
        <f>SUM(DE49:DE55)</f>
      </c>
      <c r="DF56" s="931">
        <f>SUM(DF49:DF55)</f>
      </c>
      <c r="DG56" s="931">
        <f>SUM(DG49:DG55)</f>
      </c>
      <c r="DH56" s="956">
        <f>SUM(DD56:DG56)</f>
      </c>
      <c r="DI56" s="931">
        <f>SUM(DI49:DI55)</f>
      </c>
      <c r="DJ56" s="931">
        <f>SUM(DJ49:DJ55)</f>
      </c>
      <c r="DK56" s="931">
        <f>SUM(DK49:DK55)</f>
      </c>
      <c r="DL56" s="931">
        <f>SUM(DL49:DL55)</f>
      </c>
      <c r="DM56" s="956">
        <f>SUM(DI56:DL56)</f>
      </c>
      <c r="DN56" s="931">
        <f>SUM(DN49:DN55)</f>
      </c>
      <c r="DO56" s="931">
        <f>SUM(DO49:DO55)</f>
      </c>
      <c r="DP56" s="931">
        <f>SUM(DP49:DP55)</f>
      </c>
      <c r="DQ56" s="931">
        <f>SUM(DQ49:DQ55)</f>
      </c>
      <c r="DR56" s="956">
        <f>SUM(DN56:DQ56)</f>
      </c>
      <c r="DS56" s="931">
        <f>SUM(DS49:DS55)</f>
      </c>
      <c r="DT56" s="931">
        <f>SUM(DT49:DT55)</f>
      </c>
      <c r="DU56" s="931">
        <f>SUM(DU49:DU55)</f>
      </c>
      <c r="DV56" s="931">
        <f>SUM(DV49:DV55)</f>
      </c>
      <c r="DW56" s="956">
        <f>SUM(DS56:DV56)</f>
      </c>
      <c r="DX56" s="931">
        <f>SUM(DX49:DX55)</f>
      </c>
      <c r="DY56" s="931">
        <f>SUM(DY49:DY55)</f>
      </c>
      <c r="DZ56" s="931">
        <f>SUM(DZ49:DZ55)</f>
      </c>
      <c r="EA56" s="931">
        <f>SUM(EA49:EA55)</f>
      </c>
      <c r="EB56" s="956">
        <f>SUM(DX56:EA56)</f>
      </c>
      <c r="EC56" s="931">
        <f>SUM(EC49:EC55)</f>
      </c>
      <c r="ED56" s="931">
        <f>SUM(ED49:ED55)</f>
      </c>
      <c r="EE56" s="931">
        <f>SUM(EE49:EE55)</f>
      </c>
      <c r="EF56" s="931">
        <f>SUM(EF49:EF55)</f>
      </c>
      <c r="EG56" s="956">
        <f>SUM(EC56:EF56)</f>
      </c>
      <c r="EH56" s="931">
        <f>SUM(EH49:EH55)</f>
      </c>
      <c r="EI56" s="931">
        <f>SUM(EI49:EI55)</f>
      </c>
      <c r="EJ56" s="931">
        <f>SUM(EJ49:EJ55)</f>
      </c>
      <c r="EK56" s="931">
        <f>SUM(EK49:EK55)</f>
      </c>
      <c r="EL56" s="956">
        <f>SUM(EH56:EK56)</f>
      </c>
      <c r="EM56" s="931">
        <f>SUM(EM49:EM55)</f>
      </c>
      <c r="EN56" s="931">
        <f>SUM(EN49:EN55)</f>
      </c>
      <c r="EO56" s="931">
        <f>SUM(EO49:EO55)</f>
      </c>
      <c r="EP56" s="931">
        <f>SUM(EP49:EP55)</f>
      </c>
      <c r="EQ56" s="956">
        <f>SUM(EM56:EP56)</f>
      </c>
      <c r="ER56" s="931">
        <f>SUM(ER49:ER55)</f>
      </c>
      <c r="ES56" s="931">
        <f>SUM(ES49:ES55)</f>
      </c>
      <c r="ET56" s="1404">
        <f>SUM(ET49:ET55)</f>
      </c>
      <c r="EU56" s="1404">
        <f>SUM(EU49:EU55)</f>
      </c>
      <c r="EV56" s="956">
        <f>SUM(ER56:EU56)</f>
      </c>
      <c r="EW56" s="1404">
        <f>SUM(EW49:EW55)</f>
      </c>
      <c r="EX56" s="1404">
        <f>SUM(EX49:EX55)</f>
      </c>
      <c r="EY56" s="1404">
        <f>SUM(EY49:EY55)</f>
      </c>
      <c r="EZ56" s="1404">
        <f>SUM(EZ49:EZ55)</f>
      </c>
      <c r="FA56" s="956">
        <f>SUM(EW56:EZ56)</f>
      </c>
      <c r="FB56" s="931">
        <f>SUM(FB49:FB55)</f>
      </c>
      <c r="FC56" s="931">
        <f>SUM(FC49:FC55)</f>
      </c>
      <c r="FD56" s="931">
        <f>SUM(FD49:FD55)</f>
      </c>
      <c r="FE56" s="931">
        <f>SUM(FE49:FE55)</f>
      </c>
      <c r="FF56" s="956">
        <f>SUM(FB56:FE56)</f>
      </c>
      <c r="FG56" s="931">
        <f>SUM(FG49:FG55)</f>
      </c>
      <c r="FH56" s="931">
        <f>SUM(FH49:FH55)</f>
      </c>
      <c r="FI56" s="931">
        <f>SUM(FI49:FI55)</f>
      </c>
      <c r="FJ56" s="931">
        <f>SUM(FJ49:FJ55)</f>
      </c>
      <c r="FK56" s="956">
        <f>SUM(FG56:FJ56)</f>
      </c>
      <c r="FL56" s="931">
        <f>SUM(FL49:FL55)</f>
      </c>
      <c r="FM56" s="931">
        <f>SUM(FM49:FM55)</f>
      </c>
      <c r="FN56" s="931">
        <f>SUM(FN49:FN55)</f>
      </c>
      <c r="FO56" s="931">
        <f>SUM(FO49:FO55)</f>
      </c>
      <c r="FP56" s="956">
        <f>SUM(FL56:FO56)</f>
      </c>
      <c r="FQ56" s="931">
        <f>SUM(FQ49:FQ55)</f>
      </c>
      <c r="FR56" s="931">
        <f>SUM(FR49:FR55)</f>
      </c>
      <c r="FS56" s="931">
        <f>SUM(FS49:FS55)</f>
      </c>
      <c r="FT56" s="931">
        <f>SUM(FT49:FT55)</f>
      </c>
      <c r="FU56" s="956">
        <f>SUM(FQ56:FT56)</f>
      </c>
      <c r="FV56" s="931">
        <f>SUM(FV49:FV55)</f>
      </c>
      <c r="FW56" s="931">
        <f>SUM(FW49:FW55)</f>
      </c>
      <c r="FX56" s="931">
        <f>SUM(FX49:FX55)</f>
      </c>
      <c r="FY56" s="931">
        <f>SUM(FY49:FY55)</f>
      </c>
      <c r="FZ56" s="956">
        <f>SUM(FV56:FY56)</f>
      </c>
      <c r="GA56" s="931">
        <f>SUM(GA49:GA55)</f>
      </c>
      <c r="GB56" s="931">
        <f>SUM(GB49:GB55)</f>
      </c>
      <c r="GC56" s="931">
        <f>SUM(GC49:GC55)</f>
      </c>
      <c r="GD56" s="931">
        <f>SUM(GD49:GD55)</f>
      </c>
      <c r="GE56" s="956">
        <f>SUM(GA56:GD56)</f>
      </c>
      <c r="GF56" s="931">
        <f>SUM(GF49:GF55)</f>
      </c>
      <c r="GG56" s="931">
        <f>SUM(GG49:GG55)</f>
      </c>
      <c r="GH56" s="931">
        <f>SUM(GH49:GH55)</f>
      </c>
      <c r="GI56" s="931">
        <f>SUM(GI49:GI55)</f>
      </c>
      <c r="GJ56" s="956">
        <f>SUM(GF56:GI56)</f>
      </c>
    </row>
    <row r="57" spans="1:192" s="277" customFormat="1" ht="12.75" customHeight="1">
      <c r="A57" s="274"/>
      <c r="B57" s="719" t="s">
        <v>116</v>
      </c>
      <c r="C57" s="633">
        <v>-4</v>
      </c>
      <c r="D57" s="634">
        <f>-8-C57</f>
      </c>
      <c r="E57" s="634">
        <f>18-D57-C57</f>
      </c>
      <c r="F57" s="634">
        <f>9-E57-D57-C57</f>
      </c>
      <c r="G57" s="901">
        <f>SUM(C57:F57)</f>
      </c>
      <c r="H57" s="633">
        <v>1</v>
      </c>
      <c r="I57" s="634">
        <f>1-H57</f>
      </c>
      <c r="J57" s="634">
        <f>-20-I57-H57</f>
      </c>
      <c r="K57" s="634">
        <f>-5-J57-I57-H57</f>
      </c>
      <c r="L57" s="901">
        <f>SUM(H57:K57)</f>
      </c>
      <c r="M57" s="633">
        <v>6</v>
      </c>
      <c r="N57" s="634">
        <f>5-M57</f>
      </c>
      <c r="O57" s="634">
        <f>-25-N57-M57</f>
      </c>
      <c r="P57" s="634">
        <f>6-O57-N57-M57</f>
      </c>
      <c r="Q57" s="901">
        <f>SUM(M57:P57)</f>
      </c>
      <c r="R57" s="633">
        <v>-16</v>
      </c>
      <c r="S57" s="634">
        <f>-33-R57</f>
      </c>
      <c r="T57" s="634">
        <f>-51-S57-R57</f>
      </c>
      <c r="U57" s="634">
        <f>-29-T57-S57-R57</f>
      </c>
      <c r="V57" s="901">
        <f>SUM(R57:U57)</f>
      </c>
      <c r="W57" s="633">
        <v>19</v>
      </c>
      <c r="X57" s="634">
        <f>58-W57</f>
      </c>
      <c r="Y57" s="634">
        <f>39-X57-W57</f>
      </c>
      <c r="Z57" s="634">
        <f>52-Y57-X57-W57</f>
      </c>
      <c r="AA57" s="901">
        <f>SUM(W57:Z57)</f>
      </c>
      <c r="AB57" s="633">
        <v>19</v>
      </c>
      <c r="AC57" s="634">
        <f>20-AB57</f>
      </c>
      <c r="AD57" s="634">
        <f>64-AC57-AB57</f>
      </c>
      <c r="AE57" s="634">
        <f>29-AD57-AC57-AB57</f>
      </c>
      <c r="AF57" s="901">
        <f>SUM(AB57:AE57)</f>
      </c>
      <c r="AG57" s="633">
        <v>67</v>
      </c>
      <c r="AH57" s="634">
        <f>-8-AG57</f>
      </c>
      <c r="AI57" s="634">
        <f>0-AH57-AG57</f>
      </c>
      <c r="AJ57" s="634">
        <f>-26-AI57-AH57-AG57</f>
      </c>
      <c r="AK57" s="901">
        <f>SUM(AG57:AJ57)</f>
      </c>
      <c r="AL57" s="633">
        <v>5</v>
      </c>
      <c r="AM57" s="634">
        <f>9-AL57</f>
      </c>
      <c r="AN57" s="634">
        <f>-5-AM57-AL57</f>
      </c>
      <c r="AO57" s="634">
        <f>2-AN57-AM57-AL57</f>
      </c>
      <c r="AP57" s="901">
        <f>SUM(AL57:AO57)</f>
      </c>
      <c r="AQ57" s="633">
        <v>5</v>
      </c>
      <c r="AR57" s="634">
        <v>37</v>
      </c>
      <c r="AS57" s="634">
        <v>-3</v>
      </c>
      <c r="AT57" s="634">
        <v>22</v>
      </c>
      <c r="AU57" s="901">
        <f>SUM(AQ57:AT57)</f>
      </c>
      <c r="AV57" s="633">
        <v>4</v>
      </c>
      <c r="AW57" s="634">
        <v>26</v>
      </c>
      <c r="AX57" s="634">
        <v>7</v>
      </c>
      <c r="AY57" s="634">
        <v>-10</v>
      </c>
      <c r="AZ57" s="901">
        <f>SUM(AV57:AY57)</f>
      </c>
      <c r="BA57" s="633">
        <v>3</v>
      </c>
      <c r="BB57" s="634">
        <v>54</v>
      </c>
      <c r="BC57" s="634">
        <v>-8</v>
      </c>
      <c r="BD57" s="634">
        <v>-56</v>
      </c>
      <c r="BE57" s="901">
        <f>SUM(BA57:BD57)</f>
      </c>
      <c r="BF57" s="633">
        <v>-4</v>
      </c>
      <c r="BG57" s="634">
        <v>-12</v>
      </c>
      <c r="BH57" s="634">
        <v>7</v>
      </c>
      <c r="BI57" s="634">
        <v>27</v>
      </c>
      <c r="BJ57" s="901">
        <f t="shared" si="131"/>
      </c>
      <c r="BK57" s="633">
        <v>15</v>
      </c>
      <c r="BL57" s="634">
        <v>22</v>
      </c>
      <c r="BM57" s="634">
        <v>13</v>
      </c>
      <c r="BN57" s="634">
        <v>6</v>
      </c>
      <c r="BO57" s="901">
        <f t="shared" si="88"/>
      </c>
      <c r="BP57" s="633">
        <v>58</v>
      </c>
      <c r="BQ57" s="633">
        <v>28</v>
      </c>
      <c r="BR57" s="633">
        <v>42</v>
      </c>
      <c r="BS57" s="633">
        <v>9</v>
      </c>
      <c r="BT57" s="901">
        <f t="shared" si="89"/>
      </c>
      <c r="BU57" s="633">
        <v>-56</v>
      </c>
      <c r="BV57" s="633">
        <v>-83</v>
      </c>
      <c r="BW57" s="633">
        <v>-36</v>
      </c>
      <c r="BX57" s="633">
        <v>108</v>
      </c>
      <c r="BY57" s="901">
        <f t="shared" si="90"/>
      </c>
      <c r="BZ57" s="633">
        <v>29</v>
      </c>
      <c r="CA57" s="633">
        <v>-1</v>
      </c>
      <c r="CB57" s="633">
        <v>-30</v>
      </c>
      <c r="CC57" s="633">
        <v>-37</v>
      </c>
      <c r="CD57" s="901">
        <f t="shared" si="99"/>
      </c>
      <c r="CE57" s="633">
        <v>58</v>
      </c>
      <c r="CF57" s="633">
        <v>-3</v>
      </c>
      <c r="CG57" s="633">
        <v>28</v>
      </c>
      <c r="CH57" s="633">
        <v>20</v>
      </c>
      <c r="CI57" s="901">
        <f>SUM(CE57:CH57)</f>
      </c>
      <c r="CJ57" s="633">
        <v>-38</v>
      </c>
      <c r="CK57" s="633">
        <v>-52</v>
      </c>
      <c r="CL57" s="633">
        <v>30</v>
      </c>
      <c r="CM57" s="633">
        <v>-44</v>
      </c>
      <c r="CN57" s="901">
        <f t="shared" si="100"/>
      </c>
      <c r="CO57" s="633">
        <v>47</v>
      </c>
      <c r="CP57" s="633">
        <v>15</v>
      </c>
      <c r="CQ57" s="633">
        <v>-39</v>
      </c>
      <c r="CR57" s="633">
        <v>-31</v>
      </c>
      <c r="CS57" s="901">
        <f>SUM(CO57:CR57)</f>
      </c>
      <c r="CT57" s="633">
        <v>24</v>
      </c>
      <c r="CU57" s="633">
        <v>33</v>
      </c>
      <c r="CV57" s="633">
        <v>2</v>
      </c>
      <c r="CW57" s="633">
        <v>-198</v>
      </c>
      <c r="CX57" s="901">
        <f t="shared" si="101"/>
      </c>
      <c r="CY57" s="633">
        <v>-6</v>
      </c>
      <c r="CZ57" s="633">
        <v>-34</v>
      </c>
      <c r="DA57" s="633">
        <v>-36</v>
      </c>
      <c r="DB57" s="633">
        <v>3</v>
      </c>
      <c r="DC57" s="901">
        <f>SUM(CY57:DB57)</f>
      </c>
      <c r="DD57" s="633">
        <v>-44</v>
      </c>
      <c r="DE57" s="633">
        <v>-18</v>
      </c>
      <c r="DF57" s="633">
        <v>17</v>
      </c>
      <c r="DG57" s="633">
        <v>-22</v>
      </c>
      <c r="DH57" s="901">
        <f t="shared" si="102"/>
      </c>
      <c r="DI57" s="633">
        <v>10</v>
      </c>
      <c r="DJ57" s="633">
        <v>-18</v>
      </c>
      <c r="DK57" s="633">
        <v>12</v>
      </c>
      <c r="DL57" s="633">
        <v>15</v>
      </c>
      <c r="DM57" s="901">
        <f>SUM(DI57:DL57)</f>
      </c>
      <c r="DN57" s="633">
        <v>26</v>
      </c>
      <c r="DO57" s="633">
        <v>-17</v>
      </c>
      <c r="DP57" s="633">
        <v>25</v>
      </c>
      <c r="DQ57" s="633">
        <v>16</v>
      </c>
      <c r="DR57" s="901">
        <f t="shared" si="103"/>
      </c>
      <c r="DS57" s="633">
        <v>-129</v>
      </c>
      <c r="DT57" s="633">
        <v>17</v>
      </c>
      <c r="DU57" s="633">
        <v>18</v>
      </c>
      <c r="DV57" s="633">
        <v>-21</v>
      </c>
      <c r="DW57" s="901">
        <f t="shared" si="104"/>
      </c>
      <c r="DX57" s="633">
        <v>-72</v>
      </c>
      <c r="DY57" s="633">
        <v>18</v>
      </c>
      <c r="DZ57" s="633">
        <v>-64</v>
      </c>
      <c r="EA57" s="633">
        <v>-83</v>
      </c>
      <c r="EB57" s="901">
        <f>SUM(DX57:EA57)</f>
      </c>
      <c r="EC57" s="633">
        <v>-46</v>
      </c>
      <c r="ED57" s="633">
        <v>14</v>
      </c>
      <c r="EE57" s="633">
        <v>-33</v>
      </c>
      <c r="EF57" s="633">
        <v>36</v>
      </c>
      <c r="EG57" s="901">
        <f>SUM(EC57:EF57)</f>
      </c>
      <c r="EH57" s="633">
        <v>-73</v>
      </c>
      <c r="EI57" s="633">
        <v>106</v>
      </c>
      <c r="EJ57" s="633">
        <v>24</v>
      </c>
      <c r="EK57" s="633">
        <v>-198</v>
      </c>
      <c r="EL57" s="901">
        <f>SUM(EH57:EK57)</f>
      </c>
      <c r="EM57" s="633">
        <v>-230</v>
      </c>
      <c r="EN57" s="633">
        <v>88</v>
      </c>
      <c r="EO57" s="633">
        <v>29</v>
      </c>
      <c r="EP57" s="633">
        <v>-81</v>
      </c>
      <c r="EQ57" s="901">
        <f>SUM(EM57:EP57)</f>
      </c>
      <c r="ER57" s="633">
        <v>-99</v>
      </c>
      <c r="ES57" s="633">
        <v>72</v>
      </c>
      <c r="ET57" s="954">
        <v>-80</v>
      </c>
      <c r="EU57" s="954">
        <v>-103</v>
      </c>
      <c r="EV57" s="901">
        <f t="shared" si="105"/>
      </c>
      <c r="EW57" s="954">
        <v>122</v>
      </c>
      <c r="EX57" s="961">
        <v>-294</v>
      </c>
      <c r="EY57" s="961">
        <v>52</v>
      </c>
      <c r="EZ57" s="961">
        <v>183</v>
      </c>
      <c r="FA57" s="901">
        <f t="shared" si="106"/>
      </c>
      <c r="FB57" s="948"/>
      <c r="FC57" s="615"/>
      <c r="FD57" s="615"/>
      <c r="FE57" s="615"/>
      <c r="FF57" s="901">
        <f t="shared" si="107"/>
      </c>
      <c r="FG57" s="948"/>
      <c r="FH57" s="615"/>
      <c r="FI57" s="615"/>
      <c r="FJ57" s="615"/>
      <c r="FK57" s="901">
        <f t="shared" si="108"/>
      </c>
      <c r="FL57" s="948"/>
      <c r="FM57" s="615"/>
      <c r="FN57" s="615"/>
      <c r="FO57" s="615"/>
      <c r="FP57" s="901">
        <f t="shared" si="109"/>
      </c>
      <c r="FQ57" s="948"/>
      <c r="FR57" s="615"/>
      <c r="FS57" s="615"/>
      <c r="FT57" s="615"/>
      <c r="FU57" s="901">
        <f t="shared" si="110"/>
      </c>
      <c r="FV57" s="948"/>
      <c r="FW57" s="615"/>
      <c r="FX57" s="615"/>
      <c r="FY57" s="615"/>
      <c r="FZ57" s="901">
        <f t="shared" si="111"/>
      </c>
      <c r="GA57" s="948"/>
      <c r="GB57" s="615"/>
      <c r="GC57" s="615"/>
      <c r="GD57" s="615"/>
      <c r="GE57" s="901">
        <f t="shared" si="112"/>
      </c>
      <c r="GF57" s="948"/>
      <c r="GG57" s="615"/>
      <c r="GH57" s="615"/>
      <c r="GI57" s="615"/>
      <c r="GJ57" s="901">
        <f t="shared" ref="GJ57" si="158">SUM(GF57:GI57)</f>
      </c>
    </row>
    <row r="58" spans="1:192" s="252" customFormat="1" ht="12.75" customHeight="1">
      <c r="A58" s="81"/>
      <c r="B58" s="677"/>
      <c r="C58" s="957"/>
      <c r="D58" s="493"/>
      <c r="E58" s="493"/>
      <c r="F58" s="493"/>
      <c r="G58" s="635"/>
      <c r="H58" s="957"/>
      <c r="I58" s="493"/>
      <c r="J58" s="493"/>
      <c r="K58" s="493"/>
      <c r="L58" s="635"/>
      <c r="M58" s="957"/>
      <c r="N58" s="493"/>
      <c r="O58" s="493"/>
      <c r="P58" s="493"/>
      <c r="Q58" s="635"/>
      <c r="R58" s="957"/>
      <c r="S58" s="493"/>
      <c r="T58" s="493"/>
      <c r="U58" s="493"/>
      <c r="V58" s="635"/>
      <c r="W58" s="957"/>
      <c r="X58" s="493"/>
      <c r="Y58" s="493"/>
      <c r="Z58" s="493"/>
      <c r="AA58" s="635"/>
      <c r="AB58" s="957"/>
      <c r="AC58" s="493"/>
      <c r="AD58" s="493"/>
      <c r="AE58" s="493"/>
      <c r="AF58" s="635"/>
      <c r="AG58" s="957"/>
      <c r="AH58" s="493"/>
      <c r="AI58" s="493"/>
      <c r="AJ58" s="493"/>
      <c r="AK58" s="635"/>
      <c r="AL58" s="957"/>
      <c r="AM58" s="493"/>
      <c r="AN58" s="493"/>
      <c r="AO58" s="493"/>
      <c r="AP58" s="635"/>
      <c r="AQ58" s="957"/>
      <c r="AR58" s="493"/>
      <c r="AS58" s="493"/>
      <c r="AT58" s="493"/>
      <c r="AU58" s="635"/>
      <c r="AV58" s="957"/>
      <c r="AW58" s="493"/>
      <c r="AX58" s="493" t="s">
        <v>226</v>
      </c>
      <c r="AY58" s="493"/>
      <c r="AZ58" s="635"/>
      <c r="BA58" s="957"/>
      <c r="BB58" s="493"/>
      <c r="BC58" s="493"/>
      <c r="BD58" s="493"/>
      <c r="BE58" s="635"/>
      <c r="BF58" s="957"/>
      <c r="BG58" s="493"/>
      <c r="BH58" s="493"/>
      <c r="BI58" s="493"/>
      <c r="BJ58" s="635"/>
      <c r="BK58" s="957"/>
      <c r="BL58" s="493"/>
      <c r="BM58" s="493"/>
      <c r="BN58" s="493"/>
      <c r="BO58" s="635"/>
      <c r="BP58" s="957"/>
      <c r="BQ58" s="493"/>
      <c r="BR58" s="493"/>
      <c r="BS58" s="493"/>
      <c r="BT58" s="635"/>
      <c r="BU58" s="957"/>
      <c r="BV58" s="493"/>
      <c r="BW58" s="493"/>
      <c r="BX58" s="493"/>
      <c r="BY58" s="635"/>
      <c r="BZ58" s="957"/>
      <c r="CA58" s="493"/>
      <c r="CB58" s="493"/>
      <c r="CC58" s="493"/>
      <c r="CD58" s="635"/>
      <c r="CE58" s="957"/>
      <c r="CF58" s="493"/>
      <c r="CG58" s="493"/>
      <c r="CH58" s="493"/>
      <c r="CI58" s="635"/>
      <c r="CJ58" s="957"/>
      <c r="CK58" s="493"/>
      <c r="CL58" s="493"/>
      <c r="CM58" s="493"/>
      <c r="CN58" s="635"/>
      <c r="CO58" s="957"/>
      <c r="CP58" s="493"/>
      <c r="CQ58" s="493"/>
      <c r="CR58" s="493"/>
      <c r="CS58" s="635"/>
      <c r="CT58" s="957"/>
      <c r="CU58" s="493"/>
      <c r="CV58" s="493"/>
      <c r="CW58" s="493"/>
      <c r="CX58" s="635"/>
      <c r="CY58" s="957"/>
      <c r="CZ58" s="493"/>
      <c r="DA58" s="493"/>
      <c r="DB58" s="493"/>
      <c r="DC58" s="635"/>
      <c r="DD58" s="957"/>
      <c r="DE58" s="493"/>
      <c r="DF58" s="493"/>
      <c r="DG58" s="493"/>
      <c r="DH58" s="635"/>
      <c r="DI58" s="957"/>
      <c r="DJ58" s="493"/>
      <c r="DK58" s="493"/>
      <c r="DL58" s="493"/>
      <c r="DM58" s="635"/>
      <c r="DN58" s="957"/>
      <c r="DO58" s="493"/>
      <c r="DP58" s="493"/>
      <c r="DQ58" s="493"/>
      <c r="DR58" s="635"/>
      <c r="DS58" s="957"/>
      <c r="DT58" s="493"/>
      <c r="DU58" s="493"/>
      <c r="DV58" s="493"/>
      <c r="DW58" s="635"/>
      <c r="DX58" s="957"/>
      <c r="DY58" s="493"/>
      <c r="DZ58" s="493"/>
      <c r="EA58" s="493"/>
      <c r="EB58" s="635"/>
      <c r="EC58" s="957"/>
      <c r="ED58" s="493"/>
      <c r="EE58" s="493"/>
      <c r="EF58" s="493"/>
      <c r="EG58" s="635"/>
      <c r="EH58" s="957"/>
      <c r="EI58" s="493"/>
      <c r="EJ58" s="493"/>
      <c r="EK58" s="493"/>
      <c r="EL58" s="635"/>
      <c r="EM58" s="957"/>
      <c r="EN58" s="493"/>
      <c r="EO58" s="493"/>
      <c r="EP58" s="493"/>
      <c r="EQ58" s="635"/>
      <c r="ER58" s="957"/>
      <c r="ES58" s="493"/>
      <c r="ET58" s="493"/>
      <c r="EU58" s="493"/>
      <c r="EV58" s="635"/>
      <c r="EW58" s="1600"/>
      <c r="EX58" s="493"/>
      <c r="EY58" s="493"/>
      <c r="EZ58" s="493"/>
      <c r="FA58" s="635"/>
      <c r="FB58" s="957"/>
      <c r="FC58" s="493"/>
      <c r="FD58" s="493"/>
      <c r="FE58" s="493"/>
      <c r="FF58" s="635"/>
      <c r="FG58" s="957"/>
      <c r="FH58" s="493"/>
      <c r="FI58" s="493"/>
      <c r="FJ58" s="493"/>
      <c r="FK58" s="635"/>
      <c r="FL58" s="957"/>
      <c r="FM58" s="493"/>
      <c r="FN58" s="493"/>
      <c r="FO58" s="493"/>
      <c r="FP58" s="635"/>
      <c r="FQ58" s="957"/>
      <c r="FR58" s="493"/>
      <c r="FS58" s="493"/>
      <c r="FT58" s="493"/>
      <c r="FU58" s="635"/>
      <c r="FV58" s="957"/>
      <c r="FW58" s="493"/>
      <c r="FX58" s="493"/>
      <c r="FY58" s="493"/>
      <c r="FZ58" s="635"/>
      <c r="GA58" s="957"/>
      <c r="GB58" s="493"/>
      <c r="GC58" s="493"/>
      <c r="GD58" s="493"/>
      <c r="GE58" s="635"/>
      <c r="GF58" s="957"/>
      <c r="GG58" s="493"/>
      <c r="GH58" s="493"/>
      <c r="GI58" s="493"/>
      <c r="GJ58" s="635"/>
    </row>
    <row r="59" spans="1:192" s="328" customFormat="1" ht="12.75" customHeight="1">
      <c r="A59" s="274"/>
      <c r="B59" s="684" t="s">
        <v>117</v>
      </c>
      <c r="C59" s="929">
        <f t="shared" ref="C59:AH59" si="159">SUM(C31,C56,C46,C57)</f>
      </c>
      <c r="D59" s="929">
        <f t="shared" si="159"/>
      </c>
      <c r="E59" s="929">
        <f t="shared" si="159"/>
      </c>
      <c r="F59" s="929">
        <f t="shared" si="159"/>
      </c>
      <c r="G59" s="901">
        <f t="shared" si="159"/>
      </c>
      <c r="H59" s="929">
        <f t="shared" si="159"/>
      </c>
      <c r="I59" s="929">
        <f t="shared" si="159"/>
      </c>
      <c r="J59" s="929">
        <f t="shared" si="159"/>
      </c>
      <c r="K59" s="929">
        <f t="shared" si="159"/>
      </c>
      <c r="L59" s="901">
        <f t="shared" si="159"/>
      </c>
      <c r="M59" s="929">
        <f t="shared" si="159"/>
      </c>
      <c r="N59" s="929">
        <f t="shared" si="159"/>
      </c>
      <c r="O59" s="929">
        <f t="shared" si="159"/>
      </c>
      <c r="P59" s="929">
        <f t="shared" si="159"/>
      </c>
      <c r="Q59" s="901">
        <f t="shared" si="159"/>
      </c>
      <c r="R59" s="929">
        <f t="shared" si="159"/>
      </c>
      <c r="S59" s="929">
        <f t="shared" si="159"/>
      </c>
      <c r="T59" s="929">
        <f t="shared" si="159"/>
      </c>
      <c r="U59" s="929">
        <f t="shared" si="159"/>
      </c>
      <c r="V59" s="901">
        <f t="shared" si="159"/>
      </c>
      <c r="W59" s="929">
        <f t="shared" si="159"/>
      </c>
      <c r="X59" s="929">
        <f t="shared" si="159"/>
      </c>
      <c r="Y59" s="929">
        <f t="shared" si="159"/>
      </c>
      <c r="Z59" s="929">
        <f t="shared" si="159"/>
      </c>
      <c r="AA59" s="901">
        <f t="shared" si="159"/>
      </c>
      <c r="AB59" s="929">
        <f t="shared" si="159"/>
      </c>
      <c r="AC59" s="929">
        <f t="shared" si="159"/>
      </c>
      <c r="AD59" s="929">
        <f t="shared" si="159"/>
      </c>
      <c r="AE59" s="929">
        <f t="shared" si="159"/>
      </c>
      <c r="AF59" s="901">
        <f t="shared" si="159"/>
      </c>
      <c r="AG59" s="929">
        <f t="shared" si="159"/>
      </c>
      <c r="AH59" s="929">
        <f t="shared" si="159"/>
      </c>
      <c r="AI59" s="929">
        <f t="shared" ref="AI59:BO59" si="160">SUM(AI31,AI56,AI46,AI57)</f>
      </c>
      <c r="AJ59" s="929">
        <f t="shared" si="160"/>
      </c>
      <c r="AK59" s="901">
        <f t="shared" si="160"/>
      </c>
      <c r="AL59" s="929">
        <f t="shared" si="160"/>
      </c>
      <c r="AM59" s="929">
        <f t="shared" si="160"/>
      </c>
      <c r="AN59" s="929">
        <f t="shared" si="160"/>
      </c>
      <c r="AO59" s="929">
        <f t="shared" si="160"/>
      </c>
      <c r="AP59" s="901">
        <f t="shared" si="160"/>
      </c>
      <c r="AQ59" s="929">
        <f t="shared" si="160"/>
      </c>
      <c r="AR59" s="929">
        <f t="shared" si="160"/>
      </c>
      <c r="AS59" s="929">
        <f t="shared" si="160"/>
      </c>
      <c r="AT59" s="929">
        <f t="shared" si="160"/>
      </c>
      <c r="AU59" s="901">
        <f t="shared" si="160"/>
      </c>
      <c r="AV59" s="929">
        <f t="shared" si="160"/>
      </c>
      <c r="AW59" s="929">
        <f t="shared" si="160"/>
      </c>
      <c r="AX59" s="929">
        <f t="shared" si="160"/>
      </c>
      <c r="AY59" s="929">
        <f t="shared" si="160"/>
      </c>
      <c r="AZ59" s="901">
        <f t="shared" si="160"/>
      </c>
      <c r="BA59" s="929">
        <f t="shared" si="160"/>
      </c>
      <c r="BB59" s="929">
        <f t="shared" si="160"/>
      </c>
      <c r="BC59" s="929">
        <f t="shared" si="160"/>
      </c>
      <c r="BD59" s="929">
        <f t="shared" si="160"/>
      </c>
      <c r="BE59" s="901">
        <f t="shared" si="160"/>
      </c>
      <c r="BF59" s="929">
        <f t="shared" si="160"/>
      </c>
      <c r="BG59" s="929">
        <f t="shared" si="160"/>
      </c>
      <c r="BH59" s="929">
        <f t="shared" si="160"/>
      </c>
      <c r="BI59" s="929">
        <f t="shared" si="160"/>
      </c>
      <c r="BJ59" s="901">
        <f t="shared" si="160"/>
      </c>
      <c r="BK59" s="929">
        <f t="shared" si="160"/>
      </c>
      <c r="BL59" s="929">
        <f t="shared" si="160"/>
      </c>
      <c r="BM59" s="929">
        <f t="shared" si="160"/>
      </c>
      <c r="BN59" s="929">
        <f t="shared" si="160"/>
      </c>
      <c r="BO59" s="901">
        <f t="shared" si="160"/>
      </c>
      <c r="BP59" s="929">
        <f>SUM(BP31,BP56,BP46,BP57)</f>
      </c>
      <c r="BQ59" s="929">
        <f>SUM(BQ31,BQ56,BQ46,BQ57)</f>
      </c>
      <c r="BR59" s="929">
        <f>SUM(BR31,BR56,BR46,BR57)</f>
      </c>
      <c r="BS59" s="929">
        <f>SUM(BS31,BS56,BS46,BS57)</f>
      </c>
      <c r="BT59" s="901">
        <f>SUM(BT31,BT56,BT46,BT57)</f>
      </c>
      <c r="BU59" s="929">
        <f t="shared" ref="BU59:CY59" si="161">SUM(BU31,BU56,BU46,BU57)</f>
      </c>
      <c r="BV59" s="929">
        <f t="shared" si="161"/>
      </c>
      <c r="BW59" s="929">
        <f t="shared" si="161"/>
      </c>
      <c r="BX59" s="929">
        <f t="shared" si="161"/>
      </c>
      <c r="BY59" s="901">
        <f t="shared" si="161"/>
      </c>
      <c r="BZ59" s="929">
        <f t="shared" si="161"/>
      </c>
      <c r="CA59" s="929">
        <f t="shared" si="161"/>
      </c>
      <c r="CB59" s="929">
        <f t="shared" si="161"/>
      </c>
      <c r="CC59" s="929">
        <f t="shared" si="161"/>
      </c>
      <c r="CD59" s="901">
        <f t="shared" si="161"/>
      </c>
      <c r="CE59" s="929">
        <f t="shared" si="161"/>
      </c>
      <c r="CF59" s="929">
        <f t="shared" si="161"/>
      </c>
      <c r="CG59" s="929">
        <f t="shared" si="161"/>
      </c>
      <c r="CH59" s="929">
        <f t="shared" si="161"/>
      </c>
      <c r="CI59" s="901">
        <f t="shared" si="161"/>
      </c>
      <c r="CJ59" s="929">
        <f t="shared" si="161"/>
      </c>
      <c r="CK59" s="929">
        <f t="shared" si="161"/>
      </c>
      <c r="CL59" s="929">
        <f t="shared" si="161"/>
      </c>
      <c r="CM59" s="929">
        <f t="shared" si="161"/>
      </c>
      <c r="CN59" s="901">
        <f t="shared" si="161"/>
      </c>
      <c r="CO59" s="929">
        <f t="shared" si="161"/>
      </c>
      <c r="CP59" s="929">
        <f t="shared" si="161"/>
      </c>
      <c r="CQ59" s="929">
        <f t="shared" si="161"/>
      </c>
      <c r="CR59" s="929">
        <f t="shared" si="161"/>
      </c>
      <c r="CS59" s="901">
        <f t="shared" si="161"/>
      </c>
      <c r="CT59" s="929">
        <f t="shared" si="161"/>
      </c>
      <c r="CU59" s="929">
        <f t="shared" si="161"/>
      </c>
      <c r="CV59" s="929">
        <f t="shared" si="161"/>
      </c>
      <c r="CW59" s="929">
        <f t="shared" si="161"/>
      </c>
      <c r="CX59" s="901">
        <f t="shared" si="161"/>
      </c>
      <c r="CY59" s="929">
        <f t="shared" si="161"/>
      </c>
      <c r="CZ59" s="929">
        <f t="shared" ref="CZ59:EE59" si="162">SUM(CZ31,CZ56,CZ46,CZ57)</f>
      </c>
      <c r="DA59" s="929">
        <f t="shared" si="162"/>
      </c>
      <c r="DB59" s="929">
        <f t="shared" si="162"/>
      </c>
      <c r="DC59" s="901">
        <f t="shared" si="162"/>
      </c>
      <c r="DD59" s="929">
        <f t="shared" si="162"/>
      </c>
      <c r="DE59" s="929">
        <f t="shared" si="162"/>
      </c>
      <c r="DF59" s="929">
        <f t="shared" si="162"/>
      </c>
      <c r="DG59" s="929">
        <f t="shared" si="162"/>
      </c>
      <c r="DH59" s="901">
        <f t="shared" si="162"/>
      </c>
      <c r="DI59" s="929">
        <f t="shared" si="162"/>
      </c>
      <c r="DJ59" s="929">
        <f t="shared" si="162"/>
      </c>
      <c r="DK59" s="929">
        <f t="shared" si="162"/>
      </c>
      <c r="DL59" s="929">
        <f t="shared" si="162"/>
      </c>
      <c r="DM59" s="901">
        <f t="shared" si="162"/>
      </c>
      <c r="DN59" s="929">
        <f t="shared" si="162"/>
      </c>
      <c r="DO59" s="929">
        <f t="shared" si="162"/>
      </c>
      <c r="DP59" s="929">
        <f t="shared" si="162"/>
      </c>
      <c r="DQ59" s="929">
        <f t="shared" si="162"/>
      </c>
      <c r="DR59" s="901">
        <f t="shared" si="162"/>
      </c>
      <c r="DS59" s="929">
        <f t="shared" si="162"/>
      </c>
      <c r="DT59" s="929">
        <f t="shared" si="162"/>
      </c>
      <c r="DU59" s="929">
        <f t="shared" si="162"/>
      </c>
      <c r="DV59" s="929">
        <f t="shared" si="162"/>
      </c>
      <c r="DW59" s="901">
        <f t="shared" si="162"/>
      </c>
      <c r="DX59" s="929">
        <f t="shared" si="162"/>
      </c>
      <c r="DY59" s="929">
        <f t="shared" si="162"/>
      </c>
      <c r="DZ59" s="929">
        <f t="shared" si="162"/>
      </c>
      <c r="EA59" s="929">
        <f t="shared" si="162"/>
      </c>
      <c r="EB59" s="901">
        <f t="shared" si="162"/>
      </c>
      <c r="EC59" s="929">
        <f t="shared" si="162"/>
      </c>
      <c r="ED59" s="929">
        <f t="shared" si="162"/>
      </c>
      <c r="EE59" s="929">
        <f t="shared" si="162"/>
      </c>
      <c r="EF59" s="929">
        <f t="shared" ref="EF59:FK59" si="163">SUM(EF31,EF56,EF46,EF57)</f>
      </c>
      <c r="EG59" s="901">
        <f t="shared" si="163"/>
      </c>
      <c r="EH59" s="929">
        <f t="shared" si="163"/>
      </c>
      <c r="EI59" s="929">
        <f t="shared" si="163"/>
      </c>
      <c r="EJ59" s="929">
        <f t="shared" si="163"/>
      </c>
      <c r="EK59" s="929">
        <f t="shared" si="163"/>
      </c>
      <c r="EL59" s="901">
        <f t="shared" si="163"/>
      </c>
      <c r="EM59" s="929">
        <f t="shared" si="163"/>
      </c>
      <c r="EN59" s="929">
        <f t="shared" si="163"/>
      </c>
      <c r="EO59" s="929">
        <f t="shared" si="163"/>
      </c>
      <c r="EP59" s="929">
        <f t="shared" si="163"/>
      </c>
      <c r="EQ59" s="901">
        <f t="shared" si="163"/>
      </c>
      <c r="ER59" s="929">
        <f t="shared" si="163"/>
      </c>
      <c r="ES59" s="929">
        <f t="shared" si="163"/>
      </c>
      <c r="ET59" s="929">
        <f>SUM(ET31,ET56,ET46,ET57)</f>
      </c>
      <c r="EU59" s="929">
        <f>SUM(EU31,EU56,EU46,EU57)</f>
      </c>
      <c r="EV59" s="901">
        <f t="shared" si="163"/>
      </c>
      <c r="EW59" s="929">
        <f t="shared" ref="EW59:EX59" si="164">SUM(EW31,EW56,EW46,EW57)</f>
      </c>
      <c r="EX59" s="929">
        <f t="shared" si="164"/>
      </c>
      <c r="EY59" s="929">
        <f t="shared" si="163"/>
      </c>
      <c r="EZ59" s="929">
        <f>SUM(EZ31,EZ56,EZ46,EZ57)</f>
      </c>
      <c r="FA59" s="901">
        <f t="shared" ref="FA59" si="165">SUM(FA31,FA56,FA46,FA57)</f>
      </c>
      <c r="FB59" s="929">
        <f t="shared" si="163"/>
      </c>
      <c r="FC59" s="929">
        <f t="shared" si="163"/>
      </c>
      <c r="FD59" s="929">
        <f t="shared" si="163"/>
      </c>
      <c r="FE59" s="929">
        <f t="shared" si="163"/>
      </c>
      <c r="FF59" s="901">
        <f t="shared" si="163"/>
      </c>
      <c r="FG59" s="929">
        <f t="shared" si="163"/>
      </c>
      <c r="FH59" s="929">
        <f t="shared" si="163"/>
      </c>
      <c r="FI59" s="929">
        <f t="shared" si="163"/>
      </c>
      <c r="FJ59" s="929">
        <f t="shared" si="163"/>
      </c>
      <c r="FK59" s="901">
        <f t="shared" si="163"/>
      </c>
      <c r="FL59" s="929">
        <f t="shared" ref="FL59:FZ59" si="166">SUM(FL31,FL56,FL46,FL57)</f>
      </c>
      <c r="FM59" s="929">
        <f t="shared" si="166"/>
      </c>
      <c r="FN59" s="929">
        <f t="shared" si="166"/>
      </c>
      <c r="FO59" s="929">
        <f t="shared" si="166"/>
      </c>
      <c r="FP59" s="901">
        <f t="shared" si="166"/>
      </c>
      <c r="FQ59" s="929">
        <f t="shared" si="166"/>
      </c>
      <c r="FR59" s="929">
        <f t="shared" si="166"/>
      </c>
      <c r="FS59" s="929">
        <f t="shared" si="166"/>
      </c>
      <c r="FT59" s="929">
        <f t="shared" si="166"/>
      </c>
      <c r="FU59" s="901">
        <f t="shared" si="166"/>
      </c>
      <c r="FV59" s="929">
        <f t="shared" si="166"/>
      </c>
      <c r="FW59" s="929">
        <f t="shared" si="166"/>
      </c>
      <c r="FX59" s="929">
        <f t="shared" si="166"/>
      </c>
      <c r="FY59" s="929">
        <f t="shared" si="166"/>
      </c>
      <c r="FZ59" s="901">
        <f t="shared" si="166"/>
      </c>
      <c r="GA59" s="929">
        <f t="shared" ref="GA59:GJ59" si="167">SUM(GA31,GA56,GA46,GA57)</f>
      </c>
      <c r="GB59" s="929">
        <f t="shared" si="167"/>
      </c>
      <c r="GC59" s="929">
        <f t="shared" si="167"/>
      </c>
      <c r="GD59" s="929">
        <f t="shared" si="167"/>
      </c>
      <c r="GE59" s="901">
        <f t="shared" si="167"/>
      </c>
      <c r="GF59" s="929">
        <f t="shared" si="167"/>
      </c>
      <c r="GG59" s="929">
        <f t="shared" si="167"/>
      </c>
      <c r="GH59" s="929">
        <f t="shared" si="167"/>
      </c>
      <c r="GI59" s="929">
        <f t="shared" si="167"/>
      </c>
      <c r="GJ59" s="901">
        <f t="shared" si="167"/>
      </c>
    </row>
    <row r="60" spans="1:192" s="277" customFormat="1" ht="12.75" customHeight="1">
      <c r="A60" s="274"/>
      <c r="B60" s="677" t="s">
        <v>118</v>
      </c>
      <c r="C60" s="448">
        <v>1477</v>
      </c>
      <c r="D60" s="615">
        <f>C61</f>
      </c>
      <c r="E60" s="615">
        <f>D61</f>
      </c>
      <c r="F60" s="615">
        <f>E61</f>
      </c>
      <c r="G60" s="635">
        <f>C60</f>
      </c>
      <c r="H60" s="447">
        <f>F61</f>
      </c>
      <c r="I60" s="615">
        <f>H61</f>
      </c>
      <c r="J60" s="615">
        <f>I61</f>
      </c>
      <c r="K60" s="615">
        <f>J61</f>
      </c>
      <c r="L60" s="635">
        <f>H60</f>
      </c>
      <c r="M60" s="447">
        <f>K61</f>
      </c>
      <c r="N60" s="615">
        <f>M61</f>
      </c>
      <c r="O60" s="615">
        <f>N61</f>
      </c>
      <c r="P60" s="615">
        <f>O61</f>
      </c>
      <c r="Q60" s="635">
        <f>M60</f>
      </c>
      <c r="R60" s="447">
        <f>P61</f>
      </c>
      <c r="S60" s="615">
        <f>R61</f>
      </c>
      <c r="T60" s="615">
        <f>S61</f>
      </c>
      <c r="U60" s="615">
        <f>T61</f>
      </c>
      <c r="V60" s="635">
        <f>R60</f>
      </c>
      <c r="W60" s="447">
        <f>U61</f>
      </c>
      <c r="X60" s="615">
        <f>W61</f>
      </c>
      <c r="Y60" s="615">
        <f>X61</f>
      </c>
      <c r="Z60" s="615">
        <f>Y61</f>
      </c>
      <c r="AA60" s="635">
        <f>W60</f>
      </c>
      <c r="AB60" s="447">
        <f>Z61</f>
      </c>
      <c r="AC60" s="615">
        <f>AB61</f>
      </c>
      <c r="AD60" s="615">
        <f>AC61</f>
      </c>
      <c r="AE60" s="615">
        <f>AD61</f>
      </c>
      <c r="AF60" s="635">
        <f>AB60</f>
      </c>
      <c r="AG60" s="447">
        <f>AE61</f>
      </c>
      <c r="AH60" s="615">
        <f>AG61</f>
      </c>
      <c r="AI60" s="615">
        <f>AH61</f>
      </c>
      <c r="AJ60" s="615">
        <f>AI61</f>
      </c>
      <c r="AK60" s="635">
        <f>AG60</f>
      </c>
      <c r="AL60" s="447">
        <f>AJ61</f>
      </c>
      <c r="AM60" s="615">
        <f>AL61</f>
      </c>
      <c r="AN60" s="615">
        <f>AM61</f>
      </c>
      <c r="AO60" s="615">
        <f>AN61</f>
      </c>
      <c r="AP60" s="635">
        <f>AL60</f>
      </c>
      <c r="AQ60" s="447">
        <f>AO61</f>
      </c>
      <c r="AR60" s="615">
        <f>AQ61</f>
      </c>
      <c r="AS60" s="615">
        <f>AR61</f>
      </c>
      <c r="AT60" s="615">
        <f>AS61</f>
      </c>
      <c r="AU60" s="635">
        <f>AQ60</f>
      </c>
      <c r="AV60" s="447">
        <f>AT61</f>
      </c>
      <c r="AW60" s="615">
        <f>AV61</f>
      </c>
      <c r="AX60" s="615">
        <f>AW61</f>
      </c>
      <c r="AY60" s="615">
        <f>AX61</f>
      </c>
      <c r="AZ60" s="635">
        <f>AV60</f>
      </c>
      <c r="BA60" s="447">
        <f>AY61</f>
      </c>
      <c r="BB60" s="615">
        <f>BA61</f>
      </c>
      <c r="BC60" s="961">
        <v>3558</v>
      </c>
      <c r="BD60" s="615">
        <f>BC61</f>
      </c>
      <c r="BE60" s="635">
        <f>BA60</f>
      </c>
      <c r="BF60" s="447">
        <f>BD61</f>
      </c>
      <c r="BG60" s="615">
        <f>BF61</f>
      </c>
      <c r="BH60" s="615">
        <f>BG61</f>
      </c>
      <c r="BI60" s="615">
        <f>BH61</f>
      </c>
      <c r="BJ60" s="635">
        <f>BF60</f>
      </c>
      <c r="BK60" s="447">
        <f>BI61</f>
      </c>
      <c r="BL60" s="615">
        <f>BK61</f>
      </c>
      <c r="BM60" s="615">
        <f>BL61</f>
      </c>
      <c r="BN60" s="615">
        <f>BM61</f>
      </c>
      <c r="BO60" s="635">
        <f>BK60</f>
      </c>
      <c r="BP60" s="447">
        <f>BN61</f>
      </c>
      <c r="BQ60" s="615">
        <f>BP61</f>
      </c>
      <c r="BR60" s="615">
        <f>BQ61</f>
      </c>
      <c r="BS60" s="615">
        <f>BR61</f>
      </c>
      <c r="BT60" s="635">
        <f>BP60</f>
      </c>
      <c r="BU60" s="447">
        <f>BS61</f>
      </c>
      <c r="BV60" s="615">
        <f>BU61</f>
      </c>
      <c r="BW60" s="615">
        <f>BV61</f>
      </c>
      <c r="BX60" s="615">
        <f>BW61</f>
      </c>
      <c r="BY60" s="635">
        <f>BU60</f>
      </c>
      <c r="BZ60" s="447">
        <f>BX61</f>
      </c>
      <c r="CA60" s="615">
        <f>BZ61</f>
      </c>
      <c r="CB60" s="615">
        <f>CA61</f>
      </c>
      <c r="CC60" s="615">
        <f>CB61</f>
      </c>
      <c r="CD60" s="635">
        <f>BZ60</f>
      </c>
      <c r="CE60" s="447">
        <f>CC61</f>
      </c>
      <c r="CF60" s="615">
        <f>CE61</f>
      </c>
      <c r="CG60" s="615">
        <f>CF61</f>
      </c>
      <c r="CH60" s="615">
        <f>CG61</f>
      </c>
      <c r="CI60" s="635">
        <f>CE60</f>
      </c>
      <c r="CJ60" s="447">
        <f>CH61</f>
      </c>
      <c r="CK60" s="615">
        <f>CJ61</f>
      </c>
      <c r="CL60" s="615">
        <f>CK61</f>
      </c>
      <c r="CM60" s="615">
        <f>CL61</f>
      </c>
      <c r="CN60" s="635">
        <f>CJ60</f>
      </c>
      <c r="CO60" s="447">
        <f>CM61</f>
      </c>
      <c r="CP60" s="615">
        <f>CO61</f>
      </c>
      <c r="CQ60" s="615">
        <f>CP61</f>
      </c>
      <c r="CR60" s="615">
        <f>CQ61</f>
      </c>
      <c r="CS60" s="635">
        <f>CO60</f>
      </c>
      <c r="CT60" s="447">
        <f>CR61</f>
      </c>
      <c r="CU60" s="615">
        <f>CT61</f>
      </c>
      <c r="CV60" s="615">
        <f>CU61</f>
      </c>
      <c r="CW60" s="615">
        <f>CV61</f>
      </c>
      <c r="CX60" s="635">
        <f>CT60</f>
      </c>
      <c r="CY60" s="447">
        <f>CW61</f>
      </c>
      <c r="CZ60" s="615">
        <f>CY61</f>
      </c>
      <c r="DA60" s="615">
        <f>CZ61</f>
      </c>
      <c r="DB60" s="615">
        <f>DA61</f>
      </c>
      <c r="DC60" s="635">
        <f>CY60</f>
      </c>
      <c r="DD60" s="447">
        <f>DB61</f>
      </c>
      <c r="DE60" s="615">
        <f>DD61</f>
      </c>
      <c r="DF60" s="615">
        <f>DE61</f>
      </c>
      <c r="DG60" s="615">
        <f>DF61</f>
      </c>
      <c r="DH60" s="635">
        <f>DD60</f>
      </c>
      <c r="DI60" s="447">
        <f>DG61</f>
      </c>
      <c r="DJ60" s="615">
        <f>DI61</f>
      </c>
      <c r="DK60" s="615">
        <f>DJ61</f>
      </c>
      <c r="DL60" s="615">
        <f>DK61</f>
      </c>
      <c r="DM60" s="635">
        <f>DI60</f>
      </c>
      <c r="DN60" s="447">
        <f>DL61</f>
      </c>
      <c r="DO60" s="615">
        <f>DN61</f>
      </c>
      <c r="DP60" s="615">
        <f>DO61</f>
      </c>
      <c r="DQ60" s="615">
        <f>DP61</f>
      </c>
      <c r="DR60" s="635">
        <f>DN60</f>
      </c>
      <c r="DS60" s="447">
        <f>DQ61</f>
      </c>
      <c r="DT60" s="615">
        <f>DS61</f>
      </c>
      <c r="DU60" s="615">
        <f>DT61</f>
      </c>
      <c r="DV60" s="615">
        <f>DU61</f>
      </c>
      <c r="DW60" s="635">
        <f>DS60</f>
      </c>
      <c r="DX60" s="447">
        <f>DV61</f>
      </c>
      <c r="DY60" s="615">
        <f>DX61</f>
      </c>
      <c r="DZ60" s="615">
        <f>DY61</f>
      </c>
      <c r="EA60" s="615">
        <f>DZ61</f>
      </c>
      <c r="EB60" s="635">
        <f>DX60</f>
      </c>
      <c r="EC60" s="447">
        <f>EA61</f>
      </c>
      <c r="ED60" s="615">
        <f>EC61</f>
      </c>
      <c r="EE60" s="615">
        <f>ED61</f>
      </c>
      <c r="EF60" s="615">
        <f>EE61</f>
      </c>
      <c r="EG60" s="635">
        <f>EC60</f>
      </c>
      <c r="EH60" s="447">
        <f>EF61</f>
      </c>
      <c r="EI60" s="615">
        <f>EH61</f>
      </c>
      <c r="EJ60" s="615">
        <f>EI61</f>
      </c>
      <c r="EK60" s="615">
        <f>EJ61</f>
      </c>
      <c r="EL60" s="635">
        <f>EH60</f>
      </c>
      <c r="EM60" s="447">
        <f>EK61</f>
      </c>
      <c r="EN60" s="615">
        <f>EM61</f>
      </c>
      <c r="EO60" s="615">
        <f>EN61</f>
      </c>
      <c r="EP60" s="615">
        <f>EO61</f>
      </c>
      <c r="EQ60" s="635">
        <f>EM60</f>
      </c>
      <c r="ER60" s="959">
        <f>EP61</f>
      </c>
      <c r="ES60" s="615">
        <f>ER61</f>
      </c>
      <c r="ET60" s="615">
        <f>ES61</f>
      </c>
      <c r="EU60" s="615">
        <f>ET61</f>
      </c>
      <c r="EV60" s="635">
        <f>ER60</f>
      </c>
      <c r="EW60" s="959">
        <f>EU61</f>
      </c>
      <c r="EX60" s="615">
        <f>EW61</f>
      </c>
      <c r="EY60" s="615">
        <f>EX61</f>
      </c>
      <c r="EZ60" s="615">
        <f>EY61</f>
      </c>
      <c r="FA60" s="635">
        <f>EW60</f>
      </c>
      <c r="FB60" s="959">
        <f>EZ61</f>
      </c>
      <c r="FC60" s="615">
        <f>FB61</f>
      </c>
      <c r="FD60" s="615">
        <f>FC61</f>
      </c>
      <c r="FE60" s="615">
        <f>FD61</f>
      </c>
      <c r="FF60" s="635">
        <f>FB60</f>
      </c>
      <c r="FG60" s="959">
        <f>FE61</f>
      </c>
      <c r="FH60" s="615">
        <f>FG61</f>
      </c>
      <c r="FI60" s="615">
        <f>FH61</f>
      </c>
      <c r="FJ60" s="615">
        <f>FI61</f>
      </c>
      <c r="FK60" s="635">
        <f>FG60</f>
      </c>
      <c r="FL60" s="959">
        <f>FJ61</f>
      </c>
      <c r="FM60" s="615">
        <f>FL61</f>
      </c>
      <c r="FN60" s="615">
        <f>FM61</f>
      </c>
      <c r="FO60" s="615">
        <f>FN61</f>
      </c>
      <c r="FP60" s="635">
        <f>FL60</f>
      </c>
      <c r="FQ60" s="959">
        <f>FO61</f>
      </c>
      <c r="FR60" s="615">
        <f>FQ61</f>
      </c>
      <c r="FS60" s="615">
        <f>FR61</f>
      </c>
      <c r="FT60" s="615">
        <f>FS61</f>
      </c>
      <c r="FU60" s="635">
        <f>FQ60</f>
      </c>
      <c r="FV60" s="959">
        <f>FT61</f>
      </c>
      <c r="FW60" s="615">
        <f>FV61</f>
      </c>
      <c r="FX60" s="615">
        <f>FW61</f>
      </c>
      <c r="FY60" s="615">
        <f>FX61</f>
      </c>
      <c r="FZ60" s="635">
        <f>FV60</f>
      </c>
      <c r="GA60" s="959">
        <f>FY61</f>
      </c>
      <c r="GB60" s="615">
        <f>GA61</f>
      </c>
      <c r="GC60" s="615">
        <f>GB61</f>
      </c>
      <c r="GD60" s="615">
        <f>GC61</f>
      </c>
      <c r="GE60" s="635">
        <f>GA60</f>
      </c>
      <c r="GF60" s="959">
        <f>GD61</f>
      </c>
      <c r="GG60" s="615">
        <f>GF61</f>
      </c>
      <c r="GH60" s="615">
        <f>GG61</f>
      </c>
      <c r="GI60" s="615">
        <f>GH61</f>
      </c>
      <c r="GJ60" s="635">
        <f>GF60</f>
      </c>
    </row>
    <row r="61" spans="1:192" s="903" customFormat="1" ht="12.75" customHeight="1">
      <c r="A61" s="902"/>
      <c r="B61" s="684" t="s">
        <v>119</v>
      </c>
      <c r="C61" s="929">
        <f t="shared" ref="C61:AH61" si="168">SUM(C59:C60)</f>
      </c>
      <c r="D61" s="929">
        <f t="shared" si="168"/>
      </c>
      <c r="E61" s="929">
        <f t="shared" si="168"/>
      </c>
      <c r="F61" s="929">
        <f t="shared" si="168"/>
      </c>
      <c r="G61" s="901">
        <f t="shared" si="168"/>
      </c>
      <c r="H61" s="929">
        <f t="shared" si="168"/>
      </c>
      <c r="I61" s="929">
        <f t="shared" si="168"/>
      </c>
      <c r="J61" s="929">
        <f t="shared" si="168"/>
      </c>
      <c r="K61" s="929">
        <f t="shared" si="168"/>
      </c>
      <c r="L61" s="901">
        <f t="shared" si="168"/>
      </c>
      <c r="M61" s="929">
        <f t="shared" si="168"/>
      </c>
      <c r="N61" s="929">
        <f t="shared" si="168"/>
      </c>
      <c r="O61" s="929">
        <f t="shared" si="168"/>
      </c>
      <c r="P61" s="929">
        <f t="shared" si="168"/>
      </c>
      <c r="Q61" s="901">
        <f t="shared" si="168"/>
      </c>
      <c r="R61" s="929">
        <f t="shared" si="168"/>
      </c>
      <c r="S61" s="929">
        <f t="shared" si="168"/>
      </c>
      <c r="T61" s="929">
        <f t="shared" si="168"/>
      </c>
      <c r="U61" s="929">
        <f t="shared" si="168"/>
      </c>
      <c r="V61" s="901">
        <f t="shared" si="168"/>
      </c>
      <c r="W61" s="929">
        <f t="shared" si="168"/>
      </c>
      <c r="X61" s="929">
        <f t="shared" si="168"/>
      </c>
      <c r="Y61" s="929">
        <f t="shared" si="168"/>
      </c>
      <c r="Z61" s="929">
        <f t="shared" si="168"/>
      </c>
      <c r="AA61" s="901">
        <f t="shared" si="168"/>
      </c>
      <c r="AB61" s="929">
        <f t="shared" si="168"/>
      </c>
      <c r="AC61" s="929">
        <f t="shared" si="168"/>
      </c>
      <c r="AD61" s="929">
        <f t="shared" si="168"/>
      </c>
      <c r="AE61" s="929">
        <f t="shared" si="168"/>
      </c>
      <c r="AF61" s="901">
        <f t="shared" si="168"/>
      </c>
      <c r="AG61" s="929">
        <f t="shared" si="168"/>
      </c>
      <c r="AH61" s="929">
        <f t="shared" si="168"/>
      </c>
      <c r="AI61" s="929">
        <f t="shared" ref="AI61:BN61" si="169">SUM(AI59:AI60)</f>
      </c>
      <c r="AJ61" s="929">
        <f t="shared" si="169"/>
      </c>
      <c r="AK61" s="901">
        <f t="shared" si="169"/>
      </c>
      <c r="AL61" s="929">
        <f t="shared" si="169"/>
      </c>
      <c r="AM61" s="929">
        <f t="shared" si="169"/>
      </c>
      <c r="AN61" s="929">
        <f t="shared" si="169"/>
      </c>
      <c r="AO61" s="929">
        <f t="shared" si="169"/>
      </c>
      <c r="AP61" s="901">
        <f t="shared" si="169"/>
      </c>
      <c r="AQ61" s="929">
        <f t="shared" si="169"/>
      </c>
      <c r="AR61" s="929">
        <f t="shared" si="169"/>
      </c>
      <c r="AS61" s="929">
        <f t="shared" si="169"/>
      </c>
      <c r="AT61" s="929">
        <f t="shared" si="169"/>
      </c>
      <c r="AU61" s="901">
        <f t="shared" si="169"/>
      </c>
      <c r="AV61" s="929">
        <f t="shared" si="169"/>
      </c>
      <c r="AW61" s="929">
        <f t="shared" si="169"/>
      </c>
      <c r="AX61" s="929">
        <f t="shared" si="169"/>
      </c>
      <c r="AY61" s="929">
        <f t="shared" si="169"/>
      </c>
      <c r="AZ61" s="901">
        <f t="shared" si="169"/>
      </c>
      <c r="BA61" s="929">
        <f t="shared" si="169"/>
      </c>
      <c r="BB61" s="929">
        <f t="shared" si="169"/>
      </c>
      <c r="BC61" s="929">
        <f t="shared" si="169"/>
      </c>
      <c r="BD61" s="929">
        <f t="shared" si="169"/>
      </c>
      <c r="BE61" s="901">
        <f t="shared" si="169"/>
      </c>
      <c r="BF61" s="929">
        <f t="shared" si="169"/>
      </c>
      <c r="BG61" s="929">
        <f t="shared" si="169"/>
      </c>
      <c r="BH61" s="929">
        <f t="shared" si="169"/>
      </c>
      <c r="BI61" s="929">
        <f t="shared" si="169"/>
      </c>
      <c r="BJ61" s="901">
        <f t="shared" si="169"/>
      </c>
      <c r="BK61" s="929">
        <f t="shared" si="169"/>
      </c>
      <c r="BL61" s="929">
        <f t="shared" si="169"/>
      </c>
      <c r="BM61" s="929">
        <f t="shared" si="169"/>
      </c>
      <c r="BN61" s="929">
        <f t="shared" si="169"/>
      </c>
      <c r="BO61" s="901">
        <f t="shared" ref="BO61:BT61" si="170">SUM(BO59:BO60)</f>
      </c>
      <c r="BP61" s="929">
        <f t="shared" si="170"/>
      </c>
      <c r="BQ61" s="929">
        <f t="shared" si="170"/>
      </c>
      <c r="BR61" s="929">
        <f t="shared" si="170"/>
      </c>
      <c r="BS61" s="929">
        <f t="shared" si="170"/>
      </c>
      <c r="BT61" s="901">
        <f t="shared" si="170"/>
      </c>
      <c r="BU61" s="929">
        <f t="shared" ref="BU61:CZ61" si="171">SUM(BU59:BU60)</f>
      </c>
      <c r="BV61" s="929">
        <f t="shared" si="171"/>
      </c>
      <c r="BW61" s="929">
        <f t="shared" si="171"/>
      </c>
      <c r="BX61" s="929">
        <f t="shared" si="171"/>
      </c>
      <c r="BY61" s="901">
        <f>SUM(BY59:BY60)</f>
      </c>
      <c r="BZ61" s="929">
        <f t="shared" si="171"/>
      </c>
      <c r="CA61" s="929">
        <f t="shared" si="171"/>
      </c>
      <c r="CB61" s="929">
        <f t="shared" si="171"/>
      </c>
      <c r="CC61" s="929">
        <f t="shared" si="171"/>
      </c>
      <c r="CD61" s="901">
        <f>SUM(CD59:CD60)</f>
      </c>
      <c r="CE61" s="929">
        <f t="shared" si="171"/>
      </c>
      <c r="CF61" s="929">
        <f t="shared" si="171"/>
      </c>
      <c r="CG61" s="929">
        <f t="shared" si="171"/>
      </c>
      <c r="CH61" s="929">
        <f t="shared" si="171"/>
      </c>
      <c r="CI61" s="901">
        <f>SUM(CI59:CI60)</f>
      </c>
      <c r="CJ61" s="929">
        <f t="shared" si="171"/>
      </c>
      <c r="CK61" s="929">
        <f t="shared" si="171"/>
      </c>
      <c r="CL61" s="929">
        <f t="shared" si="171"/>
      </c>
      <c r="CM61" s="929">
        <f t="shared" si="171"/>
      </c>
      <c r="CN61" s="901">
        <f>SUM(CN59:CN60)</f>
      </c>
      <c r="CO61" s="929">
        <f t="shared" si="171"/>
      </c>
      <c r="CP61" s="929">
        <f t="shared" si="171"/>
      </c>
      <c r="CQ61" s="929">
        <f t="shared" si="171"/>
      </c>
      <c r="CR61" s="929">
        <f t="shared" si="171"/>
      </c>
      <c r="CS61" s="901">
        <f>SUM(CS59:CS60)</f>
      </c>
      <c r="CT61" s="929">
        <f t="shared" si="171"/>
      </c>
      <c r="CU61" s="929">
        <f t="shared" si="171"/>
      </c>
      <c r="CV61" s="929">
        <f t="shared" si="171"/>
      </c>
      <c r="CW61" s="929">
        <f t="shared" si="171"/>
      </c>
      <c r="CX61" s="901">
        <f>SUM(CX59:CX60)</f>
      </c>
      <c r="CY61" s="929">
        <f t="shared" si="171"/>
      </c>
      <c r="CZ61" s="929">
        <f t="shared" si="171"/>
      </c>
      <c r="DA61" s="929">
        <f t="shared" ref="DA61:EG61" si="172">SUM(DA59:DA60)</f>
      </c>
      <c r="DB61" s="929">
        <f t="shared" si="172"/>
      </c>
      <c r="DC61" s="901">
        <f t="shared" si="172"/>
      </c>
      <c r="DD61" s="929">
        <f t="shared" si="172"/>
      </c>
      <c r="DE61" s="929">
        <f t="shared" si="172"/>
      </c>
      <c r="DF61" s="929">
        <f t="shared" si="172"/>
      </c>
      <c r="DG61" s="929">
        <f t="shared" si="172"/>
      </c>
      <c r="DH61" s="901">
        <f t="shared" si="172"/>
      </c>
      <c r="DI61" s="929">
        <f t="shared" si="172"/>
      </c>
      <c r="DJ61" s="929">
        <f t="shared" si="172"/>
      </c>
      <c r="DK61" s="929">
        <f t="shared" si="172"/>
      </c>
      <c r="DL61" s="929">
        <f t="shared" si="172"/>
      </c>
      <c r="DM61" s="901">
        <f t="shared" si="172"/>
      </c>
      <c r="DN61" s="929">
        <f t="shared" si="172"/>
      </c>
      <c r="DO61" s="929">
        <f t="shared" si="172"/>
      </c>
      <c r="DP61" s="929">
        <f t="shared" si="172"/>
      </c>
      <c r="DQ61" s="929">
        <f t="shared" si="172"/>
      </c>
      <c r="DR61" s="901">
        <f t="shared" si="172"/>
      </c>
      <c r="DS61" s="929">
        <f t="shared" si="172"/>
      </c>
      <c r="DT61" s="929">
        <f t="shared" si="172"/>
      </c>
      <c r="DU61" s="929">
        <f t="shared" si="172"/>
      </c>
      <c r="DV61" s="929">
        <f t="shared" si="172"/>
      </c>
      <c r="DW61" s="901">
        <f t="shared" si="172"/>
      </c>
      <c r="DX61" s="929">
        <f t="shared" si="172"/>
      </c>
      <c r="DY61" s="929">
        <f t="shared" si="172"/>
      </c>
      <c r="DZ61" s="929">
        <f t="shared" si="172"/>
      </c>
      <c r="EA61" s="929">
        <f t="shared" si="172"/>
      </c>
      <c r="EB61" s="901">
        <f t="shared" si="172"/>
      </c>
      <c r="EC61" s="929">
        <f t="shared" si="172"/>
      </c>
      <c r="ED61" s="929">
        <f t="shared" si="172"/>
      </c>
      <c r="EE61" s="929">
        <f t="shared" si="172"/>
      </c>
      <c r="EF61" s="929">
        <f t="shared" si="172"/>
      </c>
      <c r="EG61" s="901">
        <f t="shared" si="172"/>
      </c>
      <c r="EH61" s="929">
        <f t="shared" ref="EH61:ER61" si="173">SUM(EH59:EH60)</f>
      </c>
      <c r="EI61" s="929">
        <f t="shared" si="173"/>
      </c>
      <c r="EJ61" s="929">
        <f t="shared" si="173"/>
      </c>
      <c r="EK61" s="929">
        <f t="shared" si="173"/>
      </c>
      <c r="EL61" s="901">
        <f>SUM(EL59:EL60)</f>
      </c>
      <c r="EM61" s="929">
        <f t="shared" si="173"/>
      </c>
      <c r="EN61" s="929">
        <f t="shared" si="173"/>
      </c>
      <c r="EO61" s="929">
        <f t="shared" si="173"/>
      </c>
      <c r="EP61" s="929">
        <f t="shared" si="173"/>
      </c>
      <c r="EQ61" s="901">
        <f t="shared" si="173"/>
      </c>
      <c r="ER61" s="929">
        <f t="shared" si="173"/>
      </c>
      <c r="ES61" s="929">
        <f t="shared" ref="ES61:FG61" si="174">SUM(ES59:ES60)</f>
      </c>
      <c r="ET61" s="929">
        <f>SUM(ET59:ET60)</f>
      </c>
      <c r="EU61" s="929">
        <f>SUM(EU59:EU60)</f>
      </c>
      <c r="EV61" s="901">
        <f t="shared" si="174"/>
      </c>
      <c r="EW61" s="929">
        <f t="shared" si="174"/>
      </c>
      <c r="EX61" s="929">
        <f t="shared" ref="EX61" si="175">SUM(EX59:EX60)</f>
      </c>
      <c r="EY61" s="929">
        <f t="shared" si="174"/>
      </c>
      <c r="EZ61" s="929">
        <f>SUM(EZ59:EZ60)</f>
      </c>
      <c r="FA61" s="901">
        <f t="shared" ref="FA61" si="176">SUM(FA59:FA60)</f>
      </c>
      <c r="FB61" s="929">
        <f t="shared" si="174"/>
      </c>
      <c r="FC61" s="929">
        <f t="shared" si="174"/>
      </c>
      <c r="FD61" s="929">
        <f t="shared" si="174"/>
      </c>
      <c r="FE61" s="929">
        <f t="shared" si="174"/>
      </c>
      <c r="FF61" s="901">
        <f t="shared" si="174"/>
      </c>
      <c r="FG61" s="929">
        <f t="shared" si="174"/>
      </c>
      <c r="FH61" s="929">
        <f t="shared" ref="FH61:FZ61" si="177">SUM(FH59:FH60)</f>
      </c>
      <c r="FI61" s="929">
        <f t="shared" si="177"/>
      </c>
      <c r="FJ61" s="929">
        <f t="shared" si="177"/>
      </c>
      <c r="FK61" s="901">
        <f t="shared" si="177"/>
      </c>
      <c r="FL61" s="929">
        <f t="shared" si="177"/>
      </c>
      <c r="FM61" s="929">
        <f t="shared" si="177"/>
      </c>
      <c r="FN61" s="929">
        <f t="shared" si="177"/>
      </c>
      <c r="FO61" s="929">
        <f t="shared" si="177"/>
      </c>
      <c r="FP61" s="901">
        <f t="shared" si="177"/>
      </c>
      <c r="FQ61" s="929">
        <f t="shared" si="177"/>
      </c>
      <c r="FR61" s="929">
        <f t="shared" si="177"/>
      </c>
      <c r="FS61" s="929">
        <f t="shared" si="177"/>
      </c>
      <c r="FT61" s="929">
        <f t="shared" si="177"/>
      </c>
      <c r="FU61" s="901">
        <f t="shared" si="177"/>
      </c>
      <c r="FV61" s="929">
        <f t="shared" si="177"/>
      </c>
      <c r="FW61" s="929">
        <f t="shared" si="177"/>
      </c>
      <c r="FX61" s="929">
        <f t="shared" si="177"/>
      </c>
      <c r="FY61" s="929">
        <f t="shared" si="177"/>
      </c>
      <c r="FZ61" s="901">
        <f t="shared" si="177"/>
      </c>
      <c r="GA61" s="929">
        <f t="shared" ref="GA61:GJ61" si="178">SUM(GA59:GA60)</f>
      </c>
      <c r="GB61" s="929">
        <f t="shared" si="178"/>
      </c>
      <c r="GC61" s="929">
        <f t="shared" si="178"/>
      </c>
      <c r="GD61" s="929">
        <f t="shared" si="178"/>
      </c>
      <c r="GE61" s="901">
        <f t="shared" si="178"/>
      </c>
      <c r="GF61" s="929">
        <f t="shared" si="178"/>
      </c>
      <c r="GG61" s="929">
        <f t="shared" si="178"/>
      </c>
      <c r="GH61" s="929">
        <f t="shared" si="178"/>
      </c>
      <c r="GI61" s="929">
        <f t="shared" si="178"/>
      </c>
      <c r="GJ61" s="901">
        <f t="shared" si="178"/>
      </c>
    </row>
    <row r="62" spans="1:192" s="277" customFormat="1" ht="12.75" customHeight="1">
      <c r="A62" s="274"/>
      <c r="B62" s="677"/>
      <c r="C62" s="253"/>
      <c r="D62" s="253"/>
      <c r="E62" s="253"/>
      <c r="F62" s="253"/>
      <c r="G62" s="254"/>
      <c r="H62" s="253"/>
      <c r="I62" s="253"/>
      <c r="J62" s="253"/>
      <c r="K62" s="253"/>
      <c r="L62" s="254"/>
      <c r="M62" s="253"/>
      <c r="N62" s="253"/>
      <c r="O62" s="253"/>
      <c r="P62" s="253"/>
      <c r="Q62" s="254"/>
      <c r="R62" s="253"/>
      <c r="S62" s="253"/>
      <c r="T62" s="253"/>
      <c r="U62" s="253"/>
      <c r="V62" s="254"/>
      <c r="W62" s="253"/>
      <c r="X62" s="253"/>
      <c r="Y62" s="253"/>
      <c r="Z62" s="253"/>
      <c r="AA62" s="254"/>
      <c r="AB62" s="253"/>
      <c r="AC62" s="253"/>
      <c r="AD62" s="253"/>
      <c r="AE62" s="253"/>
      <c r="AF62" s="254"/>
      <c r="AG62" s="253"/>
      <c r="AH62" s="253"/>
      <c r="AI62" s="253"/>
      <c r="AJ62" s="253"/>
      <c r="AK62" s="254"/>
      <c r="AL62" s="253"/>
      <c r="AM62" s="253"/>
      <c r="AN62" s="253"/>
      <c r="AO62" s="253"/>
      <c r="AP62" s="254"/>
      <c r="AQ62" s="253"/>
      <c r="AR62" s="253"/>
      <c r="AS62" s="253"/>
      <c r="AT62" s="253"/>
      <c r="AU62" s="254"/>
      <c r="AV62" s="253"/>
      <c r="AW62" s="253"/>
      <c r="AX62" s="253"/>
      <c r="AY62" s="253"/>
      <c r="AZ62" s="254"/>
      <c r="BA62" s="253"/>
      <c r="BB62" s="253"/>
      <c r="BC62" s="253"/>
      <c r="BD62" s="253"/>
      <c r="BE62" s="254"/>
      <c r="BF62" s="253"/>
      <c r="BG62" s="253"/>
      <c r="BH62" s="253"/>
      <c r="BI62" s="253"/>
      <c r="BJ62" s="254"/>
      <c r="BK62" s="253"/>
      <c r="BL62" s="253"/>
      <c r="BM62" s="253"/>
      <c r="BN62" s="253"/>
      <c r="BO62" s="254"/>
      <c r="BP62" s="253"/>
      <c r="BQ62" s="253"/>
      <c r="BR62" s="253"/>
      <c r="BS62" s="253"/>
      <c r="BT62" s="254"/>
      <c r="BU62" s="253"/>
      <c r="BV62" s="253"/>
      <c r="BW62" s="253"/>
      <c r="BX62" s="253"/>
      <c r="BY62" s="254"/>
      <c r="BZ62" s="253"/>
      <c r="CA62" s="253"/>
      <c r="CB62" s="253"/>
      <c r="CC62" s="253"/>
      <c r="CD62" s="254"/>
      <c r="CE62" s="253"/>
      <c r="CF62" s="253"/>
      <c r="CG62" s="253"/>
      <c r="CH62" s="253"/>
      <c r="CI62" s="254"/>
      <c r="CJ62" s="253"/>
      <c r="CK62" s="253"/>
      <c r="CL62" s="253"/>
      <c r="CM62" s="253"/>
      <c r="CN62" s="254"/>
      <c r="CO62" s="253"/>
      <c r="CP62" s="253"/>
      <c r="CQ62" s="253"/>
      <c r="CR62" s="253"/>
      <c r="CS62" s="254"/>
      <c r="CT62" s="253"/>
      <c r="CU62" s="253"/>
      <c r="CV62" s="253"/>
      <c r="CW62" s="253"/>
      <c r="CX62" s="254"/>
      <c r="CY62" s="253"/>
      <c r="CZ62" s="253"/>
      <c r="DA62" s="253"/>
      <c r="DB62" s="253"/>
      <c r="DC62" s="254"/>
      <c r="DD62" s="253"/>
      <c r="DE62" s="253"/>
      <c r="DF62" s="253"/>
      <c r="DG62" s="253"/>
      <c r="DH62" s="254"/>
      <c r="DI62" s="253"/>
      <c r="DJ62" s="253"/>
      <c r="DK62" s="253"/>
      <c r="DL62" s="253"/>
      <c r="DM62" s="254"/>
      <c r="DN62" s="253"/>
      <c r="DO62" s="253"/>
      <c r="DP62" s="253"/>
      <c r="DQ62" s="253"/>
      <c r="DR62" s="254"/>
      <c r="DS62" s="253"/>
      <c r="DT62" s="253"/>
      <c r="DU62" s="253"/>
      <c r="DV62" s="253"/>
      <c r="DW62" s="254"/>
      <c r="DX62" s="253"/>
      <c r="DY62" s="253"/>
      <c r="DZ62" s="253"/>
      <c r="EA62" s="253"/>
      <c r="EB62" s="254"/>
      <c r="EC62" s="253"/>
      <c r="ED62" s="253"/>
      <c r="EE62" s="253"/>
      <c r="EF62" s="253"/>
      <c r="EG62" s="254"/>
      <c r="EH62" s="253"/>
      <c r="EI62" s="253"/>
      <c r="EJ62" s="253"/>
      <c r="EK62" s="253"/>
      <c r="EL62" s="254"/>
      <c r="EM62" s="253"/>
      <c r="EN62" s="253"/>
      <c r="EO62" s="253"/>
      <c r="EP62" s="253"/>
      <c r="EQ62" s="254"/>
      <c r="ER62" s="253"/>
      <c r="ES62" s="253"/>
      <c r="ET62" s="253"/>
      <c r="EU62" s="253"/>
      <c r="EV62" s="254"/>
      <c r="EW62" s="253"/>
      <c r="EX62" s="253"/>
      <c r="EY62" s="253"/>
      <c r="EZ62" s="253"/>
      <c r="FA62" s="254"/>
      <c r="FB62" s="253"/>
      <c r="FC62" s="253"/>
      <c r="FD62" s="253"/>
      <c r="FE62" s="253"/>
      <c r="FF62" s="254"/>
      <c r="FG62" s="253"/>
      <c r="FH62" s="253"/>
      <c r="FI62" s="253"/>
      <c r="FJ62" s="253"/>
      <c r="FK62" s="254"/>
      <c r="FL62" s="253"/>
      <c r="FM62" s="253"/>
      <c r="FN62" s="253"/>
      <c r="FO62" s="253"/>
      <c r="FP62" s="254"/>
      <c r="FQ62" s="253"/>
      <c r="FR62" s="253"/>
      <c r="FS62" s="253"/>
      <c r="FT62" s="253"/>
      <c r="FU62" s="254"/>
      <c r="FV62" s="253"/>
      <c r="FW62" s="253"/>
      <c r="FX62" s="253"/>
      <c r="FY62" s="253"/>
      <c r="FZ62" s="254"/>
      <c r="GA62" s="253"/>
      <c r="GB62" s="253"/>
      <c r="GC62" s="253"/>
      <c r="GD62" s="253"/>
      <c r="GE62" s="254"/>
      <c r="GF62" s="253"/>
      <c r="GG62" s="253"/>
      <c r="GH62" s="253"/>
      <c r="GI62" s="253"/>
      <c r="GJ62" s="254"/>
    </row>
    <row r="63" spans="1:192" s="905" customFormat="1" ht="12.75" customHeight="1">
      <c r="A63" s="904"/>
      <c r="B63" s="1435" t="s">
        <v>88</v>
      </c>
      <c r="C63" s="257" t="str">
        <f>IFERROR(IF(AND(C61 - BS!C10 &lt; 0.001, C61 - BS!C10 &gt; -0.001), "OK", C61 - BS!C10),"--")</f>
      </c>
      <c r="D63" s="257" t="str">
        <f>IFERROR(IF(AND(D61 - BS!D10 &lt; 0.001, D61 - BS!D10 &gt; -0.001), "OK", D61 - BS!D10),"--")</f>
      </c>
      <c r="E63" s="257" t="str">
        <f>IFERROR(IF(AND(E61 - BS!E10 &lt; 0.001, E61 - BS!E10 &gt; -0.001), "OK", E61 - BS!E10),"--")</f>
      </c>
      <c r="F63" s="257" t="str">
        <f>IFERROR(IF(AND(F61 - BS!F10 &lt; 0.001, F61 - BS!F10 &gt; -0.001), "OK", F61 - BS!F10),"--")</f>
      </c>
      <c r="G63" s="259" t="str">
        <f>IFERROR(IF(AND(G61 - BS!G10 &lt; 0.001, G61 - BS!G10 &gt; -0.001), "OK", G61 - BS!G10),"--")</f>
      </c>
      <c r="H63" s="257" t="str">
        <f>IFERROR(IF(AND(H61 - BS!H10 &lt; 0.001, H61 - BS!H10 &gt; -0.001), "OK", H61 - BS!H10),"--")</f>
      </c>
      <c r="I63" s="257" t="str">
        <f>IFERROR(IF(AND(I61 - BS!I10 &lt; 0.001, I61 - BS!I10 &gt; -0.001), "OK", I61 - BS!I10),"--")</f>
      </c>
      <c r="J63" s="257" t="str">
        <f>IFERROR(IF(AND(J61 - BS!J10 &lt; 0.001, J61 - BS!J10 &gt; -0.001), "OK", J61 - BS!J10),"--")</f>
      </c>
      <c r="K63" s="257" t="str">
        <f>IFERROR(IF(AND(K61 - BS!K10 &lt; 0.001, K61 - BS!K10 &gt; -0.001), "OK", K61 - BS!K10),"--")</f>
      </c>
      <c r="L63" s="259" t="str">
        <f>IFERROR(IF(AND(L61 - BS!L10 &lt; 0.001, L61 - BS!L10 &gt; -0.001), "OK", L61 - BS!L10),"--")</f>
      </c>
      <c r="M63" s="257" t="str">
        <f>IFERROR(IF(AND(M61 - BS!M10 &lt; 0.001, M61 - BS!M10 &gt; -0.001), "OK", M61 - BS!M10),"--")</f>
      </c>
      <c r="N63" s="257" t="str">
        <f>IFERROR(IF(AND(N61 - BS!N10 &lt; 0.001, N61 - BS!N10 &gt; -0.001), "OK", N61 - BS!N10),"--")</f>
      </c>
      <c r="O63" s="257" t="str">
        <f>IFERROR(IF(AND(O61 - BS!O10 &lt; 0.001, O61 - BS!O10 &gt; -0.001), "OK", O61 - BS!O10),"--")</f>
      </c>
      <c r="P63" s="257" t="str">
        <f>IFERROR(IF(AND(P61 - BS!P10 &lt; 0.001, P61 - BS!P10 &gt; -0.001), "OK", P61 - BS!P10),"--")</f>
      </c>
      <c r="Q63" s="259" t="str">
        <f>IFERROR(IF(AND(Q61 - BS!Q10 &lt; 0.001, Q61 - BS!Q10 &gt; -0.001), "OK", Q61 - BS!Q10),"--")</f>
      </c>
      <c r="R63" s="257" t="str">
        <f>IFERROR(IF(AND(R61 - BS!R10 &lt; 0.001, R61 - BS!R10 &gt; -0.001), "OK", R61 - BS!R10),"--")</f>
      </c>
      <c r="S63" s="257" t="str">
        <f>IFERROR(IF(AND(S61 - BS!S10 &lt; 0.001, S61 - BS!S10 &gt; -0.001), "OK", S61 - BS!S10),"--")</f>
      </c>
      <c r="T63" s="257" t="str">
        <f>IFERROR(IF(AND(T61 - BS!T10 &lt; 0.001, T61 - BS!T10 &gt; -0.001), "OK", T61 - BS!T10),"--")</f>
      </c>
      <c r="U63" s="257" t="str">
        <f>IFERROR(IF(AND(U61 - BS!U10 &lt; 0.001, U61 - BS!U10 &gt; -0.001), "OK", U61 - BS!U10),"--")</f>
      </c>
      <c r="V63" s="259" t="str">
        <f>IFERROR(IF(AND(V61 - BS!V10 &lt; 0.001, V61 - BS!V10 &gt; -0.001), "OK", V61 - BS!V10),"--")</f>
      </c>
      <c r="W63" s="257" t="str">
        <f>IFERROR(IF(AND(W61 - BS!W10 &lt; 0.001, W61 - BS!W10 &gt; -0.001), "OK", W61 - BS!W10),"--")</f>
      </c>
      <c r="X63" s="257" t="str">
        <f>IFERROR(IF(AND(X61 - BS!X10 &lt; 0.001, X61 - BS!X10 &gt; -0.001), "OK", X61 - BS!X10),"--")</f>
      </c>
      <c r="Y63" s="257" t="str">
        <f>IFERROR(IF(AND(Y61 - BS!Y10 &lt; 0.001, Y61 - BS!Y10 &gt; -0.001), "OK", Y61 - BS!Y10),"--")</f>
      </c>
      <c r="Z63" s="257" t="str">
        <f>IFERROR(IF(AND(Z61 - BS!Z10 &lt; 0.001, Z61 - BS!Z10 &gt; -0.001), "OK", Z61 - BS!Z10),"--")</f>
      </c>
      <c r="AA63" s="259" t="str">
        <f>IFERROR(IF(AND(AA61 - BS!AA10 &lt; 0.001, AA61 - BS!AA10 &gt; -0.001), "OK", AA61 - BS!AA10),"--")</f>
      </c>
      <c r="AB63" s="257" t="str">
        <f>IFERROR(IF(AND(AB61 - BS!AB10 &lt; 0.001, AB61 - BS!AB10 &gt; -0.001), "OK", AB61 - BS!AB10),"--")</f>
      </c>
      <c r="AC63" s="257" t="str">
        <f>IFERROR(IF(AND(AC61 - BS!AC10 &lt; 0.001, AC61 - BS!AC10 &gt; -0.001), "OK", AC61 - BS!AC10),"--")</f>
      </c>
      <c r="AD63" s="257" t="str">
        <f>IFERROR(IF(AND(AD61 - BS!AD10 &lt; 0.001, AD61 - BS!AD10 &gt; -0.001), "OK", AD61 - BS!AD10),"--")</f>
      </c>
      <c r="AE63" s="257" t="str">
        <f>IFERROR(IF(AND(AE61 - BS!AE10 &lt; 0.001, AE61 - BS!AE10 &gt; -0.001), "OK", AE61 - BS!AE10),"--")</f>
      </c>
      <c r="AF63" s="259" t="str">
        <f>IFERROR(IF(AND(AF61 - BS!AF10 &lt; 0.001, AF61 - BS!AF10 &gt; -0.001), "OK", AF61 - BS!AF10),"--")</f>
      </c>
      <c r="AG63" s="257" t="str">
        <f>IFERROR(IF(AND(AG61 - BS!AG10 &lt; 0.001, AG61 - BS!AG10 &gt; -0.001), "OK", AG61 - BS!AG10),"--")</f>
      </c>
      <c r="AH63" s="257" t="str">
        <f>IFERROR(IF(AND(AH61 - BS!AH10 &lt; 0.001, AH61 - BS!AH10 &gt; -0.001), "OK", AH61 - BS!AH10),"--")</f>
      </c>
      <c r="AI63" s="257" t="str">
        <f>IFERROR(IF(AND(AI61 - BS!AI10 &lt; 0.001, AI61 - BS!AI10 &gt; -0.001), "OK", AI61 - BS!AI10),"--")</f>
      </c>
      <c r="AJ63" s="257" t="str">
        <f>IFERROR(IF(AND(AJ61 - BS!AJ10 &lt; 0.001, AJ61 - BS!AJ10 &gt; -0.001), "OK", AJ61 - BS!AJ10),"--")</f>
      </c>
      <c r="AK63" s="259" t="str">
        <f>IFERROR(IF(AND(AK61 - BS!AK10 &lt; 0.001, AK61 - BS!AK10 &gt; -0.001), "OK", AK61 - BS!AK10),"--")</f>
      </c>
      <c r="AL63" s="257" t="str">
        <f>IFERROR(IF(AND(AL61 - BS!AL10 &lt; 0.001, AL61 - BS!AL10 &gt; -0.001), "OK", AL61 - BS!AL10),"--")</f>
      </c>
      <c r="AM63" s="257" t="str">
        <f>IFERROR(IF(AND(AM61 - BS!AM10 &lt; 0.001, AM61 - BS!AM10 &gt; -0.001), "OK", AM61 - BS!AM10),"--")</f>
      </c>
      <c r="AN63" s="257" t="str">
        <f>IFERROR(IF(AND(AN61 - BS!AN10 &lt; 0.001, AN61 - BS!AN10 &gt; -0.001), "OK", AN61 - BS!AN10),"--")</f>
      </c>
      <c r="AO63" s="257" t="str">
        <f>IFERROR(IF(AND(AO61 - BS!AO10 &lt; 0.001, AO61 - BS!AO10 &gt; -0.001), "OK", AO61 - BS!AO10),"--")</f>
      </c>
      <c r="AP63" s="259" t="str">
        <f>IFERROR(IF(AND(AP61 - BS!AP10 &lt; 0.001, AP61 - BS!AP10 &gt; -0.001), "OK", AP61 - BS!AP10),"--")</f>
      </c>
      <c r="AQ63" s="257" t="str">
        <f>IFERROR(IF(AND(AQ61 - BS!AQ10 &lt; 0.001, AQ61 - BS!AQ10 &gt; -0.001), "OK", AQ61 - BS!AQ10),"--")</f>
      </c>
      <c r="AR63" s="257" t="str">
        <f>IFERROR(IF(AND(AR61 - BS!AR10 &lt; 0.001, AR61 - BS!AR10 &gt; -0.001), "OK", AR61 - BS!AR10),"--")</f>
      </c>
      <c r="AS63" s="257" t="str">
        <f>IFERROR(IF(AND(AS61 - BS!AS10 &lt; 0.001, AS61 - BS!AS10 &gt; -0.001), "OK", AS61 - BS!AS10),"--")</f>
      </c>
      <c r="AT63" s="257" t="str">
        <f>IFERROR(IF(AND(AT61 - BS!AT10 &lt; 0.001, AT61 - BS!AT10 &gt; -0.001), "OK", AT61 - BS!AT10),"--")</f>
      </c>
      <c r="AU63" s="259" t="str">
        <f>IFERROR(IF(AND(AU61 - BS!AU10 &lt; 0.001, AU61 - BS!AU10 &gt; -0.001), "OK", AU61 - BS!AU10),"--")</f>
      </c>
      <c r="AV63" s="257" t="str">
        <f>IFERROR(IF(AND(AV61 - BS!AV10 &lt; 0.001, AV61 - BS!AV10 &gt; -0.001), "OK", AV61 - BS!AV10),"--")</f>
      </c>
      <c r="AW63" s="257" t="str">
        <f>IFERROR(IF(AND(AW61 - BS!AW10 &lt; 0.001, AW61 - BS!AW10 &gt; -0.001), "OK", AW61 - BS!AW10),"--")</f>
      </c>
      <c r="AX63" s="257" t="str">
        <f>IFERROR(IF(AND(AX61 - BS!AX10 &lt; 0.001, AX61 - BS!AX10 &gt; -0.001), "OK", AX61 - BS!AX10),"--")</f>
      </c>
      <c r="AY63" s="257" t="str">
        <f>IFERROR(IF(AND(AY61 - BS!AY10 &lt; 0.001, AY61 - BS!AY10 &gt; -0.001), "OK", AY61 - BS!AY10),"--")</f>
      </c>
      <c r="AZ63" s="259" t="str">
        <f>IFERROR(IF(AND(AZ61 - BS!AZ10 &lt; 0.001, AZ61 - BS!AZ10 &gt; -0.001), "OK", AZ61 - BS!AZ10),"--")</f>
      </c>
      <c r="BA63" s="257" t="str">
        <f>IFERROR(IF(AND(BA61 - BS!BA10 &lt; 0.001, BA61 - BS!BA10 &gt; -0.001), "OK", BA61 - BS!BA10),"--")</f>
      </c>
      <c r="BB63" s="257" t="str">
        <f>IFERROR(IF(AND(BB61 - BS!BB10 &lt; 0.001, BB61 - BS!BB10 &gt; -0.001), "OK", BB61 - BS!BB10),"--")</f>
      </c>
      <c r="BC63" s="257" t="str">
        <f>IFERROR(IF(AND(BC61 - BS!BC10 &lt; 0.001, BC61 - BS!BC10 &gt; -0.001), "OK", BC61 - BS!BC10),"--")</f>
      </c>
      <c r="BD63" s="257" t="str">
        <f>IFERROR(IF(AND(BD61 - BS!BD10 &lt; 0.001, BD61 - BS!BD10 &gt; -0.001), "OK", BD61 - BS!BD10),"--")</f>
      </c>
      <c r="BE63" s="259">
        <f>IFERROR(IF(AND(BE61 - BS!BE10 &lt; 0.001, BE61 - BS!BE10 &gt; -0.001), "OK", BE61 - BS!BE10),"--")</f>
      </c>
      <c r="BF63" s="257" t="str">
        <f>IFERROR(IF(AND(BF61 - BS!BF10 &lt; 0.001, BF61 - BS!BF10 &gt; -0.001), "OK", BF61 - BS!BF10),"--")</f>
      </c>
      <c r="BG63" s="257" t="str">
        <f>IFERROR(IF(AND(BG61 - BS!BG10 &lt; 0.001, BG61 - BS!BG10 &gt; -0.001), "OK", BG61 - BS!BG10),"--")</f>
      </c>
      <c r="BH63" s="257" t="str">
        <f>IFERROR(IF(AND(BH61 - BS!BH10 &lt; 0.001, BH61 - BS!BH10 &gt; -0.001), "OK", BH61 - BS!BH10),"--")</f>
      </c>
      <c r="BI63" s="257" t="str">
        <f>IFERROR(IF(AND(BI61 - BS!BI10 &lt; 0.001, BI61 - BS!BI10 &gt; -0.001), "OK", BI61 - BS!BI10),"--")</f>
      </c>
      <c r="BJ63" s="259" t="str">
        <f>IFERROR(IF(AND(BJ61 - BS!BJ10 &lt; 0.001, BJ61 - BS!BJ10 &gt; -0.001), "OK", BJ61 - BS!BJ10),"--")</f>
      </c>
      <c r="BK63" s="257" t="str">
        <f>IFERROR(IF(AND(BK61 - BS!BK10 &lt; 0.001, BK61 - BS!BK10 &gt; -0.001), "OK", BK61 - BS!BK10),"--")</f>
      </c>
      <c r="BL63" s="257" t="str">
        <f>IFERROR(IF(AND(BL61 - BS!BL10 &lt; 0.001, BL61 - BS!BL10 &gt; -0.001), "OK", BL61 - BS!BL10),"--")</f>
      </c>
      <c r="BM63" s="257" t="str">
        <f>IFERROR(IF(AND(BM61 - BS!BM10 &lt; 0.001, BM61 - BS!BM10 &gt; -0.001), "OK", BM61 - BS!BM10),"--")</f>
      </c>
      <c r="BN63" s="257" t="str">
        <f>IFERROR(IF(AND(BN61 - BS!BN10 &lt; 0.001, BN61 - BS!BN10 &gt; -0.001), "OK", BN61 - BS!BN10),"--")</f>
      </c>
      <c r="BO63" s="259" t="str">
        <f>IFERROR(IF(AND(BO61 - BS!BO10 &lt; 0.001, BO61 - BS!BO10 &gt; -0.001), "OK", BO61 - BS!BO10),"--")</f>
      </c>
      <c r="BP63" s="257" t="str">
        <f>IFERROR(IF(AND(BP61 - BS!BP10 &lt; 0.001, BP61 - BS!BP10 &gt; -0.001), "OK", BP61 - BS!BP10),"--")</f>
      </c>
      <c r="BQ63" s="257" t="str">
        <f>IFERROR(IF(AND(BQ61 - BS!BQ10 &lt; 0.001, BQ61 - BS!BQ10 &gt; -0.001), "OK", BQ61 - BS!BQ10),"--")</f>
      </c>
      <c r="BR63" s="257" t="str">
        <f>IFERROR(IF(AND(BR61 - BS!BR10 &lt; 0.001, BR61 - BS!BR10 &gt; -0.001), "OK", BR61 - BS!BR10),"--")</f>
      </c>
      <c r="BS63" s="257" t="str">
        <f>IFERROR(IF(AND(BS61 - BS!BS10 &lt; 0.001, BS61 - BS!BS10 &gt; -0.001), "OK", BS61 - BS!BS10),"--")</f>
      </c>
      <c r="BT63" s="259" t="str">
        <f>IFERROR(IF(AND(BT61 - BS!BT10 &lt; 0.001, BT61 - BS!BT10 &gt; -0.001), "OK", BT61 - BS!BT10),"--")</f>
      </c>
      <c r="BU63" s="257" t="str">
        <f>IFERROR(IF(AND(BU61 - BS!BU10 &lt; 0.001, BU61 - BS!BU10 &gt; -0.001), "OK", BU61 - BS!BU10),"--")</f>
      </c>
      <c r="BV63" s="257" t="str">
        <f>IFERROR(IF(AND(BV61 - BS!BV10 &lt; 0.001, BV61 - BS!BV10 &gt; -0.001), "OK", BV61 - BS!BV10),"--")</f>
      </c>
      <c r="BW63" s="257" t="str">
        <f>IFERROR(IF(AND(BW61 - BS!BW10 &lt; 0.001, BW61 - BS!BW10 &gt; -0.001), "OK", BW61 - BS!BW10),"--")</f>
      </c>
      <c r="BX63" s="257" t="str">
        <f>IFERROR(IF(AND(BX61 - BS!BX10 &lt; 0.001, BX61 - BS!BX10 &gt; -0.001), "OK", BX61 - BS!BX10),"--")</f>
      </c>
      <c r="BY63" s="259" t="str">
        <f>IFERROR(IF(AND(BY61 - BS!BY10 &lt; 0.001, BY61 - BS!BY10 &gt; -0.001), "OK", BY61 - BS!BY10),"--")</f>
      </c>
      <c r="BZ63" s="257" t="str">
        <f>IFERROR(IF(AND(BZ61 - BS!BZ10 &lt; 0.001, BZ61 - BS!BZ10 &gt; -0.001), "OK", BZ61 - BS!BZ10),"--")</f>
      </c>
      <c r="CA63" s="257" t="str">
        <f>IFERROR(IF(AND(CA61 - BS!CA10 &lt; 0.001, CA61 - BS!CA10 &gt; -0.001), "OK", CA61 - BS!CA10),"--")</f>
      </c>
      <c r="CB63" s="257" t="str">
        <f>IFERROR(IF(AND(CB61 - BS!CB10 &lt; 0.001, CB61 - BS!CB10 &gt; -0.001), "OK", CB61 - BS!CB10),"--")</f>
      </c>
      <c r="CC63" s="257" t="str">
        <f>IFERROR(IF(AND(CC61 - BS!CC10 &lt; 0.001, CC61 - BS!CC10 &gt; -0.001), "OK", CC61 - BS!CC10),"--")</f>
      </c>
      <c r="CD63" s="259" t="str">
        <f>IFERROR(IF(AND(CD61 - BS!CD10 &lt; 0.001, CD61 - BS!CD10 &gt; -0.001), "OK", CD61 - BS!CD10),"--")</f>
      </c>
      <c r="CE63" s="257" t="str">
        <f>IFERROR(IF(AND(CE61 - BS!CE10 &lt; 0.001, CE61 - BS!CE10 &gt; -0.001), "OK", CE61 - BS!CE10),"--")</f>
      </c>
      <c r="CF63" s="257" t="str">
        <f>IFERROR(IF(AND(CF61 - BS!CF10 &lt; 0.001, CF61 - BS!CF10 &gt; -0.001), "OK", CF61 - BS!CF10),"--")</f>
      </c>
      <c r="CG63" s="257" t="str">
        <f>IFERROR(IF(AND(CG61 - BS!CG10 &lt; 0.001, CG61 - BS!CG10 &gt; -0.001), "OK", CG61 - BS!CG10),"--")</f>
      </c>
      <c r="CH63" s="257" t="str">
        <f>IFERROR(IF(AND(CH61 - BS!CH10 &lt; 0.001, CH61 - BS!CH10 &gt; -0.001), "OK", CH61 - BS!CH10),"--")</f>
      </c>
      <c r="CI63" s="259" t="str">
        <f>IFERROR(IF(AND(CI61 - BS!CI10 &lt; 0.001, CI61 - BS!CI10 &gt; -0.001), "OK", CI61 - BS!CI10),"--")</f>
      </c>
      <c r="CJ63" s="257" t="str">
        <f>IFERROR(IF(AND(CJ61 - BS!CJ10 &lt; 0.001, CJ61 - BS!CJ10 &gt; -0.001), "OK", CJ61 - BS!CJ10),"--")</f>
      </c>
      <c r="CK63" s="257" t="str">
        <f>IFERROR(IF(AND(CK61 - BS!CK10 &lt; 0.001, CK61 - BS!CK10 &gt; -0.001), "OK", CK61 - BS!CK10),"--")</f>
      </c>
      <c r="CL63" s="257" t="str">
        <f>IFERROR(IF(AND(CL61 - BS!CL10 &lt; 0.001, CL61 - BS!CL10 &gt; -0.001), "OK", CL61 - BS!CL10),"--")</f>
      </c>
      <c r="CM63" s="257" t="str">
        <f>IFERROR(IF(AND(CM61 - BS!CM10 &lt; 0.001, CM61 - BS!CM10 &gt; -0.001), "OK", CM61 - BS!CM10),"--")</f>
      </c>
      <c r="CN63" s="259" t="str">
        <f>IFERROR(IF(AND(CN61 - BS!CN10 &lt; 0.001, CN61 - BS!CN10 &gt; -0.001), "OK", CN61 - BS!CN10),"--")</f>
      </c>
      <c r="CO63" s="257" t="str">
        <f>IFERROR(IF(AND(CO61 - BS!CO10 &lt; 0.001, CO61 - BS!CO10 &gt; -0.001), "OK", CO61 - BS!CO10),"--")</f>
      </c>
      <c r="CP63" s="257" t="str">
        <f>IFERROR(IF(AND(CP61 - BS!CP10 &lt; 0.001, CP61 - BS!CP10 &gt; -0.001), "OK", CP61 - BS!CP10),"--")</f>
      </c>
      <c r="CQ63" s="257" t="str">
        <f>IFERROR(IF(AND(CQ61 - BS!CQ10 &lt; 0.001, CQ61 - BS!CQ10 &gt; -0.001), "OK", CQ61 - BS!CQ10),"--")</f>
      </c>
      <c r="CR63" s="257" t="str">
        <f>IFERROR(IF(AND(CR61 - BS!CR10 &lt; 0.001, CR61 - BS!CR10 &gt; -0.001), "OK", CR61 - BS!CR10),"--")</f>
      </c>
      <c r="CS63" s="259" t="str">
        <f>IFERROR(IF(AND(CS61 - BS!CS10 &lt; 0.001, CS61 - BS!CS10 &gt; -0.001), "OK", CS61 - BS!CS10),"--")</f>
      </c>
      <c r="CT63" s="257" t="str">
        <f>IFERROR(IF(AND(CT61 - BS!CT10 &lt; 0.001, CT61 - BS!CT10 &gt; -0.001), "OK", CT61 - BS!CT10),"--")</f>
      </c>
      <c r="CU63" s="257" t="str">
        <f>IFERROR(IF(AND(CU61 - BS!CU10 &lt; 0.001, CU61 - BS!CU10 &gt; -0.001), "OK", CU61 - BS!CU10),"--")</f>
      </c>
      <c r="CV63" s="257" t="str">
        <f>IFERROR(IF(AND(CV61 - BS!CV10 &lt; 0.001, CV61 - BS!CV10 &gt; -0.001), "OK", CV61 - BS!CV10),"--")</f>
      </c>
      <c r="CW63" s="257" t="str">
        <f>IFERROR(IF(AND(CW61 - BS!CW10 &lt; 0.001, CW61 - BS!CW10 &gt; -0.001), "OK", CW61 - BS!CW10),"--")</f>
      </c>
      <c r="CX63" s="259" t="str">
        <f>IFERROR(IF(AND(CX61 - BS!CX10 &lt; 0.001, CX61 - BS!CX10 &gt; -0.001), "OK", CX61 - BS!CX10),"--")</f>
      </c>
      <c r="CY63" s="257" t="str">
        <f>IFERROR(IF(AND(CY61 - BS!CY10 &lt; 0.001, CY61 - BS!CY10 &gt; -0.001), "OK", CY61 - BS!CY10),"--")</f>
      </c>
      <c r="CZ63" s="257" t="str">
        <f>IFERROR(IF(AND(CZ61 - BS!CZ10 &lt; 0.001, CZ61 - BS!CZ10 &gt; -0.001), "OK", CZ61 - BS!CZ10),"--")</f>
      </c>
      <c r="DA63" s="257" t="str">
        <f>IFERROR(IF(AND(DA61 - BS!DA10 &lt; 0.001, DA61 - BS!DA10 &gt; -0.001), "OK", DA61 - BS!DA10),"--")</f>
      </c>
      <c r="DB63" s="257" t="str">
        <f>IFERROR(IF(AND(DB61 - BS!DB10 &lt; 0.001, DB61 - BS!DB10 &gt; -0.001), "OK", DB61 - BS!DB10),"--")</f>
      </c>
      <c r="DC63" s="259" t="str">
        <f>IFERROR(IF(AND(DC61 - BS!DC10 &lt; 0.001, DC61 - BS!DC10 &gt; -0.001), "OK", DC61 - BS!DC10),"--")</f>
      </c>
      <c r="DD63" s="257" t="str">
        <f>IFERROR(IF(AND(DD61 - BS!DD10 &lt; 0.001, DD61 - BS!DD10 &gt; -0.001), "OK", DD61 - BS!DD10),"--")</f>
      </c>
      <c r="DE63" s="257" t="str">
        <f>IFERROR(IF(AND(DE61 - BS!DE10 &lt; 0.001, DE61 - BS!DE10 &gt; -0.001), "OK", DE61 - BS!DE10),"--")</f>
      </c>
      <c r="DF63" s="257" t="str">
        <f>IFERROR(IF(AND(DF61 - BS!DF10 &lt; 0.001, DF61 - BS!DF10 &gt; -0.001), "OK", DF61 - BS!DF10),"--")</f>
      </c>
      <c r="DG63" s="257" t="str">
        <f>IFERROR(IF(AND(DG61 - BS!DG10 &lt; 0.001, DG61 - BS!DG10 &gt; -0.001), "OK", DG61 - BS!DG10),"--")</f>
      </c>
      <c r="DH63" s="259" t="str">
        <f>IFERROR(IF(AND(DH61 - BS!DH10 &lt; 0.001, DH61 - BS!DH10 &gt; -0.001), "OK", DH61 - BS!DH10),"--")</f>
      </c>
      <c r="DI63" s="257" t="str">
        <f>IFERROR(IF(AND(DI61 - BS!DI10 &lt; 0.001, DI61 - BS!DI10 &gt; -0.001), "OK", DI61 - BS!DI10),"--")</f>
      </c>
      <c r="DJ63" s="257" t="str">
        <f>IFERROR(IF(AND(DJ61 - BS!DJ10 &lt; 0.001, DJ61 - BS!DJ10 &gt; -0.001), "OK", DJ61 - BS!DJ10),"--")</f>
      </c>
      <c r="DK63" s="257" t="str">
        <f>IFERROR(IF(AND(DK61 - BS!DK10 &lt; 0.001, DK61 - BS!DK10 &gt; -0.001), "OK", DK61 - BS!DK10),"--")</f>
      </c>
      <c r="DL63" s="257" t="str">
        <f>IFERROR(IF(AND(DL61 - BS!DL10 &lt; 0.001, DL61 - BS!DL10 &gt; -0.001), "OK", DL61 - BS!DL10),"--")</f>
      </c>
      <c r="DM63" s="259" t="str">
        <f>IFERROR(IF(AND(DM61 - BS!DM10 &lt; 0.001, DM61 - BS!DM10 &gt; -0.001), "OK", DM61 - BS!DM10),"--")</f>
      </c>
      <c r="DN63" s="257" t="str">
        <f>IFERROR(IF(AND(DN61 - BS!DN10 &lt; 0.001, DN61 - BS!DN10 &gt; -0.001), "OK", DN61 - BS!DN10),"--")</f>
      </c>
      <c r="DO63" s="257" t="str">
        <f>IFERROR(IF(AND(DO61 - BS!DO10 &lt; 0.001, DO61 - BS!DO10 &gt; -0.001), "OK", DO61 - BS!DO10),"--")</f>
      </c>
      <c r="DP63" s="257" t="str">
        <f>IFERROR(IF(AND(DP61 - BS!DP10 &lt; 0.001, DP61 - BS!DP10 &gt; -0.001), "OK", DP61 - BS!DP10),"--")</f>
      </c>
      <c r="DQ63" s="257" t="str">
        <f>IFERROR(IF(AND(DQ61 - BS!DQ10 &lt; 0.001, DQ61 - BS!DQ10 &gt; -0.001), "OK", DQ61 - BS!DQ10),"--")</f>
      </c>
      <c r="DR63" s="259" t="str">
        <f>IFERROR(IF(AND(DR61 - BS!DR10 &lt; 0.001, DR61 - BS!DR10 &gt; -0.001), "OK", DR61 - BS!DR10),"--")</f>
      </c>
      <c r="DS63" s="257" t="str">
        <f>IFERROR(IF(AND(DS61 - BS!DS10 &lt; 0.001, DS61 - BS!DS10 &gt; -0.001), "OK", DS61 - BS!DS10),"--")</f>
      </c>
      <c r="DT63" s="257" t="str">
        <f>IFERROR(IF(AND(DT61 - BS!DT10 &lt; 0.001, DT61 - BS!DT10 &gt; -0.001), "OK", DT61 - BS!DT10),"--")</f>
      </c>
      <c r="DU63" s="257" t="str">
        <f>IFERROR(IF(AND(DU61 - BS!DU10 &lt; 0.001, DU61 - BS!DU10 &gt; -0.001), "OK", DU61 - BS!DU10),"--")</f>
      </c>
      <c r="DV63" s="257" t="str">
        <f>IFERROR(IF(AND(DV61 - BS!DV10 &lt; 0.001, DV61 - BS!DV10 &gt; -0.001), "OK", DV61 - BS!DV10),"--")</f>
      </c>
      <c r="DW63" s="259" t="str">
        <f>IFERROR(IF(AND(DW61 - BS!DW10 &lt; 0.001, DW61 - BS!DW10 &gt; -0.001), "OK", DW61 - BS!DW10),"--")</f>
      </c>
      <c r="DX63" s="257" t="str">
        <f>IFERROR(IF(AND(DX61 - BS!DX10 &lt; 0.001, DX61 - BS!DX10 &gt; -0.001), "OK", DX61 - BS!DX10),"--")</f>
      </c>
      <c r="DY63" s="257" t="str">
        <f>IFERROR(IF(AND(DY61 - BS!DY10 &lt; 0.001, DY61 - BS!DY10 &gt; -0.001), "OK", DY61 - BS!DY10),"--")</f>
      </c>
      <c r="DZ63" s="257" t="str">
        <f>IFERROR(IF(AND(DZ61 - BS!DZ10 &lt; 0.001, DZ61 - BS!DZ10 &gt; -0.001), "OK", DZ61 - BS!DZ10),"--")</f>
      </c>
      <c r="EA63" s="257" t="str">
        <f>IFERROR(IF(AND(EA61 - BS!EA10 &lt; 0.001, EA61 - BS!EA10 &gt; -0.001), "OK", EA61 - BS!EA10),"--")</f>
      </c>
      <c r="EB63" s="259" t="str">
        <f>IFERROR(IF(AND(EB61 - BS!EB10 &lt; 0.001, EB61 - BS!EB10 &gt; -0.001), "OK", EB61 - BS!EB10),"--")</f>
      </c>
      <c r="EC63" s="257" t="str">
        <f>IFERROR(IF(AND(EC61 - BS!EC10 &lt; 0.001, EC61 - BS!EC10 &gt; -0.001), "OK", EC61 - BS!EC10),"--")</f>
      </c>
      <c r="ED63" s="257" t="str">
        <f>IFERROR(IF(AND(ED61 - BS!ED10 &lt; 0.001, ED61 - BS!ED10 &gt; -0.001), "OK", ED61 - BS!ED10),"--")</f>
      </c>
      <c r="EE63" s="257" t="str">
        <f>IFERROR(IF(AND(EE61 - BS!EE10 &lt; 0.001, EE61 - BS!EE10 &gt; -0.001), "OK", EE61 - BS!EE10),"--")</f>
      </c>
      <c r="EF63" s="257" t="str">
        <f>IFERROR(IF(AND(EF61 - BS!EF10 &lt; 0.001, EF61 - BS!EF10 &gt; -0.001), "OK", EF61 - BS!EF10),"--")</f>
      </c>
      <c r="EG63" s="259" t="str">
        <f>IFERROR(IF(AND(EG61 - BS!EG10 &lt; 0.001, EG61 - BS!EG10 &gt; -0.001), "OK", EG61 - BS!EG10),"--")</f>
      </c>
      <c r="EH63" s="257" t="str">
        <f>IFERROR(IF(AND(EH61 - BS!EH10 &lt; 0.001, EH61 - BS!EH10 &gt; -0.001), "OK", EH61 - BS!EH10),"--")</f>
      </c>
      <c r="EI63" s="257" t="str">
        <f>IFERROR(IF(AND(EI61 - BS!EI10 &lt; 0.001, EI61 - BS!EI10 &gt; -0.001), "OK", EI61 - BS!EI10),"--")</f>
      </c>
      <c r="EJ63" s="257" t="str">
        <f>IFERROR(IF(AND(EJ61 - BS!EJ10 &lt; 0.001, EJ61 - BS!EJ10 &gt; -0.001), "OK", EJ61 - BS!EJ10),"--")</f>
      </c>
      <c r="EK63" s="257" t="str">
        <f>IFERROR(IF(AND(EK61 - BS!EK10 &lt; 0.001, EK61 - BS!EK10 &gt; -0.001), "OK", EK61 - BS!EK10),"--")</f>
      </c>
      <c r="EL63" s="259" t="str">
        <f>IFERROR(IF(AND(EL61 - BS!EL10 &lt; 0.001, EL61 - BS!EL10 &gt; -0.001), "OK", EL61 - BS!EL10),"--")</f>
      </c>
      <c r="EM63" s="257" t="str">
        <f>IFERROR(IF(AND(EM61 - BS!EM10 &lt; 0.001, EM61 - BS!EM10 &gt; -0.001), "OK", EM61 - BS!EM10),"--")</f>
      </c>
      <c r="EN63" s="257" t="str">
        <f>IFERROR(IF(AND(EN61 - BS!EN10 &lt; 0.001, EN61 - BS!EN10 &gt; -0.001), "OK", EN61 - BS!EN10),"--")</f>
      </c>
      <c r="EO63" s="257" t="str">
        <f>IFERROR(IF(AND(EO61 - BS!EO10 &lt; 0.001, EO61 - BS!EO10 &gt; -0.001), "OK", EO61 - BS!EO10),"--")</f>
      </c>
      <c r="EP63" s="257" t="str">
        <f>IFERROR(IF(AND(EP61 - BS!EP10 &lt; 0.001, EP61 - BS!EP10 &gt; -0.001), "OK", EP61 - BS!EP10),"--")</f>
      </c>
      <c r="EQ63" s="259" t="str">
        <f>IFERROR(IF(AND(EQ61 - BS!EQ10 &lt; 0.001, EQ61 - BS!EQ10 &gt; -0.001), "OK", EQ61 - BS!EQ10),"--")</f>
      </c>
      <c r="ER63" s="257" t="str">
        <f>IFERROR(IF(AND(ER61 - BS!ER10 &lt; 0.001, ER61 - BS!ER10 &gt; -0.001), "OK", ER61 - BS!ER10),"--")</f>
      </c>
      <c r="ES63" s="257" t="str">
        <f>IFERROR(IF(AND(ES61 - BS!ES10 &lt; 0.001, ES61 - BS!ES10 &gt; -0.001), "OK", ES61 - BS!ES10),"--")</f>
      </c>
      <c r="ET63" s="257" t="str">
        <f>IFERROR(IF(AND(ET61 - BS!ET10 &lt; 0.001, ET61 - BS!ET10 &gt; -0.001), "OK", ET61 - BS!ET10),"--")</f>
      </c>
      <c r="EU63" s="257" t="str">
        <f>IFERROR(IF(AND(EU61 - BS!EU10 &lt; 0.001, EU61 - BS!EU10 &gt; -0.001), "OK", EU61 - BS!EU10),"--")</f>
      </c>
      <c r="EV63" s="259" t="str">
        <f>IFERROR(IF(AND(EV61 - BS!EV10 &lt; 0.001, EV61 - BS!EV10 &gt; -0.001), "OK", EV61 - BS!EV10),"--")</f>
      </c>
      <c r="EW63" s="257" t="str">
        <f>IFERROR(IF(AND(EW61 - BS!EW10 &lt; 0.001, EW61 - BS!EW10 &gt; -0.001), "OK", EW61 - BS!EW10),"--")</f>
      </c>
      <c r="EX63" s="257" t="str">
        <f>IFERROR(IF(AND(EX61 - BS!EX10 &lt; 0.001, EX61 - BS!EX10 &gt; -0.001), "OK", EX61 - BS!EX10),"--")</f>
      </c>
      <c r="EY63" s="257" t="str">
        <f>IFERROR(IF(AND(EY61 - BS!EY10 &lt; 0.001, EY61 - BS!EY10 &gt; -0.001), "OK", EY61 - BS!EY10),"--")</f>
      </c>
      <c r="EZ63" s="257" t="str">
        <f>IFERROR(IF(AND(EZ61 - BS!EZ10 &lt; 0.001, EZ61 - BS!EZ10 &gt; -0.001), "OK", EZ61 - BS!EZ10),"--")</f>
      </c>
      <c r="FA63" s="259" t="str">
        <f>IFERROR(IF(AND(FA61 - BS!FA10 &lt; 0.001, FA61 - BS!FA10 &gt; -0.001), "OK", FA61 - BS!FA10),"--")</f>
      </c>
      <c r="FB63" s="257" t="str">
        <f>IFERROR(IF(AND(FB61 - BS!FB10 &lt; 0.001, FB61 - BS!FB10 &gt; -0.001), "OK", FB61 - BS!FB10),"--")</f>
      </c>
      <c r="FC63" s="257" t="str">
        <f>IFERROR(IF(AND(FC61 - BS!FC10 &lt; 0.001, FC61 - BS!FC10 &gt; -0.001), "OK", FC61 - BS!FC10),"--")</f>
      </c>
      <c r="FD63" s="257" t="str">
        <f>IFERROR(IF(AND(FD61 - BS!FD10 &lt; 0.001, FD61 - BS!FD10 &gt; -0.001), "OK", FD61 - BS!FD10),"--")</f>
      </c>
      <c r="FE63" s="257" t="str">
        <f>IFERROR(IF(AND(FE61 - BS!FE10 &lt; 0.001, FE61 - BS!FE10 &gt; -0.001), "OK", FE61 - BS!FE10),"--")</f>
      </c>
      <c r="FF63" s="259" t="str">
        <f>IFERROR(IF(AND(FF61 - BS!FF10 &lt; 0.001, FF61 - BS!FF10 &gt; -0.001), "OK", FF61 - BS!FF10),"--")</f>
      </c>
      <c r="FG63" s="257" t="str">
        <f>IFERROR(IF(AND(FG61 - BS!FG10 &lt; 0.001, FG61 - BS!FG10 &gt; -0.001), "OK", FG61 - BS!FG10),"--")</f>
      </c>
      <c r="FH63" s="257" t="str">
        <f>IFERROR(IF(AND(FH61 - BS!FH10 &lt; 0.001, FH61 - BS!FH10 &gt; -0.001), "OK", FH61 - BS!FH10),"--")</f>
      </c>
      <c r="FI63" s="257" t="str">
        <f>IFERROR(IF(AND(FI61 - BS!FI10 &lt; 0.001, FI61 - BS!FI10 &gt; -0.001), "OK", FI61 - BS!FI10),"--")</f>
      </c>
      <c r="FJ63" s="257" t="str">
        <f>IFERROR(IF(AND(FJ61 - BS!FJ10 &lt; 0.001, FJ61 - BS!FJ10 &gt; -0.001), "OK", FJ61 - BS!FJ10),"--")</f>
      </c>
      <c r="FK63" s="259" t="str">
        <f>IFERROR(IF(AND(FK61 - BS!FK10 &lt; 0.001, FK61 - BS!FK10 &gt; -0.001), "OK", FK61 - BS!FK10),"--")</f>
      </c>
      <c r="FL63" s="257" t="str">
        <f>IFERROR(IF(AND(FL61 - BS!FL10 &lt; 0.001, FL61 - BS!FL10 &gt; -0.001), "OK", FL61 - BS!FL10),"--")</f>
      </c>
      <c r="FM63" s="257" t="str">
        <f>IFERROR(IF(AND(FM61 - BS!FM10 &lt; 0.001, FM61 - BS!FM10 &gt; -0.001), "OK", FM61 - BS!FM10),"--")</f>
      </c>
      <c r="FN63" s="257" t="str">
        <f>IFERROR(IF(AND(FN61 - BS!FN10 &lt; 0.001, FN61 - BS!FN10 &gt; -0.001), "OK", FN61 - BS!FN10),"--")</f>
      </c>
      <c r="FO63" s="257" t="str">
        <f>IFERROR(IF(AND(FO61 - BS!FO10 &lt; 0.001, FO61 - BS!FO10 &gt; -0.001), "OK", FO61 - BS!FO10),"--")</f>
      </c>
      <c r="FP63" s="259" t="str">
        <f>IFERROR(IF(AND(FP61 - BS!FP10 &lt; 0.001, FP61 - BS!FP10 &gt; -0.001), "OK", FP61 - BS!FP10),"--")</f>
      </c>
      <c r="FQ63" s="257" t="str">
        <f>IFERROR(IF(AND(FQ61 - BS!FQ10 &lt; 0.001, FQ61 - BS!FQ10 &gt; -0.001), "OK", FQ61 - BS!FQ10),"--")</f>
      </c>
      <c r="FR63" s="257" t="str">
        <f>IFERROR(IF(AND(FR61 - BS!FR10 &lt; 0.001, FR61 - BS!FR10 &gt; -0.001), "OK", FR61 - BS!FR10),"--")</f>
      </c>
      <c r="FS63" s="257" t="str">
        <f>IFERROR(IF(AND(FS61 - BS!FS10 &lt; 0.001, FS61 - BS!FS10 &gt; -0.001), "OK", FS61 - BS!FS10),"--")</f>
      </c>
      <c r="FT63" s="257" t="str">
        <f>IFERROR(IF(AND(FT61 - BS!FT10 &lt; 0.001, FT61 - BS!FT10 &gt; -0.001), "OK", FT61 - BS!FT10),"--")</f>
      </c>
      <c r="FU63" s="259" t="str">
        <f>IFERROR(IF(AND(FU61 - BS!FU10 &lt; 0.001, FU61 - BS!FU10 &gt; -0.001), "OK", FU61 - BS!FU10),"--")</f>
      </c>
      <c r="FV63" s="257" t="str">
        <f>IFERROR(IF(AND(FV61 - BS!FV10 &lt; 0.001, FV61 - BS!FV10 &gt; -0.001), "OK", FV61 - BS!FV10),"--")</f>
      </c>
      <c r="FW63" s="257" t="str">
        <f>IFERROR(IF(AND(FW61 - BS!FW10 &lt; 0.001, FW61 - BS!FW10 &gt; -0.001), "OK", FW61 - BS!FW10),"--")</f>
      </c>
      <c r="FX63" s="257" t="str">
        <f>IFERROR(IF(AND(FX61 - BS!FX10 &lt; 0.001, FX61 - BS!FX10 &gt; -0.001), "OK", FX61 - BS!FX10),"--")</f>
      </c>
      <c r="FY63" s="257" t="str">
        <f>IFERROR(IF(AND(FY61 - BS!FY10 &lt; 0.001, FY61 - BS!FY10 &gt; -0.001), "OK", FY61 - BS!FY10),"--")</f>
      </c>
      <c r="FZ63" s="259" t="str">
        <f>IFERROR(IF(AND(FZ61 - BS!FZ10 &lt; 0.001, FZ61 - BS!FZ10 &gt; -0.001), "OK", FZ61 - BS!FZ10),"--")</f>
      </c>
      <c r="GA63" s="257" t="str">
        <f>IFERROR(IF(AND(GA61 - BS!GA10 &lt; 0.001, GA61 - BS!GA10 &gt; -0.001), "OK", GA61 - BS!GA10),"--")</f>
      </c>
      <c r="GB63" s="257" t="str">
        <f>IFERROR(IF(AND(GB61 - BS!GB10 &lt; 0.001, GB61 - BS!GB10 &gt; -0.001), "OK", GB61 - BS!GB10),"--")</f>
      </c>
      <c r="GC63" s="257" t="str">
        <f>IFERROR(IF(AND(GC61 - BS!GC10 &lt; 0.001, GC61 - BS!GC10 &gt; -0.001), "OK", GC61 - BS!GC10),"--")</f>
      </c>
      <c r="GD63" s="257" t="str">
        <f>IFERROR(IF(AND(GD61 - BS!GD10 &lt; 0.001, GD61 - BS!GD10 &gt; -0.001), "OK", GD61 - BS!GD10),"--")</f>
      </c>
      <c r="GE63" s="259" t="str">
        <f>IFERROR(IF(AND(GE61 - BS!GE10 &lt; 0.001, GE61 - BS!GE10 &gt; -0.001), "OK", GE61 - BS!GE10),"--")</f>
      </c>
      <c r="GF63" s="257" t="str">
        <f>IFERROR(IF(AND(GF61 - BS!GF10 &lt; 0.001, GF61 - BS!GF10 &gt; -0.001), "OK", GF61 - BS!GF10),"--")</f>
      </c>
      <c r="GG63" s="257" t="str">
        <f>IFERROR(IF(AND(GG61 - BS!GG10 &lt; 0.001, GG61 - BS!GG10 &gt; -0.001), "OK", GG61 - BS!GG10),"--")</f>
      </c>
      <c r="GH63" s="257" t="str">
        <f>IFERROR(IF(AND(GH61 - BS!GH10 &lt; 0.001, GH61 - BS!GH10 &gt; -0.001), "OK", GH61 - BS!GH10),"--")</f>
      </c>
      <c r="GI63" s="257" t="str">
        <f>IFERROR(IF(AND(GI61 - BS!GI10 &lt; 0.001, GI61 - BS!GI10 &gt; -0.001), "OK", GI61 - BS!GI10),"--")</f>
      </c>
      <c r="GJ63" s="259" t="str">
        <f>IFERROR(IF(AND(GJ61 - BS!GJ10 &lt; 0.001, GJ61 - BS!GJ10 &gt; -0.001), "OK", GJ61 - BS!GJ10),"--")</f>
      </c>
    </row>
    <row r="64" spans="1:192" s="261" customFormat="1" ht="12.75" customHeight="1">
      <c r="A64" s="81"/>
      <c r="B64" s="677"/>
      <c r="C64" s="106"/>
      <c r="D64" s="107"/>
      <c r="E64" s="107"/>
      <c r="F64" s="107"/>
      <c r="G64" s="260"/>
      <c r="H64" s="106"/>
      <c r="I64" s="107"/>
      <c r="J64" s="107"/>
      <c r="K64" s="107"/>
      <c r="L64" s="260"/>
      <c r="M64" s="106"/>
      <c r="N64" s="107"/>
      <c r="O64" s="107"/>
      <c r="P64" s="107"/>
      <c r="Q64" s="260"/>
      <c r="R64" s="106"/>
      <c r="S64" s="107"/>
      <c r="T64" s="107"/>
      <c r="U64" s="107"/>
      <c r="V64" s="260"/>
      <c r="W64" s="106"/>
      <c r="X64" s="107"/>
      <c r="Y64" s="107"/>
      <c r="Z64" s="107"/>
      <c r="AA64" s="260"/>
      <c r="AB64" s="106"/>
      <c r="AC64" s="107"/>
      <c r="AD64" s="107"/>
      <c r="AE64" s="107"/>
      <c r="AF64" s="260"/>
      <c r="AG64" s="106"/>
      <c r="AH64" s="107"/>
      <c r="AI64" s="107"/>
      <c r="AJ64" s="107"/>
      <c r="AK64" s="260"/>
      <c r="AL64" s="106"/>
      <c r="AM64" s="107"/>
      <c r="AN64" s="107"/>
      <c r="AO64" s="107"/>
      <c r="AP64" s="260"/>
      <c r="AQ64" s="106"/>
      <c r="AR64" s="107"/>
      <c r="AS64" s="107"/>
      <c r="AT64" s="107"/>
      <c r="AU64" s="260"/>
      <c r="AV64" s="106"/>
      <c r="AW64" s="107"/>
      <c r="AX64" s="107"/>
      <c r="AY64" s="107"/>
      <c r="AZ64" s="260"/>
      <c r="BA64" s="106"/>
      <c r="BB64" s="107"/>
      <c r="BC64" s="107"/>
      <c r="BD64" s="107"/>
      <c r="BE64" s="260"/>
      <c r="BF64" s="106"/>
      <c r="BG64" s="107"/>
      <c r="BH64" s="107"/>
      <c r="BI64" s="107"/>
      <c r="BJ64" s="260"/>
      <c r="BK64" s="106"/>
      <c r="BL64" s="107"/>
      <c r="BM64" s="107"/>
      <c r="BN64" s="107"/>
      <c r="BO64" s="260"/>
      <c r="BP64" s="106"/>
      <c r="BQ64" s="107"/>
      <c r="BR64" s="107"/>
      <c r="BS64" s="107"/>
      <c r="BT64" s="260"/>
      <c r="BU64" s="106"/>
      <c r="BV64" s="107"/>
      <c r="BW64" s="107"/>
      <c r="BX64" s="107"/>
      <c r="BY64" s="260"/>
      <c r="BZ64" s="106"/>
      <c r="CA64" s="107"/>
      <c r="CB64" s="107"/>
      <c r="CC64" s="107"/>
      <c r="CD64" s="260"/>
      <c r="CE64" s="106"/>
      <c r="CF64" s="107"/>
      <c r="CG64" s="107"/>
      <c r="CH64" s="107"/>
      <c r="CI64" s="260"/>
      <c r="CJ64" s="106"/>
      <c r="CK64" s="107"/>
      <c r="CL64" s="107"/>
      <c r="CM64" s="107"/>
      <c r="CN64" s="260"/>
      <c r="CO64" s="106"/>
      <c r="CP64" s="107"/>
      <c r="CQ64" s="107"/>
      <c r="CR64" s="107"/>
      <c r="CS64" s="260"/>
      <c r="CT64" s="106"/>
      <c r="CU64" s="107"/>
      <c r="CV64" s="107"/>
      <c r="CW64" s="107"/>
      <c r="CX64" s="260"/>
      <c r="CY64" s="106"/>
      <c r="CZ64" s="107"/>
      <c r="DA64" s="107"/>
      <c r="DB64" s="107"/>
      <c r="DC64" s="260"/>
      <c r="DD64" s="106"/>
      <c r="DE64" s="107"/>
      <c r="DF64" s="107"/>
      <c r="DG64" s="107"/>
      <c r="DH64" s="260"/>
      <c r="DI64" s="106"/>
      <c r="DJ64" s="107"/>
      <c r="DK64" s="107"/>
      <c r="DL64" s="107"/>
      <c r="DM64" s="260"/>
      <c r="DN64" s="106"/>
      <c r="DO64" s="107"/>
      <c r="DP64" s="107"/>
      <c r="DQ64" s="107"/>
      <c r="DR64" s="260"/>
      <c r="DS64" s="106"/>
      <c r="DT64" s="107"/>
      <c r="DU64" s="107"/>
      <c r="DV64" s="107"/>
      <c r="DW64" s="260"/>
      <c r="DX64" s="106"/>
      <c r="DY64" s="107"/>
      <c r="DZ64" s="107"/>
      <c r="EA64" s="107"/>
      <c r="EB64" s="260"/>
      <c r="EC64" s="106"/>
      <c r="ED64" s="107"/>
      <c r="EE64" s="107"/>
      <c r="EF64" s="107"/>
      <c r="EG64" s="260"/>
      <c r="EH64" s="106"/>
      <c r="EI64" s="107"/>
      <c r="EJ64" s="107"/>
      <c r="EK64" s="107"/>
      <c r="EL64" s="260"/>
      <c r="EM64" s="106"/>
      <c r="EN64" s="107"/>
      <c r="EO64" s="107"/>
      <c r="EP64" s="107"/>
      <c r="EQ64" s="260"/>
      <c r="ER64" s="106"/>
      <c r="ES64" s="107"/>
      <c r="ET64" s="107"/>
      <c r="EU64" s="107"/>
      <c r="EV64" s="260"/>
      <c r="EW64" s="106"/>
      <c r="EX64" s="107"/>
      <c r="EY64" s="107"/>
      <c r="EZ64" s="107"/>
      <c r="FA64" s="260"/>
      <c r="FB64" s="106"/>
      <c r="FC64" s="107"/>
      <c r="FD64" s="107"/>
      <c r="FE64" s="107"/>
      <c r="FF64" s="260"/>
      <c r="FG64" s="106"/>
      <c r="FH64" s="107"/>
      <c r="FI64" s="107"/>
      <c r="FJ64" s="107"/>
      <c r="FK64" s="260"/>
      <c r="FL64" s="106"/>
      <c r="FM64" s="107"/>
      <c r="FN64" s="107"/>
      <c r="FO64" s="107"/>
      <c r="FP64" s="260"/>
      <c r="FQ64" s="106"/>
      <c r="FR64" s="107"/>
      <c r="FS64" s="107"/>
      <c r="FT64" s="107"/>
      <c r="FU64" s="260"/>
      <c r="FV64" s="106"/>
      <c r="FW64" s="107"/>
      <c r="FX64" s="107"/>
      <c r="FY64" s="107"/>
      <c r="FZ64" s="260"/>
      <c r="GA64" s="106"/>
      <c r="GB64" s="107"/>
      <c r="GC64" s="107"/>
      <c r="GD64" s="107"/>
      <c r="GE64" s="260"/>
      <c r="GF64" s="106"/>
      <c r="GG64" s="107"/>
      <c r="GH64" s="107"/>
      <c r="GI64" s="107"/>
      <c r="GJ64" s="260"/>
    </row>
    <row r="65" spans="1:192" ht="12.75" customHeight="1">
      <c r="B65" s="703" t="s">
        <v>1859</v>
      </c>
      <c r="C65" s="139"/>
      <c r="D65" s="105"/>
      <c r="E65" s="105"/>
      <c r="F65" s="105"/>
      <c r="G65" s="247"/>
      <c r="H65" s="139"/>
      <c r="I65" s="105"/>
      <c r="J65" s="105"/>
      <c r="K65" s="105"/>
      <c r="L65" s="247"/>
      <c r="M65" s="139"/>
      <c r="N65" s="105"/>
      <c r="O65" s="105"/>
      <c r="P65" s="105"/>
      <c r="Q65" s="247"/>
      <c r="R65" s="139"/>
      <c r="S65" s="105"/>
      <c r="T65" s="105"/>
      <c r="U65" s="105"/>
      <c r="V65" s="247"/>
      <c r="W65" s="139"/>
      <c r="X65" s="105"/>
      <c r="Y65" s="105"/>
      <c r="Z65" s="105"/>
      <c r="AA65" s="247"/>
      <c r="AB65" s="139"/>
      <c r="AC65" s="105"/>
      <c r="AD65" s="105"/>
      <c r="AE65" s="105"/>
      <c r="AF65" s="247"/>
      <c r="AG65" s="139"/>
      <c r="AH65" s="105"/>
      <c r="AI65" s="105"/>
      <c r="AJ65" s="105"/>
      <c r="AK65" s="247"/>
      <c r="AL65" s="139"/>
      <c r="AM65" s="105"/>
      <c r="AN65" s="105"/>
      <c r="AO65" s="105"/>
      <c r="AP65" s="247"/>
      <c r="AQ65" s="139"/>
      <c r="AR65" s="105"/>
      <c r="AS65" s="105"/>
      <c r="AT65" s="105"/>
      <c r="AU65" s="247"/>
      <c r="AV65" s="139"/>
      <c r="AW65" s="105"/>
      <c r="AX65" s="105"/>
      <c r="AY65" s="105"/>
      <c r="AZ65" s="247"/>
      <c r="BA65" s="139"/>
      <c r="BB65" s="105"/>
      <c r="BC65" s="105"/>
      <c r="BD65" s="105"/>
      <c r="BE65" s="247"/>
      <c r="BF65" s="139"/>
      <c r="BG65" s="105"/>
      <c r="BH65" s="105"/>
      <c r="BI65" s="105"/>
      <c r="BJ65" s="247"/>
      <c r="BK65" s="139"/>
      <c r="BL65" s="105"/>
      <c r="BM65" s="105"/>
      <c r="BN65" s="105"/>
      <c r="BO65" s="247"/>
      <c r="BP65" s="139"/>
      <c r="BQ65" s="105"/>
      <c r="BR65" s="105"/>
      <c r="BS65" s="105"/>
      <c r="BT65" s="247"/>
      <c r="BU65" s="139"/>
      <c r="BV65" s="105"/>
      <c r="BW65" s="105"/>
      <c r="BX65" s="105"/>
      <c r="BY65" s="247"/>
      <c r="BZ65" s="139"/>
      <c r="CA65" s="105"/>
      <c r="CB65" s="105"/>
      <c r="CC65" s="105"/>
      <c r="CD65" s="247"/>
      <c r="CE65" s="139"/>
      <c r="CF65" s="105"/>
      <c r="CG65" s="105"/>
      <c r="CH65" s="105"/>
      <c r="CI65" s="247"/>
      <c r="CJ65" s="139"/>
      <c r="CK65" s="105"/>
      <c r="CL65" s="105"/>
      <c r="CM65" s="105"/>
      <c r="CN65" s="247"/>
      <c r="CO65" s="139"/>
      <c r="CP65" s="105"/>
      <c r="CQ65" s="105"/>
      <c r="CR65" s="105"/>
      <c r="CS65" s="247"/>
      <c r="CT65" s="139"/>
      <c r="CU65" s="105"/>
      <c r="CV65" s="105"/>
      <c r="CW65" s="105"/>
      <c r="CX65" s="247"/>
      <c r="CY65" s="139"/>
      <c r="CZ65" s="105"/>
      <c r="DA65" s="105"/>
      <c r="DB65" s="105"/>
      <c r="DC65" s="247"/>
      <c r="DD65" s="139"/>
      <c r="DE65" s="105"/>
      <c r="DF65" s="105"/>
      <c r="DG65" s="105"/>
      <c r="DH65" s="247"/>
      <c r="DI65" s="139"/>
      <c r="DJ65" s="105"/>
      <c r="DK65" s="105"/>
      <c r="DL65" s="105"/>
      <c r="DM65" s="247"/>
      <c r="DN65" s="139"/>
      <c r="DO65" s="105"/>
      <c r="DP65" s="105"/>
      <c r="DQ65" s="105"/>
      <c r="DR65" s="247"/>
      <c r="DS65" s="139"/>
      <c r="DT65" s="105"/>
      <c r="DU65" s="105"/>
      <c r="DV65" s="105"/>
      <c r="DW65" s="247"/>
      <c r="DX65" s="139"/>
      <c r="DY65" s="105"/>
      <c r="DZ65" s="105"/>
      <c r="EA65" s="105"/>
      <c r="EB65" s="247"/>
      <c r="EC65" s="139"/>
      <c r="ED65" s="105"/>
      <c r="EE65" s="105"/>
      <c r="EF65" s="105"/>
      <c r="EG65" s="247"/>
      <c r="EH65" s="139"/>
      <c r="EI65" s="105"/>
      <c r="EJ65" s="105"/>
      <c r="EK65" s="105"/>
      <c r="EL65" s="247"/>
      <c r="EM65" s="139"/>
      <c r="EN65" s="105"/>
      <c r="EO65" s="105"/>
      <c r="EP65" s="105"/>
      <c r="EQ65" s="247"/>
      <c r="ER65" s="139"/>
      <c r="ES65" s="105"/>
      <c r="ET65" s="105"/>
      <c r="EU65" s="105"/>
      <c r="EV65" s="247"/>
      <c r="EW65" s="139"/>
      <c r="EX65" s="105"/>
      <c r="EY65" s="105"/>
      <c r="EZ65" s="105"/>
      <c r="FA65" s="247"/>
      <c r="FB65" s="139"/>
      <c r="FC65" s="105"/>
      <c r="FD65" s="105"/>
      <c r="FE65" s="105"/>
      <c r="FF65" s="247"/>
      <c r="FG65" s="139"/>
      <c r="FH65" s="105"/>
      <c r="FI65" s="105"/>
      <c r="FJ65" s="105"/>
      <c r="FK65" s="247"/>
      <c r="FL65" s="139"/>
      <c r="FM65" s="105"/>
      <c r="FN65" s="105"/>
      <c r="FO65" s="105"/>
      <c r="FP65" s="247"/>
      <c r="FQ65" s="139"/>
      <c r="FR65" s="105"/>
      <c r="FS65" s="105"/>
      <c r="FT65" s="105"/>
      <c r="FU65" s="247"/>
      <c r="FV65" s="139"/>
      <c r="FW65" s="105"/>
      <c r="FX65" s="105"/>
      <c r="FY65" s="105"/>
      <c r="FZ65" s="247"/>
      <c r="GA65" s="139"/>
      <c r="GB65" s="105"/>
      <c r="GC65" s="105"/>
      <c r="GD65" s="105"/>
      <c r="GE65" s="247"/>
      <c r="GF65" s="139"/>
      <c r="GG65" s="105"/>
      <c r="GH65" s="105"/>
      <c r="GI65" s="105"/>
      <c r="GJ65" s="247"/>
    </row>
    <row r="66" spans="1:192" s="374" customFormat="1" ht="12.75" hidden="1" customHeight="1" outlineLevel="1">
      <c r="A66" s="370" t="s">
        <v>44</v>
      </c>
      <c r="B66" s="704" t="s">
        <v>120</v>
      </c>
      <c r="C66" s="1005">
        <f>C31</f>
      </c>
      <c r="D66" s="1005">
        <f>D31</f>
      </c>
      <c r="E66" s="1005">
        <f>E31</f>
      </c>
      <c r="F66" s="1005">
        <f>F31</f>
      </c>
      <c r="G66" s="635">
        <f>SUM(C66:F66)</f>
      </c>
      <c r="H66" s="1005">
        <f>H31</f>
      </c>
      <c r="I66" s="1005">
        <f>I31</f>
      </c>
      <c r="J66" s="1005">
        <f>J31</f>
      </c>
      <c r="K66" s="1005">
        <f>K31</f>
      </c>
      <c r="L66" s="635">
        <f>SUM(H66:K66)</f>
      </c>
      <c r="M66" s="1005">
        <f>M31</f>
      </c>
      <c r="N66" s="1005">
        <f>N31</f>
      </c>
      <c r="O66" s="1005">
        <f>O31</f>
      </c>
      <c r="P66" s="1005">
        <f>P31</f>
      </c>
      <c r="Q66" s="635">
        <f>SUM(M66:P66)</f>
      </c>
      <c r="R66" s="1005">
        <f>R31</f>
      </c>
      <c r="S66" s="1005">
        <f>S31</f>
      </c>
      <c r="T66" s="1005">
        <f>T31</f>
      </c>
      <c r="U66" s="1005">
        <f>U31</f>
      </c>
      <c r="V66" s="635">
        <f>SUM(R66:U66)</f>
      </c>
      <c r="W66" s="1005">
        <f>W31</f>
      </c>
      <c r="X66" s="1005">
        <f>X31</f>
      </c>
      <c r="Y66" s="1005">
        <f>Y31</f>
      </c>
      <c r="Z66" s="1005">
        <f>Z31</f>
      </c>
      <c r="AA66" s="635">
        <f>SUM(W66:Z66)</f>
      </c>
      <c r="AB66" s="1005">
        <f>AB31</f>
      </c>
      <c r="AC66" s="1005">
        <f>AC31</f>
      </c>
      <c r="AD66" s="1005">
        <f>AD31</f>
      </c>
      <c r="AE66" s="1005">
        <f>AE31</f>
      </c>
      <c r="AF66" s="635">
        <f>SUM(AB66:AE66)</f>
      </c>
      <c r="AG66" s="1005">
        <f>AG31</f>
      </c>
      <c r="AH66" s="1005">
        <f>AH31</f>
      </c>
      <c r="AI66" s="1005">
        <f>AI31</f>
      </c>
      <c r="AJ66" s="1005">
        <f>AJ31</f>
      </c>
      <c r="AK66" s="635">
        <f>SUM(AG66:AJ66)</f>
      </c>
      <c r="AL66" s="1005">
        <f>AL31</f>
      </c>
      <c r="AM66" s="1005">
        <f>AM31</f>
      </c>
      <c r="AN66" s="1005">
        <f>AN31</f>
      </c>
      <c r="AO66" s="1005">
        <f>AO31</f>
      </c>
      <c r="AP66" s="635">
        <f>SUM(AL66:AO66)</f>
      </c>
      <c r="AQ66" s="1005">
        <f>AQ31</f>
      </c>
      <c r="AR66" s="1005">
        <f>AR31</f>
      </c>
      <c r="AS66" s="1005">
        <f>AS31</f>
      </c>
      <c r="AT66" s="1005">
        <f>AT31</f>
      </c>
      <c r="AU66" s="635">
        <f>SUM(AQ66:AT66)</f>
      </c>
      <c r="AV66" s="1005">
        <f>AV31</f>
      </c>
      <c r="AW66" s="1005">
        <f>AW31</f>
      </c>
      <c r="AX66" s="1005">
        <f>AX31</f>
      </c>
      <c r="AY66" s="1005">
        <f>AY31</f>
      </c>
      <c r="AZ66" s="635">
        <f>SUM(AV66:AY66)</f>
      </c>
      <c r="BA66" s="1005">
        <f>BA31</f>
      </c>
      <c r="BB66" s="1005">
        <f>BB31</f>
      </c>
      <c r="BC66" s="1005">
        <f>BC31</f>
      </c>
      <c r="BD66" s="1005">
        <f>BD31</f>
      </c>
      <c r="BE66" s="635">
        <f>SUM(BA66:BD66)</f>
      </c>
      <c r="BF66" s="1005">
        <f>BF31</f>
      </c>
      <c r="BG66" s="1005">
        <f>BG31</f>
      </c>
      <c r="BH66" s="1005">
        <f>BH31</f>
      </c>
      <c r="BI66" s="1005">
        <f>BI31</f>
      </c>
      <c r="BJ66" s="635">
        <f>SUM(BF66:BI66)</f>
      </c>
      <c r="BK66" s="1005">
        <f>BK31</f>
      </c>
      <c r="BL66" s="1005">
        <f>BL31</f>
      </c>
      <c r="BM66" s="1005">
        <f>BM31</f>
      </c>
      <c r="BN66" s="1005">
        <f>BN31</f>
      </c>
      <c r="BO66" s="635">
        <f>SUM(BK66:BN66)</f>
      </c>
      <c r="BP66" s="1005">
        <f>BP31</f>
      </c>
      <c r="BQ66" s="1005">
        <f>BQ31</f>
      </c>
      <c r="BR66" s="1005">
        <f>BR31</f>
      </c>
      <c r="BS66" s="1005">
        <f>BS31</f>
      </c>
      <c r="BT66" s="635">
        <f>SUM(BP66:BS66)</f>
      </c>
      <c r="BU66" s="1005">
        <f>BU31</f>
      </c>
      <c r="BV66" s="1005">
        <f>BV31</f>
      </c>
      <c r="BW66" s="1005">
        <f>BW31</f>
      </c>
      <c r="BX66" s="1005">
        <f>BX31</f>
      </c>
      <c r="BY66" s="635">
        <f>SUM(BU66:BX66)</f>
      </c>
      <c r="BZ66" s="1005">
        <f>BZ31</f>
      </c>
      <c r="CA66" s="1005">
        <f>CA31</f>
      </c>
      <c r="CB66" s="1005">
        <f>CB31</f>
      </c>
      <c r="CC66" s="1005">
        <f>CC31</f>
      </c>
      <c r="CD66" s="635">
        <f>SUM(BZ66:CC66)</f>
      </c>
      <c r="CE66" s="1005">
        <f>CE31</f>
      </c>
      <c r="CF66" s="1005">
        <f>CF31</f>
      </c>
      <c r="CG66" s="1005">
        <f>CG31</f>
      </c>
      <c r="CH66" s="1005">
        <f>CH31</f>
      </c>
      <c r="CI66" s="635">
        <f>SUM(CE66:CH66)</f>
      </c>
      <c r="CJ66" s="1005">
        <f>CJ31</f>
      </c>
      <c r="CK66" s="1005">
        <f>CK31</f>
      </c>
      <c r="CL66" s="1005">
        <f>CL31</f>
      </c>
      <c r="CM66" s="1005">
        <f>CM31</f>
      </c>
      <c r="CN66" s="635">
        <f>SUM(CJ66:CM66)</f>
      </c>
      <c r="CO66" s="1005">
        <f>CO31</f>
      </c>
      <c r="CP66" s="1005">
        <f>CP31</f>
      </c>
      <c r="CQ66" s="1005">
        <f>CQ31</f>
      </c>
      <c r="CR66" s="1005">
        <f>CR31</f>
      </c>
      <c r="CS66" s="635">
        <f>SUM(CO66:CR66)</f>
      </c>
      <c r="CT66" s="1005">
        <f>CT31</f>
      </c>
      <c r="CU66" s="1005">
        <f>CU31</f>
      </c>
      <c r="CV66" s="1005">
        <f>CV31</f>
      </c>
      <c r="CW66" s="1005">
        <f>CW31</f>
      </c>
      <c r="CX66" s="635">
        <f>SUM(CT66:CW66)</f>
      </c>
      <c r="CY66" s="1005">
        <f>CY31</f>
      </c>
      <c r="CZ66" s="1005">
        <f>CZ31</f>
      </c>
      <c r="DA66" s="1005">
        <f>DA31</f>
      </c>
      <c r="DB66" s="1005">
        <f>DB31</f>
      </c>
      <c r="DC66" s="635">
        <f>SUM(CY66:DB66)</f>
      </c>
      <c r="DD66" s="1005">
        <f>DD31</f>
      </c>
      <c r="DE66" s="1005">
        <f>DE31</f>
      </c>
      <c r="DF66" s="1005">
        <f>DF31</f>
      </c>
      <c r="DG66" s="1005">
        <f>DG31</f>
      </c>
      <c r="DH66" s="635">
        <f>SUM(DD66:DG66)</f>
      </c>
      <c r="DI66" s="1005">
        <f>DI31</f>
      </c>
      <c r="DJ66" s="1005">
        <f>DJ31</f>
      </c>
      <c r="DK66" s="1005">
        <f>DK31</f>
      </c>
      <c r="DL66" s="1005">
        <f>DL31</f>
      </c>
      <c r="DM66" s="635">
        <f>SUM(DI66:DL66)</f>
      </c>
      <c r="DN66" s="1005">
        <f>DN31</f>
      </c>
      <c r="DO66" s="1005">
        <f>DO31</f>
      </c>
      <c r="DP66" s="1005">
        <f>DP31</f>
      </c>
      <c r="DQ66" s="1005">
        <f>DQ31</f>
      </c>
      <c r="DR66" s="635">
        <f>SUM(DN66:DQ66)</f>
      </c>
      <c r="DS66" s="1005">
        <f>DS31</f>
      </c>
      <c r="DT66" s="1005">
        <f>DT31</f>
      </c>
      <c r="DU66" s="1005">
        <f>DU31</f>
      </c>
      <c r="DV66" s="1005">
        <f>DV31</f>
      </c>
      <c r="DW66" s="635">
        <f>SUM(DS66:DV66)</f>
      </c>
      <c r="DX66" s="1005">
        <f>DX31</f>
      </c>
      <c r="DY66" s="1005">
        <f>DY31</f>
      </c>
      <c r="DZ66" s="1005">
        <f>DZ31</f>
      </c>
      <c r="EA66" s="1005">
        <f>EA31</f>
      </c>
      <c r="EB66" s="635">
        <f>SUM(DX66:EA66)</f>
      </c>
      <c r="EC66" s="1005">
        <f>EC31</f>
      </c>
      <c r="ED66" s="1005">
        <f>ED31</f>
      </c>
      <c r="EE66" s="1005">
        <f>EE31</f>
      </c>
      <c r="EF66" s="1005">
        <f>EF31</f>
      </c>
      <c r="EG66" s="635">
        <f>SUM(EC66:EF66)</f>
      </c>
      <c r="EH66" s="1005">
        <f>EH31</f>
      </c>
      <c r="EI66" s="1005">
        <f>EI31</f>
      </c>
      <c r="EJ66" s="1005">
        <f>EJ31</f>
      </c>
      <c r="EK66" s="1005">
        <f>EK31</f>
      </c>
      <c r="EL66" s="635">
        <f>SUM(EH66:EK66)</f>
      </c>
      <c r="EM66" s="1005">
        <f>EM31</f>
      </c>
      <c r="EN66" s="1005">
        <f>EN31</f>
      </c>
      <c r="EO66" s="1005">
        <f>EO31</f>
      </c>
      <c r="EP66" s="1005">
        <f>EP31</f>
      </c>
      <c r="EQ66" s="635">
        <f>SUM(EM66:EP66)</f>
      </c>
      <c r="ER66" s="1005">
        <f>ER31</f>
      </c>
      <c r="ES66" s="1005">
        <f>ES31</f>
      </c>
      <c r="ET66" s="1005">
        <f>ET31</f>
      </c>
      <c r="EU66" s="1005">
        <f>EU31</f>
      </c>
      <c r="EV66" s="635">
        <f>SUM(ER66:EU66)</f>
      </c>
      <c r="EW66" s="1005">
        <f>EW31</f>
      </c>
      <c r="EX66" s="1005">
        <f>EX31</f>
      </c>
      <c r="EY66" s="1005">
        <f>EY31</f>
      </c>
      <c r="EZ66" s="1005">
        <f>EZ31</f>
      </c>
      <c r="FA66" s="635">
        <f>SUM(EW66:EZ66)</f>
      </c>
      <c r="FB66" s="1005">
        <f>FB31</f>
      </c>
      <c r="FC66" s="1005">
        <f>FC31</f>
      </c>
      <c r="FD66" s="1005">
        <f>FD31</f>
      </c>
      <c r="FE66" s="1005">
        <f>FE31</f>
      </c>
      <c r="FF66" s="635">
        <f>SUM(FB66:FE66)</f>
      </c>
      <c r="FG66" s="1005">
        <f>FG31</f>
      </c>
      <c r="FH66" s="1005">
        <f>FH31</f>
      </c>
      <c r="FI66" s="1005">
        <f>FI31</f>
      </c>
      <c r="FJ66" s="1005">
        <f>FJ31</f>
      </c>
      <c r="FK66" s="635">
        <f>SUM(FG66:FJ66)</f>
      </c>
      <c r="FL66" s="1005">
        <f>FL31</f>
      </c>
      <c r="FM66" s="1005">
        <f>FM31</f>
      </c>
      <c r="FN66" s="1005">
        <f>FN31</f>
      </c>
      <c r="FO66" s="1005">
        <f>FO31</f>
      </c>
      <c r="FP66" s="635">
        <f>SUM(FL66:FO66)</f>
      </c>
      <c r="FQ66" s="1005">
        <f>FQ31</f>
      </c>
      <c r="FR66" s="1005">
        <f>FR31</f>
      </c>
      <c r="FS66" s="1005">
        <f>FS31</f>
      </c>
      <c r="FT66" s="1005">
        <f>FT31</f>
      </c>
      <c r="FU66" s="635">
        <f>SUM(FQ66:FT66)</f>
      </c>
      <c r="FV66" s="1005">
        <f>FV31</f>
      </c>
      <c r="FW66" s="1005">
        <f>FW31</f>
      </c>
      <c r="FX66" s="1005">
        <f>FX31</f>
      </c>
      <c r="FY66" s="1005">
        <f>FY31</f>
      </c>
      <c r="FZ66" s="635">
        <f>SUM(FV66:FY66)</f>
      </c>
      <c r="GA66" s="1005">
        <f>GA31</f>
      </c>
      <c r="GB66" s="1005">
        <f>GB31</f>
      </c>
      <c r="GC66" s="1005">
        <f>GC31</f>
      </c>
      <c r="GD66" s="1005">
        <f>GD31</f>
      </c>
      <c r="GE66" s="635">
        <f>SUM(GA66:GD66)</f>
      </c>
      <c r="GF66" s="1005">
        <f>GF31</f>
      </c>
      <c r="GG66" s="1005">
        <f>GG31</f>
      </c>
      <c r="GH66" s="1005">
        <f>GH31</f>
      </c>
      <c r="GI66" s="1005">
        <f>GI31</f>
      </c>
      <c r="GJ66" s="635">
        <f>SUM(GF66:GI66)</f>
      </c>
    </row>
    <row r="67" spans="1:192" s="135" customFormat="1" ht="12.75" hidden="1" customHeight="1" outlineLevel="1">
      <c r="A67" s="134" t="s">
        <v>353</v>
      </c>
      <c r="B67" s="782" t="s">
        <v>354</v>
      </c>
      <c r="C67" s="776">
        <f>IFERROR(C66/IS!C24,"")</f>
      </c>
      <c r="D67" s="776">
        <f>IFERROR(D66/IS!D24,"")</f>
      </c>
      <c r="E67" s="776">
        <f>IFERROR(E66/IS!E24,"")</f>
      </c>
      <c r="F67" s="776">
        <f>IFERROR(F66/IS!F24,"")</f>
      </c>
      <c r="G67" s="264">
        <f>IFERROR(G66/IS!G24,"")</f>
      </c>
      <c r="H67" s="776">
        <f>IFERROR(H66/IS!H24,"")</f>
      </c>
      <c r="I67" s="776">
        <f>IFERROR(I66/IS!I24,"")</f>
      </c>
      <c r="J67" s="776">
        <f>IFERROR(J66/IS!J24,"")</f>
      </c>
      <c r="K67" s="776">
        <f>IFERROR(K66/IS!K24,"")</f>
      </c>
      <c r="L67" s="264">
        <f>IFERROR(L66/IS!L24,"")</f>
      </c>
      <c r="M67" s="776">
        <f>IFERROR(M66/IS!M24,"")</f>
      </c>
      <c r="N67" s="776">
        <f>IFERROR(N66/IS!N24,"")</f>
      </c>
      <c r="O67" s="776">
        <f>IFERROR(O66/IS!O24,"")</f>
      </c>
      <c r="P67" s="776">
        <f>IFERROR(P66/IS!P24,"")</f>
      </c>
      <c r="Q67" s="264">
        <f>IFERROR(Q66/IS!Q24,"")</f>
      </c>
      <c r="R67" s="776">
        <f>IFERROR(R66/IS!R24,"")</f>
      </c>
      <c r="S67" s="776">
        <f>IFERROR(S66/IS!S24,"")</f>
      </c>
      <c r="T67" s="776">
        <f>IFERROR(T66/IS!T24,"")</f>
      </c>
      <c r="U67" s="776">
        <f>IFERROR(U66/IS!U24,"")</f>
      </c>
      <c r="V67" s="264">
        <f>IFERROR(V66/IS!V24,"")</f>
      </c>
      <c r="W67" s="776">
        <f>IFERROR(W66/IS!W24,"")</f>
      </c>
      <c r="X67" s="776">
        <f>IFERROR(X66/IS!X24,"")</f>
      </c>
      <c r="Y67" s="776">
        <f>IFERROR(Y66/IS!Y24,"")</f>
      </c>
      <c r="Z67" s="776">
        <f>IFERROR(Z66/IS!Z24,"")</f>
      </c>
      <c r="AA67" s="264">
        <f>IFERROR(AA66/IS!AA24,"")</f>
      </c>
      <c r="AB67" s="776">
        <f>IFERROR(AB66/IS!AB24,"")</f>
      </c>
      <c r="AC67" s="776">
        <f>IFERROR(AC66/IS!AC24,"")</f>
      </c>
      <c r="AD67" s="776">
        <f>IFERROR(AD66/IS!AD24,"")</f>
      </c>
      <c r="AE67" s="776">
        <f>IFERROR(AE66/IS!AE24,"")</f>
      </c>
      <c r="AF67" s="264">
        <f>IFERROR(AF66/IS!AF24,"")</f>
      </c>
      <c r="AG67" s="776">
        <f>IFERROR(AG66/IS!AG24,"")</f>
      </c>
      <c r="AH67" s="776">
        <f>IFERROR(AH66/IS!AH24,"")</f>
      </c>
      <c r="AI67" s="776">
        <f>IFERROR(AI66/IS!AI24,"")</f>
      </c>
      <c r="AJ67" s="776">
        <f>IFERROR(AJ66/IS!AJ24,"")</f>
      </c>
      <c r="AK67" s="264">
        <f>IFERROR(AK66/IS!AK24,"")</f>
      </c>
      <c r="AL67" s="776">
        <f>IFERROR(AL66/IS!AL24,"")</f>
      </c>
      <c r="AM67" s="776">
        <f>IFERROR(AM66/IS!AM24,"")</f>
      </c>
      <c r="AN67" s="776">
        <f>IFERROR(AN66/IS!AN24,"")</f>
      </c>
      <c r="AO67" s="776">
        <f>IFERROR(AO66/IS!AO24,"")</f>
      </c>
      <c r="AP67" s="264">
        <f>IFERROR(AP66/IS!AP24,"")</f>
      </c>
      <c r="AQ67" s="776">
        <f>IFERROR(AQ66/IS!AQ24,"")</f>
      </c>
      <c r="AR67" s="776">
        <f>IFERROR(AR66/IS!AR24,"")</f>
      </c>
      <c r="AS67" s="776">
        <f>IFERROR(AS66/IS!AS24,"")</f>
      </c>
      <c r="AT67" s="776">
        <f>IFERROR(AT66/IS!AT24,"")</f>
      </c>
      <c r="AU67" s="264">
        <f>IFERROR(AU66/IS!AU24,"")</f>
      </c>
      <c r="AV67" s="776">
        <f>IFERROR(AV66/IS!AV24,"")</f>
      </c>
      <c r="AW67" s="776">
        <f>IFERROR(AW66/IS!AW24,"")</f>
      </c>
      <c r="AX67" s="776">
        <f>IFERROR(AX66/IS!AX24,"")</f>
      </c>
      <c r="AY67" s="776">
        <f>IFERROR(AY66/IS!AY24,"")</f>
      </c>
      <c r="AZ67" s="264">
        <f>IFERROR(AZ66/IS!AZ24,"")</f>
      </c>
      <c r="BA67" s="776">
        <f>IFERROR(BA66/IS!BA24,"")</f>
      </c>
      <c r="BB67" s="776">
        <f>IFERROR(BB66/IS!BB24,"")</f>
      </c>
      <c r="BC67" s="776">
        <f>IFERROR(BC66/IS!BC24,"")</f>
      </c>
      <c r="BD67" s="776">
        <f>IFERROR(BD66/IS!BD24,"")</f>
      </c>
      <c r="BE67" s="264">
        <f>IFERROR(BE66/IS!BE24,"")</f>
      </c>
      <c r="BF67" s="776">
        <f>IFERROR(BF66/IS!BF24,"")</f>
      </c>
      <c r="BG67" s="776">
        <f>IFERROR(BG66/IS!BG24,"")</f>
      </c>
      <c r="BH67" s="776">
        <f>IFERROR(BH66/IS!BH24,"")</f>
      </c>
      <c r="BI67" s="776">
        <f>IFERROR(BI66/IS!BI24,"")</f>
      </c>
      <c r="BJ67" s="264">
        <f>IFERROR(BJ66/IS!BJ24,"")</f>
      </c>
      <c r="BK67" s="776">
        <f>IFERROR(BK66/IS!BK24,"")</f>
      </c>
      <c r="BL67" s="776">
        <f>IFERROR(BL66/IS!BL24,"")</f>
      </c>
      <c r="BM67" s="776">
        <f>IFERROR(BM66/IS!BM24,"")</f>
      </c>
      <c r="BN67" s="776">
        <f>IFERROR(BN66/IS!BN24,"")</f>
      </c>
      <c r="BO67" s="264">
        <f>IFERROR(BO66/IS!BO24,"")</f>
      </c>
      <c r="BP67" s="776">
        <f>IFERROR(BP66/IS!BP24,"")</f>
      </c>
      <c r="BQ67" s="776">
        <f>IFERROR(BQ66/IS!BQ24,"")</f>
      </c>
      <c r="BR67" s="776">
        <f>IFERROR(BR66/IS!BR24,"")</f>
      </c>
      <c r="BS67" s="776">
        <f>IFERROR(BS66/IS!BS24,"")</f>
      </c>
      <c r="BT67" s="264">
        <f>IFERROR(BT66/IS!BT24,"")</f>
      </c>
      <c r="BU67" s="776">
        <f>IFERROR(BU66/IS!BU24,"")</f>
      </c>
      <c r="BV67" s="776">
        <f>IFERROR(BV66/IS!BV24,"")</f>
      </c>
      <c r="BW67" s="776">
        <f>IFERROR(BW66/IS!BW24,"")</f>
      </c>
      <c r="BX67" s="776">
        <f>IFERROR(BX66/IS!BX24,"")</f>
      </c>
      <c r="BY67" s="264">
        <f>IFERROR(BY66/IS!BY24,"")</f>
      </c>
      <c r="BZ67" s="776">
        <f>IFERROR(BZ66/IS!BZ24,"")</f>
      </c>
      <c r="CA67" s="776">
        <f>IFERROR(CA66/IS!CA24,"")</f>
      </c>
      <c r="CB67" s="776">
        <f>IFERROR(CB66/IS!CB24,"")</f>
      </c>
      <c r="CC67" s="776">
        <f>IFERROR(CC66/IS!CC24,"")</f>
      </c>
      <c r="CD67" s="264">
        <f>IFERROR(CD66/IS!CD24,"")</f>
      </c>
      <c r="CE67" s="776">
        <f>IFERROR(CE66/IS!CE24,"")</f>
      </c>
      <c r="CF67" s="776">
        <f>IFERROR(CF66/IS!CF24,"")</f>
      </c>
      <c r="CG67" s="776">
        <f>IFERROR(CG66/IS!CG24,"")</f>
      </c>
      <c r="CH67" s="776">
        <f>IFERROR(CH66/IS!CH24,"")</f>
      </c>
      <c r="CI67" s="264">
        <f>IFERROR(CI66/IS!CI24,"")</f>
      </c>
      <c r="CJ67" s="776">
        <f>IFERROR(CJ66/IS!CJ24,"")</f>
      </c>
      <c r="CK67" s="776">
        <f>IFERROR(CK66/IS!CK24,"")</f>
      </c>
      <c r="CL67" s="776">
        <f>IFERROR(CL66/IS!CL24,"")</f>
      </c>
      <c r="CM67" s="776">
        <f>IFERROR(CM66/IS!CM24,"")</f>
      </c>
      <c r="CN67" s="264">
        <f>IFERROR(CN66/IS!CN24,"")</f>
      </c>
      <c r="CO67" s="776">
        <f>IFERROR(CO66/IS!CO24,"")</f>
      </c>
      <c r="CP67" s="776">
        <f>IFERROR(CP66/IS!CP24,"")</f>
      </c>
      <c r="CQ67" s="776">
        <f>IFERROR(CQ66/IS!CQ24,"")</f>
      </c>
      <c r="CR67" s="776">
        <f>IFERROR(CR66/IS!CR24,"")</f>
      </c>
      <c r="CS67" s="264">
        <f>IFERROR(CS66/IS!CS24,"")</f>
      </c>
      <c r="CT67" s="776">
        <f>IFERROR(CT66/IS!CT24,"")</f>
      </c>
      <c r="CU67" s="776">
        <f>IFERROR(CU66/IS!CU24,"")</f>
      </c>
      <c r="CV67" s="776">
        <f>IFERROR(CV66/IS!CV24,"")</f>
      </c>
      <c r="CW67" s="776">
        <f>IFERROR(CW66/IS!CW24,"")</f>
      </c>
      <c r="CX67" s="264">
        <f>IFERROR(CX66/IS!CX24,"")</f>
      </c>
      <c r="CY67" s="776">
        <f>IFERROR(CY66/IS!CY24,"")</f>
      </c>
      <c r="CZ67" s="776">
        <f>IFERROR(CZ66/IS!CZ24,"")</f>
      </c>
      <c r="DA67" s="776">
        <f>IFERROR(DA66/IS!DA24,"")</f>
      </c>
      <c r="DB67" s="776">
        <f>IFERROR(DB66/IS!DB24,"")</f>
      </c>
      <c r="DC67" s="264">
        <f>IFERROR(DC66/IS!DC24,"")</f>
      </c>
      <c r="DD67" s="776">
        <f>IFERROR(DD66/IS!DD24,"")</f>
      </c>
      <c r="DE67" s="776">
        <f>IFERROR(DE66/IS!DE24,"")</f>
      </c>
      <c r="DF67" s="776">
        <f>IFERROR(DF66/IS!DF24,"")</f>
      </c>
      <c r="DG67" s="776">
        <f>IFERROR(DG66/IS!DG24,"")</f>
      </c>
      <c r="DH67" s="264">
        <f>IFERROR(DH66/IS!DH24,"")</f>
      </c>
      <c r="DI67" s="776">
        <f>IFERROR(DI66/IS!DI24,"")</f>
      </c>
      <c r="DJ67" s="776">
        <f>IFERROR(DJ66/IS!DJ24,"")</f>
      </c>
      <c r="DK67" s="776">
        <f>IFERROR(DK66/IS!DK24,"")</f>
      </c>
      <c r="DL67" s="776">
        <f>IFERROR(DL66/IS!DL24,"")</f>
      </c>
      <c r="DM67" s="264">
        <f>IFERROR(DM66/IS!DM24,"")</f>
      </c>
      <c r="DN67" s="776">
        <f>IFERROR(DN66/IS!DN24,"")</f>
      </c>
      <c r="DO67" s="776">
        <f>IFERROR(DO66/IS!DO24,"")</f>
      </c>
      <c r="DP67" s="776">
        <f>IFERROR(DP66/IS!DP24,"")</f>
      </c>
      <c r="DQ67" s="776">
        <f>IFERROR(DQ66/IS!DQ24,"")</f>
      </c>
      <c r="DR67" s="264">
        <f>IFERROR(DR66/IS!DR24,"")</f>
      </c>
      <c r="DS67" s="776">
        <f>IFERROR(DS66/IS!DS24,"")</f>
      </c>
      <c r="DT67" s="776">
        <f>IFERROR(DT66/IS!DT24,"")</f>
      </c>
      <c r="DU67" s="776">
        <f>IFERROR(DU66/IS!DU24,"")</f>
      </c>
      <c r="DV67" s="776">
        <f>IFERROR(DV66/IS!DV24,"")</f>
      </c>
      <c r="DW67" s="264">
        <f>IFERROR(DW66/IS!DW24,"")</f>
      </c>
      <c r="DX67" s="776">
        <f>IFERROR(DX66/IS!DX24,"")</f>
      </c>
      <c r="DY67" s="776">
        <f>IFERROR(DY66/IS!DY24,"")</f>
      </c>
      <c r="DZ67" s="776">
        <f>IFERROR(DZ66/IS!DZ24,"")</f>
      </c>
      <c r="EA67" s="776">
        <f>IFERROR(EA66/IS!EA24,"")</f>
      </c>
      <c r="EB67" s="264">
        <f>IFERROR(EB66/IS!EB24,"")</f>
      </c>
      <c r="EC67" s="776">
        <f>IFERROR(EC66/IS!EC24,"")</f>
      </c>
      <c r="ED67" s="776">
        <f>IFERROR(ED66/IS!ED24,"")</f>
      </c>
      <c r="EE67" s="776">
        <f>IFERROR(EE66/IS!EE24,"")</f>
      </c>
      <c r="EF67" s="776">
        <f>IFERROR(EF66/IS!EF24,"")</f>
      </c>
      <c r="EG67" s="264">
        <f>IFERROR(EG66/IS!EG24,"")</f>
      </c>
      <c r="EH67" s="776">
        <f>IFERROR(EH66/IS!EH24,"")</f>
      </c>
      <c r="EI67" s="776">
        <f>IFERROR(EI66/IS!EI24,"")</f>
      </c>
      <c r="EJ67" s="776">
        <f>IFERROR(EJ66/IS!EJ24,"")</f>
      </c>
      <c r="EK67" s="776">
        <f>IFERROR(EK66/IS!EK24,"")</f>
      </c>
      <c r="EL67" s="264">
        <f>IFERROR(EL66/IS!EL24,"")</f>
      </c>
      <c r="EM67" s="776">
        <f>IFERROR(EM66/IS!EM24,"")</f>
      </c>
      <c r="EN67" s="776">
        <f>IFERROR(EN66/IS!EN24,"")</f>
      </c>
      <c r="EO67" s="776">
        <f>IFERROR(EO66/IS!EO24,"")</f>
      </c>
      <c r="EP67" s="776">
        <f>IFERROR(EP66/IS!EP24,"")</f>
      </c>
      <c r="EQ67" s="264">
        <f>IFERROR(EQ66/IS!EQ24,"")</f>
      </c>
      <c r="ER67" s="776">
        <f>IFERROR(ER66/IS!ER24,"")</f>
      </c>
      <c r="ES67" s="776">
        <f>IFERROR(ES66/IS!ES24,"")</f>
      </c>
      <c r="ET67" s="776">
        <f>IFERROR(ET66/IS!ET24,"")</f>
      </c>
      <c r="EU67" s="776">
        <f>IFERROR(EU66/IS!EU24,"")</f>
      </c>
      <c r="EV67" s="264">
        <f>IFERROR(EV66/IS!EV24,"")</f>
      </c>
      <c r="EW67" s="776">
        <f>IFERROR(EW66/IS!EW24,"")</f>
      </c>
      <c r="EX67" s="776">
        <f>IFERROR(EX66/IS!EX24,"")</f>
      </c>
      <c r="EY67" s="776">
        <f>IFERROR(EY66/IS!EY24,"")</f>
      </c>
      <c r="EZ67" s="776">
        <f>IFERROR(EZ66/IS!EZ24,"")</f>
      </c>
      <c r="FA67" s="264">
        <f>IFERROR(FA66/IS!FA24,"")</f>
      </c>
      <c r="FB67" s="776">
        <f>IFERROR(FB66/IS!FB24,"")</f>
      </c>
      <c r="FC67" s="776">
        <f>IFERROR(FC66/IS!FC24,"")</f>
      </c>
      <c r="FD67" s="776">
        <f>IFERROR(FD66/IS!FD24,"")</f>
      </c>
      <c r="FE67" s="776">
        <f>IFERROR(FE66/IS!FE24,"")</f>
      </c>
      <c r="FF67" s="264">
        <f>IFERROR(FF66/IS!FF24,"")</f>
      </c>
      <c r="FG67" s="776">
        <f>IFERROR(FG66/IS!FG24,"")</f>
      </c>
      <c r="FH67" s="776">
        <f>IFERROR(FH66/IS!FH24,"")</f>
      </c>
      <c r="FI67" s="776">
        <f>IFERROR(FI66/IS!FI24,"")</f>
      </c>
      <c r="FJ67" s="776">
        <f>IFERROR(FJ66/IS!FJ24,"")</f>
      </c>
      <c r="FK67" s="264">
        <f>IFERROR(FK66/IS!FK24,"")</f>
      </c>
      <c r="FL67" s="776">
        <f>IFERROR(FL66/IS!FL24,"")</f>
      </c>
      <c r="FM67" s="776">
        <f>IFERROR(FM66/IS!FM24,"")</f>
      </c>
      <c r="FN67" s="776">
        <f>IFERROR(FN66/IS!FN24,"")</f>
      </c>
      <c r="FO67" s="776">
        <f>IFERROR(FO66/IS!FO24,"")</f>
      </c>
      <c r="FP67" s="264">
        <f>IFERROR(FP66/IS!FP24,"")</f>
      </c>
      <c r="FQ67" s="776">
        <f>IFERROR(FQ66/IS!FQ24,"")</f>
      </c>
      <c r="FR67" s="776">
        <f>IFERROR(FR66/IS!FR24,"")</f>
      </c>
      <c r="FS67" s="776">
        <f>IFERROR(FS66/IS!FS24,"")</f>
      </c>
      <c r="FT67" s="776">
        <f>IFERROR(FT66/IS!FT24,"")</f>
      </c>
      <c r="FU67" s="264">
        <f>IFERROR(FU66/IS!FU24,"")</f>
      </c>
      <c r="FV67" s="776">
        <f>IFERROR(FV66/IS!FV24,"")</f>
      </c>
      <c r="FW67" s="776">
        <f>IFERROR(FW66/IS!FW24,"")</f>
      </c>
      <c r="FX67" s="776">
        <f>IFERROR(FX66/IS!FX24,"")</f>
      </c>
      <c r="FY67" s="776">
        <f>IFERROR(FY66/IS!FY24,"")</f>
      </c>
      <c r="FZ67" s="264">
        <f>IFERROR(FZ66/IS!FZ24,"")</f>
      </c>
      <c r="GA67" s="776">
        <f>IFERROR(GA66/IS!GA24,"")</f>
      </c>
      <c r="GB67" s="776">
        <f>IFERROR(GB66/IS!GB24,"")</f>
      </c>
      <c r="GC67" s="776">
        <f>IFERROR(GC66/IS!GC24,"")</f>
      </c>
      <c r="GD67" s="776">
        <f>IFERROR(GD66/IS!GD24,"")</f>
      </c>
      <c r="GE67" s="264">
        <f>IFERROR(GE66/IS!GE24,"")</f>
      </c>
      <c r="GF67" s="776">
        <f>IFERROR(GF66/IS!GF24,"")</f>
      </c>
      <c r="GG67" s="776">
        <f>IFERROR(GG66/IS!GG24,"")</f>
      </c>
      <c r="GH67" s="776">
        <f>IFERROR(GH66/IS!GH24,"")</f>
      </c>
      <c r="GI67" s="776">
        <f>IFERROR(GI66/IS!GI24,"")</f>
      </c>
      <c r="GJ67" s="264">
        <f>IFERROR(GJ66/IS!GJ24,"")</f>
      </c>
    </row>
    <row r="68" spans="1:192" s="962" customFormat="1" ht="12.75" hidden="1" customHeight="1" outlineLevel="1">
      <c r="A68" s="1269" t="s">
        <v>362</v>
      </c>
      <c r="B68" s="720" t="s">
        <v>1858</v>
      </c>
      <c r="C68" s="1270">
        <f>C49</f>
      </c>
      <c r="D68" s="1270">
        <f>D49</f>
      </c>
      <c r="E68" s="1270">
        <f>E49</f>
      </c>
      <c r="F68" s="1270">
        <f>F49</f>
      </c>
      <c r="G68" s="1321">
        <f>SUM(C68:F68)</f>
      </c>
      <c r="H68" s="1270">
        <f>H49</f>
      </c>
      <c r="I68" s="1270">
        <f>I49</f>
      </c>
      <c r="J68" s="1270">
        <f>J49</f>
      </c>
      <c r="K68" s="1270">
        <f>K49</f>
      </c>
      <c r="L68" s="1321">
        <f>SUM(H68:K68)</f>
      </c>
      <c r="M68" s="1270">
        <f>M49</f>
      </c>
      <c r="N68" s="1270">
        <f>N49</f>
      </c>
      <c r="O68" s="1270">
        <f>O49</f>
      </c>
      <c r="P68" s="1270">
        <f>P49</f>
      </c>
      <c r="Q68" s="1321">
        <f>SUM(M68:P68)</f>
      </c>
      <c r="R68" s="1270">
        <f>R49</f>
      </c>
      <c r="S68" s="1270">
        <f>S49</f>
      </c>
      <c r="T68" s="1270">
        <f>T49</f>
      </c>
      <c r="U68" s="1270">
        <f>U49</f>
      </c>
      <c r="V68" s="1321">
        <f>SUM(R68:U68)</f>
      </c>
      <c r="W68" s="1270">
        <f>W49</f>
      </c>
      <c r="X68" s="1270">
        <f>X49</f>
      </c>
      <c r="Y68" s="1270">
        <f>Y49</f>
      </c>
      <c r="Z68" s="1270">
        <f>Z49</f>
      </c>
      <c r="AA68" s="1321">
        <f>SUM(W68:Z68)</f>
      </c>
      <c r="AB68" s="1270">
        <f>AB49</f>
      </c>
      <c r="AC68" s="1270">
        <f>AC49</f>
      </c>
      <c r="AD68" s="1270">
        <f>AD49</f>
      </c>
      <c r="AE68" s="1270">
        <f>AE49</f>
      </c>
      <c r="AF68" s="1321">
        <f>SUM(AB68:AE68)</f>
      </c>
      <c r="AG68" s="1270">
        <f>AG49</f>
      </c>
      <c r="AH68" s="1270">
        <f>AH49</f>
      </c>
      <c r="AI68" s="1270">
        <f>AI49</f>
      </c>
      <c r="AJ68" s="1270">
        <f>AJ49</f>
      </c>
      <c r="AK68" s="1321">
        <f>SUM(AG68:AJ68)</f>
      </c>
      <c r="AL68" s="1270">
        <f>AL49</f>
      </c>
      <c r="AM68" s="1270">
        <f>AM49</f>
      </c>
      <c r="AN68" s="1270">
        <f>AN49</f>
      </c>
      <c r="AO68" s="1270">
        <f>AO49</f>
      </c>
      <c r="AP68" s="1321">
        <f>SUM(AL68:AO68)</f>
      </c>
      <c r="AQ68" s="1270">
        <f>AQ49</f>
      </c>
      <c r="AR68" s="1270">
        <f>AR49</f>
      </c>
      <c r="AS68" s="1270">
        <f>AS49</f>
      </c>
      <c r="AT68" s="1270">
        <f>AT49</f>
      </c>
      <c r="AU68" s="1321">
        <f>SUM(AQ68:AT68)</f>
      </c>
      <c r="AV68" s="1270">
        <f>AV49</f>
      </c>
      <c r="AW68" s="1270">
        <f>AW49</f>
      </c>
      <c r="AX68" s="1270">
        <f>AX49</f>
      </c>
      <c r="AY68" s="1270">
        <f>AY49</f>
      </c>
      <c r="AZ68" s="1321">
        <f>SUM(AV68:AY68)</f>
      </c>
      <c r="BA68" s="1270">
        <f>BA49</f>
      </c>
      <c r="BB68" s="1270">
        <f>BB49</f>
      </c>
      <c r="BC68" s="1270">
        <f>BC49</f>
      </c>
      <c r="BD68" s="1270">
        <f>BD49</f>
      </c>
      <c r="BE68" s="1321">
        <f>SUM(BA68:BD68)</f>
      </c>
      <c r="BF68" s="1270">
        <f>BF49</f>
      </c>
      <c r="BG68" s="1270">
        <f>BG49</f>
      </c>
      <c r="BH68" s="1270">
        <f>BH49</f>
      </c>
      <c r="BI68" s="1270">
        <f>BI49</f>
      </c>
      <c r="BJ68" s="1321">
        <f>SUM(BF68:BI68)</f>
      </c>
      <c r="BK68" s="1270">
        <f>BK49</f>
      </c>
      <c r="BL68" s="1270">
        <f>BL49</f>
      </c>
      <c r="BM68" s="1270">
        <f>BM49</f>
      </c>
      <c r="BN68" s="1270">
        <f>BN49</f>
      </c>
      <c r="BO68" s="1321">
        <f>SUM(BK68:BN68)</f>
      </c>
      <c r="BP68" s="1270">
        <f>BP49</f>
      </c>
      <c r="BQ68" s="1270">
        <f>BQ49</f>
      </c>
      <c r="BR68" s="1270">
        <f>BR49</f>
      </c>
      <c r="BS68" s="1270">
        <f>BS49</f>
      </c>
      <c r="BT68" s="1321">
        <f>SUM(BP68:BS68)</f>
      </c>
      <c r="BU68" s="1270">
        <f>BU49</f>
      </c>
      <c r="BV68" s="1270">
        <f>BV49</f>
      </c>
      <c r="BW68" s="1270">
        <f>BW49</f>
      </c>
      <c r="BX68" s="1270">
        <f>BX49</f>
      </c>
      <c r="BY68" s="1321">
        <f>SUM(BU68:BX68)</f>
      </c>
      <c r="BZ68" s="1270">
        <f>BZ49</f>
      </c>
      <c r="CA68" s="1270">
        <f>CA49</f>
      </c>
      <c r="CB68" s="1270">
        <f>CB49</f>
      </c>
      <c r="CC68" s="1270">
        <f>CC49</f>
      </c>
      <c r="CD68" s="1321">
        <f>SUM(BZ68:CC68)</f>
      </c>
      <c r="CE68" s="1270">
        <f>CE49</f>
      </c>
      <c r="CF68" s="1270">
        <f>CF49</f>
      </c>
      <c r="CG68" s="1270">
        <f>CG49</f>
      </c>
      <c r="CH68" s="1270">
        <f>CH49</f>
      </c>
      <c r="CI68" s="1321">
        <f>SUM(CE68:CH68)</f>
      </c>
      <c r="CJ68" s="1270">
        <f>CJ49</f>
      </c>
      <c r="CK68" s="1270">
        <f>CK49</f>
      </c>
      <c r="CL68" s="1270">
        <f>CL49</f>
      </c>
      <c r="CM68" s="1270">
        <f>CM49</f>
      </c>
      <c r="CN68" s="1321">
        <f>SUM(CJ68:CM68)</f>
      </c>
      <c r="CO68" s="1270">
        <f>CO49</f>
      </c>
      <c r="CP68" s="1270">
        <f>CP49</f>
      </c>
      <c r="CQ68" s="1270">
        <f>CQ49</f>
      </c>
      <c r="CR68" s="1270">
        <f>CR49</f>
      </c>
      <c r="CS68" s="1321">
        <f>SUM(CO68:CR68)</f>
      </c>
      <c r="CT68" s="1270">
        <f>CT49</f>
      </c>
      <c r="CU68" s="1270">
        <f>CU49</f>
      </c>
      <c r="CV68" s="1270">
        <f>CV49</f>
      </c>
      <c r="CW68" s="1270">
        <f>CW49</f>
      </c>
      <c r="CX68" s="1321">
        <f>SUM(CT68:CW68)</f>
      </c>
      <c r="CY68" s="1270">
        <f>CY49</f>
      </c>
      <c r="CZ68" s="1270">
        <f>CZ49</f>
      </c>
      <c r="DA68" s="1270">
        <f>DA49</f>
      </c>
      <c r="DB68" s="1270">
        <f>DB49</f>
      </c>
      <c r="DC68" s="1321">
        <f>SUM(CY68:DB68)</f>
      </c>
      <c r="DD68" s="1270">
        <f>DD49</f>
      </c>
      <c r="DE68" s="1270">
        <f>DE49</f>
      </c>
      <c r="DF68" s="1270">
        <f>DF49</f>
      </c>
      <c r="DG68" s="1270">
        <f>DG49</f>
      </c>
      <c r="DH68" s="1321">
        <f>SUM(DD68:DG68)</f>
      </c>
      <c r="DI68" s="1270">
        <f>DI49</f>
      </c>
      <c r="DJ68" s="1270">
        <f>DJ49</f>
      </c>
      <c r="DK68" s="1270">
        <f>DK49</f>
      </c>
      <c r="DL68" s="1270">
        <f>DL49</f>
      </c>
      <c r="DM68" s="1321">
        <f>SUM(DI68:DL68)</f>
      </c>
      <c r="DN68" s="1270">
        <f>DN49</f>
      </c>
      <c r="DO68" s="1270">
        <f>DO49</f>
      </c>
      <c r="DP68" s="1270">
        <f>DP49</f>
      </c>
      <c r="DQ68" s="1270">
        <f>DQ49</f>
      </c>
      <c r="DR68" s="1321">
        <f>SUM(DN68:DQ68)</f>
      </c>
      <c r="DS68" s="1270">
        <f>DS49</f>
      </c>
      <c r="DT68" s="1270">
        <f>DT49</f>
      </c>
      <c r="DU68" s="1270">
        <f>DU49</f>
      </c>
      <c r="DV68" s="1270">
        <f>DV49</f>
      </c>
      <c r="DW68" s="1321">
        <f>SUM(DS68:DV68)</f>
      </c>
      <c r="DX68" s="1270">
        <f>DX49</f>
      </c>
      <c r="DY68" s="1270">
        <f>DY49</f>
      </c>
      <c r="DZ68" s="1270">
        <f>DZ49</f>
      </c>
      <c r="EA68" s="1270">
        <f>EA49</f>
      </c>
      <c r="EB68" s="1321">
        <f>SUM(DX68:EA68)</f>
      </c>
      <c r="EC68" s="1270">
        <f>EC49</f>
      </c>
      <c r="ED68" s="1270">
        <f>ED49</f>
      </c>
      <c r="EE68" s="1270">
        <f>EE49</f>
      </c>
      <c r="EF68" s="1270">
        <f>EF49</f>
      </c>
      <c r="EG68" s="1321">
        <f>SUM(EC68:EF68)</f>
      </c>
      <c r="EH68" s="1270">
        <f>EH49</f>
      </c>
      <c r="EI68" s="1270">
        <f>EI49</f>
      </c>
      <c r="EJ68" s="1270">
        <f>EJ49</f>
      </c>
      <c r="EK68" s="1270">
        <f>EK49</f>
      </c>
      <c r="EL68" s="1321">
        <f>SUM(EH68:EK68)</f>
      </c>
      <c r="EM68" s="1270">
        <f>EM49</f>
      </c>
      <c r="EN68" s="1270">
        <f>EN49</f>
      </c>
      <c r="EO68" s="1270">
        <f>EO49</f>
      </c>
      <c r="EP68" s="1270">
        <f>EP49</f>
      </c>
      <c r="EQ68" s="1321">
        <f>SUM(EM68:EP68)</f>
      </c>
      <c r="ER68" s="1270">
        <f>ER49</f>
      </c>
      <c r="ES68" s="1270">
        <f>ES49</f>
      </c>
      <c r="ET68" s="1270">
        <f>ET49</f>
      </c>
      <c r="EU68" s="1270">
        <f>EU49</f>
      </c>
      <c r="EV68" s="1321">
        <f>SUM(ER68:EU68)</f>
      </c>
      <c r="EW68" s="1270">
        <f>EW49</f>
      </c>
      <c r="EX68" s="1270">
        <f>EX49</f>
      </c>
      <c r="EY68" s="1584">
        <f>EY49</f>
      </c>
      <c r="EZ68" s="1270">
        <f>EZ49</f>
      </c>
      <c r="FA68" s="1321">
        <f>SUM(EW68:EZ68)</f>
      </c>
      <c r="FB68" s="1584">
        <f>FB49</f>
      </c>
      <c r="FC68" s="1584">
        <f>FC49</f>
      </c>
      <c r="FD68" s="1584">
        <f>FD49</f>
      </c>
      <c r="FE68" s="1584">
        <f>FE49</f>
      </c>
      <c r="FF68" s="1321">
        <f>SUM(FB68:FE68)</f>
      </c>
      <c r="FG68" s="1584">
        <f>FG49</f>
      </c>
      <c r="FH68" s="1584">
        <f>FH49</f>
      </c>
      <c r="FI68" s="1584">
        <f>FI49</f>
      </c>
      <c r="FJ68" s="1584">
        <f>FJ49</f>
      </c>
      <c r="FK68" s="1321">
        <f>SUM(FG68:FJ68)</f>
      </c>
      <c r="FL68" s="1584">
        <f>FL49</f>
      </c>
      <c r="FM68" s="1584">
        <f>FM49</f>
      </c>
      <c r="FN68" s="1584">
        <f>FN49</f>
      </c>
      <c r="FO68" s="1584">
        <f>FO49</f>
      </c>
      <c r="FP68" s="1321">
        <f>SUM(FL68:FO68)</f>
      </c>
      <c r="FQ68" s="1584">
        <f>FQ49</f>
      </c>
      <c r="FR68" s="1584">
        <f>FR49</f>
      </c>
      <c r="FS68" s="1584">
        <f>FS49</f>
      </c>
      <c r="FT68" s="1584">
        <f>FT49</f>
      </c>
      <c r="FU68" s="1321">
        <f>SUM(FQ68:FT68)</f>
      </c>
      <c r="FV68" s="1584">
        <f>FV49</f>
      </c>
      <c r="FW68" s="1584">
        <f>FW49</f>
      </c>
      <c r="FX68" s="1584">
        <f>FX49</f>
      </c>
      <c r="FY68" s="1584">
        <f>FY49</f>
      </c>
      <c r="FZ68" s="1321">
        <f>SUM(FV68:FY68)</f>
      </c>
      <c r="GA68" s="1584">
        <f>GA49</f>
      </c>
      <c r="GB68" s="1584">
        <f>GB49</f>
      </c>
      <c r="GC68" s="1584">
        <f>GC49</f>
      </c>
      <c r="GD68" s="1584">
        <f>GD49</f>
      </c>
      <c r="GE68" s="1321">
        <f>SUM(GA68:GD68)</f>
      </c>
      <c r="GF68" s="1584">
        <f>GF49</f>
      </c>
      <c r="GG68" s="1584">
        <f>GG49</f>
      </c>
      <c r="GH68" s="1584">
        <f>GH49</f>
      </c>
      <c r="GI68" s="1584">
        <f>GI49</f>
      </c>
      <c r="GJ68" s="1321">
        <f>SUM(GF68:GI68)</f>
      </c>
    </row>
    <row r="69" spans="1:192" s="135" customFormat="1" ht="12.75" hidden="1" customHeight="1" outlineLevel="1">
      <c r="A69" s="134" t="s">
        <v>363</v>
      </c>
      <c r="B69" s="782" t="s">
        <v>34</v>
      </c>
      <c r="C69" s="763" t="str">
        <f>IFERROR(C68/#REF!-1,"")</f>
      </c>
      <c r="D69" s="763" t="str">
        <f>IFERROR(D68/#REF!-1,"")</f>
      </c>
      <c r="E69" s="763" t="str">
        <f>IFERROR(E68/#REF!-1,"")</f>
      </c>
      <c r="F69" s="763" t="str">
        <f t="shared" ref="F69:AK69" si="179">IFERROR(F68/A68-1,"")</f>
      </c>
      <c r="G69" s="116" t="str">
        <f t="shared" si="179"/>
      </c>
      <c r="H69" s="763">
        <f t="shared" si="179"/>
      </c>
      <c r="I69" s="763">
        <f t="shared" si="179"/>
      </c>
      <c r="J69" s="763">
        <f t="shared" si="179"/>
      </c>
      <c r="K69" s="763">
        <f t="shared" si="179"/>
      </c>
      <c r="L69" s="116">
        <f t="shared" si="179"/>
      </c>
      <c r="M69" s="763">
        <f t="shared" si="179"/>
      </c>
      <c r="N69" s="763">
        <f t="shared" si="179"/>
      </c>
      <c r="O69" s="763">
        <f t="shared" si="179"/>
      </c>
      <c r="P69" s="763">
        <f t="shared" si="179"/>
      </c>
      <c r="Q69" s="116">
        <f t="shared" si="179"/>
      </c>
      <c r="R69" s="763">
        <f t="shared" si="179"/>
      </c>
      <c r="S69" s="763">
        <f t="shared" si="179"/>
      </c>
      <c r="T69" s="763">
        <f t="shared" si="179"/>
      </c>
      <c r="U69" s="763">
        <f t="shared" si="179"/>
      </c>
      <c r="V69" s="116">
        <f t="shared" si="179"/>
      </c>
      <c r="W69" s="763">
        <f t="shared" si="179"/>
      </c>
      <c r="X69" s="763">
        <f t="shared" si="179"/>
      </c>
      <c r="Y69" s="763">
        <f t="shared" si="179"/>
      </c>
      <c r="Z69" s="763">
        <f t="shared" si="179"/>
      </c>
      <c r="AA69" s="116">
        <f t="shared" si="179"/>
      </c>
      <c r="AB69" s="763">
        <f t="shared" si="179"/>
      </c>
      <c r="AC69" s="763">
        <f t="shared" si="179"/>
      </c>
      <c r="AD69" s="763">
        <f t="shared" si="179"/>
      </c>
      <c r="AE69" s="763">
        <f t="shared" si="179"/>
      </c>
      <c r="AF69" s="116">
        <f t="shared" si="179"/>
      </c>
      <c r="AG69" s="763">
        <f t="shared" si="179"/>
      </c>
      <c r="AH69" s="763">
        <f t="shared" si="179"/>
      </c>
      <c r="AI69" s="763">
        <f t="shared" si="179"/>
      </c>
      <c r="AJ69" s="763">
        <f t="shared" si="179"/>
      </c>
      <c r="AK69" s="116">
        <f t="shared" si="179"/>
      </c>
      <c r="AL69" s="763">
        <f t="shared" ref="AL69:BQ69" si="180">IFERROR(AL68/AG68-1,"")</f>
      </c>
      <c r="AM69" s="763">
        <f t="shared" si="180"/>
      </c>
      <c r="AN69" s="763">
        <f t="shared" si="180"/>
      </c>
      <c r="AO69" s="763">
        <f t="shared" si="180"/>
      </c>
      <c r="AP69" s="116">
        <f t="shared" si="180"/>
      </c>
      <c r="AQ69" s="763">
        <f t="shared" si="180"/>
      </c>
      <c r="AR69" s="763">
        <f t="shared" si="180"/>
      </c>
      <c r="AS69" s="763">
        <f t="shared" si="180"/>
      </c>
      <c r="AT69" s="763">
        <f t="shared" si="180"/>
      </c>
      <c r="AU69" s="116">
        <f t="shared" si="180"/>
      </c>
      <c r="AV69" s="763">
        <f t="shared" si="180"/>
      </c>
      <c r="AW69" s="763">
        <f t="shared" si="180"/>
      </c>
      <c r="AX69" s="763">
        <f t="shared" si="180"/>
      </c>
      <c r="AY69" s="763">
        <f t="shared" si="180"/>
      </c>
      <c r="AZ69" s="116">
        <f t="shared" si="180"/>
      </c>
      <c r="BA69" s="763">
        <f t="shared" si="180"/>
      </c>
      <c r="BB69" s="763">
        <f t="shared" si="180"/>
      </c>
      <c r="BC69" s="763">
        <f t="shared" si="180"/>
      </c>
      <c r="BD69" s="763">
        <f t="shared" si="180"/>
      </c>
      <c r="BE69" s="116">
        <f t="shared" si="180"/>
      </c>
      <c r="BF69" s="763">
        <f t="shared" si="180"/>
      </c>
      <c r="BG69" s="763">
        <f t="shared" si="180"/>
      </c>
      <c r="BH69" s="763">
        <f t="shared" si="180"/>
      </c>
      <c r="BI69" s="763">
        <f t="shared" si="180"/>
      </c>
      <c r="BJ69" s="116">
        <f t="shared" si="180"/>
      </c>
      <c r="BK69" s="763">
        <f t="shared" si="180"/>
      </c>
      <c r="BL69" s="763">
        <f t="shared" si="180"/>
      </c>
      <c r="BM69" s="763">
        <f t="shared" si="180"/>
      </c>
      <c r="BN69" s="763">
        <f t="shared" si="180"/>
      </c>
      <c r="BO69" s="116">
        <f t="shared" si="180"/>
      </c>
      <c r="BP69" s="763">
        <f t="shared" si="180"/>
      </c>
      <c r="BQ69" s="763">
        <f t="shared" si="180"/>
      </c>
      <c r="BR69" s="763">
        <f>IFERROR(BR68/BM68-1,"")</f>
      </c>
      <c r="BS69" s="763">
        <f>IFERROR(BS68/BN68-1,"")</f>
      </c>
      <c r="BT69" s="116">
        <f>IFERROR(BT68/BO68-1,"")</f>
      </c>
      <c r="BU69" s="763">
        <f t="shared" ref="BU69:EF69" si="181">IFERROR(BU68/BP68-1,"")</f>
      </c>
      <c r="BV69" s="763">
        <f t="shared" si="181"/>
      </c>
      <c r="BW69" s="763">
        <f t="shared" si="181"/>
      </c>
      <c r="BX69" s="763">
        <f t="shared" si="181"/>
      </c>
      <c r="BY69" s="116">
        <f t="shared" si="181"/>
      </c>
      <c r="BZ69" s="763">
        <f t="shared" si="181"/>
      </c>
      <c r="CA69" s="763">
        <f t="shared" si="181"/>
      </c>
      <c r="CB69" s="763">
        <f t="shared" si="181"/>
      </c>
      <c r="CC69" s="763">
        <f t="shared" si="181"/>
      </c>
      <c r="CD69" s="116">
        <f t="shared" si="181"/>
      </c>
      <c r="CE69" s="763">
        <f t="shared" si="181"/>
      </c>
      <c r="CF69" s="763">
        <f t="shared" si="181"/>
      </c>
      <c r="CG69" s="763">
        <f t="shared" si="181"/>
      </c>
      <c r="CH69" s="763">
        <f t="shared" si="181"/>
      </c>
      <c r="CI69" s="116">
        <f t="shared" si="181"/>
      </c>
      <c r="CJ69" s="763">
        <f t="shared" si="181"/>
      </c>
      <c r="CK69" s="763">
        <f t="shared" si="181"/>
      </c>
      <c r="CL69" s="763">
        <f t="shared" si="181"/>
      </c>
      <c r="CM69" s="763">
        <f t="shared" si="181"/>
      </c>
      <c r="CN69" s="116">
        <f t="shared" si="181"/>
      </c>
      <c r="CO69" s="763">
        <f t="shared" si="181"/>
      </c>
      <c r="CP69" s="763">
        <f t="shared" si="181"/>
      </c>
      <c r="CQ69" s="763">
        <f t="shared" si="181"/>
      </c>
      <c r="CR69" s="763">
        <f t="shared" si="181"/>
      </c>
      <c r="CS69" s="116">
        <f t="shared" si="181"/>
      </c>
      <c r="CT69" s="763">
        <f t="shared" si="181"/>
      </c>
      <c r="CU69" s="763">
        <f t="shared" si="181"/>
      </c>
      <c r="CV69" s="763">
        <f t="shared" si="181"/>
      </c>
      <c r="CW69" s="763">
        <f t="shared" si="181"/>
      </c>
      <c r="CX69" s="116">
        <f t="shared" si="181"/>
      </c>
      <c r="CY69" s="763">
        <f t="shared" si="181"/>
      </c>
      <c r="CZ69" s="763">
        <f t="shared" si="181"/>
      </c>
      <c r="DA69" s="763">
        <f t="shared" si="181"/>
      </c>
      <c r="DB69" s="763">
        <f t="shared" si="181"/>
      </c>
      <c r="DC69" s="116">
        <f t="shared" si="181"/>
      </c>
      <c r="DD69" s="763">
        <f t="shared" si="181"/>
      </c>
      <c r="DE69" s="763">
        <f t="shared" si="181"/>
      </c>
      <c r="DF69" s="763">
        <f t="shared" si="181"/>
      </c>
      <c r="DG69" s="763">
        <f t="shared" si="181"/>
      </c>
      <c r="DH69" s="116">
        <f t="shared" si="181"/>
      </c>
      <c r="DI69" s="763">
        <f t="shared" si="181"/>
      </c>
      <c r="DJ69" s="763">
        <f t="shared" si="181"/>
      </c>
      <c r="DK69" s="763">
        <f t="shared" si="181"/>
      </c>
      <c r="DL69" s="763">
        <f t="shared" si="181"/>
      </c>
      <c r="DM69" s="116">
        <f t="shared" si="181"/>
      </c>
      <c r="DN69" s="763">
        <f t="shared" si="181"/>
      </c>
      <c r="DO69" s="763">
        <f t="shared" si="181"/>
      </c>
      <c r="DP69" s="763">
        <f t="shared" si="181"/>
      </c>
      <c r="DQ69" s="763">
        <f t="shared" si="181"/>
      </c>
      <c r="DR69" s="116">
        <f t="shared" si="181"/>
      </c>
      <c r="DS69" s="763">
        <f t="shared" si="181"/>
      </c>
      <c r="DT69" s="763">
        <f t="shared" si="181"/>
      </c>
      <c r="DU69" s="763">
        <f t="shared" si="181"/>
      </c>
      <c r="DV69" s="763">
        <f t="shared" si="181"/>
      </c>
      <c r="DW69" s="116">
        <f t="shared" si="181"/>
      </c>
      <c r="DX69" s="763">
        <f t="shared" si="181"/>
      </c>
      <c r="DY69" s="763">
        <f t="shared" si="181"/>
      </c>
      <c r="DZ69" s="763">
        <f t="shared" si="181"/>
      </c>
      <c r="EA69" s="763">
        <f t="shared" si="181"/>
      </c>
      <c r="EB69" s="116">
        <f t="shared" si="181"/>
      </c>
      <c r="EC69" s="763">
        <f t="shared" si="181"/>
      </c>
      <c r="ED69" s="763">
        <f t="shared" si="181"/>
      </c>
      <c r="EE69" s="763">
        <f t="shared" si="181"/>
      </c>
      <c r="EF69" s="763">
        <f t="shared" si="181"/>
      </c>
      <c r="EG69" s="116">
        <f t="shared" ref="EG69:FZ69" si="182">IFERROR(EG68/EB68-1,"")</f>
      </c>
      <c r="EH69" s="763">
        <f t="shared" si="182"/>
      </c>
      <c r="EI69" s="763">
        <f t="shared" si="182"/>
      </c>
      <c r="EJ69" s="763">
        <f t="shared" si="182"/>
      </c>
      <c r="EK69" s="763">
        <f t="shared" si="182"/>
      </c>
      <c r="EL69" s="116">
        <f t="shared" si="182"/>
      </c>
      <c r="EM69" s="763">
        <f t="shared" si="182"/>
      </c>
      <c r="EN69" s="763">
        <f t="shared" si="182"/>
      </c>
      <c r="EO69" s="763">
        <f t="shared" si="182"/>
      </c>
      <c r="EP69" s="763">
        <f t="shared" si="182"/>
      </c>
      <c r="EQ69" s="116">
        <f t="shared" si="182"/>
      </c>
      <c r="ER69" s="763">
        <f t="shared" si="182"/>
      </c>
      <c r="ES69" s="763">
        <f t="shared" si="182"/>
      </c>
      <c r="ET69" s="763">
        <f t="shared" si="182"/>
      </c>
      <c r="EU69" s="763">
        <f t="shared" si="182"/>
      </c>
      <c r="EV69" s="116">
        <f t="shared" si="182"/>
      </c>
      <c r="EW69" s="763">
        <f t="shared" si="182"/>
      </c>
      <c r="EX69" s="763">
        <f t="shared" si="182"/>
      </c>
      <c r="EY69" s="763">
        <f t="shared" si="182"/>
      </c>
      <c r="EZ69" s="763">
        <f t="shared" si="182"/>
      </c>
      <c r="FA69" s="116">
        <f t="shared" si="182"/>
      </c>
      <c r="FB69" s="763">
        <f t="shared" si="182"/>
      </c>
      <c r="FC69" s="763">
        <f t="shared" si="182"/>
      </c>
      <c r="FD69" s="763">
        <f t="shared" si="182"/>
      </c>
      <c r="FE69" s="763">
        <f t="shared" si="182"/>
      </c>
      <c r="FF69" s="116">
        <f t="shared" si="182"/>
      </c>
      <c r="FG69" s="763">
        <f t="shared" si="182"/>
      </c>
      <c r="FH69" s="763">
        <f t="shared" si="182"/>
      </c>
      <c r="FI69" s="763">
        <f t="shared" si="182"/>
      </c>
      <c r="FJ69" s="763">
        <f t="shared" si="182"/>
      </c>
      <c r="FK69" s="116">
        <f t="shared" si="182"/>
      </c>
      <c r="FL69" s="763">
        <f t="shared" si="182"/>
      </c>
      <c r="FM69" s="763">
        <f t="shared" si="182"/>
      </c>
      <c r="FN69" s="763">
        <f t="shared" si="182"/>
      </c>
      <c r="FO69" s="763">
        <f t="shared" si="182"/>
      </c>
      <c r="FP69" s="116">
        <f t="shared" si="182"/>
      </c>
      <c r="FQ69" s="763">
        <f t="shared" si="182"/>
      </c>
      <c r="FR69" s="763">
        <f t="shared" si="182"/>
      </c>
      <c r="FS69" s="763">
        <f t="shared" si="182"/>
      </c>
      <c r="FT69" s="763">
        <f t="shared" si="182"/>
      </c>
      <c r="FU69" s="116">
        <f t="shared" si="182"/>
      </c>
      <c r="FV69" s="763">
        <f t="shared" si="182"/>
      </c>
      <c r="FW69" s="763">
        <f t="shared" si="182"/>
      </c>
      <c r="FX69" s="763">
        <f t="shared" si="182"/>
      </c>
      <c r="FY69" s="763">
        <f t="shared" si="182"/>
      </c>
      <c r="FZ69" s="116">
        <f t="shared" si="182"/>
      </c>
      <c r="GA69" s="763">
        <f t="shared" ref="GA69:GJ69" si="183">IFERROR(GA68/FV68-1,"")</f>
      </c>
      <c r="GB69" s="763">
        <f t="shared" si="183"/>
      </c>
      <c r="GC69" s="763">
        <f t="shared" si="183"/>
      </c>
      <c r="GD69" s="763">
        <f t="shared" si="183"/>
      </c>
      <c r="GE69" s="116">
        <f t="shared" si="183"/>
      </c>
      <c r="GF69" s="763">
        <f t="shared" si="183"/>
      </c>
      <c r="GG69" s="763">
        <f t="shared" si="183"/>
      </c>
      <c r="GH69" s="763">
        <f t="shared" si="183"/>
      </c>
      <c r="GI69" s="763">
        <f t="shared" si="183"/>
      </c>
      <c r="GJ69" s="116">
        <f t="shared" si="183"/>
      </c>
    </row>
    <row r="70" spans="1:192" s="135" customFormat="1" ht="12.75" hidden="1" customHeight="1" outlineLevel="1">
      <c r="A70" s="134" t="s">
        <v>364</v>
      </c>
      <c r="B70" s="782" t="s">
        <v>36</v>
      </c>
      <c r="C70" s="763" t="str">
        <f>IFERROR(C68/A68-1,"")</f>
      </c>
      <c r="D70" s="763">
        <f>IFERROR(D68/C68-1,"")</f>
      </c>
      <c r="E70" s="763">
        <f>IFERROR(E68/D68-1,"")</f>
      </c>
      <c r="F70" s="763">
        <f>IFERROR(F68/E68-1,"")</f>
      </c>
      <c r="G70" s="249"/>
      <c r="H70" s="763">
        <f>IFERROR(H68/F68-1,"")</f>
      </c>
      <c r="I70" s="763">
        <f>IFERROR(I68/H68-1,"")</f>
      </c>
      <c r="J70" s="763">
        <f>IFERROR(J68/I68-1,"")</f>
      </c>
      <c r="K70" s="763">
        <f>IFERROR(K68/J68-1,"")</f>
      </c>
      <c r="L70" s="249"/>
      <c r="M70" s="763">
        <f>IFERROR(M68/K68-1,"")</f>
      </c>
      <c r="N70" s="763">
        <f>IFERROR(N68/M68-1,"")</f>
      </c>
      <c r="O70" s="763">
        <f>IFERROR(O68/N68-1,"")</f>
      </c>
      <c r="P70" s="763">
        <f>IFERROR(P68/O68-1,"")</f>
      </c>
      <c r="Q70" s="249"/>
      <c r="R70" s="763">
        <f>IFERROR(R68/P68-1,"")</f>
      </c>
      <c r="S70" s="763">
        <f>IFERROR(S68/R68-1,"")</f>
      </c>
      <c r="T70" s="763">
        <f>IFERROR(T68/S68-1,"")</f>
      </c>
      <c r="U70" s="763">
        <f>IFERROR(U68/T68-1,"")</f>
      </c>
      <c r="V70" s="249"/>
      <c r="W70" s="763">
        <f>IFERROR(W68/U68-1,"")</f>
      </c>
      <c r="X70" s="763">
        <f>IFERROR(X68/W68-1,"")</f>
      </c>
      <c r="Y70" s="763">
        <f>IFERROR(Y68/X68-1,"")</f>
      </c>
      <c r="Z70" s="763">
        <f>IFERROR(Z68/Y68-1,"")</f>
      </c>
      <c r="AA70" s="249"/>
      <c r="AB70" s="763">
        <f>IFERROR(AB68/Z68-1,"")</f>
      </c>
      <c r="AC70" s="763">
        <f>IFERROR(AC68/AB68-1,"")</f>
      </c>
      <c r="AD70" s="763">
        <f>IFERROR(AD68/AC68-1,"")</f>
      </c>
      <c r="AE70" s="763">
        <f>IFERROR(AE68/AD68-1,"")</f>
      </c>
      <c r="AF70" s="249"/>
      <c r="AG70" s="763">
        <f>IFERROR(AG68/AE68-1,"")</f>
      </c>
      <c r="AH70" s="763">
        <f>IFERROR(AH68/AG68-1,"")</f>
      </c>
      <c r="AI70" s="763">
        <f>IFERROR(AI68/AH68-1,"")</f>
      </c>
      <c r="AJ70" s="763">
        <f>IFERROR(AJ68/AI68-1,"")</f>
      </c>
      <c r="AK70" s="249"/>
      <c r="AL70" s="763">
        <f>IFERROR(AL68/AJ68-1,"")</f>
      </c>
      <c r="AM70" s="763">
        <f>IFERROR(AM68/AL68-1,"")</f>
      </c>
      <c r="AN70" s="763">
        <f>IFERROR(AN68/AM68-1,"")</f>
      </c>
      <c r="AO70" s="763">
        <f>IFERROR(AO68/AN68-1,"")</f>
      </c>
      <c r="AP70" s="249"/>
      <c r="AQ70" s="763">
        <f>IFERROR(AQ68/AO68-1,"")</f>
      </c>
      <c r="AR70" s="763">
        <f>IFERROR(AR68/AQ68-1,"")</f>
      </c>
      <c r="AS70" s="763">
        <f>IFERROR(AS68/AR68-1,"")</f>
      </c>
      <c r="AT70" s="763">
        <f>IFERROR(AT68/AS68-1,"")</f>
      </c>
      <c r="AU70" s="249"/>
      <c r="AV70" s="763">
        <f>IFERROR(AV68/AT68-1,"")</f>
      </c>
      <c r="AW70" s="763">
        <f>IFERROR(AW68/AV68-1,"")</f>
      </c>
      <c r="AX70" s="763">
        <f>IFERROR(AX68/AW68-1,"")</f>
      </c>
      <c r="AY70" s="763">
        <f>IFERROR(AY68/AX68-1,"")</f>
      </c>
      <c r="AZ70" s="249"/>
      <c r="BA70" s="763">
        <f>IFERROR(BA68/AY68-1,"")</f>
      </c>
      <c r="BB70" s="763">
        <f>IFERROR(BB68/BA68-1,"")</f>
      </c>
      <c r="BC70" s="763">
        <f>IFERROR(BC68/BB68-1,"")</f>
      </c>
      <c r="BD70" s="763">
        <f>IFERROR(BD68/BC68-1,"")</f>
      </c>
      <c r="BE70" s="249"/>
      <c r="BF70" s="763">
        <f>IFERROR(BF68/BD68-1,"")</f>
      </c>
      <c r="BG70" s="763">
        <f>IFERROR(BG68/BF68-1,"")</f>
      </c>
      <c r="BH70" s="763">
        <f>IFERROR(BH68/BG68-1,"")</f>
      </c>
      <c r="BI70" s="763">
        <f>IFERROR(BI68/BH68-1,"")</f>
      </c>
      <c r="BJ70" s="249"/>
      <c r="BK70" s="763">
        <f>IFERROR(BK68/BI68-1,"")</f>
      </c>
      <c r="BL70" s="763">
        <f>IFERROR(BL68/BK68-1,"")</f>
      </c>
      <c r="BM70" s="763">
        <f>IFERROR(BM68/BL68-1,"")</f>
      </c>
      <c r="BN70" s="763">
        <f>IFERROR(BN68/BM68-1,"")</f>
      </c>
      <c r="BO70" s="249"/>
      <c r="BP70" s="763">
        <f>IFERROR(BP68/BN68-1,"")</f>
      </c>
      <c r="BQ70" s="763">
        <f>IFERROR(BQ68/BP68-1,"")</f>
      </c>
      <c r="BR70" s="763">
        <f>IFERROR(BR68/BQ68-1,"")</f>
      </c>
      <c r="BS70" s="763">
        <f>IFERROR(BS68/BR68-1,"")</f>
      </c>
      <c r="BT70" s="249"/>
      <c r="BU70" s="763">
        <f>IFERROR(BU68/BS68-1,"")</f>
      </c>
      <c r="BV70" s="763">
        <f>IFERROR(BV68/BU68-1,"")</f>
      </c>
      <c r="BW70" s="763">
        <f>IFERROR(BW68/BV68-1,"")</f>
      </c>
      <c r="BX70" s="763">
        <f>IFERROR(BX68/BW68-1,"")</f>
      </c>
      <c r="BY70" s="249"/>
      <c r="BZ70" s="763">
        <f>IFERROR(BZ68/BX68-1,"")</f>
      </c>
      <c r="CA70" s="763">
        <f>IFERROR(CA68/BZ68-1,"")</f>
      </c>
      <c r="CB70" s="763">
        <f>IFERROR(CB68/CA68-1,"")</f>
      </c>
      <c r="CC70" s="763">
        <f>IFERROR(CC68/CB68-1,"")</f>
      </c>
      <c r="CD70" s="249"/>
      <c r="CE70" s="763">
        <f>IFERROR(CE68/CC68-1,"")</f>
      </c>
      <c r="CF70" s="763">
        <f>IFERROR(CF68/CE68-1,"")</f>
      </c>
      <c r="CG70" s="763">
        <f>IFERROR(CG68/CF68-1,"")</f>
      </c>
      <c r="CH70" s="763">
        <f>IFERROR(CH68/CG68-1,"")</f>
      </c>
      <c r="CI70" s="249"/>
      <c r="CJ70" s="763">
        <f>IFERROR(CJ68/CH68-1,"")</f>
      </c>
      <c r="CK70" s="763">
        <f>IFERROR(CK68/CJ68-1,"")</f>
      </c>
      <c r="CL70" s="763">
        <f>IFERROR(CL68/CK68-1,"")</f>
      </c>
      <c r="CM70" s="763">
        <f>IFERROR(CM68/CL68-1,"")</f>
      </c>
      <c r="CN70" s="249"/>
      <c r="CO70" s="763">
        <f>IFERROR(CO68/CM68-1,"")</f>
      </c>
      <c r="CP70" s="763">
        <f>IFERROR(CP68/CO68-1,"")</f>
      </c>
      <c r="CQ70" s="763">
        <f>IFERROR(CQ68/CP68-1,"")</f>
      </c>
      <c r="CR70" s="763">
        <f>IFERROR(CR68/CQ68-1,"")</f>
      </c>
      <c r="CS70" s="249"/>
      <c r="CT70" s="763">
        <f>IFERROR(CT68/CR68-1,"")</f>
      </c>
      <c r="CU70" s="763">
        <f>IFERROR(CU68/CT68-1,"")</f>
      </c>
      <c r="CV70" s="763">
        <f>IFERROR(CV68/CU68-1,"")</f>
      </c>
      <c r="CW70" s="763">
        <f>IFERROR(CW68/CV68-1,"")</f>
      </c>
      <c r="CX70" s="249"/>
      <c r="CY70" s="763">
        <f>IFERROR(CY68/CW68-1,"")</f>
      </c>
      <c r="CZ70" s="763">
        <f>IFERROR(CZ68/CY68-1,"")</f>
      </c>
      <c r="DA70" s="763">
        <f>IFERROR(DA68/CZ68-1,"")</f>
      </c>
      <c r="DB70" s="763">
        <f>IFERROR(DB68/DA68-1,"")</f>
      </c>
      <c r="DC70" s="249"/>
      <c r="DD70" s="763">
        <f>IFERROR(DD68/DB68-1,"")</f>
      </c>
      <c r="DE70" s="763">
        <f>IFERROR(DE68/DD68-1,"")</f>
      </c>
      <c r="DF70" s="763">
        <f>IFERROR(DF68/DE68-1,"")</f>
      </c>
      <c r="DG70" s="763">
        <f>IFERROR(DG68/DF68-1,"")</f>
      </c>
      <c r="DH70" s="249"/>
      <c r="DI70" s="763">
        <f>IFERROR(DI68/DG68-1,"")</f>
      </c>
      <c r="DJ70" s="763">
        <f>IFERROR(DJ68/DI68-1,"")</f>
      </c>
      <c r="DK70" s="763">
        <f>IFERROR(DK68/DJ68-1,"")</f>
      </c>
      <c r="DL70" s="763">
        <f>IFERROR(DL68/DK68-1,"")</f>
      </c>
      <c r="DM70" s="249"/>
      <c r="DN70" s="763">
        <f>IFERROR(DN68/DL68-1,"")</f>
      </c>
      <c r="DO70" s="763">
        <f>IFERROR(DO68/DN68-1,"")</f>
      </c>
      <c r="DP70" s="763">
        <f>IFERROR(DP68/DO68-1,"")</f>
      </c>
      <c r="DQ70" s="763">
        <f>IFERROR(DQ68/DP68-1,"")</f>
      </c>
      <c r="DR70" s="249"/>
      <c r="DS70" s="763">
        <f>IFERROR(DS68/DQ68-1,"")</f>
      </c>
      <c r="DT70" s="763">
        <f>IFERROR(DT68/DS68-1,"")</f>
      </c>
      <c r="DU70" s="763">
        <f>IFERROR(DU68/DT68-1,"")</f>
      </c>
      <c r="DV70" s="763">
        <f>IFERROR(DV68/DU68-1,"")</f>
      </c>
      <c r="DW70" s="249"/>
      <c r="DX70" s="763">
        <f>IFERROR(DX68/DV68-1,"")</f>
      </c>
      <c r="DY70" s="763">
        <f>IFERROR(DY68/DX68-1,"")</f>
      </c>
      <c r="DZ70" s="763">
        <f>IFERROR(DZ68/DY68-1,"")</f>
      </c>
      <c r="EA70" s="763">
        <f>IFERROR(EA68/DZ68-1,"")</f>
      </c>
      <c r="EB70" s="249"/>
      <c r="EC70" s="763">
        <f>IFERROR(EC68/EA68-1,"")</f>
      </c>
      <c r="ED70" s="763">
        <f>IFERROR(ED68/EC68-1,"")</f>
      </c>
      <c r="EE70" s="763">
        <f>IFERROR(EE68/ED68-1,"")</f>
      </c>
      <c r="EF70" s="763">
        <f>IFERROR(EF68/EE68-1,"")</f>
      </c>
      <c r="EG70" s="249"/>
      <c r="EH70" s="763">
        <f>IFERROR(EH68/EF68-1,"")</f>
      </c>
      <c r="EI70" s="763">
        <f>IFERROR(EI68/EH68-1,"")</f>
      </c>
      <c r="EJ70" s="763">
        <f>IFERROR(EJ68/EI68-1,"")</f>
      </c>
      <c r="EK70" s="763">
        <f>IFERROR(EK68/EJ68-1,"")</f>
      </c>
      <c r="EL70" s="249"/>
      <c r="EM70" s="763">
        <f>IFERROR(EM68/EK68-1,"")</f>
      </c>
      <c r="EN70" s="763">
        <f>IFERROR(EN68/EM68-1,"")</f>
      </c>
      <c r="EO70" s="763">
        <f>IFERROR(EO68/EN68-1,"")</f>
      </c>
      <c r="EP70" s="763">
        <f>IFERROR(EP68/EO68-1,"")</f>
      </c>
      <c r="EQ70" s="249"/>
      <c r="ER70" s="763">
        <f>IFERROR(ER68/EP68-1,"")</f>
      </c>
      <c r="ES70" s="763">
        <f>IFERROR(ES68/ER68-1,"")</f>
      </c>
      <c r="ET70" s="763">
        <f>IFERROR(ET68/ES68-1,"")</f>
      </c>
      <c r="EU70" s="763">
        <f>IFERROR(EU68/ET68-1,"")</f>
      </c>
      <c r="EV70" s="249"/>
      <c r="EW70" s="763">
        <f>IFERROR(EW68/EU68-1,"")</f>
      </c>
      <c r="EX70" s="763">
        <f>IFERROR(EX68/EW68-1,"")</f>
      </c>
      <c r="EY70" s="763">
        <f>IFERROR(EY68/EX68-1,"")</f>
      </c>
      <c r="EZ70" s="763">
        <f>IFERROR(EZ68/EY68-1,"")</f>
      </c>
      <c r="FA70" s="249"/>
      <c r="FB70" s="763">
        <f>IFERROR(FB68/EZ68-1,"")</f>
      </c>
      <c r="FC70" s="763">
        <f>IFERROR(FC68/FB68-1,"")</f>
      </c>
      <c r="FD70" s="763">
        <f>IFERROR(FD68/FC68-1,"")</f>
      </c>
      <c r="FE70" s="763">
        <f>IFERROR(FE68/FD68-1,"")</f>
      </c>
      <c r="FF70" s="249"/>
      <c r="FG70" s="763">
        <f>IFERROR(FG68/FE68-1,"")</f>
      </c>
      <c r="FH70" s="763">
        <f>IFERROR(FH68/FG68-1,"")</f>
      </c>
      <c r="FI70" s="763">
        <f>IFERROR(FI68/FH68-1,"")</f>
      </c>
      <c r="FJ70" s="763">
        <f>IFERROR(FJ68/FI68-1,"")</f>
      </c>
      <c r="FK70" s="249"/>
      <c r="FL70" s="763">
        <f>IFERROR(FL68/FJ68-1,"")</f>
      </c>
      <c r="FM70" s="763">
        <f>IFERROR(FM68/FL68-1,"")</f>
      </c>
      <c r="FN70" s="763">
        <f>IFERROR(FN68/FM68-1,"")</f>
      </c>
      <c r="FO70" s="763">
        <f>IFERROR(FO68/FN68-1,"")</f>
      </c>
      <c r="FP70" s="249"/>
      <c r="FQ70" s="763">
        <f>IFERROR(FQ68/FO68-1,"")</f>
      </c>
      <c r="FR70" s="763">
        <f>IFERROR(FR68/FQ68-1,"")</f>
      </c>
      <c r="FS70" s="763">
        <f>IFERROR(FS68/FR68-1,"")</f>
      </c>
      <c r="FT70" s="763">
        <f>IFERROR(FT68/FS68-1,"")</f>
      </c>
      <c r="FU70" s="249"/>
      <c r="FV70" s="763">
        <f>IFERROR(FV68/FT68-1,"")</f>
      </c>
      <c r="FW70" s="763">
        <f>IFERROR(FW68/FV68-1,"")</f>
      </c>
      <c r="FX70" s="763">
        <f>IFERROR(FX68/FW68-1,"")</f>
      </c>
      <c r="FY70" s="763">
        <f>IFERROR(FY68/FX68-1,"")</f>
      </c>
      <c r="FZ70" s="249"/>
      <c r="GA70" s="763">
        <f>IFERROR(GA68/FY68-1,"")</f>
      </c>
      <c r="GB70" s="763">
        <f>IFERROR(GB68/GA68-1,"")</f>
      </c>
      <c r="GC70" s="763">
        <f>IFERROR(GC68/GB68-1,"")</f>
      </c>
      <c r="GD70" s="763">
        <f>IFERROR(GD68/GC68-1,"")</f>
      </c>
      <c r="GE70" s="249"/>
      <c r="GF70" s="763">
        <f>IFERROR(GF68/GD68-1,"")</f>
      </c>
      <c r="GG70" s="763">
        <f>IFERROR(GG68/GF68-1,"")</f>
      </c>
      <c r="GH70" s="763">
        <f>IFERROR(GH68/GG68-1,"")</f>
      </c>
      <c r="GI70" s="763">
        <f>IFERROR(GI68/GH68-1,"")</f>
      </c>
      <c r="GJ70" s="249"/>
    </row>
    <row r="71" spans="1:192" s="962" customFormat="1" ht="12.75" hidden="1" customHeight="1" outlineLevel="1">
      <c r="A71" s="370" t="s">
        <v>46</v>
      </c>
      <c r="B71" s="706" t="s">
        <v>1859</v>
      </c>
      <c r="C71" s="933">
        <f t="shared" ref="C71:AH71" si="184">C66+C68</f>
      </c>
      <c r="D71" s="933">
        <f t="shared" si="184"/>
      </c>
      <c r="E71" s="933">
        <f t="shared" si="184"/>
      </c>
      <c r="F71" s="933">
        <f t="shared" si="184"/>
      </c>
      <c r="G71" s="956">
        <f t="shared" si="184"/>
      </c>
      <c r="H71" s="933">
        <f t="shared" si="184"/>
      </c>
      <c r="I71" s="933">
        <f t="shared" si="184"/>
      </c>
      <c r="J71" s="933">
        <f t="shared" si="184"/>
      </c>
      <c r="K71" s="933">
        <f t="shared" si="184"/>
      </c>
      <c r="L71" s="956">
        <f t="shared" si="184"/>
      </c>
      <c r="M71" s="933">
        <f t="shared" si="184"/>
      </c>
      <c r="N71" s="933">
        <f t="shared" si="184"/>
      </c>
      <c r="O71" s="933">
        <f t="shared" si="184"/>
      </c>
      <c r="P71" s="933">
        <f t="shared" si="184"/>
      </c>
      <c r="Q71" s="956">
        <f t="shared" si="184"/>
      </c>
      <c r="R71" s="933">
        <f t="shared" si="184"/>
      </c>
      <c r="S71" s="933">
        <f t="shared" si="184"/>
      </c>
      <c r="T71" s="933">
        <f t="shared" si="184"/>
      </c>
      <c r="U71" s="933">
        <f t="shared" si="184"/>
      </c>
      <c r="V71" s="956">
        <f t="shared" si="184"/>
      </c>
      <c r="W71" s="933">
        <f t="shared" si="184"/>
      </c>
      <c r="X71" s="933">
        <f t="shared" si="184"/>
      </c>
      <c r="Y71" s="933">
        <f t="shared" si="184"/>
      </c>
      <c r="Z71" s="933">
        <f t="shared" si="184"/>
      </c>
      <c r="AA71" s="956">
        <f t="shared" si="184"/>
      </c>
      <c r="AB71" s="933">
        <f t="shared" si="184"/>
      </c>
      <c r="AC71" s="933">
        <f t="shared" si="184"/>
      </c>
      <c r="AD71" s="933">
        <f t="shared" si="184"/>
      </c>
      <c r="AE71" s="933">
        <f t="shared" si="184"/>
      </c>
      <c r="AF71" s="956">
        <f t="shared" si="184"/>
      </c>
      <c r="AG71" s="933">
        <f t="shared" si="184"/>
      </c>
      <c r="AH71" s="933">
        <f t="shared" si="184"/>
      </c>
      <c r="AI71" s="933">
        <f t="shared" ref="AI71:BN71" si="185">AI66+AI68</f>
      </c>
      <c r="AJ71" s="933">
        <f t="shared" si="185"/>
      </c>
      <c r="AK71" s="956">
        <f t="shared" si="185"/>
      </c>
      <c r="AL71" s="933">
        <f t="shared" si="185"/>
      </c>
      <c r="AM71" s="933">
        <f t="shared" si="185"/>
      </c>
      <c r="AN71" s="933">
        <f t="shared" si="185"/>
      </c>
      <c r="AO71" s="933">
        <f t="shared" si="185"/>
      </c>
      <c r="AP71" s="956">
        <f t="shared" si="185"/>
      </c>
      <c r="AQ71" s="933">
        <f t="shared" si="185"/>
      </c>
      <c r="AR71" s="933">
        <f t="shared" si="185"/>
      </c>
      <c r="AS71" s="933">
        <f t="shared" si="185"/>
      </c>
      <c r="AT71" s="933">
        <f t="shared" si="185"/>
      </c>
      <c r="AU71" s="956">
        <f t="shared" si="185"/>
      </c>
      <c r="AV71" s="933">
        <f t="shared" si="185"/>
      </c>
      <c r="AW71" s="933">
        <f t="shared" si="185"/>
      </c>
      <c r="AX71" s="933">
        <f t="shared" si="185"/>
      </c>
      <c r="AY71" s="933">
        <f t="shared" si="185"/>
      </c>
      <c r="AZ71" s="956">
        <f t="shared" si="185"/>
      </c>
      <c r="BA71" s="933">
        <f t="shared" si="185"/>
      </c>
      <c r="BB71" s="933">
        <f t="shared" si="185"/>
      </c>
      <c r="BC71" s="933">
        <f t="shared" si="185"/>
      </c>
      <c r="BD71" s="933">
        <f t="shared" si="185"/>
      </c>
      <c r="BE71" s="956">
        <f t="shared" si="185"/>
      </c>
      <c r="BF71" s="933">
        <f t="shared" si="185"/>
      </c>
      <c r="BG71" s="933">
        <f t="shared" si="185"/>
      </c>
      <c r="BH71" s="933">
        <f t="shared" si="185"/>
      </c>
      <c r="BI71" s="933">
        <f t="shared" si="185"/>
      </c>
      <c r="BJ71" s="956">
        <f t="shared" si="185"/>
      </c>
      <c r="BK71" s="933">
        <f t="shared" si="185"/>
      </c>
      <c r="BL71" s="933">
        <f t="shared" si="185"/>
      </c>
      <c r="BM71" s="933">
        <f t="shared" si="185"/>
      </c>
      <c r="BN71" s="933">
        <f t="shared" si="185"/>
      </c>
      <c r="BO71" s="956">
        <f t="shared" ref="BO71:CT71" si="186">BO66+BO68</f>
      </c>
      <c r="BP71" s="933">
        <f t="shared" si="186"/>
      </c>
      <c r="BQ71" s="933">
        <f t="shared" si="186"/>
      </c>
      <c r="BR71" s="933">
        <f t="shared" si="186"/>
      </c>
      <c r="BS71" s="933">
        <f t="shared" si="186"/>
      </c>
      <c r="BT71" s="956">
        <f t="shared" si="186"/>
      </c>
      <c r="BU71" s="933">
        <f t="shared" si="186"/>
      </c>
      <c r="BV71" s="933">
        <f t="shared" si="186"/>
      </c>
      <c r="BW71" s="933">
        <f t="shared" si="186"/>
      </c>
      <c r="BX71" s="933">
        <f t="shared" si="186"/>
      </c>
      <c r="BY71" s="956">
        <f t="shared" si="186"/>
      </c>
      <c r="BZ71" s="933">
        <f t="shared" si="186"/>
      </c>
      <c r="CA71" s="933">
        <f t="shared" si="186"/>
      </c>
      <c r="CB71" s="933">
        <f t="shared" si="186"/>
      </c>
      <c r="CC71" s="933">
        <f t="shared" si="186"/>
      </c>
      <c r="CD71" s="956">
        <f t="shared" si="186"/>
      </c>
      <c r="CE71" s="933">
        <f t="shared" si="186"/>
      </c>
      <c r="CF71" s="933">
        <f t="shared" si="186"/>
      </c>
      <c r="CG71" s="933">
        <f t="shared" si="186"/>
      </c>
      <c r="CH71" s="933">
        <f t="shared" si="186"/>
      </c>
      <c r="CI71" s="956">
        <f t="shared" si="186"/>
      </c>
      <c r="CJ71" s="933">
        <f t="shared" si="186"/>
      </c>
      <c r="CK71" s="933">
        <f t="shared" si="186"/>
      </c>
      <c r="CL71" s="933">
        <f t="shared" si="186"/>
      </c>
      <c r="CM71" s="933">
        <f t="shared" si="186"/>
      </c>
      <c r="CN71" s="956">
        <f t="shared" si="186"/>
      </c>
      <c r="CO71" s="933">
        <f t="shared" si="186"/>
      </c>
      <c r="CP71" s="933">
        <f t="shared" si="186"/>
      </c>
      <c r="CQ71" s="933">
        <f t="shared" si="186"/>
      </c>
      <c r="CR71" s="933">
        <f t="shared" si="186"/>
      </c>
      <c r="CS71" s="956">
        <f t="shared" si="186"/>
      </c>
      <c r="CT71" s="933">
        <f t="shared" si="186"/>
      </c>
      <c r="CU71" s="933">
        <f t="shared" ref="CU71:DZ71" si="187">CU66+CU68</f>
      </c>
      <c r="CV71" s="933">
        <f t="shared" si="187"/>
      </c>
      <c r="CW71" s="933">
        <f t="shared" si="187"/>
      </c>
      <c r="CX71" s="956">
        <f t="shared" si="187"/>
      </c>
      <c r="CY71" s="933">
        <f t="shared" si="187"/>
      </c>
      <c r="CZ71" s="933">
        <f t="shared" si="187"/>
      </c>
      <c r="DA71" s="933">
        <f t="shared" si="187"/>
      </c>
      <c r="DB71" s="933">
        <f t="shared" si="187"/>
      </c>
      <c r="DC71" s="956">
        <f t="shared" si="187"/>
      </c>
      <c r="DD71" s="933">
        <f t="shared" si="187"/>
      </c>
      <c r="DE71" s="933">
        <f t="shared" si="187"/>
      </c>
      <c r="DF71" s="933">
        <f t="shared" si="187"/>
      </c>
      <c r="DG71" s="933">
        <f t="shared" si="187"/>
      </c>
      <c r="DH71" s="956">
        <f t="shared" si="187"/>
      </c>
      <c r="DI71" s="933">
        <f t="shared" si="187"/>
      </c>
      <c r="DJ71" s="933">
        <f t="shared" si="187"/>
      </c>
      <c r="DK71" s="933">
        <f t="shared" si="187"/>
      </c>
      <c r="DL71" s="933">
        <f t="shared" si="187"/>
      </c>
      <c r="DM71" s="956">
        <f t="shared" si="187"/>
      </c>
      <c r="DN71" s="933">
        <f t="shared" si="187"/>
      </c>
      <c r="DO71" s="933">
        <f t="shared" si="187"/>
      </c>
      <c r="DP71" s="933">
        <f t="shared" si="187"/>
      </c>
      <c r="DQ71" s="933">
        <f t="shared" si="187"/>
      </c>
      <c r="DR71" s="956">
        <f t="shared" si="187"/>
      </c>
      <c r="DS71" s="933">
        <f t="shared" si="187"/>
      </c>
      <c r="DT71" s="933">
        <f t="shared" si="187"/>
      </c>
      <c r="DU71" s="933">
        <f t="shared" si="187"/>
      </c>
      <c r="DV71" s="933">
        <f t="shared" si="187"/>
      </c>
      <c r="DW71" s="956">
        <f t="shared" si="187"/>
      </c>
      <c r="DX71" s="933">
        <f t="shared" si="187"/>
      </c>
      <c r="DY71" s="933">
        <f t="shared" si="187"/>
      </c>
      <c r="DZ71" s="933">
        <f t="shared" si="187"/>
      </c>
      <c r="EA71" s="933">
        <f t="shared" ref="EA71:FF71" si="188">EA66+EA68</f>
      </c>
      <c r="EB71" s="956">
        <f t="shared" si="188"/>
      </c>
      <c r="EC71" s="933">
        <f t="shared" si="188"/>
      </c>
      <c r="ED71" s="933">
        <f t="shared" si="188"/>
      </c>
      <c r="EE71" s="933">
        <f t="shared" si="188"/>
      </c>
      <c r="EF71" s="933">
        <f t="shared" si="188"/>
      </c>
      <c r="EG71" s="956">
        <f t="shared" si="188"/>
      </c>
      <c r="EH71" s="933">
        <f t="shared" si="188"/>
      </c>
      <c r="EI71" s="933">
        <f t="shared" si="188"/>
      </c>
      <c r="EJ71" s="933">
        <f t="shared" si="188"/>
      </c>
      <c r="EK71" s="933">
        <f t="shared" si="188"/>
      </c>
      <c r="EL71" s="956">
        <f t="shared" si="188"/>
      </c>
      <c r="EM71" s="933">
        <f t="shared" si="188"/>
      </c>
      <c r="EN71" s="933">
        <f t="shared" si="188"/>
      </c>
      <c r="EO71" s="933">
        <f t="shared" si="188"/>
      </c>
      <c r="EP71" s="933">
        <f t="shared" si="188"/>
      </c>
      <c r="EQ71" s="956">
        <f t="shared" si="188"/>
      </c>
      <c r="ER71" s="933">
        <f t="shared" si="188"/>
      </c>
      <c r="ES71" s="933">
        <f t="shared" si="188"/>
      </c>
      <c r="ET71" s="933">
        <f>ET66+ET68</f>
      </c>
      <c r="EU71" s="933">
        <f>EU66+EU68</f>
      </c>
      <c r="EV71" s="956">
        <f t="shared" si="188"/>
      </c>
      <c r="EW71" s="933">
        <f t="shared" ref="EW71:EX71" si="189">EW66+EW68</f>
      </c>
      <c r="EX71" s="933">
        <f t="shared" si="189"/>
      </c>
      <c r="EY71" s="933">
        <f t="shared" si="188"/>
      </c>
      <c r="EZ71" s="933">
        <f>EZ66+EZ68</f>
      </c>
      <c r="FA71" s="956">
        <f t="shared" ref="FA71" si="190">FA66+FA68</f>
      </c>
      <c r="FB71" s="933">
        <f t="shared" si="188"/>
      </c>
      <c r="FC71" s="933">
        <f t="shared" si="188"/>
      </c>
      <c r="FD71" s="933">
        <f t="shared" si="188"/>
      </c>
      <c r="FE71" s="933">
        <f t="shared" si="188"/>
      </c>
      <c r="FF71" s="956">
        <f t="shared" si="188"/>
      </c>
      <c r="FG71" s="933">
        <f t="shared" ref="FG71:FZ71" si="191">FG66+FG68</f>
      </c>
      <c r="FH71" s="933">
        <f t="shared" si="191"/>
      </c>
      <c r="FI71" s="933">
        <f t="shared" si="191"/>
      </c>
      <c r="FJ71" s="933">
        <f t="shared" si="191"/>
      </c>
      <c r="FK71" s="956">
        <f t="shared" si="191"/>
      </c>
      <c r="FL71" s="933">
        <f t="shared" si="191"/>
      </c>
      <c r="FM71" s="933">
        <f t="shared" si="191"/>
      </c>
      <c r="FN71" s="933">
        <f t="shared" si="191"/>
      </c>
      <c r="FO71" s="933">
        <f t="shared" si="191"/>
      </c>
      <c r="FP71" s="956">
        <f t="shared" si="191"/>
      </c>
      <c r="FQ71" s="933">
        <f t="shared" si="191"/>
      </c>
      <c r="FR71" s="933">
        <f t="shared" si="191"/>
      </c>
      <c r="FS71" s="933">
        <f t="shared" si="191"/>
      </c>
      <c r="FT71" s="933">
        <f t="shared" si="191"/>
      </c>
      <c r="FU71" s="956">
        <f t="shared" si="191"/>
      </c>
      <c r="FV71" s="933">
        <f t="shared" si="191"/>
      </c>
      <c r="FW71" s="933">
        <f t="shared" si="191"/>
      </c>
      <c r="FX71" s="933">
        <f t="shared" si="191"/>
      </c>
      <c r="FY71" s="933">
        <f t="shared" si="191"/>
      </c>
      <c r="FZ71" s="956">
        <f t="shared" si="191"/>
      </c>
      <c r="GA71" s="933">
        <f t="shared" ref="GA71:GJ71" si="192">GA66+GA68</f>
      </c>
      <c r="GB71" s="933">
        <f t="shared" si="192"/>
      </c>
      <c r="GC71" s="933">
        <f t="shared" si="192"/>
      </c>
      <c r="GD71" s="933">
        <f t="shared" si="192"/>
      </c>
      <c r="GE71" s="956">
        <f t="shared" si="192"/>
      </c>
      <c r="GF71" s="933">
        <f t="shared" si="192"/>
      </c>
      <c r="GG71" s="933">
        <f t="shared" si="192"/>
      </c>
      <c r="GH71" s="933">
        <f t="shared" si="192"/>
      </c>
      <c r="GI71" s="933">
        <f t="shared" si="192"/>
      </c>
      <c r="GJ71" s="956">
        <f t="shared" si="192"/>
      </c>
    </row>
    <row r="72" spans="1:192" s="135" customFormat="1" ht="12.75" hidden="1" customHeight="1" outlineLevel="1">
      <c r="A72" s="134" t="s">
        <v>363</v>
      </c>
      <c r="B72" s="782" t="s">
        <v>34</v>
      </c>
      <c r="C72" s="763"/>
      <c r="D72" s="763"/>
      <c r="E72" s="763"/>
      <c r="F72" s="763"/>
      <c r="G72" s="116"/>
      <c r="H72" s="763"/>
      <c r="I72" s="763"/>
      <c r="J72" s="763"/>
      <c r="K72" s="763"/>
      <c r="L72" s="116"/>
      <c r="M72" s="763"/>
      <c r="N72" s="763"/>
      <c r="O72" s="763"/>
      <c r="P72" s="763"/>
      <c r="Q72" s="116"/>
      <c r="R72" s="763"/>
      <c r="S72" s="763"/>
      <c r="T72" s="763"/>
      <c r="U72" s="763"/>
      <c r="V72" s="116"/>
      <c r="W72" s="763"/>
      <c r="X72" s="763"/>
      <c r="Y72" s="763"/>
      <c r="Z72" s="763"/>
      <c r="AA72" s="116"/>
      <c r="AB72" s="763"/>
      <c r="AC72" s="763"/>
      <c r="AD72" s="763"/>
      <c r="AE72" s="763"/>
      <c r="AF72" s="116"/>
      <c r="AG72" s="763"/>
      <c r="AH72" s="763"/>
      <c r="AI72" s="763"/>
      <c r="AJ72" s="763"/>
      <c r="AK72" s="116"/>
      <c r="AL72" s="763"/>
      <c r="AM72" s="763"/>
      <c r="AN72" s="763"/>
      <c r="AO72" s="763"/>
      <c r="AP72" s="116"/>
      <c r="AQ72" s="763"/>
      <c r="AR72" s="763"/>
      <c r="AS72" s="763"/>
      <c r="AT72" s="763"/>
      <c r="AU72" s="116"/>
      <c r="AV72" s="763"/>
      <c r="AW72" s="763"/>
      <c r="AX72" s="763"/>
      <c r="AY72" s="763"/>
      <c r="AZ72" s="116"/>
      <c r="BA72" s="763"/>
      <c r="BB72" s="763"/>
      <c r="BC72" s="763"/>
      <c r="BD72" s="763"/>
      <c r="BE72" s="116"/>
      <c r="BF72" s="763"/>
      <c r="BG72" s="763"/>
      <c r="BH72" s="763"/>
      <c r="BI72" s="763"/>
      <c r="BJ72" s="116"/>
      <c r="BK72" s="763"/>
      <c r="BL72" s="763"/>
      <c r="BM72" s="763"/>
      <c r="BN72" s="763"/>
      <c r="BO72" s="116"/>
      <c r="BP72" s="763"/>
      <c r="BQ72" s="763"/>
      <c r="BR72" s="763"/>
      <c r="BS72" s="763"/>
      <c r="BT72" s="116"/>
      <c r="BU72" s="763"/>
      <c r="BV72" s="763"/>
      <c r="BW72" s="763"/>
      <c r="BX72" s="763"/>
      <c r="BY72" s="116"/>
      <c r="BZ72" s="763"/>
      <c r="CA72" s="763"/>
      <c r="CB72" s="763"/>
      <c r="CC72" s="763"/>
      <c r="CD72" s="116"/>
      <c r="CE72" s="763"/>
      <c r="CF72" s="763"/>
      <c r="CG72" s="763"/>
      <c r="CH72" s="763"/>
      <c r="CI72" s="116"/>
      <c r="CJ72" s="763"/>
      <c r="CK72" s="763"/>
      <c r="CL72" s="763"/>
      <c r="CM72" s="763"/>
      <c r="CN72" s="116"/>
      <c r="CO72" s="763"/>
      <c r="CP72" s="763"/>
      <c r="CQ72" s="763"/>
      <c r="CR72" s="763"/>
      <c r="CS72" s="116"/>
      <c r="CT72" s="763"/>
      <c r="CU72" s="763"/>
      <c r="CV72" s="763"/>
      <c r="CW72" s="763"/>
      <c r="CX72" s="116"/>
      <c r="CY72" s="763"/>
      <c r="CZ72" s="763"/>
      <c r="DA72" s="763"/>
      <c r="DB72" s="763"/>
      <c r="DC72" s="116"/>
      <c r="DD72" s="763"/>
      <c r="DE72" s="763"/>
      <c r="DF72" s="763"/>
      <c r="DG72" s="763"/>
      <c r="DH72" s="116"/>
      <c r="DI72" s="763">
        <f t="shared" ref="DI72:EN72" si="193">IFERROR(DI71/DD71-1,"")</f>
      </c>
      <c r="DJ72" s="763">
        <f t="shared" si="193"/>
      </c>
      <c r="DK72" s="763">
        <f t="shared" si="193"/>
      </c>
      <c r="DL72" s="763">
        <f t="shared" si="193"/>
      </c>
      <c r="DM72" s="116">
        <f t="shared" si="193"/>
      </c>
      <c r="DN72" s="763">
        <f t="shared" si="193"/>
      </c>
      <c r="DO72" s="763">
        <f t="shared" si="193"/>
      </c>
      <c r="DP72" s="763">
        <f t="shared" si="193"/>
      </c>
      <c r="DQ72" s="763">
        <f t="shared" si="193"/>
      </c>
      <c r="DR72" s="116">
        <f t="shared" si="193"/>
      </c>
      <c r="DS72" s="763">
        <f t="shared" si="193"/>
      </c>
      <c r="DT72" s="763">
        <f t="shared" si="193"/>
      </c>
      <c r="DU72" s="763">
        <f t="shared" si="193"/>
      </c>
      <c r="DV72" s="763">
        <f t="shared" si="193"/>
      </c>
      <c r="DW72" s="116">
        <f t="shared" si="193"/>
      </c>
      <c r="DX72" s="763">
        <f t="shared" si="193"/>
      </c>
      <c r="DY72" s="763">
        <f t="shared" si="193"/>
      </c>
      <c r="DZ72" s="763">
        <f t="shared" si="193"/>
      </c>
      <c r="EA72" s="763">
        <f t="shared" si="193"/>
      </c>
      <c r="EB72" s="116">
        <f t="shared" si="193"/>
      </c>
      <c r="EC72" s="763">
        <f t="shared" si="193"/>
      </c>
      <c r="ED72" s="763">
        <f t="shared" si="193"/>
      </c>
      <c r="EE72" s="763">
        <f t="shared" si="193"/>
      </c>
      <c r="EF72" s="763">
        <f t="shared" si="193"/>
      </c>
      <c r="EG72" s="116">
        <f t="shared" si="193"/>
      </c>
      <c r="EH72" s="763">
        <f t="shared" si="193"/>
      </c>
      <c r="EI72" s="763">
        <f t="shared" si="193"/>
      </c>
      <c r="EJ72" s="763">
        <f t="shared" si="193"/>
      </c>
      <c r="EK72" s="763">
        <f t="shared" si="193"/>
      </c>
      <c r="EL72" s="116">
        <f t="shared" si="193"/>
      </c>
      <c r="EM72" s="763">
        <f t="shared" si="193"/>
      </c>
      <c r="EN72" s="763">
        <f t="shared" si="193"/>
      </c>
      <c r="EO72" s="763">
        <f t="shared" ref="EO72:FT72" si="194">IFERROR(EO71/EJ71-1,"")</f>
      </c>
      <c r="EP72" s="763">
        <f t="shared" si="194"/>
      </c>
      <c r="EQ72" s="116">
        <f t="shared" si="194"/>
      </c>
      <c r="ER72" s="763">
        <f t="shared" si="194"/>
      </c>
      <c r="ES72" s="763">
        <f t="shared" si="194"/>
      </c>
      <c r="ET72" s="763">
        <f t="shared" si="194"/>
      </c>
      <c r="EU72" s="763">
        <f t="shared" si="194"/>
      </c>
      <c r="EV72" s="116">
        <f t="shared" si="194"/>
      </c>
      <c r="EW72" s="763">
        <f t="shared" si="194"/>
      </c>
      <c r="EX72" s="763">
        <f t="shared" si="194"/>
      </c>
      <c r="EY72" s="763">
        <f t="shared" si="194"/>
      </c>
      <c r="EZ72" s="763">
        <f t="shared" si="194"/>
      </c>
      <c r="FA72" s="116">
        <f t="shared" si="194"/>
      </c>
      <c r="FB72" s="763">
        <f t="shared" si="194"/>
      </c>
      <c r="FC72" s="763">
        <f t="shared" si="194"/>
      </c>
      <c r="FD72" s="763">
        <f t="shared" si="194"/>
      </c>
      <c r="FE72" s="763">
        <f t="shared" si="194"/>
      </c>
      <c r="FF72" s="116">
        <f t="shared" si="194"/>
      </c>
      <c r="FG72" s="763">
        <f t="shared" si="194"/>
      </c>
      <c r="FH72" s="763">
        <f t="shared" si="194"/>
      </c>
      <c r="FI72" s="763">
        <f t="shared" si="194"/>
      </c>
      <c r="FJ72" s="763">
        <f t="shared" si="194"/>
      </c>
      <c r="FK72" s="116">
        <f t="shared" si="194"/>
      </c>
      <c r="FL72" s="763">
        <f t="shared" si="194"/>
      </c>
      <c r="FM72" s="763">
        <f t="shared" si="194"/>
      </c>
      <c r="FN72" s="763">
        <f t="shared" si="194"/>
      </c>
      <c r="FO72" s="763">
        <f t="shared" si="194"/>
      </c>
      <c r="FP72" s="116">
        <f t="shared" si="194"/>
      </c>
      <c r="FQ72" s="763">
        <f t="shared" si="194"/>
      </c>
      <c r="FR72" s="763">
        <f t="shared" si="194"/>
      </c>
      <c r="FS72" s="763">
        <f t="shared" si="194"/>
      </c>
      <c r="FT72" s="763">
        <f t="shared" si="194"/>
      </c>
      <c r="FU72" s="116">
        <f t="shared" ref="FU72:GE72" si="195">IFERROR(FU71/FP71-1,"")</f>
      </c>
      <c r="FV72" s="763">
        <f t="shared" si="195"/>
      </c>
      <c r="FW72" s="763">
        <f t="shared" si="195"/>
      </c>
      <c r="FX72" s="763">
        <f t="shared" si="195"/>
      </c>
      <c r="FY72" s="763">
        <f t="shared" si="195"/>
      </c>
      <c r="FZ72" s="116">
        <f t="shared" si="195"/>
      </c>
      <c r="GA72" s="763">
        <f t="shared" si="195"/>
      </c>
      <c r="GB72" s="763">
        <f t="shared" si="195"/>
      </c>
      <c r="GC72" s="763">
        <f t="shared" si="195"/>
      </c>
      <c r="GD72" s="763">
        <f t="shared" si="195"/>
      </c>
      <c r="GE72" s="116">
        <f t="shared" si="195"/>
      </c>
      <c r="GF72" s="763">
        <f t="shared" ref="GF72" si="196">IFERROR(GF71/GA71-1,"")</f>
      </c>
      <c r="GG72" s="763">
        <f t="shared" ref="GG72" si="197">IFERROR(GG71/GB71-1,"")</f>
      </c>
      <c r="GH72" s="763">
        <f t="shared" ref="GH72" si="198">IFERROR(GH71/GC71-1,"")</f>
      </c>
      <c r="GI72" s="763">
        <f t="shared" ref="GI72" si="199">IFERROR(GI71/GD71-1,"")</f>
      </c>
      <c r="GJ72" s="116">
        <f t="shared" ref="GJ72" si="200">IFERROR(GJ71/GE71-1,"")</f>
      </c>
    </row>
    <row r="73" spans="1:192" s="265" customFormat="1" ht="12.75" hidden="1" customHeight="1" outlineLevel="1">
      <c r="A73" s="262" t="s">
        <v>318</v>
      </c>
      <c r="B73" s="782" t="s">
        <v>355</v>
      </c>
      <c r="C73" s="531">
        <f>IFERROR(C71/IS!C24,"--")</f>
      </c>
      <c r="D73" s="531">
        <f>IFERROR(D71/IS!D24,"--")</f>
      </c>
      <c r="E73" s="531">
        <f>IFERROR(E71/IS!E24,"--")</f>
      </c>
      <c r="F73" s="531">
        <f>IFERROR(F71/IS!F24,"--")</f>
      </c>
      <c r="G73" s="532">
        <f>IFERROR(G71/IS!G24,"--")</f>
      </c>
      <c r="H73" s="531">
        <f>IFERROR(H71/IS!H24,"--")</f>
      </c>
      <c r="I73" s="531">
        <f>IFERROR(I71/IS!I24,"--")</f>
      </c>
      <c r="J73" s="531">
        <f>IFERROR(J71/IS!J24,"--")</f>
      </c>
      <c r="K73" s="531">
        <f>IFERROR(K71/IS!K24,"--")</f>
      </c>
      <c r="L73" s="532">
        <f>IFERROR(L71/IS!L24,"--")</f>
      </c>
      <c r="M73" s="531">
        <f>IFERROR(M71/IS!M24,"--")</f>
      </c>
      <c r="N73" s="531">
        <f>IFERROR(N71/IS!N24,"--")</f>
      </c>
      <c r="O73" s="531">
        <f>IFERROR(O71/IS!O24,"--")</f>
      </c>
      <c r="P73" s="531">
        <f>IFERROR(P71/IS!P24,"--")</f>
      </c>
      <c r="Q73" s="532">
        <f>IFERROR(Q71/IS!Q24,"--")</f>
      </c>
      <c r="R73" s="531">
        <f>IFERROR(R71/IS!R24,"--")</f>
      </c>
      <c r="S73" s="531">
        <f>IFERROR(S71/IS!S24,"--")</f>
      </c>
      <c r="T73" s="531">
        <f>IFERROR(T71/IS!T24,"--")</f>
      </c>
      <c r="U73" s="531">
        <f>IFERROR(U71/IS!U24,"--")</f>
      </c>
      <c r="V73" s="532">
        <f>IFERROR(V71/IS!V24,"--")</f>
      </c>
      <c r="W73" s="531">
        <f>IFERROR(W71/IS!W24,"--")</f>
      </c>
      <c r="X73" s="531">
        <f>IFERROR(X71/IS!X24,"--")</f>
      </c>
      <c r="Y73" s="531">
        <f>IFERROR(Y71/IS!Y24,"--")</f>
      </c>
      <c r="Z73" s="531">
        <f>IFERROR(Z71/IS!Z24,"--")</f>
      </c>
      <c r="AA73" s="532">
        <f>IFERROR(AA71/IS!AA24,"--")</f>
      </c>
      <c r="AB73" s="531">
        <f>IFERROR(AB71/IS!AB24,"--")</f>
      </c>
      <c r="AC73" s="531">
        <f>IFERROR(AC71/IS!AC24,"--")</f>
      </c>
      <c r="AD73" s="531">
        <f>IFERROR(AD71/IS!AD24,"--")</f>
      </c>
      <c r="AE73" s="531">
        <f>IFERROR(AE71/IS!AE24,"--")</f>
      </c>
      <c r="AF73" s="532">
        <f>IFERROR(AF71/IS!AF24,"--")</f>
      </c>
      <c r="AG73" s="531">
        <f>IFERROR(AG71/IS!AG24,"--")</f>
      </c>
      <c r="AH73" s="531">
        <f>IFERROR(AH71/IS!AH24,"--")</f>
      </c>
      <c r="AI73" s="531">
        <f>IFERROR(AI71/IS!AI24,"--")</f>
      </c>
      <c r="AJ73" s="531">
        <f>IFERROR(AJ71/IS!AJ24,"--")</f>
      </c>
      <c r="AK73" s="532">
        <f>IFERROR(AK71/IS!AK24,"--")</f>
      </c>
      <c r="AL73" s="531">
        <f>IFERROR(AL71/IS!AL24,"--")</f>
      </c>
      <c r="AM73" s="531">
        <f>IFERROR(AM71/IS!AM24,"--")</f>
      </c>
      <c r="AN73" s="531">
        <f>IFERROR(AN71/IS!AN24,"--")</f>
      </c>
      <c r="AO73" s="531">
        <f>IFERROR(AO71/IS!AO24,"--")</f>
      </c>
      <c r="AP73" s="532">
        <f>IFERROR(AP71/IS!AP24,"--")</f>
      </c>
      <c r="AQ73" s="531">
        <f>IFERROR(AQ71/IS!AQ24,"--")</f>
      </c>
      <c r="AR73" s="531">
        <f>IFERROR(AR71/IS!AR24,"--")</f>
      </c>
      <c r="AS73" s="531">
        <f>IFERROR(AS71/IS!AS24,"--")</f>
      </c>
      <c r="AT73" s="531">
        <f>IFERROR(AT71/IS!AT24,"--")</f>
      </c>
      <c r="AU73" s="532">
        <f>IFERROR(AU71/IS!AU24,"--")</f>
      </c>
      <c r="AV73" s="531">
        <f>IFERROR(AV71/IS!AV24,"--")</f>
      </c>
      <c r="AW73" s="531">
        <f>IFERROR(AW71/IS!AW24,"--")</f>
      </c>
      <c r="AX73" s="531">
        <f>IFERROR(AX71/IS!AX24,"--")</f>
      </c>
      <c r="AY73" s="531">
        <f>IFERROR(AY71/IS!AY24,"--")</f>
      </c>
      <c r="AZ73" s="532">
        <f>IFERROR(AZ71/IS!AZ24,"--")</f>
      </c>
      <c r="BA73" s="531">
        <f>IFERROR(BA71/IS!BA24,"--")</f>
      </c>
      <c r="BB73" s="531">
        <f>IFERROR(BB71/IS!BB24,"--")</f>
      </c>
      <c r="BC73" s="531">
        <f>IFERROR(BC71/IS!BC24,"--")</f>
      </c>
      <c r="BD73" s="531">
        <f>IFERROR(BD71/IS!BD24,"--")</f>
      </c>
      <c r="BE73" s="532">
        <f>IFERROR(BE71/IS!BE24,"--")</f>
      </c>
      <c r="BF73" s="531">
        <f>IFERROR(BF71/IS!BF24,"--")</f>
      </c>
      <c r="BG73" s="531">
        <f>IFERROR(BG71/IS!BG24,"--")</f>
      </c>
      <c r="BH73" s="531">
        <f>IFERROR(BH71/IS!BH24,"--")</f>
      </c>
      <c r="BI73" s="531">
        <f>IFERROR(BI71/IS!BI24,"--")</f>
      </c>
      <c r="BJ73" s="532">
        <f>IFERROR(BJ71/IS!BJ24,"--")</f>
      </c>
      <c r="BK73" s="531">
        <f>IFERROR(BK71/IS!BK24,"--")</f>
      </c>
      <c r="BL73" s="531">
        <f>IFERROR(BL71/IS!BL24,"--")</f>
      </c>
      <c r="BM73" s="531">
        <f>IFERROR(BM71/IS!BM24,"--")</f>
      </c>
      <c r="BN73" s="531">
        <f>IFERROR(BN71/IS!BN24,"--")</f>
      </c>
      <c r="BO73" s="532">
        <f>IFERROR(BO71/IS!BO24,"--")</f>
      </c>
      <c r="BP73" s="531">
        <f>IFERROR(BP71/IS!BP24,"--")</f>
      </c>
      <c r="BQ73" s="531">
        <f>IFERROR(BQ71/IS!BQ24,"--")</f>
      </c>
      <c r="BR73" s="531">
        <f>IFERROR(BR71/IS!BR24,"--")</f>
      </c>
      <c r="BS73" s="531">
        <f>IFERROR(BS71/IS!BS24,"--")</f>
      </c>
      <c r="BT73" s="532">
        <f>IFERROR(BT71/IS!BT24,"--")</f>
      </c>
      <c r="BU73" s="531">
        <f>IFERROR(BU71/IS!BU24,"--")</f>
      </c>
      <c r="BV73" s="531">
        <f>IFERROR(BV71/IS!BV24,"--")</f>
      </c>
      <c r="BW73" s="531">
        <f>IFERROR(BW71/IS!BW24,"--")</f>
      </c>
      <c r="BX73" s="531">
        <f>IFERROR(BX71/IS!BX24,"--")</f>
      </c>
      <c r="BY73" s="532">
        <f>IFERROR(BY71/IS!BY24,"--")</f>
      </c>
      <c r="BZ73" s="531">
        <f>IFERROR(BZ71/IS!BZ24,"--")</f>
      </c>
      <c r="CA73" s="531">
        <f>IFERROR(CA71/IS!CA24,"--")</f>
      </c>
      <c r="CB73" s="531">
        <f>IFERROR(CB71/IS!CB24,"--")</f>
      </c>
      <c r="CC73" s="531">
        <f>IFERROR(CC71/IS!CC24,"--")</f>
      </c>
      <c r="CD73" s="532">
        <f>IFERROR(CD71/IS!CD24,"--")</f>
      </c>
      <c r="CE73" s="531">
        <f>IFERROR(CE71/IS!CE24,"--")</f>
      </c>
      <c r="CF73" s="531">
        <f>IFERROR(CF71/IS!CF24,"--")</f>
      </c>
      <c r="CG73" s="531">
        <f>IFERROR(CG71/IS!CG24,"--")</f>
      </c>
      <c r="CH73" s="531">
        <f>IFERROR(CH71/IS!CH24,"--")</f>
      </c>
      <c r="CI73" s="532">
        <f>IFERROR(CI71/IS!CI24,"--")</f>
      </c>
      <c r="CJ73" s="531">
        <f>IFERROR(CJ71/IS!CJ24,"--")</f>
      </c>
      <c r="CK73" s="531">
        <f>IFERROR(CK71/IS!CK24,"--")</f>
      </c>
      <c r="CL73" s="531">
        <f>IFERROR(CL71/IS!CL24,"--")</f>
      </c>
      <c r="CM73" s="531">
        <f>IFERROR(CM71/IS!CM24,"--")</f>
      </c>
      <c r="CN73" s="532">
        <f>IFERROR(CN71/IS!CN24,"--")</f>
      </c>
      <c r="CO73" s="531">
        <f>IFERROR(CO71/IS!CO24,"--")</f>
      </c>
      <c r="CP73" s="531">
        <f>IFERROR(CP71/IS!CP24,"--")</f>
      </c>
      <c r="CQ73" s="531">
        <f>IFERROR(CQ71/IS!CQ24,"--")</f>
      </c>
      <c r="CR73" s="531">
        <f>IFERROR(CR71/IS!CR24,"--")</f>
      </c>
      <c r="CS73" s="532">
        <f>IFERROR(CS71/IS!CS24,"--")</f>
      </c>
      <c r="CT73" s="531">
        <f>IFERROR(CT71/IS!CT24,"--")</f>
      </c>
      <c r="CU73" s="531">
        <f>IFERROR(CU71/IS!CU24,"--")</f>
      </c>
      <c r="CV73" s="531">
        <f>IFERROR(CV71/IS!CV24,"--")</f>
      </c>
      <c r="CW73" s="531">
        <f>IFERROR(CW71/IS!CW24,"--")</f>
      </c>
      <c r="CX73" s="532">
        <f>IFERROR(CX71/IS!CX24,"--")</f>
      </c>
      <c r="CY73" s="531">
        <f>IFERROR(CY71/IS!CY24,"--")</f>
      </c>
      <c r="CZ73" s="531">
        <f>IFERROR(CZ71/IS!CZ24,"--")</f>
      </c>
      <c r="DA73" s="531">
        <f>IFERROR(DA71/IS!DA24,"--")</f>
      </c>
      <c r="DB73" s="531">
        <f>IFERROR(DB71/IS!DB24,"--")</f>
      </c>
      <c r="DC73" s="532">
        <f>IFERROR(DC71/IS!DC24,"--")</f>
      </c>
      <c r="DD73" s="531">
        <f>IFERROR(DD71/IS!DD24,"--")</f>
      </c>
      <c r="DE73" s="531">
        <f>IFERROR(DE71/IS!DE24,"--")</f>
      </c>
      <c r="DF73" s="531">
        <f>IFERROR(DF71/IS!DF24,"--")</f>
      </c>
      <c r="DG73" s="531">
        <f>IFERROR(DG71/IS!DG24,"--")</f>
      </c>
      <c r="DH73" s="532">
        <f>IFERROR(DH71/IS!DH24,"--")</f>
      </c>
      <c r="DI73" s="531">
        <f>IFERROR(DI71/IS!DI24,"--")</f>
      </c>
      <c r="DJ73" s="531">
        <f>IFERROR(DJ71/IS!DJ24,"--")</f>
      </c>
      <c r="DK73" s="531">
        <f>IFERROR(DK71/IS!DK24,"--")</f>
      </c>
      <c r="DL73" s="531">
        <f>IFERROR(DL71/IS!DL24,"--")</f>
      </c>
      <c r="DM73" s="532">
        <f>IFERROR(DM71/IS!DM24,"--")</f>
      </c>
      <c r="DN73" s="531">
        <f>IFERROR(DN71/IS!DN24,"--")</f>
      </c>
      <c r="DO73" s="531">
        <f>IFERROR(DO71/IS!DO24,"--")</f>
      </c>
      <c r="DP73" s="531">
        <f>IFERROR(DP71/IS!DP24,"--")</f>
      </c>
      <c r="DQ73" s="531">
        <f>IFERROR(DQ71/IS!DQ24,"--")</f>
      </c>
      <c r="DR73" s="532">
        <f>IFERROR(DR71/IS!DR24,"--")</f>
      </c>
      <c r="DS73" s="531">
        <f>IFERROR(DS71/IS!DS24,"--")</f>
      </c>
      <c r="DT73" s="531">
        <f>IFERROR(DT71/IS!DT24,"--")</f>
      </c>
      <c r="DU73" s="531">
        <f>IFERROR(DU71/IS!DU24,"--")</f>
      </c>
      <c r="DV73" s="531">
        <f>IFERROR(DV71/IS!DV24,"--")</f>
      </c>
      <c r="DW73" s="532">
        <f>IFERROR(DW71/IS!DW24,"--")</f>
      </c>
      <c r="DX73" s="531">
        <f>IFERROR(DX71/IS!DX24,"--")</f>
      </c>
      <c r="DY73" s="531">
        <f>IFERROR(DY71/IS!DY24,"--")</f>
      </c>
      <c r="DZ73" s="531">
        <f>IFERROR(DZ71/IS!DZ24,"--")</f>
      </c>
      <c r="EA73" s="531">
        <f>IFERROR(EA71/IS!EA24,"--")</f>
      </c>
      <c r="EB73" s="532">
        <f>IFERROR(EB71/IS!EB24,"--")</f>
      </c>
      <c r="EC73" s="531">
        <f>IFERROR(EC71/IS!EC24,"--")</f>
      </c>
      <c r="ED73" s="531">
        <f>IFERROR(ED71/IS!ED24,"--")</f>
      </c>
      <c r="EE73" s="531">
        <f>IFERROR(EE71/IS!EE24,"--")</f>
      </c>
      <c r="EF73" s="531">
        <f>IFERROR(EF71/IS!EF24,"--")</f>
      </c>
      <c r="EG73" s="532">
        <f>IFERROR(EG71/IS!EG24,"--")</f>
      </c>
      <c r="EH73" s="531">
        <f>IFERROR(EH71/IS!EH24,"--")</f>
      </c>
      <c r="EI73" s="531">
        <f>IFERROR(EI71/IS!EI24,"--")</f>
      </c>
      <c r="EJ73" s="531">
        <f>IFERROR(EJ71/IS!EJ24,"--")</f>
      </c>
      <c r="EK73" s="531">
        <f>IFERROR(EK71/IS!EK24,"--")</f>
      </c>
      <c r="EL73" s="532">
        <f>IFERROR(EL71/IS!EL24,"--")</f>
      </c>
      <c r="EM73" s="531">
        <f>IFERROR(EM71/IS!EM24,"--")</f>
      </c>
      <c r="EN73" s="531">
        <f>IFERROR(EN71/IS!EN24,"--")</f>
      </c>
      <c r="EO73" s="531">
        <f>IFERROR(EO71/IS!EO24,"--")</f>
      </c>
      <c r="EP73" s="531">
        <f>IFERROR(EP71/IS!EP24,"--")</f>
      </c>
      <c r="EQ73" s="532">
        <f>IFERROR(EQ71/IS!EQ24,"--")</f>
      </c>
      <c r="ER73" s="531">
        <f>IFERROR(ER71/IS!ER24,"--")</f>
      </c>
      <c r="ES73" s="531">
        <f>IFERROR(ES71/IS!ES24,"--")</f>
      </c>
      <c r="ET73" s="531">
        <f>IFERROR(ET71/IS!ET24,"--")</f>
      </c>
      <c r="EU73" s="531">
        <f>IFERROR(EU71/IS!EU24,"--")</f>
      </c>
      <c r="EV73" s="532">
        <f>IFERROR(EV71/IS!EV24,"--")</f>
      </c>
      <c r="EW73" s="531">
        <f>IFERROR(EW71/IS!EW24,"--")</f>
      </c>
      <c r="EX73" s="531">
        <f>IFERROR(EX71/IS!EX24,"--")</f>
      </c>
      <c r="EY73" s="263">
        <f>IFERROR(EY71/IS!EY24,"--")</f>
      </c>
      <c r="EZ73" s="531">
        <f>IFERROR(EZ71/IS!EZ24,"--")</f>
      </c>
      <c r="FA73" s="532">
        <f>IFERROR(FA71/IS!FA24,"--")</f>
      </c>
      <c r="FB73" s="263">
        <f>IFERROR(FB71/IS!FB24,"--")</f>
      </c>
      <c r="FC73" s="263">
        <f>IFERROR(FC71/IS!FC24,"--")</f>
      </c>
      <c r="FD73" s="263">
        <f>IFERROR(FD71/IS!FD24,"--")</f>
      </c>
      <c r="FE73" s="263">
        <f>IFERROR(FE71/IS!FE24,"--")</f>
      </c>
      <c r="FF73" s="264">
        <f>IFERROR(FF71/IS!FF24,"--")</f>
      </c>
      <c r="FG73" s="263">
        <f>IFERROR(FG71/IS!FG24,"--")</f>
      </c>
      <c r="FH73" s="263">
        <f>IFERROR(FH71/IS!FH24,"--")</f>
      </c>
      <c r="FI73" s="263">
        <f>IFERROR(FI71/IS!FI24,"--")</f>
      </c>
      <c r="FJ73" s="263">
        <f>IFERROR(FJ71/IS!FJ24,"--")</f>
      </c>
      <c r="FK73" s="264">
        <f>IFERROR(FK71/IS!FK24,"--")</f>
      </c>
      <c r="FL73" s="263">
        <f>IFERROR(FL71/IS!FL24,"--")</f>
      </c>
      <c r="FM73" s="263">
        <f>IFERROR(FM71/IS!FM24,"--")</f>
      </c>
      <c r="FN73" s="263">
        <f>IFERROR(FN71/IS!FN24,"--")</f>
      </c>
      <c r="FO73" s="263">
        <f>IFERROR(FO71/IS!FO24,"--")</f>
      </c>
      <c r="FP73" s="264">
        <f>IFERROR(FP71/IS!FP24,"--")</f>
      </c>
      <c r="FQ73" s="263">
        <f>IFERROR(FQ71/IS!FQ24,"--")</f>
      </c>
      <c r="FR73" s="263">
        <f>IFERROR(FR71/IS!FR24,"--")</f>
      </c>
      <c r="FS73" s="263">
        <f>IFERROR(FS71/IS!FS24,"--")</f>
      </c>
      <c r="FT73" s="263">
        <f>IFERROR(FT71/IS!FT24,"--")</f>
      </c>
      <c r="FU73" s="264">
        <f>IFERROR(FU71/IS!FU24,"--")</f>
      </c>
      <c r="FV73" s="263">
        <f>IFERROR(FV71/IS!FV24,"--")</f>
      </c>
      <c r="FW73" s="263">
        <f>IFERROR(FW71/IS!FW24,"--")</f>
      </c>
      <c r="FX73" s="263">
        <f>IFERROR(FX71/IS!FX24,"--")</f>
      </c>
      <c r="FY73" s="263">
        <f>IFERROR(FY71/IS!FY24,"--")</f>
      </c>
      <c r="FZ73" s="264">
        <f>IFERROR(FZ71/IS!FZ24,"--")</f>
      </c>
      <c r="GA73" s="263">
        <f>IFERROR(GA71/IS!GA24,"--")</f>
      </c>
      <c r="GB73" s="263">
        <f>IFERROR(GB71/IS!GB24,"--")</f>
      </c>
      <c r="GC73" s="263">
        <f>IFERROR(GC71/IS!GC24,"--")</f>
      </c>
      <c r="GD73" s="263">
        <f>IFERROR(GD71/IS!GD24,"--")</f>
      </c>
      <c r="GE73" s="264">
        <f>IFERROR(GE71/IS!GE24,"--")</f>
      </c>
      <c r="GF73" s="263">
        <f>IFERROR(GF71/IS!GF24,"--")</f>
      </c>
      <c r="GG73" s="263">
        <f>IFERROR(GG71/IS!GG24,"--")</f>
      </c>
      <c r="GH73" s="263">
        <f>IFERROR(GH71/IS!GH24,"--")</f>
      </c>
      <c r="GI73" s="263">
        <f>IFERROR(GI71/IS!GI24,"--")</f>
      </c>
      <c r="GJ73" s="264">
        <f>IFERROR(GJ71/IS!GJ24,"--")</f>
      </c>
    </row>
    <row r="74" spans="1:192" s="265" customFormat="1" ht="12.75" hidden="1" customHeight="1" outlineLevel="1">
      <c r="A74" s="262"/>
      <c r="B74" s="782" t="s">
        <v>1930</v>
      </c>
      <c r="C74" s="531"/>
      <c r="D74" s="531"/>
      <c r="E74" s="531"/>
      <c r="F74" s="531"/>
      <c r="G74" s="532"/>
      <c r="H74" s="531"/>
      <c r="I74" s="531"/>
      <c r="J74" s="531"/>
      <c r="K74" s="531"/>
      <c r="L74" s="1475">
        <f t="shared" ref="L74:AQ74" si="201">L71-G71</f>
      </c>
      <c r="M74" s="1476">
        <f t="shared" si="201"/>
      </c>
      <c r="N74" s="1476">
        <f t="shared" si="201"/>
      </c>
      <c r="O74" s="1476">
        <f t="shared" si="201"/>
      </c>
      <c r="P74" s="1476">
        <f t="shared" si="201"/>
      </c>
      <c r="Q74" s="1475">
        <f t="shared" si="201"/>
      </c>
      <c r="R74" s="1476">
        <f t="shared" si="201"/>
      </c>
      <c r="S74" s="1476">
        <f t="shared" si="201"/>
      </c>
      <c r="T74" s="1476">
        <f t="shared" si="201"/>
      </c>
      <c r="U74" s="1476">
        <f t="shared" si="201"/>
      </c>
      <c r="V74" s="1475">
        <f t="shared" si="201"/>
      </c>
      <c r="W74" s="1476">
        <f t="shared" si="201"/>
      </c>
      <c r="X74" s="1476">
        <f t="shared" si="201"/>
      </c>
      <c r="Y74" s="1476">
        <f t="shared" si="201"/>
      </c>
      <c r="Z74" s="1476">
        <f t="shared" si="201"/>
      </c>
      <c r="AA74" s="1475">
        <f t="shared" si="201"/>
      </c>
      <c r="AB74" s="1476">
        <f t="shared" si="201"/>
      </c>
      <c r="AC74" s="1476">
        <f t="shared" si="201"/>
      </c>
      <c r="AD74" s="1476">
        <f t="shared" si="201"/>
      </c>
      <c r="AE74" s="1476">
        <f t="shared" si="201"/>
      </c>
      <c r="AF74" s="1475">
        <f t="shared" si="201"/>
      </c>
      <c r="AG74" s="1476">
        <f t="shared" si="201"/>
      </c>
      <c r="AH74" s="1476">
        <f t="shared" si="201"/>
      </c>
      <c r="AI74" s="1476">
        <f t="shared" si="201"/>
      </c>
      <c r="AJ74" s="1476">
        <f t="shared" si="201"/>
      </c>
      <c r="AK74" s="1475">
        <f t="shared" si="201"/>
      </c>
      <c r="AL74" s="1476">
        <f t="shared" si="201"/>
      </c>
      <c r="AM74" s="1476">
        <f t="shared" si="201"/>
      </c>
      <c r="AN74" s="1476">
        <f t="shared" si="201"/>
      </c>
      <c r="AO74" s="1476">
        <f t="shared" si="201"/>
      </c>
      <c r="AP74" s="1475">
        <f t="shared" si="201"/>
      </c>
      <c r="AQ74" s="1476">
        <f t="shared" si="201"/>
      </c>
      <c r="AR74" s="1476">
        <f t="shared" ref="AR74:BW74" si="202">AR71-AM71</f>
      </c>
      <c r="AS74" s="1476">
        <f t="shared" si="202"/>
      </c>
      <c r="AT74" s="1476">
        <f t="shared" si="202"/>
      </c>
      <c r="AU74" s="1475">
        <f t="shared" si="202"/>
      </c>
      <c r="AV74" s="1476">
        <f t="shared" si="202"/>
      </c>
      <c r="AW74" s="1476">
        <f t="shared" si="202"/>
      </c>
      <c r="AX74" s="1476">
        <f t="shared" si="202"/>
      </c>
      <c r="AY74" s="1476">
        <f t="shared" si="202"/>
      </c>
      <c r="AZ74" s="1475">
        <f t="shared" si="202"/>
      </c>
      <c r="BA74" s="1476">
        <f t="shared" si="202"/>
      </c>
      <c r="BB74" s="1476">
        <f t="shared" si="202"/>
      </c>
      <c r="BC74" s="1476">
        <f t="shared" si="202"/>
      </c>
      <c r="BD74" s="1476">
        <f t="shared" si="202"/>
      </c>
      <c r="BE74" s="1475">
        <f t="shared" si="202"/>
      </c>
      <c r="BF74" s="1476">
        <f t="shared" si="202"/>
      </c>
      <c r="BG74" s="1476">
        <f t="shared" si="202"/>
      </c>
      <c r="BH74" s="1476">
        <f t="shared" si="202"/>
      </c>
      <c r="BI74" s="1476">
        <f t="shared" si="202"/>
      </c>
      <c r="BJ74" s="1475">
        <f t="shared" si="202"/>
      </c>
      <c r="BK74" s="1476">
        <f t="shared" si="202"/>
      </c>
      <c r="BL74" s="1476">
        <f t="shared" si="202"/>
      </c>
      <c r="BM74" s="1476">
        <f t="shared" si="202"/>
      </c>
      <c r="BN74" s="1476">
        <f t="shared" si="202"/>
      </c>
      <c r="BO74" s="1475">
        <f t="shared" si="202"/>
      </c>
      <c r="BP74" s="1476">
        <f t="shared" si="202"/>
      </c>
      <c r="BQ74" s="1476">
        <f t="shared" si="202"/>
      </c>
      <c r="BR74" s="1476">
        <f t="shared" si="202"/>
      </c>
      <c r="BS74" s="1476">
        <f t="shared" si="202"/>
      </c>
      <c r="BT74" s="1475">
        <f t="shared" si="202"/>
      </c>
      <c r="BU74" s="1476">
        <f t="shared" si="202"/>
      </c>
      <c r="BV74" s="1476">
        <f t="shared" si="202"/>
      </c>
      <c r="BW74" s="1476">
        <f t="shared" si="202"/>
      </c>
      <c r="BX74" s="1476">
        <f t="shared" ref="BX74:DC74" si="203">BX71-BS71</f>
      </c>
      <c r="BY74" s="1475">
        <f t="shared" si="203"/>
      </c>
      <c r="BZ74" s="1476">
        <f t="shared" si="203"/>
      </c>
      <c r="CA74" s="1476">
        <f t="shared" si="203"/>
      </c>
      <c r="CB74" s="1476">
        <f t="shared" si="203"/>
      </c>
      <c r="CC74" s="1476">
        <f t="shared" si="203"/>
      </c>
      <c r="CD74" s="1475">
        <f t="shared" si="203"/>
      </c>
      <c r="CE74" s="1476">
        <f t="shared" si="203"/>
      </c>
      <c r="CF74" s="1476">
        <f t="shared" si="203"/>
      </c>
      <c r="CG74" s="1476">
        <f t="shared" si="203"/>
      </c>
      <c r="CH74" s="1476">
        <f t="shared" si="203"/>
      </c>
      <c r="CI74" s="1475">
        <f t="shared" si="203"/>
      </c>
      <c r="CJ74" s="1476">
        <f t="shared" si="203"/>
      </c>
      <c r="CK74" s="1476">
        <f t="shared" si="203"/>
      </c>
      <c r="CL74" s="1476">
        <f t="shared" si="203"/>
      </c>
      <c r="CM74" s="1476">
        <f t="shared" si="203"/>
      </c>
      <c r="CN74" s="1475">
        <f t="shared" si="203"/>
      </c>
      <c r="CO74" s="1476">
        <f t="shared" si="203"/>
      </c>
      <c r="CP74" s="1476">
        <f t="shared" si="203"/>
      </c>
      <c r="CQ74" s="1476">
        <f t="shared" si="203"/>
      </c>
      <c r="CR74" s="1476">
        <f t="shared" si="203"/>
      </c>
      <c r="CS74" s="1475">
        <f t="shared" si="203"/>
      </c>
      <c r="CT74" s="1476">
        <f t="shared" si="203"/>
      </c>
      <c r="CU74" s="1476">
        <f t="shared" si="203"/>
      </c>
      <c r="CV74" s="1476">
        <f t="shared" si="203"/>
      </c>
      <c r="CW74" s="1476">
        <f t="shared" si="203"/>
      </c>
      <c r="CX74" s="1475">
        <f t="shared" si="203"/>
      </c>
      <c r="CY74" s="1476">
        <f t="shared" si="203"/>
      </c>
      <c r="CZ74" s="1476">
        <f t="shared" si="203"/>
      </c>
      <c r="DA74" s="1476">
        <f t="shared" si="203"/>
      </c>
      <c r="DB74" s="1476">
        <f t="shared" si="203"/>
      </c>
      <c r="DC74" s="1475">
        <f t="shared" si="203"/>
      </c>
      <c r="DD74" s="1476">
        <f t="shared" ref="DD74:EI74" si="204">DD71-CY71</f>
      </c>
      <c r="DE74" s="1476">
        <f t="shared" si="204"/>
      </c>
      <c r="DF74" s="1476">
        <f t="shared" si="204"/>
      </c>
      <c r="DG74" s="1476">
        <f t="shared" si="204"/>
      </c>
      <c r="DH74" s="1475">
        <f t="shared" si="204"/>
      </c>
      <c r="DI74" s="1476">
        <f t="shared" si="204"/>
      </c>
      <c r="DJ74" s="1476">
        <f t="shared" si="204"/>
      </c>
      <c r="DK74" s="1476">
        <f t="shared" si="204"/>
      </c>
      <c r="DL74" s="1476">
        <f t="shared" si="204"/>
      </c>
      <c r="DM74" s="1475">
        <f t="shared" si="204"/>
      </c>
      <c r="DN74" s="1476">
        <f t="shared" si="204"/>
      </c>
      <c r="DO74" s="1476">
        <f t="shared" si="204"/>
      </c>
      <c r="DP74" s="1476">
        <f t="shared" si="204"/>
      </c>
      <c r="DQ74" s="1476">
        <f t="shared" si="204"/>
      </c>
      <c r="DR74" s="1475">
        <f t="shared" si="204"/>
      </c>
      <c r="DS74" s="1476">
        <f t="shared" si="204"/>
      </c>
      <c r="DT74" s="1476">
        <f t="shared" si="204"/>
      </c>
      <c r="DU74" s="1476">
        <f t="shared" si="204"/>
      </c>
      <c r="DV74" s="1476">
        <f t="shared" si="204"/>
      </c>
      <c r="DW74" s="1475">
        <f t="shared" si="204"/>
      </c>
      <c r="DX74" s="1476">
        <f t="shared" si="204"/>
      </c>
      <c r="DY74" s="1476">
        <f t="shared" si="204"/>
      </c>
      <c r="DZ74" s="1476">
        <f t="shared" si="204"/>
      </c>
      <c r="EA74" s="1476">
        <f t="shared" si="204"/>
      </c>
      <c r="EB74" s="1475">
        <f t="shared" si="204"/>
      </c>
      <c r="EC74" s="1476">
        <f t="shared" si="204"/>
      </c>
      <c r="ED74" s="1476">
        <f t="shared" si="204"/>
      </c>
      <c r="EE74" s="1476">
        <f t="shared" si="204"/>
      </c>
      <c r="EF74" s="1476">
        <f t="shared" si="204"/>
      </c>
      <c r="EG74" s="1475">
        <f t="shared" si="204"/>
      </c>
      <c r="EH74" s="1476">
        <f t="shared" si="204"/>
      </c>
      <c r="EI74" s="1476">
        <f t="shared" si="204"/>
      </c>
      <c r="EJ74" s="1476">
        <f t="shared" ref="EJ74:FO74" si="205">EJ71-EE71</f>
      </c>
      <c r="EK74" s="1476">
        <f t="shared" si="205"/>
      </c>
      <c r="EL74" s="1475">
        <f t="shared" si="205"/>
      </c>
      <c r="EM74" s="1476">
        <f t="shared" si="205"/>
      </c>
      <c r="EN74" s="1476">
        <f t="shared" si="205"/>
      </c>
      <c r="EO74" s="1476">
        <f t="shared" si="205"/>
      </c>
      <c r="EP74" s="1476">
        <f t="shared" si="205"/>
      </c>
      <c r="EQ74" s="1475">
        <f t="shared" si="205"/>
      </c>
      <c r="ER74" s="1476">
        <f t="shared" si="205"/>
      </c>
      <c r="ES74" s="1476">
        <f t="shared" si="205"/>
      </c>
      <c r="ET74" s="1476">
        <f t="shared" si="205"/>
      </c>
      <c r="EU74" s="1476">
        <f t="shared" si="205"/>
      </c>
      <c r="EV74" s="1475">
        <f t="shared" si="205"/>
      </c>
      <c r="EW74" s="1476">
        <f t="shared" si="205"/>
      </c>
      <c r="EX74" s="1476">
        <f t="shared" si="205"/>
      </c>
      <c r="EY74" s="1477">
        <f t="shared" si="205"/>
      </c>
      <c r="EZ74" s="1476">
        <f t="shared" si="205"/>
      </c>
      <c r="FA74" s="1475">
        <f t="shared" si="205"/>
      </c>
      <c r="FB74" s="1477">
        <f t="shared" si="205"/>
      </c>
      <c r="FC74" s="1477">
        <f t="shared" si="205"/>
      </c>
      <c r="FD74" s="1477">
        <f t="shared" si="205"/>
      </c>
      <c r="FE74" s="1477">
        <f t="shared" si="205"/>
      </c>
      <c r="FF74" s="1478">
        <f t="shared" si="205"/>
      </c>
      <c r="FG74" s="1477">
        <f t="shared" si="205"/>
      </c>
      <c r="FH74" s="1477">
        <f t="shared" si="205"/>
      </c>
      <c r="FI74" s="1477">
        <f t="shared" si="205"/>
      </c>
      <c r="FJ74" s="1477">
        <f t="shared" si="205"/>
      </c>
      <c r="FK74" s="1478">
        <f t="shared" si="205"/>
      </c>
      <c r="FL74" s="1477">
        <f t="shared" si="205"/>
      </c>
      <c r="FM74" s="1477">
        <f t="shared" si="205"/>
      </c>
      <c r="FN74" s="1477">
        <f t="shared" si="205"/>
      </c>
      <c r="FO74" s="1477">
        <f t="shared" si="205"/>
      </c>
      <c r="FP74" s="1478">
        <f t="shared" ref="FP74:GE74" si="206">FP71-FK71</f>
      </c>
      <c r="FQ74" s="1477">
        <f t="shared" si="206"/>
      </c>
      <c r="FR74" s="1477">
        <f t="shared" si="206"/>
      </c>
      <c r="FS74" s="1477">
        <f t="shared" si="206"/>
      </c>
      <c r="FT74" s="1477">
        <f t="shared" si="206"/>
      </c>
      <c r="FU74" s="1478">
        <f t="shared" si="206"/>
      </c>
      <c r="FV74" s="1477">
        <f t="shared" si="206"/>
      </c>
      <c r="FW74" s="1477">
        <f t="shared" si="206"/>
      </c>
      <c r="FX74" s="1477">
        <f t="shared" si="206"/>
      </c>
      <c r="FY74" s="1477">
        <f t="shared" si="206"/>
      </c>
      <c r="FZ74" s="1478">
        <f t="shared" si="206"/>
      </c>
      <c r="GA74" s="1477">
        <f t="shared" si="206"/>
      </c>
      <c r="GB74" s="1477">
        <f t="shared" si="206"/>
      </c>
      <c r="GC74" s="1477">
        <f t="shared" si="206"/>
      </c>
      <c r="GD74" s="1477">
        <f t="shared" si="206"/>
      </c>
      <c r="GE74" s="1478">
        <f t="shared" si="206"/>
      </c>
      <c r="GF74" s="1477">
        <f t="shared" ref="GF74" si="207">GF71-GA71</f>
      </c>
      <c r="GG74" s="1477">
        <f t="shared" ref="GG74" si="208">GG71-GB71</f>
      </c>
      <c r="GH74" s="1477">
        <f t="shared" ref="GH74" si="209">GH71-GC71</f>
      </c>
      <c r="GI74" s="1477">
        <f t="shared" ref="GI74" si="210">GI71-GD71</f>
      </c>
      <c r="GJ74" s="1478">
        <f t="shared" ref="GJ74" si="211">GJ71-GE71</f>
      </c>
    </row>
    <row r="75" spans="1:192" s="265" customFormat="1" ht="12.75" hidden="1" customHeight="1" outlineLevel="1">
      <c r="A75" s="262"/>
      <c r="B75" s="782" t="s">
        <v>1931</v>
      </c>
      <c r="C75" s="531"/>
      <c r="D75" s="531"/>
      <c r="E75" s="531"/>
      <c r="F75" s="531"/>
      <c r="G75" s="532"/>
      <c r="H75" s="531"/>
      <c r="I75" s="531"/>
      <c r="J75" s="531"/>
      <c r="K75" s="531"/>
      <c r="L75" s="1479">
        <f>L74/IS!L28</f>
      </c>
      <c r="M75" s="1480">
        <f>M74/IS!M28</f>
      </c>
      <c r="N75" s="1480">
        <f>N74/IS!N28</f>
      </c>
      <c r="O75" s="1480">
        <f>O74/IS!O28</f>
      </c>
      <c r="P75" s="1480">
        <f>P74/IS!P28</f>
      </c>
      <c r="Q75" s="1479">
        <f>Q74/IS!Q28</f>
      </c>
      <c r="R75" s="1480">
        <f>R74/IS!R28</f>
      </c>
      <c r="S75" s="1480">
        <f>S74/IS!S28</f>
      </c>
      <c r="T75" s="1480">
        <f>T74/IS!T28</f>
      </c>
      <c r="U75" s="1480">
        <f>U74/IS!U28</f>
      </c>
      <c r="V75" s="1479">
        <f>V74/IS!V28</f>
      </c>
      <c r="W75" s="1480">
        <f>W74/IS!W28</f>
      </c>
      <c r="X75" s="1480">
        <f>X74/IS!X28</f>
      </c>
      <c r="Y75" s="1480">
        <f>Y74/IS!Y28</f>
      </c>
      <c r="Z75" s="1480">
        <f>Z74/IS!Z28</f>
      </c>
      <c r="AA75" s="1479">
        <f>AA74/IS!AA28</f>
      </c>
      <c r="AB75" s="1480">
        <f>AB74/IS!AB28</f>
      </c>
      <c r="AC75" s="1480">
        <f>AC74/IS!AC28</f>
      </c>
      <c r="AD75" s="1480">
        <f>AD74/IS!AD28</f>
      </c>
      <c r="AE75" s="1480">
        <f>AE74/IS!AE28</f>
      </c>
      <c r="AF75" s="1479">
        <f>AF74/IS!AF28</f>
      </c>
      <c r="AG75" s="1480">
        <f>AG74/IS!AG28</f>
      </c>
      <c r="AH75" s="1480">
        <f>AH74/IS!AH28</f>
      </c>
      <c r="AI75" s="1480">
        <f>AI74/IS!AI28</f>
      </c>
      <c r="AJ75" s="1480">
        <f>AJ74/IS!AJ28</f>
      </c>
      <c r="AK75" s="1479">
        <f>AK74/IS!AK28</f>
      </c>
      <c r="AL75" s="1480">
        <f>AL74/IS!AL28</f>
      </c>
      <c r="AM75" s="1480">
        <f>AM74/IS!AM28</f>
      </c>
      <c r="AN75" s="1480">
        <f>AN74/IS!AN28</f>
      </c>
      <c r="AO75" s="1480">
        <f>AO74/IS!AO28</f>
      </c>
      <c r="AP75" s="1479">
        <f>AP74/IS!AP28</f>
      </c>
      <c r="AQ75" s="1480">
        <f>AQ74/IS!AQ28</f>
      </c>
      <c r="AR75" s="1480">
        <f>AR74/IS!AR28</f>
      </c>
      <c r="AS75" s="1480">
        <f>AS74/IS!AS28</f>
      </c>
      <c r="AT75" s="1480">
        <f>AT74/IS!AT28</f>
      </c>
      <c r="AU75" s="1479">
        <f>AU74/IS!AU28</f>
      </c>
      <c r="AV75" s="1480">
        <f>AV74/IS!AV28</f>
      </c>
      <c r="AW75" s="1480">
        <f>AW74/IS!AW28</f>
      </c>
      <c r="AX75" s="1480">
        <f>AX74/IS!AX28</f>
      </c>
      <c r="AY75" s="1480">
        <f>AY74/IS!AY28</f>
      </c>
      <c r="AZ75" s="1479">
        <f>AZ74/IS!AZ28</f>
      </c>
      <c r="BA75" s="1480">
        <f>BA74/IS!BA28</f>
      </c>
      <c r="BB75" s="1480">
        <f>BB74/IS!BB28</f>
      </c>
      <c r="BC75" s="1480">
        <f>BC74/IS!BC28</f>
      </c>
      <c r="BD75" s="1480">
        <f>BD74/IS!BD28</f>
      </c>
      <c r="BE75" s="1479">
        <f>BE74/IS!BE28</f>
      </c>
      <c r="BF75" s="1480">
        <f>BF74/IS!BF28</f>
      </c>
      <c r="BG75" s="1480">
        <f>BG74/IS!BG28</f>
      </c>
      <c r="BH75" s="1480">
        <f>BH74/IS!BH28</f>
      </c>
      <c r="BI75" s="1480">
        <f>BI74/IS!BI28</f>
      </c>
      <c r="BJ75" s="1479">
        <f>BJ74/IS!BJ28</f>
      </c>
      <c r="BK75" s="1480">
        <f>BK74/IS!BK28</f>
      </c>
      <c r="BL75" s="1480">
        <f>BL74/IS!BL28</f>
      </c>
      <c r="BM75" s="1480">
        <f>BM74/IS!BM28</f>
      </c>
      <c r="BN75" s="1480">
        <f>BN74/IS!BN28</f>
      </c>
      <c r="BO75" s="1479">
        <f>BO74/IS!BO28</f>
      </c>
      <c r="BP75" s="1480">
        <f>BP74/IS!BP28</f>
      </c>
      <c r="BQ75" s="1480">
        <f>BQ74/IS!BQ28</f>
      </c>
      <c r="BR75" s="1480">
        <f>BR74/IS!BR28</f>
      </c>
      <c r="BS75" s="1480">
        <f>BS74/IS!BS28</f>
      </c>
      <c r="BT75" s="1479">
        <f>BT74/IS!BT28</f>
      </c>
      <c r="BU75" s="1480">
        <f>BU74/IS!BU28</f>
      </c>
      <c r="BV75" s="1480">
        <f>BV74/IS!BV28</f>
      </c>
      <c r="BW75" s="1480">
        <f>BW74/IS!BW28</f>
      </c>
      <c r="BX75" s="1480">
        <f>BX74/IS!BX28</f>
      </c>
      <c r="BY75" s="1479">
        <f>BY74/IS!BY28</f>
      </c>
      <c r="BZ75" s="1480">
        <f>BZ74/IS!BZ28</f>
      </c>
      <c r="CA75" s="1480">
        <f>CA74/IS!CA28</f>
      </c>
      <c r="CB75" s="1480">
        <f>CB74/IS!CB28</f>
      </c>
      <c r="CC75" s="1480">
        <f>CC74/IS!CC28</f>
      </c>
      <c r="CD75" s="1479">
        <f>CD74/IS!CD28</f>
      </c>
      <c r="CE75" s="1480">
        <f>CE74/IS!CE28</f>
      </c>
      <c r="CF75" s="1480">
        <f>CF74/IS!CF28</f>
      </c>
      <c r="CG75" s="1480">
        <f>CG74/IS!CG28</f>
      </c>
      <c r="CH75" s="1480">
        <f>CH74/IS!CH28</f>
      </c>
      <c r="CI75" s="1479">
        <f>CI74/IS!CI28</f>
      </c>
      <c r="CJ75" s="1480">
        <f>CJ74/IS!CJ28</f>
      </c>
      <c r="CK75" s="1480">
        <f>CK74/IS!CK28</f>
      </c>
      <c r="CL75" s="1480">
        <f>CL74/IS!CL28</f>
      </c>
      <c r="CM75" s="1480">
        <f>CM74/IS!CM28</f>
      </c>
      <c r="CN75" s="1479">
        <f>CN74/IS!CN28</f>
      </c>
      <c r="CO75" s="1480">
        <f>CO74/IS!CO28</f>
      </c>
      <c r="CP75" s="1480">
        <f>CP74/IS!CP28</f>
      </c>
      <c r="CQ75" s="1480">
        <f>CQ74/IS!CQ28</f>
      </c>
      <c r="CR75" s="1480">
        <f>CR74/IS!CR28</f>
      </c>
      <c r="CS75" s="1479">
        <f>CS74/IS!CS28</f>
      </c>
      <c r="CT75" s="1480">
        <f>CT74/IS!CT28</f>
      </c>
      <c r="CU75" s="1480">
        <f>CU74/IS!CU28</f>
      </c>
      <c r="CV75" s="1480">
        <f>CV74/IS!CV28</f>
      </c>
      <c r="CW75" s="1480">
        <f>CW74/IS!CW28</f>
      </c>
      <c r="CX75" s="1479">
        <f>CX74/IS!CX28</f>
      </c>
      <c r="CY75" s="1480">
        <f>CY74/IS!CY28</f>
      </c>
      <c r="CZ75" s="1480">
        <f>CZ74/IS!CZ28</f>
      </c>
      <c r="DA75" s="1480">
        <f>DA74/IS!DA28</f>
      </c>
      <c r="DB75" s="1480">
        <f>DB74/IS!DB28</f>
      </c>
      <c r="DC75" s="1479">
        <f>DC74/IS!DC28</f>
      </c>
      <c r="DD75" s="1480">
        <f>DD74/IS!DD28</f>
      </c>
      <c r="DE75" s="1480">
        <f>DE74/IS!DE28</f>
      </c>
      <c r="DF75" s="1480">
        <f>DF74/IS!DF28</f>
      </c>
      <c r="DG75" s="1480">
        <f>DG74/IS!DG28</f>
      </c>
      <c r="DH75" s="1479">
        <f>DH74/IS!DH28</f>
      </c>
      <c r="DI75" s="1480">
        <f>DI74/IS!DI28</f>
      </c>
      <c r="DJ75" s="1480">
        <f>DJ74/IS!DJ28</f>
      </c>
      <c r="DK75" s="1480">
        <f>DK74/IS!DK28</f>
      </c>
      <c r="DL75" s="1480">
        <f>DL74/IS!DL28</f>
      </c>
      <c r="DM75" s="1479">
        <f>DM74/IS!DM28</f>
      </c>
      <c r="DN75" s="1480">
        <f>DN74/IS!DN28</f>
      </c>
      <c r="DO75" s="1480">
        <f>DO74/IS!DO28</f>
      </c>
      <c r="DP75" s="1480">
        <f>DP74/IS!DP28</f>
      </c>
      <c r="DQ75" s="1480">
        <f>DQ74/IS!DQ28</f>
      </c>
      <c r="DR75" s="1479">
        <f>DR74/IS!DR28</f>
      </c>
      <c r="DS75" s="1480">
        <f>DS74/IS!DS28</f>
      </c>
      <c r="DT75" s="1480">
        <f>DT74/IS!DT28</f>
      </c>
      <c r="DU75" s="1480">
        <f>DU74/IS!DU28</f>
      </c>
      <c r="DV75" s="1480">
        <f>DV74/IS!DV28</f>
      </c>
      <c r="DW75" s="1479">
        <f>DW74/IS!DW28</f>
      </c>
      <c r="DX75" s="1480">
        <f>DX74/IS!DX28</f>
      </c>
      <c r="DY75" s="1480">
        <f>DY74/IS!DY28</f>
      </c>
      <c r="DZ75" s="1480">
        <f>DZ74/IS!DZ28</f>
      </c>
      <c r="EA75" s="1480">
        <f>EA74/IS!EA28</f>
      </c>
      <c r="EB75" s="1479">
        <f>EB74/IS!EB28</f>
      </c>
      <c r="EC75" s="1480">
        <f>EC74/IS!EC28</f>
      </c>
      <c r="ED75" s="1480">
        <f>ED74/IS!ED28</f>
      </c>
      <c r="EE75" s="1480">
        <f>EE74/IS!EE28</f>
      </c>
      <c r="EF75" s="1480">
        <f>EF74/IS!EF28</f>
      </c>
      <c r="EG75" s="1479">
        <f>EG74/IS!EG28</f>
      </c>
      <c r="EH75" s="1480">
        <f>EH74/IS!EH28</f>
      </c>
      <c r="EI75" s="1480">
        <f>EI74/IS!EI28</f>
      </c>
      <c r="EJ75" s="1480">
        <f>EJ74/IS!EJ28</f>
      </c>
      <c r="EK75" s="1480">
        <f>EK74/IS!EK28</f>
      </c>
      <c r="EL75" s="1479">
        <f>EL74/IS!EL28</f>
      </c>
      <c r="EM75" s="1480">
        <f>EM74/IS!EM28</f>
      </c>
      <c r="EN75" s="1480">
        <f>EN74/IS!EN28</f>
      </c>
      <c r="EO75" s="1480">
        <f>EO74/IS!EO28</f>
      </c>
      <c r="EP75" s="1480">
        <f>EP74/IS!EP28</f>
      </c>
      <c r="EQ75" s="1479">
        <f>EQ74/IS!EQ28</f>
      </c>
      <c r="ER75" s="1480">
        <f>ER74/IS!ER28</f>
      </c>
      <c r="ES75" s="1480">
        <f>ES74/IS!ES28</f>
      </c>
      <c r="ET75" s="1480">
        <f>ET74/IS!ET28</f>
      </c>
      <c r="EU75" s="1480">
        <f>EU74/IS!EU28</f>
      </c>
      <c r="EV75" s="1479">
        <f>EV74/IS!EV28</f>
      </c>
      <c r="EW75" s="1480">
        <f>EW74/IS!EW28</f>
      </c>
      <c r="EX75" s="1480">
        <f>EX74/IS!EX28</f>
      </c>
      <c r="EY75" s="1481">
        <f>EY74/IS!EY28</f>
      </c>
      <c r="EZ75" s="1480">
        <f>EZ74/IS!EZ28</f>
      </c>
      <c r="FA75" s="1479">
        <f>FA74/IS!FA28</f>
      </c>
      <c r="FB75" s="1481">
        <f>FB74/IS!FB28</f>
      </c>
      <c r="FC75" s="1481">
        <f>FC74/IS!FC28</f>
      </c>
      <c r="FD75" s="1481">
        <f>FD74/IS!FD28</f>
      </c>
      <c r="FE75" s="1481">
        <f>FE74/IS!FE28</f>
      </c>
      <c r="FF75" s="1482">
        <f>FF74/IS!FF28</f>
      </c>
      <c r="FG75" s="1481">
        <f>FG74/IS!FG28</f>
      </c>
      <c r="FH75" s="1481">
        <f>FH74/IS!FH28</f>
      </c>
      <c r="FI75" s="1481">
        <f>FI74/IS!FI28</f>
      </c>
      <c r="FJ75" s="1481">
        <f>FJ74/IS!FJ28</f>
      </c>
      <c r="FK75" s="1482">
        <f>FK74/IS!FK28</f>
      </c>
      <c r="FL75" s="1481">
        <f>FL74/IS!FL28</f>
      </c>
      <c r="FM75" s="1481">
        <f>FM74/IS!FM28</f>
      </c>
      <c r="FN75" s="1481">
        <f>FN74/IS!FN28</f>
      </c>
      <c r="FO75" s="1481">
        <f>FO74/IS!FO28</f>
      </c>
      <c r="FP75" s="1482">
        <f>FP74/IS!FP28</f>
      </c>
      <c r="FQ75" s="1481">
        <f>FQ74/IS!FQ28</f>
      </c>
      <c r="FR75" s="1481">
        <f>FR74/IS!FR28</f>
      </c>
      <c r="FS75" s="1481">
        <f>FS74/IS!FS28</f>
      </c>
      <c r="FT75" s="1481">
        <f>FT74/IS!FT28</f>
      </c>
      <c r="FU75" s="1482">
        <f>FU74/IS!FU28</f>
      </c>
      <c r="FV75" s="1481">
        <f>FV74/IS!FV28</f>
      </c>
      <c r="FW75" s="1481">
        <f>FW74/IS!FW28</f>
      </c>
      <c r="FX75" s="1481">
        <f>FX74/IS!FX28</f>
      </c>
      <c r="FY75" s="1481">
        <f>FY74/IS!FY28</f>
      </c>
      <c r="FZ75" s="1482">
        <f>FZ74/IS!FZ28</f>
      </c>
      <c r="GA75" s="1481">
        <f>GA74/IS!GA28</f>
      </c>
      <c r="GB75" s="1481">
        <f>GB74/IS!GB28</f>
      </c>
      <c r="GC75" s="1481">
        <f>GC74/IS!GC28</f>
      </c>
      <c r="GD75" s="1481">
        <f>GD74/IS!GD28</f>
      </c>
      <c r="GE75" s="1482">
        <f>GE74/IS!GE28</f>
      </c>
      <c r="GF75" s="1481">
        <f>GF74/IS!GF28</f>
      </c>
      <c r="GG75" s="1481">
        <f>GG74/IS!GG28</f>
      </c>
      <c r="GH75" s="1481">
        <f>GH74/IS!GH28</f>
      </c>
      <c r="GI75" s="1481">
        <f>GI74/IS!GI28</f>
      </c>
      <c r="GJ75" s="1482">
        <f>GJ74/IS!GJ28</f>
      </c>
    </row>
    <row r="76" spans="1:192" s="265" customFormat="1" ht="12.75" customHeight="1" collapsed="1">
      <c r="A76" s="262"/>
      <c r="B76" s="782"/>
      <c r="C76" s="531"/>
      <c r="D76" s="531"/>
      <c r="E76" s="531"/>
      <c r="F76" s="531"/>
      <c r="G76" s="532"/>
      <c r="H76" s="531"/>
      <c r="I76" s="531"/>
      <c r="J76" s="531"/>
      <c r="K76" s="531"/>
      <c r="L76" s="532"/>
      <c r="M76" s="531"/>
      <c r="N76" s="531"/>
      <c r="O76" s="531"/>
      <c r="P76" s="531"/>
      <c r="Q76" s="532"/>
      <c r="R76" s="531"/>
      <c r="S76" s="531"/>
      <c r="T76" s="531"/>
      <c r="U76" s="531"/>
      <c r="V76" s="532"/>
      <c r="W76" s="531"/>
      <c r="X76" s="531"/>
      <c r="Y76" s="531"/>
      <c r="Z76" s="531"/>
      <c r="AA76" s="532"/>
      <c r="AB76" s="531"/>
      <c r="AC76" s="531"/>
      <c r="AD76" s="531"/>
      <c r="AE76" s="531"/>
      <c r="AF76" s="532"/>
      <c r="AG76" s="531"/>
      <c r="AH76" s="531"/>
      <c r="AI76" s="531"/>
      <c r="AJ76" s="531"/>
      <c r="AK76" s="532"/>
      <c r="AL76" s="531"/>
      <c r="AM76" s="531"/>
      <c r="AN76" s="531"/>
      <c r="AO76" s="531"/>
      <c r="AP76" s="532"/>
      <c r="AQ76" s="531"/>
      <c r="AR76" s="531"/>
      <c r="AS76" s="531"/>
      <c r="AT76" s="531"/>
      <c r="AU76" s="532"/>
      <c r="AV76" s="531"/>
      <c r="AW76" s="531"/>
      <c r="AX76" s="531"/>
      <c r="AY76" s="531"/>
      <c r="AZ76" s="532"/>
      <c r="BA76" s="531"/>
      <c r="BB76" s="531"/>
      <c r="BC76" s="531"/>
      <c r="BD76" s="531"/>
      <c r="BE76" s="532"/>
      <c r="BF76" s="531"/>
      <c r="BG76" s="531"/>
      <c r="BH76" s="531"/>
      <c r="BI76" s="531"/>
      <c r="BJ76" s="532"/>
      <c r="BK76" s="531"/>
      <c r="BL76" s="531"/>
      <c r="BM76" s="531"/>
      <c r="BN76" s="531"/>
      <c r="BO76" s="532"/>
      <c r="BP76" s="263"/>
      <c r="BQ76" s="263"/>
      <c r="BR76" s="263"/>
      <c r="BS76" s="263"/>
      <c r="BT76" s="532"/>
      <c r="BU76" s="531"/>
      <c r="BV76" s="531"/>
      <c r="BW76" s="531"/>
      <c r="BX76" s="531"/>
      <c r="BY76" s="532"/>
      <c r="BZ76" s="531"/>
      <c r="CA76" s="531"/>
      <c r="CB76" s="531"/>
      <c r="CC76" s="531"/>
      <c r="CD76" s="532"/>
      <c r="CE76" s="531"/>
      <c r="CF76" s="531"/>
      <c r="CG76" s="531"/>
      <c r="CH76" s="531"/>
      <c r="CI76" s="532"/>
      <c r="CJ76" s="531"/>
      <c r="CK76" s="531"/>
      <c r="CL76" s="531"/>
      <c r="CM76" s="531"/>
      <c r="CN76" s="532"/>
      <c r="CO76" s="531"/>
      <c r="CP76" s="531"/>
      <c r="CQ76" s="531"/>
      <c r="CR76" s="531"/>
      <c r="CS76" s="532"/>
      <c r="CT76" s="531"/>
      <c r="CU76" s="531"/>
      <c r="CV76" s="531"/>
      <c r="CW76" s="531"/>
      <c r="CX76" s="532"/>
      <c r="CY76" s="531"/>
      <c r="CZ76" s="531"/>
      <c r="DA76" s="531"/>
      <c r="DB76" s="531"/>
      <c r="DC76" s="532"/>
      <c r="DD76" s="531"/>
      <c r="DE76" s="531"/>
      <c r="DF76" s="531"/>
      <c r="DG76" s="531"/>
      <c r="DH76" s="532"/>
      <c r="DI76" s="531"/>
      <c r="DJ76" s="531"/>
      <c r="DK76" s="531"/>
      <c r="DL76" s="531"/>
      <c r="DM76" s="532"/>
      <c r="DN76" s="531"/>
      <c r="DO76" s="531"/>
      <c r="DP76" s="531"/>
      <c r="DQ76" s="531"/>
      <c r="DR76" s="532"/>
      <c r="DS76" s="531"/>
      <c r="DT76" s="531"/>
      <c r="DU76" s="531"/>
      <c r="DV76" s="531"/>
      <c r="DW76" s="532"/>
      <c r="DX76" s="531"/>
      <c r="DY76" s="531"/>
      <c r="DZ76" s="531"/>
      <c r="EA76" s="531"/>
      <c r="EB76" s="532"/>
      <c r="EC76" s="531"/>
      <c r="ED76" s="531"/>
      <c r="EE76" s="531"/>
      <c r="EF76" s="531"/>
      <c r="EG76" s="532"/>
      <c r="EH76" s="531"/>
      <c r="EI76" s="531"/>
      <c r="EJ76" s="531"/>
      <c r="EK76" s="531"/>
      <c r="EL76" s="532"/>
      <c r="EM76" s="531"/>
      <c r="EN76" s="531"/>
      <c r="EO76" s="531"/>
      <c r="EP76" s="531"/>
      <c r="EQ76" s="532"/>
      <c r="ER76" s="531"/>
      <c r="ES76" s="531"/>
      <c r="ET76" s="531"/>
      <c r="EU76" s="531"/>
      <c r="EV76" s="532"/>
      <c r="EW76" s="263"/>
      <c r="EX76" s="263"/>
      <c r="EY76" s="263"/>
      <c r="EZ76" s="263"/>
      <c r="FA76" s="532"/>
      <c r="FB76" s="263"/>
      <c r="FC76" s="263"/>
      <c r="FD76" s="263"/>
      <c r="FE76" s="263"/>
      <c r="FF76" s="264"/>
      <c r="FG76" s="263"/>
      <c r="FH76" s="263"/>
      <c r="FI76" s="263"/>
      <c r="FJ76" s="263"/>
      <c r="FK76" s="264"/>
      <c r="FL76" s="263"/>
      <c r="FM76" s="263"/>
      <c r="FN76" s="263"/>
      <c r="FO76" s="263"/>
      <c r="FP76" s="264"/>
      <c r="FQ76" s="263"/>
      <c r="FR76" s="263"/>
      <c r="FS76" s="263"/>
      <c r="FT76" s="263"/>
      <c r="FU76" s="264"/>
      <c r="FV76" s="263"/>
      <c r="FW76" s="263"/>
      <c r="FX76" s="263"/>
      <c r="FY76" s="263"/>
      <c r="FZ76" s="264"/>
      <c r="GA76" s="263"/>
      <c r="GB76" s="263"/>
      <c r="GC76" s="263"/>
      <c r="GD76" s="263"/>
      <c r="GE76" s="264"/>
      <c r="GF76" s="263"/>
      <c r="GG76" s="263"/>
      <c r="GH76" s="263"/>
      <c r="GI76" s="263"/>
      <c r="GJ76" s="264"/>
    </row>
    <row r="77" spans="1:192" ht="12.75" customHeight="1">
      <c r="B77" s="703" t="s">
        <v>1860</v>
      </c>
      <c r="G77" s="122"/>
      <c r="L77" s="122"/>
      <c r="Q77" s="122"/>
      <c r="V77" s="122"/>
      <c r="AA77" s="122"/>
      <c r="AF77" s="122"/>
      <c r="AK77" s="122"/>
      <c r="AP77" s="122"/>
      <c r="AU77" s="122"/>
      <c r="AZ77" s="122"/>
      <c r="BE77" s="122"/>
      <c r="BJ77" s="122"/>
      <c r="BO77" s="122"/>
      <c r="BT77" s="122"/>
      <c r="BY77" s="122"/>
      <c r="CD77" s="122"/>
      <c r="CI77" s="122"/>
      <c r="CN77" s="122"/>
      <c r="CS77" s="122"/>
      <c r="CX77" s="122"/>
      <c r="DC77" s="122"/>
      <c r="DH77" s="122"/>
      <c r="DM77" s="122"/>
      <c r="DR77" s="122"/>
      <c r="DW77" s="122"/>
      <c r="EB77" s="122"/>
      <c r="EG77" s="122"/>
      <c r="EL77" s="122"/>
      <c r="EM77" s="269"/>
      <c r="EN77" s="269"/>
      <c r="EO77" s="269"/>
      <c r="EP77" s="269"/>
      <c r="EQ77" s="122"/>
      <c r="ER77" s="269"/>
      <c r="ES77" s="269"/>
      <c r="ET77" s="269"/>
      <c r="EU77" s="269"/>
      <c r="EV77" s="122"/>
      <c r="EW77" s="269"/>
      <c r="EX77" s="269"/>
      <c r="EY77" s="269"/>
      <c r="EZ77" s="269"/>
      <c r="FA77" s="122"/>
      <c r="FB77" s="269"/>
      <c r="FC77" s="269"/>
      <c r="FD77" s="269"/>
      <c r="FE77" s="269"/>
      <c r="FF77" s="122"/>
      <c r="FG77" s="269"/>
      <c r="FH77" s="269"/>
      <c r="FI77" s="269"/>
      <c r="FJ77" s="269"/>
      <c r="FK77" s="122"/>
      <c r="FL77" s="269"/>
      <c r="FM77" s="269"/>
      <c r="FN77" s="269"/>
      <c r="FO77" s="269"/>
      <c r="FP77" s="122"/>
      <c r="FQ77" s="269"/>
      <c r="FR77" s="269"/>
      <c r="FS77" s="269"/>
      <c r="FT77" s="269"/>
      <c r="FU77" s="122"/>
      <c r="FV77" s="269"/>
      <c r="FW77" s="269"/>
      <c r="FX77" s="269"/>
      <c r="FY77" s="269"/>
      <c r="FZ77" s="122"/>
      <c r="GA77" s="269"/>
      <c r="GB77" s="269"/>
      <c r="GC77" s="269"/>
      <c r="GD77" s="269"/>
      <c r="GE77" s="122"/>
      <c r="GF77" s="269"/>
      <c r="GG77" s="269"/>
      <c r="GH77" s="269"/>
      <c r="GI77" s="269"/>
      <c r="GJ77" s="122"/>
    </row>
    <row r="78" spans="1:192" s="962" customFormat="1" ht="12.75" hidden="1" customHeight="1" outlineLevel="1">
      <c r="A78" s="1269" t="s">
        <v>1941</v>
      </c>
      <c r="B78" s="720" t="s">
        <v>455</v>
      </c>
      <c r="C78" s="1270"/>
      <c r="D78" s="1271"/>
      <c r="E78" s="1271"/>
      <c r="F78" s="1271"/>
      <c r="G78" s="685"/>
      <c r="H78" s="1270"/>
      <c r="I78" s="1271"/>
      <c r="J78" s="1271"/>
      <c r="K78" s="1271"/>
      <c r="L78" s="685"/>
      <c r="M78" s="1270"/>
      <c r="N78" s="1271"/>
      <c r="O78" s="1271"/>
      <c r="P78" s="1271"/>
      <c r="Q78" s="685"/>
      <c r="R78" s="1270"/>
      <c r="S78" s="1271"/>
      <c r="T78" s="1271"/>
      <c r="U78" s="1271"/>
      <c r="V78" s="685"/>
      <c r="W78" s="1270"/>
      <c r="X78" s="1271"/>
      <c r="Y78" s="1271"/>
      <c r="Z78" s="1271"/>
      <c r="AA78" s="685"/>
      <c r="AB78" s="1270"/>
      <c r="AC78" s="1271"/>
      <c r="AD78" s="1271"/>
      <c r="AE78" s="1271"/>
      <c r="AF78" s="685"/>
      <c r="AG78" s="1270"/>
      <c r="AH78" s="1271"/>
      <c r="AI78" s="1271"/>
      <c r="AJ78" s="1271"/>
      <c r="AK78" s="685"/>
      <c r="AL78" s="1270"/>
      <c r="AM78" s="1271"/>
      <c r="AN78" s="1271"/>
      <c r="AO78" s="1271"/>
      <c r="AP78" s="685"/>
      <c r="AQ78" s="1270"/>
      <c r="AR78" s="1271"/>
      <c r="AS78" s="1271"/>
      <c r="AT78" s="1271"/>
      <c r="AU78" s="685"/>
      <c r="AV78" s="1270"/>
      <c r="AW78" s="1271"/>
      <c r="AX78" s="1271"/>
      <c r="AY78" s="1271"/>
      <c r="AZ78" s="685"/>
      <c r="BA78" s="1270"/>
      <c r="BB78" s="1271"/>
      <c r="BC78" s="1271"/>
      <c r="BD78" s="1271"/>
      <c r="BE78" s="685"/>
      <c r="BF78" s="1270"/>
      <c r="BG78" s="1271"/>
      <c r="BH78" s="1271"/>
      <c r="BI78" s="1271"/>
      <c r="BJ78" s="685"/>
      <c r="BK78" s="1270"/>
      <c r="BL78" s="1271"/>
      <c r="BM78" s="1271"/>
      <c r="BN78" s="1271"/>
      <c r="BO78" s="685"/>
      <c r="BP78" s="1270"/>
      <c r="BQ78" s="1271"/>
      <c r="BR78" s="1271"/>
      <c r="BS78" s="1271"/>
      <c r="BT78" s="685"/>
      <c r="BU78" s="1270"/>
      <c r="BV78" s="1271"/>
      <c r="BW78" s="1271"/>
      <c r="BX78" s="1271"/>
      <c r="BY78" s="685"/>
      <c r="BZ78" s="1270"/>
      <c r="CA78" s="1271"/>
      <c r="CB78" s="1271"/>
      <c r="CC78" s="1271"/>
      <c r="CD78" s="685"/>
      <c r="CE78" s="1270"/>
      <c r="CF78" s="1271"/>
      <c r="CG78" s="1271"/>
      <c r="CH78" s="1271"/>
      <c r="CI78" s="685"/>
      <c r="CJ78" s="1270"/>
      <c r="CK78" s="1271"/>
      <c r="CL78" s="1271"/>
      <c r="CM78" s="1271"/>
      <c r="CN78" s="685"/>
      <c r="CO78" s="1270"/>
      <c r="CP78" s="1271"/>
      <c r="CQ78" s="1271"/>
      <c r="CR78" s="1271"/>
      <c r="CS78" s="685"/>
      <c r="CT78" s="1270"/>
      <c r="CU78" s="1271"/>
      <c r="CV78" s="1271"/>
      <c r="CW78" s="1271"/>
      <c r="CX78" s="685"/>
      <c r="CY78" s="1270"/>
      <c r="CZ78" s="1271"/>
      <c r="DA78" s="1271"/>
      <c r="DB78" s="1271"/>
      <c r="DC78" s="685"/>
      <c r="DD78" s="1280">
        <v>-1500</v>
      </c>
      <c r="DE78" s="1281">
        <v>-2000</v>
      </c>
      <c r="DF78" s="1281">
        <v>-2300</v>
      </c>
      <c r="DG78" s="1281">
        <v>-3100</v>
      </c>
      <c r="DH78" s="685">
        <f>SUM(DD78:DG78)</f>
      </c>
      <c r="DI78" s="1280">
        <v>-2300</v>
      </c>
      <c r="DJ78" s="1281">
        <v>-2500</v>
      </c>
      <c r="DK78" s="1281">
        <v>-2100</v>
      </c>
      <c r="DL78" s="1281">
        <v>-3300</v>
      </c>
      <c r="DM78" s="685">
        <f>SUM(DI78:DL78)</f>
      </c>
      <c r="DN78" s="1280">
        <v>-2700</v>
      </c>
      <c r="DO78" s="1281">
        <v>-3300</v>
      </c>
      <c r="DP78" s="1281">
        <v>-3500</v>
      </c>
      <c r="DQ78" s="1281">
        <v>-4100</v>
      </c>
      <c r="DR78" s="685">
        <f>SUM(DN78:DQ78)</f>
      </c>
      <c r="DS78" s="1280">
        <v>-4300</v>
      </c>
      <c r="DT78" s="1281">
        <v>-3900</v>
      </c>
      <c r="DU78" s="1281">
        <v>-3400</v>
      </c>
      <c r="DV78" s="1281">
        <v>-5300</v>
      </c>
      <c r="DW78" s="685">
        <f>SUM(DS78:DV78)</f>
      </c>
      <c r="DX78" s="1280">
        <v>-4800</v>
      </c>
      <c r="DY78" s="1281">
        <v>-4500</v>
      </c>
      <c r="DZ78" s="1281">
        <v>-3900</v>
      </c>
      <c r="EA78" s="1281">
        <v>-5800</v>
      </c>
      <c r="EB78" s="685">
        <f>SUM(DX78:EA78)</f>
      </c>
      <c r="EC78" s="1280">
        <v>-5500</v>
      </c>
      <c r="ED78" s="1281">
        <v>-5400</v>
      </c>
      <c r="EE78" s="1281">
        <v>-6000</v>
      </c>
      <c r="EF78" s="1281">
        <v>-7300</v>
      </c>
      <c r="EG78" s="685">
        <f>SUM(EC78:EF78)</f>
      </c>
      <c r="EH78" s="1280">
        <v>-7400</v>
      </c>
      <c r="EI78" s="1281">
        <v>-6800</v>
      </c>
      <c r="EJ78" s="1281">
        <v>-6300</v>
      </c>
      <c r="EK78" s="1281">
        <v>-8700</v>
      </c>
      <c r="EL78" s="685">
        <f>SUM(EH78:EK78)</f>
      </c>
      <c r="EM78" s="1280">
        <v>-6600</v>
      </c>
      <c r="EN78" s="1280">
        <v>-6800</v>
      </c>
      <c r="EO78" s="1280">
        <v>-7800</v>
      </c>
      <c r="EP78" s="1280">
        <v>-10700</v>
      </c>
      <c r="EQ78" s="685">
        <f>SUM(EM78:EP78)</f>
      </c>
      <c r="ER78" s="1280">
        <v>-11200</v>
      </c>
      <c r="ES78" s="1280">
        <v>-11500</v>
      </c>
      <c r="ET78" s="1410">
        <v>-14000</v>
      </c>
      <c r="EU78" s="1410">
        <v>-19000</v>
      </c>
      <c r="EV78" s="685">
        <f>SUM(ER78:EU78)</f>
      </c>
      <c r="EW78" s="1410">
        <v>-20000</v>
      </c>
      <c r="EX78" s="1410">
        <v>-22600</v>
      </c>
      <c r="EY78" s="1410">
        <v>-21400</v>
      </c>
      <c r="EZ78" s="1410">
        <v>-24200</v>
      </c>
      <c r="FA78" s="685">
        <f>SUM(EW78:EZ78)</f>
      </c>
      <c r="FB78" s="1270">
        <f t="shared" ref="FB78:FZ78" si="212">FB84+FB68</f>
      </c>
      <c r="FC78" s="1270">
        <f t="shared" si="212"/>
      </c>
      <c r="FD78" s="1270">
        <f t="shared" si="212"/>
      </c>
      <c r="FE78" s="1270">
        <f t="shared" si="212"/>
      </c>
      <c r="FF78" s="685">
        <f t="shared" si="212"/>
      </c>
      <c r="FG78" s="1270">
        <f t="shared" si="212"/>
      </c>
      <c r="FH78" s="1270">
        <f t="shared" si="212"/>
      </c>
      <c r="FI78" s="1270">
        <f t="shared" si="212"/>
      </c>
      <c r="FJ78" s="1270">
        <f t="shared" si="212"/>
      </c>
      <c r="FK78" s="685">
        <f t="shared" si="212"/>
      </c>
      <c r="FL78" s="1270">
        <f t="shared" si="212"/>
      </c>
      <c r="FM78" s="1270">
        <f t="shared" si="212"/>
      </c>
      <c r="FN78" s="1270">
        <f t="shared" si="212"/>
      </c>
      <c r="FO78" s="1270">
        <f t="shared" si="212"/>
      </c>
      <c r="FP78" s="685">
        <f t="shared" si="212"/>
      </c>
      <c r="FQ78" s="1270">
        <f t="shared" si="212"/>
      </c>
      <c r="FR78" s="1270">
        <f t="shared" si="212"/>
      </c>
      <c r="FS78" s="1270">
        <f t="shared" si="212"/>
      </c>
      <c r="FT78" s="1270">
        <f t="shared" si="212"/>
      </c>
      <c r="FU78" s="685">
        <f t="shared" si="212"/>
      </c>
      <c r="FV78" s="1270">
        <f t="shared" si="212"/>
      </c>
      <c r="FW78" s="1270">
        <f t="shared" si="212"/>
      </c>
      <c r="FX78" s="1270">
        <f t="shared" si="212"/>
      </c>
      <c r="FY78" s="1270">
        <f t="shared" si="212"/>
      </c>
      <c r="FZ78" s="685">
        <f t="shared" si="212"/>
      </c>
      <c r="GA78" s="1270">
        <f t="shared" ref="GA78:GJ78" si="213">GA84+GA68</f>
      </c>
      <c r="GB78" s="1270">
        <f t="shared" si="213"/>
      </c>
      <c r="GC78" s="1270">
        <f t="shared" si="213"/>
      </c>
      <c r="GD78" s="1270">
        <f t="shared" si="213"/>
      </c>
      <c r="GE78" s="685">
        <f t="shared" si="213"/>
      </c>
      <c r="GF78" s="1270">
        <f t="shared" si="213"/>
      </c>
      <c r="GG78" s="1270">
        <f t="shared" si="213"/>
      </c>
      <c r="GH78" s="1270">
        <f t="shared" si="213"/>
      </c>
      <c r="GI78" s="1270">
        <f t="shared" si="213"/>
      </c>
      <c r="GJ78" s="685">
        <f t="shared" si="213"/>
      </c>
    </row>
    <row r="79" spans="1:192" s="374" customFormat="1" ht="12.75" hidden="1" customHeight="1" outlineLevel="1">
      <c r="A79" s="370" t="s">
        <v>1942</v>
      </c>
      <c r="B79" s="1436" t="s">
        <v>34</v>
      </c>
      <c r="C79" s="1005"/>
      <c r="D79" s="767"/>
      <c r="E79" s="767"/>
      <c r="F79" s="767"/>
      <c r="G79" s="373"/>
      <c r="H79" s="1005"/>
      <c r="I79" s="767"/>
      <c r="J79" s="767"/>
      <c r="K79" s="767"/>
      <c r="L79" s="373"/>
      <c r="M79" s="1005"/>
      <c r="N79" s="767"/>
      <c r="O79" s="767"/>
      <c r="P79" s="767"/>
      <c r="Q79" s="373"/>
      <c r="R79" s="1005"/>
      <c r="S79" s="767"/>
      <c r="T79" s="767"/>
      <c r="U79" s="767"/>
      <c r="V79" s="373"/>
      <c r="W79" s="1005"/>
      <c r="X79" s="767"/>
      <c r="Y79" s="767"/>
      <c r="Z79" s="767"/>
      <c r="AA79" s="373"/>
      <c r="AB79" s="1005"/>
      <c r="AC79" s="767"/>
      <c r="AD79" s="767"/>
      <c r="AE79" s="767"/>
      <c r="AF79" s="373"/>
      <c r="AG79" s="1005"/>
      <c r="AH79" s="767"/>
      <c r="AI79" s="767"/>
      <c r="AJ79" s="767"/>
      <c r="AK79" s="373"/>
      <c r="AL79" s="1005"/>
      <c r="AM79" s="767"/>
      <c r="AN79" s="767"/>
      <c r="AO79" s="767"/>
      <c r="AP79" s="373"/>
      <c r="AQ79" s="1005"/>
      <c r="AR79" s="767"/>
      <c r="AS79" s="767"/>
      <c r="AT79" s="767"/>
      <c r="AU79" s="373"/>
      <c r="AV79" s="1005"/>
      <c r="AW79" s="767"/>
      <c r="AX79" s="767"/>
      <c r="AY79" s="767"/>
      <c r="AZ79" s="373"/>
      <c r="BA79" s="1005"/>
      <c r="BB79" s="767"/>
      <c r="BC79" s="767"/>
      <c r="BD79" s="767"/>
      <c r="BE79" s="373"/>
      <c r="BF79" s="1005"/>
      <c r="BG79" s="767"/>
      <c r="BH79" s="767"/>
      <c r="BI79" s="767"/>
      <c r="BJ79" s="373"/>
      <c r="BK79" s="1005"/>
      <c r="BL79" s="767"/>
      <c r="BM79" s="767"/>
      <c r="BN79" s="767"/>
      <c r="BO79" s="373"/>
      <c r="BP79" s="1005"/>
      <c r="BQ79" s="767"/>
      <c r="BR79" s="767"/>
      <c r="BS79" s="767"/>
      <c r="BT79" s="373"/>
      <c r="BU79" s="1005"/>
      <c r="BV79" s="767"/>
      <c r="BW79" s="767"/>
      <c r="BX79" s="767"/>
      <c r="BY79" s="373"/>
      <c r="BZ79" s="1005"/>
      <c r="CA79" s="767"/>
      <c r="CB79" s="767"/>
      <c r="CC79" s="767"/>
      <c r="CD79" s="373"/>
      <c r="CE79" s="1005"/>
      <c r="CF79" s="767"/>
      <c r="CG79" s="767"/>
      <c r="CH79" s="767"/>
      <c r="CI79" s="373"/>
      <c r="CJ79" s="1005"/>
      <c r="CK79" s="767"/>
      <c r="CL79" s="767"/>
      <c r="CM79" s="767"/>
      <c r="CN79" s="373"/>
      <c r="CO79" s="1005"/>
      <c r="CP79" s="767"/>
      <c r="CQ79" s="767"/>
      <c r="CR79" s="767"/>
      <c r="CS79" s="373"/>
      <c r="CT79" s="1005"/>
      <c r="CU79" s="767"/>
      <c r="CV79" s="767"/>
      <c r="CW79" s="767"/>
      <c r="CX79" s="373"/>
      <c r="CY79" s="1005"/>
      <c r="CZ79" s="767"/>
      <c r="DA79" s="767"/>
      <c r="DB79" s="767"/>
      <c r="DC79" s="373"/>
      <c r="DD79" s="633"/>
      <c r="DE79" s="634"/>
      <c r="DF79" s="634"/>
      <c r="DG79" s="634"/>
      <c r="DH79" s="373"/>
      <c r="DI79" s="770">
        <f t="shared" ref="DI79" si="214">DI78/DD78-1</f>
      </c>
      <c r="DJ79" s="770">
        <f t="shared" ref="DJ79" si="215">DJ78/DE78-1</f>
      </c>
      <c r="DK79" s="770">
        <f t="shared" ref="DK79" si="216">DK78/DF78-1</f>
      </c>
      <c r="DL79" s="770">
        <f t="shared" ref="DL79" si="217">DL78/DG78-1</f>
      </c>
      <c r="DM79" s="1026">
        <f t="shared" ref="DM79" si="218">DM78/DH78-1</f>
      </c>
      <c r="DN79" s="770">
        <f t="shared" ref="DN79:EQ79" si="219">DN78/DI78-1</f>
      </c>
      <c r="DO79" s="770">
        <f t="shared" si="219"/>
      </c>
      <c r="DP79" s="770">
        <f t="shared" si="219"/>
      </c>
      <c r="DQ79" s="770">
        <f t="shared" si="219"/>
      </c>
      <c r="DR79" s="1026">
        <f t="shared" si="219"/>
      </c>
      <c r="DS79" s="770">
        <f t="shared" si="219"/>
      </c>
      <c r="DT79" s="770">
        <f t="shared" si="219"/>
      </c>
      <c r="DU79" s="770">
        <f t="shared" si="219"/>
      </c>
      <c r="DV79" s="770">
        <f t="shared" si="219"/>
      </c>
      <c r="DW79" s="1026">
        <f t="shared" si="219"/>
      </c>
      <c r="DX79" s="770">
        <f t="shared" si="219"/>
      </c>
      <c r="DY79" s="770">
        <f t="shared" si="219"/>
      </c>
      <c r="DZ79" s="770">
        <f t="shared" si="219"/>
      </c>
      <c r="EA79" s="770">
        <f t="shared" si="219"/>
      </c>
      <c r="EB79" s="1026">
        <f t="shared" si="219"/>
      </c>
      <c r="EC79" s="770">
        <f t="shared" si="219"/>
      </c>
      <c r="ED79" s="770">
        <f t="shared" si="219"/>
      </c>
      <c r="EE79" s="770">
        <f t="shared" si="219"/>
      </c>
      <c r="EF79" s="770">
        <f t="shared" si="219"/>
      </c>
      <c r="EG79" s="1026">
        <f t="shared" si="219"/>
      </c>
      <c r="EH79" s="770">
        <f t="shared" si="219"/>
      </c>
      <c r="EI79" s="770">
        <f t="shared" si="219"/>
      </c>
      <c r="EJ79" s="770">
        <f t="shared" si="219"/>
      </c>
      <c r="EK79" s="770">
        <f t="shared" si="219"/>
      </c>
      <c r="EL79" s="1026">
        <f t="shared" si="219"/>
      </c>
      <c r="EM79" s="770">
        <f t="shared" si="219"/>
      </c>
      <c r="EN79" s="770">
        <f t="shared" si="219"/>
      </c>
      <c r="EO79" s="770">
        <f t="shared" si="219"/>
      </c>
      <c r="EP79" s="770">
        <f t="shared" si="219"/>
      </c>
      <c r="EQ79" s="1026">
        <f t="shared" si="219"/>
      </c>
      <c r="ER79" s="770">
        <f t="shared" ref="ER79:FZ79" si="220">ER78/EM78-1</f>
      </c>
      <c r="ES79" s="770">
        <f t="shared" si="220"/>
      </c>
      <c r="ET79" s="770">
        <f t="shared" si="220"/>
      </c>
      <c r="EU79" s="770">
        <f>EU78/EP78-1</f>
      </c>
      <c r="EV79" s="1026">
        <f>EV78/EQ78-1</f>
      </c>
      <c r="EW79" s="770">
        <f t="shared" si="220"/>
      </c>
      <c r="EX79" s="770">
        <f t="shared" si="220"/>
      </c>
      <c r="EY79" s="770">
        <f t="shared" si="220"/>
      </c>
      <c r="EZ79" s="770">
        <f>EZ78/EU78-1</f>
      </c>
      <c r="FA79" s="1026">
        <f>FA78/EV78-1</f>
      </c>
      <c r="FB79" s="770">
        <f t="shared" si="220"/>
      </c>
      <c r="FC79" s="770">
        <f t="shared" si="220"/>
      </c>
      <c r="FD79" s="770">
        <f t="shared" si="220"/>
      </c>
      <c r="FE79" s="770">
        <f t="shared" si="220"/>
      </c>
      <c r="FF79" s="772">
        <f t="shared" si="220"/>
      </c>
      <c r="FG79" s="770">
        <f t="shared" si="220"/>
      </c>
      <c r="FH79" s="770">
        <f t="shared" si="220"/>
      </c>
      <c r="FI79" s="770">
        <f t="shared" si="220"/>
      </c>
      <c r="FJ79" s="770">
        <f t="shared" si="220"/>
      </c>
      <c r="FK79" s="772">
        <f t="shared" si="220"/>
      </c>
      <c r="FL79" s="770">
        <f t="shared" si="220"/>
      </c>
      <c r="FM79" s="770">
        <f t="shared" si="220"/>
      </c>
      <c r="FN79" s="770">
        <f t="shared" si="220"/>
      </c>
      <c r="FO79" s="770">
        <f t="shared" si="220"/>
      </c>
      <c r="FP79" s="772">
        <f t="shared" si="220"/>
      </c>
      <c r="FQ79" s="770">
        <f t="shared" si="220"/>
      </c>
      <c r="FR79" s="770">
        <f t="shared" si="220"/>
      </c>
      <c r="FS79" s="770">
        <f t="shared" si="220"/>
      </c>
      <c r="FT79" s="770">
        <f t="shared" si="220"/>
      </c>
      <c r="FU79" s="772">
        <f t="shared" si="220"/>
      </c>
      <c r="FV79" s="770">
        <f t="shared" si="220"/>
      </c>
      <c r="FW79" s="770">
        <f t="shared" si="220"/>
      </c>
      <c r="FX79" s="770">
        <f t="shared" si="220"/>
      </c>
      <c r="FY79" s="770">
        <f t="shared" si="220"/>
      </c>
      <c r="FZ79" s="772">
        <f t="shared" si="220"/>
      </c>
      <c r="GA79" s="770">
        <f t="shared" ref="GA79:GJ79" si="221">GA78/FV78-1</f>
      </c>
      <c r="GB79" s="770">
        <f t="shared" si="221"/>
      </c>
      <c r="GC79" s="770">
        <f t="shared" si="221"/>
      </c>
      <c r="GD79" s="770">
        <f t="shared" si="221"/>
      </c>
      <c r="GE79" s="772">
        <f t="shared" si="221"/>
      </c>
      <c r="GF79" s="770">
        <f t="shared" si="221"/>
      </c>
      <c r="GG79" s="770">
        <f t="shared" si="221"/>
      </c>
      <c r="GH79" s="770">
        <f t="shared" si="221"/>
      </c>
      <c r="GI79" s="770">
        <f t="shared" si="221"/>
      </c>
      <c r="GJ79" s="772">
        <f t="shared" si="221"/>
      </c>
    </row>
    <row r="80" spans="1:192" s="374" customFormat="1" ht="12.75" hidden="1" customHeight="1" outlineLevel="1">
      <c r="A80" s="370" t="s">
        <v>1943</v>
      </c>
      <c r="B80" s="1436" t="s">
        <v>36</v>
      </c>
      <c r="C80" s="1005"/>
      <c r="D80" s="767"/>
      <c r="E80" s="767"/>
      <c r="F80" s="767"/>
      <c r="G80" s="373"/>
      <c r="H80" s="1005"/>
      <c r="I80" s="767"/>
      <c r="J80" s="767"/>
      <c r="K80" s="767"/>
      <c r="L80" s="373"/>
      <c r="M80" s="1005"/>
      <c r="N80" s="767"/>
      <c r="O80" s="767"/>
      <c r="P80" s="767"/>
      <c r="Q80" s="373"/>
      <c r="R80" s="1005"/>
      <c r="S80" s="767"/>
      <c r="T80" s="767"/>
      <c r="U80" s="767"/>
      <c r="V80" s="373"/>
      <c r="W80" s="1005"/>
      <c r="X80" s="767"/>
      <c r="Y80" s="767"/>
      <c r="Z80" s="767"/>
      <c r="AA80" s="373"/>
      <c r="AB80" s="1005"/>
      <c r="AC80" s="767"/>
      <c r="AD80" s="767"/>
      <c r="AE80" s="767"/>
      <c r="AF80" s="373"/>
      <c r="AG80" s="1005"/>
      <c r="AH80" s="767"/>
      <c r="AI80" s="767"/>
      <c r="AJ80" s="767"/>
      <c r="AK80" s="373"/>
      <c r="AL80" s="1005"/>
      <c r="AM80" s="767"/>
      <c r="AN80" s="767"/>
      <c r="AO80" s="767"/>
      <c r="AP80" s="373"/>
      <c r="AQ80" s="1005"/>
      <c r="AR80" s="767"/>
      <c r="AS80" s="767"/>
      <c r="AT80" s="767"/>
      <c r="AU80" s="373"/>
      <c r="AV80" s="1005"/>
      <c r="AW80" s="767"/>
      <c r="AX80" s="767"/>
      <c r="AY80" s="767"/>
      <c r="AZ80" s="373"/>
      <c r="BA80" s="1005"/>
      <c r="BB80" s="767"/>
      <c r="BC80" s="767"/>
      <c r="BD80" s="767"/>
      <c r="BE80" s="373"/>
      <c r="BF80" s="1005"/>
      <c r="BG80" s="767"/>
      <c r="BH80" s="767"/>
      <c r="BI80" s="767"/>
      <c r="BJ80" s="373"/>
      <c r="BK80" s="1005"/>
      <c r="BL80" s="767"/>
      <c r="BM80" s="767"/>
      <c r="BN80" s="767"/>
      <c r="BO80" s="373"/>
      <c r="BP80" s="1005"/>
      <c r="BQ80" s="767"/>
      <c r="BR80" s="767"/>
      <c r="BS80" s="767"/>
      <c r="BT80" s="373"/>
      <c r="BU80" s="1005"/>
      <c r="BV80" s="767"/>
      <c r="BW80" s="767"/>
      <c r="BX80" s="767"/>
      <c r="BY80" s="373"/>
      <c r="BZ80" s="1005"/>
      <c r="CA80" s="767"/>
      <c r="CB80" s="767"/>
      <c r="CC80" s="767"/>
      <c r="CD80" s="373"/>
      <c r="CE80" s="1005"/>
      <c r="CF80" s="767"/>
      <c r="CG80" s="767"/>
      <c r="CH80" s="767"/>
      <c r="CI80" s="373"/>
      <c r="CJ80" s="1005"/>
      <c r="CK80" s="767"/>
      <c r="CL80" s="767"/>
      <c r="CM80" s="767"/>
      <c r="CN80" s="373"/>
      <c r="CO80" s="1005"/>
      <c r="CP80" s="767"/>
      <c r="CQ80" s="767"/>
      <c r="CR80" s="767"/>
      <c r="CS80" s="373"/>
      <c r="CT80" s="1005"/>
      <c r="CU80" s="767"/>
      <c r="CV80" s="767"/>
      <c r="CW80" s="767"/>
      <c r="CX80" s="373"/>
      <c r="CY80" s="1005"/>
      <c r="CZ80" s="767"/>
      <c r="DA80" s="767"/>
      <c r="DB80" s="767"/>
      <c r="DC80" s="373"/>
      <c r="DD80" s="633"/>
      <c r="DE80" s="634"/>
      <c r="DF80" s="634"/>
      <c r="DG80" s="634"/>
      <c r="DH80" s="373"/>
      <c r="DI80" s="770">
        <f>DI78/DG78-1</f>
      </c>
      <c r="DJ80" s="771">
        <f>DJ78/DI78-1</f>
      </c>
      <c r="DK80" s="771">
        <f>DK78/DJ78-1</f>
      </c>
      <c r="DL80" s="771">
        <f>DL78/DK78-1</f>
      </c>
      <c r="DM80" s="373"/>
      <c r="DN80" s="770">
        <f>DN78/DL78-1</f>
      </c>
      <c r="DO80" s="771">
        <f>DO78/DN78-1</f>
      </c>
      <c r="DP80" s="771">
        <f>DP78/DO78-1</f>
      </c>
      <c r="DQ80" s="771">
        <f>DQ78/DP78-1</f>
      </c>
      <c r="DR80" s="373"/>
      <c r="DS80" s="770">
        <f>DS78/DQ78-1</f>
      </c>
      <c r="DT80" s="771">
        <f>DT78/DS78-1</f>
      </c>
      <c r="DU80" s="771">
        <f>DU78/DT78-1</f>
      </c>
      <c r="DV80" s="771">
        <f>DV78/DU78-1</f>
      </c>
      <c r="DW80" s="373"/>
      <c r="DX80" s="770">
        <f>DX78/DV78-1</f>
      </c>
      <c r="DY80" s="771">
        <f>DY78/DX78-1</f>
      </c>
      <c r="DZ80" s="771">
        <f>DZ78/DY78-1</f>
      </c>
      <c r="EA80" s="771">
        <f>EA78/DZ78-1</f>
      </c>
      <c r="EB80" s="373"/>
      <c r="EC80" s="770">
        <f>EC78/EA78-1</f>
      </c>
      <c r="ED80" s="771">
        <f>ED78/EC78-1</f>
      </c>
      <c r="EE80" s="771">
        <f>EE78/ED78-1</f>
      </c>
      <c r="EF80" s="771">
        <f>EF78/EE78-1</f>
      </c>
      <c r="EG80" s="373"/>
      <c r="EH80" s="770">
        <f>EH78/EF78-1</f>
      </c>
      <c r="EI80" s="771">
        <f>EI78/EH78-1</f>
      </c>
      <c r="EJ80" s="771">
        <f>EJ78/EI78-1</f>
      </c>
      <c r="EK80" s="771">
        <f>EK78/EJ78-1</f>
      </c>
      <c r="EL80" s="373"/>
      <c r="EM80" s="770">
        <f>EM78/EK78-1</f>
      </c>
      <c r="EN80" s="771">
        <f>EN78/EM78-1</f>
      </c>
      <c r="EO80" s="771">
        <f>EO78/EN78-1</f>
      </c>
      <c r="EP80" s="771">
        <f>EP78/EO78-1</f>
      </c>
      <c r="EQ80" s="373"/>
      <c r="ER80" s="770">
        <f>ER78/EP78-1</f>
      </c>
      <c r="ES80" s="771">
        <f>ES78/ER78-1</f>
      </c>
      <c r="ET80" s="771">
        <f>ET78/ES78-1</f>
      </c>
      <c r="EU80" s="771">
        <f>EU78/ET78-1</f>
      </c>
      <c r="EV80" s="373"/>
      <c r="EW80" s="770">
        <f>EW78/EU78-1</f>
      </c>
      <c r="EX80" s="771">
        <f>EX78/EW78-1</f>
      </c>
      <c r="EY80" s="771">
        <f>EY78/EX78-1</f>
      </c>
      <c r="EZ80" s="771">
        <f>EZ78/EY78-1</f>
      </c>
      <c r="FA80" s="373"/>
      <c r="FB80" s="770">
        <f>FB78/EZ78-1</f>
      </c>
      <c r="FC80" s="771">
        <f>FC78/FB78-1</f>
      </c>
      <c r="FD80" s="771">
        <f>FD78/FC78-1</f>
      </c>
      <c r="FE80" s="771">
        <f>FE78/FD78-1</f>
      </c>
      <c r="FF80" s="373"/>
      <c r="FG80" s="770">
        <f>FG78/FE78-1</f>
      </c>
      <c r="FH80" s="771">
        <f>FH78/FG78-1</f>
      </c>
      <c r="FI80" s="771">
        <f>FI78/FH78-1</f>
      </c>
      <c r="FJ80" s="771">
        <f>FJ78/FI78-1</f>
      </c>
      <c r="FK80" s="373"/>
      <c r="FL80" s="770">
        <f>FL78/FJ78-1</f>
      </c>
      <c r="FM80" s="771">
        <f>FM78/FL78-1</f>
      </c>
      <c r="FN80" s="771">
        <f>FN78/FM78-1</f>
      </c>
      <c r="FO80" s="771">
        <f>FO78/FN78-1</f>
      </c>
      <c r="FP80" s="373"/>
      <c r="FQ80" s="770">
        <f>FQ78/FO78-1</f>
      </c>
      <c r="FR80" s="771">
        <f>FR78/FQ78-1</f>
      </c>
      <c r="FS80" s="771">
        <f>FS78/FR78-1</f>
      </c>
      <c r="FT80" s="771">
        <f>FT78/FS78-1</f>
      </c>
      <c r="FU80" s="373"/>
      <c r="FV80" s="770">
        <f>FV78/FT78-1</f>
      </c>
      <c r="FW80" s="771">
        <f>FW78/FV78-1</f>
      </c>
      <c r="FX80" s="771">
        <f>FX78/FW78-1</f>
      </c>
      <c r="FY80" s="771">
        <f>FY78/FX78-1</f>
      </c>
      <c r="FZ80" s="373"/>
      <c r="GA80" s="770">
        <f>GA78/FY78-1</f>
      </c>
      <c r="GB80" s="771">
        <f>GB78/GA78-1</f>
      </c>
      <c r="GC80" s="771">
        <f>GC78/GB78-1</f>
      </c>
      <c r="GD80" s="771">
        <f>GD78/GC78-1</f>
      </c>
      <c r="GE80" s="373"/>
      <c r="GF80" s="770">
        <f>GF78/GD78-1</f>
      </c>
      <c r="GG80" s="771">
        <f>GG78/GF78-1</f>
      </c>
      <c r="GH80" s="771">
        <f>GH78/GG78-1</f>
      </c>
      <c r="GI80" s="771">
        <f>GI78/GH78-1</f>
      </c>
      <c r="GJ80" s="373"/>
    </row>
    <row r="81" spans="1:192" s="1031" customFormat="1" ht="12.75" hidden="1" customHeight="1" outlineLevel="1">
      <c r="A81" s="1027"/>
      <c r="B81" s="1016" t="s">
        <v>1825</v>
      </c>
      <c r="C81" s="1039"/>
      <c r="D81" s="1039"/>
      <c r="E81" s="1039"/>
      <c r="F81" s="1039"/>
      <c r="G81" s="1040"/>
      <c r="H81" s="1039"/>
      <c r="I81" s="1039"/>
      <c r="J81" s="1039"/>
      <c r="K81" s="1039"/>
      <c r="L81" s="1040"/>
      <c r="M81" s="1039"/>
      <c r="N81" s="1039"/>
      <c r="O81" s="1039"/>
      <c r="P81" s="1039"/>
      <c r="Q81" s="1040"/>
      <c r="R81" s="1039"/>
      <c r="S81" s="1039"/>
      <c r="T81" s="1039"/>
      <c r="U81" s="1039"/>
      <c r="V81" s="1040"/>
      <c r="W81" s="1039"/>
      <c r="X81" s="1039"/>
      <c r="Y81" s="1039"/>
      <c r="Z81" s="1039"/>
      <c r="AA81" s="1040"/>
      <c r="AB81" s="1039"/>
      <c r="AC81" s="1039"/>
      <c r="AD81" s="1039"/>
      <c r="AE81" s="1039"/>
      <c r="AF81" s="1040"/>
      <c r="AG81" s="1039"/>
      <c r="AH81" s="1039"/>
      <c r="AI81" s="1039"/>
      <c r="AJ81" s="1039"/>
      <c r="AK81" s="1040"/>
      <c r="AL81" s="1039"/>
      <c r="AM81" s="1039"/>
      <c r="AN81" s="1039"/>
      <c r="AO81" s="1039"/>
      <c r="AP81" s="1040"/>
      <c r="AQ81" s="1039"/>
      <c r="AR81" s="1039"/>
      <c r="AS81" s="1039"/>
      <c r="AT81" s="1039"/>
      <c r="AU81" s="1040"/>
      <c r="AV81" s="1039"/>
      <c r="AW81" s="1039"/>
      <c r="AX81" s="1039"/>
      <c r="AY81" s="1039"/>
      <c r="AZ81" s="1040"/>
      <c r="BA81" s="1039"/>
      <c r="BB81" s="1039"/>
      <c r="BC81" s="1039"/>
      <c r="BD81" s="1039"/>
      <c r="BE81" s="1040"/>
      <c r="BF81" s="1039"/>
      <c r="BG81" s="1039"/>
      <c r="BH81" s="1039"/>
      <c r="BI81" s="1039"/>
      <c r="BJ81" s="1040"/>
      <c r="BK81" s="1039"/>
      <c r="BL81" s="1039"/>
      <c r="BM81" s="1039"/>
      <c r="BN81" s="1039"/>
      <c r="BO81" s="1040"/>
      <c r="BP81" s="1039"/>
      <c r="BQ81" s="1039"/>
      <c r="BR81" s="1039"/>
      <c r="BS81" s="1039"/>
      <c r="BT81" s="1040"/>
      <c r="BU81" s="1039"/>
      <c r="BV81" s="1039"/>
      <c r="BW81" s="1039"/>
      <c r="BX81" s="1039"/>
      <c r="BY81" s="1040"/>
      <c r="BZ81" s="1039"/>
      <c r="CA81" s="1039"/>
      <c r="CB81" s="1039"/>
      <c r="CC81" s="1039"/>
      <c r="CD81" s="1040"/>
      <c r="CE81" s="1039"/>
      <c r="CF81" s="1039"/>
      <c r="CG81" s="1039"/>
      <c r="CH81" s="1039"/>
      <c r="CI81" s="1040"/>
      <c r="CJ81" s="1039"/>
      <c r="CK81" s="1039"/>
      <c r="CL81" s="1039"/>
      <c r="CM81" s="1039"/>
      <c r="CN81" s="1040"/>
      <c r="CO81" s="1039"/>
      <c r="CP81" s="1039"/>
      <c r="CQ81" s="1039"/>
      <c r="CR81" s="1039"/>
      <c r="CS81" s="1040"/>
      <c r="CT81" s="1039"/>
      <c r="CU81" s="1039"/>
      <c r="CV81" s="1039"/>
      <c r="CW81" s="1039"/>
      <c r="CX81" s="1040"/>
      <c r="CY81" s="1039"/>
      <c r="CZ81" s="1039"/>
      <c r="DA81" s="1039"/>
      <c r="DB81" s="1039"/>
      <c r="DC81" s="1040"/>
      <c r="DD81" s="1039"/>
      <c r="DE81" s="1039"/>
      <c r="DF81" s="1039"/>
      <c r="DG81" s="1039"/>
      <c r="DH81" s="1040"/>
      <c r="DI81" s="1039">
        <f t="shared" ref="DI81" si="222">DI78-DD78</f>
      </c>
      <c r="DJ81" s="1039">
        <f t="shared" ref="DJ81" si="223">DJ78-DE78</f>
      </c>
      <c r="DK81" s="1039">
        <f t="shared" ref="DK81" si="224">DK78-DF78</f>
      </c>
      <c r="DL81" s="1039">
        <f t="shared" ref="DL81" si="225">DL78-DG78</f>
      </c>
      <c r="DM81" s="1040">
        <f t="shared" ref="DM81" si="226">DM78-DH78</f>
      </c>
      <c r="DN81" s="1039">
        <f t="shared" ref="DN81:EE81" si="227">DN78-DI78</f>
      </c>
      <c r="DO81" s="1039">
        <f t="shared" si="227"/>
      </c>
      <c r="DP81" s="1039">
        <f t="shared" si="227"/>
      </c>
      <c r="DQ81" s="1039">
        <f t="shared" si="227"/>
      </c>
      <c r="DR81" s="1040">
        <f t="shared" si="227"/>
      </c>
      <c r="DS81" s="1039">
        <f t="shared" si="227"/>
      </c>
      <c r="DT81" s="1039">
        <f t="shared" si="227"/>
      </c>
      <c r="DU81" s="1039">
        <f t="shared" si="227"/>
      </c>
      <c r="DV81" s="1039">
        <f t="shared" si="227"/>
      </c>
      <c r="DW81" s="1040">
        <f t="shared" si="227"/>
      </c>
      <c r="DX81" s="1039">
        <f t="shared" si="227"/>
      </c>
      <c r="DY81" s="1039">
        <f t="shared" si="227"/>
      </c>
      <c r="DZ81" s="1039">
        <f t="shared" si="227"/>
      </c>
      <c r="EA81" s="1039">
        <f t="shared" si="227"/>
      </c>
      <c r="EB81" s="1040">
        <f t="shared" si="227"/>
      </c>
      <c r="EC81" s="1039">
        <f t="shared" si="227"/>
      </c>
      <c r="ED81" s="1039">
        <f t="shared" si="227"/>
      </c>
      <c r="EE81" s="1039">
        <f t="shared" si="227"/>
      </c>
      <c r="EF81" s="1039">
        <f t="shared" ref="EF81:FZ81" si="228">EF78-EA78</f>
      </c>
      <c r="EG81" s="1040">
        <f t="shared" si="228"/>
      </c>
      <c r="EH81" s="1039">
        <f t="shared" si="228"/>
      </c>
      <c r="EI81" s="1039">
        <f t="shared" si="228"/>
      </c>
      <c r="EJ81" s="1039">
        <f t="shared" si="228"/>
      </c>
      <c r="EK81" s="1039">
        <f t="shared" si="228"/>
      </c>
      <c r="EL81" s="1040">
        <f t="shared" si="228"/>
      </c>
      <c r="EM81" s="1039">
        <f t="shared" si="228"/>
      </c>
      <c r="EN81" s="1039">
        <f t="shared" si="228"/>
      </c>
      <c r="EO81" s="1039">
        <f t="shared" si="228"/>
      </c>
      <c r="EP81" s="1039">
        <f t="shared" si="228"/>
      </c>
      <c r="EQ81" s="1040">
        <f t="shared" si="228"/>
      </c>
      <c r="ER81" s="1039">
        <f t="shared" si="228"/>
      </c>
      <c r="ES81" s="1039">
        <f t="shared" si="228"/>
      </c>
      <c r="ET81" s="1039">
        <f t="shared" si="228"/>
      </c>
      <c r="EU81" s="1039">
        <f>EU78-EP78</f>
      </c>
      <c r="EV81" s="1040">
        <f>EV78-EQ78</f>
      </c>
      <c r="EW81" s="1039">
        <f t="shared" si="228"/>
      </c>
      <c r="EX81" s="1039">
        <f t="shared" si="228"/>
      </c>
      <c r="EY81" s="1039">
        <f t="shared" si="228"/>
      </c>
      <c r="EZ81" s="1039">
        <f>EZ78-EU78</f>
      </c>
      <c r="FA81" s="1040">
        <f>FA78-EV78</f>
      </c>
      <c r="FB81" s="1039">
        <f t="shared" si="228"/>
      </c>
      <c r="FC81" s="1039">
        <f t="shared" si="228"/>
      </c>
      <c r="FD81" s="1039">
        <f t="shared" si="228"/>
      </c>
      <c r="FE81" s="1039">
        <f t="shared" si="228"/>
      </c>
      <c r="FF81" s="1040">
        <f t="shared" si="228"/>
      </c>
      <c r="FG81" s="1039">
        <f t="shared" si="228"/>
      </c>
      <c r="FH81" s="1039">
        <f t="shared" si="228"/>
      </c>
      <c r="FI81" s="1039">
        <f t="shared" si="228"/>
      </c>
      <c r="FJ81" s="1039">
        <f t="shared" si="228"/>
      </c>
      <c r="FK81" s="1040">
        <f t="shared" si="228"/>
      </c>
      <c r="FL81" s="1039">
        <f t="shared" si="228"/>
      </c>
      <c r="FM81" s="1039">
        <f t="shared" si="228"/>
      </c>
      <c r="FN81" s="1039">
        <f t="shared" si="228"/>
      </c>
      <c r="FO81" s="1039">
        <f t="shared" si="228"/>
      </c>
      <c r="FP81" s="1040">
        <f t="shared" si="228"/>
      </c>
      <c r="FQ81" s="1039">
        <f t="shared" si="228"/>
      </c>
      <c r="FR81" s="1039">
        <f t="shared" si="228"/>
      </c>
      <c r="FS81" s="1039">
        <f t="shared" si="228"/>
      </c>
      <c r="FT81" s="1039">
        <f t="shared" si="228"/>
      </c>
      <c r="FU81" s="1040">
        <f t="shared" si="228"/>
      </c>
      <c r="FV81" s="1039">
        <f t="shared" si="228"/>
      </c>
      <c r="FW81" s="1039">
        <f t="shared" si="228"/>
      </c>
      <c r="FX81" s="1039">
        <f t="shared" si="228"/>
      </c>
      <c r="FY81" s="1039">
        <f t="shared" si="228"/>
      </c>
      <c r="FZ81" s="1040">
        <f t="shared" si="228"/>
      </c>
      <c r="GA81" s="1039">
        <f t="shared" ref="GA81:GJ81" si="229">GA78-FV78</f>
      </c>
      <c r="GB81" s="1039">
        <f t="shared" si="229"/>
      </c>
      <c r="GC81" s="1039">
        <f t="shared" si="229"/>
      </c>
      <c r="GD81" s="1039">
        <f t="shared" si="229"/>
      </c>
      <c r="GE81" s="1040">
        <f t="shared" si="229"/>
      </c>
      <c r="GF81" s="1039">
        <f t="shared" si="229"/>
      </c>
      <c r="GG81" s="1039">
        <f t="shared" si="229"/>
      </c>
      <c r="GH81" s="1039">
        <f t="shared" si="229"/>
      </c>
      <c r="GI81" s="1039">
        <f t="shared" si="229"/>
      </c>
      <c r="GJ81" s="1040">
        <f t="shared" si="229"/>
      </c>
    </row>
    <row r="82" spans="1:192" s="1031" customFormat="1" ht="12.75" hidden="1" customHeight="1" outlineLevel="1">
      <c r="A82" s="1027"/>
      <c r="B82" s="1016" t="s">
        <v>1826</v>
      </c>
      <c r="C82" s="1039"/>
      <c r="D82" s="1039"/>
      <c r="E82" s="1039"/>
      <c r="F82" s="1039"/>
      <c r="G82" s="1040"/>
      <c r="H82" s="1039"/>
      <c r="I82" s="1039"/>
      <c r="J82" s="1039"/>
      <c r="K82" s="1039"/>
      <c r="L82" s="1040"/>
      <c r="M82" s="1039"/>
      <c r="N82" s="1039"/>
      <c r="O82" s="1039"/>
      <c r="P82" s="1039"/>
      <c r="Q82" s="1040"/>
      <c r="R82" s="1039"/>
      <c r="S82" s="1039"/>
      <c r="T82" s="1039"/>
      <c r="U82" s="1039"/>
      <c r="V82" s="1040"/>
      <c r="W82" s="1039"/>
      <c r="X82" s="1039"/>
      <c r="Y82" s="1039"/>
      <c r="Z82" s="1039"/>
      <c r="AA82" s="1040"/>
      <c r="AB82" s="1039"/>
      <c r="AC82" s="1039"/>
      <c r="AD82" s="1039"/>
      <c r="AE82" s="1039"/>
      <c r="AF82" s="1040"/>
      <c r="AG82" s="1039"/>
      <c r="AH82" s="1039"/>
      <c r="AI82" s="1039"/>
      <c r="AJ82" s="1039"/>
      <c r="AK82" s="1040"/>
      <c r="AL82" s="1039"/>
      <c r="AM82" s="1039"/>
      <c r="AN82" s="1039"/>
      <c r="AO82" s="1039"/>
      <c r="AP82" s="1040"/>
      <c r="AQ82" s="1039"/>
      <c r="AR82" s="1039"/>
      <c r="AS82" s="1039"/>
      <c r="AT82" s="1039"/>
      <c r="AU82" s="1040"/>
      <c r="AV82" s="1039"/>
      <c r="AW82" s="1039"/>
      <c r="AX82" s="1039"/>
      <c r="AY82" s="1039"/>
      <c r="AZ82" s="1040"/>
      <c r="BA82" s="1039"/>
      <c r="BB82" s="1039"/>
      <c r="BC82" s="1039"/>
      <c r="BD82" s="1039"/>
      <c r="BE82" s="1040"/>
      <c r="BF82" s="1039"/>
      <c r="BG82" s="1039"/>
      <c r="BH82" s="1039"/>
      <c r="BI82" s="1039"/>
      <c r="BJ82" s="1040"/>
      <c r="BK82" s="1039"/>
      <c r="BL82" s="1039"/>
      <c r="BM82" s="1039"/>
      <c r="BN82" s="1039"/>
      <c r="BO82" s="1040"/>
      <c r="BP82" s="1039"/>
      <c r="BQ82" s="1039"/>
      <c r="BR82" s="1039"/>
      <c r="BS82" s="1039"/>
      <c r="BT82" s="1040"/>
      <c r="BU82" s="1039"/>
      <c r="BV82" s="1039"/>
      <c r="BW82" s="1039"/>
      <c r="BX82" s="1039"/>
      <c r="BY82" s="1040"/>
      <c r="BZ82" s="1039"/>
      <c r="CA82" s="1039"/>
      <c r="CB82" s="1039"/>
      <c r="CC82" s="1039"/>
      <c r="CD82" s="1040"/>
      <c r="CE82" s="1039"/>
      <c r="CF82" s="1039"/>
      <c r="CG82" s="1039"/>
      <c r="CH82" s="1039"/>
      <c r="CI82" s="1040"/>
      <c r="CJ82" s="1039"/>
      <c r="CK82" s="1039"/>
      <c r="CL82" s="1039"/>
      <c r="CM82" s="1039"/>
      <c r="CN82" s="1040"/>
      <c r="CO82" s="1039"/>
      <c r="CP82" s="1039"/>
      <c r="CQ82" s="1039"/>
      <c r="CR82" s="1039"/>
      <c r="CS82" s="1040"/>
      <c r="CT82" s="1039"/>
      <c r="CU82" s="1039"/>
      <c r="CV82" s="1039"/>
      <c r="CW82" s="1039"/>
      <c r="CX82" s="1040"/>
      <c r="CY82" s="1039"/>
      <c r="CZ82" s="1039"/>
      <c r="DA82" s="1039"/>
      <c r="DB82" s="1039"/>
      <c r="DC82" s="1040"/>
      <c r="DD82" s="1039"/>
      <c r="DE82" s="1039"/>
      <c r="DF82" s="1039"/>
      <c r="DG82" s="1039"/>
      <c r="DH82" s="1040"/>
      <c r="DI82" s="1039">
        <f>DI78-DG78</f>
      </c>
      <c r="DJ82" s="1039">
        <f>DJ78-DI78</f>
      </c>
      <c r="DK82" s="1039">
        <f>DK78-DJ78</f>
      </c>
      <c r="DL82" s="1039">
        <f>DL78-DK78</f>
      </c>
      <c r="DM82" s="1040"/>
      <c r="DN82" s="1039">
        <f>DN78-DL78</f>
      </c>
      <c r="DO82" s="1039">
        <f>DO78-DN78</f>
      </c>
      <c r="DP82" s="1039">
        <f>DP78-DO78</f>
      </c>
      <c r="DQ82" s="1039">
        <f>DQ78-DP78</f>
      </c>
      <c r="DR82" s="1040"/>
      <c r="DS82" s="1039">
        <f>DS78-DQ78</f>
      </c>
      <c r="DT82" s="1039">
        <f>DT78-DS78</f>
      </c>
      <c r="DU82" s="1039">
        <f>DU78-DT78</f>
      </c>
      <c r="DV82" s="1039">
        <f>DV78-DU78</f>
      </c>
      <c r="DW82" s="1040"/>
      <c r="DX82" s="1039">
        <f>DX78-DV78</f>
      </c>
      <c r="DY82" s="1039">
        <f>DY78-DX78</f>
      </c>
      <c r="DZ82" s="1039">
        <f>DZ78-DY78</f>
      </c>
      <c r="EA82" s="1039">
        <f>EA78-DZ78</f>
      </c>
      <c r="EB82" s="1040"/>
      <c r="EC82" s="1039">
        <f>EC78-EA78</f>
      </c>
      <c r="ED82" s="1039">
        <f>ED78-EC78</f>
      </c>
      <c r="EE82" s="1039">
        <f>EE78-ED78</f>
      </c>
      <c r="EF82" s="1039">
        <f>EF78-EE78</f>
      </c>
      <c r="EG82" s="1040"/>
      <c r="EH82" s="1039">
        <f>EH78-EF78</f>
      </c>
      <c r="EI82" s="1039">
        <f>EI78-EH78</f>
      </c>
      <c r="EJ82" s="1039">
        <f>EJ78-EI78</f>
      </c>
      <c r="EK82" s="1039">
        <f>EK78-EJ78</f>
      </c>
      <c r="EL82" s="1040"/>
      <c r="EM82" s="1039">
        <f>EM78-EK78</f>
      </c>
      <c r="EN82" s="1039">
        <f>EN78-EM78</f>
      </c>
      <c r="EO82" s="1039">
        <f>EO78-EN78</f>
      </c>
      <c r="EP82" s="1039">
        <f>EP78-EO78</f>
      </c>
      <c r="EQ82" s="1040"/>
      <c r="ER82" s="1039">
        <f>ER78-EP78</f>
      </c>
      <c r="ES82" s="1039">
        <f>ES78-ER78</f>
      </c>
      <c r="ET82" s="1039">
        <f>ET78-ES78</f>
      </c>
      <c r="EU82" s="1039">
        <f>EU78-ET78</f>
      </c>
      <c r="EV82" s="1040"/>
      <c r="EW82" s="1039">
        <f>EW78-EU78</f>
      </c>
      <c r="EX82" s="1039">
        <f>EX78-EW78</f>
      </c>
      <c r="EY82" s="1039">
        <f>EY78-EX78</f>
      </c>
      <c r="EZ82" s="1039">
        <f>EZ78-EY78</f>
      </c>
      <c r="FA82" s="1040"/>
      <c r="FB82" s="1039">
        <f>FB78-EZ78</f>
      </c>
      <c r="FC82" s="1039">
        <f>FC78-FB78</f>
      </c>
      <c r="FD82" s="1039">
        <f>FD78-FC78</f>
      </c>
      <c r="FE82" s="1039">
        <f>FE78-FD78</f>
      </c>
      <c r="FF82" s="1040"/>
      <c r="FG82" s="1039">
        <f>FG78-FE78</f>
      </c>
      <c r="FH82" s="1039">
        <f>FH78-FG78</f>
      </c>
      <c r="FI82" s="1039">
        <f>FI78-FH78</f>
      </c>
      <c r="FJ82" s="1039">
        <f>FJ78-FI78</f>
      </c>
      <c r="FK82" s="1040"/>
      <c r="FL82" s="1039">
        <f>FL78-FJ78</f>
      </c>
      <c r="FM82" s="1039">
        <f>FM78-FL78</f>
      </c>
      <c r="FN82" s="1039">
        <f>FN78-FM78</f>
      </c>
      <c r="FO82" s="1039">
        <f>FO78-FN78</f>
      </c>
      <c r="FP82" s="1040"/>
      <c r="FQ82" s="1039">
        <f>FQ78-FO78</f>
      </c>
      <c r="FR82" s="1039">
        <f>FR78-FQ78</f>
      </c>
      <c r="FS82" s="1039">
        <f>FS78-FR78</f>
      </c>
      <c r="FT82" s="1039">
        <f>FT78-FS78</f>
      </c>
      <c r="FU82" s="1040"/>
      <c r="FV82" s="1039">
        <f>FV78-FT78</f>
      </c>
      <c r="FW82" s="1039">
        <f>FW78-FV78</f>
      </c>
      <c r="FX82" s="1039">
        <f>FX78-FW78</f>
      </c>
      <c r="FY82" s="1039">
        <f>FY78-FX78</f>
      </c>
      <c r="FZ82" s="1040"/>
      <c r="GA82" s="1039">
        <f>GA78-FY78</f>
      </c>
      <c r="GB82" s="1039">
        <f>GB78-GA78</f>
      </c>
      <c r="GC82" s="1039">
        <f>GC78-GB78</f>
      </c>
      <c r="GD82" s="1039">
        <f>GD78-GC78</f>
      </c>
      <c r="GE82" s="1040"/>
      <c r="GF82" s="1039">
        <f>GF78-GD78</f>
      </c>
      <c r="GG82" s="1039">
        <f>GG78-GF78</f>
      </c>
      <c r="GH82" s="1039">
        <f>GH78-GG78</f>
      </c>
      <c r="GI82" s="1039">
        <f>GI78-GH78</f>
      </c>
      <c r="GJ82" s="1040"/>
    </row>
    <row r="83" spans="1:192" s="374" customFormat="1" ht="12.75" hidden="1" customHeight="1" outlineLevel="1">
      <c r="A83" s="370"/>
      <c r="B83" s="1436"/>
      <c r="C83" s="1005"/>
      <c r="D83" s="767"/>
      <c r="E83" s="767"/>
      <c r="F83" s="767"/>
      <c r="G83" s="373"/>
      <c r="H83" s="1005"/>
      <c r="I83" s="767"/>
      <c r="J83" s="767"/>
      <c r="K83" s="767"/>
      <c r="L83" s="373"/>
      <c r="M83" s="1005"/>
      <c r="N83" s="767"/>
      <c r="O83" s="767"/>
      <c r="P83" s="767"/>
      <c r="Q83" s="373"/>
      <c r="R83" s="1005"/>
      <c r="S83" s="767"/>
      <c r="T83" s="767"/>
      <c r="U83" s="767"/>
      <c r="V83" s="373"/>
      <c r="W83" s="1005"/>
      <c r="X83" s="767"/>
      <c r="Y83" s="767"/>
      <c r="Z83" s="767"/>
      <c r="AA83" s="373"/>
      <c r="AB83" s="1005"/>
      <c r="AC83" s="767"/>
      <c r="AD83" s="767"/>
      <c r="AE83" s="767"/>
      <c r="AF83" s="373"/>
      <c r="AG83" s="1005"/>
      <c r="AH83" s="767"/>
      <c r="AI83" s="767"/>
      <c r="AJ83" s="767"/>
      <c r="AK83" s="373"/>
      <c r="AL83" s="1005"/>
      <c r="AM83" s="767"/>
      <c r="AN83" s="767"/>
      <c r="AO83" s="767"/>
      <c r="AP83" s="373"/>
      <c r="AQ83" s="1005"/>
      <c r="AR83" s="767"/>
      <c r="AS83" s="767"/>
      <c r="AT83" s="767"/>
      <c r="AU83" s="373"/>
      <c r="AV83" s="1005"/>
      <c r="AW83" s="767"/>
      <c r="AX83" s="767"/>
      <c r="AY83" s="767"/>
      <c r="AZ83" s="373"/>
      <c r="BA83" s="1005"/>
      <c r="BB83" s="767"/>
      <c r="BC83" s="767"/>
      <c r="BD83" s="767"/>
      <c r="BE83" s="373"/>
      <c r="BF83" s="1005"/>
      <c r="BG83" s="767"/>
      <c r="BH83" s="767"/>
      <c r="BI83" s="767"/>
      <c r="BJ83" s="373"/>
      <c r="BK83" s="1005"/>
      <c r="BL83" s="767"/>
      <c r="BM83" s="767"/>
      <c r="BN83" s="767"/>
      <c r="BO83" s="373"/>
      <c r="BP83" s="1005"/>
      <c r="BQ83" s="767"/>
      <c r="BR83" s="767"/>
      <c r="BS83" s="767"/>
      <c r="BT83" s="373"/>
      <c r="BU83" s="1005"/>
      <c r="BV83" s="767"/>
      <c r="BW83" s="767"/>
      <c r="BX83" s="767"/>
      <c r="BY83" s="373"/>
      <c r="BZ83" s="1005"/>
      <c r="CA83" s="767"/>
      <c r="CB83" s="767"/>
      <c r="CC83" s="767"/>
      <c r="CD83" s="373"/>
      <c r="CE83" s="1005"/>
      <c r="CF83" s="767"/>
      <c r="CG83" s="767"/>
      <c r="CH83" s="767"/>
      <c r="CI83" s="373"/>
      <c r="CJ83" s="1005"/>
      <c r="CK83" s="767"/>
      <c r="CL83" s="767"/>
      <c r="CM83" s="767"/>
      <c r="CN83" s="373"/>
      <c r="CO83" s="1005"/>
      <c r="CP83" s="767"/>
      <c r="CQ83" s="767"/>
      <c r="CR83" s="767"/>
      <c r="CS83" s="373"/>
      <c r="CT83" s="1005"/>
      <c r="CU83" s="767"/>
      <c r="CV83" s="767"/>
      <c r="CW83" s="767"/>
      <c r="CX83" s="373"/>
      <c r="CY83" s="1005"/>
      <c r="CZ83" s="767"/>
      <c r="DA83" s="767"/>
      <c r="DB83" s="767"/>
      <c r="DC83" s="373"/>
      <c r="DD83" s="633"/>
      <c r="DE83" s="634"/>
      <c r="DF83" s="634"/>
      <c r="DG83" s="634"/>
      <c r="DH83" s="373"/>
      <c r="DI83" s="770"/>
      <c r="DJ83" s="771"/>
      <c r="DK83" s="771"/>
      <c r="DL83" s="771"/>
      <c r="DM83" s="373"/>
      <c r="DN83" s="770"/>
      <c r="DO83" s="771"/>
      <c r="DP83" s="771"/>
      <c r="DQ83" s="771"/>
      <c r="DR83" s="373"/>
      <c r="DS83" s="770"/>
      <c r="DT83" s="771"/>
      <c r="DU83" s="771"/>
      <c r="DV83" s="771"/>
      <c r="DW83" s="373"/>
      <c r="DX83" s="770"/>
      <c r="DY83" s="771"/>
      <c r="DZ83" s="771"/>
      <c r="EA83" s="771"/>
      <c r="EB83" s="373"/>
      <c r="EC83" s="770"/>
      <c r="ED83" s="771"/>
      <c r="EE83" s="771"/>
      <c r="EF83" s="771"/>
      <c r="EG83" s="373"/>
      <c r="EH83" s="770"/>
      <c r="EI83" s="771"/>
      <c r="EJ83" s="771"/>
      <c r="EK83" s="771"/>
      <c r="EL83" s="373"/>
      <c r="EM83" s="770"/>
      <c r="EN83" s="771"/>
      <c r="EO83" s="771"/>
      <c r="EP83" s="771"/>
      <c r="EQ83" s="373"/>
      <c r="ER83" s="770"/>
      <c r="ES83" s="771"/>
      <c r="ET83" s="771"/>
      <c r="EU83" s="771"/>
      <c r="EV83" s="373"/>
      <c r="EW83" s="770"/>
      <c r="EX83" s="771"/>
      <c r="EY83" s="771"/>
      <c r="EZ83" s="771"/>
      <c r="FA83" s="373"/>
      <c r="FB83" s="770"/>
      <c r="FC83" s="771"/>
      <c r="FD83" s="771"/>
      <c r="FE83" s="771"/>
      <c r="FF83" s="373"/>
      <c r="FG83" s="770"/>
      <c r="FH83" s="771"/>
      <c r="FI83" s="771"/>
      <c r="FJ83" s="771"/>
      <c r="FK83" s="373"/>
      <c r="FL83" s="770"/>
      <c r="FM83" s="771"/>
      <c r="FN83" s="771"/>
      <c r="FO83" s="771"/>
      <c r="FP83" s="373"/>
      <c r="FQ83" s="770"/>
      <c r="FR83" s="771"/>
      <c r="FS83" s="771"/>
      <c r="FT83" s="771"/>
      <c r="FU83" s="373"/>
      <c r="FV83" s="770"/>
      <c r="FW83" s="771"/>
      <c r="FX83" s="771"/>
      <c r="FY83" s="771"/>
      <c r="FZ83" s="373"/>
      <c r="GA83" s="770"/>
      <c r="GB83" s="771"/>
      <c r="GC83" s="771"/>
      <c r="GD83" s="771"/>
      <c r="GE83" s="373"/>
      <c r="GF83" s="770"/>
      <c r="GG83" s="771"/>
      <c r="GH83" s="771"/>
      <c r="GI83" s="771"/>
      <c r="GJ83" s="373"/>
    </row>
    <row r="84" spans="1:192" s="962" customFormat="1" ht="12.75" hidden="1" customHeight="1" outlineLevel="1">
      <c r="A84" s="1269"/>
      <c r="B84" s="720" t="str">
        <f>BS!B114</f>
      </c>
      <c r="C84" s="1270"/>
      <c r="D84" s="1271"/>
      <c r="E84" s="1271"/>
      <c r="F84" s="1271"/>
      <c r="G84" s="685"/>
      <c r="H84" s="1270"/>
      <c r="I84" s="1271"/>
      <c r="J84" s="1271"/>
      <c r="K84" s="1271"/>
      <c r="L84" s="685"/>
      <c r="M84" s="1270"/>
      <c r="N84" s="1271"/>
      <c r="O84" s="1271"/>
      <c r="P84" s="1271"/>
      <c r="Q84" s="685"/>
      <c r="R84" s="1270"/>
      <c r="S84" s="1271"/>
      <c r="T84" s="1271"/>
      <c r="U84" s="1271"/>
      <c r="V84" s="685"/>
      <c r="W84" s="1270"/>
      <c r="X84" s="1271"/>
      <c r="Y84" s="1271"/>
      <c r="Z84" s="1271"/>
      <c r="AA84" s="685"/>
      <c r="AB84" s="1270"/>
      <c r="AC84" s="1271"/>
      <c r="AD84" s="1271"/>
      <c r="AE84" s="1271"/>
      <c r="AF84" s="685"/>
      <c r="AG84" s="1270"/>
      <c r="AH84" s="1271"/>
      <c r="AI84" s="1271"/>
      <c r="AJ84" s="1271"/>
      <c r="AK84" s="685"/>
      <c r="AL84" s="1270"/>
      <c r="AM84" s="1271"/>
      <c r="AN84" s="1271"/>
      <c r="AO84" s="1271"/>
      <c r="AP84" s="685"/>
      <c r="AQ84" s="1270"/>
      <c r="AR84" s="1271"/>
      <c r="AS84" s="1271"/>
      <c r="AT84" s="1271"/>
      <c r="AU84" s="685"/>
      <c r="AV84" s="1270"/>
      <c r="AW84" s="1271"/>
      <c r="AX84" s="1271"/>
      <c r="AY84" s="1271"/>
      <c r="AZ84" s="685"/>
      <c r="BA84" s="1270"/>
      <c r="BB84" s="1271"/>
      <c r="BC84" s="1271"/>
      <c r="BD84" s="1271"/>
      <c r="BE84" s="685"/>
      <c r="BF84" s="1270"/>
      <c r="BG84" s="1271"/>
      <c r="BH84" s="1271"/>
      <c r="BI84" s="1271"/>
      <c r="BJ84" s="685"/>
      <c r="BK84" s="1270"/>
      <c r="BL84" s="1271"/>
      <c r="BM84" s="1271"/>
      <c r="BN84" s="1271"/>
      <c r="BO84" s="685"/>
      <c r="BP84" s="1270"/>
      <c r="BQ84" s="1271"/>
      <c r="BR84" s="1271"/>
      <c r="BS84" s="1271"/>
      <c r="BT84" s="685"/>
      <c r="BU84" s="1270"/>
      <c r="BV84" s="1271"/>
      <c r="BW84" s="1271"/>
      <c r="BX84" s="1271"/>
      <c r="BY84" s="685"/>
      <c r="BZ84" s="1270"/>
      <c r="CA84" s="1271"/>
      <c r="CB84" s="1271"/>
      <c r="CC84" s="1271"/>
      <c r="CD84" s="685"/>
      <c r="CE84" s="1270"/>
      <c r="CF84" s="1271"/>
      <c r="CG84" s="1271"/>
      <c r="CH84" s="1271"/>
      <c r="CI84" s="685"/>
      <c r="CJ84" s="1270"/>
      <c r="CK84" s="1271"/>
      <c r="CL84" s="1271"/>
      <c r="CM84" s="1271"/>
      <c r="CN84" s="685"/>
      <c r="CO84" s="1270"/>
      <c r="CP84" s="1271"/>
      <c r="CQ84" s="1271"/>
      <c r="CR84" s="1271"/>
      <c r="CS84" s="685"/>
      <c r="CT84" s="1270"/>
      <c r="CU84" s="1271"/>
      <c r="CV84" s="1271"/>
      <c r="CW84" s="1271"/>
      <c r="CX84" s="685"/>
      <c r="CY84" s="1270"/>
      <c r="CZ84" s="1270"/>
      <c r="DA84" s="1270"/>
      <c r="DB84" s="1270"/>
      <c r="DC84" s="685"/>
      <c r="DD84" s="1270">
        <f t="shared" ref="DD84:DM84" si="230">DD78-DD68</f>
      </c>
      <c r="DE84" s="1270">
        <f t="shared" si="230"/>
      </c>
      <c r="DF84" s="1270">
        <f t="shared" si="230"/>
      </c>
      <c r="DG84" s="1270">
        <f t="shared" si="230"/>
      </c>
      <c r="DH84" s="685">
        <f t="shared" si="230"/>
      </c>
      <c r="DI84" s="1270">
        <f t="shared" si="230"/>
      </c>
      <c r="DJ84" s="1270">
        <f t="shared" si="230"/>
      </c>
      <c r="DK84" s="1270">
        <f t="shared" si="230"/>
      </c>
      <c r="DL84" s="1270">
        <f t="shared" si="230"/>
      </c>
      <c r="DM84" s="685">
        <f t="shared" si="230"/>
      </c>
      <c r="DN84" s="1270">
        <f t="shared" ref="DN84:DR84" si="231">DN78-DN68</f>
      </c>
      <c r="DO84" s="1270">
        <f t="shared" si="231"/>
      </c>
      <c r="DP84" s="1270">
        <f t="shared" si="231"/>
      </c>
      <c r="DQ84" s="1270">
        <f t="shared" si="231"/>
      </c>
      <c r="DR84" s="685">
        <f t="shared" si="231"/>
      </c>
      <c r="DS84" s="1270">
        <f t="shared" ref="DS84:EQ84" si="232">DS78-DS68</f>
      </c>
      <c r="DT84" s="1270">
        <f t="shared" si="232"/>
      </c>
      <c r="DU84" s="1270">
        <f t="shared" si="232"/>
      </c>
      <c r="DV84" s="1270">
        <f t="shared" si="232"/>
      </c>
      <c r="DW84" s="685">
        <f t="shared" si="232"/>
      </c>
      <c r="DX84" s="1270">
        <f t="shared" si="232"/>
      </c>
      <c r="DY84" s="1270">
        <f t="shared" si="232"/>
      </c>
      <c r="DZ84" s="1270">
        <f t="shared" si="232"/>
      </c>
      <c r="EA84" s="1270">
        <f t="shared" si="232"/>
      </c>
      <c r="EB84" s="685">
        <f t="shared" si="232"/>
      </c>
      <c r="EC84" s="1270">
        <f t="shared" si="232"/>
      </c>
      <c r="ED84" s="1270">
        <f t="shared" si="232"/>
      </c>
      <c r="EE84" s="1270">
        <f t="shared" si="232"/>
      </c>
      <c r="EF84" s="1270">
        <f t="shared" si="232"/>
      </c>
      <c r="EG84" s="685">
        <f t="shared" si="232"/>
      </c>
      <c r="EH84" s="1270">
        <f t="shared" si="232"/>
      </c>
      <c r="EI84" s="1270">
        <f t="shared" si="232"/>
      </c>
      <c r="EJ84" s="1270">
        <f t="shared" si="232"/>
      </c>
      <c r="EK84" s="1270">
        <f t="shared" si="232"/>
      </c>
      <c r="EL84" s="685">
        <f t="shared" si="232"/>
      </c>
      <c r="EM84" s="1270">
        <f t="shared" si="232"/>
      </c>
      <c r="EN84" s="1270">
        <f t="shared" si="232"/>
      </c>
      <c r="EO84" s="1270">
        <f t="shared" si="232"/>
      </c>
      <c r="EP84" s="1270">
        <f t="shared" si="232"/>
      </c>
      <c r="EQ84" s="685">
        <f t="shared" si="232"/>
      </c>
      <c r="ER84" s="1270">
        <f t="shared" ref="ER84:EW84" si="233">ER78-ER68</f>
      </c>
      <c r="ES84" s="1270">
        <f t="shared" si="233"/>
      </c>
      <c r="ET84" s="1270">
        <f t="shared" si="233"/>
      </c>
      <c r="EU84" s="1270">
        <f t="shared" si="233"/>
      </c>
      <c r="EV84" s="685">
        <f t="shared" si="233"/>
      </c>
      <c r="EW84" s="1270">
        <f t="shared" si="233"/>
      </c>
      <c r="EX84" s="1270">
        <f t="shared" ref="EX84:FA84" si="234">EX78-EX68</f>
      </c>
      <c r="EY84" s="1270">
        <f t="shared" si="234"/>
      </c>
      <c r="EZ84" s="1270">
        <f t="shared" si="234"/>
      </c>
      <c r="FA84" s="685">
        <f t="shared" si="234"/>
      </c>
      <c r="FB84" s="1282">
        <f>BS!FB114</f>
      </c>
      <c r="FC84" s="1282">
        <f>BS!FC114</f>
      </c>
      <c r="FD84" s="1282">
        <f>BS!FD114</f>
      </c>
      <c r="FE84" s="1282">
        <f>BS!FE114</f>
      </c>
      <c r="FF84" s="668">
        <f>BS!FF114</f>
      </c>
      <c r="FG84" s="1282">
        <f>BS!FG114</f>
      </c>
      <c r="FH84" s="1282">
        <f>BS!FH114</f>
      </c>
      <c r="FI84" s="1282">
        <f>BS!FI114</f>
      </c>
      <c r="FJ84" s="1282">
        <f>BS!FJ114</f>
      </c>
      <c r="FK84" s="668">
        <f>BS!FK114</f>
      </c>
      <c r="FL84" s="1282">
        <f>BS!FL114</f>
      </c>
      <c r="FM84" s="1282">
        <f>BS!FM114</f>
      </c>
      <c r="FN84" s="1282">
        <f>BS!FN114</f>
      </c>
      <c r="FO84" s="1282">
        <f>BS!FO114</f>
      </c>
      <c r="FP84" s="668">
        <f>BS!FP114</f>
      </c>
      <c r="FQ84" s="1282">
        <f>BS!FQ114</f>
      </c>
      <c r="FR84" s="1282">
        <f>BS!FR114</f>
      </c>
      <c r="FS84" s="1282">
        <f>BS!FS114</f>
      </c>
      <c r="FT84" s="1282">
        <f>BS!FT114</f>
      </c>
      <c r="FU84" s="668">
        <f>BS!FU114</f>
      </c>
      <c r="FV84" s="1282">
        <f>BS!FV114</f>
      </c>
      <c r="FW84" s="1282">
        <f>BS!FW114</f>
      </c>
      <c r="FX84" s="1282">
        <f>BS!FX114</f>
      </c>
      <c r="FY84" s="1282">
        <f>BS!FY114</f>
      </c>
      <c r="FZ84" s="668">
        <f>BS!FZ114</f>
      </c>
      <c r="GA84" s="1282">
        <f>BS!GA114</f>
      </c>
      <c r="GB84" s="1282">
        <f>BS!GB114</f>
      </c>
      <c r="GC84" s="1282">
        <f>BS!GC114</f>
      </c>
      <c r="GD84" s="1282">
        <f>BS!GD114</f>
      </c>
      <c r="GE84" s="668">
        <f>BS!GE114</f>
      </c>
      <c r="GF84" s="1282">
        <f>BS!GF114</f>
      </c>
      <c r="GG84" s="1282">
        <f>BS!GG114</f>
      </c>
      <c r="GH84" s="1282">
        <f>BS!GH114</f>
      </c>
      <c r="GI84" s="1282">
        <f>BS!GI114</f>
      </c>
      <c r="GJ84" s="668">
        <f>BS!GJ114</f>
      </c>
    </row>
    <row r="85" spans="1:192" s="374" customFormat="1" ht="12.75" hidden="1" customHeight="1" outlineLevel="1">
      <c r="A85" s="370"/>
      <c r="B85" s="1436" t="s">
        <v>34</v>
      </c>
      <c r="C85" s="1005"/>
      <c r="D85" s="767"/>
      <c r="E85" s="767"/>
      <c r="F85" s="767"/>
      <c r="G85" s="373"/>
      <c r="H85" s="1005"/>
      <c r="I85" s="767"/>
      <c r="J85" s="767"/>
      <c r="K85" s="767"/>
      <c r="L85" s="373"/>
      <c r="M85" s="1005"/>
      <c r="N85" s="767"/>
      <c r="O85" s="767"/>
      <c r="P85" s="767"/>
      <c r="Q85" s="373"/>
      <c r="R85" s="1005"/>
      <c r="S85" s="767"/>
      <c r="T85" s="767"/>
      <c r="U85" s="767"/>
      <c r="V85" s="373"/>
      <c r="W85" s="1005"/>
      <c r="X85" s="767"/>
      <c r="Y85" s="767"/>
      <c r="Z85" s="767"/>
      <c r="AA85" s="373"/>
      <c r="AB85" s="1005"/>
      <c r="AC85" s="767"/>
      <c r="AD85" s="767"/>
      <c r="AE85" s="767"/>
      <c r="AF85" s="373"/>
      <c r="AG85" s="1005"/>
      <c r="AH85" s="767"/>
      <c r="AI85" s="767"/>
      <c r="AJ85" s="767"/>
      <c r="AK85" s="373"/>
      <c r="AL85" s="1005"/>
      <c r="AM85" s="767"/>
      <c r="AN85" s="767"/>
      <c r="AO85" s="767"/>
      <c r="AP85" s="373"/>
      <c r="AQ85" s="1005"/>
      <c r="AR85" s="767"/>
      <c r="AS85" s="767"/>
      <c r="AT85" s="767"/>
      <c r="AU85" s="373"/>
      <c r="AV85" s="1005"/>
      <c r="AW85" s="767"/>
      <c r="AX85" s="767"/>
      <c r="AY85" s="767"/>
      <c r="AZ85" s="373"/>
      <c r="BA85" s="1005"/>
      <c r="BB85" s="767"/>
      <c r="BC85" s="767"/>
      <c r="BD85" s="767"/>
      <c r="BE85" s="373"/>
      <c r="BF85" s="1005"/>
      <c r="BG85" s="767"/>
      <c r="BH85" s="767"/>
      <c r="BI85" s="767"/>
      <c r="BJ85" s="373"/>
      <c r="BK85" s="1005"/>
      <c r="BL85" s="767"/>
      <c r="BM85" s="767"/>
      <c r="BN85" s="767"/>
      <c r="BO85" s="373"/>
      <c r="BP85" s="1005"/>
      <c r="BQ85" s="767"/>
      <c r="BR85" s="767"/>
      <c r="BS85" s="767"/>
      <c r="BT85" s="373"/>
      <c r="BU85" s="1005"/>
      <c r="BV85" s="767"/>
      <c r="BW85" s="767"/>
      <c r="BX85" s="767"/>
      <c r="BY85" s="373"/>
      <c r="BZ85" s="1005"/>
      <c r="CA85" s="767"/>
      <c r="CB85" s="767"/>
      <c r="CC85" s="767"/>
      <c r="CD85" s="373"/>
      <c r="CE85" s="1005"/>
      <c r="CF85" s="767"/>
      <c r="CG85" s="767"/>
      <c r="CH85" s="767"/>
      <c r="CI85" s="373"/>
      <c r="CJ85" s="1005"/>
      <c r="CK85" s="767"/>
      <c r="CL85" s="767"/>
      <c r="CM85" s="767"/>
      <c r="CN85" s="373"/>
      <c r="CO85" s="1005"/>
      <c r="CP85" s="767"/>
      <c r="CQ85" s="767"/>
      <c r="CR85" s="767"/>
      <c r="CS85" s="373"/>
      <c r="CT85" s="1005"/>
      <c r="CU85" s="767"/>
      <c r="CV85" s="767"/>
      <c r="CW85" s="767"/>
      <c r="CX85" s="373"/>
      <c r="CY85" s="1005"/>
      <c r="CZ85" s="767"/>
      <c r="DA85" s="767"/>
      <c r="DB85" s="767"/>
      <c r="DC85" s="373"/>
      <c r="DD85" s="633"/>
      <c r="DE85" s="634"/>
      <c r="DF85" s="634"/>
      <c r="DG85" s="634"/>
      <c r="DH85" s="373"/>
      <c r="DI85" s="770">
        <f t="shared" ref="DI85" si="235">DI84/DD84-1</f>
      </c>
      <c r="DJ85" s="770">
        <f t="shared" ref="DJ85" si="236">DJ84/DE84-1</f>
      </c>
      <c r="DK85" s="770">
        <f t="shared" ref="DK85" si="237">DK84/DF84-1</f>
      </c>
      <c r="DL85" s="770">
        <f t="shared" ref="DL85" si="238">DL84/DG84-1</f>
      </c>
      <c r="DM85" s="1026">
        <f t="shared" ref="DM85" si="239">DM84/DH84-1</f>
      </c>
      <c r="DN85" s="770">
        <f t="shared" ref="DN85:ES85" si="240">DN84/DI84-1</f>
      </c>
      <c r="DO85" s="770">
        <f t="shared" si="240"/>
      </c>
      <c r="DP85" s="770">
        <f t="shared" si="240"/>
      </c>
      <c r="DQ85" s="770">
        <f t="shared" si="240"/>
      </c>
      <c r="DR85" s="1026">
        <f t="shared" si="240"/>
      </c>
      <c r="DS85" s="770">
        <f t="shared" si="240"/>
      </c>
      <c r="DT85" s="770">
        <f t="shared" si="240"/>
      </c>
      <c r="DU85" s="770">
        <f t="shared" si="240"/>
      </c>
      <c r="DV85" s="770">
        <f t="shared" si="240"/>
      </c>
      <c r="DW85" s="1026">
        <f t="shared" si="240"/>
      </c>
      <c r="DX85" s="770">
        <f t="shared" si="240"/>
      </c>
      <c r="DY85" s="770">
        <f t="shared" si="240"/>
      </c>
      <c r="DZ85" s="770">
        <f t="shared" si="240"/>
      </c>
      <c r="EA85" s="770">
        <f t="shared" si="240"/>
      </c>
      <c r="EB85" s="1026">
        <f t="shared" si="240"/>
      </c>
      <c r="EC85" s="770">
        <f t="shared" si="240"/>
      </c>
      <c r="ED85" s="770">
        <f t="shared" si="240"/>
      </c>
      <c r="EE85" s="770">
        <f t="shared" si="240"/>
      </c>
      <c r="EF85" s="770">
        <f t="shared" si="240"/>
      </c>
      <c r="EG85" s="1026">
        <f t="shared" si="240"/>
      </c>
      <c r="EH85" s="770">
        <f t="shared" si="240"/>
      </c>
      <c r="EI85" s="770">
        <f t="shared" si="240"/>
      </c>
      <c r="EJ85" s="770">
        <f t="shared" si="240"/>
      </c>
      <c r="EK85" s="770">
        <f t="shared" si="240"/>
      </c>
      <c r="EL85" s="1026">
        <f t="shared" si="240"/>
      </c>
      <c r="EM85" s="770">
        <f t="shared" si="240"/>
      </c>
      <c r="EN85" s="770">
        <f t="shared" si="240"/>
      </c>
      <c r="EO85" s="770">
        <f t="shared" si="240"/>
      </c>
      <c r="EP85" s="770">
        <f t="shared" si="240"/>
      </c>
      <c r="EQ85" s="1026">
        <f t="shared" si="240"/>
      </c>
      <c r="ER85" s="770">
        <f t="shared" si="240"/>
      </c>
      <c r="ES85" s="770">
        <f t="shared" si="240"/>
      </c>
      <c r="ET85" s="770">
        <f t="shared" ref="ET85:FY85" si="241">ET84/EO84-1</f>
      </c>
      <c r="EU85" s="770">
        <f t="shared" si="241"/>
      </c>
      <c r="EV85" s="1026">
        <f t="shared" si="241"/>
      </c>
      <c r="EW85" s="770">
        <f t="shared" si="241"/>
      </c>
      <c r="EX85" s="770">
        <f t="shared" si="241"/>
      </c>
      <c r="EY85" s="770">
        <f t="shared" si="241"/>
      </c>
      <c r="EZ85" s="770">
        <f t="shared" si="241"/>
      </c>
      <c r="FA85" s="1026">
        <f t="shared" si="241"/>
      </c>
      <c r="FB85" s="770">
        <f t="shared" si="241"/>
      </c>
      <c r="FC85" s="770">
        <f t="shared" si="241"/>
      </c>
      <c r="FD85" s="770">
        <f t="shared" si="241"/>
      </c>
      <c r="FE85" s="770">
        <f t="shared" si="241"/>
      </c>
      <c r="FF85" s="1026">
        <f t="shared" si="241"/>
      </c>
      <c r="FG85" s="770">
        <f t="shared" si="241"/>
      </c>
      <c r="FH85" s="770">
        <f t="shared" si="241"/>
      </c>
      <c r="FI85" s="770">
        <f t="shared" si="241"/>
      </c>
      <c r="FJ85" s="770">
        <f t="shared" si="241"/>
      </c>
      <c r="FK85" s="1026">
        <f t="shared" si="241"/>
      </c>
      <c r="FL85" s="770">
        <f t="shared" si="241"/>
      </c>
      <c r="FM85" s="770">
        <f t="shared" si="241"/>
      </c>
      <c r="FN85" s="770">
        <f t="shared" si="241"/>
      </c>
      <c r="FO85" s="770">
        <f t="shared" si="241"/>
      </c>
      <c r="FP85" s="1026">
        <f t="shared" si="241"/>
      </c>
      <c r="FQ85" s="770">
        <f t="shared" si="241"/>
      </c>
      <c r="FR85" s="770">
        <f t="shared" si="241"/>
      </c>
      <c r="FS85" s="770">
        <f t="shared" si="241"/>
      </c>
      <c r="FT85" s="770">
        <f t="shared" si="241"/>
      </c>
      <c r="FU85" s="1026">
        <f t="shared" si="241"/>
      </c>
      <c r="FV85" s="770">
        <f t="shared" si="241"/>
      </c>
      <c r="FW85" s="770">
        <f t="shared" si="241"/>
      </c>
      <c r="FX85" s="770">
        <f t="shared" si="241"/>
      </c>
      <c r="FY85" s="770">
        <f t="shared" si="241"/>
      </c>
      <c r="FZ85" s="1026">
        <f t="shared" ref="FZ85:GE85" si="242">FZ84/FU84-1</f>
      </c>
      <c r="GA85" s="770">
        <f t="shared" si="242"/>
      </c>
      <c r="GB85" s="770">
        <f t="shared" si="242"/>
      </c>
      <c r="GC85" s="770">
        <f t="shared" si="242"/>
      </c>
      <c r="GD85" s="770">
        <f t="shared" si="242"/>
      </c>
      <c r="GE85" s="1026">
        <f t="shared" si="242"/>
      </c>
      <c r="GF85" s="770">
        <f t="shared" ref="GF85" si="243">GF84/GA84-1</f>
      </c>
      <c r="GG85" s="770">
        <f t="shared" ref="GG85" si="244">GG84/GB84-1</f>
      </c>
      <c r="GH85" s="770">
        <f t="shared" ref="GH85" si="245">GH84/GC84-1</f>
      </c>
      <c r="GI85" s="770">
        <f t="shared" ref="GI85" si="246">GI84/GD84-1</f>
      </c>
      <c r="GJ85" s="1026">
        <f t="shared" ref="GJ85" si="247">GJ84/GE84-1</f>
      </c>
    </row>
    <row r="86" spans="1:192" s="374" customFormat="1" ht="12.75" hidden="1" customHeight="1" outlineLevel="1">
      <c r="A86" s="370"/>
      <c r="B86" s="1436" t="str">
        <f>BS!B117</f>
      </c>
      <c r="C86" s="1005"/>
      <c r="D86" s="767"/>
      <c r="E86" s="767"/>
      <c r="F86" s="767"/>
      <c r="G86" s="373"/>
      <c r="H86" s="1005"/>
      <c r="I86" s="767"/>
      <c r="J86" s="767"/>
      <c r="K86" s="767"/>
      <c r="L86" s="373"/>
      <c r="M86" s="1005"/>
      <c r="N86" s="767"/>
      <c r="O86" s="767"/>
      <c r="P86" s="767"/>
      <c r="Q86" s="373"/>
      <c r="R86" s="1005"/>
      <c r="S86" s="767"/>
      <c r="T86" s="767"/>
      <c r="U86" s="767"/>
      <c r="V86" s="373"/>
      <c r="W86" s="1005"/>
      <c r="X86" s="767"/>
      <c r="Y86" s="767"/>
      <c r="Z86" s="767"/>
      <c r="AA86" s="373"/>
      <c r="AB86" s="1005"/>
      <c r="AC86" s="767"/>
      <c r="AD86" s="767"/>
      <c r="AE86" s="767"/>
      <c r="AF86" s="373"/>
      <c r="AG86" s="1005"/>
      <c r="AH86" s="767"/>
      <c r="AI86" s="767"/>
      <c r="AJ86" s="767"/>
      <c r="AK86" s="373"/>
      <c r="AL86" s="1005"/>
      <c r="AM86" s="767"/>
      <c r="AN86" s="767"/>
      <c r="AO86" s="767"/>
      <c r="AP86" s="373"/>
      <c r="AQ86" s="1005"/>
      <c r="AR86" s="767"/>
      <c r="AS86" s="767"/>
      <c r="AT86" s="767"/>
      <c r="AU86" s="373"/>
      <c r="AV86" s="1005"/>
      <c r="AW86" s="767"/>
      <c r="AX86" s="767"/>
      <c r="AY86" s="767"/>
      <c r="AZ86" s="373"/>
      <c r="BA86" s="1005"/>
      <c r="BB86" s="767"/>
      <c r="BC86" s="767"/>
      <c r="BD86" s="767"/>
      <c r="BE86" s="373"/>
      <c r="BF86" s="1005"/>
      <c r="BG86" s="767"/>
      <c r="BH86" s="767"/>
      <c r="BI86" s="767"/>
      <c r="BJ86" s="373"/>
      <c r="BK86" s="1005"/>
      <c r="BL86" s="767"/>
      <c r="BM86" s="767"/>
      <c r="BN86" s="767"/>
      <c r="BO86" s="373"/>
      <c r="BP86" s="1005"/>
      <c r="BQ86" s="767"/>
      <c r="BR86" s="767"/>
      <c r="BS86" s="767"/>
      <c r="BT86" s="373"/>
      <c r="BU86" s="1005"/>
      <c r="BV86" s="767"/>
      <c r="BW86" s="767"/>
      <c r="BX86" s="767"/>
      <c r="BY86" s="373"/>
      <c r="BZ86" s="1005"/>
      <c r="CA86" s="767"/>
      <c r="CB86" s="767"/>
      <c r="CC86" s="767"/>
      <c r="CD86" s="373"/>
      <c r="CE86" s="1005"/>
      <c r="CF86" s="767"/>
      <c r="CG86" s="767"/>
      <c r="CH86" s="767"/>
      <c r="CI86" s="373"/>
      <c r="CJ86" s="1005"/>
      <c r="CK86" s="767"/>
      <c r="CL86" s="767"/>
      <c r="CM86" s="767"/>
      <c r="CN86" s="373"/>
      <c r="CO86" s="1005"/>
      <c r="CP86" s="767"/>
      <c r="CQ86" s="767"/>
      <c r="CR86" s="767"/>
      <c r="CS86" s="373"/>
      <c r="CT86" s="1005"/>
      <c r="CU86" s="767"/>
      <c r="CV86" s="767"/>
      <c r="CW86" s="767"/>
      <c r="CX86" s="373"/>
      <c r="CY86" s="770"/>
      <c r="CZ86" s="771"/>
      <c r="DA86" s="771"/>
      <c r="DB86" s="771"/>
      <c r="DC86" s="373"/>
      <c r="DD86" s="770"/>
      <c r="DE86" s="771">
        <f>DE84/DD84-1</f>
      </c>
      <c r="DF86" s="771">
        <f>DF84/DE84-1</f>
      </c>
      <c r="DG86" s="771">
        <f>DG84/DF84-1</f>
      </c>
      <c r="DH86" s="373"/>
      <c r="DI86" s="770">
        <f>DI84/DG84-1</f>
      </c>
      <c r="DJ86" s="771">
        <f>DJ84/DI84-1</f>
      </c>
      <c r="DK86" s="771">
        <f>DK84/DJ84-1</f>
      </c>
      <c r="DL86" s="771">
        <f>DL84/DK84-1</f>
      </c>
      <c r="DM86" s="373"/>
      <c r="DN86" s="770">
        <f>DN84/DL84-1</f>
      </c>
      <c r="DO86" s="771">
        <f>DO84/DN84-1</f>
      </c>
      <c r="DP86" s="771">
        <f>DP84/DO84-1</f>
      </c>
      <c r="DQ86" s="771">
        <f>DQ84/DP84-1</f>
      </c>
      <c r="DR86" s="373"/>
      <c r="DS86" s="770">
        <f>DS84/DQ84-1</f>
      </c>
      <c r="DT86" s="771">
        <f>DT84/DS84-1</f>
      </c>
      <c r="DU86" s="771">
        <f>DU84/DT84-1</f>
      </c>
      <c r="DV86" s="771">
        <f>DV84/DU84-1</f>
      </c>
      <c r="DW86" s="373"/>
      <c r="DX86" s="770">
        <f>DX84/DV84-1</f>
      </c>
      <c r="DY86" s="771">
        <f>DY84/DX84-1</f>
      </c>
      <c r="DZ86" s="771">
        <f>DZ84/DY84-1</f>
      </c>
      <c r="EA86" s="771">
        <f>EA84/DZ84-1</f>
      </c>
      <c r="EB86" s="373"/>
      <c r="EC86" s="770">
        <f>EC84/EA84-1</f>
      </c>
      <c r="ED86" s="771">
        <f>ED84/EC84-1</f>
      </c>
      <c r="EE86" s="771">
        <f>EE84/ED84-1</f>
      </c>
      <c r="EF86" s="771">
        <f>EF84/EE84-1</f>
      </c>
      <c r="EG86" s="373"/>
      <c r="EH86" s="770">
        <f>EH84/EF84-1</f>
      </c>
      <c r="EI86" s="771">
        <f>EI84/EH84-1</f>
      </c>
      <c r="EJ86" s="771">
        <f>EJ84/EI84-1</f>
      </c>
      <c r="EK86" s="771">
        <f>EK84/EJ84-1</f>
      </c>
      <c r="EL86" s="373"/>
      <c r="EM86" s="770">
        <f>EM84/EK84-1</f>
      </c>
      <c r="EN86" s="771">
        <f>EN84/EM84-1</f>
      </c>
      <c r="EO86" s="771">
        <f>EO84/EN84-1</f>
      </c>
      <c r="EP86" s="771">
        <f>EP84/EO84-1</f>
      </c>
      <c r="EQ86" s="373"/>
      <c r="ER86" s="770">
        <f>ER84/EP84-1</f>
      </c>
      <c r="ES86" s="771">
        <f>ES84/ER84-1</f>
      </c>
      <c r="ET86" s="771">
        <f>ET84/ES84-1</f>
      </c>
      <c r="EU86" s="771">
        <f>EU84/ET84-1</f>
      </c>
      <c r="EV86" s="373"/>
      <c r="EW86" s="770">
        <f>EW84/EU84-1</f>
      </c>
      <c r="EX86" s="771">
        <f>EX84/EW84-1</f>
      </c>
      <c r="EY86" s="771">
        <f>EY84/EX84-1</f>
      </c>
      <c r="EZ86" s="771">
        <f>EZ84/EY84-1</f>
      </c>
      <c r="FA86" s="373"/>
      <c r="FB86" s="770">
        <f>FB84/EZ84-1</f>
      </c>
      <c r="FC86" s="771">
        <f>FC84/FB84-1</f>
      </c>
      <c r="FD86" s="771">
        <f>FD84/FC84-1</f>
      </c>
      <c r="FE86" s="771">
        <f>FE84/FD84-1</f>
      </c>
      <c r="FF86" s="373"/>
      <c r="FG86" s="770">
        <f>FG84/FE84-1</f>
      </c>
      <c r="FH86" s="771">
        <f>FH84/FG84-1</f>
      </c>
      <c r="FI86" s="771">
        <f>FI84/FH84-1</f>
      </c>
      <c r="FJ86" s="771">
        <f>FJ84/FI84-1</f>
      </c>
      <c r="FK86" s="373"/>
      <c r="FL86" s="770">
        <f>FL84/FJ84-1</f>
      </c>
      <c r="FM86" s="771">
        <f>FM84/FL84-1</f>
      </c>
      <c r="FN86" s="771">
        <f>FN84/FM84-1</f>
      </c>
      <c r="FO86" s="771">
        <f>FO84/FN84-1</f>
      </c>
      <c r="FP86" s="373"/>
      <c r="FQ86" s="770">
        <f>BS!FQ117</f>
      </c>
      <c r="FR86" s="771">
        <f>BS!FR117</f>
      </c>
      <c r="FS86" s="771">
        <f>BS!FS117</f>
      </c>
      <c r="FT86" s="771">
        <f>BS!FT117</f>
      </c>
      <c r="FU86" s="373"/>
      <c r="FV86" s="770">
        <f>BS!FV117</f>
      </c>
      <c r="FW86" s="771">
        <f>BS!FW117</f>
      </c>
      <c r="FX86" s="771">
        <f>BS!FX117</f>
      </c>
      <c r="FY86" s="771">
        <f>BS!FY117</f>
      </c>
      <c r="FZ86" s="373"/>
      <c r="GA86" s="770">
        <f>BS!GA117</f>
      </c>
      <c r="GB86" s="771">
        <f>BS!GB117</f>
      </c>
      <c r="GC86" s="771">
        <f>BS!GC117</f>
      </c>
      <c r="GD86" s="771">
        <f>BS!GD117</f>
      </c>
      <c r="GE86" s="373"/>
      <c r="GF86" s="770">
        <f>BS!GF117</f>
      </c>
      <c r="GG86" s="771">
        <f>BS!GG117</f>
      </c>
      <c r="GH86" s="771">
        <f>BS!GH117</f>
      </c>
      <c r="GI86" s="771">
        <f>BS!GI117</f>
      </c>
      <c r="GJ86" s="373"/>
    </row>
    <row r="87" spans="1:192" s="1031" customFormat="1" ht="12.75" hidden="1" customHeight="1" outlineLevel="1">
      <c r="A87" s="1027"/>
      <c r="B87" s="1016" t="str">
        <f>BS!B118</f>
      </c>
      <c r="C87" s="1039"/>
      <c r="D87" s="1039"/>
      <c r="E87" s="1039"/>
      <c r="F87" s="1039"/>
      <c r="G87" s="1040"/>
      <c r="H87" s="1039"/>
      <c r="I87" s="1039"/>
      <c r="J87" s="1039"/>
      <c r="K87" s="1039"/>
      <c r="L87" s="1040"/>
      <c r="M87" s="1039"/>
      <c r="N87" s="1039"/>
      <c r="O87" s="1039"/>
      <c r="P87" s="1039"/>
      <c r="Q87" s="1040"/>
      <c r="R87" s="1039"/>
      <c r="S87" s="1039"/>
      <c r="T87" s="1039"/>
      <c r="U87" s="1039"/>
      <c r="V87" s="1040"/>
      <c r="W87" s="1039"/>
      <c r="X87" s="1039"/>
      <c r="Y87" s="1039"/>
      <c r="Z87" s="1039"/>
      <c r="AA87" s="1040"/>
      <c r="AB87" s="1039"/>
      <c r="AC87" s="1039"/>
      <c r="AD87" s="1039"/>
      <c r="AE87" s="1039"/>
      <c r="AF87" s="1040"/>
      <c r="AG87" s="1039"/>
      <c r="AH87" s="1039"/>
      <c r="AI87" s="1039"/>
      <c r="AJ87" s="1039"/>
      <c r="AK87" s="1040"/>
      <c r="AL87" s="1039"/>
      <c r="AM87" s="1039"/>
      <c r="AN87" s="1039"/>
      <c r="AO87" s="1039"/>
      <c r="AP87" s="1040"/>
      <c r="AQ87" s="1039"/>
      <c r="AR87" s="1039"/>
      <c r="AS87" s="1039"/>
      <c r="AT87" s="1039"/>
      <c r="AU87" s="1040"/>
      <c r="AV87" s="1039"/>
      <c r="AW87" s="1039"/>
      <c r="AX87" s="1039"/>
      <c r="AY87" s="1039"/>
      <c r="AZ87" s="1040"/>
      <c r="BA87" s="1039"/>
      <c r="BB87" s="1039"/>
      <c r="BC87" s="1039"/>
      <c r="BD87" s="1039"/>
      <c r="BE87" s="1040"/>
      <c r="BF87" s="1039"/>
      <c r="BG87" s="1039"/>
      <c r="BH87" s="1039"/>
      <c r="BI87" s="1039"/>
      <c r="BJ87" s="1040"/>
      <c r="BK87" s="1039"/>
      <c r="BL87" s="1039"/>
      <c r="BM87" s="1039"/>
      <c r="BN87" s="1039"/>
      <c r="BO87" s="1040"/>
      <c r="BP87" s="1039"/>
      <c r="BQ87" s="1039"/>
      <c r="BR87" s="1039"/>
      <c r="BS87" s="1039"/>
      <c r="BT87" s="1040"/>
      <c r="BU87" s="1039"/>
      <c r="BV87" s="1039"/>
      <c r="BW87" s="1039"/>
      <c r="BX87" s="1039"/>
      <c r="BY87" s="1040"/>
      <c r="BZ87" s="1039"/>
      <c r="CA87" s="1039"/>
      <c r="CB87" s="1039"/>
      <c r="CC87" s="1039"/>
      <c r="CD87" s="1040"/>
      <c r="CE87" s="1039"/>
      <c r="CF87" s="1039"/>
      <c r="CG87" s="1039"/>
      <c r="CH87" s="1039"/>
      <c r="CI87" s="1040"/>
      <c r="CJ87" s="1039"/>
      <c r="CK87" s="1039"/>
      <c r="CL87" s="1039"/>
      <c r="CM87" s="1039"/>
      <c r="CN87" s="1040"/>
      <c r="CO87" s="1039"/>
      <c r="CP87" s="1039"/>
      <c r="CQ87" s="1039"/>
      <c r="CR87" s="1039"/>
      <c r="CS87" s="1040"/>
      <c r="CT87" s="1039"/>
      <c r="CU87" s="1039"/>
      <c r="CV87" s="1039"/>
      <c r="CW87" s="1039"/>
      <c r="CX87" s="1040"/>
      <c r="CY87" s="1039"/>
      <c r="CZ87" s="1039"/>
      <c r="DA87" s="1039"/>
      <c r="DB87" s="1039"/>
      <c r="DC87" s="1040"/>
      <c r="DD87" s="1039"/>
      <c r="DE87" s="1039"/>
      <c r="DF87" s="1039"/>
      <c r="DG87" s="1039"/>
      <c r="DH87" s="1040"/>
      <c r="DI87" s="1039">
        <f t="shared" ref="DI87" si="248">DI84-DD84</f>
      </c>
      <c r="DJ87" s="1039">
        <f t="shared" ref="DJ87" si="249">DJ84-DE84</f>
      </c>
      <c r="DK87" s="1039">
        <f t="shared" ref="DK87" si="250">DK84-DF84</f>
      </c>
      <c r="DL87" s="1039">
        <f t="shared" ref="DL87" si="251">DL84-DG84</f>
      </c>
      <c r="DM87" s="1040">
        <f t="shared" ref="DM87" si="252">DM84-DH84</f>
      </c>
      <c r="DN87" s="1039">
        <f t="shared" ref="DN87:ES87" si="253">DN84-DI84</f>
      </c>
      <c r="DO87" s="1039">
        <f t="shared" si="253"/>
      </c>
      <c r="DP87" s="1039">
        <f t="shared" si="253"/>
      </c>
      <c r="DQ87" s="1039">
        <f t="shared" si="253"/>
      </c>
      <c r="DR87" s="1040">
        <f t="shared" si="253"/>
      </c>
      <c r="DS87" s="1039">
        <f t="shared" si="253"/>
      </c>
      <c r="DT87" s="1039">
        <f t="shared" si="253"/>
      </c>
      <c r="DU87" s="1039">
        <f t="shared" si="253"/>
      </c>
      <c r="DV87" s="1039">
        <f t="shared" si="253"/>
      </c>
      <c r="DW87" s="1040">
        <f t="shared" si="253"/>
      </c>
      <c r="DX87" s="1039">
        <f t="shared" si="253"/>
      </c>
      <c r="DY87" s="1039">
        <f t="shared" si="253"/>
      </c>
      <c r="DZ87" s="1039">
        <f t="shared" si="253"/>
      </c>
      <c r="EA87" s="1039">
        <f t="shared" si="253"/>
      </c>
      <c r="EB87" s="1040">
        <f t="shared" si="253"/>
      </c>
      <c r="EC87" s="1039">
        <f t="shared" si="253"/>
      </c>
      <c r="ED87" s="1039">
        <f t="shared" si="253"/>
      </c>
      <c r="EE87" s="1039">
        <f t="shared" si="253"/>
      </c>
      <c r="EF87" s="1039">
        <f t="shared" si="253"/>
      </c>
      <c r="EG87" s="1040">
        <f t="shared" si="253"/>
      </c>
      <c r="EH87" s="1039">
        <f t="shared" si="253"/>
      </c>
      <c r="EI87" s="1039">
        <f t="shared" si="253"/>
      </c>
      <c r="EJ87" s="1039">
        <f t="shared" si="253"/>
      </c>
      <c r="EK87" s="1039">
        <f t="shared" si="253"/>
      </c>
      <c r="EL87" s="1040">
        <f t="shared" si="253"/>
      </c>
      <c r="EM87" s="1039">
        <f t="shared" si="253"/>
      </c>
      <c r="EN87" s="1039">
        <f t="shared" si="253"/>
      </c>
      <c r="EO87" s="1039">
        <f t="shared" si="253"/>
      </c>
      <c r="EP87" s="1039">
        <f t="shared" si="253"/>
      </c>
      <c r="EQ87" s="1040">
        <f t="shared" si="253"/>
      </c>
      <c r="ER87" s="1039">
        <f t="shared" si="253"/>
      </c>
      <c r="ES87" s="1039">
        <f t="shared" si="253"/>
      </c>
      <c r="ET87" s="1039">
        <f t="shared" ref="ET87:FP87" si="254">ET84-EO84</f>
      </c>
      <c r="EU87" s="1039">
        <f t="shared" si="254"/>
      </c>
      <c r="EV87" s="1040">
        <f t="shared" si="254"/>
      </c>
      <c r="EW87" s="1039">
        <f t="shared" si="254"/>
      </c>
      <c r="EX87" s="1039">
        <f t="shared" si="254"/>
      </c>
      <c r="EY87" s="1039">
        <f t="shared" si="254"/>
      </c>
      <c r="EZ87" s="1039">
        <f t="shared" si="254"/>
      </c>
      <c r="FA87" s="1040">
        <f t="shared" si="254"/>
      </c>
      <c r="FB87" s="1039">
        <f t="shared" si="254"/>
      </c>
      <c r="FC87" s="1039">
        <f t="shared" si="254"/>
      </c>
      <c r="FD87" s="1039">
        <f t="shared" si="254"/>
      </c>
      <c r="FE87" s="1039">
        <f t="shared" si="254"/>
      </c>
      <c r="FF87" s="1040">
        <f t="shared" si="254"/>
      </c>
      <c r="FG87" s="1039">
        <f t="shared" si="254"/>
      </c>
      <c r="FH87" s="1039">
        <f t="shared" si="254"/>
      </c>
      <c r="FI87" s="1039">
        <f t="shared" si="254"/>
      </c>
      <c r="FJ87" s="1039">
        <f t="shared" si="254"/>
      </c>
      <c r="FK87" s="1040">
        <f t="shared" si="254"/>
      </c>
      <c r="FL87" s="1039">
        <f t="shared" si="254"/>
      </c>
      <c r="FM87" s="1039">
        <f t="shared" si="254"/>
      </c>
      <c r="FN87" s="1039">
        <f t="shared" si="254"/>
      </c>
      <c r="FO87" s="1039">
        <f t="shared" si="254"/>
      </c>
      <c r="FP87" s="1040">
        <f t="shared" si="254"/>
      </c>
      <c r="FQ87" s="1039">
        <f>BS!FQ118</f>
      </c>
      <c r="FR87" s="1039">
        <f>BS!FR118</f>
      </c>
      <c r="FS87" s="1039">
        <f>BS!FS118</f>
      </c>
      <c r="FT87" s="1039">
        <f>BS!FT118</f>
      </c>
      <c r="FU87" s="1040">
        <f>BS!FU118</f>
      </c>
      <c r="FV87" s="1039">
        <f>BS!FV118</f>
      </c>
      <c r="FW87" s="1039">
        <f>BS!FW118</f>
      </c>
      <c r="FX87" s="1039">
        <f>BS!FX118</f>
      </c>
      <c r="FY87" s="1039">
        <f>BS!FY118</f>
      </c>
      <c r="FZ87" s="1040">
        <f>BS!FZ118</f>
      </c>
      <c r="GA87" s="1039">
        <f>BS!GA118</f>
      </c>
      <c r="GB87" s="1039">
        <f>BS!GB118</f>
      </c>
      <c r="GC87" s="1039">
        <f>BS!GC118</f>
      </c>
      <c r="GD87" s="1039">
        <f>BS!GD118</f>
      </c>
      <c r="GE87" s="1040">
        <f>BS!GE118</f>
      </c>
      <c r="GF87" s="1039">
        <f>BS!GF118</f>
      </c>
      <c r="GG87" s="1039">
        <f>BS!GG118</f>
      </c>
      <c r="GH87" s="1039">
        <f>BS!GH118</f>
      </c>
      <c r="GI87" s="1039">
        <f>BS!GI118</f>
      </c>
      <c r="GJ87" s="1040">
        <f>BS!GJ118</f>
      </c>
    </row>
    <row r="88" spans="1:192" s="1031" customFormat="1" ht="12.75" hidden="1" customHeight="1" outlineLevel="1">
      <c r="A88" s="1027"/>
      <c r="B88" s="1016" t="str">
        <f>BS!B119</f>
      </c>
      <c r="C88" s="1039"/>
      <c r="D88" s="1039"/>
      <c r="E88" s="1039"/>
      <c r="F88" s="1039"/>
      <c r="G88" s="1040"/>
      <c r="H88" s="1039"/>
      <c r="I88" s="1039"/>
      <c r="J88" s="1039"/>
      <c r="K88" s="1039"/>
      <c r="L88" s="1040"/>
      <c r="M88" s="1039"/>
      <c r="N88" s="1039"/>
      <c r="O88" s="1039"/>
      <c r="P88" s="1039"/>
      <c r="Q88" s="1040"/>
      <c r="R88" s="1039"/>
      <c r="S88" s="1039"/>
      <c r="T88" s="1039"/>
      <c r="U88" s="1039"/>
      <c r="V88" s="1040"/>
      <c r="W88" s="1039"/>
      <c r="X88" s="1039"/>
      <c r="Y88" s="1039"/>
      <c r="Z88" s="1039"/>
      <c r="AA88" s="1040"/>
      <c r="AB88" s="1039"/>
      <c r="AC88" s="1039"/>
      <c r="AD88" s="1039"/>
      <c r="AE88" s="1039"/>
      <c r="AF88" s="1040"/>
      <c r="AG88" s="1039"/>
      <c r="AH88" s="1039"/>
      <c r="AI88" s="1039"/>
      <c r="AJ88" s="1039"/>
      <c r="AK88" s="1040"/>
      <c r="AL88" s="1039"/>
      <c r="AM88" s="1039"/>
      <c r="AN88" s="1039"/>
      <c r="AO88" s="1039"/>
      <c r="AP88" s="1040"/>
      <c r="AQ88" s="1039"/>
      <c r="AR88" s="1039"/>
      <c r="AS88" s="1039"/>
      <c r="AT88" s="1039"/>
      <c r="AU88" s="1040"/>
      <c r="AV88" s="1039"/>
      <c r="AW88" s="1039"/>
      <c r="AX88" s="1039"/>
      <c r="AY88" s="1039"/>
      <c r="AZ88" s="1040"/>
      <c r="BA88" s="1039"/>
      <c r="BB88" s="1039"/>
      <c r="BC88" s="1039"/>
      <c r="BD88" s="1039"/>
      <c r="BE88" s="1040"/>
      <c r="BF88" s="1039"/>
      <c r="BG88" s="1039"/>
      <c r="BH88" s="1039"/>
      <c r="BI88" s="1039"/>
      <c r="BJ88" s="1040"/>
      <c r="BK88" s="1039"/>
      <c r="BL88" s="1039"/>
      <c r="BM88" s="1039"/>
      <c r="BN88" s="1039"/>
      <c r="BO88" s="1040"/>
      <c r="BP88" s="1039"/>
      <c r="BQ88" s="1039"/>
      <c r="BR88" s="1039"/>
      <c r="BS88" s="1039"/>
      <c r="BT88" s="1040"/>
      <c r="BU88" s="1039"/>
      <c r="BV88" s="1039"/>
      <c r="BW88" s="1039"/>
      <c r="BX88" s="1039"/>
      <c r="BY88" s="1040"/>
      <c r="BZ88" s="1039"/>
      <c r="CA88" s="1039"/>
      <c r="CB88" s="1039"/>
      <c r="CC88" s="1039"/>
      <c r="CD88" s="1040"/>
      <c r="CE88" s="1039"/>
      <c r="CF88" s="1039"/>
      <c r="CG88" s="1039"/>
      <c r="CH88" s="1039"/>
      <c r="CI88" s="1040"/>
      <c r="CJ88" s="1039"/>
      <c r="CK88" s="1039"/>
      <c r="CL88" s="1039"/>
      <c r="CM88" s="1039"/>
      <c r="CN88" s="1040"/>
      <c r="CO88" s="1039"/>
      <c r="CP88" s="1039"/>
      <c r="CQ88" s="1039"/>
      <c r="CR88" s="1039"/>
      <c r="CS88" s="1040"/>
      <c r="CT88" s="1039"/>
      <c r="CU88" s="1039"/>
      <c r="CV88" s="1039"/>
      <c r="CW88" s="1039"/>
      <c r="CX88" s="1040"/>
      <c r="CY88" s="1039"/>
      <c r="CZ88" s="1039"/>
      <c r="DA88" s="1039"/>
      <c r="DB88" s="1039"/>
      <c r="DC88" s="1040"/>
      <c r="DD88" s="1039"/>
      <c r="DE88" s="1039"/>
      <c r="DF88" s="1039"/>
      <c r="DG88" s="1039"/>
      <c r="DH88" s="1040"/>
      <c r="DI88" s="1039">
        <f>DI84-DG84</f>
      </c>
      <c r="DJ88" s="1039">
        <f>DJ84-DI84</f>
      </c>
      <c r="DK88" s="1039">
        <f>DK84-DJ84</f>
      </c>
      <c r="DL88" s="1039">
        <f>DL84-DK84</f>
      </c>
      <c r="DM88" s="1040"/>
      <c r="DN88" s="1039">
        <f>DN84-DL84</f>
      </c>
      <c r="DO88" s="1039">
        <f>DO84-DN84</f>
      </c>
      <c r="DP88" s="1039">
        <f>DP84-DO84</f>
      </c>
      <c r="DQ88" s="1039">
        <f>DQ84-DP84</f>
      </c>
      <c r="DR88" s="1040"/>
      <c r="DS88" s="1039">
        <f>DS84-DQ84</f>
      </c>
      <c r="DT88" s="1039">
        <f>DT84-DS84</f>
      </c>
      <c r="DU88" s="1039">
        <f>DU84-DT84</f>
      </c>
      <c r="DV88" s="1039">
        <f>DV84-DU84</f>
      </c>
      <c r="DW88" s="1040"/>
      <c r="DX88" s="1039">
        <f>DX84-DV84</f>
      </c>
      <c r="DY88" s="1039">
        <f>DY84-DX84</f>
      </c>
      <c r="DZ88" s="1039">
        <f>DZ84-DY84</f>
      </c>
      <c r="EA88" s="1039">
        <f>EA84-DZ84</f>
      </c>
      <c r="EB88" s="1040"/>
      <c r="EC88" s="1039">
        <f>EC84-EA84</f>
      </c>
      <c r="ED88" s="1039">
        <f>ED84-EC84</f>
      </c>
      <c r="EE88" s="1039">
        <f>EE84-ED84</f>
      </c>
      <c r="EF88" s="1039">
        <f>EF84-EE84</f>
      </c>
      <c r="EG88" s="1040"/>
      <c r="EH88" s="1039">
        <f>EH84-EF84</f>
      </c>
      <c r="EI88" s="1039">
        <f>EI84-EH84</f>
      </c>
      <c r="EJ88" s="1039">
        <f>EJ84-EI84</f>
      </c>
      <c r="EK88" s="1039">
        <f>EK84-EJ84</f>
      </c>
      <c r="EL88" s="1040"/>
      <c r="EM88" s="1039">
        <f>EM84-EK84</f>
      </c>
      <c r="EN88" s="1039">
        <f>EN84-EM84</f>
      </c>
      <c r="EO88" s="1039">
        <f>EO84-EN84</f>
      </c>
      <c r="EP88" s="1039">
        <f>EP84-EO84</f>
      </c>
      <c r="EQ88" s="1040"/>
      <c r="ER88" s="1039">
        <f>ER84-EP84</f>
      </c>
      <c r="ES88" s="1039">
        <f>ES84-ER84</f>
      </c>
      <c r="ET88" s="1039">
        <f>ET84-ES84</f>
      </c>
      <c r="EU88" s="1039">
        <f>EU84-ET84</f>
      </c>
      <c r="EV88" s="1040"/>
      <c r="EW88" s="1039">
        <f>EW84-EU84</f>
      </c>
      <c r="EX88" s="1039">
        <f>EX84-EW84</f>
      </c>
      <c r="EY88" s="1039">
        <f>EY84-EX84</f>
      </c>
      <c r="EZ88" s="1039">
        <f>EZ84-EY84</f>
      </c>
      <c r="FA88" s="1040"/>
      <c r="FB88" s="1039">
        <f>FB84-EZ84</f>
      </c>
      <c r="FC88" s="1039">
        <f>FC84-FB84</f>
      </c>
      <c r="FD88" s="1039">
        <f>FD84-FC84</f>
      </c>
      <c r="FE88" s="1039">
        <f>FE84-FD84</f>
      </c>
      <c r="FF88" s="1040"/>
      <c r="FG88" s="1039">
        <f>FG84-FE84</f>
      </c>
      <c r="FH88" s="1039">
        <f>FH84-FG84</f>
      </c>
      <c r="FI88" s="1039">
        <f>FI84-FH84</f>
      </c>
      <c r="FJ88" s="1039">
        <f>FJ84-FI84</f>
      </c>
      <c r="FK88" s="1040"/>
      <c r="FL88" s="1039">
        <f>FL84-FJ84</f>
      </c>
      <c r="FM88" s="1039">
        <f>FM84-FL84</f>
      </c>
      <c r="FN88" s="1039">
        <f>FN84-FM84</f>
      </c>
      <c r="FO88" s="1039">
        <f>FO84-FN84</f>
      </c>
      <c r="FP88" s="1040"/>
      <c r="FQ88" s="1039">
        <f>BS!FQ119</f>
      </c>
      <c r="FR88" s="1039">
        <f>BS!FR119</f>
      </c>
      <c r="FS88" s="1039">
        <f>BS!FS119</f>
      </c>
      <c r="FT88" s="1039">
        <f>BS!FT119</f>
      </c>
      <c r="FU88" s="1040"/>
      <c r="FV88" s="1039">
        <f>BS!FV119</f>
      </c>
      <c r="FW88" s="1039">
        <f>BS!FW119</f>
      </c>
      <c r="FX88" s="1039">
        <f>BS!FX119</f>
      </c>
      <c r="FY88" s="1039">
        <f>BS!FY119</f>
      </c>
      <c r="FZ88" s="1040"/>
      <c r="GA88" s="1039">
        <f>BS!GA119</f>
      </c>
      <c r="GB88" s="1039">
        <f>BS!GB119</f>
      </c>
      <c r="GC88" s="1039">
        <f>BS!GC119</f>
      </c>
      <c r="GD88" s="1039">
        <f>BS!GD119</f>
      </c>
      <c r="GE88" s="1040"/>
      <c r="GF88" s="1039">
        <f>BS!GF119</f>
      </c>
      <c r="GG88" s="1039">
        <f>BS!GG119</f>
      </c>
      <c r="GH88" s="1039">
        <f>BS!GH119</f>
      </c>
      <c r="GI88" s="1039">
        <f>BS!GI119</f>
      </c>
      <c r="GJ88" s="1040"/>
    </row>
    <row r="89" spans="1:192" s="1031" customFormat="1" ht="12.75" hidden="1" customHeight="1" outlineLevel="1">
      <c r="A89" s="1027"/>
      <c r="B89" s="1016"/>
      <c r="C89" s="1039"/>
      <c r="D89" s="1039"/>
      <c r="E89" s="1039"/>
      <c r="F89" s="1039"/>
      <c r="G89" s="1040"/>
      <c r="H89" s="1039"/>
      <c r="I89" s="1039"/>
      <c r="J89" s="1039"/>
      <c r="K89" s="1039"/>
      <c r="L89" s="1040"/>
      <c r="M89" s="1039"/>
      <c r="N89" s="1039"/>
      <c r="O89" s="1039"/>
      <c r="P89" s="1039"/>
      <c r="Q89" s="1040"/>
      <c r="R89" s="1039"/>
      <c r="S89" s="1039"/>
      <c r="T89" s="1039"/>
      <c r="U89" s="1039"/>
      <c r="V89" s="1040"/>
      <c r="W89" s="1039"/>
      <c r="X89" s="1039"/>
      <c r="Y89" s="1039"/>
      <c r="Z89" s="1039"/>
      <c r="AA89" s="1040"/>
      <c r="AB89" s="1039"/>
      <c r="AC89" s="1039"/>
      <c r="AD89" s="1039"/>
      <c r="AE89" s="1039"/>
      <c r="AF89" s="1040"/>
      <c r="AG89" s="1039"/>
      <c r="AH89" s="1039"/>
      <c r="AI89" s="1039"/>
      <c r="AJ89" s="1039"/>
      <c r="AK89" s="1040"/>
      <c r="AL89" s="1039"/>
      <c r="AM89" s="1039"/>
      <c r="AN89" s="1039"/>
      <c r="AO89" s="1039"/>
      <c r="AP89" s="1040"/>
      <c r="AQ89" s="1039"/>
      <c r="AR89" s="1039"/>
      <c r="AS89" s="1039"/>
      <c r="AT89" s="1039"/>
      <c r="AU89" s="1040"/>
      <c r="AV89" s="1039"/>
      <c r="AW89" s="1039"/>
      <c r="AX89" s="1039"/>
      <c r="AY89" s="1039"/>
      <c r="AZ89" s="1040"/>
      <c r="BA89" s="1039"/>
      <c r="BB89" s="1039"/>
      <c r="BC89" s="1039"/>
      <c r="BD89" s="1039"/>
      <c r="BE89" s="1040"/>
      <c r="BF89" s="1039"/>
      <c r="BG89" s="1039"/>
      <c r="BH89" s="1039"/>
      <c r="BI89" s="1039"/>
      <c r="BJ89" s="1040"/>
      <c r="BK89" s="1039"/>
      <c r="BL89" s="1039"/>
      <c r="BM89" s="1039"/>
      <c r="BN89" s="1039"/>
      <c r="BO89" s="1040"/>
      <c r="BP89" s="1039"/>
      <c r="BQ89" s="1039"/>
      <c r="BR89" s="1039"/>
      <c r="BS89" s="1039"/>
      <c r="BT89" s="1040"/>
      <c r="BU89" s="1039"/>
      <c r="BV89" s="1039"/>
      <c r="BW89" s="1039"/>
      <c r="BX89" s="1039"/>
      <c r="BY89" s="1040"/>
      <c r="BZ89" s="1039"/>
      <c r="CA89" s="1039"/>
      <c r="CB89" s="1039"/>
      <c r="CC89" s="1039"/>
      <c r="CD89" s="1040"/>
      <c r="CE89" s="1039"/>
      <c r="CF89" s="1039"/>
      <c r="CG89" s="1039"/>
      <c r="CH89" s="1039"/>
      <c r="CI89" s="1040"/>
      <c r="CJ89" s="1039"/>
      <c r="CK89" s="1039"/>
      <c r="CL89" s="1039"/>
      <c r="CM89" s="1039"/>
      <c r="CN89" s="1040"/>
      <c r="CO89" s="1039"/>
      <c r="CP89" s="1039"/>
      <c r="CQ89" s="1039"/>
      <c r="CR89" s="1039"/>
      <c r="CS89" s="1040"/>
      <c r="CT89" s="1039"/>
      <c r="CU89" s="1039"/>
      <c r="CV89" s="1039"/>
      <c r="CW89" s="1039"/>
      <c r="CX89" s="1040"/>
      <c r="CY89" s="1039"/>
      <c r="CZ89" s="1039"/>
      <c r="DA89" s="1039"/>
      <c r="DB89" s="1039"/>
      <c r="DC89" s="1040"/>
      <c r="DD89" s="1039"/>
      <c r="DE89" s="1039"/>
      <c r="DF89" s="1039"/>
      <c r="DG89" s="1039"/>
      <c r="DH89" s="1040"/>
      <c r="DI89" s="1039"/>
      <c r="DJ89" s="1039"/>
      <c r="DK89" s="1039"/>
      <c r="DL89" s="1039"/>
      <c r="DM89" s="1040"/>
      <c r="DN89" s="1039"/>
      <c r="DO89" s="1039"/>
      <c r="DP89" s="1039"/>
      <c r="DQ89" s="1039"/>
      <c r="DR89" s="1040"/>
      <c r="DS89" s="1039"/>
      <c r="DT89" s="1039"/>
      <c r="DU89" s="1039"/>
      <c r="DV89" s="1039"/>
      <c r="DW89" s="1040"/>
      <c r="DX89" s="1039"/>
      <c r="DY89" s="1039"/>
      <c r="DZ89" s="1039"/>
      <c r="EA89" s="1039"/>
      <c r="EB89" s="1040"/>
      <c r="EC89" s="1039"/>
      <c r="ED89" s="1039"/>
      <c r="EE89" s="1039"/>
      <c r="EF89" s="1039"/>
      <c r="EG89" s="1040"/>
      <c r="EH89" s="1039"/>
      <c r="EI89" s="1039"/>
      <c r="EJ89" s="1039"/>
      <c r="EK89" s="1039"/>
      <c r="EL89" s="1040"/>
      <c r="EM89" s="1039"/>
      <c r="EN89" s="1411"/>
      <c r="EO89" s="1411"/>
      <c r="EP89" s="1411"/>
      <c r="EQ89" s="1040"/>
      <c r="ER89" s="1411"/>
      <c r="ES89" s="1411"/>
      <c r="ET89" s="1411"/>
      <c r="EU89" s="1411"/>
      <c r="EV89" s="1040"/>
      <c r="EW89" s="1411"/>
      <c r="EX89" s="1411"/>
      <c r="EY89" s="1411"/>
      <c r="EZ89" s="1411"/>
      <c r="FA89" s="1040"/>
      <c r="FB89" s="1039"/>
      <c r="FC89" s="1039"/>
      <c r="FD89" s="1039"/>
      <c r="FE89" s="1039"/>
      <c r="FF89" s="1040"/>
      <c r="FG89" s="1039"/>
      <c r="FH89" s="1039"/>
      <c r="FI89" s="1039"/>
      <c r="FJ89" s="1039"/>
      <c r="FK89" s="1040"/>
      <c r="FL89" s="1039"/>
      <c r="FM89" s="1039"/>
      <c r="FN89" s="1039"/>
      <c r="FO89" s="1039"/>
      <c r="FP89" s="1040"/>
      <c r="FQ89" s="1039"/>
      <c r="FR89" s="1039"/>
      <c r="FS89" s="1039"/>
      <c r="FT89" s="1039"/>
      <c r="FU89" s="1040"/>
      <c r="FV89" s="1039"/>
      <c r="FW89" s="1039"/>
      <c r="FX89" s="1039"/>
      <c r="FY89" s="1039"/>
      <c r="FZ89" s="1040"/>
      <c r="GA89" s="1039"/>
      <c r="GB89" s="1039"/>
      <c r="GC89" s="1039"/>
      <c r="GD89" s="1039"/>
      <c r="GE89" s="1040"/>
      <c r="GF89" s="1039"/>
      <c r="GG89" s="1039"/>
      <c r="GH89" s="1039"/>
      <c r="GI89" s="1039"/>
      <c r="GJ89" s="1040"/>
    </row>
    <row r="90" spans="1:192" s="1031" customFormat="1" ht="12.75" hidden="1" customHeight="1" outlineLevel="1">
      <c r="A90" s="1027"/>
      <c r="B90" s="1016"/>
      <c r="C90" s="1039"/>
      <c r="D90" s="1039"/>
      <c r="E90" s="1039"/>
      <c r="F90" s="1039"/>
      <c r="G90" s="1040"/>
      <c r="H90" s="1039"/>
      <c r="I90" s="1039"/>
      <c r="J90" s="1039"/>
      <c r="K90" s="1039"/>
      <c r="L90" s="1040"/>
      <c r="M90" s="1039"/>
      <c r="N90" s="1039"/>
      <c r="O90" s="1039"/>
      <c r="P90" s="1039"/>
      <c r="Q90" s="1040"/>
      <c r="R90" s="1039"/>
      <c r="S90" s="1039"/>
      <c r="T90" s="1039"/>
      <c r="U90" s="1039"/>
      <c r="V90" s="1040"/>
      <c r="W90" s="1039"/>
      <c r="X90" s="1039"/>
      <c r="Y90" s="1039"/>
      <c r="Z90" s="1039"/>
      <c r="AA90" s="1040"/>
      <c r="AB90" s="1039"/>
      <c r="AC90" s="1039"/>
      <c r="AD90" s="1039"/>
      <c r="AE90" s="1039"/>
      <c r="AF90" s="1040"/>
      <c r="AG90" s="1039"/>
      <c r="AH90" s="1039"/>
      <c r="AI90" s="1039"/>
      <c r="AJ90" s="1039"/>
      <c r="AK90" s="1040"/>
      <c r="AL90" s="1039"/>
      <c r="AM90" s="1039"/>
      <c r="AN90" s="1039"/>
      <c r="AO90" s="1039"/>
      <c r="AP90" s="1040"/>
      <c r="AQ90" s="1039"/>
      <c r="AR90" s="1039"/>
      <c r="AS90" s="1039"/>
      <c r="AT90" s="1039"/>
      <c r="AU90" s="1040"/>
      <c r="AV90" s="1039"/>
      <c r="AW90" s="1039"/>
      <c r="AX90" s="1039"/>
      <c r="AY90" s="1039"/>
      <c r="AZ90" s="1040"/>
      <c r="BA90" s="1039"/>
      <c r="BB90" s="1039"/>
      <c r="BC90" s="1039"/>
      <c r="BD90" s="1039"/>
      <c r="BE90" s="1040"/>
      <c r="BF90" s="1039"/>
      <c r="BG90" s="1039"/>
      <c r="BH90" s="1039"/>
      <c r="BI90" s="1039"/>
      <c r="BJ90" s="1040"/>
      <c r="BK90" s="1039"/>
      <c r="BL90" s="1039"/>
      <c r="BM90" s="1039"/>
      <c r="BN90" s="1039"/>
      <c r="BO90" s="1040"/>
      <c r="BP90" s="1039"/>
      <c r="BQ90" s="1039"/>
      <c r="BR90" s="1039"/>
      <c r="BS90" s="1039"/>
      <c r="BT90" s="1040"/>
      <c r="BU90" s="1039"/>
      <c r="BV90" s="1039"/>
      <c r="BW90" s="1039"/>
      <c r="BX90" s="1039"/>
      <c r="BY90" s="1040"/>
      <c r="BZ90" s="1039"/>
      <c r="CA90" s="1039"/>
      <c r="CB90" s="1039"/>
      <c r="CC90" s="1039"/>
      <c r="CD90" s="1040"/>
      <c r="CE90" s="1039"/>
      <c r="CF90" s="1039"/>
      <c r="CG90" s="1039"/>
      <c r="CH90" s="1039"/>
      <c r="CI90" s="1040"/>
      <c r="CJ90" s="1039"/>
      <c r="CK90" s="1039"/>
      <c r="CL90" s="1039"/>
      <c r="CM90" s="1039"/>
      <c r="CN90" s="1040"/>
      <c r="CO90" s="1039"/>
      <c r="CP90" s="1039"/>
      <c r="CQ90" s="1039"/>
      <c r="CR90" s="1039"/>
      <c r="CS90" s="1040"/>
      <c r="CT90" s="1039"/>
      <c r="CU90" s="1039"/>
      <c r="CV90" s="1039"/>
      <c r="CW90" s="1039"/>
      <c r="CX90" s="1040"/>
      <c r="CY90" s="1039"/>
      <c r="CZ90" s="1039"/>
      <c r="DA90" s="1039"/>
      <c r="DB90" s="1039"/>
      <c r="DC90" s="1040"/>
      <c r="DD90" s="1039"/>
      <c r="DE90" s="1039"/>
      <c r="DF90" s="1039"/>
      <c r="DG90" s="1039"/>
      <c r="DH90" s="1040"/>
      <c r="DI90" s="1039"/>
      <c r="DJ90" s="1039"/>
      <c r="DK90" s="1039"/>
      <c r="DL90" s="1039"/>
      <c r="DM90" s="1040"/>
      <c r="DN90" s="1039"/>
      <c r="DO90" s="1039"/>
      <c r="DP90" s="1039"/>
      <c r="DQ90" s="1039"/>
      <c r="DR90" s="1040"/>
      <c r="DS90" s="1039"/>
      <c r="DT90" s="1039"/>
      <c r="DU90" s="1039"/>
      <c r="DV90" s="1039"/>
      <c r="DW90" s="1040"/>
      <c r="DX90" s="1039"/>
      <c r="DY90" s="1039"/>
      <c r="DZ90" s="1039"/>
      <c r="EA90" s="1039"/>
      <c r="EB90" s="1040"/>
      <c r="EC90" s="1039"/>
      <c r="ED90" s="1039"/>
      <c r="EE90" s="1039"/>
      <c r="EF90" s="1039"/>
      <c r="EG90" s="1040"/>
      <c r="EH90" s="1039"/>
      <c r="EI90" s="1039"/>
      <c r="EJ90" s="1039"/>
      <c r="EK90" s="1039"/>
      <c r="EL90" s="1040"/>
      <c r="EM90" s="1039"/>
      <c r="EN90" s="1039"/>
      <c r="EO90" s="1039"/>
      <c r="EP90" s="1039"/>
      <c r="EQ90" s="1040"/>
      <c r="ER90" s="1039"/>
      <c r="ES90" s="1039"/>
      <c r="ET90" s="1039"/>
      <c r="EU90" s="1039"/>
      <c r="EV90" s="1040"/>
      <c r="EW90" s="1039"/>
      <c r="EX90" s="1039"/>
      <c r="EY90" s="1039"/>
      <c r="EZ90" s="1039"/>
      <c r="FA90" s="1040"/>
      <c r="FB90" s="1039"/>
      <c r="FC90" s="1039"/>
      <c r="FD90" s="1039"/>
      <c r="FE90" s="1039"/>
      <c r="FF90" s="1040"/>
      <c r="FG90" s="1039"/>
      <c r="FH90" s="1039"/>
      <c r="FI90" s="1039"/>
      <c r="FJ90" s="1039"/>
      <c r="FK90" s="1040"/>
      <c r="FL90" s="1039"/>
      <c r="FM90" s="1039"/>
      <c r="FN90" s="1039"/>
      <c r="FO90" s="1039"/>
      <c r="FP90" s="1040"/>
      <c r="FQ90" s="1039"/>
      <c r="FR90" s="1039"/>
      <c r="FS90" s="1039"/>
      <c r="FT90" s="1039"/>
      <c r="FU90" s="1040"/>
      <c r="FV90" s="1039"/>
      <c r="FW90" s="1039"/>
      <c r="FX90" s="1039"/>
      <c r="FY90" s="1039"/>
      <c r="FZ90" s="1040"/>
      <c r="GA90" s="1039"/>
      <c r="GB90" s="1039"/>
      <c r="GC90" s="1039"/>
      <c r="GD90" s="1039"/>
      <c r="GE90" s="1040"/>
      <c r="GF90" s="1039"/>
      <c r="GG90" s="1039"/>
      <c r="GH90" s="1039"/>
      <c r="GI90" s="1039"/>
      <c r="GJ90" s="1040"/>
    </row>
    <row r="91" spans="1:192" s="374" customFormat="1" ht="12.75" hidden="1" customHeight="1" outlineLevel="1">
      <c r="A91" s="370" t="s">
        <v>44</v>
      </c>
      <c r="B91" s="704" t="s">
        <v>120</v>
      </c>
      <c r="C91" s="1005"/>
      <c r="D91" s="1005"/>
      <c r="E91" s="1005"/>
      <c r="F91" s="1005"/>
      <c r="G91" s="635"/>
      <c r="H91" s="1005"/>
      <c r="I91" s="1005"/>
      <c r="J91" s="1005"/>
      <c r="K91" s="1005"/>
      <c r="L91" s="635"/>
      <c r="M91" s="1005"/>
      <c r="N91" s="1005"/>
      <c r="O91" s="1005"/>
      <c r="P91" s="1005"/>
      <c r="Q91" s="635"/>
      <c r="R91" s="1005"/>
      <c r="S91" s="1005"/>
      <c r="T91" s="1005"/>
      <c r="U91" s="1005"/>
      <c r="V91" s="635"/>
      <c r="W91" s="1005"/>
      <c r="X91" s="1005"/>
      <c r="Y91" s="1005"/>
      <c r="Z91" s="1005"/>
      <c r="AA91" s="635"/>
      <c r="AB91" s="1005"/>
      <c r="AC91" s="1005"/>
      <c r="AD91" s="1005"/>
      <c r="AE91" s="1005"/>
      <c r="AF91" s="635"/>
      <c r="AG91" s="1005"/>
      <c r="AH91" s="1005"/>
      <c r="AI91" s="1005"/>
      <c r="AJ91" s="1005"/>
      <c r="AK91" s="635"/>
      <c r="AL91" s="1005"/>
      <c r="AM91" s="1005"/>
      <c r="AN91" s="1005"/>
      <c r="AO91" s="1005"/>
      <c r="AP91" s="635"/>
      <c r="AQ91" s="1005"/>
      <c r="AR91" s="1005"/>
      <c r="AS91" s="1005"/>
      <c r="AT91" s="1005"/>
      <c r="AU91" s="635"/>
      <c r="AV91" s="1005"/>
      <c r="AW91" s="1005"/>
      <c r="AX91" s="1005"/>
      <c r="AY91" s="1005"/>
      <c r="AZ91" s="635"/>
      <c r="BA91" s="1005"/>
      <c r="BB91" s="1005"/>
      <c r="BC91" s="1005"/>
      <c r="BD91" s="1005"/>
      <c r="BE91" s="635"/>
      <c r="BF91" s="1005"/>
      <c r="BG91" s="1005"/>
      <c r="BH91" s="1005"/>
      <c r="BI91" s="1005"/>
      <c r="BJ91" s="635"/>
      <c r="BK91" s="1005"/>
      <c r="BL91" s="1005"/>
      <c r="BM91" s="1005"/>
      <c r="BN91" s="1005"/>
      <c r="BO91" s="635"/>
      <c r="BP91" s="1005"/>
      <c r="BQ91" s="1005"/>
      <c r="BR91" s="1005"/>
      <c r="BS91" s="1005"/>
      <c r="BT91" s="635"/>
      <c r="BU91" s="1005"/>
      <c r="BV91" s="1005"/>
      <c r="BW91" s="1005"/>
      <c r="BX91" s="1005"/>
      <c r="BY91" s="635"/>
      <c r="BZ91" s="1005"/>
      <c r="CA91" s="1005"/>
      <c r="CB91" s="1005"/>
      <c r="CC91" s="1005"/>
      <c r="CD91" s="635"/>
      <c r="CE91" s="1005"/>
      <c r="CF91" s="1005"/>
      <c r="CG91" s="1005"/>
      <c r="CH91" s="1005"/>
      <c r="CI91" s="635"/>
      <c r="CJ91" s="1005"/>
      <c r="CK91" s="1005"/>
      <c r="CL91" s="1005"/>
      <c r="CM91" s="1005"/>
      <c r="CN91" s="635"/>
      <c r="CO91" s="1005"/>
      <c r="CP91" s="1005"/>
      <c r="CQ91" s="1005"/>
      <c r="CR91" s="1005"/>
      <c r="CS91" s="635"/>
      <c r="CT91" s="1005"/>
      <c r="CU91" s="1005"/>
      <c r="CV91" s="1005"/>
      <c r="CW91" s="1005"/>
      <c r="CX91" s="635"/>
      <c r="CY91" s="1005"/>
      <c r="CZ91" s="1005"/>
      <c r="DA91" s="1005"/>
      <c r="DB91" s="1005"/>
      <c r="DC91" s="635"/>
      <c r="DD91" s="1005">
        <f t="shared" ref="DD91:DH91" si="255">DD$31</f>
      </c>
      <c r="DE91" s="1005">
        <f t="shared" si="255"/>
      </c>
      <c r="DF91" s="1005">
        <f t="shared" si="255"/>
      </c>
      <c r="DG91" s="1005">
        <f t="shared" si="255"/>
      </c>
      <c r="DH91" s="635">
        <f t="shared" si="255"/>
      </c>
      <c r="DI91" s="1005">
        <f t="shared" ref="DI91:EN91" si="256">DI$31</f>
      </c>
      <c r="DJ91" s="1005">
        <f t="shared" si="256"/>
      </c>
      <c r="DK91" s="1005">
        <f t="shared" si="256"/>
      </c>
      <c r="DL91" s="1005">
        <f t="shared" si="256"/>
      </c>
      <c r="DM91" s="635">
        <f t="shared" si="256"/>
      </c>
      <c r="DN91" s="1005">
        <f t="shared" si="256"/>
      </c>
      <c r="DO91" s="1005">
        <f t="shared" si="256"/>
      </c>
      <c r="DP91" s="1005">
        <f t="shared" si="256"/>
      </c>
      <c r="DQ91" s="1005">
        <f t="shared" si="256"/>
      </c>
      <c r="DR91" s="635">
        <f t="shared" si="256"/>
      </c>
      <c r="DS91" s="1005">
        <f t="shared" si="256"/>
      </c>
      <c r="DT91" s="1005">
        <f t="shared" si="256"/>
      </c>
      <c r="DU91" s="1005">
        <f t="shared" si="256"/>
      </c>
      <c r="DV91" s="1005">
        <f t="shared" si="256"/>
      </c>
      <c r="DW91" s="635">
        <f t="shared" si="256"/>
      </c>
      <c r="DX91" s="1005">
        <f t="shared" si="256"/>
      </c>
      <c r="DY91" s="1005">
        <f t="shared" si="256"/>
      </c>
      <c r="DZ91" s="1005">
        <f t="shared" si="256"/>
      </c>
      <c r="EA91" s="1005">
        <f t="shared" si="256"/>
      </c>
      <c r="EB91" s="635">
        <f t="shared" si="256"/>
      </c>
      <c r="EC91" s="1005">
        <f t="shared" si="256"/>
      </c>
      <c r="ED91" s="1005">
        <f t="shared" si="256"/>
      </c>
      <c r="EE91" s="1005">
        <f t="shared" si="256"/>
      </c>
      <c r="EF91" s="1005">
        <f t="shared" si="256"/>
      </c>
      <c r="EG91" s="635">
        <f t="shared" si="256"/>
      </c>
      <c r="EH91" s="1005">
        <f t="shared" si="256"/>
      </c>
      <c r="EI91" s="1005">
        <f t="shared" si="256"/>
      </c>
      <c r="EJ91" s="1005">
        <f t="shared" si="256"/>
      </c>
      <c r="EK91" s="1005">
        <f t="shared" si="256"/>
      </c>
      <c r="EL91" s="635">
        <f t="shared" si="256"/>
      </c>
      <c r="EM91" s="1005">
        <f t="shared" si="256"/>
      </c>
      <c r="EN91" s="1005">
        <f t="shared" si="256"/>
      </c>
      <c r="EO91" s="1005">
        <f t="shared" ref="EO91:FT91" si="257">EO$31</f>
      </c>
      <c r="EP91" s="1005">
        <f t="shared" si="257"/>
      </c>
      <c r="EQ91" s="635">
        <f t="shared" si="257"/>
      </c>
      <c r="ER91" s="1005">
        <f t="shared" si="257"/>
      </c>
      <c r="ES91" s="1005">
        <f t="shared" si="257"/>
      </c>
      <c r="ET91" s="1005">
        <f t="shared" si="257"/>
      </c>
      <c r="EU91" s="1005">
        <f t="shared" si="257"/>
      </c>
      <c r="EV91" s="635">
        <f t="shared" si="257"/>
      </c>
      <c r="EW91" s="1005">
        <f t="shared" si="257"/>
      </c>
      <c r="EX91" s="1005">
        <f t="shared" si="257"/>
      </c>
      <c r="EY91" s="1005">
        <f t="shared" si="257"/>
      </c>
      <c r="EZ91" s="1005">
        <f t="shared" si="257"/>
      </c>
      <c r="FA91" s="635">
        <f t="shared" si="257"/>
      </c>
      <c r="FB91" s="1005">
        <f t="shared" si="257"/>
      </c>
      <c r="FC91" s="1005">
        <f t="shared" si="257"/>
      </c>
      <c r="FD91" s="1005">
        <f t="shared" si="257"/>
      </c>
      <c r="FE91" s="1005">
        <f t="shared" si="257"/>
      </c>
      <c r="FF91" s="635">
        <f t="shared" si="257"/>
      </c>
      <c r="FG91" s="1005">
        <f t="shared" si="257"/>
      </c>
      <c r="FH91" s="1005">
        <f t="shared" si="257"/>
      </c>
      <c r="FI91" s="1005">
        <f t="shared" si="257"/>
      </c>
      <c r="FJ91" s="1005">
        <f t="shared" si="257"/>
      </c>
      <c r="FK91" s="635">
        <f t="shared" si="257"/>
      </c>
      <c r="FL91" s="1005">
        <f t="shared" si="257"/>
      </c>
      <c r="FM91" s="1005">
        <f t="shared" si="257"/>
      </c>
      <c r="FN91" s="1005">
        <f t="shared" si="257"/>
      </c>
      <c r="FO91" s="1005">
        <f t="shared" si="257"/>
      </c>
      <c r="FP91" s="635">
        <f t="shared" si="257"/>
      </c>
      <c r="FQ91" s="1005">
        <f t="shared" si="257"/>
      </c>
      <c r="FR91" s="1005">
        <f t="shared" si="257"/>
      </c>
      <c r="FS91" s="1005">
        <f t="shared" si="257"/>
      </c>
      <c r="FT91" s="1005">
        <f t="shared" si="257"/>
      </c>
      <c r="FU91" s="635">
        <f t="shared" ref="FU91:GJ91" si="258">FU$31</f>
      </c>
      <c r="FV91" s="1005">
        <f t="shared" si="258"/>
      </c>
      <c r="FW91" s="1005">
        <f t="shared" si="258"/>
      </c>
      <c r="FX91" s="1005">
        <f t="shared" si="258"/>
      </c>
      <c r="FY91" s="1005">
        <f t="shared" si="258"/>
      </c>
      <c r="FZ91" s="635">
        <f t="shared" si="258"/>
      </c>
      <c r="GA91" s="1005">
        <f t="shared" si="258"/>
      </c>
      <c r="GB91" s="1005">
        <f t="shared" si="258"/>
      </c>
      <c r="GC91" s="1005">
        <f t="shared" si="258"/>
      </c>
      <c r="GD91" s="1005">
        <f t="shared" si="258"/>
      </c>
      <c r="GE91" s="635">
        <f t="shared" si="258"/>
      </c>
      <c r="GF91" s="1005">
        <f t="shared" si="258"/>
      </c>
      <c r="GG91" s="1005">
        <f t="shared" si="258"/>
      </c>
      <c r="GH91" s="1005">
        <f t="shared" si="258"/>
      </c>
      <c r="GI91" s="1005">
        <f t="shared" si="258"/>
      </c>
      <c r="GJ91" s="635">
        <f t="shared" si="258"/>
      </c>
    </row>
    <row r="92" spans="1:192" s="135" customFormat="1" ht="12.75" hidden="1" customHeight="1" outlineLevel="1">
      <c r="A92" s="134" t="s">
        <v>353</v>
      </c>
      <c r="B92" s="782" t="s">
        <v>354</v>
      </c>
      <c r="C92" s="776"/>
      <c r="D92" s="776"/>
      <c r="E92" s="776"/>
      <c r="F92" s="776"/>
      <c r="G92" s="264"/>
      <c r="H92" s="776"/>
      <c r="I92" s="776"/>
      <c r="J92" s="776"/>
      <c r="K92" s="776"/>
      <c r="L92" s="264"/>
      <c r="M92" s="776"/>
      <c r="N92" s="776"/>
      <c r="O92" s="776"/>
      <c r="P92" s="776"/>
      <c r="Q92" s="264"/>
      <c r="R92" s="776"/>
      <c r="S92" s="776"/>
      <c r="T92" s="776"/>
      <c r="U92" s="776"/>
      <c r="V92" s="264"/>
      <c r="W92" s="776"/>
      <c r="X92" s="776"/>
      <c r="Y92" s="776"/>
      <c r="Z92" s="776"/>
      <c r="AA92" s="264"/>
      <c r="AB92" s="776"/>
      <c r="AC92" s="776"/>
      <c r="AD92" s="776"/>
      <c r="AE92" s="776"/>
      <c r="AF92" s="264"/>
      <c r="AG92" s="776"/>
      <c r="AH92" s="776"/>
      <c r="AI92" s="776"/>
      <c r="AJ92" s="776"/>
      <c r="AK92" s="264"/>
      <c r="AL92" s="776"/>
      <c r="AM92" s="776"/>
      <c r="AN92" s="776"/>
      <c r="AO92" s="776"/>
      <c r="AP92" s="264"/>
      <c r="AQ92" s="776"/>
      <c r="AR92" s="776"/>
      <c r="AS92" s="776"/>
      <c r="AT92" s="776"/>
      <c r="AU92" s="264"/>
      <c r="AV92" s="776"/>
      <c r="AW92" s="776"/>
      <c r="AX92" s="776"/>
      <c r="AY92" s="776"/>
      <c r="AZ92" s="264"/>
      <c r="BA92" s="776"/>
      <c r="BB92" s="776"/>
      <c r="BC92" s="776"/>
      <c r="BD92" s="776"/>
      <c r="BE92" s="264"/>
      <c r="BF92" s="776"/>
      <c r="BG92" s="776"/>
      <c r="BH92" s="776"/>
      <c r="BI92" s="776"/>
      <c r="BJ92" s="264"/>
      <c r="BK92" s="776"/>
      <c r="BL92" s="776"/>
      <c r="BM92" s="776"/>
      <c r="BN92" s="776"/>
      <c r="BO92" s="264"/>
      <c r="BP92" s="776"/>
      <c r="BQ92" s="776"/>
      <c r="BR92" s="776"/>
      <c r="BS92" s="776"/>
      <c r="BT92" s="264"/>
      <c r="BU92" s="776"/>
      <c r="BV92" s="776"/>
      <c r="BW92" s="776"/>
      <c r="BX92" s="776"/>
      <c r="BY92" s="264"/>
      <c r="BZ92" s="776"/>
      <c r="CA92" s="776"/>
      <c r="CB92" s="776"/>
      <c r="CC92" s="776"/>
      <c r="CD92" s="264"/>
      <c r="CE92" s="776"/>
      <c r="CF92" s="776"/>
      <c r="CG92" s="776"/>
      <c r="CH92" s="776"/>
      <c r="CI92" s="264"/>
      <c r="CJ92" s="776"/>
      <c r="CK92" s="776"/>
      <c r="CL92" s="776"/>
      <c r="CM92" s="776"/>
      <c r="CN92" s="264"/>
      <c r="CO92" s="776"/>
      <c r="CP92" s="776"/>
      <c r="CQ92" s="776"/>
      <c r="CR92" s="776"/>
      <c r="CS92" s="264"/>
      <c r="CT92" s="776"/>
      <c r="CU92" s="776"/>
      <c r="CV92" s="776"/>
      <c r="CW92" s="776"/>
      <c r="CX92" s="264"/>
      <c r="CY92" s="776"/>
      <c r="CZ92" s="776"/>
      <c r="DA92" s="776"/>
      <c r="DB92" s="776"/>
      <c r="DC92" s="264"/>
      <c r="DD92" s="531">
        <f>DD91/IS!DD$24</f>
      </c>
      <c r="DE92" s="531">
        <f>DE91/IS!DE$24</f>
      </c>
      <c r="DF92" s="531">
        <f>DF91/IS!DF$24</f>
      </c>
      <c r="DG92" s="531">
        <f>DG91/IS!DG$24</f>
      </c>
      <c r="DH92" s="532">
        <f>DH91/IS!DH$24</f>
      </c>
      <c r="DI92" s="531">
        <f>DI91/IS!DI$24</f>
      </c>
      <c r="DJ92" s="531">
        <f>DJ91/IS!DJ$24</f>
      </c>
      <c r="DK92" s="531">
        <f>DK91/IS!DK$24</f>
      </c>
      <c r="DL92" s="531">
        <f>DL91/IS!DL$24</f>
      </c>
      <c r="DM92" s="532">
        <f>DM91/IS!DM$24</f>
      </c>
      <c r="DN92" s="531">
        <f>DN91/IS!DN$24</f>
      </c>
      <c r="DO92" s="531">
        <f>DO91/IS!DO$24</f>
      </c>
      <c r="DP92" s="531">
        <f>DP91/IS!DP$24</f>
      </c>
      <c r="DQ92" s="531">
        <f>DQ91/IS!DQ$24</f>
      </c>
      <c r="DR92" s="532">
        <f>DR91/IS!DR$24</f>
      </c>
      <c r="DS92" s="531">
        <f>DS91/IS!DS$24</f>
      </c>
      <c r="DT92" s="531">
        <f>DT91/IS!DT$24</f>
      </c>
      <c r="DU92" s="531">
        <f>DU91/IS!DU$24</f>
      </c>
      <c r="DV92" s="531">
        <f>DV91/IS!DV$24</f>
      </c>
      <c r="DW92" s="532">
        <f>DW91/IS!DW$24</f>
      </c>
      <c r="DX92" s="531">
        <f>DX91/IS!DX$24</f>
      </c>
      <c r="DY92" s="531">
        <f>DY91/IS!DY$24</f>
      </c>
      <c r="DZ92" s="531">
        <f>DZ91/IS!DZ$24</f>
      </c>
      <c r="EA92" s="531">
        <f>EA91/IS!EA$24</f>
      </c>
      <c r="EB92" s="532">
        <f>EB91/IS!EB$24</f>
      </c>
      <c r="EC92" s="531">
        <f>EC91/IS!EC$24</f>
      </c>
      <c r="ED92" s="531">
        <f>ED91/IS!ED$24</f>
      </c>
      <c r="EE92" s="531">
        <f>EE91/IS!EE$24</f>
      </c>
      <c r="EF92" s="531">
        <f>EF91/IS!EF$24</f>
      </c>
      <c r="EG92" s="532">
        <f>EG91/IS!EG$24</f>
      </c>
      <c r="EH92" s="531">
        <f>EH91/IS!EH$24</f>
      </c>
      <c r="EI92" s="531">
        <f>EI91/IS!EI$24</f>
      </c>
      <c r="EJ92" s="531">
        <f>EJ91/IS!EJ$24</f>
      </c>
      <c r="EK92" s="531">
        <f>EK91/IS!EK$24</f>
      </c>
      <c r="EL92" s="532">
        <f>EL91/IS!EL$24</f>
      </c>
      <c r="EM92" s="531">
        <f>EM91/IS!EM$24</f>
      </c>
      <c r="EN92" s="531">
        <f>EN91/IS!EN$24</f>
      </c>
      <c r="EO92" s="531">
        <f>EO91/IS!EO$24</f>
      </c>
      <c r="EP92" s="531">
        <f>EP91/IS!EP$24</f>
      </c>
      <c r="EQ92" s="532">
        <f>EQ91/IS!EQ$24</f>
      </c>
      <c r="ER92" s="531">
        <f>ER91/IS!ER$24</f>
      </c>
      <c r="ES92" s="531">
        <f>ES91/IS!ES$24</f>
      </c>
      <c r="ET92" s="531">
        <f>ET91/IS!ET$24</f>
      </c>
      <c r="EU92" s="531">
        <f>EU91/IS!EU$24</f>
      </c>
      <c r="EV92" s="532">
        <f>EV91/IS!EV$24</f>
      </c>
      <c r="EW92" s="531">
        <f>EW91/IS!EW$24</f>
      </c>
      <c r="EX92" s="531">
        <f>EX91/IS!EX$24</f>
      </c>
      <c r="EY92" s="531">
        <f>EY91/IS!EY$24</f>
      </c>
      <c r="EZ92" s="531">
        <f>EZ91/IS!EZ$24</f>
      </c>
      <c r="FA92" s="532">
        <f>FA91/IS!FA$24</f>
      </c>
      <c r="FB92" s="263">
        <f>FB91/IS!FB$24</f>
      </c>
      <c r="FC92" s="263">
        <f>FC91/IS!FC$24</f>
      </c>
      <c r="FD92" s="263">
        <f>FD91/IS!FD$24</f>
      </c>
      <c r="FE92" s="263">
        <f>FE91/IS!FE$24</f>
      </c>
      <c r="FF92" s="264">
        <f>FF91/IS!FF$24</f>
      </c>
      <c r="FG92" s="263">
        <f>FG91/IS!FG$24</f>
      </c>
      <c r="FH92" s="263">
        <f>FH91/IS!FH$24</f>
      </c>
      <c r="FI92" s="263">
        <f>FI91/IS!FI$24</f>
      </c>
      <c r="FJ92" s="263">
        <f>FJ91/IS!FJ$24</f>
      </c>
      <c r="FK92" s="264">
        <f>FK91/IS!FK$24</f>
      </c>
      <c r="FL92" s="263">
        <f>FL91/IS!FL$24</f>
      </c>
      <c r="FM92" s="263">
        <f>FM91/IS!FM$24</f>
      </c>
      <c r="FN92" s="263">
        <f>FN91/IS!FN$24</f>
      </c>
      <c r="FO92" s="263">
        <f>FO91/IS!FO$24</f>
      </c>
      <c r="FP92" s="264">
        <f>FP91/IS!FP$24</f>
      </c>
      <c r="FQ92" s="263">
        <f>FQ91/IS!FQ$24</f>
      </c>
      <c r="FR92" s="263">
        <f>FR91/IS!FR$24</f>
      </c>
      <c r="FS92" s="263">
        <f>FS91/IS!FS$24</f>
      </c>
      <c r="FT92" s="263">
        <f>FT91/IS!FT$24</f>
      </c>
      <c r="FU92" s="264">
        <f>FU91/IS!FU$24</f>
      </c>
      <c r="FV92" s="263">
        <f>FV91/IS!FV$24</f>
      </c>
      <c r="FW92" s="263">
        <f>FW91/IS!FW$24</f>
      </c>
      <c r="FX92" s="263">
        <f>FX91/IS!FX$24</f>
      </c>
      <c r="FY92" s="263">
        <f>FY91/IS!FY$24</f>
      </c>
      <c r="FZ92" s="264">
        <f>FZ91/IS!FZ$24</f>
      </c>
      <c r="GA92" s="263">
        <f>GA91/IS!GA$24</f>
      </c>
      <c r="GB92" s="263">
        <f>GB91/IS!GB$24</f>
      </c>
      <c r="GC92" s="263">
        <f>GC91/IS!GC$24</f>
      </c>
      <c r="GD92" s="263">
        <f>GD91/IS!GD$24</f>
      </c>
      <c r="GE92" s="264">
        <f>GE91/IS!GE$24</f>
      </c>
      <c r="GF92" s="263">
        <f>GF91/IS!GF$24</f>
      </c>
      <c r="GG92" s="263">
        <f>GG91/IS!GG$24</f>
      </c>
      <c r="GH92" s="263">
        <f>GH91/IS!GH$24</f>
      </c>
      <c r="GI92" s="263">
        <f>GI91/IS!GI$24</f>
      </c>
      <c r="GJ92" s="264">
        <f>GJ91/IS!GJ$24</f>
      </c>
    </row>
    <row r="93" spans="1:192" s="374" customFormat="1" ht="12.75" hidden="1" customHeight="1" outlineLevel="1">
      <c r="A93" s="370" t="s">
        <v>362</v>
      </c>
      <c r="B93" s="704" t="s">
        <v>1861</v>
      </c>
      <c r="C93" s="1005"/>
      <c r="D93" s="1005"/>
      <c r="E93" s="1005"/>
      <c r="F93" s="1005"/>
      <c r="G93" s="635"/>
      <c r="H93" s="1005"/>
      <c r="I93" s="1005"/>
      <c r="J93" s="1005"/>
      <c r="K93" s="1005"/>
      <c r="L93" s="635"/>
      <c r="M93" s="1005"/>
      <c r="N93" s="1005"/>
      <c r="O93" s="1005"/>
      <c r="P93" s="1005"/>
      <c r="Q93" s="635"/>
      <c r="R93" s="1005"/>
      <c r="S93" s="1005"/>
      <c r="T93" s="1005"/>
      <c r="U93" s="1005"/>
      <c r="V93" s="635"/>
      <c r="W93" s="1005"/>
      <c r="X93" s="1005"/>
      <c r="Y93" s="1005"/>
      <c r="Z93" s="1005"/>
      <c r="AA93" s="635"/>
      <c r="AB93" s="1005"/>
      <c r="AC93" s="1005"/>
      <c r="AD93" s="1005"/>
      <c r="AE93" s="1005"/>
      <c r="AF93" s="635"/>
      <c r="AG93" s="1005"/>
      <c r="AH93" s="1005"/>
      <c r="AI93" s="1005"/>
      <c r="AJ93" s="1005"/>
      <c r="AK93" s="635"/>
      <c r="AL93" s="1005"/>
      <c r="AM93" s="1005"/>
      <c r="AN93" s="1005"/>
      <c r="AO93" s="1005"/>
      <c r="AP93" s="635"/>
      <c r="AQ93" s="1005"/>
      <c r="AR93" s="1005"/>
      <c r="AS93" s="1005"/>
      <c r="AT93" s="1005"/>
      <c r="AU93" s="635"/>
      <c r="AV93" s="1005"/>
      <c r="AW93" s="1005"/>
      <c r="AX93" s="1005"/>
      <c r="AY93" s="1005"/>
      <c r="AZ93" s="635"/>
      <c r="BA93" s="1005"/>
      <c r="BB93" s="1005"/>
      <c r="BC93" s="1005"/>
      <c r="BD93" s="1005"/>
      <c r="BE93" s="635"/>
      <c r="BF93" s="1005"/>
      <c r="BG93" s="1005"/>
      <c r="BH93" s="1005"/>
      <c r="BI93" s="1005"/>
      <c r="BJ93" s="635"/>
      <c r="BK93" s="1005"/>
      <c r="BL93" s="1005"/>
      <c r="BM93" s="1005"/>
      <c r="BN93" s="1005"/>
      <c r="BO93" s="635"/>
      <c r="BP93" s="1005"/>
      <c r="BQ93" s="1005"/>
      <c r="BR93" s="1005"/>
      <c r="BS93" s="1005"/>
      <c r="BT93" s="635"/>
      <c r="BU93" s="1005"/>
      <c r="BV93" s="1005"/>
      <c r="BW93" s="1005"/>
      <c r="BX93" s="1005"/>
      <c r="BY93" s="635"/>
      <c r="BZ93" s="1005"/>
      <c r="CA93" s="1005"/>
      <c r="CB93" s="1005"/>
      <c r="CC93" s="1005"/>
      <c r="CD93" s="635"/>
      <c r="CE93" s="1005"/>
      <c r="CF93" s="1005"/>
      <c r="CG93" s="1005"/>
      <c r="CH93" s="1005"/>
      <c r="CI93" s="635"/>
      <c r="CJ93" s="1005"/>
      <c r="CK93" s="1005"/>
      <c r="CL93" s="1005"/>
      <c r="CM93" s="1005"/>
      <c r="CN93" s="635"/>
      <c r="CO93" s="1005"/>
      <c r="CP93" s="1005"/>
      <c r="CQ93" s="1005"/>
      <c r="CR93" s="1005"/>
      <c r="CS93" s="635"/>
      <c r="CT93" s="1005"/>
      <c r="CU93" s="1005"/>
      <c r="CV93" s="1005"/>
      <c r="CW93" s="1005"/>
      <c r="CX93" s="635"/>
      <c r="CY93" s="1005"/>
      <c r="CZ93" s="1005"/>
      <c r="DA93" s="1005"/>
      <c r="DB93" s="1005"/>
      <c r="DC93" s="635"/>
      <c r="DD93" s="1005">
        <f t="shared" ref="DD93:DM93" si="259">DD78</f>
      </c>
      <c r="DE93" s="1005">
        <f t="shared" si="259"/>
      </c>
      <c r="DF93" s="1005">
        <f t="shared" si="259"/>
      </c>
      <c r="DG93" s="1005">
        <f t="shared" si="259"/>
      </c>
      <c r="DH93" s="635">
        <f t="shared" si="259"/>
      </c>
      <c r="DI93" s="1005">
        <f t="shared" si="259"/>
      </c>
      <c r="DJ93" s="1005">
        <f t="shared" si="259"/>
      </c>
      <c r="DK93" s="1005">
        <f t="shared" si="259"/>
      </c>
      <c r="DL93" s="1005">
        <f t="shared" si="259"/>
      </c>
      <c r="DM93" s="635">
        <f t="shared" si="259"/>
      </c>
      <c r="DN93" s="1005">
        <f t="shared" ref="DN93:EN93" si="260">DN78</f>
      </c>
      <c r="DO93" s="1005">
        <f t="shared" si="260"/>
      </c>
      <c r="DP93" s="1005">
        <f t="shared" si="260"/>
      </c>
      <c r="DQ93" s="1005">
        <f t="shared" si="260"/>
      </c>
      <c r="DR93" s="635">
        <f t="shared" si="260"/>
      </c>
      <c r="DS93" s="1005">
        <f t="shared" si="260"/>
      </c>
      <c r="DT93" s="1005">
        <f t="shared" si="260"/>
      </c>
      <c r="DU93" s="1005">
        <f t="shared" si="260"/>
      </c>
      <c r="DV93" s="1005">
        <f t="shared" si="260"/>
      </c>
      <c r="DW93" s="635">
        <f t="shared" si="260"/>
      </c>
      <c r="DX93" s="1005">
        <f t="shared" si="260"/>
      </c>
      <c r="DY93" s="1005">
        <f t="shared" si="260"/>
      </c>
      <c r="DZ93" s="1005">
        <f t="shared" si="260"/>
      </c>
      <c r="EA93" s="1005">
        <f t="shared" si="260"/>
      </c>
      <c r="EB93" s="635">
        <f t="shared" si="260"/>
      </c>
      <c r="EC93" s="1005">
        <f t="shared" si="260"/>
      </c>
      <c r="ED93" s="1005">
        <f t="shared" si="260"/>
      </c>
      <c r="EE93" s="1005">
        <f t="shared" si="260"/>
      </c>
      <c r="EF93" s="1005">
        <f t="shared" si="260"/>
      </c>
      <c r="EG93" s="635">
        <f t="shared" si="260"/>
      </c>
      <c r="EH93" s="1005">
        <f t="shared" si="260"/>
      </c>
      <c r="EI93" s="1005">
        <f t="shared" si="260"/>
      </c>
      <c r="EJ93" s="1005">
        <f t="shared" si="260"/>
      </c>
      <c r="EK93" s="1005">
        <f t="shared" si="260"/>
      </c>
      <c r="EL93" s="635">
        <f t="shared" si="260"/>
      </c>
      <c r="EM93" s="1005">
        <f t="shared" si="260"/>
      </c>
      <c r="EN93" s="1005">
        <f t="shared" si="260"/>
      </c>
      <c r="EO93" s="1005">
        <f t="shared" ref="EO93:FT93" si="261">EO78</f>
      </c>
      <c r="EP93" s="1005">
        <f t="shared" si="261"/>
      </c>
      <c r="EQ93" s="635">
        <f t="shared" si="261"/>
      </c>
      <c r="ER93" s="1005">
        <f t="shared" si="261"/>
      </c>
      <c r="ES93" s="1005">
        <f t="shared" si="261"/>
      </c>
      <c r="ET93" s="1005">
        <f>ET78</f>
      </c>
      <c r="EU93" s="1005">
        <f>EU78</f>
      </c>
      <c r="EV93" s="635">
        <f>EV78</f>
      </c>
      <c r="EW93" s="1005">
        <f t="shared" ref="EW93:EX93" si="262">EW78</f>
      </c>
      <c r="EX93" s="1005">
        <f t="shared" si="262"/>
      </c>
      <c r="EY93" s="1005">
        <f>EY78</f>
      </c>
      <c r="EZ93" s="1005">
        <f>EZ78</f>
      </c>
      <c r="FA93" s="635">
        <f>FA78</f>
      </c>
      <c r="FB93" s="1005">
        <f t="shared" si="261"/>
      </c>
      <c r="FC93" s="1005">
        <f t="shared" si="261"/>
      </c>
      <c r="FD93" s="1005">
        <f t="shared" si="261"/>
      </c>
      <c r="FE93" s="1005">
        <f t="shared" si="261"/>
      </c>
      <c r="FF93" s="635">
        <f t="shared" si="261"/>
      </c>
      <c r="FG93" s="1005">
        <f t="shared" si="261"/>
      </c>
      <c r="FH93" s="1005">
        <f t="shared" si="261"/>
      </c>
      <c r="FI93" s="1005">
        <f t="shared" si="261"/>
      </c>
      <c r="FJ93" s="1005">
        <f t="shared" si="261"/>
      </c>
      <c r="FK93" s="635">
        <f t="shared" si="261"/>
      </c>
      <c r="FL93" s="1005">
        <f t="shared" si="261"/>
      </c>
      <c r="FM93" s="1005">
        <f t="shared" si="261"/>
      </c>
      <c r="FN93" s="1005">
        <f t="shared" si="261"/>
      </c>
      <c r="FO93" s="1005">
        <f t="shared" si="261"/>
      </c>
      <c r="FP93" s="635">
        <f t="shared" si="261"/>
      </c>
      <c r="FQ93" s="1005">
        <f t="shared" si="261"/>
      </c>
      <c r="FR93" s="1005">
        <f t="shared" si="261"/>
      </c>
      <c r="FS93" s="1005">
        <f t="shared" si="261"/>
      </c>
      <c r="FT93" s="1005">
        <f t="shared" si="261"/>
      </c>
      <c r="FU93" s="635">
        <f t="shared" ref="FU93:FZ93" si="263">FU78</f>
      </c>
      <c r="FV93" s="1005">
        <f t="shared" si="263"/>
      </c>
      <c r="FW93" s="1005">
        <f t="shared" si="263"/>
      </c>
      <c r="FX93" s="1005">
        <f t="shared" si="263"/>
      </c>
      <c r="FY93" s="1005">
        <f t="shared" si="263"/>
      </c>
      <c r="FZ93" s="635">
        <f t="shared" si="263"/>
      </c>
      <c r="GA93" s="1005">
        <f t="shared" ref="GA93:GJ93" si="264">GA78</f>
      </c>
      <c r="GB93" s="1005">
        <f t="shared" si="264"/>
      </c>
      <c r="GC93" s="1005">
        <f t="shared" si="264"/>
      </c>
      <c r="GD93" s="1005">
        <f t="shared" si="264"/>
      </c>
      <c r="GE93" s="635">
        <f t="shared" si="264"/>
      </c>
      <c r="GF93" s="1005">
        <f t="shared" si="264"/>
      </c>
      <c r="GG93" s="1005">
        <f t="shared" si="264"/>
      </c>
      <c r="GH93" s="1005">
        <f t="shared" si="264"/>
      </c>
      <c r="GI93" s="1005">
        <f t="shared" si="264"/>
      </c>
      <c r="GJ93" s="635">
        <f t="shared" si="264"/>
      </c>
    </row>
    <row r="94" spans="1:192" s="135" customFormat="1" ht="12.75" hidden="1" customHeight="1" outlineLevel="1">
      <c r="A94" s="134" t="s">
        <v>363</v>
      </c>
      <c r="B94" s="782" t="s">
        <v>34</v>
      </c>
      <c r="C94" s="763"/>
      <c r="D94" s="763"/>
      <c r="E94" s="763"/>
      <c r="F94" s="763"/>
      <c r="G94" s="116"/>
      <c r="H94" s="763"/>
      <c r="I94" s="763"/>
      <c r="J94" s="763"/>
      <c r="K94" s="763"/>
      <c r="L94" s="116"/>
      <c r="M94" s="763"/>
      <c r="N94" s="763"/>
      <c r="O94" s="763"/>
      <c r="P94" s="763"/>
      <c r="Q94" s="116"/>
      <c r="R94" s="763"/>
      <c r="S94" s="763"/>
      <c r="T94" s="763"/>
      <c r="U94" s="763"/>
      <c r="V94" s="116"/>
      <c r="W94" s="763"/>
      <c r="X94" s="763"/>
      <c r="Y94" s="763"/>
      <c r="Z94" s="763"/>
      <c r="AA94" s="116"/>
      <c r="AB94" s="763"/>
      <c r="AC94" s="763"/>
      <c r="AD94" s="763"/>
      <c r="AE94" s="763"/>
      <c r="AF94" s="116"/>
      <c r="AG94" s="763"/>
      <c r="AH94" s="763"/>
      <c r="AI94" s="763"/>
      <c r="AJ94" s="763"/>
      <c r="AK94" s="116"/>
      <c r="AL94" s="763"/>
      <c r="AM94" s="763"/>
      <c r="AN94" s="763"/>
      <c r="AO94" s="763"/>
      <c r="AP94" s="116"/>
      <c r="AQ94" s="763"/>
      <c r="AR94" s="763"/>
      <c r="AS94" s="763"/>
      <c r="AT94" s="763"/>
      <c r="AU94" s="116"/>
      <c r="AV94" s="763"/>
      <c r="AW94" s="763"/>
      <c r="AX94" s="763"/>
      <c r="AY94" s="763"/>
      <c r="AZ94" s="116"/>
      <c r="BA94" s="763"/>
      <c r="BB94" s="763"/>
      <c r="BC94" s="763"/>
      <c r="BD94" s="763"/>
      <c r="BE94" s="116"/>
      <c r="BF94" s="763"/>
      <c r="BG94" s="763"/>
      <c r="BH94" s="763"/>
      <c r="BI94" s="763"/>
      <c r="BJ94" s="116"/>
      <c r="BK94" s="763"/>
      <c r="BL94" s="763"/>
      <c r="BM94" s="763"/>
      <c r="BN94" s="763"/>
      <c r="BO94" s="116"/>
      <c r="BP94" s="763"/>
      <c r="BQ94" s="763"/>
      <c r="BR94" s="763"/>
      <c r="BS94" s="763"/>
      <c r="BT94" s="116"/>
      <c r="BU94" s="763"/>
      <c r="BV94" s="763"/>
      <c r="BW94" s="763"/>
      <c r="BX94" s="763"/>
      <c r="BY94" s="116"/>
      <c r="BZ94" s="763"/>
      <c r="CA94" s="763"/>
      <c r="CB94" s="763"/>
      <c r="CC94" s="763"/>
      <c r="CD94" s="116"/>
      <c r="CE94" s="763"/>
      <c r="CF94" s="763"/>
      <c r="CG94" s="763"/>
      <c r="CH94" s="763"/>
      <c r="CI94" s="116"/>
      <c r="CJ94" s="763"/>
      <c r="CK94" s="763"/>
      <c r="CL94" s="763"/>
      <c r="CM94" s="763"/>
      <c r="CN94" s="116"/>
      <c r="CO94" s="763"/>
      <c r="CP94" s="763"/>
      <c r="CQ94" s="763"/>
      <c r="CR94" s="763"/>
      <c r="CS94" s="116"/>
      <c r="CT94" s="763"/>
      <c r="CU94" s="763"/>
      <c r="CV94" s="763"/>
      <c r="CW94" s="763"/>
      <c r="CX94" s="116"/>
      <c r="CY94" s="763"/>
      <c r="CZ94" s="763"/>
      <c r="DA94" s="763"/>
      <c r="DB94" s="763"/>
      <c r="DC94" s="116"/>
      <c r="DD94" s="763" t="str">
        <f t="shared" ref="DD94" si="265">IFERROR(DD93/CY93-1,"")</f>
      </c>
      <c r="DE94" s="763" t="str">
        <f t="shared" ref="DE94" si="266">IFERROR(DE93/CZ93-1,"")</f>
      </c>
      <c r="DF94" s="763" t="str">
        <f t="shared" ref="DF94" si="267">IFERROR(DF93/DA93-1,"")</f>
      </c>
      <c r="DG94" s="763" t="str">
        <f t="shared" ref="DG94" si="268">IFERROR(DG93/DB93-1,"")</f>
      </c>
      <c r="DH94" s="116" t="str">
        <f t="shared" ref="DH94" si="269">IFERROR(DH93/DC93-1,"")</f>
      </c>
      <c r="DI94" s="763">
        <f t="shared" ref="DI94" si="270">IFERROR(DI93/DD93-1,"")</f>
      </c>
      <c r="DJ94" s="763">
        <f t="shared" ref="DJ94" si="271">IFERROR(DJ93/DE93-1,"")</f>
      </c>
      <c r="DK94" s="763">
        <f t="shared" ref="DK94" si="272">IFERROR(DK93/DF93-1,"")</f>
      </c>
      <c r="DL94" s="763">
        <f t="shared" ref="DL94" si="273">IFERROR(DL93/DG93-1,"")</f>
      </c>
      <c r="DM94" s="116">
        <f t="shared" ref="DM94" si="274">IFERROR(DM93/DH93-1,"")</f>
      </c>
      <c r="DN94" s="763">
        <f t="shared" ref="DN94:EN94" si="275">IFERROR(DN93/DI93-1,"")</f>
      </c>
      <c r="DO94" s="763">
        <f t="shared" si="275"/>
      </c>
      <c r="DP94" s="763">
        <f t="shared" si="275"/>
      </c>
      <c r="DQ94" s="763">
        <f t="shared" si="275"/>
      </c>
      <c r="DR94" s="116">
        <f t="shared" si="275"/>
      </c>
      <c r="DS94" s="763">
        <f t="shared" si="275"/>
      </c>
      <c r="DT94" s="763">
        <f t="shared" si="275"/>
      </c>
      <c r="DU94" s="763">
        <f t="shared" si="275"/>
      </c>
      <c r="DV94" s="763">
        <f t="shared" si="275"/>
      </c>
      <c r="DW94" s="116">
        <f t="shared" si="275"/>
      </c>
      <c r="DX94" s="763">
        <f t="shared" si="275"/>
      </c>
      <c r="DY94" s="763">
        <f t="shared" si="275"/>
      </c>
      <c r="DZ94" s="763">
        <f t="shared" si="275"/>
      </c>
      <c r="EA94" s="763">
        <f t="shared" si="275"/>
      </c>
      <c r="EB94" s="116">
        <f t="shared" si="275"/>
      </c>
      <c r="EC94" s="763">
        <f t="shared" si="275"/>
      </c>
      <c r="ED94" s="763">
        <f t="shared" si="275"/>
      </c>
      <c r="EE94" s="763">
        <f t="shared" si="275"/>
      </c>
      <c r="EF94" s="763">
        <f t="shared" si="275"/>
      </c>
      <c r="EG94" s="116">
        <f t="shared" si="275"/>
      </c>
      <c r="EH94" s="763">
        <f t="shared" si="275"/>
      </c>
      <c r="EI94" s="763">
        <f t="shared" si="275"/>
      </c>
      <c r="EJ94" s="763">
        <f t="shared" si="275"/>
      </c>
      <c r="EK94" s="763">
        <f t="shared" si="275"/>
      </c>
      <c r="EL94" s="116">
        <f t="shared" si="275"/>
      </c>
      <c r="EM94" s="763">
        <f t="shared" si="275"/>
      </c>
      <c r="EN94" s="763">
        <f t="shared" si="275"/>
      </c>
      <c r="EO94" s="763">
        <f t="shared" ref="EO94:FT94" si="276">IFERROR(EO93/EJ93-1,"")</f>
      </c>
      <c r="EP94" s="763">
        <f t="shared" si="276"/>
      </c>
      <c r="EQ94" s="116">
        <f t="shared" si="276"/>
      </c>
      <c r="ER94" s="763">
        <f t="shared" si="276"/>
      </c>
      <c r="ES94" s="763">
        <f t="shared" si="276"/>
      </c>
      <c r="ET94" s="763">
        <f t="shared" si="276"/>
      </c>
      <c r="EU94" s="763">
        <f t="shared" si="276"/>
      </c>
      <c r="EV94" s="116">
        <f t="shared" si="276"/>
      </c>
      <c r="EW94" s="763">
        <f t="shared" si="276"/>
      </c>
      <c r="EX94" s="763">
        <f t="shared" si="276"/>
      </c>
      <c r="EY94" s="763">
        <f t="shared" si="276"/>
      </c>
      <c r="EZ94" s="763">
        <f t="shared" si="276"/>
      </c>
      <c r="FA94" s="116">
        <f t="shared" si="276"/>
      </c>
      <c r="FB94" s="763">
        <f t="shared" si="276"/>
      </c>
      <c r="FC94" s="763">
        <f t="shared" si="276"/>
      </c>
      <c r="FD94" s="763">
        <f t="shared" si="276"/>
      </c>
      <c r="FE94" s="763">
        <f t="shared" si="276"/>
      </c>
      <c r="FF94" s="116">
        <f t="shared" si="276"/>
      </c>
      <c r="FG94" s="763">
        <f t="shared" si="276"/>
      </c>
      <c r="FH94" s="763">
        <f t="shared" si="276"/>
      </c>
      <c r="FI94" s="763">
        <f t="shared" si="276"/>
      </c>
      <c r="FJ94" s="763">
        <f t="shared" si="276"/>
      </c>
      <c r="FK94" s="116">
        <f t="shared" si="276"/>
      </c>
      <c r="FL94" s="763">
        <f t="shared" si="276"/>
      </c>
      <c r="FM94" s="763">
        <f t="shared" si="276"/>
      </c>
      <c r="FN94" s="763">
        <f t="shared" si="276"/>
      </c>
      <c r="FO94" s="763">
        <f t="shared" si="276"/>
      </c>
      <c r="FP94" s="116">
        <f t="shared" si="276"/>
      </c>
      <c r="FQ94" s="763">
        <f t="shared" si="276"/>
      </c>
      <c r="FR94" s="763">
        <f t="shared" si="276"/>
      </c>
      <c r="FS94" s="763">
        <f t="shared" si="276"/>
      </c>
      <c r="FT94" s="763">
        <f t="shared" si="276"/>
      </c>
      <c r="FU94" s="116">
        <f t="shared" ref="FU94:GE94" si="277">IFERROR(FU93/FP93-1,"")</f>
      </c>
      <c r="FV94" s="763">
        <f t="shared" si="277"/>
      </c>
      <c r="FW94" s="763">
        <f t="shared" si="277"/>
      </c>
      <c r="FX94" s="763">
        <f t="shared" si="277"/>
      </c>
      <c r="FY94" s="763">
        <f t="shared" si="277"/>
      </c>
      <c r="FZ94" s="116">
        <f t="shared" si="277"/>
      </c>
      <c r="GA94" s="763">
        <f t="shared" si="277"/>
      </c>
      <c r="GB94" s="763">
        <f t="shared" si="277"/>
      </c>
      <c r="GC94" s="763">
        <f t="shared" si="277"/>
      </c>
      <c r="GD94" s="763">
        <f t="shared" si="277"/>
      </c>
      <c r="GE94" s="116">
        <f t="shared" si="277"/>
      </c>
      <c r="GF94" s="763">
        <f t="shared" ref="GF94" si="278">IFERROR(GF93/GA93-1,"")</f>
      </c>
      <c r="GG94" s="763">
        <f t="shared" ref="GG94" si="279">IFERROR(GG93/GB93-1,"")</f>
      </c>
      <c r="GH94" s="763">
        <f t="shared" ref="GH94" si="280">IFERROR(GH93/GC93-1,"")</f>
      </c>
      <c r="GI94" s="763">
        <f t="shared" ref="GI94" si="281">IFERROR(GI93/GD93-1,"")</f>
      </c>
      <c r="GJ94" s="116">
        <f t="shared" ref="GJ94" si="282">IFERROR(GJ93/GE93-1,"")</f>
      </c>
    </row>
    <row r="95" spans="1:192" s="135" customFormat="1" ht="12.75" hidden="1" customHeight="1" outlineLevel="1">
      <c r="A95" s="134" t="s">
        <v>364</v>
      </c>
      <c r="B95" s="782" t="s">
        <v>36</v>
      </c>
      <c r="C95" s="763"/>
      <c r="D95" s="763"/>
      <c r="E95" s="763"/>
      <c r="F95" s="763"/>
      <c r="G95" s="249"/>
      <c r="H95" s="763"/>
      <c r="I95" s="763"/>
      <c r="J95" s="763"/>
      <c r="K95" s="763"/>
      <c r="L95" s="249"/>
      <c r="M95" s="763"/>
      <c r="N95" s="763"/>
      <c r="O95" s="763"/>
      <c r="P95" s="763"/>
      <c r="Q95" s="249"/>
      <c r="R95" s="763"/>
      <c r="S95" s="763"/>
      <c r="T95" s="763"/>
      <c r="U95" s="763"/>
      <c r="V95" s="249"/>
      <c r="W95" s="763"/>
      <c r="X95" s="763"/>
      <c r="Y95" s="763"/>
      <c r="Z95" s="763"/>
      <c r="AA95" s="249"/>
      <c r="AB95" s="763"/>
      <c r="AC95" s="763"/>
      <c r="AD95" s="763"/>
      <c r="AE95" s="763"/>
      <c r="AF95" s="249"/>
      <c r="AG95" s="763"/>
      <c r="AH95" s="763"/>
      <c r="AI95" s="763"/>
      <c r="AJ95" s="763"/>
      <c r="AK95" s="249"/>
      <c r="AL95" s="763"/>
      <c r="AM95" s="763"/>
      <c r="AN95" s="763"/>
      <c r="AO95" s="763"/>
      <c r="AP95" s="249"/>
      <c r="AQ95" s="763"/>
      <c r="AR95" s="763"/>
      <c r="AS95" s="763"/>
      <c r="AT95" s="763"/>
      <c r="AU95" s="249"/>
      <c r="AV95" s="763"/>
      <c r="AW95" s="763"/>
      <c r="AX95" s="763"/>
      <c r="AY95" s="763"/>
      <c r="AZ95" s="249"/>
      <c r="BA95" s="763"/>
      <c r="BB95" s="763"/>
      <c r="BC95" s="763"/>
      <c r="BD95" s="763"/>
      <c r="BE95" s="249"/>
      <c r="BF95" s="763"/>
      <c r="BG95" s="763"/>
      <c r="BH95" s="763"/>
      <c r="BI95" s="763"/>
      <c r="BJ95" s="249"/>
      <c r="BK95" s="763"/>
      <c r="BL95" s="763"/>
      <c r="BM95" s="763"/>
      <c r="BN95" s="763"/>
      <c r="BO95" s="249"/>
      <c r="BP95" s="763"/>
      <c r="BQ95" s="763"/>
      <c r="BR95" s="763"/>
      <c r="BS95" s="763"/>
      <c r="BT95" s="249"/>
      <c r="BU95" s="763"/>
      <c r="BV95" s="763"/>
      <c r="BW95" s="763"/>
      <c r="BX95" s="763"/>
      <c r="BY95" s="249"/>
      <c r="BZ95" s="763"/>
      <c r="CA95" s="763"/>
      <c r="CB95" s="763"/>
      <c r="CC95" s="763"/>
      <c r="CD95" s="249"/>
      <c r="CE95" s="763"/>
      <c r="CF95" s="763"/>
      <c r="CG95" s="763"/>
      <c r="CH95" s="763"/>
      <c r="CI95" s="249"/>
      <c r="CJ95" s="763"/>
      <c r="CK95" s="763"/>
      <c r="CL95" s="763"/>
      <c r="CM95" s="763"/>
      <c r="CN95" s="249"/>
      <c r="CO95" s="763"/>
      <c r="CP95" s="763"/>
      <c r="CQ95" s="763"/>
      <c r="CR95" s="763"/>
      <c r="CS95" s="249"/>
      <c r="CT95" s="763"/>
      <c r="CU95" s="763"/>
      <c r="CV95" s="763"/>
      <c r="CW95" s="763"/>
      <c r="CX95" s="249"/>
      <c r="CY95" s="763"/>
      <c r="CZ95" s="763"/>
      <c r="DA95" s="763"/>
      <c r="DB95" s="763"/>
      <c r="DC95" s="249"/>
      <c r="DD95" s="763" t="str">
        <f>IFERROR(DD93/DB93-1,"")</f>
      </c>
      <c r="DE95" s="763">
        <f>IFERROR(DE93/DD93-1,"")</f>
      </c>
      <c r="DF95" s="763">
        <f>IFERROR(DF93/DE93-1,"")</f>
      </c>
      <c r="DG95" s="763">
        <f>IFERROR(DG93/DF93-1,"")</f>
      </c>
      <c r="DH95" s="249"/>
      <c r="DI95" s="763">
        <f>IFERROR(DI93/DG93-1,"")</f>
      </c>
      <c r="DJ95" s="763">
        <f>IFERROR(DJ93/DI93-1,"")</f>
      </c>
      <c r="DK95" s="763">
        <f>IFERROR(DK93/DJ93-1,"")</f>
      </c>
      <c r="DL95" s="763">
        <f>IFERROR(DL93/DK93-1,"")</f>
      </c>
      <c r="DM95" s="249"/>
      <c r="DN95" s="763">
        <f>IFERROR(DN93/DL93-1,"")</f>
      </c>
      <c r="DO95" s="763">
        <f>IFERROR(DO93/DN93-1,"")</f>
      </c>
      <c r="DP95" s="763">
        <f>IFERROR(DP93/DO93-1,"")</f>
      </c>
      <c r="DQ95" s="763">
        <f>IFERROR(DQ93/DP93-1,"")</f>
      </c>
      <c r="DR95" s="249"/>
      <c r="DS95" s="763">
        <f>IFERROR(DS93/DQ93-1,"")</f>
      </c>
      <c r="DT95" s="763">
        <f>IFERROR(DT93/DS93-1,"")</f>
      </c>
      <c r="DU95" s="763">
        <f>IFERROR(DU93/DT93-1,"")</f>
      </c>
      <c r="DV95" s="763">
        <f>IFERROR(DV93/DU93-1,"")</f>
      </c>
      <c r="DW95" s="249"/>
      <c r="DX95" s="763">
        <f>IFERROR(DX93/DV93-1,"")</f>
      </c>
      <c r="DY95" s="763">
        <f>IFERROR(DY93/DX93-1,"")</f>
      </c>
      <c r="DZ95" s="763">
        <f>IFERROR(DZ93/DY93-1,"")</f>
      </c>
      <c r="EA95" s="763">
        <f>IFERROR(EA93/DZ93-1,"")</f>
      </c>
      <c r="EB95" s="249"/>
      <c r="EC95" s="763">
        <f>IFERROR(EC93/EA93-1,"")</f>
      </c>
      <c r="ED95" s="763">
        <f>IFERROR(ED93/EC93-1,"")</f>
      </c>
      <c r="EE95" s="763">
        <f>IFERROR(EE93/ED93-1,"")</f>
      </c>
      <c r="EF95" s="763">
        <f>IFERROR(EF93/EE93-1,"")</f>
      </c>
      <c r="EG95" s="249"/>
      <c r="EH95" s="763">
        <f>IFERROR(EH93/EF93-1,"")</f>
      </c>
      <c r="EI95" s="763">
        <f>IFERROR(EI93/EH93-1,"")</f>
      </c>
      <c r="EJ95" s="763">
        <f>IFERROR(EJ93/EI93-1,"")</f>
      </c>
      <c r="EK95" s="763">
        <f>IFERROR(EK93/EJ93-1,"")</f>
      </c>
      <c r="EL95" s="249"/>
      <c r="EM95" s="763">
        <f>IFERROR(EM93/EK93-1,"")</f>
      </c>
      <c r="EN95" s="763">
        <f>IFERROR(EN93/EM93-1,"")</f>
      </c>
      <c r="EO95" s="763">
        <f>IFERROR(EO93/EN93-1,"")</f>
      </c>
      <c r="EP95" s="763">
        <f>IFERROR(EP93/EO93-1,"")</f>
      </c>
      <c r="EQ95" s="249"/>
      <c r="ER95" s="763">
        <f>IFERROR(ER93/EP93-1,"")</f>
      </c>
      <c r="ES95" s="763">
        <f>IFERROR(ES93/ER93-1,"")</f>
      </c>
      <c r="ET95" s="763">
        <f>IFERROR(ET93/ES93-1,"")</f>
      </c>
      <c r="EU95" s="763">
        <f>IFERROR(EU93/ET93-1,"")</f>
      </c>
      <c r="EV95" s="249"/>
      <c r="EW95" s="763">
        <f>IFERROR(EW93/EU93-1,"")</f>
      </c>
      <c r="EX95" s="763">
        <f>IFERROR(EX93/EW93-1,"")</f>
      </c>
      <c r="EY95" s="763">
        <f>IFERROR(EY93/EX93-1,"")</f>
      </c>
      <c r="EZ95" s="763">
        <f>IFERROR(EZ93/EY93-1,"")</f>
      </c>
      <c r="FA95" s="249"/>
      <c r="FB95" s="763">
        <f>IFERROR(FB93/EZ93-1,"")</f>
      </c>
      <c r="FC95" s="763">
        <f>IFERROR(FC93/FB93-1,"")</f>
      </c>
      <c r="FD95" s="763">
        <f>IFERROR(FD93/FC93-1,"")</f>
      </c>
      <c r="FE95" s="763">
        <f>IFERROR(FE93/FD93-1,"")</f>
      </c>
      <c r="FF95" s="249"/>
      <c r="FG95" s="763">
        <f>IFERROR(FG93/FE93-1,"")</f>
      </c>
      <c r="FH95" s="763">
        <f>IFERROR(FH93/FG93-1,"")</f>
      </c>
      <c r="FI95" s="763">
        <f>IFERROR(FI93/FH93-1,"")</f>
      </c>
      <c r="FJ95" s="763">
        <f>IFERROR(FJ93/FI93-1,"")</f>
      </c>
      <c r="FK95" s="249"/>
      <c r="FL95" s="763">
        <f>IFERROR(FL93/FJ93-1,"")</f>
      </c>
      <c r="FM95" s="763">
        <f>IFERROR(FM93/FL93-1,"")</f>
      </c>
      <c r="FN95" s="763">
        <f>IFERROR(FN93/FM93-1,"")</f>
      </c>
      <c r="FO95" s="763">
        <f>IFERROR(FO93/FN93-1,"")</f>
      </c>
      <c r="FP95" s="249"/>
      <c r="FQ95" s="763">
        <f>IFERROR(FQ93/FO93-1,"")</f>
      </c>
      <c r="FR95" s="763">
        <f>IFERROR(FR93/FQ93-1,"")</f>
      </c>
      <c r="FS95" s="763">
        <f>IFERROR(FS93/FR93-1,"")</f>
      </c>
      <c r="FT95" s="763">
        <f>IFERROR(FT93/FS93-1,"")</f>
      </c>
      <c r="FU95" s="249"/>
      <c r="FV95" s="763">
        <f>IFERROR(FV93/FT93-1,"")</f>
      </c>
      <c r="FW95" s="763">
        <f>IFERROR(FW93/FV93-1,"")</f>
      </c>
      <c r="FX95" s="763">
        <f>IFERROR(FX93/FW93-1,"")</f>
      </c>
      <c r="FY95" s="763">
        <f>IFERROR(FY93/FX93-1,"")</f>
      </c>
      <c r="FZ95" s="249"/>
      <c r="GA95" s="763">
        <f>IFERROR(GA93/FY93-1,"")</f>
      </c>
      <c r="GB95" s="763">
        <f>IFERROR(GB93/GA93-1,"")</f>
      </c>
      <c r="GC95" s="763">
        <f>IFERROR(GC93/GB93-1,"")</f>
      </c>
      <c r="GD95" s="763">
        <f>IFERROR(GD93/GC93-1,"")</f>
      </c>
      <c r="GE95" s="249"/>
      <c r="GF95" s="763">
        <f>IFERROR(GF93/GD93-1,"")</f>
      </c>
      <c r="GG95" s="763">
        <f>IFERROR(GG93/GF93-1,"")</f>
      </c>
      <c r="GH95" s="763">
        <f>IFERROR(GH93/GG93-1,"")</f>
      </c>
      <c r="GI95" s="763">
        <f>IFERROR(GI93/GH93-1,"")</f>
      </c>
      <c r="GJ95" s="249"/>
    </row>
    <row r="96" spans="1:192" s="962" customFormat="1" ht="12.75" hidden="1" customHeight="1" outlineLevel="1">
      <c r="A96" s="370" t="s">
        <v>46</v>
      </c>
      <c r="B96" s="706" t="s">
        <v>1860</v>
      </c>
      <c r="C96" s="933"/>
      <c r="D96" s="933"/>
      <c r="E96" s="933"/>
      <c r="F96" s="933"/>
      <c r="G96" s="956"/>
      <c r="H96" s="933"/>
      <c r="I96" s="933"/>
      <c r="J96" s="933"/>
      <c r="K96" s="933"/>
      <c r="L96" s="956"/>
      <c r="M96" s="933"/>
      <c r="N96" s="933"/>
      <c r="O96" s="933"/>
      <c r="P96" s="933"/>
      <c r="Q96" s="956"/>
      <c r="R96" s="933"/>
      <c r="S96" s="933"/>
      <c r="T96" s="933"/>
      <c r="U96" s="933"/>
      <c r="V96" s="956"/>
      <c r="W96" s="933"/>
      <c r="X96" s="933"/>
      <c r="Y96" s="933"/>
      <c r="Z96" s="933"/>
      <c r="AA96" s="956"/>
      <c r="AB96" s="933"/>
      <c r="AC96" s="933"/>
      <c r="AD96" s="933"/>
      <c r="AE96" s="933"/>
      <c r="AF96" s="956"/>
      <c r="AG96" s="933"/>
      <c r="AH96" s="933"/>
      <c r="AI96" s="933"/>
      <c r="AJ96" s="933"/>
      <c r="AK96" s="956"/>
      <c r="AL96" s="933"/>
      <c r="AM96" s="933"/>
      <c r="AN96" s="933"/>
      <c r="AO96" s="933"/>
      <c r="AP96" s="956"/>
      <c r="AQ96" s="933"/>
      <c r="AR96" s="933"/>
      <c r="AS96" s="933"/>
      <c r="AT96" s="933"/>
      <c r="AU96" s="956"/>
      <c r="AV96" s="933"/>
      <c r="AW96" s="933"/>
      <c r="AX96" s="933"/>
      <c r="AY96" s="933"/>
      <c r="AZ96" s="956"/>
      <c r="BA96" s="933"/>
      <c r="BB96" s="933"/>
      <c r="BC96" s="933"/>
      <c r="BD96" s="933"/>
      <c r="BE96" s="956"/>
      <c r="BF96" s="933"/>
      <c r="BG96" s="933"/>
      <c r="BH96" s="933"/>
      <c r="BI96" s="933"/>
      <c r="BJ96" s="956"/>
      <c r="BK96" s="933"/>
      <c r="BL96" s="933"/>
      <c r="BM96" s="933"/>
      <c r="BN96" s="933"/>
      <c r="BO96" s="956"/>
      <c r="BP96" s="933"/>
      <c r="BQ96" s="933"/>
      <c r="BR96" s="933"/>
      <c r="BS96" s="933"/>
      <c r="BT96" s="956"/>
      <c r="BU96" s="933"/>
      <c r="BV96" s="933"/>
      <c r="BW96" s="933"/>
      <c r="BX96" s="933"/>
      <c r="BY96" s="956"/>
      <c r="BZ96" s="933"/>
      <c r="CA96" s="933"/>
      <c r="CB96" s="933"/>
      <c r="CC96" s="933"/>
      <c r="CD96" s="956"/>
      <c r="CE96" s="933"/>
      <c r="CF96" s="933"/>
      <c r="CG96" s="933"/>
      <c r="CH96" s="933"/>
      <c r="CI96" s="956"/>
      <c r="CJ96" s="933"/>
      <c r="CK96" s="933"/>
      <c r="CL96" s="933"/>
      <c r="CM96" s="933"/>
      <c r="CN96" s="956"/>
      <c r="CO96" s="933"/>
      <c r="CP96" s="933"/>
      <c r="CQ96" s="933"/>
      <c r="CR96" s="933"/>
      <c r="CS96" s="956"/>
      <c r="CT96" s="933"/>
      <c r="CU96" s="933"/>
      <c r="CV96" s="933"/>
      <c r="CW96" s="933"/>
      <c r="CX96" s="956"/>
      <c r="CY96" s="933"/>
      <c r="CZ96" s="933"/>
      <c r="DA96" s="933"/>
      <c r="DB96" s="933"/>
      <c r="DC96" s="956"/>
      <c r="DD96" s="933">
        <f t="shared" ref="DD96:DM96" si="283">DD91+DD93</f>
      </c>
      <c r="DE96" s="933">
        <f t="shared" si="283"/>
      </c>
      <c r="DF96" s="933">
        <f t="shared" si="283"/>
      </c>
      <c r="DG96" s="933">
        <f t="shared" si="283"/>
      </c>
      <c r="DH96" s="956">
        <f t="shared" si="283"/>
      </c>
      <c r="DI96" s="933">
        <f t="shared" si="283"/>
      </c>
      <c r="DJ96" s="933">
        <f t="shared" si="283"/>
      </c>
      <c r="DK96" s="933">
        <f t="shared" si="283"/>
      </c>
      <c r="DL96" s="933">
        <f t="shared" si="283"/>
      </c>
      <c r="DM96" s="956">
        <f t="shared" si="283"/>
      </c>
      <c r="DN96" s="933">
        <f t="shared" ref="DN96:EN96" si="284">DN91+DN93</f>
      </c>
      <c r="DO96" s="933">
        <f t="shared" si="284"/>
      </c>
      <c r="DP96" s="933">
        <f t="shared" si="284"/>
      </c>
      <c r="DQ96" s="933">
        <f t="shared" si="284"/>
      </c>
      <c r="DR96" s="956">
        <f t="shared" si="284"/>
      </c>
      <c r="DS96" s="933">
        <f t="shared" si="284"/>
      </c>
      <c r="DT96" s="933">
        <f t="shared" si="284"/>
      </c>
      <c r="DU96" s="933">
        <f t="shared" si="284"/>
      </c>
      <c r="DV96" s="933">
        <f t="shared" si="284"/>
      </c>
      <c r="DW96" s="956">
        <f t="shared" si="284"/>
      </c>
      <c r="DX96" s="933">
        <f t="shared" si="284"/>
      </c>
      <c r="DY96" s="933">
        <f t="shared" si="284"/>
      </c>
      <c r="DZ96" s="933">
        <f t="shared" si="284"/>
      </c>
      <c r="EA96" s="933">
        <f t="shared" si="284"/>
      </c>
      <c r="EB96" s="956">
        <f t="shared" si="284"/>
      </c>
      <c r="EC96" s="933">
        <f t="shared" si="284"/>
      </c>
      <c r="ED96" s="933">
        <f t="shared" si="284"/>
      </c>
      <c r="EE96" s="933">
        <f t="shared" si="284"/>
      </c>
      <c r="EF96" s="933">
        <f t="shared" si="284"/>
      </c>
      <c r="EG96" s="956">
        <f t="shared" si="284"/>
      </c>
      <c r="EH96" s="933">
        <f t="shared" si="284"/>
      </c>
      <c r="EI96" s="933">
        <f t="shared" si="284"/>
      </c>
      <c r="EJ96" s="933">
        <f t="shared" si="284"/>
      </c>
      <c r="EK96" s="933">
        <f t="shared" si="284"/>
      </c>
      <c r="EL96" s="956">
        <f t="shared" si="284"/>
      </c>
      <c r="EM96" s="933">
        <f t="shared" si="284"/>
      </c>
      <c r="EN96" s="933">
        <f t="shared" si="284"/>
      </c>
      <c r="EO96" s="933">
        <f t="shared" ref="EO96:FT96" si="285">EO91+EO93</f>
      </c>
      <c r="EP96" s="933">
        <f t="shared" si="285"/>
      </c>
      <c r="EQ96" s="956">
        <f t="shared" si="285"/>
      </c>
      <c r="ER96" s="933">
        <f t="shared" si="285"/>
      </c>
      <c r="ES96" s="933">
        <f t="shared" si="285"/>
      </c>
      <c r="ET96" s="933">
        <f>ET91+ET93</f>
      </c>
      <c r="EU96" s="933">
        <f>EU91+EU93</f>
      </c>
      <c r="EV96" s="956">
        <f>EV91+EV93</f>
      </c>
      <c r="EW96" s="933">
        <f t="shared" ref="EW96:EX96" si="286">EW91+EW93</f>
      </c>
      <c r="EX96" s="933">
        <f t="shared" si="286"/>
      </c>
      <c r="EY96" s="933">
        <f>EY91+EY93</f>
      </c>
      <c r="EZ96" s="933">
        <f>EZ91+EZ93</f>
      </c>
      <c r="FA96" s="956">
        <f>FA91+FA93</f>
      </c>
      <c r="FB96" s="933">
        <f t="shared" si="285"/>
      </c>
      <c r="FC96" s="933">
        <f t="shared" si="285"/>
      </c>
      <c r="FD96" s="933">
        <f t="shared" si="285"/>
      </c>
      <c r="FE96" s="933">
        <f t="shared" si="285"/>
      </c>
      <c r="FF96" s="956">
        <f t="shared" si="285"/>
      </c>
      <c r="FG96" s="933">
        <f t="shared" si="285"/>
      </c>
      <c r="FH96" s="933">
        <f t="shared" si="285"/>
      </c>
      <c r="FI96" s="933">
        <f t="shared" si="285"/>
      </c>
      <c r="FJ96" s="933">
        <f t="shared" si="285"/>
      </c>
      <c r="FK96" s="956">
        <f t="shared" si="285"/>
      </c>
      <c r="FL96" s="933">
        <f t="shared" si="285"/>
      </c>
      <c r="FM96" s="933">
        <f t="shared" si="285"/>
      </c>
      <c r="FN96" s="933">
        <f t="shared" si="285"/>
      </c>
      <c r="FO96" s="933">
        <f t="shared" si="285"/>
      </c>
      <c r="FP96" s="956">
        <f t="shared" si="285"/>
      </c>
      <c r="FQ96" s="933">
        <f t="shared" si="285"/>
      </c>
      <c r="FR96" s="933">
        <f t="shared" si="285"/>
      </c>
      <c r="FS96" s="933">
        <f t="shared" si="285"/>
      </c>
      <c r="FT96" s="933">
        <f t="shared" si="285"/>
      </c>
      <c r="FU96" s="956">
        <f t="shared" ref="FU96:FZ96" si="287">FU91+FU93</f>
      </c>
      <c r="FV96" s="933">
        <f t="shared" si="287"/>
      </c>
      <c r="FW96" s="933">
        <f t="shared" si="287"/>
      </c>
      <c r="FX96" s="933">
        <f t="shared" si="287"/>
      </c>
      <c r="FY96" s="933">
        <f t="shared" si="287"/>
      </c>
      <c r="FZ96" s="956">
        <f t="shared" si="287"/>
      </c>
      <c r="GA96" s="933">
        <f t="shared" ref="GA96:GJ96" si="288">GA91+GA93</f>
      </c>
      <c r="GB96" s="933">
        <f t="shared" si="288"/>
      </c>
      <c r="GC96" s="933">
        <f t="shared" si="288"/>
      </c>
      <c r="GD96" s="933">
        <f t="shared" si="288"/>
      </c>
      <c r="GE96" s="956">
        <f t="shared" si="288"/>
      </c>
      <c r="GF96" s="933">
        <f t="shared" si="288"/>
      </c>
      <c r="GG96" s="933">
        <f t="shared" si="288"/>
      </c>
      <c r="GH96" s="933">
        <f t="shared" si="288"/>
      </c>
      <c r="GI96" s="933">
        <f t="shared" si="288"/>
      </c>
      <c r="GJ96" s="956">
        <f t="shared" si="288"/>
      </c>
    </row>
    <row r="97" spans="1:192" s="135" customFormat="1" ht="12.75" hidden="1" customHeight="1" outlineLevel="1">
      <c r="A97" s="63" t="s">
        <v>342</v>
      </c>
      <c r="B97" s="782" t="s">
        <v>34</v>
      </c>
      <c r="C97" s="763"/>
      <c r="D97" s="763"/>
      <c r="E97" s="763"/>
      <c r="F97" s="763"/>
      <c r="G97" s="116"/>
      <c r="H97" s="763"/>
      <c r="I97" s="763"/>
      <c r="J97" s="763"/>
      <c r="K97" s="763"/>
      <c r="L97" s="116"/>
      <c r="M97" s="763"/>
      <c r="N97" s="763"/>
      <c r="O97" s="763"/>
      <c r="P97" s="763"/>
      <c r="Q97" s="116"/>
      <c r="R97" s="763"/>
      <c r="S97" s="763"/>
      <c r="T97" s="763"/>
      <c r="U97" s="763"/>
      <c r="V97" s="116"/>
      <c r="W97" s="763"/>
      <c r="X97" s="763"/>
      <c r="Y97" s="763"/>
      <c r="Z97" s="763"/>
      <c r="AA97" s="116"/>
      <c r="AB97" s="763"/>
      <c r="AC97" s="763"/>
      <c r="AD97" s="763"/>
      <c r="AE97" s="763"/>
      <c r="AF97" s="116"/>
      <c r="AG97" s="763"/>
      <c r="AH97" s="763"/>
      <c r="AI97" s="763"/>
      <c r="AJ97" s="763"/>
      <c r="AK97" s="116"/>
      <c r="AL97" s="763"/>
      <c r="AM97" s="763"/>
      <c r="AN97" s="763"/>
      <c r="AO97" s="763"/>
      <c r="AP97" s="116"/>
      <c r="AQ97" s="763"/>
      <c r="AR97" s="763"/>
      <c r="AS97" s="763"/>
      <c r="AT97" s="763"/>
      <c r="AU97" s="116"/>
      <c r="AV97" s="763"/>
      <c r="AW97" s="763"/>
      <c r="AX97" s="763"/>
      <c r="AY97" s="763"/>
      <c r="AZ97" s="116"/>
      <c r="BA97" s="763"/>
      <c r="BB97" s="763"/>
      <c r="BC97" s="763"/>
      <c r="BD97" s="763"/>
      <c r="BE97" s="116"/>
      <c r="BF97" s="763"/>
      <c r="BG97" s="763"/>
      <c r="BH97" s="763"/>
      <c r="BI97" s="763"/>
      <c r="BJ97" s="116"/>
      <c r="BK97" s="763"/>
      <c r="BL97" s="763"/>
      <c r="BM97" s="763"/>
      <c r="BN97" s="763"/>
      <c r="BO97" s="116"/>
      <c r="BP97" s="763"/>
      <c r="BQ97" s="763"/>
      <c r="BR97" s="763"/>
      <c r="BS97" s="763"/>
      <c r="BT97" s="116"/>
      <c r="BU97" s="763"/>
      <c r="BV97" s="763"/>
      <c r="BW97" s="763"/>
      <c r="BX97" s="763"/>
      <c r="BY97" s="116"/>
      <c r="BZ97" s="763"/>
      <c r="CA97" s="763"/>
      <c r="CB97" s="763"/>
      <c r="CC97" s="763"/>
      <c r="CD97" s="116"/>
      <c r="CE97" s="763"/>
      <c r="CF97" s="763"/>
      <c r="CG97" s="763"/>
      <c r="CH97" s="763"/>
      <c r="CI97" s="116"/>
      <c r="CJ97" s="763"/>
      <c r="CK97" s="763"/>
      <c r="CL97" s="763"/>
      <c r="CM97" s="763"/>
      <c r="CN97" s="116"/>
      <c r="CO97" s="763"/>
      <c r="CP97" s="763"/>
      <c r="CQ97" s="763"/>
      <c r="CR97" s="763"/>
      <c r="CS97" s="116"/>
      <c r="CT97" s="763"/>
      <c r="CU97" s="763"/>
      <c r="CV97" s="763"/>
      <c r="CW97" s="763"/>
      <c r="CX97" s="116"/>
      <c r="CY97" s="763"/>
      <c r="CZ97" s="763"/>
      <c r="DA97" s="763"/>
      <c r="DB97" s="763"/>
      <c r="DC97" s="116"/>
      <c r="DD97" s="763" t="str">
        <f t="shared" ref="DD97" si="289">IFERROR(DD96/CY96-1,"")</f>
      </c>
      <c r="DE97" s="763" t="str">
        <f t="shared" ref="DE97" si="290">IFERROR(DE96/CZ96-1,"")</f>
      </c>
      <c r="DF97" s="763" t="str">
        <f t="shared" ref="DF97" si="291">IFERROR(DF96/DA96-1,"")</f>
      </c>
      <c r="DG97" s="763" t="str">
        <f t="shared" ref="DG97" si="292">IFERROR(DG96/DB96-1,"")</f>
      </c>
      <c r="DH97" s="116" t="str">
        <f t="shared" ref="DH97" si="293">IFERROR(DH96/DC96-1,"")</f>
      </c>
      <c r="DI97" s="763">
        <f t="shared" ref="DI97" si="294">IFERROR(DI96/DD96-1,"")</f>
      </c>
      <c r="DJ97" s="763">
        <f t="shared" ref="DJ97" si="295">IFERROR(DJ96/DE96-1,"")</f>
      </c>
      <c r="DK97" s="763">
        <f t="shared" ref="DK97" si="296">IFERROR(DK96/DF96-1,"")</f>
      </c>
      <c r="DL97" s="763">
        <f t="shared" ref="DL97" si="297">IFERROR(DL96/DG96-1,"")</f>
      </c>
      <c r="DM97" s="116">
        <f t="shared" ref="DM97" si="298">IFERROR(DM96/DH96-1,"")</f>
      </c>
      <c r="DN97" s="763">
        <f t="shared" ref="DN97:EN97" si="299">IFERROR(DN96/DI96-1,"")</f>
      </c>
      <c r="DO97" s="763">
        <f t="shared" si="299"/>
      </c>
      <c r="DP97" s="763">
        <f t="shared" si="299"/>
      </c>
      <c r="DQ97" s="763">
        <f t="shared" si="299"/>
      </c>
      <c r="DR97" s="116">
        <f t="shared" si="299"/>
      </c>
      <c r="DS97" s="763">
        <f t="shared" si="299"/>
      </c>
      <c r="DT97" s="763">
        <f t="shared" si="299"/>
      </c>
      <c r="DU97" s="763">
        <f t="shared" si="299"/>
      </c>
      <c r="DV97" s="763">
        <f t="shared" si="299"/>
      </c>
      <c r="DW97" s="116">
        <f t="shared" si="299"/>
      </c>
      <c r="DX97" s="763">
        <f t="shared" si="299"/>
      </c>
      <c r="DY97" s="763">
        <f t="shared" si="299"/>
      </c>
      <c r="DZ97" s="763">
        <f t="shared" si="299"/>
      </c>
      <c r="EA97" s="763">
        <f t="shared" si="299"/>
      </c>
      <c r="EB97" s="116">
        <f t="shared" si="299"/>
      </c>
      <c r="EC97" s="763">
        <f t="shared" si="299"/>
      </c>
      <c r="ED97" s="763">
        <f t="shared" si="299"/>
      </c>
      <c r="EE97" s="763">
        <f t="shared" si="299"/>
      </c>
      <c r="EF97" s="763">
        <f t="shared" si="299"/>
      </c>
      <c r="EG97" s="116">
        <f t="shared" si="299"/>
      </c>
      <c r="EH97" s="763">
        <f t="shared" si="299"/>
      </c>
      <c r="EI97" s="763">
        <f t="shared" si="299"/>
      </c>
      <c r="EJ97" s="763">
        <f t="shared" si="299"/>
      </c>
      <c r="EK97" s="763">
        <f t="shared" si="299"/>
      </c>
      <c r="EL97" s="116">
        <f t="shared" si="299"/>
      </c>
      <c r="EM97" s="763">
        <f t="shared" si="299"/>
      </c>
      <c r="EN97" s="763">
        <f t="shared" si="299"/>
      </c>
      <c r="EO97" s="763">
        <f t="shared" ref="EO97:FT97" si="300">IFERROR(EO96/EJ96-1,"")</f>
      </c>
      <c r="EP97" s="763">
        <f t="shared" si="300"/>
      </c>
      <c r="EQ97" s="116">
        <f t="shared" si="300"/>
      </c>
      <c r="ER97" s="763">
        <f t="shared" si="300"/>
      </c>
      <c r="ES97" s="763">
        <f t="shared" si="300"/>
      </c>
      <c r="ET97" s="763">
        <f t="shared" si="300"/>
      </c>
      <c r="EU97" s="763">
        <f t="shared" si="300"/>
      </c>
      <c r="EV97" s="116">
        <f t="shared" si="300"/>
      </c>
      <c r="EW97" s="763">
        <f t="shared" si="300"/>
      </c>
      <c r="EX97" s="763">
        <f t="shared" si="300"/>
      </c>
      <c r="EY97" s="763">
        <f t="shared" si="300"/>
      </c>
      <c r="EZ97" s="763">
        <f t="shared" si="300"/>
      </c>
      <c r="FA97" s="116">
        <f t="shared" si="300"/>
      </c>
      <c r="FB97" s="763">
        <f t="shared" si="300"/>
      </c>
      <c r="FC97" s="763">
        <f t="shared" si="300"/>
      </c>
      <c r="FD97" s="763">
        <f t="shared" si="300"/>
      </c>
      <c r="FE97" s="763">
        <f t="shared" si="300"/>
      </c>
      <c r="FF97" s="116">
        <f t="shared" si="300"/>
      </c>
      <c r="FG97" s="763">
        <f t="shared" si="300"/>
      </c>
      <c r="FH97" s="763">
        <f t="shared" si="300"/>
      </c>
      <c r="FI97" s="763">
        <f t="shared" si="300"/>
      </c>
      <c r="FJ97" s="763">
        <f t="shared" si="300"/>
      </c>
      <c r="FK97" s="116">
        <f t="shared" si="300"/>
      </c>
      <c r="FL97" s="763">
        <f t="shared" si="300"/>
      </c>
      <c r="FM97" s="763">
        <f t="shared" si="300"/>
      </c>
      <c r="FN97" s="763">
        <f t="shared" si="300"/>
      </c>
      <c r="FO97" s="763">
        <f t="shared" si="300"/>
      </c>
      <c r="FP97" s="116">
        <f t="shared" si="300"/>
      </c>
      <c r="FQ97" s="763">
        <f t="shared" si="300"/>
      </c>
      <c r="FR97" s="763">
        <f t="shared" si="300"/>
      </c>
      <c r="FS97" s="763">
        <f t="shared" si="300"/>
      </c>
      <c r="FT97" s="763">
        <f t="shared" si="300"/>
      </c>
      <c r="FU97" s="116">
        <f t="shared" ref="FU97:GE97" si="301">IFERROR(FU96/FP96-1,"")</f>
      </c>
      <c r="FV97" s="763">
        <f t="shared" si="301"/>
      </c>
      <c r="FW97" s="763">
        <f t="shared" si="301"/>
      </c>
      <c r="FX97" s="763">
        <f t="shared" si="301"/>
      </c>
      <c r="FY97" s="763">
        <f t="shared" si="301"/>
      </c>
      <c r="FZ97" s="116">
        <f t="shared" si="301"/>
      </c>
      <c r="GA97" s="763">
        <f t="shared" si="301"/>
      </c>
      <c r="GB97" s="763">
        <f t="shared" si="301"/>
      </c>
      <c r="GC97" s="763">
        <f t="shared" si="301"/>
      </c>
      <c r="GD97" s="763">
        <f t="shared" si="301"/>
      </c>
      <c r="GE97" s="116">
        <f t="shared" si="301"/>
      </c>
      <c r="GF97" s="763">
        <f t="shared" ref="GF97" si="302">IFERROR(GF96/GA96-1,"")</f>
      </c>
      <c r="GG97" s="763">
        <f t="shared" ref="GG97" si="303">IFERROR(GG96/GB96-1,"")</f>
      </c>
      <c r="GH97" s="763">
        <f t="shared" ref="GH97" si="304">IFERROR(GH96/GC96-1,"")</f>
      </c>
      <c r="GI97" s="763">
        <f t="shared" ref="GI97" si="305">IFERROR(GI96/GD96-1,"")</f>
      </c>
      <c r="GJ97" s="116">
        <f t="shared" ref="GJ97" si="306">IFERROR(GJ96/GE96-1,"")</f>
      </c>
    </row>
    <row r="98" spans="1:192" s="265" customFormat="1" ht="12.75" hidden="1" customHeight="1" outlineLevel="1">
      <c r="A98" s="262" t="s">
        <v>318</v>
      </c>
      <c r="B98" s="782" t="s">
        <v>355</v>
      </c>
      <c r="C98" s="531"/>
      <c r="D98" s="531"/>
      <c r="E98" s="531"/>
      <c r="F98" s="531"/>
      <c r="G98" s="532"/>
      <c r="H98" s="531"/>
      <c r="I98" s="531"/>
      <c r="J98" s="531"/>
      <c r="K98" s="531"/>
      <c r="L98" s="532"/>
      <c r="M98" s="531"/>
      <c r="N98" s="531"/>
      <c r="O98" s="531"/>
      <c r="P98" s="531"/>
      <c r="Q98" s="532"/>
      <c r="R98" s="531"/>
      <c r="S98" s="531"/>
      <c r="T98" s="531"/>
      <c r="U98" s="531"/>
      <c r="V98" s="532"/>
      <c r="W98" s="531"/>
      <c r="X98" s="531"/>
      <c r="Y98" s="531"/>
      <c r="Z98" s="531"/>
      <c r="AA98" s="532"/>
      <c r="AB98" s="531"/>
      <c r="AC98" s="531"/>
      <c r="AD98" s="531"/>
      <c r="AE98" s="531"/>
      <c r="AF98" s="532"/>
      <c r="AG98" s="531"/>
      <c r="AH98" s="531"/>
      <c r="AI98" s="531"/>
      <c r="AJ98" s="531"/>
      <c r="AK98" s="532"/>
      <c r="AL98" s="531"/>
      <c r="AM98" s="531"/>
      <c r="AN98" s="531"/>
      <c r="AO98" s="531"/>
      <c r="AP98" s="532"/>
      <c r="AQ98" s="531"/>
      <c r="AR98" s="531"/>
      <c r="AS98" s="531"/>
      <c r="AT98" s="531"/>
      <c r="AU98" s="532"/>
      <c r="AV98" s="531"/>
      <c r="AW98" s="531"/>
      <c r="AX98" s="531"/>
      <c r="AY98" s="531"/>
      <c r="AZ98" s="532"/>
      <c r="BA98" s="531"/>
      <c r="BB98" s="531"/>
      <c r="BC98" s="531"/>
      <c r="BD98" s="531"/>
      <c r="BE98" s="532"/>
      <c r="BF98" s="531"/>
      <c r="BG98" s="531"/>
      <c r="BH98" s="531"/>
      <c r="BI98" s="531"/>
      <c r="BJ98" s="532"/>
      <c r="BK98" s="531"/>
      <c r="BL98" s="531"/>
      <c r="BM98" s="531"/>
      <c r="BN98" s="531"/>
      <c r="BO98" s="532"/>
      <c r="BP98" s="531"/>
      <c r="BQ98" s="531"/>
      <c r="BR98" s="531"/>
      <c r="BS98" s="531"/>
      <c r="BT98" s="532"/>
      <c r="BU98" s="531"/>
      <c r="BV98" s="531"/>
      <c r="BW98" s="531"/>
      <c r="BX98" s="531"/>
      <c r="BY98" s="532"/>
      <c r="BZ98" s="531"/>
      <c r="CA98" s="531"/>
      <c r="CB98" s="531"/>
      <c r="CC98" s="531"/>
      <c r="CD98" s="532"/>
      <c r="CE98" s="531"/>
      <c r="CF98" s="531"/>
      <c r="CG98" s="531"/>
      <c r="CH98" s="531"/>
      <c r="CI98" s="532"/>
      <c r="CJ98" s="531"/>
      <c r="CK98" s="531"/>
      <c r="CL98" s="531"/>
      <c r="CM98" s="531"/>
      <c r="CN98" s="532"/>
      <c r="CO98" s="531"/>
      <c r="CP98" s="531"/>
      <c r="CQ98" s="531"/>
      <c r="CR98" s="531"/>
      <c r="CS98" s="532"/>
      <c r="CT98" s="531"/>
      <c r="CU98" s="531"/>
      <c r="CV98" s="531"/>
      <c r="CW98" s="531"/>
      <c r="CX98" s="532"/>
      <c r="CY98" s="531"/>
      <c r="CZ98" s="531"/>
      <c r="DA98" s="531"/>
      <c r="DB98" s="531"/>
      <c r="DC98" s="532"/>
      <c r="DD98" s="531">
        <f>DD96/IS!DD$24</f>
      </c>
      <c r="DE98" s="531">
        <f>DE96/IS!DE$24</f>
      </c>
      <c r="DF98" s="531">
        <f>DF96/IS!DF$24</f>
      </c>
      <c r="DG98" s="531">
        <f>DG96/IS!DG$24</f>
      </c>
      <c r="DH98" s="532">
        <f>DH96/IS!DH$24</f>
      </c>
      <c r="DI98" s="531">
        <f>DI96/IS!DI$24</f>
      </c>
      <c r="DJ98" s="531">
        <f>DJ96/IS!DJ$24</f>
      </c>
      <c r="DK98" s="531">
        <f>DK96/IS!DK$24</f>
      </c>
      <c r="DL98" s="531">
        <f>DL96/IS!DL$24</f>
      </c>
      <c r="DM98" s="532">
        <f>DM96/IS!DM$24</f>
      </c>
      <c r="DN98" s="531">
        <f>DN96/IS!DN$24</f>
      </c>
      <c r="DO98" s="531">
        <f>DO96/IS!DO$24</f>
      </c>
      <c r="DP98" s="531">
        <f>DP96/IS!DP$24</f>
      </c>
      <c r="DQ98" s="531">
        <f>DQ96/IS!DQ$24</f>
      </c>
      <c r="DR98" s="532">
        <f>DR96/IS!DR$24</f>
      </c>
      <c r="DS98" s="531">
        <f>DS96/IS!DS$24</f>
      </c>
      <c r="DT98" s="531">
        <f>DT96/IS!DT$24</f>
      </c>
      <c r="DU98" s="531">
        <f>DU96/IS!DU$24</f>
      </c>
      <c r="DV98" s="531">
        <f>DV96/IS!DV$24</f>
      </c>
      <c r="DW98" s="532">
        <f>DW96/IS!DW$24</f>
      </c>
      <c r="DX98" s="531">
        <f>DX96/IS!DX$24</f>
      </c>
      <c r="DY98" s="531">
        <f>DY96/IS!DY$24</f>
      </c>
      <c r="DZ98" s="531">
        <f>DZ96/IS!DZ$24</f>
      </c>
      <c r="EA98" s="531">
        <f>EA96/IS!EA$24</f>
      </c>
      <c r="EB98" s="532">
        <f>EB96/IS!EB$24</f>
      </c>
      <c r="EC98" s="531">
        <f>EC96/IS!EC$24</f>
      </c>
      <c r="ED98" s="531">
        <f>ED96/IS!ED$24</f>
      </c>
      <c r="EE98" s="531">
        <f>EE96/IS!EE$24</f>
      </c>
      <c r="EF98" s="531">
        <f>EF96/IS!EF$24</f>
      </c>
      <c r="EG98" s="532">
        <f>EG96/IS!EG$24</f>
      </c>
      <c r="EH98" s="531">
        <f>EH96/IS!EH$24</f>
      </c>
      <c r="EI98" s="531">
        <f>EI96/IS!EI$24</f>
      </c>
      <c r="EJ98" s="531">
        <f>EJ96/IS!EJ$24</f>
      </c>
      <c r="EK98" s="531">
        <f>EK96/IS!EK$24</f>
      </c>
      <c r="EL98" s="532">
        <f>EL96/IS!EL$24</f>
      </c>
      <c r="EM98" s="531">
        <f>EM96/IS!EM$24</f>
      </c>
      <c r="EN98" s="531">
        <f>EN96/IS!EN$24</f>
      </c>
      <c r="EO98" s="531">
        <f>EO96/IS!EO$24</f>
      </c>
      <c r="EP98" s="531">
        <f>EP96/IS!EP$24</f>
      </c>
      <c r="EQ98" s="532">
        <f>EQ96/IS!EQ$24</f>
      </c>
      <c r="ER98" s="531">
        <f>ER96/IS!ER$24</f>
      </c>
      <c r="ES98" s="531">
        <f>ES96/IS!ES$24</f>
      </c>
      <c r="ET98" s="531">
        <f>ET96/IS!ET$24</f>
      </c>
      <c r="EU98" s="531">
        <f>EU96/IS!EU$24</f>
      </c>
      <c r="EV98" s="532">
        <f>EV96/IS!EV$24</f>
      </c>
      <c r="EW98" s="531">
        <f>EW96/IS!EW$24</f>
      </c>
      <c r="EX98" s="531">
        <f>EX96/IS!EX$24</f>
      </c>
      <c r="EY98" s="531">
        <f>EY96/IS!EY$24</f>
      </c>
      <c r="EZ98" s="531">
        <f>EZ96/IS!EZ$24</f>
      </c>
      <c r="FA98" s="532">
        <f>FA96/IS!FA$24</f>
      </c>
      <c r="FB98" s="263">
        <f>FB96/IS!FB$24</f>
      </c>
      <c r="FC98" s="263">
        <f>FC96/IS!FC$24</f>
      </c>
      <c r="FD98" s="263">
        <f>FD96/IS!FD$24</f>
      </c>
      <c r="FE98" s="263">
        <f>FE96/IS!FE$24</f>
      </c>
      <c r="FF98" s="264">
        <f>FF96/IS!FF$24</f>
      </c>
      <c r="FG98" s="263">
        <f>FG96/IS!FG$24</f>
      </c>
      <c r="FH98" s="263">
        <f>FH96/IS!FH$24</f>
      </c>
      <c r="FI98" s="263">
        <f>FI96/IS!FI$24</f>
      </c>
      <c r="FJ98" s="263">
        <f>FJ96/IS!FJ$24</f>
      </c>
      <c r="FK98" s="264">
        <f>FK96/IS!FK$24</f>
      </c>
      <c r="FL98" s="263">
        <f>FL96/IS!FL$24</f>
      </c>
      <c r="FM98" s="263">
        <f>FM96/IS!FM$24</f>
      </c>
      <c r="FN98" s="263">
        <f>FN96/IS!FN$24</f>
      </c>
      <c r="FO98" s="263">
        <f>FO96/IS!FO$24</f>
      </c>
      <c r="FP98" s="264">
        <f>FP96/IS!FP$24</f>
      </c>
      <c r="FQ98" s="263">
        <f>FQ96/IS!FQ$24</f>
      </c>
      <c r="FR98" s="263">
        <f>FR96/IS!FR$24</f>
      </c>
      <c r="FS98" s="263">
        <f>FS96/IS!FS$24</f>
      </c>
      <c r="FT98" s="263">
        <f>FT96/IS!FT$24</f>
      </c>
      <c r="FU98" s="264">
        <f>FU96/IS!FU$24</f>
      </c>
      <c r="FV98" s="263">
        <f>FV96/IS!FV$24</f>
      </c>
      <c r="FW98" s="263">
        <f>FW96/IS!FW$24</f>
      </c>
      <c r="FX98" s="263">
        <f>FX96/IS!FX$24</f>
      </c>
      <c r="FY98" s="263">
        <f>FY96/IS!FY$24</f>
      </c>
      <c r="FZ98" s="264">
        <f>FZ96/IS!FZ$24</f>
      </c>
      <c r="GA98" s="263">
        <f>GA96/IS!GA$24</f>
      </c>
      <c r="GB98" s="263">
        <f>GB96/IS!GB$24</f>
      </c>
      <c r="GC98" s="263">
        <f>GC96/IS!GC$24</f>
      </c>
      <c r="GD98" s="263">
        <f>GD96/IS!GD$24</f>
      </c>
      <c r="GE98" s="264">
        <f>GE96/IS!GE$24</f>
      </c>
      <c r="GF98" s="263">
        <f>GF96/IS!GF$24</f>
      </c>
      <c r="GG98" s="263">
        <f>GG96/IS!GG$24</f>
      </c>
      <c r="GH98" s="263">
        <f>GH96/IS!GH$24</f>
      </c>
      <c r="GI98" s="263">
        <f>GI96/IS!GI$24</f>
      </c>
      <c r="GJ98" s="264">
        <f>GJ96/IS!GJ$24</f>
      </c>
    </row>
    <row r="99" spans="1:192" ht="12.75" customHeight="1" collapsed="1">
      <c r="G99" s="146"/>
      <c r="L99" s="146"/>
      <c r="Q99" s="146"/>
      <c r="V99" s="146"/>
      <c r="AA99" s="146"/>
      <c r="AF99" s="146"/>
      <c r="AK99" s="146"/>
      <c r="AP99" s="146"/>
      <c r="AU99" s="146"/>
      <c r="AZ99" s="146"/>
      <c r="BE99" s="146"/>
      <c r="BJ99" s="146"/>
      <c r="BO99" s="146"/>
      <c r="BT99" s="146"/>
      <c r="BY99" s="146"/>
      <c r="CD99" s="146"/>
      <c r="CI99" s="146"/>
      <c r="CN99" s="146"/>
      <c r="CS99" s="146"/>
      <c r="CX99" s="146"/>
      <c r="DC99" s="146"/>
      <c r="DH99" s="146"/>
      <c r="DM99" s="146"/>
      <c r="DR99" s="146"/>
      <c r="DW99" s="146"/>
      <c r="EB99" s="146"/>
      <c r="EG99" s="146"/>
      <c r="EJ99" s="1437"/>
      <c r="EL99" s="146"/>
      <c r="EQ99" s="146"/>
      <c r="EV99" s="146"/>
      <c r="FA99" s="146"/>
      <c r="FF99" s="146"/>
      <c r="FK99" s="146"/>
      <c r="FP99" s="146"/>
      <c r="FU99" s="146"/>
      <c r="FZ99" s="146"/>
      <c r="GE99" s="146"/>
      <c r="GJ99" s="146"/>
    </row>
    <row r="100" spans="1:192" s="252" customFormat="1" ht="12.75" customHeight="1">
      <c r="A100" s="81"/>
      <c r="B100" s="716"/>
      <c r="C100" s="271"/>
      <c r="D100" s="271"/>
      <c r="E100" s="271"/>
      <c r="F100" s="271"/>
      <c r="G100" s="270"/>
      <c r="H100" s="271"/>
      <c r="I100" s="271"/>
      <c r="J100" s="271"/>
      <c r="K100" s="271"/>
      <c r="L100" s="270"/>
      <c r="M100" s="271"/>
      <c r="N100" s="271"/>
      <c r="O100" s="271"/>
      <c r="P100" s="271"/>
      <c r="Q100" s="270"/>
      <c r="R100" s="271"/>
      <c r="S100" s="271"/>
      <c r="T100" s="271"/>
      <c r="U100" s="271"/>
      <c r="V100" s="270"/>
      <c r="W100" s="271"/>
      <c r="X100" s="271"/>
      <c r="Y100" s="271"/>
      <c r="Z100" s="271"/>
      <c r="AA100" s="270"/>
      <c r="AB100" s="271"/>
      <c r="AC100" s="271"/>
      <c r="AD100" s="271"/>
      <c r="AE100" s="271"/>
      <c r="AF100" s="270"/>
      <c r="AG100" s="271"/>
      <c r="AH100" s="271"/>
      <c r="AI100" s="271"/>
      <c r="AJ100" s="271"/>
      <c r="AK100" s="270"/>
      <c r="AL100" s="271"/>
      <c r="AM100" s="271"/>
      <c r="AN100" s="271"/>
      <c r="AO100" s="271"/>
      <c r="AP100" s="270"/>
      <c r="AQ100" s="271"/>
      <c r="AR100" s="271"/>
      <c r="AS100" s="271"/>
      <c r="AT100" s="271"/>
      <c r="AU100" s="270"/>
      <c r="AV100" s="271"/>
      <c r="AW100" s="271"/>
      <c r="AX100" s="271"/>
      <c r="AY100" s="271"/>
      <c r="AZ100" s="270"/>
      <c r="BA100" s="271"/>
      <c r="BB100" s="271"/>
      <c r="BC100" s="271"/>
      <c r="BD100" s="271"/>
      <c r="BE100" s="270"/>
      <c r="BF100" s="271"/>
      <c r="BG100" s="271"/>
      <c r="BH100" s="271"/>
      <c r="BI100" s="271"/>
      <c r="BJ100" s="270"/>
      <c r="BK100" s="271"/>
      <c r="BL100" s="271"/>
      <c r="BM100" s="271"/>
      <c r="BN100" s="271"/>
      <c r="BO100" s="270"/>
      <c r="BP100" s="271"/>
      <c r="BQ100" s="271"/>
      <c r="BR100" s="271"/>
      <c r="BS100" s="271"/>
      <c r="BT100" s="270"/>
      <c r="BU100" s="271"/>
      <c r="BV100" s="271"/>
      <c r="BW100" s="271"/>
      <c r="BX100" s="271"/>
      <c r="BY100" s="270"/>
      <c r="BZ100" s="271"/>
      <c r="CA100" s="271"/>
      <c r="CB100" s="271"/>
      <c r="CC100" s="271"/>
      <c r="CD100" s="270"/>
      <c r="CE100" s="271"/>
      <c r="CF100" s="271"/>
      <c r="CG100" s="271"/>
      <c r="CH100" s="271"/>
      <c r="CI100" s="270"/>
      <c r="CJ100" s="271"/>
      <c r="CK100" s="271"/>
      <c r="CL100" s="271"/>
      <c r="CM100" s="271"/>
      <c r="CN100" s="270"/>
      <c r="CO100" s="271"/>
      <c r="CP100" s="271"/>
      <c r="CQ100" s="271"/>
      <c r="CR100" s="271"/>
      <c r="CS100" s="270"/>
      <c r="CT100" s="271"/>
      <c r="CU100" s="271"/>
      <c r="CV100" s="271"/>
      <c r="CW100" s="271"/>
      <c r="CX100" s="270"/>
      <c r="CY100" s="271"/>
      <c r="CZ100" s="271"/>
      <c r="DA100" s="271"/>
      <c r="DB100" s="271"/>
      <c r="DC100" s="270"/>
      <c r="DD100" s="271"/>
      <c r="DE100" s="271"/>
      <c r="DF100" s="271"/>
      <c r="DG100" s="271"/>
      <c r="DH100" s="270"/>
      <c r="DI100" s="271"/>
      <c r="DJ100" s="271"/>
      <c r="DK100" s="271"/>
      <c r="DL100" s="271"/>
      <c r="DM100" s="270"/>
      <c r="DN100" s="271"/>
      <c r="DO100" s="271"/>
      <c r="DP100" s="271"/>
      <c r="DQ100" s="271"/>
      <c r="DR100" s="270"/>
      <c r="DS100" s="271"/>
      <c r="DT100" s="271"/>
      <c r="DU100" s="271"/>
      <c r="DV100" s="271"/>
      <c r="DW100" s="270"/>
      <c r="DX100" s="271"/>
      <c r="DY100" s="271"/>
      <c r="DZ100" s="271"/>
      <c r="EA100" s="271"/>
      <c r="EB100" s="270"/>
      <c r="EC100" s="271"/>
      <c r="ED100" s="271"/>
      <c r="EE100" s="271"/>
      <c r="EF100" s="271"/>
      <c r="EG100" s="270"/>
      <c r="EH100" s="271"/>
      <c r="EI100" s="271"/>
      <c r="EJ100" s="271"/>
      <c r="EK100" s="271"/>
      <c r="EL100" s="270"/>
      <c r="EM100" s="271"/>
      <c r="EN100" s="271"/>
      <c r="EO100" s="271"/>
      <c r="EP100" s="271"/>
      <c r="EQ100" s="270"/>
      <c r="ER100" s="271"/>
      <c r="ES100" s="271"/>
      <c r="ET100" s="271"/>
      <c r="EU100" s="271"/>
      <c r="EV100" s="270"/>
      <c r="EW100" s="271"/>
      <c r="EX100" s="271"/>
      <c r="EY100" s="271"/>
      <c r="EZ100" s="271"/>
      <c r="FA100" s="270"/>
      <c r="FB100" s="271"/>
      <c r="FC100" s="271"/>
      <c r="FD100" s="271"/>
      <c r="FE100" s="271"/>
      <c r="FF100" s="270"/>
      <c r="FG100" s="271"/>
      <c r="FH100" s="271"/>
      <c r="FI100" s="271"/>
      <c r="FJ100" s="271"/>
      <c r="FK100" s="270"/>
      <c r="FL100" s="271"/>
      <c r="FM100" s="271"/>
      <c r="FN100" s="271"/>
      <c r="FO100" s="271"/>
      <c r="FP100" s="270"/>
      <c r="FQ100" s="271"/>
      <c r="FR100" s="271"/>
      <c r="FS100" s="271"/>
      <c r="FT100" s="271"/>
      <c r="FU100" s="270"/>
      <c r="FV100" s="271"/>
      <c r="FW100" s="271"/>
      <c r="FX100" s="271"/>
      <c r="FY100" s="271"/>
      <c r="FZ100" s="270"/>
      <c r="GA100" s="271"/>
      <c r="GB100" s="271"/>
      <c r="GC100" s="271"/>
      <c r="GD100" s="271"/>
      <c r="GE100" s="270"/>
      <c r="GF100" s="271"/>
      <c r="GG100" s="271"/>
      <c r="GH100" s="271"/>
      <c r="GI100" s="271"/>
      <c r="GJ100" s="270"/>
    </row>
    <row r="101" spans="1:192" s="256" customFormat="1" ht="12.75" customHeight="1">
      <c r="A101" s="255"/>
      <c r="B101" s="716"/>
      <c r="C101" s="195"/>
      <c r="D101" s="195"/>
      <c r="E101" s="195"/>
      <c r="F101" s="195"/>
      <c r="G101" s="195"/>
      <c r="H101" s="195"/>
      <c r="I101" s="195"/>
      <c r="J101" s="195"/>
      <c r="K101" s="195"/>
      <c r="L101" s="195"/>
      <c r="M101" s="195"/>
      <c r="N101" s="195"/>
      <c r="O101" s="195"/>
      <c r="P101" s="195"/>
      <c r="Q101" s="195"/>
      <c r="R101" s="195"/>
      <c r="S101" s="195"/>
      <c r="T101" s="195"/>
      <c r="U101" s="195"/>
      <c r="V101" s="195"/>
      <c r="W101" s="195"/>
      <c r="X101" s="195"/>
      <c r="Y101" s="195"/>
      <c r="Z101" s="195"/>
      <c r="AA101" s="195"/>
      <c r="AB101" s="195"/>
      <c r="AC101" s="195"/>
      <c r="AD101" s="195"/>
      <c r="AE101" s="195"/>
      <c r="AF101" s="195"/>
      <c r="AG101" s="195"/>
      <c r="AH101" s="195"/>
      <c r="AI101" s="195"/>
      <c r="AJ101" s="195"/>
      <c r="AK101" s="195"/>
      <c r="AL101" s="195"/>
      <c r="AM101" s="195"/>
      <c r="AN101" s="195"/>
      <c r="AO101" s="195"/>
      <c r="AP101" s="195"/>
      <c r="AQ101" s="195"/>
      <c r="AR101" s="195"/>
      <c r="AS101" s="195"/>
      <c r="AT101" s="195"/>
      <c r="AU101" s="195"/>
      <c r="AV101" s="195"/>
      <c r="AW101" s="195"/>
      <c r="AX101" s="195"/>
      <c r="AY101" s="195"/>
      <c r="AZ101" s="195"/>
      <c r="BA101" s="195"/>
      <c r="BB101" s="195"/>
      <c r="BC101" s="195"/>
      <c r="BD101" s="195"/>
      <c r="BE101" s="195"/>
      <c r="BF101" s="195"/>
      <c r="BG101" s="195"/>
      <c r="BH101" s="195"/>
      <c r="BI101" s="195"/>
      <c r="BJ101" s="195"/>
      <c r="BK101" s="195"/>
      <c r="BL101" s="195"/>
      <c r="BM101" s="195"/>
      <c r="BN101" s="195"/>
      <c r="BO101" s="195"/>
      <c r="BP101" s="195"/>
      <c r="BQ101" s="195"/>
      <c r="BR101" s="195"/>
      <c r="BS101" s="195"/>
      <c r="BT101" s="195"/>
      <c r="BU101" s="195"/>
      <c r="BV101" s="195"/>
      <c r="BW101" s="195"/>
      <c r="BX101" s="195"/>
      <c r="BY101" s="195"/>
      <c r="BZ101" s="195"/>
      <c r="CA101" s="195"/>
      <c r="CB101" s="195"/>
      <c r="CC101" s="195"/>
      <c r="CD101" s="195"/>
      <c r="CE101" s="195"/>
      <c r="CF101" s="195"/>
      <c r="CG101" s="195"/>
      <c r="CH101" s="195"/>
      <c r="CI101" s="195"/>
      <c r="CJ101" s="195"/>
      <c r="CK101" s="195"/>
      <c r="CL101" s="195"/>
      <c r="CM101" s="195"/>
      <c r="CN101" s="195"/>
      <c r="CO101" s="195"/>
      <c r="CP101" s="195"/>
      <c r="CQ101" s="195"/>
      <c r="CR101" s="195"/>
      <c r="CS101" s="195"/>
      <c r="CT101" s="195"/>
      <c r="CU101" s="195"/>
      <c r="CV101" s="195"/>
      <c r="CW101" s="195"/>
      <c r="CX101" s="195"/>
      <c r="CY101" s="195"/>
      <c r="CZ101" s="195"/>
      <c r="DA101" s="195"/>
      <c r="DB101" s="195"/>
      <c r="DC101" s="195"/>
      <c r="DD101" s="195"/>
      <c r="DE101" s="195"/>
      <c r="DF101" s="195"/>
      <c r="DG101" s="195"/>
      <c r="DH101" s="195"/>
      <c r="DI101" s="195"/>
      <c r="DJ101" s="195"/>
      <c r="DK101" s="195"/>
      <c r="DL101" s="195"/>
      <c r="DM101" s="195"/>
      <c r="DN101" s="195"/>
      <c r="DO101" s="195"/>
      <c r="DP101" s="195"/>
      <c r="DQ101" s="195"/>
      <c r="DR101" s="195"/>
      <c r="DS101" s="195"/>
      <c r="DT101" s="195"/>
      <c r="DU101" s="195"/>
      <c r="DV101" s="195"/>
      <c r="DW101" s="195"/>
      <c r="DX101" s="195"/>
      <c r="DY101" s="195"/>
      <c r="DZ101" s="195"/>
      <c r="EA101" s="195"/>
      <c r="EB101" s="195"/>
      <c r="EC101" s="195"/>
      <c r="ED101" s="195"/>
      <c r="EE101" s="195"/>
      <c r="EF101" s="195"/>
      <c r="EG101" s="195"/>
      <c r="EH101" s="195"/>
      <c r="EI101" s="195"/>
      <c r="EJ101" s="195"/>
      <c r="EK101" s="195"/>
      <c r="EL101" s="195"/>
      <c r="EM101" s="195"/>
      <c r="EN101" s="195"/>
      <c r="EO101" s="195"/>
      <c r="EP101" s="195"/>
      <c r="EQ101" s="195"/>
      <c r="ER101" s="195"/>
      <c r="ES101" s="195"/>
      <c r="ET101" s="195"/>
      <c r="EU101" s="195"/>
      <c r="EV101" s="195"/>
      <c r="EW101" s="195"/>
      <c r="EX101" s="195"/>
      <c r="EY101" s="195"/>
      <c r="EZ101" s="195"/>
      <c r="FA101" s="195"/>
      <c r="FB101" s="195"/>
      <c r="FC101" s="195"/>
      <c r="FD101" s="195"/>
      <c r="FE101" s="195"/>
      <c r="FF101" s="195"/>
      <c r="FG101" s="195"/>
      <c r="FH101" s="195"/>
      <c r="FI101" s="195"/>
      <c r="FJ101" s="195"/>
      <c r="FK101" s="195"/>
      <c r="FL101" s="195"/>
      <c r="FM101" s="195"/>
      <c r="FN101" s="195"/>
      <c r="FO101" s="195"/>
      <c r="FP101" s="195"/>
      <c r="FQ101" s="195"/>
      <c r="FR101" s="195"/>
      <c r="FS101" s="195"/>
      <c r="FT101" s="195"/>
      <c r="FU101" s="195"/>
      <c r="FV101" s="195"/>
      <c r="FW101" s="195"/>
      <c r="FX101" s="195"/>
      <c r="FY101" s="195"/>
      <c r="FZ101" s="195"/>
      <c r="GA101" s="195"/>
      <c r="GB101" s="195"/>
      <c r="GC101" s="195"/>
      <c r="GD101" s="195"/>
      <c r="GE101" s="195"/>
      <c r="GF101" s="195"/>
      <c r="GG101" s="195"/>
      <c r="GH101" s="195"/>
      <c r="GI101" s="195"/>
      <c r="GJ101" s="195"/>
    </row>
    <row r="102" spans="1:192" ht="12.75" customHeight="1">
      <c r="B102" s="716"/>
    </row>
    <row r="103" spans="1:192" ht="12.75" customHeight="1">
      <c r="B103" s="703"/>
      <c r="ES103" s="1127"/>
    </row>
    <row r="104" spans="1:192" ht="12.75" customHeight="1">
      <c r="B104" s="704"/>
      <c r="C104" s="103"/>
      <c r="D104" s="103"/>
      <c r="E104" s="103"/>
      <c r="F104" s="103"/>
      <c r="G104" s="103"/>
      <c r="H104" s="103"/>
      <c r="I104" s="103"/>
      <c r="J104" s="103"/>
      <c r="K104" s="103"/>
      <c r="L104" s="103"/>
      <c r="M104" s="103"/>
      <c r="N104" s="103"/>
      <c r="O104" s="103"/>
      <c r="P104" s="103"/>
      <c r="Q104" s="103"/>
      <c r="R104" s="103"/>
      <c r="S104" s="103"/>
      <c r="T104" s="103"/>
      <c r="U104" s="103"/>
      <c r="V104" s="103"/>
      <c r="W104" s="103"/>
      <c r="X104" s="103"/>
      <c r="Y104" s="103"/>
      <c r="Z104" s="103"/>
      <c r="AA104" s="103"/>
      <c r="AB104" s="103"/>
      <c r="AC104" s="103"/>
      <c r="AD104" s="103"/>
      <c r="AE104" s="103"/>
      <c r="AF104" s="103"/>
      <c r="AG104" s="103"/>
      <c r="AH104" s="103"/>
      <c r="AI104" s="103"/>
      <c r="AJ104" s="103"/>
      <c r="AK104" s="103"/>
      <c r="AL104" s="103"/>
      <c r="AM104" s="103"/>
      <c r="AN104" s="103"/>
      <c r="AO104" s="103"/>
      <c r="AP104" s="103"/>
      <c r="AQ104" s="103"/>
      <c r="AR104" s="103"/>
      <c r="AS104" s="103"/>
      <c r="AT104" s="103"/>
      <c r="AU104" s="103"/>
      <c r="AV104" s="103"/>
      <c r="AW104" s="103"/>
      <c r="AX104" s="103"/>
      <c r="AY104" s="103"/>
      <c r="AZ104" s="103"/>
      <c r="BA104" s="103"/>
      <c r="BB104" s="103"/>
      <c r="BC104" s="103"/>
      <c r="BD104" s="103"/>
      <c r="BE104" s="103"/>
      <c r="BF104" s="103"/>
      <c r="BG104" s="103"/>
      <c r="BH104" s="103"/>
      <c r="BI104" s="103"/>
      <c r="BJ104" s="103"/>
      <c r="BK104" s="103"/>
      <c r="BL104" s="103"/>
      <c r="BM104" s="103"/>
      <c r="BN104" s="103"/>
      <c r="BO104" s="103"/>
      <c r="BP104" s="103"/>
      <c r="BQ104" s="103"/>
      <c r="BR104" s="103"/>
      <c r="BS104" s="103"/>
      <c r="BT104" s="103"/>
      <c r="BU104" s="103"/>
      <c r="BV104" s="103"/>
      <c r="BW104" s="103"/>
      <c r="BX104" s="103"/>
      <c r="BY104" s="103"/>
      <c r="BZ104" s="103"/>
      <c r="CA104" s="103"/>
      <c r="CB104" s="103"/>
      <c r="CC104" s="103"/>
      <c r="CD104" s="103"/>
      <c r="CE104" s="103"/>
      <c r="CF104" s="103"/>
      <c r="CG104" s="103"/>
      <c r="CH104" s="103"/>
      <c r="CI104" s="103"/>
      <c r="CJ104" s="103"/>
      <c r="CK104" s="103"/>
      <c r="CL104" s="103"/>
      <c r="CM104" s="103"/>
      <c r="CN104" s="103"/>
      <c r="CO104" s="103"/>
      <c r="CP104" s="103"/>
      <c r="CQ104" s="103"/>
      <c r="CR104" s="103"/>
      <c r="CS104" s="103"/>
      <c r="CT104" s="103"/>
      <c r="CU104" s="103"/>
      <c r="CV104" s="103"/>
      <c r="CW104" s="103"/>
      <c r="CX104" s="103"/>
      <c r="CY104" s="103"/>
      <c r="CZ104" s="103"/>
      <c r="DA104" s="103"/>
      <c r="DB104" s="103"/>
      <c r="DC104" s="103"/>
      <c r="DD104" s="103"/>
      <c r="DE104" s="103"/>
      <c r="DF104" s="103"/>
      <c r="DG104" s="103"/>
      <c r="DH104" s="103"/>
      <c r="DI104" s="103"/>
      <c r="DJ104" s="103"/>
      <c r="DK104" s="103"/>
      <c r="DL104" s="103"/>
      <c r="DM104" s="103"/>
      <c r="DN104" s="103"/>
      <c r="DO104" s="103"/>
      <c r="DP104" s="103"/>
      <c r="DQ104" s="103"/>
      <c r="DR104" s="103"/>
      <c r="DS104" s="103"/>
      <c r="DT104" s="103"/>
      <c r="DU104" s="103"/>
      <c r="DV104" s="103"/>
      <c r="DW104" s="103"/>
      <c r="DX104" s="103"/>
      <c r="DY104" s="103"/>
      <c r="DZ104" s="103"/>
      <c r="EA104" s="103"/>
      <c r="EB104" s="103"/>
      <c r="EC104" s="103"/>
      <c r="ED104" s="103"/>
      <c r="EE104" s="103"/>
      <c r="EF104" s="103"/>
      <c r="EG104" s="103"/>
      <c r="EH104" s="103"/>
      <c r="EI104" s="103"/>
      <c r="EJ104" s="103"/>
      <c r="EK104" s="103"/>
      <c r="EL104" s="103"/>
      <c r="EM104" s="103"/>
      <c r="EN104" s="103"/>
      <c r="EO104" s="103"/>
      <c r="EP104" s="103"/>
      <c r="EQ104" s="103"/>
      <c r="ER104" s="103"/>
      <c r="ES104" s="103"/>
      <c r="ET104" s="103"/>
      <c r="EU104" s="103"/>
      <c r="EV104" s="103"/>
      <c r="EW104" s="103"/>
      <c r="EX104" s="103"/>
      <c r="EY104" s="103"/>
      <c r="EZ104" s="103"/>
      <c r="FA104" s="103"/>
      <c r="FB104" s="103"/>
      <c r="FC104" s="103"/>
      <c r="FD104" s="103"/>
      <c r="FE104" s="103"/>
      <c r="FF104" s="103"/>
      <c r="FG104" s="103"/>
      <c r="FH104" s="103"/>
      <c r="FI104" s="103"/>
      <c r="FJ104" s="103"/>
      <c r="FK104" s="103"/>
      <c r="FL104" s="103"/>
      <c r="FM104" s="103"/>
      <c r="FN104" s="103"/>
      <c r="FO104" s="103"/>
      <c r="FP104" s="103"/>
      <c r="FQ104" s="103"/>
      <c r="FR104" s="103"/>
      <c r="FS104" s="103"/>
      <c r="FT104" s="103"/>
      <c r="FU104" s="103"/>
      <c r="FV104" s="103"/>
      <c r="FW104" s="103"/>
      <c r="FX104" s="103"/>
      <c r="FY104" s="103"/>
      <c r="FZ104" s="103"/>
      <c r="GA104" s="103"/>
      <c r="GB104" s="103"/>
      <c r="GC104" s="103"/>
      <c r="GD104" s="103"/>
      <c r="GE104" s="103"/>
      <c r="GF104" s="103"/>
      <c r="GG104" s="103"/>
      <c r="GH104" s="103"/>
      <c r="GI104" s="103"/>
      <c r="GJ104" s="103"/>
    </row>
    <row r="105" spans="1:192" ht="12.75" customHeight="1">
      <c r="B105" s="704"/>
      <c r="C105" s="266"/>
      <c r="D105" s="266"/>
      <c r="E105" s="266"/>
      <c r="F105" s="266"/>
      <c r="G105" s="103"/>
      <c r="H105" s="266"/>
      <c r="I105" s="266"/>
      <c r="J105" s="266"/>
      <c r="K105" s="266"/>
      <c r="L105" s="103"/>
      <c r="M105" s="266"/>
      <c r="N105" s="266"/>
      <c r="O105" s="266"/>
      <c r="P105" s="266"/>
      <c r="Q105" s="103"/>
      <c r="R105" s="266"/>
      <c r="S105" s="266"/>
      <c r="T105" s="266"/>
      <c r="U105" s="266"/>
      <c r="V105" s="103"/>
      <c r="W105" s="266"/>
      <c r="X105" s="266"/>
      <c r="Y105" s="266"/>
      <c r="Z105" s="266"/>
      <c r="AA105" s="103"/>
      <c r="AB105" s="266"/>
      <c r="AC105" s="266"/>
      <c r="AD105" s="266"/>
      <c r="AE105" s="266"/>
      <c r="AF105" s="103"/>
      <c r="AG105" s="266"/>
      <c r="AH105" s="266"/>
      <c r="AI105" s="266"/>
      <c r="AJ105" s="266"/>
      <c r="AK105" s="103"/>
      <c r="AL105" s="266"/>
      <c r="AM105" s="266"/>
      <c r="AN105" s="266"/>
      <c r="AO105" s="266"/>
      <c r="AP105" s="103"/>
      <c r="AQ105" s="266"/>
      <c r="AR105" s="266"/>
      <c r="AS105" s="266"/>
      <c r="AT105" s="266"/>
      <c r="AU105" s="103"/>
      <c r="AV105" s="266"/>
      <c r="AW105" s="266"/>
      <c r="AX105" s="266"/>
      <c r="AY105" s="266"/>
      <c r="AZ105" s="103"/>
      <c r="BA105" s="266"/>
      <c r="BB105" s="266"/>
      <c r="BC105" s="266"/>
      <c r="BD105" s="266"/>
      <c r="BE105" s="103"/>
      <c r="BF105" s="266"/>
      <c r="BG105" s="266"/>
      <c r="BH105" s="266"/>
      <c r="BI105" s="266"/>
      <c r="BJ105" s="103"/>
      <c r="BK105" s="266"/>
      <c r="BL105" s="266"/>
      <c r="BM105" s="266"/>
      <c r="BN105" s="266"/>
      <c r="BO105" s="103"/>
      <c r="BP105" s="266"/>
      <c r="BQ105" s="266"/>
      <c r="BR105" s="266"/>
      <c r="BS105" s="266"/>
      <c r="BT105" s="103"/>
      <c r="BU105" s="266"/>
      <c r="BV105" s="266"/>
      <c r="BW105" s="266"/>
      <c r="BX105" s="266"/>
      <c r="BY105" s="103"/>
      <c r="BZ105" s="266"/>
      <c r="CA105" s="266"/>
      <c r="CB105" s="266"/>
      <c r="CC105" s="266"/>
      <c r="CD105" s="103"/>
      <c r="CE105" s="266"/>
      <c r="CF105" s="266"/>
      <c r="CG105" s="266"/>
      <c r="CH105" s="266"/>
      <c r="CI105" s="103"/>
      <c r="CJ105" s="266"/>
      <c r="CK105" s="266"/>
      <c r="CL105" s="266"/>
      <c r="CM105" s="266"/>
      <c r="CN105" s="103"/>
      <c r="CO105" s="266"/>
      <c r="CP105" s="266"/>
      <c r="CQ105" s="266"/>
      <c r="CR105" s="266"/>
      <c r="CS105" s="103"/>
      <c r="CT105" s="266"/>
      <c r="CU105" s="266"/>
      <c r="CV105" s="266"/>
      <c r="CW105" s="266"/>
      <c r="CX105" s="103"/>
      <c r="CY105" s="266"/>
      <c r="CZ105" s="266"/>
      <c r="DA105" s="266"/>
      <c r="DB105" s="266"/>
      <c r="DC105" s="103"/>
      <c r="DD105" s="266"/>
      <c r="DE105" s="266"/>
      <c r="DF105" s="266"/>
      <c r="DG105" s="266"/>
      <c r="DH105" s="103"/>
      <c r="DI105" s="266"/>
      <c r="DJ105" s="266"/>
      <c r="DK105" s="266"/>
      <c r="DL105" s="266"/>
      <c r="DM105" s="103"/>
      <c r="DN105" s="266"/>
      <c r="DO105" s="266"/>
      <c r="DP105" s="266"/>
      <c r="DQ105" s="266"/>
      <c r="DR105" s="103"/>
      <c r="DS105" s="266"/>
      <c r="DT105" s="266"/>
      <c r="DU105" s="266"/>
      <c r="DV105" s="266"/>
      <c r="DW105" s="103"/>
      <c r="DX105" s="266"/>
      <c r="DY105" s="266"/>
      <c r="DZ105" s="266"/>
      <c r="EA105" s="266"/>
      <c r="EB105" s="103"/>
      <c r="EC105" s="266"/>
      <c r="ED105" s="266"/>
      <c r="EE105" s="266"/>
      <c r="EF105" s="266"/>
      <c r="EG105" s="103"/>
      <c r="EH105" s="266"/>
      <c r="EI105" s="266"/>
      <c r="EJ105" s="266"/>
      <c r="EK105" s="266"/>
      <c r="EL105" s="103"/>
      <c r="EM105" s="266"/>
      <c r="EN105" s="266"/>
      <c r="EO105" s="266"/>
      <c r="EP105" s="266"/>
      <c r="EQ105" s="103"/>
      <c r="ER105" s="266"/>
      <c r="ES105" s="266"/>
      <c r="ET105" s="266"/>
      <c r="EU105" s="266"/>
      <c r="EV105" s="103"/>
      <c r="EW105" s="266"/>
      <c r="EX105" s="266"/>
      <c r="EY105" s="266"/>
      <c r="EZ105" s="266"/>
      <c r="FA105" s="103"/>
      <c r="FB105" s="266"/>
      <c r="FC105" s="266"/>
      <c r="FD105" s="266"/>
      <c r="FE105" s="266"/>
      <c r="FF105" s="103"/>
      <c r="FG105" s="266"/>
      <c r="FH105" s="266"/>
      <c r="FI105" s="266"/>
      <c r="FJ105" s="266"/>
      <c r="FK105" s="103"/>
      <c r="FL105" s="266"/>
      <c r="FM105" s="266"/>
      <c r="FN105" s="266"/>
      <c r="FO105" s="266"/>
      <c r="FP105" s="103"/>
      <c r="FQ105" s="266"/>
      <c r="FR105" s="266"/>
      <c r="FS105" s="266"/>
      <c r="FT105" s="266"/>
      <c r="FU105" s="103"/>
      <c r="FV105" s="266"/>
      <c r="FW105" s="266"/>
      <c r="FX105" s="266"/>
      <c r="FY105" s="266"/>
      <c r="FZ105" s="103"/>
      <c r="GA105" s="266"/>
      <c r="GB105" s="266"/>
      <c r="GC105" s="266"/>
      <c r="GD105" s="266"/>
      <c r="GE105" s="103"/>
      <c r="GF105" s="266"/>
      <c r="GG105" s="266"/>
      <c r="GH105" s="266"/>
      <c r="GI105" s="266"/>
      <c r="GJ105" s="103"/>
    </row>
    <row r="106" spans="1:192" ht="12.75" customHeight="1">
      <c r="B106" s="704"/>
      <c r="C106" s="103"/>
      <c r="D106" s="103"/>
      <c r="E106" s="103"/>
      <c r="F106" s="103"/>
      <c r="G106" s="103"/>
      <c r="H106" s="103"/>
      <c r="I106" s="103"/>
      <c r="J106" s="103"/>
      <c r="K106" s="103"/>
      <c r="L106" s="103"/>
      <c r="M106" s="103"/>
      <c r="N106" s="103"/>
      <c r="O106" s="103"/>
      <c r="P106" s="103"/>
      <c r="Q106" s="103"/>
      <c r="R106" s="103"/>
      <c r="S106" s="103"/>
      <c r="T106" s="103"/>
      <c r="U106" s="103"/>
      <c r="V106" s="103"/>
      <c r="W106" s="103"/>
      <c r="X106" s="103"/>
      <c r="Y106" s="103"/>
      <c r="Z106" s="103"/>
      <c r="AA106" s="103"/>
      <c r="AB106" s="103"/>
      <c r="AC106" s="103"/>
      <c r="AD106" s="103"/>
      <c r="AE106" s="103"/>
      <c r="AF106" s="103"/>
      <c r="AG106" s="103"/>
      <c r="AH106" s="103"/>
      <c r="AI106" s="103"/>
      <c r="AJ106" s="103"/>
      <c r="AK106" s="103"/>
      <c r="AL106" s="103"/>
      <c r="AM106" s="103"/>
      <c r="AN106" s="103"/>
      <c r="AO106" s="103"/>
      <c r="AP106" s="103"/>
      <c r="AQ106" s="103"/>
      <c r="AR106" s="103"/>
      <c r="AS106" s="103"/>
      <c r="AT106" s="103"/>
      <c r="AU106" s="103"/>
      <c r="AV106" s="103"/>
      <c r="AW106" s="103"/>
      <c r="AX106" s="103"/>
      <c r="AY106" s="103"/>
      <c r="AZ106" s="103"/>
      <c r="BA106" s="103"/>
      <c r="BB106" s="103"/>
      <c r="BC106" s="103"/>
      <c r="BD106" s="103"/>
      <c r="BE106" s="103"/>
      <c r="BF106" s="103"/>
      <c r="BG106" s="103"/>
      <c r="BH106" s="103"/>
      <c r="BI106" s="103"/>
      <c r="BJ106" s="103"/>
      <c r="BK106" s="103"/>
      <c r="BL106" s="103"/>
      <c r="BM106" s="103"/>
      <c r="BN106" s="103"/>
      <c r="BO106" s="103"/>
      <c r="BP106" s="103"/>
      <c r="BQ106" s="103"/>
      <c r="BR106" s="103"/>
      <c r="BS106" s="103"/>
      <c r="BT106" s="103"/>
      <c r="BU106" s="103"/>
      <c r="BV106" s="103"/>
      <c r="BW106" s="103"/>
      <c r="BX106" s="103"/>
      <c r="BY106" s="103"/>
      <c r="BZ106" s="103"/>
      <c r="CA106" s="103"/>
      <c r="CB106" s="103"/>
      <c r="CC106" s="103"/>
      <c r="CD106" s="103"/>
      <c r="CE106" s="103"/>
      <c r="CF106" s="103"/>
      <c r="CG106" s="103"/>
      <c r="CH106" s="103"/>
      <c r="CI106" s="103"/>
      <c r="CJ106" s="103"/>
      <c r="CK106" s="103"/>
      <c r="CL106" s="103"/>
      <c r="CM106" s="103"/>
      <c r="CN106" s="103"/>
      <c r="CO106" s="103"/>
      <c r="CP106" s="103"/>
      <c r="CQ106" s="103"/>
      <c r="CR106" s="103"/>
      <c r="CS106" s="103"/>
      <c r="CT106" s="103"/>
      <c r="CU106" s="103"/>
      <c r="CV106" s="103"/>
      <c r="CW106" s="103"/>
      <c r="CX106" s="103"/>
      <c r="CY106" s="103"/>
      <c r="CZ106" s="103"/>
      <c r="DA106" s="103"/>
      <c r="DB106" s="103"/>
      <c r="DC106" s="103"/>
      <c r="DD106" s="103"/>
      <c r="DE106" s="103"/>
      <c r="DF106" s="103"/>
      <c r="DG106" s="103"/>
      <c r="DH106" s="103"/>
      <c r="DI106" s="103"/>
      <c r="DJ106" s="103"/>
      <c r="DK106" s="103"/>
      <c r="DL106" s="103"/>
      <c r="DM106" s="103"/>
      <c r="DN106" s="103"/>
      <c r="DO106" s="103"/>
      <c r="DP106" s="103"/>
      <c r="DQ106" s="103"/>
      <c r="DR106" s="103"/>
      <c r="DS106" s="103"/>
      <c r="DT106" s="103"/>
      <c r="DU106" s="103"/>
      <c r="DV106" s="103"/>
      <c r="DW106" s="103"/>
      <c r="DX106" s="103"/>
      <c r="DY106" s="103"/>
      <c r="DZ106" s="103"/>
      <c r="EA106" s="103"/>
      <c r="EB106" s="103"/>
      <c r="EC106" s="103"/>
      <c r="ED106" s="103"/>
      <c r="EE106" s="103"/>
      <c r="EF106" s="103"/>
      <c r="EG106" s="103"/>
      <c r="EH106" s="103"/>
      <c r="EI106" s="103"/>
      <c r="EJ106" s="103"/>
      <c r="EK106" s="103"/>
      <c r="EL106" s="103"/>
      <c r="EM106" s="103"/>
      <c r="EN106" s="103"/>
      <c r="EO106" s="103"/>
      <c r="EP106" s="103"/>
      <c r="EQ106" s="103"/>
      <c r="ER106" s="103"/>
      <c r="ES106" s="103"/>
      <c r="ET106" s="103"/>
      <c r="EU106" s="103"/>
      <c r="EV106" s="103"/>
      <c r="EW106" s="103"/>
      <c r="EX106" s="103"/>
      <c r="EY106" s="103"/>
      <c r="EZ106" s="103"/>
      <c r="FA106" s="103"/>
      <c r="FB106" s="103"/>
      <c r="FC106" s="103"/>
      <c r="FD106" s="103"/>
      <c r="FE106" s="103"/>
      <c r="FF106" s="103"/>
      <c r="FG106" s="103"/>
      <c r="FH106" s="103"/>
      <c r="FI106" s="103"/>
      <c r="FJ106" s="103"/>
      <c r="FK106" s="103"/>
      <c r="FL106" s="103"/>
      <c r="FM106" s="103"/>
      <c r="FN106" s="103"/>
      <c r="FO106" s="103"/>
      <c r="FP106" s="103"/>
      <c r="FQ106" s="103"/>
      <c r="FR106" s="103"/>
      <c r="FS106" s="103"/>
      <c r="FT106" s="103"/>
      <c r="FU106" s="103"/>
      <c r="FV106" s="103"/>
      <c r="FW106" s="103"/>
      <c r="FX106" s="103"/>
      <c r="FY106" s="103"/>
      <c r="FZ106" s="103"/>
      <c r="GA106" s="103"/>
      <c r="GB106" s="103"/>
      <c r="GC106" s="103"/>
      <c r="GD106" s="103"/>
      <c r="GE106" s="103"/>
      <c r="GF106" s="103"/>
      <c r="GG106" s="103"/>
      <c r="GH106" s="103"/>
      <c r="GI106" s="103"/>
      <c r="GJ106" s="103"/>
    </row>
    <row r="107" spans="1:192" ht="12.75" customHeight="1">
      <c r="B107" s="704"/>
      <c r="C107" s="266"/>
      <c r="D107" s="266"/>
      <c r="E107" s="266"/>
      <c r="F107" s="266"/>
      <c r="G107" s="103"/>
      <c r="H107" s="266"/>
      <c r="I107" s="266"/>
      <c r="J107" s="266"/>
      <c r="K107" s="266"/>
      <c r="L107" s="103"/>
      <c r="M107" s="266"/>
      <c r="N107" s="266"/>
      <c r="O107" s="266"/>
      <c r="P107" s="266"/>
      <c r="Q107" s="103"/>
      <c r="R107" s="266"/>
      <c r="S107" s="266"/>
      <c r="T107" s="266"/>
      <c r="U107" s="266"/>
      <c r="V107" s="103"/>
      <c r="W107" s="266"/>
      <c r="X107" s="266"/>
      <c r="Y107" s="266"/>
      <c r="Z107" s="266"/>
      <c r="AA107" s="103"/>
      <c r="AB107" s="266"/>
      <c r="AC107" s="266"/>
      <c r="AD107" s="266"/>
      <c r="AE107" s="266"/>
      <c r="AF107" s="103"/>
      <c r="AG107" s="266"/>
      <c r="AH107" s="266"/>
      <c r="AI107" s="266"/>
      <c r="AJ107" s="266"/>
      <c r="AK107" s="103"/>
      <c r="AL107" s="266"/>
      <c r="AM107" s="266"/>
      <c r="AN107" s="266"/>
      <c r="AO107" s="266"/>
      <c r="AP107" s="103"/>
      <c r="AQ107" s="266"/>
      <c r="AR107" s="266"/>
      <c r="AS107" s="266"/>
      <c r="AT107" s="266"/>
      <c r="AU107" s="103"/>
      <c r="AV107" s="266"/>
      <c r="AW107" s="266"/>
      <c r="AX107" s="266"/>
      <c r="AY107" s="266"/>
      <c r="AZ107" s="103"/>
      <c r="BA107" s="266"/>
      <c r="BB107" s="266"/>
      <c r="BC107" s="266"/>
      <c r="BD107" s="266"/>
      <c r="BE107" s="103"/>
      <c r="BF107" s="266"/>
      <c r="BG107" s="266"/>
      <c r="BH107" s="266"/>
      <c r="BI107" s="266"/>
      <c r="BJ107" s="103"/>
      <c r="BK107" s="266"/>
      <c r="BL107" s="266"/>
      <c r="BM107" s="266"/>
      <c r="BN107" s="266"/>
      <c r="BO107" s="103"/>
      <c r="BP107" s="266"/>
      <c r="BQ107" s="266"/>
      <c r="BR107" s="266"/>
      <c r="BS107" s="266"/>
      <c r="BT107" s="103"/>
      <c r="BU107" s="266"/>
      <c r="BV107" s="266"/>
      <c r="BW107" s="266"/>
      <c r="BX107" s="266"/>
      <c r="BY107" s="103"/>
      <c r="BZ107" s="266"/>
      <c r="CA107" s="266"/>
      <c r="CB107" s="266"/>
      <c r="CC107" s="266"/>
      <c r="CD107" s="103"/>
      <c r="CE107" s="266"/>
      <c r="CF107" s="266"/>
      <c r="CG107" s="266"/>
      <c r="CH107" s="266"/>
      <c r="CI107" s="103"/>
      <c r="CJ107" s="266"/>
      <c r="CK107" s="266"/>
      <c r="CL107" s="266"/>
      <c r="CM107" s="266"/>
      <c r="CN107" s="103"/>
      <c r="CO107" s="266"/>
      <c r="CP107" s="266"/>
      <c r="CQ107" s="266"/>
      <c r="CR107" s="266"/>
      <c r="CS107" s="103"/>
      <c r="CT107" s="266"/>
      <c r="CU107" s="266"/>
      <c r="CV107" s="266"/>
      <c r="CW107" s="266"/>
      <c r="CX107" s="103"/>
      <c r="CY107" s="266"/>
      <c r="CZ107" s="266"/>
      <c r="DA107" s="266"/>
      <c r="DB107" s="266"/>
      <c r="DC107" s="103"/>
      <c r="DD107" s="266"/>
      <c r="DE107" s="266"/>
      <c r="DF107" s="266"/>
      <c r="DG107" s="266"/>
      <c r="DH107" s="103"/>
      <c r="DI107" s="266"/>
      <c r="DJ107" s="266"/>
      <c r="DK107" s="266"/>
      <c r="DL107" s="266"/>
      <c r="DM107" s="103"/>
      <c r="DN107" s="266"/>
      <c r="DO107" s="266"/>
      <c r="DP107" s="266"/>
      <c r="DQ107" s="266"/>
      <c r="DR107" s="103"/>
      <c r="DS107" s="266"/>
      <c r="DT107" s="266"/>
      <c r="DU107" s="266"/>
      <c r="DV107" s="266"/>
      <c r="DW107" s="103"/>
      <c r="DX107" s="266"/>
      <c r="DY107" s="266"/>
      <c r="DZ107" s="266"/>
      <c r="EA107" s="266"/>
      <c r="EB107" s="103"/>
      <c r="EC107" s="266"/>
      <c r="ED107" s="266"/>
      <c r="EE107" s="266"/>
      <c r="EF107" s="266"/>
      <c r="EG107" s="103"/>
      <c r="EH107" s="266"/>
      <c r="EI107" s="266"/>
      <c r="EJ107" s="266"/>
      <c r="EK107" s="266"/>
      <c r="EL107" s="103"/>
      <c r="EM107" s="266"/>
      <c r="EN107" s="266"/>
      <c r="EO107" s="266"/>
      <c r="EP107" s="266"/>
      <c r="EQ107" s="103"/>
      <c r="ER107" s="266"/>
      <c r="ES107" s="266"/>
      <c r="ET107" s="266"/>
      <c r="EU107" s="266"/>
      <c r="EV107" s="103"/>
      <c r="EW107" s="266"/>
      <c r="EX107" s="266"/>
      <c r="EY107" s="266"/>
      <c r="EZ107" s="266"/>
      <c r="FA107" s="103"/>
      <c r="FB107" s="266"/>
      <c r="FC107" s="266"/>
      <c r="FD107" s="266"/>
      <c r="FE107" s="266"/>
      <c r="FF107" s="103"/>
      <c r="FG107" s="266"/>
      <c r="FH107" s="266"/>
      <c r="FI107" s="266"/>
      <c r="FJ107" s="266"/>
      <c r="FK107" s="103"/>
      <c r="FL107" s="266"/>
      <c r="FM107" s="266"/>
      <c r="FN107" s="266"/>
      <c r="FO107" s="266"/>
      <c r="FP107" s="103"/>
      <c r="FQ107" s="266"/>
      <c r="FR107" s="266"/>
      <c r="FS107" s="266"/>
      <c r="FT107" s="266"/>
      <c r="FU107" s="103"/>
      <c r="FV107" s="266"/>
      <c r="FW107" s="266"/>
      <c r="FX107" s="266"/>
      <c r="FY107" s="266"/>
      <c r="FZ107" s="103"/>
      <c r="GA107" s="266"/>
      <c r="GB107" s="266"/>
      <c r="GC107" s="266"/>
      <c r="GD107" s="266"/>
      <c r="GE107" s="103"/>
      <c r="GF107" s="266"/>
      <c r="GG107" s="266"/>
      <c r="GH107" s="266"/>
      <c r="GI107" s="266"/>
      <c r="GJ107" s="103"/>
    </row>
    <row r="108" spans="1:192" ht="12.75" customHeight="1">
      <c r="B108" s="704"/>
      <c r="C108" s="103"/>
      <c r="D108" s="103"/>
      <c r="E108" s="103"/>
      <c r="F108" s="103"/>
      <c r="G108" s="103"/>
      <c r="H108" s="103"/>
      <c r="I108" s="103"/>
      <c r="J108" s="103"/>
      <c r="K108" s="103"/>
      <c r="L108" s="103"/>
      <c r="M108" s="103"/>
      <c r="N108" s="103"/>
      <c r="O108" s="103"/>
      <c r="P108" s="103"/>
      <c r="Q108" s="103"/>
      <c r="R108" s="103"/>
      <c r="S108" s="103"/>
      <c r="T108" s="103"/>
      <c r="U108" s="103"/>
      <c r="V108" s="103"/>
      <c r="W108" s="103"/>
      <c r="X108" s="103"/>
      <c r="Y108" s="103"/>
      <c r="Z108" s="103"/>
      <c r="AA108" s="103"/>
      <c r="AB108" s="103"/>
      <c r="AC108" s="103"/>
      <c r="AD108" s="103"/>
      <c r="AE108" s="103"/>
      <c r="AF108" s="103"/>
      <c r="AG108" s="103"/>
      <c r="AH108" s="103"/>
      <c r="AI108" s="103"/>
      <c r="AJ108" s="103"/>
      <c r="AK108" s="103"/>
      <c r="AL108" s="103"/>
      <c r="AM108" s="103"/>
      <c r="AN108" s="103"/>
      <c r="AO108" s="103"/>
      <c r="AP108" s="103"/>
      <c r="AQ108" s="103"/>
      <c r="AR108" s="103"/>
      <c r="AS108" s="103"/>
      <c r="AT108" s="103"/>
      <c r="AU108" s="103"/>
      <c r="AV108" s="103"/>
      <c r="AW108" s="103"/>
      <c r="AX108" s="103"/>
      <c r="AY108" s="103"/>
      <c r="AZ108" s="103"/>
      <c r="BA108" s="103"/>
      <c r="BB108" s="103"/>
      <c r="BC108" s="103"/>
      <c r="BD108" s="103"/>
      <c r="BE108" s="103"/>
      <c r="BF108" s="103"/>
      <c r="BG108" s="103"/>
      <c r="BH108" s="103"/>
      <c r="BI108" s="103"/>
      <c r="BJ108" s="103"/>
      <c r="BK108" s="103"/>
      <c r="BL108" s="103"/>
      <c r="BM108" s="103"/>
      <c r="BN108" s="103"/>
      <c r="BO108" s="103"/>
      <c r="BP108" s="103"/>
      <c r="BQ108" s="103"/>
      <c r="BR108" s="103"/>
      <c r="BS108" s="103"/>
      <c r="BT108" s="103"/>
      <c r="BU108" s="103"/>
      <c r="BV108" s="103"/>
      <c r="BW108" s="103"/>
      <c r="BX108" s="103"/>
      <c r="BY108" s="103"/>
      <c r="BZ108" s="103"/>
      <c r="CA108" s="103"/>
      <c r="CB108" s="103"/>
      <c r="CC108" s="103"/>
      <c r="CD108" s="103"/>
      <c r="CE108" s="103"/>
      <c r="CF108" s="103"/>
      <c r="CG108" s="103"/>
      <c r="CH108" s="103"/>
      <c r="CI108" s="103"/>
      <c r="CJ108" s="103"/>
      <c r="CK108" s="103"/>
      <c r="CL108" s="103"/>
      <c r="CM108" s="103"/>
      <c r="CN108" s="103"/>
      <c r="CO108" s="103"/>
      <c r="CP108" s="103"/>
      <c r="CQ108" s="103"/>
      <c r="CR108" s="103"/>
      <c r="CS108" s="103"/>
      <c r="CT108" s="103"/>
      <c r="CU108" s="103"/>
      <c r="CV108" s="103"/>
      <c r="CW108" s="103"/>
      <c r="CX108" s="103"/>
      <c r="CY108" s="103"/>
      <c r="CZ108" s="103"/>
      <c r="DA108" s="103"/>
      <c r="DB108" s="103"/>
      <c r="DC108" s="103"/>
      <c r="DD108" s="103"/>
      <c r="DE108" s="103"/>
      <c r="DF108" s="103"/>
      <c r="DG108" s="103"/>
      <c r="DH108" s="103"/>
      <c r="DI108" s="103"/>
      <c r="DJ108" s="103"/>
      <c r="DK108" s="103"/>
      <c r="DL108" s="103"/>
      <c r="DM108" s="103"/>
      <c r="DN108" s="103"/>
      <c r="DO108" s="103"/>
      <c r="DP108" s="103"/>
      <c r="DQ108" s="103"/>
      <c r="DR108" s="103"/>
      <c r="DS108" s="103"/>
      <c r="DT108" s="103"/>
      <c r="DU108" s="103"/>
      <c r="DV108" s="103"/>
      <c r="DW108" s="103"/>
      <c r="DX108" s="103"/>
      <c r="DY108" s="103"/>
      <c r="DZ108" s="103"/>
      <c r="EA108" s="103"/>
      <c r="EB108" s="103"/>
      <c r="EC108" s="103"/>
      <c r="ED108" s="103"/>
      <c r="EE108" s="103"/>
      <c r="EF108" s="103"/>
      <c r="EG108" s="103"/>
      <c r="EH108" s="103"/>
      <c r="EI108" s="103"/>
      <c r="EJ108" s="103"/>
      <c r="EK108" s="103"/>
      <c r="EL108" s="103"/>
      <c r="EM108" s="103"/>
      <c r="EN108" s="103"/>
      <c r="EO108" s="103"/>
      <c r="EP108" s="103"/>
      <c r="EQ108" s="103"/>
      <c r="ER108" s="103"/>
      <c r="ES108" s="103"/>
      <c r="ET108" s="103"/>
      <c r="EU108" s="103"/>
      <c r="EV108" s="103"/>
      <c r="EW108" s="103"/>
      <c r="EX108" s="103"/>
      <c r="EY108" s="103"/>
      <c r="EZ108" s="103"/>
      <c r="FA108" s="103"/>
      <c r="FB108" s="103"/>
      <c r="FC108" s="103"/>
      <c r="FD108" s="103"/>
      <c r="FE108" s="103"/>
      <c r="FF108" s="103"/>
      <c r="FG108" s="103"/>
      <c r="FH108" s="103"/>
      <c r="FI108" s="103"/>
      <c r="FJ108" s="103"/>
      <c r="FK108" s="103"/>
      <c r="FL108" s="103"/>
      <c r="FM108" s="103"/>
      <c r="FN108" s="103"/>
      <c r="FO108" s="103"/>
      <c r="FP108" s="103"/>
      <c r="FQ108" s="103"/>
      <c r="FR108" s="103"/>
      <c r="FS108" s="103"/>
      <c r="FT108" s="103"/>
      <c r="FU108" s="103"/>
      <c r="FV108" s="103"/>
      <c r="FW108" s="103"/>
      <c r="FX108" s="103"/>
      <c r="FY108" s="103"/>
      <c r="FZ108" s="103"/>
      <c r="GA108" s="103"/>
      <c r="GB108" s="103"/>
      <c r="GC108" s="103"/>
      <c r="GD108" s="103"/>
      <c r="GE108" s="103"/>
      <c r="GF108" s="103"/>
      <c r="GG108" s="103"/>
      <c r="GH108" s="103"/>
      <c r="GI108" s="103"/>
      <c r="GJ108" s="103"/>
    </row>
    <row r="110" spans="1:192" ht="12.75" customHeight="1">
      <c r="B110" s="704"/>
      <c r="C110" s="271"/>
      <c r="D110" s="272"/>
      <c r="E110" s="272"/>
      <c r="F110" s="267"/>
      <c r="G110" s="270"/>
      <c r="H110" s="271"/>
      <c r="I110" s="272"/>
      <c r="J110" s="272"/>
      <c r="K110" s="267"/>
      <c r="L110" s="270"/>
      <c r="M110" s="271"/>
      <c r="N110" s="272"/>
      <c r="O110" s="272"/>
      <c r="P110" s="267"/>
      <c r="Q110" s="270"/>
      <c r="R110" s="271"/>
      <c r="S110" s="272"/>
      <c r="T110" s="272"/>
      <c r="U110" s="267"/>
      <c r="V110" s="270"/>
      <c r="W110" s="271"/>
      <c r="X110" s="272"/>
      <c r="Y110" s="272"/>
      <c r="Z110" s="267"/>
      <c r="AA110" s="270"/>
      <c r="AB110" s="271"/>
      <c r="AC110" s="272"/>
      <c r="AD110" s="272"/>
      <c r="AE110" s="267"/>
      <c r="AF110" s="270"/>
      <c r="AG110" s="271"/>
      <c r="AH110" s="272"/>
      <c r="AI110" s="272"/>
      <c r="AJ110" s="267"/>
      <c r="AK110" s="270"/>
      <c r="AL110" s="271"/>
      <c r="AM110" s="272"/>
      <c r="AN110" s="272"/>
      <c r="AO110" s="267"/>
      <c r="AP110" s="270"/>
      <c r="AQ110" s="271"/>
      <c r="AR110" s="272"/>
      <c r="AS110" s="272"/>
      <c r="AT110" s="267"/>
      <c r="AU110" s="270"/>
      <c r="AV110" s="271"/>
      <c r="AW110" s="272"/>
      <c r="AX110" s="272"/>
      <c r="AY110" s="267"/>
      <c r="AZ110" s="270"/>
      <c r="BA110" s="271"/>
      <c r="BB110" s="272"/>
      <c r="BC110" s="272"/>
      <c r="BD110" s="267"/>
      <c r="BE110" s="270"/>
      <c r="BF110" s="271"/>
      <c r="BG110" s="272"/>
      <c r="BH110" s="272"/>
      <c r="BI110" s="267"/>
      <c r="BJ110" s="270"/>
      <c r="BK110" s="271"/>
      <c r="BL110" s="272"/>
      <c r="BM110" s="272"/>
      <c r="BN110" s="267"/>
      <c r="BO110" s="270"/>
      <c r="BP110" s="271"/>
      <c r="BQ110" s="272"/>
      <c r="BR110" s="272"/>
      <c r="BS110" s="267"/>
      <c r="BT110" s="270"/>
      <c r="BU110" s="271"/>
      <c r="BV110" s="272"/>
      <c r="BW110" s="272"/>
      <c r="BX110" s="267"/>
      <c r="BY110" s="270"/>
      <c r="BZ110" s="271"/>
      <c r="CA110" s="272"/>
      <c r="CB110" s="272"/>
      <c r="CC110" s="267"/>
      <c r="CD110" s="270"/>
      <c r="CE110" s="271"/>
      <c r="CF110" s="272"/>
      <c r="CG110" s="272"/>
      <c r="CH110" s="267"/>
      <c r="CI110" s="270"/>
      <c r="CJ110" s="271"/>
      <c r="CK110" s="272"/>
      <c r="CL110" s="272"/>
      <c r="CM110" s="267"/>
      <c r="CN110" s="270"/>
      <c r="CO110" s="271"/>
      <c r="CP110" s="272"/>
      <c r="CQ110" s="272"/>
      <c r="CR110" s="267"/>
      <c r="CS110" s="270"/>
      <c r="CT110" s="271"/>
      <c r="CU110" s="272"/>
      <c r="CV110" s="272"/>
      <c r="CW110" s="267"/>
      <c r="CX110" s="270"/>
      <c r="CY110" s="271"/>
      <c r="CZ110" s="272"/>
      <c r="DA110" s="272"/>
      <c r="DB110" s="267"/>
      <c r="DC110" s="270"/>
      <c r="DD110" s="271"/>
      <c r="DE110" s="272"/>
      <c r="DF110" s="272"/>
      <c r="DG110" s="267"/>
      <c r="DH110" s="270"/>
      <c r="DI110" s="271"/>
      <c r="DJ110" s="272"/>
      <c r="DK110" s="272"/>
      <c r="DL110" s="267"/>
      <c r="DM110" s="270"/>
      <c r="DN110" s="271"/>
      <c r="DO110" s="272"/>
      <c r="DP110" s="272"/>
      <c r="DQ110" s="267"/>
      <c r="DR110" s="270"/>
      <c r="DS110" s="271"/>
      <c r="DT110" s="272"/>
      <c r="DU110" s="272"/>
      <c r="DV110" s="267"/>
      <c r="DW110" s="270"/>
      <c r="DX110" s="271"/>
      <c r="DY110" s="272"/>
      <c r="DZ110" s="272"/>
      <c r="EA110" s="267"/>
      <c r="EB110" s="270"/>
      <c r="EC110" s="271"/>
      <c r="ED110" s="272"/>
      <c r="EE110" s="272"/>
      <c r="EF110" s="267"/>
      <c r="EG110" s="270"/>
      <c r="EH110" s="271"/>
      <c r="EI110" s="272"/>
      <c r="EJ110" s="272"/>
      <c r="EK110" s="267"/>
      <c r="EL110" s="270"/>
      <c r="EM110" s="271"/>
      <c r="EN110" s="272"/>
      <c r="EO110" s="272"/>
      <c r="EP110" s="267"/>
      <c r="EQ110" s="270"/>
      <c r="ER110" s="271"/>
      <c r="ES110" s="272"/>
      <c r="ET110" s="272"/>
      <c r="EU110" s="267"/>
      <c r="EV110" s="270"/>
      <c r="EW110" s="271"/>
      <c r="EX110" s="272"/>
      <c r="EY110" s="272"/>
      <c r="EZ110" s="267"/>
      <c r="FA110" s="270"/>
      <c r="FB110" s="271"/>
      <c r="FC110" s="272"/>
      <c r="FD110" s="272"/>
      <c r="FE110" s="267"/>
      <c r="FF110" s="270"/>
      <c r="FG110" s="271"/>
      <c r="FH110" s="272"/>
      <c r="FI110" s="272"/>
      <c r="FJ110" s="267"/>
      <c r="FK110" s="270"/>
      <c r="FL110" s="271"/>
      <c r="FM110" s="272"/>
      <c r="FN110" s="272"/>
      <c r="FO110" s="267"/>
      <c r="FP110" s="270"/>
      <c r="FQ110" s="271"/>
      <c r="FR110" s="272"/>
      <c r="FS110" s="272"/>
      <c r="FT110" s="267"/>
      <c r="FU110" s="270"/>
      <c r="FV110" s="271"/>
      <c r="FW110" s="272"/>
      <c r="FX110" s="272"/>
      <c r="FY110" s="267"/>
      <c r="FZ110" s="270"/>
      <c r="GA110" s="271"/>
      <c r="GB110" s="272"/>
      <c r="GC110" s="272"/>
      <c r="GD110" s="267"/>
      <c r="GE110" s="270"/>
      <c r="GF110" s="271"/>
      <c r="GG110" s="272"/>
      <c r="GH110" s="272"/>
      <c r="GI110" s="267"/>
      <c r="GJ110" s="270"/>
    </row>
    <row r="174" spans="3:192" ht="12.75" customHeight="1">
      <c r="C174" s="148"/>
      <c r="D174" s="148"/>
      <c r="E174" s="148"/>
      <c r="F174" s="148"/>
      <c r="G174" s="148"/>
      <c r="H174" s="148"/>
      <c r="I174" s="148"/>
      <c r="J174" s="148"/>
      <c r="K174" s="148"/>
      <c r="L174" s="148"/>
      <c r="M174" s="148"/>
      <c r="N174" s="148"/>
      <c r="O174" s="148"/>
      <c r="P174" s="148"/>
      <c r="Q174" s="148"/>
      <c r="R174" s="148"/>
      <c r="S174" s="148"/>
      <c r="T174" s="148"/>
      <c r="U174" s="148"/>
      <c r="V174" s="148"/>
      <c r="W174" s="148"/>
      <c r="X174" s="148"/>
      <c r="Y174" s="148"/>
      <c r="Z174" s="148"/>
      <c r="AA174" s="148"/>
      <c r="AB174" s="148"/>
      <c r="AC174" s="148"/>
      <c r="AD174" s="148"/>
      <c r="AE174" s="148"/>
      <c r="AF174" s="148"/>
      <c r="AG174" s="148"/>
      <c r="AH174" s="148"/>
      <c r="AI174" s="148"/>
      <c r="AJ174" s="148"/>
      <c r="AK174" s="148"/>
      <c r="AL174" s="148"/>
      <c r="AM174" s="148"/>
      <c r="AN174" s="148"/>
      <c r="AO174" s="148"/>
      <c r="AP174" s="148"/>
      <c r="AQ174" s="148"/>
      <c r="AR174" s="148"/>
      <c r="AS174" s="148"/>
      <c r="AT174" s="148"/>
      <c r="AU174" s="148"/>
      <c r="AV174" s="148"/>
      <c r="AW174" s="148"/>
      <c r="AX174" s="148"/>
      <c r="AY174" s="148"/>
      <c r="AZ174" s="148"/>
      <c r="BA174" s="148"/>
      <c r="BB174" s="148"/>
      <c r="BC174" s="148"/>
      <c r="BD174" s="148"/>
      <c r="BE174" s="148"/>
      <c r="BF174" s="148"/>
      <c r="BG174" s="148"/>
      <c r="BH174" s="148"/>
      <c r="BI174" s="148"/>
      <c r="BJ174" s="148"/>
      <c r="BK174" s="148"/>
      <c r="BL174" s="148"/>
      <c r="BM174" s="148"/>
      <c r="BN174" s="148"/>
      <c r="BO174" s="148"/>
      <c r="BP174" s="148"/>
      <c r="BQ174" s="148"/>
      <c r="BR174" s="148"/>
      <c r="BS174" s="148"/>
      <c r="BT174" s="148"/>
      <c r="BU174" s="148"/>
      <c r="BV174" s="148"/>
      <c r="BW174" s="148"/>
      <c r="BX174" s="148"/>
      <c r="BY174" s="148"/>
      <c r="BZ174" s="148"/>
      <c r="CA174" s="148"/>
      <c r="CB174" s="148"/>
      <c r="CC174" s="148"/>
      <c r="CD174" s="148"/>
      <c r="CE174" s="148"/>
      <c r="CF174" s="148"/>
      <c r="CG174" s="148"/>
      <c r="CH174" s="148"/>
      <c r="CI174" s="148"/>
      <c r="CJ174" s="148"/>
      <c r="CK174" s="148"/>
      <c r="CL174" s="148"/>
      <c r="CM174" s="148"/>
      <c r="CN174" s="148"/>
      <c r="CO174" s="148"/>
      <c r="CP174" s="148"/>
      <c r="CQ174" s="148"/>
      <c r="CR174" s="148"/>
      <c r="CS174" s="148"/>
      <c r="CT174" s="148"/>
      <c r="CU174" s="148"/>
      <c r="CV174" s="148"/>
      <c r="CW174" s="148"/>
      <c r="CX174" s="148"/>
      <c r="CY174" s="148"/>
      <c r="CZ174" s="148"/>
      <c r="DA174" s="148"/>
      <c r="DB174" s="148"/>
      <c r="DC174" s="148"/>
      <c r="DD174" s="148"/>
      <c r="DE174" s="148"/>
      <c r="DF174" s="148"/>
      <c r="DG174" s="148"/>
      <c r="DH174" s="148"/>
      <c r="DI174" s="148"/>
      <c r="DJ174" s="148"/>
      <c r="DK174" s="148"/>
      <c r="DL174" s="148"/>
      <c r="DM174" s="148"/>
      <c r="DN174" s="148"/>
      <c r="DO174" s="148"/>
      <c r="DP174" s="148"/>
      <c r="DQ174" s="148"/>
      <c r="DR174" s="148"/>
      <c r="DS174" s="148"/>
      <c r="DT174" s="148"/>
      <c r="DU174" s="148"/>
      <c r="DV174" s="148"/>
      <c r="DW174" s="148"/>
      <c r="DX174" s="148"/>
      <c r="DY174" s="148"/>
      <c r="DZ174" s="148"/>
      <c r="EA174" s="148"/>
      <c r="EB174" s="148"/>
      <c r="EC174" s="148"/>
      <c r="ED174" s="148"/>
      <c r="EE174" s="148"/>
      <c r="EF174" s="148"/>
      <c r="EG174" s="148"/>
      <c r="EH174" s="148"/>
      <c r="EI174" s="148"/>
      <c r="EJ174" s="148"/>
      <c r="EK174" s="148"/>
      <c r="EL174" s="148"/>
      <c r="EM174" s="148"/>
      <c r="EN174" s="148"/>
      <c r="EO174" s="148"/>
      <c r="EP174" s="148"/>
      <c r="EQ174" s="148"/>
      <c r="ER174" s="148"/>
      <c r="ES174" s="148"/>
      <c r="ET174" s="148"/>
      <c r="EU174" s="148"/>
      <c r="EV174" s="148"/>
      <c r="EW174" s="148"/>
      <c r="EX174" s="148"/>
      <c r="EY174" s="148"/>
      <c r="EZ174" s="148"/>
      <c r="FA174" s="148"/>
      <c r="FB174" s="148"/>
      <c r="FC174" s="148"/>
      <c r="FD174" s="148"/>
      <c r="FE174" s="148"/>
      <c r="FF174" s="148"/>
      <c r="FG174" s="148"/>
      <c r="FH174" s="148"/>
      <c r="FI174" s="148"/>
      <c r="FJ174" s="148"/>
      <c r="FK174" s="148"/>
      <c r="FL174" s="148"/>
      <c r="FM174" s="148"/>
      <c r="FN174" s="148"/>
      <c r="FO174" s="148"/>
      <c r="FP174" s="148"/>
      <c r="FQ174" s="148"/>
      <c r="FR174" s="148"/>
      <c r="FS174" s="148"/>
      <c r="FT174" s="148"/>
      <c r="FU174" s="148"/>
      <c r="FV174" s="148"/>
      <c r="FW174" s="148"/>
      <c r="FX174" s="148"/>
      <c r="FY174" s="148"/>
      <c r="FZ174" s="148"/>
      <c r="GA174" s="148"/>
      <c r="GB174" s="148"/>
      <c r="GC174" s="148"/>
      <c r="GD174" s="148"/>
      <c r="GE174" s="148"/>
      <c r="GF174" s="148"/>
      <c r="GG174" s="148"/>
      <c r="GH174" s="148"/>
      <c r="GI174" s="148"/>
      <c r="GJ174" s="148"/>
    </row>
    <row r="175" spans="3:192" ht="12.75" customHeight="1">
      <c r="C175" s="148"/>
      <c r="D175" s="148"/>
      <c r="E175" s="148"/>
      <c r="F175" s="148"/>
      <c r="G175" s="148"/>
      <c r="H175" s="148"/>
      <c r="I175" s="148"/>
      <c r="J175" s="148"/>
      <c r="K175" s="148"/>
      <c r="L175" s="148"/>
      <c r="M175" s="148"/>
      <c r="N175" s="148"/>
      <c r="O175" s="148"/>
      <c r="P175" s="148"/>
      <c r="Q175" s="148"/>
      <c r="R175" s="148"/>
      <c r="S175" s="148"/>
      <c r="T175" s="148"/>
      <c r="U175" s="148"/>
      <c r="V175" s="148"/>
      <c r="W175" s="148"/>
      <c r="X175" s="148"/>
      <c r="Y175" s="148"/>
      <c r="Z175" s="148"/>
      <c r="AA175" s="148"/>
      <c r="AB175" s="148"/>
      <c r="AC175" s="148"/>
      <c r="AD175" s="148"/>
      <c r="AE175" s="148"/>
      <c r="AF175" s="148"/>
      <c r="AG175" s="148"/>
      <c r="AH175" s="148"/>
      <c r="AI175" s="148"/>
      <c r="AJ175" s="148"/>
      <c r="AK175" s="148"/>
      <c r="AL175" s="148"/>
      <c r="AM175" s="148"/>
      <c r="AN175" s="148"/>
      <c r="AO175" s="148"/>
      <c r="AP175" s="148"/>
      <c r="AQ175" s="148"/>
      <c r="AR175" s="148"/>
      <c r="AS175" s="148"/>
      <c r="AT175" s="148"/>
      <c r="AU175" s="148"/>
      <c r="AV175" s="148"/>
      <c r="AW175" s="148"/>
      <c r="AX175" s="148"/>
      <c r="AY175" s="148"/>
      <c r="AZ175" s="148"/>
      <c r="BA175" s="148"/>
      <c r="BB175" s="148"/>
      <c r="BC175" s="148"/>
      <c r="BD175" s="148"/>
      <c r="BE175" s="148"/>
      <c r="BF175" s="148"/>
      <c r="BG175" s="148"/>
      <c r="BH175" s="148"/>
      <c r="BI175" s="148"/>
      <c r="BJ175" s="148"/>
      <c r="BK175" s="148"/>
      <c r="BL175" s="148"/>
      <c r="BM175" s="148"/>
      <c r="BN175" s="148"/>
      <c r="BO175" s="148"/>
      <c r="BP175" s="148"/>
      <c r="BQ175" s="148"/>
      <c r="BR175" s="148"/>
      <c r="BS175" s="148"/>
      <c r="BT175" s="148"/>
      <c r="BU175" s="148"/>
      <c r="BV175" s="148"/>
      <c r="BW175" s="148"/>
      <c r="BX175" s="148"/>
      <c r="BY175" s="148"/>
      <c r="BZ175" s="148"/>
      <c r="CA175" s="148"/>
      <c r="CB175" s="148"/>
      <c r="CC175" s="148"/>
      <c r="CD175" s="148"/>
      <c r="CE175" s="148"/>
      <c r="CF175" s="148"/>
      <c r="CG175" s="148"/>
      <c r="CH175" s="148"/>
      <c r="CI175" s="148"/>
      <c r="CJ175" s="148"/>
      <c r="CK175" s="148"/>
      <c r="CL175" s="148"/>
      <c r="CM175" s="148"/>
      <c r="CN175" s="148"/>
      <c r="CO175" s="148"/>
      <c r="CP175" s="148"/>
      <c r="CQ175" s="148"/>
      <c r="CR175" s="148"/>
      <c r="CS175" s="148"/>
      <c r="CT175" s="148"/>
      <c r="CU175" s="148"/>
      <c r="CV175" s="148"/>
      <c r="CW175" s="148"/>
      <c r="CX175" s="148"/>
      <c r="CY175" s="148"/>
      <c r="CZ175" s="148"/>
      <c r="DA175" s="148"/>
      <c r="DB175" s="148"/>
      <c r="DC175" s="148"/>
      <c r="DD175" s="148"/>
      <c r="DE175" s="148"/>
      <c r="DF175" s="148"/>
      <c r="DG175" s="148"/>
      <c r="DH175" s="148"/>
      <c r="DI175" s="148"/>
      <c r="DJ175" s="148"/>
      <c r="DK175" s="148"/>
      <c r="DL175" s="148"/>
      <c r="DM175" s="148"/>
      <c r="DN175" s="148"/>
      <c r="DO175" s="148"/>
      <c r="DP175" s="148"/>
      <c r="DQ175" s="148"/>
      <c r="DR175" s="148"/>
      <c r="DS175" s="148"/>
      <c r="DT175" s="148"/>
      <c r="DU175" s="148"/>
      <c r="DV175" s="148"/>
      <c r="DW175" s="148"/>
      <c r="DX175" s="148"/>
      <c r="DY175" s="148"/>
      <c r="DZ175" s="148"/>
      <c r="EA175" s="148"/>
      <c r="EB175" s="148"/>
      <c r="EC175" s="148"/>
      <c r="ED175" s="148"/>
      <c r="EE175" s="148"/>
      <c r="EF175" s="148"/>
      <c r="EG175" s="148"/>
      <c r="EH175" s="148"/>
      <c r="EI175" s="148"/>
      <c r="EJ175" s="148"/>
      <c r="EK175" s="148"/>
      <c r="EL175" s="148"/>
      <c r="EM175" s="148"/>
      <c r="EN175" s="148"/>
      <c r="EO175" s="148"/>
      <c r="EP175" s="148"/>
      <c r="EQ175" s="148"/>
      <c r="ER175" s="148"/>
      <c r="ES175" s="148"/>
      <c r="ET175" s="148"/>
      <c r="EU175" s="148"/>
      <c r="EV175" s="148"/>
      <c r="EW175" s="148"/>
      <c r="EX175" s="148"/>
      <c r="EY175" s="148"/>
      <c r="EZ175" s="148"/>
      <c r="FA175" s="148"/>
      <c r="FB175" s="148"/>
      <c r="FC175" s="148"/>
      <c r="FD175" s="148"/>
      <c r="FE175" s="148"/>
      <c r="FF175" s="148"/>
      <c r="FG175" s="148"/>
      <c r="FH175" s="148"/>
      <c r="FI175" s="148"/>
      <c r="FJ175" s="148"/>
      <c r="FK175" s="148"/>
      <c r="FL175" s="148"/>
      <c r="FM175" s="148"/>
      <c r="FN175" s="148"/>
      <c r="FO175" s="148"/>
      <c r="FP175" s="148"/>
      <c r="FQ175" s="148"/>
      <c r="FR175" s="148"/>
      <c r="FS175" s="148"/>
      <c r="FT175" s="148"/>
      <c r="FU175" s="148"/>
      <c r="FV175" s="148"/>
      <c r="FW175" s="148"/>
      <c r="FX175" s="148"/>
      <c r="FY175" s="148"/>
      <c r="FZ175" s="148"/>
      <c r="GA175" s="148"/>
      <c r="GB175" s="148"/>
      <c r="GC175" s="148"/>
      <c r="GD175" s="148"/>
      <c r="GE175" s="148"/>
      <c r="GF175" s="148"/>
      <c r="GG175" s="148"/>
      <c r="GH175" s="148"/>
      <c r="GI175" s="148"/>
      <c r="GJ175" s="148"/>
    </row>
    <row r="176" spans="3:192" ht="12.75" customHeight="1">
      <c r="C176" s="149"/>
      <c r="D176" s="148"/>
      <c r="E176" s="148"/>
      <c r="F176" s="148"/>
      <c r="G176" s="148"/>
      <c r="H176" s="149"/>
      <c r="I176" s="148"/>
      <c r="J176" s="148"/>
      <c r="K176" s="148"/>
      <c r="L176" s="148"/>
      <c r="M176" s="149"/>
      <c r="N176" s="148"/>
      <c r="O176" s="148"/>
      <c r="P176" s="148"/>
      <c r="Q176" s="148"/>
      <c r="R176" s="149"/>
      <c r="S176" s="148"/>
      <c r="T176" s="148"/>
      <c r="U176" s="148"/>
      <c r="V176" s="148"/>
      <c r="W176" s="149"/>
      <c r="X176" s="148"/>
      <c r="Y176" s="148"/>
      <c r="Z176" s="148"/>
      <c r="AA176" s="148"/>
      <c r="AB176" s="149"/>
      <c r="AC176" s="148"/>
      <c r="AD176" s="148"/>
      <c r="AE176" s="148"/>
      <c r="AF176" s="148"/>
      <c r="AG176" s="149"/>
      <c r="AH176" s="148"/>
      <c r="AI176" s="148"/>
      <c r="AJ176" s="148"/>
      <c r="AK176" s="148"/>
      <c r="AL176" s="149"/>
      <c r="AM176" s="148"/>
      <c r="AN176" s="148"/>
      <c r="AO176" s="148"/>
      <c r="AP176" s="148"/>
      <c r="AQ176" s="149"/>
      <c r="AR176" s="148"/>
      <c r="AS176" s="148"/>
      <c r="AT176" s="148"/>
      <c r="AU176" s="148"/>
      <c r="AV176" s="149"/>
      <c r="AW176" s="148"/>
      <c r="AX176" s="148"/>
      <c r="AY176" s="148"/>
      <c r="AZ176" s="148"/>
      <c r="BA176" s="149"/>
      <c r="BB176" s="148"/>
      <c r="BC176" s="148"/>
      <c r="BD176" s="148"/>
      <c r="BE176" s="148"/>
      <c r="BF176" s="149"/>
      <c r="BG176" s="148"/>
      <c r="BH176" s="148"/>
      <c r="BI176" s="148"/>
      <c r="BJ176" s="148"/>
      <c r="BK176" s="149"/>
      <c r="BL176" s="148"/>
      <c r="BM176" s="148"/>
      <c r="BN176" s="148"/>
      <c r="BO176" s="148"/>
      <c r="BP176" s="149"/>
      <c r="BQ176" s="148"/>
      <c r="BR176" s="148"/>
      <c r="BS176" s="148"/>
      <c r="BT176" s="148"/>
      <c r="BU176" s="149"/>
      <c r="BV176" s="148"/>
      <c r="BW176" s="148"/>
      <c r="BX176" s="148"/>
      <c r="BY176" s="148"/>
      <c r="BZ176" s="149"/>
      <c r="CA176" s="148"/>
      <c r="CB176" s="148"/>
      <c r="CC176" s="148"/>
      <c r="CD176" s="148"/>
      <c r="CE176" s="149"/>
      <c r="CF176" s="148"/>
      <c r="CG176" s="148"/>
      <c r="CH176" s="148"/>
      <c r="CI176" s="148"/>
      <c r="CJ176" s="149"/>
      <c r="CK176" s="148"/>
      <c r="CL176" s="148"/>
      <c r="CM176" s="148"/>
      <c r="CN176" s="148"/>
      <c r="CO176" s="149"/>
      <c r="CP176" s="148"/>
      <c r="CQ176" s="148"/>
      <c r="CR176" s="148"/>
      <c r="CS176" s="148"/>
      <c r="CT176" s="149"/>
      <c r="CU176" s="148"/>
      <c r="CV176" s="148"/>
      <c r="CW176" s="148"/>
      <c r="CX176" s="148"/>
      <c r="CY176" s="149"/>
      <c r="CZ176" s="148"/>
      <c r="DA176" s="148"/>
      <c r="DB176" s="148"/>
      <c r="DC176" s="148"/>
      <c r="DD176" s="149"/>
      <c r="DE176" s="148"/>
      <c r="DF176" s="148"/>
      <c r="DG176" s="148"/>
      <c r="DH176" s="148"/>
      <c r="DI176" s="149"/>
      <c r="DJ176" s="148"/>
      <c r="DK176" s="148"/>
      <c r="DL176" s="148"/>
      <c r="DM176" s="148"/>
      <c r="DN176" s="149"/>
      <c r="DO176" s="148"/>
      <c r="DP176" s="148"/>
      <c r="DQ176" s="148"/>
      <c r="DR176" s="148"/>
      <c r="DS176" s="149"/>
      <c r="DT176" s="148"/>
      <c r="DU176" s="148"/>
      <c r="DV176" s="148"/>
      <c r="DW176" s="148"/>
      <c r="DX176" s="149"/>
      <c r="DY176" s="148"/>
      <c r="DZ176" s="148"/>
      <c r="EA176" s="148"/>
      <c r="EB176" s="148"/>
      <c r="EC176" s="149"/>
      <c r="ED176" s="148"/>
      <c r="EE176" s="148"/>
      <c r="EF176" s="148"/>
      <c r="EG176" s="148"/>
      <c r="EH176" s="149"/>
      <c r="EI176" s="148"/>
      <c r="EJ176" s="148"/>
      <c r="EK176" s="148"/>
      <c r="EL176" s="148"/>
      <c r="EM176" s="149"/>
      <c r="EN176" s="148"/>
      <c r="EO176" s="148"/>
      <c r="EP176" s="148"/>
      <c r="EQ176" s="148"/>
      <c r="ER176" s="149"/>
      <c r="ES176" s="148"/>
      <c r="ET176" s="148"/>
      <c r="EU176" s="148"/>
      <c r="EV176" s="148"/>
      <c r="EW176" s="149"/>
      <c r="EX176" s="148"/>
      <c r="EY176" s="148"/>
      <c r="EZ176" s="148"/>
      <c r="FA176" s="148"/>
      <c r="FB176" s="149"/>
      <c r="FC176" s="148"/>
      <c r="FD176" s="148"/>
      <c r="FE176" s="148"/>
      <c r="FF176" s="148"/>
      <c r="FG176" s="149"/>
      <c r="FH176" s="148"/>
      <c r="FI176" s="148"/>
      <c r="FJ176" s="148"/>
      <c r="FK176" s="148"/>
      <c r="FL176" s="149"/>
      <c r="FM176" s="148"/>
      <c r="FN176" s="148"/>
      <c r="FO176" s="148"/>
      <c r="FP176" s="148"/>
      <c r="FQ176" s="149"/>
      <c r="FR176" s="148"/>
      <c r="FS176" s="148"/>
      <c r="FT176" s="148"/>
      <c r="FU176" s="148"/>
      <c r="FV176" s="149"/>
      <c r="FW176" s="148"/>
      <c r="FX176" s="148"/>
      <c r="FY176" s="148"/>
      <c r="FZ176" s="148"/>
      <c r="GA176" s="149"/>
      <c r="GB176" s="148"/>
      <c r="GC176" s="148"/>
      <c r="GD176" s="148"/>
      <c r="GE176" s="148"/>
      <c r="GF176" s="149"/>
      <c r="GG176" s="148"/>
      <c r="GH176" s="148"/>
      <c r="GI176" s="148"/>
      <c r="GJ176" s="148"/>
    </row>
    <row r="177" spans="3:192" ht="12.75" customHeight="1">
      <c r="C177" s="150"/>
      <c r="D177" s="148"/>
      <c r="E177" s="148"/>
      <c r="F177" s="148"/>
      <c r="G177" s="148"/>
      <c r="H177" s="150"/>
      <c r="I177" s="148"/>
      <c r="J177" s="148"/>
      <c r="K177" s="148"/>
      <c r="L177" s="148"/>
      <c r="M177" s="150"/>
      <c r="N177" s="148"/>
      <c r="O177" s="148"/>
      <c r="P177" s="148"/>
      <c r="Q177" s="148"/>
      <c r="R177" s="150"/>
      <c r="S177" s="148"/>
      <c r="T177" s="148"/>
      <c r="U177" s="148"/>
      <c r="V177" s="148"/>
      <c r="W177" s="150"/>
      <c r="X177" s="148"/>
      <c r="Y177" s="148"/>
      <c r="Z177" s="148"/>
      <c r="AA177" s="148"/>
      <c r="AB177" s="150"/>
      <c r="AC177" s="148"/>
      <c r="AD177" s="148"/>
      <c r="AE177" s="148"/>
      <c r="AF177" s="148"/>
      <c r="AG177" s="150"/>
      <c r="AH177" s="148"/>
      <c r="AI177" s="148"/>
      <c r="AJ177" s="148"/>
      <c r="AK177" s="148"/>
      <c r="AL177" s="150"/>
      <c r="AM177" s="148"/>
      <c r="AN177" s="148"/>
      <c r="AO177" s="148"/>
      <c r="AP177" s="148"/>
      <c r="AQ177" s="150"/>
      <c r="AR177" s="148"/>
      <c r="AS177" s="148"/>
      <c r="AT177" s="148"/>
      <c r="AU177" s="148"/>
      <c r="AV177" s="150"/>
      <c r="AW177" s="148"/>
      <c r="AX177" s="148"/>
      <c r="AY177" s="148"/>
      <c r="AZ177" s="148"/>
      <c r="BA177" s="150"/>
      <c r="BB177" s="148"/>
      <c r="BC177" s="148"/>
      <c r="BD177" s="148"/>
      <c r="BE177" s="148"/>
      <c r="BF177" s="150"/>
      <c r="BG177" s="148"/>
      <c r="BH177" s="148"/>
      <c r="BI177" s="148"/>
      <c r="BJ177" s="148"/>
      <c r="BK177" s="150"/>
      <c r="BL177" s="148"/>
      <c r="BM177" s="148"/>
      <c r="BN177" s="148"/>
      <c r="BO177" s="148"/>
      <c r="BP177" s="150"/>
      <c r="BQ177" s="148"/>
      <c r="BR177" s="148"/>
      <c r="BS177" s="148"/>
      <c r="BT177" s="148"/>
      <c r="BU177" s="150"/>
      <c r="BV177" s="148"/>
      <c r="BW177" s="148"/>
      <c r="BX177" s="148"/>
      <c r="BY177" s="148"/>
      <c r="BZ177" s="150"/>
      <c r="CA177" s="148"/>
      <c r="CB177" s="148"/>
      <c r="CC177" s="148"/>
      <c r="CD177" s="148"/>
      <c r="CE177" s="150"/>
      <c r="CF177" s="148"/>
      <c r="CG177" s="148"/>
      <c r="CH177" s="148"/>
      <c r="CI177" s="148"/>
      <c r="CJ177" s="150"/>
      <c r="CK177" s="148"/>
      <c r="CL177" s="148"/>
      <c r="CM177" s="148"/>
      <c r="CN177" s="148"/>
      <c r="CO177" s="150"/>
      <c r="CP177" s="148"/>
      <c r="CQ177" s="148"/>
      <c r="CR177" s="148"/>
      <c r="CS177" s="148"/>
      <c r="CT177" s="150"/>
      <c r="CU177" s="148"/>
      <c r="CV177" s="148"/>
      <c r="CW177" s="148"/>
      <c r="CX177" s="148"/>
      <c r="CY177" s="150"/>
      <c r="CZ177" s="148"/>
      <c r="DA177" s="148"/>
      <c r="DB177" s="148"/>
      <c r="DC177" s="148"/>
      <c r="DD177" s="150"/>
      <c r="DE177" s="148"/>
      <c r="DF177" s="148"/>
      <c r="DG177" s="148"/>
      <c r="DH177" s="148"/>
      <c r="DI177" s="150"/>
      <c r="DJ177" s="148"/>
      <c r="DK177" s="148"/>
      <c r="DL177" s="148"/>
      <c r="DM177" s="148"/>
      <c r="DN177" s="150"/>
      <c r="DO177" s="148"/>
      <c r="DP177" s="148"/>
      <c r="DQ177" s="148"/>
      <c r="DR177" s="148"/>
      <c r="DS177" s="150"/>
      <c r="DT177" s="148"/>
      <c r="DU177" s="148"/>
      <c r="DV177" s="148"/>
      <c r="DW177" s="148"/>
      <c r="DX177" s="150"/>
      <c r="DY177" s="148"/>
      <c r="DZ177" s="148"/>
      <c r="EA177" s="148"/>
      <c r="EB177" s="148"/>
      <c r="EC177" s="150"/>
      <c r="ED177" s="148"/>
      <c r="EE177" s="148"/>
      <c r="EF177" s="148"/>
      <c r="EG177" s="148"/>
      <c r="EH177" s="150"/>
      <c r="EI177" s="148"/>
      <c r="EJ177" s="148"/>
      <c r="EK177" s="148"/>
      <c r="EL177" s="148"/>
      <c r="EM177" s="150"/>
      <c r="EN177" s="148"/>
      <c r="EO177" s="148"/>
      <c r="EP177" s="148"/>
      <c r="EQ177" s="148"/>
      <c r="ER177" s="150"/>
      <c r="ES177" s="148"/>
      <c r="ET177" s="148"/>
      <c r="EU177" s="148"/>
      <c r="EV177" s="148"/>
      <c r="EW177" s="150"/>
      <c r="EX177" s="148"/>
      <c r="EY177" s="148"/>
      <c r="EZ177" s="148"/>
      <c r="FA177" s="148"/>
      <c r="FB177" s="150"/>
      <c r="FC177" s="148"/>
      <c r="FD177" s="148"/>
      <c r="FE177" s="148"/>
      <c r="FF177" s="148"/>
      <c r="FG177" s="150"/>
      <c r="FH177" s="148"/>
      <c r="FI177" s="148"/>
      <c r="FJ177" s="148"/>
      <c r="FK177" s="148"/>
      <c r="FL177" s="150"/>
      <c r="FM177" s="148"/>
      <c r="FN177" s="148"/>
      <c r="FO177" s="148"/>
      <c r="FP177" s="148"/>
      <c r="FQ177" s="150"/>
      <c r="FR177" s="148"/>
      <c r="FS177" s="148"/>
      <c r="FT177" s="148"/>
      <c r="FU177" s="148"/>
      <c r="FV177" s="150"/>
      <c r="FW177" s="148"/>
      <c r="FX177" s="148"/>
      <c r="FY177" s="148"/>
      <c r="FZ177" s="148"/>
      <c r="GA177" s="150"/>
      <c r="GB177" s="148"/>
      <c r="GC177" s="148"/>
      <c r="GD177" s="148"/>
      <c r="GE177" s="148"/>
      <c r="GF177" s="150"/>
      <c r="GG177" s="148"/>
      <c r="GH177" s="148"/>
      <c r="GI177" s="148"/>
      <c r="GJ177" s="148"/>
    </row>
    <row r="178" spans="3:192" ht="12.75" customHeight="1">
      <c r="C178" s="151"/>
      <c r="D178" s="152"/>
      <c r="E178" s="152"/>
      <c r="F178" s="152"/>
      <c r="G178" s="152"/>
      <c r="H178" s="151"/>
      <c r="I178" s="152"/>
      <c r="J178" s="152"/>
      <c r="K178" s="152"/>
      <c r="L178" s="152"/>
      <c r="M178" s="151"/>
      <c r="N178" s="152"/>
      <c r="O178" s="152"/>
      <c r="P178" s="152"/>
      <c r="Q178" s="152"/>
      <c r="R178" s="151"/>
      <c r="S178" s="152"/>
      <c r="T178" s="152"/>
      <c r="U178" s="152"/>
      <c r="V178" s="152"/>
      <c r="W178" s="151"/>
      <c r="X178" s="152"/>
      <c r="Y178" s="152"/>
      <c r="Z178" s="152"/>
      <c r="AA178" s="152"/>
      <c r="AB178" s="151"/>
      <c r="AC178" s="152"/>
      <c r="AD178" s="152"/>
      <c r="AE178" s="152"/>
      <c r="AF178" s="152"/>
      <c r="AG178" s="151"/>
      <c r="AH178" s="152"/>
      <c r="AI178" s="152"/>
      <c r="AJ178" s="152"/>
      <c r="AK178" s="152"/>
      <c r="AL178" s="151"/>
      <c r="AM178" s="152"/>
      <c r="AN178" s="152"/>
      <c r="AO178" s="152"/>
      <c r="AP178" s="152"/>
      <c r="AQ178" s="151"/>
      <c r="AR178" s="152"/>
      <c r="AS178" s="152"/>
      <c r="AT178" s="152"/>
      <c r="AU178" s="152"/>
      <c r="AV178" s="151"/>
      <c r="AW178" s="152"/>
      <c r="AX178" s="152"/>
      <c r="AY178" s="152"/>
      <c r="AZ178" s="152"/>
      <c r="BA178" s="151"/>
      <c r="BB178" s="152"/>
      <c r="BC178" s="152"/>
      <c r="BD178" s="152"/>
      <c r="BE178" s="152"/>
      <c r="BF178" s="151"/>
      <c r="BG178" s="152"/>
      <c r="BH178" s="152"/>
      <c r="BI178" s="152"/>
      <c r="BJ178" s="152"/>
      <c r="BK178" s="151"/>
      <c r="BL178" s="152"/>
      <c r="BM178" s="152"/>
      <c r="BN178" s="152"/>
      <c r="BO178" s="152"/>
      <c r="BP178" s="151"/>
      <c r="BQ178" s="152"/>
      <c r="BR178" s="152"/>
      <c r="BS178" s="152"/>
      <c r="BT178" s="152"/>
      <c r="BU178" s="151"/>
      <c r="BV178" s="152"/>
      <c r="BW178" s="152"/>
      <c r="BX178" s="152"/>
      <c r="BY178" s="152"/>
      <c r="BZ178" s="151"/>
      <c r="CA178" s="152"/>
      <c r="CB178" s="152"/>
      <c r="CC178" s="152"/>
      <c r="CD178" s="152"/>
      <c r="CE178" s="151"/>
      <c r="CF178" s="152"/>
      <c r="CG178" s="152"/>
      <c r="CH178" s="152"/>
      <c r="CI178" s="152"/>
      <c r="CJ178" s="151"/>
      <c r="CK178" s="152"/>
      <c r="CL178" s="152"/>
      <c r="CM178" s="152"/>
      <c r="CN178" s="152"/>
      <c r="CO178" s="151"/>
      <c r="CP178" s="152"/>
      <c r="CQ178" s="152"/>
      <c r="CR178" s="152"/>
      <c r="CS178" s="152"/>
      <c r="CT178" s="151"/>
      <c r="CU178" s="152"/>
      <c r="CV178" s="152"/>
      <c r="CW178" s="152"/>
      <c r="CX178" s="152"/>
      <c r="CY178" s="151"/>
      <c r="CZ178" s="152"/>
      <c r="DA178" s="152"/>
      <c r="DB178" s="152"/>
      <c r="DC178" s="152"/>
      <c r="DD178" s="151"/>
      <c r="DE178" s="152"/>
      <c r="DF178" s="152"/>
      <c r="DG178" s="152"/>
      <c r="DH178" s="152"/>
      <c r="DI178" s="151"/>
      <c r="DJ178" s="152"/>
      <c r="DK178" s="152"/>
      <c r="DL178" s="152"/>
      <c r="DM178" s="152"/>
      <c r="DN178" s="151"/>
      <c r="DO178" s="152"/>
      <c r="DP178" s="152"/>
      <c r="DQ178" s="152"/>
      <c r="DR178" s="152"/>
      <c r="DS178" s="151"/>
      <c r="DT178" s="152"/>
      <c r="DU178" s="152"/>
      <c r="DV178" s="152"/>
      <c r="DW178" s="152"/>
      <c r="DX178" s="151"/>
      <c r="DY178" s="152"/>
      <c r="DZ178" s="152"/>
      <c r="EA178" s="152"/>
      <c r="EB178" s="152"/>
      <c r="EC178" s="151"/>
      <c r="ED178" s="152"/>
      <c r="EE178" s="152"/>
      <c r="EF178" s="152"/>
      <c r="EG178" s="152"/>
      <c r="EH178" s="151"/>
      <c r="EI178" s="152"/>
      <c r="EJ178" s="152"/>
      <c r="EK178" s="152"/>
      <c r="EL178" s="152"/>
      <c r="EM178" s="151"/>
      <c r="EN178" s="152"/>
      <c r="EO178" s="152"/>
      <c r="EP178" s="152"/>
      <c r="EQ178" s="152"/>
      <c r="ER178" s="151"/>
      <c r="ES178" s="152"/>
      <c r="ET178" s="152"/>
      <c r="EU178" s="152"/>
      <c r="EV178" s="152"/>
      <c r="EW178" s="151"/>
      <c r="EX178" s="152"/>
      <c r="EY178" s="152"/>
      <c r="EZ178" s="152"/>
      <c r="FA178" s="152"/>
      <c r="FB178" s="151"/>
      <c r="FC178" s="152"/>
      <c r="FD178" s="152"/>
      <c r="FE178" s="152"/>
      <c r="FF178" s="152"/>
      <c r="FG178" s="151"/>
      <c r="FH178" s="152"/>
      <c r="FI178" s="152"/>
      <c r="FJ178" s="152"/>
      <c r="FK178" s="152"/>
      <c r="FL178" s="151"/>
      <c r="FM178" s="152"/>
      <c r="FN178" s="152"/>
      <c r="FO178" s="152"/>
      <c r="FP178" s="152"/>
      <c r="FQ178" s="151"/>
      <c r="FR178" s="152"/>
      <c r="FS178" s="152"/>
      <c r="FT178" s="152"/>
      <c r="FU178" s="152"/>
      <c r="FV178" s="151"/>
      <c r="FW178" s="152"/>
      <c r="FX178" s="152"/>
      <c r="FY178" s="152"/>
      <c r="FZ178" s="152"/>
      <c r="GA178" s="151"/>
      <c r="GB178" s="152"/>
      <c r="GC178" s="152"/>
      <c r="GD178" s="152"/>
      <c r="GE178" s="152"/>
      <c r="GF178" s="151"/>
      <c r="GG178" s="152"/>
      <c r="GH178" s="152"/>
      <c r="GI178" s="152"/>
      <c r="GJ178" s="152"/>
    </row>
    <row r="179" spans="3:192" ht="12.75" customHeight="1">
      <c r="C179" s="153"/>
      <c r="D179" s="154"/>
      <c r="E179" s="154"/>
      <c r="F179" s="154"/>
      <c r="G179" s="154"/>
      <c r="H179" s="153"/>
      <c r="I179" s="154"/>
      <c r="J179" s="154"/>
      <c r="K179" s="154"/>
      <c r="L179" s="154"/>
      <c r="M179" s="153"/>
      <c r="N179" s="154"/>
      <c r="O179" s="154"/>
      <c r="P179" s="154"/>
      <c r="Q179" s="154"/>
      <c r="R179" s="153"/>
      <c r="S179" s="154"/>
      <c r="T179" s="154"/>
      <c r="U179" s="154"/>
      <c r="V179" s="154"/>
      <c r="W179" s="153"/>
      <c r="X179" s="154"/>
      <c r="Y179" s="154"/>
      <c r="Z179" s="154"/>
      <c r="AA179" s="154"/>
      <c r="AB179" s="153"/>
      <c r="AC179" s="154"/>
      <c r="AD179" s="154"/>
      <c r="AE179" s="154"/>
      <c r="AF179" s="154"/>
      <c r="AG179" s="153"/>
      <c r="AH179" s="154"/>
      <c r="AI179" s="154"/>
      <c r="AJ179" s="154"/>
      <c r="AK179" s="154"/>
      <c r="AL179" s="153"/>
      <c r="AM179" s="154"/>
      <c r="AN179" s="154"/>
      <c r="AO179" s="154"/>
      <c r="AP179" s="154"/>
      <c r="AQ179" s="153"/>
      <c r="AR179" s="154"/>
      <c r="AS179" s="154"/>
      <c r="AT179" s="154"/>
      <c r="AU179" s="154"/>
      <c r="AV179" s="153"/>
      <c r="AW179" s="154"/>
      <c r="AX179" s="154"/>
      <c r="AY179" s="154"/>
      <c r="AZ179" s="154"/>
      <c r="BA179" s="153"/>
      <c r="BB179" s="154"/>
      <c r="BC179" s="154"/>
      <c r="BD179" s="154"/>
      <c r="BE179" s="154"/>
      <c r="BF179" s="153"/>
      <c r="BG179" s="154"/>
      <c r="BH179" s="154"/>
      <c r="BI179" s="154"/>
      <c r="BJ179" s="154"/>
      <c r="BK179" s="153"/>
      <c r="BL179" s="154"/>
      <c r="BM179" s="154"/>
      <c r="BN179" s="154"/>
      <c r="BO179" s="154"/>
      <c r="BP179" s="153"/>
      <c r="BQ179" s="154"/>
      <c r="BR179" s="154"/>
      <c r="BS179" s="154"/>
      <c r="BT179" s="154"/>
      <c r="BU179" s="153"/>
      <c r="BV179" s="154"/>
      <c r="BW179" s="154"/>
      <c r="BX179" s="154"/>
      <c r="BY179" s="154"/>
      <c r="BZ179" s="153"/>
      <c r="CA179" s="154"/>
      <c r="CB179" s="154"/>
      <c r="CC179" s="154"/>
      <c r="CD179" s="154"/>
      <c r="CE179" s="153"/>
      <c r="CF179" s="154"/>
      <c r="CG179" s="154"/>
      <c r="CH179" s="154"/>
      <c r="CI179" s="154"/>
      <c r="CJ179" s="153"/>
      <c r="CK179" s="154"/>
      <c r="CL179" s="154"/>
      <c r="CM179" s="154"/>
      <c r="CN179" s="154"/>
      <c r="CO179" s="153"/>
      <c r="CP179" s="154"/>
      <c r="CQ179" s="154"/>
      <c r="CR179" s="154"/>
      <c r="CS179" s="154"/>
      <c r="CT179" s="153"/>
      <c r="CU179" s="154"/>
      <c r="CV179" s="154"/>
      <c r="CW179" s="154"/>
      <c r="CX179" s="154"/>
      <c r="CY179" s="153"/>
      <c r="CZ179" s="154"/>
      <c r="DA179" s="154"/>
      <c r="DB179" s="154"/>
      <c r="DC179" s="154"/>
      <c r="DD179" s="153"/>
      <c r="DE179" s="154"/>
      <c r="DF179" s="154"/>
      <c r="DG179" s="154"/>
      <c r="DH179" s="154"/>
      <c r="DI179" s="153"/>
      <c r="DJ179" s="154"/>
      <c r="DK179" s="154"/>
      <c r="DL179" s="154"/>
      <c r="DM179" s="154"/>
      <c r="DN179" s="153"/>
      <c r="DO179" s="154"/>
      <c r="DP179" s="154"/>
      <c r="DQ179" s="154"/>
      <c r="DR179" s="154"/>
      <c r="DS179" s="153"/>
      <c r="DT179" s="154"/>
      <c r="DU179" s="154"/>
      <c r="DV179" s="154"/>
      <c r="DW179" s="154"/>
      <c r="DX179" s="153"/>
      <c r="DY179" s="154"/>
      <c r="DZ179" s="154"/>
      <c r="EA179" s="154"/>
      <c r="EB179" s="154"/>
      <c r="EC179" s="153"/>
      <c r="ED179" s="154"/>
      <c r="EE179" s="154"/>
      <c r="EF179" s="154"/>
      <c r="EG179" s="154"/>
      <c r="EH179" s="153"/>
      <c r="EI179" s="154"/>
      <c r="EJ179" s="154"/>
      <c r="EK179" s="154"/>
      <c r="EL179" s="154"/>
      <c r="EM179" s="153"/>
      <c r="EN179" s="154"/>
      <c r="EO179" s="154"/>
      <c r="EP179" s="154"/>
      <c r="EQ179" s="154"/>
      <c r="ER179" s="153"/>
      <c r="ES179" s="154"/>
      <c r="ET179" s="154"/>
      <c r="EU179" s="154"/>
      <c r="EV179" s="154"/>
      <c r="EW179" s="153"/>
      <c r="EX179" s="154"/>
      <c r="EY179" s="154"/>
      <c r="EZ179" s="154"/>
      <c r="FA179" s="154"/>
      <c r="FB179" s="153"/>
      <c r="FC179" s="154"/>
      <c r="FD179" s="154"/>
      <c r="FE179" s="154"/>
      <c r="FF179" s="154"/>
      <c r="FG179" s="153"/>
      <c r="FH179" s="154"/>
      <c r="FI179" s="154"/>
      <c r="FJ179" s="154"/>
      <c r="FK179" s="154"/>
      <c r="FL179" s="153"/>
      <c r="FM179" s="154"/>
      <c r="FN179" s="154"/>
      <c r="FO179" s="154"/>
      <c r="FP179" s="154"/>
      <c r="FQ179" s="153"/>
      <c r="FR179" s="154"/>
      <c r="FS179" s="154"/>
      <c r="FT179" s="154"/>
      <c r="FU179" s="154"/>
      <c r="FV179" s="153"/>
      <c r="FW179" s="154"/>
      <c r="FX179" s="154"/>
      <c r="FY179" s="154"/>
      <c r="FZ179" s="154"/>
      <c r="GA179" s="153"/>
      <c r="GB179" s="154"/>
      <c r="GC179" s="154"/>
      <c r="GD179" s="154"/>
      <c r="GE179" s="154"/>
      <c r="GF179" s="153"/>
      <c r="GG179" s="154"/>
      <c r="GH179" s="154"/>
      <c r="GI179" s="154"/>
      <c r="GJ179" s="154"/>
    </row>
    <row r="180" spans="3:192" ht="12.75" customHeight="1">
      <c r="C180" s="153"/>
      <c r="D180" s="154"/>
      <c r="E180" s="154"/>
      <c r="F180" s="154"/>
      <c r="G180" s="154"/>
      <c r="H180" s="153"/>
      <c r="I180" s="154"/>
      <c r="J180" s="154"/>
      <c r="K180" s="154"/>
      <c r="L180" s="154"/>
      <c r="M180" s="153"/>
      <c r="N180" s="154"/>
      <c r="O180" s="154"/>
      <c r="P180" s="154"/>
      <c r="Q180" s="154"/>
      <c r="R180" s="153"/>
      <c r="S180" s="154"/>
      <c r="T180" s="154"/>
      <c r="U180" s="154"/>
      <c r="V180" s="154"/>
      <c r="W180" s="153"/>
      <c r="X180" s="154"/>
      <c r="Y180" s="154"/>
      <c r="Z180" s="154"/>
      <c r="AA180" s="154"/>
      <c r="AB180" s="153"/>
      <c r="AC180" s="154"/>
      <c r="AD180" s="154"/>
      <c r="AE180" s="154"/>
      <c r="AF180" s="154"/>
      <c r="AG180" s="153"/>
      <c r="AH180" s="154"/>
      <c r="AI180" s="154"/>
      <c r="AJ180" s="154"/>
      <c r="AK180" s="154"/>
      <c r="AL180" s="153"/>
      <c r="AM180" s="154"/>
      <c r="AN180" s="154"/>
      <c r="AO180" s="154"/>
      <c r="AP180" s="154"/>
      <c r="AQ180" s="153"/>
      <c r="AR180" s="154"/>
      <c r="AS180" s="154"/>
      <c r="AT180" s="154"/>
      <c r="AU180" s="154"/>
      <c r="AV180" s="153"/>
      <c r="AW180" s="154"/>
      <c r="AX180" s="154"/>
      <c r="AY180" s="154"/>
      <c r="AZ180" s="154"/>
      <c r="BA180" s="153"/>
      <c r="BB180" s="154"/>
      <c r="BC180" s="154"/>
      <c r="BD180" s="154"/>
      <c r="BE180" s="154"/>
      <c r="BF180" s="153"/>
      <c r="BG180" s="154"/>
      <c r="BH180" s="154"/>
      <c r="BI180" s="154"/>
      <c r="BJ180" s="154"/>
      <c r="BK180" s="153"/>
      <c r="BL180" s="154"/>
      <c r="BM180" s="154"/>
      <c r="BN180" s="154"/>
      <c r="BO180" s="154"/>
      <c r="BP180" s="153"/>
      <c r="BQ180" s="154"/>
      <c r="BR180" s="154"/>
      <c r="BS180" s="154"/>
      <c r="BT180" s="154"/>
      <c r="BU180" s="153"/>
      <c r="BV180" s="154"/>
      <c r="BW180" s="154"/>
      <c r="BX180" s="154"/>
      <c r="BY180" s="154"/>
      <c r="BZ180" s="153"/>
      <c r="CA180" s="154"/>
      <c r="CB180" s="154"/>
      <c r="CC180" s="154"/>
      <c r="CD180" s="154"/>
      <c r="CE180" s="153"/>
      <c r="CF180" s="154"/>
      <c r="CG180" s="154"/>
      <c r="CH180" s="154"/>
      <c r="CI180" s="154"/>
      <c r="CJ180" s="153"/>
      <c r="CK180" s="154"/>
      <c r="CL180" s="154"/>
      <c r="CM180" s="154"/>
      <c r="CN180" s="154"/>
      <c r="CO180" s="153"/>
      <c r="CP180" s="154"/>
      <c r="CQ180" s="154"/>
      <c r="CR180" s="154"/>
      <c r="CS180" s="154"/>
      <c r="CT180" s="153"/>
      <c r="CU180" s="154"/>
      <c r="CV180" s="154"/>
      <c r="CW180" s="154"/>
      <c r="CX180" s="154"/>
      <c r="CY180" s="153"/>
      <c r="CZ180" s="154"/>
      <c r="DA180" s="154"/>
      <c r="DB180" s="154"/>
      <c r="DC180" s="154"/>
      <c r="DD180" s="153"/>
      <c r="DE180" s="154"/>
      <c r="DF180" s="154"/>
      <c r="DG180" s="154"/>
      <c r="DH180" s="154"/>
      <c r="DI180" s="153"/>
      <c r="DJ180" s="154"/>
      <c r="DK180" s="154"/>
      <c r="DL180" s="154"/>
      <c r="DM180" s="154"/>
      <c r="DN180" s="153"/>
      <c r="DO180" s="154"/>
      <c r="DP180" s="154"/>
      <c r="DQ180" s="154"/>
      <c r="DR180" s="154"/>
      <c r="DS180" s="153"/>
      <c r="DT180" s="154"/>
      <c r="DU180" s="154"/>
      <c r="DV180" s="154"/>
      <c r="DW180" s="154"/>
      <c r="DX180" s="153"/>
      <c r="DY180" s="154"/>
      <c r="DZ180" s="154"/>
      <c r="EA180" s="154"/>
      <c r="EB180" s="154"/>
      <c r="EC180" s="153"/>
      <c r="ED180" s="154"/>
      <c r="EE180" s="154"/>
      <c r="EF180" s="154"/>
      <c r="EG180" s="154"/>
      <c r="EH180" s="153"/>
      <c r="EI180" s="154"/>
      <c r="EJ180" s="154"/>
      <c r="EK180" s="154"/>
      <c r="EL180" s="154"/>
      <c r="EM180" s="153"/>
      <c r="EN180" s="154"/>
      <c r="EO180" s="154"/>
      <c r="EP180" s="154"/>
      <c r="EQ180" s="154"/>
      <c r="ER180" s="153"/>
      <c r="ES180" s="154"/>
      <c r="ET180" s="154"/>
      <c r="EU180" s="154"/>
      <c r="EV180" s="154"/>
      <c r="EW180" s="153"/>
      <c r="EX180" s="154"/>
      <c r="EY180" s="154"/>
      <c r="EZ180" s="154"/>
      <c r="FA180" s="154"/>
      <c r="FB180" s="153"/>
      <c r="FC180" s="154"/>
      <c r="FD180" s="154"/>
      <c r="FE180" s="154"/>
      <c r="FF180" s="154"/>
      <c r="FG180" s="153"/>
      <c r="FH180" s="154"/>
      <c r="FI180" s="154"/>
      <c r="FJ180" s="154"/>
      <c r="FK180" s="154"/>
      <c r="FL180" s="153"/>
      <c r="FM180" s="154"/>
      <c r="FN180" s="154"/>
      <c r="FO180" s="154"/>
      <c r="FP180" s="154"/>
      <c r="FQ180" s="153"/>
      <c r="FR180" s="154"/>
      <c r="FS180" s="154"/>
      <c r="FT180" s="154"/>
      <c r="FU180" s="154"/>
      <c r="FV180" s="153"/>
      <c r="FW180" s="154"/>
      <c r="FX180" s="154"/>
      <c r="FY180" s="154"/>
      <c r="FZ180" s="154"/>
      <c r="GA180" s="153"/>
      <c r="GB180" s="154"/>
      <c r="GC180" s="154"/>
      <c r="GD180" s="154"/>
      <c r="GE180" s="154"/>
      <c r="GF180" s="153"/>
      <c r="GG180" s="154"/>
      <c r="GH180" s="154"/>
      <c r="GI180" s="154"/>
      <c r="GJ180" s="154"/>
    </row>
    <row r="181" spans="3:192" ht="12.75" customHeight="1">
      <c r="C181" s="153"/>
      <c r="D181" s="154"/>
      <c r="E181" s="154"/>
      <c r="F181" s="154"/>
      <c r="G181" s="154"/>
      <c r="H181" s="153"/>
      <c r="I181" s="154"/>
      <c r="J181" s="154"/>
      <c r="K181" s="154"/>
      <c r="L181" s="154"/>
      <c r="M181" s="153"/>
      <c r="N181" s="154"/>
      <c r="O181" s="154"/>
      <c r="P181" s="154"/>
      <c r="Q181" s="154"/>
      <c r="R181" s="153"/>
      <c r="S181" s="154"/>
      <c r="T181" s="154"/>
      <c r="U181" s="154"/>
      <c r="V181" s="154"/>
      <c r="W181" s="153"/>
      <c r="X181" s="154"/>
      <c r="Y181" s="154"/>
      <c r="Z181" s="154"/>
      <c r="AA181" s="154"/>
      <c r="AB181" s="153"/>
      <c r="AC181" s="154"/>
      <c r="AD181" s="154"/>
      <c r="AE181" s="154"/>
      <c r="AF181" s="154"/>
      <c r="AG181" s="153"/>
      <c r="AH181" s="154"/>
      <c r="AI181" s="154"/>
      <c r="AJ181" s="154"/>
      <c r="AK181" s="154"/>
      <c r="AL181" s="153"/>
      <c r="AM181" s="154"/>
      <c r="AN181" s="154"/>
      <c r="AO181" s="154"/>
      <c r="AP181" s="154"/>
      <c r="AQ181" s="153"/>
      <c r="AR181" s="154"/>
      <c r="AS181" s="154"/>
      <c r="AT181" s="154"/>
      <c r="AU181" s="154"/>
      <c r="AV181" s="153"/>
      <c r="AW181" s="154"/>
      <c r="AX181" s="154"/>
      <c r="AY181" s="154"/>
      <c r="AZ181" s="154"/>
      <c r="BA181" s="153"/>
      <c r="BB181" s="154"/>
      <c r="BC181" s="154"/>
      <c r="BD181" s="154"/>
      <c r="BE181" s="154"/>
      <c r="BF181" s="153"/>
      <c r="BG181" s="154"/>
      <c r="BH181" s="154"/>
      <c r="BI181" s="154"/>
      <c r="BJ181" s="154"/>
      <c r="BK181" s="153"/>
      <c r="BL181" s="154"/>
      <c r="BM181" s="154"/>
      <c r="BN181" s="154"/>
      <c r="BO181" s="154"/>
      <c r="BP181" s="153"/>
      <c r="BQ181" s="154"/>
      <c r="BR181" s="154"/>
      <c r="BS181" s="154"/>
      <c r="BT181" s="154"/>
      <c r="BU181" s="153"/>
      <c r="BV181" s="154"/>
      <c r="BW181" s="154"/>
      <c r="BX181" s="154"/>
      <c r="BY181" s="154"/>
      <c r="BZ181" s="153"/>
      <c r="CA181" s="154"/>
      <c r="CB181" s="154"/>
      <c r="CC181" s="154"/>
      <c r="CD181" s="154"/>
      <c r="CE181" s="153"/>
      <c r="CF181" s="154"/>
      <c r="CG181" s="154"/>
      <c r="CH181" s="154"/>
      <c r="CI181" s="154"/>
      <c r="CJ181" s="153"/>
      <c r="CK181" s="154"/>
      <c r="CL181" s="154"/>
      <c r="CM181" s="154"/>
      <c r="CN181" s="154"/>
      <c r="CO181" s="153"/>
      <c r="CP181" s="154"/>
      <c r="CQ181" s="154"/>
      <c r="CR181" s="154"/>
      <c r="CS181" s="154"/>
      <c r="CT181" s="153"/>
      <c r="CU181" s="154"/>
      <c r="CV181" s="154"/>
      <c r="CW181" s="154"/>
      <c r="CX181" s="154"/>
      <c r="CY181" s="153"/>
      <c r="CZ181" s="154"/>
      <c r="DA181" s="154"/>
      <c r="DB181" s="154"/>
      <c r="DC181" s="154"/>
      <c r="DD181" s="153"/>
      <c r="DE181" s="154"/>
      <c r="DF181" s="154"/>
      <c r="DG181" s="154"/>
      <c r="DH181" s="154"/>
      <c r="DI181" s="153"/>
      <c r="DJ181" s="154"/>
      <c r="DK181" s="154"/>
      <c r="DL181" s="154"/>
      <c r="DM181" s="154"/>
      <c r="DN181" s="153"/>
      <c r="DO181" s="154"/>
      <c r="DP181" s="154"/>
      <c r="DQ181" s="154"/>
      <c r="DR181" s="154"/>
      <c r="DS181" s="153"/>
      <c r="DT181" s="154"/>
      <c r="DU181" s="154"/>
      <c r="DV181" s="154"/>
      <c r="DW181" s="154"/>
      <c r="DX181" s="153"/>
      <c r="DY181" s="154"/>
      <c r="DZ181" s="154"/>
      <c r="EA181" s="154"/>
      <c r="EB181" s="154"/>
      <c r="EC181" s="153"/>
      <c r="ED181" s="154"/>
      <c r="EE181" s="154"/>
      <c r="EF181" s="154"/>
      <c r="EG181" s="154"/>
      <c r="EH181" s="153"/>
      <c r="EI181" s="154"/>
      <c r="EJ181" s="154"/>
      <c r="EK181" s="154"/>
      <c r="EL181" s="154"/>
      <c r="EM181" s="153"/>
      <c r="EN181" s="154"/>
      <c r="EO181" s="154"/>
      <c r="EP181" s="154"/>
      <c r="EQ181" s="154"/>
      <c r="ER181" s="153"/>
      <c r="ES181" s="154"/>
      <c r="ET181" s="154"/>
      <c r="EU181" s="154"/>
      <c r="EV181" s="154"/>
      <c r="EW181" s="153"/>
      <c r="EX181" s="154"/>
      <c r="EY181" s="154"/>
      <c r="EZ181" s="154"/>
      <c r="FA181" s="154"/>
      <c r="FB181" s="153"/>
      <c r="FC181" s="154"/>
      <c r="FD181" s="154"/>
      <c r="FE181" s="154"/>
      <c r="FF181" s="154"/>
      <c r="FG181" s="153"/>
      <c r="FH181" s="154"/>
      <c r="FI181" s="154"/>
      <c r="FJ181" s="154"/>
      <c r="FK181" s="154"/>
      <c r="FL181" s="153"/>
      <c r="FM181" s="154"/>
      <c r="FN181" s="154"/>
      <c r="FO181" s="154"/>
      <c r="FP181" s="154"/>
      <c r="FQ181" s="153"/>
      <c r="FR181" s="154"/>
      <c r="FS181" s="154"/>
      <c r="FT181" s="154"/>
      <c r="FU181" s="154"/>
      <c r="FV181" s="153"/>
      <c r="FW181" s="154"/>
      <c r="FX181" s="154"/>
      <c r="FY181" s="154"/>
      <c r="FZ181" s="154"/>
      <c r="GA181" s="153"/>
      <c r="GB181" s="154"/>
      <c r="GC181" s="154"/>
      <c r="GD181" s="154"/>
      <c r="GE181" s="154"/>
      <c r="GF181" s="153"/>
      <c r="GG181" s="154"/>
      <c r="GH181" s="154"/>
      <c r="GI181" s="154"/>
      <c r="GJ181" s="154"/>
    </row>
    <row r="182" spans="3:192" ht="12.75" customHeight="1">
      <c r="C182" s="155"/>
      <c r="D182" s="156"/>
      <c r="E182" s="156"/>
      <c r="F182" s="156"/>
      <c r="G182" s="156"/>
      <c r="H182" s="155"/>
      <c r="I182" s="156"/>
      <c r="J182" s="156"/>
      <c r="K182" s="156"/>
      <c r="L182" s="156"/>
      <c r="M182" s="155"/>
      <c r="N182" s="156"/>
      <c r="O182" s="156"/>
      <c r="P182" s="156"/>
      <c r="Q182" s="156"/>
      <c r="R182" s="155"/>
      <c r="S182" s="156"/>
      <c r="T182" s="156"/>
      <c r="U182" s="156"/>
      <c r="V182" s="156"/>
      <c r="W182" s="155"/>
      <c r="X182" s="156"/>
      <c r="Y182" s="156"/>
      <c r="Z182" s="156"/>
      <c r="AA182" s="156"/>
      <c r="AB182" s="155"/>
      <c r="AC182" s="156"/>
      <c r="AD182" s="156"/>
      <c r="AE182" s="156"/>
      <c r="AF182" s="156"/>
      <c r="AG182" s="155"/>
      <c r="AH182" s="156"/>
      <c r="AI182" s="156"/>
      <c r="AJ182" s="156"/>
      <c r="AK182" s="156"/>
      <c r="AL182" s="155"/>
      <c r="AM182" s="156"/>
      <c r="AN182" s="156"/>
      <c r="AO182" s="156"/>
      <c r="AP182" s="156"/>
      <c r="AQ182" s="155"/>
      <c r="AR182" s="156"/>
      <c r="AS182" s="156"/>
      <c r="AT182" s="156"/>
      <c r="AU182" s="156"/>
      <c r="AV182" s="155"/>
      <c r="AW182" s="156"/>
      <c r="AX182" s="156"/>
      <c r="AY182" s="156"/>
      <c r="AZ182" s="156"/>
      <c r="BA182" s="155"/>
      <c r="BB182" s="156"/>
      <c r="BC182" s="156"/>
      <c r="BD182" s="156"/>
      <c r="BE182" s="156"/>
      <c r="BF182" s="155"/>
      <c r="BG182" s="156"/>
      <c r="BH182" s="156"/>
      <c r="BI182" s="156"/>
      <c r="BJ182" s="156"/>
      <c r="BK182" s="155"/>
      <c r="BL182" s="156"/>
      <c r="BM182" s="156"/>
      <c r="BN182" s="156"/>
      <c r="BO182" s="156"/>
      <c r="BP182" s="155"/>
      <c r="BQ182" s="156"/>
      <c r="BR182" s="156"/>
      <c r="BS182" s="156"/>
      <c r="BT182" s="156"/>
      <c r="BU182" s="155"/>
      <c r="BV182" s="156"/>
      <c r="BW182" s="156"/>
      <c r="BX182" s="156"/>
      <c r="BY182" s="156"/>
      <c r="BZ182" s="155"/>
      <c r="CA182" s="156"/>
      <c r="CB182" s="156"/>
      <c r="CC182" s="156"/>
      <c r="CD182" s="156"/>
      <c r="CE182" s="155"/>
      <c r="CF182" s="156"/>
      <c r="CG182" s="156"/>
      <c r="CH182" s="156"/>
      <c r="CI182" s="156"/>
      <c r="CJ182" s="155"/>
      <c r="CK182" s="156"/>
      <c r="CL182" s="156"/>
      <c r="CM182" s="156"/>
      <c r="CN182" s="156"/>
      <c r="CO182" s="155"/>
      <c r="CP182" s="156"/>
      <c r="CQ182" s="156"/>
      <c r="CR182" s="156"/>
      <c r="CS182" s="156"/>
      <c r="CT182" s="155"/>
      <c r="CU182" s="156"/>
      <c r="CV182" s="156"/>
      <c r="CW182" s="156"/>
      <c r="CX182" s="156"/>
      <c r="CY182" s="155"/>
      <c r="CZ182" s="156"/>
      <c r="DA182" s="156"/>
      <c r="DB182" s="156"/>
      <c r="DC182" s="156"/>
      <c r="DD182" s="155"/>
      <c r="DE182" s="156"/>
      <c r="DF182" s="156"/>
      <c r="DG182" s="156"/>
      <c r="DH182" s="156"/>
      <c r="DI182" s="155"/>
      <c r="DJ182" s="156"/>
      <c r="DK182" s="156"/>
      <c r="DL182" s="156"/>
      <c r="DM182" s="156"/>
      <c r="DN182" s="155"/>
      <c r="DO182" s="156"/>
      <c r="DP182" s="156"/>
      <c r="DQ182" s="156"/>
      <c r="DR182" s="156"/>
      <c r="DS182" s="155"/>
      <c r="DT182" s="156"/>
      <c r="DU182" s="156"/>
      <c r="DV182" s="156"/>
      <c r="DW182" s="156"/>
      <c r="DX182" s="155"/>
      <c r="DY182" s="156"/>
      <c r="DZ182" s="156"/>
      <c r="EA182" s="156"/>
      <c r="EB182" s="156"/>
      <c r="EC182" s="155"/>
      <c r="ED182" s="156"/>
      <c r="EE182" s="156"/>
      <c r="EF182" s="156"/>
      <c r="EG182" s="156"/>
      <c r="EH182" s="155"/>
      <c r="EI182" s="156"/>
      <c r="EJ182" s="156"/>
      <c r="EK182" s="156"/>
      <c r="EL182" s="156"/>
      <c r="EM182" s="155"/>
      <c r="EN182" s="156"/>
      <c r="EO182" s="156"/>
      <c r="EP182" s="156"/>
      <c r="EQ182" s="156"/>
      <c r="ER182" s="155"/>
      <c r="ES182" s="156"/>
      <c r="ET182" s="156"/>
      <c r="EU182" s="156"/>
      <c r="EV182" s="156"/>
      <c r="EW182" s="155"/>
      <c r="EX182" s="156"/>
      <c r="EY182" s="156"/>
      <c r="EZ182" s="156"/>
      <c r="FA182" s="156"/>
      <c r="FB182" s="155"/>
      <c r="FC182" s="156"/>
      <c r="FD182" s="156"/>
      <c r="FE182" s="156"/>
      <c r="FF182" s="156"/>
      <c r="FG182" s="155"/>
      <c r="FH182" s="156"/>
      <c r="FI182" s="156"/>
      <c r="FJ182" s="156"/>
      <c r="FK182" s="156"/>
      <c r="FL182" s="155"/>
      <c r="FM182" s="156"/>
      <c r="FN182" s="156"/>
      <c r="FO182" s="156"/>
      <c r="FP182" s="156"/>
      <c r="FQ182" s="155"/>
      <c r="FR182" s="156"/>
      <c r="FS182" s="156"/>
      <c r="FT182" s="156"/>
      <c r="FU182" s="156"/>
      <c r="FV182" s="155"/>
      <c r="FW182" s="156"/>
      <c r="FX182" s="156"/>
      <c r="FY182" s="156"/>
      <c r="FZ182" s="156"/>
      <c r="GA182" s="155"/>
      <c r="GB182" s="156"/>
      <c r="GC182" s="156"/>
      <c r="GD182" s="156"/>
      <c r="GE182" s="156"/>
      <c r="GF182" s="155"/>
      <c r="GG182" s="156"/>
      <c r="GH182" s="156"/>
      <c r="GI182" s="156"/>
      <c r="GJ182" s="156"/>
    </row>
    <row r="183" spans="3:192" ht="12.75" customHeight="1">
      <c r="C183" s="157"/>
      <c r="D183" s="154"/>
      <c r="E183" s="154"/>
      <c r="F183" s="154"/>
      <c r="G183" s="154"/>
      <c r="H183" s="157"/>
      <c r="I183" s="154"/>
      <c r="J183" s="154"/>
      <c r="K183" s="154"/>
      <c r="L183" s="154"/>
      <c r="M183" s="157"/>
      <c r="N183" s="154"/>
      <c r="O183" s="154"/>
      <c r="P183" s="154"/>
      <c r="Q183" s="154"/>
      <c r="R183" s="157"/>
      <c r="S183" s="154"/>
      <c r="T183" s="154"/>
      <c r="U183" s="154"/>
      <c r="V183" s="154"/>
      <c r="W183" s="157"/>
      <c r="X183" s="154"/>
      <c r="Y183" s="154"/>
      <c r="Z183" s="154"/>
      <c r="AA183" s="154"/>
      <c r="AB183" s="157"/>
      <c r="AC183" s="154"/>
      <c r="AD183" s="154"/>
      <c r="AE183" s="154"/>
      <c r="AF183" s="154"/>
      <c r="AG183" s="157"/>
      <c r="AH183" s="154"/>
      <c r="AI183" s="154"/>
      <c r="AJ183" s="154"/>
      <c r="AK183" s="154"/>
      <c r="AL183" s="157"/>
      <c r="AM183" s="154"/>
      <c r="AN183" s="154"/>
      <c r="AO183" s="154"/>
      <c r="AP183" s="154"/>
      <c r="AQ183" s="157"/>
      <c r="AR183" s="154"/>
      <c r="AS183" s="154"/>
      <c r="AT183" s="154"/>
      <c r="AU183" s="154"/>
      <c r="AV183" s="157"/>
      <c r="AW183" s="154"/>
      <c r="AX183" s="154"/>
      <c r="AY183" s="154"/>
      <c r="AZ183" s="154"/>
      <c r="BA183" s="157"/>
      <c r="BB183" s="154"/>
      <c r="BC183" s="154"/>
      <c r="BD183" s="154"/>
      <c r="BE183" s="154"/>
      <c r="BF183" s="157"/>
      <c r="BG183" s="154"/>
      <c r="BH183" s="154"/>
      <c r="BI183" s="154"/>
      <c r="BJ183" s="154"/>
      <c r="BK183" s="157"/>
      <c r="BL183" s="154"/>
      <c r="BM183" s="154"/>
      <c r="BN183" s="154"/>
      <c r="BO183" s="154"/>
      <c r="BP183" s="157"/>
      <c r="BQ183" s="154"/>
      <c r="BR183" s="154"/>
      <c r="BS183" s="154"/>
      <c r="BT183" s="154"/>
      <c r="BU183" s="157"/>
      <c r="BV183" s="154"/>
      <c r="BW183" s="154"/>
      <c r="BX183" s="154"/>
      <c r="BY183" s="154"/>
      <c r="BZ183" s="157"/>
      <c r="CA183" s="154"/>
      <c r="CB183" s="154"/>
      <c r="CC183" s="154"/>
      <c r="CD183" s="154"/>
      <c r="CE183" s="157"/>
      <c r="CF183" s="154"/>
      <c r="CG183" s="154"/>
      <c r="CH183" s="154"/>
      <c r="CI183" s="154"/>
      <c r="CJ183" s="157"/>
      <c r="CK183" s="154"/>
      <c r="CL183" s="154"/>
      <c r="CM183" s="154"/>
      <c r="CN183" s="154"/>
      <c r="CO183" s="157"/>
      <c r="CP183" s="154"/>
      <c r="CQ183" s="154"/>
      <c r="CR183" s="154"/>
      <c r="CS183" s="154"/>
      <c r="CT183" s="157"/>
      <c r="CU183" s="154"/>
      <c r="CV183" s="154"/>
      <c r="CW183" s="154"/>
      <c r="CX183" s="154"/>
      <c r="CY183" s="157"/>
      <c r="CZ183" s="154"/>
      <c r="DA183" s="154"/>
      <c r="DB183" s="154"/>
      <c r="DC183" s="154"/>
      <c r="DD183" s="157"/>
      <c r="DE183" s="154"/>
      <c r="DF183" s="154"/>
      <c r="DG183" s="154"/>
      <c r="DH183" s="154"/>
      <c r="DI183" s="157"/>
      <c r="DJ183" s="154"/>
      <c r="DK183" s="154"/>
      <c r="DL183" s="154"/>
      <c r="DM183" s="154"/>
      <c r="DN183" s="157"/>
      <c r="DO183" s="154"/>
      <c r="DP183" s="154"/>
      <c r="DQ183" s="154"/>
      <c r="DR183" s="154"/>
      <c r="DS183" s="157"/>
      <c r="DT183" s="154"/>
      <c r="DU183" s="154"/>
      <c r="DV183" s="154"/>
      <c r="DW183" s="154"/>
      <c r="DX183" s="157"/>
      <c r="DY183" s="154"/>
      <c r="DZ183" s="154"/>
      <c r="EA183" s="154"/>
      <c r="EB183" s="154"/>
      <c r="EC183" s="157"/>
      <c r="ED183" s="154"/>
      <c r="EE183" s="154"/>
      <c r="EF183" s="154"/>
      <c r="EG183" s="154"/>
      <c r="EH183" s="157"/>
      <c r="EI183" s="154"/>
      <c r="EJ183" s="154"/>
      <c r="EK183" s="154"/>
      <c r="EL183" s="154"/>
      <c r="EM183" s="157"/>
      <c r="EN183" s="154"/>
      <c r="EO183" s="154"/>
      <c r="EP183" s="154"/>
      <c r="EQ183" s="154"/>
      <c r="ER183" s="157"/>
      <c r="ES183" s="154"/>
      <c r="ET183" s="154"/>
      <c r="EU183" s="154"/>
      <c r="EV183" s="154"/>
      <c r="EW183" s="157"/>
      <c r="EX183" s="154"/>
      <c r="EY183" s="154"/>
      <c r="EZ183" s="154"/>
      <c r="FA183" s="154"/>
      <c r="FB183" s="157"/>
      <c r="FC183" s="154"/>
      <c r="FD183" s="154"/>
      <c r="FE183" s="154"/>
      <c r="FF183" s="154"/>
      <c r="FG183" s="157"/>
      <c r="FH183" s="154"/>
      <c r="FI183" s="154"/>
      <c r="FJ183" s="154"/>
      <c r="FK183" s="154"/>
      <c r="FL183" s="157"/>
      <c r="FM183" s="154"/>
      <c r="FN183" s="154"/>
      <c r="FO183" s="154"/>
      <c r="FP183" s="154"/>
      <c r="FQ183" s="157"/>
      <c r="FR183" s="154"/>
      <c r="FS183" s="154"/>
      <c r="FT183" s="154"/>
      <c r="FU183" s="154"/>
      <c r="FV183" s="157"/>
      <c r="FW183" s="154"/>
      <c r="FX183" s="154"/>
      <c r="FY183" s="154"/>
      <c r="FZ183" s="154"/>
      <c r="GA183" s="157"/>
      <c r="GB183" s="154"/>
      <c r="GC183" s="154"/>
      <c r="GD183" s="154"/>
      <c r="GE183" s="154"/>
      <c r="GF183" s="157"/>
      <c r="GG183" s="154"/>
      <c r="GH183" s="154"/>
      <c r="GI183" s="154"/>
      <c r="GJ183" s="154"/>
    </row>
    <row r="184" spans="3:192" ht="12.75" customHeight="1">
      <c r="C184" s="157"/>
      <c r="D184" s="154"/>
      <c r="E184" s="154"/>
      <c r="F184" s="154"/>
      <c r="G184" s="154"/>
      <c r="H184" s="157"/>
      <c r="I184" s="154"/>
      <c r="J184" s="154"/>
      <c r="K184" s="154"/>
      <c r="L184" s="154"/>
      <c r="M184" s="157"/>
      <c r="N184" s="154"/>
      <c r="O184" s="154"/>
      <c r="P184" s="154"/>
      <c r="Q184" s="154"/>
      <c r="R184" s="157"/>
      <c r="S184" s="154"/>
      <c r="T184" s="154"/>
      <c r="U184" s="154"/>
      <c r="V184" s="154"/>
      <c r="W184" s="157"/>
      <c r="X184" s="154"/>
      <c r="Y184" s="154"/>
      <c r="Z184" s="154"/>
      <c r="AA184" s="154"/>
      <c r="AB184" s="157"/>
      <c r="AC184" s="154"/>
      <c r="AD184" s="154"/>
      <c r="AE184" s="154"/>
      <c r="AF184" s="154"/>
      <c r="AG184" s="157"/>
      <c r="AH184" s="154"/>
      <c r="AI184" s="154"/>
      <c r="AJ184" s="154"/>
      <c r="AK184" s="154"/>
      <c r="AL184" s="157"/>
      <c r="AM184" s="154"/>
      <c r="AN184" s="154"/>
      <c r="AO184" s="154"/>
      <c r="AP184" s="154"/>
      <c r="AQ184" s="157"/>
      <c r="AR184" s="154"/>
      <c r="AS184" s="154"/>
      <c r="AT184" s="154"/>
      <c r="AU184" s="154"/>
      <c r="AV184" s="157"/>
      <c r="AW184" s="154"/>
      <c r="AX184" s="154"/>
      <c r="AY184" s="154"/>
      <c r="AZ184" s="154"/>
      <c r="BA184" s="157"/>
      <c r="BB184" s="154"/>
      <c r="BC184" s="154"/>
      <c r="BD184" s="154"/>
      <c r="BE184" s="154"/>
      <c r="BF184" s="157"/>
      <c r="BG184" s="154"/>
      <c r="BH184" s="154"/>
      <c r="BI184" s="154"/>
      <c r="BJ184" s="154"/>
      <c r="BK184" s="157"/>
      <c r="BL184" s="154"/>
      <c r="BM184" s="154"/>
      <c r="BN184" s="154"/>
      <c r="BO184" s="154"/>
      <c r="BP184" s="157"/>
      <c r="BQ184" s="154"/>
      <c r="BR184" s="154"/>
      <c r="BS184" s="154"/>
      <c r="BT184" s="154"/>
      <c r="BU184" s="157"/>
      <c r="BV184" s="154"/>
      <c r="BW184" s="154"/>
      <c r="BX184" s="154"/>
      <c r="BY184" s="154"/>
      <c r="BZ184" s="157"/>
      <c r="CA184" s="154"/>
      <c r="CB184" s="154"/>
      <c r="CC184" s="154"/>
      <c r="CD184" s="154"/>
      <c r="CE184" s="157"/>
      <c r="CF184" s="154"/>
      <c r="CG184" s="154"/>
      <c r="CH184" s="154"/>
      <c r="CI184" s="154"/>
      <c r="CJ184" s="157"/>
      <c r="CK184" s="154"/>
      <c r="CL184" s="154"/>
      <c r="CM184" s="154"/>
      <c r="CN184" s="154"/>
      <c r="CO184" s="157"/>
      <c r="CP184" s="154"/>
      <c r="CQ184" s="154"/>
      <c r="CR184" s="154"/>
      <c r="CS184" s="154"/>
      <c r="CT184" s="157"/>
      <c r="CU184" s="154"/>
      <c r="CV184" s="154"/>
      <c r="CW184" s="154"/>
      <c r="CX184" s="154"/>
      <c r="CY184" s="157"/>
      <c r="CZ184" s="154"/>
      <c r="DA184" s="154"/>
      <c r="DB184" s="154"/>
      <c r="DC184" s="154"/>
      <c r="DD184" s="157"/>
      <c r="DE184" s="154"/>
      <c r="DF184" s="154"/>
      <c r="DG184" s="154"/>
      <c r="DH184" s="154"/>
      <c r="DI184" s="157"/>
      <c r="DJ184" s="154"/>
      <c r="DK184" s="154"/>
      <c r="DL184" s="154"/>
      <c r="DM184" s="154"/>
      <c r="DN184" s="157"/>
      <c r="DO184" s="154"/>
      <c r="DP184" s="154"/>
      <c r="DQ184" s="154"/>
      <c r="DR184" s="154"/>
      <c r="DS184" s="157"/>
      <c r="DT184" s="154"/>
      <c r="DU184" s="154"/>
      <c r="DV184" s="154"/>
      <c r="DW184" s="154"/>
      <c r="DX184" s="157"/>
      <c r="DY184" s="154"/>
      <c r="DZ184" s="154"/>
      <c r="EA184" s="154"/>
      <c r="EB184" s="154"/>
      <c r="EC184" s="157"/>
      <c r="ED184" s="154"/>
      <c r="EE184" s="154"/>
      <c r="EF184" s="154"/>
      <c r="EG184" s="154"/>
      <c r="EH184" s="157"/>
      <c r="EI184" s="154"/>
      <c r="EJ184" s="154"/>
      <c r="EK184" s="154"/>
      <c r="EL184" s="154"/>
      <c r="EM184" s="157"/>
      <c r="EN184" s="154"/>
      <c r="EO184" s="154"/>
      <c r="EP184" s="154"/>
      <c r="EQ184" s="154"/>
      <c r="ER184" s="157"/>
      <c r="ES184" s="154"/>
      <c r="ET184" s="154"/>
      <c r="EU184" s="154"/>
      <c r="EV184" s="154"/>
      <c r="EW184" s="157"/>
      <c r="EX184" s="154"/>
      <c r="EY184" s="154"/>
      <c r="EZ184" s="154"/>
      <c r="FA184" s="154"/>
      <c r="FB184" s="157"/>
      <c r="FC184" s="154"/>
      <c r="FD184" s="154"/>
      <c r="FE184" s="154"/>
      <c r="FF184" s="154"/>
      <c r="FG184" s="157"/>
      <c r="FH184" s="154"/>
      <c r="FI184" s="154"/>
      <c r="FJ184" s="154"/>
      <c r="FK184" s="154"/>
      <c r="FL184" s="157"/>
      <c r="FM184" s="154"/>
      <c r="FN184" s="154"/>
      <c r="FO184" s="154"/>
      <c r="FP184" s="154"/>
      <c r="FQ184" s="157"/>
      <c r="FR184" s="154"/>
      <c r="FS184" s="154"/>
      <c r="FT184" s="154"/>
      <c r="FU184" s="154"/>
      <c r="FV184" s="157"/>
      <c r="FW184" s="154"/>
      <c r="FX184" s="154"/>
      <c r="FY184" s="154"/>
      <c r="FZ184" s="154"/>
      <c r="GA184" s="157"/>
      <c r="GB184" s="154"/>
      <c r="GC184" s="154"/>
      <c r="GD184" s="154"/>
      <c r="GE184" s="154"/>
      <c r="GF184" s="157"/>
      <c r="GG184" s="154"/>
      <c r="GH184" s="154"/>
      <c r="GI184" s="154"/>
      <c r="GJ184" s="154"/>
    </row>
    <row r="185" spans="3:192" ht="12.75" customHeight="1">
      <c r="C185" s="157"/>
      <c r="D185" s="154"/>
      <c r="E185" s="154"/>
      <c r="F185" s="154"/>
      <c r="G185" s="154"/>
      <c r="H185" s="157"/>
      <c r="I185" s="154"/>
      <c r="J185" s="154"/>
      <c r="K185" s="154"/>
      <c r="L185" s="154"/>
      <c r="M185" s="157"/>
      <c r="N185" s="154"/>
      <c r="O185" s="154"/>
      <c r="P185" s="154"/>
      <c r="Q185" s="154"/>
      <c r="R185" s="157"/>
      <c r="S185" s="154"/>
      <c r="T185" s="154"/>
      <c r="U185" s="154"/>
      <c r="V185" s="154"/>
      <c r="W185" s="157"/>
      <c r="X185" s="154"/>
      <c r="Y185" s="154"/>
      <c r="Z185" s="154"/>
      <c r="AA185" s="154"/>
      <c r="AB185" s="157"/>
      <c r="AC185" s="154"/>
      <c r="AD185" s="154"/>
      <c r="AE185" s="154"/>
      <c r="AF185" s="154"/>
      <c r="AG185" s="157"/>
      <c r="AH185" s="154"/>
      <c r="AI185" s="154"/>
      <c r="AJ185" s="154"/>
      <c r="AK185" s="154"/>
      <c r="AL185" s="157"/>
      <c r="AM185" s="154"/>
      <c r="AN185" s="154"/>
      <c r="AO185" s="154"/>
      <c r="AP185" s="154"/>
      <c r="AQ185" s="157"/>
      <c r="AR185" s="154"/>
      <c r="AS185" s="154"/>
      <c r="AT185" s="154"/>
      <c r="AU185" s="154"/>
      <c r="AV185" s="157"/>
      <c r="AW185" s="154"/>
      <c r="AX185" s="154"/>
      <c r="AY185" s="154"/>
      <c r="AZ185" s="154"/>
      <c r="BA185" s="157"/>
      <c r="BB185" s="154"/>
      <c r="BC185" s="154"/>
      <c r="BD185" s="154"/>
      <c r="BE185" s="154"/>
      <c r="BF185" s="157"/>
      <c r="BG185" s="154"/>
      <c r="BH185" s="154"/>
      <c r="BI185" s="154"/>
      <c r="BJ185" s="154"/>
      <c r="BK185" s="157"/>
      <c r="BL185" s="154"/>
      <c r="BM185" s="154"/>
      <c r="BN185" s="154"/>
      <c r="BO185" s="154"/>
      <c r="BP185" s="157"/>
      <c r="BQ185" s="154"/>
      <c r="BR185" s="154"/>
      <c r="BS185" s="154"/>
      <c r="BT185" s="154"/>
      <c r="BU185" s="157"/>
      <c r="BV185" s="154"/>
      <c r="BW185" s="154"/>
      <c r="BX185" s="154"/>
      <c r="BY185" s="154"/>
      <c r="BZ185" s="157"/>
      <c r="CA185" s="154"/>
      <c r="CB185" s="154"/>
      <c r="CC185" s="154"/>
      <c r="CD185" s="154"/>
      <c r="CE185" s="157"/>
      <c r="CF185" s="154"/>
      <c r="CG185" s="154"/>
      <c r="CH185" s="154"/>
      <c r="CI185" s="154"/>
      <c r="CJ185" s="157"/>
      <c r="CK185" s="154"/>
      <c r="CL185" s="154"/>
      <c r="CM185" s="154"/>
      <c r="CN185" s="154"/>
      <c r="CO185" s="157"/>
      <c r="CP185" s="154"/>
      <c r="CQ185" s="154"/>
      <c r="CR185" s="154"/>
      <c r="CS185" s="154"/>
      <c r="CT185" s="157"/>
      <c r="CU185" s="154"/>
      <c r="CV185" s="154"/>
      <c r="CW185" s="154"/>
      <c r="CX185" s="154"/>
      <c r="CY185" s="157"/>
      <c r="CZ185" s="154"/>
      <c r="DA185" s="154"/>
      <c r="DB185" s="154"/>
      <c r="DC185" s="154"/>
      <c r="DD185" s="157"/>
      <c r="DE185" s="154"/>
      <c r="DF185" s="154"/>
      <c r="DG185" s="154"/>
      <c r="DH185" s="154"/>
      <c r="DI185" s="157"/>
      <c r="DJ185" s="154"/>
      <c r="DK185" s="154"/>
      <c r="DL185" s="154"/>
      <c r="DM185" s="154"/>
      <c r="DN185" s="157"/>
      <c r="DO185" s="154"/>
      <c r="DP185" s="154"/>
      <c r="DQ185" s="154"/>
      <c r="DR185" s="154"/>
      <c r="DS185" s="157"/>
      <c r="DT185" s="154"/>
      <c r="DU185" s="154"/>
      <c r="DV185" s="154"/>
      <c r="DW185" s="154"/>
      <c r="DX185" s="157"/>
      <c r="DY185" s="154"/>
      <c r="DZ185" s="154"/>
      <c r="EA185" s="154"/>
      <c r="EB185" s="154"/>
      <c r="EC185" s="157"/>
      <c r="ED185" s="154"/>
      <c r="EE185" s="154"/>
      <c r="EF185" s="154"/>
      <c r="EG185" s="154"/>
      <c r="EH185" s="157"/>
      <c r="EI185" s="154"/>
      <c r="EJ185" s="154"/>
      <c r="EK185" s="154"/>
      <c r="EL185" s="154"/>
      <c r="EM185" s="157"/>
      <c r="EN185" s="154"/>
      <c r="EO185" s="154"/>
      <c r="EP185" s="154"/>
      <c r="EQ185" s="154"/>
      <c r="ER185" s="157"/>
      <c r="ES185" s="154"/>
      <c r="ET185" s="154"/>
      <c r="EU185" s="154"/>
      <c r="EV185" s="154"/>
      <c r="EW185" s="157"/>
      <c r="EX185" s="154"/>
      <c r="EY185" s="154"/>
      <c r="EZ185" s="154"/>
      <c r="FA185" s="154"/>
      <c r="FB185" s="157"/>
      <c r="FC185" s="154"/>
      <c r="FD185" s="154"/>
      <c r="FE185" s="154"/>
      <c r="FF185" s="154"/>
      <c r="FG185" s="157"/>
      <c r="FH185" s="154"/>
      <c r="FI185" s="154"/>
      <c r="FJ185" s="154"/>
      <c r="FK185" s="154"/>
      <c r="FL185" s="157"/>
      <c r="FM185" s="154"/>
      <c r="FN185" s="154"/>
      <c r="FO185" s="154"/>
      <c r="FP185" s="154"/>
      <c r="FQ185" s="157"/>
      <c r="FR185" s="154"/>
      <c r="FS185" s="154"/>
      <c r="FT185" s="154"/>
      <c r="FU185" s="154"/>
      <c r="FV185" s="157"/>
      <c r="FW185" s="154"/>
      <c r="FX185" s="154"/>
      <c r="FY185" s="154"/>
      <c r="FZ185" s="154"/>
      <c r="GA185" s="157"/>
      <c r="GB185" s="154"/>
      <c r="GC185" s="154"/>
      <c r="GD185" s="154"/>
      <c r="GE185" s="154"/>
      <c r="GF185" s="157"/>
      <c r="GG185" s="154"/>
      <c r="GH185" s="154"/>
      <c r="GI185" s="154"/>
      <c r="GJ185" s="154"/>
    </row>
    <row r="186" spans="3:192" ht="12.75" customHeight="1">
      <c r="C186" s="155"/>
      <c r="D186" s="156"/>
      <c r="E186" s="156"/>
      <c r="F186" s="156"/>
      <c r="G186" s="156"/>
      <c r="H186" s="155"/>
      <c r="I186" s="156"/>
      <c r="J186" s="156"/>
      <c r="K186" s="156"/>
      <c r="L186" s="156"/>
      <c r="M186" s="155"/>
      <c r="N186" s="156"/>
      <c r="O186" s="156"/>
      <c r="P186" s="156"/>
      <c r="Q186" s="156"/>
      <c r="R186" s="155"/>
      <c r="S186" s="156"/>
      <c r="T186" s="156"/>
      <c r="U186" s="156"/>
      <c r="V186" s="156"/>
      <c r="W186" s="155"/>
      <c r="X186" s="156"/>
      <c r="Y186" s="156"/>
      <c r="Z186" s="156"/>
      <c r="AA186" s="156"/>
      <c r="AB186" s="155"/>
      <c r="AC186" s="156"/>
      <c r="AD186" s="156"/>
      <c r="AE186" s="156"/>
      <c r="AF186" s="156"/>
      <c r="AG186" s="155"/>
      <c r="AH186" s="156"/>
      <c r="AI186" s="156"/>
      <c r="AJ186" s="156"/>
      <c r="AK186" s="156"/>
      <c r="AL186" s="155"/>
      <c r="AM186" s="156"/>
      <c r="AN186" s="156"/>
      <c r="AO186" s="156"/>
      <c r="AP186" s="156"/>
      <c r="AQ186" s="155"/>
      <c r="AR186" s="156"/>
      <c r="AS186" s="156"/>
      <c r="AT186" s="156"/>
      <c r="AU186" s="156"/>
      <c r="AV186" s="155"/>
      <c r="AW186" s="156"/>
      <c r="AX186" s="156"/>
      <c r="AY186" s="156"/>
      <c r="AZ186" s="156"/>
      <c r="BA186" s="155"/>
      <c r="BB186" s="156"/>
      <c r="BC186" s="156"/>
      <c r="BD186" s="156"/>
      <c r="BE186" s="156"/>
      <c r="BF186" s="155"/>
      <c r="BG186" s="156"/>
      <c r="BH186" s="156"/>
      <c r="BI186" s="156"/>
      <c r="BJ186" s="156"/>
      <c r="BK186" s="155"/>
      <c r="BL186" s="156"/>
      <c r="BM186" s="156"/>
      <c r="BN186" s="156"/>
      <c r="BO186" s="156"/>
      <c r="BP186" s="155"/>
      <c r="BQ186" s="156"/>
      <c r="BR186" s="156"/>
      <c r="BS186" s="156"/>
      <c r="BT186" s="156"/>
      <c r="BU186" s="155"/>
      <c r="BV186" s="156"/>
      <c r="BW186" s="156"/>
      <c r="BX186" s="156"/>
      <c r="BY186" s="156"/>
      <c r="BZ186" s="155"/>
      <c r="CA186" s="156"/>
      <c r="CB186" s="156"/>
      <c r="CC186" s="156"/>
      <c r="CD186" s="156"/>
      <c r="CE186" s="155"/>
      <c r="CF186" s="156"/>
      <c r="CG186" s="156"/>
      <c r="CH186" s="156"/>
      <c r="CI186" s="156"/>
      <c r="CJ186" s="155"/>
      <c r="CK186" s="156"/>
      <c r="CL186" s="156"/>
      <c r="CM186" s="156"/>
      <c r="CN186" s="156"/>
      <c r="CO186" s="155"/>
      <c r="CP186" s="156"/>
      <c r="CQ186" s="156"/>
      <c r="CR186" s="156"/>
      <c r="CS186" s="156"/>
      <c r="CT186" s="155"/>
      <c r="CU186" s="156"/>
      <c r="CV186" s="156"/>
      <c r="CW186" s="156"/>
      <c r="CX186" s="156"/>
      <c r="CY186" s="155"/>
      <c r="CZ186" s="156"/>
      <c r="DA186" s="156"/>
      <c r="DB186" s="156"/>
      <c r="DC186" s="156"/>
      <c r="DD186" s="155"/>
      <c r="DE186" s="156"/>
      <c r="DF186" s="156"/>
      <c r="DG186" s="156"/>
      <c r="DH186" s="156"/>
      <c r="DI186" s="155"/>
      <c r="DJ186" s="156"/>
      <c r="DK186" s="156"/>
      <c r="DL186" s="156"/>
      <c r="DM186" s="156"/>
      <c r="DN186" s="155"/>
      <c r="DO186" s="156"/>
      <c r="DP186" s="156"/>
      <c r="DQ186" s="156"/>
      <c r="DR186" s="156"/>
      <c r="DS186" s="155"/>
      <c r="DT186" s="156"/>
      <c r="DU186" s="156"/>
      <c r="DV186" s="156"/>
      <c r="DW186" s="156"/>
      <c r="DX186" s="155"/>
      <c r="DY186" s="156"/>
      <c r="DZ186" s="156"/>
      <c r="EA186" s="156"/>
      <c r="EB186" s="156"/>
      <c r="EC186" s="155"/>
      <c r="ED186" s="156"/>
      <c r="EE186" s="156"/>
      <c r="EF186" s="156"/>
      <c r="EG186" s="156"/>
      <c r="EH186" s="155"/>
      <c r="EI186" s="156"/>
      <c r="EJ186" s="156"/>
      <c r="EK186" s="156"/>
      <c r="EL186" s="156"/>
      <c r="EM186" s="155"/>
      <c r="EN186" s="156"/>
      <c r="EO186" s="156"/>
      <c r="EP186" s="156"/>
      <c r="EQ186" s="156"/>
      <c r="ER186" s="155"/>
      <c r="ES186" s="156"/>
      <c r="ET186" s="156"/>
      <c r="EU186" s="156"/>
      <c r="EV186" s="156"/>
      <c r="EW186" s="155"/>
      <c r="EX186" s="156"/>
      <c r="EY186" s="156"/>
      <c r="EZ186" s="156"/>
      <c r="FA186" s="156"/>
      <c r="FB186" s="155"/>
      <c r="FC186" s="156"/>
      <c r="FD186" s="156"/>
      <c r="FE186" s="156"/>
      <c r="FF186" s="156"/>
      <c r="FG186" s="155"/>
      <c r="FH186" s="156"/>
      <c r="FI186" s="156"/>
      <c r="FJ186" s="156"/>
      <c r="FK186" s="156"/>
      <c r="FL186" s="155"/>
      <c r="FM186" s="156"/>
      <c r="FN186" s="156"/>
      <c r="FO186" s="156"/>
      <c r="FP186" s="156"/>
      <c r="FQ186" s="155"/>
      <c r="FR186" s="156"/>
      <c r="FS186" s="156"/>
      <c r="FT186" s="156"/>
      <c r="FU186" s="156"/>
      <c r="FV186" s="155"/>
      <c r="FW186" s="156"/>
      <c r="FX186" s="156"/>
      <c r="FY186" s="156"/>
      <c r="FZ186" s="156"/>
      <c r="GA186" s="155"/>
      <c r="GB186" s="156"/>
      <c r="GC186" s="156"/>
      <c r="GD186" s="156"/>
      <c r="GE186" s="156"/>
      <c r="GF186" s="155"/>
      <c r="GG186" s="156"/>
      <c r="GH186" s="156"/>
      <c r="GI186" s="156"/>
      <c r="GJ186" s="156"/>
    </row>
    <row r="187" spans="3:192" ht="12.75" customHeight="1">
      <c r="C187" s="158"/>
      <c r="D187" s="154"/>
      <c r="E187" s="154"/>
      <c r="F187" s="154"/>
      <c r="G187" s="154"/>
      <c r="H187" s="158"/>
      <c r="I187" s="154"/>
      <c r="J187" s="154"/>
      <c r="K187" s="154"/>
      <c r="L187" s="154"/>
      <c r="M187" s="158"/>
      <c r="N187" s="154"/>
      <c r="O187" s="154"/>
      <c r="P187" s="154"/>
      <c r="Q187" s="154"/>
      <c r="R187" s="158"/>
      <c r="S187" s="154"/>
      <c r="T187" s="154"/>
      <c r="U187" s="154"/>
      <c r="V187" s="154"/>
      <c r="W187" s="158"/>
      <c r="X187" s="154"/>
      <c r="Y187" s="154"/>
      <c r="Z187" s="154"/>
      <c r="AA187" s="154"/>
      <c r="AB187" s="158"/>
      <c r="AC187" s="154"/>
      <c r="AD187" s="154"/>
      <c r="AE187" s="154"/>
      <c r="AF187" s="154"/>
      <c r="AG187" s="158"/>
      <c r="AH187" s="154"/>
      <c r="AI187" s="154"/>
      <c r="AJ187" s="154"/>
      <c r="AK187" s="154"/>
      <c r="AL187" s="158"/>
      <c r="AM187" s="154"/>
      <c r="AN187" s="154"/>
      <c r="AO187" s="154"/>
      <c r="AP187" s="154"/>
      <c r="AQ187" s="158"/>
      <c r="AR187" s="154"/>
      <c r="AS187" s="154"/>
      <c r="AT187" s="154"/>
      <c r="AU187" s="154"/>
      <c r="AV187" s="158"/>
      <c r="AW187" s="154"/>
      <c r="AX187" s="154"/>
      <c r="AY187" s="154"/>
      <c r="AZ187" s="154"/>
      <c r="BA187" s="158"/>
      <c r="BB187" s="154"/>
      <c r="BC187" s="154"/>
      <c r="BD187" s="154"/>
      <c r="BE187" s="154"/>
      <c r="BF187" s="158"/>
      <c r="BG187" s="154"/>
      <c r="BH187" s="154"/>
      <c r="BI187" s="154"/>
      <c r="BJ187" s="154"/>
      <c r="BK187" s="158"/>
      <c r="BL187" s="154"/>
      <c r="BM187" s="154"/>
      <c r="BN187" s="154"/>
      <c r="BO187" s="154"/>
      <c r="BP187" s="158"/>
      <c r="BQ187" s="154"/>
      <c r="BR187" s="154"/>
      <c r="BS187" s="154"/>
      <c r="BT187" s="154"/>
      <c r="BU187" s="158"/>
      <c r="BV187" s="154"/>
      <c r="BW187" s="154"/>
      <c r="BX187" s="154"/>
      <c r="BY187" s="154"/>
      <c r="BZ187" s="158"/>
      <c r="CA187" s="154"/>
      <c r="CB187" s="154"/>
      <c r="CC187" s="154"/>
      <c r="CD187" s="154"/>
      <c r="CE187" s="158"/>
      <c r="CF187" s="154"/>
      <c r="CG187" s="154"/>
      <c r="CH187" s="154"/>
      <c r="CI187" s="154"/>
      <c r="CJ187" s="158"/>
      <c r="CK187" s="154"/>
      <c r="CL187" s="154"/>
      <c r="CM187" s="154"/>
      <c r="CN187" s="154"/>
      <c r="CO187" s="158"/>
      <c r="CP187" s="154"/>
      <c r="CQ187" s="154"/>
      <c r="CR187" s="154"/>
      <c r="CS187" s="154"/>
      <c r="CT187" s="158"/>
      <c r="CU187" s="154"/>
      <c r="CV187" s="154"/>
      <c r="CW187" s="154"/>
      <c r="CX187" s="154"/>
      <c r="CY187" s="158"/>
      <c r="CZ187" s="154"/>
      <c r="DA187" s="154"/>
      <c r="DB187" s="154"/>
      <c r="DC187" s="154"/>
      <c r="DD187" s="158"/>
      <c r="DE187" s="154"/>
      <c r="DF187" s="154"/>
      <c r="DG187" s="154"/>
      <c r="DH187" s="154"/>
      <c r="DI187" s="158"/>
      <c r="DJ187" s="154"/>
      <c r="DK187" s="154"/>
      <c r="DL187" s="154"/>
      <c r="DM187" s="154"/>
      <c r="DN187" s="158"/>
      <c r="DO187" s="154"/>
      <c r="DP187" s="154"/>
      <c r="DQ187" s="154"/>
      <c r="DR187" s="154"/>
      <c r="DS187" s="158"/>
      <c r="DT187" s="154"/>
      <c r="DU187" s="154"/>
      <c r="DV187" s="154"/>
      <c r="DW187" s="154"/>
      <c r="DX187" s="158"/>
      <c r="DY187" s="154"/>
      <c r="DZ187" s="154"/>
      <c r="EA187" s="154"/>
      <c r="EB187" s="154"/>
      <c r="EC187" s="158"/>
      <c r="ED187" s="154"/>
      <c r="EE187" s="154"/>
      <c r="EF187" s="154"/>
      <c r="EG187" s="154"/>
      <c r="EH187" s="158"/>
      <c r="EI187" s="154"/>
      <c r="EJ187" s="154"/>
      <c r="EK187" s="154"/>
      <c r="EL187" s="154"/>
      <c r="EM187" s="158"/>
      <c r="EN187" s="154"/>
      <c r="EO187" s="154"/>
      <c r="EP187" s="154"/>
      <c r="EQ187" s="154"/>
      <c r="ER187" s="158"/>
      <c r="ES187" s="154"/>
      <c r="ET187" s="154"/>
      <c r="EU187" s="154"/>
      <c r="EV187" s="154"/>
      <c r="EW187" s="158"/>
      <c r="EX187" s="154"/>
      <c r="EY187" s="154"/>
      <c r="EZ187" s="154"/>
      <c r="FA187" s="154"/>
      <c r="FB187" s="158"/>
      <c r="FC187" s="154"/>
      <c r="FD187" s="154"/>
      <c r="FE187" s="154"/>
      <c r="FF187" s="154"/>
      <c r="FG187" s="158"/>
      <c r="FH187" s="154"/>
      <c r="FI187" s="154"/>
      <c r="FJ187" s="154"/>
      <c r="FK187" s="154"/>
      <c r="FL187" s="158"/>
      <c r="FM187" s="154"/>
      <c r="FN187" s="154"/>
      <c r="FO187" s="154"/>
      <c r="FP187" s="154"/>
      <c r="FQ187" s="158"/>
      <c r="FR187" s="154"/>
      <c r="FS187" s="154"/>
      <c r="FT187" s="154"/>
      <c r="FU187" s="154"/>
      <c r="FV187" s="158"/>
      <c r="FW187" s="154"/>
      <c r="FX187" s="154"/>
      <c r="FY187" s="154"/>
      <c r="FZ187" s="154"/>
      <c r="GA187" s="158"/>
      <c r="GB187" s="154"/>
      <c r="GC187" s="154"/>
      <c r="GD187" s="154"/>
      <c r="GE187" s="154"/>
      <c r="GF187" s="158"/>
      <c r="GG187" s="154"/>
      <c r="GH187" s="154"/>
      <c r="GI187" s="154"/>
      <c r="GJ187" s="154"/>
    </row>
    <row r="188" spans="3:192" ht="12.75" customHeight="1">
      <c r="C188" s="158"/>
      <c r="D188" s="154"/>
      <c r="E188" s="154"/>
      <c r="F188" s="154"/>
      <c r="G188" s="154"/>
      <c r="H188" s="158"/>
      <c r="I188" s="154"/>
      <c r="J188" s="154"/>
      <c r="K188" s="154"/>
      <c r="L188" s="154"/>
      <c r="M188" s="158"/>
      <c r="N188" s="154"/>
      <c r="O188" s="154"/>
      <c r="P188" s="154"/>
      <c r="Q188" s="154"/>
      <c r="R188" s="158"/>
      <c r="S188" s="154"/>
      <c r="T188" s="154"/>
      <c r="U188" s="154"/>
      <c r="V188" s="154"/>
      <c r="W188" s="158"/>
      <c r="X188" s="154"/>
      <c r="Y188" s="154"/>
      <c r="Z188" s="154"/>
      <c r="AA188" s="154"/>
      <c r="AB188" s="158"/>
      <c r="AC188" s="154"/>
      <c r="AD188" s="154"/>
      <c r="AE188" s="154"/>
      <c r="AF188" s="154"/>
      <c r="AG188" s="158"/>
      <c r="AH188" s="154"/>
      <c r="AI188" s="154"/>
      <c r="AJ188" s="154"/>
      <c r="AK188" s="154"/>
      <c r="AL188" s="158"/>
      <c r="AM188" s="154"/>
      <c r="AN188" s="154"/>
      <c r="AO188" s="154"/>
      <c r="AP188" s="154"/>
      <c r="AQ188" s="158"/>
      <c r="AR188" s="154"/>
      <c r="AS188" s="154"/>
      <c r="AT188" s="154"/>
      <c r="AU188" s="154"/>
      <c r="AV188" s="158"/>
      <c r="AW188" s="154"/>
      <c r="AX188" s="154"/>
      <c r="AY188" s="154"/>
      <c r="AZ188" s="154"/>
      <c r="BA188" s="158"/>
      <c r="BB188" s="154"/>
      <c r="BC188" s="154"/>
      <c r="BD188" s="154"/>
      <c r="BE188" s="154"/>
      <c r="BF188" s="158"/>
      <c r="BG188" s="154"/>
      <c r="BH188" s="154"/>
      <c r="BI188" s="154"/>
      <c r="BJ188" s="154"/>
      <c r="BK188" s="158"/>
      <c r="BL188" s="154"/>
      <c r="BM188" s="154"/>
      <c r="BN188" s="154"/>
      <c r="BO188" s="154"/>
      <c r="BP188" s="158"/>
      <c r="BQ188" s="154"/>
      <c r="BR188" s="154"/>
      <c r="BS188" s="154"/>
      <c r="BT188" s="154"/>
      <c r="BU188" s="158"/>
      <c r="BV188" s="154"/>
      <c r="BW188" s="154"/>
      <c r="BX188" s="154"/>
      <c r="BY188" s="154"/>
      <c r="BZ188" s="158"/>
      <c r="CA188" s="154"/>
      <c r="CB188" s="154"/>
      <c r="CC188" s="154"/>
      <c r="CD188" s="154"/>
      <c r="CE188" s="158"/>
      <c r="CF188" s="154"/>
      <c r="CG188" s="154"/>
      <c r="CH188" s="154"/>
      <c r="CI188" s="154"/>
      <c r="CJ188" s="158"/>
      <c r="CK188" s="154"/>
      <c r="CL188" s="154"/>
      <c r="CM188" s="154"/>
      <c r="CN188" s="154"/>
      <c r="CO188" s="158"/>
      <c r="CP188" s="154"/>
      <c r="CQ188" s="154"/>
      <c r="CR188" s="154"/>
      <c r="CS188" s="154"/>
      <c r="CT188" s="158"/>
      <c r="CU188" s="154"/>
      <c r="CV188" s="154"/>
      <c r="CW188" s="154"/>
      <c r="CX188" s="154"/>
      <c r="CY188" s="158"/>
      <c r="CZ188" s="154"/>
      <c r="DA188" s="154"/>
      <c r="DB188" s="154"/>
      <c r="DC188" s="154"/>
      <c r="DD188" s="158"/>
      <c r="DE188" s="154"/>
      <c r="DF188" s="154"/>
      <c r="DG188" s="154"/>
      <c r="DH188" s="154"/>
      <c r="DI188" s="158"/>
      <c r="DJ188" s="154"/>
      <c r="DK188" s="154"/>
      <c r="DL188" s="154"/>
      <c r="DM188" s="154"/>
      <c r="DN188" s="158"/>
      <c r="DO188" s="154"/>
      <c r="DP188" s="154"/>
      <c r="DQ188" s="154"/>
      <c r="DR188" s="154"/>
      <c r="DS188" s="158"/>
      <c r="DT188" s="154"/>
      <c r="DU188" s="154"/>
      <c r="DV188" s="154"/>
      <c r="DW188" s="154"/>
      <c r="DX188" s="158"/>
      <c r="DY188" s="154"/>
      <c r="DZ188" s="154"/>
      <c r="EA188" s="154"/>
      <c r="EB188" s="154"/>
      <c r="EC188" s="158"/>
      <c r="ED188" s="154"/>
      <c r="EE188" s="154"/>
      <c r="EF188" s="154"/>
      <c r="EG188" s="154"/>
      <c r="EH188" s="158"/>
      <c r="EI188" s="154"/>
      <c r="EJ188" s="154"/>
      <c r="EK188" s="154"/>
      <c r="EL188" s="154"/>
      <c r="EM188" s="158"/>
      <c r="EN188" s="154"/>
      <c r="EO188" s="154"/>
      <c r="EP188" s="154"/>
      <c r="EQ188" s="154"/>
      <c r="ER188" s="158"/>
      <c r="ES188" s="154"/>
      <c r="ET188" s="154"/>
      <c r="EU188" s="154"/>
      <c r="EV188" s="154"/>
      <c r="EW188" s="158"/>
      <c r="EX188" s="154"/>
      <c r="EY188" s="154"/>
      <c r="EZ188" s="154"/>
      <c r="FA188" s="154"/>
      <c r="FB188" s="158"/>
      <c r="FC188" s="154"/>
      <c r="FD188" s="154"/>
      <c r="FE188" s="154"/>
      <c r="FF188" s="154"/>
      <c r="FG188" s="158"/>
      <c r="FH188" s="154"/>
      <c r="FI188" s="154"/>
      <c r="FJ188" s="154"/>
      <c r="FK188" s="154"/>
      <c r="FL188" s="158"/>
      <c r="FM188" s="154"/>
      <c r="FN188" s="154"/>
      <c r="FO188" s="154"/>
      <c r="FP188" s="154"/>
      <c r="FQ188" s="158"/>
      <c r="FR188" s="154"/>
      <c r="FS188" s="154"/>
      <c r="FT188" s="154"/>
      <c r="FU188" s="154"/>
      <c r="FV188" s="158"/>
      <c r="FW188" s="154"/>
      <c r="FX188" s="154"/>
      <c r="FY188" s="154"/>
      <c r="FZ188" s="154"/>
      <c r="GA188" s="158"/>
      <c r="GB188" s="154"/>
      <c r="GC188" s="154"/>
      <c r="GD188" s="154"/>
      <c r="GE188" s="154"/>
      <c r="GF188" s="158"/>
      <c r="GG188" s="154"/>
      <c r="GH188" s="154"/>
      <c r="GI188" s="154"/>
      <c r="GJ188" s="154"/>
    </row>
    <row r="189" spans="3:192" ht="12.75" customHeight="1">
      <c r="C189" s="158"/>
      <c r="D189" s="154"/>
      <c r="E189" s="154"/>
      <c r="F189" s="154"/>
      <c r="G189" s="154"/>
      <c r="H189" s="158"/>
      <c r="I189" s="154"/>
      <c r="J189" s="154"/>
      <c r="K189" s="154"/>
      <c r="L189" s="154"/>
      <c r="M189" s="158"/>
      <c r="N189" s="154"/>
      <c r="O189" s="154"/>
      <c r="P189" s="154"/>
      <c r="Q189" s="154"/>
      <c r="R189" s="158"/>
      <c r="S189" s="154"/>
      <c r="T189" s="154"/>
      <c r="U189" s="154"/>
      <c r="V189" s="154"/>
      <c r="W189" s="158"/>
      <c r="X189" s="154"/>
      <c r="Y189" s="154"/>
      <c r="Z189" s="154"/>
      <c r="AA189" s="154"/>
      <c r="AB189" s="158"/>
      <c r="AC189" s="154"/>
      <c r="AD189" s="154"/>
      <c r="AE189" s="154"/>
      <c r="AF189" s="154"/>
      <c r="AG189" s="158"/>
      <c r="AH189" s="154"/>
      <c r="AI189" s="154"/>
      <c r="AJ189" s="154"/>
      <c r="AK189" s="154"/>
      <c r="AL189" s="158"/>
      <c r="AM189" s="154"/>
      <c r="AN189" s="154"/>
      <c r="AO189" s="154"/>
      <c r="AP189" s="154"/>
      <c r="AQ189" s="158"/>
      <c r="AR189" s="154"/>
      <c r="AS189" s="154"/>
      <c r="AT189" s="154"/>
      <c r="AU189" s="154"/>
      <c r="AV189" s="158"/>
      <c r="AW189" s="154"/>
      <c r="AX189" s="154"/>
      <c r="AY189" s="154"/>
      <c r="AZ189" s="154"/>
      <c r="BA189" s="158"/>
      <c r="BB189" s="154"/>
      <c r="BC189" s="154"/>
      <c r="BD189" s="154"/>
      <c r="BE189" s="154"/>
      <c r="BF189" s="158"/>
      <c r="BG189" s="154"/>
      <c r="BH189" s="154"/>
      <c r="BI189" s="154"/>
      <c r="BJ189" s="154"/>
      <c r="BK189" s="158"/>
      <c r="BL189" s="154"/>
      <c r="BM189" s="154"/>
      <c r="BN189" s="154"/>
      <c r="BO189" s="154"/>
      <c r="BP189" s="158"/>
      <c r="BQ189" s="154"/>
      <c r="BR189" s="154"/>
      <c r="BS189" s="154"/>
      <c r="BT189" s="154"/>
      <c r="BU189" s="158"/>
      <c r="BV189" s="154"/>
      <c r="BW189" s="154"/>
      <c r="BX189" s="154"/>
      <c r="BY189" s="154"/>
      <c r="BZ189" s="158"/>
      <c r="CA189" s="154"/>
      <c r="CB189" s="154"/>
      <c r="CC189" s="154"/>
      <c r="CD189" s="154"/>
      <c r="CE189" s="158"/>
      <c r="CF189" s="154"/>
      <c r="CG189" s="154"/>
      <c r="CH189" s="154"/>
      <c r="CI189" s="154"/>
      <c r="CJ189" s="158"/>
      <c r="CK189" s="154"/>
      <c r="CL189" s="154"/>
      <c r="CM189" s="154"/>
      <c r="CN189" s="154"/>
      <c r="CO189" s="158"/>
      <c r="CP189" s="154"/>
      <c r="CQ189" s="154"/>
      <c r="CR189" s="154"/>
      <c r="CS189" s="154"/>
      <c r="CT189" s="158"/>
      <c r="CU189" s="154"/>
      <c r="CV189" s="154"/>
      <c r="CW189" s="154"/>
      <c r="CX189" s="154"/>
      <c r="CY189" s="158"/>
      <c r="CZ189" s="154"/>
      <c r="DA189" s="154"/>
      <c r="DB189" s="154"/>
      <c r="DC189" s="154"/>
      <c r="DD189" s="158"/>
      <c r="DE189" s="154"/>
      <c r="DF189" s="154"/>
      <c r="DG189" s="154"/>
      <c r="DH189" s="154"/>
      <c r="DI189" s="158"/>
      <c r="DJ189" s="154"/>
      <c r="DK189" s="154"/>
      <c r="DL189" s="154"/>
      <c r="DM189" s="154"/>
      <c r="DN189" s="158"/>
      <c r="DO189" s="154"/>
      <c r="DP189" s="154"/>
      <c r="DQ189" s="154"/>
      <c r="DR189" s="154"/>
      <c r="DS189" s="158"/>
      <c r="DT189" s="154"/>
      <c r="DU189" s="154"/>
      <c r="DV189" s="154"/>
      <c r="DW189" s="154"/>
      <c r="DX189" s="158"/>
      <c r="DY189" s="154"/>
      <c r="DZ189" s="154"/>
      <c r="EA189" s="154"/>
      <c r="EB189" s="154"/>
      <c r="EC189" s="158"/>
      <c r="ED189" s="154"/>
      <c r="EE189" s="154"/>
      <c r="EF189" s="154"/>
      <c r="EG189" s="154"/>
      <c r="EH189" s="158"/>
      <c r="EI189" s="154"/>
      <c r="EJ189" s="154"/>
      <c r="EK189" s="154"/>
      <c r="EL189" s="154"/>
      <c r="EM189" s="158"/>
      <c r="EN189" s="154"/>
      <c r="EO189" s="154"/>
      <c r="EP189" s="154"/>
      <c r="EQ189" s="154"/>
      <c r="ER189" s="158"/>
      <c r="ES189" s="154"/>
      <c r="ET189" s="154"/>
      <c r="EU189" s="154"/>
      <c r="EV189" s="154"/>
      <c r="EW189" s="158"/>
      <c r="EX189" s="154"/>
      <c r="EY189" s="154"/>
      <c r="EZ189" s="154"/>
      <c r="FA189" s="154"/>
      <c r="FB189" s="158"/>
      <c r="FC189" s="154"/>
      <c r="FD189" s="154"/>
      <c r="FE189" s="154"/>
      <c r="FF189" s="154"/>
      <c r="FG189" s="158"/>
      <c r="FH189" s="154"/>
      <c r="FI189" s="154"/>
      <c r="FJ189" s="154"/>
      <c r="FK189" s="154"/>
      <c r="FL189" s="158"/>
      <c r="FM189" s="154"/>
      <c r="FN189" s="154"/>
      <c r="FO189" s="154"/>
      <c r="FP189" s="154"/>
      <c r="FQ189" s="158"/>
      <c r="FR189" s="154"/>
      <c r="FS189" s="154"/>
      <c r="FT189" s="154"/>
      <c r="FU189" s="154"/>
      <c r="FV189" s="158"/>
      <c r="FW189" s="154"/>
      <c r="FX189" s="154"/>
      <c r="FY189" s="154"/>
      <c r="FZ189" s="154"/>
      <c r="GA189" s="158"/>
      <c r="GB189" s="154"/>
      <c r="GC189" s="154"/>
      <c r="GD189" s="154"/>
      <c r="GE189" s="154"/>
      <c r="GF189" s="158"/>
      <c r="GG189" s="154"/>
      <c r="GH189" s="154"/>
      <c r="GI189" s="154"/>
      <c r="GJ189" s="154"/>
    </row>
    <row r="190" spans="3:192" ht="12.75" customHeight="1">
      <c r="C190" s="155"/>
      <c r="D190" s="156"/>
      <c r="E190" s="156"/>
      <c r="F190" s="156"/>
      <c r="G190" s="156"/>
      <c r="H190" s="155"/>
      <c r="I190" s="156"/>
      <c r="J190" s="156"/>
      <c r="K190" s="156"/>
      <c r="L190" s="156"/>
      <c r="M190" s="155"/>
      <c r="N190" s="156"/>
      <c r="O190" s="156"/>
      <c r="P190" s="156"/>
      <c r="Q190" s="156"/>
      <c r="R190" s="155"/>
      <c r="S190" s="156"/>
      <c r="T190" s="156"/>
      <c r="U190" s="156"/>
      <c r="V190" s="156"/>
      <c r="W190" s="155"/>
      <c r="X190" s="156"/>
      <c r="Y190" s="156"/>
      <c r="Z190" s="156"/>
      <c r="AA190" s="156"/>
      <c r="AB190" s="155"/>
      <c r="AC190" s="156"/>
      <c r="AD190" s="156"/>
      <c r="AE190" s="156"/>
      <c r="AF190" s="156"/>
      <c r="AG190" s="155"/>
      <c r="AH190" s="156"/>
      <c r="AI190" s="156"/>
      <c r="AJ190" s="156"/>
      <c r="AK190" s="156"/>
      <c r="AL190" s="155"/>
      <c r="AM190" s="156"/>
      <c r="AN190" s="156"/>
      <c r="AO190" s="156"/>
      <c r="AP190" s="156"/>
      <c r="AQ190" s="155"/>
      <c r="AR190" s="156"/>
      <c r="AS190" s="156"/>
      <c r="AT190" s="156"/>
      <c r="AU190" s="156"/>
      <c r="AV190" s="155"/>
      <c r="AW190" s="156"/>
      <c r="AX190" s="156"/>
      <c r="AY190" s="156"/>
      <c r="AZ190" s="156"/>
      <c r="BA190" s="155"/>
      <c r="BB190" s="156"/>
      <c r="BC190" s="156"/>
      <c r="BD190" s="156"/>
      <c r="BE190" s="156"/>
      <c r="BF190" s="155"/>
      <c r="BG190" s="156"/>
      <c r="BH190" s="156"/>
      <c r="BI190" s="156"/>
      <c r="BJ190" s="156"/>
      <c r="BK190" s="155"/>
      <c r="BL190" s="156"/>
      <c r="BM190" s="156"/>
      <c r="BN190" s="156"/>
      <c r="BO190" s="156"/>
      <c r="BP190" s="155"/>
      <c r="BQ190" s="156"/>
      <c r="BR190" s="156"/>
      <c r="BS190" s="156"/>
      <c r="BT190" s="156"/>
      <c r="BU190" s="155"/>
      <c r="BV190" s="156"/>
      <c r="BW190" s="156"/>
      <c r="BX190" s="156"/>
      <c r="BY190" s="156"/>
      <c r="BZ190" s="155"/>
      <c r="CA190" s="156"/>
      <c r="CB190" s="156"/>
      <c r="CC190" s="156"/>
      <c r="CD190" s="156"/>
      <c r="CE190" s="155"/>
      <c r="CF190" s="156"/>
      <c r="CG190" s="156"/>
      <c r="CH190" s="156"/>
      <c r="CI190" s="156"/>
      <c r="CJ190" s="155"/>
      <c r="CK190" s="156"/>
      <c r="CL190" s="156"/>
      <c r="CM190" s="156"/>
      <c r="CN190" s="156"/>
      <c r="CO190" s="155"/>
      <c r="CP190" s="156"/>
      <c r="CQ190" s="156"/>
      <c r="CR190" s="156"/>
      <c r="CS190" s="156"/>
      <c r="CT190" s="155"/>
      <c r="CU190" s="156"/>
      <c r="CV190" s="156"/>
      <c r="CW190" s="156"/>
      <c r="CX190" s="156"/>
      <c r="CY190" s="155"/>
      <c r="CZ190" s="156"/>
      <c r="DA190" s="156"/>
      <c r="DB190" s="156"/>
      <c r="DC190" s="156"/>
      <c r="DD190" s="155"/>
      <c r="DE190" s="156"/>
      <c r="DF190" s="156"/>
      <c r="DG190" s="156"/>
      <c r="DH190" s="156"/>
      <c r="DI190" s="155"/>
      <c r="DJ190" s="156"/>
      <c r="DK190" s="156"/>
      <c r="DL190" s="156"/>
      <c r="DM190" s="156"/>
      <c r="DN190" s="155"/>
      <c r="DO190" s="156"/>
      <c r="DP190" s="156"/>
      <c r="DQ190" s="156"/>
      <c r="DR190" s="156"/>
      <c r="DS190" s="155"/>
      <c r="DT190" s="156"/>
      <c r="DU190" s="156"/>
      <c r="DV190" s="156"/>
      <c r="DW190" s="156"/>
      <c r="DX190" s="155"/>
      <c r="DY190" s="156"/>
      <c r="DZ190" s="156"/>
      <c r="EA190" s="156"/>
      <c r="EB190" s="156"/>
      <c r="EC190" s="155"/>
      <c r="ED190" s="156"/>
      <c r="EE190" s="156"/>
      <c r="EF190" s="156"/>
      <c r="EG190" s="156"/>
      <c r="EH190" s="155"/>
      <c r="EI190" s="156"/>
      <c r="EJ190" s="156"/>
      <c r="EK190" s="156"/>
      <c r="EL190" s="156"/>
      <c r="EM190" s="155"/>
      <c r="EN190" s="156"/>
      <c r="EO190" s="156"/>
      <c r="EP190" s="156"/>
      <c r="EQ190" s="156"/>
      <c r="ER190" s="155"/>
      <c r="ES190" s="156"/>
      <c r="ET190" s="156"/>
      <c r="EU190" s="156"/>
      <c r="EV190" s="156"/>
      <c r="EW190" s="155"/>
      <c r="EX190" s="156"/>
      <c r="EY190" s="156"/>
      <c r="EZ190" s="156"/>
      <c r="FA190" s="156"/>
      <c r="FB190" s="155"/>
      <c r="FC190" s="156"/>
      <c r="FD190" s="156"/>
      <c r="FE190" s="156"/>
      <c r="FF190" s="156"/>
      <c r="FG190" s="155"/>
      <c r="FH190" s="156"/>
      <c r="FI190" s="156"/>
      <c r="FJ190" s="156"/>
      <c r="FK190" s="156"/>
      <c r="FL190" s="155"/>
      <c r="FM190" s="156"/>
      <c r="FN190" s="156"/>
      <c r="FO190" s="156"/>
      <c r="FP190" s="156"/>
      <c r="FQ190" s="155"/>
      <c r="FR190" s="156"/>
      <c r="FS190" s="156"/>
      <c r="FT190" s="156"/>
      <c r="FU190" s="156"/>
      <c r="FV190" s="155"/>
      <c r="FW190" s="156"/>
      <c r="FX190" s="156"/>
      <c r="FY190" s="156"/>
      <c r="FZ190" s="156"/>
      <c r="GA190" s="155"/>
      <c r="GB190" s="156"/>
      <c r="GC190" s="156"/>
      <c r="GD190" s="156"/>
      <c r="GE190" s="156"/>
      <c r="GF190" s="155"/>
      <c r="GG190" s="156"/>
      <c r="GH190" s="156"/>
      <c r="GI190" s="156"/>
      <c r="GJ190" s="156"/>
    </row>
    <row r="191" spans="3:192" ht="12.75" customHeight="1">
      <c r="C191" s="158"/>
      <c r="D191" s="154"/>
      <c r="E191" s="154"/>
      <c r="F191" s="154"/>
      <c r="G191" s="154"/>
      <c r="H191" s="158"/>
      <c r="I191" s="154"/>
      <c r="J191" s="154"/>
      <c r="K191" s="154"/>
      <c r="L191" s="154"/>
      <c r="M191" s="158"/>
      <c r="N191" s="154"/>
      <c r="O191" s="154"/>
      <c r="P191" s="154"/>
      <c r="Q191" s="154"/>
      <c r="R191" s="158"/>
      <c r="S191" s="154"/>
      <c r="T191" s="154"/>
      <c r="U191" s="154"/>
      <c r="V191" s="154"/>
      <c r="W191" s="158"/>
      <c r="X191" s="154"/>
      <c r="Y191" s="154"/>
      <c r="Z191" s="154"/>
      <c r="AA191" s="154"/>
      <c r="AB191" s="158"/>
      <c r="AC191" s="154"/>
      <c r="AD191" s="154"/>
      <c r="AE191" s="154"/>
      <c r="AF191" s="154"/>
      <c r="AG191" s="158"/>
      <c r="AH191" s="154"/>
      <c r="AI191" s="154"/>
      <c r="AJ191" s="154"/>
      <c r="AK191" s="154"/>
      <c r="AL191" s="158"/>
      <c r="AM191" s="154"/>
      <c r="AN191" s="154"/>
      <c r="AO191" s="154"/>
      <c r="AP191" s="154"/>
      <c r="AQ191" s="158"/>
      <c r="AR191" s="154"/>
      <c r="AS191" s="154"/>
      <c r="AT191" s="154"/>
      <c r="AU191" s="154"/>
      <c r="AV191" s="158"/>
      <c r="AW191" s="154"/>
      <c r="AX191" s="154"/>
      <c r="AY191" s="154"/>
      <c r="AZ191" s="154"/>
      <c r="BA191" s="158"/>
      <c r="BB191" s="154"/>
      <c r="BC191" s="154"/>
      <c r="BD191" s="154"/>
      <c r="BE191" s="154"/>
      <c r="BF191" s="158"/>
      <c r="BG191" s="154"/>
      <c r="BH191" s="154"/>
      <c r="BI191" s="154"/>
      <c r="BJ191" s="154"/>
      <c r="BK191" s="158"/>
      <c r="BL191" s="154"/>
      <c r="BM191" s="154"/>
      <c r="BN191" s="154"/>
      <c r="BO191" s="154"/>
      <c r="BP191" s="158"/>
      <c r="BQ191" s="154"/>
      <c r="BR191" s="154"/>
      <c r="BS191" s="154"/>
      <c r="BT191" s="154"/>
      <c r="BU191" s="158"/>
      <c r="BV191" s="154"/>
      <c r="BW191" s="154"/>
      <c r="BX191" s="154"/>
      <c r="BY191" s="154"/>
      <c r="BZ191" s="158"/>
      <c r="CA191" s="154"/>
      <c r="CB191" s="154"/>
      <c r="CC191" s="154"/>
      <c r="CD191" s="154"/>
      <c r="CE191" s="158"/>
      <c r="CF191" s="154"/>
      <c r="CG191" s="154"/>
      <c r="CH191" s="154"/>
      <c r="CI191" s="154"/>
      <c r="CJ191" s="158"/>
      <c r="CK191" s="154"/>
      <c r="CL191" s="154"/>
      <c r="CM191" s="154"/>
      <c r="CN191" s="154"/>
      <c r="CO191" s="158"/>
      <c r="CP191" s="154"/>
      <c r="CQ191" s="154"/>
      <c r="CR191" s="154"/>
      <c r="CS191" s="154"/>
      <c r="CT191" s="158"/>
      <c r="CU191" s="154"/>
      <c r="CV191" s="154"/>
      <c r="CW191" s="154"/>
      <c r="CX191" s="154"/>
      <c r="CY191" s="158"/>
      <c r="CZ191" s="154"/>
      <c r="DA191" s="154"/>
      <c r="DB191" s="154"/>
      <c r="DC191" s="154"/>
      <c r="DD191" s="158"/>
      <c r="DE191" s="154"/>
      <c r="DF191" s="154"/>
      <c r="DG191" s="154"/>
      <c r="DH191" s="154"/>
      <c r="DI191" s="158"/>
      <c r="DJ191" s="154"/>
      <c r="DK191" s="154"/>
      <c r="DL191" s="154"/>
      <c r="DM191" s="154"/>
      <c r="DN191" s="158"/>
      <c r="DO191" s="154"/>
      <c r="DP191" s="154"/>
      <c r="DQ191" s="154"/>
      <c r="DR191" s="154"/>
      <c r="DS191" s="158"/>
      <c r="DT191" s="154"/>
      <c r="DU191" s="154"/>
      <c r="DV191" s="154"/>
      <c r="DW191" s="154"/>
      <c r="DX191" s="158"/>
      <c r="DY191" s="154"/>
      <c r="DZ191" s="154"/>
      <c r="EA191" s="154"/>
      <c r="EB191" s="154"/>
      <c r="EC191" s="158"/>
      <c r="ED191" s="154"/>
      <c r="EE191" s="154"/>
      <c r="EF191" s="154"/>
      <c r="EG191" s="154"/>
      <c r="EH191" s="158"/>
      <c r="EI191" s="154"/>
      <c r="EJ191" s="154"/>
      <c r="EK191" s="154"/>
      <c r="EL191" s="154"/>
      <c r="EM191" s="158"/>
      <c r="EN191" s="154"/>
      <c r="EO191" s="154"/>
      <c r="EP191" s="154"/>
      <c r="EQ191" s="154"/>
      <c r="ER191" s="158"/>
      <c r="ES191" s="154"/>
      <c r="ET191" s="154"/>
      <c r="EU191" s="154"/>
      <c r="EV191" s="154"/>
      <c r="EW191" s="158"/>
      <c r="EX191" s="154"/>
      <c r="EY191" s="154"/>
      <c r="EZ191" s="154"/>
      <c r="FA191" s="154"/>
      <c r="FB191" s="158"/>
      <c r="FC191" s="154"/>
      <c r="FD191" s="154"/>
      <c r="FE191" s="154"/>
      <c r="FF191" s="154"/>
      <c r="FG191" s="158"/>
      <c r="FH191" s="154"/>
      <c r="FI191" s="154"/>
      <c r="FJ191" s="154"/>
      <c r="FK191" s="154"/>
      <c r="FL191" s="158"/>
      <c r="FM191" s="154"/>
      <c r="FN191" s="154"/>
      <c r="FO191" s="154"/>
      <c r="FP191" s="154"/>
      <c r="FQ191" s="158"/>
      <c r="FR191" s="154"/>
      <c r="FS191" s="154"/>
      <c r="FT191" s="154"/>
      <c r="FU191" s="154"/>
      <c r="FV191" s="158"/>
      <c r="FW191" s="154"/>
      <c r="FX191" s="154"/>
      <c r="FY191" s="154"/>
      <c r="FZ191" s="154"/>
      <c r="GA191" s="158"/>
      <c r="GB191" s="154"/>
      <c r="GC191" s="154"/>
      <c r="GD191" s="154"/>
      <c r="GE191" s="154"/>
      <c r="GF191" s="158"/>
      <c r="GG191" s="154"/>
      <c r="GH191" s="154"/>
      <c r="GI191" s="154"/>
      <c r="GJ191" s="154"/>
    </row>
    <row r="192" spans="3:192" ht="12.75" customHeight="1">
      <c r="C192" s="158"/>
      <c r="D192" s="154"/>
      <c r="E192" s="154"/>
      <c r="F192" s="154"/>
      <c r="G192" s="154"/>
      <c r="H192" s="158"/>
      <c r="I192" s="154"/>
      <c r="J192" s="154"/>
      <c r="K192" s="154"/>
      <c r="L192" s="154"/>
      <c r="M192" s="158"/>
      <c r="N192" s="154"/>
      <c r="O192" s="154"/>
      <c r="P192" s="154"/>
      <c r="Q192" s="154"/>
      <c r="R192" s="158"/>
      <c r="S192" s="154"/>
      <c r="T192" s="154"/>
      <c r="U192" s="154"/>
      <c r="V192" s="154"/>
      <c r="W192" s="158"/>
      <c r="X192" s="154"/>
      <c r="Y192" s="154"/>
      <c r="Z192" s="154"/>
      <c r="AA192" s="154"/>
      <c r="AB192" s="158"/>
      <c r="AC192" s="154"/>
      <c r="AD192" s="154"/>
      <c r="AE192" s="154"/>
      <c r="AF192" s="154"/>
      <c r="AG192" s="158"/>
      <c r="AH192" s="154"/>
      <c r="AI192" s="154"/>
      <c r="AJ192" s="154"/>
      <c r="AK192" s="154"/>
      <c r="AL192" s="158"/>
      <c r="AM192" s="154"/>
      <c r="AN192" s="154"/>
      <c r="AO192" s="154"/>
      <c r="AP192" s="154"/>
      <c r="AQ192" s="158"/>
      <c r="AR192" s="154"/>
      <c r="AS192" s="154"/>
      <c r="AT192" s="154"/>
      <c r="AU192" s="154"/>
      <c r="AV192" s="158"/>
      <c r="AW192" s="154"/>
      <c r="AX192" s="154"/>
      <c r="AY192" s="154"/>
      <c r="AZ192" s="154"/>
      <c r="BA192" s="158"/>
      <c r="BB192" s="154"/>
      <c r="BC192" s="154"/>
      <c r="BD192" s="154"/>
      <c r="BE192" s="154"/>
      <c r="BF192" s="158"/>
      <c r="BG192" s="154"/>
      <c r="BH192" s="154"/>
      <c r="BI192" s="154"/>
      <c r="BJ192" s="154"/>
      <c r="BK192" s="158"/>
      <c r="BL192" s="154"/>
      <c r="BM192" s="154"/>
      <c r="BN192" s="154"/>
      <c r="BO192" s="154"/>
      <c r="BP192" s="158"/>
      <c r="BQ192" s="154"/>
      <c r="BR192" s="154"/>
      <c r="BS192" s="154"/>
      <c r="BT192" s="154"/>
      <c r="BU192" s="158"/>
      <c r="BV192" s="154"/>
      <c r="BW192" s="154"/>
      <c r="BX192" s="154"/>
      <c r="BY192" s="154"/>
      <c r="BZ192" s="158"/>
      <c r="CA192" s="154"/>
      <c r="CB192" s="154"/>
      <c r="CC192" s="154"/>
      <c r="CD192" s="154"/>
      <c r="CE192" s="158"/>
      <c r="CF192" s="154"/>
      <c r="CG192" s="154"/>
      <c r="CH192" s="154"/>
      <c r="CI192" s="154"/>
      <c r="CJ192" s="158"/>
      <c r="CK192" s="154"/>
      <c r="CL192" s="154"/>
      <c r="CM192" s="154"/>
      <c r="CN192" s="154"/>
      <c r="CO192" s="158"/>
      <c r="CP192" s="154"/>
      <c r="CQ192" s="154"/>
      <c r="CR192" s="154"/>
      <c r="CS192" s="154"/>
      <c r="CT192" s="158"/>
      <c r="CU192" s="154"/>
      <c r="CV192" s="154"/>
      <c r="CW192" s="154"/>
      <c r="CX192" s="154"/>
      <c r="CY192" s="158"/>
      <c r="CZ192" s="154"/>
      <c r="DA192" s="154"/>
      <c r="DB192" s="154"/>
      <c r="DC192" s="154"/>
      <c r="DD192" s="158"/>
      <c r="DE192" s="154"/>
      <c r="DF192" s="154"/>
      <c r="DG192" s="154"/>
      <c r="DH192" s="154"/>
      <c r="DI192" s="158"/>
      <c r="DJ192" s="154"/>
      <c r="DK192" s="154"/>
      <c r="DL192" s="154"/>
      <c r="DM192" s="154"/>
      <c r="DN192" s="158"/>
      <c r="DO192" s="154"/>
      <c r="DP192" s="154"/>
      <c r="DQ192" s="154"/>
      <c r="DR192" s="154"/>
      <c r="DS192" s="158"/>
      <c r="DT192" s="154"/>
      <c r="DU192" s="154"/>
      <c r="DV192" s="154"/>
      <c r="DW192" s="154"/>
      <c r="DX192" s="158"/>
      <c r="DY192" s="154"/>
      <c r="DZ192" s="154"/>
      <c r="EA192" s="154"/>
      <c r="EB192" s="154"/>
      <c r="EC192" s="158"/>
      <c r="ED192" s="154"/>
      <c r="EE192" s="154"/>
      <c r="EF192" s="154"/>
      <c r="EG192" s="154"/>
      <c r="EH192" s="158"/>
      <c r="EI192" s="154"/>
      <c r="EJ192" s="154"/>
      <c r="EK192" s="154"/>
      <c r="EL192" s="154"/>
      <c r="EM192" s="158"/>
      <c r="EN192" s="154"/>
      <c r="EO192" s="154"/>
      <c r="EP192" s="154"/>
      <c r="EQ192" s="154"/>
      <c r="ER192" s="158"/>
      <c r="ES192" s="154"/>
      <c r="ET192" s="154"/>
      <c r="EU192" s="154"/>
      <c r="EV192" s="154"/>
      <c r="EW192" s="158"/>
      <c r="EX192" s="154"/>
      <c r="EY192" s="154"/>
      <c r="EZ192" s="154"/>
      <c r="FA192" s="154"/>
      <c r="FB192" s="158"/>
      <c r="FC192" s="154"/>
      <c r="FD192" s="154"/>
      <c r="FE192" s="154"/>
      <c r="FF192" s="154"/>
      <c r="FG192" s="158"/>
      <c r="FH192" s="154"/>
      <c r="FI192" s="154"/>
      <c r="FJ192" s="154"/>
      <c r="FK192" s="154"/>
      <c r="FL192" s="158"/>
      <c r="FM192" s="154"/>
      <c r="FN192" s="154"/>
      <c r="FO192" s="154"/>
      <c r="FP192" s="154"/>
      <c r="FQ192" s="158"/>
      <c r="FR192" s="154"/>
      <c r="FS192" s="154"/>
      <c r="FT192" s="154"/>
      <c r="FU192" s="154"/>
      <c r="FV192" s="158"/>
      <c r="FW192" s="154"/>
      <c r="FX192" s="154"/>
      <c r="FY192" s="154"/>
      <c r="FZ192" s="154"/>
      <c r="GA192" s="158"/>
      <c r="GB192" s="154"/>
      <c r="GC192" s="154"/>
      <c r="GD192" s="154"/>
      <c r="GE192" s="154"/>
      <c r="GF192" s="158"/>
      <c r="GG192" s="154"/>
      <c r="GH192" s="154"/>
      <c r="GI192" s="154"/>
      <c r="GJ192" s="154"/>
    </row>
    <row r="193" spans="3:192" ht="12.75" customHeight="1">
      <c r="C193" s="158"/>
      <c r="D193" s="154"/>
      <c r="E193" s="154"/>
      <c r="F193" s="154"/>
      <c r="G193" s="154"/>
      <c r="H193" s="158"/>
      <c r="I193" s="154"/>
      <c r="J193" s="154"/>
      <c r="K193" s="154"/>
      <c r="L193" s="154"/>
      <c r="M193" s="158"/>
      <c r="N193" s="154"/>
      <c r="O193" s="154"/>
      <c r="P193" s="154"/>
      <c r="Q193" s="154"/>
      <c r="R193" s="158"/>
      <c r="S193" s="154"/>
      <c r="T193" s="154"/>
      <c r="U193" s="154"/>
      <c r="V193" s="154"/>
      <c r="W193" s="158"/>
      <c r="X193" s="154"/>
      <c r="Y193" s="154"/>
      <c r="Z193" s="154"/>
      <c r="AA193" s="154"/>
      <c r="AB193" s="158"/>
      <c r="AC193" s="154"/>
      <c r="AD193" s="154"/>
      <c r="AE193" s="154"/>
      <c r="AF193" s="154"/>
      <c r="AG193" s="158"/>
      <c r="AH193" s="154"/>
      <c r="AI193" s="154"/>
      <c r="AJ193" s="154"/>
      <c r="AK193" s="154"/>
      <c r="AL193" s="158"/>
      <c r="AM193" s="154"/>
      <c r="AN193" s="154"/>
      <c r="AO193" s="154"/>
      <c r="AP193" s="154"/>
      <c r="AQ193" s="158"/>
      <c r="AR193" s="154"/>
      <c r="AS193" s="154"/>
      <c r="AT193" s="154"/>
      <c r="AU193" s="154"/>
      <c r="AV193" s="158"/>
      <c r="AW193" s="154"/>
      <c r="AX193" s="154"/>
      <c r="AY193" s="154"/>
      <c r="AZ193" s="154"/>
      <c r="BA193" s="158"/>
      <c r="BB193" s="154"/>
      <c r="BC193" s="154"/>
      <c r="BD193" s="154"/>
      <c r="BE193" s="154"/>
      <c r="BF193" s="158"/>
      <c r="BG193" s="154"/>
      <c r="BH193" s="154"/>
      <c r="BI193" s="154"/>
      <c r="BJ193" s="154"/>
      <c r="BK193" s="158"/>
      <c r="BL193" s="154"/>
      <c r="BM193" s="154"/>
      <c r="BN193" s="154"/>
      <c r="BO193" s="154"/>
      <c r="BP193" s="158"/>
      <c r="BQ193" s="154"/>
      <c r="BR193" s="154"/>
      <c r="BS193" s="154"/>
      <c r="BT193" s="154"/>
      <c r="BU193" s="158"/>
      <c r="BV193" s="154"/>
      <c r="BW193" s="154"/>
      <c r="BX193" s="154"/>
      <c r="BY193" s="154"/>
      <c r="BZ193" s="158"/>
      <c r="CA193" s="154"/>
      <c r="CB193" s="154"/>
      <c r="CC193" s="154"/>
      <c r="CD193" s="154"/>
      <c r="CE193" s="158"/>
      <c r="CF193" s="154"/>
      <c r="CG193" s="154"/>
      <c r="CH193" s="154"/>
      <c r="CI193" s="154"/>
      <c r="CJ193" s="158"/>
      <c r="CK193" s="154"/>
      <c r="CL193" s="154"/>
      <c r="CM193" s="154"/>
      <c r="CN193" s="154"/>
      <c r="CO193" s="158"/>
      <c r="CP193" s="154"/>
      <c r="CQ193" s="154"/>
      <c r="CR193" s="154"/>
      <c r="CS193" s="154"/>
      <c r="CT193" s="158"/>
      <c r="CU193" s="154"/>
      <c r="CV193" s="154"/>
      <c r="CW193" s="154"/>
      <c r="CX193" s="154"/>
      <c r="CY193" s="158"/>
      <c r="CZ193" s="154"/>
      <c r="DA193" s="154"/>
      <c r="DB193" s="154"/>
      <c r="DC193" s="154"/>
      <c r="DD193" s="158"/>
      <c r="DE193" s="154"/>
      <c r="DF193" s="154"/>
      <c r="DG193" s="154"/>
      <c r="DH193" s="154"/>
      <c r="DI193" s="158"/>
      <c r="DJ193" s="154"/>
      <c r="DK193" s="154"/>
      <c r="DL193" s="154"/>
      <c r="DM193" s="154"/>
      <c r="DN193" s="158"/>
      <c r="DO193" s="154"/>
      <c r="DP193" s="154"/>
      <c r="DQ193" s="154"/>
      <c r="DR193" s="154"/>
      <c r="DS193" s="158"/>
      <c r="DT193" s="154"/>
      <c r="DU193" s="154"/>
      <c r="DV193" s="154"/>
      <c r="DW193" s="154"/>
      <c r="DX193" s="158"/>
      <c r="DY193" s="154"/>
      <c r="DZ193" s="154"/>
      <c r="EA193" s="154"/>
      <c r="EB193" s="154"/>
      <c r="EC193" s="158"/>
      <c r="ED193" s="154"/>
      <c r="EE193" s="154"/>
      <c r="EF193" s="154"/>
      <c r="EG193" s="154"/>
      <c r="EH193" s="158"/>
      <c r="EI193" s="154"/>
      <c r="EJ193" s="154"/>
      <c r="EK193" s="154"/>
      <c r="EL193" s="154"/>
      <c r="EM193" s="158"/>
      <c r="EN193" s="154"/>
      <c r="EO193" s="154"/>
      <c r="EP193" s="154"/>
      <c r="EQ193" s="154"/>
      <c r="ER193" s="158"/>
      <c r="ES193" s="154"/>
      <c r="ET193" s="154"/>
      <c r="EU193" s="154"/>
      <c r="EV193" s="154"/>
      <c r="EW193" s="158"/>
      <c r="EX193" s="154"/>
      <c r="EY193" s="154"/>
      <c r="EZ193" s="154"/>
      <c r="FA193" s="154"/>
      <c r="FB193" s="158"/>
      <c r="FC193" s="154"/>
      <c r="FD193" s="154"/>
      <c r="FE193" s="154"/>
      <c r="FF193" s="154"/>
      <c r="FG193" s="158"/>
      <c r="FH193" s="154"/>
      <c r="FI193" s="154"/>
      <c r="FJ193" s="154"/>
      <c r="FK193" s="154"/>
      <c r="FL193" s="158"/>
      <c r="FM193" s="154"/>
      <c r="FN193" s="154"/>
      <c r="FO193" s="154"/>
      <c r="FP193" s="154"/>
      <c r="FQ193" s="158"/>
      <c r="FR193" s="154"/>
      <c r="FS193" s="154"/>
      <c r="FT193" s="154"/>
      <c r="FU193" s="154"/>
      <c r="FV193" s="158"/>
      <c r="FW193" s="154"/>
      <c r="FX193" s="154"/>
      <c r="FY193" s="154"/>
      <c r="FZ193" s="154"/>
      <c r="GA193" s="158"/>
      <c r="GB193" s="154"/>
      <c r="GC193" s="154"/>
      <c r="GD193" s="154"/>
      <c r="GE193" s="154"/>
      <c r="GF193" s="158"/>
      <c r="GG193" s="154"/>
      <c r="GH193" s="154"/>
      <c r="GI193" s="154"/>
      <c r="GJ193" s="154"/>
    </row>
    <row r="194" spans="3:192" ht="12.75" customHeight="1">
      <c r="C194" s="151"/>
      <c r="D194" s="156"/>
      <c r="E194" s="156"/>
      <c r="F194" s="156"/>
      <c r="G194" s="156"/>
      <c r="H194" s="151"/>
      <c r="I194" s="156"/>
      <c r="J194" s="156"/>
      <c r="K194" s="156"/>
      <c r="L194" s="156"/>
      <c r="M194" s="151"/>
      <c r="N194" s="156"/>
      <c r="O194" s="156"/>
      <c r="P194" s="156"/>
      <c r="Q194" s="156"/>
      <c r="R194" s="151"/>
      <c r="S194" s="156"/>
      <c r="T194" s="156"/>
      <c r="U194" s="156"/>
      <c r="V194" s="156"/>
      <c r="W194" s="151"/>
      <c r="X194" s="156"/>
      <c r="Y194" s="156"/>
      <c r="Z194" s="156"/>
      <c r="AA194" s="156"/>
      <c r="AB194" s="151"/>
      <c r="AC194" s="156"/>
      <c r="AD194" s="156"/>
      <c r="AE194" s="156"/>
      <c r="AF194" s="156"/>
      <c r="AG194" s="151"/>
      <c r="AH194" s="156"/>
      <c r="AI194" s="156"/>
      <c r="AJ194" s="156"/>
      <c r="AK194" s="156"/>
      <c r="AL194" s="151"/>
      <c r="AM194" s="156"/>
      <c r="AN194" s="156"/>
      <c r="AO194" s="156"/>
      <c r="AP194" s="156"/>
      <c r="AQ194" s="151"/>
      <c r="AR194" s="156"/>
      <c r="AS194" s="156"/>
      <c r="AT194" s="156"/>
      <c r="AU194" s="156"/>
      <c r="AV194" s="151"/>
      <c r="AW194" s="156"/>
      <c r="AX194" s="156"/>
      <c r="AY194" s="156"/>
      <c r="AZ194" s="156"/>
      <c r="BA194" s="151"/>
      <c r="BB194" s="156"/>
      <c r="BC194" s="156"/>
      <c r="BD194" s="156"/>
      <c r="BE194" s="156"/>
      <c r="BF194" s="151"/>
      <c r="BG194" s="156"/>
      <c r="BH194" s="156"/>
      <c r="BI194" s="156"/>
      <c r="BJ194" s="156"/>
      <c r="BK194" s="151"/>
      <c r="BL194" s="156"/>
      <c r="BM194" s="156"/>
      <c r="BN194" s="156"/>
      <c r="BO194" s="156"/>
      <c r="BP194" s="151"/>
      <c r="BQ194" s="156"/>
      <c r="BR194" s="156"/>
      <c r="BS194" s="156"/>
      <c r="BT194" s="156"/>
      <c r="BU194" s="151"/>
      <c r="BV194" s="156"/>
      <c r="BW194" s="156"/>
      <c r="BX194" s="156"/>
      <c r="BY194" s="156"/>
      <c r="BZ194" s="151"/>
      <c r="CA194" s="156"/>
      <c r="CB194" s="156"/>
      <c r="CC194" s="156"/>
      <c r="CD194" s="156"/>
      <c r="CE194" s="151"/>
      <c r="CF194" s="156"/>
      <c r="CG194" s="156"/>
      <c r="CH194" s="156"/>
      <c r="CI194" s="156"/>
      <c r="CJ194" s="151"/>
      <c r="CK194" s="156"/>
      <c r="CL194" s="156"/>
      <c r="CM194" s="156"/>
      <c r="CN194" s="156"/>
      <c r="CO194" s="151"/>
      <c r="CP194" s="156"/>
      <c r="CQ194" s="156"/>
      <c r="CR194" s="156"/>
      <c r="CS194" s="156"/>
      <c r="CT194" s="151"/>
      <c r="CU194" s="156"/>
      <c r="CV194" s="156"/>
      <c r="CW194" s="156"/>
      <c r="CX194" s="156"/>
      <c r="CY194" s="151"/>
      <c r="CZ194" s="156"/>
      <c r="DA194" s="156"/>
      <c r="DB194" s="156"/>
      <c r="DC194" s="156"/>
      <c r="DD194" s="151"/>
      <c r="DE194" s="156"/>
      <c r="DF194" s="156"/>
      <c r="DG194" s="156"/>
      <c r="DH194" s="156"/>
      <c r="DI194" s="151"/>
      <c r="DJ194" s="156"/>
      <c r="DK194" s="156"/>
      <c r="DL194" s="156"/>
      <c r="DM194" s="156"/>
      <c r="DN194" s="151"/>
      <c r="DO194" s="156"/>
      <c r="DP194" s="156"/>
      <c r="DQ194" s="156"/>
      <c r="DR194" s="156"/>
      <c r="DS194" s="151"/>
      <c r="DT194" s="156"/>
      <c r="DU194" s="156"/>
      <c r="DV194" s="156"/>
      <c r="DW194" s="156"/>
      <c r="DX194" s="151"/>
      <c r="DY194" s="156"/>
      <c r="DZ194" s="156"/>
      <c r="EA194" s="156"/>
      <c r="EB194" s="156"/>
      <c r="EC194" s="151"/>
      <c r="ED194" s="156"/>
      <c r="EE194" s="156"/>
      <c r="EF194" s="156"/>
      <c r="EG194" s="156"/>
      <c r="EH194" s="151"/>
      <c r="EI194" s="156"/>
      <c r="EJ194" s="156"/>
      <c r="EK194" s="156"/>
      <c r="EL194" s="156"/>
      <c r="EM194" s="151"/>
      <c r="EN194" s="156"/>
      <c r="EO194" s="156"/>
      <c r="EP194" s="156"/>
      <c r="EQ194" s="156"/>
      <c r="ER194" s="151"/>
      <c r="ES194" s="156"/>
      <c r="ET194" s="156"/>
      <c r="EU194" s="156"/>
      <c r="EV194" s="156"/>
      <c r="EW194" s="151"/>
      <c r="EX194" s="156"/>
      <c r="EY194" s="156"/>
      <c r="EZ194" s="156"/>
      <c r="FA194" s="156"/>
      <c r="FB194" s="151"/>
      <c r="FC194" s="156"/>
      <c r="FD194" s="156"/>
      <c r="FE194" s="156"/>
      <c r="FF194" s="156"/>
      <c r="FG194" s="151"/>
      <c r="FH194" s="156"/>
      <c r="FI194" s="156"/>
      <c r="FJ194" s="156"/>
      <c r="FK194" s="156"/>
      <c r="FL194" s="151"/>
      <c r="FM194" s="156"/>
      <c r="FN194" s="156"/>
      <c r="FO194" s="156"/>
      <c r="FP194" s="156"/>
      <c r="FQ194" s="151"/>
      <c r="FR194" s="156"/>
      <c r="FS194" s="156"/>
      <c r="FT194" s="156"/>
      <c r="FU194" s="156"/>
      <c r="FV194" s="151"/>
      <c r="FW194" s="156"/>
      <c r="FX194" s="156"/>
      <c r="FY194" s="156"/>
      <c r="FZ194" s="156"/>
      <c r="GA194" s="151"/>
      <c r="GB194" s="156"/>
      <c r="GC194" s="156"/>
      <c r="GD194" s="156"/>
      <c r="GE194" s="156"/>
      <c r="GF194" s="151"/>
      <c r="GG194" s="156"/>
      <c r="GH194" s="156"/>
      <c r="GI194" s="156"/>
      <c r="GJ194" s="156"/>
    </row>
    <row r="195" spans="3:192" ht="12.75" customHeight="1">
      <c r="C195" s="153"/>
      <c r="D195" s="154"/>
      <c r="E195" s="154"/>
      <c r="F195" s="154"/>
      <c r="G195" s="154"/>
      <c r="H195" s="153"/>
      <c r="I195" s="154"/>
      <c r="J195" s="154"/>
      <c r="K195" s="154"/>
      <c r="L195" s="154"/>
      <c r="M195" s="153"/>
      <c r="N195" s="154"/>
      <c r="O195" s="154"/>
      <c r="P195" s="154"/>
      <c r="Q195" s="154"/>
      <c r="R195" s="153"/>
      <c r="S195" s="154"/>
      <c r="T195" s="154"/>
      <c r="U195" s="154"/>
      <c r="V195" s="154"/>
      <c r="W195" s="153"/>
      <c r="X195" s="154"/>
      <c r="Y195" s="154"/>
      <c r="Z195" s="154"/>
      <c r="AA195" s="154"/>
      <c r="AB195" s="153"/>
      <c r="AC195" s="154"/>
      <c r="AD195" s="154"/>
      <c r="AE195" s="154"/>
      <c r="AF195" s="154"/>
      <c r="AG195" s="153"/>
      <c r="AH195" s="154"/>
      <c r="AI195" s="154"/>
      <c r="AJ195" s="154"/>
      <c r="AK195" s="154"/>
      <c r="AL195" s="153"/>
      <c r="AM195" s="154"/>
      <c r="AN195" s="154"/>
      <c r="AO195" s="154"/>
      <c r="AP195" s="154"/>
      <c r="AQ195" s="153"/>
      <c r="AR195" s="154"/>
      <c r="AS195" s="154"/>
      <c r="AT195" s="154"/>
      <c r="AU195" s="154"/>
      <c r="AV195" s="153"/>
      <c r="AW195" s="154"/>
      <c r="AX195" s="154"/>
      <c r="AY195" s="154"/>
      <c r="AZ195" s="154"/>
      <c r="BA195" s="153"/>
      <c r="BB195" s="154"/>
      <c r="BC195" s="154"/>
      <c r="BD195" s="154"/>
      <c r="BE195" s="154"/>
      <c r="BF195" s="153"/>
      <c r="BG195" s="154"/>
      <c r="BH195" s="154"/>
      <c r="BI195" s="154"/>
      <c r="BJ195" s="154"/>
      <c r="BK195" s="153"/>
      <c r="BL195" s="154"/>
      <c r="BM195" s="154"/>
      <c r="BN195" s="154"/>
      <c r="BO195" s="154"/>
      <c r="BP195" s="153"/>
      <c r="BQ195" s="154"/>
      <c r="BR195" s="154"/>
      <c r="BS195" s="154"/>
      <c r="BT195" s="154"/>
      <c r="BU195" s="153"/>
      <c r="BV195" s="154"/>
      <c r="BW195" s="154"/>
      <c r="BX195" s="154"/>
      <c r="BY195" s="154"/>
      <c r="BZ195" s="153"/>
      <c r="CA195" s="154"/>
      <c r="CB195" s="154"/>
      <c r="CC195" s="154"/>
      <c r="CD195" s="154"/>
      <c r="CE195" s="153"/>
      <c r="CF195" s="154"/>
      <c r="CG195" s="154"/>
      <c r="CH195" s="154"/>
      <c r="CI195" s="154"/>
      <c r="CJ195" s="153"/>
      <c r="CK195" s="154"/>
      <c r="CL195" s="154"/>
      <c r="CM195" s="154"/>
      <c r="CN195" s="154"/>
      <c r="CO195" s="153"/>
      <c r="CP195" s="154"/>
      <c r="CQ195" s="154"/>
      <c r="CR195" s="154"/>
      <c r="CS195" s="154"/>
      <c r="CT195" s="153"/>
      <c r="CU195" s="154"/>
      <c r="CV195" s="154"/>
      <c r="CW195" s="154"/>
      <c r="CX195" s="154"/>
      <c r="CY195" s="153"/>
      <c r="CZ195" s="154"/>
      <c r="DA195" s="154"/>
      <c r="DB195" s="154"/>
      <c r="DC195" s="154"/>
      <c r="DD195" s="153"/>
      <c r="DE195" s="154"/>
      <c r="DF195" s="154"/>
      <c r="DG195" s="154"/>
      <c r="DH195" s="154"/>
      <c r="DI195" s="153"/>
      <c r="DJ195" s="154"/>
      <c r="DK195" s="154"/>
      <c r="DL195" s="154"/>
      <c r="DM195" s="154"/>
      <c r="DN195" s="153"/>
      <c r="DO195" s="154"/>
      <c r="DP195" s="154"/>
      <c r="DQ195" s="154"/>
      <c r="DR195" s="154"/>
      <c r="DS195" s="153"/>
      <c r="DT195" s="154"/>
      <c r="DU195" s="154"/>
      <c r="DV195" s="154"/>
      <c r="DW195" s="154"/>
      <c r="DX195" s="153"/>
      <c r="DY195" s="154"/>
      <c r="DZ195" s="154"/>
      <c r="EA195" s="154"/>
      <c r="EB195" s="154"/>
      <c r="EC195" s="153"/>
      <c r="ED195" s="154"/>
      <c r="EE195" s="154"/>
      <c r="EF195" s="154"/>
      <c r="EG195" s="154"/>
      <c r="EH195" s="153"/>
      <c r="EI195" s="154"/>
      <c r="EJ195" s="154"/>
      <c r="EK195" s="154"/>
      <c r="EL195" s="154"/>
      <c r="EM195" s="153"/>
      <c r="EN195" s="154"/>
      <c r="EO195" s="154"/>
      <c r="EP195" s="154"/>
      <c r="EQ195" s="154"/>
      <c r="ER195" s="153"/>
      <c r="ES195" s="154"/>
      <c r="ET195" s="154"/>
      <c r="EU195" s="154"/>
      <c r="EV195" s="154"/>
      <c r="EW195" s="153"/>
      <c r="EX195" s="154"/>
      <c r="EY195" s="154"/>
      <c r="EZ195" s="154"/>
      <c r="FA195" s="154"/>
      <c r="FB195" s="153"/>
      <c r="FC195" s="154"/>
      <c r="FD195" s="154"/>
      <c r="FE195" s="154"/>
      <c r="FF195" s="154"/>
      <c r="FG195" s="153"/>
      <c r="FH195" s="154"/>
      <c r="FI195" s="154"/>
      <c r="FJ195" s="154"/>
      <c r="FK195" s="154"/>
      <c r="FL195" s="153"/>
      <c r="FM195" s="154"/>
      <c r="FN195" s="154"/>
      <c r="FO195" s="154"/>
      <c r="FP195" s="154"/>
      <c r="FQ195" s="153"/>
      <c r="FR195" s="154"/>
      <c r="FS195" s="154"/>
      <c r="FT195" s="154"/>
      <c r="FU195" s="154"/>
      <c r="FV195" s="153"/>
      <c r="FW195" s="154"/>
      <c r="FX195" s="154"/>
      <c r="FY195" s="154"/>
      <c r="FZ195" s="154"/>
      <c r="GA195" s="153"/>
      <c r="GB195" s="154"/>
      <c r="GC195" s="154"/>
      <c r="GD195" s="154"/>
      <c r="GE195" s="154"/>
      <c r="GF195" s="153"/>
      <c r="GG195" s="154"/>
      <c r="GH195" s="154"/>
      <c r="GI195" s="154"/>
      <c r="GJ195" s="154"/>
    </row>
    <row r="196" spans="3:192" ht="12.75" customHeight="1">
      <c r="C196" s="153"/>
      <c r="D196" s="154"/>
      <c r="E196" s="154"/>
      <c r="F196" s="154"/>
      <c r="G196" s="154"/>
      <c r="H196" s="153"/>
      <c r="I196" s="154"/>
      <c r="J196" s="154"/>
      <c r="K196" s="154"/>
      <c r="L196" s="154"/>
      <c r="M196" s="153"/>
      <c r="N196" s="154"/>
      <c r="O196" s="154"/>
      <c r="P196" s="154"/>
      <c r="Q196" s="154"/>
      <c r="R196" s="153"/>
      <c r="S196" s="154"/>
      <c r="T196" s="154"/>
      <c r="U196" s="154"/>
      <c r="V196" s="154"/>
      <c r="W196" s="153"/>
      <c r="X196" s="154"/>
      <c r="Y196" s="154"/>
      <c r="Z196" s="154"/>
      <c r="AA196" s="154"/>
      <c r="AB196" s="153"/>
      <c r="AC196" s="154"/>
      <c r="AD196" s="154"/>
      <c r="AE196" s="154"/>
      <c r="AF196" s="154"/>
      <c r="AG196" s="153"/>
      <c r="AH196" s="154"/>
      <c r="AI196" s="154"/>
      <c r="AJ196" s="154"/>
      <c r="AK196" s="154"/>
      <c r="AL196" s="153"/>
      <c r="AM196" s="154"/>
      <c r="AN196" s="154"/>
      <c r="AO196" s="154"/>
      <c r="AP196" s="154"/>
      <c r="AQ196" s="153"/>
      <c r="AR196" s="154"/>
      <c r="AS196" s="154"/>
      <c r="AT196" s="154"/>
      <c r="AU196" s="154"/>
      <c r="AV196" s="153"/>
      <c r="AW196" s="154"/>
      <c r="AX196" s="154"/>
      <c r="AY196" s="154"/>
      <c r="AZ196" s="154"/>
      <c r="BA196" s="153"/>
      <c r="BB196" s="154"/>
      <c r="BC196" s="154"/>
      <c r="BD196" s="154"/>
      <c r="BE196" s="154"/>
      <c r="BF196" s="153"/>
      <c r="BG196" s="154"/>
      <c r="BH196" s="154"/>
      <c r="BI196" s="154"/>
      <c r="BJ196" s="154"/>
      <c r="BK196" s="153"/>
      <c r="BL196" s="154"/>
      <c r="BM196" s="154"/>
      <c r="BN196" s="154"/>
      <c r="BO196" s="154"/>
      <c r="BP196" s="153"/>
      <c r="BQ196" s="154"/>
      <c r="BR196" s="154"/>
      <c r="BS196" s="154"/>
      <c r="BT196" s="154"/>
      <c r="BU196" s="153"/>
      <c r="BV196" s="154"/>
      <c r="BW196" s="154"/>
      <c r="BX196" s="154"/>
      <c r="BY196" s="154"/>
      <c r="BZ196" s="153"/>
      <c r="CA196" s="154"/>
      <c r="CB196" s="154"/>
      <c r="CC196" s="154"/>
      <c r="CD196" s="154"/>
      <c r="CE196" s="153"/>
      <c r="CF196" s="154"/>
      <c r="CG196" s="154"/>
      <c r="CH196" s="154"/>
      <c r="CI196" s="154"/>
      <c r="CJ196" s="153"/>
      <c r="CK196" s="154"/>
      <c r="CL196" s="154"/>
      <c r="CM196" s="154"/>
      <c r="CN196" s="154"/>
      <c r="CO196" s="153"/>
      <c r="CP196" s="154"/>
      <c r="CQ196" s="154"/>
      <c r="CR196" s="154"/>
      <c r="CS196" s="154"/>
      <c r="CT196" s="153"/>
      <c r="CU196" s="154"/>
      <c r="CV196" s="154"/>
      <c r="CW196" s="154"/>
      <c r="CX196" s="154"/>
      <c r="CY196" s="153"/>
      <c r="CZ196" s="154"/>
      <c r="DA196" s="154"/>
      <c r="DB196" s="154"/>
      <c r="DC196" s="154"/>
      <c r="DD196" s="153"/>
      <c r="DE196" s="154"/>
      <c r="DF196" s="154"/>
      <c r="DG196" s="154"/>
      <c r="DH196" s="154"/>
      <c r="DI196" s="153"/>
      <c r="DJ196" s="154"/>
      <c r="DK196" s="154"/>
      <c r="DL196" s="154"/>
      <c r="DM196" s="154"/>
      <c r="DN196" s="153"/>
      <c r="DO196" s="154"/>
      <c r="DP196" s="154"/>
      <c r="DQ196" s="154"/>
      <c r="DR196" s="154"/>
      <c r="DS196" s="153"/>
      <c r="DT196" s="154"/>
      <c r="DU196" s="154"/>
      <c r="DV196" s="154"/>
      <c r="DW196" s="154"/>
      <c r="DX196" s="153"/>
      <c r="DY196" s="154"/>
      <c r="DZ196" s="154"/>
      <c r="EA196" s="154"/>
      <c r="EB196" s="154"/>
      <c r="EC196" s="153"/>
      <c r="ED196" s="154"/>
      <c r="EE196" s="154"/>
      <c r="EF196" s="154"/>
      <c r="EG196" s="154"/>
      <c r="EH196" s="153"/>
      <c r="EI196" s="154"/>
      <c r="EJ196" s="154"/>
      <c r="EK196" s="154"/>
      <c r="EL196" s="154"/>
      <c r="EM196" s="153"/>
      <c r="EN196" s="154"/>
      <c r="EO196" s="154"/>
      <c r="EP196" s="154"/>
      <c r="EQ196" s="154"/>
      <c r="ER196" s="153"/>
      <c r="ES196" s="154"/>
      <c r="ET196" s="154"/>
      <c r="EU196" s="154"/>
      <c r="EV196" s="154"/>
      <c r="EW196" s="153"/>
      <c r="EX196" s="154"/>
      <c r="EY196" s="154"/>
      <c r="EZ196" s="154"/>
      <c r="FA196" s="154"/>
      <c r="FB196" s="153"/>
      <c r="FC196" s="154"/>
      <c r="FD196" s="154"/>
      <c r="FE196" s="154"/>
      <c r="FF196" s="154"/>
      <c r="FG196" s="153"/>
      <c r="FH196" s="154"/>
      <c r="FI196" s="154"/>
      <c r="FJ196" s="154"/>
      <c r="FK196" s="154"/>
      <c r="FL196" s="153"/>
      <c r="FM196" s="154"/>
      <c r="FN196" s="154"/>
      <c r="FO196" s="154"/>
      <c r="FP196" s="154"/>
      <c r="FQ196" s="153"/>
      <c r="FR196" s="154"/>
      <c r="FS196" s="154"/>
      <c r="FT196" s="154"/>
      <c r="FU196" s="154"/>
      <c r="FV196" s="153"/>
      <c r="FW196" s="154"/>
      <c r="FX196" s="154"/>
      <c r="FY196" s="154"/>
      <c r="FZ196" s="154"/>
      <c r="GA196" s="153"/>
      <c r="GB196" s="154"/>
      <c r="GC196" s="154"/>
      <c r="GD196" s="154"/>
      <c r="GE196" s="154"/>
      <c r="GF196" s="153"/>
      <c r="GG196" s="154"/>
      <c r="GH196" s="154"/>
      <c r="GI196" s="154"/>
      <c r="GJ196" s="154"/>
    </row>
    <row r="197" spans="3:192" ht="12.75" customHeight="1">
      <c r="C197" s="153"/>
      <c r="D197" s="154"/>
      <c r="E197" s="154"/>
      <c r="F197" s="154"/>
      <c r="G197" s="154"/>
      <c r="H197" s="153"/>
      <c r="I197" s="154"/>
      <c r="J197" s="154"/>
      <c r="K197" s="154"/>
      <c r="L197" s="154"/>
      <c r="M197" s="153"/>
      <c r="N197" s="154"/>
      <c r="O197" s="154"/>
      <c r="P197" s="154"/>
      <c r="Q197" s="154"/>
      <c r="R197" s="153"/>
      <c r="S197" s="154"/>
      <c r="T197" s="154"/>
      <c r="U197" s="154"/>
      <c r="V197" s="154"/>
      <c r="W197" s="153"/>
      <c r="X197" s="154"/>
      <c r="Y197" s="154"/>
      <c r="Z197" s="154"/>
      <c r="AA197" s="154"/>
      <c r="AB197" s="153"/>
      <c r="AC197" s="154"/>
      <c r="AD197" s="154"/>
      <c r="AE197" s="154"/>
      <c r="AF197" s="154"/>
      <c r="AG197" s="153"/>
      <c r="AH197" s="154"/>
      <c r="AI197" s="154"/>
      <c r="AJ197" s="154"/>
      <c r="AK197" s="154"/>
      <c r="AL197" s="153"/>
      <c r="AM197" s="154"/>
      <c r="AN197" s="154"/>
      <c r="AO197" s="154"/>
      <c r="AP197" s="154"/>
      <c r="AQ197" s="153"/>
      <c r="AR197" s="154"/>
      <c r="AS197" s="154"/>
      <c r="AT197" s="154"/>
      <c r="AU197" s="154"/>
      <c r="AV197" s="153"/>
      <c r="AW197" s="154"/>
      <c r="AX197" s="154"/>
      <c r="AY197" s="154"/>
      <c r="AZ197" s="154"/>
      <c r="BA197" s="153"/>
      <c r="BB197" s="154"/>
      <c r="BC197" s="154"/>
      <c r="BD197" s="154"/>
      <c r="BE197" s="154"/>
      <c r="BF197" s="153"/>
      <c r="BG197" s="154"/>
      <c r="BH197" s="154"/>
      <c r="BI197" s="154"/>
      <c r="BJ197" s="154"/>
      <c r="BK197" s="153"/>
      <c r="BL197" s="154"/>
      <c r="BM197" s="154"/>
      <c r="BN197" s="154"/>
      <c r="BO197" s="154"/>
      <c r="BP197" s="153"/>
      <c r="BQ197" s="154"/>
      <c r="BR197" s="154"/>
      <c r="BS197" s="154"/>
      <c r="BT197" s="154"/>
      <c r="BU197" s="153"/>
      <c r="BV197" s="154"/>
      <c r="BW197" s="154"/>
      <c r="BX197" s="154"/>
      <c r="BY197" s="154"/>
      <c r="BZ197" s="153"/>
      <c r="CA197" s="154"/>
      <c r="CB197" s="154"/>
      <c r="CC197" s="154"/>
      <c r="CD197" s="154"/>
      <c r="CE197" s="153"/>
      <c r="CF197" s="154"/>
      <c r="CG197" s="154"/>
      <c r="CH197" s="154"/>
      <c r="CI197" s="154"/>
      <c r="CJ197" s="153"/>
      <c r="CK197" s="154"/>
      <c r="CL197" s="154"/>
      <c r="CM197" s="154"/>
      <c r="CN197" s="154"/>
      <c r="CO197" s="153"/>
      <c r="CP197" s="154"/>
      <c r="CQ197" s="154"/>
      <c r="CR197" s="154"/>
      <c r="CS197" s="154"/>
      <c r="CT197" s="153"/>
      <c r="CU197" s="154"/>
      <c r="CV197" s="154"/>
      <c r="CW197" s="154"/>
      <c r="CX197" s="154"/>
      <c r="CY197" s="153"/>
      <c r="CZ197" s="154"/>
      <c r="DA197" s="154"/>
      <c r="DB197" s="154"/>
      <c r="DC197" s="154"/>
      <c r="DD197" s="153"/>
      <c r="DE197" s="154"/>
      <c r="DF197" s="154"/>
      <c r="DG197" s="154"/>
      <c r="DH197" s="154"/>
      <c r="DI197" s="153"/>
      <c r="DJ197" s="154"/>
      <c r="DK197" s="154"/>
      <c r="DL197" s="154"/>
      <c r="DM197" s="154"/>
      <c r="DN197" s="153"/>
      <c r="DO197" s="154"/>
      <c r="DP197" s="154"/>
      <c r="DQ197" s="154"/>
      <c r="DR197" s="154"/>
      <c r="DS197" s="153"/>
      <c r="DT197" s="154"/>
      <c r="DU197" s="154"/>
      <c r="DV197" s="154"/>
      <c r="DW197" s="154"/>
      <c r="DX197" s="153"/>
      <c r="DY197" s="154"/>
      <c r="DZ197" s="154"/>
      <c r="EA197" s="154"/>
      <c r="EB197" s="154"/>
      <c r="EC197" s="153"/>
      <c r="ED197" s="154"/>
      <c r="EE197" s="154"/>
      <c r="EF197" s="154"/>
      <c r="EG197" s="154"/>
      <c r="EH197" s="153"/>
      <c r="EI197" s="154"/>
      <c r="EJ197" s="154"/>
      <c r="EK197" s="154"/>
      <c r="EL197" s="154"/>
      <c r="EM197" s="153"/>
      <c r="EN197" s="154"/>
      <c r="EO197" s="154"/>
      <c r="EP197" s="154"/>
      <c r="EQ197" s="154"/>
      <c r="ER197" s="153"/>
      <c r="ES197" s="154"/>
      <c r="ET197" s="154"/>
      <c r="EU197" s="154"/>
      <c r="EV197" s="154"/>
      <c r="EW197" s="153"/>
      <c r="EX197" s="154"/>
      <c r="EY197" s="154"/>
      <c r="EZ197" s="154"/>
      <c r="FA197" s="154"/>
      <c r="FB197" s="153"/>
      <c r="FC197" s="154"/>
      <c r="FD197" s="154"/>
      <c r="FE197" s="154"/>
      <c r="FF197" s="154"/>
      <c r="FG197" s="153"/>
      <c r="FH197" s="154"/>
      <c r="FI197" s="154"/>
      <c r="FJ197" s="154"/>
      <c r="FK197" s="154"/>
      <c r="FL197" s="153"/>
      <c r="FM197" s="154"/>
      <c r="FN197" s="154"/>
      <c r="FO197" s="154"/>
      <c r="FP197" s="154"/>
      <c r="FQ197" s="153"/>
      <c r="FR197" s="154"/>
      <c r="FS197" s="154"/>
      <c r="FT197" s="154"/>
      <c r="FU197" s="154"/>
      <c r="FV197" s="153"/>
      <c r="FW197" s="154"/>
      <c r="FX197" s="154"/>
      <c r="FY197" s="154"/>
      <c r="FZ197" s="154"/>
      <c r="GA197" s="153"/>
      <c r="GB197" s="154"/>
      <c r="GC197" s="154"/>
      <c r="GD197" s="154"/>
      <c r="GE197" s="154"/>
      <c r="GF197" s="153"/>
      <c r="GG197" s="154"/>
      <c r="GH197" s="154"/>
      <c r="GI197" s="154"/>
      <c r="GJ197" s="154"/>
    </row>
    <row r="198" spans="3:192" ht="12.75" customHeight="1">
      <c r="C198" s="159"/>
      <c r="D198" s="160"/>
      <c r="E198" s="160"/>
      <c r="F198" s="160"/>
      <c r="G198" s="160"/>
      <c r="H198" s="159"/>
      <c r="I198" s="160"/>
      <c r="J198" s="160"/>
      <c r="K198" s="160"/>
      <c r="L198" s="160"/>
      <c r="M198" s="159"/>
      <c r="N198" s="160"/>
      <c r="O198" s="160"/>
      <c r="P198" s="160"/>
      <c r="Q198" s="160"/>
      <c r="R198" s="159"/>
      <c r="S198" s="160"/>
      <c r="T198" s="160"/>
      <c r="U198" s="160"/>
      <c r="V198" s="160"/>
      <c r="W198" s="159"/>
      <c r="X198" s="160"/>
      <c r="Y198" s="160"/>
      <c r="Z198" s="160"/>
      <c r="AA198" s="160"/>
      <c r="AB198" s="159"/>
      <c r="AC198" s="160"/>
      <c r="AD198" s="160"/>
      <c r="AE198" s="160"/>
      <c r="AF198" s="160"/>
      <c r="AG198" s="159"/>
      <c r="AH198" s="160"/>
      <c r="AI198" s="160"/>
      <c r="AJ198" s="160"/>
      <c r="AK198" s="160"/>
      <c r="AL198" s="159"/>
      <c r="AM198" s="160"/>
      <c r="AN198" s="160"/>
      <c r="AO198" s="160"/>
      <c r="AP198" s="160"/>
      <c r="AQ198" s="159"/>
      <c r="AR198" s="160"/>
      <c r="AS198" s="160"/>
      <c r="AT198" s="160"/>
      <c r="AU198" s="160"/>
      <c r="AV198" s="159"/>
      <c r="AW198" s="160"/>
      <c r="AX198" s="160"/>
      <c r="AY198" s="160"/>
      <c r="AZ198" s="160"/>
      <c r="BA198" s="159"/>
      <c r="BB198" s="160"/>
      <c r="BC198" s="160"/>
      <c r="BD198" s="160"/>
      <c r="BE198" s="160"/>
      <c r="BF198" s="159"/>
      <c r="BG198" s="160"/>
      <c r="BH198" s="160"/>
      <c r="BI198" s="160"/>
      <c r="BJ198" s="160"/>
      <c r="BK198" s="159"/>
      <c r="BL198" s="160"/>
      <c r="BM198" s="160"/>
      <c r="BN198" s="160"/>
      <c r="BO198" s="160"/>
      <c r="BP198" s="159"/>
      <c r="BQ198" s="160"/>
      <c r="BR198" s="160"/>
      <c r="BS198" s="160"/>
      <c r="BT198" s="160"/>
      <c r="BU198" s="159"/>
      <c r="BV198" s="160"/>
      <c r="BW198" s="160"/>
      <c r="BX198" s="160"/>
      <c r="BY198" s="160"/>
      <c r="BZ198" s="159"/>
      <c r="CA198" s="160"/>
      <c r="CB198" s="160"/>
      <c r="CC198" s="160"/>
      <c r="CD198" s="160"/>
      <c r="CE198" s="159"/>
      <c r="CF198" s="160"/>
      <c r="CG198" s="160"/>
      <c r="CH198" s="160"/>
      <c r="CI198" s="160"/>
      <c r="CJ198" s="159"/>
      <c r="CK198" s="160"/>
      <c r="CL198" s="160"/>
      <c r="CM198" s="160"/>
      <c r="CN198" s="160"/>
      <c r="CO198" s="159"/>
      <c r="CP198" s="160"/>
      <c r="CQ198" s="160"/>
      <c r="CR198" s="160"/>
      <c r="CS198" s="160"/>
      <c r="CT198" s="159"/>
      <c r="CU198" s="160"/>
      <c r="CV198" s="160"/>
      <c r="CW198" s="160"/>
      <c r="CX198" s="160"/>
      <c r="CY198" s="159"/>
      <c r="CZ198" s="160"/>
      <c r="DA198" s="160"/>
      <c r="DB198" s="160"/>
      <c r="DC198" s="160"/>
      <c r="DD198" s="159"/>
      <c r="DE198" s="160"/>
      <c r="DF198" s="160"/>
      <c r="DG198" s="160"/>
      <c r="DH198" s="160"/>
      <c r="DI198" s="159"/>
      <c r="DJ198" s="160"/>
      <c r="DK198" s="160"/>
      <c r="DL198" s="160"/>
      <c r="DM198" s="160"/>
      <c r="DN198" s="159"/>
      <c r="DO198" s="160"/>
      <c r="DP198" s="160"/>
      <c r="DQ198" s="160"/>
      <c r="DR198" s="160"/>
      <c r="DS198" s="159"/>
      <c r="DT198" s="160"/>
      <c r="DU198" s="160"/>
      <c r="DV198" s="160"/>
      <c r="DW198" s="160"/>
      <c r="DX198" s="159"/>
      <c r="DY198" s="160"/>
      <c r="DZ198" s="160"/>
      <c r="EA198" s="160"/>
      <c r="EB198" s="160"/>
      <c r="EC198" s="159"/>
      <c r="ED198" s="160"/>
      <c r="EE198" s="160"/>
      <c r="EF198" s="160"/>
      <c r="EG198" s="160"/>
      <c r="EH198" s="159"/>
      <c r="EI198" s="160"/>
      <c r="EJ198" s="160"/>
      <c r="EK198" s="160"/>
      <c r="EL198" s="160"/>
      <c r="EM198" s="159"/>
      <c r="EN198" s="160"/>
      <c r="EO198" s="160"/>
      <c r="EP198" s="160"/>
      <c r="EQ198" s="160"/>
      <c r="ER198" s="159"/>
      <c r="ES198" s="160"/>
      <c r="ET198" s="160"/>
      <c r="EU198" s="160"/>
      <c r="EV198" s="160"/>
      <c r="EW198" s="159"/>
      <c r="EX198" s="160"/>
      <c r="EY198" s="160"/>
      <c r="EZ198" s="160"/>
      <c r="FA198" s="160"/>
      <c r="FB198" s="159"/>
      <c r="FC198" s="160"/>
      <c r="FD198" s="160"/>
      <c r="FE198" s="160"/>
      <c r="FF198" s="160"/>
      <c r="FG198" s="159"/>
      <c r="FH198" s="160"/>
      <c r="FI198" s="160"/>
      <c r="FJ198" s="160"/>
      <c r="FK198" s="160"/>
      <c r="FL198" s="159"/>
      <c r="FM198" s="160"/>
      <c r="FN198" s="160"/>
      <c r="FO198" s="160"/>
      <c r="FP198" s="160"/>
      <c r="FQ198" s="159"/>
      <c r="FR198" s="160"/>
      <c r="FS198" s="160"/>
      <c r="FT198" s="160"/>
      <c r="FU198" s="160"/>
      <c r="FV198" s="159"/>
      <c r="FW198" s="160"/>
      <c r="FX198" s="160"/>
      <c r="FY198" s="160"/>
      <c r="FZ198" s="160"/>
      <c r="GA198" s="159"/>
      <c r="GB198" s="160"/>
      <c r="GC198" s="160"/>
      <c r="GD198" s="160"/>
      <c r="GE198" s="160"/>
      <c r="GF198" s="159"/>
      <c r="GG198" s="160"/>
      <c r="GH198" s="160"/>
      <c r="GI198" s="160"/>
      <c r="GJ198" s="160"/>
    </row>
    <row r="199" spans="3:192" ht="12.75" customHeight="1">
      <c r="C199" s="153"/>
      <c r="D199" s="154"/>
      <c r="E199" s="154"/>
      <c r="F199" s="154"/>
      <c r="G199" s="154"/>
      <c r="H199" s="153"/>
      <c r="I199" s="154"/>
      <c r="J199" s="154"/>
      <c r="K199" s="154"/>
      <c r="L199" s="154"/>
      <c r="M199" s="153"/>
      <c r="N199" s="154"/>
      <c r="O199" s="154"/>
      <c r="P199" s="154"/>
      <c r="Q199" s="154"/>
      <c r="R199" s="153"/>
      <c r="S199" s="154"/>
      <c r="T199" s="154"/>
      <c r="U199" s="154"/>
      <c r="V199" s="154"/>
      <c r="W199" s="153"/>
      <c r="X199" s="154"/>
      <c r="Y199" s="154"/>
      <c r="Z199" s="154"/>
      <c r="AA199" s="154"/>
      <c r="AB199" s="153"/>
      <c r="AC199" s="154"/>
      <c r="AD199" s="154"/>
      <c r="AE199" s="154"/>
      <c r="AF199" s="154"/>
      <c r="AG199" s="153"/>
      <c r="AH199" s="154"/>
      <c r="AI199" s="154"/>
      <c r="AJ199" s="154"/>
      <c r="AK199" s="154"/>
      <c r="AL199" s="153"/>
      <c r="AM199" s="154"/>
      <c r="AN199" s="154"/>
      <c r="AO199" s="154"/>
      <c r="AP199" s="154"/>
      <c r="AQ199" s="153"/>
      <c r="AR199" s="154"/>
      <c r="AS199" s="154"/>
      <c r="AT199" s="154"/>
      <c r="AU199" s="154"/>
      <c r="AV199" s="153"/>
      <c r="AW199" s="154"/>
      <c r="AX199" s="154"/>
      <c r="AY199" s="154"/>
      <c r="AZ199" s="154"/>
      <c r="BA199" s="153"/>
      <c r="BB199" s="154"/>
      <c r="BC199" s="154"/>
      <c r="BD199" s="154"/>
      <c r="BE199" s="154"/>
      <c r="BF199" s="153"/>
      <c r="BG199" s="154"/>
      <c r="BH199" s="154"/>
      <c r="BI199" s="154"/>
      <c r="BJ199" s="154"/>
      <c r="BK199" s="153"/>
      <c r="BL199" s="154"/>
      <c r="BM199" s="154"/>
      <c r="BN199" s="154"/>
      <c r="BO199" s="154"/>
      <c r="BP199" s="153"/>
      <c r="BQ199" s="154"/>
      <c r="BR199" s="154"/>
      <c r="BS199" s="154"/>
      <c r="BT199" s="154"/>
      <c r="BU199" s="153"/>
      <c r="BV199" s="154"/>
      <c r="BW199" s="154"/>
      <c r="BX199" s="154"/>
      <c r="BY199" s="154"/>
      <c r="BZ199" s="153"/>
      <c r="CA199" s="154"/>
      <c r="CB199" s="154"/>
      <c r="CC199" s="154"/>
      <c r="CD199" s="154"/>
      <c r="CE199" s="153"/>
      <c r="CF199" s="154"/>
      <c r="CG199" s="154"/>
      <c r="CH199" s="154"/>
      <c r="CI199" s="154"/>
      <c r="CJ199" s="153"/>
      <c r="CK199" s="154"/>
      <c r="CL199" s="154"/>
      <c r="CM199" s="154"/>
      <c r="CN199" s="154"/>
      <c r="CO199" s="153"/>
      <c r="CP199" s="154"/>
      <c r="CQ199" s="154"/>
      <c r="CR199" s="154"/>
      <c r="CS199" s="154"/>
      <c r="CT199" s="153"/>
      <c r="CU199" s="154"/>
      <c r="CV199" s="154"/>
      <c r="CW199" s="154"/>
      <c r="CX199" s="154"/>
      <c r="CY199" s="153"/>
      <c r="CZ199" s="154"/>
      <c r="DA199" s="154"/>
      <c r="DB199" s="154"/>
      <c r="DC199" s="154"/>
      <c r="DD199" s="153"/>
      <c r="DE199" s="154"/>
      <c r="DF199" s="154"/>
      <c r="DG199" s="154"/>
      <c r="DH199" s="154"/>
      <c r="DI199" s="153"/>
      <c r="DJ199" s="154"/>
      <c r="DK199" s="154"/>
      <c r="DL199" s="154"/>
      <c r="DM199" s="154"/>
      <c r="DN199" s="153"/>
      <c r="DO199" s="154"/>
      <c r="DP199" s="154"/>
      <c r="DQ199" s="154"/>
      <c r="DR199" s="154"/>
      <c r="DS199" s="153"/>
      <c r="DT199" s="154"/>
      <c r="DU199" s="154"/>
      <c r="DV199" s="154"/>
      <c r="DW199" s="154"/>
      <c r="DX199" s="153"/>
      <c r="DY199" s="154"/>
      <c r="DZ199" s="154"/>
      <c r="EA199" s="154"/>
      <c r="EB199" s="154"/>
      <c r="EC199" s="153"/>
      <c r="ED199" s="154"/>
      <c r="EE199" s="154"/>
      <c r="EF199" s="154"/>
      <c r="EG199" s="154"/>
      <c r="EH199" s="153"/>
      <c r="EI199" s="154"/>
      <c r="EJ199" s="154"/>
      <c r="EK199" s="154"/>
      <c r="EL199" s="154"/>
      <c r="EM199" s="153"/>
      <c r="EN199" s="154"/>
      <c r="EO199" s="154"/>
      <c r="EP199" s="154"/>
      <c r="EQ199" s="154"/>
      <c r="ER199" s="153"/>
      <c r="ES199" s="154"/>
      <c r="ET199" s="154"/>
      <c r="EU199" s="154"/>
      <c r="EV199" s="154"/>
      <c r="EW199" s="153"/>
      <c r="EX199" s="154"/>
      <c r="EY199" s="154"/>
      <c r="EZ199" s="154"/>
      <c r="FA199" s="154"/>
      <c r="FB199" s="153"/>
      <c r="FC199" s="154"/>
      <c r="FD199" s="154"/>
      <c r="FE199" s="154"/>
      <c r="FF199" s="154"/>
      <c r="FG199" s="153"/>
      <c r="FH199" s="154"/>
      <c r="FI199" s="154"/>
      <c r="FJ199" s="154"/>
      <c r="FK199" s="154"/>
      <c r="FL199" s="153"/>
      <c r="FM199" s="154"/>
      <c r="FN199" s="154"/>
      <c r="FO199" s="154"/>
      <c r="FP199" s="154"/>
      <c r="FQ199" s="153"/>
      <c r="FR199" s="154"/>
      <c r="FS199" s="154"/>
      <c r="FT199" s="154"/>
      <c r="FU199" s="154"/>
      <c r="FV199" s="153"/>
      <c r="FW199" s="154"/>
      <c r="FX199" s="154"/>
      <c r="FY199" s="154"/>
      <c r="FZ199" s="154"/>
      <c r="GA199" s="153"/>
      <c r="GB199" s="154"/>
      <c r="GC199" s="154"/>
      <c r="GD199" s="154"/>
      <c r="GE199" s="154"/>
      <c r="GF199" s="153"/>
      <c r="GG199" s="154"/>
      <c r="GH199" s="154"/>
      <c r="GI199" s="154"/>
      <c r="GJ199" s="154"/>
    </row>
    <row r="200" spans="3:192" ht="12.75" customHeight="1">
      <c r="C200" s="153"/>
      <c r="D200" s="154"/>
      <c r="E200" s="154"/>
      <c r="F200" s="154"/>
      <c r="G200" s="154"/>
      <c r="H200" s="153"/>
      <c r="I200" s="154"/>
      <c r="J200" s="154"/>
      <c r="K200" s="154"/>
      <c r="L200" s="154"/>
      <c r="M200" s="153"/>
      <c r="N200" s="154"/>
      <c r="O200" s="154"/>
      <c r="P200" s="154"/>
      <c r="Q200" s="154"/>
      <c r="R200" s="153"/>
      <c r="S200" s="154"/>
      <c r="T200" s="154"/>
      <c r="U200" s="154"/>
      <c r="V200" s="154"/>
      <c r="W200" s="153"/>
      <c r="X200" s="154"/>
      <c r="Y200" s="154"/>
      <c r="Z200" s="154"/>
      <c r="AA200" s="154"/>
      <c r="AB200" s="153"/>
      <c r="AC200" s="154"/>
      <c r="AD200" s="154"/>
      <c r="AE200" s="154"/>
      <c r="AF200" s="154"/>
      <c r="AG200" s="153"/>
      <c r="AH200" s="154"/>
      <c r="AI200" s="154"/>
      <c r="AJ200" s="154"/>
      <c r="AK200" s="154"/>
      <c r="AL200" s="153"/>
      <c r="AM200" s="154"/>
      <c r="AN200" s="154"/>
      <c r="AO200" s="154"/>
      <c r="AP200" s="154"/>
      <c r="AQ200" s="153"/>
      <c r="AR200" s="154"/>
      <c r="AS200" s="154"/>
      <c r="AT200" s="154"/>
      <c r="AU200" s="154"/>
      <c r="AV200" s="153"/>
      <c r="AW200" s="154"/>
      <c r="AX200" s="154"/>
      <c r="AY200" s="154"/>
      <c r="AZ200" s="154"/>
      <c r="BA200" s="153"/>
      <c r="BB200" s="154"/>
      <c r="BC200" s="154"/>
      <c r="BD200" s="154"/>
      <c r="BE200" s="154"/>
      <c r="BF200" s="153"/>
      <c r="BG200" s="154"/>
      <c r="BH200" s="154"/>
      <c r="BI200" s="154"/>
      <c r="BJ200" s="154"/>
      <c r="BK200" s="153"/>
      <c r="BL200" s="154"/>
      <c r="BM200" s="154"/>
      <c r="BN200" s="154"/>
      <c r="BO200" s="154"/>
      <c r="BP200" s="153"/>
      <c r="BQ200" s="154"/>
      <c r="BR200" s="154"/>
      <c r="BS200" s="154"/>
      <c r="BT200" s="154"/>
      <c r="BU200" s="153"/>
      <c r="BV200" s="154"/>
      <c r="BW200" s="154"/>
      <c r="BX200" s="154"/>
      <c r="BY200" s="154"/>
      <c r="BZ200" s="153"/>
      <c r="CA200" s="154"/>
      <c r="CB200" s="154"/>
      <c r="CC200" s="154"/>
      <c r="CD200" s="154"/>
      <c r="CE200" s="153"/>
      <c r="CF200" s="154"/>
      <c r="CG200" s="154"/>
      <c r="CH200" s="154"/>
      <c r="CI200" s="154"/>
      <c r="CJ200" s="153"/>
      <c r="CK200" s="154"/>
      <c r="CL200" s="154"/>
      <c r="CM200" s="154"/>
      <c r="CN200" s="154"/>
      <c r="CO200" s="153"/>
      <c r="CP200" s="154"/>
      <c r="CQ200" s="154"/>
      <c r="CR200" s="154"/>
      <c r="CS200" s="154"/>
      <c r="CT200" s="153"/>
      <c r="CU200" s="154"/>
      <c r="CV200" s="154"/>
      <c r="CW200" s="154"/>
      <c r="CX200" s="154"/>
      <c r="CY200" s="153"/>
      <c r="CZ200" s="154"/>
      <c r="DA200" s="154"/>
      <c r="DB200" s="154"/>
      <c r="DC200" s="154"/>
      <c r="DD200" s="153"/>
      <c r="DE200" s="154"/>
      <c r="DF200" s="154"/>
      <c r="DG200" s="154"/>
      <c r="DH200" s="154"/>
      <c r="DI200" s="153"/>
      <c r="DJ200" s="154"/>
      <c r="DK200" s="154"/>
      <c r="DL200" s="154"/>
      <c r="DM200" s="154"/>
      <c r="DN200" s="153"/>
      <c r="DO200" s="154"/>
      <c r="DP200" s="154"/>
      <c r="DQ200" s="154"/>
      <c r="DR200" s="154"/>
      <c r="DS200" s="153"/>
      <c r="DT200" s="154"/>
      <c r="DU200" s="154"/>
      <c r="DV200" s="154"/>
      <c r="DW200" s="154"/>
      <c r="DX200" s="153"/>
      <c r="DY200" s="154"/>
      <c r="DZ200" s="154"/>
      <c r="EA200" s="154"/>
      <c r="EB200" s="154"/>
      <c r="EC200" s="153"/>
      <c r="ED200" s="154"/>
      <c r="EE200" s="154"/>
      <c r="EF200" s="154"/>
      <c r="EG200" s="154"/>
      <c r="EH200" s="153"/>
      <c r="EI200" s="154"/>
      <c r="EJ200" s="154"/>
      <c r="EK200" s="154"/>
      <c r="EL200" s="154"/>
      <c r="EM200" s="153"/>
      <c r="EN200" s="154"/>
      <c r="EO200" s="154"/>
      <c r="EP200" s="154"/>
      <c r="EQ200" s="154"/>
      <c r="ER200" s="153"/>
      <c r="ES200" s="154"/>
      <c r="ET200" s="154"/>
      <c r="EU200" s="154"/>
      <c r="EV200" s="154"/>
      <c r="EW200" s="153"/>
      <c r="EX200" s="154"/>
      <c r="EY200" s="154"/>
      <c r="EZ200" s="154"/>
      <c r="FA200" s="154"/>
      <c r="FB200" s="153"/>
      <c r="FC200" s="154"/>
      <c r="FD200" s="154"/>
      <c r="FE200" s="154"/>
      <c r="FF200" s="154"/>
      <c r="FG200" s="153"/>
      <c r="FH200" s="154"/>
      <c r="FI200" s="154"/>
      <c r="FJ200" s="154"/>
      <c r="FK200" s="154"/>
      <c r="FL200" s="153"/>
      <c r="FM200" s="154"/>
      <c r="FN200" s="154"/>
      <c r="FO200" s="154"/>
      <c r="FP200" s="154"/>
      <c r="FQ200" s="153"/>
      <c r="FR200" s="154"/>
      <c r="FS200" s="154"/>
      <c r="FT200" s="154"/>
      <c r="FU200" s="154"/>
      <c r="FV200" s="153"/>
      <c r="FW200" s="154"/>
      <c r="FX200" s="154"/>
      <c r="FY200" s="154"/>
      <c r="FZ200" s="154"/>
      <c r="GA200" s="153"/>
      <c r="GB200" s="154"/>
      <c r="GC200" s="154"/>
      <c r="GD200" s="154"/>
      <c r="GE200" s="154"/>
      <c r="GF200" s="153"/>
      <c r="GG200" s="154"/>
      <c r="GH200" s="154"/>
      <c r="GI200" s="154"/>
      <c r="GJ200" s="154"/>
    </row>
    <row r="201" spans="3:192" ht="12.75" customHeight="1">
      <c r="C201" s="153"/>
      <c r="D201" s="154"/>
      <c r="E201" s="154"/>
      <c r="F201" s="154"/>
      <c r="G201" s="154"/>
      <c r="H201" s="153"/>
      <c r="I201" s="154"/>
      <c r="J201" s="154"/>
      <c r="K201" s="154"/>
      <c r="L201" s="154"/>
      <c r="M201" s="153"/>
      <c r="N201" s="154"/>
      <c r="O201" s="154"/>
      <c r="P201" s="154"/>
      <c r="Q201" s="154"/>
      <c r="R201" s="153"/>
      <c r="S201" s="154"/>
      <c r="T201" s="154"/>
      <c r="U201" s="154"/>
      <c r="V201" s="154"/>
      <c r="W201" s="153"/>
      <c r="X201" s="154"/>
      <c r="Y201" s="154"/>
      <c r="Z201" s="154"/>
      <c r="AA201" s="154"/>
      <c r="AB201" s="153"/>
      <c r="AC201" s="154"/>
      <c r="AD201" s="154"/>
      <c r="AE201" s="154"/>
      <c r="AF201" s="154"/>
      <c r="AG201" s="153"/>
      <c r="AH201" s="154"/>
      <c r="AI201" s="154"/>
      <c r="AJ201" s="154"/>
      <c r="AK201" s="154"/>
      <c r="AL201" s="153"/>
      <c r="AM201" s="154"/>
      <c r="AN201" s="154"/>
      <c r="AO201" s="154"/>
      <c r="AP201" s="154"/>
      <c r="AQ201" s="153"/>
      <c r="AR201" s="154"/>
      <c r="AS201" s="154"/>
      <c r="AT201" s="154"/>
      <c r="AU201" s="154"/>
      <c r="AV201" s="153"/>
      <c r="AW201" s="154"/>
      <c r="AX201" s="154"/>
      <c r="AY201" s="154"/>
      <c r="AZ201" s="154"/>
      <c r="BA201" s="153"/>
      <c r="BB201" s="154"/>
      <c r="BC201" s="154"/>
      <c r="BD201" s="154"/>
      <c r="BE201" s="154"/>
      <c r="BF201" s="153"/>
      <c r="BG201" s="154"/>
      <c r="BH201" s="154"/>
      <c r="BI201" s="154"/>
      <c r="BJ201" s="154"/>
      <c r="BK201" s="153"/>
      <c r="BL201" s="154"/>
      <c r="BM201" s="154"/>
      <c r="BN201" s="154"/>
      <c r="BO201" s="154"/>
      <c r="BP201" s="153"/>
      <c r="BQ201" s="154"/>
      <c r="BR201" s="154"/>
      <c r="BS201" s="154"/>
      <c r="BT201" s="154"/>
      <c r="BU201" s="153"/>
      <c r="BV201" s="154"/>
      <c r="BW201" s="154"/>
      <c r="BX201" s="154"/>
      <c r="BY201" s="154"/>
      <c r="BZ201" s="153"/>
      <c r="CA201" s="154"/>
      <c r="CB201" s="154"/>
      <c r="CC201" s="154"/>
      <c r="CD201" s="154"/>
      <c r="CE201" s="153"/>
      <c r="CF201" s="154"/>
      <c r="CG201" s="154"/>
      <c r="CH201" s="154"/>
      <c r="CI201" s="154"/>
      <c r="CJ201" s="153"/>
      <c r="CK201" s="154"/>
      <c r="CL201" s="154"/>
      <c r="CM201" s="154"/>
      <c r="CN201" s="154"/>
      <c r="CO201" s="153"/>
      <c r="CP201" s="154"/>
      <c r="CQ201" s="154"/>
      <c r="CR201" s="154"/>
      <c r="CS201" s="154"/>
      <c r="CT201" s="153"/>
      <c r="CU201" s="154"/>
      <c r="CV201" s="154"/>
      <c r="CW201" s="154"/>
      <c r="CX201" s="154"/>
      <c r="CY201" s="153"/>
      <c r="CZ201" s="154"/>
      <c r="DA201" s="154"/>
      <c r="DB201" s="154"/>
      <c r="DC201" s="154"/>
      <c r="DD201" s="153"/>
      <c r="DE201" s="154"/>
      <c r="DF201" s="154"/>
      <c r="DG201" s="154"/>
      <c r="DH201" s="154"/>
      <c r="DI201" s="153"/>
      <c r="DJ201" s="154"/>
      <c r="DK201" s="154"/>
      <c r="DL201" s="154"/>
      <c r="DM201" s="154"/>
      <c r="DN201" s="153"/>
      <c r="DO201" s="154"/>
      <c r="DP201" s="154"/>
      <c r="DQ201" s="154"/>
      <c r="DR201" s="154"/>
      <c r="DS201" s="153"/>
      <c r="DT201" s="154"/>
      <c r="DU201" s="154"/>
      <c r="DV201" s="154"/>
      <c r="DW201" s="154"/>
      <c r="DX201" s="153"/>
      <c r="DY201" s="154"/>
      <c r="DZ201" s="154"/>
      <c r="EA201" s="154"/>
      <c r="EB201" s="154"/>
      <c r="EC201" s="153"/>
      <c r="ED201" s="154"/>
      <c r="EE201" s="154"/>
      <c r="EF201" s="154"/>
      <c r="EG201" s="154"/>
      <c r="EH201" s="153"/>
      <c r="EI201" s="154"/>
      <c r="EJ201" s="154"/>
      <c r="EK201" s="154"/>
      <c r="EL201" s="154"/>
      <c r="EM201" s="153"/>
      <c r="EN201" s="154"/>
      <c r="EO201" s="154"/>
      <c r="EP201" s="154"/>
      <c r="EQ201" s="154"/>
      <c r="ER201" s="153"/>
      <c r="ES201" s="154"/>
      <c r="ET201" s="154"/>
      <c r="EU201" s="154"/>
      <c r="EV201" s="154"/>
      <c r="EW201" s="153"/>
      <c r="EX201" s="154"/>
      <c r="EY201" s="154"/>
      <c r="EZ201" s="154"/>
      <c r="FA201" s="154"/>
      <c r="FB201" s="153"/>
      <c r="FC201" s="154"/>
      <c r="FD201" s="154"/>
      <c r="FE201" s="154"/>
      <c r="FF201" s="154"/>
      <c r="FG201" s="153"/>
      <c r="FH201" s="154"/>
      <c r="FI201" s="154"/>
      <c r="FJ201" s="154"/>
      <c r="FK201" s="154"/>
      <c r="FL201" s="153"/>
      <c r="FM201" s="154"/>
      <c r="FN201" s="154"/>
      <c r="FO201" s="154"/>
      <c r="FP201" s="154"/>
      <c r="FQ201" s="153"/>
      <c r="FR201" s="154"/>
      <c r="FS201" s="154"/>
      <c r="FT201" s="154"/>
      <c r="FU201" s="154"/>
      <c r="FV201" s="153"/>
      <c r="FW201" s="154"/>
      <c r="FX201" s="154"/>
      <c r="FY201" s="154"/>
      <c r="FZ201" s="154"/>
      <c r="GA201" s="153"/>
      <c r="GB201" s="154"/>
      <c r="GC201" s="154"/>
      <c r="GD201" s="154"/>
      <c r="GE201" s="154"/>
      <c r="GF201" s="153"/>
      <c r="GG201" s="154"/>
      <c r="GH201" s="154"/>
      <c r="GI201" s="154"/>
      <c r="GJ201" s="154"/>
    </row>
    <row r="202" spans="3:192" ht="12.75" customHeight="1">
      <c r="C202" s="151"/>
      <c r="D202" s="156"/>
      <c r="E202" s="156"/>
      <c r="F202" s="156"/>
      <c r="G202" s="156"/>
      <c r="H202" s="151"/>
      <c r="I202" s="156"/>
      <c r="J202" s="156"/>
      <c r="K202" s="156"/>
      <c r="L202" s="156"/>
      <c r="M202" s="151"/>
      <c r="N202" s="156"/>
      <c r="O202" s="156"/>
      <c r="P202" s="156"/>
      <c r="Q202" s="156"/>
      <c r="R202" s="151"/>
      <c r="S202" s="156"/>
      <c r="T202" s="156"/>
      <c r="U202" s="156"/>
      <c r="V202" s="156"/>
      <c r="W202" s="151"/>
      <c r="X202" s="156"/>
      <c r="Y202" s="156"/>
      <c r="Z202" s="156"/>
      <c r="AA202" s="156"/>
      <c r="AB202" s="151"/>
      <c r="AC202" s="156"/>
      <c r="AD202" s="156"/>
      <c r="AE202" s="156"/>
      <c r="AF202" s="156"/>
      <c r="AG202" s="151"/>
      <c r="AH202" s="156"/>
      <c r="AI202" s="156"/>
      <c r="AJ202" s="156"/>
      <c r="AK202" s="156"/>
      <c r="AL202" s="151"/>
      <c r="AM202" s="156"/>
      <c r="AN202" s="156"/>
      <c r="AO202" s="156"/>
      <c r="AP202" s="156"/>
      <c r="AQ202" s="151"/>
      <c r="AR202" s="156"/>
      <c r="AS202" s="156"/>
      <c r="AT202" s="156"/>
      <c r="AU202" s="156"/>
      <c r="AV202" s="151"/>
      <c r="AW202" s="156"/>
      <c r="AX202" s="156"/>
      <c r="AY202" s="156"/>
      <c r="AZ202" s="156"/>
      <c r="BA202" s="151"/>
      <c r="BB202" s="156"/>
      <c r="BC202" s="156"/>
      <c r="BD202" s="156"/>
      <c r="BE202" s="156"/>
      <c r="BF202" s="151"/>
      <c r="BG202" s="156"/>
      <c r="BH202" s="156"/>
      <c r="BI202" s="156"/>
      <c r="BJ202" s="156"/>
      <c r="BK202" s="151"/>
      <c r="BL202" s="156"/>
      <c r="BM202" s="156"/>
      <c r="BN202" s="156"/>
      <c r="BO202" s="156"/>
      <c r="BP202" s="151"/>
      <c r="BQ202" s="156"/>
      <c r="BR202" s="156"/>
      <c r="BS202" s="156"/>
      <c r="BT202" s="156"/>
      <c r="BU202" s="151"/>
      <c r="BV202" s="156"/>
      <c r="BW202" s="156"/>
      <c r="BX202" s="156"/>
      <c r="BY202" s="156"/>
      <c r="BZ202" s="151"/>
      <c r="CA202" s="156"/>
      <c r="CB202" s="156"/>
      <c r="CC202" s="156"/>
      <c r="CD202" s="156"/>
      <c r="CE202" s="151"/>
      <c r="CF202" s="156"/>
      <c r="CG202" s="156"/>
      <c r="CH202" s="156"/>
      <c r="CI202" s="156"/>
      <c r="CJ202" s="151"/>
      <c r="CK202" s="156"/>
      <c r="CL202" s="156"/>
      <c r="CM202" s="156"/>
      <c r="CN202" s="156"/>
      <c r="CO202" s="151"/>
      <c r="CP202" s="156"/>
      <c r="CQ202" s="156"/>
      <c r="CR202" s="156"/>
      <c r="CS202" s="156"/>
      <c r="CT202" s="151"/>
      <c r="CU202" s="156"/>
      <c r="CV202" s="156"/>
      <c r="CW202" s="156"/>
      <c r="CX202" s="156"/>
      <c r="CY202" s="151"/>
      <c r="CZ202" s="156"/>
      <c r="DA202" s="156"/>
      <c r="DB202" s="156"/>
      <c r="DC202" s="156"/>
      <c r="DD202" s="151"/>
      <c r="DE202" s="156"/>
      <c r="DF202" s="156"/>
      <c r="DG202" s="156"/>
      <c r="DH202" s="156"/>
      <c r="DI202" s="151"/>
      <c r="DJ202" s="156"/>
      <c r="DK202" s="156"/>
      <c r="DL202" s="156"/>
      <c r="DM202" s="156"/>
      <c r="DN202" s="151"/>
      <c r="DO202" s="156"/>
      <c r="DP202" s="156"/>
      <c r="DQ202" s="156"/>
      <c r="DR202" s="156"/>
      <c r="DS202" s="151"/>
      <c r="DT202" s="156"/>
      <c r="DU202" s="156"/>
      <c r="DV202" s="156"/>
      <c r="DW202" s="156"/>
      <c r="DX202" s="151"/>
      <c r="DY202" s="156"/>
      <c r="DZ202" s="156"/>
      <c r="EA202" s="156"/>
      <c r="EB202" s="156"/>
      <c r="EC202" s="151"/>
      <c r="ED202" s="156"/>
      <c r="EE202" s="156"/>
      <c r="EF202" s="156"/>
      <c r="EG202" s="156"/>
      <c r="EH202" s="151"/>
      <c r="EI202" s="156"/>
      <c r="EJ202" s="156"/>
      <c r="EK202" s="156"/>
      <c r="EL202" s="156"/>
      <c r="EM202" s="151"/>
      <c r="EN202" s="156"/>
      <c r="EO202" s="156"/>
      <c r="EP202" s="156"/>
      <c r="EQ202" s="156"/>
      <c r="ER202" s="151"/>
      <c r="ES202" s="156"/>
      <c r="ET202" s="156"/>
      <c r="EU202" s="156"/>
      <c r="EV202" s="156"/>
      <c r="EW202" s="151"/>
      <c r="EX202" s="156"/>
      <c r="EY202" s="156"/>
      <c r="EZ202" s="156"/>
      <c r="FA202" s="156"/>
      <c r="FB202" s="151"/>
      <c r="FC202" s="156"/>
      <c r="FD202" s="156"/>
      <c r="FE202" s="156"/>
      <c r="FF202" s="156"/>
      <c r="FG202" s="151"/>
      <c r="FH202" s="156"/>
      <c r="FI202" s="156"/>
      <c r="FJ202" s="156"/>
      <c r="FK202" s="156"/>
      <c r="FL202" s="151"/>
      <c r="FM202" s="156"/>
      <c r="FN202" s="156"/>
      <c r="FO202" s="156"/>
      <c r="FP202" s="156"/>
      <c r="FQ202" s="151"/>
      <c r="FR202" s="156"/>
      <c r="FS202" s="156"/>
      <c r="FT202" s="156"/>
      <c r="FU202" s="156"/>
      <c r="FV202" s="151"/>
      <c r="FW202" s="156"/>
      <c r="FX202" s="156"/>
      <c r="FY202" s="156"/>
      <c r="FZ202" s="156"/>
      <c r="GA202" s="151"/>
      <c r="GB202" s="156"/>
      <c r="GC202" s="156"/>
      <c r="GD202" s="156"/>
      <c r="GE202" s="156"/>
      <c r="GF202" s="151"/>
      <c r="GG202" s="156"/>
      <c r="GH202" s="156"/>
      <c r="GI202" s="156"/>
      <c r="GJ202" s="156"/>
    </row>
    <row r="203" spans="3:192" ht="12.75" customHeight="1">
      <c r="C203" s="153"/>
      <c r="D203" s="154"/>
      <c r="E203" s="154"/>
      <c r="F203" s="154"/>
      <c r="G203" s="154"/>
      <c r="H203" s="153"/>
      <c r="I203" s="154"/>
      <c r="J203" s="154"/>
      <c r="K203" s="154"/>
      <c r="L203" s="154"/>
      <c r="M203" s="153"/>
      <c r="N203" s="154"/>
      <c r="O203" s="154"/>
      <c r="P203" s="154"/>
      <c r="Q203" s="154"/>
      <c r="R203" s="153"/>
      <c r="S203" s="154"/>
      <c r="T203" s="154"/>
      <c r="U203" s="154"/>
      <c r="V203" s="154"/>
      <c r="W203" s="153"/>
      <c r="X203" s="154"/>
      <c r="Y203" s="154"/>
      <c r="Z203" s="154"/>
      <c r="AA203" s="154"/>
      <c r="AB203" s="153"/>
      <c r="AC203" s="154"/>
      <c r="AD203" s="154"/>
      <c r="AE203" s="154"/>
      <c r="AF203" s="154"/>
      <c r="AG203" s="153"/>
      <c r="AH203" s="154"/>
      <c r="AI203" s="154"/>
      <c r="AJ203" s="154"/>
      <c r="AK203" s="154"/>
      <c r="AL203" s="153"/>
      <c r="AM203" s="154"/>
      <c r="AN203" s="154"/>
      <c r="AO203" s="154"/>
      <c r="AP203" s="154"/>
      <c r="AQ203" s="153"/>
      <c r="AR203" s="154"/>
      <c r="AS203" s="154"/>
      <c r="AT203" s="154"/>
      <c r="AU203" s="154"/>
      <c r="AV203" s="153"/>
      <c r="AW203" s="154"/>
      <c r="AX203" s="154"/>
      <c r="AY203" s="154"/>
      <c r="AZ203" s="154"/>
      <c r="BA203" s="153"/>
      <c r="BB203" s="154"/>
      <c r="BC203" s="154"/>
      <c r="BD203" s="154"/>
      <c r="BE203" s="154"/>
      <c r="BF203" s="153"/>
      <c r="BG203" s="154"/>
      <c r="BH203" s="154"/>
      <c r="BI203" s="154"/>
      <c r="BJ203" s="154"/>
      <c r="BK203" s="153"/>
      <c r="BL203" s="154"/>
      <c r="BM203" s="154"/>
      <c r="BN203" s="154"/>
      <c r="BO203" s="154"/>
      <c r="BP203" s="153"/>
      <c r="BQ203" s="154"/>
      <c r="BR203" s="154"/>
      <c r="BS203" s="154"/>
      <c r="BT203" s="154"/>
      <c r="BU203" s="153"/>
      <c r="BV203" s="154"/>
      <c r="BW203" s="154"/>
      <c r="BX203" s="154"/>
      <c r="BY203" s="154"/>
      <c r="BZ203" s="153"/>
      <c r="CA203" s="154"/>
      <c r="CB203" s="154"/>
      <c r="CC203" s="154"/>
      <c r="CD203" s="154"/>
      <c r="CE203" s="153"/>
      <c r="CF203" s="154"/>
      <c r="CG203" s="154"/>
      <c r="CH203" s="154"/>
      <c r="CI203" s="154"/>
      <c r="CJ203" s="153"/>
      <c r="CK203" s="154"/>
      <c r="CL203" s="154"/>
      <c r="CM203" s="154"/>
      <c r="CN203" s="154"/>
      <c r="CO203" s="153"/>
      <c r="CP203" s="154"/>
      <c r="CQ203" s="154"/>
      <c r="CR203" s="154"/>
      <c r="CS203" s="154"/>
      <c r="CT203" s="153"/>
      <c r="CU203" s="154"/>
      <c r="CV203" s="154"/>
      <c r="CW203" s="154"/>
      <c r="CX203" s="154"/>
      <c r="CY203" s="153"/>
      <c r="CZ203" s="154"/>
      <c r="DA203" s="154"/>
      <c r="DB203" s="154"/>
      <c r="DC203" s="154"/>
      <c r="DD203" s="153"/>
      <c r="DE203" s="154"/>
      <c r="DF203" s="154"/>
      <c r="DG203" s="154"/>
      <c r="DH203" s="154"/>
      <c r="DI203" s="153"/>
      <c r="DJ203" s="154"/>
      <c r="DK203" s="154"/>
      <c r="DL203" s="154"/>
      <c r="DM203" s="154"/>
      <c r="DN203" s="153"/>
      <c r="DO203" s="154"/>
      <c r="DP203" s="154"/>
      <c r="DQ203" s="154"/>
      <c r="DR203" s="154"/>
      <c r="DS203" s="153"/>
      <c r="DT203" s="154"/>
      <c r="DU203" s="154"/>
      <c r="DV203" s="154"/>
      <c r="DW203" s="154"/>
      <c r="DX203" s="153"/>
      <c r="DY203" s="154"/>
      <c r="DZ203" s="154"/>
      <c r="EA203" s="154"/>
      <c r="EB203" s="154"/>
      <c r="EC203" s="153"/>
      <c r="ED203" s="154"/>
      <c r="EE203" s="154"/>
      <c r="EF203" s="154"/>
      <c r="EG203" s="154"/>
      <c r="EH203" s="153"/>
      <c r="EI203" s="154"/>
      <c r="EJ203" s="154"/>
      <c r="EK203" s="154"/>
      <c r="EL203" s="154"/>
      <c r="EM203" s="153"/>
      <c r="EN203" s="154"/>
      <c r="EO203" s="154"/>
      <c r="EP203" s="154"/>
      <c r="EQ203" s="154"/>
      <c r="ER203" s="153"/>
      <c r="ES203" s="154"/>
      <c r="ET203" s="154"/>
      <c r="EU203" s="154"/>
      <c r="EV203" s="154"/>
      <c r="EW203" s="153"/>
      <c r="EX203" s="154"/>
      <c r="EY203" s="154"/>
      <c r="EZ203" s="154"/>
      <c r="FA203" s="154"/>
      <c r="FB203" s="153"/>
      <c r="FC203" s="154"/>
      <c r="FD203" s="154"/>
      <c r="FE203" s="154"/>
      <c r="FF203" s="154"/>
      <c r="FG203" s="153"/>
      <c r="FH203" s="154"/>
      <c r="FI203" s="154"/>
      <c r="FJ203" s="154"/>
      <c r="FK203" s="154"/>
      <c r="FL203" s="153"/>
      <c r="FM203" s="154"/>
      <c r="FN203" s="154"/>
      <c r="FO203" s="154"/>
      <c r="FP203" s="154"/>
      <c r="FQ203" s="153"/>
      <c r="FR203" s="154"/>
      <c r="FS203" s="154"/>
      <c r="FT203" s="154"/>
      <c r="FU203" s="154"/>
      <c r="FV203" s="153"/>
      <c r="FW203" s="154"/>
      <c r="FX203" s="154"/>
      <c r="FY203" s="154"/>
      <c r="FZ203" s="154"/>
      <c r="GA203" s="153"/>
      <c r="GB203" s="154"/>
      <c r="GC203" s="154"/>
      <c r="GD203" s="154"/>
      <c r="GE203" s="154"/>
      <c r="GF203" s="153"/>
      <c r="GG203" s="154"/>
      <c r="GH203" s="154"/>
      <c r="GI203" s="154"/>
      <c r="GJ203" s="154"/>
    </row>
    <row r="204" spans="3:192" ht="12.75" customHeight="1">
      <c r="C204" s="153"/>
      <c r="D204" s="154"/>
      <c r="E204" s="154"/>
      <c r="F204" s="154"/>
      <c r="G204" s="154"/>
      <c r="H204" s="153"/>
      <c r="I204" s="154"/>
      <c r="J204" s="154"/>
      <c r="K204" s="154"/>
      <c r="L204" s="154"/>
      <c r="M204" s="153"/>
      <c r="N204" s="154"/>
      <c r="O204" s="154"/>
      <c r="P204" s="154"/>
      <c r="Q204" s="154"/>
      <c r="R204" s="153"/>
      <c r="S204" s="154"/>
      <c r="T204" s="154"/>
      <c r="U204" s="154"/>
      <c r="V204" s="154"/>
      <c r="W204" s="153"/>
      <c r="X204" s="154"/>
      <c r="Y204" s="154"/>
      <c r="Z204" s="154"/>
      <c r="AA204" s="154"/>
      <c r="AB204" s="153"/>
      <c r="AC204" s="154"/>
      <c r="AD204" s="154"/>
      <c r="AE204" s="154"/>
      <c r="AF204" s="154"/>
      <c r="AG204" s="153"/>
      <c r="AH204" s="154"/>
      <c r="AI204" s="154"/>
      <c r="AJ204" s="154"/>
      <c r="AK204" s="154"/>
      <c r="AL204" s="153"/>
      <c r="AM204" s="154"/>
      <c r="AN204" s="154"/>
      <c r="AO204" s="154"/>
      <c r="AP204" s="154"/>
      <c r="AQ204" s="153"/>
      <c r="AR204" s="154"/>
      <c r="AS204" s="154"/>
      <c r="AT204" s="154"/>
      <c r="AU204" s="154"/>
      <c r="AV204" s="153"/>
      <c r="AW204" s="154"/>
      <c r="AX204" s="154"/>
      <c r="AY204" s="154"/>
      <c r="AZ204" s="154"/>
      <c r="BA204" s="153"/>
      <c r="BB204" s="154"/>
      <c r="BC204" s="154"/>
      <c r="BD204" s="154"/>
      <c r="BE204" s="154"/>
      <c r="BF204" s="153"/>
      <c r="BG204" s="154"/>
      <c r="BH204" s="154"/>
      <c r="BI204" s="154"/>
      <c r="BJ204" s="154"/>
      <c r="BK204" s="153"/>
      <c r="BL204" s="154"/>
      <c r="BM204" s="154"/>
      <c r="BN204" s="154"/>
      <c r="BO204" s="154"/>
      <c r="BP204" s="153"/>
      <c r="BQ204" s="154"/>
      <c r="BR204" s="154"/>
      <c r="BS204" s="154"/>
      <c r="BT204" s="154"/>
      <c r="BU204" s="153"/>
      <c r="BV204" s="154"/>
      <c r="BW204" s="154"/>
      <c r="BX204" s="154"/>
      <c r="BY204" s="154"/>
      <c r="BZ204" s="153"/>
      <c r="CA204" s="154"/>
      <c r="CB204" s="154"/>
      <c r="CC204" s="154"/>
      <c r="CD204" s="154"/>
      <c r="CE204" s="153"/>
      <c r="CF204" s="154"/>
      <c r="CG204" s="154"/>
      <c r="CH204" s="154"/>
      <c r="CI204" s="154"/>
      <c r="CJ204" s="153"/>
      <c r="CK204" s="154"/>
      <c r="CL204" s="154"/>
      <c r="CM204" s="154"/>
      <c r="CN204" s="154"/>
      <c r="CO204" s="153"/>
      <c r="CP204" s="154"/>
      <c r="CQ204" s="154"/>
      <c r="CR204" s="154"/>
      <c r="CS204" s="154"/>
      <c r="CT204" s="153"/>
      <c r="CU204" s="154"/>
      <c r="CV204" s="154"/>
      <c r="CW204" s="154"/>
      <c r="CX204" s="154"/>
      <c r="CY204" s="153"/>
      <c r="CZ204" s="154"/>
      <c r="DA204" s="154"/>
      <c r="DB204" s="154"/>
      <c r="DC204" s="154"/>
      <c r="DD204" s="153"/>
      <c r="DE204" s="154"/>
      <c r="DF204" s="154"/>
      <c r="DG204" s="154"/>
      <c r="DH204" s="154"/>
      <c r="DI204" s="153"/>
      <c r="DJ204" s="154"/>
      <c r="DK204" s="154"/>
      <c r="DL204" s="154"/>
      <c r="DM204" s="154"/>
      <c r="DN204" s="153"/>
      <c r="DO204" s="154"/>
      <c r="DP204" s="154"/>
      <c r="DQ204" s="154"/>
      <c r="DR204" s="154"/>
      <c r="DS204" s="153"/>
      <c r="DT204" s="154"/>
      <c r="DU204" s="154"/>
      <c r="DV204" s="154"/>
      <c r="DW204" s="154"/>
      <c r="DX204" s="153"/>
      <c r="DY204" s="154"/>
      <c r="DZ204" s="154"/>
      <c r="EA204" s="154"/>
      <c r="EB204" s="154"/>
      <c r="EC204" s="153"/>
      <c r="ED204" s="154"/>
      <c r="EE204" s="154"/>
      <c r="EF204" s="154"/>
      <c r="EG204" s="154"/>
      <c r="EH204" s="153"/>
      <c r="EI204" s="154"/>
      <c r="EJ204" s="154"/>
      <c r="EK204" s="154"/>
      <c r="EL204" s="154"/>
      <c r="EM204" s="153"/>
      <c r="EN204" s="154"/>
      <c r="EO204" s="154"/>
      <c r="EP204" s="154"/>
      <c r="EQ204" s="154"/>
      <c r="ER204" s="153"/>
      <c r="ES204" s="154"/>
      <c r="ET204" s="154"/>
      <c r="EU204" s="154"/>
      <c r="EV204" s="154"/>
      <c r="EW204" s="153"/>
      <c r="EX204" s="154"/>
      <c r="EY204" s="154"/>
      <c r="EZ204" s="154"/>
      <c r="FA204" s="154"/>
      <c r="FB204" s="153"/>
      <c r="FC204" s="154"/>
      <c r="FD204" s="154"/>
      <c r="FE204" s="154"/>
      <c r="FF204" s="154"/>
      <c r="FG204" s="153"/>
      <c r="FH204" s="154"/>
      <c r="FI204" s="154"/>
      <c r="FJ204" s="154"/>
      <c r="FK204" s="154"/>
      <c r="FL204" s="153"/>
      <c r="FM204" s="154"/>
      <c r="FN204" s="154"/>
      <c r="FO204" s="154"/>
      <c r="FP204" s="154"/>
      <c r="FQ204" s="153"/>
      <c r="FR204" s="154"/>
      <c r="FS204" s="154"/>
      <c r="FT204" s="154"/>
      <c r="FU204" s="154"/>
      <c r="FV204" s="153"/>
      <c r="FW204" s="154"/>
      <c r="FX204" s="154"/>
      <c r="FY204" s="154"/>
      <c r="FZ204" s="154"/>
      <c r="GA204" s="153"/>
      <c r="GB204" s="154"/>
      <c r="GC204" s="154"/>
      <c r="GD204" s="154"/>
      <c r="GE204" s="154"/>
      <c r="GF204" s="153"/>
      <c r="GG204" s="154"/>
      <c r="GH204" s="154"/>
      <c r="GI204" s="154"/>
      <c r="GJ204" s="154"/>
    </row>
    <row r="205" spans="3:192" ht="12.75" customHeight="1">
      <c r="C205" s="153"/>
      <c r="D205" s="154"/>
      <c r="E205" s="154"/>
      <c r="F205" s="154"/>
      <c r="G205" s="154"/>
      <c r="H205" s="153"/>
      <c r="I205" s="154"/>
      <c r="J205" s="154"/>
      <c r="K205" s="154"/>
      <c r="L205" s="154"/>
      <c r="M205" s="153"/>
      <c r="N205" s="154"/>
      <c r="O205" s="154"/>
      <c r="P205" s="154"/>
      <c r="Q205" s="154"/>
      <c r="R205" s="153"/>
      <c r="S205" s="154"/>
      <c r="T205" s="154"/>
      <c r="U205" s="154"/>
      <c r="V205" s="154"/>
      <c r="W205" s="153"/>
      <c r="X205" s="154"/>
      <c r="Y205" s="154"/>
      <c r="Z205" s="154"/>
      <c r="AA205" s="154"/>
      <c r="AB205" s="153"/>
      <c r="AC205" s="154"/>
      <c r="AD205" s="154"/>
      <c r="AE205" s="154"/>
      <c r="AF205" s="154"/>
      <c r="AG205" s="153"/>
      <c r="AH205" s="154"/>
      <c r="AI205" s="154"/>
      <c r="AJ205" s="154"/>
      <c r="AK205" s="154"/>
      <c r="AL205" s="153"/>
      <c r="AM205" s="154"/>
      <c r="AN205" s="154"/>
      <c r="AO205" s="154"/>
      <c r="AP205" s="154"/>
      <c r="AQ205" s="153"/>
      <c r="AR205" s="154"/>
      <c r="AS205" s="154"/>
      <c r="AT205" s="154"/>
      <c r="AU205" s="154"/>
      <c r="AV205" s="153"/>
      <c r="AW205" s="154"/>
      <c r="AX205" s="154"/>
      <c r="AY205" s="154"/>
      <c r="AZ205" s="154"/>
      <c r="BA205" s="153"/>
      <c r="BB205" s="154"/>
      <c r="BC205" s="154"/>
      <c r="BD205" s="154"/>
      <c r="BE205" s="154"/>
      <c r="BF205" s="153"/>
      <c r="BG205" s="154"/>
      <c r="BH205" s="154"/>
      <c r="BI205" s="154"/>
      <c r="BJ205" s="154"/>
      <c r="BK205" s="153"/>
      <c r="BL205" s="154"/>
      <c r="BM205" s="154"/>
      <c r="BN205" s="154"/>
      <c r="BO205" s="154"/>
      <c r="BP205" s="153"/>
      <c r="BQ205" s="154"/>
      <c r="BR205" s="154"/>
      <c r="BS205" s="154"/>
      <c r="BT205" s="154"/>
      <c r="BU205" s="153"/>
      <c r="BV205" s="154"/>
      <c r="BW205" s="154"/>
      <c r="BX205" s="154"/>
      <c r="BY205" s="154"/>
      <c r="BZ205" s="153"/>
      <c r="CA205" s="154"/>
      <c r="CB205" s="154"/>
      <c r="CC205" s="154"/>
      <c r="CD205" s="154"/>
      <c r="CE205" s="153"/>
      <c r="CF205" s="154"/>
      <c r="CG205" s="154"/>
      <c r="CH205" s="154"/>
      <c r="CI205" s="154"/>
      <c r="CJ205" s="153"/>
      <c r="CK205" s="154"/>
      <c r="CL205" s="154"/>
      <c r="CM205" s="154"/>
      <c r="CN205" s="154"/>
      <c r="CO205" s="153"/>
      <c r="CP205" s="154"/>
      <c r="CQ205" s="154"/>
      <c r="CR205" s="154"/>
      <c r="CS205" s="154"/>
      <c r="CT205" s="153"/>
      <c r="CU205" s="154"/>
      <c r="CV205" s="154"/>
      <c r="CW205" s="154"/>
      <c r="CX205" s="154"/>
      <c r="CY205" s="153"/>
      <c r="CZ205" s="154"/>
      <c r="DA205" s="154"/>
      <c r="DB205" s="154"/>
      <c r="DC205" s="154"/>
      <c r="DD205" s="153"/>
      <c r="DE205" s="154"/>
      <c r="DF205" s="154"/>
      <c r="DG205" s="154"/>
      <c r="DH205" s="154"/>
      <c r="DI205" s="153"/>
      <c r="DJ205" s="154"/>
      <c r="DK205" s="154"/>
      <c r="DL205" s="154"/>
      <c r="DM205" s="154"/>
      <c r="DN205" s="153"/>
      <c r="DO205" s="154"/>
      <c r="DP205" s="154"/>
      <c r="DQ205" s="154"/>
      <c r="DR205" s="154"/>
      <c r="DS205" s="153"/>
      <c r="DT205" s="154"/>
      <c r="DU205" s="154"/>
      <c r="DV205" s="154"/>
      <c r="DW205" s="154"/>
      <c r="DX205" s="153"/>
      <c r="DY205" s="154"/>
      <c r="DZ205" s="154"/>
      <c r="EA205" s="154"/>
      <c r="EB205" s="154"/>
      <c r="EC205" s="153"/>
      <c r="ED205" s="154"/>
      <c r="EE205" s="154"/>
      <c r="EF205" s="154"/>
      <c r="EG205" s="154"/>
      <c r="EH205" s="153"/>
      <c r="EI205" s="154"/>
      <c r="EJ205" s="154"/>
      <c r="EK205" s="154"/>
      <c r="EL205" s="154"/>
      <c r="EM205" s="153"/>
      <c r="EN205" s="154"/>
      <c r="EO205" s="154"/>
      <c r="EP205" s="154"/>
      <c r="EQ205" s="154"/>
      <c r="ER205" s="153"/>
      <c r="ES205" s="154"/>
      <c r="ET205" s="154"/>
      <c r="EU205" s="154"/>
      <c r="EV205" s="154"/>
      <c r="EW205" s="153"/>
      <c r="EX205" s="154"/>
      <c r="EY205" s="154"/>
      <c r="EZ205" s="154"/>
      <c r="FA205" s="154"/>
      <c r="FB205" s="153"/>
      <c r="FC205" s="154"/>
      <c r="FD205" s="154"/>
      <c r="FE205" s="154"/>
      <c r="FF205" s="154"/>
      <c r="FG205" s="153"/>
      <c r="FH205" s="154"/>
      <c r="FI205" s="154"/>
      <c r="FJ205" s="154"/>
      <c r="FK205" s="154"/>
      <c r="FL205" s="153"/>
      <c r="FM205" s="154"/>
      <c r="FN205" s="154"/>
      <c r="FO205" s="154"/>
      <c r="FP205" s="154"/>
      <c r="FQ205" s="153"/>
      <c r="FR205" s="154"/>
      <c r="FS205" s="154"/>
      <c r="FT205" s="154"/>
      <c r="FU205" s="154"/>
      <c r="FV205" s="153"/>
      <c r="FW205" s="154"/>
      <c r="FX205" s="154"/>
      <c r="FY205" s="154"/>
      <c r="FZ205" s="154"/>
      <c r="GA205" s="153"/>
      <c r="GB205" s="154"/>
      <c r="GC205" s="154"/>
      <c r="GD205" s="154"/>
      <c r="GE205" s="154"/>
      <c r="GF205" s="153"/>
      <c r="GG205" s="154"/>
      <c r="GH205" s="154"/>
      <c r="GI205" s="154"/>
      <c r="GJ205" s="154"/>
    </row>
    <row r="206" spans="3:192" ht="12.75" customHeight="1">
      <c r="C206" s="161"/>
      <c r="D206" s="162"/>
      <c r="E206" s="162"/>
      <c r="F206" s="162"/>
      <c r="G206" s="162"/>
      <c r="H206" s="161"/>
      <c r="I206" s="162"/>
      <c r="J206" s="162"/>
      <c r="K206" s="162"/>
      <c r="L206" s="162"/>
      <c r="M206" s="161"/>
      <c r="N206" s="162"/>
      <c r="O206" s="162"/>
      <c r="P206" s="162"/>
      <c r="Q206" s="162"/>
      <c r="R206" s="161"/>
      <c r="S206" s="162"/>
      <c r="T206" s="162"/>
      <c r="U206" s="162"/>
      <c r="V206" s="162"/>
      <c r="W206" s="161"/>
      <c r="X206" s="162"/>
      <c r="Y206" s="162"/>
      <c r="Z206" s="162"/>
      <c r="AA206" s="162"/>
      <c r="AB206" s="161"/>
      <c r="AC206" s="162"/>
      <c r="AD206" s="162"/>
      <c r="AE206" s="162"/>
      <c r="AF206" s="162"/>
      <c r="AG206" s="161"/>
      <c r="AH206" s="162"/>
      <c r="AI206" s="162"/>
      <c r="AJ206" s="162"/>
      <c r="AK206" s="162"/>
      <c r="AL206" s="161"/>
      <c r="AM206" s="162"/>
      <c r="AN206" s="162"/>
      <c r="AO206" s="162"/>
      <c r="AP206" s="162"/>
      <c r="AQ206" s="161"/>
      <c r="AR206" s="162"/>
      <c r="AS206" s="162"/>
      <c r="AT206" s="162"/>
      <c r="AU206" s="162"/>
      <c r="AV206" s="161"/>
      <c r="AW206" s="162"/>
      <c r="AX206" s="162"/>
      <c r="AY206" s="162"/>
      <c r="AZ206" s="162"/>
      <c r="BA206" s="161"/>
      <c r="BB206" s="162"/>
      <c r="BC206" s="162"/>
      <c r="BD206" s="162"/>
      <c r="BE206" s="162"/>
      <c r="BF206" s="161"/>
      <c r="BG206" s="162"/>
      <c r="BH206" s="162"/>
      <c r="BI206" s="162"/>
      <c r="BJ206" s="162"/>
      <c r="BK206" s="161"/>
      <c r="BL206" s="162"/>
      <c r="BM206" s="162"/>
      <c r="BN206" s="162"/>
      <c r="BO206" s="162"/>
      <c r="BP206" s="161"/>
      <c r="BQ206" s="162"/>
      <c r="BR206" s="162"/>
      <c r="BS206" s="162"/>
      <c r="BT206" s="162"/>
      <c r="BU206" s="161"/>
      <c r="BV206" s="162"/>
      <c r="BW206" s="162"/>
      <c r="BX206" s="162"/>
      <c r="BY206" s="162"/>
      <c r="BZ206" s="161"/>
      <c r="CA206" s="162"/>
      <c r="CB206" s="162"/>
      <c r="CC206" s="162"/>
      <c r="CD206" s="162"/>
      <c r="CE206" s="161"/>
      <c r="CF206" s="162"/>
      <c r="CG206" s="162"/>
      <c r="CH206" s="162"/>
      <c r="CI206" s="162"/>
      <c r="CJ206" s="161"/>
      <c r="CK206" s="162"/>
      <c r="CL206" s="162"/>
      <c r="CM206" s="162"/>
      <c r="CN206" s="162"/>
      <c r="CO206" s="161"/>
      <c r="CP206" s="162"/>
      <c r="CQ206" s="162"/>
      <c r="CR206" s="162"/>
      <c r="CS206" s="162"/>
      <c r="CT206" s="161"/>
      <c r="CU206" s="162"/>
      <c r="CV206" s="162"/>
      <c r="CW206" s="162"/>
      <c r="CX206" s="162"/>
      <c r="CY206" s="161"/>
      <c r="CZ206" s="162"/>
      <c r="DA206" s="162"/>
      <c r="DB206" s="162"/>
      <c r="DC206" s="162"/>
      <c r="DD206" s="161"/>
      <c r="DE206" s="162"/>
      <c r="DF206" s="162"/>
      <c r="DG206" s="162"/>
      <c r="DH206" s="162"/>
      <c r="DI206" s="161"/>
      <c r="DJ206" s="162"/>
      <c r="DK206" s="162"/>
      <c r="DL206" s="162"/>
      <c r="DM206" s="162"/>
      <c r="DN206" s="161"/>
      <c r="DO206" s="162"/>
      <c r="DP206" s="162"/>
      <c r="DQ206" s="162"/>
      <c r="DR206" s="162"/>
      <c r="DS206" s="161"/>
      <c r="DT206" s="162"/>
      <c r="DU206" s="162"/>
      <c r="DV206" s="162"/>
      <c r="DW206" s="162"/>
      <c r="DX206" s="161"/>
      <c r="DY206" s="162"/>
      <c r="DZ206" s="162"/>
      <c r="EA206" s="162"/>
      <c r="EB206" s="162"/>
      <c r="EC206" s="161"/>
      <c r="ED206" s="162"/>
      <c r="EE206" s="162"/>
      <c r="EF206" s="162"/>
      <c r="EG206" s="162"/>
      <c r="EH206" s="161"/>
      <c r="EI206" s="162"/>
      <c r="EJ206" s="162"/>
      <c r="EK206" s="162"/>
      <c r="EL206" s="162"/>
      <c r="EM206" s="161"/>
      <c r="EN206" s="162"/>
      <c r="EO206" s="162"/>
      <c r="EP206" s="162"/>
      <c r="EQ206" s="162"/>
      <c r="ER206" s="161"/>
      <c r="ES206" s="162"/>
      <c r="ET206" s="162"/>
      <c r="EU206" s="162"/>
      <c r="EV206" s="162"/>
      <c r="EW206" s="161"/>
      <c r="EX206" s="162"/>
      <c r="EY206" s="162"/>
      <c r="EZ206" s="162"/>
      <c r="FA206" s="162"/>
      <c r="FB206" s="161"/>
      <c r="FC206" s="162"/>
      <c r="FD206" s="162"/>
      <c r="FE206" s="162"/>
      <c r="FF206" s="162"/>
      <c r="FG206" s="161"/>
      <c r="FH206" s="162"/>
      <c r="FI206" s="162"/>
      <c r="FJ206" s="162"/>
      <c r="FK206" s="162"/>
      <c r="FL206" s="161"/>
      <c r="FM206" s="162"/>
      <c r="FN206" s="162"/>
      <c r="FO206" s="162"/>
      <c r="FP206" s="162"/>
      <c r="FQ206" s="161"/>
      <c r="FR206" s="162"/>
      <c r="FS206" s="162"/>
      <c r="FT206" s="162"/>
      <c r="FU206" s="162"/>
      <c r="FV206" s="161"/>
      <c r="FW206" s="162"/>
      <c r="FX206" s="162"/>
      <c r="FY206" s="162"/>
      <c r="FZ206" s="162"/>
      <c r="GA206" s="161"/>
      <c r="GB206" s="162"/>
      <c r="GC206" s="162"/>
      <c r="GD206" s="162"/>
      <c r="GE206" s="162"/>
      <c r="GF206" s="161"/>
      <c r="GG206" s="162"/>
      <c r="GH206" s="162"/>
      <c r="GI206" s="162"/>
      <c r="GJ206" s="162"/>
    </row>
    <row r="207" spans="3:192" ht="12.75" customHeight="1">
      <c r="C207" s="153"/>
      <c r="D207" s="154"/>
      <c r="E207" s="154"/>
      <c r="F207" s="154"/>
      <c r="G207" s="154"/>
      <c r="H207" s="153"/>
      <c r="I207" s="154"/>
      <c r="J207" s="154"/>
      <c r="K207" s="154"/>
      <c r="L207" s="154"/>
      <c r="M207" s="153"/>
      <c r="N207" s="154"/>
      <c r="O207" s="154"/>
      <c r="P207" s="154"/>
      <c r="Q207" s="154"/>
      <c r="R207" s="153"/>
      <c r="S207" s="154"/>
      <c r="T207" s="154"/>
      <c r="U207" s="154"/>
      <c r="V207" s="154"/>
      <c r="W207" s="153"/>
      <c r="X207" s="154"/>
      <c r="Y207" s="154"/>
      <c r="Z207" s="154"/>
      <c r="AA207" s="154"/>
      <c r="AB207" s="153"/>
      <c r="AC207" s="154"/>
      <c r="AD207" s="154"/>
      <c r="AE207" s="154"/>
      <c r="AF207" s="154"/>
      <c r="AG207" s="153"/>
      <c r="AH207" s="154"/>
      <c r="AI207" s="154"/>
      <c r="AJ207" s="154"/>
      <c r="AK207" s="154"/>
      <c r="AL207" s="153"/>
      <c r="AM207" s="154"/>
      <c r="AN207" s="154"/>
      <c r="AO207" s="154"/>
      <c r="AP207" s="154"/>
      <c r="AQ207" s="153"/>
      <c r="AR207" s="154"/>
      <c r="AS207" s="154"/>
      <c r="AT207" s="154"/>
      <c r="AU207" s="154"/>
      <c r="AV207" s="153"/>
      <c r="AW207" s="154"/>
      <c r="AX207" s="154"/>
      <c r="AY207" s="154"/>
      <c r="AZ207" s="154"/>
      <c r="BA207" s="153"/>
      <c r="BB207" s="154"/>
      <c r="BC207" s="154"/>
      <c r="BD207" s="154"/>
      <c r="BE207" s="154"/>
      <c r="BF207" s="153"/>
      <c r="BG207" s="154"/>
      <c r="BH207" s="154"/>
      <c r="BI207" s="154"/>
      <c r="BJ207" s="154"/>
      <c r="BK207" s="153"/>
      <c r="BL207" s="154"/>
      <c r="BM207" s="154"/>
      <c r="BN207" s="154"/>
      <c r="BO207" s="154"/>
      <c r="BP207" s="153"/>
      <c r="BQ207" s="154"/>
      <c r="BR207" s="154"/>
      <c r="BS207" s="154"/>
      <c r="BT207" s="154"/>
      <c r="BU207" s="153"/>
      <c r="BV207" s="154"/>
      <c r="BW207" s="154"/>
      <c r="BX207" s="154"/>
      <c r="BY207" s="154"/>
      <c r="BZ207" s="153"/>
      <c r="CA207" s="154"/>
      <c r="CB207" s="154"/>
      <c r="CC207" s="154"/>
      <c r="CD207" s="154"/>
      <c r="CE207" s="153"/>
      <c r="CF207" s="154"/>
      <c r="CG207" s="154"/>
      <c r="CH207" s="154"/>
      <c r="CI207" s="154"/>
      <c r="CJ207" s="153"/>
      <c r="CK207" s="154"/>
      <c r="CL207" s="154"/>
      <c r="CM207" s="154"/>
      <c r="CN207" s="154"/>
      <c r="CO207" s="153"/>
      <c r="CP207" s="154"/>
      <c r="CQ207" s="154"/>
      <c r="CR207" s="154"/>
      <c r="CS207" s="154"/>
      <c r="CT207" s="153"/>
      <c r="CU207" s="154"/>
      <c r="CV207" s="154"/>
      <c r="CW207" s="154"/>
      <c r="CX207" s="154"/>
      <c r="CY207" s="153"/>
      <c r="CZ207" s="154"/>
      <c r="DA207" s="154"/>
      <c r="DB207" s="154"/>
      <c r="DC207" s="154"/>
      <c r="DD207" s="153"/>
      <c r="DE207" s="154"/>
      <c r="DF207" s="154"/>
      <c r="DG207" s="154"/>
      <c r="DH207" s="154"/>
      <c r="DI207" s="153"/>
      <c r="DJ207" s="154"/>
      <c r="DK207" s="154"/>
      <c r="DL207" s="154"/>
      <c r="DM207" s="154"/>
      <c r="DN207" s="153"/>
      <c r="DO207" s="154"/>
      <c r="DP207" s="154"/>
      <c r="DQ207" s="154"/>
      <c r="DR207" s="154"/>
      <c r="DS207" s="153"/>
      <c r="DT207" s="154"/>
      <c r="DU207" s="154"/>
      <c r="DV207" s="154"/>
      <c r="DW207" s="154"/>
      <c r="DX207" s="153"/>
      <c r="DY207" s="154"/>
      <c r="DZ207" s="154"/>
      <c r="EA207" s="154"/>
      <c r="EB207" s="154"/>
      <c r="EC207" s="153"/>
      <c r="ED207" s="154"/>
      <c r="EE207" s="154"/>
      <c r="EF207" s="154"/>
      <c r="EG207" s="154"/>
      <c r="EH207" s="153"/>
      <c r="EI207" s="154"/>
      <c r="EJ207" s="154"/>
      <c r="EK207" s="154"/>
      <c r="EL207" s="154"/>
      <c r="EM207" s="153"/>
      <c r="EN207" s="154"/>
      <c r="EO207" s="154"/>
      <c r="EP207" s="154"/>
      <c r="EQ207" s="154"/>
      <c r="ER207" s="153"/>
      <c r="ES207" s="154"/>
      <c r="ET207" s="154"/>
      <c r="EU207" s="154"/>
      <c r="EV207" s="154"/>
      <c r="EW207" s="153"/>
      <c r="EX207" s="154"/>
      <c r="EY207" s="154"/>
      <c r="EZ207" s="154"/>
      <c r="FA207" s="154"/>
      <c r="FB207" s="153"/>
      <c r="FC207" s="154"/>
      <c r="FD207" s="154"/>
      <c r="FE207" s="154"/>
      <c r="FF207" s="154"/>
      <c r="FG207" s="153"/>
      <c r="FH207" s="154"/>
      <c r="FI207" s="154"/>
      <c r="FJ207" s="154"/>
      <c r="FK207" s="154"/>
      <c r="FL207" s="153"/>
      <c r="FM207" s="154"/>
      <c r="FN207" s="154"/>
      <c r="FO207" s="154"/>
      <c r="FP207" s="154"/>
      <c r="FQ207" s="153"/>
      <c r="FR207" s="154"/>
      <c r="FS207" s="154"/>
      <c r="FT207" s="154"/>
      <c r="FU207" s="154"/>
      <c r="FV207" s="153"/>
      <c r="FW207" s="154"/>
      <c r="FX207" s="154"/>
      <c r="FY207" s="154"/>
      <c r="FZ207" s="154"/>
      <c r="GA207" s="153"/>
      <c r="GB207" s="154"/>
      <c r="GC207" s="154"/>
      <c r="GD207" s="154"/>
      <c r="GE207" s="154"/>
      <c r="GF207" s="153"/>
      <c r="GG207" s="154"/>
      <c r="GH207" s="154"/>
      <c r="GI207" s="154"/>
      <c r="GJ207" s="154"/>
    </row>
    <row r="208" spans="3:192" ht="12.75" customHeight="1">
      <c r="C208" s="153"/>
      <c r="D208" s="154"/>
      <c r="E208" s="154"/>
      <c r="F208" s="154"/>
      <c r="G208" s="154"/>
      <c r="H208" s="153"/>
      <c r="I208" s="154"/>
      <c r="J208" s="154"/>
      <c r="K208" s="154"/>
      <c r="L208" s="154"/>
      <c r="M208" s="153"/>
      <c r="N208" s="154"/>
      <c r="O208" s="154"/>
      <c r="P208" s="154"/>
      <c r="Q208" s="154"/>
      <c r="R208" s="153"/>
      <c r="S208" s="154"/>
      <c r="T208" s="154"/>
      <c r="U208" s="154"/>
      <c r="V208" s="154"/>
      <c r="W208" s="153"/>
      <c r="X208" s="154"/>
      <c r="Y208" s="154"/>
      <c r="Z208" s="154"/>
      <c r="AA208" s="154"/>
      <c r="AB208" s="153"/>
      <c r="AC208" s="154"/>
      <c r="AD208" s="154"/>
      <c r="AE208" s="154"/>
      <c r="AF208" s="154"/>
      <c r="AG208" s="153"/>
      <c r="AH208" s="154"/>
      <c r="AI208" s="154"/>
      <c r="AJ208" s="154"/>
      <c r="AK208" s="154"/>
      <c r="AL208" s="153"/>
      <c r="AM208" s="154"/>
      <c r="AN208" s="154"/>
      <c r="AO208" s="154"/>
      <c r="AP208" s="154"/>
      <c r="AQ208" s="153"/>
      <c r="AR208" s="154"/>
      <c r="AS208" s="154"/>
      <c r="AT208" s="154"/>
      <c r="AU208" s="154"/>
      <c r="AV208" s="153"/>
      <c r="AW208" s="154"/>
      <c r="AX208" s="154"/>
      <c r="AY208" s="154"/>
      <c r="AZ208" s="154"/>
      <c r="BA208" s="153"/>
      <c r="BB208" s="154"/>
      <c r="BC208" s="154"/>
      <c r="BD208" s="154"/>
      <c r="BE208" s="154"/>
      <c r="BF208" s="153"/>
      <c r="BG208" s="154"/>
      <c r="BH208" s="154"/>
      <c r="BI208" s="154"/>
      <c r="BJ208" s="154"/>
      <c r="BK208" s="153"/>
      <c r="BL208" s="154"/>
      <c r="BM208" s="154"/>
      <c r="BN208" s="154"/>
      <c r="BO208" s="154"/>
      <c r="BP208" s="153"/>
      <c r="BQ208" s="154"/>
      <c r="BR208" s="154"/>
      <c r="BS208" s="154"/>
      <c r="BT208" s="154"/>
      <c r="BU208" s="153"/>
      <c r="BV208" s="154"/>
      <c r="BW208" s="154"/>
      <c r="BX208" s="154"/>
      <c r="BY208" s="154"/>
      <c r="BZ208" s="153"/>
      <c r="CA208" s="154"/>
      <c r="CB208" s="154"/>
      <c r="CC208" s="154"/>
      <c r="CD208" s="154"/>
      <c r="CE208" s="153"/>
      <c r="CF208" s="154"/>
      <c r="CG208" s="154"/>
      <c r="CH208" s="154"/>
      <c r="CI208" s="154"/>
      <c r="CJ208" s="153"/>
      <c r="CK208" s="154"/>
      <c r="CL208" s="154"/>
      <c r="CM208" s="154"/>
      <c r="CN208" s="154"/>
      <c r="CO208" s="153"/>
      <c r="CP208" s="154"/>
      <c r="CQ208" s="154"/>
      <c r="CR208" s="154"/>
      <c r="CS208" s="154"/>
      <c r="CT208" s="153"/>
      <c r="CU208" s="154"/>
      <c r="CV208" s="154"/>
      <c r="CW208" s="154"/>
      <c r="CX208" s="154"/>
      <c r="CY208" s="153"/>
      <c r="CZ208" s="154"/>
      <c r="DA208" s="154"/>
      <c r="DB208" s="154"/>
      <c r="DC208" s="154"/>
      <c r="DD208" s="153"/>
      <c r="DE208" s="154"/>
      <c r="DF208" s="154"/>
      <c r="DG208" s="154"/>
      <c r="DH208" s="154"/>
      <c r="DI208" s="153"/>
      <c r="DJ208" s="154"/>
      <c r="DK208" s="154"/>
      <c r="DL208" s="154"/>
      <c r="DM208" s="154"/>
      <c r="DN208" s="153"/>
      <c r="DO208" s="154"/>
      <c r="DP208" s="154"/>
      <c r="DQ208" s="154"/>
      <c r="DR208" s="154"/>
      <c r="DS208" s="153"/>
      <c r="DT208" s="154"/>
      <c r="DU208" s="154"/>
      <c r="DV208" s="154"/>
      <c r="DW208" s="154"/>
      <c r="DX208" s="153"/>
      <c r="DY208" s="154"/>
      <c r="DZ208" s="154"/>
      <c r="EA208" s="154"/>
      <c r="EB208" s="154"/>
      <c r="EC208" s="153"/>
      <c r="ED208" s="154"/>
      <c r="EE208" s="154"/>
      <c r="EF208" s="154"/>
      <c r="EG208" s="154"/>
      <c r="EH208" s="153"/>
      <c r="EI208" s="154"/>
      <c r="EJ208" s="154"/>
      <c r="EK208" s="154"/>
      <c r="EL208" s="154"/>
      <c r="EM208" s="153"/>
      <c r="EN208" s="154"/>
      <c r="EO208" s="154"/>
      <c r="EP208" s="154"/>
      <c r="EQ208" s="154"/>
      <c r="ER208" s="153"/>
      <c r="ES208" s="154"/>
      <c r="ET208" s="154"/>
      <c r="EU208" s="154"/>
      <c r="EV208" s="154"/>
      <c r="EW208" s="153"/>
      <c r="EX208" s="154"/>
      <c r="EY208" s="154"/>
      <c r="EZ208" s="154"/>
      <c r="FA208" s="154"/>
      <c r="FB208" s="153"/>
      <c r="FC208" s="154"/>
      <c r="FD208" s="154"/>
      <c r="FE208" s="154"/>
      <c r="FF208" s="154"/>
      <c r="FG208" s="153"/>
      <c r="FH208" s="154"/>
      <c r="FI208" s="154"/>
      <c r="FJ208" s="154"/>
      <c r="FK208" s="154"/>
      <c r="FL208" s="153"/>
      <c r="FM208" s="154"/>
      <c r="FN208" s="154"/>
      <c r="FO208" s="154"/>
      <c r="FP208" s="154"/>
      <c r="FQ208" s="153"/>
      <c r="FR208" s="154"/>
      <c r="FS208" s="154"/>
      <c r="FT208" s="154"/>
      <c r="FU208" s="154"/>
      <c r="FV208" s="153"/>
      <c r="FW208" s="154"/>
      <c r="FX208" s="154"/>
      <c r="FY208" s="154"/>
      <c r="FZ208" s="154"/>
      <c r="GA208" s="153"/>
      <c r="GB208" s="154"/>
      <c r="GC208" s="154"/>
      <c r="GD208" s="154"/>
      <c r="GE208" s="154"/>
      <c r="GF208" s="153"/>
      <c r="GG208" s="154"/>
      <c r="GH208" s="154"/>
      <c r="GI208" s="154"/>
      <c r="GJ208" s="154"/>
    </row>
    <row r="209" spans="3:192" ht="12.75" customHeight="1">
      <c r="C209" s="163"/>
      <c r="D209" s="164"/>
      <c r="E209" s="164"/>
      <c r="F209" s="164"/>
      <c r="G209" s="164"/>
      <c r="H209" s="163"/>
      <c r="I209" s="164"/>
      <c r="J209" s="164"/>
      <c r="K209" s="164"/>
      <c r="L209" s="164"/>
      <c r="M209" s="163"/>
      <c r="N209" s="164"/>
      <c r="O209" s="164"/>
      <c r="P209" s="164"/>
      <c r="Q209" s="164"/>
      <c r="R209" s="163"/>
      <c r="S209" s="164"/>
      <c r="T209" s="164"/>
      <c r="U209" s="164"/>
      <c r="V209" s="164"/>
      <c r="W209" s="163"/>
      <c r="X209" s="164"/>
      <c r="Y209" s="164"/>
      <c r="Z209" s="164"/>
      <c r="AA209" s="164"/>
      <c r="AB209" s="163"/>
      <c r="AC209" s="164"/>
      <c r="AD209" s="164"/>
      <c r="AE209" s="164"/>
      <c r="AF209" s="164"/>
      <c r="AG209" s="163"/>
      <c r="AH209" s="164"/>
      <c r="AI209" s="164"/>
      <c r="AJ209" s="164"/>
      <c r="AK209" s="164"/>
      <c r="AL209" s="163"/>
      <c r="AM209" s="164"/>
      <c r="AN209" s="164"/>
      <c r="AO209" s="164"/>
      <c r="AP209" s="164"/>
      <c r="AQ209" s="163"/>
      <c r="AR209" s="164"/>
      <c r="AS209" s="164"/>
      <c r="AT209" s="164"/>
      <c r="AU209" s="164"/>
      <c r="AV209" s="163"/>
      <c r="AW209" s="164"/>
      <c r="AX209" s="164"/>
      <c r="AY209" s="164"/>
      <c r="AZ209" s="164"/>
      <c r="BA209" s="163"/>
      <c r="BB209" s="164"/>
      <c r="BC209" s="164"/>
      <c r="BD209" s="164"/>
      <c r="BE209" s="164"/>
      <c r="BF209" s="163"/>
      <c r="BG209" s="164"/>
      <c r="BH209" s="164"/>
      <c r="BI209" s="164"/>
      <c r="BJ209" s="164"/>
      <c r="BK209" s="163"/>
      <c r="BL209" s="164"/>
      <c r="BM209" s="164"/>
      <c r="BN209" s="164"/>
      <c r="BO209" s="164"/>
      <c r="BP209" s="163"/>
      <c r="BQ209" s="164"/>
      <c r="BR209" s="164"/>
      <c r="BS209" s="164"/>
      <c r="BT209" s="164"/>
      <c r="BU209" s="163"/>
      <c r="BV209" s="164"/>
      <c r="BW209" s="164"/>
      <c r="BX209" s="164"/>
      <c r="BY209" s="164"/>
      <c r="BZ209" s="163"/>
      <c r="CA209" s="164"/>
      <c r="CB209" s="164"/>
      <c r="CC209" s="164"/>
      <c r="CD209" s="164"/>
      <c r="CE209" s="163"/>
      <c r="CF209" s="164"/>
      <c r="CG209" s="164"/>
      <c r="CH209" s="164"/>
      <c r="CI209" s="164"/>
      <c r="CJ209" s="163"/>
      <c r="CK209" s="164"/>
      <c r="CL209" s="164"/>
      <c r="CM209" s="164"/>
      <c r="CN209" s="164"/>
      <c r="CO209" s="163"/>
      <c r="CP209" s="164"/>
      <c r="CQ209" s="164"/>
      <c r="CR209" s="164"/>
      <c r="CS209" s="164"/>
      <c r="CT209" s="163"/>
      <c r="CU209" s="164"/>
      <c r="CV209" s="164"/>
      <c r="CW209" s="164"/>
      <c r="CX209" s="164"/>
      <c r="CY209" s="163"/>
      <c r="CZ209" s="164"/>
      <c r="DA209" s="164"/>
      <c r="DB209" s="164"/>
      <c r="DC209" s="164"/>
      <c r="DD209" s="163"/>
      <c r="DE209" s="164"/>
      <c r="DF209" s="164"/>
      <c r="DG209" s="164"/>
      <c r="DH209" s="164"/>
      <c r="DI209" s="163"/>
      <c r="DJ209" s="164"/>
      <c r="DK209" s="164"/>
      <c r="DL209" s="164"/>
      <c r="DM209" s="164"/>
      <c r="DN209" s="163"/>
      <c r="DO209" s="164"/>
      <c r="DP209" s="164"/>
      <c r="DQ209" s="164"/>
      <c r="DR209" s="164"/>
      <c r="DS209" s="163"/>
      <c r="DT209" s="164"/>
      <c r="DU209" s="164"/>
      <c r="DV209" s="164"/>
      <c r="DW209" s="164"/>
      <c r="DX209" s="163"/>
      <c r="DY209" s="164"/>
      <c r="DZ209" s="164"/>
      <c r="EA209" s="164"/>
      <c r="EB209" s="164"/>
      <c r="EC209" s="163"/>
      <c r="ED209" s="164"/>
      <c r="EE209" s="164"/>
      <c r="EF209" s="164"/>
      <c r="EG209" s="164"/>
      <c r="EH209" s="163"/>
      <c r="EI209" s="164"/>
      <c r="EJ209" s="164"/>
      <c r="EK209" s="164"/>
      <c r="EL209" s="164"/>
      <c r="EM209" s="163"/>
      <c r="EN209" s="164"/>
      <c r="EO209" s="164"/>
      <c r="EP209" s="164"/>
      <c r="EQ209" s="164"/>
      <c r="ER209" s="163"/>
      <c r="ES209" s="164"/>
      <c r="ET209" s="164"/>
      <c r="EU209" s="164"/>
      <c r="EV209" s="164"/>
      <c r="EW209" s="163"/>
      <c r="EX209" s="164"/>
      <c r="EY209" s="164"/>
      <c r="EZ209" s="164"/>
      <c r="FA209" s="164"/>
      <c r="FB209" s="163"/>
      <c r="FC209" s="164"/>
      <c r="FD209" s="164"/>
      <c r="FE209" s="164"/>
      <c r="FF209" s="164"/>
      <c r="FG209" s="163"/>
      <c r="FH209" s="164"/>
      <c r="FI209" s="164"/>
      <c r="FJ209" s="164"/>
      <c r="FK209" s="164"/>
      <c r="FL209" s="163"/>
      <c r="FM209" s="164"/>
      <c r="FN209" s="164"/>
      <c r="FO209" s="164"/>
      <c r="FP209" s="164"/>
      <c r="FQ209" s="163"/>
      <c r="FR209" s="164"/>
      <c r="FS209" s="164"/>
      <c r="FT209" s="164"/>
      <c r="FU209" s="164"/>
      <c r="FV209" s="163"/>
      <c r="FW209" s="164"/>
      <c r="FX209" s="164"/>
      <c r="FY209" s="164"/>
      <c r="FZ209" s="164"/>
      <c r="GA209" s="163"/>
      <c r="GB209" s="164"/>
      <c r="GC209" s="164"/>
      <c r="GD209" s="164"/>
      <c r="GE209" s="164"/>
      <c r="GF209" s="163"/>
      <c r="GG209" s="164"/>
      <c r="GH209" s="164"/>
      <c r="GI209" s="164"/>
      <c r="GJ209" s="164"/>
    </row>
    <row r="211" spans="3:192" ht="12.75" customHeight="1">
      <c r="C211" s="165"/>
      <c r="D211" s="166"/>
      <c r="E211" s="166"/>
      <c r="F211" s="166"/>
      <c r="G211" s="166"/>
      <c r="H211" s="165"/>
      <c r="I211" s="166"/>
      <c r="J211" s="166"/>
      <c r="K211" s="166"/>
      <c r="L211" s="166"/>
      <c r="M211" s="165"/>
      <c r="N211" s="166"/>
      <c r="O211" s="166"/>
      <c r="P211" s="166"/>
      <c r="Q211" s="166"/>
      <c r="R211" s="165"/>
      <c r="S211" s="166"/>
      <c r="T211" s="166"/>
      <c r="U211" s="166"/>
      <c r="V211" s="166"/>
      <c r="W211" s="165"/>
      <c r="X211" s="166"/>
      <c r="Y211" s="166"/>
      <c r="Z211" s="166"/>
      <c r="AA211" s="166"/>
      <c r="AB211" s="165"/>
      <c r="AC211" s="166"/>
      <c r="AD211" s="166"/>
      <c r="AE211" s="166"/>
      <c r="AF211" s="166"/>
      <c r="AG211" s="165"/>
      <c r="AH211" s="166"/>
      <c r="AI211" s="166"/>
      <c r="AJ211" s="166"/>
      <c r="AK211" s="166"/>
      <c r="AL211" s="165"/>
      <c r="AM211" s="166"/>
      <c r="AN211" s="166"/>
      <c r="AO211" s="166"/>
      <c r="AP211" s="166"/>
      <c r="AQ211" s="165"/>
      <c r="AR211" s="166"/>
      <c r="AS211" s="166"/>
      <c r="AT211" s="166"/>
      <c r="AU211" s="166"/>
      <c r="AV211" s="165"/>
      <c r="AW211" s="166"/>
      <c r="AX211" s="166"/>
      <c r="AY211" s="166"/>
      <c r="AZ211" s="166"/>
      <c r="BA211" s="165"/>
      <c r="BB211" s="166"/>
      <c r="BC211" s="166"/>
      <c r="BD211" s="166"/>
      <c r="BE211" s="166"/>
      <c r="BF211" s="165"/>
      <c r="BG211" s="166"/>
      <c r="BH211" s="166"/>
      <c r="BI211" s="166"/>
      <c r="BJ211" s="166"/>
      <c r="BK211" s="165"/>
      <c r="BL211" s="166"/>
      <c r="BM211" s="166"/>
      <c r="BN211" s="166"/>
      <c r="BO211" s="166"/>
      <c r="BP211" s="165"/>
      <c r="BQ211" s="166"/>
      <c r="BR211" s="166"/>
      <c r="BS211" s="166"/>
      <c r="BT211" s="166"/>
      <c r="BU211" s="165"/>
      <c r="BV211" s="166"/>
      <c r="BW211" s="166"/>
      <c r="BX211" s="166"/>
      <c r="BY211" s="166"/>
      <c r="BZ211" s="165"/>
      <c r="CA211" s="166"/>
      <c r="CB211" s="166"/>
      <c r="CC211" s="166"/>
      <c r="CD211" s="166"/>
      <c r="CE211" s="165"/>
      <c r="CF211" s="166"/>
      <c r="CG211" s="166"/>
      <c r="CH211" s="166"/>
      <c r="CI211" s="166"/>
      <c r="CJ211" s="165"/>
      <c r="CK211" s="166"/>
      <c r="CL211" s="166"/>
      <c r="CM211" s="166"/>
      <c r="CN211" s="166"/>
      <c r="CO211" s="165"/>
      <c r="CP211" s="166"/>
      <c r="CQ211" s="166"/>
      <c r="CR211" s="166"/>
      <c r="CS211" s="166"/>
      <c r="CT211" s="165"/>
      <c r="CU211" s="166"/>
      <c r="CV211" s="166"/>
      <c r="CW211" s="166"/>
      <c r="CX211" s="166"/>
      <c r="CY211" s="165"/>
      <c r="CZ211" s="166"/>
      <c r="DA211" s="166"/>
      <c r="DB211" s="166"/>
      <c r="DC211" s="166"/>
      <c r="DD211" s="165"/>
      <c r="DE211" s="166"/>
      <c r="DF211" s="166"/>
      <c r="DG211" s="166"/>
      <c r="DH211" s="166"/>
      <c r="DI211" s="165"/>
      <c r="DJ211" s="166"/>
      <c r="DK211" s="166"/>
      <c r="DL211" s="166"/>
      <c r="DM211" s="166"/>
      <c r="DN211" s="165"/>
      <c r="DO211" s="166"/>
      <c r="DP211" s="166"/>
      <c r="DQ211" s="166"/>
      <c r="DR211" s="166"/>
      <c r="DS211" s="165"/>
      <c r="DT211" s="166"/>
      <c r="DU211" s="166"/>
      <c r="DV211" s="166"/>
      <c r="DW211" s="166"/>
      <c r="DX211" s="165"/>
      <c r="DY211" s="166"/>
      <c r="DZ211" s="166"/>
      <c r="EA211" s="166"/>
      <c r="EB211" s="166"/>
      <c r="EC211" s="165"/>
      <c r="ED211" s="166"/>
      <c r="EE211" s="166"/>
      <c r="EF211" s="166"/>
      <c r="EG211" s="166"/>
      <c r="EH211" s="165"/>
      <c r="EI211" s="166"/>
      <c r="EJ211" s="166"/>
      <c r="EK211" s="166"/>
      <c r="EL211" s="166"/>
      <c r="EM211" s="165"/>
      <c r="EN211" s="166"/>
      <c r="EO211" s="166"/>
      <c r="EP211" s="166"/>
      <c r="EQ211" s="166"/>
      <c r="ER211" s="165"/>
      <c r="ES211" s="166"/>
      <c r="ET211" s="166"/>
      <c r="EU211" s="166"/>
      <c r="EV211" s="166"/>
      <c r="EW211" s="165"/>
      <c r="EX211" s="166"/>
      <c r="EY211" s="166"/>
      <c r="EZ211" s="166"/>
      <c r="FA211" s="166"/>
      <c r="FB211" s="165"/>
      <c r="FC211" s="166"/>
      <c r="FD211" s="166"/>
      <c r="FE211" s="166"/>
      <c r="FF211" s="166"/>
      <c r="FG211" s="165"/>
      <c r="FH211" s="166"/>
      <c r="FI211" s="166"/>
      <c r="FJ211" s="166"/>
      <c r="FK211" s="166"/>
      <c r="FL211" s="165"/>
      <c r="FM211" s="166"/>
      <c r="FN211" s="166"/>
      <c r="FO211" s="166"/>
      <c r="FP211" s="166"/>
      <c r="FQ211" s="165"/>
      <c r="FR211" s="166"/>
      <c r="FS211" s="166"/>
      <c r="FT211" s="166"/>
      <c r="FU211" s="166"/>
      <c r="FV211" s="165"/>
      <c r="FW211" s="166"/>
      <c r="FX211" s="166"/>
      <c r="FY211" s="166"/>
      <c r="FZ211" s="166"/>
      <c r="GA211" s="165"/>
      <c r="GB211" s="166"/>
      <c r="GC211" s="166"/>
      <c r="GD211" s="166"/>
      <c r="GE211" s="166"/>
      <c r="GF211" s="165"/>
      <c r="GG211" s="166"/>
      <c r="GH211" s="166"/>
      <c r="GI211" s="166"/>
      <c r="GJ211" s="166"/>
    </row>
    <row r="212" spans="3:192" ht="12.75" customHeight="1">
      <c r="C212" s="167"/>
      <c r="D212" s="168"/>
      <c r="E212" s="168"/>
      <c r="F212" s="168"/>
      <c r="G212" s="168"/>
      <c r="H212" s="167"/>
      <c r="I212" s="168"/>
      <c r="J212" s="168"/>
      <c r="K212" s="168"/>
      <c r="L212" s="168"/>
      <c r="M212" s="167"/>
      <c r="N212" s="168"/>
      <c r="O212" s="168"/>
      <c r="P212" s="168"/>
      <c r="Q212" s="168"/>
      <c r="R212" s="167"/>
      <c r="S212" s="168"/>
      <c r="T212" s="168"/>
      <c r="U212" s="168"/>
      <c r="V212" s="168"/>
      <c r="W212" s="167"/>
      <c r="X212" s="168"/>
      <c r="Y212" s="168"/>
      <c r="Z212" s="168"/>
      <c r="AA212" s="168"/>
      <c r="AB212" s="167"/>
      <c r="AC212" s="168"/>
      <c r="AD212" s="168"/>
      <c r="AE212" s="168"/>
      <c r="AF212" s="168"/>
      <c r="AG212" s="167"/>
      <c r="AH212" s="168"/>
      <c r="AI212" s="168"/>
      <c r="AJ212" s="168"/>
      <c r="AK212" s="168"/>
      <c r="AL212" s="167"/>
      <c r="AM212" s="168"/>
      <c r="AN212" s="168"/>
      <c r="AO212" s="168"/>
      <c r="AP212" s="168"/>
      <c r="AQ212" s="167"/>
      <c r="AR212" s="168"/>
      <c r="AS212" s="168"/>
      <c r="AT212" s="168"/>
      <c r="AU212" s="168"/>
      <c r="AV212" s="167"/>
      <c r="AW212" s="168"/>
      <c r="AX212" s="168"/>
      <c r="AY212" s="168"/>
      <c r="AZ212" s="168"/>
      <c r="BA212" s="167"/>
      <c r="BB212" s="168"/>
      <c r="BC212" s="168"/>
      <c r="BD212" s="168"/>
      <c r="BE212" s="168"/>
      <c r="BF212" s="167"/>
      <c r="BG212" s="168"/>
      <c r="BH212" s="168"/>
      <c r="BI212" s="168"/>
      <c r="BJ212" s="168"/>
      <c r="BK212" s="167"/>
      <c r="BL212" s="168"/>
      <c r="BM212" s="168"/>
      <c r="BN212" s="168"/>
      <c r="BO212" s="168"/>
      <c r="BP212" s="167"/>
      <c r="BQ212" s="168"/>
      <c r="BR212" s="168"/>
      <c r="BS212" s="168"/>
      <c r="BT212" s="168"/>
      <c r="BU212" s="167"/>
      <c r="BV212" s="168"/>
      <c r="BW212" s="168"/>
      <c r="BX212" s="168"/>
      <c r="BY212" s="168"/>
      <c r="BZ212" s="167"/>
      <c r="CA212" s="168"/>
      <c r="CB212" s="168"/>
      <c r="CC212" s="168"/>
      <c r="CD212" s="168"/>
      <c r="CE212" s="167"/>
      <c r="CF212" s="168"/>
      <c r="CG212" s="168"/>
      <c r="CH212" s="168"/>
      <c r="CI212" s="168"/>
      <c r="CJ212" s="167"/>
      <c r="CK212" s="168"/>
      <c r="CL212" s="168"/>
      <c r="CM212" s="168"/>
      <c r="CN212" s="168"/>
      <c r="CO212" s="167"/>
      <c r="CP212" s="168"/>
      <c r="CQ212" s="168"/>
      <c r="CR212" s="168"/>
      <c r="CS212" s="168"/>
      <c r="CT212" s="167"/>
      <c r="CU212" s="168"/>
      <c r="CV212" s="168"/>
      <c r="CW212" s="168"/>
      <c r="CX212" s="168"/>
      <c r="CY212" s="167"/>
      <c r="CZ212" s="168"/>
      <c r="DA212" s="168"/>
      <c r="DB212" s="168"/>
      <c r="DC212" s="168"/>
      <c r="DD212" s="167"/>
      <c r="DE212" s="168"/>
      <c r="DF212" s="168"/>
      <c r="DG212" s="168"/>
      <c r="DH212" s="168"/>
      <c r="DI212" s="167"/>
      <c r="DJ212" s="168"/>
      <c r="DK212" s="168"/>
      <c r="DL212" s="168"/>
      <c r="DM212" s="168"/>
      <c r="DN212" s="167"/>
      <c r="DO212" s="168"/>
      <c r="DP212" s="168"/>
      <c r="DQ212" s="168"/>
      <c r="DR212" s="168"/>
      <c r="DS212" s="167"/>
      <c r="DT212" s="168"/>
      <c r="DU212" s="168"/>
      <c r="DV212" s="168"/>
      <c r="DW212" s="168"/>
      <c r="DX212" s="167"/>
      <c r="DY212" s="168"/>
      <c r="DZ212" s="168"/>
      <c r="EA212" s="168"/>
      <c r="EB212" s="168"/>
      <c r="EC212" s="167"/>
      <c r="ED212" s="168"/>
      <c r="EE212" s="168"/>
      <c r="EF212" s="168"/>
      <c r="EG212" s="168"/>
      <c r="EH212" s="167"/>
      <c r="EI212" s="168"/>
      <c r="EJ212" s="168"/>
      <c r="EK212" s="168"/>
      <c r="EL212" s="168"/>
      <c r="EM212" s="167"/>
      <c r="EN212" s="168"/>
      <c r="EO212" s="168"/>
      <c r="EP212" s="168"/>
      <c r="EQ212" s="168"/>
      <c r="ER212" s="167"/>
      <c r="ES212" s="168"/>
      <c r="ET212" s="168"/>
      <c r="EU212" s="168"/>
      <c r="EV212" s="168"/>
      <c r="EW212" s="167"/>
      <c r="EX212" s="168"/>
      <c r="EY212" s="168"/>
      <c r="EZ212" s="168"/>
      <c r="FA212" s="168"/>
      <c r="FB212" s="167"/>
      <c r="FC212" s="168"/>
      <c r="FD212" s="168"/>
      <c r="FE212" s="168"/>
      <c r="FF212" s="168"/>
      <c r="FG212" s="167"/>
      <c r="FH212" s="168"/>
      <c r="FI212" s="168"/>
      <c r="FJ212" s="168"/>
      <c r="FK212" s="168"/>
      <c r="FL212" s="167"/>
      <c r="FM212" s="168"/>
      <c r="FN212" s="168"/>
      <c r="FO212" s="168"/>
      <c r="FP212" s="168"/>
      <c r="FQ212" s="167"/>
      <c r="FR212" s="168"/>
      <c r="FS212" s="168"/>
      <c r="FT212" s="168"/>
      <c r="FU212" s="168"/>
      <c r="FV212" s="167"/>
      <c r="FW212" s="168"/>
      <c r="FX212" s="168"/>
      <c r="FY212" s="168"/>
      <c r="FZ212" s="168"/>
      <c r="GA212" s="167"/>
      <c r="GB212" s="168"/>
      <c r="GC212" s="168"/>
      <c r="GD212" s="168"/>
      <c r="GE212" s="168"/>
      <c r="GF212" s="167"/>
      <c r="GG212" s="168"/>
      <c r="GH212" s="168"/>
      <c r="GI212" s="168"/>
      <c r="GJ212" s="168"/>
    </row>
    <row r="213" spans="3:192" ht="12.75" customHeight="1">
      <c r="C213" s="169"/>
      <c r="D213" s="170"/>
      <c r="E213" s="170"/>
      <c r="F213" s="170"/>
      <c r="G213" s="170"/>
      <c r="H213" s="169"/>
      <c r="I213" s="170"/>
      <c r="J213" s="170"/>
      <c r="K213" s="170"/>
      <c r="L213" s="170"/>
      <c r="M213" s="169"/>
      <c r="N213" s="170"/>
      <c r="O213" s="170"/>
      <c r="P213" s="170"/>
      <c r="Q213" s="170"/>
      <c r="R213" s="169"/>
      <c r="S213" s="170"/>
      <c r="T213" s="170"/>
      <c r="U213" s="170"/>
      <c r="V213" s="170"/>
      <c r="W213" s="169"/>
      <c r="X213" s="170"/>
      <c r="Y213" s="170"/>
      <c r="Z213" s="170"/>
      <c r="AA213" s="170"/>
      <c r="AB213" s="169"/>
      <c r="AC213" s="170"/>
      <c r="AD213" s="170"/>
      <c r="AE213" s="170"/>
      <c r="AF213" s="170"/>
      <c r="AG213" s="169"/>
      <c r="AH213" s="170"/>
      <c r="AI213" s="170"/>
      <c r="AJ213" s="170"/>
      <c r="AK213" s="170"/>
      <c r="AL213" s="169"/>
      <c r="AM213" s="170"/>
      <c r="AN213" s="170"/>
      <c r="AO213" s="170"/>
      <c r="AP213" s="170"/>
      <c r="AQ213" s="169"/>
      <c r="AR213" s="170"/>
      <c r="AS213" s="170"/>
      <c r="AT213" s="170"/>
      <c r="AU213" s="170"/>
      <c r="AV213" s="169"/>
      <c r="AW213" s="170"/>
      <c r="AX213" s="170"/>
      <c r="AY213" s="170"/>
      <c r="AZ213" s="170"/>
      <c r="BA213" s="169"/>
      <c r="BB213" s="170"/>
      <c r="BC213" s="170"/>
      <c r="BD213" s="170"/>
      <c r="BE213" s="170"/>
      <c r="BF213" s="169"/>
      <c r="BG213" s="170"/>
      <c r="BH213" s="170"/>
      <c r="BI213" s="170"/>
      <c r="BJ213" s="170"/>
      <c r="BK213" s="169"/>
      <c r="BL213" s="170"/>
      <c r="BM213" s="170"/>
      <c r="BN213" s="170"/>
      <c r="BO213" s="170"/>
      <c r="BP213" s="169"/>
      <c r="BQ213" s="170"/>
      <c r="BR213" s="170"/>
      <c r="BS213" s="170"/>
      <c r="BT213" s="170"/>
      <c r="BU213" s="169"/>
      <c r="BV213" s="170"/>
      <c r="BW213" s="170"/>
      <c r="BX213" s="170"/>
      <c r="BY213" s="170"/>
      <c r="BZ213" s="169"/>
      <c r="CA213" s="170"/>
      <c r="CB213" s="170"/>
      <c r="CC213" s="170"/>
      <c r="CD213" s="170"/>
      <c r="CE213" s="169"/>
      <c r="CF213" s="170"/>
      <c r="CG213" s="170"/>
      <c r="CH213" s="170"/>
      <c r="CI213" s="170"/>
      <c r="CJ213" s="169"/>
      <c r="CK213" s="170"/>
      <c r="CL213" s="170"/>
      <c r="CM213" s="170"/>
      <c r="CN213" s="170"/>
      <c r="CO213" s="169"/>
      <c r="CP213" s="170"/>
      <c r="CQ213" s="170"/>
      <c r="CR213" s="170"/>
      <c r="CS213" s="170"/>
      <c r="CT213" s="169"/>
      <c r="CU213" s="170"/>
      <c r="CV213" s="170"/>
      <c r="CW213" s="170"/>
      <c r="CX213" s="170"/>
      <c r="CY213" s="169"/>
      <c r="CZ213" s="170"/>
      <c r="DA213" s="170"/>
      <c r="DB213" s="170"/>
      <c r="DC213" s="170"/>
      <c r="DD213" s="169"/>
      <c r="DE213" s="170"/>
      <c r="DF213" s="170"/>
      <c r="DG213" s="170"/>
      <c r="DH213" s="170"/>
      <c r="DI213" s="169"/>
      <c r="DJ213" s="170"/>
      <c r="DK213" s="170"/>
      <c r="DL213" s="170"/>
      <c r="DM213" s="170"/>
      <c r="DN213" s="169"/>
      <c r="DO213" s="170"/>
      <c r="DP213" s="170"/>
      <c r="DQ213" s="170"/>
      <c r="DR213" s="170"/>
      <c r="DS213" s="169"/>
      <c r="DT213" s="170"/>
      <c r="DU213" s="170"/>
      <c r="DV213" s="170"/>
      <c r="DW213" s="170"/>
      <c r="DX213" s="169"/>
      <c r="DY213" s="170"/>
      <c r="DZ213" s="170"/>
      <c r="EA213" s="170"/>
      <c r="EB213" s="170"/>
      <c r="EC213" s="169"/>
      <c r="ED213" s="170"/>
      <c r="EE213" s="170"/>
      <c r="EF213" s="170"/>
      <c r="EG213" s="170"/>
      <c r="EH213" s="169"/>
      <c r="EI213" s="170"/>
      <c r="EJ213" s="170"/>
      <c r="EK213" s="170"/>
      <c r="EL213" s="170"/>
      <c r="EM213" s="169"/>
      <c r="EN213" s="170"/>
      <c r="EO213" s="170"/>
      <c r="EP213" s="170"/>
      <c r="EQ213" s="170"/>
      <c r="ER213" s="169"/>
      <c r="ES213" s="170"/>
      <c r="ET213" s="170"/>
      <c r="EU213" s="170"/>
      <c r="EV213" s="170"/>
      <c r="EW213" s="169"/>
      <c r="EX213" s="170"/>
      <c r="EY213" s="170"/>
      <c r="EZ213" s="170"/>
      <c r="FA213" s="170"/>
      <c r="FB213" s="169"/>
      <c r="FC213" s="170"/>
      <c r="FD213" s="170"/>
      <c r="FE213" s="170"/>
      <c r="FF213" s="170"/>
      <c r="FG213" s="169"/>
      <c r="FH213" s="170"/>
      <c r="FI213" s="170"/>
      <c r="FJ213" s="170"/>
      <c r="FK213" s="170"/>
      <c r="FL213" s="169"/>
      <c r="FM213" s="170"/>
      <c r="FN213" s="170"/>
      <c r="FO213" s="170"/>
      <c r="FP213" s="170"/>
      <c r="FQ213" s="169"/>
      <c r="FR213" s="170"/>
      <c r="FS213" s="170"/>
      <c r="FT213" s="170"/>
      <c r="FU213" s="170"/>
      <c r="FV213" s="169"/>
      <c r="FW213" s="170"/>
      <c r="FX213" s="170"/>
      <c r="FY213" s="170"/>
      <c r="FZ213" s="170"/>
      <c r="GA213" s="169"/>
      <c r="GB213" s="170"/>
      <c r="GC213" s="170"/>
      <c r="GD213" s="170"/>
      <c r="GE213" s="170"/>
      <c r="GF213" s="169"/>
      <c r="GG213" s="170"/>
      <c r="GH213" s="170"/>
      <c r="GI213" s="170"/>
      <c r="GJ213" s="170"/>
    </row>
    <row r="214" spans="3:192" ht="12.75" customHeight="1">
      <c r="C214" s="171"/>
      <c r="D214" s="171"/>
      <c r="E214" s="171"/>
      <c r="F214" s="171"/>
      <c r="G214" s="171"/>
      <c r="H214" s="171"/>
      <c r="I214" s="171"/>
      <c r="J214" s="171"/>
      <c r="K214" s="171"/>
      <c r="L214" s="171"/>
      <c r="M214" s="171"/>
      <c r="N214" s="171"/>
      <c r="O214" s="171"/>
      <c r="P214" s="171"/>
      <c r="Q214" s="171"/>
      <c r="R214" s="171"/>
      <c r="S214" s="171"/>
      <c r="T214" s="171"/>
      <c r="U214" s="171"/>
      <c r="V214" s="171"/>
      <c r="W214" s="171"/>
      <c r="X214" s="171"/>
      <c r="Y214" s="171"/>
      <c r="Z214" s="171"/>
      <c r="AA214" s="171"/>
      <c r="AB214" s="171"/>
      <c r="AC214" s="171"/>
      <c r="AD214" s="171"/>
      <c r="AE214" s="171"/>
      <c r="AF214" s="171"/>
      <c r="AG214" s="171"/>
      <c r="AH214" s="171"/>
      <c r="AI214" s="171"/>
      <c r="AJ214" s="171"/>
      <c r="AK214" s="171"/>
      <c r="AL214" s="171"/>
      <c r="AM214" s="171"/>
      <c r="AN214" s="171"/>
      <c r="AO214" s="171"/>
      <c r="AP214" s="171"/>
      <c r="AQ214" s="171"/>
      <c r="AR214" s="171"/>
      <c r="AS214" s="171"/>
      <c r="AT214" s="171"/>
      <c r="AU214" s="171"/>
      <c r="AV214" s="171"/>
      <c r="AW214" s="171"/>
      <c r="AX214" s="171"/>
      <c r="AY214" s="171"/>
      <c r="AZ214" s="171"/>
      <c r="BA214" s="171"/>
      <c r="BB214" s="171"/>
      <c r="BC214" s="171"/>
      <c r="BD214" s="171"/>
      <c r="BE214" s="171"/>
      <c r="BF214" s="171"/>
      <c r="BG214" s="171"/>
      <c r="BH214" s="171"/>
      <c r="BI214" s="171"/>
      <c r="BJ214" s="171"/>
      <c r="BK214" s="171"/>
      <c r="BL214" s="171"/>
      <c r="BM214" s="171"/>
      <c r="BN214" s="171"/>
      <c r="BO214" s="171"/>
      <c r="BP214" s="171"/>
      <c r="BQ214" s="171"/>
      <c r="BR214" s="171"/>
      <c r="BS214" s="171"/>
      <c r="BT214" s="171"/>
      <c r="BU214" s="171"/>
      <c r="BV214" s="171"/>
      <c r="BW214" s="171"/>
      <c r="BX214" s="171"/>
      <c r="BY214" s="171"/>
      <c r="BZ214" s="171"/>
      <c r="CA214" s="171"/>
      <c r="CB214" s="171"/>
      <c r="CC214" s="171"/>
      <c r="CD214" s="171"/>
      <c r="CE214" s="171"/>
      <c r="CF214" s="171"/>
      <c r="CG214" s="171"/>
      <c r="CH214" s="171"/>
      <c r="CI214" s="171"/>
      <c r="CJ214" s="171"/>
      <c r="CK214" s="171"/>
      <c r="CL214" s="171"/>
      <c r="CM214" s="171"/>
      <c r="CN214" s="171"/>
      <c r="CO214" s="171"/>
      <c r="CP214" s="171"/>
      <c r="CQ214" s="171"/>
      <c r="CR214" s="171"/>
      <c r="CS214" s="171"/>
      <c r="CT214" s="171"/>
      <c r="CU214" s="171"/>
      <c r="CV214" s="171"/>
      <c r="CW214" s="171"/>
      <c r="CX214" s="171"/>
      <c r="CY214" s="171"/>
      <c r="CZ214" s="171"/>
      <c r="DA214" s="171"/>
      <c r="DB214" s="171"/>
      <c r="DC214" s="171"/>
      <c r="DD214" s="171"/>
      <c r="DE214" s="171"/>
      <c r="DF214" s="171"/>
      <c r="DG214" s="171"/>
      <c r="DH214" s="171"/>
      <c r="DI214" s="171"/>
      <c r="DJ214" s="171"/>
      <c r="DK214" s="171"/>
      <c r="DL214" s="171"/>
      <c r="DM214" s="171"/>
      <c r="DN214" s="171"/>
      <c r="DO214" s="171"/>
      <c r="DP214" s="171"/>
      <c r="DQ214" s="171"/>
      <c r="DR214" s="171"/>
      <c r="DS214" s="171"/>
      <c r="DT214" s="171"/>
      <c r="DU214" s="171"/>
      <c r="DV214" s="171"/>
      <c r="DW214" s="171"/>
      <c r="DX214" s="171"/>
      <c r="DY214" s="171"/>
      <c r="DZ214" s="171"/>
      <c r="EA214" s="171"/>
      <c r="EB214" s="171"/>
      <c r="EC214" s="171"/>
      <c r="ED214" s="171"/>
      <c r="EE214" s="171"/>
      <c r="EF214" s="171"/>
      <c r="EG214" s="171"/>
      <c r="EH214" s="171"/>
      <c r="EI214" s="171"/>
      <c r="EJ214" s="171"/>
      <c r="EK214" s="171"/>
      <c r="EL214" s="171"/>
      <c r="EM214" s="171"/>
      <c r="EN214" s="171"/>
      <c r="EO214" s="171"/>
      <c r="EP214" s="171"/>
      <c r="EQ214" s="171"/>
      <c r="ER214" s="171"/>
      <c r="ES214" s="171"/>
      <c r="ET214" s="171"/>
      <c r="EU214" s="171"/>
      <c r="EV214" s="171"/>
      <c r="EW214" s="171"/>
      <c r="EX214" s="171"/>
      <c r="EY214" s="171"/>
      <c r="EZ214" s="171"/>
      <c r="FA214" s="171"/>
      <c r="FB214" s="171"/>
      <c r="FC214" s="171"/>
      <c r="FD214" s="171"/>
      <c r="FE214" s="171"/>
      <c r="FF214" s="171"/>
      <c r="FG214" s="171"/>
      <c r="FH214" s="171"/>
      <c r="FI214" s="171"/>
      <c r="FJ214" s="171"/>
      <c r="FK214" s="171"/>
      <c r="FL214" s="171"/>
      <c r="FM214" s="171"/>
      <c r="FN214" s="171"/>
      <c r="FO214" s="171"/>
      <c r="FP214" s="171"/>
      <c r="FQ214" s="171"/>
      <c r="FR214" s="171"/>
      <c r="FS214" s="171"/>
      <c r="FT214" s="171"/>
      <c r="FU214" s="171"/>
      <c r="FV214" s="171"/>
      <c r="FW214" s="171"/>
      <c r="FX214" s="171"/>
      <c r="FY214" s="171"/>
      <c r="FZ214" s="171"/>
      <c r="GA214" s="171"/>
      <c r="GB214" s="171"/>
      <c r="GC214" s="171"/>
      <c r="GD214" s="171"/>
      <c r="GE214" s="171"/>
      <c r="GF214" s="171"/>
      <c r="GG214" s="171"/>
      <c r="GH214" s="171"/>
      <c r="GI214" s="171"/>
      <c r="GJ214" s="171"/>
    </row>
    <row r="215" spans="3:192" ht="12.75" customHeight="1">
      <c r="D215" s="172"/>
      <c r="E215" s="172"/>
      <c r="F215" s="172"/>
      <c r="G215" s="172"/>
      <c r="I215" s="172"/>
      <c r="J215" s="172"/>
      <c r="K215" s="172"/>
      <c r="L215" s="172"/>
      <c r="N215" s="172"/>
      <c r="O215" s="172"/>
      <c r="P215" s="172"/>
      <c r="Q215" s="172"/>
      <c r="S215" s="172"/>
      <c r="T215" s="172"/>
      <c r="U215" s="172"/>
      <c r="V215" s="172"/>
      <c r="X215" s="172"/>
      <c r="Y215" s="172"/>
      <c r="Z215" s="172"/>
      <c r="AA215" s="172"/>
      <c r="AC215" s="172"/>
      <c r="AD215" s="172"/>
      <c r="AE215" s="172"/>
      <c r="AF215" s="172"/>
      <c r="AH215" s="172"/>
      <c r="AI215" s="172"/>
      <c r="AJ215" s="172"/>
      <c r="AK215" s="172"/>
      <c r="AM215" s="172"/>
      <c r="AN215" s="172"/>
      <c r="AO215" s="172"/>
      <c r="AP215" s="172"/>
      <c r="AR215" s="172"/>
      <c r="AS215" s="172"/>
      <c r="AT215" s="172"/>
      <c r="AU215" s="172"/>
      <c r="AW215" s="172"/>
      <c r="AX215" s="172"/>
      <c r="AY215" s="172"/>
      <c r="AZ215" s="172"/>
      <c r="BB215" s="172"/>
      <c r="BC215" s="172"/>
      <c r="BD215" s="172"/>
      <c r="BE215" s="172"/>
      <c r="BG215" s="172"/>
      <c r="BH215" s="172"/>
      <c r="BI215" s="172"/>
      <c r="BJ215" s="172"/>
      <c r="BL215" s="172"/>
      <c r="BM215" s="172"/>
      <c r="BN215" s="172"/>
      <c r="BO215" s="172"/>
      <c r="BQ215" s="172"/>
      <c r="BR215" s="172"/>
      <c r="BS215" s="172"/>
      <c r="BT215" s="172"/>
      <c r="BV215" s="172"/>
      <c r="BW215" s="172"/>
      <c r="BX215" s="172"/>
      <c r="BY215" s="172"/>
      <c r="CA215" s="172"/>
      <c r="CB215" s="172"/>
      <c r="CC215" s="172"/>
      <c r="CD215" s="172"/>
      <c r="CF215" s="172"/>
      <c r="CG215" s="172"/>
      <c r="CH215" s="172"/>
      <c r="CI215" s="172"/>
      <c r="CK215" s="172"/>
      <c r="CL215" s="172"/>
      <c r="CM215" s="172"/>
      <c r="CN215" s="172"/>
      <c r="CP215" s="172"/>
      <c r="CQ215" s="172"/>
      <c r="CR215" s="172"/>
      <c r="CS215" s="172"/>
      <c r="CU215" s="172"/>
      <c r="CV215" s="172"/>
      <c r="CW215" s="172"/>
      <c r="CX215" s="172"/>
      <c r="CZ215" s="172"/>
      <c r="DA215" s="172"/>
      <c r="DB215" s="172"/>
      <c r="DC215" s="172"/>
      <c r="DE215" s="172"/>
      <c r="DF215" s="172"/>
      <c r="DG215" s="172"/>
      <c r="DH215" s="172"/>
      <c r="DJ215" s="172"/>
      <c r="DK215" s="172"/>
      <c r="DL215" s="172"/>
      <c r="DM215" s="172"/>
      <c r="DO215" s="172"/>
      <c r="DP215" s="172"/>
      <c r="DQ215" s="172"/>
      <c r="DR215" s="172"/>
      <c r="DT215" s="172"/>
      <c r="DU215" s="172"/>
      <c r="DV215" s="172"/>
      <c r="DW215" s="172"/>
      <c r="DY215" s="172"/>
      <c r="DZ215" s="172"/>
      <c r="EA215" s="172"/>
      <c r="EB215" s="172"/>
      <c r="ED215" s="172"/>
      <c r="EE215" s="172"/>
      <c r="EF215" s="172"/>
      <c r="EG215" s="172"/>
      <c r="EI215" s="172"/>
      <c r="EJ215" s="172"/>
      <c r="EK215" s="172"/>
      <c r="EL215" s="172"/>
      <c r="EN215" s="172"/>
      <c r="EO215" s="172"/>
      <c r="EP215" s="172"/>
      <c r="EQ215" s="172"/>
      <c r="ES215" s="172"/>
      <c r="ET215" s="172"/>
      <c r="EU215" s="172"/>
      <c r="EV215" s="172"/>
      <c r="EX215" s="172"/>
      <c r="EY215" s="172"/>
      <c r="EZ215" s="172"/>
      <c r="FA215" s="172"/>
      <c r="FC215" s="172"/>
      <c r="FD215" s="172"/>
      <c r="FE215" s="172"/>
      <c r="FF215" s="172"/>
      <c r="FH215" s="172"/>
      <c r="FI215" s="172"/>
      <c r="FJ215" s="172"/>
      <c r="FK215" s="172"/>
      <c r="FM215" s="172"/>
      <c r="FN215" s="172"/>
      <c r="FO215" s="172"/>
      <c r="FP215" s="172"/>
      <c r="FR215" s="172"/>
      <c r="FS215" s="172"/>
      <c r="FT215" s="172"/>
      <c r="FU215" s="172"/>
      <c r="FW215" s="172"/>
      <c r="FX215" s="172"/>
      <c r="FY215" s="172"/>
      <c r="FZ215" s="172"/>
      <c r="GB215" s="172"/>
      <c r="GC215" s="172"/>
      <c r="GD215" s="172"/>
      <c r="GE215" s="172"/>
      <c r="GG215" s="172"/>
      <c r="GH215" s="172"/>
      <c r="GI215" s="172"/>
      <c r="GJ215" s="172"/>
    </row>
    <row r="216" spans="3:192" ht="12.75" customHeight="1">
      <c r="C216" s="158"/>
      <c r="D216" s="153"/>
      <c r="E216" s="153"/>
      <c r="F216" s="153"/>
      <c r="G216" s="153"/>
      <c r="H216" s="158"/>
      <c r="I216" s="153"/>
      <c r="J216" s="153"/>
      <c r="K216" s="153"/>
      <c r="L216" s="153"/>
      <c r="M216" s="158"/>
      <c r="N216" s="153"/>
      <c r="O216" s="153"/>
      <c r="P216" s="153"/>
      <c r="Q216" s="153"/>
      <c r="R216" s="158"/>
      <c r="S216" s="153"/>
      <c r="T216" s="153"/>
      <c r="U216" s="153"/>
      <c r="V216" s="153"/>
      <c r="W216" s="158"/>
      <c r="X216" s="153"/>
      <c r="Y216" s="153"/>
      <c r="Z216" s="153"/>
      <c r="AA216" s="153"/>
      <c r="AB216" s="158"/>
      <c r="AC216" s="153"/>
      <c r="AD216" s="153"/>
      <c r="AE216" s="153"/>
      <c r="AF216" s="153"/>
      <c r="AG216" s="158"/>
      <c r="AH216" s="153"/>
      <c r="AI216" s="153"/>
      <c r="AJ216" s="153"/>
      <c r="AK216" s="153"/>
      <c r="AL216" s="158"/>
      <c r="AM216" s="153"/>
      <c r="AN216" s="153"/>
      <c r="AO216" s="153"/>
      <c r="AP216" s="153"/>
      <c r="AQ216" s="158"/>
      <c r="AR216" s="153"/>
      <c r="AS216" s="153"/>
      <c r="AT216" s="153"/>
      <c r="AU216" s="153"/>
      <c r="AV216" s="158"/>
      <c r="AW216" s="153"/>
      <c r="AX216" s="153"/>
      <c r="AY216" s="153"/>
      <c r="AZ216" s="153"/>
      <c r="BA216" s="158"/>
      <c r="BB216" s="153"/>
      <c r="BC216" s="153"/>
      <c r="BD216" s="153"/>
      <c r="BE216" s="153"/>
      <c r="BF216" s="158"/>
      <c r="BG216" s="153"/>
      <c r="BH216" s="153"/>
      <c r="BI216" s="153"/>
      <c r="BJ216" s="153"/>
      <c r="BK216" s="158"/>
      <c r="BL216" s="153"/>
      <c r="BM216" s="153"/>
      <c r="BN216" s="153"/>
      <c r="BO216" s="153"/>
      <c r="BP216" s="158"/>
      <c r="BQ216" s="153"/>
      <c r="BR216" s="153"/>
      <c r="BS216" s="153"/>
      <c r="BT216" s="153"/>
      <c r="BU216" s="158"/>
      <c r="BV216" s="153"/>
      <c r="BW216" s="153"/>
      <c r="BX216" s="153"/>
      <c r="BY216" s="153"/>
      <c r="BZ216" s="158"/>
      <c r="CA216" s="153"/>
      <c r="CB216" s="153"/>
      <c r="CC216" s="153"/>
      <c r="CD216" s="153"/>
      <c r="CE216" s="158"/>
      <c r="CF216" s="153"/>
      <c r="CG216" s="153"/>
      <c r="CH216" s="153"/>
      <c r="CI216" s="153"/>
      <c r="CJ216" s="158"/>
      <c r="CK216" s="153"/>
      <c r="CL216" s="153"/>
      <c r="CM216" s="153"/>
      <c r="CN216" s="153"/>
      <c r="CO216" s="158"/>
      <c r="CP216" s="153"/>
      <c r="CQ216" s="153"/>
      <c r="CR216" s="153"/>
      <c r="CS216" s="153"/>
      <c r="CT216" s="158"/>
      <c r="CU216" s="153"/>
      <c r="CV216" s="153"/>
      <c r="CW216" s="153"/>
      <c r="CX216" s="153"/>
      <c r="CY216" s="158"/>
      <c r="CZ216" s="153"/>
      <c r="DA216" s="153"/>
      <c r="DB216" s="153"/>
      <c r="DC216" s="153"/>
      <c r="DD216" s="158"/>
      <c r="DE216" s="153"/>
      <c r="DF216" s="153"/>
      <c r="DG216" s="153"/>
      <c r="DH216" s="153"/>
      <c r="DI216" s="158"/>
      <c r="DJ216" s="153"/>
      <c r="DK216" s="153"/>
      <c r="DL216" s="153"/>
      <c r="DM216" s="153"/>
      <c r="DN216" s="158"/>
      <c r="DO216" s="153"/>
      <c r="DP216" s="153"/>
      <c r="DQ216" s="153"/>
      <c r="DR216" s="153"/>
      <c r="DS216" s="158"/>
      <c r="DT216" s="153"/>
      <c r="DU216" s="153"/>
      <c r="DV216" s="153"/>
      <c r="DW216" s="153"/>
      <c r="DX216" s="158"/>
      <c r="DY216" s="153"/>
      <c r="DZ216" s="153"/>
      <c r="EA216" s="153"/>
      <c r="EB216" s="153"/>
      <c r="EC216" s="158"/>
      <c r="ED216" s="153"/>
      <c r="EE216" s="153"/>
      <c r="EF216" s="153"/>
      <c r="EG216" s="153"/>
      <c r="EH216" s="158"/>
      <c r="EI216" s="153"/>
      <c r="EJ216" s="153"/>
      <c r="EK216" s="153"/>
      <c r="EL216" s="153"/>
      <c r="EM216" s="158"/>
      <c r="EN216" s="153"/>
      <c r="EO216" s="153"/>
      <c r="EP216" s="153"/>
      <c r="EQ216" s="153"/>
      <c r="ER216" s="158"/>
      <c r="ES216" s="153"/>
      <c r="ET216" s="153"/>
      <c r="EU216" s="153"/>
      <c r="EV216" s="153"/>
      <c r="EW216" s="158"/>
      <c r="EX216" s="153"/>
      <c r="EY216" s="153"/>
      <c r="EZ216" s="153"/>
      <c r="FA216" s="153"/>
      <c r="FB216" s="158"/>
      <c r="FC216" s="153"/>
      <c r="FD216" s="153"/>
      <c r="FE216" s="153"/>
      <c r="FF216" s="153"/>
      <c r="FG216" s="158"/>
      <c r="FH216" s="153"/>
      <c r="FI216" s="153"/>
      <c r="FJ216" s="153"/>
      <c r="FK216" s="153"/>
      <c r="FL216" s="158"/>
      <c r="FM216" s="153"/>
      <c r="FN216" s="153"/>
      <c r="FO216" s="153"/>
      <c r="FP216" s="153"/>
      <c r="FQ216" s="158"/>
      <c r="FR216" s="153"/>
      <c r="FS216" s="153"/>
      <c r="FT216" s="153"/>
      <c r="FU216" s="153"/>
      <c r="FV216" s="158"/>
      <c r="FW216" s="153"/>
      <c r="FX216" s="153"/>
      <c r="FY216" s="153"/>
      <c r="FZ216" s="153"/>
      <c r="GA216" s="158"/>
      <c r="GB216" s="153"/>
      <c r="GC216" s="153"/>
      <c r="GD216" s="153"/>
      <c r="GE216" s="153"/>
      <c r="GF216" s="158"/>
      <c r="GG216" s="153"/>
      <c r="GH216" s="153"/>
      <c r="GI216" s="153"/>
      <c r="GJ216" s="153"/>
    </row>
    <row r="217" spans="3:192" ht="12.75" customHeight="1">
      <c r="C217" s="158"/>
      <c r="D217" s="153"/>
      <c r="E217" s="153"/>
      <c r="F217" s="153"/>
      <c r="G217" s="153"/>
      <c r="H217" s="158"/>
      <c r="I217" s="153"/>
      <c r="J217" s="153"/>
      <c r="K217" s="153"/>
      <c r="L217" s="153"/>
      <c r="M217" s="158"/>
      <c r="N217" s="153"/>
      <c r="O217" s="153"/>
      <c r="P217" s="153"/>
      <c r="Q217" s="153"/>
      <c r="R217" s="158"/>
      <c r="S217" s="153"/>
      <c r="T217" s="153"/>
      <c r="U217" s="153"/>
      <c r="V217" s="153"/>
      <c r="W217" s="158"/>
      <c r="X217" s="153"/>
      <c r="Y217" s="153"/>
      <c r="Z217" s="153"/>
      <c r="AA217" s="153"/>
      <c r="AB217" s="158"/>
      <c r="AC217" s="153"/>
      <c r="AD217" s="153"/>
      <c r="AE217" s="153"/>
      <c r="AF217" s="153"/>
      <c r="AG217" s="158"/>
      <c r="AH217" s="153"/>
      <c r="AI217" s="153"/>
      <c r="AJ217" s="153"/>
      <c r="AK217" s="153"/>
      <c r="AL217" s="158"/>
      <c r="AM217" s="153"/>
      <c r="AN217" s="153"/>
      <c r="AO217" s="153"/>
      <c r="AP217" s="153"/>
      <c r="AQ217" s="158"/>
      <c r="AR217" s="153"/>
      <c r="AS217" s="153"/>
      <c r="AT217" s="153"/>
      <c r="AU217" s="153"/>
      <c r="AV217" s="158"/>
      <c r="AW217" s="153"/>
      <c r="AX217" s="153"/>
      <c r="AY217" s="153"/>
      <c r="AZ217" s="153"/>
      <c r="BA217" s="158"/>
      <c r="BB217" s="153"/>
      <c r="BC217" s="153"/>
      <c r="BD217" s="153"/>
      <c r="BE217" s="153"/>
      <c r="BF217" s="158"/>
      <c r="BG217" s="153"/>
      <c r="BH217" s="153"/>
      <c r="BI217" s="153"/>
      <c r="BJ217" s="153"/>
      <c r="BK217" s="158"/>
      <c r="BL217" s="153"/>
      <c r="BM217" s="153"/>
      <c r="BN217" s="153"/>
      <c r="BO217" s="153"/>
      <c r="BP217" s="158"/>
      <c r="BQ217" s="153"/>
      <c r="BR217" s="153"/>
      <c r="BS217" s="153"/>
      <c r="BT217" s="153"/>
      <c r="BU217" s="158"/>
      <c r="BV217" s="153"/>
      <c r="BW217" s="153"/>
      <c r="BX217" s="153"/>
      <c r="BY217" s="153"/>
      <c r="BZ217" s="158"/>
      <c r="CA217" s="153"/>
      <c r="CB217" s="153"/>
      <c r="CC217" s="153"/>
      <c r="CD217" s="153"/>
      <c r="CE217" s="158"/>
      <c r="CF217" s="153"/>
      <c r="CG217" s="153"/>
      <c r="CH217" s="153"/>
      <c r="CI217" s="153"/>
      <c r="CJ217" s="158"/>
      <c r="CK217" s="153"/>
      <c r="CL217" s="153"/>
      <c r="CM217" s="153"/>
      <c r="CN217" s="153"/>
      <c r="CO217" s="158"/>
      <c r="CP217" s="153"/>
      <c r="CQ217" s="153"/>
      <c r="CR217" s="153"/>
      <c r="CS217" s="153"/>
      <c r="CT217" s="158"/>
      <c r="CU217" s="153"/>
      <c r="CV217" s="153"/>
      <c r="CW217" s="153"/>
      <c r="CX217" s="153"/>
      <c r="CY217" s="158"/>
      <c r="CZ217" s="153"/>
      <c r="DA217" s="153"/>
      <c r="DB217" s="153"/>
      <c r="DC217" s="153"/>
      <c r="DD217" s="158"/>
      <c r="DE217" s="153"/>
      <c r="DF217" s="153"/>
      <c r="DG217" s="153"/>
      <c r="DH217" s="153"/>
      <c r="DI217" s="158"/>
      <c r="DJ217" s="153"/>
      <c r="DK217" s="153"/>
      <c r="DL217" s="153"/>
      <c r="DM217" s="153"/>
      <c r="DN217" s="158"/>
      <c r="DO217" s="153"/>
      <c r="DP217" s="153"/>
      <c r="DQ217" s="153"/>
      <c r="DR217" s="153"/>
      <c r="DS217" s="158"/>
      <c r="DT217" s="153"/>
      <c r="DU217" s="153"/>
      <c r="DV217" s="153"/>
      <c r="DW217" s="153"/>
      <c r="DX217" s="158"/>
      <c r="DY217" s="153"/>
      <c r="DZ217" s="153"/>
      <c r="EA217" s="153"/>
      <c r="EB217" s="153"/>
      <c r="EC217" s="158"/>
      <c r="ED217" s="153"/>
      <c r="EE217" s="153"/>
      <c r="EF217" s="153"/>
      <c r="EG217" s="153"/>
      <c r="EH217" s="158"/>
      <c r="EI217" s="153"/>
      <c r="EJ217" s="153"/>
      <c r="EK217" s="153"/>
      <c r="EL217" s="153"/>
      <c r="EM217" s="158"/>
      <c r="EN217" s="153"/>
      <c r="EO217" s="153"/>
      <c r="EP217" s="153"/>
      <c r="EQ217" s="153"/>
      <c r="ER217" s="158"/>
      <c r="ES217" s="153"/>
      <c r="ET217" s="153"/>
      <c r="EU217" s="153"/>
      <c r="EV217" s="153"/>
      <c r="EW217" s="158"/>
      <c r="EX217" s="153"/>
      <c r="EY217" s="153"/>
      <c r="EZ217" s="153"/>
      <c r="FA217" s="153"/>
      <c r="FB217" s="158"/>
      <c r="FC217" s="153"/>
      <c r="FD217" s="153"/>
      <c r="FE217" s="153"/>
      <c r="FF217" s="153"/>
      <c r="FG217" s="158"/>
      <c r="FH217" s="153"/>
      <c r="FI217" s="153"/>
      <c r="FJ217" s="153"/>
      <c r="FK217" s="153"/>
      <c r="FL217" s="158"/>
      <c r="FM217" s="153"/>
      <c r="FN217" s="153"/>
      <c r="FO217" s="153"/>
      <c r="FP217" s="153"/>
      <c r="FQ217" s="158"/>
      <c r="FR217" s="153"/>
      <c r="FS217" s="153"/>
      <c r="FT217" s="153"/>
      <c r="FU217" s="153"/>
      <c r="FV217" s="158"/>
      <c r="FW217" s="153"/>
      <c r="FX217" s="153"/>
      <c r="FY217" s="153"/>
      <c r="FZ217" s="153"/>
      <c r="GA217" s="158"/>
      <c r="GB217" s="153"/>
      <c r="GC217" s="153"/>
      <c r="GD217" s="153"/>
      <c r="GE217" s="153"/>
      <c r="GF217" s="158"/>
      <c r="GG217" s="153"/>
      <c r="GH217" s="153"/>
      <c r="GI217" s="153"/>
      <c r="GJ217" s="153"/>
    </row>
    <row r="218" spans="3:192" ht="12.75" customHeight="1">
      <c r="C218" s="158"/>
      <c r="D218" s="153"/>
      <c r="E218" s="153"/>
      <c r="F218" s="153"/>
      <c r="G218" s="153"/>
      <c r="H218" s="158"/>
      <c r="I218" s="153"/>
      <c r="J218" s="153"/>
      <c r="K218" s="153"/>
      <c r="L218" s="153"/>
      <c r="M218" s="158"/>
      <c r="N218" s="153"/>
      <c r="O218" s="153"/>
      <c r="P218" s="153"/>
      <c r="Q218" s="153"/>
      <c r="R218" s="158"/>
      <c r="S218" s="153"/>
      <c r="T218" s="153"/>
      <c r="U218" s="153"/>
      <c r="V218" s="153"/>
      <c r="W218" s="158"/>
      <c r="X218" s="153"/>
      <c r="Y218" s="153"/>
      <c r="Z218" s="153"/>
      <c r="AA218" s="153"/>
      <c r="AB218" s="158"/>
      <c r="AC218" s="153"/>
      <c r="AD218" s="153"/>
      <c r="AE218" s="153"/>
      <c r="AF218" s="153"/>
      <c r="AG218" s="158"/>
      <c r="AH218" s="153"/>
      <c r="AI218" s="153"/>
      <c r="AJ218" s="153"/>
      <c r="AK218" s="153"/>
      <c r="AL218" s="158"/>
      <c r="AM218" s="153"/>
      <c r="AN218" s="153"/>
      <c r="AO218" s="153"/>
      <c r="AP218" s="153"/>
      <c r="AQ218" s="158"/>
      <c r="AR218" s="153"/>
      <c r="AS218" s="153"/>
      <c r="AT218" s="153"/>
      <c r="AU218" s="153"/>
      <c r="AV218" s="158"/>
      <c r="AW218" s="153"/>
      <c r="AX218" s="153"/>
      <c r="AY218" s="153"/>
      <c r="AZ218" s="153"/>
      <c r="BA218" s="158"/>
      <c r="BB218" s="153"/>
      <c r="BC218" s="153"/>
      <c r="BD218" s="153"/>
      <c r="BE218" s="153"/>
      <c r="BF218" s="158"/>
      <c r="BG218" s="153"/>
      <c r="BH218" s="153"/>
      <c r="BI218" s="153"/>
      <c r="BJ218" s="153"/>
      <c r="BK218" s="158"/>
      <c r="BL218" s="153"/>
      <c r="BM218" s="153"/>
      <c r="BN218" s="153"/>
      <c r="BO218" s="153"/>
      <c r="BP218" s="158"/>
      <c r="BQ218" s="153"/>
      <c r="BR218" s="153"/>
      <c r="BS218" s="153"/>
      <c r="BT218" s="153"/>
      <c r="BU218" s="158"/>
      <c r="BV218" s="153"/>
      <c r="BW218" s="153"/>
      <c r="BX218" s="153"/>
      <c r="BY218" s="153"/>
      <c r="BZ218" s="158"/>
      <c r="CA218" s="153"/>
      <c r="CB218" s="153"/>
      <c r="CC218" s="153"/>
      <c r="CD218" s="153"/>
      <c r="CE218" s="158"/>
      <c r="CF218" s="153"/>
      <c r="CG218" s="153"/>
      <c r="CH218" s="153"/>
      <c r="CI218" s="153"/>
      <c r="CJ218" s="158"/>
      <c r="CK218" s="153"/>
      <c r="CL218" s="153"/>
      <c r="CM218" s="153"/>
      <c r="CN218" s="153"/>
      <c r="CO218" s="158"/>
      <c r="CP218" s="153"/>
      <c r="CQ218" s="153"/>
      <c r="CR218" s="153"/>
      <c r="CS218" s="153"/>
      <c r="CT218" s="158"/>
      <c r="CU218" s="153"/>
      <c r="CV218" s="153"/>
      <c r="CW218" s="153"/>
      <c r="CX218" s="153"/>
      <c r="CY218" s="158"/>
      <c r="CZ218" s="153"/>
      <c r="DA218" s="153"/>
      <c r="DB218" s="153"/>
      <c r="DC218" s="153"/>
      <c r="DD218" s="158"/>
      <c r="DE218" s="153"/>
      <c r="DF218" s="153"/>
      <c r="DG218" s="153"/>
      <c r="DH218" s="153"/>
      <c r="DI218" s="158"/>
      <c r="DJ218" s="153"/>
      <c r="DK218" s="153"/>
      <c r="DL218" s="153"/>
      <c r="DM218" s="153"/>
      <c r="DN218" s="158"/>
      <c r="DO218" s="153"/>
      <c r="DP218" s="153"/>
      <c r="DQ218" s="153"/>
      <c r="DR218" s="153"/>
      <c r="DS218" s="158"/>
      <c r="DT218" s="153"/>
      <c r="DU218" s="153"/>
      <c r="DV218" s="153"/>
      <c r="DW218" s="153"/>
      <c r="DX218" s="158"/>
      <c r="DY218" s="153"/>
      <c r="DZ218" s="153"/>
      <c r="EA218" s="153"/>
      <c r="EB218" s="153"/>
      <c r="EC218" s="158"/>
      <c r="ED218" s="153"/>
      <c r="EE218" s="153"/>
      <c r="EF218" s="153"/>
      <c r="EG218" s="153"/>
      <c r="EH218" s="158"/>
      <c r="EI218" s="153"/>
      <c r="EJ218" s="153"/>
      <c r="EK218" s="153"/>
      <c r="EL218" s="153"/>
      <c r="EM218" s="158"/>
      <c r="EN218" s="153"/>
      <c r="EO218" s="153"/>
      <c r="EP218" s="153"/>
      <c r="EQ218" s="153"/>
      <c r="ER218" s="158"/>
      <c r="ES218" s="153"/>
      <c r="ET218" s="153"/>
      <c r="EU218" s="153"/>
      <c r="EV218" s="153"/>
      <c r="EW218" s="158"/>
      <c r="EX218" s="153"/>
      <c r="EY218" s="153"/>
      <c r="EZ218" s="153"/>
      <c r="FA218" s="153"/>
      <c r="FB218" s="158"/>
      <c r="FC218" s="153"/>
      <c r="FD218" s="153"/>
      <c r="FE218" s="153"/>
      <c r="FF218" s="153"/>
      <c r="FG218" s="158"/>
      <c r="FH218" s="153"/>
      <c r="FI218" s="153"/>
      <c r="FJ218" s="153"/>
      <c r="FK218" s="153"/>
      <c r="FL218" s="158"/>
      <c r="FM218" s="153"/>
      <c r="FN218" s="153"/>
      <c r="FO218" s="153"/>
      <c r="FP218" s="153"/>
      <c r="FQ218" s="158"/>
      <c r="FR218" s="153"/>
      <c r="FS218" s="153"/>
      <c r="FT218" s="153"/>
      <c r="FU218" s="153"/>
      <c r="FV218" s="158"/>
      <c r="FW218" s="153"/>
      <c r="FX218" s="153"/>
      <c r="FY218" s="153"/>
      <c r="FZ218" s="153"/>
      <c r="GA218" s="158"/>
      <c r="GB218" s="153"/>
      <c r="GC218" s="153"/>
      <c r="GD218" s="153"/>
      <c r="GE218" s="153"/>
      <c r="GF218" s="158"/>
      <c r="GG218" s="153"/>
      <c r="GH218" s="153"/>
      <c r="GI218" s="153"/>
      <c r="GJ218" s="153"/>
    </row>
    <row r="219" spans="3:192" ht="12.75" customHeight="1">
      <c r="C219" s="158"/>
      <c r="D219" s="153"/>
      <c r="E219" s="153"/>
      <c r="F219" s="153"/>
      <c r="G219" s="153"/>
      <c r="H219" s="158"/>
      <c r="I219" s="153"/>
      <c r="J219" s="153"/>
      <c r="K219" s="153"/>
      <c r="L219" s="153"/>
      <c r="M219" s="158"/>
      <c r="N219" s="153"/>
      <c r="O219" s="153"/>
      <c r="P219" s="153"/>
      <c r="Q219" s="153"/>
      <c r="R219" s="158"/>
      <c r="S219" s="153"/>
      <c r="T219" s="153"/>
      <c r="U219" s="153"/>
      <c r="V219" s="153"/>
      <c r="W219" s="158"/>
      <c r="X219" s="153"/>
      <c r="Y219" s="153"/>
      <c r="Z219" s="153"/>
      <c r="AA219" s="153"/>
      <c r="AB219" s="158"/>
      <c r="AC219" s="153"/>
      <c r="AD219" s="153"/>
      <c r="AE219" s="153"/>
      <c r="AF219" s="153"/>
      <c r="AG219" s="158"/>
      <c r="AH219" s="153"/>
      <c r="AI219" s="153"/>
      <c r="AJ219" s="153"/>
      <c r="AK219" s="153"/>
      <c r="AL219" s="158"/>
      <c r="AM219" s="153"/>
      <c r="AN219" s="153"/>
      <c r="AO219" s="153"/>
      <c r="AP219" s="153"/>
      <c r="AQ219" s="158"/>
      <c r="AR219" s="153"/>
      <c r="AS219" s="153"/>
      <c r="AT219" s="153"/>
      <c r="AU219" s="153"/>
      <c r="AV219" s="158"/>
      <c r="AW219" s="153"/>
      <c r="AX219" s="153"/>
      <c r="AY219" s="153"/>
      <c r="AZ219" s="153"/>
      <c r="BA219" s="158"/>
      <c r="BB219" s="153"/>
      <c r="BC219" s="153"/>
      <c r="BD219" s="153"/>
      <c r="BE219" s="153"/>
      <c r="BF219" s="158"/>
      <c r="BG219" s="153"/>
      <c r="BH219" s="153"/>
      <c r="BI219" s="153"/>
      <c r="BJ219" s="153"/>
      <c r="BK219" s="158"/>
      <c r="BL219" s="153"/>
      <c r="BM219" s="153"/>
      <c r="BN219" s="153"/>
      <c r="BO219" s="153"/>
      <c r="BP219" s="158"/>
      <c r="BQ219" s="153"/>
      <c r="BR219" s="153"/>
      <c r="BS219" s="153"/>
      <c r="BT219" s="153"/>
      <c r="BU219" s="158"/>
      <c r="BV219" s="153"/>
      <c r="BW219" s="153"/>
      <c r="BX219" s="153"/>
      <c r="BY219" s="153"/>
      <c r="BZ219" s="158"/>
      <c r="CA219" s="153"/>
      <c r="CB219" s="153"/>
      <c r="CC219" s="153"/>
      <c r="CD219" s="153"/>
      <c r="CE219" s="158"/>
      <c r="CF219" s="153"/>
      <c r="CG219" s="153"/>
      <c r="CH219" s="153"/>
      <c r="CI219" s="153"/>
      <c r="CJ219" s="158"/>
      <c r="CK219" s="153"/>
      <c r="CL219" s="153"/>
      <c r="CM219" s="153"/>
      <c r="CN219" s="153"/>
      <c r="CO219" s="158"/>
      <c r="CP219" s="153"/>
      <c r="CQ219" s="153"/>
      <c r="CR219" s="153"/>
      <c r="CS219" s="153"/>
      <c r="CT219" s="158"/>
      <c r="CU219" s="153"/>
      <c r="CV219" s="153"/>
      <c r="CW219" s="153"/>
      <c r="CX219" s="153"/>
      <c r="CY219" s="158"/>
      <c r="CZ219" s="153"/>
      <c r="DA219" s="153"/>
      <c r="DB219" s="153"/>
      <c r="DC219" s="153"/>
      <c r="DD219" s="158"/>
      <c r="DE219" s="153"/>
      <c r="DF219" s="153"/>
      <c r="DG219" s="153"/>
      <c r="DH219" s="153"/>
      <c r="DI219" s="158"/>
      <c r="DJ219" s="153"/>
      <c r="DK219" s="153"/>
      <c r="DL219" s="153"/>
      <c r="DM219" s="153"/>
      <c r="DN219" s="158"/>
      <c r="DO219" s="153"/>
      <c r="DP219" s="153"/>
      <c r="DQ219" s="153"/>
      <c r="DR219" s="153"/>
      <c r="DS219" s="158"/>
      <c r="DT219" s="153"/>
      <c r="DU219" s="153"/>
      <c r="DV219" s="153"/>
      <c r="DW219" s="153"/>
      <c r="DX219" s="158"/>
      <c r="DY219" s="153"/>
      <c r="DZ219" s="153"/>
      <c r="EA219" s="153"/>
      <c r="EB219" s="153"/>
      <c r="EC219" s="158"/>
      <c r="ED219" s="153"/>
      <c r="EE219" s="153"/>
      <c r="EF219" s="153"/>
      <c r="EG219" s="153"/>
      <c r="EH219" s="158"/>
      <c r="EI219" s="153"/>
      <c r="EJ219" s="153"/>
      <c r="EK219" s="153"/>
      <c r="EL219" s="153"/>
      <c r="EM219" s="158"/>
      <c r="EN219" s="153"/>
      <c r="EO219" s="153"/>
      <c r="EP219" s="153"/>
      <c r="EQ219" s="153"/>
      <c r="ER219" s="158"/>
      <c r="ES219" s="153"/>
      <c r="ET219" s="153"/>
      <c r="EU219" s="153"/>
      <c r="EV219" s="153"/>
      <c r="EW219" s="158"/>
      <c r="EX219" s="153"/>
      <c r="EY219" s="153"/>
      <c r="EZ219" s="153"/>
      <c r="FA219" s="153"/>
      <c r="FB219" s="158"/>
      <c r="FC219" s="153"/>
      <c r="FD219" s="153"/>
      <c r="FE219" s="153"/>
      <c r="FF219" s="153"/>
      <c r="FG219" s="158"/>
      <c r="FH219" s="153"/>
      <c r="FI219" s="153"/>
      <c r="FJ219" s="153"/>
      <c r="FK219" s="153"/>
      <c r="FL219" s="158"/>
      <c r="FM219" s="153"/>
      <c r="FN219" s="153"/>
      <c r="FO219" s="153"/>
      <c r="FP219" s="153"/>
      <c r="FQ219" s="158"/>
      <c r="FR219" s="153"/>
      <c r="FS219" s="153"/>
      <c r="FT219" s="153"/>
      <c r="FU219" s="153"/>
      <c r="FV219" s="158"/>
      <c r="FW219" s="153"/>
      <c r="FX219" s="153"/>
      <c r="FY219" s="153"/>
      <c r="FZ219" s="153"/>
      <c r="GA219" s="158"/>
      <c r="GB219" s="153"/>
      <c r="GC219" s="153"/>
      <c r="GD219" s="153"/>
      <c r="GE219" s="153"/>
      <c r="GF219" s="158"/>
      <c r="GG219" s="153"/>
      <c r="GH219" s="153"/>
      <c r="GI219" s="153"/>
      <c r="GJ219" s="153"/>
    </row>
    <row r="220" spans="3:192" ht="12.75" customHeight="1">
      <c r="C220" s="158"/>
      <c r="D220" s="153"/>
      <c r="E220" s="153"/>
      <c r="F220" s="153"/>
      <c r="G220" s="153"/>
      <c r="H220" s="158"/>
      <c r="I220" s="153"/>
      <c r="J220" s="153"/>
      <c r="K220" s="153"/>
      <c r="L220" s="153"/>
      <c r="M220" s="158"/>
      <c r="N220" s="153"/>
      <c r="O220" s="153"/>
      <c r="P220" s="153"/>
      <c r="Q220" s="153"/>
      <c r="R220" s="158"/>
      <c r="S220" s="153"/>
      <c r="T220" s="153"/>
      <c r="U220" s="153"/>
      <c r="V220" s="153"/>
      <c r="W220" s="158"/>
      <c r="X220" s="153"/>
      <c r="Y220" s="153"/>
      <c r="Z220" s="153"/>
      <c r="AA220" s="153"/>
      <c r="AB220" s="158"/>
      <c r="AC220" s="153"/>
      <c r="AD220" s="153"/>
      <c r="AE220" s="153"/>
      <c r="AF220" s="153"/>
      <c r="AG220" s="158"/>
      <c r="AH220" s="153"/>
      <c r="AI220" s="153"/>
      <c r="AJ220" s="153"/>
      <c r="AK220" s="153"/>
      <c r="AL220" s="158"/>
      <c r="AM220" s="153"/>
      <c r="AN220" s="153"/>
      <c r="AO220" s="153"/>
      <c r="AP220" s="153"/>
      <c r="AQ220" s="158"/>
      <c r="AR220" s="153"/>
      <c r="AS220" s="153"/>
      <c r="AT220" s="153"/>
      <c r="AU220" s="153"/>
      <c r="AV220" s="158"/>
      <c r="AW220" s="153"/>
      <c r="AX220" s="153"/>
      <c r="AY220" s="153"/>
      <c r="AZ220" s="153"/>
      <c r="BA220" s="158"/>
      <c r="BB220" s="153"/>
      <c r="BC220" s="153"/>
      <c r="BD220" s="153"/>
      <c r="BE220" s="153"/>
      <c r="BF220" s="158"/>
      <c r="BG220" s="153"/>
      <c r="BH220" s="153"/>
      <c r="BI220" s="153"/>
      <c r="BJ220" s="153"/>
      <c r="BK220" s="158"/>
      <c r="BL220" s="153"/>
      <c r="BM220" s="153"/>
      <c r="BN220" s="153"/>
      <c r="BO220" s="153"/>
      <c r="BP220" s="158"/>
      <c r="BQ220" s="153"/>
      <c r="BR220" s="153"/>
      <c r="BS220" s="153"/>
      <c r="BT220" s="153"/>
      <c r="BU220" s="158"/>
      <c r="BV220" s="153"/>
      <c r="BW220" s="153"/>
      <c r="BX220" s="153"/>
      <c r="BY220" s="153"/>
      <c r="BZ220" s="158"/>
      <c r="CA220" s="153"/>
      <c r="CB220" s="153"/>
      <c r="CC220" s="153"/>
      <c r="CD220" s="153"/>
      <c r="CE220" s="158"/>
      <c r="CF220" s="153"/>
      <c r="CG220" s="153"/>
      <c r="CH220" s="153"/>
      <c r="CI220" s="153"/>
      <c r="CJ220" s="158"/>
      <c r="CK220" s="153"/>
      <c r="CL220" s="153"/>
      <c r="CM220" s="153"/>
      <c r="CN220" s="153"/>
      <c r="CO220" s="158"/>
      <c r="CP220" s="153"/>
      <c r="CQ220" s="153"/>
      <c r="CR220" s="153"/>
      <c r="CS220" s="153"/>
      <c r="CT220" s="158"/>
      <c r="CU220" s="153"/>
      <c r="CV220" s="153"/>
      <c r="CW220" s="153"/>
      <c r="CX220" s="153"/>
      <c r="CY220" s="158"/>
      <c r="CZ220" s="153"/>
      <c r="DA220" s="153"/>
      <c r="DB220" s="153"/>
      <c r="DC220" s="153"/>
      <c r="DD220" s="158"/>
      <c r="DE220" s="153"/>
      <c r="DF220" s="153"/>
      <c r="DG220" s="153"/>
      <c r="DH220" s="153"/>
      <c r="DI220" s="158"/>
      <c r="DJ220" s="153"/>
      <c r="DK220" s="153"/>
      <c r="DL220" s="153"/>
      <c r="DM220" s="153"/>
      <c r="DN220" s="158"/>
      <c r="DO220" s="153"/>
      <c r="DP220" s="153"/>
      <c r="DQ220" s="153"/>
      <c r="DR220" s="153"/>
      <c r="DS220" s="158"/>
      <c r="DT220" s="153"/>
      <c r="DU220" s="153"/>
      <c r="DV220" s="153"/>
      <c r="DW220" s="153"/>
      <c r="DX220" s="158"/>
      <c r="DY220" s="153"/>
      <c r="DZ220" s="153"/>
      <c r="EA220" s="153"/>
      <c r="EB220" s="153"/>
      <c r="EC220" s="158"/>
      <c r="ED220" s="153"/>
      <c r="EE220" s="153"/>
      <c r="EF220" s="153"/>
      <c r="EG220" s="153"/>
      <c r="EH220" s="158"/>
      <c r="EI220" s="153"/>
      <c r="EJ220" s="153"/>
      <c r="EK220" s="153"/>
      <c r="EL220" s="153"/>
      <c r="EM220" s="158"/>
      <c r="EN220" s="153"/>
      <c r="EO220" s="153"/>
      <c r="EP220" s="153"/>
      <c r="EQ220" s="153"/>
      <c r="ER220" s="158"/>
      <c r="ES220" s="153"/>
      <c r="ET220" s="153"/>
      <c r="EU220" s="153"/>
      <c r="EV220" s="153"/>
      <c r="EW220" s="158"/>
      <c r="EX220" s="153"/>
      <c r="EY220" s="153"/>
      <c r="EZ220" s="153"/>
      <c r="FA220" s="153"/>
      <c r="FB220" s="158"/>
      <c r="FC220" s="153"/>
      <c r="FD220" s="153"/>
      <c r="FE220" s="153"/>
      <c r="FF220" s="153"/>
      <c r="FG220" s="158"/>
      <c r="FH220" s="153"/>
      <c r="FI220" s="153"/>
      <c r="FJ220" s="153"/>
      <c r="FK220" s="153"/>
      <c r="FL220" s="158"/>
      <c r="FM220" s="153"/>
      <c r="FN220" s="153"/>
      <c r="FO220" s="153"/>
      <c r="FP220" s="153"/>
      <c r="FQ220" s="158"/>
      <c r="FR220" s="153"/>
      <c r="FS220" s="153"/>
      <c r="FT220" s="153"/>
      <c r="FU220" s="153"/>
      <c r="FV220" s="158"/>
      <c r="FW220" s="153"/>
      <c r="FX220" s="153"/>
      <c r="FY220" s="153"/>
      <c r="FZ220" s="153"/>
      <c r="GA220" s="158"/>
      <c r="GB220" s="153"/>
      <c r="GC220" s="153"/>
      <c r="GD220" s="153"/>
      <c r="GE220" s="153"/>
      <c r="GF220" s="158"/>
      <c r="GG220" s="153"/>
      <c r="GH220" s="153"/>
      <c r="GI220" s="153"/>
      <c r="GJ220" s="153"/>
    </row>
    <row r="222" spans="3:192" ht="12.75" customHeight="1">
      <c r="C222" s="173"/>
      <c r="D222" s="173"/>
      <c r="E222" s="173"/>
      <c r="F222" s="173"/>
      <c r="G222" s="173"/>
      <c r="H222" s="173"/>
      <c r="I222" s="173"/>
      <c r="J222" s="173"/>
      <c r="K222" s="173"/>
      <c r="L222" s="173"/>
      <c r="M222" s="173"/>
      <c r="N222" s="173"/>
      <c r="O222" s="173"/>
      <c r="P222" s="173"/>
      <c r="Q222" s="173"/>
      <c r="R222" s="173"/>
      <c r="S222" s="173"/>
      <c r="T222" s="173"/>
      <c r="U222" s="173"/>
      <c r="V222" s="173"/>
      <c r="W222" s="173"/>
      <c r="X222" s="173"/>
      <c r="Y222" s="173"/>
      <c r="Z222" s="173"/>
      <c r="AA222" s="173"/>
      <c r="AB222" s="173"/>
      <c r="AC222" s="173"/>
      <c r="AD222" s="173"/>
      <c r="AE222" s="173"/>
      <c r="AF222" s="173"/>
      <c r="AG222" s="173"/>
      <c r="AH222" s="173"/>
      <c r="AI222" s="173"/>
      <c r="AJ222" s="173"/>
      <c r="AK222" s="173"/>
      <c r="AL222" s="173"/>
      <c r="AM222" s="173"/>
      <c r="AN222" s="173"/>
      <c r="AO222" s="173"/>
      <c r="AP222" s="173"/>
      <c r="AQ222" s="173"/>
      <c r="AR222" s="173"/>
      <c r="AS222" s="173"/>
      <c r="AT222" s="173"/>
      <c r="AU222" s="173"/>
      <c r="AV222" s="173"/>
      <c r="AW222" s="173"/>
      <c r="AX222" s="173"/>
      <c r="AY222" s="173"/>
      <c r="AZ222" s="173"/>
      <c r="BA222" s="173"/>
      <c r="BB222" s="173"/>
      <c r="BC222" s="173"/>
      <c r="BD222" s="173"/>
      <c r="BE222" s="173"/>
      <c r="BF222" s="173"/>
      <c r="BG222" s="173"/>
      <c r="BH222" s="173"/>
      <c r="BI222" s="173"/>
      <c r="BJ222" s="173"/>
      <c r="BK222" s="173"/>
      <c r="BL222" s="173"/>
      <c r="BM222" s="173"/>
      <c r="BN222" s="173"/>
      <c r="BO222" s="173"/>
      <c r="BP222" s="173"/>
      <c r="BQ222" s="173"/>
      <c r="BR222" s="173"/>
      <c r="BS222" s="173"/>
      <c r="BT222" s="173"/>
      <c r="BU222" s="173"/>
      <c r="BV222" s="173"/>
      <c r="BW222" s="173"/>
      <c r="BX222" s="173"/>
      <c r="BY222" s="173"/>
      <c r="BZ222" s="173"/>
      <c r="CA222" s="173"/>
      <c r="CB222" s="173"/>
      <c r="CC222" s="173"/>
      <c r="CD222" s="173"/>
      <c r="CE222" s="173"/>
      <c r="CF222" s="173"/>
      <c r="CG222" s="173"/>
      <c r="CH222" s="173"/>
      <c r="CI222" s="173"/>
      <c r="CJ222" s="173"/>
      <c r="CK222" s="173"/>
      <c r="CL222" s="173"/>
      <c r="CM222" s="173"/>
      <c r="CN222" s="173"/>
      <c r="CO222" s="173"/>
      <c r="CP222" s="173"/>
      <c r="CQ222" s="173"/>
      <c r="CR222" s="173"/>
      <c r="CS222" s="173"/>
      <c r="CT222" s="173"/>
      <c r="CU222" s="173"/>
      <c r="CV222" s="173"/>
      <c r="CW222" s="173"/>
      <c r="CX222" s="173"/>
      <c r="CY222" s="173"/>
      <c r="CZ222" s="173"/>
      <c r="DA222" s="173"/>
      <c r="DB222" s="173"/>
      <c r="DC222" s="173"/>
      <c r="DD222" s="173"/>
      <c r="DE222" s="173"/>
      <c r="DF222" s="173"/>
      <c r="DG222" s="173"/>
      <c r="DH222" s="173"/>
      <c r="DI222" s="173"/>
      <c r="DJ222" s="173"/>
      <c r="DK222" s="173"/>
      <c r="DL222" s="173"/>
      <c r="DM222" s="173"/>
      <c r="DN222" s="173"/>
      <c r="DO222" s="173"/>
      <c r="DP222" s="173"/>
      <c r="DQ222" s="173"/>
      <c r="DR222" s="173"/>
      <c r="DS222" s="173"/>
      <c r="DT222" s="173"/>
      <c r="DU222" s="173"/>
      <c r="DV222" s="173"/>
      <c r="DW222" s="173"/>
      <c r="DX222" s="173"/>
      <c r="DY222" s="173"/>
      <c r="DZ222" s="173"/>
      <c r="EA222" s="173"/>
      <c r="EB222" s="173"/>
      <c r="EC222" s="173"/>
      <c r="ED222" s="173"/>
      <c r="EE222" s="173"/>
      <c r="EF222" s="173"/>
      <c r="EG222" s="173"/>
      <c r="EH222" s="173"/>
      <c r="EI222" s="173"/>
      <c r="EJ222" s="173"/>
      <c r="EK222" s="173"/>
      <c r="EL222" s="173"/>
      <c r="EM222" s="173"/>
      <c r="EN222" s="173"/>
      <c r="EO222" s="173"/>
      <c r="EP222" s="173"/>
      <c r="EQ222" s="173"/>
      <c r="ER222" s="173"/>
      <c r="ES222" s="173"/>
      <c r="ET222" s="173"/>
      <c r="EU222" s="173"/>
      <c r="EV222" s="173"/>
      <c r="EW222" s="173"/>
      <c r="EX222" s="173"/>
      <c r="EY222" s="173"/>
      <c r="EZ222" s="173"/>
      <c r="FA222" s="173"/>
      <c r="FB222" s="173"/>
      <c r="FC222" s="173"/>
      <c r="FD222" s="173"/>
      <c r="FE222" s="173"/>
      <c r="FF222" s="173"/>
      <c r="FG222" s="173"/>
      <c r="FH222" s="173"/>
      <c r="FI222" s="173"/>
      <c r="FJ222" s="173"/>
      <c r="FK222" s="173"/>
      <c r="FL222" s="173"/>
      <c r="FM222" s="173"/>
      <c r="FN222" s="173"/>
      <c r="FO222" s="173"/>
      <c r="FP222" s="173"/>
      <c r="FQ222" s="173"/>
      <c r="FR222" s="173"/>
      <c r="FS222" s="173"/>
      <c r="FT222" s="173"/>
      <c r="FU222" s="173"/>
      <c r="FV222" s="173"/>
      <c r="FW222" s="173"/>
      <c r="FX222" s="173"/>
      <c r="FY222" s="173"/>
      <c r="FZ222" s="173"/>
      <c r="GA222" s="173"/>
      <c r="GB222" s="173"/>
      <c r="GC222" s="173"/>
      <c r="GD222" s="173"/>
      <c r="GE222" s="173"/>
      <c r="GF222" s="173"/>
      <c r="GG222" s="173"/>
      <c r="GH222" s="173"/>
      <c r="GI222" s="173"/>
      <c r="GJ222" s="173"/>
    </row>
    <row r="223" spans="3:192" ht="12.75" customHeight="1">
      <c r="C223" s="169"/>
      <c r="D223" s="169"/>
      <c r="E223" s="169"/>
      <c r="F223" s="169"/>
      <c r="G223" s="169"/>
      <c r="H223" s="169"/>
      <c r="I223" s="169"/>
      <c r="J223" s="169"/>
      <c r="K223" s="169"/>
      <c r="L223" s="169"/>
      <c r="M223" s="169"/>
      <c r="N223" s="169"/>
      <c r="O223" s="169"/>
      <c r="P223" s="169"/>
      <c r="Q223" s="169"/>
      <c r="R223" s="169"/>
      <c r="S223" s="169"/>
      <c r="T223" s="169"/>
      <c r="U223" s="169"/>
      <c r="V223" s="169"/>
      <c r="W223" s="169"/>
      <c r="X223" s="169"/>
      <c r="Y223" s="169"/>
      <c r="Z223" s="169"/>
      <c r="AA223" s="169"/>
      <c r="AB223" s="169"/>
      <c r="AC223" s="169"/>
      <c r="AD223" s="169"/>
      <c r="AE223" s="169"/>
      <c r="AF223" s="169"/>
      <c r="AG223" s="169"/>
      <c r="AH223" s="169"/>
      <c r="AI223" s="169"/>
      <c r="AJ223" s="169"/>
      <c r="AK223" s="169"/>
      <c r="AL223" s="169"/>
      <c r="AM223" s="169"/>
      <c r="AN223" s="169"/>
      <c r="AO223" s="169"/>
      <c r="AP223" s="169"/>
      <c r="AQ223" s="169"/>
      <c r="AR223" s="169"/>
      <c r="AS223" s="169"/>
      <c r="AT223" s="169"/>
      <c r="AU223" s="169"/>
      <c r="AV223" s="169"/>
      <c r="AW223" s="169"/>
      <c r="AX223" s="169"/>
      <c r="AY223" s="169"/>
      <c r="AZ223" s="169"/>
      <c r="BA223" s="169"/>
      <c r="BB223" s="169"/>
      <c r="BC223" s="169"/>
      <c r="BD223" s="169"/>
      <c r="BE223" s="169"/>
      <c r="BF223" s="169"/>
      <c r="BG223" s="169"/>
      <c r="BH223" s="169"/>
      <c r="BI223" s="169"/>
      <c r="BJ223" s="169"/>
      <c r="BK223" s="169"/>
      <c r="BL223" s="169"/>
      <c r="BM223" s="169"/>
      <c r="BN223" s="169"/>
      <c r="BO223" s="169"/>
      <c r="BP223" s="169"/>
      <c r="BQ223" s="169"/>
      <c r="BR223" s="169"/>
      <c r="BS223" s="169"/>
      <c r="BT223" s="169"/>
      <c r="BU223" s="169"/>
      <c r="BV223" s="169"/>
      <c r="BW223" s="169"/>
      <c r="BX223" s="169"/>
      <c r="BY223" s="169"/>
      <c r="BZ223" s="169"/>
      <c r="CA223" s="169"/>
      <c r="CB223" s="169"/>
      <c r="CC223" s="169"/>
      <c r="CD223" s="169"/>
      <c r="CE223" s="169"/>
      <c r="CF223" s="169"/>
      <c r="CG223" s="169"/>
      <c r="CH223" s="169"/>
      <c r="CI223" s="169"/>
      <c r="CJ223" s="169"/>
      <c r="CK223" s="169"/>
      <c r="CL223" s="169"/>
      <c r="CM223" s="169"/>
      <c r="CN223" s="169"/>
      <c r="CO223" s="169"/>
      <c r="CP223" s="169"/>
      <c r="CQ223" s="169"/>
      <c r="CR223" s="169"/>
      <c r="CS223" s="169"/>
      <c r="CT223" s="169"/>
      <c r="CU223" s="169"/>
      <c r="CV223" s="169"/>
      <c r="CW223" s="169"/>
      <c r="CX223" s="169"/>
      <c r="CY223" s="169"/>
      <c r="CZ223" s="169"/>
      <c r="DA223" s="169"/>
      <c r="DB223" s="169"/>
      <c r="DC223" s="169"/>
      <c r="DD223" s="169"/>
      <c r="DE223" s="169"/>
      <c r="DF223" s="169"/>
      <c r="DG223" s="169"/>
      <c r="DH223" s="169"/>
      <c r="DI223" s="169"/>
      <c r="DJ223" s="169"/>
      <c r="DK223" s="169"/>
      <c r="DL223" s="169"/>
      <c r="DM223" s="169"/>
      <c r="DN223" s="169"/>
      <c r="DO223" s="169"/>
      <c r="DP223" s="169"/>
      <c r="DQ223" s="169"/>
      <c r="DR223" s="169"/>
      <c r="DS223" s="169"/>
      <c r="DT223" s="169"/>
      <c r="DU223" s="169"/>
      <c r="DV223" s="169"/>
      <c r="DW223" s="169"/>
      <c r="DX223" s="169"/>
      <c r="DY223" s="169"/>
      <c r="DZ223" s="169"/>
      <c r="EA223" s="169"/>
      <c r="EB223" s="169"/>
      <c r="EC223" s="169"/>
      <c r="ED223" s="169"/>
      <c r="EE223" s="169"/>
      <c r="EF223" s="169"/>
      <c r="EG223" s="169"/>
      <c r="EH223" s="169"/>
      <c r="EI223" s="169"/>
      <c r="EJ223" s="169"/>
      <c r="EK223" s="169"/>
      <c r="EL223" s="169"/>
      <c r="EM223" s="169"/>
      <c r="EN223" s="169"/>
      <c r="EO223" s="169"/>
      <c r="EP223" s="169"/>
      <c r="EQ223" s="169"/>
      <c r="ER223" s="169"/>
      <c r="ES223" s="169"/>
      <c r="ET223" s="169"/>
      <c r="EU223" s="169"/>
      <c r="EV223" s="169"/>
      <c r="EW223" s="169"/>
      <c r="EX223" s="169"/>
      <c r="EY223" s="169"/>
      <c r="EZ223" s="169"/>
      <c r="FA223" s="169"/>
      <c r="FB223" s="169"/>
      <c r="FC223" s="169"/>
      <c r="FD223" s="169"/>
      <c r="FE223" s="169"/>
      <c r="FF223" s="169"/>
      <c r="FG223" s="169"/>
      <c r="FH223" s="169"/>
      <c r="FI223" s="169"/>
      <c r="FJ223" s="169"/>
      <c r="FK223" s="169"/>
      <c r="FL223" s="169"/>
      <c r="FM223" s="169"/>
      <c r="FN223" s="169"/>
      <c r="FO223" s="169"/>
      <c r="FP223" s="169"/>
      <c r="FQ223" s="169"/>
      <c r="FR223" s="169"/>
      <c r="FS223" s="169"/>
      <c r="FT223" s="169"/>
      <c r="FU223" s="169"/>
      <c r="FV223" s="169"/>
      <c r="FW223" s="169"/>
      <c r="FX223" s="169"/>
      <c r="FY223" s="169"/>
      <c r="FZ223" s="169"/>
      <c r="GA223" s="169"/>
      <c r="GB223" s="169"/>
      <c r="GC223" s="169"/>
      <c r="GD223" s="169"/>
      <c r="GE223" s="169"/>
      <c r="GF223" s="169"/>
      <c r="GG223" s="169"/>
      <c r="GH223" s="169"/>
      <c r="GI223" s="169"/>
      <c r="GJ223" s="169"/>
    </row>
    <row r="224" spans="3:192" ht="12.75" customHeight="1">
      <c r="C224" s="169"/>
      <c r="D224" s="169"/>
      <c r="E224" s="169"/>
      <c r="F224" s="169"/>
      <c r="G224" s="169"/>
      <c r="H224" s="169"/>
      <c r="I224" s="169"/>
      <c r="J224" s="169"/>
      <c r="K224" s="169"/>
      <c r="L224" s="169"/>
      <c r="M224" s="169"/>
      <c r="N224" s="169"/>
      <c r="O224" s="169"/>
      <c r="P224" s="169"/>
      <c r="Q224" s="169"/>
      <c r="R224" s="169"/>
      <c r="S224" s="169"/>
      <c r="T224" s="169"/>
      <c r="U224" s="169"/>
      <c r="V224" s="169"/>
      <c r="W224" s="169"/>
      <c r="X224" s="169"/>
      <c r="Y224" s="169"/>
      <c r="Z224" s="169"/>
      <c r="AA224" s="169"/>
      <c r="AB224" s="169"/>
      <c r="AC224" s="169"/>
      <c r="AD224" s="169"/>
      <c r="AE224" s="169"/>
      <c r="AF224" s="169"/>
      <c r="AG224" s="169"/>
      <c r="AH224" s="169"/>
      <c r="AI224" s="169"/>
      <c r="AJ224" s="169"/>
      <c r="AK224" s="169"/>
      <c r="AL224" s="169"/>
      <c r="AM224" s="169"/>
      <c r="AN224" s="169"/>
      <c r="AO224" s="169"/>
      <c r="AP224" s="169"/>
      <c r="AQ224" s="169"/>
      <c r="AR224" s="169"/>
      <c r="AS224" s="169"/>
      <c r="AT224" s="169"/>
      <c r="AU224" s="169"/>
      <c r="AV224" s="169"/>
      <c r="AW224" s="169"/>
      <c r="AX224" s="169"/>
      <c r="AY224" s="169"/>
      <c r="AZ224" s="169"/>
      <c r="BA224" s="169"/>
      <c r="BB224" s="169"/>
      <c r="BC224" s="169"/>
      <c r="BD224" s="169"/>
      <c r="BE224" s="169"/>
      <c r="BF224" s="169"/>
      <c r="BG224" s="169"/>
      <c r="BH224" s="169"/>
      <c r="BI224" s="169"/>
      <c r="BJ224" s="169"/>
      <c r="BK224" s="169"/>
      <c r="BL224" s="169"/>
      <c r="BM224" s="169"/>
      <c r="BN224" s="169"/>
      <c r="BO224" s="169"/>
      <c r="BP224" s="169"/>
      <c r="BQ224" s="169"/>
      <c r="BR224" s="169"/>
      <c r="BS224" s="169"/>
      <c r="BT224" s="169"/>
      <c r="BU224" s="169"/>
      <c r="BV224" s="169"/>
      <c r="BW224" s="169"/>
      <c r="BX224" s="169"/>
      <c r="BY224" s="169"/>
      <c r="BZ224" s="169"/>
      <c r="CA224" s="169"/>
      <c r="CB224" s="169"/>
      <c r="CC224" s="169"/>
      <c r="CD224" s="169"/>
      <c r="CE224" s="169"/>
      <c r="CF224" s="169"/>
      <c r="CG224" s="169"/>
      <c r="CH224" s="169"/>
      <c r="CI224" s="169"/>
      <c r="CJ224" s="169"/>
      <c r="CK224" s="169"/>
      <c r="CL224" s="169"/>
      <c r="CM224" s="169"/>
      <c r="CN224" s="169"/>
      <c r="CO224" s="169"/>
      <c r="CP224" s="169"/>
      <c r="CQ224" s="169"/>
      <c r="CR224" s="169"/>
      <c r="CS224" s="169"/>
      <c r="CT224" s="169"/>
      <c r="CU224" s="169"/>
      <c r="CV224" s="169"/>
      <c r="CW224" s="169"/>
      <c r="CX224" s="169"/>
      <c r="CY224" s="169"/>
      <c r="CZ224" s="169"/>
      <c r="DA224" s="169"/>
      <c r="DB224" s="169"/>
      <c r="DC224" s="169"/>
      <c r="DD224" s="169"/>
      <c r="DE224" s="169"/>
      <c r="DF224" s="169"/>
      <c r="DG224" s="169"/>
      <c r="DH224" s="169"/>
      <c r="DI224" s="169"/>
      <c r="DJ224" s="169"/>
      <c r="DK224" s="169"/>
      <c r="DL224" s="169"/>
      <c r="DM224" s="169"/>
      <c r="DN224" s="169"/>
      <c r="DO224" s="169"/>
      <c r="DP224" s="169"/>
      <c r="DQ224" s="169"/>
      <c r="DR224" s="169"/>
      <c r="DS224" s="169"/>
      <c r="DT224" s="169"/>
      <c r="DU224" s="169"/>
      <c r="DV224" s="169"/>
      <c r="DW224" s="169"/>
      <c r="DX224" s="169"/>
      <c r="DY224" s="169"/>
      <c r="DZ224" s="169"/>
      <c r="EA224" s="169"/>
      <c r="EB224" s="169"/>
      <c r="EC224" s="169"/>
      <c r="ED224" s="169"/>
      <c r="EE224" s="169"/>
      <c r="EF224" s="169"/>
      <c r="EG224" s="169"/>
      <c r="EH224" s="169"/>
      <c r="EI224" s="169"/>
      <c r="EJ224" s="169"/>
      <c r="EK224" s="169"/>
      <c r="EL224" s="169"/>
      <c r="EM224" s="169"/>
      <c r="EN224" s="169"/>
      <c r="EO224" s="169"/>
      <c r="EP224" s="169"/>
      <c r="EQ224" s="169"/>
      <c r="ER224" s="169"/>
      <c r="ES224" s="169"/>
      <c r="ET224" s="169"/>
      <c r="EU224" s="169"/>
      <c r="EV224" s="169"/>
      <c r="EW224" s="169"/>
      <c r="EX224" s="169"/>
      <c r="EY224" s="169"/>
      <c r="EZ224" s="169"/>
      <c r="FA224" s="169"/>
      <c r="FB224" s="169"/>
      <c r="FC224" s="169"/>
      <c r="FD224" s="169"/>
      <c r="FE224" s="169"/>
      <c r="FF224" s="169"/>
      <c r="FG224" s="169"/>
      <c r="FH224" s="169"/>
      <c r="FI224" s="169"/>
      <c r="FJ224" s="169"/>
      <c r="FK224" s="169"/>
      <c r="FL224" s="169"/>
      <c r="FM224" s="169"/>
      <c r="FN224" s="169"/>
      <c r="FO224" s="169"/>
      <c r="FP224" s="169"/>
      <c r="FQ224" s="169"/>
      <c r="FR224" s="169"/>
      <c r="FS224" s="169"/>
      <c r="FT224" s="169"/>
      <c r="FU224" s="169"/>
      <c r="FV224" s="169"/>
      <c r="FW224" s="169"/>
      <c r="FX224" s="169"/>
      <c r="FY224" s="169"/>
      <c r="FZ224" s="169"/>
      <c r="GA224" s="169"/>
      <c r="GB224" s="169"/>
      <c r="GC224" s="169"/>
      <c r="GD224" s="169"/>
      <c r="GE224" s="169"/>
      <c r="GF224" s="169"/>
      <c r="GG224" s="169"/>
      <c r="GH224" s="169"/>
      <c r="GI224" s="169"/>
      <c r="GJ224" s="169"/>
    </row>
    <row r="226" spans="3:192" ht="12.75" customHeight="1">
      <c r="C226" s="174"/>
      <c r="D226" s="175"/>
      <c r="E226" s="175"/>
      <c r="F226" s="175"/>
      <c r="G226" s="175"/>
      <c r="H226" s="174"/>
      <c r="I226" s="175"/>
      <c r="J226" s="175"/>
      <c r="K226" s="175"/>
      <c r="L226" s="175"/>
      <c r="M226" s="174"/>
      <c r="N226" s="175"/>
      <c r="O226" s="175"/>
      <c r="P226" s="175"/>
      <c r="Q226" s="175"/>
      <c r="R226" s="174"/>
      <c r="S226" s="175"/>
      <c r="T226" s="175"/>
      <c r="U226" s="175"/>
      <c r="V226" s="175"/>
      <c r="W226" s="174"/>
      <c r="X226" s="175"/>
      <c r="Y226" s="175"/>
      <c r="Z226" s="175"/>
      <c r="AA226" s="175"/>
      <c r="AB226" s="174"/>
      <c r="AC226" s="175"/>
      <c r="AD226" s="175"/>
      <c r="AE226" s="175"/>
      <c r="AF226" s="175"/>
      <c r="AG226" s="174"/>
      <c r="AH226" s="175"/>
      <c r="AI226" s="175"/>
      <c r="AJ226" s="175"/>
      <c r="AK226" s="175"/>
      <c r="AL226" s="174"/>
      <c r="AM226" s="175"/>
      <c r="AN226" s="175"/>
      <c r="AO226" s="175"/>
      <c r="AP226" s="175"/>
      <c r="AQ226" s="174"/>
      <c r="AR226" s="175"/>
      <c r="AS226" s="175"/>
      <c r="AT226" s="175"/>
      <c r="AU226" s="175"/>
      <c r="AV226" s="174"/>
      <c r="AW226" s="175"/>
      <c r="AX226" s="175"/>
      <c r="AY226" s="175"/>
      <c r="AZ226" s="175"/>
      <c r="BA226" s="174"/>
      <c r="BB226" s="175"/>
      <c r="BC226" s="175"/>
      <c r="BD226" s="175"/>
      <c r="BE226" s="175"/>
      <c r="BF226" s="174"/>
      <c r="BG226" s="175"/>
      <c r="BH226" s="175"/>
      <c r="BI226" s="175"/>
      <c r="BJ226" s="175"/>
      <c r="BK226" s="174"/>
      <c r="BL226" s="175"/>
      <c r="BM226" s="175"/>
      <c r="BN226" s="175"/>
      <c r="BO226" s="175"/>
      <c r="BP226" s="174"/>
      <c r="BQ226" s="175"/>
      <c r="BR226" s="175"/>
      <c r="BS226" s="175"/>
      <c r="BT226" s="175"/>
      <c r="BU226" s="174"/>
      <c r="BV226" s="175"/>
      <c r="BW226" s="175"/>
      <c r="BX226" s="175"/>
      <c r="BY226" s="175"/>
      <c r="BZ226" s="174"/>
      <c r="CA226" s="175"/>
      <c r="CB226" s="175"/>
      <c r="CC226" s="175"/>
      <c r="CD226" s="175"/>
      <c r="CE226" s="174"/>
      <c r="CF226" s="175"/>
      <c r="CG226" s="175"/>
      <c r="CH226" s="175"/>
      <c r="CI226" s="175"/>
      <c r="CJ226" s="174"/>
      <c r="CK226" s="175"/>
      <c r="CL226" s="175"/>
      <c r="CM226" s="175"/>
      <c r="CN226" s="175"/>
      <c r="CO226" s="174"/>
      <c r="CP226" s="175"/>
      <c r="CQ226" s="175"/>
      <c r="CR226" s="175"/>
      <c r="CS226" s="175"/>
      <c r="CT226" s="174"/>
      <c r="CU226" s="175"/>
      <c r="CV226" s="175"/>
      <c r="CW226" s="175"/>
      <c r="CX226" s="175"/>
      <c r="CY226" s="174"/>
      <c r="CZ226" s="175"/>
      <c r="DA226" s="175"/>
      <c r="DB226" s="175"/>
      <c r="DC226" s="175"/>
      <c r="DD226" s="174"/>
      <c r="DE226" s="175"/>
      <c r="DF226" s="175"/>
      <c r="DG226" s="175"/>
      <c r="DH226" s="175"/>
      <c r="DI226" s="174"/>
      <c r="DJ226" s="175"/>
      <c r="DK226" s="175"/>
      <c r="DL226" s="175"/>
      <c r="DM226" s="175"/>
      <c r="DN226" s="174"/>
      <c r="DO226" s="175"/>
      <c r="DP226" s="175"/>
      <c r="DQ226" s="175"/>
      <c r="DR226" s="175"/>
      <c r="DS226" s="174"/>
      <c r="DT226" s="175"/>
      <c r="DU226" s="175"/>
      <c r="DV226" s="175"/>
      <c r="DW226" s="175"/>
      <c r="DX226" s="174"/>
      <c r="DY226" s="175"/>
      <c r="DZ226" s="175"/>
      <c r="EA226" s="175"/>
      <c r="EB226" s="175"/>
      <c r="EC226" s="174"/>
      <c r="ED226" s="175"/>
      <c r="EE226" s="175"/>
      <c r="EF226" s="175"/>
      <c r="EG226" s="175"/>
      <c r="EH226" s="174"/>
      <c r="EI226" s="175"/>
      <c r="EJ226" s="175"/>
      <c r="EK226" s="175"/>
      <c r="EL226" s="175"/>
      <c r="EM226" s="174"/>
      <c r="EN226" s="175"/>
      <c r="EO226" s="175"/>
      <c r="EP226" s="175"/>
      <c r="EQ226" s="175"/>
      <c r="ER226" s="174"/>
      <c r="ES226" s="175"/>
      <c r="ET226" s="175"/>
      <c r="EU226" s="175"/>
      <c r="EV226" s="175"/>
      <c r="EW226" s="174"/>
      <c r="EX226" s="175"/>
      <c r="EY226" s="175"/>
      <c r="EZ226" s="175"/>
      <c r="FA226" s="175"/>
      <c r="FB226" s="174"/>
      <c r="FC226" s="175"/>
      <c r="FD226" s="175"/>
      <c r="FE226" s="175"/>
      <c r="FF226" s="175"/>
      <c r="FG226" s="174"/>
      <c r="FH226" s="175"/>
      <c r="FI226" s="175"/>
      <c r="FJ226" s="175"/>
      <c r="FK226" s="175"/>
      <c r="FL226" s="174"/>
      <c r="FM226" s="175"/>
      <c r="FN226" s="175"/>
      <c r="FO226" s="175"/>
      <c r="FP226" s="175"/>
      <c r="FQ226" s="174"/>
      <c r="FR226" s="175"/>
      <c r="FS226" s="175"/>
      <c r="FT226" s="175"/>
      <c r="FU226" s="175"/>
      <c r="FV226" s="174"/>
      <c r="FW226" s="175"/>
      <c r="FX226" s="175"/>
      <c r="FY226" s="175"/>
      <c r="FZ226" s="175"/>
      <c r="GA226" s="174"/>
      <c r="GB226" s="175"/>
      <c r="GC226" s="175"/>
      <c r="GD226" s="175"/>
      <c r="GE226" s="175"/>
      <c r="GF226" s="174"/>
      <c r="GG226" s="175"/>
      <c r="GH226" s="175"/>
      <c r="GI226" s="175"/>
      <c r="GJ226" s="175"/>
    </row>
    <row r="227" spans="3:192" ht="12.75" customHeight="1">
      <c r="C227" s="176"/>
      <c r="D227" s="177"/>
      <c r="E227" s="177"/>
      <c r="F227" s="177"/>
      <c r="G227" s="177"/>
      <c r="H227" s="176"/>
      <c r="I227" s="177"/>
      <c r="J227" s="177"/>
      <c r="K227" s="177"/>
      <c r="L227" s="177"/>
      <c r="M227" s="176"/>
      <c r="N227" s="177"/>
      <c r="O227" s="177"/>
      <c r="P227" s="177"/>
      <c r="Q227" s="177"/>
      <c r="R227" s="176"/>
      <c r="S227" s="177"/>
      <c r="T227" s="177"/>
      <c r="U227" s="177"/>
      <c r="V227" s="177"/>
      <c r="W227" s="176"/>
      <c r="X227" s="177"/>
      <c r="Y227" s="177"/>
      <c r="Z227" s="177"/>
      <c r="AA227" s="177"/>
      <c r="AB227" s="176"/>
      <c r="AC227" s="177"/>
      <c r="AD227" s="177"/>
      <c r="AE227" s="177"/>
      <c r="AF227" s="177"/>
      <c r="AG227" s="176"/>
      <c r="AH227" s="177"/>
      <c r="AI227" s="177"/>
      <c r="AJ227" s="177"/>
      <c r="AK227" s="177"/>
      <c r="AL227" s="176"/>
      <c r="AM227" s="177"/>
      <c r="AN227" s="177"/>
      <c r="AO227" s="177"/>
      <c r="AP227" s="177"/>
      <c r="AQ227" s="176"/>
      <c r="AR227" s="177"/>
      <c r="AS227" s="177"/>
      <c r="AT227" s="177"/>
      <c r="AU227" s="177"/>
      <c r="AV227" s="176"/>
      <c r="AW227" s="177"/>
      <c r="AX227" s="177"/>
      <c r="AY227" s="177"/>
      <c r="AZ227" s="177"/>
      <c r="BA227" s="176"/>
      <c r="BB227" s="177"/>
      <c r="BC227" s="177"/>
      <c r="BD227" s="177"/>
      <c r="BE227" s="177"/>
      <c r="BF227" s="176"/>
      <c r="BG227" s="177"/>
      <c r="BH227" s="177"/>
      <c r="BI227" s="177"/>
      <c r="BJ227" s="177"/>
      <c r="BK227" s="176"/>
      <c r="BL227" s="177"/>
      <c r="BM227" s="177"/>
      <c r="BN227" s="177"/>
      <c r="BO227" s="177"/>
      <c r="BP227" s="176"/>
      <c r="BQ227" s="177"/>
      <c r="BR227" s="177"/>
      <c r="BS227" s="177"/>
      <c r="BT227" s="177"/>
      <c r="BU227" s="176"/>
      <c r="BV227" s="177"/>
      <c r="BW227" s="177"/>
      <c r="BX227" s="177"/>
      <c r="BY227" s="177"/>
      <c r="BZ227" s="176"/>
      <c r="CA227" s="177"/>
      <c r="CB227" s="177"/>
      <c r="CC227" s="177"/>
      <c r="CD227" s="177"/>
      <c r="CE227" s="176"/>
      <c r="CF227" s="177"/>
      <c r="CG227" s="177"/>
      <c r="CH227" s="177"/>
      <c r="CI227" s="177"/>
      <c r="CJ227" s="176"/>
      <c r="CK227" s="177"/>
      <c r="CL227" s="177"/>
      <c r="CM227" s="177"/>
      <c r="CN227" s="177"/>
      <c r="CO227" s="176"/>
      <c r="CP227" s="177"/>
      <c r="CQ227" s="177"/>
      <c r="CR227" s="177"/>
      <c r="CS227" s="177"/>
      <c r="CT227" s="176"/>
      <c r="CU227" s="177"/>
      <c r="CV227" s="177"/>
      <c r="CW227" s="177"/>
      <c r="CX227" s="177"/>
      <c r="CY227" s="176"/>
      <c r="CZ227" s="177"/>
      <c r="DA227" s="177"/>
      <c r="DB227" s="177"/>
      <c r="DC227" s="177"/>
      <c r="DD227" s="176"/>
      <c r="DE227" s="177"/>
      <c r="DF227" s="177"/>
      <c r="DG227" s="177"/>
      <c r="DH227" s="177"/>
      <c r="DI227" s="176"/>
      <c r="DJ227" s="177"/>
      <c r="DK227" s="177"/>
      <c r="DL227" s="177"/>
      <c r="DM227" s="177"/>
      <c r="DN227" s="176"/>
      <c r="DO227" s="177"/>
      <c r="DP227" s="177"/>
      <c r="DQ227" s="177"/>
      <c r="DR227" s="177"/>
      <c r="DS227" s="176"/>
      <c r="DT227" s="177"/>
      <c r="DU227" s="177"/>
      <c r="DV227" s="177"/>
      <c r="DW227" s="177"/>
      <c r="DX227" s="176"/>
      <c r="DY227" s="177"/>
      <c r="DZ227" s="177"/>
      <c r="EA227" s="177"/>
      <c r="EB227" s="177"/>
      <c r="EC227" s="176"/>
      <c r="ED227" s="177"/>
      <c r="EE227" s="177"/>
      <c r="EF227" s="177"/>
      <c r="EG227" s="177"/>
      <c r="EH227" s="176"/>
      <c r="EI227" s="177"/>
      <c r="EJ227" s="177"/>
      <c r="EK227" s="177"/>
      <c r="EL227" s="177"/>
      <c r="EM227" s="176"/>
      <c r="EN227" s="177"/>
      <c r="EO227" s="177"/>
      <c r="EP227" s="177"/>
      <c r="EQ227" s="177"/>
      <c r="ER227" s="176"/>
      <c r="ES227" s="177"/>
      <c r="ET227" s="177"/>
      <c r="EU227" s="177"/>
      <c r="EV227" s="177"/>
      <c r="EW227" s="176"/>
      <c r="EX227" s="177"/>
      <c r="EY227" s="177"/>
      <c r="EZ227" s="177"/>
      <c r="FA227" s="177"/>
      <c r="FB227" s="176"/>
      <c r="FC227" s="177"/>
      <c r="FD227" s="177"/>
      <c r="FE227" s="177"/>
      <c r="FF227" s="177"/>
      <c r="FG227" s="176"/>
      <c r="FH227" s="177"/>
      <c r="FI227" s="177"/>
      <c r="FJ227" s="177"/>
      <c r="FK227" s="177"/>
      <c r="FL227" s="176"/>
      <c r="FM227" s="177"/>
      <c r="FN227" s="177"/>
      <c r="FO227" s="177"/>
      <c r="FP227" s="177"/>
      <c r="FQ227" s="176"/>
      <c r="FR227" s="177"/>
      <c r="FS227" s="177"/>
      <c r="FT227" s="177"/>
      <c r="FU227" s="177"/>
      <c r="FV227" s="176"/>
      <c r="FW227" s="177"/>
      <c r="FX227" s="177"/>
      <c r="FY227" s="177"/>
      <c r="FZ227" s="177"/>
      <c r="GA227" s="176"/>
      <c r="GB227" s="177"/>
      <c r="GC227" s="177"/>
      <c r="GD227" s="177"/>
      <c r="GE227" s="177"/>
      <c r="GF227" s="176"/>
      <c r="GG227" s="177"/>
      <c r="GH227" s="177"/>
      <c r="GI227" s="177"/>
      <c r="GJ227" s="177"/>
    </row>
    <row r="228" spans="3:192" ht="12.75" customHeight="1">
      <c r="C228" s="139"/>
      <c r="D228" s="105"/>
      <c r="E228" s="105"/>
      <c r="F228" s="105"/>
      <c r="G228" s="105"/>
      <c r="H228" s="139"/>
      <c r="I228" s="105"/>
      <c r="J228" s="105"/>
      <c r="K228" s="105"/>
      <c r="L228" s="105"/>
      <c r="M228" s="139"/>
      <c r="N228" s="105"/>
      <c r="O228" s="105"/>
      <c r="P228" s="105"/>
      <c r="Q228" s="105"/>
      <c r="R228" s="139"/>
      <c r="S228" s="105"/>
      <c r="T228" s="105"/>
      <c r="U228" s="105"/>
      <c r="V228" s="105"/>
      <c r="W228" s="139"/>
      <c r="X228" s="105"/>
      <c r="Y228" s="105"/>
      <c r="Z228" s="105"/>
      <c r="AA228" s="105"/>
      <c r="AB228" s="139"/>
      <c r="AC228" s="105"/>
      <c r="AD228" s="105"/>
      <c r="AE228" s="105"/>
      <c r="AF228" s="105"/>
      <c r="AG228" s="139"/>
      <c r="AH228" s="105"/>
      <c r="AI228" s="105"/>
      <c r="AJ228" s="105"/>
      <c r="AK228" s="105"/>
      <c r="AL228" s="139"/>
      <c r="AM228" s="105"/>
      <c r="AN228" s="105"/>
      <c r="AO228" s="105"/>
      <c r="AP228" s="105"/>
      <c r="AQ228" s="139"/>
      <c r="AR228" s="105"/>
      <c r="AS228" s="105"/>
      <c r="AT228" s="105"/>
      <c r="AU228" s="105"/>
      <c r="AV228" s="139"/>
      <c r="AW228" s="105"/>
      <c r="AX228" s="105"/>
      <c r="AY228" s="105"/>
      <c r="AZ228" s="105"/>
      <c r="BA228" s="139"/>
      <c r="BB228" s="105"/>
      <c r="BC228" s="105"/>
      <c r="BD228" s="105"/>
      <c r="BE228" s="105"/>
      <c r="BF228" s="139"/>
      <c r="BG228" s="105"/>
      <c r="BH228" s="105"/>
      <c r="BI228" s="105"/>
      <c r="BJ228" s="105"/>
      <c r="BK228" s="139"/>
      <c r="BL228" s="105"/>
      <c r="BM228" s="105"/>
      <c r="BN228" s="105"/>
      <c r="BO228" s="105"/>
      <c r="BP228" s="139"/>
      <c r="BQ228" s="105"/>
      <c r="BR228" s="105"/>
      <c r="BS228" s="105"/>
      <c r="BT228" s="105"/>
      <c r="BU228" s="139"/>
      <c r="BV228" s="105"/>
      <c r="BW228" s="105"/>
      <c r="BX228" s="105"/>
      <c r="BY228" s="105"/>
      <c r="BZ228" s="139"/>
      <c r="CA228" s="105"/>
      <c r="CB228" s="105"/>
      <c r="CC228" s="105"/>
      <c r="CD228" s="105"/>
      <c r="CE228" s="139"/>
      <c r="CF228" s="105"/>
      <c r="CG228" s="105"/>
      <c r="CH228" s="105"/>
      <c r="CI228" s="105"/>
      <c r="CJ228" s="139"/>
      <c r="CK228" s="105"/>
      <c r="CL228" s="105"/>
      <c r="CM228" s="105"/>
      <c r="CN228" s="105"/>
      <c r="CO228" s="139"/>
      <c r="CP228" s="105"/>
      <c r="CQ228" s="105"/>
      <c r="CR228" s="105"/>
      <c r="CS228" s="105"/>
      <c r="CT228" s="139"/>
      <c r="CU228" s="105"/>
      <c r="CV228" s="105"/>
      <c r="CW228" s="105"/>
      <c r="CX228" s="105"/>
      <c r="CY228" s="139"/>
      <c r="CZ228" s="105"/>
      <c r="DA228" s="105"/>
      <c r="DB228" s="105"/>
      <c r="DC228" s="105"/>
      <c r="DD228" s="139"/>
      <c r="DE228" s="105"/>
      <c r="DF228" s="105"/>
      <c r="DG228" s="105"/>
      <c r="DH228" s="105"/>
      <c r="DI228" s="139"/>
      <c r="DJ228" s="105"/>
      <c r="DK228" s="105"/>
      <c r="DL228" s="105"/>
      <c r="DM228" s="105"/>
      <c r="DN228" s="139"/>
      <c r="DO228" s="105"/>
      <c r="DP228" s="105"/>
      <c r="DQ228" s="105"/>
      <c r="DR228" s="105"/>
      <c r="DS228" s="139"/>
      <c r="DT228" s="105"/>
      <c r="DU228" s="105"/>
      <c r="DV228" s="105"/>
      <c r="DW228" s="105"/>
      <c r="DX228" s="139"/>
      <c r="DY228" s="105"/>
      <c r="DZ228" s="105"/>
      <c r="EA228" s="105"/>
      <c r="EB228" s="105"/>
      <c r="EC228" s="139"/>
      <c r="ED228" s="105"/>
      <c r="EE228" s="105"/>
      <c r="EF228" s="105"/>
      <c r="EG228" s="105"/>
      <c r="EH228" s="139"/>
      <c r="EI228" s="105"/>
      <c r="EJ228" s="105"/>
      <c r="EK228" s="105"/>
      <c r="EL228" s="105"/>
      <c r="EM228" s="139"/>
      <c r="EN228" s="105"/>
      <c r="EO228" s="105"/>
      <c r="EP228" s="105"/>
      <c r="EQ228" s="105"/>
      <c r="ER228" s="139"/>
      <c r="ES228" s="105"/>
      <c r="ET228" s="105"/>
      <c r="EU228" s="105"/>
      <c r="EV228" s="105"/>
      <c r="EW228" s="139"/>
      <c r="EX228" s="105"/>
      <c r="EY228" s="105"/>
      <c r="EZ228" s="105"/>
      <c r="FA228" s="105"/>
      <c r="FB228" s="139"/>
      <c r="FC228" s="105"/>
      <c r="FD228" s="105"/>
      <c r="FE228" s="105"/>
      <c r="FF228" s="105"/>
      <c r="FG228" s="139"/>
      <c r="FH228" s="105"/>
      <c r="FI228" s="105"/>
      <c r="FJ228" s="105"/>
      <c r="FK228" s="105"/>
      <c r="FL228" s="139"/>
      <c r="FM228" s="105"/>
      <c r="FN228" s="105"/>
      <c r="FO228" s="105"/>
      <c r="FP228" s="105"/>
      <c r="FQ228" s="139"/>
      <c r="FR228" s="105"/>
      <c r="FS228" s="105"/>
      <c r="FT228" s="105"/>
      <c r="FU228" s="105"/>
      <c r="FV228" s="139"/>
      <c r="FW228" s="105"/>
      <c r="FX228" s="105"/>
      <c r="FY228" s="105"/>
      <c r="FZ228" s="105"/>
      <c r="GA228" s="139"/>
      <c r="GB228" s="105"/>
      <c r="GC228" s="105"/>
      <c r="GD228" s="105"/>
      <c r="GE228" s="105"/>
      <c r="GF228" s="139"/>
      <c r="GG228" s="105"/>
      <c r="GH228" s="105"/>
      <c r="GI228" s="105"/>
      <c r="GJ228" s="105"/>
    </row>
    <row r="229" spans="3:192" ht="12.75" customHeight="1">
      <c r="C229" s="139"/>
      <c r="D229" s="105"/>
      <c r="E229" s="105"/>
      <c r="F229" s="105"/>
      <c r="G229" s="105"/>
      <c r="H229" s="139"/>
      <c r="I229" s="105"/>
      <c r="J229" s="105"/>
      <c r="K229" s="105"/>
      <c r="L229" s="105"/>
      <c r="M229" s="139"/>
      <c r="N229" s="105"/>
      <c r="O229" s="105"/>
      <c r="P229" s="105"/>
      <c r="Q229" s="105"/>
      <c r="R229" s="139"/>
      <c r="S229" s="105"/>
      <c r="T229" s="105"/>
      <c r="U229" s="105"/>
      <c r="V229" s="105"/>
      <c r="W229" s="139"/>
      <c r="X229" s="105"/>
      <c r="Y229" s="105"/>
      <c r="Z229" s="105"/>
      <c r="AA229" s="105"/>
      <c r="AB229" s="139"/>
      <c r="AC229" s="105"/>
      <c r="AD229" s="105"/>
      <c r="AE229" s="105"/>
      <c r="AF229" s="105"/>
      <c r="AG229" s="139"/>
      <c r="AH229" s="105"/>
      <c r="AI229" s="105"/>
      <c r="AJ229" s="105"/>
      <c r="AK229" s="105"/>
      <c r="AL229" s="139"/>
      <c r="AM229" s="105"/>
      <c r="AN229" s="105"/>
      <c r="AO229" s="105"/>
      <c r="AP229" s="105"/>
      <c r="AQ229" s="139"/>
      <c r="AR229" s="105"/>
      <c r="AS229" s="105"/>
      <c r="AT229" s="105"/>
      <c r="AU229" s="105"/>
      <c r="AV229" s="139"/>
      <c r="AW229" s="105"/>
      <c r="AX229" s="105"/>
      <c r="AY229" s="105"/>
      <c r="AZ229" s="105"/>
      <c r="BA229" s="139"/>
      <c r="BB229" s="105"/>
      <c r="BC229" s="105"/>
      <c r="BD229" s="105"/>
      <c r="BE229" s="105"/>
      <c r="BF229" s="139"/>
      <c r="BG229" s="105"/>
      <c r="BH229" s="105"/>
      <c r="BI229" s="105"/>
      <c r="BJ229" s="105"/>
      <c r="BK229" s="139"/>
      <c r="BL229" s="105"/>
      <c r="BM229" s="105"/>
      <c r="BN229" s="105"/>
      <c r="BO229" s="105"/>
      <c r="BP229" s="139"/>
      <c r="BQ229" s="105"/>
      <c r="BR229" s="105"/>
      <c r="BS229" s="105"/>
      <c r="BT229" s="105"/>
      <c r="BU229" s="139"/>
      <c r="BV229" s="105"/>
      <c r="BW229" s="105"/>
      <c r="BX229" s="105"/>
      <c r="BY229" s="105"/>
      <c r="BZ229" s="139"/>
      <c r="CA229" s="105"/>
      <c r="CB229" s="105"/>
      <c r="CC229" s="105"/>
      <c r="CD229" s="105"/>
      <c r="CE229" s="139"/>
      <c r="CF229" s="105"/>
      <c r="CG229" s="105"/>
      <c r="CH229" s="105"/>
      <c r="CI229" s="105"/>
      <c r="CJ229" s="139"/>
      <c r="CK229" s="105"/>
      <c r="CL229" s="105"/>
      <c r="CM229" s="105"/>
      <c r="CN229" s="105"/>
      <c r="CO229" s="139"/>
      <c r="CP229" s="105"/>
      <c r="CQ229" s="105"/>
      <c r="CR229" s="105"/>
      <c r="CS229" s="105"/>
      <c r="CT229" s="139"/>
      <c r="CU229" s="105"/>
      <c r="CV229" s="105"/>
      <c r="CW229" s="105"/>
      <c r="CX229" s="105"/>
      <c r="CY229" s="139"/>
      <c r="CZ229" s="105"/>
      <c r="DA229" s="105"/>
      <c r="DB229" s="105"/>
      <c r="DC229" s="105"/>
      <c r="DD229" s="139"/>
      <c r="DE229" s="105"/>
      <c r="DF229" s="105"/>
      <c r="DG229" s="105"/>
      <c r="DH229" s="105"/>
      <c r="DI229" s="139"/>
      <c r="DJ229" s="105"/>
      <c r="DK229" s="105"/>
      <c r="DL229" s="105"/>
      <c r="DM229" s="105"/>
      <c r="DN229" s="139"/>
      <c r="DO229" s="105"/>
      <c r="DP229" s="105"/>
      <c r="DQ229" s="105"/>
      <c r="DR229" s="105"/>
      <c r="DS229" s="139"/>
      <c r="DT229" s="105"/>
      <c r="DU229" s="105"/>
      <c r="DV229" s="105"/>
      <c r="DW229" s="105"/>
      <c r="DX229" s="139"/>
      <c r="DY229" s="105"/>
      <c r="DZ229" s="105"/>
      <c r="EA229" s="105"/>
      <c r="EB229" s="105"/>
      <c r="EC229" s="139"/>
      <c r="ED229" s="105"/>
      <c r="EE229" s="105"/>
      <c r="EF229" s="105"/>
      <c r="EG229" s="105"/>
      <c r="EH229" s="139"/>
      <c r="EI229" s="105"/>
      <c r="EJ229" s="105"/>
      <c r="EK229" s="105"/>
      <c r="EL229" s="105"/>
      <c r="EM229" s="139"/>
      <c r="EN229" s="105"/>
      <c r="EO229" s="105"/>
      <c r="EP229" s="105"/>
      <c r="EQ229" s="105"/>
      <c r="ER229" s="139"/>
      <c r="ES229" s="105"/>
      <c r="ET229" s="105"/>
      <c r="EU229" s="105"/>
      <c r="EV229" s="105"/>
      <c r="EW229" s="139"/>
      <c r="EX229" s="105"/>
      <c r="EY229" s="105"/>
      <c r="EZ229" s="105"/>
      <c r="FA229" s="105"/>
      <c r="FB229" s="139"/>
      <c r="FC229" s="105"/>
      <c r="FD229" s="105"/>
      <c r="FE229" s="105"/>
      <c r="FF229" s="105"/>
      <c r="FG229" s="139"/>
      <c r="FH229" s="105"/>
      <c r="FI229" s="105"/>
      <c r="FJ229" s="105"/>
      <c r="FK229" s="105"/>
      <c r="FL229" s="139"/>
      <c r="FM229" s="105"/>
      <c r="FN229" s="105"/>
      <c r="FO229" s="105"/>
      <c r="FP229" s="105"/>
      <c r="FQ229" s="139"/>
      <c r="FR229" s="105"/>
      <c r="FS229" s="105"/>
      <c r="FT229" s="105"/>
      <c r="FU229" s="105"/>
      <c r="FV229" s="139"/>
      <c r="FW229" s="105"/>
      <c r="FX229" s="105"/>
      <c r="FY229" s="105"/>
      <c r="FZ229" s="105"/>
      <c r="GA229" s="139"/>
      <c r="GB229" s="105"/>
      <c r="GC229" s="105"/>
      <c r="GD229" s="105"/>
      <c r="GE229" s="105"/>
      <c r="GF229" s="139"/>
      <c r="GG229" s="105"/>
      <c r="GH229" s="105"/>
      <c r="GI229" s="105"/>
      <c r="GJ229" s="105"/>
    </row>
    <row r="230" spans="3:192" ht="12.75" customHeight="1">
      <c r="C230" s="139"/>
      <c r="D230" s="105"/>
      <c r="E230" s="105"/>
      <c r="F230" s="105"/>
      <c r="G230" s="105"/>
      <c r="H230" s="139"/>
      <c r="I230" s="105"/>
      <c r="J230" s="105"/>
      <c r="K230" s="105"/>
      <c r="L230" s="105"/>
      <c r="M230" s="139"/>
      <c r="N230" s="105"/>
      <c r="O230" s="105"/>
      <c r="P230" s="105"/>
      <c r="Q230" s="105"/>
      <c r="R230" s="139"/>
      <c r="S230" s="105"/>
      <c r="T230" s="105"/>
      <c r="U230" s="105"/>
      <c r="V230" s="105"/>
      <c r="W230" s="139"/>
      <c r="X230" s="105"/>
      <c r="Y230" s="105"/>
      <c r="Z230" s="105"/>
      <c r="AA230" s="105"/>
      <c r="AB230" s="139"/>
      <c r="AC230" s="105"/>
      <c r="AD230" s="105"/>
      <c r="AE230" s="105"/>
      <c r="AF230" s="105"/>
      <c r="AG230" s="139"/>
      <c r="AH230" s="105"/>
      <c r="AI230" s="105"/>
      <c r="AJ230" s="105"/>
      <c r="AK230" s="105"/>
      <c r="AL230" s="139"/>
      <c r="AM230" s="105"/>
      <c r="AN230" s="105"/>
      <c r="AO230" s="105"/>
      <c r="AP230" s="105"/>
      <c r="AQ230" s="139"/>
      <c r="AR230" s="105"/>
      <c r="AS230" s="105"/>
      <c r="AT230" s="105"/>
      <c r="AU230" s="105"/>
      <c r="AV230" s="139"/>
      <c r="AW230" s="105"/>
      <c r="AX230" s="105"/>
      <c r="AY230" s="105"/>
      <c r="AZ230" s="105"/>
      <c r="BA230" s="139"/>
      <c r="BB230" s="105"/>
      <c r="BC230" s="105"/>
      <c r="BD230" s="105"/>
      <c r="BE230" s="105"/>
      <c r="BF230" s="139"/>
      <c r="BG230" s="105"/>
      <c r="BH230" s="105"/>
      <c r="BI230" s="105"/>
      <c r="BJ230" s="105"/>
      <c r="BK230" s="139"/>
      <c r="BL230" s="105"/>
      <c r="BM230" s="105"/>
      <c r="BN230" s="105"/>
      <c r="BO230" s="105"/>
      <c r="BP230" s="139"/>
      <c r="BQ230" s="105"/>
      <c r="BR230" s="105"/>
      <c r="BS230" s="105"/>
      <c r="BT230" s="105"/>
      <c r="BU230" s="139"/>
      <c r="BV230" s="105"/>
      <c r="BW230" s="105"/>
      <c r="BX230" s="105"/>
      <c r="BY230" s="105"/>
      <c r="BZ230" s="139"/>
      <c r="CA230" s="105"/>
      <c r="CB230" s="105"/>
      <c r="CC230" s="105"/>
      <c r="CD230" s="105"/>
      <c r="CE230" s="139"/>
      <c r="CF230" s="105"/>
      <c r="CG230" s="105"/>
      <c r="CH230" s="105"/>
      <c r="CI230" s="105"/>
      <c r="CJ230" s="139"/>
      <c r="CK230" s="105"/>
      <c r="CL230" s="105"/>
      <c r="CM230" s="105"/>
      <c r="CN230" s="105"/>
      <c r="CO230" s="139"/>
      <c r="CP230" s="105"/>
      <c r="CQ230" s="105"/>
      <c r="CR230" s="105"/>
      <c r="CS230" s="105"/>
      <c r="CT230" s="139"/>
      <c r="CU230" s="105"/>
      <c r="CV230" s="105"/>
      <c r="CW230" s="105"/>
      <c r="CX230" s="105"/>
      <c r="CY230" s="139"/>
      <c r="CZ230" s="105"/>
      <c r="DA230" s="105"/>
      <c r="DB230" s="105"/>
      <c r="DC230" s="105"/>
      <c r="DD230" s="139"/>
      <c r="DE230" s="105"/>
      <c r="DF230" s="105"/>
      <c r="DG230" s="105"/>
      <c r="DH230" s="105"/>
      <c r="DI230" s="139"/>
      <c r="DJ230" s="105"/>
      <c r="DK230" s="105"/>
      <c r="DL230" s="105"/>
      <c r="DM230" s="105"/>
      <c r="DN230" s="139"/>
      <c r="DO230" s="105"/>
      <c r="DP230" s="105"/>
      <c r="DQ230" s="105"/>
      <c r="DR230" s="105"/>
      <c r="DS230" s="139"/>
      <c r="DT230" s="105"/>
      <c r="DU230" s="105"/>
      <c r="DV230" s="105"/>
      <c r="DW230" s="105"/>
      <c r="DX230" s="139"/>
      <c r="DY230" s="105"/>
      <c r="DZ230" s="105"/>
      <c r="EA230" s="105"/>
      <c r="EB230" s="105"/>
      <c r="EC230" s="139"/>
      <c r="ED230" s="105"/>
      <c r="EE230" s="105"/>
      <c r="EF230" s="105"/>
      <c r="EG230" s="105"/>
      <c r="EH230" s="139"/>
      <c r="EI230" s="105"/>
      <c r="EJ230" s="105"/>
      <c r="EK230" s="105"/>
      <c r="EL230" s="105"/>
      <c r="EM230" s="139"/>
      <c r="EN230" s="105"/>
      <c r="EO230" s="105"/>
      <c r="EP230" s="105"/>
      <c r="EQ230" s="105"/>
      <c r="ER230" s="139"/>
      <c r="ES230" s="105"/>
      <c r="ET230" s="105"/>
      <c r="EU230" s="105"/>
      <c r="EV230" s="105"/>
      <c r="EW230" s="139"/>
      <c r="EX230" s="105"/>
      <c r="EY230" s="105"/>
      <c r="EZ230" s="105"/>
      <c r="FA230" s="105"/>
      <c r="FB230" s="139"/>
      <c r="FC230" s="105"/>
      <c r="FD230" s="105"/>
      <c r="FE230" s="105"/>
      <c r="FF230" s="105"/>
      <c r="FG230" s="139"/>
      <c r="FH230" s="105"/>
      <c r="FI230" s="105"/>
      <c r="FJ230" s="105"/>
      <c r="FK230" s="105"/>
      <c r="FL230" s="139"/>
      <c r="FM230" s="105"/>
      <c r="FN230" s="105"/>
      <c r="FO230" s="105"/>
      <c r="FP230" s="105"/>
      <c r="FQ230" s="139"/>
      <c r="FR230" s="105"/>
      <c r="FS230" s="105"/>
      <c r="FT230" s="105"/>
      <c r="FU230" s="105"/>
      <c r="FV230" s="139"/>
      <c r="FW230" s="105"/>
      <c r="FX230" s="105"/>
      <c r="FY230" s="105"/>
      <c r="FZ230" s="105"/>
      <c r="GA230" s="139"/>
      <c r="GB230" s="105"/>
      <c r="GC230" s="105"/>
      <c r="GD230" s="105"/>
      <c r="GE230" s="105"/>
      <c r="GF230" s="139"/>
      <c r="GG230" s="105"/>
      <c r="GH230" s="105"/>
      <c r="GI230" s="105"/>
      <c r="GJ230" s="105"/>
    </row>
    <row r="231" spans="3:192" ht="12.75" customHeight="1">
      <c r="C231" s="176"/>
      <c r="D231" s="177"/>
      <c r="E231" s="177"/>
      <c r="F231" s="177"/>
      <c r="G231" s="177"/>
      <c r="H231" s="176"/>
      <c r="I231" s="177"/>
      <c r="J231" s="177"/>
      <c r="K231" s="177"/>
      <c r="L231" s="177"/>
      <c r="M231" s="176"/>
      <c r="N231" s="177"/>
      <c r="O231" s="177"/>
      <c r="P231" s="177"/>
      <c r="Q231" s="177"/>
      <c r="R231" s="176"/>
      <c r="S231" s="177"/>
      <c r="T231" s="177"/>
      <c r="U231" s="177"/>
      <c r="V231" s="177"/>
      <c r="W231" s="176"/>
      <c r="X231" s="177"/>
      <c r="Y231" s="177"/>
      <c r="Z231" s="177"/>
      <c r="AA231" s="177"/>
      <c r="AB231" s="176"/>
      <c r="AC231" s="177"/>
      <c r="AD231" s="177"/>
      <c r="AE231" s="177"/>
      <c r="AF231" s="177"/>
      <c r="AG231" s="176"/>
      <c r="AH231" s="177"/>
      <c r="AI231" s="177"/>
      <c r="AJ231" s="177"/>
      <c r="AK231" s="177"/>
      <c r="AL231" s="176"/>
      <c r="AM231" s="177"/>
      <c r="AN231" s="177"/>
      <c r="AO231" s="177"/>
      <c r="AP231" s="177"/>
      <c r="AQ231" s="176"/>
      <c r="AR231" s="177"/>
      <c r="AS231" s="177"/>
      <c r="AT231" s="177"/>
      <c r="AU231" s="177"/>
      <c r="AV231" s="176"/>
      <c r="AW231" s="177"/>
      <c r="AX231" s="177"/>
      <c r="AY231" s="177"/>
      <c r="AZ231" s="177"/>
      <c r="BA231" s="176"/>
      <c r="BB231" s="177"/>
      <c r="BC231" s="177"/>
      <c r="BD231" s="177"/>
      <c r="BE231" s="177"/>
      <c r="BF231" s="176"/>
      <c r="BG231" s="177"/>
      <c r="BH231" s="177"/>
      <c r="BI231" s="177"/>
      <c r="BJ231" s="177"/>
      <c r="BK231" s="176"/>
      <c r="BL231" s="177"/>
      <c r="BM231" s="177"/>
      <c r="BN231" s="177"/>
      <c r="BO231" s="177"/>
      <c r="BP231" s="176"/>
      <c r="BQ231" s="177"/>
      <c r="BR231" s="177"/>
      <c r="BS231" s="177"/>
      <c r="BT231" s="177"/>
      <c r="BU231" s="176"/>
      <c r="BV231" s="177"/>
      <c r="BW231" s="177"/>
      <c r="BX231" s="177"/>
      <c r="BY231" s="177"/>
      <c r="BZ231" s="176"/>
      <c r="CA231" s="177"/>
      <c r="CB231" s="177"/>
      <c r="CC231" s="177"/>
      <c r="CD231" s="177"/>
      <c r="CE231" s="176"/>
      <c r="CF231" s="177"/>
      <c r="CG231" s="177"/>
      <c r="CH231" s="177"/>
      <c r="CI231" s="177"/>
      <c r="CJ231" s="176"/>
      <c r="CK231" s="177"/>
      <c r="CL231" s="177"/>
      <c r="CM231" s="177"/>
      <c r="CN231" s="177"/>
      <c r="CO231" s="176"/>
      <c r="CP231" s="177"/>
      <c r="CQ231" s="177"/>
      <c r="CR231" s="177"/>
      <c r="CS231" s="177"/>
      <c r="CT231" s="176"/>
      <c r="CU231" s="177"/>
      <c r="CV231" s="177"/>
      <c r="CW231" s="177"/>
      <c r="CX231" s="177"/>
      <c r="CY231" s="176"/>
      <c r="CZ231" s="177"/>
      <c r="DA231" s="177"/>
      <c r="DB231" s="177"/>
      <c r="DC231" s="177"/>
      <c r="DD231" s="176"/>
      <c r="DE231" s="177"/>
      <c r="DF231" s="177"/>
      <c r="DG231" s="177"/>
      <c r="DH231" s="177"/>
      <c r="DI231" s="176"/>
      <c r="DJ231" s="177"/>
      <c r="DK231" s="177"/>
      <c r="DL231" s="177"/>
      <c r="DM231" s="177"/>
      <c r="DN231" s="176"/>
      <c r="DO231" s="177"/>
      <c r="DP231" s="177"/>
      <c r="DQ231" s="177"/>
      <c r="DR231" s="177"/>
      <c r="DS231" s="176"/>
      <c r="DT231" s="177"/>
      <c r="DU231" s="177"/>
      <c r="DV231" s="177"/>
      <c r="DW231" s="177"/>
      <c r="DX231" s="176"/>
      <c r="DY231" s="177"/>
      <c r="DZ231" s="177"/>
      <c r="EA231" s="177"/>
      <c r="EB231" s="177"/>
      <c r="EC231" s="176"/>
      <c r="ED231" s="177"/>
      <c r="EE231" s="177"/>
      <c r="EF231" s="177"/>
      <c r="EG231" s="177"/>
      <c r="EH231" s="176"/>
      <c r="EI231" s="177"/>
      <c r="EJ231" s="177"/>
      <c r="EK231" s="177"/>
      <c r="EL231" s="177"/>
      <c r="EM231" s="176"/>
      <c r="EN231" s="177"/>
      <c r="EO231" s="177"/>
      <c r="EP231" s="177"/>
      <c r="EQ231" s="177"/>
      <c r="ER231" s="176"/>
      <c r="ES231" s="177"/>
      <c r="ET231" s="177"/>
      <c r="EU231" s="177"/>
      <c r="EV231" s="177"/>
      <c r="EW231" s="176"/>
      <c r="EX231" s="177"/>
      <c r="EY231" s="177"/>
      <c r="EZ231" s="177"/>
      <c r="FA231" s="177"/>
      <c r="FB231" s="176"/>
      <c r="FC231" s="177"/>
      <c r="FD231" s="177"/>
      <c r="FE231" s="177"/>
      <c r="FF231" s="177"/>
      <c r="FG231" s="176"/>
      <c r="FH231" s="177"/>
      <c r="FI231" s="177"/>
      <c r="FJ231" s="177"/>
      <c r="FK231" s="177"/>
      <c r="FL231" s="176"/>
      <c r="FM231" s="177"/>
      <c r="FN231" s="177"/>
      <c r="FO231" s="177"/>
      <c r="FP231" s="177"/>
      <c r="FQ231" s="176"/>
      <c r="FR231" s="177"/>
      <c r="FS231" s="177"/>
      <c r="FT231" s="177"/>
      <c r="FU231" s="177"/>
      <c r="FV231" s="176"/>
      <c r="FW231" s="177"/>
      <c r="FX231" s="177"/>
      <c r="FY231" s="177"/>
      <c r="FZ231" s="177"/>
      <c r="GA231" s="176"/>
      <c r="GB231" s="177"/>
      <c r="GC231" s="177"/>
      <c r="GD231" s="177"/>
      <c r="GE231" s="177"/>
      <c r="GF231" s="176"/>
      <c r="GG231" s="177"/>
      <c r="GH231" s="177"/>
      <c r="GI231" s="177"/>
      <c r="GJ231" s="177"/>
    </row>
    <row r="232" spans="3:192" ht="12.75" customHeight="1">
      <c r="C232" s="106"/>
      <c r="D232" s="107"/>
      <c r="E232" s="107"/>
      <c r="F232" s="107"/>
      <c r="G232" s="107"/>
      <c r="H232" s="106"/>
      <c r="I232" s="107"/>
      <c r="J232" s="107"/>
      <c r="K232" s="107"/>
      <c r="L232" s="107"/>
      <c r="M232" s="106"/>
      <c r="N232" s="107"/>
      <c r="O232" s="107"/>
      <c r="P232" s="107"/>
      <c r="Q232" s="107"/>
      <c r="R232" s="106"/>
      <c r="S232" s="107"/>
      <c r="T232" s="107"/>
      <c r="U232" s="107"/>
      <c r="V232" s="107"/>
      <c r="W232" s="106"/>
      <c r="X232" s="107"/>
      <c r="Y232" s="107"/>
      <c r="Z232" s="107"/>
      <c r="AA232" s="107"/>
      <c r="AB232" s="106"/>
      <c r="AC232" s="107"/>
      <c r="AD232" s="107"/>
      <c r="AE232" s="107"/>
      <c r="AF232" s="107"/>
      <c r="AG232" s="106"/>
      <c r="AH232" s="107"/>
      <c r="AI232" s="107"/>
      <c r="AJ232" s="107"/>
      <c r="AK232" s="107"/>
      <c r="AL232" s="106"/>
      <c r="AM232" s="107"/>
      <c r="AN232" s="107"/>
      <c r="AO232" s="107"/>
      <c r="AP232" s="107"/>
      <c r="AQ232" s="106"/>
      <c r="AR232" s="107"/>
      <c r="AS232" s="107"/>
      <c r="AT232" s="107"/>
      <c r="AU232" s="107"/>
      <c r="AV232" s="106"/>
      <c r="AW232" s="107"/>
      <c r="AX232" s="107"/>
      <c r="AY232" s="107"/>
      <c r="AZ232" s="107"/>
      <c r="BA232" s="106"/>
      <c r="BB232" s="107"/>
      <c r="BC232" s="107"/>
      <c r="BD232" s="107"/>
      <c r="BE232" s="107"/>
      <c r="BF232" s="106"/>
      <c r="BG232" s="107"/>
      <c r="BH232" s="107"/>
      <c r="BI232" s="107"/>
      <c r="BJ232" s="107"/>
      <c r="BK232" s="106"/>
      <c r="BL232" s="107"/>
      <c r="BM232" s="107"/>
      <c r="BN232" s="107"/>
      <c r="BO232" s="107"/>
      <c r="BP232" s="106"/>
      <c r="BQ232" s="107"/>
      <c r="BR232" s="107"/>
      <c r="BS232" s="107"/>
      <c r="BT232" s="107"/>
      <c r="BU232" s="106"/>
      <c r="BV232" s="107"/>
      <c r="BW232" s="107"/>
      <c r="BX232" s="107"/>
      <c r="BY232" s="107"/>
      <c r="BZ232" s="106"/>
      <c r="CA232" s="107"/>
      <c r="CB232" s="107"/>
      <c r="CC232" s="107"/>
      <c r="CD232" s="107"/>
      <c r="CE232" s="106"/>
      <c r="CF232" s="107"/>
      <c r="CG232" s="107"/>
      <c r="CH232" s="107"/>
      <c r="CI232" s="107"/>
      <c r="CJ232" s="106"/>
      <c r="CK232" s="107"/>
      <c r="CL232" s="107"/>
      <c r="CM232" s="107"/>
      <c r="CN232" s="107"/>
      <c r="CO232" s="106"/>
      <c r="CP232" s="107"/>
      <c r="CQ232" s="107"/>
      <c r="CR232" s="107"/>
      <c r="CS232" s="107"/>
      <c r="CT232" s="106"/>
      <c r="CU232" s="107"/>
      <c r="CV232" s="107"/>
      <c r="CW232" s="107"/>
      <c r="CX232" s="107"/>
      <c r="CY232" s="106"/>
      <c r="CZ232" s="107"/>
      <c r="DA232" s="107"/>
      <c r="DB232" s="107"/>
      <c r="DC232" s="107"/>
      <c r="DD232" s="106"/>
      <c r="DE232" s="107"/>
      <c r="DF232" s="107"/>
      <c r="DG232" s="107"/>
      <c r="DH232" s="107"/>
      <c r="DI232" s="106"/>
      <c r="DJ232" s="107"/>
      <c r="DK232" s="107"/>
      <c r="DL232" s="107"/>
      <c r="DM232" s="107"/>
      <c r="DN232" s="106"/>
      <c r="DO232" s="107"/>
      <c r="DP232" s="107"/>
      <c r="DQ232" s="107"/>
      <c r="DR232" s="107"/>
      <c r="DS232" s="106"/>
      <c r="DT232" s="107"/>
      <c r="DU232" s="107"/>
      <c r="DV232" s="107"/>
      <c r="DW232" s="107"/>
      <c r="DX232" s="106"/>
      <c r="DY232" s="107"/>
      <c r="DZ232" s="107"/>
      <c r="EA232" s="107"/>
      <c r="EB232" s="107"/>
      <c r="EC232" s="106"/>
      <c r="ED232" s="107"/>
      <c r="EE232" s="107"/>
      <c r="EF232" s="107"/>
      <c r="EG232" s="107"/>
      <c r="EH232" s="106"/>
      <c r="EI232" s="107"/>
      <c r="EJ232" s="107"/>
      <c r="EK232" s="107"/>
      <c r="EL232" s="107"/>
      <c r="EM232" s="106"/>
      <c r="EN232" s="107"/>
      <c r="EO232" s="107"/>
      <c r="EP232" s="107"/>
      <c r="EQ232" s="107"/>
      <c r="ER232" s="106"/>
      <c r="ES232" s="107"/>
      <c r="ET232" s="107"/>
      <c r="EU232" s="107"/>
      <c r="EV232" s="107"/>
      <c r="EW232" s="106"/>
      <c r="EX232" s="107"/>
      <c r="EY232" s="107"/>
      <c r="EZ232" s="107"/>
      <c r="FA232" s="107"/>
      <c r="FB232" s="106"/>
      <c r="FC232" s="107"/>
      <c r="FD232" s="107"/>
      <c r="FE232" s="107"/>
      <c r="FF232" s="107"/>
      <c r="FG232" s="106"/>
      <c r="FH232" s="107"/>
      <c r="FI232" s="107"/>
      <c r="FJ232" s="107"/>
      <c r="FK232" s="107"/>
      <c r="FL232" s="106"/>
      <c r="FM232" s="107"/>
      <c r="FN232" s="107"/>
      <c r="FO232" s="107"/>
      <c r="FP232" s="107"/>
      <c r="FQ232" s="106"/>
      <c r="FR232" s="107"/>
      <c r="FS232" s="107"/>
      <c r="FT232" s="107"/>
      <c r="FU232" s="107"/>
      <c r="FV232" s="106"/>
      <c r="FW232" s="107"/>
      <c r="FX232" s="107"/>
      <c r="FY232" s="107"/>
      <c r="FZ232" s="107"/>
      <c r="GA232" s="106"/>
      <c r="GB232" s="107"/>
      <c r="GC232" s="107"/>
      <c r="GD232" s="107"/>
      <c r="GE232" s="107"/>
      <c r="GF232" s="106"/>
      <c r="GG232" s="107"/>
      <c r="GH232" s="107"/>
      <c r="GI232" s="107"/>
      <c r="GJ232" s="107"/>
    </row>
    <row r="233" spans="3:192" ht="12.75" customHeight="1">
      <c r="C233" s="106"/>
      <c r="D233" s="107"/>
      <c r="E233" s="107"/>
      <c r="F233" s="107"/>
      <c r="G233" s="107"/>
      <c r="H233" s="106"/>
      <c r="I233" s="107"/>
      <c r="J233" s="107"/>
      <c r="K233" s="107"/>
      <c r="L233" s="107"/>
      <c r="M233" s="106"/>
      <c r="N233" s="107"/>
      <c r="O233" s="107"/>
      <c r="P233" s="107"/>
      <c r="Q233" s="107"/>
      <c r="R233" s="106"/>
      <c r="S233" s="107"/>
      <c r="T233" s="107"/>
      <c r="U233" s="107"/>
      <c r="V233" s="107"/>
      <c r="W233" s="106"/>
      <c r="X233" s="107"/>
      <c r="Y233" s="107"/>
      <c r="Z233" s="107"/>
      <c r="AA233" s="107"/>
      <c r="AB233" s="106"/>
      <c r="AC233" s="107"/>
      <c r="AD233" s="107"/>
      <c r="AE233" s="107"/>
      <c r="AF233" s="107"/>
      <c r="AG233" s="106"/>
      <c r="AH233" s="107"/>
      <c r="AI233" s="107"/>
      <c r="AJ233" s="107"/>
      <c r="AK233" s="107"/>
      <c r="AL233" s="106"/>
      <c r="AM233" s="107"/>
      <c r="AN233" s="107"/>
      <c r="AO233" s="107"/>
      <c r="AP233" s="107"/>
      <c r="AQ233" s="106"/>
      <c r="AR233" s="107"/>
      <c r="AS233" s="107"/>
      <c r="AT233" s="107"/>
      <c r="AU233" s="107"/>
      <c r="AV233" s="106"/>
      <c r="AW233" s="107"/>
      <c r="AX233" s="107"/>
      <c r="AY233" s="107"/>
      <c r="AZ233" s="107"/>
      <c r="BA233" s="106"/>
      <c r="BB233" s="107"/>
      <c r="BC233" s="107"/>
      <c r="BD233" s="107"/>
      <c r="BE233" s="107"/>
      <c r="BF233" s="106"/>
      <c r="BG233" s="107"/>
      <c r="BH233" s="107"/>
      <c r="BI233" s="107"/>
      <c r="BJ233" s="107"/>
      <c r="BK233" s="106"/>
      <c r="BL233" s="107"/>
      <c r="BM233" s="107"/>
      <c r="BN233" s="107"/>
      <c r="BO233" s="107"/>
      <c r="BP233" s="106"/>
      <c r="BQ233" s="107"/>
      <c r="BR233" s="107"/>
      <c r="BS233" s="107"/>
      <c r="BT233" s="107"/>
      <c r="BU233" s="106"/>
      <c r="BV233" s="107"/>
      <c r="BW233" s="107"/>
      <c r="BX233" s="107"/>
      <c r="BY233" s="107"/>
      <c r="BZ233" s="106"/>
      <c r="CA233" s="107"/>
      <c r="CB233" s="107"/>
      <c r="CC233" s="107"/>
      <c r="CD233" s="107"/>
      <c r="CE233" s="106"/>
      <c r="CF233" s="107"/>
      <c r="CG233" s="107"/>
      <c r="CH233" s="107"/>
      <c r="CI233" s="107"/>
      <c r="CJ233" s="106"/>
      <c r="CK233" s="107"/>
      <c r="CL233" s="107"/>
      <c r="CM233" s="107"/>
      <c r="CN233" s="107"/>
      <c r="CO233" s="106"/>
      <c r="CP233" s="107"/>
      <c r="CQ233" s="107"/>
      <c r="CR233" s="107"/>
      <c r="CS233" s="107"/>
      <c r="CT233" s="106"/>
      <c r="CU233" s="107"/>
      <c r="CV233" s="107"/>
      <c r="CW233" s="107"/>
      <c r="CX233" s="107"/>
      <c r="CY233" s="106"/>
      <c r="CZ233" s="107"/>
      <c r="DA233" s="107"/>
      <c r="DB233" s="107"/>
      <c r="DC233" s="107"/>
      <c r="DD233" s="106"/>
      <c r="DE233" s="107"/>
      <c r="DF233" s="107"/>
      <c r="DG233" s="107"/>
      <c r="DH233" s="107"/>
      <c r="DI233" s="106"/>
      <c r="DJ233" s="107"/>
      <c r="DK233" s="107"/>
      <c r="DL233" s="107"/>
      <c r="DM233" s="107"/>
      <c r="DN233" s="106"/>
      <c r="DO233" s="107"/>
      <c r="DP233" s="107"/>
      <c r="DQ233" s="107"/>
      <c r="DR233" s="107"/>
      <c r="DS233" s="106"/>
      <c r="DT233" s="107"/>
      <c r="DU233" s="107"/>
      <c r="DV233" s="107"/>
      <c r="DW233" s="107"/>
      <c r="DX233" s="106"/>
      <c r="DY233" s="107"/>
      <c r="DZ233" s="107"/>
      <c r="EA233" s="107"/>
      <c r="EB233" s="107"/>
      <c r="EC233" s="106"/>
      <c r="ED233" s="107"/>
      <c r="EE233" s="107"/>
      <c r="EF233" s="107"/>
      <c r="EG233" s="107"/>
      <c r="EH233" s="106"/>
      <c r="EI233" s="107"/>
      <c r="EJ233" s="107"/>
      <c r="EK233" s="107"/>
      <c r="EL233" s="107"/>
      <c r="EM233" s="106"/>
      <c r="EN233" s="107"/>
      <c r="EO233" s="107"/>
      <c r="EP233" s="107"/>
      <c r="EQ233" s="107"/>
      <c r="ER233" s="106"/>
      <c r="ES233" s="107"/>
      <c r="ET233" s="107"/>
      <c r="EU233" s="107"/>
      <c r="EV233" s="107"/>
      <c r="EW233" s="106"/>
      <c r="EX233" s="107"/>
      <c r="EY233" s="107"/>
      <c r="EZ233" s="107"/>
      <c r="FA233" s="107"/>
      <c r="FB233" s="106"/>
      <c r="FC233" s="107"/>
      <c r="FD233" s="107"/>
      <c r="FE233" s="107"/>
      <c r="FF233" s="107"/>
      <c r="FG233" s="106"/>
      <c r="FH233" s="107"/>
      <c r="FI233" s="107"/>
      <c r="FJ233" s="107"/>
      <c r="FK233" s="107"/>
      <c r="FL233" s="106"/>
      <c r="FM233" s="107"/>
      <c r="FN233" s="107"/>
      <c r="FO233" s="107"/>
      <c r="FP233" s="107"/>
      <c r="FQ233" s="106"/>
      <c r="FR233" s="107"/>
      <c r="FS233" s="107"/>
      <c r="FT233" s="107"/>
      <c r="FU233" s="107"/>
      <c r="FV233" s="106"/>
      <c r="FW233" s="107"/>
      <c r="FX233" s="107"/>
      <c r="FY233" s="107"/>
      <c r="FZ233" s="107"/>
      <c r="GA233" s="106"/>
      <c r="GB233" s="107"/>
      <c r="GC233" s="107"/>
      <c r="GD233" s="107"/>
      <c r="GE233" s="107"/>
      <c r="GF233" s="106"/>
      <c r="GG233" s="107"/>
      <c r="GH233" s="107"/>
      <c r="GI233" s="107"/>
      <c r="GJ233" s="107"/>
    </row>
    <row r="234" spans="3:192" ht="12.75" customHeight="1">
      <c r="C234" s="106"/>
      <c r="D234" s="107"/>
      <c r="E234" s="107"/>
      <c r="F234" s="107"/>
      <c r="G234" s="107"/>
      <c r="H234" s="106"/>
      <c r="I234" s="107"/>
      <c r="J234" s="107"/>
      <c r="K234" s="107"/>
      <c r="L234" s="107"/>
      <c r="M234" s="106"/>
      <c r="N234" s="107"/>
      <c r="O234" s="107"/>
      <c r="P234" s="107"/>
      <c r="Q234" s="107"/>
      <c r="R234" s="106"/>
      <c r="S234" s="107"/>
      <c r="T234" s="107"/>
      <c r="U234" s="107"/>
      <c r="V234" s="107"/>
      <c r="W234" s="106"/>
      <c r="X234" s="107"/>
      <c r="Y234" s="107"/>
      <c r="Z234" s="107"/>
      <c r="AA234" s="107"/>
      <c r="AB234" s="106"/>
      <c r="AC234" s="107"/>
      <c r="AD234" s="107"/>
      <c r="AE234" s="107"/>
      <c r="AF234" s="107"/>
      <c r="AG234" s="106"/>
      <c r="AH234" s="107"/>
      <c r="AI234" s="107"/>
      <c r="AJ234" s="107"/>
      <c r="AK234" s="107"/>
      <c r="AL234" s="106"/>
      <c r="AM234" s="107"/>
      <c r="AN234" s="107"/>
      <c r="AO234" s="107"/>
      <c r="AP234" s="107"/>
      <c r="AQ234" s="106"/>
      <c r="AR234" s="107"/>
      <c r="AS234" s="107"/>
      <c r="AT234" s="107"/>
      <c r="AU234" s="107"/>
      <c r="AV234" s="106"/>
      <c r="AW234" s="107"/>
      <c r="AX234" s="107"/>
      <c r="AY234" s="107"/>
      <c r="AZ234" s="107"/>
      <c r="BA234" s="106"/>
      <c r="BB234" s="107"/>
      <c r="BC234" s="107"/>
      <c r="BD234" s="107"/>
      <c r="BE234" s="107"/>
      <c r="BF234" s="106"/>
      <c r="BG234" s="107"/>
      <c r="BH234" s="107"/>
      <c r="BI234" s="107"/>
      <c r="BJ234" s="107"/>
      <c r="BK234" s="106"/>
      <c r="BL234" s="107"/>
      <c r="BM234" s="107"/>
      <c r="BN234" s="107"/>
      <c r="BO234" s="107"/>
      <c r="BP234" s="106"/>
      <c r="BQ234" s="107"/>
      <c r="BR234" s="107"/>
      <c r="BS234" s="107"/>
      <c r="BT234" s="107"/>
      <c r="BU234" s="106"/>
      <c r="BV234" s="107"/>
      <c r="BW234" s="107"/>
      <c r="BX234" s="107"/>
      <c r="BY234" s="107"/>
      <c r="BZ234" s="106"/>
      <c r="CA234" s="107"/>
      <c r="CB234" s="107"/>
      <c r="CC234" s="107"/>
      <c r="CD234" s="107"/>
      <c r="CE234" s="106"/>
      <c r="CF234" s="107"/>
      <c r="CG234" s="107"/>
      <c r="CH234" s="107"/>
      <c r="CI234" s="107"/>
      <c r="CJ234" s="106"/>
      <c r="CK234" s="107"/>
      <c r="CL234" s="107"/>
      <c r="CM234" s="107"/>
      <c r="CN234" s="107"/>
      <c r="CO234" s="106"/>
      <c r="CP234" s="107"/>
      <c r="CQ234" s="107"/>
      <c r="CR234" s="107"/>
      <c r="CS234" s="107"/>
      <c r="CT234" s="106"/>
      <c r="CU234" s="107"/>
      <c r="CV234" s="107"/>
      <c r="CW234" s="107"/>
      <c r="CX234" s="107"/>
      <c r="CY234" s="106"/>
      <c r="CZ234" s="107"/>
      <c r="DA234" s="107"/>
      <c r="DB234" s="107"/>
      <c r="DC234" s="107"/>
      <c r="DD234" s="106"/>
      <c r="DE234" s="107"/>
      <c r="DF234" s="107"/>
      <c r="DG234" s="107"/>
      <c r="DH234" s="107"/>
      <c r="DI234" s="106"/>
      <c r="DJ234" s="107"/>
      <c r="DK234" s="107"/>
      <c r="DL234" s="107"/>
      <c r="DM234" s="107"/>
      <c r="DN234" s="106"/>
      <c r="DO234" s="107"/>
      <c r="DP234" s="107"/>
      <c r="DQ234" s="107"/>
      <c r="DR234" s="107"/>
      <c r="DS234" s="106"/>
      <c r="DT234" s="107"/>
      <c r="DU234" s="107"/>
      <c r="DV234" s="107"/>
      <c r="DW234" s="107"/>
      <c r="DX234" s="106"/>
      <c r="DY234" s="107"/>
      <c r="DZ234" s="107"/>
      <c r="EA234" s="107"/>
      <c r="EB234" s="107"/>
      <c r="EC234" s="106"/>
      <c r="ED234" s="107"/>
      <c r="EE234" s="107"/>
      <c r="EF234" s="107"/>
      <c r="EG234" s="107"/>
      <c r="EH234" s="106"/>
      <c r="EI234" s="107"/>
      <c r="EJ234" s="107"/>
      <c r="EK234" s="107"/>
      <c r="EL234" s="107"/>
      <c r="EM234" s="106"/>
      <c r="EN234" s="107"/>
      <c r="EO234" s="107"/>
      <c r="EP234" s="107"/>
      <c r="EQ234" s="107"/>
      <c r="ER234" s="106"/>
      <c r="ES234" s="107"/>
      <c r="ET234" s="107"/>
      <c r="EU234" s="107"/>
      <c r="EV234" s="107"/>
      <c r="EW234" s="106"/>
      <c r="EX234" s="107"/>
      <c r="EY234" s="107"/>
      <c r="EZ234" s="107"/>
      <c r="FA234" s="107"/>
      <c r="FB234" s="106"/>
      <c r="FC234" s="107"/>
      <c r="FD234" s="107"/>
      <c r="FE234" s="107"/>
      <c r="FF234" s="107"/>
      <c r="FG234" s="106"/>
      <c r="FH234" s="107"/>
      <c r="FI234" s="107"/>
      <c r="FJ234" s="107"/>
      <c r="FK234" s="107"/>
      <c r="FL234" s="106"/>
      <c r="FM234" s="107"/>
      <c r="FN234" s="107"/>
      <c r="FO234" s="107"/>
      <c r="FP234" s="107"/>
      <c r="FQ234" s="106"/>
      <c r="FR234" s="107"/>
      <c r="FS234" s="107"/>
      <c r="FT234" s="107"/>
      <c r="FU234" s="107"/>
      <c r="FV234" s="106"/>
      <c r="FW234" s="107"/>
      <c r="FX234" s="107"/>
      <c r="FY234" s="107"/>
      <c r="FZ234" s="107"/>
      <c r="GA234" s="106"/>
      <c r="GB234" s="107"/>
      <c r="GC234" s="107"/>
      <c r="GD234" s="107"/>
      <c r="GE234" s="107"/>
      <c r="GF234" s="106"/>
      <c r="GG234" s="107"/>
      <c r="GH234" s="107"/>
      <c r="GI234" s="107"/>
      <c r="GJ234" s="107"/>
    </row>
    <row r="235" spans="3:192" ht="12.75" customHeight="1">
      <c r="C235" s="178"/>
      <c r="D235" s="179"/>
      <c r="E235" s="179"/>
      <c r="F235" s="179"/>
      <c r="G235" s="179"/>
      <c r="H235" s="178"/>
      <c r="I235" s="179"/>
      <c r="J235" s="179"/>
      <c r="K235" s="179"/>
      <c r="L235" s="179"/>
      <c r="M235" s="178"/>
      <c r="N235" s="179"/>
      <c r="O235" s="179"/>
      <c r="P235" s="179"/>
      <c r="Q235" s="179"/>
      <c r="R235" s="178"/>
      <c r="S235" s="179"/>
      <c r="T235" s="179"/>
      <c r="U235" s="179"/>
      <c r="V235" s="179"/>
      <c r="W235" s="178"/>
      <c r="X235" s="179"/>
      <c r="Y235" s="179"/>
      <c r="Z235" s="179"/>
      <c r="AA235" s="179"/>
      <c r="AB235" s="178"/>
      <c r="AC235" s="179"/>
      <c r="AD235" s="179"/>
      <c r="AE235" s="179"/>
      <c r="AF235" s="179"/>
      <c r="AG235" s="178"/>
      <c r="AH235" s="179"/>
      <c r="AI235" s="179"/>
      <c r="AJ235" s="179"/>
      <c r="AK235" s="179"/>
      <c r="AL235" s="178"/>
      <c r="AM235" s="179"/>
      <c r="AN235" s="179"/>
      <c r="AO235" s="179"/>
      <c r="AP235" s="179"/>
      <c r="AQ235" s="178"/>
      <c r="AR235" s="179"/>
      <c r="AS235" s="179"/>
      <c r="AT235" s="179"/>
      <c r="AU235" s="179"/>
      <c r="AV235" s="178"/>
      <c r="AW235" s="179"/>
      <c r="AX235" s="179"/>
      <c r="AY235" s="179"/>
      <c r="AZ235" s="179"/>
      <c r="BA235" s="178"/>
      <c r="BB235" s="179"/>
      <c r="BC235" s="179"/>
      <c r="BD235" s="179"/>
      <c r="BE235" s="179"/>
      <c r="BF235" s="178"/>
      <c r="BG235" s="179"/>
      <c r="BH235" s="179"/>
      <c r="BI235" s="179"/>
      <c r="BJ235" s="179"/>
      <c r="BK235" s="178"/>
      <c r="BL235" s="179"/>
      <c r="BM235" s="179"/>
      <c r="BN235" s="179"/>
      <c r="BO235" s="179"/>
      <c r="BP235" s="178"/>
      <c r="BQ235" s="179"/>
      <c r="BR235" s="179"/>
      <c r="BS235" s="179"/>
      <c r="BT235" s="179"/>
      <c r="BU235" s="178"/>
      <c r="BV235" s="179"/>
      <c r="BW235" s="179"/>
      <c r="BX235" s="179"/>
      <c r="BY235" s="179"/>
      <c r="BZ235" s="178"/>
      <c r="CA235" s="179"/>
      <c r="CB235" s="179"/>
      <c r="CC235" s="179"/>
      <c r="CD235" s="179"/>
      <c r="CE235" s="178"/>
      <c r="CF235" s="179"/>
      <c r="CG235" s="179"/>
      <c r="CH235" s="179"/>
      <c r="CI235" s="179"/>
      <c r="CJ235" s="178"/>
      <c r="CK235" s="179"/>
      <c r="CL235" s="179"/>
      <c r="CM235" s="179"/>
      <c r="CN235" s="179"/>
      <c r="CO235" s="178"/>
      <c r="CP235" s="179"/>
      <c r="CQ235" s="179"/>
      <c r="CR235" s="179"/>
      <c r="CS235" s="179"/>
      <c r="CT235" s="178"/>
      <c r="CU235" s="179"/>
      <c r="CV235" s="179"/>
      <c r="CW235" s="179"/>
      <c r="CX235" s="179"/>
      <c r="CY235" s="178"/>
      <c r="CZ235" s="179"/>
      <c r="DA235" s="179"/>
      <c r="DB235" s="179"/>
      <c r="DC235" s="179"/>
      <c r="DD235" s="178"/>
      <c r="DE235" s="179"/>
      <c r="DF235" s="179"/>
      <c r="DG235" s="179"/>
      <c r="DH235" s="179"/>
      <c r="DI235" s="178"/>
      <c r="DJ235" s="179"/>
      <c r="DK235" s="179"/>
      <c r="DL235" s="179"/>
      <c r="DM235" s="179"/>
      <c r="DN235" s="178"/>
      <c r="DO235" s="179"/>
      <c r="DP235" s="179"/>
      <c r="DQ235" s="179"/>
      <c r="DR235" s="179"/>
      <c r="DS235" s="178"/>
      <c r="DT235" s="179"/>
      <c r="DU235" s="179"/>
      <c r="DV235" s="179"/>
      <c r="DW235" s="179"/>
      <c r="DX235" s="178"/>
      <c r="DY235" s="179"/>
      <c r="DZ235" s="179"/>
      <c r="EA235" s="179"/>
      <c r="EB235" s="179"/>
      <c r="EC235" s="178"/>
      <c r="ED235" s="179"/>
      <c r="EE235" s="179"/>
      <c r="EF235" s="179"/>
      <c r="EG235" s="179"/>
      <c r="EH235" s="178"/>
      <c r="EI235" s="179"/>
      <c r="EJ235" s="179"/>
      <c r="EK235" s="179"/>
      <c r="EL235" s="179"/>
      <c r="EM235" s="178"/>
      <c r="EN235" s="179"/>
      <c r="EO235" s="179"/>
      <c r="EP235" s="179"/>
      <c r="EQ235" s="179"/>
      <c r="ER235" s="178"/>
      <c r="ES235" s="179"/>
      <c r="ET235" s="179"/>
      <c r="EU235" s="179"/>
      <c r="EV235" s="179"/>
      <c r="EW235" s="178"/>
      <c r="EX235" s="179"/>
      <c r="EY235" s="179"/>
      <c r="EZ235" s="179"/>
      <c r="FA235" s="179"/>
      <c r="FB235" s="178"/>
      <c r="FC235" s="179"/>
      <c r="FD235" s="179"/>
      <c r="FE235" s="179"/>
      <c r="FF235" s="179"/>
      <c r="FG235" s="178"/>
      <c r="FH235" s="179"/>
      <c r="FI235" s="179"/>
      <c r="FJ235" s="179"/>
      <c r="FK235" s="179"/>
      <c r="FL235" s="178"/>
      <c r="FM235" s="179"/>
      <c r="FN235" s="179"/>
      <c r="FO235" s="179"/>
      <c r="FP235" s="179"/>
      <c r="FQ235" s="178"/>
      <c r="FR235" s="179"/>
      <c r="FS235" s="179"/>
      <c r="FT235" s="179"/>
      <c r="FU235" s="179"/>
      <c r="FV235" s="178"/>
      <c r="FW235" s="179"/>
      <c r="FX235" s="179"/>
      <c r="FY235" s="179"/>
      <c r="FZ235" s="179"/>
      <c r="GA235" s="178"/>
      <c r="GB235" s="179"/>
      <c r="GC235" s="179"/>
      <c r="GD235" s="179"/>
      <c r="GE235" s="179"/>
      <c r="GF235" s="178"/>
      <c r="GG235" s="179"/>
      <c r="GH235" s="179"/>
      <c r="GI235" s="179"/>
      <c r="GJ235" s="179"/>
    </row>
    <row r="236" spans="3:192" ht="12.75" customHeight="1">
      <c r="C236" s="106"/>
      <c r="D236" s="107"/>
      <c r="E236" s="107"/>
      <c r="F236" s="107"/>
      <c r="G236" s="107"/>
      <c r="H236" s="106"/>
      <c r="I236" s="107"/>
      <c r="J236" s="107"/>
      <c r="K236" s="107"/>
      <c r="L236" s="107"/>
      <c r="M236" s="106"/>
      <c r="N236" s="107"/>
      <c r="O236" s="107"/>
      <c r="P236" s="107"/>
      <c r="Q236" s="107"/>
      <c r="R236" s="106"/>
      <c r="S236" s="107"/>
      <c r="T236" s="107"/>
      <c r="U236" s="107"/>
      <c r="V236" s="107"/>
      <c r="W236" s="106"/>
      <c r="X236" s="107"/>
      <c r="Y236" s="107"/>
      <c r="Z236" s="107"/>
      <c r="AA236" s="107"/>
      <c r="AB236" s="106"/>
      <c r="AC236" s="107"/>
      <c r="AD236" s="107"/>
      <c r="AE236" s="107"/>
      <c r="AF236" s="107"/>
      <c r="AG236" s="106"/>
      <c r="AH236" s="107"/>
      <c r="AI236" s="107"/>
      <c r="AJ236" s="107"/>
      <c r="AK236" s="107"/>
      <c r="AL236" s="106"/>
      <c r="AM236" s="107"/>
      <c r="AN236" s="107"/>
      <c r="AO236" s="107"/>
      <c r="AP236" s="107"/>
      <c r="AQ236" s="106"/>
      <c r="AR236" s="107"/>
      <c r="AS236" s="107"/>
      <c r="AT236" s="107"/>
      <c r="AU236" s="107"/>
      <c r="AV236" s="106"/>
      <c r="AW236" s="107"/>
      <c r="AX236" s="107"/>
      <c r="AY236" s="107"/>
      <c r="AZ236" s="107"/>
      <c r="BA236" s="106"/>
      <c r="BB236" s="107"/>
      <c r="BC236" s="107"/>
      <c r="BD236" s="107"/>
      <c r="BE236" s="107"/>
      <c r="BF236" s="106"/>
      <c r="BG236" s="107"/>
      <c r="BH236" s="107"/>
      <c r="BI236" s="107"/>
      <c r="BJ236" s="107"/>
      <c r="BK236" s="106"/>
      <c r="BL236" s="107"/>
      <c r="BM236" s="107"/>
      <c r="BN236" s="107"/>
      <c r="BO236" s="107"/>
      <c r="BP236" s="106"/>
      <c r="BQ236" s="107"/>
      <c r="BR236" s="107"/>
      <c r="BS236" s="107"/>
      <c r="BT236" s="107"/>
      <c r="BU236" s="106"/>
      <c r="BV236" s="107"/>
      <c r="BW236" s="107"/>
      <c r="BX236" s="107"/>
      <c r="BY236" s="107"/>
      <c r="BZ236" s="106"/>
      <c r="CA236" s="107"/>
      <c r="CB236" s="107"/>
      <c r="CC236" s="107"/>
      <c r="CD236" s="107"/>
      <c r="CE236" s="106"/>
      <c r="CF236" s="107"/>
      <c r="CG236" s="107"/>
      <c r="CH236" s="107"/>
      <c r="CI236" s="107"/>
      <c r="CJ236" s="106"/>
      <c r="CK236" s="107"/>
      <c r="CL236" s="107"/>
      <c r="CM236" s="107"/>
      <c r="CN236" s="107"/>
      <c r="CO236" s="106"/>
      <c r="CP236" s="107"/>
      <c r="CQ236" s="107"/>
      <c r="CR236" s="107"/>
      <c r="CS236" s="107"/>
      <c r="CT236" s="106"/>
      <c r="CU236" s="107"/>
      <c r="CV236" s="107"/>
      <c r="CW236" s="107"/>
      <c r="CX236" s="107"/>
      <c r="CY236" s="106"/>
      <c r="CZ236" s="107"/>
      <c r="DA236" s="107"/>
      <c r="DB236" s="107"/>
      <c r="DC236" s="107"/>
      <c r="DD236" s="106"/>
      <c r="DE236" s="107"/>
      <c r="DF236" s="107"/>
      <c r="DG236" s="107"/>
      <c r="DH236" s="107"/>
      <c r="DI236" s="106"/>
      <c r="DJ236" s="107"/>
      <c r="DK236" s="107"/>
      <c r="DL236" s="107"/>
      <c r="DM236" s="107"/>
      <c r="DN236" s="106"/>
      <c r="DO236" s="107"/>
      <c r="DP236" s="107"/>
      <c r="DQ236" s="107"/>
      <c r="DR236" s="107"/>
      <c r="DS236" s="106"/>
      <c r="DT236" s="107"/>
      <c r="DU236" s="107"/>
      <c r="DV236" s="107"/>
      <c r="DW236" s="107"/>
      <c r="DX236" s="106"/>
      <c r="DY236" s="107"/>
      <c r="DZ236" s="107"/>
      <c r="EA236" s="107"/>
      <c r="EB236" s="107"/>
      <c r="EC236" s="106"/>
      <c r="ED236" s="107"/>
      <c r="EE236" s="107"/>
      <c r="EF236" s="107"/>
      <c r="EG236" s="107"/>
      <c r="EH236" s="106"/>
      <c r="EI236" s="107"/>
      <c r="EJ236" s="107"/>
      <c r="EK236" s="107"/>
      <c r="EL236" s="107"/>
      <c r="EM236" s="106"/>
      <c r="EN236" s="107"/>
      <c r="EO236" s="107"/>
      <c r="EP236" s="107"/>
      <c r="EQ236" s="107"/>
      <c r="ER236" s="106"/>
      <c r="ES236" s="107"/>
      <c r="ET236" s="107"/>
      <c r="EU236" s="107"/>
      <c r="EV236" s="107"/>
      <c r="EW236" s="106"/>
      <c r="EX236" s="107"/>
      <c r="EY236" s="107"/>
      <c r="EZ236" s="107"/>
      <c r="FA236" s="107"/>
      <c r="FB236" s="106"/>
      <c r="FC236" s="107"/>
      <c r="FD236" s="107"/>
      <c r="FE236" s="107"/>
      <c r="FF236" s="107"/>
      <c r="FG236" s="106"/>
      <c r="FH236" s="107"/>
      <c r="FI236" s="107"/>
      <c r="FJ236" s="107"/>
      <c r="FK236" s="107"/>
      <c r="FL236" s="106"/>
      <c r="FM236" s="107"/>
      <c r="FN236" s="107"/>
      <c r="FO236" s="107"/>
      <c r="FP236" s="107"/>
      <c r="FQ236" s="106"/>
      <c r="FR236" s="107"/>
      <c r="FS236" s="107"/>
      <c r="FT236" s="107"/>
      <c r="FU236" s="107"/>
      <c r="FV236" s="106"/>
      <c r="FW236" s="107"/>
      <c r="FX236" s="107"/>
      <c r="FY236" s="107"/>
      <c r="FZ236" s="107"/>
      <c r="GA236" s="106"/>
      <c r="GB236" s="107"/>
      <c r="GC236" s="107"/>
      <c r="GD236" s="107"/>
      <c r="GE236" s="107"/>
      <c r="GF236" s="106"/>
      <c r="GG236" s="107"/>
      <c r="GH236" s="107"/>
      <c r="GI236" s="107"/>
      <c r="GJ236" s="107"/>
    </row>
    <row r="237" spans="3:192" ht="12.75" customHeight="1">
      <c r="C237" s="176"/>
      <c r="D237" s="107"/>
      <c r="E237" s="107"/>
      <c r="F237" s="107"/>
      <c r="G237" s="107"/>
      <c r="H237" s="176"/>
      <c r="I237" s="107"/>
      <c r="J237" s="107"/>
      <c r="K237" s="107"/>
      <c r="L237" s="107"/>
      <c r="M237" s="176"/>
      <c r="N237" s="107"/>
      <c r="O237" s="107"/>
      <c r="P237" s="107"/>
      <c r="Q237" s="107"/>
      <c r="R237" s="176"/>
      <c r="S237" s="107"/>
      <c r="T237" s="107"/>
      <c r="U237" s="107"/>
      <c r="V237" s="107"/>
      <c r="W237" s="176"/>
      <c r="X237" s="107"/>
      <c r="Y237" s="107"/>
      <c r="Z237" s="107"/>
      <c r="AA237" s="107"/>
      <c r="AB237" s="176"/>
      <c r="AC237" s="107"/>
      <c r="AD237" s="107"/>
      <c r="AE237" s="107"/>
      <c r="AF237" s="107"/>
      <c r="AG237" s="176"/>
      <c r="AH237" s="107"/>
      <c r="AI237" s="107"/>
      <c r="AJ237" s="107"/>
      <c r="AK237" s="107"/>
      <c r="AL237" s="176"/>
      <c r="AM237" s="107"/>
      <c r="AN237" s="107"/>
      <c r="AO237" s="107"/>
      <c r="AP237" s="107"/>
      <c r="AQ237" s="176"/>
      <c r="AR237" s="107"/>
      <c r="AS237" s="107"/>
      <c r="AT237" s="107"/>
      <c r="AU237" s="107"/>
      <c r="AV237" s="176"/>
      <c r="AW237" s="107"/>
      <c r="AX237" s="107"/>
      <c r="AY237" s="107"/>
      <c r="AZ237" s="107"/>
      <c r="BA237" s="176"/>
      <c r="BB237" s="107"/>
      <c r="BC237" s="107"/>
      <c r="BD237" s="107"/>
      <c r="BE237" s="107"/>
      <c r="BF237" s="176"/>
      <c r="BG237" s="107"/>
      <c r="BH237" s="107"/>
      <c r="BI237" s="107"/>
      <c r="BJ237" s="107"/>
      <c r="BK237" s="176"/>
      <c r="BL237" s="107"/>
      <c r="BM237" s="107"/>
      <c r="BN237" s="107"/>
      <c r="BO237" s="107"/>
      <c r="BP237" s="176"/>
      <c r="BQ237" s="107"/>
      <c r="BR237" s="107"/>
      <c r="BS237" s="107"/>
      <c r="BT237" s="107"/>
      <c r="BU237" s="176"/>
      <c r="BV237" s="107"/>
      <c r="BW237" s="107"/>
      <c r="BX237" s="107"/>
      <c r="BY237" s="107"/>
      <c r="BZ237" s="176"/>
      <c r="CA237" s="107"/>
      <c r="CB237" s="107"/>
      <c r="CC237" s="107"/>
      <c r="CD237" s="107"/>
      <c r="CE237" s="176"/>
      <c r="CF237" s="107"/>
      <c r="CG237" s="107"/>
      <c r="CH237" s="107"/>
      <c r="CI237" s="107"/>
      <c r="CJ237" s="176"/>
      <c r="CK237" s="107"/>
      <c r="CL237" s="107"/>
      <c r="CM237" s="107"/>
      <c r="CN237" s="107"/>
      <c r="CO237" s="176"/>
      <c r="CP237" s="107"/>
      <c r="CQ237" s="107"/>
      <c r="CR237" s="107"/>
      <c r="CS237" s="107"/>
      <c r="CT237" s="176"/>
      <c r="CU237" s="107"/>
      <c r="CV237" s="107"/>
      <c r="CW237" s="107"/>
      <c r="CX237" s="107"/>
      <c r="CY237" s="176"/>
      <c r="CZ237" s="107"/>
      <c r="DA237" s="107"/>
      <c r="DB237" s="107"/>
      <c r="DC237" s="107"/>
      <c r="DD237" s="176"/>
      <c r="DE237" s="107"/>
      <c r="DF237" s="107"/>
      <c r="DG237" s="107"/>
      <c r="DH237" s="107"/>
      <c r="DI237" s="176"/>
      <c r="DJ237" s="107"/>
      <c r="DK237" s="107"/>
      <c r="DL237" s="107"/>
      <c r="DM237" s="107"/>
      <c r="DN237" s="176"/>
      <c r="DO237" s="107"/>
      <c r="DP237" s="107"/>
      <c r="DQ237" s="107"/>
      <c r="DR237" s="107"/>
      <c r="DS237" s="176"/>
      <c r="DT237" s="107"/>
      <c r="DU237" s="107"/>
      <c r="DV237" s="107"/>
      <c r="DW237" s="107"/>
      <c r="DX237" s="176"/>
      <c r="DY237" s="107"/>
      <c r="DZ237" s="107"/>
      <c r="EA237" s="107"/>
      <c r="EB237" s="107"/>
      <c r="EC237" s="176"/>
      <c r="ED237" s="107"/>
      <c r="EE237" s="107"/>
      <c r="EF237" s="107"/>
      <c r="EG237" s="107"/>
      <c r="EH237" s="176"/>
      <c r="EI237" s="107"/>
      <c r="EJ237" s="107"/>
      <c r="EK237" s="107"/>
      <c r="EL237" s="107"/>
      <c r="EM237" s="176"/>
      <c r="EN237" s="107"/>
      <c r="EO237" s="107"/>
      <c r="EP237" s="107"/>
      <c r="EQ237" s="107"/>
      <c r="ER237" s="176"/>
      <c r="ES237" s="107"/>
      <c r="ET237" s="107"/>
      <c r="EU237" s="107"/>
      <c r="EV237" s="107"/>
      <c r="EW237" s="176"/>
      <c r="EX237" s="107"/>
      <c r="EY237" s="107"/>
      <c r="EZ237" s="107"/>
      <c r="FA237" s="107"/>
      <c r="FB237" s="176"/>
      <c r="FC237" s="107"/>
      <c r="FD237" s="107"/>
      <c r="FE237" s="107"/>
      <c r="FF237" s="107"/>
      <c r="FG237" s="176"/>
      <c r="FH237" s="107"/>
      <c r="FI237" s="107"/>
      <c r="FJ237" s="107"/>
      <c r="FK237" s="107"/>
      <c r="FL237" s="176"/>
      <c r="FM237" s="107"/>
      <c r="FN237" s="107"/>
      <c r="FO237" s="107"/>
      <c r="FP237" s="107"/>
      <c r="FQ237" s="176"/>
      <c r="FR237" s="107"/>
      <c r="FS237" s="107"/>
      <c r="FT237" s="107"/>
      <c r="FU237" s="107"/>
      <c r="FV237" s="176"/>
      <c r="FW237" s="107"/>
      <c r="FX237" s="107"/>
      <c r="FY237" s="107"/>
      <c r="FZ237" s="107"/>
      <c r="GA237" s="176"/>
      <c r="GB237" s="107"/>
      <c r="GC237" s="107"/>
      <c r="GD237" s="107"/>
      <c r="GE237" s="107"/>
      <c r="GF237" s="176"/>
      <c r="GG237" s="107"/>
      <c r="GH237" s="107"/>
      <c r="GI237" s="107"/>
      <c r="GJ237" s="107"/>
    </row>
    <row r="238" spans="3:192" ht="12.75" customHeight="1">
      <c r="C238" s="106"/>
      <c r="D238" s="107"/>
      <c r="E238" s="107"/>
      <c r="F238" s="107"/>
      <c r="G238" s="107"/>
      <c r="H238" s="106"/>
      <c r="I238" s="107"/>
      <c r="J238" s="107"/>
      <c r="K238" s="107"/>
      <c r="L238" s="107"/>
      <c r="M238" s="106"/>
      <c r="N238" s="107"/>
      <c r="O238" s="107"/>
      <c r="P238" s="107"/>
      <c r="Q238" s="107"/>
      <c r="R238" s="106"/>
      <c r="S238" s="107"/>
      <c r="T238" s="107"/>
      <c r="U238" s="107"/>
      <c r="V238" s="107"/>
      <c r="W238" s="106"/>
      <c r="X238" s="107"/>
      <c r="Y238" s="107"/>
      <c r="Z238" s="107"/>
      <c r="AA238" s="107"/>
      <c r="AB238" s="106"/>
      <c r="AC238" s="107"/>
      <c r="AD238" s="107"/>
      <c r="AE238" s="107"/>
      <c r="AF238" s="107"/>
      <c r="AG238" s="106"/>
      <c r="AH238" s="107"/>
      <c r="AI238" s="107"/>
      <c r="AJ238" s="107"/>
      <c r="AK238" s="107"/>
      <c r="AL238" s="106"/>
      <c r="AM238" s="107"/>
      <c r="AN238" s="107"/>
      <c r="AO238" s="107"/>
      <c r="AP238" s="107"/>
      <c r="AQ238" s="106"/>
      <c r="AR238" s="107"/>
      <c r="AS238" s="107"/>
      <c r="AT238" s="107"/>
      <c r="AU238" s="107"/>
      <c r="AV238" s="106"/>
      <c r="AW238" s="107"/>
      <c r="AX238" s="107"/>
      <c r="AY238" s="107"/>
      <c r="AZ238" s="107"/>
      <c r="BA238" s="106"/>
      <c r="BB238" s="107"/>
      <c r="BC238" s="107"/>
      <c r="BD238" s="107"/>
      <c r="BE238" s="107"/>
      <c r="BF238" s="106"/>
      <c r="BG238" s="107"/>
      <c r="BH238" s="107"/>
      <c r="BI238" s="107"/>
      <c r="BJ238" s="107"/>
      <c r="BK238" s="106"/>
      <c r="BL238" s="107"/>
      <c r="BM238" s="107"/>
      <c r="BN238" s="107"/>
      <c r="BO238" s="107"/>
      <c r="BP238" s="106"/>
      <c r="BQ238" s="107"/>
      <c r="BR238" s="107"/>
      <c r="BS238" s="107"/>
      <c r="BT238" s="107"/>
      <c r="BU238" s="106"/>
      <c r="BV238" s="107"/>
      <c r="BW238" s="107"/>
      <c r="BX238" s="107"/>
      <c r="BY238" s="107"/>
      <c r="BZ238" s="106"/>
      <c r="CA238" s="107"/>
      <c r="CB238" s="107"/>
      <c r="CC238" s="107"/>
      <c r="CD238" s="107"/>
      <c r="CE238" s="106"/>
      <c r="CF238" s="107"/>
      <c r="CG238" s="107"/>
      <c r="CH238" s="107"/>
      <c r="CI238" s="107"/>
      <c r="CJ238" s="106"/>
      <c r="CK238" s="107"/>
      <c r="CL238" s="107"/>
      <c r="CM238" s="107"/>
      <c r="CN238" s="107"/>
      <c r="CO238" s="106"/>
      <c r="CP238" s="107"/>
      <c r="CQ238" s="107"/>
      <c r="CR238" s="107"/>
      <c r="CS238" s="107"/>
      <c r="CT238" s="106"/>
      <c r="CU238" s="107"/>
      <c r="CV238" s="107"/>
      <c r="CW238" s="107"/>
      <c r="CX238" s="107"/>
      <c r="CY238" s="106"/>
      <c r="CZ238" s="107"/>
      <c r="DA238" s="107"/>
      <c r="DB238" s="107"/>
      <c r="DC238" s="107"/>
      <c r="DD238" s="106"/>
      <c r="DE238" s="107"/>
      <c r="DF238" s="107"/>
      <c r="DG238" s="107"/>
      <c r="DH238" s="107"/>
      <c r="DI238" s="106"/>
      <c r="DJ238" s="107"/>
      <c r="DK238" s="107"/>
      <c r="DL238" s="107"/>
      <c r="DM238" s="107"/>
      <c r="DN238" s="106"/>
      <c r="DO238" s="107"/>
      <c r="DP238" s="107"/>
      <c r="DQ238" s="107"/>
      <c r="DR238" s="107"/>
      <c r="DS238" s="106"/>
      <c r="DT238" s="107"/>
      <c r="DU238" s="107"/>
      <c r="DV238" s="107"/>
      <c r="DW238" s="107"/>
      <c r="DX238" s="106"/>
      <c r="DY238" s="107"/>
      <c r="DZ238" s="107"/>
      <c r="EA238" s="107"/>
      <c r="EB238" s="107"/>
      <c r="EC238" s="106"/>
      <c r="ED238" s="107"/>
      <c r="EE238" s="107"/>
      <c r="EF238" s="107"/>
      <c r="EG238" s="107"/>
      <c r="EH238" s="106"/>
      <c r="EI238" s="107"/>
      <c r="EJ238" s="107"/>
      <c r="EK238" s="107"/>
      <c r="EL238" s="107"/>
      <c r="EM238" s="106"/>
      <c r="EN238" s="107"/>
      <c r="EO238" s="107"/>
      <c r="EP238" s="107"/>
      <c r="EQ238" s="107"/>
      <c r="ER238" s="106"/>
      <c r="ES238" s="107"/>
      <c r="ET238" s="107"/>
      <c r="EU238" s="107"/>
      <c r="EV238" s="107"/>
      <c r="EW238" s="106"/>
      <c r="EX238" s="107"/>
      <c r="EY238" s="107"/>
      <c r="EZ238" s="107"/>
      <c r="FA238" s="107"/>
      <c r="FB238" s="106"/>
      <c r="FC238" s="107"/>
      <c r="FD238" s="107"/>
      <c r="FE238" s="107"/>
      <c r="FF238" s="107"/>
      <c r="FG238" s="106"/>
      <c r="FH238" s="107"/>
      <c r="FI238" s="107"/>
      <c r="FJ238" s="107"/>
      <c r="FK238" s="107"/>
      <c r="FL238" s="106"/>
      <c r="FM238" s="107"/>
      <c r="FN238" s="107"/>
      <c r="FO238" s="107"/>
      <c r="FP238" s="107"/>
      <c r="FQ238" s="106"/>
      <c r="FR238" s="107"/>
      <c r="FS238" s="107"/>
      <c r="FT238" s="107"/>
      <c r="FU238" s="107"/>
      <c r="FV238" s="106"/>
      <c r="FW238" s="107"/>
      <c r="FX238" s="107"/>
      <c r="FY238" s="107"/>
      <c r="FZ238" s="107"/>
      <c r="GA238" s="106"/>
      <c r="GB238" s="107"/>
      <c r="GC238" s="107"/>
      <c r="GD238" s="107"/>
      <c r="GE238" s="107"/>
      <c r="GF238" s="106"/>
      <c r="GG238" s="107"/>
      <c r="GH238" s="107"/>
      <c r="GI238" s="107"/>
      <c r="GJ238" s="107"/>
    </row>
    <row r="239" spans="3:192" ht="12.75" customHeight="1">
      <c r="C239" s="106"/>
      <c r="D239" s="180"/>
      <c r="E239" s="180"/>
      <c r="F239" s="180"/>
      <c r="G239" s="180"/>
      <c r="H239" s="106"/>
      <c r="I239" s="180"/>
      <c r="J239" s="180"/>
      <c r="K239" s="180"/>
      <c r="L239" s="180"/>
      <c r="M239" s="106"/>
      <c r="N239" s="180"/>
      <c r="O239" s="180"/>
      <c r="P239" s="180"/>
      <c r="Q239" s="180"/>
      <c r="R239" s="106"/>
      <c r="S239" s="180"/>
      <c r="T239" s="180"/>
      <c r="U239" s="180"/>
      <c r="V239" s="180"/>
      <c r="W239" s="106"/>
      <c r="X239" s="180"/>
      <c r="Y239" s="180"/>
      <c r="Z239" s="180"/>
      <c r="AA239" s="180"/>
      <c r="AB239" s="106"/>
      <c r="AC239" s="180"/>
      <c r="AD239" s="180"/>
      <c r="AE239" s="180"/>
      <c r="AF239" s="180"/>
      <c r="AG239" s="106"/>
      <c r="AH239" s="180"/>
      <c r="AI239" s="180"/>
      <c r="AJ239" s="180"/>
      <c r="AK239" s="180"/>
      <c r="AL239" s="106"/>
      <c r="AM239" s="180"/>
      <c r="AN239" s="180"/>
      <c r="AO239" s="180"/>
      <c r="AP239" s="180"/>
      <c r="AQ239" s="106"/>
      <c r="AR239" s="180"/>
      <c r="AS239" s="180"/>
      <c r="AT239" s="180"/>
      <c r="AU239" s="180"/>
      <c r="AV239" s="106"/>
      <c r="AW239" s="180"/>
      <c r="AX239" s="180"/>
      <c r="AY239" s="180"/>
      <c r="AZ239" s="180"/>
      <c r="BA239" s="106"/>
      <c r="BB239" s="180"/>
      <c r="BC239" s="180"/>
      <c r="BD239" s="180"/>
      <c r="BE239" s="180"/>
      <c r="BF239" s="106"/>
      <c r="BG239" s="180"/>
      <c r="BH239" s="180"/>
      <c r="BI239" s="180"/>
      <c r="BJ239" s="180"/>
      <c r="BK239" s="106"/>
      <c r="BL239" s="180"/>
      <c r="BM239" s="180"/>
      <c r="BN239" s="180"/>
      <c r="BO239" s="180"/>
      <c r="BP239" s="106"/>
      <c r="BQ239" s="180"/>
      <c r="BR239" s="180"/>
      <c r="BS239" s="180"/>
      <c r="BT239" s="180"/>
      <c r="BU239" s="106"/>
      <c r="BV239" s="180"/>
      <c r="BW239" s="180"/>
      <c r="BX239" s="180"/>
      <c r="BY239" s="180"/>
      <c r="BZ239" s="106"/>
      <c r="CA239" s="180"/>
      <c r="CB239" s="180"/>
      <c r="CC239" s="180"/>
      <c r="CD239" s="180"/>
      <c r="CE239" s="106"/>
      <c r="CF239" s="180"/>
      <c r="CG239" s="180"/>
      <c r="CH239" s="180"/>
      <c r="CI239" s="180"/>
      <c r="CJ239" s="106"/>
      <c r="CK239" s="180"/>
      <c r="CL239" s="180"/>
      <c r="CM239" s="180"/>
      <c r="CN239" s="180"/>
      <c r="CO239" s="106"/>
      <c r="CP239" s="180"/>
      <c r="CQ239" s="180"/>
      <c r="CR239" s="180"/>
      <c r="CS239" s="180"/>
      <c r="CT239" s="106"/>
      <c r="CU239" s="180"/>
      <c r="CV239" s="180"/>
      <c r="CW239" s="180"/>
      <c r="CX239" s="180"/>
      <c r="CY239" s="106"/>
      <c r="CZ239" s="180"/>
      <c r="DA239" s="180"/>
      <c r="DB239" s="180"/>
      <c r="DC239" s="180"/>
      <c r="DD239" s="106"/>
      <c r="DE239" s="180"/>
      <c r="DF239" s="180"/>
      <c r="DG239" s="180"/>
      <c r="DH239" s="180"/>
      <c r="DI239" s="106"/>
      <c r="DJ239" s="180"/>
      <c r="DK239" s="180"/>
      <c r="DL239" s="180"/>
      <c r="DM239" s="180"/>
      <c r="DN239" s="106"/>
      <c r="DO239" s="180"/>
      <c r="DP239" s="180"/>
      <c r="DQ239" s="180"/>
      <c r="DR239" s="180"/>
      <c r="DS239" s="106"/>
      <c r="DT239" s="180"/>
      <c r="DU239" s="180"/>
      <c r="DV239" s="180"/>
      <c r="DW239" s="180"/>
      <c r="DX239" s="106"/>
      <c r="DY239" s="180"/>
      <c r="DZ239" s="180"/>
      <c r="EA239" s="180"/>
      <c r="EB239" s="180"/>
      <c r="EC239" s="106"/>
      <c r="ED239" s="180"/>
      <c r="EE239" s="180"/>
      <c r="EF239" s="180"/>
      <c r="EG239" s="180"/>
      <c r="EH239" s="106"/>
      <c r="EI239" s="180"/>
      <c r="EJ239" s="180"/>
      <c r="EK239" s="180"/>
      <c r="EL239" s="180"/>
      <c r="EM239" s="106"/>
      <c r="EN239" s="180"/>
      <c r="EO239" s="180"/>
      <c r="EP239" s="180"/>
      <c r="EQ239" s="180"/>
      <c r="ER239" s="106"/>
      <c r="ES239" s="180"/>
      <c r="ET239" s="180"/>
      <c r="EU239" s="180"/>
      <c r="EV239" s="180"/>
      <c r="EW239" s="106"/>
      <c r="EX239" s="180"/>
      <c r="EY239" s="180"/>
      <c r="EZ239" s="180"/>
      <c r="FA239" s="180"/>
      <c r="FB239" s="106"/>
      <c r="FC239" s="180"/>
      <c r="FD239" s="180"/>
      <c r="FE239" s="180"/>
      <c r="FF239" s="180"/>
      <c r="FG239" s="106"/>
      <c r="FH239" s="180"/>
      <c r="FI239" s="180"/>
      <c r="FJ239" s="180"/>
      <c r="FK239" s="180"/>
      <c r="FL239" s="106"/>
      <c r="FM239" s="180"/>
      <c r="FN239" s="180"/>
      <c r="FO239" s="180"/>
      <c r="FP239" s="180"/>
      <c r="FQ239" s="106"/>
      <c r="FR239" s="180"/>
      <c r="FS239" s="180"/>
      <c r="FT239" s="180"/>
      <c r="FU239" s="180"/>
      <c r="FV239" s="106"/>
      <c r="FW239" s="180"/>
      <c r="FX239" s="180"/>
      <c r="FY239" s="180"/>
      <c r="FZ239" s="180"/>
      <c r="GA239" s="106"/>
      <c r="GB239" s="180"/>
      <c r="GC239" s="180"/>
      <c r="GD239" s="180"/>
      <c r="GE239" s="180"/>
      <c r="GF239" s="106"/>
      <c r="GG239" s="180"/>
      <c r="GH239" s="180"/>
      <c r="GI239" s="180"/>
      <c r="GJ239" s="180"/>
    </row>
    <row r="240" spans="3:192" ht="12.75" customHeight="1">
      <c r="C240" s="181"/>
      <c r="D240" s="182"/>
      <c r="E240" s="182"/>
      <c r="F240" s="182"/>
      <c r="G240" s="182"/>
      <c r="H240" s="181"/>
      <c r="I240" s="182"/>
      <c r="J240" s="182"/>
      <c r="K240" s="182"/>
      <c r="L240" s="182"/>
      <c r="M240" s="181"/>
      <c r="N240" s="182"/>
      <c r="O240" s="182"/>
      <c r="P240" s="182"/>
      <c r="Q240" s="182"/>
      <c r="R240" s="181"/>
      <c r="S240" s="182"/>
      <c r="T240" s="182"/>
      <c r="U240" s="182"/>
      <c r="V240" s="182"/>
      <c r="W240" s="181"/>
      <c r="X240" s="182"/>
      <c r="Y240" s="182"/>
      <c r="Z240" s="182"/>
      <c r="AA240" s="182"/>
      <c r="AB240" s="181"/>
      <c r="AC240" s="182"/>
      <c r="AD240" s="182"/>
      <c r="AE240" s="182"/>
      <c r="AF240" s="182"/>
      <c r="AG240" s="181"/>
      <c r="AH240" s="182"/>
      <c r="AI240" s="182"/>
      <c r="AJ240" s="182"/>
      <c r="AK240" s="182"/>
      <c r="AL240" s="181"/>
      <c r="AM240" s="182"/>
      <c r="AN240" s="182"/>
      <c r="AO240" s="182"/>
      <c r="AP240" s="182"/>
      <c r="AQ240" s="181"/>
      <c r="AR240" s="182"/>
      <c r="AS240" s="182"/>
      <c r="AT240" s="182"/>
      <c r="AU240" s="182"/>
      <c r="AV240" s="181"/>
      <c r="AW240" s="182"/>
      <c r="AX240" s="182"/>
      <c r="AY240" s="182"/>
      <c r="AZ240" s="182"/>
      <c r="BA240" s="181"/>
      <c r="BB240" s="182"/>
      <c r="BC240" s="182"/>
      <c r="BD240" s="182"/>
      <c r="BE240" s="182"/>
      <c r="BF240" s="181"/>
      <c r="BG240" s="182"/>
      <c r="BH240" s="182"/>
      <c r="BI240" s="182"/>
      <c r="BJ240" s="182"/>
      <c r="BK240" s="181"/>
      <c r="BL240" s="182"/>
      <c r="BM240" s="182"/>
      <c r="BN240" s="182"/>
      <c r="BO240" s="182"/>
      <c r="BP240" s="181"/>
      <c r="BQ240" s="182"/>
      <c r="BR240" s="182"/>
      <c r="BS240" s="182"/>
      <c r="BT240" s="182"/>
      <c r="BU240" s="181"/>
      <c r="BV240" s="182"/>
      <c r="BW240" s="182"/>
      <c r="BX240" s="182"/>
      <c r="BY240" s="182"/>
      <c r="BZ240" s="181"/>
      <c r="CA240" s="182"/>
      <c r="CB240" s="182"/>
      <c r="CC240" s="182"/>
      <c r="CD240" s="182"/>
      <c r="CE240" s="181"/>
      <c r="CF240" s="182"/>
      <c r="CG240" s="182"/>
      <c r="CH240" s="182"/>
      <c r="CI240" s="182"/>
      <c r="CJ240" s="181"/>
      <c r="CK240" s="182"/>
      <c r="CL240" s="182"/>
      <c r="CM240" s="182"/>
      <c r="CN240" s="182"/>
      <c r="CO240" s="181"/>
      <c r="CP240" s="182"/>
      <c r="CQ240" s="182"/>
      <c r="CR240" s="182"/>
      <c r="CS240" s="182"/>
      <c r="CT240" s="181"/>
      <c r="CU240" s="182"/>
      <c r="CV240" s="182"/>
      <c r="CW240" s="182"/>
      <c r="CX240" s="182"/>
      <c r="CY240" s="181"/>
      <c r="CZ240" s="182"/>
      <c r="DA240" s="182"/>
      <c r="DB240" s="182"/>
      <c r="DC240" s="182"/>
      <c r="DD240" s="181"/>
      <c r="DE240" s="182"/>
      <c r="DF240" s="182"/>
      <c r="DG240" s="182"/>
      <c r="DH240" s="182"/>
      <c r="DI240" s="181"/>
      <c r="DJ240" s="182"/>
      <c r="DK240" s="182"/>
      <c r="DL240" s="182"/>
      <c r="DM240" s="182"/>
      <c r="DN240" s="181"/>
      <c r="DO240" s="182"/>
      <c r="DP240" s="182"/>
      <c r="DQ240" s="182"/>
      <c r="DR240" s="182"/>
      <c r="DS240" s="181"/>
      <c r="DT240" s="182"/>
      <c r="DU240" s="182"/>
      <c r="DV240" s="182"/>
      <c r="DW240" s="182"/>
      <c r="DX240" s="181"/>
      <c r="DY240" s="182"/>
      <c r="DZ240" s="182"/>
      <c r="EA240" s="182"/>
      <c r="EB240" s="182"/>
      <c r="EC240" s="181"/>
      <c r="ED240" s="182"/>
      <c r="EE240" s="182"/>
      <c r="EF240" s="182"/>
      <c r="EG240" s="182"/>
      <c r="EH240" s="181"/>
      <c r="EI240" s="182"/>
      <c r="EJ240" s="182"/>
      <c r="EK240" s="182"/>
      <c r="EL240" s="182"/>
      <c r="EM240" s="181"/>
      <c r="EN240" s="182"/>
      <c r="EO240" s="182"/>
      <c r="EP240" s="182"/>
      <c r="EQ240" s="182"/>
      <c r="ER240" s="181"/>
      <c r="ES240" s="182"/>
      <c r="ET240" s="182"/>
      <c r="EU240" s="182"/>
      <c r="EV240" s="182"/>
      <c r="EW240" s="181"/>
      <c r="EX240" s="182"/>
      <c r="EY240" s="182"/>
      <c r="EZ240" s="182"/>
      <c r="FA240" s="182"/>
      <c r="FB240" s="181"/>
      <c r="FC240" s="182"/>
      <c r="FD240" s="182"/>
      <c r="FE240" s="182"/>
      <c r="FF240" s="182"/>
      <c r="FG240" s="181"/>
      <c r="FH240" s="182"/>
      <c r="FI240" s="182"/>
      <c r="FJ240" s="182"/>
      <c r="FK240" s="182"/>
      <c r="FL240" s="181"/>
      <c r="FM240" s="182"/>
      <c r="FN240" s="182"/>
      <c r="FO240" s="182"/>
      <c r="FP240" s="182"/>
      <c r="FQ240" s="181"/>
      <c r="FR240" s="182"/>
      <c r="FS240" s="182"/>
      <c r="FT240" s="182"/>
      <c r="FU240" s="182"/>
      <c r="FV240" s="181"/>
      <c r="FW240" s="182"/>
      <c r="FX240" s="182"/>
      <c r="FY240" s="182"/>
      <c r="FZ240" s="182"/>
      <c r="GA240" s="181"/>
      <c r="GB240" s="182"/>
      <c r="GC240" s="182"/>
      <c r="GD240" s="182"/>
      <c r="GE240" s="182"/>
      <c r="GF240" s="181"/>
      <c r="GG240" s="182"/>
      <c r="GH240" s="182"/>
      <c r="GI240" s="182"/>
      <c r="GJ240" s="182"/>
    </row>
    <row r="243" spans="3:192" ht="12.75" customHeight="1">
      <c r="C243" s="139"/>
      <c r="D243" s="105"/>
      <c r="E243" s="105"/>
      <c r="F243" s="105"/>
      <c r="G243" s="105"/>
      <c r="H243" s="139"/>
      <c r="I243" s="105"/>
      <c r="J243" s="105"/>
      <c r="K243" s="105"/>
      <c r="L243" s="105"/>
      <c r="M243" s="139"/>
      <c r="N243" s="105"/>
      <c r="O243" s="105"/>
      <c r="P243" s="105"/>
      <c r="Q243" s="105"/>
      <c r="R243" s="139"/>
      <c r="S243" s="105"/>
      <c r="T243" s="105"/>
      <c r="U243" s="105"/>
      <c r="V243" s="105"/>
      <c r="W243" s="139"/>
      <c r="X243" s="105"/>
      <c r="Y243" s="105"/>
      <c r="Z243" s="105"/>
      <c r="AA243" s="105"/>
      <c r="AB243" s="139"/>
      <c r="AC243" s="105"/>
      <c r="AD243" s="105"/>
      <c r="AE243" s="105"/>
      <c r="AF243" s="105"/>
      <c r="AG243" s="139"/>
      <c r="AH243" s="105"/>
      <c r="AI243" s="105"/>
      <c r="AJ243" s="105"/>
      <c r="AK243" s="105"/>
      <c r="AL243" s="139"/>
      <c r="AM243" s="105"/>
      <c r="AN243" s="105"/>
      <c r="AO243" s="105"/>
      <c r="AP243" s="105"/>
      <c r="AQ243" s="139"/>
      <c r="AR243" s="105"/>
      <c r="AS243" s="105"/>
      <c r="AT243" s="105"/>
      <c r="AU243" s="105"/>
      <c r="AV243" s="139"/>
      <c r="AW243" s="105"/>
      <c r="AX243" s="105"/>
      <c r="AY243" s="105"/>
      <c r="AZ243" s="105"/>
      <c r="BA243" s="139"/>
      <c r="BB243" s="105"/>
      <c r="BC243" s="105"/>
      <c r="BD243" s="105"/>
      <c r="BE243" s="105"/>
      <c r="BF243" s="139"/>
      <c r="BG243" s="105"/>
      <c r="BH243" s="105"/>
      <c r="BI243" s="105"/>
      <c r="BJ243" s="105"/>
      <c r="BK243" s="139"/>
      <c r="BL243" s="105"/>
      <c r="BM243" s="105"/>
      <c r="BN243" s="105"/>
      <c r="BO243" s="105"/>
      <c r="BP243" s="139"/>
      <c r="BQ243" s="105"/>
      <c r="BR243" s="105"/>
      <c r="BS243" s="105"/>
      <c r="BT243" s="105"/>
      <c r="BU243" s="139"/>
      <c r="BV243" s="105"/>
      <c r="BW243" s="105"/>
      <c r="BX243" s="105"/>
      <c r="BY243" s="105"/>
      <c r="BZ243" s="139"/>
      <c r="CA243" s="105"/>
      <c r="CB243" s="105"/>
      <c r="CC243" s="105"/>
      <c r="CD243" s="105"/>
      <c r="CE243" s="139"/>
      <c r="CF243" s="105"/>
      <c r="CG243" s="105"/>
      <c r="CH243" s="105"/>
      <c r="CI243" s="105"/>
      <c r="CJ243" s="139"/>
      <c r="CK243" s="105"/>
      <c r="CL243" s="105"/>
      <c r="CM243" s="105"/>
      <c r="CN243" s="105"/>
      <c r="CO243" s="139"/>
      <c r="CP243" s="105"/>
      <c r="CQ243" s="105"/>
      <c r="CR243" s="105"/>
      <c r="CS243" s="105"/>
      <c r="CT243" s="139"/>
      <c r="CU243" s="105"/>
      <c r="CV243" s="105"/>
      <c r="CW243" s="105"/>
      <c r="CX243" s="105"/>
      <c r="CY243" s="139"/>
      <c r="CZ243" s="105"/>
      <c r="DA243" s="105"/>
      <c r="DB243" s="105"/>
      <c r="DC243" s="105"/>
      <c r="DD243" s="139"/>
      <c r="DE243" s="105"/>
      <c r="DF243" s="105"/>
      <c r="DG243" s="105"/>
      <c r="DH243" s="105"/>
      <c r="DI243" s="139"/>
      <c r="DJ243" s="105"/>
      <c r="DK243" s="105"/>
      <c r="DL243" s="105"/>
      <c r="DM243" s="105"/>
      <c r="DN243" s="139"/>
      <c r="DO243" s="105"/>
      <c r="DP243" s="105"/>
      <c r="DQ243" s="105"/>
      <c r="DR243" s="105"/>
      <c r="DS243" s="139"/>
      <c r="DT243" s="105"/>
      <c r="DU243" s="105"/>
      <c r="DV243" s="105"/>
      <c r="DW243" s="105"/>
      <c r="DX243" s="139"/>
      <c r="DY243" s="105"/>
      <c r="DZ243" s="105"/>
      <c r="EA243" s="105"/>
      <c r="EB243" s="105"/>
      <c r="EC243" s="139"/>
      <c r="ED243" s="105"/>
      <c r="EE243" s="105"/>
      <c r="EF243" s="105"/>
      <c r="EG243" s="105"/>
      <c r="EH243" s="139"/>
      <c r="EI243" s="105"/>
      <c r="EJ243" s="105"/>
      <c r="EK243" s="105"/>
      <c r="EL243" s="105"/>
      <c r="EM243" s="139"/>
      <c r="EN243" s="105"/>
      <c r="EO243" s="105"/>
      <c r="EP243" s="105"/>
      <c r="EQ243" s="105"/>
      <c r="ER243" s="139"/>
      <c r="ES243" s="105"/>
      <c r="ET243" s="105"/>
      <c r="EU243" s="105"/>
      <c r="EV243" s="105"/>
      <c r="EW243" s="139"/>
      <c r="EX243" s="105"/>
      <c r="EY243" s="105"/>
      <c r="EZ243" s="105"/>
      <c r="FA243" s="105"/>
      <c r="FB243" s="139"/>
      <c r="FC243" s="105"/>
      <c r="FD243" s="105"/>
      <c r="FE243" s="105"/>
      <c r="FF243" s="105"/>
      <c r="FG243" s="139"/>
      <c r="FH243" s="105"/>
      <c r="FI243" s="105"/>
      <c r="FJ243" s="105"/>
      <c r="FK243" s="105"/>
      <c r="FL243" s="139"/>
      <c r="FM243" s="105"/>
      <c r="FN243" s="105"/>
      <c r="FO243" s="105"/>
      <c r="FP243" s="105"/>
      <c r="FQ243" s="139"/>
      <c r="FR243" s="105"/>
      <c r="FS243" s="105"/>
      <c r="FT243" s="105"/>
      <c r="FU243" s="105"/>
      <c r="FV243" s="139"/>
      <c r="FW243" s="105"/>
      <c r="FX243" s="105"/>
      <c r="FY243" s="105"/>
      <c r="FZ243" s="105"/>
      <c r="GA243" s="139"/>
      <c r="GB243" s="105"/>
      <c r="GC243" s="105"/>
      <c r="GD243" s="105"/>
      <c r="GE243" s="105"/>
      <c r="GF243" s="139"/>
      <c r="GG243" s="105"/>
      <c r="GH243" s="105"/>
      <c r="GI243" s="105"/>
      <c r="GJ243" s="105"/>
    </row>
    <row r="246" spans="3:192" ht="12.75" customHeight="1">
      <c r="C246" s="183"/>
      <c r="D246" s="184"/>
      <c r="E246" s="184"/>
      <c r="F246" s="184"/>
      <c r="G246" s="184"/>
      <c r="H246" s="183"/>
      <c r="I246" s="184"/>
      <c r="J246" s="184"/>
      <c r="K246" s="184"/>
      <c r="L246" s="184"/>
      <c r="M246" s="183"/>
      <c r="N246" s="184"/>
      <c r="O246" s="184"/>
      <c r="P246" s="184"/>
      <c r="Q246" s="184"/>
      <c r="R246" s="183"/>
      <c r="S246" s="184"/>
      <c r="T246" s="184"/>
      <c r="U246" s="184"/>
      <c r="V246" s="184"/>
      <c r="W246" s="183"/>
      <c r="X246" s="184"/>
      <c r="Y246" s="184"/>
      <c r="Z246" s="184"/>
      <c r="AA246" s="184"/>
      <c r="AB246" s="183"/>
      <c r="AC246" s="184"/>
      <c r="AD246" s="184"/>
      <c r="AE246" s="184"/>
      <c r="AF246" s="184"/>
      <c r="AG246" s="183"/>
      <c r="AH246" s="184"/>
      <c r="AI246" s="184"/>
      <c r="AJ246" s="184"/>
      <c r="AK246" s="184"/>
      <c r="AL246" s="183"/>
      <c r="AM246" s="184"/>
      <c r="AN246" s="184"/>
      <c r="AO246" s="184"/>
      <c r="AP246" s="184"/>
      <c r="AQ246" s="183"/>
      <c r="AR246" s="184"/>
      <c r="AS246" s="184"/>
      <c r="AT246" s="184"/>
      <c r="AU246" s="184"/>
      <c r="AV246" s="183"/>
      <c r="AW246" s="184"/>
      <c r="AX246" s="184"/>
      <c r="AY246" s="184"/>
      <c r="AZ246" s="184"/>
      <c r="BA246" s="183"/>
      <c r="BB246" s="184"/>
      <c r="BC246" s="184"/>
      <c r="BD246" s="184"/>
      <c r="BE246" s="184"/>
      <c r="BF246" s="183"/>
      <c r="BG246" s="184"/>
      <c r="BH246" s="184"/>
      <c r="BI246" s="184"/>
      <c r="BJ246" s="184"/>
      <c r="BK246" s="183"/>
      <c r="BL246" s="184"/>
      <c r="BM246" s="184"/>
      <c r="BN246" s="184"/>
      <c r="BO246" s="184"/>
      <c r="BP246" s="183"/>
      <c r="BQ246" s="184"/>
      <c r="BR246" s="184"/>
      <c r="BS246" s="184"/>
      <c r="BT246" s="184"/>
      <c r="BU246" s="183"/>
      <c r="BV246" s="184"/>
      <c r="BW246" s="184"/>
      <c r="BX246" s="184"/>
      <c r="BY246" s="184"/>
      <c r="BZ246" s="183"/>
      <c r="CA246" s="184"/>
      <c r="CB246" s="184"/>
      <c r="CC246" s="184"/>
      <c r="CD246" s="184"/>
      <c r="CE246" s="183"/>
      <c r="CF246" s="184"/>
      <c r="CG246" s="184"/>
      <c r="CH246" s="184"/>
      <c r="CI246" s="184"/>
      <c r="CJ246" s="183"/>
      <c r="CK246" s="184"/>
      <c r="CL246" s="184"/>
      <c r="CM246" s="184"/>
      <c r="CN246" s="184"/>
      <c r="CO246" s="183"/>
      <c r="CP246" s="184"/>
      <c r="CQ246" s="184"/>
      <c r="CR246" s="184"/>
      <c r="CS246" s="184"/>
      <c r="CT246" s="183"/>
      <c r="CU246" s="184"/>
      <c r="CV246" s="184"/>
      <c r="CW246" s="184"/>
      <c r="CX246" s="184"/>
      <c r="CY246" s="183"/>
      <c r="CZ246" s="184"/>
      <c r="DA246" s="184"/>
      <c r="DB246" s="184"/>
      <c r="DC246" s="184"/>
      <c r="DD246" s="183"/>
      <c r="DE246" s="184"/>
      <c r="DF246" s="184"/>
      <c r="DG246" s="184"/>
      <c r="DH246" s="184"/>
      <c r="DI246" s="183"/>
      <c r="DJ246" s="184"/>
      <c r="DK246" s="184"/>
      <c r="DL246" s="184"/>
      <c r="DM246" s="184"/>
      <c r="DN246" s="183"/>
      <c r="DO246" s="184"/>
      <c r="DP246" s="184"/>
      <c r="DQ246" s="184"/>
      <c r="DR246" s="184"/>
      <c r="DS246" s="183"/>
      <c r="DT246" s="184"/>
      <c r="DU246" s="184"/>
      <c r="DV246" s="184"/>
      <c r="DW246" s="184"/>
      <c r="DX246" s="183"/>
      <c r="DY246" s="184"/>
      <c r="DZ246" s="184"/>
      <c r="EA246" s="184"/>
      <c r="EB246" s="184"/>
      <c r="EC246" s="183"/>
      <c r="ED246" s="184"/>
      <c r="EE246" s="184"/>
      <c r="EF246" s="184"/>
      <c r="EG246" s="184"/>
      <c r="EH246" s="183"/>
      <c r="EI246" s="184"/>
      <c r="EJ246" s="184"/>
      <c r="EK246" s="184"/>
      <c r="EL246" s="184"/>
      <c r="EM246" s="183"/>
      <c r="EN246" s="184"/>
      <c r="EO246" s="184"/>
      <c r="EP246" s="184"/>
      <c r="EQ246" s="184"/>
      <c r="ER246" s="183"/>
      <c r="ES246" s="184"/>
      <c r="ET246" s="184"/>
      <c r="EU246" s="184"/>
      <c r="EV246" s="184"/>
      <c r="EW246" s="183"/>
      <c r="EX246" s="184"/>
      <c r="EY246" s="184"/>
      <c r="EZ246" s="184"/>
      <c r="FA246" s="184"/>
      <c r="FB246" s="183"/>
      <c r="FC246" s="184"/>
      <c r="FD246" s="184"/>
      <c r="FE246" s="184"/>
      <c r="FF246" s="184"/>
      <c r="FG246" s="183"/>
      <c r="FH246" s="184"/>
      <c r="FI246" s="184"/>
      <c r="FJ246" s="184"/>
      <c r="FK246" s="184"/>
      <c r="FL246" s="183"/>
      <c r="FM246" s="184"/>
      <c r="FN246" s="184"/>
      <c r="FO246" s="184"/>
      <c r="FP246" s="184"/>
      <c r="FQ246" s="183"/>
      <c r="FR246" s="184"/>
      <c r="FS246" s="184"/>
      <c r="FT246" s="184"/>
      <c r="FU246" s="184"/>
      <c r="FV246" s="183"/>
      <c r="FW246" s="184"/>
      <c r="FX246" s="184"/>
      <c r="FY246" s="184"/>
      <c r="FZ246" s="184"/>
      <c r="GA246" s="183"/>
      <c r="GB246" s="184"/>
      <c r="GC246" s="184"/>
      <c r="GD246" s="184"/>
      <c r="GE246" s="184"/>
      <c r="GF246" s="183"/>
      <c r="GG246" s="184"/>
      <c r="GH246" s="184"/>
      <c r="GI246" s="184"/>
      <c r="GJ246" s="184"/>
    </row>
    <row r="249" spans="3:192" ht="12.75" customHeight="1">
      <c r="C249" s="139"/>
      <c r="D249" s="105"/>
      <c r="E249" s="105"/>
      <c r="F249" s="105"/>
      <c r="G249" s="105"/>
      <c r="H249" s="139"/>
      <c r="I249" s="105"/>
      <c r="J249" s="105"/>
      <c r="K249" s="105"/>
      <c r="L249" s="105"/>
      <c r="M249" s="139"/>
      <c r="N249" s="105"/>
      <c r="O249" s="105"/>
      <c r="P249" s="105"/>
      <c r="Q249" s="105"/>
      <c r="R249" s="139"/>
      <c r="S249" s="105"/>
      <c r="T249" s="105"/>
      <c r="U249" s="105"/>
      <c r="V249" s="105"/>
      <c r="W249" s="139"/>
      <c r="X249" s="105"/>
      <c r="Y249" s="105"/>
      <c r="Z249" s="105"/>
      <c r="AA249" s="105"/>
      <c r="AB249" s="139"/>
      <c r="AC249" s="105"/>
      <c r="AD249" s="105"/>
      <c r="AE249" s="105"/>
      <c r="AF249" s="105"/>
      <c r="AG249" s="139"/>
      <c r="AH249" s="105"/>
      <c r="AI249" s="105"/>
      <c r="AJ249" s="105"/>
      <c r="AK249" s="105"/>
      <c r="AL249" s="139"/>
      <c r="AM249" s="105"/>
      <c r="AN249" s="105"/>
      <c r="AO249" s="105"/>
      <c r="AP249" s="105"/>
      <c r="AQ249" s="139"/>
      <c r="AR249" s="105"/>
      <c r="AS249" s="105"/>
      <c r="AT249" s="105"/>
      <c r="AU249" s="105"/>
      <c r="AV249" s="139"/>
      <c r="AW249" s="105"/>
      <c r="AX249" s="105"/>
      <c r="AY249" s="105"/>
      <c r="AZ249" s="105"/>
      <c r="BA249" s="139"/>
      <c r="BB249" s="105"/>
      <c r="BC249" s="105"/>
      <c r="BD249" s="105"/>
      <c r="BE249" s="105"/>
      <c r="BF249" s="139"/>
      <c r="BG249" s="105"/>
      <c r="BH249" s="105"/>
      <c r="BI249" s="105"/>
      <c r="BJ249" s="105"/>
      <c r="BK249" s="139"/>
      <c r="BL249" s="105"/>
      <c r="BM249" s="105"/>
      <c r="BN249" s="105"/>
      <c r="BO249" s="105"/>
      <c r="BP249" s="139"/>
      <c r="BQ249" s="105"/>
      <c r="BR249" s="105"/>
      <c r="BS249" s="105"/>
      <c r="BT249" s="105"/>
      <c r="BU249" s="139"/>
      <c r="BV249" s="105"/>
      <c r="BW249" s="105"/>
      <c r="BX249" s="105"/>
      <c r="BY249" s="105"/>
      <c r="BZ249" s="139"/>
      <c r="CA249" s="105"/>
      <c r="CB249" s="105"/>
      <c r="CC249" s="105"/>
      <c r="CD249" s="105"/>
      <c r="CE249" s="139"/>
      <c r="CF249" s="105"/>
      <c r="CG249" s="105"/>
      <c r="CH249" s="105"/>
      <c r="CI249" s="105"/>
      <c r="CJ249" s="139"/>
      <c r="CK249" s="105"/>
      <c r="CL249" s="105"/>
      <c r="CM249" s="105"/>
      <c r="CN249" s="105"/>
      <c r="CO249" s="139"/>
      <c r="CP249" s="105"/>
      <c r="CQ249" s="105"/>
      <c r="CR249" s="105"/>
      <c r="CS249" s="105"/>
      <c r="CT249" s="139"/>
      <c r="CU249" s="105"/>
      <c r="CV249" s="105"/>
      <c r="CW249" s="105"/>
      <c r="CX249" s="105"/>
      <c r="CY249" s="139"/>
      <c r="CZ249" s="105"/>
      <c r="DA249" s="105"/>
      <c r="DB249" s="105"/>
      <c r="DC249" s="105"/>
      <c r="DD249" s="139"/>
      <c r="DE249" s="105"/>
      <c r="DF249" s="105"/>
      <c r="DG249" s="105"/>
      <c r="DH249" s="105"/>
      <c r="DI249" s="139"/>
      <c r="DJ249" s="105"/>
      <c r="DK249" s="105"/>
      <c r="DL249" s="105"/>
      <c r="DM249" s="105"/>
      <c r="DN249" s="139"/>
      <c r="DO249" s="105"/>
      <c r="DP249" s="105"/>
      <c r="DQ249" s="105"/>
      <c r="DR249" s="105"/>
      <c r="DS249" s="139"/>
      <c r="DT249" s="105"/>
      <c r="DU249" s="105"/>
      <c r="DV249" s="105"/>
      <c r="DW249" s="105"/>
      <c r="DX249" s="139"/>
      <c r="DY249" s="105"/>
      <c r="DZ249" s="105"/>
      <c r="EA249" s="105"/>
      <c r="EB249" s="105"/>
      <c r="EC249" s="139"/>
      <c r="ED249" s="105"/>
      <c r="EE249" s="105"/>
      <c r="EF249" s="105"/>
      <c r="EG249" s="105"/>
      <c r="EH249" s="139"/>
      <c r="EI249" s="105"/>
      <c r="EJ249" s="105"/>
      <c r="EK249" s="105"/>
      <c r="EL249" s="105"/>
      <c r="EM249" s="139"/>
      <c r="EN249" s="105"/>
      <c r="EO249" s="105"/>
      <c r="EP249" s="105"/>
      <c r="EQ249" s="105"/>
      <c r="ER249" s="139"/>
      <c r="ES249" s="105"/>
      <c r="ET249" s="105"/>
      <c r="EU249" s="105"/>
      <c r="EV249" s="105"/>
      <c r="EW249" s="139"/>
      <c r="EX249" s="105"/>
      <c r="EY249" s="105"/>
      <c r="EZ249" s="105"/>
      <c r="FA249" s="105"/>
      <c r="FB249" s="139"/>
      <c r="FC249" s="105"/>
      <c r="FD249" s="105"/>
      <c r="FE249" s="105"/>
      <c r="FF249" s="105"/>
      <c r="FG249" s="139"/>
      <c r="FH249" s="105"/>
      <c r="FI249" s="105"/>
      <c r="FJ249" s="105"/>
      <c r="FK249" s="105"/>
      <c r="FL249" s="139"/>
      <c r="FM249" s="105"/>
      <c r="FN249" s="105"/>
      <c r="FO249" s="105"/>
      <c r="FP249" s="105"/>
      <c r="FQ249" s="139"/>
      <c r="FR249" s="105"/>
      <c r="FS249" s="105"/>
      <c r="FT249" s="105"/>
      <c r="FU249" s="105"/>
      <c r="FV249" s="139"/>
      <c r="FW249" s="105"/>
      <c r="FX249" s="105"/>
      <c r="FY249" s="105"/>
      <c r="FZ249" s="105"/>
      <c r="GA249" s="139"/>
      <c r="GB249" s="105"/>
      <c r="GC249" s="105"/>
      <c r="GD249" s="105"/>
      <c r="GE249" s="105"/>
      <c r="GF249" s="139"/>
      <c r="GG249" s="105"/>
      <c r="GH249" s="105"/>
      <c r="GI249" s="105"/>
      <c r="GJ249" s="105"/>
    </row>
    <row r="250" spans="3:192" ht="12.75" customHeight="1">
      <c r="C250" s="185"/>
      <c r="D250" s="186"/>
      <c r="E250" s="186"/>
      <c r="F250" s="186"/>
      <c r="G250" s="186"/>
      <c r="H250" s="185"/>
      <c r="I250" s="186"/>
      <c r="J250" s="186"/>
      <c r="K250" s="186"/>
      <c r="L250" s="186"/>
      <c r="M250" s="185"/>
      <c r="N250" s="186"/>
      <c r="O250" s="186"/>
      <c r="P250" s="186"/>
      <c r="Q250" s="186"/>
      <c r="R250" s="185"/>
      <c r="S250" s="186"/>
      <c r="T250" s="186"/>
      <c r="U250" s="186"/>
      <c r="V250" s="186"/>
      <c r="W250" s="185"/>
      <c r="X250" s="186"/>
      <c r="Y250" s="186"/>
      <c r="Z250" s="186"/>
      <c r="AA250" s="186"/>
      <c r="AB250" s="185"/>
      <c r="AC250" s="186"/>
      <c r="AD250" s="186"/>
      <c r="AE250" s="186"/>
      <c r="AF250" s="186"/>
      <c r="AG250" s="185"/>
      <c r="AH250" s="186"/>
      <c r="AI250" s="186"/>
      <c r="AJ250" s="186"/>
      <c r="AK250" s="186"/>
      <c r="AL250" s="185"/>
      <c r="AM250" s="186"/>
      <c r="AN250" s="186"/>
      <c r="AO250" s="186"/>
      <c r="AP250" s="186"/>
      <c r="AQ250" s="185"/>
      <c r="AR250" s="186"/>
      <c r="AS250" s="186"/>
      <c r="AT250" s="186"/>
      <c r="AU250" s="186"/>
      <c r="AV250" s="185"/>
      <c r="AW250" s="186"/>
      <c r="AX250" s="186"/>
      <c r="AY250" s="186"/>
      <c r="AZ250" s="186"/>
      <c r="BA250" s="185"/>
      <c r="BB250" s="186"/>
      <c r="BC250" s="186"/>
      <c r="BD250" s="186"/>
      <c r="BE250" s="186"/>
      <c r="BF250" s="185"/>
      <c r="BG250" s="186"/>
      <c r="BH250" s="186"/>
      <c r="BI250" s="186"/>
      <c r="BJ250" s="186"/>
      <c r="BK250" s="185"/>
      <c r="BL250" s="186"/>
      <c r="BM250" s="186"/>
      <c r="BN250" s="186"/>
      <c r="BO250" s="186"/>
      <c r="BP250" s="185"/>
      <c r="BQ250" s="186"/>
      <c r="BR250" s="186"/>
      <c r="BS250" s="186"/>
      <c r="BT250" s="186"/>
      <c r="BU250" s="185"/>
      <c r="BV250" s="186"/>
      <c r="BW250" s="186"/>
      <c r="BX250" s="186"/>
      <c r="BY250" s="186"/>
      <c r="BZ250" s="185"/>
      <c r="CA250" s="186"/>
      <c r="CB250" s="186"/>
      <c r="CC250" s="186"/>
      <c r="CD250" s="186"/>
      <c r="CE250" s="185"/>
      <c r="CF250" s="186"/>
      <c r="CG250" s="186"/>
      <c r="CH250" s="186"/>
      <c r="CI250" s="186"/>
      <c r="CJ250" s="185"/>
      <c r="CK250" s="186"/>
      <c r="CL250" s="186"/>
      <c r="CM250" s="186"/>
      <c r="CN250" s="186"/>
      <c r="CO250" s="185"/>
      <c r="CP250" s="186"/>
      <c r="CQ250" s="186"/>
      <c r="CR250" s="186"/>
      <c r="CS250" s="186"/>
      <c r="CT250" s="185"/>
      <c r="CU250" s="186"/>
      <c r="CV250" s="186"/>
      <c r="CW250" s="186"/>
      <c r="CX250" s="186"/>
      <c r="CY250" s="185"/>
      <c r="CZ250" s="186"/>
      <c r="DA250" s="186"/>
      <c r="DB250" s="186"/>
      <c r="DC250" s="186"/>
      <c r="DD250" s="185"/>
      <c r="DE250" s="186"/>
      <c r="DF250" s="186"/>
      <c r="DG250" s="186"/>
      <c r="DH250" s="186"/>
      <c r="DI250" s="185"/>
      <c r="DJ250" s="186"/>
      <c r="DK250" s="186"/>
      <c r="DL250" s="186"/>
      <c r="DM250" s="186"/>
      <c r="DN250" s="185"/>
      <c r="DO250" s="186"/>
      <c r="DP250" s="186"/>
      <c r="DQ250" s="186"/>
      <c r="DR250" s="186"/>
      <c r="DS250" s="185"/>
      <c r="DT250" s="186"/>
      <c r="DU250" s="186"/>
      <c r="DV250" s="186"/>
      <c r="DW250" s="186"/>
      <c r="DX250" s="185"/>
      <c r="DY250" s="186"/>
      <c r="DZ250" s="186"/>
      <c r="EA250" s="186"/>
      <c r="EB250" s="186"/>
      <c r="EC250" s="185"/>
      <c r="ED250" s="186"/>
      <c r="EE250" s="186"/>
      <c r="EF250" s="186"/>
      <c r="EG250" s="186"/>
      <c r="EH250" s="185"/>
      <c r="EI250" s="186"/>
      <c r="EJ250" s="186"/>
      <c r="EK250" s="186"/>
      <c r="EL250" s="186"/>
      <c r="EM250" s="185"/>
      <c r="EN250" s="186"/>
      <c r="EO250" s="186"/>
      <c r="EP250" s="186"/>
      <c r="EQ250" s="186"/>
      <c r="ER250" s="185"/>
      <c r="ES250" s="186"/>
      <c r="ET250" s="186"/>
      <c r="EU250" s="186"/>
      <c r="EV250" s="186"/>
      <c r="EW250" s="185"/>
      <c r="EX250" s="186"/>
      <c r="EY250" s="186"/>
      <c r="EZ250" s="186"/>
      <c r="FA250" s="186"/>
      <c r="FB250" s="185"/>
      <c r="FC250" s="186"/>
      <c r="FD250" s="186"/>
      <c r="FE250" s="186"/>
      <c r="FF250" s="186"/>
      <c r="FG250" s="185"/>
      <c r="FH250" s="186"/>
      <c r="FI250" s="186"/>
      <c r="FJ250" s="186"/>
      <c r="FK250" s="186"/>
      <c r="FL250" s="185"/>
      <c r="FM250" s="186"/>
      <c r="FN250" s="186"/>
      <c r="FO250" s="186"/>
      <c r="FP250" s="186"/>
      <c r="FQ250" s="185"/>
      <c r="FR250" s="186"/>
      <c r="FS250" s="186"/>
      <c r="FT250" s="186"/>
      <c r="FU250" s="186"/>
      <c r="FV250" s="185"/>
      <c r="FW250" s="186"/>
      <c r="FX250" s="186"/>
      <c r="FY250" s="186"/>
      <c r="FZ250" s="186"/>
      <c r="GA250" s="185"/>
      <c r="GB250" s="186"/>
      <c r="GC250" s="186"/>
      <c r="GD250" s="186"/>
      <c r="GE250" s="186"/>
      <c r="GF250" s="185"/>
      <c r="GG250" s="186"/>
      <c r="GH250" s="186"/>
      <c r="GI250" s="186"/>
      <c r="GJ250" s="186"/>
    </row>
    <row r="251" spans="3:192" ht="12.75" customHeight="1">
      <c r="C251" s="181"/>
      <c r="D251" s="105"/>
      <c r="E251" s="105"/>
      <c r="F251" s="105"/>
      <c r="G251" s="105"/>
      <c r="H251" s="181"/>
      <c r="I251" s="105"/>
      <c r="J251" s="105"/>
      <c r="K251" s="105"/>
      <c r="L251" s="105"/>
      <c r="M251" s="181"/>
      <c r="N251" s="105"/>
      <c r="O251" s="105"/>
      <c r="P251" s="105"/>
      <c r="Q251" s="105"/>
      <c r="R251" s="181"/>
      <c r="S251" s="105"/>
      <c r="T251" s="105"/>
      <c r="U251" s="105"/>
      <c r="V251" s="105"/>
      <c r="W251" s="181"/>
      <c r="X251" s="105"/>
      <c r="Y251" s="105"/>
      <c r="Z251" s="105"/>
      <c r="AA251" s="105"/>
      <c r="AB251" s="181"/>
      <c r="AC251" s="105"/>
      <c r="AD251" s="105"/>
      <c r="AE251" s="105"/>
      <c r="AF251" s="105"/>
      <c r="AG251" s="181"/>
      <c r="AH251" s="105"/>
      <c r="AI251" s="105"/>
      <c r="AJ251" s="105"/>
      <c r="AK251" s="105"/>
      <c r="AL251" s="181"/>
      <c r="AM251" s="105"/>
      <c r="AN251" s="105"/>
      <c r="AO251" s="105"/>
      <c r="AP251" s="105"/>
      <c r="AQ251" s="181"/>
      <c r="AR251" s="105"/>
      <c r="AS251" s="105"/>
      <c r="AT251" s="105"/>
      <c r="AU251" s="105"/>
      <c r="AV251" s="181"/>
      <c r="AW251" s="105"/>
      <c r="AX251" s="105"/>
      <c r="AY251" s="105"/>
      <c r="AZ251" s="105"/>
      <c r="BA251" s="181"/>
      <c r="BB251" s="105"/>
      <c r="BC251" s="105"/>
      <c r="BD251" s="105"/>
      <c r="BE251" s="105"/>
      <c r="BF251" s="181"/>
      <c r="BG251" s="105"/>
      <c r="BH251" s="105"/>
      <c r="BI251" s="105"/>
      <c r="BJ251" s="105"/>
      <c r="BK251" s="181"/>
      <c r="BL251" s="105"/>
      <c r="BM251" s="105"/>
      <c r="BN251" s="105"/>
      <c r="BO251" s="105"/>
      <c r="BP251" s="181"/>
      <c r="BQ251" s="105"/>
      <c r="BR251" s="105"/>
      <c r="BS251" s="105"/>
      <c r="BT251" s="105"/>
      <c r="BU251" s="181"/>
      <c r="BV251" s="105"/>
      <c r="BW251" s="105"/>
      <c r="BX251" s="105"/>
      <c r="BY251" s="105"/>
      <c r="BZ251" s="181"/>
      <c r="CA251" s="105"/>
      <c r="CB251" s="105"/>
      <c r="CC251" s="105"/>
      <c r="CD251" s="105"/>
      <c r="CE251" s="181"/>
      <c r="CF251" s="105"/>
      <c r="CG251" s="105"/>
      <c r="CH251" s="105"/>
      <c r="CI251" s="105"/>
      <c r="CJ251" s="181"/>
      <c r="CK251" s="105"/>
      <c r="CL251" s="105"/>
      <c r="CM251" s="105"/>
      <c r="CN251" s="105"/>
      <c r="CO251" s="181"/>
      <c r="CP251" s="105"/>
      <c r="CQ251" s="105"/>
      <c r="CR251" s="105"/>
      <c r="CS251" s="105"/>
      <c r="CT251" s="181"/>
      <c r="CU251" s="105"/>
      <c r="CV251" s="105"/>
      <c r="CW251" s="105"/>
      <c r="CX251" s="105"/>
      <c r="CY251" s="181"/>
      <c r="CZ251" s="105"/>
      <c r="DA251" s="105"/>
      <c r="DB251" s="105"/>
      <c r="DC251" s="105"/>
      <c r="DD251" s="181"/>
      <c r="DE251" s="105"/>
      <c r="DF251" s="105"/>
      <c r="DG251" s="105"/>
      <c r="DH251" s="105"/>
      <c r="DI251" s="181"/>
      <c r="DJ251" s="105"/>
      <c r="DK251" s="105"/>
      <c r="DL251" s="105"/>
      <c r="DM251" s="105"/>
      <c r="DN251" s="181"/>
      <c r="DO251" s="105"/>
      <c r="DP251" s="105"/>
      <c r="DQ251" s="105"/>
      <c r="DR251" s="105"/>
      <c r="DS251" s="181"/>
      <c r="DT251" s="105"/>
      <c r="DU251" s="105"/>
      <c r="DV251" s="105"/>
      <c r="DW251" s="105"/>
      <c r="DX251" s="181"/>
      <c r="DY251" s="105"/>
      <c r="DZ251" s="105"/>
      <c r="EA251" s="105"/>
      <c r="EB251" s="105"/>
      <c r="EC251" s="181"/>
      <c r="ED251" s="105"/>
      <c r="EE251" s="105"/>
      <c r="EF251" s="105"/>
      <c r="EG251" s="105"/>
      <c r="EH251" s="181"/>
      <c r="EI251" s="105"/>
      <c r="EJ251" s="105"/>
      <c r="EK251" s="105"/>
      <c r="EL251" s="105"/>
      <c r="EM251" s="181"/>
      <c r="EN251" s="105"/>
      <c r="EO251" s="105"/>
      <c r="EP251" s="105"/>
      <c r="EQ251" s="105"/>
      <c r="ER251" s="181"/>
      <c r="ES251" s="105"/>
      <c r="ET251" s="105"/>
      <c r="EU251" s="105"/>
      <c r="EV251" s="105"/>
      <c r="EW251" s="181"/>
      <c r="EX251" s="105"/>
      <c r="EY251" s="105"/>
      <c r="EZ251" s="105"/>
      <c r="FA251" s="105"/>
      <c r="FB251" s="181"/>
      <c r="FC251" s="105"/>
      <c r="FD251" s="105"/>
      <c r="FE251" s="105"/>
      <c r="FF251" s="105"/>
      <c r="FG251" s="181"/>
      <c r="FH251" s="105"/>
      <c r="FI251" s="105"/>
      <c r="FJ251" s="105"/>
      <c r="FK251" s="105"/>
      <c r="FL251" s="181"/>
      <c r="FM251" s="105"/>
      <c r="FN251" s="105"/>
      <c r="FO251" s="105"/>
      <c r="FP251" s="105"/>
      <c r="FQ251" s="181"/>
      <c r="FR251" s="105"/>
      <c r="FS251" s="105"/>
      <c r="FT251" s="105"/>
      <c r="FU251" s="105"/>
      <c r="FV251" s="181"/>
      <c r="FW251" s="105"/>
      <c r="FX251" s="105"/>
      <c r="FY251" s="105"/>
      <c r="FZ251" s="105"/>
      <c r="GA251" s="181"/>
      <c r="GB251" s="105"/>
      <c r="GC251" s="105"/>
      <c r="GD251" s="105"/>
      <c r="GE251" s="105"/>
      <c r="GF251" s="181"/>
      <c r="GG251" s="105"/>
      <c r="GH251" s="105"/>
      <c r="GI251" s="105"/>
      <c r="GJ251" s="105"/>
    </row>
    <row r="253" spans="3:192" ht="12.75" customHeight="1">
      <c r="C253" s="176"/>
      <c r="D253" s="177"/>
      <c r="E253" s="177"/>
      <c r="F253" s="177"/>
      <c r="G253" s="177"/>
      <c r="H253" s="176"/>
      <c r="I253" s="177"/>
      <c r="J253" s="177"/>
      <c r="K253" s="177"/>
      <c r="L253" s="177"/>
      <c r="M253" s="176"/>
      <c r="N253" s="177"/>
      <c r="O253" s="177"/>
      <c r="P253" s="177"/>
      <c r="Q253" s="177"/>
      <c r="R253" s="176"/>
      <c r="S253" s="177"/>
      <c r="T253" s="177"/>
      <c r="U253" s="177"/>
      <c r="V253" s="177"/>
      <c r="W253" s="176"/>
      <c r="X253" s="177"/>
      <c r="Y253" s="177"/>
      <c r="Z253" s="177"/>
      <c r="AA253" s="177"/>
      <c r="AB253" s="176"/>
      <c r="AC253" s="177"/>
      <c r="AD253" s="177"/>
      <c r="AE253" s="177"/>
      <c r="AF253" s="177"/>
      <c r="AG253" s="176"/>
      <c r="AH253" s="177"/>
      <c r="AI253" s="177"/>
      <c r="AJ253" s="177"/>
      <c r="AK253" s="177"/>
      <c r="AL253" s="176"/>
      <c r="AM253" s="177"/>
      <c r="AN253" s="177"/>
      <c r="AO253" s="177"/>
      <c r="AP253" s="177"/>
      <c r="AQ253" s="176"/>
      <c r="AR253" s="177"/>
      <c r="AS253" s="177"/>
      <c r="AT253" s="177"/>
      <c r="AU253" s="177"/>
      <c r="AV253" s="176"/>
      <c r="AW253" s="177"/>
      <c r="AX253" s="177"/>
      <c r="AY253" s="177"/>
      <c r="AZ253" s="177"/>
      <c r="BA253" s="176"/>
      <c r="BB253" s="177"/>
      <c r="BC253" s="177"/>
      <c r="BD253" s="177"/>
      <c r="BE253" s="177"/>
      <c r="BF253" s="176"/>
      <c r="BG253" s="177"/>
      <c r="BH253" s="177"/>
      <c r="BI253" s="177"/>
      <c r="BJ253" s="177"/>
      <c r="BK253" s="176"/>
      <c r="BL253" s="177"/>
      <c r="BM253" s="177"/>
      <c r="BN253" s="177"/>
      <c r="BO253" s="177"/>
      <c r="BP253" s="176"/>
      <c r="BQ253" s="177"/>
      <c r="BR253" s="177"/>
      <c r="BS253" s="177"/>
      <c r="BT253" s="177"/>
      <c r="BU253" s="176"/>
      <c r="BV253" s="177"/>
      <c r="BW253" s="177"/>
      <c r="BX253" s="177"/>
      <c r="BY253" s="177"/>
      <c r="BZ253" s="176"/>
      <c r="CA253" s="177"/>
      <c r="CB253" s="177"/>
      <c r="CC253" s="177"/>
      <c r="CD253" s="177"/>
      <c r="CE253" s="176"/>
      <c r="CF253" s="177"/>
      <c r="CG253" s="177"/>
      <c r="CH253" s="177"/>
      <c r="CI253" s="177"/>
      <c r="CJ253" s="176"/>
      <c r="CK253" s="177"/>
      <c r="CL253" s="177"/>
      <c r="CM253" s="177"/>
      <c r="CN253" s="177"/>
      <c r="CO253" s="176"/>
      <c r="CP253" s="177"/>
      <c r="CQ253" s="177"/>
      <c r="CR253" s="177"/>
      <c r="CS253" s="177"/>
      <c r="CT253" s="176"/>
      <c r="CU253" s="177"/>
      <c r="CV253" s="177"/>
      <c r="CW253" s="177"/>
      <c r="CX253" s="177"/>
      <c r="CY253" s="176"/>
      <c r="CZ253" s="177"/>
      <c r="DA253" s="177"/>
      <c r="DB253" s="177"/>
      <c r="DC253" s="177"/>
      <c r="DD253" s="176"/>
      <c r="DE253" s="177"/>
      <c r="DF253" s="177"/>
      <c r="DG253" s="177"/>
      <c r="DH253" s="177"/>
      <c r="DI253" s="176"/>
      <c r="DJ253" s="177"/>
      <c r="DK253" s="177"/>
      <c r="DL253" s="177"/>
      <c r="DM253" s="177"/>
      <c r="DN253" s="176"/>
      <c r="DO253" s="177"/>
      <c r="DP253" s="177"/>
      <c r="DQ253" s="177"/>
      <c r="DR253" s="177"/>
      <c r="DS253" s="176"/>
      <c r="DT253" s="177"/>
      <c r="DU253" s="177"/>
      <c r="DV253" s="177"/>
      <c r="DW253" s="177"/>
      <c r="DX253" s="176"/>
      <c r="DY253" s="177"/>
      <c r="DZ253" s="177"/>
      <c r="EA253" s="177"/>
      <c r="EB253" s="177"/>
      <c r="EC253" s="176"/>
      <c r="ED253" s="177"/>
      <c r="EE253" s="177"/>
      <c r="EF253" s="177"/>
      <c r="EG253" s="177"/>
      <c r="EH253" s="176"/>
      <c r="EI253" s="177"/>
      <c r="EJ253" s="177"/>
      <c r="EK253" s="177"/>
      <c r="EL253" s="177"/>
      <c r="EM253" s="176"/>
      <c r="EN253" s="177"/>
      <c r="EO253" s="177"/>
      <c r="EP253" s="177"/>
      <c r="EQ253" s="177"/>
      <c r="ER253" s="176"/>
      <c r="ES253" s="177"/>
      <c r="ET253" s="177"/>
      <c r="EU253" s="177"/>
      <c r="EV253" s="177"/>
      <c r="EW253" s="176"/>
      <c r="EX253" s="177"/>
      <c r="EY253" s="177"/>
      <c r="EZ253" s="177"/>
      <c r="FA253" s="177"/>
      <c r="FB253" s="176"/>
      <c r="FC253" s="177"/>
      <c r="FD253" s="177"/>
      <c r="FE253" s="177"/>
      <c r="FF253" s="177"/>
      <c r="FG253" s="176"/>
      <c r="FH253" s="177"/>
      <c r="FI253" s="177"/>
      <c r="FJ253" s="177"/>
      <c r="FK253" s="177"/>
      <c r="FL253" s="176"/>
      <c r="FM253" s="177"/>
      <c r="FN253" s="177"/>
      <c r="FO253" s="177"/>
      <c r="FP253" s="177"/>
      <c r="FQ253" s="176"/>
      <c r="FR253" s="177"/>
      <c r="FS253" s="177"/>
      <c r="FT253" s="177"/>
      <c r="FU253" s="177"/>
      <c r="FV253" s="176"/>
      <c r="FW253" s="177"/>
      <c r="FX253" s="177"/>
      <c r="FY253" s="177"/>
      <c r="FZ253" s="177"/>
      <c r="GA253" s="176"/>
      <c r="GB253" s="177"/>
      <c r="GC253" s="177"/>
      <c r="GD253" s="177"/>
      <c r="GE253" s="177"/>
      <c r="GF253" s="176"/>
      <c r="GG253" s="177"/>
      <c r="GH253" s="177"/>
      <c r="GI253" s="177"/>
      <c r="GJ253" s="177"/>
    </row>
    <row r="254" spans="3:192" ht="12.75" customHeight="1">
      <c r="C254" s="139"/>
      <c r="D254" s="105"/>
      <c r="E254" s="105"/>
      <c r="F254" s="105"/>
      <c r="G254" s="105"/>
      <c r="H254" s="139"/>
      <c r="I254" s="105"/>
      <c r="J254" s="105"/>
      <c r="K254" s="105"/>
      <c r="L254" s="105"/>
      <c r="M254" s="139"/>
      <c r="N254" s="105"/>
      <c r="O254" s="105"/>
      <c r="P254" s="105"/>
      <c r="Q254" s="105"/>
      <c r="R254" s="139"/>
      <c r="S254" s="105"/>
      <c r="T254" s="105"/>
      <c r="U254" s="105"/>
      <c r="V254" s="105"/>
      <c r="W254" s="139"/>
      <c r="X254" s="105"/>
      <c r="Y254" s="105"/>
      <c r="Z254" s="105"/>
      <c r="AA254" s="105"/>
      <c r="AB254" s="139"/>
      <c r="AC254" s="105"/>
      <c r="AD254" s="105"/>
      <c r="AE254" s="105"/>
      <c r="AF254" s="105"/>
      <c r="AG254" s="139"/>
      <c r="AH254" s="105"/>
      <c r="AI254" s="105"/>
      <c r="AJ254" s="105"/>
      <c r="AK254" s="105"/>
      <c r="AL254" s="139"/>
      <c r="AM254" s="105"/>
      <c r="AN254" s="105"/>
      <c r="AO254" s="105"/>
      <c r="AP254" s="105"/>
      <c r="AQ254" s="139"/>
      <c r="AR254" s="105"/>
      <c r="AS254" s="105"/>
      <c r="AT254" s="105"/>
      <c r="AU254" s="105"/>
      <c r="AV254" s="139"/>
      <c r="AW254" s="105"/>
      <c r="AX254" s="105"/>
      <c r="AY254" s="105"/>
      <c r="AZ254" s="105"/>
      <c r="BA254" s="139"/>
      <c r="BB254" s="105"/>
      <c r="BC254" s="105"/>
      <c r="BD254" s="105"/>
      <c r="BE254" s="105"/>
      <c r="BF254" s="139"/>
      <c r="BG254" s="105"/>
      <c r="BH254" s="105"/>
      <c r="BI254" s="105"/>
      <c r="BJ254" s="105"/>
      <c r="BK254" s="139"/>
      <c r="BL254" s="105"/>
      <c r="BM254" s="105"/>
      <c r="BN254" s="105"/>
      <c r="BO254" s="105"/>
      <c r="BP254" s="139"/>
      <c r="BQ254" s="105"/>
      <c r="BR254" s="105"/>
      <c r="BS254" s="105"/>
      <c r="BT254" s="105"/>
      <c r="BU254" s="139"/>
      <c r="BV254" s="105"/>
      <c r="BW254" s="105"/>
      <c r="BX254" s="105"/>
      <c r="BY254" s="105"/>
      <c r="BZ254" s="139"/>
      <c r="CA254" s="105"/>
      <c r="CB254" s="105"/>
      <c r="CC254" s="105"/>
      <c r="CD254" s="105"/>
      <c r="CE254" s="139"/>
      <c r="CF254" s="105"/>
      <c r="CG254" s="105"/>
      <c r="CH254" s="105"/>
      <c r="CI254" s="105"/>
      <c r="CJ254" s="139"/>
      <c r="CK254" s="105"/>
      <c r="CL254" s="105"/>
      <c r="CM254" s="105"/>
      <c r="CN254" s="105"/>
      <c r="CO254" s="139"/>
      <c r="CP254" s="105"/>
      <c r="CQ254" s="105"/>
      <c r="CR254" s="105"/>
      <c r="CS254" s="105"/>
      <c r="CT254" s="139"/>
      <c r="CU254" s="105"/>
      <c r="CV254" s="105"/>
      <c r="CW254" s="105"/>
      <c r="CX254" s="105"/>
      <c r="CY254" s="139"/>
      <c r="CZ254" s="105"/>
      <c r="DA254" s="105"/>
      <c r="DB254" s="105"/>
      <c r="DC254" s="105"/>
      <c r="DD254" s="139"/>
      <c r="DE254" s="105"/>
      <c r="DF254" s="105"/>
      <c r="DG254" s="105"/>
      <c r="DH254" s="105"/>
      <c r="DI254" s="139"/>
      <c r="DJ254" s="105"/>
      <c r="DK254" s="105"/>
      <c r="DL254" s="105"/>
      <c r="DM254" s="105"/>
      <c r="DN254" s="139"/>
      <c r="DO254" s="105"/>
      <c r="DP254" s="105"/>
      <c r="DQ254" s="105"/>
      <c r="DR254" s="105"/>
      <c r="DS254" s="139"/>
      <c r="DT254" s="105"/>
      <c r="DU254" s="105"/>
      <c r="DV254" s="105"/>
      <c r="DW254" s="105"/>
      <c r="DX254" s="139"/>
      <c r="DY254" s="105"/>
      <c r="DZ254" s="105"/>
      <c r="EA254" s="105"/>
      <c r="EB254" s="105"/>
      <c r="EC254" s="139"/>
      <c r="ED254" s="105"/>
      <c r="EE254" s="105"/>
      <c r="EF254" s="105"/>
      <c r="EG254" s="105"/>
      <c r="EH254" s="139"/>
      <c r="EI254" s="105"/>
      <c r="EJ254" s="105"/>
      <c r="EK254" s="105"/>
      <c r="EL254" s="105"/>
      <c r="EM254" s="139"/>
      <c r="EN254" s="105"/>
      <c r="EO254" s="105"/>
      <c r="EP254" s="105"/>
      <c r="EQ254" s="105"/>
      <c r="ER254" s="139"/>
      <c r="ES254" s="105"/>
      <c r="ET254" s="105"/>
      <c r="EU254" s="105"/>
      <c r="EV254" s="105"/>
      <c r="EW254" s="139"/>
      <c r="EX254" s="105"/>
      <c r="EY254" s="105"/>
      <c r="EZ254" s="105"/>
      <c r="FA254" s="105"/>
      <c r="FB254" s="139"/>
      <c r="FC254" s="105"/>
      <c r="FD254" s="105"/>
      <c r="FE254" s="105"/>
      <c r="FF254" s="105"/>
      <c r="FG254" s="139"/>
      <c r="FH254" s="105"/>
      <c r="FI254" s="105"/>
      <c r="FJ254" s="105"/>
      <c r="FK254" s="105"/>
      <c r="FL254" s="139"/>
      <c r="FM254" s="105"/>
      <c r="FN254" s="105"/>
      <c r="FO254" s="105"/>
      <c r="FP254" s="105"/>
      <c r="FQ254" s="139"/>
      <c r="FR254" s="105"/>
      <c r="FS254" s="105"/>
      <c r="FT254" s="105"/>
      <c r="FU254" s="105"/>
      <c r="FV254" s="139"/>
      <c r="FW254" s="105"/>
      <c r="FX254" s="105"/>
      <c r="FY254" s="105"/>
      <c r="FZ254" s="105"/>
      <c r="GA254" s="139"/>
      <c r="GB254" s="105"/>
      <c r="GC254" s="105"/>
      <c r="GD254" s="105"/>
      <c r="GE254" s="105"/>
      <c r="GF254" s="139"/>
      <c r="GG254" s="105"/>
      <c r="GH254" s="105"/>
      <c r="GI254" s="105"/>
      <c r="GJ254" s="105"/>
    </row>
    <row r="256" spans="3:192" ht="12.75" customHeight="1">
      <c r="C256" s="187"/>
      <c r="D256" s="180"/>
      <c r="E256" s="180"/>
      <c r="F256" s="180"/>
      <c r="G256" s="180"/>
      <c r="H256" s="187"/>
      <c r="I256" s="180"/>
      <c r="J256" s="180"/>
      <c r="K256" s="180"/>
      <c r="L256" s="180"/>
      <c r="M256" s="187"/>
      <c r="N256" s="180"/>
      <c r="O256" s="180"/>
      <c r="P256" s="180"/>
      <c r="Q256" s="180"/>
      <c r="R256" s="187"/>
      <c r="S256" s="180"/>
      <c r="T256" s="180"/>
      <c r="U256" s="180"/>
      <c r="V256" s="180"/>
      <c r="W256" s="187"/>
      <c r="X256" s="180"/>
      <c r="Y256" s="180"/>
      <c r="Z256" s="180"/>
      <c r="AA256" s="180"/>
      <c r="AB256" s="187"/>
      <c r="AC256" s="180"/>
      <c r="AD256" s="180"/>
      <c r="AE256" s="180"/>
      <c r="AF256" s="180"/>
      <c r="AG256" s="187"/>
      <c r="AH256" s="180"/>
      <c r="AI256" s="180"/>
      <c r="AJ256" s="180"/>
      <c r="AK256" s="180"/>
      <c r="AL256" s="187"/>
      <c r="AM256" s="180"/>
      <c r="AN256" s="180"/>
      <c r="AO256" s="180"/>
      <c r="AP256" s="180"/>
      <c r="AQ256" s="187"/>
      <c r="AR256" s="180"/>
      <c r="AS256" s="180"/>
      <c r="AT256" s="180"/>
      <c r="AU256" s="180"/>
      <c r="AV256" s="187"/>
      <c r="AW256" s="180"/>
      <c r="AX256" s="180"/>
      <c r="AY256" s="180"/>
      <c r="AZ256" s="180"/>
      <c r="BA256" s="187"/>
      <c r="BB256" s="180"/>
      <c r="BC256" s="180"/>
      <c r="BD256" s="180"/>
      <c r="BE256" s="180"/>
      <c r="BF256" s="187"/>
      <c r="BG256" s="180"/>
      <c r="BH256" s="180"/>
      <c r="BI256" s="180"/>
      <c r="BJ256" s="180"/>
      <c r="BK256" s="187"/>
      <c r="BL256" s="180"/>
      <c r="BM256" s="180"/>
      <c r="BN256" s="180"/>
      <c r="BO256" s="180"/>
      <c r="BP256" s="187"/>
      <c r="BQ256" s="180"/>
      <c r="BR256" s="180"/>
      <c r="BS256" s="180"/>
      <c r="BT256" s="180"/>
      <c r="BU256" s="187"/>
      <c r="BV256" s="180"/>
      <c r="BW256" s="180"/>
      <c r="BX256" s="180"/>
      <c r="BY256" s="180"/>
      <c r="BZ256" s="187"/>
      <c r="CA256" s="180"/>
      <c r="CB256" s="180"/>
      <c r="CC256" s="180"/>
      <c r="CD256" s="180"/>
      <c r="CE256" s="187"/>
      <c r="CF256" s="180"/>
      <c r="CG256" s="180"/>
      <c r="CH256" s="180"/>
      <c r="CI256" s="180"/>
      <c r="CJ256" s="187"/>
      <c r="CK256" s="180"/>
      <c r="CL256" s="180"/>
      <c r="CM256" s="180"/>
      <c r="CN256" s="180"/>
      <c r="CO256" s="187"/>
      <c r="CP256" s="180"/>
      <c r="CQ256" s="180"/>
      <c r="CR256" s="180"/>
      <c r="CS256" s="180"/>
      <c r="CT256" s="187"/>
      <c r="CU256" s="180"/>
      <c r="CV256" s="180"/>
      <c r="CW256" s="180"/>
      <c r="CX256" s="180"/>
      <c r="CY256" s="187"/>
      <c r="CZ256" s="180"/>
      <c r="DA256" s="180"/>
      <c r="DB256" s="180"/>
      <c r="DC256" s="180"/>
      <c r="DD256" s="187"/>
      <c r="DE256" s="180"/>
      <c r="DF256" s="180"/>
      <c r="DG256" s="180"/>
      <c r="DH256" s="180"/>
      <c r="DI256" s="187"/>
      <c r="DJ256" s="180"/>
      <c r="DK256" s="180"/>
      <c r="DL256" s="180"/>
      <c r="DM256" s="180"/>
      <c r="DN256" s="187"/>
      <c r="DO256" s="180"/>
      <c r="DP256" s="180"/>
      <c r="DQ256" s="180"/>
      <c r="DR256" s="180"/>
      <c r="DS256" s="187"/>
      <c r="DT256" s="180"/>
      <c r="DU256" s="180"/>
      <c r="DV256" s="180"/>
      <c r="DW256" s="180"/>
      <c r="DX256" s="187"/>
      <c r="DY256" s="180"/>
      <c r="DZ256" s="180"/>
      <c r="EA256" s="180"/>
      <c r="EB256" s="180"/>
      <c r="EC256" s="187"/>
      <c r="ED256" s="180"/>
      <c r="EE256" s="180"/>
      <c r="EF256" s="180"/>
      <c r="EG256" s="180"/>
      <c r="EH256" s="187"/>
      <c r="EI256" s="180"/>
      <c r="EJ256" s="180"/>
      <c r="EK256" s="180"/>
      <c r="EL256" s="180"/>
      <c r="EM256" s="187"/>
      <c r="EN256" s="180"/>
      <c r="EO256" s="180"/>
      <c r="EP256" s="180"/>
      <c r="EQ256" s="180"/>
      <c r="ER256" s="187"/>
      <c r="ES256" s="180"/>
      <c r="ET256" s="180"/>
      <c r="EU256" s="180"/>
      <c r="EV256" s="180"/>
      <c r="EW256" s="187"/>
      <c r="EX256" s="180"/>
      <c r="EY256" s="180"/>
      <c r="EZ256" s="180"/>
      <c r="FA256" s="180"/>
      <c r="FB256" s="187"/>
      <c r="FC256" s="180"/>
      <c r="FD256" s="180"/>
      <c r="FE256" s="180"/>
      <c r="FF256" s="180"/>
      <c r="FG256" s="187"/>
      <c r="FH256" s="180"/>
      <c r="FI256" s="180"/>
      <c r="FJ256" s="180"/>
      <c r="FK256" s="180"/>
      <c r="FL256" s="187"/>
      <c r="FM256" s="180"/>
      <c r="FN256" s="180"/>
      <c r="FO256" s="180"/>
      <c r="FP256" s="180"/>
      <c r="FQ256" s="187"/>
      <c r="FR256" s="180"/>
      <c r="FS256" s="180"/>
      <c r="FT256" s="180"/>
      <c r="FU256" s="180"/>
      <c r="FV256" s="187"/>
      <c r="FW256" s="180"/>
      <c r="FX256" s="180"/>
      <c r="FY256" s="180"/>
      <c r="FZ256" s="180"/>
      <c r="GA256" s="187"/>
      <c r="GB256" s="180"/>
      <c r="GC256" s="180"/>
      <c r="GD256" s="180"/>
      <c r="GE256" s="180"/>
      <c r="GF256" s="187"/>
      <c r="GG256" s="180"/>
      <c r="GH256" s="180"/>
      <c r="GI256" s="180"/>
      <c r="GJ256" s="180"/>
    </row>
    <row r="257" spans="3:192" ht="12.75" customHeight="1">
      <c r="C257" s="181"/>
      <c r="D257" s="182"/>
      <c r="E257" s="182"/>
      <c r="F257" s="182"/>
      <c r="G257" s="182"/>
      <c r="H257" s="181"/>
      <c r="I257" s="182"/>
      <c r="J257" s="182"/>
      <c r="K257" s="182"/>
      <c r="L257" s="182"/>
      <c r="M257" s="181"/>
      <c r="N257" s="182"/>
      <c r="O257" s="182"/>
      <c r="P257" s="182"/>
      <c r="Q257" s="182"/>
      <c r="R257" s="181"/>
      <c r="S257" s="182"/>
      <c r="T257" s="182"/>
      <c r="U257" s="182"/>
      <c r="V257" s="182"/>
      <c r="W257" s="181"/>
      <c r="X257" s="182"/>
      <c r="Y257" s="182"/>
      <c r="Z257" s="182"/>
      <c r="AA257" s="182"/>
      <c r="AB257" s="181"/>
      <c r="AC257" s="182"/>
      <c r="AD257" s="182"/>
      <c r="AE257" s="182"/>
      <c r="AF257" s="182"/>
      <c r="AG257" s="181"/>
      <c r="AH257" s="182"/>
      <c r="AI257" s="182"/>
      <c r="AJ257" s="182"/>
      <c r="AK257" s="182"/>
      <c r="AL257" s="181"/>
      <c r="AM257" s="182"/>
      <c r="AN257" s="182"/>
      <c r="AO257" s="182"/>
      <c r="AP257" s="182"/>
      <c r="AQ257" s="181"/>
      <c r="AR257" s="182"/>
      <c r="AS257" s="182"/>
      <c r="AT257" s="182"/>
      <c r="AU257" s="182"/>
      <c r="AV257" s="181"/>
      <c r="AW257" s="182"/>
      <c r="AX257" s="182"/>
      <c r="AY257" s="182"/>
      <c r="AZ257" s="182"/>
      <c r="BA257" s="181"/>
      <c r="BB257" s="182"/>
      <c r="BC257" s="182"/>
      <c r="BD257" s="182"/>
      <c r="BE257" s="182"/>
      <c r="BF257" s="181"/>
      <c r="BG257" s="182"/>
      <c r="BH257" s="182"/>
      <c r="BI257" s="182"/>
      <c r="BJ257" s="182"/>
      <c r="BK257" s="181"/>
      <c r="BL257" s="182"/>
      <c r="BM257" s="182"/>
      <c r="BN257" s="182"/>
      <c r="BO257" s="182"/>
      <c r="BP257" s="181"/>
      <c r="BQ257" s="182"/>
      <c r="BR257" s="182"/>
      <c r="BS257" s="182"/>
      <c r="BT257" s="182"/>
      <c r="BU257" s="181"/>
      <c r="BV257" s="182"/>
      <c r="BW257" s="182"/>
      <c r="BX257" s="182"/>
      <c r="BY257" s="182"/>
      <c r="BZ257" s="181"/>
      <c r="CA257" s="182"/>
      <c r="CB257" s="182"/>
      <c r="CC257" s="182"/>
      <c r="CD257" s="182"/>
      <c r="CE257" s="181"/>
      <c r="CF257" s="182"/>
      <c r="CG257" s="182"/>
      <c r="CH257" s="182"/>
      <c r="CI257" s="182"/>
      <c r="CJ257" s="181"/>
      <c r="CK257" s="182"/>
      <c r="CL257" s="182"/>
      <c r="CM257" s="182"/>
      <c r="CN257" s="182"/>
      <c r="CO257" s="181"/>
      <c r="CP257" s="182"/>
      <c r="CQ257" s="182"/>
      <c r="CR257" s="182"/>
      <c r="CS257" s="182"/>
      <c r="CT257" s="181"/>
      <c r="CU257" s="182"/>
      <c r="CV257" s="182"/>
      <c r="CW257" s="182"/>
      <c r="CX257" s="182"/>
      <c r="CY257" s="181"/>
      <c r="CZ257" s="182"/>
      <c r="DA257" s="182"/>
      <c r="DB257" s="182"/>
      <c r="DC257" s="182"/>
      <c r="DD257" s="181"/>
      <c r="DE257" s="182"/>
      <c r="DF257" s="182"/>
      <c r="DG257" s="182"/>
      <c r="DH257" s="182"/>
      <c r="DI257" s="181"/>
      <c r="DJ257" s="182"/>
      <c r="DK257" s="182"/>
      <c r="DL257" s="182"/>
      <c r="DM257" s="182"/>
      <c r="DN257" s="181"/>
      <c r="DO257" s="182"/>
      <c r="DP257" s="182"/>
      <c r="DQ257" s="182"/>
      <c r="DR257" s="182"/>
      <c r="DS257" s="181"/>
      <c r="DT257" s="182"/>
      <c r="DU257" s="182"/>
      <c r="DV257" s="182"/>
      <c r="DW257" s="182"/>
      <c r="DX257" s="181"/>
      <c r="DY257" s="182"/>
      <c r="DZ257" s="182"/>
      <c r="EA257" s="182"/>
      <c r="EB257" s="182"/>
      <c r="EC257" s="181"/>
      <c r="ED257" s="182"/>
      <c r="EE257" s="182"/>
      <c r="EF257" s="182"/>
      <c r="EG257" s="182"/>
      <c r="EH257" s="181"/>
      <c r="EI257" s="182"/>
      <c r="EJ257" s="182"/>
      <c r="EK257" s="182"/>
      <c r="EL257" s="182"/>
      <c r="EM257" s="181"/>
      <c r="EN257" s="182"/>
      <c r="EO257" s="182"/>
      <c r="EP257" s="182"/>
      <c r="EQ257" s="182"/>
      <c r="ER257" s="181"/>
      <c r="ES257" s="182"/>
      <c r="ET257" s="182"/>
      <c r="EU257" s="182"/>
      <c r="EV257" s="182"/>
      <c r="EW257" s="181"/>
      <c r="EX257" s="182"/>
      <c r="EY257" s="182"/>
      <c r="EZ257" s="182"/>
      <c r="FA257" s="182"/>
      <c r="FB257" s="181"/>
      <c r="FC257" s="182"/>
      <c r="FD257" s="182"/>
      <c r="FE257" s="182"/>
      <c r="FF257" s="182"/>
      <c r="FG257" s="181"/>
      <c r="FH257" s="182"/>
      <c r="FI257" s="182"/>
      <c r="FJ257" s="182"/>
      <c r="FK257" s="182"/>
      <c r="FL257" s="181"/>
      <c r="FM257" s="182"/>
      <c r="FN257" s="182"/>
      <c r="FO257" s="182"/>
      <c r="FP257" s="182"/>
      <c r="FQ257" s="181"/>
      <c r="FR257" s="182"/>
      <c r="FS257" s="182"/>
      <c r="FT257" s="182"/>
      <c r="FU257" s="182"/>
      <c r="FV257" s="181"/>
      <c r="FW257" s="182"/>
      <c r="FX257" s="182"/>
      <c r="FY257" s="182"/>
      <c r="FZ257" s="182"/>
      <c r="GA257" s="181"/>
      <c r="GB257" s="182"/>
      <c r="GC257" s="182"/>
      <c r="GD257" s="182"/>
      <c r="GE257" s="182"/>
      <c r="GF257" s="181"/>
      <c r="GG257" s="182"/>
      <c r="GH257" s="182"/>
      <c r="GI257" s="182"/>
      <c r="GJ257" s="182"/>
    </row>
    <row r="259" spans="3:192" ht="12.75" customHeight="1">
      <c r="C259" s="176"/>
      <c r="D259" s="177"/>
      <c r="E259" s="177"/>
      <c r="F259" s="177"/>
      <c r="G259" s="177"/>
      <c r="H259" s="176"/>
      <c r="I259" s="177"/>
      <c r="J259" s="177"/>
      <c r="K259" s="177"/>
      <c r="L259" s="177"/>
      <c r="M259" s="176"/>
      <c r="N259" s="177"/>
      <c r="O259" s="177"/>
      <c r="P259" s="177"/>
      <c r="Q259" s="177"/>
      <c r="R259" s="176"/>
      <c r="S259" s="177"/>
      <c r="T259" s="177"/>
      <c r="U259" s="177"/>
      <c r="V259" s="177"/>
      <c r="W259" s="176"/>
      <c r="X259" s="177"/>
      <c r="Y259" s="177"/>
      <c r="Z259" s="177"/>
      <c r="AA259" s="177"/>
      <c r="AB259" s="176"/>
      <c r="AC259" s="177"/>
      <c r="AD259" s="177"/>
      <c r="AE259" s="177"/>
      <c r="AF259" s="177"/>
      <c r="AG259" s="176"/>
      <c r="AH259" s="177"/>
      <c r="AI259" s="177"/>
      <c r="AJ259" s="177"/>
      <c r="AK259" s="177"/>
      <c r="AL259" s="176"/>
      <c r="AM259" s="177"/>
      <c r="AN259" s="177"/>
      <c r="AO259" s="177"/>
      <c r="AP259" s="177"/>
      <c r="AQ259" s="176"/>
      <c r="AR259" s="177"/>
      <c r="AS259" s="177"/>
      <c r="AT259" s="177"/>
      <c r="AU259" s="177"/>
      <c r="AV259" s="176"/>
      <c r="AW259" s="177"/>
      <c r="AX259" s="177"/>
      <c r="AY259" s="177"/>
      <c r="AZ259" s="177"/>
      <c r="BA259" s="176"/>
      <c r="BB259" s="177"/>
      <c r="BC259" s="177"/>
      <c r="BD259" s="177"/>
      <c r="BE259" s="177"/>
      <c r="BF259" s="176"/>
      <c r="BG259" s="177"/>
      <c r="BH259" s="177"/>
      <c r="BI259" s="177"/>
      <c r="BJ259" s="177"/>
      <c r="BK259" s="176"/>
      <c r="BL259" s="177"/>
      <c r="BM259" s="177"/>
      <c r="BN259" s="177"/>
      <c r="BO259" s="177"/>
      <c r="BP259" s="176"/>
      <c r="BQ259" s="177"/>
      <c r="BR259" s="177"/>
      <c r="BS259" s="177"/>
      <c r="BT259" s="177"/>
      <c r="BU259" s="176"/>
      <c r="BV259" s="177"/>
      <c r="BW259" s="177"/>
      <c r="BX259" s="177"/>
      <c r="BY259" s="177"/>
      <c r="BZ259" s="176"/>
      <c r="CA259" s="177"/>
      <c r="CB259" s="177"/>
      <c r="CC259" s="177"/>
      <c r="CD259" s="177"/>
      <c r="CE259" s="176"/>
      <c r="CF259" s="177"/>
      <c r="CG259" s="177"/>
      <c r="CH259" s="177"/>
      <c r="CI259" s="177"/>
      <c r="CJ259" s="176"/>
      <c r="CK259" s="177"/>
      <c r="CL259" s="177"/>
      <c r="CM259" s="177"/>
      <c r="CN259" s="177"/>
      <c r="CO259" s="176"/>
      <c r="CP259" s="177"/>
      <c r="CQ259" s="177"/>
      <c r="CR259" s="177"/>
      <c r="CS259" s="177"/>
      <c r="CT259" s="176"/>
      <c r="CU259" s="177"/>
      <c r="CV259" s="177"/>
      <c r="CW259" s="177"/>
      <c r="CX259" s="177"/>
      <c r="CY259" s="176"/>
      <c r="CZ259" s="177"/>
      <c r="DA259" s="177"/>
      <c r="DB259" s="177"/>
      <c r="DC259" s="177"/>
      <c r="DD259" s="176"/>
      <c r="DE259" s="177"/>
      <c r="DF259" s="177"/>
      <c r="DG259" s="177"/>
      <c r="DH259" s="177"/>
      <c r="DI259" s="176"/>
      <c r="DJ259" s="177"/>
      <c r="DK259" s="177"/>
      <c r="DL259" s="177"/>
      <c r="DM259" s="177"/>
      <c r="DN259" s="176"/>
      <c r="DO259" s="177"/>
      <c r="DP259" s="177"/>
      <c r="DQ259" s="177"/>
      <c r="DR259" s="177"/>
      <c r="DS259" s="176"/>
      <c r="DT259" s="177"/>
      <c r="DU259" s="177"/>
      <c r="DV259" s="177"/>
      <c r="DW259" s="177"/>
      <c r="DX259" s="176"/>
      <c r="DY259" s="177"/>
      <c r="DZ259" s="177"/>
      <c r="EA259" s="177"/>
      <c r="EB259" s="177"/>
      <c r="EC259" s="176"/>
      <c r="ED259" s="177"/>
      <c r="EE259" s="177"/>
      <c r="EF259" s="177"/>
      <c r="EG259" s="177"/>
      <c r="EH259" s="176"/>
      <c r="EI259" s="177"/>
      <c r="EJ259" s="177"/>
      <c r="EK259" s="177"/>
      <c r="EL259" s="177"/>
      <c r="EM259" s="176"/>
      <c r="EN259" s="177"/>
      <c r="EO259" s="177"/>
      <c r="EP259" s="177"/>
      <c r="EQ259" s="177"/>
      <c r="ER259" s="176"/>
      <c r="ES259" s="177"/>
      <c r="ET259" s="177"/>
      <c r="EU259" s="177"/>
      <c r="EV259" s="177"/>
      <c r="EW259" s="176"/>
      <c r="EX259" s="177"/>
      <c r="EY259" s="177"/>
      <c r="EZ259" s="177"/>
      <c r="FA259" s="177"/>
      <c r="FB259" s="176"/>
      <c r="FC259" s="177"/>
      <c r="FD259" s="177"/>
      <c r="FE259" s="177"/>
      <c r="FF259" s="177"/>
      <c r="FG259" s="176"/>
      <c r="FH259" s="177"/>
      <c r="FI259" s="177"/>
      <c r="FJ259" s="177"/>
      <c r="FK259" s="177"/>
      <c r="FL259" s="176"/>
      <c r="FM259" s="177"/>
      <c r="FN259" s="177"/>
      <c r="FO259" s="177"/>
      <c r="FP259" s="177"/>
      <c r="FQ259" s="176"/>
      <c r="FR259" s="177"/>
      <c r="FS259" s="177"/>
      <c r="FT259" s="177"/>
      <c r="FU259" s="177"/>
      <c r="FV259" s="176"/>
      <c r="FW259" s="177"/>
      <c r="FX259" s="177"/>
      <c r="FY259" s="177"/>
      <c r="FZ259" s="177"/>
      <c r="GA259" s="176"/>
      <c r="GB259" s="177"/>
      <c r="GC259" s="177"/>
      <c r="GD259" s="177"/>
      <c r="GE259" s="177"/>
      <c r="GF259" s="176"/>
      <c r="GG259" s="177"/>
      <c r="GH259" s="177"/>
      <c r="GI259" s="177"/>
      <c r="GJ259" s="177"/>
    </row>
    <row r="260" spans="3:192" ht="12.75" customHeight="1">
      <c r="C260" s="139"/>
      <c r="D260" s="105"/>
      <c r="E260" s="105"/>
      <c r="F260" s="105"/>
      <c r="G260" s="105"/>
      <c r="H260" s="139"/>
      <c r="I260" s="105"/>
      <c r="J260" s="105"/>
      <c r="K260" s="105"/>
      <c r="L260" s="105"/>
      <c r="M260" s="139"/>
      <c r="N260" s="105"/>
      <c r="O260" s="105"/>
      <c r="P260" s="105"/>
      <c r="Q260" s="105"/>
      <c r="R260" s="139"/>
      <c r="S260" s="105"/>
      <c r="T260" s="105"/>
      <c r="U260" s="105"/>
      <c r="V260" s="105"/>
      <c r="W260" s="139"/>
      <c r="X260" s="105"/>
      <c r="Y260" s="105"/>
      <c r="Z260" s="105"/>
      <c r="AA260" s="105"/>
      <c r="AB260" s="139"/>
      <c r="AC260" s="105"/>
      <c r="AD260" s="105"/>
      <c r="AE260" s="105"/>
      <c r="AF260" s="105"/>
      <c r="AG260" s="139"/>
      <c r="AH260" s="105"/>
      <c r="AI260" s="105"/>
      <c r="AJ260" s="105"/>
      <c r="AK260" s="105"/>
      <c r="AL260" s="139"/>
      <c r="AM260" s="105"/>
      <c r="AN260" s="105"/>
      <c r="AO260" s="105"/>
      <c r="AP260" s="105"/>
      <c r="AQ260" s="139"/>
      <c r="AR260" s="105"/>
      <c r="AS260" s="105"/>
      <c r="AT260" s="105"/>
      <c r="AU260" s="105"/>
      <c r="AV260" s="139"/>
      <c r="AW260" s="105"/>
      <c r="AX260" s="105"/>
      <c r="AY260" s="105"/>
      <c r="AZ260" s="105"/>
      <c r="BA260" s="139"/>
      <c r="BB260" s="105"/>
      <c r="BC260" s="105"/>
      <c r="BD260" s="105"/>
      <c r="BE260" s="105"/>
      <c r="BF260" s="139"/>
      <c r="BG260" s="105"/>
      <c r="BH260" s="105"/>
      <c r="BI260" s="105"/>
      <c r="BJ260" s="105"/>
      <c r="BK260" s="139"/>
      <c r="BL260" s="105"/>
      <c r="BM260" s="105"/>
      <c r="BN260" s="105"/>
      <c r="BO260" s="105"/>
      <c r="BP260" s="139"/>
      <c r="BQ260" s="105"/>
      <c r="BR260" s="105"/>
      <c r="BS260" s="105"/>
      <c r="BT260" s="105"/>
      <c r="BU260" s="139"/>
      <c r="BV260" s="105"/>
      <c r="BW260" s="105"/>
      <c r="BX260" s="105"/>
      <c r="BY260" s="105"/>
      <c r="BZ260" s="139"/>
      <c r="CA260" s="105"/>
      <c r="CB260" s="105"/>
      <c r="CC260" s="105"/>
      <c r="CD260" s="105"/>
      <c r="CE260" s="139"/>
      <c r="CF260" s="105"/>
      <c r="CG260" s="105"/>
      <c r="CH260" s="105"/>
      <c r="CI260" s="105"/>
      <c r="CJ260" s="139"/>
      <c r="CK260" s="105"/>
      <c r="CL260" s="105"/>
      <c r="CM260" s="105"/>
      <c r="CN260" s="105"/>
      <c r="CO260" s="139"/>
      <c r="CP260" s="105"/>
      <c r="CQ260" s="105"/>
      <c r="CR260" s="105"/>
      <c r="CS260" s="105"/>
      <c r="CT260" s="139"/>
      <c r="CU260" s="105"/>
      <c r="CV260" s="105"/>
      <c r="CW260" s="105"/>
      <c r="CX260" s="105"/>
      <c r="CY260" s="139"/>
      <c r="CZ260" s="105"/>
      <c r="DA260" s="105"/>
      <c r="DB260" s="105"/>
      <c r="DC260" s="105"/>
      <c r="DD260" s="139"/>
      <c r="DE260" s="105"/>
      <c r="DF260" s="105"/>
      <c r="DG260" s="105"/>
      <c r="DH260" s="105"/>
      <c r="DI260" s="139"/>
      <c r="DJ260" s="105"/>
      <c r="DK260" s="105"/>
      <c r="DL260" s="105"/>
      <c r="DM260" s="105"/>
      <c r="DN260" s="139"/>
      <c r="DO260" s="105"/>
      <c r="DP260" s="105"/>
      <c r="DQ260" s="105"/>
      <c r="DR260" s="105"/>
      <c r="DS260" s="139"/>
      <c r="DT260" s="105"/>
      <c r="DU260" s="105"/>
      <c r="DV260" s="105"/>
      <c r="DW260" s="105"/>
      <c r="DX260" s="139"/>
      <c r="DY260" s="105"/>
      <c r="DZ260" s="105"/>
      <c r="EA260" s="105"/>
      <c r="EB260" s="105"/>
      <c r="EC260" s="139"/>
      <c r="ED260" s="105"/>
      <c r="EE260" s="105"/>
      <c r="EF260" s="105"/>
      <c r="EG260" s="105"/>
      <c r="EH260" s="139"/>
      <c r="EI260" s="105"/>
      <c r="EJ260" s="105"/>
      <c r="EK260" s="105"/>
      <c r="EL260" s="105"/>
      <c r="EM260" s="139"/>
      <c r="EN260" s="105"/>
      <c r="EO260" s="105"/>
      <c r="EP260" s="105"/>
      <c r="EQ260" s="105"/>
      <c r="ER260" s="139"/>
      <c r="ES260" s="105"/>
      <c r="ET260" s="105"/>
      <c r="EU260" s="105"/>
      <c r="EV260" s="105"/>
      <c r="EW260" s="139"/>
      <c r="EX260" s="105"/>
      <c r="EY260" s="105"/>
      <c r="EZ260" s="105"/>
      <c r="FA260" s="105"/>
      <c r="FB260" s="139"/>
      <c r="FC260" s="105"/>
      <c r="FD260" s="105"/>
      <c r="FE260" s="105"/>
      <c r="FF260" s="105"/>
      <c r="FG260" s="139"/>
      <c r="FH260" s="105"/>
      <c r="FI260" s="105"/>
      <c r="FJ260" s="105"/>
      <c r="FK260" s="105"/>
      <c r="FL260" s="139"/>
      <c r="FM260" s="105"/>
      <c r="FN260" s="105"/>
      <c r="FO260" s="105"/>
      <c r="FP260" s="105"/>
      <c r="FQ260" s="139"/>
      <c r="FR260" s="105"/>
      <c r="FS260" s="105"/>
      <c r="FT260" s="105"/>
      <c r="FU260" s="105"/>
      <c r="FV260" s="139"/>
      <c r="FW260" s="105"/>
      <c r="FX260" s="105"/>
      <c r="FY260" s="105"/>
      <c r="FZ260" s="105"/>
      <c r="GA260" s="139"/>
      <c r="GB260" s="105"/>
      <c r="GC260" s="105"/>
      <c r="GD260" s="105"/>
      <c r="GE260" s="105"/>
      <c r="GF260" s="139"/>
      <c r="GG260" s="105"/>
      <c r="GH260" s="105"/>
      <c r="GI260" s="105"/>
      <c r="GJ260" s="105"/>
    </row>
    <row r="262" spans="3:192" ht="12.75" customHeight="1">
      <c r="C262" s="139"/>
      <c r="D262" s="105"/>
      <c r="E262" s="105"/>
      <c r="F262" s="105"/>
      <c r="G262" s="105"/>
      <c r="H262" s="139"/>
      <c r="I262" s="105"/>
      <c r="J262" s="105"/>
      <c r="K262" s="105"/>
      <c r="L262" s="105"/>
      <c r="M262" s="139"/>
      <c r="N262" s="105"/>
      <c r="O262" s="105"/>
      <c r="P262" s="105"/>
      <c r="Q262" s="105"/>
      <c r="R262" s="139"/>
      <c r="S262" s="105"/>
      <c r="T262" s="105"/>
      <c r="U262" s="105"/>
      <c r="V262" s="105"/>
      <c r="W262" s="139"/>
      <c r="X262" s="105"/>
      <c r="Y262" s="105"/>
      <c r="Z262" s="105"/>
      <c r="AA262" s="105"/>
      <c r="AB262" s="139"/>
      <c r="AC262" s="105"/>
      <c r="AD262" s="105"/>
      <c r="AE262" s="105"/>
      <c r="AF262" s="105"/>
      <c r="AG262" s="139"/>
      <c r="AH262" s="105"/>
      <c r="AI262" s="105"/>
      <c r="AJ262" s="105"/>
      <c r="AK262" s="105"/>
      <c r="AL262" s="139"/>
      <c r="AM262" s="105"/>
      <c r="AN262" s="105"/>
      <c r="AO262" s="105"/>
      <c r="AP262" s="105"/>
      <c r="AQ262" s="139"/>
      <c r="AR262" s="105"/>
      <c r="AS262" s="105"/>
      <c r="AT262" s="105"/>
      <c r="AU262" s="105"/>
      <c r="AV262" s="139"/>
      <c r="AW262" s="105"/>
      <c r="AX262" s="105"/>
      <c r="AY262" s="105"/>
      <c r="AZ262" s="105"/>
      <c r="BA262" s="139"/>
      <c r="BB262" s="105"/>
      <c r="BC262" s="105"/>
      <c r="BD262" s="105"/>
      <c r="BE262" s="105"/>
      <c r="BF262" s="139"/>
      <c r="BG262" s="105"/>
      <c r="BH262" s="105"/>
      <c r="BI262" s="105"/>
      <c r="BJ262" s="105"/>
      <c r="BK262" s="139"/>
      <c r="BL262" s="105"/>
      <c r="BM262" s="105"/>
      <c r="BN262" s="105"/>
      <c r="BO262" s="105"/>
      <c r="BP262" s="139"/>
      <c r="BQ262" s="105"/>
      <c r="BR262" s="105"/>
      <c r="BS262" s="105"/>
      <c r="BT262" s="105"/>
      <c r="BU262" s="139"/>
      <c r="BV262" s="105"/>
      <c r="BW262" s="105"/>
      <c r="BX262" s="105"/>
      <c r="BY262" s="105"/>
      <c r="BZ262" s="139"/>
      <c r="CA262" s="105"/>
      <c r="CB262" s="105"/>
      <c r="CC262" s="105"/>
      <c r="CD262" s="105"/>
      <c r="CE262" s="139"/>
      <c r="CF262" s="105"/>
      <c r="CG262" s="105"/>
      <c r="CH262" s="105"/>
      <c r="CI262" s="105"/>
      <c r="CJ262" s="139"/>
      <c r="CK262" s="105"/>
      <c r="CL262" s="105"/>
      <c r="CM262" s="105"/>
      <c r="CN262" s="105"/>
      <c r="CO262" s="139"/>
      <c r="CP262" s="105"/>
      <c r="CQ262" s="105"/>
      <c r="CR262" s="105"/>
      <c r="CS262" s="105"/>
      <c r="CT262" s="139"/>
      <c r="CU262" s="105"/>
      <c r="CV262" s="105"/>
      <c r="CW262" s="105"/>
      <c r="CX262" s="105"/>
      <c r="CY262" s="139"/>
      <c r="CZ262" s="105"/>
      <c r="DA262" s="105"/>
      <c r="DB262" s="105"/>
      <c r="DC262" s="105"/>
      <c r="DD262" s="139"/>
      <c r="DE262" s="105"/>
      <c r="DF262" s="105"/>
      <c r="DG262" s="105"/>
      <c r="DH262" s="105"/>
      <c r="DI262" s="139"/>
      <c r="DJ262" s="105"/>
      <c r="DK262" s="105"/>
      <c r="DL262" s="105"/>
      <c r="DM262" s="105"/>
      <c r="DN262" s="139"/>
      <c r="DO262" s="105"/>
      <c r="DP262" s="105"/>
      <c r="DQ262" s="105"/>
      <c r="DR262" s="105"/>
      <c r="DS262" s="139"/>
      <c r="DT262" s="105"/>
      <c r="DU262" s="105"/>
      <c r="DV262" s="105"/>
      <c r="DW262" s="105"/>
      <c r="DX262" s="139"/>
      <c r="DY262" s="105"/>
      <c r="DZ262" s="105"/>
      <c r="EA262" s="105"/>
      <c r="EB262" s="105"/>
      <c r="EC262" s="139"/>
      <c r="ED262" s="105"/>
      <c r="EE262" s="105"/>
      <c r="EF262" s="105"/>
      <c r="EG262" s="105"/>
      <c r="EH262" s="139"/>
      <c r="EI262" s="105"/>
      <c r="EJ262" s="105"/>
      <c r="EK262" s="105"/>
      <c r="EL262" s="105"/>
      <c r="EM262" s="139"/>
      <c r="EN262" s="105"/>
      <c r="EO262" s="105"/>
      <c r="EP262" s="105"/>
      <c r="EQ262" s="105"/>
      <c r="ER262" s="139"/>
      <c r="ES262" s="105"/>
      <c r="ET262" s="105"/>
      <c r="EU262" s="105"/>
      <c r="EV262" s="105"/>
      <c r="EW262" s="139"/>
      <c r="EX262" s="105"/>
      <c r="EY262" s="105"/>
      <c r="EZ262" s="105"/>
      <c r="FA262" s="105"/>
      <c r="FB262" s="139"/>
      <c r="FC262" s="105"/>
      <c r="FD262" s="105"/>
      <c r="FE262" s="105"/>
      <c r="FF262" s="105"/>
      <c r="FG262" s="139"/>
      <c r="FH262" s="105"/>
      <c r="FI262" s="105"/>
      <c r="FJ262" s="105"/>
      <c r="FK262" s="105"/>
      <c r="FL262" s="139"/>
      <c r="FM262" s="105"/>
      <c r="FN262" s="105"/>
      <c r="FO262" s="105"/>
      <c r="FP262" s="105"/>
      <c r="FQ262" s="139"/>
      <c r="FR262" s="105"/>
      <c r="FS262" s="105"/>
      <c r="FT262" s="105"/>
      <c r="FU262" s="105"/>
      <c r="FV262" s="139"/>
      <c r="FW262" s="105"/>
      <c r="FX262" s="105"/>
      <c r="FY262" s="105"/>
      <c r="FZ262" s="105"/>
      <c r="GA262" s="139"/>
      <c r="GB262" s="105"/>
      <c r="GC262" s="105"/>
      <c r="GD262" s="105"/>
      <c r="GE262" s="105"/>
      <c r="GF262" s="139"/>
      <c r="GG262" s="105"/>
      <c r="GH262" s="105"/>
      <c r="GI262" s="105"/>
      <c r="GJ262" s="105"/>
    </row>
    <row r="265" spans="3:192" ht="12.75" customHeight="1">
      <c r="C265" s="188"/>
      <c r="D265" s="189"/>
      <c r="E265" s="189"/>
      <c r="F265" s="189"/>
      <c r="G265" s="189"/>
      <c r="H265" s="188"/>
      <c r="I265" s="189"/>
      <c r="J265" s="189"/>
      <c r="K265" s="189"/>
      <c r="L265" s="189"/>
      <c r="M265" s="188"/>
      <c r="N265" s="189"/>
      <c r="O265" s="189"/>
      <c r="P265" s="189"/>
      <c r="Q265" s="189"/>
      <c r="R265" s="188"/>
      <c r="S265" s="189"/>
      <c r="T265" s="189"/>
      <c r="U265" s="189"/>
      <c r="V265" s="189"/>
      <c r="W265" s="188"/>
      <c r="X265" s="189"/>
      <c r="Y265" s="189"/>
      <c r="Z265" s="189"/>
      <c r="AA265" s="189"/>
      <c r="AB265" s="188"/>
      <c r="AC265" s="189"/>
      <c r="AD265" s="189"/>
      <c r="AE265" s="189"/>
      <c r="AF265" s="189"/>
      <c r="AG265" s="188"/>
      <c r="AH265" s="189"/>
      <c r="AI265" s="189"/>
      <c r="AJ265" s="189"/>
      <c r="AK265" s="189"/>
      <c r="AL265" s="188"/>
      <c r="AM265" s="189"/>
      <c r="AN265" s="189"/>
      <c r="AO265" s="189"/>
      <c r="AP265" s="189"/>
      <c r="AQ265" s="188"/>
      <c r="AR265" s="189"/>
      <c r="AS265" s="189"/>
      <c r="AT265" s="189"/>
      <c r="AU265" s="189"/>
      <c r="AV265" s="188"/>
      <c r="AW265" s="189"/>
      <c r="AX265" s="189"/>
      <c r="AY265" s="189"/>
      <c r="AZ265" s="189"/>
      <c r="BA265" s="188"/>
      <c r="BB265" s="189"/>
      <c r="BC265" s="189"/>
      <c r="BD265" s="189"/>
      <c r="BE265" s="189"/>
      <c r="BF265" s="188"/>
      <c r="BG265" s="189"/>
      <c r="BH265" s="189"/>
      <c r="BI265" s="189"/>
      <c r="BJ265" s="189"/>
      <c r="BK265" s="188"/>
      <c r="BL265" s="189"/>
      <c r="BM265" s="189"/>
      <c r="BN265" s="189"/>
      <c r="BO265" s="189"/>
      <c r="BP265" s="188"/>
      <c r="BQ265" s="189"/>
      <c r="BR265" s="189"/>
      <c r="BS265" s="189"/>
      <c r="BT265" s="189"/>
      <c r="BU265" s="188"/>
      <c r="BV265" s="189"/>
      <c r="BW265" s="189"/>
      <c r="BX265" s="189"/>
      <c r="BY265" s="189"/>
      <c r="BZ265" s="188"/>
      <c r="CA265" s="189"/>
      <c r="CB265" s="189"/>
      <c r="CC265" s="189"/>
      <c r="CD265" s="189"/>
      <c r="CE265" s="188"/>
      <c r="CF265" s="189"/>
      <c r="CG265" s="189"/>
      <c r="CH265" s="189"/>
      <c r="CI265" s="189"/>
      <c r="CJ265" s="188"/>
      <c r="CK265" s="189"/>
      <c r="CL265" s="189"/>
      <c r="CM265" s="189"/>
      <c r="CN265" s="189"/>
      <c r="CO265" s="188"/>
      <c r="CP265" s="189"/>
      <c r="CQ265" s="189"/>
      <c r="CR265" s="189"/>
      <c r="CS265" s="189"/>
      <c r="CT265" s="188"/>
      <c r="CU265" s="189"/>
      <c r="CV265" s="189"/>
      <c r="CW265" s="189"/>
      <c r="CX265" s="189"/>
      <c r="CY265" s="188"/>
      <c r="CZ265" s="189"/>
      <c r="DA265" s="189"/>
      <c r="DB265" s="189"/>
      <c r="DC265" s="189"/>
      <c r="DD265" s="188"/>
      <c r="DE265" s="189"/>
      <c r="DF265" s="189"/>
      <c r="DG265" s="189"/>
      <c r="DH265" s="189"/>
      <c r="DI265" s="188"/>
      <c r="DJ265" s="189"/>
      <c r="DK265" s="189"/>
      <c r="DL265" s="189"/>
      <c r="DM265" s="189"/>
      <c r="DN265" s="188"/>
      <c r="DO265" s="189"/>
      <c r="DP265" s="189"/>
      <c r="DQ265" s="189"/>
      <c r="DR265" s="189"/>
      <c r="DS265" s="188"/>
      <c r="DT265" s="189"/>
      <c r="DU265" s="189"/>
      <c r="DV265" s="189"/>
      <c r="DW265" s="189"/>
      <c r="DX265" s="188"/>
      <c r="DY265" s="189"/>
      <c r="DZ265" s="189"/>
      <c r="EA265" s="189"/>
      <c r="EB265" s="189"/>
      <c r="EC265" s="188"/>
      <c r="ED265" s="189"/>
      <c r="EE265" s="189"/>
      <c r="EF265" s="189"/>
      <c r="EG265" s="189"/>
      <c r="EH265" s="188"/>
      <c r="EI265" s="189"/>
      <c r="EJ265" s="189"/>
      <c r="EK265" s="189"/>
      <c r="EL265" s="189"/>
      <c r="EM265" s="188"/>
      <c r="EN265" s="189"/>
      <c r="EO265" s="189"/>
      <c r="EP265" s="189"/>
      <c r="EQ265" s="189"/>
      <c r="ER265" s="188"/>
      <c r="ES265" s="189"/>
      <c r="ET265" s="189"/>
      <c r="EU265" s="189"/>
      <c r="EV265" s="189"/>
      <c r="EW265" s="188"/>
      <c r="EX265" s="189"/>
      <c r="EY265" s="189"/>
      <c r="EZ265" s="189"/>
      <c r="FA265" s="189"/>
      <c r="FB265" s="188"/>
      <c r="FC265" s="189"/>
      <c r="FD265" s="189"/>
      <c r="FE265" s="189"/>
      <c r="FF265" s="189"/>
      <c r="FG265" s="188"/>
      <c r="FH265" s="189"/>
      <c r="FI265" s="189"/>
      <c r="FJ265" s="189"/>
      <c r="FK265" s="189"/>
      <c r="FL265" s="188"/>
      <c r="FM265" s="189"/>
      <c r="FN265" s="189"/>
      <c r="FO265" s="189"/>
      <c r="FP265" s="189"/>
      <c r="FQ265" s="188"/>
      <c r="FR265" s="189"/>
      <c r="FS265" s="189"/>
      <c r="FT265" s="189"/>
      <c r="FU265" s="189"/>
      <c r="FV265" s="188"/>
      <c r="FW265" s="189"/>
      <c r="FX265" s="189"/>
      <c r="FY265" s="189"/>
      <c r="FZ265" s="189"/>
      <c r="GA265" s="188"/>
      <c r="GB265" s="189"/>
      <c r="GC265" s="189"/>
      <c r="GD265" s="189"/>
      <c r="GE265" s="189"/>
      <c r="GF265" s="188"/>
      <c r="GG265" s="189"/>
      <c r="GH265" s="189"/>
      <c r="GI265" s="189"/>
      <c r="GJ265" s="189"/>
    </row>
    <row r="266" spans="3:192" ht="12.75" customHeight="1">
      <c r="C266" s="139"/>
      <c r="D266" s="105"/>
      <c r="E266" s="105"/>
      <c r="F266" s="105"/>
      <c r="G266" s="105"/>
      <c r="H266" s="139"/>
      <c r="I266" s="105"/>
      <c r="J266" s="105"/>
      <c r="K266" s="105"/>
      <c r="L266" s="105"/>
      <c r="M266" s="139"/>
      <c r="N266" s="105"/>
      <c r="O266" s="105"/>
      <c r="P266" s="105"/>
      <c r="Q266" s="105"/>
      <c r="R266" s="139"/>
      <c r="S266" s="105"/>
      <c r="T266" s="105"/>
      <c r="U266" s="105"/>
      <c r="V266" s="105"/>
      <c r="W266" s="139"/>
      <c r="X266" s="105"/>
      <c r="Y266" s="105"/>
      <c r="Z266" s="105"/>
      <c r="AA266" s="105"/>
      <c r="AB266" s="139"/>
      <c r="AC266" s="105"/>
      <c r="AD266" s="105"/>
      <c r="AE266" s="105"/>
      <c r="AF266" s="105"/>
      <c r="AG266" s="139"/>
      <c r="AH266" s="105"/>
      <c r="AI266" s="105"/>
      <c r="AJ266" s="105"/>
      <c r="AK266" s="105"/>
      <c r="AL266" s="139"/>
      <c r="AM266" s="105"/>
      <c r="AN266" s="105"/>
      <c r="AO266" s="105"/>
      <c r="AP266" s="105"/>
      <c r="AQ266" s="139"/>
      <c r="AR266" s="105"/>
      <c r="AS266" s="105"/>
      <c r="AT266" s="105"/>
      <c r="AU266" s="105"/>
      <c r="AV266" s="139"/>
      <c r="AW266" s="105"/>
      <c r="AX266" s="105"/>
      <c r="AY266" s="105"/>
      <c r="AZ266" s="105"/>
      <c r="BA266" s="139"/>
      <c r="BB266" s="105"/>
      <c r="BC266" s="105"/>
      <c r="BD266" s="105"/>
      <c r="BE266" s="105"/>
      <c r="BF266" s="139"/>
      <c r="BG266" s="105"/>
      <c r="BH266" s="105"/>
      <c r="BI266" s="105"/>
      <c r="BJ266" s="105"/>
      <c r="BK266" s="139"/>
      <c r="BL266" s="105"/>
      <c r="BM266" s="105"/>
      <c r="BN266" s="105"/>
      <c r="BO266" s="105"/>
      <c r="BP266" s="139"/>
      <c r="BQ266" s="105"/>
      <c r="BR266" s="105"/>
      <c r="BS266" s="105"/>
      <c r="BT266" s="105"/>
      <c r="BU266" s="139"/>
      <c r="BV266" s="105"/>
      <c r="BW266" s="105"/>
      <c r="BX266" s="105"/>
      <c r="BY266" s="105"/>
      <c r="BZ266" s="139"/>
      <c r="CA266" s="105"/>
      <c r="CB266" s="105"/>
      <c r="CC266" s="105"/>
      <c r="CD266" s="105"/>
      <c r="CE266" s="139"/>
      <c r="CF266" s="105"/>
      <c r="CG266" s="105"/>
      <c r="CH266" s="105"/>
      <c r="CI266" s="105"/>
      <c r="CJ266" s="139"/>
      <c r="CK266" s="105"/>
      <c r="CL266" s="105"/>
      <c r="CM266" s="105"/>
      <c r="CN266" s="105"/>
      <c r="CO266" s="139"/>
      <c r="CP266" s="105"/>
      <c r="CQ266" s="105"/>
      <c r="CR266" s="105"/>
      <c r="CS266" s="105"/>
      <c r="CT266" s="139"/>
      <c r="CU266" s="105"/>
      <c r="CV266" s="105"/>
      <c r="CW266" s="105"/>
      <c r="CX266" s="105"/>
      <c r="CY266" s="139"/>
      <c r="CZ266" s="105"/>
      <c r="DA266" s="105"/>
      <c r="DB266" s="105"/>
      <c r="DC266" s="105"/>
      <c r="DD266" s="139"/>
      <c r="DE266" s="105"/>
      <c r="DF266" s="105"/>
      <c r="DG266" s="105"/>
      <c r="DH266" s="105"/>
      <c r="DI266" s="139"/>
      <c r="DJ266" s="105"/>
      <c r="DK266" s="105"/>
      <c r="DL266" s="105"/>
      <c r="DM266" s="105"/>
      <c r="DN266" s="139"/>
      <c r="DO266" s="105"/>
      <c r="DP266" s="105"/>
      <c r="DQ266" s="105"/>
      <c r="DR266" s="105"/>
      <c r="DS266" s="139"/>
      <c r="DT266" s="105"/>
      <c r="DU266" s="105"/>
      <c r="DV266" s="105"/>
      <c r="DW266" s="105"/>
      <c r="DX266" s="139"/>
      <c r="DY266" s="105"/>
      <c r="DZ266" s="105"/>
      <c r="EA266" s="105"/>
      <c r="EB266" s="105"/>
      <c r="EC266" s="139"/>
      <c r="ED266" s="105"/>
      <c r="EE266" s="105"/>
      <c r="EF266" s="105"/>
      <c r="EG266" s="105"/>
      <c r="EH266" s="139"/>
      <c r="EI266" s="105"/>
      <c r="EJ266" s="105"/>
      <c r="EK266" s="105"/>
      <c r="EL266" s="105"/>
      <c r="EM266" s="139"/>
      <c r="EN266" s="105"/>
      <c r="EO266" s="105"/>
      <c r="EP266" s="105"/>
      <c r="EQ266" s="105"/>
      <c r="ER266" s="139"/>
      <c r="ES266" s="105"/>
      <c r="ET266" s="105"/>
      <c r="EU266" s="105"/>
      <c r="EV266" s="105"/>
      <c r="EW266" s="139"/>
      <c r="EX266" s="105"/>
      <c r="EY266" s="105"/>
      <c r="EZ266" s="105"/>
      <c r="FA266" s="105"/>
      <c r="FB266" s="139"/>
      <c r="FC266" s="105"/>
      <c r="FD266" s="105"/>
      <c r="FE266" s="105"/>
      <c r="FF266" s="105"/>
      <c r="FG266" s="139"/>
      <c r="FH266" s="105"/>
      <c r="FI266" s="105"/>
      <c r="FJ266" s="105"/>
      <c r="FK266" s="105"/>
      <c r="FL266" s="139"/>
      <c r="FM266" s="105"/>
      <c r="FN266" s="105"/>
      <c r="FO266" s="105"/>
      <c r="FP266" s="105"/>
      <c r="FQ266" s="139"/>
      <c r="FR266" s="105"/>
      <c r="FS266" s="105"/>
      <c r="FT266" s="105"/>
      <c r="FU266" s="105"/>
      <c r="FV266" s="139"/>
      <c r="FW266" s="105"/>
      <c r="FX266" s="105"/>
      <c r="FY266" s="105"/>
      <c r="FZ266" s="105"/>
      <c r="GA266" s="139"/>
      <c r="GB266" s="105"/>
      <c r="GC266" s="105"/>
      <c r="GD266" s="105"/>
      <c r="GE266" s="105"/>
      <c r="GF266" s="139"/>
      <c r="GG266" s="105"/>
      <c r="GH266" s="105"/>
      <c r="GI266" s="105"/>
      <c r="GJ266" s="105"/>
    </row>
    <row r="269" spans="3:192" ht="12.75" customHeight="1">
      <c r="C269" s="176"/>
      <c r="D269" s="177"/>
      <c r="E269" s="177"/>
      <c r="F269" s="177"/>
      <c r="G269" s="177"/>
      <c r="H269" s="176"/>
      <c r="I269" s="177"/>
      <c r="J269" s="177"/>
      <c r="K269" s="177"/>
      <c r="L269" s="177"/>
      <c r="M269" s="176"/>
      <c r="N269" s="177"/>
      <c r="O269" s="177"/>
      <c r="P269" s="177"/>
      <c r="Q269" s="177"/>
      <c r="R269" s="176"/>
      <c r="S269" s="177"/>
      <c r="T269" s="177"/>
      <c r="U269" s="177"/>
      <c r="V269" s="177"/>
      <c r="W269" s="176"/>
      <c r="X269" s="177"/>
      <c r="Y269" s="177"/>
      <c r="Z269" s="177"/>
      <c r="AA269" s="177"/>
      <c r="AB269" s="176"/>
      <c r="AC269" s="177"/>
      <c r="AD269" s="177"/>
      <c r="AE269" s="177"/>
      <c r="AF269" s="177"/>
      <c r="AG269" s="176"/>
      <c r="AH269" s="177"/>
      <c r="AI269" s="177"/>
      <c r="AJ269" s="177"/>
      <c r="AK269" s="177"/>
      <c r="AL269" s="176"/>
      <c r="AM269" s="177"/>
      <c r="AN269" s="177"/>
      <c r="AO269" s="177"/>
      <c r="AP269" s="177"/>
      <c r="AQ269" s="176"/>
      <c r="AR269" s="177"/>
      <c r="AS269" s="177"/>
      <c r="AT269" s="177"/>
      <c r="AU269" s="177"/>
      <c r="AV269" s="176"/>
      <c r="AW269" s="177"/>
      <c r="AX269" s="177"/>
      <c r="AY269" s="177"/>
      <c r="AZ269" s="177"/>
      <c r="BA269" s="176"/>
      <c r="BB269" s="177"/>
      <c r="BC269" s="177"/>
      <c r="BD269" s="177"/>
      <c r="BE269" s="177"/>
      <c r="BF269" s="176"/>
      <c r="BG269" s="177"/>
      <c r="BH269" s="177"/>
      <c r="BI269" s="177"/>
      <c r="BJ269" s="177"/>
      <c r="BK269" s="176"/>
      <c r="BL269" s="177"/>
      <c r="BM269" s="177"/>
      <c r="BN269" s="177"/>
      <c r="BO269" s="177"/>
      <c r="BP269" s="176"/>
      <c r="BQ269" s="177"/>
      <c r="BR269" s="177"/>
      <c r="BS269" s="177"/>
      <c r="BT269" s="177"/>
      <c r="BU269" s="176"/>
      <c r="BV269" s="177"/>
      <c r="BW269" s="177"/>
      <c r="BX269" s="177"/>
      <c r="BY269" s="177"/>
      <c r="BZ269" s="176"/>
      <c r="CA269" s="177"/>
      <c r="CB269" s="177"/>
      <c r="CC269" s="177"/>
      <c r="CD269" s="177"/>
      <c r="CE269" s="176"/>
      <c r="CF269" s="177"/>
      <c r="CG269" s="177"/>
      <c r="CH269" s="177"/>
      <c r="CI269" s="177"/>
      <c r="CJ269" s="176"/>
      <c r="CK269" s="177"/>
      <c r="CL269" s="177"/>
      <c r="CM269" s="177"/>
      <c r="CN269" s="177"/>
      <c r="CO269" s="176"/>
      <c r="CP269" s="177"/>
      <c r="CQ269" s="177"/>
      <c r="CR269" s="177"/>
      <c r="CS269" s="177"/>
      <c r="CT269" s="176"/>
      <c r="CU269" s="177"/>
      <c r="CV269" s="177"/>
      <c r="CW269" s="177"/>
      <c r="CX269" s="177"/>
      <c r="CY269" s="176"/>
      <c r="CZ269" s="177"/>
      <c r="DA269" s="177"/>
      <c r="DB269" s="177"/>
      <c r="DC269" s="177"/>
      <c r="DD269" s="176"/>
      <c r="DE269" s="177"/>
      <c r="DF269" s="177"/>
      <c r="DG269" s="177"/>
      <c r="DH269" s="177"/>
      <c r="DI269" s="176"/>
      <c r="DJ269" s="177"/>
      <c r="DK269" s="177"/>
      <c r="DL269" s="177"/>
      <c r="DM269" s="177"/>
      <c r="DN269" s="176"/>
      <c r="DO269" s="177"/>
      <c r="DP269" s="177"/>
      <c r="DQ269" s="177"/>
      <c r="DR269" s="177"/>
      <c r="DS269" s="176"/>
      <c r="DT269" s="177"/>
      <c r="DU269" s="177"/>
      <c r="DV269" s="177"/>
      <c r="DW269" s="177"/>
      <c r="DX269" s="176"/>
      <c r="DY269" s="177"/>
      <c r="DZ269" s="177"/>
      <c r="EA269" s="177"/>
      <c r="EB269" s="177"/>
      <c r="EC269" s="176"/>
      <c r="ED269" s="177"/>
      <c r="EE269" s="177"/>
      <c r="EF269" s="177"/>
      <c r="EG269" s="177"/>
      <c r="EH269" s="176"/>
      <c r="EI269" s="177"/>
      <c r="EJ269" s="177"/>
      <c r="EK269" s="177"/>
      <c r="EL269" s="177"/>
      <c r="EM269" s="176"/>
      <c r="EN269" s="177"/>
      <c r="EO269" s="177"/>
      <c r="EP269" s="177"/>
      <c r="EQ269" s="177"/>
      <c r="ER269" s="176"/>
      <c r="ES269" s="177"/>
      <c r="ET269" s="177"/>
      <c r="EU269" s="177"/>
      <c r="EV269" s="177"/>
      <c r="EW269" s="176"/>
      <c r="EX269" s="177"/>
      <c r="EY269" s="177"/>
      <c r="EZ269" s="177"/>
      <c r="FA269" s="177"/>
      <c r="FB269" s="176"/>
      <c r="FC269" s="177"/>
      <c r="FD269" s="177"/>
      <c r="FE269" s="177"/>
      <c r="FF269" s="177"/>
      <c r="FG269" s="176"/>
      <c r="FH269" s="177"/>
      <c r="FI269" s="177"/>
      <c r="FJ269" s="177"/>
      <c r="FK269" s="177"/>
      <c r="FL269" s="176"/>
      <c r="FM269" s="177"/>
      <c r="FN269" s="177"/>
      <c r="FO269" s="177"/>
      <c r="FP269" s="177"/>
      <c r="FQ269" s="176"/>
      <c r="FR269" s="177"/>
      <c r="FS269" s="177"/>
      <c r="FT269" s="177"/>
      <c r="FU269" s="177"/>
      <c r="FV269" s="176"/>
      <c r="FW269" s="177"/>
      <c r="FX269" s="177"/>
      <c r="FY269" s="177"/>
      <c r="FZ269" s="177"/>
      <c r="GA269" s="176"/>
      <c r="GB269" s="177"/>
      <c r="GC269" s="177"/>
      <c r="GD269" s="177"/>
      <c r="GE269" s="177"/>
      <c r="GF269" s="176"/>
      <c r="GG269" s="177"/>
      <c r="GH269" s="177"/>
      <c r="GI269" s="177"/>
      <c r="GJ269" s="177"/>
    </row>
    <row r="270" spans="3:192" ht="12.75" customHeight="1">
      <c r="C270" s="106"/>
      <c r="D270" s="107"/>
      <c r="E270" s="107"/>
      <c r="F270" s="107"/>
      <c r="G270" s="107"/>
      <c r="H270" s="106"/>
      <c r="I270" s="107"/>
      <c r="J270" s="107"/>
      <c r="K270" s="107"/>
      <c r="L270" s="107"/>
      <c r="M270" s="106"/>
      <c r="N270" s="107"/>
      <c r="O270" s="107"/>
      <c r="P270" s="107"/>
      <c r="Q270" s="107"/>
      <c r="R270" s="106"/>
      <c r="S270" s="107"/>
      <c r="T270" s="107"/>
      <c r="U270" s="107"/>
      <c r="V270" s="107"/>
      <c r="W270" s="106"/>
      <c r="X270" s="107"/>
      <c r="Y270" s="107"/>
      <c r="Z270" s="107"/>
      <c r="AA270" s="107"/>
      <c r="AB270" s="106"/>
      <c r="AC270" s="107"/>
      <c r="AD270" s="107"/>
      <c r="AE270" s="107"/>
      <c r="AF270" s="107"/>
      <c r="AG270" s="106"/>
      <c r="AH270" s="107"/>
      <c r="AI270" s="107"/>
      <c r="AJ270" s="107"/>
      <c r="AK270" s="107"/>
      <c r="AL270" s="106"/>
      <c r="AM270" s="107"/>
      <c r="AN270" s="107"/>
      <c r="AO270" s="107"/>
      <c r="AP270" s="107"/>
      <c r="AQ270" s="106"/>
      <c r="AR270" s="107"/>
      <c r="AS270" s="107"/>
      <c r="AT270" s="107"/>
      <c r="AU270" s="107"/>
      <c r="AV270" s="106"/>
      <c r="AW270" s="107"/>
      <c r="AX270" s="107"/>
      <c r="AY270" s="107"/>
      <c r="AZ270" s="107"/>
      <c r="BA270" s="106"/>
      <c r="BB270" s="107"/>
      <c r="BC270" s="107"/>
      <c r="BD270" s="107"/>
      <c r="BE270" s="107"/>
      <c r="BF270" s="106"/>
      <c r="BG270" s="107"/>
      <c r="BH270" s="107"/>
      <c r="BI270" s="107"/>
      <c r="BJ270" s="107"/>
      <c r="BK270" s="106"/>
      <c r="BL270" s="107"/>
      <c r="BM270" s="107"/>
      <c r="BN270" s="107"/>
      <c r="BO270" s="107"/>
      <c r="BP270" s="106"/>
      <c r="BQ270" s="107"/>
      <c r="BR270" s="107"/>
      <c r="BS270" s="107"/>
      <c r="BT270" s="107"/>
      <c r="BU270" s="106"/>
      <c r="BV270" s="107"/>
      <c r="BW270" s="107"/>
      <c r="BX270" s="107"/>
      <c r="BY270" s="107"/>
      <c r="BZ270" s="106"/>
      <c r="CA270" s="107"/>
      <c r="CB270" s="107"/>
      <c r="CC270" s="107"/>
      <c r="CD270" s="107"/>
      <c r="CE270" s="106"/>
      <c r="CF270" s="107"/>
      <c r="CG270" s="107"/>
      <c r="CH270" s="107"/>
      <c r="CI270" s="107"/>
      <c r="CJ270" s="106"/>
      <c r="CK270" s="107"/>
      <c r="CL270" s="107"/>
      <c r="CM270" s="107"/>
      <c r="CN270" s="107"/>
      <c r="CO270" s="106"/>
      <c r="CP270" s="107"/>
      <c r="CQ270" s="107"/>
      <c r="CR270" s="107"/>
      <c r="CS270" s="107"/>
      <c r="CT270" s="106"/>
      <c r="CU270" s="107"/>
      <c r="CV270" s="107"/>
      <c r="CW270" s="107"/>
      <c r="CX270" s="107"/>
      <c r="CY270" s="106"/>
      <c r="CZ270" s="107"/>
      <c r="DA270" s="107"/>
      <c r="DB270" s="107"/>
      <c r="DC270" s="107"/>
      <c r="DD270" s="106"/>
      <c r="DE270" s="107"/>
      <c r="DF270" s="107"/>
      <c r="DG270" s="107"/>
      <c r="DH270" s="107"/>
      <c r="DI270" s="106"/>
      <c r="DJ270" s="107"/>
      <c r="DK270" s="107"/>
      <c r="DL270" s="107"/>
      <c r="DM270" s="107"/>
      <c r="DN270" s="106"/>
      <c r="DO270" s="107"/>
      <c r="DP270" s="107"/>
      <c r="DQ270" s="107"/>
      <c r="DR270" s="107"/>
      <c r="DS270" s="106"/>
      <c r="DT270" s="107"/>
      <c r="DU270" s="107"/>
      <c r="DV270" s="107"/>
      <c r="DW270" s="107"/>
      <c r="DX270" s="106"/>
      <c r="DY270" s="107"/>
      <c r="DZ270" s="107"/>
      <c r="EA270" s="107"/>
      <c r="EB270" s="107"/>
      <c r="EC270" s="106"/>
      <c r="ED270" s="107"/>
      <c r="EE270" s="107"/>
      <c r="EF270" s="107"/>
      <c r="EG270" s="107"/>
      <c r="EH270" s="106"/>
      <c r="EI270" s="107"/>
      <c r="EJ270" s="107"/>
      <c r="EK270" s="107"/>
      <c r="EL270" s="107"/>
      <c r="EM270" s="106"/>
      <c r="EN270" s="107"/>
      <c r="EO270" s="107"/>
      <c r="EP270" s="107"/>
      <c r="EQ270" s="107"/>
      <c r="ER270" s="106"/>
      <c r="ES270" s="107"/>
      <c r="ET270" s="107"/>
      <c r="EU270" s="107"/>
      <c r="EV270" s="107"/>
      <c r="EW270" s="106"/>
      <c r="EX270" s="107"/>
      <c r="EY270" s="107"/>
      <c r="EZ270" s="107"/>
      <c r="FA270" s="107"/>
      <c r="FB270" s="106"/>
      <c r="FC270" s="107"/>
      <c r="FD270" s="107"/>
      <c r="FE270" s="107"/>
      <c r="FF270" s="107"/>
      <c r="FG270" s="106"/>
      <c r="FH270" s="107"/>
      <c r="FI270" s="107"/>
      <c r="FJ270" s="107"/>
      <c r="FK270" s="107"/>
      <c r="FL270" s="106"/>
      <c r="FM270" s="107"/>
      <c r="FN270" s="107"/>
      <c r="FO270" s="107"/>
      <c r="FP270" s="107"/>
      <c r="FQ270" s="106"/>
      <c r="FR270" s="107"/>
      <c r="FS270" s="107"/>
      <c r="FT270" s="107"/>
      <c r="FU270" s="107"/>
      <c r="FV270" s="106"/>
      <c r="FW270" s="107"/>
      <c r="FX270" s="107"/>
      <c r="FY270" s="107"/>
      <c r="FZ270" s="107"/>
      <c r="GA270" s="106"/>
      <c r="GB270" s="107"/>
      <c r="GC270" s="107"/>
      <c r="GD270" s="107"/>
      <c r="GE270" s="107"/>
      <c r="GF270" s="106"/>
      <c r="GG270" s="107"/>
      <c r="GH270" s="107"/>
      <c r="GI270" s="107"/>
      <c r="GJ270" s="107"/>
    </row>
    <row r="271" spans="3:192" ht="12.75" customHeight="1">
      <c r="C271" s="106"/>
      <c r="D271" s="107"/>
      <c r="E271" s="107"/>
      <c r="F271" s="107"/>
      <c r="G271" s="107"/>
      <c r="H271" s="106"/>
      <c r="I271" s="107"/>
      <c r="J271" s="107"/>
      <c r="K271" s="107"/>
      <c r="L271" s="107"/>
      <c r="M271" s="106"/>
      <c r="N271" s="107"/>
      <c r="O271" s="107"/>
      <c r="P271" s="107"/>
      <c r="Q271" s="107"/>
      <c r="R271" s="106"/>
      <c r="S271" s="107"/>
      <c r="T271" s="107"/>
      <c r="U271" s="107"/>
      <c r="V271" s="107"/>
      <c r="W271" s="106"/>
      <c r="X271" s="107"/>
      <c r="Y271" s="107"/>
      <c r="Z271" s="107"/>
      <c r="AA271" s="107"/>
      <c r="AB271" s="106"/>
      <c r="AC271" s="107"/>
      <c r="AD271" s="107"/>
      <c r="AE271" s="107"/>
      <c r="AF271" s="107"/>
      <c r="AG271" s="106"/>
      <c r="AH271" s="107"/>
      <c r="AI271" s="107"/>
      <c r="AJ271" s="107"/>
      <c r="AK271" s="107"/>
      <c r="AL271" s="106"/>
      <c r="AM271" s="107"/>
      <c r="AN271" s="107"/>
      <c r="AO271" s="107"/>
      <c r="AP271" s="107"/>
      <c r="AQ271" s="106"/>
      <c r="AR271" s="107"/>
      <c r="AS271" s="107"/>
      <c r="AT271" s="107"/>
      <c r="AU271" s="107"/>
      <c r="AV271" s="106"/>
      <c r="AW271" s="107"/>
      <c r="AX271" s="107"/>
      <c r="AY271" s="107"/>
      <c r="AZ271" s="107"/>
      <c r="BA271" s="106"/>
      <c r="BB271" s="107"/>
      <c r="BC271" s="107"/>
      <c r="BD271" s="107"/>
      <c r="BE271" s="107"/>
      <c r="BF271" s="106"/>
      <c r="BG271" s="107"/>
      <c r="BH271" s="107"/>
      <c r="BI271" s="107"/>
      <c r="BJ271" s="107"/>
      <c r="BK271" s="106"/>
      <c r="BL271" s="107"/>
      <c r="BM271" s="107"/>
      <c r="BN271" s="107"/>
      <c r="BO271" s="107"/>
      <c r="BP271" s="106"/>
      <c r="BQ271" s="107"/>
      <c r="BR271" s="107"/>
      <c r="BS271" s="107"/>
      <c r="BT271" s="107"/>
      <c r="BU271" s="106"/>
      <c r="BV271" s="107"/>
      <c r="BW271" s="107"/>
      <c r="BX271" s="107"/>
      <c r="BY271" s="107"/>
      <c r="BZ271" s="106"/>
      <c r="CA271" s="107"/>
      <c r="CB271" s="107"/>
      <c r="CC271" s="107"/>
      <c r="CD271" s="107"/>
      <c r="CE271" s="106"/>
      <c r="CF271" s="107"/>
      <c r="CG271" s="107"/>
      <c r="CH271" s="107"/>
      <c r="CI271" s="107"/>
      <c r="CJ271" s="106"/>
      <c r="CK271" s="107"/>
      <c r="CL271" s="107"/>
      <c r="CM271" s="107"/>
      <c r="CN271" s="107"/>
      <c r="CO271" s="106"/>
      <c r="CP271" s="107"/>
      <c r="CQ271" s="107"/>
      <c r="CR271" s="107"/>
      <c r="CS271" s="107"/>
      <c r="CT271" s="106"/>
      <c r="CU271" s="107"/>
      <c r="CV271" s="107"/>
      <c r="CW271" s="107"/>
      <c r="CX271" s="107"/>
      <c r="CY271" s="106"/>
      <c r="CZ271" s="107"/>
      <c r="DA271" s="107"/>
      <c r="DB271" s="107"/>
      <c r="DC271" s="107"/>
      <c r="DD271" s="106"/>
      <c r="DE271" s="107"/>
      <c r="DF271" s="107"/>
      <c r="DG271" s="107"/>
      <c r="DH271" s="107"/>
      <c r="DI271" s="106"/>
      <c r="DJ271" s="107"/>
      <c r="DK271" s="107"/>
      <c r="DL271" s="107"/>
      <c r="DM271" s="107"/>
      <c r="DN271" s="106"/>
      <c r="DO271" s="107"/>
      <c r="DP271" s="107"/>
      <c r="DQ271" s="107"/>
      <c r="DR271" s="107"/>
      <c r="DS271" s="106"/>
      <c r="DT271" s="107"/>
      <c r="DU271" s="107"/>
      <c r="DV271" s="107"/>
      <c r="DW271" s="107"/>
      <c r="DX271" s="106"/>
      <c r="DY271" s="107"/>
      <c r="DZ271" s="107"/>
      <c r="EA271" s="107"/>
      <c r="EB271" s="107"/>
      <c r="EC271" s="106"/>
      <c r="ED271" s="107"/>
      <c r="EE271" s="107"/>
      <c r="EF271" s="107"/>
      <c r="EG271" s="107"/>
      <c r="EH271" s="106"/>
      <c r="EI271" s="107"/>
      <c r="EJ271" s="107"/>
      <c r="EK271" s="107"/>
      <c r="EL271" s="107"/>
      <c r="EM271" s="106"/>
      <c r="EN271" s="107"/>
      <c r="EO271" s="107"/>
      <c r="EP271" s="107"/>
      <c r="EQ271" s="107"/>
      <c r="ER271" s="106"/>
      <c r="ES271" s="107"/>
      <c r="ET271" s="107"/>
      <c r="EU271" s="107"/>
      <c r="EV271" s="107"/>
      <c r="EW271" s="106"/>
      <c r="EX271" s="107"/>
      <c r="EY271" s="107"/>
      <c r="EZ271" s="107"/>
      <c r="FA271" s="107"/>
      <c r="FB271" s="106"/>
      <c r="FC271" s="107"/>
      <c r="FD271" s="107"/>
      <c r="FE271" s="107"/>
      <c r="FF271" s="107"/>
      <c r="FG271" s="106"/>
      <c r="FH271" s="107"/>
      <c r="FI271" s="107"/>
      <c r="FJ271" s="107"/>
      <c r="FK271" s="107"/>
      <c r="FL271" s="106"/>
      <c r="FM271" s="107"/>
      <c r="FN271" s="107"/>
      <c r="FO271" s="107"/>
      <c r="FP271" s="107"/>
      <c r="FQ271" s="106"/>
      <c r="FR271" s="107"/>
      <c r="FS271" s="107"/>
      <c r="FT271" s="107"/>
      <c r="FU271" s="107"/>
      <c r="FV271" s="106"/>
      <c r="FW271" s="107"/>
      <c r="FX271" s="107"/>
      <c r="FY271" s="107"/>
      <c r="FZ271" s="107"/>
      <c r="GA271" s="106"/>
      <c r="GB271" s="107"/>
      <c r="GC271" s="107"/>
      <c r="GD271" s="107"/>
      <c r="GE271" s="107"/>
      <c r="GF271" s="106"/>
      <c r="GG271" s="107"/>
      <c r="GH271" s="107"/>
      <c r="GI271" s="107"/>
      <c r="GJ271" s="107"/>
    </row>
    <row r="272" spans="3:192" ht="12.75" customHeight="1">
      <c r="C272" s="187"/>
      <c r="D272" s="180"/>
      <c r="E272" s="180"/>
      <c r="F272" s="180"/>
      <c r="G272" s="180"/>
      <c r="H272" s="187"/>
      <c r="I272" s="180"/>
      <c r="J272" s="180"/>
      <c r="K272" s="180"/>
      <c r="L272" s="180"/>
      <c r="M272" s="187"/>
      <c r="N272" s="180"/>
      <c r="O272" s="180"/>
      <c r="P272" s="180"/>
      <c r="Q272" s="180"/>
      <c r="R272" s="187"/>
      <c r="S272" s="180"/>
      <c r="T272" s="180"/>
      <c r="U272" s="180"/>
      <c r="V272" s="180"/>
      <c r="W272" s="187"/>
      <c r="X272" s="180"/>
      <c r="Y272" s="180"/>
      <c r="Z272" s="180"/>
      <c r="AA272" s="180"/>
      <c r="AB272" s="187"/>
      <c r="AC272" s="180"/>
      <c r="AD272" s="180"/>
      <c r="AE272" s="180"/>
      <c r="AF272" s="180"/>
      <c r="AG272" s="187"/>
      <c r="AH272" s="180"/>
      <c r="AI272" s="180"/>
      <c r="AJ272" s="180"/>
      <c r="AK272" s="180"/>
      <c r="AL272" s="187"/>
      <c r="AM272" s="180"/>
      <c r="AN272" s="180"/>
      <c r="AO272" s="180"/>
      <c r="AP272" s="180"/>
      <c r="AQ272" s="187"/>
      <c r="AR272" s="180"/>
      <c r="AS272" s="180"/>
      <c r="AT272" s="180"/>
      <c r="AU272" s="180"/>
      <c r="AV272" s="187"/>
      <c r="AW272" s="180"/>
      <c r="AX272" s="180"/>
      <c r="AY272" s="180"/>
      <c r="AZ272" s="180"/>
      <c r="BA272" s="187"/>
      <c r="BB272" s="180"/>
      <c r="BC272" s="180"/>
      <c r="BD272" s="180"/>
      <c r="BE272" s="180"/>
      <c r="BF272" s="187"/>
      <c r="BG272" s="180"/>
      <c r="BH272" s="180"/>
      <c r="BI272" s="180"/>
      <c r="BJ272" s="180"/>
      <c r="BK272" s="187"/>
      <c r="BL272" s="180"/>
      <c r="BM272" s="180"/>
      <c r="BN272" s="180"/>
      <c r="BO272" s="180"/>
      <c r="BP272" s="187"/>
      <c r="BQ272" s="180"/>
      <c r="BR272" s="180"/>
      <c r="BS272" s="180"/>
      <c r="BT272" s="180"/>
      <c r="BU272" s="187"/>
      <c r="BV272" s="180"/>
      <c r="BW272" s="180"/>
      <c r="BX272" s="180"/>
      <c r="BY272" s="180"/>
      <c r="BZ272" s="187"/>
      <c r="CA272" s="180"/>
      <c r="CB272" s="180"/>
      <c r="CC272" s="180"/>
      <c r="CD272" s="180"/>
      <c r="CE272" s="187"/>
      <c r="CF272" s="180"/>
      <c r="CG272" s="180"/>
      <c r="CH272" s="180"/>
      <c r="CI272" s="180"/>
      <c r="CJ272" s="187"/>
      <c r="CK272" s="180"/>
      <c r="CL272" s="180"/>
      <c r="CM272" s="180"/>
      <c r="CN272" s="180"/>
      <c r="CO272" s="187"/>
      <c r="CP272" s="180"/>
      <c r="CQ272" s="180"/>
      <c r="CR272" s="180"/>
      <c r="CS272" s="180"/>
      <c r="CT272" s="187"/>
      <c r="CU272" s="180"/>
      <c r="CV272" s="180"/>
      <c r="CW272" s="180"/>
      <c r="CX272" s="180"/>
      <c r="CY272" s="187"/>
      <c r="CZ272" s="180"/>
      <c r="DA272" s="180"/>
      <c r="DB272" s="180"/>
      <c r="DC272" s="180"/>
      <c r="DD272" s="187"/>
      <c r="DE272" s="180"/>
      <c r="DF272" s="180"/>
      <c r="DG272" s="180"/>
      <c r="DH272" s="180"/>
      <c r="DI272" s="187"/>
      <c r="DJ272" s="180"/>
      <c r="DK272" s="180"/>
      <c r="DL272" s="180"/>
      <c r="DM272" s="180"/>
      <c r="DN272" s="187"/>
      <c r="DO272" s="180"/>
      <c r="DP272" s="180"/>
      <c r="DQ272" s="180"/>
      <c r="DR272" s="180"/>
      <c r="DS272" s="187"/>
      <c r="DT272" s="180"/>
      <c r="DU272" s="180"/>
      <c r="DV272" s="180"/>
      <c r="DW272" s="180"/>
      <c r="DX272" s="187"/>
      <c r="DY272" s="180"/>
      <c r="DZ272" s="180"/>
      <c r="EA272" s="180"/>
      <c r="EB272" s="180"/>
      <c r="EC272" s="187"/>
      <c r="ED272" s="180"/>
      <c r="EE272" s="180"/>
      <c r="EF272" s="180"/>
      <c r="EG272" s="180"/>
      <c r="EH272" s="187"/>
      <c r="EI272" s="180"/>
      <c r="EJ272" s="180"/>
      <c r="EK272" s="180"/>
      <c r="EL272" s="180"/>
      <c r="EM272" s="187"/>
      <c r="EN272" s="180"/>
      <c r="EO272" s="180"/>
      <c r="EP272" s="180"/>
      <c r="EQ272" s="180"/>
      <c r="ER272" s="187"/>
      <c r="ES272" s="180"/>
      <c r="ET272" s="180"/>
      <c r="EU272" s="180"/>
      <c r="EV272" s="180"/>
      <c r="EW272" s="187"/>
      <c r="EX272" s="180"/>
      <c r="EY272" s="180"/>
      <c r="EZ272" s="180"/>
      <c r="FA272" s="180"/>
      <c r="FB272" s="187"/>
      <c r="FC272" s="180"/>
      <c r="FD272" s="180"/>
      <c r="FE272" s="180"/>
      <c r="FF272" s="180"/>
      <c r="FG272" s="187"/>
      <c r="FH272" s="180"/>
      <c r="FI272" s="180"/>
      <c r="FJ272" s="180"/>
      <c r="FK272" s="180"/>
      <c r="FL272" s="187"/>
      <c r="FM272" s="180"/>
      <c r="FN272" s="180"/>
      <c r="FO272" s="180"/>
      <c r="FP272" s="180"/>
      <c r="FQ272" s="187"/>
      <c r="FR272" s="180"/>
      <c r="FS272" s="180"/>
      <c r="FT272" s="180"/>
      <c r="FU272" s="180"/>
      <c r="FV272" s="187"/>
      <c r="FW272" s="180"/>
      <c r="FX272" s="180"/>
      <c r="FY272" s="180"/>
      <c r="FZ272" s="180"/>
      <c r="GA272" s="187"/>
      <c r="GB272" s="180"/>
      <c r="GC272" s="180"/>
      <c r="GD272" s="180"/>
      <c r="GE272" s="180"/>
      <c r="GF272" s="187"/>
      <c r="GG272" s="180"/>
      <c r="GH272" s="180"/>
      <c r="GI272" s="180"/>
      <c r="GJ272" s="180"/>
    </row>
    <row r="273" spans="3:192" ht="12.75" customHeight="1">
      <c r="C273" s="181"/>
      <c r="D273" s="182"/>
      <c r="E273" s="182"/>
      <c r="F273" s="182"/>
      <c r="G273" s="182"/>
      <c r="H273" s="181"/>
      <c r="I273" s="182"/>
      <c r="J273" s="182"/>
      <c r="K273" s="182"/>
      <c r="L273" s="182"/>
      <c r="M273" s="181"/>
      <c r="N273" s="182"/>
      <c r="O273" s="182"/>
      <c r="P273" s="182"/>
      <c r="Q273" s="182"/>
      <c r="R273" s="181"/>
      <c r="S273" s="182"/>
      <c r="T273" s="182"/>
      <c r="U273" s="182"/>
      <c r="V273" s="182"/>
      <c r="W273" s="181"/>
      <c r="X273" s="182"/>
      <c r="Y273" s="182"/>
      <c r="Z273" s="182"/>
      <c r="AA273" s="182"/>
      <c r="AB273" s="181"/>
      <c r="AC273" s="182"/>
      <c r="AD273" s="182"/>
      <c r="AE273" s="182"/>
      <c r="AF273" s="182"/>
      <c r="AG273" s="181"/>
      <c r="AH273" s="182"/>
      <c r="AI273" s="182"/>
      <c r="AJ273" s="182"/>
      <c r="AK273" s="182"/>
      <c r="AL273" s="181"/>
      <c r="AM273" s="182"/>
      <c r="AN273" s="182"/>
      <c r="AO273" s="182"/>
      <c r="AP273" s="182"/>
      <c r="AQ273" s="181"/>
      <c r="AR273" s="182"/>
      <c r="AS273" s="182"/>
      <c r="AT273" s="182"/>
      <c r="AU273" s="182"/>
      <c r="AV273" s="181"/>
      <c r="AW273" s="182"/>
      <c r="AX273" s="182"/>
      <c r="AY273" s="182"/>
      <c r="AZ273" s="182"/>
      <c r="BA273" s="181"/>
      <c r="BB273" s="182"/>
      <c r="BC273" s="182"/>
      <c r="BD273" s="182"/>
      <c r="BE273" s="182"/>
      <c r="BF273" s="181"/>
      <c r="BG273" s="182"/>
      <c r="BH273" s="182"/>
      <c r="BI273" s="182"/>
      <c r="BJ273" s="182"/>
      <c r="BK273" s="181"/>
      <c r="BL273" s="182"/>
      <c r="BM273" s="182"/>
      <c r="BN273" s="182"/>
      <c r="BO273" s="182"/>
      <c r="BP273" s="181"/>
      <c r="BQ273" s="182"/>
      <c r="BR273" s="182"/>
      <c r="BS273" s="182"/>
      <c r="BT273" s="182"/>
      <c r="BU273" s="181"/>
      <c r="BV273" s="182"/>
      <c r="BW273" s="182"/>
      <c r="BX273" s="182"/>
      <c r="BY273" s="182"/>
      <c r="BZ273" s="181"/>
      <c r="CA273" s="182"/>
      <c r="CB273" s="182"/>
      <c r="CC273" s="182"/>
      <c r="CD273" s="182"/>
      <c r="CE273" s="181"/>
      <c r="CF273" s="182"/>
      <c r="CG273" s="182"/>
      <c r="CH273" s="182"/>
      <c r="CI273" s="182"/>
      <c r="CJ273" s="181"/>
      <c r="CK273" s="182"/>
      <c r="CL273" s="182"/>
      <c r="CM273" s="182"/>
      <c r="CN273" s="182"/>
      <c r="CO273" s="181"/>
      <c r="CP273" s="182"/>
      <c r="CQ273" s="182"/>
      <c r="CR273" s="182"/>
      <c r="CS273" s="182"/>
      <c r="CT273" s="181"/>
      <c r="CU273" s="182"/>
      <c r="CV273" s="182"/>
      <c r="CW273" s="182"/>
      <c r="CX273" s="182"/>
      <c r="CY273" s="181"/>
      <c r="CZ273" s="182"/>
      <c r="DA273" s="182"/>
      <c r="DB273" s="182"/>
      <c r="DC273" s="182"/>
      <c r="DD273" s="181"/>
      <c r="DE273" s="182"/>
      <c r="DF273" s="182"/>
      <c r="DG273" s="182"/>
      <c r="DH273" s="182"/>
      <c r="DI273" s="181"/>
      <c r="DJ273" s="182"/>
      <c r="DK273" s="182"/>
      <c r="DL273" s="182"/>
      <c r="DM273" s="182"/>
      <c r="DN273" s="181"/>
      <c r="DO273" s="182"/>
      <c r="DP273" s="182"/>
      <c r="DQ273" s="182"/>
      <c r="DR273" s="182"/>
      <c r="DS273" s="181"/>
      <c r="DT273" s="182"/>
      <c r="DU273" s="182"/>
      <c r="DV273" s="182"/>
      <c r="DW273" s="182"/>
      <c r="DX273" s="181"/>
      <c r="DY273" s="182"/>
      <c r="DZ273" s="182"/>
      <c r="EA273" s="182"/>
      <c r="EB273" s="182"/>
      <c r="EC273" s="181"/>
      <c r="ED273" s="182"/>
      <c r="EE273" s="182"/>
      <c r="EF273" s="182"/>
      <c r="EG273" s="182"/>
      <c r="EH273" s="181"/>
      <c r="EI273" s="182"/>
      <c r="EJ273" s="182"/>
      <c r="EK273" s="182"/>
      <c r="EL273" s="182"/>
      <c r="EM273" s="181"/>
      <c r="EN273" s="182"/>
      <c r="EO273" s="182"/>
      <c r="EP273" s="182"/>
      <c r="EQ273" s="182"/>
      <c r="ER273" s="181"/>
      <c r="ES273" s="182"/>
      <c r="ET273" s="182"/>
      <c r="EU273" s="182"/>
      <c r="EV273" s="182"/>
      <c r="EW273" s="181"/>
      <c r="EX273" s="182"/>
      <c r="EY273" s="182"/>
      <c r="EZ273" s="182"/>
      <c r="FA273" s="182"/>
      <c r="FB273" s="181"/>
      <c r="FC273" s="182"/>
      <c r="FD273" s="182"/>
      <c r="FE273" s="182"/>
      <c r="FF273" s="182"/>
      <c r="FG273" s="181"/>
      <c r="FH273" s="182"/>
      <c r="FI273" s="182"/>
      <c r="FJ273" s="182"/>
      <c r="FK273" s="182"/>
      <c r="FL273" s="181"/>
      <c r="FM273" s="182"/>
      <c r="FN273" s="182"/>
      <c r="FO273" s="182"/>
      <c r="FP273" s="182"/>
      <c r="FQ273" s="181"/>
      <c r="FR273" s="182"/>
      <c r="FS273" s="182"/>
      <c r="FT273" s="182"/>
      <c r="FU273" s="182"/>
      <c r="FV273" s="181"/>
      <c r="FW273" s="182"/>
      <c r="FX273" s="182"/>
      <c r="FY273" s="182"/>
      <c r="FZ273" s="182"/>
      <c r="GA273" s="181"/>
      <c r="GB273" s="182"/>
      <c r="GC273" s="182"/>
      <c r="GD273" s="182"/>
      <c r="GE273" s="182"/>
      <c r="GF273" s="181"/>
      <c r="GG273" s="182"/>
      <c r="GH273" s="182"/>
      <c r="GI273" s="182"/>
      <c r="GJ273" s="182"/>
    </row>
    <row r="274" spans="3:192" ht="12.75" customHeight="1">
      <c r="C274" s="106"/>
      <c r="D274" s="107"/>
      <c r="E274" s="107"/>
      <c r="F274" s="107"/>
      <c r="G274" s="107"/>
      <c r="H274" s="106"/>
      <c r="I274" s="107"/>
      <c r="J274" s="107"/>
      <c r="K274" s="107"/>
      <c r="L274" s="107"/>
      <c r="M274" s="106"/>
      <c r="N274" s="107"/>
      <c r="O274" s="107"/>
      <c r="P274" s="107"/>
      <c r="Q274" s="107"/>
      <c r="R274" s="106"/>
      <c r="S274" s="107"/>
      <c r="T274" s="107"/>
      <c r="U274" s="107"/>
      <c r="V274" s="107"/>
      <c r="W274" s="106"/>
      <c r="X274" s="107"/>
      <c r="Y274" s="107"/>
      <c r="Z274" s="107"/>
      <c r="AA274" s="107"/>
      <c r="AB274" s="106"/>
      <c r="AC274" s="107"/>
      <c r="AD274" s="107"/>
      <c r="AE274" s="107"/>
      <c r="AF274" s="107"/>
      <c r="AG274" s="106"/>
      <c r="AH274" s="107"/>
      <c r="AI274" s="107"/>
      <c r="AJ274" s="107"/>
      <c r="AK274" s="107"/>
      <c r="AL274" s="106"/>
      <c r="AM274" s="107"/>
      <c r="AN274" s="107"/>
      <c r="AO274" s="107"/>
      <c r="AP274" s="107"/>
      <c r="AQ274" s="106"/>
      <c r="AR274" s="107"/>
      <c r="AS274" s="107"/>
      <c r="AT274" s="107"/>
      <c r="AU274" s="107"/>
      <c r="AV274" s="106"/>
      <c r="AW274" s="107"/>
      <c r="AX274" s="107"/>
      <c r="AY274" s="107"/>
      <c r="AZ274" s="107"/>
      <c r="BA274" s="106"/>
      <c r="BB274" s="107"/>
      <c r="BC274" s="107"/>
      <c r="BD274" s="107"/>
      <c r="BE274" s="107"/>
      <c r="BF274" s="106"/>
      <c r="BG274" s="107"/>
      <c r="BH274" s="107"/>
      <c r="BI274" s="107"/>
      <c r="BJ274" s="107"/>
      <c r="BK274" s="106"/>
      <c r="BL274" s="107"/>
      <c r="BM274" s="107"/>
      <c r="BN274" s="107"/>
      <c r="BO274" s="107"/>
      <c r="BP274" s="106"/>
      <c r="BQ274" s="107"/>
      <c r="BR274" s="107"/>
      <c r="BS274" s="107"/>
      <c r="BT274" s="107"/>
      <c r="BU274" s="106"/>
      <c r="BV274" s="107"/>
      <c r="BW274" s="107"/>
      <c r="BX274" s="107"/>
      <c r="BY274" s="107"/>
      <c r="BZ274" s="106"/>
      <c r="CA274" s="107"/>
      <c r="CB274" s="107"/>
      <c r="CC274" s="107"/>
      <c r="CD274" s="107"/>
      <c r="CE274" s="106"/>
      <c r="CF274" s="107"/>
      <c r="CG274" s="107"/>
      <c r="CH274" s="107"/>
      <c r="CI274" s="107"/>
      <c r="CJ274" s="106"/>
      <c r="CK274" s="107"/>
      <c r="CL274" s="107"/>
      <c r="CM274" s="107"/>
      <c r="CN274" s="107"/>
      <c r="CO274" s="106"/>
      <c r="CP274" s="107"/>
      <c r="CQ274" s="107"/>
      <c r="CR274" s="107"/>
      <c r="CS274" s="107"/>
      <c r="CT274" s="106"/>
      <c r="CU274" s="107"/>
      <c r="CV274" s="107"/>
      <c r="CW274" s="107"/>
      <c r="CX274" s="107"/>
      <c r="CY274" s="106"/>
      <c r="CZ274" s="107"/>
      <c r="DA274" s="107"/>
      <c r="DB274" s="107"/>
      <c r="DC274" s="107"/>
      <c r="DD274" s="106"/>
      <c r="DE274" s="107"/>
      <c r="DF274" s="107"/>
      <c r="DG274" s="107"/>
      <c r="DH274" s="107"/>
      <c r="DI274" s="106"/>
      <c r="DJ274" s="107"/>
      <c r="DK274" s="107"/>
      <c r="DL274" s="107"/>
      <c r="DM274" s="107"/>
      <c r="DN274" s="106"/>
      <c r="DO274" s="107"/>
      <c r="DP274" s="107"/>
      <c r="DQ274" s="107"/>
      <c r="DR274" s="107"/>
      <c r="DS274" s="106"/>
      <c r="DT274" s="107"/>
      <c r="DU274" s="107"/>
      <c r="DV274" s="107"/>
      <c r="DW274" s="107"/>
      <c r="DX274" s="106"/>
      <c r="DY274" s="107"/>
      <c r="DZ274" s="107"/>
      <c r="EA274" s="107"/>
      <c r="EB274" s="107"/>
      <c r="EC274" s="106"/>
      <c r="ED274" s="107"/>
      <c r="EE274" s="107"/>
      <c r="EF274" s="107"/>
      <c r="EG274" s="107"/>
      <c r="EH274" s="106"/>
      <c r="EI274" s="107"/>
      <c r="EJ274" s="107"/>
      <c r="EK274" s="107"/>
      <c r="EL274" s="107"/>
      <c r="EM274" s="106"/>
      <c r="EN274" s="107"/>
      <c r="EO274" s="107"/>
      <c r="EP274" s="107"/>
      <c r="EQ274" s="107"/>
      <c r="ER274" s="106"/>
      <c r="ES274" s="107"/>
      <c r="ET274" s="107"/>
      <c r="EU274" s="107"/>
      <c r="EV274" s="107"/>
      <c r="EW274" s="106"/>
      <c r="EX274" s="107"/>
      <c r="EY274" s="107"/>
      <c r="EZ274" s="107"/>
      <c r="FA274" s="107"/>
      <c r="FB274" s="106"/>
      <c r="FC274" s="107"/>
      <c r="FD274" s="107"/>
      <c r="FE274" s="107"/>
      <c r="FF274" s="107"/>
      <c r="FG274" s="106"/>
      <c r="FH274" s="107"/>
      <c r="FI274" s="107"/>
      <c r="FJ274" s="107"/>
      <c r="FK274" s="107"/>
      <c r="FL274" s="106"/>
      <c r="FM274" s="107"/>
      <c r="FN274" s="107"/>
      <c r="FO274" s="107"/>
      <c r="FP274" s="107"/>
      <c r="FQ274" s="106"/>
      <c r="FR274" s="107"/>
      <c r="FS274" s="107"/>
      <c r="FT274" s="107"/>
      <c r="FU274" s="107"/>
      <c r="FV274" s="106"/>
      <c r="FW274" s="107"/>
      <c r="FX274" s="107"/>
      <c r="FY274" s="107"/>
      <c r="FZ274" s="107"/>
      <c r="GA274" s="106"/>
      <c r="GB274" s="107"/>
      <c r="GC274" s="107"/>
      <c r="GD274" s="107"/>
      <c r="GE274" s="107"/>
      <c r="GF274" s="106"/>
      <c r="GG274" s="107"/>
      <c r="GH274" s="107"/>
      <c r="GI274" s="107"/>
      <c r="GJ274" s="107"/>
    </row>
    <row r="275" spans="3:192" ht="12.75" customHeight="1">
      <c r="C275" s="188"/>
      <c r="D275" s="189"/>
      <c r="E275" s="189"/>
      <c r="F275" s="189"/>
      <c r="G275" s="189"/>
      <c r="H275" s="188"/>
      <c r="I275" s="189"/>
      <c r="J275" s="189"/>
      <c r="K275" s="189"/>
      <c r="L275" s="189"/>
      <c r="M275" s="188"/>
      <c r="N275" s="189"/>
      <c r="O275" s="189"/>
      <c r="P275" s="189"/>
      <c r="Q275" s="189"/>
      <c r="R275" s="188"/>
      <c r="S275" s="189"/>
      <c r="T275" s="189"/>
      <c r="U275" s="189"/>
      <c r="V275" s="189"/>
      <c r="W275" s="188"/>
      <c r="X275" s="189"/>
      <c r="Y275" s="189"/>
      <c r="Z275" s="189"/>
      <c r="AA275" s="189"/>
      <c r="AB275" s="188"/>
      <c r="AC275" s="189"/>
      <c r="AD275" s="189"/>
      <c r="AE275" s="189"/>
      <c r="AF275" s="189"/>
      <c r="AG275" s="188"/>
      <c r="AH275" s="189"/>
      <c r="AI275" s="189"/>
      <c r="AJ275" s="189"/>
      <c r="AK275" s="189"/>
      <c r="AL275" s="188"/>
      <c r="AM275" s="189"/>
      <c r="AN275" s="189"/>
      <c r="AO275" s="189"/>
      <c r="AP275" s="189"/>
      <c r="AQ275" s="188"/>
      <c r="AR275" s="189"/>
      <c r="AS275" s="189"/>
      <c r="AT275" s="189"/>
      <c r="AU275" s="189"/>
      <c r="AV275" s="188"/>
      <c r="AW275" s="189"/>
      <c r="AX275" s="189"/>
      <c r="AY275" s="189"/>
      <c r="AZ275" s="189"/>
      <c r="BA275" s="188"/>
      <c r="BB275" s="189"/>
      <c r="BC275" s="189"/>
      <c r="BD275" s="189"/>
      <c r="BE275" s="189"/>
      <c r="BF275" s="188"/>
      <c r="BG275" s="189"/>
      <c r="BH275" s="189"/>
      <c r="BI275" s="189"/>
      <c r="BJ275" s="189"/>
      <c r="BK275" s="188"/>
      <c r="BL275" s="189"/>
      <c r="BM275" s="189"/>
      <c r="BN275" s="189"/>
      <c r="BO275" s="189"/>
      <c r="BP275" s="188"/>
      <c r="BQ275" s="189"/>
      <c r="BR275" s="189"/>
      <c r="BS275" s="189"/>
      <c r="BT275" s="189"/>
      <c r="BU275" s="188"/>
      <c r="BV275" s="189"/>
      <c r="BW275" s="189"/>
      <c r="BX275" s="189"/>
      <c r="BY275" s="189"/>
      <c r="BZ275" s="188"/>
      <c r="CA275" s="189"/>
      <c r="CB275" s="189"/>
      <c r="CC275" s="189"/>
      <c r="CD275" s="189"/>
      <c r="CE275" s="188"/>
      <c r="CF275" s="189"/>
      <c r="CG275" s="189"/>
      <c r="CH275" s="189"/>
      <c r="CI275" s="189"/>
      <c r="CJ275" s="188"/>
      <c r="CK275" s="189"/>
      <c r="CL275" s="189"/>
      <c r="CM275" s="189"/>
      <c r="CN275" s="189"/>
      <c r="CO275" s="188"/>
      <c r="CP275" s="189"/>
      <c r="CQ275" s="189"/>
      <c r="CR275" s="189"/>
      <c r="CS275" s="189"/>
      <c r="CT275" s="188"/>
      <c r="CU275" s="189"/>
      <c r="CV275" s="189"/>
      <c r="CW275" s="189"/>
      <c r="CX275" s="189"/>
      <c r="CY275" s="188"/>
      <c r="CZ275" s="189"/>
      <c r="DA275" s="189"/>
      <c r="DB275" s="189"/>
      <c r="DC275" s="189"/>
      <c r="DD275" s="188"/>
      <c r="DE275" s="189"/>
      <c r="DF275" s="189"/>
      <c r="DG275" s="189"/>
      <c r="DH275" s="189"/>
      <c r="DI275" s="188"/>
      <c r="DJ275" s="189"/>
      <c r="DK275" s="189"/>
      <c r="DL275" s="189"/>
      <c r="DM275" s="189"/>
      <c r="DN275" s="188"/>
      <c r="DO275" s="189"/>
      <c r="DP275" s="189"/>
      <c r="DQ275" s="189"/>
      <c r="DR275" s="189"/>
      <c r="DS275" s="188"/>
      <c r="DT275" s="189"/>
      <c r="DU275" s="189"/>
      <c r="DV275" s="189"/>
      <c r="DW275" s="189"/>
      <c r="DX275" s="188"/>
      <c r="DY275" s="189"/>
      <c r="DZ275" s="189"/>
      <c r="EA275" s="189"/>
      <c r="EB275" s="189"/>
      <c r="EC275" s="188"/>
      <c r="ED275" s="189"/>
      <c r="EE275" s="189"/>
      <c r="EF275" s="189"/>
      <c r="EG275" s="189"/>
      <c r="EH275" s="188"/>
      <c r="EI275" s="189"/>
      <c r="EJ275" s="189"/>
      <c r="EK275" s="189"/>
      <c r="EL275" s="189"/>
      <c r="EM275" s="188"/>
      <c r="EN275" s="189"/>
      <c r="EO275" s="189"/>
      <c r="EP275" s="189"/>
      <c r="EQ275" s="189"/>
      <c r="ER275" s="188"/>
      <c r="ES275" s="189"/>
      <c r="ET275" s="189"/>
      <c r="EU275" s="189"/>
      <c r="EV275" s="189"/>
      <c r="EW275" s="188"/>
      <c r="EX275" s="189"/>
      <c r="EY275" s="189"/>
      <c r="EZ275" s="189"/>
      <c r="FA275" s="189"/>
      <c r="FB275" s="188"/>
      <c r="FC275" s="189"/>
      <c r="FD275" s="189"/>
      <c r="FE275" s="189"/>
      <c r="FF275" s="189"/>
      <c r="FG275" s="188"/>
      <c r="FH275" s="189"/>
      <c r="FI275" s="189"/>
      <c r="FJ275" s="189"/>
      <c r="FK275" s="189"/>
      <c r="FL275" s="188"/>
      <c r="FM275" s="189"/>
      <c r="FN275" s="189"/>
      <c r="FO275" s="189"/>
      <c r="FP275" s="189"/>
      <c r="FQ275" s="188"/>
      <c r="FR275" s="189"/>
      <c r="FS275" s="189"/>
      <c r="FT275" s="189"/>
      <c r="FU275" s="189"/>
      <c r="FV275" s="188"/>
      <c r="FW275" s="189"/>
      <c r="FX275" s="189"/>
      <c r="FY275" s="189"/>
      <c r="FZ275" s="189"/>
      <c r="GA275" s="188"/>
      <c r="GB275" s="189"/>
      <c r="GC275" s="189"/>
      <c r="GD275" s="189"/>
      <c r="GE275" s="189"/>
      <c r="GF275" s="188"/>
      <c r="GG275" s="189"/>
      <c r="GH275" s="189"/>
      <c r="GI275" s="189"/>
      <c r="GJ275" s="189"/>
    </row>
    <row r="276" spans="3:192" ht="12.75" customHeight="1">
      <c r="C276" s="139"/>
      <c r="D276" s="105"/>
      <c r="E276" s="105"/>
      <c r="F276" s="105"/>
      <c r="G276" s="105"/>
      <c r="H276" s="139"/>
      <c r="I276" s="105"/>
      <c r="J276" s="105"/>
      <c r="K276" s="105"/>
      <c r="L276" s="105"/>
      <c r="M276" s="139"/>
      <c r="N276" s="105"/>
      <c r="O276" s="105"/>
      <c r="P276" s="105"/>
      <c r="Q276" s="105"/>
      <c r="R276" s="139"/>
      <c r="S276" s="105"/>
      <c r="T276" s="105"/>
      <c r="U276" s="105"/>
      <c r="V276" s="105"/>
      <c r="W276" s="139"/>
      <c r="X276" s="105"/>
      <c r="Y276" s="105"/>
      <c r="Z276" s="105"/>
      <c r="AA276" s="105"/>
      <c r="AB276" s="139"/>
      <c r="AC276" s="105"/>
      <c r="AD276" s="105"/>
      <c r="AE276" s="105"/>
      <c r="AF276" s="105"/>
      <c r="AG276" s="139"/>
      <c r="AH276" s="105"/>
      <c r="AI276" s="105"/>
      <c r="AJ276" s="105"/>
      <c r="AK276" s="105"/>
      <c r="AL276" s="139"/>
      <c r="AM276" s="105"/>
      <c r="AN276" s="105"/>
      <c r="AO276" s="105"/>
      <c r="AP276" s="105"/>
      <c r="AQ276" s="139"/>
      <c r="AR276" s="105"/>
      <c r="AS276" s="105"/>
      <c r="AT276" s="105"/>
      <c r="AU276" s="105"/>
      <c r="AV276" s="139"/>
      <c r="AW276" s="105"/>
      <c r="AX276" s="105"/>
      <c r="AY276" s="105"/>
      <c r="AZ276" s="105"/>
      <c r="BA276" s="139"/>
      <c r="BB276" s="105"/>
      <c r="BC276" s="105"/>
      <c r="BD276" s="105"/>
      <c r="BE276" s="105"/>
      <c r="BF276" s="139"/>
      <c r="BG276" s="105"/>
      <c r="BH276" s="105"/>
      <c r="BI276" s="105"/>
      <c r="BJ276" s="105"/>
      <c r="BK276" s="139"/>
      <c r="BL276" s="105"/>
      <c r="BM276" s="105"/>
      <c r="BN276" s="105"/>
      <c r="BO276" s="105"/>
      <c r="BP276" s="139"/>
      <c r="BQ276" s="105"/>
      <c r="BR276" s="105"/>
      <c r="BS276" s="105"/>
      <c r="BT276" s="105"/>
      <c r="BU276" s="139"/>
      <c r="BV276" s="105"/>
      <c r="BW276" s="105"/>
      <c r="BX276" s="105"/>
      <c r="BY276" s="105"/>
      <c r="BZ276" s="139"/>
      <c r="CA276" s="105"/>
      <c r="CB276" s="105"/>
      <c r="CC276" s="105"/>
      <c r="CD276" s="105"/>
      <c r="CE276" s="139"/>
      <c r="CF276" s="105"/>
      <c r="CG276" s="105"/>
      <c r="CH276" s="105"/>
      <c r="CI276" s="105"/>
      <c r="CJ276" s="139"/>
      <c r="CK276" s="105"/>
      <c r="CL276" s="105"/>
      <c r="CM276" s="105"/>
      <c r="CN276" s="105"/>
      <c r="CO276" s="139"/>
      <c r="CP276" s="105"/>
      <c r="CQ276" s="105"/>
      <c r="CR276" s="105"/>
      <c r="CS276" s="105"/>
      <c r="CT276" s="139"/>
      <c r="CU276" s="105"/>
      <c r="CV276" s="105"/>
      <c r="CW276" s="105"/>
      <c r="CX276" s="105"/>
      <c r="CY276" s="139"/>
      <c r="CZ276" s="105"/>
      <c r="DA276" s="105"/>
      <c r="DB276" s="105"/>
      <c r="DC276" s="105"/>
      <c r="DD276" s="139"/>
      <c r="DE276" s="105"/>
      <c r="DF276" s="105"/>
      <c r="DG276" s="105"/>
      <c r="DH276" s="105"/>
      <c r="DI276" s="139"/>
      <c r="DJ276" s="105"/>
      <c r="DK276" s="105"/>
      <c r="DL276" s="105"/>
      <c r="DM276" s="105"/>
      <c r="DN276" s="139"/>
      <c r="DO276" s="105"/>
      <c r="DP276" s="105"/>
      <c r="DQ276" s="105"/>
      <c r="DR276" s="105"/>
      <c r="DS276" s="139"/>
      <c r="DT276" s="105"/>
      <c r="DU276" s="105"/>
      <c r="DV276" s="105"/>
      <c r="DW276" s="105"/>
      <c r="DX276" s="139"/>
      <c r="DY276" s="105"/>
      <c r="DZ276" s="105"/>
      <c r="EA276" s="105"/>
      <c r="EB276" s="105"/>
      <c r="EC276" s="139"/>
      <c r="ED276" s="105"/>
      <c r="EE276" s="105"/>
      <c r="EF276" s="105"/>
      <c r="EG276" s="105"/>
      <c r="EH276" s="139"/>
      <c r="EI276" s="105"/>
      <c r="EJ276" s="105"/>
      <c r="EK276" s="105"/>
      <c r="EL276" s="105"/>
      <c r="EM276" s="139"/>
      <c r="EN276" s="105"/>
      <c r="EO276" s="105"/>
      <c r="EP276" s="105"/>
      <c r="EQ276" s="105"/>
      <c r="ER276" s="139"/>
      <c r="ES276" s="105"/>
      <c r="ET276" s="105"/>
      <c r="EU276" s="105"/>
      <c r="EV276" s="105"/>
      <c r="EW276" s="139"/>
      <c r="EX276" s="105"/>
      <c r="EY276" s="105"/>
      <c r="EZ276" s="105"/>
      <c r="FA276" s="105"/>
      <c r="FB276" s="139"/>
      <c r="FC276" s="105"/>
      <c r="FD276" s="105"/>
      <c r="FE276" s="105"/>
      <c r="FF276" s="105"/>
      <c r="FG276" s="139"/>
      <c r="FH276" s="105"/>
      <c r="FI276" s="105"/>
      <c r="FJ276" s="105"/>
      <c r="FK276" s="105"/>
      <c r="FL276" s="139"/>
      <c r="FM276" s="105"/>
      <c r="FN276" s="105"/>
      <c r="FO276" s="105"/>
      <c r="FP276" s="105"/>
      <c r="FQ276" s="139"/>
      <c r="FR276" s="105"/>
      <c r="FS276" s="105"/>
      <c r="FT276" s="105"/>
      <c r="FU276" s="105"/>
      <c r="FV276" s="139"/>
      <c r="FW276" s="105"/>
      <c r="FX276" s="105"/>
      <c r="FY276" s="105"/>
      <c r="FZ276" s="105"/>
      <c r="GA276" s="139"/>
      <c r="GB276" s="105"/>
      <c r="GC276" s="105"/>
      <c r="GD276" s="105"/>
      <c r="GE276" s="105"/>
      <c r="GF276" s="139"/>
      <c r="GG276" s="105"/>
      <c r="GH276" s="105"/>
      <c r="GI276" s="105"/>
      <c r="GJ276" s="105"/>
    </row>
    <row r="282" spans="3:192" ht="12.75" customHeight="1">
      <c r="C282" s="190"/>
      <c r="D282" s="191"/>
      <c r="E282" s="191"/>
      <c r="F282" s="191"/>
      <c r="G282" s="191"/>
      <c r="H282" s="190"/>
      <c r="I282" s="191"/>
      <c r="J282" s="191"/>
      <c r="K282" s="191"/>
      <c r="L282" s="191"/>
      <c r="M282" s="190"/>
      <c r="N282" s="191"/>
      <c r="O282" s="191"/>
      <c r="P282" s="191"/>
      <c r="Q282" s="191"/>
      <c r="R282" s="190"/>
      <c r="S282" s="191"/>
      <c r="T282" s="191"/>
      <c r="U282" s="191"/>
      <c r="V282" s="191"/>
      <c r="W282" s="190"/>
      <c r="X282" s="191"/>
      <c r="Y282" s="191"/>
      <c r="Z282" s="191"/>
      <c r="AA282" s="191"/>
      <c r="AB282" s="190"/>
      <c r="AC282" s="191"/>
      <c r="AD282" s="191"/>
      <c r="AE282" s="191"/>
      <c r="AF282" s="191"/>
      <c r="AG282" s="190"/>
      <c r="AH282" s="191"/>
      <c r="AI282" s="191"/>
      <c r="AJ282" s="191"/>
      <c r="AK282" s="191"/>
      <c r="AL282" s="190"/>
      <c r="AM282" s="191"/>
      <c r="AN282" s="191"/>
      <c r="AO282" s="191"/>
      <c r="AP282" s="191"/>
      <c r="AQ282" s="190"/>
      <c r="AR282" s="191"/>
      <c r="AS282" s="191"/>
      <c r="AT282" s="191"/>
      <c r="AU282" s="191"/>
      <c r="AV282" s="190"/>
      <c r="AW282" s="191"/>
      <c r="AX282" s="191"/>
      <c r="AY282" s="191"/>
      <c r="AZ282" s="191"/>
      <c r="BA282" s="190"/>
      <c r="BB282" s="191"/>
      <c r="BC282" s="191"/>
      <c r="BD282" s="191"/>
      <c r="BE282" s="191"/>
      <c r="BF282" s="190"/>
      <c r="BG282" s="191"/>
      <c r="BH282" s="191"/>
      <c r="BI282" s="191"/>
      <c r="BJ282" s="191"/>
      <c r="BK282" s="190"/>
      <c r="BL282" s="191"/>
      <c r="BM282" s="191"/>
      <c r="BN282" s="191"/>
      <c r="BO282" s="191"/>
      <c r="BP282" s="190"/>
      <c r="BQ282" s="191"/>
      <c r="BR282" s="191"/>
      <c r="BS282" s="191"/>
      <c r="BT282" s="191"/>
      <c r="BU282" s="190"/>
      <c r="BV282" s="191"/>
      <c r="BW282" s="191"/>
      <c r="BX282" s="191"/>
      <c r="BY282" s="191"/>
      <c r="BZ282" s="190"/>
      <c r="CA282" s="191"/>
      <c r="CB282" s="191"/>
      <c r="CC282" s="191"/>
      <c r="CD282" s="191"/>
      <c r="CE282" s="190"/>
      <c r="CF282" s="191"/>
      <c r="CG282" s="191"/>
      <c r="CH282" s="191"/>
      <c r="CI282" s="191"/>
      <c r="CJ282" s="190"/>
      <c r="CK282" s="191"/>
      <c r="CL282" s="191"/>
      <c r="CM282" s="191"/>
      <c r="CN282" s="191"/>
      <c r="CO282" s="190"/>
      <c r="CP282" s="191"/>
      <c r="CQ282" s="191"/>
      <c r="CR282" s="191"/>
      <c r="CS282" s="191"/>
      <c r="CT282" s="190"/>
      <c r="CU282" s="191"/>
      <c r="CV282" s="191"/>
      <c r="CW282" s="191"/>
      <c r="CX282" s="191"/>
      <c r="CY282" s="190"/>
      <c r="CZ282" s="191"/>
      <c r="DA282" s="191"/>
      <c r="DB282" s="191"/>
      <c r="DC282" s="191"/>
      <c r="DD282" s="190"/>
      <c r="DE282" s="191"/>
      <c r="DF282" s="191"/>
      <c r="DG282" s="191"/>
      <c r="DH282" s="191"/>
      <c r="DI282" s="190"/>
      <c r="DJ282" s="191"/>
      <c r="DK282" s="191"/>
      <c r="DL282" s="191"/>
      <c r="DM282" s="191"/>
      <c r="DN282" s="190"/>
      <c r="DO282" s="191"/>
      <c r="DP282" s="191"/>
      <c r="DQ282" s="191"/>
      <c r="DR282" s="191"/>
      <c r="DS282" s="190"/>
      <c r="DT282" s="191"/>
      <c r="DU282" s="191"/>
      <c r="DV282" s="191"/>
      <c r="DW282" s="191"/>
      <c r="DX282" s="190"/>
      <c r="DY282" s="191"/>
      <c r="DZ282" s="191"/>
      <c r="EA282" s="191"/>
      <c r="EB282" s="191"/>
      <c r="EC282" s="190"/>
      <c r="ED282" s="191"/>
      <c r="EE282" s="191"/>
      <c r="EF282" s="191"/>
      <c r="EG282" s="191"/>
      <c r="EH282" s="190"/>
      <c r="EI282" s="191"/>
      <c r="EJ282" s="191"/>
      <c r="EK282" s="191"/>
      <c r="EL282" s="191"/>
      <c r="EM282" s="190"/>
      <c r="EN282" s="191"/>
      <c r="EO282" s="191"/>
      <c r="EP282" s="191"/>
      <c r="EQ282" s="191"/>
      <c r="ER282" s="190"/>
      <c r="ES282" s="191"/>
      <c r="ET282" s="191"/>
      <c r="EU282" s="191"/>
      <c r="EV282" s="191"/>
      <c r="EW282" s="190"/>
      <c r="EX282" s="191"/>
      <c r="EY282" s="191"/>
      <c r="EZ282" s="191"/>
      <c r="FA282" s="191"/>
      <c r="FB282" s="190"/>
      <c r="FC282" s="191"/>
      <c r="FD282" s="191"/>
      <c r="FE282" s="191"/>
      <c r="FF282" s="191"/>
      <c r="FG282" s="190"/>
      <c r="FH282" s="191"/>
      <c r="FI282" s="191"/>
      <c r="FJ282" s="191"/>
      <c r="FK282" s="191"/>
      <c r="FL282" s="190"/>
      <c r="FM282" s="191"/>
      <c r="FN282" s="191"/>
      <c r="FO282" s="191"/>
      <c r="FP282" s="191"/>
      <c r="FQ282" s="190"/>
      <c r="FR282" s="191"/>
      <c r="FS282" s="191"/>
      <c r="FT282" s="191"/>
      <c r="FU282" s="191"/>
      <c r="FV282" s="190"/>
      <c r="FW282" s="191"/>
      <c r="FX282" s="191"/>
      <c r="FY282" s="191"/>
      <c r="FZ282" s="191"/>
      <c r="GA282" s="190"/>
      <c r="GB282" s="191"/>
      <c r="GC282" s="191"/>
      <c r="GD282" s="191"/>
      <c r="GE282" s="191"/>
      <c r="GF282" s="190"/>
      <c r="GG282" s="191"/>
      <c r="GH282" s="191"/>
      <c r="GI282" s="191"/>
      <c r="GJ282" s="191"/>
    </row>
    <row r="283" spans="3:192" ht="12.75" customHeight="1">
      <c r="C283" s="192"/>
      <c r="D283" s="193"/>
      <c r="E283" s="193"/>
      <c r="F283" s="193"/>
      <c r="G283" s="193"/>
      <c r="H283" s="192"/>
      <c r="I283" s="193"/>
      <c r="J283" s="193"/>
      <c r="K283" s="193"/>
      <c r="L283" s="193"/>
      <c r="M283" s="192"/>
      <c r="N283" s="193"/>
      <c r="O283" s="193"/>
      <c r="P283" s="193"/>
      <c r="Q283" s="193"/>
      <c r="R283" s="192"/>
      <c r="S283" s="193"/>
      <c r="T283" s="193"/>
      <c r="U283" s="193"/>
      <c r="V283" s="193"/>
      <c r="W283" s="192"/>
      <c r="X283" s="193"/>
      <c r="Y283" s="193"/>
      <c r="Z283" s="193"/>
      <c r="AA283" s="193"/>
      <c r="AB283" s="192"/>
      <c r="AC283" s="193"/>
      <c r="AD283" s="193"/>
      <c r="AE283" s="193"/>
      <c r="AF283" s="193"/>
      <c r="AG283" s="192"/>
      <c r="AH283" s="193"/>
      <c r="AI283" s="193"/>
      <c r="AJ283" s="193"/>
      <c r="AK283" s="193"/>
      <c r="AL283" s="192"/>
      <c r="AM283" s="193"/>
      <c r="AN283" s="193"/>
      <c r="AO283" s="193"/>
      <c r="AP283" s="193"/>
      <c r="AQ283" s="192"/>
      <c r="AR283" s="193"/>
      <c r="AS283" s="193"/>
      <c r="AT283" s="193"/>
      <c r="AU283" s="193"/>
      <c r="AV283" s="192"/>
      <c r="AW283" s="193"/>
      <c r="AX283" s="193"/>
      <c r="AY283" s="193"/>
      <c r="AZ283" s="193"/>
      <c r="BA283" s="192"/>
      <c r="BB283" s="193"/>
      <c r="BC283" s="193"/>
      <c r="BD283" s="193"/>
      <c r="BE283" s="193"/>
      <c r="BF283" s="192"/>
      <c r="BG283" s="193"/>
      <c r="BH283" s="193"/>
      <c r="BI283" s="193"/>
      <c r="BJ283" s="193"/>
      <c r="BK283" s="192"/>
      <c r="BL283" s="193"/>
      <c r="BM283" s="193"/>
      <c r="BN283" s="193"/>
      <c r="BO283" s="193"/>
      <c r="BP283" s="192"/>
      <c r="BQ283" s="193"/>
      <c r="BR283" s="193"/>
      <c r="BS283" s="193"/>
      <c r="BT283" s="193"/>
      <c r="BU283" s="192"/>
      <c r="BV283" s="193"/>
      <c r="BW283" s="193"/>
      <c r="BX283" s="193"/>
      <c r="BY283" s="193"/>
      <c r="BZ283" s="192"/>
      <c r="CA283" s="193"/>
      <c r="CB283" s="193"/>
      <c r="CC283" s="193"/>
      <c r="CD283" s="193"/>
      <c r="CE283" s="192"/>
      <c r="CF283" s="193"/>
      <c r="CG283" s="193"/>
      <c r="CH283" s="193"/>
      <c r="CI283" s="193"/>
      <c r="CJ283" s="192"/>
      <c r="CK283" s="193"/>
      <c r="CL283" s="193"/>
      <c r="CM283" s="193"/>
      <c r="CN283" s="193"/>
      <c r="CO283" s="192"/>
      <c r="CP283" s="193"/>
      <c r="CQ283" s="193"/>
      <c r="CR283" s="193"/>
      <c r="CS283" s="193"/>
      <c r="CT283" s="192"/>
      <c r="CU283" s="193"/>
      <c r="CV283" s="193"/>
      <c r="CW283" s="193"/>
      <c r="CX283" s="193"/>
      <c r="CY283" s="192"/>
      <c r="CZ283" s="193"/>
      <c r="DA283" s="193"/>
      <c r="DB283" s="193"/>
      <c r="DC283" s="193"/>
      <c r="DD283" s="192"/>
      <c r="DE283" s="193"/>
      <c r="DF283" s="193"/>
      <c r="DG283" s="193"/>
      <c r="DH283" s="193"/>
      <c r="DI283" s="192"/>
      <c r="DJ283" s="193"/>
      <c r="DK283" s="193"/>
      <c r="DL283" s="193"/>
      <c r="DM283" s="193"/>
      <c r="DN283" s="192"/>
      <c r="DO283" s="193"/>
      <c r="DP283" s="193"/>
      <c r="DQ283" s="193"/>
      <c r="DR283" s="193"/>
      <c r="DS283" s="192"/>
      <c r="DT283" s="193"/>
      <c r="DU283" s="193"/>
      <c r="DV283" s="193"/>
      <c r="DW283" s="193"/>
      <c r="DX283" s="192"/>
      <c r="DY283" s="193"/>
      <c r="DZ283" s="193"/>
      <c r="EA283" s="193"/>
      <c r="EB283" s="193"/>
      <c r="EC283" s="192"/>
      <c r="ED283" s="193"/>
      <c r="EE283" s="193"/>
      <c r="EF283" s="193"/>
      <c r="EG283" s="193"/>
      <c r="EH283" s="192"/>
      <c r="EI283" s="193"/>
      <c r="EJ283" s="193"/>
      <c r="EK283" s="193"/>
      <c r="EL283" s="193"/>
      <c r="EM283" s="192"/>
      <c r="EN283" s="193"/>
      <c r="EO283" s="193"/>
      <c r="EP283" s="193"/>
      <c r="EQ283" s="193"/>
      <c r="ER283" s="192"/>
      <c r="ES283" s="193"/>
      <c r="ET283" s="193"/>
      <c r="EU283" s="193"/>
      <c r="EV283" s="193"/>
      <c r="EW283" s="192"/>
      <c r="EX283" s="193"/>
      <c r="EY283" s="193"/>
      <c r="EZ283" s="193"/>
      <c r="FA283" s="193"/>
      <c r="FB283" s="192"/>
      <c r="FC283" s="193"/>
      <c r="FD283" s="193"/>
      <c r="FE283" s="193"/>
      <c r="FF283" s="193"/>
      <c r="FG283" s="192"/>
      <c r="FH283" s="193"/>
      <c r="FI283" s="193"/>
      <c r="FJ283" s="193"/>
      <c r="FK283" s="193"/>
      <c r="FL283" s="192"/>
      <c r="FM283" s="193"/>
      <c r="FN283" s="193"/>
      <c r="FO283" s="193"/>
      <c r="FP283" s="193"/>
      <c r="FQ283" s="192"/>
      <c r="FR283" s="193"/>
      <c r="FS283" s="193"/>
      <c r="FT283" s="193"/>
      <c r="FU283" s="193"/>
      <c r="FV283" s="192"/>
      <c r="FW283" s="193"/>
      <c r="FX283" s="193"/>
      <c r="FY283" s="193"/>
      <c r="FZ283" s="193"/>
      <c r="GA283" s="192"/>
      <c r="GB283" s="193"/>
      <c r="GC283" s="193"/>
      <c r="GD283" s="193"/>
      <c r="GE283" s="193"/>
      <c r="GF283" s="192"/>
      <c r="GG283" s="193"/>
      <c r="GH283" s="193"/>
      <c r="GI283" s="193"/>
      <c r="GJ283" s="193"/>
    </row>
    <row r="284" spans="3:192" ht="12.75" customHeight="1">
      <c r="C284" s="181"/>
      <c r="D284" s="182"/>
      <c r="E284" s="182"/>
      <c r="F284" s="182"/>
      <c r="G284" s="182"/>
      <c r="H284" s="181"/>
      <c r="I284" s="182"/>
      <c r="J284" s="182"/>
      <c r="K284" s="182"/>
      <c r="L284" s="182"/>
      <c r="M284" s="181"/>
      <c r="N284" s="182"/>
      <c r="O284" s="182"/>
      <c r="P284" s="182"/>
      <c r="Q284" s="182"/>
      <c r="R284" s="181"/>
      <c r="S284" s="182"/>
      <c r="T284" s="182"/>
      <c r="U284" s="182"/>
      <c r="V284" s="182"/>
      <c r="W284" s="181"/>
      <c r="X284" s="182"/>
      <c r="Y284" s="182"/>
      <c r="Z284" s="182"/>
      <c r="AA284" s="182"/>
      <c r="AB284" s="181"/>
      <c r="AC284" s="182"/>
      <c r="AD284" s="182"/>
      <c r="AE284" s="182"/>
      <c r="AF284" s="182"/>
      <c r="AG284" s="181"/>
      <c r="AH284" s="182"/>
      <c r="AI284" s="182"/>
      <c r="AJ284" s="182"/>
      <c r="AK284" s="182"/>
      <c r="AL284" s="181"/>
      <c r="AM284" s="182"/>
      <c r="AN284" s="182"/>
      <c r="AO284" s="182"/>
      <c r="AP284" s="182"/>
      <c r="AQ284" s="181"/>
      <c r="AR284" s="182"/>
      <c r="AS284" s="182"/>
      <c r="AT284" s="182"/>
      <c r="AU284" s="182"/>
      <c r="AV284" s="181"/>
      <c r="AW284" s="182"/>
      <c r="AX284" s="182"/>
      <c r="AY284" s="182"/>
      <c r="AZ284" s="182"/>
      <c r="BA284" s="181"/>
      <c r="BB284" s="182"/>
      <c r="BC284" s="182"/>
      <c r="BD284" s="182"/>
      <c r="BE284" s="182"/>
      <c r="BF284" s="181"/>
      <c r="BG284" s="182"/>
      <c r="BH284" s="182"/>
      <c r="BI284" s="182"/>
      <c r="BJ284" s="182"/>
      <c r="BK284" s="181"/>
      <c r="BL284" s="182"/>
      <c r="BM284" s="182"/>
      <c r="BN284" s="182"/>
      <c r="BO284" s="182"/>
      <c r="BP284" s="181"/>
      <c r="BQ284" s="182"/>
      <c r="BR284" s="182"/>
      <c r="BS284" s="182"/>
      <c r="BT284" s="182"/>
      <c r="BU284" s="181"/>
      <c r="BV284" s="182"/>
      <c r="BW284" s="182"/>
      <c r="BX284" s="182"/>
      <c r="BY284" s="182"/>
      <c r="BZ284" s="181"/>
      <c r="CA284" s="182"/>
      <c r="CB284" s="182"/>
      <c r="CC284" s="182"/>
      <c r="CD284" s="182"/>
      <c r="CE284" s="181"/>
      <c r="CF284" s="182"/>
      <c r="CG284" s="182"/>
      <c r="CH284" s="182"/>
      <c r="CI284" s="182"/>
      <c r="CJ284" s="181"/>
      <c r="CK284" s="182"/>
      <c r="CL284" s="182"/>
      <c r="CM284" s="182"/>
      <c r="CN284" s="182"/>
      <c r="CO284" s="181"/>
      <c r="CP284" s="182"/>
      <c r="CQ284" s="182"/>
      <c r="CR284" s="182"/>
      <c r="CS284" s="182"/>
      <c r="CT284" s="181"/>
      <c r="CU284" s="182"/>
      <c r="CV284" s="182"/>
      <c r="CW284" s="182"/>
      <c r="CX284" s="182"/>
      <c r="CY284" s="181"/>
      <c r="CZ284" s="182"/>
      <c r="DA284" s="182"/>
      <c r="DB284" s="182"/>
      <c r="DC284" s="182"/>
      <c r="DD284" s="181"/>
      <c r="DE284" s="182"/>
      <c r="DF284" s="182"/>
      <c r="DG284" s="182"/>
      <c r="DH284" s="182"/>
      <c r="DI284" s="181"/>
      <c r="DJ284" s="182"/>
      <c r="DK284" s="182"/>
      <c r="DL284" s="182"/>
      <c r="DM284" s="182"/>
      <c r="DN284" s="181"/>
      <c r="DO284" s="182"/>
      <c r="DP284" s="182"/>
      <c r="DQ284" s="182"/>
      <c r="DR284" s="182"/>
      <c r="DS284" s="181"/>
      <c r="DT284" s="182"/>
      <c r="DU284" s="182"/>
      <c r="DV284" s="182"/>
      <c r="DW284" s="182"/>
      <c r="DX284" s="181"/>
      <c r="DY284" s="182"/>
      <c r="DZ284" s="182"/>
      <c r="EA284" s="182"/>
      <c r="EB284" s="182"/>
      <c r="EC284" s="181"/>
      <c r="ED284" s="182"/>
      <c r="EE284" s="182"/>
      <c r="EF284" s="182"/>
      <c r="EG284" s="182"/>
      <c r="EH284" s="181"/>
      <c r="EI284" s="182"/>
      <c r="EJ284" s="182"/>
      <c r="EK284" s="182"/>
      <c r="EL284" s="182"/>
      <c r="EM284" s="181"/>
      <c r="EN284" s="182"/>
      <c r="EO284" s="182"/>
      <c r="EP284" s="182"/>
      <c r="EQ284" s="182"/>
      <c r="ER284" s="181"/>
      <c r="ES284" s="182"/>
      <c r="ET284" s="182"/>
      <c r="EU284" s="182"/>
      <c r="EV284" s="182"/>
      <c r="EW284" s="181"/>
      <c r="EX284" s="182"/>
      <c r="EY284" s="182"/>
      <c r="EZ284" s="182"/>
      <c r="FA284" s="182"/>
      <c r="FB284" s="181"/>
      <c r="FC284" s="182"/>
      <c r="FD284" s="182"/>
      <c r="FE284" s="182"/>
      <c r="FF284" s="182"/>
      <c r="FG284" s="181"/>
      <c r="FH284" s="182"/>
      <c r="FI284" s="182"/>
      <c r="FJ284" s="182"/>
      <c r="FK284" s="182"/>
      <c r="FL284" s="181"/>
      <c r="FM284" s="182"/>
      <c r="FN284" s="182"/>
      <c r="FO284" s="182"/>
      <c r="FP284" s="182"/>
      <c r="FQ284" s="181"/>
      <c r="FR284" s="182"/>
      <c r="FS284" s="182"/>
      <c r="FT284" s="182"/>
      <c r="FU284" s="182"/>
      <c r="FV284" s="181"/>
      <c r="FW284" s="182"/>
      <c r="FX284" s="182"/>
      <c r="FY284" s="182"/>
      <c r="FZ284" s="182"/>
      <c r="GA284" s="181"/>
      <c r="GB284" s="182"/>
      <c r="GC284" s="182"/>
      <c r="GD284" s="182"/>
      <c r="GE284" s="182"/>
      <c r="GF284" s="181"/>
      <c r="GG284" s="182"/>
      <c r="GH284" s="182"/>
      <c r="GI284" s="182"/>
      <c r="GJ284" s="182"/>
    </row>
    <row r="286" spans="3:192" ht="12.75" customHeight="1">
      <c r="C286" s="176"/>
      <c r="D286" s="177"/>
      <c r="E286" s="177"/>
      <c r="F286" s="177"/>
      <c r="G286" s="177"/>
      <c r="H286" s="176"/>
      <c r="I286" s="177"/>
      <c r="J286" s="177"/>
      <c r="K286" s="177"/>
      <c r="L286" s="177"/>
      <c r="M286" s="176"/>
      <c r="N286" s="177"/>
      <c r="O286" s="177"/>
      <c r="P286" s="177"/>
      <c r="Q286" s="177"/>
      <c r="R286" s="176"/>
      <c r="S286" s="177"/>
      <c r="T286" s="177"/>
      <c r="U286" s="177"/>
      <c r="V286" s="177"/>
      <c r="W286" s="176"/>
      <c r="X286" s="177"/>
      <c r="Y286" s="177"/>
      <c r="Z286" s="177"/>
      <c r="AA286" s="177"/>
      <c r="AB286" s="176"/>
      <c r="AC286" s="177"/>
      <c r="AD286" s="177"/>
      <c r="AE286" s="177"/>
      <c r="AF286" s="177"/>
      <c r="AG286" s="176"/>
      <c r="AH286" s="177"/>
      <c r="AI286" s="177"/>
      <c r="AJ286" s="177"/>
      <c r="AK286" s="177"/>
      <c r="AL286" s="176"/>
      <c r="AM286" s="177"/>
      <c r="AN286" s="177"/>
      <c r="AO286" s="177"/>
      <c r="AP286" s="177"/>
      <c r="AQ286" s="176"/>
      <c r="AR286" s="177"/>
      <c r="AS286" s="177"/>
      <c r="AT286" s="177"/>
      <c r="AU286" s="177"/>
      <c r="AV286" s="176"/>
      <c r="AW286" s="177"/>
      <c r="AX286" s="177"/>
      <c r="AY286" s="177"/>
      <c r="AZ286" s="177"/>
      <c r="BA286" s="176"/>
      <c r="BB286" s="177"/>
      <c r="BC286" s="177"/>
      <c r="BD286" s="177"/>
      <c r="BE286" s="177"/>
      <c r="BF286" s="176"/>
      <c r="BG286" s="177"/>
      <c r="BH286" s="177"/>
      <c r="BI286" s="177"/>
      <c r="BJ286" s="177"/>
      <c r="BK286" s="176"/>
      <c r="BL286" s="177"/>
      <c r="BM286" s="177"/>
      <c r="BN286" s="177"/>
      <c r="BO286" s="177"/>
      <c r="BP286" s="176"/>
      <c r="BQ286" s="177"/>
      <c r="BR286" s="177"/>
      <c r="BS286" s="177"/>
      <c r="BT286" s="177"/>
      <c r="BU286" s="176"/>
      <c r="BV286" s="177"/>
      <c r="BW286" s="177"/>
      <c r="BX286" s="177"/>
      <c r="BY286" s="177"/>
      <c r="BZ286" s="176"/>
      <c r="CA286" s="177"/>
      <c r="CB286" s="177"/>
      <c r="CC286" s="177"/>
      <c r="CD286" s="177"/>
      <c r="CE286" s="176"/>
      <c r="CF286" s="177"/>
      <c r="CG286" s="177"/>
      <c r="CH286" s="177"/>
      <c r="CI286" s="177"/>
      <c r="CJ286" s="176"/>
      <c r="CK286" s="177"/>
      <c r="CL286" s="177"/>
      <c r="CM286" s="177"/>
      <c r="CN286" s="177"/>
      <c r="CO286" s="176"/>
      <c r="CP286" s="177"/>
      <c r="CQ286" s="177"/>
      <c r="CR286" s="177"/>
      <c r="CS286" s="177"/>
      <c r="CT286" s="176"/>
      <c r="CU286" s="177"/>
      <c r="CV286" s="177"/>
      <c r="CW286" s="177"/>
      <c r="CX286" s="177"/>
      <c r="CY286" s="176"/>
      <c r="CZ286" s="177"/>
      <c r="DA286" s="177"/>
      <c r="DB286" s="177"/>
      <c r="DC286" s="177"/>
      <c r="DD286" s="176"/>
      <c r="DE286" s="177"/>
      <c r="DF286" s="177"/>
      <c r="DG286" s="177"/>
      <c r="DH286" s="177"/>
      <c r="DI286" s="176"/>
      <c r="DJ286" s="177"/>
      <c r="DK286" s="177"/>
      <c r="DL286" s="177"/>
      <c r="DM286" s="177"/>
      <c r="DN286" s="176"/>
      <c r="DO286" s="177"/>
      <c r="DP286" s="177"/>
      <c r="DQ286" s="177"/>
      <c r="DR286" s="177"/>
      <c r="DS286" s="176"/>
      <c r="DT286" s="177"/>
      <c r="DU286" s="177"/>
      <c r="DV286" s="177"/>
      <c r="DW286" s="177"/>
      <c r="DX286" s="176"/>
      <c r="DY286" s="177"/>
      <c r="DZ286" s="177"/>
      <c r="EA286" s="177"/>
      <c r="EB286" s="177"/>
      <c r="EC286" s="176"/>
      <c r="ED286" s="177"/>
      <c r="EE286" s="177"/>
      <c r="EF286" s="177"/>
      <c r="EG286" s="177"/>
      <c r="EH286" s="176"/>
      <c r="EI286" s="177"/>
      <c r="EJ286" s="177"/>
      <c r="EK286" s="177"/>
      <c r="EL286" s="177"/>
      <c r="EM286" s="176"/>
      <c r="EN286" s="177"/>
      <c r="EO286" s="177"/>
      <c r="EP286" s="177"/>
      <c r="EQ286" s="177"/>
      <c r="ER286" s="176"/>
      <c r="ES286" s="177"/>
      <c r="ET286" s="177"/>
      <c r="EU286" s="177"/>
      <c r="EV286" s="177"/>
      <c r="EW286" s="176"/>
      <c r="EX286" s="177"/>
      <c r="EY286" s="177"/>
      <c r="EZ286" s="177"/>
      <c r="FA286" s="177"/>
      <c r="FB286" s="176"/>
      <c r="FC286" s="177"/>
      <c r="FD286" s="177"/>
      <c r="FE286" s="177"/>
      <c r="FF286" s="177"/>
      <c r="FG286" s="176"/>
      <c r="FH286" s="177"/>
      <c r="FI286" s="177"/>
      <c r="FJ286" s="177"/>
      <c r="FK286" s="177"/>
      <c r="FL286" s="176"/>
      <c r="FM286" s="177"/>
      <c r="FN286" s="177"/>
      <c r="FO286" s="177"/>
      <c r="FP286" s="177"/>
      <c r="FQ286" s="176"/>
      <c r="FR286" s="177"/>
      <c r="FS286" s="177"/>
      <c r="FT286" s="177"/>
      <c r="FU286" s="177"/>
      <c r="FV286" s="176"/>
      <c r="FW286" s="177"/>
      <c r="FX286" s="177"/>
      <c r="FY286" s="177"/>
      <c r="FZ286" s="177"/>
      <c r="GA286" s="176"/>
      <c r="GB286" s="177"/>
      <c r="GC286" s="177"/>
      <c r="GD286" s="177"/>
      <c r="GE286" s="177"/>
      <c r="GF286" s="176"/>
      <c r="GG286" s="177"/>
      <c r="GH286" s="177"/>
      <c r="GI286" s="177"/>
      <c r="GJ286" s="177"/>
    </row>
    <row r="287" spans="3:192" ht="12.75" customHeight="1">
      <c r="C287" s="139"/>
      <c r="D287" s="105"/>
      <c r="E287" s="105"/>
      <c r="F287" s="105"/>
      <c r="G287" s="105"/>
      <c r="H287" s="139"/>
      <c r="I287" s="105"/>
      <c r="J287" s="105"/>
      <c r="K287" s="105"/>
      <c r="L287" s="105"/>
      <c r="M287" s="139"/>
      <c r="N287" s="105"/>
      <c r="O287" s="105"/>
      <c r="P287" s="105"/>
      <c r="Q287" s="105"/>
      <c r="R287" s="139"/>
      <c r="S287" s="105"/>
      <c r="T287" s="105"/>
      <c r="U287" s="105"/>
      <c r="V287" s="105"/>
      <c r="W287" s="139"/>
      <c r="X287" s="105"/>
      <c r="Y287" s="105"/>
      <c r="Z287" s="105"/>
      <c r="AA287" s="105"/>
      <c r="AB287" s="139"/>
      <c r="AC287" s="105"/>
      <c r="AD287" s="105"/>
      <c r="AE287" s="105"/>
      <c r="AF287" s="105"/>
      <c r="AG287" s="139"/>
      <c r="AH287" s="105"/>
      <c r="AI287" s="105"/>
      <c r="AJ287" s="105"/>
      <c r="AK287" s="105"/>
      <c r="AL287" s="139"/>
      <c r="AM287" s="105"/>
      <c r="AN287" s="105"/>
      <c r="AO287" s="105"/>
      <c r="AP287" s="105"/>
      <c r="AQ287" s="139"/>
      <c r="AR287" s="105"/>
      <c r="AS287" s="105"/>
      <c r="AT287" s="105"/>
      <c r="AU287" s="105"/>
      <c r="AV287" s="139"/>
      <c r="AW287" s="105"/>
      <c r="AX287" s="105"/>
      <c r="AY287" s="105"/>
      <c r="AZ287" s="105"/>
      <c r="BA287" s="139"/>
      <c r="BB287" s="105"/>
      <c r="BC287" s="105"/>
      <c r="BD287" s="105"/>
      <c r="BE287" s="105"/>
      <c r="BF287" s="139"/>
      <c r="BG287" s="105"/>
      <c r="BH287" s="105"/>
      <c r="BI287" s="105"/>
      <c r="BJ287" s="105"/>
      <c r="BK287" s="139"/>
      <c r="BL287" s="105"/>
      <c r="BM287" s="105"/>
      <c r="BN287" s="105"/>
      <c r="BO287" s="105"/>
      <c r="BP287" s="139"/>
      <c r="BQ287" s="105"/>
      <c r="BR287" s="105"/>
      <c r="BS287" s="105"/>
      <c r="BT287" s="105"/>
      <c r="BU287" s="139"/>
      <c r="BV287" s="105"/>
      <c r="BW287" s="105"/>
      <c r="BX287" s="105"/>
      <c r="BY287" s="105"/>
      <c r="BZ287" s="139"/>
      <c r="CA287" s="105"/>
      <c r="CB287" s="105"/>
      <c r="CC287" s="105"/>
      <c r="CD287" s="105"/>
      <c r="CE287" s="139"/>
      <c r="CF287" s="105"/>
      <c r="CG287" s="105"/>
      <c r="CH287" s="105"/>
      <c r="CI287" s="105"/>
      <c r="CJ287" s="139"/>
      <c r="CK287" s="105"/>
      <c r="CL287" s="105"/>
      <c r="CM287" s="105"/>
      <c r="CN287" s="105"/>
      <c r="CO287" s="139"/>
      <c r="CP287" s="105"/>
      <c r="CQ287" s="105"/>
      <c r="CR287" s="105"/>
      <c r="CS287" s="105"/>
      <c r="CT287" s="139"/>
      <c r="CU287" s="105"/>
      <c r="CV287" s="105"/>
      <c r="CW287" s="105"/>
      <c r="CX287" s="105"/>
      <c r="CY287" s="139"/>
      <c r="CZ287" s="105"/>
      <c r="DA287" s="105"/>
      <c r="DB287" s="105"/>
      <c r="DC287" s="105"/>
      <c r="DD287" s="139"/>
      <c r="DE287" s="105"/>
      <c r="DF287" s="105"/>
      <c r="DG287" s="105"/>
      <c r="DH287" s="105"/>
      <c r="DI287" s="139"/>
      <c r="DJ287" s="105"/>
      <c r="DK287" s="105"/>
      <c r="DL287" s="105"/>
      <c r="DM287" s="105"/>
      <c r="DN287" s="139"/>
      <c r="DO287" s="105"/>
      <c r="DP287" s="105"/>
      <c r="DQ287" s="105"/>
      <c r="DR287" s="105"/>
      <c r="DS287" s="139"/>
      <c r="DT287" s="105"/>
      <c r="DU287" s="105"/>
      <c r="DV287" s="105"/>
      <c r="DW287" s="105"/>
      <c r="DX287" s="139"/>
      <c r="DY287" s="105"/>
      <c r="DZ287" s="105"/>
      <c r="EA287" s="105"/>
      <c r="EB287" s="105"/>
      <c r="EC287" s="139"/>
      <c r="ED287" s="105"/>
      <c r="EE287" s="105"/>
      <c r="EF287" s="105"/>
      <c r="EG287" s="105"/>
      <c r="EH287" s="139"/>
      <c r="EI287" s="105"/>
      <c r="EJ287" s="105"/>
      <c r="EK287" s="105"/>
      <c r="EL287" s="105"/>
      <c r="EM287" s="139"/>
      <c r="EN287" s="105"/>
      <c r="EO287" s="105"/>
      <c r="EP287" s="105"/>
      <c r="EQ287" s="105"/>
      <c r="ER287" s="139"/>
      <c r="ES287" s="105"/>
      <c r="ET287" s="105"/>
      <c r="EU287" s="105"/>
      <c r="EV287" s="105"/>
      <c r="EW287" s="139"/>
      <c r="EX287" s="105"/>
      <c r="EY287" s="105"/>
      <c r="EZ287" s="105"/>
      <c r="FA287" s="105"/>
      <c r="FB287" s="139"/>
      <c r="FC287" s="105"/>
      <c r="FD287" s="105"/>
      <c r="FE287" s="105"/>
      <c r="FF287" s="105"/>
      <c r="FG287" s="139"/>
      <c r="FH287" s="105"/>
      <c r="FI287" s="105"/>
      <c r="FJ287" s="105"/>
      <c r="FK287" s="105"/>
      <c r="FL287" s="139"/>
      <c r="FM287" s="105"/>
      <c r="FN287" s="105"/>
      <c r="FO287" s="105"/>
      <c r="FP287" s="105"/>
      <c r="FQ287" s="139"/>
      <c r="FR287" s="105"/>
      <c r="FS287" s="105"/>
      <c r="FT287" s="105"/>
      <c r="FU287" s="105"/>
      <c r="FV287" s="139"/>
      <c r="FW287" s="105"/>
      <c r="FX287" s="105"/>
      <c r="FY287" s="105"/>
      <c r="FZ287" s="105"/>
      <c r="GA287" s="139"/>
      <c r="GB287" s="105"/>
      <c r="GC287" s="105"/>
      <c r="GD287" s="105"/>
      <c r="GE287" s="105"/>
      <c r="GF287" s="139"/>
      <c r="GG287" s="105"/>
      <c r="GH287" s="105"/>
      <c r="GI287" s="105"/>
      <c r="GJ287" s="105"/>
    </row>
    <row r="289" spans="3:192" ht="12.75" customHeight="1">
      <c r="C289" s="187"/>
      <c r="D289" s="180"/>
      <c r="E289" s="180"/>
      <c r="F289" s="180"/>
      <c r="G289" s="180"/>
      <c r="H289" s="187"/>
      <c r="I289" s="180"/>
      <c r="J289" s="180"/>
      <c r="K289" s="180"/>
      <c r="L289" s="180"/>
      <c r="M289" s="187"/>
      <c r="N289" s="180"/>
      <c r="O289" s="180"/>
      <c r="P289" s="180"/>
      <c r="Q289" s="180"/>
      <c r="R289" s="187"/>
      <c r="S289" s="180"/>
      <c r="T289" s="180"/>
      <c r="U289" s="180"/>
      <c r="V289" s="180"/>
      <c r="W289" s="187"/>
      <c r="X289" s="180"/>
      <c r="Y289" s="180"/>
      <c r="Z289" s="180"/>
      <c r="AA289" s="180"/>
      <c r="AB289" s="187"/>
      <c r="AC289" s="180"/>
      <c r="AD289" s="180"/>
      <c r="AE289" s="180"/>
      <c r="AF289" s="180"/>
      <c r="AG289" s="187"/>
      <c r="AH289" s="180"/>
      <c r="AI289" s="180"/>
      <c r="AJ289" s="180"/>
      <c r="AK289" s="180"/>
      <c r="AL289" s="187"/>
      <c r="AM289" s="180"/>
      <c r="AN289" s="180"/>
      <c r="AO289" s="180"/>
      <c r="AP289" s="180"/>
      <c r="AQ289" s="187"/>
      <c r="AR289" s="180"/>
      <c r="AS289" s="180"/>
      <c r="AT289" s="180"/>
      <c r="AU289" s="180"/>
      <c r="AV289" s="187"/>
      <c r="AW289" s="180"/>
      <c r="AX289" s="180"/>
      <c r="AY289" s="180"/>
      <c r="AZ289" s="180"/>
      <c r="BA289" s="187"/>
      <c r="BB289" s="180"/>
      <c r="BC289" s="180"/>
      <c r="BD289" s="180"/>
      <c r="BE289" s="180"/>
      <c r="BF289" s="187"/>
      <c r="BG289" s="180"/>
      <c r="BH289" s="180"/>
      <c r="BI289" s="180"/>
      <c r="BJ289" s="180"/>
      <c r="BK289" s="187"/>
      <c r="BL289" s="180"/>
      <c r="BM289" s="180"/>
      <c r="BN289" s="180"/>
      <c r="BO289" s="180"/>
      <c r="BP289" s="187"/>
      <c r="BQ289" s="180"/>
      <c r="BR289" s="180"/>
      <c r="BS289" s="180"/>
      <c r="BT289" s="180"/>
      <c r="BU289" s="187"/>
      <c r="BV289" s="180"/>
      <c r="BW289" s="180"/>
      <c r="BX289" s="180"/>
      <c r="BY289" s="180"/>
      <c r="BZ289" s="187"/>
      <c r="CA289" s="180"/>
      <c r="CB289" s="180"/>
      <c r="CC289" s="180"/>
      <c r="CD289" s="180"/>
      <c r="CE289" s="187"/>
      <c r="CF289" s="180"/>
      <c r="CG289" s="180"/>
      <c r="CH289" s="180"/>
      <c r="CI289" s="180"/>
      <c r="CJ289" s="187"/>
      <c r="CK289" s="180"/>
      <c r="CL289" s="180"/>
      <c r="CM289" s="180"/>
      <c r="CN289" s="180"/>
      <c r="CO289" s="187"/>
      <c r="CP289" s="180"/>
      <c r="CQ289" s="180"/>
      <c r="CR289" s="180"/>
      <c r="CS289" s="180"/>
      <c r="CT289" s="187"/>
      <c r="CU289" s="180"/>
      <c r="CV289" s="180"/>
      <c r="CW289" s="180"/>
      <c r="CX289" s="180"/>
      <c r="CY289" s="187"/>
      <c r="CZ289" s="180"/>
      <c r="DA289" s="180"/>
      <c r="DB289" s="180"/>
      <c r="DC289" s="180"/>
      <c r="DD289" s="187"/>
      <c r="DE289" s="180"/>
      <c r="DF289" s="180"/>
      <c r="DG289" s="180"/>
      <c r="DH289" s="180"/>
      <c r="DI289" s="187"/>
      <c r="DJ289" s="180"/>
      <c r="DK289" s="180"/>
      <c r="DL289" s="180"/>
      <c r="DM289" s="180"/>
      <c r="DN289" s="187"/>
      <c r="DO289" s="180"/>
      <c r="DP289" s="180"/>
      <c r="DQ289" s="180"/>
      <c r="DR289" s="180"/>
      <c r="DS289" s="187"/>
      <c r="DT289" s="180"/>
      <c r="DU289" s="180"/>
      <c r="DV289" s="180"/>
      <c r="DW289" s="180"/>
      <c r="DX289" s="187"/>
      <c r="DY289" s="180"/>
      <c r="DZ289" s="180"/>
      <c r="EA289" s="180"/>
      <c r="EB289" s="180"/>
      <c r="EC289" s="187"/>
      <c r="ED289" s="180"/>
      <c r="EE289" s="180"/>
      <c r="EF289" s="180"/>
      <c r="EG289" s="180"/>
      <c r="EH289" s="187"/>
      <c r="EI289" s="180"/>
      <c r="EJ289" s="180"/>
      <c r="EK289" s="180"/>
      <c r="EL289" s="180"/>
      <c r="EM289" s="187"/>
      <c r="EN289" s="180"/>
      <c r="EO289" s="180"/>
      <c r="EP289" s="180"/>
      <c r="EQ289" s="180"/>
      <c r="ER289" s="187"/>
      <c r="ES289" s="180"/>
      <c r="ET289" s="180"/>
      <c r="EU289" s="180"/>
      <c r="EV289" s="180"/>
      <c r="EW289" s="187"/>
      <c r="EX289" s="180"/>
      <c r="EY289" s="180"/>
      <c r="EZ289" s="180"/>
      <c r="FA289" s="180"/>
      <c r="FB289" s="187"/>
      <c r="FC289" s="180"/>
      <c r="FD289" s="180"/>
      <c r="FE289" s="180"/>
      <c r="FF289" s="180"/>
      <c r="FG289" s="187"/>
      <c r="FH289" s="180"/>
      <c r="FI289" s="180"/>
      <c r="FJ289" s="180"/>
      <c r="FK289" s="180"/>
      <c r="FL289" s="187"/>
      <c r="FM289" s="180"/>
      <c r="FN289" s="180"/>
      <c r="FO289" s="180"/>
      <c r="FP289" s="180"/>
      <c r="FQ289" s="187"/>
      <c r="FR289" s="180"/>
      <c r="FS289" s="180"/>
      <c r="FT289" s="180"/>
      <c r="FU289" s="180"/>
      <c r="FV289" s="187"/>
      <c r="FW289" s="180"/>
      <c r="FX289" s="180"/>
      <c r="FY289" s="180"/>
      <c r="FZ289" s="180"/>
      <c r="GA289" s="187"/>
      <c r="GB289" s="180"/>
      <c r="GC289" s="180"/>
      <c r="GD289" s="180"/>
      <c r="GE289" s="180"/>
      <c r="GF289" s="187"/>
      <c r="GG289" s="180"/>
      <c r="GH289" s="180"/>
      <c r="GI289" s="180"/>
      <c r="GJ289" s="180"/>
    </row>
    <row r="290" spans="3:192" ht="12.75" customHeight="1">
      <c r="C290" s="181"/>
      <c r="D290" s="182"/>
      <c r="E290" s="182"/>
      <c r="F290" s="182"/>
      <c r="G290" s="182"/>
      <c r="H290" s="181"/>
      <c r="I290" s="182"/>
      <c r="J290" s="182"/>
      <c r="K290" s="182"/>
      <c r="L290" s="182"/>
      <c r="M290" s="181"/>
      <c r="N290" s="182"/>
      <c r="O290" s="182"/>
      <c r="P290" s="182"/>
      <c r="Q290" s="182"/>
      <c r="R290" s="181"/>
      <c r="S290" s="182"/>
      <c r="T290" s="182"/>
      <c r="U290" s="182"/>
      <c r="V290" s="182"/>
      <c r="W290" s="181"/>
      <c r="X290" s="182"/>
      <c r="Y290" s="182"/>
      <c r="Z290" s="182"/>
      <c r="AA290" s="182"/>
      <c r="AB290" s="181"/>
      <c r="AC290" s="182"/>
      <c r="AD290" s="182"/>
      <c r="AE290" s="182"/>
      <c r="AF290" s="182"/>
      <c r="AG290" s="181"/>
      <c r="AH290" s="182"/>
      <c r="AI290" s="182"/>
      <c r="AJ290" s="182"/>
      <c r="AK290" s="182"/>
      <c r="AL290" s="181"/>
      <c r="AM290" s="182"/>
      <c r="AN290" s="182"/>
      <c r="AO290" s="182"/>
      <c r="AP290" s="182"/>
      <c r="AQ290" s="181"/>
      <c r="AR290" s="182"/>
      <c r="AS290" s="182"/>
      <c r="AT290" s="182"/>
      <c r="AU290" s="182"/>
      <c r="AV290" s="181"/>
      <c r="AW290" s="182"/>
      <c r="AX290" s="182"/>
      <c r="AY290" s="182"/>
      <c r="AZ290" s="182"/>
      <c r="BA290" s="181"/>
      <c r="BB290" s="182"/>
      <c r="BC290" s="182"/>
      <c r="BD290" s="182"/>
      <c r="BE290" s="182"/>
      <c r="BF290" s="181"/>
      <c r="BG290" s="182"/>
      <c r="BH290" s="182"/>
      <c r="BI290" s="182"/>
      <c r="BJ290" s="182"/>
      <c r="BK290" s="181"/>
      <c r="BL290" s="182"/>
      <c r="BM290" s="182"/>
      <c r="BN290" s="182"/>
      <c r="BO290" s="182"/>
      <c r="BP290" s="181"/>
      <c r="BQ290" s="182"/>
      <c r="BR290" s="182"/>
      <c r="BS290" s="182"/>
      <c r="BT290" s="182"/>
      <c r="BU290" s="181"/>
      <c r="BV290" s="182"/>
      <c r="BW290" s="182"/>
      <c r="BX290" s="182"/>
      <c r="BY290" s="182"/>
      <c r="BZ290" s="181"/>
      <c r="CA290" s="182"/>
      <c r="CB290" s="182"/>
      <c r="CC290" s="182"/>
      <c r="CD290" s="182"/>
      <c r="CE290" s="181"/>
      <c r="CF290" s="182"/>
      <c r="CG290" s="182"/>
      <c r="CH290" s="182"/>
      <c r="CI290" s="182"/>
      <c r="CJ290" s="181"/>
      <c r="CK290" s="182"/>
      <c r="CL290" s="182"/>
      <c r="CM290" s="182"/>
      <c r="CN290" s="182"/>
      <c r="CO290" s="181"/>
      <c r="CP290" s="182"/>
      <c r="CQ290" s="182"/>
      <c r="CR290" s="182"/>
      <c r="CS290" s="182"/>
      <c r="CT290" s="181"/>
      <c r="CU290" s="182"/>
      <c r="CV290" s="182"/>
      <c r="CW290" s="182"/>
      <c r="CX290" s="182"/>
      <c r="CY290" s="181"/>
      <c r="CZ290" s="182"/>
      <c r="DA290" s="182"/>
      <c r="DB290" s="182"/>
      <c r="DC290" s="182"/>
      <c r="DD290" s="181"/>
      <c r="DE290" s="182"/>
      <c r="DF290" s="182"/>
      <c r="DG290" s="182"/>
      <c r="DH290" s="182"/>
      <c r="DI290" s="181"/>
      <c r="DJ290" s="182"/>
      <c r="DK290" s="182"/>
      <c r="DL290" s="182"/>
      <c r="DM290" s="182"/>
      <c r="DN290" s="181"/>
      <c r="DO290" s="182"/>
      <c r="DP290" s="182"/>
      <c r="DQ290" s="182"/>
      <c r="DR290" s="182"/>
      <c r="DS290" s="181"/>
      <c r="DT290" s="182"/>
      <c r="DU290" s="182"/>
      <c r="DV290" s="182"/>
      <c r="DW290" s="182"/>
      <c r="DX290" s="181"/>
      <c r="DY290" s="182"/>
      <c r="DZ290" s="182"/>
      <c r="EA290" s="182"/>
      <c r="EB290" s="182"/>
      <c r="EC290" s="181"/>
      <c r="ED290" s="182"/>
      <c r="EE290" s="182"/>
      <c r="EF290" s="182"/>
      <c r="EG290" s="182"/>
      <c r="EH290" s="181"/>
      <c r="EI290" s="182"/>
      <c r="EJ290" s="182"/>
      <c r="EK290" s="182"/>
      <c r="EL290" s="182"/>
      <c r="EM290" s="181"/>
      <c r="EN290" s="182"/>
      <c r="EO290" s="182"/>
      <c r="EP290" s="182"/>
      <c r="EQ290" s="182"/>
      <c r="ER290" s="181"/>
      <c r="ES290" s="182"/>
      <c r="ET290" s="182"/>
      <c r="EU290" s="182"/>
      <c r="EV290" s="182"/>
      <c r="EW290" s="181"/>
      <c r="EX290" s="182"/>
      <c r="EY290" s="182"/>
      <c r="EZ290" s="182"/>
      <c r="FA290" s="182"/>
      <c r="FB290" s="181"/>
      <c r="FC290" s="182"/>
      <c r="FD290" s="182"/>
      <c r="FE290" s="182"/>
      <c r="FF290" s="182"/>
      <c r="FG290" s="181"/>
      <c r="FH290" s="182"/>
      <c r="FI290" s="182"/>
      <c r="FJ290" s="182"/>
      <c r="FK290" s="182"/>
      <c r="FL290" s="181"/>
      <c r="FM290" s="182"/>
      <c r="FN290" s="182"/>
      <c r="FO290" s="182"/>
      <c r="FP290" s="182"/>
      <c r="FQ290" s="181"/>
      <c r="FR290" s="182"/>
      <c r="FS290" s="182"/>
      <c r="FT290" s="182"/>
      <c r="FU290" s="182"/>
      <c r="FV290" s="181"/>
      <c r="FW290" s="182"/>
      <c r="FX290" s="182"/>
      <c r="FY290" s="182"/>
      <c r="FZ290" s="182"/>
      <c r="GA290" s="181"/>
      <c r="GB290" s="182"/>
      <c r="GC290" s="182"/>
      <c r="GD290" s="182"/>
      <c r="GE290" s="182"/>
      <c r="GF290" s="181"/>
      <c r="GG290" s="182"/>
      <c r="GH290" s="182"/>
      <c r="GI290" s="182"/>
      <c r="GJ290" s="182"/>
    </row>
    <row r="292" spans="3:192" ht="12.75" customHeight="1">
      <c r="C292" s="176"/>
      <c r="D292" s="177"/>
      <c r="E292" s="177"/>
      <c r="F292" s="177"/>
      <c r="G292" s="177"/>
      <c r="H292" s="176"/>
      <c r="I292" s="177"/>
      <c r="J292" s="177"/>
      <c r="K292" s="177"/>
      <c r="L292" s="177"/>
      <c r="M292" s="176"/>
      <c r="N292" s="177"/>
      <c r="O292" s="177"/>
      <c r="P292" s="177"/>
      <c r="Q292" s="177"/>
      <c r="R292" s="176"/>
      <c r="S292" s="177"/>
      <c r="T292" s="177"/>
      <c r="U292" s="177"/>
      <c r="V292" s="177"/>
      <c r="W292" s="176"/>
      <c r="X292" s="177"/>
      <c r="Y292" s="177"/>
      <c r="Z292" s="177"/>
      <c r="AA292" s="177"/>
      <c r="AB292" s="176"/>
      <c r="AC292" s="177"/>
      <c r="AD292" s="177"/>
      <c r="AE292" s="177"/>
      <c r="AF292" s="177"/>
      <c r="AG292" s="176"/>
      <c r="AH292" s="177"/>
      <c r="AI292" s="177"/>
      <c r="AJ292" s="177"/>
      <c r="AK292" s="177"/>
      <c r="AL292" s="176"/>
      <c r="AM292" s="177"/>
      <c r="AN292" s="177"/>
      <c r="AO292" s="177"/>
      <c r="AP292" s="177"/>
      <c r="AQ292" s="176"/>
      <c r="AR292" s="177"/>
      <c r="AS292" s="177"/>
      <c r="AT292" s="177"/>
      <c r="AU292" s="177"/>
      <c r="AV292" s="176"/>
      <c r="AW292" s="177"/>
      <c r="AX292" s="177"/>
      <c r="AY292" s="177"/>
      <c r="AZ292" s="177"/>
      <c r="BA292" s="176"/>
      <c r="BB292" s="177"/>
      <c r="BC292" s="177"/>
      <c r="BD292" s="177"/>
      <c r="BE292" s="177"/>
      <c r="BF292" s="176"/>
      <c r="BG292" s="177"/>
      <c r="BH292" s="177"/>
      <c r="BI292" s="177"/>
      <c r="BJ292" s="177"/>
      <c r="BK292" s="176"/>
      <c r="BL292" s="177"/>
      <c r="BM292" s="177"/>
      <c r="BN292" s="177"/>
      <c r="BO292" s="177"/>
      <c r="BP292" s="176"/>
      <c r="BQ292" s="177"/>
      <c r="BR292" s="177"/>
      <c r="BS292" s="177"/>
      <c r="BT292" s="177"/>
      <c r="BU292" s="176"/>
      <c r="BV292" s="177"/>
      <c r="BW292" s="177"/>
      <c r="BX292" s="177"/>
      <c r="BY292" s="177"/>
      <c r="BZ292" s="176"/>
      <c r="CA292" s="177"/>
      <c r="CB292" s="177"/>
      <c r="CC292" s="177"/>
      <c r="CD292" s="177"/>
      <c r="CE292" s="176"/>
      <c r="CF292" s="177"/>
      <c r="CG292" s="177"/>
      <c r="CH292" s="177"/>
      <c r="CI292" s="177"/>
      <c r="CJ292" s="176"/>
      <c r="CK292" s="177"/>
      <c r="CL292" s="177"/>
      <c r="CM292" s="177"/>
      <c r="CN292" s="177"/>
      <c r="CO292" s="176"/>
      <c r="CP292" s="177"/>
      <c r="CQ292" s="177"/>
      <c r="CR292" s="177"/>
      <c r="CS292" s="177"/>
      <c r="CT292" s="176"/>
      <c r="CU292" s="177"/>
      <c r="CV292" s="177"/>
      <c r="CW292" s="177"/>
      <c r="CX292" s="177"/>
      <c r="CY292" s="176"/>
      <c r="CZ292" s="177"/>
      <c r="DA292" s="177"/>
      <c r="DB292" s="177"/>
      <c r="DC292" s="177"/>
      <c r="DD292" s="176"/>
      <c r="DE292" s="177"/>
      <c r="DF292" s="177"/>
      <c r="DG292" s="177"/>
      <c r="DH292" s="177"/>
      <c r="DI292" s="176"/>
      <c r="DJ292" s="177"/>
      <c r="DK292" s="177"/>
      <c r="DL292" s="177"/>
      <c r="DM292" s="177"/>
      <c r="DN292" s="176"/>
      <c r="DO292" s="177"/>
      <c r="DP292" s="177"/>
      <c r="DQ292" s="177"/>
      <c r="DR292" s="177"/>
      <c r="DS292" s="176"/>
      <c r="DT292" s="177"/>
      <c r="DU292" s="177"/>
      <c r="DV292" s="177"/>
      <c r="DW292" s="177"/>
      <c r="DX292" s="176"/>
      <c r="DY292" s="177"/>
      <c r="DZ292" s="177"/>
      <c r="EA292" s="177"/>
      <c r="EB292" s="177"/>
      <c r="EC292" s="176"/>
      <c r="ED292" s="177"/>
      <c r="EE292" s="177"/>
      <c r="EF292" s="177"/>
      <c r="EG292" s="177"/>
      <c r="EH292" s="176"/>
      <c r="EI292" s="177"/>
      <c r="EJ292" s="177"/>
      <c r="EK292" s="177"/>
      <c r="EL292" s="177"/>
      <c r="EM292" s="176"/>
      <c r="EN292" s="177"/>
      <c r="EO292" s="177"/>
      <c r="EP292" s="177"/>
      <c r="EQ292" s="177"/>
      <c r="ER292" s="176"/>
      <c r="ES292" s="177"/>
      <c r="ET292" s="177"/>
      <c r="EU292" s="177"/>
      <c r="EV292" s="177"/>
      <c r="EW292" s="176"/>
      <c r="EX292" s="177"/>
      <c r="EY292" s="177"/>
      <c r="EZ292" s="177"/>
      <c r="FA292" s="177"/>
      <c r="FB292" s="176"/>
      <c r="FC292" s="177"/>
      <c r="FD292" s="177"/>
      <c r="FE292" s="177"/>
      <c r="FF292" s="177"/>
      <c r="FG292" s="176"/>
      <c r="FH292" s="177"/>
      <c r="FI292" s="177"/>
      <c r="FJ292" s="177"/>
      <c r="FK292" s="177"/>
      <c r="FL292" s="176"/>
      <c r="FM292" s="177"/>
      <c r="FN292" s="177"/>
      <c r="FO292" s="177"/>
      <c r="FP292" s="177"/>
      <c r="FQ292" s="176"/>
      <c r="FR292" s="177"/>
      <c r="FS292" s="177"/>
      <c r="FT292" s="177"/>
      <c r="FU292" s="177"/>
      <c r="FV292" s="176"/>
      <c r="FW292" s="177"/>
      <c r="FX292" s="177"/>
      <c r="FY292" s="177"/>
      <c r="FZ292" s="177"/>
      <c r="GA292" s="176"/>
      <c r="GB292" s="177"/>
      <c r="GC292" s="177"/>
      <c r="GD292" s="177"/>
      <c r="GE292" s="177"/>
      <c r="GF292" s="176"/>
      <c r="GG292" s="177"/>
      <c r="GH292" s="177"/>
      <c r="GI292" s="177"/>
      <c r="GJ292" s="177"/>
    </row>
    <row r="293" spans="3:192" ht="12.75" customHeight="1">
      <c r="C293" s="139"/>
      <c r="D293" s="105"/>
      <c r="E293" s="105"/>
      <c r="F293" s="105"/>
      <c r="G293" s="105"/>
      <c r="H293" s="139"/>
      <c r="I293" s="105"/>
      <c r="J293" s="105"/>
      <c r="K293" s="105"/>
      <c r="L293" s="105"/>
      <c r="M293" s="139"/>
      <c r="N293" s="105"/>
      <c r="O293" s="105"/>
      <c r="P293" s="105"/>
      <c r="Q293" s="105"/>
      <c r="R293" s="139"/>
      <c r="S293" s="105"/>
      <c r="T293" s="105"/>
      <c r="U293" s="105"/>
      <c r="V293" s="105"/>
      <c r="W293" s="139"/>
      <c r="X293" s="105"/>
      <c r="Y293" s="105"/>
      <c r="Z293" s="105"/>
      <c r="AA293" s="105"/>
      <c r="AB293" s="139"/>
      <c r="AC293" s="105"/>
      <c r="AD293" s="105"/>
      <c r="AE293" s="105"/>
      <c r="AF293" s="105"/>
      <c r="AG293" s="139"/>
      <c r="AH293" s="105"/>
      <c r="AI293" s="105"/>
      <c r="AJ293" s="105"/>
      <c r="AK293" s="105"/>
      <c r="AL293" s="139"/>
      <c r="AM293" s="105"/>
      <c r="AN293" s="105"/>
      <c r="AO293" s="105"/>
      <c r="AP293" s="105"/>
      <c r="AQ293" s="139"/>
      <c r="AR293" s="105"/>
      <c r="AS293" s="105"/>
      <c r="AT293" s="105"/>
      <c r="AU293" s="105"/>
      <c r="AV293" s="139"/>
      <c r="AW293" s="105"/>
      <c r="AX293" s="105"/>
      <c r="AY293" s="105"/>
      <c r="AZ293" s="105"/>
      <c r="BA293" s="139"/>
      <c r="BB293" s="105"/>
      <c r="BC293" s="105"/>
      <c r="BD293" s="105"/>
      <c r="BE293" s="105"/>
      <c r="BF293" s="139"/>
      <c r="BG293" s="105"/>
      <c r="BH293" s="105"/>
      <c r="BI293" s="105"/>
      <c r="BJ293" s="105"/>
      <c r="BK293" s="139"/>
      <c r="BL293" s="105"/>
      <c r="BM293" s="105"/>
      <c r="BN293" s="105"/>
      <c r="BO293" s="105"/>
      <c r="BP293" s="139"/>
      <c r="BQ293" s="105"/>
      <c r="BR293" s="105"/>
      <c r="BS293" s="105"/>
      <c r="BT293" s="105"/>
      <c r="BU293" s="139"/>
      <c r="BV293" s="105"/>
      <c r="BW293" s="105"/>
      <c r="BX293" s="105"/>
      <c r="BY293" s="105"/>
      <c r="BZ293" s="139"/>
      <c r="CA293" s="105"/>
      <c r="CB293" s="105"/>
      <c r="CC293" s="105"/>
      <c r="CD293" s="105"/>
      <c r="CE293" s="139"/>
      <c r="CF293" s="105"/>
      <c r="CG293" s="105"/>
      <c r="CH293" s="105"/>
      <c r="CI293" s="105"/>
      <c r="CJ293" s="139"/>
      <c r="CK293" s="105"/>
      <c r="CL293" s="105"/>
      <c r="CM293" s="105"/>
      <c r="CN293" s="105"/>
      <c r="CO293" s="139"/>
      <c r="CP293" s="105"/>
      <c r="CQ293" s="105"/>
      <c r="CR293" s="105"/>
      <c r="CS293" s="105"/>
      <c r="CT293" s="139"/>
      <c r="CU293" s="105"/>
      <c r="CV293" s="105"/>
      <c r="CW293" s="105"/>
      <c r="CX293" s="105"/>
      <c r="CY293" s="139"/>
      <c r="CZ293" s="105"/>
      <c r="DA293" s="105"/>
      <c r="DB293" s="105"/>
      <c r="DC293" s="105"/>
      <c r="DD293" s="139"/>
      <c r="DE293" s="105"/>
      <c r="DF293" s="105"/>
      <c r="DG293" s="105"/>
      <c r="DH293" s="105"/>
      <c r="DI293" s="139"/>
      <c r="DJ293" s="105"/>
      <c r="DK293" s="105"/>
      <c r="DL293" s="105"/>
      <c r="DM293" s="105"/>
      <c r="DN293" s="139"/>
      <c r="DO293" s="105"/>
      <c r="DP293" s="105"/>
      <c r="DQ293" s="105"/>
      <c r="DR293" s="105"/>
      <c r="DS293" s="139"/>
      <c r="DT293" s="105"/>
      <c r="DU293" s="105"/>
      <c r="DV293" s="105"/>
      <c r="DW293" s="105"/>
      <c r="DX293" s="139"/>
      <c r="DY293" s="105"/>
      <c r="DZ293" s="105"/>
      <c r="EA293" s="105"/>
      <c r="EB293" s="105"/>
      <c r="EC293" s="139"/>
      <c r="ED293" s="105"/>
      <c r="EE293" s="105"/>
      <c r="EF293" s="105"/>
      <c r="EG293" s="105"/>
      <c r="EH293" s="139"/>
      <c r="EI293" s="105"/>
      <c r="EJ293" s="105"/>
      <c r="EK293" s="105"/>
      <c r="EL293" s="105"/>
      <c r="EM293" s="139"/>
      <c r="EN293" s="105"/>
      <c r="EO293" s="105"/>
      <c r="EP293" s="105"/>
      <c r="EQ293" s="105"/>
      <c r="ER293" s="139"/>
      <c r="ES293" s="105"/>
      <c r="ET293" s="105"/>
      <c r="EU293" s="105"/>
      <c r="EV293" s="105"/>
      <c r="EW293" s="139"/>
      <c r="EX293" s="105"/>
      <c r="EY293" s="105"/>
      <c r="EZ293" s="105"/>
      <c r="FA293" s="105"/>
      <c r="FB293" s="139"/>
      <c r="FC293" s="105"/>
      <c r="FD293" s="105"/>
      <c r="FE293" s="105"/>
      <c r="FF293" s="105"/>
      <c r="FG293" s="139"/>
      <c r="FH293" s="105"/>
      <c r="FI293" s="105"/>
      <c r="FJ293" s="105"/>
      <c r="FK293" s="105"/>
      <c r="FL293" s="139"/>
      <c r="FM293" s="105"/>
      <c r="FN293" s="105"/>
      <c r="FO293" s="105"/>
      <c r="FP293" s="105"/>
      <c r="FQ293" s="139"/>
      <c r="FR293" s="105"/>
      <c r="FS293" s="105"/>
      <c r="FT293" s="105"/>
      <c r="FU293" s="105"/>
      <c r="FV293" s="139"/>
      <c r="FW293" s="105"/>
      <c r="FX293" s="105"/>
      <c r="FY293" s="105"/>
      <c r="FZ293" s="105"/>
      <c r="GA293" s="139"/>
      <c r="GB293" s="105"/>
      <c r="GC293" s="105"/>
      <c r="GD293" s="105"/>
      <c r="GE293" s="105"/>
      <c r="GF293" s="139"/>
      <c r="GG293" s="105"/>
      <c r="GH293" s="105"/>
      <c r="GI293" s="105"/>
      <c r="GJ293" s="105"/>
    </row>
    <row r="297" spans="3:192" ht="12.75" customHeight="1">
      <c r="C297" s="183"/>
      <c r="D297" s="184"/>
      <c r="E297" s="184"/>
      <c r="F297" s="184"/>
      <c r="G297" s="184"/>
      <c r="H297" s="183"/>
      <c r="I297" s="184"/>
      <c r="J297" s="184"/>
      <c r="K297" s="184"/>
      <c r="L297" s="184"/>
      <c r="M297" s="183"/>
      <c r="N297" s="184"/>
      <c r="O297" s="184"/>
      <c r="P297" s="184"/>
      <c r="Q297" s="184"/>
      <c r="R297" s="183"/>
      <c r="S297" s="184"/>
      <c r="T297" s="184"/>
      <c r="U297" s="184"/>
      <c r="V297" s="184"/>
      <c r="W297" s="183"/>
      <c r="X297" s="184"/>
      <c r="Y297" s="184"/>
      <c r="Z297" s="184"/>
      <c r="AA297" s="184"/>
      <c r="AB297" s="183"/>
      <c r="AC297" s="184"/>
      <c r="AD297" s="184"/>
      <c r="AE297" s="184"/>
      <c r="AF297" s="184"/>
      <c r="AG297" s="183"/>
      <c r="AH297" s="184"/>
      <c r="AI297" s="184"/>
      <c r="AJ297" s="184"/>
      <c r="AK297" s="184"/>
      <c r="AL297" s="183"/>
      <c r="AM297" s="184"/>
      <c r="AN297" s="184"/>
      <c r="AO297" s="184"/>
      <c r="AP297" s="184"/>
      <c r="AQ297" s="183"/>
      <c r="AR297" s="184"/>
      <c r="AS297" s="184"/>
      <c r="AT297" s="184"/>
      <c r="AU297" s="184"/>
      <c r="AV297" s="183"/>
      <c r="AW297" s="184"/>
      <c r="AX297" s="184"/>
      <c r="AY297" s="184"/>
      <c r="AZ297" s="184"/>
      <c r="BA297" s="183"/>
      <c r="BB297" s="184"/>
      <c r="BC297" s="184"/>
      <c r="BD297" s="184"/>
      <c r="BE297" s="184"/>
      <c r="BF297" s="183"/>
      <c r="BG297" s="184"/>
      <c r="BH297" s="184"/>
      <c r="BI297" s="184"/>
      <c r="BJ297" s="184"/>
      <c r="BK297" s="183"/>
      <c r="BL297" s="184"/>
      <c r="BM297" s="184"/>
      <c r="BN297" s="184"/>
      <c r="BO297" s="184"/>
      <c r="BP297" s="183"/>
      <c r="BQ297" s="184"/>
      <c r="BR297" s="184"/>
      <c r="BS297" s="184"/>
      <c r="BT297" s="184"/>
      <c r="BU297" s="183"/>
      <c r="BV297" s="184"/>
      <c r="BW297" s="184"/>
      <c r="BX297" s="184"/>
      <c r="BY297" s="184"/>
      <c r="BZ297" s="183"/>
      <c r="CA297" s="184"/>
      <c r="CB297" s="184"/>
      <c r="CC297" s="184"/>
      <c r="CD297" s="184"/>
      <c r="CE297" s="183"/>
      <c r="CF297" s="184"/>
      <c r="CG297" s="184"/>
      <c r="CH297" s="184"/>
      <c r="CI297" s="184"/>
      <c r="CJ297" s="183"/>
      <c r="CK297" s="184"/>
      <c r="CL297" s="184"/>
      <c r="CM297" s="184"/>
      <c r="CN297" s="184"/>
      <c r="CO297" s="183"/>
      <c r="CP297" s="184"/>
      <c r="CQ297" s="184"/>
      <c r="CR297" s="184"/>
      <c r="CS297" s="184"/>
      <c r="CT297" s="183"/>
      <c r="CU297" s="184"/>
      <c r="CV297" s="184"/>
      <c r="CW297" s="184"/>
      <c r="CX297" s="184"/>
      <c r="CY297" s="183"/>
      <c r="CZ297" s="184"/>
      <c r="DA297" s="184"/>
      <c r="DB297" s="184"/>
      <c r="DC297" s="184"/>
      <c r="DD297" s="183"/>
      <c r="DE297" s="184"/>
      <c r="DF297" s="184"/>
      <c r="DG297" s="184"/>
      <c r="DH297" s="184"/>
      <c r="DI297" s="183"/>
      <c r="DJ297" s="184"/>
      <c r="DK297" s="184"/>
      <c r="DL297" s="184"/>
      <c r="DM297" s="184"/>
      <c r="DN297" s="183"/>
      <c r="DO297" s="184"/>
      <c r="DP297" s="184"/>
      <c r="DQ297" s="184"/>
      <c r="DR297" s="184"/>
      <c r="DS297" s="183"/>
      <c r="DT297" s="184"/>
      <c r="DU297" s="184"/>
      <c r="DV297" s="184"/>
      <c r="DW297" s="184"/>
      <c r="DX297" s="183"/>
      <c r="DY297" s="184"/>
      <c r="DZ297" s="184"/>
      <c r="EA297" s="184"/>
      <c r="EB297" s="184"/>
      <c r="EC297" s="183"/>
      <c r="ED297" s="184"/>
      <c r="EE297" s="184"/>
      <c r="EF297" s="184"/>
      <c r="EG297" s="184"/>
      <c r="EH297" s="183"/>
      <c r="EI297" s="184"/>
      <c r="EJ297" s="184"/>
      <c r="EK297" s="184"/>
      <c r="EL297" s="184"/>
      <c r="EM297" s="183"/>
      <c r="EN297" s="184"/>
      <c r="EO297" s="184"/>
      <c r="EP297" s="184"/>
      <c r="EQ297" s="184"/>
      <c r="ER297" s="183"/>
      <c r="ES297" s="184"/>
      <c r="ET297" s="184"/>
      <c r="EU297" s="184"/>
      <c r="EV297" s="184"/>
      <c r="EW297" s="183"/>
      <c r="EX297" s="184"/>
      <c r="EY297" s="184"/>
      <c r="EZ297" s="184"/>
      <c r="FA297" s="184"/>
      <c r="FB297" s="183"/>
      <c r="FC297" s="184"/>
      <c r="FD297" s="184"/>
      <c r="FE297" s="184"/>
      <c r="FF297" s="184"/>
      <c r="FG297" s="183"/>
      <c r="FH297" s="184"/>
      <c r="FI297" s="184"/>
      <c r="FJ297" s="184"/>
      <c r="FK297" s="184"/>
      <c r="FL297" s="183"/>
      <c r="FM297" s="184"/>
      <c r="FN297" s="184"/>
      <c r="FO297" s="184"/>
      <c r="FP297" s="184"/>
      <c r="FQ297" s="183"/>
      <c r="FR297" s="184"/>
      <c r="FS297" s="184"/>
      <c r="FT297" s="184"/>
      <c r="FU297" s="184"/>
      <c r="FV297" s="183"/>
      <c r="FW297" s="184"/>
      <c r="FX297" s="184"/>
      <c r="FY297" s="184"/>
      <c r="FZ297" s="184"/>
      <c r="GA297" s="183"/>
      <c r="GB297" s="184"/>
      <c r="GC297" s="184"/>
      <c r="GD297" s="184"/>
      <c r="GE297" s="184"/>
      <c r="GF297" s="183"/>
      <c r="GG297" s="184"/>
      <c r="GH297" s="184"/>
      <c r="GI297" s="184"/>
      <c r="GJ297" s="184"/>
    </row>
    <row r="298" spans="3:192" ht="12.75" customHeight="1">
      <c r="C298" s="188"/>
      <c r="D298" s="189"/>
      <c r="E298" s="189"/>
      <c r="F298" s="189"/>
      <c r="G298" s="189"/>
      <c r="H298" s="188"/>
      <c r="I298" s="189"/>
      <c r="J298" s="189"/>
      <c r="K298" s="189"/>
      <c r="L298" s="189"/>
      <c r="M298" s="188"/>
      <c r="N298" s="189"/>
      <c r="O298" s="189"/>
      <c r="P298" s="189"/>
      <c r="Q298" s="189"/>
      <c r="R298" s="188"/>
      <c r="S298" s="189"/>
      <c r="T298" s="189"/>
      <c r="U298" s="189"/>
      <c r="V298" s="189"/>
      <c r="W298" s="188"/>
      <c r="X298" s="189"/>
      <c r="Y298" s="189"/>
      <c r="Z298" s="189"/>
      <c r="AA298" s="189"/>
      <c r="AB298" s="188"/>
      <c r="AC298" s="189"/>
      <c r="AD298" s="189"/>
      <c r="AE298" s="189"/>
      <c r="AF298" s="189"/>
      <c r="AG298" s="188"/>
      <c r="AH298" s="189"/>
      <c r="AI298" s="189"/>
      <c r="AJ298" s="189"/>
      <c r="AK298" s="189"/>
      <c r="AL298" s="188"/>
      <c r="AM298" s="189"/>
      <c r="AN298" s="189"/>
      <c r="AO298" s="189"/>
      <c r="AP298" s="189"/>
      <c r="AQ298" s="188"/>
      <c r="AR298" s="189"/>
      <c r="AS298" s="189"/>
      <c r="AT298" s="189"/>
      <c r="AU298" s="189"/>
      <c r="AV298" s="188"/>
      <c r="AW298" s="189"/>
      <c r="AX298" s="189"/>
      <c r="AY298" s="189"/>
      <c r="AZ298" s="189"/>
      <c r="BA298" s="188"/>
      <c r="BB298" s="189"/>
      <c r="BC298" s="189"/>
      <c r="BD298" s="189"/>
      <c r="BE298" s="189"/>
      <c r="BF298" s="188"/>
      <c r="BG298" s="189"/>
      <c r="BH298" s="189"/>
      <c r="BI298" s="189"/>
      <c r="BJ298" s="189"/>
      <c r="BK298" s="188"/>
      <c r="BL298" s="189"/>
      <c r="BM298" s="189"/>
      <c r="BN298" s="189"/>
      <c r="BO298" s="189"/>
      <c r="BP298" s="188"/>
      <c r="BQ298" s="189"/>
      <c r="BR298" s="189"/>
      <c r="BS298" s="189"/>
      <c r="BT298" s="189"/>
      <c r="BU298" s="188"/>
      <c r="BV298" s="189"/>
      <c r="BW298" s="189"/>
      <c r="BX298" s="189"/>
      <c r="BY298" s="189"/>
      <c r="BZ298" s="188"/>
      <c r="CA298" s="189"/>
      <c r="CB298" s="189"/>
      <c r="CC298" s="189"/>
      <c r="CD298" s="189"/>
      <c r="CE298" s="188"/>
      <c r="CF298" s="189"/>
      <c r="CG298" s="189"/>
      <c r="CH298" s="189"/>
      <c r="CI298" s="189"/>
      <c r="CJ298" s="188"/>
      <c r="CK298" s="189"/>
      <c r="CL298" s="189"/>
      <c r="CM298" s="189"/>
      <c r="CN298" s="189"/>
      <c r="CO298" s="188"/>
      <c r="CP298" s="189"/>
      <c r="CQ298" s="189"/>
      <c r="CR298" s="189"/>
      <c r="CS298" s="189"/>
      <c r="CT298" s="188"/>
      <c r="CU298" s="189"/>
      <c r="CV298" s="189"/>
      <c r="CW298" s="189"/>
      <c r="CX298" s="189"/>
      <c r="CY298" s="188"/>
      <c r="CZ298" s="189"/>
      <c r="DA298" s="189"/>
      <c r="DB298" s="189"/>
      <c r="DC298" s="189"/>
      <c r="DD298" s="188"/>
      <c r="DE298" s="189"/>
      <c r="DF298" s="189"/>
      <c r="DG298" s="189"/>
      <c r="DH298" s="189"/>
      <c r="DI298" s="188"/>
      <c r="DJ298" s="189"/>
      <c r="DK298" s="189"/>
      <c r="DL298" s="189"/>
      <c r="DM298" s="189"/>
      <c r="DN298" s="188"/>
      <c r="DO298" s="189"/>
      <c r="DP298" s="189"/>
      <c r="DQ298" s="189"/>
      <c r="DR298" s="189"/>
      <c r="DS298" s="188"/>
      <c r="DT298" s="189"/>
      <c r="DU298" s="189"/>
      <c r="DV298" s="189"/>
      <c r="DW298" s="189"/>
      <c r="DX298" s="188"/>
      <c r="DY298" s="189"/>
      <c r="DZ298" s="189"/>
      <c r="EA298" s="189"/>
      <c r="EB298" s="189"/>
      <c r="EC298" s="188"/>
      <c r="ED298" s="189"/>
      <c r="EE298" s="189"/>
      <c r="EF298" s="189"/>
      <c r="EG298" s="189"/>
      <c r="EH298" s="188"/>
      <c r="EI298" s="189"/>
      <c r="EJ298" s="189"/>
      <c r="EK298" s="189"/>
      <c r="EL298" s="189"/>
      <c r="EM298" s="188"/>
      <c r="EN298" s="189"/>
      <c r="EO298" s="189"/>
      <c r="EP298" s="189"/>
      <c r="EQ298" s="189"/>
      <c r="ER298" s="188"/>
      <c r="ES298" s="189"/>
      <c r="ET298" s="189"/>
      <c r="EU298" s="189"/>
      <c r="EV298" s="189"/>
      <c r="EW298" s="188"/>
      <c r="EX298" s="189"/>
      <c r="EY298" s="189"/>
      <c r="EZ298" s="189"/>
      <c r="FA298" s="189"/>
      <c r="FB298" s="188"/>
      <c r="FC298" s="189"/>
      <c r="FD298" s="189"/>
      <c r="FE298" s="189"/>
      <c r="FF298" s="189"/>
      <c r="FG298" s="188"/>
      <c r="FH298" s="189"/>
      <c r="FI298" s="189"/>
      <c r="FJ298" s="189"/>
      <c r="FK298" s="189"/>
      <c r="FL298" s="188"/>
      <c r="FM298" s="189"/>
      <c r="FN298" s="189"/>
      <c r="FO298" s="189"/>
      <c r="FP298" s="189"/>
      <c r="FQ298" s="188"/>
      <c r="FR298" s="189"/>
      <c r="FS298" s="189"/>
      <c r="FT298" s="189"/>
      <c r="FU298" s="189"/>
      <c r="FV298" s="188"/>
      <c r="FW298" s="189"/>
      <c r="FX298" s="189"/>
      <c r="FY298" s="189"/>
      <c r="FZ298" s="189"/>
      <c r="GA298" s="188"/>
      <c r="GB298" s="189"/>
      <c r="GC298" s="189"/>
      <c r="GD298" s="189"/>
      <c r="GE298" s="189"/>
      <c r="GF298" s="188"/>
      <c r="GG298" s="189"/>
      <c r="GH298" s="189"/>
      <c r="GI298" s="189"/>
      <c r="GJ298" s="189"/>
    </row>
    <row r="299" spans="3:192" ht="12.75" customHeight="1">
      <c r="C299" s="139"/>
      <c r="D299" s="105"/>
      <c r="E299" s="105"/>
      <c r="F299" s="105"/>
      <c r="G299" s="105"/>
      <c r="H299" s="139"/>
      <c r="I299" s="105"/>
      <c r="J299" s="105"/>
      <c r="K299" s="105"/>
      <c r="L299" s="105"/>
      <c r="M299" s="139"/>
      <c r="N299" s="105"/>
      <c r="O299" s="105"/>
      <c r="P299" s="105"/>
      <c r="Q299" s="105"/>
      <c r="R299" s="139"/>
      <c r="S299" s="105"/>
      <c r="T299" s="105"/>
      <c r="U299" s="105"/>
      <c r="V299" s="105"/>
      <c r="W299" s="139"/>
      <c r="X299" s="105"/>
      <c r="Y299" s="105"/>
      <c r="Z299" s="105"/>
      <c r="AA299" s="105"/>
      <c r="AB299" s="139"/>
      <c r="AC299" s="105"/>
      <c r="AD299" s="105"/>
      <c r="AE299" s="105"/>
      <c r="AF299" s="105"/>
      <c r="AG299" s="139"/>
      <c r="AH299" s="105"/>
      <c r="AI299" s="105"/>
      <c r="AJ299" s="105"/>
      <c r="AK299" s="105"/>
      <c r="AL299" s="139"/>
      <c r="AM299" s="105"/>
      <c r="AN299" s="105"/>
      <c r="AO299" s="105"/>
      <c r="AP299" s="105"/>
      <c r="AQ299" s="139"/>
      <c r="AR299" s="105"/>
      <c r="AS299" s="105"/>
      <c r="AT299" s="105"/>
      <c r="AU299" s="105"/>
      <c r="AV299" s="139"/>
      <c r="AW299" s="105"/>
      <c r="AX299" s="105"/>
      <c r="AY299" s="105"/>
      <c r="AZ299" s="105"/>
      <c r="BA299" s="139"/>
      <c r="BB299" s="105"/>
      <c r="BC299" s="105"/>
      <c r="BD299" s="105"/>
      <c r="BE299" s="105"/>
      <c r="BF299" s="139"/>
      <c r="BG299" s="105"/>
      <c r="BH299" s="105"/>
      <c r="BI299" s="105"/>
      <c r="BJ299" s="105"/>
      <c r="BK299" s="139"/>
      <c r="BL299" s="105"/>
      <c r="BM299" s="105"/>
      <c r="BN299" s="105"/>
      <c r="BO299" s="105"/>
      <c r="BP299" s="139"/>
      <c r="BQ299" s="105"/>
      <c r="BR299" s="105"/>
      <c r="BS299" s="105"/>
      <c r="BT299" s="105"/>
      <c r="BU299" s="139"/>
      <c r="BV299" s="105"/>
      <c r="BW299" s="105"/>
      <c r="BX299" s="105"/>
      <c r="BY299" s="105"/>
      <c r="BZ299" s="139"/>
      <c r="CA299" s="105"/>
      <c r="CB299" s="105"/>
      <c r="CC299" s="105"/>
      <c r="CD299" s="105"/>
      <c r="CE299" s="139"/>
      <c r="CF299" s="105"/>
      <c r="CG299" s="105"/>
      <c r="CH299" s="105"/>
      <c r="CI299" s="105"/>
      <c r="CJ299" s="139"/>
      <c r="CK299" s="105"/>
      <c r="CL299" s="105"/>
      <c r="CM299" s="105"/>
      <c r="CN299" s="105"/>
      <c r="CO299" s="139"/>
      <c r="CP299" s="105"/>
      <c r="CQ299" s="105"/>
      <c r="CR299" s="105"/>
      <c r="CS299" s="105"/>
      <c r="CT299" s="139"/>
      <c r="CU299" s="105"/>
      <c r="CV299" s="105"/>
      <c r="CW299" s="105"/>
      <c r="CX299" s="105"/>
      <c r="CY299" s="139"/>
      <c r="CZ299" s="105"/>
      <c r="DA299" s="105"/>
      <c r="DB299" s="105"/>
      <c r="DC299" s="105"/>
      <c r="DD299" s="139"/>
      <c r="DE299" s="105"/>
      <c r="DF299" s="105"/>
      <c r="DG299" s="105"/>
      <c r="DH299" s="105"/>
      <c r="DI299" s="139"/>
      <c r="DJ299" s="105"/>
      <c r="DK299" s="105"/>
      <c r="DL299" s="105"/>
      <c r="DM299" s="105"/>
      <c r="DN299" s="139"/>
      <c r="DO299" s="105"/>
      <c r="DP299" s="105"/>
      <c r="DQ299" s="105"/>
      <c r="DR299" s="105"/>
      <c r="DS299" s="139"/>
      <c r="DT299" s="105"/>
      <c r="DU299" s="105"/>
      <c r="DV299" s="105"/>
      <c r="DW299" s="105"/>
      <c r="DX299" s="139"/>
      <c r="DY299" s="105"/>
      <c r="DZ299" s="105"/>
      <c r="EA299" s="105"/>
      <c r="EB299" s="105"/>
      <c r="EC299" s="139"/>
      <c r="ED299" s="105"/>
      <c r="EE299" s="105"/>
      <c r="EF299" s="105"/>
      <c r="EG299" s="105"/>
      <c r="EH299" s="139"/>
      <c r="EI299" s="105"/>
      <c r="EJ299" s="105"/>
      <c r="EK299" s="105"/>
      <c r="EL299" s="105"/>
      <c r="EM299" s="139"/>
      <c r="EN299" s="105"/>
      <c r="EO299" s="105"/>
      <c r="EP299" s="105"/>
      <c r="EQ299" s="105"/>
      <c r="ER299" s="139"/>
      <c r="ES299" s="105"/>
      <c r="ET299" s="105"/>
      <c r="EU299" s="105"/>
      <c r="EV299" s="105"/>
      <c r="EW299" s="139"/>
      <c r="EX299" s="105"/>
      <c r="EY299" s="105"/>
      <c r="EZ299" s="105"/>
      <c r="FA299" s="105"/>
      <c r="FB299" s="139"/>
      <c r="FC299" s="105"/>
      <c r="FD299" s="105"/>
      <c r="FE299" s="105"/>
      <c r="FF299" s="105"/>
      <c r="FG299" s="139"/>
      <c r="FH299" s="105"/>
      <c r="FI299" s="105"/>
      <c r="FJ299" s="105"/>
      <c r="FK299" s="105"/>
      <c r="FL299" s="139"/>
      <c r="FM299" s="105"/>
      <c r="FN299" s="105"/>
      <c r="FO299" s="105"/>
      <c r="FP299" s="105"/>
      <c r="FQ299" s="139"/>
      <c r="FR299" s="105"/>
      <c r="FS299" s="105"/>
      <c r="FT299" s="105"/>
      <c r="FU299" s="105"/>
      <c r="FV299" s="139"/>
      <c r="FW299" s="105"/>
      <c r="FX299" s="105"/>
      <c r="FY299" s="105"/>
      <c r="FZ299" s="105"/>
      <c r="GA299" s="139"/>
      <c r="GB299" s="105"/>
      <c r="GC299" s="105"/>
      <c r="GD299" s="105"/>
      <c r="GE299" s="105"/>
      <c r="GF299" s="139"/>
      <c r="GG299" s="105"/>
      <c r="GH299" s="105"/>
      <c r="GI299" s="105"/>
      <c r="GJ299" s="105"/>
    </row>
    <row r="302" spans="3:192" ht="12.75" customHeight="1">
      <c r="C302" s="176"/>
      <c r="D302" s="177"/>
      <c r="E302" s="177"/>
      <c r="F302" s="177"/>
      <c r="G302" s="177"/>
      <c r="H302" s="176"/>
      <c r="I302" s="177"/>
      <c r="J302" s="177"/>
      <c r="K302" s="177"/>
      <c r="L302" s="177"/>
      <c r="M302" s="176"/>
      <c r="N302" s="177"/>
      <c r="O302" s="177"/>
      <c r="P302" s="177"/>
      <c r="Q302" s="177"/>
      <c r="R302" s="176"/>
      <c r="S302" s="177"/>
      <c r="T302" s="177"/>
      <c r="U302" s="177"/>
      <c r="V302" s="177"/>
      <c r="W302" s="176"/>
      <c r="X302" s="177"/>
      <c r="Y302" s="177"/>
      <c r="Z302" s="177"/>
      <c r="AA302" s="177"/>
      <c r="AB302" s="176"/>
      <c r="AC302" s="177"/>
      <c r="AD302" s="177"/>
      <c r="AE302" s="177"/>
      <c r="AF302" s="177"/>
      <c r="AG302" s="176"/>
      <c r="AH302" s="177"/>
      <c r="AI302" s="177"/>
      <c r="AJ302" s="177"/>
      <c r="AK302" s="177"/>
      <c r="AL302" s="176"/>
      <c r="AM302" s="177"/>
      <c r="AN302" s="177"/>
      <c r="AO302" s="177"/>
      <c r="AP302" s="177"/>
      <c r="AQ302" s="176"/>
      <c r="AR302" s="177"/>
      <c r="AS302" s="177"/>
      <c r="AT302" s="177"/>
      <c r="AU302" s="177"/>
      <c r="AV302" s="176"/>
      <c r="AW302" s="177"/>
      <c r="AX302" s="177"/>
      <c r="AY302" s="177"/>
      <c r="AZ302" s="177"/>
      <c r="BA302" s="176"/>
      <c r="BB302" s="177"/>
      <c r="BC302" s="177"/>
      <c r="BD302" s="177"/>
      <c r="BE302" s="177"/>
      <c r="BF302" s="176"/>
      <c r="BG302" s="177"/>
      <c r="BH302" s="177"/>
      <c r="BI302" s="177"/>
      <c r="BJ302" s="177"/>
      <c r="BK302" s="176"/>
      <c r="BL302" s="177"/>
      <c r="BM302" s="177"/>
      <c r="BN302" s="177"/>
      <c r="BO302" s="177"/>
      <c r="BP302" s="176"/>
      <c r="BQ302" s="177"/>
      <c r="BR302" s="177"/>
      <c r="BS302" s="177"/>
      <c r="BT302" s="177"/>
      <c r="BU302" s="176"/>
      <c r="BV302" s="177"/>
      <c r="BW302" s="177"/>
      <c r="BX302" s="177"/>
      <c r="BY302" s="177"/>
      <c r="BZ302" s="176"/>
      <c r="CA302" s="177"/>
      <c r="CB302" s="177"/>
      <c r="CC302" s="177"/>
      <c r="CD302" s="177"/>
      <c r="CE302" s="176"/>
      <c r="CF302" s="177"/>
      <c r="CG302" s="177"/>
      <c r="CH302" s="177"/>
      <c r="CI302" s="177"/>
      <c r="CJ302" s="176"/>
      <c r="CK302" s="177"/>
      <c r="CL302" s="177"/>
      <c r="CM302" s="177"/>
      <c r="CN302" s="177"/>
      <c r="CO302" s="176"/>
      <c r="CP302" s="177"/>
      <c r="CQ302" s="177"/>
      <c r="CR302" s="177"/>
      <c r="CS302" s="177"/>
      <c r="CT302" s="176"/>
      <c r="CU302" s="177"/>
      <c r="CV302" s="177"/>
      <c r="CW302" s="177"/>
      <c r="CX302" s="177"/>
      <c r="CY302" s="176"/>
      <c r="CZ302" s="177"/>
      <c r="DA302" s="177"/>
      <c r="DB302" s="177"/>
      <c r="DC302" s="177"/>
      <c r="DD302" s="176"/>
      <c r="DE302" s="177"/>
      <c r="DF302" s="177"/>
      <c r="DG302" s="177"/>
      <c r="DH302" s="177"/>
      <c r="DI302" s="176"/>
      <c r="DJ302" s="177"/>
      <c r="DK302" s="177"/>
      <c r="DL302" s="177"/>
      <c r="DM302" s="177"/>
      <c r="DN302" s="176"/>
      <c r="DO302" s="177"/>
      <c r="DP302" s="177"/>
      <c r="DQ302" s="177"/>
      <c r="DR302" s="177"/>
      <c r="DS302" s="176"/>
      <c r="DT302" s="177"/>
      <c r="DU302" s="177"/>
      <c r="DV302" s="177"/>
      <c r="DW302" s="177"/>
      <c r="DX302" s="176"/>
      <c r="DY302" s="177"/>
      <c r="DZ302" s="177"/>
      <c r="EA302" s="177"/>
      <c r="EB302" s="177"/>
      <c r="EC302" s="176"/>
      <c r="ED302" s="177"/>
      <c r="EE302" s="177"/>
      <c r="EF302" s="177"/>
      <c r="EG302" s="177"/>
      <c r="EH302" s="176"/>
      <c r="EI302" s="177"/>
      <c r="EJ302" s="177"/>
      <c r="EK302" s="177"/>
      <c r="EL302" s="177"/>
      <c r="EM302" s="176"/>
      <c r="EN302" s="177"/>
      <c r="EO302" s="177"/>
      <c r="EP302" s="177"/>
      <c r="EQ302" s="177"/>
      <c r="ER302" s="176"/>
      <c r="ES302" s="177"/>
      <c r="ET302" s="177"/>
      <c r="EU302" s="177"/>
      <c r="EV302" s="177"/>
      <c r="EW302" s="176"/>
      <c r="EX302" s="177"/>
      <c r="EY302" s="177"/>
      <c r="EZ302" s="177"/>
      <c r="FA302" s="177"/>
      <c r="FB302" s="176"/>
      <c r="FC302" s="177"/>
      <c r="FD302" s="177"/>
      <c r="FE302" s="177"/>
      <c r="FF302" s="177"/>
      <c r="FG302" s="176"/>
      <c r="FH302" s="177"/>
      <c r="FI302" s="177"/>
      <c r="FJ302" s="177"/>
      <c r="FK302" s="177"/>
      <c r="FL302" s="176"/>
      <c r="FM302" s="177"/>
      <c r="FN302" s="177"/>
      <c r="FO302" s="177"/>
      <c r="FP302" s="177"/>
      <c r="FQ302" s="176"/>
      <c r="FR302" s="177"/>
      <c r="FS302" s="177"/>
      <c r="FT302" s="177"/>
      <c r="FU302" s="177"/>
      <c r="FV302" s="176"/>
      <c r="FW302" s="177"/>
      <c r="FX302" s="177"/>
      <c r="FY302" s="177"/>
      <c r="FZ302" s="177"/>
      <c r="GA302" s="176"/>
      <c r="GB302" s="177"/>
      <c r="GC302" s="177"/>
      <c r="GD302" s="177"/>
      <c r="GE302" s="177"/>
      <c r="GF302" s="176"/>
      <c r="GG302" s="177"/>
      <c r="GH302" s="177"/>
      <c r="GI302" s="177"/>
      <c r="GJ302" s="177"/>
    </row>
    <row r="303" spans="3:192" ht="12.75" customHeight="1">
      <c r="C303" s="106"/>
      <c r="D303" s="107"/>
      <c r="E303" s="107"/>
      <c r="F303" s="107"/>
      <c r="G303" s="107"/>
      <c r="H303" s="106"/>
      <c r="I303" s="107"/>
      <c r="J303" s="107"/>
      <c r="K303" s="107"/>
      <c r="L303" s="107"/>
      <c r="M303" s="106"/>
      <c r="N303" s="107"/>
      <c r="O303" s="107"/>
      <c r="P303" s="107"/>
      <c r="Q303" s="107"/>
      <c r="R303" s="106"/>
      <c r="S303" s="107"/>
      <c r="T303" s="107"/>
      <c r="U303" s="107"/>
      <c r="V303" s="107"/>
      <c r="W303" s="106"/>
      <c r="X303" s="107"/>
      <c r="Y303" s="107"/>
      <c r="Z303" s="107"/>
      <c r="AA303" s="107"/>
      <c r="AB303" s="106"/>
      <c r="AC303" s="107"/>
      <c r="AD303" s="107"/>
      <c r="AE303" s="107"/>
      <c r="AF303" s="107"/>
      <c r="AG303" s="106"/>
      <c r="AH303" s="107"/>
      <c r="AI303" s="107"/>
      <c r="AJ303" s="107"/>
      <c r="AK303" s="107"/>
      <c r="AL303" s="106"/>
      <c r="AM303" s="107"/>
      <c r="AN303" s="107"/>
      <c r="AO303" s="107"/>
      <c r="AP303" s="107"/>
      <c r="AQ303" s="106"/>
      <c r="AR303" s="107"/>
      <c r="AS303" s="107"/>
      <c r="AT303" s="107"/>
      <c r="AU303" s="107"/>
      <c r="AV303" s="106"/>
      <c r="AW303" s="107"/>
      <c r="AX303" s="107"/>
      <c r="AY303" s="107"/>
      <c r="AZ303" s="107"/>
      <c r="BA303" s="106"/>
      <c r="BB303" s="107"/>
      <c r="BC303" s="107"/>
      <c r="BD303" s="107"/>
      <c r="BE303" s="107"/>
      <c r="BF303" s="106"/>
      <c r="BG303" s="107"/>
      <c r="BH303" s="107"/>
      <c r="BI303" s="107"/>
      <c r="BJ303" s="107"/>
      <c r="BK303" s="106"/>
      <c r="BL303" s="107"/>
      <c r="BM303" s="107"/>
      <c r="BN303" s="107"/>
      <c r="BO303" s="107"/>
      <c r="BP303" s="106"/>
      <c r="BQ303" s="107"/>
      <c r="BR303" s="107"/>
      <c r="BS303" s="107"/>
      <c r="BT303" s="107"/>
      <c r="BU303" s="106"/>
      <c r="BV303" s="107"/>
      <c r="BW303" s="107"/>
      <c r="BX303" s="107"/>
      <c r="BY303" s="107"/>
      <c r="BZ303" s="106"/>
      <c r="CA303" s="107"/>
      <c r="CB303" s="107"/>
      <c r="CC303" s="107"/>
      <c r="CD303" s="107"/>
      <c r="CE303" s="106"/>
      <c r="CF303" s="107"/>
      <c r="CG303" s="107"/>
      <c r="CH303" s="107"/>
      <c r="CI303" s="107"/>
      <c r="CJ303" s="106"/>
      <c r="CK303" s="107"/>
      <c r="CL303" s="107"/>
      <c r="CM303" s="107"/>
      <c r="CN303" s="107"/>
      <c r="CO303" s="106"/>
      <c r="CP303" s="107"/>
      <c r="CQ303" s="107"/>
      <c r="CR303" s="107"/>
      <c r="CS303" s="107"/>
      <c r="CT303" s="106"/>
      <c r="CU303" s="107"/>
      <c r="CV303" s="107"/>
      <c r="CW303" s="107"/>
      <c r="CX303" s="107"/>
      <c r="CY303" s="106"/>
      <c r="CZ303" s="107"/>
      <c r="DA303" s="107"/>
      <c r="DB303" s="107"/>
      <c r="DC303" s="107"/>
      <c r="DD303" s="106"/>
      <c r="DE303" s="107"/>
      <c r="DF303" s="107"/>
      <c r="DG303" s="107"/>
      <c r="DH303" s="107"/>
      <c r="DI303" s="106"/>
      <c r="DJ303" s="107"/>
      <c r="DK303" s="107"/>
      <c r="DL303" s="107"/>
      <c r="DM303" s="107"/>
      <c r="DN303" s="106"/>
      <c r="DO303" s="107"/>
      <c r="DP303" s="107"/>
      <c r="DQ303" s="107"/>
      <c r="DR303" s="107"/>
      <c r="DS303" s="106"/>
      <c r="DT303" s="107"/>
      <c r="DU303" s="107"/>
      <c r="DV303" s="107"/>
      <c r="DW303" s="107"/>
      <c r="DX303" s="106"/>
      <c r="DY303" s="107"/>
      <c r="DZ303" s="107"/>
      <c r="EA303" s="107"/>
      <c r="EB303" s="107"/>
      <c r="EC303" s="106"/>
      <c r="ED303" s="107"/>
      <c r="EE303" s="107"/>
      <c r="EF303" s="107"/>
      <c r="EG303" s="107"/>
      <c r="EH303" s="106"/>
      <c r="EI303" s="107"/>
      <c r="EJ303" s="107"/>
      <c r="EK303" s="107"/>
      <c r="EL303" s="107"/>
      <c r="EM303" s="106"/>
      <c r="EN303" s="107"/>
      <c r="EO303" s="107"/>
      <c r="EP303" s="107"/>
      <c r="EQ303" s="107"/>
      <c r="ER303" s="106"/>
      <c r="ES303" s="107"/>
      <c r="ET303" s="107"/>
      <c r="EU303" s="107"/>
      <c r="EV303" s="107"/>
      <c r="EW303" s="106"/>
      <c r="EX303" s="107"/>
      <c r="EY303" s="107"/>
      <c r="EZ303" s="107"/>
      <c r="FA303" s="107"/>
      <c r="FB303" s="106"/>
      <c r="FC303" s="107"/>
      <c r="FD303" s="107"/>
      <c r="FE303" s="107"/>
      <c r="FF303" s="107"/>
      <c r="FG303" s="106"/>
      <c r="FH303" s="107"/>
      <c r="FI303" s="107"/>
      <c r="FJ303" s="107"/>
      <c r="FK303" s="107"/>
      <c r="FL303" s="106"/>
      <c r="FM303" s="107"/>
      <c r="FN303" s="107"/>
      <c r="FO303" s="107"/>
      <c r="FP303" s="107"/>
      <c r="FQ303" s="106"/>
      <c r="FR303" s="107"/>
      <c r="FS303" s="107"/>
      <c r="FT303" s="107"/>
      <c r="FU303" s="107"/>
      <c r="FV303" s="106"/>
      <c r="FW303" s="107"/>
      <c r="FX303" s="107"/>
      <c r="FY303" s="107"/>
      <c r="FZ303" s="107"/>
      <c r="GA303" s="106"/>
      <c r="GB303" s="107"/>
      <c r="GC303" s="107"/>
      <c r="GD303" s="107"/>
      <c r="GE303" s="107"/>
      <c r="GF303" s="106"/>
      <c r="GG303" s="107"/>
      <c r="GH303" s="107"/>
      <c r="GI303" s="107"/>
      <c r="GJ303" s="107"/>
    </row>
    <row r="304" spans="3:192" ht="12.75" customHeight="1">
      <c r="C304" s="106"/>
      <c r="D304" s="107"/>
      <c r="E304" s="107"/>
      <c r="F304" s="107"/>
      <c r="G304" s="107"/>
      <c r="H304" s="106"/>
      <c r="I304" s="107"/>
      <c r="J304" s="107"/>
      <c r="K304" s="107"/>
      <c r="L304" s="107"/>
      <c r="M304" s="106"/>
      <c r="N304" s="107"/>
      <c r="O304" s="107"/>
      <c r="P304" s="107"/>
      <c r="Q304" s="107"/>
      <c r="R304" s="106"/>
      <c r="S304" s="107"/>
      <c r="T304" s="107"/>
      <c r="U304" s="107"/>
      <c r="V304" s="107"/>
      <c r="W304" s="106"/>
      <c r="X304" s="107"/>
      <c r="Y304" s="107"/>
      <c r="Z304" s="107"/>
      <c r="AA304" s="107"/>
      <c r="AB304" s="106"/>
      <c r="AC304" s="107"/>
      <c r="AD304" s="107"/>
      <c r="AE304" s="107"/>
      <c r="AF304" s="107"/>
      <c r="AG304" s="106"/>
      <c r="AH304" s="107"/>
      <c r="AI304" s="107"/>
      <c r="AJ304" s="107"/>
      <c r="AK304" s="107"/>
      <c r="AL304" s="106"/>
      <c r="AM304" s="107"/>
      <c r="AN304" s="107"/>
      <c r="AO304" s="107"/>
      <c r="AP304" s="107"/>
      <c r="AQ304" s="106"/>
      <c r="AR304" s="107"/>
      <c r="AS304" s="107"/>
      <c r="AT304" s="107"/>
      <c r="AU304" s="107"/>
      <c r="AV304" s="106"/>
      <c r="AW304" s="107"/>
      <c r="AX304" s="107"/>
      <c r="AY304" s="107"/>
      <c r="AZ304" s="107"/>
      <c r="BA304" s="106"/>
      <c r="BB304" s="107"/>
      <c r="BC304" s="107"/>
      <c r="BD304" s="107"/>
      <c r="BE304" s="107"/>
      <c r="BF304" s="106"/>
      <c r="BG304" s="107"/>
      <c r="BH304" s="107"/>
      <c r="BI304" s="107"/>
      <c r="BJ304" s="107"/>
      <c r="BK304" s="106"/>
      <c r="BL304" s="107"/>
      <c r="BM304" s="107"/>
      <c r="BN304" s="107"/>
      <c r="BO304" s="107"/>
      <c r="BP304" s="106"/>
      <c r="BQ304" s="107"/>
      <c r="BR304" s="107"/>
      <c r="BS304" s="107"/>
      <c r="BT304" s="107"/>
      <c r="BU304" s="106"/>
      <c r="BV304" s="107"/>
      <c r="BW304" s="107"/>
      <c r="BX304" s="107"/>
      <c r="BY304" s="107"/>
      <c r="BZ304" s="106"/>
      <c r="CA304" s="107"/>
      <c r="CB304" s="107"/>
      <c r="CC304" s="107"/>
      <c r="CD304" s="107"/>
      <c r="CE304" s="106"/>
      <c r="CF304" s="107"/>
      <c r="CG304" s="107"/>
      <c r="CH304" s="107"/>
      <c r="CI304" s="107"/>
      <c r="CJ304" s="106"/>
      <c r="CK304" s="107"/>
      <c r="CL304" s="107"/>
      <c r="CM304" s="107"/>
      <c r="CN304" s="107"/>
      <c r="CO304" s="106"/>
      <c r="CP304" s="107"/>
      <c r="CQ304" s="107"/>
      <c r="CR304" s="107"/>
      <c r="CS304" s="107"/>
      <c r="CT304" s="106"/>
      <c r="CU304" s="107"/>
      <c r="CV304" s="107"/>
      <c r="CW304" s="107"/>
      <c r="CX304" s="107"/>
      <c r="CY304" s="106"/>
      <c r="CZ304" s="107"/>
      <c r="DA304" s="107"/>
      <c r="DB304" s="107"/>
      <c r="DC304" s="107"/>
      <c r="DD304" s="106"/>
      <c r="DE304" s="107"/>
      <c r="DF304" s="107"/>
      <c r="DG304" s="107"/>
      <c r="DH304" s="107"/>
      <c r="DI304" s="106"/>
      <c r="DJ304" s="107"/>
      <c r="DK304" s="107"/>
      <c r="DL304" s="107"/>
      <c r="DM304" s="107"/>
      <c r="DN304" s="106"/>
      <c r="DO304" s="107"/>
      <c r="DP304" s="107"/>
      <c r="DQ304" s="107"/>
      <c r="DR304" s="107"/>
      <c r="DS304" s="106"/>
      <c r="DT304" s="107"/>
      <c r="DU304" s="107"/>
      <c r="DV304" s="107"/>
      <c r="DW304" s="107"/>
      <c r="DX304" s="106"/>
      <c r="DY304" s="107"/>
      <c r="DZ304" s="107"/>
      <c r="EA304" s="107"/>
      <c r="EB304" s="107"/>
      <c r="EC304" s="106"/>
      <c r="ED304" s="107"/>
      <c r="EE304" s="107"/>
      <c r="EF304" s="107"/>
      <c r="EG304" s="107"/>
      <c r="EH304" s="106"/>
      <c r="EI304" s="107"/>
      <c r="EJ304" s="107"/>
      <c r="EK304" s="107"/>
      <c r="EL304" s="107"/>
      <c r="EM304" s="106"/>
      <c r="EN304" s="107"/>
      <c r="EO304" s="107"/>
      <c r="EP304" s="107"/>
      <c r="EQ304" s="107"/>
      <c r="ER304" s="106"/>
      <c r="ES304" s="107"/>
      <c r="ET304" s="107"/>
      <c r="EU304" s="107"/>
      <c r="EV304" s="107"/>
      <c r="EW304" s="106"/>
      <c r="EX304" s="107"/>
      <c r="EY304" s="107"/>
      <c r="EZ304" s="107"/>
      <c r="FA304" s="107"/>
      <c r="FB304" s="106"/>
      <c r="FC304" s="107"/>
      <c r="FD304" s="107"/>
      <c r="FE304" s="107"/>
      <c r="FF304" s="107"/>
      <c r="FG304" s="106"/>
      <c r="FH304" s="107"/>
      <c r="FI304" s="107"/>
      <c r="FJ304" s="107"/>
      <c r="FK304" s="107"/>
      <c r="FL304" s="106"/>
      <c r="FM304" s="107"/>
      <c r="FN304" s="107"/>
      <c r="FO304" s="107"/>
      <c r="FP304" s="107"/>
      <c r="FQ304" s="106"/>
      <c r="FR304" s="107"/>
      <c r="FS304" s="107"/>
      <c r="FT304" s="107"/>
      <c r="FU304" s="107"/>
      <c r="FV304" s="106"/>
      <c r="FW304" s="107"/>
      <c r="FX304" s="107"/>
      <c r="FY304" s="107"/>
      <c r="FZ304" s="107"/>
      <c r="GA304" s="106"/>
      <c r="GB304" s="107"/>
      <c r="GC304" s="107"/>
      <c r="GD304" s="107"/>
      <c r="GE304" s="107"/>
      <c r="GF304" s="106"/>
      <c r="GG304" s="107"/>
      <c r="GH304" s="107"/>
      <c r="GI304" s="107"/>
      <c r="GJ304" s="107"/>
    </row>
    <row r="305" spans="3:192" ht="12.75" customHeight="1">
      <c r="C305" s="106"/>
      <c r="D305" s="107"/>
      <c r="E305" s="107"/>
      <c r="F305" s="107"/>
      <c r="G305" s="107"/>
      <c r="H305" s="106"/>
      <c r="I305" s="107"/>
      <c r="J305" s="107"/>
      <c r="K305" s="107"/>
      <c r="L305" s="107"/>
      <c r="M305" s="106"/>
      <c r="N305" s="107"/>
      <c r="O305" s="107"/>
      <c r="P305" s="107"/>
      <c r="Q305" s="107"/>
      <c r="R305" s="106"/>
      <c r="S305" s="107"/>
      <c r="T305" s="107"/>
      <c r="U305" s="107"/>
      <c r="V305" s="107"/>
      <c r="W305" s="106"/>
      <c r="X305" s="107"/>
      <c r="Y305" s="107"/>
      <c r="Z305" s="107"/>
      <c r="AA305" s="107"/>
      <c r="AB305" s="106"/>
      <c r="AC305" s="107"/>
      <c r="AD305" s="107"/>
      <c r="AE305" s="107"/>
      <c r="AF305" s="107"/>
      <c r="AG305" s="106"/>
      <c r="AH305" s="107"/>
      <c r="AI305" s="107"/>
      <c r="AJ305" s="107"/>
      <c r="AK305" s="107"/>
      <c r="AL305" s="106"/>
      <c r="AM305" s="107"/>
      <c r="AN305" s="107"/>
      <c r="AO305" s="107"/>
      <c r="AP305" s="107"/>
      <c r="AQ305" s="106"/>
      <c r="AR305" s="107"/>
      <c r="AS305" s="107"/>
      <c r="AT305" s="107"/>
      <c r="AU305" s="107"/>
      <c r="AV305" s="106"/>
      <c r="AW305" s="107"/>
      <c r="AX305" s="107"/>
      <c r="AY305" s="107"/>
      <c r="AZ305" s="107"/>
      <c r="BA305" s="106"/>
      <c r="BB305" s="107"/>
      <c r="BC305" s="107"/>
      <c r="BD305" s="107"/>
      <c r="BE305" s="107"/>
      <c r="BF305" s="106"/>
      <c r="BG305" s="107"/>
      <c r="BH305" s="107"/>
      <c r="BI305" s="107"/>
      <c r="BJ305" s="107"/>
      <c r="BK305" s="106"/>
      <c r="BL305" s="107"/>
      <c r="BM305" s="107"/>
      <c r="BN305" s="107"/>
      <c r="BO305" s="107"/>
      <c r="BP305" s="106"/>
      <c r="BQ305" s="107"/>
      <c r="BR305" s="107"/>
      <c r="BS305" s="107"/>
      <c r="BT305" s="107"/>
      <c r="BU305" s="106"/>
      <c r="BV305" s="107"/>
      <c r="BW305" s="107"/>
      <c r="BX305" s="107"/>
      <c r="BY305" s="107"/>
      <c r="BZ305" s="106"/>
      <c r="CA305" s="107"/>
      <c r="CB305" s="107"/>
      <c r="CC305" s="107"/>
      <c r="CD305" s="107"/>
      <c r="CE305" s="106"/>
      <c r="CF305" s="107"/>
      <c r="CG305" s="107"/>
      <c r="CH305" s="107"/>
      <c r="CI305" s="107"/>
      <c r="CJ305" s="106"/>
      <c r="CK305" s="107"/>
      <c r="CL305" s="107"/>
      <c r="CM305" s="107"/>
      <c r="CN305" s="107"/>
      <c r="CO305" s="106"/>
      <c r="CP305" s="107"/>
      <c r="CQ305" s="107"/>
      <c r="CR305" s="107"/>
      <c r="CS305" s="107"/>
      <c r="CT305" s="106"/>
      <c r="CU305" s="107"/>
      <c r="CV305" s="107"/>
      <c r="CW305" s="107"/>
      <c r="CX305" s="107"/>
      <c r="CY305" s="106"/>
      <c r="CZ305" s="107"/>
      <c r="DA305" s="107"/>
      <c r="DB305" s="107"/>
      <c r="DC305" s="107"/>
      <c r="DD305" s="106"/>
      <c r="DE305" s="107"/>
      <c r="DF305" s="107"/>
      <c r="DG305" s="107"/>
      <c r="DH305" s="107"/>
      <c r="DI305" s="106"/>
      <c r="DJ305" s="107"/>
      <c r="DK305" s="107"/>
      <c r="DL305" s="107"/>
      <c r="DM305" s="107"/>
      <c r="DN305" s="106"/>
      <c r="DO305" s="107"/>
      <c r="DP305" s="107"/>
      <c r="DQ305" s="107"/>
      <c r="DR305" s="107"/>
      <c r="DS305" s="106"/>
      <c r="DT305" s="107"/>
      <c r="DU305" s="107"/>
      <c r="DV305" s="107"/>
      <c r="DW305" s="107"/>
      <c r="DX305" s="106"/>
      <c r="DY305" s="107"/>
      <c r="DZ305" s="107"/>
      <c r="EA305" s="107"/>
      <c r="EB305" s="107"/>
      <c r="EC305" s="106"/>
      <c r="ED305" s="107"/>
      <c r="EE305" s="107"/>
      <c r="EF305" s="107"/>
      <c r="EG305" s="107"/>
      <c r="EH305" s="106"/>
      <c r="EI305" s="107"/>
      <c r="EJ305" s="107"/>
      <c r="EK305" s="107"/>
      <c r="EL305" s="107"/>
      <c r="EM305" s="106"/>
      <c r="EN305" s="107"/>
      <c r="EO305" s="107"/>
      <c r="EP305" s="107"/>
      <c r="EQ305" s="107"/>
      <c r="ER305" s="106"/>
      <c r="ES305" s="107"/>
      <c r="ET305" s="107"/>
      <c r="EU305" s="107"/>
      <c r="EV305" s="107"/>
      <c r="EW305" s="106"/>
      <c r="EX305" s="107"/>
      <c r="EY305" s="107"/>
      <c r="EZ305" s="107"/>
      <c r="FA305" s="107"/>
      <c r="FB305" s="106"/>
      <c r="FC305" s="107"/>
      <c r="FD305" s="107"/>
      <c r="FE305" s="107"/>
      <c r="FF305" s="107"/>
      <c r="FG305" s="106"/>
      <c r="FH305" s="107"/>
      <c r="FI305" s="107"/>
      <c r="FJ305" s="107"/>
      <c r="FK305" s="107"/>
      <c r="FL305" s="106"/>
      <c r="FM305" s="107"/>
      <c r="FN305" s="107"/>
      <c r="FO305" s="107"/>
      <c r="FP305" s="107"/>
      <c r="FQ305" s="106"/>
      <c r="FR305" s="107"/>
      <c r="FS305" s="107"/>
      <c r="FT305" s="107"/>
      <c r="FU305" s="107"/>
      <c r="FV305" s="106"/>
      <c r="FW305" s="107"/>
      <c r="FX305" s="107"/>
      <c r="FY305" s="107"/>
      <c r="FZ305" s="107"/>
      <c r="GA305" s="106"/>
      <c r="GB305" s="107"/>
      <c r="GC305" s="107"/>
      <c r="GD305" s="107"/>
      <c r="GE305" s="107"/>
      <c r="GF305" s="106"/>
      <c r="GG305" s="107"/>
      <c r="GH305" s="107"/>
      <c r="GI305" s="107"/>
      <c r="GJ305" s="107"/>
    </row>
    <row r="306" spans="3:192" ht="12.75" customHeight="1">
      <c r="C306" s="178"/>
      <c r="D306" s="107"/>
      <c r="E306" s="107"/>
      <c r="F306" s="107"/>
      <c r="G306" s="107"/>
      <c r="H306" s="178"/>
      <c r="I306" s="107"/>
      <c r="J306" s="107"/>
      <c r="K306" s="107"/>
      <c r="L306" s="107"/>
      <c r="M306" s="178"/>
      <c r="N306" s="107"/>
      <c r="O306" s="107"/>
      <c r="P306" s="107"/>
      <c r="Q306" s="107"/>
      <c r="R306" s="178"/>
      <c r="S306" s="107"/>
      <c r="T306" s="107"/>
      <c r="U306" s="107"/>
      <c r="V306" s="107"/>
      <c r="W306" s="178"/>
      <c r="X306" s="107"/>
      <c r="Y306" s="107"/>
      <c r="Z306" s="107"/>
      <c r="AA306" s="107"/>
      <c r="AB306" s="178"/>
      <c r="AC306" s="107"/>
      <c r="AD306" s="107"/>
      <c r="AE306" s="107"/>
      <c r="AF306" s="107"/>
      <c r="AG306" s="178"/>
      <c r="AH306" s="107"/>
      <c r="AI306" s="107"/>
      <c r="AJ306" s="107"/>
      <c r="AK306" s="107"/>
      <c r="AL306" s="178"/>
      <c r="AM306" s="107"/>
      <c r="AN306" s="107"/>
      <c r="AO306" s="107"/>
      <c r="AP306" s="107"/>
      <c r="AQ306" s="178"/>
      <c r="AR306" s="107"/>
      <c r="AS306" s="107"/>
      <c r="AT306" s="107"/>
      <c r="AU306" s="107"/>
      <c r="AV306" s="178"/>
      <c r="AW306" s="107"/>
      <c r="AX306" s="107"/>
      <c r="AY306" s="107"/>
      <c r="AZ306" s="107"/>
      <c r="BA306" s="178"/>
      <c r="BB306" s="107"/>
      <c r="BC306" s="107"/>
      <c r="BD306" s="107"/>
      <c r="BE306" s="107"/>
      <c r="BF306" s="178"/>
      <c r="BG306" s="107"/>
      <c r="BH306" s="107"/>
      <c r="BI306" s="107"/>
      <c r="BJ306" s="107"/>
      <c r="BK306" s="178"/>
      <c r="BL306" s="107"/>
      <c r="BM306" s="107"/>
      <c r="BN306" s="107"/>
      <c r="BO306" s="107"/>
      <c r="BP306" s="178"/>
      <c r="BQ306" s="107"/>
      <c r="BR306" s="107"/>
      <c r="BS306" s="107"/>
      <c r="BT306" s="107"/>
      <c r="BU306" s="178"/>
      <c r="BV306" s="107"/>
      <c r="BW306" s="107"/>
      <c r="BX306" s="107"/>
      <c r="BY306" s="107"/>
      <c r="BZ306" s="178"/>
      <c r="CA306" s="107"/>
      <c r="CB306" s="107"/>
      <c r="CC306" s="107"/>
      <c r="CD306" s="107"/>
      <c r="CE306" s="178"/>
      <c r="CF306" s="107"/>
      <c r="CG306" s="107"/>
      <c r="CH306" s="107"/>
      <c r="CI306" s="107"/>
      <c r="CJ306" s="178"/>
      <c r="CK306" s="107"/>
      <c r="CL306" s="107"/>
      <c r="CM306" s="107"/>
      <c r="CN306" s="107"/>
      <c r="CO306" s="178"/>
      <c r="CP306" s="107"/>
      <c r="CQ306" s="107"/>
      <c r="CR306" s="107"/>
      <c r="CS306" s="107"/>
      <c r="CT306" s="178"/>
      <c r="CU306" s="107"/>
      <c r="CV306" s="107"/>
      <c r="CW306" s="107"/>
      <c r="CX306" s="107"/>
      <c r="CY306" s="178"/>
      <c r="CZ306" s="107"/>
      <c r="DA306" s="107"/>
      <c r="DB306" s="107"/>
      <c r="DC306" s="107"/>
      <c r="DD306" s="178"/>
      <c r="DE306" s="107"/>
      <c r="DF306" s="107"/>
      <c r="DG306" s="107"/>
      <c r="DH306" s="107"/>
      <c r="DI306" s="178"/>
      <c r="DJ306" s="107"/>
      <c r="DK306" s="107"/>
      <c r="DL306" s="107"/>
      <c r="DM306" s="107"/>
      <c r="DN306" s="178"/>
      <c r="DO306" s="107"/>
      <c r="DP306" s="107"/>
      <c r="DQ306" s="107"/>
      <c r="DR306" s="107"/>
      <c r="DS306" s="178"/>
      <c r="DT306" s="107"/>
      <c r="DU306" s="107"/>
      <c r="DV306" s="107"/>
      <c r="DW306" s="107"/>
      <c r="DX306" s="178"/>
      <c r="DY306" s="107"/>
      <c r="DZ306" s="107"/>
      <c r="EA306" s="107"/>
      <c r="EB306" s="107"/>
      <c r="EC306" s="178"/>
      <c r="ED306" s="107"/>
      <c r="EE306" s="107"/>
      <c r="EF306" s="107"/>
      <c r="EG306" s="107"/>
      <c r="EH306" s="178"/>
      <c r="EI306" s="107"/>
      <c r="EJ306" s="107"/>
      <c r="EK306" s="107"/>
      <c r="EL306" s="107"/>
      <c r="EM306" s="178"/>
      <c r="EN306" s="107"/>
      <c r="EO306" s="107"/>
      <c r="EP306" s="107"/>
      <c r="EQ306" s="107"/>
      <c r="ER306" s="178"/>
      <c r="ES306" s="107"/>
      <c r="ET306" s="107"/>
      <c r="EU306" s="107"/>
      <c r="EV306" s="107"/>
      <c r="EW306" s="178"/>
      <c r="EX306" s="107"/>
      <c r="EY306" s="107"/>
      <c r="EZ306" s="107"/>
      <c r="FA306" s="107"/>
      <c r="FB306" s="178"/>
      <c r="FC306" s="107"/>
      <c r="FD306" s="107"/>
      <c r="FE306" s="107"/>
      <c r="FF306" s="107"/>
      <c r="FG306" s="178"/>
      <c r="FH306" s="107"/>
      <c r="FI306" s="107"/>
      <c r="FJ306" s="107"/>
      <c r="FK306" s="107"/>
      <c r="FL306" s="178"/>
      <c r="FM306" s="107"/>
      <c r="FN306" s="107"/>
      <c r="FO306" s="107"/>
      <c r="FP306" s="107"/>
      <c r="FQ306" s="178"/>
      <c r="FR306" s="107"/>
      <c r="FS306" s="107"/>
      <c r="FT306" s="107"/>
      <c r="FU306" s="107"/>
      <c r="FV306" s="178"/>
      <c r="FW306" s="107"/>
      <c r="FX306" s="107"/>
      <c r="FY306" s="107"/>
      <c r="FZ306" s="107"/>
      <c r="GA306" s="178"/>
      <c r="GB306" s="107"/>
      <c r="GC306" s="107"/>
      <c r="GD306" s="107"/>
      <c r="GE306" s="107"/>
      <c r="GF306" s="178"/>
      <c r="GG306" s="107"/>
      <c r="GH306" s="107"/>
      <c r="GI306" s="107"/>
      <c r="GJ306" s="107"/>
    </row>
    <row r="307" spans="3:192" ht="12.75" customHeight="1">
      <c r="C307" s="106"/>
      <c r="D307" s="107"/>
      <c r="E307" s="107"/>
      <c r="F307" s="107"/>
      <c r="G307" s="107"/>
      <c r="H307" s="106"/>
      <c r="I307" s="107"/>
      <c r="J307" s="107"/>
      <c r="K307" s="107"/>
      <c r="L307" s="107"/>
      <c r="M307" s="106"/>
      <c r="N307" s="107"/>
      <c r="O307" s="107"/>
      <c r="P307" s="107"/>
      <c r="Q307" s="107"/>
      <c r="R307" s="106"/>
      <c r="S307" s="107"/>
      <c r="T307" s="107"/>
      <c r="U307" s="107"/>
      <c r="V307" s="107"/>
      <c r="W307" s="106"/>
      <c r="X307" s="107"/>
      <c r="Y307" s="107"/>
      <c r="Z307" s="107"/>
      <c r="AA307" s="107"/>
      <c r="AB307" s="106"/>
      <c r="AC307" s="107"/>
      <c r="AD307" s="107"/>
      <c r="AE307" s="107"/>
      <c r="AF307" s="107"/>
      <c r="AG307" s="106"/>
      <c r="AH307" s="107"/>
      <c r="AI307" s="107"/>
      <c r="AJ307" s="107"/>
      <c r="AK307" s="107"/>
      <c r="AL307" s="106"/>
      <c r="AM307" s="107"/>
      <c r="AN307" s="107"/>
      <c r="AO307" s="107"/>
      <c r="AP307" s="107"/>
      <c r="AQ307" s="106"/>
      <c r="AR307" s="107"/>
      <c r="AS307" s="107"/>
      <c r="AT307" s="107"/>
      <c r="AU307" s="107"/>
      <c r="AV307" s="106"/>
      <c r="AW307" s="107"/>
      <c r="AX307" s="107"/>
      <c r="AY307" s="107"/>
      <c r="AZ307" s="107"/>
      <c r="BA307" s="106"/>
      <c r="BB307" s="107"/>
      <c r="BC307" s="107"/>
      <c r="BD307" s="107"/>
      <c r="BE307" s="107"/>
      <c r="BF307" s="106"/>
      <c r="BG307" s="107"/>
      <c r="BH307" s="107"/>
      <c r="BI307" s="107"/>
      <c r="BJ307" s="107"/>
      <c r="BK307" s="106"/>
      <c r="BL307" s="107"/>
      <c r="BM307" s="107"/>
      <c r="BN307" s="107"/>
      <c r="BO307" s="107"/>
      <c r="BP307" s="106"/>
      <c r="BQ307" s="107"/>
      <c r="BR307" s="107"/>
      <c r="BS307" s="107"/>
      <c r="BT307" s="107"/>
      <c r="BU307" s="106"/>
      <c r="BV307" s="107"/>
      <c r="BW307" s="107"/>
      <c r="BX307" s="107"/>
      <c r="BY307" s="107"/>
      <c r="BZ307" s="106"/>
      <c r="CA307" s="107"/>
      <c r="CB307" s="107"/>
      <c r="CC307" s="107"/>
      <c r="CD307" s="107"/>
      <c r="CE307" s="106"/>
      <c r="CF307" s="107"/>
      <c r="CG307" s="107"/>
      <c r="CH307" s="107"/>
      <c r="CI307" s="107"/>
      <c r="CJ307" s="106"/>
      <c r="CK307" s="107"/>
      <c r="CL307" s="107"/>
      <c r="CM307" s="107"/>
      <c r="CN307" s="107"/>
      <c r="CO307" s="106"/>
      <c r="CP307" s="107"/>
      <c r="CQ307" s="107"/>
      <c r="CR307" s="107"/>
      <c r="CS307" s="107"/>
      <c r="CT307" s="106"/>
      <c r="CU307" s="107"/>
      <c r="CV307" s="107"/>
      <c r="CW307" s="107"/>
      <c r="CX307" s="107"/>
      <c r="CY307" s="106"/>
      <c r="CZ307" s="107"/>
      <c r="DA307" s="107"/>
      <c r="DB307" s="107"/>
      <c r="DC307" s="107"/>
      <c r="DD307" s="106"/>
      <c r="DE307" s="107"/>
      <c r="DF307" s="107"/>
      <c r="DG307" s="107"/>
      <c r="DH307" s="107"/>
      <c r="DI307" s="106"/>
      <c r="DJ307" s="107"/>
      <c r="DK307" s="107"/>
      <c r="DL307" s="107"/>
      <c r="DM307" s="107"/>
      <c r="DN307" s="106"/>
      <c r="DO307" s="107"/>
      <c r="DP307" s="107"/>
      <c r="DQ307" s="107"/>
      <c r="DR307" s="107"/>
      <c r="DS307" s="106"/>
      <c r="DT307" s="107"/>
      <c r="DU307" s="107"/>
      <c r="DV307" s="107"/>
      <c r="DW307" s="107"/>
      <c r="DX307" s="106"/>
      <c r="DY307" s="107"/>
      <c r="DZ307" s="107"/>
      <c r="EA307" s="107"/>
      <c r="EB307" s="107"/>
      <c r="EC307" s="106"/>
      <c r="ED307" s="107"/>
      <c r="EE307" s="107"/>
      <c r="EF307" s="107"/>
      <c r="EG307" s="107"/>
      <c r="EH307" s="106"/>
      <c r="EI307" s="107"/>
      <c r="EJ307" s="107"/>
      <c r="EK307" s="107"/>
      <c r="EL307" s="107"/>
      <c r="EM307" s="106"/>
      <c r="EN307" s="107"/>
      <c r="EO307" s="107"/>
      <c r="EP307" s="107"/>
      <c r="EQ307" s="107"/>
      <c r="ER307" s="106"/>
      <c r="ES307" s="107"/>
      <c r="ET307" s="107"/>
      <c r="EU307" s="107"/>
      <c r="EV307" s="107"/>
      <c r="EW307" s="106"/>
      <c r="EX307" s="107"/>
      <c r="EY307" s="107"/>
      <c r="EZ307" s="107"/>
      <c r="FA307" s="107"/>
      <c r="FB307" s="106"/>
      <c r="FC307" s="107"/>
      <c r="FD307" s="107"/>
      <c r="FE307" s="107"/>
      <c r="FF307" s="107"/>
      <c r="FG307" s="106"/>
      <c r="FH307" s="107"/>
      <c r="FI307" s="107"/>
      <c r="FJ307" s="107"/>
      <c r="FK307" s="107"/>
      <c r="FL307" s="106"/>
      <c r="FM307" s="107"/>
      <c r="FN307" s="107"/>
      <c r="FO307" s="107"/>
      <c r="FP307" s="107"/>
      <c r="FQ307" s="106"/>
      <c r="FR307" s="107"/>
      <c r="FS307" s="107"/>
      <c r="FT307" s="107"/>
      <c r="FU307" s="107"/>
      <c r="FV307" s="106"/>
      <c r="FW307" s="107"/>
      <c r="FX307" s="107"/>
      <c r="FY307" s="107"/>
      <c r="FZ307" s="107"/>
      <c r="GA307" s="106"/>
      <c r="GB307" s="107"/>
      <c r="GC307" s="107"/>
      <c r="GD307" s="107"/>
      <c r="GE307" s="107"/>
      <c r="GF307" s="106"/>
      <c r="GG307" s="107"/>
      <c r="GH307" s="107"/>
      <c r="GI307" s="107"/>
      <c r="GJ307" s="107"/>
    </row>
    <row r="308" spans="3:192" ht="12.75" customHeight="1">
      <c r="C308" s="176"/>
      <c r="D308" s="107"/>
      <c r="E308" s="107"/>
      <c r="F308" s="107"/>
      <c r="G308" s="107"/>
      <c r="H308" s="176"/>
      <c r="I308" s="107"/>
      <c r="J308" s="107"/>
      <c r="K308" s="107"/>
      <c r="L308" s="107"/>
      <c r="M308" s="176"/>
      <c r="N308" s="107"/>
      <c r="O308" s="107"/>
      <c r="P308" s="107"/>
      <c r="Q308" s="107"/>
      <c r="R308" s="176"/>
      <c r="S308" s="107"/>
      <c r="T308" s="107"/>
      <c r="U308" s="107"/>
      <c r="V308" s="107"/>
      <c r="W308" s="176"/>
      <c r="X308" s="107"/>
      <c r="Y308" s="107"/>
      <c r="Z308" s="107"/>
      <c r="AA308" s="107"/>
      <c r="AB308" s="176"/>
      <c r="AC308" s="107"/>
      <c r="AD308" s="107"/>
      <c r="AE308" s="107"/>
      <c r="AF308" s="107"/>
      <c r="AG308" s="176"/>
      <c r="AH308" s="107"/>
      <c r="AI308" s="107"/>
      <c r="AJ308" s="107"/>
      <c r="AK308" s="107"/>
      <c r="AL308" s="176"/>
      <c r="AM308" s="107"/>
      <c r="AN308" s="107"/>
      <c r="AO308" s="107"/>
      <c r="AP308" s="107"/>
      <c r="AQ308" s="176"/>
      <c r="AR308" s="107"/>
      <c r="AS308" s="107"/>
      <c r="AT308" s="107"/>
      <c r="AU308" s="107"/>
      <c r="AV308" s="176"/>
      <c r="AW308" s="107"/>
      <c r="AX308" s="107"/>
      <c r="AY308" s="107"/>
      <c r="AZ308" s="107"/>
      <c r="BA308" s="176"/>
      <c r="BB308" s="107"/>
      <c r="BC308" s="107"/>
      <c r="BD308" s="107"/>
      <c r="BE308" s="107"/>
      <c r="BF308" s="176"/>
      <c r="BG308" s="107"/>
      <c r="BH308" s="107"/>
      <c r="BI308" s="107"/>
      <c r="BJ308" s="107"/>
      <c r="BK308" s="176"/>
      <c r="BL308" s="107"/>
      <c r="BM308" s="107"/>
      <c r="BN308" s="107"/>
      <c r="BO308" s="107"/>
      <c r="BP308" s="176"/>
      <c r="BQ308" s="107"/>
      <c r="BR308" s="107"/>
      <c r="BS308" s="107"/>
      <c r="BT308" s="107"/>
      <c r="BU308" s="176"/>
      <c r="BV308" s="107"/>
      <c r="BW308" s="107"/>
      <c r="BX308" s="107"/>
      <c r="BY308" s="107"/>
      <c r="BZ308" s="176"/>
      <c r="CA308" s="107"/>
      <c r="CB308" s="107"/>
      <c r="CC308" s="107"/>
      <c r="CD308" s="107"/>
      <c r="CE308" s="176"/>
      <c r="CF308" s="107"/>
      <c r="CG308" s="107"/>
      <c r="CH308" s="107"/>
      <c r="CI308" s="107"/>
      <c r="CJ308" s="176"/>
      <c r="CK308" s="107"/>
      <c r="CL308" s="107"/>
      <c r="CM308" s="107"/>
      <c r="CN308" s="107"/>
      <c r="CO308" s="176"/>
      <c r="CP308" s="107"/>
      <c r="CQ308" s="107"/>
      <c r="CR308" s="107"/>
      <c r="CS308" s="107"/>
      <c r="CT308" s="176"/>
      <c r="CU308" s="107"/>
      <c r="CV308" s="107"/>
      <c r="CW308" s="107"/>
      <c r="CX308" s="107"/>
      <c r="CY308" s="176"/>
      <c r="CZ308" s="107"/>
      <c r="DA308" s="107"/>
      <c r="DB308" s="107"/>
      <c r="DC308" s="107"/>
      <c r="DD308" s="176"/>
      <c r="DE308" s="107"/>
      <c r="DF308" s="107"/>
      <c r="DG308" s="107"/>
      <c r="DH308" s="107"/>
      <c r="DI308" s="176"/>
      <c r="DJ308" s="107"/>
      <c r="DK308" s="107"/>
      <c r="DL308" s="107"/>
      <c r="DM308" s="107"/>
      <c r="DN308" s="176"/>
      <c r="DO308" s="107"/>
      <c r="DP308" s="107"/>
      <c r="DQ308" s="107"/>
      <c r="DR308" s="107"/>
      <c r="DS308" s="176"/>
      <c r="DT308" s="107"/>
      <c r="DU308" s="107"/>
      <c r="DV308" s="107"/>
      <c r="DW308" s="107"/>
      <c r="DX308" s="176"/>
      <c r="DY308" s="107"/>
      <c r="DZ308" s="107"/>
      <c r="EA308" s="107"/>
      <c r="EB308" s="107"/>
      <c r="EC308" s="176"/>
      <c r="ED308" s="107"/>
      <c r="EE308" s="107"/>
      <c r="EF308" s="107"/>
      <c r="EG308" s="107"/>
      <c r="EH308" s="176"/>
      <c r="EI308" s="107"/>
      <c r="EJ308" s="107"/>
      <c r="EK308" s="107"/>
      <c r="EL308" s="107"/>
      <c r="EM308" s="176"/>
      <c r="EN308" s="107"/>
      <c r="EO308" s="107"/>
      <c r="EP308" s="107"/>
      <c r="EQ308" s="107"/>
      <c r="ER308" s="176"/>
      <c r="ES308" s="107"/>
      <c r="ET308" s="107"/>
      <c r="EU308" s="107"/>
      <c r="EV308" s="107"/>
      <c r="EW308" s="176"/>
      <c r="EX308" s="107"/>
      <c r="EY308" s="107"/>
      <c r="EZ308" s="107"/>
      <c r="FA308" s="107"/>
      <c r="FB308" s="176"/>
      <c r="FC308" s="107"/>
      <c r="FD308" s="107"/>
      <c r="FE308" s="107"/>
      <c r="FF308" s="107"/>
      <c r="FG308" s="176"/>
      <c r="FH308" s="107"/>
      <c r="FI308" s="107"/>
      <c r="FJ308" s="107"/>
      <c r="FK308" s="107"/>
      <c r="FL308" s="176"/>
      <c r="FM308" s="107"/>
      <c r="FN308" s="107"/>
      <c r="FO308" s="107"/>
      <c r="FP308" s="107"/>
      <c r="FQ308" s="176"/>
      <c r="FR308" s="107"/>
      <c r="FS308" s="107"/>
      <c r="FT308" s="107"/>
      <c r="FU308" s="107"/>
      <c r="FV308" s="176"/>
      <c r="FW308" s="107"/>
      <c r="FX308" s="107"/>
      <c r="FY308" s="107"/>
      <c r="FZ308" s="107"/>
      <c r="GA308" s="176"/>
      <c r="GB308" s="107"/>
      <c r="GC308" s="107"/>
      <c r="GD308" s="107"/>
      <c r="GE308" s="107"/>
      <c r="GF308" s="176"/>
      <c r="GG308" s="107"/>
      <c r="GH308" s="107"/>
      <c r="GI308" s="107"/>
      <c r="GJ308" s="107"/>
    </row>
    <row r="309" spans="3:192" ht="12.75" customHeight="1">
      <c r="C309" s="106"/>
      <c r="D309" s="107"/>
      <c r="E309" s="107"/>
      <c r="F309" s="107"/>
      <c r="G309" s="107"/>
      <c r="H309" s="106"/>
      <c r="I309" s="107"/>
      <c r="J309" s="107"/>
      <c r="K309" s="107"/>
      <c r="L309" s="107"/>
      <c r="M309" s="106"/>
      <c r="N309" s="107"/>
      <c r="O309" s="107"/>
      <c r="P309" s="107"/>
      <c r="Q309" s="107"/>
      <c r="R309" s="106"/>
      <c r="S309" s="107"/>
      <c r="T309" s="107"/>
      <c r="U309" s="107"/>
      <c r="V309" s="107"/>
      <c r="W309" s="106"/>
      <c r="X309" s="107"/>
      <c r="Y309" s="107"/>
      <c r="Z309" s="107"/>
      <c r="AA309" s="107"/>
      <c r="AB309" s="106"/>
      <c r="AC309" s="107"/>
      <c r="AD309" s="107"/>
      <c r="AE309" s="107"/>
      <c r="AF309" s="107"/>
      <c r="AG309" s="106"/>
      <c r="AH309" s="107"/>
      <c r="AI309" s="107"/>
      <c r="AJ309" s="107"/>
      <c r="AK309" s="107"/>
      <c r="AL309" s="106"/>
      <c r="AM309" s="107"/>
      <c r="AN309" s="107"/>
      <c r="AO309" s="107"/>
      <c r="AP309" s="107"/>
      <c r="AQ309" s="106"/>
      <c r="AR309" s="107"/>
      <c r="AS309" s="107"/>
      <c r="AT309" s="107"/>
      <c r="AU309" s="107"/>
      <c r="AV309" s="106"/>
      <c r="AW309" s="107"/>
      <c r="AX309" s="107"/>
      <c r="AY309" s="107"/>
      <c r="AZ309" s="107"/>
      <c r="BA309" s="106"/>
      <c r="BB309" s="107"/>
      <c r="BC309" s="107"/>
      <c r="BD309" s="107"/>
      <c r="BE309" s="107"/>
      <c r="BF309" s="106"/>
      <c r="BG309" s="107"/>
      <c r="BH309" s="107"/>
      <c r="BI309" s="107"/>
      <c r="BJ309" s="107"/>
      <c r="BK309" s="106"/>
      <c r="BL309" s="107"/>
      <c r="BM309" s="107"/>
      <c r="BN309" s="107"/>
      <c r="BO309" s="107"/>
      <c r="BP309" s="106"/>
      <c r="BQ309" s="107"/>
      <c r="BR309" s="107"/>
      <c r="BS309" s="107"/>
      <c r="BT309" s="107"/>
      <c r="BU309" s="106"/>
      <c r="BV309" s="107"/>
      <c r="BW309" s="107"/>
      <c r="BX309" s="107"/>
      <c r="BY309" s="107"/>
      <c r="BZ309" s="106"/>
      <c r="CA309" s="107"/>
      <c r="CB309" s="107"/>
      <c r="CC309" s="107"/>
      <c r="CD309" s="107"/>
      <c r="CE309" s="106"/>
      <c r="CF309" s="107"/>
      <c r="CG309" s="107"/>
      <c r="CH309" s="107"/>
      <c r="CI309" s="107"/>
      <c r="CJ309" s="106"/>
      <c r="CK309" s="107"/>
      <c r="CL309" s="107"/>
      <c r="CM309" s="107"/>
      <c r="CN309" s="107"/>
      <c r="CO309" s="106"/>
      <c r="CP309" s="107"/>
      <c r="CQ309" s="107"/>
      <c r="CR309" s="107"/>
      <c r="CS309" s="107"/>
      <c r="CT309" s="106"/>
      <c r="CU309" s="107"/>
      <c r="CV309" s="107"/>
      <c r="CW309" s="107"/>
      <c r="CX309" s="107"/>
      <c r="CY309" s="106"/>
      <c r="CZ309" s="107"/>
      <c r="DA309" s="107"/>
      <c r="DB309" s="107"/>
      <c r="DC309" s="107"/>
      <c r="DD309" s="106"/>
      <c r="DE309" s="107"/>
      <c r="DF309" s="107"/>
      <c r="DG309" s="107"/>
      <c r="DH309" s="107"/>
      <c r="DI309" s="106"/>
      <c r="DJ309" s="107"/>
      <c r="DK309" s="107"/>
      <c r="DL309" s="107"/>
      <c r="DM309" s="107"/>
      <c r="DN309" s="106"/>
      <c r="DO309" s="107"/>
      <c r="DP309" s="107"/>
      <c r="DQ309" s="107"/>
      <c r="DR309" s="107"/>
      <c r="DS309" s="106"/>
      <c r="DT309" s="107"/>
      <c r="DU309" s="107"/>
      <c r="DV309" s="107"/>
      <c r="DW309" s="107"/>
      <c r="DX309" s="106"/>
      <c r="DY309" s="107"/>
      <c r="DZ309" s="107"/>
      <c r="EA309" s="107"/>
      <c r="EB309" s="107"/>
      <c r="EC309" s="106"/>
      <c r="ED309" s="107"/>
      <c r="EE309" s="107"/>
      <c r="EF309" s="107"/>
      <c r="EG309" s="107"/>
      <c r="EH309" s="106"/>
      <c r="EI309" s="107"/>
      <c r="EJ309" s="107"/>
      <c r="EK309" s="107"/>
      <c r="EL309" s="107"/>
      <c r="EM309" s="106"/>
      <c r="EN309" s="107"/>
      <c r="EO309" s="107"/>
      <c r="EP309" s="107"/>
      <c r="EQ309" s="107"/>
      <c r="ER309" s="106"/>
      <c r="ES309" s="107"/>
      <c r="ET309" s="107"/>
      <c r="EU309" s="107"/>
      <c r="EV309" s="107"/>
      <c r="EW309" s="106"/>
      <c r="EX309" s="107"/>
      <c r="EY309" s="107"/>
      <c r="EZ309" s="107"/>
      <c r="FA309" s="107"/>
      <c r="FB309" s="106"/>
      <c r="FC309" s="107"/>
      <c r="FD309" s="107"/>
      <c r="FE309" s="107"/>
      <c r="FF309" s="107"/>
      <c r="FG309" s="106"/>
      <c r="FH309" s="107"/>
      <c r="FI309" s="107"/>
      <c r="FJ309" s="107"/>
      <c r="FK309" s="107"/>
      <c r="FL309" s="106"/>
      <c r="FM309" s="107"/>
      <c r="FN309" s="107"/>
      <c r="FO309" s="107"/>
      <c r="FP309" s="107"/>
      <c r="FQ309" s="106"/>
      <c r="FR309" s="107"/>
      <c r="FS309" s="107"/>
      <c r="FT309" s="107"/>
      <c r="FU309" s="107"/>
      <c r="FV309" s="106"/>
      <c r="FW309" s="107"/>
      <c r="FX309" s="107"/>
      <c r="FY309" s="107"/>
      <c r="FZ309" s="107"/>
      <c r="GA309" s="106"/>
      <c r="GB309" s="107"/>
      <c r="GC309" s="107"/>
      <c r="GD309" s="107"/>
      <c r="GE309" s="107"/>
      <c r="GF309" s="106"/>
      <c r="GG309" s="107"/>
      <c r="GH309" s="107"/>
      <c r="GI309" s="107"/>
      <c r="GJ309" s="107"/>
    </row>
    <row r="310" spans="3:192" ht="12.75" customHeight="1">
      <c r="C310" s="106"/>
      <c r="D310" s="107"/>
      <c r="E310" s="107"/>
      <c r="F310" s="107"/>
      <c r="G310" s="107"/>
      <c r="H310" s="106"/>
      <c r="I310" s="107"/>
      <c r="J310" s="107"/>
      <c r="K310" s="107"/>
      <c r="L310" s="107"/>
      <c r="M310" s="106"/>
      <c r="N310" s="107"/>
      <c r="O310" s="107"/>
      <c r="P310" s="107"/>
      <c r="Q310" s="107"/>
      <c r="R310" s="106"/>
      <c r="S310" s="107"/>
      <c r="T310" s="107"/>
      <c r="U310" s="107"/>
      <c r="V310" s="107"/>
      <c r="W310" s="106"/>
      <c r="X310" s="107"/>
      <c r="Y310" s="107"/>
      <c r="Z310" s="107"/>
      <c r="AA310" s="107"/>
      <c r="AB310" s="106"/>
      <c r="AC310" s="107"/>
      <c r="AD310" s="107"/>
      <c r="AE310" s="107"/>
      <c r="AF310" s="107"/>
      <c r="AG310" s="106"/>
      <c r="AH310" s="107"/>
      <c r="AI310" s="107"/>
      <c r="AJ310" s="107"/>
      <c r="AK310" s="107"/>
      <c r="AL310" s="106"/>
      <c r="AM310" s="107"/>
      <c r="AN310" s="107"/>
      <c r="AO310" s="107"/>
      <c r="AP310" s="107"/>
      <c r="AQ310" s="106"/>
      <c r="AR310" s="107"/>
      <c r="AS310" s="107"/>
      <c r="AT310" s="107"/>
      <c r="AU310" s="107"/>
      <c r="AV310" s="106"/>
      <c r="AW310" s="107"/>
      <c r="AX310" s="107"/>
      <c r="AY310" s="107"/>
      <c r="AZ310" s="107"/>
      <c r="BA310" s="106"/>
      <c r="BB310" s="107"/>
      <c r="BC310" s="107"/>
      <c r="BD310" s="107"/>
      <c r="BE310" s="107"/>
      <c r="BF310" s="106"/>
      <c r="BG310" s="107"/>
      <c r="BH310" s="107"/>
      <c r="BI310" s="107"/>
      <c r="BJ310" s="107"/>
      <c r="BK310" s="106"/>
      <c r="BL310" s="107"/>
      <c r="BM310" s="107"/>
      <c r="BN310" s="107"/>
      <c r="BO310" s="107"/>
      <c r="BP310" s="106"/>
      <c r="BQ310" s="107"/>
      <c r="BR310" s="107"/>
      <c r="BS310" s="107"/>
      <c r="BT310" s="107"/>
      <c r="BU310" s="106"/>
      <c r="BV310" s="107"/>
      <c r="BW310" s="107"/>
      <c r="BX310" s="107"/>
      <c r="BY310" s="107"/>
      <c r="BZ310" s="106"/>
      <c r="CA310" s="107"/>
      <c r="CB310" s="107"/>
      <c r="CC310" s="107"/>
      <c r="CD310" s="107"/>
      <c r="CE310" s="106"/>
      <c r="CF310" s="107"/>
      <c r="CG310" s="107"/>
      <c r="CH310" s="107"/>
      <c r="CI310" s="107"/>
      <c r="CJ310" s="106"/>
      <c r="CK310" s="107"/>
      <c r="CL310" s="107"/>
      <c r="CM310" s="107"/>
      <c r="CN310" s="107"/>
      <c r="CO310" s="106"/>
      <c r="CP310" s="107"/>
      <c r="CQ310" s="107"/>
      <c r="CR310" s="107"/>
      <c r="CS310" s="107"/>
      <c r="CT310" s="106"/>
      <c r="CU310" s="107"/>
      <c r="CV310" s="107"/>
      <c r="CW310" s="107"/>
      <c r="CX310" s="107"/>
      <c r="CY310" s="106"/>
      <c r="CZ310" s="107"/>
      <c r="DA310" s="107"/>
      <c r="DB310" s="107"/>
      <c r="DC310" s="107"/>
      <c r="DD310" s="106"/>
      <c r="DE310" s="107"/>
      <c r="DF310" s="107"/>
      <c r="DG310" s="107"/>
      <c r="DH310" s="107"/>
      <c r="DI310" s="106"/>
      <c r="DJ310" s="107"/>
      <c r="DK310" s="107"/>
      <c r="DL310" s="107"/>
      <c r="DM310" s="107"/>
      <c r="DN310" s="106"/>
      <c r="DO310" s="107"/>
      <c r="DP310" s="107"/>
      <c r="DQ310" s="107"/>
      <c r="DR310" s="107"/>
      <c r="DS310" s="106"/>
      <c r="DT310" s="107"/>
      <c r="DU310" s="107"/>
      <c r="DV310" s="107"/>
      <c r="DW310" s="107"/>
      <c r="DX310" s="106"/>
      <c r="DY310" s="107"/>
      <c r="DZ310" s="107"/>
      <c r="EA310" s="107"/>
      <c r="EB310" s="107"/>
      <c r="EC310" s="106"/>
      <c r="ED310" s="107"/>
      <c r="EE310" s="107"/>
      <c r="EF310" s="107"/>
      <c r="EG310" s="107"/>
      <c r="EH310" s="106"/>
      <c r="EI310" s="107"/>
      <c r="EJ310" s="107"/>
      <c r="EK310" s="107"/>
      <c r="EL310" s="107"/>
      <c r="EM310" s="106"/>
      <c r="EN310" s="107"/>
      <c r="EO310" s="107"/>
      <c r="EP310" s="107"/>
      <c r="EQ310" s="107"/>
      <c r="ER310" s="106"/>
      <c r="ES310" s="107"/>
      <c r="ET310" s="107"/>
      <c r="EU310" s="107"/>
      <c r="EV310" s="107"/>
      <c r="EW310" s="106"/>
      <c r="EX310" s="107"/>
      <c r="EY310" s="107"/>
      <c r="EZ310" s="107"/>
      <c r="FA310" s="107"/>
      <c r="FB310" s="106"/>
      <c r="FC310" s="107"/>
      <c r="FD310" s="107"/>
      <c r="FE310" s="107"/>
      <c r="FF310" s="107"/>
      <c r="FG310" s="106"/>
      <c r="FH310" s="107"/>
      <c r="FI310" s="107"/>
      <c r="FJ310" s="107"/>
      <c r="FK310" s="107"/>
      <c r="FL310" s="106"/>
      <c r="FM310" s="107"/>
      <c r="FN310" s="107"/>
      <c r="FO310" s="107"/>
      <c r="FP310" s="107"/>
      <c r="FQ310" s="106"/>
      <c r="FR310" s="107"/>
      <c r="FS310" s="107"/>
      <c r="FT310" s="107"/>
      <c r="FU310" s="107"/>
      <c r="FV310" s="106"/>
      <c r="FW310" s="107"/>
      <c r="FX310" s="107"/>
      <c r="FY310" s="107"/>
      <c r="FZ310" s="107"/>
      <c r="GA310" s="106"/>
      <c r="GB310" s="107"/>
      <c r="GC310" s="107"/>
      <c r="GD310" s="107"/>
      <c r="GE310" s="107"/>
      <c r="GF310" s="106"/>
      <c r="GG310" s="107"/>
      <c r="GH310" s="107"/>
      <c r="GI310" s="107"/>
      <c r="GJ310" s="107"/>
    </row>
    <row r="311" spans="3:192" ht="12.75" customHeight="1">
      <c r="C311" s="192"/>
      <c r="D311" s="193"/>
      <c r="E311" s="193"/>
      <c r="F311" s="193"/>
      <c r="G311" s="193"/>
      <c r="H311" s="192"/>
      <c r="I311" s="193"/>
      <c r="J311" s="193"/>
      <c r="K311" s="193"/>
      <c r="L311" s="193"/>
      <c r="M311" s="192"/>
      <c r="N311" s="193"/>
      <c r="O311" s="193"/>
      <c r="P311" s="193"/>
      <c r="Q311" s="193"/>
      <c r="R311" s="192"/>
      <c r="S311" s="193"/>
      <c r="T311" s="193"/>
      <c r="U311" s="193"/>
      <c r="V311" s="193"/>
      <c r="W311" s="192"/>
      <c r="X311" s="193"/>
      <c r="Y311" s="193"/>
      <c r="Z311" s="193"/>
      <c r="AA311" s="193"/>
      <c r="AB311" s="192"/>
      <c r="AC311" s="193"/>
      <c r="AD311" s="193"/>
      <c r="AE311" s="193"/>
      <c r="AF311" s="193"/>
      <c r="AG311" s="192"/>
      <c r="AH311" s="193"/>
      <c r="AI311" s="193"/>
      <c r="AJ311" s="193"/>
      <c r="AK311" s="193"/>
      <c r="AL311" s="192"/>
      <c r="AM311" s="193"/>
      <c r="AN311" s="193"/>
      <c r="AO311" s="193"/>
      <c r="AP311" s="193"/>
      <c r="AQ311" s="192"/>
      <c r="AR311" s="193"/>
      <c r="AS311" s="193"/>
      <c r="AT311" s="193"/>
      <c r="AU311" s="193"/>
      <c r="AV311" s="192"/>
      <c r="AW311" s="193"/>
      <c r="AX311" s="193"/>
      <c r="AY311" s="193"/>
      <c r="AZ311" s="193"/>
      <c r="BA311" s="192"/>
      <c r="BB311" s="193"/>
      <c r="BC311" s="193"/>
      <c r="BD311" s="193"/>
      <c r="BE311" s="193"/>
      <c r="BF311" s="192"/>
      <c r="BG311" s="193"/>
      <c r="BH311" s="193"/>
      <c r="BI311" s="193"/>
      <c r="BJ311" s="193"/>
      <c r="BK311" s="192"/>
      <c r="BL311" s="193"/>
      <c r="BM311" s="193"/>
      <c r="BN311" s="193"/>
      <c r="BO311" s="193"/>
      <c r="BP311" s="192"/>
      <c r="BQ311" s="193"/>
      <c r="BR311" s="193"/>
      <c r="BS311" s="193"/>
      <c r="BT311" s="193"/>
      <c r="BU311" s="192"/>
      <c r="BV311" s="193"/>
      <c r="BW311" s="193"/>
      <c r="BX311" s="193"/>
      <c r="BY311" s="193"/>
      <c r="BZ311" s="192"/>
      <c r="CA311" s="193"/>
      <c r="CB311" s="193"/>
      <c r="CC311" s="193"/>
      <c r="CD311" s="193"/>
      <c r="CE311" s="192"/>
      <c r="CF311" s="193"/>
      <c r="CG311" s="193"/>
      <c r="CH311" s="193"/>
      <c r="CI311" s="193"/>
      <c r="CJ311" s="192"/>
      <c r="CK311" s="193"/>
      <c r="CL311" s="193"/>
      <c r="CM311" s="193"/>
      <c r="CN311" s="193"/>
      <c r="CO311" s="192"/>
      <c r="CP311" s="193"/>
      <c r="CQ311" s="193"/>
      <c r="CR311" s="193"/>
      <c r="CS311" s="193"/>
      <c r="CT311" s="192"/>
      <c r="CU311" s="193"/>
      <c r="CV311" s="193"/>
      <c r="CW311" s="193"/>
      <c r="CX311" s="193"/>
      <c r="CY311" s="192"/>
      <c r="CZ311" s="193"/>
      <c r="DA311" s="193"/>
      <c r="DB311" s="193"/>
      <c r="DC311" s="193"/>
      <c r="DD311" s="192"/>
      <c r="DE311" s="193"/>
      <c r="DF311" s="193"/>
      <c r="DG311" s="193"/>
      <c r="DH311" s="193"/>
      <c r="DI311" s="192"/>
      <c r="DJ311" s="193"/>
      <c r="DK311" s="193"/>
      <c r="DL311" s="193"/>
      <c r="DM311" s="193"/>
      <c r="DN311" s="192"/>
      <c r="DO311" s="193"/>
      <c r="DP311" s="193"/>
      <c r="DQ311" s="193"/>
      <c r="DR311" s="193"/>
      <c r="DS311" s="192"/>
      <c r="DT311" s="193"/>
      <c r="DU311" s="193"/>
      <c r="DV311" s="193"/>
      <c r="DW311" s="193"/>
      <c r="DX311" s="192"/>
      <c r="DY311" s="193"/>
      <c r="DZ311" s="193"/>
      <c r="EA311" s="193"/>
      <c r="EB311" s="193"/>
      <c r="EC311" s="192"/>
      <c r="ED311" s="193"/>
      <c r="EE311" s="193"/>
      <c r="EF311" s="193"/>
      <c r="EG311" s="193"/>
      <c r="EH311" s="192"/>
      <c r="EI311" s="193"/>
      <c r="EJ311" s="193"/>
      <c r="EK311" s="193"/>
      <c r="EL311" s="193"/>
      <c r="EM311" s="192"/>
      <c r="EN311" s="193"/>
      <c r="EO311" s="193"/>
      <c r="EP311" s="193"/>
      <c r="EQ311" s="193"/>
      <c r="ER311" s="192"/>
      <c r="ES311" s="193"/>
      <c r="ET311" s="193"/>
      <c r="EU311" s="193"/>
      <c r="EV311" s="193"/>
      <c r="EW311" s="192"/>
      <c r="EX311" s="193"/>
      <c r="EY311" s="193"/>
      <c r="EZ311" s="193"/>
      <c r="FA311" s="193"/>
      <c r="FB311" s="192"/>
      <c r="FC311" s="193"/>
      <c r="FD311" s="193"/>
      <c r="FE311" s="193"/>
      <c r="FF311" s="193"/>
      <c r="FG311" s="192"/>
      <c r="FH311" s="193"/>
      <c r="FI311" s="193"/>
      <c r="FJ311" s="193"/>
      <c r="FK311" s="193"/>
      <c r="FL311" s="192"/>
      <c r="FM311" s="193"/>
      <c r="FN311" s="193"/>
      <c r="FO311" s="193"/>
      <c r="FP311" s="193"/>
      <c r="FQ311" s="192"/>
      <c r="FR311" s="193"/>
      <c r="FS311" s="193"/>
      <c r="FT311" s="193"/>
      <c r="FU311" s="193"/>
      <c r="FV311" s="192"/>
      <c r="FW311" s="193"/>
      <c r="FX311" s="193"/>
      <c r="FY311" s="193"/>
      <c r="FZ311" s="193"/>
      <c r="GA311" s="192"/>
      <c r="GB311" s="193"/>
      <c r="GC311" s="193"/>
      <c r="GD311" s="193"/>
      <c r="GE311" s="193"/>
      <c r="GF311" s="192"/>
      <c r="GG311" s="193"/>
      <c r="GH311" s="193"/>
      <c r="GI311" s="193"/>
      <c r="GJ311" s="193"/>
    </row>
    <row r="312" spans="3:192" ht="12.75" customHeight="1">
      <c r="C312" s="181"/>
      <c r="D312" s="182"/>
      <c r="E312" s="182"/>
      <c r="F312" s="182"/>
      <c r="G312" s="182"/>
      <c r="H312" s="181"/>
      <c r="I312" s="182"/>
      <c r="J312" s="182"/>
      <c r="K312" s="182"/>
      <c r="L312" s="182"/>
      <c r="M312" s="181"/>
      <c r="N312" s="182"/>
      <c r="O312" s="182"/>
      <c r="P312" s="182"/>
      <c r="Q312" s="182"/>
      <c r="R312" s="181"/>
      <c r="S312" s="182"/>
      <c r="T312" s="182"/>
      <c r="U312" s="182"/>
      <c r="V312" s="182"/>
      <c r="W312" s="181"/>
      <c r="X312" s="182"/>
      <c r="Y312" s="182"/>
      <c r="Z312" s="182"/>
      <c r="AA312" s="182"/>
      <c r="AB312" s="181"/>
      <c r="AC312" s="182"/>
      <c r="AD312" s="182"/>
      <c r="AE312" s="182"/>
      <c r="AF312" s="182"/>
      <c r="AG312" s="181"/>
      <c r="AH312" s="182"/>
      <c r="AI312" s="182"/>
      <c r="AJ312" s="182"/>
      <c r="AK312" s="182"/>
      <c r="AL312" s="181"/>
      <c r="AM312" s="182"/>
      <c r="AN312" s="182"/>
      <c r="AO312" s="182"/>
      <c r="AP312" s="182"/>
      <c r="AQ312" s="181"/>
      <c r="AR312" s="182"/>
      <c r="AS312" s="182"/>
      <c r="AT312" s="182"/>
      <c r="AU312" s="182"/>
      <c r="AV312" s="181"/>
      <c r="AW312" s="182"/>
      <c r="AX312" s="182"/>
      <c r="AY312" s="182"/>
      <c r="AZ312" s="182"/>
      <c r="BA312" s="181"/>
      <c r="BB312" s="182"/>
      <c r="BC312" s="182"/>
      <c r="BD312" s="182"/>
      <c r="BE312" s="182"/>
      <c r="BF312" s="181"/>
      <c r="BG312" s="182"/>
      <c r="BH312" s="182"/>
      <c r="BI312" s="182"/>
      <c r="BJ312" s="182"/>
      <c r="BK312" s="181"/>
      <c r="BL312" s="182"/>
      <c r="BM312" s="182"/>
      <c r="BN312" s="182"/>
      <c r="BO312" s="182"/>
      <c r="BP312" s="181"/>
      <c r="BQ312" s="182"/>
      <c r="BR312" s="182"/>
      <c r="BS312" s="182"/>
      <c r="BT312" s="182"/>
      <c r="BU312" s="181"/>
      <c r="BV312" s="182"/>
      <c r="BW312" s="182"/>
      <c r="BX312" s="182"/>
      <c r="BY312" s="182"/>
      <c r="BZ312" s="181"/>
      <c r="CA312" s="182"/>
      <c r="CB312" s="182"/>
      <c r="CC312" s="182"/>
      <c r="CD312" s="182"/>
      <c r="CE312" s="181"/>
      <c r="CF312" s="182"/>
      <c r="CG312" s="182"/>
      <c r="CH312" s="182"/>
      <c r="CI312" s="182"/>
      <c r="CJ312" s="181"/>
      <c r="CK312" s="182"/>
      <c r="CL312" s="182"/>
      <c r="CM312" s="182"/>
      <c r="CN312" s="182"/>
      <c r="CO312" s="181"/>
      <c r="CP312" s="182"/>
      <c r="CQ312" s="182"/>
      <c r="CR312" s="182"/>
      <c r="CS312" s="182"/>
      <c r="CT312" s="181"/>
      <c r="CU312" s="182"/>
      <c r="CV312" s="182"/>
      <c r="CW312" s="182"/>
      <c r="CX312" s="182"/>
      <c r="CY312" s="181"/>
      <c r="CZ312" s="182"/>
      <c r="DA312" s="182"/>
      <c r="DB312" s="182"/>
      <c r="DC312" s="182"/>
      <c r="DD312" s="181"/>
      <c r="DE312" s="182"/>
      <c r="DF312" s="182"/>
      <c r="DG312" s="182"/>
      <c r="DH312" s="182"/>
      <c r="DI312" s="181"/>
      <c r="DJ312" s="182"/>
      <c r="DK312" s="182"/>
      <c r="DL312" s="182"/>
      <c r="DM312" s="182"/>
      <c r="DN312" s="181"/>
      <c r="DO312" s="182"/>
      <c r="DP312" s="182"/>
      <c r="DQ312" s="182"/>
      <c r="DR312" s="182"/>
      <c r="DS312" s="181"/>
      <c r="DT312" s="182"/>
      <c r="DU312" s="182"/>
      <c r="DV312" s="182"/>
      <c r="DW312" s="182"/>
      <c r="DX312" s="181"/>
      <c r="DY312" s="182"/>
      <c r="DZ312" s="182"/>
      <c r="EA312" s="182"/>
      <c r="EB312" s="182"/>
      <c r="EC312" s="181"/>
      <c r="ED312" s="182"/>
      <c r="EE312" s="182"/>
      <c r="EF312" s="182"/>
      <c r="EG312" s="182"/>
      <c r="EH312" s="181"/>
      <c r="EI312" s="182"/>
      <c r="EJ312" s="182"/>
      <c r="EK312" s="182"/>
      <c r="EL312" s="182"/>
      <c r="EM312" s="181"/>
      <c r="EN312" s="182"/>
      <c r="EO312" s="182"/>
      <c r="EP312" s="182"/>
      <c r="EQ312" s="182"/>
      <c r="ER312" s="181"/>
      <c r="ES312" s="182"/>
      <c r="ET312" s="182"/>
      <c r="EU312" s="182"/>
      <c r="EV312" s="182"/>
      <c r="EW312" s="181"/>
      <c r="EX312" s="182"/>
      <c r="EY312" s="182"/>
      <c r="EZ312" s="182"/>
      <c r="FA312" s="182"/>
      <c r="FB312" s="181"/>
      <c r="FC312" s="182"/>
      <c r="FD312" s="182"/>
      <c r="FE312" s="182"/>
      <c r="FF312" s="182"/>
      <c r="FG312" s="181"/>
      <c r="FH312" s="182"/>
      <c r="FI312" s="182"/>
      <c r="FJ312" s="182"/>
      <c r="FK312" s="182"/>
      <c r="FL312" s="181"/>
      <c r="FM312" s="182"/>
      <c r="FN312" s="182"/>
      <c r="FO312" s="182"/>
      <c r="FP312" s="182"/>
      <c r="FQ312" s="181"/>
      <c r="FR312" s="182"/>
      <c r="FS312" s="182"/>
      <c r="FT312" s="182"/>
      <c r="FU312" s="182"/>
      <c r="FV312" s="181"/>
      <c r="FW312" s="182"/>
      <c r="FX312" s="182"/>
      <c r="FY312" s="182"/>
      <c r="FZ312" s="182"/>
      <c r="GA312" s="181"/>
      <c r="GB312" s="182"/>
      <c r="GC312" s="182"/>
      <c r="GD312" s="182"/>
      <c r="GE312" s="182"/>
      <c r="GF312" s="181"/>
      <c r="GG312" s="182"/>
      <c r="GH312" s="182"/>
      <c r="GI312" s="182"/>
      <c r="GJ312" s="182"/>
    </row>
    <row r="313" spans="3:192" ht="12.75" customHeight="1">
      <c r="C313" s="106"/>
      <c r="D313" s="107"/>
      <c r="E313" s="107"/>
      <c r="F313" s="107"/>
      <c r="G313" s="107"/>
      <c r="H313" s="106"/>
      <c r="I313" s="107"/>
      <c r="J313" s="107"/>
      <c r="K313" s="107"/>
      <c r="L313" s="107"/>
      <c r="M313" s="106"/>
      <c r="N313" s="107"/>
      <c r="O313" s="107"/>
      <c r="P313" s="107"/>
      <c r="Q313" s="107"/>
      <c r="R313" s="106"/>
      <c r="S313" s="107"/>
      <c r="T313" s="107"/>
      <c r="U313" s="107"/>
      <c r="V313" s="107"/>
      <c r="W313" s="106"/>
      <c r="X313" s="107"/>
      <c r="Y313" s="107"/>
      <c r="Z313" s="107"/>
      <c r="AA313" s="107"/>
      <c r="AB313" s="106"/>
      <c r="AC313" s="107"/>
      <c r="AD313" s="107"/>
      <c r="AE313" s="107"/>
      <c r="AF313" s="107"/>
      <c r="AG313" s="106"/>
      <c r="AH313" s="107"/>
      <c r="AI313" s="107"/>
      <c r="AJ313" s="107"/>
      <c r="AK313" s="107"/>
      <c r="AL313" s="106"/>
      <c r="AM313" s="107"/>
      <c r="AN313" s="107"/>
      <c r="AO313" s="107"/>
      <c r="AP313" s="107"/>
      <c r="AQ313" s="106"/>
      <c r="AR313" s="107"/>
      <c r="AS313" s="107"/>
      <c r="AT313" s="107"/>
      <c r="AU313" s="107"/>
      <c r="AV313" s="106"/>
      <c r="AW313" s="107"/>
      <c r="AX313" s="107"/>
      <c r="AY313" s="107"/>
      <c r="AZ313" s="107"/>
      <c r="BA313" s="106"/>
      <c r="BB313" s="107"/>
      <c r="BC313" s="107"/>
      <c r="BD313" s="107"/>
      <c r="BE313" s="107"/>
      <c r="BF313" s="106"/>
      <c r="BG313" s="107"/>
      <c r="BH313" s="107"/>
      <c r="BI313" s="107"/>
      <c r="BJ313" s="107"/>
      <c r="BK313" s="106"/>
      <c r="BL313" s="107"/>
      <c r="BM313" s="107"/>
      <c r="BN313" s="107"/>
      <c r="BO313" s="107"/>
      <c r="BP313" s="106"/>
      <c r="BQ313" s="107"/>
      <c r="BR313" s="107"/>
      <c r="BS313" s="107"/>
      <c r="BT313" s="107"/>
      <c r="BU313" s="106"/>
      <c r="BV313" s="107"/>
      <c r="BW313" s="107"/>
      <c r="BX313" s="107"/>
      <c r="BY313" s="107"/>
      <c r="BZ313" s="106"/>
      <c r="CA313" s="107"/>
      <c r="CB313" s="107"/>
      <c r="CC313" s="107"/>
      <c r="CD313" s="107"/>
      <c r="CE313" s="106"/>
      <c r="CF313" s="107"/>
      <c r="CG313" s="107"/>
      <c r="CH313" s="107"/>
      <c r="CI313" s="107"/>
      <c r="CJ313" s="106"/>
      <c r="CK313" s="107"/>
      <c r="CL313" s="107"/>
      <c r="CM313" s="107"/>
      <c r="CN313" s="107"/>
      <c r="CO313" s="106"/>
      <c r="CP313" s="107"/>
      <c r="CQ313" s="107"/>
      <c r="CR313" s="107"/>
      <c r="CS313" s="107"/>
      <c r="CT313" s="106"/>
      <c r="CU313" s="107"/>
      <c r="CV313" s="107"/>
      <c r="CW313" s="107"/>
      <c r="CX313" s="107"/>
      <c r="CY313" s="106"/>
      <c r="CZ313" s="107"/>
      <c r="DA313" s="107"/>
      <c r="DB313" s="107"/>
      <c r="DC313" s="107"/>
      <c r="DD313" s="106"/>
      <c r="DE313" s="107"/>
      <c r="DF313" s="107"/>
      <c r="DG313" s="107"/>
      <c r="DH313" s="107"/>
      <c r="DI313" s="106"/>
      <c r="DJ313" s="107"/>
      <c r="DK313" s="107"/>
      <c r="DL313" s="107"/>
      <c r="DM313" s="107"/>
      <c r="DN313" s="106"/>
      <c r="DO313" s="107"/>
      <c r="DP313" s="107"/>
      <c r="DQ313" s="107"/>
      <c r="DR313" s="107"/>
      <c r="DS313" s="106"/>
      <c r="DT313" s="107"/>
      <c r="DU313" s="107"/>
      <c r="DV313" s="107"/>
      <c r="DW313" s="107"/>
      <c r="DX313" s="106"/>
      <c r="DY313" s="107"/>
      <c r="DZ313" s="107"/>
      <c r="EA313" s="107"/>
      <c r="EB313" s="107"/>
      <c r="EC313" s="106"/>
      <c r="ED313" s="107"/>
      <c r="EE313" s="107"/>
      <c r="EF313" s="107"/>
      <c r="EG313" s="107"/>
      <c r="EH313" s="106"/>
      <c r="EI313" s="107"/>
      <c r="EJ313" s="107"/>
      <c r="EK313" s="107"/>
      <c r="EL313" s="107"/>
      <c r="EM313" s="106"/>
      <c r="EN313" s="107"/>
      <c r="EO313" s="107"/>
      <c r="EP313" s="107"/>
      <c r="EQ313" s="107"/>
      <c r="ER313" s="106"/>
      <c r="ES313" s="107"/>
      <c r="ET313" s="107"/>
      <c r="EU313" s="107"/>
      <c r="EV313" s="107"/>
      <c r="EW313" s="106"/>
      <c r="EX313" s="107"/>
      <c r="EY313" s="107"/>
      <c r="EZ313" s="107"/>
      <c r="FA313" s="107"/>
      <c r="FB313" s="106"/>
      <c r="FC313" s="107"/>
      <c r="FD313" s="107"/>
      <c r="FE313" s="107"/>
      <c r="FF313" s="107"/>
      <c r="FG313" s="106"/>
      <c r="FH313" s="107"/>
      <c r="FI313" s="107"/>
      <c r="FJ313" s="107"/>
      <c r="FK313" s="107"/>
      <c r="FL313" s="106"/>
      <c r="FM313" s="107"/>
      <c r="FN313" s="107"/>
      <c r="FO313" s="107"/>
      <c r="FP313" s="107"/>
      <c r="FQ313" s="106"/>
      <c r="FR313" s="107"/>
      <c r="FS313" s="107"/>
      <c r="FT313" s="107"/>
      <c r="FU313" s="107"/>
      <c r="FV313" s="106"/>
      <c r="FW313" s="107"/>
      <c r="FX313" s="107"/>
      <c r="FY313" s="107"/>
      <c r="FZ313" s="107"/>
      <c r="GA313" s="106"/>
      <c r="GB313" s="107"/>
      <c r="GC313" s="107"/>
      <c r="GD313" s="107"/>
      <c r="GE313" s="107"/>
      <c r="GF313" s="106"/>
      <c r="GG313" s="107"/>
      <c r="GH313" s="107"/>
      <c r="GI313" s="107"/>
      <c r="GJ313" s="107"/>
    </row>
    <row r="314" spans="3:192" ht="12.75" customHeight="1">
      <c r="C314" s="139"/>
      <c r="D314" s="105"/>
      <c r="E314" s="105"/>
      <c r="F314" s="105"/>
      <c r="G314" s="105"/>
      <c r="H314" s="139"/>
      <c r="I314" s="105"/>
      <c r="J314" s="105"/>
      <c r="K314" s="105"/>
      <c r="L314" s="105"/>
      <c r="M314" s="139"/>
      <c r="N314" s="105"/>
      <c r="O314" s="105"/>
      <c r="P314" s="105"/>
      <c r="Q314" s="105"/>
      <c r="R314" s="139"/>
      <c r="S314" s="105"/>
      <c r="T314" s="105"/>
      <c r="U314" s="105"/>
      <c r="V314" s="105"/>
      <c r="W314" s="139"/>
      <c r="X314" s="105"/>
      <c r="Y314" s="105"/>
      <c r="Z314" s="105"/>
      <c r="AA314" s="105"/>
      <c r="AB314" s="139"/>
      <c r="AC314" s="105"/>
      <c r="AD314" s="105"/>
      <c r="AE314" s="105"/>
      <c r="AF314" s="105"/>
      <c r="AG314" s="139"/>
      <c r="AH314" s="105"/>
      <c r="AI314" s="105"/>
      <c r="AJ314" s="105"/>
      <c r="AK314" s="105"/>
      <c r="AL314" s="139"/>
      <c r="AM314" s="105"/>
      <c r="AN314" s="105"/>
      <c r="AO314" s="105"/>
      <c r="AP314" s="105"/>
      <c r="AQ314" s="139"/>
      <c r="AR314" s="105"/>
      <c r="AS314" s="105"/>
      <c r="AT314" s="105"/>
      <c r="AU314" s="105"/>
      <c r="AV314" s="139"/>
      <c r="AW314" s="105"/>
      <c r="AX314" s="105"/>
      <c r="AY314" s="105"/>
      <c r="AZ314" s="105"/>
      <c r="BA314" s="139"/>
      <c r="BB314" s="105"/>
      <c r="BC314" s="105"/>
      <c r="BD314" s="105"/>
      <c r="BE314" s="105"/>
      <c r="BF314" s="139"/>
      <c r="BG314" s="105"/>
      <c r="BH314" s="105"/>
      <c r="BI314" s="105"/>
      <c r="BJ314" s="105"/>
      <c r="BK314" s="139"/>
      <c r="BL314" s="105"/>
      <c r="BM314" s="105"/>
      <c r="BN314" s="105"/>
      <c r="BO314" s="105"/>
      <c r="BP314" s="139"/>
      <c r="BQ314" s="105"/>
      <c r="BR314" s="105"/>
      <c r="BS314" s="105"/>
      <c r="BT314" s="105"/>
      <c r="BU314" s="139"/>
      <c r="BV314" s="105"/>
      <c r="BW314" s="105"/>
      <c r="BX314" s="105"/>
      <c r="BY314" s="105"/>
      <c r="BZ314" s="139"/>
      <c r="CA314" s="105"/>
      <c r="CB314" s="105"/>
      <c r="CC314" s="105"/>
      <c r="CD314" s="105"/>
      <c r="CE314" s="139"/>
      <c r="CF314" s="105"/>
      <c r="CG314" s="105"/>
      <c r="CH314" s="105"/>
      <c r="CI314" s="105"/>
      <c r="CJ314" s="139"/>
      <c r="CK314" s="105"/>
      <c r="CL314" s="105"/>
      <c r="CM314" s="105"/>
      <c r="CN314" s="105"/>
      <c r="CO314" s="139"/>
      <c r="CP314" s="105"/>
      <c r="CQ314" s="105"/>
      <c r="CR314" s="105"/>
      <c r="CS314" s="105"/>
      <c r="CT314" s="139"/>
      <c r="CU314" s="105"/>
      <c r="CV314" s="105"/>
      <c r="CW314" s="105"/>
      <c r="CX314" s="105"/>
      <c r="CY314" s="139"/>
      <c r="CZ314" s="105"/>
      <c r="DA314" s="105"/>
      <c r="DB314" s="105"/>
      <c r="DC314" s="105"/>
      <c r="DD314" s="139"/>
      <c r="DE314" s="105"/>
      <c r="DF314" s="105"/>
      <c r="DG314" s="105"/>
      <c r="DH314" s="105"/>
      <c r="DI314" s="139"/>
      <c r="DJ314" s="105"/>
      <c r="DK314" s="105"/>
      <c r="DL314" s="105"/>
      <c r="DM314" s="105"/>
      <c r="DN314" s="139"/>
      <c r="DO314" s="105"/>
      <c r="DP314" s="105"/>
      <c r="DQ314" s="105"/>
      <c r="DR314" s="105"/>
      <c r="DS314" s="139"/>
      <c r="DT314" s="105"/>
      <c r="DU314" s="105"/>
      <c r="DV314" s="105"/>
      <c r="DW314" s="105"/>
      <c r="DX314" s="139"/>
      <c r="DY314" s="105"/>
      <c r="DZ314" s="105"/>
      <c r="EA314" s="105"/>
      <c r="EB314" s="105"/>
      <c r="EC314" s="139"/>
      <c r="ED314" s="105"/>
      <c r="EE314" s="105"/>
      <c r="EF314" s="105"/>
      <c r="EG314" s="105"/>
      <c r="EH314" s="139"/>
      <c r="EI314" s="105"/>
      <c r="EJ314" s="105"/>
      <c r="EK314" s="105"/>
      <c r="EL314" s="105"/>
      <c r="EM314" s="139"/>
      <c r="EN314" s="105"/>
      <c r="EO314" s="105"/>
      <c r="EP314" s="105"/>
      <c r="EQ314" s="105"/>
      <c r="ER314" s="139"/>
      <c r="ES314" s="105"/>
      <c r="ET314" s="105"/>
      <c r="EU314" s="105"/>
      <c r="EV314" s="105"/>
      <c r="EW314" s="139"/>
      <c r="EX314" s="105"/>
      <c r="EY314" s="105"/>
      <c r="EZ314" s="105"/>
      <c r="FA314" s="105"/>
      <c r="FB314" s="139"/>
      <c r="FC314" s="105"/>
      <c r="FD314" s="105"/>
      <c r="FE314" s="105"/>
      <c r="FF314" s="105"/>
      <c r="FG314" s="139"/>
      <c r="FH314" s="105"/>
      <c r="FI314" s="105"/>
      <c r="FJ314" s="105"/>
      <c r="FK314" s="105"/>
      <c r="FL314" s="139"/>
      <c r="FM314" s="105"/>
      <c r="FN314" s="105"/>
      <c r="FO314" s="105"/>
      <c r="FP314" s="105"/>
      <c r="FQ314" s="139"/>
      <c r="FR314" s="105"/>
      <c r="FS314" s="105"/>
      <c r="FT314" s="105"/>
      <c r="FU314" s="105"/>
      <c r="FV314" s="139"/>
      <c r="FW314" s="105"/>
      <c r="FX314" s="105"/>
      <c r="FY314" s="105"/>
      <c r="FZ314" s="105"/>
      <c r="GA314" s="139"/>
      <c r="GB314" s="105"/>
      <c r="GC314" s="105"/>
      <c r="GD314" s="105"/>
      <c r="GE314" s="105"/>
      <c r="GF314" s="139"/>
      <c r="GG314" s="105"/>
      <c r="GH314" s="105"/>
      <c r="GI314" s="105"/>
      <c r="GJ314" s="105"/>
    </row>
    <row r="316" spans="3:192" ht="12.75" customHeight="1">
      <c r="C316" s="188"/>
      <c r="D316" s="189"/>
      <c r="E316" s="189"/>
      <c r="F316" s="189"/>
      <c r="G316" s="189"/>
      <c r="H316" s="188"/>
      <c r="I316" s="189"/>
      <c r="J316" s="189"/>
      <c r="K316" s="189"/>
      <c r="L316" s="189"/>
      <c r="M316" s="188"/>
      <c r="N316" s="189"/>
      <c r="O316" s="189"/>
      <c r="P316" s="189"/>
      <c r="Q316" s="189"/>
      <c r="R316" s="188"/>
      <c r="S316" s="189"/>
      <c r="T316" s="189"/>
      <c r="U316" s="189"/>
      <c r="V316" s="189"/>
      <c r="W316" s="188"/>
      <c r="X316" s="189"/>
      <c r="Y316" s="189"/>
      <c r="Z316" s="189"/>
      <c r="AA316" s="189"/>
      <c r="AB316" s="188"/>
      <c r="AC316" s="189"/>
      <c r="AD316" s="189"/>
      <c r="AE316" s="189"/>
      <c r="AF316" s="189"/>
      <c r="AG316" s="188"/>
      <c r="AH316" s="189"/>
      <c r="AI316" s="189"/>
      <c r="AJ316" s="189"/>
      <c r="AK316" s="189"/>
      <c r="AL316" s="188"/>
      <c r="AM316" s="189"/>
      <c r="AN316" s="189"/>
      <c r="AO316" s="189"/>
      <c r="AP316" s="189"/>
      <c r="AQ316" s="188"/>
      <c r="AR316" s="189"/>
      <c r="AS316" s="189"/>
      <c r="AT316" s="189"/>
      <c r="AU316" s="189"/>
      <c r="AV316" s="188"/>
      <c r="AW316" s="189"/>
      <c r="AX316" s="189"/>
      <c r="AY316" s="189"/>
      <c r="AZ316" s="189"/>
      <c r="BA316" s="188"/>
      <c r="BB316" s="189"/>
      <c r="BC316" s="189"/>
      <c r="BD316" s="189"/>
      <c r="BE316" s="189"/>
      <c r="BF316" s="188"/>
      <c r="BG316" s="189"/>
      <c r="BH316" s="189"/>
      <c r="BI316" s="189"/>
      <c r="BJ316" s="189"/>
      <c r="BK316" s="188"/>
      <c r="BL316" s="189"/>
      <c r="BM316" s="189"/>
      <c r="BN316" s="189"/>
      <c r="BO316" s="189"/>
      <c r="BP316" s="188"/>
      <c r="BQ316" s="189"/>
      <c r="BR316" s="189"/>
      <c r="BS316" s="189"/>
      <c r="BT316" s="189"/>
      <c r="BU316" s="188"/>
      <c r="BV316" s="189"/>
      <c r="BW316" s="189"/>
      <c r="BX316" s="189"/>
      <c r="BY316" s="189"/>
      <c r="BZ316" s="188"/>
      <c r="CA316" s="189"/>
      <c r="CB316" s="189"/>
      <c r="CC316" s="189"/>
      <c r="CD316" s="189"/>
      <c r="CE316" s="188"/>
      <c r="CF316" s="189"/>
      <c r="CG316" s="189"/>
      <c r="CH316" s="189"/>
      <c r="CI316" s="189"/>
      <c r="CJ316" s="188"/>
      <c r="CK316" s="189"/>
      <c r="CL316" s="189"/>
      <c r="CM316" s="189"/>
      <c r="CN316" s="189"/>
      <c r="CO316" s="188"/>
      <c r="CP316" s="189"/>
      <c r="CQ316" s="189"/>
      <c r="CR316" s="189"/>
      <c r="CS316" s="189"/>
      <c r="CT316" s="188"/>
      <c r="CU316" s="189"/>
      <c r="CV316" s="189"/>
      <c r="CW316" s="189"/>
      <c r="CX316" s="189"/>
      <c r="CY316" s="188"/>
      <c r="CZ316" s="189"/>
      <c r="DA316" s="189"/>
      <c r="DB316" s="189"/>
      <c r="DC316" s="189"/>
      <c r="DD316" s="188"/>
      <c r="DE316" s="189"/>
      <c r="DF316" s="189"/>
      <c r="DG316" s="189"/>
      <c r="DH316" s="189"/>
      <c r="DI316" s="188"/>
      <c r="DJ316" s="189"/>
      <c r="DK316" s="189"/>
      <c r="DL316" s="189"/>
      <c r="DM316" s="189"/>
      <c r="DN316" s="188"/>
      <c r="DO316" s="189"/>
      <c r="DP316" s="189"/>
      <c r="DQ316" s="189"/>
      <c r="DR316" s="189"/>
      <c r="DS316" s="188"/>
      <c r="DT316" s="189"/>
      <c r="DU316" s="189"/>
      <c r="DV316" s="189"/>
      <c r="DW316" s="189"/>
      <c r="DX316" s="188"/>
      <c r="DY316" s="189"/>
      <c r="DZ316" s="189"/>
      <c r="EA316" s="189"/>
      <c r="EB316" s="189"/>
      <c r="EC316" s="188"/>
      <c r="ED316" s="189"/>
      <c r="EE316" s="189"/>
      <c r="EF316" s="189"/>
      <c r="EG316" s="189"/>
      <c r="EH316" s="188"/>
      <c r="EI316" s="189"/>
      <c r="EJ316" s="189"/>
      <c r="EK316" s="189"/>
      <c r="EL316" s="189"/>
      <c r="EM316" s="188"/>
      <c r="EN316" s="189"/>
      <c r="EO316" s="189"/>
      <c r="EP316" s="189"/>
      <c r="EQ316" s="189"/>
      <c r="ER316" s="188"/>
      <c r="ES316" s="189"/>
      <c r="ET316" s="189"/>
      <c r="EU316" s="189"/>
      <c r="EV316" s="189"/>
      <c r="EW316" s="188"/>
      <c r="EX316" s="189"/>
      <c r="EY316" s="189"/>
      <c r="EZ316" s="189"/>
      <c r="FA316" s="189"/>
      <c r="FB316" s="188"/>
      <c r="FC316" s="189"/>
      <c r="FD316" s="189"/>
      <c r="FE316" s="189"/>
      <c r="FF316" s="189"/>
      <c r="FG316" s="188"/>
      <c r="FH316" s="189"/>
      <c r="FI316" s="189"/>
      <c r="FJ316" s="189"/>
      <c r="FK316" s="189"/>
      <c r="FL316" s="188"/>
      <c r="FM316" s="189"/>
      <c r="FN316" s="189"/>
      <c r="FO316" s="189"/>
      <c r="FP316" s="189"/>
      <c r="FQ316" s="188"/>
      <c r="FR316" s="189"/>
      <c r="FS316" s="189"/>
      <c r="FT316" s="189"/>
      <c r="FU316" s="189"/>
      <c r="FV316" s="188"/>
      <c r="FW316" s="189"/>
      <c r="FX316" s="189"/>
      <c r="FY316" s="189"/>
      <c r="FZ316" s="189"/>
      <c r="GA316" s="188"/>
      <c r="GB316" s="189"/>
      <c r="GC316" s="189"/>
      <c r="GD316" s="189"/>
      <c r="GE316" s="189"/>
      <c r="GF316" s="188"/>
      <c r="GG316" s="189"/>
      <c r="GH316" s="189"/>
      <c r="GI316" s="189"/>
      <c r="GJ316" s="189"/>
    </row>
    <row r="317" spans="3:192" ht="12.75" customHeight="1">
      <c r="C317" s="139"/>
      <c r="D317" s="105"/>
      <c r="E317" s="105"/>
      <c r="F317" s="105"/>
      <c r="G317" s="105"/>
      <c r="H317" s="139"/>
      <c r="I317" s="105"/>
      <c r="J317" s="105"/>
      <c r="K317" s="105"/>
      <c r="L317" s="105"/>
      <c r="M317" s="139"/>
      <c r="N317" s="105"/>
      <c r="O317" s="105"/>
      <c r="P317" s="105"/>
      <c r="Q317" s="105"/>
      <c r="R317" s="139"/>
      <c r="S317" s="105"/>
      <c r="T317" s="105"/>
      <c r="U317" s="105"/>
      <c r="V317" s="105"/>
      <c r="W317" s="139"/>
      <c r="X317" s="105"/>
      <c r="Y317" s="105"/>
      <c r="Z317" s="105"/>
      <c r="AA317" s="105"/>
      <c r="AB317" s="139"/>
      <c r="AC317" s="105"/>
      <c r="AD317" s="105"/>
      <c r="AE317" s="105"/>
      <c r="AF317" s="105"/>
      <c r="AG317" s="139"/>
      <c r="AH317" s="105"/>
      <c r="AI317" s="105"/>
      <c r="AJ317" s="105"/>
      <c r="AK317" s="105"/>
      <c r="AL317" s="139"/>
      <c r="AM317" s="105"/>
      <c r="AN317" s="105"/>
      <c r="AO317" s="105"/>
      <c r="AP317" s="105"/>
      <c r="AQ317" s="139"/>
      <c r="AR317" s="105"/>
      <c r="AS317" s="105"/>
      <c r="AT317" s="105"/>
      <c r="AU317" s="105"/>
      <c r="AV317" s="139"/>
      <c r="AW317" s="105"/>
      <c r="AX317" s="105"/>
      <c r="AY317" s="105"/>
      <c r="AZ317" s="105"/>
      <c r="BA317" s="139"/>
      <c r="BB317" s="105"/>
      <c r="BC317" s="105"/>
      <c r="BD317" s="105"/>
      <c r="BE317" s="105"/>
      <c r="BF317" s="139"/>
      <c r="BG317" s="105"/>
      <c r="BH317" s="105"/>
      <c r="BI317" s="105"/>
      <c r="BJ317" s="105"/>
      <c r="BK317" s="139"/>
      <c r="BL317" s="105"/>
      <c r="BM317" s="105"/>
      <c r="BN317" s="105"/>
      <c r="BO317" s="105"/>
      <c r="BP317" s="139"/>
      <c r="BQ317" s="105"/>
      <c r="BR317" s="105"/>
      <c r="BS317" s="105"/>
      <c r="BT317" s="105"/>
      <c r="BU317" s="139"/>
      <c r="BV317" s="105"/>
      <c r="BW317" s="105"/>
      <c r="BX317" s="105"/>
      <c r="BY317" s="105"/>
      <c r="BZ317" s="139"/>
      <c r="CA317" s="105"/>
      <c r="CB317" s="105"/>
      <c r="CC317" s="105"/>
      <c r="CD317" s="105"/>
      <c r="CE317" s="139"/>
      <c r="CF317" s="105"/>
      <c r="CG317" s="105"/>
      <c r="CH317" s="105"/>
      <c r="CI317" s="105"/>
      <c r="CJ317" s="139"/>
      <c r="CK317" s="105"/>
      <c r="CL317" s="105"/>
      <c r="CM317" s="105"/>
      <c r="CN317" s="105"/>
      <c r="CO317" s="139"/>
      <c r="CP317" s="105"/>
      <c r="CQ317" s="105"/>
      <c r="CR317" s="105"/>
      <c r="CS317" s="105"/>
      <c r="CT317" s="139"/>
      <c r="CU317" s="105"/>
      <c r="CV317" s="105"/>
      <c r="CW317" s="105"/>
      <c r="CX317" s="105"/>
      <c r="CY317" s="139"/>
      <c r="CZ317" s="105"/>
      <c r="DA317" s="105"/>
      <c r="DB317" s="105"/>
      <c r="DC317" s="105"/>
      <c r="DD317" s="139"/>
      <c r="DE317" s="105"/>
      <c r="DF317" s="105"/>
      <c r="DG317" s="105"/>
      <c r="DH317" s="105"/>
      <c r="DI317" s="139"/>
      <c r="DJ317" s="105"/>
      <c r="DK317" s="105"/>
      <c r="DL317" s="105"/>
      <c r="DM317" s="105"/>
      <c r="DN317" s="139"/>
      <c r="DO317" s="105"/>
      <c r="DP317" s="105"/>
      <c r="DQ317" s="105"/>
      <c r="DR317" s="105"/>
      <c r="DS317" s="139"/>
      <c r="DT317" s="105"/>
      <c r="DU317" s="105"/>
      <c r="DV317" s="105"/>
      <c r="DW317" s="105"/>
      <c r="DX317" s="139"/>
      <c r="DY317" s="105"/>
      <c r="DZ317" s="105"/>
      <c r="EA317" s="105"/>
      <c r="EB317" s="105"/>
      <c r="EC317" s="139"/>
      <c r="ED317" s="105"/>
      <c r="EE317" s="105"/>
      <c r="EF317" s="105"/>
      <c r="EG317" s="105"/>
      <c r="EH317" s="139"/>
      <c r="EI317" s="105"/>
      <c r="EJ317" s="105"/>
      <c r="EK317" s="105"/>
      <c r="EL317" s="105"/>
      <c r="EM317" s="139"/>
      <c r="EN317" s="105"/>
      <c r="EO317" s="105"/>
      <c r="EP317" s="105"/>
      <c r="EQ317" s="105"/>
      <c r="ER317" s="139"/>
      <c r="ES317" s="105"/>
      <c r="ET317" s="105"/>
      <c r="EU317" s="105"/>
      <c r="EV317" s="105"/>
      <c r="EW317" s="139"/>
      <c r="EX317" s="105"/>
      <c r="EY317" s="105"/>
      <c r="EZ317" s="105"/>
      <c r="FA317" s="105"/>
      <c r="FB317" s="139"/>
      <c r="FC317" s="105"/>
      <c r="FD317" s="105"/>
      <c r="FE317" s="105"/>
      <c r="FF317" s="105"/>
      <c r="FG317" s="139"/>
      <c r="FH317" s="105"/>
      <c r="FI317" s="105"/>
      <c r="FJ317" s="105"/>
      <c r="FK317" s="105"/>
      <c r="FL317" s="139"/>
      <c r="FM317" s="105"/>
      <c r="FN317" s="105"/>
      <c r="FO317" s="105"/>
      <c r="FP317" s="105"/>
      <c r="FQ317" s="139"/>
      <c r="FR317" s="105"/>
      <c r="FS317" s="105"/>
      <c r="FT317" s="105"/>
      <c r="FU317" s="105"/>
      <c r="FV317" s="139"/>
      <c r="FW317" s="105"/>
      <c r="FX317" s="105"/>
      <c r="FY317" s="105"/>
      <c r="FZ317" s="105"/>
      <c r="GA317" s="139"/>
      <c r="GB317" s="105"/>
      <c r="GC317" s="105"/>
      <c r="GD317" s="105"/>
      <c r="GE317" s="105"/>
      <c r="GF317" s="139"/>
      <c r="GG317" s="105"/>
      <c r="GH317" s="105"/>
      <c r="GI317" s="105"/>
      <c r="GJ317" s="105"/>
    </row>
    <row r="320" spans="3:192" ht="12.75" customHeight="1">
      <c r="C320" s="183"/>
      <c r="D320" s="184"/>
      <c r="E320" s="184"/>
      <c r="F320" s="184"/>
      <c r="G320" s="184"/>
      <c r="H320" s="183"/>
      <c r="I320" s="184"/>
      <c r="J320" s="184"/>
      <c r="K320" s="184"/>
      <c r="L320" s="184"/>
      <c r="M320" s="183"/>
      <c r="N320" s="184"/>
      <c r="O320" s="184"/>
      <c r="P320" s="184"/>
      <c r="Q320" s="184"/>
      <c r="R320" s="183"/>
      <c r="S320" s="184"/>
      <c r="T320" s="184"/>
      <c r="U320" s="184"/>
      <c r="V320" s="184"/>
      <c r="W320" s="183"/>
      <c r="X320" s="184"/>
      <c r="Y320" s="184"/>
      <c r="Z320" s="184"/>
      <c r="AA320" s="184"/>
      <c r="AB320" s="183"/>
      <c r="AC320" s="184"/>
      <c r="AD320" s="184"/>
      <c r="AE320" s="184"/>
      <c r="AF320" s="184"/>
      <c r="AG320" s="183"/>
      <c r="AH320" s="184"/>
      <c r="AI320" s="184"/>
      <c r="AJ320" s="184"/>
      <c r="AK320" s="184"/>
      <c r="AL320" s="183"/>
      <c r="AM320" s="184"/>
      <c r="AN320" s="184"/>
      <c r="AO320" s="184"/>
      <c r="AP320" s="184"/>
      <c r="AQ320" s="183"/>
      <c r="AR320" s="184"/>
      <c r="AS320" s="184"/>
      <c r="AT320" s="184"/>
      <c r="AU320" s="184"/>
      <c r="AV320" s="183"/>
      <c r="AW320" s="184"/>
      <c r="AX320" s="184"/>
      <c r="AY320" s="184"/>
      <c r="AZ320" s="184"/>
      <c r="BA320" s="183"/>
      <c r="BB320" s="184"/>
      <c r="BC320" s="184"/>
      <c r="BD320" s="184"/>
      <c r="BE320" s="184"/>
      <c r="BF320" s="183"/>
      <c r="BG320" s="184"/>
      <c r="BH320" s="184"/>
      <c r="BI320" s="184"/>
      <c r="BJ320" s="184"/>
      <c r="BK320" s="183"/>
      <c r="BL320" s="184"/>
      <c r="BM320" s="184"/>
      <c r="BN320" s="184"/>
      <c r="BO320" s="184"/>
      <c r="BP320" s="183"/>
      <c r="BQ320" s="184"/>
      <c r="BR320" s="184"/>
      <c r="BS320" s="184"/>
      <c r="BT320" s="184"/>
      <c r="BU320" s="183"/>
      <c r="BV320" s="184"/>
      <c r="BW320" s="184"/>
      <c r="BX320" s="184"/>
      <c r="BY320" s="184"/>
      <c r="BZ320" s="183"/>
      <c r="CA320" s="184"/>
      <c r="CB320" s="184"/>
      <c r="CC320" s="184"/>
      <c r="CD320" s="184"/>
      <c r="CE320" s="183"/>
      <c r="CF320" s="184"/>
      <c r="CG320" s="184"/>
      <c r="CH320" s="184"/>
      <c r="CI320" s="184"/>
      <c r="CJ320" s="183"/>
      <c r="CK320" s="184"/>
      <c r="CL320" s="184"/>
      <c r="CM320" s="184"/>
      <c r="CN320" s="184"/>
      <c r="CO320" s="183"/>
      <c r="CP320" s="184"/>
      <c r="CQ320" s="184"/>
      <c r="CR320" s="184"/>
      <c r="CS320" s="184"/>
      <c r="CT320" s="183"/>
      <c r="CU320" s="184"/>
      <c r="CV320" s="184"/>
      <c r="CW320" s="184"/>
      <c r="CX320" s="184"/>
      <c r="CY320" s="183"/>
      <c r="CZ320" s="184"/>
      <c r="DA320" s="184"/>
      <c r="DB320" s="184"/>
      <c r="DC320" s="184"/>
      <c r="DD320" s="183"/>
      <c r="DE320" s="184"/>
      <c r="DF320" s="184"/>
      <c r="DG320" s="184"/>
      <c r="DH320" s="184"/>
      <c r="DI320" s="183"/>
      <c r="DJ320" s="184"/>
      <c r="DK320" s="184"/>
      <c r="DL320" s="184"/>
      <c r="DM320" s="184"/>
      <c r="DN320" s="183"/>
      <c r="DO320" s="184"/>
      <c r="DP320" s="184"/>
      <c r="DQ320" s="184"/>
      <c r="DR320" s="184"/>
      <c r="DS320" s="183"/>
      <c r="DT320" s="184"/>
      <c r="DU320" s="184"/>
      <c r="DV320" s="184"/>
      <c r="DW320" s="184"/>
      <c r="DX320" s="183"/>
      <c r="DY320" s="184"/>
      <c r="DZ320" s="184"/>
      <c r="EA320" s="184"/>
      <c r="EB320" s="184"/>
      <c r="EC320" s="183"/>
      <c r="ED320" s="184"/>
      <c r="EE320" s="184"/>
      <c r="EF320" s="184"/>
      <c r="EG320" s="184"/>
      <c r="EH320" s="183"/>
      <c r="EI320" s="184"/>
      <c r="EJ320" s="184"/>
      <c r="EK320" s="184"/>
      <c r="EL320" s="184"/>
      <c r="EM320" s="183"/>
      <c r="EN320" s="184"/>
      <c r="EO320" s="184"/>
      <c r="EP320" s="184"/>
      <c r="EQ320" s="184"/>
      <c r="ER320" s="183"/>
      <c r="ES320" s="184"/>
      <c r="ET320" s="184"/>
      <c r="EU320" s="184"/>
      <c r="EV320" s="184"/>
      <c r="EW320" s="183"/>
      <c r="EX320" s="184"/>
      <c r="EY320" s="184"/>
      <c r="EZ320" s="184"/>
      <c r="FA320" s="184"/>
      <c r="FB320" s="183"/>
      <c r="FC320" s="184"/>
      <c r="FD320" s="184"/>
      <c r="FE320" s="184"/>
      <c r="FF320" s="184"/>
      <c r="FG320" s="183"/>
      <c r="FH320" s="184"/>
      <c r="FI320" s="184"/>
      <c r="FJ320" s="184"/>
      <c r="FK320" s="184"/>
      <c r="FL320" s="183"/>
      <c r="FM320" s="184"/>
      <c r="FN320" s="184"/>
      <c r="FO320" s="184"/>
      <c r="FP320" s="184"/>
      <c r="FQ320" s="183"/>
      <c r="FR320" s="184"/>
      <c r="FS320" s="184"/>
      <c r="FT320" s="184"/>
      <c r="FU320" s="184"/>
      <c r="FV320" s="183"/>
      <c r="FW320" s="184"/>
      <c r="FX320" s="184"/>
      <c r="FY320" s="184"/>
      <c r="FZ320" s="184"/>
      <c r="GA320" s="183"/>
      <c r="GB320" s="184"/>
      <c r="GC320" s="184"/>
      <c r="GD320" s="184"/>
      <c r="GE320" s="184"/>
      <c r="GF320" s="183"/>
      <c r="GG320" s="184"/>
      <c r="GH320" s="184"/>
      <c r="GI320" s="184"/>
      <c r="GJ320" s="184"/>
    </row>
    <row r="323" spans="3:192" ht="12.75" customHeight="1">
      <c r="C323" s="192"/>
      <c r="D323" s="193"/>
      <c r="E323" s="193"/>
      <c r="F323" s="193"/>
      <c r="G323" s="193"/>
      <c r="H323" s="192"/>
      <c r="I323" s="193"/>
      <c r="J323" s="193"/>
      <c r="K323" s="193"/>
      <c r="L323" s="193"/>
      <c r="M323" s="192"/>
      <c r="N323" s="193"/>
      <c r="O323" s="193"/>
      <c r="P323" s="193"/>
      <c r="Q323" s="193"/>
      <c r="R323" s="192"/>
      <c r="S323" s="193"/>
      <c r="T323" s="193"/>
      <c r="U323" s="193"/>
      <c r="V323" s="193"/>
      <c r="W323" s="192"/>
      <c r="X323" s="193"/>
      <c r="Y323" s="193"/>
      <c r="Z323" s="193"/>
      <c r="AA323" s="193"/>
      <c r="AB323" s="192"/>
      <c r="AC323" s="193"/>
      <c r="AD323" s="193"/>
      <c r="AE323" s="193"/>
      <c r="AF323" s="193"/>
      <c r="AG323" s="192"/>
      <c r="AH323" s="193"/>
      <c r="AI323" s="193"/>
      <c r="AJ323" s="193"/>
      <c r="AK323" s="193"/>
      <c r="AL323" s="192"/>
      <c r="AM323" s="193"/>
      <c r="AN323" s="193"/>
      <c r="AO323" s="193"/>
      <c r="AP323" s="193"/>
      <c r="AQ323" s="192"/>
      <c r="AR323" s="193"/>
      <c r="AS323" s="193"/>
      <c r="AT323" s="193"/>
      <c r="AU323" s="193"/>
      <c r="AV323" s="192"/>
      <c r="AW323" s="193"/>
      <c r="AX323" s="193"/>
      <c r="AY323" s="193"/>
      <c r="AZ323" s="193"/>
      <c r="BA323" s="192"/>
      <c r="BB323" s="193"/>
      <c r="BC323" s="193"/>
      <c r="BD323" s="193"/>
      <c r="BE323" s="193"/>
      <c r="BF323" s="192"/>
      <c r="BG323" s="193"/>
      <c r="BH323" s="193"/>
      <c r="BI323" s="193"/>
      <c r="BJ323" s="193"/>
      <c r="BK323" s="192"/>
      <c r="BL323" s="193"/>
      <c r="BM323" s="193"/>
      <c r="BN323" s="193"/>
      <c r="BO323" s="193"/>
      <c r="BP323" s="192"/>
      <c r="BQ323" s="193"/>
      <c r="BR323" s="193"/>
      <c r="BS323" s="193"/>
      <c r="BT323" s="193"/>
      <c r="BU323" s="192"/>
      <c r="BV323" s="193"/>
      <c r="BW323" s="193"/>
      <c r="BX323" s="193"/>
      <c r="BY323" s="193"/>
      <c r="BZ323" s="192"/>
      <c r="CA323" s="193"/>
      <c r="CB323" s="193"/>
      <c r="CC323" s="193"/>
      <c r="CD323" s="193"/>
      <c r="CE323" s="192"/>
      <c r="CF323" s="193"/>
      <c r="CG323" s="193"/>
      <c r="CH323" s="193"/>
      <c r="CI323" s="193"/>
      <c r="CJ323" s="192"/>
      <c r="CK323" s="193"/>
      <c r="CL323" s="193"/>
      <c r="CM323" s="193"/>
      <c r="CN323" s="193"/>
      <c r="CO323" s="192"/>
      <c r="CP323" s="193"/>
      <c r="CQ323" s="193"/>
      <c r="CR323" s="193"/>
      <c r="CS323" s="193"/>
      <c r="CT323" s="192"/>
      <c r="CU323" s="193"/>
      <c r="CV323" s="193"/>
      <c r="CW323" s="193"/>
      <c r="CX323" s="193"/>
      <c r="CY323" s="192"/>
      <c r="CZ323" s="193"/>
      <c r="DA323" s="193"/>
      <c r="DB323" s="193"/>
      <c r="DC323" s="193"/>
      <c r="DD323" s="192"/>
      <c r="DE323" s="193"/>
      <c r="DF323" s="193"/>
      <c r="DG323" s="193"/>
      <c r="DH323" s="193"/>
      <c r="DI323" s="192"/>
      <c r="DJ323" s="193"/>
      <c r="DK323" s="193"/>
      <c r="DL323" s="193"/>
      <c r="DM323" s="193"/>
      <c r="DN323" s="192"/>
      <c r="DO323" s="193"/>
      <c r="DP323" s="193"/>
      <c r="DQ323" s="193"/>
      <c r="DR323" s="193"/>
      <c r="DS323" s="192"/>
      <c r="DT323" s="193"/>
      <c r="DU323" s="193"/>
      <c r="DV323" s="193"/>
      <c r="DW323" s="193"/>
      <c r="DX323" s="192"/>
      <c r="DY323" s="193"/>
      <c r="DZ323" s="193"/>
      <c r="EA323" s="193"/>
      <c r="EB323" s="193"/>
      <c r="EC323" s="192"/>
      <c r="ED323" s="193"/>
      <c r="EE323" s="193"/>
      <c r="EF323" s="193"/>
      <c r="EG323" s="193"/>
      <c r="EH323" s="192"/>
      <c r="EI323" s="193"/>
      <c r="EJ323" s="193"/>
      <c r="EK323" s="193"/>
      <c r="EL323" s="193"/>
      <c r="EM323" s="192"/>
      <c r="EN323" s="193"/>
      <c r="EO323" s="193"/>
      <c r="EP323" s="193"/>
      <c r="EQ323" s="193"/>
      <c r="ER323" s="192"/>
      <c r="ES323" s="193"/>
      <c r="ET323" s="193"/>
      <c r="EU323" s="193"/>
      <c r="EV323" s="193"/>
      <c r="EW323" s="192"/>
      <c r="EX323" s="193"/>
      <c r="EY323" s="193"/>
      <c r="EZ323" s="193"/>
      <c r="FA323" s="193"/>
      <c r="FB323" s="192"/>
      <c r="FC323" s="193"/>
      <c r="FD323" s="193"/>
      <c r="FE323" s="193"/>
      <c r="FF323" s="193"/>
      <c r="FG323" s="192"/>
      <c r="FH323" s="193"/>
      <c r="FI323" s="193"/>
      <c r="FJ323" s="193"/>
      <c r="FK323" s="193"/>
      <c r="FL323" s="192"/>
      <c r="FM323" s="193"/>
      <c r="FN323" s="193"/>
      <c r="FO323" s="193"/>
      <c r="FP323" s="193"/>
      <c r="FQ323" s="192"/>
      <c r="FR323" s="193"/>
      <c r="FS323" s="193"/>
      <c r="FT323" s="193"/>
      <c r="FU323" s="193"/>
      <c r="FV323" s="192"/>
      <c r="FW323" s="193"/>
      <c r="FX323" s="193"/>
      <c r="FY323" s="193"/>
      <c r="FZ323" s="193"/>
      <c r="GA323" s="192"/>
      <c r="GB323" s="193"/>
      <c r="GC323" s="193"/>
      <c r="GD323" s="193"/>
      <c r="GE323" s="193"/>
      <c r="GF323" s="192"/>
      <c r="GG323" s="193"/>
      <c r="GH323" s="193"/>
      <c r="GI323" s="193"/>
      <c r="GJ323" s="193"/>
    </row>
    <row r="324" spans="3:192" ht="12.75" customHeight="1">
      <c r="C324" s="181"/>
      <c r="D324" s="182"/>
      <c r="E324" s="182"/>
      <c r="F324" s="182"/>
      <c r="G324" s="182"/>
      <c r="H324" s="181"/>
      <c r="I324" s="182"/>
      <c r="J324" s="182"/>
      <c r="K324" s="182"/>
      <c r="L324" s="182"/>
      <c r="M324" s="181"/>
      <c r="N324" s="182"/>
      <c r="O324" s="182"/>
      <c r="P324" s="182"/>
      <c r="Q324" s="182"/>
      <c r="R324" s="181"/>
      <c r="S324" s="182"/>
      <c r="T324" s="182"/>
      <c r="U324" s="182"/>
      <c r="V324" s="182"/>
      <c r="W324" s="181"/>
      <c r="X324" s="182"/>
      <c r="Y324" s="182"/>
      <c r="Z324" s="182"/>
      <c r="AA324" s="182"/>
      <c r="AB324" s="181"/>
      <c r="AC324" s="182"/>
      <c r="AD324" s="182"/>
      <c r="AE324" s="182"/>
      <c r="AF324" s="182"/>
      <c r="AG324" s="181"/>
      <c r="AH324" s="182"/>
      <c r="AI324" s="182"/>
      <c r="AJ324" s="182"/>
      <c r="AK324" s="182"/>
      <c r="AL324" s="181"/>
      <c r="AM324" s="182"/>
      <c r="AN324" s="182"/>
      <c r="AO324" s="182"/>
      <c r="AP324" s="182"/>
      <c r="AQ324" s="181"/>
      <c r="AR324" s="182"/>
      <c r="AS324" s="182"/>
      <c r="AT324" s="182"/>
      <c r="AU324" s="182"/>
      <c r="AV324" s="181"/>
      <c r="AW324" s="182"/>
      <c r="AX324" s="182"/>
      <c r="AY324" s="182"/>
      <c r="AZ324" s="182"/>
      <c r="BA324" s="181"/>
      <c r="BB324" s="182"/>
      <c r="BC324" s="182"/>
      <c r="BD324" s="182"/>
      <c r="BE324" s="182"/>
      <c r="BF324" s="181"/>
      <c r="BG324" s="182"/>
      <c r="BH324" s="182"/>
      <c r="BI324" s="182"/>
      <c r="BJ324" s="182"/>
      <c r="BK324" s="181"/>
      <c r="BL324" s="182"/>
      <c r="BM324" s="182"/>
      <c r="BN324" s="182"/>
      <c r="BO324" s="182"/>
      <c r="BP324" s="181"/>
      <c r="BQ324" s="182"/>
      <c r="BR324" s="182"/>
      <c r="BS324" s="182"/>
      <c r="BT324" s="182"/>
      <c r="BU324" s="181"/>
      <c r="BV324" s="182"/>
      <c r="BW324" s="182"/>
      <c r="BX324" s="182"/>
      <c r="BY324" s="182"/>
      <c r="BZ324" s="181"/>
      <c r="CA324" s="182"/>
      <c r="CB324" s="182"/>
      <c r="CC324" s="182"/>
      <c r="CD324" s="182"/>
      <c r="CE324" s="181"/>
      <c r="CF324" s="182"/>
      <c r="CG324" s="182"/>
      <c r="CH324" s="182"/>
      <c r="CI324" s="182"/>
      <c r="CJ324" s="181"/>
      <c r="CK324" s="182"/>
      <c r="CL324" s="182"/>
      <c r="CM324" s="182"/>
      <c r="CN324" s="182"/>
      <c r="CO324" s="181"/>
      <c r="CP324" s="182"/>
      <c r="CQ324" s="182"/>
      <c r="CR324" s="182"/>
      <c r="CS324" s="182"/>
      <c r="CT324" s="181"/>
      <c r="CU324" s="182"/>
      <c r="CV324" s="182"/>
      <c r="CW324" s="182"/>
      <c r="CX324" s="182"/>
      <c r="CY324" s="181"/>
      <c r="CZ324" s="182"/>
      <c r="DA324" s="182"/>
      <c r="DB324" s="182"/>
      <c r="DC324" s="182"/>
      <c r="DD324" s="181"/>
      <c r="DE324" s="182"/>
      <c r="DF324" s="182"/>
      <c r="DG324" s="182"/>
      <c r="DH324" s="182"/>
      <c r="DI324" s="181"/>
      <c r="DJ324" s="182"/>
      <c r="DK324" s="182"/>
      <c r="DL324" s="182"/>
      <c r="DM324" s="182"/>
      <c r="DN324" s="181"/>
      <c r="DO324" s="182"/>
      <c r="DP324" s="182"/>
      <c r="DQ324" s="182"/>
      <c r="DR324" s="182"/>
      <c r="DS324" s="181"/>
      <c r="DT324" s="182"/>
      <c r="DU324" s="182"/>
      <c r="DV324" s="182"/>
      <c r="DW324" s="182"/>
      <c r="DX324" s="181"/>
      <c r="DY324" s="182"/>
      <c r="DZ324" s="182"/>
      <c r="EA324" s="182"/>
      <c r="EB324" s="182"/>
      <c r="EC324" s="181"/>
      <c r="ED324" s="182"/>
      <c r="EE324" s="182"/>
      <c r="EF324" s="182"/>
      <c r="EG324" s="182"/>
      <c r="EH324" s="181"/>
      <c r="EI324" s="182"/>
      <c r="EJ324" s="182"/>
      <c r="EK324" s="182"/>
      <c r="EL324" s="182"/>
      <c r="EM324" s="181"/>
      <c r="EN324" s="182"/>
      <c r="EO324" s="182"/>
      <c r="EP324" s="182"/>
      <c r="EQ324" s="182"/>
      <c r="ER324" s="181"/>
      <c r="ES324" s="182"/>
      <c r="ET324" s="182"/>
      <c r="EU324" s="182"/>
      <c r="EV324" s="182"/>
      <c r="EW324" s="181"/>
      <c r="EX324" s="182"/>
      <c r="EY324" s="182"/>
      <c r="EZ324" s="182"/>
      <c r="FA324" s="182"/>
      <c r="FB324" s="181"/>
      <c r="FC324" s="182"/>
      <c r="FD324" s="182"/>
      <c r="FE324" s="182"/>
      <c r="FF324" s="182"/>
      <c r="FG324" s="181"/>
      <c r="FH324" s="182"/>
      <c r="FI324" s="182"/>
      <c r="FJ324" s="182"/>
      <c r="FK324" s="182"/>
      <c r="FL324" s="181"/>
      <c r="FM324" s="182"/>
      <c r="FN324" s="182"/>
      <c r="FO324" s="182"/>
      <c r="FP324" s="182"/>
      <c r="FQ324" s="181"/>
      <c r="FR324" s="182"/>
      <c r="FS324" s="182"/>
      <c r="FT324" s="182"/>
      <c r="FU324" s="182"/>
      <c r="FV324" s="181"/>
      <c r="FW324" s="182"/>
      <c r="FX324" s="182"/>
      <c r="FY324" s="182"/>
      <c r="FZ324" s="182"/>
      <c r="GA324" s="181"/>
      <c r="GB324" s="182"/>
      <c r="GC324" s="182"/>
      <c r="GD324" s="182"/>
      <c r="GE324" s="182"/>
      <c r="GF324" s="181"/>
      <c r="GG324" s="182"/>
      <c r="GH324" s="182"/>
      <c r="GI324" s="182"/>
      <c r="GJ324" s="182"/>
    </row>
    <row r="326" spans="3:192" ht="12.75" customHeight="1">
      <c r="C326" s="139"/>
      <c r="D326" s="105"/>
      <c r="E326" s="105"/>
      <c r="F326" s="105"/>
      <c r="G326" s="105"/>
      <c r="H326" s="139"/>
      <c r="I326" s="105"/>
      <c r="J326" s="105"/>
      <c r="K326" s="105"/>
      <c r="L326" s="105"/>
      <c r="M326" s="139"/>
      <c r="N326" s="105"/>
      <c r="O326" s="105"/>
      <c r="P326" s="105"/>
      <c r="Q326" s="105"/>
      <c r="R326" s="139"/>
      <c r="S326" s="105"/>
      <c r="T326" s="105"/>
      <c r="U326" s="105"/>
      <c r="V326" s="105"/>
      <c r="W326" s="139"/>
      <c r="X326" s="105"/>
      <c r="Y326" s="105"/>
      <c r="Z326" s="105"/>
      <c r="AA326" s="105"/>
      <c r="AB326" s="139"/>
      <c r="AC326" s="105"/>
      <c r="AD326" s="105"/>
      <c r="AE326" s="105"/>
      <c r="AF326" s="105"/>
      <c r="AG326" s="139"/>
      <c r="AH326" s="105"/>
      <c r="AI326" s="105"/>
      <c r="AJ326" s="105"/>
      <c r="AK326" s="105"/>
      <c r="AL326" s="139"/>
      <c r="AM326" s="105"/>
      <c r="AN326" s="105"/>
      <c r="AO326" s="105"/>
      <c r="AP326" s="105"/>
      <c r="AQ326" s="139"/>
      <c r="AR326" s="105"/>
      <c r="AS326" s="105"/>
      <c r="AT326" s="105"/>
      <c r="AU326" s="105"/>
      <c r="AV326" s="139"/>
      <c r="AW326" s="105"/>
      <c r="AX326" s="105"/>
      <c r="AY326" s="105"/>
      <c r="AZ326" s="105"/>
      <c r="BA326" s="139"/>
      <c r="BB326" s="105"/>
      <c r="BC326" s="105"/>
      <c r="BD326" s="105"/>
      <c r="BE326" s="105"/>
      <c r="BF326" s="139"/>
      <c r="BG326" s="105"/>
      <c r="BH326" s="105"/>
      <c r="BI326" s="105"/>
      <c r="BJ326" s="105"/>
      <c r="BK326" s="139"/>
      <c r="BL326" s="105"/>
      <c r="BM326" s="105"/>
      <c r="BN326" s="105"/>
      <c r="BO326" s="105"/>
      <c r="BP326" s="139"/>
      <c r="BQ326" s="105"/>
      <c r="BR326" s="105"/>
      <c r="BS326" s="105"/>
      <c r="BT326" s="105"/>
      <c r="BU326" s="139"/>
      <c r="BV326" s="105"/>
      <c r="BW326" s="105"/>
      <c r="BX326" s="105"/>
      <c r="BY326" s="105"/>
      <c r="BZ326" s="139"/>
      <c r="CA326" s="105"/>
      <c r="CB326" s="105"/>
      <c r="CC326" s="105"/>
      <c r="CD326" s="105"/>
      <c r="CE326" s="139"/>
      <c r="CF326" s="105"/>
      <c r="CG326" s="105"/>
      <c r="CH326" s="105"/>
      <c r="CI326" s="105"/>
      <c r="CJ326" s="139"/>
      <c r="CK326" s="105"/>
      <c r="CL326" s="105"/>
      <c r="CM326" s="105"/>
      <c r="CN326" s="105"/>
      <c r="CO326" s="139"/>
      <c r="CP326" s="105"/>
      <c r="CQ326" s="105"/>
      <c r="CR326" s="105"/>
      <c r="CS326" s="105"/>
      <c r="CT326" s="139"/>
      <c r="CU326" s="105"/>
      <c r="CV326" s="105"/>
      <c r="CW326" s="105"/>
      <c r="CX326" s="105"/>
      <c r="CY326" s="139"/>
      <c r="CZ326" s="105"/>
      <c r="DA326" s="105"/>
      <c r="DB326" s="105"/>
      <c r="DC326" s="105"/>
      <c r="DD326" s="139"/>
      <c r="DE326" s="105"/>
      <c r="DF326" s="105"/>
      <c r="DG326" s="105"/>
      <c r="DH326" s="105"/>
      <c r="DI326" s="139"/>
      <c r="DJ326" s="105"/>
      <c r="DK326" s="105"/>
      <c r="DL326" s="105"/>
      <c r="DM326" s="105"/>
      <c r="DN326" s="139"/>
      <c r="DO326" s="105"/>
      <c r="DP326" s="105"/>
      <c r="DQ326" s="105"/>
      <c r="DR326" s="105"/>
      <c r="DS326" s="139"/>
      <c r="DT326" s="105"/>
      <c r="DU326" s="105"/>
      <c r="DV326" s="105"/>
      <c r="DW326" s="105"/>
      <c r="DX326" s="139"/>
      <c r="DY326" s="105"/>
      <c r="DZ326" s="105"/>
      <c r="EA326" s="105"/>
      <c r="EB326" s="105"/>
      <c r="EC326" s="139"/>
      <c r="ED326" s="105"/>
      <c r="EE326" s="105"/>
      <c r="EF326" s="105"/>
      <c r="EG326" s="105"/>
      <c r="EH326" s="139"/>
      <c r="EI326" s="105"/>
      <c r="EJ326" s="105"/>
      <c r="EK326" s="105"/>
      <c r="EL326" s="105"/>
      <c r="EM326" s="139"/>
      <c r="EN326" s="105"/>
      <c r="EO326" s="105"/>
      <c r="EP326" s="105"/>
      <c r="EQ326" s="105"/>
      <c r="ER326" s="139"/>
      <c r="ES326" s="105"/>
      <c r="ET326" s="105"/>
      <c r="EU326" s="105"/>
      <c r="EV326" s="105"/>
      <c r="EW326" s="139"/>
      <c r="EX326" s="105"/>
      <c r="EY326" s="105"/>
      <c r="EZ326" s="105"/>
      <c r="FA326" s="105"/>
      <c r="FB326" s="139"/>
      <c r="FC326" s="105"/>
      <c r="FD326" s="105"/>
      <c r="FE326" s="105"/>
      <c r="FF326" s="105"/>
      <c r="FG326" s="139"/>
      <c r="FH326" s="105"/>
      <c r="FI326" s="105"/>
      <c r="FJ326" s="105"/>
      <c r="FK326" s="105"/>
      <c r="FL326" s="139"/>
      <c r="FM326" s="105"/>
      <c r="FN326" s="105"/>
      <c r="FO326" s="105"/>
      <c r="FP326" s="105"/>
      <c r="FQ326" s="139"/>
      <c r="FR326" s="105"/>
      <c r="FS326" s="105"/>
      <c r="FT326" s="105"/>
      <c r="FU326" s="105"/>
      <c r="FV326" s="139"/>
      <c r="FW326" s="105"/>
      <c r="FX326" s="105"/>
      <c r="FY326" s="105"/>
      <c r="FZ326" s="105"/>
      <c r="GA326" s="139"/>
      <c r="GB326" s="105"/>
      <c r="GC326" s="105"/>
      <c r="GD326" s="105"/>
      <c r="GE326" s="105"/>
      <c r="GF326" s="139"/>
      <c r="GG326" s="105"/>
      <c r="GH326" s="105"/>
      <c r="GI326" s="105"/>
      <c r="GJ326" s="105"/>
    </row>
    <row r="329" spans="3:192" ht="12.75" customHeight="1">
      <c r="C329" s="139"/>
      <c r="D329" s="105"/>
      <c r="E329" s="105"/>
      <c r="F329" s="105"/>
      <c r="G329" s="105"/>
      <c r="H329" s="139"/>
      <c r="I329" s="105"/>
      <c r="J329" s="105"/>
      <c r="K329" s="105"/>
      <c r="L329" s="105"/>
      <c r="M329" s="139"/>
      <c r="N329" s="105"/>
      <c r="O329" s="105"/>
      <c r="P329" s="105"/>
      <c r="Q329" s="105"/>
      <c r="R329" s="139"/>
      <c r="S329" s="105"/>
      <c r="T329" s="105"/>
      <c r="U329" s="105"/>
      <c r="V329" s="105"/>
      <c r="W329" s="139"/>
      <c r="X329" s="105"/>
      <c r="Y329" s="105"/>
      <c r="Z329" s="105"/>
      <c r="AA329" s="105"/>
      <c r="AB329" s="139"/>
      <c r="AC329" s="105"/>
      <c r="AD329" s="105"/>
      <c r="AE329" s="105"/>
      <c r="AF329" s="105"/>
      <c r="AG329" s="139"/>
      <c r="AH329" s="105"/>
      <c r="AI329" s="105"/>
      <c r="AJ329" s="105"/>
      <c r="AK329" s="105"/>
      <c r="AL329" s="139"/>
      <c r="AM329" s="105"/>
      <c r="AN329" s="105"/>
      <c r="AO329" s="105"/>
      <c r="AP329" s="105"/>
      <c r="AQ329" s="139"/>
      <c r="AR329" s="105"/>
      <c r="AS329" s="105"/>
      <c r="AT329" s="105"/>
      <c r="AU329" s="105"/>
      <c r="AV329" s="139"/>
      <c r="AW329" s="105"/>
      <c r="AX329" s="105"/>
      <c r="AY329" s="105"/>
      <c r="AZ329" s="105"/>
      <c r="BA329" s="139"/>
      <c r="BB329" s="105"/>
      <c r="BC329" s="105"/>
      <c r="BD329" s="105"/>
      <c r="BE329" s="105"/>
      <c r="BF329" s="139"/>
      <c r="BG329" s="105"/>
      <c r="BH329" s="105"/>
      <c r="BI329" s="105"/>
      <c r="BJ329" s="105"/>
      <c r="BK329" s="139"/>
      <c r="BL329" s="105"/>
      <c r="BM329" s="105"/>
      <c r="BN329" s="105"/>
      <c r="BO329" s="105"/>
      <c r="BP329" s="139"/>
      <c r="BQ329" s="105"/>
      <c r="BR329" s="105"/>
      <c r="BS329" s="105"/>
      <c r="BT329" s="105"/>
      <c r="BU329" s="139"/>
      <c r="BV329" s="105"/>
      <c r="BW329" s="105"/>
      <c r="BX329" s="105"/>
      <c r="BY329" s="105"/>
      <c r="BZ329" s="139"/>
      <c r="CA329" s="105"/>
      <c r="CB329" s="105"/>
      <c r="CC329" s="105"/>
      <c r="CD329" s="105"/>
      <c r="CE329" s="139"/>
      <c r="CF329" s="105"/>
      <c r="CG329" s="105"/>
      <c r="CH329" s="105"/>
      <c r="CI329" s="105"/>
      <c r="CJ329" s="139"/>
      <c r="CK329" s="105"/>
      <c r="CL329" s="105"/>
      <c r="CM329" s="105"/>
      <c r="CN329" s="105"/>
      <c r="CO329" s="139"/>
      <c r="CP329" s="105"/>
      <c r="CQ329" s="105"/>
      <c r="CR329" s="105"/>
      <c r="CS329" s="105"/>
      <c r="CT329" s="139"/>
      <c r="CU329" s="105"/>
      <c r="CV329" s="105"/>
      <c r="CW329" s="105"/>
      <c r="CX329" s="105"/>
      <c r="CY329" s="139"/>
      <c r="CZ329" s="105"/>
      <c r="DA329" s="105"/>
      <c r="DB329" s="105"/>
      <c r="DC329" s="105"/>
      <c r="DD329" s="139"/>
      <c r="DE329" s="105"/>
      <c r="DF329" s="105"/>
      <c r="DG329" s="105"/>
      <c r="DH329" s="105"/>
      <c r="DI329" s="139"/>
      <c r="DJ329" s="105"/>
      <c r="DK329" s="105"/>
      <c r="DL329" s="105"/>
      <c r="DM329" s="105"/>
      <c r="DN329" s="139"/>
      <c r="DO329" s="105"/>
      <c r="DP329" s="105"/>
      <c r="DQ329" s="105"/>
      <c r="DR329" s="105"/>
      <c r="DS329" s="139"/>
      <c r="DT329" s="105"/>
      <c r="DU329" s="105"/>
      <c r="DV329" s="105"/>
      <c r="DW329" s="105"/>
      <c r="DX329" s="139"/>
      <c r="DY329" s="105"/>
      <c r="DZ329" s="105"/>
      <c r="EA329" s="105"/>
      <c r="EB329" s="105"/>
      <c r="EC329" s="139"/>
      <c r="ED329" s="105"/>
      <c r="EE329" s="105"/>
      <c r="EF329" s="105"/>
      <c r="EG329" s="105"/>
      <c r="EH329" s="139"/>
      <c r="EI329" s="105"/>
      <c r="EJ329" s="105"/>
      <c r="EK329" s="105"/>
      <c r="EL329" s="105"/>
      <c r="EM329" s="139"/>
      <c r="EN329" s="105"/>
      <c r="EO329" s="105"/>
      <c r="EP329" s="105"/>
      <c r="EQ329" s="105"/>
      <c r="ER329" s="139"/>
      <c r="ES329" s="105"/>
      <c r="ET329" s="105"/>
      <c r="EU329" s="105"/>
      <c r="EV329" s="105"/>
      <c r="EW329" s="139"/>
      <c r="EX329" s="105"/>
      <c r="EY329" s="105"/>
      <c r="EZ329" s="105"/>
      <c r="FA329" s="105"/>
      <c r="FB329" s="139"/>
      <c r="FC329" s="105"/>
      <c r="FD329" s="105"/>
      <c r="FE329" s="105"/>
      <c r="FF329" s="105"/>
      <c r="FG329" s="139"/>
      <c r="FH329" s="105"/>
      <c r="FI329" s="105"/>
      <c r="FJ329" s="105"/>
      <c r="FK329" s="105"/>
      <c r="FL329" s="139"/>
      <c r="FM329" s="105"/>
      <c r="FN329" s="105"/>
      <c r="FO329" s="105"/>
      <c r="FP329" s="105"/>
      <c r="FQ329" s="139"/>
      <c r="FR329" s="105"/>
      <c r="FS329" s="105"/>
      <c r="FT329" s="105"/>
      <c r="FU329" s="105"/>
      <c r="FV329" s="139"/>
      <c r="FW329" s="105"/>
      <c r="FX329" s="105"/>
      <c r="FY329" s="105"/>
      <c r="FZ329" s="105"/>
      <c r="GA329" s="139"/>
      <c r="GB329" s="105"/>
      <c r="GC329" s="105"/>
      <c r="GD329" s="105"/>
      <c r="GE329" s="105"/>
      <c r="GF329" s="139"/>
      <c r="GG329" s="105"/>
      <c r="GH329" s="105"/>
      <c r="GI329" s="105"/>
      <c r="GJ329" s="105"/>
    </row>
    <row r="331" spans="3:192" ht="12.75" customHeight="1">
      <c r="C331" s="187"/>
      <c r="D331" s="180"/>
      <c r="E331" s="180"/>
      <c r="F331" s="180"/>
      <c r="G331" s="180"/>
      <c r="H331" s="187"/>
      <c r="I331" s="180"/>
      <c r="J331" s="180"/>
      <c r="K331" s="180"/>
      <c r="L331" s="180"/>
      <c r="M331" s="187"/>
      <c r="N331" s="180"/>
      <c r="O331" s="180"/>
      <c r="P331" s="180"/>
      <c r="Q331" s="180"/>
      <c r="R331" s="187"/>
      <c r="S331" s="180"/>
      <c r="T331" s="180"/>
      <c r="U331" s="180"/>
      <c r="V331" s="180"/>
      <c r="W331" s="187"/>
      <c r="X331" s="180"/>
      <c r="Y331" s="180"/>
      <c r="Z331" s="180"/>
      <c r="AA331" s="180"/>
      <c r="AB331" s="187"/>
      <c r="AC331" s="180"/>
      <c r="AD331" s="180"/>
      <c r="AE331" s="180"/>
      <c r="AF331" s="180"/>
      <c r="AG331" s="187"/>
      <c r="AH331" s="180"/>
      <c r="AI331" s="180"/>
      <c r="AJ331" s="180"/>
      <c r="AK331" s="180"/>
      <c r="AL331" s="187"/>
      <c r="AM331" s="180"/>
      <c r="AN331" s="180"/>
      <c r="AO331" s="180"/>
      <c r="AP331" s="180"/>
      <c r="AQ331" s="187"/>
      <c r="AR331" s="180"/>
      <c r="AS331" s="180"/>
      <c r="AT331" s="180"/>
      <c r="AU331" s="180"/>
      <c r="AV331" s="187"/>
      <c r="AW331" s="180"/>
      <c r="AX331" s="180"/>
      <c r="AY331" s="180"/>
      <c r="AZ331" s="180"/>
      <c r="BA331" s="187"/>
      <c r="BB331" s="180"/>
      <c r="BC331" s="180"/>
      <c r="BD331" s="180"/>
      <c r="BE331" s="180"/>
      <c r="BF331" s="187"/>
      <c r="BG331" s="180"/>
      <c r="BH331" s="180"/>
      <c r="BI331" s="180"/>
      <c r="BJ331" s="180"/>
      <c r="BK331" s="187"/>
      <c r="BL331" s="180"/>
      <c r="BM331" s="180"/>
      <c r="BN331" s="180"/>
      <c r="BO331" s="180"/>
      <c r="BP331" s="187"/>
      <c r="BQ331" s="180"/>
      <c r="BR331" s="180"/>
      <c r="BS331" s="180"/>
      <c r="BT331" s="180"/>
      <c r="BU331" s="187"/>
      <c r="BV331" s="180"/>
      <c r="BW331" s="180"/>
      <c r="BX331" s="180"/>
      <c r="BY331" s="180"/>
      <c r="BZ331" s="187"/>
      <c r="CA331" s="180"/>
      <c r="CB331" s="180"/>
      <c r="CC331" s="180"/>
      <c r="CD331" s="180"/>
      <c r="CE331" s="187"/>
      <c r="CF331" s="180"/>
      <c r="CG331" s="180"/>
      <c r="CH331" s="180"/>
      <c r="CI331" s="180"/>
      <c r="CJ331" s="187"/>
      <c r="CK331" s="180"/>
      <c r="CL331" s="180"/>
      <c r="CM331" s="180"/>
      <c r="CN331" s="180"/>
      <c r="CO331" s="187"/>
      <c r="CP331" s="180"/>
      <c r="CQ331" s="180"/>
      <c r="CR331" s="180"/>
      <c r="CS331" s="180"/>
      <c r="CT331" s="187"/>
      <c r="CU331" s="180"/>
      <c r="CV331" s="180"/>
      <c r="CW331" s="180"/>
      <c r="CX331" s="180"/>
      <c r="CY331" s="187"/>
      <c r="CZ331" s="180"/>
      <c r="DA331" s="180"/>
      <c r="DB331" s="180"/>
      <c r="DC331" s="180"/>
      <c r="DD331" s="187"/>
      <c r="DE331" s="180"/>
      <c r="DF331" s="180"/>
      <c r="DG331" s="180"/>
      <c r="DH331" s="180"/>
      <c r="DI331" s="187"/>
      <c r="DJ331" s="180"/>
      <c r="DK331" s="180"/>
      <c r="DL331" s="180"/>
      <c r="DM331" s="180"/>
      <c r="DN331" s="187"/>
      <c r="DO331" s="180"/>
      <c r="DP331" s="180"/>
      <c r="DQ331" s="180"/>
      <c r="DR331" s="180"/>
      <c r="DS331" s="187"/>
      <c r="DT331" s="180"/>
      <c r="DU331" s="180"/>
      <c r="DV331" s="180"/>
      <c r="DW331" s="180"/>
      <c r="DX331" s="187"/>
      <c r="DY331" s="180"/>
      <c r="DZ331" s="180"/>
      <c r="EA331" s="180"/>
      <c r="EB331" s="180"/>
      <c r="EC331" s="187"/>
      <c r="ED331" s="180"/>
      <c r="EE331" s="180"/>
      <c r="EF331" s="180"/>
      <c r="EG331" s="180"/>
      <c r="EH331" s="187"/>
      <c r="EI331" s="180"/>
      <c r="EJ331" s="180"/>
      <c r="EK331" s="180"/>
      <c r="EL331" s="180"/>
      <c r="EM331" s="187"/>
      <c r="EN331" s="180"/>
      <c r="EO331" s="180"/>
      <c r="EP331" s="180"/>
      <c r="EQ331" s="180"/>
      <c r="ER331" s="187"/>
      <c r="ES331" s="180"/>
      <c r="ET331" s="180"/>
      <c r="EU331" s="180"/>
      <c r="EV331" s="180"/>
      <c r="EW331" s="187"/>
      <c r="EX331" s="180"/>
      <c r="EY331" s="180"/>
      <c r="EZ331" s="180"/>
      <c r="FA331" s="180"/>
      <c r="FB331" s="187"/>
      <c r="FC331" s="180"/>
      <c r="FD331" s="180"/>
      <c r="FE331" s="180"/>
      <c r="FF331" s="180"/>
      <c r="FG331" s="187"/>
      <c r="FH331" s="180"/>
      <c r="FI331" s="180"/>
      <c r="FJ331" s="180"/>
      <c r="FK331" s="180"/>
      <c r="FL331" s="187"/>
      <c r="FM331" s="180"/>
      <c r="FN331" s="180"/>
      <c r="FO331" s="180"/>
      <c r="FP331" s="180"/>
      <c r="FQ331" s="187"/>
      <c r="FR331" s="180"/>
      <c r="FS331" s="180"/>
      <c r="FT331" s="180"/>
      <c r="FU331" s="180"/>
      <c r="FV331" s="187"/>
      <c r="FW331" s="180"/>
      <c r="FX331" s="180"/>
      <c r="FY331" s="180"/>
      <c r="FZ331" s="180"/>
      <c r="GA331" s="187"/>
      <c r="GB331" s="180"/>
      <c r="GC331" s="180"/>
      <c r="GD331" s="180"/>
      <c r="GE331" s="180"/>
      <c r="GF331" s="187"/>
      <c r="GG331" s="180"/>
      <c r="GH331" s="180"/>
      <c r="GI331" s="180"/>
      <c r="GJ331" s="180"/>
    </row>
    <row r="332" spans="3:192" ht="12.75" customHeight="1">
      <c r="C332" s="181"/>
      <c r="D332" s="182"/>
      <c r="E332" s="182"/>
      <c r="F332" s="182"/>
      <c r="G332" s="182"/>
      <c r="H332" s="181"/>
      <c r="I332" s="182"/>
      <c r="J332" s="182"/>
      <c r="K332" s="182"/>
      <c r="L332" s="182"/>
      <c r="M332" s="181"/>
      <c r="N332" s="182"/>
      <c r="O332" s="182"/>
      <c r="P332" s="182"/>
      <c r="Q332" s="182"/>
      <c r="R332" s="181"/>
      <c r="S332" s="182"/>
      <c r="T332" s="182"/>
      <c r="U332" s="182"/>
      <c r="V332" s="182"/>
      <c r="W332" s="181"/>
      <c r="X332" s="182"/>
      <c r="Y332" s="182"/>
      <c r="Z332" s="182"/>
      <c r="AA332" s="182"/>
      <c r="AB332" s="181"/>
      <c r="AC332" s="182"/>
      <c r="AD332" s="182"/>
      <c r="AE332" s="182"/>
      <c r="AF332" s="182"/>
      <c r="AG332" s="181"/>
      <c r="AH332" s="182"/>
      <c r="AI332" s="182"/>
      <c r="AJ332" s="182"/>
      <c r="AK332" s="182"/>
      <c r="AL332" s="181"/>
      <c r="AM332" s="182"/>
      <c r="AN332" s="182"/>
      <c r="AO332" s="182"/>
      <c r="AP332" s="182"/>
      <c r="AQ332" s="181"/>
      <c r="AR332" s="182"/>
      <c r="AS332" s="182"/>
      <c r="AT332" s="182"/>
      <c r="AU332" s="182"/>
      <c r="AV332" s="181"/>
      <c r="AW332" s="182"/>
      <c r="AX332" s="182"/>
      <c r="AY332" s="182"/>
      <c r="AZ332" s="182"/>
      <c r="BA332" s="181"/>
      <c r="BB332" s="182"/>
      <c r="BC332" s="182"/>
      <c r="BD332" s="182"/>
      <c r="BE332" s="182"/>
      <c r="BF332" s="181"/>
      <c r="BG332" s="182"/>
      <c r="BH332" s="182"/>
      <c r="BI332" s="182"/>
      <c r="BJ332" s="182"/>
      <c r="BK332" s="181"/>
      <c r="BL332" s="182"/>
      <c r="BM332" s="182"/>
      <c r="BN332" s="182"/>
      <c r="BO332" s="182"/>
      <c r="BP332" s="181"/>
      <c r="BQ332" s="182"/>
      <c r="BR332" s="182"/>
      <c r="BS332" s="182"/>
      <c r="BT332" s="182"/>
      <c r="BU332" s="181"/>
      <c r="BV332" s="182"/>
      <c r="BW332" s="182"/>
      <c r="BX332" s="182"/>
      <c r="BY332" s="182"/>
      <c r="BZ332" s="181"/>
      <c r="CA332" s="182"/>
      <c r="CB332" s="182"/>
      <c r="CC332" s="182"/>
      <c r="CD332" s="182"/>
      <c r="CE332" s="181"/>
      <c r="CF332" s="182"/>
      <c r="CG332" s="182"/>
      <c r="CH332" s="182"/>
      <c r="CI332" s="182"/>
      <c r="CJ332" s="181"/>
      <c r="CK332" s="182"/>
      <c r="CL332" s="182"/>
      <c r="CM332" s="182"/>
      <c r="CN332" s="182"/>
      <c r="CO332" s="181"/>
      <c r="CP332" s="182"/>
      <c r="CQ332" s="182"/>
      <c r="CR332" s="182"/>
      <c r="CS332" s="182"/>
      <c r="CT332" s="181"/>
      <c r="CU332" s="182"/>
      <c r="CV332" s="182"/>
      <c r="CW332" s="182"/>
      <c r="CX332" s="182"/>
      <c r="CY332" s="181"/>
      <c r="CZ332" s="182"/>
      <c r="DA332" s="182"/>
      <c r="DB332" s="182"/>
      <c r="DC332" s="182"/>
      <c r="DD332" s="181"/>
      <c r="DE332" s="182"/>
      <c r="DF332" s="182"/>
      <c r="DG332" s="182"/>
      <c r="DH332" s="182"/>
      <c r="DI332" s="181"/>
      <c r="DJ332" s="182"/>
      <c r="DK332" s="182"/>
      <c r="DL332" s="182"/>
      <c r="DM332" s="182"/>
      <c r="DN332" s="181"/>
      <c r="DO332" s="182"/>
      <c r="DP332" s="182"/>
      <c r="DQ332" s="182"/>
      <c r="DR332" s="182"/>
      <c r="DS332" s="181"/>
      <c r="DT332" s="182"/>
      <c r="DU332" s="182"/>
      <c r="DV332" s="182"/>
      <c r="DW332" s="182"/>
      <c r="DX332" s="181"/>
      <c r="DY332" s="182"/>
      <c r="DZ332" s="182"/>
      <c r="EA332" s="182"/>
      <c r="EB332" s="182"/>
      <c r="EC332" s="181"/>
      <c r="ED332" s="182"/>
      <c r="EE332" s="182"/>
      <c r="EF332" s="182"/>
      <c r="EG332" s="182"/>
      <c r="EH332" s="181"/>
      <c r="EI332" s="182"/>
      <c r="EJ332" s="182"/>
      <c r="EK332" s="182"/>
      <c r="EL332" s="182"/>
      <c r="EM332" s="181"/>
      <c r="EN332" s="182"/>
      <c r="EO332" s="182"/>
      <c r="EP332" s="182"/>
      <c r="EQ332" s="182"/>
      <c r="ER332" s="181"/>
      <c r="ES332" s="182"/>
      <c r="ET332" s="182"/>
      <c r="EU332" s="182"/>
      <c r="EV332" s="182"/>
      <c r="EW332" s="181"/>
      <c r="EX332" s="182"/>
      <c r="EY332" s="182"/>
      <c r="EZ332" s="182"/>
      <c r="FA332" s="182"/>
      <c r="FB332" s="181"/>
      <c r="FC332" s="182"/>
      <c r="FD332" s="182"/>
      <c r="FE332" s="182"/>
      <c r="FF332" s="182"/>
      <c r="FG332" s="181"/>
      <c r="FH332" s="182"/>
      <c r="FI332" s="182"/>
      <c r="FJ332" s="182"/>
      <c r="FK332" s="182"/>
      <c r="FL332" s="181"/>
      <c r="FM332" s="182"/>
      <c r="FN332" s="182"/>
      <c r="FO332" s="182"/>
      <c r="FP332" s="182"/>
      <c r="FQ332" s="181"/>
      <c r="FR332" s="182"/>
      <c r="FS332" s="182"/>
      <c r="FT332" s="182"/>
      <c r="FU332" s="182"/>
      <c r="FV332" s="181"/>
      <c r="FW332" s="182"/>
      <c r="FX332" s="182"/>
      <c r="FY332" s="182"/>
      <c r="FZ332" s="182"/>
      <c r="GA332" s="181"/>
      <c r="GB332" s="182"/>
      <c r="GC332" s="182"/>
      <c r="GD332" s="182"/>
      <c r="GE332" s="182"/>
      <c r="GF332" s="181"/>
      <c r="GG332" s="182"/>
      <c r="GH332" s="182"/>
      <c r="GI332" s="182"/>
      <c r="GJ332" s="182"/>
    </row>
    <row r="334" spans="3:192" ht="12.75" customHeight="1">
      <c r="C334" s="139"/>
      <c r="D334" s="105"/>
      <c r="E334" s="105"/>
      <c r="F334" s="105"/>
      <c r="G334" s="105"/>
      <c r="H334" s="139"/>
      <c r="I334" s="105"/>
      <c r="J334" s="105"/>
      <c r="K334" s="105"/>
      <c r="L334" s="105"/>
      <c r="M334" s="139"/>
      <c r="N334" s="105"/>
      <c r="O334" s="105"/>
      <c r="P334" s="105"/>
      <c r="Q334" s="105"/>
      <c r="R334" s="139"/>
      <c r="S334" s="105"/>
      <c r="T334" s="105"/>
      <c r="U334" s="105"/>
      <c r="V334" s="105"/>
      <c r="W334" s="139"/>
      <c r="X334" s="105"/>
      <c r="Y334" s="105"/>
      <c r="Z334" s="105"/>
      <c r="AA334" s="105"/>
      <c r="AB334" s="139"/>
      <c r="AC334" s="105"/>
      <c r="AD334" s="105"/>
      <c r="AE334" s="105"/>
      <c r="AF334" s="105"/>
      <c r="AG334" s="139"/>
      <c r="AH334" s="105"/>
      <c r="AI334" s="105"/>
      <c r="AJ334" s="105"/>
      <c r="AK334" s="105"/>
      <c r="AL334" s="139"/>
      <c r="AM334" s="105"/>
      <c r="AN334" s="105"/>
      <c r="AO334" s="105"/>
      <c r="AP334" s="105"/>
      <c r="AQ334" s="139"/>
      <c r="AR334" s="105"/>
      <c r="AS334" s="105"/>
      <c r="AT334" s="105"/>
      <c r="AU334" s="105"/>
      <c r="AV334" s="139"/>
      <c r="AW334" s="105"/>
      <c r="AX334" s="105"/>
      <c r="AY334" s="105"/>
      <c r="AZ334" s="105"/>
      <c r="BA334" s="139"/>
      <c r="BB334" s="105"/>
      <c r="BC334" s="105"/>
      <c r="BD334" s="105"/>
      <c r="BE334" s="105"/>
      <c r="BF334" s="139"/>
      <c r="BG334" s="105"/>
      <c r="BH334" s="105"/>
      <c r="BI334" s="105"/>
      <c r="BJ334" s="105"/>
      <c r="BK334" s="139"/>
      <c r="BL334" s="105"/>
      <c r="BM334" s="105"/>
      <c r="BN334" s="105"/>
      <c r="BO334" s="105"/>
      <c r="BP334" s="139"/>
      <c r="BQ334" s="105"/>
      <c r="BR334" s="105"/>
      <c r="BS334" s="105"/>
      <c r="BT334" s="105"/>
      <c r="BU334" s="139"/>
      <c r="BV334" s="105"/>
      <c r="BW334" s="105"/>
      <c r="BX334" s="105"/>
      <c r="BY334" s="105"/>
      <c r="BZ334" s="139"/>
      <c r="CA334" s="105"/>
      <c r="CB334" s="105"/>
      <c r="CC334" s="105"/>
      <c r="CD334" s="105"/>
      <c r="CE334" s="139"/>
      <c r="CF334" s="105"/>
      <c r="CG334" s="105"/>
      <c r="CH334" s="105"/>
      <c r="CI334" s="105"/>
      <c r="CJ334" s="139"/>
      <c r="CK334" s="105"/>
      <c r="CL334" s="105"/>
      <c r="CM334" s="105"/>
      <c r="CN334" s="105"/>
      <c r="CO334" s="139"/>
      <c r="CP334" s="105"/>
      <c r="CQ334" s="105"/>
      <c r="CR334" s="105"/>
      <c r="CS334" s="105"/>
      <c r="CT334" s="139"/>
      <c r="CU334" s="105"/>
      <c r="CV334" s="105"/>
      <c r="CW334" s="105"/>
      <c r="CX334" s="105"/>
      <c r="CY334" s="139"/>
      <c r="CZ334" s="105"/>
      <c r="DA334" s="105"/>
      <c r="DB334" s="105"/>
      <c r="DC334" s="105"/>
      <c r="DD334" s="139"/>
      <c r="DE334" s="105"/>
      <c r="DF334" s="105"/>
      <c r="DG334" s="105"/>
      <c r="DH334" s="105"/>
      <c r="DI334" s="139"/>
      <c r="DJ334" s="105"/>
      <c r="DK334" s="105"/>
      <c r="DL334" s="105"/>
      <c r="DM334" s="105"/>
      <c r="DN334" s="139"/>
      <c r="DO334" s="105"/>
      <c r="DP334" s="105"/>
      <c r="DQ334" s="105"/>
      <c r="DR334" s="105"/>
      <c r="DS334" s="139"/>
      <c r="DT334" s="105"/>
      <c r="DU334" s="105"/>
      <c r="DV334" s="105"/>
      <c r="DW334" s="105"/>
      <c r="DX334" s="139"/>
      <c r="DY334" s="105"/>
      <c r="DZ334" s="105"/>
      <c r="EA334" s="105"/>
      <c r="EB334" s="105"/>
      <c r="EC334" s="139"/>
      <c r="ED334" s="105"/>
      <c r="EE334" s="105"/>
      <c r="EF334" s="105"/>
      <c r="EG334" s="105"/>
      <c r="EH334" s="139"/>
      <c r="EI334" s="105"/>
      <c r="EJ334" s="105"/>
      <c r="EK334" s="105"/>
      <c r="EL334" s="105"/>
      <c r="EM334" s="139"/>
      <c r="EN334" s="105"/>
      <c r="EO334" s="105"/>
      <c r="EP334" s="105"/>
      <c r="EQ334" s="105"/>
      <c r="ER334" s="139"/>
      <c r="ES334" s="105"/>
      <c r="ET334" s="105"/>
      <c r="EU334" s="105"/>
      <c r="EV334" s="105"/>
      <c r="EW334" s="139"/>
      <c r="EX334" s="105"/>
      <c r="EY334" s="105"/>
      <c r="EZ334" s="105"/>
      <c r="FA334" s="105"/>
      <c r="FB334" s="139"/>
      <c r="FC334" s="105"/>
      <c r="FD334" s="105"/>
      <c r="FE334" s="105"/>
      <c r="FF334" s="105"/>
      <c r="FG334" s="139"/>
      <c r="FH334" s="105"/>
      <c r="FI334" s="105"/>
      <c r="FJ334" s="105"/>
      <c r="FK334" s="105"/>
      <c r="FL334" s="139"/>
      <c r="FM334" s="105"/>
      <c r="FN334" s="105"/>
      <c r="FO334" s="105"/>
      <c r="FP334" s="105"/>
      <c r="FQ334" s="139"/>
      <c r="FR334" s="105"/>
      <c r="FS334" s="105"/>
      <c r="FT334" s="105"/>
      <c r="FU334" s="105"/>
      <c r="FV334" s="139"/>
      <c r="FW334" s="105"/>
      <c r="FX334" s="105"/>
      <c r="FY334" s="105"/>
      <c r="FZ334" s="105"/>
      <c r="GA334" s="139"/>
      <c r="GB334" s="105"/>
      <c r="GC334" s="105"/>
      <c r="GD334" s="105"/>
      <c r="GE334" s="105"/>
      <c r="GF334" s="139"/>
      <c r="GG334" s="105"/>
      <c r="GH334" s="105"/>
      <c r="GI334" s="105"/>
      <c r="GJ334" s="105"/>
    </row>
    <row r="336" spans="3:192" ht="12.75" customHeight="1">
      <c r="C336" s="176"/>
      <c r="D336" s="177"/>
      <c r="E336" s="177"/>
      <c r="F336" s="177"/>
      <c r="G336" s="177"/>
      <c r="H336" s="176"/>
      <c r="I336" s="177"/>
      <c r="J336" s="177"/>
      <c r="K336" s="177"/>
      <c r="L336" s="177"/>
      <c r="M336" s="176"/>
      <c r="N336" s="177"/>
      <c r="O336" s="177"/>
      <c r="P336" s="177"/>
      <c r="Q336" s="177"/>
      <c r="R336" s="176"/>
      <c r="S336" s="177"/>
      <c r="T336" s="177"/>
      <c r="U336" s="177"/>
      <c r="V336" s="177"/>
      <c r="W336" s="176"/>
      <c r="X336" s="177"/>
      <c r="Y336" s="177"/>
      <c r="Z336" s="177"/>
      <c r="AA336" s="177"/>
      <c r="AB336" s="176"/>
      <c r="AC336" s="177"/>
      <c r="AD336" s="177"/>
      <c r="AE336" s="177"/>
      <c r="AF336" s="177"/>
      <c r="AG336" s="176"/>
      <c r="AH336" s="177"/>
      <c r="AI336" s="177"/>
      <c r="AJ336" s="177"/>
      <c r="AK336" s="177"/>
      <c r="AL336" s="176"/>
      <c r="AM336" s="177"/>
      <c r="AN336" s="177"/>
      <c r="AO336" s="177"/>
      <c r="AP336" s="177"/>
      <c r="AQ336" s="176"/>
      <c r="AR336" s="177"/>
      <c r="AS336" s="177"/>
      <c r="AT336" s="177"/>
      <c r="AU336" s="177"/>
      <c r="AV336" s="176"/>
      <c r="AW336" s="177"/>
      <c r="AX336" s="177"/>
      <c r="AY336" s="177"/>
      <c r="AZ336" s="177"/>
      <c r="BA336" s="176"/>
      <c r="BB336" s="177"/>
      <c r="BC336" s="177"/>
      <c r="BD336" s="177"/>
      <c r="BE336" s="177"/>
      <c r="BF336" s="176"/>
      <c r="BG336" s="177"/>
      <c r="BH336" s="177"/>
      <c r="BI336" s="177"/>
      <c r="BJ336" s="177"/>
      <c r="BK336" s="176"/>
      <c r="BL336" s="177"/>
      <c r="BM336" s="177"/>
      <c r="BN336" s="177"/>
      <c r="BO336" s="177"/>
      <c r="BP336" s="176"/>
      <c r="BQ336" s="177"/>
      <c r="BR336" s="177"/>
      <c r="BS336" s="177"/>
      <c r="BT336" s="177"/>
      <c r="BU336" s="176"/>
      <c r="BV336" s="177"/>
      <c r="BW336" s="177"/>
      <c r="BX336" s="177"/>
      <c r="BY336" s="177"/>
      <c r="BZ336" s="176"/>
      <c r="CA336" s="177"/>
      <c r="CB336" s="177"/>
      <c r="CC336" s="177"/>
      <c r="CD336" s="177"/>
      <c r="CE336" s="176"/>
      <c r="CF336" s="177"/>
      <c r="CG336" s="177"/>
      <c r="CH336" s="177"/>
      <c r="CI336" s="177"/>
      <c r="CJ336" s="176"/>
      <c r="CK336" s="177"/>
      <c r="CL336" s="177"/>
      <c r="CM336" s="177"/>
      <c r="CN336" s="177"/>
      <c r="CO336" s="176"/>
      <c r="CP336" s="177"/>
      <c r="CQ336" s="177"/>
      <c r="CR336" s="177"/>
      <c r="CS336" s="177"/>
      <c r="CT336" s="176"/>
      <c r="CU336" s="177"/>
      <c r="CV336" s="177"/>
      <c r="CW336" s="177"/>
      <c r="CX336" s="177"/>
      <c r="CY336" s="176"/>
      <c r="CZ336" s="177"/>
      <c r="DA336" s="177"/>
      <c r="DB336" s="177"/>
      <c r="DC336" s="177"/>
      <c r="DD336" s="176"/>
      <c r="DE336" s="177"/>
      <c r="DF336" s="177"/>
      <c r="DG336" s="177"/>
      <c r="DH336" s="177"/>
      <c r="DI336" s="176"/>
      <c r="DJ336" s="177"/>
      <c r="DK336" s="177"/>
      <c r="DL336" s="177"/>
      <c r="DM336" s="177"/>
      <c r="DN336" s="176"/>
      <c r="DO336" s="177"/>
      <c r="DP336" s="177"/>
      <c r="DQ336" s="177"/>
      <c r="DR336" s="177"/>
      <c r="DS336" s="176"/>
      <c r="DT336" s="177"/>
      <c r="DU336" s="177"/>
      <c r="DV336" s="177"/>
      <c r="DW336" s="177"/>
      <c r="DX336" s="176"/>
      <c r="DY336" s="177"/>
      <c r="DZ336" s="177"/>
      <c r="EA336" s="177"/>
      <c r="EB336" s="177"/>
      <c r="EC336" s="176"/>
      <c r="ED336" s="177"/>
      <c r="EE336" s="177"/>
      <c r="EF336" s="177"/>
      <c r="EG336" s="177"/>
      <c r="EH336" s="176"/>
      <c r="EI336" s="177"/>
      <c r="EJ336" s="177"/>
      <c r="EK336" s="177"/>
      <c r="EL336" s="177"/>
      <c r="EM336" s="176"/>
      <c r="EN336" s="177"/>
      <c r="EO336" s="177"/>
      <c r="EP336" s="177"/>
      <c r="EQ336" s="177"/>
      <c r="ER336" s="176"/>
      <c r="ES336" s="177"/>
      <c r="ET336" s="177"/>
      <c r="EU336" s="177"/>
      <c r="EV336" s="177"/>
      <c r="EW336" s="176"/>
      <c r="EX336" s="177"/>
      <c r="EY336" s="177"/>
      <c r="EZ336" s="177"/>
      <c r="FA336" s="177"/>
      <c r="FB336" s="176"/>
      <c r="FC336" s="177"/>
      <c r="FD336" s="177"/>
      <c r="FE336" s="177"/>
      <c r="FF336" s="177"/>
      <c r="FG336" s="176"/>
      <c r="FH336" s="177"/>
      <c r="FI336" s="177"/>
      <c r="FJ336" s="177"/>
      <c r="FK336" s="177"/>
      <c r="FL336" s="176"/>
      <c r="FM336" s="177"/>
      <c r="FN336" s="177"/>
      <c r="FO336" s="177"/>
      <c r="FP336" s="177"/>
      <c r="FQ336" s="176"/>
      <c r="FR336" s="177"/>
      <c r="FS336" s="177"/>
      <c r="FT336" s="177"/>
      <c r="FU336" s="177"/>
      <c r="FV336" s="176"/>
      <c r="FW336" s="177"/>
      <c r="FX336" s="177"/>
      <c r="FY336" s="177"/>
      <c r="FZ336" s="177"/>
      <c r="GA336" s="176"/>
      <c r="GB336" s="177"/>
      <c r="GC336" s="177"/>
      <c r="GD336" s="177"/>
      <c r="GE336" s="177"/>
      <c r="GF336" s="176"/>
      <c r="GG336" s="177"/>
      <c r="GH336" s="177"/>
      <c r="GI336" s="177"/>
      <c r="GJ336" s="177"/>
    </row>
    <row r="337" spans="3:192" ht="12.75" customHeight="1">
      <c r="C337" s="139"/>
      <c r="D337" s="105"/>
      <c r="E337" s="105"/>
      <c r="F337" s="105"/>
      <c r="G337" s="105"/>
      <c r="H337" s="139"/>
      <c r="I337" s="105"/>
      <c r="J337" s="105"/>
      <c r="K337" s="105"/>
      <c r="L337" s="105"/>
      <c r="M337" s="139"/>
      <c r="N337" s="105"/>
      <c r="O337" s="105"/>
      <c r="P337" s="105"/>
      <c r="Q337" s="105"/>
      <c r="R337" s="139"/>
      <c r="S337" s="105"/>
      <c r="T337" s="105"/>
      <c r="U337" s="105"/>
      <c r="V337" s="105"/>
      <c r="W337" s="139"/>
      <c r="X337" s="105"/>
      <c r="Y337" s="105"/>
      <c r="Z337" s="105"/>
      <c r="AA337" s="105"/>
      <c r="AB337" s="139"/>
      <c r="AC337" s="105"/>
      <c r="AD337" s="105"/>
      <c r="AE337" s="105"/>
      <c r="AF337" s="105"/>
      <c r="AG337" s="139"/>
      <c r="AH337" s="105"/>
      <c r="AI337" s="105"/>
      <c r="AJ337" s="105"/>
      <c r="AK337" s="105"/>
      <c r="AL337" s="139"/>
      <c r="AM337" s="105"/>
      <c r="AN337" s="105"/>
      <c r="AO337" s="105"/>
      <c r="AP337" s="105"/>
      <c r="AQ337" s="139"/>
      <c r="AR337" s="105"/>
      <c r="AS337" s="105"/>
      <c r="AT337" s="105"/>
      <c r="AU337" s="105"/>
      <c r="AV337" s="139"/>
      <c r="AW337" s="105"/>
      <c r="AX337" s="105"/>
      <c r="AY337" s="105"/>
      <c r="AZ337" s="105"/>
      <c r="BA337" s="139"/>
      <c r="BB337" s="105"/>
      <c r="BC337" s="105"/>
      <c r="BD337" s="105"/>
      <c r="BE337" s="105"/>
      <c r="BF337" s="139"/>
      <c r="BG337" s="105"/>
      <c r="BH337" s="105"/>
      <c r="BI337" s="105"/>
      <c r="BJ337" s="105"/>
      <c r="BK337" s="139"/>
      <c r="BL337" s="105"/>
      <c r="BM337" s="105"/>
      <c r="BN337" s="105"/>
      <c r="BO337" s="105"/>
      <c r="BP337" s="139"/>
      <c r="BQ337" s="105"/>
      <c r="BR337" s="105"/>
      <c r="BS337" s="105"/>
      <c r="BT337" s="105"/>
      <c r="BU337" s="139"/>
      <c r="BV337" s="105"/>
      <c r="BW337" s="105"/>
      <c r="BX337" s="105"/>
      <c r="BY337" s="105"/>
      <c r="BZ337" s="139"/>
      <c r="CA337" s="105"/>
      <c r="CB337" s="105"/>
      <c r="CC337" s="105"/>
      <c r="CD337" s="105"/>
      <c r="CE337" s="139"/>
      <c r="CF337" s="105"/>
      <c r="CG337" s="105"/>
      <c r="CH337" s="105"/>
      <c r="CI337" s="105"/>
      <c r="CJ337" s="139"/>
      <c r="CK337" s="105"/>
      <c r="CL337" s="105"/>
      <c r="CM337" s="105"/>
      <c r="CN337" s="105"/>
      <c r="CO337" s="139"/>
      <c r="CP337" s="105"/>
      <c r="CQ337" s="105"/>
      <c r="CR337" s="105"/>
      <c r="CS337" s="105"/>
      <c r="CT337" s="139"/>
      <c r="CU337" s="105"/>
      <c r="CV337" s="105"/>
      <c r="CW337" s="105"/>
      <c r="CX337" s="105"/>
      <c r="CY337" s="139"/>
      <c r="CZ337" s="105"/>
      <c r="DA337" s="105"/>
      <c r="DB337" s="105"/>
      <c r="DC337" s="105"/>
      <c r="DD337" s="139"/>
      <c r="DE337" s="105"/>
      <c r="DF337" s="105"/>
      <c r="DG337" s="105"/>
      <c r="DH337" s="105"/>
      <c r="DI337" s="139"/>
      <c r="DJ337" s="105"/>
      <c r="DK337" s="105"/>
      <c r="DL337" s="105"/>
      <c r="DM337" s="105"/>
      <c r="DN337" s="139"/>
      <c r="DO337" s="105"/>
      <c r="DP337" s="105"/>
      <c r="DQ337" s="105"/>
      <c r="DR337" s="105"/>
      <c r="DS337" s="139"/>
      <c r="DT337" s="105"/>
      <c r="DU337" s="105"/>
      <c r="DV337" s="105"/>
      <c r="DW337" s="105"/>
      <c r="DX337" s="139"/>
      <c r="DY337" s="105"/>
      <c r="DZ337" s="105"/>
      <c r="EA337" s="105"/>
      <c r="EB337" s="105"/>
      <c r="EC337" s="139"/>
      <c r="ED337" s="105"/>
      <c r="EE337" s="105"/>
      <c r="EF337" s="105"/>
      <c r="EG337" s="105"/>
      <c r="EH337" s="139"/>
      <c r="EI337" s="105"/>
      <c r="EJ337" s="105"/>
      <c r="EK337" s="105"/>
      <c r="EL337" s="105"/>
      <c r="EM337" s="139"/>
      <c r="EN337" s="105"/>
      <c r="EO337" s="105"/>
      <c r="EP337" s="105"/>
      <c r="EQ337" s="105"/>
      <c r="ER337" s="139"/>
      <c r="ES337" s="105"/>
      <c r="ET337" s="105"/>
      <c r="EU337" s="105"/>
      <c r="EV337" s="105"/>
      <c r="EW337" s="139"/>
      <c r="EX337" s="105"/>
      <c r="EY337" s="105"/>
      <c r="EZ337" s="105"/>
      <c r="FA337" s="105"/>
      <c r="FB337" s="139"/>
      <c r="FC337" s="105"/>
      <c r="FD337" s="105"/>
      <c r="FE337" s="105"/>
      <c r="FF337" s="105"/>
      <c r="FG337" s="139"/>
      <c r="FH337" s="105"/>
      <c r="FI337" s="105"/>
      <c r="FJ337" s="105"/>
      <c r="FK337" s="105"/>
      <c r="FL337" s="139"/>
      <c r="FM337" s="105"/>
      <c r="FN337" s="105"/>
      <c r="FO337" s="105"/>
      <c r="FP337" s="105"/>
      <c r="FQ337" s="139"/>
      <c r="FR337" s="105"/>
      <c r="FS337" s="105"/>
      <c r="FT337" s="105"/>
      <c r="FU337" s="105"/>
      <c r="FV337" s="139"/>
      <c r="FW337" s="105"/>
      <c r="FX337" s="105"/>
      <c r="FY337" s="105"/>
      <c r="FZ337" s="105"/>
      <c r="GA337" s="139"/>
      <c r="GB337" s="105"/>
      <c r="GC337" s="105"/>
      <c r="GD337" s="105"/>
      <c r="GE337" s="105"/>
      <c r="GF337" s="139"/>
      <c r="GG337" s="105"/>
      <c r="GH337" s="105"/>
      <c r="GI337" s="105"/>
      <c r="GJ337" s="105"/>
    </row>
    <row r="341" spans="3:192" ht="12.75" customHeight="1">
      <c r="C341" s="139"/>
      <c r="D341" s="105"/>
      <c r="E341" s="105"/>
      <c r="F341" s="105"/>
      <c r="G341" s="105"/>
      <c r="H341" s="139"/>
      <c r="I341" s="105"/>
      <c r="J341" s="105"/>
      <c r="K341" s="105"/>
      <c r="L341" s="105"/>
      <c r="M341" s="139"/>
      <c r="N341" s="105"/>
      <c r="O341" s="105"/>
      <c r="P341" s="105"/>
      <c r="Q341" s="105"/>
      <c r="R341" s="139"/>
      <c r="S341" s="105"/>
      <c r="T341" s="105"/>
      <c r="U341" s="105"/>
      <c r="V341" s="105"/>
      <c r="W341" s="139"/>
      <c r="X341" s="105"/>
      <c r="Y341" s="105"/>
      <c r="Z341" s="105"/>
      <c r="AA341" s="105"/>
      <c r="AB341" s="139"/>
      <c r="AC341" s="105"/>
      <c r="AD341" s="105"/>
      <c r="AE341" s="105"/>
      <c r="AF341" s="105"/>
      <c r="AG341" s="139"/>
      <c r="AH341" s="105"/>
      <c r="AI341" s="105"/>
      <c r="AJ341" s="105"/>
      <c r="AK341" s="105"/>
      <c r="AL341" s="139"/>
      <c r="AM341" s="105"/>
      <c r="AN341" s="105"/>
      <c r="AO341" s="105"/>
      <c r="AP341" s="105"/>
      <c r="AQ341" s="139"/>
      <c r="AR341" s="105"/>
      <c r="AS341" s="105"/>
      <c r="AT341" s="105"/>
      <c r="AU341" s="105"/>
      <c r="AV341" s="139"/>
      <c r="AW341" s="105"/>
      <c r="AX341" s="105"/>
      <c r="AY341" s="105"/>
      <c r="AZ341" s="105"/>
      <c r="BA341" s="139"/>
      <c r="BB341" s="105"/>
      <c r="BC341" s="105"/>
      <c r="BD341" s="105"/>
      <c r="BE341" s="105"/>
      <c r="BF341" s="139"/>
      <c r="BG341" s="105"/>
      <c r="BH341" s="105"/>
      <c r="BI341" s="105"/>
      <c r="BJ341" s="105"/>
      <c r="BK341" s="139"/>
      <c r="BL341" s="105"/>
      <c r="BM341" s="105"/>
      <c r="BN341" s="105"/>
      <c r="BO341" s="105"/>
      <c r="BP341" s="139"/>
      <c r="BQ341" s="105"/>
      <c r="BR341" s="105"/>
      <c r="BS341" s="105"/>
      <c r="BT341" s="105"/>
      <c r="BU341" s="139"/>
      <c r="BV341" s="105"/>
      <c r="BW341" s="105"/>
      <c r="BX341" s="105"/>
      <c r="BY341" s="105"/>
      <c r="BZ341" s="139"/>
      <c r="CA341" s="105"/>
      <c r="CB341" s="105"/>
      <c r="CC341" s="105"/>
      <c r="CD341" s="105"/>
      <c r="CE341" s="139"/>
      <c r="CF341" s="105"/>
      <c r="CG341" s="105"/>
      <c r="CH341" s="105"/>
      <c r="CI341" s="105"/>
      <c r="CJ341" s="139"/>
      <c r="CK341" s="105"/>
      <c r="CL341" s="105"/>
      <c r="CM341" s="105"/>
      <c r="CN341" s="105"/>
      <c r="CO341" s="139"/>
      <c r="CP341" s="105"/>
      <c r="CQ341" s="105"/>
      <c r="CR341" s="105"/>
      <c r="CS341" s="105"/>
      <c r="CT341" s="139"/>
      <c r="CU341" s="105"/>
      <c r="CV341" s="105"/>
      <c r="CW341" s="105"/>
      <c r="CX341" s="105"/>
      <c r="CY341" s="139"/>
      <c r="CZ341" s="105"/>
      <c r="DA341" s="105"/>
      <c r="DB341" s="105"/>
      <c r="DC341" s="105"/>
      <c r="DD341" s="139"/>
      <c r="DE341" s="105"/>
      <c r="DF341" s="105"/>
      <c r="DG341" s="105"/>
      <c r="DH341" s="105"/>
      <c r="DI341" s="139"/>
      <c r="DJ341" s="105"/>
      <c r="DK341" s="105"/>
      <c r="DL341" s="105"/>
      <c r="DM341" s="105"/>
      <c r="DN341" s="139"/>
      <c r="DO341" s="105"/>
      <c r="DP341" s="105"/>
      <c r="DQ341" s="105"/>
      <c r="DR341" s="105"/>
      <c r="DS341" s="139"/>
      <c r="DT341" s="105"/>
      <c r="DU341" s="105"/>
      <c r="DV341" s="105"/>
      <c r="DW341" s="105"/>
      <c r="DX341" s="139"/>
      <c r="DY341" s="105"/>
      <c r="DZ341" s="105"/>
      <c r="EA341" s="105"/>
      <c r="EB341" s="105"/>
      <c r="EC341" s="139"/>
      <c r="ED341" s="105"/>
      <c r="EE341" s="105"/>
      <c r="EF341" s="105"/>
      <c r="EG341" s="105"/>
      <c r="EH341" s="139"/>
      <c r="EI341" s="105"/>
      <c r="EJ341" s="105"/>
      <c r="EK341" s="105"/>
      <c r="EL341" s="105"/>
      <c r="EM341" s="139"/>
      <c r="EN341" s="105"/>
      <c r="EO341" s="105"/>
      <c r="EP341" s="105"/>
      <c r="EQ341" s="105"/>
      <c r="ER341" s="139"/>
      <c r="ES341" s="105"/>
      <c r="ET341" s="105"/>
      <c r="EU341" s="105"/>
      <c r="EV341" s="105"/>
      <c r="EW341" s="139"/>
      <c r="EX341" s="105"/>
      <c r="EY341" s="105"/>
      <c r="EZ341" s="105"/>
      <c r="FA341" s="105"/>
      <c r="FB341" s="139"/>
      <c r="FC341" s="105"/>
      <c r="FD341" s="105"/>
      <c r="FE341" s="105"/>
      <c r="FF341" s="105"/>
      <c r="FG341" s="139"/>
      <c r="FH341" s="105"/>
      <c r="FI341" s="105"/>
      <c r="FJ341" s="105"/>
      <c r="FK341" s="105"/>
      <c r="FL341" s="139"/>
      <c r="FM341" s="105"/>
      <c r="FN341" s="105"/>
      <c r="FO341" s="105"/>
      <c r="FP341" s="105"/>
      <c r="FQ341" s="139"/>
      <c r="FR341" s="105"/>
      <c r="FS341" s="105"/>
      <c r="FT341" s="105"/>
      <c r="FU341" s="105"/>
      <c r="FV341" s="139"/>
      <c r="FW341" s="105"/>
      <c r="FX341" s="105"/>
      <c r="FY341" s="105"/>
      <c r="FZ341" s="105"/>
      <c r="GA341" s="139"/>
      <c r="GB341" s="105"/>
      <c r="GC341" s="105"/>
      <c r="GD341" s="105"/>
      <c r="GE341" s="105"/>
      <c r="GF341" s="139"/>
      <c r="GG341" s="105"/>
      <c r="GH341" s="105"/>
      <c r="GI341" s="105"/>
      <c r="GJ341" s="105"/>
    </row>
    <row r="342" spans="3:192" ht="12.75" customHeight="1">
      <c r="C342" s="139"/>
      <c r="D342" s="105"/>
      <c r="E342" s="105"/>
      <c r="F342" s="105"/>
      <c r="G342" s="105"/>
      <c r="H342" s="139"/>
      <c r="I342" s="105"/>
      <c r="J342" s="105"/>
      <c r="K342" s="105"/>
      <c r="L342" s="105"/>
      <c r="M342" s="139"/>
      <c r="N342" s="105"/>
      <c r="O342" s="105"/>
      <c r="P342" s="105"/>
      <c r="Q342" s="105"/>
      <c r="R342" s="139"/>
      <c r="S342" s="105"/>
      <c r="T342" s="105"/>
      <c r="U342" s="105"/>
      <c r="V342" s="105"/>
      <c r="W342" s="139"/>
      <c r="X342" s="105"/>
      <c r="Y342" s="105"/>
      <c r="Z342" s="105"/>
      <c r="AA342" s="105"/>
      <c r="AB342" s="139"/>
      <c r="AC342" s="105"/>
      <c r="AD342" s="105"/>
      <c r="AE342" s="105"/>
      <c r="AF342" s="105"/>
      <c r="AG342" s="139"/>
      <c r="AH342" s="105"/>
      <c r="AI342" s="105"/>
      <c r="AJ342" s="105"/>
      <c r="AK342" s="105"/>
      <c r="AL342" s="139"/>
      <c r="AM342" s="105"/>
      <c r="AN342" s="105"/>
      <c r="AO342" s="105"/>
      <c r="AP342" s="105"/>
      <c r="AQ342" s="139"/>
      <c r="AR342" s="105"/>
      <c r="AS342" s="105"/>
      <c r="AT342" s="105"/>
      <c r="AU342" s="105"/>
      <c r="AV342" s="139"/>
      <c r="AW342" s="105"/>
      <c r="AX342" s="105"/>
      <c r="AY342" s="105"/>
      <c r="AZ342" s="105"/>
      <c r="BA342" s="139"/>
      <c r="BB342" s="105"/>
      <c r="BC342" s="105"/>
      <c r="BD342" s="105"/>
      <c r="BE342" s="105"/>
      <c r="BF342" s="139"/>
      <c r="BG342" s="105"/>
      <c r="BH342" s="105"/>
      <c r="BI342" s="105"/>
      <c r="BJ342" s="105"/>
      <c r="BK342" s="139"/>
      <c r="BL342" s="105"/>
      <c r="BM342" s="105"/>
      <c r="BN342" s="105"/>
      <c r="BO342" s="105"/>
      <c r="BP342" s="139"/>
      <c r="BQ342" s="105"/>
      <c r="BR342" s="105"/>
      <c r="BS342" s="105"/>
      <c r="BT342" s="105"/>
      <c r="BU342" s="139"/>
      <c r="BV342" s="105"/>
      <c r="BW342" s="105"/>
      <c r="BX342" s="105"/>
      <c r="BY342" s="105"/>
      <c r="BZ342" s="139"/>
      <c r="CA342" s="105"/>
      <c r="CB342" s="105"/>
      <c r="CC342" s="105"/>
      <c r="CD342" s="105"/>
      <c r="CE342" s="139"/>
      <c r="CF342" s="105"/>
      <c r="CG342" s="105"/>
      <c r="CH342" s="105"/>
      <c r="CI342" s="105"/>
      <c r="CJ342" s="139"/>
      <c r="CK342" s="105"/>
      <c r="CL342" s="105"/>
      <c r="CM342" s="105"/>
      <c r="CN342" s="105"/>
      <c r="CO342" s="139"/>
      <c r="CP342" s="105"/>
      <c r="CQ342" s="105"/>
      <c r="CR342" s="105"/>
      <c r="CS342" s="105"/>
      <c r="CT342" s="139"/>
      <c r="CU342" s="105"/>
      <c r="CV342" s="105"/>
      <c r="CW342" s="105"/>
      <c r="CX342" s="105"/>
      <c r="CY342" s="139"/>
      <c r="CZ342" s="105"/>
      <c r="DA342" s="105"/>
      <c r="DB342" s="105"/>
      <c r="DC342" s="105"/>
      <c r="DD342" s="139"/>
      <c r="DE342" s="105"/>
      <c r="DF342" s="105"/>
      <c r="DG342" s="105"/>
      <c r="DH342" s="105"/>
      <c r="DI342" s="139"/>
      <c r="DJ342" s="105"/>
      <c r="DK342" s="105"/>
      <c r="DL342" s="105"/>
      <c r="DM342" s="105"/>
      <c r="DN342" s="139"/>
      <c r="DO342" s="105"/>
      <c r="DP342" s="105"/>
      <c r="DQ342" s="105"/>
      <c r="DR342" s="105"/>
      <c r="DS342" s="139"/>
      <c r="DT342" s="105"/>
      <c r="DU342" s="105"/>
      <c r="DV342" s="105"/>
      <c r="DW342" s="105"/>
      <c r="DX342" s="139"/>
      <c r="DY342" s="105"/>
      <c r="DZ342" s="105"/>
      <c r="EA342" s="105"/>
      <c r="EB342" s="105"/>
      <c r="EC342" s="139"/>
      <c r="ED342" s="105"/>
      <c r="EE342" s="105"/>
      <c r="EF342" s="105"/>
      <c r="EG342" s="105"/>
      <c r="EH342" s="139"/>
      <c r="EI342" s="105"/>
      <c r="EJ342" s="105"/>
      <c r="EK342" s="105"/>
      <c r="EL342" s="105"/>
      <c r="EM342" s="139"/>
      <c r="EN342" s="105"/>
      <c r="EO342" s="105"/>
      <c r="EP342" s="105"/>
      <c r="EQ342" s="105"/>
      <c r="ER342" s="139"/>
      <c r="ES342" s="105"/>
      <c r="ET342" s="105"/>
      <c r="EU342" s="105"/>
      <c r="EV342" s="105"/>
      <c r="EW342" s="139"/>
      <c r="EX342" s="105"/>
      <c r="EY342" s="105"/>
      <c r="EZ342" s="105"/>
      <c r="FA342" s="105"/>
      <c r="FB342" s="139"/>
      <c r="FC342" s="105"/>
      <c r="FD342" s="105"/>
      <c r="FE342" s="105"/>
      <c r="FF342" s="105"/>
      <c r="FG342" s="139"/>
      <c r="FH342" s="105"/>
      <c r="FI342" s="105"/>
      <c r="FJ342" s="105"/>
      <c r="FK342" s="105"/>
      <c r="FL342" s="139"/>
      <c r="FM342" s="105"/>
      <c r="FN342" s="105"/>
      <c r="FO342" s="105"/>
      <c r="FP342" s="105"/>
      <c r="FQ342" s="139"/>
      <c r="FR342" s="105"/>
      <c r="FS342" s="105"/>
      <c r="FT342" s="105"/>
      <c r="FU342" s="105"/>
      <c r="FV342" s="139"/>
      <c r="FW342" s="105"/>
      <c r="FX342" s="105"/>
      <c r="FY342" s="105"/>
      <c r="FZ342" s="105"/>
      <c r="GA342" s="139"/>
      <c r="GB342" s="105"/>
      <c r="GC342" s="105"/>
      <c r="GD342" s="105"/>
      <c r="GE342" s="105"/>
      <c r="GF342" s="139"/>
      <c r="GG342" s="105"/>
      <c r="GH342" s="105"/>
      <c r="GI342" s="105"/>
      <c r="GJ342" s="105"/>
    </row>
    <row r="343" spans="3:192" ht="12.75" customHeight="1">
      <c r="C343" s="183"/>
      <c r="D343" s="184"/>
      <c r="E343" s="184"/>
      <c r="F343" s="184"/>
      <c r="G343" s="184"/>
      <c r="H343" s="183"/>
      <c r="I343" s="184"/>
      <c r="J343" s="184"/>
      <c r="K343" s="184"/>
      <c r="L343" s="184"/>
      <c r="M343" s="183"/>
      <c r="N343" s="184"/>
      <c r="O343" s="184"/>
      <c r="P343" s="184"/>
      <c r="Q343" s="184"/>
      <c r="R343" s="183"/>
      <c r="S343" s="184"/>
      <c r="T343" s="184"/>
      <c r="U343" s="184"/>
      <c r="V343" s="184"/>
      <c r="W343" s="183"/>
      <c r="X343" s="184"/>
      <c r="Y343" s="184"/>
      <c r="Z343" s="184"/>
      <c r="AA343" s="184"/>
      <c r="AB343" s="183"/>
      <c r="AC343" s="184"/>
      <c r="AD343" s="184"/>
      <c r="AE343" s="184"/>
      <c r="AF343" s="184"/>
      <c r="AG343" s="183"/>
      <c r="AH343" s="184"/>
      <c r="AI343" s="184"/>
      <c r="AJ343" s="184"/>
      <c r="AK343" s="184"/>
      <c r="AL343" s="183"/>
      <c r="AM343" s="184"/>
      <c r="AN343" s="184"/>
      <c r="AO343" s="184"/>
      <c r="AP343" s="184"/>
      <c r="AQ343" s="183"/>
      <c r="AR343" s="184"/>
      <c r="AS343" s="184"/>
      <c r="AT343" s="184"/>
      <c r="AU343" s="184"/>
      <c r="AV343" s="183"/>
      <c r="AW343" s="184"/>
      <c r="AX343" s="184"/>
      <c r="AY343" s="184"/>
      <c r="AZ343" s="184"/>
      <c r="BA343" s="183"/>
      <c r="BB343" s="184"/>
      <c r="BC343" s="184"/>
      <c r="BD343" s="184"/>
      <c r="BE343" s="184"/>
      <c r="BF343" s="183"/>
      <c r="BG343" s="184"/>
      <c r="BH343" s="184"/>
      <c r="BI343" s="184"/>
      <c r="BJ343" s="184"/>
      <c r="BK343" s="183"/>
      <c r="BL343" s="184"/>
      <c r="BM343" s="184"/>
      <c r="BN343" s="184"/>
      <c r="BO343" s="184"/>
      <c r="BP343" s="183"/>
      <c r="BQ343" s="184"/>
      <c r="BR343" s="184"/>
      <c r="BS343" s="184"/>
      <c r="BT343" s="184"/>
      <c r="BU343" s="183"/>
      <c r="BV343" s="184"/>
      <c r="BW343" s="184"/>
      <c r="BX343" s="184"/>
      <c r="BY343" s="184"/>
      <c r="BZ343" s="183"/>
      <c r="CA343" s="184"/>
      <c r="CB343" s="184"/>
      <c r="CC343" s="184"/>
      <c r="CD343" s="184"/>
      <c r="CE343" s="183"/>
      <c r="CF343" s="184"/>
      <c r="CG343" s="184"/>
      <c r="CH343" s="184"/>
      <c r="CI343" s="184"/>
      <c r="CJ343" s="183"/>
      <c r="CK343" s="184"/>
      <c r="CL343" s="184"/>
      <c r="CM343" s="184"/>
      <c r="CN343" s="184"/>
      <c r="CO343" s="183"/>
      <c r="CP343" s="184"/>
      <c r="CQ343" s="184"/>
      <c r="CR343" s="184"/>
      <c r="CS343" s="184"/>
      <c r="CT343" s="183"/>
      <c r="CU343" s="184"/>
      <c r="CV343" s="184"/>
      <c r="CW343" s="184"/>
      <c r="CX343" s="184"/>
      <c r="CY343" s="183"/>
      <c r="CZ343" s="184"/>
      <c r="DA343" s="184"/>
      <c r="DB343" s="184"/>
      <c r="DC343" s="184"/>
      <c r="DD343" s="183"/>
      <c r="DE343" s="184"/>
      <c r="DF343" s="184"/>
      <c r="DG343" s="184"/>
      <c r="DH343" s="184"/>
      <c r="DI343" s="183"/>
      <c r="DJ343" s="184"/>
      <c r="DK343" s="184"/>
      <c r="DL343" s="184"/>
      <c r="DM343" s="184"/>
      <c r="DN343" s="183"/>
      <c r="DO343" s="184"/>
      <c r="DP343" s="184"/>
      <c r="DQ343" s="184"/>
      <c r="DR343" s="184"/>
      <c r="DS343" s="183"/>
      <c r="DT343" s="184"/>
      <c r="DU343" s="184"/>
      <c r="DV343" s="184"/>
      <c r="DW343" s="184"/>
      <c r="DX343" s="183"/>
      <c r="DY343" s="184"/>
      <c r="DZ343" s="184"/>
      <c r="EA343" s="184"/>
      <c r="EB343" s="184"/>
      <c r="EC343" s="183"/>
      <c r="ED343" s="184"/>
      <c r="EE343" s="184"/>
      <c r="EF343" s="184"/>
      <c r="EG343" s="184"/>
      <c r="EH343" s="183"/>
      <c r="EI343" s="184"/>
      <c r="EJ343" s="184"/>
      <c r="EK343" s="184"/>
      <c r="EL343" s="184"/>
      <c r="EM343" s="183"/>
      <c r="EN343" s="184"/>
      <c r="EO343" s="184"/>
      <c r="EP343" s="184"/>
      <c r="EQ343" s="184"/>
      <c r="ER343" s="183"/>
      <c r="ES343" s="184"/>
      <c r="ET343" s="184"/>
      <c r="EU343" s="184"/>
      <c r="EV343" s="184"/>
      <c r="EW343" s="183"/>
      <c r="EX343" s="184"/>
      <c r="EY343" s="184"/>
      <c r="EZ343" s="184"/>
      <c r="FA343" s="184"/>
      <c r="FB343" s="183"/>
      <c r="FC343" s="184"/>
      <c r="FD343" s="184"/>
      <c r="FE343" s="184"/>
      <c r="FF343" s="184"/>
      <c r="FG343" s="183"/>
      <c r="FH343" s="184"/>
      <c r="FI343" s="184"/>
      <c r="FJ343" s="184"/>
      <c r="FK343" s="184"/>
      <c r="FL343" s="183"/>
      <c r="FM343" s="184"/>
      <c r="FN343" s="184"/>
      <c r="FO343" s="184"/>
      <c r="FP343" s="184"/>
      <c r="FQ343" s="183"/>
      <c r="FR343" s="184"/>
      <c r="FS343" s="184"/>
      <c r="FT343" s="184"/>
      <c r="FU343" s="184"/>
      <c r="FV343" s="183"/>
      <c r="FW343" s="184"/>
      <c r="FX343" s="184"/>
      <c r="FY343" s="184"/>
      <c r="FZ343" s="184"/>
      <c r="GA343" s="183"/>
      <c r="GB343" s="184"/>
      <c r="GC343" s="184"/>
      <c r="GD343" s="184"/>
      <c r="GE343" s="184"/>
      <c r="GF343" s="183"/>
      <c r="GG343" s="184"/>
      <c r="GH343" s="184"/>
      <c r="GI343" s="184"/>
      <c r="GJ343" s="184"/>
    </row>
    <row r="344" spans="3:192" ht="12.75" customHeight="1">
      <c r="C344" s="139"/>
      <c r="D344" s="105"/>
      <c r="E344" s="105"/>
      <c r="F344" s="105"/>
      <c r="G344" s="105"/>
      <c r="H344" s="139"/>
      <c r="I344" s="105"/>
      <c r="J344" s="105"/>
      <c r="K344" s="105"/>
      <c r="L344" s="105"/>
      <c r="M344" s="139"/>
      <c r="N344" s="105"/>
      <c r="O344" s="105"/>
      <c r="P344" s="105"/>
      <c r="Q344" s="105"/>
      <c r="R344" s="139"/>
      <c r="S344" s="105"/>
      <c r="T344" s="105"/>
      <c r="U344" s="105"/>
      <c r="V344" s="105"/>
      <c r="W344" s="139"/>
      <c r="X344" s="105"/>
      <c r="Y344" s="105"/>
      <c r="Z344" s="105"/>
      <c r="AA344" s="105"/>
      <c r="AB344" s="139"/>
      <c r="AC344" s="105"/>
      <c r="AD344" s="105"/>
      <c r="AE344" s="105"/>
      <c r="AF344" s="105"/>
      <c r="AG344" s="139"/>
      <c r="AH344" s="105"/>
      <c r="AI344" s="105"/>
      <c r="AJ344" s="105"/>
      <c r="AK344" s="105"/>
      <c r="AL344" s="139"/>
      <c r="AM344" s="105"/>
      <c r="AN344" s="105"/>
      <c r="AO344" s="105"/>
      <c r="AP344" s="105"/>
      <c r="AQ344" s="139"/>
      <c r="AR344" s="105"/>
      <c r="AS344" s="105"/>
      <c r="AT344" s="105"/>
      <c r="AU344" s="105"/>
      <c r="AV344" s="139"/>
      <c r="AW344" s="105"/>
      <c r="AX344" s="105"/>
      <c r="AY344" s="105"/>
      <c r="AZ344" s="105"/>
      <c r="BA344" s="139"/>
      <c r="BB344" s="105"/>
      <c r="BC344" s="105"/>
      <c r="BD344" s="105"/>
      <c r="BE344" s="105"/>
      <c r="BF344" s="139"/>
      <c r="BG344" s="105"/>
      <c r="BH344" s="105"/>
      <c r="BI344" s="105"/>
      <c r="BJ344" s="105"/>
      <c r="BK344" s="139"/>
      <c r="BL344" s="105"/>
      <c r="BM344" s="105"/>
      <c r="BN344" s="105"/>
      <c r="BO344" s="105"/>
      <c r="BP344" s="139"/>
      <c r="BQ344" s="105"/>
      <c r="BR344" s="105"/>
      <c r="BS344" s="105"/>
      <c r="BT344" s="105"/>
      <c r="BU344" s="139"/>
      <c r="BV344" s="105"/>
      <c r="BW344" s="105"/>
      <c r="BX344" s="105"/>
      <c r="BY344" s="105"/>
      <c r="BZ344" s="139"/>
      <c r="CA344" s="105"/>
      <c r="CB344" s="105"/>
      <c r="CC344" s="105"/>
      <c r="CD344" s="105"/>
      <c r="CE344" s="139"/>
      <c r="CF344" s="105"/>
      <c r="CG344" s="105"/>
      <c r="CH344" s="105"/>
      <c r="CI344" s="105"/>
      <c r="CJ344" s="139"/>
      <c r="CK344" s="105"/>
      <c r="CL344" s="105"/>
      <c r="CM344" s="105"/>
      <c r="CN344" s="105"/>
      <c r="CO344" s="139"/>
      <c r="CP344" s="105"/>
      <c r="CQ344" s="105"/>
      <c r="CR344" s="105"/>
      <c r="CS344" s="105"/>
      <c r="CT344" s="139"/>
      <c r="CU344" s="105"/>
      <c r="CV344" s="105"/>
      <c r="CW344" s="105"/>
      <c r="CX344" s="105"/>
      <c r="CY344" s="139"/>
      <c r="CZ344" s="105"/>
      <c r="DA344" s="105"/>
      <c r="DB344" s="105"/>
      <c r="DC344" s="105"/>
      <c r="DD344" s="139"/>
      <c r="DE344" s="105"/>
      <c r="DF344" s="105"/>
      <c r="DG344" s="105"/>
      <c r="DH344" s="105"/>
      <c r="DI344" s="139"/>
      <c r="DJ344" s="105"/>
      <c r="DK344" s="105"/>
      <c r="DL344" s="105"/>
      <c r="DM344" s="105"/>
      <c r="DN344" s="139"/>
      <c r="DO344" s="105"/>
      <c r="DP344" s="105"/>
      <c r="DQ344" s="105"/>
      <c r="DR344" s="105"/>
      <c r="DS344" s="139"/>
      <c r="DT344" s="105"/>
      <c r="DU344" s="105"/>
      <c r="DV344" s="105"/>
      <c r="DW344" s="105"/>
      <c r="DX344" s="139"/>
      <c r="DY344" s="105"/>
      <c r="DZ344" s="105"/>
      <c r="EA344" s="105"/>
      <c r="EB344" s="105"/>
      <c r="EC344" s="139"/>
      <c r="ED344" s="105"/>
      <c r="EE344" s="105"/>
      <c r="EF344" s="105"/>
      <c r="EG344" s="105"/>
      <c r="EH344" s="139"/>
      <c r="EI344" s="105"/>
      <c r="EJ344" s="105"/>
      <c r="EK344" s="105"/>
      <c r="EL344" s="105"/>
      <c r="EM344" s="139"/>
      <c r="EN344" s="105"/>
      <c r="EO344" s="105"/>
      <c r="EP344" s="105"/>
      <c r="EQ344" s="105"/>
      <c r="ER344" s="139"/>
      <c r="ES344" s="105"/>
      <c r="ET344" s="105"/>
      <c r="EU344" s="105"/>
      <c r="EV344" s="105"/>
      <c r="EW344" s="139"/>
      <c r="EX344" s="105"/>
      <c r="EY344" s="105"/>
      <c r="EZ344" s="105"/>
      <c r="FA344" s="105"/>
      <c r="FB344" s="139"/>
      <c r="FC344" s="105"/>
      <c r="FD344" s="105"/>
      <c r="FE344" s="105"/>
      <c r="FF344" s="105"/>
      <c r="FG344" s="139"/>
      <c r="FH344" s="105"/>
      <c r="FI344" s="105"/>
      <c r="FJ344" s="105"/>
      <c r="FK344" s="105"/>
      <c r="FL344" s="139"/>
      <c r="FM344" s="105"/>
      <c r="FN344" s="105"/>
      <c r="FO344" s="105"/>
      <c r="FP344" s="105"/>
      <c r="FQ344" s="139"/>
      <c r="FR344" s="105"/>
      <c r="FS344" s="105"/>
      <c r="FT344" s="105"/>
      <c r="FU344" s="105"/>
      <c r="FV344" s="139"/>
      <c r="FW344" s="105"/>
      <c r="FX344" s="105"/>
      <c r="FY344" s="105"/>
      <c r="FZ344" s="105"/>
      <c r="GA344" s="139"/>
      <c r="GB344" s="105"/>
      <c r="GC344" s="105"/>
      <c r="GD344" s="105"/>
      <c r="GE344" s="105"/>
      <c r="GF344" s="139"/>
      <c r="GG344" s="105"/>
      <c r="GH344" s="105"/>
      <c r="GI344" s="105"/>
      <c r="GJ344" s="105"/>
    </row>
    <row r="345" spans="3:192" ht="12.75" customHeight="1">
      <c r="C345" s="190"/>
      <c r="D345" s="191"/>
      <c r="E345" s="191"/>
      <c r="F345" s="191"/>
      <c r="G345" s="191"/>
      <c r="H345" s="190"/>
      <c r="I345" s="191"/>
      <c r="J345" s="191"/>
      <c r="K345" s="191"/>
      <c r="L345" s="191"/>
      <c r="M345" s="190"/>
      <c r="N345" s="191"/>
      <c r="O345" s="191"/>
      <c r="P345" s="191"/>
      <c r="Q345" s="191"/>
      <c r="R345" s="190"/>
      <c r="S345" s="191"/>
      <c r="T345" s="191"/>
      <c r="U345" s="191"/>
      <c r="V345" s="191"/>
      <c r="W345" s="190"/>
      <c r="X345" s="191"/>
      <c r="Y345" s="191"/>
      <c r="Z345" s="191"/>
      <c r="AA345" s="191"/>
      <c r="AB345" s="190"/>
      <c r="AC345" s="191"/>
      <c r="AD345" s="191"/>
      <c r="AE345" s="191"/>
      <c r="AF345" s="191"/>
      <c r="AG345" s="190"/>
      <c r="AH345" s="191"/>
      <c r="AI345" s="191"/>
      <c r="AJ345" s="191"/>
      <c r="AK345" s="191"/>
      <c r="AL345" s="190"/>
      <c r="AM345" s="191"/>
      <c r="AN345" s="191"/>
      <c r="AO345" s="191"/>
      <c r="AP345" s="191"/>
      <c r="AQ345" s="190"/>
      <c r="AR345" s="191"/>
      <c r="AS345" s="191"/>
      <c r="AT345" s="191"/>
      <c r="AU345" s="191"/>
      <c r="AV345" s="190"/>
      <c r="AW345" s="191"/>
      <c r="AX345" s="191"/>
      <c r="AY345" s="191"/>
      <c r="AZ345" s="191"/>
      <c r="BA345" s="190"/>
      <c r="BB345" s="191"/>
      <c r="BC345" s="191"/>
      <c r="BD345" s="191"/>
      <c r="BE345" s="191"/>
      <c r="BF345" s="190"/>
      <c r="BG345" s="191"/>
      <c r="BH345" s="191"/>
      <c r="BI345" s="191"/>
      <c r="BJ345" s="191"/>
      <c r="BK345" s="190"/>
      <c r="BL345" s="191"/>
      <c r="BM345" s="191"/>
      <c r="BN345" s="191"/>
      <c r="BO345" s="191"/>
      <c r="BP345" s="190"/>
      <c r="BQ345" s="191"/>
      <c r="BR345" s="191"/>
      <c r="BS345" s="191"/>
      <c r="BT345" s="191"/>
      <c r="BU345" s="190"/>
      <c r="BV345" s="191"/>
      <c r="BW345" s="191"/>
      <c r="BX345" s="191"/>
      <c r="BY345" s="191"/>
      <c r="BZ345" s="190"/>
      <c r="CA345" s="191"/>
      <c r="CB345" s="191"/>
      <c r="CC345" s="191"/>
      <c r="CD345" s="191"/>
      <c r="CE345" s="190"/>
      <c r="CF345" s="191"/>
      <c r="CG345" s="191"/>
      <c r="CH345" s="191"/>
      <c r="CI345" s="191"/>
      <c r="CJ345" s="190"/>
      <c r="CK345" s="191"/>
      <c r="CL345" s="191"/>
      <c r="CM345" s="191"/>
      <c r="CN345" s="191"/>
      <c r="CO345" s="190"/>
      <c r="CP345" s="191"/>
      <c r="CQ345" s="191"/>
      <c r="CR345" s="191"/>
      <c r="CS345" s="191"/>
      <c r="CT345" s="190"/>
      <c r="CU345" s="191"/>
      <c r="CV345" s="191"/>
      <c r="CW345" s="191"/>
      <c r="CX345" s="191"/>
      <c r="CY345" s="190"/>
      <c r="CZ345" s="191"/>
      <c r="DA345" s="191"/>
      <c r="DB345" s="191"/>
      <c r="DC345" s="191"/>
      <c r="DD345" s="190"/>
      <c r="DE345" s="191"/>
      <c r="DF345" s="191"/>
      <c r="DG345" s="191"/>
      <c r="DH345" s="191"/>
      <c r="DI345" s="190"/>
      <c r="DJ345" s="191"/>
      <c r="DK345" s="191"/>
      <c r="DL345" s="191"/>
      <c r="DM345" s="191"/>
      <c r="DN345" s="190"/>
      <c r="DO345" s="191"/>
      <c r="DP345" s="191"/>
      <c r="DQ345" s="191"/>
      <c r="DR345" s="191"/>
      <c r="DS345" s="190"/>
      <c r="DT345" s="191"/>
      <c r="DU345" s="191"/>
      <c r="DV345" s="191"/>
      <c r="DW345" s="191"/>
      <c r="DX345" s="190"/>
      <c r="DY345" s="191"/>
      <c r="DZ345" s="191"/>
      <c r="EA345" s="191"/>
      <c r="EB345" s="191"/>
      <c r="EC345" s="190"/>
      <c r="ED345" s="191"/>
      <c r="EE345" s="191"/>
      <c r="EF345" s="191"/>
      <c r="EG345" s="191"/>
      <c r="EH345" s="190"/>
      <c r="EI345" s="191"/>
      <c r="EJ345" s="191"/>
      <c r="EK345" s="191"/>
      <c r="EL345" s="191"/>
      <c r="EM345" s="190"/>
      <c r="EN345" s="191"/>
      <c r="EO345" s="191"/>
      <c r="EP345" s="191"/>
      <c r="EQ345" s="191"/>
      <c r="ER345" s="190"/>
      <c r="ES345" s="191"/>
      <c r="ET345" s="191"/>
      <c r="EU345" s="191"/>
      <c r="EV345" s="191"/>
      <c r="EW345" s="190"/>
      <c r="EX345" s="191"/>
      <c r="EY345" s="191"/>
      <c r="EZ345" s="191"/>
      <c r="FA345" s="191"/>
      <c r="FB345" s="190"/>
      <c r="FC345" s="191"/>
      <c r="FD345" s="191"/>
      <c r="FE345" s="191"/>
      <c r="FF345" s="191"/>
      <c r="FG345" s="190"/>
      <c r="FH345" s="191"/>
      <c r="FI345" s="191"/>
      <c r="FJ345" s="191"/>
      <c r="FK345" s="191"/>
      <c r="FL345" s="190"/>
      <c r="FM345" s="191"/>
      <c r="FN345" s="191"/>
      <c r="FO345" s="191"/>
      <c r="FP345" s="191"/>
      <c r="FQ345" s="190"/>
      <c r="FR345" s="191"/>
      <c r="FS345" s="191"/>
      <c r="FT345" s="191"/>
      <c r="FU345" s="191"/>
      <c r="FV345" s="190"/>
      <c r="FW345" s="191"/>
      <c r="FX345" s="191"/>
      <c r="FY345" s="191"/>
      <c r="FZ345" s="191"/>
      <c r="GA345" s="190"/>
      <c r="GB345" s="191"/>
      <c r="GC345" s="191"/>
      <c r="GD345" s="191"/>
      <c r="GE345" s="191"/>
      <c r="GF345" s="190"/>
      <c r="GG345" s="191"/>
      <c r="GH345" s="191"/>
      <c r="GI345" s="191"/>
      <c r="GJ345" s="191"/>
    </row>
    <row r="348" spans="3:192" ht="12.75" customHeight="1">
      <c r="C348" s="183"/>
      <c r="D348" s="184"/>
      <c r="E348" s="184"/>
      <c r="F348" s="184"/>
      <c r="G348" s="184"/>
      <c r="H348" s="183"/>
      <c r="I348" s="184"/>
      <c r="J348" s="184"/>
      <c r="K348" s="184"/>
      <c r="L348" s="184"/>
      <c r="M348" s="183"/>
      <c r="N348" s="184"/>
      <c r="O348" s="184"/>
      <c r="P348" s="184"/>
      <c r="Q348" s="184"/>
      <c r="R348" s="183"/>
      <c r="S348" s="184"/>
      <c r="T348" s="184"/>
      <c r="U348" s="184"/>
      <c r="V348" s="184"/>
      <c r="W348" s="183"/>
      <c r="X348" s="184"/>
      <c r="Y348" s="184"/>
      <c r="Z348" s="184"/>
      <c r="AA348" s="184"/>
      <c r="AB348" s="183"/>
      <c r="AC348" s="184"/>
      <c r="AD348" s="184"/>
      <c r="AE348" s="184"/>
      <c r="AF348" s="184"/>
      <c r="AG348" s="183"/>
      <c r="AH348" s="184"/>
      <c r="AI348" s="184"/>
      <c r="AJ348" s="184"/>
      <c r="AK348" s="184"/>
      <c r="AL348" s="183"/>
      <c r="AM348" s="184"/>
      <c r="AN348" s="184"/>
      <c r="AO348" s="184"/>
      <c r="AP348" s="184"/>
      <c r="AQ348" s="183"/>
      <c r="AR348" s="184"/>
      <c r="AS348" s="184"/>
      <c r="AT348" s="184"/>
      <c r="AU348" s="184"/>
      <c r="AV348" s="183"/>
      <c r="AW348" s="184"/>
      <c r="AX348" s="184"/>
      <c r="AY348" s="184"/>
      <c r="AZ348" s="184"/>
      <c r="BA348" s="183"/>
      <c r="BB348" s="184"/>
      <c r="BC348" s="184"/>
      <c r="BD348" s="184"/>
      <c r="BE348" s="184"/>
      <c r="BF348" s="183"/>
      <c r="BG348" s="184"/>
      <c r="BH348" s="184"/>
      <c r="BI348" s="184"/>
      <c r="BJ348" s="184"/>
      <c r="BK348" s="183"/>
      <c r="BL348" s="184"/>
      <c r="BM348" s="184"/>
      <c r="BN348" s="184"/>
      <c r="BO348" s="184"/>
      <c r="BP348" s="183"/>
      <c r="BQ348" s="184"/>
      <c r="BR348" s="184"/>
      <c r="BS348" s="184"/>
      <c r="BT348" s="184"/>
      <c r="BU348" s="183"/>
      <c r="BV348" s="184"/>
      <c r="BW348" s="184"/>
      <c r="BX348" s="184"/>
      <c r="BY348" s="184"/>
      <c r="BZ348" s="183"/>
      <c r="CA348" s="184"/>
      <c r="CB348" s="184"/>
      <c r="CC348" s="184"/>
      <c r="CD348" s="184"/>
      <c r="CE348" s="183"/>
      <c r="CF348" s="184"/>
      <c r="CG348" s="184"/>
      <c r="CH348" s="184"/>
      <c r="CI348" s="184"/>
      <c r="CJ348" s="183"/>
      <c r="CK348" s="184"/>
      <c r="CL348" s="184"/>
      <c r="CM348" s="184"/>
      <c r="CN348" s="184"/>
      <c r="CO348" s="183"/>
      <c r="CP348" s="184"/>
      <c r="CQ348" s="184"/>
      <c r="CR348" s="184"/>
      <c r="CS348" s="184"/>
      <c r="CT348" s="183"/>
      <c r="CU348" s="184"/>
      <c r="CV348" s="184"/>
      <c r="CW348" s="184"/>
      <c r="CX348" s="184"/>
      <c r="CY348" s="183"/>
      <c r="CZ348" s="184"/>
      <c r="DA348" s="184"/>
      <c r="DB348" s="184"/>
      <c r="DC348" s="184"/>
      <c r="DD348" s="183"/>
      <c r="DE348" s="184"/>
      <c r="DF348" s="184"/>
      <c r="DG348" s="184"/>
      <c r="DH348" s="184"/>
      <c r="DI348" s="183"/>
      <c r="DJ348" s="184"/>
      <c r="DK348" s="184"/>
      <c r="DL348" s="184"/>
      <c r="DM348" s="184"/>
      <c r="DN348" s="183"/>
      <c r="DO348" s="184"/>
      <c r="DP348" s="184"/>
      <c r="DQ348" s="184"/>
      <c r="DR348" s="184"/>
      <c r="DS348" s="183"/>
      <c r="DT348" s="184"/>
      <c r="DU348" s="184"/>
      <c r="DV348" s="184"/>
      <c r="DW348" s="184"/>
      <c r="DX348" s="183"/>
      <c r="DY348" s="184"/>
      <c r="DZ348" s="184"/>
      <c r="EA348" s="184"/>
      <c r="EB348" s="184"/>
      <c r="EC348" s="183"/>
      <c r="ED348" s="184"/>
      <c r="EE348" s="184"/>
      <c r="EF348" s="184"/>
      <c r="EG348" s="184"/>
      <c r="EH348" s="183"/>
      <c r="EI348" s="184"/>
      <c r="EJ348" s="184"/>
      <c r="EK348" s="184"/>
      <c r="EL348" s="184"/>
      <c r="EM348" s="183"/>
      <c r="EN348" s="184"/>
      <c r="EO348" s="184"/>
      <c r="EP348" s="184"/>
      <c r="EQ348" s="184"/>
      <c r="ER348" s="183"/>
      <c r="ES348" s="184"/>
      <c r="ET348" s="184"/>
      <c r="EU348" s="184"/>
      <c r="EV348" s="184"/>
      <c r="EW348" s="183"/>
      <c r="EX348" s="184"/>
      <c r="EY348" s="184"/>
      <c r="EZ348" s="184"/>
      <c r="FA348" s="184"/>
      <c r="FB348" s="183"/>
      <c r="FC348" s="184"/>
      <c r="FD348" s="184"/>
      <c r="FE348" s="184"/>
      <c r="FF348" s="184"/>
      <c r="FG348" s="183"/>
      <c r="FH348" s="184"/>
      <c r="FI348" s="184"/>
      <c r="FJ348" s="184"/>
      <c r="FK348" s="184"/>
      <c r="FL348" s="183"/>
      <c r="FM348" s="184"/>
      <c r="FN348" s="184"/>
      <c r="FO348" s="184"/>
      <c r="FP348" s="184"/>
      <c r="FQ348" s="183"/>
      <c r="FR348" s="184"/>
      <c r="FS348" s="184"/>
      <c r="FT348" s="184"/>
      <c r="FU348" s="184"/>
      <c r="FV348" s="183"/>
      <c r="FW348" s="184"/>
      <c r="FX348" s="184"/>
      <c r="FY348" s="184"/>
      <c r="FZ348" s="184"/>
      <c r="GA348" s="183"/>
      <c r="GB348" s="184"/>
      <c r="GC348" s="184"/>
      <c r="GD348" s="184"/>
      <c r="GE348" s="184"/>
      <c r="GF348" s="183"/>
      <c r="GG348" s="184"/>
      <c r="GH348" s="184"/>
      <c r="GI348" s="184"/>
      <c r="GJ348" s="184"/>
    </row>
    <row r="349" spans="3:192" ht="12.75" customHeight="1">
      <c r="C349" s="139"/>
      <c r="D349" s="105"/>
      <c r="E349" s="105"/>
      <c r="F349" s="105"/>
      <c r="G349" s="105"/>
      <c r="H349" s="139"/>
      <c r="I349" s="105"/>
      <c r="J349" s="105"/>
      <c r="K349" s="105"/>
      <c r="L349" s="105"/>
      <c r="M349" s="139"/>
      <c r="N349" s="105"/>
      <c r="O349" s="105"/>
      <c r="P349" s="105"/>
      <c r="Q349" s="105"/>
      <c r="R349" s="139"/>
      <c r="S349" s="105"/>
      <c r="T349" s="105"/>
      <c r="U349" s="105"/>
      <c r="V349" s="105"/>
      <c r="W349" s="139"/>
      <c r="X349" s="105"/>
      <c r="Y349" s="105"/>
      <c r="Z349" s="105"/>
      <c r="AA349" s="105"/>
      <c r="AB349" s="139"/>
      <c r="AC349" s="105"/>
      <c r="AD349" s="105"/>
      <c r="AE349" s="105"/>
      <c r="AF349" s="105"/>
      <c r="AG349" s="139"/>
      <c r="AH349" s="105"/>
      <c r="AI349" s="105"/>
      <c r="AJ349" s="105"/>
      <c r="AK349" s="105"/>
      <c r="AL349" s="139"/>
      <c r="AM349" s="105"/>
      <c r="AN349" s="105"/>
      <c r="AO349" s="105"/>
      <c r="AP349" s="105"/>
      <c r="AQ349" s="139"/>
      <c r="AR349" s="105"/>
      <c r="AS349" s="105"/>
      <c r="AT349" s="105"/>
      <c r="AU349" s="105"/>
      <c r="AV349" s="139"/>
      <c r="AW349" s="105"/>
      <c r="AX349" s="105"/>
      <c r="AY349" s="105"/>
      <c r="AZ349" s="105"/>
      <c r="BA349" s="139"/>
      <c r="BB349" s="105"/>
      <c r="BC349" s="105"/>
      <c r="BD349" s="105"/>
      <c r="BE349" s="105"/>
      <c r="BF349" s="139"/>
      <c r="BG349" s="105"/>
      <c r="BH349" s="105"/>
      <c r="BI349" s="105"/>
      <c r="BJ349" s="105"/>
      <c r="BK349" s="139"/>
      <c r="BL349" s="105"/>
      <c r="BM349" s="105"/>
      <c r="BN349" s="105"/>
      <c r="BO349" s="105"/>
      <c r="BP349" s="139"/>
      <c r="BQ349" s="105"/>
      <c r="BR349" s="105"/>
      <c r="BS349" s="105"/>
      <c r="BT349" s="105"/>
      <c r="BU349" s="139"/>
      <c r="BV349" s="105"/>
      <c r="BW349" s="105"/>
      <c r="BX349" s="105"/>
      <c r="BY349" s="105"/>
      <c r="BZ349" s="139"/>
      <c r="CA349" s="105"/>
      <c r="CB349" s="105"/>
      <c r="CC349" s="105"/>
      <c r="CD349" s="105"/>
      <c r="CE349" s="139"/>
      <c r="CF349" s="105"/>
      <c r="CG349" s="105"/>
      <c r="CH349" s="105"/>
      <c r="CI349" s="105"/>
      <c r="CJ349" s="139"/>
      <c r="CK349" s="105"/>
      <c r="CL349" s="105"/>
      <c r="CM349" s="105"/>
      <c r="CN349" s="105"/>
      <c r="CO349" s="139"/>
      <c r="CP349" s="105"/>
      <c r="CQ349" s="105"/>
      <c r="CR349" s="105"/>
      <c r="CS349" s="105"/>
      <c r="CT349" s="139"/>
      <c r="CU349" s="105"/>
      <c r="CV349" s="105"/>
      <c r="CW349" s="105"/>
      <c r="CX349" s="105"/>
      <c r="CY349" s="139"/>
      <c r="CZ349" s="105"/>
      <c r="DA349" s="105"/>
      <c r="DB349" s="105"/>
      <c r="DC349" s="105"/>
      <c r="DD349" s="139"/>
      <c r="DE349" s="105"/>
      <c r="DF349" s="105"/>
      <c r="DG349" s="105"/>
      <c r="DH349" s="105"/>
      <c r="DI349" s="139"/>
      <c r="DJ349" s="105"/>
      <c r="DK349" s="105"/>
      <c r="DL349" s="105"/>
      <c r="DM349" s="105"/>
      <c r="DN349" s="139"/>
      <c r="DO349" s="105"/>
      <c r="DP349" s="105"/>
      <c r="DQ349" s="105"/>
      <c r="DR349" s="105"/>
      <c r="DS349" s="139"/>
      <c r="DT349" s="105"/>
      <c r="DU349" s="105"/>
      <c r="DV349" s="105"/>
      <c r="DW349" s="105"/>
      <c r="DX349" s="139"/>
      <c r="DY349" s="105"/>
      <c r="DZ349" s="105"/>
      <c r="EA349" s="105"/>
      <c r="EB349" s="105"/>
      <c r="EC349" s="139"/>
      <c r="ED349" s="105"/>
      <c r="EE349" s="105"/>
      <c r="EF349" s="105"/>
      <c r="EG349" s="105"/>
      <c r="EH349" s="139"/>
      <c r="EI349" s="105"/>
      <c r="EJ349" s="105"/>
      <c r="EK349" s="105"/>
      <c r="EL349" s="105"/>
      <c r="EM349" s="139"/>
      <c r="EN349" s="105"/>
      <c r="EO349" s="105"/>
      <c r="EP349" s="105"/>
      <c r="EQ349" s="105"/>
      <c r="ER349" s="139"/>
      <c r="ES349" s="105"/>
      <c r="ET349" s="105"/>
      <c r="EU349" s="105"/>
      <c r="EV349" s="105"/>
      <c r="EW349" s="139"/>
      <c r="EX349" s="105"/>
      <c r="EY349" s="105"/>
      <c r="EZ349" s="105"/>
      <c r="FA349" s="105"/>
      <c r="FB349" s="139"/>
      <c r="FC349" s="105"/>
      <c r="FD349" s="105"/>
      <c r="FE349" s="105"/>
      <c r="FF349" s="105"/>
      <c r="FG349" s="139"/>
      <c r="FH349" s="105"/>
      <c r="FI349" s="105"/>
      <c r="FJ349" s="105"/>
      <c r="FK349" s="105"/>
      <c r="FL349" s="139"/>
      <c r="FM349" s="105"/>
      <c r="FN349" s="105"/>
      <c r="FO349" s="105"/>
      <c r="FP349" s="105"/>
      <c r="FQ349" s="139"/>
      <c r="FR349" s="105"/>
      <c r="FS349" s="105"/>
      <c r="FT349" s="105"/>
      <c r="FU349" s="105"/>
      <c r="FV349" s="139"/>
      <c r="FW349" s="105"/>
      <c r="FX349" s="105"/>
      <c r="FY349" s="105"/>
      <c r="FZ349" s="105"/>
      <c r="GA349" s="139"/>
      <c r="GB349" s="105"/>
      <c r="GC349" s="105"/>
      <c r="GD349" s="105"/>
      <c r="GE349" s="105"/>
      <c r="GF349" s="139"/>
      <c r="GG349" s="105"/>
      <c r="GH349" s="105"/>
      <c r="GI349" s="105"/>
      <c r="GJ349" s="105"/>
    </row>
    <row r="350" spans="3:192" ht="12.75" customHeight="1">
      <c r="C350" s="190"/>
      <c r="D350" s="191"/>
      <c r="E350" s="191"/>
      <c r="F350" s="191"/>
      <c r="G350" s="191"/>
      <c r="H350" s="190"/>
      <c r="I350" s="191"/>
      <c r="J350" s="191"/>
      <c r="K350" s="191"/>
      <c r="L350" s="191"/>
      <c r="M350" s="190"/>
      <c r="N350" s="191"/>
      <c r="O350" s="191"/>
      <c r="P350" s="191"/>
      <c r="Q350" s="191"/>
      <c r="R350" s="190"/>
      <c r="S350" s="191"/>
      <c r="T350" s="191"/>
      <c r="U350" s="191"/>
      <c r="V350" s="191"/>
      <c r="W350" s="190"/>
      <c r="X350" s="191"/>
      <c r="Y350" s="191"/>
      <c r="Z350" s="191"/>
      <c r="AA350" s="191"/>
      <c r="AB350" s="190"/>
      <c r="AC350" s="191"/>
      <c r="AD350" s="191"/>
      <c r="AE350" s="191"/>
      <c r="AF350" s="191"/>
      <c r="AG350" s="190"/>
      <c r="AH350" s="191"/>
      <c r="AI350" s="191"/>
      <c r="AJ350" s="191"/>
      <c r="AK350" s="191"/>
      <c r="AL350" s="190"/>
      <c r="AM350" s="191"/>
      <c r="AN350" s="191"/>
      <c r="AO350" s="191"/>
      <c r="AP350" s="191"/>
      <c r="AQ350" s="190"/>
      <c r="AR350" s="191"/>
      <c r="AS350" s="191"/>
      <c r="AT350" s="191"/>
      <c r="AU350" s="191"/>
      <c r="AV350" s="190"/>
      <c r="AW350" s="191"/>
      <c r="AX350" s="191"/>
      <c r="AY350" s="191"/>
      <c r="AZ350" s="191"/>
      <c r="BA350" s="190"/>
      <c r="BB350" s="191"/>
      <c r="BC350" s="191"/>
      <c r="BD350" s="191"/>
      <c r="BE350" s="191"/>
      <c r="BF350" s="190"/>
      <c r="BG350" s="191"/>
      <c r="BH350" s="191"/>
      <c r="BI350" s="191"/>
      <c r="BJ350" s="191"/>
      <c r="BK350" s="190"/>
      <c r="BL350" s="191"/>
      <c r="BM350" s="191"/>
      <c r="BN350" s="191"/>
      <c r="BO350" s="191"/>
      <c r="BP350" s="190"/>
      <c r="BQ350" s="191"/>
      <c r="BR350" s="191"/>
      <c r="BS350" s="191"/>
      <c r="BT350" s="191"/>
      <c r="BU350" s="190"/>
      <c r="BV350" s="191"/>
      <c r="BW350" s="191"/>
      <c r="BX350" s="191"/>
      <c r="BY350" s="191"/>
      <c r="BZ350" s="190"/>
      <c r="CA350" s="191"/>
      <c r="CB350" s="191"/>
      <c r="CC350" s="191"/>
      <c r="CD350" s="191"/>
      <c r="CE350" s="190"/>
      <c r="CF350" s="191"/>
      <c r="CG350" s="191"/>
      <c r="CH350" s="191"/>
      <c r="CI350" s="191"/>
      <c r="CJ350" s="190"/>
      <c r="CK350" s="191"/>
      <c r="CL350" s="191"/>
      <c r="CM350" s="191"/>
      <c r="CN350" s="191"/>
      <c r="CO350" s="190"/>
      <c r="CP350" s="191"/>
      <c r="CQ350" s="191"/>
      <c r="CR350" s="191"/>
      <c r="CS350" s="191"/>
      <c r="CT350" s="190"/>
      <c r="CU350" s="191"/>
      <c r="CV350" s="191"/>
      <c r="CW350" s="191"/>
      <c r="CX350" s="191"/>
      <c r="CY350" s="190"/>
      <c r="CZ350" s="191"/>
      <c r="DA350" s="191"/>
      <c r="DB350" s="191"/>
      <c r="DC350" s="191"/>
      <c r="DD350" s="190"/>
      <c r="DE350" s="191"/>
      <c r="DF350" s="191"/>
      <c r="DG350" s="191"/>
      <c r="DH350" s="191"/>
      <c r="DI350" s="190"/>
      <c r="DJ350" s="191"/>
      <c r="DK350" s="191"/>
      <c r="DL350" s="191"/>
      <c r="DM350" s="191"/>
      <c r="DN350" s="190"/>
      <c r="DO350" s="191"/>
      <c r="DP350" s="191"/>
      <c r="DQ350" s="191"/>
      <c r="DR350" s="191"/>
      <c r="DS350" s="190"/>
      <c r="DT350" s="191"/>
      <c r="DU350" s="191"/>
      <c r="DV350" s="191"/>
      <c r="DW350" s="191"/>
      <c r="DX350" s="190"/>
      <c r="DY350" s="191"/>
      <c r="DZ350" s="191"/>
      <c r="EA350" s="191"/>
      <c r="EB350" s="191"/>
      <c r="EC350" s="190"/>
      <c r="ED350" s="191"/>
      <c r="EE350" s="191"/>
      <c r="EF350" s="191"/>
      <c r="EG350" s="191"/>
      <c r="EH350" s="190"/>
      <c r="EI350" s="191"/>
      <c r="EJ350" s="191"/>
      <c r="EK350" s="191"/>
      <c r="EL350" s="191"/>
      <c r="EM350" s="190"/>
      <c r="EN350" s="191"/>
      <c r="EO350" s="191"/>
      <c r="EP350" s="191"/>
      <c r="EQ350" s="191"/>
      <c r="ER350" s="190"/>
      <c r="ES350" s="191"/>
      <c r="ET350" s="191"/>
      <c r="EU350" s="191"/>
      <c r="EV350" s="191"/>
      <c r="EW350" s="190"/>
      <c r="EX350" s="191"/>
      <c r="EY350" s="191"/>
      <c r="EZ350" s="191"/>
      <c r="FA350" s="191"/>
      <c r="FB350" s="190"/>
      <c r="FC350" s="191"/>
      <c r="FD350" s="191"/>
      <c r="FE350" s="191"/>
      <c r="FF350" s="191"/>
      <c r="FG350" s="190"/>
      <c r="FH350" s="191"/>
      <c r="FI350" s="191"/>
      <c r="FJ350" s="191"/>
      <c r="FK350" s="191"/>
      <c r="FL350" s="190"/>
      <c r="FM350" s="191"/>
      <c r="FN350" s="191"/>
      <c r="FO350" s="191"/>
      <c r="FP350" s="191"/>
      <c r="FQ350" s="190"/>
      <c r="FR350" s="191"/>
      <c r="FS350" s="191"/>
      <c r="FT350" s="191"/>
      <c r="FU350" s="191"/>
      <c r="FV350" s="190"/>
      <c r="FW350" s="191"/>
      <c r="FX350" s="191"/>
      <c r="FY350" s="191"/>
      <c r="FZ350" s="191"/>
      <c r="GA350" s="190"/>
      <c r="GB350" s="191"/>
      <c r="GC350" s="191"/>
      <c r="GD350" s="191"/>
      <c r="GE350" s="191"/>
      <c r="GF350" s="190"/>
      <c r="GG350" s="191"/>
      <c r="GH350" s="191"/>
      <c r="GI350" s="191"/>
      <c r="GJ350" s="191"/>
    </row>
    <row r="352" spans="3:192" ht="12.75" customHeight="1">
      <c r="C352" s="194"/>
      <c r="D352" s="195"/>
      <c r="E352" s="195"/>
      <c r="F352" s="195"/>
      <c r="G352" s="195"/>
      <c r="H352" s="194"/>
      <c r="I352" s="195"/>
      <c r="J352" s="195"/>
      <c r="K352" s="195"/>
      <c r="L352" s="195"/>
      <c r="M352" s="194"/>
      <c r="N352" s="195"/>
      <c r="O352" s="195"/>
      <c r="P352" s="195"/>
      <c r="Q352" s="195"/>
      <c r="R352" s="194"/>
      <c r="S352" s="195"/>
      <c r="T352" s="195"/>
      <c r="U352" s="195"/>
      <c r="V352" s="195"/>
      <c r="W352" s="194"/>
      <c r="X352" s="195"/>
      <c r="Y352" s="195"/>
      <c r="Z352" s="195"/>
      <c r="AA352" s="195"/>
      <c r="AB352" s="194"/>
      <c r="AC352" s="195"/>
      <c r="AD352" s="195"/>
      <c r="AE352" s="195"/>
      <c r="AF352" s="195"/>
      <c r="AG352" s="194"/>
      <c r="AH352" s="195"/>
      <c r="AI352" s="195"/>
      <c r="AJ352" s="195"/>
      <c r="AK352" s="195"/>
      <c r="AL352" s="194"/>
      <c r="AM352" s="195"/>
      <c r="AN352" s="195"/>
      <c r="AO352" s="195"/>
      <c r="AP352" s="195"/>
      <c r="AQ352" s="194"/>
      <c r="AR352" s="195"/>
      <c r="AS352" s="195"/>
      <c r="AT352" s="195"/>
      <c r="AU352" s="195"/>
      <c r="AV352" s="194"/>
      <c r="AW352" s="195"/>
      <c r="AX352" s="195"/>
      <c r="AY352" s="195"/>
      <c r="AZ352" s="195"/>
      <c r="BA352" s="194"/>
      <c r="BB352" s="195"/>
      <c r="BC352" s="195"/>
      <c r="BD352" s="195"/>
      <c r="BE352" s="195"/>
      <c r="BF352" s="194"/>
      <c r="BG352" s="195"/>
      <c r="BH352" s="195"/>
      <c r="BI352" s="195"/>
      <c r="BJ352" s="195"/>
      <c r="BK352" s="194"/>
      <c r="BL352" s="195"/>
      <c r="BM352" s="195"/>
      <c r="BN352" s="195"/>
      <c r="BO352" s="195"/>
      <c r="BP352" s="194"/>
      <c r="BQ352" s="195"/>
      <c r="BR352" s="195"/>
      <c r="BS352" s="195"/>
      <c r="BT352" s="195"/>
      <c r="BU352" s="194"/>
      <c r="BV352" s="195"/>
      <c r="BW352" s="195"/>
      <c r="BX352" s="195"/>
      <c r="BY352" s="195"/>
      <c r="BZ352" s="194"/>
      <c r="CA352" s="195"/>
      <c r="CB352" s="195"/>
      <c r="CC352" s="195"/>
      <c r="CD352" s="195"/>
      <c r="CE352" s="194"/>
      <c r="CF352" s="195"/>
      <c r="CG352" s="195"/>
      <c r="CH352" s="195"/>
      <c r="CI352" s="195"/>
      <c r="CJ352" s="194"/>
      <c r="CK352" s="195"/>
      <c r="CL352" s="195"/>
      <c r="CM352" s="195"/>
      <c r="CN352" s="195"/>
      <c r="CO352" s="194"/>
      <c r="CP352" s="195"/>
      <c r="CQ352" s="195"/>
      <c r="CR352" s="195"/>
      <c r="CS352" s="195"/>
      <c r="CT352" s="194"/>
      <c r="CU352" s="195"/>
      <c r="CV352" s="195"/>
      <c r="CW352" s="195"/>
      <c r="CX352" s="195"/>
      <c r="CY352" s="194"/>
      <c r="CZ352" s="195"/>
      <c r="DA352" s="195"/>
      <c r="DB352" s="195"/>
      <c r="DC352" s="195"/>
      <c r="DD352" s="194"/>
      <c r="DE352" s="195"/>
      <c r="DF352" s="195"/>
      <c r="DG352" s="195"/>
      <c r="DH352" s="195"/>
      <c r="DI352" s="194"/>
      <c r="DJ352" s="195"/>
      <c r="DK352" s="195"/>
      <c r="DL352" s="195"/>
      <c r="DM352" s="195"/>
      <c r="DN352" s="194"/>
      <c r="DO352" s="195"/>
      <c r="DP352" s="195"/>
      <c r="DQ352" s="195"/>
      <c r="DR352" s="195"/>
      <c r="DS352" s="194"/>
      <c r="DT352" s="195"/>
      <c r="DU352" s="195"/>
      <c r="DV352" s="195"/>
      <c r="DW352" s="195"/>
      <c r="DX352" s="194"/>
      <c r="DY352" s="195"/>
      <c r="DZ352" s="195"/>
      <c r="EA352" s="195"/>
      <c r="EB352" s="195"/>
      <c r="EC352" s="194"/>
      <c r="ED352" s="195"/>
      <c r="EE352" s="195"/>
      <c r="EF352" s="195"/>
      <c r="EG352" s="195"/>
      <c r="EH352" s="194"/>
      <c r="EI352" s="195"/>
      <c r="EJ352" s="195"/>
      <c r="EK352" s="195"/>
      <c r="EL352" s="195"/>
      <c r="EM352" s="194"/>
      <c r="EN352" s="195"/>
      <c r="EO352" s="195"/>
      <c r="EP352" s="195"/>
      <c r="EQ352" s="195"/>
      <c r="ER352" s="194"/>
      <c r="ES352" s="195"/>
      <c r="ET352" s="195"/>
      <c r="EU352" s="195"/>
      <c r="EV352" s="195"/>
      <c r="EW352" s="194"/>
      <c r="EX352" s="195"/>
      <c r="EY352" s="195"/>
      <c r="EZ352" s="195"/>
      <c r="FA352" s="195"/>
      <c r="FB352" s="194"/>
      <c r="FC352" s="195"/>
      <c r="FD352" s="195"/>
      <c r="FE352" s="195"/>
      <c r="FF352" s="195"/>
      <c r="FG352" s="194"/>
      <c r="FH352" s="195"/>
      <c r="FI352" s="195"/>
      <c r="FJ352" s="195"/>
      <c r="FK352" s="195"/>
      <c r="FL352" s="194"/>
      <c r="FM352" s="195"/>
      <c r="FN352" s="195"/>
      <c r="FO352" s="195"/>
      <c r="FP352" s="195"/>
      <c r="FQ352" s="194"/>
      <c r="FR352" s="195"/>
      <c r="FS352" s="195"/>
      <c r="FT352" s="195"/>
      <c r="FU352" s="195"/>
      <c r="FV352" s="194"/>
      <c r="FW352" s="195"/>
      <c r="FX352" s="195"/>
      <c r="FY352" s="195"/>
      <c r="FZ352" s="195"/>
      <c r="GA352" s="194"/>
      <c r="GB352" s="195"/>
      <c r="GC352" s="195"/>
      <c r="GD352" s="195"/>
      <c r="GE352" s="195"/>
      <c r="GF352" s="194"/>
      <c r="GG352" s="195"/>
      <c r="GH352" s="195"/>
      <c r="GI352" s="195"/>
      <c r="GJ352" s="195"/>
    </row>
    <row r="353" spans="3:192" ht="12.75" customHeight="1">
      <c r="C353" s="188"/>
      <c r="D353" s="189"/>
      <c r="E353" s="189"/>
      <c r="F353" s="189"/>
      <c r="G353" s="189"/>
      <c r="H353" s="188"/>
      <c r="I353" s="189"/>
      <c r="J353" s="189"/>
      <c r="K353" s="189"/>
      <c r="L353" s="189"/>
      <c r="M353" s="188"/>
      <c r="N353" s="189"/>
      <c r="O353" s="189"/>
      <c r="P353" s="189"/>
      <c r="Q353" s="189"/>
      <c r="R353" s="188"/>
      <c r="S353" s="189"/>
      <c r="T353" s="189"/>
      <c r="U353" s="189"/>
      <c r="V353" s="189"/>
      <c r="W353" s="188"/>
      <c r="X353" s="189"/>
      <c r="Y353" s="189"/>
      <c r="Z353" s="189"/>
      <c r="AA353" s="189"/>
      <c r="AB353" s="188"/>
      <c r="AC353" s="189"/>
      <c r="AD353" s="189"/>
      <c r="AE353" s="189"/>
      <c r="AF353" s="189"/>
      <c r="AG353" s="188"/>
      <c r="AH353" s="189"/>
      <c r="AI353" s="189"/>
      <c r="AJ353" s="189"/>
      <c r="AK353" s="189"/>
      <c r="AL353" s="188"/>
      <c r="AM353" s="189"/>
      <c r="AN353" s="189"/>
      <c r="AO353" s="189"/>
      <c r="AP353" s="189"/>
      <c r="AQ353" s="188"/>
      <c r="AR353" s="189"/>
      <c r="AS353" s="189"/>
      <c r="AT353" s="189"/>
      <c r="AU353" s="189"/>
      <c r="AV353" s="188"/>
      <c r="AW353" s="189"/>
      <c r="AX353" s="189"/>
      <c r="AY353" s="189"/>
      <c r="AZ353" s="189"/>
      <c r="BA353" s="188"/>
      <c r="BB353" s="189"/>
      <c r="BC353" s="189"/>
      <c r="BD353" s="189"/>
      <c r="BE353" s="189"/>
      <c r="BF353" s="188"/>
      <c r="BG353" s="189"/>
      <c r="BH353" s="189"/>
      <c r="BI353" s="189"/>
      <c r="BJ353" s="189"/>
      <c r="BK353" s="188"/>
      <c r="BL353" s="189"/>
      <c r="BM353" s="189"/>
      <c r="BN353" s="189"/>
      <c r="BO353" s="189"/>
      <c r="BP353" s="188"/>
      <c r="BQ353" s="189"/>
      <c r="BR353" s="189"/>
      <c r="BS353" s="189"/>
      <c r="BT353" s="189"/>
      <c r="BU353" s="188"/>
      <c r="BV353" s="189"/>
      <c r="BW353" s="189"/>
      <c r="BX353" s="189"/>
      <c r="BY353" s="189"/>
      <c r="BZ353" s="188"/>
      <c r="CA353" s="189"/>
      <c r="CB353" s="189"/>
      <c r="CC353" s="189"/>
      <c r="CD353" s="189"/>
      <c r="CE353" s="188"/>
      <c r="CF353" s="189"/>
      <c r="CG353" s="189"/>
      <c r="CH353" s="189"/>
      <c r="CI353" s="189"/>
      <c r="CJ353" s="188"/>
      <c r="CK353" s="189"/>
      <c r="CL353" s="189"/>
      <c r="CM353" s="189"/>
      <c r="CN353" s="189"/>
      <c r="CO353" s="188"/>
      <c r="CP353" s="189"/>
      <c r="CQ353" s="189"/>
      <c r="CR353" s="189"/>
      <c r="CS353" s="189"/>
      <c r="CT353" s="188"/>
      <c r="CU353" s="189"/>
      <c r="CV353" s="189"/>
      <c r="CW353" s="189"/>
      <c r="CX353" s="189"/>
      <c r="CY353" s="188"/>
      <c r="CZ353" s="189"/>
      <c r="DA353" s="189"/>
      <c r="DB353" s="189"/>
      <c r="DC353" s="189"/>
      <c r="DD353" s="188"/>
      <c r="DE353" s="189"/>
      <c r="DF353" s="189"/>
      <c r="DG353" s="189"/>
      <c r="DH353" s="189"/>
      <c r="DI353" s="188"/>
      <c r="DJ353" s="189"/>
      <c r="DK353" s="189"/>
      <c r="DL353" s="189"/>
      <c r="DM353" s="189"/>
      <c r="DN353" s="188"/>
      <c r="DO353" s="189"/>
      <c r="DP353" s="189"/>
      <c r="DQ353" s="189"/>
      <c r="DR353" s="189"/>
      <c r="DS353" s="188"/>
      <c r="DT353" s="189"/>
      <c r="DU353" s="189"/>
      <c r="DV353" s="189"/>
      <c r="DW353" s="189"/>
      <c r="DX353" s="188"/>
      <c r="DY353" s="189"/>
      <c r="DZ353" s="189"/>
      <c r="EA353" s="189"/>
      <c r="EB353" s="189"/>
      <c r="EC353" s="188"/>
      <c r="ED353" s="189"/>
      <c r="EE353" s="189"/>
      <c r="EF353" s="189"/>
      <c r="EG353" s="189"/>
      <c r="EH353" s="188"/>
      <c r="EI353" s="189"/>
      <c r="EJ353" s="189"/>
      <c r="EK353" s="189"/>
      <c r="EL353" s="189"/>
      <c r="EM353" s="188"/>
      <c r="EN353" s="189"/>
      <c r="EO353" s="189"/>
      <c r="EP353" s="189"/>
      <c r="EQ353" s="189"/>
      <c r="ER353" s="188"/>
      <c r="ES353" s="189"/>
      <c r="ET353" s="189"/>
      <c r="EU353" s="189"/>
      <c r="EV353" s="189"/>
      <c r="EW353" s="188"/>
      <c r="EX353" s="189"/>
      <c r="EY353" s="189"/>
      <c r="EZ353" s="189"/>
      <c r="FA353" s="189"/>
      <c r="FB353" s="188"/>
      <c r="FC353" s="189"/>
      <c r="FD353" s="189"/>
      <c r="FE353" s="189"/>
      <c r="FF353" s="189"/>
      <c r="FG353" s="188"/>
      <c r="FH353" s="189"/>
      <c r="FI353" s="189"/>
      <c r="FJ353" s="189"/>
      <c r="FK353" s="189"/>
      <c r="FL353" s="188"/>
      <c r="FM353" s="189"/>
      <c r="FN353" s="189"/>
      <c r="FO353" s="189"/>
      <c r="FP353" s="189"/>
      <c r="FQ353" s="188"/>
      <c r="FR353" s="189"/>
      <c r="FS353" s="189"/>
      <c r="FT353" s="189"/>
      <c r="FU353" s="189"/>
      <c r="FV353" s="188"/>
      <c r="FW353" s="189"/>
      <c r="FX353" s="189"/>
      <c r="FY353" s="189"/>
      <c r="FZ353" s="189"/>
      <c r="GA353" s="188"/>
      <c r="GB353" s="189"/>
      <c r="GC353" s="189"/>
      <c r="GD353" s="189"/>
      <c r="GE353" s="189"/>
      <c r="GF353" s="188"/>
      <c r="GG353" s="189"/>
      <c r="GH353" s="189"/>
      <c r="GI353" s="189"/>
      <c r="GJ353" s="189"/>
    </row>
    <row r="354" spans="3:192" ht="12.75" customHeight="1">
      <c r="C354" s="139"/>
      <c r="D354" s="105"/>
      <c r="E354" s="105"/>
      <c r="F354" s="105"/>
      <c r="G354" s="105"/>
      <c r="H354" s="139"/>
      <c r="I354" s="105"/>
      <c r="J354" s="105"/>
      <c r="K354" s="105"/>
      <c r="L354" s="105"/>
      <c r="M354" s="139"/>
      <c r="N354" s="105"/>
      <c r="O354" s="105"/>
      <c r="P354" s="105"/>
      <c r="Q354" s="105"/>
      <c r="R354" s="139"/>
      <c r="S354" s="105"/>
      <c r="T354" s="105"/>
      <c r="U354" s="105"/>
      <c r="V354" s="105"/>
      <c r="W354" s="139"/>
      <c r="X354" s="105"/>
      <c r="Y354" s="105"/>
      <c r="Z354" s="105"/>
      <c r="AA354" s="105"/>
      <c r="AB354" s="139"/>
      <c r="AC354" s="105"/>
      <c r="AD354" s="105"/>
      <c r="AE354" s="105"/>
      <c r="AF354" s="105"/>
      <c r="AG354" s="139"/>
      <c r="AH354" s="105"/>
      <c r="AI354" s="105"/>
      <c r="AJ354" s="105"/>
      <c r="AK354" s="105"/>
      <c r="AL354" s="139"/>
      <c r="AM354" s="105"/>
      <c r="AN354" s="105"/>
      <c r="AO354" s="105"/>
      <c r="AP354" s="105"/>
      <c r="AQ354" s="139"/>
      <c r="AR354" s="105"/>
      <c r="AS354" s="105"/>
      <c r="AT354" s="105"/>
      <c r="AU354" s="105"/>
      <c r="AV354" s="139"/>
      <c r="AW354" s="105"/>
      <c r="AX354" s="105"/>
      <c r="AY354" s="105"/>
      <c r="AZ354" s="105"/>
      <c r="BA354" s="139"/>
      <c r="BB354" s="105"/>
      <c r="BC354" s="105"/>
      <c r="BD354" s="105"/>
      <c r="BE354" s="105"/>
      <c r="BF354" s="139"/>
      <c r="BG354" s="105"/>
      <c r="BH354" s="105"/>
      <c r="BI354" s="105"/>
      <c r="BJ354" s="105"/>
      <c r="BK354" s="139"/>
      <c r="BL354" s="105"/>
      <c r="BM354" s="105"/>
      <c r="BN354" s="105"/>
      <c r="BO354" s="105"/>
      <c r="BP354" s="139"/>
      <c r="BQ354" s="105"/>
      <c r="BR354" s="105"/>
      <c r="BS354" s="105"/>
      <c r="BT354" s="105"/>
      <c r="BU354" s="139"/>
      <c r="BV354" s="105"/>
      <c r="BW354" s="105"/>
      <c r="BX354" s="105"/>
      <c r="BY354" s="105"/>
      <c r="BZ354" s="139"/>
      <c r="CA354" s="105"/>
      <c r="CB354" s="105"/>
      <c r="CC354" s="105"/>
      <c r="CD354" s="105"/>
      <c r="CE354" s="139"/>
      <c r="CF354" s="105"/>
      <c r="CG354" s="105"/>
      <c r="CH354" s="105"/>
      <c r="CI354" s="105"/>
      <c r="CJ354" s="139"/>
      <c r="CK354" s="105"/>
      <c r="CL354" s="105"/>
      <c r="CM354" s="105"/>
      <c r="CN354" s="105"/>
      <c r="CO354" s="139"/>
      <c r="CP354" s="105"/>
      <c r="CQ354" s="105"/>
      <c r="CR354" s="105"/>
      <c r="CS354" s="105"/>
      <c r="CT354" s="139"/>
      <c r="CU354" s="105"/>
      <c r="CV354" s="105"/>
      <c r="CW354" s="105"/>
      <c r="CX354" s="105"/>
      <c r="CY354" s="139"/>
      <c r="CZ354" s="105"/>
      <c r="DA354" s="105"/>
      <c r="DB354" s="105"/>
      <c r="DC354" s="105"/>
      <c r="DD354" s="139"/>
      <c r="DE354" s="105"/>
      <c r="DF354" s="105"/>
      <c r="DG354" s="105"/>
      <c r="DH354" s="105"/>
      <c r="DI354" s="139"/>
      <c r="DJ354" s="105"/>
      <c r="DK354" s="105"/>
      <c r="DL354" s="105"/>
      <c r="DM354" s="105"/>
      <c r="DN354" s="139"/>
      <c r="DO354" s="105"/>
      <c r="DP354" s="105"/>
      <c r="DQ354" s="105"/>
      <c r="DR354" s="105"/>
      <c r="DS354" s="139"/>
      <c r="DT354" s="105"/>
      <c r="DU354" s="105"/>
      <c r="DV354" s="105"/>
      <c r="DW354" s="105"/>
      <c r="DX354" s="139"/>
      <c r="DY354" s="105"/>
      <c r="DZ354" s="105"/>
      <c r="EA354" s="105"/>
      <c r="EB354" s="105"/>
      <c r="EC354" s="139"/>
      <c r="ED354" s="105"/>
      <c r="EE354" s="105"/>
      <c r="EF354" s="105"/>
      <c r="EG354" s="105"/>
      <c r="EH354" s="139"/>
      <c r="EI354" s="105"/>
      <c r="EJ354" s="105"/>
      <c r="EK354" s="105"/>
      <c r="EL354" s="105"/>
      <c r="EM354" s="139"/>
      <c r="EN354" s="105"/>
      <c r="EO354" s="105"/>
      <c r="EP354" s="105"/>
      <c r="EQ354" s="105"/>
      <c r="ER354" s="139"/>
      <c r="ES354" s="105"/>
      <c r="ET354" s="105"/>
      <c r="EU354" s="105"/>
      <c r="EV354" s="105"/>
      <c r="EW354" s="139"/>
      <c r="EX354" s="105"/>
      <c r="EY354" s="105"/>
      <c r="EZ354" s="105"/>
      <c r="FA354" s="105"/>
      <c r="FB354" s="139"/>
      <c r="FC354" s="105"/>
      <c r="FD354" s="105"/>
      <c r="FE354" s="105"/>
      <c r="FF354" s="105"/>
      <c r="FG354" s="139"/>
      <c r="FH354" s="105"/>
      <c r="FI354" s="105"/>
      <c r="FJ354" s="105"/>
      <c r="FK354" s="105"/>
      <c r="FL354" s="139"/>
      <c r="FM354" s="105"/>
      <c r="FN354" s="105"/>
      <c r="FO354" s="105"/>
      <c r="FP354" s="105"/>
      <c r="FQ354" s="139"/>
      <c r="FR354" s="105"/>
      <c r="FS354" s="105"/>
      <c r="FT354" s="105"/>
      <c r="FU354" s="105"/>
      <c r="FV354" s="139"/>
      <c r="FW354" s="105"/>
      <c r="FX354" s="105"/>
      <c r="FY354" s="105"/>
      <c r="FZ354" s="105"/>
      <c r="GA354" s="139"/>
      <c r="GB354" s="105"/>
      <c r="GC354" s="105"/>
      <c r="GD354" s="105"/>
      <c r="GE354" s="105"/>
      <c r="GF354" s="139"/>
      <c r="GG354" s="105"/>
      <c r="GH354" s="105"/>
      <c r="GI354" s="105"/>
      <c r="GJ354" s="105"/>
    </row>
    <row r="355" spans="3:192" ht="12.75" customHeight="1">
      <c r="C355" s="190"/>
      <c r="D355" s="191"/>
      <c r="E355" s="191"/>
      <c r="F355" s="191"/>
      <c r="G355" s="191"/>
      <c r="H355" s="190"/>
      <c r="I355" s="191"/>
      <c r="J355" s="191"/>
      <c r="K355" s="191"/>
      <c r="L355" s="191"/>
      <c r="M355" s="190"/>
      <c r="N355" s="191"/>
      <c r="O355" s="191"/>
      <c r="P355" s="191"/>
      <c r="Q355" s="191"/>
      <c r="R355" s="190"/>
      <c r="S355" s="191"/>
      <c r="T355" s="191"/>
      <c r="U355" s="191"/>
      <c r="V355" s="191"/>
      <c r="W355" s="190"/>
      <c r="X355" s="191"/>
      <c r="Y355" s="191"/>
      <c r="Z355" s="191"/>
      <c r="AA355" s="191"/>
      <c r="AB355" s="190"/>
      <c r="AC355" s="191"/>
      <c r="AD355" s="191"/>
      <c r="AE355" s="191"/>
      <c r="AF355" s="191"/>
      <c r="AG355" s="190"/>
      <c r="AH355" s="191"/>
      <c r="AI355" s="191"/>
      <c r="AJ355" s="191"/>
      <c r="AK355" s="191"/>
      <c r="AL355" s="190"/>
      <c r="AM355" s="191"/>
      <c r="AN355" s="191"/>
      <c r="AO355" s="191"/>
      <c r="AP355" s="191"/>
      <c r="AQ355" s="190"/>
      <c r="AR355" s="191"/>
      <c r="AS355" s="191"/>
      <c r="AT355" s="191"/>
      <c r="AU355" s="191"/>
      <c r="AV355" s="190"/>
      <c r="AW355" s="191"/>
      <c r="AX355" s="191"/>
      <c r="AY355" s="191"/>
      <c r="AZ355" s="191"/>
      <c r="BA355" s="190"/>
      <c r="BB355" s="191"/>
      <c r="BC355" s="191"/>
      <c r="BD355" s="191"/>
      <c r="BE355" s="191"/>
      <c r="BF355" s="190"/>
      <c r="BG355" s="191"/>
      <c r="BH355" s="191"/>
      <c r="BI355" s="191"/>
      <c r="BJ355" s="191"/>
      <c r="BK355" s="190"/>
      <c r="BL355" s="191"/>
      <c r="BM355" s="191"/>
      <c r="BN355" s="191"/>
      <c r="BO355" s="191"/>
      <c r="BP355" s="190"/>
      <c r="BQ355" s="191"/>
      <c r="BR355" s="191"/>
      <c r="BS355" s="191"/>
      <c r="BT355" s="191"/>
      <c r="BU355" s="190"/>
      <c r="BV355" s="191"/>
      <c r="BW355" s="191"/>
      <c r="BX355" s="191"/>
      <c r="BY355" s="191"/>
      <c r="BZ355" s="190"/>
      <c r="CA355" s="191"/>
      <c r="CB355" s="191"/>
      <c r="CC355" s="191"/>
      <c r="CD355" s="191"/>
      <c r="CE355" s="190"/>
      <c r="CF355" s="191"/>
      <c r="CG355" s="191"/>
      <c r="CH355" s="191"/>
      <c r="CI355" s="191"/>
      <c r="CJ355" s="190"/>
      <c r="CK355" s="191"/>
      <c r="CL355" s="191"/>
      <c r="CM355" s="191"/>
      <c r="CN355" s="191"/>
      <c r="CO355" s="190"/>
      <c r="CP355" s="191"/>
      <c r="CQ355" s="191"/>
      <c r="CR355" s="191"/>
      <c r="CS355" s="191"/>
      <c r="CT355" s="190"/>
      <c r="CU355" s="191"/>
      <c r="CV355" s="191"/>
      <c r="CW355" s="191"/>
      <c r="CX355" s="191"/>
      <c r="CY355" s="190"/>
      <c r="CZ355" s="191"/>
      <c r="DA355" s="191"/>
      <c r="DB355" s="191"/>
      <c r="DC355" s="191"/>
      <c r="DD355" s="190"/>
      <c r="DE355" s="191"/>
      <c r="DF355" s="191"/>
      <c r="DG355" s="191"/>
      <c r="DH355" s="191"/>
      <c r="DI355" s="190"/>
      <c r="DJ355" s="191"/>
      <c r="DK355" s="191"/>
      <c r="DL355" s="191"/>
      <c r="DM355" s="191"/>
      <c r="DN355" s="190"/>
      <c r="DO355" s="191"/>
      <c r="DP355" s="191"/>
      <c r="DQ355" s="191"/>
      <c r="DR355" s="191"/>
      <c r="DS355" s="190"/>
      <c r="DT355" s="191"/>
      <c r="DU355" s="191"/>
      <c r="DV355" s="191"/>
      <c r="DW355" s="191"/>
      <c r="DX355" s="190"/>
      <c r="DY355" s="191"/>
      <c r="DZ355" s="191"/>
      <c r="EA355" s="191"/>
      <c r="EB355" s="191"/>
      <c r="EC355" s="190"/>
      <c r="ED355" s="191"/>
      <c r="EE355" s="191"/>
      <c r="EF355" s="191"/>
      <c r="EG355" s="191"/>
      <c r="EH355" s="190"/>
      <c r="EI355" s="191"/>
      <c r="EJ355" s="191"/>
      <c r="EK355" s="191"/>
      <c r="EL355" s="191"/>
      <c r="EM355" s="190"/>
      <c r="EN355" s="191"/>
      <c r="EO355" s="191"/>
      <c r="EP355" s="191"/>
      <c r="EQ355" s="191"/>
      <c r="ER355" s="190"/>
      <c r="ES355" s="191"/>
      <c r="ET355" s="191"/>
      <c r="EU355" s="191"/>
      <c r="EV355" s="191"/>
      <c r="EW355" s="190"/>
      <c r="EX355" s="191"/>
      <c r="EY355" s="191"/>
      <c r="EZ355" s="191"/>
      <c r="FA355" s="191"/>
      <c r="FB355" s="190"/>
      <c r="FC355" s="191"/>
      <c r="FD355" s="191"/>
      <c r="FE355" s="191"/>
      <c r="FF355" s="191"/>
      <c r="FG355" s="190"/>
      <c r="FH355" s="191"/>
      <c r="FI355" s="191"/>
      <c r="FJ355" s="191"/>
      <c r="FK355" s="191"/>
      <c r="FL355" s="190"/>
      <c r="FM355" s="191"/>
      <c r="FN355" s="191"/>
      <c r="FO355" s="191"/>
      <c r="FP355" s="191"/>
      <c r="FQ355" s="190"/>
      <c r="FR355" s="191"/>
      <c r="FS355" s="191"/>
      <c r="FT355" s="191"/>
      <c r="FU355" s="191"/>
      <c r="FV355" s="190"/>
      <c r="FW355" s="191"/>
      <c r="FX355" s="191"/>
      <c r="FY355" s="191"/>
      <c r="FZ355" s="191"/>
      <c r="GA355" s="190"/>
      <c r="GB355" s="191"/>
      <c r="GC355" s="191"/>
      <c r="GD355" s="191"/>
      <c r="GE355" s="191"/>
      <c r="GF355" s="190"/>
      <c r="GG355" s="191"/>
      <c r="GH355" s="191"/>
      <c r="GI355" s="191"/>
      <c r="GJ355" s="191"/>
    </row>
    <row r="357" spans="3:192" ht="12.75" customHeight="1">
      <c r="C357" s="196"/>
      <c r="D357" s="197"/>
      <c r="E357" s="197"/>
      <c r="F357" s="197"/>
      <c r="G357" s="197"/>
      <c r="H357" s="196"/>
      <c r="I357" s="197"/>
      <c r="J357" s="197"/>
      <c r="K357" s="197"/>
      <c r="L357" s="197"/>
      <c r="M357" s="196"/>
      <c r="N357" s="197"/>
      <c r="O357" s="197"/>
      <c r="P357" s="197"/>
      <c r="Q357" s="197"/>
      <c r="R357" s="196"/>
      <c r="S357" s="197"/>
      <c r="T357" s="197"/>
      <c r="U357" s="197"/>
      <c r="V357" s="197"/>
      <c r="W357" s="196"/>
      <c r="X357" s="197"/>
      <c r="Y357" s="197"/>
      <c r="Z357" s="197"/>
      <c r="AA357" s="197"/>
      <c r="AB357" s="196"/>
      <c r="AC357" s="197"/>
      <c r="AD357" s="197"/>
      <c r="AE357" s="197"/>
      <c r="AF357" s="197"/>
      <c r="AG357" s="196"/>
      <c r="AH357" s="197"/>
      <c r="AI357" s="197"/>
      <c r="AJ357" s="197"/>
      <c r="AK357" s="197"/>
      <c r="AL357" s="196"/>
      <c r="AM357" s="197"/>
      <c r="AN357" s="197"/>
      <c r="AO357" s="197"/>
      <c r="AP357" s="197"/>
      <c r="AQ357" s="196"/>
      <c r="AR357" s="197"/>
      <c r="AS357" s="197"/>
      <c r="AT357" s="197"/>
      <c r="AU357" s="197"/>
      <c r="AV357" s="196"/>
      <c r="AW357" s="197"/>
      <c r="AX357" s="197"/>
      <c r="AY357" s="197"/>
      <c r="AZ357" s="197"/>
      <c r="BA357" s="196"/>
      <c r="BB357" s="197"/>
      <c r="BC357" s="197"/>
      <c r="BD357" s="197"/>
      <c r="BE357" s="197"/>
      <c r="BF357" s="196"/>
      <c r="BG357" s="197"/>
      <c r="BH357" s="197"/>
      <c r="BI357" s="197"/>
      <c r="BJ357" s="197"/>
      <c r="BK357" s="196"/>
      <c r="BL357" s="197"/>
      <c r="BM357" s="197"/>
      <c r="BN357" s="197"/>
      <c r="BO357" s="197"/>
      <c r="BP357" s="196"/>
      <c r="BQ357" s="197"/>
      <c r="BR357" s="197"/>
      <c r="BS357" s="197"/>
      <c r="BT357" s="197"/>
      <c r="BU357" s="196"/>
      <c r="BV357" s="197"/>
      <c r="BW357" s="197"/>
      <c r="BX357" s="197"/>
      <c r="BY357" s="197"/>
      <c r="BZ357" s="196"/>
      <c r="CA357" s="197"/>
      <c r="CB357" s="197"/>
      <c r="CC357" s="197"/>
      <c r="CD357" s="197"/>
      <c r="CE357" s="196"/>
      <c r="CF357" s="197"/>
      <c r="CG357" s="197"/>
      <c r="CH357" s="197"/>
      <c r="CI357" s="197"/>
      <c r="CJ357" s="196"/>
      <c r="CK357" s="197"/>
      <c r="CL357" s="197"/>
      <c r="CM357" s="197"/>
      <c r="CN357" s="197"/>
      <c r="CO357" s="196"/>
      <c r="CP357" s="197"/>
      <c r="CQ357" s="197"/>
      <c r="CR357" s="197"/>
      <c r="CS357" s="197"/>
      <c r="CT357" s="196"/>
      <c r="CU357" s="197"/>
      <c r="CV357" s="197"/>
      <c r="CW357" s="197"/>
      <c r="CX357" s="197"/>
      <c r="CY357" s="196"/>
      <c r="CZ357" s="197"/>
      <c r="DA357" s="197"/>
      <c r="DB357" s="197"/>
      <c r="DC357" s="197"/>
      <c r="DD357" s="196"/>
      <c r="DE357" s="197"/>
      <c r="DF357" s="197"/>
      <c r="DG357" s="197"/>
      <c r="DH357" s="197"/>
      <c r="DI357" s="196"/>
      <c r="DJ357" s="197"/>
      <c r="DK357" s="197"/>
      <c r="DL357" s="197"/>
      <c r="DM357" s="197"/>
      <c r="DN357" s="196"/>
      <c r="DO357" s="197"/>
      <c r="DP357" s="197"/>
      <c r="DQ357" s="197"/>
      <c r="DR357" s="197"/>
      <c r="DS357" s="196"/>
      <c r="DT357" s="197"/>
      <c r="DU357" s="197"/>
      <c r="DV357" s="197"/>
      <c r="DW357" s="197"/>
      <c r="DX357" s="196"/>
      <c r="DY357" s="197"/>
      <c r="DZ357" s="197"/>
      <c r="EA357" s="197"/>
      <c r="EB357" s="197"/>
      <c r="EC357" s="196"/>
      <c r="ED357" s="197"/>
      <c r="EE357" s="197"/>
      <c r="EF357" s="197"/>
      <c r="EG357" s="197"/>
      <c r="EH357" s="196"/>
      <c r="EI357" s="197"/>
      <c r="EJ357" s="197"/>
      <c r="EK357" s="197"/>
      <c r="EL357" s="197"/>
      <c r="EM357" s="196"/>
      <c r="EN357" s="197"/>
      <c r="EO357" s="197"/>
      <c r="EP357" s="197"/>
      <c r="EQ357" s="197"/>
      <c r="ER357" s="196"/>
      <c r="ES357" s="197"/>
      <c r="ET357" s="197"/>
      <c r="EU357" s="197"/>
      <c r="EV357" s="197"/>
      <c r="EW357" s="196"/>
      <c r="EX357" s="197"/>
      <c r="EY357" s="197"/>
      <c r="EZ357" s="197"/>
      <c r="FA357" s="197"/>
      <c r="FB357" s="196"/>
      <c r="FC357" s="197"/>
      <c r="FD357" s="197"/>
      <c r="FE357" s="197"/>
      <c r="FF357" s="197"/>
      <c r="FG357" s="196"/>
      <c r="FH357" s="197"/>
      <c r="FI357" s="197"/>
      <c r="FJ357" s="197"/>
      <c r="FK357" s="197"/>
      <c r="FL357" s="196"/>
      <c r="FM357" s="197"/>
      <c r="FN357" s="197"/>
      <c r="FO357" s="197"/>
      <c r="FP357" s="197"/>
      <c r="FQ357" s="196"/>
      <c r="FR357" s="197"/>
      <c r="FS357" s="197"/>
      <c r="FT357" s="197"/>
      <c r="FU357" s="197"/>
      <c r="FV357" s="196"/>
      <c r="FW357" s="197"/>
      <c r="FX357" s="197"/>
      <c r="FY357" s="197"/>
      <c r="FZ357" s="197"/>
      <c r="GA357" s="196"/>
      <c r="GB357" s="197"/>
      <c r="GC357" s="197"/>
      <c r="GD357" s="197"/>
      <c r="GE357" s="197"/>
      <c r="GF357" s="196"/>
      <c r="GG357" s="197"/>
      <c r="GH357" s="197"/>
      <c r="GI357" s="197"/>
      <c r="GJ357" s="197"/>
    </row>
    <row r="358" spans="3:192" ht="12.75" customHeight="1">
      <c r="C358" s="198"/>
      <c r="D358" s="199"/>
      <c r="E358" s="199"/>
      <c r="F358" s="199"/>
      <c r="G358" s="199"/>
      <c r="H358" s="198"/>
      <c r="I358" s="199"/>
      <c r="J358" s="199"/>
      <c r="K358" s="199"/>
      <c r="L358" s="199"/>
      <c r="M358" s="198"/>
      <c r="N358" s="199"/>
      <c r="O358" s="199"/>
      <c r="P358" s="199"/>
      <c r="Q358" s="199"/>
      <c r="R358" s="198"/>
      <c r="S358" s="199"/>
      <c r="T358" s="199"/>
      <c r="U358" s="199"/>
      <c r="V358" s="199"/>
      <c r="W358" s="198"/>
      <c r="X358" s="199"/>
      <c r="Y358" s="199"/>
      <c r="Z358" s="199"/>
      <c r="AA358" s="199"/>
      <c r="AB358" s="198"/>
      <c r="AC358" s="199"/>
      <c r="AD358" s="199"/>
      <c r="AE358" s="199"/>
      <c r="AF358" s="199"/>
      <c r="AG358" s="198"/>
      <c r="AH358" s="199"/>
      <c r="AI358" s="199"/>
      <c r="AJ358" s="199"/>
      <c r="AK358" s="199"/>
      <c r="AL358" s="198"/>
      <c r="AM358" s="199"/>
      <c r="AN358" s="199"/>
      <c r="AO358" s="199"/>
      <c r="AP358" s="199"/>
      <c r="AQ358" s="198"/>
      <c r="AR358" s="199"/>
      <c r="AS358" s="199"/>
      <c r="AT358" s="199"/>
      <c r="AU358" s="199"/>
      <c r="AV358" s="198"/>
      <c r="AW358" s="199"/>
      <c r="AX358" s="199"/>
      <c r="AY358" s="199"/>
      <c r="AZ358" s="199"/>
      <c r="BA358" s="198"/>
      <c r="BB358" s="199"/>
      <c r="BC358" s="199"/>
      <c r="BD358" s="199"/>
      <c r="BE358" s="199"/>
      <c r="BF358" s="198"/>
      <c r="BG358" s="199"/>
      <c r="BH358" s="199"/>
      <c r="BI358" s="199"/>
      <c r="BJ358" s="199"/>
      <c r="BK358" s="198"/>
      <c r="BL358" s="199"/>
      <c r="BM358" s="199"/>
      <c r="BN358" s="199"/>
      <c r="BO358" s="199"/>
      <c r="BP358" s="198"/>
      <c r="BQ358" s="199"/>
      <c r="BR358" s="199"/>
      <c r="BS358" s="199"/>
      <c r="BT358" s="199"/>
      <c r="BU358" s="198"/>
      <c r="BV358" s="199"/>
      <c r="BW358" s="199"/>
      <c r="BX358" s="199"/>
      <c r="BY358" s="199"/>
      <c r="BZ358" s="198"/>
      <c r="CA358" s="199"/>
      <c r="CB358" s="199"/>
      <c r="CC358" s="199"/>
      <c r="CD358" s="199"/>
      <c r="CE358" s="198"/>
      <c r="CF358" s="199"/>
      <c r="CG358" s="199"/>
      <c r="CH358" s="199"/>
      <c r="CI358" s="199"/>
      <c r="CJ358" s="198"/>
      <c r="CK358" s="199"/>
      <c r="CL358" s="199"/>
      <c r="CM358" s="199"/>
      <c r="CN358" s="199"/>
      <c r="CO358" s="198"/>
      <c r="CP358" s="199"/>
      <c r="CQ358" s="199"/>
      <c r="CR358" s="199"/>
      <c r="CS358" s="199"/>
      <c r="CT358" s="198"/>
      <c r="CU358" s="199"/>
      <c r="CV358" s="199"/>
      <c r="CW358" s="199"/>
      <c r="CX358" s="199"/>
      <c r="CY358" s="198"/>
      <c r="CZ358" s="199"/>
      <c r="DA358" s="199"/>
      <c r="DB358" s="199"/>
      <c r="DC358" s="199"/>
      <c r="DD358" s="198"/>
      <c r="DE358" s="199"/>
      <c r="DF358" s="199"/>
      <c r="DG358" s="199"/>
      <c r="DH358" s="199"/>
      <c r="DI358" s="198"/>
      <c r="DJ358" s="199"/>
      <c r="DK358" s="199"/>
      <c r="DL358" s="199"/>
      <c r="DM358" s="199"/>
      <c r="DN358" s="198"/>
      <c r="DO358" s="199"/>
      <c r="DP358" s="199"/>
      <c r="DQ358" s="199"/>
      <c r="DR358" s="199"/>
      <c r="DS358" s="198"/>
      <c r="DT358" s="199"/>
      <c r="DU358" s="199"/>
      <c r="DV358" s="199"/>
      <c r="DW358" s="199"/>
      <c r="DX358" s="198"/>
      <c r="DY358" s="199"/>
      <c r="DZ358" s="199"/>
      <c r="EA358" s="199"/>
      <c r="EB358" s="199"/>
      <c r="EC358" s="198"/>
      <c r="ED358" s="199"/>
      <c r="EE358" s="199"/>
      <c r="EF358" s="199"/>
      <c r="EG358" s="199"/>
      <c r="EH358" s="198"/>
      <c r="EI358" s="199"/>
      <c r="EJ358" s="199"/>
      <c r="EK358" s="199"/>
      <c r="EL358" s="199"/>
      <c r="EM358" s="198"/>
      <c r="EN358" s="199"/>
      <c r="EO358" s="199"/>
      <c r="EP358" s="199"/>
      <c r="EQ358" s="199"/>
      <c r="ER358" s="198"/>
      <c r="ES358" s="199"/>
      <c r="ET358" s="199"/>
      <c r="EU358" s="199"/>
      <c r="EV358" s="199"/>
      <c r="EW358" s="198"/>
      <c r="EX358" s="199"/>
      <c r="EY358" s="199"/>
      <c r="EZ358" s="199"/>
      <c r="FA358" s="199"/>
      <c r="FB358" s="198"/>
      <c r="FC358" s="199"/>
      <c r="FD358" s="199"/>
      <c r="FE358" s="199"/>
      <c r="FF358" s="199"/>
      <c r="FG358" s="198"/>
      <c r="FH358" s="199"/>
      <c r="FI358" s="199"/>
      <c r="FJ358" s="199"/>
      <c r="FK358" s="199"/>
      <c r="FL358" s="198"/>
      <c r="FM358" s="199"/>
      <c r="FN358" s="199"/>
      <c r="FO358" s="199"/>
      <c r="FP358" s="199"/>
      <c r="FQ358" s="198"/>
      <c r="FR358" s="199"/>
      <c r="FS358" s="199"/>
      <c r="FT358" s="199"/>
      <c r="FU358" s="199"/>
      <c r="FV358" s="198"/>
      <c r="FW358" s="199"/>
      <c r="FX358" s="199"/>
      <c r="FY358" s="199"/>
      <c r="FZ358" s="199"/>
      <c r="GA358" s="198"/>
      <c r="GB358" s="199"/>
      <c r="GC358" s="199"/>
      <c r="GD358" s="199"/>
      <c r="GE358" s="199"/>
      <c r="GF358" s="198"/>
      <c r="GG358" s="199"/>
      <c r="GH358" s="199"/>
      <c r="GI358" s="199"/>
      <c r="GJ358" s="199"/>
    </row>
    <row r="359" spans="3:192" ht="12.75" customHeight="1">
      <c r="C359" s="139"/>
      <c r="D359" s="105"/>
      <c r="E359" s="105"/>
      <c r="F359" s="105"/>
      <c r="G359" s="105"/>
      <c r="H359" s="139"/>
      <c r="I359" s="105"/>
      <c r="J359" s="105"/>
      <c r="K359" s="105"/>
      <c r="L359" s="105"/>
      <c r="M359" s="139"/>
      <c r="N359" s="105"/>
      <c r="O359" s="105"/>
      <c r="P359" s="105"/>
      <c r="Q359" s="105"/>
      <c r="R359" s="139"/>
      <c r="S359" s="105"/>
      <c r="T359" s="105"/>
      <c r="U359" s="105"/>
      <c r="V359" s="105"/>
      <c r="W359" s="139"/>
      <c r="X359" s="105"/>
      <c r="Y359" s="105"/>
      <c r="Z359" s="105"/>
      <c r="AA359" s="105"/>
      <c r="AB359" s="139"/>
      <c r="AC359" s="105"/>
      <c r="AD359" s="105"/>
      <c r="AE359" s="105"/>
      <c r="AF359" s="105"/>
      <c r="AG359" s="139"/>
      <c r="AH359" s="105"/>
      <c r="AI359" s="105"/>
      <c r="AJ359" s="105"/>
      <c r="AK359" s="105"/>
      <c r="AL359" s="139"/>
      <c r="AM359" s="105"/>
      <c r="AN359" s="105"/>
      <c r="AO359" s="105"/>
      <c r="AP359" s="105"/>
      <c r="AQ359" s="139"/>
      <c r="AR359" s="105"/>
      <c r="AS359" s="105"/>
      <c r="AT359" s="105"/>
      <c r="AU359" s="105"/>
      <c r="AV359" s="139"/>
      <c r="AW359" s="105"/>
      <c r="AX359" s="105"/>
      <c r="AY359" s="105"/>
      <c r="AZ359" s="105"/>
      <c r="BA359" s="139"/>
      <c r="BB359" s="105"/>
      <c r="BC359" s="105"/>
      <c r="BD359" s="105"/>
      <c r="BE359" s="105"/>
      <c r="BF359" s="139"/>
      <c r="BG359" s="105"/>
      <c r="BH359" s="105"/>
      <c r="BI359" s="105"/>
      <c r="BJ359" s="105"/>
      <c r="BK359" s="139"/>
      <c r="BL359" s="105"/>
      <c r="BM359" s="105"/>
      <c r="BN359" s="105"/>
      <c r="BO359" s="105"/>
      <c r="BP359" s="139"/>
      <c r="BQ359" s="105"/>
      <c r="BR359" s="105"/>
      <c r="BS359" s="105"/>
      <c r="BT359" s="105"/>
      <c r="BU359" s="139"/>
      <c r="BV359" s="105"/>
      <c r="BW359" s="105"/>
      <c r="BX359" s="105"/>
      <c r="BY359" s="105"/>
      <c r="BZ359" s="139"/>
      <c r="CA359" s="105"/>
      <c r="CB359" s="105"/>
      <c r="CC359" s="105"/>
      <c r="CD359" s="105"/>
      <c r="CE359" s="139"/>
      <c r="CF359" s="105"/>
      <c r="CG359" s="105"/>
      <c r="CH359" s="105"/>
      <c r="CI359" s="105"/>
      <c r="CJ359" s="139"/>
      <c r="CK359" s="105"/>
      <c r="CL359" s="105"/>
      <c r="CM359" s="105"/>
      <c r="CN359" s="105"/>
      <c r="CO359" s="139"/>
      <c r="CP359" s="105"/>
      <c r="CQ359" s="105"/>
      <c r="CR359" s="105"/>
      <c r="CS359" s="105"/>
      <c r="CT359" s="139"/>
      <c r="CU359" s="105"/>
      <c r="CV359" s="105"/>
      <c r="CW359" s="105"/>
      <c r="CX359" s="105"/>
      <c r="CY359" s="139"/>
      <c r="CZ359" s="105"/>
      <c r="DA359" s="105"/>
      <c r="DB359" s="105"/>
      <c r="DC359" s="105"/>
      <c r="DD359" s="139"/>
      <c r="DE359" s="105"/>
      <c r="DF359" s="105"/>
      <c r="DG359" s="105"/>
      <c r="DH359" s="105"/>
      <c r="DI359" s="139"/>
      <c r="DJ359" s="105"/>
      <c r="DK359" s="105"/>
      <c r="DL359" s="105"/>
      <c r="DM359" s="105"/>
      <c r="DN359" s="139"/>
      <c r="DO359" s="105"/>
      <c r="DP359" s="105"/>
      <c r="DQ359" s="105"/>
      <c r="DR359" s="105"/>
      <c r="DS359" s="139"/>
      <c r="DT359" s="105"/>
      <c r="DU359" s="105"/>
      <c r="DV359" s="105"/>
      <c r="DW359" s="105"/>
      <c r="DX359" s="139"/>
      <c r="DY359" s="105"/>
      <c r="DZ359" s="105"/>
      <c r="EA359" s="105"/>
      <c r="EB359" s="105"/>
      <c r="EC359" s="139"/>
      <c r="ED359" s="105"/>
      <c r="EE359" s="105"/>
      <c r="EF359" s="105"/>
      <c r="EG359" s="105"/>
      <c r="EH359" s="139"/>
      <c r="EI359" s="105"/>
      <c r="EJ359" s="105"/>
      <c r="EK359" s="105"/>
      <c r="EL359" s="105"/>
      <c r="EM359" s="139"/>
      <c r="EN359" s="105"/>
      <c r="EO359" s="105"/>
      <c r="EP359" s="105"/>
      <c r="EQ359" s="105"/>
      <c r="ER359" s="139"/>
      <c r="ES359" s="105"/>
      <c r="ET359" s="105"/>
      <c r="EU359" s="105"/>
      <c r="EV359" s="105"/>
      <c r="EW359" s="139"/>
      <c r="EX359" s="105"/>
      <c r="EY359" s="105"/>
      <c r="EZ359" s="105"/>
      <c r="FA359" s="105"/>
      <c r="FB359" s="139"/>
      <c r="FC359" s="105"/>
      <c r="FD359" s="105"/>
      <c r="FE359" s="105"/>
      <c r="FF359" s="105"/>
      <c r="FG359" s="139"/>
      <c r="FH359" s="105"/>
      <c r="FI359" s="105"/>
      <c r="FJ359" s="105"/>
      <c r="FK359" s="105"/>
      <c r="FL359" s="139"/>
      <c r="FM359" s="105"/>
      <c r="FN359" s="105"/>
      <c r="FO359" s="105"/>
      <c r="FP359" s="105"/>
      <c r="FQ359" s="139"/>
      <c r="FR359" s="105"/>
      <c r="FS359" s="105"/>
      <c r="FT359" s="105"/>
      <c r="FU359" s="105"/>
      <c r="FV359" s="139"/>
      <c r="FW359" s="105"/>
      <c r="FX359" s="105"/>
      <c r="FY359" s="105"/>
      <c r="FZ359" s="105"/>
      <c r="GA359" s="139"/>
      <c r="GB359" s="105"/>
      <c r="GC359" s="105"/>
      <c r="GD359" s="105"/>
      <c r="GE359" s="105"/>
      <c r="GF359" s="139"/>
      <c r="GG359" s="105"/>
      <c r="GH359" s="105"/>
      <c r="GI359" s="105"/>
      <c r="GJ359" s="105"/>
    </row>
    <row r="360" spans="3:192" ht="12.75" customHeight="1">
      <c r="C360" s="139"/>
      <c r="D360" s="105"/>
      <c r="E360" s="105"/>
      <c r="F360" s="105"/>
      <c r="G360" s="105"/>
      <c r="H360" s="139"/>
      <c r="I360" s="105"/>
      <c r="J360" s="105"/>
      <c r="K360" s="105"/>
      <c r="L360" s="105"/>
      <c r="M360" s="139"/>
      <c r="N360" s="105"/>
      <c r="O360" s="105"/>
      <c r="P360" s="105"/>
      <c r="Q360" s="105"/>
      <c r="R360" s="139"/>
      <c r="S360" s="105"/>
      <c r="T360" s="105"/>
      <c r="U360" s="105"/>
      <c r="V360" s="105"/>
      <c r="W360" s="139"/>
      <c r="X360" s="105"/>
      <c r="Y360" s="105"/>
      <c r="Z360" s="105"/>
      <c r="AA360" s="105"/>
      <c r="AB360" s="139"/>
      <c r="AC360" s="105"/>
      <c r="AD360" s="105"/>
      <c r="AE360" s="105"/>
      <c r="AF360" s="105"/>
      <c r="AG360" s="139"/>
      <c r="AH360" s="105"/>
      <c r="AI360" s="105"/>
      <c r="AJ360" s="105"/>
      <c r="AK360" s="105"/>
      <c r="AL360" s="139"/>
      <c r="AM360" s="105"/>
      <c r="AN360" s="105"/>
      <c r="AO360" s="105"/>
      <c r="AP360" s="105"/>
      <c r="AQ360" s="139"/>
      <c r="AR360" s="105"/>
      <c r="AS360" s="105"/>
      <c r="AT360" s="105"/>
      <c r="AU360" s="105"/>
      <c r="AV360" s="139"/>
      <c r="AW360" s="105"/>
      <c r="AX360" s="105"/>
      <c r="AY360" s="105"/>
      <c r="AZ360" s="105"/>
      <c r="BA360" s="139"/>
      <c r="BB360" s="105"/>
      <c r="BC360" s="105"/>
      <c r="BD360" s="105"/>
      <c r="BE360" s="105"/>
      <c r="BF360" s="139"/>
      <c r="BG360" s="105"/>
      <c r="BH360" s="105"/>
      <c r="BI360" s="105"/>
      <c r="BJ360" s="105"/>
      <c r="BK360" s="139"/>
      <c r="BL360" s="105"/>
      <c r="BM360" s="105"/>
      <c r="BN360" s="105"/>
      <c r="BO360" s="105"/>
      <c r="BP360" s="139"/>
      <c r="BQ360" s="105"/>
      <c r="BR360" s="105"/>
      <c r="BS360" s="105"/>
      <c r="BT360" s="105"/>
      <c r="BU360" s="139"/>
      <c r="BV360" s="105"/>
      <c r="BW360" s="105"/>
      <c r="BX360" s="105"/>
      <c r="BY360" s="105"/>
      <c r="BZ360" s="139"/>
      <c r="CA360" s="105"/>
      <c r="CB360" s="105"/>
      <c r="CC360" s="105"/>
      <c r="CD360" s="105"/>
      <c r="CE360" s="139"/>
      <c r="CF360" s="105"/>
      <c r="CG360" s="105"/>
      <c r="CH360" s="105"/>
      <c r="CI360" s="105"/>
      <c r="CJ360" s="139"/>
      <c r="CK360" s="105"/>
      <c r="CL360" s="105"/>
      <c r="CM360" s="105"/>
      <c r="CN360" s="105"/>
      <c r="CO360" s="139"/>
      <c r="CP360" s="105"/>
      <c r="CQ360" s="105"/>
      <c r="CR360" s="105"/>
      <c r="CS360" s="105"/>
      <c r="CT360" s="139"/>
      <c r="CU360" s="105"/>
      <c r="CV360" s="105"/>
      <c r="CW360" s="105"/>
      <c r="CX360" s="105"/>
      <c r="CY360" s="139"/>
      <c r="CZ360" s="105"/>
      <c r="DA360" s="105"/>
      <c r="DB360" s="105"/>
      <c r="DC360" s="105"/>
      <c r="DD360" s="139"/>
      <c r="DE360" s="105"/>
      <c r="DF360" s="105"/>
      <c r="DG360" s="105"/>
      <c r="DH360" s="105"/>
      <c r="DI360" s="139"/>
      <c r="DJ360" s="105"/>
      <c r="DK360" s="105"/>
      <c r="DL360" s="105"/>
      <c r="DM360" s="105"/>
      <c r="DN360" s="139"/>
      <c r="DO360" s="105"/>
      <c r="DP360" s="105"/>
      <c r="DQ360" s="105"/>
      <c r="DR360" s="105"/>
      <c r="DS360" s="139"/>
      <c r="DT360" s="105"/>
      <c r="DU360" s="105"/>
      <c r="DV360" s="105"/>
      <c r="DW360" s="105"/>
      <c r="DX360" s="139"/>
      <c r="DY360" s="105"/>
      <c r="DZ360" s="105"/>
      <c r="EA360" s="105"/>
      <c r="EB360" s="105"/>
      <c r="EC360" s="139"/>
      <c r="ED360" s="105"/>
      <c r="EE360" s="105"/>
      <c r="EF360" s="105"/>
      <c r="EG360" s="105"/>
      <c r="EH360" s="139"/>
      <c r="EI360" s="105"/>
      <c r="EJ360" s="105"/>
      <c r="EK360" s="105"/>
      <c r="EL360" s="105"/>
      <c r="EM360" s="139"/>
      <c r="EN360" s="105"/>
      <c r="EO360" s="105"/>
      <c r="EP360" s="105"/>
      <c r="EQ360" s="105"/>
      <c r="ER360" s="139"/>
      <c r="ES360" s="105"/>
      <c r="ET360" s="105"/>
      <c r="EU360" s="105"/>
      <c r="EV360" s="105"/>
      <c r="EW360" s="139"/>
      <c r="EX360" s="105"/>
      <c r="EY360" s="105"/>
      <c r="EZ360" s="105"/>
      <c r="FA360" s="105"/>
      <c r="FB360" s="139"/>
      <c r="FC360" s="105"/>
      <c r="FD360" s="105"/>
      <c r="FE360" s="105"/>
      <c r="FF360" s="105"/>
      <c r="FG360" s="139"/>
      <c r="FH360" s="105"/>
      <c r="FI360" s="105"/>
      <c r="FJ360" s="105"/>
      <c r="FK360" s="105"/>
      <c r="FL360" s="139"/>
      <c r="FM360" s="105"/>
      <c r="FN360" s="105"/>
      <c r="FO360" s="105"/>
      <c r="FP360" s="105"/>
      <c r="FQ360" s="139"/>
      <c r="FR360" s="105"/>
      <c r="FS360" s="105"/>
      <c r="FT360" s="105"/>
      <c r="FU360" s="105"/>
      <c r="FV360" s="139"/>
      <c r="FW360" s="105"/>
      <c r="FX360" s="105"/>
      <c r="FY360" s="105"/>
      <c r="FZ360" s="105"/>
      <c r="GA360" s="139"/>
      <c r="GB360" s="105"/>
      <c r="GC360" s="105"/>
      <c r="GD360" s="105"/>
      <c r="GE360" s="105"/>
      <c r="GF360" s="139"/>
      <c r="GG360" s="105"/>
      <c r="GH360" s="105"/>
      <c r="GI360" s="105"/>
      <c r="GJ360" s="105"/>
    </row>
    <row r="361" spans="3:192" ht="12.75" customHeight="1">
      <c r="C361" s="139"/>
      <c r="D361" s="105"/>
      <c r="E361" s="105"/>
      <c r="F361" s="105"/>
      <c r="G361" s="105"/>
      <c r="H361" s="139"/>
      <c r="I361" s="105"/>
      <c r="J361" s="105"/>
      <c r="K361" s="105"/>
      <c r="L361" s="105"/>
      <c r="M361" s="139"/>
      <c r="N361" s="105"/>
      <c r="O361" s="105"/>
      <c r="P361" s="105"/>
      <c r="Q361" s="105"/>
      <c r="R361" s="139"/>
      <c r="S361" s="105"/>
      <c r="T361" s="105"/>
      <c r="U361" s="105"/>
      <c r="V361" s="105"/>
      <c r="W361" s="139"/>
      <c r="X361" s="105"/>
      <c r="Y361" s="105"/>
      <c r="Z361" s="105"/>
      <c r="AA361" s="105"/>
      <c r="AB361" s="139"/>
      <c r="AC361" s="105"/>
      <c r="AD361" s="105"/>
      <c r="AE361" s="105"/>
      <c r="AF361" s="105"/>
      <c r="AG361" s="139"/>
      <c r="AH361" s="105"/>
      <c r="AI361" s="105"/>
      <c r="AJ361" s="105"/>
      <c r="AK361" s="105"/>
      <c r="AL361" s="139"/>
      <c r="AM361" s="105"/>
      <c r="AN361" s="105"/>
      <c r="AO361" s="105"/>
      <c r="AP361" s="105"/>
      <c r="AQ361" s="139"/>
      <c r="AR361" s="105"/>
      <c r="AS361" s="105"/>
      <c r="AT361" s="105"/>
      <c r="AU361" s="105"/>
      <c r="AV361" s="139"/>
      <c r="AW361" s="105"/>
      <c r="AX361" s="105"/>
      <c r="AY361" s="105"/>
      <c r="AZ361" s="105"/>
      <c r="BA361" s="139"/>
      <c r="BB361" s="105"/>
      <c r="BC361" s="105"/>
      <c r="BD361" s="105"/>
      <c r="BE361" s="105"/>
      <c r="BF361" s="139"/>
      <c r="BG361" s="105"/>
      <c r="BH361" s="105"/>
      <c r="BI361" s="105"/>
      <c r="BJ361" s="105"/>
      <c r="BK361" s="139"/>
      <c r="BL361" s="105"/>
      <c r="BM361" s="105"/>
      <c r="BN361" s="105"/>
      <c r="BO361" s="105"/>
      <c r="BP361" s="139"/>
      <c r="BQ361" s="105"/>
      <c r="BR361" s="105"/>
      <c r="BS361" s="105"/>
      <c r="BT361" s="105"/>
      <c r="BU361" s="139"/>
      <c r="BV361" s="105"/>
      <c r="BW361" s="105"/>
      <c r="BX361" s="105"/>
      <c r="BY361" s="105"/>
      <c r="BZ361" s="139"/>
      <c r="CA361" s="105"/>
      <c r="CB361" s="105"/>
      <c r="CC361" s="105"/>
      <c r="CD361" s="105"/>
      <c r="CE361" s="139"/>
      <c r="CF361" s="105"/>
      <c r="CG361" s="105"/>
      <c r="CH361" s="105"/>
      <c r="CI361" s="105"/>
      <c r="CJ361" s="139"/>
      <c r="CK361" s="105"/>
      <c r="CL361" s="105"/>
      <c r="CM361" s="105"/>
      <c r="CN361" s="105"/>
      <c r="CO361" s="139"/>
      <c r="CP361" s="105"/>
      <c r="CQ361" s="105"/>
      <c r="CR361" s="105"/>
      <c r="CS361" s="105"/>
      <c r="CT361" s="139"/>
      <c r="CU361" s="105"/>
      <c r="CV361" s="105"/>
      <c r="CW361" s="105"/>
      <c r="CX361" s="105"/>
      <c r="CY361" s="139"/>
      <c r="CZ361" s="105"/>
      <c r="DA361" s="105"/>
      <c r="DB361" s="105"/>
      <c r="DC361" s="105"/>
      <c r="DD361" s="139"/>
      <c r="DE361" s="105"/>
      <c r="DF361" s="105"/>
      <c r="DG361" s="105"/>
      <c r="DH361" s="105"/>
      <c r="DI361" s="139"/>
      <c r="DJ361" s="105"/>
      <c r="DK361" s="105"/>
      <c r="DL361" s="105"/>
      <c r="DM361" s="105"/>
      <c r="DN361" s="139"/>
      <c r="DO361" s="105"/>
      <c r="DP361" s="105"/>
      <c r="DQ361" s="105"/>
      <c r="DR361" s="105"/>
      <c r="DS361" s="139"/>
      <c r="DT361" s="105"/>
      <c r="DU361" s="105"/>
      <c r="DV361" s="105"/>
      <c r="DW361" s="105"/>
      <c r="DX361" s="139"/>
      <c r="DY361" s="105"/>
      <c r="DZ361" s="105"/>
      <c r="EA361" s="105"/>
      <c r="EB361" s="105"/>
      <c r="EC361" s="139"/>
      <c r="ED361" s="105"/>
      <c r="EE361" s="105"/>
      <c r="EF361" s="105"/>
      <c r="EG361" s="105"/>
      <c r="EH361" s="139"/>
      <c r="EI361" s="105"/>
      <c r="EJ361" s="105"/>
      <c r="EK361" s="105"/>
      <c r="EL361" s="105"/>
      <c r="EM361" s="139"/>
      <c r="EN361" s="105"/>
      <c r="EO361" s="105"/>
      <c r="EP361" s="105"/>
      <c r="EQ361" s="105"/>
      <c r="ER361" s="139"/>
      <c r="ES361" s="105"/>
      <c r="ET361" s="105"/>
      <c r="EU361" s="105"/>
      <c r="EV361" s="105"/>
      <c r="EW361" s="139"/>
      <c r="EX361" s="105"/>
      <c r="EY361" s="105"/>
      <c r="EZ361" s="105"/>
      <c r="FA361" s="105"/>
      <c r="FB361" s="139"/>
      <c r="FC361" s="105"/>
      <c r="FD361" s="105"/>
      <c r="FE361" s="105"/>
      <c r="FF361" s="105"/>
      <c r="FG361" s="139"/>
      <c r="FH361" s="105"/>
      <c r="FI361" s="105"/>
      <c r="FJ361" s="105"/>
      <c r="FK361" s="105"/>
      <c r="FL361" s="139"/>
      <c r="FM361" s="105"/>
      <c r="FN361" s="105"/>
      <c r="FO361" s="105"/>
      <c r="FP361" s="105"/>
      <c r="FQ361" s="139"/>
      <c r="FR361" s="105"/>
      <c r="FS361" s="105"/>
      <c r="FT361" s="105"/>
      <c r="FU361" s="105"/>
      <c r="FV361" s="139"/>
      <c r="FW361" s="105"/>
      <c r="FX361" s="105"/>
      <c r="FY361" s="105"/>
      <c r="FZ361" s="105"/>
      <c r="GA361" s="139"/>
      <c r="GB361" s="105"/>
      <c r="GC361" s="105"/>
      <c r="GD361" s="105"/>
      <c r="GE361" s="105"/>
      <c r="GF361" s="139"/>
      <c r="GG361" s="105"/>
      <c r="GH361" s="105"/>
      <c r="GI361" s="105"/>
      <c r="GJ361" s="105"/>
    </row>
    <row r="362" spans="3:192" ht="12.75" customHeight="1">
      <c r="C362" s="139"/>
      <c r="D362" s="105"/>
      <c r="E362" s="105"/>
      <c r="F362" s="105"/>
      <c r="G362" s="105"/>
      <c r="H362" s="139"/>
      <c r="I362" s="105"/>
      <c r="J362" s="105"/>
      <c r="K362" s="105"/>
      <c r="L362" s="105"/>
      <c r="M362" s="139"/>
      <c r="N362" s="105"/>
      <c r="O362" s="105"/>
      <c r="P362" s="105"/>
      <c r="Q362" s="105"/>
      <c r="R362" s="139"/>
      <c r="S362" s="105"/>
      <c r="T362" s="105"/>
      <c r="U362" s="105"/>
      <c r="V362" s="105"/>
      <c r="W362" s="139"/>
      <c r="X362" s="105"/>
      <c r="Y362" s="105"/>
      <c r="Z362" s="105"/>
      <c r="AA362" s="105"/>
      <c r="AB362" s="139"/>
      <c r="AC362" s="105"/>
      <c r="AD362" s="105"/>
      <c r="AE362" s="105"/>
      <c r="AF362" s="105"/>
      <c r="AG362" s="139"/>
      <c r="AH362" s="105"/>
      <c r="AI362" s="105"/>
      <c r="AJ362" s="105"/>
      <c r="AK362" s="105"/>
      <c r="AL362" s="139"/>
      <c r="AM362" s="105"/>
      <c r="AN362" s="105"/>
      <c r="AO362" s="105"/>
      <c r="AP362" s="105"/>
      <c r="AQ362" s="139"/>
      <c r="AR362" s="105"/>
      <c r="AS362" s="105"/>
      <c r="AT362" s="105"/>
      <c r="AU362" s="105"/>
      <c r="AV362" s="139"/>
      <c r="AW362" s="105"/>
      <c r="AX362" s="105"/>
      <c r="AY362" s="105"/>
      <c r="AZ362" s="105"/>
      <c r="BA362" s="139"/>
      <c r="BB362" s="105"/>
      <c r="BC362" s="105"/>
      <c r="BD362" s="105"/>
      <c r="BE362" s="105"/>
      <c r="BF362" s="139"/>
      <c r="BG362" s="105"/>
      <c r="BH362" s="105"/>
      <c r="BI362" s="105"/>
      <c r="BJ362" s="105"/>
      <c r="BK362" s="139"/>
      <c r="BL362" s="105"/>
      <c r="BM362" s="105"/>
      <c r="BN362" s="105"/>
      <c r="BO362" s="105"/>
      <c r="BP362" s="139"/>
      <c r="BQ362" s="105"/>
      <c r="BR362" s="105"/>
      <c r="BS362" s="105"/>
      <c r="BT362" s="105"/>
      <c r="BU362" s="139"/>
      <c r="BV362" s="105"/>
      <c r="BW362" s="105"/>
      <c r="BX362" s="105"/>
      <c r="BY362" s="105"/>
      <c r="BZ362" s="139"/>
      <c r="CA362" s="105"/>
      <c r="CB362" s="105"/>
      <c r="CC362" s="105"/>
      <c r="CD362" s="105"/>
      <c r="CE362" s="139"/>
      <c r="CF362" s="105"/>
      <c r="CG362" s="105"/>
      <c r="CH362" s="105"/>
      <c r="CI362" s="105"/>
      <c r="CJ362" s="139"/>
      <c r="CK362" s="105"/>
      <c r="CL362" s="105"/>
      <c r="CM362" s="105"/>
      <c r="CN362" s="105"/>
      <c r="CO362" s="139"/>
      <c r="CP362" s="105"/>
      <c r="CQ362" s="105"/>
      <c r="CR362" s="105"/>
      <c r="CS362" s="105"/>
      <c r="CT362" s="139"/>
      <c r="CU362" s="105"/>
      <c r="CV362" s="105"/>
      <c r="CW362" s="105"/>
      <c r="CX362" s="105"/>
      <c r="CY362" s="139"/>
      <c r="CZ362" s="105"/>
      <c r="DA362" s="105"/>
      <c r="DB362" s="105"/>
      <c r="DC362" s="105"/>
      <c r="DD362" s="139"/>
      <c r="DE362" s="105"/>
      <c r="DF362" s="105"/>
      <c r="DG362" s="105"/>
      <c r="DH362" s="105"/>
      <c r="DI362" s="139"/>
      <c r="DJ362" s="105"/>
      <c r="DK362" s="105"/>
      <c r="DL362" s="105"/>
      <c r="DM362" s="105"/>
      <c r="DN362" s="139"/>
      <c r="DO362" s="105"/>
      <c r="DP362" s="105"/>
      <c r="DQ362" s="105"/>
      <c r="DR362" s="105"/>
      <c r="DS362" s="139"/>
      <c r="DT362" s="105"/>
      <c r="DU362" s="105"/>
      <c r="DV362" s="105"/>
      <c r="DW362" s="105"/>
      <c r="DX362" s="139"/>
      <c r="DY362" s="105"/>
      <c r="DZ362" s="105"/>
      <c r="EA362" s="105"/>
      <c r="EB362" s="105"/>
      <c r="EC362" s="139"/>
      <c r="ED362" s="105"/>
      <c r="EE362" s="105"/>
      <c r="EF362" s="105"/>
      <c r="EG362" s="105"/>
      <c r="EH362" s="139"/>
      <c r="EI362" s="105"/>
      <c r="EJ362" s="105"/>
      <c r="EK362" s="105"/>
      <c r="EL362" s="105"/>
      <c r="EM362" s="139"/>
      <c r="EN362" s="105"/>
      <c r="EO362" s="105"/>
      <c r="EP362" s="105"/>
      <c r="EQ362" s="105"/>
      <c r="ER362" s="139"/>
      <c r="ES362" s="105"/>
      <c r="ET362" s="105"/>
      <c r="EU362" s="105"/>
      <c r="EV362" s="105"/>
      <c r="EW362" s="139"/>
      <c r="EX362" s="105"/>
      <c r="EY362" s="105"/>
      <c r="EZ362" s="105"/>
      <c r="FA362" s="105"/>
      <c r="FB362" s="139"/>
      <c r="FC362" s="105"/>
      <c r="FD362" s="105"/>
      <c r="FE362" s="105"/>
      <c r="FF362" s="105"/>
      <c r="FG362" s="139"/>
      <c r="FH362" s="105"/>
      <c r="FI362" s="105"/>
      <c r="FJ362" s="105"/>
      <c r="FK362" s="105"/>
      <c r="FL362" s="139"/>
      <c r="FM362" s="105"/>
      <c r="FN362" s="105"/>
      <c r="FO362" s="105"/>
      <c r="FP362" s="105"/>
      <c r="FQ362" s="139"/>
      <c r="FR362" s="105"/>
      <c r="FS362" s="105"/>
      <c r="FT362" s="105"/>
      <c r="FU362" s="105"/>
      <c r="FV362" s="139"/>
      <c r="FW362" s="105"/>
      <c r="FX362" s="105"/>
      <c r="FY362" s="105"/>
      <c r="FZ362" s="105"/>
      <c r="GA362" s="139"/>
      <c r="GB362" s="105"/>
      <c r="GC362" s="105"/>
      <c r="GD362" s="105"/>
      <c r="GE362" s="105"/>
      <c r="GF362" s="139"/>
      <c r="GG362" s="105"/>
      <c r="GH362" s="105"/>
      <c r="GI362" s="105"/>
      <c r="GJ362" s="105"/>
    </row>
    <row r="363" spans="3:192" ht="12.75" customHeight="1">
      <c r="C363" s="200"/>
      <c r="D363" s="201"/>
      <c r="E363" s="201"/>
      <c r="F363" s="201"/>
      <c r="G363" s="201"/>
      <c r="H363" s="200"/>
      <c r="I363" s="201"/>
      <c r="J363" s="201"/>
      <c r="K363" s="201"/>
      <c r="L363" s="201"/>
      <c r="M363" s="200"/>
      <c r="N363" s="201"/>
      <c r="O363" s="201"/>
      <c r="P363" s="201"/>
      <c r="Q363" s="201"/>
      <c r="R363" s="200"/>
      <c r="S363" s="201"/>
      <c r="T363" s="201"/>
      <c r="U363" s="201"/>
      <c r="V363" s="201"/>
      <c r="W363" s="200"/>
      <c r="X363" s="201"/>
      <c r="Y363" s="201"/>
      <c r="Z363" s="201"/>
      <c r="AA363" s="201"/>
      <c r="AB363" s="200"/>
      <c r="AC363" s="201"/>
      <c r="AD363" s="201"/>
      <c r="AE363" s="201"/>
      <c r="AF363" s="201"/>
      <c r="AG363" s="200"/>
      <c r="AH363" s="201"/>
      <c r="AI363" s="201"/>
      <c r="AJ363" s="201"/>
      <c r="AK363" s="201"/>
      <c r="AL363" s="200"/>
      <c r="AM363" s="201"/>
      <c r="AN363" s="201"/>
      <c r="AO363" s="201"/>
      <c r="AP363" s="201"/>
      <c r="AQ363" s="200"/>
      <c r="AR363" s="201"/>
      <c r="AS363" s="201"/>
      <c r="AT363" s="201"/>
      <c r="AU363" s="201"/>
      <c r="AV363" s="200"/>
      <c r="AW363" s="201"/>
      <c r="AX363" s="201"/>
      <c r="AY363" s="201"/>
      <c r="AZ363" s="201"/>
      <c r="BA363" s="200"/>
      <c r="BB363" s="201"/>
      <c r="BC363" s="201"/>
      <c r="BD363" s="201"/>
      <c r="BE363" s="201"/>
      <c r="BF363" s="200"/>
      <c r="BG363" s="201"/>
      <c r="BH363" s="201"/>
      <c r="BI363" s="201"/>
      <c r="BJ363" s="201"/>
      <c r="BK363" s="200"/>
      <c r="BL363" s="201"/>
      <c r="BM363" s="201"/>
      <c r="BN363" s="201"/>
      <c r="BO363" s="201"/>
      <c r="BP363" s="200"/>
      <c r="BQ363" s="201"/>
      <c r="BR363" s="201"/>
      <c r="BS363" s="201"/>
      <c r="BT363" s="201"/>
      <c r="BU363" s="200"/>
      <c r="BV363" s="201"/>
      <c r="BW363" s="201"/>
      <c r="BX363" s="201"/>
      <c r="BY363" s="201"/>
      <c r="BZ363" s="200"/>
      <c r="CA363" s="201"/>
      <c r="CB363" s="201"/>
      <c r="CC363" s="201"/>
      <c r="CD363" s="201"/>
      <c r="CE363" s="200"/>
      <c r="CF363" s="201"/>
      <c r="CG363" s="201"/>
      <c r="CH363" s="201"/>
      <c r="CI363" s="201"/>
      <c r="CJ363" s="200"/>
      <c r="CK363" s="201"/>
      <c r="CL363" s="201"/>
      <c r="CM363" s="201"/>
      <c r="CN363" s="201"/>
      <c r="CO363" s="200"/>
      <c r="CP363" s="201"/>
      <c r="CQ363" s="201"/>
      <c r="CR363" s="201"/>
      <c r="CS363" s="201"/>
      <c r="CT363" s="200"/>
      <c r="CU363" s="201"/>
      <c r="CV363" s="201"/>
      <c r="CW363" s="201"/>
      <c r="CX363" s="201"/>
      <c r="CY363" s="200"/>
      <c r="CZ363" s="201"/>
      <c r="DA363" s="201"/>
      <c r="DB363" s="201"/>
      <c r="DC363" s="201"/>
      <c r="DD363" s="200"/>
      <c r="DE363" s="201"/>
      <c r="DF363" s="201"/>
      <c r="DG363" s="201"/>
      <c r="DH363" s="201"/>
      <c r="DI363" s="200"/>
      <c r="DJ363" s="201"/>
      <c r="DK363" s="201"/>
      <c r="DL363" s="201"/>
      <c r="DM363" s="201"/>
      <c r="DN363" s="200"/>
      <c r="DO363" s="201"/>
      <c r="DP363" s="201"/>
      <c r="DQ363" s="201"/>
      <c r="DR363" s="201"/>
      <c r="DS363" s="200"/>
      <c r="DT363" s="201"/>
      <c r="DU363" s="201"/>
      <c r="DV363" s="201"/>
      <c r="DW363" s="201"/>
      <c r="DX363" s="200"/>
      <c r="DY363" s="201"/>
      <c r="DZ363" s="201"/>
      <c r="EA363" s="201"/>
      <c r="EB363" s="201"/>
      <c r="EC363" s="200"/>
      <c r="ED363" s="201"/>
      <c r="EE363" s="201"/>
      <c r="EF363" s="201"/>
      <c r="EG363" s="201"/>
      <c r="EH363" s="200"/>
      <c r="EI363" s="201"/>
      <c r="EJ363" s="201"/>
      <c r="EK363" s="201"/>
      <c r="EL363" s="201"/>
      <c r="EM363" s="200"/>
      <c r="EN363" s="201"/>
      <c r="EO363" s="201"/>
      <c r="EP363" s="201"/>
      <c r="EQ363" s="201"/>
      <c r="ER363" s="200"/>
      <c r="ES363" s="201"/>
      <c r="ET363" s="201"/>
      <c r="EU363" s="201"/>
      <c r="EV363" s="201"/>
      <c r="EW363" s="200"/>
      <c r="EX363" s="201"/>
      <c r="EY363" s="201"/>
      <c r="EZ363" s="201"/>
      <c r="FA363" s="201"/>
      <c r="FB363" s="200"/>
      <c r="FC363" s="201"/>
      <c r="FD363" s="201"/>
      <c r="FE363" s="201"/>
      <c r="FF363" s="201"/>
      <c r="FG363" s="200"/>
      <c r="FH363" s="201"/>
      <c r="FI363" s="201"/>
      <c r="FJ363" s="201"/>
      <c r="FK363" s="201"/>
      <c r="FL363" s="200"/>
      <c r="FM363" s="201"/>
      <c r="FN363" s="201"/>
      <c r="FO363" s="201"/>
      <c r="FP363" s="201"/>
      <c r="FQ363" s="200"/>
      <c r="FR363" s="201"/>
      <c r="FS363" s="201"/>
      <c r="FT363" s="201"/>
      <c r="FU363" s="201"/>
      <c r="FV363" s="200"/>
      <c r="FW363" s="201"/>
      <c r="FX363" s="201"/>
      <c r="FY363" s="201"/>
      <c r="FZ363" s="201"/>
      <c r="GA363" s="200"/>
      <c r="GB363" s="201"/>
      <c r="GC363" s="201"/>
      <c r="GD363" s="201"/>
      <c r="GE363" s="201"/>
      <c r="GF363" s="200"/>
      <c r="GG363" s="201"/>
      <c r="GH363" s="201"/>
      <c r="GI363" s="201"/>
      <c r="GJ363" s="201"/>
    </row>
    <row r="364" spans="3:192" ht="12.75" customHeight="1">
      <c r="C364" s="202"/>
      <c r="H364" s="202"/>
      <c r="M364" s="202"/>
      <c r="R364" s="202"/>
      <c r="W364" s="202"/>
      <c r="AB364" s="202"/>
      <c r="AG364" s="202"/>
      <c r="AL364" s="202"/>
      <c r="AQ364" s="202"/>
      <c r="AV364" s="202"/>
      <c r="BA364" s="202"/>
      <c r="BF364" s="202"/>
      <c r="BK364" s="202"/>
      <c r="BP364" s="202"/>
      <c r="BU364" s="202"/>
      <c r="BZ364" s="202"/>
      <c r="CE364" s="202"/>
      <c r="CJ364" s="202"/>
      <c r="CO364" s="202"/>
      <c r="CT364" s="202"/>
      <c r="CY364" s="202"/>
      <c r="DD364" s="202"/>
      <c r="DI364" s="202"/>
      <c r="DN364" s="202"/>
      <c r="DS364" s="202"/>
      <c r="DX364" s="202"/>
      <c r="EC364" s="202"/>
      <c r="EH364" s="202"/>
      <c r="EM364" s="202"/>
      <c r="ER364" s="202"/>
      <c r="EW364" s="202"/>
      <c r="FB364" s="202"/>
      <c r="FG364" s="202"/>
      <c r="FL364" s="202"/>
      <c r="FQ364" s="202"/>
      <c r="FV364" s="202"/>
      <c r="GA364" s="202"/>
      <c r="GF364" s="202"/>
    </row>
    <row r="365" spans="3:192" ht="12.75" customHeight="1">
      <c r="C365" s="202"/>
      <c r="H365" s="202"/>
      <c r="M365" s="202"/>
      <c r="R365" s="202"/>
      <c r="W365" s="202"/>
      <c r="AB365" s="202"/>
      <c r="AG365" s="202"/>
      <c r="AL365" s="202"/>
      <c r="AQ365" s="202"/>
      <c r="AV365" s="202"/>
      <c r="BA365" s="202"/>
      <c r="BF365" s="202"/>
      <c r="BK365" s="202"/>
      <c r="BP365" s="202"/>
      <c r="BU365" s="202"/>
      <c r="BZ365" s="202"/>
      <c r="CE365" s="202"/>
      <c r="CJ365" s="202"/>
      <c r="CO365" s="202"/>
      <c r="CT365" s="202"/>
      <c r="CY365" s="202"/>
      <c r="DD365" s="202"/>
      <c r="DI365" s="202"/>
      <c r="DN365" s="202"/>
      <c r="DS365" s="202"/>
      <c r="DX365" s="202"/>
      <c r="EC365" s="202"/>
      <c r="EH365" s="202"/>
      <c r="EM365" s="202"/>
      <c r="ER365" s="202"/>
      <c r="EW365" s="202"/>
      <c r="FB365" s="202"/>
      <c r="FG365" s="202"/>
      <c r="FL365" s="202"/>
      <c r="FQ365" s="202"/>
      <c r="FV365" s="202"/>
      <c r="GA365" s="202"/>
      <c r="GF365" s="202"/>
    </row>
    <row r="366" spans="3:192" ht="12.75" customHeight="1">
      <c r="C366" s="203"/>
      <c r="D366" s="105"/>
      <c r="E366" s="105"/>
      <c r="F366" s="105"/>
      <c r="G366" s="105"/>
      <c r="H366" s="203"/>
      <c r="I366" s="105"/>
      <c r="J366" s="105"/>
      <c r="K366" s="105"/>
      <c r="L366" s="105"/>
      <c r="M366" s="203"/>
      <c r="N366" s="105"/>
      <c r="O366" s="105"/>
      <c r="P366" s="105"/>
      <c r="Q366" s="105"/>
      <c r="R366" s="203"/>
      <c r="S366" s="105"/>
      <c r="T366" s="105"/>
      <c r="U366" s="105"/>
      <c r="V366" s="105"/>
      <c r="W366" s="203"/>
      <c r="X366" s="105"/>
      <c r="Y366" s="105"/>
      <c r="Z366" s="105"/>
      <c r="AA366" s="105"/>
      <c r="AB366" s="203"/>
      <c r="AC366" s="105"/>
      <c r="AD366" s="105"/>
      <c r="AE366" s="105"/>
      <c r="AF366" s="105"/>
      <c r="AG366" s="203"/>
      <c r="AH366" s="105"/>
      <c r="AI366" s="105"/>
      <c r="AJ366" s="105"/>
      <c r="AK366" s="105"/>
      <c r="AL366" s="203"/>
      <c r="AM366" s="105"/>
      <c r="AN366" s="105"/>
      <c r="AO366" s="105"/>
      <c r="AP366" s="105"/>
      <c r="AQ366" s="203"/>
      <c r="AR366" s="105"/>
      <c r="AS366" s="105"/>
      <c r="AT366" s="105"/>
      <c r="AU366" s="105"/>
      <c r="AV366" s="203"/>
      <c r="AW366" s="105"/>
      <c r="AX366" s="105"/>
      <c r="AY366" s="105"/>
      <c r="AZ366" s="105"/>
      <c r="BA366" s="203"/>
      <c r="BB366" s="105"/>
      <c r="BC366" s="105"/>
      <c r="BD366" s="105"/>
      <c r="BE366" s="105"/>
      <c r="BF366" s="203"/>
      <c r="BG366" s="105"/>
      <c r="BH366" s="105"/>
      <c r="BI366" s="105"/>
      <c r="BJ366" s="105"/>
      <c r="BK366" s="203"/>
      <c r="BL366" s="105"/>
      <c r="BM366" s="105"/>
      <c r="BN366" s="105"/>
      <c r="BO366" s="105"/>
      <c r="BP366" s="203"/>
      <c r="BQ366" s="105"/>
      <c r="BR366" s="105"/>
      <c r="BS366" s="105"/>
      <c r="BT366" s="105"/>
      <c r="BU366" s="203"/>
      <c r="BV366" s="105"/>
      <c r="BW366" s="105"/>
      <c r="BX366" s="105"/>
      <c r="BY366" s="105"/>
      <c r="BZ366" s="203"/>
      <c r="CA366" s="105"/>
      <c r="CB366" s="105"/>
      <c r="CC366" s="105"/>
      <c r="CD366" s="105"/>
      <c r="CE366" s="203"/>
      <c r="CF366" s="105"/>
      <c r="CG366" s="105"/>
      <c r="CH366" s="105"/>
      <c r="CI366" s="105"/>
      <c r="CJ366" s="203"/>
      <c r="CK366" s="105"/>
      <c r="CL366" s="105"/>
      <c r="CM366" s="105"/>
      <c r="CN366" s="105"/>
      <c r="CO366" s="203"/>
      <c r="CP366" s="105"/>
      <c r="CQ366" s="105"/>
      <c r="CR366" s="105"/>
      <c r="CS366" s="105"/>
      <c r="CT366" s="203"/>
      <c r="CU366" s="105"/>
      <c r="CV366" s="105"/>
      <c r="CW366" s="105"/>
      <c r="CX366" s="105"/>
      <c r="CY366" s="203"/>
      <c r="CZ366" s="105"/>
      <c r="DA366" s="105"/>
      <c r="DB366" s="105"/>
      <c r="DC366" s="105"/>
      <c r="DD366" s="203"/>
      <c r="DE366" s="105"/>
      <c r="DF366" s="105"/>
      <c r="DG366" s="105"/>
      <c r="DH366" s="105"/>
      <c r="DI366" s="203"/>
      <c r="DJ366" s="105"/>
      <c r="DK366" s="105"/>
      <c r="DL366" s="105"/>
      <c r="DM366" s="105"/>
      <c r="DN366" s="203"/>
      <c r="DO366" s="105"/>
      <c r="DP366" s="105"/>
      <c r="DQ366" s="105"/>
      <c r="DR366" s="105"/>
      <c r="DS366" s="203"/>
      <c r="DT366" s="105"/>
      <c r="DU366" s="105"/>
      <c r="DV366" s="105"/>
      <c r="DW366" s="105"/>
      <c r="DX366" s="203"/>
      <c r="DY366" s="105"/>
      <c r="DZ366" s="105"/>
      <c r="EA366" s="105"/>
      <c r="EB366" s="105"/>
      <c r="EC366" s="203"/>
      <c r="ED366" s="105"/>
      <c r="EE366" s="105"/>
      <c r="EF366" s="105"/>
      <c r="EG366" s="105"/>
      <c r="EH366" s="203"/>
      <c r="EI366" s="105"/>
      <c r="EJ366" s="105"/>
      <c r="EK366" s="105"/>
      <c r="EL366" s="105"/>
      <c r="EM366" s="203"/>
      <c r="EN366" s="105"/>
      <c r="EO366" s="105"/>
      <c r="EP366" s="105"/>
      <c r="EQ366" s="105"/>
      <c r="ER366" s="203"/>
      <c r="ES366" s="105"/>
      <c r="ET366" s="105"/>
      <c r="EU366" s="105"/>
      <c r="EV366" s="105"/>
      <c r="EW366" s="203"/>
      <c r="EX366" s="105"/>
      <c r="EY366" s="105"/>
      <c r="EZ366" s="105"/>
      <c r="FA366" s="105"/>
      <c r="FB366" s="203"/>
      <c r="FC366" s="105"/>
      <c r="FD366" s="105"/>
      <c r="FE366" s="105"/>
      <c r="FF366" s="105"/>
      <c r="FG366" s="203"/>
      <c r="FH366" s="105"/>
      <c r="FI366" s="105"/>
      <c r="FJ366" s="105"/>
      <c r="FK366" s="105"/>
      <c r="FL366" s="203"/>
      <c r="FM366" s="105"/>
      <c r="FN366" s="105"/>
      <c r="FO366" s="105"/>
      <c r="FP366" s="105"/>
      <c r="FQ366" s="203"/>
      <c r="FR366" s="105"/>
      <c r="FS366" s="105"/>
      <c r="FT366" s="105"/>
      <c r="FU366" s="105"/>
      <c r="FV366" s="203"/>
      <c r="FW366" s="105"/>
      <c r="FX366" s="105"/>
      <c r="FY366" s="105"/>
      <c r="FZ366" s="105"/>
      <c r="GA366" s="203"/>
      <c r="GB366" s="105"/>
      <c r="GC366" s="105"/>
      <c r="GD366" s="105"/>
      <c r="GE366" s="105"/>
      <c r="GF366" s="203"/>
      <c r="GG366" s="105"/>
      <c r="GH366" s="105"/>
      <c r="GI366" s="105"/>
      <c r="GJ366" s="105"/>
    </row>
    <row r="368" spans="3:192" ht="12.75" customHeight="1">
      <c r="C368" s="204"/>
      <c r="D368" s="201"/>
      <c r="E368" s="201"/>
      <c r="F368" s="201"/>
      <c r="G368" s="201"/>
      <c r="H368" s="204"/>
      <c r="I368" s="201"/>
      <c r="J368" s="201"/>
      <c r="K368" s="201"/>
      <c r="L368" s="201"/>
      <c r="M368" s="204"/>
      <c r="N368" s="201"/>
      <c r="O368" s="201"/>
      <c r="P368" s="201"/>
      <c r="Q368" s="201"/>
      <c r="R368" s="204"/>
      <c r="S368" s="201"/>
      <c r="T368" s="201"/>
      <c r="U368" s="201"/>
      <c r="V368" s="201"/>
      <c r="W368" s="204"/>
      <c r="X368" s="201"/>
      <c r="Y368" s="201"/>
      <c r="Z368" s="201"/>
      <c r="AA368" s="201"/>
      <c r="AB368" s="204"/>
      <c r="AC368" s="201"/>
      <c r="AD368" s="201"/>
      <c r="AE368" s="201"/>
      <c r="AF368" s="201"/>
      <c r="AG368" s="204"/>
      <c r="AH368" s="201"/>
      <c r="AI368" s="201"/>
      <c r="AJ368" s="201"/>
      <c r="AK368" s="201"/>
      <c r="AL368" s="204"/>
      <c r="AM368" s="201"/>
      <c r="AN368" s="201"/>
      <c r="AO368" s="201"/>
      <c r="AP368" s="201"/>
      <c r="AQ368" s="204"/>
      <c r="AR368" s="201"/>
      <c r="AS368" s="201"/>
      <c r="AT368" s="201"/>
      <c r="AU368" s="201"/>
      <c r="AV368" s="204"/>
      <c r="AW368" s="201"/>
      <c r="AX368" s="201"/>
      <c r="AY368" s="201"/>
      <c r="AZ368" s="201"/>
      <c r="BA368" s="204"/>
      <c r="BB368" s="201"/>
      <c r="BC368" s="201"/>
      <c r="BD368" s="201"/>
      <c r="BE368" s="201"/>
      <c r="BF368" s="204"/>
      <c r="BG368" s="201"/>
      <c r="BH368" s="201"/>
      <c r="BI368" s="201"/>
      <c r="BJ368" s="201"/>
      <c r="BK368" s="204"/>
      <c r="BL368" s="201"/>
      <c r="BM368" s="201"/>
      <c r="BN368" s="201"/>
      <c r="BO368" s="201"/>
      <c r="BP368" s="204"/>
      <c r="BQ368" s="201"/>
      <c r="BR368" s="201"/>
      <c r="BS368" s="201"/>
      <c r="BT368" s="201"/>
      <c r="BU368" s="204"/>
      <c r="BV368" s="201"/>
      <c r="BW368" s="201"/>
      <c r="BX368" s="201"/>
      <c r="BY368" s="201"/>
      <c r="BZ368" s="204"/>
      <c r="CA368" s="201"/>
      <c r="CB368" s="201"/>
      <c r="CC368" s="201"/>
      <c r="CD368" s="201"/>
      <c r="CE368" s="204"/>
      <c r="CF368" s="201"/>
      <c r="CG368" s="201"/>
      <c r="CH368" s="201"/>
      <c r="CI368" s="201"/>
      <c r="CJ368" s="204"/>
      <c r="CK368" s="201"/>
      <c r="CL368" s="201"/>
      <c r="CM368" s="201"/>
      <c r="CN368" s="201"/>
      <c r="CO368" s="204"/>
      <c r="CP368" s="201"/>
      <c r="CQ368" s="201"/>
      <c r="CR368" s="201"/>
      <c r="CS368" s="201"/>
      <c r="CT368" s="204"/>
      <c r="CU368" s="201"/>
      <c r="CV368" s="201"/>
      <c r="CW368" s="201"/>
      <c r="CX368" s="201"/>
      <c r="CY368" s="204"/>
      <c r="CZ368" s="201"/>
      <c r="DA368" s="201"/>
      <c r="DB368" s="201"/>
      <c r="DC368" s="201"/>
      <c r="DD368" s="204"/>
      <c r="DE368" s="201"/>
      <c r="DF368" s="201"/>
      <c r="DG368" s="201"/>
      <c r="DH368" s="201"/>
      <c r="DI368" s="204"/>
      <c r="DJ368" s="201"/>
      <c r="DK368" s="201"/>
      <c r="DL368" s="201"/>
      <c r="DM368" s="201"/>
      <c r="DN368" s="204"/>
      <c r="DO368" s="201"/>
      <c r="DP368" s="201"/>
      <c r="DQ368" s="201"/>
      <c r="DR368" s="201"/>
      <c r="DS368" s="204"/>
      <c r="DT368" s="201"/>
      <c r="DU368" s="201"/>
      <c r="DV368" s="201"/>
      <c r="DW368" s="201"/>
      <c r="DX368" s="204"/>
      <c r="DY368" s="201"/>
      <c r="DZ368" s="201"/>
      <c r="EA368" s="201"/>
      <c r="EB368" s="201"/>
      <c r="EC368" s="204"/>
      <c r="ED368" s="201"/>
      <c r="EE368" s="201"/>
      <c r="EF368" s="201"/>
      <c r="EG368" s="201"/>
      <c r="EH368" s="204"/>
      <c r="EI368" s="201"/>
      <c r="EJ368" s="201"/>
      <c r="EK368" s="201"/>
      <c r="EL368" s="201"/>
      <c r="EM368" s="204"/>
      <c r="EN368" s="201"/>
      <c r="EO368" s="201"/>
      <c r="EP368" s="201"/>
      <c r="EQ368" s="201"/>
      <c r="ER368" s="204"/>
      <c r="ES368" s="201"/>
      <c r="ET368" s="201"/>
      <c r="EU368" s="201"/>
      <c r="EV368" s="201"/>
      <c r="EW368" s="204"/>
      <c r="EX368" s="201"/>
      <c r="EY368" s="201"/>
      <c r="EZ368" s="201"/>
      <c r="FA368" s="201"/>
      <c r="FB368" s="204"/>
      <c r="FC368" s="201"/>
      <c r="FD368" s="201"/>
      <c r="FE368" s="201"/>
      <c r="FF368" s="201"/>
      <c r="FG368" s="204"/>
      <c r="FH368" s="201"/>
      <c r="FI368" s="201"/>
      <c r="FJ368" s="201"/>
      <c r="FK368" s="201"/>
      <c r="FL368" s="204"/>
      <c r="FM368" s="201"/>
      <c r="FN368" s="201"/>
      <c r="FO368" s="201"/>
      <c r="FP368" s="201"/>
      <c r="FQ368" s="204"/>
      <c r="FR368" s="201"/>
      <c r="FS368" s="201"/>
      <c r="FT368" s="201"/>
      <c r="FU368" s="201"/>
      <c r="FV368" s="204"/>
      <c r="FW368" s="201"/>
      <c r="FX368" s="201"/>
      <c r="FY368" s="201"/>
      <c r="FZ368" s="201"/>
      <c r="GA368" s="204"/>
      <c r="GB368" s="201"/>
      <c r="GC368" s="201"/>
      <c r="GD368" s="201"/>
      <c r="GE368" s="201"/>
      <c r="GF368" s="204"/>
      <c r="GG368" s="201"/>
      <c r="GH368" s="201"/>
      <c r="GI368" s="201"/>
      <c r="GJ368" s="201"/>
    </row>
    <row r="373" spans="3:192" ht="12.75" customHeight="1">
      <c r="C373" s="204"/>
      <c r="D373" s="201"/>
      <c r="E373" s="201"/>
      <c r="F373" s="201"/>
      <c r="G373" s="201"/>
      <c r="H373" s="204"/>
      <c r="I373" s="201"/>
      <c r="J373" s="201"/>
      <c r="K373" s="201"/>
      <c r="L373" s="201"/>
      <c r="M373" s="204"/>
      <c r="N373" s="201"/>
      <c r="O373" s="201"/>
      <c r="P373" s="201"/>
      <c r="Q373" s="201"/>
      <c r="R373" s="204"/>
      <c r="S373" s="201"/>
      <c r="T373" s="201"/>
      <c r="U373" s="201"/>
      <c r="V373" s="201"/>
      <c r="W373" s="204"/>
      <c r="X373" s="201"/>
      <c r="Y373" s="201"/>
      <c r="Z373" s="201"/>
      <c r="AA373" s="201"/>
      <c r="AB373" s="204"/>
      <c r="AC373" s="201"/>
      <c r="AD373" s="201"/>
      <c r="AE373" s="201"/>
      <c r="AF373" s="201"/>
      <c r="AG373" s="204"/>
      <c r="AH373" s="201"/>
      <c r="AI373" s="201"/>
      <c r="AJ373" s="201"/>
      <c r="AK373" s="201"/>
      <c r="AL373" s="204"/>
      <c r="AM373" s="201"/>
      <c r="AN373" s="201"/>
      <c r="AO373" s="201"/>
      <c r="AP373" s="201"/>
      <c r="AQ373" s="204"/>
      <c r="AR373" s="201"/>
      <c r="AS373" s="201"/>
      <c r="AT373" s="201"/>
      <c r="AU373" s="201"/>
      <c r="AV373" s="204"/>
      <c r="AW373" s="201"/>
      <c r="AX373" s="201"/>
      <c r="AY373" s="201"/>
      <c r="AZ373" s="201"/>
      <c r="BA373" s="204"/>
      <c r="BB373" s="201"/>
      <c r="BC373" s="201"/>
      <c r="BD373" s="201"/>
      <c r="BE373" s="201"/>
      <c r="BF373" s="204"/>
      <c r="BG373" s="201"/>
      <c r="BH373" s="201"/>
      <c r="BI373" s="201"/>
      <c r="BJ373" s="201"/>
      <c r="BK373" s="204"/>
      <c r="BL373" s="201"/>
      <c r="BM373" s="201"/>
      <c r="BN373" s="201"/>
      <c r="BO373" s="201"/>
      <c r="BP373" s="204"/>
      <c r="BQ373" s="201"/>
      <c r="BR373" s="201"/>
      <c r="BS373" s="201"/>
      <c r="BT373" s="201"/>
      <c r="BU373" s="204"/>
      <c r="BV373" s="201"/>
      <c r="BW373" s="201"/>
      <c r="BX373" s="201"/>
      <c r="BY373" s="201"/>
      <c r="BZ373" s="204"/>
      <c r="CA373" s="201"/>
      <c r="CB373" s="201"/>
      <c r="CC373" s="201"/>
      <c r="CD373" s="201"/>
      <c r="CE373" s="204"/>
      <c r="CF373" s="201"/>
      <c r="CG373" s="201"/>
      <c r="CH373" s="201"/>
      <c r="CI373" s="201"/>
      <c r="CJ373" s="204"/>
      <c r="CK373" s="201"/>
      <c r="CL373" s="201"/>
      <c r="CM373" s="201"/>
      <c r="CN373" s="201"/>
      <c r="CO373" s="204"/>
      <c r="CP373" s="201"/>
      <c r="CQ373" s="201"/>
      <c r="CR373" s="201"/>
      <c r="CS373" s="201"/>
      <c r="CT373" s="204"/>
      <c r="CU373" s="201"/>
      <c r="CV373" s="201"/>
      <c r="CW373" s="201"/>
      <c r="CX373" s="201"/>
      <c r="CY373" s="204"/>
      <c r="CZ373" s="201"/>
      <c r="DA373" s="201"/>
      <c r="DB373" s="201"/>
      <c r="DC373" s="201"/>
      <c r="DD373" s="204"/>
      <c r="DE373" s="201"/>
      <c r="DF373" s="201"/>
      <c r="DG373" s="201"/>
      <c r="DH373" s="201"/>
      <c r="DI373" s="204"/>
      <c r="DJ373" s="201"/>
      <c r="DK373" s="201"/>
      <c r="DL373" s="201"/>
      <c r="DM373" s="201"/>
      <c r="DN373" s="204"/>
      <c r="DO373" s="201"/>
      <c r="DP373" s="201"/>
      <c r="DQ373" s="201"/>
      <c r="DR373" s="201"/>
      <c r="DS373" s="204"/>
      <c r="DT373" s="201"/>
      <c r="DU373" s="201"/>
      <c r="DV373" s="201"/>
      <c r="DW373" s="201"/>
      <c r="DX373" s="204"/>
      <c r="DY373" s="201"/>
      <c r="DZ373" s="201"/>
      <c r="EA373" s="201"/>
      <c r="EB373" s="201"/>
      <c r="EC373" s="204"/>
      <c r="ED373" s="201"/>
      <c r="EE373" s="201"/>
      <c r="EF373" s="201"/>
      <c r="EG373" s="201"/>
      <c r="EH373" s="204"/>
      <c r="EI373" s="201"/>
      <c r="EJ373" s="201"/>
      <c r="EK373" s="201"/>
      <c r="EL373" s="201"/>
      <c r="EM373" s="204"/>
      <c r="EN373" s="201"/>
      <c r="EO373" s="201"/>
      <c r="EP373" s="201"/>
      <c r="EQ373" s="201"/>
      <c r="ER373" s="204"/>
      <c r="ES373" s="201"/>
      <c r="ET373" s="201"/>
      <c r="EU373" s="201"/>
      <c r="EV373" s="201"/>
      <c r="EW373" s="204"/>
      <c r="EX373" s="201"/>
      <c r="EY373" s="201"/>
      <c r="EZ373" s="201"/>
      <c r="FA373" s="201"/>
      <c r="FB373" s="204"/>
      <c r="FC373" s="201"/>
      <c r="FD373" s="201"/>
      <c r="FE373" s="201"/>
      <c r="FF373" s="201"/>
      <c r="FG373" s="204"/>
      <c r="FH373" s="201"/>
      <c r="FI373" s="201"/>
      <c r="FJ373" s="201"/>
      <c r="FK373" s="201"/>
      <c r="FL373" s="204"/>
      <c r="FM373" s="201"/>
      <c r="FN373" s="201"/>
      <c r="FO373" s="201"/>
      <c r="FP373" s="201"/>
      <c r="FQ373" s="204"/>
      <c r="FR373" s="201"/>
      <c r="FS373" s="201"/>
      <c r="FT373" s="201"/>
      <c r="FU373" s="201"/>
      <c r="FV373" s="204"/>
      <c r="FW373" s="201"/>
      <c r="FX373" s="201"/>
      <c r="FY373" s="201"/>
      <c r="FZ373" s="201"/>
      <c r="GA373" s="204"/>
      <c r="GB373" s="201"/>
      <c r="GC373" s="201"/>
      <c r="GD373" s="201"/>
      <c r="GE373" s="201"/>
      <c r="GF373" s="204"/>
      <c r="GG373" s="201"/>
      <c r="GH373" s="201"/>
      <c r="GI373" s="201"/>
      <c r="GJ373" s="201"/>
    </row>
    <row r="374" spans="3:192" ht="12.75" customHeight="1">
      <c r="C374" s="139"/>
      <c r="D374" s="105"/>
      <c r="E374" s="105"/>
      <c r="F374" s="105"/>
      <c r="G374" s="105"/>
      <c r="H374" s="139"/>
      <c r="I374" s="105"/>
      <c r="J374" s="105"/>
      <c r="K374" s="105"/>
      <c r="L374" s="105"/>
      <c r="M374" s="139"/>
      <c r="N374" s="105"/>
      <c r="O374" s="105"/>
      <c r="P374" s="105"/>
      <c r="Q374" s="105"/>
      <c r="R374" s="139"/>
      <c r="S374" s="105"/>
      <c r="T374" s="105"/>
      <c r="U374" s="105"/>
      <c r="V374" s="105"/>
      <c r="W374" s="139"/>
      <c r="X374" s="105"/>
      <c r="Y374" s="105"/>
      <c r="Z374" s="105"/>
      <c r="AA374" s="105"/>
      <c r="AB374" s="139"/>
      <c r="AC374" s="105"/>
      <c r="AD374" s="105"/>
      <c r="AE374" s="105"/>
      <c r="AF374" s="105"/>
      <c r="AG374" s="139"/>
      <c r="AH374" s="105"/>
      <c r="AI374" s="105"/>
      <c r="AJ374" s="105"/>
      <c r="AK374" s="105"/>
      <c r="AL374" s="139"/>
      <c r="AM374" s="105"/>
      <c r="AN374" s="105"/>
      <c r="AO374" s="105"/>
      <c r="AP374" s="105"/>
      <c r="AQ374" s="139"/>
      <c r="AR374" s="105"/>
      <c r="AS374" s="105"/>
      <c r="AT374" s="105"/>
      <c r="AU374" s="105"/>
      <c r="AV374" s="139"/>
      <c r="AW374" s="105"/>
      <c r="AX374" s="105"/>
      <c r="AY374" s="105"/>
      <c r="AZ374" s="105"/>
      <c r="BA374" s="139"/>
      <c r="BB374" s="105"/>
      <c r="BC374" s="105"/>
      <c r="BD374" s="105"/>
      <c r="BE374" s="105"/>
      <c r="BF374" s="139"/>
      <c r="BG374" s="105"/>
      <c r="BH374" s="105"/>
      <c r="BI374" s="105"/>
      <c r="BJ374" s="105"/>
      <c r="BK374" s="139"/>
      <c r="BL374" s="105"/>
      <c r="BM374" s="105"/>
      <c r="BN374" s="105"/>
      <c r="BO374" s="105"/>
      <c r="BP374" s="139"/>
      <c r="BQ374" s="105"/>
      <c r="BR374" s="105"/>
      <c r="BS374" s="105"/>
      <c r="BT374" s="105"/>
      <c r="BU374" s="139"/>
      <c r="BV374" s="105"/>
      <c r="BW374" s="105"/>
      <c r="BX374" s="105"/>
      <c r="BY374" s="105"/>
      <c r="BZ374" s="139"/>
      <c r="CA374" s="105"/>
      <c r="CB374" s="105"/>
      <c r="CC374" s="105"/>
      <c r="CD374" s="105"/>
      <c r="CE374" s="139"/>
      <c r="CF374" s="105"/>
      <c r="CG374" s="105"/>
      <c r="CH374" s="105"/>
      <c r="CI374" s="105"/>
      <c r="CJ374" s="139"/>
      <c r="CK374" s="105"/>
      <c r="CL374" s="105"/>
      <c r="CM374" s="105"/>
      <c r="CN374" s="105"/>
      <c r="CO374" s="139"/>
      <c r="CP374" s="105"/>
      <c r="CQ374" s="105"/>
      <c r="CR374" s="105"/>
      <c r="CS374" s="105"/>
      <c r="CT374" s="139"/>
      <c r="CU374" s="105"/>
      <c r="CV374" s="105"/>
      <c r="CW374" s="105"/>
      <c r="CX374" s="105"/>
      <c r="CY374" s="139"/>
      <c r="CZ374" s="105"/>
      <c r="DA374" s="105"/>
      <c r="DB374" s="105"/>
      <c r="DC374" s="105"/>
      <c r="DD374" s="139"/>
      <c r="DE374" s="105"/>
      <c r="DF374" s="105"/>
      <c r="DG374" s="105"/>
      <c r="DH374" s="105"/>
      <c r="DI374" s="139"/>
      <c r="DJ374" s="105"/>
      <c r="DK374" s="105"/>
      <c r="DL374" s="105"/>
      <c r="DM374" s="105"/>
      <c r="DN374" s="139"/>
      <c r="DO374" s="105"/>
      <c r="DP374" s="105"/>
      <c r="DQ374" s="105"/>
      <c r="DR374" s="105"/>
      <c r="DS374" s="139"/>
      <c r="DT374" s="105"/>
      <c r="DU374" s="105"/>
      <c r="DV374" s="105"/>
      <c r="DW374" s="105"/>
      <c r="DX374" s="139"/>
      <c r="DY374" s="105"/>
      <c r="DZ374" s="105"/>
      <c r="EA374" s="105"/>
      <c r="EB374" s="105"/>
      <c r="EC374" s="139"/>
      <c r="ED374" s="105"/>
      <c r="EE374" s="105"/>
      <c r="EF374" s="105"/>
      <c r="EG374" s="105"/>
      <c r="EH374" s="139"/>
      <c r="EI374" s="105"/>
      <c r="EJ374" s="105"/>
      <c r="EK374" s="105"/>
      <c r="EL374" s="105"/>
      <c r="EM374" s="139"/>
      <c r="EN374" s="105"/>
      <c r="EO374" s="105"/>
      <c r="EP374" s="105"/>
      <c r="EQ374" s="105"/>
      <c r="ER374" s="139"/>
      <c r="ES374" s="105"/>
      <c r="ET374" s="105"/>
      <c r="EU374" s="105"/>
      <c r="EV374" s="105"/>
      <c r="EW374" s="139"/>
      <c r="EX374" s="105"/>
      <c r="EY374" s="105"/>
      <c r="EZ374" s="105"/>
      <c r="FA374" s="105"/>
      <c r="FB374" s="139"/>
      <c r="FC374" s="105"/>
      <c r="FD374" s="105"/>
      <c r="FE374" s="105"/>
      <c r="FF374" s="105"/>
      <c r="FG374" s="139"/>
      <c r="FH374" s="105"/>
      <c r="FI374" s="105"/>
      <c r="FJ374" s="105"/>
      <c r="FK374" s="105"/>
      <c r="FL374" s="139"/>
      <c r="FM374" s="105"/>
      <c r="FN374" s="105"/>
      <c r="FO374" s="105"/>
      <c r="FP374" s="105"/>
      <c r="FQ374" s="139"/>
      <c r="FR374" s="105"/>
      <c r="FS374" s="105"/>
      <c r="FT374" s="105"/>
      <c r="FU374" s="105"/>
      <c r="FV374" s="139"/>
      <c r="FW374" s="105"/>
      <c r="FX374" s="105"/>
      <c r="FY374" s="105"/>
      <c r="FZ374" s="105"/>
      <c r="GA374" s="139"/>
      <c r="GB374" s="105"/>
      <c r="GC374" s="105"/>
      <c r="GD374" s="105"/>
      <c r="GE374" s="105"/>
      <c r="GF374" s="139"/>
      <c r="GG374" s="105"/>
      <c r="GH374" s="105"/>
      <c r="GI374" s="105"/>
      <c r="GJ374" s="105"/>
    </row>
    <row r="375" spans="3:192" ht="12.75" customHeight="1">
      <c r="C375" s="139"/>
      <c r="D375" s="105"/>
      <c r="E375" s="105"/>
      <c r="F375" s="105"/>
      <c r="G375" s="105"/>
      <c r="H375" s="139"/>
      <c r="I375" s="105"/>
      <c r="J375" s="105"/>
      <c r="K375" s="105"/>
      <c r="L375" s="105"/>
      <c r="M375" s="139"/>
      <c r="N375" s="105"/>
      <c r="O375" s="105"/>
      <c r="P375" s="105"/>
      <c r="Q375" s="105"/>
      <c r="R375" s="139"/>
      <c r="S375" s="105"/>
      <c r="T375" s="105"/>
      <c r="U375" s="105"/>
      <c r="V375" s="105"/>
      <c r="W375" s="139"/>
      <c r="X375" s="105"/>
      <c r="Y375" s="105"/>
      <c r="Z375" s="105"/>
      <c r="AA375" s="105"/>
      <c r="AB375" s="139"/>
      <c r="AC375" s="105"/>
      <c r="AD375" s="105"/>
      <c r="AE375" s="105"/>
      <c r="AF375" s="105"/>
      <c r="AG375" s="139"/>
      <c r="AH375" s="105"/>
      <c r="AI375" s="105"/>
      <c r="AJ375" s="105"/>
      <c r="AK375" s="105"/>
      <c r="AL375" s="139"/>
      <c r="AM375" s="105"/>
      <c r="AN375" s="105"/>
      <c r="AO375" s="105"/>
      <c r="AP375" s="105"/>
      <c r="AQ375" s="139"/>
      <c r="AR375" s="105"/>
      <c r="AS375" s="105"/>
      <c r="AT375" s="105"/>
      <c r="AU375" s="105"/>
      <c r="AV375" s="139"/>
      <c r="AW375" s="105"/>
      <c r="AX375" s="105"/>
      <c r="AY375" s="105"/>
      <c r="AZ375" s="105"/>
      <c r="BA375" s="139"/>
      <c r="BB375" s="105"/>
      <c r="BC375" s="105"/>
      <c r="BD375" s="105"/>
      <c r="BE375" s="105"/>
      <c r="BF375" s="139"/>
      <c r="BG375" s="105"/>
      <c r="BH375" s="105"/>
      <c r="BI375" s="105"/>
      <c r="BJ375" s="105"/>
      <c r="BK375" s="139"/>
      <c r="BL375" s="105"/>
      <c r="BM375" s="105"/>
      <c r="BN375" s="105"/>
      <c r="BO375" s="105"/>
      <c r="BP375" s="139"/>
      <c r="BQ375" s="105"/>
      <c r="BR375" s="105"/>
      <c r="BS375" s="105"/>
      <c r="BT375" s="105"/>
      <c r="BU375" s="139"/>
      <c r="BV375" s="105"/>
      <c r="BW375" s="105"/>
      <c r="BX375" s="105"/>
      <c r="BY375" s="105"/>
      <c r="BZ375" s="139"/>
      <c r="CA375" s="105"/>
      <c r="CB375" s="105"/>
      <c r="CC375" s="105"/>
      <c r="CD375" s="105"/>
      <c r="CE375" s="139"/>
      <c r="CF375" s="105"/>
      <c r="CG375" s="105"/>
      <c r="CH375" s="105"/>
      <c r="CI375" s="105"/>
      <c r="CJ375" s="139"/>
      <c r="CK375" s="105"/>
      <c r="CL375" s="105"/>
      <c r="CM375" s="105"/>
      <c r="CN375" s="105"/>
      <c r="CO375" s="139"/>
      <c r="CP375" s="105"/>
      <c r="CQ375" s="105"/>
      <c r="CR375" s="105"/>
      <c r="CS375" s="105"/>
      <c r="CT375" s="139"/>
      <c r="CU375" s="105"/>
      <c r="CV375" s="105"/>
      <c r="CW375" s="105"/>
      <c r="CX375" s="105"/>
      <c r="CY375" s="139"/>
      <c r="CZ375" s="105"/>
      <c r="DA375" s="105"/>
      <c r="DB375" s="105"/>
      <c r="DC375" s="105"/>
      <c r="DD375" s="139"/>
      <c r="DE375" s="105"/>
      <c r="DF375" s="105"/>
      <c r="DG375" s="105"/>
      <c r="DH375" s="105"/>
      <c r="DI375" s="139"/>
      <c r="DJ375" s="105"/>
      <c r="DK375" s="105"/>
      <c r="DL375" s="105"/>
      <c r="DM375" s="105"/>
      <c r="DN375" s="139"/>
      <c r="DO375" s="105"/>
      <c r="DP375" s="105"/>
      <c r="DQ375" s="105"/>
      <c r="DR375" s="105"/>
      <c r="DS375" s="139"/>
      <c r="DT375" s="105"/>
      <c r="DU375" s="105"/>
      <c r="DV375" s="105"/>
      <c r="DW375" s="105"/>
      <c r="DX375" s="139"/>
      <c r="DY375" s="105"/>
      <c r="DZ375" s="105"/>
      <c r="EA375" s="105"/>
      <c r="EB375" s="105"/>
      <c r="EC375" s="139"/>
      <c r="ED375" s="105"/>
      <c r="EE375" s="105"/>
      <c r="EF375" s="105"/>
      <c r="EG375" s="105"/>
      <c r="EH375" s="139"/>
      <c r="EI375" s="105"/>
      <c r="EJ375" s="105"/>
      <c r="EK375" s="105"/>
      <c r="EL375" s="105"/>
      <c r="EM375" s="139"/>
      <c r="EN375" s="105"/>
      <c r="EO375" s="105"/>
      <c r="EP375" s="105"/>
      <c r="EQ375" s="105"/>
      <c r="ER375" s="139"/>
      <c r="ES375" s="105"/>
      <c r="ET375" s="105"/>
      <c r="EU375" s="105"/>
      <c r="EV375" s="105"/>
      <c r="EW375" s="139"/>
      <c r="EX375" s="105"/>
      <c r="EY375" s="105"/>
      <c r="EZ375" s="105"/>
      <c r="FA375" s="105"/>
      <c r="FB375" s="139"/>
      <c r="FC375" s="105"/>
      <c r="FD375" s="105"/>
      <c r="FE375" s="105"/>
      <c r="FF375" s="105"/>
      <c r="FG375" s="139"/>
      <c r="FH375" s="105"/>
      <c r="FI375" s="105"/>
      <c r="FJ375" s="105"/>
      <c r="FK375" s="105"/>
      <c r="FL375" s="139"/>
      <c r="FM375" s="105"/>
      <c r="FN375" s="105"/>
      <c r="FO375" s="105"/>
      <c r="FP375" s="105"/>
      <c r="FQ375" s="139"/>
      <c r="FR375" s="105"/>
      <c r="FS375" s="105"/>
      <c r="FT375" s="105"/>
      <c r="FU375" s="105"/>
      <c r="FV375" s="139"/>
      <c r="FW375" s="105"/>
      <c r="FX375" s="105"/>
      <c r="FY375" s="105"/>
      <c r="FZ375" s="105"/>
      <c r="GA375" s="139"/>
      <c r="GB375" s="105"/>
      <c r="GC375" s="105"/>
      <c r="GD375" s="105"/>
      <c r="GE375" s="105"/>
      <c r="GF375" s="139"/>
      <c r="GG375" s="105"/>
      <c r="GH375" s="105"/>
      <c r="GI375" s="105"/>
      <c r="GJ375" s="105"/>
    </row>
    <row r="376" spans="3:192" ht="12.75" customHeight="1">
      <c r="C376" s="139"/>
      <c r="D376" s="105"/>
      <c r="E376" s="105"/>
      <c r="F376" s="105"/>
      <c r="G376" s="105"/>
      <c r="H376" s="139"/>
      <c r="I376" s="105"/>
      <c r="J376" s="105"/>
      <c r="K376" s="105"/>
      <c r="L376" s="105"/>
      <c r="M376" s="139"/>
      <c r="N376" s="105"/>
      <c r="O376" s="105"/>
      <c r="P376" s="105"/>
      <c r="Q376" s="105"/>
      <c r="R376" s="139"/>
      <c r="S376" s="105"/>
      <c r="T376" s="105"/>
      <c r="U376" s="105"/>
      <c r="V376" s="105"/>
      <c r="W376" s="139"/>
      <c r="X376" s="105"/>
      <c r="Y376" s="105"/>
      <c r="Z376" s="105"/>
      <c r="AA376" s="105"/>
      <c r="AB376" s="139"/>
      <c r="AC376" s="105"/>
      <c r="AD376" s="105"/>
      <c r="AE376" s="105"/>
      <c r="AF376" s="105"/>
      <c r="AG376" s="139"/>
      <c r="AH376" s="105"/>
      <c r="AI376" s="105"/>
      <c r="AJ376" s="105"/>
      <c r="AK376" s="105"/>
      <c r="AL376" s="139"/>
      <c r="AM376" s="105"/>
      <c r="AN376" s="105"/>
      <c r="AO376" s="105"/>
      <c r="AP376" s="105"/>
      <c r="AQ376" s="139"/>
      <c r="AR376" s="105"/>
      <c r="AS376" s="105"/>
      <c r="AT376" s="105"/>
      <c r="AU376" s="105"/>
      <c r="AV376" s="139"/>
      <c r="AW376" s="105"/>
      <c r="AX376" s="105"/>
      <c r="AY376" s="105"/>
      <c r="AZ376" s="105"/>
      <c r="BA376" s="139"/>
      <c r="BB376" s="105"/>
      <c r="BC376" s="105"/>
      <c r="BD376" s="105"/>
      <c r="BE376" s="105"/>
      <c r="BF376" s="139"/>
      <c r="BG376" s="105"/>
      <c r="BH376" s="105"/>
      <c r="BI376" s="105"/>
      <c r="BJ376" s="105"/>
      <c r="BK376" s="139"/>
      <c r="BL376" s="105"/>
      <c r="BM376" s="105"/>
      <c r="BN376" s="105"/>
      <c r="BO376" s="105"/>
      <c r="BP376" s="139"/>
      <c r="BQ376" s="105"/>
      <c r="BR376" s="105"/>
      <c r="BS376" s="105"/>
      <c r="BT376" s="105"/>
      <c r="BU376" s="139"/>
      <c r="BV376" s="105"/>
      <c r="BW376" s="105"/>
      <c r="BX376" s="105"/>
      <c r="BY376" s="105"/>
      <c r="BZ376" s="139"/>
      <c r="CA376" s="105"/>
      <c r="CB376" s="105"/>
      <c r="CC376" s="105"/>
      <c r="CD376" s="105"/>
      <c r="CE376" s="139"/>
      <c r="CF376" s="105"/>
      <c r="CG376" s="105"/>
      <c r="CH376" s="105"/>
      <c r="CI376" s="105"/>
      <c r="CJ376" s="139"/>
      <c r="CK376" s="105"/>
      <c r="CL376" s="105"/>
      <c r="CM376" s="105"/>
      <c r="CN376" s="105"/>
      <c r="CO376" s="139"/>
      <c r="CP376" s="105"/>
      <c r="CQ376" s="105"/>
      <c r="CR376" s="105"/>
      <c r="CS376" s="105"/>
      <c r="CT376" s="139"/>
      <c r="CU376" s="105"/>
      <c r="CV376" s="105"/>
      <c r="CW376" s="105"/>
      <c r="CX376" s="105"/>
      <c r="CY376" s="139"/>
      <c r="CZ376" s="105"/>
      <c r="DA376" s="105"/>
      <c r="DB376" s="105"/>
      <c r="DC376" s="105"/>
      <c r="DD376" s="139"/>
      <c r="DE376" s="105"/>
      <c r="DF376" s="105"/>
      <c r="DG376" s="105"/>
      <c r="DH376" s="105"/>
      <c r="DI376" s="139"/>
      <c r="DJ376" s="105"/>
      <c r="DK376" s="105"/>
      <c r="DL376" s="105"/>
      <c r="DM376" s="105"/>
      <c r="DN376" s="139"/>
      <c r="DO376" s="105"/>
      <c r="DP376" s="105"/>
      <c r="DQ376" s="105"/>
      <c r="DR376" s="105"/>
      <c r="DS376" s="139"/>
      <c r="DT376" s="105"/>
      <c r="DU376" s="105"/>
      <c r="DV376" s="105"/>
      <c r="DW376" s="105"/>
      <c r="DX376" s="139"/>
      <c r="DY376" s="105"/>
      <c r="DZ376" s="105"/>
      <c r="EA376" s="105"/>
      <c r="EB376" s="105"/>
      <c r="EC376" s="139"/>
      <c r="ED376" s="105"/>
      <c r="EE376" s="105"/>
      <c r="EF376" s="105"/>
      <c r="EG376" s="105"/>
      <c r="EH376" s="139"/>
      <c r="EI376" s="105"/>
      <c r="EJ376" s="105"/>
      <c r="EK376" s="105"/>
      <c r="EL376" s="105"/>
      <c r="EM376" s="139"/>
      <c r="EN376" s="105"/>
      <c r="EO376" s="105"/>
      <c r="EP376" s="105"/>
      <c r="EQ376" s="105"/>
      <c r="ER376" s="139"/>
      <c r="ES376" s="105"/>
      <c r="ET376" s="105"/>
      <c r="EU376" s="105"/>
      <c r="EV376" s="105"/>
      <c r="EW376" s="139"/>
      <c r="EX376" s="105"/>
      <c r="EY376" s="105"/>
      <c r="EZ376" s="105"/>
      <c r="FA376" s="105"/>
      <c r="FB376" s="139"/>
      <c r="FC376" s="105"/>
      <c r="FD376" s="105"/>
      <c r="FE376" s="105"/>
      <c r="FF376" s="105"/>
      <c r="FG376" s="139"/>
      <c r="FH376" s="105"/>
      <c r="FI376" s="105"/>
      <c r="FJ376" s="105"/>
      <c r="FK376" s="105"/>
      <c r="FL376" s="139"/>
      <c r="FM376" s="105"/>
      <c r="FN376" s="105"/>
      <c r="FO376" s="105"/>
      <c r="FP376" s="105"/>
      <c r="FQ376" s="139"/>
      <c r="FR376" s="105"/>
      <c r="FS376" s="105"/>
      <c r="FT376" s="105"/>
      <c r="FU376" s="105"/>
      <c r="FV376" s="139"/>
      <c r="FW376" s="105"/>
      <c r="FX376" s="105"/>
      <c r="FY376" s="105"/>
      <c r="FZ376" s="105"/>
      <c r="GA376" s="139"/>
      <c r="GB376" s="105"/>
      <c r="GC376" s="105"/>
      <c r="GD376" s="105"/>
      <c r="GE376" s="105"/>
      <c r="GF376" s="139"/>
      <c r="GG376" s="105"/>
      <c r="GH376" s="105"/>
      <c r="GI376" s="105"/>
      <c r="GJ376" s="105"/>
    </row>
    <row r="378" spans="3:192" ht="12.75" customHeight="1">
      <c r="C378" s="205"/>
      <c r="D378" s="206"/>
      <c r="E378" s="206"/>
      <c r="F378" s="206"/>
      <c r="G378" s="206"/>
      <c r="H378" s="205"/>
      <c r="I378" s="206"/>
      <c r="J378" s="206"/>
      <c r="K378" s="206"/>
      <c r="L378" s="206"/>
      <c r="M378" s="205"/>
      <c r="N378" s="206"/>
      <c r="O378" s="206"/>
      <c r="P378" s="206"/>
      <c r="Q378" s="206"/>
      <c r="R378" s="205"/>
      <c r="S378" s="206"/>
      <c r="T378" s="206"/>
      <c r="U378" s="206"/>
      <c r="V378" s="206"/>
      <c r="W378" s="205"/>
      <c r="X378" s="206"/>
      <c r="Y378" s="206"/>
      <c r="Z378" s="206"/>
      <c r="AA378" s="206"/>
      <c r="AB378" s="205"/>
      <c r="AC378" s="206"/>
      <c r="AD378" s="206"/>
      <c r="AE378" s="206"/>
      <c r="AF378" s="206"/>
      <c r="AG378" s="205"/>
      <c r="AH378" s="206"/>
      <c r="AI378" s="206"/>
      <c r="AJ378" s="206"/>
      <c r="AK378" s="206"/>
      <c r="AL378" s="205"/>
      <c r="AM378" s="206"/>
      <c r="AN378" s="206"/>
      <c r="AO378" s="206"/>
      <c r="AP378" s="206"/>
      <c r="AQ378" s="205"/>
      <c r="AR378" s="206"/>
      <c r="AS378" s="206"/>
      <c r="AT378" s="206"/>
      <c r="AU378" s="206"/>
      <c r="AV378" s="205"/>
      <c r="AW378" s="206"/>
      <c r="AX378" s="206"/>
      <c r="AY378" s="206"/>
      <c r="AZ378" s="206"/>
      <c r="BA378" s="205"/>
      <c r="BB378" s="206"/>
      <c r="BC378" s="206"/>
      <c r="BD378" s="206"/>
      <c r="BE378" s="206"/>
      <c r="BF378" s="205"/>
      <c r="BG378" s="206"/>
      <c r="BH378" s="206"/>
      <c r="BI378" s="206"/>
      <c r="BJ378" s="206"/>
      <c r="BK378" s="205"/>
      <c r="BL378" s="206"/>
      <c r="BM378" s="206"/>
      <c r="BN378" s="206"/>
      <c r="BO378" s="206"/>
      <c r="BP378" s="205"/>
      <c r="BQ378" s="206"/>
      <c r="BR378" s="206"/>
      <c r="BS378" s="206"/>
      <c r="BT378" s="206"/>
      <c r="BU378" s="205"/>
      <c r="BV378" s="206"/>
      <c r="BW378" s="206"/>
      <c r="BX378" s="206"/>
      <c r="BY378" s="206"/>
      <c r="BZ378" s="205"/>
      <c r="CA378" s="206"/>
      <c r="CB378" s="206"/>
      <c r="CC378" s="206"/>
      <c r="CD378" s="206"/>
      <c r="CE378" s="205"/>
      <c r="CF378" s="206"/>
      <c r="CG378" s="206"/>
      <c r="CH378" s="206"/>
      <c r="CI378" s="206"/>
      <c r="CJ378" s="205"/>
      <c r="CK378" s="206"/>
      <c r="CL378" s="206"/>
      <c r="CM378" s="206"/>
      <c r="CN378" s="206"/>
      <c r="CO378" s="205"/>
      <c r="CP378" s="206"/>
      <c r="CQ378" s="206"/>
      <c r="CR378" s="206"/>
      <c r="CS378" s="206"/>
      <c r="CT378" s="205"/>
      <c r="CU378" s="206"/>
      <c r="CV378" s="206"/>
      <c r="CW378" s="206"/>
      <c r="CX378" s="206"/>
      <c r="CY378" s="205"/>
      <c r="CZ378" s="206"/>
      <c r="DA378" s="206"/>
      <c r="DB378" s="206"/>
      <c r="DC378" s="206"/>
      <c r="DD378" s="205"/>
      <c r="DE378" s="206"/>
      <c r="DF378" s="206"/>
      <c r="DG378" s="206"/>
      <c r="DH378" s="206"/>
      <c r="DI378" s="205"/>
      <c r="DJ378" s="206"/>
      <c r="DK378" s="206"/>
      <c r="DL378" s="206"/>
      <c r="DM378" s="206"/>
      <c r="DN378" s="205"/>
      <c r="DO378" s="206"/>
      <c r="DP378" s="206"/>
      <c r="DQ378" s="206"/>
      <c r="DR378" s="206"/>
      <c r="DS378" s="205"/>
      <c r="DT378" s="206"/>
      <c r="DU378" s="206"/>
      <c r="DV378" s="206"/>
      <c r="DW378" s="206"/>
      <c r="DX378" s="205"/>
      <c r="DY378" s="206"/>
      <c r="DZ378" s="206"/>
      <c r="EA378" s="206"/>
      <c r="EB378" s="206"/>
      <c r="EC378" s="205"/>
      <c r="ED378" s="206"/>
      <c r="EE378" s="206"/>
      <c r="EF378" s="206"/>
      <c r="EG378" s="206"/>
      <c r="EH378" s="205"/>
      <c r="EI378" s="206"/>
      <c r="EJ378" s="206"/>
      <c r="EK378" s="206"/>
      <c r="EL378" s="206"/>
      <c r="EM378" s="205"/>
      <c r="EN378" s="206"/>
      <c r="EO378" s="206"/>
      <c r="EP378" s="206"/>
      <c r="EQ378" s="206"/>
      <c r="ER378" s="205"/>
      <c r="ES378" s="206"/>
      <c r="ET378" s="206"/>
      <c r="EU378" s="206"/>
      <c r="EV378" s="206"/>
      <c r="EW378" s="205"/>
      <c r="EX378" s="206"/>
      <c r="EY378" s="206"/>
      <c r="EZ378" s="206"/>
      <c r="FA378" s="206"/>
      <c r="FB378" s="205"/>
      <c r="FC378" s="206"/>
      <c r="FD378" s="206"/>
      <c r="FE378" s="206"/>
      <c r="FF378" s="206"/>
      <c r="FG378" s="205"/>
      <c r="FH378" s="206"/>
      <c r="FI378" s="206"/>
      <c r="FJ378" s="206"/>
      <c r="FK378" s="206"/>
      <c r="FL378" s="205"/>
      <c r="FM378" s="206"/>
      <c r="FN378" s="206"/>
      <c r="FO378" s="206"/>
      <c r="FP378" s="206"/>
      <c r="FQ378" s="205"/>
      <c r="FR378" s="206"/>
      <c r="FS378" s="206"/>
      <c r="FT378" s="206"/>
      <c r="FU378" s="206"/>
      <c r="FV378" s="205"/>
      <c r="FW378" s="206"/>
      <c r="FX378" s="206"/>
      <c r="FY378" s="206"/>
      <c r="FZ378" s="206"/>
      <c r="GA378" s="205"/>
      <c r="GB378" s="206"/>
      <c r="GC378" s="206"/>
      <c r="GD378" s="206"/>
      <c r="GE378" s="206"/>
      <c r="GF378" s="205"/>
      <c r="GG378" s="206"/>
      <c r="GH378" s="206"/>
      <c r="GI378" s="206"/>
      <c r="GJ378" s="206"/>
    </row>
    <row r="379" spans="3:192" ht="12.75" customHeight="1">
      <c r="C379" s="203"/>
      <c r="D379" s="105"/>
      <c r="E379" s="105"/>
      <c r="F379" s="105"/>
      <c r="G379" s="105"/>
      <c r="H379" s="203"/>
      <c r="I379" s="105"/>
      <c r="J379" s="105"/>
      <c r="K379" s="105"/>
      <c r="L379" s="105"/>
      <c r="M379" s="203"/>
      <c r="N379" s="105"/>
      <c r="O379" s="105"/>
      <c r="P379" s="105"/>
      <c r="Q379" s="105"/>
      <c r="R379" s="203"/>
      <c r="S379" s="105"/>
      <c r="T379" s="105"/>
      <c r="U379" s="105"/>
      <c r="V379" s="105"/>
      <c r="W379" s="203"/>
      <c r="X379" s="105"/>
      <c r="Y379" s="105"/>
      <c r="Z379" s="105"/>
      <c r="AA379" s="105"/>
      <c r="AB379" s="203"/>
      <c r="AC379" s="105"/>
      <c r="AD379" s="105"/>
      <c r="AE379" s="105"/>
      <c r="AF379" s="105"/>
      <c r="AG379" s="203"/>
      <c r="AH379" s="105"/>
      <c r="AI379" s="105"/>
      <c r="AJ379" s="105"/>
      <c r="AK379" s="105"/>
      <c r="AL379" s="203"/>
      <c r="AM379" s="105"/>
      <c r="AN379" s="105"/>
      <c r="AO379" s="105"/>
      <c r="AP379" s="105"/>
      <c r="AQ379" s="203"/>
      <c r="AR379" s="105"/>
      <c r="AS379" s="105"/>
      <c r="AT379" s="105"/>
      <c r="AU379" s="105"/>
      <c r="AV379" s="203"/>
      <c r="AW379" s="105"/>
      <c r="AX379" s="105"/>
      <c r="AY379" s="105"/>
      <c r="AZ379" s="105"/>
      <c r="BA379" s="203"/>
      <c r="BB379" s="105"/>
      <c r="BC379" s="105"/>
      <c r="BD379" s="105"/>
      <c r="BE379" s="105"/>
      <c r="BF379" s="203"/>
      <c r="BG379" s="105"/>
      <c r="BH379" s="105"/>
      <c r="BI379" s="105"/>
      <c r="BJ379" s="105"/>
      <c r="BK379" s="203"/>
      <c r="BL379" s="105"/>
      <c r="BM379" s="105"/>
      <c r="BN379" s="105"/>
      <c r="BO379" s="105"/>
      <c r="BP379" s="203"/>
      <c r="BQ379" s="105"/>
      <c r="BR379" s="105"/>
      <c r="BS379" s="105"/>
      <c r="BT379" s="105"/>
      <c r="BU379" s="203"/>
      <c r="BV379" s="105"/>
      <c r="BW379" s="105"/>
      <c r="BX379" s="105"/>
      <c r="BY379" s="105"/>
      <c r="BZ379" s="203"/>
      <c r="CA379" s="105"/>
      <c r="CB379" s="105"/>
      <c r="CC379" s="105"/>
      <c r="CD379" s="105"/>
      <c r="CE379" s="203"/>
      <c r="CF379" s="105"/>
      <c r="CG379" s="105"/>
      <c r="CH379" s="105"/>
      <c r="CI379" s="105"/>
      <c r="CJ379" s="203"/>
      <c r="CK379" s="105"/>
      <c r="CL379" s="105"/>
      <c r="CM379" s="105"/>
      <c r="CN379" s="105"/>
      <c r="CO379" s="203"/>
      <c r="CP379" s="105"/>
      <c r="CQ379" s="105"/>
      <c r="CR379" s="105"/>
      <c r="CS379" s="105"/>
      <c r="CT379" s="203"/>
      <c r="CU379" s="105"/>
      <c r="CV379" s="105"/>
      <c r="CW379" s="105"/>
      <c r="CX379" s="105"/>
      <c r="CY379" s="203"/>
      <c r="CZ379" s="105"/>
      <c r="DA379" s="105"/>
      <c r="DB379" s="105"/>
      <c r="DC379" s="105"/>
      <c r="DD379" s="203"/>
      <c r="DE379" s="105"/>
      <c r="DF379" s="105"/>
      <c r="DG379" s="105"/>
      <c r="DH379" s="105"/>
      <c r="DI379" s="203"/>
      <c r="DJ379" s="105"/>
      <c r="DK379" s="105"/>
      <c r="DL379" s="105"/>
      <c r="DM379" s="105"/>
      <c r="DN379" s="203"/>
      <c r="DO379" s="105"/>
      <c r="DP379" s="105"/>
      <c r="DQ379" s="105"/>
      <c r="DR379" s="105"/>
      <c r="DS379" s="203"/>
      <c r="DT379" s="105"/>
      <c r="DU379" s="105"/>
      <c r="DV379" s="105"/>
      <c r="DW379" s="105"/>
      <c r="DX379" s="203"/>
      <c r="DY379" s="105"/>
      <c r="DZ379" s="105"/>
      <c r="EA379" s="105"/>
      <c r="EB379" s="105"/>
      <c r="EC379" s="203"/>
      <c r="ED379" s="105"/>
      <c r="EE379" s="105"/>
      <c r="EF379" s="105"/>
      <c r="EG379" s="105"/>
      <c r="EH379" s="203"/>
      <c r="EI379" s="105"/>
      <c r="EJ379" s="105"/>
      <c r="EK379" s="105"/>
      <c r="EL379" s="105"/>
      <c r="EM379" s="203"/>
      <c r="EN379" s="105"/>
      <c r="EO379" s="105"/>
      <c r="EP379" s="105"/>
      <c r="EQ379" s="105"/>
      <c r="ER379" s="203"/>
      <c r="ES379" s="105"/>
      <c r="ET379" s="105"/>
      <c r="EU379" s="105"/>
      <c r="EV379" s="105"/>
      <c r="EW379" s="203"/>
      <c r="EX379" s="105"/>
      <c r="EY379" s="105"/>
      <c r="EZ379" s="105"/>
      <c r="FA379" s="105"/>
      <c r="FB379" s="203"/>
      <c r="FC379" s="105"/>
      <c r="FD379" s="105"/>
      <c r="FE379" s="105"/>
      <c r="FF379" s="105"/>
      <c r="FG379" s="203"/>
      <c r="FH379" s="105"/>
      <c r="FI379" s="105"/>
      <c r="FJ379" s="105"/>
      <c r="FK379" s="105"/>
      <c r="FL379" s="203"/>
      <c r="FM379" s="105"/>
      <c r="FN379" s="105"/>
      <c r="FO379" s="105"/>
      <c r="FP379" s="105"/>
      <c r="FQ379" s="203"/>
      <c r="FR379" s="105"/>
      <c r="FS379" s="105"/>
      <c r="FT379" s="105"/>
      <c r="FU379" s="105"/>
      <c r="FV379" s="203"/>
      <c r="FW379" s="105"/>
      <c r="FX379" s="105"/>
      <c r="FY379" s="105"/>
      <c r="FZ379" s="105"/>
      <c r="GA379" s="203"/>
      <c r="GB379" s="105"/>
      <c r="GC379" s="105"/>
      <c r="GD379" s="105"/>
      <c r="GE379" s="105"/>
      <c r="GF379" s="203"/>
      <c r="GG379" s="105"/>
      <c r="GH379" s="105"/>
      <c r="GI379" s="105"/>
      <c r="GJ379" s="105"/>
    </row>
    <row r="380" spans="3:192" ht="12.75" customHeight="1">
      <c r="C380" s="203"/>
      <c r="D380" s="105"/>
      <c r="E380" s="105"/>
      <c r="F380" s="105"/>
      <c r="G380" s="105"/>
      <c r="H380" s="203"/>
      <c r="I380" s="105"/>
      <c r="J380" s="105"/>
      <c r="K380" s="105"/>
      <c r="L380" s="105"/>
      <c r="M380" s="203"/>
      <c r="N380" s="105"/>
      <c r="O380" s="105"/>
      <c r="P380" s="105"/>
      <c r="Q380" s="105"/>
      <c r="R380" s="203"/>
      <c r="S380" s="105"/>
      <c r="T380" s="105"/>
      <c r="U380" s="105"/>
      <c r="V380" s="105"/>
      <c r="W380" s="203"/>
      <c r="X380" s="105"/>
      <c r="Y380" s="105"/>
      <c r="Z380" s="105"/>
      <c r="AA380" s="105"/>
      <c r="AB380" s="203"/>
      <c r="AC380" s="105"/>
      <c r="AD380" s="105"/>
      <c r="AE380" s="105"/>
      <c r="AF380" s="105"/>
      <c r="AG380" s="203"/>
      <c r="AH380" s="105"/>
      <c r="AI380" s="105"/>
      <c r="AJ380" s="105"/>
      <c r="AK380" s="105"/>
      <c r="AL380" s="203"/>
      <c r="AM380" s="105"/>
      <c r="AN380" s="105"/>
      <c r="AO380" s="105"/>
      <c r="AP380" s="105"/>
      <c r="AQ380" s="203"/>
      <c r="AR380" s="105"/>
      <c r="AS380" s="105"/>
      <c r="AT380" s="105"/>
      <c r="AU380" s="105"/>
      <c r="AV380" s="203"/>
      <c r="AW380" s="105"/>
      <c r="AX380" s="105"/>
      <c r="AY380" s="105"/>
      <c r="AZ380" s="105"/>
      <c r="BA380" s="203"/>
      <c r="BB380" s="105"/>
      <c r="BC380" s="105"/>
      <c r="BD380" s="105"/>
      <c r="BE380" s="105"/>
      <c r="BF380" s="203"/>
      <c r="BG380" s="105"/>
      <c r="BH380" s="105"/>
      <c r="BI380" s="105"/>
      <c r="BJ380" s="105"/>
      <c r="BK380" s="203"/>
      <c r="BL380" s="105"/>
      <c r="BM380" s="105"/>
      <c r="BN380" s="105"/>
      <c r="BO380" s="105"/>
      <c r="BP380" s="203"/>
      <c r="BQ380" s="105"/>
      <c r="BR380" s="105"/>
      <c r="BS380" s="105"/>
      <c r="BT380" s="105"/>
      <c r="BU380" s="203"/>
      <c r="BV380" s="105"/>
      <c r="BW380" s="105"/>
      <c r="BX380" s="105"/>
      <c r="BY380" s="105"/>
      <c r="BZ380" s="203"/>
      <c r="CA380" s="105"/>
      <c r="CB380" s="105"/>
      <c r="CC380" s="105"/>
      <c r="CD380" s="105"/>
      <c r="CE380" s="203"/>
      <c r="CF380" s="105"/>
      <c r="CG380" s="105"/>
      <c r="CH380" s="105"/>
      <c r="CI380" s="105"/>
      <c r="CJ380" s="203"/>
      <c r="CK380" s="105"/>
      <c r="CL380" s="105"/>
      <c r="CM380" s="105"/>
      <c r="CN380" s="105"/>
      <c r="CO380" s="203"/>
      <c r="CP380" s="105"/>
      <c r="CQ380" s="105"/>
      <c r="CR380" s="105"/>
      <c r="CS380" s="105"/>
      <c r="CT380" s="203"/>
      <c r="CU380" s="105"/>
      <c r="CV380" s="105"/>
      <c r="CW380" s="105"/>
      <c r="CX380" s="105"/>
      <c r="CY380" s="203"/>
      <c r="CZ380" s="105"/>
      <c r="DA380" s="105"/>
      <c r="DB380" s="105"/>
      <c r="DC380" s="105"/>
      <c r="DD380" s="203"/>
      <c r="DE380" s="105"/>
      <c r="DF380" s="105"/>
      <c r="DG380" s="105"/>
      <c r="DH380" s="105"/>
      <c r="DI380" s="203"/>
      <c r="DJ380" s="105"/>
      <c r="DK380" s="105"/>
      <c r="DL380" s="105"/>
      <c r="DM380" s="105"/>
      <c r="DN380" s="203"/>
      <c r="DO380" s="105"/>
      <c r="DP380" s="105"/>
      <c r="DQ380" s="105"/>
      <c r="DR380" s="105"/>
      <c r="DS380" s="203"/>
      <c r="DT380" s="105"/>
      <c r="DU380" s="105"/>
      <c r="DV380" s="105"/>
      <c r="DW380" s="105"/>
      <c r="DX380" s="203"/>
      <c r="DY380" s="105"/>
      <c r="DZ380" s="105"/>
      <c r="EA380" s="105"/>
      <c r="EB380" s="105"/>
      <c r="EC380" s="203"/>
      <c r="ED380" s="105"/>
      <c r="EE380" s="105"/>
      <c r="EF380" s="105"/>
      <c r="EG380" s="105"/>
      <c r="EH380" s="203"/>
      <c r="EI380" s="105"/>
      <c r="EJ380" s="105"/>
      <c r="EK380" s="105"/>
      <c r="EL380" s="105"/>
      <c r="EM380" s="203"/>
      <c r="EN380" s="105"/>
      <c r="EO380" s="105"/>
      <c r="EP380" s="105"/>
      <c r="EQ380" s="105"/>
      <c r="ER380" s="203"/>
      <c r="ES380" s="105"/>
      <c r="ET380" s="105"/>
      <c r="EU380" s="105"/>
      <c r="EV380" s="105"/>
      <c r="EW380" s="203"/>
      <c r="EX380" s="105"/>
      <c r="EY380" s="105"/>
      <c r="EZ380" s="105"/>
      <c r="FA380" s="105"/>
      <c r="FB380" s="203"/>
      <c r="FC380" s="105"/>
      <c r="FD380" s="105"/>
      <c r="FE380" s="105"/>
      <c r="FF380" s="105"/>
      <c r="FG380" s="203"/>
      <c r="FH380" s="105"/>
      <c r="FI380" s="105"/>
      <c r="FJ380" s="105"/>
      <c r="FK380" s="105"/>
      <c r="FL380" s="203"/>
      <c r="FM380" s="105"/>
      <c r="FN380" s="105"/>
      <c r="FO380" s="105"/>
      <c r="FP380" s="105"/>
      <c r="FQ380" s="203"/>
      <c r="FR380" s="105"/>
      <c r="FS380" s="105"/>
      <c r="FT380" s="105"/>
      <c r="FU380" s="105"/>
      <c r="FV380" s="203"/>
      <c r="FW380" s="105"/>
      <c r="FX380" s="105"/>
      <c r="FY380" s="105"/>
      <c r="FZ380" s="105"/>
      <c r="GA380" s="203"/>
      <c r="GB380" s="105"/>
      <c r="GC380" s="105"/>
      <c r="GD380" s="105"/>
      <c r="GE380" s="105"/>
      <c r="GF380" s="203"/>
      <c r="GG380" s="105"/>
      <c r="GH380" s="105"/>
      <c r="GI380" s="105"/>
      <c r="GJ380" s="105"/>
    </row>
    <row r="381" spans="3:192" ht="12.75" customHeight="1">
      <c r="C381" s="203"/>
      <c r="D381" s="105"/>
      <c r="E381" s="105"/>
      <c r="F381" s="105"/>
      <c r="G381" s="105"/>
      <c r="H381" s="203"/>
      <c r="I381" s="105"/>
      <c r="J381" s="105"/>
      <c r="K381" s="105"/>
      <c r="L381" s="105"/>
      <c r="M381" s="203"/>
      <c r="N381" s="105"/>
      <c r="O381" s="105"/>
      <c r="P381" s="105"/>
      <c r="Q381" s="105"/>
      <c r="R381" s="203"/>
      <c r="S381" s="105"/>
      <c r="T381" s="105"/>
      <c r="U381" s="105"/>
      <c r="V381" s="105"/>
      <c r="W381" s="203"/>
      <c r="X381" s="105"/>
      <c r="Y381" s="105"/>
      <c r="Z381" s="105"/>
      <c r="AA381" s="105"/>
      <c r="AB381" s="203"/>
      <c r="AC381" s="105"/>
      <c r="AD381" s="105"/>
      <c r="AE381" s="105"/>
      <c r="AF381" s="105"/>
      <c r="AG381" s="203"/>
      <c r="AH381" s="105"/>
      <c r="AI381" s="105"/>
      <c r="AJ381" s="105"/>
      <c r="AK381" s="105"/>
      <c r="AL381" s="203"/>
      <c r="AM381" s="105"/>
      <c r="AN381" s="105"/>
      <c r="AO381" s="105"/>
      <c r="AP381" s="105"/>
      <c r="AQ381" s="203"/>
      <c r="AR381" s="105"/>
      <c r="AS381" s="105"/>
      <c r="AT381" s="105"/>
      <c r="AU381" s="105"/>
      <c r="AV381" s="203"/>
      <c r="AW381" s="105"/>
      <c r="AX381" s="105"/>
      <c r="AY381" s="105"/>
      <c r="AZ381" s="105"/>
      <c r="BA381" s="203"/>
      <c r="BB381" s="105"/>
      <c r="BC381" s="105"/>
      <c r="BD381" s="105"/>
      <c r="BE381" s="105"/>
      <c r="BF381" s="203"/>
      <c r="BG381" s="105"/>
      <c r="BH381" s="105"/>
      <c r="BI381" s="105"/>
      <c r="BJ381" s="105"/>
      <c r="BK381" s="203"/>
      <c r="BL381" s="105"/>
      <c r="BM381" s="105"/>
      <c r="BN381" s="105"/>
      <c r="BO381" s="105"/>
      <c r="BP381" s="203"/>
      <c r="BQ381" s="105"/>
      <c r="BR381" s="105"/>
      <c r="BS381" s="105"/>
      <c r="BT381" s="105"/>
      <c r="BU381" s="203"/>
      <c r="BV381" s="105"/>
      <c r="BW381" s="105"/>
      <c r="BX381" s="105"/>
      <c r="BY381" s="105"/>
      <c r="BZ381" s="203"/>
      <c r="CA381" s="105"/>
      <c r="CB381" s="105"/>
      <c r="CC381" s="105"/>
      <c r="CD381" s="105"/>
      <c r="CE381" s="203"/>
      <c r="CF381" s="105"/>
      <c r="CG381" s="105"/>
      <c r="CH381" s="105"/>
      <c r="CI381" s="105"/>
      <c r="CJ381" s="203"/>
      <c r="CK381" s="105"/>
      <c r="CL381" s="105"/>
      <c r="CM381" s="105"/>
      <c r="CN381" s="105"/>
      <c r="CO381" s="203"/>
      <c r="CP381" s="105"/>
      <c r="CQ381" s="105"/>
      <c r="CR381" s="105"/>
      <c r="CS381" s="105"/>
      <c r="CT381" s="203"/>
      <c r="CU381" s="105"/>
      <c r="CV381" s="105"/>
      <c r="CW381" s="105"/>
      <c r="CX381" s="105"/>
      <c r="CY381" s="203"/>
      <c r="CZ381" s="105"/>
      <c r="DA381" s="105"/>
      <c r="DB381" s="105"/>
      <c r="DC381" s="105"/>
      <c r="DD381" s="203"/>
      <c r="DE381" s="105"/>
      <c r="DF381" s="105"/>
      <c r="DG381" s="105"/>
      <c r="DH381" s="105"/>
      <c r="DI381" s="203"/>
      <c r="DJ381" s="105"/>
      <c r="DK381" s="105"/>
      <c r="DL381" s="105"/>
      <c r="DM381" s="105"/>
      <c r="DN381" s="203"/>
      <c r="DO381" s="105"/>
      <c r="DP381" s="105"/>
      <c r="DQ381" s="105"/>
      <c r="DR381" s="105"/>
      <c r="DS381" s="203"/>
      <c r="DT381" s="105"/>
      <c r="DU381" s="105"/>
      <c r="DV381" s="105"/>
      <c r="DW381" s="105"/>
      <c r="DX381" s="203"/>
      <c r="DY381" s="105"/>
      <c r="DZ381" s="105"/>
      <c r="EA381" s="105"/>
      <c r="EB381" s="105"/>
      <c r="EC381" s="203"/>
      <c r="ED381" s="105"/>
      <c r="EE381" s="105"/>
      <c r="EF381" s="105"/>
      <c r="EG381" s="105"/>
      <c r="EH381" s="203"/>
      <c r="EI381" s="105"/>
      <c r="EJ381" s="105"/>
      <c r="EK381" s="105"/>
      <c r="EL381" s="105"/>
      <c r="EM381" s="203"/>
      <c r="EN381" s="105"/>
      <c r="EO381" s="105"/>
      <c r="EP381" s="105"/>
      <c r="EQ381" s="105"/>
      <c r="ER381" s="203"/>
      <c r="ES381" s="105"/>
      <c r="ET381" s="105"/>
      <c r="EU381" s="105"/>
      <c r="EV381" s="105"/>
      <c r="EW381" s="203"/>
      <c r="EX381" s="105"/>
      <c r="EY381" s="105"/>
      <c r="EZ381" s="105"/>
      <c r="FA381" s="105"/>
      <c r="FB381" s="203"/>
      <c r="FC381" s="105"/>
      <c r="FD381" s="105"/>
      <c r="FE381" s="105"/>
      <c r="FF381" s="105"/>
      <c r="FG381" s="203"/>
      <c r="FH381" s="105"/>
      <c r="FI381" s="105"/>
      <c r="FJ381" s="105"/>
      <c r="FK381" s="105"/>
      <c r="FL381" s="203"/>
      <c r="FM381" s="105"/>
      <c r="FN381" s="105"/>
      <c r="FO381" s="105"/>
      <c r="FP381" s="105"/>
      <c r="FQ381" s="203"/>
      <c r="FR381" s="105"/>
      <c r="FS381" s="105"/>
      <c r="FT381" s="105"/>
      <c r="FU381" s="105"/>
      <c r="FV381" s="203"/>
      <c r="FW381" s="105"/>
      <c r="FX381" s="105"/>
      <c r="FY381" s="105"/>
      <c r="FZ381" s="105"/>
      <c r="GA381" s="203"/>
      <c r="GB381" s="105"/>
      <c r="GC381" s="105"/>
      <c r="GD381" s="105"/>
      <c r="GE381" s="105"/>
      <c r="GF381" s="203"/>
      <c r="GG381" s="105"/>
      <c r="GH381" s="105"/>
      <c r="GI381" s="105"/>
      <c r="GJ381" s="105"/>
    </row>
    <row r="383" spans="3:192" ht="12.75" customHeight="1">
      <c r="C383" s="207"/>
      <c r="D383" s="177"/>
      <c r="E383" s="177"/>
      <c r="F383" s="177"/>
      <c r="G383" s="177"/>
      <c r="H383" s="207"/>
      <c r="I383" s="177"/>
      <c r="J383" s="177"/>
      <c r="K383" s="177"/>
      <c r="L383" s="177"/>
      <c r="M383" s="207"/>
      <c r="N383" s="177"/>
      <c r="O383" s="177"/>
      <c r="P383" s="177"/>
      <c r="Q383" s="177"/>
      <c r="R383" s="207"/>
      <c r="S383" s="177"/>
      <c r="T383" s="177"/>
      <c r="U383" s="177"/>
      <c r="V383" s="177"/>
      <c r="W383" s="207"/>
      <c r="X383" s="177"/>
      <c r="Y383" s="177"/>
      <c r="Z383" s="177"/>
      <c r="AA383" s="177"/>
      <c r="AB383" s="207"/>
      <c r="AC383" s="177"/>
      <c r="AD383" s="177"/>
      <c r="AE383" s="177"/>
      <c r="AF383" s="177"/>
      <c r="AG383" s="207"/>
      <c r="AH383" s="177"/>
      <c r="AI383" s="177"/>
      <c r="AJ383" s="177"/>
      <c r="AK383" s="177"/>
      <c r="AL383" s="207"/>
      <c r="AM383" s="177"/>
      <c r="AN383" s="177"/>
      <c r="AO383" s="177"/>
      <c r="AP383" s="177"/>
      <c r="AQ383" s="207"/>
      <c r="AR383" s="177"/>
      <c r="AS383" s="177"/>
      <c r="AT383" s="177"/>
      <c r="AU383" s="177"/>
      <c r="AV383" s="207"/>
      <c r="AW383" s="177"/>
      <c r="AX383" s="177"/>
      <c r="AY383" s="177"/>
      <c r="AZ383" s="177"/>
      <c r="BA383" s="207"/>
      <c r="BB383" s="177"/>
      <c r="BC383" s="177"/>
      <c r="BD383" s="177"/>
      <c r="BE383" s="177"/>
      <c r="BF383" s="207"/>
      <c r="BG383" s="177"/>
      <c r="BH383" s="177"/>
      <c r="BI383" s="177"/>
      <c r="BJ383" s="177"/>
      <c r="BK383" s="207"/>
      <c r="BL383" s="177"/>
      <c r="BM383" s="177"/>
      <c r="BN383" s="177"/>
      <c r="BO383" s="177"/>
      <c r="BP383" s="207"/>
      <c r="BQ383" s="177"/>
      <c r="BR383" s="177"/>
      <c r="BS383" s="177"/>
      <c r="BT383" s="177"/>
      <c r="BU383" s="207"/>
      <c r="BV383" s="177"/>
      <c r="BW383" s="177"/>
      <c r="BX383" s="177"/>
      <c r="BY383" s="177"/>
      <c r="BZ383" s="207"/>
      <c r="CA383" s="177"/>
      <c r="CB383" s="177"/>
      <c r="CC383" s="177"/>
      <c r="CD383" s="177"/>
      <c r="CE383" s="207"/>
      <c r="CF383" s="177"/>
      <c r="CG383" s="177"/>
      <c r="CH383" s="177"/>
      <c r="CI383" s="177"/>
      <c r="CJ383" s="207"/>
      <c r="CK383" s="177"/>
      <c r="CL383" s="177"/>
      <c r="CM383" s="177"/>
      <c r="CN383" s="177"/>
      <c r="CO383" s="207"/>
      <c r="CP383" s="177"/>
      <c r="CQ383" s="177"/>
      <c r="CR383" s="177"/>
      <c r="CS383" s="177"/>
      <c r="CT383" s="207"/>
      <c r="CU383" s="177"/>
      <c r="CV383" s="177"/>
      <c r="CW383" s="177"/>
      <c r="CX383" s="177"/>
      <c r="CY383" s="207"/>
      <c r="CZ383" s="177"/>
      <c r="DA383" s="177"/>
      <c r="DB383" s="177"/>
      <c r="DC383" s="177"/>
      <c r="DD383" s="207"/>
      <c r="DE383" s="177"/>
      <c r="DF383" s="177"/>
      <c r="DG383" s="177"/>
      <c r="DH383" s="177"/>
      <c r="DI383" s="207"/>
      <c r="DJ383" s="177"/>
      <c r="DK383" s="177"/>
      <c r="DL383" s="177"/>
      <c r="DM383" s="177"/>
      <c r="DN383" s="207"/>
      <c r="DO383" s="177"/>
      <c r="DP383" s="177"/>
      <c r="DQ383" s="177"/>
      <c r="DR383" s="177"/>
      <c r="DS383" s="207"/>
      <c r="DT383" s="177"/>
      <c r="DU383" s="177"/>
      <c r="DV383" s="177"/>
      <c r="DW383" s="177"/>
      <c r="DX383" s="207"/>
      <c r="DY383" s="177"/>
      <c r="DZ383" s="177"/>
      <c r="EA383" s="177"/>
      <c r="EB383" s="177"/>
      <c r="EC383" s="207"/>
      <c r="ED383" s="177"/>
      <c r="EE383" s="177"/>
      <c r="EF383" s="177"/>
      <c r="EG383" s="177"/>
      <c r="EH383" s="207"/>
      <c r="EI383" s="177"/>
      <c r="EJ383" s="177"/>
      <c r="EK383" s="177"/>
      <c r="EL383" s="177"/>
      <c r="EM383" s="207"/>
      <c r="EN383" s="177"/>
      <c r="EO383" s="177"/>
      <c r="EP383" s="177"/>
      <c r="EQ383" s="177"/>
      <c r="ER383" s="207"/>
      <c r="ES383" s="177"/>
      <c r="ET383" s="177"/>
      <c r="EU383" s="177"/>
      <c r="EV383" s="177"/>
      <c r="EW383" s="207"/>
      <c r="EX383" s="177"/>
      <c r="EY383" s="177"/>
      <c r="EZ383" s="177"/>
      <c r="FA383" s="177"/>
      <c r="FB383" s="207"/>
      <c r="FC383" s="177"/>
      <c r="FD383" s="177"/>
      <c r="FE383" s="177"/>
      <c r="FF383" s="177"/>
      <c r="FG383" s="207"/>
      <c r="FH383" s="177"/>
      <c r="FI383" s="177"/>
      <c r="FJ383" s="177"/>
      <c r="FK383" s="177"/>
      <c r="FL383" s="207"/>
      <c r="FM383" s="177"/>
      <c r="FN383" s="177"/>
      <c r="FO383" s="177"/>
      <c r="FP383" s="177"/>
      <c r="FQ383" s="207"/>
      <c r="FR383" s="177"/>
      <c r="FS383" s="177"/>
      <c r="FT383" s="177"/>
      <c r="FU383" s="177"/>
      <c r="FV383" s="207"/>
      <c r="FW383" s="177"/>
      <c r="FX383" s="177"/>
      <c r="FY383" s="177"/>
      <c r="FZ383" s="177"/>
      <c r="GA383" s="207"/>
      <c r="GB383" s="177"/>
      <c r="GC383" s="177"/>
      <c r="GD383" s="177"/>
      <c r="GE383" s="177"/>
      <c r="GF383" s="207"/>
      <c r="GG383" s="177"/>
      <c r="GH383" s="177"/>
      <c r="GI383" s="177"/>
      <c r="GJ383" s="177"/>
    </row>
    <row r="384" spans="3:192" ht="12.75" customHeight="1">
      <c r="C384" s="208"/>
      <c r="H384" s="208"/>
      <c r="M384" s="208"/>
      <c r="R384" s="208"/>
      <c r="W384" s="208"/>
      <c r="AB384" s="208"/>
      <c r="AG384" s="208"/>
      <c r="AL384" s="208"/>
      <c r="AQ384" s="208"/>
      <c r="AV384" s="208"/>
      <c r="BA384" s="208"/>
      <c r="BF384" s="208"/>
      <c r="BK384" s="208"/>
      <c r="BP384" s="208"/>
      <c r="BU384" s="208"/>
      <c r="BZ384" s="208"/>
      <c r="CE384" s="208"/>
      <c r="CJ384" s="208"/>
      <c r="CO384" s="208"/>
      <c r="CT384" s="208"/>
      <c r="CY384" s="208"/>
      <c r="DD384" s="208"/>
      <c r="DI384" s="208"/>
      <c r="DN384" s="208"/>
      <c r="DS384" s="208"/>
      <c r="DX384" s="208"/>
      <c r="EC384" s="208"/>
      <c r="EH384" s="208"/>
      <c r="EM384" s="208"/>
      <c r="ER384" s="208"/>
      <c r="EW384" s="208"/>
      <c r="FB384" s="208"/>
      <c r="FG384" s="208"/>
      <c r="FL384" s="208"/>
      <c r="FQ384" s="208"/>
      <c r="FV384" s="208"/>
      <c r="GA384" s="208"/>
      <c r="GF384" s="208"/>
    </row>
    <row r="385" spans="3:192" ht="12.75" customHeight="1">
      <c r="C385" s="208"/>
      <c r="H385" s="208"/>
      <c r="M385" s="208"/>
      <c r="R385" s="208"/>
      <c r="W385" s="208"/>
      <c r="AB385" s="208"/>
      <c r="AG385" s="208"/>
      <c r="AL385" s="208"/>
      <c r="AQ385" s="208"/>
      <c r="AV385" s="208"/>
      <c r="BA385" s="208"/>
      <c r="BF385" s="208"/>
      <c r="BK385" s="208"/>
      <c r="BP385" s="208"/>
      <c r="BU385" s="208"/>
      <c r="BZ385" s="208"/>
      <c r="CE385" s="208"/>
      <c r="CJ385" s="208"/>
      <c r="CO385" s="208"/>
      <c r="CT385" s="208"/>
      <c r="CY385" s="208"/>
      <c r="DD385" s="208"/>
      <c r="DI385" s="208"/>
      <c r="DN385" s="208"/>
      <c r="DS385" s="208"/>
      <c r="DX385" s="208"/>
      <c r="EC385" s="208"/>
      <c r="EH385" s="208"/>
      <c r="EM385" s="208"/>
      <c r="ER385" s="208"/>
      <c r="EW385" s="208"/>
      <c r="FB385" s="208"/>
      <c r="FG385" s="208"/>
      <c r="FL385" s="208"/>
      <c r="FQ385" s="208"/>
      <c r="FV385" s="208"/>
      <c r="GA385" s="208"/>
      <c r="GF385" s="208"/>
    </row>
    <row r="387" spans="3:192" ht="12.75" customHeight="1">
      <c r="C387" s="209"/>
      <c r="D387" s="210"/>
      <c r="E387" s="210"/>
      <c r="F387" s="210"/>
      <c r="G387" s="210"/>
      <c r="H387" s="209"/>
      <c r="I387" s="210"/>
      <c r="J387" s="210"/>
      <c r="K387" s="210"/>
      <c r="L387" s="210"/>
      <c r="M387" s="209"/>
      <c r="N387" s="210"/>
      <c r="O387" s="210"/>
      <c r="P387" s="210"/>
      <c r="Q387" s="210"/>
      <c r="R387" s="209"/>
      <c r="S387" s="210"/>
      <c r="T387" s="210"/>
      <c r="U387" s="210"/>
      <c r="V387" s="210"/>
      <c r="W387" s="209"/>
      <c r="X387" s="210"/>
      <c r="Y387" s="210"/>
      <c r="Z387" s="210"/>
      <c r="AA387" s="210"/>
      <c r="AB387" s="209"/>
      <c r="AC387" s="210"/>
      <c r="AD387" s="210"/>
      <c r="AE387" s="210"/>
      <c r="AF387" s="210"/>
      <c r="AG387" s="209"/>
      <c r="AH387" s="210"/>
      <c r="AI387" s="210"/>
      <c r="AJ387" s="210"/>
      <c r="AK387" s="210"/>
      <c r="AL387" s="209"/>
      <c r="AM387" s="210"/>
      <c r="AN387" s="210"/>
      <c r="AO387" s="210"/>
      <c r="AP387" s="210"/>
      <c r="AQ387" s="209"/>
      <c r="AR387" s="210"/>
      <c r="AS387" s="210"/>
      <c r="AT387" s="210"/>
      <c r="AU387" s="210"/>
      <c r="AV387" s="209"/>
      <c r="AW387" s="210"/>
      <c r="AX387" s="210"/>
      <c r="AY387" s="210"/>
      <c r="AZ387" s="210"/>
      <c r="BA387" s="209"/>
      <c r="BB387" s="210"/>
      <c r="BC387" s="210"/>
      <c r="BD387" s="210"/>
      <c r="BE387" s="210"/>
      <c r="BF387" s="209"/>
      <c r="BG387" s="210"/>
      <c r="BH387" s="210"/>
      <c r="BI387" s="210"/>
      <c r="BJ387" s="210"/>
      <c r="BK387" s="209"/>
      <c r="BL387" s="210"/>
      <c r="BM387" s="210"/>
      <c r="BN387" s="210"/>
      <c r="BO387" s="210"/>
      <c r="BP387" s="209"/>
      <c r="BQ387" s="210"/>
      <c r="BR387" s="210"/>
      <c r="BS387" s="210"/>
      <c r="BT387" s="210"/>
      <c r="BU387" s="209"/>
      <c r="BV387" s="210"/>
      <c r="BW387" s="210"/>
      <c r="BX387" s="210"/>
      <c r="BY387" s="210"/>
      <c r="BZ387" s="209"/>
      <c r="CA387" s="210"/>
      <c r="CB387" s="210"/>
      <c r="CC387" s="210"/>
      <c r="CD387" s="210"/>
      <c r="CE387" s="209"/>
      <c r="CF387" s="210"/>
      <c r="CG387" s="210"/>
      <c r="CH387" s="210"/>
      <c r="CI387" s="210"/>
      <c r="CJ387" s="209"/>
      <c r="CK387" s="210"/>
      <c r="CL387" s="210"/>
      <c r="CM387" s="210"/>
      <c r="CN387" s="210"/>
      <c r="CO387" s="209"/>
      <c r="CP387" s="210"/>
      <c r="CQ387" s="210"/>
      <c r="CR387" s="210"/>
      <c r="CS387" s="210"/>
      <c r="CT387" s="209"/>
      <c r="CU387" s="210"/>
      <c r="CV387" s="210"/>
      <c r="CW387" s="210"/>
      <c r="CX387" s="210"/>
      <c r="CY387" s="209"/>
      <c r="CZ387" s="210"/>
      <c r="DA387" s="210"/>
      <c r="DB387" s="210"/>
      <c r="DC387" s="210"/>
      <c r="DD387" s="209"/>
      <c r="DE387" s="210"/>
      <c r="DF387" s="210"/>
      <c r="DG387" s="210"/>
      <c r="DH387" s="210"/>
      <c r="DI387" s="209"/>
      <c r="DJ387" s="210"/>
      <c r="DK387" s="210"/>
      <c r="DL387" s="210"/>
      <c r="DM387" s="210"/>
      <c r="DN387" s="209"/>
      <c r="DO387" s="210"/>
      <c r="DP387" s="210"/>
      <c r="DQ387" s="210"/>
      <c r="DR387" s="210"/>
      <c r="DS387" s="209"/>
      <c r="DT387" s="210"/>
      <c r="DU387" s="210"/>
      <c r="DV387" s="210"/>
      <c r="DW387" s="210"/>
      <c r="DX387" s="209"/>
      <c r="DY387" s="210"/>
      <c r="DZ387" s="210"/>
      <c r="EA387" s="210"/>
      <c r="EB387" s="210"/>
      <c r="EC387" s="209"/>
      <c r="ED387" s="210"/>
      <c r="EE387" s="210"/>
      <c r="EF387" s="210"/>
      <c r="EG387" s="210"/>
      <c r="EH387" s="209"/>
      <c r="EI387" s="210"/>
      <c r="EJ387" s="210"/>
      <c r="EK387" s="210"/>
      <c r="EL387" s="210"/>
      <c r="EM387" s="209"/>
      <c r="EN387" s="210"/>
      <c r="EO387" s="210"/>
      <c r="EP387" s="210"/>
      <c r="EQ387" s="210"/>
      <c r="ER387" s="209"/>
      <c r="ES387" s="210"/>
      <c r="ET387" s="210"/>
      <c r="EU387" s="210"/>
      <c r="EV387" s="210"/>
      <c r="EW387" s="209"/>
      <c r="EX387" s="210"/>
      <c r="EY387" s="210"/>
      <c r="EZ387" s="210"/>
      <c r="FA387" s="210"/>
      <c r="FB387" s="209"/>
      <c r="FC387" s="210"/>
      <c r="FD387" s="210"/>
      <c r="FE387" s="210"/>
      <c r="FF387" s="210"/>
      <c r="FG387" s="209"/>
      <c r="FH387" s="210"/>
      <c r="FI387" s="210"/>
      <c r="FJ387" s="210"/>
      <c r="FK387" s="210"/>
      <c r="FL387" s="209"/>
      <c r="FM387" s="210"/>
      <c r="FN387" s="210"/>
      <c r="FO387" s="210"/>
      <c r="FP387" s="210"/>
      <c r="FQ387" s="209"/>
      <c r="FR387" s="210"/>
      <c r="FS387" s="210"/>
      <c r="FT387" s="210"/>
      <c r="FU387" s="210"/>
      <c r="FV387" s="209"/>
      <c r="FW387" s="210"/>
      <c r="FX387" s="210"/>
      <c r="FY387" s="210"/>
      <c r="FZ387" s="210"/>
      <c r="GA387" s="209"/>
      <c r="GB387" s="210"/>
      <c r="GC387" s="210"/>
      <c r="GD387" s="210"/>
      <c r="GE387" s="210"/>
      <c r="GF387" s="209"/>
      <c r="GG387" s="210"/>
      <c r="GH387" s="210"/>
      <c r="GI387" s="210"/>
      <c r="GJ387" s="210"/>
    </row>
    <row r="388" spans="3:192" ht="12.75" customHeight="1">
      <c r="C388" s="211"/>
      <c r="D388" s="212"/>
      <c r="E388" s="212"/>
      <c r="F388" s="212"/>
      <c r="G388" s="212"/>
      <c r="H388" s="211"/>
      <c r="I388" s="212"/>
      <c r="J388" s="212"/>
      <c r="K388" s="212"/>
      <c r="L388" s="212"/>
      <c r="M388" s="211"/>
      <c r="N388" s="212"/>
      <c r="O388" s="212"/>
      <c r="P388" s="212"/>
      <c r="Q388" s="212"/>
      <c r="R388" s="211"/>
      <c r="S388" s="212"/>
      <c r="T388" s="212"/>
      <c r="U388" s="212"/>
      <c r="V388" s="212"/>
      <c r="W388" s="211"/>
      <c r="X388" s="212"/>
      <c r="Y388" s="212"/>
      <c r="Z388" s="212"/>
      <c r="AA388" s="212"/>
      <c r="AB388" s="211"/>
      <c r="AC388" s="212"/>
      <c r="AD388" s="212"/>
      <c r="AE388" s="212"/>
      <c r="AF388" s="212"/>
      <c r="AG388" s="211"/>
      <c r="AH388" s="212"/>
      <c r="AI388" s="212"/>
      <c r="AJ388" s="212"/>
      <c r="AK388" s="212"/>
      <c r="AL388" s="211"/>
      <c r="AM388" s="212"/>
      <c r="AN388" s="212"/>
      <c r="AO388" s="212"/>
      <c r="AP388" s="212"/>
      <c r="AQ388" s="211"/>
      <c r="AR388" s="212"/>
      <c r="AS388" s="212"/>
      <c r="AT388" s="212"/>
      <c r="AU388" s="212"/>
      <c r="AV388" s="211"/>
      <c r="AW388" s="212"/>
      <c r="AX388" s="212"/>
      <c r="AY388" s="212"/>
      <c r="AZ388" s="212"/>
      <c r="BA388" s="211"/>
      <c r="BB388" s="212"/>
      <c r="BC388" s="212"/>
      <c r="BD388" s="212"/>
      <c r="BE388" s="212"/>
      <c r="BF388" s="211"/>
      <c r="BG388" s="212"/>
      <c r="BH388" s="212"/>
      <c r="BI388" s="212"/>
      <c r="BJ388" s="212"/>
      <c r="BK388" s="211"/>
      <c r="BL388" s="212"/>
      <c r="BM388" s="212"/>
      <c r="BN388" s="212"/>
      <c r="BO388" s="212"/>
      <c r="BP388" s="211"/>
      <c r="BQ388" s="212"/>
      <c r="BR388" s="212"/>
      <c r="BS388" s="212"/>
      <c r="BT388" s="212"/>
      <c r="BU388" s="211"/>
      <c r="BV388" s="212"/>
      <c r="BW388" s="212"/>
      <c r="BX388" s="212"/>
      <c r="BY388" s="212"/>
      <c r="BZ388" s="211"/>
      <c r="CA388" s="212"/>
      <c r="CB388" s="212"/>
      <c r="CC388" s="212"/>
      <c r="CD388" s="212"/>
      <c r="CE388" s="211"/>
      <c r="CF388" s="212"/>
      <c r="CG388" s="212"/>
      <c r="CH388" s="212"/>
      <c r="CI388" s="212"/>
      <c r="CJ388" s="211"/>
      <c r="CK388" s="212"/>
      <c r="CL388" s="212"/>
      <c r="CM388" s="212"/>
      <c r="CN388" s="212"/>
      <c r="CO388" s="211"/>
      <c r="CP388" s="212"/>
      <c r="CQ388" s="212"/>
      <c r="CR388" s="212"/>
      <c r="CS388" s="212"/>
      <c r="CT388" s="211"/>
      <c r="CU388" s="212"/>
      <c r="CV388" s="212"/>
      <c r="CW388" s="212"/>
      <c r="CX388" s="212"/>
      <c r="CY388" s="211"/>
      <c r="CZ388" s="212"/>
      <c r="DA388" s="212"/>
      <c r="DB388" s="212"/>
      <c r="DC388" s="212"/>
      <c r="DD388" s="211"/>
      <c r="DE388" s="212"/>
      <c r="DF388" s="212"/>
      <c r="DG388" s="212"/>
      <c r="DH388" s="212"/>
      <c r="DI388" s="211"/>
      <c r="DJ388" s="212"/>
      <c r="DK388" s="212"/>
      <c r="DL388" s="212"/>
      <c r="DM388" s="212"/>
      <c r="DN388" s="211"/>
      <c r="DO388" s="212"/>
      <c r="DP388" s="212"/>
      <c r="DQ388" s="212"/>
      <c r="DR388" s="212"/>
      <c r="DS388" s="211"/>
      <c r="DT388" s="212"/>
      <c r="DU388" s="212"/>
      <c r="DV388" s="212"/>
      <c r="DW388" s="212"/>
      <c r="DX388" s="211"/>
      <c r="DY388" s="212"/>
      <c r="DZ388" s="212"/>
      <c r="EA388" s="212"/>
      <c r="EB388" s="212"/>
      <c r="EC388" s="211"/>
      <c r="ED388" s="212"/>
      <c r="EE388" s="212"/>
      <c r="EF388" s="212"/>
      <c r="EG388" s="212"/>
      <c r="EH388" s="211"/>
      <c r="EI388" s="212"/>
      <c r="EJ388" s="212"/>
      <c r="EK388" s="212"/>
      <c r="EL388" s="212"/>
      <c r="EM388" s="211"/>
      <c r="EN388" s="212"/>
      <c r="EO388" s="212"/>
      <c r="EP388" s="212"/>
      <c r="EQ388" s="212"/>
      <c r="ER388" s="211"/>
      <c r="ES388" s="212"/>
      <c r="ET388" s="212"/>
      <c r="EU388" s="212"/>
      <c r="EV388" s="212"/>
      <c r="EW388" s="211"/>
      <c r="EX388" s="212"/>
      <c r="EY388" s="212"/>
      <c r="EZ388" s="212"/>
      <c r="FA388" s="212"/>
      <c r="FB388" s="211"/>
      <c r="FC388" s="212"/>
      <c r="FD388" s="212"/>
      <c r="FE388" s="212"/>
      <c r="FF388" s="212"/>
      <c r="FG388" s="211"/>
      <c r="FH388" s="212"/>
      <c r="FI388" s="212"/>
      <c r="FJ388" s="212"/>
      <c r="FK388" s="212"/>
      <c r="FL388" s="211"/>
      <c r="FM388" s="212"/>
      <c r="FN388" s="212"/>
      <c r="FO388" s="212"/>
      <c r="FP388" s="212"/>
      <c r="FQ388" s="211"/>
      <c r="FR388" s="212"/>
      <c r="FS388" s="212"/>
      <c r="FT388" s="212"/>
      <c r="FU388" s="212"/>
      <c r="FV388" s="211"/>
      <c r="FW388" s="212"/>
      <c r="FX388" s="212"/>
      <c r="FY388" s="212"/>
      <c r="FZ388" s="212"/>
      <c r="GA388" s="211"/>
      <c r="GB388" s="212"/>
      <c r="GC388" s="212"/>
      <c r="GD388" s="212"/>
      <c r="GE388" s="212"/>
      <c r="GF388" s="211"/>
      <c r="GG388" s="212"/>
      <c r="GH388" s="212"/>
      <c r="GI388" s="212"/>
      <c r="GJ388" s="212"/>
    </row>
    <row r="395" spans="3:192" ht="12.75" customHeight="1">
      <c r="C395" s="139"/>
      <c r="D395" s="105"/>
      <c r="E395" s="105"/>
      <c r="F395" s="105"/>
      <c r="G395" s="105"/>
      <c r="H395" s="139"/>
      <c r="I395" s="105"/>
      <c r="J395" s="105"/>
      <c r="K395" s="105"/>
      <c r="L395" s="105"/>
      <c r="M395" s="139"/>
      <c r="N395" s="105"/>
      <c r="O395" s="105"/>
      <c r="P395" s="105"/>
      <c r="Q395" s="105"/>
      <c r="R395" s="139"/>
      <c r="S395" s="105"/>
      <c r="T395" s="105"/>
      <c r="U395" s="105"/>
      <c r="V395" s="105"/>
      <c r="W395" s="139"/>
      <c r="X395" s="105"/>
      <c r="Y395" s="105"/>
      <c r="Z395" s="105"/>
      <c r="AA395" s="105"/>
      <c r="AB395" s="139"/>
      <c r="AC395" s="105"/>
      <c r="AD395" s="105"/>
      <c r="AE395" s="105"/>
      <c r="AF395" s="105"/>
      <c r="AG395" s="139"/>
      <c r="AH395" s="105"/>
      <c r="AI395" s="105"/>
      <c r="AJ395" s="105"/>
      <c r="AK395" s="105"/>
      <c r="AL395" s="139"/>
      <c r="AM395" s="105"/>
      <c r="AN395" s="105"/>
      <c r="AO395" s="105"/>
      <c r="AP395" s="105"/>
      <c r="AQ395" s="139"/>
      <c r="AR395" s="105"/>
      <c r="AS395" s="105"/>
      <c r="AT395" s="105"/>
      <c r="AU395" s="105"/>
      <c r="AV395" s="139"/>
      <c r="AW395" s="105"/>
      <c r="AX395" s="105"/>
      <c r="AY395" s="105"/>
      <c r="AZ395" s="105"/>
      <c r="BA395" s="139"/>
      <c r="BB395" s="105"/>
      <c r="BC395" s="105"/>
      <c r="BD395" s="105"/>
      <c r="BE395" s="105"/>
      <c r="BF395" s="139"/>
      <c r="BG395" s="105"/>
      <c r="BH395" s="105"/>
      <c r="BI395" s="105"/>
      <c r="BJ395" s="105"/>
      <c r="BK395" s="139"/>
      <c r="BL395" s="105"/>
      <c r="BM395" s="105"/>
      <c r="BN395" s="105"/>
      <c r="BO395" s="105"/>
      <c r="BP395" s="139"/>
      <c r="BQ395" s="105"/>
      <c r="BR395" s="105"/>
      <c r="BS395" s="105"/>
      <c r="BT395" s="105"/>
      <c r="BU395" s="139"/>
      <c r="BV395" s="105"/>
      <c r="BW395" s="105"/>
      <c r="BX395" s="105"/>
      <c r="BY395" s="105"/>
      <c r="BZ395" s="139"/>
      <c r="CA395" s="105"/>
      <c r="CB395" s="105"/>
      <c r="CC395" s="105"/>
      <c r="CD395" s="105"/>
      <c r="CE395" s="139"/>
      <c r="CF395" s="105"/>
      <c r="CG395" s="105"/>
      <c r="CH395" s="105"/>
      <c r="CI395" s="105"/>
      <c r="CJ395" s="139"/>
      <c r="CK395" s="105"/>
      <c r="CL395" s="105"/>
      <c r="CM395" s="105"/>
      <c r="CN395" s="105"/>
      <c r="CO395" s="139"/>
      <c r="CP395" s="105"/>
      <c r="CQ395" s="105"/>
      <c r="CR395" s="105"/>
      <c r="CS395" s="105"/>
      <c r="CT395" s="139"/>
      <c r="CU395" s="105"/>
      <c r="CV395" s="105"/>
      <c r="CW395" s="105"/>
      <c r="CX395" s="105"/>
      <c r="CY395" s="139"/>
      <c r="CZ395" s="105"/>
      <c r="DA395" s="105"/>
      <c r="DB395" s="105"/>
      <c r="DC395" s="105"/>
      <c r="DD395" s="139"/>
      <c r="DE395" s="105"/>
      <c r="DF395" s="105"/>
      <c r="DG395" s="105"/>
      <c r="DH395" s="105"/>
      <c r="DI395" s="139"/>
      <c r="DJ395" s="105"/>
      <c r="DK395" s="105"/>
      <c r="DL395" s="105"/>
      <c r="DM395" s="105"/>
      <c r="DN395" s="139"/>
      <c r="DO395" s="105"/>
      <c r="DP395" s="105"/>
      <c r="DQ395" s="105"/>
      <c r="DR395" s="105"/>
      <c r="DS395" s="139"/>
      <c r="DT395" s="105"/>
      <c r="DU395" s="105"/>
      <c r="DV395" s="105"/>
      <c r="DW395" s="105"/>
      <c r="DX395" s="139"/>
      <c r="DY395" s="105"/>
      <c r="DZ395" s="105"/>
      <c r="EA395" s="105"/>
      <c r="EB395" s="105"/>
      <c r="EC395" s="139"/>
      <c r="ED395" s="105"/>
      <c r="EE395" s="105"/>
      <c r="EF395" s="105"/>
      <c r="EG395" s="105"/>
      <c r="EH395" s="139"/>
      <c r="EI395" s="105"/>
      <c r="EJ395" s="105"/>
      <c r="EK395" s="105"/>
      <c r="EL395" s="105"/>
      <c r="EM395" s="139"/>
      <c r="EN395" s="105"/>
      <c r="EO395" s="105"/>
      <c r="EP395" s="105"/>
      <c r="EQ395" s="105"/>
      <c r="ER395" s="139"/>
      <c r="ES395" s="105"/>
      <c r="ET395" s="105"/>
      <c r="EU395" s="105"/>
      <c r="EV395" s="105"/>
      <c r="EW395" s="139"/>
      <c r="EX395" s="105"/>
      <c r="EY395" s="105"/>
      <c r="EZ395" s="105"/>
      <c r="FA395" s="105"/>
      <c r="FB395" s="139"/>
      <c r="FC395" s="105"/>
      <c r="FD395" s="105"/>
      <c r="FE395" s="105"/>
      <c r="FF395" s="105"/>
      <c r="FG395" s="139"/>
      <c r="FH395" s="105"/>
      <c r="FI395" s="105"/>
      <c r="FJ395" s="105"/>
      <c r="FK395" s="105"/>
      <c r="FL395" s="139"/>
      <c r="FM395" s="105"/>
      <c r="FN395" s="105"/>
      <c r="FO395" s="105"/>
      <c r="FP395" s="105"/>
      <c r="FQ395" s="139"/>
      <c r="FR395" s="105"/>
      <c r="FS395" s="105"/>
      <c r="FT395" s="105"/>
      <c r="FU395" s="105"/>
      <c r="FV395" s="139"/>
      <c r="FW395" s="105"/>
      <c r="FX395" s="105"/>
      <c r="FY395" s="105"/>
      <c r="FZ395" s="105"/>
      <c r="GA395" s="139"/>
      <c r="GB395" s="105"/>
      <c r="GC395" s="105"/>
      <c r="GD395" s="105"/>
      <c r="GE395" s="105"/>
      <c r="GF395" s="139"/>
      <c r="GG395" s="105"/>
      <c r="GH395" s="105"/>
      <c r="GI395" s="105"/>
      <c r="GJ395" s="105"/>
    </row>
    <row r="396" spans="3:192" ht="12.75" customHeight="1">
      <c r="C396" s="139"/>
      <c r="D396" s="105"/>
      <c r="E396" s="105"/>
      <c r="F396" s="105"/>
      <c r="G396" s="105"/>
      <c r="H396" s="139"/>
      <c r="I396" s="105"/>
      <c r="J396" s="105"/>
      <c r="K396" s="105"/>
      <c r="L396" s="105"/>
      <c r="M396" s="139"/>
      <c r="N396" s="105"/>
      <c r="O396" s="105"/>
      <c r="P396" s="105"/>
      <c r="Q396" s="105"/>
      <c r="R396" s="139"/>
      <c r="S396" s="105"/>
      <c r="T396" s="105"/>
      <c r="U396" s="105"/>
      <c r="V396" s="105"/>
      <c r="W396" s="139"/>
      <c r="X396" s="105"/>
      <c r="Y396" s="105"/>
      <c r="Z396" s="105"/>
      <c r="AA396" s="105"/>
      <c r="AB396" s="139"/>
      <c r="AC396" s="105"/>
      <c r="AD396" s="105"/>
      <c r="AE396" s="105"/>
      <c r="AF396" s="105"/>
      <c r="AG396" s="139"/>
      <c r="AH396" s="105"/>
      <c r="AI396" s="105"/>
      <c r="AJ396" s="105"/>
      <c r="AK396" s="105"/>
      <c r="AL396" s="139"/>
      <c r="AM396" s="105"/>
      <c r="AN396" s="105"/>
      <c r="AO396" s="105"/>
      <c r="AP396" s="105"/>
      <c r="AQ396" s="139"/>
      <c r="AR396" s="105"/>
      <c r="AS396" s="105"/>
      <c r="AT396" s="105"/>
      <c r="AU396" s="105"/>
      <c r="AV396" s="139"/>
      <c r="AW396" s="105"/>
      <c r="AX396" s="105"/>
      <c r="AY396" s="105"/>
      <c r="AZ396" s="105"/>
      <c r="BA396" s="139"/>
      <c r="BB396" s="105"/>
      <c r="BC396" s="105"/>
      <c r="BD396" s="105"/>
      <c r="BE396" s="105"/>
      <c r="BF396" s="139"/>
      <c r="BG396" s="105"/>
      <c r="BH396" s="105"/>
      <c r="BI396" s="105"/>
      <c r="BJ396" s="105"/>
      <c r="BK396" s="139"/>
      <c r="BL396" s="105"/>
      <c r="BM396" s="105"/>
      <c r="BN396" s="105"/>
      <c r="BO396" s="105"/>
      <c r="BP396" s="139"/>
      <c r="BQ396" s="105"/>
      <c r="BR396" s="105"/>
      <c r="BS396" s="105"/>
      <c r="BT396" s="105"/>
      <c r="BU396" s="139"/>
      <c r="BV396" s="105"/>
      <c r="BW396" s="105"/>
      <c r="BX396" s="105"/>
      <c r="BY396" s="105"/>
      <c r="BZ396" s="139"/>
      <c r="CA396" s="105"/>
      <c r="CB396" s="105"/>
      <c r="CC396" s="105"/>
      <c r="CD396" s="105"/>
      <c r="CE396" s="139"/>
      <c r="CF396" s="105"/>
      <c r="CG396" s="105"/>
      <c r="CH396" s="105"/>
      <c r="CI396" s="105"/>
      <c r="CJ396" s="139"/>
      <c r="CK396" s="105"/>
      <c r="CL396" s="105"/>
      <c r="CM396" s="105"/>
      <c r="CN396" s="105"/>
      <c r="CO396" s="139"/>
      <c r="CP396" s="105"/>
      <c r="CQ396" s="105"/>
      <c r="CR396" s="105"/>
      <c r="CS396" s="105"/>
      <c r="CT396" s="139"/>
      <c r="CU396" s="105"/>
      <c r="CV396" s="105"/>
      <c r="CW396" s="105"/>
      <c r="CX396" s="105"/>
      <c r="CY396" s="139"/>
      <c r="CZ396" s="105"/>
      <c r="DA396" s="105"/>
      <c r="DB396" s="105"/>
      <c r="DC396" s="105"/>
      <c r="DD396" s="139"/>
      <c r="DE396" s="105"/>
      <c r="DF396" s="105"/>
      <c r="DG396" s="105"/>
      <c r="DH396" s="105"/>
      <c r="DI396" s="139"/>
      <c r="DJ396" s="105"/>
      <c r="DK396" s="105"/>
      <c r="DL396" s="105"/>
      <c r="DM396" s="105"/>
      <c r="DN396" s="139"/>
      <c r="DO396" s="105"/>
      <c r="DP396" s="105"/>
      <c r="DQ396" s="105"/>
      <c r="DR396" s="105"/>
      <c r="DS396" s="139"/>
      <c r="DT396" s="105"/>
      <c r="DU396" s="105"/>
      <c r="DV396" s="105"/>
      <c r="DW396" s="105"/>
      <c r="DX396" s="139"/>
      <c r="DY396" s="105"/>
      <c r="DZ396" s="105"/>
      <c r="EA396" s="105"/>
      <c r="EB396" s="105"/>
      <c r="EC396" s="139"/>
      <c r="ED396" s="105"/>
      <c r="EE396" s="105"/>
      <c r="EF396" s="105"/>
      <c r="EG396" s="105"/>
      <c r="EH396" s="139"/>
      <c r="EI396" s="105"/>
      <c r="EJ396" s="105"/>
      <c r="EK396" s="105"/>
      <c r="EL396" s="105"/>
      <c r="EM396" s="139"/>
      <c r="EN396" s="105"/>
      <c r="EO396" s="105"/>
      <c r="EP396" s="105"/>
      <c r="EQ396" s="105"/>
      <c r="ER396" s="139"/>
      <c r="ES396" s="105"/>
      <c r="ET396" s="105"/>
      <c r="EU396" s="105"/>
      <c r="EV396" s="105"/>
      <c r="EW396" s="139"/>
      <c r="EX396" s="105"/>
      <c r="EY396" s="105"/>
      <c r="EZ396" s="105"/>
      <c r="FA396" s="105"/>
      <c r="FB396" s="139"/>
      <c r="FC396" s="105"/>
      <c r="FD396" s="105"/>
      <c r="FE396" s="105"/>
      <c r="FF396" s="105"/>
      <c r="FG396" s="139"/>
      <c r="FH396" s="105"/>
      <c r="FI396" s="105"/>
      <c r="FJ396" s="105"/>
      <c r="FK396" s="105"/>
      <c r="FL396" s="139"/>
      <c r="FM396" s="105"/>
      <c r="FN396" s="105"/>
      <c r="FO396" s="105"/>
      <c r="FP396" s="105"/>
      <c r="FQ396" s="139"/>
      <c r="FR396" s="105"/>
      <c r="FS396" s="105"/>
      <c r="FT396" s="105"/>
      <c r="FU396" s="105"/>
      <c r="FV396" s="139"/>
      <c r="FW396" s="105"/>
      <c r="FX396" s="105"/>
      <c r="FY396" s="105"/>
      <c r="FZ396" s="105"/>
      <c r="GA396" s="139"/>
      <c r="GB396" s="105"/>
      <c r="GC396" s="105"/>
      <c r="GD396" s="105"/>
      <c r="GE396" s="105"/>
      <c r="GF396" s="139"/>
      <c r="GG396" s="105"/>
      <c r="GH396" s="105"/>
      <c r="GI396" s="105"/>
      <c r="GJ396" s="105"/>
    </row>
    <row r="398" spans="3:192" ht="12.75" customHeight="1">
      <c r="C398" s="139"/>
      <c r="D398" s="105"/>
      <c r="E398" s="105"/>
      <c r="F398" s="105"/>
      <c r="G398" s="105"/>
      <c r="H398" s="139"/>
      <c r="I398" s="105"/>
      <c r="J398" s="105"/>
      <c r="K398" s="105"/>
      <c r="L398" s="105"/>
      <c r="M398" s="139"/>
      <c r="N398" s="105"/>
      <c r="O398" s="105"/>
      <c r="P398" s="105"/>
      <c r="Q398" s="105"/>
      <c r="R398" s="139"/>
      <c r="S398" s="105"/>
      <c r="T398" s="105"/>
      <c r="U398" s="105"/>
      <c r="V398" s="105"/>
      <c r="W398" s="139"/>
      <c r="X398" s="105"/>
      <c r="Y398" s="105"/>
      <c r="Z398" s="105"/>
      <c r="AA398" s="105"/>
      <c r="AB398" s="139"/>
      <c r="AC398" s="105"/>
      <c r="AD398" s="105"/>
      <c r="AE398" s="105"/>
      <c r="AF398" s="105"/>
      <c r="AG398" s="139"/>
      <c r="AH398" s="105"/>
      <c r="AI398" s="105"/>
      <c r="AJ398" s="105"/>
      <c r="AK398" s="105"/>
      <c r="AL398" s="139"/>
      <c r="AM398" s="105"/>
      <c r="AN398" s="105"/>
      <c r="AO398" s="105"/>
      <c r="AP398" s="105"/>
      <c r="AQ398" s="139"/>
      <c r="AR398" s="105"/>
      <c r="AS398" s="105"/>
      <c r="AT398" s="105"/>
      <c r="AU398" s="105"/>
      <c r="AV398" s="139"/>
      <c r="AW398" s="105"/>
      <c r="AX398" s="105"/>
      <c r="AY398" s="105"/>
      <c r="AZ398" s="105"/>
      <c r="BA398" s="139"/>
      <c r="BB398" s="105"/>
      <c r="BC398" s="105"/>
      <c r="BD398" s="105"/>
      <c r="BE398" s="105"/>
      <c r="BF398" s="139"/>
      <c r="BG398" s="105"/>
      <c r="BH398" s="105"/>
      <c r="BI398" s="105"/>
      <c r="BJ398" s="105"/>
      <c r="BK398" s="139"/>
      <c r="BL398" s="105"/>
      <c r="BM398" s="105"/>
      <c r="BN398" s="105"/>
      <c r="BO398" s="105"/>
      <c r="BP398" s="139"/>
      <c r="BQ398" s="105"/>
      <c r="BR398" s="105"/>
      <c r="BS398" s="105"/>
      <c r="BT398" s="105"/>
      <c r="BU398" s="139"/>
      <c r="BV398" s="105"/>
      <c r="BW398" s="105"/>
      <c r="BX398" s="105"/>
      <c r="BY398" s="105"/>
      <c r="BZ398" s="139"/>
      <c r="CA398" s="105"/>
      <c r="CB398" s="105"/>
      <c r="CC398" s="105"/>
      <c r="CD398" s="105"/>
      <c r="CE398" s="139"/>
      <c r="CF398" s="105"/>
      <c r="CG398" s="105"/>
      <c r="CH398" s="105"/>
      <c r="CI398" s="105"/>
      <c r="CJ398" s="139"/>
      <c r="CK398" s="105"/>
      <c r="CL398" s="105"/>
      <c r="CM398" s="105"/>
      <c r="CN398" s="105"/>
      <c r="CO398" s="139"/>
      <c r="CP398" s="105"/>
      <c r="CQ398" s="105"/>
      <c r="CR398" s="105"/>
      <c r="CS398" s="105"/>
      <c r="CT398" s="139"/>
      <c r="CU398" s="105"/>
      <c r="CV398" s="105"/>
      <c r="CW398" s="105"/>
      <c r="CX398" s="105"/>
      <c r="CY398" s="139"/>
      <c r="CZ398" s="105"/>
      <c r="DA398" s="105"/>
      <c r="DB398" s="105"/>
      <c r="DC398" s="105"/>
      <c r="DD398" s="139"/>
      <c r="DE398" s="105"/>
      <c r="DF398" s="105"/>
      <c r="DG398" s="105"/>
      <c r="DH398" s="105"/>
      <c r="DI398" s="139"/>
      <c r="DJ398" s="105"/>
      <c r="DK398" s="105"/>
      <c r="DL398" s="105"/>
      <c r="DM398" s="105"/>
      <c r="DN398" s="139"/>
      <c r="DO398" s="105"/>
      <c r="DP398" s="105"/>
      <c r="DQ398" s="105"/>
      <c r="DR398" s="105"/>
      <c r="DS398" s="139"/>
      <c r="DT398" s="105"/>
      <c r="DU398" s="105"/>
      <c r="DV398" s="105"/>
      <c r="DW398" s="105"/>
      <c r="DX398" s="139"/>
      <c r="DY398" s="105"/>
      <c r="DZ398" s="105"/>
      <c r="EA398" s="105"/>
      <c r="EB398" s="105"/>
      <c r="EC398" s="139"/>
      <c r="ED398" s="105"/>
      <c r="EE398" s="105"/>
      <c r="EF398" s="105"/>
      <c r="EG398" s="105"/>
      <c r="EH398" s="139"/>
      <c r="EI398" s="105"/>
      <c r="EJ398" s="105"/>
      <c r="EK398" s="105"/>
      <c r="EL398" s="105"/>
      <c r="EM398" s="139"/>
      <c r="EN398" s="105"/>
      <c r="EO398" s="105"/>
      <c r="EP398" s="105"/>
      <c r="EQ398" s="105"/>
      <c r="ER398" s="139"/>
      <c r="ES398" s="105"/>
      <c r="ET398" s="105"/>
      <c r="EU398" s="105"/>
      <c r="EV398" s="105"/>
      <c r="EW398" s="139"/>
      <c r="EX398" s="105"/>
      <c r="EY398" s="105"/>
      <c r="EZ398" s="105"/>
      <c r="FA398" s="105"/>
      <c r="FB398" s="139"/>
      <c r="FC398" s="105"/>
      <c r="FD398" s="105"/>
      <c r="FE398" s="105"/>
      <c r="FF398" s="105"/>
      <c r="FG398" s="139"/>
      <c r="FH398" s="105"/>
      <c r="FI398" s="105"/>
      <c r="FJ398" s="105"/>
      <c r="FK398" s="105"/>
      <c r="FL398" s="139"/>
      <c r="FM398" s="105"/>
      <c r="FN398" s="105"/>
      <c r="FO398" s="105"/>
      <c r="FP398" s="105"/>
      <c r="FQ398" s="139"/>
      <c r="FR398" s="105"/>
      <c r="FS398" s="105"/>
      <c r="FT398" s="105"/>
      <c r="FU398" s="105"/>
      <c r="FV398" s="139"/>
      <c r="FW398" s="105"/>
      <c r="FX398" s="105"/>
      <c r="FY398" s="105"/>
      <c r="FZ398" s="105"/>
      <c r="GA398" s="139"/>
      <c r="GB398" s="105"/>
      <c r="GC398" s="105"/>
      <c r="GD398" s="105"/>
      <c r="GE398" s="105"/>
      <c r="GF398" s="139"/>
      <c r="GG398" s="105"/>
      <c r="GH398" s="105"/>
      <c r="GI398" s="105"/>
      <c r="GJ398" s="105"/>
    </row>
    <row r="399" spans="3:192" ht="12.75" customHeight="1">
      <c r="C399" s="139"/>
      <c r="D399" s="105"/>
      <c r="E399" s="105"/>
      <c r="F399" s="105"/>
      <c r="G399" s="105"/>
      <c r="H399" s="139"/>
      <c r="I399" s="105"/>
      <c r="J399" s="105"/>
      <c r="K399" s="105"/>
      <c r="L399" s="105"/>
      <c r="M399" s="139"/>
      <c r="N399" s="105"/>
      <c r="O399" s="105"/>
      <c r="P399" s="105"/>
      <c r="Q399" s="105"/>
      <c r="R399" s="139"/>
      <c r="S399" s="105"/>
      <c r="T399" s="105"/>
      <c r="U399" s="105"/>
      <c r="V399" s="105"/>
      <c r="W399" s="139"/>
      <c r="X399" s="105"/>
      <c r="Y399" s="105"/>
      <c r="Z399" s="105"/>
      <c r="AA399" s="105"/>
      <c r="AB399" s="139"/>
      <c r="AC399" s="105"/>
      <c r="AD399" s="105"/>
      <c r="AE399" s="105"/>
      <c r="AF399" s="105"/>
      <c r="AG399" s="139"/>
      <c r="AH399" s="105"/>
      <c r="AI399" s="105"/>
      <c r="AJ399" s="105"/>
      <c r="AK399" s="105"/>
      <c r="AL399" s="139"/>
      <c r="AM399" s="105"/>
      <c r="AN399" s="105"/>
      <c r="AO399" s="105"/>
      <c r="AP399" s="105"/>
      <c r="AQ399" s="139"/>
      <c r="AR399" s="105"/>
      <c r="AS399" s="105"/>
      <c r="AT399" s="105"/>
      <c r="AU399" s="105"/>
      <c r="AV399" s="139"/>
      <c r="AW399" s="105"/>
      <c r="AX399" s="105"/>
      <c r="AY399" s="105"/>
      <c r="AZ399" s="105"/>
      <c r="BA399" s="139"/>
      <c r="BB399" s="105"/>
      <c r="BC399" s="105"/>
      <c r="BD399" s="105"/>
      <c r="BE399" s="105"/>
      <c r="BF399" s="139"/>
      <c r="BG399" s="105"/>
      <c r="BH399" s="105"/>
      <c r="BI399" s="105"/>
      <c r="BJ399" s="105"/>
      <c r="BK399" s="139"/>
      <c r="BL399" s="105"/>
      <c r="BM399" s="105"/>
      <c r="BN399" s="105"/>
      <c r="BO399" s="105"/>
      <c r="BP399" s="139"/>
      <c r="BQ399" s="105"/>
      <c r="BR399" s="105"/>
      <c r="BS399" s="105"/>
      <c r="BT399" s="105"/>
      <c r="BU399" s="139"/>
      <c r="BV399" s="105"/>
      <c r="BW399" s="105"/>
      <c r="BX399" s="105"/>
      <c r="BY399" s="105"/>
      <c r="BZ399" s="139"/>
      <c r="CA399" s="105"/>
      <c r="CB399" s="105"/>
      <c r="CC399" s="105"/>
      <c r="CD399" s="105"/>
      <c r="CE399" s="139"/>
      <c r="CF399" s="105"/>
      <c r="CG399" s="105"/>
      <c r="CH399" s="105"/>
      <c r="CI399" s="105"/>
      <c r="CJ399" s="139"/>
      <c r="CK399" s="105"/>
      <c r="CL399" s="105"/>
      <c r="CM399" s="105"/>
      <c r="CN399" s="105"/>
      <c r="CO399" s="139"/>
      <c r="CP399" s="105"/>
      <c r="CQ399" s="105"/>
      <c r="CR399" s="105"/>
      <c r="CS399" s="105"/>
      <c r="CT399" s="139"/>
      <c r="CU399" s="105"/>
      <c r="CV399" s="105"/>
      <c r="CW399" s="105"/>
      <c r="CX399" s="105"/>
      <c r="CY399" s="139"/>
      <c r="CZ399" s="105"/>
      <c r="DA399" s="105"/>
      <c r="DB399" s="105"/>
      <c r="DC399" s="105"/>
      <c r="DD399" s="139"/>
      <c r="DE399" s="105"/>
      <c r="DF399" s="105"/>
      <c r="DG399" s="105"/>
      <c r="DH399" s="105"/>
      <c r="DI399" s="139"/>
      <c r="DJ399" s="105"/>
      <c r="DK399" s="105"/>
      <c r="DL399" s="105"/>
      <c r="DM399" s="105"/>
      <c r="DN399" s="139"/>
      <c r="DO399" s="105"/>
      <c r="DP399" s="105"/>
      <c r="DQ399" s="105"/>
      <c r="DR399" s="105"/>
      <c r="DS399" s="139"/>
      <c r="DT399" s="105"/>
      <c r="DU399" s="105"/>
      <c r="DV399" s="105"/>
      <c r="DW399" s="105"/>
      <c r="DX399" s="139"/>
      <c r="DY399" s="105"/>
      <c r="DZ399" s="105"/>
      <c r="EA399" s="105"/>
      <c r="EB399" s="105"/>
      <c r="EC399" s="139"/>
      <c r="ED399" s="105"/>
      <c r="EE399" s="105"/>
      <c r="EF399" s="105"/>
      <c r="EG399" s="105"/>
      <c r="EH399" s="139"/>
      <c r="EI399" s="105"/>
      <c r="EJ399" s="105"/>
      <c r="EK399" s="105"/>
      <c r="EL399" s="105"/>
      <c r="EM399" s="139"/>
      <c r="EN399" s="105"/>
      <c r="EO399" s="105"/>
      <c r="EP399" s="105"/>
      <c r="EQ399" s="105"/>
      <c r="ER399" s="139"/>
      <c r="ES399" s="105"/>
      <c r="ET399" s="105"/>
      <c r="EU399" s="105"/>
      <c r="EV399" s="105"/>
      <c r="EW399" s="139"/>
      <c r="EX399" s="105"/>
      <c r="EY399" s="105"/>
      <c r="EZ399" s="105"/>
      <c r="FA399" s="105"/>
      <c r="FB399" s="139"/>
      <c r="FC399" s="105"/>
      <c r="FD399" s="105"/>
      <c r="FE399" s="105"/>
      <c r="FF399" s="105"/>
      <c r="FG399" s="139"/>
      <c r="FH399" s="105"/>
      <c r="FI399" s="105"/>
      <c r="FJ399" s="105"/>
      <c r="FK399" s="105"/>
      <c r="FL399" s="139"/>
      <c r="FM399" s="105"/>
      <c r="FN399" s="105"/>
      <c r="FO399" s="105"/>
      <c r="FP399" s="105"/>
      <c r="FQ399" s="139"/>
      <c r="FR399" s="105"/>
      <c r="FS399" s="105"/>
      <c r="FT399" s="105"/>
      <c r="FU399" s="105"/>
      <c r="FV399" s="139"/>
      <c r="FW399" s="105"/>
      <c r="FX399" s="105"/>
      <c r="FY399" s="105"/>
      <c r="FZ399" s="105"/>
      <c r="GA399" s="139"/>
      <c r="GB399" s="105"/>
      <c r="GC399" s="105"/>
      <c r="GD399" s="105"/>
      <c r="GE399" s="105"/>
      <c r="GF399" s="139"/>
      <c r="GG399" s="105"/>
      <c r="GH399" s="105"/>
      <c r="GI399" s="105"/>
      <c r="GJ399" s="105"/>
    </row>
    <row r="400" spans="3:192" ht="12.75" customHeight="1">
      <c r="C400" s="213"/>
      <c r="D400" s="214"/>
      <c r="E400" s="214"/>
      <c r="F400" s="214"/>
      <c r="G400" s="214"/>
      <c r="H400" s="213"/>
      <c r="I400" s="214"/>
      <c r="J400" s="214"/>
      <c r="K400" s="214"/>
      <c r="L400" s="214"/>
      <c r="M400" s="213"/>
      <c r="N400" s="214"/>
      <c r="O400" s="214"/>
      <c r="P400" s="214"/>
      <c r="Q400" s="214"/>
      <c r="R400" s="213"/>
      <c r="S400" s="214"/>
      <c r="T400" s="214"/>
      <c r="U400" s="214"/>
      <c r="V400" s="214"/>
      <c r="W400" s="213"/>
      <c r="X400" s="214"/>
      <c r="Y400" s="214"/>
      <c r="Z400" s="214"/>
      <c r="AA400" s="214"/>
      <c r="AB400" s="213"/>
      <c r="AC400" s="214"/>
      <c r="AD400" s="214"/>
      <c r="AE400" s="214"/>
      <c r="AF400" s="214"/>
      <c r="AG400" s="213"/>
      <c r="AH400" s="214"/>
      <c r="AI400" s="214"/>
      <c r="AJ400" s="214"/>
      <c r="AK400" s="214"/>
      <c r="AL400" s="213"/>
      <c r="AM400" s="214"/>
      <c r="AN400" s="214"/>
      <c r="AO400" s="214"/>
      <c r="AP400" s="214"/>
      <c r="AQ400" s="213"/>
      <c r="AR400" s="214"/>
      <c r="AS400" s="214"/>
      <c r="AT400" s="214"/>
      <c r="AU400" s="214"/>
      <c r="AV400" s="213"/>
      <c r="AW400" s="214"/>
      <c r="AX400" s="214"/>
      <c r="AY400" s="214"/>
      <c r="AZ400" s="214"/>
      <c r="BA400" s="213"/>
      <c r="BB400" s="214"/>
      <c r="BC400" s="214"/>
      <c r="BD400" s="214"/>
      <c r="BE400" s="214"/>
      <c r="BF400" s="213"/>
      <c r="BG400" s="214"/>
      <c r="BH400" s="214"/>
      <c r="BI400" s="214"/>
      <c r="BJ400" s="214"/>
      <c r="BK400" s="213"/>
      <c r="BL400" s="214"/>
      <c r="BM400" s="214"/>
      <c r="BN400" s="214"/>
      <c r="BO400" s="214"/>
      <c r="BP400" s="213"/>
      <c r="BQ400" s="214"/>
      <c r="BR400" s="214"/>
      <c r="BS400" s="214"/>
      <c r="BT400" s="214"/>
      <c r="BU400" s="213"/>
      <c r="BV400" s="214"/>
      <c r="BW400" s="214"/>
      <c r="BX400" s="214"/>
      <c r="BY400" s="214"/>
      <c r="BZ400" s="213"/>
      <c r="CA400" s="214"/>
      <c r="CB400" s="214"/>
      <c r="CC400" s="214"/>
      <c r="CD400" s="214"/>
      <c r="CE400" s="213"/>
      <c r="CF400" s="214"/>
      <c r="CG400" s="214"/>
      <c r="CH400" s="214"/>
      <c r="CI400" s="214"/>
      <c r="CJ400" s="213"/>
      <c r="CK400" s="214"/>
      <c r="CL400" s="214"/>
      <c r="CM400" s="214"/>
      <c r="CN400" s="214"/>
      <c r="CO400" s="213"/>
      <c r="CP400" s="214"/>
      <c r="CQ400" s="214"/>
      <c r="CR400" s="214"/>
      <c r="CS400" s="214"/>
      <c r="CT400" s="213"/>
      <c r="CU400" s="214"/>
      <c r="CV400" s="214"/>
      <c r="CW400" s="214"/>
      <c r="CX400" s="214"/>
      <c r="CY400" s="213"/>
      <c r="CZ400" s="214"/>
      <c r="DA400" s="214"/>
      <c r="DB400" s="214"/>
      <c r="DC400" s="214"/>
      <c r="DD400" s="213"/>
      <c r="DE400" s="214"/>
      <c r="DF400" s="214"/>
      <c r="DG400" s="214"/>
      <c r="DH400" s="214"/>
      <c r="DI400" s="213"/>
      <c r="DJ400" s="214"/>
      <c r="DK400" s="214"/>
      <c r="DL400" s="214"/>
      <c r="DM400" s="214"/>
      <c r="DN400" s="213"/>
      <c r="DO400" s="214"/>
      <c r="DP400" s="214"/>
      <c r="DQ400" s="214"/>
      <c r="DR400" s="214"/>
      <c r="DS400" s="213"/>
      <c r="DT400" s="214"/>
      <c r="DU400" s="214"/>
      <c r="DV400" s="214"/>
      <c r="DW400" s="214"/>
      <c r="DX400" s="213"/>
      <c r="DY400" s="214"/>
      <c r="DZ400" s="214"/>
      <c r="EA400" s="214"/>
      <c r="EB400" s="214"/>
      <c r="EC400" s="213"/>
      <c r="ED400" s="214"/>
      <c r="EE400" s="214"/>
      <c r="EF400" s="214"/>
      <c r="EG400" s="214"/>
      <c r="EH400" s="213"/>
      <c r="EI400" s="214"/>
      <c r="EJ400" s="214"/>
      <c r="EK400" s="214"/>
      <c r="EL400" s="214"/>
      <c r="EM400" s="213"/>
      <c r="EN400" s="214"/>
      <c r="EO400" s="214"/>
      <c r="EP400" s="214"/>
      <c r="EQ400" s="214"/>
      <c r="ER400" s="213"/>
      <c r="ES400" s="214"/>
      <c r="ET400" s="214"/>
      <c r="EU400" s="214"/>
      <c r="EV400" s="214"/>
      <c r="EW400" s="213"/>
      <c r="EX400" s="214"/>
      <c r="EY400" s="214"/>
      <c r="EZ400" s="214"/>
      <c r="FA400" s="214"/>
      <c r="FB400" s="213"/>
      <c r="FC400" s="214"/>
      <c r="FD400" s="214"/>
      <c r="FE400" s="214"/>
      <c r="FF400" s="214"/>
      <c r="FG400" s="213"/>
      <c r="FH400" s="214"/>
      <c r="FI400" s="214"/>
      <c r="FJ400" s="214"/>
      <c r="FK400" s="214"/>
      <c r="FL400" s="213"/>
      <c r="FM400" s="214"/>
      <c r="FN400" s="214"/>
      <c r="FO400" s="214"/>
      <c r="FP400" s="214"/>
      <c r="FQ400" s="213"/>
      <c r="FR400" s="214"/>
      <c r="FS400" s="214"/>
      <c r="FT400" s="214"/>
      <c r="FU400" s="214"/>
      <c r="FV400" s="213"/>
      <c r="FW400" s="214"/>
      <c r="FX400" s="214"/>
      <c r="FY400" s="214"/>
      <c r="FZ400" s="214"/>
      <c r="GA400" s="213"/>
      <c r="GB400" s="214"/>
      <c r="GC400" s="214"/>
      <c r="GD400" s="214"/>
      <c r="GE400" s="214"/>
      <c r="GF400" s="213"/>
      <c r="GG400" s="214"/>
      <c r="GH400" s="214"/>
      <c r="GI400" s="214"/>
      <c r="GJ400" s="214"/>
    </row>
    <row r="401" spans="3:192" ht="12.75" customHeight="1">
      <c r="C401" s="139"/>
      <c r="D401" s="105"/>
      <c r="E401" s="105"/>
      <c r="F401" s="105"/>
      <c r="G401" s="105"/>
      <c r="H401" s="139"/>
      <c r="I401" s="105"/>
      <c r="J401" s="105"/>
      <c r="K401" s="105"/>
      <c r="L401" s="105"/>
      <c r="M401" s="139"/>
      <c r="N401" s="105"/>
      <c r="O401" s="105"/>
      <c r="P401" s="105"/>
      <c r="Q401" s="105"/>
      <c r="R401" s="139"/>
      <c r="S401" s="105"/>
      <c r="T401" s="105"/>
      <c r="U401" s="105"/>
      <c r="V401" s="105"/>
      <c r="W401" s="139"/>
      <c r="X401" s="105"/>
      <c r="Y401" s="105"/>
      <c r="Z401" s="105"/>
      <c r="AA401" s="105"/>
      <c r="AB401" s="139"/>
      <c r="AC401" s="105"/>
      <c r="AD401" s="105"/>
      <c r="AE401" s="105"/>
      <c r="AF401" s="105"/>
      <c r="AG401" s="139"/>
      <c r="AH401" s="105"/>
      <c r="AI401" s="105"/>
      <c r="AJ401" s="105"/>
      <c r="AK401" s="105"/>
      <c r="AL401" s="139"/>
      <c r="AM401" s="105"/>
      <c r="AN401" s="105"/>
      <c r="AO401" s="105"/>
      <c r="AP401" s="105"/>
      <c r="AQ401" s="139"/>
      <c r="AR401" s="105"/>
      <c r="AS401" s="105"/>
      <c r="AT401" s="105"/>
      <c r="AU401" s="105"/>
      <c r="AV401" s="139"/>
      <c r="AW401" s="105"/>
      <c r="AX401" s="105"/>
      <c r="AY401" s="105"/>
      <c r="AZ401" s="105"/>
      <c r="BA401" s="139"/>
      <c r="BB401" s="105"/>
      <c r="BC401" s="105"/>
      <c r="BD401" s="105"/>
      <c r="BE401" s="105"/>
      <c r="BF401" s="139"/>
      <c r="BG401" s="105"/>
      <c r="BH401" s="105"/>
      <c r="BI401" s="105"/>
      <c r="BJ401" s="105"/>
      <c r="BK401" s="139"/>
      <c r="BL401" s="105"/>
      <c r="BM401" s="105"/>
      <c r="BN401" s="105"/>
      <c r="BO401" s="105"/>
      <c r="BP401" s="139"/>
      <c r="BQ401" s="105"/>
      <c r="BR401" s="105"/>
      <c r="BS401" s="105"/>
      <c r="BT401" s="105"/>
      <c r="BU401" s="139"/>
      <c r="BV401" s="105"/>
      <c r="BW401" s="105"/>
      <c r="BX401" s="105"/>
      <c r="BY401" s="105"/>
      <c r="BZ401" s="139"/>
      <c r="CA401" s="105"/>
      <c r="CB401" s="105"/>
      <c r="CC401" s="105"/>
      <c r="CD401" s="105"/>
      <c r="CE401" s="139"/>
      <c r="CF401" s="105"/>
      <c r="CG401" s="105"/>
      <c r="CH401" s="105"/>
      <c r="CI401" s="105"/>
      <c r="CJ401" s="139"/>
      <c r="CK401" s="105"/>
      <c r="CL401" s="105"/>
      <c r="CM401" s="105"/>
      <c r="CN401" s="105"/>
      <c r="CO401" s="139"/>
      <c r="CP401" s="105"/>
      <c r="CQ401" s="105"/>
      <c r="CR401" s="105"/>
      <c r="CS401" s="105"/>
      <c r="CT401" s="139"/>
      <c r="CU401" s="105"/>
      <c r="CV401" s="105"/>
      <c r="CW401" s="105"/>
      <c r="CX401" s="105"/>
      <c r="CY401" s="139"/>
      <c r="CZ401" s="105"/>
      <c r="DA401" s="105"/>
      <c r="DB401" s="105"/>
      <c r="DC401" s="105"/>
      <c r="DD401" s="139"/>
      <c r="DE401" s="105"/>
      <c r="DF401" s="105"/>
      <c r="DG401" s="105"/>
      <c r="DH401" s="105"/>
      <c r="DI401" s="139"/>
      <c r="DJ401" s="105"/>
      <c r="DK401" s="105"/>
      <c r="DL401" s="105"/>
      <c r="DM401" s="105"/>
      <c r="DN401" s="139"/>
      <c r="DO401" s="105"/>
      <c r="DP401" s="105"/>
      <c r="DQ401" s="105"/>
      <c r="DR401" s="105"/>
      <c r="DS401" s="139"/>
      <c r="DT401" s="105"/>
      <c r="DU401" s="105"/>
      <c r="DV401" s="105"/>
      <c r="DW401" s="105"/>
      <c r="DX401" s="139"/>
      <c r="DY401" s="105"/>
      <c r="DZ401" s="105"/>
      <c r="EA401" s="105"/>
      <c r="EB401" s="105"/>
      <c r="EC401" s="139"/>
      <c r="ED401" s="105"/>
      <c r="EE401" s="105"/>
      <c r="EF401" s="105"/>
      <c r="EG401" s="105"/>
      <c r="EH401" s="139"/>
      <c r="EI401" s="105"/>
      <c r="EJ401" s="105"/>
      <c r="EK401" s="105"/>
      <c r="EL401" s="105"/>
      <c r="EM401" s="139"/>
      <c r="EN401" s="105"/>
      <c r="EO401" s="105"/>
      <c r="EP401" s="105"/>
      <c r="EQ401" s="105"/>
      <c r="ER401" s="139"/>
      <c r="ES401" s="105"/>
      <c r="ET401" s="105"/>
      <c r="EU401" s="105"/>
      <c r="EV401" s="105"/>
      <c r="EW401" s="139"/>
      <c r="EX401" s="105"/>
      <c r="EY401" s="105"/>
      <c r="EZ401" s="105"/>
      <c r="FA401" s="105"/>
      <c r="FB401" s="139"/>
      <c r="FC401" s="105"/>
      <c r="FD401" s="105"/>
      <c r="FE401" s="105"/>
      <c r="FF401" s="105"/>
      <c r="FG401" s="139"/>
      <c r="FH401" s="105"/>
      <c r="FI401" s="105"/>
      <c r="FJ401" s="105"/>
      <c r="FK401" s="105"/>
      <c r="FL401" s="139"/>
      <c r="FM401" s="105"/>
      <c r="FN401" s="105"/>
      <c r="FO401" s="105"/>
      <c r="FP401" s="105"/>
      <c r="FQ401" s="139"/>
      <c r="FR401" s="105"/>
      <c r="FS401" s="105"/>
      <c r="FT401" s="105"/>
      <c r="FU401" s="105"/>
      <c r="FV401" s="139"/>
      <c r="FW401" s="105"/>
      <c r="FX401" s="105"/>
      <c r="FY401" s="105"/>
      <c r="FZ401" s="105"/>
      <c r="GA401" s="139"/>
      <c r="GB401" s="105"/>
      <c r="GC401" s="105"/>
      <c r="GD401" s="105"/>
      <c r="GE401" s="105"/>
      <c r="GF401" s="139"/>
      <c r="GG401" s="105"/>
      <c r="GH401" s="105"/>
      <c r="GI401" s="105"/>
      <c r="GJ401" s="105"/>
    </row>
    <row r="404" spans="3:192" ht="12.75" customHeight="1">
      <c r="C404" s="215"/>
      <c r="D404" s="216"/>
      <c r="E404" s="216"/>
      <c r="F404" s="216"/>
      <c r="G404" s="216"/>
      <c r="H404" s="215"/>
      <c r="I404" s="216"/>
      <c r="J404" s="216"/>
      <c r="K404" s="216"/>
      <c r="L404" s="216"/>
      <c r="M404" s="215"/>
      <c r="N404" s="216"/>
      <c r="O404" s="216"/>
      <c r="P404" s="216"/>
      <c r="Q404" s="216"/>
      <c r="R404" s="215"/>
      <c r="S404" s="216"/>
      <c r="T404" s="216"/>
      <c r="U404" s="216"/>
      <c r="V404" s="216"/>
      <c r="W404" s="215"/>
      <c r="X404" s="216"/>
      <c r="Y404" s="216"/>
      <c r="Z404" s="216"/>
      <c r="AA404" s="216"/>
      <c r="AB404" s="215"/>
      <c r="AC404" s="216"/>
      <c r="AD404" s="216"/>
      <c r="AE404" s="216"/>
      <c r="AF404" s="216"/>
      <c r="AG404" s="215"/>
      <c r="AH404" s="216"/>
      <c r="AI404" s="216"/>
      <c r="AJ404" s="216"/>
      <c r="AK404" s="216"/>
      <c r="AL404" s="215"/>
      <c r="AM404" s="216"/>
      <c r="AN404" s="216"/>
      <c r="AO404" s="216"/>
      <c r="AP404" s="216"/>
      <c r="AQ404" s="215"/>
      <c r="AR404" s="216"/>
      <c r="AS404" s="216"/>
      <c r="AT404" s="216"/>
      <c r="AU404" s="216"/>
      <c r="AV404" s="215"/>
      <c r="AW404" s="216"/>
      <c r="AX404" s="216"/>
      <c r="AY404" s="216"/>
      <c r="AZ404" s="216"/>
      <c r="BA404" s="215"/>
      <c r="BB404" s="216"/>
      <c r="BC404" s="216"/>
      <c r="BD404" s="216"/>
      <c r="BE404" s="216"/>
      <c r="BF404" s="215"/>
      <c r="BG404" s="216"/>
      <c r="BH404" s="216"/>
      <c r="BI404" s="216"/>
      <c r="BJ404" s="216"/>
      <c r="BK404" s="215"/>
      <c r="BL404" s="216"/>
      <c r="BM404" s="216"/>
      <c r="BN404" s="216"/>
      <c r="BO404" s="216"/>
      <c r="BP404" s="215"/>
      <c r="BQ404" s="216"/>
      <c r="BR404" s="216"/>
      <c r="BS404" s="216"/>
      <c r="BT404" s="216"/>
      <c r="BU404" s="215"/>
      <c r="BV404" s="216"/>
      <c r="BW404" s="216"/>
      <c r="BX404" s="216"/>
      <c r="BY404" s="216"/>
      <c r="BZ404" s="215"/>
      <c r="CA404" s="216"/>
      <c r="CB404" s="216"/>
      <c r="CC404" s="216"/>
      <c r="CD404" s="216"/>
      <c r="CE404" s="215"/>
      <c r="CF404" s="216"/>
      <c r="CG404" s="216"/>
      <c r="CH404" s="216"/>
      <c r="CI404" s="216"/>
      <c r="CJ404" s="215"/>
      <c r="CK404" s="216"/>
      <c r="CL404" s="216"/>
      <c r="CM404" s="216"/>
      <c r="CN404" s="216"/>
      <c r="CO404" s="215"/>
      <c r="CP404" s="216"/>
      <c r="CQ404" s="216"/>
      <c r="CR404" s="216"/>
      <c r="CS404" s="216"/>
      <c r="CT404" s="215"/>
      <c r="CU404" s="216"/>
      <c r="CV404" s="216"/>
      <c r="CW404" s="216"/>
      <c r="CX404" s="216"/>
      <c r="CY404" s="215"/>
      <c r="CZ404" s="216"/>
      <c r="DA404" s="216"/>
      <c r="DB404" s="216"/>
      <c r="DC404" s="216"/>
      <c r="DD404" s="215"/>
      <c r="DE404" s="216"/>
      <c r="DF404" s="216"/>
      <c r="DG404" s="216"/>
      <c r="DH404" s="216"/>
      <c r="DI404" s="215"/>
      <c r="DJ404" s="216"/>
      <c r="DK404" s="216"/>
      <c r="DL404" s="216"/>
      <c r="DM404" s="216"/>
      <c r="DN404" s="215"/>
      <c r="DO404" s="216"/>
      <c r="DP404" s="216"/>
      <c r="DQ404" s="216"/>
      <c r="DR404" s="216"/>
      <c r="DS404" s="215"/>
      <c r="DT404" s="216"/>
      <c r="DU404" s="216"/>
      <c r="DV404" s="216"/>
      <c r="DW404" s="216"/>
      <c r="DX404" s="215"/>
      <c r="DY404" s="216"/>
      <c r="DZ404" s="216"/>
      <c r="EA404" s="216"/>
      <c r="EB404" s="216"/>
      <c r="EC404" s="215"/>
      <c r="ED404" s="216"/>
      <c r="EE404" s="216"/>
      <c r="EF404" s="216"/>
      <c r="EG404" s="216"/>
      <c r="EH404" s="215"/>
      <c r="EI404" s="216"/>
      <c r="EJ404" s="216"/>
      <c r="EK404" s="216"/>
      <c r="EL404" s="216"/>
      <c r="EM404" s="215"/>
      <c r="EN404" s="216"/>
      <c r="EO404" s="216"/>
      <c r="EP404" s="216"/>
      <c r="EQ404" s="216"/>
      <c r="ER404" s="215"/>
      <c r="ES404" s="216"/>
      <c r="ET404" s="216"/>
      <c r="EU404" s="216"/>
      <c r="EV404" s="216"/>
      <c r="EW404" s="215"/>
      <c r="EX404" s="216"/>
      <c r="EY404" s="216"/>
      <c r="EZ404" s="216"/>
      <c r="FA404" s="216"/>
      <c r="FB404" s="215"/>
      <c r="FC404" s="216"/>
      <c r="FD404" s="216"/>
      <c r="FE404" s="216"/>
      <c r="FF404" s="216"/>
      <c r="FG404" s="215"/>
      <c r="FH404" s="216"/>
      <c r="FI404" s="216"/>
      <c r="FJ404" s="216"/>
      <c r="FK404" s="216"/>
      <c r="FL404" s="215"/>
      <c r="FM404" s="216"/>
      <c r="FN404" s="216"/>
      <c r="FO404" s="216"/>
      <c r="FP404" s="216"/>
      <c r="FQ404" s="215"/>
      <c r="FR404" s="216"/>
      <c r="FS404" s="216"/>
      <c r="FT404" s="216"/>
      <c r="FU404" s="216"/>
      <c r="FV404" s="215"/>
      <c r="FW404" s="216"/>
      <c r="FX404" s="216"/>
      <c r="FY404" s="216"/>
      <c r="FZ404" s="216"/>
      <c r="GA404" s="215"/>
      <c r="GB404" s="216"/>
      <c r="GC404" s="216"/>
      <c r="GD404" s="216"/>
      <c r="GE404" s="216"/>
      <c r="GF404" s="215"/>
      <c r="GG404" s="216"/>
      <c r="GH404" s="216"/>
      <c r="GI404" s="216"/>
      <c r="GJ404" s="216"/>
    </row>
    <row r="405" spans="3:192" ht="12.75" customHeight="1">
      <c r="C405" s="139"/>
      <c r="D405" s="105"/>
      <c r="E405" s="105"/>
      <c r="F405" s="105"/>
      <c r="G405" s="105"/>
      <c r="H405" s="139"/>
      <c r="I405" s="105"/>
      <c r="J405" s="105"/>
      <c r="K405" s="105"/>
      <c r="L405" s="105"/>
      <c r="M405" s="139"/>
      <c r="N405" s="105"/>
      <c r="O405" s="105"/>
      <c r="P405" s="105"/>
      <c r="Q405" s="105"/>
      <c r="R405" s="139"/>
      <c r="S405" s="105"/>
      <c r="T405" s="105"/>
      <c r="U405" s="105"/>
      <c r="V405" s="105"/>
      <c r="W405" s="139"/>
      <c r="X405" s="105"/>
      <c r="Y405" s="105"/>
      <c r="Z405" s="105"/>
      <c r="AA405" s="105"/>
      <c r="AB405" s="139"/>
      <c r="AC405" s="105"/>
      <c r="AD405" s="105"/>
      <c r="AE405" s="105"/>
      <c r="AF405" s="105"/>
      <c r="AG405" s="139"/>
      <c r="AH405" s="105"/>
      <c r="AI405" s="105"/>
      <c r="AJ405" s="105"/>
      <c r="AK405" s="105"/>
      <c r="AL405" s="139"/>
      <c r="AM405" s="105"/>
      <c r="AN405" s="105"/>
      <c r="AO405" s="105"/>
      <c r="AP405" s="105"/>
      <c r="AQ405" s="139"/>
      <c r="AR405" s="105"/>
      <c r="AS405" s="105"/>
      <c r="AT405" s="105"/>
      <c r="AU405" s="105"/>
      <c r="AV405" s="139"/>
      <c r="AW405" s="105"/>
      <c r="AX405" s="105"/>
      <c r="AY405" s="105"/>
      <c r="AZ405" s="105"/>
      <c r="BA405" s="139"/>
      <c r="BB405" s="105"/>
      <c r="BC405" s="105"/>
      <c r="BD405" s="105"/>
      <c r="BE405" s="105"/>
      <c r="BF405" s="139"/>
      <c r="BG405" s="105"/>
      <c r="BH405" s="105"/>
      <c r="BI405" s="105"/>
      <c r="BJ405" s="105"/>
      <c r="BK405" s="139"/>
      <c r="BL405" s="105"/>
      <c r="BM405" s="105"/>
      <c r="BN405" s="105"/>
      <c r="BO405" s="105"/>
      <c r="BP405" s="139"/>
      <c r="BQ405" s="105"/>
      <c r="BR405" s="105"/>
      <c r="BS405" s="105"/>
      <c r="BT405" s="105"/>
      <c r="BU405" s="139"/>
      <c r="BV405" s="105"/>
      <c r="BW405" s="105"/>
      <c r="BX405" s="105"/>
      <c r="BY405" s="105"/>
      <c r="BZ405" s="139"/>
      <c r="CA405" s="105"/>
      <c r="CB405" s="105"/>
      <c r="CC405" s="105"/>
      <c r="CD405" s="105"/>
      <c r="CE405" s="139"/>
      <c r="CF405" s="105"/>
      <c r="CG405" s="105"/>
      <c r="CH405" s="105"/>
      <c r="CI405" s="105"/>
      <c r="CJ405" s="139"/>
      <c r="CK405" s="105"/>
      <c r="CL405" s="105"/>
      <c r="CM405" s="105"/>
      <c r="CN405" s="105"/>
      <c r="CO405" s="139"/>
      <c r="CP405" s="105"/>
      <c r="CQ405" s="105"/>
      <c r="CR405" s="105"/>
      <c r="CS405" s="105"/>
      <c r="CT405" s="139"/>
      <c r="CU405" s="105"/>
      <c r="CV405" s="105"/>
      <c r="CW405" s="105"/>
      <c r="CX405" s="105"/>
      <c r="CY405" s="139"/>
      <c r="CZ405" s="105"/>
      <c r="DA405" s="105"/>
      <c r="DB405" s="105"/>
      <c r="DC405" s="105"/>
      <c r="DD405" s="139"/>
      <c r="DE405" s="105"/>
      <c r="DF405" s="105"/>
      <c r="DG405" s="105"/>
      <c r="DH405" s="105"/>
      <c r="DI405" s="139"/>
      <c r="DJ405" s="105"/>
      <c r="DK405" s="105"/>
      <c r="DL405" s="105"/>
      <c r="DM405" s="105"/>
      <c r="DN405" s="139"/>
      <c r="DO405" s="105"/>
      <c r="DP405" s="105"/>
      <c r="DQ405" s="105"/>
      <c r="DR405" s="105"/>
      <c r="DS405" s="139"/>
      <c r="DT405" s="105"/>
      <c r="DU405" s="105"/>
      <c r="DV405" s="105"/>
      <c r="DW405" s="105"/>
      <c r="DX405" s="139"/>
      <c r="DY405" s="105"/>
      <c r="DZ405" s="105"/>
      <c r="EA405" s="105"/>
      <c r="EB405" s="105"/>
      <c r="EC405" s="139"/>
      <c r="ED405" s="105"/>
      <c r="EE405" s="105"/>
      <c r="EF405" s="105"/>
      <c r="EG405" s="105"/>
      <c r="EH405" s="139"/>
      <c r="EI405" s="105"/>
      <c r="EJ405" s="105"/>
      <c r="EK405" s="105"/>
      <c r="EL405" s="105"/>
      <c r="EM405" s="139"/>
      <c r="EN405" s="105"/>
      <c r="EO405" s="105"/>
      <c r="EP405" s="105"/>
      <c r="EQ405" s="105"/>
      <c r="ER405" s="139"/>
      <c r="ES405" s="105"/>
      <c r="ET405" s="105"/>
      <c r="EU405" s="105"/>
      <c r="EV405" s="105"/>
      <c r="EW405" s="139"/>
      <c r="EX405" s="105"/>
      <c r="EY405" s="105"/>
      <c r="EZ405" s="105"/>
      <c r="FA405" s="105"/>
      <c r="FB405" s="139"/>
      <c r="FC405" s="105"/>
      <c r="FD405" s="105"/>
      <c r="FE405" s="105"/>
      <c r="FF405" s="105"/>
      <c r="FG405" s="139"/>
      <c r="FH405" s="105"/>
      <c r="FI405" s="105"/>
      <c r="FJ405" s="105"/>
      <c r="FK405" s="105"/>
      <c r="FL405" s="139"/>
      <c r="FM405" s="105"/>
      <c r="FN405" s="105"/>
      <c r="FO405" s="105"/>
      <c r="FP405" s="105"/>
      <c r="FQ405" s="139"/>
      <c r="FR405" s="105"/>
      <c r="FS405" s="105"/>
      <c r="FT405" s="105"/>
      <c r="FU405" s="105"/>
      <c r="FV405" s="139"/>
      <c r="FW405" s="105"/>
      <c r="FX405" s="105"/>
      <c r="FY405" s="105"/>
      <c r="FZ405" s="105"/>
      <c r="GA405" s="139"/>
      <c r="GB405" s="105"/>
      <c r="GC405" s="105"/>
      <c r="GD405" s="105"/>
      <c r="GE405" s="105"/>
      <c r="GF405" s="139"/>
      <c r="GG405" s="105"/>
      <c r="GH405" s="105"/>
      <c r="GI405" s="105"/>
      <c r="GJ405" s="105"/>
    </row>
    <row r="406" spans="3:192" ht="12.75" customHeight="1">
      <c r="C406" s="139"/>
      <c r="D406" s="105"/>
      <c r="E406" s="105"/>
      <c r="F406" s="105"/>
      <c r="G406" s="105"/>
      <c r="H406" s="139"/>
      <c r="I406" s="105"/>
      <c r="J406" s="105"/>
      <c r="K406" s="105"/>
      <c r="L406" s="105"/>
      <c r="M406" s="139"/>
      <c r="N406" s="105"/>
      <c r="O406" s="105"/>
      <c r="P406" s="105"/>
      <c r="Q406" s="105"/>
      <c r="R406" s="139"/>
      <c r="S406" s="105"/>
      <c r="T406" s="105"/>
      <c r="U406" s="105"/>
      <c r="V406" s="105"/>
      <c r="W406" s="139"/>
      <c r="X406" s="105"/>
      <c r="Y406" s="105"/>
      <c r="Z406" s="105"/>
      <c r="AA406" s="105"/>
      <c r="AB406" s="139"/>
      <c r="AC406" s="105"/>
      <c r="AD406" s="105"/>
      <c r="AE406" s="105"/>
      <c r="AF406" s="105"/>
      <c r="AG406" s="139"/>
      <c r="AH406" s="105"/>
      <c r="AI406" s="105"/>
      <c r="AJ406" s="105"/>
      <c r="AK406" s="105"/>
      <c r="AL406" s="139"/>
      <c r="AM406" s="105"/>
      <c r="AN406" s="105"/>
      <c r="AO406" s="105"/>
      <c r="AP406" s="105"/>
      <c r="AQ406" s="139"/>
      <c r="AR406" s="105"/>
      <c r="AS406" s="105"/>
      <c r="AT406" s="105"/>
      <c r="AU406" s="105"/>
      <c r="AV406" s="139"/>
      <c r="AW406" s="105"/>
      <c r="AX406" s="105"/>
      <c r="AY406" s="105"/>
      <c r="AZ406" s="105"/>
      <c r="BA406" s="139"/>
      <c r="BB406" s="105"/>
      <c r="BC406" s="105"/>
      <c r="BD406" s="105"/>
      <c r="BE406" s="105"/>
      <c r="BF406" s="139"/>
      <c r="BG406" s="105"/>
      <c r="BH406" s="105"/>
      <c r="BI406" s="105"/>
      <c r="BJ406" s="105"/>
      <c r="BK406" s="139"/>
      <c r="BL406" s="105"/>
      <c r="BM406" s="105"/>
      <c r="BN406" s="105"/>
      <c r="BO406" s="105"/>
      <c r="BP406" s="139"/>
      <c r="BQ406" s="105"/>
      <c r="BR406" s="105"/>
      <c r="BS406" s="105"/>
      <c r="BT406" s="105"/>
      <c r="BU406" s="139"/>
      <c r="BV406" s="105"/>
      <c r="BW406" s="105"/>
      <c r="BX406" s="105"/>
      <c r="BY406" s="105"/>
      <c r="BZ406" s="139"/>
      <c r="CA406" s="105"/>
      <c r="CB406" s="105"/>
      <c r="CC406" s="105"/>
      <c r="CD406" s="105"/>
      <c r="CE406" s="139"/>
      <c r="CF406" s="105"/>
      <c r="CG406" s="105"/>
      <c r="CH406" s="105"/>
      <c r="CI406" s="105"/>
      <c r="CJ406" s="139"/>
      <c r="CK406" s="105"/>
      <c r="CL406" s="105"/>
      <c r="CM406" s="105"/>
      <c r="CN406" s="105"/>
      <c r="CO406" s="139"/>
      <c r="CP406" s="105"/>
      <c r="CQ406" s="105"/>
      <c r="CR406" s="105"/>
      <c r="CS406" s="105"/>
      <c r="CT406" s="139"/>
      <c r="CU406" s="105"/>
      <c r="CV406" s="105"/>
      <c r="CW406" s="105"/>
      <c r="CX406" s="105"/>
      <c r="CY406" s="139"/>
      <c r="CZ406" s="105"/>
      <c r="DA406" s="105"/>
      <c r="DB406" s="105"/>
      <c r="DC406" s="105"/>
      <c r="DD406" s="139"/>
      <c r="DE406" s="105"/>
      <c r="DF406" s="105"/>
      <c r="DG406" s="105"/>
      <c r="DH406" s="105"/>
      <c r="DI406" s="139"/>
      <c r="DJ406" s="105"/>
      <c r="DK406" s="105"/>
      <c r="DL406" s="105"/>
      <c r="DM406" s="105"/>
      <c r="DN406" s="139"/>
      <c r="DO406" s="105"/>
      <c r="DP406" s="105"/>
      <c r="DQ406" s="105"/>
      <c r="DR406" s="105"/>
      <c r="DS406" s="139"/>
      <c r="DT406" s="105"/>
      <c r="DU406" s="105"/>
      <c r="DV406" s="105"/>
      <c r="DW406" s="105"/>
      <c r="DX406" s="139"/>
      <c r="DY406" s="105"/>
      <c r="DZ406" s="105"/>
      <c r="EA406" s="105"/>
      <c r="EB406" s="105"/>
      <c r="EC406" s="139"/>
      <c r="ED406" s="105"/>
      <c r="EE406" s="105"/>
      <c r="EF406" s="105"/>
      <c r="EG406" s="105"/>
      <c r="EH406" s="139"/>
      <c r="EI406" s="105"/>
      <c r="EJ406" s="105"/>
      <c r="EK406" s="105"/>
      <c r="EL406" s="105"/>
      <c r="EM406" s="139"/>
      <c r="EN406" s="105"/>
      <c r="EO406" s="105"/>
      <c r="EP406" s="105"/>
      <c r="EQ406" s="105"/>
      <c r="ER406" s="139"/>
      <c r="ES406" s="105"/>
      <c r="ET406" s="105"/>
      <c r="EU406" s="105"/>
      <c r="EV406" s="105"/>
      <c r="EW406" s="139"/>
      <c r="EX406" s="105"/>
      <c r="EY406" s="105"/>
      <c r="EZ406" s="105"/>
      <c r="FA406" s="105"/>
      <c r="FB406" s="139"/>
      <c r="FC406" s="105"/>
      <c r="FD406" s="105"/>
      <c r="FE406" s="105"/>
      <c r="FF406" s="105"/>
      <c r="FG406" s="139"/>
      <c r="FH406" s="105"/>
      <c r="FI406" s="105"/>
      <c r="FJ406" s="105"/>
      <c r="FK406" s="105"/>
      <c r="FL406" s="139"/>
      <c r="FM406" s="105"/>
      <c r="FN406" s="105"/>
      <c r="FO406" s="105"/>
      <c r="FP406" s="105"/>
      <c r="FQ406" s="139"/>
      <c r="FR406" s="105"/>
      <c r="FS406" s="105"/>
      <c r="FT406" s="105"/>
      <c r="FU406" s="105"/>
      <c r="FV406" s="139"/>
      <c r="FW406" s="105"/>
      <c r="FX406" s="105"/>
      <c r="FY406" s="105"/>
      <c r="FZ406" s="105"/>
      <c r="GA406" s="139"/>
      <c r="GB406" s="105"/>
      <c r="GC406" s="105"/>
      <c r="GD406" s="105"/>
      <c r="GE406" s="105"/>
      <c r="GF406" s="139"/>
      <c r="GG406" s="105"/>
      <c r="GH406" s="105"/>
      <c r="GI406" s="105"/>
      <c r="GJ406" s="105"/>
    </row>
    <row r="407" spans="3:192" ht="12.75" customHeight="1">
      <c r="C407" s="215"/>
      <c r="D407" s="216"/>
      <c r="E407" s="216"/>
      <c r="F407" s="216"/>
      <c r="G407" s="216"/>
      <c r="H407" s="215"/>
      <c r="I407" s="216"/>
      <c r="J407" s="216"/>
      <c r="K407" s="216"/>
      <c r="L407" s="216"/>
      <c r="M407" s="215"/>
      <c r="N407" s="216"/>
      <c r="O407" s="216"/>
      <c r="P407" s="216"/>
      <c r="Q407" s="216"/>
      <c r="R407" s="215"/>
      <c r="S407" s="216"/>
      <c r="T407" s="216"/>
      <c r="U407" s="216"/>
      <c r="V407" s="216"/>
      <c r="W407" s="215"/>
      <c r="X407" s="216"/>
      <c r="Y407" s="216"/>
      <c r="Z407" s="216"/>
      <c r="AA407" s="216"/>
      <c r="AB407" s="215"/>
      <c r="AC407" s="216"/>
      <c r="AD407" s="216"/>
      <c r="AE407" s="216"/>
      <c r="AF407" s="216"/>
      <c r="AG407" s="215"/>
      <c r="AH407" s="216"/>
      <c r="AI407" s="216"/>
      <c r="AJ407" s="216"/>
      <c r="AK407" s="216"/>
      <c r="AL407" s="215"/>
      <c r="AM407" s="216"/>
      <c r="AN407" s="216"/>
      <c r="AO407" s="216"/>
      <c r="AP407" s="216"/>
      <c r="AQ407" s="215"/>
      <c r="AR407" s="216"/>
      <c r="AS407" s="216"/>
      <c r="AT407" s="216"/>
      <c r="AU407" s="216"/>
      <c r="AV407" s="215"/>
      <c r="AW407" s="216"/>
      <c r="AX407" s="216"/>
      <c r="AY407" s="216"/>
      <c r="AZ407" s="216"/>
      <c r="BA407" s="215"/>
      <c r="BB407" s="216"/>
      <c r="BC407" s="216"/>
      <c r="BD407" s="216"/>
      <c r="BE407" s="216"/>
      <c r="BF407" s="215"/>
      <c r="BG407" s="216"/>
      <c r="BH407" s="216"/>
      <c r="BI407" s="216"/>
      <c r="BJ407" s="216"/>
      <c r="BK407" s="215"/>
      <c r="BL407" s="216"/>
      <c r="BM407" s="216"/>
      <c r="BN407" s="216"/>
      <c r="BO407" s="216"/>
      <c r="BP407" s="215"/>
      <c r="BQ407" s="216"/>
      <c r="BR407" s="216"/>
      <c r="BS407" s="216"/>
      <c r="BT407" s="216"/>
      <c r="BU407" s="215"/>
      <c r="BV407" s="216"/>
      <c r="BW407" s="216"/>
      <c r="BX407" s="216"/>
      <c r="BY407" s="216"/>
      <c r="BZ407" s="215"/>
      <c r="CA407" s="216"/>
      <c r="CB407" s="216"/>
      <c r="CC407" s="216"/>
      <c r="CD407" s="216"/>
      <c r="CE407" s="215"/>
      <c r="CF407" s="216"/>
      <c r="CG407" s="216"/>
      <c r="CH407" s="216"/>
      <c r="CI407" s="216"/>
      <c r="CJ407" s="215"/>
      <c r="CK407" s="216"/>
      <c r="CL407" s="216"/>
      <c r="CM407" s="216"/>
      <c r="CN407" s="216"/>
      <c r="CO407" s="215"/>
      <c r="CP407" s="216"/>
      <c r="CQ407" s="216"/>
      <c r="CR407" s="216"/>
      <c r="CS407" s="216"/>
      <c r="CT407" s="215"/>
      <c r="CU407" s="216"/>
      <c r="CV407" s="216"/>
      <c r="CW407" s="216"/>
      <c r="CX407" s="216"/>
      <c r="CY407" s="215"/>
      <c r="CZ407" s="216"/>
      <c r="DA407" s="216"/>
      <c r="DB407" s="216"/>
      <c r="DC407" s="216"/>
      <c r="DD407" s="215"/>
      <c r="DE407" s="216"/>
      <c r="DF407" s="216"/>
      <c r="DG407" s="216"/>
      <c r="DH407" s="216"/>
      <c r="DI407" s="215"/>
      <c r="DJ407" s="216"/>
      <c r="DK407" s="216"/>
      <c r="DL407" s="216"/>
      <c r="DM407" s="216"/>
      <c r="DN407" s="215"/>
      <c r="DO407" s="216"/>
      <c r="DP407" s="216"/>
      <c r="DQ407" s="216"/>
      <c r="DR407" s="216"/>
      <c r="DS407" s="215"/>
      <c r="DT407" s="216"/>
      <c r="DU407" s="216"/>
      <c r="DV407" s="216"/>
      <c r="DW407" s="216"/>
      <c r="DX407" s="215"/>
      <c r="DY407" s="216"/>
      <c r="DZ407" s="216"/>
      <c r="EA407" s="216"/>
      <c r="EB407" s="216"/>
      <c r="EC407" s="215"/>
      <c r="ED407" s="216"/>
      <c r="EE407" s="216"/>
      <c r="EF407" s="216"/>
      <c r="EG407" s="216"/>
      <c r="EH407" s="215"/>
      <c r="EI407" s="216"/>
      <c r="EJ407" s="216"/>
      <c r="EK407" s="216"/>
      <c r="EL407" s="216"/>
      <c r="EM407" s="215"/>
      <c r="EN407" s="216"/>
      <c r="EO407" s="216"/>
      <c r="EP407" s="216"/>
      <c r="EQ407" s="216"/>
      <c r="ER407" s="215"/>
      <c r="ES407" s="216"/>
      <c r="ET407" s="216"/>
      <c r="EU407" s="216"/>
      <c r="EV407" s="216"/>
      <c r="EW407" s="215"/>
      <c r="EX407" s="216"/>
      <c r="EY407" s="216"/>
      <c r="EZ407" s="216"/>
      <c r="FA407" s="216"/>
      <c r="FB407" s="215"/>
      <c r="FC407" s="216"/>
      <c r="FD407" s="216"/>
      <c r="FE407" s="216"/>
      <c r="FF407" s="216"/>
      <c r="FG407" s="215"/>
      <c r="FH407" s="216"/>
      <c r="FI407" s="216"/>
      <c r="FJ407" s="216"/>
      <c r="FK407" s="216"/>
      <c r="FL407" s="215"/>
      <c r="FM407" s="216"/>
      <c r="FN407" s="216"/>
      <c r="FO407" s="216"/>
      <c r="FP407" s="216"/>
      <c r="FQ407" s="215"/>
      <c r="FR407" s="216"/>
      <c r="FS407" s="216"/>
      <c r="FT407" s="216"/>
      <c r="FU407" s="216"/>
      <c r="FV407" s="215"/>
      <c r="FW407" s="216"/>
      <c r="FX407" s="216"/>
      <c r="FY407" s="216"/>
      <c r="FZ407" s="216"/>
      <c r="GA407" s="215"/>
      <c r="GB407" s="216"/>
      <c r="GC407" s="216"/>
      <c r="GD407" s="216"/>
      <c r="GE407" s="216"/>
      <c r="GF407" s="215"/>
      <c r="GG407" s="216"/>
      <c r="GH407" s="216"/>
      <c r="GI407" s="216"/>
      <c r="GJ407" s="216"/>
    </row>
    <row r="408" spans="3:192" ht="12.75" customHeight="1">
      <c r="C408" s="139"/>
      <c r="D408" s="105"/>
      <c r="E408" s="105"/>
      <c r="F408" s="105"/>
      <c r="G408" s="105"/>
      <c r="H408" s="139"/>
      <c r="I408" s="105"/>
      <c r="J408" s="105"/>
      <c r="K408" s="105"/>
      <c r="L408" s="105"/>
      <c r="M408" s="139"/>
      <c r="N408" s="105"/>
      <c r="O408" s="105"/>
      <c r="P408" s="105"/>
      <c r="Q408" s="105"/>
      <c r="R408" s="139"/>
      <c r="S408" s="105"/>
      <c r="T408" s="105"/>
      <c r="U408" s="105"/>
      <c r="V408" s="105"/>
      <c r="W408" s="139"/>
      <c r="X408" s="105"/>
      <c r="Y408" s="105"/>
      <c r="Z408" s="105"/>
      <c r="AA408" s="105"/>
      <c r="AB408" s="139"/>
      <c r="AC408" s="105"/>
      <c r="AD408" s="105"/>
      <c r="AE408" s="105"/>
      <c r="AF408" s="105"/>
      <c r="AG408" s="139"/>
      <c r="AH408" s="105"/>
      <c r="AI408" s="105"/>
      <c r="AJ408" s="105"/>
      <c r="AK408" s="105"/>
      <c r="AL408" s="139"/>
      <c r="AM408" s="105"/>
      <c r="AN408" s="105"/>
      <c r="AO408" s="105"/>
      <c r="AP408" s="105"/>
      <c r="AQ408" s="139"/>
      <c r="AR408" s="105"/>
      <c r="AS408" s="105"/>
      <c r="AT408" s="105"/>
      <c r="AU408" s="105"/>
      <c r="AV408" s="139"/>
      <c r="AW408" s="105"/>
      <c r="AX408" s="105"/>
      <c r="AY408" s="105"/>
      <c r="AZ408" s="105"/>
      <c r="BA408" s="139"/>
      <c r="BB408" s="105"/>
      <c r="BC408" s="105"/>
      <c r="BD408" s="105"/>
      <c r="BE408" s="105"/>
      <c r="BF408" s="139"/>
      <c r="BG408" s="105"/>
      <c r="BH408" s="105"/>
      <c r="BI408" s="105"/>
      <c r="BJ408" s="105"/>
      <c r="BK408" s="139"/>
      <c r="BL408" s="105"/>
      <c r="BM408" s="105"/>
      <c r="BN408" s="105"/>
      <c r="BO408" s="105"/>
      <c r="BP408" s="139"/>
      <c r="BQ408" s="105"/>
      <c r="BR408" s="105"/>
      <c r="BS408" s="105"/>
      <c r="BT408" s="105"/>
      <c r="BU408" s="139"/>
      <c r="BV408" s="105"/>
      <c r="BW408" s="105"/>
      <c r="BX408" s="105"/>
      <c r="BY408" s="105"/>
      <c r="BZ408" s="139"/>
      <c r="CA408" s="105"/>
      <c r="CB408" s="105"/>
      <c r="CC408" s="105"/>
      <c r="CD408" s="105"/>
      <c r="CE408" s="139"/>
      <c r="CF408" s="105"/>
      <c r="CG408" s="105"/>
      <c r="CH408" s="105"/>
      <c r="CI408" s="105"/>
      <c r="CJ408" s="139"/>
      <c r="CK408" s="105"/>
      <c r="CL408" s="105"/>
      <c r="CM408" s="105"/>
      <c r="CN408" s="105"/>
      <c r="CO408" s="139"/>
      <c r="CP408" s="105"/>
      <c r="CQ408" s="105"/>
      <c r="CR408" s="105"/>
      <c r="CS408" s="105"/>
      <c r="CT408" s="139"/>
      <c r="CU408" s="105"/>
      <c r="CV408" s="105"/>
      <c r="CW408" s="105"/>
      <c r="CX408" s="105"/>
      <c r="CY408" s="139"/>
      <c r="CZ408" s="105"/>
      <c r="DA408" s="105"/>
      <c r="DB408" s="105"/>
      <c r="DC408" s="105"/>
      <c r="DD408" s="139"/>
      <c r="DE408" s="105"/>
      <c r="DF408" s="105"/>
      <c r="DG408" s="105"/>
      <c r="DH408" s="105"/>
      <c r="DI408" s="139"/>
      <c r="DJ408" s="105"/>
      <c r="DK408" s="105"/>
      <c r="DL408" s="105"/>
      <c r="DM408" s="105"/>
      <c r="DN408" s="139"/>
      <c r="DO408" s="105"/>
      <c r="DP408" s="105"/>
      <c r="DQ408" s="105"/>
      <c r="DR408" s="105"/>
      <c r="DS408" s="139"/>
      <c r="DT408" s="105"/>
      <c r="DU408" s="105"/>
      <c r="DV408" s="105"/>
      <c r="DW408" s="105"/>
      <c r="DX408" s="139"/>
      <c r="DY408" s="105"/>
      <c r="DZ408" s="105"/>
      <c r="EA408" s="105"/>
      <c r="EB408" s="105"/>
      <c r="EC408" s="139"/>
      <c r="ED408" s="105"/>
      <c r="EE408" s="105"/>
      <c r="EF408" s="105"/>
      <c r="EG408" s="105"/>
      <c r="EH408" s="139"/>
      <c r="EI408" s="105"/>
      <c r="EJ408" s="105"/>
      <c r="EK408" s="105"/>
      <c r="EL408" s="105"/>
      <c r="EM408" s="139"/>
      <c r="EN408" s="105"/>
      <c r="EO408" s="105"/>
      <c r="EP408" s="105"/>
      <c r="EQ408" s="105"/>
      <c r="ER408" s="139"/>
      <c r="ES408" s="105"/>
      <c r="ET408" s="105"/>
      <c r="EU408" s="105"/>
      <c r="EV408" s="105"/>
      <c r="EW408" s="139"/>
      <c r="EX408" s="105"/>
      <c r="EY408" s="105"/>
      <c r="EZ408" s="105"/>
      <c r="FA408" s="105"/>
      <c r="FB408" s="139"/>
      <c r="FC408" s="105"/>
      <c r="FD408" s="105"/>
      <c r="FE408" s="105"/>
      <c r="FF408" s="105"/>
      <c r="FG408" s="139"/>
      <c r="FH408" s="105"/>
      <c r="FI408" s="105"/>
      <c r="FJ408" s="105"/>
      <c r="FK408" s="105"/>
      <c r="FL408" s="139"/>
      <c r="FM408" s="105"/>
      <c r="FN408" s="105"/>
      <c r="FO408" s="105"/>
      <c r="FP408" s="105"/>
      <c r="FQ408" s="139"/>
      <c r="FR408" s="105"/>
      <c r="FS408" s="105"/>
      <c r="FT408" s="105"/>
      <c r="FU408" s="105"/>
      <c r="FV408" s="139"/>
      <c r="FW408" s="105"/>
      <c r="FX408" s="105"/>
      <c r="FY408" s="105"/>
      <c r="FZ408" s="105"/>
      <c r="GA408" s="139"/>
      <c r="GB408" s="105"/>
      <c r="GC408" s="105"/>
      <c r="GD408" s="105"/>
      <c r="GE408" s="105"/>
      <c r="GF408" s="139"/>
      <c r="GG408" s="105"/>
      <c r="GH408" s="105"/>
      <c r="GI408" s="105"/>
      <c r="GJ408" s="105"/>
    </row>
    <row r="409" spans="3:192" ht="12.75" customHeight="1">
      <c r="C409" s="139"/>
      <c r="D409" s="105"/>
      <c r="E409" s="105"/>
      <c r="F409" s="105"/>
      <c r="G409" s="105"/>
      <c r="H409" s="139"/>
      <c r="I409" s="105"/>
      <c r="J409" s="105"/>
      <c r="K409" s="105"/>
      <c r="L409" s="105"/>
      <c r="M409" s="139"/>
      <c r="N409" s="105"/>
      <c r="O409" s="105"/>
      <c r="P409" s="105"/>
      <c r="Q409" s="105"/>
      <c r="R409" s="139"/>
      <c r="S409" s="105"/>
      <c r="T409" s="105"/>
      <c r="U409" s="105"/>
      <c r="V409" s="105"/>
      <c r="W409" s="139"/>
      <c r="X409" s="105"/>
      <c r="Y409" s="105"/>
      <c r="Z409" s="105"/>
      <c r="AA409" s="105"/>
      <c r="AB409" s="139"/>
      <c r="AC409" s="105"/>
      <c r="AD409" s="105"/>
      <c r="AE409" s="105"/>
      <c r="AF409" s="105"/>
      <c r="AG409" s="139"/>
      <c r="AH409" s="105"/>
      <c r="AI409" s="105"/>
      <c r="AJ409" s="105"/>
      <c r="AK409" s="105"/>
      <c r="AL409" s="139"/>
      <c r="AM409" s="105"/>
      <c r="AN409" s="105"/>
      <c r="AO409" s="105"/>
      <c r="AP409" s="105"/>
      <c r="AQ409" s="139"/>
      <c r="AR409" s="105"/>
      <c r="AS409" s="105"/>
      <c r="AT409" s="105"/>
      <c r="AU409" s="105"/>
      <c r="AV409" s="139"/>
      <c r="AW409" s="105"/>
      <c r="AX409" s="105"/>
      <c r="AY409" s="105"/>
      <c r="AZ409" s="105"/>
      <c r="BA409" s="139"/>
      <c r="BB409" s="105"/>
      <c r="BC409" s="105"/>
      <c r="BD409" s="105"/>
      <c r="BE409" s="105"/>
      <c r="BF409" s="139"/>
      <c r="BG409" s="105"/>
      <c r="BH409" s="105"/>
      <c r="BI409" s="105"/>
      <c r="BJ409" s="105"/>
      <c r="BK409" s="139"/>
      <c r="BL409" s="105"/>
      <c r="BM409" s="105"/>
      <c r="BN409" s="105"/>
      <c r="BO409" s="105"/>
      <c r="BP409" s="139"/>
      <c r="BQ409" s="105"/>
      <c r="BR409" s="105"/>
      <c r="BS409" s="105"/>
      <c r="BT409" s="105"/>
      <c r="BU409" s="139"/>
      <c r="BV409" s="105"/>
      <c r="BW409" s="105"/>
      <c r="BX409" s="105"/>
      <c r="BY409" s="105"/>
      <c r="BZ409" s="139"/>
      <c r="CA409" s="105"/>
      <c r="CB409" s="105"/>
      <c r="CC409" s="105"/>
      <c r="CD409" s="105"/>
      <c r="CE409" s="139"/>
      <c r="CF409" s="105"/>
      <c r="CG409" s="105"/>
      <c r="CH409" s="105"/>
      <c r="CI409" s="105"/>
      <c r="CJ409" s="139"/>
      <c r="CK409" s="105"/>
      <c r="CL409" s="105"/>
      <c r="CM409" s="105"/>
      <c r="CN409" s="105"/>
      <c r="CO409" s="139"/>
      <c r="CP409" s="105"/>
      <c r="CQ409" s="105"/>
      <c r="CR409" s="105"/>
      <c r="CS409" s="105"/>
      <c r="CT409" s="139"/>
      <c r="CU409" s="105"/>
      <c r="CV409" s="105"/>
      <c r="CW409" s="105"/>
      <c r="CX409" s="105"/>
      <c r="CY409" s="139"/>
      <c r="CZ409" s="105"/>
      <c r="DA409" s="105"/>
      <c r="DB409" s="105"/>
      <c r="DC409" s="105"/>
      <c r="DD409" s="139"/>
      <c r="DE409" s="105"/>
      <c r="DF409" s="105"/>
      <c r="DG409" s="105"/>
      <c r="DH409" s="105"/>
      <c r="DI409" s="139"/>
      <c r="DJ409" s="105"/>
      <c r="DK409" s="105"/>
      <c r="DL409" s="105"/>
      <c r="DM409" s="105"/>
      <c r="DN409" s="139"/>
      <c r="DO409" s="105"/>
      <c r="DP409" s="105"/>
      <c r="DQ409" s="105"/>
      <c r="DR409" s="105"/>
      <c r="DS409" s="139"/>
      <c r="DT409" s="105"/>
      <c r="DU409" s="105"/>
      <c r="DV409" s="105"/>
      <c r="DW409" s="105"/>
      <c r="DX409" s="139"/>
      <c r="DY409" s="105"/>
      <c r="DZ409" s="105"/>
      <c r="EA409" s="105"/>
      <c r="EB409" s="105"/>
      <c r="EC409" s="139"/>
      <c r="ED409" s="105"/>
      <c r="EE409" s="105"/>
      <c r="EF409" s="105"/>
      <c r="EG409" s="105"/>
      <c r="EH409" s="139"/>
      <c r="EI409" s="105"/>
      <c r="EJ409" s="105"/>
      <c r="EK409" s="105"/>
      <c r="EL409" s="105"/>
      <c r="EM409" s="139"/>
      <c r="EN409" s="105"/>
      <c r="EO409" s="105"/>
      <c r="EP409" s="105"/>
      <c r="EQ409" s="105"/>
      <c r="ER409" s="139"/>
      <c r="ES409" s="105"/>
      <c r="ET409" s="105"/>
      <c r="EU409" s="105"/>
      <c r="EV409" s="105"/>
      <c r="EW409" s="139"/>
      <c r="EX409" s="105"/>
      <c r="EY409" s="105"/>
      <c r="EZ409" s="105"/>
      <c r="FA409" s="105"/>
      <c r="FB409" s="139"/>
      <c r="FC409" s="105"/>
      <c r="FD409" s="105"/>
      <c r="FE409" s="105"/>
      <c r="FF409" s="105"/>
      <c r="FG409" s="139"/>
      <c r="FH409" s="105"/>
      <c r="FI409" s="105"/>
      <c r="FJ409" s="105"/>
      <c r="FK409" s="105"/>
      <c r="FL409" s="139"/>
      <c r="FM409" s="105"/>
      <c r="FN409" s="105"/>
      <c r="FO409" s="105"/>
      <c r="FP409" s="105"/>
      <c r="FQ409" s="139"/>
      <c r="FR409" s="105"/>
      <c r="FS409" s="105"/>
      <c r="FT409" s="105"/>
      <c r="FU409" s="105"/>
      <c r="FV409" s="139"/>
      <c r="FW409" s="105"/>
      <c r="FX409" s="105"/>
      <c r="FY409" s="105"/>
      <c r="FZ409" s="105"/>
      <c r="GA409" s="139"/>
      <c r="GB409" s="105"/>
      <c r="GC409" s="105"/>
      <c r="GD409" s="105"/>
      <c r="GE409" s="105"/>
      <c r="GF409" s="139"/>
      <c r="GG409" s="105"/>
      <c r="GH409" s="105"/>
      <c r="GI409" s="105"/>
      <c r="GJ409" s="105"/>
    </row>
    <row r="411" spans="3:192" ht="12.75" customHeight="1">
      <c r="C411" s="139"/>
      <c r="D411" s="105"/>
      <c r="E411" s="105"/>
      <c r="F411" s="105"/>
      <c r="G411" s="105"/>
      <c r="H411" s="139"/>
      <c r="I411" s="105"/>
      <c r="J411" s="105"/>
      <c r="K411" s="105"/>
      <c r="L411" s="105"/>
      <c r="M411" s="139"/>
      <c r="N411" s="105"/>
      <c r="O411" s="105"/>
      <c r="P411" s="105"/>
      <c r="Q411" s="105"/>
      <c r="R411" s="139"/>
      <c r="S411" s="105"/>
      <c r="T411" s="105"/>
      <c r="U411" s="105"/>
      <c r="V411" s="105"/>
      <c r="W411" s="139"/>
      <c r="X411" s="105"/>
      <c r="Y411" s="105"/>
      <c r="Z411" s="105"/>
      <c r="AA411" s="105"/>
      <c r="AB411" s="139"/>
      <c r="AC411" s="105"/>
      <c r="AD411" s="105"/>
      <c r="AE411" s="105"/>
      <c r="AF411" s="105"/>
      <c r="AG411" s="139"/>
      <c r="AH411" s="105"/>
      <c r="AI411" s="105"/>
      <c r="AJ411" s="105"/>
      <c r="AK411" s="105"/>
      <c r="AL411" s="139"/>
      <c r="AM411" s="105"/>
      <c r="AN411" s="105"/>
      <c r="AO411" s="105"/>
      <c r="AP411" s="105"/>
      <c r="AQ411" s="139"/>
      <c r="AR411" s="105"/>
      <c r="AS411" s="105"/>
      <c r="AT411" s="105"/>
      <c r="AU411" s="105"/>
      <c r="AV411" s="139"/>
      <c r="AW411" s="105"/>
      <c r="AX411" s="105"/>
      <c r="AY411" s="105"/>
      <c r="AZ411" s="105"/>
      <c r="BA411" s="139"/>
      <c r="BB411" s="105"/>
      <c r="BC411" s="105"/>
      <c r="BD411" s="105"/>
      <c r="BE411" s="105"/>
      <c r="BF411" s="139"/>
      <c r="BG411" s="105"/>
      <c r="BH411" s="105"/>
      <c r="BI411" s="105"/>
      <c r="BJ411" s="105"/>
      <c r="BK411" s="139"/>
      <c r="BL411" s="105"/>
      <c r="BM411" s="105"/>
      <c r="BN411" s="105"/>
      <c r="BO411" s="105"/>
      <c r="BP411" s="139"/>
      <c r="BQ411" s="105"/>
      <c r="BR411" s="105"/>
      <c r="BS411" s="105"/>
      <c r="BT411" s="105"/>
      <c r="BU411" s="139"/>
      <c r="BV411" s="105"/>
      <c r="BW411" s="105"/>
      <c r="BX411" s="105"/>
      <c r="BY411" s="105"/>
      <c r="BZ411" s="139"/>
      <c r="CA411" s="105"/>
      <c r="CB411" s="105"/>
      <c r="CC411" s="105"/>
      <c r="CD411" s="105"/>
      <c r="CE411" s="139"/>
      <c r="CF411" s="105"/>
      <c r="CG411" s="105"/>
      <c r="CH411" s="105"/>
      <c r="CI411" s="105"/>
      <c r="CJ411" s="139"/>
      <c r="CK411" s="105"/>
      <c r="CL411" s="105"/>
      <c r="CM411" s="105"/>
      <c r="CN411" s="105"/>
      <c r="CO411" s="139"/>
      <c r="CP411" s="105"/>
      <c r="CQ411" s="105"/>
      <c r="CR411" s="105"/>
      <c r="CS411" s="105"/>
      <c r="CT411" s="139"/>
      <c r="CU411" s="105"/>
      <c r="CV411" s="105"/>
      <c r="CW411" s="105"/>
      <c r="CX411" s="105"/>
      <c r="CY411" s="139"/>
      <c r="CZ411" s="105"/>
      <c r="DA411" s="105"/>
      <c r="DB411" s="105"/>
      <c r="DC411" s="105"/>
      <c r="DD411" s="139"/>
      <c r="DE411" s="105"/>
      <c r="DF411" s="105"/>
      <c r="DG411" s="105"/>
      <c r="DH411" s="105"/>
      <c r="DI411" s="139"/>
      <c r="DJ411" s="105"/>
      <c r="DK411" s="105"/>
      <c r="DL411" s="105"/>
      <c r="DM411" s="105"/>
      <c r="DN411" s="139"/>
      <c r="DO411" s="105"/>
      <c r="DP411" s="105"/>
      <c r="DQ411" s="105"/>
      <c r="DR411" s="105"/>
      <c r="DS411" s="139"/>
      <c r="DT411" s="105"/>
      <c r="DU411" s="105"/>
      <c r="DV411" s="105"/>
      <c r="DW411" s="105"/>
      <c r="DX411" s="139"/>
      <c r="DY411" s="105"/>
      <c r="DZ411" s="105"/>
      <c r="EA411" s="105"/>
      <c r="EB411" s="105"/>
      <c r="EC411" s="139"/>
      <c r="ED411" s="105"/>
      <c r="EE411" s="105"/>
      <c r="EF411" s="105"/>
      <c r="EG411" s="105"/>
      <c r="EH411" s="139"/>
      <c r="EI411" s="105"/>
      <c r="EJ411" s="105"/>
      <c r="EK411" s="105"/>
      <c r="EL411" s="105"/>
      <c r="EM411" s="139"/>
      <c r="EN411" s="105"/>
      <c r="EO411" s="105"/>
      <c r="EP411" s="105"/>
      <c r="EQ411" s="105"/>
      <c r="ER411" s="139"/>
      <c r="ES411" s="105"/>
      <c r="ET411" s="105"/>
      <c r="EU411" s="105"/>
      <c r="EV411" s="105"/>
      <c r="EW411" s="139"/>
      <c r="EX411" s="105"/>
      <c r="EY411" s="105"/>
      <c r="EZ411" s="105"/>
      <c r="FA411" s="105"/>
      <c r="FB411" s="139"/>
      <c r="FC411" s="105"/>
      <c r="FD411" s="105"/>
      <c r="FE411" s="105"/>
      <c r="FF411" s="105"/>
      <c r="FG411" s="139"/>
      <c r="FH411" s="105"/>
      <c r="FI411" s="105"/>
      <c r="FJ411" s="105"/>
      <c r="FK411" s="105"/>
      <c r="FL411" s="139"/>
      <c r="FM411" s="105"/>
      <c r="FN411" s="105"/>
      <c r="FO411" s="105"/>
      <c r="FP411" s="105"/>
      <c r="FQ411" s="139"/>
      <c r="FR411" s="105"/>
      <c r="FS411" s="105"/>
      <c r="FT411" s="105"/>
      <c r="FU411" s="105"/>
      <c r="FV411" s="139"/>
      <c r="FW411" s="105"/>
      <c r="FX411" s="105"/>
      <c r="FY411" s="105"/>
      <c r="FZ411" s="105"/>
      <c r="GA411" s="139"/>
      <c r="GB411" s="105"/>
      <c r="GC411" s="105"/>
      <c r="GD411" s="105"/>
      <c r="GE411" s="105"/>
      <c r="GF411" s="139"/>
      <c r="GG411" s="105"/>
      <c r="GH411" s="105"/>
      <c r="GI411" s="105"/>
      <c r="GJ411" s="105"/>
    </row>
    <row r="412" spans="3:192" ht="12.75" customHeight="1">
      <c r="C412" s="139"/>
      <c r="D412" s="105"/>
      <c r="E412" s="105"/>
      <c r="F412" s="105"/>
      <c r="G412" s="105"/>
      <c r="H412" s="139"/>
      <c r="I412" s="105"/>
      <c r="J412" s="105"/>
      <c r="K412" s="105"/>
      <c r="L412" s="105"/>
      <c r="M412" s="139"/>
      <c r="N412" s="105"/>
      <c r="O412" s="105"/>
      <c r="P412" s="105"/>
      <c r="Q412" s="105"/>
      <c r="R412" s="139"/>
      <c r="S412" s="105"/>
      <c r="T412" s="105"/>
      <c r="U412" s="105"/>
      <c r="V412" s="105"/>
      <c r="W412" s="139"/>
      <c r="X412" s="105"/>
      <c r="Y412" s="105"/>
      <c r="Z412" s="105"/>
      <c r="AA412" s="105"/>
      <c r="AB412" s="139"/>
      <c r="AC412" s="105"/>
      <c r="AD412" s="105"/>
      <c r="AE412" s="105"/>
      <c r="AF412" s="105"/>
      <c r="AG412" s="139"/>
      <c r="AH412" s="105"/>
      <c r="AI412" s="105"/>
      <c r="AJ412" s="105"/>
      <c r="AK412" s="105"/>
      <c r="AL412" s="139"/>
      <c r="AM412" s="105"/>
      <c r="AN412" s="105"/>
      <c r="AO412" s="105"/>
      <c r="AP412" s="105"/>
      <c r="AQ412" s="139"/>
      <c r="AR412" s="105"/>
      <c r="AS412" s="105"/>
      <c r="AT412" s="105"/>
      <c r="AU412" s="105"/>
      <c r="AV412" s="139"/>
      <c r="AW412" s="105"/>
      <c r="AX412" s="105"/>
      <c r="AY412" s="105"/>
      <c r="AZ412" s="105"/>
      <c r="BA412" s="139"/>
      <c r="BB412" s="105"/>
      <c r="BC412" s="105"/>
      <c r="BD412" s="105"/>
      <c r="BE412" s="105"/>
      <c r="BF412" s="139"/>
      <c r="BG412" s="105"/>
      <c r="BH412" s="105"/>
      <c r="BI412" s="105"/>
      <c r="BJ412" s="105"/>
      <c r="BK412" s="139"/>
      <c r="BL412" s="105"/>
      <c r="BM412" s="105"/>
      <c r="BN412" s="105"/>
      <c r="BO412" s="105"/>
      <c r="BP412" s="139"/>
      <c r="BQ412" s="105"/>
      <c r="BR412" s="105"/>
      <c r="BS412" s="105"/>
      <c r="BT412" s="105"/>
      <c r="BU412" s="139"/>
      <c r="BV412" s="105"/>
      <c r="BW412" s="105"/>
      <c r="BX412" s="105"/>
      <c r="BY412" s="105"/>
      <c r="BZ412" s="139"/>
      <c r="CA412" s="105"/>
      <c r="CB412" s="105"/>
      <c r="CC412" s="105"/>
      <c r="CD412" s="105"/>
      <c r="CE412" s="139"/>
      <c r="CF412" s="105"/>
      <c r="CG412" s="105"/>
      <c r="CH412" s="105"/>
      <c r="CI412" s="105"/>
      <c r="CJ412" s="139"/>
      <c r="CK412" s="105"/>
      <c r="CL412" s="105"/>
      <c r="CM412" s="105"/>
      <c r="CN412" s="105"/>
      <c r="CO412" s="139"/>
      <c r="CP412" s="105"/>
      <c r="CQ412" s="105"/>
      <c r="CR412" s="105"/>
      <c r="CS412" s="105"/>
      <c r="CT412" s="139"/>
      <c r="CU412" s="105"/>
      <c r="CV412" s="105"/>
      <c r="CW412" s="105"/>
      <c r="CX412" s="105"/>
      <c r="CY412" s="139"/>
      <c r="CZ412" s="105"/>
      <c r="DA412" s="105"/>
      <c r="DB412" s="105"/>
      <c r="DC412" s="105"/>
      <c r="DD412" s="139"/>
      <c r="DE412" s="105"/>
      <c r="DF412" s="105"/>
      <c r="DG412" s="105"/>
      <c r="DH412" s="105"/>
      <c r="DI412" s="139"/>
      <c r="DJ412" s="105"/>
      <c r="DK412" s="105"/>
      <c r="DL412" s="105"/>
      <c r="DM412" s="105"/>
      <c r="DN412" s="139"/>
      <c r="DO412" s="105"/>
      <c r="DP412" s="105"/>
      <c r="DQ412" s="105"/>
      <c r="DR412" s="105"/>
      <c r="DS412" s="139"/>
      <c r="DT412" s="105"/>
      <c r="DU412" s="105"/>
      <c r="DV412" s="105"/>
      <c r="DW412" s="105"/>
      <c r="DX412" s="139"/>
      <c r="DY412" s="105"/>
      <c r="DZ412" s="105"/>
      <c r="EA412" s="105"/>
      <c r="EB412" s="105"/>
      <c r="EC412" s="139"/>
      <c r="ED412" s="105"/>
      <c r="EE412" s="105"/>
      <c r="EF412" s="105"/>
      <c r="EG412" s="105"/>
      <c r="EH412" s="139"/>
      <c r="EI412" s="105"/>
      <c r="EJ412" s="105"/>
      <c r="EK412" s="105"/>
      <c r="EL412" s="105"/>
      <c r="EM412" s="139"/>
      <c r="EN412" s="105"/>
      <c r="EO412" s="105"/>
      <c r="EP412" s="105"/>
      <c r="EQ412" s="105"/>
      <c r="ER412" s="139"/>
      <c r="ES412" s="105"/>
      <c r="ET412" s="105"/>
      <c r="EU412" s="105"/>
      <c r="EV412" s="105"/>
      <c r="EW412" s="139"/>
      <c r="EX412" s="105"/>
      <c r="EY412" s="105"/>
      <c r="EZ412" s="105"/>
      <c r="FA412" s="105"/>
      <c r="FB412" s="139"/>
      <c r="FC412" s="105"/>
      <c r="FD412" s="105"/>
      <c r="FE412" s="105"/>
      <c r="FF412" s="105"/>
      <c r="FG412" s="139"/>
      <c r="FH412" s="105"/>
      <c r="FI412" s="105"/>
      <c r="FJ412" s="105"/>
      <c r="FK412" s="105"/>
      <c r="FL412" s="139"/>
      <c r="FM412" s="105"/>
      <c r="FN412" s="105"/>
      <c r="FO412" s="105"/>
      <c r="FP412" s="105"/>
      <c r="FQ412" s="139"/>
      <c r="FR412" s="105"/>
      <c r="FS412" s="105"/>
      <c r="FT412" s="105"/>
      <c r="FU412" s="105"/>
      <c r="FV412" s="139"/>
      <c r="FW412" s="105"/>
      <c r="FX412" s="105"/>
      <c r="FY412" s="105"/>
      <c r="FZ412" s="105"/>
      <c r="GA412" s="139"/>
      <c r="GB412" s="105"/>
      <c r="GC412" s="105"/>
      <c r="GD412" s="105"/>
      <c r="GE412" s="105"/>
      <c r="GF412" s="139"/>
      <c r="GG412" s="105"/>
      <c r="GH412" s="105"/>
      <c r="GI412" s="105"/>
      <c r="GJ412" s="105"/>
    </row>
    <row r="413" spans="3:192" ht="12.75" customHeight="1">
      <c r="C413" s="139"/>
      <c r="D413" s="105"/>
      <c r="E413" s="105"/>
      <c r="F413" s="105"/>
      <c r="G413" s="105"/>
      <c r="H413" s="139"/>
      <c r="I413" s="105"/>
      <c r="J413" s="105"/>
      <c r="K413" s="105"/>
      <c r="L413" s="105"/>
      <c r="M413" s="139"/>
      <c r="N413" s="105"/>
      <c r="O413" s="105"/>
      <c r="P413" s="105"/>
      <c r="Q413" s="105"/>
      <c r="R413" s="139"/>
      <c r="S413" s="105"/>
      <c r="T413" s="105"/>
      <c r="U413" s="105"/>
      <c r="V413" s="105"/>
      <c r="W413" s="139"/>
      <c r="X413" s="105"/>
      <c r="Y413" s="105"/>
      <c r="Z413" s="105"/>
      <c r="AA413" s="105"/>
      <c r="AB413" s="139"/>
      <c r="AC413" s="105"/>
      <c r="AD413" s="105"/>
      <c r="AE413" s="105"/>
      <c r="AF413" s="105"/>
      <c r="AG413" s="139"/>
      <c r="AH413" s="105"/>
      <c r="AI413" s="105"/>
      <c r="AJ413" s="105"/>
      <c r="AK413" s="105"/>
      <c r="AL413" s="139"/>
      <c r="AM413" s="105"/>
      <c r="AN413" s="105"/>
      <c r="AO413" s="105"/>
      <c r="AP413" s="105"/>
      <c r="AQ413" s="139"/>
      <c r="AR413" s="105"/>
      <c r="AS413" s="105"/>
      <c r="AT413" s="105"/>
      <c r="AU413" s="105"/>
      <c r="AV413" s="139"/>
      <c r="AW413" s="105"/>
      <c r="AX413" s="105"/>
      <c r="AY413" s="105"/>
      <c r="AZ413" s="105"/>
      <c r="BA413" s="139"/>
      <c r="BB413" s="105"/>
      <c r="BC413" s="105"/>
      <c r="BD413" s="105"/>
      <c r="BE413" s="105"/>
      <c r="BF413" s="139"/>
      <c r="BG413" s="105"/>
      <c r="BH413" s="105"/>
      <c r="BI413" s="105"/>
      <c r="BJ413" s="105"/>
      <c r="BK413" s="139"/>
      <c r="BL413" s="105"/>
      <c r="BM413" s="105"/>
      <c r="BN413" s="105"/>
      <c r="BO413" s="105"/>
      <c r="BP413" s="139"/>
      <c r="BQ413" s="105"/>
      <c r="BR413" s="105"/>
      <c r="BS413" s="105"/>
      <c r="BT413" s="105"/>
      <c r="BU413" s="139"/>
      <c r="BV413" s="105"/>
      <c r="BW413" s="105"/>
      <c r="BX413" s="105"/>
      <c r="BY413" s="105"/>
      <c r="BZ413" s="139"/>
      <c r="CA413" s="105"/>
      <c r="CB413" s="105"/>
      <c r="CC413" s="105"/>
      <c r="CD413" s="105"/>
      <c r="CE413" s="139"/>
      <c r="CF413" s="105"/>
      <c r="CG413" s="105"/>
      <c r="CH413" s="105"/>
      <c r="CI413" s="105"/>
      <c r="CJ413" s="139"/>
      <c r="CK413" s="105"/>
      <c r="CL413" s="105"/>
      <c r="CM413" s="105"/>
      <c r="CN413" s="105"/>
      <c r="CO413" s="139"/>
      <c r="CP413" s="105"/>
      <c r="CQ413" s="105"/>
      <c r="CR413" s="105"/>
      <c r="CS413" s="105"/>
      <c r="CT413" s="139"/>
      <c r="CU413" s="105"/>
      <c r="CV413" s="105"/>
      <c r="CW413" s="105"/>
      <c r="CX413" s="105"/>
      <c r="CY413" s="139"/>
      <c r="CZ413" s="105"/>
      <c r="DA413" s="105"/>
      <c r="DB413" s="105"/>
      <c r="DC413" s="105"/>
      <c r="DD413" s="139"/>
      <c r="DE413" s="105"/>
      <c r="DF413" s="105"/>
      <c r="DG413" s="105"/>
      <c r="DH413" s="105"/>
      <c r="DI413" s="139"/>
      <c r="DJ413" s="105"/>
      <c r="DK413" s="105"/>
      <c r="DL413" s="105"/>
      <c r="DM413" s="105"/>
      <c r="DN413" s="139"/>
      <c r="DO413" s="105"/>
      <c r="DP413" s="105"/>
      <c r="DQ413" s="105"/>
      <c r="DR413" s="105"/>
      <c r="DS413" s="139"/>
      <c r="DT413" s="105"/>
      <c r="DU413" s="105"/>
      <c r="DV413" s="105"/>
      <c r="DW413" s="105"/>
      <c r="DX413" s="139"/>
      <c r="DY413" s="105"/>
      <c r="DZ413" s="105"/>
      <c r="EA413" s="105"/>
      <c r="EB413" s="105"/>
      <c r="EC413" s="139"/>
      <c r="ED413" s="105"/>
      <c r="EE413" s="105"/>
      <c r="EF413" s="105"/>
      <c r="EG413" s="105"/>
      <c r="EH413" s="139"/>
      <c r="EI413" s="105"/>
      <c r="EJ413" s="105"/>
      <c r="EK413" s="105"/>
      <c r="EL413" s="105"/>
      <c r="EM413" s="139"/>
      <c r="EN413" s="105"/>
      <c r="EO413" s="105"/>
      <c r="EP413" s="105"/>
      <c r="EQ413" s="105"/>
      <c r="ER413" s="139"/>
      <c r="ES413" s="105"/>
      <c r="ET413" s="105"/>
      <c r="EU413" s="105"/>
      <c r="EV413" s="105"/>
      <c r="EW413" s="139"/>
      <c r="EX413" s="105"/>
      <c r="EY413" s="105"/>
      <c r="EZ413" s="105"/>
      <c r="FA413" s="105"/>
      <c r="FB413" s="139"/>
      <c r="FC413" s="105"/>
      <c r="FD413" s="105"/>
      <c r="FE413" s="105"/>
      <c r="FF413" s="105"/>
      <c r="FG413" s="139"/>
      <c r="FH413" s="105"/>
      <c r="FI413" s="105"/>
      <c r="FJ413" s="105"/>
      <c r="FK413" s="105"/>
      <c r="FL413" s="139"/>
      <c r="FM413" s="105"/>
      <c r="FN413" s="105"/>
      <c r="FO413" s="105"/>
      <c r="FP413" s="105"/>
      <c r="FQ413" s="139"/>
      <c r="FR413" s="105"/>
      <c r="FS413" s="105"/>
      <c r="FT413" s="105"/>
      <c r="FU413" s="105"/>
      <c r="FV413" s="139"/>
      <c r="FW413" s="105"/>
      <c r="FX413" s="105"/>
      <c r="FY413" s="105"/>
      <c r="FZ413" s="105"/>
      <c r="GA413" s="139"/>
      <c r="GB413" s="105"/>
      <c r="GC413" s="105"/>
      <c r="GD413" s="105"/>
      <c r="GE413" s="105"/>
      <c r="GF413" s="139"/>
      <c r="GG413" s="105"/>
      <c r="GH413" s="105"/>
      <c r="GI413" s="105"/>
      <c r="GJ413" s="105"/>
    </row>
    <row r="417" spans="3:192" ht="12.75" customHeight="1">
      <c r="C417" s="139"/>
      <c r="D417" s="105"/>
      <c r="E417" s="105"/>
      <c r="F417" s="105"/>
      <c r="G417" s="105"/>
      <c r="H417" s="139"/>
      <c r="I417" s="105"/>
      <c r="J417" s="105"/>
      <c r="K417" s="105"/>
      <c r="L417" s="105"/>
      <c r="M417" s="139"/>
      <c r="N417" s="105"/>
      <c r="O417" s="105"/>
      <c r="P417" s="105"/>
      <c r="Q417" s="105"/>
      <c r="R417" s="139"/>
      <c r="S417" s="105"/>
      <c r="T417" s="105"/>
      <c r="U417" s="105"/>
      <c r="V417" s="105"/>
      <c r="W417" s="139"/>
      <c r="X417" s="105"/>
      <c r="Y417" s="105"/>
      <c r="Z417" s="105"/>
      <c r="AA417" s="105"/>
      <c r="AB417" s="139"/>
      <c r="AC417" s="105"/>
      <c r="AD417" s="105"/>
      <c r="AE417" s="105"/>
      <c r="AF417" s="105"/>
      <c r="AG417" s="139"/>
      <c r="AH417" s="105"/>
      <c r="AI417" s="105"/>
      <c r="AJ417" s="105"/>
      <c r="AK417" s="105"/>
      <c r="AL417" s="139"/>
      <c r="AM417" s="105"/>
      <c r="AN417" s="105"/>
      <c r="AO417" s="105"/>
      <c r="AP417" s="105"/>
      <c r="AQ417" s="139"/>
      <c r="AR417" s="105"/>
      <c r="AS417" s="105"/>
      <c r="AT417" s="105"/>
      <c r="AU417" s="105"/>
      <c r="AV417" s="139"/>
      <c r="AW417" s="105"/>
      <c r="AX417" s="105"/>
      <c r="AY417" s="105"/>
      <c r="AZ417" s="105"/>
      <c r="BA417" s="139"/>
      <c r="BB417" s="105"/>
      <c r="BC417" s="105"/>
      <c r="BD417" s="105"/>
      <c r="BE417" s="105"/>
      <c r="BF417" s="139"/>
      <c r="BG417" s="105"/>
      <c r="BH417" s="105"/>
      <c r="BI417" s="105"/>
      <c r="BJ417" s="105"/>
      <c r="BK417" s="139"/>
      <c r="BL417" s="105"/>
      <c r="BM417" s="105"/>
      <c r="BN417" s="105"/>
      <c r="BO417" s="105"/>
      <c r="BP417" s="139"/>
      <c r="BQ417" s="105"/>
      <c r="BR417" s="105"/>
      <c r="BS417" s="105"/>
      <c r="BT417" s="105"/>
      <c r="BU417" s="139"/>
      <c r="BV417" s="105"/>
      <c r="BW417" s="105"/>
      <c r="BX417" s="105"/>
      <c r="BY417" s="105"/>
      <c r="BZ417" s="139"/>
      <c r="CA417" s="105"/>
      <c r="CB417" s="105"/>
      <c r="CC417" s="105"/>
      <c r="CD417" s="105"/>
      <c r="CE417" s="139"/>
      <c r="CF417" s="105"/>
      <c r="CG417" s="105"/>
      <c r="CH417" s="105"/>
      <c r="CI417" s="105"/>
      <c r="CJ417" s="139"/>
      <c r="CK417" s="105"/>
      <c r="CL417" s="105"/>
      <c r="CM417" s="105"/>
      <c r="CN417" s="105"/>
      <c r="CO417" s="139"/>
      <c r="CP417" s="105"/>
      <c r="CQ417" s="105"/>
      <c r="CR417" s="105"/>
      <c r="CS417" s="105"/>
      <c r="CT417" s="139"/>
      <c r="CU417" s="105"/>
      <c r="CV417" s="105"/>
      <c r="CW417" s="105"/>
      <c r="CX417" s="105"/>
      <c r="CY417" s="139"/>
      <c r="CZ417" s="105"/>
      <c r="DA417" s="105"/>
      <c r="DB417" s="105"/>
      <c r="DC417" s="105"/>
      <c r="DD417" s="139"/>
      <c r="DE417" s="105"/>
      <c r="DF417" s="105"/>
      <c r="DG417" s="105"/>
      <c r="DH417" s="105"/>
      <c r="DI417" s="139"/>
      <c r="DJ417" s="105"/>
      <c r="DK417" s="105"/>
      <c r="DL417" s="105"/>
      <c r="DM417" s="105"/>
      <c r="DN417" s="139"/>
      <c r="DO417" s="105"/>
      <c r="DP417" s="105"/>
      <c r="DQ417" s="105"/>
      <c r="DR417" s="105"/>
      <c r="DS417" s="139"/>
      <c r="DT417" s="105"/>
      <c r="DU417" s="105"/>
      <c r="DV417" s="105"/>
      <c r="DW417" s="105"/>
      <c r="DX417" s="139"/>
      <c r="DY417" s="105"/>
      <c r="DZ417" s="105"/>
      <c r="EA417" s="105"/>
      <c r="EB417" s="105"/>
      <c r="EC417" s="139"/>
      <c r="ED417" s="105"/>
      <c r="EE417" s="105"/>
      <c r="EF417" s="105"/>
      <c r="EG417" s="105"/>
      <c r="EH417" s="139"/>
      <c r="EI417" s="105"/>
      <c r="EJ417" s="105"/>
      <c r="EK417" s="105"/>
      <c r="EL417" s="105"/>
      <c r="EM417" s="139"/>
      <c r="EN417" s="105"/>
      <c r="EO417" s="105"/>
      <c r="EP417" s="105"/>
      <c r="EQ417" s="105"/>
      <c r="ER417" s="139"/>
      <c r="ES417" s="105"/>
      <c r="ET417" s="105"/>
      <c r="EU417" s="105"/>
      <c r="EV417" s="105"/>
      <c r="EW417" s="139"/>
      <c r="EX417" s="105"/>
      <c r="EY417" s="105"/>
      <c r="EZ417" s="105"/>
      <c r="FA417" s="105"/>
      <c r="FB417" s="139"/>
      <c r="FC417" s="105"/>
      <c r="FD417" s="105"/>
      <c r="FE417" s="105"/>
      <c r="FF417" s="105"/>
      <c r="FG417" s="139"/>
      <c r="FH417" s="105"/>
      <c r="FI417" s="105"/>
      <c r="FJ417" s="105"/>
      <c r="FK417" s="105"/>
      <c r="FL417" s="139"/>
      <c r="FM417" s="105"/>
      <c r="FN417" s="105"/>
      <c r="FO417" s="105"/>
      <c r="FP417" s="105"/>
      <c r="FQ417" s="139"/>
      <c r="FR417" s="105"/>
      <c r="FS417" s="105"/>
      <c r="FT417" s="105"/>
      <c r="FU417" s="105"/>
      <c r="FV417" s="139"/>
      <c r="FW417" s="105"/>
      <c r="FX417" s="105"/>
      <c r="FY417" s="105"/>
      <c r="FZ417" s="105"/>
      <c r="GA417" s="139"/>
      <c r="GB417" s="105"/>
      <c r="GC417" s="105"/>
      <c r="GD417" s="105"/>
      <c r="GE417" s="105"/>
      <c r="GF417" s="139"/>
      <c r="GG417" s="105"/>
      <c r="GH417" s="105"/>
      <c r="GI417" s="105"/>
      <c r="GJ417" s="105"/>
    </row>
    <row r="418" spans="3:192" ht="12.75" customHeight="1">
      <c r="C418" s="139"/>
      <c r="D418" s="105"/>
      <c r="E418" s="105"/>
      <c r="F418" s="105"/>
      <c r="G418" s="105"/>
      <c r="H418" s="139"/>
      <c r="I418" s="105"/>
      <c r="J418" s="105"/>
      <c r="K418" s="105"/>
      <c r="L418" s="105"/>
      <c r="M418" s="139"/>
      <c r="N418" s="105"/>
      <c r="O418" s="105"/>
      <c r="P418" s="105"/>
      <c r="Q418" s="105"/>
      <c r="R418" s="139"/>
      <c r="S418" s="105"/>
      <c r="T418" s="105"/>
      <c r="U418" s="105"/>
      <c r="V418" s="105"/>
      <c r="W418" s="139"/>
      <c r="X418" s="105"/>
      <c r="Y418" s="105"/>
      <c r="Z418" s="105"/>
      <c r="AA418" s="105"/>
      <c r="AB418" s="139"/>
      <c r="AC418" s="105"/>
      <c r="AD418" s="105"/>
      <c r="AE418" s="105"/>
      <c r="AF418" s="105"/>
      <c r="AG418" s="139"/>
      <c r="AH418" s="105"/>
      <c r="AI418" s="105"/>
      <c r="AJ418" s="105"/>
      <c r="AK418" s="105"/>
      <c r="AL418" s="139"/>
      <c r="AM418" s="105"/>
      <c r="AN418" s="105"/>
      <c r="AO418" s="105"/>
      <c r="AP418" s="105"/>
      <c r="AQ418" s="139"/>
      <c r="AR418" s="105"/>
      <c r="AS418" s="105"/>
      <c r="AT418" s="105"/>
      <c r="AU418" s="105"/>
      <c r="AV418" s="139"/>
      <c r="AW418" s="105"/>
      <c r="AX418" s="105"/>
      <c r="AY418" s="105"/>
      <c r="AZ418" s="105"/>
      <c r="BA418" s="139"/>
      <c r="BB418" s="105"/>
      <c r="BC418" s="105"/>
      <c r="BD418" s="105"/>
      <c r="BE418" s="105"/>
      <c r="BF418" s="139"/>
      <c r="BG418" s="105"/>
      <c r="BH418" s="105"/>
      <c r="BI418" s="105"/>
      <c r="BJ418" s="105"/>
      <c r="BK418" s="139"/>
      <c r="BL418" s="105"/>
      <c r="BM418" s="105"/>
      <c r="BN418" s="105"/>
      <c r="BO418" s="105"/>
      <c r="BP418" s="139"/>
      <c r="BQ418" s="105"/>
      <c r="BR418" s="105"/>
      <c r="BS418" s="105"/>
      <c r="BT418" s="105"/>
      <c r="BU418" s="139"/>
      <c r="BV418" s="105"/>
      <c r="BW418" s="105"/>
      <c r="BX418" s="105"/>
      <c r="BY418" s="105"/>
      <c r="BZ418" s="139"/>
      <c r="CA418" s="105"/>
      <c r="CB418" s="105"/>
      <c r="CC418" s="105"/>
      <c r="CD418" s="105"/>
      <c r="CE418" s="139"/>
      <c r="CF418" s="105"/>
      <c r="CG418" s="105"/>
      <c r="CH418" s="105"/>
      <c r="CI418" s="105"/>
      <c r="CJ418" s="139"/>
      <c r="CK418" s="105"/>
      <c r="CL418" s="105"/>
      <c r="CM418" s="105"/>
      <c r="CN418" s="105"/>
      <c r="CO418" s="139"/>
      <c r="CP418" s="105"/>
      <c r="CQ418" s="105"/>
      <c r="CR418" s="105"/>
      <c r="CS418" s="105"/>
      <c r="CT418" s="139"/>
      <c r="CU418" s="105"/>
      <c r="CV418" s="105"/>
      <c r="CW418" s="105"/>
      <c r="CX418" s="105"/>
      <c r="CY418" s="139"/>
      <c r="CZ418" s="105"/>
      <c r="DA418" s="105"/>
      <c r="DB418" s="105"/>
      <c r="DC418" s="105"/>
      <c r="DD418" s="139"/>
      <c r="DE418" s="105"/>
      <c r="DF418" s="105"/>
      <c r="DG418" s="105"/>
      <c r="DH418" s="105"/>
      <c r="DI418" s="139"/>
      <c r="DJ418" s="105"/>
      <c r="DK418" s="105"/>
      <c r="DL418" s="105"/>
      <c r="DM418" s="105"/>
      <c r="DN418" s="139"/>
      <c r="DO418" s="105"/>
      <c r="DP418" s="105"/>
      <c r="DQ418" s="105"/>
      <c r="DR418" s="105"/>
      <c r="DS418" s="139"/>
      <c r="DT418" s="105"/>
      <c r="DU418" s="105"/>
      <c r="DV418" s="105"/>
      <c r="DW418" s="105"/>
      <c r="DX418" s="139"/>
      <c r="DY418" s="105"/>
      <c r="DZ418" s="105"/>
      <c r="EA418" s="105"/>
      <c r="EB418" s="105"/>
      <c r="EC418" s="139"/>
      <c r="ED418" s="105"/>
      <c r="EE418" s="105"/>
      <c r="EF418" s="105"/>
      <c r="EG418" s="105"/>
      <c r="EH418" s="139"/>
      <c r="EI418" s="105"/>
      <c r="EJ418" s="105"/>
      <c r="EK418" s="105"/>
      <c r="EL418" s="105"/>
      <c r="EM418" s="139"/>
      <c r="EN418" s="105"/>
      <c r="EO418" s="105"/>
      <c r="EP418" s="105"/>
      <c r="EQ418" s="105"/>
      <c r="ER418" s="139"/>
      <c r="ES418" s="105"/>
      <c r="ET418" s="105"/>
      <c r="EU418" s="105"/>
      <c r="EV418" s="105"/>
      <c r="EW418" s="139"/>
      <c r="EX418" s="105"/>
      <c r="EY418" s="105"/>
      <c r="EZ418" s="105"/>
      <c r="FA418" s="105"/>
      <c r="FB418" s="139"/>
      <c r="FC418" s="105"/>
      <c r="FD418" s="105"/>
      <c r="FE418" s="105"/>
      <c r="FF418" s="105"/>
      <c r="FG418" s="139"/>
      <c r="FH418" s="105"/>
      <c r="FI418" s="105"/>
      <c r="FJ418" s="105"/>
      <c r="FK418" s="105"/>
      <c r="FL418" s="139"/>
      <c r="FM418" s="105"/>
      <c r="FN418" s="105"/>
      <c r="FO418" s="105"/>
      <c r="FP418" s="105"/>
      <c r="FQ418" s="139"/>
      <c r="FR418" s="105"/>
      <c r="FS418" s="105"/>
      <c r="FT418" s="105"/>
      <c r="FU418" s="105"/>
      <c r="FV418" s="139"/>
      <c r="FW418" s="105"/>
      <c r="FX418" s="105"/>
      <c r="FY418" s="105"/>
      <c r="FZ418" s="105"/>
      <c r="GA418" s="139"/>
      <c r="GB418" s="105"/>
      <c r="GC418" s="105"/>
      <c r="GD418" s="105"/>
      <c r="GE418" s="105"/>
      <c r="GF418" s="139"/>
      <c r="GG418" s="105"/>
      <c r="GH418" s="105"/>
      <c r="GI418" s="105"/>
      <c r="GJ418" s="105"/>
    </row>
    <row r="419" spans="3:192" ht="12.75" customHeight="1">
      <c r="C419" s="139"/>
      <c r="D419" s="105"/>
      <c r="E419" s="105"/>
      <c r="F419" s="105"/>
      <c r="G419" s="105"/>
      <c r="H419" s="139"/>
      <c r="I419" s="105"/>
      <c r="J419" s="105"/>
      <c r="K419" s="105"/>
      <c r="L419" s="105"/>
      <c r="M419" s="139"/>
      <c r="N419" s="105"/>
      <c r="O419" s="105"/>
      <c r="P419" s="105"/>
      <c r="Q419" s="105"/>
      <c r="R419" s="139"/>
      <c r="S419" s="105"/>
      <c r="T419" s="105"/>
      <c r="U419" s="105"/>
      <c r="V419" s="105"/>
      <c r="W419" s="139"/>
      <c r="X419" s="105"/>
      <c r="Y419" s="105"/>
      <c r="Z419" s="105"/>
      <c r="AA419" s="105"/>
      <c r="AB419" s="139"/>
      <c r="AC419" s="105"/>
      <c r="AD419" s="105"/>
      <c r="AE419" s="105"/>
      <c r="AF419" s="105"/>
      <c r="AG419" s="139"/>
      <c r="AH419" s="105"/>
      <c r="AI419" s="105"/>
      <c r="AJ419" s="105"/>
      <c r="AK419" s="105"/>
      <c r="AL419" s="139"/>
      <c r="AM419" s="105"/>
      <c r="AN419" s="105"/>
      <c r="AO419" s="105"/>
      <c r="AP419" s="105"/>
      <c r="AQ419" s="139"/>
      <c r="AR419" s="105"/>
      <c r="AS419" s="105"/>
      <c r="AT419" s="105"/>
      <c r="AU419" s="105"/>
      <c r="AV419" s="139"/>
      <c r="AW419" s="105"/>
      <c r="AX419" s="105"/>
      <c r="AY419" s="105"/>
      <c r="AZ419" s="105"/>
      <c r="BA419" s="139"/>
      <c r="BB419" s="105"/>
      <c r="BC419" s="105"/>
      <c r="BD419" s="105"/>
      <c r="BE419" s="105"/>
      <c r="BF419" s="139"/>
      <c r="BG419" s="105"/>
      <c r="BH419" s="105"/>
      <c r="BI419" s="105"/>
      <c r="BJ419" s="105"/>
      <c r="BK419" s="139"/>
      <c r="BL419" s="105"/>
      <c r="BM419" s="105"/>
      <c r="BN419" s="105"/>
      <c r="BO419" s="105"/>
      <c r="BP419" s="139"/>
      <c r="BQ419" s="105"/>
      <c r="BR419" s="105"/>
      <c r="BS419" s="105"/>
      <c r="BT419" s="105"/>
      <c r="BU419" s="139"/>
      <c r="BV419" s="105"/>
      <c r="BW419" s="105"/>
      <c r="BX419" s="105"/>
      <c r="BY419" s="105"/>
      <c r="BZ419" s="139"/>
      <c r="CA419" s="105"/>
      <c r="CB419" s="105"/>
      <c r="CC419" s="105"/>
      <c r="CD419" s="105"/>
      <c r="CE419" s="139"/>
      <c r="CF419" s="105"/>
      <c r="CG419" s="105"/>
      <c r="CH419" s="105"/>
      <c r="CI419" s="105"/>
      <c r="CJ419" s="139"/>
      <c r="CK419" s="105"/>
      <c r="CL419" s="105"/>
      <c r="CM419" s="105"/>
      <c r="CN419" s="105"/>
      <c r="CO419" s="139"/>
      <c r="CP419" s="105"/>
      <c r="CQ419" s="105"/>
      <c r="CR419" s="105"/>
      <c r="CS419" s="105"/>
      <c r="CT419" s="139"/>
      <c r="CU419" s="105"/>
      <c r="CV419" s="105"/>
      <c r="CW419" s="105"/>
      <c r="CX419" s="105"/>
      <c r="CY419" s="139"/>
      <c r="CZ419" s="105"/>
      <c r="DA419" s="105"/>
      <c r="DB419" s="105"/>
      <c r="DC419" s="105"/>
      <c r="DD419" s="139"/>
      <c r="DE419" s="105"/>
      <c r="DF419" s="105"/>
      <c r="DG419" s="105"/>
      <c r="DH419" s="105"/>
      <c r="DI419" s="139"/>
      <c r="DJ419" s="105"/>
      <c r="DK419" s="105"/>
      <c r="DL419" s="105"/>
      <c r="DM419" s="105"/>
      <c r="DN419" s="139"/>
      <c r="DO419" s="105"/>
      <c r="DP419" s="105"/>
      <c r="DQ419" s="105"/>
      <c r="DR419" s="105"/>
      <c r="DS419" s="139"/>
      <c r="DT419" s="105"/>
      <c r="DU419" s="105"/>
      <c r="DV419" s="105"/>
      <c r="DW419" s="105"/>
      <c r="DX419" s="139"/>
      <c r="DY419" s="105"/>
      <c r="DZ419" s="105"/>
      <c r="EA419" s="105"/>
      <c r="EB419" s="105"/>
      <c r="EC419" s="139"/>
      <c r="ED419" s="105"/>
      <c r="EE419" s="105"/>
      <c r="EF419" s="105"/>
      <c r="EG419" s="105"/>
      <c r="EH419" s="139"/>
      <c r="EI419" s="105"/>
      <c r="EJ419" s="105"/>
      <c r="EK419" s="105"/>
      <c r="EL419" s="105"/>
      <c r="EM419" s="139"/>
      <c r="EN419" s="105"/>
      <c r="EO419" s="105"/>
      <c r="EP419" s="105"/>
      <c r="EQ419" s="105"/>
      <c r="ER419" s="139"/>
      <c r="ES419" s="105"/>
      <c r="ET419" s="105"/>
      <c r="EU419" s="105"/>
      <c r="EV419" s="105"/>
      <c r="EW419" s="139"/>
      <c r="EX419" s="105"/>
      <c r="EY419" s="105"/>
      <c r="EZ419" s="105"/>
      <c r="FA419" s="105"/>
      <c r="FB419" s="139"/>
      <c r="FC419" s="105"/>
      <c r="FD419" s="105"/>
      <c r="FE419" s="105"/>
      <c r="FF419" s="105"/>
      <c r="FG419" s="139"/>
      <c r="FH419" s="105"/>
      <c r="FI419" s="105"/>
      <c r="FJ419" s="105"/>
      <c r="FK419" s="105"/>
      <c r="FL419" s="139"/>
      <c r="FM419" s="105"/>
      <c r="FN419" s="105"/>
      <c r="FO419" s="105"/>
      <c r="FP419" s="105"/>
      <c r="FQ419" s="139"/>
      <c r="FR419" s="105"/>
      <c r="FS419" s="105"/>
      <c r="FT419" s="105"/>
      <c r="FU419" s="105"/>
      <c r="FV419" s="139"/>
      <c r="FW419" s="105"/>
      <c r="FX419" s="105"/>
      <c r="FY419" s="105"/>
      <c r="FZ419" s="105"/>
      <c r="GA419" s="139"/>
      <c r="GB419" s="105"/>
      <c r="GC419" s="105"/>
      <c r="GD419" s="105"/>
      <c r="GE419" s="105"/>
      <c r="GF419" s="139"/>
      <c r="GG419" s="105"/>
      <c r="GH419" s="105"/>
      <c r="GI419" s="105"/>
      <c r="GJ419" s="105"/>
    </row>
    <row r="420" spans="3:192" ht="12.75" customHeight="1">
      <c r="C420" s="139"/>
      <c r="D420" s="105"/>
      <c r="E420" s="105"/>
      <c r="F420" s="105"/>
      <c r="G420" s="105"/>
      <c r="H420" s="139"/>
      <c r="I420" s="105"/>
      <c r="J420" s="105"/>
      <c r="K420" s="105"/>
      <c r="L420" s="105"/>
      <c r="M420" s="139"/>
      <c r="N420" s="105"/>
      <c r="O420" s="105"/>
      <c r="P420" s="105"/>
      <c r="Q420" s="105"/>
      <c r="R420" s="139"/>
      <c r="S420" s="105"/>
      <c r="T420" s="105"/>
      <c r="U420" s="105"/>
      <c r="V420" s="105"/>
      <c r="W420" s="139"/>
      <c r="X420" s="105"/>
      <c r="Y420" s="105"/>
      <c r="Z420" s="105"/>
      <c r="AA420" s="105"/>
      <c r="AB420" s="139"/>
      <c r="AC420" s="105"/>
      <c r="AD420" s="105"/>
      <c r="AE420" s="105"/>
      <c r="AF420" s="105"/>
      <c r="AG420" s="139"/>
      <c r="AH420" s="105"/>
      <c r="AI420" s="105"/>
      <c r="AJ420" s="105"/>
      <c r="AK420" s="105"/>
      <c r="AL420" s="139"/>
      <c r="AM420" s="105"/>
      <c r="AN420" s="105"/>
      <c r="AO420" s="105"/>
      <c r="AP420" s="105"/>
      <c r="AQ420" s="139"/>
      <c r="AR420" s="105"/>
      <c r="AS420" s="105"/>
      <c r="AT420" s="105"/>
      <c r="AU420" s="105"/>
      <c r="AV420" s="139"/>
      <c r="AW420" s="105"/>
      <c r="AX420" s="105"/>
      <c r="AY420" s="105"/>
      <c r="AZ420" s="105"/>
      <c r="BA420" s="139"/>
      <c r="BB420" s="105"/>
      <c r="BC420" s="105"/>
      <c r="BD420" s="105"/>
      <c r="BE420" s="105"/>
      <c r="BF420" s="139"/>
      <c r="BG420" s="105"/>
      <c r="BH420" s="105"/>
      <c r="BI420" s="105"/>
      <c r="BJ420" s="105"/>
      <c r="BK420" s="139"/>
      <c r="BL420" s="105"/>
      <c r="BM420" s="105"/>
      <c r="BN420" s="105"/>
      <c r="BO420" s="105"/>
      <c r="BP420" s="139"/>
      <c r="BQ420" s="105"/>
      <c r="BR420" s="105"/>
      <c r="BS420" s="105"/>
      <c r="BT420" s="105"/>
      <c r="BU420" s="139"/>
      <c r="BV420" s="105"/>
      <c r="BW420" s="105"/>
      <c r="BX420" s="105"/>
      <c r="BY420" s="105"/>
      <c r="BZ420" s="139"/>
      <c r="CA420" s="105"/>
      <c r="CB420" s="105"/>
      <c r="CC420" s="105"/>
      <c r="CD420" s="105"/>
      <c r="CE420" s="139"/>
      <c r="CF420" s="105"/>
      <c r="CG420" s="105"/>
      <c r="CH420" s="105"/>
      <c r="CI420" s="105"/>
      <c r="CJ420" s="139"/>
      <c r="CK420" s="105"/>
      <c r="CL420" s="105"/>
      <c r="CM420" s="105"/>
      <c r="CN420" s="105"/>
      <c r="CO420" s="139"/>
      <c r="CP420" s="105"/>
      <c r="CQ420" s="105"/>
      <c r="CR420" s="105"/>
      <c r="CS420" s="105"/>
      <c r="CT420" s="139"/>
      <c r="CU420" s="105"/>
      <c r="CV420" s="105"/>
      <c r="CW420" s="105"/>
      <c r="CX420" s="105"/>
      <c r="CY420" s="139"/>
      <c r="CZ420" s="105"/>
      <c r="DA420" s="105"/>
      <c r="DB420" s="105"/>
      <c r="DC420" s="105"/>
      <c r="DD420" s="139"/>
      <c r="DE420" s="105"/>
      <c r="DF420" s="105"/>
      <c r="DG420" s="105"/>
      <c r="DH420" s="105"/>
      <c r="DI420" s="139"/>
      <c r="DJ420" s="105"/>
      <c r="DK420" s="105"/>
      <c r="DL420" s="105"/>
      <c r="DM420" s="105"/>
      <c r="DN420" s="139"/>
      <c r="DO420" s="105"/>
      <c r="DP420" s="105"/>
      <c r="DQ420" s="105"/>
      <c r="DR420" s="105"/>
      <c r="DS420" s="139"/>
      <c r="DT420" s="105"/>
      <c r="DU420" s="105"/>
      <c r="DV420" s="105"/>
      <c r="DW420" s="105"/>
      <c r="DX420" s="139"/>
      <c r="DY420" s="105"/>
      <c r="DZ420" s="105"/>
      <c r="EA420" s="105"/>
      <c r="EB420" s="105"/>
      <c r="EC420" s="139"/>
      <c r="ED420" s="105"/>
      <c r="EE420" s="105"/>
      <c r="EF420" s="105"/>
      <c r="EG420" s="105"/>
      <c r="EH420" s="139"/>
      <c r="EI420" s="105"/>
      <c r="EJ420" s="105"/>
      <c r="EK420" s="105"/>
      <c r="EL420" s="105"/>
      <c r="EM420" s="139"/>
      <c r="EN420" s="105"/>
      <c r="EO420" s="105"/>
      <c r="EP420" s="105"/>
      <c r="EQ420" s="105"/>
      <c r="ER420" s="139"/>
      <c r="ES420" s="105"/>
      <c r="ET420" s="105"/>
      <c r="EU420" s="105"/>
      <c r="EV420" s="105"/>
      <c r="EW420" s="139"/>
      <c r="EX420" s="105"/>
      <c r="EY420" s="105"/>
      <c r="EZ420" s="105"/>
      <c r="FA420" s="105"/>
      <c r="FB420" s="139"/>
      <c r="FC420" s="105"/>
      <c r="FD420" s="105"/>
      <c r="FE420" s="105"/>
      <c r="FF420" s="105"/>
      <c r="FG420" s="139"/>
      <c r="FH420" s="105"/>
      <c r="FI420" s="105"/>
      <c r="FJ420" s="105"/>
      <c r="FK420" s="105"/>
      <c r="FL420" s="139"/>
      <c r="FM420" s="105"/>
      <c r="FN420" s="105"/>
      <c r="FO420" s="105"/>
      <c r="FP420" s="105"/>
      <c r="FQ420" s="139"/>
      <c r="FR420" s="105"/>
      <c r="FS420" s="105"/>
      <c r="FT420" s="105"/>
      <c r="FU420" s="105"/>
      <c r="FV420" s="139"/>
      <c r="FW420" s="105"/>
      <c r="FX420" s="105"/>
      <c r="FY420" s="105"/>
      <c r="FZ420" s="105"/>
      <c r="GA420" s="139"/>
      <c r="GB420" s="105"/>
      <c r="GC420" s="105"/>
      <c r="GD420" s="105"/>
      <c r="GE420" s="105"/>
      <c r="GF420" s="139"/>
      <c r="GG420" s="105"/>
      <c r="GH420" s="105"/>
      <c r="GI420" s="105"/>
      <c r="GJ420" s="105"/>
    </row>
    <row r="423" spans="3:192" ht="12.75" customHeight="1">
      <c r="C423" s="169"/>
      <c r="D423" s="169"/>
      <c r="E423" s="169"/>
      <c r="F423" s="169"/>
      <c r="G423" s="169"/>
      <c r="H423" s="169"/>
      <c r="I423" s="169"/>
      <c r="J423" s="169"/>
      <c r="K423" s="169"/>
      <c r="L423" s="169"/>
      <c r="M423" s="169"/>
      <c r="N423" s="169"/>
      <c r="O423" s="169"/>
      <c r="P423" s="169"/>
      <c r="Q423" s="169"/>
      <c r="R423" s="169"/>
      <c r="S423" s="169"/>
      <c r="T423" s="169"/>
      <c r="U423" s="169"/>
      <c r="V423" s="169"/>
      <c r="W423" s="169"/>
      <c r="X423" s="169"/>
      <c r="Y423" s="169"/>
      <c r="Z423" s="169"/>
      <c r="AA423" s="169"/>
      <c r="AB423" s="169"/>
      <c r="AC423" s="169"/>
      <c r="AD423" s="169"/>
      <c r="AE423" s="169"/>
      <c r="AF423" s="169"/>
      <c r="AG423" s="169"/>
      <c r="AH423" s="169"/>
      <c r="AI423" s="169"/>
      <c r="AJ423" s="169"/>
      <c r="AK423" s="169"/>
      <c r="AL423" s="169"/>
      <c r="AM423" s="169"/>
      <c r="AN423" s="169"/>
      <c r="AO423" s="169"/>
      <c r="AP423" s="169"/>
      <c r="AQ423" s="169"/>
      <c r="AR423" s="169"/>
      <c r="AS423" s="169"/>
      <c r="AT423" s="169"/>
      <c r="AU423" s="169"/>
      <c r="AV423" s="169"/>
      <c r="AW423" s="169"/>
      <c r="AX423" s="169"/>
      <c r="AY423" s="169"/>
      <c r="AZ423" s="169"/>
      <c r="BA423" s="169"/>
      <c r="BB423" s="169"/>
      <c r="BC423" s="169"/>
      <c r="BD423" s="169"/>
      <c r="BE423" s="169"/>
      <c r="BF423" s="169"/>
      <c r="BG423" s="169"/>
      <c r="BH423" s="169"/>
      <c r="BI423" s="169"/>
      <c r="BJ423" s="169"/>
      <c r="BK423" s="169"/>
      <c r="BL423" s="169"/>
      <c r="BM423" s="169"/>
      <c r="BN423" s="169"/>
      <c r="BO423" s="169"/>
      <c r="BP423" s="169"/>
      <c r="BQ423" s="169"/>
      <c r="BR423" s="169"/>
      <c r="BS423" s="169"/>
      <c r="BT423" s="169"/>
      <c r="BU423" s="169"/>
      <c r="BV423" s="169"/>
      <c r="BW423" s="169"/>
      <c r="BX423" s="169"/>
      <c r="BY423" s="169"/>
      <c r="BZ423" s="169"/>
      <c r="CA423" s="169"/>
      <c r="CB423" s="169"/>
      <c r="CC423" s="169"/>
      <c r="CD423" s="169"/>
      <c r="CE423" s="169"/>
      <c r="CF423" s="169"/>
      <c r="CG423" s="169"/>
      <c r="CH423" s="169"/>
      <c r="CI423" s="169"/>
      <c r="CJ423" s="169"/>
      <c r="CK423" s="169"/>
      <c r="CL423" s="169"/>
      <c r="CM423" s="169"/>
      <c r="CN423" s="169"/>
      <c r="CO423" s="169"/>
      <c r="CP423" s="169"/>
      <c r="CQ423" s="169"/>
      <c r="CR423" s="169"/>
      <c r="CS423" s="169"/>
      <c r="CT423" s="169"/>
      <c r="CU423" s="169"/>
      <c r="CV423" s="169"/>
      <c r="CW423" s="169"/>
      <c r="CX423" s="169"/>
      <c r="CY423" s="169"/>
      <c r="CZ423" s="169"/>
      <c r="DA423" s="169"/>
      <c r="DB423" s="169"/>
      <c r="DC423" s="169"/>
      <c r="DD423" s="169"/>
      <c r="DE423" s="169"/>
      <c r="DF423" s="169"/>
      <c r="DG423" s="169"/>
      <c r="DH423" s="169"/>
      <c r="DI423" s="169"/>
      <c r="DJ423" s="169"/>
      <c r="DK423" s="169"/>
      <c r="DL423" s="169"/>
      <c r="DM423" s="169"/>
      <c r="DN423" s="169"/>
      <c r="DO423" s="169"/>
      <c r="DP423" s="169"/>
      <c r="DQ423" s="169"/>
      <c r="DR423" s="169"/>
      <c r="DS423" s="169"/>
      <c r="DT423" s="169"/>
      <c r="DU423" s="169"/>
      <c r="DV423" s="169"/>
      <c r="DW423" s="169"/>
      <c r="DX423" s="169"/>
      <c r="DY423" s="169"/>
      <c r="DZ423" s="169"/>
      <c r="EA423" s="169"/>
      <c r="EB423" s="169"/>
      <c r="EC423" s="169"/>
      <c r="ED423" s="169"/>
      <c r="EE423" s="169"/>
      <c r="EF423" s="169"/>
      <c r="EG423" s="169"/>
      <c r="EH423" s="169"/>
      <c r="EI423" s="169"/>
      <c r="EJ423" s="169"/>
      <c r="EK423" s="169"/>
      <c r="EL423" s="169"/>
      <c r="EM423" s="169"/>
      <c r="EN423" s="169"/>
      <c r="EO423" s="169"/>
      <c r="EP423" s="169"/>
      <c r="EQ423" s="169"/>
      <c r="ER423" s="169"/>
      <c r="ES423" s="169"/>
      <c r="ET423" s="169"/>
      <c r="EU423" s="169"/>
      <c r="EV423" s="169"/>
      <c r="EW423" s="169"/>
      <c r="EX423" s="169"/>
      <c r="EY423" s="169"/>
      <c r="EZ423" s="169"/>
      <c r="FA423" s="169"/>
      <c r="FB423" s="169"/>
      <c r="FC423" s="169"/>
      <c r="FD423" s="169"/>
      <c r="FE423" s="169"/>
      <c r="FF423" s="169"/>
      <c r="FG423" s="169"/>
      <c r="FH423" s="169"/>
      <c r="FI423" s="169"/>
      <c r="FJ423" s="169"/>
      <c r="FK423" s="169"/>
      <c r="FL423" s="169"/>
      <c r="FM423" s="169"/>
      <c r="FN423" s="169"/>
      <c r="FO423" s="169"/>
      <c r="FP423" s="169"/>
      <c r="FQ423" s="169"/>
      <c r="FR423" s="169"/>
      <c r="FS423" s="169"/>
      <c r="FT423" s="169"/>
      <c r="FU423" s="169"/>
      <c r="FV423" s="169"/>
      <c r="FW423" s="169"/>
      <c r="FX423" s="169"/>
      <c r="FY423" s="169"/>
      <c r="FZ423" s="169"/>
      <c r="GA423" s="169"/>
      <c r="GB423" s="169"/>
      <c r="GC423" s="169"/>
      <c r="GD423" s="169"/>
      <c r="GE423" s="169"/>
      <c r="GF423" s="169"/>
      <c r="GG423" s="169"/>
      <c r="GH423" s="169"/>
      <c r="GI423" s="169"/>
      <c r="GJ423" s="169"/>
    </row>
    <row r="424" spans="3:192" ht="12.75" customHeight="1">
      <c r="C424" s="169"/>
      <c r="D424" s="169"/>
      <c r="E424" s="169"/>
      <c r="F424" s="169"/>
      <c r="G424" s="169"/>
      <c r="H424" s="169"/>
      <c r="I424" s="169"/>
      <c r="J424" s="169"/>
      <c r="K424" s="169"/>
      <c r="L424" s="169"/>
      <c r="M424" s="169"/>
      <c r="N424" s="169"/>
      <c r="O424" s="169"/>
      <c r="P424" s="169"/>
      <c r="Q424" s="169"/>
      <c r="R424" s="169"/>
      <c r="S424" s="169"/>
      <c r="T424" s="169"/>
      <c r="U424" s="169"/>
      <c r="V424" s="169"/>
      <c r="W424" s="169"/>
      <c r="X424" s="169"/>
      <c r="Y424" s="169"/>
      <c r="Z424" s="169"/>
      <c r="AA424" s="169"/>
      <c r="AB424" s="169"/>
      <c r="AC424" s="169"/>
      <c r="AD424" s="169"/>
      <c r="AE424" s="169"/>
      <c r="AF424" s="169"/>
      <c r="AG424" s="169"/>
      <c r="AH424" s="169"/>
      <c r="AI424" s="169"/>
      <c r="AJ424" s="169"/>
      <c r="AK424" s="169"/>
      <c r="AL424" s="169"/>
      <c r="AM424" s="169"/>
      <c r="AN424" s="169"/>
      <c r="AO424" s="169"/>
      <c r="AP424" s="169"/>
      <c r="AQ424" s="169"/>
      <c r="AR424" s="169"/>
      <c r="AS424" s="169"/>
      <c r="AT424" s="169"/>
      <c r="AU424" s="169"/>
      <c r="AV424" s="169"/>
      <c r="AW424" s="169"/>
      <c r="AX424" s="169"/>
      <c r="AY424" s="169"/>
      <c r="AZ424" s="169"/>
      <c r="BA424" s="169"/>
      <c r="BB424" s="169"/>
      <c r="BC424" s="169"/>
      <c r="BD424" s="169"/>
      <c r="BE424" s="169"/>
      <c r="BF424" s="169"/>
      <c r="BG424" s="169"/>
      <c r="BH424" s="169"/>
      <c r="BI424" s="169"/>
      <c r="BJ424" s="169"/>
      <c r="BK424" s="169"/>
      <c r="BL424" s="169"/>
      <c r="BM424" s="169"/>
      <c r="BN424" s="169"/>
      <c r="BO424" s="169"/>
      <c r="BP424" s="169"/>
      <c r="BQ424" s="169"/>
      <c r="BR424" s="169"/>
      <c r="BS424" s="169"/>
      <c r="BT424" s="169"/>
      <c r="BU424" s="169"/>
      <c r="BV424" s="169"/>
      <c r="BW424" s="169"/>
      <c r="BX424" s="169"/>
      <c r="BY424" s="169"/>
      <c r="BZ424" s="169"/>
      <c r="CA424" s="169"/>
      <c r="CB424" s="169"/>
      <c r="CC424" s="169"/>
      <c r="CD424" s="169"/>
      <c r="CE424" s="169"/>
      <c r="CF424" s="169"/>
      <c r="CG424" s="169"/>
      <c r="CH424" s="169"/>
      <c r="CI424" s="169"/>
      <c r="CJ424" s="169"/>
      <c r="CK424" s="169"/>
      <c r="CL424" s="169"/>
      <c r="CM424" s="169"/>
      <c r="CN424" s="169"/>
      <c r="CO424" s="169"/>
      <c r="CP424" s="169"/>
      <c r="CQ424" s="169"/>
      <c r="CR424" s="169"/>
      <c r="CS424" s="169"/>
      <c r="CT424" s="169"/>
      <c r="CU424" s="169"/>
      <c r="CV424" s="169"/>
      <c r="CW424" s="169"/>
      <c r="CX424" s="169"/>
      <c r="CY424" s="169"/>
      <c r="CZ424" s="169"/>
      <c r="DA424" s="169"/>
      <c r="DB424" s="169"/>
      <c r="DC424" s="169"/>
      <c r="DD424" s="169"/>
      <c r="DE424" s="169"/>
      <c r="DF424" s="169"/>
      <c r="DG424" s="169"/>
      <c r="DH424" s="169"/>
      <c r="DI424" s="169"/>
      <c r="DJ424" s="169"/>
      <c r="DK424" s="169"/>
      <c r="DL424" s="169"/>
      <c r="DM424" s="169"/>
      <c r="DN424" s="169"/>
      <c r="DO424" s="169"/>
      <c r="DP424" s="169"/>
      <c r="DQ424" s="169"/>
      <c r="DR424" s="169"/>
      <c r="DS424" s="169"/>
      <c r="DT424" s="169"/>
      <c r="DU424" s="169"/>
      <c r="DV424" s="169"/>
      <c r="DW424" s="169"/>
      <c r="DX424" s="169"/>
      <c r="DY424" s="169"/>
      <c r="DZ424" s="169"/>
      <c r="EA424" s="169"/>
      <c r="EB424" s="169"/>
      <c r="EC424" s="169"/>
      <c r="ED424" s="169"/>
      <c r="EE424" s="169"/>
      <c r="EF424" s="169"/>
      <c r="EG424" s="169"/>
      <c r="EH424" s="169"/>
      <c r="EI424" s="169"/>
      <c r="EJ424" s="169"/>
      <c r="EK424" s="169"/>
      <c r="EL424" s="169"/>
      <c r="EM424" s="169"/>
      <c r="EN424" s="169"/>
      <c r="EO424" s="169"/>
      <c r="EP424" s="169"/>
      <c r="EQ424" s="169"/>
      <c r="ER424" s="169"/>
      <c r="ES424" s="169"/>
      <c r="ET424" s="169"/>
      <c r="EU424" s="169"/>
      <c r="EV424" s="169"/>
      <c r="EW424" s="169"/>
      <c r="EX424" s="169"/>
      <c r="EY424" s="169"/>
      <c r="EZ424" s="169"/>
      <c r="FA424" s="169"/>
      <c r="FB424" s="169"/>
      <c r="FC424" s="169"/>
      <c r="FD424" s="169"/>
      <c r="FE424" s="169"/>
      <c r="FF424" s="169"/>
      <c r="FG424" s="169"/>
      <c r="FH424" s="169"/>
      <c r="FI424" s="169"/>
      <c r="FJ424" s="169"/>
      <c r="FK424" s="169"/>
      <c r="FL424" s="169"/>
      <c r="FM424" s="169"/>
      <c r="FN424" s="169"/>
      <c r="FO424" s="169"/>
      <c r="FP424" s="169"/>
      <c r="FQ424" s="169"/>
      <c r="FR424" s="169"/>
      <c r="FS424" s="169"/>
      <c r="FT424" s="169"/>
      <c r="FU424" s="169"/>
      <c r="FV424" s="169"/>
      <c r="FW424" s="169"/>
      <c r="FX424" s="169"/>
      <c r="FY424" s="169"/>
      <c r="FZ424" s="169"/>
      <c r="GA424" s="169"/>
      <c r="GB424" s="169"/>
      <c r="GC424" s="169"/>
      <c r="GD424" s="169"/>
      <c r="GE424" s="169"/>
      <c r="GF424" s="169"/>
      <c r="GG424" s="169"/>
      <c r="GH424" s="169"/>
      <c r="GI424" s="169"/>
      <c r="GJ424" s="169"/>
    </row>
    <row r="425" spans="3:192" ht="12.75" customHeight="1">
      <c r="C425" s="169"/>
      <c r="D425" s="169"/>
      <c r="E425" s="169"/>
      <c r="F425" s="169"/>
      <c r="G425" s="169"/>
      <c r="H425" s="169"/>
      <c r="I425" s="169"/>
      <c r="J425" s="169"/>
      <c r="K425" s="169"/>
      <c r="L425" s="169"/>
      <c r="M425" s="169"/>
      <c r="N425" s="169"/>
      <c r="O425" s="169"/>
      <c r="P425" s="169"/>
      <c r="Q425" s="169"/>
      <c r="R425" s="169"/>
      <c r="S425" s="169"/>
      <c r="T425" s="169"/>
      <c r="U425" s="169"/>
      <c r="V425" s="169"/>
      <c r="W425" s="169"/>
      <c r="X425" s="169"/>
      <c r="Y425" s="169"/>
      <c r="Z425" s="169"/>
      <c r="AA425" s="169"/>
      <c r="AB425" s="169"/>
      <c r="AC425" s="169"/>
      <c r="AD425" s="169"/>
      <c r="AE425" s="169"/>
      <c r="AF425" s="169"/>
      <c r="AG425" s="169"/>
      <c r="AH425" s="169"/>
      <c r="AI425" s="169"/>
      <c r="AJ425" s="169"/>
      <c r="AK425" s="169"/>
      <c r="AL425" s="169"/>
      <c r="AM425" s="169"/>
      <c r="AN425" s="169"/>
      <c r="AO425" s="169"/>
      <c r="AP425" s="169"/>
      <c r="AQ425" s="169"/>
      <c r="AR425" s="169"/>
      <c r="AS425" s="169"/>
      <c r="AT425" s="169"/>
      <c r="AU425" s="169"/>
      <c r="AV425" s="169"/>
      <c r="AW425" s="169"/>
      <c r="AX425" s="169"/>
      <c r="AY425" s="169"/>
      <c r="AZ425" s="169"/>
      <c r="BA425" s="169"/>
      <c r="BB425" s="169"/>
      <c r="BC425" s="169"/>
      <c r="BD425" s="169"/>
      <c r="BE425" s="169"/>
      <c r="BF425" s="169"/>
      <c r="BG425" s="169"/>
      <c r="BH425" s="169"/>
      <c r="BI425" s="169"/>
      <c r="BJ425" s="169"/>
      <c r="BK425" s="169"/>
      <c r="BL425" s="169"/>
      <c r="BM425" s="169"/>
      <c r="BN425" s="169"/>
      <c r="BO425" s="169"/>
      <c r="BP425" s="169"/>
      <c r="BQ425" s="169"/>
      <c r="BR425" s="169"/>
      <c r="BS425" s="169"/>
      <c r="BT425" s="169"/>
      <c r="BU425" s="169"/>
      <c r="BV425" s="169"/>
      <c r="BW425" s="169"/>
      <c r="BX425" s="169"/>
      <c r="BY425" s="169"/>
      <c r="BZ425" s="169"/>
      <c r="CA425" s="169"/>
      <c r="CB425" s="169"/>
      <c r="CC425" s="169"/>
      <c r="CD425" s="169"/>
      <c r="CE425" s="169"/>
      <c r="CF425" s="169"/>
      <c r="CG425" s="169"/>
      <c r="CH425" s="169"/>
      <c r="CI425" s="169"/>
      <c r="CJ425" s="169"/>
      <c r="CK425" s="169"/>
      <c r="CL425" s="169"/>
      <c r="CM425" s="169"/>
      <c r="CN425" s="169"/>
      <c r="CO425" s="169"/>
      <c r="CP425" s="169"/>
      <c r="CQ425" s="169"/>
      <c r="CR425" s="169"/>
      <c r="CS425" s="169"/>
      <c r="CT425" s="169"/>
      <c r="CU425" s="169"/>
      <c r="CV425" s="169"/>
      <c r="CW425" s="169"/>
      <c r="CX425" s="169"/>
      <c r="CY425" s="169"/>
      <c r="CZ425" s="169"/>
      <c r="DA425" s="169"/>
      <c r="DB425" s="169"/>
      <c r="DC425" s="169"/>
      <c r="DD425" s="169"/>
      <c r="DE425" s="169"/>
      <c r="DF425" s="169"/>
      <c r="DG425" s="169"/>
      <c r="DH425" s="169"/>
      <c r="DI425" s="169"/>
      <c r="DJ425" s="169"/>
      <c r="DK425" s="169"/>
      <c r="DL425" s="169"/>
      <c r="DM425" s="169"/>
      <c r="DN425" s="169"/>
      <c r="DO425" s="169"/>
      <c r="DP425" s="169"/>
      <c r="DQ425" s="169"/>
      <c r="DR425" s="169"/>
      <c r="DS425" s="169"/>
      <c r="DT425" s="169"/>
      <c r="DU425" s="169"/>
      <c r="DV425" s="169"/>
      <c r="DW425" s="169"/>
      <c r="DX425" s="169"/>
      <c r="DY425" s="169"/>
      <c r="DZ425" s="169"/>
      <c r="EA425" s="169"/>
      <c r="EB425" s="169"/>
      <c r="EC425" s="169"/>
      <c r="ED425" s="169"/>
      <c r="EE425" s="169"/>
      <c r="EF425" s="169"/>
      <c r="EG425" s="169"/>
      <c r="EH425" s="169"/>
      <c r="EI425" s="169"/>
      <c r="EJ425" s="169"/>
      <c r="EK425" s="169"/>
      <c r="EL425" s="169"/>
      <c r="EM425" s="169"/>
      <c r="EN425" s="169"/>
      <c r="EO425" s="169"/>
      <c r="EP425" s="169"/>
      <c r="EQ425" s="169"/>
      <c r="ER425" s="169"/>
      <c r="ES425" s="169"/>
      <c r="ET425" s="169"/>
      <c r="EU425" s="169"/>
      <c r="EV425" s="169"/>
      <c r="EW425" s="169"/>
      <c r="EX425" s="169"/>
      <c r="EY425" s="169"/>
      <c r="EZ425" s="169"/>
      <c r="FA425" s="169"/>
      <c r="FB425" s="169"/>
      <c r="FC425" s="169"/>
      <c r="FD425" s="169"/>
      <c r="FE425" s="169"/>
      <c r="FF425" s="169"/>
      <c r="FG425" s="169"/>
      <c r="FH425" s="169"/>
      <c r="FI425" s="169"/>
      <c r="FJ425" s="169"/>
      <c r="FK425" s="169"/>
      <c r="FL425" s="169"/>
      <c r="FM425" s="169"/>
      <c r="FN425" s="169"/>
      <c r="FO425" s="169"/>
      <c r="FP425" s="169"/>
      <c r="FQ425" s="169"/>
      <c r="FR425" s="169"/>
      <c r="FS425" s="169"/>
      <c r="FT425" s="169"/>
      <c r="FU425" s="169"/>
      <c r="FV425" s="169"/>
      <c r="FW425" s="169"/>
      <c r="FX425" s="169"/>
      <c r="FY425" s="169"/>
      <c r="FZ425" s="169"/>
      <c r="GA425" s="169"/>
      <c r="GB425" s="169"/>
      <c r="GC425" s="169"/>
      <c r="GD425" s="169"/>
      <c r="GE425" s="169"/>
      <c r="GF425" s="169"/>
      <c r="GG425" s="169"/>
      <c r="GH425" s="169"/>
      <c r="GI425" s="169"/>
      <c r="GJ425" s="169"/>
    </row>
    <row r="426" spans="3:192" ht="12.75" customHeight="1">
      <c r="C426" s="106"/>
      <c r="D426" s="106"/>
      <c r="E426" s="106"/>
      <c r="F426" s="106"/>
      <c r="G426" s="106"/>
      <c r="H426" s="106"/>
      <c r="I426" s="106"/>
      <c r="J426" s="106"/>
      <c r="K426" s="106"/>
      <c r="L426" s="106"/>
      <c r="M426" s="106"/>
      <c r="N426" s="106"/>
      <c r="O426" s="106"/>
      <c r="P426" s="106"/>
      <c r="Q426" s="106"/>
      <c r="R426" s="106"/>
      <c r="S426" s="106"/>
      <c r="T426" s="106"/>
      <c r="U426" s="106"/>
      <c r="V426" s="106"/>
      <c r="W426" s="106"/>
      <c r="X426" s="106"/>
      <c r="Y426" s="106"/>
      <c r="Z426" s="106"/>
      <c r="AA426" s="106"/>
      <c r="AB426" s="106"/>
      <c r="AC426" s="106"/>
      <c r="AD426" s="106"/>
      <c r="AE426" s="106"/>
      <c r="AF426" s="106"/>
      <c r="AG426" s="106"/>
      <c r="AH426" s="106"/>
      <c r="AI426" s="106"/>
      <c r="AJ426" s="106"/>
      <c r="AK426" s="106"/>
      <c r="AL426" s="106"/>
      <c r="AM426" s="106"/>
      <c r="AN426" s="106"/>
      <c r="AO426" s="106"/>
      <c r="AP426" s="106"/>
      <c r="AQ426" s="106"/>
      <c r="AR426" s="106"/>
      <c r="AS426" s="106"/>
      <c r="AT426" s="106"/>
      <c r="AU426" s="106"/>
      <c r="AV426" s="106"/>
      <c r="AW426" s="106"/>
      <c r="AX426" s="106"/>
      <c r="AY426" s="106"/>
      <c r="AZ426" s="106"/>
      <c r="BA426" s="106"/>
      <c r="BB426" s="106"/>
      <c r="BC426" s="106"/>
      <c r="BD426" s="106"/>
      <c r="BE426" s="106"/>
      <c r="BF426" s="106"/>
      <c r="BG426" s="106"/>
      <c r="BH426" s="106"/>
      <c r="BI426" s="106"/>
      <c r="BJ426" s="106"/>
      <c r="BK426" s="106"/>
      <c r="BL426" s="106"/>
      <c r="BM426" s="106"/>
      <c r="BN426" s="106"/>
      <c r="BO426" s="106"/>
      <c r="BP426" s="106"/>
      <c r="BQ426" s="106"/>
      <c r="BR426" s="106"/>
      <c r="BS426" s="106"/>
      <c r="BT426" s="106"/>
      <c r="BU426" s="106"/>
      <c r="BV426" s="106"/>
      <c r="BW426" s="106"/>
      <c r="BX426" s="106"/>
      <c r="BY426" s="106"/>
      <c r="BZ426" s="106"/>
      <c r="CA426" s="106"/>
      <c r="CB426" s="106"/>
      <c r="CC426" s="106"/>
      <c r="CD426" s="106"/>
      <c r="CE426" s="106"/>
      <c r="CF426" s="106"/>
      <c r="CG426" s="106"/>
      <c r="CH426" s="106"/>
      <c r="CI426" s="106"/>
      <c r="CJ426" s="106"/>
      <c r="CK426" s="106"/>
      <c r="CL426" s="106"/>
      <c r="CM426" s="106"/>
      <c r="CN426" s="106"/>
      <c r="CO426" s="106"/>
      <c r="CP426" s="106"/>
      <c r="CQ426" s="106"/>
      <c r="CR426" s="106"/>
      <c r="CS426" s="106"/>
      <c r="CT426" s="106"/>
      <c r="CU426" s="106"/>
      <c r="CV426" s="106"/>
      <c r="CW426" s="106"/>
      <c r="CX426" s="106"/>
      <c r="CY426" s="106"/>
      <c r="CZ426" s="106"/>
      <c r="DA426" s="106"/>
      <c r="DB426" s="106"/>
      <c r="DC426" s="106"/>
      <c r="DD426" s="106"/>
      <c r="DE426" s="106"/>
      <c r="DF426" s="106"/>
      <c r="DG426" s="106"/>
      <c r="DH426" s="106"/>
      <c r="DI426" s="106"/>
      <c r="DJ426" s="106"/>
      <c r="DK426" s="106"/>
      <c r="DL426" s="106"/>
      <c r="DM426" s="106"/>
      <c r="DN426" s="106"/>
      <c r="DO426" s="106"/>
      <c r="DP426" s="106"/>
      <c r="DQ426" s="106"/>
      <c r="DR426" s="106"/>
      <c r="DS426" s="106"/>
      <c r="DT426" s="106"/>
      <c r="DU426" s="106"/>
      <c r="DV426" s="106"/>
      <c r="DW426" s="106"/>
      <c r="DX426" s="106"/>
      <c r="DY426" s="106"/>
      <c r="DZ426" s="106"/>
      <c r="EA426" s="106"/>
      <c r="EB426" s="106"/>
      <c r="EC426" s="106"/>
      <c r="ED426" s="106"/>
      <c r="EE426" s="106"/>
      <c r="EF426" s="106"/>
      <c r="EG426" s="106"/>
      <c r="EH426" s="106"/>
      <c r="EI426" s="106"/>
      <c r="EJ426" s="106"/>
      <c r="EK426" s="106"/>
      <c r="EL426" s="106"/>
      <c r="EM426" s="106"/>
      <c r="EN426" s="106"/>
      <c r="EO426" s="106"/>
      <c r="EP426" s="106"/>
      <c r="EQ426" s="106"/>
      <c r="ER426" s="106"/>
      <c r="ES426" s="106"/>
      <c r="ET426" s="106"/>
      <c r="EU426" s="106"/>
      <c r="EV426" s="106"/>
      <c r="EW426" s="106"/>
      <c r="EX426" s="106"/>
      <c r="EY426" s="106"/>
      <c r="EZ426" s="106"/>
      <c r="FA426" s="106"/>
      <c r="FB426" s="106"/>
      <c r="FC426" s="106"/>
      <c r="FD426" s="106"/>
      <c r="FE426" s="106"/>
      <c r="FF426" s="106"/>
      <c r="FG426" s="106"/>
      <c r="FH426" s="106"/>
      <c r="FI426" s="106"/>
      <c r="FJ426" s="106"/>
      <c r="FK426" s="106"/>
      <c r="FL426" s="106"/>
      <c r="FM426" s="106"/>
      <c r="FN426" s="106"/>
      <c r="FO426" s="106"/>
      <c r="FP426" s="106"/>
      <c r="FQ426" s="106"/>
      <c r="FR426" s="106"/>
      <c r="FS426" s="106"/>
      <c r="FT426" s="106"/>
      <c r="FU426" s="106"/>
      <c r="FV426" s="106"/>
      <c r="FW426" s="106"/>
      <c r="FX426" s="106"/>
      <c r="FY426" s="106"/>
      <c r="FZ426" s="106"/>
      <c r="GA426" s="106"/>
      <c r="GB426" s="106"/>
      <c r="GC426" s="106"/>
      <c r="GD426" s="106"/>
      <c r="GE426" s="106"/>
      <c r="GF426" s="106"/>
      <c r="GG426" s="106"/>
      <c r="GH426" s="106"/>
      <c r="GI426" s="106"/>
      <c r="GJ426" s="106"/>
    </row>
    <row r="427" spans="3:192" ht="12.75" customHeight="1">
      <c r="C427" s="217"/>
      <c r="D427" s="217"/>
      <c r="E427" s="217"/>
      <c r="F427" s="217"/>
      <c r="G427" s="217"/>
      <c r="H427" s="217"/>
      <c r="I427" s="217"/>
      <c r="J427" s="217"/>
      <c r="K427" s="217"/>
      <c r="L427" s="217"/>
      <c r="M427" s="217"/>
      <c r="N427" s="217"/>
      <c r="O427" s="217"/>
      <c r="P427" s="217"/>
      <c r="Q427" s="217"/>
      <c r="R427" s="217"/>
      <c r="S427" s="217"/>
      <c r="T427" s="217"/>
      <c r="U427" s="217"/>
      <c r="V427" s="217"/>
      <c r="W427" s="217"/>
      <c r="X427" s="217"/>
      <c r="Y427" s="217"/>
      <c r="Z427" s="217"/>
      <c r="AA427" s="217"/>
      <c r="AB427" s="217"/>
      <c r="AC427" s="217"/>
      <c r="AD427" s="217"/>
      <c r="AE427" s="217"/>
      <c r="AF427" s="217"/>
      <c r="AG427" s="217"/>
      <c r="AH427" s="217"/>
      <c r="AI427" s="217"/>
      <c r="AJ427" s="217"/>
      <c r="AK427" s="217"/>
      <c r="AL427" s="217"/>
      <c r="AM427" s="217"/>
      <c r="AN427" s="217"/>
      <c r="AO427" s="217"/>
      <c r="AP427" s="217"/>
      <c r="AQ427" s="217"/>
      <c r="AR427" s="217"/>
      <c r="AS427" s="217"/>
      <c r="AT427" s="217"/>
      <c r="AU427" s="217"/>
      <c r="AV427" s="217"/>
      <c r="AW427" s="217"/>
      <c r="AX427" s="217"/>
      <c r="AY427" s="217"/>
      <c r="AZ427" s="217"/>
      <c r="BA427" s="217"/>
      <c r="BB427" s="217"/>
      <c r="BC427" s="217"/>
      <c r="BD427" s="217"/>
      <c r="BE427" s="217"/>
      <c r="BF427" s="217"/>
      <c r="BG427" s="217"/>
      <c r="BH427" s="217"/>
      <c r="BI427" s="217"/>
      <c r="BJ427" s="217"/>
      <c r="BK427" s="217"/>
      <c r="BL427" s="217"/>
      <c r="BM427" s="217"/>
      <c r="BN427" s="217"/>
      <c r="BO427" s="217"/>
      <c r="BP427" s="217"/>
      <c r="BQ427" s="217"/>
      <c r="BR427" s="217"/>
      <c r="BS427" s="217"/>
      <c r="BT427" s="217"/>
      <c r="BU427" s="217"/>
      <c r="BV427" s="217"/>
      <c r="BW427" s="217"/>
      <c r="BX427" s="217"/>
      <c r="BY427" s="217"/>
      <c r="BZ427" s="217"/>
      <c r="CA427" s="217"/>
      <c r="CB427" s="217"/>
      <c r="CC427" s="217"/>
      <c r="CD427" s="217"/>
      <c r="CE427" s="217"/>
      <c r="CF427" s="217"/>
      <c r="CG427" s="217"/>
      <c r="CH427" s="217"/>
      <c r="CI427" s="217"/>
      <c r="CJ427" s="217"/>
      <c r="CK427" s="217"/>
      <c r="CL427" s="217"/>
      <c r="CM427" s="217"/>
      <c r="CN427" s="217"/>
      <c r="CO427" s="217"/>
      <c r="CP427" s="217"/>
      <c r="CQ427" s="217"/>
      <c r="CR427" s="217"/>
      <c r="CS427" s="217"/>
      <c r="CT427" s="217"/>
      <c r="CU427" s="217"/>
      <c r="CV427" s="217"/>
      <c r="CW427" s="217"/>
      <c r="CX427" s="217"/>
      <c r="CY427" s="217"/>
      <c r="CZ427" s="217"/>
      <c r="DA427" s="217"/>
      <c r="DB427" s="217"/>
      <c r="DC427" s="217"/>
      <c r="DD427" s="217"/>
      <c r="DE427" s="217"/>
      <c r="DF427" s="217"/>
      <c r="DG427" s="217"/>
      <c r="DH427" s="217"/>
      <c r="DI427" s="217"/>
      <c r="DJ427" s="217"/>
      <c r="DK427" s="217"/>
      <c r="DL427" s="217"/>
      <c r="DM427" s="217"/>
      <c r="DN427" s="217"/>
      <c r="DO427" s="217"/>
      <c r="DP427" s="217"/>
      <c r="DQ427" s="217"/>
      <c r="DR427" s="217"/>
      <c r="DS427" s="217"/>
      <c r="DT427" s="217"/>
      <c r="DU427" s="217"/>
      <c r="DV427" s="217"/>
      <c r="DW427" s="217"/>
      <c r="DX427" s="217"/>
      <c r="DY427" s="217"/>
      <c r="DZ427" s="217"/>
      <c r="EA427" s="217"/>
      <c r="EB427" s="217"/>
      <c r="EC427" s="217"/>
      <c r="ED427" s="217"/>
      <c r="EE427" s="217"/>
      <c r="EF427" s="217"/>
      <c r="EG427" s="217"/>
      <c r="EH427" s="217"/>
      <c r="EI427" s="217"/>
      <c r="EJ427" s="217"/>
      <c r="EK427" s="217"/>
      <c r="EL427" s="217"/>
      <c r="EM427" s="217"/>
      <c r="EN427" s="217"/>
      <c r="EO427" s="217"/>
      <c r="EP427" s="217"/>
      <c r="EQ427" s="217"/>
      <c r="ER427" s="217"/>
      <c r="ES427" s="217"/>
      <c r="ET427" s="217"/>
      <c r="EU427" s="217"/>
      <c r="EV427" s="217"/>
      <c r="EW427" s="217"/>
      <c r="EX427" s="217"/>
      <c r="EY427" s="217"/>
      <c r="EZ427" s="217"/>
      <c r="FA427" s="217"/>
      <c r="FB427" s="217"/>
      <c r="FC427" s="217"/>
      <c r="FD427" s="217"/>
      <c r="FE427" s="217"/>
      <c r="FF427" s="217"/>
      <c r="FG427" s="217"/>
      <c r="FH427" s="217"/>
      <c r="FI427" s="217"/>
      <c r="FJ427" s="217"/>
      <c r="FK427" s="217"/>
      <c r="FL427" s="217"/>
      <c r="FM427" s="217"/>
      <c r="FN427" s="217"/>
      <c r="FO427" s="217"/>
      <c r="FP427" s="217"/>
      <c r="FQ427" s="217"/>
      <c r="FR427" s="217"/>
      <c r="FS427" s="217"/>
      <c r="FT427" s="217"/>
      <c r="FU427" s="217"/>
      <c r="FV427" s="217"/>
      <c r="FW427" s="217"/>
      <c r="FX427" s="217"/>
      <c r="FY427" s="217"/>
      <c r="FZ427" s="217"/>
      <c r="GA427" s="217"/>
      <c r="GB427" s="217"/>
      <c r="GC427" s="217"/>
      <c r="GD427" s="217"/>
      <c r="GE427" s="217"/>
      <c r="GF427" s="217"/>
      <c r="GG427" s="217"/>
      <c r="GH427" s="217"/>
      <c r="GI427" s="217"/>
      <c r="GJ427" s="217"/>
    </row>
    <row r="428" spans="3:192" ht="12.75" customHeight="1">
      <c r="C428" s="169"/>
      <c r="D428" s="169"/>
      <c r="E428" s="169"/>
      <c r="F428" s="169"/>
      <c r="G428" s="169"/>
      <c r="H428" s="169"/>
      <c r="I428" s="169"/>
      <c r="J428" s="169"/>
      <c r="K428" s="169"/>
      <c r="L428" s="169"/>
      <c r="M428" s="169"/>
      <c r="N428" s="169"/>
      <c r="O428" s="169"/>
      <c r="P428" s="169"/>
      <c r="Q428" s="169"/>
      <c r="R428" s="169"/>
      <c r="S428" s="169"/>
      <c r="T428" s="169"/>
      <c r="U428" s="169"/>
      <c r="V428" s="169"/>
      <c r="W428" s="169"/>
      <c r="X428" s="169"/>
      <c r="Y428" s="169"/>
      <c r="Z428" s="169"/>
      <c r="AA428" s="169"/>
      <c r="AB428" s="169"/>
      <c r="AC428" s="169"/>
      <c r="AD428" s="169"/>
      <c r="AE428" s="169"/>
      <c r="AF428" s="169"/>
      <c r="AG428" s="169"/>
      <c r="AH428" s="169"/>
      <c r="AI428" s="169"/>
      <c r="AJ428" s="169"/>
      <c r="AK428" s="169"/>
      <c r="AL428" s="169"/>
      <c r="AM428" s="169"/>
      <c r="AN428" s="169"/>
      <c r="AO428" s="169"/>
      <c r="AP428" s="169"/>
      <c r="AQ428" s="169"/>
      <c r="AR428" s="169"/>
      <c r="AS428" s="169"/>
      <c r="AT428" s="169"/>
      <c r="AU428" s="169"/>
      <c r="AV428" s="169"/>
      <c r="AW428" s="169"/>
      <c r="AX428" s="169"/>
      <c r="AY428" s="169"/>
      <c r="AZ428" s="169"/>
      <c r="BA428" s="169"/>
      <c r="BB428" s="169"/>
      <c r="BC428" s="169"/>
      <c r="BD428" s="169"/>
      <c r="BE428" s="169"/>
      <c r="BF428" s="169"/>
      <c r="BG428" s="169"/>
      <c r="BH428" s="169"/>
      <c r="BI428" s="169"/>
      <c r="BJ428" s="169"/>
      <c r="BK428" s="169"/>
      <c r="BL428" s="169"/>
      <c r="BM428" s="169"/>
      <c r="BN428" s="169"/>
      <c r="BO428" s="169"/>
      <c r="BP428" s="169"/>
      <c r="BQ428" s="169"/>
      <c r="BR428" s="169"/>
      <c r="BS428" s="169"/>
      <c r="BT428" s="169"/>
      <c r="BU428" s="169"/>
      <c r="BV428" s="169"/>
      <c r="BW428" s="169"/>
      <c r="BX428" s="169"/>
      <c r="BY428" s="169"/>
      <c r="BZ428" s="169"/>
      <c r="CA428" s="169"/>
      <c r="CB428" s="169"/>
      <c r="CC428" s="169"/>
      <c r="CD428" s="169"/>
      <c r="CE428" s="169"/>
      <c r="CF428" s="169"/>
      <c r="CG428" s="169"/>
      <c r="CH428" s="169"/>
      <c r="CI428" s="169"/>
      <c r="CJ428" s="169"/>
      <c r="CK428" s="169"/>
      <c r="CL428" s="169"/>
      <c r="CM428" s="169"/>
      <c r="CN428" s="169"/>
      <c r="CO428" s="169"/>
      <c r="CP428" s="169"/>
      <c r="CQ428" s="169"/>
      <c r="CR428" s="169"/>
      <c r="CS428" s="169"/>
      <c r="CT428" s="169"/>
      <c r="CU428" s="169"/>
      <c r="CV428" s="169"/>
      <c r="CW428" s="169"/>
      <c r="CX428" s="169"/>
      <c r="CY428" s="169"/>
      <c r="CZ428" s="169"/>
      <c r="DA428" s="169"/>
      <c r="DB428" s="169"/>
      <c r="DC428" s="169"/>
      <c r="DD428" s="169"/>
      <c r="DE428" s="169"/>
      <c r="DF428" s="169"/>
      <c r="DG428" s="169"/>
      <c r="DH428" s="169"/>
      <c r="DI428" s="169"/>
      <c r="DJ428" s="169"/>
      <c r="DK428" s="169"/>
      <c r="DL428" s="169"/>
      <c r="DM428" s="169"/>
      <c r="DN428" s="169"/>
      <c r="DO428" s="169"/>
      <c r="DP428" s="169"/>
      <c r="DQ428" s="169"/>
      <c r="DR428" s="169"/>
      <c r="DS428" s="169"/>
      <c r="DT428" s="169"/>
      <c r="DU428" s="169"/>
      <c r="DV428" s="169"/>
      <c r="DW428" s="169"/>
      <c r="DX428" s="169"/>
      <c r="DY428" s="169"/>
      <c r="DZ428" s="169"/>
      <c r="EA428" s="169"/>
      <c r="EB428" s="169"/>
      <c r="EC428" s="169"/>
      <c r="ED428" s="169"/>
      <c r="EE428" s="169"/>
      <c r="EF428" s="169"/>
      <c r="EG428" s="169"/>
      <c r="EH428" s="169"/>
      <c r="EI428" s="169"/>
      <c r="EJ428" s="169"/>
      <c r="EK428" s="169"/>
      <c r="EL428" s="169"/>
      <c r="EM428" s="169"/>
      <c r="EN428" s="169"/>
      <c r="EO428" s="169"/>
      <c r="EP428" s="169"/>
      <c r="EQ428" s="169"/>
      <c r="ER428" s="169"/>
      <c r="ES428" s="169"/>
      <c r="ET428" s="169"/>
      <c r="EU428" s="169"/>
      <c r="EV428" s="169"/>
      <c r="EW428" s="169"/>
      <c r="EX428" s="169"/>
      <c r="EY428" s="169"/>
      <c r="EZ428" s="169"/>
      <c r="FA428" s="169"/>
      <c r="FB428" s="169"/>
      <c r="FC428" s="169"/>
      <c r="FD428" s="169"/>
      <c r="FE428" s="169"/>
      <c r="FF428" s="169"/>
      <c r="FG428" s="169"/>
      <c r="FH428" s="169"/>
      <c r="FI428" s="169"/>
      <c r="FJ428" s="169"/>
      <c r="FK428" s="169"/>
      <c r="FL428" s="169"/>
      <c r="FM428" s="169"/>
      <c r="FN428" s="169"/>
      <c r="FO428" s="169"/>
      <c r="FP428" s="169"/>
      <c r="FQ428" s="169"/>
      <c r="FR428" s="169"/>
      <c r="FS428" s="169"/>
      <c r="FT428" s="169"/>
      <c r="FU428" s="169"/>
      <c r="FV428" s="169"/>
      <c r="FW428" s="169"/>
      <c r="FX428" s="169"/>
      <c r="FY428" s="169"/>
      <c r="FZ428" s="169"/>
      <c r="GA428" s="169"/>
      <c r="GB428" s="169"/>
      <c r="GC428" s="169"/>
      <c r="GD428" s="169"/>
      <c r="GE428" s="169"/>
      <c r="GF428" s="169"/>
      <c r="GG428" s="169"/>
      <c r="GH428" s="169"/>
      <c r="GI428" s="169"/>
      <c r="GJ428" s="169"/>
    </row>
    <row r="429" spans="3:192" ht="12.75" customHeight="1">
      <c r="C429" s="169"/>
      <c r="D429" s="169"/>
      <c r="E429" s="169"/>
      <c r="F429" s="169"/>
      <c r="G429" s="169"/>
      <c r="H429" s="169"/>
      <c r="I429" s="169"/>
      <c r="J429" s="169"/>
      <c r="K429" s="169"/>
      <c r="L429" s="169"/>
      <c r="M429" s="169"/>
      <c r="N429" s="169"/>
      <c r="O429" s="169"/>
      <c r="P429" s="169"/>
      <c r="Q429" s="169"/>
      <c r="R429" s="169"/>
      <c r="S429" s="169"/>
      <c r="T429" s="169"/>
      <c r="U429" s="169"/>
      <c r="V429" s="169"/>
      <c r="W429" s="169"/>
      <c r="X429" s="169"/>
      <c r="Y429" s="169"/>
      <c r="Z429" s="169"/>
      <c r="AA429" s="169"/>
      <c r="AB429" s="169"/>
      <c r="AC429" s="169"/>
      <c r="AD429" s="169"/>
      <c r="AE429" s="169"/>
      <c r="AF429" s="169"/>
      <c r="AG429" s="169"/>
      <c r="AH429" s="169"/>
      <c r="AI429" s="169"/>
      <c r="AJ429" s="169"/>
      <c r="AK429" s="169"/>
      <c r="AL429" s="169"/>
      <c r="AM429" s="169"/>
      <c r="AN429" s="169"/>
      <c r="AO429" s="169"/>
      <c r="AP429" s="169"/>
      <c r="AQ429" s="169"/>
      <c r="AR429" s="169"/>
      <c r="AS429" s="169"/>
      <c r="AT429" s="169"/>
      <c r="AU429" s="169"/>
      <c r="AV429" s="169"/>
      <c r="AW429" s="169"/>
      <c r="AX429" s="169"/>
      <c r="AY429" s="169"/>
      <c r="AZ429" s="169"/>
      <c r="BA429" s="169"/>
      <c r="BB429" s="169"/>
      <c r="BC429" s="169"/>
      <c r="BD429" s="169"/>
      <c r="BE429" s="169"/>
      <c r="BF429" s="169"/>
      <c r="BG429" s="169"/>
      <c r="BH429" s="169"/>
      <c r="BI429" s="169"/>
      <c r="BJ429" s="169"/>
      <c r="BK429" s="169"/>
      <c r="BL429" s="169"/>
      <c r="BM429" s="169"/>
      <c r="BN429" s="169"/>
      <c r="BO429" s="169"/>
      <c r="BP429" s="169"/>
      <c r="BQ429" s="169"/>
      <c r="BR429" s="169"/>
      <c r="BS429" s="169"/>
      <c r="BT429" s="169"/>
      <c r="BU429" s="169"/>
      <c r="BV429" s="169"/>
      <c r="BW429" s="169"/>
      <c r="BX429" s="169"/>
      <c r="BY429" s="169"/>
      <c r="BZ429" s="169"/>
      <c r="CA429" s="169"/>
      <c r="CB429" s="169"/>
      <c r="CC429" s="169"/>
      <c r="CD429" s="169"/>
      <c r="CE429" s="169"/>
      <c r="CF429" s="169"/>
      <c r="CG429" s="169"/>
      <c r="CH429" s="169"/>
      <c r="CI429" s="169"/>
      <c r="CJ429" s="169"/>
      <c r="CK429" s="169"/>
      <c r="CL429" s="169"/>
      <c r="CM429" s="169"/>
      <c r="CN429" s="169"/>
      <c r="CO429" s="169"/>
      <c r="CP429" s="169"/>
      <c r="CQ429" s="169"/>
      <c r="CR429" s="169"/>
      <c r="CS429" s="169"/>
      <c r="CT429" s="169"/>
      <c r="CU429" s="169"/>
      <c r="CV429" s="169"/>
      <c r="CW429" s="169"/>
      <c r="CX429" s="169"/>
      <c r="CY429" s="169"/>
      <c r="CZ429" s="169"/>
      <c r="DA429" s="169"/>
      <c r="DB429" s="169"/>
      <c r="DC429" s="169"/>
      <c r="DD429" s="169"/>
      <c r="DE429" s="169"/>
      <c r="DF429" s="169"/>
      <c r="DG429" s="169"/>
      <c r="DH429" s="169"/>
      <c r="DI429" s="169"/>
      <c r="DJ429" s="169"/>
      <c r="DK429" s="169"/>
      <c r="DL429" s="169"/>
      <c r="DM429" s="169"/>
      <c r="DN429" s="169"/>
      <c r="DO429" s="169"/>
      <c r="DP429" s="169"/>
      <c r="DQ429" s="169"/>
      <c r="DR429" s="169"/>
      <c r="DS429" s="169"/>
      <c r="DT429" s="169"/>
      <c r="DU429" s="169"/>
      <c r="DV429" s="169"/>
      <c r="DW429" s="169"/>
      <c r="DX429" s="169"/>
      <c r="DY429" s="169"/>
      <c r="DZ429" s="169"/>
      <c r="EA429" s="169"/>
      <c r="EB429" s="169"/>
      <c r="EC429" s="169"/>
      <c r="ED429" s="169"/>
      <c r="EE429" s="169"/>
      <c r="EF429" s="169"/>
      <c r="EG429" s="169"/>
      <c r="EH429" s="169"/>
      <c r="EI429" s="169"/>
      <c r="EJ429" s="169"/>
      <c r="EK429" s="169"/>
      <c r="EL429" s="169"/>
      <c r="EM429" s="169"/>
      <c r="EN429" s="169"/>
      <c r="EO429" s="169"/>
      <c r="EP429" s="169"/>
      <c r="EQ429" s="169"/>
      <c r="ER429" s="169"/>
      <c r="ES429" s="169"/>
      <c r="ET429" s="169"/>
      <c r="EU429" s="169"/>
      <c r="EV429" s="169"/>
      <c r="EW429" s="169"/>
      <c r="EX429" s="169"/>
      <c r="EY429" s="169"/>
      <c r="EZ429" s="169"/>
      <c r="FA429" s="169"/>
      <c r="FB429" s="169"/>
      <c r="FC429" s="169"/>
      <c r="FD429" s="169"/>
      <c r="FE429" s="169"/>
      <c r="FF429" s="169"/>
      <c r="FG429" s="169"/>
      <c r="FH429" s="169"/>
      <c r="FI429" s="169"/>
      <c r="FJ429" s="169"/>
      <c r="FK429" s="169"/>
      <c r="FL429" s="169"/>
      <c r="FM429" s="169"/>
      <c r="FN429" s="169"/>
      <c r="FO429" s="169"/>
      <c r="FP429" s="169"/>
      <c r="FQ429" s="169"/>
      <c r="FR429" s="169"/>
      <c r="FS429" s="169"/>
      <c r="FT429" s="169"/>
      <c r="FU429" s="169"/>
      <c r="FV429" s="169"/>
      <c r="FW429" s="169"/>
      <c r="FX429" s="169"/>
      <c r="FY429" s="169"/>
      <c r="FZ429" s="169"/>
      <c r="GA429" s="169"/>
      <c r="GB429" s="169"/>
      <c r="GC429" s="169"/>
      <c r="GD429" s="169"/>
      <c r="GE429" s="169"/>
      <c r="GF429" s="169"/>
      <c r="GG429" s="169"/>
      <c r="GH429" s="169"/>
      <c r="GI429" s="169"/>
      <c r="GJ429" s="169"/>
    </row>
    <row r="430" spans="3:192" ht="12.75" customHeight="1">
      <c r="C430" s="106"/>
      <c r="D430" s="106"/>
      <c r="E430" s="106"/>
      <c r="F430" s="106"/>
      <c r="G430" s="106"/>
      <c r="H430" s="106"/>
      <c r="I430" s="106"/>
      <c r="J430" s="106"/>
      <c r="K430" s="106"/>
      <c r="L430" s="106"/>
      <c r="M430" s="106"/>
      <c r="N430" s="106"/>
      <c r="O430" s="106"/>
      <c r="P430" s="106"/>
      <c r="Q430" s="106"/>
      <c r="R430" s="106"/>
      <c r="S430" s="106"/>
      <c r="T430" s="106"/>
      <c r="U430" s="106"/>
      <c r="V430" s="106"/>
      <c r="W430" s="106"/>
      <c r="X430" s="106"/>
      <c r="Y430" s="106"/>
      <c r="Z430" s="106"/>
      <c r="AA430" s="106"/>
      <c r="AB430" s="106"/>
      <c r="AC430" s="106"/>
      <c r="AD430" s="106"/>
      <c r="AE430" s="106"/>
      <c r="AF430" s="106"/>
      <c r="AG430" s="106"/>
      <c r="AH430" s="106"/>
      <c r="AI430" s="106"/>
      <c r="AJ430" s="106"/>
      <c r="AK430" s="106"/>
      <c r="AL430" s="106"/>
      <c r="AM430" s="106"/>
      <c r="AN430" s="106"/>
      <c r="AO430" s="106"/>
      <c r="AP430" s="106"/>
      <c r="AQ430" s="106"/>
      <c r="AR430" s="106"/>
      <c r="AS430" s="106"/>
      <c r="AT430" s="106"/>
      <c r="AU430" s="106"/>
      <c r="AV430" s="106"/>
      <c r="AW430" s="106"/>
      <c r="AX430" s="106"/>
      <c r="AY430" s="106"/>
      <c r="AZ430" s="106"/>
      <c r="BA430" s="106"/>
      <c r="BB430" s="106"/>
      <c r="BC430" s="106"/>
      <c r="BD430" s="106"/>
      <c r="BE430" s="106"/>
      <c r="BF430" s="106"/>
      <c r="BG430" s="106"/>
      <c r="BH430" s="106"/>
      <c r="BI430" s="106"/>
      <c r="BJ430" s="106"/>
      <c r="BK430" s="106"/>
      <c r="BL430" s="106"/>
      <c r="BM430" s="106"/>
      <c r="BN430" s="106"/>
      <c r="BO430" s="106"/>
      <c r="BP430" s="106"/>
      <c r="BQ430" s="106"/>
      <c r="BR430" s="106"/>
      <c r="BS430" s="106"/>
      <c r="BT430" s="106"/>
      <c r="BU430" s="106"/>
      <c r="BV430" s="106"/>
      <c r="BW430" s="106"/>
      <c r="BX430" s="106"/>
      <c r="BY430" s="106"/>
      <c r="BZ430" s="106"/>
      <c r="CA430" s="106"/>
      <c r="CB430" s="106"/>
      <c r="CC430" s="106"/>
      <c r="CD430" s="106"/>
      <c r="CE430" s="106"/>
      <c r="CF430" s="106"/>
      <c r="CG430" s="106"/>
      <c r="CH430" s="106"/>
      <c r="CI430" s="106"/>
      <c r="CJ430" s="106"/>
      <c r="CK430" s="106"/>
      <c r="CL430" s="106"/>
      <c r="CM430" s="106"/>
      <c r="CN430" s="106"/>
      <c r="CO430" s="106"/>
      <c r="CP430" s="106"/>
      <c r="CQ430" s="106"/>
      <c r="CR430" s="106"/>
      <c r="CS430" s="106"/>
      <c r="CT430" s="106"/>
      <c r="CU430" s="106"/>
      <c r="CV430" s="106"/>
      <c r="CW430" s="106"/>
      <c r="CX430" s="106"/>
      <c r="CY430" s="106"/>
      <c r="CZ430" s="106"/>
      <c r="DA430" s="106"/>
      <c r="DB430" s="106"/>
      <c r="DC430" s="106"/>
      <c r="DD430" s="106"/>
      <c r="DE430" s="106"/>
      <c r="DF430" s="106"/>
      <c r="DG430" s="106"/>
      <c r="DH430" s="106"/>
      <c r="DI430" s="106"/>
      <c r="DJ430" s="106"/>
      <c r="DK430" s="106"/>
      <c r="DL430" s="106"/>
      <c r="DM430" s="106"/>
      <c r="DN430" s="106"/>
      <c r="DO430" s="106"/>
      <c r="DP430" s="106"/>
      <c r="DQ430" s="106"/>
      <c r="DR430" s="106"/>
      <c r="DS430" s="106"/>
      <c r="DT430" s="106"/>
      <c r="DU430" s="106"/>
      <c r="DV430" s="106"/>
      <c r="DW430" s="106"/>
      <c r="DX430" s="106"/>
      <c r="DY430" s="106"/>
      <c r="DZ430" s="106"/>
      <c r="EA430" s="106"/>
      <c r="EB430" s="106"/>
      <c r="EC430" s="106"/>
      <c r="ED430" s="106"/>
      <c r="EE430" s="106"/>
      <c r="EF430" s="106"/>
      <c r="EG430" s="106"/>
      <c r="EH430" s="106"/>
      <c r="EI430" s="106"/>
      <c r="EJ430" s="106"/>
      <c r="EK430" s="106"/>
      <c r="EL430" s="106"/>
      <c r="EM430" s="106"/>
      <c r="EN430" s="106"/>
      <c r="EO430" s="106"/>
      <c r="EP430" s="106"/>
      <c r="EQ430" s="106"/>
      <c r="ER430" s="106"/>
      <c r="ES430" s="106"/>
      <c r="ET430" s="106"/>
      <c r="EU430" s="106"/>
      <c r="EV430" s="106"/>
      <c r="EW430" s="106"/>
      <c r="EX430" s="106"/>
      <c r="EY430" s="106"/>
      <c r="EZ430" s="106"/>
      <c r="FA430" s="106"/>
      <c r="FB430" s="106"/>
      <c r="FC430" s="106"/>
      <c r="FD430" s="106"/>
      <c r="FE430" s="106"/>
      <c r="FF430" s="106"/>
      <c r="FG430" s="106"/>
      <c r="FH430" s="106"/>
      <c r="FI430" s="106"/>
      <c r="FJ430" s="106"/>
      <c r="FK430" s="106"/>
      <c r="FL430" s="106"/>
      <c r="FM430" s="106"/>
      <c r="FN430" s="106"/>
      <c r="FO430" s="106"/>
      <c r="FP430" s="106"/>
      <c r="FQ430" s="106"/>
      <c r="FR430" s="106"/>
      <c r="FS430" s="106"/>
      <c r="FT430" s="106"/>
      <c r="FU430" s="106"/>
      <c r="FV430" s="106"/>
      <c r="FW430" s="106"/>
      <c r="FX430" s="106"/>
      <c r="FY430" s="106"/>
      <c r="FZ430" s="106"/>
      <c r="GA430" s="106"/>
      <c r="GB430" s="106"/>
      <c r="GC430" s="106"/>
      <c r="GD430" s="106"/>
      <c r="GE430" s="106"/>
      <c r="GF430" s="106"/>
      <c r="GG430" s="106"/>
      <c r="GH430" s="106"/>
      <c r="GI430" s="106"/>
      <c r="GJ430" s="106"/>
    </row>
    <row r="431" spans="3:192" ht="12.75" customHeight="1">
      <c r="C431" s="106"/>
      <c r="D431" s="106"/>
      <c r="E431" s="106"/>
      <c r="F431" s="106"/>
      <c r="G431" s="106"/>
      <c r="H431" s="106"/>
      <c r="I431" s="106"/>
      <c r="J431" s="106"/>
      <c r="K431" s="106"/>
      <c r="L431" s="106"/>
      <c r="M431" s="106"/>
      <c r="N431" s="106"/>
      <c r="O431" s="106"/>
      <c r="P431" s="106"/>
      <c r="Q431" s="106"/>
      <c r="R431" s="106"/>
      <c r="S431" s="106"/>
      <c r="T431" s="106"/>
      <c r="U431" s="106"/>
      <c r="V431" s="106"/>
      <c r="W431" s="106"/>
      <c r="X431" s="106"/>
      <c r="Y431" s="106"/>
      <c r="Z431" s="106"/>
      <c r="AA431" s="106"/>
      <c r="AB431" s="106"/>
      <c r="AC431" s="106"/>
      <c r="AD431" s="106"/>
      <c r="AE431" s="106"/>
      <c r="AF431" s="106"/>
      <c r="AG431" s="106"/>
      <c r="AH431" s="106"/>
      <c r="AI431" s="106"/>
      <c r="AJ431" s="106"/>
      <c r="AK431" s="106"/>
      <c r="AL431" s="106"/>
      <c r="AM431" s="106"/>
      <c r="AN431" s="106"/>
      <c r="AO431" s="106"/>
      <c r="AP431" s="106"/>
      <c r="AQ431" s="106"/>
      <c r="AR431" s="106"/>
      <c r="AS431" s="106"/>
      <c r="AT431" s="106"/>
      <c r="AU431" s="106"/>
      <c r="AV431" s="106"/>
      <c r="AW431" s="106"/>
      <c r="AX431" s="106"/>
      <c r="AY431" s="106"/>
      <c r="AZ431" s="106"/>
      <c r="BA431" s="106"/>
      <c r="BB431" s="106"/>
      <c r="BC431" s="106"/>
      <c r="BD431" s="106"/>
      <c r="BE431" s="106"/>
      <c r="BF431" s="106"/>
      <c r="BG431" s="106"/>
      <c r="BH431" s="106"/>
      <c r="BI431" s="106"/>
      <c r="BJ431" s="106"/>
      <c r="BK431" s="106"/>
      <c r="BL431" s="106"/>
      <c r="BM431" s="106"/>
      <c r="BN431" s="106"/>
      <c r="BO431" s="106"/>
      <c r="BP431" s="106"/>
      <c r="BQ431" s="106"/>
      <c r="BR431" s="106"/>
      <c r="BS431" s="106"/>
      <c r="BT431" s="106"/>
      <c r="BU431" s="106"/>
      <c r="BV431" s="106"/>
      <c r="BW431" s="106"/>
      <c r="BX431" s="106"/>
      <c r="BY431" s="106"/>
      <c r="BZ431" s="106"/>
      <c r="CA431" s="106"/>
      <c r="CB431" s="106"/>
      <c r="CC431" s="106"/>
      <c r="CD431" s="106"/>
      <c r="CE431" s="106"/>
      <c r="CF431" s="106"/>
      <c r="CG431" s="106"/>
      <c r="CH431" s="106"/>
      <c r="CI431" s="106"/>
      <c r="CJ431" s="106"/>
      <c r="CK431" s="106"/>
      <c r="CL431" s="106"/>
      <c r="CM431" s="106"/>
      <c r="CN431" s="106"/>
      <c r="CO431" s="106"/>
      <c r="CP431" s="106"/>
      <c r="CQ431" s="106"/>
      <c r="CR431" s="106"/>
      <c r="CS431" s="106"/>
      <c r="CT431" s="106"/>
      <c r="CU431" s="106"/>
      <c r="CV431" s="106"/>
      <c r="CW431" s="106"/>
      <c r="CX431" s="106"/>
      <c r="CY431" s="106"/>
      <c r="CZ431" s="106"/>
      <c r="DA431" s="106"/>
      <c r="DB431" s="106"/>
      <c r="DC431" s="106"/>
      <c r="DD431" s="106"/>
      <c r="DE431" s="106"/>
      <c r="DF431" s="106"/>
      <c r="DG431" s="106"/>
      <c r="DH431" s="106"/>
      <c r="DI431" s="106"/>
      <c r="DJ431" s="106"/>
      <c r="DK431" s="106"/>
      <c r="DL431" s="106"/>
      <c r="DM431" s="106"/>
      <c r="DN431" s="106"/>
      <c r="DO431" s="106"/>
      <c r="DP431" s="106"/>
      <c r="DQ431" s="106"/>
      <c r="DR431" s="106"/>
      <c r="DS431" s="106"/>
      <c r="DT431" s="106"/>
      <c r="DU431" s="106"/>
      <c r="DV431" s="106"/>
      <c r="DW431" s="106"/>
      <c r="DX431" s="106"/>
      <c r="DY431" s="106"/>
      <c r="DZ431" s="106"/>
      <c r="EA431" s="106"/>
      <c r="EB431" s="106"/>
      <c r="EC431" s="106"/>
      <c r="ED431" s="106"/>
      <c r="EE431" s="106"/>
      <c r="EF431" s="106"/>
      <c r="EG431" s="106"/>
      <c r="EH431" s="106"/>
      <c r="EI431" s="106"/>
      <c r="EJ431" s="106"/>
      <c r="EK431" s="106"/>
      <c r="EL431" s="106"/>
      <c r="EM431" s="106"/>
      <c r="EN431" s="106"/>
      <c r="EO431" s="106"/>
      <c r="EP431" s="106"/>
      <c r="EQ431" s="106"/>
      <c r="ER431" s="106"/>
      <c r="ES431" s="106"/>
      <c r="ET431" s="106"/>
      <c r="EU431" s="106"/>
      <c r="EV431" s="106"/>
      <c r="EW431" s="106"/>
      <c r="EX431" s="106"/>
      <c r="EY431" s="106"/>
      <c r="EZ431" s="106"/>
      <c r="FA431" s="106"/>
      <c r="FB431" s="106"/>
      <c r="FC431" s="106"/>
      <c r="FD431" s="106"/>
      <c r="FE431" s="106"/>
      <c r="FF431" s="106"/>
      <c r="FG431" s="106"/>
      <c r="FH431" s="106"/>
      <c r="FI431" s="106"/>
      <c r="FJ431" s="106"/>
      <c r="FK431" s="106"/>
      <c r="FL431" s="106"/>
      <c r="FM431" s="106"/>
      <c r="FN431" s="106"/>
      <c r="FO431" s="106"/>
      <c r="FP431" s="106"/>
      <c r="FQ431" s="106"/>
      <c r="FR431" s="106"/>
      <c r="FS431" s="106"/>
      <c r="FT431" s="106"/>
      <c r="FU431" s="106"/>
      <c r="FV431" s="106"/>
      <c r="FW431" s="106"/>
      <c r="FX431" s="106"/>
      <c r="FY431" s="106"/>
      <c r="FZ431" s="106"/>
      <c r="GA431" s="106"/>
      <c r="GB431" s="106"/>
      <c r="GC431" s="106"/>
      <c r="GD431" s="106"/>
      <c r="GE431" s="106"/>
      <c r="GF431" s="106"/>
      <c r="GG431" s="106"/>
      <c r="GH431" s="106"/>
      <c r="GI431" s="106"/>
      <c r="GJ431" s="106"/>
    </row>
    <row r="432" spans="3:192" ht="12.75" customHeight="1">
      <c r="C432" s="169"/>
      <c r="D432" s="169"/>
      <c r="E432" s="169"/>
      <c r="F432" s="169"/>
      <c r="G432" s="169"/>
      <c r="H432" s="169"/>
      <c r="I432" s="169"/>
      <c r="J432" s="169"/>
      <c r="K432" s="169"/>
      <c r="L432" s="169"/>
      <c r="M432" s="169"/>
      <c r="N432" s="169"/>
      <c r="O432" s="169"/>
      <c r="P432" s="169"/>
      <c r="Q432" s="169"/>
      <c r="R432" s="169"/>
      <c r="S432" s="169"/>
      <c r="T432" s="169"/>
      <c r="U432" s="169"/>
      <c r="V432" s="169"/>
      <c r="W432" s="169"/>
      <c r="X432" s="169"/>
      <c r="Y432" s="169"/>
      <c r="Z432" s="169"/>
      <c r="AA432" s="169"/>
      <c r="AB432" s="169"/>
      <c r="AC432" s="169"/>
      <c r="AD432" s="169"/>
      <c r="AE432" s="169"/>
      <c r="AF432" s="169"/>
      <c r="AG432" s="169"/>
      <c r="AH432" s="169"/>
      <c r="AI432" s="169"/>
      <c r="AJ432" s="169"/>
      <c r="AK432" s="169"/>
      <c r="AL432" s="169"/>
      <c r="AM432" s="169"/>
      <c r="AN432" s="169"/>
      <c r="AO432" s="169"/>
      <c r="AP432" s="169"/>
      <c r="AQ432" s="169"/>
      <c r="AR432" s="169"/>
      <c r="AS432" s="169"/>
      <c r="AT432" s="169"/>
      <c r="AU432" s="169"/>
      <c r="AV432" s="169"/>
      <c r="AW432" s="169"/>
      <c r="AX432" s="169"/>
      <c r="AY432" s="169"/>
      <c r="AZ432" s="169"/>
      <c r="BA432" s="169"/>
      <c r="BB432" s="169"/>
      <c r="BC432" s="169"/>
      <c r="BD432" s="169"/>
      <c r="BE432" s="169"/>
      <c r="BF432" s="169"/>
      <c r="BG432" s="169"/>
      <c r="BH432" s="169"/>
      <c r="BI432" s="169"/>
      <c r="BJ432" s="169"/>
      <c r="BK432" s="169"/>
      <c r="BL432" s="169"/>
      <c r="BM432" s="169"/>
      <c r="BN432" s="169"/>
      <c r="BO432" s="169"/>
      <c r="BP432" s="169"/>
      <c r="BQ432" s="169"/>
      <c r="BR432" s="169"/>
      <c r="BS432" s="169"/>
      <c r="BT432" s="169"/>
      <c r="BU432" s="169"/>
      <c r="BV432" s="169"/>
      <c r="BW432" s="169"/>
      <c r="BX432" s="169"/>
      <c r="BY432" s="169"/>
      <c r="BZ432" s="169"/>
      <c r="CA432" s="169"/>
      <c r="CB432" s="169"/>
      <c r="CC432" s="169"/>
      <c r="CD432" s="169"/>
      <c r="CE432" s="169"/>
      <c r="CF432" s="169"/>
      <c r="CG432" s="169"/>
      <c r="CH432" s="169"/>
      <c r="CI432" s="169"/>
      <c r="CJ432" s="169"/>
      <c r="CK432" s="169"/>
      <c r="CL432" s="169"/>
      <c r="CM432" s="169"/>
      <c r="CN432" s="169"/>
      <c r="CO432" s="169"/>
      <c r="CP432" s="169"/>
      <c r="CQ432" s="169"/>
      <c r="CR432" s="169"/>
      <c r="CS432" s="169"/>
      <c r="CT432" s="169"/>
      <c r="CU432" s="169"/>
      <c r="CV432" s="169"/>
      <c r="CW432" s="169"/>
      <c r="CX432" s="169"/>
      <c r="CY432" s="169"/>
      <c r="CZ432" s="169"/>
      <c r="DA432" s="169"/>
      <c r="DB432" s="169"/>
      <c r="DC432" s="169"/>
      <c r="DD432" s="169"/>
      <c r="DE432" s="169"/>
      <c r="DF432" s="169"/>
      <c r="DG432" s="169"/>
      <c r="DH432" s="169"/>
      <c r="DI432" s="169"/>
      <c r="DJ432" s="169"/>
      <c r="DK432" s="169"/>
      <c r="DL432" s="169"/>
      <c r="DM432" s="169"/>
      <c r="DN432" s="169"/>
      <c r="DO432" s="169"/>
      <c r="DP432" s="169"/>
      <c r="DQ432" s="169"/>
      <c r="DR432" s="169"/>
      <c r="DS432" s="169"/>
      <c r="DT432" s="169"/>
      <c r="DU432" s="169"/>
      <c r="DV432" s="169"/>
      <c r="DW432" s="169"/>
      <c r="DX432" s="169"/>
      <c r="DY432" s="169"/>
      <c r="DZ432" s="169"/>
      <c r="EA432" s="169"/>
      <c r="EB432" s="169"/>
      <c r="EC432" s="169"/>
      <c r="ED432" s="169"/>
      <c r="EE432" s="169"/>
      <c r="EF432" s="169"/>
      <c r="EG432" s="169"/>
      <c r="EH432" s="169"/>
      <c r="EI432" s="169"/>
      <c r="EJ432" s="169"/>
      <c r="EK432" s="169"/>
      <c r="EL432" s="169"/>
      <c r="EM432" s="169"/>
      <c r="EN432" s="169"/>
      <c r="EO432" s="169"/>
      <c r="EP432" s="169"/>
      <c r="EQ432" s="169"/>
      <c r="ER432" s="169"/>
      <c r="ES432" s="169"/>
      <c r="ET432" s="169"/>
      <c r="EU432" s="169"/>
      <c r="EV432" s="169"/>
      <c r="EW432" s="169"/>
      <c r="EX432" s="169"/>
      <c r="EY432" s="169"/>
      <c r="EZ432" s="169"/>
      <c r="FA432" s="169"/>
      <c r="FB432" s="169"/>
      <c r="FC432" s="169"/>
      <c r="FD432" s="169"/>
      <c r="FE432" s="169"/>
      <c r="FF432" s="169"/>
      <c r="FG432" s="169"/>
      <c r="FH432" s="169"/>
      <c r="FI432" s="169"/>
      <c r="FJ432" s="169"/>
      <c r="FK432" s="169"/>
      <c r="FL432" s="169"/>
      <c r="FM432" s="169"/>
      <c r="FN432" s="169"/>
      <c r="FO432" s="169"/>
      <c r="FP432" s="169"/>
      <c r="FQ432" s="169"/>
      <c r="FR432" s="169"/>
      <c r="FS432" s="169"/>
      <c r="FT432" s="169"/>
      <c r="FU432" s="169"/>
      <c r="FV432" s="169"/>
      <c r="FW432" s="169"/>
      <c r="FX432" s="169"/>
      <c r="FY432" s="169"/>
      <c r="FZ432" s="169"/>
      <c r="GA432" s="169"/>
      <c r="GB432" s="169"/>
      <c r="GC432" s="169"/>
      <c r="GD432" s="169"/>
      <c r="GE432" s="169"/>
      <c r="GF432" s="169"/>
      <c r="GG432" s="169"/>
      <c r="GH432" s="169"/>
      <c r="GI432" s="169"/>
      <c r="GJ432" s="169"/>
    </row>
    <row r="433" spans="3:192" ht="12.75" customHeight="1">
      <c r="C433" s="218"/>
      <c r="D433" s="218"/>
      <c r="E433" s="218"/>
      <c r="F433" s="218"/>
      <c r="G433" s="218"/>
      <c r="H433" s="218"/>
      <c r="I433" s="218"/>
      <c r="J433" s="218"/>
      <c r="K433" s="218"/>
      <c r="L433" s="218"/>
      <c r="M433" s="218"/>
      <c r="N433" s="218"/>
      <c r="O433" s="218"/>
      <c r="P433" s="218"/>
      <c r="Q433" s="218"/>
      <c r="R433" s="218"/>
      <c r="S433" s="218"/>
      <c r="T433" s="218"/>
      <c r="U433" s="218"/>
      <c r="V433" s="218"/>
      <c r="W433" s="218"/>
      <c r="X433" s="218"/>
      <c r="Y433" s="218"/>
      <c r="Z433" s="218"/>
      <c r="AA433" s="218"/>
      <c r="AB433" s="218"/>
      <c r="AC433" s="218"/>
      <c r="AD433" s="218"/>
      <c r="AE433" s="218"/>
      <c r="AF433" s="218"/>
      <c r="AG433" s="218"/>
      <c r="AH433" s="218"/>
      <c r="AI433" s="218"/>
      <c r="AJ433" s="218"/>
      <c r="AK433" s="218"/>
      <c r="AL433" s="218"/>
      <c r="AM433" s="218"/>
      <c r="AN433" s="218"/>
      <c r="AO433" s="218"/>
      <c r="AP433" s="218"/>
      <c r="AQ433" s="218"/>
      <c r="AR433" s="218"/>
      <c r="AS433" s="218"/>
      <c r="AT433" s="218"/>
      <c r="AU433" s="218"/>
      <c r="AV433" s="218"/>
      <c r="AW433" s="218"/>
      <c r="AX433" s="218"/>
      <c r="AY433" s="218"/>
      <c r="AZ433" s="218"/>
      <c r="BA433" s="218"/>
      <c r="BB433" s="218"/>
      <c r="BC433" s="218"/>
      <c r="BD433" s="218"/>
      <c r="BE433" s="218"/>
      <c r="BF433" s="218"/>
      <c r="BG433" s="218"/>
      <c r="BH433" s="218"/>
      <c r="BI433" s="218"/>
      <c r="BJ433" s="218"/>
      <c r="BK433" s="218"/>
      <c r="BL433" s="218"/>
      <c r="BM433" s="218"/>
      <c r="BN433" s="218"/>
      <c r="BO433" s="218"/>
      <c r="BP433" s="218"/>
      <c r="BQ433" s="218"/>
      <c r="BR433" s="218"/>
      <c r="BS433" s="218"/>
      <c r="BT433" s="218"/>
      <c r="BU433" s="218"/>
      <c r="BV433" s="218"/>
      <c r="BW433" s="218"/>
      <c r="BX433" s="218"/>
      <c r="BY433" s="218"/>
      <c r="BZ433" s="218"/>
      <c r="CA433" s="218"/>
      <c r="CB433" s="218"/>
      <c r="CC433" s="218"/>
      <c r="CD433" s="218"/>
      <c r="CE433" s="218"/>
      <c r="CF433" s="218"/>
      <c r="CG433" s="218"/>
      <c r="CH433" s="218"/>
      <c r="CI433" s="218"/>
      <c r="CJ433" s="218"/>
      <c r="CK433" s="218"/>
      <c r="CL433" s="218"/>
      <c r="CM433" s="218"/>
      <c r="CN433" s="218"/>
      <c r="CO433" s="218"/>
      <c r="CP433" s="218"/>
      <c r="CQ433" s="218"/>
      <c r="CR433" s="218"/>
      <c r="CS433" s="218"/>
      <c r="CT433" s="218"/>
      <c r="CU433" s="218"/>
      <c r="CV433" s="218"/>
      <c r="CW433" s="218"/>
      <c r="CX433" s="218"/>
      <c r="CY433" s="218"/>
      <c r="CZ433" s="218"/>
      <c r="DA433" s="218"/>
      <c r="DB433" s="218"/>
      <c r="DC433" s="218"/>
      <c r="DD433" s="218"/>
      <c r="DE433" s="218"/>
      <c r="DF433" s="218"/>
      <c r="DG433" s="218"/>
      <c r="DH433" s="218"/>
      <c r="DI433" s="218"/>
      <c r="DJ433" s="218"/>
      <c r="DK433" s="218"/>
      <c r="DL433" s="218"/>
      <c r="DM433" s="218"/>
      <c r="DN433" s="218"/>
      <c r="DO433" s="218"/>
      <c r="DP433" s="218"/>
      <c r="DQ433" s="218"/>
      <c r="DR433" s="218"/>
      <c r="DS433" s="218"/>
      <c r="DT433" s="218"/>
      <c r="DU433" s="218"/>
      <c r="DV433" s="218"/>
      <c r="DW433" s="218"/>
      <c r="DX433" s="218"/>
      <c r="DY433" s="218"/>
      <c r="DZ433" s="218"/>
      <c r="EA433" s="218"/>
      <c r="EB433" s="218"/>
      <c r="EC433" s="218"/>
      <c r="ED433" s="218"/>
      <c r="EE433" s="218"/>
      <c r="EF433" s="218"/>
      <c r="EG433" s="218"/>
      <c r="EH433" s="218"/>
      <c r="EI433" s="218"/>
      <c r="EJ433" s="218"/>
      <c r="EK433" s="218"/>
      <c r="EL433" s="218"/>
      <c r="EM433" s="218"/>
      <c r="EN433" s="218"/>
      <c r="EO433" s="218"/>
      <c r="EP433" s="218"/>
      <c r="EQ433" s="218"/>
      <c r="ER433" s="218"/>
      <c r="ES433" s="218"/>
      <c r="ET433" s="218"/>
      <c r="EU433" s="218"/>
      <c r="EV433" s="218"/>
      <c r="EW433" s="218"/>
      <c r="EX433" s="218"/>
      <c r="EY433" s="218"/>
      <c r="EZ433" s="218"/>
      <c r="FA433" s="218"/>
      <c r="FB433" s="218"/>
      <c r="FC433" s="218"/>
      <c r="FD433" s="218"/>
      <c r="FE433" s="218"/>
      <c r="FF433" s="218"/>
      <c r="FG433" s="218"/>
      <c r="FH433" s="218"/>
      <c r="FI433" s="218"/>
      <c r="FJ433" s="218"/>
      <c r="FK433" s="218"/>
      <c r="FL433" s="218"/>
      <c r="FM433" s="218"/>
      <c r="FN433" s="218"/>
      <c r="FO433" s="218"/>
      <c r="FP433" s="218"/>
      <c r="FQ433" s="218"/>
      <c r="FR433" s="218"/>
      <c r="FS433" s="218"/>
      <c r="FT433" s="218"/>
      <c r="FU433" s="218"/>
      <c r="FV433" s="218"/>
      <c r="FW433" s="218"/>
      <c r="FX433" s="218"/>
      <c r="FY433" s="218"/>
      <c r="FZ433" s="218"/>
      <c r="GA433" s="218"/>
      <c r="GB433" s="218"/>
      <c r="GC433" s="218"/>
      <c r="GD433" s="218"/>
      <c r="GE433" s="218"/>
      <c r="GF433" s="218"/>
      <c r="GG433" s="218"/>
      <c r="GH433" s="218"/>
      <c r="GI433" s="218"/>
      <c r="GJ433" s="218"/>
    </row>
    <row r="434" spans="3:192" ht="12.75" customHeight="1">
      <c r="C434" s="106"/>
      <c r="D434" s="106"/>
      <c r="E434" s="106"/>
      <c r="F434" s="106"/>
      <c r="G434" s="106"/>
      <c r="H434" s="106"/>
      <c r="I434" s="106"/>
      <c r="J434" s="106"/>
      <c r="K434" s="106"/>
      <c r="L434" s="106"/>
      <c r="M434" s="106"/>
      <c r="N434" s="106"/>
      <c r="O434" s="106"/>
      <c r="P434" s="106"/>
      <c r="Q434" s="106"/>
      <c r="R434" s="106"/>
      <c r="S434" s="106"/>
      <c r="T434" s="106"/>
      <c r="U434" s="106"/>
      <c r="V434" s="106"/>
      <c r="W434" s="106"/>
      <c r="X434" s="106"/>
      <c r="Y434" s="106"/>
      <c r="Z434" s="106"/>
      <c r="AA434" s="106"/>
      <c r="AB434" s="106"/>
      <c r="AC434" s="106"/>
      <c r="AD434" s="106"/>
      <c r="AE434" s="106"/>
      <c r="AF434" s="106"/>
      <c r="AG434" s="106"/>
      <c r="AH434" s="106"/>
      <c r="AI434" s="106"/>
      <c r="AJ434" s="106"/>
      <c r="AK434" s="106"/>
      <c r="AL434" s="106"/>
      <c r="AM434" s="106"/>
      <c r="AN434" s="106"/>
      <c r="AO434" s="106"/>
      <c r="AP434" s="106"/>
      <c r="AQ434" s="106"/>
      <c r="AR434" s="106"/>
      <c r="AS434" s="106"/>
      <c r="AT434" s="106"/>
      <c r="AU434" s="106"/>
      <c r="AV434" s="106"/>
      <c r="AW434" s="106"/>
      <c r="AX434" s="106"/>
      <c r="AY434" s="106"/>
      <c r="AZ434" s="106"/>
      <c r="BA434" s="106"/>
      <c r="BB434" s="106"/>
      <c r="BC434" s="106"/>
      <c r="BD434" s="106"/>
      <c r="BE434" s="106"/>
      <c r="BF434" s="106"/>
      <c r="BG434" s="106"/>
      <c r="BH434" s="106"/>
      <c r="BI434" s="106"/>
      <c r="BJ434" s="106"/>
      <c r="BK434" s="106"/>
      <c r="BL434" s="106"/>
      <c r="BM434" s="106"/>
      <c r="BN434" s="106"/>
      <c r="BO434" s="106"/>
      <c r="BP434" s="106"/>
      <c r="BQ434" s="106"/>
      <c r="BR434" s="106"/>
      <c r="BS434" s="106"/>
      <c r="BT434" s="106"/>
      <c r="BU434" s="106"/>
      <c r="BV434" s="106"/>
      <c r="BW434" s="106"/>
      <c r="BX434" s="106"/>
      <c r="BY434" s="106"/>
      <c r="BZ434" s="106"/>
      <c r="CA434" s="106"/>
      <c r="CB434" s="106"/>
      <c r="CC434" s="106"/>
      <c r="CD434" s="106"/>
      <c r="CE434" s="106"/>
      <c r="CF434" s="106"/>
      <c r="CG434" s="106"/>
      <c r="CH434" s="106"/>
      <c r="CI434" s="106"/>
      <c r="CJ434" s="106"/>
      <c r="CK434" s="106"/>
      <c r="CL434" s="106"/>
      <c r="CM434" s="106"/>
      <c r="CN434" s="106"/>
      <c r="CO434" s="106"/>
      <c r="CP434" s="106"/>
      <c r="CQ434" s="106"/>
      <c r="CR434" s="106"/>
      <c r="CS434" s="106"/>
      <c r="CT434" s="106"/>
      <c r="CU434" s="106"/>
      <c r="CV434" s="106"/>
      <c r="CW434" s="106"/>
      <c r="CX434" s="106"/>
      <c r="CY434" s="106"/>
      <c r="CZ434" s="106"/>
      <c r="DA434" s="106"/>
      <c r="DB434" s="106"/>
      <c r="DC434" s="106"/>
      <c r="DD434" s="106"/>
      <c r="DE434" s="106"/>
      <c r="DF434" s="106"/>
      <c r="DG434" s="106"/>
      <c r="DH434" s="106"/>
      <c r="DI434" s="106"/>
      <c r="DJ434" s="106"/>
      <c r="DK434" s="106"/>
      <c r="DL434" s="106"/>
      <c r="DM434" s="106"/>
      <c r="DN434" s="106"/>
      <c r="DO434" s="106"/>
      <c r="DP434" s="106"/>
      <c r="DQ434" s="106"/>
      <c r="DR434" s="106"/>
      <c r="DS434" s="106"/>
      <c r="DT434" s="106"/>
      <c r="DU434" s="106"/>
      <c r="DV434" s="106"/>
      <c r="DW434" s="106"/>
      <c r="DX434" s="106"/>
      <c r="DY434" s="106"/>
      <c r="DZ434" s="106"/>
      <c r="EA434" s="106"/>
      <c r="EB434" s="106"/>
      <c r="EC434" s="106"/>
      <c r="ED434" s="106"/>
      <c r="EE434" s="106"/>
      <c r="EF434" s="106"/>
      <c r="EG434" s="106"/>
      <c r="EH434" s="106"/>
      <c r="EI434" s="106"/>
      <c r="EJ434" s="106"/>
      <c r="EK434" s="106"/>
      <c r="EL434" s="106"/>
      <c r="EM434" s="106"/>
      <c r="EN434" s="106"/>
      <c r="EO434" s="106"/>
      <c r="EP434" s="106"/>
      <c r="EQ434" s="106"/>
      <c r="ER434" s="106"/>
      <c r="ES434" s="106"/>
      <c r="ET434" s="106"/>
      <c r="EU434" s="106"/>
      <c r="EV434" s="106"/>
      <c r="EW434" s="106"/>
      <c r="EX434" s="106"/>
      <c r="EY434" s="106"/>
      <c r="EZ434" s="106"/>
      <c r="FA434" s="106"/>
      <c r="FB434" s="106"/>
      <c r="FC434" s="106"/>
      <c r="FD434" s="106"/>
      <c r="FE434" s="106"/>
      <c r="FF434" s="106"/>
      <c r="FG434" s="106"/>
      <c r="FH434" s="106"/>
      <c r="FI434" s="106"/>
      <c r="FJ434" s="106"/>
      <c r="FK434" s="106"/>
      <c r="FL434" s="106"/>
      <c r="FM434" s="106"/>
      <c r="FN434" s="106"/>
      <c r="FO434" s="106"/>
      <c r="FP434" s="106"/>
      <c r="FQ434" s="106"/>
      <c r="FR434" s="106"/>
      <c r="FS434" s="106"/>
      <c r="FT434" s="106"/>
      <c r="FU434" s="106"/>
      <c r="FV434" s="106"/>
      <c r="FW434" s="106"/>
      <c r="FX434" s="106"/>
      <c r="FY434" s="106"/>
      <c r="FZ434" s="106"/>
      <c r="GA434" s="106"/>
      <c r="GB434" s="106"/>
      <c r="GC434" s="106"/>
      <c r="GD434" s="106"/>
      <c r="GE434" s="106"/>
      <c r="GF434" s="106"/>
      <c r="GG434" s="106"/>
      <c r="GH434" s="106"/>
      <c r="GI434" s="106"/>
      <c r="GJ434" s="106"/>
    </row>
    <row r="435" spans="3:192" ht="12.75" customHeight="1">
      <c r="C435" s="106"/>
      <c r="D435" s="106"/>
      <c r="E435" s="106"/>
      <c r="F435" s="106"/>
      <c r="G435" s="106"/>
      <c r="H435" s="106"/>
      <c r="I435" s="106"/>
      <c r="J435" s="106"/>
      <c r="K435" s="106"/>
      <c r="L435" s="106"/>
      <c r="M435" s="106"/>
      <c r="N435" s="106"/>
      <c r="O435" s="106"/>
      <c r="P435" s="106"/>
      <c r="Q435" s="106"/>
      <c r="R435" s="106"/>
      <c r="S435" s="106"/>
      <c r="T435" s="106"/>
      <c r="U435" s="106"/>
      <c r="V435" s="106"/>
      <c r="W435" s="106"/>
      <c r="X435" s="106"/>
      <c r="Y435" s="106"/>
      <c r="Z435" s="106"/>
      <c r="AA435" s="106"/>
      <c r="AB435" s="106"/>
      <c r="AC435" s="106"/>
      <c r="AD435" s="106"/>
      <c r="AE435" s="106"/>
      <c r="AF435" s="106"/>
      <c r="AG435" s="106"/>
      <c r="AH435" s="106"/>
      <c r="AI435" s="106"/>
      <c r="AJ435" s="106"/>
      <c r="AK435" s="106"/>
      <c r="AL435" s="106"/>
      <c r="AM435" s="106"/>
      <c r="AN435" s="106"/>
      <c r="AO435" s="106"/>
      <c r="AP435" s="106"/>
      <c r="AQ435" s="106"/>
      <c r="AR435" s="106"/>
      <c r="AS435" s="106"/>
      <c r="AT435" s="106"/>
      <c r="AU435" s="106"/>
      <c r="AV435" s="106"/>
      <c r="AW435" s="106"/>
      <c r="AX435" s="106"/>
      <c r="AY435" s="106"/>
      <c r="AZ435" s="106"/>
      <c r="BA435" s="106"/>
      <c r="BB435" s="106"/>
      <c r="BC435" s="106"/>
      <c r="BD435" s="106"/>
      <c r="BE435" s="106"/>
      <c r="BF435" s="106"/>
      <c r="BG435" s="106"/>
      <c r="BH435" s="106"/>
      <c r="BI435" s="106"/>
      <c r="BJ435" s="106"/>
      <c r="BK435" s="106"/>
      <c r="BL435" s="106"/>
      <c r="BM435" s="106"/>
      <c r="BN435" s="106"/>
      <c r="BO435" s="106"/>
      <c r="BP435" s="106"/>
      <c r="BQ435" s="106"/>
      <c r="BR435" s="106"/>
      <c r="BS435" s="106"/>
      <c r="BT435" s="106"/>
      <c r="BU435" s="106"/>
      <c r="BV435" s="106"/>
      <c r="BW435" s="106"/>
      <c r="BX435" s="106"/>
      <c r="BY435" s="106"/>
      <c r="BZ435" s="106"/>
      <c r="CA435" s="106"/>
      <c r="CB435" s="106"/>
      <c r="CC435" s="106"/>
      <c r="CD435" s="106"/>
      <c r="CE435" s="106"/>
      <c r="CF435" s="106"/>
      <c r="CG435" s="106"/>
      <c r="CH435" s="106"/>
      <c r="CI435" s="106"/>
      <c r="CJ435" s="106"/>
      <c r="CK435" s="106"/>
      <c r="CL435" s="106"/>
      <c r="CM435" s="106"/>
      <c r="CN435" s="106"/>
      <c r="CO435" s="106"/>
      <c r="CP435" s="106"/>
      <c r="CQ435" s="106"/>
      <c r="CR435" s="106"/>
      <c r="CS435" s="106"/>
      <c r="CT435" s="106"/>
      <c r="CU435" s="106"/>
      <c r="CV435" s="106"/>
      <c r="CW435" s="106"/>
      <c r="CX435" s="106"/>
      <c r="CY435" s="106"/>
      <c r="CZ435" s="106"/>
      <c r="DA435" s="106"/>
      <c r="DB435" s="106"/>
      <c r="DC435" s="106"/>
      <c r="DD435" s="106"/>
      <c r="DE435" s="106"/>
      <c r="DF435" s="106"/>
      <c r="DG435" s="106"/>
      <c r="DH435" s="106"/>
      <c r="DI435" s="106"/>
      <c r="DJ435" s="106"/>
      <c r="DK435" s="106"/>
      <c r="DL435" s="106"/>
      <c r="DM435" s="106"/>
      <c r="DN435" s="106"/>
      <c r="DO435" s="106"/>
      <c r="DP435" s="106"/>
      <c r="DQ435" s="106"/>
      <c r="DR435" s="106"/>
      <c r="DS435" s="106"/>
      <c r="DT435" s="106"/>
      <c r="DU435" s="106"/>
      <c r="DV435" s="106"/>
      <c r="DW435" s="106"/>
      <c r="DX435" s="106"/>
      <c r="DY435" s="106"/>
      <c r="DZ435" s="106"/>
      <c r="EA435" s="106"/>
      <c r="EB435" s="106"/>
      <c r="EC435" s="106"/>
      <c r="ED435" s="106"/>
      <c r="EE435" s="106"/>
      <c r="EF435" s="106"/>
      <c r="EG435" s="106"/>
      <c r="EH435" s="106"/>
      <c r="EI435" s="106"/>
      <c r="EJ435" s="106"/>
      <c r="EK435" s="106"/>
      <c r="EL435" s="106"/>
      <c r="EM435" s="106"/>
      <c r="EN435" s="106"/>
      <c r="EO435" s="106"/>
      <c r="EP435" s="106"/>
      <c r="EQ435" s="106"/>
      <c r="ER435" s="106"/>
      <c r="ES435" s="106"/>
      <c r="ET435" s="106"/>
      <c r="EU435" s="106"/>
      <c r="EV435" s="106"/>
      <c r="EW435" s="106"/>
      <c r="EX435" s="106"/>
      <c r="EY435" s="106"/>
      <c r="EZ435" s="106"/>
      <c r="FA435" s="106"/>
      <c r="FB435" s="106"/>
      <c r="FC435" s="106"/>
      <c r="FD435" s="106"/>
      <c r="FE435" s="106"/>
      <c r="FF435" s="106"/>
      <c r="FG435" s="106"/>
      <c r="FH435" s="106"/>
      <c r="FI435" s="106"/>
      <c r="FJ435" s="106"/>
      <c r="FK435" s="106"/>
      <c r="FL435" s="106"/>
      <c r="FM435" s="106"/>
      <c r="FN435" s="106"/>
      <c r="FO435" s="106"/>
      <c r="FP435" s="106"/>
      <c r="FQ435" s="106"/>
      <c r="FR435" s="106"/>
      <c r="FS435" s="106"/>
      <c r="FT435" s="106"/>
      <c r="FU435" s="106"/>
      <c r="FV435" s="106"/>
      <c r="FW435" s="106"/>
      <c r="FX435" s="106"/>
      <c r="FY435" s="106"/>
      <c r="FZ435" s="106"/>
      <c r="GA435" s="106"/>
      <c r="GB435" s="106"/>
      <c r="GC435" s="106"/>
      <c r="GD435" s="106"/>
      <c r="GE435" s="106"/>
      <c r="GF435" s="106"/>
      <c r="GG435" s="106"/>
      <c r="GH435" s="106"/>
      <c r="GI435" s="106"/>
      <c r="GJ435" s="106"/>
    </row>
    <row r="436" spans="3:192" ht="12.75" customHeight="1">
      <c r="C436" s="219"/>
      <c r="D436" s="219"/>
      <c r="E436" s="219"/>
      <c r="F436" s="219"/>
      <c r="G436" s="219"/>
      <c r="H436" s="219"/>
      <c r="I436" s="219"/>
      <c r="J436" s="219"/>
      <c r="K436" s="219"/>
      <c r="L436" s="219"/>
      <c r="M436" s="219"/>
      <c r="N436" s="219"/>
      <c r="O436" s="219"/>
      <c r="P436" s="219"/>
      <c r="Q436" s="219"/>
      <c r="R436" s="219"/>
      <c r="S436" s="219"/>
      <c r="T436" s="219"/>
      <c r="U436" s="219"/>
      <c r="V436" s="219"/>
      <c r="W436" s="219"/>
      <c r="X436" s="219"/>
      <c r="Y436" s="219"/>
      <c r="Z436" s="219"/>
      <c r="AA436" s="219"/>
      <c r="AB436" s="219"/>
      <c r="AC436" s="219"/>
      <c r="AD436" s="219"/>
      <c r="AE436" s="219"/>
      <c r="AF436" s="219"/>
      <c r="AG436" s="219"/>
      <c r="AH436" s="219"/>
      <c r="AI436" s="219"/>
      <c r="AJ436" s="219"/>
      <c r="AK436" s="219"/>
      <c r="AL436" s="219"/>
      <c r="AM436" s="219"/>
      <c r="AN436" s="219"/>
      <c r="AO436" s="219"/>
      <c r="AP436" s="219"/>
      <c r="AQ436" s="219"/>
      <c r="AR436" s="219"/>
      <c r="AS436" s="219"/>
      <c r="AT436" s="219"/>
      <c r="AU436" s="219"/>
      <c r="AV436" s="219"/>
      <c r="AW436" s="219"/>
      <c r="AX436" s="219"/>
      <c r="AY436" s="219"/>
      <c r="AZ436" s="219"/>
      <c r="BA436" s="219"/>
      <c r="BB436" s="219"/>
      <c r="BC436" s="219"/>
      <c r="BD436" s="219"/>
      <c r="BE436" s="219"/>
      <c r="BF436" s="219"/>
      <c r="BG436" s="219"/>
      <c r="BH436" s="219"/>
      <c r="BI436" s="219"/>
      <c r="BJ436" s="219"/>
      <c r="BK436" s="219"/>
      <c r="BL436" s="219"/>
      <c r="BM436" s="219"/>
      <c r="BN436" s="219"/>
      <c r="BO436" s="219"/>
      <c r="BP436" s="219"/>
      <c r="BQ436" s="219"/>
      <c r="BR436" s="219"/>
      <c r="BS436" s="219"/>
      <c r="BT436" s="219"/>
      <c r="BU436" s="219"/>
      <c r="BV436" s="219"/>
      <c r="BW436" s="219"/>
      <c r="BX436" s="219"/>
      <c r="BY436" s="219"/>
      <c r="BZ436" s="219"/>
      <c r="CA436" s="219"/>
      <c r="CB436" s="219"/>
      <c r="CC436" s="219"/>
      <c r="CD436" s="219"/>
      <c r="CE436" s="219"/>
      <c r="CF436" s="219"/>
      <c r="CG436" s="219"/>
      <c r="CH436" s="219"/>
      <c r="CI436" s="219"/>
      <c r="CJ436" s="219"/>
      <c r="CK436" s="219"/>
      <c r="CL436" s="219"/>
      <c r="CM436" s="219"/>
      <c r="CN436" s="219"/>
      <c r="CO436" s="219"/>
      <c r="CP436" s="219"/>
      <c r="CQ436" s="219"/>
      <c r="CR436" s="219"/>
      <c r="CS436" s="219"/>
      <c r="CT436" s="219"/>
      <c r="CU436" s="219"/>
      <c r="CV436" s="219"/>
      <c r="CW436" s="219"/>
      <c r="CX436" s="219"/>
      <c r="CY436" s="219"/>
      <c r="CZ436" s="219"/>
      <c r="DA436" s="219"/>
      <c r="DB436" s="219"/>
      <c r="DC436" s="219"/>
      <c r="DD436" s="219"/>
      <c r="DE436" s="219"/>
      <c r="DF436" s="219"/>
      <c r="DG436" s="219"/>
      <c r="DH436" s="219"/>
      <c r="DI436" s="219"/>
      <c r="DJ436" s="219"/>
      <c r="DK436" s="219"/>
      <c r="DL436" s="219"/>
      <c r="DM436" s="219"/>
      <c r="DN436" s="219"/>
      <c r="DO436" s="219"/>
      <c r="DP436" s="219"/>
      <c r="DQ436" s="219"/>
      <c r="DR436" s="219"/>
      <c r="DS436" s="219"/>
      <c r="DT436" s="219"/>
      <c r="DU436" s="219"/>
      <c r="DV436" s="219"/>
      <c r="DW436" s="219"/>
      <c r="DX436" s="219"/>
      <c r="DY436" s="219"/>
      <c r="DZ436" s="219"/>
      <c r="EA436" s="219"/>
      <c r="EB436" s="219"/>
      <c r="EC436" s="219"/>
      <c r="ED436" s="219"/>
      <c r="EE436" s="219"/>
      <c r="EF436" s="219"/>
      <c r="EG436" s="219"/>
      <c r="EH436" s="219"/>
      <c r="EI436" s="219"/>
      <c r="EJ436" s="219"/>
      <c r="EK436" s="219"/>
      <c r="EL436" s="219"/>
      <c r="EM436" s="219"/>
      <c r="EN436" s="219"/>
      <c r="EO436" s="219"/>
      <c r="EP436" s="219"/>
      <c r="EQ436" s="219"/>
      <c r="ER436" s="219"/>
      <c r="ES436" s="219"/>
      <c r="ET436" s="219"/>
      <c r="EU436" s="219"/>
      <c r="EV436" s="219"/>
      <c r="EW436" s="219"/>
      <c r="EX436" s="219"/>
      <c r="EY436" s="219"/>
      <c r="EZ436" s="219"/>
      <c r="FA436" s="219"/>
      <c r="FB436" s="219"/>
      <c r="FC436" s="219"/>
      <c r="FD436" s="219"/>
      <c r="FE436" s="219"/>
      <c r="FF436" s="219"/>
      <c r="FG436" s="219"/>
      <c r="FH436" s="219"/>
      <c r="FI436" s="219"/>
      <c r="FJ436" s="219"/>
      <c r="FK436" s="219"/>
      <c r="FL436" s="219"/>
      <c r="FM436" s="219"/>
      <c r="FN436" s="219"/>
      <c r="FO436" s="219"/>
      <c r="FP436" s="219"/>
      <c r="FQ436" s="219"/>
      <c r="FR436" s="219"/>
      <c r="FS436" s="219"/>
      <c r="FT436" s="219"/>
      <c r="FU436" s="219"/>
      <c r="FV436" s="219"/>
      <c r="FW436" s="219"/>
      <c r="FX436" s="219"/>
      <c r="FY436" s="219"/>
      <c r="FZ436" s="219"/>
      <c r="GA436" s="219"/>
      <c r="GB436" s="219"/>
      <c r="GC436" s="219"/>
      <c r="GD436" s="219"/>
      <c r="GE436" s="219"/>
      <c r="GF436" s="219"/>
      <c r="GG436" s="219"/>
      <c r="GH436" s="219"/>
      <c r="GI436" s="219"/>
      <c r="GJ436" s="219"/>
    </row>
    <row r="437" spans="3:192" ht="12.75" customHeight="1">
      <c r="C437" s="169"/>
      <c r="D437" s="169"/>
      <c r="E437" s="169"/>
      <c r="F437" s="169"/>
      <c r="G437" s="169"/>
      <c r="H437" s="169"/>
      <c r="I437" s="169"/>
      <c r="J437" s="169"/>
      <c r="K437" s="169"/>
      <c r="L437" s="169"/>
      <c r="M437" s="169"/>
      <c r="N437" s="169"/>
      <c r="O437" s="169"/>
      <c r="P437" s="169"/>
      <c r="Q437" s="169"/>
      <c r="R437" s="169"/>
      <c r="S437" s="169"/>
      <c r="T437" s="169"/>
      <c r="U437" s="169"/>
      <c r="V437" s="169"/>
      <c r="W437" s="169"/>
      <c r="X437" s="169"/>
      <c r="Y437" s="169"/>
      <c r="Z437" s="169"/>
      <c r="AA437" s="169"/>
      <c r="AB437" s="169"/>
      <c r="AC437" s="169"/>
      <c r="AD437" s="169"/>
      <c r="AE437" s="169"/>
      <c r="AF437" s="169"/>
      <c r="AG437" s="169"/>
      <c r="AH437" s="169"/>
      <c r="AI437" s="169"/>
      <c r="AJ437" s="169"/>
      <c r="AK437" s="169"/>
      <c r="AL437" s="169"/>
      <c r="AM437" s="169"/>
      <c r="AN437" s="169"/>
      <c r="AO437" s="169"/>
      <c r="AP437" s="169"/>
      <c r="AQ437" s="169"/>
      <c r="AR437" s="169"/>
      <c r="AS437" s="169"/>
      <c r="AT437" s="169"/>
      <c r="AU437" s="169"/>
      <c r="AV437" s="169"/>
      <c r="AW437" s="169"/>
      <c r="AX437" s="169"/>
      <c r="AY437" s="169"/>
      <c r="AZ437" s="169"/>
      <c r="BA437" s="169"/>
      <c r="BB437" s="169"/>
      <c r="BC437" s="169"/>
      <c r="BD437" s="169"/>
      <c r="BE437" s="169"/>
      <c r="BF437" s="169"/>
      <c r="BG437" s="169"/>
      <c r="BH437" s="169"/>
      <c r="BI437" s="169"/>
      <c r="BJ437" s="169"/>
      <c r="BK437" s="169"/>
      <c r="BL437" s="169"/>
      <c r="BM437" s="169"/>
      <c r="BN437" s="169"/>
      <c r="BO437" s="169"/>
      <c r="BP437" s="169"/>
      <c r="BQ437" s="169"/>
      <c r="BR437" s="169"/>
      <c r="BS437" s="169"/>
      <c r="BT437" s="169"/>
      <c r="BU437" s="169"/>
      <c r="BV437" s="169"/>
      <c r="BW437" s="169"/>
      <c r="BX437" s="169"/>
      <c r="BY437" s="169"/>
      <c r="BZ437" s="169"/>
      <c r="CA437" s="169"/>
      <c r="CB437" s="169"/>
      <c r="CC437" s="169"/>
      <c r="CD437" s="169"/>
      <c r="CE437" s="169"/>
      <c r="CF437" s="169"/>
      <c r="CG437" s="169"/>
      <c r="CH437" s="169"/>
      <c r="CI437" s="169"/>
      <c r="CJ437" s="169"/>
      <c r="CK437" s="169"/>
      <c r="CL437" s="169"/>
      <c r="CM437" s="169"/>
      <c r="CN437" s="169"/>
      <c r="CO437" s="169"/>
      <c r="CP437" s="169"/>
      <c r="CQ437" s="169"/>
      <c r="CR437" s="169"/>
      <c r="CS437" s="169"/>
      <c r="CT437" s="169"/>
      <c r="CU437" s="169"/>
      <c r="CV437" s="169"/>
      <c r="CW437" s="169"/>
      <c r="CX437" s="169"/>
      <c r="CY437" s="169"/>
      <c r="CZ437" s="169"/>
      <c r="DA437" s="169"/>
      <c r="DB437" s="169"/>
      <c r="DC437" s="169"/>
      <c r="DD437" s="169"/>
      <c r="DE437" s="169"/>
      <c r="DF437" s="169"/>
      <c r="DG437" s="169"/>
      <c r="DH437" s="169"/>
      <c r="DI437" s="169"/>
      <c r="DJ437" s="169"/>
      <c r="DK437" s="169"/>
      <c r="DL437" s="169"/>
      <c r="DM437" s="169"/>
      <c r="DN437" s="169"/>
      <c r="DO437" s="169"/>
      <c r="DP437" s="169"/>
      <c r="DQ437" s="169"/>
      <c r="DR437" s="169"/>
      <c r="DS437" s="169"/>
      <c r="DT437" s="169"/>
      <c r="DU437" s="169"/>
      <c r="DV437" s="169"/>
      <c r="DW437" s="169"/>
      <c r="DX437" s="169"/>
      <c r="DY437" s="169"/>
      <c r="DZ437" s="169"/>
      <c r="EA437" s="169"/>
      <c r="EB437" s="169"/>
      <c r="EC437" s="169"/>
      <c r="ED437" s="169"/>
      <c r="EE437" s="169"/>
      <c r="EF437" s="169"/>
      <c r="EG437" s="169"/>
      <c r="EH437" s="169"/>
      <c r="EI437" s="169"/>
      <c r="EJ437" s="169"/>
      <c r="EK437" s="169"/>
      <c r="EL437" s="169"/>
      <c r="EM437" s="169"/>
      <c r="EN437" s="169"/>
      <c r="EO437" s="169"/>
      <c r="EP437" s="169"/>
      <c r="EQ437" s="169"/>
      <c r="ER437" s="169"/>
      <c r="ES437" s="169"/>
      <c r="ET437" s="169"/>
      <c r="EU437" s="169"/>
      <c r="EV437" s="169"/>
      <c r="EW437" s="169"/>
      <c r="EX437" s="169"/>
      <c r="EY437" s="169"/>
      <c r="EZ437" s="169"/>
      <c r="FA437" s="169"/>
      <c r="FB437" s="169"/>
      <c r="FC437" s="169"/>
      <c r="FD437" s="169"/>
      <c r="FE437" s="169"/>
      <c r="FF437" s="169"/>
      <c r="FG437" s="169"/>
      <c r="FH437" s="169"/>
      <c r="FI437" s="169"/>
      <c r="FJ437" s="169"/>
      <c r="FK437" s="169"/>
      <c r="FL437" s="169"/>
      <c r="FM437" s="169"/>
      <c r="FN437" s="169"/>
      <c r="FO437" s="169"/>
      <c r="FP437" s="169"/>
      <c r="FQ437" s="169"/>
      <c r="FR437" s="169"/>
      <c r="FS437" s="169"/>
      <c r="FT437" s="169"/>
      <c r="FU437" s="169"/>
      <c r="FV437" s="169"/>
      <c r="FW437" s="169"/>
      <c r="FX437" s="169"/>
      <c r="FY437" s="169"/>
      <c r="FZ437" s="169"/>
      <c r="GA437" s="169"/>
      <c r="GB437" s="169"/>
      <c r="GC437" s="169"/>
      <c r="GD437" s="169"/>
      <c r="GE437" s="169"/>
      <c r="GF437" s="169"/>
      <c r="GG437" s="169"/>
      <c r="GH437" s="169"/>
      <c r="GI437" s="169"/>
      <c r="GJ437" s="169"/>
    </row>
    <row r="438" spans="3:192" ht="12.75" customHeight="1">
      <c r="C438" s="169"/>
      <c r="D438" s="169"/>
      <c r="E438" s="169"/>
      <c r="F438" s="169"/>
      <c r="G438" s="169"/>
      <c r="H438" s="169"/>
      <c r="I438" s="169"/>
      <c r="J438" s="169"/>
      <c r="K438" s="169"/>
      <c r="L438" s="169"/>
      <c r="M438" s="169"/>
      <c r="N438" s="169"/>
      <c r="O438" s="169"/>
      <c r="P438" s="169"/>
      <c r="Q438" s="169"/>
      <c r="R438" s="169"/>
      <c r="S438" s="169"/>
      <c r="T438" s="169"/>
      <c r="U438" s="169"/>
      <c r="V438" s="169"/>
      <c r="W438" s="169"/>
      <c r="X438" s="169"/>
      <c r="Y438" s="169"/>
      <c r="Z438" s="169"/>
      <c r="AA438" s="169"/>
      <c r="AB438" s="169"/>
      <c r="AC438" s="169"/>
      <c r="AD438" s="169"/>
      <c r="AE438" s="169"/>
      <c r="AF438" s="169"/>
      <c r="AG438" s="169"/>
      <c r="AH438" s="169"/>
      <c r="AI438" s="169"/>
      <c r="AJ438" s="169"/>
      <c r="AK438" s="169"/>
      <c r="AL438" s="169"/>
      <c r="AM438" s="169"/>
      <c r="AN438" s="169"/>
      <c r="AO438" s="169"/>
      <c r="AP438" s="169"/>
      <c r="AQ438" s="169"/>
      <c r="AR438" s="169"/>
      <c r="AS438" s="169"/>
      <c r="AT438" s="169"/>
      <c r="AU438" s="169"/>
      <c r="AV438" s="169"/>
      <c r="AW438" s="169"/>
      <c r="AX438" s="169"/>
      <c r="AY438" s="169"/>
      <c r="AZ438" s="169"/>
      <c r="BA438" s="169"/>
      <c r="BB438" s="169"/>
      <c r="BC438" s="169"/>
      <c r="BD438" s="169"/>
      <c r="BE438" s="169"/>
      <c r="BF438" s="169"/>
      <c r="BG438" s="169"/>
      <c r="BH438" s="169"/>
      <c r="BI438" s="169"/>
      <c r="BJ438" s="169"/>
      <c r="BK438" s="169"/>
      <c r="BL438" s="169"/>
      <c r="BM438" s="169"/>
      <c r="BN438" s="169"/>
      <c r="BO438" s="169"/>
      <c r="BP438" s="169"/>
      <c r="BQ438" s="169"/>
      <c r="BR438" s="169"/>
      <c r="BS438" s="169"/>
      <c r="BT438" s="169"/>
      <c r="BU438" s="169"/>
      <c r="BV438" s="169"/>
      <c r="BW438" s="169"/>
      <c r="BX438" s="169"/>
      <c r="BY438" s="169"/>
      <c r="BZ438" s="169"/>
      <c r="CA438" s="169"/>
      <c r="CB438" s="169"/>
      <c r="CC438" s="169"/>
      <c r="CD438" s="169"/>
      <c r="CE438" s="169"/>
      <c r="CF438" s="169"/>
      <c r="CG438" s="169"/>
      <c r="CH438" s="169"/>
      <c r="CI438" s="169"/>
      <c r="CJ438" s="169"/>
      <c r="CK438" s="169"/>
      <c r="CL438" s="169"/>
      <c r="CM438" s="169"/>
      <c r="CN438" s="169"/>
      <c r="CO438" s="169"/>
      <c r="CP438" s="169"/>
      <c r="CQ438" s="169"/>
      <c r="CR438" s="169"/>
      <c r="CS438" s="169"/>
      <c r="CT438" s="169"/>
      <c r="CU438" s="169"/>
      <c r="CV438" s="169"/>
      <c r="CW438" s="169"/>
      <c r="CX438" s="169"/>
      <c r="CY438" s="169"/>
      <c r="CZ438" s="169"/>
      <c r="DA438" s="169"/>
      <c r="DB438" s="169"/>
      <c r="DC438" s="169"/>
      <c r="DD438" s="169"/>
      <c r="DE438" s="169"/>
      <c r="DF438" s="169"/>
      <c r="DG438" s="169"/>
      <c r="DH438" s="169"/>
      <c r="DI438" s="169"/>
      <c r="DJ438" s="169"/>
      <c r="DK438" s="169"/>
      <c r="DL438" s="169"/>
      <c r="DM438" s="169"/>
      <c r="DN438" s="169"/>
      <c r="DO438" s="169"/>
      <c r="DP438" s="169"/>
      <c r="DQ438" s="169"/>
      <c r="DR438" s="169"/>
      <c r="DS438" s="169"/>
      <c r="DT438" s="169"/>
      <c r="DU438" s="169"/>
      <c r="DV438" s="169"/>
      <c r="DW438" s="169"/>
      <c r="DX438" s="169"/>
      <c r="DY438" s="169"/>
      <c r="DZ438" s="169"/>
      <c r="EA438" s="169"/>
      <c r="EB438" s="169"/>
      <c r="EC438" s="169"/>
      <c r="ED438" s="169"/>
      <c r="EE438" s="169"/>
      <c r="EF438" s="169"/>
      <c r="EG438" s="169"/>
      <c r="EH438" s="169"/>
      <c r="EI438" s="169"/>
      <c r="EJ438" s="169"/>
      <c r="EK438" s="169"/>
      <c r="EL438" s="169"/>
      <c r="EM438" s="169"/>
      <c r="EN438" s="169"/>
      <c r="EO438" s="169"/>
      <c r="EP438" s="169"/>
      <c r="EQ438" s="169"/>
      <c r="ER438" s="169"/>
      <c r="ES438" s="169"/>
      <c r="ET438" s="169"/>
      <c r="EU438" s="169"/>
      <c r="EV438" s="169"/>
      <c r="EW438" s="169"/>
      <c r="EX438" s="169"/>
      <c r="EY438" s="169"/>
      <c r="EZ438" s="169"/>
      <c r="FA438" s="169"/>
      <c r="FB438" s="169"/>
      <c r="FC438" s="169"/>
      <c r="FD438" s="169"/>
      <c r="FE438" s="169"/>
      <c r="FF438" s="169"/>
      <c r="FG438" s="169"/>
      <c r="FH438" s="169"/>
      <c r="FI438" s="169"/>
      <c r="FJ438" s="169"/>
      <c r="FK438" s="169"/>
      <c r="FL438" s="169"/>
      <c r="FM438" s="169"/>
      <c r="FN438" s="169"/>
      <c r="FO438" s="169"/>
      <c r="FP438" s="169"/>
      <c r="FQ438" s="169"/>
      <c r="FR438" s="169"/>
      <c r="FS438" s="169"/>
      <c r="FT438" s="169"/>
      <c r="FU438" s="169"/>
      <c r="FV438" s="169"/>
      <c r="FW438" s="169"/>
      <c r="FX438" s="169"/>
      <c r="FY438" s="169"/>
      <c r="FZ438" s="169"/>
      <c r="GA438" s="169"/>
      <c r="GB438" s="169"/>
      <c r="GC438" s="169"/>
      <c r="GD438" s="169"/>
      <c r="GE438" s="169"/>
      <c r="GF438" s="169"/>
      <c r="GG438" s="169"/>
      <c r="GH438" s="169"/>
      <c r="GI438" s="169"/>
      <c r="GJ438" s="169"/>
    </row>
    <row r="439" spans="3:192" ht="12.75" customHeight="1">
      <c r="C439" s="220"/>
      <c r="D439" s="220"/>
      <c r="E439" s="220"/>
      <c r="F439" s="220"/>
      <c r="G439" s="220"/>
      <c r="H439" s="220"/>
      <c r="I439" s="220"/>
      <c r="J439" s="220"/>
      <c r="K439" s="220"/>
      <c r="L439" s="220"/>
      <c r="M439" s="220"/>
      <c r="N439" s="220"/>
      <c r="O439" s="220"/>
      <c r="P439" s="220"/>
      <c r="Q439" s="220"/>
      <c r="R439" s="220"/>
      <c r="S439" s="220"/>
      <c r="T439" s="220"/>
      <c r="U439" s="220"/>
      <c r="V439" s="220"/>
      <c r="W439" s="220"/>
      <c r="X439" s="220"/>
      <c r="Y439" s="220"/>
      <c r="Z439" s="220"/>
      <c r="AA439" s="220"/>
      <c r="AB439" s="220"/>
      <c r="AC439" s="220"/>
      <c r="AD439" s="220"/>
      <c r="AE439" s="220"/>
      <c r="AF439" s="220"/>
      <c r="AG439" s="220"/>
      <c r="AH439" s="220"/>
      <c r="AI439" s="220"/>
      <c r="AJ439" s="220"/>
      <c r="AK439" s="220"/>
      <c r="AL439" s="220"/>
      <c r="AM439" s="220"/>
      <c r="AN439" s="220"/>
      <c r="AO439" s="220"/>
      <c r="AP439" s="220"/>
      <c r="AQ439" s="220"/>
      <c r="AR439" s="220"/>
      <c r="AS439" s="220"/>
      <c r="AT439" s="220"/>
      <c r="AU439" s="220"/>
      <c r="AV439" s="220"/>
      <c r="AW439" s="220"/>
      <c r="AX439" s="220"/>
      <c r="AY439" s="220"/>
      <c r="AZ439" s="220"/>
      <c r="BA439" s="220"/>
      <c r="BB439" s="220"/>
      <c r="BC439" s="220"/>
      <c r="BD439" s="220"/>
      <c r="BE439" s="220"/>
      <c r="BF439" s="220"/>
      <c r="BG439" s="220"/>
      <c r="BH439" s="220"/>
      <c r="BI439" s="220"/>
      <c r="BJ439" s="220"/>
      <c r="BK439" s="220"/>
      <c r="BL439" s="220"/>
      <c r="BM439" s="220"/>
      <c r="BN439" s="220"/>
      <c r="BO439" s="220"/>
      <c r="BP439" s="220"/>
      <c r="BQ439" s="220"/>
      <c r="BR439" s="220"/>
      <c r="BS439" s="220"/>
      <c r="BT439" s="220"/>
      <c r="BU439" s="220"/>
      <c r="BV439" s="220"/>
      <c r="BW439" s="220"/>
      <c r="BX439" s="220"/>
      <c r="BY439" s="220"/>
      <c r="BZ439" s="220"/>
      <c r="CA439" s="220"/>
      <c r="CB439" s="220"/>
      <c r="CC439" s="220"/>
      <c r="CD439" s="220"/>
      <c r="CE439" s="220"/>
      <c r="CF439" s="220"/>
      <c r="CG439" s="220"/>
      <c r="CH439" s="220"/>
      <c r="CI439" s="220"/>
      <c r="CJ439" s="220"/>
      <c r="CK439" s="220"/>
      <c r="CL439" s="220"/>
      <c r="CM439" s="220"/>
      <c r="CN439" s="220"/>
      <c r="CO439" s="220"/>
      <c r="CP439" s="220"/>
      <c r="CQ439" s="220"/>
      <c r="CR439" s="220"/>
      <c r="CS439" s="220"/>
      <c r="CT439" s="220"/>
      <c r="CU439" s="220"/>
      <c r="CV439" s="220"/>
      <c r="CW439" s="220"/>
      <c r="CX439" s="220"/>
      <c r="CY439" s="220"/>
      <c r="CZ439" s="220"/>
      <c r="DA439" s="220"/>
      <c r="DB439" s="220"/>
      <c r="DC439" s="220"/>
      <c r="DD439" s="220"/>
      <c r="DE439" s="220"/>
      <c r="DF439" s="220"/>
      <c r="DG439" s="220"/>
      <c r="DH439" s="220"/>
      <c r="DI439" s="220"/>
      <c r="DJ439" s="220"/>
      <c r="DK439" s="220"/>
      <c r="DL439" s="220"/>
      <c r="DM439" s="220"/>
      <c r="DN439" s="220"/>
      <c r="DO439" s="220"/>
      <c r="DP439" s="220"/>
      <c r="DQ439" s="220"/>
      <c r="DR439" s="220"/>
      <c r="DS439" s="220"/>
      <c r="DT439" s="220"/>
      <c r="DU439" s="220"/>
      <c r="DV439" s="220"/>
      <c r="DW439" s="220"/>
      <c r="DX439" s="220"/>
      <c r="DY439" s="220"/>
      <c r="DZ439" s="220"/>
      <c r="EA439" s="220"/>
      <c r="EB439" s="220"/>
      <c r="EC439" s="220"/>
      <c r="ED439" s="220"/>
      <c r="EE439" s="220"/>
      <c r="EF439" s="220"/>
      <c r="EG439" s="220"/>
      <c r="EH439" s="220"/>
      <c r="EI439" s="220"/>
      <c r="EJ439" s="220"/>
      <c r="EK439" s="220"/>
      <c r="EL439" s="220"/>
      <c r="EM439" s="220"/>
      <c r="EN439" s="220"/>
      <c r="EO439" s="220"/>
      <c r="EP439" s="220"/>
      <c r="EQ439" s="220"/>
      <c r="ER439" s="220"/>
      <c r="ES439" s="220"/>
      <c r="ET439" s="220"/>
      <c r="EU439" s="220"/>
      <c r="EV439" s="220"/>
      <c r="EW439" s="220"/>
      <c r="EX439" s="220"/>
      <c r="EY439" s="220"/>
      <c r="EZ439" s="220"/>
      <c r="FA439" s="220"/>
      <c r="FB439" s="220"/>
      <c r="FC439" s="220"/>
      <c r="FD439" s="220"/>
      <c r="FE439" s="220"/>
      <c r="FF439" s="220"/>
      <c r="FG439" s="220"/>
      <c r="FH439" s="220"/>
      <c r="FI439" s="220"/>
      <c r="FJ439" s="220"/>
      <c r="FK439" s="220"/>
      <c r="FL439" s="220"/>
      <c r="FM439" s="220"/>
      <c r="FN439" s="220"/>
      <c r="FO439" s="220"/>
      <c r="FP439" s="220"/>
      <c r="FQ439" s="220"/>
      <c r="FR439" s="220"/>
      <c r="FS439" s="220"/>
      <c r="FT439" s="220"/>
      <c r="FU439" s="220"/>
      <c r="FV439" s="220"/>
      <c r="FW439" s="220"/>
      <c r="FX439" s="220"/>
      <c r="FY439" s="220"/>
      <c r="FZ439" s="220"/>
      <c r="GA439" s="220"/>
      <c r="GB439" s="220"/>
      <c r="GC439" s="220"/>
      <c r="GD439" s="220"/>
      <c r="GE439" s="220"/>
      <c r="GF439" s="220"/>
      <c r="GG439" s="220"/>
      <c r="GH439" s="220"/>
      <c r="GI439" s="220"/>
      <c r="GJ439" s="220"/>
    </row>
    <row r="440" spans="3:192" ht="12.75" customHeight="1">
      <c r="C440" s="106"/>
      <c r="D440" s="106"/>
      <c r="E440" s="106"/>
      <c r="F440" s="106"/>
      <c r="G440" s="106"/>
      <c r="H440" s="106"/>
      <c r="I440" s="106"/>
      <c r="J440" s="106"/>
      <c r="K440" s="106"/>
      <c r="L440" s="106"/>
      <c r="M440" s="106"/>
      <c r="N440" s="106"/>
      <c r="O440" s="106"/>
      <c r="P440" s="106"/>
      <c r="Q440" s="106"/>
      <c r="R440" s="106"/>
      <c r="S440" s="106"/>
      <c r="T440" s="106"/>
      <c r="U440" s="106"/>
      <c r="V440" s="106"/>
      <c r="W440" s="106"/>
      <c r="X440" s="106"/>
      <c r="Y440" s="106"/>
      <c r="Z440" s="106"/>
      <c r="AA440" s="106"/>
      <c r="AB440" s="106"/>
      <c r="AC440" s="106"/>
      <c r="AD440" s="106"/>
      <c r="AE440" s="106"/>
      <c r="AF440" s="106"/>
      <c r="AG440" s="106"/>
      <c r="AH440" s="106"/>
      <c r="AI440" s="106"/>
      <c r="AJ440" s="106"/>
      <c r="AK440" s="106"/>
      <c r="AL440" s="106"/>
      <c r="AM440" s="106"/>
      <c r="AN440" s="106"/>
      <c r="AO440" s="106"/>
      <c r="AP440" s="106"/>
      <c r="AQ440" s="106"/>
      <c r="AR440" s="106"/>
      <c r="AS440" s="106"/>
      <c r="AT440" s="106"/>
      <c r="AU440" s="106"/>
      <c r="AV440" s="106"/>
      <c r="AW440" s="106"/>
      <c r="AX440" s="106"/>
      <c r="AY440" s="106"/>
      <c r="AZ440" s="106"/>
      <c r="BA440" s="106"/>
      <c r="BB440" s="106"/>
      <c r="BC440" s="106"/>
      <c r="BD440" s="106"/>
      <c r="BE440" s="106"/>
      <c r="BF440" s="106"/>
      <c r="BG440" s="106"/>
      <c r="BH440" s="106"/>
      <c r="BI440" s="106"/>
      <c r="BJ440" s="106"/>
      <c r="BK440" s="106"/>
      <c r="BL440" s="106"/>
      <c r="BM440" s="106"/>
      <c r="BN440" s="106"/>
      <c r="BO440" s="106"/>
      <c r="BP440" s="106"/>
      <c r="BQ440" s="106"/>
      <c r="BR440" s="106"/>
      <c r="BS440" s="106"/>
      <c r="BT440" s="106"/>
      <c r="BU440" s="106"/>
      <c r="BV440" s="106"/>
      <c r="BW440" s="106"/>
      <c r="BX440" s="106"/>
      <c r="BY440" s="106"/>
      <c r="BZ440" s="106"/>
      <c r="CA440" s="106"/>
      <c r="CB440" s="106"/>
      <c r="CC440" s="106"/>
      <c r="CD440" s="106"/>
      <c r="CE440" s="106"/>
      <c r="CF440" s="106"/>
      <c r="CG440" s="106"/>
      <c r="CH440" s="106"/>
      <c r="CI440" s="106"/>
      <c r="CJ440" s="106"/>
      <c r="CK440" s="106"/>
      <c r="CL440" s="106"/>
      <c r="CM440" s="106"/>
      <c r="CN440" s="106"/>
      <c r="CO440" s="106"/>
      <c r="CP440" s="106"/>
      <c r="CQ440" s="106"/>
      <c r="CR440" s="106"/>
      <c r="CS440" s="106"/>
      <c r="CT440" s="106"/>
      <c r="CU440" s="106"/>
      <c r="CV440" s="106"/>
      <c r="CW440" s="106"/>
      <c r="CX440" s="106"/>
      <c r="CY440" s="106"/>
      <c r="CZ440" s="106"/>
      <c r="DA440" s="106"/>
      <c r="DB440" s="106"/>
      <c r="DC440" s="106"/>
      <c r="DD440" s="106"/>
      <c r="DE440" s="106"/>
      <c r="DF440" s="106"/>
      <c r="DG440" s="106"/>
      <c r="DH440" s="106"/>
      <c r="DI440" s="106"/>
      <c r="DJ440" s="106"/>
      <c r="DK440" s="106"/>
      <c r="DL440" s="106"/>
      <c r="DM440" s="106"/>
      <c r="DN440" s="106"/>
      <c r="DO440" s="106"/>
      <c r="DP440" s="106"/>
      <c r="DQ440" s="106"/>
      <c r="DR440" s="106"/>
      <c r="DS440" s="106"/>
      <c r="DT440" s="106"/>
      <c r="DU440" s="106"/>
      <c r="DV440" s="106"/>
      <c r="DW440" s="106"/>
      <c r="DX440" s="106"/>
      <c r="DY440" s="106"/>
      <c r="DZ440" s="106"/>
      <c r="EA440" s="106"/>
      <c r="EB440" s="106"/>
      <c r="EC440" s="106"/>
      <c r="ED440" s="106"/>
      <c r="EE440" s="106"/>
      <c r="EF440" s="106"/>
      <c r="EG440" s="106"/>
      <c r="EH440" s="106"/>
      <c r="EI440" s="106"/>
      <c r="EJ440" s="106"/>
      <c r="EK440" s="106"/>
      <c r="EL440" s="106"/>
      <c r="EM440" s="106"/>
      <c r="EN440" s="106"/>
      <c r="EO440" s="106"/>
      <c r="EP440" s="106"/>
      <c r="EQ440" s="106"/>
      <c r="ER440" s="106"/>
      <c r="ES440" s="106"/>
      <c r="ET440" s="106"/>
      <c r="EU440" s="106"/>
      <c r="EV440" s="106"/>
      <c r="EW440" s="106"/>
      <c r="EX440" s="106"/>
      <c r="EY440" s="106"/>
      <c r="EZ440" s="106"/>
      <c r="FA440" s="106"/>
      <c r="FB440" s="106"/>
      <c r="FC440" s="106"/>
      <c r="FD440" s="106"/>
      <c r="FE440" s="106"/>
      <c r="FF440" s="106"/>
      <c r="FG440" s="106"/>
      <c r="FH440" s="106"/>
      <c r="FI440" s="106"/>
      <c r="FJ440" s="106"/>
      <c r="FK440" s="106"/>
      <c r="FL440" s="106"/>
      <c r="FM440" s="106"/>
      <c r="FN440" s="106"/>
      <c r="FO440" s="106"/>
      <c r="FP440" s="106"/>
      <c r="FQ440" s="106"/>
      <c r="FR440" s="106"/>
      <c r="FS440" s="106"/>
      <c r="FT440" s="106"/>
      <c r="FU440" s="106"/>
      <c r="FV440" s="106"/>
      <c r="FW440" s="106"/>
      <c r="FX440" s="106"/>
      <c r="FY440" s="106"/>
      <c r="FZ440" s="106"/>
      <c r="GA440" s="106"/>
      <c r="GB440" s="106"/>
      <c r="GC440" s="106"/>
      <c r="GD440" s="106"/>
      <c r="GE440" s="106"/>
      <c r="GF440" s="106"/>
      <c r="GG440" s="106"/>
      <c r="GH440" s="106"/>
      <c r="GI440" s="106"/>
      <c r="GJ440" s="106"/>
    </row>
    <row r="441" spans="3:192" ht="12.75" customHeight="1">
      <c r="C441" s="221"/>
      <c r="D441" s="221"/>
      <c r="E441" s="221"/>
      <c r="F441" s="221"/>
      <c r="G441" s="221"/>
      <c r="H441" s="221"/>
      <c r="I441" s="221"/>
      <c r="J441" s="221"/>
      <c r="K441" s="221"/>
      <c r="L441" s="221"/>
      <c r="M441" s="221"/>
      <c r="N441" s="221"/>
      <c r="O441" s="221"/>
      <c r="P441" s="221"/>
      <c r="Q441" s="221"/>
      <c r="R441" s="221"/>
      <c r="S441" s="221"/>
      <c r="T441" s="221"/>
      <c r="U441" s="221"/>
      <c r="V441" s="221"/>
      <c r="W441" s="221"/>
      <c r="X441" s="221"/>
      <c r="Y441" s="221"/>
      <c r="Z441" s="221"/>
      <c r="AA441" s="221"/>
      <c r="AB441" s="221"/>
      <c r="AC441" s="221"/>
      <c r="AD441" s="221"/>
      <c r="AE441" s="221"/>
      <c r="AF441" s="221"/>
      <c r="AG441" s="221"/>
      <c r="AH441" s="221"/>
      <c r="AI441" s="221"/>
      <c r="AJ441" s="221"/>
      <c r="AK441" s="221"/>
      <c r="AL441" s="221"/>
      <c r="AM441" s="221"/>
      <c r="AN441" s="221"/>
      <c r="AO441" s="221"/>
      <c r="AP441" s="221"/>
      <c r="AQ441" s="221"/>
      <c r="AR441" s="221"/>
      <c r="AS441" s="221"/>
      <c r="AT441" s="221"/>
      <c r="AU441" s="221"/>
      <c r="AV441" s="221"/>
      <c r="AW441" s="221"/>
      <c r="AX441" s="221"/>
      <c r="AY441" s="221"/>
      <c r="AZ441" s="221"/>
      <c r="BA441" s="221"/>
      <c r="BB441" s="221"/>
      <c r="BC441" s="221"/>
      <c r="BD441" s="221"/>
      <c r="BE441" s="221"/>
      <c r="BF441" s="221"/>
      <c r="BG441" s="221"/>
      <c r="BH441" s="221"/>
      <c r="BI441" s="221"/>
      <c r="BJ441" s="221"/>
      <c r="BK441" s="221"/>
      <c r="BL441" s="221"/>
      <c r="BM441" s="221"/>
      <c r="BN441" s="221"/>
      <c r="BO441" s="221"/>
      <c r="BP441" s="221"/>
      <c r="BQ441" s="221"/>
      <c r="BR441" s="221"/>
      <c r="BS441" s="221"/>
      <c r="BT441" s="221"/>
      <c r="BU441" s="221"/>
      <c r="BV441" s="221"/>
      <c r="BW441" s="221"/>
      <c r="BX441" s="221"/>
      <c r="BY441" s="221"/>
      <c r="BZ441" s="221"/>
      <c r="CA441" s="221"/>
      <c r="CB441" s="221"/>
      <c r="CC441" s="221"/>
      <c r="CD441" s="221"/>
      <c r="CE441" s="221"/>
      <c r="CF441" s="221"/>
      <c r="CG441" s="221"/>
      <c r="CH441" s="221"/>
      <c r="CI441" s="221"/>
      <c r="CJ441" s="221"/>
      <c r="CK441" s="221"/>
      <c r="CL441" s="221"/>
      <c r="CM441" s="221"/>
      <c r="CN441" s="221"/>
      <c r="CO441" s="221"/>
      <c r="CP441" s="221"/>
      <c r="CQ441" s="221"/>
      <c r="CR441" s="221"/>
      <c r="CS441" s="221"/>
      <c r="CT441" s="221"/>
      <c r="CU441" s="221"/>
      <c r="CV441" s="221"/>
      <c r="CW441" s="221"/>
      <c r="CX441" s="221"/>
      <c r="CY441" s="221"/>
      <c r="CZ441" s="221"/>
      <c r="DA441" s="221"/>
      <c r="DB441" s="221"/>
      <c r="DC441" s="221"/>
      <c r="DD441" s="221"/>
      <c r="DE441" s="221"/>
      <c r="DF441" s="221"/>
      <c r="DG441" s="221"/>
      <c r="DH441" s="221"/>
      <c r="DI441" s="221"/>
      <c r="DJ441" s="221"/>
      <c r="DK441" s="221"/>
      <c r="DL441" s="221"/>
      <c r="DM441" s="221"/>
      <c r="DN441" s="221"/>
      <c r="DO441" s="221"/>
      <c r="DP441" s="221"/>
      <c r="DQ441" s="221"/>
      <c r="DR441" s="221"/>
      <c r="DS441" s="221"/>
      <c r="DT441" s="221"/>
      <c r="DU441" s="221"/>
      <c r="DV441" s="221"/>
      <c r="DW441" s="221"/>
      <c r="DX441" s="221"/>
      <c r="DY441" s="221"/>
      <c r="DZ441" s="221"/>
      <c r="EA441" s="221"/>
      <c r="EB441" s="221"/>
      <c r="EC441" s="221"/>
      <c r="ED441" s="221"/>
      <c r="EE441" s="221"/>
      <c r="EF441" s="221"/>
      <c r="EG441" s="221"/>
      <c r="EH441" s="221"/>
      <c r="EI441" s="221"/>
      <c r="EJ441" s="221"/>
      <c r="EK441" s="221"/>
      <c r="EL441" s="221"/>
      <c r="EM441" s="221"/>
      <c r="EN441" s="221"/>
      <c r="EO441" s="221"/>
      <c r="EP441" s="221"/>
      <c r="EQ441" s="221"/>
      <c r="ER441" s="221"/>
      <c r="ES441" s="221"/>
      <c r="ET441" s="221"/>
      <c r="EU441" s="221"/>
      <c r="EV441" s="221"/>
      <c r="EW441" s="221"/>
      <c r="EX441" s="221"/>
      <c r="EY441" s="221"/>
      <c r="EZ441" s="221"/>
      <c r="FA441" s="221"/>
      <c r="FB441" s="221"/>
      <c r="FC441" s="221"/>
      <c r="FD441" s="221"/>
      <c r="FE441" s="221"/>
      <c r="FF441" s="221"/>
      <c r="FG441" s="221"/>
      <c r="FH441" s="221"/>
      <c r="FI441" s="221"/>
      <c r="FJ441" s="221"/>
      <c r="FK441" s="221"/>
      <c r="FL441" s="221"/>
      <c r="FM441" s="221"/>
      <c r="FN441" s="221"/>
      <c r="FO441" s="221"/>
      <c r="FP441" s="221"/>
      <c r="FQ441" s="221"/>
      <c r="FR441" s="221"/>
      <c r="FS441" s="221"/>
      <c r="FT441" s="221"/>
      <c r="FU441" s="221"/>
      <c r="FV441" s="221"/>
      <c r="FW441" s="221"/>
      <c r="FX441" s="221"/>
      <c r="FY441" s="221"/>
      <c r="FZ441" s="221"/>
      <c r="GA441" s="221"/>
      <c r="GB441" s="221"/>
      <c r="GC441" s="221"/>
      <c r="GD441" s="221"/>
      <c r="GE441" s="221"/>
      <c r="GF441" s="221"/>
      <c r="GG441" s="221"/>
      <c r="GH441" s="221"/>
      <c r="GI441" s="221"/>
      <c r="GJ441" s="221"/>
    </row>
    <row r="442" spans="3:192" ht="12.75" customHeight="1">
      <c r="C442" s="222"/>
      <c r="D442" s="222"/>
      <c r="E442" s="222"/>
      <c r="F442" s="222"/>
      <c r="G442" s="222"/>
      <c r="H442" s="222"/>
      <c r="I442" s="222"/>
      <c r="J442" s="222"/>
      <c r="K442" s="222"/>
      <c r="L442" s="222"/>
      <c r="M442" s="222"/>
      <c r="N442" s="222"/>
      <c r="O442" s="222"/>
      <c r="P442" s="222"/>
      <c r="Q442" s="222"/>
      <c r="R442" s="222"/>
      <c r="S442" s="222"/>
      <c r="T442" s="222"/>
      <c r="U442" s="222"/>
      <c r="V442" s="222"/>
      <c r="W442" s="222"/>
      <c r="X442" s="222"/>
      <c r="Y442" s="222"/>
      <c r="Z442" s="222"/>
      <c r="AA442" s="222"/>
      <c r="AB442" s="222"/>
      <c r="AC442" s="222"/>
      <c r="AD442" s="222"/>
      <c r="AE442" s="222"/>
      <c r="AF442" s="222"/>
      <c r="AG442" s="222"/>
      <c r="AH442" s="222"/>
      <c r="AI442" s="222"/>
      <c r="AJ442" s="222"/>
      <c r="AK442" s="222"/>
      <c r="AL442" s="222"/>
      <c r="AM442" s="222"/>
      <c r="AN442" s="222"/>
      <c r="AO442" s="222"/>
      <c r="AP442" s="222"/>
      <c r="AQ442" s="222"/>
      <c r="AR442" s="222"/>
      <c r="AS442" s="222"/>
      <c r="AT442" s="222"/>
      <c r="AU442" s="222"/>
      <c r="AV442" s="222"/>
      <c r="AW442" s="222"/>
      <c r="AX442" s="222"/>
      <c r="AY442" s="222"/>
      <c r="AZ442" s="222"/>
      <c r="BA442" s="222"/>
      <c r="BB442" s="222"/>
      <c r="BC442" s="222"/>
      <c r="BD442" s="222"/>
      <c r="BE442" s="222"/>
      <c r="BF442" s="222"/>
      <c r="BG442" s="222"/>
      <c r="BH442" s="222"/>
      <c r="BI442" s="222"/>
      <c r="BJ442" s="222"/>
      <c r="BK442" s="222"/>
      <c r="BL442" s="222"/>
      <c r="BM442" s="222"/>
      <c r="BN442" s="222"/>
      <c r="BO442" s="222"/>
      <c r="BP442" s="222"/>
      <c r="BQ442" s="222"/>
      <c r="BR442" s="222"/>
      <c r="BS442" s="222"/>
      <c r="BT442" s="222"/>
      <c r="BU442" s="222"/>
      <c r="BV442" s="222"/>
      <c r="BW442" s="222"/>
      <c r="BX442" s="222"/>
      <c r="BY442" s="222"/>
      <c r="BZ442" s="222"/>
      <c r="CA442" s="222"/>
      <c r="CB442" s="222"/>
      <c r="CC442" s="222"/>
      <c r="CD442" s="222"/>
      <c r="CE442" s="222"/>
      <c r="CF442" s="222"/>
      <c r="CG442" s="222"/>
      <c r="CH442" s="222"/>
      <c r="CI442" s="222"/>
      <c r="CJ442" s="222"/>
      <c r="CK442" s="222"/>
      <c r="CL442" s="222"/>
      <c r="CM442" s="222"/>
      <c r="CN442" s="222"/>
      <c r="CO442" s="222"/>
      <c r="CP442" s="222"/>
      <c r="CQ442" s="222"/>
      <c r="CR442" s="222"/>
      <c r="CS442" s="222"/>
      <c r="CT442" s="222"/>
      <c r="CU442" s="222"/>
      <c r="CV442" s="222"/>
      <c r="CW442" s="222"/>
      <c r="CX442" s="222"/>
      <c r="CY442" s="222"/>
      <c r="CZ442" s="222"/>
      <c r="DA442" s="222"/>
      <c r="DB442" s="222"/>
      <c r="DC442" s="222"/>
      <c r="DD442" s="222"/>
      <c r="DE442" s="222"/>
      <c r="DF442" s="222"/>
      <c r="DG442" s="222"/>
      <c r="DH442" s="222"/>
      <c r="DI442" s="222"/>
      <c r="DJ442" s="222"/>
      <c r="DK442" s="222"/>
      <c r="DL442" s="222"/>
      <c r="DM442" s="222"/>
      <c r="DN442" s="222"/>
      <c r="DO442" s="222"/>
      <c r="DP442" s="222"/>
      <c r="DQ442" s="222"/>
      <c r="DR442" s="222"/>
      <c r="DS442" s="222"/>
      <c r="DT442" s="222"/>
      <c r="DU442" s="222"/>
      <c r="DV442" s="222"/>
      <c r="DW442" s="222"/>
      <c r="DX442" s="222"/>
      <c r="DY442" s="222"/>
      <c r="DZ442" s="222"/>
      <c r="EA442" s="222"/>
      <c r="EB442" s="222"/>
      <c r="EC442" s="222"/>
      <c r="ED442" s="222"/>
      <c r="EE442" s="222"/>
      <c r="EF442" s="222"/>
      <c r="EG442" s="222"/>
      <c r="EH442" s="222"/>
      <c r="EI442" s="222"/>
      <c r="EJ442" s="222"/>
      <c r="EK442" s="222"/>
      <c r="EL442" s="222"/>
      <c r="EM442" s="222"/>
      <c r="EN442" s="222"/>
      <c r="EO442" s="222"/>
      <c r="EP442" s="222"/>
      <c r="EQ442" s="222"/>
      <c r="ER442" s="222"/>
      <c r="ES442" s="222"/>
      <c r="ET442" s="222"/>
      <c r="EU442" s="222"/>
      <c r="EV442" s="222"/>
      <c r="EW442" s="222"/>
      <c r="EX442" s="222"/>
      <c r="EY442" s="222"/>
      <c r="EZ442" s="222"/>
      <c r="FA442" s="222"/>
      <c r="FB442" s="222"/>
      <c r="FC442" s="222"/>
      <c r="FD442" s="222"/>
      <c r="FE442" s="222"/>
      <c r="FF442" s="222"/>
      <c r="FG442" s="222"/>
      <c r="FH442" s="222"/>
      <c r="FI442" s="222"/>
      <c r="FJ442" s="222"/>
      <c r="FK442" s="222"/>
      <c r="FL442" s="222"/>
      <c r="FM442" s="222"/>
      <c r="FN442" s="222"/>
      <c r="FO442" s="222"/>
      <c r="FP442" s="222"/>
      <c r="FQ442" s="222"/>
      <c r="FR442" s="222"/>
      <c r="FS442" s="222"/>
      <c r="FT442" s="222"/>
      <c r="FU442" s="222"/>
      <c r="FV442" s="222"/>
      <c r="FW442" s="222"/>
      <c r="FX442" s="222"/>
      <c r="FY442" s="222"/>
      <c r="FZ442" s="222"/>
      <c r="GA442" s="222"/>
      <c r="GB442" s="222"/>
      <c r="GC442" s="222"/>
      <c r="GD442" s="222"/>
      <c r="GE442" s="222"/>
      <c r="GF442" s="222"/>
      <c r="GG442" s="222"/>
      <c r="GH442" s="222"/>
      <c r="GI442" s="222"/>
      <c r="GJ442" s="222"/>
    </row>
    <row r="443" spans="3:192" ht="12.75" customHeight="1">
      <c r="C443" s="222"/>
      <c r="D443" s="222"/>
      <c r="E443" s="222"/>
      <c r="F443" s="222"/>
      <c r="G443" s="222"/>
      <c r="H443" s="222"/>
      <c r="I443" s="222"/>
      <c r="J443" s="222"/>
      <c r="K443" s="222"/>
      <c r="L443" s="222"/>
      <c r="M443" s="222"/>
      <c r="N443" s="222"/>
      <c r="O443" s="222"/>
      <c r="P443" s="222"/>
      <c r="Q443" s="222"/>
      <c r="R443" s="222"/>
      <c r="S443" s="222"/>
      <c r="T443" s="222"/>
      <c r="U443" s="222"/>
      <c r="V443" s="222"/>
      <c r="W443" s="222"/>
      <c r="X443" s="222"/>
      <c r="Y443" s="222"/>
      <c r="Z443" s="222"/>
      <c r="AA443" s="222"/>
      <c r="AB443" s="222"/>
      <c r="AC443" s="222"/>
      <c r="AD443" s="222"/>
      <c r="AE443" s="222"/>
      <c r="AF443" s="222"/>
      <c r="AG443" s="222"/>
      <c r="AH443" s="222"/>
      <c r="AI443" s="222"/>
      <c r="AJ443" s="222"/>
      <c r="AK443" s="222"/>
      <c r="AL443" s="222"/>
      <c r="AM443" s="222"/>
      <c r="AN443" s="222"/>
      <c r="AO443" s="222"/>
      <c r="AP443" s="222"/>
      <c r="AQ443" s="222"/>
      <c r="AR443" s="222"/>
      <c r="AS443" s="222"/>
      <c r="AT443" s="222"/>
      <c r="AU443" s="222"/>
      <c r="AV443" s="222"/>
      <c r="AW443" s="222"/>
      <c r="AX443" s="222"/>
      <c r="AY443" s="222"/>
      <c r="AZ443" s="222"/>
      <c r="BA443" s="222"/>
      <c r="BB443" s="222"/>
      <c r="BC443" s="222"/>
      <c r="BD443" s="222"/>
      <c r="BE443" s="222"/>
      <c r="BF443" s="222"/>
      <c r="BG443" s="222"/>
      <c r="BH443" s="222"/>
      <c r="BI443" s="222"/>
      <c r="BJ443" s="222"/>
      <c r="BK443" s="222"/>
      <c r="BL443" s="222"/>
      <c r="BM443" s="222"/>
      <c r="BN443" s="222"/>
      <c r="BO443" s="222"/>
      <c r="BP443" s="222"/>
      <c r="BQ443" s="222"/>
      <c r="BR443" s="222"/>
      <c r="BS443" s="222"/>
      <c r="BT443" s="222"/>
      <c r="BU443" s="222"/>
      <c r="BV443" s="222"/>
      <c r="BW443" s="222"/>
      <c r="BX443" s="222"/>
      <c r="BY443" s="222"/>
      <c r="BZ443" s="222"/>
      <c r="CA443" s="222"/>
      <c r="CB443" s="222"/>
      <c r="CC443" s="222"/>
      <c r="CD443" s="222"/>
      <c r="CE443" s="222"/>
      <c r="CF443" s="222"/>
      <c r="CG443" s="222"/>
      <c r="CH443" s="222"/>
      <c r="CI443" s="222"/>
      <c r="CJ443" s="222"/>
      <c r="CK443" s="222"/>
      <c r="CL443" s="222"/>
      <c r="CM443" s="222"/>
      <c r="CN443" s="222"/>
      <c r="CO443" s="222"/>
      <c r="CP443" s="222"/>
      <c r="CQ443" s="222"/>
      <c r="CR443" s="222"/>
      <c r="CS443" s="222"/>
      <c r="CT443" s="222"/>
      <c r="CU443" s="222"/>
      <c r="CV443" s="222"/>
      <c r="CW443" s="222"/>
      <c r="CX443" s="222"/>
      <c r="CY443" s="222"/>
      <c r="CZ443" s="222"/>
      <c r="DA443" s="222"/>
      <c r="DB443" s="222"/>
      <c r="DC443" s="222"/>
      <c r="DD443" s="222"/>
      <c r="DE443" s="222"/>
      <c r="DF443" s="222"/>
      <c r="DG443" s="222"/>
      <c r="DH443" s="222"/>
      <c r="DI443" s="222"/>
      <c r="DJ443" s="222"/>
      <c r="DK443" s="222"/>
      <c r="DL443" s="222"/>
      <c r="DM443" s="222"/>
      <c r="DN443" s="222"/>
      <c r="DO443" s="222"/>
      <c r="DP443" s="222"/>
      <c r="DQ443" s="222"/>
      <c r="DR443" s="222"/>
      <c r="DS443" s="222"/>
      <c r="DT443" s="222"/>
      <c r="DU443" s="222"/>
      <c r="DV443" s="222"/>
      <c r="DW443" s="222"/>
      <c r="DX443" s="222"/>
      <c r="DY443" s="222"/>
      <c r="DZ443" s="222"/>
      <c r="EA443" s="222"/>
      <c r="EB443" s="222"/>
      <c r="EC443" s="222"/>
      <c r="ED443" s="222"/>
      <c r="EE443" s="222"/>
      <c r="EF443" s="222"/>
      <c r="EG443" s="222"/>
      <c r="EH443" s="222"/>
      <c r="EI443" s="222"/>
      <c r="EJ443" s="222"/>
      <c r="EK443" s="222"/>
      <c r="EL443" s="222"/>
      <c r="EM443" s="222"/>
      <c r="EN443" s="222"/>
      <c r="EO443" s="222"/>
      <c r="EP443" s="222"/>
      <c r="EQ443" s="222"/>
      <c r="ER443" s="222"/>
      <c r="ES443" s="222"/>
      <c r="ET443" s="222"/>
      <c r="EU443" s="222"/>
      <c r="EV443" s="222"/>
      <c r="EW443" s="222"/>
      <c r="EX443" s="222"/>
      <c r="EY443" s="222"/>
      <c r="EZ443" s="222"/>
      <c r="FA443" s="222"/>
      <c r="FB443" s="222"/>
      <c r="FC443" s="222"/>
      <c r="FD443" s="222"/>
      <c r="FE443" s="222"/>
      <c r="FF443" s="222"/>
      <c r="FG443" s="222"/>
      <c r="FH443" s="222"/>
      <c r="FI443" s="222"/>
      <c r="FJ443" s="222"/>
      <c r="FK443" s="222"/>
      <c r="FL443" s="222"/>
      <c r="FM443" s="222"/>
      <c r="FN443" s="222"/>
      <c r="FO443" s="222"/>
      <c r="FP443" s="222"/>
      <c r="FQ443" s="222"/>
      <c r="FR443" s="222"/>
      <c r="FS443" s="222"/>
      <c r="FT443" s="222"/>
      <c r="FU443" s="222"/>
      <c r="FV443" s="222"/>
      <c r="FW443" s="222"/>
      <c r="FX443" s="222"/>
      <c r="FY443" s="222"/>
      <c r="FZ443" s="222"/>
      <c r="GA443" s="222"/>
      <c r="GB443" s="222"/>
      <c r="GC443" s="222"/>
      <c r="GD443" s="222"/>
      <c r="GE443" s="222"/>
      <c r="GF443" s="222"/>
      <c r="GG443" s="222"/>
      <c r="GH443" s="222"/>
      <c r="GI443" s="222"/>
      <c r="GJ443" s="222"/>
    </row>
    <row r="444" spans="3:192" ht="12.75" customHeight="1">
      <c r="C444" s="222"/>
      <c r="D444" s="222"/>
      <c r="E444" s="222"/>
      <c r="F444" s="222"/>
      <c r="G444" s="222"/>
      <c r="H444" s="222"/>
      <c r="I444" s="222"/>
      <c r="J444" s="222"/>
      <c r="K444" s="222"/>
      <c r="L444" s="222"/>
      <c r="M444" s="222"/>
      <c r="N444" s="222"/>
      <c r="O444" s="222"/>
      <c r="P444" s="222"/>
      <c r="Q444" s="222"/>
      <c r="R444" s="222"/>
      <c r="S444" s="222"/>
      <c r="T444" s="222"/>
      <c r="U444" s="222"/>
      <c r="V444" s="222"/>
      <c r="W444" s="222"/>
      <c r="X444" s="222"/>
      <c r="Y444" s="222"/>
      <c r="Z444" s="222"/>
      <c r="AA444" s="222"/>
      <c r="AB444" s="222"/>
      <c r="AC444" s="222"/>
      <c r="AD444" s="222"/>
      <c r="AE444" s="222"/>
      <c r="AF444" s="222"/>
      <c r="AG444" s="222"/>
      <c r="AH444" s="222"/>
      <c r="AI444" s="222"/>
      <c r="AJ444" s="222"/>
      <c r="AK444" s="222"/>
      <c r="AL444" s="222"/>
      <c r="AM444" s="222"/>
      <c r="AN444" s="222"/>
      <c r="AO444" s="222"/>
      <c r="AP444" s="222"/>
      <c r="AQ444" s="222"/>
      <c r="AR444" s="222"/>
      <c r="AS444" s="222"/>
      <c r="AT444" s="222"/>
      <c r="AU444" s="222"/>
      <c r="AV444" s="222"/>
      <c r="AW444" s="222"/>
      <c r="AX444" s="222"/>
      <c r="AY444" s="222"/>
      <c r="AZ444" s="222"/>
      <c r="BA444" s="222"/>
      <c r="BB444" s="222"/>
      <c r="BC444" s="222"/>
      <c r="BD444" s="222"/>
      <c r="BE444" s="222"/>
      <c r="BF444" s="222"/>
      <c r="BG444" s="222"/>
      <c r="BH444" s="222"/>
      <c r="BI444" s="222"/>
      <c r="BJ444" s="222"/>
      <c r="BK444" s="222"/>
      <c r="BL444" s="222"/>
      <c r="BM444" s="222"/>
      <c r="BN444" s="222"/>
      <c r="BO444" s="222"/>
      <c r="BP444" s="222"/>
      <c r="BQ444" s="222"/>
      <c r="BR444" s="222"/>
      <c r="BS444" s="222"/>
      <c r="BT444" s="222"/>
      <c r="BU444" s="222"/>
      <c r="BV444" s="222"/>
      <c r="BW444" s="222"/>
      <c r="BX444" s="222"/>
      <c r="BY444" s="222"/>
      <c r="BZ444" s="222"/>
      <c r="CA444" s="222"/>
      <c r="CB444" s="222"/>
      <c r="CC444" s="222"/>
      <c r="CD444" s="222"/>
      <c r="CE444" s="222"/>
      <c r="CF444" s="222"/>
      <c r="CG444" s="222"/>
      <c r="CH444" s="222"/>
      <c r="CI444" s="222"/>
      <c r="CJ444" s="222"/>
      <c r="CK444" s="222"/>
      <c r="CL444" s="222"/>
      <c r="CM444" s="222"/>
      <c r="CN444" s="222"/>
      <c r="CO444" s="222"/>
      <c r="CP444" s="222"/>
      <c r="CQ444" s="222"/>
      <c r="CR444" s="222"/>
      <c r="CS444" s="222"/>
      <c r="CT444" s="222"/>
      <c r="CU444" s="222"/>
      <c r="CV444" s="222"/>
      <c r="CW444" s="222"/>
      <c r="CX444" s="222"/>
      <c r="CY444" s="222"/>
      <c r="CZ444" s="222"/>
      <c r="DA444" s="222"/>
      <c r="DB444" s="222"/>
      <c r="DC444" s="222"/>
      <c r="DD444" s="222"/>
      <c r="DE444" s="222"/>
      <c r="DF444" s="222"/>
      <c r="DG444" s="222"/>
      <c r="DH444" s="222"/>
      <c r="DI444" s="222"/>
      <c r="DJ444" s="222"/>
      <c r="DK444" s="222"/>
      <c r="DL444" s="222"/>
      <c r="DM444" s="222"/>
      <c r="DN444" s="222"/>
      <c r="DO444" s="222"/>
      <c r="DP444" s="222"/>
      <c r="DQ444" s="222"/>
      <c r="DR444" s="222"/>
      <c r="DS444" s="222"/>
      <c r="DT444" s="222"/>
      <c r="DU444" s="222"/>
      <c r="DV444" s="222"/>
      <c r="DW444" s="222"/>
      <c r="DX444" s="222"/>
      <c r="DY444" s="222"/>
      <c r="DZ444" s="222"/>
      <c r="EA444" s="222"/>
      <c r="EB444" s="222"/>
      <c r="EC444" s="222"/>
      <c r="ED444" s="222"/>
      <c r="EE444" s="222"/>
      <c r="EF444" s="222"/>
      <c r="EG444" s="222"/>
      <c r="EH444" s="222"/>
      <c r="EI444" s="222"/>
      <c r="EJ444" s="222"/>
      <c r="EK444" s="222"/>
      <c r="EL444" s="222"/>
      <c r="EM444" s="222"/>
      <c r="EN444" s="222"/>
      <c r="EO444" s="222"/>
      <c r="EP444" s="222"/>
      <c r="EQ444" s="222"/>
      <c r="ER444" s="222"/>
      <c r="ES444" s="222"/>
      <c r="ET444" s="222"/>
      <c r="EU444" s="222"/>
      <c r="EV444" s="222"/>
      <c r="EW444" s="222"/>
      <c r="EX444" s="222"/>
      <c r="EY444" s="222"/>
      <c r="EZ444" s="222"/>
      <c r="FA444" s="222"/>
      <c r="FB444" s="222"/>
      <c r="FC444" s="222"/>
      <c r="FD444" s="222"/>
      <c r="FE444" s="222"/>
      <c r="FF444" s="222"/>
      <c r="FG444" s="222"/>
      <c r="FH444" s="222"/>
      <c r="FI444" s="222"/>
      <c r="FJ444" s="222"/>
      <c r="FK444" s="222"/>
      <c r="FL444" s="222"/>
      <c r="FM444" s="222"/>
      <c r="FN444" s="222"/>
      <c r="FO444" s="222"/>
      <c r="FP444" s="222"/>
      <c r="FQ444" s="222"/>
      <c r="FR444" s="222"/>
      <c r="FS444" s="222"/>
      <c r="FT444" s="222"/>
      <c r="FU444" s="222"/>
      <c r="FV444" s="222"/>
      <c r="FW444" s="222"/>
      <c r="FX444" s="222"/>
      <c r="FY444" s="222"/>
      <c r="FZ444" s="222"/>
      <c r="GA444" s="222"/>
      <c r="GB444" s="222"/>
      <c r="GC444" s="222"/>
      <c r="GD444" s="222"/>
      <c r="GE444" s="222"/>
      <c r="GF444" s="222"/>
      <c r="GG444" s="222"/>
      <c r="GH444" s="222"/>
      <c r="GI444" s="222"/>
      <c r="GJ444" s="222"/>
    </row>
    <row r="445" spans="3:192" ht="12.75" customHeight="1">
      <c r="C445" s="223"/>
      <c r="D445" s="224"/>
      <c r="E445" s="224"/>
      <c r="F445" s="224"/>
      <c r="G445" s="224"/>
      <c r="H445" s="223"/>
      <c r="I445" s="224"/>
      <c r="J445" s="224"/>
      <c r="K445" s="224"/>
      <c r="L445" s="224"/>
      <c r="M445" s="223"/>
      <c r="N445" s="224"/>
      <c r="O445" s="224"/>
      <c r="P445" s="224"/>
      <c r="Q445" s="224"/>
      <c r="R445" s="223"/>
      <c r="S445" s="224"/>
      <c r="T445" s="224"/>
      <c r="U445" s="224"/>
      <c r="V445" s="224"/>
      <c r="W445" s="223"/>
      <c r="X445" s="224"/>
      <c r="Y445" s="224"/>
      <c r="Z445" s="224"/>
      <c r="AA445" s="224"/>
      <c r="AB445" s="223"/>
      <c r="AC445" s="224"/>
      <c r="AD445" s="224"/>
      <c r="AE445" s="224"/>
      <c r="AF445" s="224"/>
      <c r="AG445" s="223"/>
      <c r="AH445" s="224"/>
      <c r="AI445" s="224"/>
      <c r="AJ445" s="224"/>
      <c r="AK445" s="224"/>
      <c r="AL445" s="223"/>
      <c r="AM445" s="224"/>
      <c r="AN445" s="224"/>
      <c r="AO445" s="224"/>
      <c r="AP445" s="224"/>
      <c r="AQ445" s="223"/>
      <c r="AR445" s="224"/>
      <c r="AS445" s="224"/>
      <c r="AT445" s="224"/>
      <c r="AU445" s="224"/>
      <c r="AV445" s="223"/>
      <c r="AW445" s="224"/>
      <c r="AX445" s="224"/>
      <c r="AY445" s="224"/>
      <c r="AZ445" s="224"/>
      <c r="BA445" s="223"/>
      <c r="BB445" s="224"/>
      <c r="BC445" s="224"/>
      <c r="BD445" s="224"/>
      <c r="BE445" s="224"/>
      <c r="BF445" s="223"/>
      <c r="BG445" s="224"/>
      <c r="BH445" s="224"/>
      <c r="BI445" s="224"/>
      <c r="BJ445" s="224"/>
      <c r="BK445" s="223"/>
      <c r="BL445" s="224"/>
      <c r="BM445" s="224"/>
      <c r="BN445" s="224"/>
      <c r="BO445" s="224"/>
      <c r="BP445" s="223"/>
      <c r="BQ445" s="224"/>
      <c r="BR445" s="224"/>
      <c r="BS445" s="224"/>
      <c r="BT445" s="224"/>
      <c r="BU445" s="223"/>
      <c r="BV445" s="224"/>
      <c r="BW445" s="224"/>
      <c r="BX445" s="224"/>
      <c r="BY445" s="224"/>
      <c r="BZ445" s="223"/>
      <c r="CA445" s="224"/>
      <c r="CB445" s="224"/>
      <c r="CC445" s="224"/>
      <c r="CD445" s="224"/>
      <c r="CE445" s="223"/>
      <c r="CF445" s="224"/>
      <c r="CG445" s="224"/>
      <c r="CH445" s="224"/>
      <c r="CI445" s="224"/>
      <c r="CJ445" s="223"/>
      <c r="CK445" s="224"/>
      <c r="CL445" s="224"/>
      <c r="CM445" s="224"/>
      <c r="CN445" s="224"/>
      <c r="CO445" s="223"/>
      <c r="CP445" s="224"/>
      <c r="CQ445" s="224"/>
      <c r="CR445" s="224"/>
      <c r="CS445" s="224"/>
      <c r="CT445" s="223"/>
      <c r="CU445" s="224"/>
      <c r="CV445" s="224"/>
      <c r="CW445" s="224"/>
      <c r="CX445" s="224"/>
      <c r="CY445" s="223"/>
      <c r="CZ445" s="224"/>
      <c r="DA445" s="224"/>
      <c r="DB445" s="224"/>
      <c r="DC445" s="224"/>
      <c r="DD445" s="223"/>
      <c r="DE445" s="224"/>
      <c r="DF445" s="224"/>
      <c r="DG445" s="224"/>
      <c r="DH445" s="224"/>
      <c r="DI445" s="223"/>
      <c r="DJ445" s="224"/>
      <c r="DK445" s="224"/>
      <c r="DL445" s="224"/>
      <c r="DM445" s="224"/>
      <c r="DN445" s="223"/>
      <c r="DO445" s="224"/>
      <c r="DP445" s="224"/>
      <c r="DQ445" s="224"/>
      <c r="DR445" s="224"/>
      <c r="DS445" s="223"/>
      <c r="DT445" s="224"/>
      <c r="DU445" s="224"/>
      <c r="DV445" s="224"/>
      <c r="DW445" s="224"/>
      <c r="DX445" s="223"/>
      <c r="DY445" s="224"/>
      <c r="DZ445" s="224"/>
      <c r="EA445" s="224"/>
      <c r="EB445" s="224"/>
      <c r="EC445" s="223"/>
      <c r="ED445" s="224"/>
      <c r="EE445" s="224"/>
      <c r="EF445" s="224"/>
      <c r="EG445" s="224"/>
      <c r="EH445" s="223"/>
      <c r="EI445" s="224"/>
      <c r="EJ445" s="224"/>
      <c r="EK445" s="224"/>
      <c r="EL445" s="224"/>
      <c r="EM445" s="223"/>
      <c r="EN445" s="224"/>
      <c r="EO445" s="224"/>
      <c r="EP445" s="224"/>
      <c r="EQ445" s="224"/>
      <c r="ER445" s="223"/>
      <c r="ES445" s="224"/>
      <c r="ET445" s="224"/>
      <c r="EU445" s="224"/>
      <c r="EV445" s="224"/>
      <c r="EW445" s="223"/>
      <c r="EX445" s="224"/>
      <c r="EY445" s="224"/>
      <c r="EZ445" s="224"/>
      <c r="FA445" s="224"/>
      <c r="FB445" s="223"/>
      <c r="FC445" s="224"/>
      <c r="FD445" s="224"/>
      <c r="FE445" s="224"/>
      <c r="FF445" s="224"/>
      <c r="FG445" s="223"/>
      <c r="FH445" s="224"/>
      <c r="FI445" s="224"/>
      <c r="FJ445" s="224"/>
      <c r="FK445" s="224"/>
      <c r="FL445" s="223"/>
      <c r="FM445" s="224"/>
      <c r="FN445" s="224"/>
      <c r="FO445" s="224"/>
      <c r="FP445" s="224"/>
      <c r="FQ445" s="223"/>
      <c r="FR445" s="224"/>
      <c r="FS445" s="224"/>
      <c r="FT445" s="224"/>
      <c r="FU445" s="224"/>
      <c r="FV445" s="223"/>
      <c r="FW445" s="224"/>
      <c r="FX445" s="224"/>
      <c r="FY445" s="224"/>
      <c r="FZ445" s="224"/>
      <c r="GA445" s="223"/>
      <c r="GB445" s="224"/>
      <c r="GC445" s="224"/>
      <c r="GD445" s="224"/>
      <c r="GE445" s="224"/>
      <c r="GF445" s="223"/>
      <c r="GG445" s="224"/>
      <c r="GH445" s="224"/>
      <c r="GI445" s="224"/>
      <c r="GJ445" s="224"/>
    </row>
    <row r="446" spans="3:192" ht="12.75" customHeight="1">
      <c r="C446" s="223"/>
      <c r="D446" s="224"/>
      <c r="E446" s="224"/>
      <c r="F446" s="224"/>
      <c r="G446" s="224"/>
      <c r="H446" s="223"/>
      <c r="I446" s="224"/>
      <c r="J446" s="224"/>
      <c r="K446" s="224"/>
      <c r="L446" s="224"/>
      <c r="M446" s="223"/>
      <c r="N446" s="224"/>
      <c r="O446" s="224"/>
      <c r="P446" s="224"/>
      <c r="Q446" s="224"/>
      <c r="R446" s="223"/>
      <c r="S446" s="224"/>
      <c r="T446" s="224"/>
      <c r="U446" s="224"/>
      <c r="V446" s="224"/>
      <c r="W446" s="223"/>
      <c r="X446" s="224"/>
      <c r="Y446" s="224"/>
      <c r="Z446" s="224"/>
      <c r="AA446" s="224"/>
      <c r="AB446" s="223"/>
      <c r="AC446" s="224"/>
      <c r="AD446" s="224"/>
      <c r="AE446" s="224"/>
      <c r="AF446" s="224"/>
      <c r="AG446" s="223"/>
      <c r="AH446" s="224"/>
      <c r="AI446" s="224"/>
      <c r="AJ446" s="224"/>
      <c r="AK446" s="224"/>
      <c r="AL446" s="223"/>
      <c r="AM446" s="224"/>
      <c r="AN446" s="224"/>
      <c r="AO446" s="224"/>
      <c r="AP446" s="224"/>
      <c r="AQ446" s="223"/>
      <c r="AR446" s="224"/>
      <c r="AS446" s="224"/>
      <c r="AT446" s="224"/>
      <c r="AU446" s="224"/>
      <c r="AV446" s="223"/>
      <c r="AW446" s="224"/>
      <c r="AX446" s="224"/>
      <c r="AY446" s="224"/>
      <c r="AZ446" s="224"/>
      <c r="BA446" s="223"/>
      <c r="BB446" s="224"/>
      <c r="BC446" s="224"/>
      <c r="BD446" s="224"/>
      <c r="BE446" s="224"/>
      <c r="BF446" s="223"/>
      <c r="BG446" s="224"/>
      <c r="BH446" s="224"/>
      <c r="BI446" s="224"/>
      <c r="BJ446" s="224"/>
      <c r="BK446" s="223"/>
      <c r="BL446" s="224"/>
      <c r="BM446" s="224"/>
      <c r="BN446" s="224"/>
      <c r="BO446" s="224"/>
      <c r="BP446" s="223"/>
      <c r="BQ446" s="224"/>
      <c r="BR446" s="224"/>
      <c r="BS446" s="224"/>
      <c r="BT446" s="224"/>
      <c r="BU446" s="223"/>
      <c r="BV446" s="224"/>
      <c r="BW446" s="224"/>
      <c r="BX446" s="224"/>
      <c r="BY446" s="224"/>
      <c r="BZ446" s="223"/>
      <c r="CA446" s="224"/>
      <c r="CB446" s="224"/>
      <c r="CC446" s="224"/>
      <c r="CD446" s="224"/>
      <c r="CE446" s="223"/>
      <c r="CF446" s="224"/>
      <c r="CG446" s="224"/>
      <c r="CH446" s="224"/>
      <c r="CI446" s="224"/>
      <c r="CJ446" s="223"/>
      <c r="CK446" s="224"/>
      <c r="CL446" s="224"/>
      <c r="CM446" s="224"/>
      <c r="CN446" s="224"/>
      <c r="CO446" s="223"/>
      <c r="CP446" s="224"/>
      <c r="CQ446" s="224"/>
      <c r="CR446" s="224"/>
      <c r="CS446" s="224"/>
      <c r="CT446" s="223"/>
      <c r="CU446" s="224"/>
      <c r="CV446" s="224"/>
      <c r="CW446" s="224"/>
      <c r="CX446" s="224"/>
      <c r="CY446" s="223"/>
      <c r="CZ446" s="224"/>
      <c r="DA446" s="224"/>
      <c r="DB446" s="224"/>
      <c r="DC446" s="224"/>
      <c r="DD446" s="223"/>
      <c r="DE446" s="224"/>
      <c r="DF446" s="224"/>
      <c r="DG446" s="224"/>
      <c r="DH446" s="224"/>
      <c r="DI446" s="223"/>
      <c r="DJ446" s="224"/>
      <c r="DK446" s="224"/>
      <c r="DL446" s="224"/>
      <c r="DM446" s="224"/>
      <c r="DN446" s="223"/>
      <c r="DO446" s="224"/>
      <c r="DP446" s="224"/>
      <c r="DQ446" s="224"/>
      <c r="DR446" s="224"/>
      <c r="DS446" s="223"/>
      <c r="DT446" s="224"/>
      <c r="DU446" s="224"/>
      <c r="DV446" s="224"/>
      <c r="DW446" s="224"/>
      <c r="DX446" s="223"/>
      <c r="DY446" s="224"/>
      <c r="DZ446" s="224"/>
      <c r="EA446" s="224"/>
      <c r="EB446" s="224"/>
      <c r="EC446" s="223"/>
      <c r="ED446" s="224"/>
      <c r="EE446" s="224"/>
      <c r="EF446" s="224"/>
      <c r="EG446" s="224"/>
      <c r="EH446" s="223"/>
      <c r="EI446" s="224"/>
      <c r="EJ446" s="224"/>
      <c r="EK446" s="224"/>
      <c r="EL446" s="224"/>
      <c r="EM446" s="223"/>
      <c r="EN446" s="224"/>
      <c r="EO446" s="224"/>
      <c r="EP446" s="224"/>
      <c r="EQ446" s="224"/>
      <c r="ER446" s="223"/>
      <c r="ES446" s="224"/>
      <c r="ET446" s="224"/>
      <c r="EU446" s="224"/>
      <c r="EV446" s="224"/>
      <c r="EW446" s="223"/>
      <c r="EX446" s="224"/>
      <c r="EY446" s="224"/>
      <c r="EZ446" s="224"/>
      <c r="FA446" s="224"/>
      <c r="FB446" s="223"/>
      <c r="FC446" s="224"/>
      <c r="FD446" s="224"/>
      <c r="FE446" s="224"/>
      <c r="FF446" s="224"/>
      <c r="FG446" s="223"/>
      <c r="FH446" s="224"/>
      <c r="FI446" s="224"/>
      <c r="FJ446" s="224"/>
      <c r="FK446" s="224"/>
      <c r="FL446" s="223"/>
      <c r="FM446" s="224"/>
      <c r="FN446" s="224"/>
      <c r="FO446" s="224"/>
      <c r="FP446" s="224"/>
      <c r="FQ446" s="223"/>
      <c r="FR446" s="224"/>
      <c r="FS446" s="224"/>
      <c r="FT446" s="224"/>
      <c r="FU446" s="224"/>
      <c r="FV446" s="223"/>
      <c r="FW446" s="224"/>
      <c r="FX446" s="224"/>
      <c r="FY446" s="224"/>
      <c r="FZ446" s="224"/>
      <c r="GA446" s="223"/>
      <c r="GB446" s="224"/>
      <c r="GC446" s="224"/>
      <c r="GD446" s="224"/>
      <c r="GE446" s="224"/>
      <c r="GF446" s="223"/>
      <c r="GG446" s="224"/>
      <c r="GH446" s="224"/>
      <c r="GI446" s="224"/>
      <c r="GJ446" s="224"/>
    </row>
    <row r="447" spans="3:192" ht="12.75" customHeight="1">
      <c r="C447" s="169"/>
      <c r="D447" s="169"/>
      <c r="E447" s="169"/>
      <c r="F447" s="169"/>
      <c r="G447" s="169"/>
      <c r="H447" s="169"/>
      <c r="I447" s="169"/>
      <c r="J447" s="169"/>
      <c r="K447" s="169"/>
      <c r="L447" s="169"/>
      <c r="M447" s="169"/>
      <c r="N447" s="169"/>
      <c r="O447" s="169"/>
      <c r="P447" s="169"/>
      <c r="Q447" s="169"/>
      <c r="R447" s="169"/>
      <c r="S447" s="169"/>
      <c r="T447" s="169"/>
      <c r="U447" s="169"/>
      <c r="V447" s="169"/>
      <c r="W447" s="169"/>
      <c r="X447" s="169"/>
      <c r="Y447" s="169"/>
      <c r="Z447" s="169"/>
      <c r="AA447" s="169"/>
      <c r="AB447" s="169"/>
      <c r="AC447" s="169"/>
      <c r="AD447" s="169"/>
      <c r="AE447" s="169"/>
      <c r="AF447" s="169"/>
      <c r="AG447" s="169"/>
      <c r="AH447" s="169"/>
      <c r="AI447" s="169"/>
      <c r="AJ447" s="169"/>
      <c r="AK447" s="169"/>
      <c r="AL447" s="169"/>
      <c r="AM447" s="169"/>
      <c r="AN447" s="169"/>
      <c r="AO447" s="169"/>
      <c r="AP447" s="169"/>
      <c r="AQ447" s="169"/>
      <c r="AR447" s="169"/>
      <c r="AS447" s="169"/>
      <c r="AT447" s="169"/>
      <c r="AU447" s="169"/>
      <c r="AV447" s="169"/>
      <c r="AW447" s="169"/>
      <c r="AX447" s="169"/>
      <c r="AY447" s="169"/>
      <c r="AZ447" s="169"/>
      <c r="BA447" s="169"/>
      <c r="BB447" s="169"/>
      <c r="BC447" s="169"/>
      <c r="BD447" s="169"/>
      <c r="BE447" s="169"/>
      <c r="BF447" s="169"/>
      <c r="BG447" s="169"/>
      <c r="BH447" s="169"/>
      <c r="BI447" s="169"/>
      <c r="BJ447" s="169"/>
      <c r="BK447" s="169"/>
      <c r="BL447" s="169"/>
      <c r="BM447" s="169"/>
      <c r="BN447" s="169"/>
      <c r="BO447" s="169"/>
      <c r="BP447" s="169"/>
      <c r="BQ447" s="169"/>
      <c r="BR447" s="169"/>
      <c r="BS447" s="169"/>
      <c r="BT447" s="169"/>
      <c r="BU447" s="169"/>
      <c r="BV447" s="169"/>
      <c r="BW447" s="169"/>
      <c r="BX447" s="169"/>
      <c r="BY447" s="169"/>
      <c r="BZ447" s="169"/>
      <c r="CA447" s="169"/>
      <c r="CB447" s="169"/>
      <c r="CC447" s="169"/>
      <c r="CD447" s="169"/>
      <c r="CE447" s="169"/>
      <c r="CF447" s="169"/>
      <c r="CG447" s="169"/>
      <c r="CH447" s="169"/>
      <c r="CI447" s="169"/>
      <c r="CJ447" s="169"/>
      <c r="CK447" s="169"/>
      <c r="CL447" s="169"/>
      <c r="CM447" s="169"/>
      <c r="CN447" s="169"/>
      <c r="CO447" s="169"/>
      <c r="CP447" s="169"/>
      <c r="CQ447" s="169"/>
      <c r="CR447" s="169"/>
      <c r="CS447" s="169"/>
      <c r="CT447" s="169"/>
      <c r="CU447" s="169"/>
      <c r="CV447" s="169"/>
      <c r="CW447" s="169"/>
      <c r="CX447" s="169"/>
      <c r="CY447" s="169"/>
      <c r="CZ447" s="169"/>
      <c r="DA447" s="169"/>
      <c r="DB447" s="169"/>
      <c r="DC447" s="169"/>
      <c r="DD447" s="169"/>
      <c r="DE447" s="169"/>
      <c r="DF447" s="169"/>
      <c r="DG447" s="169"/>
      <c r="DH447" s="169"/>
      <c r="DI447" s="169"/>
      <c r="DJ447" s="169"/>
      <c r="DK447" s="169"/>
      <c r="DL447" s="169"/>
      <c r="DM447" s="169"/>
      <c r="DN447" s="169"/>
      <c r="DO447" s="169"/>
      <c r="DP447" s="169"/>
      <c r="DQ447" s="169"/>
      <c r="DR447" s="169"/>
      <c r="DS447" s="169"/>
      <c r="DT447" s="169"/>
      <c r="DU447" s="169"/>
      <c r="DV447" s="169"/>
      <c r="DW447" s="169"/>
      <c r="DX447" s="169"/>
      <c r="DY447" s="169"/>
      <c r="DZ447" s="169"/>
      <c r="EA447" s="169"/>
      <c r="EB447" s="169"/>
      <c r="EC447" s="169"/>
      <c r="ED447" s="169"/>
      <c r="EE447" s="169"/>
      <c r="EF447" s="169"/>
      <c r="EG447" s="169"/>
      <c r="EH447" s="169"/>
      <c r="EI447" s="169"/>
      <c r="EJ447" s="169"/>
      <c r="EK447" s="169"/>
      <c r="EL447" s="169"/>
      <c r="EM447" s="169"/>
      <c r="EN447" s="169"/>
      <c r="EO447" s="169"/>
      <c r="EP447" s="169"/>
      <c r="EQ447" s="169"/>
      <c r="ER447" s="169"/>
      <c r="ES447" s="169"/>
      <c r="ET447" s="169"/>
      <c r="EU447" s="169"/>
      <c r="EV447" s="169"/>
      <c r="EW447" s="169"/>
      <c r="EX447" s="169"/>
      <c r="EY447" s="169"/>
      <c r="EZ447" s="169"/>
      <c r="FA447" s="169"/>
      <c r="FB447" s="169"/>
      <c r="FC447" s="169"/>
      <c r="FD447" s="169"/>
      <c r="FE447" s="169"/>
      <c r="FF447" s="169"/>
      <c r="FG447" s="169"/>
      <c r="FH447" s="169"/>
      <c r="FI447" s="169"/>
      <c r="FJ447" s="169"/>
      <c r="FK447" s="169"/>
      <c r="FL447" s="169"/>
      <c r="FM447" s="169"/>
      <c r="FN447" s="169"/>
      <c r="FO447" s="169"/>
      <c r="FP447" s="169"/>
      <c r="FQ447" s="169"/>
      <c r="FR447" s="169"/>
      <c r="FS447" s="169"/>
      <c r="FT447" s="169"/>
      <c r="FU447" s="169"/>
      <c r="FV447" s="169"/>
      <c r="FW447" s="169"/>
      <c r="FX447" s="169"/>
      <c r="FY447" s="169"/>
      <c r="FZ447" s="169"/>
      <c r="GA447" s="169"/>
      <c r="GB447" s="169"/>
      <c r="GC447" s="169"/>
      <c r="GD447" s="169"/>
      <c r="GE447" s="169"/>
      <c r="GF447" s="169"/>
      <c r="GG447" s="169"/>
      <c r="GH447" s="169"/>
      <c r="GI447" s="169"/>
      <c r="GJ447" s="169"/>
    </row>
    <row r="448" spans="3:192" ht="12.75" customHeight="1">
      <c r="C448" s="167"/>
      <c r="D448" s="167"/>
      <c r="E448" s="167"/>
      <c r="F448" s="167"/>
      <c r="G448" s="167"/>
      <c r="H448" s="167"/>
      <c r="I448" s="167"/>
      <c r="J448" s="167"/>
      <c r="K448" s="167"/>
      <c r="L448" s="167"/>
      <c r="M448" s="167"/>
      <c r="N448" s="167"/>
      <c r="O448" s="167"/>
      <c r="P448" s="167"/>
      <c r="Q448" s="167"/>
      <c r="R448" s="167"/>
      <c r="S448" s="167"/>
      <c r="T448" s="167"/>
      <c r="U448" s="167"/>
      <c r="V448" s="167"/>
      <c r="W448" s="167"/>
      <c r="X448" s="167"/>
      <c r="Y448" s="167"/>
      <c r="Z448" s="167"/>
      <c r="AA448" s="167"/>
      <c r="AB448" s="167"/>
      <c r="AC448" s="167"/>
      <c r="AD448" s="167"/>
      <c r="AE448" s="167"/>
      <c r="AF448" s="167"/>
      <c r="AG448" s="167"/>
      <c r="AH448" s="167"/>
      <c r="AI448" s="167"/>
      <c r="AJ448" s="167"/>
      <c r="AK448" s="167"/>
      <c r="AL448" s="167"/>
      <c r="AM448" s="167"/>
      <c r="AN448" s="167"/>
      <c r="AO448" s="167"/>
      <c r="AP448" s="167"/>
      <c r="AQ448" s="167"/>
      <c r="AR448" s="167"/>
      <c r="AS448" s="167"/>
      <c r="AT448" s="167"/>
      <c r="AU448" s="167"/>
      <c r="AV448" s="167"/>
      <c r="AW448" s="167"/>
      <c r="AX448" s="167"/>
      <c r="AY448" s="167"/>
      <c r="AZ448" s="167"/>
      <c r="BA448" s="167"/>
      <c r="BB448" s="167"/>
      <c r="BC448" s="167"/>
      <c r="BD448" s="167"/>
      <c r="BE448" s="167"/>
      <c r="BF448" s="167"/>
      <c r="BG448" s="167"/>
      <c r="BH448" s="167"/>
      <c r="BI448" s="167"/>
      <c r="BJ448" s="167"/>
      <c r="BK448" s="167"/>
      <c r="BL448" s="167"/>
      <c r="BM448" s="167"/>
      <c r="BN448" s="167"/>
      <c r="BO448" s="167"/>
      <c r="BP448" s="167"/>
      <c r="BQ448" s="167"/>
      <c r="BR448" s="167"/>
      <c r="BS448" s="167"/>
      <c r="BT448" s="167"/>
      <c r="BU448" s="167"/>
      <c r="BV448" s="167"/>
      <c r="BW448" s="167"/>
      <c r="BX448" s="167"/>
      <c r="BY448" s="167"/>
      <c r="BZ448" s="167"/>
      <c r="CA448" s="167"/>
      <c r="CB448" s="167"/>
      <c r="CC448" s="167"/>
      <c r="CD448" s="167"/>
      <c r="CE448" s="167"/>
      <c r="CF448" s="167"/>
      <c r="CG448" s="167"/>
      <c r="CH448" s="167"/>
      <c r="CI448" s="167"/>
      <c r="CJ448" s="167"/>
      <c r="CK448" s="167"/>
      <c r="CL448" s="167"/>
      <c r="CM448" s="167"/>
      <c r="CN448" s="167"/>
      <c r="CO448" s="167"/>
      <c r="CP448" s="167"/>
      <c r="CQ448" s="167"/>
      <c r="CR448" s="167"/>
      <c r="CS448" s="167"/>
      <c r="CT448" s="167"/>
      <c r="CU448" s="167"/>
      <c r="CV448" s="167"/>
      <c r="CW448" s="167"/>
      <c r="CX448" s="167"/>
      <c r="CY448" s="167"/>
      <c r="CZ448" s="167"/>
      <c r="DA448" s="167"/>
      <c r="DB448" s="167"/>
      <c r="DC448" s="167"/>
      <c r="DD448" s="167"/>
      <c r="DE448" s="167"/>
      <c r="DF448" s="167"/>
      <c r="DG448" s="167"/>
      <c r="DH448" s="167"/>
      <c r="DI448" s="167"/>
      <c r="DJ448" s="167"/>
      <c r="DK448" s="167"/>
      <c r="DL448" s="167"/>
      <c r="DM448" s="167"/>
      <c r="DN448" s="167"/>
      <c r="DO448" s="167"/>
      <c r="DP448" s="167"/>
      <c r="DQ448" s="167"/>
      <c r="DR448" s="167"/>
      <c r="DS448" s="167"/>
      <c r="DT448" s="167"/>
      <c r="DU448" s="167"/>
      <c r="DV448" s="167"/>
      <c r="DW448" s="167"/>
      <c r="DX448" s="167"/>
      <c r="DY448" s="167"/>
      <c r="DZ448" s="167"/>
      <c r="EA448" s="167"/>
      <c r="EB448" s="167"/>
      <c r="EC448" s="167"/>
      <c r="ED448" s="167"/>
      <c r="EE448" s="167"/>
      <c r="EF448" s="167"/>
      <c r="EG448" s="167"/>
      <c r="EH448" s="167"/>
      <c r="EI448" s="167"/>
      <c r="EJ448" s="167"/>
      <c r="EK448" s="167"/>
      <c r="EL448" s="167"/>
      <c r="EM448" s="167"/>
      <c r="EN448" s="167"/>
      <c r="EO448" s="167"/>
      <c r="EP448" s="167"/>
      <c r="EQ448" s="167"/>
      <c r="ER448" s="167"/>
      <c r="ES448" s="167"/>
      <c r="ET448" s="167"/>
      <c r="EU448" s="167"/>
      <c r="EV448" s="167"/>
      <c r="EW448" s="167"/>
      <c r="EX448" s="167"/>
      <c r="EY448" s="167"/>
      <c r="EZ448" s="167"/>
      <c r="FA448" s="167"/>
      <c r="FB448" s="167"/>
      <c r="FC448" s="167"/>
      <c r="FD448" s="167"/>
      <c r="FE448" s="167"/>
      <c r="FF448" s="167"/>
      <c r="FG448" s="167"/>
      <c r="FH448" s="167"/>
      <c r="FI448" s="167"/>
      <c r="FJ448" s="167"/>
      <c r="FK448" s="167"/>
      <c r="FL448" s="167"/>
      <c r="FM448" s="167"/>
      <c r="FN448" s="167"/>
      <c r="FO448" s="167"/>
      <c r="FP448" s="167"/>
      <c r="FQ448" s="167"/>
      <c r="FR448" s="167"/>
      <c r="FS448" s="167"/>
      <c r="FT448" s="167"/>
      <c r="FU448" s="167"/>
      <c r="FV448" s="167"/>
      <c r="FW448" s="167"/>
      <c r="FX448" s="167"/>
      <c r="FY448" s="167"/>
      <c r="FZ448" s="167"/>
      <c r="GA448" s="167"/>
      <c r="GB448" s="167"/>
      <c r="GC448" s="167"/>
      <c r="GD448" s="167"/>
      <c r="GE448" s="167"/>
      <c r="GF448" s="167"/>
      <c r="GG448" s="167"/>
      <c r="GH448" s="167"/>
      <c r="GI448" s="167"/>
      <c r="GJ448" s="167"/>
    </row>
    <row r="449" spans="3:192" ht="12.75" customHeight="1">
      <c r="C449" s="165"/>
      <c r="D449" s="165"/>
      <c r="E449" s="165"/>
      <c r="F449" s="165"/>
      <c r="G449" s="165"/>
      <c r="H449" s="165"/>
      <c r="I449" s="165"/>
      <c r="J449" s="165"/>
      <c r="K449" s="165"/>
      <c r="L449" s="165"/>
      <c r="M449" s="165"/>
      <c r="N449" s="165"/>
      <c r="O449" s="165"/>
      <c r="P449" s="165"/>
      <c r="Q449" s="165"/>
      <c r="R449" s="165"/>
      <c r="S449" s="165"/>
      <c r="T449" s="165"/>
      <c r="U449" s="165"/>
      <c r="V449" s="165"/>
      <c r="W449" s="165"/>
      <c r="X449" s="165"/>
      <c r="Y449" s="165"/>
      <c r="Z449" s="165"/>
      <c r="AA449" s="165"/>
      <c r="AB449" s="165"/>
      <c r="AC449" s="165"/>
      <c r="AD449" s="165"/>
      <c r="AE449" s="165"/>
      <c r="AF449" s="165"/>
      <c r="AG449" s="165"/>
      <c r="AH449" s="165"/>
      <c r="AI449" s="165"/>
      <c r="AJ449" s="165"/>
      <c r="AK449" s="165"/>
      <c r="AL449" s="165"/>
      <c r="AM449" s="165"/>
      <c r="AN449" s="165"/>
      <c r="AO449" s="165"/>
      <c r="AP449" s="165"/>
      <c r="AQ449" s="165"/>
      <c r="AR449" s="165"/>
      <c r="AS449" s="165"/>
      <c r="AT449" s="165"/>
      <c r="AU449" s="165"/>
      <c r="AV449" s="165"/>
      <c r="AW449" s="165"/>
      <c r="AX449" s="165"/>
      <c r="AY449" s="165"/>
      <c r="AZ449" s="165"/>
      <c r="BA449" s="165"/>
      <c r="BB449" s="165"/>
      <c r="BC449" s="165"/>
      <c r="BD449" s="165"/>
      <c r="BE449" s="165"/>
      <c r="BF449" s="165"/>
      <c r="BG449" s="165"/>
      <c r="BH449" s="165"/>
      <c r="BI449" s="165"/>
      <c r="BJ449" s="165"/>
      <c r="BK449" s="165"/>
      <c r="BL449" s="165"/>
      <c r="BM449" s="165"/>
      <c r="BN449" s="165"/>
      <c r="BO449" s="165"/>
      <c r="BP449" s="165"/>
      <c r="BQ449" s="165"/>
      <c r="BR449" s="165"/>
      <c r="BS449" s="165"/>
      <c r="BT449" s="165"/>
      <c r="BU449" s="165"/>
      <c r="BV449" s="165"/>
      <c r="BW449" s="165"/>
      <c r="BX449" s="165"/>
      <c r="BY449" s="165"/>
      <c r="BZ449" s="165"/>
      <c r="CA449" s="165"/>
      <c r="CB449" s="165"/>
      <c r="CC449" s="165"/>
      <c r="CD449" s="165"/>
      <c r="CE449" s="165"/>
      <c r="CF449" s="165"/>
      <c r="CG449" s="165"/>
      <c r="CH449" s="165"/>
      <c r="CI449" s="165"/>
      <c r="CJ449" s="165"/>
      <c r="CK449" s="165"/>
      <c r="CL449" s="165"/>
      <c r="CM449" s="165"/>
      <c r="CN449" s="165"/>
      <c r="CO449" s="165"/>
      <c r="CP449" s="165"/>
      <c r="CQ449" s="165"/>
      <c r="CR449" s="165"/>
      <c r="CS449" s="165"/>
      <c r="CT449" s="165"/>
      <c r="CU449" s="165"/>
      <c r="CV449" s="165"/>
      <c r="CW449" s="165"/>
      <c r="CX449" s="165"/>
      <c r="CY449" s="165"/>
      <c r="CZ449" s="165"/>
      <c r="DA449" s="165"/>
      <c r="DB449" s="165"/>
      <c r="DC449" s="165"/>
      <c r="DD449" s="165"/>
      <c r="DE449" s="165"/>
      <c r="DF449" s="165"/>
      <c r="DG449" s="165"/>
      <c r="DH449" s="165"/>
      <c r="DI449" s="165"/>
      <c r="DJ449" s="165"/>
      <c r="DK449" s="165"/>
      <c r="DL449" s="165"/>
      <c r="DM449" s="165"/>
      <c r="DN449" s="165"/>
      <c r="DO449" s="165"/>
      <c r="DP449" s="165"/>
      <c r="DQ449" s="165"/>
      <c r="DR449" s="165"/>
      <c r="DS449" s="165"/>
      <c r="DT449" s="165"/>
      <c r="DU449" s="165"/>
      <c r="DV449" s="165"/>
      <c r="DW449" s="165"/>
      <c r="DX449" s="165"/>
      <c r="DY449" s="165"/>
      <c r="DZ449" s="165"/>
      <c r="EA449" s="165"/>
      <c r="EB449" s="165"/>
      <c r="EC449" s="165"/>
      <c r="ED449" s="165"/>
      <c r="EE449" s="165"/>
      <c r="EF449" s="165"/>
      <c r="EG449" s="165"/>
      <c r="EH449" s="165"/>
      <c r="EI449" s="165"/>
      <c r="EJ449" s="165"/>
      <c r="EK449" s="165"/>
      <c r="EL449" s="165"/>
      <c r="EM449" s="165"/>
      <c r="EN449" s="165"/>
      <c r="EO449" s="165"/>
      <c r="EP449" s="165"/>
      <c r="EQ449" s="165"/>
      <c r="ER449" s="165"/>
      <c r="ES449" s="165"/>
      <c r="ET449" s="165"/>
      <c r="EU449" s="165"/>
      <c r="EV449" s="165"/>
      <c r="EW449" s="165"/>
      <c r="EX449" s="165"/>
      <c r="EY449" s="165"/>
      <c r="EZ449" s="165"/>
      <c r="FA449" s="165"/>
      <c r="FB449" s="165"/>
      <c r="FC449" s="165"/>
      <c r="FD449" s="165"/>
      <c r="FE449" s="165"/>
      <c r="FF449" s="165"/>
      <c r="FG449" s="165"/>
      <c r="FH449" s="165"/>
      <c r="FI449" s="165"/>
      <c r="FJ449" s="165"/>
      <c r="FK449" s="165"/>
      <c r="FL449" s="165"/>
      <c r="FM449" s="165"/>
      <c r="FN449" s="165"/>
      <c r="FO449" s="165"/>
      <c r="FP449" s="165"/>
      <c r="FQ449" s="165"/>
      <c r="FR449" s="165"/>
      <c r="FS449" s="165"/>
      <c r="FT449" s="165"/>
      <c r="FU449" s="165"/>
      <c r="FV449" s="165"/>
      <c r="FW449" s="165"/>
      <c r="FX449" s="165"/>
      <c r="FY449" s="165"/>
      <c r="FZ449" s="165"/>
      <c r="GA449" s="165"/>
      <c r="GB449" s="165"/>
      <c r="GC449" s="165"/>
      <c r="GD449" s="165"/>
      <c r="GE449" s="165"/>
      <c r="GF449" s="165"/>
      <c r="GG449" s="165"/>
      <c r="GH449" s="165"/>
      <c r="GI449" s="165"/>
      <c r="GJ449" s="165"/>
    </row>
    <row r="450" spans="3:192" ht="12.75" customHeight="1">
      <c r="C450" s="169"/>
      <c r="D450" s="169"/>
      <c r="E450" s="169"/>
      <c r="F450" s="169"/>
      <c r="G450" s="169"/>
      <c r="H450" s="169"/>
      <c r="I450" s="169"/>
      <c r="J450" s="169"/>
      <c r="K450" s="169"/>
      <c r="L450" s="169"/>
      <c r="M450" s="169"/>
      <c r="N450" s="169"/>
      <c r="O450" s="169"/>
      <c r="P450" s="169"/>
      <c r="Q450" s="169"/>
      <c r="R450" s="169"/>
      <c r="S450" s="169"/>
      <c r="T450" s="169"/>
      <c r="U450" s="169"/>
      <c r="V450" s="169"/>
      <c r="W450" s="169"/>
      <c r="X450" s="169"/>
      <c r="Y450" s="169"/>
      <c r="Z450" s="169"/>
      <c r="AA450" s="169"/>
      <c r="AB450" s="169"/>
      <c r="AC450" s="169"/>
      <c r="AD450" s="169"/>
      <c r="AE450" s="169"/>
      <c r="AF450" s="169"/>
      <c r="AG450" s="169"/>
      <c r="AH450" s="169"/>
      <c r="AI450" s="169"/>
      <c r="AJ450" s="169"/>
      <c r="AK450" s="169"/>
      <c r="AL450" s="169"/>
      <c r="AM450" s="169"/>
      <c r="AN450" s="169"/>
      <c r="AO450" s="169"/>
      <c r="AP450" s="169"/>
      <c r="AQ450" s="169"/>
      <c r="AR450" s="169"/>
      <c r="AS450" s="169"/>
      <c r="AT450" s="169"/>
      <c r="AU450" s="169"/>
      <c r="AV450" s="169"/>
      <c r="AW450" s="169"/>
      <c r="AX450" s="169"/>
      <c r="AY450" s="169"/>
      <c r="AZ450" s="169"/>
      <c r="BA450" s="169"/>
      <c r="BB450" s="169"/>
      <c r="BC450" s="169"/>
      <c r="BD450" s="169"/>
      <c r="BE450" s="169"/>
      <c r="BF450" s="169"/>
      <c r="BG450" s="169"/>
      <c r="BH450" s="169"/>
      <c r="BI450" s="169"/>
      <c r="BJ450" s="169"/>
      <c r="BK450" s="169"/>
      <c r="BL450" s="169"/>
      <c r="BM450" s="169"/>
      <c r="BN450" s="169"/>
      <c r="BO450" s="169"/>
      <c r="BP450" s="169"/>
      <c r="BQ450" s="169"/>
      <c r="BR450" s="169"/>
      <c r="BS450" s="169"/>
      <c r="BT450" s="169"/>
      <c r="BU450" s="169"/>
      <c r="BV450" s="169"/>
      <c r="BW450" s="169"/>
      <c r="BX450" s="169"/>
      <c r="BY450" s="169"/>
      <c r="BZ450" s="169"/>
      <c r="CA450" s="169"/>
      <c r="CB450" s="169"/>
      <c r="CC450" s="169"/>
      <c r="CD450" s="169"/>
      <c r="CE450" s="169"/>
      <c r="CF450" s="169"/>
      <c r="CG450" s="169"/>
      <c r="CH450" s="169"/>
      <c r="CI450" s="169"/>
      <c r="CJ450" s="169"/>
      <c r="CK450" s="169"/>
      <c r="CL450" s="169"/>
      <c r="CM450" s="169"/>
      <c r="CN450" s="169"/>
      <c r="CO450" s="169"/>
      <c r="CP450" s="169"/>
      <c r="CQ450" s="169"/>
      <c r="CR450" s="169"/>
      <c r="CS450" s="169"/>
      <c r="CT450" s="169"/>
      <c r="CU450" s="169"/>
      <c r="CV450" s="169"/>
      <c r="CW450" s="169"/>
      <c r="CX450" s="169"/>
      <c r="CY450" s="169"/>
      <c r="CZ450" s="169"/>
      <c r="DA450" s="169"/>
      <c r="DB450" s="169"/>
      <c r="DC450" s="169"/>
      <c r="DD450" s="169"/>
      <c r="DE450" s="169"/>
      <c r="DF450" s="169"/>
      <c r="DG450" s="169"/>
      <c r="DH450" s="169"/>
      <c r="DI450" s="169"/>
      <c r="DJ450" s="169"/>
      <c r="DK450" s="169"/>
      <c r="DL450" s="169"/>
      <c r="DM450" s="169"/>
      <c r="DN450" s="169"/>
      <c r="DO450" s="169"/>
      <c r="DP450" s="169"/>
      <c r="DQ450" s="169"/>
      <c r="DR450" s="169"/>
      <c r="DS450" s="169"/>
      <c r="DT450" s="169"/>
      <c r="DU450" s="169"/>
      <c r="DV450" s="169"/>
      <c r="DW450" s="169"/>
      <c r="DX450" s="169"/>
      <c r="DY450" s="169"/>
      <c r="DZ450" s="169"/>
      <c r="EA450" s="169"/>
      <c r="EB450" s="169"/>
      <c r="EC450" s="169"/>
      <c r="ED450" s="169"/>
      <c r="EE450" s="169"/>
      <c r="EF450" s="169"/>
      <c r="EG450" s="169"/>
      <c r="EH450" s="169"/>
      <c r="EI450" s="169"/>
      <c r="EJ450" s="169"/>
      <c r="EK450" s="169"/>
      <c r="EL450" s="169"/>
      <c r="EM450" s="169"/>
      <c r="EN450" s="169"/>
      <c r="EO450" s="169"/>
      <c r="EP450" s="169"/>
      <c r="EQ450" s="169"/>
      <c r="ER450" s="169"/>
      <c r="ES450" s="169"/>
      <c r="ET450" s="169"/>
      <c r="EU450" s="169"/>
      <c r="EV450" s="169"/>
      <c r="EW450" s="169"/>
      <c r="EX450" s="169"/>
      <c r="EY450" s="169"/>
      <c r="EZ450" s="169"/>
      <c r="FA450" s="169"/>
      <c r="FB450" s="169"/>
      <c r="FC450" s="169"/>
      <c r="FD450" s="169"/>
      <c r="FE450" s="169"/>
      <c r="FF450" s="169"/>
      <c r="FG450" s="169"/>
      <c r="FH450" s="169"/>
      <c r="FI450" s="169"/>
      <c r="FJ450" s="169"/>
      <c r="FK450" s="169"/>
      <c r="FL450" s="169"/>
      <c r="FM450" s="169"/>
      <c r="FN450" s="169"/>
      <c r="FO450" s="169"/>
      <c r="FP450" s="169"/>
      <c r="FQ450" s="169"/>
      <c r="FR450" s="169"/>
      <c r="FS450" s="169"/>
      <c r="FT450" s="169"/>
      <c r="FU450" s="169"/>
      <c r="FV450" s="169"/>
      <c r="FW450" s="169"/>
      <c r="FX450" s="169"/>
      <c r="FY450" s="169"/>
      <c r="FZ450" s="169"/>
      <c r="GA450" s="169"/>
      <c r="GB450" s="169"/>
      <c r="GC450" s="169"/>
      <c r="GD450" s="169"/>
      <c r="GE450" s="169"/>
      <c r="GF450" s="169"/>
      <c r="GG450" s="169"/>
      <c r="GH450" s="169"/>
      <c r="GI450" s="169"/>
      <c r="GJ450" s="169"/>
    </row>
    <row r="451" spans="3:192" ht="12.75" customHeight="1">
      <c r="C451" s="106"/>
      <c r="D451" s="106"/>
      <c r="E451" s="106"/>
      <c r="F451" s="106"/>
      <c r="G451" s="106"/>
      <c r="H451" s="106"/>
      <c r="I451" s="106"/>
      <c r="J451" s="106"/>
      <c r="K451" s="106"/>
      <c r="L451" s="106"/>
      <c r="M451" s="106"/>
      <c r="N451" s="106"/>
      <c r="O451" s="106"/>
      <c r="P451" s="106"/>
      <c r="Q451" s="106"/>
      <c r="R451" s="106"/>
      <c r="S451" s="106"/>
      <c r="T451" s="106"/>
      <c r="U451" s="106"/>
      <c r="V451" s="106"/>
      <c r="W451" s="106"/>
      <c r="X451" s="106"/>
      <c r="Y451" s="106"/>
      <c r="Z451" s="106"/>
      <c r="AA451" s="106"/>
      <c r="AB451" s="106"/>
      <c r="AC451" s="106"/>
      <c r="AD451" s="106"/>
      <c r="AE451" s="106"/>
      <c r="AF451" s="106"/>
      <c r="AG451" s="106"/>
      <c r="AH451" s="106"/>
      <c r="AI451" s="106"/>
      <c r="AJ451" s="106"/>
      <c r="AK451" s="106"/>
      <c r="AL451" s="106"/>
      <c r="AM451" s="106"/>
      <c r="AN451" s="106"/>
      <c r="AO451" s="106"/>
      <c r="AP451" s="106"/>
      <c r="AQ451" s="106"/>
      <c r="AR451" s="106"/>
      <c r="AS451" s="106"/>
      <c r="AT451" s="106"/>
      <c r="AU451" s="106"/>
      <c r="AV451" s="106"/>
      <c r="AW451" s="106"/>
      <c r="AX451" s="106"/>
      <c r="AY451" s="106"/>
      <c r="AZ451" s="106"/>
      <c r="BA451" s="106"/>
      <c r="BB451" s="106"/>
      <c r="BC451" s="106"/>
      <c r="BD451" s="106"/>
      <c r="BE451" s="106"/>
      <c r="BF451" s="106"/>
      <c r="BG451" s="106"/>
      <c r="BH451" s="106"/>
      <c r="BI451" s="106"/>
      <c r="BJ451" s="106"/>
      <c r="BK451" s="106"/>
      <c r="BL451" s="106"/>
      <c r="BM451" s="106"/>
      <c r="BN451" s="106"/>
      <c r="BO451" s="106"/>
      <c r="BP451" s="106"/>
      <c r="BQ451" s="106"/>
      <c r="BR451" s="106"/>
      <c r="BS451" s="106"/>
      <c r="BT451" s="106"/>
      <c r="BU451" s="106"/>
      <c r="BV451" s="106"/>
      <c r="BW451" s="106"/>
      <c r="BX451" s="106"/>
      <c r="BY451" s="106"/>
      <c r="BZ451" s="106"/>
      <c r="CA451" s="106"/>
      <c r="CB451" s="106"/>
      <c r="CC451" s="106"/>
      <c r="CD451" s="106"/>
      <c r="CE451" s="106"/>
      <c r="CF451" s="106"/>
      <c r="CG451" s="106"/>
      <c r="CH451" s="106"/>
      <c r="CI451" s="106"/>
      <c r="CJ451" s="106"/>
      <c r="CK451" s="106"/>
      <c r="CL451" s="106"/>
      <c r="CM451" s="106"/>
      <c r="CN451" s="106"/>
      <c r="CO451" s="106"/>
      <c r="CP451" s="106"/>
      <c r="CQ451" s="106"/>
      <c r="CR451" s="106"/>
      <c r="CS451" s="106"/>
      <c r="CT451" s="106"/>
      <c r="CU451" s="106"/>
      <c r="CV451" s="106"/>
      <c r="CW451" s="106"/>
      <c r="CX451" s="106"/>
      <c r="CY451" s="106"/>
      <c r="CZ451" s="106"/>
      <c r="DA451" s="106"/>
      <c r="DB451" s="106"/>
      <c r="DC451" s="106"/>
      <c r="DD451" s="106"/>
      <c r="DE451" s="106"/>
      <c r="DF451" s="106"/>
      <c r="DG451" s="106"/>
      <c r="DH451" s="106"/>
      <c r="DI451" s="106"/>
      <c r="DJ451" s="106"/>
      <c r="DK451" s="106"/>
      <c r="DL451" s="106"/>
      <c r="DM451" s="106"/>
      <c r="DN451" s="106"/>
      <c r="DO451" s="106"/>
      <c r="DP451" s="106"/>
      <c r="DQ451" s="106"/>
      <c r="DR451" s="106"/>
      <c r="DS451" s="106"/>
      <c r="DT451" s="106"/>
      <c r="DU451" s="106"/>
      <c r="DV451" s="106"/>
      <c r="DW451" s="106"/>
      <c r="DX451" s="106"/>
      <c r="DY451" s="106"/>
      <c r="DZ451" s="106"/>
      <c r="EA451" s="106"/>
      <c r="EB451" s="106"/>
      <c r="EC451" s="106"/>
      <c r="ED451" s="106"/>
      <c r="EE451" s="106"/>
      <c r="EF451" s="106"/>
      <c r="EG451" s="106"/>
      <c r="EH451" s="106"/>
      <c r="EI451" s="106"/>
      <c r="EJ451" s="106"/>
      <c r="EK451" s="106"/>
      <c r="EL451" s="106"/>
      <c r="EM451" s="106"/>
      <c r="EN451" s="106"/>
      <c r="EO451" s="106"/>
      <c r="EP451" s="106"/>
      <c r="EQ451" s="106"/>
      <c r="ER451" s="106"/>
      <c r="ES451" s="106"/>
      <c r="ET451" s="106"/>
      <c r="EU451" s="106"/>
      <c r="EV451" s="106"/>
      <c r="EW451" s="106"/>
      <c r="EX451" s="106"/>
      <c r="EY451" s="106"/>
      <c r="EZ451" s="106"/>
      <c r="FA451" s="106"/>
      <c r="FB451" s="106"/>
      <c r="FC451" s="106"/>
      <c r="FD451" s="106"/>
      <c r="FE451" s="106"/>
      <c r="FF451" s="106"/>
      <c r="FG451" s="106"/>
      <c r="FH451" s="106"/>
      <c r="FI451" s="106"/>
      <c r="FJ451" s="106"/>
      <c r="FK451" s="106"/>
      <c r="FL451" s="106"/>
      <c r="FM451" s="106"/>
      <c r="FN451" s="106"/>
      <c r="FO451" s="106"/>
      <c r="FP451" s="106"/>
      <c r="FQ451" s="106"/>
      <c r="FR451" s="106"/>
      <c r="FS451" s="106"/>
      <c r="FT451" s="106"/>
      <c r="FU451" s="106"/>
      <c r="FV451" s="106"/>
      <c r="FW451" s="106"/>
      <c r="FX451" s="106"/>
      <c r="FY451" s="106"/>
      <c r="FZ451" s="106"/>
      <c r="GA451" s="106"/>
      <c r="GB451" s="106"/>
      <c r="GC451" s="106"/>
      <c r="GD451" s="106"/>
      <c r="GE451" s="106"/>
      <c r="GF451" s="106"/>
      <c r="GG451" s="106"/>
      <c r="GH451" s="106"/>
      <c r="GI451" s="106"/>
      <c r="GJ451" s="106"/>
    </row>
    <row r="452" spans="3:192" ht="12.75" customHeight="1">
      <c r="C452" s="169"/>
      <c r="D452" s="169"/>
      <c r="E452" s="169"/>
      <c r="F452" s="169"/>
      <c r="G452" s="169"/>
      <c r="H452" s="169"/>
      <c r="I452" s="169"/>
      <c r="J452" s="169"/>
      <c r="K452" s="169"/>
      <c r="L452" s="169"/>
      <c r="M452" s="169"/>
      <c r="N452" s="169"/>
      <c r="O452" s="169"/>
      <c r="P452" s="169"/>
      <c r="Q452" s="169"/>
      <c r="R452" s="169"/>
      <c r="S452" s="169"/>
      <c r="T452" s="169"/>
      <c r="U452" s="169"/>
      <c r="V452" s="169"/>
      <c r="W452" s="169"/>
      <c r="X452" s="169"/>
      <c r="Y452" s="169"/>
      <c r="Z452" s="169"/>
      <c r="AA452" s="169"/>
      <c r="AB452" s="169"/>
      <c r="AC452" s="169"/>
      <c r="AD452" s="169"/>
      <c r="AE452" s="169"/>
      <c r="AF452" s="169"/>
      <c r="AG452" s="169"/>
      <c r="AH452" s="169"/>
      <c r="AI452" s="169"/>
      <c r="AJ452" s="169"/>
      <c r="AK452" s="169"/>
      <c r="AL452" s="169"/>
      <c r="AM452" s="169"/>
      <c r="AN452" s="169"/>
      <c r="AO452" s="169"/>
      <c r="AP452" s="169"/>
      <c r="AQ452" s="169"/>
      <c r="AR452" s="169"/>
      <c r="AS452" s="169"/>
      <c r="AT452" s="169"/>
      <c r="AU452" s="169"/>
      <c r="AV452" s="169"/>
      <c r="AW452" s="169"/>
      <c r="AX452" s="169"/>
      <c r="AY452" s="169"/>
      <c r="AZ452" s="169"/>
      <c r="BA452" s="169"/>
      <c r="BB452" s="169"/>
      <c r="BC452" s="169"/>
      <c r="BD452" s="169"/>
      <c r="BE452" s="169"/>
      <c r="BF452" s="169"/>
      <c r="BG452" s="169"/>
      <c r="BH452" s="169"/>
      <c r="BI452" s="169"/>
      <c r="BJ452" s="169"/>
      <c r="BK452" s="169"/>
      <c r="BL452" s="169"/>
      <c r="BM452" s="169"/>
      <c r="BN452" s="169"/>
      <c r="BO452" s="169"/>
      <c r="BP452" s="169"/>
      <c r="BQ452" s="169"/>
      <c r="BR452" s="169"/>
      <c r="BS452" s="169"/>
      <c r="BT452" s="169"/>
      <c r="BU452" s="169"/>
      <c r="BV452" s="169"/>
      <c r="BW452" s="169"/>
      <c r="BX452" s="169"/>
      <c r="BY452" s="169"/>
      <c r="BZ452" s="169"/>
      <c r="CA452" s="169"/>
      <c r="CB452" s="169"/>
      <c r="CC452" s="169"/>
      <c r="CD452" s="169"/>
      <c r="CE452" s="169"/>
      <c r="CF452" s="169"/>
      <c r="CG452" s="169"/>
      <c r="CH452" s="169"/>
      <c r="CI452" s="169"/>
      <c r="CJ452" s="169"/>
      <c r="CK452" s="169"/>
      <c r="CL452" s="169"/>
      <c r="CM452" s="169"/>
      <c r="CN452" s="169"/>
      <c r="CO452" s="169"/>
      <c r="CP452" s="169"/>
      <c r="CQ452" s="169"/>
      <c r="CR452" s="169"/>
      <c r="CS452" s="169"/>
      <c r="CT452" s="169"/>
      <c r="CU452" s="169"/>
      <c r="CV452" s="169"/>
      <c r="CW452" s="169"/>
      <c r="CX452" s="169"/>
      <c r="CY452" s="169"/>
      <c r="CZ452" s="169"/>
      <c r="DA452" s="169"/>
      <c r="DB452" s="169"/>
      <c r="DC452" s="169"/>
      <c r="DD452" s="169"/>
      <c r="DE452" s="169"/>
      <c r="DF452" s="169"/>
      <c r="DG452" s="169"/>
      <c r="DH452" s="169"/>
      <c r="DI452" s="169"/>
      <c r="DJ452" s="169"/>
      <c r="DK452" s="169"/>
      <c r="DL452" s="169"/>
      <c r="DM452" s="169"/>
      <c r="DN452" s="169"/>
      <c r="DO452" s="169"/>
      <c r="DP452" s="169"/>
      <c r="DQ452" s="169"/>
      <c r="DR452" s="169"/>
      <c r="DS452" s="169"/>
      <c r="DT452" s="169"/>
      <c r="DU452" s="169"/>
      <c r="DV452" s="169"/>
      <c r="DW452" s="169"/>
      <c r="DX452" s="169"/>
      <c r="DY452" s="169"/>
      <c r="DZ452" s="169"/>
      <c r="EA452" s="169"/>
      <c r="EB452" s="169"/>
      <c r="EC452" s="169"/>
      <c r="ED452" s="169"/>
      <c r="EE452" s="169"/>
      <c r="EF452" s="169"/>
      <c r="EG452" s="169"/>
      <c r="EH452" s="169"/>
      <c r="EI452" s="169"/>
      <c r="EJ452" s="169"/>
      <c r="EK452" s="169"/>
      <c r="EL452" s="169"/>
      <c r="EM452" s="169"/>
      <c r="EN452" s="169"/>
      <c r="EO452" s="169"/>
      <c r="EP452" s="169"/>
      <c r="EQ452" s="169"/>
      <c r="ER452" s="169"/>
      <c r="ES452" s="169"/>
      <c r="ET452" s="169"/>
      <c r="EU452" s="169"/>
      <c r="EV452" s="169"/>
      <c r="EW452" s="169"/>
      <c r="EX452" s="169"/>
      <c r="EY452" s="169"/>
      <c r="EZ452" s="169"/>
      <c r="FA452" s="169"/>
      <c r="FB452" s="169"/>
      <c r="FC452" s="169"/>
      <c r="FD452" s="169"/>
      <c r="FE452" s="169"/>
      <c r="FF452" s="169"/>
      <c r="FG452" s="169"/>
      <c r="FH452" s="169"/>
      <c r="FI452" s="169"/>
      <c r="FJ452" s="169"/>
      <c r="FK452" s="169"/>
      <c r="FL452" s="169"/>
      <c r="FM452" s="169"/>
      <c r="FN452" s="169"/>
      <c r="FO452" s="169"/>
      <c r="FP452" s="169"/>
      <c r="FQ452" s="169"/>
      <c r="FR452" s="169"/>
      <c r="FS452" s="169"/>
      <c r="FT452" s="169"/>
      <c r="FU452" s="169"/>
      <c r="FV452" s="169"/>
      <c r="FW452" s="169"/>
      <c r="FX452" s="169"/>
      <c r="FY452" s="169"/>
      <c r="FZ452" s="169"/>
      <c r="GA452" s="169"/>
      <c r="GB452" s="169"/>
      <c r="GC452" s="169"/>
      <c r="GD452" s="169"/>
      <c r="GE452" s="169"/>
      <c r="GF452" s="169"/>
      <c r="GG452" s="169"/>
      <c r="GH452" s="169"/>
      <c r="GI452" s="169"/>
      <c r="GJ452" s="169"/>
    </row>
    <row r="453" spans="3:192" ht="12.75" customHeight="1">
      <c r="C453" s="169"/>
      <c r="D453" s="169"/>
      <c r="E453" s="169"/>
      <c r="F453" s="169"/>
      <c r="G453" s="169"/>
      <c r="H453" s="169"/>
      <c r="I453" s="169"/>
      <c r="J453" s="169"/>
      <c r="K453" s="169"/>
      <c r="L453" s="169"/>
      <c r="M453" s="169"/>
      <c r="N453" s="169"/>
      <c r="O453" s="169"/>
      <c r="P453" s="169"/>
      <c r="Q453" s="169"/>
      <c r="R453" s="169"/>
      <c r="S453" s="169"/>
      <c r="T453" s="169"/>
      <c r="U453" s="169"/>
      <c r="V453" s="169"/>
      <c r="W453" s="169"/>
      <c r="X453" s="169"/>
      <c r="Y453" s="169"/>
      <c r="Z453" s="169"/>
      <c r="AA453" s="169"/>
      <c r="AB453" s="169"/>
      <c r="AC453" s="169"/>
      <c r="AD453" s="169"/>
      <c r="AE453" s="169"/>
      <c r="AF453" s="169"/>
      <c r="AG453" s="169"/>
      <c r="AH453" s="169"/>
      <c r="AI453" s="169"/>
      <c r="AJ453" s="169"/>
      <c r="AK453" s="169"/>
      <c r="AL453" s="169"/>
      <c r="AM453" s="169"/>
      <c r="AN453" s="169"/>
      <c r="AO453" s="169"/>
      <c r="AP453" s="169"/>
      <c r="AQ453" s="169"/>
      <c r="AR453" s="169"/>
      <c r="AS453" s="169"/>
      <c r="AT453" s="169"/>
      <c r="AU453" s="169"/>
      <c r="AV453" s="169"/>
      <c r="AW453" s="169"/>
      <c r="AX453" s="169"/>
      <c r="AY453" s="169"/>
      <c r="AZ453" s="169"/>
      <c r="BA453" s="169"/>
      <c r="BB453" s="169"/>
      <c r="BC453" s="169"/>
      <c r="BD453" s="169"/>
      <c r="BE453" s="169"/>
      <c r="BF453" s="169"/>
      <c r="BG453" s="169"/>
      <c r="BH453" s="169"/>
      <c r="BI453" s="169"/>
      <c r="BJ453" s="169"/>
      <c r="BK453" s="169"/>
      <c r="BL453" s="169"/>
      <c r="BM453" s="169"/>
      <c r="BN453" s="169"/>
      <c r="BO453" s="169"/>
      <c r="BP453" s="169"/>
      <c r="BQ453" s="169"/>
      <c r="BR453" s="169"/>
      <c r="BS453" s="169"/>
      <c r="BT453" s="169"/>
      <c r="BU453" s="169"/>
      <c r="BV453" s="169"/>
      <c r="BW453" s="169"/>
      <c r="BX453" s="169"/>
      <c r="BY453" s="169"/>
      <c r="BZ453" s="169"/>
      <c r="CA453" s="169"/>
      <c r="CB453" s="169"/>
      <c r="CC453" s="169"/>
      <c r="CD453" s="169"/>
      <c r="CE453" s="169"/>
      <c r="CF453" s="169"/>
      <c r="CG453" s="169"/>
      <c r="CH453" s="169"/>
      <c r="CI453" s="169"/>
      <c r="CJ453" s="169"/>
      <c r="CK453" s="169"/>
      <c r="CL453" s="169"/>
      <c r="CM453" s="169"/>
      <c r="CN453" s="169"/>
      <c r="CO453" s="169"/>
      <c r="CP453" s="169"/>
      <c r="CQ453" s="169"/>
      <c r="CR453" s="169"/>
      <c r="CS453" s="169"/>
      <c r="CT453" s="169"/>
      <c r="CU453" s="169"/>
      <c r="CV453" s="169"/>
      <c r="CW453" s="169"/>
      <c r="CX453" s="169"/>
      <c r="CY453" s="169"/>
      <c r="CZ453" s="169"/>
      <c r="DA453" s="169"/>
      <c r="DB453" s="169"/>
      <c r="DC453" s="169"/>
      <c r="DD453" s="169"/>
      <c r="DE453" s="169"/>
      <c r="DF453" s="169"/>
      <c r="DG453" s="169"/>
      <c r="DH453" s="169"/>
      <c r="DI453" s="169"/>
      <c r="DJ453" s="169"/>
      <c r="DK453" s="169"/>
      <c r="DL453" s="169"/>
      <c r="DM453" s="169"/>
      <c r="DN453" s="169"/>
      <c r="DO453" s="169"/>
      <c r="DP453" s="169"/>
      <c r="DQ453" s="169"/>
      <c r="DR453" s="169"/>
      <c r="DS453" s="169"/>
      <c r="DT453" s="169"/>
      <c r="DU453" s="169"/>
      <c r="DV453" s="169"/>
      <c r="DW453" s="169"/>
      <c r="DX453" s="169"/>
      <c r="DY453" s="169"/>
      <c r="DZ453" s="169"/>
      <c r="EA453" s="169"/>
      <c r="EB453" s="169"/>
      <c r="EC453" s="169"/>
      <c r="ED453" s="169"/>
      <c r="EE453" s="169"/>
      <c r="EF453" s="169"/>
      <c r="EG453" s="169"/>
      <c r="EH453" s="169"/>
      <c r="EI453" s="169"/>
      <c r="EJ453" s="169"/>
      <c r="EK453" s="169"/>
      <c r="EL453" s="169"/>
      <c r="EM453" s="169"/>
      <c r="EN453" s="169"/>
      <c r="EO453" s="169"/>
      <c r="EP453" s="169"/>
      <c r="EQ453" s="169"/>
      <c r="ER453" s="169"/>
      <c r="ES453" s="169"/>
      <c r="ET453" s="169"/>
      <c r="EU453" s="169"/>
      <c r="EV453" s="169"/>
      <c r="EW453" s="169"/>
      <c r="EX453" s="169"/>
      <c r="EY453" s="169"/>
      <c r="EZ453" s="169"/>
      <c r="FA453" s="169"/>
      <c r="FB453" s="169"/>
      <c r="FC453" s="169"/>
      <c r="FD453" s="169"/>
      <c r="FE453" s="169"/>
      <c r="FF453" s="169"/>
      <c r="FG453" s="169"/>
      <c r="FH453" s="169"/>
      <c r="FI453" s="169"/>
      <c r="FJ453" s="169"/>
      <c r="FK453" s="169"/>
      <c r="FL453" s="169"/>
      <c r="FM453" s="169"/>
      <c r="FN453" s="169"/>
      <c r="FO453" s="169"/>
      <c r="FP453" s="169"/>
      <c r="FQ453" s="169"/>
      <c r="FR453" s="169"/>
      <c r="FS453" s="169"/>
      <c r="FT453" s="169"/>
      <c r="FU453" s="169"/>
      <c r="FV453" s="169"/>
      <c r="FW453" s="169"/>
      <c r="FX453" s="169"/>
      <c r="FY453" s="169"/>
      <c r="FZ453" s="169"/>
      <c r="GA453" s="169"/>
      <c r="GB453" s="169"/>
      <c r="GC453" s="169"/>
      <c r="GD453" s="169"/>
      <c r="GE453" s="169"/>
      <c r="GF453" s="169"/>
      <c r="GG453" s="169"/>
      <c r="GH453" s="169"/>
      <c r="GI453" s="169"/>
      <c r="GJ453" s="169"/>
    </row>
    <row r="454" spans="3:192" ht="12.75" customHeight="1">
      <c r="C454" s="169"/>
      <c r="D454" s="169"/>
      <c r="E454" s="169"/>
      <c r="F454" s="169"/>
      <c r="G454" s="169"/>
      <c r="H454" s="169"/>
      <c r="I454" s="169"/>
      <c r="J454" s="169"/>
      <c r="K454" s="169"/>
      <c r="L454" s="169"/>
      <c r="M454" s="169"/>
      <c r="N454" s="169"/>
      <c r="O454" s="169"/>
      <c r="P454" s="169"/>
      <c r="Q454" s="169"/>
      <c r="R454" s="169"/>
      <c r="S454" s="169"/>
      <c r="T454" s="169"/>
      <c r="U454" s="169"/>
      <c r="V454" s="169"/>
      <c r="W454" s="169"/>
      <c r="X454" s="169"/>
      <c r="Y454" s="169"/>
      <c r="Z454" s="169"/>
      <c r="AA454" s="169"/>
      <c r="AB454" s="169"/>
      <c r="AC454" s="169"/>
      <c r="AD454" s="169"/>
      <c r="AE454" s="169"/>
      <c r="AF454" s="169"/>
      <c r="AG454" s="169"/>
      <c r="AH454" s="169"/>
      <c r="AI454" s="169"/>
      <c r="AJ454" s="169"/>
      <c r="AK454" s="169"/>
      <c r="AL454" s="169"/>
      <c r="AM454" s="169"/>
      <c r="AN454" s="169"/>
      <c r="AO454" s="169"/>
      <c r="AP454" s="169"/>
      <c r="AQ454" s="169"/>
      <c r="AR454" s="169"/>
      <c r="AS454" s="169"/>
      <c r="AT454" s="169"/>
      <c r="AU454" s="169"/>
      <c r="AV454" s="169"/>
      <c r="AW454" s="169"/>
      <c r="AX454" s="169"/>
      <c r="AY454" s="169"/>
      <c r="AZ454" s="169"/>
      <c r="BA454" s="169"/>
      <c r="BB454" s="169"/>
      <c r="BC454" s="169"/>
      <c r="BD454" s="169"/>
      <c r="BE454" s="169"/>
      <c r="BF454" s="169"/>
      <c r="BG454" s="169"/>
      <c r="BH454" s="169"/>
      <c r="BI454" s="169"/>
      <c r="BJ454" s="169"/>
      <c r="BK454" s="169"/>
      <c r="BL454" s="169"/>
      <c r="BM454" s="169"/>
      <c r="BN454" s="169"/>
      <c r="BO454" s="169"/>
      <c r="BP454" s="169"/>
      <c r="BQ454" s="169"/>
      <c r="BR454" s="169"/>
      <c r="BS454" s="169"/>
      <c r="BT454" s="169"/>
      <c r="BU454" s="169"/>
      <c r="BV454" s="169"/>
      <c r="BW454" s="169"/>
      <c r="BX454" s="169"/>
      <c r="BY454" s="169"/>
      <c r="BZ454" s="169"/>
      <c r="CA454" s="169"/>
      <c r="CB454" s="169"/>
      <c r="CC454" s="169"/>
      <c r="CD454" s="169"/>
      <c r="CE454" s="169"/>
      <c r="CF454" s="169"/>
      <c r="CG454" s="169"/>
      <c r="CH454" s="169"/>
      <c r="CI454" s="169"/>
      <c r="CJ454" s="169"/>
      <c r="CK454" s="169"/>
      <c r="CL454" s="169"/>
      <c r="CM454" s="169"/>
      <c r="CN454" s="169"/>
      <c r="CO454" s="169"/>
      <c r="CP454" s="169"/>
      <c r="CQ454" s="169"/>
      <c r="CR454" s="169"/>
      <c r="CS454" s="169"/>
      <c r="CT454" s="169"/>
      <c r="CU454" s="169"/>
      <c r="CV454" s="169"/>
      <c r="CW454" s="169"/>
      <c r="CX454" s="169"/>
      <c r="CY454" s="169"/>
      <c r="CZ454" s="169"/>
      <c r="DA454" s="169"/>
      <c r="DB454" s="169"/>
      <c r="DC454" s="169"/>
      <c r="DD454" s="169"/>
      <c r="DE454" s="169"/>
      <c r="DF454" s="169"/>
      <c r="DG454" s="169"/>
      <c r="DH454" s="169"/>
      <c r="DI454" s="169"/>
      <c r="DJ454" s="169"/>
      <c r="DK454" s="169"/>
      <c r="DL454" s="169"/>
      <c r="DM454" s="169"/>
      <c r="DN454" s="169"/>
      <c r="DO454" s="169"/>
      <c r="DP454" s="169"/>
      <c r="DQ454" s="169"/>
      <c r="DR454" s="169"/>
      <c r="DS454" s="169"/>
      <c r="DT454" s="169"/>
      <c r="DU454" s="169"/>
      <c r="DV454" s="169"/>
      <c r="DW454" s="169"/>
      <c r="DX454" s="169"/>
      <c r="DY454" s="169"/>
      <c r="DZ454" s="169"/>
      <c r="EA454" s="169"/>
      <c r="EB454" s="169"/>
      <c r="EC454" s="169"/>
      <c r="ED454" s="169"/>
      <c r="EE454" s="169"/>
      <c r="EF454" s="169"/>
      <c r="EG454" s="169"/>
      <c r="EH454" s="169"/>
      <c r="EI454" s="169"/>
      <c r="EJ454" s="169"/>
      <c r="EK454" s="169"/>
      <c r="EL454" s="169"/>
      <c r="EM454" s="169"/>
      <c r="EN454" s="169"/>
      <c r="EO454" s="169"/>
      <c r="EP454" s="169"/>
      <c r="EQ454" s="169"/>
      <c r="ER454" s="169"/>
      <c r="ES454" s="169"/>
      <c r="ET454" s="169"/>
      <c r="EU454" s="169"/>
      <c r="EV454" s="169"/>
      <c r="EW454" s="169"/>
      <c r="EX454" s="169"/>
      <c r="EY454" s="169"/>
      <c r="EZ454" s="169"/>
      <c r="FA454" s="169"/>
      <c r="FB454" s="169"/>
      <c r="FC454" s="169"/>
      <c r="FD454" s="169"/>
      <c r="FE454" s="169"/>
      <c r="FF454" s="169"/>
      <c r="FG454" s="169"/>
      <c r="FH454" s="169"/>
      <c r="FI454" s="169"/>
      <c r="FJ454" s="169"/>
      <c r="FK454" s="169"/>
      <c r="FL454" s="169"/>
      <c r="FM454" s="169"/>
      <c r="FN454" s="169"/>
      <c r="FO454" s="169"/>
      <c r="FP454" s="169"/>
      <c r="FQ454" s="169"/>
      <c r="FR454" s="169"/>
      <c r="FS454" s="169"/>
      <c r="FT454" s="169"/>
      <c r="FU454" s="169"/>
      <c r="FV454" s="169"/>
      <c r="FW454" s="169"/>
      <c r="FX454" s="169"/>
      <c r="FY454" s="169"/>
      <c r="FZ454" s="169"/>
      <c r="GA454" s="169"/>
      <c r="GB454" s="169"/>
      <c r="GC454" s="169"/>
      <c r="GD454" s="169"/>
      <c r="GE454" s="169"/>
      <c r="GF454" s="169"/>
      <c r="GG454" s="169"/>
      <c r="GH454" s="169"/>
      <c r="GI454" s="169"/>
      <c r="GJ454" s="169"/>
    </row>
    <row r="455" spans="3:192" ht="12.75" customHeight="1">
      <c r="C455" s="169"/>
      <c r="D455" s="169"/>
      <c r="E455" s="169"/>
      <c r="F455" s="169"/>
      <c r="G455" s="169"/>
      <c r="H455" s="169"/>
      <c r="I455" s="169"/>
      <c r="J455" s="169"/>
      <c r="K455" s="169"/>
      <c r="L455" s="169"/>
      <c r="M455" s="169"/>
      <c r="N455" s="169"/>
      <c r="O455" s="169"/>
      <c r="P455" s="169"/>
      <c r="Q455" s="169"/>
      <c r="R455" s="169"/>
      <c r="S455" s="169"/>
      <c r="T455" s="169"/>
      <c r="U455" s="169"/>
      <c r="V455" s="169"/>
      <c r="W455" s="169"/>
      <c r="X455" s="169"/>
      <c r="Y455" s="169"/>
      <c r="Z455" s="169"/>
      <c r="AA455" s="169"/>
      <c r="AB455" s="169"/>
      <c r="AC455" s="169"/>
      <c r="AD455" s="169"/>
      <c r="AE455" s="169"/>
      <c r="AF455" s="169"/>
      <c r="AG455" s="169"/>
      <c r="AH455" s="169"/>
      <c r="AI455" s="169"/>
      <c r="AJ455" s="169"/>
      <c r="AK455" s="169"/>
      <c r="AL455" s="169"/>
      <c r="AM455" s="169"/>
      <c r="AN455" s="169"/>
      <c r="AO455" s="169"/>
      <c r="AP455" s="169"/>
      <c r="AQ455" s="169"/>
      <c r="AR455" s="169"/>
      <c r="AS455" s="169"/>
      <c r="AT455" s="169"/>
      <c r="AU455" s="169"/>
      <c r="AV455" s="169"/>
      <c r="AW455" s="169"/>
      <c r="AX455" s="169"/>
      <c r="AY455" s="169"/>
      <c r="AZ455" s="169"/>
      <c r="BA455" s="169"/>
      <c r="BB455" s="169"/>
      <c r="BC455" s="169"/>
      <c r="BD455" s="169"/>
      <c r="BE455" s="169"/>
      <c r="BF455" s="169"/>
      <c r="BG455" s="169"/>
      <c r="BH455" s="169"/>
      <c r="BI455" s="169"/>
      <c r="BJ455" s="169"/>
      <c r="BK455" s="169"/>
      <c r="BL455" s="169"/>
      <c r="BM455" s="169"/>
      <c r="BN455" s="169"/>
      <c r="BO455" s="169"/>
      <c r="BP455" s="169"/>
      <c r="BQ455" s="169"/>
      <c r="BR455" s="169"/>
      <c r="BS455" s="169"/>
      <c r="BT455" s="169"/>
      <c r="BU455" s="169"/>
      <c r="BV455" s="169"/>
      <c r="BW455" s="169"/>
      <c r="BX455" s="169"/>
      <c r="BY455" s="169"/>
      <c r="BZ455" s="169"/>
      <c r="CA455" s="169"/>
      <c r="CB455" s="169"/>
      <c r="CC455" s="169"/>
      <c r="CD455" s="169"/>
      <c r="CE455" s="169"/>
      <c r="CF455" s="169"/>
      <c r="CG455" s="169"/>
      <c r="CH455" s="169"/>
      <c r="CI455" s="169"/>
      <c r="CJ455" s="169"/>
      <c r="CK455" s="169"/>
      <c r="CL455" s="169"/>
      <c r="CM455" s="169"/>
      <c r="CN455" s="169"/>
      <c r="CO455" s="169"/>
      <c r="CP455" s="169"/>
      <c r="CQ455" s="169"/>
      <c r="CR455" s="169"/>
      <c r="CS455" s="169"/>
      <c r="CT455" s="169"/>
      <c r="CU455" s="169"/>
      <c r="CV455" s="169"/>
      <c r="CW455" s="169"/>
      <c r="CX455" s="169"/>
      <c r="CY455" s="169"/>
      <c r="CZ455" s="169"/>
      <c r="DA455" s="169"/>
      <c r="DB455" s="169"/>
      <c r="DC455" s="169"/>
      <c r="DD455" s="169"/>
      <c r="DE455" s="169"/>
      <c r="DF455" s="169"/>
      <c r="DG455" s="169"/>
      <c r="DH455" s="169"/>
      <c r="DI455" s="169"/>
      <c r="DJ455" s="169"/>
      <c r="DK455" s="169"/>
      <c r="DL455" s="169"/>
      <c r="DM455" s="169"/>
      <c r="DN455" s="169"/>
      <c r="DO455" s="169"/>
      <c r="DP455" s="169"/>
      <c r="DQ455" s="169"/>
      <c r="DR455" s="169"/>
      <c r="DS455" s="169"/>
      <c r="DT455" s="169"/>
      <c r="DU455" s="169"/>
      <c r="DV455" s="169"/>
      <c r="DW455" s="169"/>
      <c r="DX455" s="169"/>
      <c r="DY455" s="169"/>
      <c r="DZ455" s="169"/>
      <c r="EA455" s="169"/>
      <c r="EB455" s="169"/>
      <c r="EC455" s="169"/>
      <c r="ED455" s="169"/>
      <c r="EE455" s="169"/>
      <c r="EF455" s="169"/>
      <c r="EG455" s="169"/>
      <c r="EH455" s="169"/>
      <c r="EI455" s="169"/>
      <c r="EJ455" s="169"/>
      <c r="EK455" s="169"/>
      <c r="EL455" s="169"/>
      <c r="EM455" s="169"/>
      <c r="EN455" s="169"/>
      <c r="EO455" s="169"/>
      <c r="EP455" s="169"/>
      <c r="EQ455" s="169"/>
      <c r="ER455" s="169"/>
      <c r="ES455" s="169"/>
      <c r="ET455" s="169"/>
      <c r="EU455" s="169"/>
      <c r="EV455" s="169"/>
      <c r="EW455" s="169"/>
      <c r="EX455" s="169"/>
      <c r="EY455" s="169"/>
      <c r="EZ455" s="169"/>
      <c r="FA455" s="169"/>
      <c r="FB455" s="169"/>
      <c r="FC455" s="169"/>
      <c r="FD455" s="169"/>
      <c r="FE455" s="169"/>
      <c r="FF455" s="169"/>
      <c r="FG455" s="169"/>
      <c r="FH455" s="169"/>
      <c r="FI455" s="169"/>
      <c r="FJ455" s="169"/>
      <c r="FK455" s="169"/>
      <c r="FL455" s="169"/>
      <c r="FM455" s="169"/>
      <c r="FN455" s="169"/>
      <c r="FO455" s="169"/>
      <c r="FP455" s="169"/>
      <c r="FQ455" s="169"/>
      <c r="FR455" s="169"/>
      <c r="FS455" s="169"/>
      <c r="FT455" s="169"/>
      <c r="FU455" s="169"/>
      <c r="FV455" s="169"/>
      <c r="FW455" s="169"/>
      <c r="FX455" s="169"/>
      <c r="FY455" s="169"/>
      <c r="FZ455" s="169"/>
      <c r="GA455" s="169"/>
      <c r="GB455" s="169"/>
      <c r="GC455" s="169"/>
      <c r="GD455" s="169"/>
      <c r="GE455" s="169"/>
      <c r="GF455" s="169"/>
      <c r="GG455" s="169"/>
      <c r="GH455" s="169"/>
      <c r="GI455" s="169"/>
      <c r="GJ455" s="169"/>
    </row>
    <row r="456" spans="3:192" ht="12.75" customHeight="1">
      <c r="C456" s="169"/>
      <c r="D456" s="169"/>
      <c r="E456" s="169"/>
      <c r="F456" s="169"/>
      <c r="G456" s="169"/>
      <c r="H456" s="169"/>
      <c r="I456" s="169"/>
      <c r="J456" s="169"/>
      <c r="K456" s="169"/>
      <c r="L456" s="169"/>
      <c r="M456" s="169"/>
      <c r="N456" s="169"/>
      <c r="O456" s="169"/>
      <c r="P456" s="169"/>
      <c r="Q456" s="169"/>
      <c r="R456" s="169"/>
      <c r="S456" s="169"/>
      <c r="T456" s="169"/>
      <c r="U456" s="169"/>
      <c r="V456" s="169"/>
      <c r="W456" s="169"/>
      <c r="X456" s="169"/>
      <c r="Y456" s="169"/>
      <c r="Z456" s="169"/>
      <c r="AA456" s="169"/>
      <c r="AB456" s="169"/>
      <c r="AC456" s="169"/>
      <c r="AD456" s="169"/>
      <c r="AE456" s="169"/>
      <c r="AF456" s="169"/>
      <c r="AG456" s="169"/>
      <c r="AH456" s="169"/>
      <c r="AI456" s="169"/>
      <c r="AJ456" s="169"/>
      <c r="AK456" s="169"/>
      <c r="AL456" s="169"/>
      <c r="AM456" s="169"/>
      <c r="AN456" s="169"/>
      <c r="AO456" s="169"/>
      <c r="AP456" s="169"/>
      <c r="AQ456" s="169"/>
      <c r="AR456" s="169"/>
      <c r="AS456" s="169"/>
      <c r="AT456" s="169"/>
      <c r="AU456" s="169"/>
      <c r="AV456" s="169"/>
      <c r="AW456" s="169"/>
      <c r="AX456" s="169"/>
      <c r="AY456" s="169"/>
      <c r="AZ456" s="169"/>
      <c r="BA456" s="169"/>
      <c r="BB456" s="169"/>
      <c r="BC456" s="169"/>
      <c r="BD456" s="169"/>
      <c r="BE456" s="169"/>
      <c r="BF456" s="169"/>
      <c r="BG456" s="169"/>
      <c r="BH456" s="169"/>
      <c r="BI456" s="169"/>
      <c r="BJ456" s="169"/>
      <c r="BK456" s="169"/>
      <c r="BL456" s="169"/>
      <c r="BM456" s="169"/>
      <c r="BN456" s="169"/>
      <c r="BO456" s="169"/>
      <c r="BP456" s="169"/>
      <c r="BQ456" s="169"/>
      <c r="BR456" s="169"/>
      <c r="BS456" s="169"/>
      <c r="BT456" s="169"/>
      <c r="BU456" s="169"/>
      <c r="BV456" s="169"/>
      <c r="BW456" s="169"/>
      <c r="BX456" s="169"/>
      <c r="BY456" s="169"/>
      <c r="BZ456" s="169"/>
      <c r="CA456" s="169"/>
      <c r="CB456" s="169"/>
      <c r="CC456" s="169"/>
      <c r="CD456" s="169"/>
      <c r="CE456" s="169"/>
      <c r="CF456" s="169"/>
      <c r="CG456" s="169"/>
      <c r="CH456" s="169"/>
      <c r="CI456" s="169"/>
      <c r="CJ456" s="169"/>
      <c r="CK456" s="169"/>
      <c r="CL456" s="169"/>
      <c r="CM456" s="169"/>
      <c r="CN456" s="169"/>
      <c r="CO456" s="169"/>
      <c r="CP456" s="169"/>
      <c r="CQ456" s="169"/>
      <c r="CR456" s="169"/>
      <c r="CS456" s="169"/>
      <c r="CT456" s="169"/>
      <c r="CU456" s="169"/>
      <c r="CV456" s="169"/>
      <c r="CW456" s="169"/>
      <c r="CX456" s="169"/>
      <c r="CY456" s="169"/>
      <c r="CZ456" s="169"/>
      <c r="DA456" s="169"/>
      <c r="DB456" s="169"/>
      <c r="DC456" s="169"/>
      <c r="DD456" s="169"/>
      <c r="DE456" s="169"/>
      <c r="DF456" s="169"/>
      <c r="DG456" s="169"/>
      <c r="DH456" s="169"/>
      <c r="DI456" s="169"/>
      <c r="DJ456" s="169"/>
      <c r="DK456" s="169"/>
      <c r="DL456" s="169"/>
      <c r="DM456" s="169"/>
      <c r="DN456" s="169"/>
      <c r="DO456" s="169"/>
      <c r="DP456" s="169"/>
      <c r="DQ456" s="169"/>
      <c r="DR456" s="169"/>
      <c r="DS456" s="169"/>
      <c r="DT456" s="169"/>
      <c r="DU456" s="169"/>
      <c r="DV456" s="169"/>
      <c r="DW456" s="169"/>
      <c r="DX456" s="169"/>
      <c r="DY456" s="169"/>
      <c r="DZ456" s="169"/>
      <c r="EA456" s="169"/>
      <c r="EB456" s="169"/>
      <c r="EC456" s="169"/>
      <c r="ED456" s="169"/>
      <c r="EE456" s="169"/>
      <c r="EF456" s="169"/>
      <c r="EG456" s="169"/>
      <c r="EH456" s="169"/>
      <c r="EI456" s="169"/>
      <c r="EJ456" s="169"/>
      <c r="EK456" s="169"/>
      <c r="EL456" s="169"/>
      <c r="EM456" s="169"/>
      <c r="EN456" s="169"/>
      <c r="EO456" s="169"/>
      <c r="EP456" s="169"/>
      <c r="EQ456" s="169"/>
      <c r="ER456" s="169"/>
      <c r="ES456" s="169"/>
      <c r="ET456" s="169"/>
      <c r="EU456" s="169"/>
      <c r="EV456" s="169"/>
      <c r="EW456" s="169"/>
      <c r="EX456" s="169"/>
      <c r="EY456" s="169"/>
      <c r="EZ456" s="169"/>
      <c r="FA456" s="169"/>
      <c r="FB456" s="169"/>
      <c r="FC456" s="169"/>
      <c r="FD456" s="169"/>
      <c r="FE456" s="169"/>
      <c r="FF456" s="169"/>
      <c r="FG456" s="169"/>
      <c r="FH456" s="169"/>
      <c r="FI456" s="169"/>
      <c r="FJ456" s="169"/>
      <c r="FK456" s="169"/>
      <c r="FL456" s="169"/>
      <c r="FM456" s="169"/>
      <c r="FN456" s="169"/>
      <c r="FO456" s="169"/>
      <c r="FP456" s="169"/>
      <c r="FQ456" s="169"/>
      <c r="FR456" s="169"/>
      <c r="FS456" s="169"/>
      <c r="FT456" s="169"/>
      <c r="FU456" s="169"/>
      <c r="FV456" s="169"/>
      <c r="FW456" s="169"/>
      <c r="FX456" s="169"/>
      <c r="FY456" s="169"/>
      <c r="FZ456" s="169"/>
      <c r="GA456" s="169"/>
      <c r="GB456" s="169"/>
      <c r="GC456" s="169"/>
      <c r="GD456" s="169"/>
      <c r="GE456" s="169"/>
      <c r="GF456" s="169"/>
      <c r="GG456" s="169"/>
      <c r="GH456" s="169"/>
      <c r="GI456" s="169"/>
      <c r="GJ456" s="169"/>
    </row>
    <row r="457" spans="3:192" ht="12.75" customHeight="1">
      <c r="C457" s="169"/>
      <c r="D457" s="169"/>
      <c r="E457" s="169"/>
      <c r="F457" s="169"/>
      <c r="G457" s="169"/>
      <c r="H457" s="169"/>
      <c r="I457" s="169"/>
      <c r="J457" s="169"/>
      <c r="K457" s="169"/>
      <c r="L457" s="169"/>
      <c r="M457" s="169"/>
      <c r="N457" s="169"/>
      <c r="O457" s="169"/>
      <c r="P457" s="169"/>
      <c r="Q457" s="169"/>
      <c r="R457" s="169"/>
      <c r="S457" s="169"/>
      <c r="T457" s="169"/>
      <c r="U457" s="169"/>
      <c r="V457" s="169"/>
      <c r="W457" s="169"/>
      <c r="X457" s="169"/>
      <c r="Y457" s="169"/>
      <c r="Z457" s="169"/>
      <c r="AA457" s="169"/>
      <c r="AB457" s="169"/>
      <c r="AC457" s="169"/>
      <c r="AD457" s="169"/>
      <c r="AE457" s="169"/>
      <c r="AF457" s="169"/>
      <c r="AG457" s="169"/>
      <c r="AH457" s="169"/>
      <c r="AI457" s="169"/>
      <c r="AJ457" s="169"/>
      <c r="AK457" s="169"/>
      <c r="AL457" s="169"/>
      <c r="AM457" s="169"/>
      <c r="AN457" s="169"/>
      <c r="AO457" s="169"/>
      <c r="AP457" s="169"/>
      <c r="AQ457" s="169"/>
      <c r="AR457" s="169"/>
      <c r="AS457" s="169"/>
      <c r="AT457" s="169"/>
      <c r="AU457" s="169"/>
      <c r="AV457" s="169"/>
      <c r="AW457" s="169"/>
      <c r="AX457" s="169"/>
      <c r="AY457" s="169"/>
      <c r="AZ457" s="169"/>
      <c r="BA457" s="169"/>
      <c r="BB457" s="169"/>
      <c r="BC457" s="169"/>
      <c r="BD457" s="169"/>
      <c r="BE457" s="169"/>
      <c r="BF457" s="169"/>
      <c r="BG457" s="169"/>
      <c r="BH457" s="169"/>
      <c r="BI457" s="169"/>
      <c r="BJ457" s="169"/>
      <c r="BK457" s="169"/>
      <c r="BL457" s="169"/>
      <c r="BM457" s="169"/>
      <c r="BN457" s="169"/>
      <c r="BO457" s="169"/>
      <c r="BP457" s="169"/>
      <c r="BQ457" s="169"/>
      <c r="BR457" s="169"/>
      <c r="BS457" s="169"/>
      <c r="BT457" s="169"/>
      <c r="BU457" s="169"/>
      <c r="BV457" s="169"/>
      <c r="BW457" s="169"/>
      <c r="BX457" s="169"/>
      <c r="BY457" s="169"/>
      <c r="BZ457" s="169"/>
      <c r="CA457" s="169"/>
      <c r="CB457" s="169"/>
      <c r="CC457" s="169"/>
      <c r="CD457" s="169"/>
      <c r="CE457" s="169"/>
      <c r="CF457" s="169"/>
      <c r="CG457" s="169"/>
      <c r="CH457" s="169"/>
      <c r="CI457" s="169"/>
      <c r="CJ457" s="169"/>
      <c r="CK457" s="169"/>
      <c r="CL457" s="169"/>
      <c r="CM457" s="169"/>
      <c r="CN457" s="169"/>
      <c r="CO457" s="169"/>
      <c r="CP457" s="169"/>
      <c r="CQ457" s="169"/>
      <c r="CR457" s="169"/>
      <c r="CS457" s="169"/>
      <c r="CT457" s="169"/>
      <c r="CU457" s="169"/>
      <c r="CV457" s="169"/>
      <c r="CW457" s="169"/>
      <c r="CX457" s="169"/>
      <c r="CY457" s="169"/>
      <c r="CZ457" s="169"/>
      <c r="DA457" s="169"/>
      <c r="DB457" s="169"/>
      <c r="DC457" s="169"/>
      <c r="DD457" s="169"/>
      <c r="DE457" s="169"/>
      <c r="DF457" s="169"/>
      <c r="DG457" s="169"/>
      <c r="DH457" s="169"/>
      <c r="DI457" s="169"/>
      <c r="DJ457" s="169"/>
      <c r="DK457" s="169"/>
      <c r="DL457" s="169"/>
      <c r="DM457" s="169"/>
      <c r="DN457" s="169"/>
      <c r="DO457" s="169"/>
      <c r="DP457" s="169"/>
      <c r="DQ457" s="169"/>
      <c r="DR457" s="169"/>
      <c r="DS457" s="169"/>
      <c r="DT457" s="169"/>
      <c r="DU457" s="169"/>
      <c r="DV457" s="169"/>
      <c r="DW457" s="169"/>
      <c r="DX457" s="169"/>
      <c r="DY457" s="169"/>
      <c r="DZ457" s="169"/>
      <c r="EA457" s="169"/>
      <c r="EB457" s="169"/>
      <c r="EC457" s="169"/>
      <c r="ED457" s="169"/>
      <c r="EE457" s="169"/>
      <c r="EF457" s="169"/>
      <c r="EG457" s="169"/>
      <c r="EH457" s="169"/>
      <c r="EI457" s="169"/>
      <c r="EJ457" s="169"/>
      <c r="EK457" s="169"/>
      <c r="EL457" s="169"/>
      <c r="EM457" s="169"/>
      <c r="EN457" s="169"/>
      <c r="EO457" s="169"/>
      <c r="EP457" s="169"/>
      <c r="EQ457" s="169"/>
      <c r="ER457" s="169"/>
      <c r="ES457" s="169"/>
      <c r="ET457" s="169"/>
      <c r="EU457" s="169"/>
      <c r="EV457" s="169"/>
      <c r="EW457" s="169"/>
      <c r="EX457" s="169"/>
      <c r="EY457" s="169"/>
      <c r="EZ457" s="169"/>
      <c r="FA457" s="169"/>
      <c r="FB457" s="169"/>
      <c r="FC457" s="169"/>
      <c r="FD457" s="169"/>
      <c r="FE457" s="169"/>
      <c r="FF457" s="169"/>
      <c r="FG457" s="169"/>
      <c r="FH457" s="169"/>
      <c r="FI457" s="169"/>
      <c r="FJ457" s="169"/>
      <c r="FK457" s="169"/>
      <c r="FL457" s="169"/>
      <c r="FM457" s="169"/>
      <c r="FN457" s="169"/>
      <c r="FO457" s="169"/>
      <c r="FP457" s="169"/>
      <c r="FQ457" s="169"/>
      <c r="FR457" s="169"/>
      <c r="FS457" s="169"/>
      <c r="FT457" s="169"/>
      <c r="FU457" s="169"/>
      <c r="FV457" s="169"/>
      <c r="FW457" s="169"/>
      <c r="FX457" s="169"/>
      <c r="FY457" s="169"/>
      <c r="FZ457" s="169"/>
      <c r="GA457" s="169"/>
      <c r="GB457" s="169"/>
      <c r="GC457" s="169"/>
      <c r="GD457" s="169"/>
      <c r="GE457" s="169"/>
      <c r="GF457" s="169"/>
      <c r="GG457" s="169"/>
      <c r="GH457" s="169"/>
      <c r="GI457" s="169"/>
      <c r="GJ457" s="169"/>
    </row>
    <row r="458" spans="3:192" ht="12.75" customHeight="1">
      <c r="C458" s="225"/>
      <c r="D458" s="225"/>
      <c r="E458" s="225"/>
      <c r="F458" s="225"/>
      <c r="G458" s="225"/>
      <c r="H458" s="225"/>
      <c r="I458" s="225"/>
      <c r="J458" s="225"/>
      <c r="K458" s="225"/>
      <c r="L458" s="225"/>
      <c r="M458" s="225"/>
      <c r="N458" s="225"/>
      <c r="O458" s="225"/>
      <c r="P458" s="225"/>
      <c r="Q458" s="225"/>
      <c r="R458" s="225"/>
      <c r="S458" s="225"/>
      <c r="T458" s="225"/>
      <c r="U458" s="225"/>
      <c r="V458" s="225"/>
      <c r="W458" s="225"/>
      <c r="X458" s="225"/>
      <c r="Y458" s="225"/>
      <c r="Z458" s="225"/>
      <c r="AA458" s="225"/>
      <c r="AB458" s="225"/>
      <c r="AC458" s="225"/>
      <c r="AD458" s="225"/>
      <c r="AE458" s="225"/>
      <c r="AF458" s="225"/>
      <c r="AG458" s="225"/>
      <c r="AH458" s="225"/>
      <c r="AI458" s="225"/>
      <c r="AJ458" s="225"/>
      <c r="AK458" s="225"/>
      <c r="AL458" s="225"/>
      <c r="AM458" s="225"/>
      <c r="AN458" s="225"/>
      <c r="AO458" s="225"/>
      <c r="AP458" s="225"/>
      <c r="AQ458" s="225"/>
      <c r="AR458" s="225"/>
      <c r="AS458" s="225"/>
      <c r="AT458" s="225"/>
      <c r="AU458" s="225"/>
      <c r="AV458" s="225"/>
      <c r="AW458" s="225"/>
      <c r="AX458" s="225"/>
      <c r="AY458" s="225"/>
      <c r="AZ458" s="225"/>
      <c r="BA458" s="225"/>
      <c r="BB458" s="225"/>
      <c r="BC458" s="225"/>
      <c r="BD458" s="225"/>
      <c r="BE458" s="225"/>
      <c r="BF458" s="225"/>
      <c r="BG458" s="225"/>
      <c r="BH458" s="225"/>
      <c r="BI458" s="225"/>
      <c r="BJ458" s="225"/>
      <c r="BK458" s="225"/>
      <c r="BL458" s="225"/>
      <c r="BM458" s="225"/>
      <c r="BN458" s="225"/>
      <c r="BO458" s="225"/>
      <c r="BP458" s="225"/>
      <c r="BQ458" s="225"/>
      <c r="BR458" s="225"/>
      <c r="BS458" s="225"/>
      <c r="BT458" s="225"/>
      <c r="BU458" s="225"/>
      <c r="BV458" s="225"/>
      <c r="BW458" s="225"/>
      <c r="BX458" s="225"/>
      <c r="BY458" s="225"/>
      <c r="BZ458" s="225"/>
      <c r="CA458" s="225"/>
      <c r="CB458" s="225"/>
      <c r="CC458" s="225"/>
      <c r="CD458" s="225"/>
      <c r="CE458" s="225"/>
      <c r="CF458" s="225"/>
      <c r="CG458" s="225"/>
      <c r="CH458" s="225"/>
      <c r="CI458" s="225"/>
      <c r="CJ458" s="225"/>
      <c r="CK458" s="225"/>
      <c r="CL458" s="225"/>
      <c r="CM458" s="225"/>
      <c r="CN458" s="225"/>
      <c r="CO458" s="225"/>
      <c r="CP458" s="225"/>
      <c r="CQ458" s="225"/>
      <c r="CR458" s="225"/>
      <c r="CS458" s="225"/>
      <c r="CT458" s="225"/>
      <c r="CU458" s="225"/>
      <c r="CV458" s="225"/>
      <c r="CW458" s="225"/>
      <c r="CX458" s="225"/>
      <c r="CY458" s="225"/>
      <c r="CZ458" s="225"/>
      <c r="DA458" s="225"/>
      <c r="DB458" s="225"/>
      <c r="DC458" s="225"/>
      <c r="DD458" s="225"/>
      <c r="DE458" s="225"/>
      <c r="DF458" s="225"/>
      <c r="DG458" s="225"/>
      <c r="DH458" s="225"/>
      <c r="DI458" s="225"/>
      <c r="DJ458" s="225"/>
      <c r="DK458" s="225"/>
      <c r="DL458" s="225"/>
      <c r="DM458" s="225"/>
      <c r="DN458" s="225"/>
      <c r="DO458" s="225"/>
      <c r="DP458" s="225"/>
      <c r="DQ458" s="225"/>
      <c r="DR458" s="225"/>
      <c r="DS458" s="225"/>
      <c r="DT458" s="225"/>
      <c r="DU458" s="225"/>
      <c r="DV458" s="225"/>
      <c r="DW458" s="225"/>
      <c r="DX458" s="225"/>
      <c r="DY458" s="225"/>
      <c r="DZ458" s="225"/>
      <c r="EA458" s="225"/>
      <c r="EB458" s="225"/>
      <c r="EC458" s="225"/>
      <c r="ED458" s="225"/>
      <c r="EE458" s="225"/>
      <c r="EF458" s="225"/>
      <c r="EG458" s="225"/>
      <c r="EH458" s="225"/>
      <c r="EI458" s="225"/>
      <c r="EJ458" s="225"/>
      <c r="EK458" s="225"/>
      <c r="EL458" s="225"/>
      <c r="EM458" s="225"/>
      <c r="EN458" s="225"/>
      <c r="EO458" s="225"/>
      <c r="EP458" s="225"/>
      <c r="EQ458" s="225"/>
      <c r="ER458" s="225"/>
      <c r="ES458" s="225"/>
      <c r="ET458" s="225"/>
      <c r="EU458" s="225"/>
      <c r="EV458" s="225"/>
      <c r="EW458" s="225"/>
      <c r="EX458" s="225"/>
      <c r="EY458" s="225"/>
      <c r="EZ458" s="225"/>
      <c r="FA458" s="225"/>
      <c r="FB458" s="225"/>
      <c r="FC458" s="225"/>
      <c r="FD458" s="225"/>
      <c r="FE458" s="225"/>
      <c r="FF458" s="225"/>
      <c r="FG458" s="225"/>
      <c r="FH458" s="225"/>
      <c r="FI458" s="225"/>
      <c r="FJ458" s="225"/>
      <c r="FK458" s="225"/>
      <c r="FL458" s="225"/>
      <c r="FM458" s="225"/>
      <c r="FN458" s="225"/>
      <c r="FO458" s="225"/>
      <c r="FP458" s="225"/>
      <c r="FQ458" s="225"/>
      <c r="FR458" s="225"/>
      <c r="FS458" s="225"/>
      <c r="FT458" s="225"/>
      <c r="FU458" s="225"/>
      <c r="FV458" s="225"/>
      <c r="FW458" s="225"/>
      <c r="FX458" s="225"/>
      <c r="FY458" s="225"/>
      <c r="FZ458" s="225"/>
      <c r="GA458" s="225"/>
      <c r="GB458" s="225"/>
      <c r="GC458" s="225"/>
      <c r="GD458" s="225"/>
      <c r="GE458" s="225"/>
      <c r="GF458" s="225"/>
      <c r="GG458" s="225"/>
      <c r="GH458" s="225"/>
      <c r="GI458" s="225"/>
      <c r="GJ458" s="225"/>
    </row>
    <row r="459" spans="3:192" ht="12.75" customHeight="1">
      <c r="C459" s="106"/>
      <c r="D459" s="106"/>
      <c r="E459" s="106"/>
      <c r="F459" s="106"/>
      <c r="G459" s="106"/>
      <c r="H459" s="106"/>
      <c r="I459" s="106"/>
      <c r="J459" s="106"/>
      <c r="K459" s="106"/>
      <c r="L459" s="106"/>
      <c r="M459" s="106"/>
      <c r="N459" s="106"/>
      <c r="O459" s="106"/>
      <c r="P459" s="106"/>
      <c r="Q459" s="106"/>
      <c r="R459" s="106"/>
      <c r="S459" s="106"/>
      <c r="T459" s="106"/>
      <c r="U459" s="106"/>
      <c r="V459" s="106"/>
      <c r="W459" s="106"/>
      <c r="X459" s="106"/>
      <c r="Y459" s="106"/>
      <c r="Z459" s="106"/>
      <c r="AA459" s="106"/>
      <c r="AB459" s="106"/>
      <c r="AC459" s="106"/>
      <c r="AD459" s="106"/>
      <c r="AE459" s="106"/>
      <c r="AF459" s="106"/>
      <c r="AG459" s="106"/>
      <c r="AH459" s="106"/>
      <c r="AI459" s="106"/>
      <c r="AJ459" s="106"/>
      <c r="AK459" s="106"/>
      <c r="AL459" s="106"/>
      <c r="AM459" s="106"/>
      <c r="AN459" s="106"/>
      <c r="AO459" s="106"/>
      <c r="AP459" s="106"/>
      <c r="AQ459" s="106"/>
      <c r="AR459" s="106"/>
      <c r="AS459" s="106"/>
      <c r="AT459" s="106"/>
      <c r="AU459" s="106"/>
      <c r="AV459" s="106"/>
      <c r="AW459" s="106"/>
      <c r="AX459" s="106"/>
      <c r="AY459" s="106"/>
      <c r="AZ459" s="106"/>
      <c r="BA459" s="106"/>
      <c r="BB459" s="106"/>
      <c r="BC459" s="106"/>
      <c r="BD459" s="106"/>
      <c r="BE459" s="106"/>
      <c r="BF459" s="106"/>
      <c r="BG459" s="106"/>
      <c r="BH459" s="106"/>
      <c r="BI459" s="106"/>
      <c r="BJ459" s="106"/>
      <c r="BK459" s="106"/>
      <c r="BL459" s="106"/>
      <c r="BM459" s="106"/>
      <c r="BN459" s="106"/>
      <c r="BO459" s="106"/>
      <c r="BP459" s="106"/>
      <c r="BQ459" s="106"/>
      <c r="BR459" s="106"/>
      <c r="BS459" s="106"/>
      <c r="BT459" s="106"/>
      <c r="BU459" s="106"/>
      <c r="BV459" s="106"/>
      <c r="BW459" s="106"/>
      <c r="BX459" s="106"/>
      <c r="BY459" s="106"/>
      <c r="BZ459" s="106"/>
      <c r="CA459" s="106"/>
      <c r="CB459" s="106"/>
      <c r="CC459" s="106"/>
      <c r="CD459" s="106"/>
      <c r="CE459" s="106"/>
      <c r="CF459" s="106"/>
      <c r="CG459" s="106"/>
      <c r="CH459" s="106"/>
      <c r="CI459" s="106"/>
      <c r="CJ459" s="106"/>
      <c r="CK459" s="106"/>
      <c r="CL459" s="106"/>
      <c r="CM459" s="106"/>
      <c r="CN459" s="106"/>
      <c r="CO459" s="106"/>
      <c r="CP459" s="106"/>
      <c r="CQ459" s="106"/>
      <c r="CR459" s="106"/>
      <c r="CS459" s="106"/>
      <c r="CT459" s="106"/>
      <c r="CU459" s="106"/>
      <c r="CV459" s="106"/>
      <c r="CW459" s="106"/>
      <c r="CX459" s="106"/>
      <c r="CY459" s="106"/>
      <c r="CZ459" s="106"/>
      <c r="DA459" s="106"/>
      <c r="DB459" s="106"/>
      <c r="DC459" s="106"/>
      <c r="DD459" s="106"/>
      <c r="DE459" s="106"/>
      <c r="DF459" s="106"/>
      <c r="DG459" s="106"/>
      <c r="DH459" s="106"/>
      <c r="DI459" s="106"/>
      <c r="DJ459" s="106"/>
      <c r="DK459" s="106"/>
      <c r="DL459" s="106"/>
      <c r="DM459" s="106"/>
      <c r="DN459" s="106"/>
      <c r="DO459" s="106"/>
      <c r="DP459" s="106"/>
      <c r="DQ459" s="106"/>
      <c r="DR459" s="106"/>
      <c r="DS459" s="106"/>
      <c r="DT459" s="106"/>
      <c r="DU459" s="106"/>
      <c r="DV459" s="106"/>
      <c r="DW459" s="106"/>
      <c r="DX459" s="106"/>
      <c r="DY459" s="106"/>
      <c r="DZ459" s="106"/>
      <c r="EA459" s="106"/>
      <c r="EB459" s="106"/>
      <c r="EC459" s="106"/>
      <c r="ED459" s="106"/>
      <c r="EE459" s="106"/>
      <c r="EF459" s="106"/>
      <c r="EG459" s="106"/>
      <c r="EH459" s="106"/>
      <c r="EI459" s="106"/>
      <c r="EJ459" s="106"/>
      <c r="EK459" s="106"/>
      <c r="EL459" s="106"/>
      <c r="EM459" s="106"/>
      <c r="EN459" s="106"/>
      <c r="EO459" s="106"/>
      <c r="EP459" s="106"/>
      <c r="EQ459" s="106"/>
      <c r="ER459" s="106"/>
      <c r="ES459" s="106"/>
      <c r="ET459" s="106"/>
      <c r="EU459" s="106"/>
      <c r="EV459" s="106"/>
      <c r="EW459" s="106"/>
      <c r="EX459" s="106"/>
      <c r="EY459" s="106"/>
      <c r="EZ459" s="106"/>
      <c r="FA459" s="106"/>
      <c r="FB459" s="106"/>
      <c r="FC459" s="106"/>
      <c r="FD459" s="106"/>
      <c r="FE459" s="106"/>
      <c r="FF459" s="106"/>
      <c r="FG459" s="106"/>
      <c r="FH459" s="106"/>
      <c r="FI459" s="106"/>
      <c r="FJ459" s="106"/>
      <c r="FK459" s="106"/>
      <c r="FL459" s="106"/>
      <c r="FM459" s="106"/>
      <c r="FN459" s="106"/>
      <c r="FO459" s="106"/>
      <c r="FP459" s="106"/>
      <c r="FQ459" s="106"/>
      <c r="FR459" s="106"/>
      <c r="FS459" s="106"/>
      <c r="FT459" s="106"/>
      <c r="FU459" s="106"/>
      <c r="FV459" s="106"/>
      <c r="FW459" s="106"/>
      <c r="FX459" s="106"/>
      <c r="FY459" s="106"/>
      <c r="FZ459" s="106"/>
      <c r="GA459" s="106"/>
      <c r="GB459" s="106"/>
      <c r="GC459" s="106"/>
      <c r="GD459" s="106"/>
      <c r="GE459" s="106"/>
      <c r="GF459" s="106"/>
      <c r="GG459" s="106"/>
      <c r="GH459" s="106"/>
      <c r="GI459" s="106"/>
      <c r="GJ459" s="106"/>
    </row>
    <row r="460" spans="3:192" ht="12.75" customHeight="1">
      <c r="C460" s="106"/>
      <c r="D460" s="106"/>
      <c r="E460" s="106"/>
      <c r="F460" s="106"/>
      <c r="G460" s="106"/>
      <c r="H460" s="106"/>
      <c r="I460" s="106"/>
      <c r="J460" s="106"/>
      <c r="K460" s="106"/>
      <c r="L460" s="106"/>
      <c r="M460" s="106"/>
      <c r="N460" s="106"/>
      <c r="O460" s="106"/>
      <c r="P460" s="106"/>
      <c r="Q460" s="106"/>
      <c r="R460" s="106"/>
      <c r="S460" s="106"/>
      <c r="T460" s="106"/>
      <c r="U460" s="106"/>
      <c r="V460" s="106"/>
      <c r="W460" s="106"/>
      <c r="X460" s="106"/>
      <c r="Y460" s="106"/>
      <c r="Z460" s="106"/>
      <c r="AA460" s="106"/>
      <c r="AB460" s="106"/>
      <c r="AC460" s="106"/>
      <c r="AD460" s="106"/>
      <c r="AE460" s="106"/>
      <c r="AF460" s="106"/>
      <c r="AG460" s="106"/>
      <c r="AH460" s="106"/>
      <c r="AI460" s="106"/>
      <c r="AJ460" s="106"/>
      <c r="AK460" s="106"/>
      <c r="AL460" s="106"/>
      <c r="AM460" s="106"/>
      <c r="AN460" s="106"/>
      <c r="AO460" s="106"/>
      <c r="AP460" s="106"/>
      <c r="AQ460" s="106"/>
      <c r="AR460" s="106"/>
      <c r="AS460" s="106"/>
      <c r="AT460" s="106"/>
      <c r="AU460" s="106"/>
      <c r="AV460" s="106"/>
      <c r="AW460" s="106"/>
      <c r="AX460" s="106"/>
      <c r="AY460" s="106"/>
      <c r="AZ460" s="106"/>
      <c r="BA460" s="106"/>
      <c r="BB460" s="106"/>
      <c r="BC460" s="106"/>
      <c r="BD460" s="106"/>
      <c r="BE460" s="106"/>
      <c r="BF460" s="106"/>
      <c r="BG460" s="106"/>
      <c r="BH460" s="106"/>
      <c r="BI460" s="106"/>
      <c r="BJ460" s="106"/>
      <c r="BK460" s="106"/>
      <c r="BL460" s="106"/>
      <c r="BM460" s="106"/>
      <c r="BN460" s="106"/>
      <c r="BO460" s="106"/>
      <c r="BP460" s="106"/>
      <c r="BQ460" s="106"/>
      <c r="BR460" s="106"/>
      <c r="BS460" s="106"/>
      <c r="BT460" s="106"/>
      <c r="BU460" s="106"/>
      <c r="BV460" s="106"/>
      <c r="BW460" s="106"/>
      <c r="BX460" s="106"/>
      <c r="BY460" s="106"/>
      <c r="BZ460" s="106"/>
      <c r="CA460" s="106"/>
      <c r="CB460" s="106"/>
      <c r="CC460" s="106"/>
      <c r="CD460" s="106"/>
      <c r="CE460" s="106"/>
      <c r="CF460" s="106"/>
      <c r="CG460" s="106"/>
      <c r="CH460" s="106"/>
      <c r="CI460" s="106"/>
      <c r="CJ460" s="106"/>
      <c r="CK460" s="106"/>
      <c r="CL460" s="106"/>
      <c r="CM460" s="106"/>
      <c r="CN460" s="106"/>
      <c r="CO460" s="106"/>
      <c r="CP460" s="106"/>
      <c r="CQ460" s="106"/>
      <c r="CR460" s="106"/>
      <c r="CS460" s="106"/>
      <c r="CT460" s="106"/>
      <c r="CU460" s="106"/>
      <c r="CV460" s="106"/>
      <c r="CW460" s="106"/>
      <c r="CX460" s="106"/>
      <c r="CY460" s="106"/>
      <c r="CZ460" s="106"/>
      <c r="DA460" s="106"/>
      <c r="DB460" s="106"/>
      <c r="DC460" s="106"/>
      <c r="DD460" s="106"/>
      <c r="DE460" s="106"/>
      <c r="DF460" s="106"/>
      <c r="DG460" s="106"/>
      <c r="DH460" s="106"/>
      <c r="DI460" s="106"/>
      <c r="DJ460" s="106"/>
      <c r="DK460" s="106"/>
      <c r="DL460" s="106"/>
      <c r="DM460" s="106"/>
      <c r="DN460" s="106"/>
      <c r="DO460" s="106"/>
      <c r="DP460" s="106"/>
      <c r="DQ460" s="106"/>
      <c r="DR460" s="106"/>
      <c r="DS460" s="106"/>
      <c r="DT460" s="106"/>
      <c r="DU460" s="106"/>
      <c r="DV460" s="106"/>
      <c r="DW460" s="106"/>
      <c r="DX460" s="106"/>
      <c r="DY460" s="106"/>
      <c r="DZ460" s="106"/>
      <c r="EA460" s="106"/>
      <c r="EB460" s="106"/>
      <c r="EC460" s="106"/>
      <c r="ED460" s="106"/>
      <c r="EE460" s="106"/>
      <c r="EF460" s="106"/>
      <c r="EG460" s="106"/>
      <c r="EH460" s="106"/>
      <c r="EI460" s="106"/>
      <c r="EJ460" s="106"/>
      <c r="EK460" s="106"/>
      <c r="EL460" s="106"/>
      <c r="EM460" s="106"/>
      <c r="EN460" s="106"/>
      <c r="EO460" s="106"/>
      <c r="EP460" s="106"/>
      <c r="EQ460" s="106"/>
      <c r="ER460" s="106"/>
      <c r="ES460" s="106"/>
      <c r="ET460" s="106"/>
      <c r="EU460" s="106"/>
      <c r="EV460" s="106"/>
      <c r="EW460" s="106"/>
      <c r="EX460" s="106"/>
      <c r="EY460" s="106"/>
      <c r="EZ460" s="106"/>
      <c r="FA460" s="106"/>
      <c r="FB460" s="106"/>
      <c r="FC460" s="106"/>
      <c r="FD460" s="106"/>
      <c r="FE460" s="106"/>
      <c r="FF460" s="106"/>
      <c r="FG460" s="106"/>
      <c r="FH460" s="106"/>
      <c r="FI460" s="106"/>
      <c r="FJ460" s="106"/>
      <c r="FK460" s="106"/>
      <c r="FL460" s="106"/>
      <c r="FM460" s="106"/>
      <c r="FN460" s="106"/>
      <c r="FO460" s="106"/>
      <c r="FP460" s="106"/>
      <c r="FQ460" s="106"/>
      <c r="FR460" s="106"/>
      <c r="FS460" s="106"/>
      <c r="FT460" s="106"/>
      <c r="FU460" s="106"/>
      <c r="FV460" s="106"/>
      <c r="FW460" s="106"/>
      <c r="FX460" s="106"/>
      <c r="FY460" s="106"/>
      <c r="FZ460" s="106"/>
      <c r="GA460" s="106"/>
      <c r="GB460" s="106"/>
      <c r="GC460" s="106"/>
      <c r="GD460" s="106"/>
      <c r="GE460" s="106"/>
      <c r="GF460" s="106"/>
      <c r="GG460" s="106"/>
      <c r="GH460" s="106"/>
      <c r="GI460" s="106"/>
      <c r="GJ460" s="106"/>
    </row>
    <row r="461" spans="3:192" ht="12.75" customHeight="1">
      <c r="C461" s="225"/>
      <c r="D461" s="225"/>
      <c r="E461" s="225"/>
      <c r="F461" s="225"/>
      <c r="G461" s="225"/>
      <c r="H461" s="225"/>
      <c r="I461" s="225"/>
      <c r="J461" s="225"/>
      <c r="K461" s="225"/>
      <c r="L461" s="225"/>
      <c r="M461" s="225"/>
      <c r="N461" s="225"/>
      <c r="O461" s="225"/>
      <c r="P461" s="225"/>
      <c r="Q461" s="225"/>
      <c r="R461" s="225"/>
      <c r="S461" s="225"/>
      <c r="T461" s="225"/>
      <c r="U461" s="225"/>
      <c r="V461" s="225"/>
      <c r="W461" s="225"/>
      <c r="X461" s="225"/>
      <c r="Y461" s="225"/>
      <c r="Z461" s="225"/>
      <c r="AA461" s="225"/>
      <c r="AB461" s="225"/>
      <c r="AC461" s="225"/>
      <c r="AD461" s="225"/>
      <c r="AE461" s="225"/>
      <c r="AF461" s="225"/>
      <c r="AG461" s="225"/>
      <c r="AH461" s="225"/>
      <c r="AI461" s="225"/>
      <c r="AJ461" s="225"/>
      <c r="AK461" s="225"/>
      <c r="AL461" s="225"/>
      <c r="AM461" s="225"/>
      <c r="AN461" s="225"/>
      <c r="AO461" s="225"/>
      <c r="AP461" s="225"/>
      <c r="AQ461" s="225"/>
      <c r="AR461" s="225"/>
      <c r="AS461" s="225"/>
      <c r="AT461" s="225"/>
      <c r="AU461" s="225"/>
      <c r="AV461" s="225"/>
      <c r="AW461" s="225"/>
      <c r="AX461" s="225"/>
      <c r="AY461" s="225"/>
      <c r="AZ461" s="225"/>
      <c r="BA461" s="225"/>
      <c r="BB461" s="225"/>
      <c r="BC461" s="225"/>
      <c r="BD461" s="225"/>
      <c r="BE461" s="225"/>
      <c r="BF461" s="225"/>
      <c r="BG461" s="225"/>
      <c r="BH461" s="225"/>
      <c r="BI461" s="225"/>
      <c r="BJ461" s="225"/>
      <c r="BK461" s="225"/>
      <c r="BL461" s="225"/>
      <c r="BM461" s="225"/>
      <c r="BN461" s="225"/>
      <c r="BO461" s="225"/>
      <c r="BP461" s="225"/>
      <c r="BQ461" s="225"/>
      <c r="BR461" s="225"/>
      <c r="BS461" s="225"/>
      <c r="BT461" s="225"/>
      <c r="BU461" s="225"/>
      <c r="BV461" s="225"/>
      <c r="BW461" s="225"/>
      <c r="BX461" s="225"/>
      <c r="BY461" s="225"/>
      <c r="BZ461" s="225"/>
      <c r="CA461" s="225"/>
      <c r="CB461" s="225"/>
      <c r="CC461" s="225"/>
      <c r="CD461" s="225"/>
      <c r="CE461" s="225"/>
      <c r="CF461" s="225"/>
      <c r="CG461" s="225"/>
      <c r="CH461" s="225"/>
      <c r="CI461" s="225"/>
      <c r="CJ461" s="225"/>
      <c r="CK461" s="225"/>
      <c r="CL461" s="225"/>
      <c r="CM461" s="225"/>
      <c r="CN461" s="225"/>
      <c r="CO461" s="225"/>
      <c r="CP461" s="225"/>
      <c r="CQ461" s="225"/>
      <c r="CR461" s="225"/>
      <c r="CS461" s="225"/>
      <c r="CT461" s="225"/>
      <c r="CU461" s="225"/>
      <c r="CV461" s="225"/>
      <c r="CW461" s="225"/>
      <c r="CX461" s="225"/>
      <c r="CY461" s="225"/>
      <c r="CZ461" s="225"/>
      <c r="DA461" s="225"/>
      <c r="DB461" s="225"/>
      <c r="DC461" s="225"/>
      <c r="DD461" s="225"/>
      <c r="DE461" s="225"/>
      <c r="DF461" s="225"/>
      <c r="DG461" s="225"/>
      <c r="DH461" s="225"/>
      <c r="DI461" s="225"/>
      <c r="DJ461" s="225"/>
      <c r="DK461" s="225"/>
      <c r="DL461" s="225"/>
      <c r="DM461" s="225"/>
      <c r="DN461" s="225"/>
      <c r="DO461" s="225"/>
      <c r="DP461" s="225"/>
      <c r="DQ461" s="225"/>
      <c r="DR461" s="225"/>
      <c r="DS461" s="225"/>
      <c r="DT461" s="225"/>
      <c r="DU461" s="225"/>
      <c r="DV461" s="225"/>
      <c r="DW461" s="225"/>
      <c r="DX461" s="225"/>
      <c r="DY461" s="225"/>
      <c r="DZ461" s="225"/>
      <c r="EA461" s="225"/>
      <c r="EB461" s="225"/>
      <c r="EC461" s="225"/>
      <c r="ED461" s="225"/>
      <c r="EE461" s="225"/>
      <c r="EF461" s="225"/>
      <c r="EG461" s="225"/>
      <c r="EH461" s="225"/>
      <c r="EI461" s="225"/>
      <c r="EJ461" s="225"/>
      <c r="EK461" s="225"/>
      <c r="EL461" s="225"/>
      <c r="EM461" s="225"/>
      <c r="EN461" s="225"/>
      <c r="EO461" s="225"/>
      <c r="EP461" s="225"/>
      <c r="EQ461" s="225"/>
      <c r="ER461" s="225"/>
      <c r="ES461" s="225"/>
      <c r="ET461" s="225"/>
      <c r="EU461" s="225"/>
      <c r="EV461" s="225"/>
      <c r="EW461" s="225"/>
      <c r="EX461" s="225"/>
      <c r="EY461" s="225"/>
      <c r="EZ461" s="225"/>
      <c r="FA461" s="225"/>
      <c r="FB461" s="225"/>
      <c r="FC461" s="225"/>
      <c r="FD461" s="225"/>
      <c r="FE461" s="225"/>
      <c r="FF461" s="225"/>
      <c r="FG461" s="225"/>
      <c r="FH461" s="225"/>
      <c r="FI461" s="225"/>
      <c r="FJ461" s="225"/>
      <c r="FK461" s="225"/>
      <c r="FL461" s="225"/>
      <c r="FM461" s="225"/>
      <c r="FN461" s="225"/>
      <c r="FO461" s="225"/>
      <c r="FP461" s="225"/>
      <c r="FQ461" s="225"/>
      <c r="FR461" s="225"/>
      <c r="FS461" s="225"/>
      <c r="FT461" s="225"/>
      <c r="FU461" s="225"/>
      <c r="FV461" s="225"/>
      <c r="FW461" s="225"/>
      <c r="FX461" s="225"/>
      <c r="FY461" s="225"/>
      <c r="FZ461" s="225"/>
      <c r="GA461" s="225"/>
      <c r="GB461" s="225"/>
      <c r="GC461" s="225"/>
      <c r="GD461" s="225"/>
      <c r="GE461" s="225"/>
      <c r="GF461" s="225"/>
      <c r="GG461" s="225"/>
      <c r="GH461" s="225"/>
      <c r="GI461" s="225"/>
      <c r="GJ461" s="225"/>
    </row>
    <row r="462" spans="3:192" ht="12.75" customHeight="1">
      <c r="C462" s="225"/>
      <c r="D462" s="225"/>
      <c r="E462" s="225"/>
      <c r="F462" s="225"/>
      <c r="G462" s="225"/>
      <c r="H462" s="225"/>
      <c r="I462" s="225"/>
      <c r="J462" s="225"/>
      <c r="K462" s="225"/>
      <c r="L462" s="225"/>
      <c r="M462" s="225"/>
      <c r="N462" s="225"/>
      <c r="O462" s="225"/>
      <c r="P462" s="225"/>
      <c r="Q462" s="225"/>
      <c r="R462" s="225"/>
      <c r="S462" s="225"/>
      <c r="T462" s="225"/>
      <c r="U462" s="225"/>
      <c r="V462" s="225"/>
      <c r="W462" s="225"/>
      <c r="X462" s="225"/>
      <c r="Y462" s="225"/>
      <c r="Z462" s="225"/>
      <c r="AA462" s="225"/>
      <c r="AB462" s="225"/>
      <c r="AC462" s="225"/>
      <c r="AD462" s="225"/>
      <c r="AE462" s="225"/>
      <c r="AF462" s="225"/>
      <c r="AG462" s="225"/>
      <c r="AH462" s="225"/>
      <c r="AI462" s="225"/>
      <c r="AJ462" s="225"/>
      <c r="AK462" s="225"/>
      <c r="AL462" s="225"/>
      <c r="AM462" s="225"/>
      <c r="AN462" s="225"/>
      <c r="AO462" s="225"/>
      <c r="AP462" s="225"/>
      <c r="AQ462" s="225"/>
      <c r="AR462" s="225"/>
      <c r="AS462" s="225"/>
      <c r="AT462" s="225"/>
      <c r="AU462" s="225"/>
      <c r="AV462" s="225"/>
      <c r="AW462" s="225"/>
      <c r="AX462" s="225"/>
      <c r="AY462" s="225"/>
      <c r="AZ462" s="225"/>
      <c r="BA462" s="225"/>
      <c r="BB462" s="225"/>
      <c r="BC462" s="225"/>
      <c r="BD462" s="225"/>
      <c r="BE462" s="225"/>
      <c r="BF462" s="225"/>
      <c r="BG462" s="225"/>
      <c r="BH462" s="225"/>
      <c r="BI462" s="225"/>
      <c r="BJ462" s="225"/>
      <c r="BK462" s="225"/>
      <c r="BL462" s="225"/>
      <c r="BM462" s="225"/>
      <c r="BN462" s="225"/>
      <c r="BO462" s="225"/>
      <c r="BP462" s="225"/>
      <c r="BQ462" s="225"/>
      <c r="BR462" s="225"/>
      <c r="BS462" s="225"/>
      <c r="BT462" s="225"/>
      <c r="BU462" s="225"/>
      <c r="BV462" s="225"/>
      <c r="BW462" s="225"/>
      <c r="BX462" s="225"/>
      <c r="BY462" s="225"/>
      <c r="BZ462" s="225"/>
      <c r="CA462" s="225"/>
      <c r="CB462" s="225"/>
      <c r="CC462" s="225"/>
      <c r="CD462" s="225"/>
      <c r="CE462" s="225"/>
      <c r="CF462" s="225"/>
      <c r="CG462" s="225"/>
      <c r="CH462" s="225"/>
      <c r="CI462" s="225"/>
      <c r="CJ462" s="225"/>
      <c r="CK462" s="225"/>
      <c r="CL462" s="225"/>
      <c r="CM462" s="225"/>
      <c r="CN462" s="225"/>
      <c r="CO462" s="225"/>
      <c r="CP462" s="225"/>
      <c r="CQ462" s="225"/>
      <c r="CR462" s="225"/>
      <c r="CS462" s="225"/>
      <c r="CT462" s="225"/>
      <c r="CU462" s="225"/>
      <c r="CV462" s="225"/>
      <c r="CW462" s="225"/>
      <c r="CX462" s="225"/>
      <c r="CY462" s="225"/>
      <c r="CZ462" s="225"/>
      <c r="DA462" s="225"/>
      <c r="DB462" s="225"/>
      <c r="DC462" s="225"/>
      <c r="DD462" s="225"/>
      <c r="DE462" s="225"/>
      <c r="DF462" s="225"/>
      <c r="DG462" s="225"/>
      <c r="DH462" s="225"/>
      <c r="DI462" s="225"/>
      <c r="DJ462" s="225"/>
      <c r="DK462" s="225"/>
      <c r="DL462" s="225"/>
      <c r="DM462" s="225"/>
      <c r="DN462" s="225"/>
      <c r="DO462" s="225"/>
      <c r="DP462" s="225"/>
      <c r="DQ462" s="225"/>
      <c r="DR462" s="225"/>
      <c r="DS462" s="225"/>
      <c r="DT462" s="225"/>
      <c r="DU462" s="225"/>
      <c r="DV462" s="225"/>
      <c r="DW462" s="225"/>
      <c r="DX462" s="225"/>
      <c r="DY462" s="225"/>
      <c r="DZ462" s="225"/>
      <c r="EA462" s="225"/>
      <c r="EB462" s="225"/>
      <c r="EC462" s="225"/>
      <c r="ED462" s="225"/>
      <c r="EE462" s="225"/>
      <c r="EF462" s="225"/>
      <c r="EG462" s="225"/>
      <c r="EH462" s="225"/>
      <c r="EI462" s="225"/>
      <c r="EJ462" s="225"/>
      <c r="EK462" s="225"/>
      <c r="EL462" s="225"/>
      <c r="EM462" s="225"/>
      <c r="EN462" s="225"/>
      <c r="EO462" s="225"/>
      <c r="EP462" s="225"/>
      <c r="EQ462" s="225"/>
      <c r="ER462" s="225"/>
      <c r="ES462" s="225"/>
      <c r="ET462" s="225"/>
      <c r="EU462" s="225"/>
      <c r="EV462" s="225"/>
      <c r="EW462" s="225"/>
      <c r="EX462" s="225"/>
      <c r="EY462" s="225"/>
      <c r="EZ462" s="225"/>
      <c r="FA462" s="225"/>
      <c r="FB462" s="225"/>
      <c r="FC462" s="225"/>
      <c r="FD462" s="225"/>
      <c r="FE462" s="225"/>
      <c r="FF462" s="225"/>
      <c r="FG462" s="225"/>
      <c r="FH462" s="225"/>
      <c r="FI462" s="225"/>
      <c r="FJ462" s="225"/>
      <c r="FK462" s="225"/>
      <c r="FL462" s="225"/>
      <c r="FM462" s="225"/>
      <c r="FN462" s="225"/>
      <c r="FO462" s="225"/>
      <c r="FP462" s="225"/>
      <c r="FQ462" s="225"/>
      <c r="FR462" s="225"/>
      <c r="FS462" s="225"/>
      <c r="FT462" s="225"/>
      <c r="FU462" s="225"/>
      <c r="FV462" s="225"/>
      <c r="FW462" s="225"/>
      <c r="FX462" s="225"/>
      <c r="FY462" s="225"/>
      <c r="FZ462" s="225"/>
      <c r="GA462" s="225"/>
      <c r="GB462" s="225"/>
      <c r="GC462" s="225"/>
      <c r="GD462" s="225"/>
      <c r="GE462" s="225"/>
      <c r="GF462" s="225"/>
      <c r="GG462" s="225"/>
      <c r="GH462" s="225"/>
      <c r="GI462" s="225"/>
      <c r="GJ462" s="225"/>
    </row>
    <row r="463" spans="3:192" ht="12.75" customHeight="1">
      <c r="C463" s="169"/>
      <c r="D463" s="169"/>
      <c r="E463" s="169"/>
      <c r="F463" s="169"/>
      <c r="G463" s="169"/>
      <c r="H463" s="169"/>
      <c r="I463" s="169"/>
      <c r="J463" s="169"/>
      <c r="K463" s="169"/>
      <c r="L463" s="169"/>
      <c r="M463" s="169"/>
      <c r="N463" s="169"/>
      <c r="O463" s="169"/>
      <c r="P463" s="169"/>
      <c r="Q463" s="169"/>
      <c r="R463" s="169"/>
      <c r="S463" s="169"/>
      <c r="T463" s="169"/>
      <c r="U463" s="169"/>
      <c r="V463" s="169"/>
      <c r="W463" s="169"/>
      <c r="X463" s="169"/>
      <c r="Y463" s="169"/>
      <c r="Z463" s="169"/>
      <c r="AA463" s="169"/>
      <c r="AB463" s="169"/>
      <c r="AC463" s="169"/>
      <c r="AD463" s="169"/>
      <c r="AE463" s="169"/>
      <c r="AF463" s="169"/>
      <c r="AG463" s="169"/>
      <c r="AH463" s="169"/>
      <c r="AI463" s="169"/>
      <c r="AJ463" s="169"/>
      <c r="AK463" s="169"/>
      <c r="AL463" s="169"/>
      <c r="AM463" s="169"/>
      <c r="AN463" s="169"/>
      <c r="AO463" s="169"/>
      <c r="AP463" s="169"/>
      <c r="AQ463" s="169"/>
      <c r="AR463" s="169"/>
      <c r="AS463" s="169"/>
      <c r="AT463" s="169"/>
      <c r="AU463" s="169"/>
      <c r="AV463" s="169"/>
      <c r="AW463" s="169"/>
      <c r="AX463" s="169"/>
      <c r="AY463" s="169"/>
      <c r="AZ463" s="169"/>
      <c r="BA463" s="169"/>
      <c r="BB463" s="169"/>
      <c r="BC463" s="169"/>
      <c r="BD463" s="169"/>
      <c r="BE463" s="169"/>
      <c r="BF463" s="169"/>
      <c r="BG463" s="169"/>
      <c r="BH463" s="169"/>
      <c r="BI463" s="169"/>
      <c r="BJ463" s="169"/>
      <c r="BK463" s="169"/>
      <c r="BL463" s="169"/>
      <c r="BM463" s="169"/>
      <c r="BN463" s="169"/>
      <c r="BO463" s="169"/>
      <c r="BP463" s="169"/>
      <c r="BQ463" s="169"/>
      <c r="BR463" s="169"/>
      <c r="BS463" s="169"/>
      <c r="BT463" s="169"/>
      <c r="BU463" s="169"/>
      <c r="BV463" s="169"/>
      <c r="BW463" s="169"/>
      <c r="BX463" s="169"/>
      <c r="BY463" s="169"/>
      <c r="BZ463" s="169"/>
      <c r="CA463" s="169"/>
      <c r="CB463" s="169"/>
      <c r="CC463" s="169"/>
      <c r="CD463" s="169"/>
      <c r="CE463" s="169"/>
      <c r="CF463" s="169"/>
      <c r="CG463" s="169"/>
      <c r="CH463" s="169"/>
      <c r="CI463" s="169"/>
      <c r="CJ463" s="169"/>
      <c r="CK463" s="169"/>
      <c r="CL463" s="169"/>
      <c r="CM463" s="169"/>
      <c r="CN463" s="169"/>
      <c r="CO463" s="169"/>
      <c r="CP463" s="169"/>
      <c r="CQ463" s="169"/>
      <c r="CR463" s="169"/>
      <c r="CS463" s="169"/>
      <c r="CT463" s="169"/>
      <c r="CU463" s="169"/>
      <c r="CV463" s="169"/>
      <c r="CW463" s="169"/>
      <c r="CX463" s="169"/>
      <c r="CY463" s="169"/>
      <c r="CZ463" s="169"/>
      <c r="DA463" s="169"/>
      <c r="DB463" s="169"/>
      <c r="DC463" s="169"/>
      <c r="DD463" s="169"/>
      <c r="DE463" s="169"/>
      <c r="DF463" s="169"/>
      <c r="DG463" s="169"/>
      <c r="DH463" s="169"/>
      <c r="DI463" s="169"/>
      <c r="DJ463" s="169"/>
      <c r="DK463" s="169"/>
      <c r="DL463" s="169"/>
      <c r="DM463" s="169"/>
      <c r="DN463" s="169"/>
      <c r="DO463" s="169"/>
      <c r="DP463" s="169"/>
      <c r="DQ463" s="169"/>
      <c r="DR463" s="169"/>
      <c r="DS463" s="169"/>
      <c r="DT463" s="169"/>
      <c r="DU463" s="169"/>
      <c r="DV463" s="169"/>
      <c r="DW463" s="169"/>
      <c r="DX463" s="169"/>
      <c r="DY463" s="169"/>
      <c r="DZ463" s="169"/>
      <c r="EA463" s="169"/>
      <c r="EB463" s="169"/>
      <c r="EC463" s="169"/>
      <c r="ED463" s="169"/>
      <c r="EE463" s="169"/>
      <c r="EF463" s="169"/>
      <c r="EG463" s="169"/>
      <c r="EH463" s="169"/>
      <c r="EI463" s="169"/>
      <c r="EJ463" s="169"/>
      <c r="EK463" s="169"/>
      <c r="EL463" s="169"/>
      <c r="EM463" s="169"/>
      <c r="EN463" s="169"/>
      <c r="EO463" s="169"/>
      <c r="EP463" s="169"/>
      <c r="EQ463" s="169"/>
      <c r="ER463" s="169"/>
      <c r="ES463" s="169"/>
      <c r="ET463" s="169"/>
      <c r="EU463" s="169"/>
      <c r="EV463" s="169"/>
      <c r="EW463" s="169"/>
      <c r="EX463" s="169"/>
      <c r="EY463" s="169"/>
      <c r="EZ463" s="169"/>
      <c r="FA463" s="169"/>
      <c r="FB463" s="169"/>
      <c r="FC463" s="169"/>
      <c r="FD463" s="169"/>
      <c r="FE463" s="169"/>
      <c r="FF463" s="169"/>
      <c r="FG463" s="169"/>
      <c r="FH463" s="169"/>
      <c r="FI463" s="169"/>
      <c r="FJ463" s="169"/>
      <c r="FK463" s="169"/>
      <c r="FL463" s="169"/>
      <c r="FM463" s="169"/>
      <c r="FN463" s="169"/>
      <c r="FO463" s="169"/>
      <c r="FP463" s="169"/>
      <c r="FQ463" s="169"/>
      <c r="FR463" s="169"/>
      <c r="FS463" s="169"/>
      <c r="FT463" s="169"/>
      <c r="FU463" s="169"/>
      <c r="FV463" s="169"/>
      <c r="FW463" s="169"/>
      <c r="FX463" s="169"/>
      <c r="FY463" s="169"/>
      <c r="FZ463" s="169"/>
      <c r="GA463" s="169"/>
      <c r="GB463" s="169"/>
      <c r="GC463" s="169"/>
      <c r="GD463" s="169"/>
      <c r="GE463" s="169"/>
      <c r="GF463" s="169"/>
      <c r="GG463" s="169"/>
      <c r="GH463" s="169"/>
      <c r="GI463" s="169"/>
      <c r="GJ463" s="169"/>
    </row>
    <row r="464" spans="3:192" ht="12.75" customHeight="1">
      <c r="C464" s="169"/>
      <c r="D464" s="169"/>
      <c r="E464" s="169"/>
      <c r="F464" s="169"/>
      <c r="G464" s="169"/>
      <c r="H464" s="169"/>
      <c r="I464" s="169"/>
      <c r="J464" s="169"/>
      <c r="K464" s="169"/>
      <c r="L464" s="169"/>
      <c r="M464" s="169"/>
      <c r="N464" s="169"/>
      <c r="O464" s="169"/>
      <c r="P464" s="169"/>
      <c r="Q464" s="169"/>
      <c r="R464" s="169"/>
      <c r="S464" s="169"/>
      <c r="T464" s="169"/>
      <c r="U464" s="169"/>
      <c r="V464" s="169"/>
      <c r="W464" s="169"/>
      <c r="X464" s="169"/>
      <c r="Y464" s="169"/>
      <c r="Z464" s="169"/>
      <c r="AA464" s="169"/>
      <c r="AB464" s="169"/>
      <c r="AC464" s="169"/>
      <c r="AD464" s="169"/>
      <c r="AE464" s="169"/>
      <c r="AF464" s="169"/>
      <c r="AG464" s="169"/>
      <c r="AH464" s="169"/>
      <c r="AI464" s="169"/>
      <c r="AJ464" s="169"/>
      <c r="AK464" s="169"/>
      <c r="AL464" s="169"/>
      <c r="AM464" s="169"/>
      <c r="AN464" s="169"/>
      <c r="AO464" s="169"/>
      <c r="AP464" s="169"/>
      <c r="AQ464" s="169"/>
      <c r="AR464" s="169"/>
      <c r="AS464" s="169"/>
      <c r="AT464" s="169"/>
      <c r="AU464" s="169"/>
      <c r="AV464" s="169"/>
      <c r="AW464" s="169"/>
      <c r="AX464" s="169"/>
      <c r="AY464" s="169"/>
      <c r="AZ464" s="169"/>
      <c r="BA464" s="169"/>
      <c r="BB464" s="169"/>
      <c r="BC464" s="169"/>
      <c r="BD464" s="169"/>
      <c r="BE464" s="169"/>
      <c r="BF464" s="169"/>
      <c r="BG464" s="169"/>
      <c r="BH464" s="169"/>
      <c r="BI464" s="169"/>
      <c r="BJ464" s="169"/>
      <c r="BK464" s="169"/>
      <c r="BL464" s="169"/>
      <c r="BM464" s="169"/>
      <c r="BN464" s="169"/>
      <c r="BO464" s="169"/>
      <c r="BP464" s="169"/>
      <c r="BQ464" s="169"/>
      <c r="BR464" s="169"/>
      <c r="BS464" s="169"/>
      <c r="BT464" s="169"/>
      <c r="BU464" s="169"/>
      <c r="BV464" s="169"/>
      <c r="BW464" s="169"/>
      <c r="BX464" s="169"/>
      <c r="BY464" s="169"/>
      <c r="BZ464" s="169"/>
      <c r="CA464" s="169"/>
      <c r="CB464" s="169"/>
      <c r="CC464" s="169"/>
      <c r="CD464" s="169"/>
      <c r="CE464" s="169"/>
      <c r="CF464" s="169"/>
      <c r="CG464" s="169"/>
      <c r="CH464" s="169"/>
      <c r="CI464" s="169"/>
      <c r="CJ464" s="169"/>
      <c r="CK464" s="169"/>
      <c r="CL464" s="169"/>
      <c r="CM464" s="169"/>
      <c r="CN464" s="169"/>
      <c r="CO464" s="169"/>
      <c r="CP464" s="169"/>
      <c r="CQ464" s="169"/>
      <c r="CR464" s="169"/>
      <c r="CS464" s="169"/>
      <c r="CT464" s="169"/>
      <c r="CU464" s="169"/>
      <c r="CV464" s="169"/>
      <c r="CW464" s="169"/>
      <c r="CX464" s="169"/>
      <c r="CY464" s="169"/>
      <c r="CZ464" s="169"/>
      <c r="DA464" s="169"/>
      <c r="DB464" s="169"/>
      <c r="DC464" s="169"/>
      <c r="DD464" s="169"/>
      <c r="DE464" s="169"/>
      <c r="DF464" s="169"/>
      <c r="DG464" s="169"/>
      <c r="DH464" s="169"/>
      <c r="DI464" s="169"/>
      <c r="DJ464" s="169"/>
      <c r="DK464" s="169"/>
      <c r="DL464" s="169"/>
      <c r="DM464" s="169"/>
      <c r="DN464" s="169"/>
      <c r="DO464" s="169"/>
      <c r="DP464" s="169"/>
      <c r="DQ464" s="169"/>
      <c r="DR464" s="169"/>
      <c r="DS464" s="169"/>
      <c r="DT464" s="169"/>
      <c r="DU464" s="169"/>
      <c r="DV464" s="169"/>
      <c r="DW464" s="169"/>
      <c r="DX464" s="169"/>
      <c r="DY464" s="169"/>
      <c r="DZ464" s="169"/>
      <c r="EA464" s="169"/>
      <c r="EB464" s="169"/>
      <c r="EC464" s="169"/>
      <c r="ED464" s="169"/>
      <c r="EE464" s="169"/>
      <c r="EF464" s="169"/>
      <c r="EG464" s="169"/>
      <c r="EH464" s="169"/>
      <c r="EI464" s="169"/>
      <c r="EJ464" s="169"/>
      <c r="EK464" s="169"/>
      <c r="EL464" s="169"/>
      <c r="EM464" s="169"/>
      <c r="EN464" s="169"/>
      <c r="EO464" s="169"/>
      <c r="EP464" s="169"/>
      <c r="EQ464" s="169"/>
      <c r="ER464" s="169"/>
      <c r="ES464" s="169"/>
      <c r="ET464" s="169"/>
      <c r="EU464" s="169"/>
      <c r="EV464" s="169"/>
      <c r="EW464" s="169"/>
      <c r="EX464" s="169"/>
      <c r="EY464" s="169"/>
      <c r="EZ464" s="169"/>
      <c r="FA464" s="169"/>
      <c r="FB464" s="169"/>
      <c r="FC464" s="169"/>
      <c r="FD464" s="169"/>
      <c r="FE464" s="169"/>
      <c r="FF464" s="169"/>
      <c r="FG464" s="169"/>
      <c r="FH464" s="169"/>
      <c r="FI464" s="169"/>
      <c r="FJ464" s="169"/>
      <c r="FK464" s="169"/>
      <c r="FL464" s="169"/>
      <c r="FM464" s="169"/>
      <c r="FN464" s="169"/>
      <c r="FO464" s="169"/>
      <c r="FP464" s="169"/>
      <c r="FQ464" s="169"/>
      <c r="FR464" s="169"/>
      <c r="FS464" s="169"/>
      <c r="FT464" s="169"/>
      <c r="FU464" s="169"/>
      <c r="FV464" s="169"/>
      <c r="FW464" s="169"/>
      <c r="FX464" s="169"/>
      <c r="FY464" s="169"/>
      <c r="FZ464" s="169"/>
      <c r="GA464" s="169"/>
      <c r="GB464" s="169"/>
      <c r="GC464" s="169"/>
      <c r="GD464" s="169"/>
      <c r="GE464" s="169"/>
      <c r="GF464" s="169"/>
      <c r="GG464" s="169"/>
      <c r="GH464" s="169"/>
      <c r="GI464" s="169"/>
      <c r="GJ464" s="169"/>
    </row>
    <row r="465" spans="3:192" ht="12.75" customHeight="1">
      <c r="C465" s="169"/>
      <c r="D465" s="169"/>
      <c r="E465" s="169"/>
      <c r="F465" s="169"/>
      <c r="G465" s="169"/>
      <c r="H465" s="169"/>
      <c r="I465" s="169"/>
      <c r="J465" s="169"/>
      <c r="K465" s="169"/>
      <c r="L465" s="169"/>
      <c r="M465" s="169"/>
      <c r="N465" s="169"/>
      <c r="O465" s="169"/>
      <c r="P465" s="169"/>
      <c r="Q465" s="169"/>
      <c r="R465" s="169"/>
      <c r="S465" s="169"/>
      <c r="T465" s="169"/>
      <c r="U465" s="169"/>
      <c r="V465" s="169"/>
      <c r="W465" s="169"/>
      <c r="X465" s="169"/>
      <c r="Y465" s="169"/>
      <c r="Z465" s="169"/>
      <c r="AA465" s="169"/>
      <c r="AB465" s="169"/>
      <c r="AC465" s="169"/>
      <c r="AD465" s="169"/>
      <c r="AE465" s="169"/>
      <c r="AF465" s="169"/>
      <c r="AG465" s="169"/>
      <c r="AH465" s="169"/>
      <c r="AI465" s="169"/>
      <c r="AJ465" s="169"/>
      <c r="AK465" s="169"/>
      <c r="AL465" s="169"/>
      <c r="AM465" s="169"/>
      <c r="AN465" s="169"/>
      <c r="AO465" s="169"/>
      <c r="AP465" s="169"/>
      <c r="AQ465" s="169"/>
      <c r="AR465" s="169"/>
      <c r="AS465" s="169"/>
      <c r="AT465" s="169"/>
      <c r="AU465" s="169"/>
      <c r="AV465" s="169"/>
      <c r="AW465" s="169"/>
      <c r="AX465" s="169"/>
      <c r="AY465" s="169"/>
      <c r="AZ465" s="169"/>
      <c r="BA465" s="169"/>
      <c r="BB465" s="169"/>
      <c r="BC465" s="169"/>
      <c r="BD465" s="169"/>
      <c r="BE465" s="169"/>
      <c r="BF465" s="169"/>
      <c r="BG465" s="169"/>
      <c r="BH465" s="169"/>
      <c r="BI465" s="169"/>
      <c r="BJ465" s="169"/>
      <c r="BK465" s="169"/>
      <c r="BL465" s="169"/>
      <c r="BM465" s="169"/>
      <c r="BN465" s="169"/>
      <c r="BO465" s="169"/>
      <c r="BP465" s="169"/>
      <c r="BQ465" s="169"/>
      <c r="BR465" s="169"/>
      <c r="BS465" s="169"/>
      <c r="BT465" s="169"/>
      <c r="BU465" s="169"/>
      <c r="BV465" s="169"/>
      <c r="BW465" s="169"/>
      <c r="BX465" s="169"/>
      <c r="BY465" s="169"/>
      <c r="BZ465" s="169"/>
      <c r="CA465" s="169"/>
      <c r="CB465" s="169"/>
      <c r="CC465" s="169"/>
      <c r="CD465" s="169"/>
      <c r="CE465" s="169"/>
      <c r="CF465" s="169"/>
      <c r="CG465" s="169"/>
      <c r="CH465" s="169"/>
      <c r="CI465" s="169"/>
      <c r="CJ465" s="169"/>
      <c r="CK465" s="169"/>
      <c r="CL465" s="169"/>
      <c r="CM465" s="169"/>
      <c r="CN465" s="169"/>
      <c r="CO465" s="169"/>
      <c r="CP465" s="169"/>
      <c r="CQ465" s="169"/>
      <c r="CR465" s="169"/>
      <c r="CS465" s="169"/>
      <c r="CT465" s="169"/>
      <c r="CU465" s="169"/>
      <c r="CV465" s="169"/>
      <c r="CW465" s="169"/>
      <c r="CX465" s="169"/>
      <c r="CY465" s="169"/>
      <c r="CZ465" s="169"/>
      <c r="DA465" s="169"/>
      <c r="DB465" s="169"/>
      <c r="DC465" s="169"/>
      <c r="DD465" s="169"/>
      <c r="DE465" s="169"/>
      <c r="DF465" s="169"/>
      <c r="DG465" s="169"/>
      <c r="DH465" s="169"/>
      <c r="DI465" s="169"/>
      <c r="DJ465" s="169"/>
      <c r="DK465" s="169"/>
      <c r="DL465" s="169"/>
      <c r="DM465" s="169"/>
      <c r="DN465" s="169"/>
      <c r="DO465" s="169"/>
      <c r="DP465" s="169"/>
      <c r="DQ465" s="169"/>
      <c r="DR465" s="169"/>
      <c r="DS465" s="169"/>
      <c r="DT465" s="169"/>
      <c r="DU465" s="169"/>
      <c r="DV465" s="169"/>
      <c r="DW465" s="169"/>
      <c r="DX465" s="169"/>
      <c r="DY465" s="169"/>
      <c r="DZ465" s="169"/>
      <c r="EA465" s="169"/>
      <c r="EB465" s="169"/>
      <c r="EC465" s="169"/>
      <c r="ED465" s="169"/>
      <c r="EE465" s="169"/>
      <c r="EF465" s="169"/>
      <c r="EG465" s="169"/>
      <c r="EH465" s="169"/>
      <c r="EI465" s="169"/>
      <c r="EJ465" s="169"/>
      <c r="EK465" s="169"/>
      <c r="EL465" s="169"/>
      <c r="EM465" s="169"/>
      <c r="EN465" s="169"/>
      <c r="EO465" s="169"/>
      <c r="EP465" s="169"/>
      <c r="EQ465" s="169"/>
      <c r="ER465" s="169"/>
      <c r="ES465" s="169"/>
      <c r="ET465" s="169"/>
      <c r="EU465" s="169"/>
      <c r="EV465" s="169"/>
      <c r="EW465" s="169"/>
      <c r="EX465" s="169"/>
      <c r="EY465" s="169"/>
      <c r="EZ465" s="169"/>
      <c r="FA465" s="169"/>
      <c r="FB465" s="169"/>
      <c r="FC465" s="169"/>
      <c r="FD465" s="169"/>
      <c r="FE465" s="169"/>
      <c r="FF465" s="169"/>
      <c r="FG465" s="169"/>
      <c r="FH465" s="169"/>
      <c r="FI465" s="169"/>
      <c r="FJ465" s="169"/>
      <c r="FK465" s="169"/>
      <c r="FL465" s="169"/>
      <c r="FM465" s="169"/>
      <c r="FN465" s="169"/>
      <c r="FO465" s="169"/>
      <c r="FP465" s="169"/>
      <c r="FQ465" s="169"/>
      <c r="FR465" s="169"/>
      <c r="FS465" s="169"/>
      <c r="FT465" s="169"/>
      <c r="FU465" s="169"/>
      <c r="FV465" s="169"/>
      <c r="FW465" s="169"/>
      <c r="FX465" s="169"/>
      <c r="FY465" s="169"/>
      <c r="FZ465" s="169"/>
      <c r="GA465" s="169"/>
      <c r="GB465" s="169"/>
      <c r="GC465" s="169"/>
      <c r="GD465" s="169"/>
      <c r="GE465" s="169"/>
      <c r="GF465" s="169"/>
      <c r="GG465" s="169"/>
      <c r="GH465" s="169"/>
      <c r="GI465" s="169"/>
      <c r="GJ465" s="169"/>
    </row>
    <row r="466" spans="3:192" ht="12.75" customHeight="1">
      <c r="C466" s="106"/>
      <c r="D466" s="106"/>
      <c r="E466" s="106"/>
      <c r="F466" s="106"/>
      <c r="G466" s="106"/>
      <c r="H466" s="106"/>
      <c r="I466" s="106"/>
      <c r="J466" s="106"/>
      <c r="K466" s="106"/>
      <c r="L466" s="106"/>
      <c r="M466" s="106"/>
      <c r="N466" s="106"/>
      <c r="O466" s="106"/>
      <c r="P466" s="106"/>
      <c r="Q466" s="106"/>
      <c r="R466" s="106"/>
      <c r="S466" s="106"/>
      <c r="T466" s="106"/>
      <c r="U466" s="106"/>
      <c r="V466" s="106"/>
      <c r="W466" s="106"/>
      <c r="X466" s="106"/>
      <c r="Y466" s="106"/>
      <c r="Z466" s="106"/>
      <c r="AA466" s="106"/>
      <c r="AB466" s="106"/>
      <c r="AC466" s="106"/>
      <c r="AD466" s="106"/>
      <c r="AE466" s="106"/>
      <c r="AF466" s="106"/>
      <c r="AG466" s="106"/>
      <c r="AH466" s="106"/>
      <c r="AI466" s="106"/>
      <c r="AJ466" s="106"/>
      <c r="AK466" s="106"/>
      <c r="AL466" s="106"/>
      <c r="AM466" s="106"/>
      <c r="AN466" s="106"/>
      <c r="AO466" s="106"/>
      <c r="AP466" s="106"/>
      <c r="AQ466" s="106"/>
      <c r="AR466" s="106"/>
      <c r="AS466" s="106"/>
      <c r="AT466" s="106"/>
      <c r="AU466" s="106"/>
      <c r="AV466" s="106"/>
      <c r="AW466" s="106"/>
      <c r="AX466" s="106"/>
      <c r="AY466" s="106"/>
      <c r="AZ466" s="106"/>
      <c r="BA466" s="106"/>
      <c r="BB466" s="106"/>
      <c r="BC466" s="106"/>
      <c r="BD466" s="106"/>
      <c r="BE466" s="106"/>
      <c r="BF466" s="106"/>
      <c r="BG466" s="106"/>
      <c r="BH466" s="106"/>
      <c r="BI466" s="106"/>
      <c r="BJ466" s="106"/>
      <c r="BK466" s="106"/>
      <c r="BL466" s="106"/>
      <c r="BM466" s="106"/>
      <c r="BN466" s="106"/>
      <c r="BO466" s="106"/>
      <c r="BP466" s="106"/>
      <c r="BQ466" s="106"/>
      <c r="BR466" s="106"/>
      <c r="BS466" s="106"/>
      <c r="BT466" s="106"/>
      <c r="BU466" s="106"/>
      <c r="BV466" s="106"/>
      <c r="BW466" s="106"/>
      <c r="BX466" s="106"/>
      <c r="BY466" s="106"/>
      <c r="BZ466" s="106"/>
      <c r="CA466" s="106"/>
      <c r="CB466" s="106"/>
      <c r="CC466" s="106"/>
      <c r="CD466" s="106"/>
      <c r="CE466" s="106"/>
      <c r="CF466" s="106"/>
      <c r="CG466" s="106"/>
      <c r="CH466" s="106"/>
      <c r="CI466" s="106"/>
      <c r="CJ466" s="106"/>
      <c r="CK466" s="106"/>
      <c r="CL466" s="106"/>
      <c r="CM466" s="106"/>
      <c r="CN466" s="106"/>
      <c r="CO466" s="106"/>
      <c r="CP466" s="106"/>
      <c r="CQ466" s="106"/>
      <c r="CR466" s="106"/>
      <c r="CS466" s="106"/>
      <c r="CT466" s="106"/>
      <c r="CU466" s="106"/>
      <c r="CV466" s="106"/>
      <c r="CW466" s="106"/>
      <c r="CX466" s="106"/>
      <c r="CY466" s="106"/>
      <c r="CZ466" s="106"/>
      <c r="DA466" s="106"/>
      <c r="DB466" s="106"/>
      <c r="DC466" s="106"/>
      <c r="DD466" s="106"/>
      <c r="DE466" s="106"/>
      <c r="DF466" s="106"/>
      <c r="DG466" s="106"/>
      <c r="DH466" s="106"/>
      <c r="DI466" s="106"/>
      <c r="DJ466" s="106"/>
      <c r="DK466" s="106"/>
      <c r="DL466" s="106"/>
      <c r="DM466" s="106"/>
      <c r="DN466" s="106"/>
      <c r="DO466" s="106"/>
      <c r="DP466" s="106"/>
      <c r="DQ466" s="106"/>
      <c r="DR466" s="106"/>
      <c r="DS466" s="106"/>
      <c r="DT466" s="106"/>
      <c r="DU466" s="106"/>
      <c r="DV466" s="106"/>
      <c r="DW466" s="106"/>
      <c r="DX466" s="106"/>
      <c r="DY466" s="106"/>
      <c r="DZ466" s="106"/>
      <c r="EA466" s="106"/>
      <c r="EB466" s="106"/>
      <c r="EC466" s="106"/>
      <c r="ED466" s="106"/>
      <c r="EE466" s="106"/>
      <c r="EF466" s="106"/>
      <c r="EG466" s="106"/>
      <c r="EH466" s="106"/>
      <c r="EI466" s="106"/>
      <c r="EJ466" s="106"/>
      <c r="EK466" s="106"/>
      <c r="EL466" s="106"/>
      <c r="EM466" s="106"/>
      <c r="EN466" s="106"/>
      <c r="EO466" s="106"/>
      <c r="EP466" s="106"/>
      <c r="EQ466" s="106"/>
      <c r="ER466" s="106"/>
      <c r="ES466" s="106"/>
      <c r="ET466" s="106"/>
      <c r="EU466" s="106"/>
      <c r="EV466" s="106"/>
      <c r="EW466" s="106"/>
      <c r="EX466" s="106"/>
      <c r="EY466" s="106"/>
      <c r="EZ466" s="106"/>
      <c r="FA466" s="106"/>
      <c r="FB466" s="106"/>
      <c r="FC466" s="106"/>
      <c r="FD466" s="106"/>
      <c r="FE466" s="106"/>
      <c r="FF466" s="106"/>
      <c r="FG466" s="106"/>
      <c r="FH466" s="106"/>
      <c r="FI466" s="106"/>
      <c r="FJ466" s="106"/>
      <c r="FK466" s="106"/>
      <c r="FL466" s="106"/>
      <c r="FM466" s="106"/>
      <c r="FN466" s="106"/>
      <c r="FO466" s="106"/>
      <c r="FP466" s="106"/>
      <c r="FQ466" s="106"/>
      <c r="FR466" s="106"/>
      <c r="FS466" s="106"/>
      <c r="FT466" s="106"/>
      <c r="FU466" s="106"/>
      <c r="FV466" s="106"/>
      <c r="FW466" s="106"/>
      <c r="FX466" s="106"/>
      <c r="FY466" s="106"/>
      <c r="FZ466" s="106"/>
      <c r="GA466" s="106"/>
      <c r="GB466" s="106"/>
      <c r="GC466" s="106"/>
      <c r="GD466" s="106"/>
      <c r="GE466" s="106"/>
      <c r="GF466" s="106"/>
      <c r="GG466" s="106"/>
      <c r="GH466" s="106"/>
      <c r="GI466" s="106"/>
      <c r="GJ466" s="106"/>
    </row>
    <row r="467" spans="3:192" ht="12.75" customHeight="1">
      <c r="C467" s="226"/>
      <c r="D467" s="106"/>
      <c r="E467" s="106"/>
      <c r="F467" s="106"/>
      <c r="G467" s="106"/>
      <c r="H467" s="226"/>
      <c r="I467" s="106"/>
      <c r="J467" s="106"/>
      <c r="K467" s="106"/>
      <c r="L467" s="106"/>
      <c r="M467" s="226"/>
      <c r="N467" s="106"/>
      <c r="O467" s="106"/>
      <c r="P467" s="106"/>
      <c r="Q467" s="106"/>
      <c r="R467" s="226"/>
      <c r="S467" s="106"/>
      <c r="T467" s="106"/>
      <c r="U467" s="106"/>
      <c r="V467" s="106"/>
      <c r="W467" s="226"/>
      <c r="X467" s="106"/>
      <c r="Y467" s="106"/>
      <c r="Z467" s="106"/>
      <c r="AA467" s="106"/>
      <c r="AB467" s="226"/>
      <c r="AC467" s="106"/>
      <c r="AD467" s="106"/>
      <c r="AE467" s="106"/>
      <c r="AF467" s="106"/>
      <c r="AG467" s="226"/>
      <c r="AH467" s="106"/>
      <c r="AI467" s="106"/>
      <c r="AJ467" s="106"/>
      <c r="AK467" s="106"/>
      <c r="AL467" s="226"/>
      <c r="AM467" s="106"/>
      <c r="AN467" s="106"/>
      <c r="AO467" s="106"/>
      <c r="AP467" s="106"/>
      <c r="AQ467" s="226"/>
      <c r="AR467" s="106"/>
      <c r="AS467" s="106"/>
      <c r="AT467" s="106"/>
      <c r="AU467" s="106"/>
      <c r="AV467" s="226"/>
      <c r="AW467" s="106"/>
      <c r="AX467" s="106"/>
      <c r="AY467" s="106"/>
      <c r="AZ467" s="106"/>
      <c r="BA467" s="226"/>
      <c r="BB467" s="106"/>
      <c r="BC467" s="106"/>
      <c r="BD467" s="106"/>
      <c r="BE467" s="106"/>
      <c r="BF467" s="226"/>
      <c r="BG467" s="106"/>
      <c r="BH467" s="106"/>
      <c r="BI467" s="106"/>
      <c r="BJ467" s="106"/>
      <c r="BK467" s="226"/>
      <c r="BL467" s="106"/>
      <c r="BM467" s="106"/>
      <c r="BN467" s="106"/>
      <c r="BO467" s="106"/>
      <c r="BP467" s="226"/>
      <c r="BQ467" s="106"/>
      <c r="BR467" s="106"/>
      <c r="BS467" s="106"/>
      <c r="BT467" s="106"/>
      <c r="BU467" s="226"/>
      <c r="BV467" s="106"/>
      <c r="BW467" s="106"/>
      <c r="BX467" s="106"/>
      <c r="BY467" s="106"/>
      <c r="BZ467" s="226"/>
      <c r="CA467" s="106"/>
      <c r="CB467" s="106"/>
      <c r="CC467" s="106"/>
      <c r="CD467" s="106"/>
      <c r="CE467" s="226"/>
      <c r="CF467" s="106"/>
      <c r="CG467" s="106"/>
      <c r="CH467" s="106"/>
      <c r="CI467" s="106"/>
      <c r="CJ467" s="226"/>
      <c r="CK467" s="106"/>
      <c r="CL467" s="106"/>
      <c r="CM467" s="106"/>
      <c r="CN467" s="106"/>
      <c r="CO467" s="226"/>
      <c r="CP467" s="106"/>
      <c r="CQ467" s="106"/>
      <c r="CR467" s="106"/>
      <c r="CS467" s="106"/>
      <c r="CT467" s="226"/>
      <c r="CU467" s="106"/>
      <c r="CV467" s="106"/>
      <c r="CW467" s="106"/>
      <c r="CX467" s="106"/>
      <c r="CY467" s="226"/>
      <c r="CZ467" s="106"/>
      <c r="DA467" s="106"/>
      <c r="DB467" s="106"/>
      <c r="DC467" s="106"/>
      <c r="DD467" s="226"/>
      <c r="DE467" s="106"/>
      <c r="DF467" s="106"/>
      <c r="DG467" s="106"/>
      <c r="DH467" s="106"/>
      <c r="DI467" s="226"/>
      <c r="DJ467" s="106"/>
      <c r="DK467" s="106"/>
      <c r="DL467" s="106"/>
      <c r="DM467" s="106"/>
      <c r="DN467" s="226"/>
      <c r="DO467" s="106"/>
      <c r="DP467" s="106"/>
      <c r="DQ467" s="106"/>
      <c r="DR467" s="106"/>
      <c r="DS467" s="226"/>
      <c r="DT467" s="106"/>
      <c r="DU467" s="106"/>
      <c r="DV467" s="106"/>
      <c r="DW467" s="106"/>
      <c r="DX467" s="226"/>
      <c r="DY467" s="106"/>
      <c r="DZ467" s="106"/>
      <c r="EA467" s="106"/>
      <c r="EB467" s="106"/>
      <c r="EC467" s="226"/>
      <c r="ED467" s="106"/>
      <c r="EE467" s="106"/>
      <c r="EF467" s="106"/>
      <c r="EG467" s="106"/>
      <c r="EH467" s="226"/>
      <c r="EI467" s="106"/>
      <c r="EJ467" s="106"/>
      <c r="EK467" s="106"/>
      <c r="EL467" s="106"/>
      <c r="EM467" s="226"/>
      <c r="EN467" s="106"/>
      <c r="EO467" s="106"/>
      <c r="EP467" s="106"/>
      <c r="EQ467" s="106"/>
      <c r="ER467" s="226"/>
      <c r="ES467" s="106"/>
      <c r="ET467" s="106"/>
      <c r="EU467" s="106"/>
      <c r="EV467" s="106"/>
      <c r="EW467" s="226"/>
      <c r="EX467" s="106"/>
      <c r="EY467" s="106"/>
      <c r="EZ467" s="106"/>
      <c r="FA467" s="106"/>
      <c r="FB467" s="226"/>
      <c r="FC467" s="106"/>
      <c r="FD467" s="106"/>
      <c r="FE467" s="106"/>
      <c r="FF467" s="106"/>
      <c r="FG467" s="226"/>
      <c r="FH467" s="106"/>
      <c r="FI467" s="106"/>
      <c r="FJ467" s="106"/>
      <c r="FK467" s="106"/>
      <c r="FL467" s="226"/>
      <c r="FM467" s="106"/>
      <c r="FN467" s="106"/>
      <c r="FO467" s="106"/>
      <c r="FP467" s="106"/>
      <c r="FQ467" s="226"/>
      <c r="FR467" s="106"/>
      <c r="FS467" s="106"/>
      <c r="FT467" s="106"/>
      <c r="FU467" s="106"/>
      <c r="FV467" s="226"/>
      <c r="FW467" s="106"/>
      <c r="FX467" s="106"/>
      <c r="FY467" s="106"/>
      <c r="FZ467" s="106"/>
      <c r="GA467" s="226"/>
      <c r="GB467" s="106"/>
      <c r="GC467" s="106"/>
      <c r="GD467" s="106"/>
      <c r="GE467" s="106"/>
      <c r="GF467" s="226"/>
      <c r="GG467" s="106"/>
      <c r="GH467" s="106"/>
      <c r="GI467" s="106"/>
      <c r="GJ467" s="106"/>
    </row>
    <row r="468" spans="3:192" ht="12.75" customHeight="1">
      <c r="C468" s="106"/>
      <c r="D468" s="106"/>
      <c r="E468" s="106"/>
      <c r="F468" s="106"/>
      <c r="G468" s="106"/>
      <c r="H468" s="106"/>
      <c r="I468" s="106"/>
      <c r="J468" s="106"/>
      <c r="K468" s="106"/>
      <c r="L468" s="106"/>
      <c r="M468" s="106"/>
      <c r="N468" s="106"/>
      <c r="O468" s="106"/>
      <c r="P468" s="106"/>
      <c r="Q468" s="106"/>
      <c r="R468" s="106"/>
      <c r="S468" s="106"/>
      <c r="T468" s="106"/>
      <c r="U468" s="106"/>
      <c r="V468" s="106"/>
      <c r="W468" s="106"/>
      <c r="X468" s="106"/>
      <c r="Y468" s="106"/>
      <c r="Z468" s="106"/>
      <c r="AA468" s="106"/>
      <c r="AB468" s="106"/>
      <c r="AC468" s="106"/>
      <c r="AD468" s="106"/>
      <c r="AE468" s="106"/>
      <c r="AF468" s="106"/>
      <c r="AG468" s="106"/>
      <c r="AH468" s="106"/>
      <c r="AI468" s="106"/>
      <c r="AJ468" s="106"/>
      <c r="AK468" s="106"/>
      <c r="AL468" s="106"/>
      <c r="AM468" s="106"/>
      <c r="AN468" s="106"/>
      <c r="AO468" s="106"/>
      <c r="AP468" s="106"/>
      <c r="AQ468" s="106"/>
      <c r="AR468" s="106"/>
      <c r="AS468" s="106"/>
      <c r="AT468" s="106"/>
      <c r="AU468" s="106"/>
      <c r="AV468" s="106"/>
      <c r="AW468" s="106"/>
      <c r="AX468" s="106"/>
      <c r="AY468" s="106"/>
      <c r="AZ468" s="106"/>
      <c r="BA468" s="106"/>
      <c r="BB468" s="106"/>
      <c r="BC468" s="106"/>
      <c r="BD468" s="106"/>
      <c r="BE468" s="106"/>
      <c r="BF468" s="106"/>
      <c r="BG468" s="106"/>
      <c r="BH468" s="106"/>
      <c r="BI468" s="106"/>
      <c r="BJ468" s="106"/>
      <c r="BK468" s="106"/>
      <c r="BL468" s="106"/>
      <c r="BM468" s="106"/>
      <c r="BN468" s="106"/>
      <c r="BO468" s="106"/>
      <c r="BP468" s="106"/>
      <c r="BQ468" s="106"/>
      <c r="BR468" s="106"/>
      <c r="BS468" s="106"/>
      <c r="BT468" s="106"/>
      <c r="BU468" s="106"/>
      <c r="BV468" s="106"/>
      <c r="BW468" s="106"/>
      <c r="BX468" s="106"/>
      <c r="BY468" s="106"/>
      <c r="BZ468" s="106"/>
      <c r="CA468" s="106"/>
      <c r="CB468" s="106"/>
      <c r="CC468" s="106"/>
      <c r="CD468" s="106"/>
      <c r="CE468" s="106"/>
      <c r="CF468" s="106"/>
      <c r="CG468" s="106"/>
      <c r="CH468" s="106"/>
      <c r="CI468" s="106"/>
      <c r="CJ468" s="106"/>
      <c r="CK468" s="106"/>
      <c r="CL468" s="106"/>
      <c r="CM468" s="106"/>
      <c r="CN468" s="106"/>
      <c r="CO468" s="106"/>
      <c r="CP468" s="106"/>
      <c r="CQ468" s="106"/>
      <c r="CR468" s="106"/>
      <c r="CS468" s="106"/>
      <c r="CT468" s="106"/>
      <c r="CU468" s="106"/>
      <c r="CV468" s="106"/>
      <c r="CW468" s="106"/>
      <c r="CX468" s="106"/>
      <c r="CY468" s="106"/>
      <c r="CZ468" s="106"/>
      <c r="DA468" s="106"/>
      <c r="DB468" s="106"/>
      <c r="DC468" s="106"/>
      <c r="DD468" s="106"/>
      <c r="DE468" s="106"/>
      <c r="DF468" s="106"/>
      <c r="DG468" s="106"/>
      <c r="DH468" s="106"/>
      <c r="DI468" s="106"/>
      <c r="DJ468" s="106"/>
      <c r="DK468" s="106"/>
      <c r="DL468" s="106"/>
      <c r="DM468" s="106"/>
      <c r="DN468" s="106"/>
      <c r="DO468" s="106"/>
      <c r="DP468" s="106"/>
      <c r="DQ468" s="106"/>
      <c r="DR468" s="106"/>
      <c r="DS468" s="106"/>
      <c r="DT468" s="106"/>
      <c r="DU468" s="106"/>
      <c r="DV468" s="106"/>
      <c r="DW468" s="106"/>
      <c r="DX468" s="106"/>
      <c r="DY468" s="106"/>
      <c r="DZ468" s="106"/>
      <c r="EA468" s="106"/>
      <c r="EB468" s="106"/>
      <c r="EC468" s="106"/>
      <c r="ED468" s="106"/>
      <c r="EE468" s="106"/>
      <c r="EF468" s="106"/>
      <c r="EG468" s="106"/>
      <c r="EH468" s="106"/>
      <c r="EI468" s="106"/>
      <c r="EJ468" s="106"/>
      <c r="EK468" s="106"/>
      <c r="EL468" s="106"/>
      <c r="EM468" s="106"/>
      <c r="EN468" s="106"/>
      <c r="EO468" s="106"/>
      <c r="EP468" s="106"/>
      <c r="EQ468" s="106"/>
      <c r="ER468" s="106"/>
      <c r="ES468" s="106"/>
      <c r="ET468" s="106"/>
      <c r="EU468" s="106"/>
      <c r="EV468" s="106"/>
      <c r="EW468" s="106"/>
      <c r="EX468" s="106"/>
      <c r="EY468" s="106"/>
      <c r="EZ468" s="106"/>
      <c r="FA468" s="106"/>
      <c r="FB468" s="106"/>
      <c r="FC468" s="106"/>
      <c r="FD468" s="106"/>
      <c r="FE468" s="106"/>
      <c r="FF468" s="106"/>
      <c r="FG468" s="106"/>
      <c r="FH468" s="106"/>
      <c r="FI468" s="106"/>
      <c r="FJ468" s="106"/>
      <c r="FK468" s="106"/>
      <c r="FL468" s="106"/>
      <c r="FM468" s="106"/>
      <c r="FN468" s="106"/>
      <c r="FO468" s="106"/>
      <c r="FP468" s="106"/>
      <c r="FQ468" s="106"/>
      <c r="FR468" s="106"/>
      <c r="FS468" s="106"/>
      <c r="FT468" s="106"/>
      <c r="FU468" s="106"/>
      <c r="FV468" s="106"/>
      <c r="FW468" s="106"/>
      <c r="FX468" s="106"/>
      <c r="FY468" s="106"/>
      <c r="FZ468" s="106"/>
      <c r="GA468" s="106"/>
      <c r="GB468" s="106"/>
      <c r="GC468" s="106"/>
      <c r="GD468" s="106"/>
      <c r="GE468" s="106"/>
      <c r="GF468" s="106"/>
      <c r="GG468" s="106"/>
      <c r="GH468" s="106"/>
      <c r="GI468" s="106"/>
      <c r="GJ468" s="106"/>
    </row>
    <row r="469" spans="3:192" ht="12.75" customHeight="1">
      <c r="C469" s="227"/>
      <c r="D469" s="222"/>
      <c r="E469" s="222"/>
      <c r="F469" s="222"/>
      <c r="G469" s="222"/>
      <c r="H469" s="227"/>
      <c r="I469" s="222"/>
      <c r="J469" s="222"/>
      <c r="K469" s="222"/>
      <c r="L469" s="222"/>
      <c r="M469" s="227"/>
      <c r="N469" s="222"/>
      <c r="O469" s="222"/>
      <c r="P469" s="222"/>
      <c r="Q469" s="222"/>
      <c r="R469" s="227"/>
      <c r="S469" s="222"/>
      <c r="T469" s="222"/>
      <c r="U469" s="222"/>
      <c r="V469" s="222"/>
      <c r="W469" s="227"/>
      <c r="X469" s="222"/>
      <c r="Y469" s="222"/>
      <c r="Z469" s="222"/>
      <c r="AA469" s="222"/>
      <c r="AB469" s="227"/>
      <c r="AC469" s="222"/>
      <c r="AD469" s="222"/>
      <c r="AE469" s="222"/>
      <c r="AF469" s="222"/>
      <c r="AG469" s="227"/>
      <c r="AH469" s="222"/>
      <c r="AI469" s="222"/>
      <c r="AJ469" s="222"/>
      <c r="AK469" s="222"/>
      <c r="AL469" s="227"/>
      <c r="AM469" s="222"/>
      <c r="AN469" s="222"/>
      <c r="AO469" s="222"/>
      <c r="AP469" s="222"/>
      <c r="AQ469" s="227"/>
      <c r="AR469" s="222"/>
      <c r="AS469" s="222"/>
      <c r="AT469" s="222"/>
      <c r="AU469" s="222"/>
      <c r="AV469" s="227"/>
      <c r="AW469" s="222"/>
      <c r="AX469" s="222"/>
      <c r="AY469" s="222"/>
      <c r="AZ469" s="222"/>
      <c r="BA469" s="227"/>
      <c r="BB469" s="222"/>
      <c r="BC469" s="222"/>
      <c r="BD469" s="222"/>
      <c r="BE469" s="222"/>
      <c r="BF469" s="227"/>
      <c r="BG469" s="222"/>
      <c r="BH469" s="222"/>
      <c r="BI469" s="222"/>
      <c r="BJ469" s="222"/>
      <c r="BK469" s="227"/>
      <c r="BL469" s="222"/>
      <c r="BM469" s="222"/>
      <c r="BN469" s="222"/>
      <c r="BO469" s="222"/>
      <c r="BP469" s="227"/>
      <c r="BQ469" s="222"/>
      <c r="BR469" s="222"/>
      <c r="BS469" s="222"/>
      <c r="BT469" s="222"/>
      <c r="BU469" s="227"/>
      <c r="BV469" s="222"/>
      <c r="BW469" s="222"/>
      <c r="BX469" s="222"/>
      <c r="BY469" s="222"/>
      <c r="BZ469" s="227"/>
      <c r="CA469" s="222"/>
      <c r="CB469" s="222"/>
      <c r="CC469" s="222"/>
      <c r="CD469" s="222"/>
      <c r="CE469" s="227"/>
      <c r="CF469" s="222"/>
      <c r="CG469" s="222"/>
      <c r="CH469" s="222"/>
      <c r="CI469" s="222"/>
      <c r="CJ469" s="227"/>
      <c r="CK469" s="222"/>
      <c r="CL469" s="222"/>
      <c r="CM469" s="222"/>
      <c r="CN469" s="222"/>
      <c r="CO469" s="227"/>
      <c r="CP469" s="222"/>
      <c r="CQ469" s="222"/>
      <c r="CR469" s="222"/>
      <c r="CS469" s="222"/>
      <c r="CT469" s="227"/>
      <c r="CU469" s="222"/>
      <c r="CV469" s="222"/>
      <c r="CW469" s="222"/>
      <c r="CX469" s="222"/>
      <c r="CY469" s="227"/>
      <c r="CZ469" s="222"/>
      <c r="DA469" s="222"/>
      <c r="DB469" s="222"/>
      <c r="DC469" s="222"/>
      <c r="DD469" s="227"/>
      <c r="DE469" s="222"/>
      <c r="DF469" s="222"/>
      <c r="DG469" s="222"/>
      <c r="DH469" s="222"/>
      <c r="DI469" s="227"/>
      <c r="DJ469" s="222"/>
      <c r="DK469" s="222"/>
      <c r="DL469" s="222"/>
      <c r="DM469" s="222"/>
      <c r="DN469" s="227"/>
      <c r="DO469" s="222"/>
      <c r="DP469" s="222"/>
      <c r="DQ469" s="222"/>
      <c r="DR469" s="222"/>
      <c r="DS469" s="227"/>
      <c r="DT469" s="222"/>
      <c r="DU469" s="222"/>
      <c r="DV469" s="222"/>
      <c r="DW469" s="222"/>
      <c r="DX469" s="227"/>
      <c r="DY469" s="222"/>
      <c r="DZ469" s="222"/>
      <c r="EA469" s="222"/>
      <c r="EB469" s="222"/>
      <c r="EC469" s="227"/>
      <c r="ED469" s="222"/>
      <c r="EE469" s="222"/>
      <c r="EF469" s="222"/>
      <c r="EG469" s="222"/>
      <c r="EH469" s="227"/>
      <c r="EI469" s="222"/>
      <c r="EJ469" s="222"/>
      <c r="EK469" s="222"/>
      <c r="EL469" s="222"/>
      <c r="EM469" s="227"/>
      <c r="EN469" s="222"/>
      <c r="EO469" s="222"/>
      <c r="EP469" s="222"/>
      <c r="EQ469" s="222"/>
      <c r="ER469" s="227"/>
      <c r="ES469" s="222"/>
      <c r="ET469" s="222"/>
      <c r="EU469" s="222"/>
      <c r="EV469" s="222"/>
      <c r="EW469" s="227"/>
      <c r="EX469" s="222"/>
      <c r="EY469" s="222"/>
      <c r="EZ469" s="222"/>
      <c r="FA469" s="222"/>
      <c r="FB469" s="227"/>
      <c r="FC469" s="222"/>
      <c r="FD469" s="222"/>
      <c r="FE469" s="222"/>
      <c r="FF469" s="222"/>
      <c r="FG469" s="227"/>
      <c r="FH469" s="222"/>
      <c r="FI469" s="222"/>
      <c r="FJ469" s="222"/>
      <c r="FK469" s="222"/>
      <c r="FL469" s="227"/>
      <c r="FM469" s="222"/>
      <c r="FN469" s="222"/>
      <c r="FO469" s="222"/>
      <c r="FP469" s="222"/>
      <c r="FQ469" s="227"/>
      <c r="FR469" s="222"/>
      <c r="FS469" s="222"/>
      <c r="FT469" s="222"/>
      <c r="FU469" s="222"/>
      <c r="FV469" s="227"/>
      <c r="FW469" s="222"/>
      <c r="FX469" s="222"/>
      <c r="FY469" s="222"/>
      <c r="FZ469" s="222"/>
      <c r="GA469" s="227"/>
      <c r="GB469" s="222"/>
      <c r="GC469" s="222"/>
      <c r="GD469" s="222"/>
      <c r="GE469" s="222"/>
      <c r="GF469" s="227"/>
      <c r="GG469" s="222"/>
      <c r="GH469" s="222"/>
      <c r="GI469" s="222"/>
      <c r="GJ469" s="222"/>
    </row>
    <row r="470" spans="3:192" ht="12.75" customHeight="1">
      <c r="C470" s="226"/>
      <c r="D470" s="106"/>
      <c r="E470" s="106"/>
      <c r="F470" s="106"/>
      <c r="G470" s="106"/>
      <c r="H470" s="226"/>
      <c r="I470" s="106"/>
      <c r="J470" s="106"/>
      <c r="K470" s="106"/>
      <c r="L470" s="106"/>
      <c r="M470" s="226"/>
      <c r="N470" s="106"/>
      <c r="O470" s="106"/>
      <c r="P470" s="106"/>
      <c r="Q470" s="106"/>
      <c r="R470" s="226"/>
      <c r="S470" s="106"/>
      <c r="T470" s="106"/>
      <c r="U470" s="106"/>
      <c r="V470" s="106"/>
      <c r="W470" s="226"/>
      <c r="X470" s="106"/>
      <c r="Y470" s="106"/>
      <c r="Z470" s="106"/>
      <c r="AA470" s="106"/>
      <c r="AB470" s="226"/>
      <c r="AC470" s="106"/>
      <c r="AD470" s="106"/>
      <c r="AE470" s="106"/>
      <c r="AF470" s="106"/>
      <c r="AG470" s="226"/>
      <c r="AH470" s="106"/>
      <c r="AI470" s="106"/>
      <c r="AJ470" s="106"/>
      <c r="AK470" s="106"/>
      <c r="AL470" s="226"/>
      <c r="AM470" s="106"/>
      <c r="AN470" s="106"/>
      <c r="AO470" s="106"/>
      <c r="AP470" s="106"/>
      <c r="AQ470" s="226"/>
      <c r="AR470" s="106"/>
      <c r="AS470" s="106"/>
      <c r="AT470" s="106"/>
      <c r="AU470" s="106"/>
      <c r="AV470" s="226"/>
      <c r="AW470" s="106"/>
      <c r="AX470" s="106"/>
      <c r="AY470" s="106"/>
      <c r="AZ470" s="106"/>
      <c r="BA470" s="226"/>
      <c r="BB470" s="106"/>
      <c r="BC470" s="106"/>
      <c r="BD470" s="106"/>
      <c r="BE470" s="106"/>
      <c r="BF470" s="226"/>
      <c r="BG470" s="106"/>
      <c r="BH470" s="106"/>
      <c r="BI470" s="106"/>
      <c r="BJ470" s="106"/>
      <c r="BK470" s="226"/>
      <c r="BL470" s="106"/>
      <c r="BM470" s="106"/>
      <c r="BN470" s="106"/>
      <c r="BO470" s="106"/>
      <c r="BP470" s="226"/>
      <c r="BQ470" s="106"/>
      <c r="BR470" s="106"/>
      <c r="BS470" s="106"/>
      <c r="BT470" s="106"/>
      <c r="BU470" s="226"/>
      <c r="BV470" s="106"/>
      <c r="BW470" s="106"/>
      <c r="BX470" s="106"/>
      <c r="BY470" s="106"/>
      <c r="BZ470" s="226"/>
      <c r="CA470" s="106"/>
      <c r="CB470" s="106"/>
      <c r="CC470" s="106"/>
      <c r="CD470" s="106"/>
      <c r="CE470" s="226"/>
      <c r="CF470" s="106"/>
      <c r="CG470" s="106"/>
      <c r="CH470" s="106"/>
      <c r="CI470" s="106"/>
      <c r="CJ470" s="226"/>
      <c r="CK470" s="106"/>
      <c r="CL470" s="106"/>
      <c r="CM470" s="106"/>
      <c r="CN470" s="106"/>
      <c r="CO470" s="226"/>
      <c r="CP470" s="106"/>
      <c r="CQ470" s="106"/>
      <c r="CR470" s="106"/>
      <c r="CS470" s="106"/>
      <c r="CT470" s="226"/>
      <c r="CU470" s="106"/>
      <c r="CV470" s="106"/>
      <c r="CW470" s="106"/>
      <c r="CX470" s="106"/>
      <c r="CY470" s="226"/>
      <c r="CZ470" s="106"/>
      <c r="DA470" s="106"/>
      <c r="DB470" s="106"/>
      <c r="DC470" s="106"/>
      <c r="DD470" s="226"/>
      <c r="DE470" s="106"/>
      <c r="DF470" s="106"/>
      <c r="DG470" s="106"/>
      <c r="DH470" s="106"/>
      <c r="DI470" s="226"/>
      <c r="DJ470" s="106"/>
      <c r="DK470" s="106"/>
      <c r="DL470" s="106"/>
      <c r="DM470" s="106"/>
      <c r="DN470" s="226"/>
      <c r="DO470" s="106"/>
      <c r="DP470" s="106"/>
      <c r="DQ470" s="106"/>
      <c r="DR470" s="106"/>
      <c r="DS470" s="226"/>
      <c r="DT470" s="106"/>
      <c r="DU470" s="106"/>
      <c r="DV470" s="106"/>
      <c r="DW470" s="106"/>
      <c r="DX470" s="226"/>
      <c r="DY470" s="106"/>
      <c r="DZ470" s="106"/>
      <c r="EA470" s="106"/>
      <c r="EB470" s="106"/>
      <c r="EC470" s="226"/>
      <c r="ED470" s="106"/>
      <c r="EE470" s="106"/>
      <c r="EF470" s="106"/>
      <c r="EG470" s="106"/>
      <c r="EH470" s="226"/>
      <c r="EI470" s="106"/>
      <c r="EJ470" s="106"/>
      <c r="EK470" s="106"/>
      <c r="EL470" s="106"/>
      <c r="EM470" s="226"/>
      <c r="EN470" s="106"/>
      <c r="EO470" s="106"/>
      <c r="EP470" s="106"/>
      <c r="EQ470" s="106"/>
      <c r="ER470" s="226"/>
      <c r="ES470" s="106"/>
      <c r="ET470" s="106"/>
      <c r="EU470" s="106"/>
      <c r="EV470" s="106"/>
      <c r="EW470" s="226"/>
      <c r="EX470" s="106"/>
      <c r="EY470" s="106"/>
      <c r="EZ470" s="106"/>
      <c r="FA470" s="106"/>
      <c r="FB470" s="226"/>
      <c r="FC470" s="106"/>
      <c r="FD470" s="106"/>
      <c r="FE470" s="106"/>
      <c r="FF470" s="106"/>
      <c r="FG470" s="226"/>
      <c r="FH470" s="106"/>
      <c r="FI470" s="106"/>
      <c r="FJ470" s="106"/>
      <c r="FK470" s="106"/>
      <c r="FL470" s="226"/>
      <c r="FM470" s="106"/>
      <c r="FN470" s="106"/>
      <c r="FO470" s="106"/>
      <c r="FP470" s="106"/>
      <c r="FQ470" s="226"/>
      <c r="FR470" s="106"/>
      <c r="FS470" s="106"/>
      <c r="FT470" s="106"/>
      <c r="FU470" s="106"/>
      <c r="FV470" s="226"/>
      <c r="FW470" s="106"/>
      <c r="FX470" s="106"/>
      <c r="FY470" s="106"/>
      <c r="FZ470" s="106"/>
      <c r="GA470" s="226"/>
      <c r="GB470" s="106"/>
      <c r="GC470" s="106"/>
      <c r="GD470" s="106"/>
      <c r="GE470" s="106"/>
      <c r="GF470" s="226"/>
      <c r="GG470" s="106"/>
      <c r="GH470" s="106"/>
      <c r="GI470" s="106"/>
      <c r="GJ470" s="106"/>
    </row>
    <row r="471" spans="3:192" ht="12.75" customHeight="1">
      <c r="C471" s="226"/>
      <c r="D471" s="106"/>
      <c r="E471" s="106"/>
      <c r="F471" s="106"/>
      <c r="G471" s="106"/>
      <c r="H471" s="226"/>
      <c r="I471" s="106"/>
      <c r="J471" s="106"/>
      <c r="K471" s="106"/>
      <c r="L471" s="106"/>
      <c r="M471" s="226"/>
      <c r="N471" s="106"/>
      <c r="O471" s="106"/>
      <c r="P471" s="106"/>
      <c r="Q471" s="106"/>
      <c r="R471" s="226"/>
      <c r="S471" s="106"/>
      <c r="T471" s="106"/>
      <c r="U471" s="106"/>
      <c r="V471" s="106"/>
      <c r="W471" s="226"/>
      <c r="X471" s="106"/>
      <c r="Y471" s="106"/>
      <c r="Z471" s="106"/>
      <c r="AA471" s="106"/>
      <c r="AB471" s="226"/>
      <c r="AC471" s="106"/>
      <c r="AD471" s="106"/>
      <c r="AE471" s="106"/>
      <c r="AF471" s="106"/>
      <c r="AG471" s="226"/>
      <c r="AH471" s="106"/>
      <c r="AI471" s="106"/>
      <c r="AJ471" s="106"/>
      <c r="AK471" s="106"/>
      <c r="AL471" s="226"/>
      <c r="AM471" s="106"/>
      <c r="AN471" s="106"/>
      <c r="AO471" s="106"/>
      <c r="AP471" s="106"/>
      <c r="AQ471" s="226"/>
      <c r="AR471" s="106"/>
      <c r="AS471" s="106"/>
      <c r="AT471" s="106"/>
      <c r="AU471" s="106"/>
      <c r="AV471" s="226"/>
      <c r="AW471" s="106"/>
      <c r="AX471" s="106"/>
      <c r="AY471" s="106"/>
      <c r="AZ471" s="106"/>
      <c r="BA471" s="226"/>
      <c r="BB471" s="106"/>
      <c r="BC471" s="106"/>
      <c r="BD471" s="106"/>
      <c r="BE471" s="106"/>
      <c r="BF471" s="226"/>
      <c r="BG471" s="106"/>
      <c r="BH471" s="106"/>
      <c r="BI471" s="106"/>
      <c r="BJ471" s="106"/>
      <c r="BK471" s="226"/>
      <c r="BL471" s="106"/>
      <c r="BM471" s="106"/>
      <c r="BN471" s="106"/>
      <c r="BO471" s="106"/>
      <c r="BP471" s="226"/>
      <c r="BQ471" s="106"/>
      <c r="BR471" s="106"/>
      <c r="BS471" s="106"/>
      <c r="BT471" s="106"/>
      <c r="BU471" s="226"/>
      <c r="BV471" s="106"/>
      <c r="BW471" s="106"/>
      <c r="BX471" s="106"/>
      <c r="BY471" s="106"/>
      <c r="BZ471" s="226"/>
      <c r="CA471" s="106"/>
      <c r="CB471" s="106"/>
      <c r="CC471" s="106"/>
      <c r="CD471" s="106"/>
      <c r="CE471" s="226"/>
      <c r="CF471" s="106"/>
      <c r="CG471" s="106"/>
      <c r="CH471" s="106"/>
      <c r="CI471" s="106"/>
      <c r="CJ471" s="226"/>
      <c r="CK471" s="106"/>
      <c r="CL471" s="106"/>
      <c r="CM471" s="106"/>
      <c r="CN471" s="106"/>
      <c r="CO471" s="226"/>
      <c r="CP471" s="106"/>
      <c r="CQ471" s="106"/>
      <c r="CR471" s="106"/>
      <c r="CS471" s="106"/>
      <c r="CT471" s="226"/>
      <c r="CU471" s="106"/>
      <c r="CV471" s="106"/>
      <c r="CW471" s="106"/>
      <c r="CX471" s="106"/>
      <c r="CY471" s="226"/>
      <c r="CZ471" s="106"/>
      <c r="DA471" s="106"/>
      <c r="DB471" s="106"/>
      <c r="DC471" s="106"/>
      <c r="DD471" s="226"/>
      <c r="DE471" s="106"/>
      <c r="DF471" s="106"/>
      <c r="DG471" s="106"/>
      <c r="DH471" s="106"/>
      <c r="DI471" s="226"/>
      <c r="DJ471" s="106"/>
      <c r="DK471" s="106"/>
      <c r="DL471" s="106"/>
      <c r="DM471" s="106"/>
      <c r="DN471" s="226"/>
      <c r="DO471" s="106"/>
      <c r="DP471" s="106"/>
      <c r="DQ471" s="106"/>
      <c r="DR471" s="106"/>
      <c r="DS471" s="226"/>
      <c r="DT471" s="106"/>
      <c r="DU471" s="106"/>
      <c r="DV471" s="106"/>
      <c r="DW471" s="106"/>
      <c r="DX471" s="226"/>
      <c r="DY471" s="106"/>
      <c r="DZ471" s="106"/>
      <c r="EA471" s="106"/>
      <c r="EB471" s="106"/>
      <c r="EC471" s="226"/>
      <c r="ED471" s="106"/>
      <c r="EE471" s="106"/>
      <c r="EF471" s="106"/>
      <c r="EG471" s="106"/>
      <c r="EH471" s="226"/>
      <c r="EI471" s="106"/>
      <c r="EJ471" s="106"/>
      <c r="EK471" s="106"/>
      <c r="EL471" s="106"/>
      <c r="EM471" s="226"/>
      <c r="EN471" s="106"/>
      <c r="EO471" s="106"/>
      <c r="EP471" s="106"/>
      <c r="EQ471" s="106"/>
      <c r="ER471" s="226"/>
      <c r="ES471" s="106"/>
      <c r="ET471" s="106"/>
      <c r="EU471" s="106"/>
      <c r="EV471" s="106"/>
      <c r="EW471" s="226"/>
      <c r="EX471" s="106"/>
      <c r="EY471" s="106"/>
      <c r="EZ471" s="106"/>
      <c r="FA471" s="106"/>
      <c r="FB471" s="226"/>
      <c r="FC471" s="106"/>
      <c r="FD471" s="106"/>
      <c r="FE471" s="106"/>
      <c r="FF471" s="106"/>
      <c r="FG471" s="226"/>
      <c r="FH471" s="106"/>
      <c r="FI471" s="106"/>
      <c r="FJ471" s="106"/>
      <c r="FK471" s="106"/>
      <c r="FL471" s="226"/>
      <c r="FM471" s="106"/>
      <c r="FN471" s="106"/>
      <c r="FO471" s="106"/>
      <c r="FP471" s="106"/>
      <c r="FQ471" s="226"/>
      <c r="FR471" s="106"/>
      <c r="FS471" s="106"/>
      <c r="FT471" s="106"/>
      <c r="FU471" s="106"/>
      <c r="FV471" s="226"/>
      <c r="FW471" s="106"/>
      <c r="FX471" s="106"/>
      <c r="FY471" s="106"/>
      <c r="FZ471" s="106"/>
      <c r="GA471" s="226"/>
      <c r="GB471" s="106"/>
      <c r="GC471" s="106"/>
      <c r="GD471" s="106"/>
      <c r="GE471" s="106"/>
      <c r="GF471" s="226"/>
      <c r="GG471" s="106"/>
      <c r="GH471" s="106"/>
      <c r="GI471" s="106"/>
      <c r="GJ471" s="106"/>
    </row>
    <row r="472" spans="3:192" ht="12.75" customHeight="1">
      <c r="C472" s="106"/>
      <c r="D472" s="106"/>
      <c r="E472" s="106"/>
      <c r="F472" s="106"/>
      <c r="G472" s="106"/>
      <c r="H472" s="106"/>
      <c r="I472" s="106"/>
      <c r="J472" s="106"/>
      <c r="K472" s="106"/>
      <c r="L472" s="106"/>
      <c r="M472" s="106"/>
      <c r="N472" s="106"/>
      <c r="O472" s="106"/>
      <c r="P472" s="106"/>
      <c r="Q472" s="106"/>
      <c r="R472" s="106"/>
      <c r="S472" s="106"/>
      <c r="T472" s="106"/>
      <c r="U472" s="106"/>
      <c r="V472" s="106"/>
      <c r="W472" s="106"/>
      <c r="X472" s="106"/>
      <c r="Y472" s="106"/>
      <c r="Z472" s="106"/>
      <c r="AA472" s="106"/>
      <c r="AB472" s="106"/>
      <c r="AC472" s="106"/>
      <c r="AD472" s="106"/>
      <c r="AE472" s="106"/>
      <c r="AF472" s="106"/>
      <c r="AG472" s="106"/>
      <c r="AH472" s="106"/>
      <c r="AI472" s="106"/>
      <c r="AJ472" s="106"/>
      <c r="AK472" s="106"/>
      <c r="AL472" s="106"/>
      <c r="AM472" s="106"/>
      <c r="AN472" s="106"/>
      <c r="AO472" s="106"/>
      <c r="AP472" s="106"/>
      <c r="AQ472" s="106"/>
      <c r="AR472" s="106"/>
      <c r="AS472" s="106"/>
      <c r="AT472" s="106"/>
      <c r="AU472" s="106"/>
      <c r="AV472" s="106"/>
      <c r="AW472" s="106"/>
      <c r="AX472" s="106"/>
      <c r="AY472" s="106"/>
      <c r="AZ472" s="106"/>
      <c r="BA472" s="106"/>
      <c r="BB472" s="106"/>
      <c r="BC472" s="106"/>
      <c r="BD472" s="106"/>
      <c r="BE472" s="106"/>
      <c r="BF472" s="106"/>
      <c r="BG472" s="106"/>
      <c r="BH472" s="106"/>
      <c r="BI472" s="106"/>
      <c r="BJ472" s="106"/>
      <c r="BK472" s="106"/>
      <c r="BL472" s="106"/>
      <c r="BM472" s="106"/>
      <c r="BN472" s="106"/>
      <c r="BO472" s="106"/>
      <c r="BP472" s="106"/>
      <c r="BQ472" s="106"/>
      <c r="BR472" s="106"/>
      <c r="BS472" s="106"/>
      <c r="BT472" s="106"/>
      <c r="BU472" s="106"/>
      <c r="BV472" s="106"/>
      <c r="BW472" s="106"/>
      <c r="BX472" s="106"/>
      <c r="BY472" s="106"/>
      <c r="BZ472" s="106"/>
      <c r="CA472" s="106"/>
      <c r="CB472" s="106"/>
      <c r="CC472" s="106"/>
      <c r="CD472" s="106"/>
      <c r="CE472" s="106"/>
      <c r="CF472" s="106"/>
      <c r="CG472" s="106"/>
      <c r="CH472" s="106"/>
      <c r="CI472" s="106"/>
      <c r="CJ472" s="106"/>
      <c r="CK472" s="106"/>
      <c r="CL472" s="106"/>
      <c r="CM472" s="106"/>
      <c r="CN472" s="106"/>
      <c r="CO472" s="106"/>
      <c r="CP472" s="106"/>
      <c r="CQ472" s="106"/>
      <c r="CR472" s="106"/>
      <c r="CS472" s="106"/>
      <c r="CT472" s="106"/>
      <c r="CU472" s="106"/>
      <c r="CV472" s="106"/>
      <c r="CW472" s="106"/>
      <c r="CX472" s="106"/>
      <c r="CY472" s="106"/>
      <c r="CZ472" s="106"/>
      <c r="DA472" s="106"/>
      <c r="DB472" s="106"/>
      <c r="DC472" s="106"/>
      <c r="DD472" s="106"/>
      <c r="DE472" s="106"/>
      <c r="DF472" s="106"/>
      <c r="DG472" s="106"/>
      <c r="DH472" s="106"/>
      <c r="DI472" s="106"/>
      <c r="DJ472" s="106"/>
      <c r="DK472" s="106"/>
      <c r="DL472" s="106"/>
      <c r="DM472" s="106"/>
      <c r="DN472" s="106"/>
      <c r="DO472" s="106"/>
      <c r="DP472" s="106"/>
      <c r="DQ472" s="106"/>
      <c r="DR472" s="106"/>
      <c r="DS472" s="106"/>
      <c r="DT472" s="106"/>
      <c r="DU472" s="106"/>
      <c r="DV472" s="106"/>
      <c r="DW472" s="106"/>
      <c r="DX472" s="106"/>
      <c r="DY472" s="106"/>
      <c r="DZ472" s="106"/>
      <c r="EA472" s="106"/>
      <c r="EB472" s="106"/>
      <c r="EC472" s="106"/>
      <c r="ED472" s="106"/>
      <c r="EE472" s="106"/>
      <c r="EF472" s="106"/>
      <c r="EG472" s="106"/>
      <c r="EH472" s="106"/>
      <c r="EI472" s="106"/>
      <c r="EJ472" s="106"/>
      <c r="EK472" s="106"/>
      <c r="EL472" s="106"/>
      <c r="EM472" s="106"/>
      <c r="EN472" s="106"/>
      <c r="EO472" s="106"/>
      <c r="EP472" s="106"/>
      <c r="EQ472" s="106"/>
      <c r="ER472" s="106"/>
      <c r="ES472" s="106"/>
      <c r="ET472" s="106"/>
      <c r="EU472" s="106"/>
      <c r="EV472" s="106"/>
      <c r="EW472" s="106"/>
      <c r="EX472" s="106"/>
      <c r="EY472" s="106"/>
      <c r="EZ472" s="106"/>
      <c r="FA472" s="106"/>
      <c r="FB472" s="106"/>
      <c r="FC472" s="106"/>
      <c r="FD472" s="106"/>
      <c r="FE472" s="106"/>
      <c r="FF472" s="106"/>
      <c r="FG472" s="106"/>
      <c r="FH472" s="106"/>
      <c r="FI472" s="106"/>
      <c r="FJ472" s="106"/>
      <c r="FK472" s="106"/>
      <c r="FL472" s="106"/>
      <c r="FM472" s="106"/>
      <c r="FN472" s="106"/>
      <c r="FO472" s="106"/>
      <c r="FP472" s="106"/>
      <c r="FQ472" s="106"/>
      <c r="FR472" s="106"/>
      <c r="FS472" s="106"/>
      <c r="FT472" s="106"/>
      <c r="FU472" s="106"/>
      <c r="FV472" s="106"/>
      <c r="FW472" s="106"/>
      <c r="FX472" s="106"/>
      <c r="FY472" s="106"/>
      <c r="FZ472" s="106"/>
      <c r="GA472" s="106"/>
      <c r="GB472" s="106"/>
      <c r="GC472" s="106"/>
      <c r="GD472" s="106"/>
      <c r="GE472" s="106"/>
      <c r="GF472" s="106"/>
      <c r="GG472" s="106"/>
      <c r="GH472" s="106"/>
      <c r="GI472" s="106"/>
      <c r="GJ472" s="106"/>
    </row>
    <row r="473" spans="3:192" ht="12.75" customHeight="1">
      <c r="C473" s="106"/>
      <c r="D473" s="106"/>
      <c r="E473" s="106"/>
      <c r="F473" s="106"/>
      <c r="G473" s="106"/>
      <c r="H473" s="106"/>
      <c r="I473" s="106"/>
      <c r="J473" s="106"/>
      <c r="K473" s="106"/>
      <c r="L473" s="106"/>
      <c r="M473" s="106"/>
      <c r="N473" s="106"/>
      <c r="O473" s="106"/>
      <c r="P473" s="106"/>
      <c r="Q473" s="106"/>
      <c r="R473" s="106"/>
      <c r="S473" s="106"/>
      <c r="T473" s="106"/>
      <c r="U473" s="106"/>
      <c r="V473" s="106"/>
      <c r="W473" s="106"/>
      <c r="X473" s="106"/>
      <c r="Y473" s="106"/>
      <c r="Z473" s="106"/>
      <c r="AA473" s="106"/>
      <c r="AB473" s="106"/>
      <c r="AC473" s="106"/>
      <c r="AD473" s="106"/>
      <c r="AE473" s="106"/>
      <c r="AF473" s="106"/>
      <c r="AG473" s="106"/>
      <c r="AH473" s="106"/>
      <c r="AI473" s="106"/>
      <c r="AJ473" s="106"/>
      <c r="AK473" s="106"/>
      <c r="AL473" s="106"/>
      <c r="AM473" s="106"/>
      <c r="AN473" s="106"/>
      <c r="AO473" s="106"/>
      <c r="AP473" s="106"/>
      <c r="AQ473" s="106"/>
      <c r="AR473" s="106"/>
      <c r="AS473" s="106"/>
      <c r="AT473" s="106"/>
      <c r="AU473" s="106"/>
      <c r="AV473" s="106"/>
      <c r="AW473" s="106"/>
      <c r="AX473" s="106"/>
      <c r="AY473" s="106"/>
      <c r="AZ473" s="106"/>
      <c r="BA473" s="106"/>
      <c r="BB473" s="106"/>
      <c r="BC473" s="106"/>
      <c r="BD473" s="106"/>
      <c r="BE473" s="106"/>
      <c r="BF473" s="106"/>
      <c r="BG473" s="106"/>
      <c r="BH473" s="106"/>
      <c r="BI473" s="106"/>
      <c r="BJ473" s="106"/>
      <c r="BK473" s="106"/>
      <c r="BL473" s="106"/>
      <c r="BM473" s="106"/>
      <c r="BN473" s="106"/>
      <c r="BO473" s="106"/>
      <c r="BP473" s="106"/>
      <c r="BQ473" s="106"/>
      <c r="BR473" s="106"/>
      <c r="BS473" s="106"/>
      <c r="BT473" s="106"/>
      <c r="BU473" s="106"/>
      <c r="BV473" s="106"/>
      <c r="BW473" s="106"/>
      <c r="BX473" s="106"/>
      <c r="BY473" s="106"/>
      <c r="BZ473" s="106"/>
      <c r="CA473" s="106"/>
      <c r="CB473" s="106"/>
      <c r="CC473" s="106"/>
      <c r="CD473" s="106"/>
      <c r="CE473" s="106"/>
      <c r="CF473" s="106"/>
      <c r="CG473" s="106"/>
      <c r="CH473" s="106"/>
      <c r="CI473" s="106"/>
      <c r="CJ473" s="106"/>
      <c r="CK473" s="106"/>
      <c r="CL473" s="106"/>
      <c r="CM473" s="106"/>
      <c r="CN473" s="106"/>
      <c r="CO473" s="106"/>
      <c r="CP473" s="106"/>
      <c r="CQ473" s="106"/>
      <c r="CR473" s="106"/>
      <c r="CS473" s="106"/>
      <c r="CT473" s="106"/>
      <c r="CU473" s="106"/>
      <c r="CV473" s="106"/>
      <c r="CW473" s="106"/>
      <c r="CX473" s="106"/>
      <c r="CY473" s="106"/>
      <c r="CZ473" s="106"/>
      <c r="DA473" s="106"/>
      <c r="DB473" s="106"/>
      <c r="DC473" s="106"/>
      <c r="DD473" s="106"/>
      <c r="DE473" s="106"/>
      <c r="DF473" s="106"/>
      <c r="DG473" s="106"/>
      <c r="DH473" s="106"/>
      <c r="DI473" s="106"/>
      <c r="DJ473" s="106"/>
      <c r="DK473" s="106"/>
      <c r="DL473" s="106"/>
      <c r="DM473" s="106"/>
      <c r="DN473" s="106"/>
      <c r="DO473" s="106"/>
      <c r="DP473" s="106"/>
      <c r="DQ473" s="106"/>
      <c r="DR473" s="106"/>
      <c r="DS473" s="106"/>
      <c r="DT473" s="106"/>
      <c r="DU473" s="106"/>
      <c r="DV473" s="106"/>
      <c r="DW473" s="106"/>
      <c r="DX473" s="106"/>
      <c r="DY473" s="106"/>
      <c r="DZ473" s="106"/>
      <c r="EA473" s="106"/>
      <c r="EB473" s="106"/>
      <c r="EC473" s="106"/>
      <c r="ED473" s="106"/>
      <c r="EE473" s="106"/>
      <c r="EF473" s="106"/>
      <c r="EG473" s="106"/>
      <c r="EH473" s="106"/>
      <c r="EI473" s="106"/>
      <c r="EJ473" s="106"/>
      <c r="EK473" s="106"/>
      <c r="EL473" s="106"/>
      <c r="EM473" s="106"/>
      <c r="EN473" s="106"/>
      <c r="EO473" s="106"/>
      <c r="EP473" s="106"/>
      <c r="EQ473" s="106"/>
      <c r="ER473" s="106"/>
      <c r="ES473" s="106"/>
      <c r="ET473" s="106"/>
      <c r="EU473" s="106"/>
      <c r="EV473" s="106"/>
      <c r="EW473" s="106"/>
      <c r="EX473" s="106"/>
      <c r="EY473" s="106"/>
      <c r="EZ473" s="106"/>
      <c r="FA473" s="106"/>
      <c r="FB473" s="106"/>
      <c r="FC473" s="106"/>
      <c r="FD473" s="106"/>
      <c r="FE473" s="106"/>
      <c r="FF473" s="106"/>
      <c r="FG473" s="106"/>
      <c r="FH473" s="106"/>
      <c r="FI473" s="106"/>
      <c r="FJ473" s="106"/>
      <c r="FK473" s="106"/>
      <c r="FL473" s="106"/>
      <c r="FM473" s="106"/>
      <c r="FN473" s="106"/>
      <c r="FO473" s="106"/>
      <c r="FP473" s="106"/>
      <c r="FQ473" s="106"/>
      <c r="FR473" s="106"/>
      <c r="FS473" s="106"/>
      <c r="FT473" s="106"/>
      <c r="FU473" s="106"/>
      <c r="FV473" s="106"/>
      <c r="FW473" s="106"/>
      <c r="FX473" s="106"/>
      <c r="FY473" s="106"/>
      <c r="FZ473" s="106"/>
      <c r="GA473" s="106"/>
      <c r="GB473" s="106"/>
      <c r="GC473" s="106"/>
      <c r="GD473" s="106"/>
      <c r="GE473" s="106"/>
      <c r="GF473" s="106"/>
      <c r="GG473" s="106"/>
      <c r="GH473" s="106"/>
      <c r="GI473" s="106"/>
      <c r="GJ473" s="106"/>
    </row>
    <row r="474" spans="3:192" ht="12.75" customHeight="1">
      <c r="C474" s="106"/>
      <c r="D474" s="106"/>
      <c r="E474" s="106"/>
      <c r="F474" s="106"/>
      <c r="G474" s="106"/>
      <c r="H474" s="106"/>
      <c r="I474" s="106"/>
      <c r="J474" s="106"/>
      <c r="K474" s="106"/>
      <c r="L474" s="106"/>
      <c r="M474" s="106"/>
      <c r="N474" s="106"/>
      <c r="O474" s="106"/>
      <c r="P474" s="106"/>
      <c r="Q474" s="106"/>
      <c r="R474" s="106"/>
      <c r="S474" s="106"/>
      <c r="T474" s="106"/>
      <c r="U474" s="106"/>
      <c r="V474" s="106"/>
      <c r="W474" s="106"/>
      <c r="X474" s="106"/>
      <c r="Y474" s="106"/>
      <c r="Z474" s="106"/>
      <c r="AA474" s="106"/>
      <c r="AB474" s="106"/>
      <c r="AC474" s="106"/>
      <c r="AD474" s="106"/>
      <c r="AE474" s="106"/>
      <c r="AF474" s="106"/>
      <c r="AG474" s="106"/>
      <c r="AH474" s="106"/>
      <c r="AI474" s="106"/>
      <c r="AJ474" s="106"/>
      <c r="AK474" s="106"/>
      <c r="AL474" s="106"/>
      <c r="AM474" s="106"/>
      <c r="AN474" s="106"/>
      <c r="AO474" s="106"/>
      <c r="AP474" s="106"/>
      <c r="AQ474" s="106"/>
      <c r="AR474" s="106"/>
      <c r="AS474" s="106"/>
      <c r="AT474" s="106"/>
      <c r="AU474" s="106"/>
      <c r="AV474" s="106"/>
      <c r="AW474" s="106"/>
      <c r="AX474" s="106"/>
      <c r="AY474" s="106"/>
      <c r="AZ474" s="106"/>
      <c r="BA474" s="106"/>
      <c r="BB474" s="106"/>
      <c r="BC474" s="106"/>
      <c r="BD474" s="106"/>
      <c r="BE474" s="106"/>
      <c r="BF474" s="106"/>
      <c r="BG474" s="106"/>
      <c r="BH474" s="106"/>
      <c r="BI474" s="106"/>
      <c r="BJ474" s="106"/>
      <c r="BK474" s="106"/>
      <c r="BL474" s="106"/>
      <c r="BM474" s="106"/>
      <c r="BN474" s="106"/>
      <c r="BO474" s="106"/>
      <c r="BP474" s="106"/>
      <c r="BQ474" s="106"/>
      <c r="BR474" s="106"/>
      <c r="BS474" s="106"/>
      <c r="BT474" s="106"/>
      <c r="BU474" s="106"/>
      <c r="BV474" s="106"/>
      <c r="BW474" s="106"/>
      <c r="BX474" s="106"/>
      <c r="BY474" s="106"/>
      <c r="BZ474" s="106"/>
      <c r="CA474" s="106"/>
      <c r="CB474" s="106"/>
      <c r="CC474" s="106"/>
      <c r="CD474" s="106"/>
      <c r="CE474" s="106"/>
      <c r="CF474" s="106"/>
      <c r="CG474" s="106"/>
      <c r="CH474" s="106"/>
      <c r="CI474" s="106"/>
      <c r="CJ474" s="106"/>
      <c r="CK474" s="106"/>
      <c r="CL474" s="106"/>
      <c r="CM474" s="106"/>
      <c r="CN474" s="106"/>
      <c r="CO474" s="106"/>
      <c r="CP474" s="106"/>
      <c r="CQ474" s="106"/>
      <c r="CR474" s="106"/>
      <c r="CS474" s="106"/>
      <c r="CT474" s="106"/>
      <c r="CU474" s="106"/>
      <c r="CV474" s="106"/>
      <c r="CW474" s="106"/>
      <c r="CX474" s="106"/>
      <c r="CY474" s="106"/>
      <c r="CZ474" s="106"/>
      <c r="DA474" s="106"/>
      <c r="DB474" s="106"/>
      <c r="DC474" s="106"/>
      <c r="DD474" s="106"/>
      <c r="DE474" s="106"/>
      <c r="DF474" s="106"/>
      <c r="DG474" s="106"/>
      <c r="DH474" s="106"/>
      <c r="DI474" s="106"/>
      <c r="DJ474" s="106"/>
      <c r="DK474" s="106"/>
      <c r="DL474" s="106"/>
      <c r="DM474" s="106"/>
      <c r="DN474" s="106"/>
      <c r="DO474" s="106"/>
      <c r="DP474" s="106"/>
      <c r="DQ474" s="106"/>
      <c r="DR474" s="106"/>
      <c r="DS474" s="106"/>
      <c r="DT474" s="106"/>
      <c r="DU474" s="106"/>
      <c r="DV474" s="106"/>
      <c r="DW474" s="106"/>
      <c r="DX474" s="106"/>
      <c r="DY474" s="106"/>
      <c r="DZ474" s="106"/>
      <c r="EA474" s="106"/>
      <c r="EB474" s="106"/>
      <c r="EC474" s="106"/>
      <c r="ED474" s="106"/>
      <c r="EE474" s="106"/>
      <c r="EF474" s="106"/>
      <c r="EG474" s="106"/>
      <c r="EH474" s="106"/>
      <c r="EI474" s="106"/>
      <c r="EJ474" s="106"/>
      <c r="EK474" s="106"/>
      <c r="EL474" s="106"/>
      <c r="EM474" s="106"/>
      <c r="EN474" s="106"/>
      <c r="EO474" s="106"/>
      <c r="EP474" s="106"/>
      <c r="EQ474" s="106"/>
      <c r="ER474" s="106"/>
      <c r="ES474" s="106"/>
      <c r="ET474" s="106"/>
      <c r="EU474" s="106"/>
      <c r="EV474" s="106"/>
      <c r="EW474" s="106"/>
      <c r="EX474" s="106"/>
      <c r="EY474" s="106"/>
      <c r="EZ474" s="106"/>
      <c r="FA474" s="106"/>
      <c r="FB474" s="106"/>
      <c r="FC474" s="106"/>
      <c r="FD474" s="106"/>
      <c r="FE474" s="106"/>
      <c r="FF474" s="106"/>
      <c r="FG474" s="106"/>
      <c r="FH474" s="106"/>
      <c r="FI474" s="106"/>
      <c r="FJ474" s="106"/>
      <c r="FK474" s="106"/>
      <c r="FL474" s="106"/>
      <c r="FM474" s="106"/>
      <c r="FN474" s="106"/>
      <c r="FO474" s="106"/>
      <c r="FP474" s="106"/>
      <c r="FQ474" s="106"/>
      <c r="FR474" s="106"/>
      <c r="FS474" s="106"/>
      <c r="FT474" s="106"/>
      <c r="FU474" s="106"/>
      <c r="FV474" s="106"/>
      <c r="FW474" s="106"/>
      <c r="FX474" s="106"/>
      <c r="FY474" s="106"/>
      <c r="FZ474" s="106"/>
      <c r="GA474" s="106"/>
      <c r="GB474" s="106"/>
      <c r="GC474" s="106"/>
      <c r="GD474" s="106"/>
      <c r="GE474" s="106"/>
      <c r="GF474" s="106"/>
      <c r="GG474" s="106"/>
      <c r="GH474" s="106"/>
      <c r="GI474" s="106"/>
      <c r="GJ474" s="106"/>
    </row>
    <row r="475" spans="3:192" ht="12.75" customHeight="1">
      <c r="C475" s="169"/>
      <c r="D475" s="106"/>
      <c r="E475" s="106"/>
      <c r="F475" s="106"/>
      <c r="G475" s="106"/>
      <c r="H475" s="169"/>
      <c r="I475" s="106"/>
      <c r="J475" s="106"/>
      <c r="K475" s="106"/>
      <c r="L475" s="106"/>
      <c r="M475" s="169"/>
      <c r="N475" s="106"/>
      <c r="O475" s="106"/>
      <c r="P475" s="106"/>
      <c r="Q475" s="106"/>
      <c r="R475" s="169"/>
      <c r="S475" s="106"/>
      <c r="T475" s="106"/>
      <c r="U475" s="106"/>
      <c r="V475" s="106"/>
      <c r="W475" s="169"/>
      <c r="X475" s="106"/>
      <c r="Y475" s="106"/>
      <c r="Z475" s="106"/>
      <c r="AA475" s="106"/>
      <c r="AB475" s="169"/>
      <c r="AC475" s="106"/>
      <c r="AD475" s="106"/>
      <c r="AE475" s="106"/>
      <c r="AF475" s="106"/>
      <c r="AG475" s="169"/>
      <c r="AH475" s="106"/>
      <c r="AI475" s="106"/>
      <c r="AJ475" s="106"/>
      <c r="AK475" s="106"/>
      <c r="AL475" s="169"/>
      <c r="AM475" s="106"/>
      <c r="AN475" s="106"/>
      <c r="AO475" s="106"/>
      <c r="AP475" s="106"/>
      <c r="AQ475" s="169"/>
      <c r="AR475" s="106"/>
      <c r="AS475" s="106"/>
      <c r="AT475" s="106"/>
      <c r="AU475" s="106"/>
      <c r="AV475" s="169"/>
      <c r="AW475" s="106"/>
      <c r="AX475" s="106"/>
      <c r="AY475" s="106"/>
      <c r="AZ475" s="106"/>
      <c r="BA475" s="169"/>
      <c r="BB475" s="106"/>
      <c r="BC475" s="106"/>
      <c r="BD475" s="106"/>
      <c r="BE475" s="106"/>
      <c r="BF475" s="169"/>
      <c r="BG475" s="106"/>
      <c r="BH475" s="106"/>
      <c r="BI475" s="106"/>
      <c r="BJ475" s="106"/>
      <c r="BK475" s="169"/>
      <c r="BL475" s="106"/>
      <c r="BM475" s="106"/>
      <c r="BN475" s="106"/>
      <c r="BO475" s="106"/>
      <c r="BP475" s="169"/>
      <c r="BQ475" s="106"/>
      <c r="BR475" s="106"/>
      <c r="BS475" s="106"/>
      <c r="BT475" s="106"/>
      <c r="BU475" s="169"/>
      <c r="BV475" s="106"/>
      <c r="BW475" s="106"/>
      <c r="BX475" s="106"/>
      <c r="BY475" s="106"/>
      <c r="BZ475" s="169"/>
      <c r="CA475" s="106"/>
      <c r="CB475" s="106"/>
      <c r="CC475" s="106"/>
      <c r="CD475" s="106"/>
      <c r="CE475" s="169"/>
      <c r="CF475" s="106"/>
      <c r="CG475" s="106"/>
      <c r="CH475" s="106"/>
      <c r="CI475" s="106"/>
      <c r="CJ475" s="169"/>
      <c r="CK475" s="106"/>
      <c r="CL475" s="106"/>
      <c r="CM475" s="106"/>
      <c r="CN475" s="106"/>
      <c r="CO475" s="169"/>
      <c r="CP475" s="106"/>
      <c r="CQ475" s="106"/>
      <c r="CR475" s="106"/>
      <c r="CS475" s="106"/>
      <c r="CT475" s="169"/>
      <c r="CU475" s="106"/>
      <c r="CV475" s="106"/>
      <c r="CW475" s="106"/>
      <c r="CX475" s="106"/>
      <c r="CY475" s="169"/>
      <c r="CZ475" s="106"/>
      <c r="DA475" s="106"/>
      <c r="DB475" s="106"/>
      <c r="DC475" s="106"/>
      <c r="DD475" s="169"/>
      <c r="DE475" s="106"/>
      <c r="DF475" s="106"/>
      <c r="DG475" s="106"/>
      <c r="DH475" s="106"/>
      <c r="DI475" s="169"/>
      <c r="DJ475" s="106"/>
      <c r="DK475" s="106"/>
      <c r="DL475" s="106"/>
      <c r="DM475" s="106"/>
      <c r="DN475" s="169"/>
      <c r="DO475" s="106"/>
      <c r="DP475" s="106"/>
      <c r="DQ475" s="106"/>
      <c r="DR475" s="106"/>
      <c r="DS475" s="169"/>
      <c r="DT475" s="106"/>
      <c r="DU475" s="106"/>
      <c r="DV475" s="106"/>
      <c r="DW475" s="106"/>
      <c r="DX475" s="169"/>
      <c r="DY475" s="106"/>
      <c r="DZ475" s="106"/>
      <c r="EA475" s="106"/>
      <c r="EB475" s="106"/>
      <c r="EC475" s="169"/>
      <c r="ED475" s="106"/>
      <c r="EE475" s="106"/>
      <c r="EF475" s="106"/>
      <c r="EG475" s="106"/>
      <c r="EH475" s="169"/>
      <c r="EI475" s="106"/>
      <c r="EJ475" s="106"/>
      <c r="EK475" s="106"/>
      <c r="EL475" s="106"/>
      <c r="EM475" s="169"/>
      <c r="EN475" s="106"/>
      <c r="EO475" s="106"/>
      <c r="EP475" s="106"/>
      <c r="EQ475" s="106"/>
      <c r="ER475" s="169"/>
      <c r="ES475" s="106"/>
      <c r="ET475" s="106"/>
      <c r="EU475" s="106"/>
      <c r="EV475" s="106"/>
      <c r="EW475" s="169"/>
      <c r="EX475" s="106"/>
      <c r="EY475" s="106"/>
      <c r="EZ475" s="106"/>
      <c r="FA475" s="106"/>
      <c r="FB475" s="169"/>
      <c r="FC475" s="106"/>
      <c r="FD475" s="106"/>
      <c r="FE475" s="106"/>
      <c r="FF475" s="106"/>
      <c r="FG475" s="169"/>
      <c r="FH475" s="106"/>
      <c r="FI475" s="106"/>
      <c r="FJ475" s="106"/>
      <c r="FK475" s="106"/>
      <c r="FL475" s="169"/>
      <c r="FM475" s="106"/>
      <c r="FN475" s="106"/>
      <c r="FO475" s="106"/>
      <c r="FP475" s="106"/>
      <c r="FQ475" s="169"/>
      <c r="FR475" s="106"/>
      <c r="FS475" s="106"/>
      <c r="FT475" s="106"/>
      <c r="FU475" s="106"/>
      <c r="FV475" s="169"/>
      <c r="FW475" s="106"/>
      <c r="FX475" s="106"/>
      <c r="FY475" s="106"/>
      <c r="FZ475" s="106"/>
      <c r="GA475" s="169"/>
      <c r="GB475" s="106"/>
      <c r="GC475" s="106"/>
      <c r="GD475" s="106"/>
      <c r="GE475" s="106"/>
      <c r="GF475" s="169"/>
      <c r="GG475" s="106"/>
      <c r="GH475" s="106"/>
      <c r="GI475" s="106"/>
      <c r="GJ475" s="106"/>
    </row>
    <row r="476" spans="3:192" ht="12.75" customHeight="1">
      <c r="C476" s="226"/>
      <c r="D476" s="106"/>
      <c r="E476" s="106"/>
      <c r="F476" s="106"/>
      <c r="G476" s="106"/>
      <c r="H476" s="226"/>
      <c r="I476" s="106"/>
      <c r="J476" s="106"/>
      <c r="K476" s="106"/>
      <c r="L476" s="106"/>
      <c r="M476" s="226"/>
      <c r="N476" s="106"/>
      <c r="O476" s="106"/>
      <c r="P476" s="106"/>
      <c r="Q476" s="106"/>
      <c r="R476" s="226"/>
      <c r="S476" s="106"/>
      <c r="T476" s="106"/>
      <c r="U476" s="106"/>
      <c r="V476" s="106"/>
      <c r="W476" s="226"/>
      <c r="X476" s="106"/>
      <c r="Y476" s="106"/>
      <c r="Z476" s="106"/>
      <c r="AA476" s="106"/>
      <c r="AB476" s="226"/>
      <c r="AC476" s="106"/>
      <c r="AD476" s="106"/>
      <c r="AE476" s="106"/>
      <c r="AF476" s="106"/>
      <c r="AG476" s="226"/>
      <c r="AH476" s="106"/>
      <c r="AI476" s="106"/>
      <c r="AJ476" s="106"/>
      <c r="AK476" s="106"/>
      <c r="AL476" s="226"/>
      <c r="AM476" s="106"/>
      <c r="AN476" s="106"/>
      <c r="AO476" s="106"/>
      <c r="AP476" s="106"/>
      <c r="AQ476" s="226"/>
      <c r="AR476" s="106"/>
      <c r="AS476" s="106"/>
      <c r="AT476" s="106"/>
      <c r="AU476" s="106"/>
      <c r="AV476" s="226"/>
      <c r="AW476" s="106"/>
      <c r="AX476" s="106"/>
      <c r="AY476" s="106"/>
      <c r="AZ476" s="106"/>
      <c r="BA476" s="226"/>
      <c r="BB476" s="106"/>
      <c r="BC476" s="106"/>
      <c r="BD476" s="106"/>
      <c r="BE476" s="106"/>
      <c r="BF476" s="226"/>
      <c r="BG476" s="106"/>
      <c r="BH476" s="106"/>
      <c r="BI476" s="106"/>
      <c r="BJ476" s="106"/>
      <c r="BK476" s="226"/>
      <c r="BL476" s="106"/>
      <c r="BM476" s="106"/>
      <c r="BN476" s="106"/>
      <c r="BO476" s="106"/>
      <c r="BP476" s="226"/>
      <c r="BQ476" s="106"/>
      <c r="BR476" s="106"/>
      <c r="BS476" s="106"/>
      <c r="BT476" s="106"/>
      <c r="BU476" s="226"/>
      <c r="BV476" s="106"/>
      <c r="BW476" s="106"/>
      <c r="BX476" s="106"/>
      <c r="BY476" s="106"/>
      <c r="BZ476" s="226"/>
      <c r="CA476" s="106"/>
      <c r="CB476" s="106"/>
      <c r="CC476" s="106"/>
      <c r="CD476" s="106"/>
      <c r="CE476" s="226"/>
      <c r="CF476" s="106"/>
      <c r="CG476" s="106"/>
      <c r="CH476" s="106"/>
      <c r="CI476" s="106"/>
      <c r="CJ476" s="226"/>
      <c r="CK476" s="106"/>
      <c r="CL476" s="106"/>
      <c r="CM476" s="106"/>
      <c r="CN476" s="106"/>
      <c r="CO476" s="226"/>
      <c r="CP476" s="106"/>
      <c r="CQ476" s="106"/>
      <c r="CR476" s="106"/>
      <c r="CS476" s="106"/>
      <c r="CT476" s="226"/>
      <c r="CU476" s="106"/>
      <c r="CV476" s="106"/>
      <c r="CW476" s="106"/>
      <c r="CX476" s="106"/>
      <c r="CY476" s="226"/>
      <c r="CZ476" s="106"/>
      <c r="DA476" s="106"/>
      <c r="DB476" s="106"/>
      <c r="DC476" s="106"/>
      <c r="DD476" s="226"/>
      <c r="DE476" s="106"/>
      <c r="DF476" s="106"/>
      <c r="DG476" s="106"/>
      <c r="DH476" s="106"/>
      <c r="DI476" s="226"/>
      <c r="DJ476" s="106"/>
      <c r="DK476" s="106"/>
      <c r="DL476" s="106"/>
      <c r="DM476" s="106"/>
      <c r="DN476" s="226"/>
      <c r="DO476" s="106"/>
      <c r="DP476" s="106"/>
      <c r="DQ476" s="106"/>
      <c r="DR476" s="106"/>
      <c r="DS476" s="226"/>
      <c r="DT476" s="106"/>
      <c r="DU476" s="106"/>
      <c r="DV476" s="106"/>
      <c r="DW476" s="106"/>
      <c r="DX476" s="226"/>
      <c r="DY476" s="106"/>
      <c r="DZ476" s="106"/>
      <c r="EA476" s="106"/>
      <c r="EB476" s="106"/>
      <c r="EC476" s="226"/>
      <c r="ED476" s="106"/>
      <c r="EE476" s="106"/>
      <c r="EF476" s="106"/>
      <c r="EG476" s="106"/>
      <c r="EH476" s="226"/>
      <c r="EI476" s="106"/>
      <c r="EJ476" s="106"/>
      <c r="EK476" s="106"/>
      <c r="EL476" s="106"/>
      <c r="EM476" s="226"/>
      <c r="EN476" s="106"/>
      <c r="EO476" s="106"/>
      <c r="EP476" s="106"/>
      <c r="EQ476" s="106"/>
      <c r="ER476" s="226"/>
      <c r="ES476" s="106"/>
      <c r="ET476" s="106"/>
      <c r="EU476" s="106"/>
      <c r="EV476" s="106"/>
      <c r="EW476" s="226"/>
      <c r="EX476" s="106"/>
      <c r="EY476" s="106"/>
      <c r="EZ476" s="106"/>
      <c r="FA476" s="106"/>
      <c r="FB476" s="226"/>
      <c r="FC476" s="106"/>
      <c r="FD476" s="106"/>
      <c r="FE476" s="106"/>
      <c r="FF476" s="106"/>
      <c r="FG476" s="226"/>
      <c r="FH476" s="106"/>
      <c r="FI476" s="106"/>
      <c r="FJ476" s="106"/>
      <c r="FK476" s="106"/>
      <c r="FL476" s="226"/>
      <c r="FM476" s="106"/>
      <c r="FN476" s="106"/>
      <c r="FO476" s="106"/>
      <c r="FP476" s="106"/>
      <c r="FQ476" s="226"/>
      <c r="FR476" s="106"/>
      <c r="FS476" s="106"/>
      <c r="FT476" s="106"/>
      <c r="FU476" s="106"/>
      <c r="FV476" s="226"/>
      <c r="FW476" s="106"/>
      <c r="FX476" s="106"/>
      <c r="FY476" s="106"/>
      <c r="FZ476" s="106"/>
      <c r="GA476" s="226"/>
      <c r="GB476" s="106"/>
      <c r="GC476" s="106"/>
      <c r="GD476" s="106"/>
      <c r="GE476" s="106"/>
      <c r="GF476" s="226"/>
      <c r="GG476" s="106"/>
      <c r="GH476" s="106"/>
      <c r="GI476" s="106"/>
      <c r="GJ476" s="106"/>
    </row>
    <row r="477" spans="3:192" ht="12.75" customHeight="1">
      <c r="C477" s="226"/>
      <c r="D477" s="106"/>
      <c r="E477" s="106"/>
      <c r="F477" s="106"/>
      <c r="G477" s="106"/>
      <c r="H477" s="226"/>
      <c r="I477" s="106"/>
      <c r="J477" s="106"/>
      <c r="K477" s="106"/>
      <c r="L477" s="106"/>
      <c r="M477" s="226"/>
      <c r="N477" s="106"/>
      <c r="O477" s="106"/>
      <c r="P477" s="106"/>
      <c r="Q477" s="106"/>
      <c r="R477" s="226"/>
      <c r="S477" s="106"/>
      <c r="T477" s="106"/>
      <c r="U477" s="106"/>
      <c r="V477" s="106"/>
      <c r="W477" s="226"/>
      <c r="X477" s="106"/>
      <c r="Y477" s="106"/>
      <c r="Z477" s="106"/>
      <c r="AA477" s="106"/>
      <c r="AB477" s="226"/>
      <c r="AC477" s="106"/>
      <c r="AD477" s="106"/>
      <c r="AE477" s="106"/>
      <c r="AF477" s="106"/>
      <c r="AG477" s="226"/>
      <c r="AH477" s="106"/>
      <c r="AI477" s="106"/>
      <c r="AJ477" s="106"/>
      <c r="AK477" s="106"/>
      <c r="AL477" s="226"/>
      <c r="AM477" s="106"/>
      <c r="AN477" s="106"/>
      <c r="AO477" s="106"/>
      <c r="AP477" s="106"/>
      <c r="AQ477" s="226"/>
      <c r="AR477" s="106"/>
      <c r="AS477" s="106"/>
      <c r="AT477" s="106"/>
      <c r="AU477" s="106"/>
      <c r="AV477" s="226"/>
      <c r="AW477" s="106"/>
      <c r="AX477" s="106"/>
      <c r="AY477" s="106"/>
      <c r="AZ477" s="106"/>
      <c r="BA477" s="226"/>
      <c r="BB477" s="106"/>
      <c r="BC477" s="106"/>
      <c r="BD477" s="106"/>
      <c r="BE477" s="106"/>
      <c r="BF477" s="226"/>
      <c r="BG477" s="106"/>
      <c r="BH477" s="106"/>
      <c r="BI477" s="106"/>
      <c r="BJ477" s="106"/>
      <c r="BK477" s="226"/>
      <c r="BL477" s="106"/>
      <c r="BM477" s="106"/>
      <c r="BN477" s="106"/>
      <c r="BO477" s="106"/>
      <c r="BP477" s="226"/>
      <c r="BQ477" s="106"/>
      <c r="BR477" s="106"/>
      <c r="BS477" s="106"/>
      <c r="BT477" s="106"/>
      <c r="BU477" s="226"/>
      <c r="BV477" s="106"/>
      <c r="BW477" s="106"/>
      <c r="BX477" s="106"/>
      <c r="BY477" s="106"/>
      <c r="BZ477" s="226"/>
      <c r="CA477" s="106"/>
      <c r="CB477" s="106"/>
      <c r="CC477" s="106"/>
      <c r="CD477" s="106"/>
      <c r="CE477" s="226"/>
      <c r="CF477" s="106"/>
      <c r="CG477" s="106"/>
      <c r="CH477" s="106"/>
      <c r="CI477" s="106"/>
      <c r="CJ477" s="226"/>
      <c r="CK477" s="106"/>
      <c r="CL477" s="106"/>
      <c r="CM477" s="106"/>
      <c r="CN477" s="106"/>
      <c r="CO477" s="226"/>
      <c r="CP477" s="106"/>
      <c r="CQ477" s="106"/>
      <c r="CR477" s="106"/>
      <c r="CS477" s="106"/>
      <c r="CT477" s="226"/>
      <c r="CU477" s="106"/>
      <c r="CV477" s="106"/>
      <c r="CW477" s="106"/>
      <c r="CX477" s="106"/>
      <c r="CY477" s="226"/>
      <c r="CZ477" s="106"/>
      <c r="DA477" s="106"/>
      <c r="DB477" s="106"/>
      <c r="DC477" s="106"/>
      <c r="DD477" s="226"/>
      <c r="DE477" s="106"/>
      <c r="DF477" s="106"/>
      <c r="DG477" s="106"/>
      <c r="DH477" s="106"/>
      <c r="DI477" s="226"/>
      <c r="DJ477" s="106"/>
      <c r="DK477" s="106"/>
      <c r="DL477" s="106"/>
      <c r="DM477" s="106"/>
      <c r="DN477" s="226"/>
      <c r="DO477" s="106"/>
      <c r="DP477" s="106"/>
      <c r="DQ477" s="106"/>
      <c r="DR477" s="106"/>
      <c r="DS477" s="226"/>
      <c r="DT477" s="106"/>
      <c r="DU477" s="106"/>
      <c r="DV477" s="106"/>
      <c r="DW477" s="106"/>
      <c r="DX477" s="226"/>
      <c r="DY477" s="106"/>
      <c r="DZ477" s="106"/>
      <c r="EA477" s="106"/>
      <c r="EB477" s="106"/>
      <c r="EC477" s="226"/>
      <c r="ED477" s="106"/>
      <c r="EE477" s="106"/>
      <c r="EF477" s="106"/>
      <c r="EG477" s="106"/>
      <c r="EH477" s="226"/>
      <c r="EI477" s="106"/>
      <c r="EJ477" s="106"/>
      <c r="EK477" s="106"/>
      <c r="EL477" s="106"/>
      <c r="EM477" s="226"/>
      <c r="EN477" s="106"/>
      <c r="EO477" s="106"/>
      <c r="EP477" s="106"/>
      <c r="EQ477" s="106"/>
      <c r="ER477" s="226"/>
      <c r="ES477" s="106"/>
      <c r="ET477" s="106"/>
      <c r="EU477" s="106"/>
      <c r="EV477" s="106"/>
      <c r="EW477" s="226"/>
      <c r="EX477" s="106"/>
      <c r="EY477" s="106"/>
      <c r="EZ477" s="106"/>
      <c r="FA477" s="106"/>
      <c r="FB477" s="226"/>
      <c r="FC477" s="106"/>
      <c r="FD477" s="106"/>
      <c r="FE477" s="106"/>
      <c r="FF477" s="106"/>
      <c r="FG477" s="226"/>
      <c r="FH477" s="106"/>
      <c r="FI477" s="106"/>
      <c r="FJ477" s="106"/>
      <c r="FK477" s="106"/>
      <c r="FL477" s="226"/>
      <c r="FM477" s="106"/>
      <c r="FN477" s="106"/>
      <c r="FO477" s="106"/>
      <c r="FP477" s="106"/>
      <c r="FQ477" s="226"/>
      <c r="FR477" s="106"/>
      <c r="FS477" s="106"/>
      <c r="FT477" s="106"/>
      <c r="FU477" s="106"/>
      <c r="FV477" s="226"/>
      <c r="FW477" s="106"/>
      <c r="FX477" s="106"/>
      <c r="FY477" s="106"/>
      <c r="FZ477" s="106"/>
      <c r="GA477" s="226"/>
      <c r="GB477" s="106"/>
      <c r="GC477" s="106"/>
      <c r="GD477" s="106"/>
      <c r="GE477" s="106"/>
      <c r="GF477" s="226"/>
      <c r="GG477" s="106"/>
      <c r="GH477" s="106"/>
      <c r="GI477" s="106"/>
      <c r="GJ477" s="106"/>
    </row>
    <row r="478" spans="3:192" ht="12.75" customHeight="1">
      <c r="C478" s="106"/>
      <c r="D478" s="106"/>
      <c r="E478" s="106"/>
      <c r="F478" s="106"/>
      <c r="G478" s="106"/>
      <c r="H478" s="106"/>
      <c r="I478" s="106"/>
      <c r="J478" s="106"/>
      <c r="K478" s="106"/>
      <c r="L478" s="106"/>
      <c r="M478" s="106"/>
      <c r="N478" s="106"/>
      <c r="O478" s="106"/>
      <c r="P478" s="106"/>
      <c r="Q478" s="106"/>
      <c r="R478" s="106"/>
      <c r="S478" s="106"/>
      <c r="T478" s="106"/>
      <c r="U478" s="106"/>
      <c r="V478" s="106"/>
      <c r="W478" s="106"/>
      <c r="X478" s="106"/>
      <c r="Y478" s="106"/>
      <c r="Z478" s="106"/>
      <c r="AA478" s="106"/>
      <c r="AB478" s="106"/>
      <c r="AC478" s="106"/>
      <c r="AD478" s="106"/>
      <c r="AE478" s="106"/>
      <c r="AF478" s="106"/>
      <c r="AG478" s="106"/>
      <c r="AH478" s="106"/>
      <c r="AI478" s="106"/>
      <c r="AJ478" s="106"/>
      <c r="AK478" s="106"/>
      <c r="AL478" s="106"/>
      <c r="AM478" s="106"/>
      <c r="AN478" s="106"/>
      <c r="AO478" s="106"/>
      <c r="AP478" s="106"/>
      <c r="AQ478" s="106"/>
      <c r="AR478" s="106"/>
      <c r="AS478" s="106"/>
      <c r="AT478" s="106"/>
      <c r="AU478" s="106"/>
      <c r="AV478" s="106"/>
      <c r="AW478" s="106"/>
      <c r="AX478" s="106"/>
      <c r="AY478" s="106"/>
      <c r="AZ478" s="106"/>
      <c r="BA478" s="106"/>
      <c r="BB478" s="106"/>
      <c r="BC478" s="106"/>
      <c r="BD478" s="106"/>
      <c r="BE478" s="106"/>
      <c r="BF478" s="106"/>
      <c r="BG478" s="106"/>
      <c r="BH478" s="106"/>
      <c r="BI478" s="106"/>
      <c r="BJ478" s="106"/>
      <c r="BK478" s="106"/>
      <c r="BL478" s="106"/>
      <c r="BM478" s="106"/>
      <c r="BN478" s="106"/>
      <c r="BO478" s="106"/>
      <c r="BP478" s="106"/>
      <c r="BQ478" s="106"/>
      <c r="BR478" s="106"/>
      <c r="BS478" s="106"/>
      <c r="BT478" s="106"/>
      <c r="BU478" s="106"/>
      <c r="BV478" s="106"/>
      <c r="BW478" s="106"/>
      <c r="BX478" s="106"/>
      <c r="BY478" s="106"/>
      <c r="BZ478" s="106"/>
      <c r="CA478" s="106"/>
      <c r="CB478" s="106"/>
      <c r="CC478" s="106"/>
      <c r="CD478" s="106"/>
      <c r="CE478" s="106"/>
      <c r="CF478" s="106"/>
      <c r="CG478" s="106"/>
      <c r="CH478" s="106"/>
      <c r="CI478" s="106"/>
      <c r="CJ478" s="106"/>
      <c r="CK478" s="106"/>
      <c r="CL478" s="106"/>
      <c r="CM478" s="106"/>
      <c r="CN478" s="106"/>
      <c r="CO478" s="106"/>
      <c r="CP478" s="106"/>
      <c r="CQ478" s="106"/>
      <c r="CR478" s="106"/>
      <c r="CS478" s="106"/>
      <c r="CT478" s="106"/>
      <c r="CU478" s="106"/>
      <c r="CV478" s="106"/>
      <c r="CW478" s="106"/>
      <c r="CX478" s="106"/>
      <c r="CY478" s="106"/>
      <c r="CZ478" s="106"/>
      <c r="DA478" s="106"/>
      <c r="DB478" s="106"/>
      <c r="DC478" s="106"/>
      <c r="DD478" s="106"/>
      <c r="DE478" s="106"/>
      <c r="DF478" s="106"/>
      <c r="DG478" s="106"/>
      <c r="DH478" s="106"/>
      <c r="DI478" s="106"/>
      <c r="DJ478" s="106"/>
      <c r="DK478" s="106"/>
      <c r="DL478" s="106"/>
      <c r="DM478" s="106"/>
      <c r="DN478" s="106"/>
      <c r="DO478" s="106"/>
      <c r="DP478" s="106"/>
      <c r="DQ478" s="106"/>
      <c r="DR478" s="106"/>
      <c r="DS478" s="106"/>
      <c r="DT478" s="106"/>
      <c r="DU478" s="106"/>
      <c r="DV478" s="106"/>
      <c r="DW478" s="106"/>
      <c r="DX478" s="106"/>
      <c r="DY478" s="106"/>
      <c r="DZ478" s="106"/>
      <c r="EA478" s="106"/>
      <c r="EB478" s="106"/>
      <c r="EC478" s="106"/>
      <c r="ED478" s="106"/>
      <c r="EE478" s="106"/>
      <c r="EF478" s="106"/>
      <c r="EG478" s="106"/>
      <c r="EH478" s="106"/>
      <c r="EI478" s="106"/>
      <c r="EJ478" s="106"/>
      <c r="EK478" s="106"/>
      <c r="EL478" s="106"/>
      <c r="EM478" s="106"/>
      <c r="EN478" s="106"/>
      <c r="EO478" s="106"/>
      <c r="EP478" s="106"/>
      <c r="EQ478" s="106"/>
      <c r="ER478" s="106"/>
      <c r="ES478" s="106"/>
      <c r="ET478" s="106"/>
      <c r="EU478" s="106"/>
      <c r="EV478" s="106"/>
      <c r="EW478" s="106"/>
      <c r="EX478" s="106"/>
      <c r="EY478" s="106"/>
      <c r="EZ478" s="106"/>
      <c r="FA478" s="106"/>
      <c r="FB478" s="106"/>
      <c r="FC478" s="106"/>
      <c r="FD478" s="106"/>
      <c r="FE478" s="106"/>
      <c r="FF478" s="106"/>
      <c r="FG478" s="106"/>
      <c r="FH478" s="106"/>
      <c r="FI478" s="106"/>
      <c r="FJ478" s="106"/>
      <c r="FK478" s="106"/>
      <c r="FL478" s="106"/>
      <c r="FM478" s="106"/>
      <c r="FN478" s="106"/>
      <c r="FO478" s="106"/>
      <c r="FP478" s="106"/>
      <c r="FQ478" s="106"/>
      <c r="FR478" s="106"/>
      <c r="FS478" s="106"/>
      <c r="FT478" s="106"/>
      <c r="FU478" s="106"/>
      <c r="FV478" s="106"/>
      <c r="FW478" s="106"/>
      <c r="FX478" s="106"/>
      <c r="FY478" s="106"/>
      <c r="FZ478" s="106"/>
      <c r="GA478" s="106"/>
      <c r="GB478" s="106"/>
      <c r="GC478" s="106"/>
      <c r="GD478" s="106"/>
      <c r="GE478" s="106"/>
      <c r="GF478" s="106"/>
      <c r="GG478" s="106"/>
      <c r="GH478" s="106"/>
      <c r="GI478" s="106"/>
      <c r="GJ478" s="106"/>
    </row>
    <row r="479" spans="3:192" ht="12.75" customHeight="1">
      <c r="C479" s="222"/>
      <c r="D479" s="222"/>
      <c r="E479" s="222"/>
      <c r="F479" s="222"/>
      <c r="G479" s="222"/>
      <c r="H479" s="222"/>
      <c r="I479" s="222"/>
      <c r="J479" s="222"/>
      <c r="K479" s="222"/>
      <c r="L479" s="222"/>
      <c r="M479" s="222"/>
      <c r="N479" s="222"/>
      <c r="O479" s="222"/>
      <c r="P479" s="222"/>
      <c r="Q479" s="222"/>
      <c r="R479" s="222"/>
      <c r="S479" s="222"/>
      <c r="T479" s="222"/>
      <c r="U479" s="222"/>
      <c r="V479" s="222"/>
      <c r="W479" s="222"/>
      <c r="X479" s="222"/>
      <c r="Y479" s="222"/>
      <c r="Z479" s="222"/>
      <c r="AA479" s="222"/>
      <c r="AB479" s="222"/>
      <c r="AC479" s="222"/>
      <c r="AD479" s="222"/>
      <c r="AE479" s="222"/>
      <c r="AF479" s="222"/>
      <c r="AG479" s="222"/>
      <c r="AH479" s="222"/>
      <c r="AI479" s="222"/>
      <c r="AJ479" s="222"/>
      <c r="AK479" s="222"/>
      <c r="AL479" s="222"/>
      <c r="AM479" s="222"/>
      <c r="AN479" s="222"/>
      <c r="AO479" s="222"/>
      <c r="AP479" s="222"/>
      <c r="AQ479" s="222"/>
      <c r="AR479" s="222"/>
      <c r="AS479" s="222"/>
      <c r="AT479" s="222"/>
      <c r="AU479" s="222"/>
      <c r="AV479" s="222"/>
      <c r="AW479" s="222"/>
      <c r="AX479" s="222"/>
      <c r="AY479" s="222"/>
      <c r="AZ479" s="222"/>
      <c r="BA479" s="222"/>
      <c r="BB479" s="222"/>
      <c r="BC479" s="222"/>
      <c r="BD479" s="222"/>
      <c r="BE479" s="222"/>
      <c r="BF479" s="222"/>
      <c r="BG479" s="222"/>
      <c r="BH479" s="222"/>
      <c r="BI479" s="222"/>
      <c r="BJ479" s="222"/>
      <c r="BK479" s="222"/>
      <c r="BL479" s="222"/>
      <c r="BM479" s="222"/>
      <c r="BN479" s="222"/>
      <c r="BO479" s="222"/>
      <c r="BP479" s="222"/>
      <c r="BQ479" s="222"/>
      <c r="BR479" s="222"/>
      <c r="BS479" s="222"/>
      <c r="BT479" s="222"/>
      <c r="BU479" s="222"/>
      <c r="BV479" s="222"/>
      <c r="BW479" s="222"/>
      <c r="BX479" s="222"/>
      <c r="BY479" s="222"/>
      <c r="BZ479" s="222"/>
      <c r="CA479" s="222"/>
      <c r="CB479" s="222"/>
      <c r="CC479" s="222"/>
      <c r="CD479" s="222"/>
      <c r="CE479" s="222"/>
      <c r="CF479" s="222"/>
      <c r="CG479" s="222"/>
      <c r="CH479" s="222"/>
      <c r="CI479" s="222"/>
      <c r="CJ479" s="222"/>
      <c r="CK479" s="222"/>
      <c r="CL479" s="222"/>
      <c r="CM479" s="222"/>
      <c r="CN479" s="222"/>
      <c r="CO479" s="222"/>
      <c r="CP479" s="222"/>
      <c r="CQ479" s="222"/>
      <c r="CR479" s="222"/>
      <c r="CS479" s="222"/>
      <c r="CT479" s="222"/>
      <c r="CU479" s="222"/>
      <c r="CV479" s="222"/>
      <c r="CW479" s="222"/>
      <c r="CX479" s="222"/>
      <c r="CY479" s="222"/>
      <c r="CZ479" s="222"/>
      <c r="DA479" s="222"/>
      <c r="DB479" s="222"/>
      <c r="DC479" s="222"/>
      <c r="DD479" s="222"/>
      <c r="DE479" s="222"/>
      <c r="DF479" s="222"/>
      <c r="DG479" s="222"/>
      <c r="DH479" s="222"/>
      <c r="DI479" s="222"/>
      <c r="DJ479" s="222"/>
      <c r="DK479" s="222"/>
      <c r="DL479" s="222"/>
      <c r="DM479" s="222"/>
      <c r="DN479" s="222"/>
      <c r="DO479" s="222"/>
      <c r="DP479" s="222"/>
      <c r="DQ479" s="222"/>
      <c r="DR479" s="222"/>
      <c r="DS479" s="222"/>
      <c r="DT479" s="222"/>
      <c r="DU479" s="222"/>
      <c r="DV479" s="222"/>
      <c r="DW479" s="222"/>
      <c r="DX479" s="222"/>
      <c r="DY479" s="222"/>
      <c r="DZ479" s="222"/>
      <c r="EA479" s="222"/>
      <c r="EB479" s="222"/>
      <c r="EC479" s="222"/>
      <c r="ED479" s="222"/>
      <c r="EE479" s="222"/>
      <c r="EF479" s="222"/>
      <c r="EG479" s="222"/>
      <c r="EH479" s="222"/>
      <c r="EI479" s="222"/>
      <c r="EJ479" s="222"/>
      <c r="EK479" s="222"/>
      <c r="EL479" s="222"/>
      <c r="EM479" s="222"/>
      <c r="EN479" s="222"/>
      <c r="EO479" s="222"/>
      <c r="EP479" s="222"/>
      <c r="EQ479" s="222"/>
      <c r="ER479" s="222"/>
      <c r="ES479" s="222"/>
      <c r="ET479" s="222"/>
      <c r="EU479" s="222"/>
      <c r="EV479" s="222"/>
      <c r="EW479" s="222"/>
      <c r="EX479" s="222"/>
      <c r="EY479" s="222"/>
      <c r="EZ479" s="222"/>
      <c r="FA479" s="222"/>
      <c r="FB479" s="222"/>
      <c r="FC479" s="222"/>
      <c r="FD479" s="222"/>
      <c r="FE479" s="222"/>
      <c r="FF479" s="222"/>
      <c r="FG479" s="222"/>
      <c r="FH479" s="222"/>
      <c r="FI479" s="222"/>
      <c r="FJ479" s="222"/>
      <c r="FK479" s="222"/>
      <c r="FL479" s="222"/>
      <c r="FM479" s="222"/>
      <c r="FN479" s="222"/>
      <c r="FO479" s="222"/>
      <c r="FP479" s="222"/>
      <c r="FQ479" s="222"/>
      <c r="FR479" s="222"/>
      <c r="FS479" s="222"/>
      <c r="FT479" s="222"/>
      <c r="FU479" s="222"/>
      <c r="FV479" s="222"/>
      <c r="FW479" s="222"/>
      <c r="FX479" s="222"/>
      <c r="FY479" s="222"/>
      <c r="FZ479" s="222"/>
      <c r="GA479" s="222"/>
      <c r="GB479" s="222"/>
      <c r="GC479" s="222"/>
      <c r="GD479" s="222"/>
      <c r="GE479" s="222"/>
      <c r="GF479" s="222"/>
      <c r="GG479" s="222"/>
      <c r="GH479" s="222"/>
      <c r="GI479" s="222"/>
      <c r="GJ479" s="222"/>
    </row>
    <row r="480" spans="3:192" ht="12.75" customHeight="1">
      <c r="C480" s="226"/>
      <c r="D480" s="106"/>
      <c r="E480" s="106"/>
      <c r="F480" s="106"/>
      <c r="G480" s="106"/>
      <c r="H480" s="226"/>
      <c r="I480" s="106"/>
      <c r="J480" s="106"/>
      <c r="K480" s="106"/>
      <c r="L480" s="106"/>
      <c r="M480" s="226"/>
      <c r="N480" s="106"/>
      <c r="O480" s="106"/>
      <c r="P480" s="106"/>
      <c r="Q480" s="106"/>
      <c r="R480" s="226"/>
      <c r="S480" s="106"/>
      <c r="T480" s="106"/>
      <c r="U480" s="106"/>
      <c r="V480" s="106"/>
      <c r="W480" s="226"/>
      <c r="X480" s="106"/>
      <c r="Y480" s="106"/>
      <c r="Z480" s="106"/>
      <c r="AA480" s="106"/>
      <c r="AB480" s="226"/>
      <c r="AC480" s="106"/>
      <c r="AD480" s="106"/>
      <c r="AE480" s="106"/>
      <c r="AF480" s="106"/>
      <c r="AG480" s="226"/>
      <c r="AH480" s="106"/>
      <c r="AI480" s="106"/>
      <c r="AJ480" s="106"/>
      <c r="AK480" s="106"/>
      <c r="AL480" s="226"/>
      <c r="AM480" s="106"/>
      <c r="AN480" s="106"/>
      <c r="AO480" s="106"/>
      <c r="AP480" s="106"/>
      <c r="AQ480" s="226"/>
      <c r="AR480" s="106"/>
      <c r="AS480" s="106"/>
      <c r="AT480" s="106"/>
      <c r="AU480" s="106"/>
      <c r="AV480" s="226"/>
      <c r="AW480" s="106"/>
      <c r="AX480" s="106"/>
      <c r="AY480" s="106"/>
      <c r="AZ480" s="106"/>
      <c r="BA480" s="226"/>
      <c r="BB480" s="106"/>
      <c r="BC480" s="106"/>
      <c r="BD480" s="106"/>
      <c r="BE480" s="106"/>
      <c r="BF480" s="226"/>
      <c r="BG480" s="106"/>
      <c r="BH480" s="106"/>
      <c r="BI480" s="106"/>
      <c r="BJ480" s="106"/>
      <c r="BK480" s="226"/>
      <c r="BL480" s="106"/>
      <c r="BM480" s="106"/>
      <c r="BN480" s="106"/>
      <c r="BO480" s="106"/>
      <c r="BP480" s="226"/>
      <c r="BQ480" s="106"/>
      <c r="BR480" s="106"/>
      <c r="BS480" s="106"/>
      <c r="BT480" s="106"/>
      <c r="BU480" s="226"/>
      <c r="BV480" s="106"/>
      <c r="BW480" s="106"/>
      <c r="BX480" s="106"/>
      <c r="BY480" s="106"/>
      <c r="BZ480" s="226"/>
      <c r="CA480" s="106"/>
      <c r="CB480" s="106"/>
      <c r="CC480" s="106"/>
      <c r="CD480" s="106"/>
      <c r="CE480" s="226"/>
      <c r="CF480" s="106"/>
      <c r="CG480" s="106"/>
      <c r="CH480" s="106"/>
      <c r="CI480" s="106"/>
      <c r="CJ480" s="226"/>
      <c r="CK480" s="106"/>
      <c r="CL480" s="106"/>
      <c r="CM480" s="106"/>
      <c r="CN480" s="106"/>
      <c r="CO480" s="226"/>
      <c r="CP480" s="106"/>
      <c r="CQ480" s="106"/>
      <c r="CR480" s="106"/>
      <c r="CS480" s="106"/>
      <c r="CT480" s="226"/>
      <c r="CU480" s="106"/>
      <c r="CV480" s="106"/>
      <c r="CW480" s="106"/>
      <c r="CX480" s="106"/>
      <c r="CY480" s="226"/>
      <c r="CZ480" s="106"/>
      <c r="DA480" s="106"/>
      <c r="DB480" s="106"/>
      <c r="DC480" s="106"/>
      <c r="DD480" s="226"/>
      <c r="DE480" s="106"/>
      <c r="DF480" s="106"/>
      <c r="DG480" s="106"/>
      <c r="DH480" s="106"/>
      <c r="DI480" s="226"/>
      <c r="DJ480" s="106"/>
      <c r="DK480" s="106"/>
      <c r="DL480" s="106"/>
      <c r="DM480" s="106"/>
      <c r="DN480" s="226"/>
      <c r="DO480" s="106"/>
      <c r="DP480" s="106"/>
      <c r="DQ480" s="106"/>
      <c r="DR480" s="106"/>
      <c r="DS480" s="226"/>
      <c r="DT480" s="106"/>
      <c r="DU480" s="106"/>
      <c r="DV480" s="106"/>
      <c r="DW480" s="106"/>
      <c r="DX480" s="226"/>
      <c r="DY480" s="106"/>
      <c r="DZ480" s="106"/>
      <c r="EA480" s="106"/>
      <c r="EB480" s="106"/>
      <c r="EC480" s="226"/>
      <c r="ED480" s="106"/>
      <c r="EE480" s="106"/>
      <c r="EF480" s="106"/>
      <c r="EG480" s="106"/>
      <c r="EH480" s="226"/>
      <c r="EI480" s="106"/>
      <c r="EJ480" s="106"/>
      <c r="EK480" s="106"/>
      <c r="EL480" s="106"/>
      <c r="EM480" s="226"/>
      <c r="EN480" s="106"/>
      <c r="EO480" s="106"/>
      <c r="EP480" s="106"/>
      <c r="EQ480" s="106"/>
      <c r="ER480" s="226"/>
      <c r="ES480" s="106"/>
      <c r="ET480" s="106"/>
      <c r="EU480" s="106"/>
      <c r="EV480" s="106"/>
      <c r="EW480" s="226"/>
      <c r="EX480" s="106"/>
      <c r="EY480" s="106"/>
      <c r="EZ480" s="106"/>
      <c r="FA480" s="106"/>
      <c r="FB480" s="226"/>
      <c r="FC480" s="106"/>
      <c r="FD480" s="106"/>
      <c r="FE480" s="106"/>
      <c r="FF480" s="106"/>
      <c r="FG480" s="226"/>
      <c r="FH480" s="106"/>
      <c r="FI480" s="106"/>
      <c r="FJ480" s="106"/>
      <c r="FK480" s="106"/>
      <c r="FL480" s="226"/>
      <c r="FM480" s="106"/>
      <c r="FN480" s="106"/>
      <c r="FO480" s="106"/>
      <c r="FP480" s="106"/>
      <c r="FQ480" s="226"/>
      <c r="FR480" s="106"/>
      <c r="FS480" s="106"/>
      <c r="FT480" s="106"/>
      <c r="FU480" s="106"/>
      <c r="FV480" s="226"/>
      <c r="FW480" s="106"/>
      <c r="FX480" s="106"/>
      <c r="FY480" s="106"/>
      <c r="FZ480" s="106"/>
      <c r="GA480" s="226"/>
      <c r="GB480" s="106"/>
      <c r="GC480" s="106"/>
      <c r="GD480" s="106"/>
      <c r="GE480" s="106"/>
      <c r="GF480" s="226"/>
      <c r="GG480" s="106"/>
      <c r="GH480" s="106"/>
      <c r="GI480" s="106"/>
      <c r="GJ480" s="106"/>
    </row>
    <row r="481" spans="3:192" ht="12.75" customHeight="1">
      <c r="C481" s="226"/>
      <c r="D481" s="106"/>
      <c r="E481" s="106"/>
      <c r="F481" s="106"/>
      <c r="G481" s="106"/>
      <c r="H481" s="226"/>
      <c r="I481" s="106"/>
      <c r="J481" s="106"/>
      <c r="K481" s="106"/>
      <c r="L481" s="106"/>
      <c r="M481" s="226"/>
      <c r="N481" s="106"/>
      <c r="O481" s="106"/>
      <c r="P481" s="106"/>
      <c r="Q481" s="106"/>
      <c r="R481" s="226"/>
      <c r="S481" s="106"/>
      <c r="T481" s="106"/>
      <c r="U481" s="106"/>
      <c r="V481" s="106"/>
      <c r="W481" s="226"/>
      <c r="X481" s="106"/>
      <c r="Y481" s="106"/>
      <c r="Z481" s="106"/>
      <c r="AA481" s="106"/>
      <c r="AB481" s="226"/>
      <c r="AC481" s="106"/>
      <c r="AD481" s="106"/>
      <c r="AE481" s="106"/>
      <c r="AF481" s="106"/>
      <c r="AG481" s="226"/>
      <c r="AH481" s="106"/>
      <c r="AI481" s="106"/>
      <c r="AJ481" s="106"/>
      <c r="AK481" s="106"/>
      <c r="AL481" s="226"/>
      <c r="AM481" s="106"/>
      <c r="AN481" s="106"/>
      <c r="AO481" s="106"/>
      <c r="AP481" s="106"/>
      <c r="AQ481" s="226"/>
      <c r="AR481" s="106"/>
      <c r="AS481" s="106"/>
      <c r="AT481" s="106"/>
      <c r="AU481" s="106"/>
      <c r="AV481" s="226"/>
      <c r="AW481" s="106"/>
      <c r="AX481" s="106"/>
      <c r="AY481" s="106"/>
      <c r="AZ481" s="106"/>
      <c r="BA481" s="226"/>
      <c r="BB481" s="106"/>
      <c r="BC481" s="106"/>
      <c r="BD481" s="106"/>
      <c r="BE481" s="106"/>
      <c r="BF481" s="226"/>
      <c r="BG481" s="106"/>
      <c r="BH481" s="106"/>
      <c r="BI481" s="106"/>
      <c r="BJ481" s="106"/>
      <c r="BK481" s="226"/>
      <c r="BL481" s="106"/>
      <c r="BM481" s="106"/>
      <c r="BN481" s="106"/>
      <c r="BO481" s="106"/>
      <c r="BP481" s="226"/>
      <c r="BQ481" s="106"/>
      <c r="BR481" s="106"/>
      <c r="BS481" s="106"/>
      <c r="BT481" s="106"/>
      <c r="BU481" s="226"/>
      <c r="BV481" s="106"/>
      <c r="BW481" s="106"/>
      <c r="BX481" s="106"/>
      <c r="BY481" s="106"/>
      <c r="BZ481" s="226"/>
      <c r="CA481" s="106"/>
      <c r="CB481" s="106"/>
      <c r="CC481" s="106"/>
      <c r="CD481" s="106"/>
      <c r="CE481" s="226"/>
      <c r="CF481" s="106"/>
      <c r="CG481" s="106"/>
      <c r="CH481" s="106"/>
      <c r="CI481" s="106"/>
      <c r="CJ481" s="226"/>
      <c r="CK481" s="106"/>
      <c r="CL481" s="106"/>
      <c r="CM481" s="106"/>
      <c r="CN481" s="106"/>
      <c r="CO481" s="226"/>
      <c r="CP481" s="106"/>
      <c r="CQ481" s="106"/>
      <c r="CR481" s="106"/>
      <c r="CS481" s="106"/>
      <c r="CT481" s="226"/>
      <c r="CU481" s="106"/>
      <c r="CV481" s="106"/>
      <c r="CW481" s="106"/>
      <c r="CX481" s="106"/>
      <c r="CY481" s="226"/>
      <c r="CZ481" s="106"/>
      <c r="DA481" s="106"/>
      <c r="DB481" s="106"/>
      <c r="DC481" s="106"/>
      <c r="DD481" s="226"/>
      <c r="DE481" s="106"/>
      <c r="DF481" s="106"/>
      <c r="DG481" s="106"/>
      <c r="DH481" s="106"/>
      <c r="DI481" s="226"/>
      <c r="DJ481" s="106"/>
      <c r="DK481" s="106"/>
      <c r="DL481" s="106"/>
      <c r="DM481" s="106"/>
      <c r="DN481" s="226"/>
      <c r="DO481" s="106"/>
      <c r="DP481" s="106"/>
      <c r="DQ481" s="106"/>
      <c r="DR481" s="106"/>
      <c r="DS481" s="226"/>
      <c r="DT481" s="106"/>
      <c r="DU481" s="106"/>
      <c r="DV481" s="106"/>
      <c r="DW481" s="106"/>
      <c r="DX481" s="226"/>
      <c r="DY481" s="106"/>
      <c r="DZ481" s="106"/>
      <c r="EA481" s="106"/>
      <c r="EB481" s="106"/>
      <c r="EC481" s="226"/>
      <c r="ED481" s="106"/>
      <c r="EE481" s="106"/>
      <c r="EF481" s="106"/>
      <c r="EG481" s="106"/>
      <c r="EH481" s="226"/>
      <c r="EI481" s="106"/>
      <c r="EJ481" s="106"/>
      <c r="EK481" s="106"/>
      <c r="EL481" s="106"/>
      <c r="EM481" s="226"/>
      <c r="EN481" s="106"/>
      <c r="EO481" s="106"/>
      <c r="EP481" s="106"/>
      <c r="EQ481" s="106"/>
      <c r="ER481" s="226"/>
      <c r="ES481" s="106"/>
      <c r="ET481" s="106"/>
      <c r="EU481" s="106"/>
      <c r="EV481" s="106"/>
      <c r="EW481" s="226"/>
      <c r="EX481" s="106"/>
      <c r="EY481" s="106"/>
      <c r="EZ481" s="106"/>
      <c r="FA481" s="106"/>
      <c r="FB481" s="226"/>
      <c r="FC481" s="106"/>
      <c r="FD481" s="106"/>
      <c r="FE481" s="106"/>
      <c r="FF481" s="106"/>
      <c r="FG481" s="226"/>
      <c r="FH481" s="106"/>
      <c r="FI481" s="106"/>
      <c r="FJ481" s="106"/>
      <c r="FK481" s="106"/>
      <c r="FL481" s="226"/>
      <c r="FM481" s="106"/>
      <c r="FN481" s="106"/>
      <c r="FO481" s="106"/>
      <c r="FP481" s="106"/>
      <c r="FQ481" s="226"/>
      <c r="FR481" s="106"/>
      <c r="FS481" s="106"/>
      <c r="FT481" s="106"/>
      <c r="FU481" s="106"/>
      <c r="FV481" s="226"/>
      <c r="FW481" s="106"/>
      <c r="FX481" s="106"/>
      <c r="FY481" s="106"/>
      <c r="FZ481" s="106"/>
      <c r="GA481" s="226"/>
      <c r="GB481" s="106"/>
      <c r="GC481" s="106"/>
      <c r="GD481" s="106"/>
      <c r="GE481" s="106"/>
      <c r="GF481" s="226"/>
      <c r="GG481" s="106"/>
      <c r="GH481" s="106"/>
      <c r="GI481" s="106"/>
      <c r="GJ481" s="106"/>
    </row>
    <row r="482" spans="3:192" ht="12.75" customHeight="1">
      <c r="C482" s="225"/>
      <c r="D482" s="225"/>
      <c r="E482" s="225"/>
      <c r="F482" s="225"/>
      <c r="G482" s="225"/>
      <c r="H482" s="225"/>
      <c r="I482" s="225"/>
      <c r="J482" s="225"/>
      <c r="K482" s="225"/>
      <c r="L482" s="225"/>
      <c r="M482" s="225"/>
      <c r="N482" s="225"/>
      <c r="O482" s="225"/>
      <c r="P482" s="225"/>
      <c r="Q482" s="225"/>
      <c r="R482" s="225"/>
      <c r="S482" s="225"/>
      <c r="T482" s="225"/>
      <c r="U482" s="225"/>
      <c r="V482" s="225"/>
      <c r="W482" s="225"/>
      <c r="X482" s="225"/>
      <c r="Y482" s="225"/>
      <c r="Z482" s="225"/>
      <c r="AA482" s="225"/>
      <c r="AB482" s="225"/>
      <c r="AC482" s="225"/>
      <c r="AD482" s="225"/>
      <c r="AE482" s="225"/>
      <c r="AF482" s="225"/>
      <c r="AG482" s="225"/>
      <c r="AH482" s="225"/>
      <c r="AI482" s="225"/>
      <c r="AJ482" s="225"/>
      <c r="AK482" s="225"/>
      <c r="AL482" s="225"/>
      <c r="AM482" s="225"/>
      <c r="AN482" s="225"/>
      <c r="AO482" s="225"/>
      <c r="AP482" s="225"/>
      <c r="AQ482" s="225"/>
      <c r="AR482" s="225"/>
      <c r="AS482" s="225"/>
      <c r="AT482" s="225"/>
      <c r="AU482" s="225"/>
      <c r="AV482" s="225"/>
      <c r="AW482" s="225"/>
      <c r="AX482" s="225"/>
      <c r="AY482" s="225"/>
      <c r="AZ482" s="225"/>
      <c r="BA482" s="225"/>
      <c r="BB482" s="225"/>
      <c r="BC482" s="225"/>
      <c r="BD482" s="225"/>
      <c r="BE482" s="225"/>
      <c r="BF482" s="225"/>
      <c r="BG482" s="225"/>
      <c r="BH482" s="225"/>
      <c r="BI482" s="225"/>
      <c r="BJ482" s="225"/>
      <c r="BK482" s="225"/>
      <c r="BL482" s="225"/>
      <c r="BM482" s="225"/>
      <c r="BN482" s="225"/>
      <c r="BO482" s="225"/>
      <c r="BP482" s="225"/>
      <c r="BQ482" s="225"/>
      <c r="BR482" s="225"/>
      <c r="BS482" s="225"/>
      <c r="BT482" s="225"/>
      <c r="BU482" s="225"/>
      <c r="BV482" s="225"/>
      <c r="BW482" s="225"/>
      <c r="BX482" s="225"/>
      <c r="BY482" s="225"/>
      <c r="BZ482" s="225"/>
      <c r="CA482" s="225"/>
      <c r="CB482" s="225"/>
      <c r="CC482" s="225"/>
      <c r="CD482" s="225"/>
      <c r="CE482" s="225"/>
      <c r="CF482" s="225"/>
      <c r="CG482" s="225"/>
      <c r="CH482" s="225"/>
      <c r="CI482" s="225"/>
      <c r="CJ482" s="225"/>
      <c r="CK482" s="225"/>
      <c r="CL482" s="225"/>
      <c r="CM482" s="225"/>
      <c r="CN482" s="225"/>
      <c r="CO482" s="225"/>
      <c r="CP482" s="225"/>
      <c r="CQ482" s="225"/>
      <c r="CR482" s="225"/>
      <c r="CS482" s="225"/>
      <c r="CT482" s="225"/>
      <c r="CU482" s="225"/>
      <c r="CV482" s="225"/>
      <c r="CW482" s="225"/>
      <c r="CX482" s="225"/>
      <c r="CY482" s="225"/>
      <c r="CZ482" s="225"/>
      <c r="DA482" s="225"/>
      <c r="DB482" s="225"/>
      <c r="DC482" s="225"/>
      <c r="DD482" s="225"/>
      <c r="DE482" s="225"/>
      <c r="DF482" s="225"/>
      <c r="DG482" s="225"/>
      <c r="DH482" s="225"/>
      <c r="DI482" s="225"/>
      <c r="DJ482" s="225"/>
      <c r="DK482" s="225"/>
      <c r="DL482" s="225"/>
      <c r="DM482" s="225"/>
      <c r="DN482" s="225"/>
      <c r="DO482" s="225"/>
      <c r="DP482" s="225"/>
      <c r="DQ482" s="225"/>
      <c r="DR482" s="225"/>
      <c r="DS482" s="225"/>
      <c r="DT482" s="225"/>
      <c r="DU482" s="225"/>
      <c r="DV482" s="225"/>
      <c r="DW482" s="225"/>
      <c r="DX482" s="225"/>
      <c r="DY482" s="225"/>
      <c r="DZ482" s="225"/>
      <c r="EA482" s="225"/>
      <c r="EB482" s="225"/>
      <c r="EC482" s="225"/>
      <c r="ED482" s="225"/>
      <c r="EE482" s="225"/>
      <c r="EF482" s="225"/>
      <c r="EG482" s="225"/>
      <c r="EH482" s="225"/>
      <c r="EI482" s="225"/>
      <c r="EJ482" s="225"/>
      <c r="EK482" s="225"/>
      <c r="EL482" s="225"/>
      <c r="EM482" s="225"/>
      <c r="EN482" s="225"/>
      <c r="EO482" s="225"/>
      <c r="EP482" s="225"/>
      <c r="EQ482" s="225"/>
      <c r="ER482" s="225"/>
      <c r="ES482" s="225"/>
      <c r="ET482" s="225"/>
      <c r="EU482" s="225"/>
      <c r="EV482" s="225"/>
      <c r="EW482" s="225"/>
      <c r="EX482" s="225"/>
      <c r="EY482" s="225"/>
      <c r="EZ482" s="225"/>
      <c r="FA482" s="225"/>
      <c r="FB482" s="225"/>
      <c r="FC482" s="225"/>
      <c r="FD482" s="225"/>
      <c r="FE482" s="225"/>
      <c r="FF482" s="225"/>
      <c r="FG482" s="225"/>
      <c r="FH482" s="225"/>
      <c r="FI482" s="225"/>
      <c r="FJ482" s="225"/>
      <c r="FK482" s="225"/>
      <c r="FL482" s="225"/>
      <c r="FM482" s="225"/>
      <c r="FN482" s="225"/>
      <c r="FO482" s="225"/>
      <c r="FP482" s="225"/>
      <c r="FQ482" s="225"/>
      <c r="FR482" s="225"/>
      <c r="FS482" s="225"/>
      <c r="FT482" s="225"/>
      <c r="FU482" s="225"/>
      <c r="FV482" s="225"/>
      <c r="FW482" s="225"/>
      <c r="FX482" s="225"/>
      <c r="FY482" s="225"/>
      <c r="FZ482" s="225"/>
      <c r="GA482" s="225"/>
      <c r="GB482" s="225"/>
      <c r="GC482" s="225"/>
      <c r="GD482" s="225"/>
      <c r="GE482" s="225"/>
      <c r="GF482" s="225"/>
      <c r="GG482" s="225"/>
      <c r="GH482" s="225"/>
      <c r="GI482" s="225"/>
      <c r="GJ482" s="225"/>
    </row>
    <row r="483" spans="3:192" ht="12.75" customHeight="1">
      <c r="C483" s="220"/>
      <c r="D483" s="220"/>
      <c r="E483" s="220"/>
      <c r="F483" s="220"/>
      <c r="G483" s="220"/>
      <c r="H483" s="220"/>
      <c r="I483" s="220"/>
      <c r="J483" s="220"/>
      <c r="K483" s="220"/>
      <c r="L483" s="220"/>
      <c r="M483" s="220"/>
      <c r="N483" s="220"/>
      <c r="O483" s="220"/>
      <c r="P483" s="220"/>
      <c r="Q483" s="220"/>
      <c r="R483" s="220"/>
      <c r="S483" s="220"/>
      <c r="T483" s="220"/>
      <c r="U483" s="220"/>
      <c r="V483" s="220"/>
      <c r="W483" s="220"/>
      <c r="X483" s="220"/>
      <c r="Y483" s="220"/>
      <c r="Z483" s="220"/>
      <c r="AA483" s="220"/>
      <c r="AB483" s="220"/>
      <c r="AC483" s="220"/>
      <c r="AD483" s="220"/>
      <c r="AE483" s="220"/>
      <c r="AF483" s="220"/>
      <c r="AG483" s="220"/>
      <c r="AH483" s="220"/>
      <c r="AI483" s="220"/>
      <c r="AJ483" s="220"/>
      <c r="AK483" s="220"/>
      <c r="AL483" s="220"/>
      <c r="AM483" s="220"/>
      <c r="AN483" s="220"/>
      <c r="AO483" s="220"/>
      <c r="AP483" s="220"/>
      <c r="AQ483" s="220"/>
      <c r="AR483" s="220"/>
      <c r="AS483" s="220"/>
      <c r="AT483" s="220"/>
      <c r="AU483" s="220"/>
      <c r="AV483" s="220"/>
      <c r="AW483" s="220"/>
      <c r="AX483" s="220"/>
      <c r="AY483" s="220"/>
      <c r="AZ483" s="220"/>
      <c r="BA483" s="220"/>
      <c r="BB483" s="220"/>
      <c r="BC483" s="220"/>
      <c r="BD483" s="220"/>
      <c r="BE483" s="220"/>
      <c r="BF483" s="220"/>
      <c r="BG483" s="220"/>
      <c r="BH483" s="220"/>
      <c r="BI483" s="220"/>
      <c r="BJ483" s="220"/>
      <c r="BK483" s="220"/>
      <c r="BL483" s="220"/>
      <c r="BM483" s="220"/>
      <c r="BN483" s="220"/>
      <c r="BO483" s="220"/>
      <c r="BP483" s="220"/>
      <c r="BQ483" s="220"/>
      <c r="BR483" s="220"/>
      <c r="BS483" s="220"/>
      <c r="BT483" s="220"/>
      <c r="BU483" s="220"/>
      <c r="BV483" s="220"/>
      <c r="BW483" s="220"/>
      <c r="BX483" s="220"/>
      <c r="BY483" s="220"/>
      <c r="BZ483" s="220"/>
      <c r="CA483" s="220"/>
      <c r="CB483" s="220"/>
      <c r="CC483" s="220"/>
      <c r="CD483" s="220"/>
      <c r="CE483" s="220"/>
      <c r="CF483" s="220"/>
      <c r="CG483" s="220"/>
      <c r="CH483" s="220"/>
      <c r="CI483" s="220"/>
      <c r="CJ483" s="220"/>
      <c r="CK483" s="220"/>
      <c r="CL483" s="220"/>
      <c r="CM483" s="220"/>
      <c r="CN483" s="220"/>
      <c r="CO483" s="220"/>
      <c r="CP483" s="220"/>
      <c r="CQ483" s="220"/>
      <c r="CR483" s="220"/>
      <c r="CS483" s="220"/>
      <c r="CT483" s="220"/>
      <c r="CU483" s="220"/>
      <c r="CV483" s="220"/>
      <c r="CW483" s="220"/>
      <c r="CX483" s="220"/>
      <c r="CY483" s="220"/>
      <c r="CZ483" s="220"/>
      <c r="DA483" s="220"/>
      <c r="DB483" s="220"/>
      <c r="DC483" s="220"/>
      <c r="DD483" s="220"/>
      <c r="DE483" s="220"/>
      <c r="DF483" s="220"/>
      <c r="DG483" s="220"/>
      <c r="DH483" s="220"/>
      <c r="DI483" s="220"/>
      <c r="DJ483" s="220"/>
      <c r="DK483" s="220"/>
      <c r="DL483" s="220"/>
      <c r="DM483" s="220"/>
      <c r="DN483" s="220"/>
      <c r="DO483" s="220"/>
      <c r="DP483" s="220"/>
      <c r="DQ483" s="220"/>
      <c r="DR483" s="220"/>
      <c r="DS483" s="220"/>
      <c r="DT483" s="220"/>
      <c r="DU483" s="220"/>
      <c r="DV483" s="220"/>
      <c r="DW483" s="220"/>
      <c r="DX483" s="220"/>
      <c r="DY483" s="220"/>
      <c r="DZ483" s="220"/>
      <c r="EA483" s="220"/>
      <c r="EB483" s="220"/>
      <c r="EC483" s="220"/>
      <c r="ED483" s="220"/>
      <c r="EE483" s="220"/>
      <c r="EF483" s="220"/>
      <c r="EG483" s="220"/>
      <c r="EH483" s="220"/>
      <c r="EI483" s="220"/>
      <c r="EJ483" s="220"/>
      <c r="EK483" s="220"/>
      <c r="EL483" s="220"/>
      <c r="EM483" s="220"/>
      <c r="EN483" s="220"/>
      <c r="EO483" s="220"/>
      <c r="EP483" s="220"/>
      <c r="EQ483" s="220"/>
      <c r="ER483" s="220"/>
      <c r="ES483" s="220"/>
      <c r="ET483" s="220"/>
      <c r="EU483" s="220"/>
      <c r="EV483" s="220"/>
      <c r="EW483" s="220"/>
      <c r="EX483" s="220"/>
      <c r="EY483" s="220"/>
      <c r="EZ483" s="220"/>
      <c r="FA483" s="220"/>
      <c r="FB483" s="220"/>
      <c r="FC483" s="220"/>
      <c r="FD483" s="220"/>
      <c r="FE483" s="220"/>
      <c r="FF483" s="220"/>
      <c r="FG483" s="220"/>
      <c r="FH483" s="220"/>
      <c r="FI483" s="220"/>
      <c r="FJ483" s="220"/>
      <c r="FK483" s="220"/>
      <c r="FL483" s="220"/>
      <c r="FM483" s="220"/>
      <c r="FN483" s="220"/>
      <c r="FO483" s="220"/>
      <c r="FP483" s="220"/>
      <c r="FQ483" s="220"/>
      <c r="FR483" s="220"/>
      <c r="FS483" s="220"/>
      <c r="FT483" s="220"/>
      <c r="FU483" s="220"/>
      <c r="FV483" s="220"/>
      <c r="FW483" s="220"/>
      <c r="FX483" s="220"/>
      <c r="FY483" s="220"/>
      <c r="FZ483" s="220"/>
      <c r="GA483" s="220"/>
      <c r="GB483" s="220"/>
      <c r="GC483" s="220"/>
      <c r="GD483" s="220"/>
      <c r="GE483" s="220"/>
      <c r="GF483" s="220"/>
      <c r="GG483" s="220"/>
      <c r="GH483" s="220"/>
      <c r="GI483" s="220"/>
      <c r="GJ483" s="220"/>
    </row>
    <row r="484" spans="3:192" ht="12.75" customHeight="1">
      <c r="C484" s="106"/>
      <c r="D484" s="106"/>
      <c r="E484" s="106"/>
      <c r="F484" s="106"/>
      <c r="G484" s="106"/>
      <c r="H484" s="106"/>
      <c r="I484" s="106"/>
      <c r="J484" s="106"/>
      <c r="K484" s="106"/>
      <c r="L484" s="106"/>
      <c r="M484" s="106"/>
      <c r="N484" s="106"/>
      <c r="O484" s="106"/>
      <c r="P484" s="106"/>
      <c r="Q484" s="106"/>
      <c r="R484" s="106"/>
      <c r="S484" s="106"/>
      <c r="T484" s="106"/>
      <c r="U484" s="106"/>
      <c r="V484" s="106"/>
      <c r="W484" s="106"/>
      <c r="X484" s="106"/>
      <c r="Y484" s="106"/>
      <c r="Z484" s="106"/>
      <c r="AA484" s="106"/>
      <c r="AB484" s="106"/>
      <c r="AC484" s="106"/>
      <c r="AD484" s="106"/>
      <c r="AE484" s="106"/>
      <c r="AF484" s="106"/>
      <c r="AG484" s="106"/>
      <c r="AH484" s="106"/>
      <c r="AI484" s="106"/>
      <c r="AJ484" s="106"/>
      <c r="AK484" s="106"/>
      <c r="AL484" s="106"/>
      <c r="AM484" s="106"/>
      <c r="AN484" s="106"/>
      <c r="AO484" s="106"/>
      <c r="AP484" s="106"/>
      <c r="AQ484" s="106"/>
      <c r="AR484" s="106"/>
      <c r="AS484" s="106"/>
      <c r="AT484" s="106"/>
      <c r="AU484" s="106"/>
      <c r="AV484" s="106"/>
      <c r="AW484" s="106"/>
      <c r="AX484" s="106"/>
      <c r="AY484" s="106"/>
      <c r="AZ484" s="106"/>
      <c r="BA484" s="106"/>
      <c r="BB484" s="106"/>
      <c r="BC484" s="106"/>
      <c r="BD484" s="106"/>
      <c r="BE484" s="106"/>
      <c r="BF484" s="106"/>
      <c r="BG484" s="106"/>
      <c r="BH484" s="106"/>
      <c r="BI484" s="106"/>
      <c r="BJ484" s="106"/>
      <c r="BK484" s="106"/>
      <c r="BL484" s="106"/>
      <c r="BM484" s="106"/>
      <c r="BN484" s="106"/>
      <c r="BO484" s="106"/>
      <c r="BP484" s="106"/>
      <c r="BQ484" s="106"/>
      <c r="BR484" s="106"/>
      <c r="BS484" s="106"/>
      <c r="BT484" s="106"/>
      <c r="BU484" s="106"/>
      <c r="BV484" s="106"/>
      <c r="BW484" s="106"/>
      <c r="BX484" s="106"/>
      <c r="BY484" s="106"/>
      <c r="BZ484" s="106"/>
      <c r="CA484" s="106"/>
      <c r="CB484" s="106"/>
      <c r="CC484" s="106"/>
      <c r="CD484" s="106"/>
      <c r="CE484" s="106"/>
      <c r="CF484" s="106"/>
      <c r="CG484" s="106"/>
      <c r="CH484" s="106"/>
      <c r="CI484" s="106"/>
      <c r="CJ484" s="106"/>
      <c r="CK484" s="106"/>
      <c r="CL484" s="106"/>
      <c r="CM484" s="106"/>
      <c r="CN484" s="106"/>
      <c r="CO484" s="106"/>
      <c r="CP484" s="106"/>
      <c r="CQ484" s="106"/>
      <c r="CR484" s="106"/>
      <c r="CS484" s="106"/>
      <c r="CT484" s="106"/>
      <c r="CU484" s="106"/>
      <c r="CV484" s="106"/>
      <c r="CW484" s="106"/>
      <c r="CX484" s="106"/>
      <c r="CY484" s="106"/>
      <c r="CZ484" s="106"/>
      <c r="DA484" s="106"/>
      <c r="DB484" s="106"/>
      <c r="DC484" s="106"/>
      <c r="DD484" s="106"/>
      <c r="DE484" s="106"/>
      <c r="DF484" s="106"/>
      <c r="DG484" s="106"/>
      <c r="DH484" s="106"/>
      <c r="DI484" s="106"/>
      <c r="DJ484" s="106"/>
      <c r="DK484" s="106"/>
      <c r="DL484" s="106"/>
      <c r="DM484" s="106"/>
      <c r="DN484" s="106"/>
      <c r="DO484" s="106"/>
      <c r="DP484" s="106"/>
      <c r="DQ484" s="106"/>
      <c r="DR484" s="106"/>
      <c r="DS484" s="106"/>
      <c r="DT484" s="106"/>
      <c r="DU484" s="106"/>
      <c r="DV484" s="106"/>
      <c r="DW484" s="106"/>
      <c r="DX484" s="106"/>
      <c r="DY484" s="106"/>
      <c r="DZ484" s="106"/>
      <c r="EA484" s="106"/>
      <c r="EB484" s="106"/>
      <c r="EC484" s="106"/>
      <c r="ED484" s="106"/>
      <c r="EE484" s="106"/>
      <c r="EF484" s="106"/>
      <c r="EG484" s="106"/>
      <c r="EH484" s="106"/>
      <c r="EI484" s="106"/>
      <c r="EJ484" s="106"/>
      <c r="EK484" s="106"/>
      <c r="EL484" s="106"/>
      <c r="EM484" s="106"/>
      <c r="EN484" s="106"/>
      <c r="EO484" s="106"/>
      <c r="EP484" s="106"/>
      <c r="EQ484" s="106"/>
      <c r="ER484" s="106"/>
      <c r="ES484" s="106"/>
      <c r="ET484" s="106"/>
      <c r="EU484" s="106"/>
      <c r="EV484" s="106"/>
      <c r="EW484" s="106"/>
      <c r="EX484" s="106"/>
      <c r="EY484" s="106"/>
      <c r="EZ484" s="106"/>
      <c r="FA484" s="106"/>
      <c r="FB484" s="106"/>
      <c r="FC484" s="106"/>
      <c r="FD484" s="106"/>
      <c r="FE484" s="106"/>
      <c r="FF484" s="106"/>
      <c r="FG484" s="106"/>
      <c r="FH484" s="106"/>
      <c r="FI484" s="106"/>
      <c r="FJ484" s="106"/>
      <c r="FK484" s="106"/>
      <c r="FL484" s="106"/>
      <c r="FM484" s="106"/>
      <c r="FN484" s="106"/>
      <c r="FO484" s="106"/>
      <c r="FP484" s="106"/>
      <c r="FQ484" s="106"/>
      <c r="FR484" s="106"/>
      <c r="FS484" s="106"/>
      <c r="FT484" s="106"/>
      <c r="FU484" s="106"/>
      <c r="FV484" s="106"/>
      <c r="FW484" s="106"/>
      <c r="FX484" s="106"/>
      <c r="FY484" s="106"/>
      <c r="FZ484" s="106"/>
      <c r="GA484" s="106"/>
      <c r="GB484" s="106"/>
      <c r="GC484" s="106"/>
      <c r="GD484" s="106"/>
      <c r="GE484" s="106"/>
      <c r="GF484" s="106"/>
      <c r="GG484" s="106"/>
      <c r="GH484" s="106"/>
      <c r="GI484" s="106"/>
      <c r="GJ484" s="106"/>
    </row>
    <row r="485" spans="3:192" ht="12.75" customHeight="1">
      <c r="C485" s="169"/>
      <c r="D485" s="169"/>
      <c r="E485" s="169"/>
      <c r="F485" s="169"/>
      <c r="G485" s="169"/>
      <c r="H485" s="169"/>
      <c r="I485" s="169"/>
      <c r="J485" s="169"/>
      <c r="K485" s="169"/>
      <c r="L485" s="169"/>
      <c r="M485" s="169"/>
      <c r="N485" s="169"/>
      <c r="O485" s="169"/>
      <c r="P485" s="169"/>
      <c r="Q485" s="169"/>
      <c r="R485" s="169"/>
      <c r="S485" s="169"/>
      <c r="T485" s="169"/>
      <c r="U485" s="169"/>
      <c r="V485" s="169"/>
      <c r="W485" s="169"/>
      <c r="X485" s="169"/>
      <c r="Y485" s="169"/>
      <c r="Z485" s="169"/>
      <c r="AA485" s="169"/>
      <c r="AB485" s="169"/>
      <c r="AC485" s="169"/>
      <c r="AD485" s="169"/>
      <c r="AE485" s="169"/>
      <c r="AF485" s="169"/>
      <c r="AG485" s="169"/>
      <c r="AH485" s="169"/>
      <c r="AI485" s="169"/>
      <c r="AJ485" s="169"/>
      <c r="AK485" s="169"/>
      <c r="AL485" s="169"/>
      <c r="AM485" s="169"/>
      <c r="AN485" s="169"/>
      <c r="AO485" s="169"/>
      <c r="AP485" s="169"/>
      <c r="AQ485" s="169"/>
      <c r="AR485" s="169"/>
      <c r="AS485" s="169"/>
      <c r="AT485" s="169"/>
      <c r="AU485" s="169"/>
      <c r="AV485" s="169"/>
      <c r="AW485" s="169"/>
      <c r="AX485" s="169"/>
      <c r="AY485" s="169"/>
      <c r="AZ485" s="169"/>
      <c r="BA485" s="169"/>
      <c r="BB485" s="169"/>
      <c r="BC485" s="169"/>
      <c r="BD485" s="169"/>
      <c r="BE485" s="169"/>
      <c r="BF485" s="169"/>
      <c r="BG485" s="169"/>
      <c r="BH485" s="169"/>
      <c r="BI485" s="169"/>
      <c r="BJ485" s="169"/>
      <c r="BK485" s="169"/>
      <c r="BL485" s="169"/>
      <c r="BM485" s="169"/>
      <c r="BN485" s="169"/>
      <c r="BO485" s="169"/>
      <c r="BP485" s="169"/>
      <c r="BQ485" s="169"/>
      <c r="BR485" s="169"/>
      <c r="BS485" s="169"/>
      <c r="BT485" s="169"/>
      <c r="BU485" s="169"/>
      <c r="BV485" s="169"/>
      <c r="BW485" s="169"/>
      <c r="BX485" s="169"/>
      <c r="BY485" s="169"/>
      <c r="BZ485" s="169"/>
      <c r="CA485" s="169"/>
      <c r="CB485" s="169"/>
      <c r="CC485" s="169"/>
      <c r="CD485" s="169"/>
      <c r="CE485" s="169"/>
      <c r="CF485" s="169"/>
      <c r="CG485" s="169"/>
      <c r="CH485" s="169"/>
      <c r="CI485" s="169"/>
      <c r="CJ485" s="169"/>
      <c r="CK485" s="169"/>
      <c r="CL485" s="169"/>
      <c r="CM485" s="169"/>
      <c r="CN485" s="169"/>
      <c r="CO485" s="169"/>
      <c r="CP485" s="169"/>
      <c r="CQ485" s="169"/>
      <c r="CR485" s="169"/>
      <c r="CS485" s="169"/>
      <c r="CT485" s="169"/>
      <c r="CU485" s="169"/>
      <c r="CV485" s="169"/>
      <c r="CW485" s="169"/>
      <c r="CX485" s="169"/>
      <c r="CY485" s="169"/>
      <c r="CZ485" s="169"/>
      <c r="DA485" s="169"/>
      <c r="DB485" s="169"/>
      <c r="DC485" s="169"/>
      <c r="DD485" s="169"/>
      <c r="DE485" s="169"/>
      <c r="DF485" s="169"/>
      <c r="DG485" s="169"/>
      <c r="DH485" s="169"/>
      <c r="DI485" s="169"/>
      <c r="DJ485" s="169"/>
      <c r="DK485" s="169"/>
      <c r="DL485" s="169"/>
      <c r="DM485" s="169"/>
      <c r="DN485" s="169"/>
      <c r="DO485" s="169"/>
      <c r="DP485" s="169"/>
      <c r="DQ485" s="169"/>
      <c r="DR485" s="169"/>
      <c r="DS485" s="169"/>
      <c r="DT485" s="169"/>
      <c r="DU485" s="169"/>
      <c r="DV485" s="169"/>
      <c r="DW485" s="169"/>
      <c r="DX485" s="169"/>
      <c r="DY485" s="169"/>
      <c r="DZ485" s="169"/>
      <c r="EA485" s="169"/>
      <c r="EB485" s="169"/>
      <c r="EC485" s="169"/>
      <c r="ED485" s="169"/>
      <c r="EE485" s="169"/>
      <c r="EF485" s="169"/>
      <c r="EG485" s="169"/>
      <c r="EH485" s="169"/>
      <c r="EI485" s="169"/>
      <c r="EJ485" s="169"/>
      <c r="EK485" s="169"/>
      <c r="EL485" s="169"/>
      <c r="EM485" s="169"/>
      <c r="EN485" s="169"/>
      <c r="EO485" s="169"/>
      <c r="EP485" s="169"/>
      <c r="EQ485" s="169"/>
      <c r="ER485" s="169"/>
      <c r="ES485" s="169"/>
      <c r="ET485" s="169"/>
      <c r="EU485" s="169"/>
      <c r="EV485" s="169"/>
      <c r="EW485" s="169"/>
      <c r="EX485" s="169"/>
      <c r="EY485" s="169"/>
      <c r="EZ485" s="169"/>
      <c r="FA485" s="169"/>
      <c r="FB485" s="169"/>
      <c r="FC485" s="169"/>
      <c r="FD485" s="169"/>
      <c r="FE485" s="169"/>
      <c r="FF485" s="169"/>
      <c r="FG485" s="169"/>
      <c r="FH485" s="169"/>
      <c r="FI485" s="169"/>
      <c r="FJ485" s="169"/>
      <c r="FK485" s="169"/>
      <c r="FL485" s="169"/>
      <c r="FM485" s="169"/>
      <c r="FN485" s="169"/>
      <c r="FO485" s="169"/>
      <c r="FP485" s="169"/>
      <c r="FQ485" s="169"/>
      <c r="FR485" s="169"/>
      <c r="FS485" s="169"/>
      <c r="FT485" s="169"/>
      <c r="FU485" s="169"/>
      <c r="FV485" s="169"/>
      <c r="FW485" s="169"/>
      <c r="FX485" s="169"/>
      <c r="FY485" s="169"/>
      <c r="FZ485" s="169"/>
      <c r="GA485" s="169"/>
      <c r="GB485" s="169"/>
      <c r="GC485" s="169"/>
      <c r="GD485" s="169"/>
      <c r="GE485" s="169"/>
      <c r="GF485" s="169"/>
      <c r="GG485" s="169"/>
      <c r="GH485" s="169"/>
      <c r="GI485" s="169"/>
      <c r="GJ485" s="169"/>
    </row>
    <row r="486" spans="3:192" ht="12.75" customHeight="1">
      <c r="C486" s="222"/>
      <c r="D486" s="222"/>
      <c r="E486" s="222"/>
      <c r="F486" s="222"/>
      <c r="G486" s="222"/>
      <c r="H486" s="222"/>
      <c r="I486" s="222"/>
      <c r="J486" s="222"/>
      <c r="K486" s="222"/>
      <c r="L486" s="222"/>
      <c r="M486" s="222"/>
      <c r="N486" s="222"/>
      <c r="O486" s="222"/>
      <c r="P486" s="222"/>
      <c r="Q486" s="222"/>
      <c r="R486" s="222"/>
      <c r="S486" s="222"/>
      <c r="T486" s="222"/>
      <c r="U486" s="222"/>
      <c r="V486" s="222"/>
      <c r="W486" s="222"/>
      <c r="X486" s="222"/>
      <c r="Y486" s="222"/>
      <c r="Z486" s="222"/>
      <c r="AA486" s="222"/>
      <c r="AB486" s="222"/>
      <c r="AC486" s="222"/>
      <c r="AD486" s="222"/>
      <c r="AE486" s="222"/>
      <c r="AF486" s="222"/>
      <c r="AG486" s="222"/>
      <c r="AH486" s="222"/>
      <c r="AI486" s="222"/>
      <c r="AJ486" s="222"/>
      <c r="AK486" s="222"/>
      <c r="AL486" s="222"/>
      <c r="AM486" s="222"/>
      <c r="AN486" s="222"/>
      <c r="AO486" s="222"/>
      <c r="AP486" s="222"/>
      <c r="AQ486" s="222"/>
      <c r="AR486" s="222"/>
      <c r="AS486" s="222"/>
      <c r="AT486" s="222"/>
      <c r="AU486" s="222"/>
      <c r="AV486" s="222"/>
      <c r="AW486" s="222"/>
      <c r="AX486" s="222"/>
      <c r="AY486" s="222"/>
      <c r="AZ486" s="222"/>
      <c r="BA486" s="222"/>
      <c r="BB486" s="222"/>
      <c r="BC486" s="222"/>
      <c r="BD486" s="222"/>
      <c r="BE486" s="222"/>
      <c r="BF486" s="222"/>
      <c r="BG486" s="222"/>
      <c r="BH486" s="222"/>
      <c r="BI486" s="222"/>
      <c r="BJ486" s="222"/>
      <c r="BK486" s="222"/>
      <c r="BL486" s="222"/>
      <c r="BM486" s="222"/>
      <c r="BN486" s="222"/>
      <c r="BO486" s="222"/>
      <c r="BP486" s="222"/>
      <c r="BQ486" s="222"/>
      <c r="BR486" s="222"/>
      <c r="BS486" s="222"/>
      <c r="BT486" s="222"/>
      <c r="BU486" s="222"/>
      <c r="BV486" s="222"/>
      <c r="BW486" s="222"/>
      <c r="BX486" s="222"/>
      <c r="BY486" s="222"/>
      <c r="BZ486" s="222"/>
      <c r="CA486" s="222"/>
      <c r="CB486" s="222"/>
      <c r="CC486" s="222"/>
      <c r="CD486" s="222"/>
      <c r="CE486" s="222"/>
      <c r="CF486" s="222"/>
      <c r="CG486" s="222"/>
      <c r="CH486" s="222"/>
      <c r="CI486" s="222"/>
      <c r="CJ486" s="222"/>
      <c r="CK486" s="222"/>
      <c r="CL486" s="222"/>
      <c r="CM486" s="222"/>
      <c r="CN486" s="222"/>
      <c r="CO486" s="222"/>
      <c r="CP486" s="222"/>
      <c r="CQ486" s="222"/>
      <c r="CR486" s="222"/>
      <c r="CS486" s="222"/>
      <c r="CT486" s="222"/>
      <c r="CU486" s="222"/>
      <c r="CV486" s="222"/>
      <c r="CW486" s="222"/>
      <c r="CX486" s="222"/>
      <c r="CY486" s="222"/>
      <c r="CZ486" s="222"/>
      <c r="DA486" s="222"/>
      <c r="DB486" s="222"/>
      <c r="DC486" s="222"/>
      <c r="DD486" s="222"/>
      <c r="DE486" s="222"/>
      <c r="DF486" s="222"/>
      <c r="DG486" s="222"/>
      <c r="DH486" s="222"/>
      <c r="DI486" s="222"/>
      <c r="DJ486" s="222"/>
      <c r="DK486" s="222"/>
      <c r="DL486" s="222"/>
      <c r="DM486" s="222"/>
      <c r="DN486" s="222"/>
      <c r="DO486" s="222"/>
      <c r="DP486" s="222"/>
      <c r="DQ486" s="222"/>
      <c r="DR486" s="222"/>
      <c r="DS486" s="222"/>
      <c r="DT486" s="222"/>
      <c r="DU486" s="222"/>
      <c r="DV486" s="222"/>
      <c r="DW486" s="222"/>
      <c r="DX486" s="222"/>
      <c r="DY486" s="222"/>
      <c r="DZ486" s="222"/>
      <c r="EA486" s="222"/>
      <c r="EB486" s="222"/>
      <c r="EC486" s="222"/>
      <c r="ED486" s="222"/>
      <c r="EE486" s="222"/>
      <c r="EF486" s="222"/>
      <c r="EG486" s="222"/>
      <c r="EH486" s="222"/>
      <c r="EI486" s="222"/>
      <c r="EJ486" s="222"/>
      <c r="EK486" s="222"/>
      <c r="EL486" s="222"/>
      <c r="EM486" s="222"/>
      <c r="EN486" s="222"/>
      <c r="EO486" s="222"/>
      <c r="EP486" s="222"/>
      <c r="EQ486" s="222"/>
      <c r="ER486" s="222"/>
      <c r="ES486" s="222"/>
      <c r="ET486" s="222"/>
      <c r="EU486" s="222"/>
      <c r="EV486" s="222"/>
      <c r="EW486" s="222"/>
      <c r="EX486" s="222"/>
      <c r="EY486" s="222"/>
      <c r="EZ486" s="222"/>
      <c r="FA486" s="222"/>
      <c r="FB486" s="222"/>
      <c r="FC486" s="222"/>
      <c r="FD486" s="222"/>
      <c r="FE486" s="222"/>
      <c r="FF486" s="222"/>
      <c r="FG486" s="222"/>
      <c r="FH486" s="222"/>
      <c r="FI486" s="222"/>
      <c r="FJ486" s="222"/>
      <c r="FK486" s="222"/>
      <c r="FL486" s="222"/>
      <c r="FM486" s="222"/>
      <c r="FN486" s="222"/>
      <c r="FO486" s="222"/>
      <c r="FP486" s="222"/>
      <c r="FQ486" s="222"/>
      <c r="FR486" s="222"/>
      <c r="FS486" s="222"/>
      <c r="FT486" s="222"/>
      <c r="FU486" s="222"/>
      <c r="FV486" s="222"/>
      <c r="FW486" s="222"/>
      <c r="FX486" s="222"/>
      <c r="FY486" s="222"/>
      <c r="FZ486" s="222"/>
      <c r="GA486" s="222"/>
      <c r="GB486" s="222"/>
      <c r="GC486" s="222"/>
      <c r="GD486" s="222"/>
      <c r="GE486" s="222"/>
      <c r="GF486" s="222"/>
      <c r="GG486" s="222"/>
      <c r="GH486" s="222"/>
      <c r="GI486" s="222"/>
      <c r="GJ486" s="222"/>
    </row>
    <row r="487" spans="3:192" ht="12.75" customHeight="1">
      <c r="C487" s="222"/>
      <c r="D487" s="222"/>
      <c r="E487" s="222"/>
      <c r="F487" s="222"/>
      <c r="G487" s="222"/>
      <c r="H487" s="222"/>
      <c r="I487" s="222"/>
      <c r="J487" s="222"/>
      <c r="K487" s="222"/>
      <c r="L487" s="222"/>
      <c r="M487" s="222"/>
      <c r="N487" s="222"/>
      <c r="O487" s="222"/>
      <c r="P487" s="222"/>
      <c r="Q487" s="222"/>
      <c r="R487" s="222"/>
      <c r="S487" s="222"/>
      <c r="T487" s="222"/>
      <c r="U487" s="222"/>
      <c r="V487" s="222"/>
      <c r="W487" s="222"/>
      <c r="X487" s="222"/>
      <c r="Y487" s="222"/>
      <c r="Z487" s="222"/>
      <c r="AA487" s="222"/>
      <c r="AB487" s="222"/>
      <c r="AC487" s="222"/>
      <c r="AD487" s="222"/>
      <c r="AE487" s="222"/>
      <c r="AF487" s="222"/>
      <c r="AG487" s="222"/>
      <c r="AH487" s="222"/>
      <c r="AI487" s="222"/>
      <c r="AJ487" s="222"/>
      <c r="AK487" s="222"/>
      <c r="AL487" s="222"/>
      <c r="AM487" s="222"/>
      <c r="AN487" s="222"/>
      <c r="AO487" s="222"/>
      <c r="AP487" s="222"/>
      <c r="AQ487" s="222"/>
      <c r="AR487" s="222"/>
      <c r="AS487" s="222"/>
      <c r="AT487" s="222"/>
      <c r="AU487" s="222"/>
      <c r="AV487" s="222"/>
      <c r="AW487" s="222"/>
      <c r="AX487" s="222"/>
      <c r="AY487" s="222"/>
      <c r="AZ487" s="222"/>
      <c r="BA487" s="222"/>
      <c r="BB487" s="222"/>
      <c r="BC487" s="222"/>
      <c r="BD487" s="222"/>
      <c r="BE487" s="222"/>
      <c r="BF487" s="222"/>
      <c r="BG487" s="222"/>
      <c r="BH487" s="222"/>
      <c r="BI487" s="222"/>
      <c r="BJ487" s="222"/>
      <c r="BK487" s="222"/>
      <c r="BL487" s="222"/>
      <c r="BM487" s="222"/>
      <c r="BN487" s="222"/>
      <c r="BO487" s="222"/>
      <c r="BP487" s="222"/>
      <c r="BQ487" s="222"/>
      <c r="BR487" s="222"/>
      <c r="BS487" s="222"/>
      <c r="BT487" s="222"/>
      <c r="BU487" s="222"/>
      <c r="BV487" s="222"/>
      <c r="BW487" s="222"/>
      <c r="BX487" s="222"/>
      <c r="BY487" s="222"/>
      <c r="BZ487" s="222"/>
      <c r="CA487" s="222"/>
      <c r="CB487" s="222"/>
      <c r="CC487" s="222"/>
      <c r="CD487" s="222"/>
      <c r="CE487" s="222"/>
      <c r="CF487" s="222"/>
      <c r="CG487" s="222"/>
      <c r="CH487" s="222"/>
      <c r="CI487" s="222"/>
      <c r="CJ487" s="222"/>
      <c r="CK487" s="222"/>
      <c r="CL487" s="222"/>
      <c r="CM487" s="222"/>
      <c r="CN487" s="222"/>
      <c r="CO487" s="222"/>
      <c r="CP487" s="222"/>
      <c r="CQ487" s="222"/>
      <c r="CR487" s="222"/>
      <c r="CS487" s="222"/>
      <c r="CT487" s="222"/>
      <c r="CU487" s="222"/>
      <c r="CV487" s="222"/>
      <c r="CW487" s="222"/>
      <c r="CX487" s="222"/>
      <c r="CY487" s="222"/>
      <c r="CZ487" s="222"/>
      <c r="DA487" s="222"/>
      <c r="DB487" s="222"/>
      <c r="DC487" s="222"/>
      <c r="DD487" s="222"/>
      <c r="DE487" s="222"/>
      <c r="DF487" s="222"/>
      <c r="DG487" s="222"/>
      <c r="DH487" s="222"/>
      <c r="DI487" s="222"/>
      <c r="DJ487" s="222"/>
      <c r="DK487" s="222"/>
      <c r="DL487" s="222"/>
      <c r="DM487" s="222"/>
      <c r="DN487" s="222"/>
      <c r="DO487" s="222"/>
      <c r="DP487" s="222"/>
      <c r="DQ487" s="222"/>
      <c r="DR487" s="222"/>
      <c r="DS487" s="222"/>
      <c r="DT487" s="222"/>
      <c r="DU487" s="222"/>
      <c r="DV487" s="222"/>
      <c r="DW487" s="222"/>
      <c r="DX487" s="222"/>
      <c r="DY487" s="222"/>
      <c r="DZ487" s="222"/>
      <c r="EA487" s="222"/>
      <c r="EB487" s="222"/>
      <c r="EC487" s="222"/>
      <c r="ED487" s="222"/>
      <c r="EE487" s="222"/>
      <c r="EF487" s="222"/>
      <c r="EG487" s="222"/>
      <c r="EH487" s="222"/>
      <c r="EI487" s="222"/>
      <c r="EJ487" s="222"/>
      <c r="EK487" s="222"/>
      <c r="EL487" s="222"/>
      <c r="EM487" s="222"/>
      <c r="EN487" s="222"/>
      <c r="EO487" s="222"/>
      <c r="EP487" s="222"/>
      <c r="EQ487" s="222"/>
      <c r="ER487" s="222"/>
      <c r="ES487" s="222"/>
      <c r="ET487" s="222"/>
      <c r="EU487" s="222"/>
      <c r="EV487" s="222"/>
      <c r="EW487" s="222"/>
      <c r="EX487" s="222"/>
      <c r="EY487" s="222"/>
      <c r="EZ487" s="222"/>
      <c r="FA487" s="222"/>
      <c r="FB487" s="222"/>
      <c r="FC487" s="222"/>
      <c r="FD487" s="222"/>
      <c r="FE487" s="222"/>
      <c r="FF487" s="222"/>
      <c r="FG487" s="222"/>
      <c r="FH487" s="222"/>
      <c r="FI487" s="222"/>
      <c r="FJ487" s="222"/>
      <c r="FK487" s="222"/>
      <c r="FL487" s="222"/>
      <c r="FM487" s="222"/>
      <c r="FN487" s="222"/>
      <c r="FO487" s="222"/>
      <c r="FP487" s="222"/>
      <c r="FQ487" s="222"/>
      <c r="FR487" s="222"/>
      <c r="FS487" s="222"/>
      <c r="FT487" s="222"/>
      <c r="FU487" s="222"/>
      <c r="FV487" s="222"/>
      <c r="FW487" s="222"/>
      <c r="FX487" s="222"/>
      <c r="FY487" s="222"/>
      <c r="FZ487" s="222"/>
      <c r="GA487" s="222"/>
      <c r="GB487" s="222"/>
      <c r="GC487" s="222"/>
      <c r="GD487" s="222"/>
      <c r="GE487" s="222"/>
      <c r="GF487" s="222"/>
      <c r="GG487" s="222"/>
      <c r="GH487" s="222"/>
      <c r="GI487" s="222"/>
      <c r="GJ487" s="222"/>
    </row>
    <row r="488" spans="3:192" ht="12.75" customHeight="1">
      <c r="C488" s="225"/>
      <c r="D488" s="225"/>
      <c r="E488" s="225"/>
      <c r="F488" s="225"/>
      <c r="G488" s="225"/>
      <c r="H488" s="225"/>
      <c r="I488" s="225"/>
      <c r="J488" s="225"/>
      <c r="K488" s="225"/>
      <c r="L488" s="225"/>
      <c r="M488" s="225"/>
      <c r="N488" s="225"/>
      <c r="O488" s="225"/>
      <c r="P488" s="225"/>
      <c r="Q488" s="225"/>
      <c r="R488" s="225"/>
      <c r="S488" s="225"/>
      <c r="T488" s="225"/>
      <c r="U488" s="225"/>
      <c r="V488" s="225"/>
      <c r="W488" s="225"/>
      <c r="X488" s="225"/>
      <c r="Y488" s="225"/>
      <c r="Z488" s="225"/>
      <c r="AA488" s="225"/>
      <c r="AB488" s="225"/>
      <c r="AC488" s="225"/>
      <c r="AD488" s="225"/>
      <c r="AE488" s="225"/>
      <c r="AF488" s="225"/>
      <c r="AG488" s="225"/>
      <c r="AH488" s="225"/>
      <c r="AI488" s="225"/>
      <c r="AJ488" s="225"/>
      <c r="AK488" s="225"/>
      <c r="AL488" s="225"/>
      <c r="AM488" s="225"/>
      <c r="AN488" s="225"/>
      <c r="AO488" s="225"/>
      <c r="AP488" s="225"/>
      <c r="AQ488" s="225"/>
      <c r="AR488" s="225"/>
      <c r="AS488" s="225"/>
      <c r="AT488" s="225"/>
      <c r="AU488" s="225"/>
      <c r="AV488" s="225"/>
      <c r="AW488" s="225"/>
      <c r="AX488" s="225"/>
      <c r="AY488" s="225"/>
      <c r="AZ488" s="225"/>
      <c r="BA488" s="225"/>
      <c r="BB488" s="225"/>
      <c r="BC488" s="225"/>
      <c r="BD488" s="225"/>
      <c r="BE488" s="225"/>
      <c r="BF488" s="225"/>
      <c r="BG488" s="225"/>
      <c r="BH488" s="225"/>
      <c r="BI488" s="225"/>
      <c r="BJ488" s="225"/>
      <c r="BK488" s="225"/>
      <c r="BL488" s="225"/>
      <c r="BM488" s="225"/>
      <c r="BN488" s="225"/>
      <c r="BO488" s="225"/>
      <c r="BP488" s="225"/>
      <c r="BQ488" s="225"/>
      <c r="BR488" s="225"/>
      <c r="BS488" s="225"/>
      <c r="BT488" s="225"/>
      <c r="BU488" s="225"/>
      <c r="BV488" s="225"/>
      <c r="BW488" s="225"/>
      <c r="BX488" s="225"/>
      <c r="BY488" s="225"/>
      <c r="BZ488" s="225"/>
      <c r="CA488" s="225"/>
      <c r="CB488" s="225"/>
      <c r="CC488" s="225"/>
      <c r="CD488" s="225"/>
      <c r="CE488" s="225"/>
      <c r="CF488" s="225"/>
      <c r="CG488" s="225"/>
      <c r="CH488" s="225"/>
      <c r="CI488" s="225"/>
      <c r="CJ488" s="225"/>
      <c r="CK488" s="225"/>
      <c r="CL488" s="225"/>
      <c r="CM488" s="225"/>
      <c r="CN488" s="225"/>
      <c r="CO488" s="225"/>
      <c r="CP488" s="225"/>
      <c r="CQ488" s="225"/>
      <c r="CR488" s="225"/>
      <c r="CS488" s="225"/>
      <c r="CT488" s="225"/>
      <c r="CU488" s="225"/>
      <c r="CV488" s="225"/>
      <c r="CW488" s="225"/>
      <c r="CX488" s="225"/>
      <c r="CY488" s="225"/>
      <c r="CZ488" s="225"/>
      <c r="DA488" s="225"/>
      <c r="DB488" s="225"/>
      <c r="DC488" s="225"/>
      <c r="DD488" s="225"/>
      <c r="DE488" s="225"/>
      <c r="DF488" s="225"/>
      <c r="DG488" s="225"/>
      <c r="DH488" s="225"/>
      <c r="DI488" s="225"/>
      <c r="DJ488" s="225"/>
      <c r="DK488" s="225"/>
      <c r="DL488" s="225"/>
      <c r="DM488" s="225"/>
      <c r="DN488" s="225"/>
      <c r="DO488" s="225"/>
      <c r="DP488" s="225"/>
      <c r="DQ488" s="225"/>
      <c r="DR488" s="225"/>
      <c r="DS488" s="225"/>
      <c r="DT488" s="225"/>
      <c r="DU488" s="225"/>
      <c r="DV488" s="225"/>
      <c r="DW488" s="225"/>
      <c r="DX488" s="225"/>
      <c r="DY488" s="225"/>
      <c r="DZ488" s="225"/>
      <c r="EA488" s="225"/>
      <c r="EB488" s="225"/>
      <c r="EC488" s="225"/>
      <c r="ED488" s="225"/>
      <c r="EE488" s="225"/>
      <c r="EF488" s="225"/>
      <c r="EG488" s="225"/>
      <c r="EH488" s="225"/>
      <c r="EI488" s="225"/>
      <c r="EJ488" s="225"/>
      <c r="EK488" s="225"/>
      <c r="EL488" s="225"/>
      <c r="EM488" s="225"/>
      <c r="EN488" s="225"/>
      <c r="EO488" s="225"/>
      <c r="EP488" s="225"/>
      <c r="EQ488" s="225"/>
      <c r="ER488" s="225"/>
      <c r="ES488" s="225"/>
      <c r="ET488" s="225"/>
      <c r="EU488" s="225"/>
      <c r="EV488" s="225"/>
      <c r="EW488" s="225"/>
      <c r="EX488" s="225"/>
      <c r="EY488" s="225"/>
      <c r="EZ488" s="225"/>
      <c r="FA488" s="225"/>
      <c r="FB488" s="225"/>
      <c r="FC488" s="225"/>
      <c r="FD488" s="225"/>
      <c r="FE488" s="225"/>
      <c r="FF488" s="225"/>
      <c r="FG488" s="225"/>
      <c r="FH488" s="225"/>
      <c r="FI488" s="225"/>
      <c r="FJ488" s="225"/>
      <c r="FK488" s="225"/>
      <c r="FL488" s="225"/>
      <c r="FM488" s="225"/>
      <c r="FN488" s="225"/>
      <c r="FO488" s="225"/>
      <c r="FP488" s="225"/>
      <c r="FQ488" s="225"/>
      <c r="FR488" s="225"/>
      <c r="FS488" s="225"/>
      <c r="FT488" s="225"/>
      <c r="FU488" s="225"/>
      <c r="FV488" s="225"/>
      <c r="FW488" s="225"/>
      <c r="FX488" s="225"/>
      <c r="FY488" s="225"/>
      <c r="FZ488" s="225"/>
      <c r="GA488" s="225"/>
      <c r="GB488" s="225"/>
      <c r="GC488" s="225"/>
      <c r="GD488" s="225"/>
      <c r="GE488" s="225"/>
      <c r="GF488" s="225"/>
      <c r="GG488" s="225"/>
      <c r="GH488" s="225"/>
      <c r="GI488" s="225"/>
      <c r="GJ488" s="225"/>
    </row>
    <row r="489" spans="3:192" ht="12.75" customHeight="1">
      <c r="C489" s="223"/>
      <c r="D489" s="224"/>
      <c r="E489" s="224"/>
      <c r="F489" s="224"/>
      <c r="G489" s="224"/>
      <c r="H489" s="223"/>
      <c r="I489" s="224"/>
      <c r="J489" s="224"/>
      <c r="K489" s="224"/>
      <c r="L489" s="224"/>
      <c r="M489" s="223"/>
      <c r="N489" s="224"/>
      <c r="O489" s="224"/>
      <c r="P489" s="224"/>
      <c r="Q489" s="224"/>
      <c r="R489" s="223"/>
      <c r="S489" s="224"/>
      <c r="T489" s="224"/>
      <c r="U489" s="224"/>
      <c r="V489" s="224"/>
      <c r="W489" s="223"/>
      <c r="X489" s="224"/>
      <c r="Y489" s="224"/>
      <c r="Z489" s="224"/>
      <c r="AA489" s="224"/>
      <c r="AB489" s="223"/>
      <c r="AC489" s="224"/>
      <c r="AD489" s="224"/>
      <c r="AE489" s="224"/>
      <c r="AF489" s="224"/>
      <c r="AG489" s="223"/>
      <c r="AH489" s="224"/>
      <c r="AI489" s="224"/>
      <c r="AJ489" s="224"/>
      <c r="AK489" s="224"/>
      <c r="AL489" s="223"/>
      <c r="AM489" s="224"/>
      <c r="AN489" s="224"/>
      <c r="AO489" s="224"/>
      <c r="AP489" s="224"/>
      <c r="AQ489" s="223"/>
      <c r="AR489" s="224"/>
      <c r="AS489" s="224"/>
      <c r="AT489" s="224"/>
      <c r="AU489" s="224"/>
      <c r="AV489" s="223"/>
      <c r="AW489" s="224"/>
      <c r="AX489" s="224"/>
      <c r="AY489" s="224"/>
      <c r="AZ489" s="224"/>
      <c r="BA489" s="223"/>
      <c r="BB489" s="224"/>
      <c r="BC489" s="224"/>
      <c r="BD489" s="224"/>
      <c r="BE489" s="224"/>
      <c r="BF489" s="223"/>
      <c r="BG489" s="224"/>
      <c r="BH489" s="224"/>
      <c r="BI489" s="224"/>
      <c r="BJ489" s="224"/>
      <c r="BK489" s="223"/>
      <c r="BL489" s="224"/>
      <c r="BM489" s="224"/>
      <c r="BN489" s="224"/>
      <c r="BO489" s="224"/>
      <c r="BP489" s="223"/>
      <c r="BQ489" s="224"/>
      <c r="BR489" s="224"/>
      <c r="BS489" s="224"/>
      <c r="BT489" s="224"/>
      <c r="BU489" s="223"/>
      <c r="BV489" s="224"/>
      <c r="BW489" s="224"/>
      <c r="BX489" s="224"/>
      <c r="BY489" s="224"/>
      <c r="BZ489" s="223"/>
      <c r="CA489" s="224"/>
      <c r="CB489" s="224"/>
      <c r="CC489" s="224"/>
      <c r="CD489" s="224"/>
      <c r="CE489" s="223"/>
      <c r="CF489" s="224"/>
      <c r="CG489" s="224"/>
      <c r="CH489" s="224"/>
      <c r="CI489" s="224"/>
      <c r="CJ489" s="223"/>
      <c r="CK489" s="224"/>
      <c r="CL489" s="224"/>
      <c r="CM489" s="224"/>
      <c r="CN489" s="224"/>
      <c r="CO489" s="223"/>
      <c r="CP489" s="224"/>
      <c r="CQ489" s="224"/>
      <c r="CR489" s="224"/>
      <c r="CS489" s="224"/>
      <c r="CT489" s="223"/>
      <c r="CU489" s="224"/>
      <c r="CV489" s="224"/>
      <c r="CW489" s="224"/>
      <c r="CX489" s="224"/>
      <c r="CY489" s="223"/>
      <c r="CZ489" s="224"/>
      <c r="DA489" s="224"/>
      <c r="DB489" s="224"/>
      <c r="DC489" s="224"/>
      <c r="DD489" s="223"/>
      <c r="DE489" s="224"/>
      <c r="DF489" s="224"/>
      <c r="DG489" s="224"/>
      <c r="DH489" s="224"/>
      <c r="DI489" s="223"/>
      <c r="DJ489" s="224"/>
      <c r="DK489" s="224"/>
      <c r="DL489" s="224"/>
      <c r="DM489" s="224"/>
      <c r="DN489" s="223"/>
      <c r="DO489" s="224"/>
      <c r="DP489" s="224"/>
      <c r="DQ489" s="224"/>
      <c r="DR489" s="224"/>
      <c r="DS489" s="223"/>
      <c r="DT489" s="224"/>
      <c r="DU489" s="224"/>
      <c r="DV489" s="224"/>
      <c r="DW489" s="224"/>
      <c r="DX489" s="223"/>
      <c r="DY489" s="224"/>
      <c r="DZ489" s="224"/>
      <c r="EA489" s="224"/>
      <c r="EB489" s="224"/>
      <c r="EC489" s="223"/>
      <c r="ED489" s="224"/>
      <c r="EE489" s="224"/>
      <c r="EF489" s="224"/>
      <c r="EG489" s="224"/>
      <c r="EH489" s="223"/>
      <c r="EI489" s="224"/>
      <c r="EJ489" s="224"/>
      <c r="EK489" s="224"/>
      <c r="EL489" s="224"/>
      <c r="EM489" s="223"/>
      <c r="EN489" s="224"/>
      <c r="EO489" s="224"/>
      <c r="EP489" s="224"/>
      <c r="EQ489" s="224"/>
      <c r="ER489" s="223"/>
      <c r="ES489" s="224"/>
      <c r="ET489" s="224"/>
      <c r="EU489" s="224"/>
      <c r="EV489" s="224"/>
      <c r="EW489" s="223"/>
      <c r="EX489" s="224"/>
      <c r="EY489" s="224"/>
      <c r="EZ489" s="224"/>
      <c r="FA489" s="224"/>
      <c r="FB489" s="223"/>
      <c r="FC489" s="224"/>
      <c r="FD489" s="224"/>
      <c r="FE489" s="224"/>
      <c r="FF489" s="224"/>
      <c r="FG489" s="223"/>
      <c r="FH489" s="224"/>
      <c r="FI489" s="224"/>
      <c r="FJ489" s="224"/>
      <c r="FK489" s="224"/>
      <c r="FL489" s="223"/>
      <c r="FM489" s="224"/>
      <c r="FN489" s="224"/>
      <c r="FO489" s="224"/>
      <c r="FP489" s="224"/>
      <c r="FQ489" s="223"/>
      <c r="FR489" s="224"/>
      <c r="FS489" s="224"/>
      <c r="FT489" s="224"/>
      <c r="FU489" s="224"/>
      <c r="FV489" s="223"/>
      <c r="FW489" s="224"/>
      <c r="FX489" s="224"/>
      <c r="FY489" s="224"/>
      <c r="FZ489" s="224"/>
      <c r="GA489" s="223"/>
      <c r="GB489" s="224"/>
      <c r="GC489" s="224"/>
      <c r="GD489" s="224"/>
      <c r="GE489" s="224"/>
      <c r="GF489" s="223"/>
      <c r="GG489" s="224"/>
      <c r="GH489" s="224"/>
      <c r="GI489" s="224"/>
      <c r="GJ489" s="224"/>
    </row>
    <row r="490" spans="3:192" ht="12.75" customHeight="1">
      <c r="C490" s="223"/>
      <c r="D490" s="224"/>
      <c r="E490" s="224"/>
      <c r="F490" s="224"/>
      <c r="G490" s="224"/>
      <c r="H490" s="223"/>
      <c r="I490" s="224"/>
      <c r="J490" s="224"/>
      <c r="K490" s="224"/>
      <c r="L490" s="224"/>
      <c r="M490" s="223"/>
      <c r="N490" s="224"/>
      <c r="O490" s="224"/>
      <c r="P490" s="224"/>
      <c r="Q490" s="224"/>
      <c r="R490" s="223"/>
      <c r="S490" s="224"/>
      <c r="T490" s="224"/>
      <c r="U490" s="224"/>
      <c r="V490" s="224"/>
      <c r="W490" s="223"/>
      <c r="X490" s="224"/>
      <c r="Y490" s="224"/>
      <c r="Z490" s="224"/>
      <c r="AA490" s="224"/>
      <c r="AB490" s="223"/>
      <c r="AC490" s="224"/>
      <c r="AD490" s="224"/>
      <c r="AE490" s="224"/>
      <c r="AF490" s="224"/>
      <c r="AG490" s="223"/>
      <c r="AH490" s="224"/>
      <c r="AI490" s="224"/>
      <c r="AJ490" s="224"/>
      <c r="AK490" s="224"/>
      <c r="AL490" s="223"/>
      <c r="AM490" s="224"/>
      <c r="AN490" s="224"/>
      <c r="AO490" s="224"/>
      <c r="AP490" s="224"/>
      <c r="AQ490" s="223"/>
      <c r="AR490" s="224"/>
      <c r="AS490" s="224"/>
      <c r="AT490" s="224"/>
      <c r="AU490" s="224"/>
      <c r="AV490" s="223"/>
      <c r="AW490" s="224"/>
      <c r="AX490" s="224"/>
      <c r="AY490" s="224"/>
      <c r="AZ490" s="224"/>
      <c r="BA490" s="223"/>
      <c r="BB490" s="224"/>
      <c r="BC490" s="224"/>
      <c r="BD490" s="224"/>
      <c r="BE490" s="224"/>
      <c r="BF490" s="223"/>
      <c r="BG490" s="224"/>
      <c r="BH490" s="224"/>
      <c r="BI490" s="224"/>
      <c r="BJ490" s="224"/>
      <c r="BK490" s="223"/>
      <c r="BL490" s="224"/>
      <c r="BM490" s="224"/>
      <c r="BN490" s="224"/>
      <c r="BO490" s="224"/>
      <c r="BP490" s="223"/>
      <c r="BQ490" s="224"/>
      <c r="BR490" s="224"/>
      <c r="BS490" s="224"/>
      <c r="BT490" s="224"/>
      <c r="BU490" s="223"/>
      <c r="BV490" s="224"/>
      <c r="BW490" s="224"/>
      <c r="BX490" s="224"/>
      <c r="BY490" s="224"/>
      <c r="BZ490" s="223"/>
      <c r="CA490" s="224"/>
      <c r="CB490" s="224"/>
      <c r="CC490" s="224"/>
      <c r="CD490" s="224"/>
      <c r="CE490" s="223"/>
      <c r="CF490" s="224"/>
      <c r="CG490" s="224"/>
      <c r="CH490" s="224"/>
      <c r="CI490" s="224"/>
      <c r="CJ490" s="223"/>
      <c r="CK490" s="224"/>
      <c r="CL490" s="224"/>
      <c r="CM490" s="224"/>
      <c r="CN490" s="224"/>
      <c r="CO490" s="223"/>
      <c r="CP490" s="224"/>
      <c r="CQ490" s="224"/>
      <c r="CR490" s="224"/>
      <c r="CS490" s="224"/>
      <c r="CT490" s="223"/>
      <c r="CU490" s="224"/>
      <c r="CV490" s="224"/>
      <c r="CW490" s="224"/>
      <c r="CX490" s="224"/>
      <c r="CY490" s="223"/>
      <c r="CZ490" s="224"/>
      <c r="DA490" s="224"/>
      <c r="DB490" s="224"/>
      <c r="DC490" s="224"/>
      <c r="DD490" s="223"/>
      <c r="DE490" s="224"/>
      <c r="DF490" s="224"/>
      <c r="DG490" s="224"/>
      <c r="DH490" s="224"/>
      <c r="DI490" s="223"/>
      <c r="DJ490" s="224"/>
      <c r="DK490" s="224"/>
      <c r="DL490" s="224"/>
      <c r="DM490" s="224"/>
      <c r="DN490" s="223"/>
      <c r="DO490" s="224"/>
      <c r="DP490" s="224"/>
      <c r="DQ490" s="224"/>
      <c r="DR490" s="224"/>
      <c r="DS490" s="223"/>
      <c r="DT490" s="224"/>
      <c r="DU490" s="224"/>
      <c r="DV490" s="224"/>
      <c r="DW490" s="224"/>
      <c r="DX490" s="223"/>
      <c r="DY490" s="224"/>
      <c r="DZ490" s="224"/>
      <c r="EA490" s="224"/>
      <c r="EB490" s="224"/>
      <c r="EC490" s="223"/>
      <c r="ED490" s="224"/>
      <c r="EE490" s="224"/>
      <c r="EF490" s="224"/>
      <c r="EG490" s="224"/>
      <c r="EH490" s="223"/>
      <c r="EI490" s="224"/>
      <c r="EJ490" s="224"/>
      <c r="EK490" s="224"/>
      <c r="EL490" s="224"/>
      <c r="EM490" s="223"/>
      <c r="EN490" s="224"/>
      <c r="EO490" s="224"/>
      <c r="EP490" s="224"/>
      <c r="EQ490" s="224"/>
      <c r="ER490" s="223"/>
      <c r="ES490" s="224"/>
      <c r="ET490" s="224"/>
      <c r="EU490" s="224"/>
      <c r="EV490" s="224"/>
      <c r="EW490" s="223"/>
      <c r="EX490" s="224"/>
      <c r="EY490" s="224"/>
      <c r="EZ490" s="224"/>
      <c r="FA490" s="224"/>
      <c r="FB490" s="223"/>
      <c r="FC490" s="224"/>
      <c r="FD490" s="224"/>
      <c r="FE490" s="224"/>
      <c r="FF490" s="224"/>
      <c r="FG490" s="223"/>
      <c r="FH490" s="224"/>
      <c r="FI490" s="224"/>
      <c r="FJ490" s="224"/>
      <c r="FK490" s="224"/>
      <c r="FL490" s="223"/>
      <c r="FM490" s="224"/>
      <c r="FN490" s="224"/>
      <c r="FO490" s="224"/>
      <c r="FP490" s="224"/>
      <c r="FQ490" s="223"/>
      <c r="FR490" s="224"/>
      <c r="FS490" s="224"/>
      <c r="FT490" s="224"/>
      <c r="FU490" s="224"/>
      <c r="FV490" s="223"/>
      <c r="FW490" s="224"/>
      <c r="FX490" s="224"/>
      <c r="FY490" s="224"/>
      <c r="FZ490" s="224"/>
      <c r="GA490" s="223"/>
      <c r="GB490" s="224"/>
      <c r="GC490" s="224"/>
      <c r="GD490" s="224"/>
      <c r="GE490" s="224"/>
      <c r="GF490" s="223"/>
      <c r="GG490" s="224"/>
      <c r="GH490" s="224"/>
      <c r="GI490" s="224"/>
      <c r="GJ490" s="224"/>
    </row>
    <row r="491" spans="3:192" ht="12.75" customHeight="1">
      <c r="C491" s="223"/>
      <c r="D491" s="224"/>
      <c r="E491" s="224"/>
      <c r="F491" s="224"/>
      <c r="G491" s="224"/>
      <c r="H491" s="223"/>
      <c r="I491" s="224"/>
      <c r="J491" s="224"/>
      <c r="K491" s="224"/>
      <c r="L491" s="224"/>
      <c r="M491" s="223"/>
      <c r="N491" s="224"/>
      <c r="O491" s="224"/>
      <c r="P491" s="224"/>
      <c r="Q491" s="224"/>
      <c r="R491" s="223"/>
      <c r="S491" s="224"/>
      <c r="T491" s="224"/>
      <c r="U491" s="224"/>
      <c r="V491" s="224"/>
      <c r="W491" s="223"/>
      <c r="X491" s="224"/>
      <c r="Y491" s="224"/>
      <c r="Z491" s="224"/>
      <c r="AA491" s="224"/>
      <c r="AB491" s="223"/>
      <c r="AC491" s="224"/>
      <c r="AD491" s="224"/>
      <c r="AE491" s="224"/>
      <c r="AF491" s="224"/>
      <c r="AG491" s="223"/>
      <c r="AH491" s="224"/>
      <c r="AI491" s="224"/>
      <c r="AJ491" s="224"/>
      <c r="AK491" s="224"/>
      <c r="AL491" s="223"/>
      <c r="AM491" s="224"/>
      <c r="AN491" s="224"/>
      <c r="AO491" s="224"/>
      <c r="AP491" s="224"/>
      <c r="AQ491" s="223"/>
      <c r="AR491" s="224"/>
      <c r="AS491" s="224"/>
      <c r="AT491" s="224"/>
      <c r="AU491" s="224"/>
      <c r="AV491" s="223"/>
      <c r="AW491" s="224"/>
      <c r="AX491" s="224"/>
      <c r="AY491" s="224"/>
      <c r="AZ491" s="224"/>
      <c r="BA491" s="223"/>
      <c r="BB491" s="224"/>
      <c r="BC491" s="224"/>
      <c r="BD491" s="224"/>
      <c r="BE491" s="224"/>
      <c r="BF491" s="223"/>
      <c r="BG491" s="224"/>
      <c r="BH491" s="224"/>
      <c r="BI491" s="224"/>
      <c r="BJ491" s="224"/>
      <c r="BK491" s="223"/>
      <c r="BL491" s="224"/>
      <c r="BM491" s="224"/>
      <c r="BN491" s="224"/>
      <c r="BO491" s="224"/>
      <c r="BP491" s="223"/>
      <c r="BQ491" s="224"/>
      <c r="BR491" s="224"/>
      <c r="BS491" s="224"/>
      <c r="BT491" s="224"/>
      <c r="BU491" s="223"/>
      <c r="BV491" s="224"/>
      <c r="BW491" s="224"/>
      <c r="BX491" s="224"/>
      <c r="BY491" s="224"/>
      <c r="BZ491" s="223"/>
      <c r="CA491" s="224"/>
      <c r="CB491" s="224"/>
      <c r="CC491" s="224"/>
      <c r="CD491" s="224"/>
      <c r="CE491" s="223"/>
      <c r="CF491" s="224"/>
      <c r="CG491" s="224"/>
      <c r="CH491" s="224"/>
      <c r="CI491" s="224"/>
      <c r="CJ491" s="223"/>
      <c r="CK491" s="224"/>
      <c r="CL491" s="224"/>
      <c r="CM491" s="224"/>
      <c r="CN491" s="224"/>
      <c r="CO491" s="223"/>
      <c r="CP491" s="224"/>
      <c r="CQ491" s="224"/>
      <c r="CR491" s="224"/>
      <c r="CS491" s="224"/>
      <c r="CT491" s="223"/>
      <c r="CU491" s="224"/>
      <c r="CV491" s="224"/>
      <c r="CW491" s="224"/>
      <c r="CX491" s="224"/>
      <c r="CY491" s="223"/>
      <c r="CZ491" s="224"/>
      <c r="DA491" s="224"/>
      <c r="DB491" s="224"/>
      <c r="DC491" s="224"/>
      <c r="DD491" s="223"/>
      <c r="DE491" s="224"/>
      <c r="DF491" s="224"/>
      <c r="DG491" s="224"/>
      <c r="DH491" s="224"/>
      <c r="DI491" s="223"/>
      <c r="DJ491" s="224"/>
      <c r="DK491" s="224"/>
      <c r="DL491" s="224"/>
      <c r="DM491" s="224"/>
      <c r="DN491" s="223"/>
      <c r="DO491" s="224"/>
      <c r="DP491" s="224"/>
      <c r="DQ491" s="224"/>
      <c r="DR491" s="224"/>
      <c r="DS491" s="223"/>
      <c r="DT491" s="224"/>
      <c r="DU491" s="224"/>
      <c r="DV491" s="224"/>
      <c r="DW491" s="224"/>
      <c r="DX491" s="223"/>
      <c r="DY491" s="224"/>
      <c r="DZ491" s="224"/>
      <c r="EA491" s="224"/>
      <c r="EB491" s="224"/>
      <c r="EC491" s="223"/>
      <c r="ED491" s="224"/>
      <c r="EE491" s="224"/>
      <c r="EF491" s="224"/>
      <c r="EG491" s="224"/>
      <c r="EH491" s="223"/>
      <c r="EI491" s="224"/>
      <c r="EJ491" s="224"/>
      <c r="EK491" s="224"/>
      <c r="EL491" s="224"/>
      <c r="EM491" s="223"/>
      <c r="EN491" s="224"/>
      <c r="EO491" s="224"/>
      <c r="EP491" s="224"/>
      <c r="EQ491" s="224"/>
      <c r="ER491" s="223"/>
      <c r="ES491" s="224"/>
      <c r="ET491" s="224"/>
      <c r="EU491" s="224"/>
      <c r="EV491" s="224"/>
      <c r="EW491" s="223"/>
      <c r="EX491" s="224"/>
      <c r="EY491" s="224"/>
      <c r="EZ491" s="224"/>
      <c r="FA491" s="224"/>
      <c r="FB491" s="223"/>
      <c r="FC491" s="224"/>
      <c r="FD491" s="224"/>
      <c r="FE491" s="224"/>
      <c r="FF491" s="224"/>
      <c r="FG491" s="223"/>
      <c r="FH491" s="224"/>
      <c r="FI491" s="224"/>
      <c r="FJ491" s="224"/>
      <c r="FK491" s="224"/>
      <c r="FL491" s="223"/>
      <c r="FM491" s="224"/>
      <c r="FN491" s="224"/>
      <c r="FO491" s="224"/>
      <c r="FP491" s="224"/>
      <c r="FQ491" s="223"/>
      <c r="FR491" s="224"/>
      <c r="FS491" s="224"/>
      <c r="FT491" s="224"/>
      <c r="FU491" s="224"/>
      <c r="FV491" s="223"/>
      <c r="FW491" s="224"/>
      <c r="FX491" s="224"/>
      <c r="FY491" s="224"/>
      <c r="FZ491" s="224"/>
      <c r="GA491" s="223"/>
      <c r="GB491" s="224"/>
      <c r="GC491" s="224"/>
      <c r="GD491" s="224"/>
      <c r="GE491" s="224"/>
      <c r="GF491" s="223"/>
      <c r="GG491" s="224"/>
      <c r="GH491" s="224"/>
      <c r="GI491" s="224"/>
      <c r="GJ491" s="224"/>
    </row>
    <row r="492" spans="3:192" ht="12.75" customHeight="1">
      <c r="C492" s="169"/>
      <c r="D492" s="169"/>
      <c r="E492" s="169"/>
      <c r="F492" s="169"/>
      <c r="G492" s="169"/>
      <c r="H492" s="169"/>
      <c r="I492" s="169"/>
      <c r="J492" s="169"/>
      <c r="K492" s="169"/>
      <c r="L492" s="169"/>
      <c r="M492" s="169"/>
      <c r="N492" s="169"/>
      <c r="O492" s="169"/>
      <c r="P492" s="169"/>
      <c r="Q492" s="169"/>
      <c r="R492" s="169"/>
      <c r="S492" s="169"/>
      <c r="T492" s="169"/>
      <c r="U492" s="169"/>
      <c r="V492" s="169"/>
      <c r="W492" s="169"/>
      <c r="X492" s="169"/>
      <c r="Y492" s="169"/>
      <c r="Z492" s="169"/>
      <c r="AA492" s="169"/>
      <c r="AB492" s="169"/>
      <c r="AC492" s="169"/>
      <c r="AD492" s="169"/>
      <c r="AE492" s="169"/>
      <c r="AF492" s="169"/>
      <c r="AG492" s="169"/>
      <c r="AH492" s="169"/>
      <c r="AI492" s="169"/>
      <c r="AJ492" s="169"/>
      <c r="AK492" s="169"/>
      <c r="AL492" s="169"/>
      <c r="AM492" s="169"/>
      <c r="AN492" s="169"/>
      <c r="AO492" s="169"/>
      <c r="AP492" s="169"/>
      <c r="AQ492" s="169"/>
      <c r="AR492" s="169"/>
      <c r="AS492" s="169"/>
      <c r="AT492" s="169"/>
      <c r="AU492" s="169"/>
      <c r="AV492" s="169"/>
      <c r="AW492" s="169"/>
      <c r="AX492" s="169"/>
      <c r="AY492" s="169"/>
      <c r="AZ492" s="169"/>
      <c r="BA492" s="169"/>
      <c r="BB492" s="169"/>
      <c r="BC492" s="169"/>
      <c r="BD492" s="169"/>
      <c r="BE492" s="169"/>
      <c r="BF492" s="169"/>
      <c r="BG492" s="169"/>
      <c r="BH492" s="169"/>
      <c r="BI492" s="169"/>
      <c r="BJ492" s="169"/>
      <c r="BK492" s="169"/>
      <c r="BL492" s="169"/>
      <c r="BM492" s="169"/>
      <c r="BN492" s="169"/>
      <c r="BO492" s="169"/>
      <c r="BP492" s="169"/>
      <c r="BQ492" s="169"/>
      <c r="BR492" s="169"/>
      <c r="BS492" s="169"/>
      <c r="BT492" s="169"/>
      <c r="BU492" s="169"/>
      <c r="BV492" s="169"/>
      <c r="BW492" s="169"/>
      <c r="BX492" s="169"/>
      <c r="BY492" s="169"/>
      <c r="BZ492" s="169"/>
      <c r="CA492" s="169"/>
      <c r="CB492" s="169"/>
      <c r="CC492" s="169"/>
      <c r="CD492" s="169"/>
      <c r="CE492" s="169"/>
      <c r="CF492" s="169"/>
      <c r="CG492" s="169"/>
      <c r="CH492" s="169"/>
      <c r="CI492" s="169"/>
      <c r="CJ492" s="169"/>
      <c r="CK492" s="169"/>
      <c r="CL492" s="169"/>
      <c r="CM492" s="169"/>
      <c r="CN492" s="169"/>
      <c r="CO492" s="169"/>
      <c r="CP492" s="169"/>
      <c r="CQ492" s="169"/>
      <c r="CR492" s="169"/>
      <c r="CS492" s="169"/>
      <c r="CT492" s="169"/>
      <c r="CU492" s="169"/>
      <c r="CV492" s="169"/>
      <c r="CW492" s="169"/>
      <c r="CX492" s="169"/>
      <c r="CY492" s="169"/>
      <c r="CZ492" s="169"/>
      <c r="DA492" s="169"/>
      <c r="DB492" s="169"/>
      <c r="DC492" s="169"/>
      <c r="DD492" s="169"/>
      <c r="DE492" s="169"/>
      <c r="DF492" s="169"/>
      <c r="DG492" s="169"/>
      <c r="DH492" s="169"/>
      <c r="DI492" s="169"/>
      <c r="DJ492" s="169"/>
      <c r="DK492" s="169"/>
      <c r="DL492" s="169"/>
      <c r="DM492" s="169"/>
      <c r="DN492" s="169"/>
      <c r="DO492" s="169"/>
      <c r="DP492" s="169"/>
      <c r="DQ492" s="169"/>
      <c r="DR492" s="169"/>
      <c r="DS492" s="169"/>
      <c r="DT492" s="169"/>
      <c r="DU492" s="169"/>
      <c r="DV492" s="169"/>
      <c r="DW492" s="169"/>
      <c r="DX492" s="169"/>
      <c r="DY492" s="169"/>
      <c r="DZ492" s="169"/>
      <c r="EA492" s="169"/>
      <c r="EB492" s="169"/>
      <c r="EC492" s="169"/>
      <c r="ED492" s="169"/>
      <c r="EE492" s="169"/>
      <c r="EF492" s="169"/>
      <c r="EG492" s="169"/>
      <c r="EH492" s="169"/>
      <c r="EI492" s="169"/>
      <c r="EJ492" s="169"/>
      <c r="EK492" s="169"/>
      <c r="EL492" s="169"/>
      <c r="EM492" s="169"/>
      <c r="EN492" s="169"/>
      <c r="EO492" s="169"/>
      <c r="EP492" s="169"/>
      <c r="EQ492" s="169"/>
      <c r="ER492" s="169"/>
      <c r="ES492" s="169"/>
      <c r="ET492" s="169"/>
      <c r="EU492" s="169"/>
      <c r="EV492" s="169"/>
      <c r="EW492" s="169"/>
      <c r="EX492" s="169"/>
      <c r="EY492" s="169"/>
      <c r="EZ492" s="169"/>
      <c r="FA492" s="169"/>
      <c r="FB492" s="169"/>
      <c r="FC492" s="169"/>
      <c r="FD492" s="169"/>
      <c r="FE492" s="169"/>
      <c r="FF492" s="169"/>
      <c r="FG492" s="169"/>
      <c r="FH492" s="169"/>
      <c r="FI492" s="169"/>
      <c r="FJ492" s="169"/>
      <c r="FK492" s="169"/>
      <c r="FL492" s="169"/>
      <c r="FM492" s="169"/>
      <c r="FN492" s="169"/>
      <c r="FO492" s="169"/>
      <c r="FP492" s="169"/>
      <c r="FQ492" s="169"/>
      <c r="FR492" s="169"/>
      <c r="FS492" s="169"/>
      <c r="FT492" s="169"/>
      <c r="FU492" s="169"/>
      <c r="FV492" s="169"/>
      <c r="FW492" s="169"/>
      <c r="FX492" s="169"/>
      <c r="FY492" s="169"/>
      <c r="FZ492" s="169"/>
      <c r="GA492" s="169"/>
      <c r="GB492" s="169"/>
      <c r="GC492" s="169"/>
      <c r="GD492" s="169"/>
      <c r="GE492" s="169"/>
      <c r="GF492" s="169"/>
      <c r="GG492" s="169"/>
      <c r="GH492" s="169"/>
      <c r="GI492" s="169"/>
      <c r="GJ492" s="169"/>
    </row>
    <row r="493" spans="3:192" ht="12.75" customHeight="1">
      <c r="C493" s="228"/>
      <c r="D493" s="228"/>
      <c r="E493" s="228"/>
      <c r="F493" s="228"/>
      <c r="G493" s="228"/>
      <c r="H493" s="228"/>
      <c r="I493" s="228"/>
      <c r="J493" s="228"/>
      <c r="K493" s="228"/>
      <c r="L493" s="228"/>
      <c r="M493" s="228"/>
      <c r="N493" s="228"/>
      <c r="O493" s="228"/>
      <c r="P493" s="228"/>
      <c r="Q493" s="228"/>
      <c r="R493" s="228"/>
      <c r="S493" s="228"/>
      <c r="T493" s="228"/>
      <c r="U493" s="228"/>
      <c r="V493" s="228"/>
      <c r="W493" s="228"/>
      <c r="X493" s="228"/>
      <c r="Y493" s="228"/>
      <c r="Z493" s="228"/>
      <c r="AA493" s="228"/>
      <c r="AB493" s="228"/>
      <c r="AC493" s="228"/>
      <c r="AD493" s="228"/>
      <c r="AE493" s="228"/>
      <c r="AF493" s="228"/>
      <c r="AG493" s="228"/>
      <c r="AH493" s="228"/>
      <c r="AI493" s="228"/>
      <c r="AJ493" s="228"/>
      <c r="AK493" s="228"/>
      <c r="AL493" s="228"/>
      <c r="AM493" s="228"/>
      <c r="AN493" s="228"/>
      <c r="AO493" s="228"/>
      <c r="AP493" s="228"/>
      <c r="AQ493" s="228"/>
      <c r="AR493" s="228"/>
      <c r="AS493" s="228"/>
      <c r="AT493" s="228"/>
      <c r="AU493" s="228"/>
      <c r="AV493" s="228"/>
      <c r="AW493" s="228"/>
      <c r="AX493" s="228"/>
      <c r="AY493" s="228"/>
      <c r="AZ493" s="228"/>
      <c r="BA493" s="228"/>
      <c r="BB493" s="228"/>
      <c r="BC493" s="228"/>
      <c r="BD493" s="228"/>
      <c r="BE493" s="228"/>
      <c r="BF493" s="228"/>
      <c r="BG493" s="228"/>
      <c r="BH493" s="228"/>
      <c r="BI493" s="228"/>
      <c r="BJ493" s="228"/>
      <c r="BK493" s="228"/>
      <c r="BL493" s="228"/>
      <c r="BM493" s="228"/>
      <c r="BN493" s="228"/>
      <c r="BO493" s="228"/>
      <c r="BP493" s="228"/>
      <c r="BQ493" s="228"/>
      <c r="BR493" s="228"/>
      <c r="BS493" s="228"/>
      <c r="BT493" s="228"/>
      <c r="BU493" s="228"/>
      <c r="BV493" s="228"/>
      <c r="BW493" s="228"/>
      <c r="BX493" s="228"/>
      <c r="BY493" s="228"/>
      <c r="BZ493" s="228"/>
      <c r="CA493" s="228"/>
      <c r="CB493" s="228"/>
      <c r="CC493" s="228"/>
      <c r="CD493" s="228"/>
      <c r="CE493" s="228"/>
      <c r="CF493" s="228"/>
      <c r="CG493" s="228"/>
      <c r="CH493" s="228"/>
      <c r="CI493" s="228"/>
      <c r="CJ493" s="228"/>
      <c r="CK493" s="228"/>
      <c r="CL493" s="228"/>
      <c r="CM493" s="228"/>
      <c r="CN493" s="228"/>
      <c r="CO493" s="228"/>
      <c r="CP493" s="228"/>
      <c r="CQ493" s="228"/>
      <c r="CR493" s="228"/>
      <c r="CS493" s="228"/>
      <c r="CT493" s="228"/>
      <c r="CU493" s="228"/>
      <c r="CV493" s="228"/>
      <c r="CW493" s="228"/>
      <c r="CX493" s="228"/>
      <c r="CY493" s="228"/>
      <c r="CZ493" s="228"/>
      <c r="DA493" s="228"/>
      <c r="DB493" s="228"/>
      <c r="DC493" s="228"/>
      <c r="DD493" s="228"/>
      <c r="DE493" s="228"/>
      <c r="DF493" s="228"/>
      <c r="DG493" s="228"/>
      <c r="DH493" s="228"/>
      <c r="DI493" s="228"/>
      <c r="DJ493" s="228"/>
      <c r="DK493" s="228"/>
      <c r="DL493" s="228"/>
      <c r="DM493" s="228"/>
      <c r="DN493" s="228"/>
      <c r="DO493" s="228"/>
      <c r="DP493" s="228"/>
      <c r="DQ493" s="228"/>
      <c r="DR493" s="228"/>
      <c r="DS493" s="228"/>
      <c r="DT493" s="228"/>
      <c r="DU493" s="228"/>
      <c r="DV493" s="228"/>
      <c r="DW493" s="228"/>
      <c r="DX493" s="228"/>
      <c r="DY493" s="228"/>
      <c r="DZ493" s="228"/>
      <c r="EA493" s="228"/>
      <c r="EB493" s="228"/>
      <c r="EC493" s="228"/>
      <c r="ED493" s="228"/>
      <c r="EE493" s="228"/>
      <c r="EF493" s="228"/>
      <c r="EG493" s="228"/>
      <c r="EH493" s="228"/>
      <c r="EI493" s="228"/>
      <c r="EJ493" s="228"/>
      <c r="EK493" s="228"/>
      <c r="EL493" s="228"/>
      <c r="EM493" s="228"/>
      <c r="EN493" s="228"/>
      <c r="EO493" s="228"/>
      <c r="EP493" s="228"/>
      <c r="EQ493" s="228"/>
      <c r="ER493" s="228"/>
      <c r="ES493" s="228"/>
      <c r="ET493" s="228"/>
      <c r="EU493" s="228"/>
      <c r="EV493" s="228"/>
      <c r="EW493" s="228"/>
      <c r="EX493" s="228"/>
      <c r="EY493" s="228"/>
      <c r="EZ493" s="228"/>
      <c r="FA493" s="228"/>
      <c r="FB493" s="228"/>
      <c r="FC493" s="228"/>
      <c r="FD493" s="228"/>
      <c r="FE493" s="228"/>
      <c r="FF493" s="228"/>
      <c r="FG493" s="228"/>
      <c r="FH493" s="228"/>
      <c r="FI493" s="228"/>
      <c r="FJ493" s="228"/>
      <c r="FK493" s="228"/>
      <c r="FL493" s="228"/>
      <c r="FM493" s="228"/>
      <c r="FN493" s="228"/>
      <c r="FO493" s="228"/>
      <c r="FP493" s="228"/>
      <c r="FQ493" s="228"/>
      <c r="FR493" s="228"/>
      <c r="FS493" s="228"/>
      <c r="FT493" s="228"/>
      <c r="FU493" s="228"/>
      <c r="FV493" s="228"/>
      <c r="FW493" s="228"/>
      <c r="FX493" s="228"/>
      <c r="FY493" s="228"/>
      <c r="FZ493" s="228"/>
      <c r="GA493" s="228"/>
      <c r="GB493" s="228"/>
      <c r="GC493" s="228"/>
      <c r="GD493" s="228"/>
      <c r="GE493" s="228"/>
      <c r="GF493" s="228"/>
      <c r="GG493" s="228"/>
      <c r="GH493" s="228"/>
      <c r="GI493" s="228"/>
      <c r="GJ493" s="228"/>
    </row>
    <row r="494" spans="3:192" ht="12.75" customHeight="1">
      <c r="C494" s="169"/>
      <c r="D494" s="169"/>
      <c r="E494" s="169"/>
      <c r="F494" s="169"/>
      <c r="G494" s="169"/>
      <c r="H494" s="169"/>
      <c r="I494" s="169"/>
      <c r="J494" s="169"/>
      <c r="K494" s="169"/>
      <c r="L494" s="169"/>
      <c r="M494" s="169"/>
      <c r="N494" s="169"/>
      <c r="O494" s="169"/>
      <c r="P494" s="169"/>
      <c r="Q494" s="169"/>
      <c r="R494" s="169"/>
      <c r="S494" s="169"/>
      <c r="T494" s="169"/>
      <c r="U494" s="169"/>
      <c r="V494" s="169"/>
      <c r="W494" s="169"/>
      <c r="X494" s="169"/>
      <c r="Y494" s="169"/>
      <c r="Z494" s="169"/>
      <c r="AA494" s="169"/>
      <c r="AB494" s="169"/>
      <c r="AC494" s="169"/>
      <c r="AD494" s="169"/>
      <c r="AE494" s="169"/>
      <c r="AF494" s="169"/>
      <c r="AG494" s="169"/>
      <c r="AH494" s="169"/>
      <c r="AI494" s="169"/>
      <c r="AJ494" s="169"/>
      <c r="AK494" s="169"/>
      <c r="AL494" s="169"/>
      <c r="AM494" s="169"/>
      <c r="AN494" s="169"/>
      <c r="AO494" s="169"/>
      <c r="AP494" s="169"/>
      <c r="AQ494" s="169"/>
      <c r="AR494" s="169"/>
      <c r="AS494" s="169"/>
      <c r="AT494" s="169"/>
      <c r="AU494" s="169"/>
      <c r="AV494" s="169"/>
      <c r="AW494" s="169"/>
      <c r="AX494" s="169"/>
      <c r="AY494" s="169"/>
      <c r="AZ494" s="169"/>
      <c r="BA494" s="169"/>
      <c r="BB494" s="169"/>
      <c r="BC494" s="169"/>
      <c r="BD494" s="169"/>
      <c r="BE494" s="169"/>
      <c r="BF494" s="169"/>
      <c r="BG494" s="169"/>
      <c r="BH494" s="169"/>
      <c r="BI494" s="169"/>
      <c r="BJ494" s="169"/>
      <c r="BK494" s="169"/>
      <c r="BL494" s="169"/>
      <c r="BM494" s="169"/>
      <c r="BN494" s="169"/>
      <c r="BO494" s="169"/>
      <c r="BP494" s="169"/>
      <c r="BQ494" s="169"/>
      <c r="BR494" s="169"/>
      <c r="BS494" s="169"/>
      <c r="BT494" s="169"/>
      <c r="BU494" s="169"/>
      <c r="BV494" s="169"/>
      <c r="BW494" s="169"/>
      <c r="BX494" s="169"/>
      <c r="BY494" s="169"/>
      <c r="BZ494" s="169"/>
      <c r="CA494" s="169"/>
      <c r="CB494" s="169"/>
      <c r="CC494" s="169"/>
      <c r="CD494" s="169"/>
      <c r="CE494" s="169"/>
      <c r="CF494" s="169"/>
      <c r="CG494" s="169"/>
      <c r="CH494" s="169"/>
      <c r="CI494" s="169"/>
      <c r="CJ494" s="169"/>
      <c r="CK494" s="169"/>
      <c r="CL494" s="169"/>
      <c r="CM494" s="169"/>
      <c r="CN494" s="169"/>
      <c r="CO494" s="169"/>
      <c r="CP494" s="169"/>
      <c r="CQ494" s="169"/>
      <c r="CR494" s="169"/>
      <c r="CS494" s="169"/>
      <c r="CT494" s="169"/>
      <c r="CU494" s="169"/>
      <c r="CV494" s="169"/>
      <c r="CW494" s="169"/>
      <c r="CX494" s="169"/>
      <c r="CY494" s="169"/>
      <c r="CZ494" s="169"/>
      <c r="DA494" s="169"/>
      <c r="DB494" s="169"/>
      <c r="DC494" s="169"/>
      <c r="DD494" s="169"/>
      <c r="DE494" s="169"/>
      <c r="DF494" s="169"/>
      <c r="DG494" s="169"/>
      <c r="DH494" s="169"/>
      <c r="DI494" s="169"/>
      <c r="DJ494" s="169"/>
      <c r="DK494" s="169"/>
      <c r="DL494" s="169"/>
      <c r="DM494" s="169"/>
      <c r="DN494" s="169"/>
      <c r="DO494" s="169"/>
      <c r="DP494" s="169"/>
      <c r="DQ494" s="169"/>
      <c r="DR494" s="169"/>
      <c r="DS494" s="169"/>
      <c r="DT494" s="169"/>
      <c r="DU494" s="169"/>
      <c r="DV494" s="169"/>
      <c r="DW494" s="169"/>
      <c r="DX494" s="169"/>
      <c r="DY494" s="169"/>
      <c r="DZ494" s="169"/>
      <c r="EA494" s="169"/>
      <c r="EB494" s="169"/>
      <c r="EC494" s="169"/>
      <c r="ED494" s="169"/>
      <c r="EE494" s="169"/>
      <c r="EF494" s="169"/>
      <c r="EG494" s="169"/>
      <c r="EH494" s="169"/>
      <c r="EI494" s="169"/>
      <c r="EJ494" s="169"/>
      <c r="EK494" s="169"/>
      <c r="EL494" s="169"/>
      <c r="EM494" s="169"/>
      <c r="EN494" s="169"/>
      <c r="EO494" s="169"/>
      <c r="EP494" s="169"/>
      <c r="EQ494" s="169"/>
      <c r="ER494" s="169"/>
      <c r="ES494" s="169"/>
      <c r="ET494" s="169"/>
      <c r="EU494" s="169"/>
      <c r="EV494" s="169"/>
      <c r="EW494" s="169"/>
      <c r="EX494" s="169"/>
      <c r="EY494" s="169"/>
      <c r="EZ494" s="169"/>
      <c r="FA494" s="169"/>
      <c r="FB494" s="169"/>
      <c r="FC494" s="169"/>
      <c r="FD494" s="169"/>
      <c r="FE494" s="169"/>
      <c r="FF494" s="169"/>
      <c r="FG494" s="169"/>
      <c r="FH494" s="169"/>
      <c r="FI494" s="169"/>
      <c r="FJ494" s="169"/>
      <c r="FK494" s="169"/>
      <c r="FL494" s="169"/>
      <c r="FM494" s="169"/>
      <c r="FN494" s="169"/>
      <c r="FO494" s="169"/>
      <c r="FP494" s="169"/>
      <c r="FQ494" s="169"/>
      <c r="FR494" s="169"/>
      <c r="FS494" s="169"/>
      <c r="FT494" s="169"/>
      <c r="FU494" s="169"/>
      <c r="FV494" s="169"/>
      <c r="FW494" s="169"/>
      <c r="FX494" s="169"/>
      <c r="FY494" s="169"/>
      <c r="FZ494" s="169"/>
      <c r="GA494" s="169"/>
      <c r="GB494" s="169"/>
      <c r="GC494" s="169"/>
      <c r="GD494" s="169"/>
      <c r="GE494" s="169"/>
      <c r="GF494" s="169"/>
      <c r="GG494" s="169"/>
      <c r="GH494" s="169"/>
      <c r="GI494" s="169"/>
      <c r="GJ494" s="169"/>
    </row>
    <row r="495" spans="3:192" ht="12.75" customHeight="1">
      <c r="C495" s="106"/>
      <c r="D495" s="106"/>
      <c r="E495" s="106"/>
      <c r="F495" s="106"/>
      <c r="G495" s="106"/>
      <c r="H495" s="106"/>
      <c r="I495" s="106"/>
      <c r="J495" s="106"/>
      <c r="K495" s="106"/>
      <c r="L495" s="106"/>
      <c r="M495" s="106"/>
      <c r="N495" s="106"/>
      <c r="O495" s="106"/>
      <c r="P495" s="106"/>
      <c r="Q495" s="106"/>
      <c r="R495" s="106"/>
      <c r="S495" s="106"/>
      <c r="T495" s="106"/>
      <c r="U495" s="106"/>
      <c r="V495" s="106"/>
      <c r="W495" s="106"/>
      <c r="X495" s="106"/>
      <c r="Y495" s="106"/>
      <c r="Z495" s="106"/>
      <c r="AA495" s="106"/>
      <c r="AB495" s="106"/>
      <c r="AC495" s="106"/>
      <c r="AD495" s="106"/>
      <c r="AE495" s="106"/>
      <c r="AF495" s="106"/>
      <c r="AG495" s="106"/>
      <c r="AH495" s="106"/>
      <c r="AI495" s="106"/>
      <c r="AJ495" s="106"/>
      <c r="AK495" s="106"/>
      <c r="AL495" s="106"/>
      <c r="AM495" s="106"/>
      <c r="AN495" s="106"/>
      <c r="AO495" s="106"/>
      <c r="AP495" s="106"/>
      <c r="AQ495" s="106"/>
      <c r="AR495" s="106"/>
      <c r="AS495" s="106"/>
      <c r="AT495" s="106"/>
      <c r="AU495" s="106"/>
      <c r="AV495" s="106"/>
      <c r="AW495" s="106"/>
      <c r="AX495" s="106"/>
      <c r="AY495" s="106"/>
      <c r="AZ495" s="106"/>
      <c r="BA495" s="106"/>
      <c r="BB495" s="106"/>
      <c r="BC495" s="106"/>
      <c r="BD495" s="106"/>
      <c r="BE495" s="106"/>
      <c r="BF495" s="106"/>
      <c r="BG495" s="106"/>
      <c r="BH495" s="106"/>
      <c r="BI495" s="106"/>
      <c r="BJ495" s="106"/>
      <c r="BK495" s="106"/>
      <c r="BL495" s="106"/>
      <c r="BM495" s="106"/>
      <c r="BN495" s="106"/>
      <c r="BO495" s="106"/>
      <c r="BP495" s="106"/>
      <c r="BQ495" s="106"/>
      <c r="BR495" s="106"/>
      <c r="BS495" s="106"/>
      <c r="BT495" s="106"/>
      <c r="BU495" s="106"/>
      <c r="BV495" s="106"/>
      <c r="BW495" s="106"/>
      <c r="BX495" s="106"/>
      <c r="BY495" s="106"/>
      <c r="BZ495" s="106"/>
      <c r="CA495" s="106"/>
      <c r="CB495" s="106"/>
      <c r="CC495" s="106"/>
      <c r="CD495" s="106"/>
      <c r="CE495" s="106"/>
      <c r="CF495" s="106"/>
      <c r="CG495" s="106"/>
      <c r="CH495" s="106"/>
      <c r="CI495" s="106"/>
      <c r="CJ495" s="106"/>
      <c r="CK495" s="106"/>
      <c r="CL495" s="106"/>
      <c r="CM495" s="106"/>
      <c r="CN495" s="106"/>
      <c r="CO495" s="106"/>
      <c r="CP495" s="106"/>
      <c r="CQ495" s="106"/>
      <c r="CR495" s="106"/>
      <c r="CS495" s="106"/>
      <c r="CT495" s="106"/>
      <c r="CU495" s="106"/>
      <c r="CV495" s="106"/>
      <c r="CW495" s="106"/>
      <c r="CX495" s="106"/>
      <c r="CY495" s="106"/>
      <c r="CZ495" s="106"/>
      <c r="DA495" s="106"/>
      <c r="DB495" s="106"/>
      <c r="DC495" s="106"/>
      <c r="DD495" s="106"/>
      <c r="DE495" s="106"/>
      <c r="DF495" s="106"/>
      <c r="DG495" s="106"/>
      <c r="DH495" s="106"/>
      <c r="DI495" s="106"/>
      <c r="DJ495" s="106"/>
      <c r="DK495" s="106"/>
      <c r="DL495" s="106"/>
      <c r="DM495" s="106"/>
      <c r="DN495" s="106"/>
      <c r="DO495" s="106"/>
      <c r="DP495" s="106"/>
      <c r="DQ495" s="106"/>
      <c r="DR495" s="106"/>
      <c r="DS495" s="106"/>
      <c r="DT495" s="106"/>
      <c r="DU495" s="106"/>
      <c r="DV495" s="106"/>
      <c r="DW495" s="106"/>
      <c r="DX495" s="106"/>
      <c r="DY495" s="106"/>
      <c r="DZ495" s="106"/>
      <c r="EA495" s="106"/>
      <c r="EB495" s="106"/>
      <c r="EC495" s="106"/>
      <c r="ED495" s="106"/>
      <c r="EE495" s="106"/>
      <c r="EF495" s="106"/>
      <c r="EG495" s="106"/>
      <c r="EH495" s="106"/>
      <c r="EI495" s="106"/>
      <c r="EJ495" s="106"/>
      <c r="EK495" s="106"/>
      <c r="EL495" s="106"/>
      <c r="EM495" s="106"/>
      <c r="EN495" s="106"/>
      <c r="EO495" s="106"/>
      <c r="EP495" s="106"/>
      <c r="EQ495" s="106"/>
      <c r="ER495" s="106"/>
      <c r="ES495" s="106"/>
      <c r="ET495" s="106"/>
      <c r="EU495" s="106"/>
      <c r="EV495" s="106"/>
      <c r="EW495" s="106"/>
      <c r="EX495" s="106"/>
      <c r="EY495" s="106"/>
      <c r="EZ495" s="106"/>
      <c r="FA495" s="106"/>
      <c r="FB495" s="106"/>
      <c r="FC495" s="106"/>
      <c r="FD495" s="106"/>
      <c r="FE495" s="106"/>
      <c r="FF495" s="106"/>
      <c r="FG495" s="106"/>
      <c r="FH495" s="106"/>
      <c r="FI495" s="106"/>
      <c r="FJ495" s="106"/>
      <c r="FK495" s="106"/>
      <c r="FL495" s="106"/>
      <c r="FM495" s="106"/>
      <c r="FN495" s="106"/>
      <c r="FO495" s="106"/>
      <c r="FP495" s="106"/>
      <c r="FQ495" s="106"/>
      <c r="FR495" s="106"/>
      <c r="FS495" s="106"/>
      <c r="FT495" s="106"/>
      <c r="FU495" s="106"/>
      <c r="FV495" s="106"/>
      <c r="FW495" s="106"/>
      <c r="FX495" s="106"/>
      <c r="FY495" s="106"/>
      <c r="FZ495" s="106"/>
      <c r="GA495" s="106"/>
      <c r="GB495" s="106"/>
      <c r="GC495" s="106"/>
      <c r="GD495" s="106"/>
      <c r="GE495" s="106"/>
      <c r="GF495" s="106"/>
      <c r="GG495" s="106"/>
      <c r="GH495" s="106"/>
      <c r="GI495" s="106"/>
      <c r="GJ495" s="106"/>
    </row>
    <row r="496" spans="3:192" ht="12.75" customHeight="1">
      <c r="C496" s="169"/>
      <c r="D496" s="169"/>
      <c r="E496" s="169"/>
      <c r="F496" s="169"/>
      <c r="G496" s="169"/>
      <c r="H496" s="169"/>
      <c r="I496" s="169"/>
      <c r="J496" s="169"/>
      <c r="K496" s="169"/>
      <c r="L496" s="169"/>
      <c r="M496" s="169"/>
      <c r="N496" s="169"/>
      <c r="O496" s="169"/>
      <c r="P496" s="169"/>
      <c r="Q496" s="169"/>
      <c r="R496" s="169"/>
      <c r="S496" s="169"/>
      <c r="T496" s="169"/>
      <c r="U496" s="169"/>
      <c r="V496" s="169"/>
      <c r="W496" s="169"/>
      <c r="X496" s="169"/>
      <c r="Y496" s="169"/>
      <c r="Z496" s="169"/>
      <c r="AA496" s="169"/>
      <c r="AB496" s="169"/>
      <c r="AC496" s="169"/>
      <c r="AD496" s="169"/>
      <c r="AE496" s="169"/>
      <c r="AF496" s="169"/>
      <c r="AG496" s="169"/>
      <c r="AH496" s="169"/>
      <c r="AI496" s="169"/>
      <c r="AJ496" s="169"/>
      <c r="AK496" s="169"/>
      <c r="AL496" s="169"/>
      <c r="AM496" s="169"/>
      <c r="AN496" s="169"/>
      <c r="AO496" s="169"/>
      <c r="AP496" s="169"/>
      <c r="AQ496" s="169"/>
      <c r="AR496" s="169"/>
      <c r="AS496" s="169"/>
      <c r="AT496" s="169"/>
      <c r="AU496" s="169"/>
      <c r="AV496" s="169"/>
      <c r="AW496" s="169"/>
      <c r="AX496" s="169"/>
      <c r="AY496" s="169"/>
      <c r="AZ496" s="169"/>
      <c r="BA496" s="169"/>
      <c r="BB496" s="169"/>
      <c r="BC496" s="169"/>
      <c r="BD496" s="169"/>
      <c r="BE496" s="169"/>
      <c r="BF496" s="169"/>
      <c r="BG496" s="169"/>
      <c r="BH496" s="169"/>
      <c r="BI496" s="169"/>
      <c r="BJ496" s="169"/>
      <c r="BK496" s="169"/>
      <c r="BL496" s="169"/>
      <c r="BM496" s="169"/>
      <c r="BN496" s="169"/>
      <c r="BO496" s="169"/>
      <c r="BP496" s="169"/>
      <c r="BQ496" s="169"/>
      <c r="BR496" s="169"/>
      <c r="BS496" s="169"/>
      <c r="BT496" s="169"/>
      <c r="BU496" s="169"/>
      <c r="BV496" s="169"/>
      <c r="BW496" s="169"/>
      <c r="BX496" s="169"/>
      <c r="BY496" s="169"/>
      <c r="BZ496" s="169"/>
      <c r="CA496" s="169"/>
      <c r="CB496" s="169"/>
      <c r="CC496" s="169"/>
      <c r="CD496" s="169"/>
      <c r="CE496" s="169"/>
      <c r="CF496" s="169"/>
      <c r="CG496" s="169"/>
      <c r="CH496" s="169"/>
      <c r="CI496" s="169"/>
      <c r="CJ496" s="169"/>
      <c r="CK496" s="169"/>
      <c r="CL496" s="169"/>
      <c r="CM496" s="169"/>
      <c r="CN496" s="169"/>
      <c r="CO496" s="169"/>
      <c r="CP496" s="169"/>
      <c r="CQ496" s="169"/>
      <c r="CR496" s="169"/>
      <c r="CS496" s="169"/>
      <c r="CT496" s="169"/>
      <c r="CU496" s="169"/>
      <c r="CV496" s="169"/>
      <c r="CW496" s="169"/>
      <c r="CX496" s="169"/>
      <c r="CY496" s="169"/>
      <c r="CZ496" s="169"/>
      <c r="DA496" s="169"/>
      <c r="DB496" s="169"/>
      <c r="DC496" s="169"/>
      <c r="DD496" s="169"/>
      <c r="DE496" s="169"/>
      <c r="DF496" s="169"/>
      <c r="DG496" s="169"/>
      <c r="DH496" s="169"/>
      <c r="DI496" s="169"/>
      <c r="DJ496" s="169"/>
      <c r="DK496" s="169"/>
      <c r="DL496" s="169"/>
      <c r="DM496" s="169"/>
      <c r="DN496" s="169"/>
      <c r="DO496" s="169"/>
      <c r="DP496" s="169"/>
      <c r="DQ496" s="169"/>
      <c r="DR496" s="169"/>
      <c r="DS496" s="169"/>
      <c r="DT496" s="169"/>
      <c r="DU496" s="169"/>
      <c r="DV496" s="169"/>
      <c r="DW496" s="169"/>
      <c r="DX496" s="169"/>
      <c r="DY496" s="169"/>
      <c r="DZ496" s="169"/>
      <c r="EA496" s="169"/>
      <c r="EB496" s="169"/>
      <c r="EC496" s="169"/>
      <c r="ED496" s="169"/>
      <c r="EE496" s="169"/>
      <c r="EF496" s="169"/>
      <c r="EG496" s="169"/>
      <c r="EH496" s="169"/>
      <c r="EI496" s="169"/>
      <c r="EJ496" s="169"/>
      <c r="EK496" s="169"/>
      <c r="EL496" s="169"/>
      <c r="EM496" s="169"/>
      <c r="EN496" s="169"/>
      <c r="EO496" s="169"/>
      <c r="EP496" s="169"/>
      <c r="EQ496" s="169"/>
      <c r="ER496" s="169"/>
      <c r="ES496" s="169"/>
      <c r="ET496" s="169"/>
      <c r="EU496" s="169"/>
      <c r="EV496" s="169"/>
      <c r="EW496" s="169"/>
      <c r="EX496" s="169"/>
      <c r="EY496" s="169"/>
      <c r="EZ496" s="169"/>
      <c r="FA496" s="169"/>
      <c r="FB496" s="169"/>
      <c r="FC496" s="169"/>
      <c r="FD496" s="169"/>
      <c r="FE496" s="169"/>
      <c r="FF496" s="169"/>
      <c r="FG496" s="169"/>
      <c r="FH496" s="169"/>
      <c r="FI496" s="169"/>
      <c r="FJ496" s="169"/>
      <c r="FK496" s="169"/>
      <c r="FL496" s="169"/>
      <c r="FM496" s="169"/>
      <c r="FN496" s="169"/>
      <c r="FO496" s="169"/>
      <c r="FP496" s="169"/>
      <c r="FQ496" s="169"/>
      <c r="FR496" s="169"/>
      <c r="FS496" s="169"/>
      <c r="FT496" s="169"/>
      <c r="FU496" s="169"/>
      <c r="FV496" s="169"/>
      <c r="FW496" s="169"/>
      <c r="FX496" s="169"/>
      <c r="FY496" s="169"/>
      <c r="FZ496" s="169"/>
      <c r="GA496" s="169"/>
      <c r="GB496" s="169"/>
      <c r="GC496" s="169"/>
      <c r="GD496" s="169"/>
      <c r="GE496" s="169"/>
      <c r="GF496" s="169"/>
      <c r="GG496" s="169"/>
      <c r="GH496" s="169"/>
      <c r="GI496" s="169"/>
      <c r="GJ496" s="169"/>
    </row>
    <row r="497" spans="3:192" ht="12.75" customHeight="1">
      <c r="C497" s="169"/>
      <c r="D497" s="169"/>
      <c r="E497" s="169"/>
      <c r="F497" s="169"/>
      <c r="G497" s="169"/>
      <c r="H497" s="169"/>
      <c r="I497" s="169"/>
      <c r="J497" s="169"/>
      <c r="K497" s="169"/>
      <c r="L497" s="169"/>
      <c r="M497" s="169"/>
      <c r="N497" s="169"/>
      <c r="O497" s="169"/>
      <c r="P497" s="169"/>
      <c r="Q497" s="169"/>
      <c r="R497" s="169"/>
      <c r="S497" s="169"/>
      <c r="T497" s="169"/>
      <c r="U497" s="169"/>
      <c r="V497" s="169"/>
      <c r="W497" s="169"/>
      <c r="X497" s="169"/>
      <c r="Y497" s="169"/>
      <c r="Z497" s="169"/>
      <c r="AA497" s="169"/>
      <c r="AB497" s="169"/>
      <c r="AC497" s="169"/>
      <c r="AD497" s="169"/>
      <c r="AE497" s="169"/>
      <c r="AF497" s="169"/>
      <c r="AG497" s="169"/>
      <c r="AH497" s="169"/>
      <c r="AI497" s="169"/>
      <c r="AJ497" s="169"/>
      <c r="AK497" s="169"/>
      <c r="AL497" s="169"/>
      <c r="AM497" s="169"/>
      <c r="AN497" s="169"/>
      <c r="AO497" s="169"/>
      <c r="AP497" s="169"/>
      <c r="AQ497" s="169"/>
      <c r="AR497" s="169"/>
      <c r="AS497" s="169"/>
      <c r="AT497" s="169"/>
      <c r="AU497" s="169"/>
      <c r="AV497" s="169"/>
      <c r="AW497" s="169"/>
      <c r="AX497" s="169"/>
      <c r="AY497" s="169"/>
      <c r="AZ497" s="169"/>
      <c r="BA497" s="169"/>
      <c r="BB497" s="169"/>
      <c r="BC497" s="169"/>
      <c r="BD497" s="169"/>
      <c r="BE497" s="169"/>
      <c r="BF497" s="169"/>
      <c r="BG497" s="169"/>
      <c r="BH497" s="169"/>
      <c r="BI497" s="169"/>
      <c r="BJ497" s="169"/>
      <c r="BK497" s="169"/>
      <c r="BL497" s="169"/>
      <c r="BM497" s="169"/>
      <c r="BN497" s="169"/>
      <c r="BO497" s="169"/>
      <c r="BP497" s="169"/>
      <c r="BQ497" s="169"/>
      <c r="BR497" s="169"/>
      <c r="BS497" s="169"/>
      <c r="BT497" s="169"/>
      <c r="BU497" s="169"/>
      <c r="BV497" s="169"/>
      <c r="BW497" s="169"/>
      <c r="BX497" s="169"/>
      <c r="BY497" s="169"/>
      <c r="BZ497" s="169"/>
      <c r="CA497" s="169"/>
      <c r="CB497" s="169"/>
      <c r="CC497" s="169"/>
      <c r="CD497" s="169"/>
      <c r="CE497" s="169"/>
      <c r="CF497" s="169"/>
      <c r="CG497" s="169"/>
      <c r="CH497" s="169"/>
      <c r="CI497" s="169"/>
      <c r="CJ497" s="169"/>
      <c r="CK497" s="169"/>
      <c r="CL497" s="169"/>
      <c r="CM497" s="169"/>
      <c r="CN497" s="169"/>
      <c r="CO497" s="169"/>
      <c r="CP497" s="169"/>
      <c r="CQ497" s="169"/>
      <c r="CR497" s="169"/>
      <c r="CS497" s="169"/>
      <c r="CT497" s="169"/>
      <c r="CU497" s="169"/>
      <c r="CV497" s="169"/>
      <c r="CW497" s="169"/>
      <c r="CX497" s="169"/>
      <c r="CY497" s="169"/>
      <c r="CZ497" s="169"/>
      <c r="DA497" s="169"/>
      <c r="DB497" s="169"/>
      <c r="DC497" s="169"/>
      <c r="DD497" s="169"/>
      <c r="DE497" s="169"/>
      <c r="DF497" s="169"/>
      <c r="DG497" s="169"/>
      <c r="DH497" s="169"/>
      <c r="DI497" s="169"/>
      <c r="DJ497" s="169"/>
      <c r="DK497" s="169"/>
      <c r="DL497" s="169"/>
      <c r="DM497" s="169"/>
      <c r="DN497" s="169"/>
      <c r="DO497" s="169"/>
      <c r="DP497" s="169"/>
      <c r="DQ497" s="169"/>
      <c r="DR497" s="169"/>
      <c r="DS497" s="169"/>
      <c r="DT497" s="169"/>
      <c r="DU497" s="169"/>
      <c r="DV497" s="169"/>
      <c r="DW497" s="169"/>
      <c r="DX497" s="169"/>
      <c r="DY497" s="169"/>
      <c r="DZ497" s="169"/>
      <c r="EA497" s="169"/>
      <c r="EB497" s="169"/>
      <c r="EC497" s="169"/>
      <c r="ED497" s="169"/>
      <c r="EE497" s="169"/>
      <c r="EF497" s="169"/>
      <c r="EG497" s="169"/>
      <c r="EH497" s="169"/>
      <c r="EI497" s="169"/>
      <c r="EJ497" s="169"/>
      <c r="EK497" s="169"/>
      <c r="EL497" s="169"/>
      <c r="EM497" s="169"/>
      <c r="EN497" s="169"/>
      <c r="EO497" s="169"/>
      <c r="EP497" s="169"/>
      <c r="EQ497" s="169"/>
      <c r="ER497" s="169"/>
      <c r="ES497" s="169"/>
      <c r="ET497" s="169"/>
      <c r="EU497" s="169"/>
      <c r="EV497" s="169"/>
      <c r="EW497" s="169"/>
      <c r="EX497" s="169"/>
      <c r="EY497" s="169"/>
      <c r="EZ497" s="169"/>
      <c r="FA497" s="169"/>
      <c r="FB497" s="169"/>
      <c r="FC497" s="169"/>
      <c r="FD497" s="169"/>
      <c r="FE497" s="169"/>
      <c r="FF497" s="169"/>
      <c r="FG497" s="169"/>
      <c r="FH497" s="169"/>
      <c r="FI497" s="169"/>
      <c r="FJ497" s="169"/>
      <c r="FK497" s="169"/>
      <c r="FL497" s="169"/>
      <c r="FM497" s="169"/>
      <c r="FN497" s="169"/>
      <c r="FO497" s="169"/>
      <c r="FP497" s="169"/>
      <c r="FQ497" s="169"/>
      <c r="FR497" s="169"/>
      <c r="FS497" s="169"/>
      <c r="FT497" s="169"/>
      <c r="FU497" s="169"/>
      <c r="FV497" s="169"/>
      <c r="FW497" s="169"/>
      <c r="FX497" s="169"/>
      <c r="FY497" s="169"/>
      <c r="FZ497" s="169"/>
      <c r="GA497" s="169"/>
      <c r="GB497" s="169"/>
      <c r="GC497" s="169"/>
      <c r="GD497" s="169"/>
      <c r="GE497" s="169"/>
      <c r="GF497" s="169"/>
      <c r="GG497" s="169"/>
      <c r="GH497" s="169"/>
      <c r="GI497" s="169"/>
      <c r="GJ497" s="169"/>
    </row>
    <row r="498" spans="3:192" ht="12.75" customHeight="1">
      <c r="C498" s="198"/>
      <c r="D498" s="198"/>
      <c r="E498" s="198"/>
      <c r="F498" s="198"/>
      <c r="G498" s="198"/>
      <c r="H498" s="198"/>
      <c r="I498" s="198"/>
      <c r="J498" s="198"/>
      <c r="K498" s="198"/>
      <c r="L498" s="198"/>
      <c r="M498" s="198"/>
      <c r="N498" s="198"/>
      <c r="O498" s="198"/>
      <c r="P498" s="198"/>
      <c r="Q498" s="198"/>
      <c r="R498" s="198"/>
      <c r="S498" s="198"/>
      <c r="T498" s="198"/>
      <c r="U498" s="198"/>
      <c r="V498" s="198"/>
      <c r="W498" s="198"/>
      <c r="X498" s="198"/>
      <c r="Y498" s="198"/>
      <c r="Z498" s="198"/>
      <c r="AA498" s="198"/>
      <c r="AB498" s="198"/>
      <c r="AC498" s="198"/>
      <c r="AD498" s="198"/>
      <c r="AE498" s="198"/>
      <c r="AF498" s="198"/>
      <c r="AG498" s="198"/>
      <c r="AH498" s="198"/>
      <c r="AI498" s="198"/>
      <c r="AJ498" s="198"/>
      <c r="AK498" s="198"/>
      <c r="AL498" s="198"/>
      <c r="AM498" s="198"/>
      <c r="AN498" s="198"/>
      <c r="AO498" s="198"/>
      <c r="AP498" s="198"/>
      <c r="AQ498" s="198"/>
      <c r="AR498" s="198"/>
      <c r="AS498" s="198"/>
      <c r="AT498" s="198"/>
      <c r="AU498" s="198"/>
      <c r="AV498" s="198"/>
      <c r="AW498" s="198"/>
      <c r="AX498" s="198"/>
      <c r="AY498" s="198"/>
      <c r="AZ498" s="198"/>
      <c r="BA498" s="198"/>
      <c r="BB498" s="198"/>
      <c r="BC498" s="198"/>
      <c r="BD498" s="198"/>
      <c r="BE498" s="198"/>
      <c r="BF498" s="198"/>
      <c r="BG498" s="198"/>
      <c r="BH498" s="198"/>
      <c r="BI498" s="198"/>
      <c r="BJ498" s="198"/>
      <c r="BK498" s="198"/>
      <c r="BL498" s="198"/>
      <c r="BM498" s="198"/>
      <c r="BN498" s="198"/>
      <c r="BO498" s="198"/>
      <c r="BP498" s="198"/>
      <c r="BQ498" s="198"/>
      <c r="BR498" s="198"/>
      <c r="BS498" s="198"/>
      <c r="BT498" s="198"/>
      <c r="BU498" s="198"/>
      <c r="BV498" s="198"/>
      <c r="BW498" s="198"/>
      <c r="BX498" s="198"/>
      <c r="BY498" s="198"/>
      <c r="BZ498" s="198"/>
      <c r="CA498" s="198"/>
      <c r="CB498" s="198"/>
      <c r="CC498" s="198"/>
      <c r="CD498" s="198"/>
      <c r="CE498" s="198"/>
      <c r="CF498" s="198"/>
      <c r="CG498" s="198"/>
      <c r="CH498" s="198"/>
      <c r="CI498" s="198"/>
      <c r="CJ498" s="198"/>
      <c r="CK498" s="198"/>
      <c r="CL498" s="198"/>
      <c r="CM498" s="198"/>
      <c r="CN498" s="198"/>
      <c r="CO498" s="198"/>
      <c r="CP498" s="198"/>
      <c r="CQ498" s="198"/>
      <c r="CR498" s="198"/>
      <c r="CS498" s="198"/>
      <c r="CT498" s="198"/>
      <c r="CU498" s="198"/>
      <c r="CV498" s="198"/>
      <c r="CW498" s="198"/>
      <c r="CX498" s="198"/>
      <c r="CY498" s="198"/>
      <c r="CZ498" s="198"/>
      <c r="DA498" s="198"/>
      <c r="DB498" s="198"/>
      <c r="DC498" s="198"/>
      <c r="DD498" s="198"/>
      <c r="DE498" s="198"/>
      <c r="DF498" s="198"/>
      <c r="DG498" s="198"/>
      <c r="DH498" s="198"/>
      <c r="DI498" s="198"/>
      <c r="DJ498" s="198"/>
      <c r="DK498" s="198"/>
      <c r="DL498" s="198"/>
      <c r="DM498" s="198"/>
      <c r="DN498" s="198"/>
      <c r="DO498" s="198"/>
      <c r="DP498" s="198"/>
      <c r="DQ498" s="198"/>
      <c r="DR498" s="198"/>
      <c r="DS498" s="198"/>
      <c r="DT498" s="198"/>
      <c r="DU498" s="198"/>
      <c r="DV498" s="198"/>
      <c r="DW498" s="198"/>
      <c r="DX498" s="198"/>
      <c r="DY498" s="198"/>
      <c r="DZ498" s="198"/>
      <c r="EA498" s="198"/>
      <c r="EB498" s="198"/>
      <c r="EC498" s="198"/>
      <c r="ED498" s="198"/>
      <c r="EE498" s="198"/>
      <c r="EF498" s="198"/>
      <c r="EG498" s="198"/>
      <c r="EH498" s="198"/>
      <c r="EI498" s="198"/>
      <c r="EJ498" s="198"/>
      <c r="EK498" s="198"/>
      <c r="EL498" s="198"/>
      <c r="EM498" s="198"/>
      <c r="EN498" s="198"/>
      <c r="EO498" s="198"/>
      <c r="EP498" s="198"/>
      <c r="EQ498" s="198"/>
      <c r="ER498" s="198"/>
      <c r="ES498" s="198"/>
      <c r="ET498" s="198"/>
      <c r="EU498" s="198"/>
      <c r="EV498" s="198"/>
      <c r="EW498" s="198"/>
      <c r="EX498" s="198"/>
      <c r="EY498" s="198"/>
      <c r="EZ498" s="198"/>
      <c r="FA498" s="198"/>
      <c r="FB498" s="198"/>
      <c r="FC498" s="198"/>
      <c r="FD498" s="198"/>
      <c r="FE498" s="198"/>
      <c r="FF498" s="198"/>
      <c r="FG498" s="198"/>
      <c r="FH498" s="198"/>
      <c r="FI498" s="198"/>
      <c r="FJ498" s="198"/>
      <c r="FK498" s="198"/>
      <c r="FL498" s="198"/>
      <c r="FM498" s="198"/>
      <c r="FN498" s="198"/>
      <c r="FO498" s="198"/>
      <c r="FP498" s="198"/>
      <c r="FQ498" s="198"/>
      <c r="FR498" s="198"/>
      <c r="FS498" s="198"/>
      <c r="FT498" s="198"/>
      <c r="FU498" s="198"/>
      <c r="FV498" s="198"/>
      <c r="FW498" s="198"/>
      <c r="FX498" s="198"/>
      <c r="FY498" s="198"/>
      <c r="FZ498" s="198"/>
      <c r="GA498" s="198"/>
      <c r="GB498" s="198"/>
      <c r="GC498" s="198"/>
      <c r="GD498" s="198"/>
      <c r="GE498" s="198"/>
      <c r="GF498" s="198"/>
      <c r="GG498" s="198"/>
      <c r="GH498" s="198"/>
      <c r="GI498" s="198"/>
      <c r="GJ498" s="198"/>
    </row>
    <row r="499" spans="3:192" ht="12.75" customHeight="1">
      <c r="C499" s="220"/>
      <c r="D499" s="169"/>
      <c r="E499" s="169"/>
      <c r="F499" s="169"/>
      <c r="G499" s="169"/>
      <c r="H499" s="220"/>
      <c r="I499" s="169"/>
      <c r="J499" s="169"/>
      <c r="K499" s="169"/>
      <c r="L499" s="169"/>
      <c r="M499" s="220"/>
      <c r="N499" s="169"/>
      <c r="O499" s="169"/>
      <c r="P499" s="169"/>
      <c r="Q499" s="169"/>
      <c r="R499" s="220"/>
      <c r="S499" s="169"/>
      <c r="T499" s="169"/>
      <c r="U499" s="169"/>
      <c r="V499" s="169"/>
      <c r="W499" s="220"/>
      <c r="X499" s="169"/>
      <c r="Y499" s="169"/>
      <c r="Z499" s="169"/>
      <c r="AA499" s="169"/>
      <c r="AB499" s="220"/>
      <c r="AC499" s="169"/>
      <c r="AD499" s="169"/>
      <c r="AE499" s="169"/>
      <c r="AF499" s="169"/>
      <c r="AG499" s="220"/>
      <c r="AH499" s="169"/>
      <c r="AI499" s="169"/>
      <c r="AJ499" s="169"/>
      <c r="AK499" s="169"/>
      <c r="AL499" s="220"/>
      <c r="AM499" s="169"/>
      <c r="AN499" s="169"/>
      <c r="AO499" s="169"/>
      <c r="AP499" s="169"/>
      <c r="AQ499" s="220"/>
      <c r="AR499" s="169"/>
      <c r="AS499" s="169"/>
      <c r="AT499" s="169"/>
      <c r="AU499" s="169"/>
      <c r="AV499" s="220"/>
      <c r="AW499" s="169"/>
      <c r="AX499" s="169"/>
      <c r="AY499" s="169"/>
      <c r="AZ499" s="169"/>
      <c r="BA499" s="220"/>
      <c r="BB499" s="169"/>
      <c r="BC499" s="169"/>
      <c r="BD499" s="169"/>
      <c r="BE499" s="169"/>
      <c r="BF499" s="220"/>
      <c r="BG499" s="169"/>
      <c r="BH499" s="169"/>
      <c r="BI499" s="169"/>
      <c r="BJ499" s="169"/>
      <c r="BK499" s="220"/>
      <c r="BL499" s="169"/>
      <c r="BM499" s="169"/>
      <c r="BN499" s="169"/>
      <c r="BO499" s="169"/>
      <c r="BP499" s="220"/>
      <c r="BQ499" s="169"/>
      <c r="BR499" s="169"/>
      <c r="BS499" s="169"/>
      <c r="BT499" s="169"/>
      <c r="BU499" s="220"/>
      <c r="BV499" s="169"/>
      <c r="BW499" s="169"/>
      <c r="BX499" s="169"/>
      <c r="BY499" s="169"/>
      <c r="BZ499" s="220"/>
      <c r="CA499" s="169"/>
      <c r="CB499" s="169"/>
      <c r="CC499" s="169"/>
      <c r="CD499" s="169"/>
      <c r="CE499" s="220"/>
      <c r="CF499" s="169"/>
      <c r="CG499" s="169"/>
      <c r="CH499" s="169"/>
      <c r="CI499" s="169"/>
      <c r="CJ499" s="220"/>
      <c r="CK499" s="169"/>
      <c r="CL499" s="169"/>
      <c r="CM499" s="169"/>
      <c r="CN499" s="169"/>
      <c r="CO499" s="220"/>
      <c r="CP499" s="169"/>
      <c r="CQ499" s="169"/>
      <c r="CR499" s="169"/>
      <c r="CS499" s="169"/>
      <c r="CT499" s="220"/>
      <c r="CU499" s="169"/>
      <c r="CV499" s="169"/>
      <c r="CW499" s="169"/>
      <c r="CX499" s="169"/>
      <c r="CY499" s="220"/>
      <c r="CZ499" s="169"/>
      <c r="DA499" s="169"/>
      <c r="DB499" s="169"/>
      <c r="DC499" s="169"/>
      <c r="DD499" s="220"/>
      <c r="DE499" s="169"/>
      <c r="DF499" s="169"/>
      <c r="DG499" s="169"/>
      <c r="DH499" s="169"/>
      <c r="DI499" s="220"/>
      <c r="DJ499" s="169"/>
      <c r="DK499" s="169"/>
      <c r="DL499" s="169"/>
      <c r="DM499" s="169"/>
      <c r="DN499" s="220"/>
      <c r="DO499" s="169"/>
      <c r="DP499" s="169"/>
      <c r="DQ499" s="169"/>
      <c r="DR499" s="169"/>
      <c r="DS499" s="220"/>
      <c r="DT499" s="169"/>
      <c r="DU499" s="169"/>
      <c r="DV499" s="169"/>
      <c r="DW499" s="169"/>
      <c r="DX499" s="220"/>
      <c r="DY499" s="169"/>
      <c r="DZ499" s="169"/>
      <c r="EA499" s="169"/>
      <c r="EB499" s="169"/>
      <c r="EC499" s="220"/>
      <c r="ED499" s="169"/>
      <c r="EE499" s="169"/>
      <c r="EF499" s="169"/>
      <c r="EG499" s="169"/>
      <c r="EH499" s="220"/>
      <c r="EI499" s="169"/>
      <c r="EJ499" s="169"/>
      <c r="EK499" s="169"/>
      <c r="EL499" s="169"/>
      <c r="EM499" s="220"/>
      <c r="EN499" s="169"/>
      <c r="EO499" s="169"/>
      <c r="EP499" s="169"/>
      <c r="EQ499" s="169"/>
      <c r="ER499" s="220"/>
      <c r="ES499" s="169"/>
      <c r="ET499" s="169"/>
      <c r="EU499" s="169"/>
      <c r="EV499" s="169"/>
      <c r="EW499" s="220"/>
      <c r="EX499" s="169"/>
      <c r="EY499" s="169"/>
      <c r="EZ499" s="169"/>
      <c r="FA499" s="169"/>
      <c r="FB499" s="220"/>
      <c r="FC499" s="169"/>
      <c r="FD499" s="169"/>
      <c r="FE499" s="169"/>
      <c r="FF499" s="169"/>
      <c r="FG499" s="220"/>
      <c r="FH499" s="169"/>
      <c r="FI499" s="169"/>
      <c r="FJ499" s="169"/>
      <c r="FK499" s="169"/>
      <c r="FL499" s="220"/>
      <c r="FM499" s="169"/>
      <c r="FN499" s="169"/>
      <c r="FO499" s="169"/>
      <c r="FP499" s="169"/>
      <c r="FQ499" s="220"/>
      <c r="FR499" s="169"/>
      <c r="FS499" s="169"/>
      <c r="FT499" s="169"/>
      <c r="FU499" s="169"/>
      <c r="FV499" s="220"/>
      <c r="FW499" s="169"/>
      <c r="FX499" s="169"/>
      <c r="FY499" s="169"/>
      <c r="FZ499" s="169"/>
      <c r="GA499" s="220"/>
      <c r="GB499" s="169"/>
      <c r="GC499" s="169"/>
      <c r="GD499" s="169"/>
      <c r="GE499" s="169"/>
      <c r="GF499" s="220"/>
      <c r="GG499" s="169"/>
      <c r="GH499" s="169"/>
      <c r="GI499" s="169"/>
      <c r="GJ499" s="169"/>
    </row>
    <row r="500" spans="3:192" ht="12.75" customHeight="1">
      <c r="C500" s="220"/>
      <c r="D500" s="169"/>
      <c r="E500" s="169"/>
      <c r="F500" s="169"/>
      <c r="G500" s="169"/>
      <c r="H500" s="220"/>
      <c r="I500" s="169"/>
      <c r="J500" s="169"/>
      <c r="K500" s="169"/>
      <c r="L500" s="169"/>
      <c r="M500" s="220"/>
      <c r="N500" s="169"/>
      <c r="O500" s="169"/>
      <c r="P500" s="169"/>
      <c r="Q500" s="169"/>
      <c r="R500" s="220"/>
      <c r="S500" s="169"/>
      <c r="T500" s="169"/>
      <c r="U500" s="169"/>
      <c r="V500" s="169"/>
      <c r="W500" s="220"/>
      <c r="X500" s="169"/>
      <c r="Y500" s="169"/>
      <c r="Z500" s="169"/>
      <c r="AA500" s="169"/>
      <c r="AB500" s="220"/>
      <c r="AC500" s="169"/>
      <c r="AD500" s="169"/>
      <c r="AE500" s="169"/>
      <c r="AF500" s="169"/>
      <c r="AG500" s="220"/>
      <c r="AH500" s="169"/>
      <c r="AI500" s="169"/>
      <c r="AJ500" s="169"/>
      <c r="AK500" s="169"/>
      <c r="AL500" s="220"/>
      <c r="AM500" s="169"/>
      <c r="AN500" s="169"/>
      <c r="AO500" s="169"/>
      <c r="AP500" s="169"/>
      <c r="AQ500" s="220"/>
      <c r="AR500" s="169"/>
      <c r="AS500" s="169"/>
      <c r="AT500" s="169"/>
      <c r="AU500" s="169"/>
      <c r="AV500" s="220"/>
      <c r="AW500" s="169"/>
      <c r="AX500" s="169"/>
      <c r="AY500" s="169"/>
      <c r="AZ500" s="169"/>
      <c r="BA500" s="220"/>
      <c r="BB500" s="169"/>
      <c r="BC500" s="169"/>
      <c r="BD500" s="169"/>
      <c r="BE500" s="169"/>
      <c r="BF500" s="220"/>
      <c r="BG500" s="169"/>
      <c r="BH500" s="169"/>
      <c r="BI500" s="169"/>
      <c r="BJ500" s="169"/>
      <c r="BK500" s="220"/>
      <c r="BL500" s="169"/>
      <c r="BM500" s="169"/>
      <c r="BN500" s="169"/>
      <c r="BO500" s="169"/>
      <c r="BP500" s="220"/>
      <c r="BQ500" s="169"/>
      <c r="BR500" s="169"/>
      <c r="BS500" s="169"/>
      <c r="BT500" s="169"/>
      <c r="BU500" s="220"/>
      <c r="BV500" s="169"/>
      <c r="BW500" s="169"/>
      <c r="BX500" s="169"/>
      <c r="BY500" s="169"/>
      <c r="BZ500" s="220"/>
      <c r="CA500" s="169"/>
      <c r="CB500" s="169"/>
      <c r="CC500" s="169"/>
      <c r="CD500" s="169"/>
      <c r="CE500" s="220"/>
      <c r="CF500" s="169"/>
      <c r="CG500" s="169"/>
      <c r="CH500" s="169"/>
      <c r="CI500" s="169"/>
      <c r="CJ500" s="220"/>
      <c r="CK500" s="169"/>
      <c r="CL500" s="169"/>
      <c r="CM500" s="169"/>
      <c r="CN500" s="169"/>
      <c r="CO500" s="220"/>
      <c r="CP500" s="169"/>
      <c r="CQ500" s="169"/>
      <c r="CR500" s="169"/>
      <c r="CS500" s="169"/>
      <c r="CT500" s="220"/>
      <c r="CU500" s="169"/>
      <c r="CV500" s="169"/>
      <c r="CW500" s="169"/>
      <c r="CX500" s="169"/>
      <c r="CY500" s="220"/>
      <c r="CZ500" s="169"/>
      <c r="DA500" s="169"/>
      <c r="DB500" s="169"/>
      <c r="DC500" s="169"/>
      <c r="DD500" s="220"/>
      <c r="DE500" s="169"/>
      <c r="DF500" s="169"/>
      <c r="DG500" s="169"/>
      <c r="DH500" s="169"/>
      <c r="DI500" s="220"/>
      <c r="DJ500" s="169"/>
      <c r="DK500" s="169"/>
      <c r="DL500" s="169"/>
      <c r="DM500" s="169"/>
      <c r="DN500" s="220"/>
      <c r="DO500" s="169"/>
      <c r="DP500" s="169"/>
      <c r="DQ500" s="169"/>
      <c r="DR500" s="169"/>
      <c r="DS500" s="220"/>
      <c r="DT500" s="169"/>
      <c r="DU500" s="169"/>
      <c r="DV500" s="169"/>
      <c r="DW500" s="169"/>
      <c r="DX500" s="220"/>
      <c r="DY500" s="169"/>
      <c r="DZ500" s="169"/>
      <c r="EA500" s="169"/>
      <c r="EB500" s="169"/>
      <c r="EC500" s="220"/>
      <c r="ED500" s="169"/>
      <c r="EE500" s="169"/>
      <c r="EF500" s="169"/>
      <c r="EG500" s="169"/>
      <c r="EH500" s="220"/>
      <c r="EI500" s="169"/>
      <c r="EJ500" s="169"/>
      <c r="EK500" s="169"/>
      <c r="EL500" s="169"/>
      <c r="EM500" s="220"/>
      <c r="EN500" s="169"/>
      <c r="EO500" s="169"/>
      <c r="EP500" s="169"/>
      <c r="EQ500" s="169"/>
      <c r="ER500" s="220"/>
      <c r="ES500" s="169"/>
      <c r="ET500" s="169"/>
      <c r="EU500" s="169"/>
      <c r="EV500" s="169"/>
      <c r="EW500" s="220"/>
      <c r="EX500" s="169"/>
      <c r="EY500" s="169"/>
      <c r="EZ500" s="169"/>
      <c r="FA500" s="169"/>
      <c r="FB500" s="220"/>
      <c r="FC500" s="169"/>
      <c r="FD500" s="169"/>
      <c r="FE500" s="169"/>
      <c r="FF500" s="169"/>
      <c r="FG500" s="220"/>
      <c r="FH500" s="169"/>
      <c r="FI500" s="169"/>
      <c r="FJ500" s="169"/>
      <c r="FK500" s="169"/>
      <c r="FL500" s="220"/>
      <c r="FM500" s="169"/>
      <c r="FN500" s="169"/>
      <c r="FO500" s="169"/>
      <c r="FP500" s="169"/>
      <c r="FQ500" s="220"/>
      <c r="FR500" s="169"/>
      <c r="FS500" s="169"/>
      <c r="FT500" s="169"/>
      <c r="FU500" s="169"/>
      <c r="FV500" s="220"/>
      <c r="FW500" s="169"/>
      <c r="FX500" s="169"/>
      <c r="FY500" s="169"/>
      <c r="FZ500" s="169"/>
      <c r="GA500" s="220"/>
      <c r="GB500" s="169"/>
      <c r="GC500" s="169"/>
      <c r="GD500" s="169"/>
      <c r="GE500" s="169"/>
      <c r="GF500" s="220"/>
      <c r="GG500" s="169"/>
      <c r="GH500" s="169"/>
      <c r="GI500" s="169"/>
      <c r="GJ500" s="169"/>
    </row>
    <row r="501" spans="3:192" ht="12.75" customHeight="1">
      <c r="C501" s="221"/>
      <c r="D501" s="221"/>
      <c r="E501" s="221"/>
      <c r="F501" s="221"/>
      <c r="G501" s="221"/>
      <c r="H501" s="221"/>
      <c r="I501" s="221"/>
      <c r="J501" s="221"/>
      <c r="K501" s="221"/>
      <c r="L501" s="221"/>
      <c r="M501" s="221"/>
      <c r="N501" s="221"/>
      <c r="O501" s="221"/>
      <c r="P501" s="221"/>
      <c r="Q501" s="221"/>
      <c r="R501" s="221"/>
      <c r="S501" s="221"/>
      <c r="T501" s="221"/>
      <c r="U501" s="221"/>
      <c r="V501" s="221"/>
      <c r="W501" s="221"/>
      <c r="X501" s="221"/>
      <c r="Y501" s="221"/>
      <c r="Z501" s="221"/>
      <c r="AA501" s="221"/>
      <c r="AB501" s="221"/>
      <c r="AC501" s="221"/>
      <c r="AD501" s="221"/>
      <c r="AE501" s="221"/>
      <c r="AF501" s="221"/>
      <c r="AG501" s="221"/>
      <c r="AH501" s="221"/>
      <c r="AI501" s="221"/>
      <c r="AJ501" s="221"/>
      <c r="AK501" s="221"/>
      <c r="AL501" s="221"/>
      <c r="AM501" s="221"/>
      <c r="AN501" s="221"/>
      <c r="AO501" s="221"/>
      <c r="AP501" s="221"/>
      <c r="AQ501" s="221"/>
      <c r="AR501" s="221"/>
      <c r="AS501" s="221"/>
      <c r="AT501" s="221"/>
      <c r="AU501" s="221"/>
      <c r="AV501" s="221"/>
      <c r="AW501" s="221"/>
      <c r="AX501" s="221"/>
      <c r="AY501" s="221"/>
      <c r="AZ501" s="221"/>
      <c r="BA501" s="221"/>
      <c r="BB501" s="221"/>
      <c r="BC501" s="221"/>
      <c r="BD501" s="221"/>
      <c r="BE501" s="221"/>
      <c r="BF501" s="221"/>
      <c r="BG501" s="221"/>
      <c r="BH501" s="221"/>
      <c r="BI501" s="221"/>
      <c r="BJ501" s="221"/>
      <c r="BK501" s="221"/>
      <c r="BL501" s="221"/>
      <c r="BM501" s="221"/>
      <c r="BN501" s="221"/>
      <c r="BO501" s="221"/>
      <c r="BP501" s="221"/>
      <c r="BQ501" s="221"/>
      <c r="BR501" s="221"/>
      <c r="BS501" s="221"/>
      <c r="BT501" s="221"/>
      <c r="BU501" s="221"/>
      <c r="BV501" s="221"/>
      <c r="BW501" s="221"/>
      <c r="BX501" s="221"/>
      <c r="BY501" s="221"/>
      <c r="BZ501" s="221"/>
      <c r="CA501" s="221"/>
      <c r="CB501" s="221"/>
      <c r="CC501" s="221"/>
      <c r="CD501" s="221"/>
      <c r="CE501" s="221"/>
      <c r="CF501" s="221"/>
      <c r="CG501" s="221"/>
      <c r="CH501" s="221"/>
      <c r="CI501" s="221"/>
      <c r="CJ501" s="221"/>
      <c r="CK501" s="221"/>
      <c r="CL501" s="221"/>
      <c r="CM501" s="221"/>
      <c r="CN501" s="221"/>
      <c r="CO501" s="221"/>
      <c r="CP501" s="221"/>
      <c r="CQ501" s="221"/>
      <c r="CR501" s="221"/>
      <c r="CS501" s="221"/>
      <c r="CT501" s="221"/>
      <c r="CU501" s="221"/>
      <c r="CV501" s="221"/>
      <c r="CW501" s="221"/>
      <c r="CX501" s="221"/>
      <c r="CY501" s="221"/>
      <c r="CZ501" s="221"/>
      <c r="DA501" s="221"/>
      <c r="DB501" s="221"/>
      <c r="DC501" s="221"/>
      <c r="DD501" s="221"/>
      <c r="DE501" s="221"/>
      <c r="DF501" s="221"/>
      <c r="DG501" s="221"/>
      <c r="DH501" s="221"/>
      <c r="DI501" s="221"/>
      <c r="DJ501" s="221"/>
      <c r="DK501" s="221"/>
      <c r="DL501" s="221"/>
      <c r="DM501" s="221"/>
      <c r="DN501" s="221"/>
      <c r="DO501" s="221"/>
      <c r="DP501" s="221"/>
      <c r="DQ501" s="221"/>
      <c r="DR501" s="221"/>
      <c r="DS501" s="221"/>
      <c r="DT501" s="221"/>
      <c r="DU501" s="221"/>
      <c r="DV501" s="221"/>
      <c r="DW501" s="221"/>
      <c r="DX501" s="221"/>
      <c r="DY501" s="221"/>
      <c r="DZ501" s="221"/>
      <c r="EA501" s="221"/>
      <c r="EB501" s="221"/>
      <c r="EC501" s="221"/>
      <c r="ED501" s="221"/>
      <c r="EE501" s="221"/>
      <c r="EF501" s="221"/>
      <c r="EG501" s="221"/>
      <c r="EH501" s="221"/>
      <c r="EI501" s="221"/>
      <c r="EJ501" s="221"/>
      <c r="EK501" s="221"/>
      <c r="EL501" s="221"/>
      <c r="EM501" s="221"/>
      <c r="EN501" s="221"/>
      <c r="EO501" s="221"/>
      <c r="EP501" s="221"/>
      <c r="EQ501" s="221"/>
      <c r="ER501" s="221"/>
      <c r="ES501" s="221"/>
      <c r="ET501" s="221"/>
      <c r="EU501" s="221"/>
      <c r="EV501" s="221"/>
      <c r="EW501" s="221"/>
      <c r="EX501" s="221"/>
      <c r="EY501" s="221"/>
      <c r="EZ501" s="221"/>
      <c r="FA501" s="221"/>
      <c r="FB501" s="221"/>
      <c r="FC501" s="221"/>
      <c r="FD501" s="221"/>
      <c r="FE501" s="221"/>
      <c r="FF501" s="221"/>
      <c r="FG501" s="221"/>
      <c r="FH501" s="221"/>
      <c r="FI501" s="221"/>
      <c r="FJ501" s="221"/>
      <c r="FK501" s="221"/>
      <c r="FL501" s="221"/>
      <c r="FM501" s="221"/>
      <c r="FN501" s="221"/>
      <c r="FO501" s="221"/>
      <c r="FP501" s="221"/>
      <c r="FQ501" s="221"/>
      <c r="FR501" s="221"/>
      <c r="FS501" s="221"/>
      <c r="FT501" s="221"/>
      <c r="FU501" s="221"/>
      <c r="FV501" s="221"/>
      <c r="FW501" s="221"/>
      <c r="FX501" s="221"/>
      <c r="FY501" s="221"/>
      <c r="FZ501" s="221"/>
      <c r="GA501" s="221"/>
      <c r="GB501" s="221"/>
      <c r="GC501" s="221"/>
      <c r="GD501" s="221"/>
      <c r="GE501" s="221"/>
      <c r="GF501" s="221"/>
      <c r="GG501" s="221"/>
      <c r="GH501" s="221"/>
      <c r="GI501" s="221"/>
      <c r="GJ501" s="221"/>
    </row>
    <row r="502" spans="3:192" ht="12.75" customHeight="1">
      <c r="C502" s="169"/>
      <c r="D502" s="169"/>
      <c r="E502" s="169"/>
      <c r="F502" s="169"/>
      <c r="G502" s="169"/>
      <c r="H502" s="169"/>
      <c r="I502" s="169"/>
      <c r="J502" s="169"/>
      <c r="K502" s="169"/>
      <c r="L502" s="169"/>
      <c r="M502" s="169"/>
      <c r="N502" s="169"/>
      <c r="O502" s="169"/>
      <c r="P502" s="169"/>
      <c r="Q502" s="169"/>
      <c r="R502" s="169"/>
      <c r="S502" s="169"/>
      <c r="T502" s="169"/>
      <c r="U502" s="169"/>
      <c r="V502" s="169"/>
      <c r="W502" s="169"/>
      <c r="X502" s="169"/>
      <c r="Y502" s="169"/>
      <c r="Z502" s="169"/>
      <c r="AA502" s="169"/>
      <c r="AB502" s="169"/>
      <c r="AC502" s="169"/>
      <c r="AD502" s="169"/>
      <c r="AE502" s="169"/>
      <c r="AF502" s="169"/>
      <c r="AG502" s="169"/>
      <c r="AH502" s="169"/>
      <c r="AI502" s="169"/>
      <c r="AJ502" s="169"/>
      <c r="AK502" s="169"/>
      <c r="AL502" s="169"/>
      <c r="AM502" s="169"/>
      <c r="AN502" s="169"/>
      <c r="AO502" s="169"/>
      <c r="AP502" s="169"/>
      <c r="AQ502" s="169"/>
      <c r="AR502" s="169"/>
      <c r="AS502" s="169"/>
      <c r="AT502" s="169"/>
      <c r="AU502" s="169"/>
      <c r="AV502" s="169"/>
      <c r="AW502" s="169"/>
      <c r="AX502" s="169"/>
      <c r="AY502" s="169"/>
      <c r="AZ502" s="169"/>
      <c r="BA502" s="169"/>
      <c r="BB502" s="169"/>
      <c r="BC502" s="169"/>
      <c r="BD502" s="169"/>
      <c r="BE502" s="169"/>
      <c r="BF502" s="169"/>
      <c r="BG502" s="169"/>
      <c r="BH502" s="169"/>
      <c r="BI502" s="169"/>
      <c r="BJ502" s="169"/>
      <c r="BK502" s="169"/>
      <c r="BL502" s="169"/>
      <c r="BM502" s="169"/>
      <c r="BN502" s="169"/>
      <c r="BO502" s="169"/>
      <c r="BP502" s="169"/>
      <c r="BQ502" s="169"/>
      <c r="BR502" s="169"/>
      <c r="BS502" s="169"/>
      <c r="BT502" s="169"/>
      <c r="BU502" s="169"/>
      <c r="BV502" s="169"/>
      <c r="BW502" s="169"/>
      <c r="BX502" s="169"/>
      <c r="BY502" s="169"/>
      <c r="BZ502" s="169"/>
      <c r="CA502" s="169"/>
      <c r="CB502" s="169"/>
      <c r="CC502" s="169"/>
      <c r="CD502" s="169"/>
      <c r="CE502" s="169"/>
      <c r="CF502" s="169"/>
      <c r="CG502" s="169"/>
      <c r="CH502" s="169"/>
      <c r="CI502" s="169"/>
      <c r="CJ502" s="169"/>
      <c r="CK502" s="169"/>
      <c r="CL502" s="169"/>
      <c r="CM502" s="169"/>
      <c r="CN502" s="169"/>
      <c r="CO502" s="169"/>
      <c r="CP502" s="169"/>
      <c r="CQ502" s="169"/>
      <c r="CR502" s="169"/>
      <c r="CS502" s="169"/>
      <c r="CT502" s="169"/>
      <c r="CU502" s="169"/>
      <c r="CV502" s="169"/>
      <c r="CW502" s="169"/>
      <c r="CX502" s="169"/>
      <c r="CY502" s="169"/>
      <c r="CZ502" s="169"/>
      <c r="DA502" s="169"/>
      <c r="DB502" s="169"/>
      <c r="DC502" s="169"/>
      <c r="DD502" s="169"/>
      <c r="DE502" s="169"/>
      <c r="DF502" s="169"/>
      <c r="DG502" s="169"/>
      <c r="DH502" s="169"/>
      <c r="DI502" s="169"/>
      <c r="DJ502" s="169"/>
      <c r="DK502" s="169"/>
      <c r="DL502" s="169"/>
      <c r="DM502" s="169"/>
      <c r="DN502" s="169"/>
      <c r="DO502" s="169"/>
      <c r="DP502" s="169"/>
      <c r="DQ502" s="169"/>
      <c r="DR502" s="169"/>
      <c r="DS502" s="169"/>
      <c r="DT502" s="169"/>
      <c r="DU502" s="169"/>
      <c r="DV502" s="169"/>
      <c r="DW502" s="169"/>
      <c r="DX502" s="169"/>
      <c r="DY502" s="169"/>
      <c r="DZ502" s="169"/>
      <c r="EA502" s="169"/>
      <c r="EB502" s="169"/>
      <c r="EC502" s="169"/>
      <c r="ED502" s="169"/>
      <c r="EE502" s="169"/>
      <c r="EF502" s="169"/>
      <c r="EG502" s="169"/>
      <c r="EH502" s="169"/>
      <c r="EI502" s="169"/>
      <c r="EJ502" s="169"/>
      <c r="EK502" s="169"/>
      <c r="EL502" s="169"/>
      <c r="EM502" s="169"/>
      <c r="EN502" s="169"/>
      <c r="EO502" s="169"/>
      <c r="EP502" s="169"/>
      <c r="EQ502" s="169"/>
      <c r="ER502" s="169"/>
      <c r="ES502" s="169"/>
      <c r="ET502" s="169"/>
      <c r="EU502" s="169"/>
      <c r="EV502" s="169"/>
      <c r="EW502" s="169"/>
      <c r="EX502" s="169"/>
      <c r="EY502" s="169"/>
      <c r="EZ502" s="169"/>
      <c r="FA502" s="169"/>
      <c r="FB502" s="169"/>
      <c r="FC502" s="169"/>
      <c r="FD502" s="169"/>
      <c r="FE502" s="169"/>
      <c r="FF502" s="169"/>
      <c r="FG502" s="169"/>
      <c r="FH502" s="169"/>
      <c r="FI502" s="169"/>
      <c r="FJ502" s="169"/>
      <c r="FK502" s="169"/>
      <c r="FL502" s="169"/>
      <c r="FM502" s="169"/>
      <c r="FN502" s="169"/>
      <c r="FO502" s="169"/>
      <c r="FP502" s="169"/>
      <c r="FQ502" s="169"/>
      <c r="FR502" s="169"/>
      <c r="FS502" s="169"/>
      <c r="FT502" s="169"/>
      <c r="FU502" s="169"/>
      <c r="FV502" s="169"/>
      <c r="FW502" s="169"/>
      <c r="FX502" s="169"/>
      <c r="FY502" s="169"/>
      <c r="FZ502" s="169"/>
      <c r="GA502" s="169"/>
      <c r="GB502" s="169"/>
      <c r="GC502" s="169"/>
      <c r="GD502" s="169"/>
      <c r="GE502" s="169"/>
      <c r="GF502" s="169"/>
      <c r="GG502" s="169"/>
      <c r="GH502" s="169"/>
      <c r="GI502" s="169"/>
      <c r="GJ502" s="169"/>
    </row>
    <row r="503" spans="3:192" ht="12.75" customHeight="1">
      <c r="C503" s="220"/>
      <c r="D503" s="169"/>
      <c r="E503" s="169"/>
      <c r="F503" s="169"/>
      <c r="G503" s="169"/>
      <c r="H503" s="220"/>
      <c r="I503" s="169"/>
      <c r="J503" s="169"/>
      <c r="K503" s="169"/>
      <c r="L503" s="169"/>
      <c r="M503" s="220"/>
      <c r="N503" s="169"/>
      <c r="O503" s="169"/>
      <c r="P503" s="169"/>
      <c r="Q503" s="169"/>
      <c r="R503" s="220"/>
      <c r="S503" s="169"/>
      <c r="T503" s="169"/>
      <c r="U503" s="169"/>
      <c r="V503" s="169"/>
      <c r="W503" s="220"/>
      <c r="X503" s="169"/>
      <c r="Y503" s="169"/>
      <c r="Z503" s="169"/>
      <c r="AA503" s="169"/>
      <c r="AB503" s="220"/>
      <c r="AC503" s="169"/>
      <c r="AD503" s="169"/>
      <c r="AE503" s="169"/>
      <c r="AF503" s="169"/>
      <c r="AG503" s="220"/>
      <c r="AH503" s="169"/>
      <c r="AI503" s="169"/>
      <c r="AJ503" s="169"/>
      <c r="AK503" s="169"/>
      <c r="AL503" s="220"/>
      <c r="AM503" s="169"/>
      <c r="AN503" s="169"/>
      <c r="AO503" s="169"/>
      <c r="AP503" s="169"/>
      <c r="AQ503" s="220"/>
      <c r="AR503" s="169"/>
      <c r="AS503" s="169"/>
      <c r="AT503" s="169"/>
      <c r="AU503" s="169"/>
      <c r="AV503" s="220"/>
      <c r="AW503" s="169"/>
      <c r="AX503" s="169"/>
      <c r="AY503" s="169"/>
      <c r="AZ503" s="169"/>
      <c r="BA503" s="220"/>
      <c r="BB503" s="169"/>
      <c r="BC503" s="169"/>
      <c r="BD503" s="169"/>
      <c r="BE503" s="169"/>
      <c r="BF503" s="220"/>
      <c r="BG503" s="169"/>
      <c r="BH503" s="169"/>
      <c r="BI503" s="169"/>
      <c r="BJ503" s="169"/>
      <c r="BK503" s="220"/>
      <c r="BL503" s="169"/>
      <c r="BM503" s="169"/>
      <c r="BN503" s="169"/>
      <c r="BO503" s="169"/>
      <c r="BP503" s="220"/>
      <c r="BQ503" s="169"/>
      <c r="BR503" s="169"/>
      <c r="BS503" s="169"/>
      <c r="BT503" s="169"/>
      <c r="BU503" s="220"/>
      <c r="BV503" s="169"/>
      <c r="BW503" s="169"/>
      <c r="BX503" s="169"/>
      <c r="BY503" s="169"/>
      <c r="BZ503" s="220"/>
      <c r="CA503" s="169"/>
      <c r="CB503" s="169"/>
      <c r="CC503" s="169"/>
      <c r="CD503" s="169"/>
      <c r="CE503" s="220"/>
      <c r="CF503" s="169"/>
      <c r="CG503" s="169"/>
      <c r="CH503" s="169"/>
      <c r="CI503" s="169"/>
      <c r="CJ503" s="220"/>
      <c r="CK503" s="169"/>
      <c r="CL503" s="169"/>
      <c r="CM503" s="169"/>
      <c r="CN503" s="169"/>
      <c r="CO503" s="220"/>
      <c r="CP503" s="169"/>
      <c r="CQ503" s="169"/>
      <c r="CR503" s="169"/>
      <c r="CS503" s="169"/>
      <c r="CT503" s="220"/>
      <c r="CU503" s="169"/>
      <c r="CV503" s="169"/>
      <c r="CW503" s="169"/>
      <c r="CX503" s="169"/>
      <c r="CY503" s="220"/>
      <c r="CZ503" s="169"/>
      <c r="DA503" s="169"/>
      <c r="DB503" s="169"/>
      <c r="DC503" s="169"/>
      <c r="DD503" s="220"/>
      <c r="DE503" s="169"/>
      <c r="DF503" s="169"/>
      <c r="DG503" s="169"/>
      <c r="DH503" s="169"/>
      <c r="DI503" s="220"/>
      <c r="DJ503" s="169"/>
      <c r="DK503" s="169"/>
      <c r="DL503" s="169"/>
      <c r="DM503" s="169"/>
      <c r="DN503" s="220"/>
      <c r="DO503" s="169"/>
      <c r="DP503" s="169"/>
      <c r="DQ503" s="169"/>
      <c r="DR503" s="169"/>
      <c r="DS503" s="220"/>
      <c r="DT503" s="169"/>
      <c r="DU503" s="169"/>
      <c r="DV503" s="169"/>
      <c r="DW503" s="169"/>
      <c r="DX503" s="220"/>
      <c r="DY503" s="169"/>
      <c r="DZ503" s="169"/>
      <c r="EA503" s="169"/>
      <c r="EB503" s="169"/>
      <c r="EC503" s="220"/>
      <c r="ED503" s="169"/>
      <c r="EE503" s="169"/>
      <c r="EF503" s="169"/>
      <c r="EG503" s="169"/>
      <c r="EH503" s="220"/>
      <c r="EI503" s="169"/>
      <c r="EJ503" s="169"/>
      <c r="EK503" s="169"/>
      <c r="EL503" s="169"/>
      <c r="EM503" s="220"/>
      <c r="EN503" s="169"/>
      <c r="EO503" s="169"/>
      <c r="EP503" s="169"/>
      <c r="EQ503" s="169"/>
      <c r="ER503" s="220"/>
      <c r="ES503" s="169"/>
      <c r="ET503" s="169"/>
      <c r="EU503" s="169"/>
      <c r="EV503" s="169"/>
      <c r="EW503" s="220"/>
      <c r="EX503" s="169"/>
      <c r="EY503" s="169"/>
      <c r="EZ503" s="169"/>
      <c r="FA503" s="169"/>
      <c r="FB503" s="220"/>
      <c r="FC503" s="169"/>
      <c r="FD503" s="169"/>
      <c r="FE503" s="169"/>
      <c r="FF503" s="169"/>
      <c r="FG503" s="220"/>
      <c r="FH503" s="169"/>
      <c r="FI503" s="169"/>
      <c r="FJ503" s="169"/>
      <c r="FK503" s="169"/>
      <c r="FL503" s="220"/>
      <c r="FM503" s="169"/>
      <c r="FN503" s="169"/>
      <c r="FO503" s="169"/>
      <c r="FP503" s="169"/>
      <c r="FQ503" s="220"/>
      <c r="FR503" s="169"/>
      <c r="FS503" s="169"/>
      <c r="FT503" s="169"/>
      <c r="FU503" s="169"/>
      <c r="FV503" s="220"/>
      <c r="FW503" s="169"/>
      <c r="FX503" s="169"/>
      <c r="FY503" s="169"/>
      <c r="FZ503" s="169"/>
      <c r="GA503" s="220"/>
      <c r="GB503" s="169"/>
      <c r="GC503" s="169"/>
      <c r="GD503" s="169"/>
      <c r="GE503" s="169"/>
      <c r="GF503" s="220"/>
      <c r="GG503" s="169"/>
      <c r="GH503" s="169"/>
      <c r="GI503" s="169"/>
      <c r="GJ503" s="169"/>
    </row>
    <row r="504" spans="3:192" ht="12.75" customHeight="1">
      <c r="C504" s="220"/>
      <c r="D504" s="169"/>
      <c r="E504" s="169"/>
      <c r="F504" s="169"/>
      <c r="G504" s="169"/>
      <c r="H504" s="220"/>
      <c r="I504" s="169"/>
      <c r="J504" s="169"/>
      <c r="K504" s="169"/>
      <c r="L504" s="169"/>
      <c r="M504" s="220"/>
      <c r="N504" s="169"/>
      <c r="O504" s="169"/>
      <c r="P504" s="169"/>
      <c r="Q504" s="169"/>
      <c r="R504" s="220"/>
      <c r="S504" s="169"/>
      <c r="T504" s="169"/>
      <c r="U504" s="169"/>
      <c r="V504" s="169"/>
      <c r="W504" s="220"/>
      <c r="X504" s="169"/>
      <c r="Y504" s="169"/>
      <c r="Z504" s="169"/>
      <c r="AA504" s="169"/>
      <c r="AB504" s="220"/>
      <c r="AC504" s="169"/>
      <c r="AD504" s="169"/>
      <c r="AE504" s="169"/>
      <c r="AF504" s="169"/>
      <c r="AG504" s="220"/>
      <c r="AH504" s="169"/>
      <c r="AI504" s="169"/>
      <c r="AJ504" s="169"/>
      <c r="AK504" s="169"/>
      <c r="AL504" s="220"/>
      <c r="AM504" s="169"/>
      <c r="AN504" s="169"/>
      <c r="AO504" s="169"/>
      <c r="AP504" s="169"/>
      <c r="AQ504" s="220"/>
      <c r="AR504" s="169"/>
      <c r="AS504" s="169"/>
      <c r="AT504" s="169"/>
      <c r="AU504" s="169"/>
      <c r="AV504" s="220"/>
      <c r="AW504" s="169"/>
      <c r="AX504" s="169"/>
      <c r="AY504" s="169"/>
      <c r="AZ504" s="169"/>
      <c r="BA504" s="220"/>
      <c r="BB504" s="169"/>
      <c r="BC504" s="169"/>
      <c r="BD504" s="169"/>
      <c r="BE504" s="169"/>
      <c r="BF504" s="220"/>
      <c r="BG504" s="169"/>
      <c r="BH504" s="169"/>
      <c r="BI504" s="169"/>
      <c r="BJ504" s="169"/>
      <c r="BK504" s="220"/>
      <c r="BL504" s="169"/>
      <c r="BM504" s="169"/>
      <c r="BN504" s="169"/>
      <c r="BO504" s="169"/>
      <c r="BP504" s="220"/>
      <c r="BQ504" s="169"/>
      <c r="BR504" s="169"/>
      <c r="BS504" s="169"/>
      <c r="BT504" s="169"/>
      <c r="BU504" s="220"/>
      <c r="BV504" s="169"/>
      <c r="BW504" s="169"/>
      <c r="BX504" s="169"/>
      <c r="BY504" s="169"/>
      <c r="BZ504" s="220"/>
      <c r="CA504" s="169"/>
      <c r="CB504" s="169"/>
      <c r="CC504" s="169"/>
      <c r="CD504" s="169"/>
      <c r="CE504" s="220"/>
      <c r="CF504" s="169"/>
      <c r="CG504" s="169"/>
      <c r="CH504" s="169"/>
      <c r="CI504" s="169"/>
      <c r="CJ504" s="220"/>
      <c r="CK504" s="169"/>
      <c r="CL504" s="169"/>
      <c r="CM504" s="169"/>
      <c r="CN504" s="169"/>
      <c r="CO504" s="220"/>
      <c r="CP504" s="169"/>
      <c r="CQ504" s="169"/>
      <c r="CR504" s="169"/>
      <c r="CS504" s="169"/>
      <c r="CT504" s="220"/>
      <c r="CU504" s="169"/>
      <c r="CV504" s="169"/>
      <c r="CW504" s="169"/>
      <c r="CX504" s="169"/>
      <c r="CY504" s="220"/>
      <c r="CZ504" s="169"/>
      <c r="DA504" s="169"/>
      <c r="DB504" s="169"/>
      <c r="DC504" s="169"/>
      <c r="DD504" s="220"/>
      <c r="DE504" s="169"/>
      <c r="DF504" s="169"/>
      <c r="DG504" s="169"/>
      <c r="DH504" s="169"/>
      <c r="DI504" s="220"/>
      <c r="DJ504" s="169"/>
      <c r="DK504" s="169"/>
      <c r="DL504" s="169"/>
      <c r="DM504" s="169"/>
      <c r="DN504" s="220"/>
      <c r="DO504" s="169"/>
      <c r="DP504" s="169"/>
      <c r="DQ504" s="169"/>
      <c r="DR504" s="169"/>
      <c r="DS504" s="220"/>
      <c r="DT504" s="169"/>
      <c r="DU504" s="169"/>
      <c r="DV504" s="169"/>
      <c r="DW504" s="169"/>
      <c r="DX504" s="220"/>
      <c r="DY504" s="169"/>
      <c r="DZ504" s="169"/>
      <c r="EA504" s="169"/>
      <c r="EB504" s="169"/>
      <c r="EC504" s="220"/>
      <c r="ED504" s="169"/>
      <c r="EE504" s="169"/>
      <c r="EF504" s="169"/>
      <c r="EG504" s="169"/>
      <c r="EH504" s="220"/>
      <c r="EI504" s="169"/>
      <c r="EJ504" s="169"/>
      <c r="EK504" s="169"/>
      <c r="EL504" s="169"/>
      <c r="EM504" s="220"/>
      <c r="EN504" s="169"/>
      <c r="EO504" s="169"/>
      <c r="EP504" s="169"/>
      <c r="EQ504" s="169"/>
      <c r="ER504" s="220"/>
      <c r="ES504" s="169"/>
      <c r="ET504" s="169"/>
      <c r="EU504" s="169"/>
      <c r="EV504" s="169"/>
      <c r="EW504" s="220"/>
      <c r="EX504" s="169"/>
      <c r="EY504" s="169"/>
      <c r="EZ504" s="169"/>
      <c r="FA504" s="169"/>
      <c r="FB504" s="220"/>
      <c r="FC504" s="169"/>
      <c r="FD504" s="169"/>
      <c r="FE504" s="169"/>
      <c r="FF504" s="169"/>
      <c r="FG504" s="220"/>
      <c r="FH504" s="169"/>
      <c r="FI504" s="169"/>
      <c r="FJ504" s="169"/>
      <c r="FK504" s="169"/>
      <c r="FL504" s="220"/>
      <c r="FM504" s="169"/>
      <c r="FN504" s="169"/>
      <c r="FO504" s="169"/>
      <c r="FP504" s="169"/>
      <c r="FQ504" s="220"/>
      <c r="FR504" s="169"/>
      <c r="FS504" s="169"/>
      <c r="FT504" s="169"/>
      <c r="FU504" s="169"/>
      <c r="FV504" s="220"/>
      <c r="FW504" s="169"/>
      <c r="FX504" s="169"/>
      <c r="FY504" s="169"/>
      <c r="FZ504" s="169"/>
      <c r="GA504" s="220"/>
      <c r="GB504" s="169"/>
      <c r="GC504" s="169"/>
      <c r="GD504" s="169"/>
      <c r="GE504" s="169"/>
      <c r="GF504" s="220"/>
      <c r="GG504" s="169"/>
      <c r="GH504" s="169"/>
      <c r="GI504" s="169"/>
      <c r="GJ504" s="169"/>
    </row>
    <row r="505" spans="3:192" ht="12.75" customHeight="1">
      <c r="C505" s="220"/>
      <c r="D505" s="169"/>
      <c r="E505" s="169"/>
      <c r="F505" s="169"/>
      <c r="G505" s="169"/>
      <c r="H505" s="220"/>
      <c r="I505" s="169"/>
      <c r="J505" s="169"/>
      <c r="K505" s="169"/>
      <c r="L505" s="169"/>
      <c r="M505" s="220"/>
      <c r="N505" s="169"/>
      <c r="O505" s="169"/>
      <c r="P505" s="169"/>
      <c r="Q505" s="169"/>
      <c r="R505" s="220"/>
      <c r="S505" s="169"/>
      <c r="T505" s="169"/>
      <c r="U505" s="169"/>
      <c r="V505" s="169"/>
      <c r="W505" s="220"/>
      <c r="X505" s="169"/>
      <c r="Y505" s="169"/>
      <c r="Z505" s="169"/>
      <c r="AA505" s="169"/>
      <c r="AB505" s="220"/>
      <c r="AC505" s="169"/>
      <c r="AD505" s="169"/>
      <c r="AE505" s="169"/>
      <c r="AF505" s="169"/>
      <c r="AG505" s="220"/>
      <c r="AH505" s="169"/>
      <c r="AI505" s="169"/>
      <c r="AJ505" s="169"/>
      <c r="AK505" s="169"/>
      <c r="AL505" s="220"/>
      <c r="AM505" s="169"/>
      <c r="AN505" s="169"/>
      <c r="AO505" s="169"/>
      <c r="AP505" s="169"/>
      <c r="AQ505" s="220"/>
      <c r="AR505" s="169"/>
      <c r="AS505" s="169"/>
      <c r="AT505" s="169"/>
      <c r="AU505" s="169"/>
      <c r="AV505" s="220"/>
      <c r="AW505" s="169"/>
      <c r="AX505" s="169"/>
      <c r="AY505" s="169"/>
      <c r="AZ505" s="169"/>
      <c r="BA505" s="220"/>
      <c r="BB505" s="169"/>
      <c r="BC505" s="169"/>
      <c r="BD505" s="169"/>
      <c r="BE505" s="169"/>
      <c r="BF505" s="220"/>
      <c r="BG505" s="169"/>
      <c r="BH505" s="169"/>
      <c r="BI505" s="169"/>
      <c r="BJ505" s="169"/>
      <c r="BK505" s="220"/>
      <c r="BL505" s="169"/>
      <c r="BM505" s="169"/>
      <c r="BN505" s="169"/>
      <c r="BO505" s="169"/>
      <c r="BP505" s="220"/>
      <c r="BQ505" s="169"/>
      <c r="BR505" s="169"/>
      <c r="BS505" s="169"/>
      <c r="BT505" s="169"/>
      <c r="BU505" s="220"/>
      <c r="BV505" s="169"/>
      <c r="BW505" s="169"/>
      <c r="BX505" s="169"/>
      <c r="BY505" s="169"/>
      <c r="BZ505" s="220"/>
      <c r="CA505" s="169"/>
      <c r="CB505" s="169"/>
      <c r="CC505" s="169"/>
      <c r="CD505" s="169"/>
      <c r="CE505" s="220"/>
      <c r="CF505" s="169"/>
      <c r="CG505" s="169"/>
      <c r="CH505" s="169"/>
      <c r="CI505" s="169"/>
      <c r="CJ505" s="220"/>
      <c r="CK505" s="169"/>
      <c r="CL505" s="169"/>
      <c r="CM505" s="169"/>
      <c r="CN505" s="169"/>
      <c r="CO505" s="220"/>
      <c r="CP505" s="169"/>
      <c r="CQ505" s="169"/>
      <c r="CR505" s="169"/>
      <c r="CS505" s="169"/>
      <c r="CT505" s="220"/>
      <c r="CU505" s="169"/>
      <c r="CV505" s="169"/>
      <c r="CW505" s="169"/>
      <c r="CX505" s="169"/>
      <c r="CY505" s="220"/>
      <c r="CZ505" s="169"/>
      <c r="DA505" s="169"/>
      <c r="DB505" s="169"/>
      <c r="DC505" s="169"/>
      <c r="DD505" s="220"/>
      <c r="DE505" s="169"/>
      <c r="DF505" s="169"/>
      <c r="DG505" s="169"/>
      <c r="DH505" s="169"/>
      <c r="DI505" s="220"/>
      <c r="DJ505" s="169"/>
      <c r="DK505" s="169"/>
      <c r="DL505" s="169"/>
      <c r="DM505" s="169"/>
      <c r="DN505" s="220"/>
      <c r="DO505" s="169"/>
      <c r="DP505" s="169"/>
      <c r="DQ505" s="169"/>
      <c r="DR505" s="169"/>
      <c r="DS505" s="220"/>
      <c r="DT505" s="169"/>
      <c r="DU505" s="169"/>
      <c r="DV505" s="169"/>
      <c r="DW505" s="169"/>
      <c r="DX505" s="220"/>
      <c r="DY505" s="169"/>
      <c r="DZ505" s="169"/>
      <c r="EA505" s="169"/>
      <c r="EB505" s="169"/>
      <c r="EC505" s="220"/>
      <c r="ED505" s="169"/>
      <c r="EE505" s="169"/>
      <c r="EF505" s="169"/>
      <c r="EG505" s="169"/>
      <c r="EH505" s="220"/>
      <c r="EI505" s="169"/>
      <c r="EJ505" s="169"/>
      <c r="EK505" s="169"/>
      <c r="EL505" s="169"/>
      <c r="EM505" s="220"/>
      <c r="EN505" s="169"/>
      <c r="EO505" s="169"/>
      <c r="EP505" s="169"/>
      <c r="EQ505" s="169"/>
      <c r="ER505" s="220"/>
      <c r="ES505" s="169"/>
      <c r="ET505" s="169"/>
      <c r="EU505" s="169"/>
      <c r="EV505" s="169"/>
      <c r="EW505" s="220"/>
      <c r="EX505" s="169"/>
      <c r="EY505" s="169"/>
      <c r="EZ505" s="169"/>
      <c r="FA505" s="169"/>
      <c r="FB505" s="220"/>
      <c r="FC505" s="169"/>
      <c r="FD505" s="169"/>
      <c r="FE505" s="169"/>
      <c r="FF505" s="169"/>
      <c r="FG505" s="220"/>
      <c r="FH505" s="169"/>
      <c r="FI505" s="169"/>
      <c r="FJ505" s="169"/>
      <c r="FK505" s="169"/>
      <c r="FL505" s="220"/>
      <c r="FM505" s="169"/>
      <c r="FN505" s="169"/>
      <c r="FO505" s="169"/>
      <c r="FP505" s="169"/>
      <c r="FQ505" s="220"/>
      <c r="FR505" s="169"/>
      <c r="FS505" s="169"/>
      <c r="FT505" s="169"/>
      <c r="FU505" s="169"/>
      <c r="FV505" s="220"/>
      <c r="FW505" s="169"/>
      <c r="FX505" s="169"/>
      <c r="FY505" s="169"/>
      <c r="FZ505" s="169"/>
      <c r="GA505" s="220"/>
      <c r="GB505" s="169"/>
      <c r="GC505" s="169"/>
      <c r="GD505" s="169"/>
      <c r="GE505" s="169"/>
      <c r="GF505" s="220"/>
      <c r="GG505" s="169"/>
      <c r="GH505" s="169"/>
      <c r="GI505" s="169"/>
      <c r="GJ505" s="169"/>
    </row>
    <row r="506" spans="3:192" ht="12.75" customHeight="1">
      <c r="C506" s="220"/>
      <c r="D506" s="169"/>
      <c r="E506" s="169"/>
      <c r="F506" s="169"/>
      <c r="G506" s="169"/>
      <c r="H506" s="220"/>
      <c r="I506" s="169"/>
      <c r="J506" s="169"/>
      <c r="K506" s="169"/>
      <c r="L506" s="169"/>
      <c r="M506" s="220"/>
      <c r="N506" s="169"/>
      <c r="O506" s="169"/>
      <c r="P506" s="169"/>
      <c r="Q506" s="169"/>
      <c r="R506" s="220"/>
      <c r="S506" s="169"/>
      <c r="T506" s="169"/>
      <c r="U506" s="169"/>
      <c r="V506" s="169"/>
      <c r="W506" s="220"/>
      <c r="X506" s="169"/>
      <c r="Y506" s="169"/>
      <c r="Z506" s="169"/>
      <c r="AA506" s="169"/>
      <c r="AB506" s="220"/>
      <c r="AC506" s="169"/>
      <c r="AD506" s="169"/>
      <c r="AE506" s="169"/>
      <c r="AF506" s="169"/>
      <c r="AG506" s="220"/>
      <c r="AH506" s="169"/>
      <c r="AI506" s="169"/>
      <c r="AJ506" s="169"/>
      <c r="AK506" s="169"/>
      <c r="AL506" s="220"/>
      <c r="AM506" s="169"/>
      <c r="AN506" s="169"/>
      <c r="AO506" s="169"/>
      <c r="AP506" s="169"/>
      <c r="AQ506" s="220"/>
      <c r="AR506" s="169"/>
      <c r="AS506" s="169"/>
      <c r="AT506" s="169"/>
      <c r="AU506" s="169"/>
      <c r="AV506" s="220"/>
      <c r="AW506" s="169"/>
      <c r="AX506" s="169"/>
      <c r="AY506" s="169"/>
      <c r="AZ506" s="169"/>
      <c r="BA506" s="220"/>
      <c r="BB506" s="169"/>
      <c r="BC506" s="169"/>
      <c r="BD506" s="169"/>
      <c r="BE506" s="169"/>
      <c r="BF506" s="220"/>
      <c r="BG506" s="169"/>
      <c r="BH506" s="169"/>
      <c r="BI506" s="169"/>
      <c r="BJ506" s="169"/>
      <c r="BK506" s="220"/>
      <c r="BL506" s="169"/>
      <c r="BM506" s="169"/>
      <c r="BN506" s="169"/>
      <c r="BO506" s="169"/>
      <c r="BP506" s="220"/>
      <c r="BQ506" s="169"/>
      <c r="BR506" s="169"/>
      <c r="BS506" s="169"/>
      <c r="BT506" s="169"/>
      <c r="BU506" s="220"/>
      <c r="BV506" s="169"/>
      <c r="BW506" s="169"/>
      <c r="BX506" s="169"/>
      <c r="BY506" s="169"/>
      <c r="BZ506" s="220"/>
      <c r="CA506" s="169"/>
      <c r="CB506" s="169"/>
      <c r="CC506" s="169"/>
      <c r="CD506" s="169"/>
      <c r="CE506" s="220"/>
      <c r="CF506" s="169"/>
      <c r="CG506" s="169"/>
      <c r="CH506" s="169"/>
      <c r="CI506" s="169"/>
      <c r="CJ506" s="220"/>
      <c r="CK506" s="169"/>
      <c r="CL506" s="169"/>
      <c r="CM506" s="169"/>
      <c r="CN506" s="169"/>
      <c r="CO506" s="220"/>
      <c r="CP506" s="169"/>
      <c r="CQ506" s="169"/>
      <c r="CR506" s="169"/>
      <c r="CS506" s="169"/>
      <c r="CT506" s="220"/>
      <c r="CU506" s="169"/>
      <c r="CV506" s="169"/>
      <c r="CW506" s="169"/>
      <c r="CX506" s="169"/>
      <c r="CY506" s="220"/>
      <c r="CZ506" s="169"/>
      <c r="DA506" s="169"/>
      <c r="DB506" s="169"/>
      <c r="DC506" s="169"/>
      <c r="DD506" s="220"/>
      <c r="DE506" s="169"/>
      <c r="DF506" s="169"/>
      <c r="DG506" s="169"/>
      <c r="DH506" s="169"/>
      <c r="DI506" s="220"/>
      <c r="DJ506" s="169"/>
      <c r="DK506" s="169"/>
      <c r="DL506" s="169"/>
      <c r="DM506" s="169"/>
      <c r="DN506" s="220"/>
      <c r="DO506" s="169"/>
      <c r="DP506" s="169"/>
      <c r="DQ506" s="169"/>
      <c r="DR506" s="169"/>
      <c r="DS506" s="220"/>
      <c r="DT506" s="169"/>
      <c r="DU506" s="169"/>
      <c r="DV506" s="169"/>
      <c r="DW506" s="169"/>
      <c r="DX506" s="220"/>
      <c r="DY506" s="169"/>
      <c r="DZ506" s="169"/>
      <c r="EA506" s="169"/>
      <c r="EB506" s="169"/>
      <c r="EC506" s="220"/>
      <c r="ED506" s="169"/>
      <c r="EE506" s="169"/>
      <c r="EF506" s="169"/>
      <c r="EG506" s="169"/>
      <c r="EH506" s="220"/>
      <c r="EI506" s="169"/>
      <c r="EJ506" s="169"/>
      <c r="EK506" s="169"/>
      <c r="EL506" s="169"/>
      <c r="EM506" s="220"/>
      <c r="EN506" s="169"/>
      <c r="EO506" s="169"/>
      <c r="EP506" s="169"/>
      <c r="EQ506" s="169"/>
      <c r="ER506" s="220"/>
      <c r="ES506" s="169"/>
      <c r="ET506" s="169"/>
      <c r="EU506" s="169"/>
      <c r="EV506" s="169"/>
      <c r="EW506" s="220"/>
      <c r="EX506" s="169"/>
      <c r="EY506" s="169"/>
      <c r="EZ506" s="169"/>
      <c r="FA506" s="169"/>
      <c r="FB506" s="220"/>
      <c r="FC506" s="169"/>
      <c r="FD506" s="169"/>
      <c r="FE506" s="169"/>
      <c r="FF506" s="169"/>
      <c r="FG506" s="220"/>
      <c r="FH506" s="169"/>
      <c r="FI506" s="169"/>
      <c r="FJ506" s="169"/>
      <c r="FK506" s="169"/>
      <c r="FL506" s="220"/>
      <c r="FM506" s="169"/>
      <c r="FN506" s="169"/>
      <c r="FO506" s="169"/>
      <c r="FP506" s="169"/>
      <c r="FQ506" s="220"/>
      <c r="FR506" s="169"/>
      <c r="FS506" s="169"/>
      <c r="FT506" s="169"/>
      <c r="FU506" s="169"/>
      <c r="FV506" s="220"/>
      <c r="FW506" s="169"/>
      <c r="FX506" s="169"/>
      <c r="FY506" s="169"/>
      <c r="FZ506" s="169"/>
      <c r="GA506" s="220"/>
      <c r="GB506" s="169"/>
      <c r="GC506" s="169"/>
      <c r="GD506" s="169"/>
      <c r="GE506" s="169"/>
      <c r="GF506" s="220"/>
      <c r="GG506" s="169"/>
      <c r="GH506" s="169"/>
      <c r="GI506" s="169"/>
      <c r="GJ506" s="169"/>
    </row>
    <row r="507" spans="3:192" ht="12.75" customHeight="1">
      <c r="C507" s="220"/>
      <c r="D507" s="169"/>
      <c r="E507" s="169"/>
      <c r="F507" s="169"/>
      <c r="G507" s="169"/>
      <c r="H507" s="220"/>
      <c r="I507" s="169"/>
      <c r="J507" s="169"/>
      <c r="K507" s="169"/>
      <c r="L507" s="169"/>
      <c r="M507" s="220"/>
      <c r="N507" s="169"/>
      <c r="O507" s="169"/>
      <c r="P507" s="169"/>
      <c r="Q507" s="169"/>
      <c r="R507" s="220"/>
      <c r="S507" s="169"/>
      <c r="T507" s="169"/>
      <c r="U507" s="169"/>
      <c r="V507" s="169"/>
      <c r="W507" s="220"/>
      <c r="X507" s="169"/>
      <c r="Y507" s="169"/>
      <c r="Z507" s="169"/>
      <c r="AA507" s="169"/>
      <c r="AB507" s="220"/>
      <c r="AC507" s="169"/>
      <c r="AD507" s="169"/>
      <c r="AE507" s="169"/>
      <c r="AF507" s="169"/>
      <c r="AG507" s="220"/>
      <c r="AH507" s="169"/>
      <c r="AI507" s="169"/>
      <c r="AJ507" s="169"/>
      <c r="AK507" s="169"/>
      <c r="AL507" s="220"/>
      <c r="AM507" s="169"/>
      <c r="AN507" s="169"/>
      <c r="AO507" s="169"/>
      <c r="AP507" s="169"/>
      <c r="AQ507" s="220"/>
      <c r="AR507" s="169"/>
      <c r="AS507" s="169"/>
      <c r="AT507" s="169"/>
      <c r="AU507" s="169"/>
      <c r="AV507" s="220"/>
      <c r="AW507" s="169"/>
      <c r="AX507" s="169"/>
      <c r="AY507" s="169"/>
      <c r="AZ507" s="169"/>
      <c r="BA507" s="220"/>
      <c r="BB507" s="169"/>
      <c r="BC507" s="169"/>
      <c r="BD507" s="169"/>
      <c r="BE507" s="169"/>
      <c r="BF507" s="220"/>
      <c r="BG507" s="169"/>
      <c r="BH507" s="169"/>
      <c r="BI507" s="169"/>
      <c r="BJ507" s="169"/>
      <c r="BK507" s="220"/>
      <c r="BL507" s="169"/>
      <c r="BM507" s="169"/>
      <c r="BN507" s="169"/>
      <c r="BO507" s="169"/>
      <c r="BP507" s="220"/>
      <c r="BQ507" s="169"/>
      <c r="BR507" s="169"/>
      <c r="BS507" s="169"/>
      <c r="BT507" s="169"/>
      <c r="BU507" s="220"/>
      <c r="BV507" s="169"/>
      <c r="BW507" s="169"/>
      <c r="BX507" s="169"/>
      <c r="BY507" s="169"/>
      <c r="BZ507" s="220"/>
      <c r="CA507" s="169"/>
      <c r="CB507" s="169"/>
      <c r="CC507" s="169"/>
      <c r="CD507" s="169"/>
      <c r="CE507" s="220"/>
      <c r="CF507" s="169"/>
      <c r="CG507" s="169"/>
      <c r="CH507" s="169"/>
      <c r="CI507" s="169"/>
      <c r="CJ507" s="220"/>
      <c r="CK507" s="169"/>
      <c r="CL507" s="169"/>
      <c r="CM507" s="169"/>
      <c r="CN507" s="169"/>
      <c r="CO507" s="220"/>
      <c r="CP507" s="169"/>
      <c r="CQ507" s="169"/>
      <c r="CR507" s="169"/>
      <c r="CS507" s="169"/>
      <c r="CT507" s="220"/>
      <c r="CU507" s="169"/>
      <c r="CV507" s="169"/>
      <c r="CW507" s="169"/>
      <c r="CX507" s="169"/>
      <c r="CY507" s="220"/>
      <c r="CZ507" s="169"/>
      <c r="DA507" s="169"/>
      <c r="DB507" s="169"/>
      <c r="DC507" s="169"/>
      <c r="DD507" s="220"/>
      <c r="DE507" s="169"/>
      <c r="DF507" s="169"/>
      <c r="DG507" s="169"/>
      <c r="DH507" s="169"/>
      <c r="DI507" s="220"/>
      <c r="DJ507" s="169"/>
      <c r="DK507" s="169"/>
      <c r="DL507" s="169"/>
      <c r="DM507" s="169"/>
      <c r="DN507" s="220"/>
      <c r="DO507" s="169"/>
      <c r="DP507" s="169"/>
      <c r="DQ507" s="169"/>
      <c r="DR507" s="169"/>
      <c r="DS507" s="220"/>
      <c r="DT507" s="169"/>
      <c r="DU507" s="169"/>
      <c r="DV507" s="169"/>
      <c r="DW507" s="169"/>
      <c r="DX507" s="220"/>
      <c r="DY507" s="169"/>
      <c r="DZ507" s="169"/>
      <c r="EA507" s="169"/>
      <c r="EB507" s="169"/>
      <c r="EC507" s="220"/>
      <c r="ED507" s="169"/>
      <c r="EE507" s="169"/>
      <c r="EF507" s="169"/>
      <c r="EG507" s="169"/>
      <c r="EH507" s="220"/>
      <c r="EI507" s="169"/>
      <c r="EJ507" s="169"/>
      <c r="EK507" s="169"/>
      <c r="EL507" s="169"/>
      <c r="EM507" s="220"/>
      <c r="EN507" s="169"/>
      <c r="EO507" s="169"/>
      <c r="EP507" s="169"/>
      <c r="EQ507" s="169"/>
      <c r="ER507" s="220"/>
      <c r="ES507" s="169"/>
      <c r="ET507" s="169"/>
      <c r="EU507" s="169"/>
      <c r="EV507" s="169"/>
      <c r="EW507" s="220"/>
      <c r="EX507" s="169"/>
      <c r="EY507" s="169"/>
      <c r="EZ507" s="169"/>
      <c r="FA507" s="169"/>
      <c r="FB507" s="220"/>
      <c r="FC507" s="169"/>
      <c r="FD507" s="169"/>
      <c r="FE507" s="169"/>
      <c r="FF507" s="169"/>
      <c r="FG507" s="220"/>
      <c r="FH507" s="169"/>
      <c r="FI507" s="169"/>
      <c r="FJ507" s="169"/>
      <c r="FK507" s="169"/>
      <c r="FL507" s="220"/>
      <c r="FM507" s="169"/>
      <c r="FN507" s="169"/>
      <c r="FO507" s="169"/>
      <c r="FP507" s="169"/>
      <c r="FQ507" s="220"/>
      <c r="FR507" s="169"/>
      <c r="FS507" s="169"/>
      <c r="FT507" s="169"/>
      <c r="FU507" s="169"/>
      <c r="FV507" s="220"/>
      <c r="FW507" s="169"/>
      <c r="FX507" s="169"/>
      <c r="FY507" s="169"/>
      <c r="FZ507" s="169"/>
      <c r="GA507" s="220"/>
      <c r="GB507" s="169"/>
      <c r="GC507" s="169"/>
      <c r="GD507" s="169"/>
      <c r="GE507" s="169"/>
      <c r="GF507" s="220"/>
      <c r="GG507" s="169"/>
      <c r="GH507" s="169"/>
      <c r="GI507" s="169"/>
      <c r="GJ507" s="169"/>
    </row>
    <row r="508" spans="3:192" ht="12.75" customHeight="1">
      <c r="C508" s="220"/>
      <c r="D508" s="169"/>
      <c r="E508" s="169"/>
      <c r="F508" s="169"/>
      <c r="G508" s="169"/>
      <c r="H508" s="220"/>
      <c r="I508" s="169"/>
      <c r="J508" s="169"/>
      <c r="K508" s="169"/>
      <c r="L508" s="169"/>
      <c r="M508" s="220"/>
      <c r="N508" s="169"/>
      <c r="O508" s="169"/>
      <c r="P508" s="169"/>
      <c r="Q508" s="169"/>
      <c r="R508" s="220"/>
      <c r="S508" s="169"/>
      <c r="T508" s="169"/>
      <c r="U508" s="169"/>
      <c r="V508" s="169"/>
      <c r="W508" s="220"/>
      <c r="X508" s="169"/>
      <c r="Y508" s="169"/>
      <c r="Z508" s="169"/>
      <c r="AA508" s="169"/>
      <c r="AB508" s="220"/>
      <c r="AC508" s="169"/>
      <c r="AD508" s="169"/>
      <c r="AE508" s="169"/>
      <c r="AF508" s="169"/>
      <c r="AG508" s="220"/>
      <c r="AH508" s="169"/>
      <c r="AI508" s="169"/>
      <c r="AJ508" s="169"/>
      <c r="AK508" s="169"/>
      <c r="AL508" s="220"/>
      <c r="AM508" s="169"/>
      <c r="AN508" s="169"/>
      <c r="AO508" s="169"/>
      <c r="AP508" s="169"/>
      <c r="AQ508" s="220"/>
      <c r="AR508" s="169"/>
      <c r="AS508" s="169"/>
      <c r="AT508" s="169"/>
      <c r="AU508" s="169"/>
      <c r="AV508" s="220"/>
      <c r="AW508" s="169"/>
      <c r="AX508" s="169"/>
      <c r="AY508" s="169"/>
      <c r="AZ508" s="169"/>
      <c r="BA508" s="220"/>
      <c r="BB508" s="169"/>
      <c r="BC508" s="169"/>
      <c r="BD508" s="169"/>
      <c r="BE508" s="169"/>
      <c r="BF508" s="220"/>
      <c r="BG508" s="169"/>
      <c r="BH508" s="169"/>
      <c r="BI508" s="169"/>
      <c r="BJ508" s="169"/>
      <c r="BK508" s="220"/>
      <c r="BL508" s="169"/>
      <c r="BM508" s="169"/>
      <c r="BN508" s="169"/>
      <c r="BO508" s="169"/>
      <c r="BP508" s="220"/>
      <c r="BQ508" s="169"/>
      <c r="BR508" s="169"/>
      <c r="BS508" s="169"/>
      <c r="BT508" s="169"/>
      <c r="BU508" s="220"/>
      <c r="BV508" s="169"/>
      <c r="BW508" s="169"/>
      <c r="BX508" s="169"/>
      <c r="BY508" s="169"/>
      <c r="BZ508" s="220"/>
      <c r="CA508" s="169"/>
      <c r="CB508" s="169"/>
      <c r="CC508" s="169"/>
      <c r="CD508" s="169"/>
      <c r="CE508" s="220"/>
      <c r="CF508" s="169"/>
      <c r="CG508" s="169"/>
      <c r="CH508" s="169"/>
      <c r="CI508" s="169"/>
      <c r="CJ508" s="220"/>
      <c r="CK508" s="169"/>
      <c r="CL508" s="169"/>
      <c r="CM508" s="169"/>
      <c r="CN508" s="169"/>
      <c r="CO508" s="220"/>
      <c r="CP508" s="169"/>
      <c r="CQ508" s="169"/>
      <c r="CR508" s="169"/>
      <c r="CS508" s="169"/>
      <c r="CT508" s="220"/>
      <c r="CU508" s="169"/>
      <c r="CV508" s="169"/>
      <c r="CW508" s="169"/>
      <c r="CX508" s="169"/>
      <c r="CY508" s="220"/>
      <c r="CZ508" s="169"/>
      <c r="DA508" s="169"/>
      <c r="DB508" s="169"/>
      <c r="DC508" s="169"/>
      <c r="DD508" s="220"/>
      <c r="DE508" s="169"/>
      <c r="DF508" s="169"/>
      <c r="DG508" s="169"/>
      <c r="DH508" s="169"/>
      <c r="DI508" s="220"/>
      <c r="DJ508" s="169"/>
      <c r="DK508" s="169"/>
      <c r="DL508" s="169"/>
      <c r="DM508" s="169"/>
      <c r="DN508" s="220"/>
      <c r="DO508" s="169"/>
      <c r="DP508" s="169"/>
      <c r="DQ508" s="169"/>
      <c r="DR508" s="169"/>
      <c r="DS508" s="220"/>
      <c r="DT508" s="169"/>
      <c r="DU508" s="169"/>
      <c r="DV508" s="169"/>
      <c r="DW508" s="169"/>
      <c r="DX508" s="220"/>
      <c r="DY508" s="169"/>
      <c r="DZ508" s="169"/>
      <c r="EA508" s="169"/>
      <c r="EB508" s="169"/>
      <c r="EC508" s="220"/>
      <c r="ED508" s="169"/>
      <c r="EE508" s="169"/>
      <c r="EF508" s="169"/>
      <c r="EG508" s="169"/>
      <c r="EH508" s="220"/>
      <c r="EI508" s="169"/>
      <c r="EJ508" s="169"/>
      <c r="EK508" s="169"/>
      <c r="EL508" s="169"/>
      <c r="EM508" s="220"/>
      <c r="EN508" s="169"/>
      <c r="EO508" s="169"/>
      <c r="EP508" s="169"/>
      <c r="EQ508" s="169"/>
      <c r="ER508" s="220"/>
      <c r="ES508" s="169"/>
      <c r="ET508" s="169"/>
      <c r="EU508" s="169"/>
      <c r="EV508" s="169"/>
      <c r="EW508" s="220"/>
      <c r="EX508" s="169"/>
      <c r="EY508" s="169"/>
      <c r="EZ508" s="169"/>
      <c r="FA508" s="169"/>
      <c r="FB508" s="220"/>
      <c r="FC508" s="169"/>
      <c r="FD508" s="169"/>
      <c r="FE508" s="169"/>
      <c r="FF508" s="169"/>
      <c r="FG508" s="220"/>
      <c r="FH508" s="169"/>
      <c r="FI508" s="169"/>
      <c r="FJ508" s="169"/>
      <c r="FK508" s="169"/>
      <c r="FL508" s="220"/>
      <c r="FM508" s="169"/>
      <c r="FN508" s="169"/>
      <c r="FO508" s="169"/>
      <c r="FP508" s="169"/>
      <c r="FQ508" s="220"/>
      <c r="FR508" s="169"/>
      <c r="FS508" s="169"/>
      <c r="FT508" s="169"/>
      <c r="FU508" s="169"/>
      <c r="FV508" s="220"/>
      <c r="FW508" s="169"/>
      <c r="FX508" s="169"/>
      <c r="FY508" s="169"/>
      <c r="FZ508" s="169"/>
      <c r="GA508" s="220"/>
      <c r="GB508" s="169"/>
      <c r="GC508" s="169"/>
      <c r="GD508" s="169"/>
      <c r="GE508" s="169"/>
      <c r="GF508" s="220"/>
      <c r="GG508" s="169"/>
      <c r="GH508" s="169"/>
      <c r="GI508" s="169"/>
      <c r="GJ508" s="169"/>
    </row>
    <row r="509" spans="3:192" ht="12.75" customHeight="1">
      <c r="C509" s="169"/>
      <c r="D509" s="169"/>
      <c r="E509" s="169"/>
      <c r="F509" s="169"/>
      <c r="G509" s="169"/>
      <c r="H509" s="169"/>
      <c r="I509" s="169"/>
      <c r="J509" s="169"/>
      <c r="K509" s="169"/>
      <c r="L509" s="169"/>
      <c r="M509" s="169"/>
      <c r="N509" s="169"/>
      <c r="O509" s="169"/>
      <c r="P509" s="169"/>
      <c r="Q509" s="169"/>
      <c r="R509" s="169"/>
      <c r="S509" s="169"/>
      <c r="T509" s="169"/>
      <c r="U509" s="169"/>
      <c r="V509" s="169"/>
      <c r="W509" s="169"/>
      <c r="X509" s="169"/>
      <c r="Y509" s="169"/>
      <c r="Z509" s="169"/>
      <c r="AA509" s="169"/>
      <c r="AB509" s="169"/>
      <c r="AC509" s="169"/>
      <c r="AD509" s="169"/>
      <c r="AE509" s="169"/>
      <c r="AF509" s="169"/>
      <c r="AG509" s="169"/>
      <c r="AH509" s="169"/>
      <c r="AI509" s="169"/>
      <c r="AJ509" s="169"/>
      <c r="AK509" s="169"/>
      <c r="AL509" s="169"/>
      <c r="AM509" s="169"/>
      <c r="AN509" s="169"/>
      <c r="AO509" s="169"/>
      <c r="AP509" s="169"/>
      <c r="AQ509" s="169"/>
      <c r="AR509" s="169"/>
      <c r="AS509" s="169"/>
      <c r="AT509" s="169"/>
      <c r="AU509" s="169"/>
      <c r="AV509" s="169"/>
      <c r="AW509" s="169"/>
      <c r="AX509" s="169"/>
      <c r="AY509" s="169"/>
      <c r="AZ509" s="169"/>
      <c r="BA509" s="169"/>
      <c r="BB509" s="169"/>
      <c r="BC509" s="169"/>
      <c r="BD509" s="169"/>
      <c r="BE509" s="169"/>
      <c r="BF509" s="169"/>
      <c r="BG509" s="169"/>
      <c r="BH509" s="169"/>
      <c r="BI509" s="169"/>
      <c r="BJ509" s="169"/>
      <c r="BK509" s="169"/>
      <c r="BL509" s="169"/>
      <c r="BM509" s="169"/>
      <c r="BN509" s="169"/>
      <c r="BO509" s="169"/>
      <c r="BP509" s="169"/>
      <c r="BQ509" s="169"/>
      <c r="BR509" s="169"/>
      <c r="BS509" s="169"/>
      <c r="BT509" s="169"/>
      <c r="BU509" s="169"/>
      <c r="BV509" s="169"/>
      <c r="BW509" s="169"/>
      <c r="BX509" s="169"/>
      <c r="BY509" s="169"/>
      <c r="BZ509" s="169"/>
      <c r="CA509" s="169"/>
      <c r="CB509" s="169"/>
      <c r="CC509" s="169"/>
      <c r="CD509" s="169"/>
      <c r="CE509" s="169"/>
      <c r="CF509" s="169"/>
      <c r="CG509" s="169"/>
      <c r="CH509" s="169"/>
      <c r="CI509" s="169"/>
      <c r="CJ509" s="169"/>
      <c r="CK509" s="169"/>
      <c r="CL509" s="169"/>
      <c r="CM509" s="169"/>
      <c r="CN509" s="169"/>
      <c r="CO509" s="169"/>
      <c r="CP509" s="169"/>
      <c r="CQ509" s="169"/>
      <c r="CR509" s="169"/>
      <c r="CS509" s="169"/>
      <c r="CT509" s="169"/>
      <c r="CU509" s="169"/>
      <c r="CV509" s="169"/>
      <c r="CW509" s="169"/>
      <c r="CX509" s="169"/>
      <c r="CY509" s="169"/>
      <c r="CZ509" s="169"/>
      <c r="DA509" s="169"/>
      <c r="DB509" s="169"/>
      <c r="DC509" s="169"/>
      <c r="DD509" s="169"/>
      <c r="DE509" s="169"/>
      <c r="DF509" s="169"/>
      <c r="DG509" s="169"/>
      <c r="DH509" s="169"/>
      <c r="DI509" s="169"/>
      <c r="DJ509" s="169"/>
      <c r="DK509" s="169"/>
      <c r="DL509" s="169"/>
      <c r="DM509" s="169"/>
      <c r="DN509" s="169"/>
      <c r="DO509" s="169"/>
      <c r="DP509" s="169"/>
      <c r="DQ509" s="169"/>
      <c r="DR509" s="169"/>
      <c r="DS509" s="169"/>
      <c r="DT509" s="169"/>
      <c r="DU509" s="169"/>
      <c r="DV509" s="169"/>
      <c r="DW509" s="169"/>
      <c r="DX509" s="169"/>
      <c r="DY509" s="169"/>
      <c r="DZ509" s="169"/>
      <c r="EA509" s="169"/>
      <c r="EB509" s="169"/>
      <c r="EC509" s="169"/>
      <c r="ED509" s="169"/>
      <c r="EE509" s="169"/>
      <c r="EF509" s="169"/>
      <c r="EG509" s="169"/>
      <c r="EH509" s="169"/>
      <c r="EI509" s="169"/>
      <c r="EJ509" s="169"/>
      <c r="EK509" s="169"/>
      <c r="EL509" s="169"/>
      <c r="EM509" s="169"/>
      <c r="EN509" s="169"/>
      <c r="EO509" s="169"/>
      <c r="EP509" s="169"/>
      <c r="EQ509" s="169"/>
      <c r="ER509" s="169"/>
      <c r="ES509" s="169"/>
      <c r="ET509" s="169"/>
      <c r="EU509" s="169"/>
      <c r="EV509" s="169"/>
      <c r="EW509" s="169"/>
      <c r="EX509" s="169"/>
      <c r="EY509" s="169"/>
      <c r="EZ509" s="169"/>
      <c r="FA509" s="169"/>
      <c r="FB509" s="169"/>
      <c r="FC509" s="169"/>
      <c r="FD509" s="169"/>
      <c r="FE509" s="169"/>
      <c r="FF509" s="169"/>
      <c r="FG509" s="169"/>
      <c r="FH509" s="169"/>
      <c r="FI509" s="169"/>
      <c r="FJ509" s="169"/>
      <c r="FK509" s="169"/>
      <c r="FL509" s="169"/>
      <c r="FM509" s="169"/>
      <c r="FN509" s="169"/>
      <c r="FO509" s="169"/>
      <c r="FP509" s="169"/>
      <c r="FQ509" s="169"/>
      <c r="FR509" s="169"/>
      <c r="FS509" s="169"/>
      <c r="FT509" s="169"/>
      <c r="FU509" s="169"/>
      <c r="FV509" s="169"/>
      <c r="FW509" s="169"/>
      <c r="FX509" s="169"/>
      <c r="FY509" s="169"/>
      <c r="FZ509" s="169"/>
      <c r="GA509" s="169"/>
      <c r="GB509" s="169"/>
      <c r="GC509" s="169"/>
      <c r="GD509" s="169"/>
      <c r="GE509" s="169"/>
      <c r="GF509" s="169"/>
      <c r="GG509" s="169"/>
      <c r="GH509" s="169"/>
      <c r="GI509" s="169"/>
      <c r="GJ509" s="169"/>
    </row>
    <row r="510" spans="3:192" ht="12.75" customHeight="1">
      <c r="C510" s="169"/>
      <c r="D510" s="169"/>
      <c r="E510" s="169"/>
      <c r="F510" s="169"/>
      <c r="G510" s="169"/>
      <c r="H510" s="169"/>
      <c r="I510" s="169"/>
      <c r="J510" s="169"/>
      <c r="K510" s="169"/>
      <c r="L510" s="169"/>
      <c r="M510" s="169"/>
      <c r="N510" s="169"/>
      <c r="O510" s="169"/>
      <c r="P510" s="169"/>
      <c r="Q510" s="169"/>
      <c r="R510" s="169"/>
      <c r="S510" s="169"/>
      <c r="T510" s="169"/>
      <c r="U510" s="169"/>
      <c r="V510" s="169"/>
      <c r="W510" s="169"/>
      <c r="X510" s="169"/>
      <c r="Y510" s="169"/>
      <c r="Z510" s="169"/>
      <c r="AA510" s="169"/>
      <c r="AB510" s="169"/>
      <c r="AC510" s="169"/>
      <c r="AD510" s="169"/>
      <c r="AE510" s="169"/>
      <c r="AF510" s="169"/>
      <c r="AG510" s="169"/>
      <c r="AH510" s="169"/>
      <c r="AI510" s="169"/>
      <c r="AJ510" s="169"/>
      <c r="AK510" s="169"/>
      <c r="AL510" s="169"/>
      <c r="AM510" s="169"/>
      <c r="AN510" s="169"/>
      <c r="AO510" s="169"/>
      <c r="AP510" s="169"/>
      <c r="AQ510" s="169"/>
      <c r="AR510" s="169"/>
      <c r="AS510" s="169"/>
      <c r="AT510" s="169"/>
      <c r="AU510" s="169"/>
      <c r="AV510" s="169"/>
      <c r="AW510" s="169"/>
      <c r="AX510" s="169"/>
      <c r="AY510" s="169"/>
      <c r="AZ510" s="169"/>
      <c r="BA510" s="169"/>
      <c r="BB510" s="169"/>
      <c r="BC510" s="169"/>
      <c r="BD510" s="169"/>
      <c r="BE510" s="169"/>
      <c r="BF510" s="169"/>
      <c r="BG510" s="169"/>
      <c r="BH510" s="169"/>
      <c r="BI510" s="169"/>
      <c r="BJ510" s="169"/>
      <c r="BK510" s="169"/>
      <c r="BL510" s="169"/>
      <c r="BM510" s="169"/>
      <c r="BN510" s="169"/>
      <c r="BO510" s="169"/>
      <c r="BP510" s="169"/>
      <c r="BQ510" s="169"/>
      <c r="BR510" s="169"/>
      <c r="BS510" s="169"/>
      <c r="BT510" s="169"/>
      <c r="BU510" s="169"/>
      <c r="BV510" s="169"/>
      <c r="BW510" s="169"/>
      <c r="BX510" s="169"/>
      <c r="BY510" s="169"/>
      <c r="BZ510" s="169"/>
      <c r="CA510" s="169"/>
      <c r="CB510" s="169"/>
      <c r="CC510" s="169"/>
      <c r="CD510" s="169"/>
      <c r="CE510" s="169"/>
      <c r="CF510" s="169"/>
      <c r="CG510" s="169"/>
      <c r="CH510" s="169"/>
      <c r="CI510" s="169"/>
      <c r="CJ510" s="169"/>
      <c r="CK510" s="169"/>
      <c r="CL510" s="169"/>
      <c r="CM510" s="169"/>
      <c r="CN510" s="169"/>
      <c r="CO510" s="169"/>
      <c r="CP510" s="169"/>
      <c r="CQ510" s="169"/>
      <c r="CR510" s="169"/>
      <c r="CS510" s="169"/>
      <c r="CT510" s="169"/>
      <c r="CU510" s="169"/>
      <c r="CV510" s="169"/>
      <c r="CW510" s="169"/>
      <c r="CX510" s="169"/>
      <c r="CY510" s="169"/>
      <c r="CZ510" s="169"/>
      <c r="DA510" s="169"/>
      <c r="DB510" s="169"/>
      <c r="DC510" s="169"/>
      <c r="DD510" s="169"/>
      <c r="DE510" s="169"/>
      <c r="DF510" s="169"/>
      <c r="DG510" s="169"/>
      <c r="DH510" s="169"/>
      <c r="DI510" s="169"/>
      <c r="DJ510" s="169"/>
      <c r="DK510" s="169"/>
      <c r="DL510" s="169"/>
      <c r="DM510" s="169"/>
      <c r="DN510" s="169"/>
      <c r="DO510" s="169"/>
      <c r="DP510" s="169"/>
      <c r="DQ510" s="169"/>
      <c r="DR510" s="169"/>
      <c r="DS510" s="169"/>
      <c r="DT510" s="169"/>
      <c r="DU510" s="169"/>
      <c r="DV510" s="169"/>
      <c r="DW510" s="169"/>
      <c r="DX510" s="169"/>
      <c r="DY510" s="169"/>
      <c r="DZ510" s="169"/>
      <c r="EA510" s="169"/>
      <c r="EB510" s="169"/>
      <c r="EC510" s="169"/>
      <c r="ED510" s="169"/>
      <c r="EE510" s="169"/>
      <c r="EF510" s="169"/>
      <c r="EG510" s="169"/>
      <c r="EH510" s="169"/>
      <c r="EI510" s="169"/>
      <c r="EJ510" s="169"/>
      <c r="EK510" s="169"/>
      <c r="EL510" s="169"/>
      <c r="EM510" s="169"/>
      <c r="EN510" s="169"/>
      <c r="EO510" s="169"/>
      <c r="EP510" s="169"/>
      <c r="EQ510" s="169"/>
      <c r="ER510" s="169"/>
      <c r="ES510" s="169"/>
      <c r="ET510" s="169"/>
      <c r="EU510" s="169"/>
      <c r="EV510" s="169"/>
      <c r="EW510" s="169"/>
      <c r="EX510" s="169"/>
      <c r="EY510" s="169"/>
      <c r="EZ510" s="169"/>
      <c r="FA510" s="169"/>
      <c r="FB510" s="169"/>
      <c r="FC510" s="169"/>
      <c r="FD510" s="169"/>
      <c r="FE510" s="169"/>
      <c r="FF510" s="169"/>
      <c r="FG510" s="169"/>
      <c r="FH510" s="169"/>
      <c r="FI510" s="169"/>
      <c r="FJ510" s="169"/>
      <c r="FK510" s="169"/>
      <c r="FL510" s="169"/>
      <c r="FM510" s="169"/>
      <c r="FN510" s="169"/>
      <c r="FO510" s="169"/>
      <c r="FP510" s="169"/>
      <c r="FQ510" s="169"/>
      <c r="FR510" s="169"/>
      <c r="FS510" s="169"/>
      <c r="FT510" s="169"/>
      <c r="FU510" s="169"/>
      <c r="FV510" s="169"/>
      <c r="FW510" s="169"/>
      <c r="FX510" s="169"/>
      <c r="FY510" s="169"/>
      <c r="FZ510" s="169"/>
      <c r="GA510" s="169"/>
      <c r="GB510" s="169"/>
      <c r="GC510" s="169"/>
      <c r="GD510" s="169"/>
      <c r="GE510" s="169"/>
      <c r="GF510" s="169"/>
      <c r="GG510" s="169"/>
      <c r="GH510" s="169"/>
      <c r="GI510" s="169"/>
      <c r="GJ510" s="169"/>
    </row>
    <row r="511" spans="3:192" ht="12.75" customHeight="1">
      <c r="C511" s="106"/>
      <c r="D511" s="106"/>
      <c r="E511" s="106"/>
      <c r="F511" s="106"/>
      <c r="G511" s="106"/>
      <c r="H511" s="106"/>
      <c r="I511" s="106"/>
      <c r="J511" s="106"/>
      <c r="K511" s="106"/>
      <c r="L511" s="106"/>
      <c r="M511" s="106"/>
      <c r="N511" s="106"/>
      <c r="O511" s="106"/>
      <c r="P511" s="106"/>
      <c r="Q511" s="106"/>
      <c r="R511" s="106"/>
      <c r="S511" s="106"/>
      <c r="T511" s="106"/>
      <c r="U511" s="106"/>
      <c r="V511" s="106"/>
      <c r="W511" s="106"/>
      <c r="X511" s="106"/>
      <c r="Y511" s="106"/>
      <c r="Z511" s="106"/>
      <c r="AA511" s="106"/>
      <c r="AB511" s="106"/>
      <c r="AC511" s="106"/>
      <c r="AD511" s="106"/>
      <c r="AE511" s="106"/>
      <c r="AF511" s="106"/>
      <c r="AG511" s="106"/>
      <c r="AH511" s="106"/>
      <c r="AI511" s="106"/>
      <c r="AJ511" s="106"/>
      <c r="AK511" s="106"/>
      <c r="AL511" s="106"/>
      <c r="AM511" s="106"/>
      <c r="AN511" s="106"/>
      <c r="AO511" s="106"/>
      <c r="AP511" s="106"/>
      <c r="AQ511" s="106"/>
      <c r="AR511" s="106"/>
      <c r="AS511" s="106"/>
      <c r="AT511" s="106"/>
      <c r="AU511" s="106"/>
      <c r="AV511" s="106"/>
      <c r="AW511" s="106"/>
      <c r="AX511" s="106"/>
      <c r="AY511" s="106"/>
      <c r="AZ511" s="106"/>
      <c r="BA511" s="106"/>
      <c r="BB511" s="106"/>
      <c r="BC511" s="106"/>
      <c r="BD511" s="106"/>
      <c r="BE511" s="106"/>
      <c r="BF511" s="106"/>
      <c r="BG511" s="106"/>
      <c r="BH511" s="106"/>
      <c r="BI511" s="106"/>
      <c r="BJ511" s="106"/>
      <c r="BK511" s="106"/>
      <c r="BL511" s="106"/>
      <c r="BM511" s="106"/>
      <c r="BN511" s="106"/>
      <c r="BO511" s="106"/>
      <c r="BP511" s="106"/>
      <c r="BQ511" s="106"/>
      <c r="BR511" s="106"/>
      <c r="BS511" s="106"/>
      <c r="BT511" s="106"/>
      <c r="BU511" s="106"/>
      <c r="BV511" s="106"/>
      <c r="BW511" s="106"/>
      <c r="BX511" s="106"/>
      <c r="BY511" s="106"/>
      <c r="BZ511" s="106"/>
      <c r="CA511" s="106"/>
      <c r="CB511" s="106"/>
      <c r="CC511" s="106"/>
      <c r="CD511" s="106"/>
      <c r="CE511" s="106"/>
      <c r="CF511" s="106"/>
      <c r="CG511" s="106"/>
      <c r="CH511" s="106"/>
      <c r="CI511" s="106"/>
      <c r="CJ511" s="106"/>
      <c r="CK511" s="106"/>
      <c r="CL511" s="106"/>
      <c r="CM511" s="106"/>
      <c r="CN511" s="106"/>
      <c r="CO511" s="106"/>
      <c r="CP511" s="106"/>
      <c r="CQ511" s="106"/>
      <c r="CR511" s="106"/>
      <c r="CS511" s="106"/>
      <c r="CT511" s="106"/>
      <c r="CU511" s="106"/>
      <c r="CV511" s="106"/>
      <c r="CW511" s="106"/>
      <c r="CX511" s="106"/>
      <c r="CY511" s="106"/>
      <c r="CZ511" s="106"/>
      <c r="DA511" s="106"/>
      <c r="DB511" s="106"/>
      <c r="DC511" s="106"/>
      <c r="DD511" s="106"/>
      <c r="DE511" s="106"/>
      <c r="DF511" s="106"/>
      <c r="DG511" s="106"/>
      <c r="DH511" s="106"/>
      <c r="DI511" s="106"/>
      <c r="DJ511" s="106"/>
      <c r="DK511" s="106"/>
      <c r="DL511" s="106"/>
      <c r="DM511" s="106"/>
      <c r="DN511" s="106"/>
      <c r="DO511" s="106"/>
      <c r="DP511" s="106"/>
      <c r="DQ511" s="106"/>
      <c r="DR511" s="106"/>
      <c r="DS511" s="106"/>
      <c r="DT511" s="106"/>
      <c r="DU511" s="106"/>
      <c r="DV511" s="106"/>
      <c r="DW511" s="106"/>
      <c r="DX511" s="106"/>
      <c r="DY511" s="106"/>
      <c r="DZ511" s="106"/>
      <c r="EA511" s="106"/>
      <c r="EB511" s="106"/>
      <c r="EC511" s="106"/>
      <c r="ED511" s="106"/>
      <c r="EE511" s="106"/>
      <c r="EF511" s="106"/>
      <c r="EG511" s="106"/>
      <c r="EH511" s="106"/>
      <c r="EI511" s="106"/>
      <c r="EJ511" s="106"/>
      <c r="EK511" s="106"/>
      <c r="EL511" s="106"/>
      <c r="EM511" s="106"/>
      <c r="EN511" s="106"/>
      <c r="EO511" s="106"/>
      <c r="EP511" s="106"/>
      <c r="EQ511" s="106"/>
      <c r="ER511" s="106"/>
      <c r="ES511" s="106"/>
      <c r="ET511" s="106"/>
      <c r="EU511" s="106"/>
      <c r="EV511" s="106"/>
      <c r="EW511" s="106"/>
      <c r="EX511" s="106"/>
      <c r="EY511" s="106"/>
      <c r="EZ511" s="106"/>
      <c r="FA511" s="106"/>
      <c r="FB511" s="106"/>
      <c r="FC511" s="106"/>
      <c r="FD511" s="106"/>
      <c r="FE511" s="106"/>
      <c r="FF511" s="106"/>
      <c r="FG511" s="106"/>
      <c r="FH511" s="106"/>
      <c r="FI511" s="106"/>
      <c r="FJ511" s="106"/>
      <c r="FK511" s="106"/>
      <c r="FL511" s="106"/>
      <c r="FM511" s="106"/>
      <c r="FN511" s="106"/>
      <c r="FO511" s="106"/>
      <c r="FP511" s="106"/>
      <c r="FQ511" s="106"/>
      <c r="FR511" s="106"/>
      <c r="FS511" s="106"/>
      <c r="FT511" s="106"/>
      <c r="FU511" s="106"/>
      <c r="FV511" s="106"/>
      <c r="FW511" s="106"/>
      <c r="FX511" s="106"/>
      <c r="FY511" s="106"/>
      <c r="FZ511" s="106"/>
      <c r="GA511" s="106"/>
      <c r="GB511" s="106"/>
      <c r="GC511" s="106"/>
      <c r="GD511" s="106"/>
      <c r="GE511" s="106"/>
      <c r="GF511" s="106"/>
      <c r="GG511" s="106"/>
      <c r="GH511" s="106"/>
      <c r="GI511" s="106"/>
      <c r="GJ511" s="106"/>
    </row>
    <row r="512" spans="3:192" ht="12.75" customHeight="1">
      <c r="C512" s="147"/>
      <c r="D512" s="147"/>
      <c r="E512" s="147"/>
      <c r="F512" s="147"/>
      <c r="G512" s="147"/>
      <c r="H512" s="147"/>
      <c r="I512" s="147"/>
      <c r="J512" s="147"/>
      <c r="K512" s="147"/>
      <c r="L512" s="147"/>
      <c r="M512" s="147"/>
      <c r="N512" s="147"/>
      <c r="O512" s="147"/>
      <c r="P512" s="147"/>
      <c r="Q512" s="147"/>
      <c r="R512" s="147"/>
      <c r="S512" s="147"/>
      <c r="T512" s="147"/>
      <c r="U512" s="147"/>
      <c r="V512" s="147"/>
      <c r="W512" s="147"/>
      <c r="X512" s="147"/>
      <c r="Y512" s="147"/>
      <c r="Z512" s="147"/>
      <c r="AA512" s="147"/>
      <c r="AB512" s="147"/>
      <c r="AC512" s="147"/>
      <c r="AD512" s="147"/>
      <c r="AE512" s="147"/>
      <c r="AF512" s="147"/>
      <c r="AG512" s="147"/>
      <c r="AH512" s="147"/>
      <c r="AI512" s="147"/>
      <c r="AJ512" s="147"/>
      <c r="AK512" s="147"/>
      <c r="AL512" s="147"/>
      <c r="AM512" s="147"/>
      <c r="AN512" s="147"/>
      <c r="AO512" s="147"/>
      <c r="AP512" s="147"/>
      <c r="AQ512" s="147"/>
      <c r="AR512" s="147"/>
      <c r="AS512" s="147"/>
      <c r="AT512" s="147"/>
      <c r="AU512" s="147"/>
      <c r="AV512" s="147"/>
      <c r="AW512" s="147"/>
      <c r="AX512" s="147"/>
      <c r="AY512" s="147"/>
      <c r="AZ512" s="147"/>
      <c r="BA512" s="147"/>
      <c r="BB512" s="147"/>
      <c r="BC512" s="147"/>
      <c r="BD512" s="147"/>
      <c r="BE512" s="147"/>
      <c r="BF512" s="147"/>
      <c r="BG512" s="147"/>
      <c r="BH512" s="147"/>
      <c r="BI512" s="147"/>
      <c r="BJ512" s="147"/>
      <c r="BK512" s="147"/>
      <c r="BL512" s="147"/>
      <c r="BM512" s="147"/>
      <c r="BN512" s="147"/>
      <c r="BO512" s="147"/>
      <c r="BP512" s="147"/>
      <c r="BQ512" s="147"/>
      <c r="BR512" s="147"/>
      <c r="BS512" s="147"/>
      <c r="BT512" s="147"/>
      <c r="BU512" s="147"/>
      <c r="BV512" s="147"/>
      <c r="BW512" s="147"/>
      <c r="BX512" s="147"/>
      <c r="BY512" s="147"/>
      <c r="BZ512" s="147"/>
      <c r="CA512" s="147"/>
      <c r="CB512" s="147"/>
      <c r="CC512" s="147"/>
      <c r="CD512" s="147"/>
      <c r="CE512" s="147"/>
      <c r="CF512" s="147"/>
      <c r="CG512" s="147"/>
      <c r="CH512" s="147"/>
      <c r="CI512" s="147"/>
      <c r="CJ512" s="147"/>
      <c r="CK512" s="147"/>
      <c r="CL512" s="147"/>
      <c r="CM512" s="147"/>
      <c r="CN512" s="147"/>
      <c r="CO512" s="147"/>
      <c r="CP512" s="147"/>
      <c r="CQ512" s="147"/>
      <c r="CR512" s="147"/>
      <c r="CS512" s="147"/>
      <c r="CT512" s="147"/>
      <c r="CU512" s="147"/>
      <c r="CV512" s="147"/>
      <c r="CW512" s="147"/>
      <c r="CX512" s="147"/>
      <c r="CY512" s="147"/>
      <c r="CZ512" s="147"/>
      <c r="DA512" s="147"/>
      <c r="DB512" s="147"/>
      <c r="DC512" s="147"/>
      <c r="DD512" s="147"/>
      <c r="DE512" s="147"/>
      <c r="DF512" s="147"/>
      <c r="DG512" s="147"/>
      <c r="DH512" s="147"/>
      <c r="DI512" s="147"/>
      <c r="DJ512" s="147"/>
      <c r="DK512" s="147"/>
      <c r="DL512" s="147"/>
      <c r="DM512" s="147"/>
      <c r="DN512" s="147"/>
      <c r="DO512" s="147"/>
      <c r="DP512" s="147"/>
      <c r="DQ512" s="147"/>
      <c r="DR512" s="147"/>
      <c r="DS512" s="147"/>
      <c r="DT512" s="147"/>
      <c r="DU512" s="147"/>
      <c r="DV512" s="147"/>
      <c r="DW512" s="147"/>
      <c r="DX512" s="147"/>
      <c r="DY512" s="147"/>
      <c r="DZ512" s="147"/>
      <c r="EA512" s="147"/>
      <c r="EB512" s="147"/>
      <c r="EC512" s="147"/>
      <c r="ED512" s="147"/>
      <c r="EE512" s="147"/>
      <c r="EF512" s="147"/>
      <c r="EG512" s="147"/>
      <c r="EH512" s="147"/>
      <c r="EI512" s="147"/>
      <c r="EJ512" s="147"/>
      <c r="EK512" s="147"/>
      <c r="EL512" s="147"/>
      <c r="EM512" s="147"/>
      <c r="EN512" s="147"/>
      <c r="EO512" s="147"/>
      <c r="EP512" s="147"/>
      <c r="EQ512" s="147"/>
      <c r="ER512" s="147"/>
      <c r="ES512" s="147"/>
      <c r="ET512" s="147"/>
      <c r="EU512" s="147"/>
      <c r="EV512" s="147"/>
      <c r="EW512" s="147"/>
      <c r="EX512" s="147"/>
      <c r="EY512" s="147"/>
      <c r="EZ512" s="147"/>
      <c r="FA512" s="147"/>
      <c r="FB512" s="147"/>
      <c r="FC512" s="147"/>
      <c r="FD512" s="147"/>
      <c r="FE512" s="147"/>
      <c r="FF512" s="147"/>
      <c r="FG512" s="147"/>
      <c r="FH512" s="147"/>
      <c r="FI512" s="147"/>
      <c r="FJ512" s="147"/>
      <c r="FK512" s="147"/>
      <c r="FL512" s="147"/>
      <c r="FM512" s="147"/>
      <c r="FN512" s="147"/>
      <c r="FO512" s="147"/>
      <c r="FP512" s="147"/>
      <c r="FQ512" s="147"/>
      <c r="FR512" s="147"/>
      <c r="FS512" s="147"/>
      <c r="FT512" s="147"/>
      <c r="FU512" s="147"/>
      <c r="FV512" s="147"/>
      <c r="FW512" s="147"/>
      <c r="FX512" s="147"/>
      <c r="FY512" s="147"/>
      <c r="FZ512" s="147"/>
      <c r="GA512" s="147"/>
      <c r="GB512" s="147"/>
      <c r="GC512" s="147"/>
      <c r="GD512" s="147"/>
      <c r="GE512" s="147"/>
      <c r="GF512" s="147"/>
      <c r="GG512" s="147"/>
      <c r="GH512" s="147"/>
      <c r="GI512" s="147"/>
      <c r="GJ512" s="147"/>
    </row>
    <row r="513" spans="3:192" ht="12.75" customHeight="1">
      <c r="C513" s="229"/>
      <c r="D513" s="229"/>
      <c r="E513" s="229"/>
      <c r="F513" s="229"/>
      <c r="G513" s="229"/>
      <c r="H513" s="229"/>
      <c r="I513" s="229"/>
      <c r="J513" s="229"/>
      <c r="K513" s="229"/>
      <c r="L513" s="229"/>
      <c r="M513" s="229"/>
      <c r="N513" s="229"/>
      <c r="O513" s="229"/>
      <c r="P513" s="229"/>
      <c r="Q513" s="229"/>
      <c r="R513" s="229"/>
      <c r="S513" s="229"/>
      <c r="T513" s="229"/>
      <c r="U513" s="229"/>
      <c r="V513" s="229"/>
      <c r="W513" s="229"/>
      <c r="X513" s="229"/>
      <c r="Y513" s="229"/>
      <c r="Z513" s="229"/>
      <c r="AA513" s="229"/>
      <c r="AB513" s="229"/>
      <c r="AC513" s="229"/>
      <c r="AD513" s="229"/>
      <c r="AE513" s="229"/>
      <c r="AF513" s="229"/>
      <c r="AG513" s="229"/>
      <c r="AH513" s="229"/>
      <c r="AI513" s="229"/>
      <c r="AJ513" s="229"/>
      <c r="AK513" s="229"/>
      <c r="AL513" s="229"/>
      <c r="AM513" s="229"/>
      <c r="AN513" s="229"/>
      <c r="AO513" s="229"/>
      <c r="AP513" s="229"/>
      <c r="AQ513" s="229"/>
      <c r="AR513" s="229"/>
      <c r="AS513" s="229"/>
      <c r="AT513" s="229"/>
      <c r="AU513" s="229"/>
      <c r="AV513" s="229"/>
      <c r="AW513" s="229"/>
      <c r="AX513" s="229"/>
      <c r="AY513" s="229"/>
      <c r="AZ513" s="229"/>
      <c r="BA513" s="229"/>
      <c r="BB513" s="229"/>
      <c r="BC513" s="229"/>
      <c r="BD513" s="229"/>
      <c r="BE513" s="229"/>
      <c r="BF513" s="229"/>
      <c r="BG513" s="229"/>
      <c r="BH513" s="229"/>
      <c r="BI513" s="229"/>
      <c r="BJ513" s="229"/>
      <c r="BK513" s="229"/>
      <c r="BL513" s="229"/>
      <c r="BM513" s="229"/>
      <c r="BN513" s="229"/>
      <c r="BO513" s="229"/>
      <c r="BP513" s="229"/>
      <c r="BQ513" s="229"/>
      <c r="BR513" s="229"/>
      <c r="BS513" s="229"/>
      <c r="BT513" s="229"/>
      <c r="BU513" s="229"/>
      <c r="BV513" s="229"/>
      <c r="BW513" s="229"/>
      <c r="BX513" s="229"/>
      <c r="BY513" s="229"/>
      <c r="BZ513" s="229"/>
      <c r="CA513" s="229"/>
      <c r="CB513" s="229"/>
      <c r="CC513" s="229"/>
      <c r="CD513" s="229"/>
      <c r="CE513" s="229"/>
      <c r="CF513" s="229"/>
      <c r="CG513" s="229"/>
      <c r="CH513" s="229"/>
      <c r="CI513" s="229"/>
      <c r="CJ513" s="229"/>
      <c r="CK513" s="229"/>
      <c r="CL513" s="229"/>
      <c r="CM513" s="229"/>
      <c r="CN513" s="229"/>
      <c r="CO513" s="229"/>
      <c r="CP513" s="229"/>
      <c r="CQ513" s="229"/>
      <c r="CR513" s="229"/>
      <c r="CS513" s="229"/>
      <c r="CT513" s="229"/>
      <c r="CU513" s="229"/>
      <c r="CV513" s="229"/>
      <c r="CW513" s="229"/>
      <c r="CX513" s="229"/>
      <c r="CY513" s="229"/>
      <c r="CZ513" s="229"/>
      <c r="DA513" s="229"/>
      <c r="DB513" s="229"/>
      <c r="DC513" s="229"/>
      <c r="DD513" s="229"/>
      <c r="DE513" s="229"/>
      <c r="DF513" s="229"/>
      <c r="DG513" s="229"/>
      <c r="DH513" s="229"/>
      <c r="DI513" s="229"/>
      <c r="DJ513" s="229"/>
      <c r="DK513" s="229"/>
      <c r="DL513" s="229"/>
      <c r="DM513" s="229"/>
      <c r="DN513" s="229"/>
      <c r="DO513" s="229"/>
      <c r="DP513" s="229"/>
      <c r="DQ513" s="229"/>
      <c r="DR513" s="229"/>
      <c r="DS513" s="229"/>
      <c r="DT513" s="229"/>
      <c r="DU513" s="229"/>
      <c r="DV513" s="229"/>
      <c r="DW513" s="229"/>
      <c r="DX513" s="229"/>
      <c r="DY513" s="229"/>
      <c r="DZ513" s="229"/>
      <c r="EA513" s="229"/>
      <c r="EB513" s="229"/>
      <c r="EC513" s="229"/>
      <c r="ED513" s="229"/>
      <c r="EE513" s="229"/>
      <c r="EF513" s="229"/>
      <c r="EG513" s="229"/>
      <c r="EH513" s="229"/>
      <c r="EI513" s="229"/>
      <c r="EJ513" s="229"/>
      <c r="EK513" s="229"/>
      <c r="EL513" s="229"/>
      <c r="EM513" s="229"/>
      <c r="EN513" s="229"/>
      <c r="EO513" s="229"/>
      <c r="EP513" s="229"/>
      <c r="EQ513" s="229"/>
      <c r="ER513" s="229"/>
      <c r="ES513" s="229"/>
      <c r="ET513" s="229"/>
      <c r="EU513" s="229"/>
      <c r="EV513" s="229"/>
      <c r="EW513" s="229"/>
      <c r="EX513" s="229"/>
      <c r="EY513" s="229"/>
      <c r="EZ513" s="229"/>
      <c r="FA513" s="229"/>
      <c r="FB513" s="229"/>
      <c r="FC513" s="229"/>
      <c r="FD513" s="229"/>
      <c r="FE513" s="229"/>
      <c r="FF513" s="229"/>
      <c r="FG513" s="229"/>
      <c r="FH513" s="229"/>
      <c r="FI513" s="229"/>
      <c r="FJ513" s="229"/>
      <c r="FK513" s="229"/>
      <c r="FL513" s="229"/>
      <c r="FM513" s="229"/>
      <c r="FN513" s="229"/>
      <c r="FO513" s="229"/>
      <c r="FP513" s="229"/>
      <c r="FQ513" s="229"/>
      <c r="FR513" s="229"/>
      <c r="FS513" s="229"/>
      <c r="FT513" s="229"/>
      <c r="FU513" s="229"/>
      <c r="FV513" s="229"/>
      <c r="FW513" s="229"/>
      <c r="FX513" s="229"/>
      <c r="FY513" s="229"/>
      <c r="FZ513" s="229"/>
      <c r="GA513" s="229"/>
      <c r="GB513" s="229"/>
      <c r="GC513" s="229"/>
      <c r="GD513" s="229"/>
      <c r="GE513" s="229"/>
      <c r="GF513" s="229"/>
      <c r="GG513" s="229"/>
      <c r="GH513" s="229"/>
      <c r="GI513" s="229"/>
      <c r="GJ513" s="229"/>
    </row>
    <row r="514" spans="3:192" ht="12.75" customHeight="1">
      <c r="C514" s="229"/>
      <c r="D514" s="229"/>
      <c r="E514" s="229"/>
      <c r="F514" s="229"/>
      <c r="G514" s="229"/>
      <c r="H514" s="229"/>
      <c r="I514" s="229"/>
      <c r="J514" s="229"/>
      <c r="K514" s="229"/>
      <c r="L514" s="229"/>
      <c r="M514" s="229"/>
      <c r="N514" s="229"/>
      <c r="O514" s="229"/>
      <c r="P514" s="229"/>
      <c r="Q514" s="229"/>
      <c r="R514" s="229"/>
      <c r="S514" s="229"/>
      <c r="T514" s="229"/>
      <c r="U514" s="229"/>
      <c r="V514" s="229"/>
      <c r="W514" s="229"/>
      <c r="X514" s="229"/>
      <c r="Y514" s="229"/>
      <c r="Z514" s="229"/>
      <c r="AA514" s="229"/>
      <c r="AB514" s="229"/>
      <c r="AC514" s="229"/>
      <c r="AD514" s="229"/>
      <c r="AE514" s="229"/>
      <c r="AF514" s="229"/>
      <c r="AG514" s="229"/>
      <c r="AH514" s="229"/>
      <c r="AI514" s="229"/>
      <c r="AJ514" s="229"/>
      <c r="AK514" s="229"/>
      <c r="AL514" s="229"/>
      <c r="AM514" s="229"/>
      <c r="AN514" s="229"/>
      <c r="AO514" s="229"/>
      <c r="AP514" s="229"/>
      <c r="AQ514" s="229"/>
      <c r="AR514" s="229"/>
      <c r="AS514" s="229"/>
      <c r="AT514" s="229"/>
      <c r="AU514" s="229"/>
      <c r="AV514" s="229"/>
      <c r="AW514" s="229"/>
      <c r="AX514" s="229"/>
      <c r="AY514" s="229"/>
      <c r="AZ514" s="229"/>
      <c r="BA514" s="229"/>
      <c r="BB514" s="229"/>
      <c r="BC514" s="229"/>
      <c r="BD514" s="229"/>
      <c r="BE514" s="229"/>
      <c r="BF514" s="229"/>
      <c r="BG514" s="229"/>
      <c r="BH514" s="229"/>
      <c r="BI514" s="229"/>
      <c r="BJ514" s="229"/>
      <c r="BK514" s="229"/>
      <c r="BL514" s="229"/>
      <c r="BM514" s="229"/>
      <c r="BN514" s="229"/>
      <c r="BO514" s="229"/>
      <c r="BP514" s="229"/>
      <c r="BQ514" s="229"/>
      <c r="BR514" s="229"/>
      <c r="BS514" s="229"/>
      <c r="BT514" s="229"/>
      <c r="BU514" s="229"/>
      <c r="BV514" s="229"/>
      <c r="BW514" s="229"/>
      <c r="BX514" s="229"/>
      <c r="BY514" s="229"/>
      <c r="BZ514" s="229"/>
      <c r="CA514" s="229"/>
      <c r="CB514" s="229"/>
      <c r="CC514" s="229"/>
      <c r="CD514" s="229"/>
      <c r="CE514" s="229"/>
      <c r="CF514" s="229"/>
      <c r="CG514" s="229"/>
      <c r="CH514" s="229"/>
      <c r="CI514" s="229"/>
      <c r="CJ514" s="229"/>
      <c r="CK514" s="229"/>
      <c r="CL514" s="229"/>
      <c r="CM514" s="229"/>
      <c r="CN514" s="229"/>
      <c r="CO514" s="229"/>
      <c r="CP514" s="229"/>
      <c r="CQ514" s="229"/>
      <c r="CR514" s="229"/>
      <c r="CS514" s="229"/>
      <c r="CT514" s="229"/>
      <c r="CU514" s="229"/>
      <c r="CV514" s="229"/>
      <c r="CW514" s="229"/>
      <c r="CX514" s="229"/>
      <c r="CY514" s="229"/>
      <c r="CZ514" s="229"/>
      <c r="DA514" s="229"/>
      <c r="DB514" s="229"/>
      <c r="DC514" s="229"/>
      <c r="DD514" s="229"/>
      <c r="DE514" s="229"/>
      <c r="DF514" s="229"/>
      <c r="DG514" s="229"/>
      <c r="DH514" s="229"/>
      <c r="DI514" s="229"/>
      <c r="DJ514" s="229"/>
      <c r="DK514" s="229"/>
      <c r="DL514" s="229"/>
      <c r="DM514" s="229"/>
      <c r="DN514" s="229"/>
      <c r="DO514" s="229"/>
      <c r="DP514" s="229"/>
      <c r="DQ514" s="229"/>
      <c r="DR514" s="229"/>
      <c r="DS514" s="229"/>
      <c r="DT514" s="229"/>
      <c r="DU514" s="229"/>
      <c r="DV514" s="229"/>
      <c r="DW514" s="229"/>
      <c r="DX514" s="229"/>
      <c r="DY514" s="229"/>
      <c r="DZ514" s="229"/>
      <c r="EA514" s="229"/>
      <c r="EB514" s="229"/>
      <c r="EC514" s="229"/>
      <c r="ED514" s="229"/>
      <c r="EE514" s="229"/>
      <c r="EF514" s="229"/>
      <c r="EG514" s="229"/>
      <c r="EH514" s="229"/>
      <c r="EI514" s="229"/>
      <c r="EJ514" s="229"/>
      <c r="EK514" s="229"/>
      <c r="EL514" s="229"/>
      <c r="EM514" s="229"/>
      <c r="EN514" s="229"/>
      <c r="EO514" s="229"/>
      <c r="EP514" s="229"/>
      <c r="EQ514" s="229"/>
      <c r="ER514" s="229"/>
      <c r="ES514" s="229"/>
      <c r="ET514" s="229"/>
      <c r="EU514" s="229"/>
      <c r="EV514" s="229"/>
      <c r="EW514" s="229"/>
      <c r="EX514" s="229"/>
      <c r="EY514" s="229"/>
      <c r="EZ514" s="229"/>
      <c r="FA514" s="229"/>
      <c r="FB514" s="229"/>
      <c r="FC514" s="229"/>
      <c r="FD514" s="229"/>
      <c r="FE514" s="229"/>
      <c r="FF514" s="229"/>
      <c r="FG514" s="229"/>
      <c r="FH514" s="229"/>
      <c r="FI514" s="229"/>
      <c r="FJ514" s="229"/>
      <c r="FK514" s="229"/>
      <c r="FL514" s="229"/>
      <c r="FM514" s="229"/>
      <c r="FN514" s="229"/>
      <c r="FO514" s="229"/>
      <c r="FP514" s="229"/>
      <c r="FQ514" s="229"/>
      <c r="FR514" s="229"/>
      <c r="FS514" s="229"/>
      <c r="FT514" s="229"/>
      <c r="FU514" s="229"/>
      <c r="FV514" s="229"/>
      <c r="FW514" s="229"/>
      <c r="FX514" s="229"/>
      <c r="FY514" s="229"/>
      <c r="FZ514" s="229"/>
      <c r="GA514" s="229"/>
      <c r="GB514" s="229"/>
      <c r="GC514" s="229"/>
      <c r="GD514" s="229"/>
      <c r="GE514" s="229"/>
      <c r="GF514" s="229"/>
      <c r="GG514" s="229"/>
      <c r="GH514" s="229"/>
      <c r="GI514" s="229"/>
      <c r="GJ514" s="229"/>
    </row>
    <row r="515" spans="3:192" ht="12.75" customHeight="1">
      <c r="C515" s="230"/>
      <c r="D515" s="224"/>
      <c r="E515" s="224"/>
      <c r="F515" s="224"/>
      <c r="G515" s="224"/>
      <c r="H515" s="230"/>
      <c r="I515" s="224"/>
      <c r="J515" s="224"/>
      <c r="K515" s="224"/>
      <c r="L515" s="224"/>
      <c r="M515" s="230"/>
      <c r="N515" s="224"/>
      <c r="O515" s="224"/>
      <c r="P515" s="224"/>
      <c r="Q515" s="224"/>
      <c r="R515" s="230"/>
      <c r="S515" s="224"/>
      <c r="T515" s="224"/>
      <c r="U515" s="224"/>
      <c r="V515" s="224"/>
      <c r="W515" s="230"/>
      <c r="X515" s="224"/>
      <c r="Y515" s="224"/>
      <c r="Z515" s="224"/>
      <c r="AA515" s="224"/>
      <c r="AB515" s="230"/>
      <c r="AC515" s="224"/>
      <c r="AD515" s="224"/>
      <c r="AE515" s="224"/>
      <c r="AF515" s="224"/>
      <c r="AG515" s="230"/>
      <c r="AH515" s="224"/>
      <c r="AI515" s="224"/>
      <c r="AJ515" s="224"/>
      <c r="AK515" s="224"/>
      <c r="AL515" s="230"/>
      <c r="AM515" s="224"/>
      <c r="AN515" s="224"/>
      <c r="AO515" s="224"/>
      <c r="AP515" s="224"/>
      <c r="AQ515" s="230"/>
      <c r="AR515" s="224"/>
      <c r="AS515" s="224"/>
      <c r="AT515" s="224"/>
      <c r="AU515" s="224"/>
      <c r="AV515" s="230"/>
      <c r="AW515" s="224"/>
      <c r="AX515" s="224"/>
      <c r="AY515" s="224"/>
      <c r="AZ515" s="224"/>
      <c r="BA515" s="230"/>
      <c r="BB515" s="224"/>
      <c r="BC515" s="224"/>
      <c r="BD515" s="224"/>
      <c r="BE515" s="224"/>
      <c r="BF515" s="230"/>
      <c r="BG515" s="224"/>
      <c r="BH515" s="224"/>
      <c r="BI515" s="224"/>
      <c r="BJ515" s="224"/>
      <c r="BK515" s="230"/>
      <c r="BL515" s="224"/>
      <c r="BM515" s="224"/>
      <c r="BN515" s="224"/>
      <c r="BO515" s="224"/>
      <c r="BP515" s="230"/>
      <c r="BQ515" s="224"/>
      <c r="BR515" s="224"/>
      <c r="BS515" s="224"/>
      <c r="BT515" s="224"/>
      <c r="BU515" s="230"/>
      <c r="BV515" s="224"/>
      <c r="BW515" s="224"/>
      <c r="BX515" s="224"/>
      <c r="BY515" s="224"/>
      <c r="BZ515" s="230"/>
      <c r="CA515" s="224"/>
      <c r="CB515" s="224"/>
      <c r="CC515" s="224"/>
      <c r="CD515" s="224"/>
      <c r="CE515" s="230"/>
      <c r="CF515" s="224"/>
      <c r="CG515" s="224"/>
      <c r="CH515" s="224"/>
      <c r="CI515" s="224"/>
      <c r="CJ515" s="230"/>
      <c r="CK515" s="224"/>
      <c r="CL515" s="224"/>
      <c r="CM515" s="224"/>
      <c r="CN515" s="224"/>
      <c r="CO515" s="230"/>
      <c r="CP515" s="224"/>
      <c r="CQ515" s="224"/>
      <c r="CR515" s="224"/>
      <c r="CS515" s="224"/>
      <c r="CT515" s="230"/>
      <c r="CU515" s="224"/>
      <c r="CV515" s="224"/>
      <c r="CW515" s="224"/>
      <c r="CX515" s="224"/>
      <c r="CY515" s="230"/>
      <c r="CZ515" s="224"/>
      <c r="DA515" s="224"/>
      <c r="DB515" s="224"/>
      <c r="DC515" s="224"/>
      <c r="DD515" s="230"/>
      <c r="DE515" s="224"/>
      <c r="DF515" s="224"/>
      <c r="DG515" s="224"/>
      <c r="DH515" s="224"/>
      <c r="DI515" s="230"/>
      <c r="DJ515" s="224"/>
      <c r="DK515" s="224"/>
      <c r="DL515" s="224"/>
      <c r="DM515" s="224"/>
      <c r="DN515" s="230"/>
      <c r="DO515" s="224"/>
      <c r="DP515" s="224"/>
      <c r="DQ515" s="224"/>
      <c r="DR515" s="224"/>
      <c r="DS515" s="230"/>
      <c r="DT515" s="224"/>
      <c r="DU515" s="224"/>
      <c r="DV515" s="224"/>
      <c r="DW515" s="224"/>
      <c r="DX515" s="230"/>
      <c r="DY515" s="224"/>
      <c r="DZ515" s="224"/>
      <c r="EA515" s="224"/>
      <c r="EB515" s="224"/>
      <c r="EC515" s="230"/>
      <c r="ED515" s="224"/>
      <c r="EE515" s="224"/>
      <c r="EF515" s="224"/>
      <c r="EG515" s="224"/>
      <c r="EH515" s="230"/>
      <c r="EI515" s="224"/>
      <c r="EJ515" s="224"/>
      <c r="EK515" s="224"/>
      <c r="EL515" s="224"/>
      <c r="EM515" s="230"/>
      <c r="EN515" s="224"/>
      <c r="EO515" s="224"/>
      <c r="EP515" s="224"/>
      <c r="EQ515" s="224"/>
      <c r="ER515" s="230"/>
      <c r="ES515" s="224"/>
      <c r="ET515" s="224"/>
      <c r="EU515" s="224"/>
      <c r="EV515" s="224"/>
      <c r="EW515" s="230"/>
      <c r="EX515" s="224"/>
      <c r="EY515" s="224"/>
      <c r="EZ515" s="224"/>
      <c r="FA515" s="224"/>
      <c r="FB515" s="230"/>
      <c r="FC515" s="224"/>
      <c r="FD515" s="224"/>
      <c r="FE515" s="224"/>
      <c r="FF515" s="224"/>
      <c r="FG515" s="230"/>
      <c r="FH515" s="224"/>
      <c r="FI515" s="224"/>
      <c r="FJ515" s="224"/>
      <c r="FK515" s="224"/>
      <c r="FL515" s="230"/>
      <c r="FM515" s="224"/>
      <c r="FN515" s="224"/>
      <c r="FO515" s="224"/>
      <c r="FP515" s="224"/>
      <c r="FQ515" s="230"/>
      <c r="FR515" s="224"/>
      <c r="FS515" s="224"/>
      <c r="FT515" s="224"/>
      <c r="FU515" s="224"/>
      <c r="FV515" s="230"/>
      <c r="FW515" s="224"/>
      <c r="FX515" s="224"/>
      <c r="FY515" s="224"/>
      <c r="FZ515" s="224"/>
      <c r="GA515" s="230"/>
      <c r="GB515" s="224"/>
      <c r="GC515" s="224"/>
      <c r="GD515" s="224"/>
      <c r="GE515" s="224"/>
      <c r="GF515" s="230"/>
      <c r="GG515" s="224"/>
      <c r="GH515" s="224"/>
      <c r="GI515" s="224"/>
      <c r="GJ515" s="224"/>
    </row>
    <row r="516" spans="3:192" ht="12.75" customHeight="1">
      <c r="C516" s="231"/>
      <c r="D516" s="231"/>
      <c r="E516" s="231"/>
      <c r="F516" s="231"/>
      <c r="G516" s="231"/>
      <c r="H516" s="231"/>
      <c r="I516" s="231"/>
      <c r="J516" s="231"/>
      <c r="K516" s="231"/>
      <c r="L516" s="231"/>
      <c r="M516" s="231"/>
      <c r="N516" s="231"/>
      <c r="O516" s="231"/>
      <c r="P516" s="231"/>
      <c r="Q516" s="231"/>
      <c r="R516" s="231"/>
      <c r="S516" s="231"/>
      <c r="T516" s="231"/>
      <c r="U516" s="231"/>
      <c r="V516" s="231"/>
      <c r="W516" s="231"/>
      <c r="X516" s="231"/>
      <c r="Y516" s="231"/>
      <c r="Z516" s="231"/>
      <c r="AA516" s="231"/>
      <c r="AB516" s="231"/>
      <c r="AC516" s="231"/>
      <c r="AD516" s="231"/>
      <c r="AE516" s="231"/>
      <c r="AF516" s="231"/>
      <c r="AG516" s="231"/>
      <c r="AH516" s="231"/>
      <c r="AI516" s="231"/>
      <c r="AJ516" s="231"/>
      <c r="AK516" s="231"/>
      <c r="AL516" s="231"/>
      <c r="AM516" s="231"/>
      <c r="AN516" s="231"/>
      <c r="AO516" s="231"/>
      <c r="AP516" s="231"/>
      <c r="AQ516" s="231"/>
      <c r="AR516" s="231"/>
      <c r="AS516" s="231"/>
      <c r="AT516" s="231"/>
      <c r="AU516" s="231"/>
      <c r="AV516" s="231"/>
      <c r="AW516" s="231"/>
      <c r="AX516" s="231"/>
      <c r="AY516" s="231"/>
      <c r="AZ516" s="231"/>
      <c r="BA516" s="231"/>
      <c r="BB516" s="231"/>
      <c r="BC516" s="231"/>
      <c r="BD516" s="231"/>
      <c r="BE516" s="231"/>
      <c r="BF516" s="231"/>
      <c r="BG516" s="231"/>
      <c r="BH516" s="231"/>
      <c r="BI516" s="231"/>
      <c r="BJ516" s="231"/>
      <c r="BK516" s="231"/>
      <c r="BL516" s="231"/>
      <c r="BM516" s="231"/>
      <c r="BN516" s="231"/>
      <c r="BO516" s="231"/>
      <c r="BP516" s="231"/>
      <c r="BQ516" s="231"/>
      <c r="BR516" s="231"/>
      <c r="BS516" s="231"/>
      <c r="BT516" s="231"/>
      <c r="BU516" s="231"/>
      <c r="BV516" s="231"/>
      <c r="BW516" s="231"/>
      <c r="BX516" s="231"/>
      <c r="BY516" s="231"/>
      <c r="BZ516" s="231"/>
      <c r="CA516" s="231"/>
      <c r="CB516" s="231"/>
      <c r="CC516" s="231"/>
      <c r="CD516" s="231"/>
      <c r="CE516" s="231"/>
      <c r="CF516" s="231"/>
      <c r="CG516" s="231"/>
      <c r="CH516" s="231"/>
      <c r="CI516" s="231"/>
      <c r="CJ516" s="231"/>
      <c r="CK516" s="231"/>
      <c r="CL516" s="231"/>
      <c r="CM516" s="231"/>
      <c r="CN516" s="231"/>
      <c r="CO516" s="231"/>
      <c r="CP516" s="231"/>
      <c r="CQ516" s="231"/>
      <c r="CR516" s="231"/>
      <c r="CS516" s="231"/>
      <c r="CT516" s="231"/>
      <c r="CU516" s="231"/>
      <c r="CV516" s="231"/>
      <c r="CW516" s="231"/>
      <c r="CX516" s="231"/>
      <c r="CY516" s="231"/>
      <c r="CZ516" s="231"/>
      <c r="DA516" s="231"/>
      <c r="DB516" s="231"/>
      <c r="DC516" s="231"/>
      <c r="DD516" s="231"/>
      <c r="DE516" s="231"/>
      <c r="DF516" s="231"/>
      <c r="DG516" s="231"/>
      <c r="DH516" s="231"/>
      <c r="DI516" s="231"/>
      <c r="DJ516" s="231"/>
      <c r="DK516" s="231"/>
      <c r="DL516" s="231"/>
      <c r="DM516" s="231"/>
      <c r="DN516" s="231"/>
      <c r="DO516" s="231"/>
      <c r="DP516" s="231"/>
      <c r="DQ516" s="231"/>
      <c r="DR516" s="231"/>
      <c r="DS516" s="231"/>
      <c r="DT516" s="231"/>
      <c r="DU516" s="231"/>
      <c r="DV516" s="231"/>
      <c r="DW516" s="231"/>
      <c r="DX516" s="231"/>
      <c r="DY516" s="231"/>
      <c r="DZ516" s="231"/>
      <c r="EA516" s="231"/>
      <c r="EB516" s="231"/>
      <c r="EC516" s="231"/>
      <c r="ED516" s="231"/>
      <c r="EE516" s="231"/>
      <c r="EF516" s="231"/>
      <c r="EG516" s="231"/>
      <c r="EH516" s="231"/>
      <c r="EI516" s="231"/>
      <c r="EJ516" s="231"/>
      <c r="EK516" s="231"/>
      <c r="EL516" s="231"/>
      <c r="EM516" s="231"/>
      <c r="EN516" s="231"/>
      <c r="EO516" s="231"/>
      <c r="EP516" s="231"/>
      <c r="EQ516" s="231"/>
      <c r="ER516" s="231"/>
      <c r="ES516" s="231"/>
      <c r="ET516" s="231"/>
      <c r="EU516" s="231"/>
      <c r="EV516" s="231"/>
      <c r="EW516" s="231"/>
      <c r="EX516" s="231"/>
      <c r="EY516" s="231"/>
      <c r="EZ516" s="231"/>
      <c r="FA516" s="231"/>
      <c r="FB516" s="231"/>
      <c r="FC516" s="231"/>
      <c r="FD516" s="231"/>
      <c r="FE516" s="231"/>
      <c r="FF516" s="231"/>
      <c r="FG516" s="231"/>
      <c r="FH516" s="231"/>
      <c r="FI516" s="231"/>
      <c r="FJ516" s="231"/>
      <c r="FK516" s="231"/>
      <c r="FL516" s="231"/>
      <c r="FM516" s="231"/>
      <c r="FN516" s="231"/>
      <c r="FO516" s="231"/>
      <c r="FP516" s="231"/>
      <c r="FQ516" s="231"/>
      <c r="FR516" s="231"/>
      <c r="FS516" s="231"/>
      <c r="FT516" s="231"/>
      <c r="FU516" s="231"/>
      <c r="FV516" s="231"/>
      <c r="FW516" s="231"/>
      <c r="FX516" s="231"/>
      <c r="FY516" s="231"/>
      <c r="FZ516" s="231"/>
      <c r="GA516" s="231"/>
      <c r="GB516" s="231"/>
      <c r="GC516" s="231"/>
      <c r="GD516" s="231"/>
      <c r="GE516" s="231"/>
      <c r="GF516" s="231"/>
      <c r="GG516" s="231"/>
      <c r="GH516" s="231"/>
      <c r="GI516" s="231"/>
      <c r="GJ516" s="231"/>
    </row>
    <row r="517" spans="3:192" ht="12.75" customHeight="1">
      <c r="C517" s="220"/>
      <c r="D517" s="169"/>
      <c r="E517" s="169"/>
      <c r="F517" s="169"/>
      <c r="G517" s="169"/>
      <c r="H517" s="220"/>
      <c r="I517" s="169"/>
      <c r="J517" s="169"/>
      <c r="K517" s="169"/>
      <c r="L517" s="169"/>
      <c r="M517" s="220"/>
      <c r="N517" s="169"/>
      <c r="O517" s="169"/>
      <c r="P517" s="169"/>
      <c r="Q517" s="169"/>
      <c r="R517" s="220"/>
      <c r="S517" s="169"/>
      <c r="T517" s="169"/>
      <c r="U517" s="169"/>
      <c r="V517" s="169"/>
      <c r="W517" s="220"/>
      <c r="X517" s="169"/>
      <c r="Y517" s="169"/>
      <c r="Z517" s="169"/>
      <c r="AA517" s="169"/>
      <c r="AB517" s="220"/>
      <c r="AC517" s="169"/>
      <c r="AD517" s="169"/>
      <c r="AE517" s="169"/>
      <c r="AF517" s="169"/>
      <c r="AG517" s="220"/>
      <c r="AH517" s="169"/>
      <c r="AI517" s="169"/>
      <c r="AJ517" s="169"/>
      <c r="AK517" s="169"/>
      <c r="AL517" s="220"/>
      <c r="AM517" s="169"/>
      <c r="AN517" s="169"/>
      <c r="AO517" s="169"/>
      <c r="AP517" s="169"/>
      <c r="AQ517" s="220"/>
      <c r="AR517" s="169"/>
      <c r="AS517" s="169"/>
      <c r="AT517" s="169"/>
      <c r="AU517" s="169"/>
      <c r="AV517" s="220"/>
      <c r="AW517" s="169"/>
      <c r="AX517" s="169"/>
      <c r="AY517" s="169"/>
      <c r="AZ517" s="169"/>
      <c r="BA517" s="220"/>
      <c r="BB517" s="169"/>
      <c r="BC517" s="169"/>
      <c r="BD517" s="169"/>
      <c r="BE517" s="169"/>
      <c r="BF517" s="220"/>
      <c r="BG517" s="169"/>
      <c r="BH517" s="169"/>
      <c r="BI517" s="169"/>
      <c r="BJ517" s="169"/>
      <c r="BK517" s="220"/>
      <c r="BL517" s="169"/>
      <c r="BM517" s="169"/>
      <c r="BN517" s="169"/>
      <c r="BO517" s="169"/>
      <c r="BP517" s="220"/>
      <c r="BQ517" s="169"/>
      <c r="BR517" s="169"/>
      <c r="BS517" s="169"/>
      <c r="BT517" s="169"/>
      <c r="BU517" s="220"/>
      <c r="BV517" s="169"/>
      <c r="BW517" s="169"/>
      <c r="BX517" s="169"/>
      <c r="BY517" s="169"/>
      <c r="BZ517" s="220"/>
      <c r="CA517" s="169"/>
      <c r="CB517" s="169"/>
      <c r="CC517" s="169"/>
      <c r="CD517" s="169"/>
      <c r="CE517" s="220"/>
      <c r="CF517" s="169"/>
      <c r="CG517" s="169"/>
      <c r="CH517" s="169"/>
      <c r="CI517" s="169"/>
      <c r="CJ517" s="220"/>
      <c r="CK517" s="169"/>
      <c r="CL517" s="169"/>
      <c r="CM517" s="169"/>
      <c r="CN517" s="169"/>
      <c r="CO517" s="220"/>
      <c r="CP517" s="169"/>
      <c r="CQ517" s="169"/>
      <c r="CR517" s="169"/>
      <c r="CS517" s="169"/>
      <c r="CT517" s="220"/>
      <c r="CU517" s="169"/>
      <c r="CV517" s="169"/>
      <c r="CW517" s="169"/>
      <c r="CX517" s="169"/>
      <c r="CY517" s="220"/>
      <c r="CZ517" s="169"/>
      <c r="DA517" s="169"/>
      <c r="DB517" s="169"/>
      <c r="DC517" s="169"/>
      <c r="DD517" s="220"/>
      <c r="DE517" s="169"/>
      <c r="DF517" s="169"/>
      <c r="DG517" s="169"/>
      <c r="DH517" s="169"/>
      <c r="DI517" s="220"/>
      <c r="DJ517" s="169"/>
      <c r="DK517" s="169"/>
      <c r="DL517" s="169"/>
      <c r="DM517" s="169"/>
      <c r="DN517" s="220"/>
      <c r="DO517" s="169"/>
      <c r="DP517" s="169"/>
      <c r="DQ517" s="169"/>
      <c r="DR517" s="169"/>
      <c r="DS517" s="220"/>
      <c r="DT517" s="169"/>
      <c r="DU517" s="169"/>
      <c r="DV517" s="169"/>
      <c r="DW517" s="169"/>
      <c r="DX517" s="220"/>
      <c r="DY517" s="169"/>
      <c r="DZ517" s="169"/>
      <c r="EA517" s="169"/>
      <c r="EB517" s="169"/>
      <c r="EC517" s="220"/>
      <c r="ED517" s="169"/>
      <c r="EE517" s="169"/>
      <c r="EF517" s="169"/>
      <c r="EG517" s="169"/>
      <c r="EH517" s="220"/>
      <c r="EI517" s="169"/>
      <c r="EJ517" s="169"/>
      <c r="EK517" s="169"/>
      <c r="EL517" s="169"/>
      <c r="EM517" s="220"/>
      <c r="EN517" s="169"/>
      <c r="EO517" s="169"/>
      <c r="EP517" s="169"/>
      <c r="EQ517" s="169"/>
      <c r="ER517" s="220"/>
      <c r="ES517" s="169"/>
      <c r="ET517" s="169"/>
      <c r="EU517" s="169"/>
      <c r="EV517" s="169"/>
      <c r="EW517" s="220"/>
      <c r="EX517" s="169"/>
      <c r="EY517" s="169"/>
      <c r="EZ517" s="169"/>
      <c r="FA517" s="169"/>
      <c r="FB517" s="220"/>
      <c r="FC517" s="169"/>
      <c r="FD517" s="169"/>
      <c r="FE517" s="169"/>
      <c r="FF517" s="169"/>
      <c r="FG517" s="220"/>
      <c r="FH517" s="169"/>
      <c r="FI517" s="169"/>
      <c r="FJ517" s="169"/>
      <c r="FK517" s="169"/>
      <c r="FL517" s="220"/>
      <c r="FM517" s="169"/>
      <c r="FN517" s="169"/>
      <c r="FO517" s="169"/>
      <c r="FP517" s="169"/>
      <c r="FQ517" s="220"/>
      <c r="FR517" s="169"/>
      <c r="FS517" s="169"/>
      <c r="FT517" s="169"/>
      <c r="FU517" s="169"/>
      <c r="FV517" s="220"/>
      <c r="FW517" s="169"/>
      <c r="FX517" s="169"/>
      <c r="FY517" s="169"/>
      <c r="FZ517" s="169"/>
      <c r="GA517" s="220"/>
      <c r="GB517" s="169"/>
      <c r="GC517" s="169"/>
      <c r="GD517" s="169"/>
      <c r="GE517" s="169"/>
      <c r="GF517" s="220"/>
      <c r="GG517" s="169"/>
      <c r="GH517" s="169"/>
      <c r="GI517" s="169"/>
      <c r="GJ517" s="169"/>
    </row>
    <row r="518" spans="3:192" ht="12.75" customHeight="1">
      <c r="C518" s="169"/>
      <c r="D518" s="169"/>
      <c r="E518" s="169"/>
      <c r="F518" s="169"/>
      <c r="G518" s="169"/>
      <c r="H518" s="169"/>
      <c r="I518" s="169"/>
      <c r="J518" s="169"/>
      <c r="K518" s="169"/>
      <c r="L518" s="169"/>
      <c r="M518" s="169"/>
      <c r="N518" s="169"/>
      <c r="O518" s="169"/>
      <c r="P518" s="169"/>
      <c r="Q518" s="169"/>
      <c r="R518" s="169"/>
      <c r="S518" s="169"/>
      <c r="T518" s="169"/>
      <c r="U518" s="169"/>
      <c r="V518" s="169"/>
      <c r="W518" s="169"/>
      <c r="X518" s="169"/>
      <c r="Y518" s="169"/>
      <c r="Z518" s="169"/>
      <c r="AA518" s="169"/>
      <c r="AB518" s="169"/>
      <c r="AC518" s="169"/>
      <c r="AD518" s="169"/>
      <c r="AE518" s="169"/>
      <c r="AF518" s="169"/>
      <c r="AG518" s="169"/>
      <c r="AH518" s="169"/>
      <c r="AI518" s="169"/>
      <c r="AJ518" s="169"/>
      <c r="AK518" s="169"/>
      <c r="AL518" s="169"/>
      <c r="AM518" s="169"/>
      <c r="AN518" s="169"/>
      <c r="AO518" s="169"/>
      <c r="AP518" s="169"/>
      <c r="AQ518" s="169"/>
      <c r="AR518" s="169"/>
      <c r="AS518" s="169"/>
      <c r="AT518" s="169"/>
      <c r="AU518" s="169"/>
      <c r="AV518" s="169"/>
      <c r="AW518" s="169"/>
      <c r="AX518" s="169"/>
      <c r="AY518" s="169"/>
      <c r="AZ518" s="169"/>
      <c r="BA518" s="169"/>
      <c r="BB518" s="169"/>
      <c r="BC518" s="169"/>
      <c r="BD518" s="169"/>
      <c r="BE518" s="169"/>
      <c r="BF518" s="169"/>
      <c r="BG518" s="169"/>
      <c r="BH518" s="169"/>
      <c r="BI518" s="169"/>
      <c r="BJ518" s="169"/>
      <c r="BK518" s="169"/>
      <c r="BL518" s="169"/>
      <c r="BM518" s="169"/>
      <c r="BN518" s="169"/>
      <c r="BO518" s="169"/>
      <c r="BP518" s="169"/>
      <c r="BQ518" s="169"/>
      <c r="BR518" s="169"/>
      <c r="BS518" s="169"/>
      <c r="BT518" s="169"/>
      <c r="BU518" s="169"/>
      <c r="BV518" s="169"/>
      <c r="BW518" s="169"/>
      <c r="BX518" s="169"/>
      <c r="BY518" s="169"/>
      <c r="BZ518" s="169"/>
      <c r="CA518" s="169"/>
      <c r="CB518" s="169"/>
      <c r="CC518" s="169"/>
      <c r="CD518" s="169"/>
      <c r="CE518" s="169"/>
      <c r="CF518" s="169"/>
      <c r="CG518" s="169"/>
      <c r="CH518" s="169"/>
      <c r="CI518" s="169"/>
      <c r="CJ518" s="169"/>
      <c r="CK518" s="169"/>
      <c r="CL518" s="169"/>
      <c r="CM518" s="169"/>
      <c r="CN518" s="169"/>
      <c r="CO518" s="169"/>
      <c r="CP518" s="169"/>
      <c r="CQ518" s="169"/>
      <c r="CR518" s="169"/>
      <c r="CS518" s="169"/>
      <c r="CT518" s="169"/>
      <c r="CU518" s="169"/>
      <c r="CV518" s="169"/>
      <c r="CW518" s="169"/>
      <c r="CX518" s="169"/>
      <c r="CY518" s="169"/>
      <c r="CZ518" s="169"/>
      <c r="DA518" s="169"/>
      <c r="DB518" s="169"/>
      <c r="DC518" s="169"/>
      <c r="DD518" s="169"/>
      <c r="DE518" s="169"/>
      <c r="DF518" s="169"/>
      <c r="DG518" s="169"/>
      <c r="DH518" s="169"/>
      <c r="DI518" s="169"/>
      <c r="DJ518" s="169"/>
      <c r="DK518" s="169"/>
      <c r="DL518" s="169"/>
      <c r="DM518" s="169"/>
      <c r="DN518" s="169"/>
      <c r="DO518" s="169"/>
      <c r="DP518" s="169"/>
      <c r="DQ518" s="169"/>
      <c r="DR518" s="169"/>
      <c r="DS518" s="169"/>
      <c r="DT518" s="169"/>
      <c r="DU518" s="169"/>
      <c r="DV518" s="169"/>
      <c r="DW518" s="169"/>
      <c r="DX518" s="169"/>
      <c r="DY518" s="169"/>
      <c r="DZ518" s="169"/>
      <c r="EA518" s="169"/>
      <c r="EB518" s="169"/>
      <c r="EC518" s="169"/>
      <c r="ED518" s="169"/>
      <c r="EE518" s="169"/>
      <c r="EF518" s="169"/>
      <c r="EG518" s="169"/>
      <c r="EH518" s="169"/>
      <c r="EI518" s="169"/>
      <c r="EJ518" s="169"/>
      <c r="EK518" s="169"/>
      <c r="EL518" s="169"/>
      <c r="EM518" s="169"/>
      <c r="EN518" s="169"/>
      <c r="EO518" s="169"/>
      <c r="EP518" s="169"/>
      <c r="EQ518" s="169"/>
      <c r="ER518" s="169"/>
      <c r="ES518" s="169"/>
      <c r="ET518" s="169"/>
      <c r="EU518" s="169"/>
      <c r="EV518" s="169"/>
      <c r="EW518" s="169"/>
      <c r="EX518" s="169"/>
      <c r="EY518" s="169"/>
      <c r="EZ518" s="169"/>
      <c r="FA518" s="169"/>
      <c r="FB518" s="169"/>
      <c r="FC518" s="169"/>
      <c r="FD518" s="169"/>
      <c r="FE518" s="169"/>
      <c r="FF518" s="169"/>
      <c r="FG518" s="169"/>
      <c r="FH518" s="169"/>
      <c r="FI518" s="169"/>
      <c r="FJ518" s="169"/>
      <c r="FK518" s="169"/>
      <c r="FL518" s="169"/>
      <c r="FM518" s="169"/>
      <c r="FN518" s="169"/>
      <c r="FO518" s="169"/>
      <c r="FP518" s="169"/>
      <c r="FQ518" s="169"/>
      <c r="FR518" s="169"/>
      <c r="FS518" s="169"/>
      <c r="FT518" s="169"/>
      <c r="FU518" s="169"/>
      <c r="FV518" s="169"/>
      <c r="FW518" s="169"/>
      <c r="FX518" s="169"/>
      <c r="FY518" s="169"/>
      <c r="FZ518" s="169"/>
      <c r="GA518" s="169"/>
      <c r="GB518" s="169"/>
      <c r="GC518" s="169"/>
      <c r="GD518" s="169"/>
      <c r="GE518" s="169"/>
      <c r="GF518" s="169"/>
      <c r="GG518" s="169"/>
      <c r="GH518" s="169"/>
      <c r="GI518" s="169"/>
      <c r="GJ518" s="169"/>
    </row>
    <row r="519" spans="3:192" ht="12.75" customHeight="1">
      <c r="C519" s="169"/>
      <c r="D519" s="169"/>
      <c r="E519" s="169"/>
      <c r="F519" s="169"/>
      <c r="G519" s="169"/>
      <c r="H519" s="169"/>
      <c r="I519" s="169"/>
      <c r="J519" s="169"/>
      <c r="K519" s="169"/>
      <c r="L519" s="169"/>
      <c r="M519" s="169"/>
      <c r="N519" s="169"/>
      <c r="O519" s="169"/>
      <c r="P519" s="169"/>
      <c r="Q519" s="169"/>
      <c r="R519" s="169"/>
      <c r="S519" s="169"/>
      <c r="T519" s="169"/>
      <c r="U519" s="169"/>
      <c r="V519" s="169"/>
      <c r="W519" s="169"/>
      <c r="X519" s="169"/>
      <c r="Y519" s="169"/>
      <c r="Z519" s="169"/>
      <c r="AA519" s="169"/>
      <c r="AB519" s="169"/>
      <c r="AC519" s="169"/>
      <c r="AD519" s="169"/>
      <c r="AE519" s="169"/>
      <c r="AF519" s="169"/>
      <c r="AG519" s="169"/>
      <c r="AH519" s="169"/>
      <c r="AI519" s="169"/>
      <c r="AJ519" s="169"/>
      <c r="AK519" s="169"/>
      <c r="AL519" s="169"/>
      <c r="AM519" s="169"/>
      <c r="AN519" s="169"/>
      <c r="AO519" s="169"/>
      <c r="AP519" s="169"/>
      <c r="AQ519" s="169"/>
      <c r="AR519" s="169"/>
      <c r="AS519" s="169"/>
      <c r="AT519" s="169"/>
      <c r="AU519" s="169"/>
      <c r="AV519" s="169"/>
      <c r="AW519" s="169"/>
      <c r="AX519" s="169"/>
      <c r="AY519" s="169"/>
      <c r="AZ519" s="169"/>
      <c r="BA519" s="169"/>
      <c r="BB519" s="169"/>
      <c r="BC519" s="169"/>
      <c r="BD519" s="169"/>
      <c r="BE519" s="169"/>
      <c r="BF519" s="169"/>
      <c r="BG519" s="169"/>
      <c r="BH519" s="169"/>
      <c r="BI519" s="169"/>
      <c r="BJ519" s="169"/>
      <c r="BK519" s="169"/>
      <c r="BL519" s="169"/>
      <c r="BM519" s="169"/>
      <c r="BN519" s="169"/>
      <c r="BO519" s="169"/>
      <c r="BP519" s="169"/>
      <c r="BQ519" s="169"/>
      <c r="BR519" s="169"/>
      <c r="BS519" s="169"/>
      <c r="BT519" s="169"/>
      <c r="BU519" s="169"/>
      <c r="BV519" s="169"/>
      <c r="BW519" s="169"/>
      <c r="BX519" s="169"/>
      <c r="BY519" s="169"/>
      <c r="BZ519" s="169"/>
      <c r="CA519" s="169"/>
      <c r="CB519" s="169"/>
      <c r="CC519" s="169"/>
      <c r="CD519" s="169"/>
      <c r="CE519" s="169"/>
      <c r="CF519" s="169"/>
      <c r="CG519" s="169"/>
      <c r="CH519" s="169"/>
      <c r="CI519" s="169"/>
      <c r="CJ519" s="169"/>
      <c r="CK519" s="169"/>
      <c r="CL519" s="169"/>
      <c r="CM519" s="169"/>
      <c r="CN519" s="169"/>
      <c r="CO519" s="169"/>
      <c r="CP519" s="169"/>
      <c r="CQ519" s="169"/>
      <c r="CR519" s="169"/>
      <c r="CS519" s="169"/>
      <c r="CT519" s="169"/>
      <c r="CU519" s="169"/>
      <c r="CV519" s="169"/>
      <c r="CW519" s="169"/>
      <c r="CX519" s="169"/>
      <c r="CY519" s="169"/>
      <c r="CZ519" s="169"/>
      <c r="DA519" s="169"/>
      <c r="DB519" s="169"/>
      <c r="DC519" s="169"/>
      <c r="DD519" s="169"/>
      <c r="DE519" s="169"/>
      <c r="DF519" s="169"/>
      <c r="DG519" s="169"/>
      <c r="DH519" s="169"/>
      <c r="DI519" s="169"/>
      <c r="DJ519" s="169"/>
      <c r="DK519" s="169"/>
      <c r="DL519" s="169"/>
      <c r="DM519" s="169"/>
      <c r="DN519" s="169"/>
      <c r="DO519" s="169"/>
      <c r="DP519" s="169"/>
      <c r="DQ519" s="169"/>
      <c r="DR519" s="169"/>
      <c r="DS519" s="169"/>
      <c r="DT519" s="169"/>
      <c r="DU519" s="169"/>
      <c r="DV519" s="169"/>
      <c r="DW519" s="169"/>
      <c r="DX519" s="169"/>
      <c r="DY519" s="169"/>
      <c r="DZ519" s="169"/>
      <c r="EA519" s="169"/>
      <c r="EB519" s="169"/>
      <c r="EC519" s="169"/>
      <c r="ED519" s="169"/>
      <c r="EE519" s="169"/>
      <c r="EF519" s="169"/>
      <c r="EG519" s="169"/>
      <c r="EH519" s="169"/>
      <c r="EI519" s="169"/>
      <c r="EJ519" s="169"/>
      <c r="EK519" s="169"/>
      <c r="EL519" s="169"/>
      <c r="EM519" s="169"/>
      <c r="EN519" s="169"/>
      <c r="EO519" s="169"/>
      <c r="EP519" s="169"/>
      <c r="EQ519" s="169"/>
      <c r="ER519" s="169"/>
      <c r="ES519" s="169"/>
      <c r="ET519" s="169"/>
      <c r="EU519" s="169"/>
      <c r="EV519" s="169"/>
      <c r="EW519" s="169"/>
      <c r="EX519" s="169"/>
      <c r="EY519" s="169"/>
      <c r="EZ519" s="169"/>
      <c r="FA519" s="169"/>
      <c r="FB519" s="169"/>
      <c r="FC519" s="169"/>
      <c r="FD519" s="169"/>
      <c r="FE519" s="169"/>
      <c r="FF519" s="169"/>
      <c r="FG519" s="169"/>
      <c r="FH519" s="169"/>
      <c r="FI519" s="169"/>
      <c r="FJ519" s="169"/>
      <c r="FK519" s="169"/>
      <c r="FL519" s="169"/>
      <c r="FM519" s="169"/>
      <c r="FN519" s="169"/>
      <c r="FO519" s="169"/>
      <c r="FP519" s="169"/>
      <c r="FQ519" s="169"/>
      <c r="FR519" s="169"/>
      <c r="FS519" s="169"/>
      <c r="FT519" s="169"/>
      <c r="FU519" s="169"/>
      <c r="FV519" s="169"/>
      <c r="FW519" s="169"/>
      <c r="FX519" s="169"/>
      <c r="FY519" s="169"/>
      <c r="FZ519" s="169"/>
      <c r="GA519" s="169"/>
      <c r="GB519" s="169"/>
      <c r="GC519" s="169"/>
      <c r="GD519" s="169"/>
      <c r="GE519" s="169"/>
      <c r="GF519" s="169"/>
      <c r="GG519" s="169"/>
      <c r="GH519" s="169"/>
      <c r="GI519" s="169"/>
      <c r="GJ519" s="169"/>
    </row>
    <row r="520" spans="3:192" ht="12.75" customHeight="1">
      <c r="C520" s="169"/>
      <c r="D520" s="169"/>
      <c r="E520" s="169"/>
      <c r="F520" s="169"/>
      <c r="G520" s="169"/>
      <c r="H520" s="169"/>
      <c r="I520" s="169"/>
      <c r="J520" s="169"/>
      <c r="K520" s="169"/>
      <c r="L520" s="169"/>
      <c r="M520" s="169"/>
      <c r="N520" s="169"/>
      <c r="O520" s="169"/>
      <c r="P520" s="169"/>
      <c r="Q520" s="169"/>
      <c r="R520" s="169"/>
      <c r="S520" s="169"/>
      <c r="T520" s="169"/>
      <c r="U520" s="169"/>
      <c r="V520" s="169"/>
      <c r="W520" s="169"/>
      <c r="X520" s="169"/>
      <c r="Y520" s="169"/>
      <c r="Z520" s="169"/>
      <c r="AA520" s="169"/>
      <c r="AB520" s="169"/>
      <c r="AC520" s="169"/>
      <c r="AD520" s="169"/>
      <c r="AE520" s="169"/>
      <c r="AF520" s="169"/>
      <c r="AG520" s="169"/>
      <c r="AH520" s="169"/>
      <c r="AI520" s="169"/>
      <c r="AJ520" s="169"/>
      <c r="AK520" s="169"/>
      <c r="AL520" s="169"/>
      <c r="AM520" s="169"/>
      <c r="AN520" s="169"/>
      <c r="AO520" s="169"/>
      <c r="AP520" s="169"/>
      <c r="AQ520" s="169"/>
      <c r="AR520" s="169"/>
      <c r="AS520" s="169"/>
      <c r="AT520" s="169"/>
      <c r="AU520" s="169"/>
      <c r="AV520" s="169"/>
      <c r="AW520" s="169"/>
      <c r="AX520" s="169"/>
      <c r="AY520" s="169"/>
      <c r="AZ520" s="169"/>
      <c r="BA520" s="169"/>
      <c r="BB520" s="169"/>
      <c r="BC520" s="169"/>
      <c r="BD520" s="169"/>
      <c r="BE520" s="169"/>
      <c r="BF520" s="169"/>
      <c r="BG520" s="169"/>
      <c r="BH520" s="169"/>
      <c r="BI520" s="169"/>
      <c r="BJ520" s="169"/>
      <c r="BK520" s="169"/>
      <c r="BL520" s="169"/>
      <c r="BM520" s="169"/>
      <c r="BN520" s="169"/>
      <c r="BO520" s="169"/>
      <c r="BP520" s="169"/>
      <c r="BQ520" s="169"/>
      <c r="BR520" s="169"/>
      <c r="BS520" s="169"/>
      <c r="BT520" s="169"/>
      <c r="BU520" s="169"/>
      <c r="BV520" s="169"/>
      <c r="BW520" s="169"/>
      <c r="BX520" s="169"/>
      <c r="BY520" s="169"/>
      <c r="BZ520" s="169"/>
      <c r="CA520" s="169"/>
      <c r="CB520" s="169"/>
      <c r="CC520" s="169"/>
      <c r="CD520" s="169"/>
      <c r="CE520" s="169"/>
      <c r="CF520" s="169"/>
      <c r="CG520" s="169"/>
      <c r="CH520" s="169"/>
      <c r="CI520" s="169"/>
      <c r="CJ520" s="169"/>
      <c r="CK520" s="169"/>
      <c r="CL520" s="169"/>
      <c r="CM520" s="169"/>
      <c r="CN520" s="169"/>
      <c r="CO520" s="169"/>
      <c r="CP520" s="169"/>
      <c r="CQ520" s="169"/>
      <c r="CR520" s="169"/>
      <c r="CS520" s="169"/>
      <c r="CT520" s="169"/>
      <c r="CU520" s="169"/>
      <c r="CV520" s="169"/>
      <c r="CW520" s="169"/>
      <c r="CX520" s="169"/>
      <c r="CY520" s="169"/>
      <c r="CZ520" s="169"/>
      <c r="DA520" s="169"/>
      <c r="DB520" s="169"/>
      <c r="DC520" s="169"/>
      <c r="DD520" s="169"/>
      <c r="DE520" s="169"/>
      <c r="DF520" s="169"/>
      <c r="DG520" s="169"/>
      <c r="DH520" s="169"/>
      <c r="DI520" s="169"/>
      <c r="DJ520" s="169"/>
      <c r="DK520" s="169"/>
      <c r="DL520" s="169"/>
      <c r="DM520" s="169"/>
      <c r="DN520" s="169"/>
      <c r="DO520" s="169"/>
      <c r="DP520" s="169"/>
      <c r="DQ520" s="169"/>
      <c r="DR520" s="169"/>
      <c r="DS520" s="169"/>
      <c r="DT520" s="169"/>
      <c r="DU520" s="169"/>
      <c r="DV520" s="169"/>
      <c r="DW520" s="169"/>
      <c r="DX520" s="169"/>
      <c r="DY520" s="169"/>
      <c r="DZ520" s="169"/>
      <c r="EA520" s="169"/>
      <c r="EB520" s="169"/>
      <c r="EC520" s="169"/>
      <c r="ED520" s="169"/>
      <c r="EE520" s="169"/>
      <c r="EF520" s="169"/>
      <c r="EG520" s="169"/>
      <c r="EH520" s="169"/>
      <c r="EI520" s="169"/>
      <c r="EJ520" s="169"/>
      <c r="EK520" s="169"/>
      <c r="EL520" s="169"/>
      <c r="EM520" s="169"/>
      <c r="EN520" s="169"/>
      <c r="EO520" s="169"/>
      <c r="EP520" s="169"/>
      <c r="EQ520" s="169"/>
      <c r="ER520" s="169"/>
      <c r="ES520" s="169"/>
      <c r="ET520" s="169"/>
      <c r="EU520" s="169"/>
      <c r="EV520" s="169"/>
      <c r="EW520" s="169"/>
      <c r="EX520" s="169"/>
      <c r="EY520" s="169"/>
      <c r="EZ520" s="169"/>
      <c r="FA520" s="169"/>
      <c r="FB520" s="169"/>
      <c r="FC520" s="169"/>
      <c r="FD520" s="169"/>
      <c r="FE520" s="169"/>
      <c r="FF520" s="169"/>
      <c r="FG520" s="169"/>
      <c r="FH520" s="169"/>
      <c r="FI520" s="169"/>
      <c r="FJ520" s="169"/>
      <c r="FK520" s="169"/>
      <c r="FL520" s="169"/>
      <c r="FM520" s="169"/>
      <c r="FN520" s="169"/>
      <c r="FO520" s="169"/>
      <c r="FP520" s="169"/>
      <c r="FQ520" s="169"/>
      <c r="FR520" s="169"/>
      <c r="FS520" s="169"/>
      <c r="FT520" s="169"/>
      <c r="FU520" s="169"/>
      <c r="FV520" s="169"/>
      <c r="FW520" s="169"/>
      <c r="FX520" s="169"/>
      <c r="FY520" s="169"/>
      <c r="FZ520" s="169"/>
      <c r="GA520" s="169"/>
      <c r="GB520" s="169"/>
      <c r="GC520" s="169"/>
      <c r="GD520" s="169"/>
      <c r="GE520" s="169"/>
      <c r="GF520" s="169"/>
      <c r="GG520" s="169"/>
      <c r="GH520" s="169"/>
      <c r="GI520" s="169"/>
      <c r="GJ520" s="169"/>
    </row>
    <row r="521" spans="3:192" ht="12.75" customHeight="1">
      <c r="C521" s="169"/>
      <c r="D521" s="169"/>
      <c r="E521" s="169"/>
      <c r="F521" s="169"/>
      <c r="G521" s="169"/>
      <c r="H521" s="169"/>
      <c r="I521" s="169"/>
      <c r="J521" s="169"/>
      <c r="K521" s="169"/>
      <c r="L521" s="169"/>
      <c r="M521" s="169"/>
      <c r="N521" s="169"/>
      <c r="O521" s="169"/>
      <c r="P521" s="169"/>
      <c r="Q521" s="169"/>
      <c r="R521" s="169"/>
      <c r="S521" s="169"/>
      <c r="T521" s="169"/>
      <c r="U521" s="169"/>
      <c r="V521" s="169"/>
      <c r="W521" s="169"/>
      <c r="X521" s="169"/>
      <c r="Y521" s="169"/>
      <c r="Z521" s="169"/>
      <c r="AA521" s="169"/>
      <c r="AB521" s="169"/>
      <c r="AC521" s="169"/>
      <c r="AD521" s="169"/>
      <c r="AE521" s="169"/>
      <c r="AF521" s="169"/>
      <c r="AG521" s="169"/>
      <c r="AH521" s="169"/>
      <c r="AI521" s="169"/>
      <c r="AJ521" s="169"/>
      <c r="AK521" s="169"/>
      <c r="AL521" s="169"/>
      <c r="AM521" s="169"/>
      <c r="AN521" s="169"/>
      <c r="AO521" s="169"/>
      <c r="AP521" s="169"/>
      <c r="AQ521" s="169"/>
      <c r="AR521" s="169"/>
      <c r="AS521" s="169"/>
      <c r="AT521" s="169"/>
      <c r="AU521" s="169"/>
      <c r="AV521" s="169"/>
      <c r="AW521" s="169"/>
      <c r="AX521" s="169"/>
      <c r="AY521" s="169"/>
      <c r="AZ521" s="169"/>
      <c r="BA521" s="169"/>
      <c r="BB521" s="169"/>
      <c r="BC521" s="169"/>
      <c r="BD521" s="169"/>
      <c r="BE521" s="169"/>
      <c r="BF521" s="169"/>
      <c r="BG521" s="169"/>
      <c r="BH521" s="169"/>
      <c r="BI521" s="169"/>
      <c r="BJ521" s="169"/>
      <c r="BK521" s="169"/>
      <c r="BL521" s="169"/>
      <c r="BM521" s="169"/>
      <c r="BN521" s="169"/>
      <c r="BO521" s="169"/>
      <c r="BP521" s="169"/>
      <c r="BQ521" s="169"/>
      <c r="BR521" s="169"/>
      <c r="BS521" s="169"/>
      <c r="BT521" s="169"/>
      <c r="BU521" s="169"/>
      <c r="BV521" s="169"/>
      <c r="BW521" s="169"/>
      <c r="BX521" s="169"/>
      <c r="BY521" s="169"/>
      <c r="BZ521" s="169"/>
      <c r="CA521" s="169"/>
      <c r="CB521" s="169"/>
      <c r="CC521" s="169"/>
      <c r="CD521" s="169"/>
      <c r="CE521" s="169"/>
      <c r="CF521" s="169"/>
      <c r="CG521" s="169"/>
      <c r="CH521" s="169"/>
      <c r="CI521" s="169"/>
      <c r="CJ521" s="169"/>
      <c r="CK521" s="169"/>
      <c r="CL521" s="169"/>
      <c r="CM521" s="169"/>
      <c r="CN521" s="169"/>
      <c r="CO521" s="169"/>
      <c r="CP521" s="169"/>
      <c r="CQ521" s="169"/>
      <c r="CR521" s="169"/>
      <c r="CS521" s="169"/>
      <c r="CT521" s="169"/>
      <c r="CU521" s="169"/>
      <c r="CV521" s="169"/>
      <c r="CW521" s="169"/>
      <c r="CX521" s="169"/>
      <c r="CY521" s="169"/>
      <c r="CZ521" s="169"/>
      <c r="DA521" s="169"/>
      <c r="DB521" s="169"/>
      <c r="DC521" s="169"/>
      <c r="DD521" s="169"/>
      <c r="DE521" s="169"/>
      <c r="DF521" s="169"/>
      <c r="DG521" s="169"/>
      <c r="DH521" s="169"/>
      <c r="DI521" s="169"/>
      <c r="DJ521" s="169"/>
      <c r="DK521" s="169"/>
      <c r="DL521" s="169"/>
      <c r="DM521" s="169"/>
      <c r="DN521" s="169"/>
      <c r="DO521" s="169"/>
      <c r="DP521" s="169"/>
      <c r="DQ521" s="169"/>
      <c r="DR521" s="169"/>
      <c r="DS521" s="169"/>
      <c r="DT521" s="169"/>
      <c r="DU521" s="169"/>
      <c r="DV521" s="169"/>
      <c r="DW521" s="169"/>
      <c r="DX521" s="169"/>
      <c r="DY521" s="169"/>
      <c r="DZ521" s="169"/>
      <c r="EA521" s="169"/>
      <c r="EB521" s="169"/>
      <c r="EC521" s="169"/>
      <c r="ED521" s="169"/>
      <c r="EE521" s="169"/>
      <c r="EF521" s="169"/>
      <c r="EG521" s="169"/>
      <c r="EH521" s="169"/>
      <c r="EI521" s="169"/>
      <c r="EJ521" s="169"/>
      <c r="EK521" s="169"/>
      <c r="EL521" s="169"/>
      <c r="EM521" s="169"/>
      <c r="EN521" s="169"/>
      <c r="EO521" s="169"/>
      <c r="EP521" s="169"/>
      <c r="EQ521" s="169"/>
      <c r="ER521" s="169"/>
      <c r="ES521" s="169"/>
      <c r="ET521" s="169"/>
      <c r="EU521" s="169"/>
      <c r="EV521" s="169"/>
      <c r="EW521" s="169"/>
      <c r="EX521" s="169"/>
      <c r="EY521" s="169"/>
      <c r="EZ521" s="169"/>
      <c r="FA521" s="169"/>
      <c r="FB521" s="169"/>
      <c r="FC521" s="169"/>
      <c r="FD521" s="169"/>
      <c r="FE521" s="169"/>
      <c r="FF521" s="169"/>
      <c r="FG521" s="169"/>
      <c r="FH521" s="169"/>
      <c r="FI521" s="169"/>
      <c r="FJ521" s="169"/>
      <c r="FK521" s="169"/>
      <c r="FL521" s="169"/>
      <c r="FM521" s="169"/>
      <c r="FN521" s="169"/>
      <c r="FO521" s="169"/>
      <c r="FP521" s="169"/>
      <c r="FQ521" s="169"/>
      <c r="FR521" s="169"/>
      <c r="FS521" s="169"/>
      <c r="FT521" s="169"/>
      <c r="FU521" s="169"/>
      <c r="FV521" s="169"/>
      <c r="FW521" s="169"/>
      <c r="FX521" s="169"/>
      <c r="FY521" s="169"/>
      <c r="FZ521" s="169"/>
      <c r="GA521" s="169"/>
      <c r="GB521" s="169"/>
      <c r="GC521" s="169"/>
      <c r="GD521" s="169"/>
      <c r="GE521" s="169"/>
      <c r="GF521" s="169"/>
      <c r="GG521" s="169"/>
      <c r="GH521" s="169"/>
      <c r="GI521" s="169"/>
      <c r="GJ521" s="169"/>
    </row>
    <row r="522" spans="3:192" ht="12.75" customHeight="1">
      <c r="C522" s="169"/>
      <c r="D522" s="169"/>
      <c r="E522" s="169"/>
      <c r="F522" s="169"/>
      <c r="G522" s="169"/>
      <c r="H522" s="169"/>
      <c r="I522" s="169"/>
      <c r="J522" s="169"/>
      <c r="K522" s="169"/>
      <c r="L522" s="169"/>
      <c r="M522" s="169"/>
      <c r="N522" s="169"/>
      <c r="O522" s="169"/>
      <c r="P522" s="169"/>
      <c r="Q522" s="169"/>
      <c r="R522" s="169"/>
      <c r="S522" s="169"/>
      <c r="T522" s="169"/>
      <c r="U522" s="169"/>
      <c r="V522" s="169"/>
      <c r="W522" s="169"/>
      <c r="X522" s="169"/>
      <c r="Y522" s="169"/>
      <c r="Z522" s="169"/>
      <c r="AA522" s="169"/>
      <c r="AB522" s="169"/>
      <c r="AC522" s="169"/>
      <c r="AD522" s="169"/>
      <c r="AE522" s="169"/>
      <c r="AF522" s="169"/>
      <c r="AG522" s="169"/>
      <c r="AH522" s="169"/>
      <c r="AI522" s="169"/>
      <c r="AJ522" s="169"/>
      <c r="AK522" s="169"/>
      <c r="AL522" s="169"/>
      <c r="AM522" s="169"/>
      <c r="AN522" s="169"/>
      <c r="AO522" s="169"/>
      <c r="AP522" s="169"/>
      <c r="AQ522" s="169"/>
      <c r="AR522" s="169"/>
      <c r="AS522" s="169"/>
      <c r="AT522" s="169"/>
      <c r="AU522" s="169"/>
      <c r="AV522" s="169"/>
      <c r="AW522" s="169"/>
      <c r="AX522" s="169"/>
      <c r="AY522" s="169"/>
      <c r="AZ522" s="169"/>
      <c r="BA522" s="169"/>
      <c r="BB522" s="169"/>
      <c r="BC522" s="169"/>
      <c r="BD522" s="169"/>
      <c r="BE522" s="169"/>
      <c r="BF522" s="169"/>
      <c r="BG522" s="169"/>
      <c r="BH522" s="169"/>
      <c r="BI522" s="169"/>
      <c r="BJ522" s="169"/>
      <c r="BK522" s="169"/>
      <c r="BL522" s="169"/>
      <c r="BM522" s="169"/>
      <c r="BN522" s="169"/>
      <c r="BO522" s="169"/>
      <c r="BP522" s="169"/>
      <c r="BQ522" s="169"/>
      <c r="BR522" s="169"/>
      <c r="BS522" s="169"/>
      <c r="BT522" s="169"/>
      <c r="BU522" s="169"/>
      <c r="BV522" s="169"/>
      <c r="BW522" s="169"/>
      <c r="BX522" s="169"/>
      <c r="BY522" s="169"/>
      <c r="BZ522" s="169"/>
      <c r="CA522" s="169"/>
      <c r="CB522" s="169"/>
      <c r="CC522" s="169"/>
      <c r="CD522" s="169"/>
      <c r="CE522" s="169"/>
      <c r="CF522" s="169"/>
      <c r="CG522" s="169"/>
      <c r="CH522" s="169"/>
      <c r="CI522" s="169"/>
      <c r="CJ522" s="169"/>
      <c r="CK522" s="169"/>
      <c r="CL522" s="169"/>
      <c r="CM522" s="169"/>
      <c r="CN522" s="169"/>
      <c r="CO522" s="169"/>
      <c r="CP522" s="169"/>
      <c r="CQ522" s="169"/>
      <c r="CR522" s="169"/>
      <c r="CS522" s="169"/>
      <c r="CT522" s="169"/>
      <c r="CU522" s="169"/>
      <c r="CV522" s="169"/>
      <c r="CW522" s="169"/>
      <c r="CX522" s="169"/>
      <c r="CY522" s="169"/>
      <c r="CZ522" s="169"/>
      <c r="DA522" s="169"/>
      <c r="DB522" s="169"/>
      <c r="DC522" s="169"/>
      <c r="DD522" s="169"/>
      <c r="DE522" s="169"/>
      <c r="DF522" s="169"/>
      <c r="DG522" s="169"/>
      <c r="DH522" s="169"/>
      <c r="DI522" s="169"/>
      <c r="DJ522" s="169"/>
      <c r="DK522" s="169"/>
      <c r="DL522" s="169"/>
      <c r="DM522" s="169"/>
      <c r="DN522" s="169"/>
      <c r="DO522" s="169"/>
      <c r="DP522" s="169"/>
      <c r="DQ522" s="169"/>
      <c r="DR522" s="169"/>
      <c r="DS522" s="169"/>
      <c r="DT522" s="169"/>
      <c r="DU522" s="169"/>
      <c r="DV522" s="169"/>
      <c r="DW522" s="169"/>
      <c r="DX522" s="169"/>
      <c r="DY522" s="169"/>
      <c r="DZ522" s="169"/>
      <c r="EA522" s="169"/>
      <c r="EB522" s="169"/>
      <c r="EC522" s="169"/>
      <c r="ED522" s="169"/>
      <c r="EE522" s="169"/>
      <c r="EF522" s="169"/>
      <c r="EG522" s="169"/>
      <c r="EH522" s="169"/>
      <c r="EI522" s="169"/>
      <c r="EJ522" s="169"/>
      <c r="EK522" s="169"/>
      <c r="EL522" s="169"/>
      <c r="EM522" s="169"/>
      <c r="EN522" s="169"/>
      <c r="EO522" s="169"/>
      <c r="EP522" s="169"/>
      <c r="EQ522" s="169"/>
      <c r="ER522" s="169"/>
      <c r="ES522" s="169"/>
      <c r="ET522" s="169"/>
      <c r="EU522" s="169"/>
      <c r="EV522" s="169"/>
      <c r="EW522" s="169"/>
      <c r="EX522" s="169"/>
      <c r="EY522" s="169"/>
      <c r="EZ522" s="169"/>
      <c r="FA522" s="169"/>
      <c r="FB522" s="169"/>
      <c r="FC522" s="169"/>
      <c r="FD522" s="169"/>
      <c r="FE522" s="169"/>
      <c r="FF522" s="169"/>
      <c r="FG522" s="169"/>
      <c r="FH522" s="169"/>
      <c r="FI522" s="169"/>
      <c r="FJ522" s="169"/>
      <c r="FK522" s="169"/>
      <c r="FL522" s="169"/>
      <c r="FM522" s="169"/>
      <c r="FN522" s="169"/>
      <c r="FO522" s="169"/>
      <c r="FP522" s="169"/>
      <c r="FQ522" s="169"/>
      <c r="FR522" s="169"/>
      <c r="FS522" s="169"/>
      <c r="FT522" s="169"/>
      <c r="FU522" s="169"/>
      <c r="FV522" s="169"/>
      <c r="FW522" s="169"/>
      <c r="FX522" s="169"/>
      <c r="FY522" s="169"/>
      <c r="FZ522" s="169"/>
      <c r="GA522" s="169"/>
      <c r="GB522" s="169"/>
      <c r="GC522" s="169"/>
      <c r="GD522" s="169"/>
      <c r="GE522" s="169"/>
      <c r="GF522" s="169"/>
      <c r="GG522" s="169"/>
      <c r="GH522" s="169"/>
      <c r="GI522" s="169"/>
      <c r="GJ522" s="169"/>
    </row>
    <row r="523" spans="3:192" ht="12.75" customHeight="1">
      <c r="C523" s="220"/>
      <c r="D523" s="169"/>
      <c r="E523" s="169"/>
      <c r="F523" s="169"/>
      <c r="G523" s="169"/>
      <c r="H523" s="220"/>
      <c r="I523" s="169"/>
      <c r="J523" s="169"/>
      <c r="K523" s="169"/>
      <c r="L523" s="169"/>
      <c r="M523" s="220"/>
      <c r="N523" s="169"/>
      <c r="O523" s="169"/>
      <c r="P523" s="169"/>
      <c r="Q523" s="169"/>
      <c r="R523" s="220"/>
      <c r="S523" s="169"/>
      <c r="T523" s="169"/>
      <c r="U523" s="169"/>
      <c r="V523" s="169"/>
      <c r="W523" s="220"/>
      <c r="X523" s="169"/>
      <c r="Y523" s="169"/>
      <c r="Z523" s="169"/>
      <c r="AA523" s="169"/>
      <c r="AB523" s="220"/>
      <c r="AC523" s="169"/>
      <c r="AD523" s="169"/>
      <c r="AE523" s="169"/>
      <c r="AF523" s="169"/>
      <c r="AG523" s="220"/>
      <c r="AH523" s="169"/>
      <c r="AI523" s="169"/>
      <c r="AJ523" s="169"/>
      <c r="AK523" s="169"/>
      <c r="AL523" s="220"/>
      <c r="AM523" s="169"/>
      <c r="AN523" s="169"/>
      <c r="AO523" s="169"/>
      <c r="AP523" s="169"/>
      <c r="AQ523" s="220"/>
      <c r="AR523" s="169"/>
      <c r="AS523" s="169"/>
      <c r="AT523" s="169"/>
      <c r="AU523" s="169"/>
      <c r="AV523" s="220"/>
      <c r="AW523" s="169"/>
      <c r="AX523" s="169"/>
      <c r="AY523" s="169"/>
      <c r="AZ523" s="169"/>
      <c r="BA523" s="220"/>
      <c r="BB523" s="169"/>
      <c r="BC523" s="169"/>
      <c r="BD523" s="169"/>
      <c r="BE523" s="169"/>
      <c r="BF523" s="220"/>
      <c r="BG523" s="169"/>
      <c r="BH523" s="169"/>
      <c r="BI523" s="169"/>
      <c r="BJ523" s="169"/>
      <c r="BK523" s="220"/>
      <c r="BL523" s="169"/>
      <c r="BM523" s="169"/>
      <c r="BN523" s="169"/>
      <c r="BO523" s="169"/>
      <c r="BP523" s="220"/>
      <c r="BQ523" s="169"/>
      <c r="BR523" s="169"/>
      <c r="BS523" s="169"/>
      <c r="BT523" s="169"/>
      <c r="BU523" s="220"/>
      <c r="BV523" s="169"/>
      <c r="BW523" s="169"/>
      <c r="BX523" s="169"/>
      <c r="BY523" s="169"/>
      <c r="BZ523" s="220"/>
      <c r="CA523" s="169"/>
      <c r="CB523" s="169"/>
      <c r="CC523" s="169"/>
      <c r="CD523" s="169"/>
      <c r="CE523" s="220"/>
      <c r="CF523" s="169"/>
      <c r="CG523" s="169"/>
      <c r="CH523" s="169"/>
      <c r="CI523" s="169"/>
      <c r="CJ523" s="220"/>
      <c r="CK523" s="169"/>
      <c r="CL523" s="169"/>
      <c r="CM523" s="169"/>
      <c r="CN523" s="169"/>
      <c r="CO523" s="220"/>
      <c r="CP523" s="169"/>
      <c r="CQ523" s="169"/>
      <c r="CR523" s="169"/>
      <c r="CS523" s="169"/>
      <c r="CT523" s="220"/>
      <c r="CU523" s="169"/>
      <c r="CV523" s="169"/>
      <c r="CW523" s="169"/>
      <c r="CX523" s="169"/>
      <c r="CY523" s="220"/>
      <c r="CZ523" s="169"/>
      <c r="DA523" s="169"/>
      <c r="DB523" s="169"/>
      <c r="DC523" s="169"/>
      <c r="DD523" s="220"/>
      <c r="DE523" s="169"/>
      <c r="DF523" s="169"/>
      <c r="DG523" s="169"/>
      <c r="DH523" s="169"/>
      <c r="DI523" s="220"/>
      <c r="DJ523" s="169"/>
      <c r="DK523" s="169"/>
      <c r="DL523" s="169"/>
      <c r="DM523" s="169"/>
      <c r="DN523" s="220"/>
      <c r="DO523" s="169"/>
      <c r="DP523" s="169"/>
      <c r="DQ523" s="169"/>
      <c r="DR523" s="169"/>
      <c r="DS523" s="220"/>
      <c r="DT523" s="169"/>
      <c r="DU523" s="169"/>
      <c r="DV523" s="169"/>
      <c r="DW523" s="169"/>
      <c r="DX523" s="220"/>
      <c r="DY523" s="169"/>
      <c r="DZ523" s="169"/>
      <c r="EA523" s="169"/>
      <c r="EB523" s="169"/>
      <c r="EC523" s="220"/>
      <c r="ED523" s="169"/>
      <c r="EE523" s="169"/>
      <c r="EF523" s="169"/>
      <c r="EG523" s="169"/>
      <c r="EH523" s="220"/>
      <c r="EI523" s="169"/>
      <c r="EJ523" s="169"/>
      <c r="EK523" s="169"/>
      <c r="EL523" s="169"/>
      <c r="EM523" s="220"/>
      <c r="EN523" s="169"/>
      <c r="EO523" s="169"/>
      <c r="EP523" s="169"/>
      <c r="EQ523" s="169"/>
      <c r="ER523" s="220"/>
      <c r="ES523" s="169"/>
      <c r="ET523" s="169"/>
      <c r="EU523" s="169"/>
      <c r="EV523" s="169"/>
      <c r="EW523" s="220"/>
      <c r="EX523" s="169"/>
      <c r="EY523" s="169"/>
      <c r="EZ523" s="169"/>
      <c r="FA523" s="169"/>
      <c r="FB523" s="220"/>
      <c r="FC523" s="169"/>
      <c r="FD523" s="169"/>
      <c r="FE523" s="169"/>
      <c r="FF523" s="169"/>
      <c r="FG523" s="220"/>
      <c r="FH523" s="169"/>
      <c r="FI523" s="169"/>
      <c r="FJ523" s="169"/>
      <c r="FK523" s="169"/>
      <c r="FL523" s="220"/>
      <c r="FM523" s="169"/>
      <c r="FN523" s="169"/>
      <c r="FO523" s="169"/>
      <c r="FP523" s="169"/>
      <c r="FQ523" s="220"/>
      <c r="FR523" s="169"/>
      <c r="FS523" s="169"/>
      <c r="FT523" s="169"/>
      <c r="FU523" s="169"/>
      <c r="FV523" s="220"/>
      <c r="FW523" s="169"/>
      <c r="FX523" s="169"/>
      <c r="FY523" s="169"/>
      <c r="FZ523" s="169"/>
      <c r="GA523" s="220"/>
      <c r="GB523" s="169"/>
      <c r="GC523" s="169"/>
      <c r="GD523" s="169"/>
      <c r="GE523" s="169"/>
      <c r="GF523" s="220"/>
      <c r="GG523" s="169"/>
      <c r="GH523" s="169"/>
      <c r="GI523" s="169"/>
      <c r="GJ523" s="169"/>
    </row>
    <row r="524" spans="3:192" ht="12.75" customHeight="1">
      <c r="C524" s="230"/>
      <c r="D524" s="224"/>
      <c r="E524" s="224"/>
      <c r="F524" s="224"/>
      <c r="G524" s="224"/>
      <c r="H524" s="230"/>
      <c r="I524" s="224"/>
      <c r="J524" s="224"/>
      <c r="K524" s="224"/>
      <c r="L524" s="224"/>
      <c r="M524" s="230"/>
      <c r="N524" s="224"/>
      <c r="O524" s="224"/>
      <c r="P524" s="224"/>
      <c r="Q524" s="224"/>
      <c r="R524" s="230"/>
      <c r="S524" s="224"/>
      <c r="T524" s="224"/>
      <c r="U524" s="224"/>
      <c r="V524" s="224"/>
      <c r="W524" s="230"/>
      <c r="X524" s="224"/>
      <c r="Y524" s="224"/>
      <c r="Z524" s="224"/>
      <c r="AA524" s="224"/>
      <c r="AB524" s="230"/>
      <c r="AC524" s="224"/>
      <c r="AD524" s="224"/>
      <c r="AE524" s="224"/>
      <c r="AF524" s="224"/>
      <c r="AG524" s="230"/>
      <c r="AH524" s="224"/>
      <c r="AI524" s="224"/>
      <c r="AJ524" s="224"/>
      <c r="AK524" s="224"/>
      <c r="AL524" s="230"/>
      <c r="AM524" s="224"/>
      <c r="AN524" s="224"/>
      <c r="AO524" s="224"/>
      <c r="AP524" s="224"/>
      <c r="AQ524" s="230"/>
      <c r="AR524" s="224"/>
      <c r="AS524" s="224"/>
      <c r="AT524" s="224"/>
      <c r="AU524" s="224"/>
      <c r="AV524" s="230"/>
      <c r="AW524" s="224"/>
      <c r="AX524" s="224"/>
      <c r="AY524" s="224"/>
      <c r="AZ524" s="224"/>
      <c r="BA524" s="230"/>
      <c r="BB524" s="224"/>
      <c r="BC524" s="224"/>
      <c r="BD524" s="224"/>
      <c r="BE524" s="224"/>
      <c r="BF524" s="230"/>
      <c r="BG524" s="224"/>
      <c r="BH524" s="224"/>
      <c r="BI524" s="224"/>
      <c r="BJ524" s="224"/>
      <c r="BK524" s="230"/>
      <c r="BL524" s="224"/>
      <c r="BM524" s="224"/>
      <c r="BN524" s="224"/>
      <c r="BO524" s="224"/>
      <c r="BP524" s="230"/>
      <c r="BQ524" s="224"/>
      <c r="BR524" s="224"/>
      <c r="BS524" s="224"/>
      <c r="BT524" s="224"/>
      <c r="BU524" s="230"/>
      <c r="BV524" s="224"/>
      <c r="BW524" s="224"/>
      <c r="BX524" s="224"/>
      <c r="BY524" s="224"/>
      <c r="BZ524" s="230"/>
      <c r="CA524" s="224"/>
      <c r="CB524" s="224"/>
      <c r="CC524" s="224"/>
      <c r="CD524" s="224"/>
      <c r="CE524" s="230"/>
      <c r="CF524" s="224"/>
      <c r="CG524" s="224"/>
      <c r="CH524" s="224"/>
      <c r="CI524" s="224"/>
      <c r="CJ524" s="230"/>
      <c r="CK524" s="224"/>
      <c r="CL524" s="224"/>
      <c r="CM524" s="224"/>
      <c r="CN524" s="224"/>
      <c r="CO524" s="230"/>
      <c r="CP524" s="224"/>
      <c r="CQ524" s="224"/>
      <c r="CR524" s="224"/>
      <c r="CS524" s="224"/>
      <c r="CT524" s="230"/>
      <c r="CU524" s="224"/>
      <c r="CV524" s="224"/>
      <c r="CW524" s="224"/>
      <c r="CX524" s="224"/>
      <c r="CY524" s="230"/>
      <c r="CZ524" s="224"/>
      <c r="DA524" s="224"/>
      <c r="DB524" s="224"/>
      <c r="DC524" s="224"/>
      <c r="DD524" s="230"/>
      <c r="DE524" s="224"/>
      <c r="DF524" s="224"/>
      <c r="DG524" s="224"/>
      <c r="DH524" s="224"/>
      <c r="DI524" s="230"/>
      <c r="DJ524" s="224"/>
      <c r="DK524" s="224"/>
      <c r="DL524" s="224"/>
      <c r="DM524" s="224"/>
      <c r="DN524" s="230"/>
      <c r="DO524" s="224"/>
      <c r="DP524" s="224"/>
      <c r="DQ524" s="224"/>
      <c r="DR524" s="224"/>
      <c r="DS524" s="230"/>
      <c r="DT524" s="224"/>
      <c r="DU524" s="224"/>
      <c r="DV524" s="224"/>
      <c r="DW524" s="224"/>
      <c r="DX524" s="230"/>
      <c r="DY524" s="224"/>
      <c r="DZ524" s="224"/>
      <c r="EA524" s="224"/>
      <c r="EB524" s="224"/>
      <c r="EC524" s="230"/>
      <c r="ED524" s="224"/>
      <c r="EE524" s="224"/>
      <c r="EF524" s="224"/>
      <c r="EG524" s="224"/>
      <c r="EH524" s="230"/>
      <c r="EI524" s="224"/>
      <c r="EJ524" s="224"/>
      <c r="EK524" s="224"/>
      <c r="EL524" s="224"/>
      <c r="EM524" s="230"/>
      <c r="EN524" s="224"/>
      <c r="EO524" s="224"/>
      <c r="EP524" s="224"/>
      <c r="EQ524" s="224"/>
      <c r="ER524" s="230"/>
      <c r="ES524" s="224"/>
      <c r="ET524" s="224"/>
      <c r="EU524" s="224"/>
      <c r="EV524" s="224"/>
      <c r="EW524" s="230"/>
      <c r="EX524" s="224"/>
      <c r="EY524" s="224"/>
      <c r="EZ524" s="224"/>
      <c r="FA524" s="224"/>
      <c r="FB524" s="230"/>
      <c r="FC524" s="224"/>
      <c r="FD524" s="224"/>
      <c r="FE524" s="224"/>
      <c r="FF524" s="224"/>
      <c r="FG524" s="230"/>
      <c r="FH524" s="224"/>
      <c r="FI524" s="224"/>
      <c r="FJ524" s="224"/>
      <c r="FK524" s="224"/>
      <c r="FL524" s="230"/>
      <c r="FM524" s="224"/>
      <c r="FN524" s="224"/>
      <c r="FO524" s="224"/>
      <c r="FP524" s="224"/>
      <c r="FQ524" s="230"/>
      <c r="FR524" s="224"/>
      <c r="FS524" s="224"/>
      <c r="FT524" s="224"/>
      <c r="FU524" s="224"/>
      <c r="FV524" s="230"/>
      <c r="FW524" s="224"/>
      <c r="FX524" s="224"/>
      <c r="FY524" s="224"/>
      <c r="FZ524" s="224"/>
      <c r="GA524" s="230"/>
      <c r="GB524" s="224"/>
      <c r="GC524" s="224"/>
      <c r="GD524" s="224"/>
      <c r="GE524" s="224"/>
      <c r="GF524" s="230"/>
      <c r="GG524" s="224"/>
      <c r="GH524" s="224"/>
      <c r="GI524" s="224"/>
      <c r="GJ524" s="224"/>
    </row>
    <row r="525" spans="3:192" ht="12.75" customHeight="1">
      <c r="C525" s="231"/>
      <c r="D525" s="231"/>
      <c r="E525" s="231"/>
      <c r="F525" s="231"/>
      <c r="G525" s="231"/>
      <c r="H525" s="231"/>
      <c r="I525" s="231"/>
      <c r="J525" s="231"/>
      <c r="K525" s="231"/>
      <c r="L525" s="231"/>
      <c r="M525" s="231"/>
      <c r="N525" s="231"/>
      <c r="O525" s="231"/>
      <c r="P525" s="231"/>
      <c r="Q525" s="231"/>
      <c r="R525" s="231"/>
      <c r="S525" s="231"/>
      <c r="T525" s="231"/>
      <c r="U525" s="231"/>
      <c r="V525" s="231"/>
      <c r="W525" s="231"/>
      <c r="X525" s="231"/>
      <c r="Y525" s="231"/>
      <c r="Z525" s="231"/>
      <c r="AA525" s="231"/>
      <c r="AB525" s="231"/>
      <c r="AC525" s="231"/>
      <c r="AD525" s="231"/>
      <c r="AE525" s="231"/>
      <c r="AF525" s="231"/>
      <c r="AG525" s="231"/>
      <c r="AH525" s="231"/>
      <c r="AI525" s="231"/>
      <c r="AJ525" s="231"/>
      <c r="AK525" s="231"/>
      <c r="AL525" s="231"/>
      <c r="AM525" s="231"/>
      <c r="AN525" s="231"/>
      <c r="AO525" s="231"/>
      <c r="AP525" s="231"/>
      <c r="AQ525" s="231"/>
      <c r="AR525" s="231"/>
      <c r="AS525" s="231"/>
      <c r="AT525" s="231"/>
      <c r="AU525" s="231"/>
      <c r="AV525" s="231"/>
      <c r="AW525" s="231"/>
      <c r="AX525" s="231"/>
      <c r="AY525" s="231"/>
      <c r="AZ525" s="231"/>
      <c r="BA525" s="231"/>
      <c r="BB525" s="231"/>
      <c r="BC525" s="231"/>
      <c r="BD525" s="231"/>
      <c r="BE525" s="231"/>
      <c r="BF525" s="231"/>
      <c r="BG525" s="231"/>
      <c r="BH525" s="231"/>
      <c r="BI525" s="231"/>
      <c r="BJ525" s="231"/>
      <c r="BK525" s="231"/>
      <c r="BL525" s="231"/>
      <c r="BM525" s="231"/>
      <c r="BN525" s="231"/>
      <c r="BO525" s="231"/>
      <c r="BP525" s="231"/>
      <c r="BQ525" s="231"/>
      <c r="BR525" s="231"/>
      <c r="BS525" s="231"/>
      <c r="BT525" s="231"/>
      <c r="BU525" s="231"/>
      <c r="BV525" s="231"/>
      <c r="BW525" s="231"/>
      <c r="BX525" s="231"/>
      <c r="BY525" s="231"/>
      <c r="BZ525" s="231"/>
      <c r="CA525" s="231"/>
      <c r="CB525" s="231"/>
      <c r="CC525" s="231"/>
      <c r="CD525" s="231"/>
      <c r="CE525" s="231"/>
      <c r="CF525" s="231"/>
      <c r="CG525" s="231"/>
      <c r="CH525" s="231"/>
      <c r="CI525" s="231"/>
      <c r="CJ525" s="231"/>
      <c r="CK525" s="231"/>
      <c r="CL525" s="231"/>
      <c r="CM525" s="231"/>
      <c r="CN525" s="231"/>
      <c r="CO525" s="231"/>
      <c r="CP525" s="231"/>
      <c r="CQ525" s="231"/>
      <c r="CR525" s="231"/>
      <c r="CS525" s="231"/>
      <c r="CT525" s="231"/>
      <c r="CU525" s="231"/>
      <c r="CV525" s="231"/>
      <c r="CW525" s="231"/>
      <c r="CX525" s="231"/>
      <c r="CY525" s="231"/>
      <c r="CZ525" s="231"/>
      <c r="DA525" s="231"/>
      <c r="DB525" s="231"/>
      <c r="DC525" s="231"/>
      <c r="DD525" s="231"/>
      <c r="DE525" s="231"/>
      <c r="DF525" s="231"/>
      <c r="DG525" s="231"/>
      <c r="DH525" s="231"/>
      <c r="DI525" s="231"/>
      <c r="DJ525" s="231"/>
      <c r="DK525" s="231"/>
      <c r="DL525" s="231"/>
      <c r="DM525" s="231"/>
      <c r="DN525" s="231"/>
      <c r="DO525" s="231"/>
      <c r="DP525" s="231"/>
      <c r="DQ525" s="231"/>
      <c r="DR525" s="231"/>
      <c r="DS525" s="231"/>
      <c r="DT525" s="231"/>
      <c r="DU525" s="231"/>
      <c r="DV525" s="231"/>
      <c r="DW525" s="231"/>
      <c r="DX525" s="231"/>
      <c r="DY525" s="231"/>
      <c r="DZ525" s="231"/>
      <c r="EA525" s="231"/>
      <c r="EB525" s="231"/>
      <c r="EC525" s="231"/>
      <c r="ED525" s="231"/>
      <c r="EE525" s="231"/>
      <c r="EF525" s="231"/>
      <c r="EG525" s="231"/>
      <c r="EH525" s="231"/>
      <c r="EI525" s="231"/>
      <c r="EJ525" s="231"/>
      <c r="EK525" s="231"/>
      <c r="EL525" s="231"/>
      <c r="EM525" s="231"/>
      <c r="EN525" s="231"/>
      <c r="EO525" s="231"/>
      <c r="EP525" s="231"/>
      <c r="EQ525" s="231"/>
      <c r="ER525" s="231"/>
      <c r="ES525" s="231"/>
      <c r="ET525" s="231"/>
      <c r="EU525" s="231"/>
      <c r="EV525" s="231"/>
      <c r="EW525" s="231"/>
      <c r="EX525" s="231"/>
      <c r="EY525" s="231"/>
      <c r="EZ525" s="231"/>
      <c r="FA525" s="231"/>
      <c r="FB525" s="231"/>
      <c r="FC525" s="231"/>
      <c r="FD525" s="231"/>
      <c r="FE525" s="231"/>
      <c r="FF525" s="231"/>
      <c r="FG525" s="231"/>
      <c r="FH525" s="231"/>
      <c r="FI525" s="231"/>
      <c r="FJ525" s="231"/>
      <c r="FK525" s="231"/>
      <c r="FL525" s="231"/>
      <c r="FM525" s="231"/>
      <c r="FN525" s="231"/>
      <c r="FO525" s="231"/>
      <c r="FP525" s="231"/>
      <c r="FQ525" s="231"/>
      <c r="FR525" s="231"/>
      <c r="FS525" s="231"/>
      <c r="FT525" s="231"/>
      <c r="FU525" s="231"/>
      <c r="FV525" s="231"/>
      <c r="FW525" s="231"/>
      <c r="FX525" s="231"/>
      <c r="FY525" s="231"/>
      <c r="FZ525" s="231"/>
      <c r="GA525" s="231"/>
      <c r="GB525" s="231"/>
      <c r="GC525" s="231"/>
      <c r="GD525" s="231"/>
      <c r="GE525" s="231"/>
      <c r="GF525" s="231"/>
      <c r="GG525" s="231"/>
      <c r="GH525" s="231"/>
      <c r="GI525" s="231"/>
      <c r="GJ525" s="231"/>
    </row>
    <row r="526" spans="3:192" ht="12.75" customHeight="1">
      <c r="C526" s="231"/>
      <c r="D526" s="231"/>
      <c r="E526" s="231"/>
      <c r="F526" s="231"/>
      <c r="G526" s="231"/>
      <c r="H526" s="231"/>
      <c r="I526" s="231"/>
      <c r="J526" s="231"/>
      <c r="K526" s="231"/>
      <c r="L526" s="231"/>
      <c r="M526" s="231"/>
      <c r="N526" s="231"/>
      <c r="O526" s="231"/>
      <c r="P526" s="231"/>
      <c r="Q526" s="231"/>
      <c r="R526" s="231"/>
      <c r="S526" s="231"/>
      <c r="T526" s="231"/>
      <c r="U526" s="231"/>
      <c r="V526" s="231"/>
      <c r="W526" s="231"/>
      <c r="X526" s="231"/>
      <c r="Y526" s="231"/>
      <c r="Z526" s="231"/>
      <c r="AA526" s="231"/>
      <c r="AB526" s="231"/>
      <c r="AC526" s="231"/>
      <c r="AD526" s="231"/>
      <c r="AE526" s="231"/>
      <c r="AF526" s="231"/>
      <c r="AG526" s="231"/>
      <c r="AH526" s="231"/>
      <c r="AI526" s="231"/>
      <c r="AJ526" s="231"/>
      <c r="AK526" s="231"/>
      <c r="AL526" s="231"/>
      <c r="AM526" s="231"/>
      <c r="AN526" s="231"/>
      <c r="AO526" s="231"/>
      <c r="AP526" s="231"/>
      <c r="AQ526" s="231"/>
      <c r="AR526" s="231"/>
      <c r="AS526" s="231"/>
      <c r="AT526" s="231"/>
      <c r="AU526" s="231"/>
      <c r="AV526" s="231"/>
      <c r="AW526" s="231"/>
      <c r="AX526" s="231"/>
      <c r="AY526" s="231"/>
      <c r="AZ526" s="231"/>
      <c r="BA526" s="231"/>
      <c r="BB526" s="231"/>
      <c r="BC526" s="231"/>
      <c r="BD526" s="231"/>
      <c r="BE526" s="231"/>
      <c r="BF526" s="231"/>
      <c r="BG526" s="231"/>
      <c r="BH526" s="231"/>
      <c r="BI526" s="231"/>
      <c r="BJ526" s="231"/>
      <c r="BK526" s="231"/>
      <c r="BL526" s="231"/>
      <c r="BM526" s="231"/>
      <c r="BN526" s="231"/>
      <c r="BO526" s="231"/>
      <c r="BP526" s="231"/>
      <c r="BQ526" s="231"/>
      <c r="BR526" s="231"/>
      <c r="BS526" s="231"/>
      <c r="BT526" s="231"/>
      <c r="BU526" s="231"/>
      <c r="BV526" s="231"/>
      <c r="BW526" s="231"/>
      <c r="BX526" s="231"/>
      <c r="BY526" s="231"/>
      <c r="BZ526" s="231"/>
      <c r="CA526" s="231"/>
      <c r="CB526" s="231"/>
      <c r="CC526" s="231"/>
      <c r="CD526" s="231"/>
      <c r="CE526" s="231"/>
      <c r="CF526" s="231"/>
      <c r="CG526" s="231"/>
      <c r="CH526" s="231"/>
      <c r="CI526" s="231"/>
      <c r="CJ526" s="231"/>
      <c r="CK526" s="231"/>
      <c r="CL526" s="231"/>
      <c r="CM526" s="231"/>
      <c r="CN526" s="231"/>
      <c r="CO526" s="231"/>
      <c r="CP526" s="231"/>
      <c r="CQ526" s="231"/>
      <c r="CR526" s="231"/>
      <c r="CS526" s="231"/>
      <c r="CT526" s="231"/>
      <c r="CU526" s="231"/>
      <c r="CV526" s="231"/>
      <c r="CW526" s="231"/>
      <c r="CX526" s="231"/>
      <c r="CY526" s="231"/>
      <c r="CZ526" s="231"/>
      <c r="DA526" s="231"/>
      <c r="DB526" s="231"/>
      <c r="DC526" s="231"/>
      <c r="DD526" s="231"/>
      <c r="DE526" s="231"/>
      <c r="DF526" s="231"/>
      <c r="DG526" s="231"/>
      <c r="DH526" s="231"/>
      <c r="DI526" s="231"/>
      <c r="DJ526" s="231"/>
      <c r="DK526" s="231"/>
      <c r="DL526" s="231"/>
      <c r="DM526" s="231"/>
      <c r="DN526" s="231"/>
      <c r="DO526" s="231"/>
      <c r="DP526" s="231"/>
      <c r="DQ526" s="231"/>
      <c r="DR526" s="231"/>
      <c r="DS526" s="231"/>
      <c r="DT526" s="231"/>
      <c r="DU526" s="231"/>
      <c r="DV526" s="231"/>
      <c r="DW526" s="231"/>
      <c r="DX526" s="231"/>
      <c r="DY526" s="231"/>
      <c r="DZ526" s="231"/>
      <c r="EA526" s="231"/>
      <c r="EB526" s="231"/>
      <c r="EC526" s="231"/>
      <c r="ED526" s="231"/>
      <c r="EE526" s="231"/>
      <c r="EF526" s="231"/>
      <c r="EG526" s="231"/>
      <c r="EH526" s="231"/>
      <c r="EI526" s="231"/>
      <c r="EJ526" s="231"/>
      <c r="EK526" s="231"/>
      <c r="EL526" s="231"/>
      <c r="EM526" s="231"/>
      <c r="EN526" s="231"/>
      <c r="EO526" s="231"/>
      <c r="EP526" s="231"/>
      <c r="EQ526" s="231"/>
      <c r="ER526" s="231"/>
      <c r="ES526" s="231"/>
      <c r="ET526" s="231"/>
      <c r="EU526" s="231"/>
      <c r="EV526" s="231"/>
      <c r="EW526" s="231"/>
      <c r="EX526" s="231"/>
      <c r="EY526" s="231"/>
      <c r="EZ526" s="231"/>
      <c r="FA526" s="231"/>
      <c r="FB526" s="231"/>
      <c r="FC526" s="231"/>
      <c r="FD526" s="231"/>
      <c r="FE526" s="231"/>
      <c r="FF526" s="231"/>
      <c r="FG526" s="231"/>
      <c r="FH526" s="231"/>
      <c r="FI526" s="231"/>
      <c r="FJ526" s="231"/>
      <c r="FK526" s="231"/>
      <c r="FL526" s="231"/>
      <c r="FM526" s="231"/>
      <c r="FN526" s="231"/>
      <c r="FO526" s="231"/>
      <c r="FP526" s="231"/>
      <c r="FQ526" s="231"/>
      <c r="FR526" s="231"/>
      <c r="FS526" s="231"/>
      <c r="FT526" s="231"/>
      <c r="FU526" s="231"/>
      <c r="FV526" s="231"/>
      <c r="FW526" s="231"/>
      <c r="FX526" s="231"/>
      <c r="FY526" s="231"/>
      <c r="FZ526" s="231"/>
      <c r="GA526" s="231"/>
      <c r="GB526" s="231"/>
      <c r="GC526" s="231"/>
      <c r="GD526" s="231"/>
      <c r="GE526" s="231"/>
      <c r="GF526" s="231"/>
      <c r="GG526" s="231"/>
      <c r="GH526" s="231"/>
      <c r="GI526" s="231"/>
      <c r="GJ526" s="231"/>
    </row>
    <row r="527" spans="3:192" ht="12.75" customHeight="1">
      <c r="C527" s="232"/>
      <c r="D527" s="232"/>
      <c r="E527" s="232"/>
      <c r="F527" s="232"/>
      <c r="G527" s="232"/>
      <c r="H527" s="232"/>
      <c r="I527" s="232"/>
      <c r="J527" s="232"/>
      <c r="K527" s="232"/>
      <c r="L527" s="232"/>
      <c r="M527" s="232"/>
      <c r="N527" s="232"/>
      <c r="O527" s="232"/>
      <c r="P527" s="232"/>
      <c r="Q527" s="232"/>
      <c r="R527" s="232"/>
      <c r="S527" s="232"/>
      <c r="T527" s="232"/>
      <c r="U527" s="232"/>
      <c r="V527" s="232"/>
      <c r="W527" s="232"/>
      <c r="X527" s="232"/>
      <c r="Y527" s="232"/>
      <c r="Z527" s="232"/>
      <c r="AA527" s="232"/>
      <c r="AB527" s="232"/>
      <c r="AC527" s="232"/>
      <c r="AD527" s="232"/>
      <c r="AE527" s="232"/>
      <c r="AF527" s="232"/>
      <c r="AG527" s="232"/>
      <c r="AH527" s="232"/>
      <c r="AI527" s="232"/>
      <c r="AJ527" s="232"/>
      <c r="AK527" s="232"/>
      <c r="AL527" s="232"/>
      <c r="AM527" s="232"/>
      <c r="AN527" s="232"/>
      <c r="AO527" s="232"/>
      <c r="AP527" s="232"/>
      <c r="AQ527" s="232"/>
      <c r="AR527" s="232"/>
      <c r="AS527" s="232"/>
      <c r="AT527" s="232"/>
      <c r="AU527" s="232"/>
      <c r="AV527" s="232"/>
      <c r="AW527" s="232"/>
      <c r="AX527" s="232"/>
      <c r="AY527" s="232"/>
      <c r="AZ527" s="232"/>
      <c r="BA527" s="232"/>
      <c r="BB527" s="232"/>
      <c r="BC527" s="232"/>
      <c r="BD527" s="232"/>
      <c r="BE527" s="232"/>
      <c r="BF527" s="232"/>
      <c r="BG527" s="232"/>
      <c r="BH527" s="232"/>
      <c r="BI527" s="232"/>
      <c r="BJ527" s="232"/>
      <c r="BK527" s="232"/>
      <c r="BL527" s="232"/>
      <c r="BM527" s="232"/>
      <c r="BN527" s="232"/>
      <c r="BO527" s="232"/>
      <c r="BP527" s="232"/>
      <c r="BQ527" s="232"/>
      <c r="BR527" s="232"/>
      <c r="BS527" s="232"/>
      <c r="BT527" s="232"/>
      <c r="BU527" s="232"/>
      <c r="BV527" s="232"/>
      <c r="BW527" s="232"/>
      <c r="BX527" s="232"/>
      <c r="BY527" s="232"/>
      <c r="BZ527" s="232"/>
      <c r="CA527" s="232"/>
      <c r="CB527" s="232"/>
      <c r="CC527" s="232"/>
      <c r="CD527" s="232"/>
      <c r="CE527" s="232"/>
      <c r="CF527" s="232"/>
      <c r="CG527" s="232"/>
      <c r="CH527" s="232"/>
      <c r="CI527" s="232"/>
      <c r="CJ527" s="232"/>
      <c r="CK527" s="232"/>
      <c r="CL527" s="232"/>
      <c r="CM527" s="232"/>
      <c r="CN527" s="232"/>
      <c r="CO527" s="232"/>
      <c r="CP527" s="232"/>
      <c r="CQ527" s="232"/>
      <c r="CR527" s="232"/>
      <c r="CS527" s="232"/>
      <c r="CT527" s="232"/>
      <c r="CU527" s="232"/>
      <c r="CV527" s="232"/>
      <c r="CW527" s="232"/>
      <c r="CX527" s="232"/>
      <c r="CY527" s="232"/>
      <c r="CZ527" s="232"/>
      <c r="DA527" s="232"/>
      <c r="DB527" s="232"/>
      <c r="DC527" s="232"/>
      <c r="DD527" s="232"/>
      <c r="DE527" s="232"/>
      <c r="DF527" s="232"/>
      <c r="DG527" s="232"/>
      <c r="DH527" s="232"/>
      <c r="DI527" s="232"/>
      <c r="DJ527" s="232"/>
      <c r="DK527" s="232"/>
      <c r="DL527" s="232"/>
      <c r="DM527" s="232"/>
      <c r="DN527" s="232"/>
      <c r="DO527" s="232"/>
      <c r="DP527" s="232"/>
      <c r="DQ527" s="232"/>
      <c r="DR527" s="232"/>
      <c r="DS527" s="232"/>
      <c r="DT527" s="232"/>
      <c r="DU527" s="232"/>
      <c r="DV527" s="232"/>
      <c r="DW527" s="232"/>
      <c r="DX527" s="232"/>
      <c r="DY527" s="232"/>
      <c r="DZ527" s="232"/>
      <c r="EA527" s="232"/>
      <c r="EB527" s="232"/>
      <c r="EC527" s="232"/>
      <c r="ED527" s="232"/>
      <c r="EE527" s="232"/>
      <c r="EF527" s="232"/>
      <c r="EG527" s="232"/>
      <c r="EH527" s="232"/>
      <c r="EI527" s="232"/>
      <c r="EJ527" s="232"/>
      <c r="EK527" s="232"/>
      <c r="EL527" s="232"/>
      <c r="EM527" s="232"/>
      <c r="EN527" s="232"/>
      <c r="EO527" s="232"/>
      <c r="EP527" s="232"/>
      <c r="EQ527" s="232"/>
      <c r="ER527" s="232"/>
      <c r="ES527" s="232"/>
      <c r="ET527" s="232"/>
      <c r="EU527" s="232"/>
      <c r="EV527" s="232"/>
      <c r="EW527" s="232"/>
      <c r="EX527" s="232"/>
      <c r="EY527" s="232"/>
      <c r="EZ527" s="232"/>
      <c r="FA527" s="232"/>
      <c r="FB527" s="232"/>
      <c r="FC527" s="232"/>
      <c r="FD527" s="232"/>
      <c r="FE527" s="232"/>
      <c r="FF527" s="232"/>
      <c r="FG527" s="232"/>
      <c r="FH527" s="232"/>
      <c r="FI527" s="232"/>
      <c r="FJ527" s="232"/>
      <c r="FK527" s="232"/>
      <c r="FL527" s="232"/>
      <c r="FM527" s="232"/>
      <c r="FN527" s="232"/>
      <c r="FO527" s="232"/>
      <c r="FP527" s="232"/>
      <c r="FQ527" s="232"/>
      <c r="FR527" s="232"/>
      <c r="FS527" s="232"/>
      <c r="FT527" s="232"/>
      <c r="FU527" s="232"/>
      <c r="FV527" s="232"/>
      <c r="FW527" s="232"/>
      <c r="FX527" s="232"/>
      <c r="FY527" s="232"/>
      <c r="FZ527" s="232"/>
      <c r="GA527" s="232"/>
      <c r="GB527" s="232"/>
      <c r="GC527" s="232"/>
      <c r="GD527" s="232"/>
      <c r="GE527" s="232"/>
      <c r="GF527" s="232"/>
      <c r="GG527" s="232"/>
      <c r="GH527" s="232"/>
      <c r="GI527" s="232"/>
      <c r="GJ527" s="232"/>
    </row>
    <row r="528" spans="3:192" ht="12.75" customHeight="1">
      <c r="C528" s="232"/>
      <c r="D528" s="232"/>
      <c r="E528" s="232"/>
      <c r="F528" s="232"/>
      <c r="G528" s="232"/>
      <c r="H528" s="232"/>
      <c r="I528" s="232"/>
      <c r="J528" s="232"/>
      <c r="K528" s="232"/>
      <c r="L528" s="232"/>
      <c r="M528" s="232"/>
      <c r="N528" s="232"/>
      <c r="O528" s="232"/>
      <c r="P528" s="232"/>
      <c r="Q528" s="232"/>
      <c r="R528" s="232"/>
      <c r="S528" s="232"/>
      <c r="T528" s="232"/>
      <c r="U528" s="232"/>
      <c r="V528" s="232"/>
      <c r="W528" s="232"/>
      <c r="X528" s="232"/>
      <c r="Y528" s="232"/>
      <c r="Z528" s="232"/>
      <c r="AA528" s="232"/>
      <c r="AB528" s="232"/>
      <c r="AC528" s="232"/>
      <c r="AD528" s="232"/>
      <c r="AE528" s="232"/>
      <c r="AF528" s="232"/>
      <c r="AG528" s="232"/>
      <c r="AH528" s="232"/>
      <c r="AI528" s="232"/>
      <c r="AJ528" s="232"/>
      <c r="AK528" s="232"/>
      <c r="AL528" s="232"/>
      <c r="AM528" s="232"/>
      <c r="AN528" s="232"/>
      <c r="AO528" s="232"/>
      <c r="AP528" s="232"/>
      <c r="AQ528" s="232"/>
      <c r="AR528" s="232"/>
      <c r="AS528" s="232"/>
      <c r="AT528" s="232"/>
      <c r="AU528" s="232"/>
      <c r="AV528" s="232"/>
      <c r="AW528" s="232"/>
      <c r="AX528" s="232"/>
      <c r="AY528" s="232"/>
      <c r="AZ528" s="232"/>
      <c r="BA528" s="232"/>
      <c r="BB528" s="232"/>
      <c r="BC528" s="232"/>
      <c r="BD528" s="232"/>
      <c r="BE528" s="232"/>
      <c r="BF528" s="232"/>
      <c r="BG528" s="232"/>
      <c r="BH528" s="232"/>
      <c r="BI528" s="232"/>
      <c r="BJ528" s="232"/>
      <c r="BK528" s="232"/>
      <c r="BL528" s="232"/>
      <c r="BM528" s="232"/>
      <c r="BN528" s="232"/>
      <c r="BO528" s="232"/>
      <c r="BP528" s="232"/>
      <c r="BQ528" s="232"/>
      <c r="BR528" s="232"/>
      <c r="BS528" s="232"/>
      <c r="BT528" s="232"/>
      <c r="BU528" s="232"/>
      <c r="BV528" s="232"/>
      <c r="BW528" s="232"/>
      <c r="BX528" s="232"/>
      <c r="BY528" s="232"/>
      <c r="BZ528" s="232"/>
      <c r="CA528" s="232"/>
      <c r="CB528" s="232"/>
      <c r="CC528" s="232"/>
      <c r="CD528" s="232"/>
      <c r="CE528" s="232"/>
      <c r="CF528" s="232"/>
      <c r="CG528" s="232"/>
      <c r="CH528" s="232"/>
      <c r="CI528" s="232"/>
      <c r="CJ528" s="232"/>
      <c r="CK528" s="232"/>
      <c r="CL528" s="232"/>
      <c r="CM528" s="232"/>
      <c r="CN528" s="232"/>
      <c r="CO528" s="232"/>
      <c r="CP528" s="232"/>
      <c r="CQ528" s="232"/>
      <c r="CR528" s="232"/>
      <c r="CS528" s="232"/>
      <c r="CT528" s="232"/>
      <c r="CU528" s="232"/>
      <c r="CV528" s="232"/>
      <c r="CW528" s="232"/>
      <c r="CX528" s="232"/>
      <c r="CY528" s="232"/>
      <c r="CZ528" s="232"/>
      <c r="DA528" s="232"/>
      <c r="DB528" s="232"/>
      <c r="DC528" s="232"/>
      <c r="DD528" s="232"/>
      <c r="DE528" s="232"/>
      <c r="DF528" s="232"/>
      <c r="DG528" s="232"/>
      <c r="DH528" s="232"/>
      <c r="DI528" s="232"/>
      <c r="DJ528" s="232"/>
      <c r="DK528" s="232"/>
      <c r="DL528" s="232"/>
      <c r="DM528" s="232"/>
      <c r="DN528" s="232"/>
      <c r="DO528" s="232"/>
      <c r="DP528" s="232"/>
      <c r="DQ528" s="232"/>
      <c r="DR528" s="232"/>
      <c r="DS528" s="232"/>
      <c r="DT528" s="232"/>
      <c r="DU528" s="232"/>
      <c r="DV528" s="232"/>
      <c r="DW528" s="232"/>
      <c r="DX528" s="232"/>
      <c r="DY528" s="232"/>
      <c r="DZ528" s="232"/>
      <c r="EA528" s="232"/>
      <c r="EB528" s="232"/>
      <c r="EC528" s="232"/>
      <c r="ED528" s="232"/>
      <c r="EE528" s="232"/>
      <c r="EF528" s="232"/>
      <c r="EG528" s="232"/>
      <c r="EH528" s="232"/>
      <c r="EI528" s="232"/>
      <c r="EJ528" s="232"/>
      <c r="EK528" s="232"/>
      <c r="EL528" s="232"/>
      <c r="EM528" s="232"/>
      <c r="EN528" s="232"/>
      <c r="EO528" s="232"/>
      <c r="EP528" s="232"/>
      <c r="EQ528" s="232"/>
      <c r="ER528" s="232"/>
      <c r="ES528" s="232"/>
      <c r="ET528" s="232"/>
      <c r="EU528" s="232"/>
      <c r="EV528" s="232"/>
      <c r="EW528" s="232"/>
      <c r="EX528" s="232"/>
      <c r="EY528" s="232"/>
      <c r="EZ528" s="232"/>
      <c r="FA528" s="232"/>
      <c r="FB528" s="232"/>
      <c r="FC528" s="232"/>
      <c r="FD528" s="232"/>
      <c r="FE528" s="232"/>
      <c r="FF528" s="232"/>
      <c r="FG528" s="232"/>
      <c r="FH528" s="232"/>
      <c r="FI528" s="232"/>
      <c r="FJ528" s="232"/>
      <c r="FK528" s="232"/>
      <c r="FL528" s="232"/>
      <c r="FM528" s="232"/>
      <c r="FN528" s="232"/>
      <c r="FO528" s="232"/>
      <c r="FP528" s="232"/>
      <c r="FQ528" s="232"/>
      <c r="FR528" s="232"/>
      <c r="FS528" s="232"/>
      <c r="FT528" s="232"/>
      <c r="FU528" s="232"/>
      <c r="FV528" s="232"/>
      <c r="FW528" s="232"/>
      <c r="FX528" s="232"/>
      <c r="FY528" s="232"/>
      <c r="FZ528" s="232"/>
      <c r="GA528" s="232"/>
      <c r="GB528" s="232"/>
      <c r="GC528" s="232"/>
      <c r="GD528" s="232"/>
      <c r="GE528" s="232"/>
      <c r="GF528" s="232"/>
      <c r="GG528" s="232"/>
      <c r="GH528" s="232"/>
      <c r="GI528" s="232"/>
      <c r="GJ528" s="232"/>
    </row>
    <row r="529" spans="3:192" ht="12.75" customHeight="1">
      <c r="C529" s="231"/>
      <c r="D529" s="231"/>
      <c r="E529" s="231"/>
      <c r="F529" s="231"/>
      <c r="G529" s="231"/>
      <c r="H529" s="231"/>
      <c r="I529" s="231"/>
      <c r="J529" s="231"/>
      <c r="K529" s="231"/>
      <c r="L529" s="231"/>
      <c r="M529" s="231"/>
      <c r="N529" s="231"/>
      <c r="O529" s="231"/>
      <c r="P529" s="231"/>
      <c r="Q529" s="231"/>
      <c r="R529" s="231"/>
      <c r="S529" s="231"/>
      <c r="T529" s="231"/>
      <c r="U529" s="231"/>
      <c r="V529" s="231"/>
      <c r="W529" s="231"/>
      <c r="X529" s="231"/>
      <c r="Y529" s="231"/>
      <c r="Z529" s="231"/>
      <c r="AA529" s="231"/>
      <c r="AB529" s="231"/>
      <c r="AC529" s="231"/>
      <c r="AD529" s="231"/>
      <c r="AE529" s="231"/>
      <c r="AF529" s="231"/>
      <c r="AG529" s="231"/>
      <c r="AH529" s="231"/>
      <c r="AI529" s="231"/>
      <c r="AJ529" s="231"/>
      <c r="AK529" s="231"/>
      <c r="AL529" s="231"/>
      <c r="AM529" s="231"/>
      <c r="AN529" s="231"/>
      <c r="AO529" s="231"/>
      <c r="AP529" s="231"/>
      <c r="AQ529" s="231"/>
      <c r="AR529" s="231"/>
      <c r="AS529" s="231"/>
      <c r="AT529" s="231"/>
      <c r="AU529" s="231"/>
      <c r="AV529" s="231"/>
      <c r="AW529" s="231"/>
      <c r="AX529" s="231"/>
      <c r="AY529" s="231"/>
      <c r="AZ529" s="231"/>
      <c r="BA529" s="231"/>
      <c r="BB529" s="231"/>
      <c r="BC529" s="231"/>
      <c r="BD529" s="231"/>
      <c r="BE529" s="231"/>
      <c r="BF529" s="231"/>
      <c r="BG529" s="231"/>
      <c r="BH529" s="231"/>
      <c r="BI529" s="231"/>
      <c r="BJ529" s="231"/>
      <c r="BK529" s="231"/>
      <c r="BL529" s="231"/>
      <c r="BM529" s="231"/>
      <c r="BN529" s="231"/>
      <c r="BO529" s="231"/>
      <c r="BP529" s="231"/>
      <c r="BQ529" s="231"/>
      <c r="BR529" s="231"/>
      <c r="BS529" s="231"/>
      <c r="BT529" s="231"/>
      <c r="BU529" s="231"/>
      <c r="BV529" s="231"/>
      <c r="BW529" s="231"/>
      <c r="BX529" s="231"/>
      <c r="BY529" s="231"/>
      <c r="BZ529" s="231"/>
      <c r="CA529" s="231"/>
      <c r="CB529" s="231"/>
      <c r="CC529" s="231"/>
      <c r="CD529" s="231"/>
      <c r="CE529" s="231"/>
      <c r="CF529" s="231"/>
      <c r="CG529" s="231"/>
      <c r="CH529" s="231"/>
      <c r="CI529" s="231"/>
      <c r="CJ529" s="231"/>
      <c r="CK529" s="231"/>
      <c r="CL529" s="231"/>
      <c r="CM529" s="231"/>
      <c r="CN529" s="231"/>
      <c r="CO529" s="231"/>
      <c r="CP529" s="231"/>
      <c r="CQ529" s="231"/>
      <c r="CR529" s="231"/>
      <c r="CS529" s="231"/>
      <c r="CT529" s="231"/>
      <c r="CU529" s="231"/>
      <c r="CV529" s="231"/>
      <c r="CW529" s="231"/>
      <c r="CX529" s="231"/>
      <c r="CY529" s="231"/>
      <c r="CZ529" s="231"/>
      <c r="DA529" s="231"/>
      <c r="DB529" s="231"/>
      <c r="DC529" s="231"/>
      <c r="DD529" s="231"/>
      <c r="DE529" s="231"/>
      <c r="DF529" s="231"/>
      <c r="DG529" s="231"/>
      <c r="DH529" s="231"/>
      <c r="DI529" s="231"/>
      <c r="DJ529" s="231"/>
      <c r="DK529" s="231"/>
      <c r="DL529" s="231"/>
      <c r="DM529" s="231"/>
      <c r="DN529" s="231"/>
      <c r="DO529" s="231"/>
      <c r="DP529" s="231"/>
      <c r="DQ529" s="231"/>
      <c r="DR529" s="231"/>
      <c r="DS529" s="231"/>
      <c r="DT529" s="231"/>
      <c r="DU529" s="231"/>
      <c r="DV529" s="231"/>
      <c r="DW529" s="231"/>
      <c r="DX529" s="231"/>
      <c r="DY529" s="231"/>
      <c r="DZ529" s="231"/>
      <c r="EA529" s="231"/>
      <c r="EB529" s="231"/>
      <c r="EC529" s="231"/>
      <c r="ED529" s="231"/>
      <c r="EE529" s="231"/>
      <c r="EF529" s="231"/>
      <c r="EG529" s="231"/>
      <c r="EH529" s="231"/>
      <c r="EI529" s="231"/>
      <c r="EJ529" s="231"/>
      <c r="EK529" s="231"/>
      <c r="EL529" s="231"/>
      <c r="EM529" s="231"/>
      <c r="EN529" s="231"/>
      <c r="EO529" s="231"/>
      <c r="EP529" s="231"/>
      <c r="EQ529" s="231"/>
      <c r="ER529" s="231"/>
      <c r="ES529" s="231"/>
      <c r="ET529" s="231"/>
      <c r="EU529" s="231"/>
      <c r="EV529" s="231"/>
      <c r="EW529" s="231"/>
      <c r="EX529" s="231"/>
      <c r="EY529" s="231"/>
      <c r="EZ529" s="231"/>
      <c r="FA529" s="231"/>
      <c r="FB529" s="231"/>
      <c r="FC529" s="231"/>
      <c r="FD529" s="231"/>
      <c r="FE529" s="231"/>
      <c r="FF529" s="231"/>
      <c r="FG529" s="231"/>
      <c r="FH529" s="231"/>
      <c r="FI529" s="231"/>
      <c r="FJ529" s="231"/>
      <c r="FK529" s="231"/>
      <c r="FL529" s="231"/>
      <c r="FM529" s="231"/>
      <c r="FN529" s="231"/>
      <c r="FO529" s="231"/>
      <c r="FP529" s="231"/>
      <c r="FQ529" s="231"/>
      <c r="FR529" s="231"/>
      <c r="FS529" s="231"/>
      <c r="FT529" s="231"/>
      <c r="FU529" s="231"/>
      <c r="FV529" s="231"/>
      <c r="FW529" s="231"/>
      <c r="FX529" s="231"/>
      <c r="FY529" s="231"/>
      <c r="FZ529" s="231"/>
      <c r="GA529" s="231"/>
      <c r="GB529" s="231"/>
      <c r="GC529" s="231"/>
      <c r="GD529" s="231"/>
      <c r="GE529" s="231"/>
      <c r="GF529" s="231"/>
      <c r="GG529" s="231"/>
      <c r="GH529" s="231"/>
      <c r="GI529" s="231"/>
      <c r="GJ529" s="231"/>
    </row>
    <row r="530" spans="3:192" ht="12.75" customHeight="1">
      <c r="C530" s="232"/>
      <c r="D530" s="232"/>
      <c r="E530" s="232"/>
      <c r="F530" s="232"/>
      <c r="G530" s="232"/>
      <c r="H530" s="232"/>
      <c r="I530" s="232"/>
      <c r="J530" s="232"/>
      <c r="K530" s="232"/>
      <c r="L530" s="232"/>
      <c r="M530" s="232"/>
      <c r="N530" s="232"/>
      <c r="O530" s="232"/>
      <c r="P530" s="232"/>
      <c r="Q530" s="232"/>
      <c r="R530" s="232"/>
      <c r="S530" s="232"/>
      <c r="T530" s="232"/>
      <c r="U530" s="232"/>
      <c r="V530" s="232"/>
      <c r="W530" s="232"/>
      <c r="X530" s="232"/>
      <c r="Y530" s="232"/>
      <c r="Z530" s="232"/>
      <c r="AA530" s="232"/>
      <c r="AB530" s="232"/>
      <c r="AC530" s="232"/>
      <c r="AD530" s="232"/>
      <c r="AE530" s="232"/>
      <c r="AF530" s="232"/>
      <c r="AG530" s="232"/>
      <c r="AH530" s="232"/>
      <c r="AI530" s="232"/>
      <c r="AJ530" s="232"/>
      <c r="AK530" s="232"/>
      <c r="AL530" s="232"/>
      <c r="AM530" s="232"/>
      <c r="AN530" s="232"/>
      <c r="AO530" s="232"/>
      <c r="AP530" s="232"/>
      <c r="AQ530" s="232"/>
      <c r="AR530" s="232"/>
      <c r="AS530" s="232"/>
      <c r="AT530" s="232"/>
      <c r="AU530" s="232"/>
      <c r="AV530" s="232"/>
      <c r="AW530" s="232"/>
      <c r="AX530" s="232"/>
      <c r="AY530" s="232"/>
      <c r="AZ530" s="232"/>
      <c r="BA530" s="232"/>
      <c r="BB530" s="232"/>
      <c r="BC530" s="232"/>
      <c r="BD530" s="232"/>
      <c r="BE530" s="232"/>
      <c r="BF530" s="232"/>
      <c r="BG530" s="232"/>
      <c r="BH530" s="232"/>
      <c r="BI530" s="232"/>
      <c r="BJ530" s="232"/>
      <c r="BK530" s="232"/>
      <c r="BL530" s="232"/>
      <c r="BM530" s="232"/>
      <c r="BN530" s="232"/>
      <c r="BO530" s="232"/>
      <c r="BP530" s="232"/>
      <c r="BQ530" s="232"/>
      <c r="BR530" s="232"/>
      <c r="BS530" s="232"/>
      <c r="BT530" s="232"/>
      <c r="BU530" s="232"/>
      <c r="BV530" s="232"/>
      <c r="BW530" s="232"/>
      <c r="BX530" s="232"/>
      <c r="BY530" s="232"/>
      <c r="BZ530" s="232"/>
      <c r="CA530" s="232"/>
      <c r="CB530" s="232"/>
      <c r="CC530" s="232"/>
      <c r="CD530" s="232"/>
      <c r="CE530" s="232"/>
      <c r="CF530" s="232"/>
      <c r="CG530" s="232"/>
      <c r="CH530" s="232"/>
      <c r="CI530" s="232"/>
      <c r="CJ530" s="232"/>
      <c r="CK530" s="232"/>
      <c r="CL530" s="232"/>
      <c r="CM530" s="232"/>
      <c r="CN530" s="232"/>
      <c r="CO530" s="232"/>
      <c r="CP530" s="232"/>
      <c r="CQ530" s="232"/>
      <c r="CR530" s="232"/>
      <c r="CS530" s="232"/>
      <c r="CT530" s="232"/>
      <c r="CU530" s="232"/>
      <c r="CV530" s="232"/>
      <c r="CW530" s="232"/>
      <c r="CX530" s="232"/>
      <c r="CY530" s="232"/>
      <c r="CZ530" s="232"/>
      <c r="DA530" s="232"/>
      <c r="DB530" s="232"/>
      <c r="DC530" s="232"/>
      <c r="DD530" s="232"/>
      <c r="DE530" s="232"/>
      <c r="DF530" s="232"/>
      <c r="DG530" s="232"/>
      <c r="DH530" s="232"/>
      <c r="DI530" s="232"/>
      <c r="DJ530" s="232"/>
      <c r="DK530" s="232"/>
      <c r="DL530" s="232"/>
      <c r="DM530" s="232"/>
      <c r="DN530" s="232"/>
      <c r="DO530" s="232"/>
      <c r="DP530" s="232"/>
      <c r="DQ530" s="232"/>
      <c r="DR530" s="232"/>
      <c r="DS530" s="232"/>
      <c r="DT530" s="232"/>
      <c r="DU530" s="232"/>
      <c r="DV530" s="232"/>
      <c r="DW530" s="232"/>
      <c r="DX530" s="232"/>
      <c r="DY530" s="232"/>
      <c r="DZ530" s="232"/>
      <c r="EA530" s="232"/>
      <c r="EB530" s="232"/>
      <c r="EC530" s="232"/>
      <c r="ED530" s="232"/>
      <c r="EE530" s="232"/>
      <c r="EF530" s="232"/>
      <c r="EG530" s="232"/>
      <c r="EH530" s="232"/>
      <c r="EI530" s="232"/>
      <c r="EJ530" s="232"/>
      <c r="EK530" s="232"/>
      <c r="EL530" s="232"/>
      <c r="EM530" s="232"/>
      <c r="EN530" s="232"/>
      <c r="EO530" s="232"/>
      <c r="EP530" s="232"/>
      <c r="EQ530" s="232"/>
      <c r="ER530" s="232"/>
      <c r="ES530" s="232"/>
      <c r="ET530" s="232"/>
      <c r="EU530" s="232"/>
      <c r="EV530" s="232"/>
      <c r="EW530" s="232"/>
      <c r="EX530" s="232"/>
      <c r="EY530" s="232"/>
      <c r="EZ530" s="232"/>
      <c r="FA530" s="232"/>
      <c r="FB530" s="232"/>
      <c r="FC530" s="232"/>
      <c r="FD530" s="232"/>
      <c r="FE530" s="232"/>
      <c r="FF530" s="232"/>
      <c r="FG530" s="232"/>
      <c r="FH530" s="232"/>
      <c r="FI530" s="232"/>
      <c r="FJ530" s="232"/>
      <c r="FK530" s="232"/>
      <c r="FL530" s="232"/>
      <c r="FM530" s="232"/>
      <c r="FN530" s="232"/>
      <c r="FO530" s="232"/>
      <c r="FP530" s="232"/>
      <c r="FQ530" s="232"/>
      <c r="FR530" s="232"/>
      <c r="FS530" s="232"/>
      <c r="FT530" s="232"/>
      <c r="FU530" s="232"/>
      <c r="FV530" s="232"/>
      <c r="FW530" s="232"/>
      <c r="FX530" s="232"/>
      <c r="FY530" s="232"/>
      <c r="FZ530" s="232"/>
      <c r="GA530" s="232"/>
      <c r="GB530" s="232"/>
      <c r="GC530" s="232"/>
      <c r="GD530" s="232"/>
      <c r="GE530" s="232"/>
      <c r="GF530" s="232"/>
      <c r="GG530" s="232"/>
      <c r="GH530" s="232"/>
      <c r="GI530" s="232"/>
      <c r="GJ530" s="232"/>
    </row>
    <row r="531" spans="3:192" ht="12.75" customHeight="1">
      <c r="C531" s="232"/>
      <c r="D531" s="232"/>
      <c r="E531" s="232"/>
      <c r="F531" s="232"/>
      <c r="G531" s="232"/>
      <c r="H531" s="232"/>
      <c r="I531" s="232"/>
      <c r="J531" s="232"/>
      <c r="K531" s="232"/>
      <c r="L531" s="232"/>
      <c r="M531" s="232"/>
      <c r="N531" s="232"/>
      <c r="O531" s="232"/>
      <c r="P531" s="232"/>
      <c r="Q531" s="232"/>
      <c r="R531" s="232"/>
      <c r="S531" s="232"/>
      <c r="T531" s="232"/>
      <c r="U531" s="232"/>
      <c r="V531" s="232"/>
      <c r="W531" s="232"/>
      <c r="X531" s="232"/>
      <c r="Y531" s="232"/>
      <c r="Z531" s="232"/>
      <c r="AA531" s="232"/>
      <c r="AB531" s="232"/>
      <c r="AC531" s="232"/>
      <c r="AD531" s="232"/>
      <c r="AE531" s="232"/>
      <c r="AF531" s="232"/>
      <c r="AG531" s="232"/>
      <c r="AH531" s="232"/>
      <c r="AI531" s="232"/>
      <c r="AJ531" s="232"/>
      <c r="AK531" s="232"/>
      <c r="AL531" s="232"/>
      <c r="AM531" s="232"/>
      <c r="AN531" s="232"/>
      <c r="AO531" s="232"/>
      <c r="AP531" s="232"/>
      <c r="AQ531" s="232"/>
      <c r="AR531" s="232"/>
      <c r="AS531" s="232"/>
      <c r="AT531" s="232"/>
      <c r="AU531" s="232"/>
      <c r="AV531" s="232"/>
      <c r="AW531" s="232"/>
      <c r="AX531" s="232"/>
      <c r="AY531" s="232"/>
      <c r="AZ531" s="232"/>
      <c r="BA531" s="232"/>
      <c r="BB531" s="232"/>
      <c r="BC531" s="232"/>
      <c r="BD531" s="232"/>
      <c r="BE531" s="232"/>
      <c r="BF531" s="232"/>
      <c r="BG531" s="232"/>
      <c r="BH531" s="232"/>
      <c r="BI531" s="232"/>
      <c r="BJ531" s="232"/>
      <c r="BK531" s="232"/>
      <c r="BL531" s="232"/>
      <c r="BM531" s="232"/>
      <c r="BN531" s="232"/>
      <c r="BO531" s="232"/>
      <c r="BP531" s="232"/>
      <c r="BQ531" s="232"/>
      <c r="BR531" s="232"/>
      <c r="BS531" s="232"/>
      <c r="BT531" s="232"/>
      <c r="BU531" s="232"/>
      <c r="BV531" s="232"/>
      <c r="BW531" s="232"/>
      <c r="BX531" s="232"/>
      <c r="BY531" s="232"/>
      <c r="BZ531" s="232"/>
      <c r="CA531" s="232"/>
      <c r="CB531" s="232"/>
      <c r="CC531" s="232"/>
      <c r="CD531" s="232"/>
      <c r="CE531" s="232"/>
      <c r="CF531" s="232"/>
      <c r="CG531" s="232"/>
      <c r="CH531" s="232"/>
      <c r="CI531" s="232"/>
      <c r="CJ531" s="232"/>
      <c r="CK531" s="232"/>
      <c r="CL531" s="232"/>
      <c r="CM531" s="232"/>
      <c r="CN531" s="232"/>
      <c r="CO531" s="232"/>
      <c r="CP531" s="232"/>
      <c r="CQ531" s="232"/>
      <c r="CR531" s="232"/>
      <c r="CS531" s="232"/>
      <c r="CT531" s="232"/>
      <c r="CU531" s="232"/>
      <c r="CV531" s="232"/>
      <c r="CW531" s="232"/>
      <c r="CX531" s="232"/>
      <c r="CY531" s="232"/>
      <c r="CZ531" s="232"/>
      <c r="DA531" s="232"/>
      <c r="DB531" s="232"/>
      <c r="DC531" s="232"/>
      <c r="DD531" s="232"/>
      <c r="DE531" s="232"/>
      <c r="DF531" s="232"/>
      <c r="DG531" s="232"/>
      <c r="DH531" s="232"/>
      <c r="DI531" s="232"/>
      <c r="DJ531" s="232"/>
      <c r="DK531" s="232"/>
      <c r="DL531" s="232"/>
      <c r="DM531" s="232"/>
      <c r="DN531" s="232"/>
      <c r="DO531" s="232"/>
      <c r="DP531" s="232"/>
      <c r="DQ531" s="232"/>
      <c r="DR531" s="232"/>
      <c r="DS531" s="232"/>
      <c r="DT531" s="232"/>
      <c r="DU531" s="232"/>
      <c r="DV531" s="232"/>
      <c r="DW531" s="232"/>
      <c r="DX531" s="232"/>
      <c r="DY531" s="232"/>
      <c r="DZ531" s="232"/>
      <c r="EA531" s="232"/>
      <c r="EB531" s="232"/>
      <c r="EC531" s="232"/>
      <c r="ED531" s="232"/>
      <c r="EE531" s="232"/>
      <c r="EF531" s="232"/>
      <c r="EG531" s="232"/>
      <c r="EH531" s="232"/>
      <c r="EI531" s="232"/>
      <c r="EJ531" s="232"/>
      <c r="EK531" s="232"/>
      <c r="EL531" s="232"/>
      <c r="EM531" s="232"/>
      <c r="EN531" s="232"/>
      <c r="EO531" s="232"/>
      <c r="EP531" s="232"/>
      <c r="EQ531" s="232"/>
      <c r="ER531" s="232"/>
      <c r="ES531" s="232"/>
      <c r="ET531" s="232"/>
      <c r="EU531" s="232"/>
      <c r="EV531" s="232"/>
      <c r="EW531" s="232"/>
      <c r="EX531" s="232"/>
      <c r="EY531" s="232"/>
      <c r="EZ531" s="232"/>
      <c r="FA531" s="232"/>
      <c r="FB531" s="232"/>
      <c r="FC531" s="232"/>
      <c r="FD531" s="232"/>
      <c r="FE531" s="232"/>
      <c r="FF531" s="232"/>
      <c r="FG531" s="232"/>
      <c r="FH531" s="232"/>
      <c r="FI531" s="232"/>
      <c r="FJ531" s="232"/>
      <c r="FK531" s="232"/>
      <c r="FL531" s="232"/>
      <c r="FM531" s="232"/>
      <c r="FN531" s="232"/>
      <c r="FO531" s="232"/>
      <c r="FP531" s="232"/>
      <c r="FQ531" s="232"/>
      <c r="FR531" s="232"/>
      <c r="FS531" s="232"/>
      <c r="FT531" s="232"/>
      <c r="FU531" s="232"/>
      <c r="FV531" s="232"/>
      <c r="FW531" s="232"/>
      <c r="FX531" s="232"/>
      <c r="FY531" s="232"/>
      <c r="FZ531" s="232"/>
      <c r="GA531" s="232"/>
      <c r="GB531" s="232"/>
      <c r="GC531" s="232"/>
      <c r="GD531" s="232"/>
      <c r="GE531" s="232"/>
      <c r="GF531" s="232"/>
      <c r="GG531" s="232"/>
      <c r="GH531" s="232"/>
      <c r="GI531" s="232"/>
      <c r="GJ531" s="232"/>
    </row>
    <row r="532" spans="3:192" ht="12.75" customHeight="1">
      <c r="C532" s="231"/>
      <c r="D532" s="231"/>
      <c r="E532" s="231"/>
      <c r="F532" s="231"/>
      <c r="G532" s="231"/>
      <c r="H532" s="231"/>
      <c r="I532" s="231"/>
      <c r="J532" s="231"/>
      <c r="K532" s="231"/>
      <c r="L532" s="231"/>
      <c r="M532" s="231"/>
      <c r="N532" s="231"/>
      <c r="O532" s="231"/>
      <c r="P532" s="231"/>
      <c r="Q532" s="231"/>
      <c r="R532" s="231"/>
      <c r="S532" s="231"/>
      <c r="T532" s="231"/>
      <c r="U532" s="231"/>
      <c r="V532" s="231"/>
      <c r="W532" s="231"/>
      <c r="X532" s="231"/>
      <c r="Y532" s="231"/>
      <c r="Z532" s="231"/>
      <c r="AA532" s="231"/>
      <c r="AB532" s="231"/>
      <c r="AC532" s="231"/>
      <c r="AD532" s="231"/>
      <c r="AE532" s="231"/>
      <c r="AF532" s="231"/>
      <c r="AG532" s="231"/>
      <c r="AH532" s="231"/>
      <c r="AI532" s="231"/>
      <c r="AJ532" s="231"/>
      <c r="AK532" s="231"/>
      <c r="AL532" s="231"/>
      <c r="AM532" s="231"/>
      <c r="AN532" s="231"/>
      <c r="AO532" s="231"/>
      <c r="AP532" s="231"/>
      <c r="AQ532" s="231"/>
      <c r="AR532" s="231"/>
      <c r="AS532" s="231"/>
      <c r="AT532" s="231"/>
      <c r="AU532" s="231"/>
      <c r="AV532" s="231"/>
      <c r="AW532" s="231"/>
      <c r="AX532" s="231"/>
      <c r="AY532" s="231"/>
      <c r="AZ532" s="231"/>
      <c r="BA532" s="231"/>
      <c r="BB532" s="231"/>
      <c r="BC532" s="231"/>
      <c r="BD532" s="231"/>
      <c r="BE532" s="231"/>
      <c r="BF532" s="231"/>
      <c r="BG532" s="231"/>
      <c r="BH532" s="231"/>
      <c r="BI532" s="231"/>
      <c r="BJ532" s="231"/>
      <c r="BK532" s="231"/>
      <c r="BL532" s="231"/>
      <c r="BM532" s="231"/>
      <c r="BN532" s="231"/>
      <c r="BO532" s="231"/>
      <c r="BP532" s="231"/>
      <c r="BQ532" s="231"/>
      <c r="BR532" s="231"/>
      <c r="BS532" s="231"/>
      <c r="BT532" s="231"/>
      <c r="BU532" s="231"/>
      <c r="BV532" s="231"/>
      <c r="BW532" s="231"/>
      <c r="BX532" s="231"/>
      <c r="BY532" s="231"/>
      <c r="BZ532" s="231"/>
      <c r="CA532" s="231"/>
      <c r="CB532" s="231"/>
      <c r="CC532" s="231"/>
      <c r="CD532" s="231"/>
      <c r="CE532" s="231"/>
      <c r="CF532" s="231"/>
      <c r="CG532" s="231"/>
      <c r="CH532" s="231"/>
      <c r="CI532" s="231"/>
      <c r="CJ532" s="231"/>
      <c r="CK532" s="231"/>
      <c r="CL532" s="231"/>
      <c r="CM532" s="231"/>
      <c r="CN532" s="231"/>
      <c r="CO532" s="231"/>
      <c r="CP532" s="231"/>
      <c r="CQ532" s="231"/>
      <c r="CR532" s="231"/>
      <c r="CS532" s="231"/>
      <c r="CT532" s="231"/>
      <c r="CU532" s="231"/>
      <c r="CV532" s="231"/>
      <c r="CW532" s="231"/>
      <c r="CX532" s="231"/>
      <c r="CY532" s="231"/>
      <c r="CZ532" s="231"/>
      <c r="DA532" s="231"/>
      <c r="DB532" s="231"/>
      <c r="DC532" s="231"/>
      <c r="DD532" s="231"/>
      <c r="DE532" s="231"/>
      <c r="DF532" s="231"/>
      <c r="DG532" s="231"/>
      <c r="DH532" s="231"/>
      <c r="DI532" s="231"/>
      <c r="DJ532" s="231"/>
      <c r="DK532" s="231"/>
      <c r="DL532" s="231"/>
      <c r="DM532" s="231"/>
      <c r="DN532" s="231"/>
      <c r="DO532" s="231"/>
      <c r="DP532" s="231"/>
      <c r="DQ532" s="231"/>
      <c r="DR532" s="231"/>
      <c r="DS532" s="231"/>
      <c r="DT532" s="231"/>
      <c r="DU532" s="231"/>
      <c r="DV532" s="231"/>
      <c r="DW532" s="231"/>
      <c r="DX532" s="231"/>
      <c r="DY532" s="231"/>
      <c r="DZ532" s="231"/>
      <c r="EA532" s="231"/>
      <c r="EB532" s="231"/>
      <c r="EC532" s="231"/>
      <c r="ED532" s="231"/>
      <c r="EE532" s="231"/>
      <c r="EF532" s="231"/>
      <c r="EG532" s="231"/>
      <c r="EH532" s="231"/>
      <c r="EI532" s="231"/>
      <c r="EJ532" s="231"/>
      <c r="EK532" s="231"/>
      <c r="EL532" s="231"/>
      <c r="EM532" s="231"/>
      <c r="EN532" s="231"/>
      <c r="EO532" s="231"/>
      <c r="EP532" s="231"/>
      <c r="EQ532" s="231"/>
      <c r="ER532" s="231"/>
      <c r="ES532" s="231"/>
      <c r="ET532" s="231"/>
      <c r="EU532" s="231"/>
      <c r="EV532" s="231"/>
      <c r="EW532" s="231"/>
      <c r="EX532" s="231"/>
      <c r="EY532" s="231"/>
      <c r="EZ532" s="231"/>
      <c r="FA532" s="231"/>
      <c r="FB532" s="231"/>
      <c r="FC532" s="231"/>
      <c r="FD532" s="231"/>
      <c r="FE532" s="231"/>
      <c r="FF532" s="231"/>
      <c r="FG532" s="231"/>
      <c r="FH532" s="231"/>
      <c r="FI532" s="231"/>
      <c r="FJ532" s="231"/>
      <c r="FK532" s="231"/>
      <c r="FL532" s="231"/>
      <c r="FM532" s="231"/>
      <c r="FN532" s="231"/>
      <c r="FO532" s="231"/>
      <c r="FP532" s="231"/>
      <c r="FQ532" s="231"/>
      <c r="FR532" s="231"/>
      <c r="FS532" s="231"/>
      <c r="FT532" s="231"/>
      <c r="FU532" s="231"/>
      <c r="FV532" s="231"/>
      <c r="FW532" s="231"/>
      <c r="FX532" s="231"/>
      <c r="FY532" s="231"/>
      <c r="FZ532" s="231"/>
      <c r="GA532" s="231"/>
      <c r="GB532" s="231"/>
      <c r="GC532" s="231"/>
      <c r="GD532" s="231"/>
      <c r="GE532" s="231"/>
      <c r="GF532" s="231"/>
      <c r="GG532" s="231"/>
      <c r="GH532" s="231"/>
      <c r="GI532" s="231"/>
      <c r="GJ532" s="231"/>
    </row>
    <row r="533" spans="3:192" ht="12.75" customHeight="1">
      <c r="C533" s="220"/>
      <c r="D533" s="169"/>
      <c r="E533" s="169"/>
      <c r="F533" s="169"/>
      <c r="G533" s="169"/>
      <c r="H533" s="220"/>
      <c r="I533" s="169"/>
      <c r="J533" s="169"/>
      <c r="K533" s="169"/>
      <c r="L533" s="169"/>
      <c r="M533" s="220"/>
      <c r="N533" s="169"/>
      <c r="O533" s="169"/>
      <c r="P533" s="169"/>
      <c r="Q533" s="169"/>
      <c r="R533" s="220"/>
      <c r="S533" s="169"/>
      <c r="T533" s="169"/>
      <c r="U533" s="169"/>
      <c r="V533" s="169"/>
      <c r="W533" s="220"/>
      <c r="X533" s="169"/>
      <c r="Y533" s="169"/>
      <c r="Z533" s="169"/>
      <c r="AA533" s="169"/>
      <c r="AB533" s="220"/>
      <c r="AC533" s="169"/>
      <c r="AD533" s="169"/>
      <c r="AE533" s="169"/>
      <c r="AF533" s="169"/>
      <c r="AG533" s="220"/>
      <c r="AH533" s="169"/>
      <c r="AI533" s="169"/>
      <c r="AJ533" s="169"/>
      <c r="AK533" s="169"/>
      <c r="AL533" s="220"/>
      <c r="AM533" s="169"/>
      <c r="AN533" s="169"/>
      <c r="AO533" s="169"/>
      <c r="AP533" s="169"/>
      <c r="AQ533" s="220"/>
      <c r="AR533" s="169"/>
      <c r="AS533" s="169"/>
      <c r="AT533" s="169"/>
      <c r="AU533" s="169"/>
      <c r="AV533" s="220"/>
      <c r="AW533" s="169"/>
      <c r="AX533" s="169"/>
      <c r="AY533" s="169"/>
      <c r="AZ533" s="169"/>
      <c r="BA533" s="220"/>
      <c r="BB533" s="169"/>
      <c r="BC533" s="169"/>
      <c r="BD533" s="169"/>
      <c r="BE533" s="169"/>
      <c r="BF533" s="220"/>
      <c r="BG533" s="169"/>
      <c r="BH533" s="169"/>
      <c r="BI533" s="169"/>
      <c r="BJ533" s="169"/>
      <c r="BK533" s="220"/>
      <c r="BL533" s="169"/>
      <c r="BM533" s="169"/>
      <c r="BN533" s="169"/>
      <c r="BO533" s="169"/>
      <c r="BP533" s="220"/>
      <c r="BQ533" s="169"/>
      <c r="BR533" s="169"/>
      <c r="BS533" s="169"/>
      <c r="BT533" s="169"/>
      <c r="BU533" s="220"/>
      <c r="BV533" s="169"/>
      <c r="BW533" s="169"/>
      <c r="BX533" s="169"/>
      <c r="BY533" s="169"/>
      <c r="BZ533" s="220"/>
      <c r="CA533" s="169"/>
      <c r="CB533" s="169"/>
      <c r="CC533" s="169"/>
      <c r="CD533" s="169"/>
      <c r="CE533" s="220"/>
      <c r="CF533" s="169"/>
      <c r="CG533" s="169"/>
      <c r="CH533" s="169"/>
      <c r="CI533" s="169"/>
      <c r="CJ533" s="220"/>
      <c r="CK533" s="169"/>
      <c r="CL533" s="169"/>
      <c r="CM533" s="169"/>
      <c r="CN533" s="169"/>
      <c r="CO533" s="220"/>
      <c r="CP533" s="169"/>
      <c r="CQ533" s="169"/>
      <c r="CR533" s="169"/>
      <c r="CS533" s="169"/>
      <c r="CT533" s="220"/>
      <c r="CU533" s="169"/>
      <c r="CV533" s="169"/>
      <c r="CW533" s="169"/>
      <c r="CX533" s="169"/>
      <c r="CY533" s="220"/>
      <c r="CZ533" s="169"/>
      <c r="DA533" s="169"/>
      <c r="DB533" s="169"/>
      <c r="DC533" s="169"/>
      <c r="DD533" s="220"/>
      <c r="DE533" s="169"/>
      <c r="DF533" s="169"/>
      <c r="DG533" s="169"/>
      <c r="DH533" s="169"/>
      <c r="DI533" s="220"/>
      <c r="DJ533" s="169"/>
      <c r="DK533" s="169"/>
      <c r="DL533" s="169"/>
      <c r="DM533" s="169"/>
      <c r="DN533" s="220"/>
      <c r="DO533" s="169"/>
      <c r="DP533" s="169"/>
      <c r="DQ533" s="169"/>
      <c r="DR533" s="169"/>
      <c r="DS533" s="220"/>
      <c r="DT533" s="169"/>
      <c r="DU533" s="169"/>
      <c r="DV533" s="169"/>
      <c r="DW533" s="169"/>
      <c r="DX533" s="220"/>
      <c r="DY533" s="169"/>
      <c r="DZ533" s="169"/>
      <c r="EA533" s="169"/>
      <c r="EB533" s="169"/>
      <c r="EC533" s="220"/>
      <c r="ED533" s="169"/>
      <c r="EE533" s="169"/>
      <c r="EF533" s="169"/>
      <c r="EG533" s="169"/>
      <c r="EH533" s="220"/>
      <c r="EI533" s="169"/>
      <c r="EJ533" s="169"/>
      <c r="EK533" s="169"/>
      <c r="EL533" s="169"/>
      <c r="EM533" s="220"/>
      <c r="EN533" s="169"/>
      <c r="EO533" s="169"/>
      <c r="EP533" s="169"/>
      <c r="EQ533" s="169"/>
      <c r="ER533" s="220"/>
      <c r="ES533" s="169"/>
      <c r="ET533" s="169"/>
      <c r="EU533" s="169"/>
      <c r="EV533" s="169"/>
      <c r="EW533" s="220"/>
      <c r="EX533" s="169"/>
      <c r="EY533" s="169"/>
      <c r="EZ533" s="169"/>
      <c r="FA533" s="169"/>
      <c r="FB533" s="220"/>
      <c r="FC533" s="169"/>
      <c r="FD533" s="169"/>
      <c r="FE533" s="169"/>
      <c r="FF533" s="169"/>
      <c r="FG533" s="220"/>
      <c r="FH533" s="169"/>
      <c r="FI533" s="169"/>
      <c r="FJ533" s="169"/>
      <c r="FK533" s="169"/>
      <c r="FL533" s="220"/>
      <c r="FM533" s="169"/>
      <c r="FN533" s="169"/>
      <c r="FO533" s="169"/>
      <c r="FP533" s="169"/>
      <c r="FQ533" s="220"/>
      <c r="FR533" s="169"/>
      <c r="FS533" s="169"/>
      <c r="FT533" s="169"/>
      <c r="FU533" s="169"/>
      <c r="FV533" s="220"/>
      <c r="FW533" s="169"/>
      <c r="FX533" s="169"/>
      <c r="FY533" s="169"/>
      <c r="FZ533" s="169"/>
      <c r="GA533" s="220"/>
      <c r="GB533" s="169"/>
      <c r="GC533" s="169"/>
      <c r="GD533" s="169"/>
      <c r="GE533" s="169"/>
      <c r="GF533" s="220"/>
      <c r="GG533" s="169"/>
      <c r="GH533" s="169"/>
      <c r="GI533" s="169"/>
      <c r="GJ533" s="169"/>
    </row>
    <row r="534" spans="3:192" ht="12.75" customHeight="1">
      <c r="C534" s="198"/>
      <c r="D534" s="198"/>
      <c r="E534" s="198"/>
      <c r="F534" s="198"/>
      <c r="G534" s="198"/>
      <c r="H534" s="198"/>
      <c r="I534" s="198"/>
      <c r="J534" s="198"/>
      <c r="K534" s="198"/>
      <c r="L534" s="198"/>
      <c r="M534" s="198"/>
      <c r="N534" s="198"/>
      <c r="O534" s="198"/>
      <c r="P534" s="198"/>
      <c r="Q534" s="198"/>
      <c r="R534" s="198"/>
      <c r="S534" s="198"/>
      <c r="T534" s="198"/>
      <c r="U534" s="198"/>
      <c r="V534" s="198"/>
      <c r="W534" s="198"/>
      <c r="X534" s="198"/>
      <c r="Y534" s="198"/>
      <c r="Z534" s="198"/>
      <c r="AA534" s="198"/>
      <c r="AB534" s="198"/>
      <c r="AC534" s="198"/>
      <c r="AD534" s="198"/>
      <c r="AE534" s="198"/>
      <c r="AF534" s="198"/>
      <c r="AG534" s="198"/>
      <c r="AH534" s="198"/>
      <c r="AI534" s="198"/>
      <c r="AJ534" s="198"/>
      <c r="AK534" s="198"/>
      <c r="AL534" s="198"/>
      <c r="AM534" s="198"/>
      <c r="AN534" s="198"/>
      <c r="AO534" s="198"/>
      <c r="AP534" s="198"/>
      <c r="AQ534" s="198"/>
      <c r="AR534" s="198"/>
      <c r="AS534" s="198"/>
      <c r="AT534" s="198"/>
      <c r="AU534" s="198"/>
      <c r="AV534" s="198"/>
      <c r="AW534" s="198"/>
      <c r="AX534" s="198"/>
      <c r="AY534" s="198"/>
      <c r="AZ534" s="198"/>
      <c r="BA534" s="198"/>
      <c r="BB534" s="198"/>
      <c r="BC534" s="198"/>
      <c r="BD534" s="198"/>
      <c r="BE534" s="198"/>
      <c r="BF534" s="198"/>
      <c r="BG534" s="198"/>
      <c r="BH534" s="198"/>
      <c r="BI534" s="198"/>
      <c r="BJ534" s="198"/>
      <c r="BK534" s="198"/>
      <c r="BL534" s="198"/>
      <c r="BM534" s="198"/>
      <c r="BN534" s="198"/>
      <c r="BO534" s="198"/>
      <c r="BP534" s="198"/>
      <c r="BQ534" s="198"/>
      <c r="BR534" s="198"/>
      <c r="BS534" s="198"/>
      <c r="BT534" s="198"/>
      <c r="BU534" s="198"/>
      <c r="BV534" s="198"/>
      <c r="BW534" s="198"/>
      <c r="BX534" s="198"/>
      <c r="BY534" s="198"/>
      <c r="BZ534" s="198"/>
      <c r="CA534" s="198"/>
      <c r="CB534" s="198"/>
      <c r="CC534" s="198"/>
      <c r="CD534" s="198"/>
      <c r="CE534" s="198"/>
      <c r="CF534" s="198"/>
      <c r="CG534" s="198"/>
      <c r="CH534" s="198"/>
      <c r="CI534" s="198"/>
      <c r="CJ534" s="198"/>
      <c r="CK534" s="198"/>
      <c r="CL534" s="198"/>
      <c r="CM534" s="198"/>
      <c r="CN534" s="198"/>
      <c r="CO534" s="198"/>
      <c r="CP534" s="198"/>
      <c r="CQ534" s="198"/>
      <c r="CR534" s="198"/>
      <c r="CS534" s="198"/>
      <c r="CT534" s="198"/>
      <c r="CU534" s="198"/>
      <c r="CV534" s="198"/>
      <c r="CW534" s="198"/>
      <c r="CX534" s="198"/>
      <c r="CY534" s="198"/>
      <c r="CZ534" s="198"/>
      <c r="DA534" s="198"/>
      <c r="DB534" s="198"/>
      <c r="DC534" s="198"/>
      <c r="DD534" s="198"/>
      <c r="DE534" s="198"/>
      <c r="DF534" s="198"/>
      <c r="DG534" s="198"/>
      <c r="DH534" s="198"/>
      <c r="DI534" s="198"/>
      <c r="DJ534" s="198"/>
      <c r="DK534" s="198"/>
      <c r="DL534" s="198"/>
      <c r="DM534" s="198"/>
      <c r="DN534" s="198"/>
      <c r="DO534" s="198"/>
      <c r="DP534" s="198"/>
      <c r="DQ534" s="198"/>
      <c r="DR534" s="198"/>
      <c r="DS534" s="198"/>
      <c r="DT534" s="198"/>
      <c r="DU534" s="198"/>
      <c r="DV534" s="198"/>
      <c r="DW534" s="198"/>
      <c r="DX534" s="198"/>
      <c r="DY534" s="198"/>
      <c r="DZ534" s="198"/>
      <c r="EA534" s="198"/>
      <c r="EB534" s="198"/>
      <c r="EC534" s="198"/>
      <c r="ED534" s="198"/>
      <c r="EE534" s="198"/>
      <c r="EF534" s="198"/>
      <c r="EG534" s="198"/>
      <c r="EH534" s="198"/>
      <c r="EI534" s="198"/>
      <c r="EJ534" s="198"/>
      <c r="EK534" s="198"/>
      <c r="EL534" s="198"/>
      <c r="EM534" s="198"/>
      <c r="EN534" s="198"/>
      <c r="EO534" s="198"/>
      <c r="EP534" s="198"/>
      <c r="EQ534" s="198"/>
      <c r="ER534" s="198"/>
      <c r="ES534" s="198"/>
      <c r="ET534" s="198"/>
      <c r="EU534" s="198"/>
      <c r="EV534" s="198"/>
      <c r="EW534" s="198"/>
      <c r="EX534" s="198"/>
      <c r="EY534" s="198"/>
      <c r="EZ534" s="198"/>
      <c r="FA534" s="198"/>
      <c r="FB534" s="198"/>
      <c r="FC534" s="198"/>
      <c r="FD534" s="198"/>
      <c r="FE534" s="198"/>
      <c r="FF534" s="198"/>
      <c r="FG534" s="198"/>
      <c r="FH534" s="198"/>
      <c r="FI534" s="198"/>
      <c r="FJ534" s="198"/>
      <c r="FK534" s="198"/>
      <c r="FL534" s="198"/>
      <c r="FM534" s="198"/>
      <c r="FN534" s="198"/>
      <c r="FO534" s="198"/>
      <c r="FP534" s="198"/>
      <c r="FQ534" s="198"/>
      <c r="FR534" s="198"/>
      <c r="FS534" s="198"/>
      <c r="FT534" s="198"/>
      <c r="FU534" s="198"/>
      <c r="FV534" s="198"/>
      <c r="FW534" s="198"/>
      <c r="FX534" s="198"/>
      <c r="FY534" s="198"/>
      <c r="FZ534" s="198"/>
      <c r="GA534" s="198"/>
      <c r="GB534" s="198"/>
      <c r="GC534" s="198"/>
      <c r="GD534" s="198"/>
      <c r="GE534" s="198"/>
      <c r="GF534" s="198"/>
      <c r="GG534" s="198"/>
      <c r="GH534" s="198"/>
      <c r="GI534" s="198"/>
      <c r="GJ534" s="198"/>
    </row>
    <row r="535" spans="3:192" ht="12.75" customHeight="1">
      <c r="C535" s="169"/>
      <c r="D535" s="169"/>
      <c r="E535" s="169"/>
      <c r="F535" s="169"/>
      <c r="G535" s="169"/>
      <c r="H535" s="169"/>
      <c r="I535" s="169"/>
      <c r="J535" s="169"/>
      <c r="K535" s="169"/>
      <c r="L535" s="169"/>
      <c r="M535" s="169"/>
      <c r="N535" s="169"/>
      <c r="O535" s="169"/>
      <c r="P535" s="169"/>
      <c r="Q535" s="169"/>
      <c r="R535" s="169"/>
      <c r="S535" s="169"/>
      <c r="T535" s="169"/>
      <c r="U535" s="169"/>
      <c r="V535" s="169"/>
      <c r="W535" s="169"/>
      <c r="X535" s="169"/>
      <c r="Y535" s="169"/>
      <c r="Z535" s="169"/>
      <c r="AA535" s="169"/>
      <c r="AB535" s="169"/>
      <c r="AC535" s="169"/>
      <c r="AD535" s="169"/>
      <c r="AE535" s="169"/>
      <c r="AF535" s="169"/>
      <c r="AG535" s="169"/>
      <c r="AH535" s="169"/>
      <c r="AI535" s="169"/>
      <c r="AJ535" s="169"/>
      <c r="AK535" s="169"/>
      <c r="AL535" s="169"/>
      <c r="AM535" s="169"/>
      <c r="AN535" s="169"/>
      <c r="AO535" s="169"/>
      <c r="AP535" s="169"/>
      <c r="AQ535" s="169"/>
      <c r="AR535" s="169"/>
      <c r="AS535" s="169"/>
      <c r="AT535" s="169"/>
      <c r="AU535" s="169"/>
      <c r="AV535" s="169"/>
      <c r="AW535" s="169"/>
      <c r="AX535" s="169"/>
      <c r="AY535" s="169"/>
      <c r="AZ535" s="169"/>
      <c r="BA535" s="169"/>
      <c r="BB535" s="169"/>
      <c r="BC535" s="169"/>
      <c r="BD535" s="169"/>
      <c r="BE535" s="169"/>
      <c r="BF535" s="169"/>
      <c r="BG535" s="169"/>
      <c r="BH535" s="169"/>
      <c r="BI535" s="169"/>
      <c r="BJ535" s="169"/>
      <c r="BK535" s="169"/>
      <c r="BL535" s="169"/>
      <c r="BM535" s="169"/>
      <c r="BN535" s="169"/>
      <c r="BO535" s="169"/>
      <c r="BP535" s="169"/>
      <c r="BQ535" s="169"/>
      <c r="BR535" s="169"/>
      <c r="BS535" s="169"/>
      <c r="BT535" s="169"/>
      <c r="BU535" s="169"/>
      <c r="BV535" s="169"/>
      <c r="BW535" s="169"/>
      <c r="BX535" s="169"/>
      <c r="BY535" s="169"/>
      <c r="BZ535" s="169"/>
      <c r="CA535" s="169"/>
      <c r="CB535" s="169"/>
      <c r="CC535" s="169"/>
      <c r="CD535" s="169"/>
      <c r="CE535" s="169"/>
      <c r="CF535" s="169"/>
      <c r="CG535" s="169"/>
      <c r="CH535" s="169"/>
      <c r="CI535" s="169"/>
      <c r="CJ535" s="169"/>
      <c r="CK535" s="169"/>
      <c r="CL535" s="169"/>
      <c r="CM535" s="169"/>
      <c r="CN535" s="169"/>
      <c r="CO535" s="169"/>
      <c r="CP535" s="169"/>
      <c r="CQ535" s="169"/>
      <c r="CR535" s="169"/>
      <c r="CS535" s="169"/>
      <c r="CT535" s="169"/>
      <c r="CU535" s="169"/>
      <c r="CV535" s="169"/>
      <c r="CW535" s="169"/>
      <c r="CX535" s="169"/>
      <c r="CY535" s="169"/>
      <c r="CZ535" s="169"/>
      <c r="DA535" s="169"/>
      <c r="DB535" s="169"/>
      <c r="DC535" s="169"/>
      <c r="DD535" s="169"/>
      <c r="DE535" s="169"/>
      <c r="DF535" s="169"/>
      <c r="DG535" s="169"/>
      <c r="DH535" s="169"/>
      <c r="DI535" s="169"/>
      <c r="DJ535" s="169"/>
      <c r="DK535" s="169"/>
      <c r="DL535" s="169"/>
      <c r="DM535" s="169"/>
      <c r="DN535" s="169"/>
      <c r="DO535" s="169"/>
      <c r="DP535" s="169"/>
      <c r="DQ535" s="169"/>
      <c r="DR535" s="169"/>
      <c r="DS535" s="169"/>
      <c r="DT535" s="169"/>
      <c r="DU535" s="169"/>
      <c r="DV535" s="169"/>
      <c r="DW535" s="169"/>
      <c r="DX535" s="169"/>
      <c r="DY535" s="169"/>
      <c r="DZ535" s="169"/>
      <c r="EA535" s="169"/>
      <c r="EB535" s="169"/>
      <c r="EC535" s="169"/>
      <c r="ED535" s="169"/>
      <c r="EE535" s="169"/>
      <c r="EF535" s="169"/>
      <c r="EG535" s="169"/>
      <c r="EH535" s="169"/>
      <c r="EI535" s="169"/>
      <c r="EJ535" s="169"/>
      <c r="EK535" s="169"/>
      <c r="EL535" s="169"/>
      <c r="EM535" s="169"/>
      <c r="EN535" s="169"/>
      <c r="EO535" s="169"/>
      <c r="EP535" s="169"/>
      <c r="EQ535" s="169"/>
      <c r="ER535" s="169"/>
      <c r="ES535" s="169"/>
      <c r="ET535" s="169"/>
      <c r="EU535" s="169"/>
      <c r="EV535" s="169"/>
      <c r="EW535" s="169"/>
      <c r="EX535" s="169"/>
      <c r="EY535" s="169"/>
      <c r="EZ535" s="169"/>
      <c r="FA535" s="169"/>
      <c r="FB535" s="169"/>
      <c r="FC535" s="169"/>
      <c r="FD535" s="169"/>
      <c r="FE535" s="169"/>
      <c r="FF535" s="169"/>
      <c r="FG535" s="169"/>
      <c r="FH535" s="169"/>
      <c r="FI535" s="169"/>
      <c r="FJ535" s="169"/>
      <c r="FK535" s="169"/>
      <c r="FL535" s="169"/>
      <c r="FM535" s="169"/>
      <c r="FN535" s="169"/>
      <c r="FO535" s="169"/>
      <c r="FP535" s="169"/>
      <c r="FQ535" s="169"/>
      <c r="FR535" s="169"/>
      <c r="FS535" s="169"/>
      <c r="FT535" s="169"/>
      <c r="FU535" s="169"/>
      <c r="FV535" s="169"/>
      <c r="FW535" s="169"/>
      <c r="FX535" s="169"/>
      <c r="FY535" s="169"/>
      <c r="FZ535" s="169"/>
      <c r="GA535" s="169"/>
      <c r="GB535" s="169"/>
      <c r="GC535" s="169"/>
      <c r="GD535" s="169"/>
      <c r="GE535" s="169"/>
      <c r="GF535" s="169"/>
      <c r="GG535" s="169"/>
      <c r="GH535" s="169"/>
      <c r="GI535" s="169"/>
      <c r="GJ535" s="169"/>
    </row>
    <row r="536" spans="3:192" ht="12.75" customHeight="1">
      <c r="C536" s="169"/>
      <c r="D536" s="169"/>
      <c r="E536" s="169"/>
      <c r="F536" s="169"/>
      <c r="G536" s="169"/>
      <c r="H536" s="169"/>
      <c r="I536" s="169"/>
      <c r="J536" s="169"/>
      <c r="K536" s="169"/>
      <c r="L536" s="169"/>
      <c r="M536" s="169"/>
      <c r="N536" s="169"/>
      <c r="O536" s="169"/>
      <c r="P536" s="169"/>
      <c r="Q536" s="169"/>
      <c r="R536" s="169"/>
      <c r="S536" s="169"/>
      <c r="T536" s="169"/>
      <c r="U536" s="169"/>
      <c r="V536" s="169"/>
      <c r="W536" s="169"/>
      <c r="X536" s="169"/>
      <c r="Y536" s="169"/>
      <c r="Z536" s="169"/>
      <c r="AA536" s="169"/>
      <c r="AB536" s="169"/>
      <c r="AC536" s="169"/>
      <c r="AD536" s="169"/>
      <c r="AE536" s="169"/>
      <c r="AF536" s="169"/>
      <c r="AG536" s="169"/>
      <c r="AH536" s="169"/>
      <c r="AI536" s="169"/>
      <c r="AJ536" s="169"/>
      <c r="AK536" s="169"/>
      <c r="AL536" s="169"/>
      <c r="AM536" s="169"/>
      <c r="AN536" s="169"/>
      <c r="AO536" s="169"/>
      <c r="AP536" s="169"/>
      <c r="AQ536" s="169"/>
      <c r="AR536" s="169"/>
      <c r="AS536" s="169"/>
      <c r="AT536" s="169"/>
      <c r="AU536" s="169"/>
      <c r="AV536" s="169"/>
      <c r="AW536" s="169"/>
      <c r="AX536" s="169"/>
      <c r="AY536" s="169"/>
      <c r="AZ536" s="169"/>
      <c r="BA536" s="169"/>
      <c r="BB536" s="169"/>
      <c r="BC536" s="169"/>
      <c r="BD536" s="169"/>
      <c r="BE536" s="169"/>
      <c r="BF536" s="169"/>
      <c r="BG536" s="169"/>
      <c r="BH536" s="169"/>
      <c r="BI536" s="169"/>
      <c r="BJ536" s="169"/>
      <c r="BK536" s="169"/>
      <c r="BL536" s="169"/>
      <c r="BM536" s="169"/>
      <c r="BN536" s="169"/>
      <c r="BO536" s="169"/>
      <c r="BP536" s="169"/>
      <c r="BQ536" s="169"/>
      <c r="BR536" s="169"/>
      <c r="BS536" s="169"/>
      <c r="BT536" s="169"/>
      <c r="BU536" s="169"/>
      <c r="BV536" s="169"/>
      <c r="BW536" s="169"/>
      <c r="BX536" s="169"/>
      <c r="BY536" s="169"/>
      <c r="BZ536" s="169"/>
      <c r="CA536" s="169"/>
      <c r="CB536" s="169"/>
      <c r="CC536" s="169"/>
      <c r="CD536" s="169"/>
      <c r="CE536" s="169"/>
      <c r="CF536" s="169"/>
      <c r="CG536" s="169"/>
      <c r="CH536" s="169"/>
      <c r="CI536" s="169"/>
      <c r="CJ536" s="169"/>
      <c r="CK536" s="169"/>
      <c r="CL536" s="169"/>
      <c r="CM536" s="169"/>
      <c r="CN536" s="169"/>
      <c r="CO536" s="169"/>
      <c r="CP536" s="169"/>
      <c r="CQ536" s="169"/>
      <c r="CR536" s="169"/>
      <c r="CS536" s="169"/>
      <c r="CT536" s="169"/>
      <c r="CU536" s="169"/>
      <c r="CV536" s="169"/>
      <c r="CW536" s="169"/>
      <c r="CX536" s="169"/>
      <c r="CY536" s="169"/>
      <c r="CZ536" s="169"/>
      <c r="DA536" s="169"/>
      <c r="DB536" s="169"/>
      <c r="DC536" s="169"/>
      <c r="DD536" s="169"/>
      <c r="DE536" s="169"/>
      <c r="DF536" s="169"/>
      <c r="DG536" s="169"/>
      <c r="DH536" s="169"/>
      <c r="DI536" s="169"/>
      <c r="DJ536" s="169"/>
      <c r="DK536" s="169"/>
      <c r="DL536" s="169"/>
      <c r="DM536" s="169"/>
      <c r="DN536" s="169"/>
      <c r="DO536" s="169"/>
      <c r="DP536" s="169"/>
      <c r="DQ536" s="169"/>
      <c r="DR536" s="169"/>
      <c r="DS536" s="169"/>
      <c r="DT536" s="169"/>
      <c r="DU536" s="169"/>
      <c r="DV536" s="169"/>
      <c r="DW536" s="169"/>
      <c r="DX536" s="169"/>
      <c r="DY536" s="169"/>
      <c r="DZ536" s="169"/>
      <c r="EA536" s="169"/>
      <c r="EB536" s="169"/>
      <c r="EC536" s="169"/>
      <c r="ED536" s="169"/>
      <c r="EE536" s="169"/>
      <c r="EF536" s="169"/>
      <c r="EG536" s="169"/>
      <c r="EH536" s="169"/>
      <c r="EI536" s="169"/>
      <c r="EJ536" s="169"/>
      <c r="EK536" s="169"/>
      <c r="EL536" s="169"/>
      <c r="EM536" s="169"/>
      <c r="EN536" s="169"/>
      <c r="EO536" s="169"/>
      <c r="EP536" s="169"/>
      <c r="EQ536" s="169"/>
      <c r="ER536" s="169"/>
      <c r="ES536" s="169"/>
      <c r="ET536" s="169"/>
      <c r="EU536" s="169"/>
      <c r="EV536" s="169"/>
      <c r="EW536" s="169"/>
      <c r="EX536" s="169"/>
      <c r="EY536" s="169"/>
      <c r="EZ536" s="169"/>
      <c r="FA536" s="169"/>
      <c r="FB536" s="169"/>
      <c r="FC536" s="169"/>
      <c r="FD536" s="169"/>
      <c r="FE536" s="169"/>
      <c r="FF536" s="169"/>
      <c r="FG536" s="169"/>
      <c r="FH536" s="169"/>
      <c r="FI536" s="169"/>
      <c r="FJ536" s="169"/>
      <c r="FK536" s="169"/>
      <c r="FL536" s="169"/>
      <c r="FM536" s="169"/>
      <c r="FN536" s="169"/>
      <c r="FO536" s="169"/>
      <c r="FP536" s="169"/>
      <c r="FQ536" s="169"/>
      <c r="FR536" s="169"/>
      <c r="FS536" s="169"/>
      <c r="FT536" s="169"/>
      <c r="FU536" s="169"/>
      <c r="FV536" s="169"/>
      <c r="FW536" s="169"/>
      <c r="FX536" s="169"/>
      <c r="FY536" s="169"/>
      <c r="FZ536" s="169"/>
      <c r="GA536" s="169"/>
      <c r="GB536" s="169"/>
      <c r="GC536" s="169"/>
      <c r="GD536" s="169"/>
      <c r="GE536" s="169"/>
      <c r="GF536" s="169"/>
      <c r="GG536" s="169"/>
      <c r="GH536" s="169"/>
      <c r="GI536" s="169"/>
      <c r="GJ536" s="169"/>
    </row>
    <row r="537" spans="3:192" ht="12.75" customHeight="1">
      <c r="C537" s="169"/>
      <c r="D537" s="169"/>
      <c r="E537" s="169"/>
      <c r="F537" s="169"/>
      <c r="G537" s="169"/>
      <c r="H537" s="169"/>
      <c r="I537" s="169"/>
      <c r="J537" s="169"/>
      <c r="K537" s="169"/>
      <c r="L537" s="169"/>
      <c r="M537" s="169"/>
      <c r="N537" s="169"/>
      <c r="O537" s="169"/>
      <c r="P537" s="169"/>
      <c r="Q537" s="169"/>
      <c r="R537" s="169"/>
      <c r="S537" s="169"/>
      <c r="T537" s="169"/>
      <c r="U537" s="169"/>
      <c r="V537" s="169"/>
      <c r="W537" s="169"/>
      <c r="X537" s="169"/>
      <c r="Y537" s="169"/>
      <c r="Z537" s="169"/>
      <c r="AA537" s="169"/>
      <c r="AB537" s="169"/>
      <c r="AC537" s="169"/>
      <c r="AD537" s="169"/>
      <c r="AE537" s="169"/>
      <c r="AF537" s="169"/>
      <c r="AG537" s="169"/>
      <c r="AH537" s="169"/>
      <c r="AI537" s="169"/>
      <c r="AJ537" s="169"/>
      <c r="AK537" s="169"/>
      <c r="AL537" s="169"/>
      <c r="AM537" s="169"/>
      <c r="AN537" s="169"/>
      <c r="AO537" s="169"/>
      <c r="AP537" s="169"/>
      <c r="AQ537" s="169"/>
      <c r="AR537" s="169"/>
      <c r="AS537" s="169"/>
      <c r="AT537" s="169"/>
      <c r="AU537" s="169"/>
      <c r="AV537" s="169"/>
      <c r="AW537" s="169"/>
      <c r="AX537" s="169"/>
      <c r="AY537" s="169"/>
      <c r="AZ537" s="169"/>
      <c r="BA537" s="169"/>
      <c r="BB537" s="169"/>
      <c r="BC537" s="169"/>
      <c r="BD537" s="169"/>
      <c r="BE537" s="169"/>
      <c r="BF537" s="169"/>
      <c r="BG537" s="169"/>
      <c r="BH537" s="169"/>
      <c r="BI537" s="169"/>
      <c r="BJ537" s="169"/>
      <c r="BK537" s="169"/>
      <c r="BL537" s="169"/>
      <c r="BM537" s="169"/>
      <c r="BN537" s="169"/>
      <c r="BO537" s="169"/>
      <c r="BP537" s="169"/>
      <c r="BQ537" s="169"/>
      <c r="BR537" s="169"/>
      <c r="BS537" s="169"/>
      <c r="BT537" s="169"/>
      <c r="BU537" s="169"/>
      <c r="BV537" s="169"/>
      <c r="BW537" s="169"/>
      <c r="BX537" s="169"/>
      <c r="BY537" s="169"/>
      <c r="BZ537" s="169"/>
      <c r="CA537" s="169"/>
      <c r="CB537" s="169"/>
      <c r="CC537" s="169"/>
      <c r="CD537" s="169"/>
      <c r="CE537" s="169"/>
      <c r="CF537" s="169"/>
      <c r="CG537" s="169"/>
      <c r="CH537" s="169"/>
      <c r="CI537" s="169"/>
      <c r="CJ537" s="169"/>
      <c r="CK537" s="169"/>
      <c r="CL537" s="169"/>
      <c r="CM537" s="169"/>
      <c r="CN537" s="169"/>
      <c r="CO537" s="169"/>
      <c r="CP537" s="169"/>
      <c r="CQ537" s="169"/>
      <c r="CR537" s="169"/>
      <c r="CS537" s="169"/>
      <c r="CT537" s="169"/>
      <c r="CU537" s="169"/>
      <c r="CV537" s="169"/>
      <c r="CW537" s="169"/>
      <c r="CX537" s="169"/>
      <c r="CY537" s="169"/>
      <c r="CZ537" s="169"/>
      <c r="DA537" s="169"/>
      <c r="DB537" s="169"/>
      <c r="DC537" s="169"/>
      <c r="DD537" s="169"/>
      <c r="DE537" s="169"/>
      <c r="DF537" s="169"/>
      <c r="DG537" s="169"/>
      <c r="DH537" s="169"/>
      <c r="DI537" s="169"/>
      <c r="DJ537" s="169"/>
      <c r="DK537" s="169"/>
      <c r="DL537" s="169"/>
      <c r="DM537" s="169"/>
      <c r="DN537" s="169"/>
      <c r="DO537" s="169"/>
      <c r="DP537" s="169"/>
      <c r="DQ537" s="169"/>
      <c r="DR537" s="169"/>
      <c r="DS537" s="169"/>
      <c r="DT537" s="169"/>
      <c r="DU537" s="169"/>
      <c r="DV537" s="169"/>
      <c r="DW537" s="169"/>
      <c r="DX537" s="169"/>
      <c r="DY537" s="169"/>
      <c r="DZ537" s="169"/>
      <c r="EA537" s="169"/>
      <c r="EB537" s="169"/>
      <c r="EC537" s="169"/>
      <c r="ED537" s="169"/>
      <c r="EE537" s="169"/>
      <c r="EF537" s="169"/>
      <c r="EG537" s="169"/>
      <c r="EH537" s="169"/>
      <c r="EI537" s="169"/>
      <c r="EJ537" s="169"/>
      <c r="EK537" s="169"/>
      <c r="EL537" s="169"/>
      <c r="EM537" s="169"/>
      <c r="EN537" s="169"/>
      <c r="EO537" s="169"/>
      <c r="EP537" s="169"/>
      <c r="EQ537" s="169"/>
      <c r="ER537" s="169"/>
      <c r="ES537" s="169"/>
      <c r="ET537" s="169"/>
      <c r="EU537" s="169"/>
      <c r="EV537" s="169"/>
      <c r="EW537" s="169"/>
      <c r="EX537" s="169"/>
      <c r="EY537" s="169"/>
      <c r="EZ537" s="169"/>
      <c r="FA537" s="169"/>
      <c r="FB537" s="169"/>
      <c r="FC537" s="169"/>
      <c r="FD537" s="169"/>
      <c r="FE537" s="169"/>
      <c r="FF537" s="169"/>
      <c r="FG537" s="169"/>
      <c r="FH537" s="169"/>
      <c r="FI537" s="169"/>
      <c r="FJ537" s="169"/>
      <c r="FK537" s="169"/>
      <c r="FL537" s="169"/>
      <c r="FM537" s="169"/>
      <c r="FN537" s="169"/>
      <c r="FO537" s="169"/>
      <c r="FP537" s="169"/>
      <c r="FQ537" s="169"/>
      <c r="FR537" s="169"/>
      <c r="FS537" s="169"/>
      <c r="FT537" s="169"/>
      <c r="FU537" s="169"/>
      <c r="FV537" s="169"/>
      <c r="FW537" s="169"/>
      <c r="FX537" s="169"/>
      <c r="FY537" s="169"/>
      <c r="FZ537" s="169"/>
      <c r="GA537" s="169"/>
      <c r="GB537" s="169"/>
      <c r="GC537" s="169"/>
      <c r="GD537" s="169"/>
      <c r="GE537" s="169"/>
      <c r="GF537" s="169"/>
      <c r="GG537" s="169"/>
      <c r="GH537" s="169"/>
      <c r="GI537" s="169"/>
      <c r="GJ537" s="169"/>
    </row>
    <row r="538" spans="3:192" ht="12.75" customHeight="1">
      <c r="C538" s="169"/>
      <c r="D538" s="169"/>
      <c r="E538" s="169"/>
      <c r="F538" s="169"/>
      <c r="G538" s="169"/>
      <c r="H538" s="169"/>
      <c r="I538" s="169"/>
      <c r="J538" s="169"/>
      <c r="K538" s="169"/>
      <c r="L538" s="169"/>
      <c r="M538" s="169"/>
      <c r="N538" s="169"/>
      <c r="O538" s="169"/>
      <c r="P538" s="169"/>
      <c r="Q538" s="169"/>
      <c r="R538" s="169"/>
      <c r="S538" s="169"/>
      <c r="T538" s="169"/>
      <c r="U538" s="169"/>
      <c r="V538" s="169"/>
      <c r="W538" s="169"/>
      <c r="X538" s="169"/>
      <c r="Y538" s="169"/>
      <c r="Z538" s="169"/>
      <c r="AA538" s="169"/>
      <c r="AB538" s="169"/>
      <c r="AC538" s="169"/>
      <c r="AD538" s="169"/>
      <c r="AE538" s="169"/>
      <c r="AF538" s="169"/>
      <c r="AG538" s="169"/>
      <c r="AH538" s="169"/>
      <c r="AI538" s="169"/>
      <c r="AJ538" s="169"/>
      <c r="AK538" s="169"/>
      <c r="AL538" s="169"/>
      <c r="AM538" s="169"/>
      <c r="AN538" s="169"/>
      <c r="AO538" s="169"/>
      <c r="AP538" s="169"/>
      <c r="AQ538" s="169"/>
      <c r="AR538" s="169"/>
      <c r="AS538" s="169"/>
      <c r="AT538" s="169"/>
      <c r="AU538" s="169"/>
      <c r="AV538" s="169"/>
      <c r="AW538" s="169"/>
      <c r="AX538" s="169"/>
      <c r="AY538" s="169"/>
      <c r="AZ538" s="169"/>
      <c r="BA538" s="169"/>
      <c r="BB538" s="169"/>
      <c r="BC538" s="169"/>
      <c r="BD538" s="169"/>
      <c r="BE538" s="169"/>
      <c r="BF538" s="169"/>
      <c r="BG538" s="169"/>
      <c r="BH538" s="169"/>
      <c r="BI538" s="169"/>
      <c r="BJ538" s="169"/>
      <c r="BK538" s="169"/>
      <c r="BL538" s="169"/>
      <c r="BM538" s="169"/>
      <c r="BN538" s="169"/>
      <c r="BO538" s="169"/>
      <c r="BP538" s="169"/>
      <c r="BQ538" s="169"/>
      <c r="BR538" s="169"/>
      <c r="BS538" s="169"/>
      <c r="BT538" s="169"/>
      <c r="BU538" s="169"/>
      <c r="BV538" s="169"/>
      <c r="BW538" s="169"/>
      <c r="BX538" s="169"/>
      <c r="BY538" s="169"/>
      <c r="BZ538" s="169"/>
      <c r="CA538" s="169"/>
      <c r="CB538" s="169"/>
      <c r="CC538" s="169"/>
      <c r="CD538" s="169"/>
      <c r="CE538" s="169"/>
      <c r="CF538" s="169"/>
      <c r="CG538" s="169"/>
      <c r="CH538" s="169"/>
      <c r="CI538" s="169"/>
      <c r="CJ538" s="169"/>
      <c r="CK538" s="169"/>
      <c r="CL538" s="169"/>
      <c r="CM538" s="169"/>
      <c r="CN538" s="169"/>
      <c r="CO538" s="169"/>
      <c r="CP538" s="169"/>
      <c r="CQ538" s="169"/>
      <c r="CR538" s="169"/>
      <c r="CS538" s="169"/>
      <c r="CT538" s="169"/>
      <c r="CU538" s="169"/>
      <c r="CV538" s="169"/>
      <c r="CW538" s="169"/>
      <c r="CX538" s="169"/>
      <c r="CY538" s="169"/>
      <c r="CZ538" s="169"/>
      <c r="DA538" s="169"/>
      <c r="DB538" s="169"/>
      <c r="DC538" s="169"/>
      <c r="DD538" s="169"/>
      <c r="DE538" s="169"/>
      <c r="DF538" s="169"/>
      <c r="DG538" s="169"/>
      <c r="DH538" s="169"/>
      <c r="DI538" s="169"/>
      <c r="DJ538" s="169"/>
      <c r="DK538" s="169"/>
      <c r="DL538" s="169"/>
      <c r="DM538" s="169"/>
      <c r="DN538" s="169"/>
      <c r="DO538" s="169"/>
      <c r="DP538" s="169"/>
      <c r="DQ538" s="169"/>
      <c r="DR538" s="169"/>
      <c r="DS538" s="169"/>
      <c r="DT538" s="169"/>
      <c r="DU538" s="169"/>
      <c r="DV538" s="169"/>
      <c r="DW538" s="169"/>
      <c r="DX538" s="169"/>
      <c r="DY538" s="169"/>
      <c r="DZ538" s="169"/>
      <c r="EA538" s="169"/>
      <c r="EB538" s="169"/>
      <c r="EC538" s="169"/>
      <c r="ED538" s="169"/>
      <c r="EE538" s="169"/>
      <c r="EF538" s="169"/>
      <c r="EG538" s="169"/>
      <c r="EH538" s="169"/>
      <c r="EI538" s="169"/>
      <c r="EJ538" s="169"/>
      <c r="EK538" s="169"/>
      <c r="EL538" s="169"/>
      <c r="EM538" s="169"/>
      <c r="EN538" s="169"/>
      <c r="EO538" s="169"/>
      <c r="EP538" s="169"/>
      <c r="EQ538" s="169"/>
      <c r="ER538" s="169"/>
      <c r="ES538" s="169"/>
      <c r="ET538" s="169"/>
      <c r="EU538" s="169"/>
      <c r="EV538" s="169"/>
      <c r="EW538" s="169"/>
      <c r="EX538" s="169"/>
      <c r="EY538" s="169"/>
      <c r="EZ538" s="169"/>
      <c r="FA538" s="169"/>
      <c r="FB538" s="169"/>
      <c r="FC538" s="169"/>
      <c r="FD538" s="169"/>
      <c r="FE538" s="169"/>
      <c r="FF538" s="169"/>
      <c r="FG538" s="169"/>
      <c r="FH538" s="169"/>
      <c r="FI538" s="169"/>
      <c r="FJ538" s="169"/>
      <c r="FK538" s="169"/>
      <c r="FL538" s="169"/>
      <c r="FM538" s="169"/>
      <c r="FN538" s="169"/>
      <c r="FO538" s="169"/>
      <c r="FP538" s="169"/>
      <c r="FQ538" s="169"/>
      <c r="FR538" s="169"/>
      <c r="FS538" s="169"/>
      <c r="FT538" s="169"/>
      <c r="FU538" s="169"/>
      <c r="FV538" s="169"/>
      <c r="FW538" s="169"/>
      <c r="FX538" s="169"/>
      <c r="FY538" s="169"/>
      <c r="FZ538" s="169"/>
      <c r="GA538" s="169"/>
      <c r="GB538" s="169"/>
      <c r="GC538" s="169"/>
      <c r="GD538" s="169"/>
      <c r="GE538" s="169"/>
      <c r="GF538" s="169"/>
      <c r="GG538" s="169"/>
      <c r="GH538" s="169"/>
      <c r="GI538" s="169"/>
      <c r="GJ538" s="169"/>
    </row>
    <row r="539" spans="3:192" ht="12.75" customHeight="1">
      <c r="C539" s="220"/>
      <c r="D539" s="169"/>
      <c r="E539" s="169"/>
      <c r="F539" s="169"/>
      <c r="G539" s="169"/>
      <c r="H539" s="220"/>
      <c r="I539" s="169"/>
      <c r="J539" s="169"/>
      <c r="K539" s="169"/>
      <c r="L539" s="169"/>
      <c r="M539" s="220"/>
      <c r="N539" s="169"/>
      <c r="O539" s="169"/>
      <c r="P539" s="169"/>
      <c r="Q539" s="169"/>
      <c r="R539" s="220"/>
      <c r="S539" s="169"/>
      <c r="T539" s="169"/>
      <c r="U539" s="169"/>
      <c r="V539" s="169"/>
      <c r="W539" s="220"/>
      <c r="X539" s="169"/>
      <c r="Y539" s="169"/>
      <c r="Z539" s="169"/>
      <c r="AA539" s="169"/>
      <c r="AB539" s="220"/>
      <c r="AC539" s="169"/>
      <c r="AD539" s="169"/>
      <c r="AE539" s="169"/>
      <c r="AF539" s="169"/>
      <c r="AG539" s="220"/>
      <c r="AH539" s="169"/>
      <c r="AI539" s="169"/>
      <c r="AJ539" s="169"/>
      <c r="AK539" s="169"/>
      <c r="AL539" s="220"/>
      <c r="AM539" s="169"/>
      <c r="AN539" s="169"/>
      <c r="AO539" s="169"/>
      <c r="AP539" s="169"/>
      <c r="AQ539" s="220"/>
      <c r="AR539" s="169"/>
      <c r="AS539" s="169"/>
      <c r="AT539" s="169"/>
      <c r="AU539" s="169"/>
      <c r="AV539" s="220"/>
      <c r="AW539" s="169"/>
      <c r="AX539" s="169"/>
      <c r="AY539" s="169"/>
      <c r="AZ539" s="169"/>
      <c r="BA539" s="220"/>
      <c r="BB539" s="169"/>
      <c r="BC539" s="169"/>
      <c r="BD539" s="169"/>
      <c r="BE539" s="169"/>
      <c r="BF539" s="220"/>
      <c r="BG539" s="169"/>
      <c r="BH539" s="169"/>
      <c r="BI539" s="169"/>
      <c r="BJ539" s="169"/>
      <c r="BK539" s="220"/>
      <c r="BL539" s="169"/>
      <c r="BM539" s="169"/>
      <c r="BN539" s="169"/>
      <c r="BO539" s="169"/>
      <c r="BP539" s="220"/>
      <c r="BQ539" s="169"/>
      <c r="BR539" s="169"/>
      <c r="BS539" s="169"/>
      <c r="BT539" s="169"/>
      <c r="BU539" s="220"/>
      <c r="BV539" s="169"/>
      <c r="BW539" s="169"/>
      <c r="BX539" s="169"/>
      <c r="BY539" s="169"/>
      <c r="BZ539" s="220"/>
      <c r="CA539" s="169"/>
      <c r="CB539" s="169"/>
      <c r="CC539" s="169"/>
      <c r="CD539" s="169"/>
      <c r="CE539" s="220"/>
      <c r="CF539" s="169"/>
      <c r="CG539" s="169"/>
      <c r="CH539" s="169"/>
      <c r="CI539" s="169"/>
      <c r="CJ539" s="220"/>
      <c r="CK539" s="169"/>
      <c r="CL539" s="169"/>
      <c r="CM539" s="169"/>
      <c r="CN539" s="169"/>
      <c r="CO539" s="220"/>
      <c r="CP539" s="169"/>
      <c r="CQ539" s="169"/>
      <c r="CR539" s="169"/>
      <c r="CS539" s="169"/>
      <c r="CT539" s="220"/>
      <c r="CU539" s="169"/>
      <c r="CV539" s="169"/>
      <c r="CW539" s="169"/>
      <c r="CX539" s="169"/>
      <c r="CY539" s="220"/>
      <c r="CZ539" s="169"/>
      <c r="DA539" s="169"/>
      <c r="DB539" s="169"/>
      <c r="DC539" s="169"/>
      <c r="DD539" s="220"/>
      <c r="DE539" s="169"/>
      <c r="DF539" s="169"/>
      <c r="DG539" s="169"/>
      <c r="DH539" s="169"/>
      <c r="DI539" s="220"/>
      <c r="DJ539" s="169"/>
      <c r="DK539" s="169"/>
      <c r="DL539" s="169"/>
      <c r="DM539" s="169"/>
      <c r="DN539" s="220"/>
      <c r="DO539" s="169"/>
      <c r="DP539" s="169"/>
      <c r="DQ539" s="169"/>
      <c r="DR539" s="169"/>
      <c r="DS539" s="220"/>
      <c r="DT539" s="169"/>
      <c r="DU539" s="169"/>
      <c r="DV539" s="169"/>
      <c r="DW539" s="169"/>
      <c r="DX539" s="220"/>
      <c r="DY539" s="169"/>
      <c r="DZ539" s="169"/>
      <c r="EA539" s="169"/>
      <c r="EB539" s="169"/>
      <c r="EC539" s="220"/>
      <c r="ED539" s="169"/>
      <c r="EE539" s="169"/>
      <c r="EF539" s="169"/>
      <c r="EG539" s="169"/>
      <c r="EH539" s="220"/>
      <c r="EI539" s="169"/>
      <c r="EJ539" s="169"/>
      <c r="EK539" s="169"/>
      <c r="EL539" s="169"/>
      <c r="EM539" s="220"/>
      <c r="EN539" s="169"/>
      <c r="EO539" s="169"/>
      <c r="EP539" s="169"/>
      <c r="EQ539" s="169"/>
      <c r="ER539" s="220"/>
      <c r="ES539" s="169"/>
      <c r="ET539" s="169"/>
      <c r="EU539" s="169"/>
      <c r="EV539" s="169"/>
      <c r="EW539" s="220"/>
      <c r="EX539" s="169"/>
      <c r="EY539" s="169"/>
      <c r="EZ539" s="169"/>
      <c r="FA539" s="169"/>
      <c r="FB539" s="220"/>
      <c r="FC539" s="169"/>
      <c r="FD539" s="169"/>
      <c r="FE539" s="169"/>
      <c r="FF539" s="169"/>
      <c r="FG539" s="220"/>
      <c r="FH539" s="169"/>
      <c r="FI539" s="169"/>
      <c r="FJ539" s="169"/>
      <c r="FK539" s="169"/>
      <c r="FL539" s="220"/>
      <c r="FM539" s="169"/>
      <c r="FN539" s="169"/>
      <c r="FO539" s="169"/>
      <c r="FP539" s="169"/>
      <c r="FQ539" s="220"/>
      <c r="FR539" s="169"/>
      <c r="FS539" s="169"/>
      <c r="FT539" s="169"/>
      <c r="FU539" s="169"/>
      <c r="FV539" s="220"/>
      <c r="FW539" s="169"/>
      <c r="FX539" s="169"/>
      <c r="FY539" s="169"/>
      <c r="FZ539" s="169"/>
      <c r="GA539" s="220"/>
      <c r="GB539" s="169"/>
      <c r="GC539" s="169"/>
      <c r="GD539" s="169"/>
      <c r="GE539" s="169"/>
      <c r="GF539" s="220"/>
      <c r="GG539" s="169"/>
      <c r="GH539" s="169"/>
      <c r="GI539" s="169"/>
      <c r="GJ539" s="169"/>
    </row>
    <row r="540" spans="3:192" ht="12.75" customHeight="1">
      <c r="C540" s="220"/>
      <c r="D540" s="169"/>
      <c r="E540" s="169"/>
      <c r="F540" s="169"/>
      <c r="G540" s="169"/>
      <c r="H540" s="220"/>
      <c r="I540" s="169"/>
      <c r="J540" s="169"/>
      <c r="K540" s="169"/>
      <c r="L540" s="169"/>
      <c r="M540" s="220"/>
      <c r="N540" s="169"/>
      <c r="O540" s="169"/>
      <c r="P540" s="169"/>
      <c r="Q540" s="169"/>
      <c r="R540" s="220"/>
      <c r="S540" s="169"/>
      <c r="T540" s="169"/>
      <c r="U540" s="169"/>
      <c r="V540" s="169"/>
      <c r="W540" s="220"/>
      <c r="X540" s="169"/>
      <c r="Y540" s="169"/>
      <c r="Z540" s="169"/>
      <c r="AA540" s="169"/>
      <c r="AB540" s="220"/>
      <c r="AC540" s="169"/>
      <c r="AD540" s="169"/>
      <c r="AE540" s="169"/>
      <c r="AF540" s="169"/>
      <c r="AG540" s="220"/>
      <c r="AH540" s="169"/>
      <c r="AI540" s="169"/>
      <c r="AJ540" s="169"/>
      <c r="AK540" s="169"/>
      <c r="AL540" s="220"/>
      <c r="AM540" s="169"/>
      <c r="AN540" s="169"/>
      <c r="AO540" s="169"/>
      <c r="AP540" s="169"/>
      <c r="AQ540" s="220"/>
      <c r="AR540" s="169"/>
      <c r="AS540" s="169"/>
      <c r="AT540" s="169"/>
      <c r="AU540" s="169"/>
      <c r="AV540" s="220"/>
      <c r="AW540" s="169"/>
      <c r="AX540" s="169"/>
      <c r="AY540" s="169"/>
      <c r="AZ540" s="169"/>
      <c r="BA540" s="220"/>
      <c r="BB540" s="169"/>
      <c r="BC540" s="169"/>
      <c r="BD540" s="169"/>
      <c r="BE540" s="169"/>
      <c r="BF540" s="220"/>
      <c r="BG540" s="169"/>
      <c r="BH540" s="169"/>
      <c r="BI540" s="169"/>
      <c r="BJ540" s="169"/>
      <c r="BK540" s="220"/>
      <c r="BL540" s="169"/>
      <c r="BM540" s="169"/>
      <c r="BN540" s="169"/>
      <c r="BO540" s="169"/>
      <c r="BP540" s="220"/>
      <c r="BQ540" s="169"/>
      <c r="BR540" s="169"/>
      <c r="BS540" s="169"/>
      <c r="BT540" s="169"/>
      <c r="BU540" s="220"/>
      <c r="BV540" s="169"/>
      <c r="BW540" s="169"/>
      <c r="BX540" s="169"/>
      <c r="BY540" s="169"/>
      <c r="BZ540" s="220"/>
      <c r="CA540" s="169"/>
      <c r="CB540" s="169"/>
      <c r="CC540" s="169"/>
      <c r="CD540" s="169"/>
      <c r="CE540" s="220"/>
      <c r="CF540" s="169"/>
      <c r="CG540" s="169"/>
      <c r="CH540" s="169"/>
      <c r="CI540" s="169"/>
      <c r="CJ540" s="220"/>
      <c r="CK540" s="169"/>
      <c r="CL540" s="169"/>
      <c r="CM540" s="169"/>
      <c r="CN540" s="169"/>
      <c r="CO540" s="220"/>
      <c r="CP540" s="169"/>
      <c r="CQ540" s="169"/>
      <c r="CR540" s="169"/>
      <c r="CS540" s="169"/>
      <c r="CT540" s="220"/>
      <c r="CU540" s="169"/>
      <c r="CV540" s="169"/>
      <c r="CW540" s="169"/>
      <c r="CX540" s="169"/>
      <c r="CY540" s="220"/>
      <c r="CZ540" s="169"/>
      <c r="DA540" s="169"/>
      <c r="DB540" s="169"/>
      <c r="DC540" s="169"/>
      <c r="DD540" s="220"/>
      <c r="DE540" s="169"/>
      <c r="DF540" s="169"/>
      <c r="DG540" s="169"/>
      <c r="DH540" s="169"/>
      <c r="DI540" s="220"/>
      <c r="DJ540" s="169"/>
      <c r="DK540" s="169"/>
      <c r="DL540" s="169"/>
      <c r="DM540" s="169"/>
      <c r="DN540" s="220"/>
      <c r="DO540" s="169"/>
      <c r="DP540" s="169"/>
      <c r="DQ540" s="169"/>
      <c r="DR540" s="169"/>
      <c r="DS540" s="220"/>
      <c r="DT540" s="169"/>
      <c r="DU540" s="169"/>
      <c r="DV540" s="169"/>
      <c r="DW540" s="169"/>
      <c r="DX540" s="220"/>
      <c r="DY540" s="169"/>
      <c r="DZ540" s="169"/>
      <c r="EA540" s="169"/>
      <c r="EB540" s="169"/>
      <c r="EC540" s="220"/>
      <c r="ED540" s="169"/>
      <c r="EE540" s="169"/>
      <c r="EF540" s="169"/>
      <c r="EG540" s="169"/>
      <c r="EH540" s="220"/>
      <c r="EI540" s="169"/>
      <c r="EJ540" s="169"/>
      <c r="EK540" s="169"/>
      <c r="EL540" s="169"/>
      <c r="EM540" s="220"/>
      <c r="EN540" s="169"/>
      <c r="EO540" s="169"/>
      <c r="EP540" s="169"/>
      <c r="EQ540" s="169"/>
      <c r="ER540" s="220"/>
      <c r="ES540" s="169"/>
      <c r="ET540" s="169"/>
      <c r="EU540" s="169"/>
      <c r="EV540" s="169"/>
      <c r="EW540" s="220"/>
      <c r="EX540" s="169"/>
      <c r="EY540" s="169"/>
      <c r="EZ540" s="169"/>
      <c r="FA540" s="169"/>
      <c r="FB540" s="220"/>
      <c r="FC540" s="169"/>
      <c r="FD540" s="169"/>
      <c r="FE540" s="169"/>
      <c r="FF540" s="169"/>
      <c r="FG540" s="220"/>
      <c r="FH540" s="169"/>
      <c r="FI540" s="169"/>
      <c r="FJ540" s="169"/>
      <c r="FK540" s="169"/>
      <c r="FL540" s="220"/>
      <c r="FM540" s="169"/>
      <c r="FN540" s="169"/>
      <c r="FO540" s="169"/>
      <c r="FP540" s="169"/>
      <c r="FQ540" s="220"/>
      <c r="FR540" s="169"/>
      <c r="FS540" s="169"/>
      <c r="FT540" s="169"/>
      <c r="FU540" s="169"/>
      <c r="FV540" s="220"/>
      <c r="FW540" s="169"/>
      <c r="FX540" s="169"/>
      <c r="FY540" s="169"/>
      <c r="FZ540" s="169"/>
      <c r="GA540" s="220"/>
      <c r="GB540" s="169"/>
      <c r="GC540" s="169"/>
      <c r="GD540" s="169"/>
      <c r="GE540" s="169"/>
      <c r="GF540" s="220"/>
      <c r="GG540" s="169"/>
      <c r="GH540" s="169"/>
      <c r="GI540" s="169"/>
      <c r="GJ540" s="169"/>
    </row>
    <row r="541" spans="3:192" ht="12.75" customHeight="1">
      <c r="C541" s="220"/>
      <c r="D541" s="169"/>
      <c r="E541" s="169"/>
      <c r="F541" s="169"/>
      <c r="G541" s="169"/>
      <c r="H541" s="220"/>
      <c r="I541" s="169"/>
      <c r="J541" s="169"/>
      <c r="K541" s="169"/>
      <c r="L541" s="169"/>
      <c r="M541" s="220"/>
      <c r="N541" s="169"/>
      <c r="O541" s="169"/>
      <c r="P541" s="169"/>
      <c r="Q541" s="169"/>
      <c r="R541" s="220"/>
      <c r="S541" s="169"/>
      <c r="T541" s="169"/>
      <c r="U541" s="169"/>
      <c r="V541" s="169"/>
      <c r="W541" s="220"/>
      <c r="X541" s="169"/>
      <c r="Y541" s="169"/>
      <c r="Z541" s="169"/>
      <c r="AA541" s="169"/>
      <c r="AB541" s="220"/>
      <c r="AC541" s="169"/>
      <c r="AD541" s="169"/>
      <c r="AE541" s="169"/>
      <c r="AF541" s="169"/>
      <c r="AG541" s="220"/>
      <c r="AH541" s="169"/>
      <c r="AI541" s="169"/>
      <c r="AJ541" s="169"/>
      <c r="AK541" s="169"/>
      <c r="AL541" s="220"/>
      <c r="AM541" s="169"/>
      <c r="AN541" s="169"/>
      <c r="AO541" s="169"/>
      <c r="AP541" s="169"/>
      <c r="AQ541" s="220"/>
      <c r="AR541" s="169"/>
      <c r="AS541" s="169"/>
      <c r="AT541" s="169"/>
      <c r="AU541" s="169"/>
      <c r="AV541" s="220"/>
      <c r="AW541" s="169"/>
      <c r="AX541" s="169"/>
      <c r="AY541" s="169"/>
      <c r="AZ541" s="169"/>
      <c r="BA541" s="220"/>
      <c r="BB541" s="169"/>
      <c r="BC541" s="169"/>
      <c r="BD541" s="169"/>
      <c r="BE541" s="169"/>
      <c r="BF541" s="220"/>
      <c r="BG541" s="169"/>
      <c r="BH541" s="169"/>
      <c r="BI541" s="169"/>
      <c r="BJ541" s="169"/>
      <c r="BK541" s="220"/>
      <c r="BL541" s="169"/>
      <c r="BM541" s="169"/>
      <c r="BN541" s="169"/>
      <c r="BO541" s="169"/>
      <c r="BP541" s="220"/>
      <c r="BQ541" s="169"/>
      <c r="BR541" s="169"/>
      <c r="BS541" s="169"/>
      <c r="BT541" s="169"/>
      <c r="BU541" s="220"/>
      <c r="BV541" s="169"/>
      <c r="BW541" s="169"/>
      <c r="BX541" s="169"/>
      <c r="BY541" s="169"/>
      <c r="BZ541" s="220"/>
      <c r="CA541" s="169"/>
      <c r="CB541" s="169"/>
      <c r="CC541" s="169"/>
      <c r="CD541" s="169"/>
      <c r="CE541" s="220"/>
      <c r="CF541" s="169"/>
      <c r="CG541" s="169"/>
      <c r="CH541" s="169"/>
      <c r="CI541" s="169"/>
      <c r="CJ541" s="220"/>
      <c r="CK541" s="169"/>
      <c r="CL541" s="169"/>
      <c r="CM541" s="169"/>
      <c r="CN541" s="169"/>
      <c r="CO541" s="220"/>
      <c r="CP541" s="169"/>
      <c r="CQ541" s="169"/>
      <c r="CR541" s="169"/>
      <c r="CS541" s="169"/>
      <c r="CT541" s="220"/>
      <c r="CU541" s="169"/>
      <c r="CV541" s="169"/>
      <c r="CW541" s="169"/>
      <c r="CX541" s="169"/>
      <c r="CY541" s="220"/>
      <c r="CZ541" s="169"/>
      <c r="DA541" s="169"/>
      <c r="DB541" s="169"/>
      <c r="DC541" s="169"/>
      <c r="DD541" s="220"/>
      <c r="DE541" s="169"/>
      <c r="DF541" s="169"/>
      <c r="DG541" s="169"/>
      <c r="DH541" s="169"/>
      <c r="DI541" s="220"/>
      <c r="DJ541" s="169"/>
      <c r="DK541" s="169"/>
      <c r="DL541" s="169"/>
      <c r="DM541" s="169"/>
      <c r="DN541" s="220"/>
      <c r="DO541" s="169"/>
      <c r="DP541" s="169"/>
      <c r="DQ541" s="169"/>
      <c r="DR541" s="169"/>
      <c r="DS541" s="220"/>
      <c r="DT541" s="169"/>
      <c r="DU541" s="169"/>
      <c r="DV541" s="169"/>
      <c r="DW541" s="169"/>
      <c r="DX541" s="220"/>
      <c r="DY541" s="169"/>
      <c r="DZ541" s="169"/>
      <c r="EA541" s="169"/>
      <c r="EB541" s="169"/>
      <c r="EC541" s="220"/>
      <c r="ED541" s="169"/>
      <c r="EE541" s="169"/>
      <c r="EF541" s="169"/>
      <c r="EG541" s="169"/>
      <c r="EH541" s="220"/>
      <c r="EI541" s="169"/>
      <c r="EJ541" s="169"/>
      <c r="EK541" s="169"/>
      <c r="EL541" s="169"/>
      <c r="EM541" s="220"/>
      <c r="EN541" s="169"/>
      <c r="EO541" s="169"/>
      <c r="EP541" s="169"/>
      <c r="EQ541" s="169"/>
      <c r="ER541" s="220"/>
      <c r="ES541" s="169"/>
      <c r="ET541" s="169"/>
      <c r="EU541" s="169"/>
      <c r="EV541" s="169"/>
      <c r="EW541" s="220"/>
      <c r="EX541" s="169"/>
      <c r="EY541" s="169"/>
      <c r="EZ541" s="169"/>
      <c r="FA541" s="169"/>
      <c r="FB541" s="220"/>
      <c r="FC541" s="169"/>
      <c r="FD541" s="169"/>
      <c r="FE541" s="169"/>
      <c r="FF541" s="169"/>
      <c r="FG541" s="220"/>
      <c r="FH541" s="169"/>
      <c r="FI541" s="169"/>
      <c r="FJ541" s="169"/>
      <c r="FK541" s="169"/>
      <c r="FL541" s="220"/>
      <c r="FM541" s="169"/>
      <c r="FN541" s="169"/>
      <c r="FO541" s="169"/>
      <c r="FP541" s="169"/>
      <c r="FQ541" s="220"/>
      <c r="FR541" s="169"/>
      <c r="FS541" s="169"/>
      <c r="FT541" s="169"/>
      <c r="FU541" s="169"/>
      <c r="FV541" s="220"/>
      <c r="FW541" s="169"/>
      <c r="FX541" s="169"/>
      <c r="FY541" s="169"/>
      <c r="FZ541" s="169"/>
      <c r="GA541" s="220"/>
      <c r="GB541" s="169"/>
      <c r="GC541" s="169"/>
      <c r="GD541" s="169"/>
      <c r="GE541" s="169"/>
      <c r="GF541" s="220"/>
      <c r="GG541" s="169"/>
      <c r="GH541" s="169"/>
      <c r="GI541" s="169"/>
      <c r="GJ541" s="169"/>
    </row>
    <row r="542" spans="3:192" ht="12.75" customHeight="1">
      <c r="C542" s="220"/>
      <c r="D542" s="169"/>
      <c r="E542" s="169"/>
      <c r="F542" s="169"/>
      <c r="G542" s="169"/>
      <c r="H542" s="220"/>
      <c r="I542" s="169"/>
      <c r="J542" s="169"/>
      <c r="K542" s="169"/>
      <c r="L542" s="169"/>
      <c r="M542" s="220"/>
      <c r="N542" s="169"/>
      <c r="O542" s="169"/>
      <c r="P542" s="169"/>
      <c r="Q542" s="169"/>
      <c r="R542" s="220"/>
      <c r="S542" s="169"/>
      <c r="T542" s="169"/>
      <c r="U542" s="169"/>
      <c r="V542" s="169"/>
      <c r="W542" s="220"/>
      <c r="X542" s="169"/>
      <c r="Y542" s="169"/>
      <c r="Z542" s="169"/>
      <c r="AA542" s="169"/>
      <c r="AB542" s="220"/>
      <c r="AC542" s="169"/>
      <c r="AD542" s="169"/>
      <c r="AE542" s="169"/>
      <c r="AF542" s="169"/>
      <c r="AG542" s="220"/>
      <c r="AH542" s="169"/>
      <c r="AI542" s="169"/>
      <c r="AJ542" s="169"/>
      <c r="AK542" s="169"/>
      <c r="AL542" s="220"/>
      <c r="AM542" s="169"/>
      <c r="AN542" s="169"/>
      <c r="AO542" s="169"/>
      <c r="AP542" s="169"/>
      <c r="AQ542" s="220"/>
      <c r="AR542" s="169"/>
      <c r="AS542" s="169"/>
      <c r="AT542" s="169"/>
      <c r="AU542" s="169"/>
      <c r="AV542" s="220"/>
      <c r="AW542" s="169"/>
      <c r="AX542" s="169"/>
      <c r="AY542" s="169"/>
      <c r="AZ542" s="169"/>
      <c r="BA542" s="220"/>
      <c r="BB542" s="169"/>
      <c r="BC542" s="169"/>
      <c r="BD542" s="169"/>
      <c r="BE542" s="169"/>
      <c r="BF542" s="220"/>
      <c r="BG542" s="169"/>
      <c r="BH542" s="169"/>
      <c r="BI542" s="169"/>
      <c r="BJ542" s="169"/>
      <c r="BK542" s="220"/>
      <c r="BL542" s="169"/>
      <c r="BM542" s="169"/>
      <c r="BN542" s="169"/>
      <c r="BO542" s="169"/>
      <c r="BP542" s="220"/>
      <c r="BQ542" s="169"/>
      <c r="BR542" s="169"/>
      <c r="BS542" s="169"/>
      <c r="BT542" s="169"/>
      <c r="BU542" s="220"/>
      <c r="BV542" s="169"/>
      <c r="BW542" s="169"/>
      <c r="BX542" s="169"/>
      <c r="BY542" s="169"/>
      <c r="BZ542" s="220"/>
      <c r="CA542" s="169"/>
      <c r="CB542" s="169"/>
      <c r="CC542" s="169"/>
      <c r="CD542" s="169"/>
      <c r="CE542" s="220"/>
      <c r="CF542" s="169"/>
      <c r="CG542" s="169"/>
      <c r="CH542" s="169"/>
      <c r="CI542" s="169"/>
      <c r="CJ542" s="220"/>
      <c r="CK542" s="169"/>
      <c r="CL542" s="169"/>
      <c r="CM542" s="169"/>
      <c r="CN542" s="169"/>
      <c r="CO542" s="220"/>
      <c r="CP542" s="169"/>
      <c r="CQ542" s="169"/>
      <c r="CR542" s="169"/>
      <c r="CS542" s="169"/>
      <c r="CT542" s="220"/>
      <c r="CU542" s="169"/>
      <c r="CV542" s="169"/>
      <c r="CW542" s="169"/>
      <c r="CX542" s="169"/>
      <c r="CY542" s="220"/>
      <c r="CZ542" s="169"/>
      <c r="DA542" s="169"/>
      <c r="DB542" s="169"/>
      <c r="DC542" s="169"/>
      <c r="DD542" s="220"/>
      <c r="DE542" s="169"/>
      <c r="DF542" s="169"/>
      <c r="DG542" s="169"/>
      <c r="DH542" s="169"/>
      <c r="DI542" s="220"/>
      <c r="DJ542" s="169"/>
      <c r="DK542" s="169"/>
      <c r="DL542" s="169"/>
      <c r="DM542" s="169"/>
      <c r="DN542" s="220"/>
      <c r="DO542" s="169"/>
      <c r="DP542" s="169"/>
      <c r="DQ542" s="169"/>
      <c r="DR542" s="169"/>
      <c r="DS542" s="220"/>
      <c r="DT542" s="169"/>
      <c r="DU542" s="169"/>
      <c r="DV542" s="169"/>
      <c r="DW542" s="169"/>
      <c r="DX542" s="220"/>
      <c r="DY542" s="169"/>
      <c r="DZ542" s="169"/>
      <c r="EA542" s="169"/>
      <c r="EB542" s="169"/>
      <c r="EC542" s="220"/>
      <c r="ED542" s="169"/>
      <c r="EE542" s="169"/>
      <c r="EF542" s="169"/>
      <c r="EG542" s="169"/>
      <c r="EH542" s="220"/>
      <c r="EI542" s="169"/>
      <c r="EJ542" s="169"/>
      <c r="EK542" s="169"/>
      <c r="EL542" s="169"/>
      <c r="EM542" s="220"/>
      <c r="EN542" s="169"/>
      <c r="EO542" s="169"/>
      <c r="EP542" s="169"/>
      <c r="EQ542" s="169"/>
      <c r="ER542" s="220"/>
      <c r="ES542" s="169"/>
      <c r="ET542" s="169"/>
      <c r="EU542" s="169"/>
      <c r="EV542" s="169"/>
      <c r="EW542" s="220"/>
      <c r="EX542" s="169"/>
      <c r="EY542" s="169"/>
      <c r="EZ542" s="169"/>
      <c r="FA542" s="169"/>
      <c r="FB542" s="220"/>
      <c r="FC542" s="169"/>
      <c r="FD542" s="169"/>
      <c r="FE542" s="169"/>
      <c r="FF542" s="169"/>
      <c r="FG542" s="220"/>
      <c r="FH542" s="169"/>
      <c r="FI542" s="169"/>
      <c r="FJ542" s="169"/>
      <c r="FK542" s="169"/>
      <c r="FL542" s="220"/>
      <c r="FM542" s="169"/>
      <c r="FN542" s="169"/>
      <c r="FO542" s="169"/>
      <c r="FP542" s="169"/>
      <c r="FQ542" s="220"/>
      <c r="FR542" s="169"/>
      <c r="FS542" s="169"/>
      <c r="FT542" s="169"/>
      <c r="FU542" s="169"/>
      <c r="FV542" s="220"/>
      <c r="FW542" s="169"/>
      <c r="FX542" s="169"/>
      <c r="FY542" s="169"/>
      <c r="FZ542" s="169"/>
      <c r="GA542" s="220"/>
      <c r="GB542" s="169"/>
      <c r="GC542" s="169"/>
      <c r="GD542" s="169"/>
      <c r="GE542" s="169"/>
      <c r="GF542" s="220"/>
      <c r="GG542" s="169"/>
      <c r="GH542" s="169"/>
      <c r="GI542" s="169"/>
      <c r="GJ542" s="169"/>
    </row>
    <row r="543" spans="3:192" ht="12.75" customHeight="1">
      <c r="C543" s="220"/>
      <c r="D543" s="169"/>
      <c r="E543" s="169"/>
      <c r="F543" s="169"/>
      <c r="G543" s="169"/>
      <c r="H543" s="220"/>
      <c r="I543" s="169"/>
      <c r="J543" s="169"/>
      <c r="K543" s="169"/>
      <c r="L543" s="169"/>
      <c r="M543" s="220"/>
      <c r="N543" s="169"/>
      <c r="O543" s="169"/>
      <c r="P543" s="169"/>
      <c r="Q543" s="169"/>
      <c r="R543" s="220"/>
      <c r="S543" s="169"/>
      <c r="T543" s="169"/>
      <c r="U543" s="169"/>
      <c r="V543" s="169"/>
      <c r="W543" s="220"/>
      <c r="X543" s="169"/>
      <c r="Y543" s="169"/>
      <c r="Z543" s="169"/>
      <c r="AA543" s="169"/>
      <c r="AB543" s="220"/>
      <c r="AC543" s="169"/>
      <c r="AD543" s="169"/>
      <c r="AE543" s="169"/>
      <c r="AF543" s="169"/>
      <c r="AG543" s="220"/>
      <c r="AH543" s="169"/>
      <c r="AI543" s="169"/>
      <c r="AJ543" s="169"/>
      <c r="AK543" s="169"/>
      <c r="AL543" s="220"/>
      <c r="AM543" s="169"/>
      <c r="AN543" s="169"/>
      <c r="AO543" s="169"/>
      <c r="AP543" s="169"/>
      <c r="AQ543" s="220"/>
      <c r="AR543" s="169"/>
      <c r="AS543" s="169"/>
      <c r="AT543" s="169"/>
      <c r="AU543" s="169"/>
      <c r="AV543" s="220"/>
      <c r="AW543" s="169"/>
      <c r="AX543" s="169"/>
      <c r="AY543" s="169"/>
      <c r="AZ543" s="169"/>
      <c r="BA543" s="220"/>
      <c r="BB543" s="169"/>
      <c r="BC543" s="169"/>
      <c r="BD543" s="169"/>
      <c r="BE543" s="169"/>
      <c r="BF543" s="220"/>
      <c r="BG543" s="169"/>
      <c r="BH543" s="169"/>
      <c r="BI543" s="169"/>
      <c r="BJ543" s="169"/>
      <c r="BK543" s="220"/>
      <c r="BL543" s="169"/>
      <c r="BM543" s="169"/>
      <c r="BN543" s="169"/>
      <c r="BO543" s="169"/>
      <c r="BP543" s="220"/>
      <c r="BQ543" s="169"/>
      <c r="BR543" s="169"/>
      <c r="BS543" s="169"/>
      <c r="BT543" s="169"/>
      <c r="BU543" s="220"/>
      <c r="BV543" s="169"/>
      <c r="BW543" s="169"/>
      <c r="BX543" s="169"/>
      <c r="BY543" s="169"/>
      <c r="BZ543" s="220"/>
      <c r="CA543" s="169"/>
      <c r="CB543" s="169"/>
      <c r="CC543" s="169"/>
      <c r="CD543" s="169"/>
      <c r="CE543" s="220"/>
      <c r="CF543" s="169"/>
      <c r="CG543" s="169"/>
      <c r="CH543" s="169"/>
      <c r="CI543" s="169"/>
      <c r="CJ543" s="220"/>
      <c r="CK543" s="169"/>
      <c r="CL543" s="169"/>
      <c r="CM543" s="169"/>
      <c r="CN543" s="169"/>
      <c r="CO543" s="220"/>
      <c r="CP543" s="169"/>
      <c r="CQ543" s="169"/>
      <c r="CR543" s="169"/>
      <c r="CS543" s="169"/>
      <c r="CT543" s="220"/>
      <c r="CU543" s="169"/>
      <c r="CV543" s="169"/>
      <c r="CW543" s="169"/>
      <c r="CX543" s="169"/>
      <c r="CY543" s="220"/>
      <c r="CZ543" s="169"/>
      <c r="DA543" s="169"/>
      <c r="DB543" s="169"/>
      <c r="DC543" s="169"/>
      <c r="DD543" s="220"/>
      <c r="DE543" s="169"/>
      <c r="DF543" s="169"/>
      <c r="DG543" s="169"/>
      <c r="DH543" s="169"/>
      <c r="DI543" s="220"/>
      <c r="DJ543" s="169"/>
      <c r="DK543" s="169"/>
      <c r="DL543" s="169"/>
      <c r="DM543" s="169"/>
      <c r="DN543" s="220"/>
      <c r="DO543" s="169"/>
      <c r="DP543" s="169"/>
      <c r="DQ543" s="169"/>
      <c r="DR543" s="169"/>
      <c r="DS543" s="220"/>
      <c r="DT543" s="169"/>
      <c r="DU543" s="169"/>
      <c r="DV543" s="169"/>
      <c r="DW543" s="169"/>
      <c r="DX543" s="220"/>
      <c r="DY543" s="169"/>
      <c r="DZ543" s="169"/>
      <c r="EA543" s="169"/>
      <c r="EB543" s="169"/>
      <c r="EC543" s="220"/>
      <c r="ED543" s="169"/>
      <c r="EE543" s="169"/>
      <c r="EF543" s="169"/>
      <c r="EG543" s="169"/>
      <c r="EH543" s="220"/>
      <c r="EI543" s="169"/>
      <c r="EJ543" s="169"/>
      <c r="EK543" s="169"/>
      <c r="EL543" s="169"/>
      <c r="EM543" s="220"/>
      <c r="EN543" s="169"/>
      <c r="EO543" s="169"/>
      <c r="EP543" s="169"/>
      <c r="EQ543" s="169"/>
      <c r="ER543" s="220"/>
      <c r="ES543" s="169"/>
      <c r="ET543" s="169"/>
      <c r="EU543" s="169"/>
      <c r="EV543" s="169"/>
      <c r="EW543" s="220"/>
      <c r="EX543" s="169"/>
      <c r="EY543" s="169"/>
      <c r="EZ543" s="169"/>
      <c r="FA543" s="169"/>
      <c r="FB543" s="220"/>
      <c r="FC543" s="169"/>
      <c r="FD543" s="169"/>
      <c r="FE543" s="169"/>
      <c r="FF543" s="169"/>
      <c r="FG543" s="220"/>
      <c r="FH543" s="169"/>
      <c r="FI543" s="169"/>
      <c r="FJ543" s="169"/>
      <c r="FK543" s="169"/>
      <c r="FL543" s="220"/>
      <c r="FM543" s="169"/>
      <c r="FN543" s="169"/>
      <c r="FO543" s="169"/>
      <c r="FP543" s="169"/>
      <c r="FQ543" s="220"/>
      <c r="FR543" s="169"/>
      <c r="FS543" s="169"/>
      <c r="FT543" s="169"/>
      <c r="FU543" s="169"/>
      <c r="FV543" s="220"/>
      <c r="FW543" s="169"/>
      <c r="FX543" s="169"/>
      <c r="FY543" s="169"/>
      <c r="FZ543" s="169"/>
      <c r="GA543" s="220"/>
      <c r="GB543" s="169"/>
      <c r="GC543" s="169"/>
      <c r="GD543" s="169"/>
      <c r="GE543" s="169"/>
      <c r="GF543" s="220"/>
      <c r="GG543" s="169"/>
      <c r="GH543" s="169"/>
      <c r="GI543" s="169"/>
      <c r="GJ543" s="169"/>
    </row>
    <row r="544" spans="3:192" ht="12.75" customHeight="1">
      <c r="C544" s="220"/>
      <c r="D544" s="169"/>
      <c r="E544" s="169"/>
      <c r="F544" s="169"/>
      <c r="G544" s="169"/>
      <c r="H544" s="220"/>
      <c r="I544" s="169"/>
      <c r="J544" s="169"/>
      <c r="K544" s="169"/>
      <c r="L544" s="169"/>
      <c r="M544" s="220"/>
      <c r="N544" s="169"/>
      <c r="O544" s="169"/>
      <c r="P544" s="169"/>
      <c r="Q544" s="169"/>
      <c r="R544" s="220"/>
      <c r="S544" s="169"/>
      <c r="T544" s="169"/>
      <c r="U544" s="169"/>
      <c r="V544" s="169"/>
      <c r="W544" s="220"/>
      <c r="X544" s="169"/>
      <c r="Y544" s="169"/>
      <c r="Z544" s="169"/>
      <c r="AA544" s="169"/>
      <c r="AB544" s="220"/>
      <c r="AC544" s="169"/>
      <c r="AD544" s="169"/>
      <c r="AE544" s="169"/>
      <c r="AF544" s="169"/>
      <c r="AG544" s="220"/>
      <c r="AH544" s="169"/>
      <c r="AI544" s="169"/>
      <c r="AJ544" s="169"/>
      <c r="AK544" s="169"/>
      <c r="AL544" s="220"/>
      <c r="AM544" s="169"/>
      <c r="AN544" s="169"/>
      <c r="AO544" s="169"/>
      <c r="AP544" s="169"/>
      <c r="AQ544" s="220"/>
      <c r="AR544" s="169"/>
      <c r="AS544" s="169"/>
      <c r="AT544" s="169"/>
      <c r="AU544" s="169"/>
      <c r="AV544" s="220"/>
      <c r="AW544" s="169"/>
      <c r="AX544" s="169"/>
      <c r="AY544" s="169"/>
      <c r="AZ544" s="169"/>
      <c r="BA544" s="220"/>
      <c r="BB544" s="169"/>
      <c r="BC544" s="169"/>
      <c r="BD544" s="169"/>
      <c r="BE544" s="169"/>
      <c r="BF544" s="220"/>
      <c r="BG544" s="169"/>
      <c r="BH544" s="169"/>
      <c r="BI544" s="169"/>
      <c r="BJ544" s="169"/>
      <c r="BK544" s="220"/>
      <c r="BL544" s="169"/>
      <c r="BM544" s="169"/>
      <c r="BN544" s="169"/>
      <c r="BO544" s="169"/>
      <c r="BP544" s="220"/>
      <c r="BQ544" s="169"/>
      <c r="BR544" s="169"/>
      <c r="BS544" s="169"/>
      <c r="BT544" s="169"/>
      <c r="BU544" s="220"/>
      <c r="BV544" s="169"/>
      <c r="BW544" s="169"/>
      <c r="BX544" s="169"/>
      <c r="BY544" s="169"/>
      <c r="BZ544" s="220"/>
      <c r="CA544" s="169"/>
      <c r="CB544" s="169"/>
      <c r="CC544" s="169"/>
      <c r="CD544" s="169"/>
      <c r="CE544" s="220"/>
      <c r="CF544" s="169"/>
      <c r="CG544" s="169"/>
      <c r="CH544" s="169"/>
      <c r="CI544" s="169"/>
      <c r="CJ544" s="220"/>
      <c r="CK544" s="169"/>
      <c r="CL544" s="169"/>
      <c r="CM544" s="169"/>
      <c r="CN544" s="169"/>
      <c r="CO544" s="220"/>
      <c r="CP544" s="169"/>
      <c r="CQ544" s="169"/>
      <c r="CR544" s="169"/>
      <c r="CS544" s="169"/>
      <c r="CT544" s="220"/>
      <c r="CU544" s="169"/>
      <c r="CV544" s="169"/>
      <c r="CW544" s="169"/>
      <c r="CX544" s="169"/>
      <c r="CY544" s="220"/>
      <c r="CZ544" s="169"/>
      <c r="DA544" s="169"/>
      <c r="DB544" s="169"/>
      <c r="DC544" s="169"/>
      <c r="DD544" s="220"/>
      <c r="DE544" s="169"/>
      <c r="DF544" s="169"/>
      <c r="DG544" s="169"/>
      <c r="DH544" s="169"/>
      <c r="DI544" s="220"/>
      <c r="DJ544" s="169"/>
      <c r="DK544" s="169"/>
      <c r="DL544" s="169"/>
      <c r="DM544" s="169"/>
      <c r="DN544" s="220"/>
      <c r="DO544" s="169"/>
      <c r="DP544" s="169"/>
      <c r="DQ544" s="169"/>
      <c r="DR544" s="169"/>
      <c r="DS544" s="220"/>
      <c r="DT544" s="169"/>
      <c r="DU544" s="169"/>
      <c r="DV544" s="169"/>
      <c r="DW544" s="169"/>
      <c r="DX544" s="220"/>
      <c r="DY544" s="169"/>
      <c r="DZ544" s="169"/>
      <c r="EA544" s="169"/>
      <c r="EB544" s="169"/>
      <c r="EC544" s="220"/>
      <c r="ED544" s="169"/>
      <c r="EE544" s="169"/>
      <c r="EF544" s="169"/>
      <c r="EG544" s="169"/>
      <c r="EH544" s="220"/>
      <c r="EI544" s="169"/>
      <c r="EJ544" s="169"/>
      <c r="EK544" s="169"/>
      <c r="EL544" s="169"/>
      <c r="EM544" s="220"/>
      <c r="EN544" s="169"/>
      <c r="EO544" s="169"/>
      <c r="EP544" s="169"/>
      <c r="EQ544" s="169"/>
      <c r="ER544" s="220"/>
      <c r="ES544" s="169"/>
      <c r="ET544" s="169"/>
      <c r="EU544" s="169"/>
      <c r="EV544" s="169"/>
      <c r="EW544" s="220"/>
      <c r="EX544" s="169"/>
      <c r="EY544" s="169"/>
      <c r="EZ544" s="169"/>
      <c r="FA544" s="169"/>
      <c r="FB544" s="220"/>
      <c r="FC544" s="169"/>
      <c r="FD544" s="169"/>
      <c r="FE544" s="169"/>
      <c r="FF544" s="169"/>
      <c r="FG544" s="220"/>
      <c r="FH544" s="169"/>
      <c r="FI544" s="169"/>
      <c r="FJ544" s="169"/>
      <c r="FK544" s="169"/>
      <c r="FL544" s="220"/>
      <c r="FM544" s="169"/>
      <c r="FN544" s="169"/>
      <c r="FO544" s="169"/>
      <c r="FP544" s="169"/>
      <c r="FQ544" s="220"/>
      <c r="FR544" s="169"/>
      <c r="FS544" s="169"/>
      <c r="FT544" s="169"/>
      <c r="FU544" s="169"/>
      <c r="FV544" s="220"/>
      <c r="FW544" s="169"/>
      <c r="FX544" s="169"/>
      <c r="FY544" s="169"/>
      <c r="FZ544" s="169"/>
      <c r="GA544" s="220"/>
      <c r="GB544" s="169"/>
      <c r="GC544" s="169"/>
      <c r="GD544" s="169"/>
      <c r="GE544" s="169"/>
      <c r="GF544" s="220"/>
      <c r="GG544" s="169"/>
      <c r="GH544" s="169"/>
      <c r="GI544" s="169"/>
      <c r="GJ544" s="169"/>
    </row>
    <row r="545" spans="3:192" ht="12.75" customHeight="1">
      <c r="C545" s="233"/>
      <c r="D545" s="233"/>
      <c r="E545" s="233"/>
      <c r="F545" s="233"/>
      <c r="G545" s="233"/>
      <c r="H545" s="233"/>
      <c r="I545" s="233"/>
      <c r="J545" s="233"/>
      <c r="K545" s="233"/>
      <c r="L545" s="233"/>
      <c r="M545" s="233"/>
      <c r="N545" s="233"/>
      <c r="O545" s="233"/>
      <c r="P545" s="233"/>
      <c r="Q545" s="233"/>
      <c r="R545" s="233"/>
      <c r="S545" s="233"/>
      <c r="T545" s="233"/>
      <c r="U545" s="233"/>
      <c r="V545" s="233"/>
      <c r="W545" s="233"/>
      <c r="X545" s="233"/>
      <c r="Y545" s="233"/>
      <c r="Z545" s="233"/>
      <c r="AA545" s="233"/>
      <c r="AB545" s="233"/>
      <c r="AC545" s="233"/>
      <c r="AD545" s="233"/>
      <c r="AE545" s="233"/>
      <c r="AF545" s="233"/>
      <c r="AG545" s="233"/>
      <c r="AH545" s="233"/>
      <c r="AI545" s="233"/>
      <c r="AJ545" s="233"/>
      <c r="AK545" s="233"/>
      <c r="AL545" s="233"/>
      <c r="AM545" s="233"/>
      <c r="AN545" s="233"/>
      <c r="AO545" s="233"/>
      <c r="AP545" s="233"/>
      <c r="AQ545" s="233"/>
      <c r="AR545" s="233"/>
      <c r="AS545" s="233"/>
      <c r="AT545" s="233"/>
      <c r="AU545" s="233"/>
      <c r="AV545" s="233"/>
      <c r="AW545" s="233"/>
      <c r="AX545" s="233"/>
      <c r="AY545" s="233"/>
      <c r="AZ545" s="233"/>
      <c r="BA545" s="233"/>
      <c r="BB545" s="233"/>
      <c r="BC545" s="233"/>
      <c r="BD545" s="233"/>
      <c r="BE545" s="233"/>
      <c r="BF545" s="233"/>
      <c r="BG545" s="233"/>
      <c r="BH545" s="233"/>
      <c r="BI545" s="233"/>
      <c r="BJ545" s="233"/>
      <c r="BK545" s="233"/>
      <c r="BL545" s="233"/>
      <c r="BM545" s="233"/>
      <c r="BN545" s="233"/>
      <c r="BO545" s="233"/>
      <c r="BP545" s="233"/>
      <c r="BQ545" s="233"/>
      <c r="BR545" s="233"/>
      <c r="BS545" s="233"/>
      <c r="BT545" s="233"/>
      <c r="BU545" s="233"/>
      <c r="BV545" s="233"/>
      <c r="BW545" s="233"/>
      <c r="BX545" s="233"/>
      <c r="BY545" s="233"/>
      <c r="BZ545" s="233"/>
      <c r="CA545" s="233"/>
      <c r="CB545" s="233"/>
      <c r="CC545" s="233"/>
      <c r="CD545" s="233"/>
      <c r="CE545" s="233"/>
      <c r="CF545" s="233"/>
      <c r="CG545" s="233"/>
      <c r="CH545" s="233"/>
      <c r="CI545" s="233"/>
      <c r="CJ545" s="233"/>
      <c r="CK545" s="233"/>
      <c r="CL545" s="233"/>
      <c r="CM545" s="233"/>
      <c r="CN545" s="233"/>
      <c r="CO545" s="233"/>
      <c r="CP545" s="233"/>
      <c r="CQ545" s="233"/>
      <c r="CR545" s="233"/>
      <c r="CS545" s="233"/>
      <c r="CT545" s="233"/>
      <c r="CU545" s="233"/>
      <c r="CV545" s="233"/>
      <c r="CW545" s="233"/>
      <c r="CX545" s="233"/>
      <c r="CY545" s="233"/>
      <c r="CZ545" s="233"/>
      <c r="DA545" s="233"/>
      <c r="DB545" s="233"/>
      <c r="DC545" s="233"/>
      <c r="DD545" s="233"/>
      <c r="DE545" s="233"/>
      <c r="DF545" s="233"/>
      <c r="DG545" s="233"/>
      <c r="DH545" s="233"/>
      <c r="DI545" s="233"/>
      <c r="DJ545" s="233"/>
      <c r="DK545" s="233"/>
      <c r="DL545" s="233"/>
      <c r="DM545" s="233"/>
      <c r="DN545" s="233"/>
      <c r="DO545" s="233"/>
      <c r="DP545" s="233"/>
      <c r="DQ545" s="233"/>
      <c r="DR545" s="233"/>
      <c r="DS545" s="233"/>
      <c r="DT545" s="233"/>
      <c r="DU545" s="233"/>
      <c r="DV545" s="233"/>
      <c r="DW545" s="233"/>
      <c r="DX545" s="233"/>
      <c r="DY545" s="233"/>
      <c r="DZ545" s="233"/>
      <c r="EA545" s="233"/>
      <c r="EB545" s="233"/>
      <c r="EC545" s="233"/>
      <c r="ED545" s="233"/>
      <c r="EE545" s="233"/>
      <c r="EF545" s="233"/>
      <c r="EG545" s="233"/>
      <c r="EH545" s="233"/>
      <c r="EI545" s="233"/>
      <c r="EJ545" s="233"/>
      <c r="EK545" s="233"/>
      <c r="EL545" s="233"/>
      <c r="EM545" s="233"/>
      <c r="EN545" s="233"/>
      <c r="EO545" s="233"/>
      <c r="EP545" s="233"/>
      <c r="EQ545" s="233"/>
      <c r="ER545" s="233"/>
      <c r="ES545" s="233"/>
      <c r="ET545" s="233"/>
      <c r="EU545" s="233"/>
      <c r="EV545" s="233"/>
      <c r="EW545" s="233"/>
      <c r="EX545" s="233"/>
      <c r="EY545" s="233"/>
      <c r="EZ545" s="233"/>
      <c r="FA545" s="233"/>
      <c r="FB545" s="233"/>
      <c r="FC545" s="233"/>
      <c r="FD545" s="233"/>
      <c r="FE545" s="233"/>
      <c r="FF545" s="233"/>
      <c r="FG545" s="233"/>
      <c r="FH545" s="233"/>
      <c r="FI545" s="233"/>
      <c r="FJ545" s="233"/>
      <c r="FK545" s="233"/>
      <c r="FL545" s="233"/>
      <c r="FM545" s="233"/>
      <c r="FN545" s="233"/>
      <c r="FO545" s="233"/>
      <c r="FP545" s="233"/>
      <c r="FQ545" s="233"/>
      <c r="FR545" s="233"/>
      <c r="FS545" s="233"/>
      <c r="FT545" s="233"/>
      <c r="FU545" s="233"/>
      <c r="FV545" s="233"/>
      <c r="FW545" s="233"/>
      <c r="FX545" s="233"/>
      <c r="FY545" s="233"/>
      <c r="FZ545" s="233"/>
      <c r="GA545" s="233"/>
      <c r="GB545" s="233"/>
      <c r="GC545" s="233"/>
      <c r="GD545" s="233"/>
      <c r="GE545" s="233"/>
      <c r="GF545" s="233"/>
      <c r="GG545" s="233"/>
      <c r="GH545" s="233"/>
      <c r="GI545" s="233"/>
      <c r="GJ545" s="233"/>
    </row>
    <row r="546" spans="3:192" ht="12.75" customHeight="1">
      <c r="C546" s="220"/>
      <c r="D546" s="169"/>
      <c r="E546" s="169"/>
      <c r="F546" s="169"/>
      <c r="G546" s="169"/>
      <c r="H546" s="220"/>
      <c r="I546" s="169"/>
      <c r="J546" s="169"/>
      <c r="K546" s="169"/>
      <c r="L546" s="169"/>
      <c r="M546" s="220"/>
      <c r="N546" s="169"/>
      <c r="O546" s="169"/>
      <c r="P546" s="169"/>
      <c r="Q546" s="169"/>
      <c r="R546" s="220"/>
      <c r="S546" s="169"/>
      <c r="T546" s="169"/>
      <c r="U546" s="169"/>
      <c r="V546" s="169"/>
      <c r="W546" s="220"/>
      <c r="X546" s="169"/>
      <c r="Y546" s="169"/>
      <c r="Z546" s="169"/>
      <c r="AA546" s="169"/>
      <c r="AB546" s="220"/>
      <c r="AC546" s="169"/>
      <c r="AD546" s="169"/>
      <c r="AE546" s="169"/>
      <c r="AF546" s="169"/>
      <c r="AG546" s="220"/>
      <c r="AH546" s="169"/>
      <c r="AI546" s="169"/>
      <c r="AJ546" s="169"/>
      <c r="AK546" s="169"/>
      <c r="AL546" s="220"/>
      <c r="AM546" s="169"/>
      <c r="AN546" s="169"/>
      <c r="AO546" s="169"/>
      <c r="AP546" s="169"/>
      <c r="AQ546" s="220"/>
      <c r="AR546" s="169"/>
      <c r="AS546" s="169"/>
      <c r="AT546" s="169"/>
      <c r="AU546" s="169"/>
      <c r="AV546" s="220"/>
      <c r="AW546" s="169"/>
      <c r="AX546" s="169"/>
      <c r="AY546" s="169"/>
      <c r="AZ546" s="169"/>
      <c r="BA546" s="220"/>
      <c r="BB546" s="169"/>
      <c r="BC546" s="169"/>
      <c r="BD546" s="169"/>
      <c r="BE546" s="169"/>
      <c r="BF546" s="220"/>
      <c r="BG546" s="169"/>
      <c r="BH546" s="169"/>
      <c r="BI546" s="169"/>
      <c r="BJ546" s="169"/>
      <c r="BK546" s="220"/>
      <c r="BL546" s="169"/>
      <c r="BM546" s="169"/>
      <c r="BN546" s="169"/>
      <c r="BO546" s="169"/>
      <c r="BP546" s="220"/>
      <c r="BQ546" s="169"/>
      <c r="BR546" s="169"/>
      <c r="BS546" s="169"/>
      <c r="BT546" s="169"/>
      <c r="BU546" s="220"/>
      <c r="BV546" s="169"/>
      <c r="BW546" s="169"/>
      <c r="BX546" s="169"/>
      <c r="BY546" s="169"/>
      <c r="BZ546" s="220"/>
      <c r="CA546" s="169"/>
      <c r="CB546" s="169"/>
      <c r="CC546" s="169"/>
      <c r="CD546" s="169"/>
      <c r="CE546" s="220"/>
      <c r="CF546" s="169"/>
      <c r="CG546" s="169"/>
      <c r="CH546" s="169"/>
      <c r="CI546" s="169"/>
      <c r="CJ546" s="220"/>
      <c r="CK546" s="169"/>
      <c r="CL546" s="169"/>
      <c r="CM546" s="169"/>
      <c r="CN546" s="169"/>
      <c r="CO546" s="220"/>
      <c r="CP546" s="169"/>
      <c r="CQ546" s="169"/>
      <c r="CR546" s="169"/>
      <c r="CS546" s="169"/>
      <c r="CT546" s="220"/>
      <c r="CU546" s="169"/>
      <c r="CV546" s="169"/>
      <c r="CW546" s="169"/>
      <c r="CX546" s="169"/>
      <c r="CY546" s="220"/>
      <c r="CZ546" s="169"/>
      <c r="DA546" s="169"/>
      <c r="DB546" s="169"/>
      <c r="DC546" s="169"/>
      <c r="DD546" s="220"/>
      <c r="DE546" s="169"/>
      <c r="DF546" s="169"/>
      <c r="DG546" s="169"/>
      <c r="DH546" s="169"/>
      <c r="DI546" s="220"/>
      <c r="DJ546" s="169"/>
      <c r="DK546" s="169"/>
      <c r="DL546" s="169"/>
      <c r="DM546" s="169"/>
      <c r="DN546" s="220"/>
      <c r="DO546" s="169"/>
      <c r="DP546" s="169"/>
      <c r="DQ546" s="169"/>
      <c r="DR546" s="169"/>
      <c r="DS546" s="220"/>
      <c r="DT546" s="169"/>
      <c r="DU546" s="169"/>
      <c r="DV546" s="169"/>
      <c r="DW546" s="169"/>
      <c r="DX546" s="220"/>
      <c r="DY546" s="169"/>
      <c r="DZ546" s="169"/>
      <c r="EA546" s="169"/>
      <c r="EB546" s="169"/>
      <c r="EC546" s="220"/>
      <c r="ED546" s="169"/>
      <c r="EE546" s="169"/>
      <c r="EF546" s="169"/>
      <c r="EG546" s="169"/>
      <c r="EH546" s="220"/>
      <c r="EI546" s="169"/>
      <c r="EJ546" s="169"/>
      <c r="EK546" s="169"/>
      <c r="EL546" s="169"/>
      <c r="EM546" s="220"/>
      <c r="EN546" s="169"/>
      <c r="EO546" s="169"/>
      <c r="EP546" s="169"/>
      <c r="EQ546" s="169"/>
      <c r="ER546" s="220"/>
      <c r="ES546" s="169"/>
      <c r="ET546" s="169"/>
      <c r="EU546" s="169"/>
      <c r="EV546" s="169"/>
      <c r="EW546" s="220"/>
      <c r="EX546" s="169"/>
      <c r="EY546" s="169"/>
      <c r="EZ546" s="169"/>
      <c r="FA546" s="169"/>
      <c r="FB546" s="220"/>
      <c r="FC546" s="169"/>
      <c r="FD546" s="169"/>
      <c r="FE546" s="169"/>
      <c r="FF546" s="169"/>
      <c r="FG546" s="220"/>
      <c r="FH546" s="169"/>
      <c r="FI546" s="169"/>
      <c r="FJ546" s="169"/>
      <c r="FK546" s="169"/>
      <c r="FL546" s="220"/>
      <c r="FM546" s="169"/>
      <c r="FN546" s="169"/>
      <c r="FO546" s="169"/>
      <c r="FP546" s="169"/>
      <c r="FQ546" s="220"/>
      <c r="FR546" s="169"/>
      <c r="FS546" s="169"/>
      <c r="FT546" s="169"/>
      <c r="FU546" s="169"/>
      <c r="FV546" s="220"/>
      <c r="FW546" s="169"/>
      <c r="FX546" s="169"/>
      <c r="FY546" s="169"/>
      <c r="FZ546" s="169"/>
      <c r="GA546" s="220"/>
      <c r="GB546" s="169"/>
      <c r="GC546" s="169"/>
      <c r="GD546" s="169"/>
      <c r="GE546" s="169"/>
      <c r="GF546" s="220"/>
      <c r="GG546" s="169"/>
      <c r="GH546" s="169"/>
      <c r="GI546" s="169"/>
      <c r="GJ546" s="169"/>
    </row>
    <row r="547" spans="3:192" ht="12.75" customHeight="1">
      <c r="C547" s="220"/>
      <c r="D547" s="169"/>
      <c r="E547" s="169"/>
      <c r="F547" s="169"/>
      <c r="G547" s="169"/>
      <c r="H547" s="220"/>
      <c r="I547" s="169"/>
      <c r="J547" s="169"/>
      <c r="K547" s="169"/>
      <c r="L547" s="169"/>
      <c r="M547" s="220"/>
      <c r="N547" s="169"/>
      <c r="O547" s="169"/>
      <c r="P547" s="169"/>
      <c r="Q547" s="169"/>
      <c r="R547" s="220"/>
      <c r="S547" s="169"/>
      <c r="T547" s="169"/>
      <c r="U547" s="169"/>
      <c r="V547" s="169"/>
      <c r="W547" s="220"/>
      <c r="X547" s="169"/>
      <c r="Y547" s="169"/>
      <c r="Z547" s="169"/>
      <c r="AA547" s="169"/>
      <c r="AB547" s="220"/>
      <c r="AC547" s="169"/>
      <c r="AD547" s="169"/>
      <c r="AE547" s="169"/>
      <c r="AF547" s="169"/>
      <c r="AG547" s="220"/>
      <c r="AH547" s="169"/>
      <c r="AI547" s="169"/>
      <c r="AJ547" s="169"/>
      <c r="AK547" s="169"/>
      <c r="AL547" s="220"/>
      <c r="AM547" s="169"/>
      <c r="AN547" s="169"/>
      <c r="AO547" s="169"/>
      <c r="AP547" s="169"/>
      <c r="AQ547" s="220"/>
      <c r="AR547" s="169"/>
      <c r="AS547" s="169"/>
      <c r="AT547" s="169"/>
      <c r="AU547" s="169"/>
      <c r="AV547" s="220"/>
      <c r="AW547" s="169"/>
      <c r="AX547" s="169"/>
      <c r="AY547" s="169"/>
      <c r="AZ547" s="169"/>
      <c r="BA547" s="220"/>
      <c r="BB547" s="169"/>
      <c r="BC547" s="169"/>
      <c r="BD547" s="169"/>
      <c r="BE547" s="169"/>
      <c r="BF547" s="220"/>
      <c r="BG547" s="169"/>
      <c r="BH547" s="169"/>
      <c r="BI547" s="169"/>
      <c r="BJ547" s="169"/>
      <c r="BK547" s="220"/>
      <c r="BL547" s="169"/>
      <c r="BM547" s="169"/>
      <c r="BN547" s="169"/>
      <c r="BO547" s="169"/>
      <c r="BP547" s="220"/>
      <c r="BQ547" s="169"/>
      <c r="BR547" s="169"/>
      <c r="BS547" s="169"/>
      <c r="BT547" s="169"/>
      <c r="BU547" s="220"/>
      <c r="BV547" s="169"/>
      <c r="BW547" s="169"/>
      <c r="BX547" s="169"/>
      <c r="BY547" s="169"/>
      <c r="BZ547" s="220"/>
      <c r="CA547" s="169"/>
      <c r="CB547" s="169"/>
      <c r="CC547" s="169"/>
      <c r="CD547" s="169"/>
      <c r="CE547" s="220"/>
      <c r="CF547" s="169"/>
      <c r="CG547" s="169"/>
      <c r="CH547" s="169"/>
      <c r="CI547" s="169"/>
      <c r="CJ547" s="220"/>
      <c r="CK547" s="169"/>
      <c r="CL547" s="169"/>
      <c r="CM547" s="169"/>
      <c r="CN547" s="169"/>
      <c r="CO547" s="220"/>
      <c r="CP547" s="169"/>
      <c r="CQ547" s="169"/>
      <c r="CR547" s="169"/>
      <c r="CS547" s="169"/>
      <c r="CT547" s="220"/>
      <c r="CU547" s="169"/>
      <c r="CV547" s="169"/>
      <c r="CW547" s="169"/>
      <c r="CX547" s="169"/>
      <c r="CY547" s="220"/>
      <c r="CZ547" s="169"/>
      <c r="DA547" s="169"/>
      <c r="DB547" s="169"/>
      <c r="DC547" s="169"/>
      <c r="DD547" s="220"/>
      <c r="DE547" s="169"/>
      <c r="DF547" s="169"/>
      <c r="DG547" s="169"/>
      <c r="DH547" s="169"/>
      <c r="DI547" s="220"/>
      <c r="DJ547" s="169"/>
      <c r="DK547" s="169"/>
      <c r="DL547" s="169"/>
      <c r="DM547" s="169"/>
      <c r="DN547" s="220"/>
      <c r="DO547" s="169"/>
      <c r="DP547" s="169"/>
      <c r="DQ547" s="169"/>
      <c r="DR547" s="169"/>
      <c r="DS547" s="220"/>
      <c r="DT547" s="169"/>
      <c r="DU547" s="169"/>
      <c r="DV547" s="169"/>
      <c r="DW547" s="169"/>
      <c r="DX547" s="220"/>
      <c r="DY547" s="169"/>
      <c r="DZ547" s="169"/>
      <c r="EA547" s="169"/>
      <c r="EB547" s="169"/>
      <c r="EC547" s="220"/>
      <c r="ED547" s="169"/>
      <c r="EE547" s="169"/>
      <c r="EF547" s="169"/>
      <c r="EG547" s="169"/>
      <c r="EH547" s="220"/>
      <c r="EI547" s="169"/>
      <c r="EJ547" s="169"/>
      <c r="EK547" s="169"/>
      <c r="EL547" s="169"/>
      <c r="EM547" s="220"/>
      <c r="EN547" s="169"/>
      <c r="EO547" s="169"/>
      <c r="EP547" s="169"/>
      <c r="EQ547" s="169"/>
      <c r="ER547" s="220"/>
      <c r="ES547" s="169"/>
      <c r="ET547" s="169"/>
      <c r="EU547" s="169"/>
      <c r="EV547" s="169"/>
      <c r="EW547" s="220"/>
      <c r="EX547" s="169"/>
      <c r="EY547" s="169"/>
      <c r="EZ547" s="169"/>
      <c r="FA547" s="169"/>
      <c r="FB547" s="220"/>
      <c r="FC547" s="169"/>
      <c r="FD547" s="169"/>
      <c r="FE547" s="169"/>
      <c r="FF547" s="169"/>
      <c r="FG547" s="220"/>
      <c r="FH547" s="169"/>
      <c r="FI547" s="169"/>
      <c r="FJ547" s="169"/>
      <c r="FK547" s="169"/>
      <c r="FL547" s="220"/>
      <c r="FM547" s="169"/>
      <c r="FN547" s="169"/>
      <c r="FO547" s="169"/>
      <c r="FP547" s="169"/>
      <c r="FQ547" s="220"/>
      <c r="FR547" s="169"/>
      <c r="FS547" s="169"/>
      <c r="FT547" s="169"/>
      <c r="FU547" s="169"/>
      <c r="FV547" s="220"/>
      <c r="FW547" s="169"/>
      <c r="FX547" s="169"/>
      <c r="FY547" s="169"/>
      <c r="FZ547" s="169"/>
      <c r="GA547" s="220"/>
      <c r="GB547" s="169"/>
      <c r="GC547" s="169"/>
      <c r="GD547" s="169"/>
      <c r="GE547" s="169"/>
      <c r="GF547" s="220"/>
      <c r="GG547" s="169"/>
      <c r="GH547" s="169"/>
      <c r="GI547" s="169"/>
      <c r="GJ547" s="169"/>
    </row>
    <row r="549" spans="3:192" ht="12.75" customHeight="1">
      <c r="C549" s="220"/>
      <c r="D549" s="169"/>
      <c r="E549" s="169"/>
      <c r="F549" s="169"/>
      <c r="G549" s="169"/>
      <c r="H549" s="220"/>
      <c r="I549" s="169"/>
      <c r="J549" s="169"/>
      <c r="K549" s="169"/>
      <c r="L549" s="169"/>
      <c r="M549" s="220"/>
      <c r="N549" s="169"/>
      <c r="O549" s="169"/>
      <c r="P549" s="169"/>
      <c r="Q549" s="169"/>
      <c r="R549" s="220"/>
      <c r="S549" s="169"/>
      <c r="T549" s="169"/>
      <c r="U549" s="169"/>
      <c r="V549" s="169"/>
      <c r="W549" s="220"/>
      <c r="X549" s="169"/>
      <c r="Y549" s="169"/>
      <c r="Z549" s="169"/>
      <c r="AA549" s="169"/>
      <c r="AB549" s="220"/>
      <c r="AC549" s="169"/>
      <c r="AD549" s="169"/>
      <c r="AE549" s="169"/>
      <c r="AF549" s="169"/>
      <c r="AG549" s="220"/>
      <c r="AH549" s="169"/>
      <c r="AI549" s="169"/>
      <c r="AJ549" s="169"/>
      <c r="AK549" s="169"/>
      <c r="AL549" s="220"/>
      <c r="AM549" s="169"/>
      <c r="AN549" s="169"/>
      <c r="AO549" s="169"/>
      <c r="AP549" s="169"/>
      <c r="AQ549" s="220"/>
      <c r="AR549" s="169"/>
      <c r="AS549" s="169"/>
      <c r="AT549" s="169"/>
      <c r="AU549" s="169"/>
      <c r="AV549" s="220"/>
      <c r="AW549" s="169"/>
      <c r="AX549" s="169"/>
      <c r="AY549" s="169"/>
      <c r="AZ549" s="169"/>
      <c r="BA549" s="220"/>
      <c r="BB549" s="169"/>
      <c r="BC549" s="169"/>
      <c r="BD549" s="169"/>
      <c r="BE549" s="169"/>
      <c r="BF549" s="220"/>
      <c r="BG549" s="169"/>
      <c r="BH549" s="169"/>
      <c r="BI549" s="169"/>
      <c r="BJ549" s="169"/>
      <c r="BK549" s="220"/>
      <c r="BL549" s="169"/>
      <c r="BM549" s="169"/>
      <c r="BN549" s="169"/>
      <c r="BO549" s="169"/>
      <c r="BP549" s="220"/>
      <c r="BQ549" s="169"/>
      <c r="BR549" s="169"/>
      <c r="BS549" s="169"/>
      <c r="BT549" s="169"/>
      <c r="BU549" s="220"/>
      <c r="BV549" s="169"/>
      <c r="BW549" s="169"/>
      <c r="BX549" s="169"/>
      <c r="BY549" s="169"/>
      <c r="BZ549" s="220"/>
      <c r="CA549" s="169"/>
      <c r="CB549" s="169"/>
      <c r="CC549" s="169"/>
      <c r="CD549" s="169"/>
      <c r="CE549" s="220"/>
      <c r="CF549" s="169"/>
      <c r="CG549" s="169"/>
      <c r="CH549" s="169"/>
      <c r="CI549" s="169"/>
      <c r="CJ549" s="220"/>
      <c r="CK549" s="169"/>
      <c r="CL549" s="169"/>
      <c r="CM549" s="169"/>
      <c r="CN549" s="169"/>
      <c r="CO549" s="220"/>
      <c r="CP549" s="169"/>
      <c r="CQ549" s="169"/>
      <c r="CR549" s="169"/>
      <c r="CS549" s="169"/>
      <c r="CT549" s="220"/>
      <c r="CU549" s="169"/>
      <c r="CV549" s="169"/>
      <c r="CW549" s="169"/>
      <c r="CX549" s="169"/>
      <c r="CY549" s="220"/>
      <c r="CZ549" s="169"/>
      <c r="DA549" s="169"/>
      <c r="DB549" s="169"/>
      <c r="DC549" s="169"/>
      <c r="DD549" s="220"/>
      <c r="DE549" s="169"/>
      <c r="DF549" s="169"/>
      <c r="DG549" s="169"/>
      <c r="DH549" s="169"/>
      <c r="DI549" s="220"/>
      <c r="DJ549" s="169"/>
      <c r="DK549" s="169"/>
      <c r="DL549" s="169"/>
      <c r="DM549" s="169"/>
      <c r="DN549" s="220"/>
      <c r="DO549" s="169"/>
      <c r="DP549" s="169"/>
      <c r="DQ549" s="169"/>
      <c r="DR549" s="169"/>
      <c r="DS549" s="220"/>
      <c r="DT549" s="169"/>
      <c r="DU549" s="169"/>
      <c r="DV549" s="169"/>
      <c r="DW549" s="169"/>
      <c r="DX549" s="220"/>
      <c r="DY549" s="169"/>
      <c r="DZ549" s="169"/>
      <c r="EA549" s="169"/>
      <c r="EB549" s="169"/>
      <c r="EC549" s="220"/>
      <c r="ED549" s="169"/>
      <c r="EE549" s="169"/>
      <c r="EF549" s="169"/>
      <c r="EG549" s="169"/>
      <c r="EH549" s="220"/>
      <c r="EI549" s="169"/>
      <c r="EJ549" s="169"/>
      <c r="EK549" s="169"/>
      <c r="EL549" s="169"/>
      <c r="EM549" s="220"/>
      <c r="EN549" s="169"/>
      <c r="EO549" s="169"/>
      <c r="EP549" s="169"/>
      <c r="EQ549" s="169"/>
      <c r="ER549" s="220"/>
      <c r="ES549" s="169"/>
      <c r="ET549" s="169"/>
      <c r="EU549" s="169"/>
      <c r="EV549" s="169"/>
      <c r="EW549" s="220"/>
      <c r="EX549" s="169"/>
      <c r="EY549" s="169"/>
      <c r="EZ549" s="169"/>
      <c r="FA549" s="169"/>
      <c r="FB549" s="220"/>
      <c r="FC549" s="169"/>
      <c r="FD549" s="169"/>
      <c r="FE549" s="169"/>
      <c r="FF549" s="169"/>
      <c r="FG549" s="220"/>
      <c r="FH549" s="169"/>
      <c r="FI549" s="169"/>
      <c r="FJ549" s="169"/>
      <c r="FK549" s="169"/>
      <c r="FL549" s="220"/>
      <c r="FM549" s="169"/>
      <c r="FN549" s="169"/>
      <c r="FO549" s="169"/>
      <c r="FP549" s="169"/>
      <c r="FQ549" s="220"/>
      <c r="FR549" s="169"/>
      <c r="FS549" s="169"/>
      <c r="FT549" s="169"/>
      <c r="FU549" s="169"/>
      <c r="FV549" s="220"/>
      <c r="FW549" s="169"/>
      <c r="FX549" s="169"/>
      <c r="FY549" s="169"/>
      <c r="FZ549" s="169"/>
      <c r="GA549" s="220"/>
      <c r="GB549" s="169"/>
      <c r="GC549" s="169"/>
      <c r="GD549" s="169"/>
      <c r="GE549" s="169"/>
      <c r="GF549" s="220"/>
      <c r="GG549" s="169"/>
      <c r="GH549" s="169"/>
      <c r="GI549" s="169"/>
      <c r="GJ549" s="169"/>
    </row>
    <row r="550" spans="3:192" ht="12.75" customHeight="1">
      <c r="C550" s="220"/>
      <c r="D550" s="169"/>
      <c r="E550" s="169"/>
      <c r="F550" s="169"/>
      <c r="G550" s="169"/>
      <c r="H550" s="220"/>
      <c r="I550" s="169"/>
      <c r="J550" s="169"/>
      <c r="K550" s="169"/>
      <c r="L550" s="169"/>
      <c r="M550" s="220"/>
      <c r="N550" s="169"/>
      <c r="O550" s="169"/>
      <c r="P550" s="169"/>
      <c r="Q550" s="169"/>
      <c r="R550" s="220"/>
      <c r="S550" s="169"/>
      <c r="T550" s="169"/>
      <c r="U550" s="169"/>
      <c r="V550" s="169"/>
      <c r="W550" s="220"/>
      <c r="X550" s="169"/>
      <c r="Y550" s="169"/>
      <c r="Z550" s="169"/>
      <c r="AA550" s="169"/>
      <c r="AB550" s="220"/>
      <c r="AC550" s="169"/>
      <c r="AD550" s="169"/>
      <c r="AE550" s="169"/>
      <c r="AF550" s="169"/>
      <c r="AG550" s="220"/>
      <c r="AH550" s="169"/>
      <c r="AI550" s="169"/>
      <c r="AJ550" s="169"/>
      <c r="AK550" s="169"/>
      <c r="AL550" s="220"/>
      <c r="AM550" s="169"/>
      <c r="AN550" s="169"/>
      <c r="AO550" s="169"/>
      <c r="AP550" s="169"/>
      <c r="AQ550" s="220"/>
      <c r="AR550" s="169"/>
      <c r="AS550" s="169"/>
      <c r="AT550" s="169"/>
      <c r="AU550" s="169"/>
      <c r="AV550" s="220"/>
      <c r="AW550" s="169"/>
      <c r="AX550" s="169"/>
      <c r="AY550" s="169"/>
      <c r="AZ550" s="169"/>
      <c r="BA550" s="220"/>
      <c r="BB550" s="169"/>
      <c r="BC550" s="169"/>
      <c r="BD550" s="169"/>
      <c r="BE550" s="169"/>
      <c r="BF550" s="220"/>
      <c r="BG550" s="169"/>
      <c r="BH550" s="169"/>
      <c r="BI550" s="169"/>
      <c r="BJ550" s="169"/>
      <c r="BK550" s="220"/>
      <c r="BL550" s="169"/>
      <c r="BM550" s="169"/>
      <c r="BN550" s="169"/>
      <c r="BO550" s="169"/>
      <c r="BP550" s="220"/>
      <c r="BQ550" s="169"/>
      <c r="BR550" s="169"/>
      <c r="BS550" s="169"/>
      <c r="BT550" s="169"/>
      <c r="BU550" s="220"/>
      <c r="BV550" s="169"/>
      <c r="BW550" s="169"/>
      <c r="BX550" s="169"/>
      <c r="BY550" s="169"/>
      <c r="BZ550" s="220"/>
      <c r="CA550" s="169"/>
      <c r="CB550" s="169"/>
      <c r="CC550" s="169"/>
      <c r="CD550" s="169"/>
      <c r="CE550" s="220"/>
      <c r="CF550" s="169"/>
      <c r="CG550" s="169"/>
      <c r="CH550" s="169"/>
      <c r="CI550" s="169"/>
      <c r="CJ550" s="220"/>
      <c r="CK550" s="169"/>
      <c r="CL550" s="169"/>
      <c r="CM550" s="169"/>
      <c r="CN550" s="169"/>
      <c r="CO550" s="220"/>
      <c r="CP550" s="169"/>
      <c r="CQ550" s="169"/>
      <c r="CR550" s="169"/>
      <c r="CS550" s="169"/>
      <c r="CT550" s="220"/>
      <c r="CU550" s="169"/>
      <c r="CV550" s="169"/>
      <c r="CW550" s="169"/>
      <c r="CX550" s="169"/>
      <c r="CY550" s="220"/>
      <c r="CZ550" s="169"/>
      <c r="DA550" s="169"/>
      <c r="DB550" s="169"/>
      <c r="DC550" s="169"/>
      <c r="DD550" s="220"/>
      <c r="DE550" s="169"/>
      <c r="DF550" s="169"/>
      <c r="DG550" s="169"/>
      <c r="DH550" s="169"/>
      <c r="DI550" s="220"/>
      <c r="DJ550" s="169"/>
      <c r="DK550" s="169"/>
      <c r="DL550" s="169"/>
      <c r="DM550" s="169"/>
      <c r="DN550" s="220"/>
      <c r="DO550" s="169"/>
      <c r="DP550" s="169"/>
      <c r="DQ550" s="169"/>
      <c r="DR550" s="169"/>
      <c r="DS550" s="220"/>
      <c r="DT550" s="169"/>
      <c r="DU550" s="169"/>
      <c r="DV550" s="169"/>
      <c r="DW550" s="169"/>
      <c r="DX550" s="220"/>
      <c r="DY550" s="169"/>
      <c r="DZ550" s="169"/>
      <c r="EA550" s="169"/>
      <c r="EB550" s="169"/>
      <c r="EC550" s="220"/>
      <c r="ED550" s="169"/>
      <c r="EE550" s="169"/>
      <c r="EF550" s="169"/>
      <c r="EG550" s="169"/>
      <c r="EH550" s="220"/>
      <c r="EI550" s="169"/>
      <c r="EJ550" s="169"/>
      <c r="EK550" s="169"/>
      <c r="EL550" s="169"/>
      <c r="EM550" s="220"/>
      <c r="EN550" s="169"/>
      <c r="EO550" s="169"/>
      <c r="EP550" s="169"/>
      <c r="EQ550" s="169"/>
      <c r="ER550" s="220"/>
      <c r="ES550" s="169"/>
      <c r="ET550" s="169"/>
      <c r="EU550" s="169"/>
      <c r="EV550" s="169"/>
      <c r="EW550" s="220"/>
      <c r="EX550" s="169"/>
      <c r="EY550" s="169"/>
      <c r="EZ550" s="169"/>
      <c r="FA550" s="169"/>
      <c r="FB550" s="220"/>
      <c r="FC550" s="169"/>
      <c r="FD550" s="169"/>
      <c r="FE550" s="169"/>
      <c r="FF550" s="169"/>
      <c r="FG550" s="220"/>
      <c r="FH550" s="169"/>
      <c r="FI550" s="169"/>
      <c r="FJ550" s="169"/>
      <c r="FK550" s="169"/>
      <c r="FL550" s="220"/>
      <c r="FM550" s="169"/>
      <c r="FN550" s="169"/>
      <c r="FO550" s="169"/>
      <c r="FP550" s="169"/>
      <c r="FQ550" s="220"/>
      <c r="FR550" s="169"/>
      <c r="FS550" s="169"/>
      <c r="FT550" s="169"/>
      <c r="FU550" s="169"/>
      <c r="FV550" s="220"/>
      <c r="FW550" s="169"/>
      <c r="FX550" s="169"/>
      <c r="FY550" s="169"/>
      <c r="FZ550" s="169"/>
      <c r="GA550" s="220"/>
      <c r="GB550" s="169"/>
      <c r="GC550" s="169"/>
      <c r="GD550" s="169"/>
      <c r="GE550" s="169"/>
      <c r="GF550" s="220"/>
      <c r="GG550" s="169"/>
      <c r="GH550" s="169"/>
      <c r="GI550" s="169"/>
      <c r="GJ550" s="169"/>
    </row>
    <row r="551" spans="3:192" ht="12.75" customHeight="1">
      <c r="C551" s="220"/>
      <c r="D551" s="169"/>
      <c r="E551" s="169"/>
      <c r="F551" s="169"/>
      <c r="G551" s="169"/>
      <c r="H551" s="220"/>
      <c r="I551" s="169"/>
      <c r="J551" s="169"/>
      <c r="K551" s="169"/>
      <c r="L551" s="169"/>
      <c r="M551" s="220"/>
      <c r="N551" s="169"/>
      <c r="O551" s="169"/>
      <c r="P551" s="169"/>
      <c r="Q551" s="169"/>
      <c r="R551" s="220"/>
      <c r="S551" s="169"/>
      <c r="T551" s="169"/>
      <c r="U551" s="169"/>
      <c r="V551" s="169"/>
      <c r="W551" s="220"/>
      <c r="X551" s="169"/>
      <c r="Y551" s="169"/>
      <c r="Z551" s="169"/>
      <c r="AA551" s="169"/>
      <c r="AB551" s="220"/>
      <c r="AC551" s="169"/>
      <c r="AD551" s="169"/>
      <c r="AE551" s="169"/>
      <c r="AF551" s="169"/>
      <c r="AG551" s="220"/>
      <c r="AH551" s="169"/>
      <c r="AI551" s="169"/>
      <c r="AJ551" s="169"/>
      <c r="AK551" s="169"/>
      <c r="AL551" s="220"/>
      <c r="AM551" s="169"/>
      <c r="AN551" s="169"/>
      <c r="AO551" s="169"/>
      <c r="AP551" s="169"/>
      <c r="AQ551" s="220"/>
      <c r="AR551" s="169"/>
      <c r="AS551" s="169"/>
      <c r="AT551" s="169"/>
      <c r="AU551" s="169"/>
      <c r="AV551" s="220"/>
      <c r="AW551" s="169"/>
      <c r="AX551" s="169"/>
      <c r="AY551" s="169"/>
      <c r="AZ551" s="169"/>
      <c r="BA551" s="220"/>
      <c r="BB551" s="169"/>
      <c r="BC551" s="169"/>
      <c r="BD551" s="169"/>
      <c r="BE551" s="169"/>
      <c r="BF551" s="220"/>
      <c r="BG551" s="169"/>
      <c r="BH551" s="169"/>
      <c r="BI551" s="169"/>
      <c r="BJ551" s="169"/>
      <c r="BK551" s="220"/>
      <c r="BL551" s="169"/>
      <c r="BM551" s="169"/>
      <c r="BN551" s="169"/>
      <c r="BO551" s="169"/>
      <c r="BP551" s="220"/>
      <c r="BQ551" s="169"/>
      <c r="BR551" s="169"/>
      <c r="BS551" s="169"/>
      <c r="BT551" s="169"/>
      <c r="BU551" s="220"/>
      <c r="BV551" s="169"/>
      <c r="BW551" s="169"/>
      <c r="BX551" s="169"/>
      <c r="BY551" s="169"/>
      <c r="BZ551" s="220"/>
      <c r="CA551" s="169"/>
      <c r="CB551" s="169"/>
      <c r="CC551" s="169"/>
      <c r="CD551" s="169"/>
      <c r="CE551" s="220"/>
      <c r="CF551" s="169"/>
      <c r="CG551" s="169"/>
      <c r="CH551" s="169"/>
      <c r="CI551" s="169"/>
      <c r="CJ551" s="220"/>
      <c r="CK551" s="169"/>
      <c r="CL551" s="169"/>
      <c r="CM551" s="169"/>
      <c r="CN551" s="169"/>
      <c r="CO551" s="220"/>
      <c r="CP551" s="169"/>
      <c r="CQ551" s="169"/>
      <c r="CR551" s="169"/>
      <c r="CS551" s="169"/>
      <c r="CT551" s="220"/>
      <c r="CU551" s="169"/>
      <c r="CV551" s="169"/>
      <c r="CW551" s="169"/>
      <c r="CX551" s="169"/>
      <c r="CY551" s="220"/>
      <c r="CZ551" s="169"/>
      <c r="DA551" s="169"/>
      <c r="DB551" s="169"/>
      <c r="DC551" s="169"/>
      <c r="DD551" s="220"/>
      <c r="DE551" s="169"/>
      <c r="DF551" s="169"/>
      <c r="DG551" s="169"/>
      <c r="DH551" s="169"/>
      <c r="DI551" s="220"/>
      <c r="DJ551" s="169"/>
      <c r="DK551" s="169"/>
      <c r="DL551" s="169"/>
      <c r="DM551" s="169"/>
      <c r="DN551" s="220"/>
      <c r="DO551" s="169"/>
      <c r="DP551" s="169"/>
      <c r="DQ551" s="169"/>
      <c r="DR551" s="169"/>
      <c r="DS551" s="220"/>
      <c r="DT551" s="169"/>
      <c r="DU551" s="169"/>
      <c r="DV551" s="169"/>
      <c r="DW551" s="169"/>
      <c r="DX551" s="220"/>
      <c r="DY551" s="169"/>
      <c r="DZ551" s="169"/>
      <c r="EA551" s="169"/>
      <c r="EB551" s="169"/>
      <c r="EC551" s="220"/>
      <c r="ED551" s="169"/>
      <c r="EE551" s="169"/>
      <c r="EF551" s="169"/>
      <c r="EG551" s="169"/>
      <c r="EH551" s="220"/>
      <c r="EI551" s="169"/>
      <c r="EJ551" s="169"/>
      <c r="EK551" s="169"/>
      <c r="EL551" s="169"/>
      <c r="EM551" s="220"/>
      <c r="EN551" s="169"/>
      <c r="EO551" s="169"/>
      <c r="EP551" s="169"/>
      <c r="EQ551" s="169"/>
      <c r="ER551" s="220"/>
      <c r="ES551" s="169"/>
      <c r="ET551" s="169"/>
      <c r="EU551" s="169"/>
      <c r="EV551" s="169"/>
      <c r="EW551" s="220"/>
      <c r="EX551" s="169"/>
      <c r="EY551" s="169"/>
      <c r="EZ551" s="169"/>
      <c r="FA551" s="169"/>
      <c r="FB551" s="220"/>
      <c r="FC551" s="169"/>
      <c r="FD551" s="169"/>
      <c r="FE551" s="169"/>
      <c r="FF551" s="169"/>
      <c r="FG551" s="220"/>
      <c r="FH551" s="169"/>
      <c r="FI551" s="169"/>
      <c r="FJ551" s="169"/>
      <c r="FK551" s="169"/>
      <c r="FL551" s="220"/>
      <c r="FM551" s="169"/>
      <c r="FN551" s="169"/>
      <c r="FO551" s="169"/>
      <c r="FP551" s="169"/>
      <c r="FQ551" s="220"/>
      <c r="FR551" s="169"/>
      <c r="FS551" s="169"/>
      <c r="FT551" s="169"/>
      <c r="FU551" s="169"/>
      <c r="FV551" s="220"/>
      <c r="FW551" s="169"/>
      <c r="FX551" s="169"/>
      <c r="FY551" s="169"/>
      <c r="FZ551" s="169"/>
      <c r="GA551" s="220"/>
      <c r="GB551" s="169"/>
      <c r="GC551" s="169"/>
      <c r="GD551" s="169"/>
      <c r="GE551" s="169"/>
      <c r="GF551" s="220"/>
      <c r="GG551" s="169"/>
      <c r="GH551" s="169"/>
      <c r="GI551" s="169"/>
      <c r="GJ551" s="169"/>
    </row>
    <row r="552" spans="3:192" ht="12.75" customHeight="1">
      <c r="C552" s="220"/>
      <c r="D552" s="169"/>
      <c r="E552" s="169"/>
      <c r="F552" s="169"/>
      <c r="G552" s="169"/>
      <c r="H552" s="220"/>
      <c r="I552" s="169"/>
      <c r="J552" s="169"/>
      <c r="K552" s="169"/>
      <c r="L552" s="169"/>
      <c r="M552" s="220"/>
      <c r="N552" s="169"/>
      <c r="O552" s="169"/>
      <c r="P552" s="169"/>
      <c r="Q552" s="169"/>
      <c r="R552" s="220"/>
      <c r="S552" s="169"/>
      <c r="T552" s="169"/>
      <c r="U552" s="169"/>
      <c r="V552" s="169"/>
      <c r="W552" s="220"/>
      <c r="X552" s="169"/>
      <c r="Y552" s="169"/>
      <c r="Z552" s="169"/>
      <c r="AA552" s="169"/>
      <c r="AB552" s="220"/>
      <c r="AC552" s="169"/>
      <c r="AD552" s="169"/>
      <c r="AE552" s="169"/>
      <c r="AF552" s="169"/>
      <c r="AG552" s="220"/>
      <c r="AH552" s="169"/>
      <c r="AI552" s="169"/>
      <c r="AJ552" s="169"/>
      <c r="AK552" s="169"/>
      <c r="AL552" s="220"/>
      <c r="AM552" s="169"/>
      <c r="AN552" s="169"/>
      <c r="AO552" s="169"/>
      <c r="AP552" s="169"/>
      <c r="AQ552" s="220"/>
      <c r="AR552" s="169"/>
      <c r="AS552" s="169"/>
      <c r="AT552" s="169"/>
      <c r="AU552" s="169"/>
      <c r="AV552" s="220"/>
      <c r="AW552" s="169"/>
      <c r="AX552" s="169"/>
      <c r="AY552" s="169"/>
      <c r="AZ552" s="169"/>
      <c r="BA552" s="220"/>
      <c r="BB552" s="169"/>
      <c r="BC552" s="169"/>
      <c r="BD552" s="169"/>
      <c r="BE552" s="169"/>
      <c r="BF552" s="220"/>
      <c r="BG552" s="169"/>
      <c r="BH552" s="169"/>
      <c r="BI552" s="169"/>
      <c r="BJ552" s="169"/>
      <c r="BK552" s="220"/>
      <c r="BL552" s="169"/>
      <c r="BM552" s="169"/>
      <c r="BN552" s="169"/>
      <c r="BO552" s="169"/>
      <c r="BP552" s="220"/>
      <c r="BQ552" s="169"/>
      <c r="BR552" s="169"/>
      <c r="BS552" s="169"/>
      <c r="BT552" s="169"/>
      <c r="BU552" s="220"/>
      <c r="BV552" s="169"/>
      <c r="BW552" s="169"/>
      <c r="BX552" s="169"/>
      <c r="BY552" s="169"/>
      <c r="BZ552" s="220"/>
      <c r="CA552" s="169"/>
      <c r="CB552" s="169"/>
      <c r="CC552" s="169"/>
      <c r="CD552" s="169"/>
      <c r="CE552" s="220"/>
      <c r="CF552" s="169"/>
      <c r="CG552" s="169"/>
      <c r="CH552" s="169"/>
      <c r="CI552" s="169"/>
      <c r="CJ552" s="220"/>
      <c r="CK552" s="169"/>
      <c r="CL552" s="169"/>
      <c r="CM552" s="169"/>
      <c r="CN552" s="169"/>
      <c r="CO552" s="220"/>
      <c r="CP552" s="169"/>
      <c r="CQ552" s="169"/>
      <c r="CR552" s="169"/>
      <c r="CS552" s="169"/>
      <c r="CT552" s="220"/>
      <c r="CU552" s="169"/>
      <c r="CV552" s="169"/>
      <c r="CW552" s="169"/>
      <c r="CX552" s="169"/>
      <c r="CY552" s="220"/>
      <c r="CZ552" s="169"/>
      <c r="DA552" s="169"/>
      <c r="DB552" s="169"/>
      <c r="DC552" s="169"/>
      <c r="DD552" s="220"/>
      <c r="DE552" s="169"/>
      <c r="DF552" s="169"/>
      <c r="DG552" s="169"/>
      <c r="DH552" s="169"/>
      <c r="DI552" s="220"/>
      <c r="DJ552" s="169"/>
      <c r="DK552" s="169"/>
      <c r="DL552" s="169"/>
      <c r="DM552" s="169"/>
      <c r="DN552" s="220"/>
      <c r="DO552" s="169"/>
      <c r="DP552" s="169"/>
      <c r="DQ552" s="169"/>
      <c r="DR552" s="169"/>
      <c r="DS552" s="220"/>
      <c r="DT552" s="169"/>
      <c r="DU552" s="169"/>
      <c r="DV552" s="169"/>
      <c r="DW552" s="169"/>
      <c r="DX552" s="220"/>
      <c r="DY552" s="169"/>
      <c r="DZ552" s="169"/>
      <c r="EA552" s="169"/>
      <c r="EB552" s="169"/>
      <c r="EC552" s="220"/>
      <c r="ED552" s="169"/>
      <c r="EE552" s="169"/>
      <c r="EF552" s="169"/>
      <c r="EG552" s="169"/>
      <c r="EH552" s="220"/>
      <c r="EI552" s="169"/>
      <c r="EJ552" s="169"/>
      <c r="EK552" s="169"/>
      <c r="EL552" s="169"/>
      <c r="EM552" s="220"/>
      <c r="EN552" s="169"/>
      <c r="EO552" s="169"/>
      <c r="EP552" s="169"/>
      <c r="EQ552" s="169"/>
      <c r="ER552" s="220"/>
      <c r="ES552" s="169"/>
      <c r="ET552" s="169"/>
      <c r="EU552" s="169"/>
      <c r="EV552" s="169"/>
      <c r="EW552" s="220"/>
      <c r="EX552" s="169"/>
      <c r="EY552" s="169"/>
      <c r="EZ552" s="169"/>
      <c r="FA552" s="169"/>
      <c r="FB552" s="220"/>
      <c r="FC552" s="169"/>
      <c r="FD552" s="169"/>
      <c r="FE552" s="169"/>
      <c r="FF552" s="169"/>
      <c r="FG552" s="220"/>
      <c r="FH552" s="169"/>
      <c r="FI552" s="169"/>
      <c r="FJ552" s="169"/>
      <c r="FK552" s="169"/>
      <c r="FL552" s="220"/>
      <c r="FM552" s="169"/>
      <c r="FN552" s="169"/>
      <c r="FO552" s="169"/>
      <c r="FP552" s="169"/>
      <c r="FQ552" s="220"/>
      <c r="FR552" s="169"/>
      <c r="FS552" s="169"/>
      <c r="FT552" s="169"/>
      <c r="FU552" s="169"/>
      <c r="FV552" s="220"/>
      <c r="FW552" s="169"/>
      <c r="FX552" s="169"/>
      <c r="FY552" s="169"/>
      <c r="FZ552" s="169"/>
      <c r="GA552" s="220"/>
      <c r="GB552" s="169"/>
      <c r="GC552" s="169"/>
      <c r="GD552" s="169"/>
      <c r="GE552" s="169"/>
      <c r="GF552" s="220"/>
      <c r="GG552" s="169"/>
      <c r="GH552" s="169"/>
      <c r="GI552" s="169"/>
      <c r="GJ552" s="169"/>
    </row>
    <row r="553" spans="3:192" ht="12.75" customHeight="1">
      <c r="C553" s="220"/>
      <c r="D553" s="169"/>
      <c r="E553" s="169"/>
      <c r="F553" s="169"/>
      <c r="G553" s="169"/>
      <c r="H553" s="220"/>
      <c r="I553" s="169"/>
      <c r="J553" s="169"/>
      <c r="K553" s="169"/>
      <c r="L553" s="169"/>
      <c r="M553" s="220"/>
      <c r="N553" s="169"/>
      <c r="O553" s="169"/>
      <c r="P553" s="169"/>
      <c r="Q553" s="169"/>
      <c r="R553" s="220"/>
      <c r="S553" s="169"/>
      <c r="T553" s="169"/>
      <c r="U553" s="169"/>
      <c r="V553" s="169"/>
      <c r="W553" s="220"/>
      <c r="X553" s="169"/>
      <c r="Y553" s="169"/>
      <c r="Z553" s="169"/>
      <c r="AA553" s="169"/>
      <c r="AB553" s="220"/>
      <c r="AC553" s="169"/>
      <c r="AD553" s="169"/>
      <c r="AE553" s="169"/>
      <c r="AF553" s="169"/>
      <c r="AG553" s="220"/>
      <c r="AH553" s="169"/>
      <c r="AI553" s="169"/>
      <c r="AJ553" s="169"/>
      <c r="AK553" s="169"/>
      <c r="AL553" s="220"/>
      <c r="AM553" s="169"/>
      <c r="AN553" s="169"/>
      <c r="AO553" s="169"/>
      <c r="AP553" s="169"/>
      <c r="AQ553" s="220"/>
      <c r="AR553" s="169"/>
      <c r="AS553" s="169"/>
      <c r="AT553" s="169"/>
      <c r="AU553" s="169"/>
      <c r="AV553" s="220"/>
      <c r="AW553" s="169"/>
      <c r="AX553" s="169"/>
      <c r="AY553" s="169"/>
      <c r="AZ553" s="169"/>
      <c r="BA553" s="220"/>
      <c r="BB553" s="169"/>
      <c r="BC553" s="169"/>
      <c r="BD553" s="169"/>
      <c r="BE553" s="169"/>
      <c r="BF553" s="220"/>
      <c r="BG553" s="169"/>
      <c r="BH553" s="169"/>
      <c r="BI553" s="169"/>
      <c r="BJ553" s="169"/>
      <c r="BK553" s="220"/>
      <c r="BL553" s="169"/>
      <c r="BM553" s="169"/>
      <c r="BN553" s="169"/>
      <c r="BO553" s="169"/>
      <c r="BP553" s="220"/>
      <c r="BQ553" s="169"/>
      <c r="BR553" s="169"/>
      <c r="BS553" s="169"/>
      <c r="BT553" s="169"/>
      <c r="BU553" s="220"/>
      <c r="BV553" s="169"/>
      <c r="BW553" s="169"/>
      <c r="BX553" s="169"/>
      <c r="BY553" s="169"/>
      <c r="BZ553" s="220"/>
      <c r="CA553" s="169"/>
      <c r="CB553" s="169"/>
      <c r="CC553" s="169"/>
      <c r="CD553" s="169"/>
      <c r="CE553" s="220"/>
      <c r="CF553" s="169"/>
      <c r="CG553" s="169"/>
      <c r="CH553" s="169"/>
      <c r="CI553" s="169"/>
      <c r="CJ553" s="220"/>
      <c r="CK553" s="169"/>
      <c r="CL553" s="169"/>
      <c r="CM553" s="169"/>
      <c r="CN553" s="169"/>
      <c r="CO553" s="220"/>
      <c r="CP553" s="169"/>
      <c r="CQ553" s="169"/>
      <c r="CR553" s="169"/>
      <c r="CS553" s="169"/>
      <c r="CT553" s="220"/>
      <c r="CU553" s="169"/>
      <c r="CV553" s="169"/>
      <c r="CW553" s="169"/>
      <c r="CX553" s="169"/>
      <c r="CY553" s="220"/>
      <c r="CZ553" s="169"/>
      <c r="DA553" s="169"/>
      <c r="DB553" s="169"/>
      <c r="DC553" s="169"/>
      <c r="DD553" s="220"/>
      <c r="DE553" s="169"/>
      <c r="DF553" s="169"/>
      <c r="DG553" s="169"/>
      <c r="DH553" s="169"/>
      <c r="DI553" s="220"/>
      <c r="DJ553" s="169"/>
      <c r="DK553" s="169"/>
      <c r="DL553" s="169"/>
      <c r="DM553" s="169"/>
      <c r="DN553" s="220"/>
      <c r="DO553" s="169"/>
      <c r="DP553" s="169"/>
      <c r="DQ553" s="169"/>
      <c r="DR553" s="169"/>
      <c r="DS553" s="220"/>
      <c r="DT553" s="169"/>
      <c r="DU553" s="169"/>
      <c r="DV553" s="169"/>
      <c r="DW553" s="169"/>
      <c r="DX553" s="220"/>
      <c r="DY553" s="169"/>
      <c r="DZ553" s="169"/>
      <c r="EA553" s="169"/>
      <c r="EB553" s="169"/>
      <c r="EC553" s="220"/>
      <c r="ED553" s="169"/>
      <c r="EE553" s="169"/>
      <c r="EF553" s="169"/>
      <c r="EG553" s="169"/>
      <c r="EH553" s="220"/>
      <c r="EI553" s="169"/>
      <c r="EJ553" s="169"/>
      <c r="EK553" s="169"/>
      <c r="EL553" s="169"/>
      <c r="EM553" s="220"/>
      <c r="EN553" s="169"/>
      <c r="EO553" s="169"/>
      <c r="EP553" s="169"/>
      <c r="EQ553" s="169"/>
      <c r="ER553" s="220"/>
      <c r="ES553" s="169"/>
      <c r="ET553" s="169"/>
      <c r="EU553" s="169"/>
      <c r="EV553" s="169"/>
      <c r="EW553" s="220"/>
      <c r="EX553" s="169"/>
      <c r="EY553" s="169"/>
      <c r="EZ553" s="169"/>
      <c r="FA553" s="169"/>
      <c r="FB553" s="220"/>
      <c r="FC553" s="169"/>
      <c r="FD553" s="169"/>
      <c r="FE553" s="169"/>
      <c r="FF553" s="169"/>
      <c r="FG553" s="220"/>
      <c r="FH553" s="169"/>
      <c r="FI553" s="169"/>
      <c r="FJ553" s="169"/>
      <c r="FK553" s="169"/>
      <c r="FL553" s="220"/>
      <c r="FM553" s="169"/>
      <c r="FN553" s="169"/>
      <c r="FO553" s="169"/>
      <c r="FP553" s="169"/>
      <c r="FQ553" s="220"/>
      <c r="FR553" s="169"/>
      <c r="FS553" s="169"/>
      <c r="FT553" s="169"/>
      <c r="FU553" s="169"/>
      <c r="FV553" s="220"/>
      <c r="FW553" s="169"/>
      <c r="FX553" s="169"/>
      <c r="FY553" s="169"/>
      <c r="FZ553" s="169"/>
      <c r="GA553" s="220"/>
      <c r="GB553" s="169"/>
      <c r="GC553" s="169"/>
      <c r="GD553" s="169"/>
      <c r="GE553" s="169"/>
      <c r="GF553" s="220"/>
      <c r="GG553" s="169"/>
      <c r="GH553" s="169"/>
      <c r="GI553" s="169"/>
      <c r="GJ553" s="169"/>
    </row>
    <row r="554" spans="3:192" ht="12.75" customHeight="1">
      <c r="C554" s="220"/>
      <c r="D554" s="169"/>
      <c r="E554" s="169"/>
      <c r="F554" s="169"/>
      <c r="G554" s="169"/>
      <c r="H554" s="220"/>
      <c r="I554" s="169"/>
      <c r="J554" s="169"/>
      <c r="K554" s="169"/>
      <c r="L554" s="169"/>
      <c r="M554" s="220"/>
      <c r="N554" s="169"/>
      <c r="O554" s="169"/>
      <c r="P554" s="169"/>
      <c r="Q554" s="169"/>
      <c r="R554" s="220"/>
      <c r="S554" s="169"/>
      <c r="T554" s="169"/>
      <c r="U554" s="169"/>
      <c r="V554" s="169"/>
      <c r="W554" s="220"/>
      <c r="X554" s="169"/>
      <c r="Y554" s="169"/>
      <c r="Z554" s="169"/>
      <c r="AA554" s="169"/>
      <c r="AB554" s="220"/>
      <c r="AC554" s="169"/>
      <c r="AD554" s="169"/>
      <c r="AE554" s="169"/>
      <c r="AF554" s="169"/>
      <c r="AG554" s="220"/>
      <c r="AH554" s="169"/>
      <c r="AI554" s="169"/>
      <c r="AJ554" s="169"/>
      <c r="AK554" s="169"/>
      <c r="AL554" s="220"/>
      <c r="AM554" s="169"/>
      <c r="AN554" s="169"/>
      <c r="AO554" s="169"/>
      <c r="AP554" s="169"/>
      <c r="AQ554" s="220"/>
      <c r="AR554" s="169"/>
      <c r="AS554" s="169"/>
      <c r="AT554" s="169"/>
      <c r="AU554" s="169"/>
      <c r="AV554" s="220"/>
      <c r="AW554" s="169"/>
      <c r="AX554" s="169"/>
      <c r="AY554" s="169"/>
      <c r="AZ554" s="169"/>
      <c r="BA554" s="220"/>
      <c r="BB554" s="169"/>
      <c r="BC554" s="169"/>
      <c r="BD554" s="169"/>
      <c r="BE554" s="169"/>
      <c r="BF554" s="220"/>
      <c r="BG554" s="169"/>
      <c r="BH554" s="169"/>
      <c r="BI554" s="169"/>
      <c r="BJ554" s="169"/>
      <c r="BK554" s="220"/>
      <c r="BL554" s="169"/>
      <c r="BM554" s="169"/>
      <c r="BN554" s="169"/>
      <c r="BO554" s="169"/>
      <c r="BP554" s="220"/>
      <c r="BQ554" s="169"/>
      <c r="BR554" s="169"/>
      <c r="BS554" s="169"/>
      <c r="BT554" s="169"/>
      <c r="BU554" s="220"/>
      <c r="BV554" s="169"/>
      <c r="BW554" s="169"/>
      <c r="BX554" s="169"/>
      <c r="BY554" s="169"/>
      <c r="BZ554" s="220"/>
      <c r="CA554" s="169"/>
      <c r="CB554" s="169"/>
      <c r="CC554" s="169"/>
      <c r="CD554" s="169"/>
      <c r="CE554" s="220"/>
      <c r="CF554" s="169"/>
      <c r="CG554" s="169"/>
      <c r="CH554" s="169"/>
      <c r="CI554" s="169"/>
      <c r="CJ554" s="220"/>
      <c r="CK554" s="169"/>
      <c r="CL554" s="169"/>
      <c r="CM554" s="169"/>
      <c r="CN554" s="169"/>
      <c r="CO554" s="220"/>
      <c r="CP554" s="169"/>
      <c r="CQ554" s="169"/>
      <c r="CR554" s="169"/>
      <c r="CS554" s="169"/>
      <c r="CT554" s="220"/>
      <c r="CU554" s="169"/>
      <c r="CV554" s="169"/>
      <c r="CW554" s="169"/>
      <c r="CX554" s="169"/>
      <c r="CY554" s="220"/>
      <c r="CZ554" s="169"/>
      <c r="DA554" s="169"/>
      <c r="DB554" s="169"/>
      <c r="DC554" s="169"/>
      <c r="DD554" s="220"/>
      <c r="DE554" s="169"/>
      <c r="DF554" s="169"/>
      <c r="DG554" s="169"/>
      <c r="DH554" s="169"/>
      <c r="DI554" s="220"/>
      <c r="DJ554" s="169"/>
      <c r="DK554" s="169"/>
      <c r="DL554" s="169"/>
      <c r="DM554" s="169"/>
      <c r="DN554" s="220"/>
      <c r="DO554" s="169"/>
      <c r="DP554" s="169"/>
      <c r="DQ554" s="169"/>
      <c r="DR554" s="169"/>
      <c r="DS554" s="220"/>
      <c r="DT554" s="169"/>
      <c r="DU554" s="169"/>
      <c r="DV554" s="169"/>
      <c r="DW554" s="169"/>
      <c r="DX554" s="220"/>
      <c r="DY554" s="169"/>
      <c r="DZ554" s="169"/>
      <c r="EA554" s="169"/>
      <c r="EB554" s="169"/>
      <c r="EC554" s="220"/>
      <c r="ED554" s="169"/>
      <c r="EE554" s="169"/>
      <c r="EF554" s="169"/>
      <c r="EG554" s="169"/>
      <c r="EH554" s="220"/>
      <c r="EI554" s="169"/>
      <c r="EJ554" s="169"/>
      <c r="EK554" s="169"/>
      <c r="EL554" s="169"/>
      <c r="EM554" s="220"/>
      <c r="EN554" s="169"/>
      <c r="EO554" s="169"/>
      <c r="EP554" s="169"/>
      <c r="EQ554" s="169"/>
      <c r="ER554" s="220"/>
      <c r="ES554" s="169"/>
      <c r="ET554" s="169"/>
      <c r="EU554" s="169"/>
      <c r="EV554" s="169"/>
      <c r="EW554" s="220"/>
      <c r="EX554" s="169"/>
      <c r="EY554" s="169"/>
      <c r="EZ554" s="169"/>
      <c r="FA554" s="169"/>
      <c r="FB554" s="220"/>
      <c r="FC554" s="169"/>
      <c r="FD554" s="169"/>
      <c r="FE554" s="169"/>
      <c r="FF554" s="169"/>
      <c r="FG554" s="220"/>
      <c r="FH554" s="169"/>
      <c r="FI554" s="169"/>
      <c r="FJ554" s="169"/>
      <c r="FK554" s="169"/>
      <c r="FL554" s="220"/>
      <c r="FM554" s="169"/>
      <c r="FN554" s="169"/>
      <c r="FO554" s="169"/>
      <c r="FP554" s="169"/>
      <c r="FQ554" s="220"/>
      <c r="FR554" s="169"/>
      <c r="FS554" s="169"/>
      <c r="FT554" s="169"/>
      <c r="FU554" s="169"/>
      <c r="FV554" s="220"/>
      <c r="FW554" s="169"/>
      <c r="FX554" s="169"/>
      <c r="FY554" s="169"/>
      <c r="FZ554" s="169"/>
      <c r="GA554" s="220"/>
      <c r="GB554" s="169"/>
      <c r="GC554" s="169"/>
      <c r="GD554" s="169"/>
      <c r="GE554" s="169"/>
      <c r="GF554" s="220"/>
      <c r="GG554" s="169"/>
      <c r="GH554" s="169"/>
      <c r="GI554" s="169"/>
      <c r="GJ554" s="169"/>
    </row>
    <row r="555" spans="3:192" ht="12.75" customHeight="1">
      <c r="C555" s="220"/>
      <c r="D555" s="169"/>
      <c r="E555" s="169"/>
      <c r="F555" s="169"/>
      <c r="G555" s="169"/>
      <c r="H555" s="220"/>
      <c r="I555" s="169"/>
      <c r="J555" s="169"/>
      <c r="K555" s="169"/>
      <c r="L555" s="169"/>
      <c r="M555" s="220"/>
      <c r="N555" s="169"/>
      <c r="O555" s="169"/>
      <c r="P555" s="169"/>
      <c r="Q555" s="169"/>
      <c r="R555" s="220"/>
      <c r="S555" s="169"/>
      <c r="T555" s="169"/>
      <c r="U555" s="169"/>
      <c r="V555" s="169"/>
      <c r="W555" s="220"/>
      <c r="X555" s="169"/>
      <c r="Y555" s="169"/>
      <c r="Z555" s="169"/>
      <c r="AA555" s="169"/>
      <c r="AB555" s="220"/>
      <c r="AC555" s="169"/>
      <c r="AD555" s="169"/>
      <c r="AE555" s="169"/>
      <c r="AF555" s="169"/>
      <c r="AG555" s="220"/>
      <c r="AH555" s="169"/>
      <c r="AI555" s="169"/>
      <c r="AJ555" s="169"/>
      <c r="AK555" s="169"/>
      <c r="AL555" s="220"/>
      <c r="AM555" s="169"/>
      <c r="AN555" s="169"/>
      <c r="AO555" s="169"/>
      <c r="AP555" s="169"/>
      <c r="AQ555" s="220"/>
      <c r="AR555" s="169"/>
      <c r="AS555" s="169"/>
      <c r="AT555" s="169"/>
      <c r="AU555" s="169"/>
      <c r="AV555" s="220"/>
      <c r="AW555" s="169"/>
      <c r="AX555" s="169"/>
      <c r="AY555" s="169"/>
      <c r="AZ555" s="169"/>
      <c r="BA555" s="220"/>
      <c r="BB555" s="169"/>
      <c r="BC555" s="169"/>
      <c r="BD555" s="169"/>
      <c r="BE555" s="169"/>
      <c r="BF555" s="220"/>
      <c r="BG555" s="169"/>
      <c r="BH555" s="169"/>
      <c r="BI555" s="169"/>
      <c r="BJ555" s="169"/>
      <c r="BK555" s="220"/>
      <c r="BL555" s="169"/>
      <c r="BM555" s="169"/>
      <c r="BN555" s="169"/>
      <c r="BO555" s="169"/>
      <c r="BP555" s="220"/>
      <c r="BQ555" s="169"/>
      <c r="BR555" s="169"/>
      <c r="BS555" s="169"/>
      <c r="BT555" s="169"/>
      <c r="BU555" s="220"/>
      <c r="BV555" s="169"/>
      <c r="BW555" s="169"/>
      <c r="BX555" s="169"/>
      <c r="BY555" s="169"/>
      <c r="BZ555" s="220"/>
      <c r="CA555" s="169"/>
      <c r="CB555" s="169"/>
      <c r="CC555" s="169"/>
      <c r="CD555" s="169"/>
      <c r="CE555" s="220"/>
      <c r="CF555" s="169"/>
      <c r="CG555" s="169"/>
      <c r="CH555" s="169"/>
      <c r="CI555" s="169"/>
      <c r="CJ555" s="220"/>
      <c r="CK555" s="169"/>
      <c r="CL555" s="169"/>
      <c r="CM555" s="169"/>
      <c r="CN555" s="169"/>
      <c r="CO555" s="220"/>
      <c r="CP555" s="169"/>
      <c r="CQ555" s="169"/>
      <c r="CR555" s="169"/>
      <c r="CS555" s="169"/>
      <c r="CT555" s="220"/>
      <c r="CU555" s="169"/>
      <c r="CV555" s="169"/>
      <c r="CW555" s="169"/>
      <c r="CX555" s="169"/>
      <c r="CY555" s="220"/>
      <c r="CZ555" s="169"/>
      <c r="DA555" s="169"/>
      <c r="DB555" s="169"/>
      <c r="DC555" s="169"/>
      <c r="DD555" s="220"/>
      <c r="DE555" s="169"/>
      <c r="DF555" s="169"/>
      <c r="DG555" s="169"/>
      <c r="DH555" s="169"/>
      <c r="DI555" s="220"/>
      <c r="DJ555" s="169"/>
      <c r="DK555" s="169"/>
      <c r="DL555" s="169"/>
      <c r="DM555" s="169"/>
      <c r="DN555" s="220"/>
      <c r="DO555" s="169"/>
      <c r="DP555" s="169"/>
      <c r="DQ555" s="169"/>
      <c r="DR555" s="169"/>
      <c r="DS555" s="220"/>
      <c r="DT555" s="169"/>
      <c r="DU555" s="169"/>
      <c r="DV555" s="169"/>
      <c r="DW555" s="169"/>
      <c r="DX555" s="220"/>
      <c r="DY555" s="169"/>
      <c r="DZ555" s="169"/>
      <c r="EA555" s="169"/>
      <c r="EB555" s="169"/>
      <c r="EC555" s="220"/>
      <c r="ED555" s="169"/>
      <c r="EE555" s="169"/>
      <c r="EF555" s="169"/>
      <c r="EG555" s="169"/>
      <c r="EH555" s="220"/>
      <c r="EI555" s="169"/>
      <c r="EJ555" s="169"/>
      <c r="EK555" s="169"/>
      <c r="EL555" s="169"/>
      <c r="EM555" s="220"/>
      <c r="EN555" s="169"/>
      <c r="EO555" s="169"/>
      <c r="EP555" s="169"/>
      <c r="EQ555" s="169"/>
      <c r="ER555" s="220"/>
      <c r="ES555" s="169"/>
      <c r="ET555" s="169"/>
      <c r="EU555" s="169"/>
      <c r="EV555" s="169"/>
      <c r="EW555" s="220"/>
      <c r="EX555" s="169"/>
      <c r="EY555" s="169"/>
      <c r="EZ555" s="169"/>
      <c r="FA555" s="169"/>
      <c r="FB555" s="220"/>
      <c r="FC555" s="169"/>
      <c r="FD555" s="169"/>
      <c r="FE555" s="169"/>
      <c r="FF555" s="169"/>
      <c r="FG555" s="220"/>
      <c r="FH555" s="169"/>
      <c r="FI555" s="169"/>
      <c r="FJ555" s="169"/>
      <c r="FK555" s="169"/>
      <c r="FL555" s="220"/>
      <c r="FM555" s="169"/>
      <c r="FN555" s="169"/>
      <c r="FO555" s="169"/>
      <c r="FP555" s="169"/>
      <c r="FQ555" s="220"/>
      <c r="FR555" s="169"/>
      <c r="FS555" s="169"/>
      <c r="FT555" s="169"/>
      <c r="FU555" s="169"/>
      <c r="FV555" s="220"/>
      <c r="FW555" s="169"/>
      <c r="FX555" s="169"/>
      <c r="FY555" s="169"/>
      <c r="FZ555" s="169"/>
      <c r="GA555" s="220"/>
      <c r="GB555" s="169"/>
      <c r="GC555" s="169"/>
      <c r="GD555" s="169"/>
      <c r="GE555" s="169"/>
      <c r="GF555" s="220"/>
      <c r="GG555" s="169"/>
      <c r="GH555" s="169"/>
      <c r="GI555" s="169"/>
      <c r="GJ555" s="169"/>
    </row>
    <row r="556" spans="3:192" ht="12.75" customHeight="1">
      <c r="C556" s="220"/>
      <c r="D556" s="169"/>
      <c r="E556" s="169"/>
      <c r="F556" s="169"/>
      <c r="G556" s="169"/>
      <c r="H556" s="220"/>
      <c r="I556" s="169"/>
      <c r="J556" s="169"/>
      <c r="K556" s="169"/>
      <c r="L556" s="169"/>
      <c r="M556" s="220"/>
      <c r="N556" s="169"/>
      <c r="O556" s="169"/>
      <c r="P556" s="169"/>
      <c r="Q556" s="169"/>
      <c r="R556" s="220"/>
      <c r="S556" s="169"/>
      <c r="T556" s="169"/>
      <c r="U556" s="169"/>
      <c r="V556" s="169"/>
      <c r="W556" s="220"/>
      <c r="X556" s="169"/>
      <c r="Y556" s="169"/>
      <c r="Z556" s="169"/>
      <c r="AA556" s="169"/>
      <c r="AB556" s="220"/>
      <c r="AC556" s="169"/>
      <c r="AD556" s="169"/>
      <c r="AE556" s="169"/>
      <c r="AF556" s="169"/>
      <c r="AG556" s="220"/>
      <c r="AH556" s="169"/>
      <c r="AI556" s="169"/>
      <c r="AJ556" s="169"/>
      <c r="AK556" s="169"/>
      <c r="AL556" s="220"/>
      <c r="AM556" s="169"/>
      <c r="AN556" s="169"/>
      <c r="AO556" s="169"/>
      <c r="AP556" s="169"/>
      <c r="AQ556" s="220"/>
      <c r="AR556" s="169"/>
      <c r="AS556" s="169"/>
      <c r="AT556" s="169"/>
      <c r="AU556" s="169"/>
      <c r="AV556" s="220"/>
      <c r="AW556" s="169"/>
      <c r="AX556" s="169"/>
      <c r="AY556" s="169"/>
      <c r="AZ556" s="169"/>
      <c r="BA556" s="220"/>
      <c r="BB556" s="169"/>
      <c r="BC556" s="169"/>
      <c r="BD556" s="169"/>
      <c r="BE556" s="169"/>
      <c r="BF556" s="220"/>
      <c r="BG556" s="169"/>
      <c r="BH556" s="169"/>
      <c r="BI556" s="169"/>
      <c r="BJ556" s="169"/>
      <c r="BK556" s="220"/>
      <c r="BL556" s="169"/>
      <c r="BM556" s="169"/>
      <c r="BN556" s="169"/>
      <c r="BO556" s="169"/>
      <c r="BP556" s="220"/>
      <c r="BQ556" s="169"/>
      <c r="BR556" s="169"/>
      <c r="BS556" s="169"/>
      <c r="BT556" s="169"/>
      <c r="BU556" s="220"/>
      <c r="BV556" s="169"/>
      <c r="BW556" s="169"/>
      <c r="BX556" s="169"/>
      <c r="BY556" s="169"/>
      <c r="BZ556" s="220"/>
      <c r="CA556" s="169"/>
      <c r="CB556" s="169"/>
      <c r="CC556" s="169"/>
      <c r="CD556" s="169"/>
      <c r="CE556" s="220"/>
      <c r="CF556" s="169"/>
      <c r="CG556" s="169"/>
      <c r="CH556" s="169"/>
      <c r="CI556" s="169"/>
      <c r="CJ556" s="220"/>
      <c r="CK556" s="169"/>
      <c r="CL556" s="169"/>
      <c r="CM556" s="169"/>
      <c r="CN556" s="169"/>
      <c r="CO556" s="220"/>
      <c r="CP556" s="169"/>
      <c r="CQ556" s="169"/>
      <c r="CR556" s="169"/>
      <c r="CS556" s="169"/>
      <c r="CT556" s="220"/>
      <c r="CU556" s="169"/>
      <c r="CV556" s="169"/>
      <c r="CW556" s="169"/>
      <c r="CX556" s="169"/>
      <c r="CY556" s="220"/>
      <c r="CZ556" s="169"/>
      <c r="DA556" s="169"/>
      <c r="DB556" s="169"/>
      <c r="DC556" s="169"/>
      <c r="DD556" s="220"/>
      <c r="DE556" s="169"/>
      <c r="DF556" s="169"/>
      <c r="DG556" s="169"/>
      <c r="DH556" s="169"/>
      <c r="DI556" s="220"/>
      <c r="DJ556" s="169"/>
      <c r="DK556" s="169"/>
      <c r="DL556" s="169"/>
      <c r="DM556" s="169"/>
      <c r="DN556" s="220"/>
      <c r="DO556" s="169"/>
      <c r="DP556" s="169"/>
      <c r="DQ556" s="169"/>
      <c r="DR556" s="169"/>
      <c r="DS556" s="220"/>
      <c r="DT556" s="169"/>
      <c r="DU556" s="169"/>
      <c r="DV556" s="169"/>
      <c r="DW556" s="169"/>
      <c r="DX556" s="220"/>
      <c r="DY556" s="169"/>
      <c r="DZ556" s="169"/>
      <c r="EA556" s="169"/>
      <c r="EB556" s="169"/>
      <c r="EC556" s="220"/>
      <c r="ED556" s="169"/>
      <c r="EE556" s="169"/>
      <c r="EF556" s="169"/>
      <c r="EG556" s="169"/>
      <c r="EH556" s="220"/>
      <c r="EI556" s="169"/>
      <c r="EJ556" s="169"/>
      <c r="EK556" s="169"/>
      <c r="EL556" s="169"/>
      <c r="EM556" s="220"/>
      <c r="EN556" s="169"/>
      <c r="EO556" s="169"/>
      <c r="EP556" s="169"/>
      <c r="EQ556" s="169"/>
      <c r="ER556" s="220"/>
      <c r="ES556" s="169"/>
      <c r="ET556" s="169"/>
      <c r="EU556" s="169"/>
      <c r="EV556" s="169"/>
      <c r="EW556" s="220"/>
      <c r="EX556" s="169"/>
      <c r="EY556" s="169"/>
      <c r="EZ556" s="169"/>
      <c r="FA556" s="169"/>
      <c r="FB556" s="220"/>
      <c r="FC556" s="169"/>
      <c r="FD556" s="169"/>
      <c r="FE556" s="169"/>
      <c r="FF556" s="169"/>
      <c r="FG556" s="220"/>
      <c r="FH556" s="169"/>
      <c r="FI556" s="169"/>
      <c r="FJ556" s="169"/>
      <c r="FK556" s="169"/>
      <c r="FL556" s="220"/>
      <c r="FM556" s="169"/>
      <c r="FN556" s="169"/>
      <c r="FO556" s="169"/>
      <c r="FP556" s="169"/>
      <c r="FQ556" s="220"/>
      <c r="FR556" s="169"/>
      <c r="FS556" s="169"/>
      <c r="FT556" s="169"/>
      <c r="FU556" s="169"/>
      <c r="FV556" s="220"/>
      <c r="FW556" s="169"/>
      <c r="FX556" s="169"/>
      <c r="FY556" s="169"/>
      <c r="FZ556" s="169"/>
      <c r="GA556" s="220"/>
      <c r="GB556" s="169"/>
      <c r="GC556" s="169"/>
      <c r="GD556" s="169"/>
      <c r="GE556" s="169"/>
      <c r="GF556" s="220"/>
      <c r="GG556" s="169"/>
      <c r="GH556" s="169"/>
      <c r="GI556" s="169"/>
      <c r="GJ556" s="169"/>
    </row>
    <row r="557" spans="3:192" ht="12.75" customHeight="1">
      <c r="C557" s="220"/>
      <c r="D557" s="169"/>
      <c r="E557" s="169"/>
      <c r="F557" s="169"/>
      <c r="G557" s="169"/>
      <c r="H557" s="220"/>
      <c r="I557" s="169"/>
      <c r="J557" s="169"/>
      <c r="K557" s="169"/>
      <c r="L557" s="169"/>
      <c r="M557" s="220"/>
      <c r="N557" s="169"/>
      <c r="O557" s="169"/>
      <c r="P557" s="169"/>
      <c r="Q557" s="169"/>
      <c r="R557" s="220"/>
      <c r="S557" s="169"/>
      <c r="T557" s="169"/>
      <c r="U557" s="169"/>
      <c r="V557" s="169"/>
      <c r="W557" s="220"/>
      <c r="X557" s="169"/>
      <c r="Y557" s="169"/>
      <c r="Z557" s="169"/>
      <c r="AA557" s="169"/>
      <c r="AB557" s="220"/>
      <c r="AC557" s="169"/>
      <c r="AD557" s="169"/>
      <c r="AE557" s="169"/>
      <c r="AF557" s="169"/>
      <c r="AG557" s="220"/>
      <c r="AH557" s="169"/>
      <c r="AI557" s="169"/>
      <c r="AJ557" s="169"/>
      <c r="AK557" s="169"/>
      <c r="AL557" s="220"/>
      <c r="AM557" s="169"/>
      <c r="AN557" s="169"/>
      <c r="AO557" s="169"/>
      <c r="AP557" s="169"/>
      <c r="AQ557" s="220"/>
      <c r="AR557" s="169"/>
      <c r="AS557" s="169"/>
      <c r="AT557" s="169"/>
      <c r="AU557" s="169"/>
      <c r="AV557" s="220"/>
      <c r="AW557" s="169"/>
      <c r="AX557" s="169"/>
      <c r="AY557" s="169"/>
      <c r="AZ557" s="169"/>
      <c r="BA557" s="220"/>
      <c r="BB557" s="169"/>
      <c r="BC557" s="169"/>
      <c r="BD557" s="169"/>
      <c r="BE557" s="169"/>
      <c r="BF557" s="220"/>
      <c r="BG557" s="169"/>
      <c r="BH557" s="169"/>
      <c r="BI557" s="169"/>
      <c r="BJ557" s="169"/>
      <c r="BK557" s="220"/>
      <c r="BL557" s="169"/>
      <c r="BM557" s="169"/>
      <c r="BN557" s="169"/>
      <c r="BO557" s="169"/>
      <c r="BP557" s="220"/>
      <c r="BQ557" s="169"/>
      <c r="BR557" s="169"/>
      <c r="BS557" s="169"/>
      <c r="BT557" s="169"/>
      <c r="BU557" s="220"/>
      <c r="BV557" s="169"/>
      <c r="BW557" s="169"/>
      <c r="BX557" s="169"/>
      <c r="BY557" s="169"/>
      <c r="BZ557" s="220"/>
      <c r="CA557" s="169"/>
      <c r="CB557" s="169"/>
      <c r="CC557" s="169"/>
      <c r="CD557" s="169"/>
      <c r="CE557" s="220"/>
      <c r="CF557" s="169"/>
      <c r="CG557" s="169"/>
      <c r="CH557" s="169"/>
      <c r="CI557" s="169"/>
      <c r="CJ557" s="220"/>
      <c r="CK557" s="169"/>
      <c r="CL557" s="169"/>
      <c r="CM557" s="169"/>
      <c r="CN557" s="169"/>
      <c r="CO557" s="220"/>
      <c r="CP557" s="169"/>
      <c r="CQ557" s="169"/>
      <c r="CR557" s="169"/>
      <c r="CS557" s="169"/>
      <c r="CT557" s="220"/>
      <c r="CU557" s="169"/>
      <c r="CV557" s="169"/>
      <c r="CW557" s="169"/>
      <c r="CX557" s="169"/>
      <c r="CY557" s="220"/>
      <c r="CZ557" s="169"/>
      <c r="DA557" s="169"/>
      <c r="DB557" s="169"/>
      <c r="DC557" s="169"/>
      <c r="DD557" s="220"/>
      <c r="DE557" s="169"/>
      <c r="DF557" s="169"/>
      <c r="DG557" s="169"/>
      <c r="DH557" s="169"/>
      <c r="DI557" s="220"/>
      <c r="DJ557" s="169"/>
      <c r="DK557" s="169"/>
      <c r="DL557" s="169"/>
      <c r="DM557" s="169"/>
      <c r="DN557" s="220"/>
      <c r="DO557" s="169"/>
      <c r="DP557" s="169"/>
      <c r="DQ557" s="169"/>
      <c r="DR557" s="169"/>
      <c r="DS557" s="220"/>
      <c r="DT557" s="169"/>
      <c r="DU557" s="169"/>
      <c r="DV557" s="169"/>
      <c r="DW557" s="169"/>
      <c r="DX557" s="220"/>
      <c r="DY557" s="169"/>
      <c r="DZ557" s="169"/>
      <c r="EA557" s="169"/>
      <c r="EB557" s="169"/>
      <c r="EC557" s="220"/>
      <c r="ED557" s="169"/>
      <c r="EE557" s="169"/>
      <c r="EF557" s="169"/>
      <c r="EG557" s="169"/>
      <c r="EH557" s="220"/>
      <c r="EI557" s="169"/>
      <c r="EJ557" s="169"/>
      <c r="EK557" s="169"/>
      <c r="EL557" s="169"/>
      <c r="EM557" s="220"/>
      <c r="EN557" s="169"/>
      <c r="EO557" s="169"/>
      <c r="EP557" s="169"/>
      <c r="EQ557" s="169"/>
      <c r="ER557" s="220"/>
      <c r="ES557" s="169"/>
      <c r="ET557" s="169"/>
      <c r="EU557" s="169"/>
      <c r="EV557" s="169"/>
      <c r="EW557" s="220"/>
      <c r="EX557" s="169"/>
      <c r="EY557" s="169"/>
      <c r="EZ557" s="169"/>
      <c r="FA557" s="169"/>
      <c r="FB557" s="220"/>
      <c r="FC557" s="169"/>
      <c r="FD557" s="169"/>
      <c r="FE557" s="169"/>
      <c r="FF557" s="169"/>
      <c r="FG557" s="220"/>
      <c r="FH557" s="169"/>
      <c r="FI557" s="169"/>
      <c r="FJ557" s="169"/>
      <c r="FK557" s="169"/>
      <c r="FL557" s="220"/>
      <c r="FM557" s="169"/>
      <c r="FN557" s="169"/>
      <c r="FO557" s="169"/>
      <c r="FP557" s="169"/>
      <c r="FQ557" s="220"/>
      <c r="FR557" s="169"/>
      <c r="FS557" s="169"/>
      <c r="FT557" s="169"/>
      <c r="FU557" s="169"/>
      <c r="FV557" s="220"/>
      <c r="FW557" s="169"/>
      <c r="FX557" s="169"/>
      <c r="FY557" s="169"/>
      <c r="FZ557" s="169"/>
      <c r="GA557" s="220"/>
      <c r="GB557" s="169"/>
      <c r="GC557" s="169"/>
      <c r="GD557" s="169"/>
      <c r="GE557" s="169"/>
      <c r="GF557" s="220"/>
      <c r="GG557" s="169"/>
      <c r="GH557" s="169"/>
      <c r="GI557" s="169"/>
      <c r="GJ557" s="169"/>
    </row>
    <row r="558" spans="3:192" ht="12.75" customHeight="1">
      <c r="C558" s="220"/>
      <c r="D558" s="169"/>
      <c r="E558" s="169"/>
      <c r="F558" s="169"/>
      <c r="G558" s="169"/>
      <c r="H558" s="220"/>
      <c r="I558" s="169"/>
      <c r="J558" s="169"/>
      <c r="K558" s="169"/>
      <c r="L558" s="169"/>
      <c r="M558" s="220"/>
      <c r="N558" s="169"/>
      <c r="O558" s="169"/>
      <c r="P558" s="169"/>
      <c r="Q558" s="169"/>
      <c r="R558" s="220"/>
      <c r="S558" s="169"/>
      <c r="T558" s="169"/>
      <c r="U558" s="169"/>
      <c r="V558" s="169"/>
      <c r="W558" s="220"/>
      <c r="X558" s="169"/>
      <c r="Y558" s="169"/>
      <c r="Z558" s="169"/>
      <c r="AA558" s="169"/>
      <c r="AB558" s="220"/>
      <c r="AC558" s="169"/>
      <c r="AD558" s="169"/>
      <c r="AE558" s="169"/>
      <c r="AF558" s="169"/>
      <c r="AG558" s="220"/>
      <c r="AH558" s="169"/>
      <c r="AI558" s="169"/>
      <c r="AJ558" s="169"/>
      <c r="AK558" s="169"/>
      <c r="AL558" s="220"/>
      <c r="AM558" s="169"/>
      <c r="AN558" s="169"/>
      <c r="AO558" s="169"/>
      <c r="AP558" s="169"/>
      <c r="AQ558" s="220"/>
      <c r="AR558" s="169"/>
      <c r="AS558" s="169"/>
      <c r="AT558" s="169"/>
      <c r="AU558" s="169"/>
      <c r="AV558" s="220"/>
      <c r="AW558" s="169"/>
      <c r="AX558" s="169"/>
      <c r="AY558" s="169"/>
      <c r="AZ558" s="169"/>
      <c r="BA558" s="220"/>
      <c r="BB558" s="169"/>
      <c r="BC558" s="169"/>
      <c r="BD558" s="169"/>
      <c r="BE558" s="169"/>
      <c r="BF558" s="220"/>
      <c r="BG558" s="169"/>
      <c r="BH558" s="169"/>
      <c r="BI558" s="169"/>
      <c r="BJ558" s="169"/>
      <c r="BK558" s="220"/>
      <c r="BL558" s="169"/>
      <c r="BM558" s="169"/>
      <c r="BN558" s="169"/>
      <c r="BO558" s="169"/>
      <c r="BP558" s="220"/>
      <c r="BQ558" s="169"/>
      <c r="BR558" s="169"/>
      <c r="BS558" s="169"/>
      <c r="BT558" s="169"/>
      <c r="BU558" s="220"/>
      <c r="BV558" s="169"/>
      <c r="BW558" s="169"/>
      <c r="BX558" s="169"/>
      <c r="BY558" s="169"/>
      <c r="BZ558" s="220"/>
      <c r="CA558" s="169"/>
      <c r="CB558" s="169"/>
      <c r="CC558" s="169"/>
      <c r="CD558" s="169"/>
      <c r="CE558" s="220"/>
      <c r="CF558" s="169"/>
      <c r="CG558" s="169"/>
      <c r="CH558" s="169"/>
      <c r="CI558" s="169"/>
      <c r="CJ558" s="220"/>
      <c r="CK558" s="169"/>
      <c r="CL558" s="169"/>
      <c r="CM558" s="169"/>
      <c r="CN558" s="169"/>
      <c r="CO558" s="220"/>
      <c r="CP558" s="169"/>
      <c r="CQ558" s="169"/>
      <c r="CR558" s="169"/>
      <c r="CS558" s="169"/>
      <c r="CT558" s="220"/>
      <c r="CU558" s="169"/>
      <c r="CV558" s="169"/>
      <c r="CW558" s="169"/>
      <c r="CX558" s="169"/>
      <c r="CY558" s="220"/>
      <c r="CZ558" s="169"/>
      <c r="DA558" s="169"/>
      <c r="DB558" s="169"/>
      <c r="DC558" s="169"/>
      <c r="DD558" s="220"/>
      <c r="DE558" s="169"/>
      <c r="DF558" s="169"/>
      <c r="DG558" s="169"/>
      <c r="DH558" s="169"/>
      <c r="DI558" s="220"/>
      <c r="DJ558" s="169"/>
      <c r="DK558" s="169"/>
      <c r="DL558" s="169"/>
      <c r="DM558" s="169"/>
      <c r="DN558" s="220"/>
      <c r="DO558" s="169"/>
      <c r="DP558" s="169"/>
      <c r="DQ558" s="169"/>
      <c r="DR558" s="169"/>
      <c r="DS558" s="220"/>
      <c r="DT558" s="169"/>
      <c r="DU558" s="169"/>
      <c r="DV558" s="169"/>
      <c r="DW558" s="169"/>
      <c r="DX558" s="220"/>
      <c r="DY558" s="169"/>
      <c r="DZ558" s="169"/>
      <c r="EA558" s="169"/>
      <c r="EB558" s="169"/>
      <c r="EC558" s="220"/>
      <c r="ED558" s="169"/>
      <c r="EE558" s="169"/>
      <c r="EF558" s="169"/>
      <c r="EG558" s="169"/>
      <c r="EH558" s="220"/>
      <c r="EI558" s="169"/>
      <c r="EJ558" s="169"/>
      <c r="EK558" s="169"/>
      <c r="EL558" s="169"/>
      <c r="EM558" s="220"/>
      <c r="EN558" s="169"/>
      <c r="EO558" s="169"/>
      <c r="EP558" s="169"/>
      <c r="EQ558" s="169"/>
      <c r="ER558" s="220"/>
      <c r="ES558" s="169"/>
      <c r="ET558" s="169"/>
      <c r="EU558" s="169"/>
      <c r="EV558" s="169"/>
      <c r="EW558" s="220"/>
      <c r="EX558" s="169"/>
      <c r="EY558" s="169"/>
      <c r="EZ558" s="169"/>
      <c r="FA558" s="169"/>
      <c r="FB558" s="220"/>
      <c r="FC558" s="169"/>
      <c r="FD558" s="169"/>
      <c r="FE558" s="169"/>
      <c r="FF558" s="169"/>
      <c r="FG558" s="220"/>
      <c r="FH558" s="169"/>
      <c r="FI558" s="169"/>
      <c r="FJ558" s="169"/>
      <c r="FK558" s="169"/>
      <c r="FL558" s="220"/>
      <c r="FM558" s="169"/>
      <c r="FN558" s="169"/>
      <c r="FO558" s="169"/>
      <c r="FP558" s="169"/>
      <c r="FQ558" s="220"/>
      <c r="FR558" s="169"/>
      <c r="FS558" s="169"/>
      <c r="FT558" s="169"/>
      <c r="FU558" s="169"/>
      <c r="FV558" s="220"/>
      <c r="FW558" s="169"/>
      <c r="FX558" s="169"/>
      <c r="FY558" s="169"/>
      <c r="FZ558" s="169"/>
      <c r="GA558" s="220"/>
      <c r="GB558" s="169"/>
      <c r="GC558" s="169"/>
      <c r="GD558" s="169"/>
      <c r="GE558" s="169"/>
      <c r="GF558" s="220"/>
      <c r="GG558" s="169"/>
      <c r="GH558" s="169"/>
      <c r="GI558" s="169"/>
      <c r="GJ558" s="169"/>
    </row>
    <row r="559" spans="3:192" ht="12.75" customHeight="1">
      <c r="C559" s="220"/>
      <c r="D559" s="169"/>
      <c r="E559" s="169"/>
      <c r="F559" s="169"/>
      <c r="G559" s="169"/>
      <c r="H559" s="220"/>
      <c r="I559" s="169"/>
      <c r="J559" s="169"/>
      <c r="K559" s="169"/>
      <c r="L559" s="169"/>
      <c r="M559" s="220"/>
      <c r="N559" s="169"/>
      <c r="O559" s="169"/>
      <c r="P559" s="169"/>
      <c r="Q559" s="169"/>
      <c r="R559" s="220"/>
      <c r="S559" s="169"/>
      <c r="T559" s="169"/>
      <c r="U559" s="169"/>
      <c r="V559" s="169"/>
      <c r="W559" s="220"/>
      <c r="X559" s="169"/>
      <c r="Y559" s="169"/>
      <c r="Z559" s="169"/>
      <c r="AA559" s="169"/>
      <c r="AB559" s="220"/>
      <c r="AC559" s="169"/>
      <c r="AD559" s="169"/>
      <c r="AE559" s="169"/>
      <c r="AF559" s="169"/>
      <c r="AG559" s="220"/>
      <c r="AH559" s="169"/>
      <c r="AI559" s="169"/>
      <c r="AJ559" s="169"/>
      <c r="AK559" s="169"/>
      <c r="AL559" s="220"/>
      <c r="AM559" s="169"/>
      <c r="AN559" s="169"/>
      <c r="AO559" s="169"/>
      <c r="AP559" s="169"/>
      <c r="AQ559" s="220"/>
      <c r="AR559" s="169"/>
      <c r="AS559" s="169"/>
      <c r="AT559" s="169"/>
      <c r="AU559" s="169"/>
      <c r="AV559" s="220"/>
      <c r="AW559" s="169"/>
      <c r="AX559" s="169"/>
      <c r="AY559" s="169"/>
      <c r="AZ559" s="169"/>
      <c r="BA559" s="220"/>
      <c r="BB559" s="169"/>
      <c r="BC559" s="169"/>
      <c r="BD559" s="169"/>
      <c r="BE559" s="169"/>
      <c r="BF559" s="220"/>
      <c r="BG559" s="169"/>
      <c r="BH559" s="169"/>
      <c r="BI559" s="169"/>
      <c r="BJ559" s="169"/>
      <c r="BK559" s="220"/>
      <c r="BL559" s="169"/>
      <c r="BM559" s="169"/>
      <c r="BN559" s="169"/>
      <c r="BO559" s="169"/>
      <c r="BP559" s="220"/>
      <c r="BQ559" s="169"/>
      <c r="BR559" s="169"/>
      <c r="BS559" s="169"/>
      <c r="BT559" s="169"/>
      <c r="BU559" s="220"/>
      <c r="BV559" s="169"/>
      <c r="BW559" s="169"/>
      <c r="BX559" s="169"/>
      <c r="BY559" s="169"/>
      <c r="BZ559" s="220"/>
      <c r="CA559" s="169"/>
      <c r="CB559" s="169"/>
      <c r="CC559" s="169"/>
      <c r="CD559" s="169"/>
      <c r="CE559" s="220"/>
      <c r="CF559" s="169"/>
      <c r="CG559" s="169"/>
      <c r="CH559" s="169"/>
      <c r="CI559" s="169"/>
      <c r="CJ559" s="220"/>
      <c r="CK559" s="169"/>
      <c r="CL559" s="169"/>
      <c r="CM559" s="169"/>
      <c r="CN559" s="169"/>
      <c r="CO559" s="220"/>
      <c r="CP559" s="169"/>
      <c r="CQ559" s="169"/>
      <c r="CR559" s="169"/>
      <c r="CS559" s="169"/>
      <c r="CT559" s="220"/>
      <c r="CU559" s="169"/>
      <c r="CV559" s="169"/>
      <c r="CW559" s="169"/>
      <c r="CX559" s="169"/>
      <c r="CY559" s="220"/>
      <c r="CZ559" s="169"/>
      <c r="DA559" s="169"/>
      <c r="DB559" s="169"/>
      <c r="DC559" s="169"/>
      <c r="DD559" s="220"/>
      <c r="DE559" s="169"/>
      <c r="DF559" s="169"/>
      <c r="DG559" s="169"/>
      <c r="DH559" s="169"/>
      <c r="DI559" s="220"/>
      <c r="DJ559" s="169"/>
      <c r="DK559" s="169"/>
      <c r="DL559" s="169"/>
      <c r="DM559" s="169"/>
      <c r="DN559" s="220"/>
      <c r="DO559" s="169"/>
      <c r="DP559" s="169"/>
      <c r="DQ559" s="169"/>
      <c r="DR559" s="169"/>
      <c r="DS559" s="220"/>
      <c r="DT559" s="169"/>
      <c r="DU559" s="169"/>
      <c r="DV559" s="169"/>
      <c r="DW559" s="169"/>
      <c r="DX559" s="220"/>
      <c r="DY559" s="169"/>
      <c r="DZ559" s="169"/>
      <c r="EA559" s="169"/>
      <c r="EB559" s="169"/>
      <c r="EC559" s="220"/>
      <c r="ED559" s="169"/>
      <c r="EE559" s="169"/>
      <c r="EF559" s="169"/>
      <c r="EG559" s="169"/>
      <c r="EH559" s="220"/>
      <c r="EI559" s="169"/>
      <c r="EJ559" s="169"/>
      <c r="EK559" s="169"/>
      <c r="EL559" s="169"/>
      <c r="EM559" s="220"/>
      <c r="EN559" s="169"/>
      <c r="EO559" s="169"/>
      <c r="EP559" s="169"/>
      <c r="EQ559" s="169"/>
      <c r="ER559" s="220"/>
      <c r="ES559" s="169"/>
      <c r="ET559" s="169"/>
      <c r="EU559" s="169"/>
      <c r="EV559" s="169"/>
      <c r="EW559" s="220"/>
      <c r="EX559" s="169"/>
      <c r="EY559" s="169"/>
      <c r="EZ559" s="169"/>
      <c r="FA559" s="169"/>
      <c r="FB559" s="220"/>
      <c r="FC559" s="169"/>
      <c r="FD559" s="169"/>
      <c r="FE559" s="169"/>
      <c r="FF559" s="169"/>
      <c r="FG559" s="220"/>
      <c r="FH559" s="169"/>
      <c r="FI559" s="169"/>
      <c r="FJ559" s="169"/>
      <c r="FK559" s="169"/>
      <c r="FL559" s="220"/>
      <c r="FM559" s="169"/>
      <c r="FN559" s="169"/>
      <c r="FO559" s="169"/>
      <c r="FP559" s="169"/>
      <c r="FQ559" s="220"/>
      <c r="FR559" s="169"/>
      <c r="FS559" s="169"/>
      <c r="FT559" s="169"/>
      <c r="FU559" s="169"/>
      <c r="FV559" s="220"/>
      <c r="FW559" s="169"/>
      <c r="FX559" s="169"/>
      <c r="FY559" s="169"/>
      <c r="FZ559" s="169"/>
      <c r="GA559" s="220"/>
      <c r="GB559" s="169"/>
      <c r="GC559" s="169"/>
      <c r="GD559" s="169"/>
      <c r="GE559" s="169"/>
      <c r="GF559" s="220"/>
      <c r="GG559" s="169"/>
      <c r="GH559" s="169"/>
      <c r="GI559" s="169"/>
      <c r="GJ559" s="169"/>
    </row>
    <row r="560" spans="3:192" ht="12.75" customHeight="1">
      <c r="C560" s="220"/>
      <c r="D560" s="169"/>
      <c r="E560" s="169"/>
      <c r="F560" s="169"/>
      <c r="G560" s="169"/>
      <c r="H560" s="220"/>
      <c r="I560" s="169"/>
      <c r="J560" s="169"/>
      <c r="K560" s="169"/>
      <c r="L560" s="169"/>
      <c r="M560" s="220"/>
      <c r="N560" s="169"/>
      <c r="O560" s="169"/>
      <c r="P560" s="169"/>
      <c r="Q560" s="169"/>
      <c r="R560" s="220"/>
      <c r="S560" s="169"/>
      <c r="T560" s="169"/>
      <c r="U560" s="169"/>
      <c r="V560" s="169"/>
      <c r="W560" s="220"/>
      <c r="X560" s="169"/>
      <c r="Y560" s="169"/>
      <c r="Z560" s="169"/>
      <c r="AA560" s="169"/>
      <c r="AB560" s="220"/>
      <c r="AC560" s="169"/>
      <c r="AD560" s="169"/>
      <c r="AE560" s="169"/>
      <c r="AF560" s="169"/>
      <c r="AG560" s="220"/>
      <c r="AH560" s="169"/>
      <c r="AI560" s="169"/>
      <c r="AJ560" s="169"/>
      <c r="AK560" s="169"/>
      <c r="AL560" s="220"/>
      <c r="AM560" s="169"/>
      <c r="AN560" s="169"/>
      <c r="AO560" s="169"/>
      <c r="AP560" s="169"/>
      <c r="AQ560" s="220"/>
      <c r="AR560" s="169"/>
      <c r="AS560" s="169"/>
      <c r="AT560" s="169"/>
      <c r="AU560" s="169"/>
      <c r="AV560" s="220"/>
      <c r="AW560" s="169"/>
      <c r="AX560" s="169"/>
      <c r="AY560" s="169"/>
      <c r="AZ560" s="169"/>
      <c r="BA560" s="220"/>
      <c r="BB560" s="169"/>
      <c r="BC560" s="169"/>
      <c r="BD560" s="169"/>
      <c r="BE560" s="169"/>
      <c r="BF560" s="220"/>
      <c r="BG560" s="169"/>
      <c r="BH560" s="169"/>
      <c r="BI560" s="169"/>
      <c r="BJ560" s="169"/>
      <c r="BK560" s="220"/>
      <c r="BL560" s="169"/>
      <c r="BM560" s="169"/>
      <c r="BN560" s="169"/>
      <c r="BO560" s="169"/>
      <c r="BP560" s="220"/>
      <c r="BQ560" s="169"/>
      <c r="BR560" s="169"/>
      <c r="BS560" s="169"/>
      <c r="BT560" s="169"/>
      <c r="BU560" s="220"/>
      <c r="BV560" s="169"/>
      <c r="BW560" s="169"/>
      <c r="BX560" s="169"/>
      <c r="BY560" s="169"/>
      <c r="BZ560" s="220"/>
      <c r="CA560" s="169"/>
      <c r="CB560" s="169"/>
      <c r="CC560" s="169"/>
      <c r="CD560" s="169"/>
      <c r="CE560" s="220"/>
      <c r="CF560" s="169"/>
      <c r="CG560" s="169"/>
      <c r="CH560" s="169"/>
      <c r="CI560" s="169"/>
      <c r="CJ560" s="220"/>
      <c r="CK560" s="169"/>
      <c r="CL560" s="169"/>
      <c r="CM560" s="169"/>
      <c r="CN560" s="169"/>
      <c r="CO560" s="220"/>
      <c r="CP560" s="169"/>
      <c r="CQ560" s="169"/>
      <c r="CR560" s="169"/>
      <c r="CS560" s="169"/>
      <c r="CT560" s="220"/>
      <c r="CU560" s="169"/>
      <c r="CV560" s="169"/>
      <c r="CW560" s="169"/>
      <c r="CX560" s="169"/>
      <c r="CY560" s="220"/>
      <c r="CZ560" s="169"/>
      <c r="DA560" s="169"/>
      <c r="DB560" s="169"/>
      <c r="DC560" s="169"/>
      <c r="DD560" s="220"/>
      <c r="DE560" s="169"/>
      <c r="DF560" s="169"/>
      <c r="DG560" s="169"/>
      <c r="DH560" s="169"/>
      <c r="DI560" s="220"/>
      <c r="DJ560" s="169"/>
      <c r="DK560" s="169"/>
      <c r="DL560" s="169"/>
      <c r="DM560" s="169"/>
      <c r="DN560" s="220"/>
      <c r="DO560" s="169"/>
      <c r="DP560" s="169"/>
      <c r="DQ560" s="169"/>
      <c r="DR560" s="169"/>
      <c r="DS560" s="220"/>
      <c r="DT560" s="169"/>
      <c r="DU560" s="169"/>
      <c r="DV560" s="169"/>
      <c r="DW560" s="169"/>
      <c r="DX560" s="220"/>
      <c r="DY560" s="169"/>
      <c r="DZ560" s="169"/>
      <c r="EA560" s="169"/>
      <c r="EB560" s="169"/>
      <c r="EC560" s="220"/>
      <c r="ED560" s="169"/>
      <c r="EE560" s="169"/>
      <c r="EF560" s="169"/>
      <c r="EG560" s="169"/>
      <c r="EH560" s="220"/>
      <c r="EI560" s="169"/>
      <c r="EJ560" s="169"/>
      <c r="EK560" s="169"/>
      <c r="EL560" s="169"/>
      <c r="EM560" s="220"/>
      <c r="EN560" s="169"/>
      <c r="EO560" s="169"/>
      <c r="EP560" s="169"/>
      <c r="EQ560" s="169"/>
      <c r="ER560" s="220"/>
      <c r="ES560" s="169"/>
      <c r="ET560" s="169"/>
      <c r="EU560" s="169"/>
      <c r="EV560" s="169"/>
      <c r="EW560" s="220"/>
      <c r="EX560" s="169"/>
      <c r="EY560" s="169"/>
      <c r="EZ560" s="169"/>
      <c r="FA560" s="169"/>
      <c r="FB560" s="220"/>
      <c r="FC560" s="169"/>
      <c r="FD560" s="169"/>
      <c r="FE560" s="169"/>
      <c r="FF560" s="169"/>
      <c r="FG560" s="220"/>
      <c r="FH560" s="169"/>
      <c r="FI560" s="169"/>
      <c r="FJ560" s="169"/>
      <c r="FK560" s="169"/>
      <c r="FL560" s="220"/>
      <c r="FM560" s="169"/>
      <c r="FN560" s="169"/>
      <c r="FO560" s="169"/>
      <c r="FP560" s="169"/>
      <c r="FQ560" s="220"/>
      <c r="FR560" s="169"/>
      <c r="FS560" s="169"/>
      <c r="FT560" s="169"/>
      <c r="FU560" s="169"/>
      <c r="FV560" s="220"/>
      <c r="FW560" s="169"/>
      <c r="FX560" s="169"/>
      <c r="FY560" s="169"/>
      <c r="FZ560" s="169"/>
      <c r="GA560" s="220"/>
      <c r="GB560" s="169"/>
      <c r="GC560" s="169"/>
      <c r="GD560" s="169"/>
      <c r="GE560" s="169"/>
      <c r="GF560" s="220"/>
      <c r="GG560" s="169"/>
      <c r="GH560" s="169"/>
      <c r="GI560" s="169"/>
      <c r="GJ560" s="169"/>
    </row>
    <row r="561" spans="3:192" ht="12.75" customHeight="1">
      <c r="C561" s="220"/>
      <c r="D561" s="169"/>
      <c r="E561" s="169"/>
      <c r="F561" s="169"/>
      <c r="G561" s="169"/>
      <c r="H561" s="220"/>
      <c r="I561" s="169"/>
      <c r="J561" s="169"/>
      <c r="K561" s="169"/>
      <c r="L561" s="169"/>
      <c r="M561" s="220"/>
      <c r="N561" s="169"/>
      <c r="O561" s="169"/>
      <c r="P561" s="169"/>
      <c r="Q561" s="169"/>
      <c r="R561" s="220"/>
      <c r="S561" s="169"/>
      <c r="T561" s="169"/>
      <c r="U561" s="169"/>
      <c r="V561" s="169"/>
      <c r="W561" s="220"/>
      <c r="X561" s="169"/>
      <c r="Y561" s="169"/>
      <c r="Z561" s="169"/>
      <c r="AA561" s="169"/>
      <c r="AB561" s="220"/>
      <c r="AC561" s="169"/>
      <c r="AD561" s="169"/>
      <c r="AE561" s="169"/>
      <c r="AF561" s="169"/>
      <c r="AG561" s="220"/>
      <c r="AH561" s="169"/>
      <c r="AI561" s="169"/>
      <c r="AJ561" s="169"/>
      <c r="AK561" s="169"/>
      <c r="AL561" s="220"/>
      <c r="AM561" s="169"/>
      <c r="AN561" s="169"/>
      <c r="AO561" s="169"/>
      <c r="AP561" s="169"/>
      <c r="AQ561" s="220"/>
      <c r="AR561" s="169"/>
      <c r="AS561" s="169"/>
      <c r="AT561" s="169"/>
      <c r="AU561" s="169"/>
      <c r="AV561" s="220"/>
      <c r="AW561" s="169"/>
      <c r="AX561" s="169"/>
      <c r="AY561" s="169"/>
      <c r="AZ561" s="169"/>
      <c r="BA561" s="220"/>
      <c r="BB561" s="169"/>
      <c r="BC561" s="169"/>
      <c r="BD561" s="169"/>
      <c r="BE561" s="169"/>
      <c r="BF561" s="220"/>
      <c r="BG561" s="169"/>
      <c r="BH561" s="169"/>
      <c r="BI561" s="169"/>
      <c r="BJ561" s="169"/>
      <c r="BK561" s="220"/>
      <c r="BL561" s="169"/>
      <c r="BM561" s="169"/>
      <c r="BN561" s="169"/>
      <c r="BO561" s="169"/>
      <c r="BP561" s="220"/>
      <c r="BQ561" s="169"/>
      <c r="BR561" s="169"/>
      <c r="BS561" s="169"/>
      <c r="BT561" s="169"/>
      <c r="BU561" s="220"/>
      <c r="BV561" s="169"/>
      <c r="BW561" s="169"/>
      <c r="BX561" s="169"/>
      <c r="BY561" s="169"/>
      <c r="BZ561" s="220"/>
      <c r="CA561" s="169"/>
      <c r="CB561" s="169"/>
      <c r="CC561" s="169"/>
      <c r="CD561" s="169"/>
      <c r="CE561" s="220"/>
      <c r="CF561" s="169"/>
      <c r="CG561" s="169"/>
      <c r="CH561" s="169"/>
      <c r="CI561" s="169"/>
      <c r="CJ561" s="220"/>
      <c r="CK561" s="169"/>
      <c r="CL561" s="169"/>
      <c r="CM561" s="169"/>
      <c r="CN561" s="169"/>
      <c r="CO561" s="220"/>
      <c r="CP561" s="169"/>
      <c r="CQ561" s="169"/>
      <c r="CR561" s="169"/>
      <c r="CS561" s="169"/>
      <c r="CT561" s="220"/>
      <c r="CU561" s="169"/>
      <c r="CV561" s="169"/>
      <c r="CW561" s="169"/>
      <c r="CX561" s="169"/>
      <c r="CY561" s="220"/>
      <c r="CZ561" s="169"/>
      <c r="DA561" s="169"/>
      <c r="DB561" s="169"/>
      <c r="DC561" s="169"/>
      <c r="DD561" s="220"/>
      <c r="DE561" s="169"/>
      <c r="DF561" s="169"/>
      <c r="DG561" s="169"/>
      <c r="DH561" s="169"/>
      <c r="DI561" s="220"/>
      <c r="DJ561" s="169"/>
      <c r="DK561" s="169"/>
      <c r="DL561" s="169"/>
      <c r="DM561" s="169"/>
      <c r="DN561" s="220"/>
      <c r="DO561" s="169"/>
      <c r="DP561" s="169"/>
      <c r="DQ561" s="169"/>
      <c r="DR561" s="169"/>
      <c r="DS561" s="220"/>
      <c r="DT561" s="169"/>
      <c r="DU561" s="169"/>
      <c r="DV561" s="169"/>
      <c r="DW561" s="169"/>
      <c r="DX561" s="220"/>
      <c r="DY561" s="169"/>
      <c r="DZ561" s="169"/>
      <c r="EA561" s="169"/>
      <c r="EB561" s="169"/>
      <c r="EC561" s="220"/>
      <c r="ED561" s="169"/>
      <c r="EE561" s="169"/>
      <c r="EF561" s="169"/>
      <c r="EG561" s="169"/>
      <c r="EH561" s="220"/>
      <c r="EI561" s="169"/>
      <c r="EJ561" s="169"/>
      <c r="EK561" s="169"/>
      <c r="EL561" s="169"/>
      <c r="EM561" s="220"/>
      <c r="EN561" s="169"/>
      <c r="EO561" s="169"/>
      <c r="EP561" s="169"/>
      <c r="EQ561" s="169"/>
      <c r="ER561" s="220"/>
      <c r="ES561" s="169"/>
      <c r="ET561" s="169"/>
      <c r="EU561" s="169"/>
      <c r="EV561" s="169"/>
      <c r="EW561" s="220"/>
      <c r="EX561" s="169"/>
      <c r="EY561" s="169"/>
      <c r="EZ561" s="169"/>
      <c r="FA561" s="169"/>
      <c r="FB561" s="220"/>
      <c r="FC561" s="169"/>
      <c r="FD561" s="169"/>
      <c r="FE561" s="169"/>
      <c r="FF561" s="169"/>
      <c r="FG561" s="220"/>
      <c r="FH561" s="169"/>
      <c r="FI561" s="169"/>
      <c r="FJ561" s="169"/>
      <c r="FK561" s="169"/>
      <c r="FL561" s="220"/>
      <c r="FM561" s="169"/>
      <c r="FN561" s="169"/>
      <c r="FO561" s="169"/>
      <c r="FP561" s="169"/>
      <c r="FQ561" s="220"/>
      <c r="FR561" s="169"/>
      <c r="FS561" s="169"/>
      <c r="FT561" s="169"/>
      <c r="FU561" s="169"/>
      <c r="FV561" s="220"/>
      <c r="FW561" s="169"/>
      <c r="FX561" s="169"/>
      <c r="FY561" s="169"/>
      <c r="FZ561" s="169"/>
      <c r="GA561" s="220"/>
      <c r="GB561" s="169"/>
      <c r="GC561" s="169"/>
      <c r="GD561" s="169"/>
      <c r="GE561" s="169"/>
      <c r="GF561" s="220"/>
      <c r="GG561" s="169"/>
      <c r="GH561" s="169"/>
      <c r="GI561" s="169"/>
      <c r="GJ561" s="169"/>
    </row>
    <row r="562" spans="3:192" ht="12.75" customHeight="1">
      <c r="C562" s="220"/>
      <c r="D562" s="169"/>
      <c r="E562" s="169"/>
      <c r="F562" s="169"/>
      <c r="G562" s="169"/>
      <c r="H562" s="220"/>
      <c r="I562" s="169"/>
      <c r="J562" s="169"/>
      <c r="K562" s="169"/>
      <c r="L562" s="169"/>
      <c r="M562" s="220"/>
      <c r="N562" s="169"/>
      <c r="O562" s="169"/>
      <c r="P562" s="169"/>
      <c r="Q562" s="169"/>
      <c r="R562" s="220"/>
      <c r="S562" s="169"/>
      <c r="T562" s="169"/>
      <c r="U562" s="169"/>
      <c r="V562" s="169"/>
      <c r="W562" s="220"/>
      <c r="X562" s="169"/>
      <c r="Y562" s="169"/>
      <c r="Z562" s="169"/>
      <c r="AA562" s="169"/>
      <c r="AB562" s="220"/>
      <c r="AC562" s="169"/>
      <c r="AD562" s="169"/>
      <c r="AE562" s="169"/>
      <c r="AF562" s="169"/>
      <c r="AG562" s="220"/>
      <c r="AH562" s="169"/>
      <c r="AI562" s="169"/>
      <c r="AJ562" s="169"/>
      <c r="AK562" s="169"/>
      <c r="AL562" s="220"/>
      <c r="AM562" s="169"/>
      <c r="AN562" s="169"/>
      <c r="AO562" s="169"/>
      <c r="AP562" s="169"/>
      <c r="AQ562" s="220"/>
      <c r="AR562" s="169"/>
      <c r="AS562" s="169"/>
      <c r="AT562" s="169"/>
      <c r="AU562" s="169"/>
      <c r="AV562" s="220"/>
      <c r="AW562" s="169"/>
      <c r="AX562" s="169"/>
      <c r="AY562" s="169"/>
      <c r="AZ562" s="169"/>
      <c r="BA562" s="220"/>
      <c r="BB562" s="169"/>
      <c r="BC562" s="169"/>
      <c r="BD562" s="169"/>
      <c r="BE562" s="169"/>
      <c r="BF562" s="220"/>
      <c r="BG562" s="169"/>
      <c r="BH562" s="169"/>
      <c r="BI562" s="169"/>
      <c r="BJ562" s="169"/>
      <c r="BK562" s="220"/>
      <c r="BL562" s="169"/>
      <c r="BM562" s="169"/>
      <c r="BN562" s="169"/>
      <c r="BO562" s="169"/>
      <c r="BP562" s="220"/>
      <c r="BQ562" s="169"/>
      <c r="BR562" s="169"/>
      <c r="BS562" s="169"/>
      <c r="BT562" s="169"/>
      <c r="BU562" s="220"/>
      <c r="BV562" s="169"/>
      <c r="BW562" s="169"/>
      <c r="BX562" s="169"/>
      <c r="BY562" s="169"/>
      <c r="BZ562" s="220"/>
      <c r="CA562" s="169"/>
      <c r="CB562" s="169"/>
      <c r="CC562" s="169"/>
      <c r="CD562" s="169"/>
      <c r="CE562" s="220"/>
      <c r="CF562" s="169"/>
      <c r="CG562" s="169"/>
      <c r="CH562" s="169"/>
      <c r="CI562" s="169"/>
      <c r="CJ562" s="220"/>
      <c r="CK562" s="169"/>
      <c r="CL562" s="169"/>
      <c r="CM562" s="169"/>
      <c r="CN562" s="169"/>
      <c r="CO562" s="220"/>
      <c r="CP562" s="169"/>
      <c r="CQ562" s="169"/>
      <c r="CR562" s="169"/>
      <c r="CS562" s="169"/>
      <c r="CT562" s="220"/>
      <c r="CU562" s="169"/>
      <c r="CV562" s="169"/>
      <c r="CW562" s="169"/>
      <c r="CX562" s="169"/>
      <c r="CY562" s="220"/>
      <c r="CZ562" s="169"/>
      <c r="DA562" s="169"/>
      <c r="DB562" s="169"/>
      <c r="DC562" s="169"/>
      <c r="DD562" s="220"/>
      <c r="DE562" s="169"/>
      <c r="DF562" s="169"/>
      <c r="DG562" s="169"/>
      <c r="DH562" s="169"/>
      <c r="DI562" s="220"/>
      <c r="DJ562" s="169"/>
      <c r="DK562" s="169"/>
      <c r="DL562" s="169"/>
      <c r="DM562" s="169"/>
      <c r="DN562" s="220"/>
      <c r="DO562" s="169"/>
      <c r="DP562" s="169"/>
      <c r="DQ562" s="169"/>
      <c r="DR562" s="169"/>
      <c r="DS562" s="220"/>
      <c r="DT562" s="169"/>
      <c r="DU562" s="169"/>
      <c r="DV562" s="169"/>
      <c r="DW562" s="169"/>
      <c r="DX562" s="220"/>
      <c r="DY562" s="169"/>
      <c r="DZ562" s="169"/>
      <c r="EA562" s="169"/>
      <c r="EB562" s="169"/>
      <c r="EC562" s="220"/>
      <c r="ED562" s="169"/>
      <c r="EE562" s="169"/>
      <c r="EF562" s="169"/>
      <c r="EG562" s="169"/>
      <c r="EH562" s="220"/>
      <c r="EI562" s="169"/>
      <c r="EJ562" s="169"/>
      <c r="EK562" s="169"/>
      <c r="EL562" s="169"/>
      <c r="EM562" s="220"/>
      <c r="EN562" s="169"/>
      <c r="EO562" s="169"/>
      <c r="EP562" s="169"/>
      <c r="EQ562" s="169"/>
      <c r="ER562" s="220"/>
      <c r="ES562" s="169"/>
      <c r="ET562" s="169"/>
      <c r="EU562" s="169"/>
      <c r="EV562" s="169"/>
      <c r="EW562" s="220"/>
      <c r="EX562" s="169"/>
      <c r="EY562" s="169"/>
      <c r="EZ562" s="169"/>
      <c r="FA562" s="169"/>
      <c r="FB562" s="220"/>
      <c r="FC562" s="169"/>
      <c r="FD562" s="169"/>
      <c r="FE562" s="169"/>
      <c r="FF562" s="169"/>
      <c r="FG562" s="220"/>
      <c r="FH562" s="169"/>
      <c r="FI562" s="169"/>
      <c r="FJ562" s="169"/>
      <c r="FK562" s="169"/>
      <c r="FL562" s="220"/>
      <c r="FM562" s="169"/>
      <c r="FN562" s="169"/>
      <c r="FO562" s="169"/>
      <c r="FP562" s="169"/>
      <c r="FQ562" s="220"/>
      <c r="FR562" s="169"/>
      <c r="FS562" s="169"/>
      <c r="FT562" s="169"/>
      <c r="FU562" s="169"/>
      <c r="FV562" s="220"/>
      <c r="FW562" s="169"/>
      <c r="FX562" s="169"/>
      <c r="FY562" s="169"/>
      <c r="FZ562" s="169"/>
      <c r="GA562" s="220"/>
      <c r="GB562" s="169"/>
      <c r="GC562" s="169"/>
      <c r="GD562" s="169"/>
      <c r="GE562" s="169"/>
      <c r="GF562" s="220"/>
      <c r="GG562" s="169"/>
      <c r="GH562" s="169"/>
      <c r="GI562" s="169"/>
      <c r="GJ562" s="169"/>
    </row>
    <row r="563" spans="3:192" ht="12.75" customHeight="1">
      <c r="C563" s="234"/>
      <c r="D563" s="234"/>
      <c r="E563" s="234"/>
      <c r="F563" s="234"/>
      <c r="G563" s="234"/>
      <c r="H563" s="234"/>
      <c r="I563" s="234"/>
      <c r="J563" s="234"/>
      <c r="K563" s="234"/>
      <c r="L563" s="234"/>
      <c r="M563" s="234"/>
      <c r="N563" s="234"/>
      <c r="O563" s="234"/>
      <c r="P563" s="234"/>
      <c r="Q563" s="234"/>
      <c r="R563" s="234"/>
      <c r="S563" s="234"/>
      <c r="T563" s="234"/>
      <c r="U563" s="234"/>
      <c r="V563" s="234"/>
      <c r="W563" s="234"/>
      <c r="X563" s="234"/>
      <c r="Y563" s="234"/>
      <c r="Z563" s="234"/>
      <c r="AA563" s="234"/>
      <c r="AB563" s="234"/>
      <c r="AC563" s="234"/>
      <c r="AD563" s="234"/>
      <c r="AE563" s="234"/>
      <c r="AF563" s="234"/>
      <c r="AG563" s="234"/>
      <c r="AH563" s="234"/>
      <c r="AI563" s="234"/>
      <c r="AJ563" s="234"/>
      <c r="AK563" s="234"/>
      <c r="AL563" s="234"/>
      <c r="AM563" s="234"/>
      <c r="AN563" s="234"/>
      <c r="AO563" s="234"/>
      <c r="AP563" s="234"/>
      <c r="AQ563" s="234"/>
      <c r="AR563" s="234"/>
      <c r="AS563" s="234"/>
      <c r="AT563" s="234"/>
      <c r="AU563" s="234"/>
      <c r="AV563" s="234"/>
      <c r="AW563" s="234"/>
      <c r="AX563" s="234"/>
      <c r="AY563" s="234"/>
      <c r="AZ563" s="234"/>
      <c r="BA563" s="234"/>
      <c r="BB563" s="234"/>
      <c r="BC563" s="234"/>
      <c r="BD563" s="234"/>
      <c r="BE563" s="234"/>
      <c r="BF563" s="234"/>
      <c r="BG563" s="234"/>
      <c r="BH563" s="234"/>
      <c r="BI563" s="234"/>
      <c r="BJ563" s="234"/>
      <c r="BK563" s="234"/>
      <c r="BL563" s="234"/>
      <c r="BM563" s="234"/>
      <c r="BN563" s="234"/>
      <c r="BO563" s="234"/>
      <c r="BP563" s="234"/>
      <c r="BQ563" s="234"/>
      <c r="BR563" s="234"/>
      <c r="BS563" s="234"/>
      <c r="BT563" s="234"/>
      <c r="BU563" s="234"/>
      <c r="BV563" s="234"/>
      <c r="BW563" s="234"/>
      <c r="BX563" s="234"/>
      <c r="BY563" s="234"/>
      <c r="BZ563" s="234"/>
      <c r="CA563" s="234"/>
      <c r="CB563" s="234"/>
      <c r="CC563" s="234"/>
      <c r="CD563" s="234"/>
      <c r="CE563" s="234"/>
      <c r="CF563" s="234"/>
      <c r="CG563" s="234"/>
      <c r="CH563" s="234"/>
      <c r="CI563" s="234"/>
      <c r="CJ563" s="234"/>
      <c r="CK563" s="234"/>
      <c r="CL563" s="234"/>
      <c r="CM563" s="234"/>
      <c r="CN563" s="234"/>
      <c r="CO563" s="234"/>
      <c r="CP563" s="234"/>
      <c r="CQ563" s="234"/>
      <c r="CR563" s="234"/>
      <c r="CS563" s="234"/>
      <c r="CT563" s="234"/>
      <c r="CU563" s="234"/>
      <c r="CV563" s="234"/>
      <c r="CW563" s="234"/>
      <c r="CX563" s="234"/>
      <c r="CY563" s="234"/>
      <c r="CZ563" s="234"/>
      <c r="DA563" s="234"/>
      <c r="DB563" s="234"/>
      <c r="DC563" s="234"/>
      <c r="DD563" s="234"/>
      <c r="DE563" s="234"/>
      <c r="DF563" s="234"/>
      <c r="DG563" s="234"/>
      <c r="DH563" s="234"/>
      <c r="DI563" s="234"/>
      <c r="DJ563" s="234"/>
      <c r="DK563" s="234"/>
      <c r="DL563" s="234"/>
      <c r="DM563" s="234"/>
      <c r="DN563" s="234"/>
      <c r="DO563" s="234"/>
      <c r="DP563" s="234"/>
      <c r="DQ563" s="234"/>
      <c r="DR563" s="234"/>
      <c r="DS563" s="234"/>
      <c r="DT563" s="234"/>
      <c r="DU563" s="234"/>
      <c r="DV563" s="234"/>
      <c r="DW563" s="234"/>
      <c r="DX563" s="234"/>
      <c r="DY563" s="234"/>
      <c r="DZ563" s="234"/>
      <c r="EA563" s="234"/>
      <c r="EB563" s="234"/>
      <c r="EC563" s="234"/>
      <c r="ED563" s="234"/>
      <c r="EE563" s="234"/>
      <c r="EF563" s="234"/>
      <c r="EG563" s="234"/>
      <c r="EH563" s="234"/>
      <c r="EI563" s="234"/>
      <c r="EJ563" s="234"/>
      <c r="EK563" s="234"/>
      <c r="EL563" s="234"/>
      <c r="EM563" s="234"/>
      <c r="EN563" s="234"/>
      <c r="EO563" s="234"/>
      <c r="EP563" s="234"/>
      <c r="EQ563" s="234"/>
      <c r="ER563" s="234"/>
      <c r="ES563" s="234"/>
      <c r="ET563" s="234"/>
      <c r="EU563" s="234"/>
      <c r="EV563" s="234"/>
      <c r="EW563" s="234"/>
      <c r="EX563" s="234"/>
      <c r="EY563" s="234"/>
      <c r="EZ563" s="234"/>
      <c r="FA563" s="234"/>
      <c r="FB563" s="234"/>
      <c r="FC563" s="234"/>
      <c r="FD563" s="234"/>
      <c r="FE563" s="234"/>
      <c r="FF563" s="234"/>
      <c r="FG563" s="234"/>
      <c r="FH563" s="234"/>
      <c r="FI563" s="234"/>
      <c r="FJ563" s="234"/>
      <c r="FK563" s="234"/>
      <c r="FL563" s="234"/>
      <c r="FM563" s="234"/>
      <c r="FN563" s="234"/>
      <c r="FO563" s="234"/>
      <c r="FP563" s="234"/>
      <c r="FQ563" s="234"/>
      <c r="FR563" s="234"/>
      <c r="FS563" s="234"/>
      <c r="FT563" s="234"/>
      <c r="FU563" s="234"/>
      <c r="FV563" s="234"/>
      <c r="FW563" s="234"/>
      <c r="FX563" s="234"/>
      <c r="FY563" s="234"/>
      <c r="FZ563" s="234"/>
      <c r="GA563" s="234"/>
      <c r="GB563" s="234"/>
      <c r="GC563" s="234"/>
      <c r="GD563" s="234"/>
      <c r="GE563" s="234"/>
      <c r="GF563" s="234"/>
      <c r="GG563" s="234"/>
      <c r="GH563" s="234"/>
      <c r="GI563" s="234"/>
      <c r="GJ563" s="234"/>
    </row>
    <row r="564" spans="3:192" ht="12.75" customHeight="1">
      <c r="C564" s="106"/>
      <c r="D564" s="106"/>
      <c r="E564" s="106"/>
      <c r="F564" s="106"/>
      <c r="G564" s="106"/>
      <c r="H564" s="106"/>
      <c r="I564" s="106"/>
      <c r="J564" s="106"/>
      <c r="K564" s="106"/>
      <c r="L564" s="106"/>
      <c r="M564" s="106"/>
      <c r="N564" s="106"/>
      <c r="O564" s="106"/>
      <c r="P564" s="106"/>
      <c r="Q564" s="106"/>
      <c r="R564" s="106"/>
      <c r="S564" s="106"/>
      <c r="T564" s="106"/>
      <c r="U564" s="106"/>
      <c r="V564" s="106"/>
      <c r="W564" s="106"/>
      <c r="X564" s="106"/>
      <c r="Y564" s="106"/>
      <c r="Z564" s="106"/>
      <c r="AA564" s="106"/>
      <c r="AB564" s="106"/>
      <c r="AC564" s="106"/>
      <c r="AD564" s="106"/>
      <c r="AE564" s="106"/>
      <c r="AF564" s="106"/>
      <c r="AG564" s="106"/>
      <c r="AH564" s="106"/>
      <c r="AI564" s="106"/>
      <c r="AJ564" s="106"/>
      <c r="AK564" s="106"/>
      <c r="AL564" s="106"/>
      <c r="AM564" s="106"/>
      <c r="AN564" s="106"/>
      <c r="AO564" s="106"/>
      <c r="AP564" s="106"/>
      <c r="AQ564" s="106"/>
      <c r="AR564" s="106"/>
      <c r="AS564" s="106"/>
      <c r="AT564" s="106"/>
      <c r="AU564" s="106"/>
      <c r="AV564" s="106"/>
      <c r="AW564" s="106"/>
      <c r="AX564" s="106"/>
      <c r="AY564" s="106"/>
      <c r="AZ564" s="106"/>
      <c r="BA564" s="106"/>
      <c r="BB564" s="106"/>
      <c r="BC564" s="106"/>
      <c r="BD564" s="106"/>
      <c r="BE564" s="106"/>
      <c r="BF564" s="106"/>
      <c r="BG564" s="106"/>
      <c r="BH564" s="106"/>
      <c r="BI564" s="106"/>
      <c r="BJ564" s="106"/>
      <c r="BK564" s="106"/>
      <c r="BL564" s="106"/>
      <c r="BM564" s="106"/>
      <c r="BN564" s="106"/>
      <c r="BO564" s="106"/>
      <c r="BP564" s="106"/>
      <c r="BQ564" s="106"/>
      <c r="BR564" s="106"/>
      <c r="BS564" s="106"/>
      <c r="BT564" s="106"/>
      <c r="BU564" s="106"/>
      <c r="BV564" s="106"/>
      <c r="BW564" s="106"/>
      <c r="BX564" s="106"/>
      <c r="BY564" s="106"/>
      <c r="BZ564" s="106"/>
      <c r="CA564" s="106"/>
      <c r="CB564" s="106"/>
      <c r="CC564" s="106"/>
      <c r="CD564" s="106"/>
      <c r="CE564" s="106"/>
      <c r="CF564" s="106"/>
      <c r="CG564" s="106"/>
      <c r="CH564" s="106"/>
      <c r="CI564" s="106"/>
      <c r="CJ564" s="106"/>
      <c r="CK564" s="106"/>
      <c r="CL564" s="106"/>
      <c r="CM564" s="106"/>
      <c r="CN564" s="106"/>
      <c r="CO564" s="106"/>
      <c r="CP564" s="106"/>
      <c r="CQ564" s="106"/>
      <c r="CR564" s="106"/>
      <c r="CS564" s="106"/>
      <c r="CT564" s="106"/>
      <c r="CU564" s="106"/>
      <c r="CV564" s="106"/>
      <c r="CW564" s="106"/>
      <c r="CX564" s="106"/>
      <c r="CY564" s="106"/>
      <c r="CZ564" s="106"/>
      <c r="DA564" s="106"/>
      <c r="DB564" s="106"/>
      <c r="DC564" s="106"/>
      <c r="DD564" s="106"/>
      <c r="DE564" s="106"/>
      <c r="DF564" s="106"/>
      <c r="DG564" s="106"/>
      <c r="DH564" s="106"/>
      <c r="DI564" s="106"/>
      <c r="DJ564" s="106"/>
      <c r="DK564" s="106"/>
      <c r="DL564" s="106"/>
      <c r="DM564" s="106"/>
      <c r="DN564" s="106"/>
      <c r="DO564" s="106"/>
      <c r="DP564" s="106"/>
      <c r="DQ564" s="106"/>
      <c r="DR564" s="106"/>
      <c r="DS564" s="106"/>
      <c r="DT564" s="106"/>
      <c r="DU564" s="106"/>
      <c r="DV564" s="106"/>
      <c r="DW564" s="106"/>
      <c r="DX564" s="106"/>
      <c r="DY564" s="106"/>
      <c r="DZ564" s="106"/>
      <c r="EA564" s="106"/>
      <c r="EB564" s="106"/>
      <c r="EC564" s="106"/>
      <c r="ED564" s="106"/>
      <c r="EE564" s="106"/>
      <c r="EF564" s="106"/>
      <c r="EG564" s="106"/>
      <c r="EH564" s="106"/>
      <c r="EI564" s="106"/>
      <c r="EJ564" s="106"/>
      <c r="EK564" s="106"/>
      <c r="EL564" s="106"/>
      <c r="EM564" s="106"/>
      <c r="EN564" s="106"/>
      <c r="EO564" s="106"/>
      <c r="EP564" s="106"/>
      <c r="EQ564" s="106"/>
      <c r="ER564" s="106"/>
      <c r="ES564" s="106"/>
      <c r="ET564" s="106"/>
      <c r="EU564" s="106"/>
      <c r="EV564" s="106"/>
      <c r="EW564" s="106"/>
      <c r="EX564" s="106"/>
      <c r="EY564" s="106"/>
      <c r="EZ564" s="106"/>
      <c r="FA564" s="106"/>
      <c r="FB564" s="106"/>
      <c r="FC564" s="106"/>
      <c r="FD564" s="106"/>
      <c r="FE564" s="106"/>
      <c r="FF564" s="106"/>
      <c r="FG564" s="106"/>
      <c r="FH564" s="106"/>
      <c r="FI564" s="106"/>
      <c r="FJ564" s="106"/>
      <c r="FK564" s="106"/>
      <c r="FL564" s="106"/>
      <c r="FM564" s="106"/>
      <c r="FN564" s="106"/>
      <c r="FO564" s="106"/>
      <c r="FP564" s="106"/>
      <c r="FQ564" s="106"/>
      <c r="FR564" s="106"/>
      <c r="FS564" s="106"/>
      <c r="FT564" s="106"/>
      <c r="FU564" s="106"/>
      <c r="FV564" s="106"/>
      <c r="FW564" s="106"/>
      <c r="FX564" s="106"/>
      <c r="FY564" s="106"/>
      <c r="FZ564" s="106"/>
      <c r="GA564" s="106"/>
      <c r="GB564" s="106"/>
      <c r="GC564" s="106"/>
      <c r="GD564" s="106"/>
      <c r="GE564" s="106"/>
      <c r="GF564" s="106"/>
      <c r="GG564" s="106"/>
      <c r="GH564" s="106"/>
      <c r="GI564" s="106"/>
      <c r="GJ564" s="106"/>
    </row>
    <row r="565" spans="3:192" ht="12.75" customHeight="1">
      <c r="C565" s="220"/>
      <c r="D565" s="169"/>
      <c r="E565" s="169"/>
      <c r="F565" s="169"/>
      <c r="G565" s="169"/>
      <c r="H565" s="220"/>
      <c r="I565" s="169"/>
      <c r="J565" s="169"/>
      <c r="K565" s="169"/>
      <c r="L565" s="169"/>
      <c r="M565" s="220"/>
      <c r="N565" s="169"/>
      <c r="O565" s="169"/>
      <c r="P565" s="169"/>
      <c r="Q565" s="169"/>
      <c r="R565" s="220"/>
      <c r="S565" s="169"/>
      <c r="T565" s="169"/>
      <c r="U565" s="169"/>
      <c r="V565" s="169"/>
      <c r="W565" s="220"/>
      <c r="X565" s="169"/>
      <c r="Y565" s="169"/>
      <c r="Z565" s="169"/>
      <c r="AA565" s="169"/>
      <c r="AB565" s="220"/>
      <c r="AC565" s="169"/>
      <c r="AD565" s="169"/>
      <c r="AE565" s="169"/>
      <c r="AF565" s="169"/>
      <c r="AG565" s="220"/>
      <c r="AH565" s="169"/>
      <c r="AI565" s="169"/>
      <c r="AJ565" s="169"/>
      <c r="AK565" s="169"/>
      <c r="AL565" s="220"/>
      <c r="AM565" s="169"/>
      <c r="AN565" s="169"/>
      <c r="AO565" s="169"/>
      <c r="AP565" s="169"/>
      <c r="AQ565" s="220"/>
      <c r="AR565" s="169"/>
      <c r="AS565" s="169"/>
      <c r="AT565" s="169"/>
      <c r="AU565" s="169"/>
      <c r="AV565" s="220"/>
      <c r="AW565" s="169"/>
      <c r="AX565" s="169"/>
      <c r="AY565" s="169"/>
      <c r="AZ565" s="169"/>
      <c r="BA565" s="220"/>
      <c r="BB565" s="169"/>
      <c r="BC565" s="169"/>
      <c r="BD565" s="169"/>
      <c r="BE565" s="169"/>
      <c r="BF565" s="220"/>
      <c r="BG565" s="169"/>
      <c r="BH565" s="169"/>
      <c r="BI565" s="169"/>
      <c r="BJ565" s="169"/>
      <c r="BK565" s="220"/>
      <c r="BL565" s="169"/>
      <c r="BM565" s="169"/>
      <c r="BN565" s="169"/>
      <c r="BO565" s="169"/>
      <c r="BP565" s="220"/>
      <c r="BQ565" s="169"/>
      <c r="BR565" s="169"/>
      <c r="BS565" s="169"/>
      <c r="BT565" s="169"/>
      <c r="BU565" s="220"/>
      <c r="BV565" s="169"/>
      <c r="BW565" s="169"/>
      <c r="BX565" s="169"/>
      <c r="BY565" s="169"/>
      <c r="BZ565" s="220"/>
      <c r="CA565" s="169"/>
      <c r="CB565" s="169"/>
      <c r="CC565" s="169"/>
      <c r="CD565" s="169"/>
      <c r="CE565" s="220"/>
      <c r="CF565" s="169"/>
      <c r="CG565" s="169"/>
      <c r="CH565" s="169"/>
      <c r="CI565" s="169"/>
      <c r="CJ565" s="220"/>
      <c r="CK565" s="169"/>
      <c r="CL565" s="169"/>
      <c r="CM565" s="169"/>
      <c r="CN565" s="169"/>
      <c r="CO565" s="220"/>
      <c r="CP565" s="169"/>
      <c r="CQ565" s="169"/>
      <c r="CR565" s="169"/>
      <c r="CS565" s="169"/>
      <c r="CT565" s="220"/>
      <c r="CU565" s="169"/>
      <c r="CV565" s="169"/>
      <c r="CW565" s="169"/>
      <c r="CX565" s="169"/>
      <c r="CY565" s="220"/>
      <c r="CZ565" s="169"/>
      <c r="DA565" s="169"/>
      <c r="DB565" s="169"/>
      <c r="DC565" s="169"/>
      <c r="DD565" s="220"/>
      <c r="DE565" s="169"/>
      <c r="DF565" s="169"/>
      <c r="DG565" s="169"/>
      <c r="DH565" s="169"/>
      <c r="DI565" s="220"/>
      <c r="DJ565" s="169"/>
      <c r="DK565" s="169"/>
      <c r="DL565" s="169"/>
      <c r="DM565" s="169"/>
      <c r="DN565" s="220"/>
      <c r="DO565" s="169"/>
      <c r="DP565" s="169"/>
      <c r="DQ565" s="169"/>
      <c r="DR565" s="169"/>
      <c r="DS565" s="220"/>
      <c r="DT565" s="169"/>
      <c r="DU565" s="169"/>
      <c r="DV565" s="169"/>
      <c r="DW565" s="169"/>
      <c r="DX565" s="220"/>
      <c r="DY565" s="169"/>
      <c r="DZ565" s="169"/>
      <c r="EA565" s="169"/>
      <c r="EB565" s="169"/>
      <c r="EC565" s="220"/>
      <c r="ED565" s="169"/>
      <c r="EE565" s="169"/>
      <c r="EF565" s="169"/>
      <c r="EG565" s="169"/>
      <c r="EH565" s="220"/>
      <c r="EI565" s="169"/>
      <c r="EJ565" s="169"/>
      <c r="EK565" s="169"/>
      <c r="EL565" s="169"/>
      <c r="EM565" s="220"/>
      <c r="EN565" s="169"/>
      <c r="EO565" s="169"/>
      <c r="EP565" s="169"/>
      <c r="EQ565" s="169"/>
      <c r="ER565" s="220"/>
      <c r="ES565" s="169"/>
      <c r="ET565" s="169"/>
      <c r="EU565" s="169"/>
      <c r="EV565" s="169"/>
      <c r="EW565" s="220"/>
      <c r="EX565" s="169"/>
      <c r="EY565" s="169"/>
      <c r="EZ565" s="169"/>
      <c r="FA565" s="169"/>
      <c r="FB565" s="220"/>
      <c r="FC565" s="169"/>
      <c r="FD565" s="169"/>
      <c r="FE565" s="169"/>
      <c r="FF565" s="169"/>
      <c r="FG565" s="220"/>
      <c r="FH565" s="169"/>
      <c r="FI565" s="169"/>
      <c r="FJ565" s="169"/>
      <c r="FK565" s="169"/>
      <c r="FL565" s="220"/>
      <c r="FM565" s="169"/>
      <c r="FN565" s="169"/>
      <c r="FO565" s="169"/>
      <c r="FP565" s="169"/>
      <c r="FQ565" s="220"/>
      <c r="FR565" s="169"/>
      <c r="FS565" s="169"/>
      <c r="FT565" s="169"/>
      <c r="FU565" s="169"/>
      <c r="FV565" s="220"/>
      <c r="FW565" s="169"/>
      <c r="FX565" s="169"/>
      <c r="FY565" s="169"/>
      <c r="FZ565" s="169"/>
      <c r="GA565" s="220"/>
      <c r="GB565" s="169"/>
      <c r="GC565" s="169"/>
      <c r="GD565" s="169"/>
      <c r="GE565" s="169"/>
      <c r="GF565" s="220"/>
      <c r="GG565" s="169"/>
      <c r="GH565" s="169"/>
      <c r="GI565" s="169"/>
      <c r="GJ565" s="169"/>
    </row>
    <row r="566" spans="3:192" ht="12.75" customHeight="1">
      <c r="C566" s="234"/>
      <c r="D566" s="234"/>
      <c r="E566" s="234"/>
      <c r="F566" s="234"/>
      <c r="G566" s="234"/>
      <c r="H566" s="234"/>
      <c r="I566" s="234"/>
      <c r="J566" s="234"/>
      <c r="K566" s="234"/>
      <c r="L566" s="234"/>
      <c r="M566" s="234"/>
      <c r="N566" s="234"/>
      <c r="O566" s="234"/>
      <c r="P566" s="234"/>
      <c r="Q566" s="234"/>
      <c r="R566" s="234"/>
      <c r="S566" s="234"/>
      <c r="T566" s="234"/>
      <c r="U566" s="234"/>
      <c r="V566" s="234"/>
      <c r="W566" s="234"/>
      <c r="X566" s="234"/>
      <c r="Y566" s="234"/>
      <c r="Z566" s="234"/>
      <c r="AA566" s="234"/>
      <c r="AB566" s="234"/>
      <c r="AC566" s="234"/>
      <c r="AD566" s="234"/>
      <c r="AE566" s="234"/>
      <c r="AF566" s="234"/>
      <c r="AG566" s="234"/>
      <c r="AH566" s="234"/>
      <c r="AI566" s="234"/>
      <c r="AJ566" s="234"/>
      <c r="AK566" s="234"/>
      <c r="AL566" s="234"/>
      <c r="AM566" s="234"/>
      <c r="AN566" s="234"/>
      <c r="AO566" s="234"/>
      <c r="AP566" s="234"/>
      <c r="AQ566" s="234"/>
      <c r="AR566" s="234"/>
      <c r="AS566" s="234"/>
      <c r="AT566" s="234"/>
      <c r="AU566" s="234"/>
      <c r="AV566" s="234"/>
      <c r="AW566" s="234"/>
      <c r="AX566" s="234"/>
      <c r="AY566" s="234"/>
      <c r="AZ566" s="234"/>
      <c r="BA566" s="234"/>
      <c r="BB566" s="234"/>
      <c r="BC566" s="234"/>
      <c r="BD566" s="234"/>
      <c r="BE566" s="234"/>
      <c r="BF566" s="234"/>
      <c r="BG566" s="234"/>
      <c r="BH566" s="234"/>
      <c r="BI566" s="234"/>
      <c r="BJ566" s="234"/>
      <c r="BK566" s="234"/>
      <c r="BL566" s="234"/>
      <c r="BM566" s="234"/>
      <c r="BN566" s="234"/>
      <c r="BO566" s="234"/>
      <c r="BP566" s="234"/>
      <c r="BQ566" s="234"/>
      <c r="BR566" s="234"/>
      <c r="BS566" s="234"/>
      <c r="BT566" s="234"/>
      <c r="BU566" s="234"/>
      <c r="BV566" s="234"/>
      <c r="BW566" s="234"/>
      <c r="BX566" s="234"/>
      <c r="BY566" s="234"/>
      <c r="BZ566" s="234"/>
      <c r="CA566" s="234"/>
      <c r="CB566" s="234"/>
      <c r="CC566" s="234"/>
      <c r="CD566" s="234"/>
      <c r="CE566" s="234"/>
      <c r="CF566" s="234"/>
      <c r="CG566" s="234"/>
      <c r="CH566" s="234"/>
      <c r="CI566" s="234"/>
      <c r="CJ566" s="234"/>
      <c r="CK566" s="234"/>
      <c r="CL566" s="234"/>
      <c r="CM566" s="234"/>
      <c r="CN566" s="234"/>
      <c r="CO566" s="234"/>
      <c r="CP566" s="234"/>
      <c r="CQ566" s="234"/>
      <c r="CR566" s="234"/>
      <c r="CS566" s="234"/>
      <c r="CT566" s="234"/>
      <c r="CU566" s="234"/>
      <c r="CV566" s="234"/>
      <c r="CW566" s="234"/>
      <c r="CX566" s="234"/>
      <c r="CY566" s="234"/>
      <c r="CZ566" s="234"/>
      <c r="DA566" s="234"/>
      <c r="DB566" s="234"/>
      <c r="DC566" s="234"/>
      <c r="DD566" s="234"/>
      <c r="DE566" s="234"/>
      <c r="DF566" s="234"/>
      <c r="DG566" s="234"/>
      <c r="DH566" s="234"/>
      <c r="DI566" s="234"/>
      <c r="DJ566" s="234"/>
      <c r="DK566" s="234"/>
      <c r="DL566" s="234"/>
      <c r="DM566" s="234"/>
      <c r="DN566" s="234"/>
      <c r="DO566" s="234"/>
      <c r="DP566" s="234"/>
      <c r="DQ566" s="234"/>
      <c r="DR566" s="234"/>
      <c r="DS566" s="234"/>
      <c r="DT566" s="234"/>
      <c r="DU566" s="234"/>
      <c r="DV566" s="234"/>
      <c r="DW566" s="234"/>
      <c r="DX566" s="234"/>
      <c r="DY566" s="234"/>
      <c r="DZ566" s="234"/>
      <c r="EA566" s="234"/>
      <c r="EB566" s="234"/>
      <c r="EC566" s="234"/>
      <c r="ED566" s="234"/>
      <c r="EE566" s="234"/>
      <c r="EF566" s="234"/>
      <c r="EG566" s="234"/>
      <c r="EH566" s="234"/>
      <c r="EI566" s="234"/>
      <c r="EJ566" s="234"/>
      <c r="EK566" s="234"/>
      <c r="EL566" s="234"/>
      <c r="EM566" s="234"/>
      <c r="EN566" s="234"/>
      <c r="EO566" s="234"/>
      <c r="EP566" s="234"/>
      <c r="EQ566" s="234"/>
      <c r="ER566" s="234"/>
      <c r="ES566" s="234"/>
      <c r="ET566" s="234"/>
      <c r="EU566" s="234"/>
      <c r="EV566" s="234"/>
      <c r="EW566" s="234"/>
      <c r="EX566" s="234"/>
      <c r="EY566" s="234"/>
      <c r="EZ566" s="234"/>
      <c r="FA566" s="234"/>
      <c r="FB566" s="234"/>
      <c r="FC566" s="234"/>
      <c r="FD566" s="234"/>
      <c r="FE566" s="234"/>
      <c r="FF566" s="234"/>
      <c r="FG566" s="234"/>
      <c r="FH566" s="234"/>
      <c r="FI566" s="234"/>
      <c r="FJ566" s="234"/>
      <c r="FK566" s="234"/>
      <c r="FL566" s="234"/>
      <c r="FM566" s="234"/>
      <c r="FN566" s="234"/>
      <c r="FO566" s="234"/>
      <c r="FP566" s="234"/>
      <c r="FQ566" s="234"/>
      <c r="FR566" s="234"/>
      <c r="FS566" s="234"/>
      <c r="FT566" s="234"/>
      <c r="FU566" s="234"/>
      <c r="FV566" s="234"/>
      <c r="FW566" s="234"/>
      <c r="FX566" s="234"/>
      <c r="FY566" s="234"/>
      <c r="FZ566" s="234"/>
      <c r="GA566" s="234"/>
      <c r="GB566" s="234"/>
      <c r="GC566" s="234"/>
      <c r="GD566" s="234"/>
      <c r="GE566" s="234"/>
      <c r="GF566" s="234"/>
      <c r="GG566" s="234"/>
      <c r="GH566" s="234"/>
      <c r="GI566" s="234"/>
      <c r="GJ566" s="234"/>
    </row>
    <row r="567" spans="3:192" ht="12.75" customHeight="1">
      <c r="C567" s="106"/>
      <c r="D567" s="106"/>
      <c r="E567" s="106"/>
      <c r="F567" s="106"/>
      <c r="G567" s="106"/>
      <c r="H567" s="106"/>
      <c r="I567" s="106"/>
      <c r="J567" s="106"/>
      <c r="K567" s="106"/>
      <c r="L567" s="106"/>
      <c r="M567" s="106"/>
      <c r="N567" s="106"/>
      <c r="O567" s="106"/>
      <c r="P567" s="106"/>
      <c r="Q567" s="106"/>
      <c r="R567" s="106"/>
      <c r="S567" s="106"/>
      <c r="T567" s="106"/>
      <c r="U567" s="106"/>
      <c r="V567" s="106"/>
      <c r="W567" s="106"/>
      <c r="X567" s="106"/>
      <c r="Y567" s="106"/>
      <c r="Z567" s="106"/>
      <c r="AA567" s="106"/>
      <c r="AB567" s="106"/>
      <c r="AC567" s="106"/>
      <c r="AD567" s="106"/>
      <c r="AE567" s="106"/>
      <c r="AF567" s="106"/>
      <c r="AG567" s="106"/>
      <c r="AH567" s="106"/>
      <c r="AI567" s="106"/>
      <c r="AJ567" s="106"/>
      <c r="AK567" s="106"/>
      <c r="AL567" s="106"/>
      <c r="AM567" s="106"/>
      <c r="AN567" s="106"/>
      <c r="AO567" s="106"/>
      <c r="AP567" s="106"/>
      <c r="AQ567" s="106"/>
      <c r="AR567" s="106"/>
      <c r="AS567" s="106"/>
      <c r="AT567" s="106"/>
      <c r="AU567" s="106"/>
      <c r="AV567" s="106"/>
      <c r="AW567" s="106"/>
      <c r="AX567" s="106"/>
      <c r="AY567" s="106"/>
      <c r="AZ567" s="106"/>
      <c r="BA567" s="106"/>
      <c r="BB567" s="106"/>
      <c r="BC567" s="106"/>
      <c r="BD567" s="106"/>
      <c r="BE567" s="106"/>
      <c r="BF567" s="106"/>
      <c r="BG567" s="106"/>
      <c r="BH567" s="106"/>
      <c r="BI567" s="106"/>
      <c r="BJ567" s="106"/>
      <c r="BK567" s="106"/>
      <c r="BL567" s="106"/>
      <c r="BM567" s="106"/>
      <c r="BN567" s="106"/>
      <c r="BO567" s="106"/>
      <c r="BP567" s="106"/>
      <c r="BQ567" s="106"/>
      <c r="BR567" s="106"/>
      <c r="BS567" s="106"/>
      <c r="BT567" s="106"/>
      <c r="BU567" s="106"/>
      <c r="BV567" s="106"/>
      <c r="BW567" s="106"/>
      <c r="BX567" s="106"/>
      <c r="BY567" s="106"/>
      <c r="BZ567" s="106"/>
      <c r="CA567" s="106"/>
      <c r="CB567" s="106"/>
      <c r="CC567" s="106"/>
      <c r="CD567" s="106"/>
      <c r="CE567" s="106"/>
      <c r="CF567" s="106"/>
      <c r="CG567" s="106"/>
      <c r="CH567" s="106"/>
      <c r="CI567" s="106"/>
      <c r="CJ567" s="106"/>
      <c r="CK567" s="106"/>
      <c r="CL567" s="106"/>
      <c r="CM567" s="106"/>
      <c r="CN567" s="106"/>
      <c r="CO567" s="106"/>
      <c r="CP567" s="106"/>
      <c r="CQ567" s="106"/>
      <c r="CR567" s="106"/>
      <c r="CS567" s="106"/>
      <c r="CT567" s="106"/>
      <c r="CU567" s="106"/>
      <c r="CV567" s="106"/>
      <c r="CW567" s="106"/>
      <c r="CX567" s="106"/>
      <c r="CY567" s="106"/>
      <c r="CZ567" s="106"/>
      <c r="DA567" s="106"/>
      <c r="DB567" s="106"/>
      <c r="DC567" s="106"/>
      <c r="DD567" s="106"/>
      <c r="DE567" s="106"/>
      <c r="DF567" s="106"/>
      <c r="DG567" s="106"/>
      <c r="DH567" s="106"/>
      <c r="DI567" s="106"/>
      <c r="DJ567" s="106"/>
      <c r="DK567" s="106"/>
      <c r="DL567" s="106"/>
      <c r="DM567" s="106"/>
      <c r="DN567" s="106"/>
      <c r="DO567" s="106"/>
      <c r="DP567" s="106"/>
      <c r="DQ567" s="106"/>
      <c r="DR567" s="106"/>
      <c r="DS567" s="106"/>
      <c r="DT567" s="106"/>
      <c r="DU567" s="106"/>
      <c r="DV567" s="106"/>
      <c r="DW567" s="106"/>
      <c r="DX567" s="106"/>
      <c r="DY567" s="106"/>
      <c r="DZ567" s="106"/>
      <c r="EA567" s="106"/>
      <c r="EB567" s="106"/>
      <c r="EC567" s="106"/>
      <c r="ED567" s="106"/>
      <c r="EE567" s="106"/>
      <c r="EF567" s="106"/>
      <c r="EG567" s="106"/>
      <c r="EH567" s="106"/>
      <c r="EI567" s="106"/>
      <c r="EJ567" s="106"/>
      <c r="EK567" s="106"/>
      <c r="EL567" s="106"/>
      <c r="EM567" s="106"/>
      <c r="EN567" s="106"/>
      <c r="EO567" s="106"/>
      <c r="EP567" s="106"/>
      <c r="EQ567" s="106"/>
      <c r="ER567" s="106"/>
      <c r="ES567" s="106"/>
      <c r="ET567" s="106"/>
      <c r="EU567" s="106"/>
      <c r="EV567" s="106"/>
      <c r="EW567" s="106"/>
      <c r="EX567" s="106"/>
      <c r="EY567" s="106"/>
      <c r="EZ567" s="106"/>
      <c r="FA567" s="106"/>
      <c r="FB567" s="106"/>
      <c r="FC567" s="106"/>
      <c r="FD567" s="106"/>
      <c r="FE567" s="106"/>
      <c r="FF567" s="106"/>
      <c r="FG567" s="106"/>
      <c r="FH567" s="106"/>
      <c r="FI567" s="106"/>
      <c r="FJ567" s="106"/>
      <c r="FK567" s="106"/>
      <c r="FL567" s="106"/>
      <c r="FM567" s="106"/>
      <c r="FN567" s="106"/>
      <c r="FO567" s="106"/>
      <c r="FP567" s="106"/>
      <c r="FQ567" s="106"/>
      <c r="FR567" s="106"/>
      <c r="FS567" s="106"/>
      <c r="FT567" s="106"/>
      <c r="FU567" s="106"/>
      <c r="FV567" s="106"/>
      <c r="FW567" s="106"/>
      <c r="FX567" s="106"/>
      <c r="FY567" s="106"/>
      <c r="FZ567" s="106"/>
      <c r="GA567" s="106"/>
      <c r="GB567" s="106"/>
      <c r="GC567" s="106"/>
      <c r="GD567" s="106"/>
      <c r="GE567" s="106"/>
      <c r="GF567" s="106"/>
      <c r="GG567" s="106"/>
      <c r="GH567" s="106"/>
      <c r="GI567" s="106"/>
      <c r="GJ567" s="106"/>
    </row>
    <row r="568" spans="3:192" ht="12.75" customHeight="1">
      <c r="C568" s="106"/>
      <c r="D568" s="106"/>
      <c r="E568" s="106"/>
      <c r="F568" s="106"/>
      <c r="G568" s="106"/>
      <c r="H568" s="106"/>
      <c r="I568" s="106"/>
      <c r="J568" s="106"/>
      <c r="K568" s="106"/>
      <c r="L568" s="106"/>
      <c r="M568" s="106"/>
      <c r="N568" s="106"/>
      <c r="O568" s="106"/>
      <c r="P568" s="106"/>
      <c r="Q568" s="106"/>
      <c r="R568" s="106"/>
      <c r="S568" s="106"/>
      <c r="T568" s="106"/>
      <c r="U568" s="106"/>
      <c r="V568" s="106"/>
      <c r="W568" s="106"/>
      <c r="X568" s="106"/>
      <c r="Y568" s="106"/>
      <c r="Z568" s="106"/>
      <c r="AA568" s="106"/>
      <c r="AB568" s="106"/>
      <c r="AC568" s="106"/>
      <c r="AD568" s="106"/>
      <c r="AE568" s="106"/>
      <c r="AF568" s="106"/>
      <c r="AG568" s="106"/>
      <c r="AH568" s="106"/>
      <c r="AI568" s="106"/>
      <c r="AJ568" s="106"/>
      <c r="AK568" s="106"/>
      <c r="AL568" s="106"/>
      <c r="AM568" s="106"/>
      <c r="AN568" s="106"/>
      <c r="AO568" s="106"/>
      <c r="AP568" s="106"/>
      <c r="AQ568" s="106"/>
      <c r="AR568" s="106"/>
      <c r="AS568" s="106"/>
      <c r="AT568" s="106"/>
      <c r="AU568" s="106"/>
      <c r="AV568" s="106"/>
      <c r="AW568" s="106"/>
      <c r="AX568" s="106"/>
      <c r="AY568" s="106"/>
      <c r="AZ568" s="106"/>
      <c r="BA568" s="106"/>
      <c r="BB568" s="106"/>
      <c r="BC568" s="106"/>
      <c r="BD568" s="106"/>
      <c r="BE568" s="106"/>
      <c r="BF568" s="106"/>
      <c r="BG568" s="106"/>
      <c r="BH568" s="106"/>
      <c r="BI568" s="106"/>
      <c r="BJ568" s="106"/>
      <c r="BK568" s="106"/>
      <c r="BL568" s="106"/>
      <c r="BM568" s="106"/>
      <c r="BN568" s="106"/>
      <c r="BO568" s="106"/>
      <c r="BP568" s="106"/>
      <c r="BQ568" s="106"/>
      <c r="BR568" s="106"/>
      <c r="BS568" s="106"/>
      <c r="BT568" s="106"/>
      <c r="BU568" s="106"/>
      <c r="BV568" s="106"/>
      <c r="BW568" s="106"/>
      <c r="BX568" s="106"/>
      <c r="BY568" s="106"/>
      <c r="BZ568" s="106"/>
      <c r="CA568" s="106"/>
      <c r="CB568" s="106"/>
      <c r="CC568" s="106"/>
      <c r="CD568" s="106"/>
      <c r="CE568" s="106"/>
      <c r="CF568" s="106"/>
      <c r="CG568" s="106"/>
      <c r="CH568" s="106"/>
      <c r="CI568" s="106"/>
      <c r="CJ568" s="106"/>
      <c r="CK568" s="106"/>
      <c r="CL568" s="106"/>
      <c r="CM568" s="106"/>
      <c r="CN568" s="106"/>
      <c r="CO568" s="106"/>
      <c r="CP568" s="106"/>
      <c r="CQ568" s="106"/>
      <c r="CR568" s="106"/>
      <c r="CS568" s="106"/>
      <c r="CT568" s="106"/>
      <c r="CU568" s="106"/>
      <c r="CV568" s="106"/>
      <c r="CW568" s="106"/>
      <c r="CX568" s="106"/>
      <c r="CY568" s="106"/>
      <c r="CZ568" s="106"/>
      <c r="DA568" s="106"/>
      <c r="DB568" s="106"/>
      <c r="DC568" s="106"/>
      <c r="DD568" s="106"/>
      <c r="DE568" s="106"/>
      <c r="DF568" s="106"/>
      <c r="DG568" s="106"/>
      <c r="DH568" s="106"/>
      <c r="DI568" s="106"/>
      <c r="DJ568" s="106"/>
      <c r="DK568" s="106"/>
      <c r="DL568" s="106"/>
      <c r="DM568" s="106"/>
      <c r="DN568" s="106"/>
      <c r="DO568" s="106"/>
      <c r="DP568" s="106"/>
      <c r="DQ568" s="106"/>
      <c r="DR568" s="106"/>
      <c r="DS568" s="106"/>
      <c r="DT568" s="106"/>
      <c r="DU568" s="106"/>
      <c r="DV568" s="106"/>
      <c r="DW568" s="106"/>
      <c r="DX568" s="106"/>
      <c r="DY568" s="106"/>
      <c r="DZ568" s="106"/>
      <c r="EA568" s="106"/>
      <c r="EB568" s="106"/>
      <c r="EC568" s="106"/>
      <c r="ED568" s="106"/>
      <c r="EE568" s="106"/>
      <c r="EF568" s="106"/>
      <c r="EG568" s="106"/>
      <c r="EH568" s="106"/>
      <c r="EI568" s="106"/>
      <c r="EJ568" s="106"/>
      <c r="EK568" s="106"/>
      <c r="EL568" s="106"/>
      <c r="EM568" s="106"/>
      <c r="EN568" s="106"/>
      <c r="EO568" s="106"/>
      <c r="EP568" s="106"/>
      <c r="EQ568" s="106"/>
      <c r="ER568" s="106"/>
      <c r="ES568" s="106"/>
      <c r="ET568" s="106"/>
      <c r="EU568" s="106"/>
      <c r="EV568" s="106"/>
      <c r="EW568" s="106"/>
      <c r="EX568" s="106"/>
      <c r="EY568" s="106"/>
      <c r="EZ568" s="106"/>
      <c r="FA568" s="106"/>
      <c r="FB568" s="106"/>
      <c r="FC568" s="106"/>
      <c r="FD568" s="106"/>
      <c r="FE568" s="106"/>
      <c r="FF568" s="106"/>
      <c r="FG568" s="106"/>
      <c r="FH568" s="106"/>
      <c r="FI568" s="106"/>
      <c r="FJ568" s="106"/>
      <c r="FK568" s="106"/>
      <c r="FL568" s="106"/>
      <c r="FM568" s="106"/>
      <c r="FN568" s="106"/>
      <c r="FO568" s="106"/>
      <c r="FP568" s="106"/>
      <c r="FQ568" s="106"/>
      <c r="FR568" s="106"/>
      <c r="FS568" s="106"/>
      <c r="FT568" s="106"/>
      <c r="FU568" s="106"/>
      <c r="FV568" s="106"/>
      <c r="FW568" s="106"/>
      <c r="FX568" s="106"/>
      <c r="FY568" s="106"/>
      <c r="FZ568" s="106"/>
      <c r="GA568" s="106"/>
      <c r="GB568" s="106"/>
      <c r="GC568" s="106"/>
      <c r="GD568" s="106"/>
      <c r="GE568" s="106"/>
      <c r="GF568" s="106"/>
      <c r="GG568" s="106"/>
      <c r="GH568" s="106"/>
      <c r="GI568" s="106"/>
      <c r="GJ568" s="106"/>
    </row>
    <row r="569" spans="3:192" ht="12.75" customHeight="1">
      <c r="C569" s="178"/>
      <c r="D569" s="178"/>
      <c r="E569" s="178"/>
      <c r="F569" s="178"/>
      <c r="G569" s="178"/>
      <c r="H569" s="178"/>
      <c r="I569" s="178"/>
      <c r="J569" s="178"/>
      <c r="K569" s="178"/>
      <c r="L569" s="178"/>
      <c r="M569" s="178"/>
      <c r="N569" s="178"/>
      <c r="O569" s="178"/>
      <c r="P569" s="178"/>
      <c r="Q569" s="178"/>
      <c r="R569" s="178"/>
      <c r="S569" s="178"/>
      <c r="T569" s="178"/>
      <c r="U569" s="178"/>
      <c r="V569" s="178"/>
      <c r="W569" s="178"/>
      <c r="X569" s="178"/>
      <c r="Y569" s="178"/>
      <c r="Z569" s="178"/>
      <c r="AA569" s="178"/>
      <c r="AB569" s="178"/>
      <c r="AC569" s="178"/>
      <c r="AD569" s="178"/>
      <c r="AE569" s="178"/>
      <c r="AF569" s="178"/>
      <c r="AG569" s="178"/>
      <c r="AH569" s="178"/>
      <c r="AI569" s="178"/>
      <c r="AJ569" s="178"/>
      <c r="AK569" s="178"/>
      <c r="AL569" s="178"/>
      <c r="AM569" s="178"/>
      <c r="AN569" s="178"/>
      <c r="AO569" s="178"/>
      <c r="AP569" s="178"/>
      <c r="AQ569" s="178"/>
      <c r="AR569" s="178"/>
      <c r="AS569" s="178"/>
      <c r="AT569" s="178"/>
      <c r="AU569" s="178"/>
      <c r="AV569" s="178"/>
      <c r="AW569" s="178"/>
      <c r="AX569" s="178"/>
      <c r="AY569" s="178"/>
      <c r="AZ569" s="178"/>
      <c r="BA569" s="178"/>
      <c r="BB569" s="178"/>
      <c r="BC569" s="178"/>
      <c r="BD569" s="178"/>
      <c r="BE569" s="178"/>
      <c r="BF569" s="178"/>
      <c r="BG569" s="178"/>
      <c r="BH569" s="178"/>
      <c r="BI569" s="178"/>
      <c r="BJ569" s="178"/>
      <c r="BK569" s="178"/>
      <c r="BL569" s="178"/>
      <c r="BM569" s="178"/>
      <c r="BN569" s="178"/>
      <c r="BO569" s="178"/>
      <c r="BP569" s="178"/>
      <c r="BQ569" s="178"/>
      <c r="BR569" s="178"/>
      <c r="BS569" s="178"/>
      <c r="BT569" s="178"/>
      <c r="BU569" s="178"/>
      <c r="BV569" s="178"/>
      <c r="BW569" s="178"/>
      <c r="BX569" s="178"/>
      <c r="BY569" s="178"/>
      <c r="BZ569" s="178"/>
      <c r="CA569" s="178"/>
      <c r="CB569" s="178"/>
      <c r="CC569" s="178"/>
      <c r="CD569" s="178"/>
      <c r="CE569" s="178"/>
      <c r="CF569" s="178"/>
      <c r="CG569" s="178"/>
      <c r="CH569" s="178"/>
      <c r="CI569" s="178"/>
      <c r="CJ569" s="178"/>
      <c r="CK569" s="178"/>
      <c r="CL569" s="178"/>
      <c r="CM569" s="178"/>
      <c r="CN569" s="178"/>
      <c r="CO569" s="178"/>
      <c r="CP569" s="178"/>
      <c r="CQ569" s="178"/>
      <c r="CR569" s="178"/>
      <c r="CS569" s="178"/>
      <c r="CT569" s="178"/>
      <c r="CU569" s="178"/>
      <c r="CV569" s="178"/>
      <c r="CW569" s="178"/>
      <c r="CX569" s="178"/>
      <c r="CY569" s="178"/>
      <c r="CZ569" s="178"/>
      <c r="DA569" s="178"/>
      <c r="DB569" s="178"/>
      <c r="DC569" s="178"/>
      <c r="DD569" s="178"/>
      <c r="DE569" s="178"/>
      <c r="DF569" s="178"/>
      <c r="DG569" s="178"/>
      <c r="DH569" s="178"/>
      <c r="DI569" s="178"/>
      <c r="DJ569" s="178"/>
      <c r="DK569" s="178"/>
      <c r="DL569" s="178"/>
      <c r="DM569" s="178"/>
      <c r="DN569" s="178"/>
      <c r="DO569" s="178"/>
      <c r="DP569" s="178"/>
      <c r="DQ569" s="178"/>
      <c r="DR569" s="178"/>
      <c r="DS569" s="178"/>
      <c r="DT569" s="178"/>
      <c r="DU569" s="178"/>
      <c r="DV569" s="178"/>
      <c r="DW569" s="178"/>
      <c r="DX569" s="178"/>
      <c r="DY569" s="178"/>
      <c r="DZ569" s="178"/>
      <c r="EA569" s="178"/>
      <c r="EB569" s="178"/>
      <c r="EC569" s="178"/>
      <c r="ED569" s="178"/>
      <c r="EE569" s="178"/>
      <c r="EF569" s="178"/>
      <c r="EG569" s="178"/>
      <c r="EH569" s="178"/>
      <c r="EI569" s="178"/>
      <c r="EJ569" s="178"/>
      <c r="EK569" s="178"/>
      <c r="EL569" s="178"/>
      <c r="EM569" s="178"/>
      <c r="EN569" s="178"/>
      <c r="EO569" s="178"/>
      <c r="EP569" s="178"/>
      <c r="EQ569" s="178"/>
      <c r="ER569" s="178"/>
      <c r="ES569" s="178"/>
      <c r="ET569" s="178"/>
      <c r="EU569" s="178"/>
      <c r="EV569" s="178"/>
      <c r="EW569" s="178"/>
      <c r="EX569" s="178"/>
      <c r="EY569" s="178"/>
      <c r="EZ569" s="178"/>
      <c r="FA569" s="178"/>
      <c r="FB569" s="178"/>
      <c r="FC569" s="178"/>
      <c r="FD569" s="178"/>
      <c r="FE569" s="178"/>
      <c r="FF569" s="178"/>
      <c r="FG569" s="178"/>
      <c r="FH569" s="178"/>
      <c r="FI569" s="178"/>
      <c r="FJ569" s="178"/>
      <c r="FK569" s="178"/>
      <c r="FL569" s="178"/>
      <c r="FM569" s="178"/>
      <c r="FN569" s="178"/>
      <c r="FO569" s="178"/>
      <c r="FP569" s="178"/>
      <c r="FQ569" s="178"/>
      <c r="FR569" s="178"/>
      <c r="FS569" s="178"/>
      <c r="FT569" s="178"/>
      <c r="FU569" s="178"/>
      <c r="FV569" s="178"/>
      <c r="FW569" s="178"/>
      <c r="FX569" s="178"/>
      <c r="FY569" s="178"/>
      <c r="FZ569" s="178"/>
      <c r="GA569" s="178"/>
      <c r="GB569" s="178"/>
      <c r="GC569" s="178"/>
      <c r="GD569" s="178"/>
      <c r="GE569" s="178"/>
      <c r="GF569" s="178"/>
      <c r="GG569" s="178"/>
      <c r="GH569" s="178"/>
      <c r="GI569" s="178"/>
      <c r="GJ569" s="178"/>
    </row>
    <row r="570" spans="3:192" ht="12.75" customHeight="1">
      <c r="C570" s="106"/>
      <c r="D570" s="106"/>
      <c r="E570" s="106"/>
      <c r="F570" s="106"/>
      <c r="G570" s="106"/>
      <c r="H570" s="106"/>
      <c r="I570" s="106"/>
      <c r="J570" s="106"/>
      <c r="K570" s="106"/>
      <c r="L570" s="106"/>
      <c r="M570" s="106"/>
      <c r="N570" s="106"/>
      <c r="O570" s="106"/>
      <c r="P570" s="106"/>
      <c r="Q570" s="106"/>
      <c r="R570" s="106"/>
      <c r="S570" s="106"/>
      <c r="T570" s="106"/>
      <c r="U570" s="106"/>
      <c r="V570" s="106"/>
      <c r="W570" s="106"/>
      <c r="X570" s="106"/>
      <c r="Y570" s="106"/>
      <c r="Z570" s="106"/>
      <c r="AA570" s="106"/>
      <c r="AB570" s="106"/>
      <c r="AC570" s="106"/>
      <c r="AD570" s="106"/>
      <c r="AE570" s="106"/>
      <c r="AF570" s="106"/>
      <c r="AG570" s="106"/>
      <c r="AH570" s="106"/>
      <c r="AI570" s="106"/>
      <c r="AJ570" s="106"/>
      <c r="AK570" s="106"/>
      <c r="AL570" s="106"/>
      <c r="AM570" s="106"/>
      <c r="AN570" s="106"/>
      <c r="AO570" s="106"/>
      <c r="AP570" s="106"/>
      <c r="AQ570" s="106"/>
      <c r="AR570" s="106"/>
      <c r="AS570" s="106"/>
      <c r="AT570" s="106"/>
      <c r="AU570" s="106"/>
      <c r="AV570" s="106"/>
      <c r="AW570" s="106"/>
      <c r="AX570" s="106"/>
      <c r="AY570" s="106"/>
      <c r="AZ570" s="106"/>
      <c r="BA570" s="106"/>
      <c r="BB570" s="106"/>
      <c r="BC570" s="106"/>
      <c r="BD570" s="106"/>
      <c r="BE570" s="106"/>
      <c r="BF570" s="106"/>
      <c r="BG570" s="106"/>
      <c r="BH570" s="106"/>
      <c r="BI570" s="106"/>
      <c r="BJ570" s="106"/>
      <c r="BK570" s="106"/>
      <c r="BL570" s="106"/>
      <c r="BM570" s="106"/>
      <c r="BN570" s="106"/>
      <c r="BO570" s="106"/>
      <c r="BP570" s="106"/>
      <c r="BQ570" s="106"/>
      <c r="BR570" s="106"/>
      <c r="BS570" s="106"/>
      <c r="BT570" s="106"/>
      <c r="BU570" s="106"/>
      <c r="BV570" s="106"/>
      <c r="BW570" s="106"/>
      <c r="BX570" s="106"/>
      <c r="BY570" s="106"/>
      <c r="BZ570" s="106"/>
      <c r="CA570" s="106"/>
      <c r="CB570" s="106"/>
      <c r="CC570" s="106"/>
      <c r="CD570" s="106"/>
      <c r="CE570" s="106"/>
      <c r="CF570" s="106"/>
      <c r="CG570" s="106"/>
      <c r="CH570" s="106"/>
      <c r="CI570" s="106"/>
      <c r="CJ570" s="106"/>
      <c r="CK570" s="106"/>
      <c r="CL570" s="106"/>
      <c r="CM570" s="106"/>
      <c r="CN570" s="106"/>
      <c r="CO570" s="106"/>
      <c r="CP570" s="106"/>
      <c r="CQ570" s="106"/>
      <c r="CR570" s="106"/>
      <c r="CS570" s="106"/>
      <c r="CT570" s="106"/>
      <c r="CU570" s="106"/>
      <c r="CV570" s="106"/>
      <c r="CW570" s="106"/>
      <c r="CX570" s="106"/>
      <c r="CY570" s="106"/>
      <c r="CZ570" s="106"/>
      <c r="DA570" s="106"/>
      <c r="DB570" s="106"/>
      <c r="DC570" s="106"/>
      <c r="DD570" s="106"/>
      <c r="DE570" s="106"/>
      <c r="DF570" s="106"/>
      <c r="DG570" s="106"/>
      <c r="DH570" s="106"/>
      <c r="DI570" s="106"/>
      <c r="DJ570" s="106"/>
      <c r="DK570" s="106"/>
      <c r="DL570" s="106"/>
      <c r="DM570" s="106"/>
      <c r="DN570" s="106"/>
      <c r="DO570" s="106"/>
      <c r="DP570" s="106"/>
      <c r="DQ570" s="106"/>
      <c r="DR570" s="106"/>
      <c r="DS570" s="106"/>
      <c r="DT570" s="106"/>
      <c r="DU570" s="106"/>
      <c r="DV570" s="106"/>
      <c r="DW570" s="106"/>
      <c r="DX570" s="106"/>
      <c r="DY570" s="106"/>
      <c r="DZ570" s="106"/>
      <c r="EA570" s="106"/>
      <c r="EB570" s="106"/>
      <c r="EC570" s="106"/>
      <c r="ED570" s="106"/>
      <c r="EE570" s="106"/>
      <c r="EF570" s="106"/>
      <c r="EG570" s="106"/>
      <c r="EH570" s="106"/>
      <c r="EI570" s="106"/>
      <c r="EJ570" s="106"/>
      <c r="EK570" s="106"/>
      <c r="EL570" s="106"/>
      <c r="EM570" s="106"/>
      <c r="EN570" s="106"/>
      <c r="EO570" s="106"/>
      <c r="EP570" s="106"/>
      <c r="EQ570" s="106"/>
      <c r="ER570" s="106"/>
      <c r="ES570" s="106"/>
      <c r="ET570" s="106"/>
      <c r="EU570" s="106"/>
      <c r="EV570" s="106"/>
      <c r="EW570" s="106"/>
      <c r="EX570" s="106"/>
      <c r="EY570" s="106"/>
      <c r="EZ570" s="106"/>
      <c r="FA570" s="106"/>
      <c r="FB570" s="106"/>
      <c r="FC570" s="106"/>
      <c r="FD570" s="106"/>
      <c r="FE570" s="106"/>
      <c r="FF570" s="106"/>
      <c r="FG570" s="106"/>
      <c r="FH570" s="106"/>
      <c r="FI570" s="106"/>
      <c r="FJ570" s="106"/>
      <c r="FK570" s="106"/>
      <c r="FL570" s="106"/>
      <c r="FM570" s="106"/>
      <c r="FN570" s="106"/>
      <c r="FO570" s="106"/>
      <c r="FP570" s="106"/>
      <c r="FQ570" s="106"/>
      <c r="FR570" s="106"/>
      <c r="FS570" s="106"/>
      <c r="FT570" s="106"/>
      <c r="FU570" s="106"/>
      <c r="FV570" s="106"/>
      <c r="FW570" s="106"/>
      <c r="FX570" s="106"/>
      <c r="FY570" s="106"/>
      <c r="FZ570" s="106"/>
      <c r="GA570" s="106"/>
      <c r="GB570" s="106"/>
      <c r="GC570" s="106"/>
      <c r="GD570" s="106"/>
      <c r="GE570" s="106"/>
      <c r="GF570" s="106"/>
      <c r="GG570" s="106"/>
      <c r="GH570" s="106"/>
      <c r="GI570" s="106"/>
      <c r="GJ570" s="106"/>
    </row>
    <row r="571" spans="3:192" ht="12.75" customHeight="1">
      <c r="C571" s="106"/>
      <c r="D571" s="106"/>
      <c r="E571" s="106"/>
      <c r="F571" s="106"/>
      <c r="G571" s="106"/>
      <c r="H571" s="106"/>
      <c r="I571" s="106"/>
      <c r="J571" s="106"/>
      <c r="K571" s="106"/>
      <c r="L571" s="106"/>
      <c r="M571" s="106"/>
      <c r="N571" s="106"/>
      <c r="O571" s="106"/>
      <c r="P571" s="106"/>
      <c r="Q571" s="106"/>
      <c r="R571" s="106"/>
      <c r="S571" s="106"/>
      <c r="T571" s="106"/>
      <c r="U571" s="106"/>
      <c r="V571" s="106"/>
      <c r="W571" s="106"/>
      <c r="X571" s="106"/>
      <c r="Y571" s="106"/>
      <c r="Z571" s="106"/>
      <c r="AA571" s="106"/>
      <c r="AB571" s="106"/>
      <c r="AC571" s="106"/>
      <c r="AD571" s="106"/>
      <c r="AE571" s="106"/>
      <c r="AF571" s="106"/>
      <c r="AG571" s="106"/>
      <c r="AH571" s="106"/>
      <c r="AI571" s="106"/>
      <c r="AJ571" s="106"/>
      <c r="AK571" s="106"/>
      <c r="AL571" s="106"/>
      <c r="AM571" s="106"/>
      <c r="AN571" s="106"/>
      <c r="AO571" s="106"/>
      <c r="AP571" s="106"/>
      <c r="AQ571" s="106"/>
      <c r="AR571" s="106"/>
      <c r="AS571" s="106"/>
      <c r="AT571" s="106"/>
      <c r="AU571" s="106"/>
      <c r="AV571" s="106"/>
      <c r="AW571" s="106"/>
      <c r="AX571" s="106"/>
      <c r="AY571" s="106"/>
      <c r="AZ571" s="106"/>
      <c r="BA571" s="106"/>
      <c r="BB571" s="106"/>
      <c r="BC571" s="106"/>
      <c r="BD571" s="106"/>
      <c r="BE571" s="106"/>
      <c r="BF571" s="106"/>
      <c r="BG571" s="106"/>
      <c r="BH571" s="106"/>
      <c r="BI571" s="106"/>
      <c r="BJ571" s="106"/>
      <c r="BK571" s="106"/>
      <c r="BL571" s="106"/>
      <c r="BM571" s="106"/>
      <c r="BN571" s="106"/>
      <c r="BO571" s="106"/>
      <c r="BP571" s="106"/>
      <c r="BQ571" s="106"/>
      <c r="BR571" s="106"/>
      <c r="BS571" s="106"/>
      <c r="BT571" s="106"/>
      <c r="BU571" s="106"/>
      <c r="BV571" s="106"/>
      <c r="BW571" s="106"/>
      <c r="BX571" s="106"/>
      <c r="BY571" s="106"/>
      <c r="BZ571" s="106"/>
      <c r="CA571" s="106"/>
      <c r="CB571" s="106"/>
      <c r="CC571" s="106"/>
      <c r="CD571" s="106"/>
      <c r="CE571" s="106"/>
      <c r="CF571" s="106"/>
      <c r="CG571" s="106"/>
      <c r="CH571" s="106"/>
      <c r="CI571" s="106"/>
      <c r="CJ571" s="106"/>
      <c r="CK571" s="106"/>
      <c r="CL571" s="106"/>
      <c r="CM571" s="106"/>
      <c r="CN571" s="106"/>
      <c r="CO571" s="106"/>
      <c r="CP571" s="106"/>
      <c r="CQ571" s="106"/>
      <c r="CR571" s="106"/>
      <c r="CS571" s="106"/>
      <c r="CT571" s="106"/>
      <c r="CU571" s="106"/>
      <c r="CV571" s="106"/>
      <c r="CW571" s="106"/>
      <c r="CX571" s="106"/>
      <c r="CY571" s="106"/>
      <c r="CZ571" s="106"/>
      <c r="DA571" s="106"/>
      <c r="DB571" s="106"/>
      <c r="DC571" s="106"/>
      <c r="DD571" s="106"/>
      <c r="DE571" s="106"/>
      <c r="DF571" s="106"/>
      <c r="DG571" s="106"/>
      <c r="DH571" s="106"/>
      <c r="DI571" s="106"/>
      <c r="DJ571" s="106"/>
      <c r="DK571" s="106"/>
      <c r="DL571" s="106"/>
      <c r="DM571" s="106"/>
      <c r="DN571" s="106"/>
      <c r="DO571" s="106"/>
      <c r="DP571" s="106"/>
      <c r="DQ571" s="106"/>
      <c r="DR571" s="106"/>
      <c r="DS571" s="106"/>
      <c r="DT571" s="106"/>
      <c r="DU571" s="106"/>
      <c r="DV571" s="106"/>
      <c r="DW571" s="106"/>
      <c r="DX571" s="106"/>
      <c r="DY571" s="106"/>
      <c r="DZ571" s="106"/>
      <c r="EA571" s="106"/>
      <c r="EB571" s="106"/>
      <c r="EC571" s="106"/>
      <c r="ED571" s="106"/>
      <c r="EE571" s="106"/>
      <c r="EF571" s="106"/>
      <c r="EG571" s="106"/>
      <c r="EH571" s="106"/>
      <c r="EI571" s="106"/>
      <c r="EJ571" s="106"/>
      <c r="EK571" s="106"/>
      <c r="EL571" s="106"/>
      <c r="EM571" s="106"/>
      <c r="EN571" s="106"/>
      <c r="EO571" s="106"/>
      <c r="EP571" s="106"/>
      <c r="EQ571" s="106"/>
      <c r="ER571" s="106"/>
      <c r="ES571" s="106"/>
      <c r="ET571" s="106"/>
      <c r="EU571" s="106"/>
      <c r="EV571" s="106"/>
      <c r="EW571" s="106"/>
      <c r="EX571" s="106"/>
      <c r="EY571" s="106"/>
      <c r="EZ571" s="106"/>
      <c r="FA571" s="106"/>
      <c r="FB571" s="106"/>
      <c r="FC571" s="106"/>
      <c r="FD571" s="106"/>
      <c r="FE571" s="106"/>
      <c r="FF571" s="106"/>
      <c r="FG571" s="106"/>
      <c r="FH571" s="106"/>
      <c r="FI571" s="106"/>
      <c r="FJ571" s="106"/>
      <c r="FK571" s="106"/>
      <c r="FL571" s="106"/>
      <c r="FM571" s="106"/>
      <c r="FN571" s="106"/>
      <c r="FO571" s="106"/>
      <c r="FP571" s="106"/>
      <c r="FQ571" s="106"/>
      <c r="FR571" s="106"/>
      <c r="FS571" s="106"/>
      <c r="FT571" s="106"/>
      <c r="FU571" s="106"/>
      <c r="FV571" s="106"/>
      <c r="FW571" s="106"/>
      <c r="FX571" s="106"/>
      <c r="FY571" s="106"/>
      <c r="FZ571" s="106"/>
      <c r="GA571" s="106"/>
      <c r="GB571" s="106"/>
      <c r="GC571" s="106"/>
      <c r="GD571" s="106"/>
      <c r="GE571" s="106"/>
      <c r="GF571" s="106"/>
      <c r="GG571" s="106"/>
      <c r="GH571" s="106"/>
      <c r="GI571" s="106"/>
      <c r="GJ571" s="106"/>
    </row>
    <row r="572" spans="3:192" ht="12.75" customHeight="1">
      <c r="C572" s="220"/>
      <c r="D572" s="169"/>
      <c r="E572" s="169"/>
      <c r="F572" s="169"/>
      <c r="G572" s="169"/>
      <c r="H572" s="220"/>
      <c r="I572" s="169"/>
      <c r="J572" s="169"/>
      <c r="K572" s="169"/>
      <c r="L572" s="169"/>
      <c r="M572" s="220"/>
      <c r="N572" s="169"/>
      <c r="O572" s="169"/>
      <c r="P572" s="169"/>
      <c r="Q572" s="169"/>
      <c r="R572" s="220"/>
      <c r="S572" s="169"/>
      <c r="T572" s="169"/>
      <c r="U572" s="169"/>
      <c r="V572" s="169"/>
      <c r="W572" s="220"/>
      <c r="X572" s="169"/>
      <c r="Y572" s="169"/>
      <c r="Z572" s="169"/>
      <c r="AA572" s="169"/>
      <c r="AB572" s="220"/>
      <c r="AC572" s="169"/>
      <c r="AD572" s="169"/>
      <c r="AE572" s="169"/>
      <c r="AF572" s="169"/>
      <c r="AG572" s="220"/>
      <c r="AH572" s="169"/>
      <c r="AI572" s="169"/>
      <c r="AJ572" s="169"/>
      <c r="AK572" s="169"/>
      <c r="AL572" s="220"/>
      <c r="AM572" s="169"/>
      <c r="AN572" s="169"/>
      <c r="AO572" s="169"/>
      <c r="AP572" s="169"/>
      <c r="AQ572" s="220"/>
      <c r="AR572" s="169"/>
      <c r="AS572" s="169"/>
      <c r="AT572" s="169"/>
      <c r="AU572" s="169"/>
      <c r="AV572" s="220"/>
      <c r="AW572" s="169"/>
      <c r="AX572" s="169"/>
      <c r="AY572" s="169"/>
      <c r="AZ572" s="169"/>
      <c r="BA572" s="220"/>
      <c r="BB572" s="169"/>
      <c r="BC572" s="169"/>
      <c r="BD572" s="169"/>
      <c r="BE572" s="169"/>
      <c r="BF572" s="220"/>
      <c r="BG572" s="169"/>
      <c r="BH572" s="169"/>
      <c r="BI572" s="169"/>
      <c r="BJ572" s="169"/>
      <c r="BK572" s="220"/>
      <c r="BL572" s="169"/>
      <c r="BM572" s="169"/>
      <c r="BN572" s="169"/>
      <c r="BO572" s="169"/>
      <c r="BP572" s="220"/>
      <c r="BQ572" s="169"/>
      <c r="BR572" s="169"/>
      <c r="BS572" s="169"/>
      <c r="BT572" s="169"/>
      <c r="BU572" s="220"/>
      <c r="BV572" s="169"/>
      <c r="BW572" s="169"/>
      <c r="BX572" s="169"/>
      <c r="BY572" s="169"/>
      <c r="BZ572" s="220"/>
      <c r="CA572" s="169"/>
      <c r="CB572" s="169"/>
      <c r="CC572" s="169"/>
      <c r="CD572" s="169"/>
      <c r="CE572" s="220"/>
      <c r="CF572" s="169"/>
      <c r="CG572" s="169"/>
      <c r="CH572" s="169"/>
      <c r="CI572" s="169"/>
      <c r="CJ572" s="220"/>
      <c r="CK572" s="169"/>
      <c r="CL572" s="169"/>
      <c r="CM572" s="169"/>
      <c r="CN572" s="169"/>
      <c r="CO572" s="220"/>
      <c r="CP572" s="169"/>
      <c r="CQ572" s="169"/>
      <c r="CR572" s="169"/>
      <c r="CS572" s="169"/>
      <c r="CT572" s="220"/>
      <c r="CU572" s="169"/>
      <c r="CV572" s="169"/>
      <c r="CW572" s="169"/>
      <c r="CX572" s="169"/>
      <c r="CY572" s="220"/>
      <c r="CZ572" s="169"/>
      <c r="DA572" s="169"/>
      <c r="DB572" s="169"/>
      <c r="DC572" s="169"/>
      <c r="DD572" s="220"/>
      <c r="DE572" s="169"/>
      <c r="DF572" s="169"/>
      <c r="DG572" s="169"/>
      <c r="DH572" s="169"/>
      <c r="DI572" s="220"/>
      <c r="DJ572" s="169"/>
      <c r="DK572" s="169"/>
      <c r="DL572" s="169"/>
      <c r="DM572" s="169"/>
      <c r="DN572" s="220"/>
      <c r="DO572" s="169"/>
      <c r="DP572" s="169"/>
      <c r="DQ572" s="169"/>
      <c r="DR572" s="169"/>
      <c r="DS572" s="220"/>
      <c r="DT572" s="169"/>
      <c r="DU572" s="169"/>
      <c r="DV572" s="169"/>
      <c r="DW572" s="169"/>
      <c r="DX572" s="220"/>
      <c r="DY572" s="169"/>
      <c r="DZ572" s="169"/>
      <c r="EA572" s="169"/>
      <c r="EB572" s="169"/>
      <c r="EC572" s="220"/>
      <c r="ED572" s="169"/>
      <c r="EE572" s="169"/>
      <c r="EF572" s="169"/>
      <c r="EG572" s="169"/>
      <c r="EH572" s="220"/>
      <c r="EI572" s="169"/>
      <c r="EJ572" s="169"/>
      <c r="EK572" s="169"/>
      <c r="EL572" s="169"/>
      <c r="EM572" s="220"/>
      <c r="EN572" s="169"/>
      <c r="EO572" s="169"/>
      <c r="EP572" s="169"/>
      <c r="EQ572" s="169"/>
      <c r="ER572" s="220"/>
      <c r="ES572" s="169"/>
      <c r="ET572" s="169"/>
      <c r="EU572" s="169"/>
      <c r="EV572" s="169"/>
      <c r="EW572" s="220"/>
      <c r="EX572" s="169"/>
      <c r="EY572" s="169"/>
      <c r="EZ572" s="169"/>
      <c r="FA572" s="169"/>
      <c r="FB572" s="220"/>
      <c r="FC572" s="169"/>
      <c r="FD572" s="169"/>
      <c r="FE572" s="169"/>
      <c r="FF572" s="169"/>
      <c r="FG572" s="220"/>
      <c r="FH572" s="169"/>
      <c r="FI572" s="169"/>
      <c r="FJ572" s="169"/>
      <c r="FK572" s="169"/>
      <c r="FL572" s="220"/>
      <c r="FM572" s="169"/>
      <c r="FN572" s="169"/>
      <c r="FO572" s="169"/>
      <c r="FP572" s="169"/>
      <c r="FQ572" s="220"/>
      <c r="FR572" s="169"/>
      <c r="FS572" s="169"/>
      <c r="FT572" s="169"/>
      <c r="FU572" s="169"/>
      <c r="FV572" s="220"/>
      <c r="FW572" s="169"/>
      <c r="FX572" s="169"/>
      <c r="FY572" s="169"/>
      <c r="FZ572" s="169"/>
      <c r="GA572" s="220"/>
      <c r="GB572" s="169"/>
      <c r="GC572" s="169"/>
      <c r="GD572" s="169"/>
      <c r="GE572" s="169"/>
      <c r="GF572" s="220"/>
      <c r="GG572" s="169"/>
      <c r="GH572" s="169"/>
      <c r="GI572" s="169"/>
      <c r="GJ572" s="169"/>
    </row>
  </sheetData>
  <pageMargins left="0.7" right="0.7" top="0.75" bottom="0.75" header="0.3" footer="0.3"/>
  <customProperties>
    <customPr name="Qube.Worksheet.Visibility" r:id="rId1"/>
  </customProperties>
  <legacy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07CCAA-3252-4D22-8E28-DB465A204EF8}">
  <sheetPr>
    <tabColor theme="4"/>
  </sheetPr>
  <dimension ref="A1:GJ376"/>
  <sheetViews>
    <sheetView showGridLines="0" zoomScaleNormal="100" workbookViewId="0">
      <pane xSplit="2" ySplit="8" topLeftCell="EW9" activePane="bottomRight" state="frozen"/>
      <selection activeCell="DD115" sqref="DD115"/>
      <selection pane="topRight" activeCell="DD115" sqref="DD115"/>
      <selection pane="bottomLeft" activeCell="DD115" sqref="DD115"/>
      <selection pane="bottomRight"/>
    </sheetView>
  </sheetViews>
  <sheetFormatPr defaultColWidth="9.109375" defaultRowHeight="12.75" customHeight="1" outlineLevelRow="1" outlineLevelCol="1"/>
  <cols>
    <col min="1" max="1" width="3.5546875" style="68" customWidth="1"/>
    <col min="2" max="2" width="60.5546875" style="701" customWidth="1"/>
    <col min="3" max="3" width="11.109375" style="284" hidden="1" customWidth="1" outlineLevel="1"/>
    <col min="4" max="6" width="11.109375" style="288" hidden="1" customWidth="1" outlineLevel="1"/>
    <col min="7" max="7" width="11.44140625" style="288" bestFit="1" customWidth="1" collapsed="1"/>
    <col min="8" max="8" width="11.109375" style="284" hidden="1" customWidth="1" outlineLevel="1"/>
    <col min="9" max="11" width="11.109375" style="288" hidden="1" customWidth="1" outlineLevel="1"/>
    <col min="12" max="12" width="11.44140625" style="288" bestFit="1" customWidth="1" collapsed="1"/>
    <col min="13" max="13" width="11.109375" style="284" hidden="1" customWidth="1" outlineLevel="1"/>
    <col min="14" max="16" width="11.109375" style="288" hidden="1" customWidth="1" outlineLevel="1"/>
    <col min="17" max="17" width="11.44140625" style="288" bestFit="1" customWidth="1" collapsed="1"/>
    <col min="18" max="18" width="11.109375" style="284" hidden="1" customWidth="1" outlineLevel="1"/>
    <col min="19" max="21" width="11.109375" style="288" hidden="1" customWidth="1" outlineLevel="1"/>
    <col min="22" max="22" width="11.44140625" style="288" bestFit="1" customWidth="1" collapsed="1"/>
    <col min="23" max="23" width="11.109375" style="284" hidden="1" customWidth="1" outlineLevel="1"/>
    <col min="24" max="26" width="11.109375" style="288" hidden="1" customWidth="1" outlineLevel="1"/>
    <col min="27" max="27" width="11.44140625" style="288" bestFit="1" customWidth="1" collapsed="1"/>
    <col min="28" max="28" width="11.109375" style="284" hidden="1" customWidth="1" outlineLevel="1"/>
    <col min="29" max="31" width="11.109375" style="288" hidden="1" customWidth="1" outlineLevel="1"/>
    <col min="32" max="32" width="11.44140625" style="288" bestFit="1" customWidth="1" collapsed="1"/>
    <col min="33" max="33" width="11.109375" style="284" hidden="1" customWidth="1" outlineLevel="1"/>
    <col min="34" max="36" width="11.109375" style="288" hidden="1" customWidth="1" outlineLevel="1"/>
    <col min="37" max="37" width="11.44140625" style="288" bestFit="1" customWidth="1" collapsed="1"/>
    <col min="38" max="38" width="11.109375" style="284" hidden="1" customWidth="1" outlineLevel="1"/>
    <col min="39" max="41" width="11.109375" style="288" hidden="1" customWidth="1" outlineLevel="1"/>
    <col min="42" max="42" width="11.109375" style="288" customWidth="1" collapsed="1"/>
    <col min="43" max="43" width="11.109375" style="284" hidden="1" customWidth="1" outlineLevel="1"/>
    <col min="44" max="46" width="11.109375" style="288" hidden="1" customWidth="1" outlineLevel="1"/>
    <col min="47" max="47" width="11.109375" style="288" customWidth="1" collapsed="1"/>
    <col min="48" max="48" width="11.109375" style="284" hidden="1" customWidth="1" outlineLevel="1"/>
    <col min="49" max="51" width="11.109375" style="288" hidden="1" customWidth="1" outlineLevel="1"/>
    <col min="52" max="52" width="11.44140625" style="288" bestFit="1" customWidth="1" collapsed="1"/>
    <col min="53" max="53" width="11.109375" style="284" hidden="1" customWidth="1" outlineLevel="1"/>
    <col min="54" max="56" width="11.109375" style="288" hidden="1" customWidth="1" outlineLevel="1"/>
    <col min="57" max="57" width="11.44140625" style="288" bestFit="1" customWidth="1" collapsed="1"/>
    <col min="58" max="58" width="11.109375" style="284" hidden="1" customWidth="1" outlineLevel="1"/>
    <col min="59" max="61" width="11.109375" style="288" hidden="1" customWidth="1" outlineLevel="1"/>
    <col min="62" max="62" width="11.44140625" style="288" bestFit="1" customWidth="1" collapsed="1"/>
    <col min="63" max="63" width="11.109375" style="284" hidden="1" customWidth="1" outlineLevel="1"/>
    <col min="64" max="66" width="11.109375" style="288" hidden="1" customWidth="1" outlineLevel="1"/>
    <col min="67" max="67" width="11.44140625" style="288" bestFit="1" customWidth="1" collapsed="1"/>
    <col min="68" max="68" width="11.109375" style="284" hidden="1" customWidth="1" outlineLevel="1"/>
    <col min="69" max="71" width="11.109375" style="288" hidden="1" customWidth="1" outlineLevel="1"/>
    <col min="72" max="72" width="11.44140625" style="288" bestFit="1" customWidth="1" collapsed="1"/>
    <col min="73" max="73" width="11.109375" style="284" hidden="1" customWidth="1" outlineLevel="1"/>
    <col min="74" max="76" width="11.109375" style="288" hidden="1" customWidth="1" outlineLevel="1"/>
    <col min="77" max="77" width="11.44140625" style="288" bestFit="1" customWidth="1" collapsed="1"/>
    <col min="78" max="78" width="11.109375" style="284" hidden="1" customWidth="1" outlineLevel="1"/>
    <col min="79" max="81" width="11.109375" style="288" hidden="1" customWidth="1" outlineLevel="1"/>
    <col min="82" max="82" width="11.44140625" style="170" bestFit="1" customWidth="1" collapsed="1"/>
    <col min="83" max="83" width="11.109375" style="284" hidden="1" customWidth="1" outlineLevel="1"/>
    <col min="84" max="86" width="11.109375" style="288" hidden="1" customWidth="1" outlineLevel="1"/>
    <col min="87" max="87" width="11.109375" style="170" customWidth="1" collapsed="1"/>
    <col min="88" max="88" width="11.109375" style="284" hidden="1" customWidth="1" outlineLevel="1"/>
    <col min="89" max="91" width="11.109375" style="288" hidden="1" customWidth="1" outlineLevel="1"/>
    <col min="92" max="92" width="11.109375" style="170" customWidth="1" collapsed="1"/>
    <col min="93" max="93" width="11.109375" style="284" hidden="1" customWidth="1" outlineLevel="1"/>
    <col min="94" max="96" width="11.109375" style="288" hidden="1" customWidth="1" outlineLevel="1"/>
    <col min="97" max="97" width="11.44140625" style="170" bestFit="1" customWidth="1" collapsed="1"/>
    <col min="98" max="98" width="11.109375" style="284" hidden="1" customWidth="1" outlineLevel="1"/>
    <col min="99" max="101" width="11.109375" style="288" hidden="1" customWidth="1" outlineLevel="1"/>
    <col min="102" max="102" width="11.44140625" style="170" bestFit="1" customWidth="1" collapsed="1"/>
    <col min="103" max="103" width="11.109375" style="284" hidden="1" customWidth="1" outlineLevel="1"/>
    <col min="104" max="106" width="11.109375" style="288" hidden="1" customWidth="1" outlineLevel="1"/>
    <col min="107" max="107" width="11.44140625" style="170" bestFit="1" customWidth="1" collapsed="1"/>
    <col min="108" max="108" width="11.109375" style="284" hidden="1" customWidth="1" outlineLevel="1"/>
    <col min="109" max="111" width="11.109375" style="288" hidden="1" customWidth="1" outlineLevel="1"/>
    <col min="112" max="112" width="11.44140625" style="170" bestFit="1" customWidth="1" collapsed="1"/>
    <col min="113" max="113" width="11.109375" style="284" hidden="1" customWidth="1" outlineLevel="1"/>
    <col min="114" max="116" width="11.109375" style="288" hidden="1" customWidth="1" outlineLevel="1"/>
    <col min="117" max="117" width="11.44140625" style="170" bestFit="1" customWidth="1" collapsed="1"/>
    <col min="118" max="118" width="11.109375" style="284" hidden="1" customWidth="1" outlineLevel="1"/>
    <col min="119" max="121" width="11.109375" style="288" hidden="1" customWidth="1" outlineLevel="1"/>
    <col min="122" max="122" width="11.44140625" style="170" bestFit="1" customWidth="1" collapsed="1"/>
    <col min="123" max="123" width="11.109375" style="284" hidden="1" customWidth="1" outlineLevel="1"/>
    <col min="124" max="126" width="9.44140625" style="288" hidden="1" customWidth="1" outlineLevel="1"/>
    <col min="127" max="127" width="11.44140625" style="170" bestFit="1" customWidth="1" collapsed="1"/>
    <col min="128" max="128" width="11.109375" style="284" hidden="1" customWidth="1" outlineLevel="1"/>
    <col min="129" max="131" width="11.109375" style="288" hidden="1" customWidth="1" outlineLevel="1"/>
    <col min="132" max="132" width="11.109375" style="170" customWidth="1" collapsed="1"/>
    <col min="133" max="133" width="11.109375" style="284" hidden="1" customWidth="1" outlineLevel="1"/>
    <col min="134" max="136" width="11.109375" style="288" hidden="1" customWidth="1" outlineLevel="1"/>
    <col min="137" max="137" width="11.109375" style="170" customWidth="1" collapsed="1"/>
    <col min="138" max="138" width="12.5546875" style="284" hidden="1" customWidth="1" outlineLevel="1"/>
    <col min="139" max="141" width="11.44140625" style="288" hidden="1" customWidth="1" outlineLevel="1"/>
    <col min="142" max="142" width="12.5546875" style="170" bestFit="1" customWidth="1" collapsed="1"/>
    <col min="143" max="143" width="11.44140625" style="284" hidden="1" customWidth="1" outlineLevel="1"/>
    <col min="144" max="146" width="11.44140625" style="288" hidden="1" customWidth="1" outlineLevel="1"/>
    <col min="147" max="147" width="11.44140625" style="170" bestFit="1" customWidth="1" collapsed="1"/>
    <col min="148" max="148" width="11.109375" style="284" hidden="1" customWidth="1" outlineLevel="1"/>
    <col min="149" max="151" width="11.109375" style="288" hidden="1" customWidth="1" outlineLevel="1"/>
    <col min="152" max="152" width="11.44140625" style="288" bestFit="1" customWidth="1" collapsed="1"/>
    <col min="153" max="153" width="11.109375" style="284" customWidth="1" outlineLevel="1"/>
    <col min="154" max="156" width="11.109375" style="288" customWidth="1" outlineLevel="1"/>
    <col min="157" max="157" width="11.44140625" style="288" bestFit="1" customWidth="1"/>
    <col min="158" max="158" width="11.109375" style="284" customWidth="1" outlineLevel="1"/>
    <col min="159" max="161" width="11.109375" style="288" customWidth="1" outlineLevel="1"/>
    <col min="162" max="162" width="11.44140625" style="288" bestFit="1" customWidth="1"/>
    <col min="163" max="163" width="11.109375" style="284" customWidth="1" outlineLevel="1"/>
    <col min="164" max="166" width="11.109375" style="288" customWidth="1" outlineLevel="1"/>
    <col min="167" max="167" width="11.44140625" style="288" bestFit="1" customWidth="1"/>
    <col min="168" max="168" width="11.109375" style="284" hidden="1" customWidth="1" outlineLevel="1"/>
    <col min="169" max="171" width="11.109375" style="288" hidden="1" customWidth="1" outlineLevel="1"/>
    <col min="172" max="172" width="11.44140625" style="288" bestFit="1" customWidth="1" collapsed="1"/>
    <col min="173" max="173" width="11.109375" style="284" hidden="1" customWidth="1" outlineLevel="1"/>
    <col min="174" max="176" width="11.109375" style="288" hidden="1" customWidth="1" outlineLevel="1"/>
    <col min="177" max="177" width="11.44140625" style="288" bestFit="1" customWidth="1" collapsed="1"/>
    <col min="178" max="178" width="11.109375" style="284" hidden="1" customWidth="1" outlineLevel="1"/>
    <col min="179" max="181" width="9.44140625" style="288" hidden="1" customWidth="1" outlineLevel="1"/>
    <col min="182" max="182" width="11.44140625" style="288" bestFit="1" customWidth="1" collapsed="1"/>
    <col min="183" max="183" width="11.109375" style="284" hidden="1" customWidth="1" outlineLevel="1"/>
    <col min="184" max="186" width="9.44140625" style="288" hidden="1" customWidth="1" outlineLevel="1"/>
    <col min="187" max="187" width="11.44140625" style="288" bestFit="1" customWidth="1" collapsed="1"/>
    <col min="188" max="188" width="11.109375" style="284" hidden="1" customWidth="1" outlineLevel="1"/>
    <col min="189" max="191" width="9.44140625" style="288" hidden="1" customWidth="1" outlineLevel="1"/>
    <col min="192" max="192" width="11.44140625" style="288" bestFit="1" customWidth="1" collapsed="1"/>
    <col min="193" max="16384" width="9.109375" style="283"/>
  </cols>
  <sheetData>
    <row r="1" spans="1:192" ht="12.75" customHeight="1">
      <c r="D1" s="285"/>
      <c r="E1" s="285"/>
      <c r="F1" s="285"/>
      <c r="G1" s="285"/>
      <c r="I1" s="285"/>
      <c r="J1" s="285"/>
      <c r="K1" s="285"/>
      <c r="L1" s="285"/>
      <c r="N1" s="285"/>
      <c r="O1" s="285"/>
      <c r="P1" s="285"/>
      <c r="Q1" s="285"/>
      <c r="S1" s="285"/>
      <c r="T1" s="285"/>
      <c r="U1" s="285"/>
      <c r="V1" s="285"/>
      <c r="X1" s="285"/>
      <c r="Y1" s="285"/>
      <c r="Z1" s="285"/>
      <c r="AA1" s="285"/>
      <c r="AC1" s="285"/>
      <c r="AD1" s="285"/>
      <c r="AE1" s="285"/>
      <c r="AF1" s="285"/>
      <c r="AH1" s="285"/>
      <c r="AI1" s="285"/>
      <c r="AJ1" s="285"/>
      <c r="AK1" s="285"/>
      <c r="AM1" s="285"/>
      <c r="AN1" s="285"/>
      <c r="AO1" s="285"/>
      <c r="AP1" s="285"/>
      <c r="AR1" s="285"/>
      <c r="AS1" s="285"/>
      <c r="AT1" s="285"/>
      <c r="AU1" s="285"/>
      <c r="AW1" s="285"/>
      <c r="AX1" s="285"/>
      <c r="AY1" s="285"/>
      <c r="AZ1" s="285"/>
      <c r="BB1" s="285"/>
      <c r="BC1" s="285"/>
      <c r="BD1" s="285"/>
      <c r="BE1" s="285"/>
      <c r="BG1" s="285"/>
      <c r="BH1" s="285"/>
      <c r="BI1" s="285"/>
      <c r="BJ1" s="285"/>
      <c r="BL1" s="285"/>
      <c r="BM1" s="285"/>
      <c r="BN1" s="285"/>
      <c r="BO1" s="285"/>
      <c r="BQ1" s="285"/>
      <c r="BR1" s="285"/>
      <c r="BS1" s="285"/>
      <c r="BT1" s="285"/>
      <c r="BV1" s="285"/>
      <c r="BW1" s="285"/>
      <c r="BX1" s="285"/>
      <c r="BY1" s="285"/>
      <c r="CA1" s="285"/>
      <c r="CB1" s="285"/>
      <c r="CC1" s="285"/>
      <c r="CD1" s="425"/>
      <c r="CF1" s="285"/>
      <c r="CG1" s="285"/>
      <c r="CH1" s="285"/>
      <c r="CI1" s="425"/>
      <c r="CK1" s="285"/>
      <c r="CL1" s="285"/>
      <c r="CM1" s="285"/>
      <c r="CN1" s="425"/>
      <c r="CP1" s="285"/>
      <c r="CQ1" s="285"/>
      <c r="CR1" s="285"/>
      <c r="CS1" s="425"/>
      <c r="CU1" s="285"/>
      <c r="CV1" s="285"/>
      <c r="CW1" s="285"/>
      <c r="CX1" s="425"/>
      <c r="CZ1" s="285"/>
      <c r="DA1" s="285"/>
      <c r="DB1" s="285"/>
      <c r="DC1" s="425"/>
      <c r="DE1" s="285"/>
      <c r="DF1" s="285"/>
      <c r="DG1" s="285"/>
      <c r="DH1" s="425"/>
      <c r="DJ1" s="285"/>
      <c r="DK1" s="285"/>
      <c r="DL1" s="285"/>
      <c r="DM1" s="425"/>
      <c r="DO1" s="285"/>
      <c r="DP1" s="285"/>
      <c r="DQ1" s="285"/>
      <c r="DR1" s="425"/>
      <c r="DT1" s="285"/>
      <c r="DU1" s="285"/>
      <c r="DV1" s="285"/>
      <c r="DW1" s="425"/>
      <c r="DY1" s="285"/>
      <c r="DZ1" s="285"/>
      <c r="EA1" s="285"/>
      <c r="EB1" s="425"/>
      <c r="ED1" s="285"/>
      <c r="EE1" s="285"/>
      <c r="EF1" s="285"/>
      <c r="EG1" s="425"/>
      <c r="EI1" s="285"/>
      <c r="EJ1" s="285"/>
      <c r="EK1" s="285"/>
      <c r="EL1" s="425"/>
      <c r="EN1" s="285"/>
      <c r="EO1" s="285"/>
      <c r="EP1" s="285"/>
      <c r="EQ1" s="425"/>
      <c r="ER1" s="1588"/>
      <c r="ES1" s="1588"/>
      <c r="ET1" s="1588"/>
      <c r="EU1" s="1588"/>
      <c r="EV1" s="285"/>
      <c r="EX1" s="285"/>
      <c r="EY1" s="285"/>
      <c r="EZ1" s="285"/>
      <c r="FA1" s="285"/>
      <c r="FC1" s="285"/>
      <c r="FD1" s="285"/>
      <c r="FE1" s="285"/>
      <c r="FF1" s="285"/>
      <c r="FH1" s="285"/>
      <c r="FI1" s="285"/>
      <c r="FJ1" s="285"/>
      <c r="FK1" s="285"/>
      <c r="FM1" s="285"/>
      <c r="FN1" s="285"/>
      <c r="FO1" s="285"/>
      <c r="FP1" s="285"/>
      <c r="FR1" s="285"/>
      <c r="FS1" s="285"/>
      <c r="FT1" s="285"/>
      <c r="FU1" s="285"/>
      <c r="FW1" s="285"/>
      <c r="FX1" s="285"/>
      <c r="FY1" s="285"/>
      <c r="FZ1" s="285"/>
      <c r="GB1" s="285"/>
      <c r="GC1" s="285"/>
      <c r="GD1" s="285"/>
      <c r="GE1" s="285"/>
      <c r="GG1" s="285"/>
      <c r="GH1" s="285"/>
      <c r="GI1" s="285"/>
      <c r="GJ1" s="285"/>
    </row>
    <row r="2" spans="1:192" ht="12.75" customHeight="1">
      <c r="B2" s="1434" t="s">
        <v>63</v>
      </c>
      <c r="D2" s="285"/>
      <c r="E2" s="285"/>
      <c r="F2" s="285"/>
      <c r="G2" s="285"/>
      <c r="I2" s="285"/>
      <c r="J2" s="285"/>
      <c r="K2" s="285"/>
      <c r="L2" s="285"/>
      <c r="N2" s="285"/>
      <c r="O2" s="285"/>
      <c r="P2" s="285"/>
      <c r="Q2" s="285"/>
      <c r="S2" s="285"/>
      <c r="T2" s="285"/>
      <c r="U2" s="285"/>
      <c r="V2" s="285"/>
      <c r="X2" s="285"/>
      <c r="Y2" s="285"/>
      <c r="Z2" s="285"/>
      <c r="AA2" s="285"/>
      <c r="AC2" s="285"/>
      <c r="AD2" s="285"/>
      <c r="AE2" s="285"/>
      <c r="AF2" s="285"/>
      <c r="AH2" s="285"/>
      <c r="AI2" s="285"/>
      <c r="AJ2" s="285"/>
      <c r="AK2" s="285"/>
      <c r="AM2" s="285"/>
      <c r="AN2" s="285"/>
      <c r="AO2" s="285"/>
      <c r="AP2" s="285"/>
      <c r="AR2" s="285"/>
      <c r="AS2" s="285"/>
      <c r="AT2" s="285"/>
      <c r="AU2" s="285"/>
      <c r="AW2" s="285"/>
      <c r="AX2" s="285"/>
      <c r="AY2" s="285"/>
      <c r="AZ2" s="285"/>
      <c r="BB2" s="285"/>
      <c r="BC2" s="285"/>
      <c r="BD2" s="285"/>
      <c r="BE2" s="285"/>
      <c r="BG2" s="285"/>
      <c r="BH2" s="285"/>
      <c r="BI2" s="285"/>
      <c r="BJ2" s="285"/>
      <c r="BL2" s="285"/>
      <c r="BM2" s="285"/>
      <c r="BN2" s="285"/>
      <c r="BO2" s="285"/>
      <c r="BQ2" s="285"/>
      <c r="BR2" s="285"/>
      <c r="BS2" s="285"/>
      <c r="BT2" s="285"/>
      <c r="BV2" s="285"/>
      <c r="BW2" s="285"/>
      <c r="BX2" s="285"/>
      <c r="BY2" s="285"/>
      <c r="CA2" s="285"/>
      <c r="CB2" s="285"/>
      <c r="CC2" s="285"/>
      <c r="CD2" s="425"/>
      <c r="CF2" s="285"/>
      <c r="CG2" s="285"/>
      <c r="CH2" s="285"/>
      <c r="CI2" s="425"/>
      <c r="CK2" s="285"/>
      <c r="CL2" s="285"/>
      <c r="CM2" s="285"/>
      <c r="CN2" s="425"/>
      <c r="CP2" s="285"/>
      <c r="CQ2" s="285"/>
      <c r="CR2" s="285"/>
      <c r="CS2" s="425"/>
      <c r="CU2" s="285"/>
      <c r="CV2" s="285"/>
      <c r="CW2" s="285"/>
      <c r="CX2" s="425"/>
      <c r="CZ2" s="285"/>
      <c r="DA2" s="285"/>
      <c r="DB2" s="285"/>
      <c r="DC2" s="425"/>
      <c r="DE2" s="285"/>
      <c r="DF2" s="285"/>
      <c r="DG2" s="285"/>
      <c r="DH2" s="425"/>
      <c r="DJ2" s="285"/>
      <c r="DK2" s="285"/>
      <c r="DL2" s="285"/>
      <c r="DM2" s="425"/>
      <c r="DO2" s="285"/>
      <c r="DP2" s="285"/>
      <c r="DQ2" s="285"/>
      <c r="DR2" s="425"/>
      <c r="DT2" s="285"/>
      <c r="DU2" s="285"/>
      <c r="DV2" s="285"/>
      <c r="DW2" s="425"/>
      <c r="DY2" s="285"/>
      <c r="DZ2" s="285"/>
      <c r="EA2" s="285"/>
      <c r="EB2" s="425"/>
      <c r="ED2" s="285"/>
      <c r="EE2" s="285"/>
      <c r="EF2" s="285"/>
      <c r="EG2" s="425"/>
      <c r="EI2" s="285"/>
      <c r="EJ2" s="285"/>
      <c r="EK2" s="285"/>
      <c r="EL2" s="425"/>
      <c r="EN2" s="285"/>
      <c r="EO2" s="285"/>
      <c r="EP2" s="285"/>
      <c r="EQ2" s="425"/>
      <c r="ES2" s="284"/>
      <c r="ET2" s="284"/>
      <c r="EU2" s="284"/>
      <c r="EV2" s="285"/>
      <c r="EX2" s="285"/>
      <c r="EY2" s="285"/>
      <c r="EZ2" s="285"/>
      <c r="FA2" s="285"/>
      <c r="FC2" s="285"/>
      <c r="FD2" s="285"/>
      <c r="FE2" s="285"/>
      <c r="FF2" s="285"/>
      <c r="FH2" s="285"/>
      <c r="FI2" s="285"/>
      <c r="FJ2" s="285"/>
      <c r="FK2" s="285"/>
      <c r="FM2" s="285"/>
      <c r="FN2" s="285"/>
      <c r="FO2" s="285"/>
      <c r="FP2" s="285"/>
      <c r="FR2" s="285"/>
      <c r="FS2" s="285"/>
      <c r="FT2" s="285"/>
      <c r="FU2" s="285"/>
      <c r="FW2" s="285"/>
      <c r="FX2" s="285"/>
      <c r="FY2" s="285"/>
      <c r="FZ2" s="285"/>
      <c r="GB2" s="285"/>
      <c r="GC2" s="285"/>
      <c r="GD2" s="285"/>
      <c r="GE2" s="285"/>
      <c r="GG2" s="285"/>
      <c r="GH2" s="285"/>
      <c r="GI2" s="285"/>
      <c r="GJ2" s="285"/>
    </row>
    <row r="3" spans="1:192" ht="12.75" customHeight="1">
      <c r="B3" s="1434" t="s">
        <v>64</v>
      </c>
      <c r="D3" s="285"/>
      <c r="E3" s="285"/>
      <c r="F3" s="285"/>
      <c r="G3" s="285"/>
      <c r="I3" s="285"/>
      <c r="J3" s="285"/>
      <c r="K3" s="285"/>
      <c r="L3" s="285"/>
      <c r="N3" s="285"/>
      <c r="O3" s="285"/>
      <c r="P3" s="285"/>
      <c r="Q3" s="285"/>
      <c r="S3" s="285"/>
      <c r="T3" s="285"/>
      <c r="U3" s="285"/>
      <c r="V3" s="285"/>
      <c r="X3" s="285"/>
      <c r="Y3" s="285"/>
      <c r="Z3" s="285"/>
      <c r="AA3" s="285"/>
      <c r="AC3" s="285"/>
      <c r="AD3" s="285"/>
      <c r="AE3" s="285"/>
      <c r="AF3" s="285"/>
      <c r="AH3" s="285"/>
      <c r="AI3" s="285"/>
      <c r="AJ3" s="285"/>
      <c r="AK3" s="285"/>
      <c r="AM3" s="285"/>
      <c r="AN3" s="285"/>
      <c r="AO3" s="285"/>
      <c r="AP3" s="285"/>
      <c r="AR3" s="285"/>
      <c r="AS3" s="285"/>
      <c r="AT3" s="285"/>
      <c r="AU3" s="285"/>
      <c r="AW3" s="285"/>
      <c r="AX3" s="285"/>
      <c r="AY3" s="285"/>
      <c r="AZ3" s="285"/>
      <c r="BB3" s="285"/>
      <c r="BC3" s="285"/>
      <c r="BD3" s="285"/>
      <c r="BE3" s="285"/>
      <c r="BG3" s="285"/>
      <c r="BH3" s="285"/>
      <c r="BI3" s="285"/>
      <c r="BJ3" s="285"/>
      <c r="BL3" s="285"/>
      <c r="BM3" s="285"/>
      <c r="BN3" s="285"/>
      <c r="BO3" s="285"/>
      <c r="BQ3" s="285"/>
      <c r="BR3" s="285"/>
      <c r="BS3" s="285"/>
      <c r="BT3" s="285"/>
      <c r="BV3" s="285"/>
      <c r="BW3" s="285"/>
      <c r="BX3" s="285"/>
      <c r="BY3" s="285"/>
      <c r="CA3" s="285"/>
      <c r="CB3" s="285"/>
      <c r="CC3" s="285"/>
      <c r="CD3" s="425"/>
      <c r="CF3" s="285"/>
      <c r="CG3" s="285"/>
      <c r="CH3" s="285"/>
      <c r="CI3" s="425"/>
      <c r="CK3" s="285"/>
      <c r="CL3" s="285"/>
      <c r="CM3" s="285"/>
      <c r="CN3" s="425"/>
      <c r="CP3" s="285"/>
      <c r="CQ3" s="285"/>
      <c r="CR3" s="285"/>
      <c r="CS3" s="425"/>
      <c r="CU3" s="285"/>
      <c r="CV3" s="285"/>
      <c r="CW3" s="285"/>
      <c r="CX3" s="425"/>
      <c r="CZ3" s="285"/>
      <c r="DA3" s="285"/>
      <c r="DB3" s="285"/>
      <c r="DC3" s="425"/>
      <c r="DE3" s="285"/>
      <c r="DF3" s="285"/>
      <c r="DG3" s="285"/>
      <c r="DH3" s="425"/>
      <c r="DJ3" s="285"/>
      <c r="DK3" s="285"/>
      <c r="DL3" s="285"/>
      <c r="DM3" s="425"/>
      <c r="DO3" s="285"/>
      <c r="DP3" s="285"/>
      <c r="DQ3" s="285"/>
      <c r="DR3" s="425"/>
      <c r="DT3" s="285"/>
      <c r="DU3" s="285"/>
      <c r="DV3" s="285"/>
      <c r="DW3" s="425"/>
      <c r="DY3" s="285"/>
      <c r="DZ3" s="285"/>
      <c r="EA3" s="285"/>
      <c r="EB3" s="425"/>
      <c r="EC3" s="1207"/>
      <c r="ED3" s="285"/>
      <c r="EE3" s="285"/>
      <c r="EF3" s="285"/>
      <c r="EG3" s="425"/>
      <c r="EI3" s="285"/>
      <c r="EJ3" s="285"/>
      <c r="EK3" s="285"/>
      <c r="EL3" s="425"/>
      <c r="EN3" s="285"/>
      <c r="EO3" s="285"/>
      <c r="EP3" s="285"/>
      <c r="EQ3" s="425"/>
      <c r="ES3" s="284"/>
      <c r="ET3" s="284"/>
      <c r="EU3" s="284"/>
      <c r="EV3" s="285"/>
      <c r="EX3" s="285"/>
      <c r="EY3" s="285"/>
      <c r="EZ3" s="285"/>
      <c r="FA3" s="285"/>
      <c r="FC3" s="285"/>
      <c r="FD3" s="285"/>
      <c r="FE3" s="285"/>
      <c r="FF3" s="285"/>
      <c r="FH3" s="285"/>
      <c r="FI3" s="285"/>
      <c r="FJ3" s="285"/>
      <c r="FK3" s="285"/>
      <c r="FM3" s="285"/>
      <c r="FN3" s="285"/>
      <c r="FO3" s="285"/>
      <c r="FP3" s="285"/>
      <c r="FR3" s="285"/>
      <c r="FS3" s="285"/>
      <c r="FT3" s="285"/>
      <c r="FU3" s="285"/>
      <c r="FW3" s="285"/>
      <c r="FX3" s="285"/>
      <c r="FY3" s="285"/>
      <c r="FZ3" s="285"/>
      <c r="GB3" s="285"/>
      <c r="GC3" s="285"/>
      <c r="GD3" s="285"/>
      <c r="GE3" s="285"/>
      <c r="GG3" s="285"/>
      <c r="GH3" s="285"/>
      <c r="GI3" s="285"/>
      <c r="GJ3" s="285"/>
    </row>
    <row r="4" spans="1:192" ht="12.75" customHeight="1">
      <c r="B4" s="1434" t="s">
        <v>27</v>
      </c>
      <c r="D4" s="285"/>
      <c r="E4" s="285"/>
      <c r="F4" s="285"/>
      <c r="G4" s="285"/>
      <c r="I4" s="285"/>
      <c r="J4" s="285"/>
      <c r="K4" s="285"/>
      <c r="L4" s="285"/>
      <c r="N4" s="285"/>
      <c r="O4" s="285"/>
      <c r="P4" s="285"/>
      <c r="Q4" s="285"/>
      <c r="S4" s="285"/>
      <c r="T4" s="285"/>
      <c r="U4" s="285"/>
      <c r="V4" s="285"/>
      <c r="X4" s="285"/>
      <c r="Y4" s="285"/>
      <c r="Z4" s="285"/>
      <c r="AA4" s="285"/>
      <c r="AC4" s="285"/>
      <c r="AD4" s="285"/>
      <c r="AE4" s="285"/>
      <c r="AF4" s="285"/>
      <c r="AH4" s="285"/>
      <c r="AI4" s="285"/>
      <c r="AJ4" s="285"/>
      <c r="AK4" s="285"/>
      <c r="AM4" s="285"/>
      <c r="AN4" s="285"/>
      <c r="AO4" s="285"/>
      <c r="AP4" s="285"/>
      <c r="AR4" s="285"/>
      <c r="AS4" s="285"/>
      <c r="AT4" s="285"/>
      <c r="AU4" s="285"/>
      <c r="AW4" s="285"/>
      <c r="AX4" s="285"/>
      <c r="AY4" s="285"/>
      <c r="AZ4" s="285"/>
      <c r="BB4" s="285"/>
      <c r="BC4" s="285"/>
      <c r="BD4" s="285"/>
      <c r="BE4" s="285"/>
      <c r="BG4" s="285"/>
      <c r="BH4" s="285"/>
      <c r="BI4" s="285"/>
      <c r="BJ4" s="285"/>
      <c r="BL4" s="285"/>
      <c r="BM4" s="285"/>
      <c r="BN4" s="285"/>
      <c r="BO4" s="285"/>
      <c r="BQ4" s="285"/>
      <c r="BR4" s="285"/>
      <c r="BS4" s="285"/>
      <c r="BT4" s="285"/>
      <c r="BV4" s="285"/>
      <c r="BW4" s="285"/>
      <c r="BX4" s="285"/>
      <c r="BY4" s="285"/>
      <c r="CA4" s="285"/>
      <c r="CB4" s="285"/>
      <c r="CC4" s="285"/>
      <c r="CD4" s="425"/>
      <c r="CF4" s="285"/>
      <c r="CG4" s="285"/>
      <c r="CH4" s="285"/>
      <c r="CI4" s="425"/>
      <c r="CK4" s="285"/>
      <c r="CL4" s="285"/>
      <c r="CM4" s="285"/>
      <c r="CN4" s="425"/>
      <c r="CP4" s="285"/>
      <c r="CQ4" s="285"/>
      <c r="CR4" s="285"/>
      <c r="CS4" s="425"/>
      <c r="CU4" s="285"/>
      <c r="CV4" s="285"/>
      <c r="CW4" s="285"/>
      <c r="CX4" s="425"/>
      <c r="CZ4" s="285"/>
      <c r="DA4" s="285"/>
      <c r="DB4" s="285"/>
      <c r="DC4" s="425"/>
      <c r="DE4" s="285"/>
      <c r="DF4" s="285"/>
      <c r="DG4" s="285"/>
      <c r="DH4" s="425"/>
      <c r="DI4" s="968"/>
      <c r="DJ4" s="969"/>
      <c r="DK4" s="970" t="s">
        <v>419</v>
      </c>
      <c r="DL4" s="969"/>
      <c r="DM4" s="969"/>
      <c r="DO4" s="285"/>
      <c r="DP4" s="285"/>
      <c r="DQ4" s="285"/>
      <c r="DR4" s="425"/>
      <c r="DT4" s="285"/>
      <c r="DU4" s="285"/>
      <c r="DV4" s="285"/>
      <c r="DW4" s="425"/>
      <c r="DY4" s="285"/>
      <c r="DZ4" s="285"/>
      <c r="EA4" s="285"/>
      <c r="EB4" s="425"/>
      <c r="ED4" s="285"/>
      <c r="EE4" s="285"/>
      <c r="EF4" s="285"/>
      <c r="EG4" s="425"/>
      <c r="EI4" s="285"/>
      <c r="EJ4" s="285"/>
      <c r="EK4" s="285"/>
      <c r="EL4" s="425"/>
      <c r="EN4" s="285"/>
      <c r="EO4" s="285"/>
      <c r="EP4" s="285"/>
      <c r="EQ4" s="425"/>
      <c r="ER4" s="440"/>
      <c r="ES4" s="440"/>
      <c r="ET4" s="1533"/>
      <c r="EU4" s="1533"/>
      <c r="EV4" s="285"/>
      <c r="EX4" s="285"/>
      <c r="EY4" s="285"/>
      <c r="EZ4" s="285"/>
      <c r="FA4" s="285"/>
      <c r="FC4" s="285"/>
      <c r="FD4" s="285"/>
      <c r="FE4" s="285"/>
      <c r="FF4" s="285"/>
      <c r="FH4" s="285"/>
      <c r="FI4" s="285"/>
      <c r="FJ4" s="285"/>
      <c r="FK4" s="285"/>
      <c r="FM4" s="285"/>
      <c r="FN4" s="285"/>
      <c r="FO4" s="285"/>
      <c r="FP4" s="285"/>
      <c r="FR4" s="285"/>
      <c r="FS4" s="285"/>
      <c r="FT4" s="285"/>
      <c r="FU4" s="285"/>
      <c r="FW4" s="285"/>
      <c r="FX4" s="285"/>
      <c r="FY4" s="285"/>
      <c r="FZ4" s="285"/>
      <c r="GB4" s="285"/>
      <c r="GC4" s="285"/>
      <c r="GD4" s="285"/>
      <c r="GE4" s="285"/>
      <c r="GG4" s="285"/>
      <c r="GH4" s="285"/>
      <c r="GI4" s="285"/>
      <c r="GJ4" s="285"/>
    </row>
    <row r="5" spans="1:192" ht="12.75" customHeight="1">
      <c r="C5" s="286"/>
      <c r="D5" s="287"/>
      <c r="E5" s="287"/>
      <c r="G5" s="287"/>
      <c r="H5" s="286"/>
      <c r="I5" s="287"/>
      <c r="J5" s="287"/>
      <c r="L5" s="285"/>
      <c r="M5" s="286"/>
      <c r="N5" s="287"/>
      <c r="O5" s="287"/>
      <c r="Q5" s="285"/>
      <c r="R5" s="286"/>
      <c r="S5" s="287"/>
      <c r="T5" s="287"/>
      <c r="V5" s="285"/>
      <c r="W5" s="286"/>
      <c r="X5" s="287"/>
      <c r="Y5" s="287"/>
      <c r="AA5" s="285"/>
      <c r="AB5" s="286"/>
      <c r="AC5" s="287"/>
      <c r="AD5" s="287"/>
      <c r="AF5" s="285"/>
      <c r="AG5" s="286"/>
      <c r="AH5" s="287"/>
      <c r="AI5" s="287"/>
      <c r="AK5" s="285"/>
      <c r="AL5" s="286"/>
      <c r="AM5" s="287"/>
      <c r="AN5" s="287"/>
      <c r="AP5" s="285"/>
      <c r="AQ5" s="286"/>
      <c r="AR5" s="287"/>
      <c r="AS5" s="287"/>
      <c r="AU5" s="285"/>
      <c r="AV5" s="286"/>
      <c r="AW5" s="287"/>
      <c r="AX5" s="287"/>
      <c r="AZ5" s="287"/>
      <c r="BA5" s="286"/>
      <c r="BB5" s="287"/>
      <c r="BC5" s="287"/>
      <c r="BE5" s="285"/>
      <c r="BF5" s="286"/>
      <c r="BG5" s="287"/>
      <c r="BH5" s="287"/>
      <c r="BJ5" s="285"/>
      <c r="BK5" s="286"/>
      <c r="BL5" s="287"/>
      <c r="BM5" s="287"/>
      <c r="BO5" s="285"/>
      <c r="BP5" s="286"/>
      <c r="BQ5" s="287"/>
      <c r="BR5" s="287"/>
      <c r="BT5" s="285"/>
      <c r="BU5" s="286"/>
      <c r="BV5" s="287"/>
      <c r="BW5" s="287"/>
      <c r="BY5" s="285"/>
      <c r="BZ5" s="286"/>
      <c r="CA5" s="287"/>
      <c r="CB5" s="287"/>
      <c r="CD5" s="425"/>
      <c r="CE5" s="286"/>
      <c r="CF5" s="287"/>
      <c r="CG5" s="287"/>
      <c r="CI5" s="425"/>
      <c r="CJ5" s="286"/>
      <c r="CK5" s="287"/>
      <c r="CL5" s="287"/>
      <c r="CN5" s="425"/>
      <c r="CO5" s="286"/>
      <c r="CP5" s="287"/>
      <c r="CQ5" s="287"/>
      <c r="CS5" s="436"/>
      <c r="CT5" s="350"/>
      <c r="CU5" s="351"/>
      <c r="CV5" s="351"/>
      <c r="CW5" s="351"/>
      <c r="CX5" s="425"/>
      <c r="CY5" s="286"/>
      <c r="CZ5" s="287"/>
      <c r="DA5" s="287"/>
      <c r="DC5" s="425"/>
      <c r="DD5" s="350"/>
      <c r="DE5" s="351"/>
      <c r="DF5" s="351"/>
      <c r="DG5" s="351"/>
      <c r="DH5" s="435"/>
      <c r="DI5" s="350"/>
      <c r="DJ5" s="351"/>
      <c r="DK5" s="351"/>
      <c r="DL5" s="351"/>
      <c r="DM5" s="425"/>
      <c r="DO5" s="285"/>
      <c r="DP5" s="285"/>
      <c r="DQ5" s="285"/>
      <c r="DR5" s="425"/>
      <c r="DT5" s="285"/>
      <c r="DU5" s="285"/>
      <c r="DV5" s="285"/>
      <c r="DW5" s="425"/>
      <c r="DY5" s="285"/>
      <c r="DZ5" s="285"/>
      <c r="EA5" s="285"/>
      <c r="EB5" s="425"/>
      <c r="ED5" s="285"/>
      <c r="EE5" s="285"/>
      <c r="EF5" s="285"/>
      <c r="EG5" s="425"/>
      <c r="EH5" s="286"/>
      <c r="EI5" s="287"/>
      <c r="EJ5" s="287"/>
      <c r="EL5" s="425"/>
      <c r="EM5" s="286"/>
      <c r="EN5" s="287"/>
      <c r="EO5" s="287"/>
      <c r="EQ5" s="425"/>
      <c r="ER5" s="1589"/>
      <c r="ES5" s="1589"/>
      <c r="ET5" s="1589"/>
      <c r="EU5" s="1589"/>
      <c r="EV5" s="285"/>
      <c r="EW5" s="286"/>
      <c r="EX5" s="287"/>
      <c r="EY5" s="287"/>
      <c r="EZ5" s="285"/>
      <c r="FA5" s="285"/>
      <c r="FC5" s="285"/>
      <c r="FD5" s="285"/>
      <c r="FE5" s="285"/>
      <c r="FF5" s="285"/>
      <c r="FH5" s="285"/>
      <c r="FI5" s="285"/>
      <c r="FJ5" s="285"/>
      <c r="FK5" s="285"/>
      <c r="FM5" s="285"/>
      <c r="FN5" s="285"/>
      <c r="FO5" s="285"/>
      <c r="FP5" s="285"/>
      <c r="FR5" s="285"/>
      <c r="FS5" s="285"/>
      <c r="FT5" s="285"/>
      <c r="FU5" s="285"/>
      <c r="FW5" s="285"/>
      <c r="FX5" s="285"/>
      <c r="FY5" s="285"/>
      <c r="FZ5" s="285"/>
      <c r="GB5" s="285"/>
      <c r="GC5" s="285"/>
      <c r="GD5" s="285"/>
      <c r="GE5" s="285"/>
      <c r="GG5" s="285"/>
      <c r="GH5" s="285"/>
      <c r="GI5" s="285"/>
      <c r="GJ5" s="285"/>
    </row>
    <row r="6" spans="1:192" ht="12.75" customHeight="1">
      <c r="C6" s="47" t="str">
        <f>Dates!C3</f>
      </c>
      <c r="D6" s="47"/>
      <c r="E6" s="47"/>
      <c r="F6" s="47"/>
      <c r="G6" s="93"/>
      <c r="H6" s="47" t="str">
        <f>Dates!H3</f>
      </c>
      <c r="I6" s="47"/>
      <c r="J6" s="47"/>
      <c r="K6" s="47"/>
      <c r="L6" s="93"/>
      <c r="M6" s="47" t="str">
        <f>Dates!M3</f>
      </c>
      <c r="N6" s="47"/>
      <c r="O6" s="47"/>
      <c r="P6" s="47"/>
      <c r="Q6" s="93"/>
      <c r="R6" s="47" t="str">
        <f>Dates!R3</f>
      </c>
      <c r="S6" s="47"/>
      <c r="T6" s="47"/>
      <c r="U6" s="47"/>
      <c r="V6" s="93"/>
      <c r="W6" s="47" t="str">
        <f>Dates!W3</f>
      </c>
      <c r="X6" s="47"/>
      <c r="Y6" s="47"/>
      <c r="Z6" s="47"/>
      <c r="AA6" s="93"/>
      <c r="AB6" s="47" t="str">
        <f>Dates!AB3</f>
      </c>
      <c r="AC6" s="47"/>
      <c r="AD6" s="47"/>
      <c r="AE6" s="47"/>
      <c r="AF6" s="93"/>
      <c r="AG6" s="47" t="str">
        <f>Dates!AG3</f>
      </c>
      <c r="AH6" s="47"/>
      <c r="AI6" s="47"/>
      <c r="AJ6" s="47"/>
      <c r="AK6" s="93"/>
      <c r="AL6" s="47" t="str">
        <f>Dates!AL3</f>
      </c>
      <c r="AM6" s="47"/>
      <c r="AN6" s="47"/>
      <c r="AO6" s="47"/>
      <c r="AP6" s="93"/>
      <c r="AQ6" s="47" t="str">
        <f>Dates!AQ3</f>
      </c>
      <c r="AR6" s="47"/>
      <c r="AS6" s="47"/>
      <c r="AT6" s="47"/>
      <c r="AU6" s="93"/>
      <c r="AV6" s="47" t="str">
        <f>Dates!AV3</f>
      </c>
      <c r="AW6" s="47"/>
      <c r="AX6" s="47"/>
      <c r="AY6" s="47"/>
      <c r="AZ6" s="93"/>
      <c r="BA6" s="47" t="str">
        <f>Dates!BA3</f>
      </c>
      <c r="BB6" s="47"/>
      <c r="BC6" s="47"/>
      <c r="BD6" s="47"/>
      <c r="BE6" s="93"/>
      <c r="BF6" s="47" t="str">
        <f>Dates!BF3</f>
      </c>
      <c r="BG6" s="47"/>
      <c r="BH6" s="47"/>
      <c r="BI6" s="47"/>
      <c r="BJ6" s="93"/>
      <c r="BK6" s="47" t="str">
        <f>Dates!BK3</f>
      </c>
      <c r="BL6" s="47"/>
      <c r="BM6" s="47"/>
      <c r="BN6" s="47"/>
      <c r="BO6" s="93"/>
      <c r="BP6" s="47" t="str">
        <f>Dates!BP3</f>
      </c>
      <c r="BQ6" s="47"/>
      <c r="BR6" s="47"/>
      <c r="BS6" s="47"/>
      <c r="BT6" s="93"/>
      <c r="BU6" s="47" t="str">
        <f>Dates!BU3</f>
      </c>
      <c r="BV6" s="47"/>
      <c r="BW6" s="47"/>
      <c r="BX6" s="47"/>
      <c r="BY6" s="93"/>
      <c r="BZ6" s="47" t="str">
        <f>Dates!BZ3</f>
      </c>
      <c r="CA6" s="47"/>
      <c r="CB6" s="47"/>
      <c r="CC6" s="47"/>
      <c r="CD6" s="335"/>
      <c r="CE6" s="47" t="str">
        <f>Dates!CE3</f>
      </c>
      <c r="CF6" s="47"/>
      <c r="CG6" s="47"/>
      <c r="CH6" s="47"/>
      <c r="CI6" s="335"/>
      <c r="CJ6" s="47" t="str">
        <f>Dates!CJ3</f>
      </c>
      <c r="CK6" s="47"/>
      <c r="CL6" s="47"/>
      <c r="CM6" s="47"/>
      <c r="CN6" s="335"/>
      <c r="CO6" s="47" t="str">
        <f>Dates!CO3</f>
      </c>
      <c r="CP6" s="47"/>
      <c r="CQ6" s="47"/>
      <c r="CR6" s="47"/>
      <c r="CS6" s="335"/>
      <c r="CT6" s="47" t="str">
        <f>Dates!CT3</f>
      </c>
      <c r="CU6" s="47"/>
      <c r="CV6" s="47"/>
      <c r="CW6" s="47"/>
      <c r="CX6" s="335"/>
      <c r="CY6" s="47" t="str">
        <f>Dates!CY3</f>
      </c>
      <c r="CZ6" s="47"/>
      <c r="DA6" s="47"/>
      <c r="DB6" s="47"/>
      <c r="DC6" s="335"/>
      <c r="DD6" s="47" t="str">
        <f>Dates!DD3</f>
      </c>
      <c r="DE6" s="47"/>
      <c r="DF6" s="47"/>
      <c r="DG6" s="47"/>
      <c r="DH6" s="335"/>
      <c r="DI6" s="47" t="str">
        <f>Dates!DI3</f>
      </c>
      <c r="DJ6" s="47"/>
      <c r="DK6" s="47"/>
      <c r="DL6" s="47"/>
      <c r="DM6" s="335"/>
      <c r="DN6" s="47" t="str">
        <f>Dates!DN3</f>
      </c>
      <c r="DO6" s="47"/>
      <c r="DP6" s="47"/>
      <c r="DQ6" s="47"/>
      <c r="DR6" s="335"/>
      <c r="DS6" s="47" t="str">
        <f>Dates!DS3</f>
      </c>
      <c r="DT6" s="47"/>
      <c r="DU6" s="47"/>
      <c r="DV6" s="47"/>
      <c r="DW6" s="335"/>
      <c r="DX6" s="47" t="str">
        <f>Dates!DX3</f>
      </c>
      <c r="DY6" s="47"/>
      <c r="DZ6" s="47"/>
      <c r="EA6" s="47"/>
      <c r="EB6" s="335"/>
      <c r="EC6" s="47" t="str">
        <f>Dates!EC3</f>
      </c>
      <c r="ED6" s="47"/>
      <c r="EE6" s="47"/>
      <c r="EF6" s="47"/>
      <c r="EG6" s="335"/>
      <c r="EH6" s="47" t="str">
        <f>Dates!EH3</f>
      </c>
      <c r="EI6" s="47"/>
      <c r="EJ6" s="47"/>
      <c r="EK6" s="47"/>
      <c r="EL6" s="335"/>
      <c r="EM6" s="47" t="str">
        <f>Dates!EM3</f>
      </c>
      <c r="EN6" s="47"/>
      <c r="EO6" s="47"/>
      <c r="EP6" s="47"/>
      <c r="EQ6" s="335"/>
      <c r="ER6" s="47" t="str">
        <f>Dates!ER3</f>
      </c>
      <c r="ES6" s="47"/>
      <c r="ET6" s="47"/>
      <c r="EU6" s="47"/>
      <c r="EV6" s="93"/>
      <c r="EW6" s="47" t="str">
        <f>Dates!EW3</f>
      </c>
      <c r="EX6" s="47"/>
      <c r="EY6" s="47"/>
      <c r="EZ6" s="47"/>
      <c r="FA6" s="93"/>
      <c r="FB6" s="47" t="str">
        <f>Dates!FB3</f>
      </c>
      <c r="FC6" s="47"/>
      <c r="FD6" s="47"/>
      <c r="FE6" s="47"/>
      <c r="FF6" s="93"/>
      <c r="FG6" s="47" t="str">
        <f>Dates!FG3</f>
      </c>
      <c r="FH6" s="47"/>
      <c r="FI6" s="47"/>
      <c r="FJ6" s="47"/>
      <c r="FK6" s="93"/>
      <c r="FL6" s="47" t="str">
        <f>Dates!FL3</f>
      </c>
      <c r="FM6" s="47"/>
      <c r="FN6" s="47"/>
      <c r="FO6" s="47"/>
      <c r="FP6" s="93"/>
      <c r="FQ6" s="47" t="str">
        <f>Dates!FQ3</f>
      </c>
      <c r="FR6" s="47"/>
      <c r="FS6" s="47"/>
      <c r="FT6" s="47"/>
      <c r="FU6" s="93"/>
      <c r="FV6" s="47" t="str">
        <f>Dates!FV3</f>
      </c>
      <c r="FW6" s="47"/>
      <c r="FX6" s="47"/>
      <c r="FY6" s="47"/>
      <c r="FZ6" s="93"/>
      <c r="GA6" s="47" t="str">
        <f>Dates!GA3</f>
      </c>
      <c r="GB6" s="47"/>
      <c r="GC6" s="47"/>
      <c r="GD6" s="47"/>
      <c r="GE6" s="93"/>
      <c r="GF6" s="47" t="str">
        <f>Dates!GF3</f>
      </c>
      <c r="GG6" s="47"/>
      <c r="GH6" s="47"/>
      <c r="GI6" s="47"/>
      <c r="GJ6" s="93"/>
    </row>
    <row r="7" spans="1:192" ht="12.75" customHeight="1">
      <c r="C7" s="96" t="str">
        <f>Dates!C4</f>
      </c>
      <c r="D7" s="96" t="str">
        <f>Dates!D4</f>
      </c>
      <c r="E7" s="96" t="str">
        <f>Dates!E4</f>
      </c>
      <c r="F7" s="96" t="str">
        <f>Dates!F4</f>
      </c>
      <c r="G7" s="97" t="str">
        <f>Dates!G4</f>
      </c>
      <c r="H7" s="96" t="str">
        <f>Dates!H4</f>
      </c>
      <c r="I7" s="96" t="str">
        <f>Dates!I4</f>
      </c>
      <c r="J7" s="96" t="str">
        <f>Dates!J4</f>
      </c>
      <c r="K7" s="96" t="str">
        <f>Dates!K4</f>
      </c>
      <c r="L7" s="97" t="str">
        <f>Dates!L4</f>
      </c>
      <c r="M7" s="96" t="str">
        <f>Dates!M4</f>
      </c>
      <c r="N7" s="96" t="str">
        <f>Dates!N4</f>
      </c>
      <c r="O7" s="96" t="str">
        <f>Dates!O4</f>
      </c>
      <c r="P7" s="96" t="str">
        <f>Dates!P4</f>
      </c>
      <c r="Q7" s="97" t="str">
        <f>Dates!Q4</f>
      </c>
      <c r="R7" s="96" t="str">
        <f>Dates!R4</f>
      </c>
      <c r="S7" s="96" t="str">
        <f>Dates!S4</f>
      </c>
      <c r="T7" s="96" t="str">
        <f>Dates!T4</f>
      </c>
      <c r="U7" s="96" t="str">
        <f>Dates!U4</f>
      </c>
      <c r="V7" s="97" t="str">
        <f>Dates!V4</f>
      </c>
      <c r="W7" s="96" t="str">
        <f>Dates!W4</f>
      </c>
      <c r="X7" s="96" t="str">
        <f>Dates!X4</f>
      </c>
      <c r="Y7" s="96" t="str">
        <f>Dates!Y4</f>
      </c>
      <c r="Z7" s="96" t="str">
        <f>Dates!Z4</f>
      </c>
      <c r="AA7" s="97" t="str">
        <f>Dates!AA4</f>
      </c>
      <c r="AB7" s="96" t="str">
        <f>Dates!AB4</f>
      </c>
      <c r="AC7" s="96" t="str">
        <f>Dates!AC4</f>
      </c>
      <c r="AD7" s="96" t="str">
        <f>Dates!AD4</f>
      </c>
      <c r="AE7" s="96" t="str">
        <f>Dates!AE4</f>
      </c>
      <c r="AF7" s="97" t="str">
        <f>Dates!AF4</f>
      </c>
      <c r="AG7" s="96" t="str">
        <f>Dates!AG4</f>
      </c>
      <c r="AH7" s="96" t="str">
        <f>Dates!AH4</f>
      </c>
      <c r="AI7" s="96" t="str">
        <f>Dates!AI4</f>
      </c>
      <c r="AJ7" s="96" t="str">
        <f>Dates!AJ4</f>
      </c>
      <c r="AK7" s="97" t="str">
        <f>Dates!AK4</f>
      </c>
      <c r="AL7" s="96" t="str">
        <f>Dates!AL4</f>
      </c>
      <c r="AM7" s="96" t="str">
        <f>Dates!AM4</f>
      </c>
      <c r="AN7" s="96" t="str">
        <f>Dates!AN4</f>
      </c>
      <c r="AO7" s="96" t="str">
        <f>Dates!AO4</f>
      </c>
      <c r="AP7" s="97" t="str">
        <f>Dates!AP4</f>
      </c>
      <c r="AQ7" s="96" t="str">
        <f>Dates!AQ4</f>
      </c>
      <c r="AR7" s="96" t="str">
        <f>Dates!AR4</f>
      </c>
      <c r="AS7" s="96" t="str">
        <f>Dates!AS4</f>
      </c>
      <c r="AT7" s="96" t="str">
        <f>Dates!AT4</f>
      </c>
      <c r="AU7" s="97" t="str">
        <f>Dates!AU4</f>
      </c>
      <c r="AV7" s="96" t="str">
        <f>Dates!AV4</f>
      </c>
      <c r="AW7" s="96" t="str">
        <f>Dates!AW4</f>
      </c>
      <c r="AX7" s="96" t="str">
        <f>Dates!AX4</f>
      </c>
      <c r="AY7" s="96" t="str">
        <f>Dates!AY4</f>
      </c>
      <c r="AZ7" s="97" t="str">
        <f>Dates!AZ4</f>
      </c>
      <c r="BA7" s="96" t="str">
        <f>Dates!BA4</f>
      </c>
      <c r="BB7" s="96" t="str">
        <f>Dates!BB4</f>
      </c>
      <c r="BC7" s="96" t="str">
        <f>Dates!BC4</f>
      </c>
      <c r="BD7" s="96" t="str">
        <f>Dates!BD4</f>
      </c>
      <c r="BE7" s="97" t="str">
        <f>Dates!BE4</f>
      </c>
      <c r="BF7" s="96" t="str">
        <f>Dates!BF4</f>
      </c>
      <c r="BG7" s="96" t="str">
        <f>Dates!BG4</f>
      </c>
      <c r="BH7" s="96" t="str">
        <f>Dates!BH4</f>
      </c>
      <c r="BI7" s="96" t="str">
        <f>Dates!BI4</f>
      </c>
      <c r="BJ7" s="97" t="str">
        <f>Dates!BJ4</f>
      </c>
      <c r="BK7" s="96" t="str">
        <f>Dates!BK4</f>
      </c>
      <c r="BL7" s="96" t="str">
        <f>Dates!BL4</f>
      </c>
      <c r="BM7" s="96" t="str">
        <f>Dates!BM4</f>
      </c>
      <c r="BN7" s="96" t="str">
        <f>Dates!BN4</f>
      </c>
      <c r="BO7" s="97" t="str">
        <f>Dates!BO4</f>
      </c>
      <c r="BP7" s="96" t="str">
        <f>Dates!BP4</f>
      </c>
      <c r="BQ7" s="96" t="str">
        <f>Dates!BQ4</f>
      </c>
      <c r="BR7" s="96" t="str">
        <f>Dates!BR4</f>
      </c>
      <c r="BS7" s="96" t="str">
        <f>Dates!BS4</f>
      </c>
      <c r="BT7" s="97" t="str">
        <f>Dates!BT4</f>
      </c>
      <c r="BU7" s="96" t="str">
        <f>Dates!BU4</f>
      </c>
      <c r="BV7" s="96" t="str">
        <f>Dates!BV4</f>
      </c>
      <c r="BW7" s="96" t="str">
        <f>Dates!BW4</f>
      </c>
      <c r="BX7" s="96" t="str">
        <f>Dates!BX4</f>
      </c>
      <c r="BY7" s="97" t="str">
        <f>Dates!BY4</f>
      </c>
      <c r="BZ7" s="96" t="str">
        <f>Dates!BZ4</f>
      </c>
      <c r="CA7" s="96" t="str">
        <f>Dates!CA4</f>
      </c>
      <c r="CB7" s="96" t="str">
        <f>Dates!CB4</f>
      </c>
      <c r="CC7" s="96" t="str">
        <f>Dates!CC4</f>
      </c>
      <c r="CD7" s="426" t="str">
        <f>Dates!CD4</f>
      </c>
      <c r="CE7" s="96" t="str">
        <f>Dates!CE4</f>
      </c>
      <c r="CF7" s="96" t="str">
        <f>Dates!CF4</f>
      </c>
      <c r="CG7" s="96" t="str">
        <f>Dates!CG4</f>
      </c>
      <c r="CH7" s="96" t="str">
        <f>Dates!CH4</f>
      </c>
      <c r="CI7" s="426" t="str">
        <f>Dates!CI4</f>
      </c>
      <c r="CJ7" s="96" t="str">
        <f>Dates!CJ4</f>
      </c>
      <c r="CK7" s="96" t="str">
        <f>Dates!CK4</f>
      </c>
      <c r="CL7" s="96" t="str">
        <f>Dates!CL4</f>
      </c>
      <c r="CM7" s="96" t="str">
        <f>Dates!CM4</f>
      </c>
      <c r="CN7" s="426" t="str">
        <f>Dates!CN4</f>
      </c>
      <c r="CO7" s="96" t="str">
        <f>Dates!CO4</f>
      </c>
      <c r="CP7" s="96" t="str">
        <f>Dates!CP4</f>
      </c>
      <c r="CQ7" s="96" t="str">
        <f>Dates!CQ4</f>
      </c>
      <c r="CR7" s="96" t="str">
        <f>Dates!CR4</f>
      </c>
      <c r="CS7" s="426" t="str">
        <f>Dates!CS4</f>
      </c>
      <c r="CT7" s="96" t="str">
        <f>Dates!CT4</f>
      </c>
      <c r="CU7" s="96" t="str">
        <f>Dates!CU4</f>
      </c>
      <c r="CV7" s="96" t="str">
        <f>Dates!CV4</f>
      </c>
      <c r="CW7" s="96" t="str">
        <f>Dates!CW4</f>
      </c>
      <c r="CX7" s="426" t="str">
        <f>Dates!CX4</f>
      </c>
      <c r="CY7" s="96" t="str">
        <f>Dates!CY4</f>
      </c>
      <c r="CZ7" s="96" t="str">
        <f>Dates!CZ4</f>
      </c>
      <c r="DA7" s="96" t="str">
        <f>Dates!DA4</f>
      </c>
      <c r="DB7" s="96" t="str">
        <f>Dates!DB4</f>
      </c>
      <c r="DC7" s="426" t="str">
        <f>Dates!DC4</f>
      </c>
      <c r="DD7" s="96" t="str">
        <f>Dates!DD4</f>
      </c>
      <c r="DE7" s="96" t="str">
        <f>Dates!DE4</f>
      </c>
      <c r="DF7" s="96" t="str">
        <f>Dates!DF4</f>
      </c>
      <c r="DG7" s="96" t="str">
        <f>Dates!DG4</f>
      </c>
      <c r="DH7" s="426" t="str">
        <f>Dates!DH4</f>
      </c>
      <c r="DI7" s="96" t="str">
        <f>Dates!DI4</f>
      </c>
      <c r="DJ7" s="96" t="str">
        <f>Dates!DJ4</f>
      </c>
      <c r="DK7" s="96" t="str">
        <f>Dates!DK4</f>
      </c>
      <c r="DL7" s="96" t="str">
        <f>Dates!DL4</f>
      </c>
      <c r="DM7" s="426" t="str">
        <f>Dates!DM4</f>
      </c>
      <c r="DN7" s="96" t="str">
        <f>Dates!DN4</f>
      </c>
      <c r="DO7" s="96" t="str">
        <f>Dates!DO4</f>
      </c>
      <c r="DP7" s="96" t="str">
        <f>Dates!DP4</f>
      </c>
      <c r="DQ7" s="96" t="str">
        <f>Dates!DQ4</f>
      </c>
      <c r="DR7" s="426" t="str">
        <f>Dates!DR4</f>
      </c>
      <c r="DS7" s="96" t="str">
        <f>Dates!DS4</f>
      </c>
      <c r="DT7" s="96" t="str">
        <f>Dates!DT4</f>
      </c>
      <c r="DU7" s="96" t="str">
        <f>Dates!DU4</f>
      </c>
      <c r="DV7" s="96" t="str">
        <f>Dates!DV4</f>
      </c>
      <c r="DW7" s="426" t="str">
        <f>Dates!DW4</f>
      </c>
      <c r="DX7" s="96" t="str">
        <f>Dates!DX4</f>
      </c>
      <c r="DY7" s="96" t="str">
        <f>Dates!DY4</f>
      </c>
      <c r="DZ7" s="96" t="str">
        <f>Dates!DZ4</f>
      </c>
      <c r="EA7" s="96" t="str">
        <f>Dates!EA4</f>
      </c>
      <c r="EB7" s="426" t="str">
        <f>Dates!EB4</f>
      </c>
      <c r="EC7" s="96" t="str">
        <f>Dates!EC4</f>
      </c>
      <c r="ED7" s="96" t="str">
        <f>Dates!ED4</f>
      </c>
      <c r="EE7" s="96" t="str">
        <f>Dates!EE4</f>
      </c>
      <c r="EF7" s="96" t="str">
        <f>Dates!EF4</f>
      </c>
      <c r="EG7" s="426" t="str">
        <f>Dates!EG4</f>
      </c>
      <c r="EH7" s="96" t="str">
        <f>Dates!EH4</f>
      </c>
      <c r="EI7" s="96" t="str">
        <f>Dates!EI4</f>
      </c>
      <c r="EJ7" s="96" t="str">
        <f>Dates!EJ4</f>
      </c>
      <c r="EK7" s="96" t="str">
        <f>Dates!EK4</f>
      </c>
      <c r="EL7" s="426" t="str">
        <f>Dates!EL4</f>
      </c>
      <c r="EM7" s="96" t="str">
        <f>Dates!EM4</f>
      </c>
      <c r="EN7" s="96" t="str">
        <f>Dates!EN4</f>
      </c>
      <c r="EO7" s="96" t="str">
        <f>Dates!EO4</f>
      </c>
      <c r="EP7" s="96" t="str">
        <f>Dates!EP4</f>
      </c>
      <c r="EQ7" s="426" t="str">
        <f>Dates!EQ4</f>
      </c>
      <c r="ER7" s="96" t="str">
        <f>Dates!ER4</f>
      </c>
      <c r="ES7" s="96" t="str">
        <f>Dates!ES4</f>
      </c>
      <c r="ET7" s="96" t="str">
        <f>Dates!ET4</f>
      </c>
      <c r="EU7" s="96" t="str">
        <f>Dates!EU4</f>
      </c>
      <c r="EV7" s="97" t="str">
        <f>Dates!EV4</f>
      </c>
      <c r="EW7" s="96" t="str">
        <f>Dates!EW4</f>
      </c>
      <c r="EX7" s="96" t="str">
        <f>Dates!EX4</f>
      </c>
      <c r="EY7" s="96" t="str">
        <f>Dates!EY4</f>
      </c>
      <c r="EZ7" s="96" t="str">
        <f>Dates!EZ4</f>
      </c>
      <c r="FA7" s="97" t="str">
        <f>Dates!FA4</f>
      </c>
      <c r="FB7" s="96" t="str">
        <f>Dates!FB4</f>
      </c>
      <c r="FC7" s="96" t="str">
        <f>Dates!FC4</f>
      </c>
      <c r="FD7" s="96" t="str">
        <f>Dates!FD4</f>
      </c>
      <c r="FE7" s="96" t="str">
        <f>Dates!FE4</f>
      </c>
      <c r="FF7" s="97" t="str">
        <f>Dates!FF4</f>
      </c>
      <c r="FG7" s="96" t="str">
        <f>Dates!FG4</f>
      </c>
      <c r="FH7" s="96" t="str">
        <f>Dates!FH4</f>
      </c>
      <c r="FI7" s="96" t="str">
        <f>Dates!FI4</f>
      </c>
      <c r="FJ7" s="96" t="str">
        <f>Dates!FJ4</f>
      </c>
      <c r="FK7" s="97" t="str">
        <f>Dates!FK4</f>
      </c>
      <c r="FL7" s="96" t="str">
        <f>Dates!FL4</f>
      </c>
      <c r="FM7" s="96" t="str">
        <f>Dates!FM4</f>
      </c>
      <c r="FN7" s="96" t="str">
        <f>Dates!FN4</f>
      </c>
      <c r="FO7" s="96" t="str">
        <f>Dates!FO4</f>
      </c>
      <c r="FP7" s="97" t="str">
        <f>Dates!FP4</f>
      </c>
      <c r="FQ7" s="96" t="str">
        <f>Dates!FQ4</f>
      </c>
      <c r="FR7" s="96" t="str">
        <f>Dates!FR4</f>
      </c>
      <c r="FS7" s="96" t="str">
        <f>Dates!FS4</f>
      </c>
      <c r="FT7" s="96" t="str">
        <f>Dates!FT4</f>
      </c>
      <c r="FU7" s="97" t="str">
        <f>Dates!FU4</f>
      </c>
      <c r="FV7" s="96" t="str">
        <f>Dates!FV4</f>
      </c>
      <c r="FW7" s="96" t="str">
        <f>Dates!FW4</f>
      </c>
      <c r="FX7" s="96" t="str">
        <f>Dates!FX4</f>
      </c>
      <c r="FY7" s="96" t="str">
        <f>Dates!FY4</f>
      </c>
      <c r="FZ7" s="97" t="str">
        <f>Dates!FZ4</f>
      </c>
      <c r="GA7" s="96" t="str">
        <f>Dates!GA4</f>
      </c>
      <c r="GB7" s="96" t="str">
        <f>Dates!GB4</f>
      </c>
      <c r="GC7" s="96" t="str">
        <f>Dates!GC4</f>
      </c>
      <c r="GD7" s="96" t="str">
        <f>Dates!GD4</f>
      </c>
      <c r="GE7" s="97" t="str">
        <f>Dates!GE4</f>
      </c>
      <c r="GF7" s="96" t="str">
        <f>Dates!GF4</f>
      </c>
      <c r="GG7" s="96" t="str">
        <f>Dates!GG4</f>
      </c>
      <c r="GH7" s="96" t="str">
        <f>Dates!GH4</f>
      </c>
      <c r="GI7" s="96" t="str">
        <f>Dates!GI4</f>
      </c>
      <c r="GJ7" s="97" t="str">
        <f>Dates!GJ4</f>
      </c>
    </row>
    <row r="8" spans="1:192" ht="12.75" customHeight="1">
      <c r="C8" s="98">
        <f>Dates!C5</f>
      </c>
      <c r="D8" s="98">
        <f>Dates!D5</f>
      </c>
      <c r="E8" s="98">
        <f>Dates!E5</f>
      </c>
      <c r="F8" s="98">
        <f>Dates!F5</f>
      </c>
      <c r="G8" s="99">
        <f>Dates!G5</f>
      </c>
      <c r="H8" s="98">
        <f>Dates!H5</f>
      </c>
      <c r="I8" s="98">
        <f>Dates!I5</f>
      </c>
      <c r="J8" s="98">
        <f>Dates!J5</f>
      </c>
      <c r="K8" s="98">
        <f>Dates!K5</f>
      </c>
      <c r="L8" s="99">
        <f>Dates!L5</f>
      </c>
      <c r="M8" s="98">
        <f>Dates!M5</f>
      </c>
      <c r="N8" s="98">
        <f>Dates!N5</f>
      </c>
      <c r="O8" s="98">
        <f>Dates!O5</f>
      </c>
      <c r="P8" s="98">
        <f>Dates!P5</f>
      </c>
      <c r="Q8" s="99">
        <f>Dates!Q5</f>
      </c>
      <c r="R8" s="98">
        <f>Dates!R5</f>
      </c>
      <c r="S8" s="98">
        <f>Dates!S5</f>
      </c>
      <c r="T8" s="98">
        <f>Dates!T5</f>
      </c>
      <c r="U8" s="98">
        <f>Dates!U5</f>
      </c>
      <c r="V8" s="99">
        <f>Dates!V5</f>
      </c>
      <c r="W8" s="98">
        <f>Dates!W5</f>
      </c>
      <c r="X8" s="98">
        <f>Dates!X5</f>
      </c>
      <c r="Y8" s="98">
        <f>Dates!Y5</f>
      </c>
      <c r="Z8" s="98">
        <f>Dates!Z5</f>
      </c>
      <c r="AA8" s="99">
        <f>Dates!AA5</f>
      </c>
      <c r="AB8" s="98">
        <f>Dates!AB5</f>
      </c>
      <c r="AC8" s="98">
        <f>Dates!AC5</f>
      </c>
      <c r="AD8" s="98">
        <f>Dates!AD5</f>
      </c>
      <c r="AE8" s="98">
        <f>Dates!AE5</f>
      </c>
      <c r="AF8" s="99">
        <f>Dates!AF5</f>
      </c>
      <c r="AG8" s="98">
        <f>Dates!AG5</f>
      </c>
      <c r="AH8" s="98">
        <f>Dates!AH5</f>
      </c>
      <c r="AI8" s="98">
        <f>Dates!AI5</f>
      </c>
      <c r="AJ8" s="98">
        <f>Dates!AJ5</f>
      </c>
      <c r="AK8" s="99">
        <f>Dates!AK5</f>
      </c>
      <c r="AL8" s="98">
        <f>Dates!AL5</f>
      </c>
      <c r="AM8" s="98">
        <f>Dates!AM5</f>
      </c>
      <c r="AN8" s="98">
        <f>Dates!AN5</f>
      </c>
      <c r="AO8" s="98">
        <f>Dates!AO5</f>
      </c>
      <c r="AP8" s="99">
        <f>Dates!AP5</f>
      </c>
      <c r="AQ8" s="98">
        <f>Dates!AQ5</f>
      </c>
      <c r="AR8" s="98">
        <f>Dates!AR5</f>
      </c>
      <c r="AS8" s="98">
        <f>Dates!AS5</f>
      </c>
      <c r="AT8" s="98">
        <f>Dates!AT5</f>
      </c>
      <c r="AU8" s="99">
        <f>Dates!AU5</f>
      </c>
      <c r="AV8" s="98">
        <f>Dates!AV5</f>
      </c>
      <c r="AW8" s="98">
        <f>Dates!AW5</f>
      </c>
      <c r="AX8" s="98">
        <f>Dates!AX5</f>
      </c>
      <c r="AY8" s="98">
        <f>Dates!AY5</f>
      </c>
      <c r="AZ8" s="99">
        <f>Dates!AZ5</f>
      </c>
      <c r="BA8" s="98">
        <f>Dates!BA5</f>
      </c>
      <c r="BB8" s="98">
        <f>Dates!BB5</f>
      </c>
      <c r="BC8" s="98">
        <f>Dates!BC5</f>
      </c>
      <c r="BD8" s="98">
        <f>Dates!BD5</f>
      </c>
      <c r="BE8" s="99">
        <f>Dates!BE5</f>
      </c>
      <c r="BF8" s="98">
        <f>Dates!BF5</f>
      </c>
      <c r="BG8" s="98">
        <f>Dates!BG5</f>
      </c>
      <c r="BH8" s="98">
        <f>Dates!BH5</f>
      </c>
      <c r="BI8" s="98">
        <f>Dates!BI5</f>
      </c>
      <c r="BJ8" s="99">
        <f>Dates!BJ5</f>
      </c>
      <c r="BK8" s="98">
        <f>Dates!BK5</f>
      </c>
      <c r="BL8" s="98">
        <f>Dates!BL5</f>
      </c>
      <c r="BM8" s="98">
        <f>Dates!BM5</f>
      </c>
      <c r="BN8" s="98">
        <f>Dates!BN5</f>
      </c>
      <c r="BO8" s="99">
        <f>Dates!BO5</f>
      </c>
      <c r="BP8" s="98">
        <f>Dates!BP5</f>
      </c>
      <c r="BQ8" s="98">
        <f>Dates!BQ5</f>
      </c>
      <c r="BR8" s="98">
        <f>Dates!BR5</f>
      </c>
      <c r="BS8" s="98">
        <f>Dates!BS5</f>
      </c>
      <c r="BT8" s="99">
        <f>Dates!BT5</f>
      </c>
      <c r="BU8" s="98">
        <f>Dates!BU5</f>
      </c>
      <c r="BV8" s="98">
        <f>Dates!BV5</f>
      </c>
      <c r="BW8" s="98">
        <f>Dates!BW5</f>
      </c>
      <c r="BX8" s="98">
        <f>Dates!BX5</f>
      </c>
      <c r="BY8" s="99">
        <f>Dates!BY5</f>
      </c>
      <c r="BZ8" s="98">
        <f>Dates!BZ5</f>
      </c>
      <c r="CA8" s="98">
        <f>Dates!CA5</f>
      </c>
      <c r="CB8" s="98">
        <f>Dates!CB5</f>
      </c>
      <c r="CC8" s="98">
        <f>Dates!CC5</f>
      </c>
      <c r="CD8" s="427">
        <f>Dates!CD5</f>
      </c>
      <c r="CE8" s="98">
        <f>Dates!CE5</f>
      </c>
      <c r="CF8" s="98">
        <f>Dates!CF5</f>
      </c>
      <c r="CG8" s="98">
        <f>Dates!CG5</f>
      </c>
      <c r="CH8" s="98">
        <f>Dates!CH5</f>
      </c>
      <c r="CI8" s="427">
        <f>Dates!CI5</f>
      </c>
      <c r="CJ8" s="98">
        <f>Dates!CJ5</f>
      </c>
      <c r="CK8" s="98">
        <f>Dates!CK5</f>
      </c>
      <c r="CL8" s="98">
        <f>Dates!CL5</f>
      </c>
      <c r="CM8" s="98">
        <f>Dates!CM5</f>
      </c>
      <c r="CN8" s="427">
        <f>Dates!CN5</f>
      </c>
      <c r="CO8" s="98">
        <f>Dates!CO5</f>
      </c>
      <c r="CP8" s="98">
        <f>Dates!CP5</f>
      </c>
      <c r="CQ8" s="98">
        <f>Dates!CQ5</f>
      </c>
      <c r="CR8" s="98">
        <f>Dates!CR5</f>
      </c>
      <c r="CS8" s="427">
        <f>Dates!CS5</f>
      </c>
      <c r="CT8" s="98">
        <f>Dates!CT5</f>
      </c>
      <c r="CU8" s="98">
        <f>Dates!CU5</f>
      </c>
      <c r="CV8" s="98">
        <f>Dates!CV5</f>
      </c>
      <c r="CW8" s="98">
        <f>Dates!CW5</f>
      </c>
      <c r="CX8" s="427">
        <f>Dates!CX5</f>
      </c>
      <c r="CY8" s="98">
        <f>Dates!CY5</f>
      </c>
      <c r="CZ8" s="98">
        <f>Dates!CZ5</f>
      </c>
      <c r="DA8" s="98">
        <f>Dates!DA5</f>
      </c>
      <c r="DB8" s="98">
        <f>Dates!DB5</f>
      </c>
      <c r="DC8" s="427">
        <f>Dates!DC5</f>
      </c>
      <c r="DD8" s="98">
        <f>Dates!DD5</f>
      </c>
      <c r="DE8" s="98">
        <f>Dates!DE5</f>
      </c>
      <c r="DF8" s="98">
        <f>Dates!DF5</f>
      </c>
      <c r="DG8" s="98">
        <f>Dates!DG5</f>
      </c>
      <c r="DH8" s="427">
        <f>Dates!DH5</f>
      </c>
      <c r="DI8" s="98">
        <f>Dates!DI5</f>
      </c>
      <c r="DJ8" s="98">
        <f>Dates!DJ5</f>
      </c>
      <c r="DK8" s="98">
        <f>Dates!DK5</f>
      </c>
      <c r="DL8" s="98">
        <f>Dates!DL5</f>
      </c>
      <c r="DM8" s="427">
        <f>Dates!DM5</f>
      </c>
      <c r="DN8" s="98">
        <f>Dates!DN5</f>
      </c>
      <c r="DO8" s="98">
        <f>Dates!DO5</f>
      </c>
      <c r="DP8" s="98">
        <f>Dates!DP5</f>
      </c>
      <c r="DQ8" s="98">
        <f>Dates!DQ5</f>
      </c>
      <c r="DR8" s="427">
        <f>Dates!DR5</f>
      </c>
      <c r="DS8" s="98">
        <f>Dates!DS5</f>
      </c>
      <c r="DT8" s="98">
        <f>Dates!DT5</f>
      </c>
      <c r="DU8" s="98">
        <f>Dates!DU5</f>
      </c>
      <c r="DV8" s="98">
        <f>Dates!DV5</f>
      </c>
      <c r="DW8" s="427">
        <f>Dates!DW5</f>
      </c>
      <c r="DX8" s="98">
        <f>Dates!DX5</f>
      </c>
      <c r="DY8" s="98">
        <f>Dates!DY5</f>
      </c>
      <c r="DZ8" s="98">
        <f>Dates!DZ5</f>
      </c>
      <c r="EA8" s="98">
        <f>Dates!EA5</f>
      </c>
      <c r="EB8" s="427">
        <f>Dates!EB5</f>
      </c>
      <c r="EC8" s="98">
        <f>Dates!EC5</f>
      </c>
      <c r="ED8" s="98">
        <f>Dates!ED5</f>
      </c>
      <c r="EE8" s="98">
        <f>Dates!EE5</f>
      </c>
      <c r="EF8" s="98">
        <f>Dates!EF5</f>
      </c>
      <c r="EG8" s="427">
        <f>Dates!EG5</f>
      </c>
      <c r="EH8" s="98">
        <f>Dates!EH5</f>
      </c>
      <c r="EI8" s="98">
        <f>Dates!EI5</f>
      </c>
      <c r="EJ8" s="98">
        <f>Dates!EJ5</f>
      </c>
      <c r="EK8" s="98">
        <f>Dates!EK5</f>
      </c>
      <c r="EL8" s="427">
        <f>Dates!EL5</f>
      </c>
      <c r="EM8" s="98">
        <f>Dates!EM5</f>
      </c>
      <c r="EN8" s="98">
        <f>Dates!EN5</f>
      </c>
      <c r="EO8" s="98">
        <f>Dates!EO5</f>
      </c>
      <c r="EP8" s="98">
        <f>Dates!EP5</f>
      </c>
      <c r="EQ8" s="427">
        <f>Dates!EQ5</f>
      </c>
      <c r="ER8" s="98">
        <f>Dates!ER5</f>
      </c>
      <c r="ES8" s="98">
        <f>Dates!ES5</f>
      </c>
      <c r="ET8" s="98">
        <f>Dates!ET5</f>
      </c>
      <c r="EU8" s="98">
        <f>Dates!EU5</f>
      </c>
      <c r="EV8" s="99">
        <f>Dates!EV5</f>
      </c>
      <c r="EW8" s="98">
        <f>Dates!EW5</f>
      </c>
      <c r="EX8" s="98">
        <f>Dates!EX5</f>
      </c>
      <c r="EY8" s="98">
        <f>Dates!EY5</f>
      </c>
      <c r="EZ8" s="98">
        <f>Dates!EZ5</f>
      </c>
      <c r="FA8" s="99">
        <f>Dates!FA5</f>
      </c>
      <c r="FB8" s="98">
        <f>Dates!FB5</f>
      </c>
      <c r="FC8" s="98">
        <f>Dates!FC5</f>
      </c>
      <c r="FD8" s="98">
        <f>Dates!FD5</f>
      </c>
      <c r="FE8" s="98">
        <f>Dates!FE5</f>
      </c>
      <c r="FF8" s="99">
        <f>Dates!FF5</f>
      </c>
      <c r="FG8" s="98">
        <f>Dates!FG5</f>
      </c>
      <c r="FH8" s="98">
        <f>Dates!FH5</f>
      </c>
      <c r="FI8" s="98">
        <f>Dates!FI5</f>
      </c>
      <c r="FJ8" s="98">
        <f>Dates!FJ5</f>
      </c>
      <c r="FK8" s="99">
        <f>Dates!FK5</f>
      </c>
      <c r="FL8" s="98">
        <f>Dates!FL5</f>
      </c>
      <c r="FM8" s="98">
        <f>Dates!FM5</f>
      </c>
      <c r="FN8" s="98">
        <f>Dates!FN5</f>
      </c>
      <c r="FO8" s="98">
        <f>Dates!FO5</f>
      </c>
      <c r="FP8" s="99">
        <f>Dates!FP5</f>
      </c>
      <c r="FQ8" s="98">
        <f>Dates!FQ5</f>
      </c>
      <c r="FR8" s="98">
        <f>Dates!FR5</f>
      </c>
      <c r="FS8" s="98">
        <f>Dates!FS5</f>
      </c>
      <c r="FT8" s="98">
        <f>Dates!FT5</f>
      </c>
      <c r="FU8" s="99">
        <f>Dates!FU5</f>
      </c>
      <c r="FV8" s="98">
        <f>Dates!FV5</f>
      </c>
      <c r="FW8" s="98">
        <f>Dates!FW5</f>
      </c>
      <c r="FX8" s="98">
        <f>Dates!FX5</f>
      </c>
      <c r="FY8" s="98">
        <f>Dates!FY5</f>
      </c>
      <c r="FZ8" s="99">
        <f>Dates!FZ5</f>
      </c>
      <c r="GA8" s="98">
        <f>Dates!GA5</f>
      </c>
      <c r="GB8" s="98">
        <f>Dates!GB5</f>
      </c>
      <c r="GC8" s="98">
        <f>Dates!GC5</f>
      </c>
      <c r="GD8" s="98">
        <f>Dates!GD5</f>
      </c>
      <c r="GE8" s="99">
        <f>Dates!GE5</f>
      </c>
      <c r="GF8" s="98">
        <f>Dates!GF5</f>
      </c>
      <c r="GG8" s="98">
        <f>Dates!GG5</f>
      </c>
      <c r="GH8" s="98">
        <f>Dates!GH5</f>
      </c>
      <c r="GI8" s="98">
        <f>Dates!GI5</f>
      </c>
      <c r="GJ8" s="99">
        <f>Dates!GJ5</f>
      </c>
    </row>
    <row r="9" spans="1:192" ht="12.75" customHeight="1">
      <c r="C9" s="289"/>
      <c r="D9" s="289"/>
      <c r="E9" s="289"/>
      <c r="F9" s="289"/>
      <c r="G9" s="290"/>
      <c r="H9" s="289"/>
      <c r="I9" s="289"/>
      <c r="J9" s="289"/>
      <c r="K9" s="289"/>
      <c r="L9" s="290"/>
      <c r="M9" s="289"/>
      <c r="N9" s="289"/>
      <c r="O9" s="289"/>
      <c r="P9" s="289"/>
      <c r="Q9" s="290"/>
      <c r="R9" s="289"/>
      <c r="S9" s="289"/>
      <c r="T9" s="289"/>
      <c r="U9" s="289"/>
      <c r="V9" s="290"/>
      <c r="W9" s="289"/>
      <c r="X9" s="289"/>
      <c r="Y9" s="289"/>
      <c r="Z9" s="289"/>
      <c r="AA9" s="290"/>
      <c r="AB9" s="289"/>
      <c r="AC9" s="289"/>
      <c r="AD9" s="289"/>
      <c r="AE9" s="289"/>
      <c r="AF9" s="290"/>
      <c r="AG9" s="289"/>
      <c r="AH9" s="289"/>
      <c r="AI9" s="289"/>
      <c r="AJ9" s="289"/>
      <c r="AK9" s="290"/>
      <c r="AL9" s="289"/>
      <c r="AM9" s="289"/>
      <c r="AN9" s="289"/>
      <c r="AO9" s="289"/>
      <c r="AP9" s="290"/>
      <c r="AQ9" s="289"/>
      <c r="AR9" s="289"/>
      <c r="AS9" s="289"/>
      <c r="AT9" s="289"/>
      <c r="AU9" s="290"/>
      <c r="AV9" s="289"/>
      <c r="AW9" s="289"/>
      <c r="AX9" s="289"/>
      <c r="AY9" s="289"/>
      <c r="AZ9" s="290"/>
      <c r="BA9" s="289"/>
      <c r="BB9" s="289"/>
      <c r="BC9" s="289"/>
      <c r="BD9" s="289"/>
      <c r="BE9" s="290"/>
      <c r="BF9" s="289"/>
      <c r="BG9" s="289"/>
      <c r="BH9" s="289"/>
      <c r="BI9" s="289"/>
      <c r="BJ9" s="290"/>
      <c r="BK9" s="289"/>
      <c r="BL9" s="289"/>
      <c r="BM9" s="289"/>
      <c r="BN9" s="289"/>
      <c r="BO9" s="290"/>
      <c r="BP9" s="289"/>
      <c r="BQ9" s="289"/>
      <c r="BR9" s="289"/>
      <c r="BS9" s="289"/>
      <c r="BT9" s="290"/>
      <c r="BU9" s="289"/>
      <c r="BV9" s="289"/>
      <c r="BW9" s="289"/>
      <c r="BX9" s="289"/>
      <c r="BY9" s="290"/>
      <c r="BZ9" s="289"/>
      <c r="CA9" s="289"/>
      <c r="CB9" s="289"/>
      <c r="CC9" s="289"/>
      <c r="CD9" s="428"/>
      <c r="CE9" s="289"/>
      <c r="CF9" s="289"/>
      <c r="CG9" s="289"/>
      <c r="CH9" s="289"/>
      <c r="CI9" s="428"/>
      <c r="CJ9" s="289"/>
      <c r="CK9" s="289"/>
      <c r="CL9" s="289"/>
      <c r="CM9" s="289"/>
      <c r="CN9" s="428"/>
      <c r="CO9" s="289"/>
      <c r="CP9" s="289"/>
      <c r="CQ9" s="289"/>
      <c r="CR9" s="289"/>
      <c r="CS9" s="428"/>
      <c r="CT9" s="289"/>
      <c r="CU9" s="289"/>
      <c r="CV9" s="289"/>
      <c r="CW9" s="289"/>
      <c r="CX9" s="428"/>
      <c r="CY9" s="289"/>
      <c r="CZ9" s="289"/>
      <c r="DA9" s="289"/>
      <c r="DB9" s="289"/>
      <c r="DC9" s="428"/>
      <c r="DD9" s="289"/>
      <c r="DE9" s="289"/>
      <c r="DF9" s="289"/>
      <c r="DG9" s="289"/>
      <c r="DH9" s="428"/>
      <c r="DI9" s="289"/>
      <c r="DJ9" s="289"/>
      <c r="DK9" s="289"/>
      <c r="DL9" s="289"/>
      <c r="DM9" s="428"/>
      <c r="DN9" s="289"/>
      <c r="DO9" s="289"/>
      <c r="DP9" s="289"/>
      <c r="DQ9" s="289"/>
      <c r="DR9" s="428"/>
      <c r="DS9" s="289"/>
      <c r="DT9" s="289"/>
      <c r="DU9" s="289"/>
      <c r="DV9" s="289"/>
      <c r="DW9" s="428"/>
      <c r="DX9" s="289"/>
      <c r="DY9" s="289"/>
      <c r="DZ9" s="289"/>
      <c r="EA9" s="289"/>
      <c r="EB9" s="428"/>
      <c r="EC9" s="289"/>
      <c r="ED9" s="289"/>
      <c r="EE9" s="289"/>
      <c r="EF9" s="289"/>
      <c r="EG9" s="428"/>
      <c r="EH9" s="289"/>
      <c r="EI9" s="289"/>
      <c r="EJ9" s="289"/>
      <c r="EK9" s="289"/>
      <c r="EL9" s="428"/>
      <c r="EM9" s="289"/>
      <c r="EN9" s="289"/>
      <c r="EO9" s="289"/>
      <c r="EP9" s="289"/>
      <c r="EQ9" s="428"/>
      <c r="ER9" s="289"/>
      <c r="ES9" s="289"/>
      <c r="ET9" s="289"/>
      <c r="EU9" s="289"/>
      <c r="EV9" s="428"/>
      <c r="EW9" s="289"/>
      <c r="EX9" s="289"/>
      <c r="EY9" s="289"/>
      <c r="EZ9" s="289"/>
      <c r="FA9" s="290"/>
      <c r="FB9" s="289"/>
      <c r="FC9" s="289"/>
      <c r="FD9" s="289"/>
      <c r="FE9" s="289"/>
      <c r="FF9" s="290"/>
      <c r="FG9" s="289"/>
      <c r="FH9" s="289"/>
      <c r="FI9" s="289"/>
      <c r="FJ9" s="289"/>
      <c r="FK9" s="290"/>
      <c r="FL9" s="289"/>
      <c r="FM9" s="289"/>
      <c r="FN9" s="289"/>
      <c r="FO9" s="289"/>
      <c r="FP9" s="290"/>
      <c r="FQ9" s="289"/>
      <c r="FR9" s="289"/>
      <c r="FS9" s="289"/>
      <c r="FT9" s="289"/>
      <c r="FU9" s="290"/>
      <c r="FV9" s="289"/>
      <c r="FW9" s="289"/>
      <c r="FX9" s="289"/>
      <c r="FY9" s="289"/>
      <c r="FZ9" s="290"/>
      <c r="GA9" s="289"/>
      <c r="GB9" s="289"/>
      <c r="GC9" s="289"/>
      <c r="GD9" s="289"/>
      <c r="GE9" s="290"/>
      <c r="GF9" s="289"/>
      <c r="GG9" s="289"/>
      <c r="GH9" s="289"/>
      <c r="GI9" s="289"/>
      <c r="GJ9" s="290"/>
    </row>
    <row r="10" spans="1:192" s="317" customFormat="1" ht="12.75" customHeight="1">
      <c r="A10" s="280" t="s">
        <v>320</v>
      </c>
      <c r="B10" s="726" t="s">
        <v>217</v>
      </c>
      <c r="C10" s="315"/>
      <c r="D10" s="315"/>
      <c r="E10" s="315"/>
      <c r="F10" s="315"/>
      <c r="G10" s="313"/>
      <c r="H10" s="315"/>
      <c r="I10" s="315"/>
      <c r="J10" s="315"/>
      <c r="K10" s="315"/>
      <c r="L10" s="313"/>
      <c r="M10" s="315"/>
      <c r="N10" s="315"/>
      <c r="O10" s="315"/>
      <c r="P10" s="315"/>
      <c r="Q10" s="313"/>
      <c r="R10" s="315"/>
      <c r="S10" s="315"/>
      <c r="T10" s="315"/>
      <c r="U10" s="315"/>
      <c r="V10" s="313"/>
      <c r="W10" s="315"/>
      <c r="X10" s="315"/>
      <c r="Y10" s="315"/>
      <c r="Z10" s="315"/>
      <c r="AA10" s="313"/>
      <c r="AB10" s="315"/>
      <c r="AC10" s="315"/>
      <c r="AD10" s="315"/>
      <c r="AE10" s="315"/>
      <c r="AF10" s="313"/>
      <c r="AG10" s="315"/>
      <c r="AH10" s="315"/>
      <c r="AI10" s="315"/>
      <c r="AJ10" s="315"/>
      <c r="AK10" s="313"/>
      <c r="AL10" s="315"/>
      <c r="AM10" s="315"/>
      <c r="AN10" s="315"/>
      <c r="AO10" s="315"/>
      <c r="AP10" s="313"/>
      <c r="AQ10" s="315"/>
      <c r="AR10" s="315"/>
      <c r="AS10" s="315"/>
      <c r="AT10" s="315"/>
      <c r="AU10" s="313"/>
      <c r="AV10" s="315"/>
      <c r="AW10" s="315"/>
      <c r="AX10" s="315"/>
      <c r="AY10" s="315"/>
      <c r="AZ10" s="313"/>
      <c r="BA10" s="315"/>
      <c r="BB10" s="315"/>
      <c r="BC10" s="315"/>
      <c r="BD10" s="315"/>
      <c r="BE10" s="313"/>
      <c r="BF10" s="315"/>
      <c r="BG10" s="315"/>
      <c r="BH10" s="315"/>
      <c r="BI10" s="315"/>
      <c r="BJ10" s="313"/>
      <c r="BK10" s="315"/>
      <c r="BL10" s="315"/>
      <c r="BM10" s="315"/>
      <c r="BN10" s="315"/>
      <c r="BO10" s="313"/>
      <c r="BP10" s="315"/>
      <c r="BQ10" s="315"/>
      <c r="BR10" s="315"/>
      <c r="BS10" s="315"/>
      <c r="BT10" s="313"/>
      <c r="BU10" s="315"/>
      <c r="BV10" s="315"/>
      <c r="BW10" s="315"/>
      <c r="BX10" s="315"/>
      <c r="BY10" s="313"/>
      <c r="BZ10" s="315"/>
      <c r="CA10" s="315"/>
      <c r="CB10" s="315"/>
      <c r="CC10" s="315"/>
      <c r="CD10" s="319"/>
      <c r="CE10" s="315"/>
      <c r="CF10" s="315"/>
      <c r="CG10" s="315"/>
      <c r="CH10" s="315"/>
      <c r="CI10" s="319"/>
      <c r="CJ10" s="315"/>
      <c r="CK10" s="315"/>
      <c r="CL10" s="315"/>
      <c r="CM10" s="315"/>
      <c r="CN10" s="319"/>
      <c r="CO10" s="315"/>
      <c r="CP10" s="315"/>
      <c r="CQ10" s="315"/>
      <c r="CR10" s="315"/>
      <c r="CS10" s="319"/>
      <c r="CT10" s="315"/>
      <c r="CU10" s="315"/>
      <c r="CV10" s="315"/>
      <c r="CW10" s="315"/>
      <c r="CX10" s="319"/>
      <c r="CY10" s="316"/>
      <c r="CZ10" s="316"/>
      <c r="DA10" s="316"/>
      <c r="DB10" s="316"/>
      <c r="DC10" s="319"/>
      <c r="DD10" s="316"/>
      <c r="DE10" s="316"/>
      <c r="DF10" s="316"/>
      <c r="DG10" s="1158"/>
      <c r="DH10" s="319"/>
      <c r="DI10" s="1158"/>
      <c r="DJ10" s="1158"/>
      <c r="DK10" s="1158"/>
      <c r="DL10" s="1158"/>
      <c r="DM10" s="319"/>
      <c r="DN10" s="316"/>
      <c r="DO10" s="316"/>
      <c r="DP10" s="316"/>
      <c r="DQ10" s="316"/>
      <c r="DR10" s="319"/>
      <c r="DS10" s="316"/>
      <c r="DT10" s="316"/>
      <c r="DU10" s="316"/>
      <c r="DV10" s="316"/>
      <c r="DW10" s="319"/>
      <c r="DX10" s="316"/>
      <c r="DY10" s="316"/>
      <c r="DZ10" s="316"/>
      <c r="EA10" s="316"/>
      <c r="EB10" s="319"/>
      <c r="EC10" s="316"/>
      <c r="ED10" s="316"/>
      <c r="EE10" s="316"/>
      <c r="EF10" s="316"/>
      <c r="EG10" s="319"/>
      <c r="EH10" s="316"/>
      <c r="EI10" s="316"/>
      <c r="EJ10" s="316"/>
      <c r="EK10" s="316"/>
      <c r="EL10" s="319"/>
      <c r="EM10" s="1158">
        <v>22074</v>
      </c>
      <c r="EN10" s="1158">
        <v>22602</v>
      </c>
      <c r="EO10" s="1158">
        <v>23926</v>
      </c>
      <c r="EP10" s="1158">
        <v>25549</v>
      </c>
      <c r="EQ10" s="319">
        <f>SUM(EM10:EP10)</f>
      </c>
      <c r="ER10" s="1158">
        <v>25226</v>
      </c>
      <c r="ES10" s="1158">
        <v>25854</v>
      </c>
      <c r="ET10" s="1158">
        <v>27113</v>
      </c>
      <c r="EU10" s="1158">
        <v>28627</v>
      </c>
      <c r="EV10" s="319">
        <f>SUM(ER10:EU10)</f>
      </c>
      <c r="EW10" s="1158">
        <v>28317</v>
      </c>
      <c r="EX10" s="1158">
        <v>29437</v>
      </c>
      <c r="EY10" s="1158">
        <v>29944</v>
      </c>
      <c r="EZ10" s="1158">
        <v>33112</v>
      </c>
      <c r="FA10" s="319">
        <f>SUM(EW10:EZ10)</f>
      </c>
      <c r="FB10" s="312">
        <f t="shared" ref="FB10:GJ10" si="0">+FB131+FB312+FB347</f>
      </c>
      <c r="FC10" s="312">
        <f t="shared" si="0"/>
      </c>
      <c r="FD10" s="312">
        <f t="shared" si="0"/>
      </c>
      <c r="FE10" s="312">
        <f t="shared" si="0"/>
      </c>
      <c r="FF10" s="319">
        <f t="shared" si="0"/>
      </c>
      <c r="FG10" s="312">
        <f t="shared" si="0"/>
      </c>
      <c r="FH10" s="312">
        <f t="shared" si="0"/>
      </c>
      <c r="FI10" s="312">
        <f t="shared" si="0"/>
      </c>
      <c r="FJ10" s="312">
        <f t="shared" si="0"/>
      </c>
      <c r="FK10" s="319">
        <f t="shared" si="0"/>
      </c>
      <c r="FL10" s="312">
        <f t="shared" si="0"/>
      </c>
      <c r="FM10" s="312">
        <f t="shared" si="0"/>
      </c>
      <c r="FN10" s="312">
        <f t="shared" si="0"/>
      </c>
      <c r="FO10" s="312">
        <f t="shared" si="0"/>
      </c>
      <c r="FP10" s="319">
        <f t="shared" si="0"/>
      </c>
      <c r="FQ10" s="312">
        <f t="shared" si="0"/>
      </c>
      <c r="FR10" s="312">
        <f t="shared" si="0"/>
      </c>
      <c r="FS10" s="312">
        <f t="shared" si="0"/>
      </c>
      <c r="FT10" s="312">
        <f t="shared" si="0"/>
      </c>
      <c r="FU10" s="319">
        <f t="shared" si="0"/>
      </c>
      <c r="FV10" s="312">
        <f t="shared" si="0"/>
      </c>
      <c r="FW10" s="312">
        <f t="shared" si="0"/>
      </c>
      <c r="FX10" s="312">
        <f t="shared" si="0"/>
      </c>
      <c r="FY10" s="312">
        <f t="shared" si="0"/>
      </c>
      <c r="FZ10" s="319">
        <f t="shared" si="0"/>
      </c>
      <c r="GA10" s="312">
        <f t="shared" si="0"/>
      </c>
      <c r="GB10" s="312">
        <f t="shared" si="0"/>
      </c>
      <c r="GC10" s="312">
        <f t="shared" si="0"/>
      </c>
      <c r="GD10" s="312">
        <f t="shared" si="0"/>
      </c>
      <c r="GE10" s="319">
        <f t="shared" si="0"/>
      </c>
      <c r="GF10" s="312">
        <f t="shared" si="0"/>
      </c>
      <c r="GG10" s="312">
        <f t="shared" si="0"/>
      </c>
      <c r="GH10" s="312">
        <f t="shared" si="0"/>
      </c>
      <c r="GI10" s="312">
        <f t="shared" si="0"/>
      </c>
      <c r="GJ10" s="319">
        <f t="shared" si="0"/>
      </c>
    </row>
    <row r="11" spans="1:192" s="1241" customFormat="1" ht="12.75" customHeight="1">
      <c r="A11" s="1237" t="s">
        <v>321</v>
      </c>
      <c r="B11" s="727" t="s">
        <v>34</v>
      </c>
      <c r="C11" s="892"/>
      <c r="D11" s="924"/>
      <c r="E11" s="924"/>
      <c r="F11" s="924"/>
      <c r="G11" s="1240"/>
      <c r="H11" s="892"/>
      <c r="I11" s="924"/>
      <c r="J11" s="924"/>
      <c r="K11" s="924"/>
      <c r="L11" s="1240"/>
      <c r="M11" s="892"/>
      <c r="N11" s="924"/>
      <c r="O11" s="924"/>
      <c r="P11" s="924"/>
      <c r="Q11" s="1240"/>
      <c r="R11" s="892"/>
      <c r="S11" s="924"/>
      <c r="T11" s="924"/>
      <c r="U11" s="924"/>
      <c r="V11" s="1240"/>
      <c r="W11" s="892"/>
      <c r="X11" s="924"/>
      <c r="Y11" s="924"/>
      <c r="Z11" s="924"/>
      <c r="AA11" s="1240"/>
      <c r="AB11" s="892"/>
      <c r="AC11" s="924"/>
      <c r="AD11" s="924"/>
      <c r="AE11" s="924"/>
      <c r="AF11" s="1240"/>
      <c r="AG11" s="892"/>
      <c r="AH11" s="924"/>
      <c r="AI11" s="924"/>
      <c r="AJ11" s="924"/>
      <c r="AK11" s="1240"/>
      <c r="AL11" s="892"/>
      <c r="AM11" s="924"/>
      <c r="AN11" s="924"/>
      <c r="AO11" s="924"/>
      <c r="AP11" s="1240"/>
      <c r="AQ11" s="892"/>
      <c r="AR11" s="924"/>
      <c r="AS11" s="924"/>
      <c r="AT11" s="924"/>
      <c r="AU11" s="1240"/>
      <c r="AV11" s="892"/>
      <c r="AW11" s="924"/>
      <c r="AX11" s="924"/>
      <c r="AY11" s="924"/>
      <c r="AZ11" s="1240"/>
      <c r="BA11" s="892"/>
      <c r="BB11" s="924"/>
      <c r="BC11" s="924"/>
      <c r="BD11" s="924"/>
      <c r="BE11" s="1240"/>
      <c r="BF11" s="892"/>
      <c r="BG11" s="924"/>
      <c r="BH11" s="924"/>
      <c r="BI11" s="924"/>
      <c r="BJ11" s="1240"/>
      <c r="BK11" s="892"/>
      <c r="BL11" s="924"/>
      <c r="BM11" s="924"/>
      <c r="BN11" s="924"/>
      <c r="BO11" s="1240"/>
      <c r="BP11" s="892"/>
      <c r="BQ11" s="924"/>
      <c r="BR11" s="924"/>
      <c r="BS11" s="924"/>
      <c r="BT11" s="1240"/>
      <c r="BU11" s="892"/>
      <c r="BV11" s="924"/>
      <c r="BW11" s="924"/>
      <c r="BX11" s="924"/>
      <c r="BY11" s="1240"/>
      <c r="BZ11" s="892"/>
      <c r="CA11" s="924"/>
      <c r="CB11" s="924"/>
      <c r="CC11" s="924"/>
      <c r="CD11" s="1240"/>
      <c r="CE11" s="892"/>
      <c r="CF11" s="924"/>
      <c r="CG11" s="924"/>
      <c r="CH11" s="924"/>
      <c r="CI11" s="1240"/>
      <c r="CJ11" s="892"/>
      <c r="CK11" s="924"/>
      <c r="CL11" s="924"/>
      <c r="CM11" s="924"/>
      <c r="CN11" s="1240"/>
      <c r="CO11" s="892"/>
      <c r="CP11" s="924"/>
      <c r="CQ11" s="924"/>
      <c r="CR11" s="924"/>
      <c r="CS11" s="1240"/>
      <c r="CT11" s="892"/>
      <c r="CU11" s="924"/>
      <c r="CV11" s="924"/>
      <c r="CW11" s="924"/>
      <c r="CX11" s="1240"/>
      <c r="CY11" s="892"/>
      <c r="CZ11" s="892"/>
      <c r="DA11" s="892"/>
      <c r="DB11" s="892"/>
      <c r="DC11" s="1240"/>
      <c r="DD11" s="1360"/>
      <c r="DE11" s="1361"/>
      <c r="DF11" s="1361"/>
      <c r="DG11" s="1361"/>
      <c r="DH11" s="292"/>
      <c r="DI11" s="441"/>
      <c r="DJ11" s="439"/>
      <c r="DK11" s="439"/>
      <c r="DL11" s="439"/>
      <c r="DM11" s="292"/>
      <c r="DN11" s="291"/>
      <c r="DO11" s="107"/>
      <c r="DP11" s="107"/>
      <c r="DQ11" s="107"/>
      <c r="DR11" s="292"/>
      <c r="DS11" s="291"/>
      <c r="DT11" s="107"/>
      <c r="DU11" s="107"/>
      <c r="DV11" s="107"/>
      <c r="DW11" s="292"/>
      <c r="DX11" s="291"/>
      <c r="DY11" s="107"/>
      <c r="DZ11" s="107"/>
      <c r="EA11" s="107"/>
      <c r="EB11" s="292"/>
      <c r="EC11" s="291"/>
      <c r="ED11" s="107"/>
      <c r="EE11" s="107"/>
      <c r="EF11" s="107"/>
      <c r="EG11" s="292"/>
      <c r="EH11" s="291"/>
      <c r="EI11" s="107"/>
      <c r="EJ11" s="107"/>
      <c r="EK11" s="107"/>
      <c r="EL11" s="292"/>
      <c r="EM11" s="291"/>
      <c r="EN11" s="107"/>
      <c r="EO11" s="107"/>
      <c r="EP11" s="107"/>
      <c r="EQ11" s="292"/>
      <c r="ER11" s="291">
        <f t="shared" ref="ER11:GE11" si="1">IFERROR(ER10/EM10-1,"--")</f>
      </c>
      <c r="ES11" s="107">
        <f t="shared" si="1"/>
      </c>
      <c r="ET11" s="107">
        <f t="shared" si="1"/>
      </c>
      <c r="EU11" s="107">
        <f t="shared" si="1"/>
      </c>
      <c r="EV11" s="292">
        <f t="shared" si="1"/>
      </c>
      <c r="EW11" s="291">
        <f t="shared" si="1"/>
      </c>
      <c r="EX11" s="107">
        <f t="shared" si="1"/>
      </c>
      <c r="EY11" s="107">
        <f t="shared" si="1"/>
      </c>
      <c r="EZ11" s="107">
        <f t="shared" si="1"/>
      </c>
      <c r="FA11" s="292">
        <f t="shared" si="1"/>
      </c>
      <c r="FB11" s="291">
        <f t="shared" si="1"/>
      </c>
      <c r="FC11" s="107">
        <f t="shared" si="1"/>
      </c>
      <c r="FD11" s="107">
        <f t="shared" si="1"/>
      </c>
      <c r="FE11" s="107">
        <f t="shared" si="1"/>
      </c>
      <c r="FF11" s="292">
        <f t="shared" si="1"/>
      </c>
      <c r="FG11" s="291">
        <f t="shared" si="1"/>
      </c>
      <c r="FH11" s="107">
        <f t="shared" si="1"/>
      </c>
      <c r="FI11" s="107">
        <f t="shared" si="1"/>
      </c>
      <c r="FJ11" s="107">
        <f t="shared" si="1"/>
      </c>
      <c r="FK11" s="292">
        <f t="shared" si="1"/>
      </c>
      <c r="FL11" s="291">
        <f t="shared" si="1"/>
      </c>
      <c r="FM11" s="107">
        <f t="shared" si="1"/>
      </c>
      <c r="FN11" s="107">
        <f t="shared" si="1"/>
      </c>
      <c r="FO11" s="107">
        <f t="shared" si="1"/>
      </c>
      <c r="FP11" s="292">
        <f t="shared" si="1"/>
      </c>
      <c r="FQ11" s="291">
        <f t="shared" si="1"/>
      </c>
      <c r="FR11" s="107">
        <f t="shared" si="1"/>
      </c>
      <c r="FS11" s="107">
        <f t="shared" si="1"/>
      </c>
      <c r="FT11" s="107">
        <f t="shared" si="1"/>
      </c>
      <c r="FU11" s="292">
        <f t="shared" si="1"/>
      </c>
      <c r="FV11" s="291">
        <f t="shared" si="1"/>
      </c>
      <c r="FW11" s="107">
        <f t="shared" si="1"/>
      </c>
      <c r="FX11" s="107">
        <f t="shared" si="1"/>
      </c>
      <c r="FY11" s="107">
        <f t="shared" si="1"/>
      </c>
      <c r="FZ11" s="292">
        <f t="shared" si="1"/>
      </c>
      <c r="GA11" s="291">
        <f t="shared" si="1"/>
      </c>
      <c r="GB11" s="107">
        <f t="shared" si="1"/>
      </c>
      <c r="GC11" s="107">
        <f t="shared" si="1"/>
      </c>
      <c r="GD11" s="107">
        <f t="shared" si="1"/>
      </c>
      <c r="GE11" s="292">
        <f t="shared" si="1"/>
      </c>
      <c r="GF11" s="291">
        <f t="shared" ref="GF11" si="2">IFERROR(GF10/GA10-1,"--")</f>
      </c>
      <c r="GG11" s="107">
        <f t="shared" ref="GG11" si="3">IFERROR(GG10/GB10-1,"--")</f>
      </c>
      <c r="GH11" s="107">
        <f t="shared" ref="GH11" si="4">IFERROR(GH10/GC10-1,"--")</f>
      </c>
      <c r="GI11" s="107">
        <f t="shared" ref="GI11" si="5">IFERROR(GI10/GD10-1,"--")</f>
      </c>
      <c r="GJ11" s="292">
        <f t="shared" ref="GJ11" si="6">IFERROR(GJ10/GE10-1,"--")</f>
      </c>
    </row>
    <row r="12" spans="1:192" ht="12.75" customHeight="1">
      <c r="A12" s="68" t="s">
        <v>322</v>
      </c>
      <c r="B12" s="727" t="s">
        <v>197</v>
      </c>
      <c r="C12" s="412"/>
      <c r="D12" s="114"/>
      <c r="E12" s="114"/>
      <c r="F12" s="114"/>
      <c r="G12" s="413"/>
      <c r="H12" s="412"/>
      <c r="I12" s="114"/>
      <c r="J12" s="114"/>
      <c r="K12" s="114"/>
      <c r="L12" s="413"/>
      <c r="M12" s="412"/>
      <c r="N12" s="114"/>
      <c r="O12" s="114"/>
      <c r="P12" s="114"/>
      <c r="Q12" s="413"/>
      <c r="R12" s="412"/>
      <c r="S12" s="114"/>
      <c r="T12" s="114"/>
      <c r="U12" s="114"/>
      <c r="V12" s="413"/>
      <c r="W12" s="412"/>
      <c r="X12" s="114"/>
      <c r="Y12" s="114"/>
      <c r="Z12" s="114"/>
      <c r="AA12" s="413"/>
      <c r="AB12" s="412"/>
      <c r="AC12" s="114"/>
      <c r="AD12" s="114"/>
      <c r="AE12" s="114"/>
      <c r="AF12" s="413"/>
      <c r="AG12" s="412"/>
      <c r="AH12" s="114"/>
      <c r="AI12" s="114"/>
      <c r="AJ12" s="114"/>
      <c r="AK12" s="413"/>
      <c r="AL12" s="412"/>
      <c r="AM12" s="114"/>
      <c r="AN12" s="114"/>
      <c r="AO12" s="114"/>
      <c r="AP12" s="413"/>
      <c r="AQ12" s="412"/>
      <c r="AR12" s="114"/>
      <c r="AS12" s="114"/>
      <c r="AT12" s="114"/>
      <c r="AU12" s="413"/>
      <c r="AV12" s="412"/>
      <c r="AW12" s="114"/>
      <c r="AX12" s="114"/>
      <c r="AY12" s="114"/>
      <c r="AZ12" s="413"/>
      <c r="BA12" s="412"/>
      <c r="BB12" s="114"/>
      <c r="BC12" s="114"/>
      <c r="BD12" s="114"/>
      <c r="BE12" s="413"/>
      <c r="BF12" s="412"/>
      <c r="BG12" s="114"/>
      <c r="BH12" s="114"/>
      <c r="BI12" s="114"/>
      <c r="BJ12" s="413"/>
      <c r="BK12" s="412"/>
      <c r="BL12" s="114"/>
      <c r="BM12" s="114"/>
      <c r="BN12" s="114"/>
      <c r="BO12" s="413"/>
      <c r="BP12" s="412"/>
      <c r="BQ12" s="114"/>
      <c r="BR12" s="114"/>
      <c r="BS12" s="114"/>
      <c r="BT12" s="413"/>
      <c r="BU12" s="412"/>
      <c r="BV12" s="114"/>
      <c r="BW12" s="114"/>
      <c r="BX12" s="114"/>
      <c r="BY12" s="413"/>
      <c r="BZ12" s="412"/>
      <c r="CA12" s="114"/>
      <c r="CB12" s="114"/>
      <c r="CC12" s="114"/>
      <c r="CD12" s="292"/>
      <c r="CE12" s="412"/>
      <c r="CF12" s="114"/>
      <c r="CG12" s="114"/>
      <c r="CH12" s="114"/>
      <c r="CI12" s="292"/>
      <c r="CJ12" s="412"/>
      <c r="CK12" s="114"/>
      <c r="CL12" s="114"/>
      <c r="CM12" s="114"/>
      <c r="CN12" s="292"/>
      <c r="CO12" s="412"/>
      <c r="CP12" s="114"/>
      <c r="CQ12" s="114"/>
      <c r="CR12" s="114"/>
      <c r="CS12" s="292"/>
      <c r="CT12" s="412"/>
      <c r="CU12" s="114"/>
      <c r="CV12" s="114"/>
      <c r="CW12" s="114"/>
      <c r="CX12" s="292"/>
      <c r="CY12" s="412"/>
      <c r="CZ12" s="114"/>
      <c r="DA12" s="114"/>
      <c r="DB12" s="114"/>
      <c r="DC12" s="292"/>
      <c r="DD12" s="412"/>
      <c r="DE12" s="114"/>
      <c r="DF12" s="114"/>
      <c r="DG12" s="114"/>
      <c r="DH12" s="292"/>
      <c r="DI12" s="412"/>
      <c r="DJ12" s="114"/>
      <c r="DK12" s="114"/>
      <c r="DL12" s="114"/>
      <c r="DM12" s="292"/>
      <c r="DN12" s="412"/>
      <c r="DO12" s="114"/>
      <c r="DP12" s="114"/>
      <c r="DQ12" s="114"/>
      <c r="DR12" s="292"/>
      <c r="DS12" s="412"/>
      <c r="DT12" s="114"/>
      <c r="DU12" s="114"/>
      <c r="DV12" s="114"/>
      <c r="DW12" s="292"/>
      <c r="DX12" s="412"/>
      <c r="DY12" s="114"/>
      <c r="DZ12" s="114"/>
      <c r="EA12" s="114"/>
      <c r="EB12" s="292"/>
      <c r="EC12" s="412"/>
      <c r="ED12" s="114"/>
      <c r="EE12" s="114"/>
      <c r="EF12" s="114"/>
      <c r="EG12" s="292"/>
      <c r="EH12" s="412"/>
      <c r="EI12" s="114"/>
      <c r="EJ12" s="114"/>
      <c r="EK12" s="114"/>
      <c r="EL12" s="292"/>
      <c r="EM12" s="412"/>
      <c r="EN12" s="114"/>
      <c r="EO12" s="114"/>
      <c r="EP12" s="114"/>
      <c r="EQ12" s="292"/>
      <c r="ER12" s="412"/>
      <c r="ES12" s="631"/>
      <c r="ET12" s="631"/>
      <c r="EU12" s="631"/>
      <c r="EV12" s="292"/>
      <c r="EW12" s="441">
        <v>0.13</v>
      </c>
      <c r="EX12" s="439">
        <v>0.13</v>
      </c>
      <c r="EY12" s="439">
        <v>0.13</v>
      </c>
      <c r="EZ12" s="439">
        <v>0.14000000000000001</v>
      </c>
      <c r="FA12" s="292"/>
      <c r="FB12" s="412">
        <f>FB11-3%</f>
      </c>
      <c r="FC12" s="412">
        <f t="shared" ref="FC12:FE12" si="7">FC11-2%</f>
      </c>
      <c r="FD12" s="412">
        <f t="shared" si="7"/>
      </c>
      <c r="FE12" s="412">
        <f t="shared" si="7"/>
      </c>
      <c r="FF12" s="292"/>
      <c r="FG12" s="412"/>
      <c r="FH12" s="631"/>
      <c r="FI12" s="631"/>
      <c r="FJ12" s="631"/>
      <c r="FK12" s="292"/>
      <c r="FL12" s="412"/>
      <c r="FM12" s="631"/>
      <c r="FN12" s="631"/>
      <c r="FO12" s="631"/>
      <c r="FP12" s="292"/>
      <c r="FQ12" s="412"/>
      <c r="FR12" s="631"/>
      <c r="FS12" s="631"/>
      <c r="FT12" s="631"/>
      <c r="FU12" s="292"/>
      <c r="FV12" s="412"/>
      <c r="FW12" s="631"/>
      <c r="FX12" s="631"/>
      <c r="FY12" s="631"/>
      <c r="FZ12" s="292"/>
      <c r="GA12" s="412"/>
      <c r="GB12" s="631"/>
      <c r="GC12" s="631"/>
      <c r="GD12" s="631"/>
      <c r="GE12" s="292"/>
      <c r="GF12" s="412"/>
      <c r="GG12" s="631"/>
      <c r="GH12" s="631"/>
      <c r="GI12" s="631"/>
      <c r="GJ12" s="292"/>
    </row>
    <row r="13" spans="1:192" ht="12.75" customHeight="1">
      <c r="A13" s="68" t="s">
        <v>343</v>
      </c>
      <c r="B13" s="727" t="s">
        <v>36</v>
      </c>
      <c r="C13" s="291"/>
      <c r="D13" s="107"/>
      <c r="E13" s="107"/>
      <c r="F13" s="107"/>
      <c r="G13" s="293"/>
      <c r="H13" s="291"/>
      <c r="I13" s="107"/>
      <c r="J13" s="107"/>
      <c r="K13" s="107"/>
      <c r="L13" s="293"/>
      <c r="M13" s="291"/>
      <c r="N13" s="107"/>
      <c r="O13" s="107"/>
      <c r="P13" s="107"/>
      <c r="Q13" s="293"/>
      <c r="R13" s="291"/>
      <c r="S13" s="107"/>
      <c r="T13" s="107"/>
      <c r="U13" s="107"/>
      <c r="V13" s="293"/>
      <c r="W13" s="291"/>
      <c r="X13" s="107"/>
      <c r="Y13" s="107"/>
      <c r="Z13" s="107"/>
      <c r="AA13" s="293"/>
      <c r="AB13" s="291"/>
      <c r="AC13" s="107"/>
      <c r="AD13" s="107"/>
      <c r="AE13" s="107"/>
      <c r="AF13" s="293"/>
      <c r="AG13" s="291"/>
      <c r="AH13" s="107"/>
      <c r="AI13" s="107"/>
      <c r="AJ13" s="107"/>
      <c r="AK13" s="293"/>
      <c r="AL13" s="291"/>
      <c r="AM13" s="107"/>
      <c r="AN13" s="107"/>
      <c r="AO13" s="107"/>
      <c r="AP13" s="293"/>
      <c r="AQ13" s="291"/>
      <c r="AR13" s="107"/>
      <c r="AS13" s="107"/>
      <c r="AT13" s="107"/>
      <c r="AU13" s="293"/>
      <c r="AV13" s="291"/>
      <c r="AW13" s="107"/>
      <c r="AX13" s="107"/>
      <c r="AY13" s="107"/>
      <c r="AZ13" s="293"/>
      <c r="BA13" s="291"/>
      <c r="BB13" s="107"/>
      <c r="BC13" s="107"/>
      <c r="BD13" s="107"/>
      <c r="BE13" s="293"/>
      <c r="BF13" s="291"/>
      <c r="BG13" s="107"/>
      <c r="BH13" s="107"/>
      <c r="BI13" s="107"/>
      <c r="BJ13" s="293"/>
      <c r="BK13" s="291"/>
      <c r="BL13" s="107"/>
      <c r="BM13" s="107"/>
      <c r="BN13" s="107"/>
      <c r="BO13" s="293"/>
      <c r="BP13" s="291"/>
      <c r="BQ13" s="107"/>
      <c r="BR13" s="107"/>
      <c r="BS13" s="107"/>
      <c r="BT13" s="293"/>
      <c r="BU13" s="291"/>
      <c r="BV13" s="107"/>
      <c r="BW13" s="107"/>
      <c r="BX13" s="107"/>
      <c r="BY13" s="293"/>
      <c r="BZ13" s="291"/>
      <c r="CA13" s="107"/>
      <c r="CB13" s="107"/>
      <c r="CC13" s="107"/>
      <c r="CD13" s="293"/>
      <c r="CE13" s="291"/>
      <c r="CF13" s="107"/>
      <c r="CG13" s="107"/>
      <c r="CH13" s="107"/>
      <c r="CI13" s="293"/>
      <c r="CJ13" s="291"/>
      <c r="CK13" s="107"/>
      <c r="CL13" s="107"/>
      <c r="CM13" s="107"/>
      <c r="CN13" s="293"/>
      <c r="CO13" s="291"/>
      <c r="CP13" s="107"/>
      <c r="CQ13" s="107"/>
      <c r="CR13" s="107"/>
      <c r="CS13" s="293"/>
      <c r="CT13" s="291"/>
      <c r="CU13" s="107"/>
      <c r="CV13" s="107"/>
      <c r="CW13" s="107"/>
      <c r="CX13" s="293"/>
      <c r="CY13" s="291"/>
      <c r="CZ13" s="107"/>
      <c r="DA13" s="107"/>
      <c r="DB13" s="107"/>
      <c r="DC13" s="293"/>
      <c r="DD13" s="291"/>
      <c r="DE13" s="107"/>
      <c r="DF13" s="107"/>
      <c r="DG13" s="107"/>
      <c r="DH13" s="293"/>
      <c r="DI13" s="291"/>
      <c r="DJ13" s="107"/>
      <c r="DK13" s="107"/>
      <c r="DL13" s="107"/>
      <c r="DM13" s="293"/>
      <c r="DN13" s="291"/>
      <c r="DO13" s="107"/>
      <c r="DP13" s="107"/>
      <c r="DQ13" s="107"/>
      <c r="DR13" s="293"/>
      <c r="DS13" s="291"/>
      <c r="DT13" s="107"/>
      <c r="DU13" s="107"/>
      <c r="DV13" s="107"/>
      <c r="DW13" s="293"/>
      <c r="DX13" s="291"/>
      <c r="DY13" s="107"/>
      <c r="DZ13" s="107"/>
      <c r="EA13" s="107"/>
      <c r="EB13" s="293"/>
      <c r="EC13" s="291"/>
      <c r="ED13" s="107"/>
      <c r="EE13" s="107"/>
      <c r="EF13" s="107"/>
      <c r="EG13" s="293"/>
      <c r="EH13" s="291"/>
      <c r="EI13" s="107"/>
      <c r="EJ13" s="107"/>
      <c r="EK13" s="107"/>
      <c r="EL13" s="293"/>
      <c r="EM13" s="291"/>
      <c r="EN13" s="107"/>
      <c r="EO13" s="107"/>
      <c r="EP13" s="107"/>
      <c r="EQ13" s="293"/>
      <c r="ER13" s="291">
        <f>IFERROR(ER10/EP10-1,"--")</f>
      </c>
      <c r="ES13" s="107">
        <f>IFERROR(ES10/ER10-1,"--")</f>
      </c>
      <c r="ET13" s="107">
        <f>IFERROR(ET10/ES10-1,"--")</f>
      </c>
      <c r="EU13" s="107">
        <f>IFERROR(EU10/ET10-1,"--")</f>
      </c>
      <c r="EV13" s="293"/>
      <c r="EW13" s="291">
        <f>IFERROR(EW10/EU10-1,"--")</f>
      </c>
      <c r="EX13" s="107">
        <f>IFERROR(EX10/EW10-1,"--")</f>
      </c>
      <c r="EY13" s="107">
        <f>IFERROR(EY10/EX10-1,"--")</f>
      </c>
      <c r="EZ13" s="107">
        <f>IFERROR(EZ10/EY10-1,"--")</f>
      </c>
      <c r="FA13" s="293"/>
      <c r="FB13" s="291">
        <f>IFERROR(FB10/EZ10-1,"--")</f>
      </c>
      <c r="FC13" s="107">
        <f>IFERROR(FC10/FB10-1,"--")</f>
      </c>
      <c r="FD13" s="107">
        <f>IFERROR(FD10/FC10-1,"--")</f>
      </c>
      <c r="FE13" s="107">
        <f>IFERROR(FE10/FD10-1,"--")</f>
      </c>
      <c r="FF13" s="293"/>
      <c r="FG13" s="291">
        <f>IFERROR(FG10/FE10-1,"--")</f>
      </c>
      <c r="FH13" s="107">
        <f>IFERROR(FH10/FG10-1,"--")</f>
      </c>
      <c r="FI13" s="107">
        <f>IFERROR(FI10/FH10-1,"--")</f>
      </c>
      <c r="FJ13" s="107">
        <f>IFERROR(FJ10/FI10-1,"--")</f>
      </c>
      <c r="FK13" s="293"/>
      <c r="FL13" s="291">
        <f>IFERROR(FL10/FJ10-1,"--")</f>
      </c>
      <c r="FM13" s="107">
        <f>IFERROR(FM10/FL10-1,"--")</f>
      </c>
      <c r="FN13" s="107">
        <f>IFERROR(FN10/FM10-1,"--")</f>
      </c>
      <c r="FO13" s="107">
        <f>IFERROR(FO10/FN10-1,"--")</f>
      </c>
      <c r="FP13" s="293"/>
      <c r="FQ13" s="291">
        <f>IFERROR(FQ10/FO10-1,"--")</f>
      </c>
      <c r="FR13" s="107">
        <f>IFERROR(FR10/FQ10-1,"--")</f>
      </c>
      <c r="FS13" s="107">
        <f>IFERROR(FS10/FR10-1,"--")</f>
      </c>
      <c r="FT13" s="107">
        <f>IFERROR(FT10/FS10-1,"--")</f>
      </c>
      <c r="FU13" s="293"/>
      <c r="FV13" s="291">
        <f>IFERROR(FV10/FT10-1,"--")</f>
      </c>
      <c r="FW13" s="107">
        <f>IFERROR(FW10/FV10-1,"--")</f>
      </c>
      <c r="FX13" s="107">
        <f>IFERROR(FX10/FW10-1,"--")</f>
      </c>
      <c r="FY13" s="107">
        <f>IFERROR(FY10/FX10-1,"--")</f>
      </c>
      <c r="FZ13" s="293"/>
      <c r="GA13" s="291">
        <f>IFERROR(GA10/FY10-1,"--")</f>
      </c>
      <c r="GB13" s="107">
        <f>IFERROR(GB10/GA10-1,"--")</f>
      </c>
      <c r="GC13" s="107">
        <f>IFERROR(GC10/GB10-1,"--")</f>
      </c>
      <c r="GD13" s="107">
        <f>IFERROR(GD10/GC10-1,"--")</f>
      </c>
      <c r="GE13" s="293"/>
      <c r="GF13" s="291">
        <f>IFERROR(GF10/GD10-1,"--")</f>
      </c>
      <c r="GG13" s="107">
        <f>IFERROR(GG10/GF10-1,"--")</f>
      </c>
      <c r="GH13" s="107">
        <f>IFERROR(GH10/GG10-1,"--")</f>
      </c>
      <c r="GI13" s="107">
        <f>IFERROR(GI10/GH10-1,"--")</f>
      </c>
      <c r="GJ13" s="293"/>
    </row>
    <row r="14" spans="1:192" ht="12.75" customHeight="1">
      <c r="B14" s="727" t="s">
        <v>243</v>
      </c>
      <c r="C14" s="291"/>
      <c r="D14" s="107"/>
      <c r="E14" s="107"/>
      <c r="F14" s="107"/>
      <c r="G14" s="293"/>
      <c r="H14" s="291"/>
      <c r="I14" s="107"/>
      <c r="J14" s="107"/>
      <c r="K14" s="107"/>
      <c r="L14" s="293"/>
      <c r="M14" s="291"/>
      <c r="N14" s="107"/>
      <c r="O14" s="107"/>
      <c r="P14" s="107"/>
      <c r="Q14" s="293"/>
      <c r="R14" s="291"/>
      <c r="S14" s="107"/>
      <c r="T14" s="107"/>
      <c r="U14" s="107"/>
      <c r="V14" s="293"/>
      <c r="W14" s="291"/>
      <c r="X14" s="107"/>
      <c r="Y14" s="107"/>
      <c r="Z14" s="107"/>
      <c r="AA14" s="293"/>
      <c r="AB14" s="291"/>
      <c r="AC14" s="107"/>
      <c r="AD14" s="107"/>
      <c r="AE14" s="107"/>
      <c r="AF14" s="293"/>
      <c r="AG14" s="291"/>
      <c r="AH14" s="107"/>
      <c r="AI14" s="107"/>
      <c r="AJ14" s="107"/>
      <c r="AK14" s="293"/>
      <c r="AL14" s="291"/>
      <c r="AM14" s="107"/>
      <c r="AN14" s="107"/>
      <c r="AO14" s="107"/>
      <c r="AP14" s="293"/>
      <c r="AQ14" s="291"/>
      <c r="AR14" s="107"/>
      <c r="AS14" s="107"/>
      <c r="AT14" s="107"/>
      <c r="AU14" s="293"/>
      <c r="AV14" s="291"/>
      <c r="AW14" s="107"/>
      <c r="AX14" s="107"/>
      <c r="AY14" s="107"/>
      <c r="AZ14" s="293"/>
      <c r="BA14" s="291"/>
      <c r="BB14" s="107"/>
      <c r="BC14" s="107"/>
      <c r="BD14" s="107"/>
      <c r="BE14" s="293"/>
      <c r="BF14" s="291"/>
      <c r="BG14" s="107"/>
      <c r="BH14" s="107"/>
      <c r="BI14" s="107"/>
      <c r="BJ14" s="293"/>
      <c r="BK14" s="291"/>
      <c r="BL14" s="107"/>
      <c r="BM14" s="107"/>
      <c r="BN14" s="107"/>
      <c r="BO14" s="293"/>
      <c r="BP14" s="291"/>
      <c r="BQ14" s="107"/>
      <c r="BR14" s="107"/>
      <c r="BS14" s="107"/>
      <c r="BT14" s="293"/>
      <c r="BU14" s="291"/>
      <c r="BV14" s="107"/>
      <c r="BW14" s="107"/>
      <c r="BX14" s="107"/>
      <c r="BY14" s="293"/>
      <c r="BZ14" s="291"/>
      <c r="CA14" s="107"/>
      <c r="CB14" s="107"/>
      <c r="CC14" s="107"/>
      <c r="CD14" s="293"/>
      <c r="CE14" s="291"/>
      <c r="CF14" s="107"/>
      <c r="CG14" s="107"/>
      <c r="CH14" s="107"/>
      <c r="CI14" s="293"/>
      <c r="CJ14" s="291"/>
      <c r="CK14" s="107"/>
      <c r="CL14" s="107"/>
      <c r="CM14" s="107"/>
      <c r="CN14" s="293"/>
      <c r="CO14" s="291"/>
      <c r="CP14" s="107"/>
      <c r="CQ14" s="107"/>
      <c r="CR14" s="107"/>
      <c r="CS14" s="293"/>
      <c r="CT14" s="291"/>
      <c r="CU14" s="107"/>
      <c r="CV14" s="107"/>
      <c r="CW14" s="107"/>
      <c r="CX14" s="293"/>
      <c r="CY14" s="447"/>
      <c r="CZ14" s="447"/>
      <c r="DA14" s="447"/>
      <c r="DB14" s="492"/>
      <c r="DC14" s="488"/>
      <c r="DD14" s="447"/>
      <c r="DE14" s="447"/>
      <c r="DF14" s="447"/>
      <c r="DG14" s="492"/>
      <c r="DH14" s="488"/>
      <c r="DI14" s="447"/>
      <c r="DJ14" s="447"/>
      <c r="DK14" s="447"/>
      <c r="DL14" s="492"/>
      <c r="DM14" s="488"/>
      <c r="DN14" s="447"/>
      <c r="DO14" s="447"/>
      <c r="DP14" s="447"/>
      <c r="DQ14" s="492"/>
      <c r="DR14" s="488"/>
      <c r="DS14" s="447"/>
      <c r="DT14" s="447"/>
      <c r="DU14" s="447"/>
      <c r="DV14" s="492"/>
      <c r="DW14" s="488"/>
      <c r="DX14" s="447"/>
      <c r="DY14" s="447"/>
      <c r="DZ14" s="447"/>
      <c r="EA14" s="492"/>
      <c r="EB14" s="488"/>
      <c r="EC14" s="447"/>
      <c r="ED14" s="447"/>
      <c r="EE14" s="447"/>
      <c r="EF14" s="492"/>
      <c r="EG14" s="488"/>
      <c r="EH14" s="447"/>
      <c r="EI14" s="447"/>
      <c r="EJ14" s="447"/>
      <c r="EK14" s="492"/>
      <c r="EL14" s="488"/>
      <c r="EM14" s="447"/>
      <c r="EN14" s="447"/>
      <c r="EO14" s="447"/>
      <c r="EP14" s="492"/>
      <c r="EQ14" s="488"/>
      <c r="ER14" s="447">
        <f t="shared" ref="ER14:GE14" si="8">ER10-EM10</f>
      </c>
      <c r="ES14" s="447">
        <f t="shared" si="8"/>
      </c>
      <c r="ET14" s="447">
        <f t="shared" si="8"/>
      </c>
      <c r="EU14" s="492">
        <f t="shared" si="8"/>
      </c>
      <c r="EV14" s="488">
        <f t="shared" si="8"/>
      </c>
      <c r="EW14" s="447">
        <f t="shared" si="8"/>
      </c>
      <c r="EX14" s="447">
        <f t="shared" si="8"/>
      </c>
      <c r="EY14" s="447">
        <f t="shared" si="8"/>
      </c>
      <c r="EZ14" s="492">
        <f t="shared" si="8"/>
      </c>
      <c r="FA14" s="488">
        <f t="shared" si="8"/>
      </c>
      <c r="FB14" s="447">
        <f t="shared" si="8"/>
      </c>
      <c r="FC14" s="447">
        <f t="shared" si="8"/>
      </c>
      <c r="FD14" s="447">
        <f t="shared" si="8"/>
      </c>
      <c r="FE14" s="492">
        <f t="shared" si="8"/>
      </c>
      <c r="FF14" s="488">
        <f t="shared" si="8"/>
      </c>
      <c r="FG14" s="447">
        <f t="shared" si="8"/>
      </c>
      <c r="FH14" s="447">
        <f t="shared" si="8"/>
      </c>
      <c r="FI14" s="447">
        <f t="shared" si="8"/>
      </c>
      <c r="FJ14" s="492">
        <f t="shared" si="8"/>
      </c>
      <c r="FK14" s="488">
        <f t="shared" si="8"/>
      </c>
      <c r="FL14" s="447">
        <f t="shared" si="8"/>
      </c>
      <c r="FM14" s="447">
        <f t="shared" si="8"/>
      </c>
      <c r="FN14" s="447">
        <f t="shared" si="8"/>
      </c>
      <c r="FO14" s="492">
        <f t="shared" si="8"/>
      </c>
      <c r="FP14" s="488">
        <f t="shared" si="8"/>
      </c>
      <c r="FQ14" s="447">
        <f t="shared" si="8"/>
      </c>
      <c r="FR14" s="447">
        <f t="shared" si="8"/>
      </c>
      <c r="FS14" s="447">
        <f t="shared" si="8"/>
      </c>
      <c r="FT14" s="492">
        <f t="shared" si="8"/>
      </c>
      <c r="FU14" s="488">
        <f t="shared" si="8"/>
      </c>
      <c r="FV14" s="447">
        <f t="shared" si="8"/>
      </c>
      <c r="FW14" s="447">
        <f t="shared" si="8"/>
      </c>
      <c r="FX14" s="447">
        <f t="shared" si="8"/>
      </c>
      <c r="FY14" s="492">
        <f t="shared" si="8"/>
      </c>
      <c r="FZ14" s="488">
        <f t="shared" si="8"/>
      </c>
      <c r="GA14" s="447">
        <f t="shared" si="8"/>
      </c>
      <c r="GB14" s="447">
        <f t="shared" si="8"/>
      </c>
      <c r="GC14" s="447">
        <f t="shared" si="8"/>
      </c>
      <c r="GD14" s="492">
        <f t="shared" si="8"/>
      </c>
      <c r="GE14" s="488">
        <f t="shared" si="8"/>
      </c>
      <c r="GF14" s="447">
        <f t="shared" ref="GF14" si="9">GF10-GA10</f>
      </c>
      <c r="GG14" s="447">
        <f t="shared" ref="GG14" si="10">GG10-GB10</f>
      </c>
      <c r="GH14" s="447">
        <f t="shared" ref="GH14" si="11">GH10-GC10</f>
      </c>
      <c r="GI14" s="492">
        <f t="shared" ref="GI14" si="12">GI10-GD10</f>
      </c>
      <c r="GJ14" s="488">
        <f t="shared" ref="GJ14" si="13">GJ10-GE10</f>
      </c>
    </row>
    <row r="15" spans="1:192" ht="12.75" customHeight="1">
      <c r="B15" s="727" t="s">
        <v>244</v>
      </c>
      <c r="C15" s="291"/>
      <c r="D15" s="107"/>
      <c r="E15" s="107"/>
      <c r="F15" s="107"/>
      <c r="G15" s="293"/>
      <c r="H15" s="291"/>
      <c r="I15" s="107"/>
      <c r="J15" s="107"/>
      <c r="K15" s="107"/>
      <c r="L15" s="293"/>
      <c r="M15" s="291"/>
      <c r="N15" s="107"/>
      <c r="O15" s="107"/>
      <c r="P15" s="107"/>
      <c r="Q15" s="293"/>
      <c r="R15" s="291"/>
      <c r="S15" s="107"/>
      <c r="T15" s="107"/>
      <c r="U15" s="107"/>
      <c r="V15" s="293"/>
      <c r="W15" s="291"/>
      <c r="X15" s="107"/>
      <c r="Y15" s="107"/>
      <c r="Z15" s="107"/>
      <c r="AA15" s="293"/>
      <c r="AB15" s="291"/>
      <c r="AC15" s="107"/>
      <c r="AD15" s="107"/>
      <c r="AE15" s="107"/>
      <c r="AF15" s="293"/>
      <c r="AG15" s="291"/>
      <c r="AH15" s="107"/>
      <c r="AI15" s="107"/>
      <c r="AJ15" s="107"/>
      <c r="AK15" s="293"/>
      <c r="AL15" s="291"/>
      <c r="AM15" s="107"/>
      <c r="AN15" s="107"/>
      <c r="AO15" s="107"/>
      <c r="AP15" s="293"/>
      <c r="AQ15" s="291"/>
      <c r="AR15" s="107"/>
      <c r="AS15" s="107"/>
      <c r="AT15" s="107"/>
      <c r="AU15" s="293"/>
      <c r="AV15" s="291"/>
      <c r="AW15" s="107"/>
      <c r="AX15" s="107"/>
      <c r="AY15" s="107"/>
      <c r="AZ15" s="293"/>
      <c r="BA15" s="291"/>
      <c r="BB15" s="107"/>
      <c r="BC15" s="107"/>
      <c r="BD15" s="107"/>
      <c r="BE15" s="293"/>
      <c r="BF15" s="291"/>
      <c r="BG15" s="107"/>
      <c r="BH15" s="107"/>
      <c r="BI15" s="107"/>
      <c r="BJ15" s="293"/>
      <c r="BK15" s="291"/>
      <c r="BL15" s="107"/>
      <c r="BM15" s="107"/>
      <c r="BN15" s="107"/>
      <c r="BO15" s="293"/>
      <c r="BP15" s="291"/>
      <c r="BQ15" s="107"/>
      <c r="BR15" s="107"/>
      <c r="BS15" s="107"/>
      <c r="BT15" s="293"/>
      <c r="BU15" s="291"/>
      <c r="BV15" s="107"/>
      <c r="BW15" s="107"/>
      <c r="BX15" s="107"/>
      <c r="BY15" s="293"/>
      <c r="BZ15" s="291"/>
      <c r="CA15" s="107"/>
      <c r="CB15" s="107"/>
      <c r="CC15" s="107"/>
      <c r="CD15" s="293"/>
      <c r="CE15" s="291"/>
      <c r="CF15" s="107"/>
      <c r="CG15" s="107"/>
      <c r="CH15" s="107"/>
      <c r="CI15" s="293"/>
      <c r="CJ15" s="291"/>
      <c r="CK15" s="107"/>
      <c r="CL15" s="107"/>
      <c r="CM15" s="107"/>
      <c r="CN15" s="293"/>
      <c r="CO15" s="291"/>
      <c r="CP15" s="107"/>
      <c r="CQ15" s="107"/>
      <c r="CR15" s="107"/>
      <c r="CS15" s="293"/>
      <c r="CT15" s="291"/>
      <c r="CU15" s="107"/>
      <c r="CV15" s="107"/>
      <c r="CW15" s="107"/>
      <c r="CX15" s="293"/>
      <c r="CY15" s="447"/>
      <c r="CZ15" s="447"/>
      <c r="DA15" s="447"/>
      <c r="DB15" s="492"/>
      <c r="DC15" s="347"/>
      <c r="DD15" s="447"/>
      <c r="DE15" s="447"/>
      <c r="DF15" s="447"/>
      <c r="DG15" s="492"/>
      <c r="DH15" s="347"/>
      <c r="DI15" s="447"/>
      <c r="DJ15" s="447"/>
      <c r="DK15" s="447"/>
      <c r="DL15" s="492"/>
      <c r="DM15" s="347"/>
      <c r="DN15" s="447"/>
      <c r="DO15" s="447"/>
      <c r="DP15" s="447"/>
      <c r="DQ15" s="492"/>
      <c r="DR15" s="347"/>
      <c r="DS15" s="447"/>
      <c r="DT15" s="447"/>
      <c r="DU15" s="447"/>
      <c r="DV15" s="492"/>
      <c r="DW15" s="347"/>
      <c r="DX15" s="447"/>
      <c r="DY15" s="447"/>
      <c r="DZ15" s="447"/>
      <c r="EA15" s="492"/>
      <c r="EB15" s="347"/>
      <c r="EC15" s="447"/>
      <c r="ED15" s="447"/>
      <c r="EE15" s="447"/>
      <c r="EF15" s="492"/>
      <c r="EG15" s="347"/>
      <c r="EH15" s="447"/>
      <c r="EI15" s="447"/>
      <c r="EJ15" s="447"/>
      <c r="EK15" s="492"/>
      <c r="EL15" s="347"/>
      <c r="EM15" s="447"/>
      <c r="EN15" s="447"/>
      <c r="EO15" s="447"/>
      <c r="EP15" s="492"/>
      <c r="EQ15" s="347"/>
      <c r="ER15" s="447">
        <f>ER10-EP10</f>
      </c>
      <c r="ES15" s="447">
        <f>ES10-ER10</f>
      </c>
      <c r="ET15" s="447">
        <f>ET10-ES10</f>
      </c>
      <c r="EU15" s="492">
        <f>EU10-ET10</f>
      </c>
      <c r="EV15" s="347"/>
      <c r="EW15" s="447">
        <f>EW10-EU10</f>
      </c>
      <c r="EX15" s="447">
        <f>EX10-EW10</f>
      </c>
      <c r="EY15" s="447">
        <f>EY10-EX10</f>
      </c>
      <c r="EZ15" s="492">
        <f>EZ10-EY10</f>
      </c>
      <c r="FA15" s="347"/>
      <c r="FB15" s="447">
        <f>FB10-EZ10</f>
      </c>
      <c r="FC15" s="447">
        <f>FC10-FB10</f>
      </c>
      <c r="FD15" s="447">
        <f>FD10-FC10</f>
      </c>
      <c r="FE15" s="492">
        <f>FE10-FD10</f>
      </c>
      <c r="FF15" s="347"/>
      <c r="FG15" s="447">
        <f>FG10-FE10</f>
      </c>
      <c r="FH15" s="447">
        <f>FH10-FG10</f>
      </c>
      <c r="FI15" s="447">
        <f>FI10-FH10</f>
      </c>
      <c r="FJ15" s="492">
        <f>FJ10-FI10</f>
      </c>
      <c r="FK15" s="347"/>
      <c r="FL15" s="447">
        <f>FL10-FJ10</f>
      </c>
      <c r="FM15" s="447">
        <f>FM10-FL10</f>
      </c>
      <c r="FN15" s="447">
        <f>FN10-FM10</f>
      </c>
      <c r="FO15" s="492">
        <f>FO10-FN10</f>
      </c>
      <c r="FP15" s="347"/>
      <c r="FQ15" s="447">
        <f>FQ10-FO10</f>
      </c>
      <c r="FR15" s="447">
        <f>FR10-FQ10</f>
      </c>
      <c r="FS15" s="447">
        <f>FS10-FR10</f>
      </c>
      <c r="FT15" s="492">
        <f>FT10-FS10</f>
      </c>
      <c r="FU15" s="347"/>
      <c r="FV15" s="447">
        <f>FV10-FT10</f>
      </c>
      <c r="FW15" s="447">
        <f>FW10-FV10</f>
      </c>
      <c r="FX15" s="447">
        <f>FX10-FW10</f>
      </c>
      <c r="FY15" s="492">
        <f>FY10-FX10</f>
      </c>
      <c r="FZ15" s="347"/>
      <c r="GA15" s="447">
        <f>GA10-FY10</f>
      </c>
      <c r="GB15" s="447">
        <f>GB10-GA10</f>
      </c>
      <c r="GC15" s="447">
        <f>GC10-GB10</f>
      </c>
      <c r="GD15" s="492">
        <f>GD10-GC10</f>
      </c>
      <c r="GE15" s="347"/>
      <c r="GF15" s="447">
        <f>GF10-GD10</f>
      </c>
      <c r="GG15" s="447">
        <f>GG10-GF10</f>
      </c>
      <c r="GH15" s="447">
        <f>GH10-GG10</f>
      </c>
      <c r="GI15" s="492">
        <f>GI10-GH10</f>
      </c>
      <c r="GJ15" s="347"/>
    </row>
    <row r="16" spans="1:192" ht="12.75" customHeight="1">
      <c r="B16" s="727" t="s">
        <v>257</v>
      </c>
      <c r="C16" s="291"/>
      <c r="D16" s="107"/>
      <c r="E16" s="107"/>
      <c r="F16" s="107"/>
      <c r="G16" s="293"/>
      <c r="H16" s="291"/>
      <c r="I16" s="107"/>
      <c r="J16" s="107"/>
      <c r="K16" s="107"/>
      <c r="L16" s="293"/>
      <c r="M16" s="291"/>
      <c r="N16" s="107"/>
      <c r="O16" s="107"/>
      <c r="P16" s="107"/>
      <c r="Q16" s="293"/>
      <c r="R16" s="291"/>
      <c r="S16" s="107"/>
      <c r="T16" s="107"/>
      <c r="U16" s="107"/>
      <c r="V16" s="293"/>
      <c r="W16" s="291"/>
      <c r="X16" s="107"/>
      <c r="Y16" s="107"/>
      <c r="Z16" s="107"/>
      <c r="AA16" s="293"/>
      <c r="AB16" s="291"/>
      <c r="AC16" s="107"/>
      <c r="AD16" s="107"/>
      <c r="AE16" s="107"/>
      <c r="AF16" s="293"/>
      <c r="AG16" s="291"/>
      <c r="AH16" s="107"/>
      <c r="AI16" s="107"/>
      <c r="AJ16" s="107"/>
      <c r="AK16" s="293"/>
      <c r="AL16" s="291"/>
      <c r="AM16" s="107"/>
      <c r="AN16" s="107"/>
      <c r="AO16" s="107"/>
      <c r="AP16" s="293"/>
      <c r="AQ16" s="291"/>
      <c r="AR16" s="107"/>
      <c r="AS16" s="107"/>
      <c r="AT16" s="107"/>
      <c r="AU16" s="293"/>
      <c r="AV16" s="291"/>
      <c r="AW16" s="107"/>
      <c r="AX16" s="107"/>
      <c r="AY16" s="107"/>
      <c r="AZ16" s="293"/>
      <c r="BA16" s="291"/>
      <c r="BB16" s="107"/>
      <c r="BC16" s="107"/>
      <c r="BD16" s="107"/>
      <c r="BE16" s="293"/>
      <c r="BF16" s="291"/>
      <c r="BG16" s="107"/>
      <c r="BH16" s="107"/>
      <c r="BI16" s="107"/>
      <c r="BJ16" s="293"/>
      <c r="BK16" s="291"/>
      <c r="BL16" s="107"/>
      <c r="BM16" s="107"/>
      <c r="BN16" s="107"/>
      <c r="BO16" s="293"/>
      <c r="BP16" s="291"/>
      <c r="BQ16" s="107"/>
      <c r="BR16" s="107"/>
      <c r="BS16" s="107"/>
      <c r="BT16" s="293"/>
      <c r="BU16" s="291"/>
      <c r="BV16" s="107"/>
      <c r="BW16" s="107"/>
      <c r="BX16" s="107"/>
      <c r="BY16" s="293"/>
      <c r="BZ16" s="291"/>
      <c r="CA16" s="107"/>
      <c r="CB16" s="107"/>
      <c r="CC16" s="107"/>
      <c r="CD16" s="293"/>
      <c r="CE16" s="291"/>
      <c r="CF16" s="107"/>
      <c r="CG16" s="107"/>
      <c r="CH16" s="107"/>
      <c r="CI16" s="293"/>
      <c r="CJ16" s="291"/>
      <c r="CK16" s="107"/>
      <c r="CL16" s="107"/>
      <c r="CM16" s="107"/>
      <c r="CN16" s="293"/>
      <c r="CO16" s="291"/>
      <c r="CP16" s="107"/>
      <c r="CQ16" s="107"/>
      <c r="CR16" s="107"/>
      <c r="CS16" s="293"/>
      <c r="CT16" s="291"/>
      <c r="CU16" s="107"/>
      <c r="CV16" s="107"/>
      <c r="CW16" s="107"/>
      <c r="CX16" s="293"/>
      <c r="CY16" s="291"/>
      <c r="CZ16" s="107"/>
      <c r="DA16" s="107"/>
      <c r="DB16" s="107"/>
      <c r="DC16" s="293"/>
      <c r="DD16" s="291"/>
      <c r="DE16" s="107"/>
      <c r="DF16" s="107"/>
      <c r="DG16" s="107"/>
      <c r="DH16" s="293"/>
      <c r="DI16" s="291"/>
      <c r="DJ16" s="107"/>
      <c r="DK16" s="107"/>
      <c r="DL16" s="107"/>
      <c r="DM16" s="293"/>
      <c r="DN16" s="291"/>
      <c r="DO16" s="107"/>
      <c r="DP16" s="107"/>
      <c r="DQ16" s="107"/>
      <c r="DR16" s="293"/>
      <c r="DS16" s="291"/>
      <c r="DT16" s="107"/>
      <c r="DU16" s="107"/>
      <c r="DV16" s="107"/>
      <c r="DW16" s="293"/>
      <c r="DX16" s="291"/>
      <c r="DY16" s="107"/>
      <c r="DZ16" s="107"/>
      <c r="EA16" s="107"/>
      <c r="EB16" s="293"/>
      <c r="EC16" s="291"/>
      <c r="ED16" s="107"/>
      <c r="EE16" s="107"/>
      <c r="EF16" s="107"/>
      <c r="EG16" s="293"/>
      <c r="EH16" s="291"/>
      <c r="EI16" s="107"/>
      <c r="EJ16" s="107"/>
      <c r="EK16" s="107"/>
      <c r="EL16" s="293"/>
      <c r="EM16" s="291"/>
      <c r="EN16" s="291"/>
      <c r="EO16" s="291"/>
      <c r="EP16" s="291"/>
      <c r="EQ16" s="293"/>
      <c r="ER16" s="291">
        <f>ER10/IS!ER$24</f>
      </c>
      <c r="ES16" s="291">
        <f>ES10/IS!ES$24</f>
      </c>
      <c r="ET16" s="291">
        <f>ET10/IS!ET$24</f>
      </c>
      <c r="EU16" s="291">
        <f>EU10/IS!EU$24</f>
      </c>
      <c r="EV16" s="293">
        <f>EV10/IS!EV$24</f>
      </c>
      <c r="EW16" s="291">
        <f>EW10/IS!EW$24</f>
      </c>
      <c r="EX16" s="291">
        <f>EX10/IS!EX$24</f>
      </c>
      <c r="EY16" s="291">
        <f>EY10/IS!EY$24</f>
      </c>
      <c r="EZ16" s="291">
        <f>EZ10/IS!EZ$24</f>
      </c>
      <c r="FA16" s="293">
        <f>FA10/IS!FA$24</f>
      </c>
      <c r="FB16" s="291">
        <f>FB10/IS!FB$24</f>
      </c>
      <c r="FC16" s="291">
        <f>FC10/IS!FC$24</f>
      </c>
      <c r="FD16" s="291">
        <f>FD10/IS!FD$24</f>
      </c>
      <c r="FE16" s="291">
        <f>FE10/IS!FE$24</f>
      </c>
      <c r="FF16" s="293">
        <f>FF10/IS!FF$24</f>
      </c>
      <c r="FG16" s="291">
        <f>FG10/IS!FG$24</f>
      </c>
      <c r="FH16" s="291">
        <f>FH10/IS!FH$24</f>
      </c>
      <c r="FI16" s="291">
        <f>FI10/IS!FI$24</f>
      </c>
      <c r="FJ16" s="291">
        <f>FJ10/IS!FJ$24</f>
      </c>
      <c r="FK16" s="293">
        <f>FK10/IS!FK$24</f>
      </c>
      <c r="FL16" s="291">
        <f>FL10/IS!FL$24</f>
      </c>
      <c r="FM16" s="291">
        <f>FM10/IS!FM$24</f>
      </c>
      <c r="FN16" s="291">
        <f>FN10/IS!FN$24</f>
      </c>
      <c r="FO16" s="291">
        <f>FO10/IS!FO$24</f>
      </c>
      <c r="FP16" s="293">
        <f>FP10/IS!FP$24</f>
      </c>
      <c r="FQ16" s="291">
        <f>FQ10/IS!FQ$24</f>
      </c>
      <c r="FR16" s="291">
        <f>FR10/IS!FR$24</f>
      </c>
      <c r="FS16" s="291">
        <f>FS10/IS!FS$24</f>
      </c>
      <c r="FT16" s="291">
        <f>FT10/IS!FT$24</f>
      </c>
      <c r="FU16" s="293">
        <f>FU10/IS!FU$24</f>
      </c>
      <c r="FV16" s="291">
        <f>FV10/IS!FV$24</f>
      </c>
      <c r="FW16" s="291">
        <f>FW10/IS!FW$24</f>
      </c>
      <c r="FX16" s="291">
        <f>FX10/IS!FX$24</f>
      </c>
      <c r="FY16" s="291">
        <f>FY10/IS!FY$24</f>
      </c>
      <c r="FZ16" s="293">
        <f>FZ10/IS!FZ$24</f>
      </c>
      <c r="GA16" s="291">
        <f>GA10/IS!GA$24</f>
      </c>
      <c r="GB16" s="107">
        <f>GB10/IS!GB$24</f>
      </c>
      <c r="GC16" s="107">
        <f>GC10/IS!GC$24</f>
      </c>
      <c r="GD16" s="107">
        <f>GD10/IS!GD$24</f>
      </c>
      <c r="GE16" s="293">
        <f>GE10/IS!GE$24</f>
      </c>
      <c r="GF16" s="291">
        <f>GF10/IS!GF$24</f>
      </c>
      <c r="GG16" s="107">
        <f>GG10/IS!GG$24</f>
      </c>
      <c r="GH16" s="107">
        <f>GH10/IS!GH$24</f>
      </c>
      <c r="GI16" s="107">
        <f>GI10/IS!GI$24</f>
      </c>
      <c r="GJ16" s="293">
        <f>GJ10/IS!GJ$24</f>
      </c>
    </row>
    <row r="17" spans="1:192" ht="12.75" customHeight="1">
      <c r="B17" s="727"/>
      <c r="C17" s="291"/>
      <c r="D17" s="107"/>
      <c r="E17" s="107"/>
      <c r="F17" s="107"/>
      <c r="G17" s="293"/>
      <c r="H17" s="291"/>
      <c r="I17" s="107"/>
      <c r="J17" s="107"/>
      <c r="K17" s="107"/>
      <c r="L17" s="293"/>
      <c r="M17" s="291"/>
      <c r="N17" s="107"/>
      <c r="O17" s="107"/>
      <c r="P17" s="107"/>
      <c r="Q17" s="293"/>
      <c r="R17" s="291"/>
      <c r="S17" s="107"/>
      <c r="T17" s="107"/>
      <c r="U17" s="107"/>
      <c r="V17" s="293"/>
      <c r="W17" s="291"/>
      <c r="X17" s="107"/>
      <c r="Y17" s="107"/>
      <c r="Z17" s="107"/>
      <c r="AA17" s="293"/>
      <c r="AB17" s="291"/>
      <c r="AC17" s="107"/>
      <c r="AD17" s="107"/>
      <c r="AE17" s="107"/>
      <c r="AF17" s="293"/>
      <c r="AG17" s="291"/>
      <c r="AH17" s="107"/>
      <c r="AI17" s="107"/>
      <c r="AJ17" s="107"/>
      <c r="AK17" s="293"/>
      <c r="AL17" s="291"/>
      <c r="AM17" s="107"/>
      <c r="AN17" s="107"/>
      <c r="AO17" s="107"/>
      <c r="AP17" s="293"/>
      <c r="AQ17" s="291"/>
      <c r="AR17" s="107"/>
      <c r="AS17" s="107"/>
      <c r="AT17" s="107"/>
      <c r="AU17" s="293"/>
      <c r="AV17" s="291"/>
      <c r="AW17" s="107"/>
      <c r="AX17" s="107"/>
      <c r="AY17" s="107"/>
      <c r="AZ17" s="293"/>
      <c r="BA17" s="291"/>
      <c r="BB17" s="107"/>
      <c r="BC17" s="107"/>
      <c r="BD17" s="107"/>
      <c r="BE17" s="293"/>
      <c r="BF17" s="291"/>
      <c r="BG17" s="107"/>
      <c r="BH17" s="107"/>
      <c r="BI17" s="107"/>
      <c r="BJ17" s="293"/>
      <c r="BK17" s="291"/>
      <c r="BL17" s="107"/>
      <c r="BM17" s="107"/>
      <c r="BN17" s="107"/>
      <c r="BO17" s="293"/>
      <c r="BP17" s="291"/>
      <c r="BQ17" s="107"/>
      <c r="BR17" s="107"/>
      <c r="BS17" s="107"/>
      <c r="BT17" s="293"/>
      <c r="BU17" s="291"/>
      <c r="BV17" s="107"/>
      <c r="BW17" s="107"/>
      <c r="BX17" s="107"/>
      <c r="BY17" s="293"/>
      <c r="BZ17" s="291"/>
      <c r="CA17" s="107"/>
      <c r="CB17" s="107"/>
      <c r="CC17" s="107"/>
      <c r="CD17" s="293"/>
      <c r="CE17" s="291"/>
      <c r="CF17" s="107"/>
      <c r="CG17" s="107"/>
      <c r="CH17" s="107"/>
      <c r="CI17" s="293"/>
      <c r="CJ17" s="291"/>
      <c r="CK17" s="107"/>
      <c r="CL17" s="107"/>
      <c r="CM17" s="107"/>
      <c r="CN17" s="293"/>
      <c r="CO17" s="291"/>
      <c r="CP17" s="107"/>
      <c r="CQ17" s="107"/>
      <c r="CR17" s="107"/>
      <c r="CS17" s="293"/>
      <c r="CT17" s="291"/>
      <c r="CU17" s="107"/>
      <c r="CV17" s="107"/>
      <c r="CW17" s="107"/>
      <c r="CX17" s="293"/>
      <c r="CY17" s="291"/>
      <c r="CZ17" s="107"/>
      <c r="DA17" s="107"/>
      <c r="DB17" s="107"/>
      <c r="DC17" s="293"/>
      <c r="DD17" s="291"/>
      <c r="DE17" s="107"/>
      <c r="DF17" s="107"/>
      <c r="DG17" s="107"/>
      <c r="DH17" s="293"/>
      <c r="DI17" s="291"/>
      <c r="DJ17" s="107"/>
      <c r="DK17" s="107"/>
      <c r="DL17" s="107"/>
      <c r="DM17" s="293"/>
      <c r="DN17" s="291"/>
      <c r="DO17" s="107"/>
      <c r="DP17" s="107"/>
      <c r="DQ17" s="107"/>
      <c r="DR17" s="293"/>
      <c r="DS17" s="291"/>
      <c r="DT17" s="107"/>
      <c r="DU17" s="107"/>
      <c r="DV17" s="107"/>
      <c r="DW17" s="293"/>
      <c r="DX17" s="291"/>
      <c r="DY17" s="107"/>
      <c r="DZ17" s="107"/>
      <c r="EA17" s="107"/>
      <c r="EB17" s="293"/>
      <c r="EC17" s="291"/>
      <c r="ED17" s="107"/>
      <c r="EE17" s="107"/>
      <c r="EF17" s="107"/>
      <c r="EG17" s="293"/>
      <c r="EH17" s="291"/>
      <c r="EI17" s="107"/>
      <c r="EJ17" s="107"/>
      <c r="EK17" s="107"/>
      <c r="EL17" s="293"/>
      <c r="EM17" s="291"/>
      <c r="EN17" s="107"/>
      <c r="EO17" s="107"/>
      <c r="EP17" s="107"/>
      <c r="EQ17" s="293"/>
      <c r="ER17" s="291"/>
      <c r="ES17" s="107"/>
      <c r="ET17" s="107"/>
      <c r="EU17" s="107"/>
      <c r="EV17" s="293"/>
      <c r="EW17" s="291"/>
      <c r="EX17" s="107"/>
      <c r="EY17" s="107"/>
      <c r="EZ17" s="107"/>
      <c r="FA17" s="293"/>
      <c r="FB17" s="291"/>
      <c r="FC17" s="107"/>
      <c r="FD17" s="107"/>
      <c r="FE17" s="107"/>
      <c r="FF17" s="293"/>
      <c r="FG17" s="291"/>
      <c r="FH17" s="107"/>
      <c r="FI17" s="107"/>
      <c r="FJ17" s="107"/>
      <c r="FK17" s="293"/>
      <c r="FL17" s="291"/>
      <c r="FM17" s="107"/>
      <c r="FN17" s="107"/>
      <c r="FO17" s="107"/>
      <c r="FP17" s="293"/>
      <c r="FQ17" s="291"/>
      <c r="FR17" s="107"/>
      <c r="FS17" s="107"/>
      <c r="FT17" s="107"/>
      <c r="FU17" s="293"/>
      <c r="FV17" s="291"/>
      <c r="FW17" s="107"/>
      <c r="FX17" s="107"/>
      <c r="FY17" s="107"/>
      <c r="FZ17" s="293"/>
      <c r="GA17" s="291"/>
      <c r="GB17" s="107"/>
      <c r="GC17" s="107"/>
      <c r="GD17" s="107"/>
      <c r="GE17" s="293"/>
      <c r="GF17" s="291"/>
      <c r="GG17" s="107"/>
      <c r="GH17" s="107"/>
      <c r="GI17" s="107"/>
      <c r="GJ17" s="293"/>
    </row>
    <row r="18" spans="1:192" s="1717" customFormat="1" ht="12.75" customHeight="1">
      <c r="A18" s="280"/>
      <c r="B18" s="730" t="s">
        <v>2082</v>
      </c>
      <c r="C18" s="316"/>
      <c r="D18" s="316"/>
      <c r="E18" s="316"/>
      <c r="F18" s="316"/>
      <c r="G18" s="453"/>
      <c r="H18" s="316"/>
      <c r="I18" s="316"/>
      <c r="J18" s="316"/>
      <c r="K18" s="316"/>
      <c r="L18" s="453"/>
      <c r="M18" s="316"/>
      <c r="N18" s="316"/>
      <c r="O18" s="316"/>
      <c r="P18" s="316"/>
      <c r="Q18" s="453"/>
      <c r="R18" s="316"/>
      <c r="S18" s="316"/>
      <c r="T18" s="316"/>
      <c r="U18" s="316"/>
      <c r="V18" s="453"/>
      <c r="W18" s="316"/>
      <c r="X18" s="316"/>
      <c r="Y18" s="316"/>
      <c r="Z18" s="316"/>
      <c r="AA18" s="453"/>
      <c r="AB18" s="316"/>
      <c r="AC18" s="316"/>
      <c r="AD18" s="316"/>
      <c r="AE18" s="316"/>
      <c r="AF18" s="453"/>
      <c r="AG18" s="316"/>
      <c r="AH18" s="316"/>
      <c r="AI18" s="316"/>
      <c r="AJ18" s="316"/>
      <c r="AK18" s="453"/>
      <c r="AL18" s="316"/>
      <c r="AM18" s="316"/>
      <c r="AN18" s="316"/>
      <c r="AO18" s="316"/>
      <c r="AP18" s="453"/>
      <c r="AQ18" s="316"/>
      <c r="AR18" s="316"/>
      <c r="AS18" s="316"/>
      <c r="AT18" s="316"/>
      <c r="AU18" s="453"/>
      <c r="AV18" s="316"/>
      <c r="AW18" s="316"/>
      <c r="AX18" s="316"/>
      <c r="AY18" s="316"/>
      <c r="AZ18" s="453"/>
      <c r="BA18" s="316"/>
      <c r="BB18" s="316"/>
      <c r="BC18" s="316"/>
      <c r="BD18" s="316"/>
      <c r="BE18" s="453"/>
      <c r="BF18" s="316"/>
      <c r="BG18" s="316"/>
      <c r="BH18" s="316"/>
      <c r="BI18" s="316"/>
      <c r="BJ18" s="453"/>
      <c r="BK18" s="316"/>
      <c r="BL18" s="316"/>
      <c r="BM18" s="316"/>
      <c r="BN18" s="316"/>
      <c r="BO18" s="453"/>
      <c r="BP18" s="316"/>
      <c r="BQ18" s="316"/>
      <c r="BR18" s="316"/>
      <c r="BS18" s="316"/>
      <c r="BT18" s="453"/>
      <c r="BU18" s="316"/>
      <c r="BV18" s="316"/>
      <c r="BW18" s="316"/>
      <c r="BX18" s="316"/>
      <c r="BY18" s="453"/>
      <c r="BZ18" s="316"/>
      <c r="CA18" s="316"/>
      <c r="CB18" s="316"/>
      <c r="CC18" s="316"/>
      <c r="CD18" s="453"/>
      <c r="CE18" s="316"/>
      <c r="CF18" s="316"/>
      <c r="CG18" s="316"/>
      <c r="CH18" s="316"/>
      <c r="CI18" s="453"/>
      <c r="CJ18" s="316"/>
      <c r="CK18" s="316"/>
      <c r="CL18" s="316"/>
      <c r="CM18" s="316"/>
      <c r="CN18" s="453"/>
      <c r="CO18" s="316"/>
      <c r="CP18" s="316"/>
      <c r="CQ18" s="316"/>
      <c r="CR18" s="316"/>
      <c r="CS18" s="453"/>
      <c r="CT18" s="316"/>
      <c r="CU18" s="316"/>
      <c r="CV18" s="316"/>
      <c r="CW18" s="316"/>
      <c r="CX18" s="453"/>
      <c r="CY18" s="316"/>
      <c r="CZ18" s="316"/>
      <c r="DA18" s="316"/>
      <c r="DB18" s="316"/>
      <c r="DC18" s="453"/>
      <c r="DD18" s="316"/>
      <c r="DE18" s="316"/>
      <c r="DF18" s="316"/>
      <c r="DG18" s="316"/>
      <c r="DH18" s="453"/>
      <c r="DI18" s="316"/>
      <c r="DJ18" s="316"/>
      <c r="DK18" s="316"/>
      <c r="DL18" s="316"/>
      <c r="DM18" s="453"/>
      <c r="DN18" s="316"/>
      <c r="DO18" s="316"/>
      <c r="DP18" s="316"/>
      <c r="DQ18" s="316"/>
      <c r="DR18" s="453"/>
      <c r="DS18" s="316"/>
      <c r="DT18" s="316"/>
      <c r="DU18" s="316"/>
      <c r="DV18" s="316"/>
      <c r="DW18" s="453"/>
      <c r="DX18" s="316"/>
      <c r="DY18" s="316"/>
      <c r="DZ18" s="316"/>
      <c r="EA18" s="316"/>
      <c r="EB18" s="453"/>
      <c r="EC18" s="316"/>
      <c r="ED18" s="316"/>
      <c r="EE18" s="316"/>
      <c r="EF18" s="316"/>
      <c r="EG18" s="453"/>
      <c r="EH18" s="316"/>
      <c r="EI18" s="316"/>
      <c r="EJ18" s="316"/>
      <c r="EK18" s="316"/>
      <c r="EL18" s="453"/>
      <c r="EM18" s="316"/>
      <c r="EN18" s="316"/>
      <c r="EO18" s="316"/>
      <c r="EP18" s="316"/>
      <c r="EQ18" s="453"/>
      <c r="ER18" s="316"/>
      <c r="ES18" s="316"/>
      <c r="ET18" s="316"/>
      <c r="EU18" s="316"/>
      <c r="EV18" s="453">
        <v>19611</v>
      </c>
      <c r="EW18" s="316"/>
      <c r="EX18" s="316"/>
      <c r="EY18" s="316"/>
      <c r="EZ18" s="316"/>
      <c r="FA18" s="453">
        <v>22422</v>
      </c>
      <c r="FB18" s="316"/>
      <c r="FC18" s="316"/>
      <c r="FD18" s="316"/>
      <c r="FE18" s="316"/>
      <c r="FF18" s="453"/>
      <c r="FG18" s="316"/>
      <c r="FH18" s="316"/>
      <c r="FI18" s="316"/>
      <c r="FJ18" s="316"/>
      <c r="FK18" s="453"/>
      <c r="FL18" s="316"/>
      <c r="FM18" s="316"/>
      <c r="FN18" s="316"/>
      <c r="FO18" s="316"/>
      <c r="FP18" s="453"/>
      <c r="FQ18" s="316"/>
      <c r="FR18" s="316"/>
      <c r="FS18" s="316"/>
      <c r="FT18" s="316"/>
      <c r="FU18" s="453"/>
      <c r="FV18" s="316"/>
      <c r="FW18" s="316"/>
      <c r="FX18" s="316"/>
      <c r="FY18" s="316"/>
      <c r="FZ18" s="453"/>
      <c r="GA18" s="316"/>
      <c r="GB18" s="316"/>
      <c r="GC18" s="316"/>
      <c r="GD18" s="316"/>
      <c r="GE18" s="453"/>
      <c r="GF18" s="316"/>
      <c r="GG18" s="316"/>
      <c r="GH18" s="316"/>
      <c r="GI18" s="316"/>
      <c r="GJ18" s="453"/>
    </row>
    <row r="19" spans="1:192" ht="12.75" customHeight="1">
      <c r="B19" s="727" t="s">
        <v>34</v>
      </c>
      <c r="C19" s="291"/>
      <c r="D19" s="107"/>
      <c r="E19" s="107"/>
      <c r="F19" s="107"/>
      <c r="G19" s="292"/>
      <c r="H19" s="291"/>
      <c r="I19" s="107"/>
      <c r="J19" s="107"/>
      <c r="K19" s="107"/>
      <c r="L19" s="292"/>
      <c r="M19" s="291"/>
      <c r="N19" s="107"/>
      <c r="O19" s="107"/>
      <c r="P19" s="107"/>
      <c r="Q19" s="292"/>
      <c r="R19" s="291"/>
      <c r="S19" s="107"/>
      <c r="T19" s="107"/>
      <c r="U19" s="107"/>
      <c r="V19" s="292"/>
      <c r="W19" s="291"/>
      <c r="X19" s="107"/>
      <c r="Y19" s="107"/>
      <c r="Z19" s="107"/>
      <c r="AA19" s="292"/>
      <c r="AB19" s="291"/>
      <c r="AC19" s="107"/>
      <c r="AD19" s="107"/>
      <c r="AE19" s="107"/>
      <c r="AF19" s="292"/>
      <c r="AG19" s="291"/>
      <c r="AH19" s="107"/>
      <c r="AI19" s="107"/>
      <c r="AJ19" s="107"/>
      <c r="AK19" s="292"/>
      <c r="AL19" s="291"/>
      <c r="AM19" s="107"/>
      <c r="AN19" s="107"/>
      <c r="AO19" s="107"/>
      <c r="AP19" s="292"/>
      <c r="AQ19" s="291"/>
      <c r="AR19" s="107"/>
      <c r="AS19" s="107"/>
      <c r="AT19" s="107"/>
      <c r="AU19" s="292"/>
      <c r="AV19" s="291"/>
      <c r="AW19" s="107"/>
      <c r="AX19" s="107"/>
      <c r="AY19" s="107"/>
      <c r="AZ19" s="292"/>
      <c r="BA19" s="291"/>
      <c r="BB19" s="107"/>
      <c r="BC19" s="107"/>
      <c r="BD19" s="107"/>
      <c r="BE19" s="292"/>
      <c r="BF19" s="291"/>
      <c r="BG19" s="107"/>
      <c r="BH19" s="107"/>
      <c r="BI19" s="107"/>
      <c r="BJ19" s="292"/>
      <c r="BK19" s="291"/>
      <c r="BL19" s="107"/>
      <c r="BM19" s="107"/>
      <c r="BN19" s="107"/>
      <c r="BO19" s="292"/>
      <c r="BP19" s="291"/>
      <c r="BQ19" s="107"/>
      <c r="BR19" s="107"/>
      <c r="BS19" s="107"/>
      <c r="BT19" s="292"/>
      <c r="BU19" s="291"/>
      <c r="BV19" s="107"/>
      <c r="BW19" s="107"/>
      <c r="BX19" s="107"/>
      <c r="BY19" s="292"/>
      <c r="BZ19" s="291"/>
      <c r="CA19" s="107"/>
      <c r="CB19" s="107"/>
      <c r="CC19" s="107"/>
      <c r="CD19" s="292"/>
      <c r="CE19" s="291"/>
      <c r="CF19" s="107"/>
      <c r="CG19" s="107"/>
      <c r="CH19" s="107"/>
      <c r="CI19" s="292"/>
      <c r="CJ19" s="291"/>
      <c r="CK19" s="107"/>
      <c r="CL19" s="107"/>
      <c r="CM19" s="107"/>
      <c r="CN19" s="292"/>
      <c r="CO19" s="291"/>
      <c r="CP19" s="107"/>
      <c r="CQ19" s="107"/>
      <c r="CR19" s="107"/>
      <c r="CS19" s="292"/>
      <c r="CT19" s="291"/>
      <c r="CU19" s="107"/>
      <c r="CV19" s="107"/>
      <c r="CW19" s="107"/>
      <c r="CX19" s="292"/>
      <c r="CY19" s="291"/>
      <c r="CZ19" s="107"/>
      <c r="DA19" s="107"/>
      <c r="DB19" s="107"/>
      <c r="DC19" s="292"/>
      <c r="DD19" s="412"/>
      <c r="DE19" s="114"/>
      <c r="DF19" s="114"/>
      <c r="DG19" s="114"/>
      <c r="DH19" s="292"/>
      <c r="DI19" s="412"/>
      <c r="DJ19" s="114"/>
      <c r="DK19" s="114"/>
      <c r="DL19" s="114"/>
      <c r="DM19" s="292"/>
      <c r="DN19" s="412"/>
      <c r="DO19" s="114"/>
      <c r="DP19" s="114"/>
      <c r="DQ19" s="114"/>
      <c r="DR19" s="292"/>
      <c r="DS19" s="412"/>
      <c r="DT19" s="114"/>
      <c r="DU19" s="114"/>
      <c r="DV19" s="114"/>
      <c r="DW19" s="292"/>
      <c r="DX19" s="412"/>
      <c r="DY19" s="114"/>
      <c r="DZ19" s="114"/>
      <c r="EA19" s="114"/>
      <c r="EB19" s="292"/>
      <c r="EC19" s="412"/>
      <c r="ED19" s="114"/>
      <c r="EE19" s="114"/>
      <c r="EF19" s="114"/>
      <c r="EG19" s="292"/>
      <c r="EH19" s="412"/>
      <c r="EI19" s="114"/>
      <c r="EJ19" s="114"/>
      <c r="EK19" s="114"/>
      <c r="EL19" s="413"/>
      <c r="EM19" s="412"/>
      <c r="EN19" s="114"/>
      <c r="EO19" s="114"/>
      <c r="EP19" s="114"/>
      <c r="EQ19" s="292"/>
      <c r="ER19" s="412"/>
      <c r="ES19" s="114"/>
      <c r="ET19" s="439"/>
      <c r="EU19" s="439"/>
      <c r="EV19" s="292"/>
      <c r="EW19" s="441"/>
      <c r="EX19" s="439"/>
      <c r="EY19" s="439"/>
      <c r="EZ19" s="439"/>
      <c r="FA19" s="292">
        <f>FA18/EV18-1</f>
      </c>
      <c r="FB19" s="291"/>
      <c r="FC19" s="107"/>
      <c r="FD19" s="107"/>
      <c r="FE19" s="107"/>
      <c r="FF19" s="292"/>
      <c r="FG19" s="291"/>
      <c r="FH19" s="107"/>
      <c r="FI19" s="107"/>
      <c r="FJ19" s="107"/>
      <c r="FK19" s="292"/>
      <c r="FL19" s="291"/>
      <c r="FM19" s="107"/>
      <c r="FN19" s="107"/>
      <c r="FO19" s="107"/>
      <c r="FP19" s="292"/>
      <c r="FQ19" s="291"/>
      <c r="FR19" s="107"/>
      <c r="FS19" s="107"/>
      <c r="FT19" s="107"/>
      <c r="FU19" s="292"/>
      <c r="FV19" s="291"/>
      <c r="FW19" s="107"/>
      <c r="FX19" s="107"/>
      <c r="FY19" s="107"/>
      <c r="FZ19" s="292"/>
      <c r="GA19" s="291"/>
      <c r="GB19" s="107"/>
      <c r="GC19" s="107"/>
      <c r="GD19" s="107"/>
      <c r="GE19" s="292"/>
      <c r="GF19" s="291"/>
      <c r="GG19" s="107"/>
      <c r="GH19" s="107"/>
      <c r="GI19" s="107"/>
      <c r="GJ19" s="292"/>
    </row>
    <row r="20" spans="1:192" ht="12.75" customHeight="1">
      <c r="B20" s="727" t="s">
        <v>36</v>
      </c>
      <c r="C20" s="291"/>
      <c r="D20" s="107"/>
      <c r="E20" s="107"/>
      <c r="F20" s="107"/>
      <c r="G20" s="293"/>
      <c r="H20" s="291"/>
      <c r="I20" s="107"/>
      <c r="J20" s="107"/>
      <c r="K20" s="107"/>
      <c r="L20" s="293"/>
      <c r="M20" s="291"/>
      <c r="N20" s="107"/>
      <c r="O20" s="107"/>
      <c r="P20" s="107"/>
      <c r="Q20" s="293"/>
      <c r="R20" s="291"/>
      <c r="S20" s="107"/>
      <c r="T20" s="107"/>
      <c r="U20" s="107"/>
      <c r="V20" s="293"/>
      <c r="W20" s="291"/>
      <c r="X20" s="107"/>
      <c r="Y20" s="107"/>
      <c r="Z20" s="107"/>
      <c r="AA20" s="293"/>
      <c r="AB20" s="291"/>
      <c r="AC20" s="107"/>
      <c r="AD20" s="107"/>
      <c r="AE20" s="107"/>
      <c r="AF20" s="293"/>
      <c r="AG20" s="291"/>
      <c r="AH20" s="107"/>
      <c r="AI20" s="107"/>
      <c r="AJ20" s="107"/>
      <c r="AK20" s="293"/>
      <c r="AL20" s="291"/>
      <c r="AM20" s="107"/>
      <c r="AN20" s="107"/>
      <c r="AO20" s="107"/>
      <c r="AP20" s="293"/>
      <c r="AQ20" s="291"/>
      <c r="AR20" s="107"/>
      <c r="AS20" s="107"/>
      <c r="AT20" s="107"/>
      <c r="AU20" s="293"/>
      <c r="AV20" s="291"/>
      <c r="AW20" s="107"/>
      <c r="AX20" s="107"/>
      <c r="AY20" s="107"/>
      <c r="AZ20" s="293"/>
      <c r="BA20" s="291"/>
      <c r="BB20" s="107"/>
      <c r="BC20" s="107"/>
      <c r="BD20" s="107"/>
      <c r="BE20" s="293"/>
      <c r="BF20" s="291"/>
      <c r="BG20" s="107"/>
      <c r="BH20" s="107"/>
      <c r="BI20" s="107"/>
      <c r="BJ20" s="293"/>
      <c r="BK20" s="291"/>
      <c r="BL20" s="107"/>
      <c r="BM20" s="107"/>
      <c r="BN20" s="107"/>
      <c r="BO20" s="293"/>
      <c r="BP20" s="291"/>
      <c r="BQ20" s="107"/>
      <c r="BR20" s="107"/>
      <c r="BS20" s="107"/>
      <c r="BT20" s="293"/>
      <c r="BU20" s="291"/>
      <c r="BV20" s="107"/>
      <c r="BW20" s="107"/>
      <c r="BX20" s="107"/>
      <c r="BY20" s="293"/>
      <c r="BZ20" s="291"/>
      <c r="CA20" s="107"/>
      <c r="CB20" s="107"/>
      <c r="CC20" s="107"/>
      <c r="CD20" s="293"/>
      <c r="CE20" s="291"/>
      <c r="CF20" s="107"/>
      <c r="CG20" s="107"/>
      <c r="CH20" s="107"/>
      <c r="CI20" s="293"/>
      <c r="CJ20" s="291"/>
      <c r="CK20" s="107"/>
      <c r="CL20" s="107"/>
      <c r="CM20" s="107"/>
      <c r="CN20" s="293"/>
      <c r="CO20" s="291"/>
      <c r="CP20" s="107"/>
      <c r="CQ20" s="107"/>
      <c r="CR20" s="107"/>
      <c r="CS20" s="293"/>
      <c r="CT20" s="291"/>
      <c r="CU20" s="107"/>
      <c r="CV20" s="107"/>
      <c r="CW20" s="107"/>
      <c r="CX20" s="293"/>
      <c r="CY20" s="291"/>
      <c r="CZ20" s="107"/>
      <c r="DA20" s="107"/>
      <c r="DB20" s="107"/>
      <c r="DC20" s="293"/>
      <c r="DD20" s="291"/>
      <c r="DE20" s="107"/>
      <c r="DF20" s="107"/>
      <c r="DG20" s="107"/>
      <c r="DH20" s="293"/>
      <c r="DI20" s="291"/>
      <c r="DJ20" s="107"/>
      <c r="DK20" s="107"/>
      <c r="DL20" s="107"/>
      <c r="DM20" s="293"/>
      <c r="DN20" s="291"/>
      <c r="DO20" s="107"/>
      <c r="DP20" s="107"/>
      <c r="DQ20" s="107"/>
      <c r="DR20" s="293"/>
      <c r="DS20" s="291"/>
      <c r="DT20" s="107"/>
      <c r="DU20" s="107"/>
      <c r="DV20" s="107"/>
      <c r="DW20" s="293"/>
      <c r="DX20" s="291"/>
      <c r="DY20" s="107"/>
      <c r="DZ20" s="107"/>
      <c r="EA20" s="107"/>
      <c r="EB20" s="293"/>
      <c r="EC20" s="291"/>
      <c r="ED20" s="107"/>
      <c r="EE20" s="107"/>
      <c r="EF20" s="107"/>
      <c r="EG20" s="293"/>
      <c r="EH20" s="291"/>
      <c r="EI20" s="107"/>
      <c r="EJ20" s="107"/>
      <c r="EK20" s="107"/>
      <c r="EL20" s="293"/>
      <c r="EM20" s="291"/>
      <c r="EN20" s="107"/>
      <c r="EO20" s="107"/>
      <c r="EP20" s="107"/>
      <c r="EQ20" s="293"/>
      <c r="ER20" s="291"/>
      <c r="ES20" s="107"/>
      <c r="ET20" s="107"/>
      <c r="EU20" s="468"/>
      <c r="EV20" s="293"/>
      <c r="EW20" s="291"/>
      <c r="EX20" s="107"/>
      <c r="EY20" s="114"/>
      <c r="EZ20" s="107"/>
      <c r="FA20" s="293"/>
      <c r="FB20" s="291"/>
      <c r="FC20" s="107"/>
      <c r="FD20" s="107"/>
      <c r="FE20" s="107"/>
      <c r="FF20" s="293"/>
      <c r="FG20" s="291"/>
      <c r="FH20" s="107"/>
      <c r="FI20" s="107"/>
      <c r="FJ20" s="107"/>
      <c r="FK20" s="293"/>
      <c r="FL20" s="291"/>
      <c r="FM20" s="107"/>
      <c r="FN20" s="107"/>
      <c r="FO20" s="107"/>
      <c r="FP20" s="293"/>
      <c r="FQ20" s="291"/>
      <c r="FR20" s="107"/>
      <c r="FS20" s="107"/>
      <c r="FT20" s="107"/>
      <c r="FU20" s="293"/>
      <c r="FV20" s="291"/>
      <c r="FW20" s="107"/>
      <c r="FX20" s="107"/>
      <c r="FY20" s="107"/>
      <c r="FZ20" s="293"/>
      <c r="GA20" s="291"/>
      <c r="GB20" s="107"/>
      <c r="GC20" s="107"/>
      <c r="GD20" s="107"/>
      <c r="GE20" s="293"/>
      <c r="GF20" s="291"/>
      <c r="GG20" s="107"/>
      <c r="GH20" s="107"/>
      <c r="GI20" s="107"/>
      <c r="GJ20" s="293"/>
    </row>
    <row r="21" spans="1:192" s="461" customFormat="1" ht="12.75" customHeight="1">
      <c r="A21" s="370"/>
      <c r="B21" s="1718" t="s">
        <v>2083</v>
      </c>
      <c r="C21" s="447"/>
      <c r="D21" s="458"/>
      <c r="E21" s="458"/>
      <c r="F21" s="458"/>
      <c r="G21" s="459"/>
      <c r="H21" s="447"/>
      <c r="I21" s="458"/>
      <c r="J21" s="458"/>
      <c r="K21" s="458"/>
      <c r="L21" s="459"/>
      <c r="M21" s="447"/>
      <c r="N21" s="458"/>
      <c r="O21" s="458"/>
      <c r="P21" s="458"/>
      <c r="Q21" s="459"/>
      <c r="R21" s="447"/>
      <c r="S21" s="458"/>
      <c r="T21" s="458"/>
      <c r="U21" s="458"/>
      <c r="V21" s="459"/>
      <c r="W21" s="447"/>
      <c r="X21" s="458"/>
      <c r="Y21" s="458"/>
      <c r="Z21" s="458"/>
      <c r="AA21" s="459"/>
      <c r="AB21" s="447"/>
      <c r="AC21" s="458"/>
      <c r="AD21" s="458"/>
      <c r="AE21" s="458"/>
      <c r="AF21" s="459"/>
      <c r="AG21" s="447"/>
      <c r="AH21" s="458"/>
      <c r="AI21" s="458"/>
      <c r="AJ21" s="458"/>
      <c r="AK21" s="459"/>
      <c r="AL21" s="447"/>
      <c r="AM21" s="458"/>
      <c r="AN21" s="458"/>
      <c r="AO21" s="458"/>
      <c r="AP21" s="459"/>
      <c r="AQ21" s="447"/>
      <c r="AR21" s="458"/>
      <c r="AS21" s="458"/>
      <c r="AT21" s="458"/>
      <c r="AU21" s="459"/>
      <c r="AV21" s="447"/>
      <c r="AW21" s="458"/>
      <c r="AX21" s="458"/>
      <c r="AY21" s="458"/>
      <c r="AZ21" s="459"/>
      <c r="BA21" s="447"/>
      <c r="BB21" s="458"/>
      <c r="BC21" s="458"/>
      <c r="BD21" s="458"/>
      <c r="BE21" s="459"/>
      <c r="BF21" s="447"/>
      <c r="BG21" s="458"/>
      <c r="BH21" s="458"/>
      <c r="BI21" s="458"/>
      <c r="BJ21" s="459"/>
      <c r="BK21" s="447"/>
      <c r="BL21" s="458"/>
      <c r="BM21" s="458"/>
      <c r="BN21" s="458"/>
      <c r="BO21" s="459"/>
      <c r="BP21" s="447"/>
      <c r="BQ21" s="458"/>
      <c r="BR21" s="458"/>
      <c r="BS21" s="458"/>
      <c r="BT21" s="459"/>
      <c r="BU21" s="447"/>
      <c r="BV21" s="458"/>
      <c r="BW21" s="458"/>
      <c r="BX21" s="458"/>
      <c r="BY21" s="459"/>
      <c r="BZ21" s="447"/>
      <c r="CA21" s="458"/>
      <c r="CB21" s="458"/>
      <c r="CC21" s="458"/>
      <c r="CD21" s="459"/>
      <c r="CE21" s="447"/>
      <c r="CF21" s="458"/>
      <c r="CG21" s="458"/>
      <c r="CH21" s="458"/>
      <c r="CI21" s="459"/>
      <c r="CJ21" s="447"/>
      <c r="CK21" s="458"/>
      <c r="CL21" s="458"/>
      <c r="CM21" s="458"/>
      <c r="CN21" s="459"/>
      <c r="CO21" s="447"/>
      <c r="CP21" s="458"/>
      <c r="CQ21" s="458"/>
      <c r="CR21" s="458"/>
      <c r="CS21" s="459"/>
      <c r="CT21" s="447"/>
      <c r="CU21" s="458"/>
      <c r="CV21" s="458"/>
      <c r="CW21" s="458"/>
      <c r="CX21" s="459"/>
      <c r="CY21" s="447"/>
      <c r="CZ21" s="447"/>
      <c r="DA21" s="447"/>
      <c r="DB21" s="447"/>
      <c r="DC21" s="462"/>
      <c r="DD21" s="447"/>
      <c r="DE21" s="447"/>
      <c r="DF21" s="447"/>
      <c r="DG21" s="447"/>
      <c r="DH21" s="462"/>
      <c r="DI21" s="447"/>
      <c r="DJ21" s="447"/>
      <c r="DK21" s="447"/>
      <c r="DL21" s="447"/>
      <c r="DM21" s="462"/>
      <c r="DN21" s="447"/>
      <c r="DO21" s="447"/>
      <c r="DP21" s="447"/>
      <c r="DQ21" s="447"/>
      <c r="DR21" s="462"/>
      <c r="DS21" s="447"/>
      <c r="DT21" s="447"/>
      <c r="DU21" s="447"/>
      <c r="DV21" s="447"/>
      <c r="DW21" s="462"/>
      <c r="DX21" s="447"/>
      <c r="DY21" s="447"/>
      <c r="DZ21" s="447"/>
      <c r="EA21" s="447"/>
      <c r="EB21" s="462"/>
      <c r="EC21" s="447"/>
      <c r="ED21" s="447"/>
      <c r="EE21" s="447"/>
      <c r="EF21" s="447"/>
      <c r="EG21" s="462"/>
      <c r="EH21" s="447"/>
      <c r="EI21" s="447"/>
      <c r="EJ21" s="447"/>
      <c r="EK21" s="447"/>
      <c r="EL21" s="494"/>
      <c r="EM21" s="448"/>
      <c r="EN21" s="448"/>
      <c r="EO21" s="448"/>
      <c r="EP21" s="458"/>
      <c r="EQ21" s="494"/>
      <c r="ER21" s="448"/>
      <c r="ES21" s="496"/>
      <c r="ET21" s="815"/>
      <c r="EU21" s="458"/>
      <c r="EV21" s="494"/>
      <c r="EW21" s="496"/>
      <c r="EX21" s="496"/>
      <c r="EY21" s="496"/>
      <c r="EZ21" s="815"/>
      <c r="FA21" s="459">
        <f>FA18-EV18</f>
      </c>
      <c r="FB21" s="447"/>
      <c r="FC21" s="458"/>
      <c r="FD21" s="458"/>
      <c r="FE21" s="458"/>
      <c r="FF21" s="459"/>
      <c r="FG21" s="447"/>
      <c r="FH21" s="458"/>
      <c r="FI21" s="458"/>
      <c r="FJ21" s="458"/>
      <c r="FK21" s="459"/>
      <c r="FL21" s="447"/>
      <c r="FM21" s="458"/>
      <c r="FN21" s="458"/>
      <c r="FO21" s="458"/>
      <c r="FP21" s="459"/>
      <c r="FQ21" s="447"/>
      <c r="FR21" s="458"/>
      <c r="FS21" s="458"/>
      <c r="FT21" s="458"/>
      <c r="FU21" s="459"/>
      <c r="FV21" s="447"/>
      <c r="FW21" s="458"/>
      <c r="FX21" s="458"/>
      <c r="FY21" s="458"/>
      <c r="FZ21" s="459"/>
      <c r="GA21" s="447"/>
      <c r="GB21" s="458"/>
      <c r="GC21" s="458"/>
      <c r="GD21" s="458"/>
      <c r="GE21" s="459"/>
      <c r="GF21" s="447"/>
      <c r="GG21" s="458"/>
      <c r="GH21" s="458"/>
      <c r="GI21" s="458"/>
      <c r="GJ21" s="459"/>
    </row>
    <row r="22" spans="1:192" ht="12.75" customHeight="1">
      <c r="B22" s="727"/>
      <c r="C22" s="291"/>
      <c r="D22" s="107"/>
      <c r="E22" s="107"/>
      <c r="F22" s="107"/>
      <c r="G22" s="293"/>
      <c r="H22" s="291"/>
      <c r="I22" s="107"/>
      <c r="J22" s="107"/>
      <c r="K22" s="107"/>
      <c r="L22" s="293"/>
      <c r="M22" s="291"/>
      <c r="N22" s="107"/>
      <c r="O22" s="107"/>
      <c r="P22" s="107"/>
      <c r="Q22" s="293"/>
      <c r="R22" s="291"/>
      <c r="S22" s="107"/>
      <c r="T22" s="107"/>
      <c r="U22" s="107"/>
      <c r="V22" s="293"/>
      <c r="W22" s="291"/>
      <c r="X22" s="107"/>
      <c r="Y22" s="107"/>
      <c r="Z22" s="107"/>
      <c r="AA22" s="293"/>
      <c r="AB22" s="291"/>
      <c r="AC22" s="107"/>
      <c r="AD22" s="107"/>
      <c r="AE22" s="107"/>
      <c r="AF22" s="293"/>
      <c r="AG22" s="291"/>
      <c r="AH22" s="107"/>
      <c r="AI22" s="107"/>
      <c r="AJ22" s="107"/>
      <c r="AK22" s="293"/>
      <c r="AL22" s="291"/>
      <c r="AM22" s="107"/>
      <c r="AN22" s="107"/>
      <c r="AO22" s="107"/>
      <c r="AP22" s="293"/>
      <c r="AQ22" s="291"/>
      <c r="AR22" s="107"/>
      <c r="AS22" s="107"/>
      <c r="AT22" s="107"/>
      <c r="AU22" s="293"/>
      <c r="AV22" s="291"/>
      <c r="AW22" s="107"/>
      <c r="AX22" s="107"/>
      <c r="AY22" s="107"/>
      <c r="AZ22" s="293"/>
      <c r="BA22" s="291"/>
      <c r="BB22" s="107"/>
      <c r="BC22" s="107"/>
      <c r="BD22" s="107"/>
      <c r="BE22" s="293"/>
      <c r="BF22" s="291"/>
      <c r="BG22" s="107"/>
      <c r="BH22" s="107"/>
      <c r="BI22" s="107"/>
      <c r="BJ22" s="293"/>
      <c r="BK22" s="291"/>
      <c r="BL22" s="107"/>
      <c r="BM22" s="107"/>
      <c r="BN22" s="107"/>
      <c r="BO22" s="293"/>
      <c r="BP22" s="291"/>
      <c r="BQ22" s="107"/>
      <c r="BR22" s="107"/>
      <c r="BS22" s="107"/>
      <c r="BT22" s="293"/>
      <c r="BU22" s="291"/>
      <c r="BV22" s="107"/>
      <c r="BW22" s="107"/>
      <c r="BX22" s="107"/>
      <c r="BY22" s="293"/>
      <c r="BZ22" s="291"/>
      <c r="CA22" s="107"/>
      <c r="CB22" s="107"/>
      <c r="CC22" s="107"/>
      <c r="CD22" s="293"/>
      <c r="CE22" s="291"/>
      <c r="CF22" s="107"/>
      <c r="CG22" s="107"/>
      <c r="CH22" s="107"/>
      <c r="CI22" s="293"/>
      <c r="CJ22" s="291"/>
      <c r="CK22" s="107"/>
      <c r="CL22" s="107"/>
      <c r="CM22" s="107"/>
      <c r="CN22" s="293"/>
      <c r="CO22" s="291"/>
      <c r="CP22" s="107"/>
      <c r="CQ22" s="107"/>
      <c r="CR22" s="107"/>
      <c r="CS22" s="293"/>
      <c r="CT22" s="291"/>
      <c r="CU22" s="107"/>
      <c r="CV22" s="107"/>
      <c r="CW22" s="107"/>
      <c r="CX22" s="293"/>
      <c r="CY22" s="291"/>
      <c r="CZ22" s="107"/>
      <c r="DA22" s="107"/>
      <c r="DB22" s="107"/>
      <c r="DC22" s="293"/>
      <c r="DD22" s="291"/>
      <c r="DE22" s="107"/>
      <c r="DF22" s="107"/>
      <c r="DG22" s="107"/>
      <c r="DH22" s="293"/>
      <c r="DI22" s="291"/>
      <c r="DJ22" s="107"/>
      <c r="DK22" s="107"/>
      <c r="DL22" s="107"/>
      <c r="DM22" s="293"/>
      <c r="DN22" s="291"/>
      <c r="DO22" s="107"/>
      <c r="DP22" s="107"/>
      <c r="DQ22" s="107"/>
      <c r="DR22" s="293"/>
      <c r="DS22" s="291"/>
      <c r="DT22" s="107"/>
      <c r="DU22" s="107"/>
      <c r="DV22" s="107"/>
      <c r="DW22" s="293"/>
      <c r="DX22" s="291"/>
      <c r="DY22" s="107"/>
      <c r="DZ22" s="107"/>
      <c r="EA22" s="107"/>
      <c r="EB22" s="293"/>
      <c r="EC22" s="291"/>
      <c r="ED22" s="107"/>
      <c r="EE22" s="107"/>
      <c r="EF22" s="107"/>
      <c r="EG22" s="293"/>
      <c r="EH22" s="291"/>
      <c r="EI22" s="107"/>
      <c r="EJ22" s="107"/>
      <c r="EK22" s="107"/>
      <c r="EL22" s="293"/>
      <c r="EM22" s="294"/>
      <c r="EN22" s="295"/>
      <c r="EO22" s="295"/>
      <c r="EP22" s="469"/>
      <c r="EQ22" s="293"/>
      <c r="ER22" s="446"/>
      <c r="ES22" s="295"/>
      <c r="ET22" s="295"/>
      <c r="EU22" s="295"/>
      <c r="EV22" s="296"/>
      <c r="EW22" s="289"/>
      <c r="EX22" s="107"/>
      <c r="EY22" s="506"/>
      <c r="EZ22" s="107"/>
      <c r="FA22" s="293"/>
      <c r="FB22" s="291"/>
      <c r="FC22" s="107"/>
      <c r="FD22" s="107"/>
      <c r="FE22" s="107"/>
      <c r="FF22" s="293"/>
      <c r="FG22" s="291"/>
      <c r="FH22" s="107"/>
      <c r="FI22" s="107"/>
      <c r="FJ22" s="107"/>
      <c r="FK22" s="293"/>
      <c r="FL22" s="291"/>
      <c r="FM22" s="107"/>
      <c r="FN22" s="107"/>
      <c r="FO22" s="107"/>
      <c r="FP22" s="293"/>
      <c r="FQ22" s="291"/>
      <c r="FR22" s="107"/>
      <c r="FS22" s="107"/>
      <c r="FT22" s="107"/>
      <c r="FU22" s="293"/>
      <c r="FV22" s="291"/>
      <c r="FW22" s="107"/>
      <c r="FX22" s="107"/>
      <c r="FY22" s="107"/>
      <c r="FZ22" s="293"/>
      <c r="GA22" s="291"/>
      <c r="GB22" s="107"/>
      <c r="GC22" s="107"/>
      <c r="GD22" s="107"/>
      <c r="GE22" s="293"/>
      <c r="GF22" s="291"/>
      <c r="GG22" s="107"/>
      <c r="GH22" s="107"/>
      <c r="GI22" s="107"/>
      <c r="GJ22" s="293"/>
    </row>
    <row r="23" spans="1:192" s="317" customFormat="1" ht="12.75" customHeight="1" collapsed="1">
      <c r="A23" s="280"/>
      <c r="B23" s="726" t="s">
        <v>488</v>
      </c>
      <c r="C23" s="315"/>
      <c r="D23" s="315"/>
      <c r="E23" s="315"/>
      <c r="F23" s="315"/>
      <c r="G23" s="313"/>
      <c r="H23" s="315"/>
      <c r="I23" s="315"/>
      <c r="J23" s="315"/>
      <c r="K23" s="315"/>
      <c r="L23" s="313"/>
      <c r="M23" s="315"/>
      <c r="N23" s="315"/>
      <c r="O23" s="315"/>
      <c r="P23" s="315"/>
      <c r="Q23" s="313"/>
      <c r="R23" s="315"/>
      <c r="S23" s="315"/>
      <c r="T23" s="315"/>
      <c r="U23" s="315"/>
      <c r="V23" s="313"/>
      <c r="W23" s="315"/>
      <c r="X23" s="315"/>
      <c r="Y23" s="315"/>
      <c r="Z23" s="315"/>
      <c r="AA23" s="313"/>
      <c r="AB23" s="315"/>
      <c r="AC23" s="315"/>
      <c r="AD23" s="315"/>
      <c r="AE23" s="315"/>
      <c r="AF23" s="313"/>
      <c r="AG23" s="315"/>
      <c r="AH23" s="315"/>
      <c r="AI23" s="315"/>
      <c r="AJ23" s="315"/>
      <c r="AK23" s="313"/>
      <c r="AL23" s="315"/>
      <c r="AM23" s="315"/>
      <c r="AN23" s="315"/>
      <c r="AO23" s="315"/>
      <c r="AP23" s="313"/>
      <c r="AQ23" s="315"/>
      <c r="AR23" s="315"/>
      <c r="AS23" s="315"/>
      <c r="AT23" s="315"/>
      <c r="AU23" s="313"/>
      <c r="AV23" s="315"/>
      <c r="AW23" s="315"/>
      <c r="AX23" s="315"/>
      <c r="AY23" s="315"/>
      <c r="AZ23" s="313"/>
      <c r="BA23" s="315"/>
      <c r="BB23" s="315"/>
      <c r="BC23" s="315"/>
      <c r="BD23" s="315"/>
      <c r="BE23" s="313"/>
      <c r="BF23" s="315"/>
      <c r="BG23" s="315"/>
      <c r="BH23" s="315"/>
      <c r="BI23" s="315"/>
      <c r="BJ23" s="313"/>
      <c r="BK23" s="315"/>
      <c r="BL23" s="315"/>
      <c r="BM23" s="315"/>
      <c r="BN23" s="315"/>
      <c r="BO23" s="313"/>
      <c r="BP23" s="315"/>
      <c r="BQ23" s="315"/>
      <c r="BR23" s="315"/>
      <c r="BS23" s="315"/>
      <c r="BT23" s="313"/>
      <c r="BU23" s="315"/>
      <c r="BV23" s="315"/>
      <c r="BW23" s="315"/>
      <c r="BX23" s="315"/>
      <c r="BY23" s="313"/>
      <c r="BZ23" s="315"/>
      <c r="CA23" s="315"/>
      <c r="CB23" s="315"/>
      <c r="CC23" s="315"/>
      <c r="CD23" s="319"/>
      <c r="CE23" s="315"/>
      <c r="CF23" s="315"/>
      <c r="CG23" s="315"/>
      <c r="CH23" s="315"/>
      <c r="CI23" s="319"/>
      <c r="CJ23" s="315"/>
      <c r="CK23" s="315"/>
      <c r="CL23" s="315"/>
      <c r="CM23" s="315"/>
      <c r="CN23" s="319"/>
      <c r="CO23" s="315"/>
      <c r="CP23" s="315"/>
      <c r="CQ23" s="315"/>
      <c r="CR23" s="315"/>
      <c r="CS23" s="319"/>
      <c r="CT23" s="315"/>
      <c r="CU23" s="315"/>
      <c r="CV23" s="315"/>
      <c r="CW23" s="315"/>
      <c r="CX23" s="319"/>
      <c r="CY23" s="312"/>
      <c r="CZ23" s="312"/>
      <c r="DA23" s="312"/>
      <c r="DB23" s="312"/>
      <c r="DC23" s="319"/>
      <c r="DD23" s="312"/>
      <c r="DE23" s="312"/>
      <c r="DF23" s="312"/>
      <c r="DG23" s="312"/>
      <c r="DH23" s="319"/>
      <c r="DI23" s="312"/>
      <c r="DJ23" s="312"/>
      <c r="DK23" s="312"/>
      <c r="DL23" s="312"/>
      <c r="DM23" s="319"/>
      <c r="DN23" s="312"/>
      <c r="DO23" s="312"/>
      <c r="DP23" s="312"/>
      <c r="DQ23" s="312"/>
      <c r="DR23" s="319"/>
      <c r="DS23" s="312"/>
      <c r="DT23" s="312"/>
      <c r="DU23" s="312"/>
      <c r="DV23" s="312"/>
      <c r="DW23" s="319"/>
      <c r="DX23" s="312"/>
      <c r="DY23" s="312"/>
      <c r="DZ23" s="312"/>
      <c r="EA23" s="312"/>
      <c r="EB23" s="319"/>
      <c r="EC23" s="312"/>
      <c r="ED23" s="312"/>
      <c r="EE23" s="312"/>
      <c r="EF23" s="312"/>
      <c r="EG23" s="319"/>
      <c r="EH23" s="312"/>
      <c r="EI23" s="312"/>
      <c r="EJ23" s="312"/>
      <c r="EK23" s="312"/>
      <c r="EL23" s="319"/>
      <c r="EM23" s="312"/>
      <c r="EN23" s="312"/>
      <c r="EO23" s="312"/>
      <c r="EP23" s="312"/>
      <c r="EQ23" s="319"/>
      <c r="ER23" s="312">
        <f>+EW27/EW24</f>
      </c>
      <c r="ES23" s="312">
        <f>+EX27/EX24</f>
      </c>
      <c r="ET23" s="312">
        <f>+EY27/EY24</f>
      </c>
      <c r="EU23" s="312">
        <f>+EZ27/EZ24</f>
      </c>
      <c r="EV23" s="313">
        <f>EV10-EV18</f>
      </c>
      <c r="EW23" s="312">
        <f>ER23*(1+EW24)</f>
      </c>
      <c r="EX23" s="312">
        <f>ES23*(1+EX24)</f>
      </c>
      <c r="EY23" s="312">
        <f>ET23*(1+EY24)</f>
      </c>
      <c r="EZ23" s="312">
        <f>EU23*(1+EZ24)</f>
      </c>
      <c r="FA23" s="313">
        <f>FA10-FA18</f>
      </c>
      <c r="FB23" s="312">
        <f>FB10*FB28</f>
      </c>
      <c r="FC23" s="312">
        <f>FC10*FC28</f>
      </c>
      <c r="FD23" s="312">
        <f>FD10*FD28</f>
      </c>
      <c r="FE23" s="312">
        <f>FE10*FE28</f>
      </c>
      <c r="FF23" s="313">
        <f>SUM(FB23:FE23)</f>
      </c>
      <c r="FG23" s="312">
        <f>FG10*FG28</f>
      </c>
      <c r="FH23" s="312">
        <f>FH10*FH28</f>
      </c>
      <c r="FI23" s="312">
        <f>FI10*FI28</f>
      </c>
      <c r="FJ23" s="312">
        <f>FJ10*FJ28</f>
      </c>
      <c r="FK23" s="313">
        <f>SUM(FG23:FJ23)</f>
      </c>
      <c r="FL23" s="312">
        <f>FL10*FL28</f>
      </c>
      <c r="FM23" s="312">
        <f>FM10*FM28</f>
      </c>
      <c r="FN23" s="312">
        <f>FN10*FN28</f>
      </c>
      <c r="FO23" s="312">
        <f>FO10*FO28</f>
      </c>
      <c r="FP23" s="313">
        <f>SUM(FL23:FO23)</f>
      </c>
      <c r="FQ23" s="312">
        <f>FQ10*FQ28</f>
      </c>
      <c r="FR23" s="312">
        <f>FR10*FR28</f>
      </c>
      <c r="FS23" s="312">
        <f>FS10*FS28</f>
      </c>
      <c r="FT23" s="312">
        <f>FT10*FT28</f>
      </c>
      <c r="FU23" s="313">
        <f>SUM(FQ23:FT23)</f>
      </c>
      <c r="FV23" s="312">
        <f>FV10*FV28</f>
      </c>
      <c r="FW23" s="312">
        <f>FW10*FW28</f>
      </c>
      <c r="FX23" s="312">
        <f>FX10*FX28</f>
      </c>
      <c r="FY23" s="312">
        <f>FY10*FY28</f>
      </c>
      <c r="FZ23" s="313">
        <f>SUM(FV23:FY23)</f>
      </c>
      <c r="GA23" s="312">
        <f>GA10*GA28</f>
      </c>
      <c r="GB23" s="312">
        <f>GB10*GB28</f>
      </c>
      <c r="GC23" s="312">
        <f>GC10*GC28</f>
      </c>
      <c r="GD23" s="312">
        <f>GD10*GD28</f>
      </c>
      <c r="GE23" s="313">
        <f>SUM(GA23:GD23)</f>
      </c>
      <c r="GF23" s="312">
        <f>GF10*GF28</f>
      </c>
      <c r="GG23" s="312">
        <f>GG10*GG28</f>
      </c>
      <c r="GH23" s="312">
        <f>GH10*GH28</f>
      </c>
      <c r="GI23" s="312">
        <f>GI10*GI28</f>
      </c>
      <c r="GJ23" s="313">
        <f>SUM(GF23:GI23)</f>
      </c>
    </row>
    <row r="24" spans="1:192" ht="12.75" customHeight="1">
      <c r="B24" s="727" t="s">
        <v>34</v>
      </c>
      <c r="C24" s="412"/>
      <c r="D24" s="114"/>
      <c r="E24" s="114"/>
      <c r="F24" s="114"/>
      <c r="G24" s="413"/>
      <c r="H24" s="412"/>
      <c r="I24" s="114"/>
      <c r="J24" s="114"/>
      <c r="K24" s="114"/>
      <c r="L24" s="413"/>
      <c r="M24" s="412"/>
      <c r="N24" s="114"/>
      <c r="O24" s="114"/>
      <c r="P24" s="114"/>
      <c r="Q24" s="413"/>
      <c r="R24" s="412"/>
      <c r="S24" s="114"/>
      <c r="T24" s="114"/>
      <c r="U24" s="114"/>
      <c r="V24" s="413"/>
      <c r="W24" s="412"/>
      <c r="X24" s="114"/>
      <c r="Y24" s="114"/>
      <c r="Z24" s="114"/>
      <c r="AA24" s="413"/>
      <c r="AB24" s="412"/>
      <c r="AC24" s="114"/>
      <c r="AD24" s="114"/>
      <c r="AE24" s="114"/>
      <c r="AF24" s="413"/>
      <c r="AG24" s="412"/>
      <c r="AH24" s="114"/>
      <c r="AI24" s="114"/>
      <c r="AJ24" s="114"/>
      <c r="AK24" s="413"/>
      <c r="AL24" s="412"/>
      <c r="AM24" s="114"/>
      <c r="AN24" s="114"/>
      <c r="AO24" s="114"/>
      <c r="AP24" s="413"/>
      <c r="AQ24" s="412"/>
      <c r="AR24" s="114"/>
      <c r="AS24" s="114"/>
      <c r="AT24" s="114"/>
      <c r="AU24" s="413"/>
      <c r="AV24" s="412"/>
      <c r="AW24" s="114"/>
      <c r="AX24" s="114"/>
      <c r="AY24" s="114"/>
      <c r="AZ24" s="413"/>
      <c r="BA24" s="412"/>
      <c r="BB24" s="114"/>
      <c r="BC24" s="114"/>
      <c r="BD24" s="114"/>
      <c r="BE24" s="413"/>
      <c r="BF24" s="412"/>
      <c r="BG24" s="114"/>
      <c r="BH24" s="114"/>
      <c r="BI24" s="114"/>
      <c r="BJ24" s="413"/>
      <c r="BK24" s="412"/>
      <c r="BL24" s="114"/>
      <c r="BM24" s="114"/>
      <c r="BN24" s="114"/>
      <c r="BO24" s="413"/>
      <c r="BP24" s="412"/>
      <c r="BQ24" s="114"/>
      <c r="BR24" s="114"/>
      <c r="BS24" s="114"/>
      <c r="BT24" s="413"/>
      <c r="BU24" s="412"/>
      <c r="BV24" s="114"/>
      <c r="BW24" s="114"/>
      <c r="BX24" s="114"/>
      <c r="BY24" s="413"/>
      <c r="BZ24" s="412"/>
      <c r="CA24" s="114"/>
      <c r="CB24" s="114"/>
      <c r="CC24" s="114"/>
      <c r="CD24" s="292"/>
      <c r="CE24" s="412"/>
      <c r="CF24" s="114"/>
      <c r="CG24" s="114"/>
      <c r="CH24" s="114"/>
      <c r="CI24" s="292"/>
      <c r="CJ24" s="412"/>
      <c r="CK24" s="114"/>
      <c r="CL24" s="114"/>
      <c r="CM24" s="114"/>
      <c r="CN24" s="292"/>
      <c r="CO24" s="412"/>
      <c r="CP24" s="114"/>
      <c r="CQ24" s="114"/>
      <c r="CR24" s="114"/>
      <c r="CS24" s="292"/>
      <c r="CT24" s="412"/>
      <c r="CU24" s="114"/>
      <c r="CV24" s="114"/>
      <c r="CW24" s="114"/>
      <c r="CX24" s="292"/>
      <c r="CY24" s="412"/>
      <c r="CZ24" s="114"/>
      <c r="DA24" s="114"/>
      <c r="DB24" s="114"/>
      <c r="DC24" s="292"/>
      <c r="DD24" s="412"/>
      <c r="DE24" s="114"/>
      <c r="DF24" s="114"/>
      <c r="DG24" s="114"/>
      <c r="DH24" s="292"/>
      <c r="DI24" s="412"/>
      <c r="DJ24" s="114"/>
      <c r="DK24" s="114"/>
      <c r="DL24" s="114"/>
      <c r="DM24" s="292"/>
      <c r="DN24" s="412"/>
      <c r="DO24" s="114"/>
      <c r="DP24" s="114"/>
      <c r="DQ24" s="114"/>
      <c r="DR24" s="292"/>
      <c r="DS24" s="412"/>
      <c r="DT24" s="114"/>
      <c r="DU24" s="114"/>
      <c r="DV24" s="114"/>
      <c r="DW24" s="292"/>
      <c r="DX24" s="412"/>
      <c r="DY24" s="114"/>
      <c r="DZ24" s="114"/>
      <c r="EA24" s="114"/>
      <c r="EB24" s="292"/>
      <c r="EC24" s="412"/>
      <c r="ED24" s="114"/>
      <c r="EE24" s="114"/>
      <c r="EF24" s="114"/>
      <c r="EG24" s="292"/>
      <c r="EH24" s="412"/>
      <c r="EI24" s="114"/>
      <c r="EJ24" s="114"/>
      <c r="EK24" s="114"/>
      <c r="EL24" s="413"/>
      <c r="EM24" s="412"/>
      <c r="EN24" s="114"/>
      <c r="EO24" s="114"/>
      <c r="EP24" s="114"/>
      <c r="EQ24" s="292"/>
      <c r="ER24" s="412"/>
      <c r="ES24" s="114"/>
      <c r="ET24" s="439"/>
      <c r="EU24" s="439"/>
      <c r="EV24" s="292"/>
      <c r="EW24" s="441">
        <v>0.11</v>
      </c>
      <c r="EX24" s="439">
        <v>0.13</v>
      </c>
      <c r="EY24" s="439">
        <v>0.1</v>
      </c>
      <c r="EZ24" s="439">
        <v>0.16</v>
      </c>
      <c r="FA24" s="292">
        <f t="shared" ref="FA24:GE24" si="14">IFERROR(FA23/EV23-1,"--")</f>
      </c>
      <c r="FB24" s="291">
        <f t="shared" si="14"/>
      </c>
      <c r="FC24" s="107">
        <f t="shared" si="14"/>
      </c>
      <c r="FD24" s="107">
        <f t="shared" si="14"/>
      </c>
      <c r="FE24" s="107">
        <f t="shared" si="14"/>
      </c>
      <c r="FF24" s="292">
        <f t="shared" si="14"/>
      </c>
      <c r="FG24" s="291">
        <f t="shared" si="14"/>
      </c>
      <c r="FH24" s="107">
        <f t="shared" si="14"/>
      </c>
      <c r="FI24" s="107">
        <f t="shared" si="14"/>
      </c>
      <c r="FJ24" s="107">
        <f t="shared" si="14"/>
      </c>
      <c r="FK24" s="292">
        <f t="shared" si="14"/>
      </c>
      <c r="FL24" s="291">
        <f t="shared" si="14"/>
      </c>
      <c r="FM24" s="107">
        <f t="shared" si="14"/>
      </c>
      <c r="FN24" s="107">
        <f t="shared" si="14"/>
      </c>
      <c r="FO24" s="107">
        <f t="shared" si="14"/>
      </c>
      <c r="FP24" s="292">
        <f t="shared" si="14"/>
      </c>
      <c r="FQ24" s="291">
        <f t="shared" si="14"/>
      </c>
      <c r="FR24" s="107">
        <f t="shared" si="14"/>
      </c>
      <c r="FS24" s="107">
        <f t="shared" si="14"/>
      </c>
      <c r="FT24" s="107">
        <f t="shared" si="14"/>
      </c>
      <c r="FU24" s="292">
        <f t="shared" si="14"/>
      </c>
      <c r="FV24" s="291">
        <f t="shared" si="14"/>
      </c>
      <c r="FW24" s="107">
        <f t="shared" si="14"/>
      </c>
      <c r="FX24" s="107">
        <f t="shared" si="14"/>
      </c>
      <c r="FY24" s="107">
        <f t="shared" si="14"/>
      </c>
      <c r="FZ24" s="292">
        <f t="shared" si="14"/>
      </c>
      <c r="GA24" s="291">
        <f t="shared" si="14"/>
      </c>
      <c r="GB24" s="107">
        <f t="shared" si="14"/>
      </c>
      <c r="GC24" s="107">
        <f t="shared" si="14"/>
      </c>
      <c r="GD24" s="107">
        <f t="shared" si="14"/>
      </c>
      <c r="GE24" s="292">
        <f t="shared" si="14"/>
      </c>
      <c r="GF24" s="291">
        <f t="shared" ref="GF24" si="15">IFERROR(GF23/GA23-1,"--")</f>
      </c>
      <c r="GG24" s="107">
        <f t="shared" ref="GG24" si="16">IFERROR(GG23/GB23-1,"--")</f>
      </c>
      <c r="GH24" s="107">
        <f t="shared" ref="GH24" si="17">IFERROR(GH23/GC23-1,"--")</f>
      </c>
      <c r="GI24" s="107">
        <f t="shared" ref="GI24" si="18">IFERROR(GI23/GD23-1,"--")</f>
      </c>
      <c r="GJ24" s="292">
        <f t="shared" ref="GJ24" si="19">IFERROR(GJ23/GE23-1,"--")</f>
      </c>
    </row>
    <row r="25" spans="1:192" ht="12.75" customHeight="1">
      <c r="B25" s="727" t="s">
        <v>197</v>
      </c>
      <c r="C25" s="412"/>
      <c r="D25" s="114"/>
      <c r="E25" s="114"/>
      <c r="F25" s="114"/>
      <c r="G25" s="413"/>
      <c r="H25" s="412"/>
      <c r="I25" s="114"/>
      <c r="J25" s="114"/>
      <c r="K25" s="114"/>
      <c r="L25" s="413"/>
      <c r="M25" s="412"/>
      <c r="N25" s="114"/>
      <c r="O25" s="114"/>
      <c r="P25" s="114"/>
      <c r="Q25" s="413"/>
      <c r="R25" s="412"/>
      <c r="S25" s="114"/>
      <c r="T25" s="114"/>
      <c r="U25" s="114"/>
      <c r="V25" s="413"/>
      <c r="W25" s="412"/>
      <c r="X25" s="114"/>
      <c r="Y25" s="114"/>
      <c r="Z25" s="114"/>
      <c r="AA25" s="413"/>
      <c r="AB25" s="412"/>
      <c r="AC25" s="114"/>
      <c r="AD25" s="114"/>
      <c r="AE25" s="114"/>
      <c r="AF25" s="413"/>
      <c r="AG25" s="412"/>
      <c r="AH25" s="114"/>
      <c r="AI25" s="114"/>
      <c r="AJ25" s="114"/>
      <c r="AK25" s="413"/>
      <c r="AL25" s="412"/>
      <c r="AM25" s="114"/>
      <c r="AN25" s="114"/>
      <c r="AO25" s="114"/>
      <c r="AP25" s="413"/>
      <c r="AQ25" s="412"/>
      <c r="AR25" s="114"/>
      <c r="AS25" s="114"/>
      <c r="AT25" s="114"/>
      <c r="AU25" s="413"/>
      <c r="AV25" s="412"/>
      <c r="AW25" s="114"/>
      <c r="AX25" s="114"/>
      <c r="AY25" s="114"/>
      <c r="AZ25" s="413"/>
      <c r="BA25" s="412"/>
      <c r="BB25" s="114"/>
      <c r="BC25" s="114"/>
      <c r="BD25" s="114"/>
      <c r="BE25" s="413"/>
      <c r="BF25" s="412"/>
      <c r="BG25" s="114"/>
      <c r="BH25" s="114"/>
      <c r="BI25" s="114"/>
      <c r="BJ25" s="413"/>
      <c r="BK25" s="412"/>
      <c r="BL25" s="114"/>
      <c r="BM25" s="114"/>
      <c r="BN25" s="114"/>
      <c r="BO25" s="413"/>
      <c r="BP25" s="412"/>
      <c r="BQ25" s="114"/>
      <c r="BR25" s="114"/>
      <c r="BS25" s="114"/>
      <c r="BT25" s="413"/>
      <c r="BU25" s="412"/>
      <c r="BV25" s="114"/>
      <c r="BW25" s="114"/>
      <c r="BX25" s="114"/>
      <c r="BY25" s="413"/>
      <c r="BZ25" s="412"/>
      <c r="CA25" s="114"/>
      <c r="CB25" s="114"/>
      <c r="CC25" s="114"/>
      <c r="CD25" s="292"/>
      <c r="CE25" s="412"/>
      <c r="CF25" s="114"/>
      <c r="CG25" s="114"/>
      <c r="CH25" s="114"/>
      <c r="CI25" s="292"/>
      <c r="CJ25" s="412"/>
      <c r="CK25" s="114"/>
      <c r="CL25" s="114"/>
      <c r="CM25" s="114"/>
      <c r="CN25" s="292"/>
      <c r="CO25" s="412"/>
      <c r="CP25" s="114"/>
      <c r="CQ25" s="114"/>
      <c r="CR25" s="114"/>
      <c r="CS25" s="292"/>
      <c r="CT25" s="412"/>
      <c r="CU25" s="114"/>
      <c r="CV25" s="114"/>
      <c r="CW25" s="114"/>
      <c r="CX25" s="292"/>
      <c r="CY25" s="412"/>
      <c r="CZ25" s="114"/>
      <c r="DA25" s="114"/>
      <c r="DB25" s="114"/>
      <c r="DC25" s="292"/>
      <c r="DD25" s="412"/>
      <c r="DE25" s="114"/>
      <c r="DF25" s="114"/>
      <c r="DG25" s="114"/>
      <c r="DH25" s="292"/>
      <c r="DI25" s="412"/>
      <c r="DJ25" s="114"/>
      <c r="DK25" s="114"/>
      <c r="DL25" s="114"/>
      <c r="DM25" s="292"/>
      <c r="DN25" s="412"/>
      <c r="DO25" s="114"/>
      <c r="DP25" s="114"/>
      <c r="DQ25" s="114"/>
      <c r="DR25" s="292"/>
      <c r="DS25" s="412"/>
      <c r="DT25" s="114"/>
      <c r="DU25" s="114"/>
      <c r="DV25" s="114"/>
      <c r="DW25" s="292"/>
      <c r="DX25" s="412"/>
      <c r="DY25" s="114"/>
      <c r="DZ25" s="114"/>
      <c r="EA25" s="114"/>
      <c r="EB25" s="292"/>
      <c r="EC25" s="412"/>
      <c r="ED25" s="114"/>
      <c r="EE25" s="114"/>
      <c r="EF25" s="114"/>
      <c r="EG25" s="292"/>
      <c r="EH25" s="412"/>
      <c r="EI25" s="114"/>
      <c r="EJ25" s="114"/>
      <c r="EK25" s="114"/>
      <c r="EL25" s="292"/>
      <c r="EM25" s="412"/>
      <c r="EN25" s="114"/>
      <c r="EO25" s="114"/>
      <c r="EP25" s="114"/>
      <c r="EQ25" s="292"/>
      <c r="ER25" s="412"/>
      <c r="ES25" s="114"/>
      <c r="ET25" s="439"/>
      <c r="EU25" s="439"/>
      <c r="EV25" s="292"/>
      <c r="EW25" s="441">
        <v>0.12</v>
      </c>
      <c r="EX25" s="439">
        <v>0.12</v>
      </c>
      <c r="EY25" s="439">
        <v>0.13</v>
      </c>
      <c r="EZ25" s="439">
        <v>0.15</v>
      </c>
      <c r="FA25" s="292"/>
      <c r="FB25" s="412"/>
      <c r="FC25" s="631"/>
      <c r="FD25" s="631"/>
      <c r="FE25" s="631"/>
      <c r="FF25" s="292"/>
      <c r="FG25" s="412"/>
      <c r="FH25" s="631"/>
      <c r="FI25" s="631"/>
      <c r="FJ25" s="631"/>
      <c r="FK25" s="292"/>
      <c r="FL25" s="412"/>
      <c r="FM25" s="631"/>
      <c r="FN25" s="631"/>
      <c r="FO25" s="631"/>
      <c r="FP25" s="292"/>
      <c r="FQ25" s="412"/>
      <c r="FR25" s="631"/>
      <c r="FS25" s="631"/>
      <c r="FT25" s="631"/>
      <c r="FU25" s="292"/>
      <c r="FV25" s="412"/>
      <c r="FW25" s="631"/>
      <c r="FX25" s="631"/>
      <c r="FY25" s="631"/>
      <c r="FZ25" s="292"/>
      <c r="GA25" s="412"/>
      <c r="GB25" s="631"/>
      <c r="GC25" s="631"/>
      <c r="GD25" s="631"/>
      <c r="GE25" s="292"/>
      <c r="GF25" s="412"/>
      <c r="GG25" s="631"/>
      <c r="GH25" s="631"/>
      <c r="GI25" s="631"/>
      <c r="GJ25" s="292"/>
    </row>
    <row r="26" spans="1:192" ht="12.75" customHeight="1">
      <c r="B26" s="727" t="s">
        <v>36</v>
      </c>
      <c r="C26" s="291"/>
      <c r="D26" s="107"/>
      <c r="E26" s="107"/>
      <c r="F26" s="107"/>
      <c r="G26" s="293"/>
      <c r="H26" s="291"/>
      <c r="I26" s="107"/>
      <c r="J26" s="107"/>
      <c r="K26" s="107"/>
      <c r="L26" s="293"/>
      <c r="M26" s="291"/>
      <c r="N26" s="107"/>
      <c r="O26" s="107"/>
      <c r="P26" s="107"/>
      <c r="Q26" s="293"/>
      <c r="R26" s="291"/>
      <c r="S26" s="107"/>
      <c r="T26" s="107"/>
      <c r="U26" s="107"/>
      <c r="V26" s="293"/>
      <c r="W26" s="291"/>
      <c r="X26" s="107"/>
      <c r="Y26" s="107"/>
      <c r="Z26" s="107"/>
      <c r="AA26" s="293"/>
      <c r="AB26" s="291"/>
      <c r="AC26" s="107"/>
      <c r="AD26" s="107"/>
      <c r="AE26" s="107"/>
      <c r="AF26" s="293"/>
      <c r="AG26" s="291"/>
      <c r="AH26" s="107"/>
      <c r="AI26" s="107"/>
      <c r="AJ26" s="107"/>
      <c r="AK26" s="293"/>
      <c r="AL26" s="291"/>
      <c r="AM26" s="107"/>
      <c r="AN26" s="107"/>
      <c r="AO26" s="107"/>
      <c r="AP26" s="293"/>
      <c r="AQ26" s="291"/>
      <c r="AR26" s="107"/>
      <c r="AS26" s="107"/>
      <c r="AT26" s="107"/>
      <c r="AU26" s="293"/>
      <c r="AV26" s="291"/>
      <c r="AW26" s="107"/>
      <c r="AX26" s="107"/>
      <c r="AY26" s="107"/>
      <c r="AZ26" s="293"/>
      <c r="BA26" s="291"/>
      <c r="BB26" s="107"/>
      <c r="BC26" s="107"/>
      <c r="BD26" s="107"/>
      <c r="BE26" s="293"/>
      <c r="BF26" s="291"/>
      <c r="BG26" s="107"/>
      <c r="BH26" s="107"/>
      <c r="BI26" s="107"/>
      <c r="BJ26" s="293"/>
      <c r="BK26" s="291"/>
      <c r="BL26" s="107"/>
      <c r="BM26" s="107"/>
      <c r="BN26" s="107"/>
      <c r="BO26" s="293"/>
      <c r="BP26" s="291"/>
      <c r="BQ26" s="107"/>
      <c r="BR26" s="107"/>
      <c r="BS26" s="107"/>
      <c r="BT26" s="293"/>
      <c r="BU26" s="291"/>
      <c r="BV26" s="107"/>
      <c r="BW26" s="107"/>
      <c r="BX26" s="107"/>
      <c r="BY26" s="293"/>
      <c r="BZ26" s="291"/>
      <c r="CA26" s="107"/>
      <c r="CB26" s="107"/>
      <c r="CC26" s="107"/>
      <c r="CD26" s="293"/>
      <c r="CE26" s="291"/>
      <c r="CF26" s="107"/>
      <c r="CG26" s="107"/>
      <c r="CH26" s="107"/>
      <c r="CI26" s="293"/>
      <c r="CJ26" s="291"/>
      <c r="CK26" s="107"/>
      <c r="CL26" s="107"/>
      <c r="CM26" s="107"/>
      <c r="CN26" s="293"/>
      <c r="CO26" s="291"/>
      <c r="CP26" s="107"/>
      <c r="CQ26" s="107"/>
      <c r="CR26" s="107"/>
      <c r="CS26" s="293"/>
      <c r="CT26" s="291"/>
      <c r="CU26" s="107"/>
      <c r="CV26" s="107"/>
      <c r="CW26" s="107"/>
      <c r="CX26" s="293"/>
      <c r="CY26" s="291"/>
      <c r="CZ26" s="107"/>
      <c r="DA26" s="107"/>
      <c r="DB26" s="107"/>
      <c r="DC26" s="293"/>
      <c r="DD26" s="291"/>
      <c r="DE26" s="107"/>
      <c r="DF26" s="107"/>
      <c r="DG26" s="107"/>
      <c r="DH26" s="293"/>
      <c r="DI26" s="291"/>
      <c r="DJ26" s="107"/>
      <c r="DK26" s="107"/>
      <c r="DL26" s="107"/>
      <c r="DM26" s="293"/>
      <c r="DN26" s="291"/>
      <c r="DO26" s="107"/>
      <c r="DP26" s="107"/>
      <c r="DQ26" s="107"/>
      <c r="DR26" s="293"/>
      <c r="DS26" s="291"/>
      <c r="DT26" s="107"/>
      <c r="DU26" s="107"/>
      <c r="DV26" s="107"/>
      <c r="DW26" s="293"/>
      <c r="DX26" s="291"/>
      <c r="DY26" s="107"/>
      <c r="DZ26" s="107"/>
      <c r="EA26" s="107"/>
      <c r="EB26" s="293"/>
      <c r="EC26" s="291"/>
      <c r="ED26" s="107"/>
      <c r="EE26" s="107"/>
      <c r="EF26" s="107"/>
      <c r="EG26" s="293"/>
      <c r="EH26" s="291"/>
      <c r="EI26" s="107"/>
      <c r="EJ26" s="107"/>
      <c r="EK26" s="107"/>
      <c r="EL26" s="293"/>
      <c r="EM26" s="291"/>
      <c r="EN26" s="107"/>
      <c r="EO26" s="107"/>
      <c r="EP26" s="107"/>
      <c r="EQ26" s="293"/>
      <c r="ER26" s="291"/>
      <c r="ES26" s="107"/>
      <c r="ET26" s="107"/>
      <c r="EU26" s="468"/>
      <c r="EV26" s="293"/>
      <c r="EW26" s="291">
        <f>IFERROR(EW23/EU23-1,"--")</f>
      </c>
      <c r="EX26" s="107">
        <f>IFERROR(EX23/EW23-1,"--")</f>
      </c>
      <c r="EY26" s="107">
        <f>IFERROR(EY23/EX23-1,"--")</f>
      </c>
      <c r="EZ26" s="107">
        <f>IFERROR(EZ23/EY23-1,"--")</f>
      </c>
      <c r="FA26" s="293"/>
      <c r="FB26" s="291">
        <f>IFERROR(FB23/EZ23-1,"--")</f>
      </c>
      <c r="FC26" s="107">
        <f>IFERROR(FC23/FB23-1,"--")</f>
      </c>
      <c r="FD26" s="107">
        <f>IFERROR(FD23/FC23-1,"--")</f>
      </c>
      <c r="FE26" s="107">
        <f>IFERROR(FE23/FD23-1,"--")</f>
      </c>
      <c r="FF26" s="293"/>
      <c r="FG26" s="291">
        <f>IFERROR(FG23/FE23-1,"--")</f>
      </c>
      <c r="FH26" s="107">
        <f>IFERROR(FH23/FG23-1,"--")</f>
      </c>
      <c r="FI26" s="107">
        <f>IFERROR(FI23/FH23-1,"--")</f>
      </c>
      <c r="FJ26" s="107">
        <f>IFERROR(FJ23/FI23-1,"--")</f>
      </c>
      <c r="FK26" s="293"/>
      <c r="FL26" s="291">
        <f>IFERROR(FL23/FJ23-1,"--")</f>
      </c>
      <c r="FM26" s="107">
        <f>IFERROR(FM23/FL23-1,"--")</f>
      </c>
      <c r="FN26" s="107">
        <f>IFERROR(FN23/FM23-1,"--")</f>
      </c>
      <c r="FO26" s="107">
        <f>IFERROR(FO23/FN23-1,"--")</f>
      </c>
      <c r="FP26" s="293"/>
      <c r="FQ26" s="291">
        <f>IFERROR(FQ23/FO23-1,"--")</f>
      </c>
      <c r="FR26" s="107">
        <f>IFERROR(FR23/FQ23-1,"--")</f>
      </c>
      <c r="FS26" s="107">
        <f>IFERROR(FS23/FR23-1,"--")</f>
      </c>
      <c r="FT26" s="107">
        <f>IFERROR(FT23/FS23-1,"--")</f>
      </c>
      <c r="FU26" s="293"/>
      <c r="FV26" s="291">
        <f>IFERROR(FV23/FT23-1,"--")</f>
      </c>
      <c r="FW26" s="107">
        <f>IFERROR(FW23/FV23-1,"--")</f>
      </c>
      <c r="FX26" s="107">
        <f>IFERROR(FX23/FW23-1,"--")</f>
      </c>
      <c r="FY26" s="107">
        <f>IFERROR(FY23/FX23-1,"--")</f>
      </c>
      <c r="FZ26" s="293"/>
      <c r="GA26" s="291">
        <f>IFERROR(GA23/FY23-1,"--")</f>
      </c>
      <c r="GB26" s="107">
        <f>IFERROR(GB23/GA23-1,"--")</f>
      </c>
      <c r="GC26" s="107">
        <f>IFERROR(GC23/GB23-1,"--")</f>
      </c>
      <c r="GD26" s="107">
        <f>IFERROR(GD23/GC23-1,"--")</f>
      </c>
      <c r="GE26" s="293"/>
      <c r="GF26" s="291">
        <f>IFERROR(GF23/GD23-1,"--")</f>
      </c>
      <c r="GG26" s="107">
        <f>IFERROR(GG23/GF23-1,"--")</f>
      </c>
      <c r="GH26" s="107">
        <f>IFERROR(GH23/GG23-1,"--")</f>
      </c>
      <c r="GI26" s="107">
        <f>IFERROR(GI23/GH23-1,"--")</f>
      </c>
      <c r="GJ26" s="293"/>
    </row>
    <row r="27" spans="1:192" s="461" customFormat="1" ht="12.75" customHeight="1">
      <c r="A27" s="370"/>
      <c r="B27" s="728" t="s">
        <v>265</v>
      </c>
      <c r="C27" s="448"/>
      <c r="D27" s="493"/>
      <c r="E27" s="493"/>
      <c r="F27" s="493"/>
      <c r="G27" s="494"/>
      <c r="H27" s="448"/>
      <c r="I27" s="493"/>
      <c r="J27" s="493"/>
      <c r="K27" s="493"/>
      <c r="L27" s="494"/>
      <c r="M27" s="448"/>
      <c r="N27" s="493"/>
      <c r="O27" s="493"/>
      <c r="P27" s="493"/>
      <c r="Q27" s="494"/>
      <c r="R27" s="448"/>
      <c r="S27" s="493"/>
      <c r="T27" s="493"/>
      <c r="U27" s="493"/>
      <c r="V27" s="494"/>
      <c r="W27" s="448"/>
      <c r="X27" s="493"/>
      <c r="Y27" s="493"/>
      <c r="Z27" s="493"/>
      <c r="AA27" s="494"/>
      <c r="AB27" s="448"/>
      <c r="AC27" s="493"/>
      <c r="AD27" s="493"/>
      <c r="AE27" s="493"/>
      <c r="AF27" s="494"/>
      <c r="AG27" s="448"/>
      <c r="AH27" s="493"/>
      <c r="AI27" s="493"/>
      <c r="AJ27" s="493"/>
      <c r="AK27" s="494"/>
      <c r="AL27" s="448"/>
      <c r="AM27" s="493"/>
      <c r="AN27" s="493"/>
      <c r="AO27" s="493"/>
      <c r="AP27" s="494"/>
      <c r="AQ27" s="448"/>
      <c r="AR27" s="493"/>
      <c r="AS27" s="493"/>
      <c r="AT27" s="493"/>
      <c r="AU27" s="494"/>
      <c r="AV27" s="448"/>
      <c r="AW27" s="493"/>
      <c r="AX27" s="493"/>
      <c r="AY27" s="493"/>
      <c r="AZ27" s="494"/>
      <c r="BA27" s="448"/>
      <c r="BB27" s="493"/>
      <c r="BC27" s="493"/>
      <c r="BD27" s="493"/>
      <c r="BE27" s="494"/>
      <c r="BF27" s="448"/>
      <c r="BG27" s="493"/>
      <c r="BH27" s="493"/>
      <c r="BI27" s="493"/>
      <c r="BJ27" s="494"/>
      <c r="BK27" s="448"/>
      <c r="BL27" s="493"/>
      <c r="BM27" s="493"/>
      <c r="BN27" s="493"/>
      <c r="BO27" s="494"/>
      <c r="BP27" s="448"/>
      <c r="BQ27" s="493"/>
      <c r="BR27" s="493"/>
      <c r="BS27" s="493"/>
      <c r="BT27" s="494"/>
      <c r="BU27" s="448"/>
      <c r="BV27" s="493"/>
      <c r="BW27" s="493"/>
      <c r="BX27" s="493"/>
      <c r="BY27" s="494"/>
      <c r="BZ27" s="448"/>
      <c r="CA27" s="493"/>
      <c r="CB27" s="493"/>
      <c r="CC27" s="493"/>
      <c r="CD27" s="462"/>
      <c r="CE27" s="448"/>
      <c r="CF27" s="493"/>
      <c r="CG27" s="493"/>
      <c r="CH27" s="493"/>
      <c r="CI27" s="462"/>
      <c r="CJ27" s="448"/>
      <c r="CK27" s="493"/>
      <c r="CL27" s="493"/>
      <c r="CM27" s="493"/>
      <c r="CN27" s="462"/>
      <c r="CO27" s="448"/>
      <c r="CP27" s="493"/>
      <c r="CQ27" s="493"/>
      <c r="CR27" s="493"/>
      <c r="CS27" s="462"/>
      <c r="CT27" s="448"/>
      <c r="CU27" s="493"/>
      <c r="CV27" s="493"/>
      <c r="CW27" s="493"/>
      <c r="CX27" s="462"/>
      <c r="CY27" s="448"/>
      <c r="CZ27" s="493"/>
      <c r="DA27" s="493"/>
      <c r="DB27" s="493"/>
      <c r="DC27" s="462"/>
      <c r="DD27" s="447"/>
      <c r="DE27" s="447"/>
      <c r="DF27" s="447"/>
      <c r="DG27" s="447"/>
      <c r="DH27" s="462"/>
      <c r="DI27" s="447"/>
      <c r="DJ27" s="447"/>
      <c r="DK27" s="447"/>
      <c r="DL27" s="447"/>
      <c r="DM27" s="462"/>
      <c r="DN27" s="447"/>
      <c r="DO27" s="447"/>
      <c r="DP27" s="447"/>
      <c r="DQ27" s="447"/>
      <c r="DR27" s="462"/>
      <c r="DS27" s="447"/>
      <c r="DT27" s="447"/>
      <c r="DU27" s="447"/>
      <c r="DV27" s="447"/>
      <c r="DW27" s="462"/>
      <c r="DX27" s="447"/>
      <c r="DY27" s="447"/>
      <c r="DZ27" s="447"/>
      <c r="EA27" s="447"/>
      <c r="EB27" s="462"/>
      <c r="EC27" s="447"/>
      <c r="ED27" s="447"/>
      <c r="EE27" s="447"/>
      <c r="EF27" s="447"/>
      <c r="EG27" s="462"/>
      <c r="EH27" s="447"/>
      <c r="EI27" s="447"/>
      <c r="EJ27" s="447"/>
      <c r="EK27" s="447"/>
      <c r="EL27" s="494"/>
      <c r="EM27" s="448"/>
      <c r="EN27" s="493"/>
      <c r="EO27" s="448"/>
      <c r="EP27" s="458"/>
      <c r="EQ27" s="494"/>
      <c r="ER27" s="448"/>
      <c r="ES27" s="815"/>
      <c r="ET27" s="815"/>
      <c r="EU27" s="458"/>
      <c r="EV27" s="494"/>
      <c r="EW27" s="496">
        <v>2300</v>
      </c>
      <c r="EX27" s="496">
        <v>2800</v>
      </c>
      <c r="EY27" s="496">
        <v>2300</v>
      </c>
      <c r="EZ27" s="1719">
        <f>FA27-EY27-EX27-EW27</f>
      </c>
      <c r="FA27" s="900">
        <f>FA23-EV23</f>
      </c>
      <c r="FB27" s="447">
        <f t="shared" ref="FB27:GE27" si="20">FB23-EW23</f>
      </c>
      <c r="FC27" s="447">
        <f t="shared" si="20"/>
      </c>
      <c r="FD27" s="447">
        <f t="shared" si="20"/>
      </c>
      <c r="FE27" s="492">
        <f t="shared" si="20"/>
      </c>
      <c r="FF27" s="488">
        <f t="shared" si="20"/>
      </c>
      <c r="FG27" s="447">
        <f t="shared" si="20"/>
      </c>
      <c r="FH27" s="447">
        <f t="shared" si="20"/>
      </c>
      <c r="FI27" s="447">
        <f t="shared" si="20"/>
      </c>
      <c r="FJ27" s="492">
        <f t="shared" si="20"/>
      </c>
      <c r="FK27" s="488">
        <f t="shared" si="20"/>
      </c>
      <c r="FL27" s="447">
        <f t="shared" si="20"/>
      </c>
      <c r="FM27" s="447">
        <f t="shared" si="20"/>
      </c>
      <c r="FN27" s="447">
        <f t="shared" si="20"/>
      </c>
      <c r="FO27" s="492">
        <f t="shared" si="20"/>
      </c>
      <c r="FP27" s="488">
        <f t="shared" si="20"/>
      </c>
      <c r="FQ27" s="447">
        <f t="shared" si="20"/>
      </c>
      <c r="FR27" s="447">
        <f t="shared" si="20"/>
      </c>
      <c r="FS27" s="447">
        <f t="shared" si="20"/>
      </c>
      <c r="FT27" s="492">
        <f t="shared" si="20"/>
      </c>
      <c r="FU27" s="488">
        <f t="shared" si="20"/>
      </c>
      <c r="FV27" s="447">
        <f t="shared" si="20"/>
      </c>
      <c r="FW27" s="447">
        <f t="shared" si="20"/>
      </c>
      <c r="FX27" s="447">
        <f t="shared" si="20"/>
      </c>
      <c r="FY27" s="492">
        <f t="shared" si="20"/>
      </c>
      <c r="FZ27" s="488">
        <f t="shared" si="20"/>
      </c>
      <c r="GA27" s="447">
        <f t="shared" si="20"/>
      </c>
      <c r="GB27" s="447">
        <f t="shared" si="20"/>
      </c>
      <c r="GC27" s="447">
        <f t="shared" si="20"/>
      </c>
      <c r="GD27" s="492">
        <f t="shared" si="20"/>
      </c>
      <c r="GE27" s="488">
        <f t="shared" si="20"/>
      </c>
      <c r="GF27" s="447">
        <f t="shared" ref="GF27" si="21">GF23-GA23</f>
      </c>
      <c r="GG27" s="447">
        <f t="shared" ref="GG27" si="22">GG23-GB23</f>
      </c>
      <c r="GH27" s="447">
        <f t="shared" ref="GH27" si="23">GH23-GC23</f>
      </c>
      <c r="GI27" s="492">
        <f t="shared" ref="GI27" si="24">GI23-GD23</f>
      </c>
      <c r="GJ27" s="488">
        <f t="shared" ref="GJ27" si="25">GJ23-GE23</f>
      </c>
    </row>
    <row r="28" spans="1:192" s="819" customFormat="1" ht="12.75" customHeight="1">
      <c r="A28" s="818"/>
      <c r="B28" s="1751" t="s">
        <v>259</v>
      </c>
      <c r="C28" s="1407"/>
      <c r="D28" s="1464"/>
      <c r="E28" s="1464"/>
      <c r="F28" s="1464"/>
      <c r="G28" s="1752"/>
      <c r="H28" s="1407"/>
      <c r="I28" s="1464"/>
      <c r="J28" s="1464"/>
      <c r="K28" s="1464"/>
      <c r="L28" s="1752"/>
      <c r="M28" s="1407"/>
      <c r="N28" s="1464"/>
      <c r="O28" s="1464"/>
      <c r="P28" s="1464"/>
      <c r="Q28" s="1752"/>
      <c r="R28" s="1407"/>
      <c r="S28" s="1464"/>
      <c r="T28" s="1464"/>
      <c r="U28" s="1464"/>
      <c r="V28" s="1752"/>
      <c r="W28" s="1407"/>
      <c r="X28" s="1464"/>
      <c r="Y28" s="1464"/>
      <c r="Z28" s="1464"/>
      <c r="AA28" s="1752"/>
      <c r="AB28" s="1407"/>
      <c r="AC28" s="1464"/>
      <c r="AD28" s="1464"/>
      <c r="AE28" s="1464"/>
      <c r="AF28" s="1752"/>
      <c r="AG28" s="1407"/>
      <c r="AH28" s="1464"/>
      <c r="AI28" s="1464"/>
      <c r="AJ28" s="1464"/>
      <c r="AK28" s="1752"/>
      <c r="AL28" s="1407"/>
      <c r="AM28" s="1464"/>
      <c r="AN28" s="1464"/>
      <c r="AO28" s="1464"/>
      <c r="AP28" s="1752"/>
      <c r="AQ28" s="1407"/>
      <c r="AR28" s="1464"/>
      <c r="AS28" s="1464"/>
      <c r="AT28" s="1464"/>
      <c r="AU28" s="1752"/>
      <c r="AV28" s="1407"/>
      <c r="AW28" s="1464"/>
      <c r="AX28" s="1464"/>
      <c r="AY28" s="1464"/>
      <c r="AZ28" s="1752"/>
      <c r="BA28" s="1407"/>
      <c r="BB28" s="1464"/>
      <c r="BC28" s="1464"/>
      <c r="BD28" s="1464"/>
      <c r="BE28" s="1752"/>
      <c r="BF28" s="1407"/>
      <c r="BG28" s="1464"/>
      <c r="BH28" s="1464"/>
      <c r="BI28" s="1464"/>
      <c r="BJ28" s="1752"/>
      <c r="BK28" s="1407"/>
      <c r="BL28" s="1464"/>
      <c r="BM28" s="1464"/>
      <c r="BN28" s="1464"/>
      <c r="BO28" s="1752"/>
      <c r="BP28" s="1407"/>
      <c r="BQ28" s="1464"/>
      <c r="BR28" s="1464"/>
      <c r="BS28" s="1464"/>
      <c r="BT28" s="1752"/>
      <c r="BU28" s="1407"/>
      <c r="BV28" s="1464"/>
      <c r="BW28" s="1464"/>
      <c r="BX28" s="1464"/>
      <c r="BY28" s="1752"/>
      <c r="BZ28" s="1407"/>
      <c r="CA28" s="1464"/>
      <c r="CB28" s="1464"/>
      <c r="CC28" s="1464"/>
      <c r="CD28" s="1463"/>
      <c r="CE28" s="1407"/>
      <c r="CF28" s="1464"/>
      <c r="CG28" s="1464"/>
      <c r="CH28" s="1464"/>
      <c r="CI28" s="1463"/>
      <c r="CJ28" s="1407"/>
      <c r="CK28" s="1464"/>
      <c r="CL28" s="1464"/>
      <c r="CM28" s="1464"/>
      <c r="CN28" s="1463"/>
      <c r="CO28" s="1407"/>
      <c r="CP28" s="1464"/>
      <c r="CQ28" s="1464"/>
      <c r="CR28" s="1464"/>
      <c r="CS28" s="1463"/>
      <c r="CT28" s="1407"/>
      <c r="CU28" s="1464"/>
      <c r="CV28" s="1464"/>
      <c r="CW28" s="1464"/>
      <c r="CX28" s="1463"/>
      <c r="CY28" s="465"/>
      <c r="CZ28" s="1449"/>
      <c r="DA28" s="1449"/>
      <c r="DB28" s="1449"/>
      <c r="DC28" s="1463"/>
      <c r="DD28" s="465"/>
      <c r="DE28" s="465"/>
      <c r="DF28" s="465"/>
      <c r="DG28" s="465"/>
      <c r="DH28" s="1463"/>
      <c r="DI28" s="465"/>
      <c r="DJ28" s="465"/>
      <c r="DK28" s="465"/>
      <c r="DL28" s="465"/>
      <c r="DM28" s="1463"/>
      <c r="DN28" s="465"/>
      <c r="DO28" s="465"/>
      <c r="DP28" s="465"/>
      <c r="DQ28" s="465"/>
      <c r="DR28" s="1463"/>
      <c r="DS28" s="465"/>
      <c r="DT28" s="465"/>
      <c r="DU28" s="465"/>
      <c r="DV28" s="465"/>
      <c r="DW28" s="1463"/>
      <c r="DX28" s="465"/>
      <c r="DY28" s="465"/>
      <c r="DZ28" s="465"/>
      <c r="EA28" s="465"/>
      <c r="EB28" s="1463"/>
      <c r="EC28" s="465"/>
      <c r="ED28" s="465"/>
      <c r="EE28" s="465"/>
      <c r="EF28" s="465"/>
      <c r="EG28" s="1463"/>
      <c r="EH28" s="465"/>
      <c r="EI28" s="465"/>
      <c r="EJ28" s="465"/>
      <c r="EK28" s="465"/>
      <c r="EL28" s="1463"/>
      <c r="EM28" s="465"/>
      <c r="EN28" s="1449"/>
      <c r="EO28" s="465"/>
      <c r="EP28" s="1449"/>
      <c r="EQ28" s="1463"/>
      <c r="ER28" s="465">
        <f>ER23/ER10</f>
      </c>
      <c r="ES28" s="465">
        <f>ES23/ES10</f>
      </c>
      <c r="ET28" s="465">
        <f>ET23/ET10</f>
      </c>
      <c r="EU28" s="465">
        <f>EU23/EU10</f>
      </c>
      <c r="EV28" s="1463"/>
      <c r="EW28" s="465">
        <f>EW23/EW10</f>
      </c>
      <c r="EX28" s="465">
        <f>EX23/EX10</f>
      </c>
      <c r="EY28" s="465">
        <f>EY23/EY10</f>
      </c>
      <c r="EZ28" s="465">
        <f>EZ23/EZ10</f>
      </c>
      <c r="FA28" s="1463">
        <f>FA23/FA10</f>
      </c>
      <c r="FB28" s="1407">
        <v>0.82499999999999996</v>
      </c>
      <c r="FC28" s="1407">
        <f t="shared" ref="FC28:FE28" si="26">FB28</f>
      </c>
      <c r="FD28" s="1407">
        <f t="shared" si="26"/>
      </c>
      <c r="FE28" s="1407">
        <f t="shared" si="26"/>
      </c>
      <c r="FF28" s="1463">
        <f>FF23/FF10</f>
      </c>
      <c r="FG28" s="1407">
        <f t="shared" ref="FG28" si="27">FE28+0.25%</f>
      </c>
      <c r="FH28" s="1407">
        <f t="shared" ref="FH28:FJ28" si="28">FG28</f>
      </c>
      <c r="FI28" s="1407">
        <f t="shared" si="28"/>
      </c>
      <c r="FJ28" s="1407">
        <f t="shared" si="28"/>
      </c>
      <c r="FK28" s="1463">
        <f>FK23/FK10</f>
      </c>
      <c r="FL28" s="1407">
        <f>FG28+0.25%</f>
      </c>
      <c r="FM28" s="1407">
        <f>FL28</f>
      </c>
      <c r="FN28" s="1407">
        <f>FM28</f>
      </c>
      <c r="FO28" s="1407">
        <f>FN28</f>
      </c>
      <c r="FP28" s="1463">
        <f>FP23/FP10</f>
      </c>
      <c r="FQ28" s="1407">
        <f>FL28+0.25%</f>
      </c>
      <c r="FR28" s="1407">
        <f>FQ28</f>
      </c>
      <c r="FS28" s="1407">
        <f>FR28</f>
      </c>
      <c r="FT28" s="1407">
        <f>FS28</f>
      </c>
      <c r="FU28" s="1463">
        <f>FU23/FU10</f>
      </c>
      <c r="FV28" s="1407">
        <f>FQ28+0.25%</f>
      </c>
      <c r="FW28" s="1407">
        <f>FV28</f>
      </c>
      <c r="FX28" s="1407">
        <f>FW28</f>
      </c>
      <c r="FY28" s="1407">
        <f>FX28</f>
      </c>
      <c r="FZ28" s="1463">
        <f>FZ23/FZ10</f>
      </c>
      <c r="GA28" s="1407">
        <f>FV28+0.25%</f>
      </c>
      <c r="GB28" s="1407">
        <f>GA28</f>
      </c>
      <c r="GC28" s="1407">
        <f>GB28</f>
      </c>
      <c r="GD28" s="1407">
        <f>GC28</f>
      </c>
      <c r="GE28" s="1463">
        <f>GE23/GE10</f>
      </c>
      <c r="GF28" s="1407">
        <f>GA28+0.25%</f>
      </c>
      <c r="GG28" s="1407">
        <f>GF28</f>
      </c>
      <c r="GH28" s="1407">
        <f>GG28</f>
      </c>
      <c r="GI28" s="1407">
        <f>GH28</f>
      </c>
      <c r="GJ28" s="1463">
        <f>GJ23/GJ10</f>
      </c>
    </row>
    <row r="29" spans="1:192" s="1247" customFormat="1" ht="12.75" customHeight="1">
      <c r="A29" s="1561"/>
      <c r="B29" s="753" t="s">
        <v>1854</v>
      </c>
      <c r="C29" s="1243"/>
      <c r="D29" s="1244"/>
      <c r="E29" s="1244"/>
      <c r="F29" s="1244"/>
      <c r="G29" s="1242"/>
      <c r="H29" s="1243"/>
      <c r="I29" s="1244"/>
      <c r="J29" s="1244"/>
      <c r="K29" s="1244"/>
      <c r="L29" s="1242"/>
      <c r="M29" s="1243"/>
      <c r="N29" s="1244"/>
      <c r="O29" s="1244"/>
      <c r="P29" s="1244"/>
      <c r="Q29" s="1242"/>
      <c r="R29" s="1243"/>
      <c r="S29" s="1244"/>
      <c r="T29" s="1244"/>
      <c r="U29" s="1244"/>
      <c r="V29" s="1242"/>
      <c r="W29" s="1243"/>
      <c r="X29" s="1244"/>
      <c r="Y29" s="1244"/>
      <c r="Z29" s="1244"/>
      <c r="AA29" s="1242"/>
      <c r="AB29" s="1243"/>
      <c r="AC29" s="1244"/>
      <c r="AD29" s="1244"/>
      <c r="AE29" s="1244"/>
      <c r="AF29" s="1242"/>
      <c r="AG29" s="1243"/>
      <c r="AH29" s="1244"/>
      <c r="AI29" s="1244"/>
      <c r="AJ29" s="1244"/>
      <c r="AK29" s="1242"/>
      <c r="AL29" s="1243"/>
      <c r="AM29" s="1244"/>
      <c r="AN29" s="1244"/>
      <c r="AO29" s="1244"/>
      <c r="AP29" s="1242"/>
      <c r="AQ29" s="1243"/>
      <c r="AR29" s="1244"/>
      <c r="AS29" s="1244"/>
      <c r="AT29" s="1244"/>
      <c r="AU29" s="1242"/>
      <c r="AV29" s="1243"/>
      <c r="AW29" s="1244"/>
      <c r="AX29" s="1244"/>
      <c r="AY29" s="1244"/>
      <c r="AZ29" s="1242"/>
      <c r="BA29" s="1243"/>
      <c r="BB29" s="1244"/>
      <c r="BC29" s="1244"/>
      <c r="BD29" s="1244"/>
      <c r="BE29" s="1242"/>
      <c r="BF29" s="1243"/>
      <c r="BG29" s="1244"/>
      <c r="BH29" s="1244"/>
      <c r="BI29" s="1244"/>
      <c r="BJ29" s="1242"/>
      <c r="BK29" s="1243"/>
      <c r="BL29" s="1244"/>
      <c r="BM29" s="1244"/>
      <c r="BN29" s="1244"/>
      <c r="BO29" s="1242"/>
      <c r="BP29" s="1243"/>
      <c r="BQ29" s="1244"/>
      <c r="BR29" s="1244"/>
      <c r="BS29" s="1244"/>
      <c r="BT29" s="1242"/>
      <c r="BU29" s="1243"/>
      <c r="BV29" s="1244"/>
      <c r="BW29" s="1244"/>
      <c r="BX29" s="1244"/>
      <c r="BY29" s="1242"/>
      <c r="BZ29" s="1243"/>
      <c r="CA29" s="1244"/>
      <c r="CB29" s="1244"/>
      <c r="CC29" s="1244"/>
      <c r="CD29" s="1242"/>
      <c r="CE29" s="1243"/>
      <c r="CF29" s="1244"/>
      <c r="CG29" s="1244"/>
      <c r="CH29" s="1244"/>
      <c r="CI29" s="1242"/>
      <c r="CJ29" s="1243"/>
      <c r="CK29" s="1244"/>
      <c r="CL29" s="1244"/>
      <c r="CM29" s="1244"/>
      <c r="CN29" s="1242"/>
      <c r="CO29" s="1243"/>
      <c r="CP29" s="1244"/>
      <c r="CQ29" s="1244"/>
      <c r="CR29" s="1244"/>
      <c r="CS29" s="1242"/>
      <c r="CT29" s="1243"/>
      <c r="CU29" s="1244"/>
      <c r="CV29" s="1244"/>
      <c r="CW29" s="1244"/>
      <c r="CX29" s="1242"/>
      <c r="CY29" s="1243"/>
      <c r="CZ29" s="1244"/>
      <c r="DA29" s="1244"/>
      <c r="DB29" s="1244"/>
      <c r="DC29" s="1242"/>
      <c r="DD29" s="1243"/>
      <c r="DE29" s="1244"/>
      <c r="DF29" s="1244"/>
      <c r="DG29" s="1244"/>
      <c r="DH29" s="1245"/>
      <c r="DI29" s="1243"/>
      <c r="DJ29" s="1244"/>
      <c r="DK29" s="1244"/>
      <c r="DL29" s="1244"/>
      <c r="DM29" s="1242"/>
      <c r="DN29" s="1243"/>
      <c r="DO29" s="1244"/>
      <c r="DP29" s="1244"/>
      <c r="DQ29" s="1244"/>
      <c r="DR29" s="1242"/>
      <c r="DS29" s="1243"/>
      <c r="DT29" s="1244"/>
      <c r="DU29" s="1244"/>
      <c r="DV29" s="1244"/>
      <c r="DW29" s="1242"/>
      <c r="DX29" s="1243"/>
      <c r="DY29" s="1244"/>
      <c r="DZ29" s="1244"/>
      <c r="EA29" s="1244"/>
      <c r="EB29" s="1242"/>
      <c r="EC29" s="1243"/>
      <c r="ED29" s="1244"/>
      <c r="EE29" s="1244"/>
      <c r="EF29" s="1244"/>
      <c r="EG29" s="1242"/>
      <c r="EH29" s="1243"/>
      <c r="EI29" s="1244"/>
      <c r="EJ29" s="1244"/>
      <c r="EK29" s="1244"/>
      <c r="EL29" s="1242"/>
      <c r="EM29" s="1243"/>
      <c r="EN29" s="1243"/>
      <c r="EO29" s="1243"/>
      <c r="EP29" s="1244"/>
      <c r="EQ29" s="1242"/>
      <c r="ER29" s="1243"/>
      <c r="ES29" s="1244"/>
      <c r="ET29" s="1243"/>
      <c r="EU29" s="1244"/>
      <c r="EV29" s="1242"/>
      <c r="EW29" s="1243">
        <f t="shared" ref="EW29:FS29" si="29">(EW28-ER28)*10000</f>
      </c>
      <c r="EX29" s="1244">
        <f t="shared" si="29"/>
      </c>
      <c r="EY29" s="1244">
        <f t="shared" si="29"/>
      </c>
      <c r="EZ29" s="1244">
        <f t="shared" si="29"/>
      </c>
      <c r="FA29" s="1242">
        <f t="shared" si="29"/>
      </c>
      <c r="FB29" s="1243">
        <f t="shared" si="29"/>
      </c>
      <c r="FC29" s="1244">
        <f t="shared" si="29"/>
      </c>
      <c r="FD29" s="1244">
        <f t="shared" si="29"/>
      </c>
      <c r="FE29" s="1244">
        <f t="shared" si="29"/>
      </c>
      <c r="FF29" s="1242">
        <f t="shared" si="29"/>
      </c>
      <c r="FG29" s="1243">
        <f t="shared" si="29"/>
      </c>
      <c r="FH29" s="1243">
        <f t="shared" si="29"/>
      </c>
      <c r="FI29" s="1243">
        <f t="shared" si="29"/>
      </c>
      <c r="FJ29" s="1243">
        <f t="shared" si="29"/>
      </c>
      <c r="FK29" s="1242">
        <f t="shared" si="29"/>
      </c>
      <c r="FL29" s="1243">
        <f t="shared" si="29"/>
      </c>
      <c r="FM29" s="1243">
        <f t="shared" si="29"/>
      </c>
      <c r="FN29" s="1243">
        <f t="shared" si="29"/>
      </c>
      <c r="FO29" s="1243">
        <f t="shared" si="29"/>
      </c>
      <c r="FP29" s="1242">
        <f t="shared" si="29"/>
      </c>
      <c r="FQ29" s="1243">
        <f t="shared" si="29"/>
      </c>
      <c r="FR29" s="1243">
        <f t="shared" si="29"/>
      </c>
      <c r="FS29" s="1243">
        <f t="shared" si="29"/>
      </c>
      <c r="FT29" s="1243">
        <f t="shared" ref="FT29:GE29" si="30">(FT28-FO28)*10000</f>
      </c>
      <c r="FU29" s="1242">
        <f t="shared" si="30"/>
      </c>
      <c r="FV29" s="1243">
        <f t="shared" si="30"/>
      </c>
      <c r="FW29" s="1243">
        <f t="shared" si="30"/>
      </c>
      <c r="FX29" s="1243">
        <f t="shared" si="30"/>
      </c>
      <c r="FY29" s="1243">
        <f t="shared" si="30"/>
      </c>
      <c r="FZ29" s="1242">
        <f t="shared" si="30"/>
      </c>
      <c r="GA29" s="1243">
        <f t="shared" si="30"/>
      </c>
      <c r="GB29" s="1243">
        <f t="shared" si="30"/>
      </c>
      <c r="GC29" s="1243">
        <f t="shared" si="30"/>
      </c>
      <c r="GD29" s="1243">
        <f t="shared" si="30"/>
      </c>
      <c r="GE29" s="1242">
        <f t="shared" si="30"/>
      </c>
      <c r="GF29" s="1243">
        <f t="shared" ref="GF29" si="31">(GF28-GA28)*10000</f>
      </c>
      <c r="GG29" s="1243">
        <f t="shared" ref="GG29" si="32">(GG28-GB28)*10000</f>
      </c>
      <c r="GH29" s="1243">
        <f t="shared" ref="GH29" si="33">(GH28-GC28)*10000</f>
      </c>
      <c r="GI29" s="1243">
        <f t="shared" ref="GI29" si="34">(GI28-GD28)*10000</f>
      </c>
      <c r="GJ29" s="1242">
        <f t="shared" ref="GJ29" si="35">(GJ28-GE28)*10000</f>
      </c>
    </row>
    <row r="30" spans="1:192" ht="12.75" customHeight="1">
      <c r="B30" s="729"/>
      <c r="C30" s="294"/>
      <c r="D30" s="295"/>
      <c r="E30" s="295"/>
      <c r="F30" s="295"/>
      <c r="G30" s="296"/>
      <c r="H30" s="294"/>
      <c r="I30" s="295"/>
      <c r="J30" s="295"/>
      <c r="K30" s="295"/>
      <c r="L30" s="296"/>
      <c r="M30" s="294"/>
      <c r="N30" s="295"/>
      <c r="O30" s="295"/>
      <c r="P30" s="295"/>
      <c r="Q30" s="296"/>
      <c r="R30" s="294"/>
      <c r="S30" s="295"/>
      <c r="T30" s="295"/>
      <c r="U30" s="295"/>
      <c r="V30" s="296"/>
      <c r="W30" s="294"/>
      <c r="X30" s="295"/>
      <c r="Y30" s="295"/>
      <c r="Z30" s="295"/>
      <c r="AA30" s="296"/>
      <c r="AB30" s="294"/>
      <c r="AC30" s="295"/>
      <c r="AD30" s="295"/>
      <c r="AE30" s="295"/>
      <c r="AF30" s="296"/>
      <c r="AG30" s="294"/>
      <c r="AH30" s="295"/>
      <c r="AI30" s="295"/>
      <c r="AJ30" s="295"/>
      <c r="AK30" s="296"/>
      <c r="AL30" s="294"/>
      <c r="AM30" s="295"/>
      <c r="AN30" s="295"/>
      <c r="AO30" s="295"/>
      <c r="AP30" s="296"/>
      <c r="AQ30" s="294"/>
      <c r="AR30" s="295"/>
      <c r="AS30" s="295"/>
      <c r="AT30" s="295"/>
      <c r="AU30" s="296"/>
      <c r="AV30" s="294"/>
      <c r="AW30" s="295"/>
      <c r="AX30" s="295"/>
      <c r="AY30" s="295"/>
      <c r="AZ30" s="296"/>
      <c r="BA30" s="294"/>
      <c r="BB30" s="295"/>
      <c r="BC30" s="295"/>
      <c r="BD30" s="295"/>
      <c r="BE30" s="296"/>
      <c r="BF30" s="294"/>
      <c r="BG30" s="295"/>
      <c r="BH30" s="295"/>
      <c r="BI30" s="295"/>
      <c r="BJ30" s="296"/>
      <c r="BK30" s="294"/>
      <c r="BL30" s="295"/>
      <c r="BM30" s="295"/>
      <c r="BN30" s="295"/>
      <c r="BO30" s="296"/>
      <c r="BP30" s="294"/>
      <c r="BQ30" s="295"/>
      <c r="BR30" s="295"/>
      <c r="BS30" s="295"/>
      <c r="BT30" s="296"/>
      <c r="BU30" s="294"/>
      <c r="BV30" s="295"/>
      <c r="BW30" s="295"/>
      <c r="BX30" s="295"/>
      <c r="BY30" s="296"/>
      <c r="BZ30" s="294"/>
      <c r="CA30" s="295"/>
      <c r="CB30" s="295"/>
      <c r="CC30" s="295"/>
      <c r="CD30" s="293"/>
      <c r="CE30" s="294"/>
      <c r="CF30" s="295"/>
      <c r="CG30" s="295"/>
      <c r="CH30" s="295"/>
      <c r="CI30" s="293"/>
      <c r="CJ30" s="294"/>
      <c r="CK30" s="295"/>
      <c r="CL30" s="295"/>
      <c r="CM30" s="295"/>
      <c r="CN30" s="293"/>
      <c r="CO30" s="294"/>
      <c r="CP30" s="295"/>
      <c r="CQ30" s="295"/>
      <c r="CR30" s="295"/>
      <c r="CS30" s="293"/>
      <c r="CT30" s="294"/>
      <c r="CU30" s="295"/>
      <c r="CV30" s="295"/>
      <c r="CW30" s="295"/>
      <c r="CX30" s="293"/>
      <c r="CY30" s="294"/>
      <c r="CZ30" s="295"/>
      <c r="DA30" s="295"/>
      <c r="DB30" s="295"/>
      <c r="DC30" s="293"/>
      <c r="DD30" s="294"/>
      <c r="DE30" s="295"/>
      <c r="DF30" s="295"/>
      <c r="DG30" s="295"/>
      <c r="DH30" s="293"/>
      <c r="DI30" s="294"/>
      <c r="DJ30" s="295"/>
      <c r="DK30" s="295"/>
      <c r="DL30" s="295"/>
      <c r="DM30" s="293"/>
      <c r="DN30" s="294"/>
      <c r="DO30" s="295"/>
      <c r="DP30" s="295"/>
      <c r="DQ30" s="295"/>
      <c r="DR30" s="293"/>
      <c r="DS30" s="294"/>
      <c r="DT30" s="295"/>
      <c r="DU30" s="295"/>
      <c r="DV30" s="295"/>
      <c r="DW30" s="293"/>
      <c r="DX30" s="294"/>
      <c r="DY30" s="295"/>
      <c r="DZ30" s="295"/>
      <c r="EA30" s="295"/>
      <c r="EB30" s="293"/>
      <c r="EC30" s="294"/>
      <c r="ED30" s="295"/>
      <c r="EE30" s="295"/>
      <c r="EF30" s="295"/>
      <c r="EG30" s="293"/>
      <c r="EH30" s="294"/>
      <c r="EI30" s="295"/>
      <c r="EJ30" s="295"/>
      <c r="EK30" s="295"/>
      <c r="EL30" s="293"/>
      <c r="EM30" s="294"/>
      <c r="EN30" s="295"/>
      <c r="EO30" s="295"/>
      <c r="EP30" s="469"/>
      <c r="EQ30" s="293"/>
      <c r="ER30" s="446"/>
      <c r="ES30" s="295"/>
      <c r="ET30" s="295"/>
      <c r="EU30" s="295"/>
      <c r="EV30" s="296"/>
      <c r="EW30" s="294"/>
      <c r="EX30" s="295"/>
      <c r="EY30" s="295"/>
      <c r="EZ30" s="295"/>
      <c r="FA30" s="296"/>
      <c r="FB30" s="294"/>
      <c r="FC30" s="295"/>
      <c r="FD30" s="295"/>
      <c r="FE30" s="295"/>
      <c r="FF30" s="296"/>
      <c r="FG30" s="294"/>
      <c r="FH30" s="295"/>
      <c r="FI30" s="295"/>
      <c r="FJ30" s="295"/>
      <c r="FK30" s="296"/>
      <c r="FL30" s="294"/>
      <c r="FM30" s="295"/>
      <c r="FN30" s="295"/>
      <c r="FO30" s="295"/>
      <c r="FP30" s="296"/>
      <c r="FQ30" s="294"/>
      <c r="FR30" s="295"/>
      <c r="FS30" s="295"/>
      <c r="FT30" s="295"/>
      <c r="FU30" s="296"/>
      <c r="FV30" s="294"/>
      <c r="FW30" s="295"/>
      <c r="FX30" s="295"/>
      <c r="FY30" s="295"/>
      <c r="FZ30" s="296"/>
      <c r="GA30" s="294"/>
      <c r="GB30" s="295"/>
      <c r="GC30" s="295"/>
      <c r="GD30" s="295"/>
      <c r="GE30" s="296"/>
      <c r="GF30" s="294"/>
      <c r="GG30" s="295"/>
      <c r="GH30" s="295"/>
      <c r="GI30" s="295"/>
      <c r="GJ30" s="296"/>
    </row>
    <row r="31" spans="1:192" s="317" customFormat="1" ht="12.75" customHeight="1">
      <c r="A31" s="280"/>
      <c r="B31" s="730" t="s">
        <v>235</v>
      </c>
      <c r="C31" s="315"/>
      <c r="D31" s="315"/>
      <c r="E31" s="315"/>
      <c r="F31" s="315"/>
      <c r="G31" s="313"/>
      <c r="H31" s="315"/>
      <c r="I31" s="315"/>
      <c r="J31" s="315"/>
      <c r="K31" s="315"/>
      <c r="L31" s="313"/>
      <c r="M31" s="315"/>
      <c r="N31" s="315"/>
      <c r="O31" s="315"/>
      <c r="P31" s="315"/>
      <c r="Q31" s="313"/>
      <c r="R31" s="315"/>
      <c r="S31" s="315"/>
      <c r="T31" s="315"/>
      <c r="U31" s="315"/>
      <c r="V31" s="313"/>
      <c r="W31" s="315"/>
      <c r="X31" s="315"/>
      <c r="Y31" s="315"/>
      <c r="Z31" s="315"/>
      <c r="AA31" s="313"/>
      <c r="AB31" s="315"/>
      <c r="AC31" s="315"/>
      <c r="AD31" s="315"/>
      <c r="AE31" s="315"/>
      <c r="AF31" s="313"/>
      <c r="AG31" s="315"/>
      <c r="AH31" s="315"/>
      <c r="AI31" s="315"/>
      <c r="AJ31" s="315"/>
      <c r="AK31" s="313"/>
      <c r="AL31" s="315"/>
      <c r="AM31" s="315"/>
      <c r="AN31" s="315"/>
      <c r="AO31" s="315"/>
      <c r="AP31" s="313"/>
      <c r="AQ31" s="315"/>
      <c r="AR31" s="315"/>
      <c r="AS31" s="315"/>
      <c r="AT31" s="315"/>
      <c r="AU31" s="313"/>
      <c r="AV31" s="315"/>
      <c r="AW31" s="315"/>
      <c r="AX31" s="315"/>
      <c r="AY31" s="315"/>
      <c r="AZ31" s="313"/>
      <c r="BA31" s="315"/>
      <c r="BB31" s="315"/>
      <c r="BC31" s="315"/>
      <c r="BD31" s="315"/>
      <c r="BE31" s="313"/>
      <c r="BF31" s="315"/>
      <c r="BG31" s="315"/>
      <c r="BH31" s="315"/>
      <c r="BI31" s="315"/>
      <c r="BJ31" s="313"/>
      <c r="BK31" s="315"/>
      <c r="BL31" s="315"/>
      <c r="BM31" s="315"/>
      <c r="BN31" s="315"/>
      <c r="BO31" s="313"/>
      <c r="BP31" s="315"/>
      <c r="BQ31" s="315"/>
      <c r="BR31" s="315"/>
      <c r="BS31" s="315"/>
      <c r="BT31" s="313"/>
      <c r="BU31" s="315"/>
      <c r="BV31" s="315"/>
      <c r="BW31" s="315"/>
      <c r="BX31" s="315"/>
      <c r="BY31" s="313"/>
      <c r="BZ31" s="315"/>
      <c r="CA31" s="315"/>
      <c r="CB31" s="315"/>
      <c r="CC31" s="315"/>
      <c r="CD31" s="319"/>
      <c r="CE31" s="315"/>
      <c r="CF31" s="315"/>
      <c r="CG31" s="315"/>
      <c r="CH31" s="315"/>
      <c r="CI31" s="319"/>
      <c r="CJ31" s="315"/>
      <c r="CK31" s="315"/>
      <c r="CL31" s="315"/>
      <c r="CM31" s="315"/>
      <c r="CN31" s="319"/>
      <c r="CO31" s="315"/>
      <c r="CP31" s="315"/>
      <c r="CQ31" s="315"/>
      <c r="CR31" s="315"/>
      <c r="CS31" s="319"/>
      <c r="CT31" s="315"/>
      <c r="CU31" s="315"/>
      <c r="CV31" s="315"/>
      <c r="CW31" s="315"/>
      <c r="CX31" s="319"/>
      <c r="CY31" s="312"/>
      <c r="CZ31" s="312"/>
      <c r="DA31" s="312"/>
      <c r="DB31" s="312"/>
      <c r="DC31" s="319"/>
      <c r="DD31" s="312"/>
      <c r="DE31" s="312"/>
      <c r="DF31" s="312"/>
      <c r="DG31" s="312"/>
      <c r="DH31" s="319"/>
      <c r="DI31" s="312"/>
      <c r="DJ31" s="312"/>
      <c r="DK31" s="312"/>
      <c r="DL31" s="312"/>
      <c r="DM31" s="319"/>
      <c r="DN31" s="312"/>
      <c r="DO31" s="312"/>
      <c r="DP31" s="312"/>
      <c r="DQ31" s="312"/>
      <c r="DR31" s="319"/>
      <c r="DS31" s="312"/>
      <c r="DT31" s="312"/>
      <c r="DU31" s="312"/>
      <c r="DV31" s="312"/>
      <c r="DW31" s="319"/>
      <c r="DX31" s="312"/>
      <c r="DY31" s="312"/>
      <c r="DZ31" s="312"/>
      <c r="EA31" s="312"/>
      <c r="EB31" s="319"/>
      <c r="EC31" s="312"/>
      <c r="ED31" s="312"/>
      <c r="EE31" s="312"/>
      <c r="EF31" s="312"/>
      <c r="EG31" s="319"/>
      <c r="EH31" s="312"/>
      <c r="EI31" s="312"/>
      <c r="EJ31" s="312"/>
      <c r="EK31" s="312"/>
      <c r="EL31" s="319"/>
      <c r="EM31" s="312"/>
      <c r="EN31" s="312"/>
      <c r="EO31" s="312"/>
      <c r="EP31" s="312"/>
      <c r="EQ31" s="319"/>
      <c r="ER31" s="312">
        <f>EW35/EW32</f>
      </c>
      <c r="ES31" s="312">
        <f>EX35/EX32</f>
      </c>
      <c r="ET31" s="312">
        <f>EY35/EY32</f>
      </c>
      <c r="EU31" s="312">
        <f>EZ35/EZ32</f>
      </c>
      <c r="EV31" s="453">
        <v>27548</v>
      </c>
      <c r="EW31" s="312">
        <f>ER31*(1+EW32)</f>
      </c>
      <c r="EX31" s="312">
        <f>ES31*(1+EX32)</f>
      </c>
      <c r="EY31" s="312">
        <f>ET31*(1+EY32)</f>
      </c>
      <c r="EZ31" s="312">
        <f>EU31*(1+EZ32)</f>
      </c>
      <c r="FA31" s="453">
        <v>28615</v>
      </c>
      <c r="FB31" s="315"/>
      <c r="FC31" s="315"/>
      <c r="FD31" s="315"/>
      <c r="FE31" s="315"/>
      <c r="FF31" s="313"/>
      <c r="FG31" s="315"/>
      <c r="FH31" s="315"/>
      <c r="FI31" s="315"/>
      <c r="FJ31" s="315"/>
      <c r="FK31" s="313"/>
      <c r="FL31" s="315"/>
      <c r="FM31" s="315"/>
      <c r="FN31" s="315"/>
      <c r="FO31" s="315"/>
      <c r="FP31" s="313"/>
      <c r="FQ31" s="315"/>
      <c r="FR31" s="315"/>
      <c r="FS31" s="315"/>
      <c r="FT31" s="315"/>
      <c r="FU31" s="313"/>
      <c r="FV31" s="315"/>
      <c r="FW31" s="315"/>
      <c r="FX31" s="315"/>
      <c r="FY31" s="315"/>
      <c r="FZ31" s="313"/>
      <c r="GA31" s="315"/>
      <c r="GB31" s="315"/>
      <c r="GC31" s="315"/>
      <c r="GD31" s="315"/>
      <c r="GE31" s="313"/>
      <c r="GF31" s="315"/>
      <c r="GG31" s="315"/>
      <c r="GH31" s="315"/>
      <c r="GI31" s="315"/>
      <c r="GJ31" s="313"/>
    </row>
    <row r="32" spans="1:192" ht="12.75" customHeight="1">
      <c r="B32" s="727" t="s">
        <v>34</v>
      </c>
      <c r="C32" s="291"/>
      <c r="D32" s="107"/>
      <c r="E32" s="107"/>
      <c r="F32" s="107"/>
      <c r="G32" s="292"/>
      <c r="H32" s="291"/>
      <c r="I32" s="107"/>
      <c r="J32" s="107"/>
      <c r="K32" s="107"/>
      <c r="L32" s="292"/>
      <c r="M32" s="291"/>
      <c r="N32" s="107"/>
      <c r="O32" s="107"/>
      <c r="P32" s="107"/>
      <c r="Q32" s="292"/>
      <c r="R32" s="291"/>
      <c r="S32" s="107"/>
      <c r="T32" s="107"/>
      <c r="U32" s="107"/>
      <c r="V32" s="292"/>
      <c r="W32" s="291"/>
      <c r="X32" s="107"/>
      <c r="Y32" s="107"/>
      <c r="Z32" s="107"/>
      <c r="AA32" s="292"/>
      <c r="AB32" s="291"/>
      <c r="AC32" s="107"/>
      <c r="AD32" s="107"/>
      <c r="AE32" s="107"/>
      <c r="AF32" s="292"/>
      <c r="AG32" s="291"/>
      <c r="AH32" s="107"/>
      <c r="AI32" s="107"/>
      <c r="AJ32" s="107"/>
      <c r="AK32" s="292"/>
      <c r="AL32" s="291"/>
      <c r="AM32" s="107"/>
      <c r="AN32" s="107"/>
      <c r="AO32" s="107"/>
      <c r="AP32" s="292"/>
      <c r="AQ32" s="291"/>
      <c r="AR32" s="107"/>
      <c r="AS32" s="107"/>
      <c r="AT32" s="107"/>
      <c r="AU32" s="292"/>
      <c r="AV32" s="291"/>
      <c r="AW32" s="107"/>
      <c r="AX32" s="107"/>
      <c r="AY32" s="107"/>
      <c r="AZ32" s="292"/>
      <c r="BA32" s="291"/>
      <c r="BB32" s="107"/>
      <c r="BC32" s="107"/>
      <c r="BD32" s="107"/>
      <c r="BE32" s="292"/>
      <c r="BF32" s="291"/>
      <c r="BG32" s="107"/>
      <c r="BH32" s="107"/>
      <c r="BI32" s="107"/>
      <c r="BJ32" s="292"/>
      <c r="BK32" s="291"/>
      <c r="BL32" s="107"/>
      <c r="BM32" s="107"/>
      <c r="BN32" s="107"/>
      <c r="BO32" s="292"/>
      <c r="BP32" s="291"/>
      <c r="BQ32" s="107"/>
      <c r="BR32" s="107"/>
      <c r="BS32" s="107"/>
      <c r="BT32" s="292"/>
      <c r="BU32" s="291"/>
      <c r="BV32" s="107"/>
      <c r="BW32" s="107"/>
      <c r="BX32" s="107"/>
      <c r="BY32" s="292"/>
      <c r="BZ32" s="291"/>
      <c r="CA32" s="107"/>
      <c r="CB32" s="107"/>
      <c r="CC32" s="107"/>
      <c r="CD32" s="292"/>
      <c r="CE32" s="291"/>
      <c r="CF32" s="107"/>
      <c r="CG32" s="107"/>
      <c r="CH32" s="107"/>
      <c r="CI32" s="292"/>
      <c r="CJ32" s="291"/>
      <c r="CK32" s="107"/>
      <c r="CL32" s="107"/>
      <c r="CM32" s="107"/>
      <c r="CN32" s="292"/>
      <c r="CO32" s="291"/>
      <c r="CP32" s="107"/>
      <c r="CQ32" s="107"/>
      <c r="CR32" s="107"/>
      <c r="CS32" s="292"/>
      <c r="CT32" s="291"/>
      <c r="CU32" s="107"/>
      <c r="CV32" s="107"/>
      <c r="CW32" s="107"/>
      <c r="CX32" s="292"/>
      <c r="CY32" s="291"/>
      <c r="CZ32" s="107"/>
      <c r="DA32" s="107"/>
      <c r="DB32" s="107"/>
      <c r="DC32" s="292"/>
      <c r="DD32" s="412"/>
      <c r="DE32" s="114"/>
      <c r="DF32" s="114"/>
      <c r="DG32" s="114"/>
      <c r="DH32" s="292"/>
      <c r="DI32" s="412"/>
      <c r="DJ32" s="114"/>
      <c r="DK32" s="114"/>
      <c r="DL32" s="114"/>
      <c r="DM32" s="292"/>
      <c r="DN32" s="412"/>
      <c r="DO32" s="114"/>
      <c r="DP32" s="114"/>
      <c r="DQ32" s="114"/>
      <c r="DR32" s="292"/>
      <c r="DS32" s="412"/>
      <c r="DT32" s="114"/>
      <c r="DU32" s="114"/>
      <c r="DV32" s="114"/>
      <c r="DW32" s="292"/>
      <c r="DX32" s="412"/>
      <c r="DY32" s="114"/>
      <c r="DZ32" s="114"/>
      <c r="EA32" s="114"/>
      <c r="EB32" s="292"/>
      <c r="EC32" s="412"/>
      <c r="ED32" s="114"/>
      <c r="EE32" s="114"/>
      <c r="EF32" s="114"/>
      <c r="EG32" s="292"/>
      <c r="EH32" s="412"/>
      <c r="EI32" s="114"/>
      <c r="EJ32" s="114"/>
      <c r="EK32" s="114"/>
      <c r="EL32" s="413"/>
      <c r="EM32" s="412"/>
      <c r="EN32" s="114"/>
      <c r="EO32" s="114"/>
      <c r="EP32" s="114"/>
      <c r="EQ32" s="292"/>
      <c r="ER32" s="412"/>
      <c r="ES32" s="114"/>
      <c r="ET32" s="439"/>
      <c r="EU32" s="439"/>
      <c r="EV32" s="292"/>
      <c r="EW32" s="441">
        <v>0.02</v>
      </c>
      <c r="EX32" s="439">
        <v>0.06</v>
      </c>
      <c r="EY32" s="439">
        <v>0.01</v>
      </c>
      <c r="EZ32" s="439">
        <v>7.0000000000000007E-2</v>
      </c>
      <c r="FA32" s="292">
        <f t="shared" ref="FA32" si="36">IFERROR(FA31/EV31-1,"--")</f>
      </c>
      <c r="FB32" s="291"/>
      <c r="FC32" s="107"/>
      <c r="FD32" s="107"/>
      <c r="FE32" s="107"/>
      <c r="FF32" s="292"/>
      <c r="FG32" s="291"/>
      <c r="FH32" s="107"/>
      <c r="FI32" s="107"/>
      <c r="FJ32" s="107"/>
      <c r="FK32" s="292"/>
      <c r="FL32" s="291"/>
      <c r="FM32" s="107"/>
      <c r="FN32" s="107"/>
      <c r="FO32" s="107"/>
      <c r="FP32" s="292"/>
      <c r="FQ32" s="291"/>
      <c r="FR32" s="107"/>
      <c r="FS32" s="107"/>
      <c r="FT32" s="107"/>
      <c r="FU32" s="292"/>
      <c r="FV32" s="291"/>
      <c r="FW32" s="107"/>
      <c r="FX32" s="107"/>
      <c r="FY32" s="107"/>
      <c r="FZ32" s="292"/>
      <c r="GA32" s="291"/>
      <c r="GB32" s="107"/>
      <c r="GC32" s="107"/>
      <c r="GD32" s="107"/>
      <c r="GE32" s="292"/>
      <c r="GF32" s="291"/>
      <c r="GG32" s="107"/>
      <c r="GH32" s="107"/>
      <c r="GI32" s="107"/>
      <c r="GJ32" s="292"/>
    </row>
    <row r="33" spans="1:192" ht="12.75" customHeight="1">
      <c r="B33" s="727" t="s">
        <v>197</v>
      </c>
      <c r="C33" s="412"/>
      <c r="D33" s="114"/>
      <c r="E33" s="114"/>
      <c r="F33" s="114"/>
      <c r="G33" s="413"/>
      <c r="H33" s="412"/>
      <c r="I33" s="114"/>
      <c r="J33" s="114"/>
      <c r="K33" s="114"/>
      <c r="L33" s="413"/>
      <c r="M33" s="412"/>
      <c r="N33" s="114"/>
      <c r="O33" s="114"/>
      <c r="P33" s="114"/>
      <c r="Q33" s="413"/>
      <c r="R33" s="412"/>
      <c r="S33" s="114"/>
      <c r="T33" s="114"/>
      <c r="U33" s="114"/>
      <c r="V33" s="413"/>
      <c r="W33" s="412"/>
      <c r="X33" s="114"/>
      <c r="Y33" s="114"/>
      <c r="Z33" s="114"/>
      <c r="AA33" s="413"/>
      <c r="AB33" s="412"/>
      <c r="AC33" s="114"/>
      <c r="AD33" s="114"/>
      <c r="AE33" s="114"/>
      <c r="AF33" s="413"/>
      <c r="AG33" s="412"/>
      <c r="AH33" s="114"/>
      <c r="AI33" s="114"/>
      <c r="AJ33" s="114"/>
      <c r="AK33" s="413"/>
      <c r="AL33" s="412"/>
      <c r="AM33" s="114"/>
      <c r="AN33" s="114"/>
      <c r="AO33" s="114"/>
      <c r="AP33" s="413"/>
      <c r="AQ33" s="412"/>
      <c r="AR33" s="114"/>
      <c r="AS33" s="114"/>
      <c r="AT33" s="114"/>
      <c r="AU33" s="413"/>
      <c r="AV33" s="412"/>
      <c r="AW33" s="114"/>
      <c r="AX33" s="114"/>
      <c r="AY33" s="114"/>
      <c r="AZ33" s="413"/>
      <c r="BA33" s="412"/>
      <c r="BB33" s="114"/>
      <c r="BC33" s="114"/>
      <c r="BD33" s="114"/>
      <c r="BE33" s="413"/>
      <c r="BF33" s="412"/>
      <c r="BG33" s="114"/>
      <c r="BH33" s="114"/>
      <c r="BI33" s="114"/>
      <c r="BJ33" s="413"/>
      <c r="BK33" s="412"/>
      <c r="BL33" s="114"/>
      <c r="BM33" s="114"/>
      <c r="BN33" s="114"/>
      <c r="BO33" s="413"/>
      <c r="BP33" s="412"/>
      <c r="BQ33" s="114"/>
      <c r="BR33" s="114"/>
      <c r="BS33" s="114"/>
      <c r="BT33" s="413"/>
      <c r="BU33" s="412"/>
      <c r="BV33" s="114"/>
      <c r="BW33" s="114"/>
      <c r="BX33" s="114"/>
      <c r="BY33" s="413"/>
      <c r="BZ33" s="412"/>
      <c r="CA33" s="114"/>
      <c r="CB33" s="114"/>
      <c r="CC33" s="114"/>
      <c r="CD33" s="292"/>
      <c r="CE33" s="412"/>
      <c r="CF33" s="114"/>
      <c r="CG33" s="114"/>
      <c r="CH33" s="114"/>
      <c r="CI33" s="292"/>
      <c r="CJ33" s="412"/>
      <c r="CK33" s="114"/>
      <c r="CL33" s="114"/>
      <c r="CM33" s="114"/>
      <c r="CN33" s="292"/>
      <c r="CO33" s="412"/>
      <c r="CP33" s="114"/>
      <c r="CQ33" s="114"/>
      <c r="CR33" s="114"/>
      <c r="CS33" s="292"/>
      <c r="CT33" s="412"/>
      <c r="CU33" s="114"/>
      <c r="CV33" s="114"/>
      <c r="CW33" s="114"/>
      <c r="CX33" s="292"/>
      <c r="CY33" s="412"/>
      <c r="CZ33" s="114"/>
      <c r="DA33" s="114"/>
      <c r="DB33" s="114"/>
      <c r="DC33" s="292"/>
      <c r="DD33" s="412"/>
      <c r="DE33" s="114"/>
      <c r="DF33" s="114"/>
      <c r="DG33" s="114"/>
      <c r="DH33" s="292"/>
      <c r="DI33" s="412"/>
      <c r="DJ33" s="114"/>
      <c r="DK33" s="114"/>
      <c r="DL33" s="114"/>
      <c r="DM33" s="292"/>
      <c r="DN33" s="412"/>
      <c r="DO33" s="114"/>
      <c r="DP33" s="114"/>
      <c r="DQ33" s="114"/>
      <c r="DR33" s="292"/>
      <c r="DS33" s="412"/>
      <c r="DT33" s="114"/>
      <c r="DU33" s="114"/>
      <c r="DV33" s="114"/>
      <c r="DW33" s="292"/>
      <c r="DX33" s="412"/>
      <c r="DY33" s="114"/>
      <c r="DZ33" s="114"/>
      <c r="EA33" s="114"/>
      <c r="EB33" s="292"/>
      <c r="EC33" s="412"/>
      <c r="ED33" s="114"/>
      <c r="EE33" s="114"/>
      <c r="EF33" s="114"/>
      <c r="EG33" s="292"/>
      <c r="EH33" s="412"/>
      <c r="EI33" s="114"/>
      <c r="EJ33" s="114"/>
      <c r="EK33" s="114"/>
      <c r="EL33" s="292"/>
      <c r="EM33" s="412"/>
      <c r="EN33" s="114"/>
      <c r="EO33" s="114"/>
      <c r="EP33" s="114"/>
      <c r="EQ33" s="292"/>
      <c r="ER33" s="445"/>
      <c r="ES33" s="114"/>
      <c r="ET33" s="439"/>
      <c r="EU33" s="439"/>
      <c r="EV33" s="292"/>
      <c r="EW33" s="441">
        <v>0.02</v>
      </c>
      <c r="EX33" s="439">
        <v>0.06</v>
      </c>
      <c r="EY33" s="439">
        <v>0.02</v>
      </c>
      <c r="EZ33" s="439">
        <v>0.06</v>
      </c>
      <c r="FA33" s="292"/>
      <c r="FB33" s="291"/>
      <c r="FC33" s="107"/>
      <c r="FD33" s="107"/>
      <c r="FE33" s="107"/>
      <c r="FF33" s="292"/>
      <c r="FG33" s="291"/>
      <c r="FH33" s="107"/>
      <c r="FI33" s="107"/>
      <c r="FJ33" s="107"/>
      <c r="FK33" s="292"/>
      <c r="FL33" s="291"/>
      <c r="FM33" s="107"/>
      <c r="FN33" s="107"/>
      <c r="FO33" s="107"/>
      <c r="FP33" s="292"/>
      <c r="FQ33" s="291"/>
      <c r="FR33" s="107"/>
      <c r="FS33" s="107"/>
      <c r="FT33" s="107"/>
      <c r="FU33" s="292"/>
      <c r="FV33" s="291"/>
      <c r="FW33" s="107"/>
      <c r="FX33" s="107"/>
      <c r="FY33" s="107"/>
      <c r="FZ33" s="292"/>
      <c r="GA33" s="291"/>
      <c r="GB33" s="107"/>
      <c r="GC33" s="107"/>
      <c r="GD33" s="107"/>
      <c r="GE33" s="292"/>
      <c r="GF33" s="291"/>
      <c r="GG33" s="107"/>
      <c r="GH33" s="107"/>
      <c r="GI33" s="107"/>
      <c r="GJ33" s="292"/>
    </row>
    <row r="34" spans="1:192" ht="12.75" customHeight="1">
      <c r="B34" s="727" t="s">
        <v>36</v>
      </c>
      <c r="C34" s="291"/>
      <c r="D34" s="107"/>
      <c r="E34" s="107"/>
      <c r="F34" s="107"/>
      <c r="G34" s="293"/>
      <c r="H34" s="291"/>
      <c r="I34" s="107"/>
      <c r="J34" s="107"/>
      <c r="K34" s="107"/>
      <c r="L34" s="293"/>
      <c r="M34" s="291"/>
      <c r="N34" s="107"/>
      <c r="O34" s="107"/>
      <c r="P34" s="107"/>
      <c r="Q34" s="293"/>
      <c r="R34" s="291"/>
      <c r="S34" s="107"/>
      <c r="T34" s="107"/>
      <c r="U34" s="107"/>
      <c r="V34" s="293"/>
      <c r="W34" s="291"/>
      <c r="X34" s="107"/>
      <c r="Y34" s="107"/>
      <c r="Z34" s="107"/>
      <c r="AA34" s="293"/>
      <c r="AB34" s="291"/>
      <c r="AC34" s="107"/>
      <c r="AD34" s="107"/>
      <c r="AE34" s="107"/>
      <c r="AF34" s="293"/>
      <c r="AG34" s="291"/>
      <c r="AH34" s="107"/>
      <c r="AI34" s="107"/>
      <c r="AJ34" s="107"/>
      <c r="AK34" s="293"/>
      <c r="AL34" s="291"/>
      <c r="AM34" s="107"/>
      <c r="AN34" s="107"/>
      <c r="AO34" s="107"/>
      <c r="AP34" s="293"/>
      <c r="AQ34" s="291"/>
      <c r="AR34" s="107"/>
      <c r="AS34" s="107"/>
      <c r="AT34" s="107"/>
      <c r="AU34" s="293"/>
      <c r="AV34" s="291"/>
      <c r="AW34" s="107"/>
      <c r="AX34" s="107"/>
      <c r="AY34" s="107"/>
      <c r="AZ34" s="293"/>
      <c r="BA34" s="291"/>
      <c r="BB34" s="107"/>
      <c r="BC34" s="107"/>
      <c r="BD34" s="107"/>
      <c r="BE34" s="293"/>
      <c r="BF34" s="291"/>
      <c r="BG34" s="107"/>
      <c r="BH34" s="107"/>
      <c r="BI34" s="107"/>
      <c r="BJ34" s="293"/>
      <c r="BK34" s="291"/>
      <c r="BL34" s="107"/>
      <c r="BM34" s="107"/>
      <c r="BN34" s="107"/>
      <c r="BO34" s="293"/>
      <c r="BP34" s="291"/>
      <c r="BQ34" s="107"/>
      <c r="BR34" s="107"/>
      <c r="BS34" s="107"/>
      <c r="BT34" s="293"/>
      <c r="BU34" s="291"/>
      <c r="BV34" s="107"/>
      <c r="BW34" s="107"/>
      <c r="BX34" s="107"/>
      <c r="BY34" s="293"/>
      <c r="BZ34" s="291"/>
      <c r="CA34" s="107"/>
      <c r="CB34" s="107"/>
      <c r="CC34" s="107"/>
      <c r="CD34" s="293"/>
      <c r="CE34" s="291"/>
      <c r="CF34" s="107"/>
      <c r="CG34" s="107"/>
      <c r="CH34" s="107"/>
      <c r="CI34" s="293"/>
      <c r="CJ34" s="291"/>
      <c r="CK34" s="107"/>
      <c r="CL34" s="107"/>
      <c r="CM34" s="107"/>
      <c r="CN34" s="293"/>
      <c r="CO34" s="291"/>
      <c r="CP34" s="107"/>
      <c r="CQ34" s="107"/>
      <c r="CR34" s="107"/>
      <c r="CS34" s="293"/>
      <c r="CT34" s="291"/>
      <c r="CU34" s="107"/>
      <c r="CV34" s="107"/>
      <c r="CW34" s="107"/>
      <c r="CX34" s="293"/>
      <c r="CY34" s="291"/>
      <c r="CZ34" s="107"/>
      <c r="DA34" s="107"/>
      <c r="DB34" s="107"/>
      <c r="DC34" s="293"/>
      <c r="DD34" s="291"/>
      <c r="DE34" s="107"/>
      <c r="DF34" s="107"/>
      <c r="DG34" s="107"/>
      <c r="DH34" s="293"/>
      <c r="DI34" s="291"/>
      <c r="DJ34" s="107"/>
      <c r="DK34" s="107"/>
      <c r="DL34" s="107"/>
      <c r="DM34" s="293"/>
      <c r="DN34" s="291"/>
      <c r="DO34" s="107"/>
      <c r="DP34" s="107"/>
      <c r="DQ34" s="107"/>
      <c r="DR34" s="293"/>
      <c r="DS34" s="291"/>
      <c r="DT34" s="107"/>
      <c r="DU34" s="107"/>
      <c r="DV34" s="107"/>
      <c r="DW34" s="293"/>
      <c r="DX34" s="291"/>
      <c r="DY34" s="107"/>
      <c r="DZ34" s="107"/>
      <c r="EA34" s="107"/>
      <c r="EB34" s="293"/>
      <c r="EC34" s="291"/>
      <c r="ED34" s="107"/>
      <c r="EE34" s="107"/>
      <c r="EF34" s="107"/>
      <c r="EG34" s="293"/>
      <c r="EH34" s="291"/>
      <c r="EI34" s="107"/>
      <c r="EJ34" s="107"/>
      <c r="EK34" s="107"/>
      <c r="EL34" s="293"/>
      <c r="EM34" s="291"/>
      <c r="EN34" s="107"/>
      <c r="EO34" s="107"/>
      <c r="EP34" s="107"/>
      <c r="EQ34" s="293"/>
      <c r="ER34" s="291"/>
      <c r="ES34" s="107"/>
      <c r="ET34" s="107"/>
      <c r="EU34" s="468"/>
      <c r="EV34" s="293"/>
      <c r="EW34" s="291"/>
      <c r="EX34" s="107"/>
      <c r="EY34" s="114"/>
      <c r="EZ34" s="107"/>
      <c r="FA34" s="293"/>
      <c r="FB34" s="291"/>
      <c r="FC34" s="107"/>
      <c r="FD34" s="107"/>
      <c r="FE34" s="107"/>
      <c r="FF34" s="293"/>
      <c r="FG34" s="291"/>
      <c r="FH34" s="107"/>
      <c r="FI34" s="107"/>
      <c r="FJ34" s="107"/>
      <c r="FK34" s="293"/>
      <c r="FL34" s="291"/>
      <c r="FM34" s="107"/>
      <c r="FN34" s="107"/>
      <c r="FO34" s="107"/>
      <c r="FP34" s="293"/>
      <c r="FQ34" s="291"/>
      <c r="FR34" s="107"/>
      <c r="FS34" s="107"/>
      <c r="FT34" s="107"/>
      <c r="FU34" s="293"/>
      <c r="FV34" s="291"/>
      <c r="FW34" s="107"/>
      <c r="FX34" s="107"/>
      <c r="FY34" s="107"/>
      <c r="FZ34" s="293"/>
      <c r="GA34" s="291"/>
      <c r="GB34" s="107"/>
      <c r="GC34" s="107"/>
      <c r="GD34" s="107"/>
      <c r="GE34" s="293"/>
      <c r="GF34" s="291"/>
      <c r="GG34" s="107"/>
      <c r="GH34" s="107"/>
      <c r="GI34" s="107"/>
      <c r="GJ34" s="293"/>
    </row>
    <row r="35" spans="1:192" s="701" customFormat="1" ht="12.75" customHeight="1">
      <c r="A35" s="850"/>
      <c r="B35" s="727" t="s">
        <v>255</v>
      </c>
      <c r="C35" s="505"/>
      <c r="D35" s="506"/>
      <c r="E35" s="506"/>
      <c r="F35" s="506"/>
      <c r="G35" s="921"/>
      <c r="H35" s="505"/>
      <c r="I35" s="506"/>
      <c r="J35" s="506"/>
      <c r="K35" s="506"/>
      <c r="L35" s="921"/>
      <c r="M35" s="505"/>
      <c r="N35" s="506"/>
      <c r="O35" s="506"/>
      <c r="P35" s="506"/>
      <c r="Q35" s="921"/>
      <c r="R35" s="505"/>
      <c r="S35" s="506"/>
      <c r="T35" s="506"/>
      <c r="U35" s="506"/>
      <c r="V35" s="921"/>
      <c r="W35" s="505"/>
      <c r="X35" s="506"/>
      <c r="Y35" s="506"/>
      <c r="Z35" s="506"/>
      <c r="AA35" s="921"/>
      <c r="AB35" s="505"/>
      <c r="AC35" s="506"/>
      <c r="AD35" s="506"/>
      <c r="AE35" s="506"/>
      <c r="AF35" s="921"/>
      <c r="AG35" s="505"/>
      <c r="AH35" s="506"/>
      <c r="AI35" s="506"/>
      <c r="AJ35" s="506"/>
      <c r="AK35" s="921"/>
      <c r="AL35" s="505"/>
      <c r="AM35" s="506"/>
      <c r="AN35" s="506"/>
      <c r="AO35" s="506"/>
      <c r="AP35" s="921"/>
      <c r="AQ35" s="505"/>
      <c r="AR35" s="506"/>
      <c r="AS35" s="506"/>
      <c r="AT35" s="506"/>
      <c r="AU35" s="921"/>
      <c r="AV35" s="505"/>
      <c r="AW35" s="506"/>
      <c r="AX35" s="506"/>
      <c r="AY35" s="506"/>
      <c r="AZ35" s="921"/>
      <c r="BA35" s="505"/>
      <c r="BB35" s="506"/>
      <c r="BC35" s="506"/>
      <c r="BD35" s="506"/>
      <c r="BE35" s="921"/>
      <c r="BF35" s="505"/>
      <c r="BG35" s="506"/>
      <c r="BH35" s="506"/>
      <c r="BI35" s="506"/>
      <c r="BJ35" s="921"/>
      <c r="BK35" s="505"/>
      <c r="BL35" s="506"/>
      <c r="BM35" s="506"/>
      <c r="BN35" s="506"/>
      <c r="BO35" s="921"/>
      <c r="BP35" s="505"/>
      <c r="BQ35" s="506"/>
      <c r="BR35" s="506"/>
      <c r="BS35" s="506"/>
      <c r="BT35" s="921"/>
      <c r="BU35" s="505"/>
      <c r="BV35" s="506"/>
      <c r="BW35" s="506"/>
      <c r="BX35" s="506"/>
      <c r="BY35" s="921"/>
      <c r="BZ35" s="505"/>
      <c r="CA35" s="506"/>
      <c r="CB35" s="506"/>
      <c r="CC35" s="506"/>
      <c r="CD35" s="921"/>
      <c r="CE35" s="505"/>
      <c r="CF35" s="506"/>
      <c r="CG35" s="506"/>
      <c r="CH35" s="506"/>
      <c r="CI35" s="921"/>
      <c r="CJ35" s="505"/>
      <c r="CK35" s="506"/>
      <c r="CL35" s="506"/>
      <c r="CM35" s="506"/>
      <c r="CN35" s="921"/>
      <c r="CO35" s="505"/>
      <c r="CP35" s="506"/>
      <c r="CQ35" s="506"/>
      <c r="CR35" s="506"/>
      <c r="CS35" s="921"/>
      <c r="CT35" s="505"/>
      <c r="CU35" s="506"/>
      <c r="CV35" s="506"/>
      <c r="CW35" s="506"/>
      <c r="CX35" s="921"/>
      <c r="CY35" s="505"/>
      <c r="CZ35" s="505"/>
      <c r="DA35" s="505"/>
      <c r="DB35" s="505"/>
      <c r="DC35" s="515"/>
      <c r="DD35" s="505"/>
      <c r="DE35" s="505"/>
      <c r="DF35" s="505"/>
      <c r="DG35" s="505"/>
      <c r="DH35" s="515"/>
      <c r="DI35" s="505"/>
      <c r="DJ35" s="505"/>
      <c r="DK35" s="505"/>
      <c r="DL35" s="505"/>
      <c r="DM35" s="515"/>
      <c r="DN35" s="505"/>
      <c r="DO35" s="505"/>
      <c r="DP35" s="505"/>
      <c r="DQ35" s="505"/>
      <c r="DR35" s="515"/>
      <c r="DS35" s="505"/>
      <c r="DT35" s="505"/>
      <c r="DU35" s="505"/>
      <c r="DV35" s="505"/>
      <c r="DW35" s="515"/>
      <c r="DX35" s="505"/>
      <c r="DY35" s="505"/>
      <c r="DZ35" s="505"/>
      <c r="EA35" s="505"/>
      <c r="EB35" s="515"/>
      <c r="EC35" s="505"/>
      <c r="ED35" s="505"/>
      <c r="EE35" s="505"/>
      <c r="EF35" s="505"/>
      <c r="EG35" s="515"/>
      <c r="EH35" s="505"/>
      <c r="EI35" s="505"/>
      <c r="EJ35" s="505"/>
      <c r="EK35" s="505"/>
      <c r="EL35" s="1617"/>
      <c r="EM35" s="1618"/>
      <c r="EN35" s="1618"/>
      <c r="EO35" s="1618"/>
      <c r="EP35" s="506"/>
      <c r="EQ35" s="1617"/>
      <c r="ER35" s="1618"/>
      <c r="ES35" s="1619"/>
      <c r="ET35" s="1024"/>
      <c r="EU35" s="506"/>
      <c r="EV35" s="1617"/>
      <c r="EW35" s="496">
        <v>101</v>
      </c>
      <c r="EX35" s="496">
        <v>390</v>
      </c>
      <c r="EY35" s="496">
        <v>53</v>
      </c>
      <c r="EZ35" s="1719">
        <f>FA35-EY35-EX35-EW35</f>
      </c>
      <c r="FA35" s="459">
        <f>FA31-EV31</f>
      </c>
      <c r="FB35" s="505"/>
      <c r="FC35" s="506"/>
      <c r="FD35" s="506"/>
      <c r="FE35" s="506"/>
      <c r="FF35" s="921"/>
      <c r="FG35" s="505"/>
      <c r="FH35" s="506"/>
      <c r="FI35" s="506"/>
      <c r="FJ35" s="506"/>
      <c r="FK35" s="921"/>
      <c r="FL35" s="505"/>
      <c r="FM35" s="506"/>
      <c r="FN35" s="506"/>
      <c r="FO35" s="506"/>
      <c r="FP35" s="921"/>
      <c r="FQ35" s="505"/>
      <c r="FR35" s="506"/>
      <c r="FS35" s="506"/>
      <c r="FT35" s="506"/>
      <c r="FU35" s="921"/>
      <c r="FV35" s="505"/>
      <c r="FW35" s="506"/>
      <c r="FX35" s="506"/>
      <c r="FY35" s="506"/>
      <c r="FZ35" s="921"/>
      <c r="GA35" s="505"/>
      <c r="GB35" s="506"/>
      <c r="GC35" s="506"/>
      <c r="GD35" s="506"/>
      <c r="GE35" s="921"/>
      <c r="GF35" s="505"/>
      <c r="GG35" s="506"/>
      <c r="GH35" s="506"/>
      <c r="GI35" s="506"/>
      <c r="GJ35" s="921"/>
    </row>
    <row r="36" spans="1:192" ht="12.75" customHeight="1">
      <c r="B36" s="727"/>
      <c r="C36" s="291"/>
      <c r="D36" s="107"/>
      <c r="E36" s="107"/>
      <c r="F36" s="107"/>
      <c r="G36" s="293"/>
      <c r="H36" s="291"/>
      <c r="I36" s="107"/>
      <c r="J36" s="107"/>
      <c r="K36" s="107"/>
      <c r="L36" s="293"/>
      <c r="M36" s="291"/>
      <c r="N36" s="107"/>
      <c r="O36" s="107"/>
      <c r="P36" s="107"/>
      <c r="Q36" s="293"/>
      <c r="R36" s="291"/>
      <c r="S36" s="107"/>
      <c r="T36" s="107"/>
      <c r="U36" s="107"/>
      <c r="V36" s="293"/>
      <c r="W36" s="291"/>
      <c r="X36" s="107"/>
      <c r="Y36" s="107"/>
      <c r="Z36" s="107"/>
      <c r="AA36" s="293"/>
      <c r="AB36" s="291"/>
      <c r="AC36" s="107"/>
      <c r="AD36" s="107"/>
      <c r="AE36" s="107"/>
      <c r="AF36" s="293"/>
      <c r="AG36" s="291"/>
      <c r="AH36" s="107"/>
      <c r="AI36" s="107"/>
      <c r="AJ36" s="107"/>
      <c r="AK36" s="293"/>
      <c r="AL36" s="291"/>
      <c r="AM36" s="107"/>
      <c r="AN36" s="107"/>
      <c r="AO36" s="107"/>
      <c r="AP36" s="293"/>
      <c r="AQ36" s="291"/>
      <c r="AR36" s="107"/>
      <c r="AS36" s="107"/>
      <c r="AT36" s="107"/>
      <c r="AU36" s="293"/>
      <c r="AV36" s="291"/>
      <c r="AW36" s="107"/>
      <c r="AX36" s="107"/>
      <c r="AY36" s="107"/>
      <c r="AZ36" s="293"/>
      <c r="BA36" s="291"/>
      <c r="BB36" s="107"/>
      <c r="BC36" s="107"/>
      <c r="BD36" s="107"/>
      <c r="BE36" s="293"/>
      <c r="BF36" s="291"/>
      <c r="BG36" s="107"/>
      <c r="BH36" s="107"/>
      <c r="BI36" s="107"/>
      <c r="BJ36" s="293"/>
      <c r="BK36" s="291"/>
      <c r="BL36" s="107"/>
      <c r="BM36" s="107"/>
      <c r="BN36" s="107"/>
      <c r="BO36" s="293"/>
      <c r="BP36" s="291"/>
      <c r="BQ36" s="107"/>
      <c r="BR36" s="107"/>
      <c r="BS36" s="107"/>
      <c r="BT36" s="293"/>
      <c r="BU36" s="291"/>
      <c r="BV36" s="107"/>
      <c r="BW36" s="107"/>
      <c r="BX36" s="107"/>
      <c r="BY36" s="293"/>
      <c r="BZ36" s="291"/>
      <c r="CA36" s="107"/>
      <c r="CB36" s="107"/>
      <c r="CC36" s="107"/>
      <c r="CD36" s="293"/>
      <c r="CE36" s="291"/>
      <c r="CF36" s="107"/>
      <c r="CG36" s="107"/>
      <c r="CH36" s="107"/>
      <c r="CI36" s="293"/>
      <c r="CJ36" s="291"/>
      <c r="CK36" s="107"/>
      <c r="CL36" s="107"/>
      <c r="CM36" s="107"/>
      <c r="CN36" s="293"/>
      <c r="CO36" s="291"/>
      <c r="CP36" s="107"/>
      <c r="CQ36" s="107"/>
      <c r="CR36" s="107"/>
      <c r="CS36" s="293"/>
      <c r="CT36" s="291"/>
      <c r="CU36" s="107"/>
      <c r="CV36" s="107"/>
      <c r="CW36" s="107"/>
      <c r="CX36" s="293"/>
      <c r="CY36" s="291"/>
      <c r="CZ36" s="107"/>
      <c r="DA36" s="107"/>
      <c r="DB36" s="107"/>
      <c r="DC36" s="293"/>
      <c r="DD36" s="291"/>
      <c r="DE36" s="107"/>
      <c r="DF36" s="107"/>
      <c r="DG36" s="107"/>
      <c r="DH36" s="293"/>
      <c r="DI36" s="291"/>
      <c r="DJ36" s="107"/>
      <c r="DK36" s="107"/>
      <c r="DL36" s="107"/>
      <c r="DM36" s="293"/>
      <c r="DN36" s="291"/>
      <c r="DO36" s="107"/>
      <c r="DP36" s="107"/>
      <c r="DQ36" s="107"/>
      <c r="DR36" s="293"/>
      <c r="DS36" s="291"/>
      <c r="DT36" s="107"/>
      <c r="DU36" s="107"/>
      <c r="DV36" s="107"/>
      <c r="DW36" s="293"/>
      <c r="DX36" s="291"/>
      <c r="DY36" s="107"/>
      <c r="DZ36" s="107"/>
      <c r="EA36" s="107"/>
      <c r="EB36" s="293"/>
      <c r="EC36" s="291"/>
      <c r="ED36" s="107"/>
      <c r="EE36" s="107"/>
      <c r="EF36" s="107"/>
      <c r="EG36" s="293"/>
      <c r="EH36" s="291"/>
      <c r="EI36" s="107"/>
      <c r="EJ36" s="107"/>
      <c r="EK36" s="107"/>
      <c r="EL36" s="293"/>
      <c r="EM36" s="294"/>
      <c r="EN36" s="295"/>
      <c r="EO36" s="295"/>
      <c r="EP36" s="469"/>
      <c r="EQ36" s="293"/>
      <c r="ER36" s="446"/>
      <c r="ES36" s="295"/>
      <c r="ET36" s="295"/>
      <c r="EU36" s="295"/>
      <c r="EV36" s="296"/>
      <c r="EW36" s="289"/>
      <c r="EX36" s="107"/>
      <c r="EY36" s="506"/>
      <c r="EZ36" s="107"/>
      <c r="FA36" s="293"/>
      <c r="FB36" s="291"/>
      <c r="FC36" s="107"/>
      <c r="FD36" s="107"/>
      <c r="FE36" s="107"/>
      <c r="FF36" s="293"/>
      <c r="FG36" s="291"/>
      <c r="FH36" s="107"/>
      <c r="FI36" s="107"/>
      <c r="FJ36" s="107"/>
      <c r="FK36" s="293"/>
      <c r="FL36" s="291"/>
      <c r="FM36" s="107"/>
      <c r="FN36" s="107"/>
      <c r="FO36" s="107"/>
      <c r="FP36" s="293"/>
      <c r="FQ36" s="291"/>
      <c r="FR36" s="107"/>
      <c r="FS36" s="107"/>
      <c r="FT36" s="107"/>
      <c r="FU36" s="293"/>
      <c r="FV36" s="291"/>
      <c r="FW36" s="107"/>
      <c r="FX36" s="107"/>
      <c r="FY36" s="107"/>
      <c r="FZ36" s="293"/>
      <c r="GA36" s="291"/>
      <c r="GB36" s="107"/>
      <c r="GC36" s="107"/>
      <c r="GD36" s="107"/>
      <c r="GE36" s="293"/>
      <c r="GF36" s="291"/>
      <c r="GG36" s="107"/>
      <c r="GH36" s="107"/>
      <c r="GI36" s="107"/>
      <c r="GJ36" s="293"/>
    </row>
    <row r="37" spans="1:192" s="317" customFormat="1" ht="12.75" customHeight="1">
      <c r="A37" s="280"/>
      <c r="B37" s="730" t="s">
        <v>218</v>
      </c>
      <c r="C37" s="315"/>
      <c r="D37" s="315"/>
      <c r="E37" s="315"/>
      <c r="F37" s="315"/>
      <c r="G37" s="313"/>
      <c r="H37" s="315"/>
      <c r="I37" s="315"/>
      <c r="J37" s="315"/>
      <c r="K37" s="315"/>
      <c r="L37" s="313"/>
      <c r="M37" s="315"/>
      <c r="N37" s="315"/>
      <c r="O37" s="315"/>
      <c r="P37" s="315"/>
      <c r="Q37" s="313"/>
      <c r="R37" s="315"/>
      <c r="S37" s="315"/>
      <c r="T37" s="315"/>
      <c r="U37" s="315"/>
      <c r="V37" s="313"/>
      <c r="W37" s="315"/>
      <c r="X37" s="315"/>
      <c r="Y37" s="315"/>
      <c r="Z37" s="315"/>
      <c r="AA37" s="313"/>
      <c r="AB37" s="315"/>
      <c r="AC37" s="315"/>
      <c r="AD37" s="315"/>
      <c r="AE37" s="315"/>
      <c r="AF37" s="313"/>
      <c r="AG37" s="315"/>
      <c r="AH37" s="315"/>
      <c r="AI37" s="315"/>
      <c r="AJ37" s="315"/>
      <c r="AK37" s="313"/>
      <c r="AL37" s="315"/>
      <c r="AM37" s="315"/>
      <c r="AN37" s="315"/>
      <c r="AO37" s="315"/>
      <c r="AP37" s="313"/>
      <c r="AQ37" s="315"/>
      <c r="AR37" s="315"/>
      <c r="AS37" s="315"/>
      <c r="AT37" s="315"/>
      <c r="AU37" s="313"/>
      <c r="AV37" s="315"/>
      <c r="AW37" s="315"/>
      <c r="AX37" s="315"/>
      <c r="AY37" s="315"/>
      <c r="AZ37" s="313"/>
      <c r="BA37" s="315"/>
      <c r="BB37" s="315"/>
      <c r="BC37" s="315"/>
      <c r="BD37" s="315"/>
      <c r="BE37" s="313"/>
      <c r="BF37" s="315"/>
      <c r="BG37" s="315"/>
      <c r="BH37" s="315"/>
      <c r="BI37" s="315"/>
      <c r="BJ37" s="313"/>
      <c r="BK37" s="315"/>
      <c r="BL37" s="315"/>
      <c r="BM37" s="315"/>
      <c r="BN37" s="315"/>
      <c r="BO37" s="313"/>
      <c r="BP37" s="315"/>
      <c r="BQ37" s="315"/>
      <c r="BR37" s="315"/>
      <c r="BS37" s="315"/>
      <c r="BT37" s="313"/>
      <c r="BU37" s="315"/>
      <c r="BV37" s="315"/>
      <c r="BW37" s="315"/>
      <c r="BX37" s="315"/>
      <c r="BY37" s="313"/>
      <c r="BZ37" s="315"/>
      <c r="CA37" s="315"/>
      <c r="CB37" s="315"/>
      <c r="CC37" s="315"/>
      <c r="CD37" s="319"/>
      <c r="CE37" s="315"/>
      <c r="CF37" s="315"/>
      <c r="CG37" s="315"/>
      <c r="CH37" s="315"/>
      <c r="CI37" s="319"/>
      <c r="CJ37" s="315"/>
      <c r="CK37" s="315"/>
      <c r="CL37" s="315"/>
      <c r="CM37" s="315"/>
      <c r="CN37" s="319"/>
      <c r="CO37" s="315"/>
      <c r="CP37" s="315"/>
      <c r="CQ37" s="315"/>
      <c r="CR37" s="315"/>
      <c r="CS37" s="319"/>
      <c r="CT37" s="315"/>
      <c r="CU37" s="315"/>
      <c r="CV37" s="315"/>
      <c r="CW37" s="315"/>
      <c r="CX37" s="319"/>
      <c r="CY37" s="316"/>
      <c r="CZ37" s="316"/>
      <c r="DA37" s="316"/>
      <c r="DB37" s="316"/>
      <c r="DC37" s="319"/>
      <c r="DD37" s="316"/>
      <c r="DE37" s="316"/>
      <c r="DF37" s="316"/>
      <c r="DG37" s="316"/>
      <c r="DH37" s="319"/>
      <c r="DI37" s="1158"/>
      <c r="DJ37" s="1158"/>
      <c r="DK37" s="1158"/>
      <c r="DL37" s="1158"/>
      <c r="DM37" s="319"/>
      <c r="DN37" s="316"/>
      <c r="DO37" s="316"/>
      <c r="DP37" s="316"/>
      <c r="DQ37" s="316"/>
      <c r="DR37" s="319"/>
      <c r="DS37" s="316"/>
      <c r="DT37" s="316"/>
      <c r="DU37" s="316"/>
      <c r="DV37" s="316"/>
      <c r="DW37" s="319"/>
      <c r="DX37" s="316"/>
      <c r="DY37" s="316"/>
      <c r="DZ37" s="316"/>
      <c r="EA37" s="316"/>
      <c r="EB37" s="319"/>
      <c r="EC37" s="316"/>
      <c r="ED37" s="316"/>
      <c r="EE37" s="316"/>
      <c r="EF37" s="316"/>
      <c r="EG37" s="319"/>
      <c r="EH37" s="316"/>
      <c r="EI37" s="316"/>
      <c r="EJ37" s="316"/>
      <c r="EK37" s="316"/>
      <c r="EL37" s="319"/>
      <c r="EM37" s="316">
        <v>11940</v>
      </c>
      <c r="EN37" s="316">
        <v>11483</v>
      </c>
      <c r="EO37" s="316">
        <v>12776</v>
      </c>
      <c r="EP37" s="316">
        <v>13875</v>
      </c>
      <c r="EQ37" s="319">
        <f>SUM(EM37:EP37)</f>
      </c>
      <c r="ER37" s="316">
        <v>14297</v>
      </c>
      <c r="ES37" s="1158">
        <v>14515</v>
      </c>
      <c r="ET37" s="1158">
        <v>15143</v>
      </c>
      <c r="EU37" s="1158">
        <v>15706</v>
      </c>
      <c r="EV37" s="319">
        <f>SUM(ER37:EU37)</f>
      </c>
      <c r="EW37" s="1158">
        <v>16516</v>
      </c>
      <c r="EX37" s="1158">
        <v>16885</v>
      </c>
      <c r="EY37" s="1158">
        <v>17379</v>
      </c>
      <c r="EZ37" s="1158">
        <v>18993</v>
      </c>
      <c r="FA37" s="319">
        <f>SUM(EW37:EZ37)</f>
      </c>
      <c r="FB37" s="315"/>
      <c r="FC37" s="315"/>
      <c r="FD37" s="315"/>
      <c r="FE37" s="315"/>
      <c r="FF37" s="313"/>
      <c r="FG37" s="315"/>
      <c r="FH37" s="315"/>
      <c r="FI37" s="315"/>
      <c r="FJ37" s="315"/>
      <c r="FK37" s="313"/>
      <c r="FL37" s="315"/>
      <c r="FM37" s="315"/>
      <c r="FN37" s="315"/>
      <c r="FO37" s="315"/>
      <c r="FP37" s="313"/>
      <c r="FQ37" s="315"/>
      <c r="FR37" s="315"/>
      <c r="FS37" s="315"/>
      <c r="FT37" s="315"/>
      <c r="FU37" s="313"/>
      <c r="FV37" s="315"/>
      <c r="FW37" s="315"/>
      <c r="FX37" s="315"/>
      <c r="FY37" s="315"/>
      <c r="FZ37" s="313"/>
      <c r="GA37" s="315"/>
      <c r="GB37" s="315"/>
      <c r="GC37" s="315"/>
      <c r="GD37" s="315"/>
      <c r="GE37" s="313"/>
      <c r="GF37" s="315"/>
      <c r="GG37" s="315"/>
      <c r="GH37" s="315"/>
      <c r="GI37" s="315"/>
      <c r="GJ37" s="313"/>
    </row>
    <row r="38" spans="1:192" ht="12.75" customHeight="1">
      <c r="B38" s="727" t="s">
        <v>34</v>
      </c>
      <c r="C38" s="291"/>
      <c r="D38" s="107"/>
      <c r="E38" s="107"/>
      <c r="F38" s="107"/>
      <c r="G38" s="292"/>
      <c r="H38" s="291"/>
      <c r="I38" s="107"/>
      <c r="J38" s="107"/>
      <c r="K38" s="107"/>
      <c r="L38" s="292"/>
      <c r="M38" s="291"/>
      <c r="N38" s="107"/>
      <c r="O38" s="107"/>
      <c r="P38" s="107"/>
      <c r="Q38" s="292"/>
      <c r="R38" s="291"/>
      <c r="S38" s="107"/>
      <c r="T38" s="107"/>
      <c r="U38" s="107"/>
      <c r="V38" s="292"/>
      <c r="W38" s="291"/>
      <c r="X38" s="107"/>
      <c r="Y38" s="107"/>
      <c r="Z38" s="107"/>
      <c r="AA38" s="292"/>
      <c r="AB38" s="291"/>
      <c r="AC38" s="107"/>
      <c r="AD38" s="107"/>
      <c r="AE38" s="107"/>
      <c r="AF38" s="292"/>
      <c r="AG38" s="291"/>
      <c r="AH38" s="107"/>
      <c r="AI38" s="107"/>
      <c r="AJ38" s="107"/>
      <c r="AK38" s="292"/>
      <c r="AL38" s="291"/>
      <c r="AM38" s="107"/>
      <c r="AN38" s="107"/>
      <c r="AO38" s="107"/>
      <c r="AP38" s="292"/>
      <c r="AQ38" s="291"/>
      <c r="AR38" s="107"/>
      <c r="AS38" s="107"/>
      <c r="AT38" s="107"/>
      <c r="AU38" s="292"/>
      <c r="AV38" s="291"/>
      <c r="AW38" s="107"/>
      <c r="AX38" s="107"/>
      <c r="AY38" s="107"/>
      <c r="AZ38" s="292"/>
      <c r="BA38" s="291"/>
      <c r="BB38" s="107"/>
      <c r="BC38" s="107"/>
      <c r="BD38" s="107"/>
      <c r="BE38" s="292"/>
      <c r="BF38" s="291"/>
      <c r="BG38" s="107"/>
      <c r="BH38" s="107"/>
      <c r="BI38" s="107"/>
      <c r="BJ38" s="292"/>
      <c r="BK38" s="291"/>
      <c r="BL38" s="107"/>
      <c r="BM38" s="107"/>
      <c r="BN38" s="107"/>
      <c r="BO38" s="292"/>
      <c r="BP38" s="291"/>
      <c r="BQ38" s="107"/>
      <c r="BR38" s="107"/>
      <c r="BS38" s="107"/>
      <c r="BT38" s="292"/>
      <c r="BU38" s="291"/>
      <c r="BV38" s="107"/>
      <c r="BW38" s="107"/>
      <c r="BX38" s="107"/>
      <c r="BY38" s="292"/>
      <c r="BZ38" s="291"/>
      <c r="CA38" s="107"/>
      <c r="CB38" s="107"/>
      <c r="CC38" s="107"/>
      <c r="CD38" s="292"/>
      <c r="CE38" s="291"/>
      <c r="CF38" s="107"/>
      <c r="CG38" s="107"/>
      <c r="CH38" s="107"/>
      <c r="CI38" s="292"/>
      <c r="CJ38" s="291"/>
      <c r="CK38" s="107"/>
      <c r="CL38" s="107"/>
      <c r="CM38" s="107"/>
      <c r="CN38" s="292"/>
      <c r="CO38" s="291"/>
      <c r="CP38" s="107"/>
      <c r="CQ38" s="107"/>
      <c r="CR38" s="107"/>
      <c r="CS38" s="292"/>
      <c r="CT38" s="291"/>
      <c r="CU38" s="107"/>
      <c r="CV38" s="107"/>
      <c r="CW38" s="107"/>
      <c r="CX38" s="292"/>
      <c r="CY38" s="291"/>
      <c r="CZ38" s="107"/>
      <c r="DA38" s="107"/>
      <c r="DB38" s="107"/>
      <c r="DC38" s="292"/>
      <c r="DD38" s="1360"/>
      <c r="DE38" s="1361"/>
      <c r="DF38" s="1361"/>
      <c r="DG38" s="1361"/>
      <c r="DH38" s="292"/>
      <c r="DI38" s="349"/>
      <c r="DJ38" s="468"/>
      <c r="DK38" s="468"/>
      <c r="DL38" s="468"/>
      <c r="DM38" s="292"/>
      <c r="DN38" s="291"/>
      <c r="DO38" s="107"/>
      <c r="DP38" s="107"/>
      <c r="DQ38" s="107"/>
      <c r="DR38" s="292"/>
      <c r="DS38" s="291"/>
      <c r="DT38" s="107"/>
      <c r="DU38" s="107"/>
      <c r="DV38" s="107"/>
      <c r="DW38" s="292"/>
      <c r="DX38" s="291"/>
      <c r="DY38" s="107"/>
      <c r="DZ38" s="107"/>
      <c r="EA38" s="107"/>
      <c r="EB38" s="292"/>
      <c r="EC38" s="291"/>
      <c r="ED38" s="107"/>
      <c r="EE38" s="107"/>
      <c r="EF38" s="107"/>
      <c r="EG38" s="292"/>
      <c r="EH38" s="291"/>
      <c r="EI38" s="107"/>
      <c r="EJ38" s="107"/>
      <c r="EK38" s="107"/>
      <c r="EL38" s="413"/>
      <c r="EM38" s="291"/>
      <c r="EN38" s="107"/>
      <c r="EO38" s="107"/>
      <c r="EP38" s="107"/>
      <c r="EQ38" s="292"/>
      <c r="ER38" s="291">
        <f t="shared" ref="ER38" si="37">IFERROR(ER37/EM37-1,"--")</f>
      </c>
      <c r="ES38" s="291">
        <f t="shared" ref="ES38" si="38">IFERROR(ES37/EN37-1,"--")</f>
      </c>
      <c r="ET38" s="107">
        <f t="shared" ref="ET38" si="39">IFERROR(ET37/EO37-1,"--")</f>
      </c>
      <c r="EU38" s="107">
        <f t="shared" ref="EU38" si="40">IFERROR(EU37/EP37-1,"--")</f>
      </c>
      <c r="EV38" s="292">
        <f t="shared" ref="EV38:FA38" si="41">IFERROR(EV37/EQ37-1,"--")</f>
      </c>
      <c r="EW38" s="291">
        <f t="shared" si="41"/>
      </c>
      <c r="EX38" s="291">
        <f t="shared" si="41"/>
      </c>
      <c r="EY38" s="291">
        <f t="shared" si="41"/>
      </c>
      <c r="EZ38" s="291">
        <f t="shared" si="41"/>
      </c>
      <c r="FA38" s="292">
        <f t="shared" si="41"/>
      </c>
      <c r="FB38" s="291"/>
      <c r="FC38" s="107"/>
      <c r="FD38" s="107"/>
      <c r="FE38" s="107"/>
      <c r="FF38" s="292"/>
      <c r="FG38" s="291"/>
      <c r="FH38" s="107"/>
      <c r="FI38" s="107"/>
      <c r="FJ38" s="107"/>
      <c r="FK38" s="292"/>
      <c r="FL38" s="291"/>
      <c r="FM38" s="107"/>
      <c r="FN38" s="107"/>
      <c r="FO38" s="107"/>
      <c r="FP38" s="292"/>
      <c r="FQ38" s="291"/>
      <c r="FR38" s="107"/>
      <c r="FS38" s="107"/>
      <c r="FT38" s="107"/>
      <c r="FU38" s="292"/>
      <c r="FV38" s="291"/>
      <c r="FW38" s="107"/>
      <c r="FX38" s="107"/>
      <c r="FY38" s="107"/>
      <c r="FZ38" s="292"/>
      <c r="GA38" s="291"/>
      <c r="GB38" s="107"/>
      <c r="GC38" s="107"/>
      <c r="GD38" s="107"/>
      <c r="GE38" s="292"/>
      <c r="GF38" s="291"/>
      <c r="GG38" s="107"/>
      <c r="GH38" s="107"/>
      <c r="GI38" s="107"/>
      <c r="GJ38" s="292"/>
    </row>
    <row r="39" spans="1:192" ht="12.75" customHeight="1">
      <c r="B39" s="727" t="s">
        <v>197</v>
      </c>
      <c r="C39" s="412"/>
      <c r="D39" s="114"/>
      <c r="E39" s="114"/>
      <c r="F39" s="114"/>
      <c r="G39" s="413"/>
      <c r="H39" s="412"/>
      <c r="I39" s="114"/>
      <c r="J39" s="114"/>
      <c r="K39" s="114"/>
      <c r="L39" s="413"/>
      <c r="M39" s="412"/>
      <c r="N39" s="114"/>
      <c r="O39" s="114"/>
      <c r="P39" s="114"/>
      <c r="Q39" s="413"/>
      <c r="R39" s="412"/>
      <c r="S39" s="114"/>
      <c r="T39" s="114"/>
      <c r="U39" s="114"/>
      <c r="V39" s="413"/>
      <c r="W39" s="412"/>
      <c r="X39" s="114"/>
      <c r="Y39" s="114"/>
      <c r="Z39" s="114"/>
      <c r="AA39" s="413"/>
      <c r="AB39" s="412"/>
      <c r="AC39" s="114"/>
      <c r="AD39" s="114"/>
      <c r="AE39" s="114"/>
      <c r="AF39" s="413"/>
      <c r="AG39" s="412"/>
      <c r="AH39" s="114"/>
      <c r="AI39" s="114"/>
      <c r="AJ39" s="114"/>
      <c r="AK39" s="413"/>
      <c r="AL39" s="412"/>
      <c r="AM39" s="114"/>
      <c r="AN39" s="114"/>
      <c r="AO39" s="114"/>
      <c r="AP39" s="413"/>
      <c r="AQ39" s="412"/>
      <c r="AR39" s="114"/>
      <c r="AS39" s="114"/>
      <c r="AT39" s="114"/>
      <c r="AU39" s="413"/>
      <c r="AV39" s="412"/>
      <c r="AW39" s="114"/>
      <c r="AX39" s="114"/>
      <c r="AY39" s="114"/>
      <c r="AZ39" s="413"/>
      <c r="BA39" s="412"/>
      <c r="BB39" s="114"/>
      <c r="BC39" s="114"/>
      <c r="BD39" s="114"/>
      <c r="BE39" s="413"/>
      <c r="BF39" s="412"/>
      <c r="BG39" s="114"/>
      <c r="BH39" s="114"/>
      <c r="BI39" s="114"/>
      <c r="BJ39" s="413"/>
      <c r="BK39" s="412"/>
      <c r="BL39" s="114"/>
      <c r="BM39" s="114"/>
      <c r="BN39" s="114"/>
      <c r="BO39" s="413"/>
      <c r="BP39" s="412"/>
      <c r="BQ39" s="114"/>
      <c r="BR39" s="114"/>
      <c r="BS39" s="114"/>
      <c r="BT39" s="413"/>
      <c r="BU39" s="412"/>
      <c r="BV39" s="114"/>
      <c r="BW39" s="114"/>
      <c r="BX39" s="114"/>
      <c r="BY39" s="413"/>
      <c r="BZ39" s="412"/>
      <c r="CA39" s="114"/>
      <c r="CB39" s="114"/>
      <c r="CC39" s="114"/>
      <c r="CD39" s="292"/>
      <c r="CE39" s="412"/>
      <c r="CF39" s="114"/>
      <c r="CG39" s="114"/>
      <c r="CH39" s="114"/>
      <c r="CI39" s="292"/>
      <c r="CJ39" s="412"/>
      <c r="CK39" s="114"/>
      <c r="CL39" s="114"/>
      <c r="CM39" s="114"/>
      <c r="CN39" s="292"/>
      <c r="CO39" s="412"/>
      <c r="CP39" s="114"/>
      <c r="CQ39" s="114"/>
      <c r="CR39" s="114"/>
      <c r="CS39" s="292"/>
      <c r="CT39" s="412"/>
      <c r="CU39" s="114"/>
      <c r="CV39" s="114"/>
      <c r="CW39" s="114"/>
      <c r="CX39" s="292"/>
      <c r="CY39" s="412"/>
      <c r="CZ39" s="114"/>
      <c r="DA39" s="114"/>
      <c r="DB39" s="114"/>
      <c r="DC39" s="292"/>
      <c r="DD39" s="412"/>
      <c r="DE39" s="114"/>
      <c r="DF39" s="114"/>
      <c r="DG39" s="114"/>
      <c r="DH39" s="292"/>
      <c r="DI39" s="412"/>
      <c r="DJ39" s="114"/>
      <c r="DK39" s="114"/>
      <c r="DL39" s="114"/>
      <c r="DM39" s="292"/>
      <c r="DN39" s="412"/>
      <c r="DO39" s="114"/>
      <c r="DP39" s="114"/>
      <c r="DQ39" s="114"/>
      <c r="DR39" s="292"/>
      <c r="DS39" s="412"/>
      <c r="DT39" s="114"/>
      <c r="DU39" s="114"/>
      <c r="DV39" s="114"/>
      <c r="DW39" s="292"/>
      <c r="DX39" s="412"/>
      <c r="DY39" s="114"/>
      <c r="DZ39" s="114"/>
      <c r="EA39" s="114"/>
      <c r="EB39" s="292"/>
      <c r="EC39" s="412"/>
      <c r="ED39" s="114"/>
      <c r="EE39" s="114"/>
      <c r="EF39" s="114"/>
      <c r="EG39" s="292"/>
      <c r="EH39" s="412"/>
      <c r="EI39" s="114"/>
      <c r="EJ39" s="114"/>
      <c r="EK39" s="114"/>
      <c r="EL39" s="292"/>
      <c r="EM39" s="412"/>
      <c r="EN39" s="114"/>
      <c r="EO39" s="439"/>
      <c r="EP39" s="114"/>
      <c r="EQ39" s="292"/>
      <c r="ER39" s="412"/>
      <c r="ES39" s="114"/>
      <c r="ET39" s="439"/>
      <c r="EU39" s="439"/>
      <c r="EV39" s="292"/>
      <c r="EW39" s="441">
        <v>0.16</v>
      </c>
      <c r="EX39" s="439">
        <v>0.16</v>
      </c>
      <c r="EY39" s="439">
        <v>0.18</v>
      </c>
      <c r="EZ39" s="439">
        <v>0.19</v>
      </c>
      <c r="FA39" s="292"/>
      <c r="FB39" s="291"/>
      <c r="FC39" s="107"/>
      <c r="FD39" s="107"/>
      <c r="FE39" s="107"/>
      <c r="FF39" s="292"/>
      <c r="FG39" s="291"/>
      <c r="FH39" s="107"/>
      <c r="FI39" s="107"/>
      <c r="FJ39" s="107"/>
      <c r="FK39" s="292"/>
      <c r="FL39" s="291"/>
      <c r="FM39" s="107"/>
      <c r="FN39" s="107"/>
      <c r="FO39" s="107"/>
      <c r="FP39" s="292"/>
      <c r="FQ39" s="291"/>
      <c r="FR39" s="107"/>
      <c r="FS39" s="107"/>
      <c r="FT39" s="107"/>
      <c r="FU39" s="292"/>
      <c r="FV39" s="291"/>
      <c r="FW39" s="107"/>
      <c r="FX39" s="107"/>
      <c r="FY39" s="107"/>
      <c r="FZ39" s="292"/>
      <c r="GA39" s="291"/>
      <c r="GB39" s="107"/>
      <c r="GC39" s="107"/>
      <c r="GD39" s="107"/>
      <c r="GE39" s="292"/>
      <c r="GF39" s="291"/>
      <c r="GG39" s="107"/>
      <c r="GH39" s="107"/>
      <c r="GI39" s="107"/>
      <c r="GJ39" s="292"/>
    </row>
    <row r="40" spans="1:192" ht="12.75" customHeight="1">
      <c r="B40" s="727" t="s">
        <v>36</v>
      </c>
      <c r="C40" s="291"/>
      <c r="D40" s="107"/>
      <c r="E40" s="107"/>
      <c r="F40" s="107"/>
      <c r="G40" s="293"/>
      <c r="H40" s="291"/>
      <c r="I40" s="107"/>
      <c r="J40" s="107"/>
      <c r="K40" s="107"/>
      <c r="L40" s="293"/>
      <c r="M40" s="291"/>
      <c r="N40" s="107"/>
      <c r="O40" s="107"/>
      <c r="P40" s="107"/>
      <c r="Q40" s="293"/>
      <c r="R40" s="291"/>
      <c r="S40" s="107"/>
      <c r="T40" s="107"/>
      <c r="U40" s="107"/>
      <c r="V40" s="293"/>
      <c r="W40" s="291"/>
      <c r="X40" s="107"/>
      <c r="Y40" s="107"/>
      <c r="Z40" s="107"/>
      <c r="AA40" s="293"/>
      <c r="AB40" s="291"/>
      <c r="AC40" s="107"/>
      <c r="AD40" s="107"/>
      <c r="AE40" s="107"/>
      <c r="AF40" s="293"/>
      <c r="AG40" s="291"/>
      <c r="AH40" s="107"/>
      <c r="AI40" s="107"/>
      <c r="AJ40" s="107"/>
      <c r="AK40" s="293"/>
      <c r="AL40" s="291"/>
      <c r="AM40" s="107"/>
      <c r="AN40" s="107"/>
      <c r="AO40" s="107"/>
      <c r="AP40" s="293"/>
      <c r="AQ40" s="291"/>
      <c r="AR40" s="107"/>
      <c r="AS40" s="107"/>
      <c r="AT40" s="107"/>
      <c r="AU40" s="293"/>
      <c r="AV40" s="291"/>
      <c r="AW40" s="107"/>
      <c r="AX40" s="107"/>
      <c r="AY40" s="107"/>
      <c r="AZ40" s="293"/>
      <c r="BA40" s="291"/>
      <c r="BB40" s="107"/>
      <c r="BC40" s="107"/>
      <c r="BD40" s="107"/>
      <c r="BE40" s="293"/>
      <c r="BF40" s="291"/>
      <c r="BG40" s="107"/>
      <c r="BH40" s="107"/>
      <c r="BI40" s="107"/>
      <c r="BJ40" s="293"/>
      <c r="BK40" s="291"/>
      <c r="BL40" s="107"/>
      <c r="BM40" s="107"/>
      <c r="BN40" s="107"/>
      <c r="BO40" s="293"/>
      <c r="BP40" s="291"/>
      <c r="BQ40" s="107"/>
      <c r="BR40" s="107"/>
      <c r="BS40" s="107"/>
      <c r="BT40" s="293"/>
      <c r="BU40" s="291"/>
      <c r="BV40" s="107"/>
      <c r="BW40" s="107"/>
      <c r="BX40" s="107"/>
      <c r="BY40" s="293"/>
      <c r="BZ40" s="291"/>
      <c r="CA40" s="107"/>
      <c r="CB40" s="107"/>
      <c r="CC40" s="107"/>
      <c r="CD40" s="293"/>
      <c r="CE40" s="291"/>
      <c r="CF40" s="107"/>
      <c r="CG40" s="107"/>
      <c r="CH40" s="107"/>
      <c r="CI40" s="293"/>
      <c r="CJ40" s="291"/>
      <c r="CK40" s="107"/>
      <c r="CL40" s="107"/>
      <c r="CM40" s="107"/>
      <c r="CN40" s="293"/>
      <c r="CO40" s="291"/>
      <c r="CP40" s="107"/>
      <c r="CQ40" s="107"/>
      <c r="CR40" s="107"/>
      <c r="CS40" s="293"/>
      <c r="CT40" s="291"/>
      <c r="CU40" s="107"/>
      <c r="CV40" s="107"/>
      <c r="CW40" s="107"/>
      <c r="CX40" s="293"/>
      <c r="CY40" s="291"/>
      <c r="CZ40" s="107"/>
      <c r="DA40" s="107"/>
      <c r="DB40" s="107"/>
      <c r="DC40" s="293"/>
      <c r="DD40" s="291"/>
      <c r="DE40" s="107"/>
      <c r="DF40" s="107"/>
      <c r="DG40" s="107"/>
      <c r="DH40" s="293"/>
      <c r="DI40" s="291"/>
      <c r="DJ40" s="107"/>
      <c r="DK40" s="107"/>
      <c r="DL40" s="107"/>
      <c r="DM40" s="293"/>
      <c r="DN40" s="291"/>
      <c r="DO40" s="107"/>
      <c r="DP40" s="107"/>
      <c r="DQ40" s="107"/>
      <c r="DR40" s="293"/>
      <c r="DS40" s="291"/>
      <c r="DT40" s="107"/>
      <c r="DU40" s="107"/>
      <c r="DV40" s="107"/>
      <c r="DW40" s="293"/>
      <c r="DX40" s="291"/>
      <c r="DY40" s="107"/>
      <c r="DZ40" s="107"/>
      <c r="EA40" s="107"/>
      <c r="EB40" s="293"/>
      <c r="EC40" s="291"/>
      <c r="ED40" s="107"/>
      <c r="EE40" s="107"/>
      <c r="EF40" s="107"/>
      <c r="EG40" s="293"/>
      <c r="EH40" s="291"/>
      <c r="EI40" s="107"/>
      <c r="EJ40" s="107"/>
      <c r="EK40" s="107"/>
      <c r="EL40" s="293"/>
      <c r="EM40" s="291"/>
      <c r="EN40" s="107"/>
      <c r="EO40" s="107"/>
      <c r="EP40" s="107"/>
      <c r="EQ40" s="293"/>
      <c r="ER40" s="291">
        <f>IFERROR(ER37/EP37-1,"--")</f>
      </c>
      <c r="ES40" s="107">
        <f>IFERROR(ES37/ER37-1,"--")</f>
      </c>
      <c r="ET40" s="107">
        <f>IFERROR(ET37/ES37-1,"--")</f>
      </c>
      <c r="EU40" s="107">
        <f>IFERROR(EU37/ET37-1,"--")</f>
      </c>
      <c r="EV40" s="293"/>
      <c r="EW40" s="291">
        <f>IFERROR(EW37/EU37-1,"--")</f>
      </c>
      <c r="EX40" s="107">
        <f>IFERROR(EX37/EW37-1,"--")</f>
      </c>
      <c r="EY40" s="107">
        <f>IFERROR(EY37/EX37-1,"--")</f>
      </c>
      <c r="EZ40" s="107">
        <f>IFERROR(EZ37/EY37-1,"--")</f>
      </c>
      <c r="FA40" s="293"/>
      <c r="FB40" s="291"/>
      <c r="FC40" s="107"/>
      <c r="FD40" s="107"/>
      <c r="FE40" s="107"/>
      <c r="FF40" s="293"/>
      <c r="FG40" s="291"/>
      <c r="FH40" s="107"/>
      <c r="FI40" s="107"/>
      <c r="FJ40" s="107"/>
      <c r="FK40" s="293"/>
      <c r="FL40" s="291"/>
      <c r="FM40" s="107"/>
      <c r="FN40" s="107"/>
      <c r="FO40" s="107"/>
      <c r="FP40" s="293"/>
      <c r="FQ40" s="291"/>
      <c r="FR40" s="107"/>
      <c r="FS40" s="107"/>
      <c r="FT40" s="107"/>
      <c r="FU40" s="293"/>
      <c r="FV40" s="291"/>
      <c r="FW40" s="107"/>
      <c r="FX40" s="107"/>
      <c r="FY40" s="107"/>
      <c r="FZ40" s="293"/>
      <c r="GA40" s="291"/>
      <c r="GB40" s="107"/>
      <c r="GC40" s="107"/>
      <c r="GD40" s="107"/>
      <c r="GE40" s="293"/>
      <c r="GF40" s="291"/>
      <c r="GG40" s="107"/>
      <c r="GH40" s="107"/>
      <c r="GI40" s="107"/>
      <c r="GJ40" s="293"/>
    </row>
    <row r="41" spans="1:192" ht="12.75" customHeight="1">
      <c r="B41" s="727" t="s">
        <v>256</v>
      </c>
      <c r="C41" s="291"/>
      <c r="D41" s="107"/>
      <c r="E41" s="107"/>
      <c r="F41" s="107"/>
      <c r="G41" s="293"/>
      <c r="H41" s="291"/>
      <c r="I41" s="107"/>
      <c r="J41" s="107"/>
      <c r="K41" s="107"/>
      <c r="L41" s="293"/>
      <c r="M41" s="291"/>
      <c r="N41" s="107"/>
      <c r="O41" s="107"/>
      <c r="P41" s="107"/>
      <c r="Q41" s="293"/>
      <c r="R41" s="291"/>
      <c r="S41" s="107"/>
      <c r="T41" s="107"/>
      <c r="U41" s="107"/>
      <c r="V41" s="293"/>
      <c r="W41" s="291"/>
      <c r="X41" s="107"/>
      <c r="Y41" s="107"/>
      <c r="Z41" s="107"/>
      <c r="AA41" s="293"/>
      <c r="AB41" s="291"/>
      <c r="AC41" s="107"/>
      <c r="AD41" s="107"/>
      <c r="AE41" s="107"/>
      <c r="AF41" s="293"/>
      <c r="AG41" s="291"/>
      <c r="AH41" s="107"/>
      <c r="AI41" s="107"/>
      <c r="AJ41" s="107"/>
      <c r="AK41" s="293"/>
      <c r="AL41" s="291"/>
      <c r="AM41" s="107"/>
      <c r="AN41" s="107"/>
      <c r="AO41" s="107"/>
      <c r="AP41" s="293"/>
      <c r="AQ41" s="291"/>
      <c r="AR41" s="107"/>
      <c r="AS41" s="107"/>
      <c r="AT41" s="107"/>
      <c r="AU41" s="293"/>
      <c r="AV41" s="291"/>
      <c r="AW41" s="107"/>
      <c r="AX41" s="107"/>
      <c r="AY41" s="107"/>
      <c r="AZ41" s="293"/>
      <c r="BA41" s="291"/>
      <c r="BB41" s="107"/>
      <c r="BC41" s="107"/>
      <c r="BD41" s="107"/>
      <c r="BE41" s="293"/>
      <c r="BF41" s="291"/>
      <c r="BG41" s="107"/>
      <c r="BH41" s="107"/>
      <c r="BI41" s="107"/>
      <c r="BJ41" s="293"/>
      <c r="BK41" s="291"/>
      <c r="BL41" s="107"/>
      <c r="BM41" s="107"/>
      <c r="BN41" s="107"/>
      <c r="BO41" s="293"/>
      <c r="BP41" s="291"/>
      <c r="BQ41" s="107"/>
      <c r="BR41" s="107"/>
      <c r="BS41" s="107"/>
      <c r="BT41" s="293"/>
      <c r="BU41" s="291"/>
      <c r="BV41" s="107"/>
      <c r="BW41" s="107"/>
      <c r="BX41" s="107"/>
      <c r="BY41" s="293"/>
      <c r="BZ41" s="291"/>
      <c r="CA41" s="107"/>
      <c r="CB41" s="107"/>
      <c r="CC41" s="107"/>
      <c r="CD41" s="293"/>
      <c r="CE41" s="291"/>
      <c r="CF41" s="107"/>
      <c r="CG41" s="107"/>
      <c r="CH41" s="107"/>
      <c r="CI41" s="293"/>
      <c r="CJ41" s="291"/>
      <c r="CK41" s="107"/>
      <c r="CL41" s="107"/>
      <c r="CM41" s="107"/>
      <c r="CN41" s="293"/>
      <c r="CO41" s="291"/>
      <c r="CP41" s="107"/>
      <c r="CQ41" s="107"/>
      <c r="CR41" s="107"/>
      <c r="CS41" s="293"/>
      <c r="CT41" s="291"/>
      <c r="CU41" s="107"/>
      <c r="CV41" s="107"/>
      <c r="CW41" s="107"/>
      <c r="CX41" s="293"/>
      <c r="CY41" s="291"/>
      <c r="CZ41" s="107"/>
      <c r="DA41" s="107"/>
      <c r="DB41" s="107"/>
      <c r="DC41" s="293"/>
      <c r="DD41" s="447"/>
      <c r="DE41" s="447"/>
      <c r="DF41" s="447"/>
      <c r="DG41" s="492"/>
      <c r="DH41" s="488"/>
      <c r="DI41" s="447"/>
      <c r="DJ41" s="447"/>
      <c r="DK41" s="447"/>
      <c r="DL41" s="492"/>
      <c r="DM41" s="488"/>
      <c r="DN41" s="447"/>
      <c r="DO41" s="447"/>
      <c r="DP41" s="447"/>
      <c r="DQ41" s="492"/>
      <c r="DR41" s="488"/>
      <c r="DS41" s="447"/>
      <c r="DT41" s="447"/>
      <c r="DU41" s="447"/>
      <c r="DV41" s="492"/>
      <c r="DW41" s="488"/>
      <c r="DX41" s="447"/>
      <c r="DY41" s="447"/>
      <c r="DZ41" s="447"/>
      <c r="EA41" s="492"/>
      <c r="EB41" s="488"/>
      <c r="EC41" s="447"/>
      <c r="ED41" s="447"/>
      <c r="EE41" s="447"/>
      <c r="EF41" s="492"/>
      <c r="EG41" s="488"/>
      <c r="EH41" s="447"/>
      <c r="EI41" s="447"/>
      <c r="EJ41" s="447"/>
      <c r="EK41" s="492"/>
      <c r="EL41" s="900"/>
      <c r="EM41" s="447"/>
      <c r="EN41" s="447"/>
      <c r="EO41" s="447"/>
      <c r="EP41" s="492"/>
      <c r="EQ41" s="488"/>
      <c r="ER41" s="447">
        <f t="shared" ref="ER41" si="42">ER37-EM37</f>
      </c>
      <c r="ES41" s="447">
        <f t="shared" ref="ES41" si="43">ES37-EN37</f>
      </c>
      <c r="ET41" s="447">
        <f t="shared" ref="ET41" si="44">ET37-EO37</f>
      </c>
      <c r="EU41" s="492">
        <f t="shared" ref="EU41" si="45">EU37-EP37</f>
      </c>
      <c r="EV41" s="459">
        <f t="shared" ref="EV41:EY41" si="46">EV37-EQ37</f>
      </c>
      <c r="EW41" s="447">
        <f t="shared" si="46"/>
      </c>
      <c r="EX41" s="447">
        <f t="shared" si="46"/>
      </c>
      <c r="EY41" s="447">
        <f t="shared" si="46"/>
      </c>
      <c r="EZ41" s="492">
        <f t="shared" ref="EZ41" si="47">EZ37-EU37</f>
      </c>
      <c r="FA41" s="459">
        <f t="shared" ref="FA41" si="48">FA37-EV37</f>
      </c>
      <c r="FB41" s="291"/>
      <c r="FC41" s="107"/>
      <c r="FD41" s="107"/>
      <c r="FE41" s="107"/>
      <c r="FF41" s="293"/>
      <c r="FG41" s="291"/>
      <c r="FH41" s="107"/>
      <c r="FI41" s="107"/>
      <c r="FJ41" s="107"/>
      <c r="FK41" s="293"/>
      <c r="FL41" s="291"/>
      <c r="FM41" s="107"/>
      <c r="FN41" s="107"/>
      <c r="FO41" s="107"/>
      <c r="FP41" s="293"/>
      <c r="FQ41" s="291"/>
      <c r="FR41" s="107"/>
      <c r="FS41" s="107"/>
      <c r="FT41" s="107"/>
      <c r="FU41" s="293"/>
      <c r="FV41" s="291"/>
      <c r="FW41" s="107"/>
      <c r="FX41" s="107"/>
      <c r="FY41" s="107"/>
      <c r="FZ41" s="293"/>
      <c r="GA41" s="291"/>
      <c r="GB41" s="107"/>
      <c r="GC41" s="107"/>
      <c r="GD41" s="107"/>
      <c r="GE41" s="293"/>
      <c r="GF41" s="291"/>
      <c r="GG41" s="107"/>
      <c r="GH41" s="107"/>
      <c r="GI41" s="107"/>
      <c r="GJ41" s="293"/>
    </row>
    <row r="42" spans="1:192" ht="12.75" customHeight="1">
      <c r="B42" s="727" t="s">
        <v>263</v>
      </c>
      <c r="C42" s="291"/>
      <c r="D42" s="107"/>
      <c r="E42" s="107"/>
      <c r="F42" s="107"/>
      <c r="G42" s="293"/>
      <c r="H42" s="291"/>
      <c r="I42" s="107"/>
      <c r="J42" s="107"/>
      <c r="K42" s="107"/>
      <c r="L42" s="293"/>
      <c r="M42" s="291"/>
      <c r="N42" s="107"/>
      <c r="O42" s="107"/>
      <c r="P42" s="107"/>
      <c r="Q42" s="293"/>
      <c r="R42" s="291"/>
      <c r="S42" s="107"/>
      <c r="T42" s="107"/>
      <c r="U42" s="107"/>
      <c r="V42" s="293"/>
      <c r="W42" s="291"/>
      <c r="X42" s="107"/>
      <c r="Y42" s="107"/>
      <c r="Z42" s="107"/>
      <c r="AA42" s="293"/>
      <c r="AB42" s="291"/>
      <c r="AC42" s="107"/>
      <c r="AD42" s="107"/>
      <c r="AE42" s="107"/>
      <c r="AF42" s="293"/>
      <c r="AG42" s="291"/>
      <c r="AH42" s="107"/>
      <c r="AI42" s="107"/>
      <c r="AJ42" s="107"/>
      <c r="AK42" s="293"/>
      <c r="AL42" s="291"/>
      <c r="AM42" s="107"/>
      <c r="AN42" s="107"/>
      <c r="AO42" s="107"/>
      <c r="AP42" s="293"/>
      <c r="AQ42" s="291"/>
      <c r="AR42" s="107"/>
      <c r="AS42" s="107"/>
      <c r="AT42" s="107"/>
      <c r="AU42" s="293"/>
      <c r="AV42" s="291"/>
      <c r="AW42" s="107"/>
      <c r="AX42" s="107"/>
      <c r="AY42" s="107"/>
      <c r="AZ42" s="293"/>
      <c r="BA42" s="291"/>
      <c r="BB42" s="107"/>
      <c r="BC42" s="107"/>
      <c r="BD42" s="107"/>
      <c r="BE42" s="293"/>
      <c r="BF42" s="291"/>
      <c r="BG42" s="107"/>
      <c r="BH42" s="107"/>
      <c r="BI42" s="107"/>
      <c r="BJ42" s="293"/>
      <c r="BK42" s="291"/>
      <c r="BL42" s="107"/>
      <c r="BM42" s="107"/>
      <c r="BN42" s="107"/>
      <c r="BO42" s="293"/>
      <c r="BP42" s="291"/>
      <c r="BQ42" s="107"/>
      <c r="BR42" s="107"/>
      <c r="BS42" s="107"/>
      <c r="BT42" s="293"/>
      <c r="BU42" s="291"/>
      <c r="BV42" s="107"/>
      <c r="BW42" s="107"/>
      <c r="BX42" s="107"/>
      <c r="BY42" s="293"/>
      <c r="BZ42" s="291"/>
      <c r="CA42" s="107"/>
      <c r="CB42" s="107"/>
      <c r="CC42" s="107"/>
      <c r="CD42" s="293"/>
      <c r="CE42" s="291"/>
      <c r="CF42" s="107"/>
      <c r="CG42" s="107"/>
      <c r="CH42" s="107"/>
      <c r="CI42" s="293"/>
      <c r="CJ42" s="291"/>
      <c r="CK42" s="107"/>
      <c r="CL42" s="107"/>
      <c r="CM42" s="107"/>
      <c r="CN42" s="293"/>
      <c r="CO42" s="291"/>
      <c r="CP42" s="107"/>
      <c r="CQ42" s="107"/>
      <c r="CR42" s="107"/>
      <c r="CS42" s="293"/>
      <c r="CT42" s="291"/>
      <c r="CU42" s="107"/>
      <c r="CV42" s="107"/>
      <c r="CW42" s="107"/>
      <c r="CX42" s="293"/>
      <c r="CY42" s="291"/>
      <c r="CZ42" s="107"/>
      <c r="DA42" s="107"/>
      <c r="DB42" s="107"/>
      <c r="DC42" s="293"/>
      <c r="DD42" s="291"/>
      <c r="DE42" s="107"/>
      <c r="DF42" s="107"/>
      <c r="DG42" s="107"/>
      <c r="DH42" s="293"/>
      <c r="DI42" s="291"/>
      <c r="DJ42" s="107"/>
      <c r="DK42" s="107"/>
      <c r="DL42" s="107"/>
      <c r="DM42" s="293"/>
      <c r="DN42" s="291"/>
      <c r="DO42" s="107"/>
      <c r="DP42" s="107"/>
      <c r="DQ42" s="107"/>
      <c r="DR42" s="293"/>
      <c r="DS42" s="291"/>
      <c r="DT42" s="107"/>
      <c r="DU42" s="107"/>
      <c r="DV42" s="107"/>
      <c r="DW42" s="293"/>
      <c r="DX42" s="291"/>
      <c r="DY42" s="107"/>
      <c r="DZ42" s="107"/>
      <c r="EA42" s="107"/>
      <c r="EB42" s="293"/>
      <c r="EC42" s="291"/>
      <c r="ED42" s="107"/>
      <c r="EE42" s="107"/>
      <c r="EF42" s="107"/>
      <c r="EG42" s="293"/>
      <c r="EH42" s="291"/>
      <c r="EI42" s="107"/>
      <c r="EJ42" s="107"/>
      <c r="EK42" s="107"/>
      <c r="EL42" s="293"/>
      <c r="EM42" s="291"/>
      <c r="EN42" s="107"/>
      <c r="EO42" s="107"/>
      <c r="EP42" s="107"/>
      <c r="EQ42" s="293"/>
      <c r="ER42" s="291">
        <f t="shared" ref="ER42:FA42" si="49">ER37/ER10</f>
      </c>
      <c r="ES42" s="107">
        <f t="shared" si="49"/>
      </c>
      <c r="ET42" s="107">
        <f t="shared" si="49"/>
      </c>
      <c r="EU42" s="107">
        <f t="shared" si="49"/>
      </c>
      <c r="EV42" s="293">
        <f t="shared" si="49"/>
      </c>
      <c r="EW42" s="291">
        <f t="shared" si="49"/>
      </c>
      <c r="EX42" s="107">
        <f t="shared" si="49"/>
      </c>
      <c r="EY42" s="107">
        <f t="shared" si="49"/>
      </c>
      <c r="EZ42" s="107">
        <f t="shared" si="49"/>
      </c>
      <c r="FA42" s="293">
        <f t="shared" si="49"/>
      </c>
      <c r="FB42" s="291"/>
      <c r="FC42" s="107"/>
      <c r="FD42" s="107"/>
      <c r="FE42" s="107"/>
      <c r="FF42" s="293"/>
      <c r="FG42" s="291"/>
      <c r="FH42" s="107"/>
      <c r="FI42" s="107"/>
      <c r="FJ42" s="107"/>
      <c r="FK42" s="293"/>
      <c r="FL42" s="291"/>
      <c r="FM42" s="107"/>
      <c r="FN42" s="107"/>
      <c r="FO42" s="107"/>
      <c r="FP42" s="293"/>
      <c r="FQ42" s="291"/>
      <c r="FR42" s="107"/>
      <c r="FS42" s="107"/>
      <c r="FT42" s="107"/>
      <c r="FU42" s="293"/>
      <c r="FV42" s="291"/>
      <c r="FW42" s="107"/>
      <c r="FX42" s="107"/>
      <c r="FY42" s="107"/>
      <c r="FZ42" s="293"/>
      <c r="GA42" s="291"/>
      <c r="GB42" s="107"/>
      <c r="GC42" s="107"/>
      <c r="GD42" s="107"/>
      <c r="GE42" s="293"/>
      <c r="GF42" s="291"/>
      <c r="GG42" s="107"/>
      <c r="GH42" s="107"/>
      <c r="GI42" s="107"/>
      <c r="GJ42" s="293"/>
    </row>
    <row r="43" spans="1:192" s="1247" customFormat="1" ht="12.75" customHeight="1">
      <c r="A43" s="1561"/>
      <c r="B43" s="753" t="s">
        <v>1854</v>
      </c>
      <c r="C43" s="1243"/>
      <c r="D43" s="1244"/>
      <c r="E43" s="1244"/>
      <c r="F43" s="1244"/>
      <c r="G43" s="1242"/>
      <c r="H43" s="1243"/>
      <c r="I43" s="1244"/>
      <c r="J43" s="1244"/>
      <c r="K43" s="1244"/>
      <c r="L43" s="1242"/>
      <c r="M43" s="1243"/>
      <c r="N43" s="1244"/>
      <c r="O43" s="1244"/>
      <c r="P43" s="1244"/>
      <c r="Q43" s="1242"/>
      <c r="R43" s="1243"/>
      <c r="S43" s="1244"/>
      <c r="T43" s="1244"/>
      <c r="U43" s="1244"/>
      <c r="V43" s="1242"/>
      <c r="W43" s="1243"/>
      <c r="X43" s="1244"/>
      <c r="Y43" s="1244"/>
      <c r="Z43" s="1244"/>
      <c r="AA43" s="1242"/>
      <c r="AB43" s="1243"/>
      <c r="AC43" s="1244"/>
      <c r="AD43" s="1244"/>
      <c r="AE43" s="1244"/>
      <c r="AF43" s="1242"/>
      <c r="AG43" s="1243"/>
      <c r="AH43" s="1244"/>
      <c r="AI43" s="1244"/>
      <c r="AJ43" s="1244"/>
      <c r="AK43" s="1242"/>
      <c r="AL43" s="1243"/>
      <c r="AM43" s="1244"/>
      <c r="AN43" s="1244"/>
      <c r="AO43" s="1244"/>
      <c r="AP43" s="1242"/>
      <c r="AQ43" s="1243"/>
      <c r="AR43" s="1244"/>
      <c r="AS43" s="1244"/>
      <c r="AT43" s="1244"/>
      <c r="AU43" s="1242"/>
      <c r="AV43" s="1243"/>
      <c r="AW43" s="1244"/>
      <c r="AX43" s="1244"/>
      <c r="AY43" s="1244"/>
      <c r="AZ43" s="1242"/>
      <c r="BA43" s="1243"/>
      <c r="BB43" s="1244"/>
      <c r="BC43" s="1244"/>
      <c r="BD43" s="1244"/>
      <c r="BE43" s="1242"/>
      <c r="BF43" s="1243"/>
      <c r="BG43" s="1244"/>
      <c r="BH43" s="1244"/>
      <c r="BI43" s="1244"/>
      <c r="BJ43" s="1242"/>
      <c r="BK43" s="1243"/>
      <c r="BL43" s="1244"/>
      <c r="BM43" s="1244"/>
      <c r="BN43" s="1244"/>
      <c r="BO43" s="1242"/>
      <c r="BP43" s="1243"/>
      <c r="BQ43" s="1244"/>
      <c r="BR43" s="1244"/>
      <c r="BS43" s="1244"/>
      <c r="BT43" s="1242"/>
      <c r="BU43" s="1243"/>
      <c r="BV43" s="1244"/>
      <c r="BW43" s="1244"/>
      <c r="BX43" s="1244"/>
      <c r="BY43" s="1242"/>
      <c r="BZ43" s="1243"/>
      <c r="CA43" s="1244"/>
      <c r="CB43" s="1244"/>
      <c r="CC43" s="1244"/>
      <c r="CD43" s="1242"/>
      <c r="CE43" s="1243"/>
      <c r="CF43" s="1244"/>
      <c r="CG43" s="1244"/>
      <c r="CH43" s="1244"/>
      <c r="CI43" s="1242"/>
      <c r="CJ43" s="1243"/>
      <c r="CK43" s="1244"/>
      <c r="CL43" s="1244"/>
      <c r="CM43" s="1244"/>
      <c r="CN43" s="1242"/>
      <c r="CO43" s="1243"/>
      <c r="CP43" s="1244"/>
      <c r="CQ43" s="1244"/>
      <c r="CR43" s="1244"/>
      <c r="CS43" s="1242"/>
      <c r="CT43" s="1243"/>
      <c r="CU43" s="1244"/>
      <c r="CV43" s="1244"/>
      <c r="CW43" s="1244"/>
      <c r="CX43" s="1242"/>
      <c r="CY43" s="1243"/>
      <c r="CZ43" s="1244"/>
      <c r="DA43" s="1244"/>
      <c r="DB43" s="1244"/>
      <c r="DC43" s="1242"/>
      <c r="DD43" s="1243"/>
      <c r="DE43" s="1244"/>
      <c r="DF43" s="1244"/>
      <c r="DG43" s="1244"/>
      <c r="DH43" s="1245"/>
      <c r="DI43" s="1243"/>
      <c r="DJ43" s="1244"/>
      <c r="DK43" s="1244"/>
      <c r="DL43" s="1244"/>
      <c r="DM43" s="1242"/>
      <c r="DN43" s="1243"/>
      <c r="DO43" s="1244"/>
      <c r="DP43" s="1244"/>
      <c r="DQ43" s="1244"/>
      <c r="DR43" s="1242"/>
      <c r="DS43" s="1243"/>
      <c r="DT43" s="1244"/>
      <c r="DU43" s="1244"/>
      <c r="DV43" s="1244"/>
      <c r="DW43" s="1242"/>
      <c r="DX43" s="1243"/>
      <c r="DY43" s="1244"/>
      <c r="DZ43" s="1244"/>
      <c r="EA43" s="1244"/>
      <c r="EB43" s="1242"/>
      <c r="EC43" s="1243"/>
      <c r="ED43" s="1244"/>
      <c r="EE43" s="1244"/>
      <c r="EF43" s="1244"/>
      <c r="EG43" s="1242"/>
      <c r="EH43" s="1243"/>
      <c r="EI43" s="1244"/>
      <c r="EJ43" s="1244"/>
      <c r="EK43" s="1244"/>
      <c r="EL43" s="1242"/>
      <c r="EM43" s="1243"/>
      <c r="EN43" s="1243"/>
      <c r="EO43" s="1243"/>
      <c r="EP43" s="1244"/>
      <c r="EQ43" s="1242"/>
      <c r="ER43" s="1243">
        <f t="shared" ref="ER43" si="50">(ER42-EM42)*10000</f>
      </c>
      <c r="ES43" s="1244">
        <f t="shared" ref="ES43" si="51">(ES42-EN42)*10000</f>
      </c>
      <c r="ET43" s="1243">
        <f t="shared" ref="ET43" si="52">(ET42-EO42)*10000</f>
      </c>
      <c r="EU43" s="1244">
        <f t="shared" ref="EU43" si="53">(EU42-EP42)*10000</f>
      </c>
      <c r="EV43" s="1242">
        <f t="shared" ref="EV43:EY43" si="54">(EV42-EQ42)*10000</f>
      </c>
      <c r="EW43" s="1243">
        <f t="shared" si="54"/>
      </c>
      <c r="EX43" s="1244">
        <f t="shared" si="54"/>
      </c>
      <c r="EY43" s="1244">
        <f t="shared" si="54"/>
      </c>
      <c r="EZ43" s="1244">
        <f t="shared" ref="EZ43" si="55">(EZ42-EU42)*10000</f>
      </c>
      <c r="FA43" s="1242">
        <f t="shared" ref="FA43" si="56">(FA42-EV42)*10000</f>
      </c>
      <c r="FB43" s="1243"/>
      <c r="FC43" s="1244"/>
      <c r="FD43" s="1244"/>
      <c r="FE43" s="1244"/>
      <c r="FF43" s="1242"/>
      <c r="FG43" s="1243"/>
      <c r="FH43" s="1243"/>
      <c r="FI43" s="1243"/>
      <c r="FJ43" s="1243"/>
      <c r="FK43" s="1242"/>
      <c r="FL43" s="1243"/>
      <c r="FM43" s="1243"/>
      <c r="FN43" s="1243"/>
      <c r="FO43" s="1243"/>
      <c r="FP43" s="1242"/>
      <c r="FQ43" s="1243"/>
      <c r="FR43" s="1243"/>
      <c r="FS43" s="1243"/>
      <c r="FT43" s="1243"/>
      <c r="FU43" s="1242"/>
      <c r="FV43" s="1243"/>
      <c r="FW43" s="1243"/>
      <c r="FX43" s="1243"/>
      <c r="FY43" s="1243"/>
      <c r="FZ43" s="1242"/>
      <c r="GA43" s="1243"/>
      <c r="GB43" s="1243"/>
      <c r="GC43" s="1243"/>
      <c r="GD43" s="1243"/>
      <c r="GE43" s="1242"/>
      <c r="GF43" s="1243"/>
      <c r="GG43" s="1243"/>
      <c r="GH43" s="1243"/>
      <c r="GI43" s="1243"/>
      <c r="GJ43" s="1242"/>
    </row>
    <row r="44" spans="1:192" ht="12.75" customHeight="1">
      <c r="B44" s="727"/>
      <c r="C44" s="291"/>
      <c r="D44" s="107"/>
      <c r="E44" s="107"/>
      <c r="F44" s="107"/>
      <c r="G44" s="293"/>
      <c r="H44" s="291"/>
      <c r="I44" s="107"/>
      <c r="J44" s="107"/>
      <c r="K44" s="107"/>
      <c r="L44" s="293"/>
      <c r="M44" s="291"/>
      <c r="N44" s="107"/>
      <c r="O44" s="107"/>
      <c r="P44" s="107"/>
      <c r="Q44" s="293"/>
      <c r="R44" s="291"/>
      <c r="S44" s="107"/>
      <c r="T44" s="107"/>
      <c r="U44" s="107"/>
      <c r="V44" s="293"/>
      <c r="W44" s="291"/>
      <c r="X44" s="107"/>
      <c r="Y44" s="107"/>
      <c r="Z44" s="107"/>
      <c r="AA44" s="293"/>
      <c r="AB44" s="291"/>
      <c r="AC44" s="107"/>
      <c r="AD44" s="107"/>
      <c r="AE44" s="107"/>
      <c r="AF44" s="293"/>
      <c r="AG44" s="291"/>
      <c r="AH44" s="107"/>
      <c r="AI44" s="107"/>
      <c r="AJ44" s="107"/>
      <c r="AK44" s="293"/>
      <c r="AL44" s="291"/>
      <c r="AM44" s="107"/>
      <c r="AN44" s="107"/>
      <c r="AO44" s="107"/>
      <c r="AP44" s="293"/>
      <c r="AQ44" s="291"/>
      <c r="AR44" s="107"/>
      <c r="AS44" s="107"/>
      <c r="AT44" s="107"/>
      <c r="AU44" s="293"/>
      <c r="AV44" s="291"/>
      <c r="AW44" s="107"/>
      <c r="AX44" s="107"/>
      <c r="AY44" s="107"/>
      <c r="AZ44" s="293"/>
      <c r="BA44" s="291"/>
      <c r="BB44" s="107"/>
      <c r="BC44" s="107"/>
      <c r="BD44" s="107"/>
      <c r="BE44" s="293"/>
      <c r="BF44" s="291"/>
      <c r="BG44" s="107"/>
      <c r="BH44" s="107"/>
      <c r="BI44" s="107"/>
      <c r="BJ44" s="293"/>
      <c r="BK44" s="291"/>
      <c r="BL44" s="107"/>
      <c r="BM44" s="107"/>
      <c r="BN44" s="107"/>
      <c r="BO44" s="293"/>
      <c r="BP44" s="291"/>
      <c r="BQ44" s="107"/>
      <c r="BR44" s="107"/>
      <c r="BS44" s="107"/>
      <c r="BT44" s="293"/>
      <c r="BU44" s="291"/>
      <c r="BV44" s="107"/>
      <c r="BW44" s="107"/>
      <c r="BX44" s="107"/>
      <c r="BY44" s="293"/>
      <c r="BZ44" s="291"/>
      <c r="CA44" s="107"/>
      <c r="CB44" s="107"/>
      <c r="CC44" s="107"/>
      <c r="CD44" s="293"/>
      <c r="CE44" s="291"/>
      <c r="CF44" s="107"/>
      <c r="CG44" s="107"/>
      <c r="CH44" s="107"/>
      <c r="CI44" s="293"/>
      <c r="CJ44" s="291"/>
      <c r="CK44" s="107"/>
      <c r="CL44" s="107"/>
      <c r="CM44" s="107"/>
      <c r="CN44" s="293"/>
      <c r="CO44" s="291"/>
      <c r="CP44" s="107"/>
      <c r="CQ44" s="107"/>
      <c r="CR44" s="107"/>
      <c r="CS44" s="293"/>
      <c r="CT44" s="291"/>
      <c r="CU44" s="107"/>
      <c r="CV44" s="107"/>
      <c r="CW44" s="107"/>
      <c r="CX44" s="293"/>
      <c r="CY44" s="291"/>
      <c r="CZ44" s="107"/>
      <c r="DA44" s="107"/>
      <c r="DB44" s="107"/>
      <c r="DC44" s="293"/>
      <c r="DD44" s="291"/>
      <c r="DE44" s="107"/>
      <c r="DF44" s="107"/>
      <c r="DG44" s="107"/>
      <c r="DH44" s="293"/>
      <c r="DI44" s="291"/>
      <c r="DJ44" s="107"/>
      <c r="DK44" s="107"/>
      <c r="DL44" s="107"/>
      <c r="DM44" s="293"/>
      <c r="DN44" s="291"/>
      <c r="DO44" s="107"/>
      <c r="DP44" s="107"/>
      <c r="DQ44" s="107"/>
      <c r="DR44" s="293"/>
      <c r="DS44" s="291"/>
      <c r="DT44" s="107"/>
      <c r="DU44" s="107"/>
      <c r="DV44" s="107"/>
      <c r="DW44" s="293"/>
      <c r="DX44" s="291"/>
      <c r="DY44" s="107"/>
      <c r="DZ44" s="107"/>
      <c r="EA44" s="107"/>
      <c r="EB44" s="293"/>
      <c r="EC44" s="291"/>
      <c r="ED44" s="107"/>
      <c r="EE44" s="107"/>
      <c r="EF44" s="107"/>
      <c r="EG44" s="293"/>
      <c r="EH44" s="291"/>
      <c r="EI44" s="107"/>
      <c r="EJ44" s="107"/>
      <c r="EK44" s="107"/>
      <c r="EL44" s="293"/>
      <c r="EM44" s="291"/>
      <c r="EN44" s="107"/>
      <c r="EO44" s="107"/>
      <c r="EP44" s="107"/>
      <c r="EQ44" s="293"/>
      <c r="ER44" s="291"/>
      <c r="ES44" s="107"/>
      <c r="ET44" s="107"/>
      <c r="EU44" s="107"/>
      <c r="EV44" s="293"/>
      <c r="EW44" s="291"/>
      <c r="EX44" s="107"/>
      <c r="EY44" s="107"/>
      <c r="EZ44" s="107"/>
      <c r="FA44" s="293"/>
      <c r="FB44" s="291"/>
      <c r="FC44" s="107"/>
      <c r="FD44" s="107"/>
      <c r="FE44" s="107"/>
      <c r="FF44" s="293"/>
      <c r="FG44" s="291"/>
      <c r="FH44" s="107"/>
      <c r="FI44" s="107"/>
      <c r="FJ44" s="107"/>
      <c r="FK44" s="293"/>
      <c r="FL44" s="291"/>
      <c r="FM44" s="107"/>
      <c r="FN44" s="107"/>
      <c r="FO44" s="107"/>
      <c r="FP44" s="293"/>
      <c r="FQ44" s="291"/>
      <c r="FR44" s="107"/>
      <c r="FS44" s="107"/>
      <c r="FT44" s="107"/>
      <c r="FU44" s="293"/>
      <c r="FV44" s="291"/>
      <c r="FW44" s="107"/>
      <c r="FX44" s="107"/>
      <c r="FY44" s="107"/>
      <c r="FZ44" s="293"/>
      <c r="GA44" s="291"/>
      <c r="GB44" s="107"/>
      <c r="GC44" s="107"/>
      <c r="GD44" s="107"/>
      <c r="GE44" s="293"/>
      <c r="GF44" s="291"/>
      <c r="GG44" s="107"/>
      <c r="GH44" s="107"/>
      <c r="GI44" s="107"/>
      <c r="GJ44" s="293"/>
    </row>
    <row r="45" spans="1:192" s="317" customFormat="1" ht="12.75" customHeight="1">
      <c r="A45" s="280"/>
      <c r="B45" s="730" t="s">
        <v>219</v>
      </c>
      <c r="C45" s="316"/>
      <c r="D45" s="316"/>
      <c r="E45" s="316"/>
      <c r="F45" s="316"/>
      <c r="G45" s="313"/>
      <c r="H45" s="316"/>
      <c r="I45" s="316"/>
      <c r="J45" s="316"/>
      <c r="K45" s="316"/>
      <c r="L45" s="313"/>
      <c r="M45" s="316"/>
      <c r="N45" s="316"/>
      <c r="O45" s="316"/>
      <c r="P45" s="316"/>
      <c r="Q45" s="313"/>
      <c r="R45" s="316"/>
      <c r="S45" s="316"/>
      <c r="T45" s="316"/>
      <c r="U45" s="316"/>
      <c r="V45" s="313"/>
      <c r="W45" s="316"/>
      <c r="X45" s="316"/>
      <c r="Y45" s="316"/>
      <c r="Z45" s="316"/>
      <c r="AA45" s="313"/>
      <c r="AB45" s="316"/>
      <c r="AC45" s="316"/>
      <c r="AD45" s="316"/>
      <c r="AE45" s="316"/>
      <c r="AF45" s="313"/>
      <c r="AG45" s="316"/>
      <c r="AH45" s="316"/>
      <c r="AI45" s="316"/>
      <c r="AJ45" s="316"/>
      <c r="AK45" s="313"/>
      <c r="AL45" s="316"/>
      <c r="AM45" s="316"/>
      <c r="AN45" s="316"/>
      <c r="AO45" s="316"/>
      <c r="AP45" s="313"/>
      <c r="AQ45" s="316"/>
      <c r="AR45" s="316"/>
      <c r="AS45" s="316"/>
      <c r="AT45" s="316"/>
      <c r="AU45" s="313"/>
      <c r="AV45" s="316"/>
      <c r="AW45" s="316"/>
      <c r="AX45" s="316"/>
      <c r="AY45" s="316"/>
      <c r="AZ45" s="313"/>
      <c r="BA45" s="316"/>
      <c r="BB45" s="316"/>
      <c r="BC45" s="316"/>
      <c r="BD45" s="316"/>
      <c r="BE45" s="313"/>
      <c r="BF45" s="316"/>
      <c r="BG45" s="316"/>
      <c r="BH45" s="316"/>
      <c r="BI45" s="316"/>
      <c r="BJ45" s="313"/>
      <c r="BK45" s="316"/>
      <c r="BL45" s="316"/>
      <c r="BM45" s="316"/>
      <c r="BN45" s="316"/>
      <c r="BO45" s="313"/>
      <c r="BP45" s="316"/>
      <c r="BQ45" s="316"/>
      <c r="BR45" s="316"/>
      <c r="BS45" s="316"/>
      <c r="BT45" s="313"/>
      <c r="BU45" s="316"/>
      <c r="BV45" s="316"/>
      <c r="BW45" s="316"/>
      <c r="BX45" s="316"/>
      <c r="BY45" s="313"/>
      <c r="BZ45" s="316"/>
      <c r="CA45" s="316"/>
      <c r="CB45" s="316"/>
      <c r="CC45" s="316"/>
      <c r="CD45" s="319"/>
      <c r="CE45" s="316"/>
      <c r="CF45" s="316"/>
      <c r="CG45" s="316"/>
      <c r="CH45" s="316"/>
      <c r="CI45" s="319"/>
      <c r="CJ45" s="316"/>
      <c r="CK45" s="316"/>
      <c r="CL45" s="316"/>
      <c r="CM45" s="316"/>
      <c r="CN45" s="319"/>
      <c r="CO45" s="316"/>
      <c r="CP45" s="316"/>
      <c r="CQ45" s="316"/>
      <c r="CR45" s="316"/>
      <c r="CS45" s="319"/>
      <c r="CT45" s="316"/>
      <c r="CU45" s="316"/>
      <c r="CV45" s="316"/>
      <c r="CW45" s="316"/>
      <c r="CX45" s="319"/>
      <c r="CY45" s="316"/>
      <c r="CZ45" s="316"/>
      <c r="DA45" s="316"/>
      <c r="DB45" s="316"/>
      <c r="DC45" s="319"/>
      <c r="DD45" s="316"/>
      <c r="DE45" s="316"/>
      <c r="DF45" s="316"/>
      <c r="DG45" s="316"/>
      <c r="DH45" s="319"/>
      <c r="DI45" s="316"/>
      <c r="DJ45" s="316"/>
      <c r="DK45" s="316"/>
      <c r="DL45" s="316"/>
      <c r="DM45" s="319"/>
      <c r="DN45" s="316"/>
      <c r="DO45" s="316"/>
      <c r="DP45" s="316"/>
      <c r="DQ45" s="316"/>
      <c r="DR45" s="319"/>
      <c r="DS45" s="316"/>
      <c r="DT45" s="316"/>
      <c r="DU45" s="316"/>
      <c r="DV45" s="316"/>
      <c r="DW45" s="319"/>
      <c r="DX45" s="316"/>
      <c r="DY45" s="316"/>
      <c r="DZ45" s="316"/>
      <c r="EA45" s="316"/>
      <c r="EB45" s="319"/>
      <c r="EC45" s="316"/>
      <c r="ED45" s="316"/>
      <c r="EE45" s="316"/>
      <c r="EF45" s="316"/>
      <c r="EG45" s="319"/>
      <c r="EH45" s="316"/>
      <c r="EI45" s="316"/>
      <c r="EJ45" s="316"/>
      <c r="EK45" s="316"/>
      <c r="EL45" s="319"/>
      <c r="EM45" s="316"/>
      <c r="EN45" s="316"/>
      <c r="EO45" s="316"/>
      <c r="EP45" s="316"/>
      <c r="EQ45" s="319"/>
      <c r="ER45" s="316"/>
      <c r="ES45" s="1158"/>
      <c r="ET45" s="1158"/>
      <c r="EU45" s="1158">
        <v>43599</v>
      </c>
      <c r="EV45" s="319">
        <f>EU45</f>
      </c>
      <c r="EW45" s="1158">
        <v>40429</v>
      </c>
      <c r="EX45" s="1158">
        <v>33582</v>
      </c>
      <c r="EY45" s="1158">
        <v>34244</v>
      </c>
      <c r="EZ45" s="1158">
        <v>50567</v>
      </c>
      <c r="FA45" s="319">
        <f>EZ45</f>
      </c>
      <c r="FB45" s="316"/>
      <c r="FC45" s="316"/>
      <c r="FD45" s="316"/>
      <c r="FE45" s="316"/>
      <c r="FF45" s="313"/>
      <c r="FG45" s="316"/>
      <c r="FH45" s="316"/>
      <c r="FI45" s="316"/>
      <c r="FJ45" s="316"/>
      <c r="FK45" s="313"/>
      <c r="FL45" s="316"/>
      <c r="FM45" s="316"/>
      <c r="FN45" s="316"/>
      <c r="FO45" s="316"/>
      <c r="FP45" s="313"/>
      <c r="FQ45" s="316"/>
      <c r="FR45" s="316"/>
      <c r="FS45" s="316"/>
      <c r="FT45" s="316"/>
      <c r="FU45" s="313"/>
      <c r="FV45" s="316"/>
      <c r="FW45" s="316"/>
      <c r="FX45" s="316"/>
      <c r="FY45" s="316"/>
      <c r="FZ45" s="313"/>
      <c r="GA45" s="316"/>
      <c r="GB45" s="316"/>
      <c r="GC45" s="316"/>
      <c r="GD45" s="316"/>
      <c r="GE45" s="313"/>
      <c r="GF45" s="316"/>
      <c r="GG45" s="316"/>
      <c r="GH45" s="316"/>
      <c r="GI45" s="316"/>
      <c r="GJ45" s="313"/>
    </row>
    <row r="46" spans="1:192" ht="12.75" customHeight="1">
      <c r="B46" s="727" t="s">
        <v>34</v>
      </c>
      <c r="C46" s="291"/>
      <c r="D46" s="107"/>
      <c r="E46" s="107"/>
      <c r="F46" s="107"/>
      <c r="G46" s="292"/>
      <c r="H46" s="291"/>
      <c r="I46" s="107"/>
      <c r="J46" s="107"/>
      <c r="K46" s="107"/>
      <c r="L46" s="292"/>
      <c r="M46" s="291"/>
      <c r="N46" s="107"/>
      <c r="O46" s="107"/>
      <c r="P46" s="107"/>
      <c r="Q46" s="292"/>
      <c r="R46" s="291"/>
      <c r="S46" s="107"/>
      <c r="T46" s="107"/>
      <c r="U46" s="107"/>
      <c r="V46" s="292"/>
      <c r="W46" s="291"/>
      <c r="X46" s="107"/>
      <c r="Y46" s="107"/>
      <c r="Z46" s="107"/>
      <c r="AA46" s="292"/>
      <c r="AB46" s="291"/>
      <c r="AC46" s="107"/>
      <c r="AD46" s="107"/>
      <c r="AE46" s="107"/>
      <c r="AF46" s="292"/>
      <c r="AG46" s="291"/>
      <c r="AH46" s="107"/>
      <c r="AI46" s="107"/>
      <c r="AJ46" s="107"/>
      <c r="AK46" s="292"/>
      <c r="AL46" s="291"/>
      <c r="AM46" s="107"/>
      <c r="AN46" s="107"/>
      <c r="AO46" s="107"/>
      <c r="AP46" s="292"/>
      <c r="AQ46" s="291"/>
      <c r="AR46" s="107"/>
      <c r="AS46" s="107"/>
      <c r="AT46" s="107"/>
      <c r="AU46" s="292"/>
      <c r="AV46" s="291"/>
      <c r="AW46" s="107"/>
      <c r="AX46" s="107"/>
      <c r="AY46" s="107"/>
      <c r="AZ46" s="292"/>
      <c r="BA46" s="291"/>
      <c r="BB46" s="107"/>
      <c r="BC46" s="107"/>
      <c r="BD46" s="107"/>
      <c r="BE46" s="292"/>
      <c r="BF46" s="291"/>
      <c r="BG46" s="107"/>
      <c r="BH46" s="107"/>
      <c r="BI46" s="107"/>
      <c r="BJ46" s="292"/>
      <c r="BK46" s="291"/>
      <c r="BL46" s="107"/>
      <c r="BM46" s="107"/>
      <c r="BN46" s="107"/>
      <c r="BO46" s="292"/>
      <c r="BP46" s="291"/>
      <c r="BQ46" s="107"/>
      <c r="BR46" s="107"/>
      <c r="BS46" s="107"/>
      <c r="BT46" s="292"/>
      <c r="BU46" s="291"/>
      <c r="BV46" s="107"/>
      <c r="BW46" s="107"/>
      <c r="BX46" s="107"/>
      <c r="BY46" s="292"/>
      <c r="BZ46" s="291"/>
      <c r="CA46" s="107"/>
      <c r="CB46" s="107"/>
      <c r="CC46" s="107"/>
      <c r="CD46" s="292"/>
      <c r="CE46" s="291"/>
      <c r="CF46" s="107"/>
      <c r="CG46" s="107"/>
      <c r="CH46" s="107"/>
      <c r="CI46" s="292"/>
      <c r="CJ46" s="291"/>
      <c r="CK46" s="107"/>
      <c r="CL46" s="107"/>
      <c r="CM46" s="107"/>
      <c r="CN46" s="292"/>
      <c r="CO46" s="291"/>
      <c r="CP46" s="107"/>
      <c r="CQ46" s="107"/>
      <c r="CR46" s="107"/>
      <c r="CS46" s="292"/>
      <c r="CT46" s="291"/>
      <c r="CU46" s="107"/>
      <c r="CV46" s="107"/>
      <c r="CW46" s="107"/>
      <c r="CX46" s="292"/>
      <c r="CY46" s="291"/>
      <c r="CZ46" s="107"/>
      <c r="DA46" s="107"/>
      <c r="DB46" s="107"/>
      <c r="DC46" s="292"/>
      <c r="DD46" s="291"/>
      <c r="DE46" s="107"/>
      <c r="DF46" s="107"/>
      <c r="DG46" s="107"/>
      <c r="DH46" s="292"/>
      <c r="DI46" s="291"/>
      <c r="DJ46" s="107"/>
      <c r="DK46" s="107"/>
      <c r="DL46" s="107"/>
      <c r="DM46" s="292"/>
      <c r="DN46" s="291"/>
      <c r="DO46" s="107"/>
      <c r="DP46" s="107"/>
      <c r="DQ46" s="107"/>
      <c r="DR46" s="292"/>
      <c r="DS46" s="291"/>
      <c r="DT46" s="107"/>
      <c r="DU46" s="107"/>
      <c r="DV46" s="107"/>
      <c r="DW46" s="292"/>
      <c r="DX46" s="291"/>
      <c r="DY46" s="107"/>
      <c r="DZ46" s="107"/>
      <c r="EA46" s="107"/>
      <c r="EB46" s="292"/>
      <c r="EC46" s="291"/>
      <c r="ED46" s="107"/>
      <c r="EE46" s="107"/>
      <c r="EF46" s="107"/>
      <c r="EG46" s="292"/>
      <c r="EH46" s="291"/>
      <c r="EI46" s="107"/>
      <c r="EJ46" s="107"/>
      <c r="EK46" s="107"/>
      <c r="EL46" s="292"/>
      <c r="EM46" s="291"/>
      <c r="EN46" s="107"/>
      <c r="EO46" s="107"/>
      <c r="EP46" s="107"/>
      <c r="EQ46" s="292"/>
      <c r="ER46" s="291"/>
      <c r="ES46" s="107"/>
      <c r="ET46" s="107"/>
      <c r="EU46" s="107"/>
      <c r="EV46" s="292"/>
      <c r="EW46" s="291"/>
      <c r="EX46" s="107"/>
      <c r="EY46" s="107"/>
      <c r="EZ46" s="291">
        <f t="shared" ref="EZ46:FA46" si="57">IFERROR(EZ45/EU45-1,"--")</f>
      </c>
      <c r="FA46" s="292">
        <f t="shared" si="57"/>
      </c>
      <c r="FB46" s="291"/>
      <c r="FC46" s="107"/>
      <c r="FD46" s="107"/>
      <c r="FE46" s="107"/>
      <c r="FF46" s="292"/>
      <c r="FG46" s="291"/>
      <c r="FH46" s="107"/>
      <c r="FI46" s="107"/>
      <c r="FJ46" s="107"/>
      <c r="FK46" s="292"/>
      <c r="FL46" s="291"/>
      <c r="FM46" s="107"/>
      <c r="FN46" s="107"/>
      <c r="FO46" s="107"/>
      <c r="FP46" s="292"/>
      <c r="FQ46" s="291"/>
      <c r="FR46" s="107"/>
      <c r="FS46" s="107"/>
      <c r="FT46" s="107"/>
      <c r="FU46" s="292"/>
      <c r="FV46" s="291"/>
      <c r="FW46" s="107"/>
      <c r="FX46" s="107"/>
      <c r="FY46" s="107"/>
      <c r="FZ46" s="292"/>
      <c r="GA46" s="291"/>
      <c r="GB46" s="107"/>
      <c r="GC46" s="107"/>
      <c r="GD46" s="107"/>
      <c r="GE46" s="292"/>
      <c r="GF46" s="291"/>
      <c r="GG46" s="107"/>
      <c r="GH46" s="107"/>
      <c r="GI46" s="107"/>
      <c r="GJ46" s="292"/>
    </row>
    <row r="47" spans="1:192" ht="12.75" customHeight="1">
      <c r="B47" s="727" t="s">
        <v>36</v>
      </c>
      <c r="C47" s="291"/>
      <c r="D47" s="107"/>
      <c r="E47" s="107"/>
      <c r="F47" s="107"/>
      <c r="G47" s="293"/>
      <c r="H47" s="291"/>
      <c r="I47" s="107"/>
      <c r="J47" s="107"/>
      <c r="K47" s="107"/>
      <c r="L47" s="293"/>
      <c r="M47" s="291"/>
      <c r="N47" s="107"/>
      <c r="O47" s="107"/>
      <c r="P47" s="107"/>
      <c r="Q47" s="293"/>
      <c r="R47" s="291"/>
      <c r="S47" s="107"/>
      <c r="T47" s="107"/>
      <c r="U47" s="107"/>
      <c r="V47" s="293"/>
      <c r="W47" s="291"/>
      <c r="X47" s="107"/>
      <c r="Y47" s="107"/>
      <c r="Z47" s="107"/>
      <c r="AA47" s="293"/>
      <c r="AB47" s="291"/>
      <c r="AC47" s="107"/>
      <c r="AD47" s="107"/>
      <c r="AE47" s="107"/>
      <c r="AF47" s="293"/>
      <c r="AG47" s="291"/>
      <c r="AH47" s="107"/>
      <c r="AI47" s="107"/>
      <c r="AJ47" s="107"/>
      <c r="AK47" s="293"/>
      <c r="AL47" s="291"/>
      <c r="AM47" s="107"/>
      <c r="AN47" s="107"/>
      <c r="AO47" s="107"/>
      <c r="AP47" s="293"/>
      <c r="AQ47" s="291"/>
      <c r="AR47" s="107"/>
      <c r="AS47" s="107"/>
      <c r="AT47" s="107"/>
      <c r="AU47" s="293"/>
      <c r="AV47" s="291"/>
      <c r="AW47" s="107"/>
      <c r="AX47" s="107"/>
      <c r="AY47" s="107"/>
      <c r="AZ47" s="293"/>
      <c r="BA47" s="291"/>
      <c r="BB47" s="107"/>
      <c r="BC47" s="107"/>
      <c r="BD47" s="107"/>
      <c r="BE47" s="293"/>
      <c r="BF47" s="291"/>
      <c r="BG47" s="107"/>
      <c r="BH47" s="107"/>
      <c r="BI47" s="107"/>
      <c r="BJ47" s="293"/>
      <c r="BK47" s="291"/>
      <c r="BL47" s="107"/>
      <c r="BM47" s="107"/>
      <c r="BN47" s="107"/>
      <c r="BO47" s="293"/>
      <c r="BP47" s="291"/>
      <c r="BQ47" s="107"/>
      <c r="BR47" s="107"/>
      <c r="BS47" s="107"/>
      <c r="BT47" s="293"/>
      <c r="BU47" s="291"/>
      <c r="BV47" s="107"/>
      <c r="BW47" s="107"/>
      <c r="BX47" s="107"/>
      <c r="BY47" s="293"/>
      <c r="BZ47" s="291"/>
      <c r="CA47" s="107"/>
      <c r="CB47" s="107"/>
      <c r="CC47" s="107"/>
      <c r="CD47" s="293"/>
      <c r="CE47" s="291"/>
      <c r="CF47" s="107"/>
      <c r="CG47" s="107"/>
      <c r="CH47" s="107"/>
      <c r="CI47" s="293"/>
      <c r="CJ47" s="291"/>
      <c r="CK47" s="107"/>
      <c r="CL47" s="107"/>
      <c r="CM47" s="107"/>
      <c r="CN47" s="293"/>
      <c r="CO47" s="291"/>
      <c r="CP47" s="107"/>
      <c r="CQ47" s="107"/>
      <c r="CR47" s="107"/>
      <c r="CS47" s="293"/>
      <c r="CT47" s="291"/>
      <c r="CU47" s="107"/>
      <c r="CV47" s="506"/>
      <c r="CW47" s="107"/>
      <c r="CX47" s="293"/>
      <c r="CY47" s="291"/>
      <c r="CZ47" s="107"/>
      <c r="DA47" s="107"/>
      <c r="DB47" s="107"/>
      <c r="DC47" s="293"/>
      <c r="DD47" s="291"/>
      <c r="DE47" s="107"/>
      <c r="DF47" s="107"/>
      <c r="DG47" s="107"/>
      <c r="DH47" s="293"/>
      <c r="DI47" s="291"/>
      <c r="DJ47" s="107"/>
      <c r="DK47" s="107"/>
      <c r="DL47" s="107"/>
      <c r="DM47" s="293"/>
      <c r="DN47" s="291"/>
      <c r="DO47" s="107"/>
      <c r="DP47" s="107"/>
      <c r="DQ47" s="107"/>
      <c r="DR47" s="293"/>
      <c r="DS47" s="291"/>
      <c r="DT47" s="107"/>
      <c r="DU47" s="107"/>
      <c r="DV47" s="107"/>
      <c r="DW47" s="293"/>
      <c r="DX47" s="291"/>
      <c r="DY47" s="107"/>
      <c r="DZ47" s="107"/>
      <c r="EA47" s="107"/>
      <c r="EB47" s="293"/>
      <c r="EC47" s="291"/>
      <c r="ED47" s="107"/>
      <c r="EE47" s="107"/>
      <c r="EF47" s="107"/>
      <c r="EG47" s="293"/>
      <c r="EH47" s="291"/>
      <c r="EI47" s="107"/>
      <c r="EJ47" s="107"/>
      <c r="EK47" s="107"/>
      <c r="EL47" s="293"/>
      <c r="EM47" s="291"/>
      <c r="EN47" s="107"/>
      <c r="EO47" s="107"/>
      <c r="EP47" s="107"/>
      <c r="EQ47" s="293"/>
      <c r="ER47" s="291"/>
      <c r="ES47" s="107"/>
      <c r="ET47" s="107"/>
      <c r="EU47" s="107"/>
      <c r="EV47" s="293"/>
      <c r="EW47" s="291"/>
      <c r="EX47" s="107"/>
      <c r="EY47" s="107"/>
      <c r="EZ47" s="107"/>
      <c r="FA47" s="293"/>
      <c r="FB47" s="291"/>
      <c r="FC47" s="107"/>
      <c r="FD47" s="107"/>
      <c r="FE47" s="107"/>
      <c r="FF47" s="293"/>
      <c r="FG47" s="291"/>
      <c r="FH47" s="107"/>
      <c r="FI47" s="107"/>
      <c r="FJ47" s="107"/>
      <c r="FK47" s="293"/>
      <c r="FL47" s="291"/>
      <c r="FM47" s="107"/>
      <c r="FN47" s="107"/>
      <c r="FO47" s="107"/>
      <c r="FP47" s="293"/>
      <c r="FQ47" s="291"/>
      <c r="FR47" s="107"/>
      <c r="FS47" s="107"/>
      <c r="FT47" s="107"/>
      <c r="FU47" s="293"/>
      <c r="FV47" s="291"/>
      <c r="FW47" s="107"/>
      <c r="FX47" s="107"/>
      <c r="FY47" s="107"/>
      <c r="FZ47" s="293"/>
      <c r="GA47" s="291"/>
      <c r="GB47" s="107"/>
      <c r="GC47" s="107"/>
      <c r="GD47" s="107"/>
      <c r="GE47" s="293"/>
      <c r="GF47" s="291"/>
      <c r="GG47" s="107"/>
      <c r="GH47" s="107"/>
      <c r="GI47" s="107"/>
      <c r="GJ47" s="293"/>
    </row>
    <row r="48" spans="1:192" ht="12.75" customHeight="1">
      <c r="B48" s="727"/>
      <c r="C48" s="291"/>
      <c r="D48" s="107"/>
      <c r="E48" s="107"/>
      <c r="F48" s="107"/>
      <c r="G48" s="293"/>
      <c r="H48" s="291"/>
      <c r="I48" s="107"/>
      <c r="J48" s="107"/>
      <c r="K48" s="107"/>
      <c r="L48" s="293"/>
      <c r="M48" s="291"/>
      <c r="N48" s="107"/>
      <c r="O48" s="107"/>
      <c r="P48" s="107"/>
      <c r="Q48" s="293"/>
      <c r="R48" s="291"/>
      <c r="S48" s="107"/>
      <c r="T48" s="107"/>
      <c r="U48" s="107"/>
      <c r="V48" s="293"/>
      <c r="W48" s="291"/>
      <c r="X48" s="107"/>
      <c r="Y48" s="107"/>
      <c r="Z48" s="107"/>
      <c r="AA48" s="293"/>
      <c r="AB48" s="291"/>
      <c r="AC48" s="107"/>
      <c r="AD48" s="107"/>
      <c r="AE48" s="107"/>
      <c r="AF48" s="293"/>
      <c r="AG48" s="291"/>
      <c r="AH48" s="107"/>
      <c r="AI48" s="107"/>
      <c r="AJ48" s="107"/>
      <c r="AK48" s="293"/>
      <c r="AL48" s="291"/>
      <c r="AM48" s="107"/>
      <c r="AN48" s="107"/>
      <c r="AO48" s="107"/>
      <c r="AP48" s="293"/>
      <c r="AQ48" s="291"/>
      <c r="AR48" s="107"/>
      <c r="AS48" s="107"/>
      <c r="AT48" s="107"/>
      <c r="AU48" s="293"/>
      <c r="AV48" s="291"/>
      <c r="AW48" s="107"/>
      <c r="AX48" s="107"/>
      <c r="AY48" s="107"/>
      <c r="AZ48" s="293"/>
      <c r="BA48" s="291"/>
      <c r="BB48" s="107"/>
      <c r="BC48" s="107"/>
      <c r="BD48" s="107"/>
      <c r="BE48" s="293"/>
      <c r="BF48" s="291"/>
      <c r="BG48" s="107"/>
      <c r="BH48" s="107"/>
      <c r="BI48" s="107"/>
      <c r="BJ48" s="293"/>
      <c r="BK48" s="291"/>
      <c r="BL48" s="107"/>
      <c r="BM48" s="107"/>
      <c r="BN48" s="107"/>
      <c r="BO48" s="293"/>
      <c r="BP48" s="291"/>
      <c r="BQ48" s="107"/>
      <c r="BR48" s="107"/>
      <c r="BS48" s="107"/>
      <c r="BT48" s="293"/>
      <c r="BU48" s="291"/>
      <c r="BV48" s="107"/>
      <c r="BW48" s="107"/>
      <c r="BX48" s="107"/>
      <c r="BY48" s="293"/>
      <c r="BZ48" s="291"/>
      <c r="CA48" s="107"/>
      <c r="CB48" s="107"/>
      <c r="CC48" s="107"/>
      <c r="CD48" s="293"/>
      <c r="CE48" s="291"/>
      <c r="CF48" s="107"/>
      <c r="CG48" s="107"/>
      <c r="CH48" s="107"/>
      <c r="CI48" s="293"/>
      <c r="CJ48" s="291"/>
      <c r="CK48" s="107"/>
      <c r="CL48" s="107"/>
      <c r="CM48" s="107"/>
      <c r="CN48" s="293"/>
      <c r="CO48" s="291"/>
      <c r="CP48" s="107"/>
      <c r="CQ48" s="107"/>
      <c r="CR48" s="107"/>
      <c r="CS48" s="293"/>
      <c r="CT48" s="291"/>
      <c r="CU48" s="107"/>
      <c r="CV48" s="506"/>
      <c r="CW48" s="107"/>
      <c r="CX48" s="293"/>
      <c r="CY48" s="291"/>
      <c r="CZ48" s="107"/>
      <c r="DA48" s="107"/>
      <c r="DB48" s="107"/>
      <c r="DC48" s="293"/>
      <c r="DD48" s="291"/>
      <c r="DE48" s="349"/>
      <c r="DF48" s="291"/>
      <c r="DG48" s="291"/>
      <c r="DH48" s="293"/>
      <c r="DI48" s="291"/>
      <c r="DJ48" s="291"/>
      <c r="DK48" s="291"/>
      <c r="DL48" s="291"/>
      <c r="DM48" s="293"/>
      <c r="DN48" s="291"/>
      <c r="DO48" s="291"/>
      <c r="DP48" s="291"/>
      <c r="DQ48" s="291"/>
      <c r="DR48" s="293"/>
      <c r="DS48" s="291"/>
      <c r="DT48" s="291"/>
      <c r="DU48" s="291"/>
      <c r="DV48" s="291"/>
      <c r="DW48" s="293"/>
      <c r="DX48" s="349"/>
      <c r="DY48" s="349"/>
      <c r="DZ48" s="291"/>
      <c r="EA48" s="291"/>
      <c r="EB48" s="293"/>
      <c r="EC48" s="291"/>
      <c r="ED48" s="291"/>
      <c r="EE48" s="291"/>
      <c r="EF48" s="291"/>
      <c r="EG48" s="293"/>
      <c r="EH48" s="291"/>
      <c r="EI48" s="291"/>
      <c r="EJ48" s="349"/>
      <c r="EK48" s="291"/>
      <c r="EL48" s="293"/>
      <c r="EM48" s="291"/>
      <c r="EN48" s="291"/>
      <c r="EO48" s="291"/>
      <c r="EP48" s="291"/>
      <c r="EQ48" s="293"/>
      <c r="ER48" s="291"/>
      <c r="ES48" s="291"/>
      <c r="ET48" s="291"/>
      <c r="EU48" s="291"/>
      <c r="EV48" s="293"/>
      <c r="EW48" s="291"/>
      <c r="EX48" s="107"/>
      <c r="EY48" s="107"/>
      <c r="EZ48" s="107"/>
      <c r="FA48" s="293"/>
      <c r="FB48" s="291"/>
      <c r="FC48" s="107"/>
      <c r="FD48" s="107"/>
      <c r="FE48" s="107"/>
      <c r="FF48" s="293"/>
      <c r="FG48" s="291"/>
      <c r="FH48" s="107"/>
      <c r="FI48" s="107"/>
      <c r="FJ48" s="107"/>
      <c r="FK48" s="293"/>
      <c r="FL48" s="291"/>
      <c r="FM48" s="107"/>
      <c r="FN48" s="107"/>
      <c r="FO48" s="107"/>
      <c r="FP48" s="293"/>
      <c r="FQ48" s="291"/>
      <c r="FR48" s="107"/>
      <c r="FS48" s="107"/>
      <c r="FT48" s="107"/>
      <c r="FU48" s="293"/>
      <c r="FV48" s="291"/>
      <c r="FW48" s="107"/>
      <c r="FX48" s="107"/>
      <c r="FY48" s="107"/>
      <c r="FZ48" s="293"/>
      <c r="GA48" s="291"/>
      <c r="GB48" s="107"/>
      <c r="GC48" s="107"/>
      <c r="GD48" s="107"/>
      <c r="GE48" s="293"/>
      <c r="GF48" s="291"/>
      <c r="GG48" s="107"/>
      <c r="GH48" s="107"/>
      <c r="GI48" s="107"/>
      <c r="GJ48" s="293"/>
    </row>
    <row r="49" spans="1:192" ht="12.75" customHeight="1">
      <c r="B49" s="1516" t="s">
        <v>1984</v>
      </c>
      <c r="C49" s="291"/>
      <c r="D49" s="107"/>
      <c r="E49" s="107"/>
      <c r="F49" s="107"/>
      <c r="G49" s="293"/>
      <c r="H49" s="291"/>
      <c r="I49" s="107"/>
      <c r="J49" s="107"/>
      <c r="K49" s="107"/>
      <c r="L49" s="293"/>
      <c r="M49" s="291"/>
      <c r="N49" s="107"/>
      <c r="O49" s="107"/>
      <c r="P49" s="107"/>
      <c r="Q49" s="293"/>
      <c r="R49" s="291"/>
      <c r="S49" s="107"/>
      <c r="T49" s="107"/>
      <c r="U49" s="107"/>
      <c r="V49" s="293"/>
      <c r="W49" s="291"/>
      <c r="X49" s="107"/>
      <c r="Y49" s="107"/>
      <c r="Z49" s="107"/>
      <c r="AA49" s="293"/>
      <c r="AB49" s="291"/>
      <c r="AC49" s="107"/>
      <c r="AD49" s="107"/>
      <c r="AE49" s="107"/>
      <c r="AF49" s="293"/>
      <c r="AG49" s="291"/>
      <c r="AH49" s="107"/>
      <c r="AI49" s="107"/>
      <c r="AJ49" s="107"/>
      <c r="AK49" s="293"/>
      <c r="AL49" s="291"/>
      <c r="AM49" s="107"/>
      <c r="AN49" s="107"/>
      <c r="AO49" s="107"/>
      <c r="AP49" s="293"/>
      <c r="AQ49" s="291"/>
      <c r="AR49" s="107"/>
      <c r="AS49" s="107"/>
      <c r="AT49" s="107"/>
      <c r="AU49" s="293"/>
      <c r="AV49" s="291"/>
      <c r="AW49" s="107"/>
      <c r="AX49" s="107"/>
      <c r="AY49" s="107"/>
      <c r="AZ49" s="293"/>
      <c r="BA49" s="291"/>
      <c r="BB49" s="107"/>
      <c r="BC49" s="107"/>
      <c r="BD49" s="107"/>
      <c r="BE49" s="293"/>
      <c r="BF49" s="291"/>
      <c r="BG49" s="107"/>
      <c r="BH49" s="107"/>
      <c r="BI49" s="107"/>
      <c r="BJ49" s="293"/>
      <c r="BK49" s="291"/>
      <c r="BL49" s="107"/>
      <c r="BM49" s="107"/>
      <c r="BN49" s="107"/>
      <c r="BO49" s="293"/>
      <c r="BP49" s="291"/>
      <c r="BQ49" s="107"/>
      <c r="BR49" s="107"/>
      <c r="BS49" s="107"/>
      <c r="BT49" s="293"/>
      <c r="BU49" s="291"/>
      <c r="BV49" s="107"/>
      <c r="BW49" s="107"/>
      <c r="BX49" s="107"/>
      <c r="BY49" s="293"/>
      <c r="BZ49" s="291"/>
      <c r="CA49" s="107"/>
      <c r="CB49" s="107"/>
      <c r="CC49" s="107"/>
      <c r="CD49" s="293"/>
      <c r="CE49" s="291"/>
      <c r="CF49" s="107"/>
      <c r="CG49" s="107"/>
      <c r="CH49" s="107"/>
      <c r="CI49" s="293"/>
      <c r="CJ49" s="291"/>
      <c r="CK49" s="107"/>
      <c r="CL49" s="107"/>
      <c r="CM49" s="107"/>
      <c r="CN49" s="293"/>
      <c r="CO49" s="291"/>
      <c r="CP49" s="107"/>
      <c r="CQ49" s="107"/>
      <c r="CR49" s="107"/>
      <c r="CS49" s="293"/>
      <c r="CT49" s="291"/>
      <c r="CU49" s="107"/>
      <c r="CV49" s="506"/>
      <c r="CW49" s="107"/>
      <c r="CX49" s="293"/>
      <c r="CY49" s="291"/>
      <c r="CZ49" s="107"/>
      <c r="DA49" s="107"/>
      <c r="DB49" s="107"/>
      <c r="DC49" s="293"/>
      <c r="DD49" s="291"/>
      <c r="DE49" s="349"/>
      <c r="DF49" s="291"/>
      <c r="DG49" s="291"/>
      <c r="DH49" s="293"/>
      <c r="DI49" s="291"/>
      <c r="DJ49" s="291"/>
      <c r="DK49" s="291"/>
      <c r="DL49" s="291"/>
      <c r="DM49" s="293"/>
      <c r="DN49" s="291"/>
      <c r="DO49" s="291"/>
      <c r="DP49" s="291"/>
      <c r="DQ49" s="291"/>
      <c r="DR49" s="293"/>
      <c r="DS49" s="291"/>
      <c r="DT49" s="291"/>
      <c r="DU49" s="291"/>
      <c r="DV49" s="291"/>
      <c r="DW49" s="293"/>
      <c r="DX49" s="349"/>
      <c r="DY49" s="349"/>
      <c r="DZ49" s="291"/>
      <c r="EA49" s="291"/>
      <c r="EB49" s="293"/>
      <c r="EC49" s="291"/>
      <c r="ED49" s="291"/>
      <c r="EE49" s="291"/>
      <c r="EF49" s="291"/>
      <c r="EG49" s="293"/>
      <c r="EH49" s="291"/>
      <c r="EI49" s="291"/>
      <c r="EJ49" s="349"/>
      <c r="EK49" s="291"/>
      <c r="EL49" s="293"/>
      <c r="EM49" s="291"/>
      <c r="EN49" s="291"/>
      <c r="EO49" s="291"/>
      <c r="EP49" s="291"/>
      <c r="EQ49" s="293"/>
      <c r="ER49" s="291"/>
      <c r="ES49" s="291"/>
      <c r="ET49" s="291"/>
      <c r="EU49" s="291"/>
      <c r="EV49" s="293"/>
      <c r="EW49" s="291"/>
      <c r="EX49" s="107"/>
      <c r="EY49" s="107"/>
      <c r="EZ49" s="107"/>
      <c r="FA49" s="293"/>
      <c r="FB49" s="291"/>
      <c r="FC49" s="107"/>
      <c r="FD49" s="107"/>
      <c r="FE49" s="107"/>
      <c r="FF49" s="293"/>
      <c r="FG49" s="291"/>
      <c r="FH49" s="107"/>
      <c r="FI49" s="107"/>
      <c r="FJ49" s="107"/>
      <c r="FK49" s="293"/>
      <c r="FL49" s="291"/>
      <c r="FM49" s="107"/>
      <c r="FN49" s="107"/>
      <c r="FO49" s="107"/>
      <c r="FP49" s="293"/>
      <c r="FQ49" s="291"/>
      <c r="FR49" s="107"/>
      <c r="FS49" s="107"/>
      <c r="FT49" s="107"/>
      <c r="FU49" s="293"/>
      <c r="FV49" s="291"/>
      <c r="FW49" s="107"/>
      <c r="FX49" s="107"/>
      <c r="FY49" s="107"/>
      <c r="FZ49" s="293"/>
      <c r="GA49" s="291"/>
      <c r="GB49" s="107"/>
      <c r="GC49" s="107"/>
      <c r="GD49" s="107"/>
      <c r="GE49" s="293"/>
      <c r="GF49" s="291"/>
      <c r="GG49" s="107"/>
      <c r="GH49" s="107"/>
      <c r="GI49" s="107"/>
      <c r="GJ49" s="293"/>
    </row>
    <row r="50" spans="1:192" s="317" customFormat="1" ht="12.75" hidden="1" customHeight="1" outlineLevel="1">
      <c r="A50" s="280"/>
      <c r="B50" s="726" t="s">
        <v>1985</v>
      </c>
      <c r="C50" s="315"/>
      <c r="D50" s="315"/>
      <c r="E50" s="315"/>
      <c r="F50" s="315"/>
      <c r="G50" s="313"/>
      <c r="H50" s="315"/>
      <c r="I50" s="315"/>
      <c r="J50" s="315"/>
      <c r="K50" s="315"/>
      <c r="L50" s="313"/>
      <c r="M50" s="315"/>
      <c r="N50" s="315"/>
      <c r="O50" s="315"/>
      <c r="P50" s="315"/>
      <c r="Q50" s="313"/>
      <c r="R50" s="315"/>
      <c r="S50" s="315"/>
      <c r="T50" s="315"/>
      <c r="U50" s="315"/>
      <c r="V50" s="313"/>
      <c r="W50" s="315"/>
      <c r="X50" s="315"/>
      <c r="Y50" s="315"/>
      <c r="Z50" s="315"/>
      <c r="AA50" s="313"/>
      <c r="AB50" s="315"/>
      <c r="AC50" s="315"/>
      <c r="AD50" s="315"/>
      <c r="AE50" s="315"/>
      <c r="AF50" s="313"/>
      <c r="AG50" s="315"/>
      <c r="AH50" s="315"/>
      <c r="AI50" s="315"/>
      <c r="AJ50" s="315"/>
      <c r="AK50" s="313"/>
      <c r="AL50" s="315"/>
      <c r="AM50" s="315"/>
      <c r="AN50" s="315"/>
      <c r="AO50" s="315"/>
      <c r="AP50" s="313"/>
      <c r="AQ50" s="315"/>
      <c r="AR50" s="315"/>
      <c r="AS50" s="315"/>
      <c r="AT50" s="315"/>
      <c r="AU50" s="313"/>
      <c r="AV50" s="315"/>
      <c r="AW50" s="315"/>
      <c r="AX50" s="315"/>
      <c r="AY50" s="315"/>
      <c r="AZ50" s="313"/>
      <c r="BA50" s="315"/>
      <c r="BB50" s="315"/>
      <c r="BC50" s="315"/>
      <c r="BD50" s="315"/>
      <c r="BE50" s="313"/>
      <c r="BF50" s="315"/>
      <c r="BG50" s="315"/>
      <c r="BH50" s="315"/>
      <c r="BI50" s="315"/>
      <c r="BJ50" s="313"/>
      <c r="BK50" s="315"/>
      <c r="BL50" s="315"/>
      <c r="BM50" s="315"/>
      <c r="BN50" s="315"/>
      <c r="BO50" s="313"/>
      <c r="BP50" s="315"/>
      <c r="BQ50" s="315"/>
      <c r="BR50" s="315"/>
      <c r="BS50" s="315"/>
      <c r="BT50" s="313"/>
      <c r="BU50" s="315"/>
      <c r="BV50" s="315"/>
      <c r="BW50" s="315"/>
      <c r="BX50" s="315"/>
      <c r="BY50" s="313"/>
      <c r="BZ50" s="315"/>
      <c r="CA50" s="315"/>
      <c r="CB50" s="315"/>
      <c r="CC50" s="315"/>
      <c r="CD50" s="319"/>
      <c r="CE50" s="315"/>
      <c r="CF50" s="315"/>
      <c r="CG50" s="315"/>
      <c r="CH50" s="315"/>
      <c r="CI50" s="319"/>
      <c r="CJ50" s="315"/>
      <c r="CK50" s="315"/>
      <c r="CL50" s="315"/>
      <c r="CM50" s="315"/>
      <c r="CN50" s="319"/>
      <c r="CO50" s="315"/>
      <c r="CP50" s="315"/>
      <c r="CQ50" s="315"/>
      <c r="CR50" s="315"/>
      <c r="CS50" s="319"/>
      <c r="CT50" s="315"/>
      <c r="CU50" s="315"/>
      <c r="CV50" s="315"/>
      <c r="CW50" s="315"/>
      <c r="CX50" s="319"/>
      <c r="CY50" s="316">
        <v>6490</v>
      </c>
      <c r="CZ50" s="316">
        <v>6822</v>
      </c>
      <c r="DA50" s="316">
        <v>6457</v>
      </c>
      <c r="DB50" s="316">
        <v>6661</v>
      </c>
      <c r="DC50" s="319">
        <f>SUM(CY50:DB50)</f>
      </c>
      <c r="DD50" s="316">
        <v>5998</v>
      </c>
      <c r="DE50" s="316">
        <v>6480</v>
      </c>
      <c r="DF50" s="316">
        <v>6207</v>
      </c>
      <c r="DG50" s="1158">
        <v>7107</v>
      </c>
      <c r="DH50" s="319">
        <f>SUM(DD50:DG50)</f>
      </c>
      <c r="DI50" s="1158">
        <v>6436</v>
      </c>
      <c r="DJ50" s="1158">
        <v>7179</v>
      </c>
      <c r="DK50" s="1158">
        <v>7707</v>
      </c>
      <c r="DL50" s="1158">
        <v>8548</v>
      </c>
      <c r="DM50" s="319">
        <f>SUM(DI50:DL50)</f>
      </c>
      <c r="DN50" s="316">
        <v>8238</v>
      </c>
      <c r="DO50" s="316">
        <v>8953</v>
      </c>
      <c r="DP50" s="316">
        <v>9006</v>
      </c>
      <c r="DQ50" s="316">
        <v>9668</v>
      </c>
      <c r="DR50" s="319">
        <f>SUM(DN50:DQ50)</f>
      </c>
      <c r="DS50" s="316">
        <v>9771</v>
      </c>
      <c r="DT50" s="316">
        <v>10100</v>
      </c>
      <c r="DU50" s="316">
        <v>10242</v>
      </c>
      <c r="DV50" s="316">
        <v>11047</v>
      </c>
      <c r="DW50" s="319">
        <f>SUM(DS50:DV50)</f>
      </c>
      <c r="DX50" s="316">
        <v>11077</v>
      </c>
      <c r="DY50" s="316">
        <v>11826</v>
      </c>
      <c r="DZ50" s="316">
        <v>11743</v>
      </c>
      <c r="EA50" s="316">
        <v>11752</v>
      </c>
      <c r="EB50" s="319">
        <f>SUM(DX50:EA50)</f>
      </c>
      <c r="EC50" s="316">
        <v>12319</v>
      </c>
      <c r="ED50" s="316">
        <v>13353</v>
      </c>
      <c r="EE50" s="316">
        <v>13552</v>
      </c>
      <c r="EF50" s="316">
        <v>14691</v>
      </c>
      <c r="EG50" s="319">
        <f>SUM(EC50:EF50)</f>
      </c>
      <c r="EH50" s="316">
        <v>15039</v>
      </c>
      <c r="EI50" s="316">
        <v>15936</v>
      </c>
      <c r="EJ50" s="316">
        <v>15789</v>
      </c>
      <c r="EK50" s="316">
        <v>16600</v>
      </c>
      <c r="EL50" s="319">
        <f>SUM(EH50:EK50)</f>
      </c>
      <c r="EM50" s="316">
        <v>16465</v>
      </c>
      <c r="EN50" s="316">
        <v>17002</v>
      </c>
      <c r="EO50" s="316">
        <v>17516</v>
      </c>
      <c r="EP50" s="316">
        <v>18291</v>
      </c>
      <c r="EQ50" s="319">
        <f>SUM(EM50:EP50)</f>
      </c>
      <c r="ER50" s="1158">
        <v>18592</v>
      </c>
      <c r="ES50" s="1158">
        <v>19249</v>
      </c>
      <c r="ET50" s="1158">
        <v>19570</v>
      </c>
      <c r="EU50" s="1158">
        <v>20317</v>
      </c>
      <c r="EV50" s="319">
        <f>SUM(ER50:EU50)</f>
      </c>
      <c r="EW50" s="312"/>
      <c r="EX50" s="312"/>
      <c r="EY50" s="312"/>
      <c r="EZ50" s="312"/>
      <c r="FA50" s="319"/>
      <c r="FB50" s="312"/>
      <c r="FC50" s="312"/>
      <c r="FD50" s="312"/>
      <c r="FE50" s="312"/>
      <c r="FF50" s="319"/>
      <c r="FG50" s="312"/>
      <c r="FH50" s="312"/>
      <c r="FI50" s="312"/>
      <c r="FJ50" s="312"/>
      <c r="FK50" s="319"/>
      <c r="FL50" s="312"/>
      <c r="FM50" s="312"/>
      <c r="FN50" s="312"/>
      <c r="FO50" s="312"/>
      <c r="FP50" s="319"/>
      <c r="FQ50" s="312"/>
      <c r="FR50" s="312"/>
      <c r="FS50" s="312"/>
      <c r="FT50" s="312"/>
      <c r="FU50" s="319"/>
      <c r="FV50" s="312"/>
      <c r="FW50" s="312"/>
      <c r="FX50" s="312"/>
      <c r="FY50" s="312"/>
      <c r="FZ50" s="313"/>
      <c r="GA50" s="312"/>
      <c r="GB50" s="312"/>
      <c r="GC50" s="312"/>
      <c r="GD50" s="312"/>
      <c r="GE50" s="313"/>
      <c r="GF50" s="312"/>
      <c r="GG50" s="312"/>
      <c r="GH50" s="312"/>
      <c r="GI50" s="312"/>
      <c r="GJ50" s="313"/>
    </row>
    <row r="51" spans="1:192" s="1241" customFormat="1" ht="12.75" hidden="1" customHeight="1" outlineLevel="1">
      <c r="A51" s="1237"/>
      <c r="B51" s="727" t="s">
        <v>34</v>
      </c>
      <c r="C51" s="892"/>
      <c r="D51" s="924"/>
      <c r="E51" s="924"/>
      <c r="F51" s="924"/>
      <c r="G51" s="1240"/>
      <c r="H51" s="892"/>
      <c r="I51" s="924"/>
      <c r="J51" s="924"/>
      <c r="K51" s="924"/>
      <c r="L51" s="1240"/>
      <c r="M51" s="892"/>
      <c r="N51" s="924"/>
      <c r="O51" s="924"/>
      <c r="P51" s="924"/>
      <c r="Q51" s="1240"/>
      <c r="R51" s="892"/>
      <c r="S51" s="924"/>
      <c r="T51" s="924"/>
      <c r="U51" s="924"/>
      <c r="V51" s="1240"/>
      <c r="W51" s="892"/>
      <c r="X51" s="924"/>
      <c r="Y51" s="924"/>
      <c r="Z51" s="924"/>
      <c r="AA51" s="1240"/>
      <c r="AB51" s="892"/>
      <c r="AC51" s="924"/>
      <c r="AD51" s="924"/>
      <c r="AE51" s="924"/>
      <c r="AF51" s="1240"/>
      <c r="AG51" s="892"/>
      <c r="AH51" s="924"/>
      <c r="AI51" s="924"/>
      <c r="AJ51" s="924"/>
      <c r="AK51" s="1240"/>
      <c r="AL51" s="892"/>
      <c r="AM51" s="924"/>
      <c r="AN51" s="924"/>
      <c r="AO51" s="924"/>
      <c r="AP51" s="1240"/>
      <c r="AQ51" s="892"/>
      <c r="AR51" s="924"/>
      <c r="AS51" s="924"/>
      <c r="AT51" s="924"/>
      <c r="AU51" s="1240"/>
      <c r="AV51" s="892"/>
      <c r="AW51" s="924"/>
      <c r="AX51" s="924"/>
      <c r="AY51" s="924"/>
      <c r="AZ51" s="1240"/>
      <c r="BA51" s="892"/>
      <c r="BB51" s="924"/>
      <c r="BC51" s="924"/>
      <c r="BD51" s="924"/>
      <c r="BE51" s="1240"/>
      <c r="BF51" s="892"/>
      <c r="BG51" s="924"/>
      <c r="BH51" s="924"/>
      <c r="BI51" s="924"/>
      <c r="BJ51" s="1240"/>
      <c r="BK51" s="892"/>
      <c r="BL51" s="924"/>
      <c r="BM51" s="924"/>
      <c r="BN51" s="924"/>
      <c r="BO51" s="1240"/>
      <c r="BP51" s="892"/>
      <c r="BQ51" s="924"/>
      <c r="BR51" s="924"/>
      <c r="BS51" s="924"/>
      <c r="BT51" s="1240"/>
      <c r="BU51" s="892"/>
      <c r="BV51" s="924"/>
      <c r="BW51" s="924"/>
      <c r="BX51" s="924"/>
      <c r="BY51" s="1240"/>
      <c r="BZ51" s="892"/>
      <c r="CA51" s="924"/>
      <c r="CB51" s="924"/>
      <c r="CC51" s="924"/>
      <c r="CD51" s="1240"/>
      <c r="CE51" s="892"/>
      <c r="CF51" s="924"/>
      <c r="CG51" s="924"/>
      <c r="CH51" s="924"/>
      <c r="CI51" s="1240"/>
      <c r="CJ51" s="892"/>
      <c r="CK51" s="924"/>
      <c r="CL51" s="924"/>
      <c r="CM51" s="924"/>
      <c r="CN51" s="1240"/>
      <c r="CO51" s="892"/>
      <c r="CP51" s="924"/>
      <c r="CQ51" s="924"/>
      <c r="CR51" s="924"/>
      <c r="CS51" s="1240"/>
      <c r="CT51" s="892"/>
      <c r="CU51" s="924"/>
      <c r="CV51" s="924"/>
      <c r="CW51" s="924"/>
      <c r="CX51" s="1240"/>
      <c r="CY51" s="892" t="str">
        <f>IFERROR(CY50/CT50-1,"")</f>
      </c>
      <c r="CZ51" s="892" t="str">
        <f>IFERROR(CZ50/CU50-1,"")</f>
      </c>
      <c r="DA51" s="892" t="str">
        <f>IFERROR(DA50/CV50-1,"")</f>
      </c>
      <c r="DB51" s="892" t="str">
        <f>IFERROR(DB50/CW50-1,"")</f>
      </c>
      <c r="DC51" s="1240" t="str">
        <f>IFERROR(DC50/CX50-1,"")</f>
      </c>
      <c r="DD51" s="1360">
        <f t="shared" ref="DD51:ET51" si="58">IFERROR(DD50/CY50-1,"--")</f>
      </c>
      <c r="DE51" s="1361">
        <f t="shared" si="58"/>
      </c>
      <c r="DF51" s="1361">
        <f t="shared" si="58"/>
      </c>
      <c r="DG51" s="1361">
        <f t="shared" si="58"/>
      </c>
      <c r="DH51" s="292">
        <f t="shared" si="58"/>
      </c>
      <c r="DI51" s="441">
        <v>7.0000000000000007E-2</v>
      </c>
      <c r="DJ51" s="439">
        <v>0.11</v>
      </c>
      <c r="DK51" s="439">
        <v>0.24</v>
      </c>
      <c r="DL51" s="439">
        <v>0.2</v>
      </c>
      <c r="DM51" s="292">
        <f t="shared" si="58"/>
      </c>
      <c r="DN51" s="291">
        <f t="shared" si="58"/>
      </c>
      <c r="DO51" s="107">
        <f t="shared" si="58"/>
      </c>
      <c r="DP51" s="107">
        <f t="shared" si="58"/>
      </c>
      <c r="DQ51" s="107">
        <f t="shared" si="58"/>
      </c>
      <c r="DR51" s="292">
        <f t="shared" si="58"/>
      </c>
      <c r="DS51" s="291">
        <f t="shared" si="58"/>
      </c>
      <c r="DT51" s="107">
        <f t="shared" si="58"/>
      </c>
      <c r="DU51" s="107">
        <f t="shared" si="58"/>
      </c>
      <c r="DV51" s="107">
        <f t="shared" si="58"/>
      </c>
      <c r="DW51" s="292">
        <f t="shared" si="58"/>
      </c>
      <c r="DX51" s="291">
        <f t="shared" si="58"/>
      </c>
      <c r="DY51" s="107">
        <f t="shared" si="58"/>
      </c>
      <c r="DZ51" s="107">
        <f t="shared" si="58"/>
      </c>
      <c r="EA51" s="107">
        <f t="shared" si="58"/>
      </c>
      <c r="EB51" s="292">
        <f t="shared" si="58"/>
      </c>
      <c r="EC51" s="291">
        <f t="shared" si="58"/>
      </c>
      <c r="ED51" s="107">
        <f t="shared" si="58"/>
      </c>
      <c r="EE51" s="107">
        <f t="shared" si="58"/>
      </c>
      <c r="EF51" s="107">
        <f t="shared" si="58"/>
      </c>
      <c r="EG51" s="292">
        <f t="shared" si="58"/>
      </c>
      <c r="EH51" s="291">
        <f t="shared" si="58"/>
      </c>
      <c r="EI51" s="107">
        <f t="shared" si="58"/>
      </c>
      <c r="EJ51" s="107">
        <f t="shared" si="58"/>
      </c>
      <c r="EK51" s="107">
        <f t="shared" si="58"/>
      </c>
      <c r="EL51" s="292">
        <f t="shared" si="58"/>
      </c>
      <c r="EM51" s="291">
        <f t="shared" si="58"/>
      </c>
      <c r="EN51" s="107">
        <f t="shared" si="58"/>
      </c>
      <c r="EO51" s="107">
        <f t="shared" si="58"/>
      </c>
      <c r="EP51" s="107">
        <f t="shared" si="58"/>
      </c>
      <c r="EQ51" s="292">
        <f t="shared" si="58"/>
      </c>
      <c r="ER51" s="291">
        <f t="shared" ref="ER51:EV51" si="59">IFERROR(ER50/EM50-1,"--")</f>
      </c>
      <c r="ES51" s="107">
        <f t="shared" si="58"/>
      </c>
      <c r="ET51" s="107">
        <f t="shared" si="58"/>
      </c>
      <c r="EU51" s="107">
        <f t="shared" si="59"/>
      </c>
      <c r="EV51" s="292">
        <f t="shared" si="59"/>
      </c>
      <c r="EW51" s="291"/>
      <c r="EX51" s="107"/>
      <c r="EY51" s="107"/>
      <c r="EZ51" s="107"/>
      <c r="FA51" s="292"/>
      <c r="FB51" s="291"/>
      <c r="FC51" s="107"/>
      <c r="FD51" s="107"/>
      <c r="FE51" s="107"/>
      <c r="FF51" s="292"/>
      <c r="FG51" s="291"/>
      <c r="FH51" s="107"/>
      <c r="FI51" s="107"/>
      <c r="FJ51" s="107"/>
      <c r="FK51" s="292"/>
      <c r="FL51" s="291"/>
      <c r="FM51" s="107"/>
      <c r="FN51" s="107"/>
      <c r="FO51" s="107"/>
      <c r="FP51" s="292"/>
      <c r="FQ51" s="291"/>
      <c r="FR51" s="107"/>
      <c r="FS51" s="107"/>
      <c r="FT51" s="107"/>
      <c r="FU51" s="292"/>
      <c r="FV51" s="291"/>
      <c r="FW51" s="107"/>
      <c r="FX51" s="107"/>
      <c r="FY51" s="107"/>
      <c r="FZ51" s="292"/>
      <c r="GA51" s="291"/>
      <c r="GB51" s="107"/>
      <c r="GC51" s="107"/>
      <c r="GD51" s="107"/>
      <c r="GE51" s="292"/>
      <c r="GF51" s="291"/>
      <c r="GG51" s="107"/>
      <c r="GH51" s="107"/>
      <c r="GI51" s="107"/>
      <c r="GJ51" s="292"/>
    </row>
    <row r="52" spans="1:192" ht="12.75" hidden="1" customHeight="1" outlineLevel="1">
      <c r="B52" s="727" t="s">
        <v>197</v>
      </c>
      <c r="C52" s="412"/>
      <c r="D52" s="114"/>
      <c r="E52" s="114"/>
      <c r="F52" s="114"/>
      <c r="G52" s="413"/>
      <c r="H52" s="412"/>
      <c r="I52" s="114"/>
      <c r="J52" s="114"/>
      <c r="K52" s="114"/>
      <c r="L52" s="413"/>
      <c r="M52" s="412"/>
      <c r="N52" s="114"/>
      <c r="O52" s="114"/>
      <c r="P52" s="114"/>
      <c r="Q52" s="413"/>
      <c r="R52" s="412"/>
      <c r="S52" s="114"/>
      <c r="T52" s="114"/>
      <c r="U52" s="114"/>
      <c r="V52" s="413"/>
      <c r="W52" s="412"/>
      <c r="X52" s="114"/>
      <c r="Y52" s="114"/>
      <c r="Z52" s="114"/>
      <c r="AA52" s="413"/>
      <c r="AB52" s="412"/>
      <c r="AC52" s="114"/>
      <c r="AD52" s="114"/>
      <c r="AE52" s="114"/>
      <c r="AF52" s="413"/>
      <c r="AG52" s="412"/>
      <c r="AH52" s="114"/>
      <c r="AI52" s="114"/>
      <c r="AJ52" s="114"/>
      <c r="AK52" s="413"/>
      <c r="AL52" s="412"/>
      <c r="AM52" s="114"/>
      <c r="AN52" s="114"/>
      <c r="AO52" s="114"/>
      <c r="AP52" s="413"/>
      <c r="AQ52" s="412"/>
      <c r="AR52" s="114"/>
      <c r="AS52" s="114"/>
      <c r="AT52" s="114"/>
      <c r="AU52" s="413"/>
      <c r="AV52" s="412"/>
      <c r="AW52" s="114"/>
      <c r="AX52" s="114"/>
      <c r="AY52" s="114"/>
      <c r="AZ52" s="413"/>
      <c r="BA52" s="412"/>
      <c r="BB52" s="114"/>
      <c r="BC52" s="114"/>
      <c r="BD52" s="114"/>
      <c r="BE52" s="413"/>
      <c r="BF52" s="412"/>
      <c r="BG52" s="114"/>
      <c r="BH52" s="114"/>
      <c r="BI52" s="114"/>
      <c r="BJ52" s="413"/>
      <c r="BK52" s="412"/>
      <c r="BL52" s="114"/>
      <c r="BM52" s="114"/>
      <c r="BN52" s="114"/>
      <c r="BO52" s="413"/>
      <c r="BP52" s="412"/>
      <c r="BQ52" s="114"/>
      <c r="BR52" s="114"/>
      <c r="BS52" s="114"/>
      <c r="BT52" s="413"/>
      <c r="BU52" s="412"/>
      <c r="BV52" s="114"/>
      <c r="BW52" s="114"/>
      <c r="BX52" s="114"/>
      <c r="BY52" s="413"/>
      <c r="BZ52" s="412"/>
      <c r="CA52" s="114"/>
      <c r="CB52" s="114"/>
      <c r="CC52" s="114"/>
      <c r="CD52" s="292"/>
      <c r="CE52" s="412"/>
      <c r="CF52" s="114"/>
      <c r="CG52" s="114"/>
      <c r="CH52" s="114"/>
      <c r="CI52" s="292"/>
      <c r="CJ52" s="412"/>
      <c r="CK52" s="114"/>
      <c r="CL52" s="114"/>
      <c r="CM52" s="114"/>
      <c r="CN52" s="292"/>
      <c r="CO52" s="412"/>
      <c r="CP52" s="114"/>
      <c r="CQ52" s="114"/>
      <c r="CR52" s="114"/>
      <c r="CS52" s="292"/>
      <c r="CT52" s="412"/>
      <c r="CU52" s="114"/>
      <c r="CV52" s="114"/>
      <c r="CW52" s="114"/>
      <c r="CX52" s="292"/>
      <c r="CY52" s="412"/>
      <c r="CZ52" s="114"/>
      <c r="DA52" s="114"/>
      <c r="DB52" s="114"/>
      <c r="DC52" s="292"/>
      <c r="DD52" s="412">
        <v>0.04</v>
      </c>
      <c r="DE52" s="114">
        <v>0.05</v>
      </c>
      <c r="DF52" s="114">
        <v>0.06</v>
      </c>
      <c r="DG52" s="114">
        <v>0.08</v>
      </c>
      <c r="DH52" s="292"/>
      <c r="DI52" s="412">
        <v>0.08</v>
      </c>
      <c r="DJ52" s="114">
        <v>0.12</v>
      </c>
      <c r="DK52" s="114">
        <v>0.23</v>
      </c>
      <c r="DL52" s="114">
        <v>0.23</v>
      </c>
      <c r="DM52" s="292"/>
      <c r="DN52" s="412">
        <v>0.28000000000000003</v>
      </c>
      <c r="DO52" s="114">
        <v>0.24</v>
      </c>
      <c r="DP52" s="114">
        <v>0.14000000000000001</v>
      </c>
      <c r="DQ52" s="114">
        <v>0.1</v>
      </c>
      <c r="DR52" s="292"/>
      <c r="DS52" s="412">
        <v>0.18</v>
      </c>
      <c r="DT52" s="114">
        <v>0.13</v>
      </c>
      <c r="DU52" s="114">
        <v>0.15</v>
      </c>
      <c r="DV52" s="114">
        <v>0.17</v>
      </c>
      <c r="DW52" s="292"/>
      <c r="DX52" s="412">
        <v>0.15</v>
      </c>
      <c r="DY52" s="114">
        <v>0.19</v>
      </c>
      <c r="DZ52" s="114">
        <v>0.16</v>
      </c>
      <c r="EA52" s="114">
        <v>0.08</v>
      </c>
      <c r="EB52" s="292"/>
      <c r="EC52" s="412">
        <v>0.11</v>
      </c>
      <c r="ED52" s="114">
        <v>0.11</v>
      </c>
      <c r="EE52" s="114">
        <v>0.12</v>
      </c>
      <c r="EF52" s="114">
        <v>0.21</v>
      </c>
      <c r="EG52" s="292"/>
      <c r="EH52" s="412">
        <v>0.2</v>
      </c>
      <c r="EI52" s="114">
        <v>0.19</v>
      </c>
      <c r="EJ52" s="114">
        <v>0.19</v>
      </c>
      <c r="EK52" s="114">
        <v>0.17</v>
      </c>
      <c r="EL52" s="292"/>
      <c r="EM52" s="412">
        <v>0.15</v>
      </c>
      <c r="EN52" s="114">
        <v>0.13</v>
      </c>
      <c r="EO52" s="114">
        <v>0.15</v>
      </c>
      <c r="EP52" s="114">
        <v>0.12</v>
      </c>
      <c r="EQ52" s="292"/>
      <c r="ER52" s="412"/>
      <c r="ES52" s="1117">
        <v>0.12</v>
      </c>
      <c r="ET52" s="439">
        <v>0.11</v>
      </c>
      <c r="EU52" s="439">
        <v>0.12</v>
      </c>
      <c r="EV52" s="292"/>
      <c r="EW52" s="412"/>
      <c r="EX52" s="631"/>
      <c r="EY52" s="631"/>
      <c r="EZ52" s="631"/>
      <c r="FA52" s="292"/>
      <c r="FB52" s="412"/>
      <c r="FC52" s="631"/>
      <c r="FD52" s="631"/>
      <c r="FE52" s="631"/>
      <c r="FF52" s="292"/>
      <c r="FG52" s="412"/>
      <c r="FH52" s="631"/>
      <c r="FI52" s="631"/>
      <c r="FJ52" s="631"/>
      <c r="FK52" s="292"/>
      <c r="FL52" s="412"/>
      <c r="FM52" s="631"/>
      <c r="FN52" s="631"/>
      <c r="FO52" s="631"/>
      <c r="FP52" s="292"/>
      <c r="FQ52" s="412"/>
      <c r="FR52" s="631"/>
      <c r="FS52" s="631"/>
      <c r="FT52" s="631"/>
      <c r="FU52" s="292"/>
      <c r="FV52" s="291"/>
      <c r="FW52" s="107"/>
      <c r="FX52" s="107"/>
      <c r="FY52" s="107"/>
      <c r="FZ52" s="292"/>
      <c r="GA52" s="291"/>
      <c r="GB52" s="107"/>
      <c r="GC52" s="107"/>
      <c r="GD52" s="107"/>
      <c r="GE52" s="292"/>
      <c r="GF52" s="291"/>
      <c r="GG52" s="107"/>
      <c r="GH52" s="107"/>
      <c r="GI52" s="107"/>
      <c r="GJ52" s="292"/>
    </row>
    <row r="53" spans="1:192" ht="12.75" hidden="1" customHeight="1" outlineLevel="1">
      <c r="B53" s="727" t="s">
        <v>36</v>
      </c>
      <c r="C53" s="291"/>
      <c r="D53" s="107"/>
      <c r="E53" s="107"/>
      <c r="F53" s="107"/>
      <c r="G53" s="293"/>
      <c r="H53" s="291"/>
      <c r="I53" s="107"/>
      <c r="J53" s="107"/>
      <c r="K53" s="107"/>
      <c r="L53" s="293"/>
      <c r="M53" s="291"/>
      <c r="N53" s="107"/>
      <c r="O53" s="107"/>
      <c r="P53" s="107"/>
      <c r="Q53" s="293"/>
      <c r="R53" s="291"/>
      <c r="S53" s="107"/>
      <c r="T53" s="107"/>
      <c r="U53" s="107"/>
      <c r="V53" s="293"/>
      <c r="W53" s="291"/>
      <c r="X53" s="107"/>
      <c r="Y53" s="107"/>
      <c r="Z53" s="107"/>
      <c r="AA53" s="293"/>
      <c r="AB53" s="291"/>
      <c r="AC53" s="107"/>
      <c r="AD53" s="107"/>
      <c r="AE53" s="107"/>
      <c r="AF53" s="293"/>
      <c r="AG53" s="291"/>
      <c r="AH53" s="107"/>
      <c r="AI53" s="107"/>
      <c r="AJ53" s="107"/>
      <c r="AK53" s="293"/>
      <c r="AL53" s="291"/>
      <c r="AM53" s="107"/>
      <c r="AN53" s="107"/>
      <c r="AO53" s="107"/>
      <c r="AP53" s="293"/>
      <c r="AQ53" s="291"/>
      <c r="AR53" s="107"/>
      <c r="AS53" s="107"/>
      <c r="AT53" s="107"/>
      <c r="AU53" s="293"/>
      <c r="AV53" s="291"/>
      <c r="AW53" s="107"/>
      <c r="AX53" s="107"/>
      <c r="AY53" s="107"/>
      <c r="AZ53" s="293"/>
      <c r="BA53" s="291"/>
      <c r="BB53" s="107"/>
      <c r="BC53" s="107"/>
      <c r="BD53" s="107"/>
      <c r="BE53" s="293"/>
      <c r="BF53" s="291"/>
      <c r="BG53" s="107"/>
      <c r="BH53" s="107"/>
      <c r="BI53" s="107"/>
      <c r="BJ53" s="293"/>
      <c r="BK53" s="291"/>
      <c r="BL53" s="107"/>
      <c r="BM53" s="107"/>
      <c r="BN53" s="107"/>
      <c r="BO53" s="293"/>
      <c r="BP53" s="291"/>
      <c r="BQ53" s="107"/>
      <c r="BR53" s="107"/>
      <c r="BS53" s="107"/>
      <c r="BT53" s="293"/>
      <c r="BU53" s="291"/>
      <c r="BV53" s="107"/>
      <c r="BW53" s="107"/>
      <c r="BX53" s="107"/>
      <c r="BY53" s="293"/>
      <c r="BZ53" s="291"/>
      <c r="CA53" s="107"/>
      <c r="CB53" s="107"/>
      <c r="CC53" s="107"/>
      <c r="CD53" s="293"/>
      <c r="CE53" s="291"/>
      <c r="CF53" s="107"/>
      <c r="CG53" s="107"/>
      <c r="CH53" s="107"/>
      <c r="CI53" s="293"/>
      <c r="CJ53" s="291"/>
      <c r="CK53" s="107"/>
      <c r="CL53" s="107"/>
      <c r="CM53" s="107"/>
      <c r="CN53" s="293"/>
      <c r="CO53" s="291"/>
      <c r="CP53" s="107"/>
      <c r="CQ53" s="107"/>
      <c r="CR53" s="107"/>
      <c r="CS53" s="293"/>
      <c r="CT53" s="291"/>
      <c r="CU53" s="107"/>
      <c r="CV53" s="107"/>
      <c r="CW53" s="107"/>
      <c r="CX53" s="293"/>
      <c r="CY53" s="291" t="str">
        <f>IFERROR(CY50/CW50-1,"")</f>
      </c>
      <c r="CZ53" s="107">
        <f>IFERROR(CZ50/CY50-1,"--")</f>
      </c>
      <c r="DA53" s="107">
        <f>IFERROR(DA50/CZ50-1,"--")</f>
      </c>
      <c r="DB53" s="107">
        <f>IFERROR(DB50/DA50-1,"--")</f>
      </c>
      <c r="DC53" s="293"/>
      <c r="DD53" s="291">
        <f>IFERROR(DD50/DB50-1,"--")</f>
      </c>
      <c r="DE53" s="107">
        <f>IFERROR(DE50/DD50-1,"--")</f>
      </c>
      <c r="DF53" s="107">
        <f>IFERROR(DF50/DE50-1,"--")</f>
      </c>
      <c r="DG53" s="107">
        <f>IFERROR(DG50/DF50-1,"--")</f>
      </c>
      <c r="DH53" s="293"/>
      <c r="DI53" s="291">
        <f>IFERROR(DI50/DG50-1,"--")</f>
      </c>
      <c r="DJ53" s="107">
        <f>IFERROR(DJ50/DI50-1,"--")</f>
      </c>
      <c r="DK53" s="107">
        <f>IFERROR(DK50/DJ50-1,"--")</f>
      </c>
      <c r="DL53" s="107">
        <f>IFERROR(DL50/DK50-1,"--")</f>
      </c>
      <c r="DM53" s="293"/>
      <c r="DN53" s="291">
        <f>IFERROR(DN50/DL50-1,"--")</f>
      </c>
      <c r="DO53" s="107">
        <f>IFERROR(DO50/DN50-1,"--")</f>
      </c>
      <c r="DP53" s="107">
        <f>IFERROR(DP50/DO50-1,"--")</f>
      </c>
      <c r="DQ53" s="107">
        <f>IFERROR(DQ50/DP50-1,"--")</f>
      </c>
      <c r="DR53" s="293"/>
      <c r="DS53" s="291">
        <f>IFERROR(DS50/DQ50-1,"--")</f>
      </c>
      <c r="DT53" s="107">
        <f>IFERROR(DT50/DS50-1,"--")</f>
      </c>
      <c r="DU53" s="107">
        <f>IFERROR(DU50/DT50-1,"--")</f>
      </c>
      <c r="DV53" s="107">
        <f>IFERROR(DV50/DU50-1,"--")</f>
      </c>
      <c r="DW53" s="293"/>
      <c r="DX53" s="291">
        <f>IFERROR(DX50/DV50-1,"--")</f>
      </c>
      <c r="DY53" s="107">
        <f>IFERROR(DY50/DX50-1,"--")</f>
      </c>
      <c r="DZ53" s="107">
        <f>IFERROR(DZ50/DY50-1,"--")</f>
      </c>
      <c r="EA53" s="107">
        <f>IFERROR(EA50/DZ50-1,"--")</f>
      </c>
      <c r="EB53" s="293"/>
      <c r="EC53" s="291">
        <f>IFERROR(EC50/EA50-1,"--")</f>
      </c>
      <c r="ED53" s="107">
        <f>IFERROR(ED50/EC50-1,"--")</f>
      </c>
      <c r="EE53" s="107">
        <f>IFERROR(EE50/ED50-1,"--")</f>
      </c>
      <c r="EF53" s="107">
        <f>IFERROR(EF50/EE50-1,"--")</f>
      </c>
      <c r="EG53" s="293"/>
      <c r="EH53" s="291">
        <f>IFERROR(EH50/EF50-1,"--")</f>
      </c>
      <c r="EI53" s="107">
        <f>IFERROR(EI50/EH50-1,"--")</f>
      </c>
      <c r="EJ53" s="107">
        <f>IFERROR(EJ50/EI50-1,"--")</f>
      </c>
      <c r="EK53" s="107">
        <f>IFERROR(EK50/EJ50-1,"--")</f>
      </c>
      <c r="EL53" s="293"/>
      <c r="EM53" s="291">
        <f>IFERROR(EM50/EK50-1,"--")</f>
      </c>
      <c r="EN53" s="107">
        <f>IFERROR(EN50/EM50-1,"--")</f>
      </c>
      <c r="EO53" s="107">
        <f>IFERROR(EO50/EN50-1,"--")</f>
      </c>
      <c r="EP53" s="107">
        <f>IFERROR(EP50/EO50-1,"--")</f>
      </c>
      <c r="EQ53" s="293"/>
      <c r="ER53" s="291">
        <f>IFERROR(ER50/EP50-1,"--")</f>
      </c>
      <c r="ES53" s="107">
        <f>IFERROR(ES50/ER50-1,"--")</f>
      </c>
      <c r="ET53" s="107">
        <f>IFERROR(ET50/ES50-1,"--")</f>
      </c>
      <c r="EU53" s="107">
        <f>IFERROR(EU50/ET50-1,"--")</f>
      </c>
      <c r="EV53" s="293"/>
      <c r="EW53" s="291"/>
      <c r="EX53" s="107"/>
      <c r="EY53" s="107"/>
      <c r="EZ53" s="107"/>
      <c r="FA53" s="293"/>
      <c r="FB53" s="291"/>
      <c r="FC53" s="107"/>
      <c r="FD53" s="107"/>
      <c r="FE53" s="107"/>
      <c r="FF53" s="293"/>
      <c r="FG53" s="291"/>
      <c r="FH53" s="107"/>
      <c r="FI53" s="107"/>
      <c r="FJ53" s="107"/>
      <c r="FK53" s="293"/>
      <c r="FL53" s="291"/>
      <c r="FM53" s="107"/>
      <c r="FN53" s="107"/>
      <c r="FO53" s="107"/>
      <c r="FP53" s="293"/>
      <c r="FQ53" s="291"/>
      <c r="FR53" s="107"/>
      <c r="FS53" s="107"/>
      <c r="FT53" s="107"/>
      <c r="FU53" s="293"/>
      <c r="FV53" s="291"/>
      <c r="FW53" s="107"/>
      <c r="FX53" s="107"/>
      <c r="FY53" s="107"/>
      <c r="FZ53" s="293"/>
      <c r="GA53" s="291"/>
      <c r="GB53" s="107"/>
      <c r="GC53" s="107"/>
      <c r="GD53" s="107"/>
      <c r="GE53" s="293"/>
      <c r="GF53" s="291"/>
      <c r="GG53" s="107"/>
      <c r="GH53" s="107"/>
      <c r="GI53" s="107"/>
      <c r="GJ53" s="293"/>
    </row>
    <row r="54" spans="1:192" ht="12.75" hidden="1" customHeight="1" outlineLevel="1">
      <c r="B54" s="727" t="s">
        <v>243</v>
      </c>
      <c r="C54" s="291"/>
      <c r="D54" s="107"/>
      <c r="E54" s="107"/>
      <c r="F54" s="107"/>
      <c r="G54" s="293"/>
      <c r="H54" s="291"/>
      <c r="I54" s="107"/>
      <c r="J54" s="107"/>
      <c r="K54" s="107"/>
      <c r="L54" s="293"/>
      <c r="M54" s="291"/>
      <c r="N54" s="107"/>
      <c r="O54" s="107"/>
      <c r="P54" s="107"/>
      <c r="Q54" s="293"/>
      <c r="R54" s="291"/>
      <c r="S54" s="107"/>
      <c r="T54" s="107"/>
      <c r="U54" s="107"/>
      <c r="V54" s="293"/>
      <c r="W54" s="291"/>
      <c r="X54" s="107"/>
      <c r="Y54" s="107"/>
      <c r="Z54" s="107"/>
      <c r="AA54" s="293"/>
      <c r="AB54" s="291"/>
      <c r="AC54" s="107"/>
      <c r="AD54" s="107"/>
      <c r="AE54" s="107"/>
      <c r="AF54" s="293"/>
      <c r="AG54" s="291"/>
      <c r="AH54" s="107"/>
      <c r="AI54" s="107"/>
      <c r="AJ54" s="107"/>
      <c r="AK54" s="293"/>
      <c r="AL54" s="291"/>
      <c r="AM54" s="107"/>
      <c r="AN54" s="107"/>
      <c r="AO54" s="107"/>
      <c r="AP54" s="293"/>
      <c r="AQ54" s="291"/>
      <c r="AR54" s="107"/>
      <c r="AS54" s="107"/>
      <c r="AT54" s="107"/>
      <c r="AU54" s="293"/>
      <c r="AV54" s="291"/>
      <c r="AW54" s="107"/>
      <c r="AX54" s="107"/>
      <c r="AY54" s="107"/>
      <c r="AZ54" s="293"/>
      <c r="BA54" s="291"/>
      <c r="BB54" s="107"/>
      <c r="BC54" s="107"/>
      <c r="BD54" s="107"/>
      <c r="BE54" s="293"/>
      <c r="BF54" s="291"/>
      <c r="BG54" s="107"/>
      <c r="BH54" s="107"/>
      <c r="BI54" s="107"/>
      <c r="BJ54" s="293"/>
      <c r="BK54" s="291"/>
      <c r="BL54" s="107"/>
      <c r="BM54" s="107"/>
      <c r="BN54" s="107"/>
      <c r="BO54" s="293"/>
      <c r="BP54" s="291"/>
      <c r="BQ54" s="107"/>
      <c r="BR54" s="107"/>
      <c r="BS54" s="107"/>
      <c r="BT54" s="293"/>
      <c r="BU54" s="291"/>
      <c r="BV54" s="107"/>
      <c r="BW54" s="107"/>
      <c r="BX54" s="107"/>
      <c r="BY54" s="293"/>
      <c r="BZ54" s="291"/>
      <c r="CA54" s="107"/>
      <c r="CB54" s="107"/>
      <c r="CC54" s="107"/>
      <c r="CD54" s="293"/>
      <c r="CE54" s="291"/>
      <c r="CF54" s="107"/>
      <c r="CG54" s="107"/>
      <c r="CH54" s="107"/>
      <c r="CI54" s="293"/>
      <c r="CJ54" s="291"/>
      <c r="CK54" s="107"/>
      <c r="CL54" s="107"/>
      <c r="CM54" s="107"/>
      <c r="CN54" s="293"/>
      <c r="CO54" s="291"/>
      <c r="CP54" s="107"/>
      <c r="CQ54" s="107"/>
      <c r="CR54" s="107"/>
      <c r="CS54" s="293"/>
      <c r="CT54" s="291"/>
      <c r="CU54" s="107"/>
      <c r="CV54" s="107"/>
      <c r="CW54" s="107"/>
      <c r="CX54" s="293"/>
      <c r="CY54" s="447"/>
      <c r="CZ54" s="447"/>
      <c r="DA54" s="447"/>
      <c r="DB54" s="492"/>
      <c r="DC54" s="488"/>
      <c r="DD54" s="447">
        <f t="shared" ref="DD54:ET54" si="60">DD50-CY50</f>
      </c>
      <c r="DE54" s="447">
        <f t="shared" si="60"/>
      </c>
      <c r="DF54" s="447">
        <f t="shared" si="60"/>
      </c>
      <c r="DG54" s="492">
        <f t="shared" si="60"/>
      </c>
      <c r="DH54" s="488">
        <f t="shared" si="60"/>
      </c>
      <c r="DI54" s="447">
        <f t="shared" si="60"/>
      </c>
      <c r="DJ54" s="447">
        <f t="shared" si="60"/>
      </c>
      <c r="DK54" s="447">
        <f t="shared" si="60"/>
      </c>
      <c r="DL54" s="492">
        <f t="shared" si="60"/>
      </c>
      <c r="DM54" s="488">
        <f t="shared" si="60"/>
      </c>
      <c r="DN54" s="447">
        <f t="shared" si="60"/>
      </c>
      <c r="DO54" s="447">
        <f t="shared" si="60"/>
      </c>
      <c r="DP54" s="447">
        <f t="shared" si="60"/>
      </c>
      <c r="DQ54" s="492">
        <f t="shared" si="60"/>
      </c>
      <c r="DR54" s="488">
        <f t="shared" si="60"/>
      </c>
      <c r="DS54" s="447">
        <f t="shared" si="60"/>
      </c>
      <c r="DT54" s="447">
        <f t="shared" si="60"/>
      </c>
      <c r="DU54" s="447">
        <f t="shared" si="60"/>
      </c>
      <c r="DV54" s="492">
        <f t="shared" si="60"/>
      </c>
      <c r="DW54" s="488">
        <f t="shared" si="60"/>
      </c>
      <c r="DX54" s="447">
        <f t="shared" si="60"/>
      </c>
      <c r="DY54" s="447">
        <f t="shared" si="60"/>
      </c>
      <c r="DZ54" s="447">
        <f t="shared" si="60"/>
      </c>
      <c r="EA54" s="492">
        <f t="shared" si="60"/>
      </c>
      <c r="EB54" s="488">
        <f t="shared" si="60"/>
      </c>
      <c r="EC54" s="447">
        <f t="shared" si="60"/>
      </c>
      <c r="ED54" s="447">
        <f t="shared" si="60"/>
      </c>
      <c r="EE54" s="447">
        <f t="shared" si="60"/>
      </c>
      <c r="EF54" s="492">
        <f t="shared" si="60"/>
      </c>
      <c r="EG54" s="488">
        <f t="shared" si="60"/>
      </c>
      <c r="EH54" s="447">
        <f t="shared" si="60"/>
      </c>
      <c r="EI54" s="447">
        <f t="shared" si="60"/>
      </c>
      <c r="EJ54" s="447">
        <f t="shared" si="60"/>
      </c>
      <c r="EK54" s="492">
        <f t="shared" si="60"/>
      </c>
      <c r="EL54" s="488">
        <f t="shared" si="60"/>
      </c>
      <c r="EM54" s="447">
        <f t="shared" si="60"/>
      </c>
      <c r="EN54" s="447">
        <f t="shared" si="60"/>
      </c>
      <c r="EO54" s="447">
        <f t="shared" si="60"/>
      </c>
      <c r="EP54" s="492">
        <f t="shared" si="60"/>
      </c>
      <c r="EQ54" s="488">
        <f t="shared" si="60"/>
      </c>
      <c r="ER54" s="447">
        <f t="shared" ref="ER54" si="61">ER50-EM50</f>
      </c>
      <c r="ES54" s="447">
        <f t="shared" si="60"/>
      </c>
      <c r="ET54" s="447">
        <f t="shared" si="60"/>
      </c>
      <c r="EU54" s="492">
        <f>EU50-EP50</f>
      </c>
      <c r="EV54" s="488">
        <f>EV50-EQ50</f>
      </c>
      <c r="EW54" s="447"/>
      <c r="EX54" s="447"/>
      <c r="EY54" s="447"/>
      <c r="EZ54" s="492"/>
      <c r="FA54" s="488"/>
      <c r="FB54" s="447"/>
      <c r="FC54" s="447"/>
      <c r="FD54" s="447"/>
      <c r="FE54" s="492"/>
      <c r="FF54" s="488"/>
      <c r="FG54" s="447"/>
      <c r="FH54" s="447"/>
      <c r="FI54" s="447"/>
      <c r="FJ54" s="492"/>
      <c r="FK54" s="488"/>
      <c r="FL54" s="447"/>
      <c r="FM54" s="447"/>
      <c r="FN54" s="447"/>
      <c r="FO54" s="492"/>
      <c r="FP54" s="488"/>
      <c r="FQ54" s="447"/>
      <c r="FR54" s="447"/>
      <c r="FS54" s="447"/>
      <c r="FT54" s="492"/>
      <c r="FU54" s="488"/>
      <c r="FV54" s="447"/>
      <c r="FW54" s="458"/>
      <c r="FX54" s="458"/>
      <c r="FY54" s="458"/>
      <c r="FZ54" s="459"/>
      <c r="GA54" s="447"/>
      <c r="GB54" s="458"/>
      <c r="GC54" s="458"/>
      <c r="GD54" s="458"/>
      <c r="GE54" s="459"/>
      <c r="GF54" s="447"/>
      <c r="GG54" s="458"/>
      <c r="GH54" s="458"/>
      <c r="GI54" s="458"/>
      <c r="GJ54" s="459"/>
    </row>
    <row r="55" spans="1:192" ht="12.75" hidden="1" customHeight="1" outlineLevel="1">
      <c r="B55" s="727" t="s">
        <v>244</v>
      </c>
      <c r="C55" s="291"/>
      <c r="D55" s="107"/>
      <c r="E55" s="107"/>
      <c r="F55" s="107"/>
      <c r="G55" s="293"/>
      <c r="H55" s="291"/>
      <c r="I55" s="107"/>
      <c r="J55" s="107"/>
      <c r="K55" s="107"/>
      <c r="L55" s="293"/>
      <c r="M55" s="291"/>
      <c r="N55" s="107"/>
      <c r="O55" s="107"/>
      <c r="P55" s="107"/>
      <c r="Q55" s="293"/>
      <c r="R55" s="291"/>
      <c r="S55" s="107"/>
      <c r="T55" s="107"/>
      <c r="U55" s="107"/>
      <c r="V55" s="293"/>
      <c r="W55" s="291"/>
      <c r="X55" s="107"/>
      <c r="Y55" s="107"/>
      <c r="Z55" s="107"/>
      <c r="AA55" s="293"/>
      <c r="AB55" s="291"/>
      <c r="AC55" s="107"/>
      <c r="AD55" s="107"/>
      <c r="AE55" s="107"/>
      <c r="AF55" s="293"/>
      <c r="AG55" s="291"/>
      <c r="AH55" s="107"/>
      <c r="AI55" s="107"/>
      <c r="AJ55" s="107"/>
      <c r="AK55" s="293"/>
      <c r="AL55" s="291"/>
      <c r="AM55" s="107"/>
      <c r="AN55" s="107"/>
      <c r="AO55" s="107"/>
      <c r="AP55" s="293"/>
      <c r="AQ55" s="291"/>
      <c r="AR55" s="107"/>
      <c r="AS55" s="107"/>
      <c r="AT55" s="107"/>
      <c r="AU55" s="293"/>
      <c r="AV55" s="291"/>
      <c r="AW55" s="107"/>
      <c r="AX55" s="107"/>
      <c r="AY55" s="107"/>
      <c r="AZ55" s="293"/>
      <c r="BA55" s="291"/>
      <c r="BB55" s="107"/>
      <c r="BC55" s="107"/>
      <c r="BD55" s="107"/>
      <c r="BE55" s="293"/>
      <c r="BF55" s="291"/>
      <c r="BG55" s="107"/>
      <c r="BH55" s="107"/>
      <c r="BI55" s="107"/>
      <c r="BJ55" s="293"/>
      <c r="BK55" s="291"/>
      <c r="BL55" s="107"/>
      <c r="BM55" s="107"/>
      <c r="BN55" s="107"/>
      <c r="BO55" s="293"/>
      <c r="BP55" s="291"/>
      <c r="BQ55" s="107"/>
      <c r="BR55" s="107"/>
      <c r="BS55" s="107"/>
      <c r="BT55" s="293"/>
      <c r="BU55" s="291"/>
      <c r="BV55" s="107"/>
      <c r="BW55" s="107"/>
      <c r="BX55" s="107"/>
      <c r="BY55" s="293"/>
      <c r="BZ55" s="291"/>
      <c r="CA55" s="107"/>
      <c r="CB55" s="107"/>
      <c r="CC55" s="107"/>
      <c r="CD55" s="293"/>
      <c r="CE55" s="291"/>
      <c r="CF55" s="107"/>
      <c r="CG55" s="107"/>
      <c r="CH55" s="107"/>
      <c r="CI55" s="293"/>
      <c r="CJ55" s="291"/>
      <c r="CK55" s="107"/>
      <c r="CL55" s="107"/>
      <c r="CM55" s="107"/>
      <c r="CN55" s="293"/>
      <c r="CO55" s="291"/>
      <c r="CP55" s="107"/>
      <c r="CQ55" s="107"/>
      <c r="CR55" s="107"/>
      <c r="CS55" s="293"/>
      <c r="CT55" s="291"/>
      <c r="CU55" s="107"/>
      <c r="CV55" s="107"/>
      <c r="CW55" s="107"/>
      <c r="CX55" s="293"/>
      <c r="CY55" s="447"/>
      <c r="CZ55" s="447">
        <f>CZ50-CY50</f>
      </c>
      <c r="DA55" s="447">
        <f>DA50-CZ50</f>
      </c>
      <c r="DB55" s="492">
        <f>DB50-DA50</f>
      </c>
      <c r="DC55" s="347"/>
      <c r="DD55" s="447">
        <f>DD50-DB50</f>
      </c>
      <c r="DE55" s="447">
        <f>DE50-DD50</f>
      </c>
      <c r="DF55" s="447">
        <f>DF50-DE50</f>
      </c>
      <c r="DG55" s="492">
        <f>DG50-DF50</f>
      </c>
      <c r="DH55" s="347"/>
      <c r="DI55" s="447">
        <f>DI50-DG50</f>
      </c>
      <c r="DJ55" s="447">
        <f>DJ50-DI50</f>
      </c>
      <c r="DK55" s="447">
        <f>DK50-DJ50</f>
      </c>
      <c r="DL55" s="492">
        <f>DL50-DK50</f>
      </c>
      <c r="DM55" s="347"/>
      <c r="DN55" s="447">
        <f>DN50-DL50</f>
      </c>
      <c r="DO55" s="447">
        <f>DO50-DN50</f>
      </c>
      <c r="DP55" s="447">
        <f>DP50-DO50</f>
      </c>
      <c r="DQ55" s="492">
        <f>DQ50-DP50</f>
      </c>
      <c r="DR55" s="347"/>
      <c r="DS55" s="447">
        <f>DS50-DQ50</f>
      </c>
      <c r="DT55" s="447">
        <f>DT50-DS50</f>
      </c>
      <c r="DU55" s="447">
        <f>DU50-DT50</f>
      </c>
      <c r="DV55" s="492">
        <f>DV50-DU50</f>
      </c>
      <c r="DW55" s="347"/>
      <c r="DX55" s="447">
        <f>DX50-DV50</f>
      </c>
      <c r="DY55" s="447">
        <f>DY50-DX50</f>
      </c>
      <c r="DZ55" s="447">
        <f>DZ50-DY50</f>
      </c>
      <c r="EA55" s="492">
        <f>EA50-DZ50</f>
      </c>
      <c r="EB55" s="347"/>
      <c r="EC55" s="447">
        <f>EC50-EA50</f>
      </c>
      <c r="ED55" s="447">
        <f>ED50-EC50</f>
      </c>
      <c r="EE55" s="447">
        <f>EE50-ED50</f>
      </c>
      <c r="EF55" s="492">
        <f>EF50-EE50</f>
      </c>
      <c r="EG55" s="347"/>
      <c r="EH55" s="447">
        <f>EH50-EF50</f>
      </c>
      <c r="EI55" s="447">
        <f>EI50-EH50</f>
      </c>
      <c r="EJ55" s="447">
        <f>EJ50-EI50</f>
      </c>
      <c r="EK55" s="492">
        <f>EK50-EJ50</f>
      </c>
      <c r="EL55" s="347"/>
      <c r="EM55" s="447">
        <f>EM50-EK50</f>
      </c>
      <c r="EN55" s="447">
        <f>EN50-EM50</f>
      </c>
      <c r="EO55" s="447">
        <f>EO50-EN50</f>
      </c>
      <c r="EP55" s="492">
        <f>EP50-EO50</f>
      </c>
      <c r="EQ55" s="347"/>
      <c r="ER55" s="447">
        <f>ER50-EP50</f>
      </c>
      <c r="ES55" s="447">
        <f>ES50-ER50</f>
      </c>
      <c r="ET55" s="447">
        <f>ET50-ES50</f>
      </c>
      <c r="EU55" s="492">
        <f>EU50-ET50</f>
      </c>
      <c r="EV55" s="347"/>
      <c r="EW55" s="447"/>
      <c r="EX55" s="447"/>
      <c r="EY55" s="447"/>
      <c r="EZ55" s="492"/>
      <c r="FA55" s="347"/>
      <c r="FB55" s="447"/>
      <c r="FC55" s="447"/>
      <c r="FD55" s="447"/>
      <c r="FE55" s="492"/>
      <c r="FF55" s="347"/>
      <c r="FG55" s="447"/>
      <c r="FH55" s="447"/>
      <c r="FI55" s="447"/>
      <c r="FJ55" s="492"/>
      <c r="FK55" s="347"/>
      <c r="FL55" s="447"/>
      <c r="FM55" s="447"/>
      <c r="FN55" s="447"/>
      <c r="FO55" s="492"/>
      <c r="FP55" s="347"/>
      <c r="FQ55" s="447"/>
      <c r="FR55" s="447"/>
      <c r="FS55" s="447"/>
      <c r="FT55" s="492"/>
      <c r="FU55" s="347"/>
      <c r="FV55" s="447"/>
      <c r="FW55" s="458"/>
      <c r="FX55" s="458"/>
      <c r="FY55" s="458"/>
      <c r="FZ55" s="459"/>
      <c r="GA55" s="447"/>
      <c r="GB55" s="458"/>
      <c r="GC55" s="458"/>
      <c r="GD55" s="458"/>
      <c r="GE55" s="459"/>
      <c r="GF55" s="447"/>
      <c r="GG55" s="458"/>
      <c r="GH55" s="458"/>
      <c r="GI55" s="458"/>
      <c r="GJ55" s="459"/>
    </row>
    <row r="56" spans="1:192" ht="12.75" hidden="1" customHeight="1" outlineLevel="1">
      <c r="B56" s="727" t="s">
        <v>257</v>
      </c>
      <c r="C56" s="291"/>
      <c r="D56" s="107"/>
      <c r="E56" s="107"/>
      <c r="F56" s="107"/>
      <c r="G56" s="293"/>
      <c r="H56" s="291"/>
      <c r="I56" s="107"/>
      <c r="J56" s="107"/>
      <c r="K56" s="107"/>
      <c r="L56" s="293"/>
      <c r="M56" s="291"/>
      <c r="N56" s="107"/>
      <c r="O56" s="107"/>
      <c r="P56" s="107"/>
      <c r="Q56" s="293"/>
      <c r="R56" s="291"/>
      <c r="S56" s="107"/>
      <c r="T56" s="107"/>
      <c r="U56" s="107"/>
      <c r="V56" s="293"/>
      <c r="W56" s="291"/>
      <c r="X56" s="107"/>
      <c r="Y56" s="107"/>
      <c r="Z56" s="107"/>
      <c r="AA56" s="293"/>
      <c r="AB56" s="291"/>
      <c r="AC56" s="107"/>
      <c r="AD56" s="107"/>
      <c r="AE56" s="107"/>
      <c r="AF56" s="293"/>
      <c r="AG56" s="291"/>
      <c r="AH56" s="107"/>
      <c r="AI56" s="107"/>
      <c r="AJ56" s="107"/>
      <c r="AK56" s="293"/>
      <c r="AL56" s="291"/>
      <c r="AM56" s="107"/>
      <c r="AN56" s="107"/>
      <c r="AO56" s="107"/>
      <c r="AP56" s="293"/>
      <c r="AQ56" s="291"/>
      <c r="AR56" s="107"/>
      <c r="AS56" s="107"/>
      <c r="AT56" s="107"/>
      <c r="AU56" s="293"/>
      <c r="AV56" s="291"/>
      <c r="AW56" s="107"/>
      <c r="AX56" s="107"/>
      <c r="AY56" s="107"/>
      <c r="AZ56" s="293"/>
      <c r="BA56" s="291"/>
      <c r="BB56" s="107"/>
      <c r="BC56" s="107"/>
      <c r="BD56" s="107"/>
      <c r="BE56" s="293"/>
      <c r="BF56" s="291"/>
      <c r="BG56" s="107"/>
      <c r="BH56" s="107"/>
      <c r="BI56" s="107"/>
      <c r="BJ56" s="293"/>
      <c r="BK56" s="291"/>
      <c r="BL56" s="107"/>
      <c r="BM56" s="107"/>
      <c r="BN56" s="107"/>
      <c r="BO56" s="293"/>
      <c r="BP56" s="291"/>
      <c r="BQ56" s="107"/>
      <c r="BR56" s="107"/>
      <c r="BS56" s="107"/>
      <c r="BT56" s="293"/>
      <c r="BU56" s="291"/>
      <c r="BV56" s="107"/>
      <c r="BW56" s="107"/>
      <c r="BX56" s="107"/>
      <c r="BY56" s="293"/>
      <c r="BZ56" s="291"/>
      <c r="CA56" s="107"/>
      <c r="CB56" s="107"/>
      <c r="CC56" s="107"/>
      <c r="CD56" s="293"/>
      <c r="CE56" s="291"/>
      <c r="CF56" s="107"/>
      <c r="CG56" s="107"/>
      <c r="CH56" s="107"/>
      <c r="CI56" s="293"/>
      <c r="CJ56" s="291"/>
      <c r="CK56" s="107"/>
      <c r="CL56" s="107"/>
      <c r="CM56" s="107"/>
      <c r="CN56" s="293"/>
      <c r="CO56" s="291"/>
      <c r="CP56" s="107"/>
      <c r="CQ56" s="107"/>
      <c r="CR56" s="107"/>
      <c r="CS56" s="293"/>
      <c r="CT56" s="291"/>
      <c r="CU56" s="107"/>
      <c r="CV56" s="107"/>
      <c r="CW56" s="107"/>
      <c r="CX56" s="293"/>
      <c r="CY56" s="291">
        <f>CY50/IS!CY24</f>
      </c>
      <c r="CZ56" s="107">
        <f>CZ50/IS!CZ24</f>
      </c>
      <c r="DA56" s="107">
        <f>DA50/IS!DA24</f>
      </c>
      <c r="DB56" s="107">
        <f>DB50/IS!DB24</f>
      </c>
      <c r="DC56" s="293">
        <f>DC50/IS!DC24</f>
      </c>
      <c r="DD56" s="291">
        <f>DD50/IS!DD24</f>
      </c>
      <c r="DE56" s="107">
        <f>DE50/IS!DE24</f>
      </c>
      <c r="DF56" s="107">
        <f>DF50/IS!DF24</f>
      </c>
      <c r="DG56" s="107">
        <f>DG50/IS!DG24</f>
      </c>
      <c r="DH56" s="293">
        <f>DH50/IS!DH24</f>
      </c>
      <c r="DI56" s="291">
        <f>DI50/IS!DI24</f>
      </c>
      <c r="DJ56" s="107">
        <f>DJ50/IS!DJ24</f>
      </c>
      <c r="DK56" s="107">
        <f>DK50/IS!DK24</f>
      </c>
      <c r="DL56" s="107">
        <f>DL50/IS!DL24</f>
      </c>
      <c r="DM56" s="293">
        <f>DM50/IS!DM24</f>
      </c>
      <c r="DN56" s="291">
        <f>DN50/IS!DN24</f>
      </c>
      <c r="DO56" s="107">
        <f>DO50/IS!DO24</f>
      </c>
      <c r="DP56" s="107">
        <f>DP50/IS!DP24</f>
      </c>
      <c r="DQ56" s="107">
        <f>DQ50/IS!DQ24</f>
      </c>
      <c r="DR56" s="293">
        <f>DR50/IS!DR24</f>
      </c>
      <c r="DS56" s="291">
        <f>DS50/IS!DS24</f>
      </c>
      <c r="DT56" s="107">
        <f>DT50/IS!DT24</f>
      </c>
      <c r="DU56" s="107">
        <f>DU50/IS!DU24</f>
      </c>
      <c r="DV56" s="107">
        <f>DV50/IS!DV24</f>
      </c>
      <c r="DW56" s="293">
        <f>DW50/IS!DW24</f>
      </c>
      <c r="DX56" s="291">
        <f>DX50/IS!DX24</f>
      </c>
      <c r="DY56" s="107">
        <f>DY50/IS!DY24</f>
      </c>
      <c r="DZ56" s="107">
        <f>DZ50/IS!DZ24</f>
      </c>
      <c r="EA56" s="107">
        <f>EA50/IS!EA24</f>
      </c>
      <c r="EB56" s="293">
        <f>EB50/IS!EB24</f>
      </c>
      <c r="EC56" s="291">
        <f>EC50/IS!EC24</f>
      </c>
      <c r="ED56" s="107">
        <f>ED50/IS!ED24</f>
      </c>
      <c r="EE56" s="107">
        <f>EE50/IS!EE24</f>
      </c>
      <c r="EF56" s="107">
        <f>EF50/IS!EF24</f>
      </c>
      <c r="EG56" s="293">
        <f>EG50/IS!EG24</f>
      </c>
      <c r="EH56" s="291">
        <f>EH50/IS!EH24</f>
      </c>
      <c r="EI56" s="107">
        <f>EI50/IS!EI24</f>
      </c>
      <c r="EJ56" s="107">
        <f>EJ50/IS!EJ24</f>
      </c>
      <c r="EK56" s="107">
        <f>EK50/IS!EK24</f>
      </c>
      <c r="EL56" s="293">
        <f>EL50/IS!EL24</f>
      </c>
      <c r="EM56" s="291">
        <f>EM50/IS!EM24</f>
      </c>
      <c r="EN56" s="107">
        <f>EN50/IS!EN24</f>
      </c>
      <c r="EO56" s="107">
        <f>EO50/IS!EO24</f>
      </c>
      <c r="EP56" s="107">
        <f>EP50/IS!EP24</f>
      </c>
      <c r="EQ56" s="293">
        <f>EQ50/IS!EQ24</f>
      </c>
      <c r="ER56" s="291">
        <f>ER50/IS!ER24</f>
      </c>
      <c r="ES56" s="107">
        <f>ES50/IS!ES24</f>
      </c>
      <c r="ET56" s="107">
        <f>ET50/IS!ET24</f>
      </c>
      <c r="EU56" s="107">
        <f>EU50/IS!EU24</f>
      </c>
      <c r="EV56" s="293">
        <f>EV50/IS!EV24</f>
      </c>
      <c r="EW56" s="291"/>
      <c r="EX56" s="107"/>
      <c r="EY56" s="107"/>
      <c r="EZ56" s="107"/>
      <c r="FA56" s="293"/>
      <c r="FB56" s="291"/>
      <c r="FC56" s="107"/>
      <c r="FD56" s="107"/>
      <c r="FE56" s="107"/>
      <c r="FF56" s="293"/>
      <c r="FG56" s="291"/>
      <c r="FH56" s="107"/>
      <c r="FI56" s="107"/>
      <c r="FJ56" s="107"/>
      <c r="FK56" s="293"/>
      <c r="FL56" s="291"/>
      <c r="FM56" s="107"/>
      <c r="FN56" s="107"/>
      <c r="FO56" s="107"/>
      <c r="FP56" s="293"/>
      <c r="FQ56" s="291"/>
      <c r="FR56" s="107"/>
      <c r="FS56" s="107"/>
      <c r="FT56" s="107"/>
      <c r="FU56" s="293"/>
      <c r="FV56" s="291"/>
      <c r="FW56" s="107"/>
      <c r="FX56" s="107"/>
      <c r="FY56" s="107"/>
      <c r="FZ56" s="293"/>
      <c r="GA56" s="291"/>
      <c r="GB56" s="107"/>
      <c r="GC56" s="107"/>
      <c r="GD56" s="107"/>
      <c r="GE56" s="293"/>
      <c r="GF56" s="291"/>
      <c r="GG56" s="107"/>
      <c r="GH56" s="107"/>
      <c r="GI56" s="107"/>
      <c r="GJ56" s="293"/>
    </row>
    <row r="57" spans="1:192" ht="12.75" hidden="1" customHeight="1" outlineLevel="1">
      <c r="B57" s="727"/>
      <c r="C57" s="291"/>
      <c r="D57" s="107"/>
      <c r="E57" s="107"/>
      <c r="F57" s="107"/>
      <c r="G57" s="293"/>
      <c r="H57" s="291"/>
      <c r="I57" s="107"/>
      <c r="J57" s="107"/>
      <c r="K57" s="107"/>
      <c r="L57" s="293"/>
      <c r="M57" s="291"/>
      <c r="N57" s="107"/>
      <c r="O57" s="107"/>
      <c r="P57" s="107"/>
      <c r="Q57" s="293"/>
      <c r="R57" s="291"/>
      <c r="S57" s="107"/>
      <c r="T57" s="107"/>
      <c r="U57" s="107"/>
      <c r="V57" s="293"/>
      <c r="W57" s="291"/>
      <c r="X57" s="107"/>
      <c r="Y57" s="107"/>
      <c r="Z57" s="107"/>
      <c r="AA57" s="293"/>
      <c r="AB57" s="291"/>
      <c r="AC57" s="107"/>
      <c r="AD57" s="107"/>
      <c r="AE57" s="107"/>
      <c r="AF57" s="293"/>
      <c r="AG57" s="291"/>
      <c r="AH57" s="107"/>
      <c r="AI57" s="107"/>
      <c r="AJ57" s="107"/>
      <c r="AK57" s="293"/>
      <c r="AL57" s="291"/>
      <c r="AM57" s="107"/>
      <c r="AN57" s="107"/>
      <c r="AO57" s="107"/>
      <c r="AP57" s="293"/>
      <c r="AQ57" s="291"/>
      <c r="AR57" s="107"/>
      <c r="AS57" s="107"/>
      <c r="AT57" s="107"/>
      <c r="AU57" s="293"/>
      <c r="AV57" s="291"/>
      <c r="AW57" s="107"/>
      <c r="AX57" s="107"/>
      <c r="AY57" s="107"/>
      <c r="AZ57" s="293"/>
      <c r="BA57" s="291"/>
      <c r="BB57" s="107"/>
      <c r="BC57" s="107"/>
      <c r="BD57" s="107"/>
      <c r="BE57" s="293"/>
      <c r="BF57" s="291"/>
      <c r="BG57" s="107"/>
      <c r="BH57" s="107"/>
      <c r="BI57" s="107"/>
      <c r="BJ57" s="293"/>
      <c r="BK57" s="291"/>
      <c r="BL57" s="107"/>
      <c r="BM57" s="107"/>
      <c r="BN57" s="107"/>
      <c r="BO57" s="293"/>
      <c r="BP57" s="291"/>
      <c r="BQ57" s="107"/>
      <c r="BR57" s="107"/>
      <c r="BS57" s="107"/>
      <c r="BT57" s="293"/>
      <c r="BU57" s="291"/>
      <c r="BV57" s="107"/>
      <c r="BW57" s="107"/>
      <c r="BX57" s="107"/>
      <c r="BY57" s="293"/>
      <c r="BZ57" s="291"/>
      <c r="CA57" s="107"/>
      <c r="CB57" s="107"/>
      <c r="CC57" s="107"/>
      <c r="CD57" s="293"/>
      <c r="CE57" s="291"/>
      <c r="CF57" s="107"/>
      <c r="CG57" s="107"/>
      <c r="CH57" s="107"/>
      <c r="CI57" s="293"/>
      <c r="CJ57" s="291"/>
      <c r="CK57" s="107"/>
      <c r="CL57" s="107"/>
      <c r="CM57" s="107"/>
      <c r="CN57" s="293"/>
      <c r="CO57" s="291"/>
      <c r="CP57" s="107"/>
      <c r="CQ57" s="107"/>
      <c r="CR57" s="107"/>
      <c r="CS57" s="293"/>
      <c r="CT57" s="291"/>
      <c r="CU57" s="107"/>
      <c r="CV57" s="107"/>
      <c r="CW57" s="107"/>
      <c r="CX57" s="293"/>
      <c r="CY57" s="291"/>
      <c r="CZ57" s="107"/>
      <c r="DA57" s="107"/>
      <c r="DB57" s="107"/>
      <c r="DC57" s="293"/>
      <c r="DD57" s="291"/>
      <c r="DE57" s="107"/>
      <c r="DF57" s="107"/>
      <c r="DG57" s="107"/>
      <c r="DH57" s="293"/>
      <c r="DI57" s="291"/>
      <c r="DJ57" s="107"/>
      <c r="DK57" s="107"/>
      <c r="DL57" s="107"/>
      <c r="DM57" s="293"/>
      <c r="DN57" s="291"/>
      <c r="DO57" s="107"/>
      <c r="DP57" s="107"/>
      <c r="DQ57" s="107"/>
      <c r="DR57" s="293"/>
      <c r="DS57" s="291"/>
      <c r="DT57" s="107"/>
      <c r="DU57" s="107"/>
      <c r="DV57" s="107"/>
      <c r="DW57" s="293"/>
      <c r="DX57" s="291"/>
      <c r="DY57" s="107"/>
      <c r="DZ57" s="107"/>
      <c r="EA57" s="107"/>
      <c r="EB57" s="293"/>
      <c r="EC57" s="291"/>
      <c r="ED57" s="107"/>
      <c r="EE57" s="107"/>
      <c r="EF57" s="107"/>
      <c r="EG57" s="293"/>
      <c r="EH57" s="291"/>
      <c r="EI57" s="107"/>
      <c r="EJ57" s="107"/>
      <c r="EK57" s="107"/>
      <c r="EL57" s="293"/>
      <c r="EM57" s="291"/>
      <c r="EN57" s="107"/>
      <c r="EO57" s="107"/>
      <c r="EP57" s="107"/>
      <c r="EQ57" s="293"/>
      <c r="ER57" s="291"/>
      <c r="ES57" s="107"/>
      <c r="ET57" s="107"/>
      <c r="EU57" s="107"/>
      <c r="EV57" s="293"/>
      <c r="EW57" s="291"/>
      <c r="EX57" s="107"/>
      <c r="EY57" s="107"/>
      <c r="EZ57" s="107"/>
      <c r="FA57" s="293"/>
      <c r="FB57" s="291"/>
      <c r="FC57" s="107"/>
      <c r="FD57" s="107"/>
      <c r="FE57" s="107"/>
      <c r="FF57" s="293"/>
      <c r="FG57" s="291"/>
      <c r="FH57" s="107"/>
      <c r="FI57" s="107"/>
      <c r="FJ57" s="107"/>
      <c r="FK57" s="293"/>
      <c r="FL57" s="291"/>
      <c r="FM57" s="107"/>
      <c r="FN57" s="107"/>
      <c r="FO57" s="107"/>
      <c r="FP57" s="293"/>
      <c r="FQ57" s="291"/>
      <c r="FR57" s="107"/>
      <c r="FS57" s="107"/>
      <c r="FT57" s="107"/>
      <c r="FU57" s="293"/>
      <c r="FV57" s="291"/>
      <c r="FW57" s="107"/>
      <c r="FX57" s="107"/>
      <c r="FY57" s="107"/>
      <c r="FZ57" s="293"/>
      <c r="GA57" s="291"/>
      <c r="GB57" s="107"/>
      <c r="GC57" s="107"/>
      <c r="GD57" s="107"/>
      <c r="GE57" s="293"/>
      <c r="GF57" s="291"/>
      <c r="GG57" s="107"/>
      <c r="GH57" s="107"/>
      <c r="GI57" s="107"/>
      <c r="GJ57" s="293"/>
    </row>
    <row r="58" spans="1:192" s="317" customFormat="1" ht="12.75" hidden="1" customHeight="1" outlineLevel="1" collapsed="1">
      <c r="A58" s="280"/>
      <c r="B58" s="726" t="s">
        <v>1989</v>
      </c>
      <c r="C58" s="315"/>
      <c r="D58" s="315"/>
      <c r="E58" s="315"/>
      <c r="F58" s="315"/>
      <c r="G58" s="313"/>
      <c r="H58" s="315"/>
      <c r="I58" s="315"/>
      <c r="J58" s="315"/>
      <c r="K58" s="315"/>
      <c r="L58" s="313"/>
      <c r="M58" s="315"/>
      <c r="N58" s="315"/>
      <c r="O58" s="315"/>
      <c r="P58" s="315"/>
      <c r="Q58" s="313"/>
      <c r="R58" s="315"/>
      <c r="S58" s="315"/>
      <c r="T58" s="315"/>
      <c r="U58" s="315"/>
      <c r="V58" s="313"/>
      <c r="W58" s="315"/>
      <c r="X58" s="315"/>
      <c r="Y58" s="315"/>
      <c r="Z58" s="315"/>
      <c r="AA58" s="313"/>
      <c r="AB58" s="315"/>
      <c r="AC58" s="315"/>
      <c r="AD58" s="315"/>
      <c r="AE58" s="315"/>
      <c r="AF58" s="313"/>
      <c r="AG58" s="315"/>
      <c r="AH58" s="315"/>
      <c r="AI58" s="315"/>
      <c r="AJ58" s="315"/>
      <c r="AK58" s="313"/>
      <c r="AL58" s="315"/>
      <c r="AM58" s="315"/>
      <c r="AN58" s="315"/>
      <c r="AO58" s="315"/>
      <c r="AP58" s="313"/>
      <c r="AQ58" s="315"/>
      <c r="AR58" s="315"/>
      <c r="AS58" s="315"/>
      <c r="AT58" s="315"/>
      <c r="AU58" s="313"/>
      <c r="AV58" s="315"/>
      <c r="AW58" s="315"/>
      <c r="AX58" s="315"/>
      <c r="AY58" s="315"/>
      <c r="AZ58" s="313"/>
      <c r="BA58" s="315"/>
      <c r="BB58" s="315"/>
      <c r="BC58" s="315"/>
      <c r="BD58" s="315"/>
      <c r="BE58" s="313"/>
      <c r="BF58" s="315"/>
      <c r="BG58" s="315"/>
      <c r="BH58" s="315"/>
      <c r="BI58" s="315"/>
      <c r="BJ58" s="313"/>
      <c r="BK58" s="315"/>
      <c r="BL58" s="315"/>
      <c r="BM58" s="315"/>
      <c r="BN58" s="315"/>
      <c r="BO58" s="313"/>
      <c r="BP58" s="315"/>
      <c r="BQ58" s="315"/>
      <c r="BR58" s="315"/>
      <c r="BS58" s="315"/>
      <c r="BT58" s="313"/>
      <c r="BU58" s="315"/>
      <c r="BV58" s="315"/>
      <c r="BW58" s="315"/>
      <c r="BX58" s="315"/>
      <c r="BY58" s="313"/>
      <c r="BZ58" s="315"/>
      <c r="CA58" s="315"/>
      <c r="CB58" s="315"/>
      <c r="CC58" s="315"/>
      <c r="CD58" s="319"/>
      <c r="CE58" s="315"/>
      <c r="CF58" s="315"/>
      <c r="CG58" s="315"/>
      <c r="CH58" s="315"/>
      <c r="CI58" s="319"/>
      <c r="CJ58" s="315"/>
      <c r="CK58" s="315"/>
      <c r="CL58" s="315"/>
      <c r="CM58" s="315"/>
      <c r="CN58" s="319"/>
      <c r="CO58" s="315"/>
      <c r="CP58" s="315"/>
      <c r="CQ58" s="315"/>
      <c r="CR58" s="315"/>
      <c r="CS58" s="319"/>
      <c r="CT58" s="315"/>
      <c r="CU58" s="315"/>
      <c r="CV58" s="315"/>
      <c r="CW58" s="315"/>
      <c r="CX58" s="319"/>
      <c r="CY58" s="312">
        <f>DD58/(1+DD59)</f>
      </c>
      <c r="CZ58" s="312">
        <f>DE58/(1+DE59)</f>
      </c>
      <c r="DA58" s="312">
        <f>DF58/(1+DF59)</f>
      </c>
      <c r="DB58" s="312">
        <f>DG58/(1+DG59)</f>
      </c>
      <c r="DC58" s="319">
        <f>SUM(CY58:DB58)</f>
      </c>
      <c r="DD58" s="312">
        <f>DI58/(1+DI59)</f>
      </c>
      <c r="DE58" s="312">
        <f>DJ58/(1+DJ59)</f>
      </c>
      <c r="DF58" s="312">
        <f>DK58/(1+DK59)</f>
      </c>
      <c r="DG58" s="312">
        <f>DL58/(1+DL59)</f>
      </c>
      <c r="DH58" s="319">
        <f>SUM(DD58:DG58)</f>
      </c>
      <c r="DI58" s="312">
        <f>DN58/(1+DN59)</f>
      </c>
      <c r="DJ58" s="312">
        <f>DO58/(1+DO59)</f>
      </c>
      <c r="DK58" s="312">
        <f>DP58/(1+DP59)</f>
      </c>
      <c r="DL58" s="312">
        <f>DQ58/(1+DQ59)</f>
      </c>
      <c r="DM58" s="319">
        <f>SUM(DI58:DL58)</f>
      </c>
      <c r="DN58" s="312">
        <f>DS58/(1+DS59)</f>
      </c>
      <c r="DO58" s="312">
        <f>DT58/(1+DT59)</f>
      </c>
      <c r="DP58" s="312">
        <f>DU58/(1+DU59)</f>
      </c>
      <c r="DQ58" s="312">
        <f>DV58/(1+DV59)</f>
      </c>
      <c r="DR58" s="319">
        <f>SUM(DN58:DQ58)</f>
      </c>
      <c r="DS58" s="312">
        <f>DX58/(1+DX59)</f>
      </c>
      <c r="DT58" s="312">
        <f>DY58/(1+DY59)</f>
      </c>
      <c r="DU58" s="312">
        <f>DZ58/(1+DZ59)</f>
      </c>
      <c r="DV58" s="312">
        <f>EA58/(1+EA59)</f>
      </c>
      <c r="DW58" s="319">
        <f>SUM(DS58:DV58)</f>
      </c>
      <c r="DX58" s="312">
        <f>EC58/(1+EC59)</f>
      </c>
      <c r="DY58" s="312">
        <f>ED58/(1+ED59)</f>
      </c>
      <c r="DZ58" s="312">
        <f>EE58/(1+EE59)</f>
      </c>
      <c r="EA58" s="312">
        <f>EF58/(1+EF59)</f>
      </c>
      <c r="EB58" s="319">
        <f>SUM(DX58:EA58)</f>
      </c>
      <c r="EC58" s="312">
        <f>EH58/(1+EH59)</f>
      </c>
      <c r="ED58" s="312">
        <f>EI58/(1+EI59)</f>
      </c>
      <c r="EE58" s="312">
        <f>EJ58/(1+EJ59)</f>
      </c>
      <c r="EF58" s="312">
        <f>EK58/(1+EK59)</f>
      </c>
      <c r="EG58" s="319">
        <f>SUM(EC58:EF58)</f>
      </c>
      <c r="EH58" s="312">
        <f>EM62/EM59</f>
      </c>
      <c r="EI58" s="312">
        <f>EN62/EN59</f>
      </c>
      <c r="EJ58" s="312">
        <f>EO62/EO59</f>
      </c>
      <c r="EK58" s="312">
        <f>EP62/EP59</f>
      </c>
      <c r="EL58" s="319">
        <f>SUM(EH58:EK58)</f>
      </c>
      <c r="EM58" s="312">
        <f>EH58*(1+EM59)</f>
      </c>
      <c r="EN58" s="312">
        <f>EI58*(1+EN59)</f>
      </c>
      <c r="EO58" s="312">
        <f>EJ58*(1+EO59)</f>
      </c>
      <c r="EP58" s="312">
        <f>EK58*(1+EP59)</f>
      </c>
      <c r="EQ58" s="319">
        <f>SUM(EM58:EP58)</f>
      </c>
      <c r="ER58" s="312">
        <f>EM58*(1+ER59)</f>
      </c>
      <c r="ES58" s="312">
        <f>EN58*(1+ES59)</f>
      </c>
      <c r="ET58" s="312">
        <f>EO58*(1+ET59)</f>
      </c>
      <c r="EU58" s="312">
        <f>EP58*(1+EU59)</f>
      </c>
      <c r="EV58" s="319">
        <f>SUM(ER58:EU58)</f>
      </c>
      <c r="EW58" s="312"/>
      <c r="EX58" s="312"/>
      <c r="EY58" s="312"/>
      <c r="EZ58" s="312"/>
      <c r="FA58" s="313"/>
      <c r="FB58" s="312"/>
      <c r="FC58" s="312"/>
      <c r="FD58" s="312"/>
      <c r="FE58" s="312"/>
      <c r="FF58" s="313"/>
      <c r="FG58" s="312"/>
      <c r="FH58" s="312"/>
      <c r="FI58" s="312"/>
      <c r="FJ58" s="312"/>
      <c r="FK58" s="313"/>
      <c r="FL58" s="312"/>
      <c r="FM58" s="312"/>
      <c r="FN58" s="312"/>
      <c r="FO58" s="312"/>
      <c r="FP58" s="313"/>
      <c r="FQ58" s="312"/>
      <c r="FR58" s="312"/>
      <c r="FS58" s="312"/>
      <c r="FT58" s="312"/>
      <c r="FU58" s="313"/>
      <c r="FV58" s="312"/>
      <c r="FW58" s="312"/>
      <c r="FX58" s="312"/>
      <c r="FY58" s="312"/>
      <c r="FZ58" s="313"/>
      <c r="GA58" s="312"/>
      <c r="GB58" s="312"/>
      <c r="GC58" s="312"/>
      <c r="GD58" s="312"/>
      <c r="GE58" s="313"/>
      <c r="GF58" s="312"/>
      <c r="GG58" s="312"/>
      <c r="GH58" s="312"/>
      <c r="GI58" s="312"/>
      <c r="GJ58" s="313"/>
    </row>
    <row r="59" spans="1:192" ht="12.75" hidden="1" customHeight="1" outlineLevel="1">
      <c r="B59" s="727" t="s">
        <v>34</v>
      </c>
      <c r="C59" s="412"/>
      <c r="D59" s="114"/>
      <c r="E59" s="114"/>
      <c r="F59" s="114"/>
      <c r="G59" s="413"/>
      <c r="H59" s="412"/>
      <c r="I59" s="114"/>
      <c r="J59" s="114"/>
      <c r="K59" s="114"/>
      <c r="L59" s="413"/>
      <c r="M59" s="412"/>
      <c r="N59" s="114"/>
      <c r="O59" s="114"/>
      <c r="P59" s="114"/>
      <c r="Q59" s="413"/>
      <c r="R59" s="412"/>
      <c r="S59" s="114"/>
      <c r="T59" s="114"/>
      <c r="U59" s="114"/>
      <c r="V59" s="413"/>
      <c r="W59" s="412"/>
      <c r="X59" s="114"/>
      <c r="Y59" s="114"/>
      <c r="Z59" s="114"/>
      <c r="AA59" s="413"/>
      <c r="AB59" s="412"/>
      <c r="AC59" s="114"/>
      <c r="AD59" s="114"/>
      <c r="AE59" s="114"/>
      <c r="AF59" s="413"/>
      <c r="AG59" s="412"/>
      <c r="AH59" s="114"/>
      <c r="AI59" s="114"/>
      <c r="AJ59" s="114"/>
      <c r="AK59" s="413"/>
      <c r="AL59" s="412"/>
      <c r="AM59" s="114"/>
      <c r="AN59" s="114"/>
      <c r="AO59" s="114"/>
      <c r="AP59" s="413"/>
      <c r="AQ59" s="412"/>
      <c r="AR59" s="114"/>
      <c r="AS59" s="114"/>
      <c r="AT59" s="114"/>
      <c r="AU59" s="413"/>
      <c r="AV59" s="412"/>
      <c r="AW59" s="114"/>
      <c r="AX59" s="114"/>
      <c r="AY59" s="114"/>
      <c r="AZ59" s="413"/>
      <c r="BA59" s="412"/>
      <c r="BB59" s="114"/>
      <c r="BC59" s="114"/>
      <c r="BD59" s="114"/>
      <c r="BE59" s="413"/>
      <c r="BF59" s="412"/>
      <c r="BG59" s="114"/>
      <c r="BH59" s="114"/>
      <c r="BI59" s="114"/>
      <c r="BJ59" s="413"/>
      <c r="BK59" s="412"/>
      <c r="BL59" s="114"/>
      <c r="BM59" s="114"/>
      <c r="BN59" s="114"/>
      <c r="BO59" s="413"/>
      <c r="BP59" s="412"/>
      <c r="BQ59" s="114"/>
      <c r="BR59" s="114"/>
      <c r="BS59" s="114"/>
      <c r="BT59" s="413"/>
      <c r="BU59" s="412"/>
      <c r="BV59" s="114"/>
      <c r="BW59" s="114"/>
      <c r="BX59" s="114"/>
      <c r="BY59" s="413"/>
      <c r="BZ59" s="412"/>
      <c r="CA59" s="114"/>
      <c r="CB59" s="114"/>
      <c r="CC59" s="114"/>
      <c r="CD59" s="292"/>
      <c r="CE59" s="412"/>
      <c r="CF59" s="114"/>
      <c r="CG59" s="114"/>
      <c r="CH59" s="114"/>
      <c r="CI59" s="292"/>
      <c r="CJ59" s="412"/>
      <c r="CK59" s="114"/>
      <c r="CL59" s="114"/>
      <c r="CM59" s="114"/>
      <c r="CN59" s="292"/>
      <c r="CO59" s="412"/>
      <c r="CP59" s="114"/>
      <c r="CQ59" s="114"/>
      <c r="CR59" s="114"/>
      <c r="CS59" s="292"/>
      <c r="CT59" s="412"/>
      <c r="CU59" s="114"/>
      <c r="CV59" s="114"/>
      <c r="CW59" s="114"/>
      <c r="CX59" s="292"/>
      <c r="CY59" s="412"/>
      <c r="CZ59" s="114"/>
      <c r="DA59" s="114"/>
      <c r="DB59" s="114"/>
      <c r="DC59" s="292" t="str">
        <f>IFERROR(DC58/CX58-1,"--")</f>
      </c>
      <c r="DD59" s="412">
        <v>-0.06</v>
      </c>
      <c r="DE59" s="114">
        <v>-0.06</v>
      </c>
      <c r="DF59" s="114">
        <v>0.04</v>
      </c>
      <c r="DG59" s="114">
        <v>0</v>
      </c>
      <c r="DH59" s="292">
        <f>IFERROR(DH58/DC58-1,"--")</f>
      </c>
      <c r="DI59" s="412">
        <v>0</v>
      </c>
      <c r="DJ59" s="114">
        <v>0.05</v>
      </c>
      <c r="DK59" s="114">
        <v>0.15</v>
      </c>
      <c r="DL59" s="114">
        <v>0.14000000000000001</v>
      </c>
      <c r="DM59" s="292">
        <f>IFERROR(DM58/DH58-1,"--")</f>
      </c>
      <c r="DN59" s="412">
        <v>0.25</v>
      </c>
      <c r="DO59" s="114">
        <v>0.24</v>
      </c>
      <c r="DP59" s="114">
        <v>0.18</v>
      </c>
      <c r="DQ59" s="114">
        <v>0.13</v>
      </c>
      <c r="DR59" s="292">
        <f>IFERROR(DR58/DM58-1,"--")</f>
      </c>
      <c r="DS59" s="412">
        <v>0.18</v>
      </c>
      <c r="DT59" s="114">
        <v>0.11</v>
      </c>
      <c r="DU59" s="114">
        <v>0.15</v>
      </c>
      <c r="DV59" s="114">
        <v>0.16</v>
      </c>
      <c r="DW59" s="292">
        <f>IFERROR(DW58/DR58-1,"--")</f>
      </c>
      <c r="DX59" s="412">
        <v>0.16</v>
      </c>
      <c r="DY59" s="114">
        <v>0.21</v>
      </c>
      <c r="DZ59" s="114">
        <v>0.16</v>
      </c>
      <c r="EA59" s="114">
        <v>0</v>
      </c>
      <c r="EB59" s="292">
        <f>IFERROR(EB58/DW58-1,"--")</f>
      </c>
      <c r="EC59" s="412">
        <v>0.13</v>
      </c>
      <c r="ED59" s="114">
        <v>0.13</v>
      </c>
      <c r="EE59" s="114">
        <v>0.15</v>
      </c>
      <c r="EF59" s="114">
        <v>0.33</v>
      </c>
      <c r="EG59" s="292">
        <f>IFERROR(EG58/EB58-1,"--")</f>
      </c>
      <c r="EH59" s="412">
        <v>0.22</v>
      </c>
      <c r="EI59" s="114">
        <v>0.2</v>
      </c>
      <c r="EJ59" s="114">
        <v>0.16</v>
      </c>
      <c r="EK59" s="114">
        <v>0.12</v>
      </c>
      <c r="EL59" s="413">
        <v>0.17</v>
      </c>
      <c r="EM59" s="412">
        <v>0.11</v>
      </c>
      <c r="EN59" s="114">
        <v>0.08</v>
      </c>
      <c r="EO59" s="114">
        <v>0.14000000000000001</v>
      </c>
      <c r="EP59" s="114">
        <v>0.14000000000000001</v>
      </c>
      <c r="EQ59" s="292">
        <f>IFERROR(EQ58/EL58-1,"--")</f>
      </c>
      <c r="ER59" s="412">
        <v>0.13</v>
      </c>
      <c r="ES59" s="114">
        <v>0.14000000000000001</v>
      </c>
      <c r="ET59" s="439">
        <v>0.11</v>
      </c>
      <c r="EU59" s="439">
        <v>0.09</v>
      </c>
      <c r="EV59" s="292">
        <f t="shared" ref="EV59" si="62">IFERROR(EV58/EQ58-1,"--")</f>
      </c>
      <c r="EW59" s="107"/>
      <c r="EX59" s="107"/>
      <c r="EY59" s="107"/>
      <c r="EZ59" s="107"/>
      <c r="FA59" s="292"/>
      <c r="FB59" s="107"/>
      <c r="FC59" s="107"/>
      <c r="FD59" s="107"/>
      <c r="FE59" s="107"/>
      <c r="FF59" s="292"/>
      <c r="FG59" s="107"/>
      <c r="FH59" s="107"/>
      <c r="FI59" s="107"/>
      <c r="FJ59" s="107"/>
      <c r="FK59" s="292"/>
      <c r="FL59" s="107"/>
      <c r="FM59" s="107"/>
      <c r="FN59" s="107"/>
      <c r="FO59" s="107"/>
      <c r="FP59" s="292"/>
      <c r="FQ59" s="107"/>
      <c r="FR59" s="107"/>
      <c r="FS59" s="107"/>
      <c r="FT59" s="107"/>
      <c r="FU59" s="292"/>
      <c r="FV59" s="291"/>
      <c r="FW59" s="107"/>
      <c r="FX59" s="107"/>
      <c r="FY59" s="107"/>
      <c r="FZ59" s="292"/>
      <c r="GA59" s="291"/>
      <c r="GB59" s="107"/>
      <c r="GC59" s="107"/>
      <c r="GD59" s="107"/>
      <c r="GE59" s="292"/>
      <c r="GF59" s="291"/>
      <c r="GG59" s="107"/>
      <c r="GH59" s="107"/>
      <c r="GI59" s="107"/>
      <c r="GJ59" s="292"/>
    </row>
    <row r="60" spans="1:192" ht="12.75" hidden="1" customHeight="1" outlineLevel="1">
      <c r="B60" s="727" t="s">
        <v>197</v>
      </c>
      <c r="C60" s="412"/>
      <c r="D60" s="114"/>
      <c r="E60" s="114"/>
      <c r="F60" s="114"/>
      <c r="G60" s="413"/>
      <c r="H60" s="412"/>
      <c r="I60" s="114"/>
      <c r="J60" s="114"/>
      <c r="K60" s="114"/>
      <c r="L60" s="413"/>
      <c r="M60" s="412"/>
      <c r="N60" s="114"/>
      <c r="O60" s="114"/>
      <c r="P60" s="114"/>
      <c r="Q60" s="413"/>
      <c r="R60" s="412"/>
      <c r="S60" s="114"/>
      <c r="T60" s="114"/>
      <c r="U60" s="114"/>
      <c r="V60" s="413"/>
      <c r="W60" s="412"/>
      <c r="X60" s="114"/>
      <c r="Y60" s="114"/>
      <c r="Z60" s="114"/>
      <c r="AA60" s="413"/>
      <c r="AB60" s="412"/>
      <c r="AC60" s="114"/>
      <c r="AD60" s="114"/>
      <c r="AE60" s="114"/>
      <c r="AF60" s="413"/>
      <c r="AG60" s="412"/>
      <c r="AH60" s="114"/>
      <c r="AI60" s="114"/>
      <c r="AJ60" s="114"/>
      <c r="AK60" s="413"/>
      <c r="AL60" s="412"/>
      <c r="AM60" s="114"/>
      <c r="AN60" s="114"/>
      <c r="AO60" s="114"/>
      <c r="AP60" s="413"/>
      <c r="AQ60" s="412"/>
      <c r="AR60" s="114"/>
      <c r="AS60" s="114"/>
      <c r="AT60" s="114"/>
      <c r="AU60" s="413"/>
      <c r="AV60" s="412"/>
      <c r="AW60" s="114"/>
      <c r="AX60" s="114"/>
      <c r="AY60" s="114"/>
      <c r="AZ60" s="413"/>
      <c r="BA60" s="412"/>
      <c r="BB60" s="114"/>
      <c r="BC60" s="114"/>
      <c r="BD60" s="114"/>
      <c r="BE60" s="413"/>
      <c r="BF60" s="412"/>
      <c r="BG60" s="114"/>
      <c r="BH60" s="114"/>
      <c r="BI60" s="114"/>
      <c r="BJ60" s="413"/>
      <c r="BK60" s="412"/>
      <c r="BL60" s="114"/>
      <c r="BM60" s="114"/>
      <c r="BN60" s="114"/>
      <c r="BO60" s="413"/>
      <c r="BP60" s="412"/>
      <c r="BQ60" s="114"/>
      <c r="BR60" s="114"/>
      <c r="BS60" s="114"/>
      <c r="BT60" s="413"/>
      <c r="BU60" s="412"/>
      <c r="BV60" s="114"/>
      <c r="BW60" s="114"/>
      <c r="BX60" s="114"/>
      <c r="BY60" s="413"/>
      <c r="BZ60" s="412"/>
      <c r="CA60" s="114"/>
      <c r="CB60" s="114"/>
      <c r="CC60" s="114"/>
      <c r="CD60" s="292"/>
      <c r="CE60" s="412"/>
      <c r="CF60" s="114"/>
      <c r="CG60" s="114"/>
      <c r="CH60" s="114"/>
      <c r="CI60" s="292"/>
      <c r="CJ60" s="412"/>
      <c r="CK60" s="114"/>
      <c r="CL60" s="114"/>
      <c r="CM60" s="114"/>
      <c r="CN60" s="292"/>
      <c r="CO60" s="412"/>
      <c r="CP60" s="114"/>
      <c r="CQ60" s="114"/>
      <c r="CR60" s="114"/>
      <c r="CS60" s="292"/>
      <c r="CT60" s="412"/>
      <c r="CU60" s="114"/>
      <c r="CV60" s="114"/>
      <c r="CW60" s="114"/>
      <c r="CX60" s="292"/>
      <c r="CY60" s="412"/>
      <c r="CZ60" s="114"/>
      <c r="DA60" s="114"/>
      <c r="DB60" s="114"/>
      <c r="DC60" s="292"/>
      <c r="DD60" s="412">
        <v>0.01</v>
      </c>
      <c r="DE60" s="114">
        <v>0.01</v>
      </c>
      <c r="DF60" s="114">
        <v>0.01</v>
      </c>
      <c r="DG60" s="114">
        <v>0.04</v>
      </c>
      <c r="DH60" s="292"/>
      <c r="DI60" s="412">
        <v>0.02</v>
      </c>
      <c r="DJ60" s="114">
        <v>0.06</v>
      </c>
      <c r="DK60" s="114">
        <v>0.17</v>
      </c>
      <c r="DL60" s="114">
        <v>0.16</v>
      </c>
      <c r="DM60" s="292"/>
      <c r="DN60" s="412">
        <v>0.24</v>
      </c>
      <c r="DO60" s="114">
        <v>0.23</v>
      </c>
      <c r="DP60" s="114">
        <v>0.15</v>
      </c>
      <c r="DQ60" s="114">
        <v>0.1</v>
      </c>
      <c r="DR60" s="292"/>
      <c r="DS60" s="412">
        <v>0.17</v>
      </c>
      <c r="DT60" s="114">
        <v>0.11</v>
      </c>
      <c r="DU60" s="114">
        <v>0.17</v>
      </c>
      <c r="DV60" s="114">
        <v>0.2</v>
      </c>
      <c r="DW60" s="292"/>
      <c r="DX60" s="412">
        <v>0.19</v>
      </c>
      <c r="DY60" s="114">
        <v>0.23</v>
      </c>
      <c r="DZ60" s="114">
        <v>0.18</v>
      </c>
      <c r="EA60" s="114">
        <v>0.03</v>
      </c>
      <c r="EB60" s="292"/>
      <c r="EC60" s="412">
        <v>0.12</v>
      </c>
      <c r="ED60" s="114">
        <v>0.11</v>
      </c>
      <c r="EE60" s="114">
        <v>0.12</v>
      </c>
      <c r="EF60" s="114">
        <v>0.27</v>
      </c>
      <c r="EG60" s="292"/>
      <c r="EH60" s="412">
        <v>0.2</v>
      </c>
      <c r="EI60" s="114">
        <v>0.19</v>
      </c>
      <c r="EJ60" s="114">
        <v>0.19</v>
      </c>
      <c r="EK60" s="114">
        <v>0.17</v>
      </c>
      <c r="EL60" s="292"/>
      <c r="EM60" s="412">
        <v>0.18</v>
      </c>
      <c r="EN60" s="114">
        <v>0.16</v>
      </c>
      <c r="EO60" s="114">
        <v>0.18</v>
      </c>
      <c r="EP60" s="114">
        <v>0.16</v>
      </c>
      <c r="EQ60" s="292"/>
      <c r="ER60" s="412">
        <v>0.13</v>
      </c>
      <c r="ES60" s="114">
        <v>0.12</v>
      </c>
      <c r="ET60" s="439">
        <v>0.11</v>
      </c>
      <c r="EU60" s="439">
        <v>0.1</v>
      </c>
      <c r="EV60" s="292"/>
      <c r="EW60" s="291"/>
      <c r="EX60" s="107"/>
      <c r="EY60" s="107"/>
      <c r="EZ60" s="107"/>
      <c r="FA60" s="292"/>
      <c r="FB60" s="291"/>
      <c r="FC60" s="107"/>
      <c r="FD60" s="107"/>
      <c r="FE60" s="107"/>
      <c r="FF60" s="292"/>
      <c r="FG60" s="291"/>
      <c r="FH60" s="107"/>
      <c r="FI60" s="107"/>
      <c r="FJ60" s="107"/>
      <c r="FK60" s="292"/>
      <c r="FL60" s="291"/>
      <c r="FM60" s="107"/>
      <c r="FN60" s="107"/>
      <c r="FO60" s="107"/>
      <c r="FP60" s="292"/>
      <c r="FQ60" s="291"/>
      <c r="FR60" s="107"/>
      <c r="FS60" s="107"/>
      <c r="FT60" s="107"/>
      <c r="FU60" s="292"/>
      <c r="FV60" s="291"/>
      <c r="FW60" s="107"/>
      <c r="FX60" s="107"/>
      <c r="FY60" s="107"/>
      <c r="FZ60" s="292"/>
      <c r="GA60" s="291"/>
      <c r="GB60" s="107"/>
      <c r="GC60" s="107"/>
      <c r="GD60" s="107"/>
      <c r="GE60" s="292"/>
      <c r="GF60" s="291"/>
      <c r="GG60" s="107"/>
      <c r="GH60" s="107"/>
      <c r="GI60" s="107"/>
      <c r="GJ60" s="292"/>
    </row>
    <row r="61" spans="1:192" ht="12.75" hidden="1" customHeight="1" outlineLevel="1">
      <c r="B61" s="727" t="s">
        <v>36</v>
      </c>
      <c r="C61" s="291"/>
      <c r="D61" s="107"/>
      <c r="E61" s="107"/>
      <c r="F61" s="107"/>
      <c r="G61" s="293"/>
      <c r="H61" s="291"/>
      <c r="I61" s="107"/>
      <c r="J61" s="107"/>
      <c r="K61" s="107"/>
      <c r="L61" s="293"/>
      <c r="M61" s="291"/>
      <c r="N61" s="107"/>
      <c r="O61" s="107"/>
      <c r="P61" s="107"/>
      <c r="Q61" s="293"/>
      <c r="R61" s="291"/>
      <c r="S61" s="107"/>
      <c r="T61" s="107"/>
      <c r="U61" s="107"/>
      <c r="V61" s="293"/>
      <c r="W61" s="291"/>
      <c r="X61" s="107"/>
      <c r="Y61" s="107"/>
      <c r="Z61" s="107"/>
      <c r="AA61" s="293"/>
      <c r="AB61" s="291"/>
      <c r="AC61" s="107"/>
      <c r="AD61" s="107"/>
      <c r="AE61" s="107"/>
      <c r="AF61" s="293"/>
      <c r="AG61" s="291"/>
      <c r="AH61" s="107"/>
      <c r="AI61" s="107"/>
      <c r="AJ61" s="107"/>
      <c r="AK61" s="293"/>
      <c r="AL61" s="291"/>
      <c r="AM61" s="107"/>
      <c r="AN61" s="107"/>
      <c r="AO61" s="107"/>
      <c r="AP61" s="293"/>
      <c r="AQ61" s="291"/>
      <c r="AR61" s="107"/>
      <c r="AS61" s="107"/>
      <c r="AT61" s="107"/>
      <c r="AU61" s="293"/>
      <c r="AV61" s="291"/>
      <c r="AW61" s="107"/>
      <c r="AX61" s="107"/>
      <c r="AY61" s="107"/>
      <c r="AZ61" s="293"/>
      <c r="BA61" s="291"/>
      <c r="BB61" s="107"/>
      <c r="BC61" s="107"/>
      <c r="BD61" s="107"/>
      <c r="BE61" s="293"/>
      <c r="BF61" s="291"/>
      <c r="BG61" s="107"/>
      <c r="BH61" s="107"/>
      <c r="BI61" s="107"/>
      <c r="BJ61" s="293"/>
      <c r="BK61" s="291"/>
      <c r="BL61" s="107"/>
      <c r="BM61" s="107"/>
      <c r="BN61" s="107"/>
      <c r="BO61" s="293"/>
      <c r="BP61" s="291"/>
      <c r="BQ61" s="107"/>
      <c r="BR61" s="107"/>
      <c r="BS61" s="107"/>
      <c r="BT61" s="293"/>
      <c r="BU61" s="291"/>
      <c r="BV61" s="107"/>
      <c r="BW61" s="107"/>
      <c r="BX61" s="107"/>
      <c r="BY61" s="293"/>
      <c r="BZ61" s="291"/>
      <c r="CA61" s="107"/>
      <c r="CB61" s="107"/>
      <c r="CC61" s="107"/>
      <c r="CD61" s="293"/>
      <c r="CE61" s="291"/>
      <c r="CF61" s="107"/>
      <c r="CG61" s="107"/>
      <c r="CH61" s="107"/>
      <c r="CI61" s="293"/>
      <c r="CJ61" s="291"/>
      <c r="CK61" s="107"/>
      <c r="CL61" s="107"/>
      <c r="CM61" s="107"/>
      <c r="CN61" s="293"/>
      <c r="CO61" s="291"/>
      <c r="CP61" s="107"/>
      <c r="CQ61" s="107"/>
      <c r="CR61" s="107"/>
      <c r="CS61" s="293"/>
      <c r="CT61" s="291"/>
      <c r="CU61" s="107"/>
      <c r="CV61" s="107"/>
      <c r="CW61" s="107"/>
      <c r="CX61" s="293"/>
      <c r="CY61" s="291" t="str">
        <f>IFERROR(CY58/CW58-1,"")</f>
      </c>
      <c r="CZ61" s="107">
        <f>IFERROR(CZ58/CY58-1,"--")</f>
      </c>
      <c r="DA61" s="107">
        <f>IFERROR(DA58/CZ58-1,"--")</f>
      </c>
      <c r="DB61" s="107">
        <f>IFERROR(DB58/DA58-1,"--")</f>
      </c>
      <c r="DC61" s="293"/>
      <c r="DD61" s="291">
        <f>IFERROR(DD58/DB58-1,"--")</f>
      </c>
      <c r="DE61" s="107">
        <f>IFERROR(DE58/DD58-1,"--")</f>
      </c>
      <c r="DF61" s="107">
        <f>IFERROR(DF58/DE58-1,"--")</f>
      </c>
      <c r="DG61" s="107">
        <f>IFERROR(DG58/DF58-1,"--")</f>
      </c>
      <c r="DH61" s="293"/>
      <c r="DI61" s="291">
        <f>IFERROR(DI58/DG58-1,"--")</f>
      </c>
      <c r="DJ61" s="107">
        <f>IFERROR(DJ58/DI58-1,"--")</f>
      </c>
      <c r="DK61" s="107">
        <f>IFERROR(DK58/DJ58-1,"--")</f>
      </c>
      <c r="DL61" s="107">
        <f>IFERROR(DL58/DK58-1,"--")</f>
      </c>
      <c r="DM61" s="293"/>
      <c r="DN61" s="291">
        <f>IFERROR(DN58/DL58-1,"--")</f>
      </c>
      <c r="DO61" s="107">
        <f>IFERROR(DO58/DN58-1,"--")</f>
      </c>
      <c r="DP61" s="107">
        <f>IFERROR(DP58/DO58-1,"--")</f>
      </c>
      <c r="DQ61" s="107">
        <f>IFERROR(DQ58/DP58-1,"--")</f>
      </c>
      <c r="DR61" s="293"/>
      <c r="DS61" s="291">
        <f>IFERROR(DS58/DQ58-1,"--")</f>
      </c>
      <c r="DT61" s="107">
        <f>IFERROR(DT58/DS58-1,"--")</f>
      </c>
      <c r="DU61" s="107">
        <f>IFERROR(DU58/DT58-1,"--")</f>
      </c>
      <c r="DV61" s="107">
        <f>IFERROR(DV58/DU58-1,"--")</f>
      </c>
      <c r="DW61" s="293"/>
      <c r="DX61" s="291">
        <f>IFERROR(DX58/DV58-1,"--")</f>
      </c>
      <c r="DY61" s="107">
        <f>IFERROR(DY58/DX58-1,"--")</f>
      </c>
      <c r="DZ61" s="107">
        <f>IFERROR(DZ58/DY58-1,"--")</f>
      </c>
      <c r="EA61" s="107">
        <f>IFERROR(EA58/DZ58-1,"--")</f>
      </c>
      <c r="EB61" s="293"/>
      <c r="EC61" s="291">
        <f>IFERROR(EC58/EA58-1,"--")</f>
      </c>
      <c r="ED61" s="107">
        <f>IFERROR(ED58/EC58-1,"--")</f>
      </c>
      <c r="EE61" s="107">
        <f>IFERROR(EE58/ED58-1,"--")</f>
      </c>
      <c r="EF61" s="107">
        <f>IFERROR(EF58/EE58-1,"--")</f>
      </c>
      <c r="EG61" s="293"/>
      <c r="EH61" s="291">
        <f>IFERROR(EH58/EF58-1,"--")</f>
      </c>
      <c r="EI61" s="107">
        <f>IFERROR(EI58/EH58-1,"--")</f>
      </c>
      <c r="EJ61" s="107">
        <f>IFERROR(EJ58/EI58-1,"--")</f>
      </c>
      <c r="EK61" s="107">
        <f>IFERROR(EK58/EJ58-1,"--")</f>
      </c>
      <c r="EL61" s="293"/>
      <c r="EM61" s="291">
        <f>IFERROR(EM58/EK58-1,"--")</f>
      </c>
      <c r="EN61" s="107">
        <f>IFERROR(EN58/EM58-1,"--")</f>
      </c>
      <c r="EO61" s="107">
        <f>IFERROR(EO58/EN58-1,"--")</f>
      </c>
      <c r="EP61" s="107">
        <f>IFERROR(EP58/EO58-1,"--")</f>
      </c>
      <c r="EQ61" s="293"/>
      <c r="ER61" s="291">
        <f>IFERROR(ER58/EP58-1,"--")</f>
      </c>
      <c r="ES61" s="107">
        <f>IFERROR(ES58/ER58-1,"--")</f>
      </c>
      <c r="ET61" s="107">
        <f>IFERROR(ET58/ES58-1,"--")</f>
      </c>
      <c r="EU61" s="468">
        <f>IFERROR(EU58/ET58-1,"--")</f>
      </c>
      <c r="EV61" s="293"/>
      <c r="EW61" s="291"/>
      <c r="EX61" s="107"/>
      <c r="EY61" s="107"/>
      <c r="EZ61" s="107"/>
      <c r="FA61" s="293"/>
      <c r="FB61" s="291"/>
      <c r="FC61" s="107"/>
      <c r="FD61" s="107"/>
      <c r="FE61" s="107"/>
      <c r="FF61" s="293"/>
      <c r="FG61" s="291"/>
      <c r="FH61" s="107"/>
      <c r="FI61" s="107"/>
      <c r="FJ61" s="107"/>
      <c r="FK61" s="293"/>
      <c r="FL61" s="291"/>
      <c r="FM61" s="107"/>
      <c r="FN61" s="107"/>
      <c r="FO61" s="107"/>
      <c r="FP61" s="293"/>
      <c r="FQ61" s="291"/>
      <c r="FR61" s="107"/>
      <c r="FS61" s="107"/>
      <c r="FT61" s="107"/>
      <c r="FU61" s="293"/>
      <c r="FV61" s="291"/>
      <c r="FW61" s="107"/>
      <c r="FX61" s="107"/>
      <c r="FY61" s="107"/>
      <c r="FZ61" s="293"/>
      <c r="GA61" s="291"/>
      <c r="GB61" s="107"/>
      <c r="GC61" s="107"/>
      <c r="GD61" s="107"/>
      <c r="GE61" s="293"/>
      <c r="GF61" s="291"/>
      <c r="GG61" s="107"/>
      <c r="GH61" s="107"/>
      <c r="GI61" s="107"/>
      <c r="GJ61" s="293"/>
    </row>
    <row r="62" spans="1:192" s="461" customFormat="1" ht="12.75" hidden="1" customHeight="1" outlineLevel="1">
      <c r="A62" s="370"/>
      <c r="B62" s="728" t="s">
        <v>265</v>
      </c>
      <c r="C62" s="448"/>
      <c r="D62" s="493"/>
      <c r="E62" s="493"/>
      <c r="F62" s="493"/>
      <c r="G62" s="494"/>
      <c r="H62" s="448"/>
      <c r="I62" s="493"/>
      <c r="J62" s="493"/>
      <c r="K62" s="493"/>
      <c r="L62" s="494"/>
      <c r="M62" s="448"/>
      <c r="N62" s="493"/>
      <c r="O62" s="493"/>
      <c r="P62" s="493"/>
      <c r="Q62" s="494"/>
      <c r="R62" s="448"/>
      <c r="S62" s="493"/>
      <c r="T62" s="493"/>
      <c r="U62" s="493"/>
      <c r="V62" s="494"/>
      <c r="W62" s="448"/>
      <c r="X62" s="493"/>
      <c r="Y62" s="493"/>
      <c r="Z62" s="493"/>
      <c r="AA62" s="494"/>
      <c r="AB62" s="448"/>
      <c r="AC62" s="493"/>
      <c r="AD62" s="493"/>
      <c r="AE62" s="493"/>
      <c r="AF62" s="494"/>
      <c r="AG62" s="448"/>
      <c r="AH62" s="493"/>
      <c r="AI62" s="493"/>
      <c r="AJ62" s="493"/>
      <c r="AK62" s="494"/>
      <c r="AL62" s="448"/>
      <c r="AM62" s="493"/>
      <c r="AN62" s="493"/>
      <c r="AO62" s="493"/>
      <c r="AP62" s="494"/>
      <c r="AQ62" s="448"/>
      <c r="AR62" s="493"/>
      <c r="AS62" s="493"/>
      <c r="AT62" s="493"/>
      <c r="AU62" s="494"/>
      <c r="AV62" s="448"/>
      <c r="AW62" s="493"/>
      <c r="AX62" s="493"/>
      <c r="AY62" s="493"/>
      <c r="AZ62" s="494"/>
      <c r="BA62" s="448"/>
      <c r="BB62" s="493"/>
      <c r="BC62" s="493"/>
      <c r="BD62" s="493"/>
      <c r="BE62" s="494"/>
      <c r="BF62" s="448"/>
      <c r="BG62" s="493"/>
      <c r="BH62" s="493"/>
      <c r="BI62" s="493"/>
      <c r="BJ62" s="494"/>
      <c r="BK62" s="448"/>
      <c r="BL62" s="493"/>
      <c r="BM62" s="493"/>
      <c r="BN62" s="493"/>
      <c r="BO62" s="494"/>
      <c r="BP62" s="448"/>
      <c r="BQ62" s="493"/>
      <c r="BR62" s="493"/>
      <c r="BS62" s="493"/>
      <c r="BT62" s="494"/>
      <c r="BU62" s="448"/>
      <c r="BV62" s="493"/>
      <c r="BW62" s="493"/>
      <c r="BX62" s="493"/>
      <c r="BY62" s="494"/>
      <c r="BZ62" s="448"/>
      <c r="CA62" s="493"/>
      <c r="CB62" s="493"/>
      <c r="CC62" s="493"/>
      <c r="CD62" s="462"/>
      <c r="CE62" s="448"/>
      <c r="CF62" s="493"/>
      <c r="CG62" s="493"/>
      <c r="CH62" s="493"/>
      <c r="CI62" s="462"/>
      <c r="CJ62" s="448"/>
      <c r="CK62" s="493"/>
      <c r="CL62" s="493"/>
      <c r="CM62" s="493"/>
      <c r="CN62" s="462"/>
      <c r="CO62" s="448"/>
      <c r="CP62" s="493"/>
      <c r="CQ62" s="493"/>
      <c r="CR62" s="493"/>
      <c r="CS62" s="462"/>
      <c r="CT62" s="448"/>
      <c r="CU62" s="493"/>
      <c r="CV62" s="493"/>
      <c r="CW62" s="493"/>
      <c r="CX62" s="462"/>
      <c r="CY62" s="448"/>
      <c r="CZ62" s="493"/>
      <c r="DA62" s="493"/>
      <c r="DB62" s="493"/>
      <c r="DC62" s="462"/>
      <c r="DD62" s="447">
        <f t="shared" ref="DD62:EK62" si="63">DD58-CY58</f>
      </c>
      <c r="DE62" s="447">
        <f t="shared" si="63"/>
      </c>
      <c r="DF62" s="447">
        <f t="shared" si="63"/>
      </c>
      <c r="DG62" s="447">
        <f t="shared" si="63"/>
      </c>
      <c r="DH62" s="462">
        <f t="shared" si="63"/>
      </c>
      <c r="DI62" s="447">
        <f t="shared" si="63"/>
      </c>
      <c r="DJ62" s="447">
        <f t="shared" si="63"/>
      </c>
      <c r="DK62" s="447">
        <f t="shared" si="63"/>
      </c>
      <c r="DL62" s="447">
        <f t="shared" si="63"/>
      </c>
      <c r="DM62" s="462">
        <f t="shared" si="63"/>
      </c>
      <c r="DN62" s="447">
        <f t="shared" si="63"/>
      </c>
      <c r="DO62" s="447">
        <f t="shared" si="63"/>
      </c>
      <c r="DP62" s="447">
        <f t="shared" si="63"/>
      </c>
      <c r="DQ62" s="447">
        <f t="shared" si="63"/>
      </c>
      <c r="DR62" s="462">
        <f t="shared" si="63"/>
      </c>
      <c r="DS62" s="447">
        <f t="shared" si="63"/>
      </c>
      <c r="DT62" s="447">
        <f t="shared" si="63"/>
      </c>
      <c r="DU62" s="447">
        <f t="shared" si="63"/>
      </c>
      <c r="DV62" s="447">
        <f t="shared" si="63"/>
      </c>
      <c r="DW62" s="462">
        <f t="shared" si="63"/>
      </c>
      <c r="DX62" s="447">
        <f t="shared" si="63"/>
      </c>
      <c r="DY62" s="447">
        <f t="shared" si="63"/>
      </c>
      <c r="DZ62" s="447">
        <f t="shared" si="63"/>
      </c>
      <c r="EA62" s="447">
        <f t="shared" si="63"/>
      </c>
      <c r="EB62" s="462">
        <f t="shared" si="63"/>
      </c>
      <c r="EC62" s="447">
        <f t="shared" si="63"/>
      </c>
      <c r="ED62" s="447">
        <f t="shared" si="63"/>
      </c>
      <c r="EE62" s="447">
        <f t="shared" si="63"/>
      </c>
      <c r="EF62" s="447">
        <f t="shared" si="63"/>
      </c>
      <c r="EG62" s="462">
        <f t="shared" si="63"/>
      </c>
      <c r="EH62" s="447">
        <f t="shared" si="63"/>
      </c>
      <c r="EI62" s="447">
        <f t="shared" si="63"/>
      </c>
      <c r="EJ62" s="447">
        <f t="shared" si="63"/>
      </c>
      <c r="EK62" s="447">
        <f t="shared" si="63"/>
      </c>
      <c r="EL62" s="494">
        <v>7300</v>
      </c>
      <c r="EM62" s="448">
        <v>1300</v>
      </c>
      <c r="EN62" s="493">
        <v>1000</v>
      </c>
      <c r="EO62" s="448">
        <v>1700</v>
      </c>
      <c r="EP62" s="458">
        <f>EQ62-EO62-EN62-EM62</f>
      </c>
      <c r="EQ62" s="494">
        <v>5800</v>
      </c>
      <c r="ER62" s="448">
        <v>1800</v>
      </c>
      <c r="ES62" s="815">
        <v>1800</v>
      </c>
      <c r="ET62" s="815">
        <v>1600</v>
      </c>
      <c r="EU62" s="458">
        <f>EV62-ET62-ES62-ER62</f>
      </c>
      <c r="EV62" s="494">
        <v>6500</v>
      </c>
      <c r="EW62" s="458"/>
      <c r="EX62" s="458"/>
      <c r="EY62" s="458"/>
      <c r="EZ62" s="458"/>
      <c r="FA62" s="462"/>
      <c r="FB62" s="458"/>
      <c r="FC62" s="458"/>
      <c r="FD62" s="458"/>
      <c r="FE62" s="458"/>
      <c r="FF62" s="462"/>
      <c r="FG62" s="458"/>
      <c r="FH62" s="458"/>
      <c r="FI62" s="458"/>
      <c r="FJ62" s="458"/>
      <c r="FK62" s="462"/>
      <c r="FL62" s="458"/>
      <c r="FM62" s="458"/>
      <c r="FN62" s="458"/>
      <c r="FO62" s="458"/>
      <c r="FP62" s="462"/>
      <c r="FQ62" s="458"/>
      <c r="FR62" s="458"/>
      <c r="FS62" s="458"/>
      <c r="FT62" s="458"/>
      <c r="FU62" s="462"/>
      <c r="FV62" s="447"/>
      <c r="FW62" s="458"/>
      <c r="FX62" s="458"/>
      <c r="FY62" s="458"/>
      <c r="FZ62" s="462"/>
      <c r="GA62" s="447"/>
      <c r="GB62" s="458"/>
      <c r="GC62" s="458"/>
      <c r="GD62" s="458"/>
      <c r="GE62" s="462"/>
      <c r="GF62" s="447"/>
      <c r="GG62" s="458"/>
      <c r="GH62" s="458"/>
      <c r="GI62" s="458"/>
      <c r="GJ62" s="462"/>
    </row>
    <row r="63" spans="1:192" s="1204" customFormat="1" ht="12.75" hidden="1" customHeight="1" outlineLevel="1">
      <c r="A63" s="1235"/>
      <c r="B63" s="728" t="s">
        <v>259</v>
      </c>
      <c r="C63" s="1206"/>
      <c r="D63" s="1236"/>
      <c r="E63" s="1236"/>
      <c r="F63" s="1236"/>
      <c r="G63" s="1205"/>
      <c r="H63" s="1206"/>
      <c r="I63" s="1236"/>
      <c r="J63" s="1236"/>
      <c r="K63" s="1236"/>
      <c r="L63" s="1205"/>
      <c r="M63" s="1206"/>
      <c r="N63" s="1236"/>
      <c r="O63" s="1236"/>
      <c r="P63" s="1236"/>
      <c r="Q63" s="1205"/>
      <c r="R63" s="1206"/>
      <c r="S63" s="1236"/>
      <c r="T63" s="1236"/>
      <c r="U63" s="1236"/>
      <c r="V63" s="1205"/>
      <c r="W63" s="1206"/>
      <c r="X63" s="1236"/>
      <c r="Y63" s="1236"/>
      <c r="Z63" s="1236"/>
      <c r="AA63" s="1205"/>
      <c r="AB63" s="1206"/>
      <c r="AC63" s="1236"/>
      <c r="AD63" s="1236"/>
      <c r="AE63" s="1236"/>
      <c r="AF63" s="1205"/>
      <c r="AG63" s="1206"/>
      <c r="AH63" s="1236"/>
      <c r="AI63" s="1236"/>
      <c r="AJ63" s="1236"/>
      <c r="AK63" s="1205"/>
      <c r="AL63" s="1206"/>
      <c r="AM63" s="1236"/>
      <c r="AN63" s="1236"/>
      <c r="AO63" s="1236"/>
      <c r="AP63" s="1205"/>
      <c r="AQ63" s="1206"/>
      <c r="AR63" s="1236"/>
      <c r="AS63" s="1236"/>
      <c r="AT63" s="1236"/>
      <c r="AU63" s="1205"/>
      <c r="AV63" s="1206"/>
      <c r="AW63" s="1236"/>
      <c r="AX63" s="1236"/>
      <c r="AY63" s="1236"/>
      <c r="AZ63" s="1205"/>
      <c r="BA63" s="1206"/>
      <c r="BB63" s="1236"/>
      <c r="BC63" s="1236"/>
      <c r="BD63" s="1236"/>
      <c r="BE63" s="1205"/>
      <c r="BF63" s="1206"/>
      <c r="BG63" s="1236"/>
      <c r="BH63" s="1236"/>
      <c r="BI63" s="1236"/>
      <c r="BJ63" s="1205"/>
      <c r="BK63" s="1206"/>
      <c r="BL63" s="1236"/>
      <c r="BM63" s="1236"/>
      <c r="BN63" s="1236"/>
      <c r="BO63" s="1205"/>
      <c r="BP63" s="1206"/>
      <c r="BQ63" s="1236"/>
      <c r="BR63" s="1236"/>
      <c r="BS63" s="1236"/>
      <c r="BT63" s="1205"/>
      <c r="BU63" s="1206"/>
      <c r="BV63" s="1236"/>
      <c r="BW63" s="1236"/>
      <c r="BX63" s="1236"/>
      <c r="BY63" s="1205"/>
      <c r="BZ63" s="1206"/>
      <c r="CA63" s="1236"/>
      <c r="CB63" s="1236"/>
      <c r="CC63" s="1236"/>
      <c r="CD63" s="1203"/>
      <c r="CE63" s="1206"/>
      <c r="CF63" s="1236"/>
      <c r="CG63" s="1236"/>
      <c r="CH63" s="1236"/>
      <c r="CI63" s="1203"/>
      <c r="CJ63" s="1206"/>
      <c r="CK63" s="1236"/>
      <c r="CL63" s="1236"/>
      <c r="CM63" s="1236"/>
      <c r="CN63" s="1203"/>
      <c r="CO63" s="1206"/>
      <c r="CP63" s="1236"/>
      <c r="CQ63" s="1236"/>
      <c r="CR63" s="1236"/>
      <c r="CS63" s="1203"/>
      <c r="CT63" s="1206"/>
      <c r="CU63" s="1236"/>
      <c r="CV63" s="1236"/>
      <c r="CW63" s="1236"/>
      <c r="CX63" s="1203"/>
      <c r="CY63" s="1201">
        <f t="shared" ref="CY63:EQ63" si="64">CY58/CY50</f>
      </c>
      <c r="CZ63" s="1202">
        <f t="shared" si="64"/>
      </c>
      <c r="DA63" s="1202">
        <f t="shared" si="64"/>
      </c>
      <c r="DB63" s="1202">
        <f t="shared" si="64"/>
      </c>
      <c r="DC63" s="1203">
        <f t="shared" si="64"/>
      </c>
      <c r="DD63" s="1201">
        <f t="shared" si="64"/>
      </c>
      <c r="DE63" s="1201">
        <f t="shared" si="64"/>
      </c>
      <c r="DF63" s="1201">
        <f t="shared" si="64"/>
      </c>
      <c r="DG63" s="1201">
        <f t="shared" si="64"/>
      </c>
      <c r="DH63" s="1203">
        <f t="shared" si="64"/>
      </c>
      <c r="DI63" s="1201">
        <f t="shared" si="64"/>
      </c>
      <c r="DJ63" s="1201">
        <f t="shared" si="64"/>
      </c>
      <c r="DK63" s="1201">
        <f t="shared" si="64"/>
      </c>
      <c r="DL63" s="1201">
        <f t="shared" si="64"/>
      </c>
      <c r="DM63" s="1203">
        <f t="shared" si="64"/>
      </c>
      <c r="DN63" s="1201">
        <f t="shared" si="64"/>
      </c>
      <c r="DO63" s="1201">
        <f t="shared" si="64"/>
      </c>
      <c r="DP63" s="1201">
        <f t="shared" si="64"/>
      </c>
      <c r="DQ63" s="1201">
        <f t="shared" si="64"/>
      </c>
      <c r="DR63" s="1203">
        <f t="shared" si="64"/>
      </c>
      <c r="DS63" s="1201">
        <f t="shared" si="64"/>
      </c>
      <c r="DT63" s="1201">
        <f t="shared" si="64"/>
      </c>
      <c r="DU63" s="1201">
        <f t="shared" si="64"/>
      </c>
      <c r="DV63" s="1201">
        <f t="shared" si="64"/>
      </c>
      <c r="DW63" s="1203">
        <f t="shared" si="64"/>
      </c>
      <c r="DX63" s="1201">
        <f t="shared" si="64"/>
      </c>
      <c r="DY63" s="1201">
        <f t="shared" si="64"/>
      </c>
      <c r="DZ63" s="1201">
        <f t="shared" si="64"/>
      </c>
      <c r="EA63" s="1201">
        <f t="shared" si="64"/>
      </c>
      <c r="EB63" s="1203">
        <f t="shared" si="64"/>
      </c>
      <c r="EC63" s="1201">
        <f t="shared" si="64"/>
      </c>
      <c r="ED63" s="1201">
        <f t="shared" si="64"/>
      </c>
      <c r="EE63" s="1201">
        <f t="shared" si="64"/>
      </c>
      <c r="EF63" s="1201">
        <f t="shared" si="64"/>
      </c>
      <c r="EG63" s="1203">
        <f t="shared" si="64"/>
      </c>
      <c r="EH63" s="1201">
        <f t="shared" si="64"/>
      </c>
      <c r="EI63" s="1201">
        <f t="shared" si="64"/>
      </c>
      <c r="EJ63" s="1201">
        <f t="shared" si="64"/>
      </c>
      <c r="EK63" s="1201">
        <f t="shared" si="64"/>
      </c>
      <c r="EL63" s="1203">
        <f t="shared" si="64"/>
      </c>
      <c r="EM63" s="1201">
        <f t="shared" si="64"/>
      </c>
      <c r="EN63" s="1202">
        <f t="shared" si="64"/>
      </c>
      <c r="EO63" s="1201">
        <f t="shared" si="64"/>
      </c>
      <c r="EP63" s="1202">
        <f t="shared" si="64"/>
      </c>
      <c r="EQ63" s="1203">
        <f t="shared" si="64"/>
      </c>
      <c r="ER63" s="1201">
        <f>ER58/ER50</f>
      </c>
      <c r="ES63" s="1202">
        <f>ES58/ES50</f>
      </c>
      <c r="ET63" s="1201">
        <f>ET58/ET50</f>
      </c>
      <c r="EU63" s="1202">
        <f>EU58/EU50</f>
      </c>
      <c r="EV63" s="1203">
        <f>EV58/EV50</f>
      </c>
      <c r="EW63" s="1206"/>
      <c r="EX63" s="1206"/>
      <c r="EY63" s="1206"/>
      <c r="EZ63" s="1206"/>
      <c r="FA63" s="1203"/>
      <c r="FB63" s="1206"/>
      <c r="FC63" s="1206"/>
      <c r="FD63" s="1206"/>
      <c r="FE63" s="1206"/>
      <c r="FF63" s="1203"/>
      <c r="FG63" s="1206"/>
      <c r="FH63" s="1236"/>
      <c r="FI63" s="1236"/>
      <c r="FJ63" s="1236"/>
      <c r="FK63" s="1203"/>
      <c r="FL63" s="1206"/>
      <c r="FM63" s="1236"/>
      <c r="FN63" s="1236"/>
      <c r="FO63" s="1236"/>
      <c r="FP63" s="1203"/>
      <c r="FQ63" s="1206"/>
      <c r="FR63" s="1236"/>
      <c r="FS63" s="1236"/>
      <c r="FT63" s="1236"/>
      <c r="FU63" s="1203"/>
      <c r="FV63" s="1206"/>
      <c r="FW63" s="1236"/>
      <c r="FX63" s="1236"/>
      <c r="FY63" s="1236"/>
      <c r="FZ63" s="1203"/>
      <c r="GA63" s="1206"/>
      <c r="GB63" s="1236"/>
      <c r="GC63" s="1236"/>
      <c r="GD63" s="1236"/>
      <c r="GE63" s="1203"/>
      <c r="GF63" s="1206"/>
      <c r="GG63" s="1236"/>
      <c r="GH63" s="1236"/>
      <c r="GI63" s="1236"/>
      <c r="GJ63" s="1203"/>
    </row>
    <row r="64" spans="1:192" s="1247" customFormat="1" ht="12.75" hidden="1" customHeight="1" outlineLevel="1">
      <c r="A64" s="1561"/>
      <c r="B64" s="753" t="s">
        <v>1854</v>
      </c>
      <c r="C64" s="1243"/>
      <c r="D64" s="1244"/>
      <c r="E64" s="1244"/>
      <c r="F64" s="1244"/>
      <c r="G64" s="1242"/>
      <c r="H64" s="1243"/>
      <c r="I64" s="1244"/>
      <c r="J64" s="1244"/>
      <c r="K64" s="1244"/>
      <c r="L64" s="1242"/>
      <c r="M64" s="1243"/>
      <c r="N64" s="1244"/>
      <c r="O64" s="1244"/>
      <c r="P64" s="1244"/>
      <c r="Q64" s="1242"/>
      <c r="R64" s="1243"/>
      <c r="S64" s="1244"/>
      <c r="T64" s="1244"/>
      <c r="U64" s="1244"/>
      <c r="V64" s="1242"/>
      <c r="W64" s="1243"/>
      <c r="X64" s="1244"/>
      <c r="Y64" s="1244"/>
      <c r="Z64" s="1244"/>
      <c r="AA64" s="1242"/>
      <c r="AB64" s="1243"/>
      <c r="AC64" s="1244"/>
      <c r="AD64" s="1244"/>
      <c r="AE64" s="1244"/>
      <c r="AF64" s="1242"/>
      <c r="AG64" s="1243"/>
      <c r="AH64" s="1244"/>
      <c r="AI64" s="1244"/>
      <c r="AJ64" s="1244"/>
      <c r="AK64" s="1242"/>
      <c r="AL64" s="1243"/>
      <c r="AM64" s="1244"/>
      <c r="AN64" s="1244"/>
      <c r="AO64" s="1244"/>
      <c r="AP64" s="1242"/>
      <c r="AQ64" s="1243"/>
      <c r="AR64" s="1244"/>
      <c r="AS64" s="1244"/>
      <c r="AT64" s="1244"/>
      <c r="AU64" s="1242"/>
      <c r="AV64" s="1243"/>
      <c r="AW64" s="1244"/>
      <c r="AX64" s="1244"/>
      <c r="AY64" s="1244"/>
      <c r="AZ64" s="1242"/>
      <c r="BA64" s="1243"/>
      <c r="BB64" s="1244"/>
      <c r="BC64" s="1244"/>
      <c r="BD64" s="1244"/>
      <c r="BE64" s="1242"/>
      <c r="BF64" s="1243"/>
      <c r="BG64" s="1244"/>
      <c r="BH64" s="1244"/>
      <c r="BI64" s="1244"/>
      <c r="BJ64" s="1242"/>
      <c r="BK64" s="1243"/>
      <c r="BL64" s="1244"/>
      <c r="BM64" s="1244"/>
      <c r="BN64" s="1244"/>
      <c r="BO64" s="1242"/>
      <c r="BP64" s="1243"/>
      <c r="BQ64" s="1244"/>
      <c r="BR64" s="1244"/>
      <c r="BS64" s="1244"/>
      <c r="BT64" s="1242"/>
      <c r="BU64" s="1243"/>
      <c r="BV64" s="1244"/>
      <c r="BW64" s="1244"/>
      <c r="BX64" s="1244"/>
      <c r="BY64" s="1242"/>
      <c r="BZ64" s="1243"/>
      <c r="CA64" s="1244"/>
      <c r="CB64" s="1244"/>
      <c r="CC64" s="1244"/>
      <c r="CD64" s="1242"/>
      <c r="CE64" s="1243"/>
      <c r="CF64" s="1244"/>
      <c r="CG64" s="1244"/>
      <c r="CH64" s="1244"/>
      <c r="CI64" s="1242"/>
      <c r="CJ64" s="1243"/>
      <c r="CK64" s="1244"/>
      <c r="CL64" s="1244"/>
      <c r="CM64" s="1244"/>
      <c r="CN64" s="1242"/>
      <c r="CO64" s="1243"/>
      <c r="CP64" s="1244"/>
      <c r="CQ64" s="1244"/>
      <c r="CR64" s="1244"/>
      <c r="CS64" s="1242"/>
      <c r="CT64" s="1243"/>
      <c r="CU64" s="1244"/>
      <c r="CV64" s="1244"/>
      <c r="CW64" s="1244"/>
      <c r="CX64" s="1242"/>
      <c r="CY64" s="1243"/>
      <c r="CZ64" s="1244"/>
      <c r="DA64" s="1244"/>
      <c r="DB64" s="1244"/>
      <c r="DC64" s="1242"/>
      <c r="DD64" s="1243"/>
      <c r="DE64" s="1244"/>
      <c r="DF64" s="1244"/>
      <c r="DG64" s="1244"/>
      <c r="DH64" s="1245">
        <f>(DH63-DC63)*10000</f>
      </c>
      <c r="DI64" s="1243">
        <f t="shared" ref="DI64:ET64" si="65">(DI63-DD63)*10000</f>
      </c>
      <c r="DJ64" s="1244">
        <f t="shared" si="65"/>
      </c>
      <c r="DK64" s="1244">
        <f t="shared" si="65"/>
      </c>
      <c r="DL64" s="1244">
        <f t="shared" si="65"/>
      </c>
      <c r="DM64" s="1242">
        <f t="shared" si="65"/>
      </c>
      <c r="DN64" s="1243">
        <f t="shared" si="65"/>
      </c>
      <c r="DO64" s="1244">
        <f t="shared" si="65"/>
      </c>
      <c r="DP64" s="1244">
        <f t="shared" si="65"/>
      </c>
      <c r="DQ64" s="1244">
        <f t="shared" si="65"/>
      </c>
      <c r="DR64" s="1242">
        <f t="shared" si="65"/>
      </c>
      <c r="DS64" s="1243">
        <f t="shared" si="65"/>
      </c>
      <c r="DT64" s="1244">
        <f t="shared" si="65"/>
      </c>
      <c r="DU64" s="1244">
        <f t="shared" si="65"/>
      </c>
      <c r="DV64" s="1244">
        <f t="shared" si="65"/>
      </c>
      <c r="DW64" s="1242">
        <f t="shared" si="65"/>
      </c>
      <c r="DX64" s="1243">
        <f t="shared" si="65"/>
      </c>
      <c r="DY64" s="1244">
        <f t="shared" si="65"/>
      </c>
      <c r="DZ64" s="1244">
        <f t="shared" si="65"/>
      </c>
      <c r="EA64" s="1244">
        <f t="shared" si="65"/>
      </c>
      <c r="EB64" s="1242">
        <f t="shared" si="65"/>
      </c>
      <c r="EC64" s="1243">
        <f t="shared" si="65"/>
      </c>
      <c r="ED64" s="1244">
        <f t="shared" si="65"/>
      </c>
      <c r="EE64" s="1244">
        <f t="shared" si="65"/>
      </c>
      <c r="EF64" s="1244">
        <f t="shared" si="65"/>
      </c>
      <c r="EG64" s="1242">
        <f t="shared" si="65"/>
      </c>
      <c r="EH64" s="1243">
        <f t="shared" si="65"/>
      </c>
      <c r="EI64" s="1244">
        <f t="shared" si="65"/>
      </c>
      <c r="EJ64" s="1244">
        <f t="shared" si="65"/>
      </c>
      <c r="EK64" s="1244">
        <f t="shared" si="65"/>
      </c>
      <c r="EL64" s="1242">
        <f t="shared" si="65"/>
      </c>
      <c r="EM64" s="1243">
        <f t="shared" si="65"/>
      </c>
      <c r="EN64" s="1243">
        <f t="shared" si="65"/>
      </c>
      <c r="EO64" s="1243">
        <f t="shared" si="65"/>
      </c>
      <c r="EP64" s="1244">
        <f t="shared" si="65"/>
      </c>
      <c r="EQ64" s="1242">
        <f t="shared" si="65"/>
      </c>
      <c r="ER64" s="1243">
        <f t="shared" si="65"/>
      </c>
      <c r="ES64" s="1244">
        <f t="shared" si="65"/>
      </c>
      <c r="ET64" s="1243">
        <f t="shared" si="65"/>
      </c>
      <c r="EU64" s="1244">
        <f>(EU63-EP63)*10000</f>
      </c>
      <c r="EV64" s="1242">
        <f>(EV63-EQ63)*10000</f>
      </c>
      <c r="EW64" s="1243"/>
      <c r="EX64" s="1244"/>
      <c r="EY64" s="1244"/>
      <c r="EZ64" s="1244"/>
      <c r="FA64" s="1242"/>
      <c r="FB64" s="1243"/>
      <c r="FC64" s="1244"/>
      <c r="FD64" s="1244"/>
      <c r="FE64" s="1244"/>
      <c r="FF64" s="1242"/>
      <c r="FG64" s="1243"/>
      <c r="FH64" s="1243"/>
      <c r="FI64" s="1243"/>
      <c r="FJ64" s="1243"/>
      <c r="FK64" s="1242"/>
      <c r="FL64" s="1243"/>
      <c r="FM64" s="1243"/>
      <c r="FN64" s="1243"/>
      <c r="FO64" s="1243"/>
      <c r="FP64" s="1242"/>
      <c r="FQ64" s="1243"/>
      <c r="FR64" s="1243"/>
      <c r="FS64" s="1243"/>
      <c r="FT64" s="1243"/>
      <c r="FU64" s="1242"/>
      <c r="FV64" s="1243"/>
      <c r="FW64" s="1243"/>
      <c r="FX64" s="1243"/>
      <c r="FY64" s="1243"/>
      <c r="FZ64" s="1242"/>
      <c r="GA64" s="1243"/>
      <c r="GB64" s="1243"/>
      <c r="GC64" s="1243"/>
      <c r="GD64" s="1243"/>
      <c r="GE64" s="1242"/>
      <c r="GF64" s="1243"/>
      <c r="GG64" s="1243"/>
      <c r="GH64" s="1243"/>
      <c r="GI64" s="1243"/>
      <c r="GJ64" s="1242"/>
    </row>
    <row r="65" spans="1:192" ht="12.75" hidden="1" customHeight="1" outlineLevel="1">
      <c r="B65" s="729"/>
      <c r="C65" s="294"/>
      <c r="D65" s="295"/>
      <c r="E65" s="295"/>
      <c r="F65" s="295"/>
      <c r="G65" s="296"/>
      <c r="H65" s="294"/>
      <c r="I65" s="295"/>
      <c r="J65" s="295"/>
      <c r="K65" s="295"/>
      <c r="L65" s="296"/>
      <c r="M65" s="294"/>
      <c r="N65" s="295"/>
      <c r="O65" s="295"/>
      <c r="P65" s="295"/>
      <c r="Q65" s="296"/>
      <c r="R65" s="294"/>
      <c r="S65" s="295"/>
      <c r="T65" s="295"/>
      <c r="U65" s="295"/>
      <c r="V65" s="296"/>
      <c r="W65" s="294"/>
      <c r="X65" s="295"/>
      <c r="Y65" s="295"/>
      <c r="Z65" s="295"/>
      <c r="AA65" s="296"/>
      <c r="AB65" s="294"/>
      <c r="AC65" s="295"/>
      <c r="AD65" s="295"/>
      <c r="AE65" s="295"/>
      <c r="AF65" s="296"/>
      <c r="AG65" s="294"/>
      <c r="AH65" s="295"/>
      <c r="AI65" s="295"/>
      <c r="AJ65" s="295"/>
      <c r="AK65" s="296"/>
      <c r="AL65" s="294"/>
      <c r="AM65" s="295"/>
      <c r="AN65" s="295"/>
      <c r="AO65" s="295"/>
      <c r="AP65" s="296"/>
      <c r="AQ65" s="294"/>
      <c r="AR65" s="295"/>
      <c r="AS65" s="295"/>
      <c r="AT65" s="295"/>
      <c r="AU65" s="296"/>
      <c r="AV65" s="294"/>
      <c r="AW65" s="295"/>
      <c r="AX65" s="295"/>
      <c r="AY65" s="295"/>
      <c r="AZ65" s="296"/>
      <c r="BA65" s="294"/>
      <c r="BB65" s="295"/>
      <c r="BC65" s="295"/>
      <c r="BD65" s="295"/>
      <c r="BE65" s="296"/>
      <c r="BF65" s="294"/>
      <c r="BG65" s="295"/>
      <c r="BH65" s="295"/>
      <c r="BI65" s="295"/>
      <c r="BJ65" s="296"/>
      <c r="BK65" s="294"/>
      <c r="BL65" s="295"/>
      <c r="BM65" s="295"/>
      <c r="BN65" s="295"/>
      <c r="BO65" s="296"/>
      <c r="BP65" s="294"/>
      <c r="BQ65" s="295"/>
      <c r="BR65" s="295"/>
      <c r="BS65" s="295"/>
      <c r="BT65" s="296"/>
      <c r="BU65" s="294"/>
      <c r="BV65" s="295"/>
      <c r="BW65" s="295"/>
      <c r="BX65" s="295"/>
      <c r="BY65" s="296"/>
      <c r="BZ65" s="294"/>
      <c r="CA65" s="295"/>
      <c r="CB65" s="295"/>
      <c r="CC65" s="295"/>
      <c r="CD65" s="293"/>
      <c r="CE65" s="294"/>
      <c r="CF65" s="295"/>
      <c r="CG65" s="295"/>
      <c r="CH65" s="295"/>
      <c r="CI65" s="293"/>
      <c r="CJ65" s="294"/>
      <c r="CK65" s="295"/>
      <c r="CL65" s="295"/>
      <c r="CM65" s="295"/>
      <c r="CN65" s="293"/>
      <c r="CO65" s="294"/>
      <c r="CP65" s="295"/>
      <c r="CQ65" s="295"/>
      <c r="CR65" s="295"/>
      <c r="CS65" s="293"/>
      <c r="CT65" s="294"/>
      <c r="CU65" s="295"/>
      <c r="CV65" s="295"/>
      <c r="CW65" s="295"/>
      <c r="CX65" s="293"/>
      <c r="CY65" s="294"/>
      <c r="CZ65" s="295"/>
      <c r="DA65" s="295"/>
      <c r="DB65" s="295"/>
      <c r="DC65" s="293"/>
      <c r="DD65" s="294"/>
      <c r="DE65" s="295"/>
      <c r="DF65" s="295"/>
      <c r="DG65" s="295"/>
      <c r="DH65" s="293"/>
      <c r="DI65" s="294"/>
      <c r="DJ65" s="295"/>
      <c r="DK65" s="295"/>
      <c r="DL65" s="295"/>
      <c r="DM65" s="293"/>
      <c r="DN65" s="294"/>
      <c r="DO65" s="295"/>
      <c r="DP65" s="295"/>
      <c r="DQ65" s="295"/>
      <c r="DR65" s="293"/>
      <c r="DS65" s="294"/>
      <c r="DT65" s="295"/>
      <c r="DU65" s="295"/>
      <c r="DV65" s="295"/>
      <c r="DW65" s="293"/>
      <c r="DX65" s="294"/>
      <c r="DY65" s="295"/>
      <c r="DZ65" s="295"/>
      <c r="EA65" s="295"/>
      <c r="EB65" s="293"/>
      <c r="EC65" s="294"/>
      <c r="ED65" s="295"/>
      <c r="EE65" s="295"/>
      <c r="EF65" s="295"/>
      <c r="EG65" s="293"/>
      <c r="EH65" s="294"/>
      <c r="EI65" s="295"/>
      <c r="EJ65" s="295"/>
      <c r="EK65" s="295"/>
      <c r="EL65" s="293"/>
      <c r="EM65" s="294"/>
      <c r="EN65" s="295"/>
      <c r="EO65" s="295"/>
      <c r="EP65" s="469"/>
      <c r="EQ65" s="293"/>
      <c r="ER65" s="446"/>
      <c r="ES65" s="295"/>
      <c r="ET65" s="295"/>
      <c r="EU65" s="295"/>
      <c r="EV65" s="296"/>
      <c r="EW65" s="294"/>
      <c r="EX65" s="295"/>
      <c r="EY65" s="295"/>
      <c r="EZ65" s="295"/>
      <c r="FA65" s="296"/>
      <c r="FB65" s="294"/>
      <c r="FC65" s="295"/>
      <c r="FD65" s="295"/>
      <c r="FE65" s="295"/>
      <c r="FF65" s="296"/>
      <c r="FG65" s="294"/>
      <c r="FH65" s="295"/>
      <c r="FI65" s="295"/>
      <c r="FJ65" s="295"/>
      <c r="FK65" s="296"/>
      <c r="FL65" s="294"/>
      <c r="FM65" s="295"/>
      <c r="FN65" s="295"/>
      <c r="FO65" s="295"/>
      <c r="FP65" s="296"/>
      <c r="FQ65" s="294"/>
      <c r="FR65" s="295"/>
      <c r="FS65" s="295"/>
      <c r="FT65" s="295"/>
      <c r="FU65" s="296"/>
      <c r="FV65" s="294"/>
      <c r="FW65" s="295"/>
      <c r="FX65" s="295"/>
      <c r="FY65" s="295"/>
      <c r="FZ65" s="296"/>
      <c r="GA65" s="294"/>
      <c r="GB65" s="295"/>
      <c r="GC65" s="295"/>
      <c r="GD65" s="295"/>
      <c r="GE65" s="296"/>
      <c r="GF65" s="294"/>
      <c r="GG65" s="295"/>
      <c r="GH65" s="295"/>
      <c r="GI65" s="295"/>
      <c r="GJ65" s="296"/>
    </row>
    <row r="66" spans="1:192" s="317" customFormat="1" ht="12.75" hidden="1" customHeight="1" outlineLevel="1">
      <c r="A66" s="280"/>
      <c r="B66" s="730" t="s">
        <v>1986</v>
      </c>
      <c r="C66" s="315"/>
      <c r="D66" s="315"/>
      <c r="E66" s="315"/>
      <c r="F66" s="315"/>
      <c r="G66" s="313"/>
      <c r="H66" s="315"/>
      <c r="I66" s="315"/>
      <c r="J66" s="315"/>
      <c r="K66" s="315"/>
      <c r="L66" s="313"/>
      <c r="M66" s="315"/>
      <c r="N66" s="315"/>
      <c r="O66" s="315"/>
      <c r="P66" s="315"/>
      <c r="Q66" s="313"/>
      <c r="R66" s="315"/>
      <c r="S66" s="315"/>
      <c r="T66" s="315"/>
      <c r="U66" s="315"/>
      <c r="V66" s="313"/>
      <c r="W66" s="315"/>
      <c r="X66" s="315"/>
      <c r="Y66" s="315"/>
      <c r="Z66" s="315"/>
      <c r="AA66" s="313"/>
      <c r="AB66" s="315"/>
      <c r="AC66" s="315"/>
      <c r="AD66" s="315"/>
      <c r="AE66" s="315"/>
      <c r="AF66" s="313"/>
      <c r="AG66" s="315"/>
      <c r="AH66" s="315"/>
      <c r="AI66" s="315"/>
      <c r="AJ66" s="315"/>
      <c r="AK66" s="313"/>
      <c r="AL66" s="315"/>
      <c r="AM66" s="315"/>
      <c r="AN66" s="315"/>
      <c r="AO66" s="315"/>
      <c r="AP66" s="313"/>
      <c r="AQ66" s="315"/>
      <c r="AR66" s="315"/>
      <c r="AS66" s="315"/>
      <c r="AT66" s="315"/>
      <c r="AU66" s="313"/>
      <c r="AV66" s="315"/>
      <c r="AW66" s="315"/>
      <c r="AX66" s="315"/>
      <c r="AY66" s="315"/>
      <c r="AZ66" s="313"/>
      <c r="BA66" s="315"/>
      <c r="BB66" s="315"/>
      <c r="BC66" s="315"/>
      <c r="BD66" s="315"/>
      <c r="BE66" s="313"/>
      <c r="BF66" s="315"/>
      <c r="BG66" s="315"/>
      <c r="BH66" s="315"/>
      <c r="BI66" s="315"/>
      <c r="BJ66" s="313"/>
      <c r="BK66" s="315"/>
      <c r="BL66" s="315"/>
      <c r="BM66" s="315"/>
      <c r="BN66" s="315"/>
      <c r="BO66" s="313"/>
      <c r="BP66" s="315"/>
      <c r="BQ66" s="315"/>
      <c r="BR66" s="315"/>
      <c r="BS66" s="315"/>
      <c r="BT66" s="313"/>
      <c r="BU66" s="315"/>
      <c r="BV66" s="315"/>
      <c r="BW66" s="315"/>
      <c r="BX66" s="315"/>
      <c r="BY66" s="313"/>
      <c r="BZ66" s="315"/>
      <c r="CA66" s="315"/>
      <c r="CB66" s="315"/>
      <c r="CC66" s="315"/>
      <c r="CD66" s="319"/>
      <c r="CE66" s="315"/>
      <c r="CF66" s="315"/>
      <c r="CG66" s="315"/>
      <c r="CH66" s="315"/>
      <c r="CI66" s="319"/>
      <c r="CJ66" s="315"/>
      <c r="CK66" s="315"/>
      <c r="CL66" s="315"/>
      <c r="CM66" s="315"/>
      <c r="CN66" s="319"/>
      <c r="CO66" s="315"/>
      <c r="CP66" s="315"/>
      <c r="CQ66" s="315"/>
      <c r="CR66" s="315"/>
      <c r="CS66" s="319"/>
      <c r="CT66" s="315"/>
      <c r="CU66" s="315"/>
      <c r="CV66" s="315"/>
      <c r="CW66" s="315"/>
      <c r="CX66" s="319"/>
      <c r="CY66" s="312">
        <f>DD66/(1+DD67)</f>
      </c>
      <c r="CZ66" s="312">
        <f>DE66/(1+DE67)</f>
      </c>
      <c r="DA66" s="312">
        <f>DF66/(1+DF67)</f>
      </c>
      <c r="DB66" s="312">
        <f>DG66/(1+DG67)</f>
      </c>
      <c r="DC66" s="319">
        <f>SUM(CY66:DB66)</f>
      </c>
      <c r="DD66" s="312">
        <f>DI66/(1+DI67)</f>
      </c>
      <c r="DE66" s="312">
        <f>DJ66/(1+DJ67)</f>
      </c>
      <c r="DF66" s="312">
        <f>DK66/(1+DK67)</f>
      </c>
      <c r="DG66" s="312">
        <f>DL66/(1+DL67)</f>
      </c>
      <c r="DH66" s="319">
        <f>SUM(DD66:DG66)</f>
      </c>
      <c r="DI66" s="312">
        <f>DN66/(1+DN67)</f>
      </c>
      <c r="DJ66" s="312">
        <f>DO66/(1+DO67)</f>
      </c>
      <c r="DK66" s="312">
        <f>DP66/(1+DP67)</f>
      </c>
      <c r="DL66" s="312">
        <f>DQ66/(1+DQ67)</f>
      </c>
      <c r="DM66" s="319">
        <f>SUM(DI66:DL66)</f>
      </c>
      <c r="DN66" s="312">
        <f>DS66/(1+DS67)</f>
      </c>
      <c r="DO66" s="312">
        <f>DT66/(1+DT67)</f>
      </c>
      <c r="DP66" s="312">
        <f>DU66/(1+DU67)</f>
      </c>
      <c r="DQ66" s="312">
        <f>DV66/(1+DV67)</f>
      </c>
      <c r="DR66" s="319">
        <f>SUM(DN66:DQ66)</f>
      </c>
      <c r="DS66" s="312">
        <f>DX66/(1+DX67)</f>
      </c>
      <c r="DT66" s="312">
        <f>DY66/(1+DY67)</f>
      </c>
      <c r="DU66" s="312">
        <f>DZ66/(1+DZ67)</f>
      </c>
      <c r="DV66" s="312">
        <f>EA66/(1+EA67)</f>
      </c>
      <c r="DW66" s="319">
        <f>SUM(DS66:DV66)</f>
      </c>
      <c r="DX66" s="312">
        <f>EC66/(1+EC67)</f>
      </c>
      <c r="DY66" s="312">
        <f>ED66/(1+ED67)</f>
      </c>
      <c r="DZ66" s="312">
        <f>EE66/(1+EE67)</f>
      </c>
      <c r="EA66" s="312">
        <f>EF66/(1+EF67)</f>
      </c>
      <c r="EB66" s="319">
        <f>SUM(DX66:EA66)</f>
      </c>
      <c r="EC66" s="312">
        <f>EH66/(1+EH67)</f>
      </c>
      <c r="ED66" s="312">
        <f>EI66/(1+EI67)</f>
      </c>
      <c r="EE66" s="312">
        <f>EJ66/(1+EJ67)</f>
      </c>
      <c r="EF66" s="312">
        <f>EK70/EK67</f>
      </c>
      <c r="EG66" s="319">
        <f>SUM(EC66:EF66)</f>
      </c>
      <c r="EH66" s="312">
        <f>EM70/EM67</f>
      </c>
      <c r="EI66" s="312">
        <f>EN70/EN67</f>
      </c>
      <c r="EJ66" s="312">
        <f>EO70/EO67</f>
      </c>
      <c r="EK66" s="312">
        <f>EF66*(1+EK67)</f>
      </c>
      <c r="EL66" s="319">
        <f>SUM(EH66:EK66)</f>
      </c>
      <c r="EM66" s="312">
        <f>EH66*(1+EM67)</f>
      </c>
      <c r="EN66" s="312">
        <f>EI66*(1+EN67)</f>
      </c>
      <c r="EO66" s="312">
        <f>EJ66*(1+EO67)</f>
      </c>
      <c r="EP66" s="312">
        <f>EK66*(1+EP67)</f>
      </c>
      <c r="EQ66" s="319">
        <f>SUM(EM66:EP66)</f>
      </c>
      <c r="ER66" s="312">
        <f>EM66*(1+ER67)</f>
      </c>
      <c r="ES66" s="312">
        <f>EN66*(1+ES67)</f>
      </c>
      <c r="ET66" s="312">
        <f>EO66*(1+ET67)</f>
      </c>
      <c r="EU66" s="312">
        <f>EP66*(1+EU67)</f>
      </c>
      <c r="EV66" s="319">
        <f>SUM(ER66:EU66)</f>
      </c>
      <c r="EW66" s="315"/>
      <c r="EX66" s="315"/>
      <c r="EY66" s="315"/>
      <c r="EZ66" s="315"/>
      <c r="FA66" s="313"/>
      <c r="FB66" s="315"/>
      <c r="FC66" s="315"/>
      <c r="FD66" s="315"/>
      <c r="FE66" s="315"/>
      <c r="FF66" s="313"/>
      <c r="FG66" s="315"/>
      <c r="FH66" s="315"/>
      <c r="FI66" s="315"/>
      <c r="FJ66" s="315"/>
      <c r="FK66" s="313"/>
      <c r="FL66" s="315"/>
      <c r="FM66" s="315"/>
      <c r="FN66" s="315"/>
      <c r="FO66" s="315"/>
      <c r="FP66" s="313"/>
      <c r="FQ66" s="315"/>
      <c r="FR66" s="315"/>
      <c r="FS66" s="315"/>
      <c r="FT66" s="315"/>
      <c r="FU66" s="313"/>
      <c r="FV66" s="315"/>
      <c r="FW66" s="315"/>
      <c r="FX66" s="315"/>
      <c r="FY66" s="315"/>
      <c r="FZ66" s="313"/>
      <c r="GA66" s="315"/>
      <c r="GB66" s="315"/>
      <c r="GC66" s="315"/>
      <c r="GD66" s="315"/>
      <c r="GE66" s="313"/>
      <c r="GF66" s="315"/>
      <c r="GG66" s="315"/>
      <c r="GH66" s="315"/>
      <c r="GI66" s="315"/>
      <c r="GJ66" s="313"/>
    </row>
    <row r="67" spans="1:192" ht="12.75" hidden="1" customHeight="1" outlineLevel="1">
      <c r="B67" s="727" t="s">
        <v>34</v>
      </c>
      <c r="C67" s="291"/>
      <c r="D67" s="107"/>
      <c r="E67" s="107"/>
      <c r="F67" s="107"/>
      <c r="G67" s="292"/>
      <c r="H67" s="291"/>
      <c r="I67" s="107"/>
      <c r="J67" s="107"/>
      <c r="K67" s="107"/>
      <c r="L67" s="292"/>
      <c r="M67" s="291"/>
      <c r="N67" s="107"/>
      <c r="O67" s="107"/>
      <c r="P67" s="107"/>
      <c r="Q67" s="292"/>
      <c r="R67" s="291"/>
      <c r="S67" s="107"/>
      <c r="T67" s="107"/>
      <c r="U67" s="107"/>
      <c r="V67" s="292"/>
      <c r="W67" s="291"/>
      <c r="X67" s="107"/>
      <c r="Y67" s="107"/>
      <c r="Z67" s="107"/>
      <c r="AA67" s="292"/>
      <c r="AB67" s="291"/>
      <c r="AC67" s="107"/>
      <c r="AD67" s="107"/>
      <c r="AE67" s="107"/>
      <c r="AF67" s="292"/>
      <c r="AG67" s="291"/>
      <c r="AH67" s="107"/>
      <c r="AI67" s="107"/>
      <c r="AJ67" s="107"/>
      <c r="AK67" s="292"/>
      <c r="AL67" s="291"/>
      <c r="AM67" s="107"/>
      <c r="AN67" s="107"/>
      <c r="AO67" s="107"/>
      <c r="AP67" s="292"/>
      <c r="AQ67" s="291"/>
      <c r="AR67" s="107"/>
      <c r="AS67" s="107"/>
      <c r="AT67" s="107"/>
      <c r="AU67" s="292"/>
      <c r="AV67" s="291"/>
      <c r="AW67" s="107"/>
      <c r="AX67" s="107"/>
      <c r="AY67" s="107"/>
      <c r="AZ67" s="292"/>
      <c r="BA67" s="291"/>
      <c r="BB67" s="107"/>
      <c r="BC67" s="107"/>
      <c r="BD67" s="107"/>
      <c r="BE67" s="292"/>
      <c r="BF67" s="291"/>
      <c r="BG67" s="107"/>
      <c r="BH67" s="107"/>
      <c r="BI67" s="107"/>
      <c r="BJ67" s="292"/>
      <c r="BK67" s="291"/>
      <c r="BL67" s="107"/>
      <c r="BM67" s="107"/>
      <c r="BN67" s="107"/>
      <c r="BO67" s="292"/>
      <c r="BP67" s="291"/>
      <c r="BQ67" s="107"/>
      <c r="BR67" s="107"/>
      <c r="BS67" s="107"/>
      <c r="BT67" s="292"/>
      <c r="BU67" s="291"/>
      <c r="BV67" s="107"/>
      <c r="BW67" s="107"/>
      <c r="BX67" s="107"/>
      <c r="BY67" s="292"/>
      <c r="BZ67" s="291"/>
      <c r="CA67" s="107"/>
      <c r="CB67" s="107"/>
      <c r="CC67" s="107"/>
      <c r="CD67" s="292"/>
      <c r="CE67" s="291"/>
      <c r="CF67" s="107"/>
      <c r="CG67" s="107"/>
      <c r="CH67" s="107"/>
      <c r="CI67" s="292"/>
      <c r="CJ67" s="291"/>
      <c r="CK67" s="107"/>
      <c r="CL67" s="107"/>
      <c r="CM67" s="107"/>
      <c r="CN67" s="292"/>
      <c r="CO67" s="291"/>
      <c r="CP67" s="107"/>
      <c r="CQ67" s="107"/>
      <c r="CR67" s="107"/>
      <c r="CS67" s="292"/>
      <c r="CT67" s="291"/>
      <c r="CU67" s="107"/>
      <c r="CV67" s="107"/>
      <c r="CW67" s="107"/>
      <c r="CX67" s="292"/>
      <c r="CY67" s="291"/>
      <c r="CZ67" s="107"/>
      <c r="DA67" s="107"/>
      <c r="DB67" s="107"/>
      <c r="DC67" s="292"/>
      <c r="DD67" s="412">
        <v>-0.06</v>
      </c>
      <c r="DE67" s="114">
        <v>-0.03</v>
      </c>
      <c r="DF67" s="114">
        <v>-0.01</v>
      </c>
      <c r="DG67" s="114">
        <v>0.06</v>
      </c>
      <c r="DH67" s="292">
        <f>IFERROR(DH66/DC66-1,"--")</f>
      </c>
      <c r="DI67" s="412">
        <v>0.02</v>
      </c>
      <c r="DJ67" s="114">
        <v>0.13</v>
      </c>
      <c r="DK67" s="114">
        <v>0.44</v>
      </c>
      <c r="DL67" s="114">
        <v>0.41</v>
      </c>
      <c r="DM67" s="292">
        <f>IFERROR(DM66/DH66-1,"--")</f>
      </c>
      <c r="DN67" s="412">
        <v>0.54</v>
      </c>
      <c r="DO67" s="114">
        <v>0.41</v>
      </c>
      <c r="DP67" s="114">
        <v>0.14000000000000001</v>
      </c>
      <c r="DQ67" s="114">
        <v>7.0000000000000007E-2</v>
      </c>
      <c r="DR67" s="292">
        <f>IFERROR(DR66/DM66-1,"--")</f>
      </c>
      <c r="DS67" s="412">
        <v>7.0000000000000007E-2</v>
      </c>
      <c r="DT67" s="114">
        <v>0.03</v>
      </c>
      <c r="DU67" s="114">
        <v>0.04</v>
      </c>
      <c r="DV67" s="114">
        <v>0.08</v>
      </c>
      <c r="DW67" s="292">
        <f>IFERROR(DW66/DR66-1,"--")</f>
      </c>
      <c r="DX67" s="412">
        <v>0.08</v>
      </c>
      <c r="DY67" s="114">
        <v>0.12</v>
      </c>
      <c r="DZ67" s="114">
        <v>0.12</v>
      </c>
      <c r="EA67" s="114">
        <v>0.1</v>
      </c>
      <c r="EB67" s="292">
        <f>IFERROR(EB66/DW66-1,"--")</f>
      </c>
      <c r="EC67" s="412">
        <v>0.04</v>
      </c>
      <c r="ED67" s="114">
        <v>0.04</v>
      </c>
      <c r="EE67" s="114">
        <v>0.04</v>
      </c>
      <c r="EF67" s="114">
        <v>0.08</v>
      </c>
      <c r="EG67" s="292">
        <f>IFERROR(EG66/EB66-1,"--")</f>
      </c>
      <c r="EH67" s="412">
        <v>7.0000000000000007E-2</v>
      </c>
      <c r="EI67" s="114">
        <v>0.13</v>
      </c>
      <c r="EJ67" s="114">
        <v>0.13</v>
      </c>
      <c r="EK67" s="114">
        <v>0.12</v>
      </c>
      <c r="EL67" s="413">
        <v>0.11</v>
      </c>
      <c r="EM67" s="412">
        <v>0.13</v>
      </c>
      <c r="EN67" s="114">
        <v>0.12</v>
      </c>
      <c r="EO67" s="114">
        <v>0.04</v>
      </c>
      <c r="EP67" s="114">
        <v>0</v>
      </c>
      <c r="EQ67" s="292">
        <f>IFERROR(EQ66/EL66-1,"--")</f>
      </c>
      <c r="ER67" s="412">
        <v>0.02</v>
      </c>
      <c r="ES67" s="114">
        <v>-0.05</v>
      </c>
      <c r="ET67" s="439">
        <v>0.01</v>
      </c>
      <c r="EU67" s="439">
        <v>0.05</v>
      </c>
      <c r="EV67" s="292">
        <f>IFERROR(EV66/EQ66-1,"--")</f>
      </c>
      <c r="EW67" s="291"/>
      <c r="EX67" s="107"/>
      <c r="EY67" s="107"/>
      <c r="EZ67" s="107"/>
      <c r="FA67" s="292"/>
      <c r="FB67" s="291"/>
      <c r="FC67" s="107"/>
      <c r="FD67" s="107"/>
      <c r="FE67" s="107"/>
      <c r="FF67" s="292"/>
      <c r="FG67" s="291"/>
      <c r="FH67" s="107"/>
      <c r="FI67" s="107"/>
      <c r="FJ67" s="107"/>
      <c r="FK67" s="292"/>
      <c r="FL67" s="291"/>
      <c r="FM67" s="107"/>
      <c r="FN67" s="107"/>
      <c r="FO67" s="107"/>
      <c r="FP67" s="292"/>
      <c r="FQ67" s="291"/>
      <c r="FR67" s="107"/>
      <c r="FS67" s="107"/>
      <c r="FT67" s="107"/>
      <c r="FU67" s="292"/>
      <c r="FV67" s="291"/>
      <c r="FW67" s="107"/>
      <c r="FX67" s="107"/>
      <c r="FY67" s="107"/>
      <c r="FZ67" s="292"/>
      <c r="GA67" s="291"/>
      <c r="GB67" s="107"/>
      <c r="GC67" s="107"/>
      <c r="GD67" s="107"/>
      <c r="GE67" s="292"/>
      <c r="GF67" s="291"/>
      <c r="GG67" s="107"/>
      <c r="GH67" s="107"/>
      <c r="GI67" s="107"/>
      <c r="GJ67" s="292"/>
    </row>
    <row r="68" spans="1:192" ht="12.75" hidden="1" customHeight="1" outlineLevel="1">
      <c r="B68" s="727" t="s">
        <v>197</v>
      </c>
      <c r="C68" s="412"/>
      <c r="D68" s="114"/>
      <c r="E68" s="114"/>
      <c r="F68" s="114"/>
      <c r="G68" s="413"/>
      <c r="H68" s="412"/>
      <c r="I68" s="114"/>
      <c r="J68" s="114"/>
      <c r="K68" s="114"/>
      <c r="L68" s="413"/>
      <c r="M68" s="412"/>
      <c r="N68" s="114"/>
      <c r="O68" s="114"/>
      <c r="P68" s="114"/>
      <c r="Q68" s="413"/>
      <c r="R68" s="412"/>
      <c r="S68" s="114"/>
      <c r="T68" s="114"/>
      <c r="U68" s="114"/>
      <c r="V68" s="413"/>
      <c r="W68" s="412"/>
      <c r="X68" s="114"/>
      <c r="Y68" s="114"/>
      <c r="Z68" s="114"/>
      <c r="AA68" s="413"/>
      <c r="AB68" s="412"/>
      <c r="AC68" s="114"/>
      <c r="AD68" s="114"/>
      <c r="AE68" s="114"/>
      <c r="AF68" s="413"/>
      <c r="AG68" s="412"/>
      <c r="AH68" s="114"/>
      <c r="AI68" s="114"/>
      <c r="AJ68" s="114"/>
      <c r="AK68" s="413"/>
      <c r="AL68" s="412"/>
      <c r="AM68" s="114"/>
      <c r="AN68" s="114"/>
      <c r="AO68" s="114"/>
      <c r="AP68" s="413"/>
      <c r="AQ68" s="412"/>
      <c r="AR68" s="114"/>
      <c r="AS68" s="114"/>
      <c r="AT68" s="114"/>
      <c r="AU68" s="413"/>
      <c r="AV68" s="412"/>
      <c r="AW68" s="114"/>
      <c r="AX68" s="114"/>
      <c r="AY68" s="114"/>
      <c r="AZ68" s="413"/>
      <c r="BA68" s="412"/>
      <c r="BB68" s="114"/>
      <c r="BC68" s="114"/>
      <c r="BD68" s="114"/>
      <c r="BE68" s="413"/>
      <c r="BF68" s="412"/>
      <c r="BG68" s="114"/>
      <c r="BH68" s="114"/>
      <c r="BI68" s="114"/>
      <c r="BJ68" s="413"/>
      <c r="BK68" s="412"/>
      <c r="BL68" s="114"/>
      <c r="BM68" s="114"/>
      <c r="BN68" s="114"/>
      <c r="BO68" s="413"/>
      <c r="BP68" s="412"/>
      <c r="BQ68" s="114"/>
      <c r="BR68" s="114"/>
      <c r="BS68" s="114"/>
      <c r="BT68" s="413"/>
      <c r="BU68" s="412"/>
      <c r="BV68" s="114"/>
      <c r="BW68" s="114"/>
      <c r="BX68" s="114"/>
      <c r="BY68" s="413"/>
      <c r="BZ68" s="412"/>
      <c r="CA68" s="114"/>
      <c r="CB68" s="114"/>
      <c r="CC68" s="114"/>
      <c r="CD68" s="292"/>
      <c r="CE68" s="412"/>
      <c r="CF68" s="114"/>
      <c r="CG68" s="114"/>
      <c r="CH68" s="114"/>
      <c r="CI68" s="292"/>
      <c r="CJ68" s="412"/>
      <c r="CK68" s="114"/>
      <c r="CL68" s="114"/>
      <c r="CM68" s="114"/>
      <c r="CN68" s="292"/>
      <c r="CO68" s="412"/>
      <c r="CP68" s="114"/>
      <c r="CQ68" s="114"/>
      <c r="CR68" s="114"/>
      <c r="CS68" s="292"/>
      <c r="CT68" s="412"/>
      <c r="CU68" s="114"/>
      <c r="CV68" s="114"/>
      <c r="CW68" s="114"/>
      <c r="CX68" s="292"/>
      <c r="CY68" s="412"/>
      <c r="CZ68" s="114"/>
      <c r="DA68" s="114"/>
      <c r="DB68" s="114"/>
      <c r="DC68" s="292"/>
      <c r="DD68" s="412">
        <v>-0.06</v>
      </c>
      <c r="DE68" s="114">
        <v>-0.03</v>
      </c>
      <c r="DF68" s="114">
        <v>-0.01</v>
      </c>
      <c r="DG68" s="114">
        <v>0.06</v>
      </c>
      <c r="DH68" s="292"/>
      <c r="DI68" s="412">
        <v>0.02</v>
      </c>
      <c r="DJ68" s="114">
        <v>0.14000000000000001</v>
      </c>
      <c r="DK68" s="114">
        <v>0.45</v>
      </c>
      <c r="DL68" s="114">
        <v>0.41</v>
      </c>
      <c r="DM68" s="292"/>
      <c r="DN68" s="412">
        <v>0.53</v>
      </c>
      <c r="DO68" s="114">
        <v>0.39</v>
      </c>
      <c r="DP68" s="114">
        <v>0.12</v>
      </c>
      <c r="DQ68" s="114">
        <v>7.0000000000000007E-2</v>
      </c>
      <c r="DR68" s="292"/>
      <c r="DS68" s="412">
        <v>0.08</v>
      </c>
      <c r="DT68" s="114">
        <v>0.04</v>
      </c>
      <c r="DU68" s="114">
        <v>0.06</v>
      </c>
      <c r="DV68" s="114">
        <v>0.09</v>
      </c>
      <c r="DW68" s="292"/>
      <c r="DX68" s="412">
        <v>0.09</v>
      </c>
      <c r="DY68" s="114">
        <v>0.12</v>
      </c>
      <c r="DZ68" s="114">
        <v>0.13</v>
      </c>
      <c r="EA68" s="114">
        <v>0.11</v>
      </c>
      <c r="EB68" s="292"/>
      <c r="EC68" s="412">
        <v>0.04</v>
      </c>
      <c r="ED68" s="114">
        <v>0.03</v>
      </c>
      <c r="EE68" s="114">
        <v>0.02</v>
      </c>
      <c r="EF68" s="114">
        <v>0.06</v>
      </c>
      <c r="EG68" s="292"/>
      <c r="EH68" s="412">
        <v>7.0000000000000007E-2</v>
      </c>
      <c r="EI68" s="114">
        <v>0.13</v>
      </c>
      <c r="EJ68" s="114">
        <v>0.14000000000000001</v>
      </c>
      <c r="EK68" s="114">
        <v>0.14000000000000001</v>
      </c>
      <c r="EL68" s="292"/>
      <c r="EM68" s="412">
        <v>0.16</v>
      </c>
      <c r="EN68" s="114">
        <v>0.14000000000000001</v>
      </c>
      <c r="EO68" s="114">
        <v>0.05</v>
      </c>
      <c r="EP68" s="114">
        <v>0</v>
      </c>
      <c r="EQ68" s="292"/>
      <c r="ER68" s="445">
        <v>0.02</v>
      </c>
      <c r="ES68" s="114">
        <v>-0.06</v>
      </c>
      <c r="ET68" s="439">
        <v>0.01</v>
      </c>
      <c r="EU68" s="439">
        <v>0.05</v>
      </c>
      <c r="EV68" s="292"/>
      <c r="EW68" s="291"/>
      <c r="EX68" s="107"/>
      <c r="EY68" s="107"/>
      <c r="EZ68" s="107"/>
      <c r="FA68" s="292"/>
      <c r="FB68" s="291"/>
      <c r="FC68" s="107"/>
      <c r="FD68" s="107"/>
      <c r="FE68" s="107"/>
      <c r="FF68" s="292"/>
      <c r="FG68" s="291"/>
      <c r="FH68" s="107"/>
      <c r="FI68" s="107"/>
      <c r="FJ68" s="107"/>
      <c r="FK68" s="292"/>
      <c r="FL68" s="291"/>
      <c r="FM68" s="107"/>
      <c r="FN68" s="107"/>
      <c r="FO68" s="107"/>
      <c r="FP68" s="292"/>
      <c r="FQ68" s="291"/>
      <c r="FR68" s="107"/>
      <c r="FS68" s="107"/>
      <c r="FT68" s="107"/>
      <c r="FU68" s="292"/>
      <c r="FV68" s="291"/>
      <c r="FW68" s="107"/>
      <c r="FX68" s="107"/>
      <c r="FY68" s="107"/>
      <c r="FZ68" s="292"/>
      <c r="GA68" s="291"/>
      <c r="GB68" s="107"/>
      <c r="GC68" s="107"/>
      <c r="GD68" s="107"/>
      <c r="GE68" s="292"/>
      <c r="GF68" s="291"/>
      <c r="GG68" s="107"/>
      <c r="GH68" s="107"/>
      <c r="GI68" s="107"/>
      <c r="GJ68" s="292"/>
    </row>
    <row r="69" spans="1:192" ht="12.75" hidden="1" customHeight="1" outlineLevel="1">
      <c r="B69" s="727" t="s">
        <v>36</v>
      </c>
      <c r="C69" s="291"/>
      <c r="D69" s="107"/>
      <c r="E69" s="107"/>
      <c r="F69" s="107"/>
      <c r="G69" s="293"/>
      <c r="H69" s="291"/>
      <c r="I69" s="107"/>
      <c r="J69" s="107"/>
      <c r="K69" s="107"/>
      <c r="L69" s="293"/>
      <c r="M69" s="291"/>
      <c r="N69" s="107"/>
      <c r="O69" s="107"/>
      <c r="P69" s="107"/>
      <c r="Q69" s="293"/>
      <c r="R69" s="291"/>
      <c r="S69" s="107"/>
      <c r="T69" s="107"/>
      <c r="U69" s="107"/>
      <c r="V69" s="293"/>
      <c r="W69" s="291"/>
      <c r="X69" s="107"/>
      <c r="Y69" s="107"/>
      <c r="Z69" s="107"/>
      <c r="AA69" s="293"/>
      <c r="AB69" s="291"/>
      <c r="AC69" s="107"/>
      <c r="AD69" s="107"/>
      <c r="AE69" s="107"/>
      <c r="AF69" s="293"/>
      <c r="AG69" s="291"/>
      <c r="AH69" s="107"/>
      <c r="AI69" s="107"/>
      <c r="AJ69" s="107"/>
      <c r="AK69" s="293"/>
      <c r="AL69" s="291"/>
      <c r="AM69" s="107"/>
      <c r="AN69" s="107"/>
      <c r="AO69" s="107"/>
      <c r="AP69" s="293"/>
      <c r="AQ69" s="291"/>
      <c r="AR69" s="107"/>
      <c r="AS69" s="107"/>
      <c r="AT69" s="107"/>
      <c r="AU69" s="293"/>
      <c r="AV69" s="291"/>
      <c r="AW69" s="107"/>
      <c r="AX69" s="107"/>
      <c r="AY69" s="107"/>
      <c r="AZ69" s="293"/>
      <c r="BA69" s="291"/>
      <c r="BB69" s="107"/>
      <c r="BC69" s="107"/>
      <c r="BD69" s="107"/>
      <c r="BE69" s="293"/>
      <c r="BF69" s="291"/>
      <c r="BG69" s="107"/>
      <c r="BH69" s="107"/>
      <c r="BI69" s="107"/>
      <c r="BJ69" s="293"/>
      <c r="BK69" s="291"/>
      <c r="BL69" s="107"/>
      <c r="BM69" s="107"/>
      <c r="BN69" s="107"/>
      <c r="BO69" s="293"/>
      <c r="BP69" s="291"/>
      <c r="BQ69" s="107"/>
      <c r="BR69" s="107"/>
      <c r="BS69" s="107"/>
      <c r="BT69" s="293"/>
      <c r="BU69" s="291"/>
      <c r="BV69" s="107"/>
      <c r="BW69" s="107"/>
      <c r="BX69" s="107"/>
      <c r="BY69" s="293"/>
      <c r="BZ69" s="291"/>
      <c r="CA69" s="107"/>
      <c r="CB69" s="107"/>
      <c r="CC69" s="107"/>
      <c r="CD69" s="293"/>
      <c r="CE69" s="291"/>
      <c r="CF69" s="107"/>
      <c r="CG69" s="107"/>
      <c r="CH69" s="107"/>
      <c r="CI69" s="293"/>
      <c r="CJ69" s="291"/>
      <c r="CK69" s="107"/>
      <c r="CL69" s="107"/>
      <c r="CM69" s="107"/>
      <c r="CN69" s="293"/>
      <c r="CO69" s="291"/>
      <c r="CP69" s="107"/>
      <c r="CQ69" s="107"/>
      <c r="CR69" s="107"/>
      <c r="CS69" s="293"/>
      <c r="CT69" s="291"/>
      <c r="CU69" s="107"/>
      <c r="CV69" s="107"/>
      <c r="CW69" s="107"/>
      <c r="CX69" s="293"/>
      <c r="CY69" s="291" t="str">
        <f>IFERROR(CY66/CW66-1,"")</f>
      </c>
      <c r="CZ69" s="107">
        <f>IFERROR(CZ66/CY66-1,"--")</f>
      </c>
      <c r="DA69" s="107">
        <f>IFERROR(DA66/CZ66-1,"--")</f>
      </c>
      <c r="DB69" s="107">
        <f>IFERROR(DB66/DA66-1,"--")</f>
      </c>
      <c r="DC69" s="293"/>
      <c r="DD69" s="291">
        <f>IFERROR(DD66/DB66-1,"--")</f>
      </c>
      <c r="DE69" s="107">
        <f>IFERROR(DE66/DD66-1,"--")</f>
      </c>
      <c r="DF69" s="107">
        <f>IFERROR(DF66/DE66-1,"--")</f>
      </c>
      <c r="DG69" s="107">
        <f>IFERROR(DG66/DF66-1,"--")</f>
      </c>
      <c r="DH69" s="293"/>
      <c r="DI69" s="291">
        <f>IFERROR(DI66/DG66-1,"--")</f>
      </c>
      <c r="DJ69" s="107">
        <f>IFERROR(DJ66/DI66-1,"--")</f>
      </c>
      <c r="DK69" s="107">
        <f>IFERROR(DK66/DJ66-1,"--")</f>
      </c>
      <c r="DL69" s="107">
        <f>IFERROR(DL66/DK66-1,"--")</f>
      </c>
      <c r="DM69" s="293"/>
      <c r="DN69" s="291">
        <f>IFERROR(DN66/DL66-1,"--")</f>
      </c>
      <c r="DO69" s="107">
        <f>IFERROR(DO66/DN66-1,"--")</f>
      </c>
      <c r="DP69" s="107">
        <f>IFERROR(DP66/DO66-1,"--")</f>
      </c>
      <c r="DQ69" s="107">
        <f>IFERROR(DQ66/DP66-1,"--")</f>
      </c>
      <c r="DR69" s="293"/>
      <c r="DS69" s="291">
        <f>IFERROR(DS66/DQ66-1,"--")</f>
      </c>
      <c r="DT69" s="107">
        <f>IFERROR(DT66/DS66-1,"--")</f>
      </c>
      <c r="DU69" s="107">
        <f>IFERROR(DU66/DT66-1,"--")</f>
      </c>
      <c r="DV69" s="107">
        <f>IFERROR(DV66/DU66-1,"--")</f>
      </c>
      <c r="DW69" s="293"/>
      <c r="DX69" s="291">
        <f>IFERROR(DX66/DV66-1,"--")</f>
      </c>
      <c r="DY69" s="107">
        <f>IFERROR(DY66/DX66-1,"--")</f>
      </c>
      <c r="DZ69" s="107">
        <f>IFERROR(DZ66/DY66-1,"--")</f>
      </c>
      <c r="EA69" s="107">
        <f>IFERROR(EA66/DZ66-1,"--")</f>
      </c>
      <c r="EB69" s="293"/>
      <c r="EC69" s="291">
        <f>IFERROR(EC66/EA66-1,"--")</f>
      </c>
      <c r="ED69" s="107">
        <f>IFERROR(ED66/EC66-1,"--")</f>
      </c>
      <c r="EE69" s="107">
        <f>IFERROR(EE66/ED66-1,"--")</f>
      </c>
      <c r="EF69" s="107">
        <f>IFERROR(EF66/EE66-1,"--")</f>
      </c>
      <c r="EG69" s="293"/>
      <c r="EH69" s="291">
        <f>IFERROR(EH66/EF66-1,"--")</f>
      </c>
      <c r="EI69" s="107">
        <f>IFERROR(EI66/EH66-1,"--")</f>
      </c>
      <c r="EJ69" s="107">
        <f>IFERROR(EJ66/EI66-1,"--")</f>
      </c>
      <c r="EK69" s="107">
        <f>IFERROR(EK66/EJ66-1,"--")</f>
      </c>
      <c r="EL69" s="293"/>
      <c r="EM69" s="291">
        <f>IFERROR(EM66/EK66-1,"--")</f>
      </c>
      <c r="EN69" s="107">
        <f>IFERROR(EN66/EM66-1,"--")</f>
      </c>
      <c r="EO69" s="107">
        <f>IFERROR(EO66/EN66-1,"--")</f>
      </c>
      <c r="EP69" s="107">
        <f>IFERROR(EP66/EO66-1,"--")</f>
      </c>
      <c r="EQ69" s="293"/>
      <c r="ER69" s="291">
        <f>IFERROR(ER66/EP66-1,"--")</f>
      </c>
      <c r="ES69" s="107">
        <f>IFERROR(ES66/ER66-1,"--")</f>
      </c>
      <c r="ET69" s="107">
        <f>IFERROR(ET66/ES66-1,"--")</f>
      </c>
      <c r="EU69" s="468">
        <f>IFERROR(EU66/ET66-1,"--")</f>
      </c>
      <c r="EV69" s="293"/>
      <c r="EW69" s="291"/>
      <c r="EX69" s="107"/>
      <c r="EY69" s="107"/>
      <c r="EZ69" s="107"/>
      <c r="FA69" s="293"/>
      <c r="FB69" s="291"/>
      <c r="FC69" s="107"/>
      <c r="FD69" s="107"/>
      <c r="FE69" s="107"/>
      <c r="FF69" s="293"/>
      <c r="FG69" s="291"/>
      <c r="FH69" s="107"/>
      <c r="FI69" s="107"/>
      <c r="FJ69" s="107"/>
      <c r="FK69" s="293"/>
      <c r="FL69" s="291"/>
      <c r="FM69" s="107"/>
      <c r="FN69" s="107"/>
      <c r="FO69" s="107"/>
      <c r="FP69" s="293"/>
      <c r="FQ69" s="291"/>
      <c r="FR69" s="107"/>
      <c r="FS69" s="107"/>
      <c r="FT69" s="107"/>
      <c r="FU69" s="293"/>
      <c r="FV69" s="291"/>
      <c r="FW69" s="107"/>
      <c r="FX69" s="107"/>
      <c r="FY69" s="107"/>
      <c r="FZ69" s="293"/>
      <c r="GA69" s="291"/>
      <c r="GB69" s="107"/>
      <c r="GC69" s="107"/>
      <c r="GD69" s="107"/>
      <c r="GE69" s="293"/>
      <c r="GF69" s="291"/>
      <c r="GG69" s="107"/>
      <c r="GH69" s="107"/>
      <c r="GI69" s="107"/>
      <c r="GJ69" s="293"/>
    </row>
    <row r="70" spans="1:192" ht="12.75" hidden="1" customHeight="1" outlineLevel="1">
      <c r="B70" s="727" t="s">
        <v>255</v>
      </c>
      <c r="C70" s="291"/>
      <c r="D70" s="107"/>
      <c r="E70" s="107"/>
      <c r="F70" s="107"/>
      <c r="G70" s="293"/>
      <c r="H70" s="291"/>
      <c r="I70" s="107"/>
      <c r="J70" s="107"/>
      <c r="K70" s="107"/>
      <c r="L70" s="293"/>
      <c r="M70" s="291"/>
      <c r="N70" s="107"/>
      <c r="O70" s="107"/>
      <c r="P70" s="107"/>
      <c r="Q70" s="293"/>
      <c r="R70" s="291"/>
      <c r="S70" s="107"/>
      <c r="T70" s="107"/>
      <c r="U70" s="107"/>
      <c r="V70" s="293"/>
      <c r="W70" s="291"/>
      <c r="X70" s="107"/>
      <c r="Y70" s="107"/>
      <c r="Z70" s="107"/>
      <c r="AA70" s="293"/>
      <c r="AB70" s="291"/>
      <c r="AC70" s="107"/>
      <c r="AD70" s="107"/>
      <c r="AE70" s="107"/>
      <c r="AF70" s="293"/>
      <c r="AG70" s="291"/>
      <c r="AH70" s="107"/>
      <c r="AI70" s="107"/>
      <c r="AJ70" s="107"/>
      <c r="AK70" s="293"/>
      <c r="AL70" s="291"/>
      <c r="AM70" s="107"/>
      <c r="AN70" s="107"/>
      <c r="AO70" s="107"/>
      <c r="AP70" s="293"/>
      <c r="AQ70" s="291"/>
      <c r="AR70" s="107"/>
      <c r="AS70" s="107"/>
      <c r="AT70" s="107"/>
      <c r="AU70" s="293"/>
      <c r="AV70" s="291"/>
      <c r="AW70" s="107"/>
      <c r="AX70" s="107"/>
      <c r="AY70" s="107"/>
      <c r="AZ70" s="293"/>
      <c r="BA70" s="291"/>
      <c r="BB70" s="107"/>
      <c r="BC70" s="107"/>
      <c r="BD70" s="107"/>
      <c r="BE70" s="293"/>
      <c r="BF70" s="291"/>
      <c r="BG70" s="107"/>
      <c r="BH70" s="107"/>
      <c r="BI70" s="107"/>
      <c r="BJ70" s="293"/>
      <c r="BK70" s="291"/>
      <c r="BL70" s="107"/>
      <c r="BM70" s="107"/>
      <c r="BN70" s="107"/>
      <c r="BO70" s="293"/>
      <c r="BP70" s="291"/>
      <c r="BQ70" s="107"/>
      <c r="BR70" s="107"/>
      <c r="BS70" s="107"/>
      <c r="BT70" s="293"/>
      <c r="BU70" s="291"/>
      <c r="BV70" s="107"/>
      <c r="BW70" s="107"/>
      <c r="BX70" s="107"/>
      <c r="BY70" s="293"/>
      <c r="BZ70" s="291"/>
      <c r="CA70" s="107"/>
      <c r="CB70" s="107"/>
      <c r="CC70" s="107"/>
      <c r="CD70" s="293"/>
      <c r="CE70" s="291"/>
      <c r="CF70" s="107"/>
      <c r="CG70" s="107"/>
      <c r="CH70" s="107"/>
      <c r="CI70" s="293"/>
      <c r="CJ70" s="291"/>
      <c r="CK70" s="107"/>
      <c r="CL70" s="107"/>
      <c r="CM70" s="107"/>
      <c r="CN70" s="293"/>
      <c r="CO70" s="291"/>
      <c r="CP70" s="107"/>
      <c r="CQ70" s="107"/>
      <c r="CR70" s="107"/>
      <c r="CS70" s="293"/>
      <c r="CT70" s="291"/>
      <c r="CU70" s="107"/>
      <c r="CV70" s="107"/>
      <c r="CW70" s="107"/>
      <c r="CX70" s="293"/>
      <c r="CY70" s="447">
        <f t="shared" ref="CY70:EJ70" si="66">CY66-CT66</f>
      </c>
      <c r="CZ70" s="447">
        <f t="shared" si="66"/>
      </c>
      <c r="DA70" s="447">
        <f t="shared" si="66"/>
      </c>
      <c r="DB70" s="447">
        <f t="shared" si="66"/>
      </c>
      <c r="DC70" s="462">
        <f t="shared" si="66"/>
      </c>
      <c r="DD70" s="447">
        <f t="shared" si="66"/>
      </c>
      <c r="DE70" s="447">
        <f t="shared" si="66"/>
      </c>
      <c r="DF70" s="447">
        <f t="shared" si="66"/>
      </c>
      <c r="DG70" s="447">
        <f t="shared" si="66"/>
      </c>
      <c r="DH70" s="462">
        <f t="shared" si="66"/>
      </c>
      <c r="DI70" s="447">
        <f t="shared" si="66"/>
      </c>
      <c r="DJ70" s="447">
        <f t="shared" si="66"/>
      </c>
      <c r="DK70" s="447">
        <f t="shared" si="66"/>
      </c>
      <c r="DL70" s="447">
        <f t="shared" si="66"/>
      </c>
      <c r="DM70" s="462">
        <f t="shared" si="66"/>
      </c>
      <c r="DN70" s="447">
        <f t="shared" si="66"/>
      </c>
      <c r="DO70" s="447">
        <f t="shared" si="66"/>
      </c>
      <c r="DP70" s="447">
        <f t="shared" si="66"/>
      </c>
      <c r="DQ70" s="447">
        <f t="shared" si="66"/>
      </c>
      <c r="DR70" s="462">
        <f t="shared" si="66"/>
      </c>
      <c r="DS70" s="447">
        <f t="shared" si="66"/>
      </c>
      <c r="DT70" s="447">
        <f t="shared" si="66"/>
      </c>
      <c r="DU70" s="447">
        <f t="shared" si="66"/>
      </c>
      <c r="DV70" s="447">
        <f t="shared" si="66"/>
      </c>
      <c r="DW70" s="462">
        <f t="shared" si="66"/>
      </c>
      <c r="DX70" s="447">
        <f t="shared" si="66"/>
      </c>
      <c r="DY70" s="447">
        <f t="shared" si="66"/>
      </c>
      <c r="DZ70" s="447">
        <f t="shared" si="66"/>
      </c>
      <c r="EA70" s="447">
        <f t="shared" si="66"/>
      </c>
      <c r="EB70" s="462">
        <f t="shared" si="66"/>
      </c>
      <c r="EC70" s="447">
        <f t="shared" si="66"/>
      </c>
      <c r="ED70" s="447">
        <f t="shared" si="66"/>
      </c>
      <c r="EE70" s="447">
        <f t="shared" si="66"/>
      </c>
      <c r="EF70" s="447">
        <f t="shared" si="66"/>
      </c>
      <c r="EG70" s="462">
        <f t="shared" si="66"/>
      </c>
      <c r="EH70" s="447">
        <f t="shared" si="66"/>
      </c>
      <c r="EI70" s="447">
        <f t="shared" si="66"/>
      </c>
      <c r="EJ70" s="447">
        <f t="shared" si="66"/>
      </c>
      <c r="EK70" s="447">
        <f>EL70-EJ70-EI70-EH70</f>
      </c>
      <c r="EL70" s="494">
        <v>2000</v>
      </c>
      <c r="EM70" s="448">
        <v>568</v>
      </c>
      <c r="EN70" s="448">
        <v>554</v>
      </c>
      <c r="EO70" s="448">
        <v>213</v>
      </c>
      <c r="EP70" s="458">
        <f>EQ70-EO70-EN70-EM70</f>
      </c>
      <c r="EQ70" s="494">
        <v>1300</v>
      </c>
      <c r="ER70" s="448">
        <v>119</v>
      </c>
      <c r="ES70" s="496">
        <v>273</v>
      </c>
      <c r="ET70" s="815">
        <v>57</v>
      </c>
      <c r="EU70" s="458">
        <f>EV70-ET70-ES70-ER70</f>
      </c>
      <c r="EV70" s="494">
        <v>159</v>
      </c>
      <c r="EW70" s="291"/>
      <c r="EX70" s="107"/>
      <c r="EY70" s="107"/>
      <c r="EZ70" s="107"/>
      <c r="FA70" s="293"/>
      <c r="FB70" s="291"/>
      <c r="FC70" s="107"/>
      <c r="FD70" s="107"/>
      <c r="FE70" s="107"/>
      <c r="FF70" s="293"/>
      <c r="FG70" s="291"/>
      <c r="FH70" s="107"/>
      <c r="FI70" s="107"/>
      <c r="FJ70" s="107"/>
      <c r="FK70" s="293"/>
      <c r="FL70" s="291"/>
      <c r="FM70" s="107"/>
      <c r="FN70" s="107"/>
      <c r="FO70" s="107"/>
      <c r="FP70" s="293"/>
      <c r="FQ70" s="291"/>
      <c r="FR70" s="107"/>
      <c r="FS70" s="107"/>
      <c r="FT70" s="107"/>
      <c r="FU70" s="293"/>
      <c r="FV70" s="291"/>
      <c r="FW70" s="107"/>
      <c r="FX70" s="107"/>
      <c r="FY70" s="107"/>
      <c r="FZ70" s="293"/>
      <c r="GA70" s="291"/>
      <c r="GB70" s="107"/>
      <c r="GC70" s="107"/>
      <c r="GD70" s="107"/>
      <c r="GE70" s="293"/>
      <c r="GF70" s="291"/>
      <c r="GG70" s="107"/>
      <c r="GH70" s="107"/>
      <c r="GI70" s="107"/>
      <c r="GJ70" s="293"/>
    </row>
    <row r="71" spans="1:192" ht="12.75" hidden="1" customHeight="1" outlineLevel="1">
      <c r="B71" s="727"/>
      <c r="C71" s="291"/>
      <c r="D71" s="107"/>
      <c r="E71" s="107"/>
      <c r="F71" s="107"/>
      <c r="G71" s="293"/>
      <c r="H71" s="291"/>
      <c r="I71" s="107"/>
      <c r="J71" s="107"/>
      <c r="K71" s="107"/>
      <c r="L71" s="293"/>
      <c r="M71" s="291"/>
      <c r="N71" s="107"/>
      <c r="O71" s="107"/>
      <c r="P71" s="107"/>
      <c r="Q71" s="293"/>
      <c r="R71" s="291"/>
      <c r="S71" s="107"/>
      <c r="T71" s="107"/>
      <c r="U71" s="107"/>
      <c r="V71" s="293"/>
      <c r="W71" s="291"/>
      <c r="X71" s="107"/>
      <c r="Y71" s="107"/>
      <c r="Z71" s="107"/>
      <c r="AA71" s="293"/>
      <c r="AB71" s="291"/>
      <c r="AC71" s="107"/>
      <c r="AD71" s="107"/>
      <c r="AE71" s="107"/>
      <c r="AF71" s="293"/>
      <c r="AG71" s="291"/>
      <c r="AH71" s="107"/>
      <c r="AI71" s="107"/>
      <c r="AJ71" s="107"/>
      <c r="AK71" s="293"/>
      <c r="AL71" s="291"/>
      <c r="AM71" s="107"/>
      <c r="AN71" s="107"/>
      <c r="AO71" s="107"/>
      <c r="AP71" s="293"/>
      <c r="AQ71" s="291"/>
      <c r="AR71" s="107"/>
      <c r="AS71" s="107"/>
      <c r="AT71" s="107"/>
      <c r="AU71" s="293"/>
      <c r="AV71" s="291"/>
      <c r="AW71" s="107"/>
      <c r="AX71" s="107"/>
      <c r="AY71" s="107"/>
      <c r="AZ71" s="293"/>
      <c r="BA71" s="291"/>
      <c r="BB71" s="107"/>
      <c r="BC71" s="107"/>
      <c r="BD71" s="107"/>
      <c r="BE71" s="293"/>
      <c r="BF71" s="291"/>
      <c r="BG71" s="107"/>
      <c r="BH71" s="107"/>
      <c r="BI71" s="107"/>
      <c r="BJ71" s="293"/>
      <c r="BK71" s="291"/>
      <c r="BL71" s="107"/>
      <c r="BM71" s="107"/>
      <c r="BN71" s="107"/>
      <c r="BO71" s="293"/>
      <c r="BP71" s="291"/>
      <c r="BQ71" s="107"/>
      <c r="BR71" s="107"/>
      <c r="BS71" s="107"/>
      <c r="BT71" s="293"/>
      <c r="BU71" s="291"/>
      <c r="BV71" s="107"/>
      <c r="BW71" s="107"/>
      <c r="BX71" s="107"/>
      <c r="BY71" s="293"/>
      <c r="BZ71" s="291"/>
      <c r="CA71" s="107"/>
      <c r="CB71" s="107"/>
      <c r="CC71" s="107"/>
      <c r="CD71" s="293"/>
      <c r="CE71" s="291"/>
      <c r="CF71" s="107"/>
      <c r="CG71" s="107"/>
      <c r="CH71" s="107"/>
      <c r="CI71" s="293"/>
      <c r="CJ71" s="291"/>
      <c r="CK71" s="107"/>
      <c r="CL71" s="107"/>
      <c r="CM71" s="107"/>
      <c r="CN71" s="293"/>
      <c r="CO71" s="291"/>
      <c r="CP71" s="107"/>
      <c r="CQ71" s="107"/>
      <c r="CR71" s="107"/>
      <c r="CS71" s="293"/>
      <c r="CT71" s="291"/>
      <c r="CU71" s="107"/>
      <c r="CV71" s="107"/>
      <c r="CW71" s="107"/>
      <c r="CX71" s="293"/>
      <c r="CY71" s="291"/>
      <c r="CZ71" s="107"/>
      <c r="DA71" s="107"/>
      <c r="DB71" s="107"/>
      <c r="DC71" s="293"/>
      <c r="DD71" s="291"/>
      <c r="DE71" s="107"/>
      <c r="DF71" s="107"/>
      <c r="DG71" s="107"/>
      <c r="DH71" s="293"/>
      <c r="DI71" s="291"/>
      <c r="DJ71" s="107"/>
      <c r="DK71" s="107"/>
      <c r="DL71" s="107"/>
      <c r="DM71" s="293"/>
      <c r="DN71" s="291"/>
      <c r="DO71" s="107"/>
      <c r="DP71" s="107"/>
      <c r="DQ71" s="107"/>
      <c r="DR71" s="293"/>
      <c r="DS71" s="291"/>
      <c r="DT71" s="107"/>
      <c r="DU71" s="107"/>
      <c r="DV71" s="107"/>
      <c r="DW71" s="293"/>
      <c r="DX71" s="291"/>
      <c r="DY71" s="107"/>
      <c r="DZ71" s="107"/>
      <c r="EA71" s="107"/>
      <c r="EB71" s="293"/>
      <c r="EC71" s="291"/>
      <c r="ED71" s="107"/>
      <c r="EE71" s="107"/>
      <c r="EF71" s="107"/>
      <c r="EG71" s="293"/>
      <c r="EH71" s="291"/>
      <c r="EI71" s="107"/>
      <c r="EJ71" s="107"/>
      <c r="EK71" s="107"/>
      <c r="EL71" s="293"/>
      <c r="EM71" s="291"/>
      <c r="EN71" s="107"/>
      <c r="EO71" s="107"/>
      <c r="EP71" s="107"/>
      <c r="EQ71" s="293"/>
      <c r="ER71" s="291"/>
      <c r="ES71" s="107"/>
      <c r="ET71" s="107"/>
      <c r="EU71" s="107"/>
      <c r="EV71" s="293"/>
      <c r="EW71" s="291"/>
      <c r="EX71" s="107"/>
      <c r="EY71" s="107"/>
      <c r="EZ71" s="107"/>
      <c r="FA71" s="293"/>
      <c r="FB71" s="291"/>
      <c r="FC71" s="107"/>
      <c r="FD71" s="107"/>
      <c r="FE71" s="107"/>
      <c r="FF71" s="293"/>
      <c r="FG71" s="291"/>
      <c r="FH71" s="107"/>
      <c r="FI71" s="107"/>
      <c r="FJ71" s="107"/>
      <c r="FK71" s="293"/>
      <c r="FL71" s="291"/>
      <c r="FM71" s="107"/>
      <c r="FN71" s="107"/>
      <c r="FO71" s="107"/>
      <c r="FP71" s="293"/>
      <c r="FQ71" s="291"/>
      <c r="FR71" s="107"/>
      <c r="FS71" s="107"/>
      <c r="FT71" s="107"/>
      <c r="FU71" s="293"/>
      <c r="FV71" s="291"/>
      <c r="FW71" s="107"/>
      <c r="FX71" s="107"/>
      <c r="FY71" s="107"/>
      <c r="FZ71" s="293"/>
      <c r="GA71" s="291"/>
      <c r="GB71" s="107"/>
      <c r="GC71" s="107"/>
      <c r="GD71" s="107"/>
      <c r="GE71" s="293"/>
      <c r="GF71" s="291"/>
      <c r="GG71" s="107"/>
      <c r="GH71" s="107"/>
      <c r="GI71" s="107"/>
      <c r="GJ71" s="293"/>
    </row>
    <row r="72" spans="1:192" s="317" customFormat="1" ht="12.75" hidden="1" customHeight="1" outlineLevel="1">
      <c r="A72" s="280"/>
      <c r="B72" s="730" t="s">
        <v>1987</v>
      </c>
      <c r="C72" s="315"/>
      <c r="D72" s="315"/>
      <c r="E72" s="315"/>
      <c r="F72" s="315"/>
      <c r="G72" s="313"/>
      <c r="H72" s="315"/>
      <c r="I72" s="315"/>
      <c r="J72" s="315"/>
      <c r="K72" s="315"/>
      <c r="L72" s="313"/>
      <c r="M72" s="315"/>
      <c r="N72" s="315"/>
      <c r="O72" s="315"/>
      <c r="P72" s="315"/>
      <c r="Q72" s="313"/>
      <c r="R72" s="315"/>
      <c r="S72" s="315"/>
      <c r="T72" s="315"/>
      <c r="U72" s="315"/>
      <c r="V72" s="313"/>
      <c r="W72" s="315"/>
      <c r="X72" s="315"/>
      <c r="Y72" s="315"/>
      <c r="Z72" s="315"/>
      <c r="AA72" s="313"/>
      <c r="AB72" s="315"/>
      <c r="AC72" s="315"/>
      <c r="AD72" s="315"/>
      <c r="AE72" s="315"/>
      <c r="AF72" s="313"/>
      <c r="AG72" s="315"/>
      <c r="AH72" s="315"/>
      <c r="AI72" s="315"/>
      <c r="AJ72" s="315"/>
      <c r="AK72" s="313"/>
      <c r="AL72" s="315"/>
      <c r="AM72" s="315"/>
      <c r="AN72" s="315"/>
      <c r="AO72" s="315"/>
      <c r="AP72" s="313"/>
      <c r="AQ72" s="315"/>
      <c r="AR72" s="315"/>
      <c r="AS72" s="315"/>
      <c r="AT72" s="315"/>
      <c r="AU72" s="313"/>
      <c r="AV72" s="315"/>
      <c r="AW72" s="315"/>
      <c r="AX72" s="315"/>
      <c r="AY72" s="315"/>
      <c r="AZ72" s="313"/>
      <c r="BA72" s="315"/>
      <c r="BB72" s="315"/>
      <c r="BC72" s="315"/>
      <c r="BD72" s="315"/>
      <c r="BE72" s="313"/>
      <c r="BF72" s="315"/>
      <c r="BG72" s="315"/>
      <c r="BH72" s="315"/>
      <c r="BI72" s="315"/>
      <c r="BJ72" s="313"/>
      <c r="BK72" s="315"/>
      <c r="BL72" s="315"/>
      <c r="BM72" s="315"/>
      <c r="BN72" s="315"/>
      <c r="BO72" s="313"/>
      <c r="BP72" s="315"/>
      <c r="BQ72" s="315"/>
      <c r="BR72" s="315"/>
      <c r="BS72" s="315"/>
      <c r="BT72" s="313"/>
      <c r="BU72" s="315"/>
      <c r="BV72" s="315"/>
      <c r="BW72" s="315"/>
      <c r="BX72" s="315"/>
      <c r="BY72" s="313"/>
      <c r="BZ72" s="315"/>
      <c r="CA72" s="315"/>
      <c r="CB72" s="315"/>
      <c r="CC72" s="315"/>
      <c r="CD72" s="319"/>
      <c r="CE72" s="315"/>
      <c r="CF72" s="315"/>
      <c r="CG72" s="315"/>
      <c r="CH72" s="315"/>
      <c r="CI72" s="319"/>
      <c r="CJ72" s="315"/>
      <c r="CK72" s="315"/>
      <c r="CL72" s="315"/>
      <c r="CM72" s="315"/>
      <c r="CN72" s="319"/>
      <c r="CO72" s="315"/>
      <c r="CP72" s="315"/>
      <c r="CQ72" s="315"/>
      <c r="CR72" s="315"/>
      <c r="CS72" s="319"/>
      <c r="CT72" s="315"/>
      <c r="CU72" s="315"/>
      <c r="CV72" s="315"/>
      <c r="CW72" s="315"/>
      <c r="CX72" s="319"/>
      <c r="CY72" s="316">
        <v>3401</v>
      </c>
      <c r="CZ72" s="316">
        <v>3587</v>
      </c>
      <c r="DA72" s="316">
        <v>3204</v>
      </c>
      <c r="DB72" s="316">
        <v>3167</v>
      </c>
      <c r="DC72" s="319">
        <f>SUM(CY72:DB72)</f>
      </c>
      <c r="DD72" s="316">
        <v>2844</v>
      </c>
      <c r="DE72" s="316">
        <v>3086</v>
      </c>
      <c r="DF72" s="316">
        <v>2672</v>
      </c>
      <c r="DG72" s="316">
        <v>3154</v>
      </c>
      <c r="DH72" s="319">
        <f>SUM(DD72:DG72)</f>
      </c>
      <c r="DI72" s="1158">
        <v>2905</v>
      </c>
      <c r="DJ72" s="1158">
        <v>3053</v>
      </c>
      <c r="DK72" s="1158">
        <v>2540</v>
      </c>
      <c r="DL72" s="1158">
        <v>2891</v>
      </c>
      <c r="DM72" s="319">
        <f>SUM(DI72:DL72)</f>
      </c>
      <c r="DN72" s="316">
        <v>3006</v>
      </c>
      <c r="DO72" s="316">
        <v>3337</v>
      </c>
      <c r="DP72" s="316">
        <v>3115</v>
      </c>
      <c r="DQ72" s="316">
        <v>3466</v>
      </c>
      <c r="DR72" s="319">
        <f>SUM(DN72:DQ72)</f>
      </c>
      <c r="DS72" s="316">
        <v>3881</v>
      </c>
      <c r="DT72" s="316">
        <v>4015</v>
      </c>
      <c r="DU72" s="316">
        <v>3979</v>
      </c>
      <c r="DV72" s="316">
        <v>4344</v>
      </c>
      <c r="DW72" s="319">
        <f>SUM(DS72:DV72)</f>
      </c>
      <c r="DX72" s="316">
        <v>4782</v>
      </c>
      <c r="DY72" s="316">
        <v>5182</v>
      </c>
      <c r="DZ72" s="316">
        <v>4788</v>
      </c>
      <c r="EA72" s="316">
        <v>3972</v>
      </c>
      <c r="EB72" s="319">
        <f>SUM(DX72:EA72)</f>
      </c>
      <c r="EC72" s="316">
        <v>5706</v>
      </c>
      <c r="ED72" s="316">
        <v>6181</v>
      </c>
      <c r="EE72" s="316">
        <v>6029</v>
      </c>
      <c r="EF72" s="316">
        <v>6435</v>
      </c>
      <c r="EG72" s="319">
        <f>SUM(EC72:EF72)</f>
      </c>
      <c r="EH72" s="316">
        <v>7581</v>
      </c>
      <c r="EI72" s="316">
        <v>7688</v>
      </c>
      <c r="EJ72" s="316">
        <v>7184</v>
      </c>
      <c r="EK72" s="316">
        <v>7234</v>
      </c>
      <c r="EL72" s="319">
        <f>SUM(EH72:EK72)</f>
      </c>
      <c r="EM72" s="316">
        <v>8323</v>
      </c>
      <c r="EN72" s="316">
        <v>8175</v>
      </c>
      <c r="EO72" s="316">
        <v>8639</v>
      </c>
      <c r="EP72" s="316">
        <v>9052</v>
      </c>
      <c r="EQ72" s="319">
        <f>SUM(EM72:EP72)</f>
      </c>
      <c r="ER72" s="316">
        <v>9970</v>
      </c>
      <c r="ES72" s="1158">
        <v>10284</v>
      </c>
      <c r="ET72" s="1158">
        <v>10143</v>
      </c>
      <c r="EU72" s="1158">
        <v>10143</v>
      </c>
      <c r="EV72" s="319">
        <f>SUM(ER72:EU72)</f>
      </c>
      <c r="EW72" s="315"/>
      <c r="EX72" s="315"/>
      <c r="EY72" s="315"/>
      <c r="EZ72" s="315"/>
      <c r="FA72" s="313"/>
      <c r="FB72" s="315"/>
      <c r="FC72" s="315"/>
      <c r="FD72" s="315"/>
      <c r="FE72" s="315"/>
      <c r="FF72" s="313"/>
      <c r="FG72" s="315"/>
      <c r="FH72" s="315"/>
      <c r="FI72" s="315"/>
      <c r="FJ72" s="315"/>
      <c r="FK72" s="313"/>
      <c r="FL72" s="315"/>
      <c r="FM72" s="315"/>
      <c r="FN72" s="315"/>
      <c r="FO72" s="315"/>
      <c r="FP72" s="313"/>
      <c r="FQ72" s="315"/>
      <c r="FR72" s="315"/>
      <c r="FS72" s="315"/>
      <c r="FT72" s="315"/>
      <c r="FU72" s="313"/>
      <c r="FV72" s="315"/>
      <c r="FW72" s="315"/>
      <c r="FX72" s="315"/>
      <c r="FY72" s="315"/>
      <c r="FZ72" s="313"/>
      <c r="GA72" s="315"/>
      <c r="GB72" s="315"/>
      <c r="GC72" s="315"/>
      <c r="GD72" s="315"/>
      <c r="GE72" s="313"/>
      <c r="GF72" s="315"/>
      <c r="GG72" s="315"/>
      <c r="GH72" s="315"/>
      <c r="GI72" s="315"/>
      <c r="GJ72" s="313"/>
    </row>
    <row r="73" spans="1:192" ht="12.75" hidden="1" customHeight="1" outlineLevel="1">
      <c r="B73" s="727" t="s">
        <v>34</v>
      </c>
      <c r="C73" s="291"/>
      <c r="D73" s="107"/>
      <c r="E73" s="107"/>
      <c r="F73" s="107"/>
      <c r="G73" s="292"/>
      <c r="H73" s="291"/>
      <c r="I73" s="107"/>
      <c r="J73" s="107"/>
      <c r="K73" s="107"/>
      <c r="L73" s="292"/>
      <c r="M73" s="291"/>
      <c r="N73" s="107"/>
      <c r="O73" s="107"/>
      <c r="P73" s="107"/>
      <c r="Q73" s="292"/>
      <c r="R73" s="291"/>
      <c r="S73" s="107"/>
      <c r="T73" s="107"/>
      <c r="U73" s="107"/>
      <c r="V73" s="292"/>
      <c r="W73" s="291"/>
      <c r="X73" s="107"/>
      <c r="Y73" s="107"/>
      <c r="Z73" s="107"/>
      <c r="AA73" s="292"/>
      <c r="AB73" s="291"/>
      <c r="AC73" s="107"/>
      <c r="AD73" s="107"/>
      <c r="AE73" s="107"/>
      <c r="AF73" s="292"/>
      <c r="AG73" s="291"/>
      <c r="AH73" s="107"/>
      <c r="AI73" s="107"/>
      <c r="AJ73" s="107"/>
      <c r="AK73" s="292"/>
      <c r="AL73" s="291"/>
      <c r="AM73" s="107"/>
      <c r="AN73" s="107"/>
      <c r="AO73" s="107"/>
      <c r="AP73" s="292"/>
      <c r="AQ73" s="291"/>
      <c r="AR73" s="107"/>
      <c r="AS73" s="107"/>
      <c r="AT73" s="107"/>
      <c r="AU73" s="292"/>
      <c r="AV73" s="291"/>
      <c r="AW73" s="107"/>
      <c r="AX73" s="107"/>
      <c r="AY73" s="107"/>
      <c r="AZ73" s="292"/>
      <c r="BA73" s="291"/>
      <c r="BB73" s="107"/>
      <c r="BC73" s="107"/>
      <c r="BD73" s="107"/>
      <c r="BE73" s="292"/>
      <c r="BF73" s="291"/>
      <c r="BG73" s="107"/>
      <c r="BH73" s="107"/>
      <c r="BI73" s="107"/>
      <c r="BJ73" s="292"/>
      <c r="BK73" s="291"/>
      <c r="BL73" s="107"/>
      <c r="BM73" s="107"/>
      <c r="BN73" s="107"/>
      <c r="BO73" s="292"/>
      <c r="BP73" s="291"/>
      <c r="BQ73" s="107"/>
      <c r="BR73" s="107"/>
      <c r="BS73" s="107"/>
      <c r="BT73" s="292"/>
      <c r="BU73" s="291"/>
      <c r="BV73" s="107"/>
      <c r="BW73" s="107"/>
      <c r="BX73" s="107"/>
      <c r="BY73" s="292"/>
      <c r="BZ73" s="291"/>
      <c r="CA73" s="107"/>
      <c r="CB73" s="107"/>
      <c r="CC73" s="107"/>
      <c r="CD73" s="292"/>
      <c r="CE73" s="291"/>
      <c r="CF73" s="107"/>
      <c r="CG73" s="107"/>
      <c r="CH73" s="107"/>
      <c r="CI73" s="292"/>
      <c r="CJ73" s="291"/>
      <c r="CK73" s="107"/>
      <c r="CL73" s="107"/>
      <c r="CM73" s="107"/>
      <c r="CN73" s="292"/>
      <c r="CO73" s="291"/>
      <c r="CP73" s="107"/>
      <c r="CQ73" s="107"/>
      <c r="CR73" s="107"/>
      <c r="CS73" s="292"/>
      <c r="CT73" s="291"/>
      <c r="CU73" s="107"/>
      <c r="CV73" s="107"/>
      <c r="CW73" s="107"/>
      <c r="CX73" s="292"/>
      <c r="CY73" s="291" t="str">
        <f>IFERROR(CY72/CT72-1,"")</f>
      </c>
      <c r="CZ73" s="107" t="str">
        <f>IFERROR(CZ72/CU72-1,"")</f>
      </c>
      <c r="DA73" s="107" t="str">
        <f>IFERROR(DA72/CV72-1,"")</f>
      </c>
      <c r="DB73" s="107" t="str">
        <f>IFERROR(DB72/CW72-1,"")</f>
      </c>
      <c r="DC73" s="292" t="str">
        <f>IFERROR(DC72/CX72-1,"")</f>
      </c>
      <c r="DD73" s="1360">
        <f t="shared" ref="DD73:EV73" si="67">IFERROR(DD72/CY72-1,"--")</f>
      </c>
      <c r="DE73" s="1361">
        <f t="shared" si="67"/>
      </c>
      <c r="DF73" s="1361">
        <f t="shared" si="67"/>
      </c>
      <c r="DG73" s="1361">
        <f t="shared" si="67"/>
      </c>
      <c r="DH73" s="292">
        <f t="shared" si="67"/>
      </c>
      <c r="DI73" s="349">
        <f t="shared" si="67"/>
      </c>
      <c r="DJ73" s="468">
        <f t="shared" si="67"/>
      </c>
      <c r="DK73" s="468">
        <f t="shared" si="67"/>
      </c>
      <c r="DL73" s="468">
        <f t="shared" si="67"/>
      </c>
      <c r="DM73" s="292">
        <f t="shared" si="67"/>
      </c>
      <c r="DN73" s="291">
        <f t="shared" si="67"/>
      </c>
      <c r="DO73" s="107">
        <f t="shared" si="67"/>
      </c>
      <c r="DP73" s="107">
        <f t="shared" si="67"/>
      </c>
      <c r="DQ73" s="107">
        <f t="shared" si="67"/>
      </c>
      <c r="DR73" s="292">
        <f t="shared" si="67"/>
      </c>
      <c r="DS73" s="291">
        <f t="shared" si="67"/>
      </c>
      <c r="DT73" s="107">
        <f t="shared" si="67"/>
      </c>
      <c r="DU73" s="107">
        <f t="shared" si="67"/>
      </c>
      <c r="DV73" s="107">
        <f t="shared" si="67"/>
      </c>
      <c r="DW73" s="292">
        <f t="shared" si="67"/>
      </c>
      <c r="DX73" s="291">
        <f t="shared" si="67"/>
      </c>
      <c r="DY73" s="107">
        <f t="shared" si="67"/>
      </c>
      <c r="DZ73" s="107">
        <f t="shared" si="67"/>
      </c>
      <c r="EA73" s="107">
        <f t="shared" si="67"/>
      </c>
      <c r="EB73" s="292">
        <f t="shared" si="67"/>
      </c>
      <c r="EC73" s="291">
        <f t="shared" si="67"/>
      </c>
      <c r="ED73" s="107">
        <f t="shared" si="67"/>
      </c>
      <c r="EE73" s="107">
        <f t="shared" si="67"/>
      </c>
      <c r="EF73" s="107">
        <f t="shared" si="67"/>
      </c>
      <c r="EG73" s="292">
        <f t="shared" si="67"/>
      </c>
      <c r="EH73" s="291">
        <f t="shared" si="67"/>
      </c>
      <c r="EI73" s="107">
        <f t="shared" si="67"/>
      </c>
      <c r="EJ73" s="107">
        <f t="shared" si="67"/>
      </c>
      <c r="EK73" s="107">
        <f t="shared" si="67"/>
      </c>
      <c r="EL73" s="413">
        <v>0.22</v>
      </c>
      <c r="EM73" s="291">
        <f t="shared" si="67"/>
      </c>
      <c r="EN73" s="107">
        <f t="shared" si="67"/>
      </c>
      <c r="EO73" s="107">
        <f t="shared" si="67"/>
      </c>
      <c r="EP73" s="107">
        <f t="shared" si="67"/>
      </c>
      <c r="EQ73" s="292">
        <f t="shared" si="67"/>
      </c>
      <c r="ER73" s="291">
        <f t="shared" si="67"/>
      </c>
      <c r="ES73" s="291">
        <f t="shared" si="67"/>
      </c>
      <c r="ET73" s="107">
        <f t="shared" si="67"/>
      </c>
      <c r="EU73" s="107">
        <f t="shared" si="67"/>
      </c>
      <c r="EV73" s="292">
        <f t="shared" si="67"/>
      </c>
      <c r="EW73" s="291"/>
      <c r="EX73" s="107"/>
      <c r="EY73" s="107"/>
      <c r="EZ73" s="107"/>
      <c r="FA73" s="292"/>
      <c r="FB73" s="291"/>
      <c r="FC73" s="107"/>
      <c r="FD73" s="107"/>
      <c r="FE73" s="107"/>
      <c r="FF73" s="292"/>
      <c r="FG73" s="291"/>
      <c r="FH73" s="107"/>
      <c r="FI73" s="107"/>
      <c r="FJ73" s="107"/>
      <c r="FK73" s="292"/>
      <c r="FL73" s="291"/>
      <c r="FM73" s="107"/>
      <c r="FN73" s="107"/>
      <c r="FO73" s="107"/>
      <c r="FP73" s="292"/>
      <c r="FQ73" s="291"/>
      <c r="FR73" s="107"/>
      <c r="FS73" s="107"/>
      <c r="FT73" s="107"/>
      <c r="FU73" s="292"/>
      <c r="FV73" s="291"/>
      <c r="FW73" s="107"/>
      <c r="FX73" s="107"/>
      <c r="FY73" s="107"/>
      <c r="FZ73" s="292"/>
      <c r="GA73" s="291"/>
      <c r="GB73" s="107"/>
      <c r="GC73" s="107"/>
      <c r="GD73" s="107"/>
      <c r="GE73" s="292"/>
      <c r="GF73" s="291"/>
      <c r="GG73" s="107"/>
      <c r="GH73" s="107"/>
      <c r="GI73" s="107"/>
      <c r="GJ73" s="292"/>
    </row>
    <row r="74" spans="1:192" ht="12.75" hidden="1" customHeight="1" outlineLevel="1">
      <c r="B74" s="727" t="s">
        <v>197</v>
      </c>
      <c r="C74" s="412"/>
      <c r="D74" s="114"/>
      <c r="E74" s="114"/>
      <c r="F74" s="114"/>
      <c r="G74" s="413"/>
      <c r="H74" s="412"/>
      <c r="I74" s="114"/>
      <c r="J74" s="114"/>
      <c r="K74" s="114"/>
      <c r="L74" s="413"/>
      <c r="M74" s="412"/>
      <c r="N74" s="114"/>
      <c r="O74" s="114"/>
      <c r="P74" s="114"/>
      <c r="Q74" s="413"/>
      <c r="R74" s="412"/>
      <c r="S74" s="114"/>
      <c r="T74" s="114"/>
      <c r="U74" s="114"/>
      <c r="V74" s="413"/>
      <c r="W74" s="412"/>
      <c r="X74" s="114"/>
      <c r="Y74" s="114"/>
      <c r="Z74" s="114"/>
      <c r="AA74" s="413"/>
      <c r="AB74" s="412"/>
      <c r="AC74" s="114"/>
      <c r="AD74" s="114"/>
      <c r="AE74" s="114"/>
      <c r="AF74" s="413"/>
      <c r="AG74" s="412"/>
      <c r="AH74" s="114"/>
      <c r="AI74" s="114"/>
      <c r="AJ74" s="114"/>
      <c r="AK74" s="413"/>
      <c r="AL74" s="412"/>
      <c r="AM74" s="114"/>
      <c r="AN74" s="114"/>
      <c r="AO74" s="114"/>
      <c r="AP74" s="413"/>
      <c r="AQ74" s="412"/>
      <c r="AR74" s="114"/>
      <c r="AS74" s="114"/>
      <c r="AT74" s="114"/>
      <c r="AU74" s="413"/>
      <c r="AV74" s="412"/>
      <c r="AW74" s="114"/>
      <c r="AX74" s="114"/>
      <c r="AY74" s="114"/>
      <c r="AZ74" s="413"/>
      <c r="BA74" s="412"/>
      <c r="BB74" s="114"/>
      <c r="BC74" s="114"/>
      <c r="BD74" s="114"/>
      <c r="BE74" s="413"/>
      <c r="BF74" s="412"/>
      <c r="BG74" s="114"/>
      <c r="BH74" s="114"/>
      <c r="BI74" s="114"/>
      <c r="BJ74" s="413"/>
      <c r="BK74" s="412"/>
      <c r="BL74" s="114"/>
      <c r="BM74" s="114"/>
      <c r="BN74" s="114"/>
      <c r="BO74" s="413"/>
      <c r="BP74" s="412"/>
      <c r="BQ74" s="114"/>
      <c r="BR74" s="114"/>
      <c r="BS74" s="114"/>
      <c r="BT74" s="413"/>
      <c r="BU74" s="412"/>
      <c r="BV74" s="114"/>
      <c r="BW74" s="114"/>
      <c r="BX74" s="114"/>
      <c r="BY74" s="413"/>
      <c r="BZ74" s="412"/>
      <c r="CA74" s="114"/>
      <c r="CB74" s="114"/>
      <c r="CC74" s="114"/>
      <c r="CD74" s="292"/>
      <c r="CE74" s="412"/>
      <c r="CF74" s="114"/>
      <c r="CG74" s="114"/>
      <c r="CH74" s="114"/>
      <c r="CI74" s="292"/>
      <c r="CJ74" s="412"/>
      <c r="CK74" s="114"/>
      <c r="CL74" s="114"/>
      <c r="CM74" s="114"/>
      <c r="CN74" s="292"/>
      <c r="CO74" s="412"/>
      <c r="CP74" s="114"/>
      <c r="CQ74" s="114"/>
      <c r="CR74" s="114"/>
      <c r="CS74" s="292"/>
      <c r="CT74" s="412"/>
      <c r="CU74" s="114"/>
      <c r="CV74" s="114"/>
      <c r="CW74" s="114"/>
      <c r="CX74" s="292"/>
      <c r="CY74" s="412"/>
      <c r="CZ74" s="114"/>
      <c r="DA74" s="114"/>
      <c r="DB74" s="114"/>
      <c r="DC74" s="292"/>
      <c r="DD74" s="412">
        <v>-7.0000000000000007E-2</v>
      </c>
      <c r="DE74" s="114">
        <v>-0.08</v>
      </c>
      <c r="DF74" s="114">
        <v>-7.0000000000000007E-2</v>
      </c>
      <c r="DG74" s="114">
        <v>-0.05</v>
      </c>
      <c r="DH74" s="292"/>
      <c r="DI74" s="412">
        <v>0.02</v>
      </c>
      <c r="DJ74" s="114">
        <v>0.01</v>
      </c>
      <c r="DK74" s="114">
        <v>-0.04</v>
      </c>
      <c r="DL74" s="114">
        <v>-0.05</v>
      </c>
      <c r="DM74" s="292"/>
      <c r="DN74" s="412">
        <v>0.04</v>
      </c>
      <c r="DO74" s="114">
        <v>0.1</v>
      </c>
      <c r="DP74" s="114">
        <v>0.19</v>
      </c>
      <c r="DQ74" s="114">
        <v>0.13</v>
      </c>
      <c r="DR74" s="292"/>
      <c r="DS74" s="412">
        <v>0.27</v>
      </c>
      <c r="DT74" s="114">
        <v>0.19</v>
      </c>
      <c r="DU74" s="114">
        <v>0.3</v>
      </c>
      <c r="DV74" s="114">
        <v>0.31</v>
      </c>
      <c r="DW74" s="292"/>
      <c r="DX74" s="412">
        <v>0.27</v>
      </c>
      <c r="DY74" s="114">
        <v>0.33</v>
      </c>
      <c r="DZ74" s="114">
        <v>0.23</v>
      </c>
      <c r="EA74" s="114">
        <v>-0.05</v>
      </c>
      <c r="EB74" s="292"/>
      <c r="EC74" s="412">
        <v>0.19</v>
      </c>
      <c r="ED74" s="114">
        <v>0.17</v>
      </c>
      <c r="EE74" s="114">
        <v>0.2</v>
      </c>
      <c r="EF74" s="114">
        <v>0.53</v>
      </c>
      <c r="EG74" s="292"/>
      <c r="EH74" s="412">
        <v>0.28999999999999998</v>
      </c>
      <c r="EI74" s="114">
        <v>0.24</v>
      </c>
      <c r="EJ74" s="114">
        <v>0.23</v>
      </c>
      <c r="EK74" s="114">
        <v>0.19</v>
      </c>
      <c r="EL74" s="292"/>
      <c r="EM74" s="412">
        <v>0.19</v>
      </c>
      <c r="EN74" s="114">
        <v>0.17</v>
      </c>
      <c r="EO74" s="439">
        <v>0.27</v>
      </c>
      <c r="EP74" s="114">
        <v>0.28999999999999998</v>
      </c>
      <c r="EQ74" s="292"/>
      <c r="ER74" s="412">
        <v>0.19</v>
      </c>
      <c r="ES74" s="114">
        <v>0.24</v>
      </c>
      <c r="ET74" s="439">
        <v>0.16</v>
      </c>
      <c r="EU74" s="439">
        <v>0.13</v>
      </c>
      <c r="EV74" s="292"/>
      <c r="EW74" s="291"/>
      <c r="EX74" s="107"/>
      <c r="EY74" s="107"/>
      <c r="EZ74" s="107"/>
      <c r="FA74" s="292"/>
      <c r="FB74" s="291"/>
      <c r="FC74" s="107"/>
      <c r="FD74" s="107"/>
      <c r="FE74" s="107"/>
      <c r="FF74" s="292"/>
      <c r="FG74" s="291"/>
      <c r="FH74" s="107"/>
      <c r="FI74" s="107"/>
      <c r="FJ74" s="107"/>
      <c r="FK74" s="292"/>
      <c r="FL74" s="291"/>
      <c r="FM74" s="107"/>
      <c r="FN74" s="107"/>
      <c r="FO74" s="107"/>
      <c r="FP74" s="292"/>
      <c r="FQ74" s="291"/>
      <c r="FR74" s="107"/>
      <c r="FS74" s="107"/>
      <c r="FT74" s="107"/>
      <c r="FU74" s="292"/>
      <c r="FV74" s="291"/>
      <c r="FW74" s="107"/>
      <c r="FX74" s="107"/>
      <c r="FY74" s="107"/>
      <c r="FZ74" s="292"/>
      <c r="GA74" s="291"/>
      <c r="GB74" s="107"/>
      <c r="GC74" s="107"/>
      <c r="GD74" s="107"/>
      <c r="GE74" s="292"/>
      <c r="GF74" s="291"/>
      <c r="GG74" s="107"/>
      <c r="GH74" s="107"/>
      <c r="GI74" s="107"/>
      <c r="GJ74" s="292"/>
    </row>
    <row r="75" spans="1:192" ht="12.75" hidden="1" customHeight="1" outlineLevel="1">
      <c r="B75" s="727" t="s">
        <v>36</v>
      </c>
      <c r="C75" s="291"/>
      <c r="D75" s="107"/>
      <c r="E75" s="107"/>
      <c r="F75" s="107"/>
      <c r="G75" s="293"/>
      <c r="H75" s="291"/>
      <c r="I75" s="107"/>
      <c r="J75" s="107"/>
      <c r="K75" s="107"/>
      <c r="L75" s="293"/>
      <c r="M75" s="291"/>
      <c r="N75" s="107"/>
      <c r="O75" s="107"/>
      <c r="P75" s="107"/>
      <c r="Q75" s="293"/>
      <c r="R75" s="291"/>
      <c r="S75" s="107"/>
      <c r="T75" s="107"/>
      <c r="U75" s="107"/>
      <c r="V75" s="293"/>
      <c r="W75" s="291"/>
      <c r="X75" s="107"/>
      <c r="Y75" s="107"/>
      <c r="Z75" s="107"/>
      <c r="AA75" s="293"/>
      <c r="AB75" s="291"/>
      <c r="AC75" s="107"/>
      <c r="AD75" s="107"/>
      <c r="AE75" s="107"/>
      <c r="AF75" s="293"/>
      <c r="AG75" s="291"/>
      <c r="AH75" s="107"/>
      <c r="AI75" s="107"/>
      <c r="AJ75" s="107"/>
      <c r="AK75" s="293"/>
      <c r="AL75" s="291"/>
      <c r="AM75" s="107"/>
      <c r="AN75" s="107"/>
      <c r="AO75" s="107"/>
      <c r="AP75" s="293"/>
      <c r="AQ75" s="291"/>
      <c r="AR75" s="107"/>
      <c r="AS75" s="107"/>
      <c r="AT75" s="107"/>
      <c r="AU75" s="293"/>
      <c r="AV75" s="291"/>
      <c r="AW75" s="107"/>
      <c r="AX75" s="107"/>
      <c r="AY75" s="107"/>
      <c r="AZ75" s="293"/>
      <c r="BA75" s="291"/>
      <c r="BB75" s="107"/>
      <c r="BC75" s="107"/>
      <c r="BD75" s="107"/>
      <c r="BE75" s="293"/>
      <c r="BF75" s="291"/>
      <c r="BG75" s="107"/>
      <c r="BH75" s="107"/>
      <c r="BI75" s="107"/>
      <c r="BJ75" s="293"/>
      <c r="BK75" s="291"/>
      <c r="BL75" s="107"/>
      <c r="BM75" s="107"/>
      <c r="BN75" s="107"/>
      <c r="BO75" s="293"/>
      <c r="BP75" s="291"/>
      <c r="BQ75" s="107"/>
      <c r="BR75" s="107"/>
      <c r="BS75" s="107"/>
      <c r="BT75" s="293"/>
      <c r="BU75" s="291"/>
      <c r="BV75" s="107"/>
      <c r="BW75" s="107"/>
      <c r="BX75" s="107"/>
      <c r="BY75" s="293"/>
      <c r="BZ75" s="291"/>
      <c r="CA75" s="107"/>
      <c r="CB75" s="107"/>
      <c r="CC75" s="107"/>
      <c r="CD75" s="293"/>
      <c r="CE75" s="291"/>
      <c r="CF75" s="107"/>
      <c r="CG75" s="107"/>
      <c r="CH75" s="107"/>
      <c r="CI75" s="293"/>
      <c r="CJ75" s="291"/>
      <c r="CK75" s="107"/>
      <c r="CL75" s="107"/>
      <c r="CM75" s="107"/>
      <c r="CN75" s="293"/>
      <c r="CO75" s="291"/>
      <c r="CP75" s="107"/>
      <c r="CQ75" s="107"/>
      <c r="CR75" s="107"/>
      <c r="CS75" s="293"/>
      <c r="CT75" s="291"/>
      <c r="CU75" s="107"/>
      <c r="CV75" s="107"/>
      <c r="CW75" s="107"/>
      <c r="CX75" s="293"/>
      <c r="CY75" s="291" t="str">
        <f>IFERROR(CY72/CW72-1,"")</f>
      </c>
      <c r="CZ75" s="107">
        <f>IFERROR(CZ72/CY72-1,"--")</f>
      </c>
      <c r="DA75" s="107">
        <f>IFERROR(DA72/CZ72-1,"--")</f>
      </c>
      <c r="DB75" s="107">
        <f>IFERROR(DB72/DA72-1,"--")</f>
      </c>
      <c r="DC75" s="293"/>
      <c r="DD75" s="291">
        <f>IFERROR(DD72/DB72-1,"--")</f>
      </c>
      <c r="DE75" s="107">
        <f>IFERROR(DE72/DD72-1,"--")</f>
      </c>
      <c r="DF75" s="107">
        <f>IFERROR(DF72/DE72-1,"--")</f>
      </c>
      <c r="DG75" s="107">
        <f>IFERROR(DG72/DF72-1,"--")</f>
      </c>
      <c r="DH75" s="293"/>
      <c r="DI75" s="291">
        <f>IFERROR(DI72/DG72-1,"--")</f>
      </c>
      <c r="DJ75" s="107">
        <f>IFERROR(DJ72/DI72-1,"--")</f>
      </c>
      <c r="DK75" s="107">
        <f>IFERROR(DK72/DJ72-1,"--")</f>
      </c>
      <c r="DL75" s="107">
        <f>IFERROR(DL72/DK72-1,"--")</f>
      </c>
      <c r="DM75" s="293"/>
      <c r="DN75" s="291">
        <f>IFERROR(DN72/DL72-1,"--")</f>
      </c>
      <c r="DO75" s="107">
        <f>IFERROR(DO72/DN72-1,"--")</f>
      </c>
      <c r="DP75" s="107">
        <f>IFERROR(DP72/DO72-1,"--")</f>
      </c>
      <c r="DQ75" s="107">
        <f>IFERROR(DQ72/DP72-1,"--")</f>
      </c>
      <c r="DR75" s="293"/>
      <c r="DS75" s="291">
        <f>IFERROR(DS72/DQ72-1,"--")</f>
      </c>
      <c r="DT75" s="107">
        <f>IFERROR(DT72/DS72-1,"--")</f>
      </c>
      <c r="DU75" s="107">
        <f>IFERROR(DU72/DT72-1,"--")</f>
      </c>
      <c r="DV75" s="107">
        <f>IFERROR(DV72/DU72-1,"--")</f>
      </c>
      <c r="DW75" s="293"/>
      <c r="DX75" s="291">
        <f>IFERROR(DX72/DV72-1,"--")</f>
      </c>
      <c r="DY75" s="107">
        <f>IFERROR(DY72/DX72-1,"--")</f>
      </c>
      <c r="DZ75" s="107">
        <f>IFERROR(DZ72/DY72-1,"--")</f>
      </c>
      <c r="EA75" s="107">
        <f>IFERROR(EA72/DZ72-1,"--")</f>
      </c>
      <c r="EB75" s="293"/>
      <c r="EC75" s="291">
        <f>IFERROR(EC72/EA72-1,"--")</f>
      </c>
      <c r="ED75" s="107">
        <f>IFERROR(ED72/EC72-1,"--")</f>
      </c>
      <c r="EE75" s="107">
        <f>IFERROR(EE72/ED72-1,"--")</f>
      </c>
      <c r="EF75" s="107">
        <f>IFERROR(EF72/EE72-1,"--")</f>
      </c>
      <c r="EG75" s="293"/>
      <c r="EH75" s="291">
        <f>IFERROR(EH72/EF72-1,"--")</f>
      </c>
      <c r="EI75" s="107">
        <f>IFERROR(EI72/EH72-1,"--")</f>
      </c>
      <c r="EJ75" s="107">
        <f>IFERROR(EJ72/EI72-1,"--")</f>
      </c>
      <c r="EK75" s="107">
        <f>IFERROR(EK72/EJ72-1,"--")</f>
      </c>
      <c r="EL75" s="293"/>
      <c r="EM75" s="291">
        <f>IFERROR(EM72/EK72-1,"--")</f>
      </c>
      <c r="EN75" s="107">
        <f>IFERROR(EN72/EM72-1,"--")</f>
      </c>
      <c r="EO75" s="107">
        <f>IFERROR(EO72/EN72-1,"--")</f>
      </c>
      <c r="EP75" s="107">
        <f>IFERROR(EP72/EO72-1,"--")</f>
      </c>
      <c r="EQ75" s="293"/>
      <c r="ER75" s="291">
        <f>IFERROR(ER72/EP72-1,"--")</f>
      </c>
      <c r="ES75" s="107">
        <f>IFERROR(ES72/ER72-1,"--")</f>
      </c>
      <c r="ET75" s="107">
        <f>IFERROR(ET72/ES72-1,"--")</f>
      </c>
      <c r="EU75" s="107">
        <f>IFERROR(EU72/ET72-1,"--")</f>
      </c>
      <c r="EV75" s="293"/>
      <c r="EW75" s="291"/>
      <c r="EX75" s="107"/>
      <c r="EY75" s="107"/>
      <c r="EZ75" s="107"/>
      <c r="FA75" s="293"/>
      <c r="FB75" s="291"/>
      <c r="FC75" s="107"/>
      <c r="FD75" s="107"/>
      <c r="FE75" s="107"/>
      <c r="FF75" s="293"/>
      <c r="FG75" s="291"/>
      <c r="FH75" s="107"/>
      <c r="FI75" s="107"/>
      <c r="FJ75" s="107"/>
      <c r="FK75" s="293"/>
      <c r="FL75" s="291"/>
      <c r="FM75" s="107"/>
      <c r="FN75" s="107"/>
      <c r="FO75" s="107"/>
      <c r="FP75" s="293"/>
      <c r="FQ75" s="291"/>
      <c r="FR75" s="107"/>
      <c r="FS75" s="107"/>
      <c r="FT75" s="107"/>
      <c r="FU75" s="293"/>
      <c r="FV75" s="291"/>
      <c r="FW75" s="107"/>
      <c r="FX75" s="107"/>
      <c r="FY75" s="107"/>
      <c r="FZ75" s="293"/>
      <c r="GA75" s="291"/>
      <c r="GB75" s="107"/>
      <c r="GC75" s="107"/>
      <c r="GD75" s="107"/>
      <c r="GE75" s="293"/>
      <c r="GF75" s="291"/>
      <c r="GG75" s="107"/>
      <c r="GH75" s="107"/>
      <c r="GI75" s="107"/>
      <c r="GJ75" s="293"/>
    </row>
    <row r="76" spans="1:192" ht="12.75" hidden="1" customHeight="1" outlineLevel="1">
      <c r="B76" s="727" t="s">
        <v>256</v>
      </c>
      <c r="C76" s="291"/>
      <c r="D76" s="107"/>
      <c r="E76" s="107"/>
      <c r="F76" s="107"/>
      <c r="G76" s="293"/>
      <c r="H76" s="291"/>
      <c r="I76" s="107"/>
      <c r="J76" s="107"/>
      <c r="K76" s="107"/>
      <c r="L76" s="293"/>
      <c r="M76" s="291"/>
      <c r="N76" s="107"/>
      <c r="O76" s="107"/>
      <c r="P76" s="107"/>
      <c r="Q76" s="293"/>
      <c r="R76" s="291"/>
      <c r="S76" s="107"/>
      <c r="T76" s="107"/>
      <c r="U76" s="107"/>
      <c r="V76" s="293"/>
      <c r="W76" s="291"/>
      <c r="X76" s="107"/>
      <c r="Y76" s="107"/>
      <c r="Z76" s="107"/>
      <c r="AA76" s="293"/>
      <c r="AB76" s="291"/>
      <c r="AC76" s="107"/>
      <c r="AD76" s="107"/>
      <c r="AE76" s="107"/>
      <c r="AF76" s="293"/>
      <c r="AG76" s="291"/>
      <c r="AH76" s="107"/>
      <c r="AI76" s="107"/>
      <c r="AJ76" s="107"/>
      <c r="AK76" s="293"/>
      <c r="AL76" s="291"/>
      <c r="AM76" s="107"/>
      <c r="AN76" s="107"/>
      <c r="AO76" s="107"/>
      <c r="AP76" s="293"/>
      <c r="AQ76" s="291"/>
      <c r="AR76" s="107"/>
      <c r="AS76" s="107"/>
      <c r="AT76" s="107"/>
      <c r="AU76" s="293"/>
      <c r="AV76" s="291"/>
      <c r="AW76" s="107"/>
      <c r="AX76" s="107"/>
      <c r="AY76" s="107"/>
      <c r="AZ76" s="293"/>
      <c r="BA76" s="291"/>
      <c r="BB76" s="107"/>
      <c r="BC76" s="107"/>
      <c r="BD76" s="107"/>
      <c r="BE76" s="293"/>
      <c r="BF76" s="291"/>
      <c r="BG76" s="107"/>
      <c r="BH76" s="107"/>
      <c r="BI76" s="107"/>
      <c r="BJ76" s="293"/>
      <c r="BK76" s="291"/>
      <c r="BL76" s="107"/>
      <c r="BM76" s="107"/>
      <c r="BN76" s="107"/>
      <c r="BO76" s="293"/>
      <c r="BP76" s="291"/>
      <c r="BQ76" s="107"/>
      <c r="BR76" s="107"/>
      <c r="BS76" s="107"/>
      <c r="BT76" s="293"/>
      <c r="BU76" s="291"/>
      <c r="BV76" s="107"/>
      <c r="BW76" s="107"/>
      <c r="BX76" s="107"/>
      <c r="BY76" s="293"/>
      <c r="BZ76" s="291"/>
      <c r="CA76" s="107"/>
      <c r="CB76" s="107"/>
      <c r="CC76" s="107"/>
      <c r="CD76" s="293"/>
      <c r="CE76" s="291"/>
      <c r="CF76" s="107"/>
      <c r="CG76" s="107"/>
      <c r="CH76" s="107"/>
      <c r="CI76" s="293"/>
      <c r="CJ76" s="291"/>
      <c r="CK76" s="107"/>
      <c r="CL76" s="107"/>
      <c r="CM76" s="107"/>
      <c r="CN76" s="293"/>
      <c r="CO76" s="291"/>
      <c r="CP76" s="107"/>
      <c r="CQ76" s="107"/>
      <c r="CR76" s="107"/>
      <c r="CS76" s="293"/>
      <c r="CT76" s="291"/>
      <c r="CU76" s="107"/>
      <c r="CV76" s="107"/>
      <c r="CW76" s="107"/>
      <c r="CX76" s="293"/>
      <c r="CY76" s="291"/>
      <c r="CZ76" s="107"/>
      <c r="DA76" s="107"/>
      <c r="DB76" s="107"/>
      <c r="DC76" s="293"/>
      <c r="DD76" s="447">
        <f t="shared" ref="DD76:EV76" si="68">DD72-CY72</f>
      </c>
      <c r="DE76" s="447">
        <f t="shared" si="68"/>
      </c>
      <c r="DF76" s="447">
        <f t="shared" si="68"/>
      </c>
      <c r="DG76" s="492">
        <f t="shared" si="68"/>
      </c>
      <c r="DH76" s="488">
        <f t="shared" si="68"/>
      </c>
      <c r="DI76" s="447">
        <f t="shared" si="68"/>
      </c>
      <c r="DJ76" s="447">
        <f t="shared" si="68"/>
      </c>
      <c r="DK76" s="447">
        <f t="shared" si="68"/>
      </c>
      <c r="DL76" s="492">
        <f t="shared" si="68"/>
      </c>
      <c r="DM76" s="488">
        <f t="shared" si="68"/>
      </c>
      <c r="DN76" s="447">
        <f t="shared" si="68"/>
      </c>
      <c r="DO76" s="447">
        <f t="shared" si="68"/>
      </c>
      <c r="DP76" s="447">
        <f t="shared" si="68"/>
      </c>
      <c r="DQ76" s="492">
        <f t="shared" si="68"/>
      </c>
      <c r="DR76" s="488">
        <f t="shared" si="68"/>
      </c>
      <c r="DS76" s="447">
        <f t="shared" si="68"/>
      </c>
      <c r="DT76" s="447">
        <f t="shared" si="68"/>
      </c>
      <c r="DU76" s="447">
        <f t="shared" si="68"/>
      </c>
      <c r="DV76" s="492">
        <f t="shared" si="68"/>
      </c>
      <c r="DW76" s="488">
        <f t="shared" si="68"/>
      </c>
      <c r="DX76" s="447">
        <f t="shared" si="68"/>
      </c>
      <c r="DY76" s="447">
        <f t="shared" si="68"/>
      </c>
      <c r="DZ76" s="447">
        <f t="shared" si="68"/>
      </c>
      <c r="EA76" s="492">
        <f t="shared" si="68"/>
      </c>
      <c r="EB76" s="488">
        <f t="shared" si="68"/>
      </c>
      <c r="EC76" s="447">
        <f t="shared" si="68"/>
      </c>
      <c r="ED76" s="447">
        <f t="shared" si="68"/>
      </c>
      <c r="EE76" s="447">
        <f t="shared" si="68"/>
      </c>
      <c r="EF76" s="492">
        <f t="shared" si="68"/>
      </c>
      <c r="EG76" s="488">
        <f t="shared" si="68"/>
      </c>
      <c r="EH76" s="447">
        <f t="shared" si="68"/>
      </c>
      <c r="EI76" s="447">
        <f t="shared" si="68"/>
      </c>
      <c r="EJ76" s="447">
        <f t="shared" si="68"/>
      </c>
      <c r="EK76" s="492">
        <f t="shared" si="68"/>
      </c>
      <c r="EL76" s="900">
        <v>5300</v>
      </c>
      <c r="EM76" s="447">
        <f t="shared" si="68"/>
      </c>
      <c r="EN76" s="447">
        <f t="shared" si="68"/>
      </c>
      <c r="EO76" s="447">
        <f t="shared" si="68"/>
      </c>
      <c r="EP76" s="492">
        <f t="shared" si="68"/>
      </c>
      <c r="EQ76" s="488">
        <f t="shared" si="68"/>
      </c>
      <c r="ER76" s="447">
        <f t="shared" si="68"/>
      </c>
      <c r="ES76" s="447">
        <f t="shared" si="68"/>
      </c>
      <c r="ET76" s="447">
        <f t="shared" si="68"/>
      </c>
      <c r="EU76" s="492">
        <f t="shared" si="68"/>
      </c>
      <c r="EV76" s="459">
        <f t="shared" si="68"/>
      </c>
      <c r="EW76" s="291"/>
      <c r="EX76" s="107"/>
      <c r="EY76" s="107"/>
      <c r="EZ76" s="107"/>
      <c r="FA76" s="293"/>
      <c r="FB76" s="291"/>
      <c r="FC76" s="107"/>
      <c r="FD76" s="107"/>
      <c r="FE76" s="107"/>
      <c r="FF76" s="293"/>
      <c r="FG76" s="291"/>
      <c r="FH76" s="107"/>
      <c r="FI76" s="107"/>
      <c r="FJ76" s="107"/>
      <c r="FK76" s="293"/>
      <c r="FL76" s="291"/>
      <c r="FM76" s="107"/>
      <c r="FN76" s="107"/>
      <c r="FO76" s="107"/>
      <c r="FP76" s="293"/>
      <c r="FQ76" s="291"/>
      <c r="FR76" s="107"/>
      <c r="FS76" s="107"/>
      <c r="FT76" s="107"/>
      <c r="FU76" s="293"/>
      <c r="FV76" s="291"/>
      <c r="FW76" s="107"/>
      <c r="FX76" s="107"/>
      <c r="FY76" s="107"/>
      <c r="FZ76" s="293"/>
      <c r="GA76" s="291"/>
      <c r="GB76" s="107"/>
      <c r="GC76" s="107"/>
      <c r="GD76" s="107"/>
      <c r="GE76" s="293"/>
      <c r="GF76" s="291"/>
      <c r="GG76" s="107"/>
      <c r="GH76" s="107"/>
      <c r="GI76" s="107"/>
      <c r="GJ76" s="293"/>
    </row>
    <row r="77" spans="1:192" ht="12.75" hidden="1" customHeight="1" outlineLevel="1">
      <c r="B77" s="727" t="s">
        <v>263</v>
      </c>
      <c r="C77" s="291"/>
      <c r="D77" s="107"/>
      <c r="E77" s="107"/>
      <c r="F77" s="107"/>
      <c r="G77" s="293"/>
      <c r="H77" s="291"/>
      <c r="I77" s="107"/>
      <c r="J77" s="107"/>
      <c r="K77" s="107"/>
      <c r="L77" s="293"/>
      <c r="M77" s="291"/>
      <c r="N77" s="107"/>
      <c r="O77" s="107"/>
      <c r="P77" s="107"/>
      <c r="Q77" s="293"/>
      <c r="R77" s="291"/>
      <c r="S77" s="107"/>
      <c r="T77" s="107"/>
      <c r="U77" s="107"/>
      <c r="V77" s="293"/>
      <c r="W77" s="291"/>
      <c r="X77" s="107"/>
      <c r="Y77" s="107"/>
      <c r="Z77" s="107"/>
      <c r="AA77" s="293"/>
      <c r="AB77" s="291"/>
      <c r="AC77" s="107"/>
      <c r="AD77" s="107"/>
      <c r="AE77" s="107"/>
      <c r="AF77" s="293"/>
      <c r="AG77" s="291"/>
      <c r="AH77" s="107"/>
      <c r="AI77" s="107"/>
      <c r="AJ77" s="107"/>
      <c r="AK77" s="293"/>
      <c r="AL77" s="291"/>
      <c r="AM77" s="107"/>
      <c r="AN77" s="107"/>
      <c r="AO77" s="107"/>
      <c r="AP77" s="293"/>
      <c r="AQ77" s="291"/>
      <c r="AR77" s="107"/>
      <c r="AS77" s="107"/>
      <c r="AT77" s="107"/>
      <c r="AU77" s="293"/>
      <c r="AV77" s="291"/>
      <c r="AW77" s="107"/>
      <c r="AX77" s="107"/>
      <c r="AY77" s="107"/>
      <c r="AZ77" s="293"/>
      <c r="BA77" s="291"/>
      <c r="BB77" s="107"/>
      <c r="BC77" s="107"/>
      <c r="BD77" s="107"/>
      <c r="BE77" s="293"/>
      <c r="BF77" s="291"/>
      <c r="BG77" s="107"/>
      <c r="BH77" s="107"/>
      <c r="BI77" s="107"/>
      <c r="BJ77" s="293"/>
      <c r="BK77" s="291"/>
      <c r="BL77" s="107"/>
      <c r="BM77" s="107"/>
      <c r="BN77" s="107"/>
      <c r="BO77" s="293"/>
      <c r="BP77" s="291"/>
      <c r="BQ77" s="107"/>
      <c r="BR77" s="107"/>
      <c r="BS77" s="107"/>
      <c r="BT77" s="293"/>
      <c r="BU77" s="291"/>
      <c r="BV77" s="107"/>
      <c r="BW77" s="107"/>
      <c r="BX77" s="107"/>
      <c r="BY77" s="293"/>
      <c r="BZ77" s="291"/>
      <c r="CA77" s="107"/>
      <c r="CB77" s="107"/>
      <c r="CC77" s="107"/>
      <c r="CD77" s="293"/>
      <c r="CE77" s="291"/>
      <c r="CF77" s="107"/>
      <c r="CG77" s="107"/>
      <c r="CH77" s="107"/>
      <c r="CI77" s="293"/>
      <c r="CJ77" s="291"/>
      <c r="CK77" s="107"/>
      <c r="CL77" s="107"/>
      <c r="CM77" s="107"/>
      <c r="CN77" s="293"/>
      <c r="CO77" s="291"/>
      <c r="CP77" s="107"/>
      <c r="CQ77" s="107"/>
      <c r="CR77" s="107"/>
      <c r="CS77" s="293"/>
      <c r="CT77" s="291"/>
      <c r="CU77" s="107"/>
      <c r="CV77" s="107"/>
      <c r="CW77" s="107"/>
      <c r="CX77" s="293"/>
      <c r="CY77" s="291">
        <f t="shared" ref="CY77:EQ77" si="69">CY72/CY50</f>
      </c>
      <c r="CZ77" s="107">
        <f t="shared" si="69"/>
      </c>
      <c r="DA77" s="107">
        <f t="shared" si="69"/>
      </c>
      <c r="DB77" s="107">
        <f t="shared" si="69"/>
      </c>
      <c r="DC77" s="293">
        <f t="shared" si="69"/>
      </c>
      <c r="DD77" s="291">
        <f t="shared" si="69"/>
      </c>
      <c r="DE77" s="107">
        <f t="shared" si="69"/>
      </c>
      <c r="DF77" s="107">
        <f t="shared" si="69"/>
      </c>
      <c r="DG77" s="107">
        <f t="shared" si="69"/>
      </c>
      <c r="DH77" s="293">
        <f t="shared" si="69"/>
      </c>
      <c r="DI77" s="291">
        <f t="shared" si="69"/>
      </c>
      <c r="DJ77" s="107">
        <f t="shared" si="69"/>
      </c>
      <c r="DK77" s="107">
        <f t="shared" si="69"/>
      </c>
      <c r="DL77" s="107">
        <f t="shared" si="69"/>
      </c>
      <c r="DM77" s="293">
        <f t="shared" si="69"/>
      </c>
      <c r="DN77" s="291">
        <f t="shared" si="69"/>
      </c>
      <c r="DO77" s="107">
        <f t="shared" si="69"/>
      </c>
      <c r="DP77" s="107">
        <f t="shared" si="69"/>
      </c>
      <c r="DQ77" s="107">
        <f t="shared" si="69"/>
      </c>
      <c r="DR77" s="293">
        <f t="shared" si="69"/>
      </c>
      <c r="DS77" s="291">
        <f t="shared" si="69"/>
      </c>
      <c r="DT77" s="107">
        <f t="shared" si="69"/>
      </c>
      <c r="DU77" s="107">
        <f t="shared" si="69"/>
      </c>
      <c r="DV77" s="107">
        <f t="shared" si="69"/>
      </c>
      <c r="DW77" s="293">
        <f t="shared" si="69"/>
      </c>
      <c r="DX77" s="291">
        <f t="shared" si="69"/>
      </c>
      <c r="DY77" s="107">
        <f t="shared" si="69"/>
      </c>
      <c r="DZ77" s="107">
        <f t="shared" si="69"/>
      </c>
      <c r="EA77" s="107">
        <f t="shared" si="69"/>
      </c>
      <c r="EB77" s="293">
        <f t="shared" si="69"/>
      </c>
      <c r="EC77" s="291">
        <f t="shared" si="69"/>
      </c>
      <c r="ED77" s="107">
        <f t="shared" si="69"/>
      </c>
      <c r="EE77" s="107">
        <f t="shared" si="69"/>
      </c>
      <c r="EF77" s="107">
        <f t="shared" si="69"/>
      </c>
      <c r="EG77" s="293">
        <f t="shared" si="69"/>
      </c>
      <c r="EH77" s="291">
        <f t="shared" si="69"/>
      </c>
      <c r="EI77" s="107">
        <f t="shared" si="69"/>
      </c>
      <c r="EJ77" s="107">
        <f t="shared" si="69"/>
      </c>
      <c r="EK77" s="107">
        <f t="shared" si="69"/>
      </c>
      <c r="EL77" s="293">
        <f t="shared" si="69"/>
      </c>
      <c r="EM77" s="291">
        <f t="shared" si="69"/>
      </c>
      <c r="EN77" s="107">
        <f t="shared" si="69"/>
      </c>
      <c r="EO77" s="107">
        <f t="shared" si="69"/>
      </c>
      <c r="EP77" s="107">
        <f t="shared" si="69"/>
      </c>
      <c r="EQ77" s="293">
        <f t="shared" si="69"/>
      </c>
      <c r="ER77" s="291">
        <f>ER72/ER50</f>
      </c>
      <c r="ES77" s="107">
        <f>ES72/ES50</f>
      </c>
      <c r="ET77" s="107">
        <f>ET72/ET50</f>
      </c>
      <c r="EU77" s="107">
        <f>EU72/EU50</f>
      </c>
      <c r="EV77" s="293">
        <f>EV72/EV50</f>
      </c>
      <c r="EW77" s="291"/>
      <c r="EX77" s="107"/>
      <c r="EY77" s="107"/>
      <c r="EZ77" s="107"/>
      <c r="FA77" s="293"/>
      <c r="FB77" s="291"/>
      <c r="FC77" s="107"/>
      <c r="FD77" s="107"/>
      <c r="FE77" s="107"/>
      <c r="FF77" s="293"/>
      <c r="FG77" s="291"/>
      <c r="FH77" s="107"/>
      <c r="FI77" s="107"/>
      <c r="FJ77" s="107"/>
      <c r="FK77" s="293"/>
      <c r="FL77" s="291"/>
      <c r="FM77" s="107"/>
      <c r="FN77" s="107"/>
      <c r="FO77" s="107"/>
      <c r="FP77" s="293"/>
      <c r="FQ77" s="291"/>
      <c r="FR77" s="107"/>
      <c r="FS77" s="107"/>
      <c r="FT77" s="107"/>
      <c r="FU77" s="293"/>
      <c r="FV77" s="291"/>
      <c r="FW77" s="107"/>
      <c r="FX77" s="107"/>
      <c r="FY77" s="107"/>
      <c r="FZ77" s="293"/>
      <c r="GA77" s="291"/>
      <c r="GB77" s="107"/>
      <c r="GC77" s="107"/>
      <c r="GD77" s="107"/>
      <c r="GE77" s="293"/>
      <c r="GF77" s="291"/>
      <c r="GG77" s="107"/>
      <c r="GH77" s="107"/>
      <c r="GI77" s="107"/>
      <c r="GJ77" s="293"/>
    </row>
    <row r="78" spans="1:192" s="1247" customFormat="1" ht="12.75" hidden="1" customHeight="1" outlineLevel="1">
      <c r="A78" s="1561"/>
      <c r="B78" s="753" t="s">
        <v>1854</v>
      </c>
      <c r="C78" s="1243"/>
      <c r="D78" s="1244"/>
      <c r="E78" s="1244"/>
      <c r="F78" s="1244"/>
      <c r="G78" s="1242"/>
      <c r="H78" s="1243"/>
      <c r="I78" s="1244"/>
      <c r="J78" s="1244"/>
      <c r="K78" s="1244"/>
      <c r="L78" s="1242"/>
      <c r="M78" s="1243"/>
      <c r="N78" s="1244"/>
      <c r="O78" s="1244"/>
      <c r="P78" s="1244"/>
      <c r="Q78" s="1242"/>
      <c r="R78" s="1243"/>
      <c r="S78" s="1244"/>
      <c r="T78" s="1244"/>
      <c r="U78" s="1244"/>
      <c r="V78" s="1242"/>
      <c r="W78" s="1243"/>
      <c r="X78" s="1244"/>
      <c r="Y78" s="1244"/>
      <c r="Z78" s="1244"/>
      <c r="AA78" s="1242"/>
      <c r="AB78" s="1243"/>
      <c r="AC78" s="1244"/>
      <c r="AD78" s="1244"/>
      <c r="AE78" s="1244"/>
      <c r="AF78" s="1242"/>
      <c r="AG78" s="1243"/>
      <c r="AH78" s="1244"/>
      <c r="AI78" s="1244"/>
      <c r="AJ78" s="1244"/>
      <c r="AK78" s="1242"/>
      <c r="AL78" s="1243"/>
      <c r="AM78" s="1244"/>
      <c r="AN78" s="1244"/>
      <c r="AO78" s="1244"/>
      <c r="AP78" s="1242"/>
      <c r="AQ78" s="1243"/>
      <c r="AR78" s="1244"/>
      <c r="AS78" s="1244"/>
      <c r="AT78" s="1244"/>
      <c r="AU78" s="1242"/>
      <c r="AV78" s="1243"/>
      <c r="AW78" s="1244"/>
      <c r="AX78" s="1244"/>
      <c r="AY78" s="1244"/>
      <c r="AZ78" s="1242"/>
      <c r="BA78" s="1243"/>
      <c r="BB78" s="1244"/>
      <c r="BC78" s="1244"/>
      <c r="BD78" s="1244"/>
      <c r="BE78" s="1242"/>
      <c r="BF78" s="1243"/>
      <c r="BG78" s="1244"/>
      <c r="BH78" s="1244"/>
      <c r="BI78" s="1244"/>
      <c r="BJ78" s="1242"/>
      <c r="BK78" s="1243"/>
      <c r="BL78" s="1244"/>
      <c r="BM78" s="1244"/>
      <c r="BN78" s="1244"/>
      <c r="BO78" s="1242"/>
      <c r="BP78" s="1243"/>
      <c r="BQ78" s="1244"/>
      <c r="BR78" s="1244"/>
      <c r="BS78" s="1244"/>
      <c r="BT78" s="1242"/>
      <c r="BU78" s="1243"/>
      <c r="BV78" s="1244"/>
      <c r="BW78" s="1244"/>
      <c r="BX78" s="1244"/>
      <c r="BY78" s="1242"/>
      <c r="BZ78" s="1243"/>
      <c r="CA78" s="1244"/>
      <c r="CB78" s="1244"/>
      <c r="CC78" s="1244"/>
      <c r="CD78" s="1242"/>
      <c r="CE78" s="1243"/>
      <c r="CF78" s="1244"/>
      <c r="CG78" s="1244"/>
      <c r="CH78" s="1244"/>
      <c r="CI78" s="1242"/>
      <c r="CJ78" s="1243"/>
      <c r="CK78" s="1244"/>
      <c r="CL78" s="1244"/>
      <c r="CM78" s="1244"/>
      <c r="CN78" s="1242"/>
      <c r="CO78" s="1243"/>
      <c r="CP78" s="1244"/>
      <c r="CQ78" s="1244"/>
      <c r="CR78" s="1244"/>
      <c r="CS78" s="1242"/>
      <c r="CT78" s="1243"/>
      <c r="CU78" s="1244"/>
      <c r="CV78" s="1244"/>
      <c r="CW78" s="1244"/>
      <c r="CX78" s="1242"/>
      <c r="CY78" s="1243"/>
      <c r="CZ78" s="1244"/>
      <c r="DA78" s="1244"/>
      <c r="DB78" s="1244"/>
      <c r="DC78" s="1242"/>
      <c r="DD78" s="1243"/>
      <c r="DE78" s="1244"/>
      <c r="DF78" s="1244"/>
      <c r="DG78" s="1244"/>
      <c r="DH78" s="1245">
        <f>(DH77-DC77)*10000</f>
      </c>
      <c r="DI78" s="1243">
        <f t="shared" ref="DI78:EV78" si="70">(DI77-DD77)*10000</f>
      </c>
      <c r="DJ78" s="1244">
        <f t="shared" si="70"/>
      </c>
      <c r="DK78" s="1244">
        <f t="shared" si="70"/>
      </c>
      <c r="DL78" s="1244">
        <f t="shared" si="70"/>
      </c>
      <c r="DM78" s="1242">
        <f t="shared" si="70"/>
      </c>
      <c r="DN78" s="1243">
        <f t="shared" si="70"/>
      </c>
      <c r="DO78" s="1244">
        <f t="shared" si="70"/>
      </c>
      <c r="DP78" s="1244">
        <f t="shared" si="70"/>
      </c>
      <c r="DQ78" s="1244">
        <f t="shared" si="70"/>
      </c>
      <c r="DR78" s="1242">
        <f t="shared" si="70"/>
      </c>
      <c r="DS78" s="1243">
        <f t="shared" si="70"/>
      </c>
      <c r="DT78" s="1244">
        <f t="shared" si="70"/>
      </c>
      <c r="DU78" s="1244">
        <f t="shared" si="70"/>
      </c>
      <c r="DV78" s="1244">
        <f t="shared" si="70"/>
      </c>
      <c r="DW78" s="1242">
        <f t="shared" si="70"/>
      </c>
      <c r="DX78" s="1243">
        <f t="shared" si="70"/>
      </c>
      <c r="DY78" s="1244">
        <f t="shared" si="70"/>
      </c>
      <c r="DZ78" s="1244">
        <f t="shared" si="70"/>
      </c>
      <c r="EA78" s="1244">
        <f t="shared" si="70"/>
      </c>
      <c r="EB78" s="1242">
        <f t="shared" si="70"/>
      </c>
      <c r="EC78" s="1243">
        <f t="shared" si="70"/>
      </c>
      <c r="ED78" s="1244">
        <f t="shared" si="70"/>
      </c>
      <c r="EE78" s="1244">
        <f t="shared" si="70"/>
      </c>
      <c r="EF78" s="1244">
        <f t="shared" si="70"/>
      </c>
      <c r="EG78" s="1242">
        <f t="shared" si="70"/>
      </c>
      <c r="EH78" s="1243">
        <f t="shared" si="70"/>
      </c>
      <c r="EI78" s="1244">
        <f t="shared" si="70"/>
      </c>
      <c r="EJ78" s="1244">
        <f t="shared" si="70"/>
      </c>
      <c r="EK78" s="1244">
        <f t="shared" si="70"/>
      </c>
      <c r="EL78" s="1242">
        <f t="shared" si="70"/>
      </c>
      <c r="EM78" s="1243">
        <f t="shared" si="70"/>
      </c>
      <c r="EN78" s="1243">
        <f t="shared" si="70"/>
      </c>
      <c r="EO78" s="1243">
        <f t="shared" si="70"/>
      </c>
      <c r="EP78" s="1244">
        <f t="shared" si="70"/>
      </c>
      <c r="EQ78" s="1242">
        <f t="shared" si="70"/>
      </c>
      <c r="ER78" s="1243">
        <f t="shared" si="70"/>
      </c>
      <c r="ES78" s="1244">
        <f t="shared" si="70"/>
      </c>
      <c r="ET78" s="1243">
        <f t="shared" si="70"/>
      </c>
      <c r="EU78" s="1244">
        <f t="shared" si="70"/>
      </c>
      <c r="EV78" s="1242">
        <f t="shared" si="70"/>
      </c>
      <c r="EW78" s="1243"/>
      <c r="EX78" s="1244"/>
      <c r="EY78" s="1244"/>
      <c r="EZ78" s="1244"/>
      <c r="FA78" s="1242"/>
      <c r="FB78" s="1243"/>
      <c r="FC78" s="1244"/>
      <c r="FD78" s="1244"/>
      <c r="FE78" s="1244"/>
      <c r="FF78" s="1242"/>
      <c r="FG78" s="1243"/>
      <c r="FH78" s="1243"/>
      <c r="FI78" s="1243"/>
      <c r="FJ78" s="1243"/>
      <c r="FK78" s="1242"/>
      <c r="FL78" s="1243"/>
      <c r="FM78" s="1243"/>
      <c r="FN78" s="1243"/>
      <c r="FO78" s="1243"/>
      <c r="FP78" s="1242"/>
      <c r="FQ78" s="1243"/>
      <c r="FR78" s="1243"/>
      <c r="FS78" s="1243"/>
      <c r="FT78" s="1243"/>
      <c r="FU78" s="1242"/>
      <c r="FV78" s="1243"/>
      <c r="FW78" s="1243"/>
      <c r="FX78" s="1243"/>
      <c r="FY78" s="1243"/>
      <c r="FZ78" s="1242"/>
      <c r="GA78" s="1243"/>
      <c r="GB78" s="1243"/>
      <c r="GC78" s="1243"/>
      <c r="GD78" s="1243"/>
      <c r="GE78" s="1242"/>
      <c r="GF78" s="1243"/>
      <c r="GG78" s="1243"/>
      <c r="GH78" s="1243"/>
      <c r="GI78" s="1243"/>
      <c r="GJ78" s="1242"/>
    </row>
    <row r="79" spans="1:192" ht="12.75" hidden="1" customHeight="1" outlineLevel="1">
      <c r="B79" s="727"/>
      <c r="C79" s="291"/>
      <c r="D79" s="107"/>
      <c r="E79" s="107"/>
      <c r="F79" s="107"/>
      <c r="G79" s="293"/>
      <c r="H79" s="291"/>
      <c r="I79" s="107"/>
      <c r="J79" s="107"/>
      <c r="K79" s="107"/>
      <c r="L79" s="293"/>
      <c r="M79" s="291"/>
      <c r="N79" s="107"/>
      <c r="O79" s="107"/>
      <c r="P79" s="107"/>
      <c r="Q79" s="293"/>
      <c r="R79" s="291"/>
      <c r="S79" s="107"/>
      <c r="T79" s="107"/>
      <c r="U79" s="107"/>
      <c r="V79" s="293"/>
      <c r="W79" s="291"/>
      <c r="X79" s="107"/>
      <c r="Y79" s="107"/>
      <c r="Z79" s="107"/>
      <c r="AA79" s="293"/>
      <c r="AB79" s="291"/>
      <c r="AC79" s="107"/>
      <c r="AD79" s="107"/>
      <c r="AE79" s="107"/>
      <c r="AF79" s="293"/>
      <c r="AG79" s="291"/>
      <c r="AH79" s="107"/>
      <c r="AI79" s="107"/>
      <c r="AJ79" s="107"/>
      <c r="AK79" s="293"/>
      <c r="AL79" s="291"/>
      <c r="AM79" s="107"/>
      <c r="AN79" s="107"/>
      <c r="AO79" s="107"/>
      <c r="AP79" s="293"/>
      <c r="AQ79" s="291"/>
      <c r="AR79" s="107"/>
      <c r="AS79" s="107"/>
      <c r="AT79" s="107"/>
      <c r="AU79" s="293"/>
      <c r="AV79" s="291"/>
      <c r="AW79" s="107"/>
      <c r="AX79" s="107"/>
      <c r="AY79" s="107"/>
      <c r="AZ79" s="293"/>
      <c r="BA79" s="291"/>
      <c r="BB79" s="107"/>
      <c r="BC79" s="107"/>
      <c r="BD79" s="107"/>
      <c r="BE79" s="293"/>
      <c r="BF79" s="291"/>
      <c r="BG79" s="107"/>
      <c r="BH79" s="107"/>
      <c r="BI79" s="107"/>
      <c r="BJ79" s="293"/>
      <c r="BK79" s="291"/>
      <c r="BL79" s="107"/>
      <c r="BM79" s="107"/>
      <c r="BN79" s="107"/>
      <c r="BO79" s="293"/>
      <c r="BP79" s="291"/>
      <c r="BQ79" s="107"/>
      <c r="BR79" s="107"/>
      <c r="BS79" s="107"/>
      <c r="BT79" s="293"/>
      <c r="BU79" s="291"/>
      <c r="BV79" s="107"/>
      <c r="BW79" s="107"/>
      <c r="BX79" s="107"/>
      <c r="BY79" s="293"/>
      <c r="BZ79" s="291"/>
      <c r="CA79" s="107"/>
      <c r="CB79" s="107"/>
      <c r="CC79" s="107"/>
      <c r="CD79" s="293"/>
      <c r="CE79" s="291"/>
      <c r="CF79" s="107"/>
      <c r="CG79" s="107"/>
      <c r="CH79" s="107"/>
      <c r="CI79" s="293"/>
      <c r="CJ79" s="291"/>
      <c r="CK79" s="107"/>
      <c r="CL79" s="107"/>
      <c r="CM79" s="107"/>
      <c r="CN79" s="293"/>
      <c r="CO79" s="291"/>
      <c r="CP79" s="107"/>
      <c r="CQ79" s="107"/>
      <c r="CR79" s="107"/>
      <c r="CS79" s="293"/>
      <c r="CT79" s="291"/>
      <c r="CU79" s="107"/>
      <c r="CV79" s="107"/>
      <c r="CW79" s="107"/>
      <c r="CX79" s="293"/>
      <c r="CY79" s="291"/>
      <c r="CZ79" s="107"/>
      <c r="DA79" s="107"/>
      <c r="DB79" s="107"/>
      <c r="DC79" s="293"/>
      <c r="DD79" s="291"/>
      <c r="DE79" s="107"/>
      <c r="DF79" s="107"/>
      <c r="DG79" s="107"/>
      <c r="DH79" s="293"/>
      <c r="DI79" s="291"/>
      <c r="DJ79" s="107"/>
      <c r="DK79" s="107"/>
      <c r="DL79" s="107"/>
      <c r="DM79" s="293"/>
      <c r="DN79" s="291"/>
      <c r="DO79" s="107"/>
      <c r="DP79" s="107"/>
      <c r="DQ79" s="107"/>
      <c r="DR79" s="293"/>
      <c r="DS79" s="291"/>
      <c r="DT79" s="107"/>
      <c r="DU79" s="107"/>
      <c r="DV79" s="107"/>
      <c r="DW79" s="293"/>
      <c r="DX79" s="291"/>
      <c r="DY79" s="107"/>
      <c r="DZ79" s="107"/>
      <c r="EA79" s="107"/>
      <c r="EB79" s="293"/>
      <c r="EC79" s="291"/>
      <c r="ED79" s="107"/>
      <c r="EE79" s="107"/>
      <c r="EF79" s="107"/>
      <c r="EG79" s="293"/>
      <c r="EH79" s="291"/>
      <c r="EI79" s="107"/>
      <c r="EJ79" s="107"/>
      <c r="EK79" s="107"/>
      <c r="EL79" s="293"/>
      <c r="EM79" s="291"/>
      <c r="EN79" s="107"/>
      <c r="EO79" s="107"/>
      <c r="EP79" s="107"/>
      <c r="EQ79" s="293"/>
      <c r="ER79" s="291"/>
      <c r="ES79" s="107"/>
      <c r="ET79" s="107"/>
      <c r="EU79" s="107"/>
      <c r="EV79" s="293"/>
      <c r="EW79" s="291"/>
      <c r="EX79" s="107"/>
      <c r="EY79" s="107"/>
      <c r="EZ79" s="107"/>
      <c r="FA79" s="293"/>
      <c r="FB79" s="291"/>
      <c r="FC79" s="107"/>
      <c r="FD79" s="107"/>
      <c r="FE79" s="107"/>
      <c r="FF79" s="293"/>
      <c r="FG79" s="291"/>
      <c r="FH79" s="107"/>
      <c r="FI79" s="107"/>
      <c r="FJ79" s="107"/>
      <c r="FK79" s="293"/>
      <c r="FL79" s="291"/>
      <c r="FM79" s="107"/>
      <c r="FN79" s="107"/>
      <c r="FO79" s="107"/>
      <c r="FP79" s="293"/>
      <c r="FQ79" s="291"/>
      <c r="FR79" s="107"/>
      <c r="FS79" s="107"/>
      <c r="FT79" s="107"/>
      <c r="FU79" s="293"/>
      <c r="FV79" s="291"/>
      <c r="FW79" s="107"/>
      <c r="FX79" s="107"/>
      <c r="FY79" s="107"/>
      <c r="FZ79" s="293"/>
      <c r="GA79" s="291"/>
      <c r="GB79" s="107"/>
      <c r="GC79" s="107"/>
      <c r="GD79" s="107"/>
      <c r="GE79" s="293"/>
      <c r="GF79" s="291"/>
      <c r="GG79" s="107"/>
      <c r="GH79" s="107"/>
      <c r="GI79" s="107"/>
      <c r="GJ79" s="293"/>
    </row>
    <row r="80" spans="1:192" s="317" customFormat="1" ht="12.75" hidden="1" customHeight="1" outlineLevel="1">
      <c r="A80" s="280"/>
      <c r="B80" s="730" t="s">
        <v>1988</v>
      </c>
      <c r="C80" s="316"/>
      <c r="D80" s="316"/>
      <c r="E80" s="316"/>
      <c r="F80" s="316"/>
      <c r="G80" s="313"/>
      <c r="H80" s="316"/>
      <c r="I80" s="316"/>
      <c r="J80" s="316"/>
      <c r="K80" s="316"/>
      <c r="L80" s="313"/>
      <c r="M80" s="316"/>
      <c r="N80" s="316"/>
      <c r="O80" s="316"/>
      <c r="P80" s="316"/>
      <c r="Q80" s="313"/>
      <c r="R80" s="316"/>
      <c r="S80" s="316"/>
      <c r="T80" s="316"/>
      <c r="U80" s="316"/>
      <c r="V80" s="313"/>
      <c r="W80" s="316"/>
      <c r="X80" s="316"/>
      <c r="Y80" s="316"/>
      <c r="Z80" s="316"/>
      <c r="AA80" s="313"/>
      <c r="AB80" s="316"/>
      <c r="AC80" s="316"/>
      <c r="AD80" s="316"/>
      <c r="AE80" s="316"/>
      <c r="AF80" s="313"/>
      <c r="AG80" s="316"/>
      <c r="AH80" s="316"/>
      <c r="AI80" s="316"/>
      <c r="AJ80" s="316"/>
      <c r="AK80" s="313"/>
      <c r="AL80" s="316"/>
      <c r="AM80" s="316"/>
      <c r="AN80" s="316"/>
      <c r="AO80" s="316"/>
      <c r="AP80" s="313"/>
      <c r="AQ80" s="316"/>
      <c r="AR80" s="316"/>
      <c r="AS80" s="316"/>
      <c r="AT80" s="316"/>
      <c r="AU80" s="313"/>
      <c r="AV80" s="316"/>
      <c r="AW80" s="316"/>
      <c r="AX80" s="316"/>
      <c r="AY80" s="316"/>
      <c r="AZ80" s="313"/>
      <c r="BA80" s="316"/>
      <c r="BB80" s="316"/>
      <c r="BC80" s="316"/>
      <c r="BD80" s="316"/>
      <c r="BE80" s="313"/>
      <c r="BF80" s="316"/>
      <c r="BG80" s="316"/>
      <c r="BH80" s="316"/>
      <c r="BI80" s="316"/>
      <c r="BJ80" s="313"/>
      <c r="BK80" s="316"/>
      <c r="BL80" s="316"/>
      <c r="BM80" s="316"/>
      <c r="BN80" s="316"/>
      <c r="BO80" s="313"/>
      <c r="BP80" s="316"/>
      <c r="BQ80" s="316"/>
      <c r="BR80" s="316"/>
      <c r="BS80" s="316"/>
      <c r="BT80" s="313"/>
      <c r="BU80" s="316"/>
      <c r="BV80" s="316"/>
      <c r="BW80" s="316"/>
      <c r="BX80" s="316"/>
      <c r="BY80" s="313"/>
      <c r="BZ80" s="316"/>
      <c r="CA80" s="316"/>
      <c r="CB80" s="316"/>
      <c r="CC80" s="316"/>
      <c r="CD80" s="319"/>
      <c r="CE80" s="316"/>
      <c r="CF80" s="316"/>
      <c r="CG80" s="316"/>
      <c r="CH80" s="316"/>
      <c r="CI80" s="319"/>
      <c r="CJ80" s="316"/>
      <c r="CK80" s="316"/>
      <c r="CL80" s="316"/>
      <c r="CM80" s="316"/>
      <c r="CN80" s="319"/>
      <c r="CO80" s="316"/>
      <c r="CP80" s="316"/>
      <c r="CQ80" s="316"/>
      <c r="CR80" s="316"/>
      <c r="CS80" s="319"/>
      <c r="CT80" s="316"/>
      <c r="CU80" s="316"/>
      <c r="CV80" s="316"/>
      <c r="CW80" s="316"/>
      <c r="CX80" s="319"/>
      <c r="CY80" s="316"/>
      <c r="CZ80" s="316"/>
      <c r="DA80" s="316"/>
      <c r="DB80" s="316"/>
      <c r="DC80" s="319"/>
      <c r="DD80" s="316">
        <v>8718</v>
      </c>
      <c r="DE80" s="316">
        <v>8257</v>
      </c>
      <c r="DF80" s="316">
        <v>8006</v>
      </c>
      <c r="DG80" s="316">
        <v>10673</v>
      </c>
      <c r="DH80" s="319">
        <f>SUM(DD80:DG80)</f>
      </c>
      <c r="DI80" s="316">
        <v>9656</v>
      </c>
      <c r="DJ80" s="316">
        <v>9839</v>
      </c>
      <c r="DK80" s="316">
        <v>9697</v>
      </c>
      <c r="DL80" s="316">
        <v>12692</v>
      </c>
      <c r="DM80" s="319">
        <f>SUM(DI80:DL80)</f>
      </c>
      <c r="DN80" s="316">
        <v>11808</v>
      </c>
      <c r="DO80" s="316">
        <v>11290</v>
      </c>
      <c r="DP80" s="316">
        <v>11185</v>
      </c>
      <c r="DQ80" s="316">
        <v>14864</v>
      </c>
      <c r="DR80" s="319">
        <f>SUM(DN80:DQ80)</f>
      </c>
      <c r="DS80" s="316">
        <v>13753</v>
      </c>
      <c r="DT80" s="316">
        <v>12635</v>
      </c>
      <c r="DU80" s="316">
        <v>12679</v>
      </c>
      <c r="DV80" s="316">
        <v>16831</v>
      </c>
      <c r="DW80" s="319">
        <f>SUM(DS80:DV80)</f>
      </c>
      <c r="DX80" s="316">
        <v>15560</v>
      </c>
      <c r="DY80" s="316">
        <v>14266</v>
      </c>
      <c r="DZ80" s="316">
        <v>14077</v>
      </c>
      <c r="EA80" s="316">
        <v>18643</v>
      </c>
      <c r="EB80" s="319">
        <f>SUM(DX80:EA80)</f>
      </c>
      <c r="EC80" s="316">
        <v>17675</v>
      </c>
      <c r="ED80" s="316">
        <v>16225</v>
      </c>
      <c r="EE80" s="316">
        <v>16169</v>
      </c>
      <c r="EF80" s="316">
        <v>22120</v>
      </c>
      <c r="EG80" s="319">
        <f>SUM(EC80:EF80)</f>
      </c>
      <c r="EH80" s="316">
        <v>20565</v>
      </c>
      <c r="EI80" s="316">
        <v>18494</v>
      </c>
      <c r="EJ80" s="316">
        <v>18578</v>
      </c>
      <c r="EK80" s="316">
        <v>24558</v>
      </c>
      <c r="EL80" s="319">
        <f>SUM(EH80:EK80)</f>
      </c>
      <c r="EM80" s="316">
        <v>22405</v>
      </c>
      <c r="EN80" s="316">
        <v>20120</v>
      </c>
      <c r="EO80" s="316">
        <v>20504</v>
      </c>
      <c r="EP80" s="316">
        <v>27572</v>
      </c>
      <c r="EQ80" s="319">
        <f>SUM(EM80:EP80)</f>
      </c>
      <c r="ER80" s="316">
        <v>25316</v>
      </c>
      <c r="ES80" s="1158">
        <v>22591</v>
      </c>
      <c r="ET80" s="1158">
        <v>22929</v>
      </c>
      <c r="EU80" s="1158">
        <v>30879</v>
      </c>
      <c r="EV80" s="319">
        <f>SUM(ER80:EU80)</f>
      </c>
      <c r="EW80" s="316"/>
      <c r="EX80" s="316"/>
      <c r="EY80" s="316"/>
      <c r="EZ80" s="316"/>
      <c r="FA80" s="313"/>
      <c r="FB80" s="316"/>
      <c r="FC80" s="316"/>
      <c r="FD80" s="316"/>
      <c r="FE80" s="316"/>
      <c r="FF80" s="313"/>
      <c r="FG80" s="316"/>
      <c r="FH80" s="316"/>
      <c r="FI80" s="316"/>
      <c r="FJ80" s="316"/>
      <c r="FK80" s="313"/>
      <c r="FL80" s="316"/>
      <c r="FM80" s="316"/>
      <c r="FN80" s="316"/>
      <c r="FO80" s="316"/>
      <c r="FP80" s="313"/>
      <c r="FQ80" s="316"/>
      <c r="FR80" s="316"/>
      <c r="FS80" s="316"/>
      <c r="FT80" s="316"/>
      <c r="FU80" s="313"/>
      <c r="FV80" s="316"/>
      <c r="FW80" s="316"/>
      <c r="FX80" s="316"/>
      <c r="FY80" s="316"/>
      <c r="FZ80" s="313"/>
      <c r="GA80" s="316"/>
      <c r="GB80" s="316"/>
      <c r="GC80" s="316"/>
      <c r="GD80" s="316"/>
      <c r="GE80" s="313"/>
      <c r="GF80" s="316"/>
      <c r="GG80" s="316"/>
      <c r="GH80" s="316"/>
      <c r="GI80" s="316"/>
      <c r="GJ80" s="313"/>
    </row>
    <row r="81" spans="1:192" ht="12.75" hidden="1" customHeight="1" outlineLevel="1">
      <c r="B81" s="727" t="s">
        <v>34</v>
      </c>
      <c r="C81" s="291"/>
      <c r="D81" s="107"/>
      <c r="E81" s="107"/>
      <c r="F81" s="107"/>
      <c r="G81" s="292"/>
      <c r="H81" s="291"/>
      <c r="I81" s="107"/>
      <c r="J81" s="107"/>
      <c r="K81" s="107"/>
      <c r="L81" s="292"/>
      <c r="M81" s="291"/>
      <c r="N81" s="107"/>
      <c r="O81" s="107"/>
      <c r="P81" s="107"/>
      <c r="Q81" s="292"/>
      <c r="R81" s="291"/>
      <c r="S81" s="107"/>
      <c r="T81" s="107"/>
      <c r="U81" s="107"/>
      <c r="V81" s="292"/>
      <c r="W81" s="291"/>
      <c r="X81" s="107"/>
      <c r="Y81" s="107"/>
      <c r="Z81" s="107"/>
      <c r="AA81" s="292"/>
      <c r="AB81" s="291"/>
      <c r="AC81" s="107"/>
      <c r="AD81" s="107"/>
      <c r="AE81" s="107"/>
      <c r="AF81" s="292"/>
      <c r="AG81" s="291"/>
      <c r="AH81" s="107"/>
      <c r="AI81" s="107"/>
      <c r="AJ81" s="107"/>
      <c r="AK81" s="292"/>
      <c r="AL81" s="291"/>
      <c r="AM81" s="107"/>
      <c r="AN81" s="107"/>
      <c r="AO81" s="107"/>
      <c r="AP81" s="292"/>
      <c r="AQ81" s="291"/>
      <c r="AR81" s="107"/>
      <c r="AS81" s="107"/>
      <c r="AT81" s="107"/>
      <c r="AU81" s="292"/>
      <c r="AV81" s="291"/>
      <c r="AW81" s="107"/>
      <c r="AX81" s="107"/>
      <c r="AY81" s="107"/>
      <c r="AZ81" s="292"/>
      <c r="BA81" s="291"/>
      <c r="BB81" s="107"/>
      <c r="BC81" s="107"/>
      <c r="BD81" s="107"/>
      <c r="BE81" s="292"/>
      <c r="BF81" s="291"/>
      <c r="BG81" s="107"/>
      <c r="BH81" s="107"/>
      <c r="BI81" s="107"/>
      <c r="BJ81" s="292"/>
      <c r="BK81" s="291"/>
      <c r="BL81" s="107"/>
      <c r="BM81" s="107"/>
      <c r="BN81" s="107"/>
      <c r="BO81" s="292"/>
      <c r="BP81" s="291"/>
      <c r="BQ81" s="107"/>
      <c r="BR81" s="107"/>
      <c r="BS81" s="107"/>
      <c r="BT81" s="292"/>
      <c r="BU81" s="291"/>
      <c r="BV81" s="107"/>
      <c r="BW81" s="107"/>
      <c r="BX81" s="107"/>
      <c r="BY81" s="292"/>
      <c r="BZ81" s="291"/>
      <c r="CA81" s="107"/>
      <c r="CB81" s="107"/>
      <c r="CC81" s="107"/>
      <c r="CD81" s="292"/>
      <c r="CE81" s="291"/>
      <c r="CF81" s="107"/>
      <c r="CG81" s="107"/>
      <c r="CH81" s="107"/>
      <c r="CI81" s="292"/>
      <c r="CJ81" s="291"/>
      <c r="CK81" s="107"/>
      <c r="CL81" s="107"/>
      <c r="CM81" s="107"/>
      <c r="CN81" s="292"/>
      <c r="CO81" s="291"/>
      <c r="CP81" s="107"/>
      <c r="CQ81" s="107"/>
      <c r="CR81" s="107"/>
      <c r="CS81" s="292"/>
      <c r="CT81" s="291"/>
      <c r="CU81" s="107"/>
      <c r="CV81" s="107"/>
      <c r="CW81" s="107"/>
      <c r="CX81" s="292"/>
      <c r="CY81" s="291"/>
      <c r="CZ81" s="107"/>
      <c r="DA81" s="107"/>
      <c r="DB81" s="107"/>
      <c r="DC81" s="292"/>
      <c r="DD81" s="291" t="str">
        <f>IFERROR(DD80/CY80-1,"")</f>
      </c>
      <c r="DE81" s="107" t="str">
        <f>IFERROR(DE80/CZ80-1,"")</f>
      </c>
      <c r="DF81" s="107" t="str">
        <f>IFERROR(DF80/DA80-1,"")</f>
      </c>
      <c r="DG81" s="107" t="str">
        <f>IFERROR(DG80/DB80-1,"")</f>
      </c>
      <c r="DH81" s="292" t="str">
        <f>IFERROR(DH80/DC80-1,"")</f>
      </c>
      <c r="DI81" s="291">
        <f t="shared" ref="DI81:EV81" si="71">IFERROR(DI80/DD80-1,"--")</f>
      </c>
      <c r="DJ81" s="107">
        <f t="shared" si="71"/>
      </c>
      <c r="DK81" s="107">
        <f t="shared" si="71"/>
      </c>
      <c r="DL81" s="107">
        <f t="shared" si="71"/>
      </c>
      <c r="DM81" s="292">
        <f t="shared" si="71"/>
      </c>
      <c r="DN81" s="291">
        <f t="shared" si="71"/>
      </c>
      <c r="DO81" s="107">
        <f t="shared" si="71"/>
      </c>
      <c r="DP81" s="107">
        <f t="shared" si="71"/>
      </c>
      <c r="DQ81" s="107">
        <f t="shared" si="71"/>
      </c>
      <c r="DR81" s="292">
        <f t="shared" si="71"/>
      </c>
      <c r="DS81" s="291">
        <f t="shared" si="71"/>
      </c>
      <c r="DT81" s="107">
        <f t="shared" si="71"/>
      </c>
      <c r="DU81" s="107">
        <f t="shared" si="71"/>
      </c>
      <c r="DV81" s="107">
        <f t="shared" si="71"/>
      </c>
      <c r="DW81" s="292">
        <f t="shared" si="71"/>
      </c>
      <c r="DX81" s="291">
        <f t="shared" si="71"/>
      </c>
      <c r="DY81" s="107">
        <f t="shared" si="71"/>
      </c>
      <c r="DZ81" s="107">
        <f t="shared" si="71"/>
      </c>
      <c r="EA81" s="107">
        <f t="shared" si="71"/>
      </c>
      <c r="EB81" s="292">
        <f t="shared" si="71"/>
      </c>
      <c r="EC81" s="291">
        <f t="shared" si="71"/>
      </c>
      <c r="ED81" s="107">
        <f t="shared" si="71"/>
      </c>
      <c r="EE81" s="107">
        <f t="shared" si="71"/>
      </c>
      <c r="EF81" s="107">
        <f t="shared" si="71"/>
      </c>
      <c r="EG81" s="292">
        <f t="shared" si="71"/>
      </c>
      <c r="EH81" s="291">
        <f t="shared" si="71"/>
      </c>
      <c r="EI81" s="107">
        <f t="shared" si="71"/>
      </c>
      <c r="EJ81" s="107">
        <f t="shared" si="71"/>
      </c>
      <c r="EK81" s="107">
        <f t="shared" si="71"/>
      </c>
      <c r="EL81" s="292">
        <f t="shared" si="71"/>
      </c>
      <c r="EM81" s="291">
        <f t="shared" si="71"/>
      </c>
      <c r="EN81" s="107">
        <f t="shared" si="71"/>
      </c>
      <c r="EO81" s="107">
        <f t="shared" si="71"/>
      </c>
      <c r="EP81" s="107">
        <f t="shared" si="71"/>
      </c>
      <c r="EQ81" s="292">
        <f t="shared" si="71"/>
      </c>
      <c r="ER81" s="291">
        <f t="shared" si="71"/>
      </c>
      <c r="ES81" s="107">
        <f t="shared" si="71"/>
      </c>
      <c r="ET81" s="107">
        <f t="shared" si="71"/>
      </c>
      <c r="EU81" s="107">
        <f t="shared" si="71"/>
      </c>
      <c r="EV81" s="292">
        <f t="shared" si="71"/>
      </c>
      <c r="EW81" s="291"/>
      <c r="EX81" s="107"/>
      <c r="EY81" s="107"/>
      <c r="EZ81" s="107"/>
      <c r="FA81" s="292"/>
      <c r="FB81" s="291"/>
      <c r="FC81" s="107"/>
      <c r="FD81" s="107"/>
      <c r="FE81" s="107"/>
      <c r="FF81" s="292"/>
      <c r="FG81" s="291"/>
      <c r="FH81" s="107"/>
      <c r="FI81" s="107"/>
      <c r="FJ81" s="107"/>
      <c r="FK81" s="292"/>
      <c r="FL81" s="291"/>
      <c r="FM81" s="107"/>
      <c r="FN81" s="107"/>
      <c r="FO81" s="107"/>
      <c r="FP81" s="292"/>
      <c r="FQ81" s="291"/>
      <c r="FR81" s="107"/>
      <c r="FS81" s="107"/>
      <c r="FT81" s="107"/>
      <c r="FU81" s="292"/>
      <c r="FV81" s="291"/>
      <c r="FW81" s="107"/>
      <c r="FX81" s="107"/>
      <c r="FY81" s="107"/>
      <c r="FZ81" s="292"/>
      <c r="GA81" s="291"/>
      <c r="GB81" s="107"/>
      <c r="GC81" s="107"/>
      <c r="GD81" s="107"/>
      <c r="GE81" s="292"/>
      <c r="GF81" s="291"/>
      <c r="GG81" s="107"/>
      <c r="GH81" s="107"/>
      <c r="GI81" s="107"/>
      <c r="GJ81" s="292"/>
    </row>
    <row r="82" spans="1:192" ht="12.75" hidden="1" customHeight="1" outlineLevel="1">
      <c r="B82" s="727" t="s">
        <v>36</v>
      </c>
      <c r="C82" s="291"/>
      <c r="D82" s="107"/>
      <c r="E82" s="107"/>
      <c r="F82" s="107"/>
      <c r="G82" s="293"/>
      <c r="H82" s="291"/>
      <c r="I82" s="107"/>
      <c r="J82" s="107"/>
      <c r="K82" s="107"/>
      <c r="L82" s="293"/>
      <c r="M82" s="291"/>
      <c r="N82" s="107"/>
      <c r="O82" s="107"/>
      <c r="P82" s="107"/>
      <c r="Q82" s="293"/>
      <c r="R82" s="291"/>
      <c r="S82" s="107"/>
      <c r="T82" s="107"/>
      <c r="U82" s="107"/>
      <c r="V82" s="293"/>
      <c r="W82" s="291"/>
      <c r="X82" s="107"/>
      <c r="Y82" s="107"/>
      <c r="Z82" s="107"/>
      <c r="AA82" s="293"/>
      <c r="AB82" s="291"/>
      <c r="AC82" s="107"/>
      <c r="AD82" s="107"/>
      <c r="AE82" s="107"/>
      <c r="AF82" s="293"/>
      <c r="AG82" s="291"/>
      <c r="AH82" s="107"/>
      <c r="AI82" s="107"/>
      <c r="AJ82" s="107"/>
      <c r="AK82" s="293"/>
      <c r="AL82" s="291"/>
      <c r="AM82" s="107"/>
      <c r="AN82" s="107"/>
      <c r="AO82" s="107"/>
      <c r="AP82" s="293"/>
      <c r="AQ82" s="291"/>
      <c r="AR82" s="107"/>
      <c r="AS82" s="107"/>
      <c r="AT82" s="107"/>
      <c r="AU82" s="293"/>
      <c r="AV82" s="291"/>
      <c r="AW82" s="107"/>
      <c r="AX82" s="107"/>
      <c r="AY82" s="107"/>
      <c r="AZ82" s="293"/>
      <c r="BA82" s="291"/>
      <c r="BB82" s="107"/>
      <c r="BC82" s="107"/>
      <c r="BD82" s="107"/>
      <c r="BE82" s="293"/>
      <c r="BF82" s="291"/>
      <c r="BG82" s="107"/>
      <c r="BH82" s="107"/>
      <c r="BI82" s="107"/>
      <c r="BJ82" s="293"/>
      <c r="BK82" s="291"/>
      <c r="BL82" s="107"/>
      <c r="BM82" s="107"/>
      <c r="BN82" s="107"/>
      <c r="BO82" s="293"/>
      <c r="BP82" s="291"/>
      <c r="BQ82" s="107"/>
      <c r="BR82" s="107"/>
      <c r="BS82" s="107"/>
      <c r="BT82" s="293"/>
      <c r="BU82" s="291"/>
      <c r="BV82" s="107"/>
      <c r="BW82" s="107"/>
      <c r="BX82" s="107"/>
      <c r="BY82" s="293"/>
      <c r="BZ82" s="291"/>
      <c r="CA82" s="107"/>
      <c r="CB82" s="107"/>
      <c r="CC82" s="107"/>
      <c r="CD82" s="293"/>
      <c r="CE82" s="291"/>
      <c r="CF82" s="107"/>
      <c r="CG82" s="107"/>
      <c r="CH82" s="107"/>
      <c r="CI82" s="293"/>
      <c r="CJ82" s="291"/>
      <c r="CK82" s="107"/>
      <c r="CL82" s="107"/>
      <c r="CM82" s="107"/>
      <c r="CN82" s="293"/>
      <c r="CO82" s="291"/>
      <c r="CP82" s="107"/>
      <c r="CQ82" s="107"/>
      <c r="CR82" s="107"/>
      <c r="CS82" s="293"/>
      <c r="CT82" s="291"/>
      <c r="CU82" s="107"/>
      <c r="CV82" s="506"/>
      <c r="CW82" s="107"/>
      <c r="CX82" s="293"/>
      <c r="CY82" s="291"/>
      <c r="CZ82" s="107"/>
      <c r="DA82" s="107"/>
      <c r="DB82" s="107"/>
      <c r="DC82" s="293"/>
      <c r="DD82" s="291" t="str">
        <f>IFERROR(DD80/DB80-1,"")</f>
      </c>
      <c r="DE82" s="107">
        <f>IFERROR(DE80/DD80-1,"--")</f>
      </c>
      <c r="DF82" s="107">
        <f>IFERROR(DF80/DE80-1,"--")</f>
      </c>
      <c r="DG82" s="107">
        <f>IFERROR(DG80/DF80-1,"--")</f>
      </c>
      <c r="DH82" s="293"/>
      <c r="DI82" s="291">
        <f>IFERROR(DI80/DG80-1,"--")</f>
      </c>
      <c r="DJ82" s="107">
        <f>IFERROR(DJ80/DI80-1,"--")</f>
      </c>
      <c r="DK82" s="107">
        <f>IFERROR(DK80/DJ80-1,"--")</f>
      </c>
      <c r="DL82" s="107">
        <f>IFERROR(DL80/DK80-1,"--")</f>
      </c>
      <c r="DM82" s="293"/>
      <c r="DN82" s="291">
        <f>IFERROR(DN80/DL80-1,"--")</f>
      </c>
      <c r="DO82" s="107">
        <f>IFERROR(DO80/DN80-1,"--")</f>
      </c>
      <c r="DP82" s="107">
        <f>IFERROR(DP80/DO80-1,"--")</f>
      </c>
      <c r="DQ82" s="107">
        <f>IFERROR(DQ80/DP80-1,"--")</f>
      </c>
      <c r="DR82" s="293"/>
      <c r="DS82" s="291">
        <f>IFERROR(DS80/DQ80-1,"--")</f>
      </c>
      <c r="DT82" s="107">
        <f>IFERROR(DT80/DS80-1,"--")</f>
      </c>
      <c r="DU82" s="107">
        <f>IFERROR(DU80/DT80-1,"--")</f>
      </c>
      <c r="DV82" s="107">
        <f>IFERROR(DV80/DU80-1,"--")</f>
      </c>
      <c r="DW82" s="293"/>
      <c r="DX82" s="291">
        <f>IFERROR(DX80/DV80-1,"--")</f>
      </c>
      <c r="DY82" s="107">
        <f>IFERROR(DY80/DX80-1,"--")</f>
      </c>
      <c r="DZ82" s="107">
        <f>IFERROR(DZ80/DY80-1,"--")</f>
      </c>
      <c r="EA82" s="107">
        <f>IFERROR(EA80/DZ80-1,"--")</f>
      </c>
      <c r="EB82" s="293"/>
      <c r="EC82" s="291">
        <f>IFERROR(EC80/EA80-1,"--")</f>
      </c>
      <c r="ED82" s="107">
        <f>IFERROR(ED80/EC80-1,"--")</f>
      </c>
      <c r="EE82" s="107">
        <f>IFERROR(EE80/ED80-1,"--")</f>
      </c>
      <c r="EF82" s="107">
        <f>IFERROR(EF80/EE80-1,"--")</f>
      </c>
      <c r="EG82" s="293"/>
      <c r="EH82" s="291">
        <f>IFERROR(EH80/EF80-1,"--")</f>
      </c>
      <c r="EI82" s="107">
        <f>IFERROR(EI80/EH80-1,"--")</f>
      </c>
      <c r="EJ82" s="107">
        <f>IFERROR(EJ80/EI80-1,"--")</f>
      </c>
      <c r="EK82" s="107">
        <f>IFERROR(EK80/EJ80-1,"--")</f>
      </c>
      <c r="EL82" s="293"/>
      <c r="EM82" s="291">
        <f>IFERROR(EM80/EK80-1,"--")</f>
      </c>
      <c r="EN82" s="107">
        <f>IFERROR(EN80/EM80-1,"--")</f>
      </c>
      <c r="EO82" s="107">
        <f>IFERROR(EO80/EN80-1,"--")</f>
      </c>
      <c r="EP82" s="107">
        <f>IFERROR(EP80/EO80-1,"--")</f>
      </c>
      <c r="EQ82" s="293"/>
      <c r="ER82" s="291">
        <f>IFERROR(ER80/EP80-1,"--")</f>
      </c>
      <c r="ES82" s="107">
        <f>IFERROR(ES80/ER80-1,"--")</f>
      </c>
      <c r="ET82" s="107">
        <f>IFERROR(ET80/ES80-1,"--")</f>
      </c>
      <c r="EU82" s="107">
        <f>IFERROR(EU80/ET80-1,"--")</f>
      </c>
      <c r="EV82" s="293"/>
      <c r="EW82" s="291"/>
      <c r="EX82" s="107"/>
      <c r="EY82" s="107"/>
      <c r="EZ82" s="107"/>
      <c r="FA82" s="293"/>
      <c r="FB82" s="291"/>
      <c r="FC82" s="107"/>
      <c r="FD82" s="107"/>
      <c r="FE82" s="107"/>
      <c r="FF82" s="293"/>
      <c r="FG82" s="291"/>
      <c r="FH82" s="107"/>
      <c r="FI82" s="107"/>
      <c r="FJ82" s="107"/>
      <c r="FK82" s="293"/>
      <c r="FL82" s="291"/>
      <c r="FM82" s="107"/>
      <c r="FN82" s="107"/>
      <c r="FO82" s="107"/>
      <c r="FP82" s="293"/>
      <c r="FQ82" s="291"/>
      <c r="FR82" s="107"/>
      <c r="FS82" s="107"/>
      <c r="FT82" s="107"/>
      <c r="FU82" s="293"/>
      <c r="FV82" s="291"/>
      <c r="FW82" s="107"/>
      <c r="FX82" s="107"/>
      <c r="FY82" s="107"/>
      <c r="FZ82" s="293"/>
      <c r="GA82" s="291"/>
      <c r="GB82" s="107"/>
      <c r="GC82" s="107"/>
      <c r="GD82" s="107"/>
      <c r="GE82" s="293"/>
      <c r="GF82" s="291"/>
      <c r="GG82" s="107"/>
      <c r="GH82" s="107"/>
      <c r="GI82" s="107"/>
      <c r="GJ82" s="293"/>
    </row>
    <row r="83" spans="1:192" ht="12.75" hidden="1" customHeight="1" outlineLevel="1">
      <c r="B83" s="727" t="s">
        <v>196</v>
      </c>
      <c r="C83" s="291"/>
      <c r="D83" s="107"/>
      <c r="E83" s="107"/>
      <c r="F83" s="107"/>
      <c r="G83" s="293"/>
      <c r="H83" s="291"/>
      <c r="I83" s="107"/>
      <c r="J83" s="107"/>
      <c r="K83" s="107"/>
      <c r="L83" s="293"/>
      <c r="M83" s="291"/>
      <c r="N83" s="107"/>
      <c r="O83" s="107"/>
      <c r="P83" s="107"/>
      <c r="Q83" s="293"/>
      <c r="R83" s="291"/>
      <c r="S83" s="107"/>
      <c r="T83" s="107"/>
      <c r="U83" s="107"/>
      <c r="V83" s="293"/>
      <c r="W83" s="291"/>
      <c r="X83" s="107"/>
      <c r="Y83" s="107"/>
      <c r="Z83" s="107"/>
      <c r="AA83" s="293"/>
      <c r="AB83" s="291"/>
      <c r="AC83" s="107"/>
      <c r="AD83" s="107"/>
      <c r="AE83" s="107"/>
      <c r="AF83" s="293"/>
      <c r="AG83" s="291"/>
      <c r="AH83" s="107"/>
      <c r="AI83" s="107"/>
      <c r="AJ83" s="107"/>
      <c r="AK83" s="293"/>
      <c r="AL83" s="291"/>
      <c r="AM83" s="107"/>
      <c r="AN83" s="107"/>
      <c r="AO83" s="107"/>
      <c r="AP83" s="293"/>
      <c r="AQ83" s="291"/>
      <c r="AR83" s="107"/>
      <c r="AS83" s="107"/>
      <c r="AT83" s="107"/>
      <c r="AU83" s="293"/>
      <c r="AV83" s="291"/>
      <c r="AW83" s="107"/>
      <c r="AX83" s="107"/>
      <c r="AY83" s="107"/>
      <c r="AZ83" s="293"/>
      <c r="BA83" s="291"/>
      <c r="BB83" s="107"/>
      <c r="BC83" s="107"/>
      <c r="BD83" s="107"/>
      <c r="BE83" s="293"/>
      <c r="BF83" s="291"/>
      <c r="BG83" s="107"/>
      <c r="BH83" s="107"/>
      <c r="BI83" s="107"/>
      <c r="BJ83" s="293"/>
      <c r="BK83" s="291"/>
      <c r="BL83" s="107"/>
      <c r="BM83" s="107"/>
      <c r="BN83" s="107"/>
      <c r="BO83" s="293"/>
      <c r="BP83" s="291"/>
      <c r="BQ83" s="107"/>
      <c r="BR83" s="107"/>
      <c r="BS83" s="107"/>
      <c r="BT83" s="293"/>
      <c r="BU83" s="291"/>
      <c r="BV83" s="107"/>
      <c r="BW83" s="107"/>
      <c r="BX83" s="107"/>
      <c r="BY83" s="293"/>
      <c r="BZ83" s="291"/>
      <c r="CA83" s="107"/>
      <c r="CB83" s="107"/>
      <c r="CC83" s="107"/>
      <c r="CD83" s="293"/>
      <c r="CE83" s="291"/>
      <c r="CF83" s="107"/>
      <c r="CG83" s="107"/>
      <c r="CH83" s="107"/>
      <c r="CI83" s="293"/>
      <c r="CJ83" s="291"/>
      <c r="CK83" s="107"/>
      <c r="CL83" s="107"/>
      <c r="CM83" s="107"/>
      <c r="CN83" s="293"/>
      <c r="CO83" s="291"/>
      <c r="CP83" s="107"/>
      <c r="CQ83" s="107"/>
      <c r="CR83" s="107"/>
      <c r="CS83" s="293"/>
      <c r="CT83" s="291"/>
      <c r="CU83" s="107"/>
      <c r="CV83" s="506"/>
      <c r="CW83" s="107"/>
      <c r="CX83" s="293"/>
      <c r="CY83" s="291"/>
      <c r="CZ83" s="107"/>
      <c r="DA83" s="107"/>
      <c r="DB83" s="107"/>
      <c r="DC83" s="293"/>
      <c r="DD83" s="291">
        <f>DD80/(DD80+Company1738!DD80+IC!DD80)</f>
      </c>
      <c r="DE83" s="349">
        <f>DE80/(DE80+Company1738!DE80+IC!DE80)</f>
      </c>
      <c r="DF83" s="291">
        <f>DF80/(DF80+Company1738!DF80+IC!DF80)</f>
      </c>
      <c r="DG83" s="291">
        <f>DG80/(DG80+Company1738!DG80+IC!DG80)</f>
      </c>
      <c r="DH83" s="293">
        <f>DH80/(DH80+Company1738!DH80+IC!DH80)</f>
      </c>
      <c r="DI83" s="291">
        <f>DI80/(DI80+Company1738!DI80+IC!DI80)</f>
      </c>
      <c r="DJ83" s="291">
        <f>DJ80/(DJ80+Company1738!DJ80+IC!DJ80)</f>
      </c>
      <c r="DK83" s="291">
        <f>DK80/(DK80+Company1738!DK80+IC!DK80)</f>
      </c>
      <c r="DL83" s="291">
        <f>DL80/(DL80+Company1738!DL80+IC!DL80)</f>
      </c>
      <c r="DM83" s="293">
        <f>DM80/(DM80+Company1738!DM80+IC!DM80)</f>
      </c>
      <c r="DN83" s="291">
        <f>DN80/(DN80+Company1738!DN80+IC!DN80)</f>
      </c>
      <c r="DO83" s="291">
        <f>DO80/(DO80+Company1738!DO80+IC!DO80)</f>
      </c>
      <c r="DP83" s="291">
        <f>DP80/(DP80+Company1738!DP80+IC!DP80)</f>
      </c>
      <c r="DQ83" s="291">
        <f>DQ80/(DQ80+Company1738!DQ80+IC!DQ80)</f>
      </c>
      <c r="DR83" s="293">
        <f>DR80/(DR80+Company1738!DR80+IC!DR80)</f>
      </c>
      <c r="DS83" s="291">
        <f>DS80/(DS80+Company1738!DS80+IC!DS80)</f>
      </c>
      <c r="DT83" s="291">
        <f>DT80/(DT80+Company1738!DT80+IC!DT80)</f>
      </c>
      <c r="DU83" s="291">
        <f>DU80/(DU80+Company1738!DU80+IC!DU80)</f>
      </c>
      <c r="DV83" s="291">
        <f>DV80/(DV80+Company1738!DV80+IC!DV80)</f>
      </c>
      <c r="DW83" s="293">
        <f>DW80/(DW80+Company1738!DW80+IC!DW80)</f>
      </c>
      <c r="DX83" s="349">
        <f>DX80/(DX80+Company1738!DX80+IC!DX80)</f>
      </c>
      <c r="DY83" s="349">
        <f>DY80/(DY80+Company1738!DY80+IC!DY80)</f>
      </c>
      <c r="DZ83" s="291">
        <f>DZ80/(DZ80+Company1738!DZ80+IC!DZ80)</f>
      </c>
      <c r="EA83" s="291">
        <f>EA80/(EA80+Company1738!EA80+IC!EA80)</f>
      </c>
      <c r="EB83" s="293">
        <f>EB80/(EB80+Company1738!EB80+IC!EB80)</f>
      </c>
      <c r="EC83" s="291">
        <f>EC80/(EC80+Company1738!EC80+IC!EC80)</f>
      </c>
      <c r="ED83" s="291">
        <f>ED80/(ED80+Company1738!ED80+IC!ED80)</f>
      </c>
      <c r="EE83" s="291">
        <f>EE80/(EE80+Company1738!EE80+IC!EE80)</f>
      </c>
      <c r="EF83" s="291">
        <f>EF80/(EF80+Company1738!EF80+IC!EF80)</f>
      </c>
      <c r="EG83" s="293">
        <f>EG80/(EG80+Company1738!EG80+IC!EG80)</f>
      </c>
      <c r="EH83" s="291">
        <f>EH80/(EH80+Company1738!EH80+IC!EH80)</f>
      </c>
      <c r="EI83" s="291">
        <f>EI80/(EI80+Company1738!EI80+IC!EI80)</f>
      </c>
      <c r="EJ83" s="349">
        <f>EJ80/(EJ80+Company1738!EJ80+IC!EJ80)</f>
      </c>
      <c r="EK83" s="291">
        <f>EK80/(EK80+Company1738!EK80+IC!EK80)</f>
      </c>
      <c r="EL83" s="293">
        <f>EL80/(EL80+Company1738!EL80+IC!EL80)</f>
      </c>
      <c r="EM83" s="291">
        <f>EM80/(EM80+Company1738!EM80+IC!EM80)</f>
      </c>
      <c r="EN83" s="291">
        <f>EN80/(EN80+Company1738!EN80+IC!EN80)</f>
      </c>
      <c r="EO83" s="291">
        <f>EO80/(EO80+Company1738!EO80+IC!EO80)</f>
      </c>
      <c r="EP83" s="291">
        <f>EP80/(EP80+Company1738!EP80+IC!EP80)</f>
      </c>
      <c r="EQ83" s="293">
        <f>EQ80/(EQ80+Company1738!EQ80+IC!EQ80)</f>
      </c>
      <c r="ER83" s="291">
        <f>ER80/(ER80+Company1738!ER80+IC!ER80)</f>
      </c>
      <c r="ES83" s="291">
        <f>ES80/(ES80+Company1738!ES80+IC!ES80)</f>
      </c>
      <c r="ET83" s="291">
        <f>ET80/(ET80+Company1738!ET80+IC!ET80)</f>
      </c>
      <c r="EU83" s="291">
        <f>EU80/(EU80+Company1738!EU80+IC!EU80)</f>
      </c>
      <c r="EV83" s="293">
        <f>EV80/(EV80+Company1738!EV80+IC!EV80)</f>
      </c>
      <c r="EW83" s="291"/>
      <c r="EX83" s="107"/>
      <c r="EY83" s="107"/>
      <c r="EZ83" s="107"/>
      <c r="FA83" s="293"/>
      <c r="FB83" s="291"/>
      <c r="FC83" s="107"/>
      <c r="FD83" s="107"/>
      <c r="FE83" s="107"/>
      <c r="FF83" s="293"/>
      <c r="FG83" s="291"/>
      <c r="FH83" s="107"/>
      <c r="FI83" s="107"/>
      <c r="FJ83" s="107"/>
      <c r="FK83" s="293"/>
      <c r="FL83" s="291"/>
      <c r="FM83" s="107"/>
      <c r="FN83" s="107"/>
      <c r="FO83" s="107"/>
      <c r="FP83" s="293"/>
      <c r="FQ83" s="291"/>
      <c r="FR83" s="107"/>
      <c r="FS83" s="107"/>
      <c r="FT83" s="107"/>
      <c r="FU83" s="293"/>
      <c r="FV83" s="291"/>
      <c r="FW83" s="107"/>
      <c r="FX83" s="107"/>
      <c r="FY83" s="107"/>
      <c r="FZ83" s="293"/>
      <c r="GA83" s="291"/>
      <c r="GB83" s="107"/>
      <c r="GC83" s="107"/>
      <c r="GD83" s="107"/>
      <c r="GE83" s="293"/>
      <c r="GF83" s="291"/>
      <c r="GG83" s="107"/>
      <c r="GH83" s="107"/>
      <c r="GI83" s="107"/>
      <c r="GJ83" s="293"/>
    </row>
    <row r="84" spans="1:192" ht="12.75" hidden="1" customHeight="1" outlineLevel="1">
      <c r="B84" s="727"/>
      <c r="C84" s="291"/>
      <c r="D84" s="107"/>
      <c r="E84" s="107"/>
      <c r="F84" s="107"/>
      <c r="G84" s="293"/>
      <c r="H84" s="291"/>
      <c r="I84" s="107"/>
      <c r="J84" s="107"/>
      <c r="K84" s="107"/>
      <c r="L84" s="293"/>
      <c r="M84" s="291"/>
      <c r="N84" s="107"/>
      <c r="O84" s="107"/>
      <c r="P84" s="107"/>
      <c r="Q84" s="293"/>
      <c r="R84" s="291"/>
      <c r="S84" s="107"/>
      <c r="T84" s="107"/>
      <c r="U84" s="107"/>
      <c r="V84" s="293"/>
      <c r="W84" s="291"/>
      <c r="X84" s="107"/>
      <c r="Y84" s="107"/>
      <c r="Z84" s="107"/>
      <c r="AA84" s="293"/>
      <c r="AB84" s="291"/>
      <c r="AC84" s="107"/>
      <c r="AD84" s="107"/>
      <c r="AE84" s="107"/>
      <c r="AF84" s="293"/>
      <c r="AG84" s="291"/>
      <c r="AH84" s="107"/>
      <c r="AI84" s="107"/>
      <c r="AJ84" s="107"/>
      <c r="AK84" s="293"/>
      <c r="AL84" s="291"/>
      <c r="AM84" s="107"/>
      <c r="AN84" s="107"/>
      <c r="AO84" s="107"/>
      <c r="AP84" s="293"/>
      <c r="AQ84" s="291"/>
      <c r="AR84" s="107"/>
      <c r="AS84" s="107"/>
      <c r="AT84" s="107"/>
      <c r="AU84" s="293"/>
      <c r="AV84" s="291"/>
      <c r="AW84" s="107"/>
      <c r="AX84" s="107"/>
      <c r="AY84" s="107"/>
      <c r="AZ84" s="293"/>
      <c r="BA84" s="291"/>
      <c r="BB84" s="107"/>
      <c r="BC84" s="107"/>
      <c r="BD84" s="107"/>
      <c r="BE84" s="293"/>
      <c r="BF84" s="291"/>
      <c r="BG84" s="107"/>
      <c r="BH84" s="107"/>
      <c r="BI84" s="107"/>
      <c r="BJ84" s="293"/>
      <c r="BK84" s="291"/>
      <c r="BL84" s="107"/>
      <c r="BM84" s="107"/>
      <c r="BN84" s="107"/>
      <c r="BO84" s="293"/>
      <c r="BP84" s="291"/>
      <c r="BQ84" s="107"/>
      <c r="BR84" s="107"/>
      <c r="BS84" s="107"/>
      <c r="BT84" s="293"/>
      <c r="BU84" s="291"/>
      <c r="BV84" s="107"/>
      <c r="BW84" s="107"/>
      <c r="BX84" s="107"/>
      <c r="BY84" s="293"/>
      <c r="BZ84" s="291"/>
      <c r="CA84" s="107"/>
      <c r="CB84" s="107"/>
      <c r="CC84" s="107"/>
      <c r="CD84" s="293"/>
      <c r="CE84" s="291"/>
      <c r="CF84" s="107"/>
      <c r="CG84" s="107"/>
      <c r="CH84" s="107"/>
      <c r="CI84" s="293"/>
      <c r="CJ84" s="291"/>
      <c r="CK84" s="107"/>
      <c r="CL84" s="107"/>
      <c r="CM84" s="107"/>
      <c r="CN84" s="293"/>
      <c r="CO84" s="291"/>
      <c r="CP84" s="107"/>
      <c r="CQ84" s="107"/>
      <c r="CR84" s="107"/>
      <c r="CS84" s="293"/>
      <c r="CT84" s="291"/>
      <c r="CU84" s="107"/>
      <c r="CV84" s="506"/>
      <c r="CW84" s="107"/>
      <c r="CX84" s="293"/>
      <c r="CY84" s="291"/>
      <c r="CZ84" s="107"/>
      <c r="DA84" s="107"/>
      <c r="DB84" s="107"/>
      <c r="DC84" s="293"/>
      <c r="DD84" s="291"/>
      <c r="DE84" s="349"/>
      <c r="DF84" s="291"/>
      <c r="DG84" s="291"/>
      <c r="DH84" s="293"/>
      <c r="DI84" s="291"/>
      <c r="DJ84" s="291"/>
      <c r="DK84" s="291"/>
      <c r="DL84" s="291"/>
      <c r="DM84" s="293"/>
      <c r="DN84" s="291"/>
      <c r="DO84" s="291"/>
      <c r="DP84" s="291"/>
      <c r="DQ84" s="291"/>
      <c r="DR84" s="293"/>
      <c r="DS84" s="291"/>
      <c r="DT84" s="291"/>
      <c r="DU84" s="291"/>
      <c r="DV84" s="291"/>
      <c r="DW84" s="293"/>
      <c r="DX84" s="349"/>
      <c r="DY84" s="349"/>
      <c r="DZ84" s="291"/>
      <c r="EA84" s="291"/>
      <c r="EB84" s="293"/>
      <c r="EC84" s="291"/>
      <c r="ED84" s="291"/>
      <c r="EE84" s="291"/>
      <c r="EF84" s="291"/>
      <c r="EG84" s="293"/>
      <c r="EH84" s="291"/>
      <c r="EI84" s="291"/>
      <c r="EJ84" s="349"/>
      <c r="EK84" s="291"/>
      <c r="EL84" s="293"/>
      <c r="EM84" s="291"/>
      <c r="EN84" s="291"/>
      <c r="EO84" s="291"/>
      <c r="EP84" s="291"/>
      <c r="EQ84" s="293"/>
      <c r="ER84" s="291"/>
      <c r="ES84" s="291"/>
      <c r="ET84" s="291"/>
      <c r="EU84" s="291"/>
      <c r="EV84" s="293"/>
      <c r="EW84" s="291"/>
      <c r="EX84" s="107"/>
      <c r="EY84" s="107"/>
      <c r="EZ84" s="107"/>
      <c r="FA84" s="293"/>
      <c r="FB84" s="291"/>
      <c r="FC84" s="107"/>
      <c r="FD84" s="107"/>
      <c r="FE84" s="107"/>
      <c r="FF84" s="293"/>
      <c r="FG84" s="291"/>
      <c r="FH84" s="107"/>
      <c r="FI84" s="107"/>
      <c r="FJ84" s="107"/>
      <c r="FK84" s="293"/>
      <c r="FL84" s="291"/>
      <c r="FM84" s="107"/>
      <c r="FN84" s="107"/>
      <c r="FO84" s="107"/>
      <c r="FP84" s="293"/>
      <c r="FQ84" s="291"/>
      <c r="FR84" s="107"/>
      <c r="FS84" s="107"/>
      <c r="FT84" s="107"/>
      <c r="FU84" s="293"/>
      <c r="FV84" s="291"/>
      <c r="FW84" s="107"/>
      <c r="FX84" s="107"/>
      <c r="FY84" s="107"/>
      <c r="FZ84" s="293"/>
      <c r="GA84" s="291"/>
      <c r="GB84" s="107"/>
      <c r="GC84" s="107"/>
      <c r="GD84" s="107"/>
      <c r="GE84" s="293"/>
      <c r="GF84" s="291"/>
      <c r="GG84" s="107"/>
      <c r="GH84" s="107"/>
      <c r="GI84" s="107"/>
      <c r="GJ84" s="293"/>
    </row>
    <row r="85" spans="1:192" s="314" customFormat="1" ht="12.75" hidden="1" customHeight="1" outlineLevel="1">
      <c r="A85" s="280"/>
      <c r="B85" s="730" t="s">
        <v>192</v>
      </c>
      <c r="C85" s="315"/>
      <c r="D85" s="315"/>
      <c r="E85" s="315"/>
      <c r="F85" s="315"/>
      <c r="G85" s="313"/>
      <c r="H85" s="315"/>
      <c r="I85" s="315"/>
      <c r="J85" s="315"/>
      <c r="K85" s="315"/>
      <c r="L85" s="313"/>
      <c r="M85" s="315"/>
      <c r="N85" s="315"/>
      <c r="O85" s="315"/>
      <c r="P85" s="315"/>
      <c r="Q85" s="313"/>
      <c r="R85" s="315"/>
      <c r="S85" s="315"/>
      <c r="T85" s="315"/>
      <c r="U85" s="315"/>
      <c r="V85" s="313"/>
      <c r="W85" s="315"/>
      <c r="X85" s="315"/>
      <c r="Y85" s="315"/>
      <c r="Z85" s="315"/>
      <c r="AA85" s="313"/>
      <c r="AB85" s="315"/>
      <c r="AC85" s="315"/>
      <c r="AD85" s="315"/>
      <c r="AE85" s="315"/>
      <c r="AF85" s="313"/>
      <c r="AG85" s="315"/>
      <c r="AH85" s="315"/>
      <c r="AI85" s="315"/>
      <c r="AJ85" s="315"/>
      <c r="AK85" s="313"/>
      <c r="AL85" s="315"/>
      <c r="AM85" s="315"/>
      <c r="AN85" s="315"/>
      <c r="AO85" s="315"/>
      <c r="AP85" s="313"/>
      <c r="AQ85" s="315"/>
      <c r="AR85" s="315"/>
      <c r="AS85" s="315"/>
      <c r="AT85" s="315"/>
      <c r="AU85" s="313"/>
      <c r="AV85" s="315"/>
      <c r="AW85" s="315"/>
      <c r="AX85" s="315"/>
      <c r="AY85" s="315"/>
      <c r="AZ85" s="313"/>
      <c r="BA85" s="315"/>
      <c r="BB85" s="315"/>
      <c r="BC85" s="315"/>
      <c r="BD85" s="315"/>
      <c r="BE85" s="313"/>
      <c r="BF85" s="315"/>
      <c r="BG85" s="315"/>
      <c r="BH85" s="315"/>
      <c r="BI85" s="315"/>
      <c r="BJ85" s="313"/>
      <c r="BK85" s="315"/>
      <c r="BL85" s="315"/>
      <c r="BM85" s="315"/>
      <c r="BN85" s="315"/>
      <c r="BO85" s="313"/>
      <c r="BP85" s="315"/>
      <c r="BQ85" s="315"/>
      <c r="BR85" s="315"/>
      <c r="BS85" s="315"/>
      <c r="BT85" s="313"/>
      <c r="BU85" s="315"/>
      <c r="BV85" s="315"/>
      <c r="BW85" s="315"/>
      <c r="BX85" s="315"/>
      <c r="BY85" s="313"/>
      <c r="BZ85" s="315"/>
      <c r="CA85" s="315"/>
      <c r="CB85" s="315"/>
      <c r="CC85" s="315"/>
      <c r="CD85" s="319"/>
      <c r="CE85" s="315"/>
      <c r="CF85" s="315"/>
      <c r="CG85" s="315"/>
      <c r="CH85" s="315"/>
      <c r="CI85" s="319"/>
      <c r="CJ85" s="315"/>
      <c r="CK85" s="315"/>
      <c r="CL85" s="315"/>
      <c r="CM85" s="315"/>
      <c r="CN85" s="319"/>
      <c r="CO85" s="315"/>
      <c r="CP85" s="315"/>
      <c r="CQ85" s="315"/>
      <c r="CR85" s="315"/>
      <c r="CS85" s="319"/>
      <c r="CT85" s="315"/>
      <c r="CU85" s="315"/>
      <c r="CV85" s="315"/>
      <c r="CW85" s="315"/>
      <c r="CX85" s="319"/>
      <c r="CY85" s="311"/>
      <c r="CZ85" s="311"/>
      <c r="DA85" s="311">
        <v>-1</v>
      </c>
      <c r="DB85" s="311">
        <v>-20</v>
      </c>
      <c r="DC85" s="319">
        <f>SUM(CY85:DB85)</f>
      </c>
      <c r="DD85" s="311">
        <v>0</v>
      </c>
      <c r="DE85" s="311">
        <v>0</v>
      </c>
      <c r="DF85" s="311">
        <v>0</v>
      </c>
      <c r="DG85" s="311">
        <v>0</v>
      </c>
      <c r="DH85" s="319">
        <f>SUM(DD85:DG85)</f>
      </c>
      <c r="DI85" s="311">
        <v>0</v>
      </c>
      <c r="DJ85" s="311">
        <v>0</v>
      </c>
      <c r="DK85" s="311">
        <v>0</v>
      </c>
      <c r="DL85" s="311">
        <v>0</v>
      </c>
      <c r="DM85" s="319">
        <f>SUM(DI85:DL85)</f>
      </c>
      <c r="DN85" s="311"/>
      <c r="DO85" s="311"/>
      <c r="DP85" s="311"/>
      <c r="DQ85" s="311"/>
      <c r="DR85" s="319"/>
      <c r="DS85" s="311"/>
      <c r="DT85" s="311"/>
      <c r="DU85" s="311"/>
      <c r="DV85" s="311"/>
      <c r="DW85" s="319"/>
      <c r="DX85" s="311"/>
      <c r="DY85" s="311"/>
      <c r="DZ85" s="311"/>
      <c r="EA85" s="311"/>
      <c r="EB85" s="319"/>
      <c r="EC85" s="311"/>
      <c r="ED85" s="311"/>
      <c r="EE85" s="311"/>
      <c r="EF85" s="311"/>
      <c r="EG85" s="319"/>
      <c r="EH85" s="311"/>
      <c r="EI85" s="311"/>
      <c r="EJ85" s="311"/>
      <c r="EK85" s="311"/>
      <c r="EL85" s="319"/>
      <c r="EM85" s="311"/>
      <c r="EN85" s="311"/>
      <c r="EO85" s="311"/>
      <c r="EP85" s="311"/>
      <c r="EQ85" s="319"/>
      <c r="ER85" s="311"/>
      <c r="ES85" s="315"/>
      <c r="ET85" s="315"/>
      <c r="EU85" s="315"/>
      <c r="EV85" s="313"/>
      <c r="EW85" s="315"/>
      <c r="EX85" s="315"/>
      <c r="EY85" s="315"/>
      <c r="EZ85" s="315"/>
      <c r="FA85" s="313"/>
      <c r="FB85" s="315"/>
      <c r="FC85" s="315"/>
      <c r="FD85" s="315"/>
      <c r="FE85" s="315"/>
      <c r="FF85" s="313"/>
      <c r="FG85" s="315"/>
      <c r="FH85" s="315"/>
      <c r="FI85" s="315"/>
      <c r="FJ85" s="315"/>
      <c r="FK85" s="313"/>
      <c r="FL85" s="315"/>
      <c r="FM85" s="315"/>
      <c r="FN85" s="315"/>
      <c r="FO85" s="315"/>
      <c r="FP85" s="313"/>
      <c r="FQ85" s="315"/>
      <c r="FR85" s="315"/>
      <c r="FS85" s="315"/>
      <c r="FT85" s="315"/>
      <c r="FU85" s="313"/>
      <c r="FV85" s="315"/>
      <c r="FW85" s="315"/>
      <c r="FX85" s="315"/>
      <c r="FY85" s="315"/>
      <c r="FZ85" s="313"/>
      <c r="GA85" s="315"/>
      <c r="GB85" s="315"/>
      <c r="GC85" s="315"/>
      <c r="GD85" s="315"/>
      <c r="GE85" s="313"/>
      <c r="GF85" s="315"/>
      <c r="GG85" s="315"/>
      <c r="GH85" s="315"/>
      <c r="GI85" s="315"/>
      <c r="GJ85" s="313"/>
    </row>
    <row r="86" spans="1:192" ht="12.75" hidden="1" customHeight="1" outlineLevel="1">
      <c r="B86" s="727" t="s">
        <v>34</v>
      </c>
      <c r="C86" s="291"/>
      <c r="D86" s="107"/>
      <c r="E86" s="107"/>
      <c r="F86" s="107"/>
      <c r="G86" s="292"/>
      <c r="H86" s="291"/>
      <c r="I86" s="107"/>
      <c r="J86" s="107"/>
      <c r="K86" s="107"/>
      <c r="L86" s="292"/>
      <c r="M86" s="291"/>
      <c r="N86" s="107"/>
      <c r="O86" s="107"/>
      <c r="P86" s="107"/>
      <c r="Q86" s="292"/>
      <c r="R86" s="291"/>
      <c r="S86" s="107"/>
      <c r="T86" s="107"/>
      <c r="U86" s="107"/>
      <c r="V86" s="292"/>
      <c r="W86" s="291"/>
      <c r="X86" s="107"/>
      <c r="Y86" s="107"/>
      <c r="Z86" s="107"/>
      <c r="AA86" s="292"/>
      <c r="AB86" s="291"/>
      <c r="AC86" s="107"/>
      <c r="AD86" s="107"/>
      <c r="AE86" s="107"/>
      <c r="AF86" s="292"/>
      <c r="AG86" s="291"/>
      <c r="AH86" s="107"/>
      <c r="AI86" s="107"/>
      <c r="AJ86" s="107"/>
      <c r="AK86" s="292"/>
      <c r="AL86" s="291"/>
      <c r="AM86" s="107"/>
      <c r="AN86" s="107"/>
      <c r="AO86" s="107"/>
      <c r="AP86" s="292"/>
      <c r="AQ86" s="291"/>
      <c r="AR86" s="107"/>
      <c r="AS86" s="107"/>
      <c r="AT86" s="107"/>
      <c r="AU86" s="292"/>
      <c r="AV86" s="291"/>
      <c r="AW86" s="107"/>
      <c r="AX86" s="107"/>
      <c r="AY86" s="107"/>
      <c r="AZ86" s="292"/>
      <c r="BA86" s="291"/>
      <c r="BB86" s="107"/>
      <c r="BC86" s="107"/>
      <c r="BD86" s="107"/>
      <c r="BE86" s="292"/>
      <c r="BF86" s="291"/>
      <c r="BG86" s="107"/>
      <c r="BH86" s="107"/>
      <c r="BI86" s="107"/>
      <c r="BJ86" s="292"/>
      <c r="BK86" s="291"/>
      <c r="BL86" s="107"/>
      <c r="BM86" s="107"/>
      <c r="BN86" s="107"/>
      <c r="BO86" s="292"/>
      <c r="BP86" s="291"/>
      <c r="BQ86" s="107"/>
      <c r="BR86" s="107"/>
      <c r="BS86" s="107"/>
      <c r="BT86" s="292"/>
      <c r="BU86" s="291"/>
      <c r="BV86" s="107"/>
      <c r="BW86" s="107"/>
      <c r="BX86" s="107"/>
      <c r="BY86" s="292"/>
      <c r="BZ86" s="291"/>
      <c r="CA86" s="107"/>
      <c r="CB86" s="107"/>
      <c r="CC86" s="107"/>
      <c r="CD86" s="292"/>
      <c r="CE86" s="291"/>
      <c r="CF86" s="107"/>
      <c r="CG86" s="107"/>
      <c r="CH86" s="107"/>
      <c r="CI86" s="292"/>
      <c r="CJ86" s="291"/>
      <c r="CK86" s="107"/>
      <c r="CL86" s="107"/>
      <c r="CM86" s="107"/>
      <c r="CN86" s="292"/>
      <c r="CO86" s="291"/>
      <c r="CP86" s="107"/>
      <c r="CQ86" s="107"/>
      <c r="CR86" s="107"/>
      <c r="CS86" s="292"/>
      <c r="CT86" s="291"/>
      <c r="CU86" s="107"/>
      <c r="CV86" s="107"/>
      <c r="CW86" s="107"/>
      <c r="CX86" s="292"/>
      <c r="CY86" s="291"/>
      <c r="CZ86" s="107"/>
      <c r="DA86" s="107" t="str">
        <f t="shared" ref="DA86:DM86" si="72">IFERROR(DA85/CV85-1,"")</f>
      </c>
      <c r="DB86" s="107" t="str">
        <f t="shared" si="72"/>
      </c>
      <c r="DC86" s="292" t="str">
        <f t="shared" si="72"/>
      </c>
      <c r="DD86" s="291" t="str">
        <f t="shared" si="72"/>
      </c>
      <c r="DE86" s="107" t="str">
        <f t="shared" si="72"/>
      </c>
      <c r="DF86" s="107">
        <f t="shared" si="72"/>
      </c>
      <c r="DG86" s="107">
        <f t="shared" si="72"/>
      </c>
      <c r="DH86" s="292">
        <f t="shared" si="72"/>
      </c>
      <c r="DI86" s="291" t="str">
        <f t="shared" si="72"/>
      </c>
      <c r="DJ86" s="107" t="str">
        <f t="shared" si="72"/>
      </c>
      <c r="DK86" s="107" t="str">
        <f t="shared" si="72"/>
      </c>
      <c r="DL86" s="107" t="str">
        <f t="shared" si="72"/>
      </c>
      <c r="DM86" s="292" t="str">
        <f t="shared" si="72"/>
      </c>
      <c r="DN86" s="291"/>
      <c r="DO86" s="107"/>
      <c r="DP86" s="107"/>
      <c r="DQ86" s="107"/>
      <c r="DR86" s="292"/>
      <c r="DS86" s="291"/>
      <c r="DT86" s="107"/>
      <c r="DU86" s="107"/>
      <c r="DV86" s="107"/>
      <c r="DW86" s="292"/>
      <c r="DX86" s="291"/>
      <c r="DY86" s="107"/>
      <c r="DZ86" s="107"/>
      <c r="EA86" s="107"/>
      <c r="EB86" s="292"/>
      <c r="EC86" s="291"/>
      <c r="ED86" s="107"/>
      <c r="EE86" s="107"/>
      <c r="EF86" s="107"/>
      <c r="EG86" s="292"/>
      <c r="EH86" s="291"/>
      <c r="EI86" s="107"/>
      <c r="EJ86" s="107"/>
      <c r="EK86" s="107"/>
      <c r="EL86" s="292"/>
      <c r="EM86" s="291"/>
      <c r="EN86" s="107"/>
      <c r="EO86" s="107"/>
      <c r="EP86" s="107"/>
      <c r="EQ86" s="292"/>
      <c r="ER86" s="291"/>
      <c r="ES86" s="107"/>
      <c r="ET86" s="107"/>
      <c r="EU86" s="107"/>
      <c r="EV86" s="292"/>
      <c r="EW86" s="291"/>
      <c r="EX86" s="107"/>
      <c r="EY86" s="107"/>
      <c r="EZ86" s="107"/>
      <c r="FA86" s="292"/>
      <c r="FB86" s="291"/>
      <c r="FC86" s="107"/>
      <c r="FD86" s="107"/>
      <c r="FE86" s="107"/>
      <c r="FF86" s="292"/>
      <c r="FG86" s="291"/>
      <c r="FH86" s="107"/>
      <c r="FI86" s="107"/>
      <c r="FJ86" s="107"/>
      <c r="FK86" s="292"/>
      <c r="FL86" s="291"/>
      <c r="FM86" s="107"/>
      <c r="FN86" s="107"/>
      <c r="FO86" s="107"/>
      <c r="FP86" s="292"/>
      <c r="FQ86" s="291"/>
      <c r="FR86" s="107"/>
      <c r="FS86" s="107"/>
      <c r="FT86" s="107"/>
      <c r="FU86" s="292"/>
      <c r="FV86" s="291"/>
      <c r="FW86" s="107"/>
      <c r="FX86" s="107"/>
      <c r="FY86" s="107"/>
      <c r="FZ86" s="292"/>
      <c r="GA86" s="291"/>
      <c r="GB86" s="107"/>
      <c r="GC86" s="107"/>
      <c r="GD86" s="107"/>
      <c r="GE86" s="292"/>
      <c r="GF86" s="291"/>
      <c r="GG86" s="107"/>
      <c r="GH86" s="107"/>
      <c r="GI86" s="107"/>
      <c r="GJ86" s="292"/>
    </row>
    <row r="87" spans="1:192" ht="12.75" hidden="1" customHeight="1" outlineLevel="1">
      <c r="B87" s="727" t="s">
        <v>36</v>
      </c>
      <c r="C87" s="291"/>
      <c r="D87" s="107"/>
      <c r="E87" s="107"/>
      <c r="F87" s="107"/>
      <c r="G87" s="293"/>
      <c r="H87" s="291"/>
      <c r="I87" s="107"/>
      <c r="J87" s="107"/>
      <c r="K87" s="107"/>
      <c r="L87" s="293"/>
      <c r="M87" s="291"/>
      <c r="N87" s="107"/>
      <c r="O87" s="107"/>
      <c r="P87" s="107"/>
      <c r="Q87" s="293"/>
      <c r="R87" s="291"/>
      <c r="S87" s="107"/>
      <c r="T87" s="107"/>
      <c r="U87" s="107"/>
      <c r="V87" s="293"/>
      <c r="W87" s="291"/>
      <c r="X87" s="107"/>
      <c r="Y87" s="107"/>
      <c r="Z87" s="107"/>
      <c r="AA87" s="293"/>
      <c r="AB87" s="291"/>
      <c r="AC87" s="107"/>
      <c r="AD87" s="107"/>
      <c r="AE87" s="107"/>
      <c r="AF87" s="293"/>
      <c r="AG87" s="291"/>
      <c r="AH87" s="107"/>
      <c r="AI87" s="107"/>
      <c r="AJ87" s="107"/>
      <c r="AK87" s="293"/>
      <c r="AL87" s="291"/>
      <c r="AM87" s="107"/>
      <c r="AN87" s="107"/>
      <c r="AO87" s="107"/>
      <c r="AP87" s="293"/>
      <c r="AQ87" s="291"/>
      <c r="AR87" s="107"/>
      <c r="AS87" s="107"/>
      <c r="AT87" s="107"/>
      <c r="AU87" s="293"/>
      <c r="AV87" s="291"/>
      <c r="AW87" s="107"/>
      <c r="AX87" s="107"/>
      <c r="AY87" s="107"/>
      <c r="AZ87" s="293"/>
      <c r="BA87" s="291"/>
      <c r="BB87" s="107"/>
      <c r="BC87" s="107"/>
      <c r="BD87" s="107"/>
      <c r="BE87" s="293"/>
      <c r="BF87" s="291"/>
      <c r="BG87" s="107"/>
      <c r="BH87" s="107"/>
      <c r="BI87" s="107"/>
      <c r="BJ87" s="293"/>
      <c r="BK87" s="291"/>
      <c r="BL87" s="107"/>
      <c r="BM87" s="107"/>
      <c r="BN87" s="107"/>
      <c r="BO87" s="293"/>
      <c r="BP87" s="291"/>
      <c r="BQ87" s="107"/>
      <c r="BR87" s="107"/>
      <c r="BS87" s="107"/>
      <c r="BT87" s="293"/>
      <c r="BU87" s="291"/>
      <c r="BV87" s="107"/>
      <c r="BW87" s="107"/>
      <c r="BX87" s="107"/>
      <c r="BY87" s="293"/>
      <c r="BZ87" s="291"/>
      <c r="CA87" s="107"/>
      <c r="CB87" s="107"/>
      <c r="CC87" s="107"/>
      <c r="CD87" s="293"/>
      <c r="CE87" s="291"/>
      <c r="CF87" s="107"/>
      <c r="CG87" s="107"/>
      <c r="CH87" s="107"/>
      <c r="CI87" s="293"/>
      <c r="CJ87" s="291"/>
      <c r="CK87" s="107"/>
      <c r="CL87" s="107"/>
      <c r="CM87" s="107"/>
      <c r="CN87" s="293"/>
      <c r="CO87" s="291"/>
      <c r="CP87" s="107"/>
      <c r="CQ87" s="107"/>
      <c r="CR87" s="107"/>
      <c r="CS87" s="293"/>
      <c r="CT87" s="291"/>
      <c r="CU87" s="107"/>
      <c r="CV87" s="107"/>
      <c r="CW87" s="107"/>
      <c r="CX87" s="293"/>
      <c r="CY87" s="291"/>
      <c r="CZ87" s="107"/>
      <c r="DA87" s="107" t="str">
        <f>IFERROR(DA85/CZ85-1,"")</f>
      </c>
      <c r="DB87" s="107">
        <f>IFERROR(DB85/DA85-1,"")</f>
      </c>
      <c r="DC87" s="293"/>
      <c r="DD87" s="291">
        <f>IFERROR(DD85/DB85-1,"--")</f>
      </c>
      <c r="DE87" s="107" t="str">
        <f>IFERROR(DE85/DD85-1,"")</f>
      </c>
      <c r="DF87" s="107" t="str">
        <f>IFERROR(DF85/DE85-1,"")</f>
      </c>
      <c r="DG87" s="107" t="str">
        <f>IFERROR(DG85/DF85-1,"")</f>
      </c>
      <c r="DH87" s="293"/>
      <c r="DI87" s="291" t="str">
        <f>IFERROR(DI85/DG85-1,"")</f>
      </c>
      <c r="DJ87" s="107" t="str">
        <f>IFERROR(DJ85/DI85-1,"")</f>
      </c>
      <c r="DK87" s="107" t="str">
        <f>IFERROR(DK85/DJ85-1,"")</f>
      </c>
      <c r="DL87" s="107" t="str">
        <f>IFERROR(DL85/DK85-1,"")</f>
      </c>
      <c r="DM87" s="293"/>
      <c r="DN87" s="291"/>
      <c r="DO87" s="107"/>
      <c r="DP87" s="107"/>
      <c r="DQ87" s="107"/>
      <c r="DR87" s="293"/>
      <c r="DS87" s="291"/>
      <c r="DT87" s="107"/>
      <c r="DU87" s="107"/>
      <c r="DV87" s="107"/>
      <c r="DW87" s="293"/>
      <c r="DX87" s="291"/>
      <c r="DY87" s="107"/>
      <c r="DZ87" s="107"/>
      <c r="EA87" s="107"/>
      <c r="EB87" s="293"/>
      <c r="EC87" s="291"/>
      <c r="ED87" s="107"/>
      <c r="EE87" s="107"/>
      <c r="EF87" s="107"/>
      <c r="EG87" s="293"/>
      <c r="EH87" s="291"/>
      <c r="EI87" s="107"/>
      <c r="EJ87" s="107"/>
      <c r="EK87" s="107"/>
      <c r="EL87" s="293"/>
      <c r="EM87" s="291"/>
      <c r="EN87" s="107"/>
      <c r="EO87" s="107"/>
      <c r="EP87" s="107"/>
      <c r="EQ87" s="293"/>
      <c r="ER87" s="291"/>
      <c r="ES87" s="107"/>
      <c r="ET87" s="107"/>
      <c r="EU87" s="107"/>
      <c r="EV87" s="293"/>
      <c r="EW87" s="291"/>
      <c r="EX87" s="107"/>
      <c r="EY87" s="107"/>
      <c r="EZ87" s="107"/>
      <c r="FA87" s="293"/>
      <c r="FB87" s="291"/>
      <c r="FC87" s="107"/>
      <c r="FD87" s="107"/>
      <c r="FE87" s="107"/>
      <c r="FF87" s="293"/>
      <c r="FG87" s="291"/>
      <c r="FH87" s="107"/>
      <c r="FI87" s="107"/>
      <c r="FJ87" s="107"/>
      <c r="FK87" s="293"/>
      <c r="FL87" s="291"/>
      <c r="FM87" s="107"/>
      <c r="FN87" s="107"/>
      <c r="FO87" s="107"/>
      <c r="FP87" s="293"/>
      <c r="FQ87" s="291"/>
      <c r="FR87" s="107"/>
      <c r="FS87" s="107"/>
      <c r="FT87" s="107"/>
      <c r="FU87" s="293"/>
      <c r="FV87" s="291"/>
      <c r="FW87" s="107"/>
      <c r="FX87" s="107"/>
      <c r="FY87" s="107"/>
      <c r="FZ87" s="293"/>
      <c r="GA87" s="291"/>
      <c r="GB87" s="107"/>
      <c r="GC87" s="107"/>
      <c r="GD87" s="107"/>
      <c r="GE87" s="293"/>
      <c r="GF87" s="291"/>
      <c r="GG87" s="107"/>
      <c r="GH87" s="107"/>
      <c r="GI87" s="107"/>
      <c r="GJ87" s="293"/>
    </row>
    <row r="88" spans="1:192" ht="12.75" hidden="1" customHeight="1" outlineLevel="1">
      <c r="B88" s="727"/>
      <c r="C88" s="291"/>
      <c r="D88" s="107"/>
      <c r="E88" s="107"/>
      <c r="F88" s="107"/>
      <c r="G88" s="293"/>
      <c r="H88" s="291"/>
      <c r="I88" s="107"/>
      <c r="J88" s="107"/>
      <c r="K88" s="107"/>
      <c r="L88" s="293"/>
      <c r="M88" s="291"/>
      <c r="N88" s="107"/>
      <c r="O88" s="107"/>
      <c r="P88" s="107"/>
      <c r="Q88" s="293"/>
      <c r="R88" s="291"/>
      <c r="S88" s="107"/>
      <c r="T88" s="107"/>
      <c r="U88" s="107"/>
      <c r="V88" s="293"/>
      <c r="W88" s="291"/>
      <c r="X88" s="107"/>
      <c r="Y88" s="107"/>
      <c r="Z88" s="107"/>
      <c r="AA88" s="293"/>
      <c r="AB88" s="291"/>
      <c r="AC88" s="107"/>
      <c r="AD88" s="107"/>
      <c r="AE88" s="107"/>
      <c r="AF88" s="293"/>
      <c r="AG88" s="291"/>
      <c r="AH88" s="107"/>
      <c r="AI88" s="107"/>
      <c r="AJ88" s="107"/>
      <c r="AK88" s="293"/>
      <c r="AL88" s="291"/>
      <c r="AM88" s="107"/>
      <c r="AN88" s="107"/>
      <c r="AO88" s="107"/>
      <c r="AP88" s="293"/>
      <c r="AQ88" s="291"/>
      <c r="AR88" s="107"/>
      <c r="AS88" s="107"/>
      <c r="AT88" s="107"/>
      <c r="AU88" s="293"/>
      <c r="AV88" s="291"/>
      <c r="AW88" s="107"/>
      <c r="AX88" s="107"/>
      <c r="AY88" s="107"/>
      <c r="AZ88" s="293"/>
      <c r="BA88" s="291"/>
      <c r="BB88" s="107"/>
      <c r="BC88" s="107"/>
      <c r="BD88" s="107"/>
      <c r="BE88" s="293"/>
      <c r="BF88" s="291"/>
      <c r="BG88" s="107"/>
      <c r="BH88" s="107"/>
      <c r="BI88" s="107"/>
      <c r="BJ88" s="293"/>
      <c r="BK88" s="291"/>
      <c r="BL88" s="107"/>
      <c r="BM88" s="107"/>
      <c r="BN88" s="107"/>
      <c r="BO88" s="293"/>
      <c r="BP88" s="291"/>
      <c r="BQ88" s="107"/>
      <c r="BR88" s="107"/>
      <c r="BS88" s="107"/>
      <c r="BT88" s="293"/>
      <c r="BU88" s="291"/>
      <c r="BV88" s="107"/>
      <c r="BW88" s="107"/>
      <c r="BX88" s="107"/>
      <c r="BY88" s="293"/>
      <c r="BZ88" s="291"/>
      <c r="CA88" s="107"/>
      <c r="CB88" s="107"/>
      <c r="CC88" s="107"/>
      <c r="CD88" s="293"/>
      <c r="CE88" s="291"/>
      <c r="CF88" s="107"/>
      <c r="CG88" s="107"/>
      <c r="CH88" s="107"/>
      <c r="CI88" s="293"/>
      <c r="CJ88" s="291"/>
      <c r="CK88" s="107"/>
      <c r="CL88" s="107"/>
      <c r="CM88" s="107"/>
      <c r="CN88" s="293"/>
      <c r="CO88" s="291"/>
      <c r="CP88" s="107"/>
      <c r="CQ88" s="107"/>
      <c r="CR88" s="107"/>
      <c r="CS88" s="293"/>
      <c r="CT88" s="291"/>
      <c r="CU88" s="107"/>
      <c r="CV88" s="107"/>
      <c r="CW88" s="107"/>
      <c r="CX88" s="293"/>
      <c r="CY88" s="291"/>
      <c r="CZ88" s="107"/>
      <c r="DA88" s="107"/>
      <c r="DB88" s="107"/>
      <c r="DC88" s="293"/>
      <c r="DD88" s="291"/>
      <c r="DE88" s="107"/>
      <c r="DF88" s="107"/>
      <c r="DG88" s="107"/>
      <c r="DH88" s="293"/>
      <c r="DI88" s="291"/>
      <c r="DJ88" s="107"/>
      <c r="DK88" s="107"/>
      <c r="DL88" s="107"/>
      <c r="DM88" s="293"/>
      <c r="DN88" s="291"/>
      <c r="DO88" s="107"/>
      <c r="DP88" s="107"/>
      <c r="DQ88" s="107"/>
      <c r="DR88" s="293"/>
      <c r="DS88" s="291"/>
      <c r="DT88" s="107"/>
      <c r="DU88" s="107"/>
      <c r="DV88" s="107"/>
      <c r="DW88" s="293"/>
      <c r="DX88" s="291"/>
      <c r="DY88" s="107"/>
      <c r="DZ88" s="107"/>
      <c r="EA88" s="107"/>
      <c r="EB88" s="293"/>
      <c r="EC88" s="291"/>
      <c r="ED88" s="107"/>
      <c r="EE88" s="107"/>
      <c r="EF88" s="107"/>
      <c r="EG88" s="293"/>
      <c r="EH88" s="291"/>
      <c r="EI88" s="107"/>
      <c r="EJ88" s="107"/>
      <c r="EK88" s="107"/>
      <c r="EL88" s="293"/>
      <c r="EM88" s="291"/>
      <c r="EN88" s="107"/>
      <c r="EO88" s="107"/>
      <c r="EP88" s="107"/>
      <c r="EQ88" s="293"/>
      <c r="ER88" s="291"/>
      <c r="ES88" s="107"/>
      <c r="ET88" s="107"/>
      <c r="EU88" s="107"/>
      <c r="EV88" s="293"/>
      <c r="EW88" s="291"/>
      <c r="EX88" s="107"/>
      <c r="EY88" s="107"/>
      <c r="EZ88" s="107"/>
      <c r="FA88" s="293"/>
      <c r="FB88" s="291"/>
      <c r="FC88" s="107"/>
      <c r="FD88" s="107"/>
      <c r="FE88" s="107"/>
      <c r="FF88" s="293"/>
      <c r="FG88" s="291"/>
      <c r="FH88" s="107"/>
      <c r="FI88" s="107"/>
      <c r="FJ88" s="107"/>
      <c r="FK88" s="293"/>
      <c r="FL88" s="291"/>
      <c r="FM88" s="107"/>
      <c r="FN88" s="107"/>
      <c r="FO88" s="107"/>
      <c r="FP88" s="293"/>
      <c r="FQ88" s="291"/>
      <c r="FR88" s="107"/>
      <c r="FS88" s="107"/>
      <c r="FT88" s="107"/>
      <c r="FU88" s="293"/>
      <c r="FV88" s="291"/>
      <c r="FW88" s="107"/>
      <c r="FX88" s="107"/>
      <c r="FY88" s="107"/>
      <c r="FZ88" s="293"/>
      <c r="GA88" s="291"/>
      <c r="GB88" s="107"/>
      <c r="GC88" s="107"/>
      <c r="GD88" s="107"/>
      <c r="GE88" s="293"/>
      <c r="GF88" s="291"/>
      <c r="GG88" s="107"/>
      <c r="GH88" s="107"/>
      <c r="GI88" s="107"/>
      <c r="GJ88" s="293"/>
    </row>
    <row r="89" spans="1:192" s="314" customFormat="1" ht="12.75" hidden="1" customHeight="1" outlineLevel="1">
      <c r="A89" s="280"/>
      <c r="B89" s="730" t="s">
        <v>193</v>
      </c>
      <c r="C89" s="315"/>
      <c r="D89" s="315"/>
      <c r="E89" s="315"/>
      <c r="F89" s="315"/>
      <c r="G89" s="313"/>
      <c r="H89" s="315"/>
      <c r="I89" s="315"/>
      <c r="J89" s="315"/>
      <c r="K89" s="315"/>
      <c r="L89" s="313"/>
      <c r="M89" s="315"/>
      <c r="N89" s="315"/>
      <c r="O89" s="315"/>
      <c r="P89" s="315"/>
      <c r="Q89" s="313"/>
      <c r="R89" s="315"/>
      <c r="S89" s="315"/>
      <c r="T89" s="315"/>
      <c r="U89" s="315"/>
      <c r="V89" s="313"/>
      <c r="W89" s="315"/>
      <c r="X89" s="315"/>
      <c r="Y89" s="315"/>
      <c r="Z89" s="315"/>
      <c r="AA89" s="313"/>
      <c r="AB89" s="315"/>
      <c r="AC89" s="315"/>
      <c r="AD89" s="315"/>
      <c r="AE89" s="315"/>
      <c r="AF89" s="313"/>
      <c r="AG89" s="315"/>
      <c r="AH89" s="315"/>
      <c r="AI89" s="315"/>
      <c r="AJ89" s="315"/>
      <c r="AK89" s="313"/>
      <c r="AL89" s="315"/>
      <c r="AM89" s="315"/>
      <c r="AN89" s="315"/>
      <c r="AO89" s="315"/>
      <c r="AP89" s="313"/>
      <c r="AQ89" s="315"/>
      <c r="AR89" s="315"/>
      <c r="AS89" s="315"/>
      <c r="AT89" s="315"/>
      <c r="AU89" s="313"/>
      <c r="AV89" s="315"/>
      <c r="AW89" s="315"/>
      <c r="AX89" s="315"/>
      <c r="AY89" s="315"/>
      <c r="AZ89" s="313"/>
      <c r="BA89" s="315"/>
      <c r="BB89" s="315"/>
      <c r="BC89" s="315"/>
      <c r="BD89" s="315"/>
      <c r="BE89" s="313"/>
      <c r="BF89" s="315"/>
      <c r="BG89" s="315"/>
      <c r="BH89" s="315"/>
      <c r="BI89" s="315"/>
      <c r="BJ89" s="313"/>
      <c r="BK89" s="315"/>
      <c r="BL89" s="315"/>
      <c r="BM89" s="315"/>
      <c r="BN89" s="315"/>
      <c r="BO89" s="313"/>
      <c r="BP89" s="315"/>
      <c r="BQ89" s="315"/>
      <c r="BR89" s="315"/>
      <c r="BS89" s="315"/>
      <c r="BT89" s="313"/>
      <c r="BU89" s="315"/>
      <c r="BV89" s="315"/>
      <c r="BW89" s="315"/>
      <c r="BX89" s="315"/>
      <c r="BY89" s="313"/>
      <c r="BZ89" s="315"/>
      <c r="CA89" s="315"/>
      <c r="CB89" s="315"/>
      <c r="CC89" s="315"/>
      <c r="CD89" s="319"/>
      <c r="CE89" s="315"/>
      <c r="CF89" s="315"/>
      <c r="CG89" s="315"/>
      <c r="CH89" s="315"/>
      <c r="CI89" s="319"/>
      <c r="CJ89" s="315"/>
      <c r="CK89" s="315"/>
      <c r="CL89" s="315"/>
      <c r="CM89" s="315"/>
      <c r="CN89" s="319"/>
      <c r="CO89" s="315"/>
      <c r="CP89" s="315"/>
      <c r="CQ89" s="315"/>
      <c r="CR89" s="315"/>
      <c r="CS89" s="319"/>
      <c r="CT89" s="315"/>
      <c r="CU89" s="315"/>
      <c r="CV89" s="315"/>
      <c r="CW89" s="315"/>
      <c r="CX89" s="319"/>
      <c r="CY89" s="311"/>
      <c r="CZ89" s="311"/>
      <c r="DA89" s="311">
        <v>-191</v>
      </c>
      <c r="DB89" s="311">
        <v>-8458</v>
      </c>
      <c r="DC89" s="319">
        <f>SUM(CY89:DB89)</f>
      </c>
      <c r="DD89" s="311">
        <v>0</v>
      </c>
      <c r="DE89" s="311">
        <v>0</v>
      </c>
      <c r="DF89" s="311">
        <f>0</f>
      </c>
      <c r="DG89" s="311">
        <v>-1110</v>
      </c>
      <c r="DH89" s="319">
        <f>SUM(DD89:DG89)</f>
      </c>
      <c r="DI89" s="311">
        <v>0</v>
      </c>
      <c r="DJ89" s="311">
        <v>0</v>
      </c>
      <c r="DK89" s="311">
        <v>0</v>
      </c>
      <c r="DL89" s="311">
        <v>-306</v>
      </c>
      <c r="DM89" s="319">
        <f>SUM(DI89:DL89)</f>
      </c>
      <c r="DN89" s="311"/>
      <c r="DO89" s="311"/>
      <c r="DP89" s="311"/>
      <c r="DQ89" s="311"/>
      <c r="DR89" s="319"/>
      <c r="DS89" s="311"/>
      <c r="DT89" s="311"/>
      <c r="DU89" s="311"/>
      <c r="DV89" s="311"/>
      <c r="DW89" s="319"/>
      <c r="DX89" s="311"/>
      <c r="DY89" s="311"/>
      <c r="DZ89" s="311"/>
      <c r="EA89" s="311"/>
      <c r="EB89" s="319"/>
      <c r="EC89" s="311"/>
      <c r="ED89" s="311"/>
      <c r="EE89" s="311"/>
      <c r="EF89" s="311"/>
      <c r="EG89" s="319"/>
      <c r="EH89" s="311"/>
      <c r="EI89" s="311"/>
      <c r="EJ89" s="311"/>
      <c r="EK89" s="311"/>
      <c r="EL89" s="319"/>
      <c r="EM89" s="311"/>
      <c r="EN89" s="311"/>
      <c r="EO89" s="311"/>
      <c r="EP89" s="311"/>
      <c r="EQ89" s="319"/>
      <c r="ER89" s="311"/>
      <c r="ES89" s="315"/>
      <c r="ET89" s="315"/>
      <c r="EU89" s="315"/>
      <c r="EV89" s="313"/>
      <c r="EW89" s="315"/>
      <c r="EX89" s="315"/>
      <c r="EY89" s="315"/>
      <c r="EZ89" s="315"/>
      <c r="FA89" s="313"/>
      <c r="FB89" s="315"/>
      <c r="FC89" s="315"/>
      <c r="FD89" s="315"/>
      <c r="FE89" s="315"/>
      <c r="FF89" s="313"/>
      <c r="FG89" s="315"/>
      <c r="FH89" s="315"/>
      <c r="FI89" s="315"/>
      <c r="FJ89" s="315"/>
      <c r="FK89" s="313"/>
      <c r="FL89" s="315"/>
      <c r="FM89" s="315"/>
      <c r="FN89" s="315"/>
      <c r="FO89" s="315"/>
      <c r="FP89" s="313"/>
      <c r="FQ89" s="315"/>
      <c r="FR89" s="315"/>
      <c r="FS89" s="315"/>
      <c r="FT89" s="315"/>
      <c r="FU89" s="313"/>
      <c r="FV89" s="315"/>
      <c r="FW89" s="315"/>
      <c r="FX89" s="315"/>
      <c r="FY89" s="315"/>
      <c r="FZ89" s="313"/>
      <c r="GA89" s="315"/>
      <c r="GB89" s="315"/>
      <c r="GC89" s="315"/>
      <c r="GD89" s="315"/>
      <c r="GE89" s="313"/>
      <c r="GF89" s="315"/>
      <c r="GG89" s="315"/>
      <c r="GH89" s="315"/>
      <c r="GI89" s="315"/>
      <c r="GJ89" s="313"/>
    </row>
    <row r="90" spans="1:192" ht="12.75" hidden="1" customHeight="1" outlineLevel="1">
      <c r="B90" s="727" t="s">
        <v>34</v>
      </c>
      <c r="C90" s="291"/>
      <c r="D90" s="107"/>
      <c r="E90" s="107"/>
      <c r="F90" s="107"/>
      <c r="G90" s="292"/>
      <c r="H90" s="291"/>
      <c r="I90" s="107"/>
      <c r="J90" s="107"/>
      <c r="K90" s="107"/>
      <c r="L90" s="292"/>
      <c r="M90" s="291"/>
      <c r="N90" s="107"/>
      <c r="O90" s="107"/>
      <c r="P90" s="107"/>
      <c r="Q90" s="292"/>
      <c r="R90" s="291"/>
      <c r="S90" s="107"/>
      <c r="T90" s="107"/>
      <c r="U90" s="107"/>
      <c r="V90" s="292"/>
      <c r="W90" s="291"/>
      <c r="X90" s="107"/>
      <c r="Y90" s="107"/>
      <c r="Z90" s="107"/>
      <c r="AA90" s="292"/>
      <c r="AB90" s="291"/>
      <c r="AC90" s="107"/>
      <c r="AD90" s="107"/>
      <c r="AE90" s="107"/>
      <c r="AF90" s="292"/>
      <c r="AG90" s="291"/>
      <c r="AH90" s="107"/>
      <c r="AI90" s="107"/>
      <c r="AJ90" s="107"/>
      <c r="AK90" s="292"/>
      <c r="AL90" s="291"/>
      <c r="AM90" s="107"/>
      <c r="AN90" s="107"/>
      <c r="AO90" s="107"/>
      <c r="AP90" s="292"/>
      <c r="AQ90" s="291"/>
      <c r="AR90" s="107"/>
      <c r="AS90" s="107"/>
      <c r="AT90" s="107"/>
      <c r="AU90" s="292"/>
      <c r="AV90" s="291"/>
      <c r="AW90" s="107"/>
      <c r="AX90" s="107"/>
      <c r="AY90" s="107"/>
      <c r="AZ90" s="292"/>
      <c r="BA90" s="291"/>
      <c r="BB90" s="107"/>
      <c r="BC90" s="107"/>
      <c r="BD90" s="107"/>
      <c r="BE90" s="292"/>
      <c r="BF90" s="291"/>
      <c r="BG90" s="107"/>
      <c r="BH90" s="107"/>
      <c r="BI90" s="107"/>
      <c r="BJ90" s="292"/>
      <c r="BK90" s="291"/>
      <c r="BL90" s="107"/>
      <c r="BM90" s="107"/>
      <c r="BN90" s="107"/>
      <c r="BO90" s="292"/>
      <c r="BP90" s="291"/>
      <c r="BQ90" s="107"/>
      <c r="BR90" s="107"/>
      <c r="BS90" s="107"/>
      <c r="BT90" s="292"/>
      <c r="BU90" s="291"/>
      <c r="BV90" s="107"/>
      <c r="BW90" s="107"/>
      <c r="BX90" s="107"/>
      <c r="BY90" s="292"/>
      <c r="BZ90" s="291"/>
      <c r="CA90" s="107"/>
      <c r="CB90" s="107"/>
      <c r="CC90" s="107"/>
      <c r="CD90" s="292"/>
      <c r="CE90" s="291"/>
      <c r="CF90" s="107"/>
      <c r="CG90" s="107"/>
      <c r="CH90" s="107"/>
      <c r="CI90" s="292"/>
      <c r="CJ90" s="291"/>
      <c r="CK90" s="107"/>
      <c r="CL90" s="107"/>
      <c r="CM90" s="107"/>
      <c r="CN90" s="292"/>
      <c r="CO90" s="291"/>
      <c r="CP90" s="107"/>
      <c r="CQ90" s="107"/>
      <c r="CR90" s="107"/>
      <c r="CS90" s="292"/>
      <c r="CT90" s="291"/>
      <c r="CU90" s="107"/>
      <c r="CV90" s="107"/>
      <c r="CW90" s="107"/>
      <c r="CX90" s="292"/>
      <c r="CY90" s="291"/>
      <c r="CZ90" s="107"/>
      <c r="DA90" s="107" t="str">
        <f t="shared" ref="DA90:DM90" si="73">IFERROR(DA89/CV89-1,"")</f>
      </c>
      <c r="DB90" s="107" t="str">
        <f t="shared" si="73"/>
      </c>
      <c r="DC90" s="292" t="str">
        <f t="shared" si="73"/>
      </c>
      <c r="DD90" s="291" t="str">
        <f t="shared" si="73"/>
      </c>
      <c r="DE90" s="107" t="str">
        <f t="shared" si="73"/>
      </c>
      <c r="DF90" s="107">
        <f t="shared" si="73"/>
      </c>
      <c r="DG90" s="107">
        <f t="shared" si="73"/>
      </c>
      <c r="DH90" s="292">
        <f t="shared" si="73"/>
      </c>
      <c r="DI90" s="291" t="str">
        <f t="shared" si="73"/>
      </c>
      <c r="DJ90" s="107" t="str">
        <f t="shared" si="73"/>
      </c>
      <c r="DK90" s="107" t="str">
        <f t="shared" si="73"/>
      </c>
      <c r="DL90" s="107">
        <f t="shared" si="73"/>
      </c>
      <c r="DM90" s="292">
        <f t="shared" si="73"/>
      </c>
      <c r="DN90" s="291"/>
      <c r="DO90" s="107"/>
      <c r="DP90" s="107"/>
      <c r="DQ90" s="107"/>
      <c r="DR90" s="292"/>
      <c r="DS90" s="291"/>
      <c r="DT90" s="107"/>
      <c r="DU90" s="107"/>
      <c r="DV90" s="107"/>
      <c r="DW90" s="292"/>
      <c r="DX90" s="291"/>
      <c r="DY90" s="107"/>
      <c r="DZ90" s="107"/>
      <c r="EA90" s="107"/>
      <c r="EB90" s="292"/>
      <c r="EC90" s="291"/>
      <c r="ED90" s="107"/>
      <c r="EE90" s="107"/>
      <c r="EF90" s="107"/>
      <c r="EG90" s="292"/>
      <c r="EH90" s="291"/>
      <c r="EI90" s="107"/>
      <c r="EJ90" s="107"/>
      <c r="EK90" s="107"/>
      <c r="EL90" s="292"/>
      <c r="EM90" s="291"/>
      <c r="EN90" s="107"/>
      <c r="EO90" s="107"/>
      <c r="EP90" s="107"/>
      <c r="EQ90" s="292"/>
      <c r="ER90" s="291"/>
      <c r="ES90" s="107"/>
      <c r="ET90" s="107"/>
      <c r="EU90" s="107"/>
      <c r="EV90" s="292"/>
      <c r="EW90" s="291"/>
      <c r="EX90" s="107"/>
      <c r="EY90" s="107"/>
      <c r="EZ90" s="107"/>
      <c r="FA90" s="292"/>
      <c r="FB90" s="291"/>
      <c r="FC90" s="107"/>
      <c r="FD90" s="107"/>
      <c r="FE90" s="107"/>
      <c r="FF90" s="292"/>
      <c r="FG90" s="291"/>
      <c r="FH90" s="107"/>
      <c r="FI90" s="107"/>
      <c r="FJ90" s="107"/>
      <c r="FK90" s="292"/>
      <c r="FL90" s="291"/>
      <c r="FM90" s="107"/>
      <c r="FN90" s="107"/>
      <c r="FO90" s="107"/>
      <c r="FP90" s="292"/>
      <c r="FQ90" s="291"/>
      <c r="FR90" s="107"/>
      <c r="FS90" s="107"/>
      <c r="FT90" s="107"/>
      <c r="FU90" s="292"/>
      <c r="FV90" s="291"/>
      <c r="FW90" s="107"/>
      <c r="FX90" s="107"/>
      <c r="FY90" s="107"/>
      <c r="FZ90" s="292"/>
      <c r="GA90" s="291"/>
      <c r="GB90" s="107"/>
      <c r="GC90" s="107"/>
      <c r="GD90" s="107"/>
      <c r="GE90" s="292"/>
      <c r="GF90" s="291"/>
      <c r="GG90" s="107"/>
      <c r="GH90" s="107"/>
      <c r="GI90" s="107"/>
      <c r="GJ90" s="292"/>
    </row>
    <row r="91" spans="1:192" ht="12.75" hidden="1" customHeight="1" outlineLevel="1">
      <c r="B91" s="727" t="s">
        <v>36</v>
      </c>
      <c r="C91" s="291"/>
      <c r="D91" s="107"/>
      <c r="E91" s="107"/>
      <c r="F91" s="107"/>
      <c r="G91" s="293"/>
      <c r="H91" s="291"/>
      <c r="I91" s="107"/>
      <c r="J91" s="107"/>
      <c r="K91" s="107"/>
      <c r="L91" s="293"/>
      <c r="M91" s="291"/>
      <c r="N91" s="107"/>
      <c r="O91" s="107"/>
      <c r="P91" s="107"/>
      <c r="Q91" s="293"/>
      <c r="R91" s="291"/>
      <c r="S91" s="107"/>
      <c r="T91" s="107"/>
      <c r="U91" s="107"/>
      <c r="V91" s="293"/>
      <c r="W91" s="291"/>
      <c r="X91" s="107"/>
      <c r="Y91" s="107"/>
      <c r="Z91" s="107"/>
      <c r="AA91" s="293"/>
      <c r="AB91" s="291"/>
      <c r="AC91" s="107"/>
      <c r="AD91" s="107"/>
      <c r="AE91" s="107"/>
      <c r="AF91" s="293"/>
      <c r="AG91" s="291"/>
      <c r="AH91" s="107"/>
      <c r="AI91" s="107"/>
      <c r="AJ91" s="107"/>
      <c r="AK91" s="293"/>
      <c r="AL91" s="291"/>
      <c r="AM91" s="107"/>
      <c r="AN91" s="107"/>
      <c r="AO91" s="107"/>
      <c r="AP91" s="293"/>
      <c r="AQ91" s="291"/>
      <c r="AR91" s="107"/>
      <c r="AS91" s="107"/>
      <c r="AT91" s="107"/>
      <c r="AU91" s="293"/>
      <c r="AV91" s="291"/>
      <c r="AW91" s="107"/>
      <c r="AX91" s="107"/>
      <c r="AY91" s="107"/>
      <c r="AZ91" s="293"/>
      <c r="BA91" s="291"/>
      <c r="BB91" s="107"/>
      <c r="BC91" s="107"/>
      <c r="BD91" s="107"/>
      <c r="BE91" s="293"/>
      <c r="BF91" s="291"/>
      <c r="BG91" s="107"/>
      <c r="BH91" s="107"/>
      <c r="BI91" s="107"/>
      <c r="BJ91" s="293"/>
      <c r="BK91" s="291"/>
      <c r="BL91" s="107"/>
      <c r="BM91" s="107"/>
      <c r="BN91" s="107"/>
      <c r="BO91" s="293"/>
      <c r="BP91" s="291"/>
      <c r="BQ91" s="107"/>
      <c r="BR91" s="107"/>
      <c r="BS91" s="107"/>
      <c r="BT91" s="293"/>
      <c r="BU91" s="291"/>
      <c r="BV91" s="107"/>
      <c r="BW91" s="107"/>
      <c r="BX91" s="107"/>
      <c r="BY91" s="293"/>
      <c r="BZ91" s="291"/>
      <c r="CA91" s="107"/>
      <c r="CB91" s="107"/>
      <c r="CC91" s="107"/>
      <c r="CD91" s="293"/>
      <c r="CE91" s="291"/>
      <c r="CF91" s="107"/>
      <c r="CG91" s="107"/>
      <c r="CH91" s="107"/>
      <c r="CI91" s="293"/>
      <c r="CJ91" s="291"/>
      <c r="CK91" s="107"/>
      <c r="CL91" s="107"/>
      <c r="CM91" s="107"/>
      <c r="CN91" s="293"/>
      <c r="CO91" s="291"/>
      <c r="CP91" s="107"/>
      <c r="CQ91" s="107"/>
      <c r="CR91" s="107"/>
      <c r="CS91" s="293"/>
      <c r="CT91" s="291"/>
      <c r="CU91" s="107"/>
      <c r="CV91" s="107"/>
      <c r="CW91" s="107"/>
      <c r="CX91" s="293"/>
      <c r="CY91" s="291"/>
      <c r="CZ91" s="107"/>
      <c r="DA91" s="107" t="str">
        <f>IFERROR(DA89/CZ89-1,"")</f>
      </c>
      <c r="DB91" s="107">
        <f>IFERROR(DB89/DA89-1,"")</f>
      </c>
      <c r="DC91" s="293"/>
      <c r="DD91" s="291">
        <f>IFERROR(DD89/DB89-1,"--")</f>
      </c>
      <c r="DE91" s="107" t="str">
        <f>IFERROR(DE89/DD89-1,"")</f>
      </c>
      <c r="DF91" s="107" t="str">
        <f>IFERROR(DF89/DE89-1,"")</f>
      </c>
      <c r="DG91" s="107" t="str">
        <f>IFERROR(DG89/DF89-1,"")</f>
      </c>
      <c r="DH91" s="293"/>
      <c r="DI91" s="291">
        <f>IFERROR(DI89/DG89-1,"")</f>
      </c>
      <c r="DJ91" s="107" t="str">
        <f>IFERROR(DJ89/DI89-1,"")</f>
      </c>
      <c r="DK91" s="107" t="str">
        <f>IFERROR(DK89/DJ89-1,"")</f>
      </c>
      <c r="DL91" s="107" t="str">
        <f>IFERROR(DL89/DK89-1,"")</f>
      </c>
      <c r="DM91" s="293"/>
      <c r="DN91" s="291"/>
      <c r="DO91" s="107"/>
      <c r="DP91" s="107"/>
      <c r="DQ91" s="107"/>
      <c r="DR91" s="293"/>
      <c r="DS91" s="291"/>
      <c r="DT91" s="107"/>
      <c r="DU91" s="107"/>
      <c r="DV91" s="107"/>
      <c r="DW91" s="293"/>
      <c r="DX91" s="291"/>
      <c r="DY91" s="107"/>
      <c r="DZ91" s="107"/>
      <c r="EA91" s="107"/>
      <c r="EB91" s="293"/>
      <c r="EC91" s="291"/>
      <c r="ED91" s="107"/>
      <c r="EE91" s="107"/>
      <c r="EF91" s="107"/>
      <c r="EG91" s="293"/>
      <c r="EH91" s="291"/>
      <c r="EI91" s="107"/>
      <c r="EJ91" s="107"/>
      <c r="EK91" s="107"/>
      <c r="EL91" s="293"/>
      <c r="EM91" s="291"/>
      <c r="EN91" s="107"/>
      <c r="EO91" s="107"/>
      <c r="EP91" s="107"/>
      <c r="EQ91" s="293"/>
      <c r="ER91" s="291"/>
      <c r="ES91" s="107"/>
      <c r="ET91" s="107"/>
      <c r="EU91" s="107"/>
      <c r="EV91" s="293"/>
      <c r="EW91" s="291"/>
      <c r="EX91" s="107"/>
      <c r="EY91" s="107"/>
      <c r="EZ91" s="107"/>
      <c r="FA91" s="293"/>
      <c r="FB91" s="291"/>
      <c r="FC91" s="107"/>
      <c r="FD91" s="107"/>
      <c r="FE91" s="107"/>
      <c r="FF91" s="293"/>
      <c r="FG91" s="291"/>
      <c r="FH91" s="107"/>
      <c r="FI91" s="107"/>
      <c r="FJ91" s="107"/>
      <c r="FK91" s="293"/>
      <c r="FL91" s="291"/>
      <c r="FM91" s="107"/>
      <c r="FN91" s="107"/>
      <c r="FO91" s="107"/>
      <c r="FP91" s="293"/>
      <c r="FQ91" s="291"/>
      <c r="FR91" s="107"/>
      <c r="FS91" s="107"/>
      <c r="FT91" s="107"/>
      <c r="FU91" s="293"/>
      <c r="FV91" s="291"/>
      <c r="FW91" s="107"/>
      <c r="FX91" s="107"/>
      <c r="FY91" s="107"/>
      <c r="FZ91" s="293"/>
      <c r="GA91" s="291"/>
      <c r="GB91" s="107"/>
      <c r="GC91" s="107"/>
      <c r="GD91" s="107"/>
      <c r="GE91" s="293"/>
      <c r="GF91" s="291"/>
      <c r="GG91" s="107"/>
      <c r="GH91" s="107"/>
      <c r="GI91" s="107"/>
      <c r="GJ91" s="293"/>
    </row>
    <row r="92" spans="1:192" ht="12.75" customHeight="1" collapsed="1">
      <c r="B92" s="702"/>
      <c r="C92" s="248"/>
      <c r="D92" s="266"/>
      <c r="E92" s="266"/>
      <c r="F92" s="266"/>
      <c r="G92" s="304"/>
      <c r="H92" s="248"/>
      <c r="I92" s="266"/>
      <c r="J92" s="266"/>
      <c r="K92" s="266"/>
      <c r="L92" s="304"/>
      <c r="M92" s="248"/>
      <c r="N92" s="266"/>
      <c r="O92" s="266"/>
      <c r="P92" s="266"/>
      <c r="Q92" s="304"/>
      <c r="R92" s="248"/>
      <c r="S92" s="266"/>
      <c r="T92" s="266"/>
      <c r="U92" s="266"/>
      <c r="V92" s="304"/>
      <c r="W92" s="248"/>
      <c r="X92" s="266"/>
      <c r="Y92" s="266"/>
      <c r="Z92" s="266"/>
      <c r="AA92" s="304"/>
      <c r="AB92" s="248"/>
      <c r="AC92" s="266"/>
      <c r="AD92" s="266"/>
      <c r="AE92" s="266"/>
      <c r="AF92" s="304"/>
      <c r="AG92" s="248"/>
      <c r="AH92" s="266"/>
      <c r="AI92" s="266"/>
      <c r="AJ92" s="266"/>
      <c r="AK92" s="304"/>
      <c r="AL92" s="248"/>
      <c r="AM92" s="266"/>
      <c r="AN92" s="266"/>
      <c r="AO92" s="266"/>
      <c r="AP92" s="304"/>
      <c r="AQ92" s="248"/>
      <c r="AR92" s="266"/>
      <c r="AS92" s="266"/>
      <c r="AT92" s="266"/>
      <c r="AU92" s="304"/>
      <c r="AV92" s="248"/>
      <c r="AW92" s="266"/>
      <c r="AX92" s="266"/>
      <c r="AY92" s="266"/>
      <c r="AZ92" s="304"/>
      <c r="BA92" s="248"/>
      <c r="BB92" s="266"/>
      <c r="BC92" s="266"/>
      <c r="BD92" s="266"/>
      <c r="BE92" s="304"/>
      <c r="BF92" s="248"/>
      <c r="BG92" s="266"/>
      <c r="BH92" s="266"/>
      <c r="BI92" s="266"/>
      <c r="BJ92" s="304"/>
      <c r="BK92" s="248"/>
      <c r="BL92" s="266"/>
      <c r="BM92" s="266"/>
      <c r="BN92" s="266"/>
      <c r="BO92" s="304"/>
      <c r="BP92" s="248"/>
      <c r="BQ92" s="266"/>
      <c r="BR92" s="266"/>
      <c r="BS92" s="266"/>
      <c r="BT92" s="304"/>
      <c r="BU92" s="248"/>
      <c r="BV92" s="266"/>
      <c r="BW92" s="266"/>
      <c r="BX92" s="266"/>
      <c r="BY92" s="304"/>
      <c r="BZ92" s="248"/>
      <c r="CA92" s="266"/>
      <c r="CB92" s="266"/>
      <c r="CC92" s="266"/>
      <c r="CD92" s="434"/>
      <c r="CE92" s="248"/>
      <c r="CF92" s="266"/>
      <c r="CG92" s="266"/>
      <c r="CH92" s="266"/>
      <c r="CI92" s="434"/>
      <c r="CJ92" s="248"/>
      <c r="CK92" s="266"/>
      <c r="CL92" s="266"/>
      <c r="CM92" s="266"/>
      <c r="CN92" s="434"/>
      <c r="CO92" s="248"/>
      <c r="CP92" s="266"/>
      <c r="CQ92" s="266"/>
      <c r="CR92" s="266"/>
      <c r="CS92" s="434"/>
      <c r="CT92" s="248"/>
      <c r="CU92" s="266"/>
      <c r="CV92" s="517"/>
      <c r="CW92" s="266"/>
      <c r="CX92" s="434"/>
      <c r="CY92" s="248"/>
      <c r="CZ92" s="266"/>
      <c r="DA92" s="266"/>
      <c r="DB92" s="266"/>
      <c r="DC92" s="434"/>
      <c r="DD92" s="248"/>
      <c r="DE92" s="266"/>
      <c r="DF92" s="266"/>
      <c r="DG92" s="266"/>
      <c r="DH92" s="434"/>
      <c r="DI92" s="248"/>
      <c r="DJ92" s="517"/>
      <c r="DK92" s="518"/>
      <c r="DL92" s="266"/>
      <c r="DM92" s="434"/>
      <c r="DN92" s="248"/>
      <c r="DO92" s="266"/>
      <c r="DP92" s="266"/>
      <c r="DQ92" s="266"/>
      <c r="DR92" s="434"/>
      <c r="DS92" s="248"/>
      <c r="DT92" s="266"/>
      <c r="DU92" s="266"/>
      <c r="DV92" s="266"/>
      <c r="DW92" s="434"/>
      <c r="DX92" s="248"/>
      <c r="DY92" s="266"/>
      <c r="DZ92" s="266"/>
      <c r="EA92" s="266"/>
      <c r="EB92" s="434"/>
      <c r="EC92" s="248"/>
      <c r="ED92" s="266"/>
      <c r="EE92" s="266"/>
      <c r="EF92" s="266"/>
      <c r="EG92" s="434"/>
      <c r="EH92" s="248"/>
      <c r="EI92" s="266"/>
      <c r="EJ92" s="266"/>
      <c r="EK92" s="266"/>
      <c r="EL92" s="429"/>
      <c r="EM92" s="248"/>
      <c r="EN92" s="266"/>
      <c r="EO92" s="266"/>
      <c r="EP92" s="266"/>
      <c r="EQ92" s="429"/>
      <c r="ER92" s="248"/>
      <c r="ES92" s="266"/>
      <c r="ET92" s="266"/>
      <c r="EU92" s="266"/>
      <c r="EV92" s="304"/>
      <c r="EW92" s="248"/>
      <c r="EX92" s="266"/>
      <c r="EY92" s="266"/>
      <c r="EZ92" s="266"/>
      <c r="FA92" s="304"/>
      <c r="FB92" s="248"/>
      <c r="FC92" s="266"/>
      <c r="FD92" s="266"/>
      <c r="FE92" s="266"/>
      <c r="FF92" s="304"/>
      <c r="FG92" s="248"/>
      <c r="FH92" s="266"/>
      <c r="FI92" s="266"/>
      <c r="FJ92" s="266"/>
      <c r="FK92" s="304"/>
      <c r="FL92" s="248"/>
      <c r="FM92" s="266"/>
      <c r="FN92" s="266"/>
      <c r="FO92" s="266"/>
      <c r="FP92" s="304"/>
      <c r="FQ92" s="248"/>
      <c r="FR92" s="266"/>
      <c r="FS92" s="266"/>
      <c r="FT92" s="266"/>
      <c r="FU92" s="304"/>
      <c r="FV92" s="248"/>
      <c r="FW92" s="266"/>
      <c r="FX92" s="266"/>
      <c r="FY92" s="266"/>
      <c r="FZ92" s="304"/>
      <c r="GA92" s="248"/>
      <c r="GB92" s="266"/>
      <c r="GC92" s="266"/>
      <c r="GD92" s="266"/>
      <c r="GE92" s="304"/>
      <c r="GF92" s="248"/>
      <c r="GG92" s="266"/>
      <c r="GH92" s="266"/>
      <c r="GI92" s="266"/>
      <c r="GJ92" s="304"/>
    </row>
    <row r="93" spans="1:192" ht="12.75" customHeight="1" thickBot="1">
      <c r="B93" s="702"/>
      <c r="C93" s="248"/>
      <c r="D93" s="266"/>
      <c r="E93" s="266"/>
      <c r="F93" s="266"/>
      <c r="G93" s="266"/>
      <c r="H93" s="248"/>
      <c r="I93" s="266"/>
      <c r="J93" s="266"/>
      <c r="K93" s="266"/>
      <c r="L93" s="266"/>
      <c r="M93" s="248"/>
      <c r="N93" s="266"/>
      <c r="O93" s="266"/>
      <c r="P93" s="266"/>
      <c r="Q93" s="266"/>
      <c r="R93" s="248"/>
      <c r="S93" s="266"/>
      <c r="T93" s="266"/>
      <c r="U93" s="266"/>
      <c r="V93" s="266"/>
      <c r="W93" s="248"/>
      <c r="X93" s="266"/>
      <c r="Y93" s="266"/>
      <c r="Z93" s="266"/>
      <c r="AA93" s="266"/>
      <c r="AB93" s="248"/>
      <c r="AC93" s="266"/>
      <c r="AD93" s="266"/>
      <c r="AE93" s="266"/>
      <c r="AF93" s="266"/>
      <c r="AG93" s="248"/>
      <c r="AH93" s="266"/>
      <c r="AI93" s="266"/>
      <c r="AJ93" s="266"/>
      <c r="AK93" s="266"/>
      <c r="AL93" s="248"/>
      <c r="AM93" s="266"/>
      <c r="AN93" s="266"/>
      <c r="AO93" s="266"/>
      <c r="AP93" s="266"/>
      <c r="AQ93" s="248"/>
      <c r="AR93" s="266"/>
      <c r="AS93" s="266"/>
      <c r="AT93" s="266"/>
      <c r="AU93" s="266"/>
      <c r="AV93" s="248"/>
      <c r="AW93" s="266"/>
      <c r="AX93" s="266"/>
      <c r="AY93" s="266"/>
      <c r="AZ93" s="266"/>
      <c r="BA93" s="248"/>
      <c r="BB93" s="266"/>
      <c r="BC93" s="266"/>
      <c r="BD93" s="266"/>
      <c r="BE93" s="266"/>
      <c r="BF93" s="248"/>
      <c r="BG93" s="266"/>
      <c r="BH93" s="266"/>
      <c r="BI93" s="266"/>
      <c r="BJ93" s="266"/>
      <c r="BK93" s="248"/>
      <c r="BL93" s="266"/>
      <c r="BM93" s="266"/>
      <c r="BN93" s="266"/>
      <c r="BO93" s="266"/>
      <c r="BP93" s="248"/>
      <c r="BQ93" s="266"/>
      <c r="BR93" s="266"/>
      <c r="BS93" s="266"/>
      <c r="BT93" s="266"/>
      <c r="BU93" s="248"/>
      <c r="BV93" s="266"/>
      <c r="BW93" s="266"/>
      <c r="BX93" s="266"/>
      <c r="BY93" s="266"/>
      <c r="BZ93" s="248"/>
      <c r="CA93" s="266"/>
      <c r="CB93" s="266"/>
      <c r="CC93" s="266"/>
      <c r="CD93" s="251"/>
      <c r="CE93" s="248"/>
      <c r="CF93" s="266"/>
      <c r="CG93" s="266"/>
      <c r="CH93" s="266"/>
      <c r="CI93" s="251"/>
      <c r="CJ93" s="248"/>
      <c r="CK93" s="266"/>
      <c r="CL93" s="266"/>
      <c r="CM93" s="266"/>
      <c r="CN93" s="251"/>
      <c r="CO93" s="248"/>
      <c r="CP93" s="266"/>
      <c r="CQ93" s="266"/>
      <c r="CR93" s="266"/>
      <c r="CS93" s="251"/>
      <c r="CT93" s="248"/>
      <c r="CU93" s="266"/>
      <c r="CV93" s="519"/>
      <c r="CW93" s="518"/>
      <c r="CX93" s="251"/>
      <c r="CY93" s="248"/>
      <c r="CZ93" s="266"/>
      <c r="DA93" s="266"/>
      <c r="DB93" s="266"/>
      <c r="DC93" s="251"/>
      <c r="DD93" s="248"/>
      <c r="DE93" s="266"/>
      <c r="DF93" s="266"/>
      <c r="DG93" s="266"/>
      <c r="DH93" s="251"/>
      <c r="DI93" s="248"/>
      <c r="DJ93" s="517"/>
      <c r="DK93" s="518"/>
      <c r="DL93" s="266"/>
      <c r="DM93" s="251"/>
      <c r="DN93" s="248"/>
      <c r="DO93" s="266"/>
      <c r="DP93" s="266"/>
      <c r="DQ93" s="266"/>
      <c r="DR93" s="251"/>
      <c r="DS93" s="248"/>
      <c r="DT93" s="266"/>
      <c r="DU93" s="266"/>
      <c r="DV93" s="266"/>
      <c r="DW93" s="251"/>
      <c r="DX93" s="248"/>
      <c r="DY93" s="266"/>
      <c r="DZ93" s="266"/>
      <c r="EA93" s="266"/>
      <c r="EB93" s="251"/>
      <c r="EC93" s="248"/>
      <c r="ED93" s="266"/>
      <c r="EE93" s="266"/>
      <c r="EF93" s="266"/>
      <c r="EG93" s="251"/>
      <c r="EH93" s="248"/>
      <c r="EI93" s="266"/>
      <c r="EJ93" s="266"/>
      <c r="EK93" s="266"/>
      <c r="EL93" s="251"/>
      <c r="EM93" s="248"/>
      <c r="EN93" s="266"/>
      <c r="EO93" s="266"/>
      <c r="EP93" s="266"/>
      <c r="EQ93" s="251"/>
      <c r="ER93" s="248"/>
      <c r="ES93" s="266"/>
      <c r="ET93" s="266"/>
      <c r="EU93" s="266"/>
      <c r="EV93" s="266"/>
      <c r="EW93" s="248"/>
      <c r="EX93" s="266"/>
      <c r="EY93" s="266"/>
      <c r="EZ93" s="266"/>
      <c r="FA93" s="266"/>
      <c r="FB93" s="248"/>
      <c r="FC93" s="266"/>
      <c r="FD93" s="266"/>
      <c r="FE93" s="266"/>
      <c r="FF93" s="266"/>
      <c r="FG93" s="248"/>
      <c r="FH93" s="266"/>
      <c r="FI93" s="266"/>
      <c r="FJ93" s="266"/>
      <c r="FK93" s="266"/>
      <c r="FL93" s="248"/>
      <c r="FM93" s="266"/>
      <c r="FN93" s="266"/>
      <c r="FO93" s="266"/>
      <c r="FP93" s="266"/>
      <c r="FQ93" s="248"/>
      <c r="FR93" s="266"/>
      <c r="FS93" s="266"/>
      <c r="FT93" s="266"/>
      <c r="FU93" s="266"/>
      <c r="FV93" s="248"/>
      <c r="FW93" s="266"/>
      <c r="FX93" s="266"/>
      <c r="FY93" s="266"/>
      <c r="FZ93" s="266"/>
      <c r="GA93" s="248"/>
      <c r="GB93" s="266"/>
      <c r="GC93" s="266"/>
      <c r="GD93" s="266"/>
      <c r="GE93" s="266"/>
      <c r="GF93" s="248"/>
      <c r="GG93" s="266"/>
      <c r="GH93" s="266"/>
      <c r="GI93" s="266"/>
      <c r="GJ93" s="266"/>
    </row>
    <row r="94" spans="1:192" ht="12.75" customHeight="1" thickBot="1">
      <c r="B94" s="731" t="s">
        <v>201</v>
      </c>
      <c r="C94" s="396"/>
      <c r="D94" s="397"/>
      <c r="E94" s="397"/>
      <c r="F94" s="397"/>
      <c r="G94" s="397"/>
      <c r="H94" s="396"/>
      <c r="I94" s="397"/>
      <c r="J94" s="397"/>
      <c r="K94" s="397"/>
      <c r="L94" s="397"/>
      <c r="M94" s="396"/>
      <c r="N94" s="397"/>
      <c r="O94" s="397"/>
      <c r="P94" s="397"/>
      <c r="Q94" s="397"/>
      <c r="R94" s="396"/>
      <c r="S94" s="397"/>
      <c r="T94" s="397"/>
      <c r="U94" s="397"/>
      <c r="V94" s="397"/>
      <c r="W94" s="396"/>
      <c r="X94" s="397"/>
      <c r="Y94" s="397"/>
      <c r="Z94" s="397"/>
      <c r="AA94" s="397"/>
      <c r="AB94" s="396"/>
      <c r="AC94" s="397"/>
      <c r="AD94" s="397"/>
      <c r="AE94" s="397"/>
      <c r="AF94" s="397"/>
      <c r="AG94" s="396"/>
      <c r="AH94" s="397"/>
      <c r="AI94" s="397"/>
      <c r="AJ94" s="397"/>
      <c r="AK94" s="397"/>
      <c r="AL94" s="396"/>
      <c r="AM94" s="397"/>
      <c r="AN94" s="397"/>
      <c r="AO94" s="397"/>
      <c r="AP94" s="397"/>
      <c r="AQ94" s="396"/>
      <c r="AR94" s="397"/>
      <c r="AS94" s="397"/>
      <c r="AT94" s="397"/>
      <c r="AU94" s="397"/>
      <c r="AV94" s="396"/>
      <c r="AW94" s="397"/>
      <c r="AX94" s="397"/>
      <c r="AY94" s="397"/>
      <c r="AZ94" s="397"/>
      <c r="BA94" s="396"/>
      <c r="BB94" s="397"/>
      <c r="BC94" s="397"/>
      <c r="BD94" s="397"/>
      <c r="BE94" s="397"/>
      <c r="BF94" s="396"/>
      <c r="BG94" s="397"/>
      <c r="BH94" s="397"/>
      <c r="BI94" s="397"/>
      <c r="BJ94" s="397"/>
      <c r="BK94" s="396"/>
      <c r="BL94" s="397"/>
      <c r="BM94" s="397"/>
      <c r="BN94" s="397"/>
      <c r="BO94" s="397"/>
      <c r="BP94" s="396"/>
      <c r="BQ94" s="397"/>
      <c r="BR94" s="397"/>
      <c r="BS94" s="397"/>
      <c r="BT94" s="397"/>
      <c r="BU94" s="396"/>
      <c r="BV94" s="397"/>
      <c r="BW94" s="397"/>
      <c r="BX94" s="397"/>
      <c r="BY94" s="397"/>
      <c r="BZ94" s="396"/>
      <c r="CA94" s="397"/>
      <c r="CB94" s="397"/>
      <c r="CC94" s="397"/>
      <c r="CD94" s="430"/>
      <c r="CE94" s="396"/>
      <c r="CF94" s="397"/>
      <c r="CG94" s="397"/>
      <c r="CH94" s="397"/>
      <c r="CI94" s="430"/>
      <c r="CJ94" s="396"/>
      <c r="CK94" s="397"/>
      <c r="CL94" s="397"/>
      <c r="CM94" s="397"/>
      <c r="CN94" s="430"/>
      <c r="CO94" s="396"/>
      <c r="CP94" s="397"/>
      <c r="CQ94" s="397"/>
      <c r="CR94" s="397"/>
      <c r="CS94" s="430"/>
      <c r="CT94" s="396"/>
      <c r="CU94" s="397"/>
      <c r="CV94" s="397"/>
      <c r="CW94" s="397"/>
      <c r="CX94" s="430"/>
      <c r="CY94" s="396"/>
      <c r="CZ94" s="397"/>
      <c r="DA94" s="397"/>
      <c r="DB94" s="397"/>
      <c r="DC94" s="430"/>
      <c r="DD94" s="396"/>
      <c r="DE94" s="397"/>
      <c r="DF94" s="397"/>
      <c r="DG94" s="397"/>
      <c r="DH94" s="430"/>
      <c r="DI94" s="396"/>
      <c r="DJ94" s="397"/>
      <c r="DK94" s="397"/>
      <c r="DL94" s="397"/>
      <c r="DM94" s="430"/>
      <c r="DN94" s="396"/>
      <c r="DO94" s="397"/>
      <c r="DP94" s="397"/>
      <c r="DQ94" s="397"/>
      <c r="DR94" s="430"/>
      <c r="DS94" s="396"/>
      <c r="DT94" s="397"/>
      <c r="DU94" s="397"/>
      <c r="DV94" s="397"/>
      <c r="DW94" s="430"/>
      <c r="DX94" s="396"/>
      <c r="DY94" s="397"/>
      <c r="DZ94" s="397"/>
      <c r="EA94" s="397"/>
      <c r="EB94" s="430"/>
      <c r="EC94" s="396"/>
      <c r="ED94" s="397"/>
      <c r="EE94" s="397"/>
      <c r="EF94" s="397"/>
      <c r="EG94" s="430"/>
      <c r="EH94" s="396"/>
      <c r="EI94" s="397"/>
      <c r="EJ94" s="397"/>
      <c r="EK94" s="397"/>
      <c r="EL94" s="430"/>
      <c r="EM94" s="396"/>
      <c r="EN94" s="397"/>
      <c r="EO94" s="397"/>
      <c r="EP94" s="397"/>
      <c r="EQ94" s="430"/>
      <c r="ER94" s="396"/>
      <c r="ES94" s="397"/>
      <c r="ET94" s="397"/>
      <c r="EU94" s="397"/>
      <c r="EV94" s="397"/>
      <c r="EW94" s="396"/>
      <c r="EX94" s="397"/>
      <c r="EY94" s="397"/>
      <c r="EZ94" s="397"/>
      <c r="FA94" s="397"/>
      <c r="FB94" s="396"/>
      <c r="FC94" s="397"/>
      <c r="FD94" s="397"/>
      <c r="FE94" s="397"/>
      <c r="FF94" s="397"/>
      <c r="FG94" s="396"/>
      <c r="FH94" s="397"/>
      <c r="FI94" s="397"/>
      <c r="FJ94" s="397"/>
      <c r="FK94" s="397"/>
      <c r="FL94" s="396"/>
      <c r="FM94" s="397"/>
      <c r="FN94" s="397"/>
      <c r="FO94" s="397"/>
      <c r="FP94" s="397"/>
      <c r="FQ94" s="396"/>
      <c r="FR94" s="397"/>
      <c r="FS94" s="397"/>
      <c r="FT94" s="397"/>
      <c r="FU94" s="397"/>
      <c r="FV94" s="396"/>
      <c r="FW94" s="397"/>
      <c r="FX94" s="397"/>
      <c r="FY94" s="397"/>
      <c r="FZ94" s="397"/>
      <c r="GA94" s="396"/>
      <c r="GB94" s="397"/>
      <c r="GC94" s="397"/>
      <c r="GD94" s="397"/>
      <c r="GE94" s="397"/>
      <c r="GF94" s="396"/>
      <c r="GG94" s="397"/>
      <c r="GH94" s="397"/>
      <c r="GI94" s="397"/>
      <c r="GJ94" s="398"/>
    </row>
    <row r="95" spans="1:192" ht="12.75" customHeight="1">
      <c r="B95" s="740"/>
      <c r="C95" s="298"/>
      <c r="D95" s="295"/>
      <c r="E95" s="295"/>
      <c r="F95" s="295"/>
      <c r="G95" s="296"/>
      <c r="H95" s="298"/>
      <c r="I95" s="295"/>
      <c r="J95" s="295"/>
      <c r="K95" s="295"/>
      <c r="L95" s="296"/>
      <c r="M95" s="298"/>
      <c r="N95" s="295"/>
      <c r="O95" s="295"/>
      <c r="P95" s="295"/>
      <c r="Q95" s="296"/>
      <c r="R95" s="298"/>
      <c r="S95" s="295"/>
      <c r="T95" s="295"/>
      <c r="U95" s="295"/>
      <c r="V95" s="296"/>
      <c r="W95" s="298"/>
      <c r="X95" s="295"/>
      <c r="Y95" s="295"/>
      <c r="Z95" s="295"/>
      <c r="AA95" s="296"/>
      <c r="AB95" s="298"/>
      <c r="AC95" s="295"/>
      <c r="AD95" s="295"/>
      <c r="AE95" s="295"/>
      <c r="AF95" s="296"/>
      <c r="AG95" s="298"/>
      <c r="AH95" s="295"/>
      <c r="AI95" s="295"/>
      <c r="AJ95" s="295"/>
      <c r="AK95" s="296"/>
      <c r="AL95" s="298"/>
      <c r="AM95" s="295"/>
      <c r="AN95" s="295"/>
      <c r="AO95" s="295"/>
      <c r="AP95" s="296"/>
      <c r="AQ95" s="298"/>
      <c r="AR95" s="295"/>
      <c r="AS95" s="295"/>
      <c r="AT95" s="295"/>
      <c r="AU95" s="296"/>
      <c r="AV95" s="298"/>
      <c r="AW95" s="295"/>
      <c r="AX95" s="295"/>
      <c r="AY95" s="295"/>
      <c r="AZ95" s="296"/>
      <c r="BA95" s="298"/>
      <c r="BB95" s="295"/>
      <c r="BC95" s="295"/>
      <c r="BD95" s="295"/>
      <c r="BE95" s="296"/>
      <c r="BF95" s="298"/>
      <c r="BG95" s="295"/>
      <c r="BH95" s="295"/>
      <c r="BI95" s="295"/>
      <c r="BJ95" s="296"/>
      <c r="BK95" s="298"/>
      <c r="BL95" s="295"/>
      <c r="BM95" s="295"/>
      <c r="BN95" s="295"/>
      <c r="BO95" s="296"/>
      <c r="BP95" s="298"/>
      <c r="BQ95" s="295"/>
      <c r="BR95" s="295"/>
      <c r="BS95" s="295"/>
      <c r="BT95" s="296"/>
      <c r="BU95" s="298"/>
      <c r="BV95" s="295"/>
      <c r="BW95" s="295"/>
      <c r="BX95" s="295"/>
      <c r="BY95" s="296"/>
      <c r="BZ95" s="298"/>
      <c r="CA95" s="295"/>
      <c r="CB95" s="295"/>
      <c r="CC95" s="295"/>
      <c r="CD95" s="293"/>
      <c r="CE95" s="298"/>
      <c r="CF95" s="295"/>
      <c r="CG95" s="295"/>
      <c r="CH95" s="295"/>
      <c r="CI95" s="293"/>
      <c r="CJ95" s="298"/>
      <c r="CK95" s="295"/>
      <c r="CL95" s="295"/>
      <c r="CM95" s="295"/>
      <c r="CN95" s="293"/>
      <c r="CO95" s="298"/>
      <c r="CP95" s="295"/>
      <c r="CQ95" s="295"/>
      <c r="CR95" s="295"/>
      <c r="CS95" s="293"/>
      <c r="CT95" s="298"/>
      <c r="CU95" s="295"/>
      <c r="CV95" s="295"/>
      <c r="CW95" s="295"/>
      <c r="CX95" s="293"/>
      <c r="CY95" s="298"/>
      <c r="CZ95" s="295"/>
      <c r="DA95" s="295"/>
      <c r="DB95" s="295"/>
      <c r="DC95" s="293"/>
      <c r="DD95" s="298"/>
      <c r="DE95" s="295"/>
      <c r="DF95" s="295"/>
      <c r="DG95" s="295"/>
      <c r="DH95" s="293"/>
      <c r="DI95" s="298"/>
      <c r="DJ95" s="295"/>
      <c r="DK95" s="295"/>
      <c r="DL95" s="295"/>
      <c r="DM95" s="293"/>
      <c r="DN95" s="298"/>
      <c r="DO95" s="295"/>
      <c r="DP95" s="295"/>
      <c r="DQ95" s="295"/>
      <c r="DR95" s="293"/>
      <c r="DS95" s="298"/>
      <c r="DT95" s="295"/>
      <c r="DU95" s="295"/>
      <c r="DV95" s="295"/>
      <c r="DW95" s="293"/>
      <c r="DX95" s="298"/>
      <c r="DY95" s="295"/>
      <c r="DZ95" s="295"/>
      <c r="EA95" s="295"/>
      <c r="EB95" s="293"/>
      <c r="EC95" s="298"/>
      <c r="ED95" s="295"/>
      <c r="EE95" s="295"/>
      <c r="EF95" s="295"/>
      <c r="EG95" s="293"/>
      <c r="EH95" s="298"/>
      <c r="EI95" s="295"/>
      <c r="EJ95" s="295"/>
      <c r="EK95" s="295"/>
      <c r="EL95" s="293"/>
      <c r="EM95" s="298"/>
      <c r="EN95" s="295"/>
      <c r="EO95" s="295"/>
      <c r="EP95" s="295"/>
      <c r="EQ95" s="293"/>
      <c r="ER95" s="298"/>
      <c r="ES95" s="295"/>
      <c r="ET95" s="295"/>
      <c r="EU95" s="295"/>
      <c r="EV95" s="296"/>
      <c r="EW95" s="298"/>
      <c r="EX95" s="295"/>
      <c r="EY95" s="295"/>
      <c r="EZ95" s="295"/>
      <c r="FA95" s="296"/>
      <c r="FB95" s="298"/>
      <c r="FC95" s="295"/>
      <c r="FD95" s="295"/>
      <c r="FE95" s="295"/>
      <c r="FF95" s="296"/>
      <c r="FG95" s="298"/>
      <c r="FH95" s="295"/>
      <c r="FI95" s="295"/>
      <c r="FJ95" s="295"/>
      <c r="FK95" s="296"/>
      <c r="FL95" s="298"/>
      <c r="FM95" s="295"/>
      <c r="FN95" s="295"/>
      <c r="FO95" s="295"/>
      <c r="FP95" s="296"/>
      <c r="FQ95" s="298"/>
      <c r="FR95" s="295"/>
      <c r="FS95" s="295"/>
      <c r="FT95" s="295"/>
      <c r="FU95" s="296"/>
      <c r="FV95" s="298"/>
      <c r="FW95" s="295"/>
      <c r="FX95" s="295"/>
      <c r="FY95" s="295"/>
      <c r="FZ95" s="1468"/>
      <c r="GA95" s="298"/>
      <c r="GB95" s="295"/>
      <c r="GC95" s="295"/>
      <c r="GD95" s="295"/>
      <c r="GE95" s="1468"/>
      <c r="GF95" s="298"/>
      <c r="GG95" s="295"/>
      <c r="GH95" s="295"/>
      <c r="GI95" s="295"/>
      <c r="GJ95" s="383"/>
    </row>
    <row r="96" spans="1:192" s="461" customFormat="1" ht="12.75" hidden="1" customHeight="1" outlineLevel="1">
      <c r="A96" s="807"/>
      <c r="B96" s="734" t="s">
        <v>1965</v>
      </c>
      <c r="C96" s="443"/>
      <c r="D96" s="471"/>
      <c r="E96" s="471"/>
      <c r="F96" s="471"/>
      <c r="G96" s="516"/>
      <c r="H96" s="443"/>
      <c r="I96" s="471"/>
      <c r="J96" s="471"/>
      <c r="K96" s="471"/>
      <c r="L96" s="516"/>
      <c r="M96" s="443"/>
      <c r="N96" s="471"/>
      <c r="O96" s="471"/>
      <c r="P96" s="471"/>
      <c r="Q96" s="516"/>
      <c r="R96" s="443"/>
      <c r="S96" s="471"/>
      <c r="T96" s="471"/>
      <c r="U96" s="471"/>
      <c r="V96" s="516"/>
      <c r="W96" s="443"/>
      <c r="X96" s="471"/>
      <c r="Y96" s="471"/>
      <c r="Z96" s="471"/>
      <c r="AA96" s="516"/>
      <c r="AB96" s="443"/>
      <c r="AC96" s="471"/>
      <c r="AD96" s="471"/>
      <c r="AE96" s="471"/>
      <c r="AF96" s="516"/>
      <c r="AG96" s="443"/>
      <c r="AH96" s="471"/>
      <c r="AI96" s="471"/>
      <c r="AJ96" s="471"/>
      <c r="AK96" s="516"/>
      <c r="AL96" s="443"/>
      <c r="AM96" s="471"/>
      <c r="AN96" s="471"/>
      <c r="AO96" s="471"/>
      <c r="AP96" s="516"/>
      <c r="AQ96" s="443"/>
      <c r="AR96" s="471"/>
      <c r="AS96" s="471"/>
      <c r="AT96" s="471"/>
      <c r="AU96" s="516"/>
      <c r="AV96" s="443"/>
      <c r="AW96" s="471"/>
      <c r="AX96" s="471"/>
      <c r="AY96" s="471"/>
      <c r="AZ96" s="516"/>
      <c r="BA96" s="443"/>
      <c r="BB96" s="471"/>
      <c r="BC96" s="471"/>
      <c r="BD96" s="471"/>
      <c r="BE96" s="516"/>
      <c r="BF96" s="443"/>
      <c r="BG96" s="471"/>
      <c r="BH96" s="471"/>
      <c r="BI96" s="471"/>
      <c r="BJ96" s="516"/>
      <c r="BK96" s="443"/>
      <c r="BL96" s="471"/>
      <c r="BM96" s="471"/>
      <c r="BN96" s="471"/>
      <c r="BO96" s="516"/>
      <c r="BP96" s="443"/>
      <c r="BQ96" s="471"/>
      <c r="BR96" s="471"/>
      <c r="BS96" s="471"/>
      <c r="BT96" s="516"/>
      <c r="BU96" s="443"/>
      <c r="BV96" s="471"/>
      <c r="BW96" s="471"/>
      <c r="BX96" s="471"/>
      <c r="BY96" s="516"/>
      <c r="BZ96" s="443"/>
      <c r="CA96" s="471"/>
      <c r="CB96" s="471"/>
      <c r="CC96" s="471"/>
      <c r="CD96" s="516"/>
      <c r="CE96" s="443"/>
      <c r="CF96" s="471"/>
      <c r="CG96" s="471"/>
      <c r="CH96" s="471"/>
      <c r="CI96" s="516"/>
      <c r="CJ96" s="443"/>
      <c r="CK96" s="471"/>
      <c r="CL96" s="471"/>
      <c r="CM96" s="471"/>
      <c r="CN96" s="516"/>
      <c r="CO96" s="443"/>
      <c r="CP96" s="471"/>
      <c r="CQ96" s="452">
        <v>250</v>
      </c>
      <c r="CR96" s="452">
        <v>375</v>
      </c>
      <c r="CS96" s="516"/>
      <c r="CT96" s="443"/>
      <c r="CU96" s="471"/>
      <c r="CV96" s="452">
        <v>625</v>
      </c>
      <c r="CW96" s="471"/>
      <c r="CX96" s="516"/>
      <c r="CY96" s="443"/>
      <c r="CZ96" s="443"/>
      <c r="DA96" s="443"/>
      <c r="DB96" s="443">
        <f>DB264+DB153</f>
      </c>
      <c r="DC96" s="516"/>
      <c r="DD96" s="443">
        <f t="shared" ref="DD96:EV96" si="74">DD264+DD153</f>
      </c>
      <c r="DE96" s="443">
        <f t="shared" si="74"/>
      </c>
      <c r="DF96" s="443">
        <f t="shared" si="74"/>
      </c>
      <c r="DG96" s="443">
        <f t="shared" si="74"/>
      </c>
      <c r="DH96" s="516">
        <f t="shared" si="74"/>
      </c>
      <c r="DI96" s="443">
        <f t="shared" si="74"/>
      </c>
      <c r="DJ96" s="443">
        <f t="shared" si="74"/>
      </c>
      <c r="DK96" s="443">
        <f t="shared" si="74"/>
      </c>
      <c r="DL96" s="443">
        <f t="shared" si="74"/>
      </c>
      <c r="DM96" s="516">
        <f t="shared" si="74"/>
      </c>
      <c r="DN96" s="443">
        <f t="shared" si="74"/>
      </c>
      <c r="DO96" s="443">
        <f t="shared" si="74"/>
      </c>
      <c r="DP96" s="443">
        <f t="shared" si="74"/>
      </c>
      <c r="DQ96" s="443">
        <f t="shared" si="74"/>
      </c>
      <c r="DR96" s="516">
        <f t="shared" si="74"/>
      </c>
      <c r="DS96" s="443">
        <f t="shared" si="74"/>
      </c>
      <c r="DT96" s="443">
        <f t="shared" si="74"/>
      </c>
      <c r="DU96" s="443">
        <f t="shared" si="74"/>
      </c>
      <c r="DV96" s="443">
        <f t="shared" si="74"/>
      </c>
      <c r="DW96" s="516">
        <f t="shared" si="74"/>
      </c>
      <c r="DX96" s="443">
        <f t="shared" si="74"/>
      </c>
      <c r="DY96" s="443">
        <f t="shared" si="74"/>
      </c>
      <c r="DZ96" s="443">
        <f t="shared" si="74"/>
      </c>
      <c r="EA96" s="443">
        <f t="shared" si="74"/>
      </c>
      <c r="EB96" s="516">
        <f t="shared" si="74"/>
      </c>
      <c r="EC96" s="443">
        <f t="shared" si="74"/>
      </c>
      <c r="ED96" s="443">
        <f t="shared" si="74"/>
      </c>
      <c r="EE96" s="443">
        <f t="shared" si="74"/>
      </c>
      <c r="EF96" s="443">
        <f t="shared" si="74"/>
      </c>
      <c r="EG96" s="516">
        <f t="shared" si="74"/>
      </c>
      <c r="EH96" s="443">
        <f t="shared" si="74"/>
      </c>
      <c r="EI96" s="443">
        <f t="shared" si="74"/>
      </c>
      <c r="EJ96" s="443">
        <f t="shared" si="74"/>
      </c>
      <c r="EK96" s="443">
        <f t="shared" si="74"/>
      </c>
      <c r="EL96" s="516">
        <f t="shared" si="74"/>
      </c>
      <c r="EM96" s="443">
        <f t="shared" si="74"/>
      </c>
      <c r="EN96" s="443">
        <f t="shared" si="74"/>
      </c>
      <c r="EO96" s="443">
        <f t="shared" si="74"/>
      </c>
      <c r="EP96" s="443">
        <f t="shared" si="74"/>
      </c>
      <c r="EQ96" s="516">
        <f t="shared" si="74"/>
      </c>
      <c r="ER96" s="443">
        <f t="shared" si="74"/>
      </c>
      <c r="ES96" s="443">
        <f t="shared" si="74"/>
      </c>
      <c r="ET96" s="443">
        <f t="shared" si="74"/>
      </c>
      <c r="EU96" s="443">
        <f t="shared" si="74"/>
      </c>
      <c r="EV96" s="516">
        <f t="shared" si="74"/>
      </c>
      <c r="EW96" s="443"/>
      <c r="EX96" s="443"/>
      <c r="EY96" s="443"/>
      <c r="EZ96" s="443"/>
      <c r="FA96" s="516"/>
      <c r="FB96" s="443"/>
      <c r="FC96" s="443"/>
      <c r="FD96" s="443"/>
      <c r="FE96" s="443"/>
      <c r="FF96" s="516"/>
      <c r="FG96" s="443"/>
      <c r="FH96" s="443"/>
      <c r="FI96" s="443"/>
      <c r="FJ96" s="443"/>
      <c r="FK96" s="516"/>
      <c r="FL96" s="443"/>
      <c r="FM96" s="443"/>
      <c r="FN96" s="443"/>
      <c r="FO96" s="443"/>
      <c r="FP96" s="516"/>
      <c r="FQ96" s="443"/>
      <c r="FR96" s="443"/>
      <c r="FS96" s="443"/>
      <c r="FT96" s="443"/>
      <c r="FU96" s="516"/>
      <c r="FV96" s="443"/>
      <c r="FW96" s="471"/>
      <c r="FX96" s="471"/>
      <c r="FY96" s="471"/>
      <c r="FZ96" s="516"/>
      <c r="GA96" s="443"/>
      <c r="GB96" s="471"/>
      <c r="GC96" s="471"/>
      <c r="GD96" s="471"/>
      <c r="GE96" s="516"/>
      <c r="GF96" s="443"/>
      <c r="GG96" s="471"/>
      <c r="GH96" s="471"/>
      <c r="GI96" s="471"/>
      <c r="GJ96" s="808"/>
    </row>
    <row r="97" spans="1:192" s="1241" customFormat="1" ht="12.75" hidden="1" customHeight="1" outlineLevel="1">
      <c r="A97" s="1237"/>
      <c r="B97" s="735" t="s">
        <v>34</v>
      </c>
      <c r="C97" s="892"/>
      <c r="D97" s="924"/>
      <c r="E97" s="924"/>
      <c r="F97" s="924"/>
      <c r="G97" s="1240"/>
      <c r="H97" s="892"/>
      <c r="I97" s="924"/>
      <c r="J97" s="924"/>
      <c r="K97" s="924"/>
      <c r="L97" s="1240"/>
      <c r="M97" s="892"/>
      <c r="N97" s="924"/>
      <c r="O97" s="924"/>
      <c r="P97" s="924"/>
      <c r="Q97" s="1240"/>
      <c r="R97" s="892"/>
      <c r="S97" s="924"/>
      <c r="T97" s="924"/>
      <c r="U97" s="924"/>
      <c r="V97" s="1240"/>
      <c r="W97" s="892"/>
      <c r="X97" s="924"/>
      <c r="Y97" s="924"/>
      <c r="Z97" s="924"/>
      <c r="AA97" s="1240"/>
      <c r="AB97" s="892"/>
      <c r="AC97" s="924"/>
      <c r="AD97" s="924"/>
      <c r="AE97" s="924"/>
      <c r="AF97" s="1240"/>
      <c r="AG97" s="892"/>
      <c r="AH97" s="924"/>
      <c r="AI97" s="924"/>
      <c r="AJ97" s="924"/>
      <c r="AK97" s="1240"/>
      <c r="AL97" s="892"/>
      <c r="AM97" s="924"/>
      <c r="AN97" s="924"/>
      <c r="AO97" s="924"/>
      <c r="AP97" s="1240"/>
      <c r="AQ97" s="892"/>
      <c r="AR97" s="924"/>
      <c r="AS97" s="924"/>
      <c r="AT97" s="924"/>
      <c r="AU97" s="1240"/>
      <c r="AV97" s="892"/>
      <c r="AW97" s="924"/>
      <c r="AX97" s="924"/>
      <c r="AY97" s="924"/>
      <c r="AZ97" s="1240"/>
      <c r="BA97" s="892"/>
      <c r="BB97" s="924"/>
      <c r="BC97" s="924"/>
      <c r="BD97" s="924"/>
      <c r="BE97" s="1240"/>
      <c r="BF97" s="892"/>
      <c r="BG97" s="924"/>
      <c r="BH97" s="924"/>
      <c r="BI97" s="924"/>
      <c r="BJ97" s="1240"/>
      <c r="BK97" s="892"/>
      <c r="BL97" s="924"/>
      <c r="BM97" s="924"/>
      <c r="BN97" s="924"/>
      <c r="BO97" s="1240"/>
      <c r="BP97" s="892"/>
      <c r="BQ97" s="924"/>
      <c r="BR97" s="924"/>
      <c r="BS97" s="924"/>
      <c r="BT97" s="1240"/>
      <c r="BU97" s="892"/>
      <c r="BV97" s="924"/>
      <c r="BW97" s="924"/>
      <c r="BX97" s="924"/>
      <c r="BY97" s="1240"/>
      <c r="BZ97" s="892"/>
      <c r="CA97" s="924"/>
      <c r="CB97" s="924"/>
      <c r="CC97" s="924"/>
      <c r="CD97" s="1240"/>
      <c r="CE97" s="892"/>
      <c r="CF97" s="924"/>
      <c r="CG97" s="924"/>
      <c r="CH97" s="924"/>
      <c r="CI97" s="1240"/>
      <c r="CJ97" s="892"/>
      <c r="CK97" s="924"/>
      <c r="CL97" s="924"/>
      <c r="CM97" s="924"/>
      <c r="CN97" s="1240"/>
      <c r="CO97" s="892"/>
      <c r="CP97" s="924"/>
      <c r="CQ97" s="924"/>
      <c r="CR97" s="924"/>
      <c r="CS97" s="1240"/>
      <c r="CT97" s="892"/>
      <c r="CU97" s="924"/>
      <c r="CV97" s="924">
        <f>CV96/CQ96-1</f>
      </c>
      <c r="CW97" s="924"/>
      <c r="CX97" s="1240"/>
      <c r="CY97" s="892"/>
      <c r="CZ97" s="892"/>
      <c r="DA97" s="892"/>
      <c r="DB97" s="892"/>
      <c r="DC97" s="1240"/>
      <c r="DD97" s="892"/>
      <c r="DE97" s="892"/>
      <c r="DF97" s="892"/>
      <c r="DG97" s="892" t="e">
        <f>DG96/DB96-1</f>
      </c>
      <c r="DH97" s="1240"/>
      <c r="DI97" s="892" t="e">
        <f t="shared" ref="DI97:EN97" si="75">DI96/DD96-1</f>
      </c>
      <c r="DJ97" s="892" t="e">
        <f t="shared" si="75"/>
      </c>
      <c r="DK97" s="892" t="e">
        <f t="shared" si="75"/>
      </c>
      <c r="DL97" s="892">
        <f t="shared" si="75"/>
      </c>
      <c r="DM97" s="1240" t="e">
        <f t="shared" si="75"/>
      </c>
      <c r="DN97" s="892">
        <f t="shared" si="75"/>
      </c>
      <c r="DO97" s="892">
        <f t="shared" si="75"/>
      </c>
      <c r="DP97" s="892">
        <f t="shared" si="75"/>
      </c>
      <c r="DQ97" s="892">
        <f t="shared" si="75"/>
      </c>
      <c r="DR97" s="1240">
        <f t="shared" si="75"/>
      </c>
      <c r="DS97" s="892">
        <f t="shared" si="75"/>
      </c>
      <c r="DT97" s="892">
        <f t="shared" si="75"/>
      </c>
      <c r="DU97" s="892">
        <f t="shared" si="75"/>
      </c>
      <c r="DV97" s="892">
        <f t="shared" si="75"/>
      </c>
      <c r="DW97" s="1240">
        <f t="shared" si="75"/>
      </c>
      <c r="DX97" s="892">
        <f t="shared" si="75"/>
      </c>
      <c r="DY97" s="892">
        <f t="shared" si="75"/>
      </c>
      <c r="DZ97" s="892">
        <f t="shared" si="75"/>
      </c>
      <c r="EA97" s="892">
        <f t="shared" si="75"/>
      </c>
      <c r="EB97" s="1240">
        <f t="shared" si="75"/>
      </c>
      <c r="EC97" s="892">
        <f t="shared" si="75"/>
      </c>
      <c r="ED97" s="892">
        <f t="shared" si="75"/>
      </c>
      <c r="EE97" s="892">
        <f t="shared" si="75"/>
      </c>
      <c r="EF97" s="892">
        <f t="shared" si="75"/>
      </c>
      <c r="EG97" s="1240">
        <f t="shared" si="75"/>
      </c>
      <c r="EH97" s="892">
        <f t="shared" si="75"/>
      </c>
      <c r="EI97" s="892">
        <f t="shared" si="75"/>
      </c>
      <c r="EJ97" s="892">
        <f t="shared" si="75"/>
      </c>
      <c r="EK97" s="892">
        <f t="shared" si="75"/>
      </c>
      <c r="EL97" s="1240">
        <f t="shared" si="75"/>
      </c>
      <c r="EM97" s="892">
        <f t="shared" si="75"/>
      </c>
      <c r="EN97" s="892">
        <f t="shared" si="75"/>
      </c>
      <c r="EO97" s="892">
        <f t="shared" ref="EO97:ET97" si="76">EO96/EJ96-1</f>
      </c>
      <c r="EP97" s="892">
        <f t="shared" si="76"/>
      </c>
      <c r="EQ97" s="1240">
        <f t="shared" si="76"/>
      </c>
      <c r="ER97" s="892">
        <f t="shared" si="76"/>
      </c>
      <c r="ES97" s="892">
        <f t="shared" si="76"/>
      </c>
      <c r="ET97" s="892">
        <f t="shared" si="76"/>
      </c>
      <c r="EU97" s="892">
        <f>EU96/EP96-1</f>
      </c>
      <c r="EV97" s="1240">
        <f>EV96/EQ96-1</f>
      </c>
      <c r="EW97" s="892"/>
      <c r="EX97" s="892"/>
      <c r="EY97" s="892"/>
      <c r="EZ97" s="892"/>
      <c r="FA97" s="1240"/>
      <c r="FB97" s="892"/>
      <c r="FC97" s="892"/>
      <c r="FD97" s="892"/>
      <c r="FE97" s="892"/>
      <c r="FF97" s="1240"/>
      <c r="FG97" s="892"/>
      <c r="FH97" s="892"/>
      <c r="FI97" s="892"/>
      <c r="FJ97" s="892"/>
      <c r="FK97" s="1240"/>
      <c r="FL97" s="892"/>
      <c r="FM97" s="892"/>
      <c r="FN97" s="892"/>
      <c r="FO97" s="892"/>
      <c r="FP97" s="1240"/>
      <c r="FQ97" s="892"/>
      <c r="FR97" s="892"/>
      <c r="FS97" s="892"/>
      <c r="FT97" s="892"/>
      <c r="FU97" s="1240"/>
      <c r="FV97" s="892"/>
      <c r="FW97" s="924"/>
      <c r="FX97" s="924"/>
      <c r="FY97" s="924"/>
      <c r="FZ97" s="1240"/>
      <c r="GA97" s="892"/>
      <c r="GB97" s="924"/>
      <c r="GC97" s="924"/>
      <c r="GD97" s="924"/>
      <c r="GE97" s="1240"/>
      <c r="GF97" s="892"/>
      <c r="GG97" s="924"/>
      <c r="GH97" s="924"/>
      <c r="GI97" s="924"/>
      <c r="GJ97" s="1326"/>
    </row>
    <row r="98" spans="1:192" ht="12.75" hidden="1" customHeight="1" outlineLevel="1">
      <c r="B98" s="735" t="s">
        <v>36</v>
      </c>
      <c r="C98" s="291"/>
      <c r="D98" s="107"/>
      <c r="E98" s="107"/>
      <c r="F98" s="107"/>
      <c r="G98" s="292"/>
      <c r="H98" s="291"/>
      <c r="I98" s="107"/>
      <c r="J98" s="107"/>
      <c r="K98" s="107"/>
      <c r="L98" s="292"/>
      <c r="M98" s="291"/>
      <c r="N98" s="107"/>
      <c r="O98" s="107"/>
      <c r="P98" s="107"/>
      <c r="Q98" s="292"/>
      <c r="R98" s="291"/>
      <c r="S98" s="107"/>
      <c r="T98" s="107"/>
      <c r="U98" s="107"/>
      <c r="V98" s="292"/>
      <c r="W98" s="291"/>
      <c r="X98" s="107"/>
      <c r="Y98" s="107"/>
      <c r="Z98" s="107"/>
      <c r="AA98" s="292"/>
      <c r="AB98" s="291"/>
      <c r="AC98" s="107"/>
      <c r="AD98" s="107"/>
      <c r="AE98" s="107"/>
      <c r="AF98" s="292"/>
      <c r="AG98" s="291"/>
      <c r="AH98" s="107"/>
      <c r="AI98" s="107"/>
      <c r="AJ98" s="107"/>
      <c r="AK98" s="292"/>
      <c r="AL98" s="291"/>
      <c r="AM98" s="107"/>
      <c r="AN98" s="107"/>
      <c r="AO98" s="107"/>
      <c r="AP98" s="292"/>
      <c r="AQ98" s="291"/>
      <c r="AR98" s="107"/>
      <c r="AS98" s="107"/>
      <c r="AT98" s="107"/>
      <c r="AU98" s="292"/>
      <c r="AV98" s="291"/>
      <c r="AW98" s="107"/>
      <c r="AX98" s="107"/>
      <c r="AY98" s="107"/>
      <c r="AZ98" s="292"/>
      <c r="BA98" s="291"/>
      <c r="BB98" s="107"/>
      <c r="BC98" s="107"/>
      <c r="BD98" s="107"/>
      <c r="BE98" s="292"/>
      <c r="BF98" s="291"/>
      <c r="BG98" s="107"/>
      <c r="BH98" s="107"/>
      <c r="BI98" s="107"/>
      <c r="BJ98" s="292"/>
      <c r="BK98" s="291"/>
      <c r="BL98" s="107"/>
      <c r="BM98" s="107"/>
      <c r="BN98" s="107"/>
      <c r="BO98" s="292"/>
      <c r="BP98" s="291"/>
      <c r="BQ98" s="107"/>
      <c r="BR98" s="107"/>
      <c r="BS98" s="107"/>
      <c r="BT98" s="292"/>
      <c r="BU98" s="291"/>
      <c r="BV98" s="107"/>
      <c r="BW98" s="107"/>
      <c r="BX98" s="107"/>
      <c r="BY98" s="292"/>
      <c r="BZ98" s="291"/>
      <c r="CA98" s="107"/>
      <c r="CB98" s="107"/>
      <c r="CC98" s="107"/>
      <c r="CD98" s="292"/>
      <c r="CE98" s="291"/>
      <c r="CF98" s="107"/>
      <c r="CG98" s="107"/>
      <c r="CH98" s="107"/>
      <c r="CI98" s="292"/>
      <c r="CJ98" s="291"/>
      <c r="CK98" s="107"/>
      <c r="CL98" s="107"/>
      <c r="CM98" s="107"/>
      <c r="CN98" s="292"/>
      <c r="CO98" s="291"/>
      <c r="CP98" s="107"/>
      <c r="CQ98" s="107"/>
      <c r="CR98" s="107">
        <f>CR96/CQ96-1</f>
      </c>
      <c r="CS98" s="292"/>
      <c r="CT98" s="291"/>
      <c r="CU98" s="107"/>
      <c r="CV98" s="107"/>
      <c r="CW98" s="107"/>
      <c r="CX98" s="292"/>
      <c r="CY98" s="291"/>
      <c r="CZ98" s="291"/>
      <c r="DA98" s="291"/>
      <c r="DB98" s="291"/>
      <c r="DC98" s="292"/>
      <c r="DD98" s="291" t="e">
        <f>DD96/DB96-1</f>
      </c>
      <c r="DE98" s="291" t="e">
        <f>DE96/DD96-1</f>
      </c>
      <c r="DF98" s="291" t="e">
        <f>DF96/DE96-1</f>
      </c>
      <c r="DG98" s="291" t="e">
        <f>DG96/DF96-1</f>
      </c>
      <c r="DH98" s="292"/>
      <c r="DI98" s="291">
        <f>DI96/DG96-1</f>
      </c>
      <c r="DJ98" s="291">
        <f>DJ96/DI96-1</f>
      </c>
      <c r="DK98" s="291">
        <f>DK96/DJ96-1</f>
      </c>
      <c r="DL98" s="291">
        <f>DL96/DK96-1</f>
      </c>
      <c r="DM98" s="292"/>
      <c r="DN98" s="291">
        <f>DN96/DL96-1</f>
      </c>
      <c r="DO98" s="291">
        <f>DO96/DN96-1</f>
      </c>
      <c r="DP98" s="291">
        <f>DP96/DO96-1</f>
      </c>
      <c r="DQ98" s="291">
        <f>DQ96/DP96-1</f>
      </c>
      <c r="DR98" s="292"/>
      <c r="DS98" s="291">
        <f>DS96/DQ96-1</f>
      </c>
      <c r="DT98" s="291">
        <f>DT96/DS96-1</f>
      </c>
      <c r="DU98" s="291">
        <f>DU96/DT96-1</f>
      </c>
      <c r="DV98" s="291">
        <f>DV96/DU96-1</f>
      </c>
      <c r="DW98" s="292"/>
      <c r="DX98" s="291">
        <f>DX96/DV96-1</f>
      </c>
      <c r="DY98" s="291">
        <f>DY96/DX96-1</f>
      </c>
      <c r="DZ98" s="291">
        <f>DZ96/DY96-1</f>
      </c>
      <c r="EA98" s="291">
        <f>EA96/DZ96-1</f>
      </c>
      <c r="EB98" s="292"/>
      <c r="EC98" s="291">
        <f>EC96/EA96-1</f>
      </c>
      <c r="ED98" s="291">
        <f>ED96/EC96-1</f>
      </c>
      <c r="EE98" s="291">
        <f>EE96/ED96-1</f>
      </c>
      <c r="EF98" s="291">
        <f>EF96/EE96-1</f>
      </c>
      <c r="EG98" s="292"/>
      <c r="EH98" s="291">
        <f>EH96/EF96-1</f>
      </c>
      <c r="EI98" s="291">
        <f>EI96/EH96-1</f>
      </c>
      <c r="EJ98" s="291">
        <f>EJ96/EI96-1</f>
      </c>
      <c r="EK98" s="291">
        <f>EK96/EJ96-1</f>
      </c>
      <c r="EL98" s="292"/>
      <c r="EM98" s="291">
        <f>EM96/EK96-1</f>
      </c>
      <c r="EN98" s="291">
        <f>EN96/EM96-1</f>
      </c>
      <c r="EO98" s="291">
        <f>EO96/EN96-1</f>
      </c>
      <c r="EP98" s="291">
        <f>EP96/EO96-1</f>
      </c>
      <c r="EQ98" s="292"/>
      <c r="ER98" s="291">
        <f>ER96/EP96-1</f>
      </c>
      <c r="ES98" s="291">
        <f>ES96/ER96-1</f>
      </c>
      <c r="ET98" s="291">
        <f>ET96/ES96-1</f>
      </c>
      <c r="EU98" s="291">
        <f>EU96/ET96-1</f>
      </c>
      <c r="EV98" s="292"/>
      <c r="EW98" s="291"/>
      <c r="EX98" s="291"/>
      <c r="EY98" s="291"/>
      <c r="EZ98" s="291"/>
      <c r="FA98" s="292"/>
      <c r="FB98" s="291"/>
      <c r="FC98" s="291"/>
      <c r="FD98" s="291"/>
      <c r="FE98" s="291"/>
      <c r="FF98" s="292"/>
      <c r="FG98" s="291"/>
      <c r="FH98" s="291"/>
      <c r="FI98" s="291"/>
      <c r="FJ98" s="291"/>
      <c r="FK98" s="292"/>
      <c r="FL98" s="291"/>
      <c r="FM98" s="291"/>
      <c r="FN98" s="291"/>
      <c r="FO98" s="291"/>
      <c r="FP98" s="292"/>
      <c r="FQ98" s="291"/>
      <c r="FR98" s="291"/>
      <c r="FS98" s="291"/>
      <c r="FT98" s="291"/>
      <c r="FU98" s="292"/>
      <c r="FV98" s="291"/>
      <c r="FW98" s="107"/>
      <c r="FX98" s="107"/>
      <c r="FY98" s="107"/>
      <c r="FZ98" s="292"/>
      <c r="GA98" s="291"/>
      <c r="GB98" s="107"/>
      <c r="GC98" s="107"/>
      <c r="GD98" s="107"/>
      <c r="GE98" s="292"/>
      <c r="GF98" s="291"/>
      <c r="GG98" s="107"/>
      <c r="GH98" s="107"/>
      <c r="GI98" s="107"/>
      <c r="GJ98" s="384"/>
    </row>
    <row r="99" spans="1:192" ht="12.75" hidden="1" customHeight="1" outlineLevel="1">
      <c r="B99" s="735" t="s">
        <v>243</v>
      </c>
      <c r="C99" s="291"/>
      <c r="D99" s="107"/>
      <c r="E99" s="107"/>
      <c r="F99" s="107"/>
      <c r="G99" s="292"/>
      <c r="H99" s="291"/>
      <c r="I99" s="107"/>
      <c r="J99" s="107"/>
      <c r="K99" s="107"/>
      <c r="L99" s="292"/>
      <c r="M99" s="291"/>
      <c r="N99" s="107"/>
      <c r="O99" s="107"/>
      <c r="P99" s="107"/>
      <c r="Q99" s="292"/>
      <c r="R99" s="291"/>
      <c r="S99" s="107"/>
      <c r="T99" s="107"/>
      <c r="U99" s="107"/>
      <c r="V99" s="292"/>
      <c r="W99" s="291"/>
      <c r="X99" s="107"/>
      <c r="Y99" s="107"/>
      <c r="Z99" s="107"/>
      <c r="AA99" s="292"/>
      <c r="AB99" s="291"/>
      <c r="AC99" s="107"/>
      <c r="AD99" s="107"/>
      <c r="AE99" s="107"/>
      <c r="AF99" s="292"/>
      <c r="AG99" s="291"/>
      <c r="AH99" s="107"/>
      <c r="AI99" s="107"/>
      <c r="AJ99" s="107"/>
      <c r="AK99" s="292"/>
      <c r="AL99" s="291"/>
      <c r="AM99" s="107"/>
      <c r="AN99" s="107"/>
      <c r="AO99" s="107"/>
      <c r="AP99" s="292"/>
      <c r="AQ99" s="291"/>
      <c r="AR99" s="107"/>
      <c r="AS99" s="107"/>
      <c r="AT99" s="107"/>
      <c r="AU99" s="292"/>
      <c r="AV99" s="291"/>
      <c r="AW99" s="107"/>
      <c r="AX99" s="107"/>
      <c r="AY99" s="107"/>
      <c r="AZ99" s="292"/>
      <c r="BA99" s="291"/>
      <c r="BB99" s="107"/>
      <c r="BC99" s="107"/>
      <c r="BD99" s="107"/>
      <c r="BE99" s="292"/>
      <c r="BF99" s="291"/>
      <c r="BG99" s="107"/>
      <c r="BH99" s="107"/>
      <c r="BI99" s="107"/>
      <c r="BJ99" s="292"/>
      <c r="BK99" s="291"/>
      <c r="BL99" s="107"/>
      <c r="BM99" s="107"/>
      <c r="BN99" s="107"/>
      <c r="BO99" s="292"/>
      <c r="BP99" s="291"/>
      <c r="BQ99" s="107"/>
      <c r="BR99" s="107"/>
      <c r="BS99" s="107"/>
      <c r="BT99" s="292"/>
      <c r="BU99" s="291"/>
      <c r="BV99" s="107"/>
      <c r="BW99" s="107"/>
      <c r="BX99" s="107"/>
      <c r="BY99" s="292"/>
      <c r="BZ99" s="291"/>
      <c r="CA99" s="107"/>
      <c r="CB99" s="107"/>
      <c r="CC99" s="107"/>
      <c r="CD99" s="292"/>
      <c r="CE99" s="291"/>
      <c r="CF99" s="107"/>
      <c r="CG99" s="107"/>
      <c r="CH99" s="107"/>
      <c r="CI99" s="292"/>
      <c r="CJ99" s="291"/>
      <c r="CK99" s="107"/>
      <c r="CL99" s="107"/>
      <c r="CM99" s="107"/>
      <c r="CN99" s="292"/>
      <c r="CO99" s="291"/>
      <c r="CP99" s="107"/>
      <c r="CQ99" s="107"/>
      <c r="CR99" s="107"/>
      <c r="CS99" s="292"/>
      <c r="CT99" s="291"/>
      <c r="CU99" s="107"/>
      <c r="CV99" s="107"/>
      <c r="CW99" s="107"/>
      <c r="CX99" s="292"/>
      <c r="CY99" s="291"/>
      <c r="CZ99" s="291"/>
      <c r="DA99" s="291"/>
      <c r="DB99" s="291"/>
      <c r="DC99" s="292"/>
      <c r="DD99" s="455"/>
      <c r="DE99" s="458"/>
      <c r="DF99" s="458"/>
      <c r="DG99" s="487">
        <f>DG96-DB96</f>
      </c>
      <c r="DH99" s="488"/>
      <c r="DI99" s="455">
        <f t="shared" ref="DI99:EN99" si="77">DI96-DD96</f>
      </c>
      <c r="DJ99" s="458">
        <f t="shared" si="77"/>
      </c>
      <c r="DK99" s="458">
        <f t="shared" si="77"/>
      </c>
      <c r="DL99" s="487">
        <f t="shared" si="77"/>
      </c>
      <c r="DM99" s="488">
        <f t="shared" si="77"/>
      </c>
      <c r="DN99" s="455">
        <f t="shared" si="77"/>
      </c>
      <c r="DO99" s="458">
        <f t="shared" si="77"/>
      </c>
      <c r="DP99" s="458">
        <f t="shared" si="77"/>
      </c>
      <c r="DQ99" s="487">
        <f t="shared" si="77"/>
      </c>
      <c r="DR99" s="488">
        <f t="shared" si="77"/>
      </c>
      <c r="DS99" s="455">
        <f t="shared" si="77"/>
      </c>
      <c r="DT99" s="458">
        <f t="shared" si="77"/>
      </c>
      <c r="DU99" s="458">
        <f t="shared" si="77"/>
      </c>
      <c r="DV99" s="487">
        <f t="shared" si="77"/>
      </c>
      <c r="DW99" s="488">
        <f t="shared" si="77"/>
      </c>
      <c r="DX99" s="455">
        <f t="shared" si="77"/>
      </c>
      <c r="DY99" s="458">
        <f t="shared" si="77"/>
      </c>
      <c r="DZ99" s="458">
        <f t="shared" si="77"/>
      </c>
      <c r="EA99" s="487">
        <f t="shared" si="77"/>
      </c>
      <c r="EB99" s="488">
        <f t="shared" si="77"/>
      </c>
      <c r="EC99" s="455">
        <f t="shared" si="77"/>
      </c>
      <c r="ED99" s="458">
        <f t="shared" si="77"/>
      </c>
      <c r="EE99" s="458">
        <f t="shared" si="77"/>
      </c>
      <c r="EF99" s="487">
        <f t="shared" si="77"/>
      </c>
      <c r="EG99" s="488">
        <f t="shared" si="77"/>
      </c>
      <c r="EH99" s="455">
        <f t="shared" si="77"/>
      </c>
      <c r="EI99" s="458">
        <f t="shared" si="77"/>
      </c>
      <c r="EJ99" s="458">
        <f t="shared" si="77"/>
      </c>
      <c r="EK99" s="487">
        <f t="shared" si="77"/>
      </c>
      <c r="EL99" s="488">
        <f t="shared" si="77"/>
      </c>
      <c r="EM99" s="455">
        <f t="shared" si="77"/>
      </c>
      <c r="EN99" s="458">
        <f t="shared" si="77"/>
      </c>
      <c r="EO99" s="458">
        <f t="shared" ref="EO99:ET99" si="78">EO96-EJ96</f>
      </c>
      <c r="EP99" s="487">
        <f t="shared" si="78"/>
      </c>
      <c r="EQ99" s="488">
        <f t="shared" si="78"/>
      </c>
      <c r="ER99" s="455">
        <f t="shared" si="78"/>
      </c>
      <c r="ES99" s="458">
        <f t="shared" si="78"/>
      </c>
      <c r="ET99" s="458">
        <f t="shared" si="78"/>
      </c>
      <c r="EU99" s="487">
        <f>EU96-EP96</f>
      </c>
      <c r="EV99" s="488">
        <f>EV96-EQ96</f>
      </c>
      <c r="EW99" s="455"/>
      <c r="EX99" s="458"/>
      <c r="EY99" s="458"/>
      <c r="EZ99" s="487"/>
      <c r="FA99" s="488"/>
      <c r="FB99" s="455"/>
      <c r="FC99" s="458"/>
      <c r="FD99" s="458"/>
      <c r="FE99" s="487"/>
      <c r="FF99" s="488"/>
      <c r="FG99" s="455"/>
      <c r="FH99" s="458"/>
      <c r="FI99" s="458"/>
      <c r="FJ99" s="487"/>
      <c r="FK99" s="488"/>
      <c r="FL99" s="455"/>
      <c r="FM99" s="458"/>
      <c r="FN99" s="458"/>
      <c r="FO99" s="487"/>
      <c r="FP99" s="488"/>
      <c r="FQ99" s="455"/>
      <c r="FR99" s="458"/>
      <c r="FS99" s="458"/>
      <c r="FT99" s="487"/>
      <c r="FU99" s="488"/>
      <c r="FV99" s="455"/>
      <c r="FW99" s="458"/>
      <c r="FX99" s="458"/>
      <c r="FY99" s="487"/>
      <c r="FZ99" s="459"/>
      <c r="GA99" s="455"/>
      <c r="GB99" s="458"/>
      <c r="GC99" s="458"/>
      <c r="GD99" s="487"/>
      <c r="GE99" s="459"/>
      <c r="GF99" s="455"/>
      <c r="GG99" s="458"/>
      <c r="GH99" s="458"/>
      <c r="GI99" s="487"/>
      <c r="GJ99" s="489"/>
    </row>
    <row r="100" spans="1:192" ht="12.75" hidden="1" customHeight="1" outlineLevel="1">
      <c r="B100" s="735" t="s">
        <v>244</v>
      </c>
      <c r="C100" s="291"/>
      <c r="D100" s="107"/>
      <c r="E100" s="107"/>
      <c r="F100" s="107"/>
      <c r="G100" s="292"/>
      <c r="H100" s="291"/>
      <c r="I100" s="107"/>
      <c r="J100" s="107"/>
      <c r="K100" s="107"/>
      <c r="L100" s="292"/>
      <c r="M100" s="291"/>
      <c r="N100" s="107"/>
      <c r="O100" s="107"/>
      <c r="P100" s="107"/>
      <c r="Q100" s="292"/>
      <c r="R100" s="291"/>
      <c r="S100" s="107"/>
      <c r="T100" s="107"/>
      <c r="U100" s="107"/>
      <c r="V100" s="292"/>
      <c r="W100" s="291"/>
      <c r="X100" s="107"/>
      <c r="Y100" s="107"/>
      <c r="Z100" s="107"/>
      <c r="AA100" s="292"/>
      <c r="AB100" s="291"/>
      <c r="AC100" s="107"/>
      <c r="AD100" s="107"/>
      <c r="AE100" s="107"/>
      <c r="AF100" s="292"/>
      <c r="AG100" s="291"/>
      <c r="AH100" s="107"/>
      <c r="AI100" s="107"/>
      <c r="AJ100" s="107"/>
      <c r="AK100" s="292"/>
      <c r="AL100" s="291"/>
      <c r="AM100" s="107"/>
      <c r="AN100" s="107"/>
      <c r="AO100" s="107"/>
      <c r="AP100" s="292"/>
      <c r="AQ100" s="291"/>
      <c r="AR100" s="107"/>
      <c r="AS100" s="107"/>
      <c r="AT100" s="107"/>
      <c r="AU100" s="292"/>
      <c r="AV100" s="291"/>
      <c r="AW100" s="107"/>
      <c r="AX100" s="107"/>
      <c r="AY100" s="107"/>
      <c r="AZ100" s="292"/>
      <c r="BA100" s="291"/>
      <c r="BB100" s="107"/>
      <c r="BC100" s="107"/>
      <c r="BD100" s="107"/>
      <c r="BE100" s="292"/>
      <c r="BF100" s="291"/>
      <c r="BG100" s="107"/>
      <c r="BH100" s="107"/>
      <c r="BI100" s="107"/>
      <c r="BJ100" s="292"/>
      <c r="BK100" s="291"/>
      <c r="BL100" s="107"/>
      <c r="BM100" s="107"/>
      <c r="BN100" s="107"/>
      <c r="BO100" s="292"/>
      <c r="BP100" s="291"/>
      <c r="BQ100" s="107"/>
      <c r="BR100" s="107"/>
      <c r="BS100" s="107"/>
      <c r="BT100" s="292"/>
      <c r="BU100" s="291"/>
      <c r="BV100" s="107"/>
      <c r="BW100" s="107"/>
      <c r="BX100" s="107"/>
      <c r="BY100" s="292"/>
      <c r="BZ100" s="291"/>
      <c r="CA100" s="107"/>
      <c r="CB100" s="107"/>
      <c r="CC100" s="107"/>
      <c r="CD100" s="292"/>
      <c r="CE100" s="291"/>
      <c r="CF100" s="107"/>
      <c r="CG100" s="107"/>
      <c r="CH100" s="107"/>
      <c r="CI100" s="292"/>
      <c r="CJ100" s="291"/>
      <c r="CK100" s="107"/>
      <c r="CL100" s="107"/>
      <c r="CM100" s="107"/>
      <c r="CN100" s="292"/>
      <c r="CO100" s="291"/>
      <c r="CP100" s="107"/>
      <c r="CQ100" s="107"/>
      <c r="CR100" s="107"/>
      <c r="CS100" s="292"/>
      <c r="CT100" s="291"/>
      <c r="CU100" s="107"/>
      <c r="CV100" s="107"/>
      <c r="CW100" s="107"/>
      <c r="CX100" s="292"/>
      <c r="CY100" s="291"/>
      <c r="CZ100" s="291"/>
      <c r="DA100" s="291"/>
      <c r="DB100" s="291"/>
      <c r="DC100" s="292"/>
      <c r="DD100" s="455">
        <f>DD96-DB96</f>
      </c>
      <c r="DE100" s="458">
        <f>DE96-DD96</f>
      </c>
      <c r="DF100" s="458">
        <f>DF96-DE96</f>
      </c>
      <c r="DG100" s="487">
        <f>DG96-DF96</f>
      </c>
      <c r="DH100" s="488"/>
      <c r="DI100" s="455">
        <f>DI96-DG96</f>
      </c>
      <c r="DJ100" s="458">
        <f>DJ96-DI96</f>
      </c>
      <c r="DK100" s="458">
        <f>DK96-DJ96</f>
      </c>
      <c r="DL100" s="487">
        <f>DL96-DK96</f>
      </c>
      <c r="DM100" s="488"/>
      <c r="DN100" s="455">
        <f>DN96-DL96</f>
      </c>
      <c r="DO100" s="458">
        <f>DO96-DN96</f>
      </c>
      <c r="DP100" s="458">
        <f>DP96-DO96</f>
      </c>
      <c r="DQ100" s="487">
        <f>DQ96-DP96</f>
      </c>
      <c r="DR100" s="488"/>
      <c r="DS100" s="455">
        <f>DS96-DQ96</f>
      </c>
      <c r="DT100" s="458">
        <f>DT96-DS96</f>
      </c>
      <c r="DU100" s="458">
        <f>DU96-DT96</f>
      </c>
      <c r="DV100" s="487">
        <f>DV96-DU96</f>
      </c>
      <c r="DW100" s="488"/>
      <c r="DX100" s="455">
        <f>DX96-DV96</f>
      </c>
      <c r="DY100" s="458">
        <f>DY96-DX96</f>
      </c>
      <c r="DZ100" s="458">
        <f>DZ96-DY96</f>
      </c>
      <c r="EA100" s="487">
        <f>EA96-DZ96</f>
      </c>
      <c r="EB100" s="488"/>
      <c r="EC100" s="455">
        <f>EC96-EA96</f>
      </c>
      <c r="ED100" s="458">
        <f>ED96-EC96</f>
      </c>
      <c r="EE100" s="458">
        <f>EE96-ED96</f>
      </c>
      <c r="EF100" s="487">
        <f>EF96-EE96</f>
      </c>
      <c r="EG100" s="488"/>
      <c r="EH100" s="455">
        <f>EH96-EF96</f>
      </c>
      <c r="EI100" s="458">
        <f>EI96-EH96</f>
      </c>
      <c r="EJ100" s="458">
        <f>EJ96-EI96</f>
      </c>
      <c r="EK100" s="487">
        <f>EK96-EJ96</f>
      </c>
      <c r="EL100" s="488"/>
      <c r="EM100" s="455">
        <f>EM96-EK96</f>
      </c>
      <c r="EN100" s="458">
        <f>EN96-EM96</f>
      </c>
      <c r="EO100" s="458">
        <f>EO96-EN96</f>
      </c>
      <c r="EP100" s="487">
        <f>EP96-EO96</f>
      </c>
      <c r="EQ100" s="488"/>
      <c r="ER100" s="455">
        <f>ER96-EP96</f>
      </c>
      <c r="ES100" s="458">
        <f>ES96-ER96</f>
      </c>
      <c r="ET100" s="458">
        <f>ET96-ES96</f>
      </c>
      <c r="EU100" s="487">
        <f>EU96-ET96</f>
      </c>
      <c r="EV100" s="488"/>
      <c r="EW100" s="455"/>
      <c r="EX100" s="458"/>
      <c r="EY100" s="458"/>
      <c r="EZ100" s="487"/>
      <c r="FA100" s="488"/>
      <c r="FB100" s="455"/>
      <c r="FC100" s="458"/>
      <c r="FD100" s="458"/>
      <c r="FE100" s="487"/>
      <c r="FF100" s="488"/>
      <c r="FG100" s="455"/>
      <c r="FH100" s="458"/>
      <c r="FI100" s="458"/>
      <c r="FJ100" s="487"/>
      <c r="FK100" s="488"/>
      <c r="FL100" s="455"/>
      <c r="FM100" s="458"/>
      <c r="FN100" s="458"/>
      <c r="FO100" s="487"/>
      <c r="FP100" s="488"/>
      <c r="FQ100" s="455"/>
      <c r="FR100" s="458"/>
      <c r="FS100" s="458"/>
      <c r="FT100" s="487"/>
      <c r="FU100" s="488"/>
      <c r="FV100" s="455"/>
      <c r="FW100" s="458"/>
      <c r="FX100" s="458"/>
      <c r="FY100" s="487"/>
      <c r="FZ100" s="459"/>
      <c r="GA100" s="455"/>
      <c r="GB100" s="458"/>
      <c r="GC100" s="458"/>
      <c r="GD100" s="487"/>
      <c r="GE100" s="459"/>
      <c r="GF100" s="455"/>
      <c r="GG100" s="458"/>
      <c r="GH100" s="458"/>
      <c r="GI100" s="487"/>
      <c r="GJ100" s="489"/>
    </row>
    <row r="101" spans="1:192" ht="12.75" hidden="1" customHeight="1" outlineLevel="1">
      <c r="B101" s="735" t="s">
        <v>254</v>
      </c>
      <c r="C101" s="291"/>
      <c r="D101" s="107"/>
      <c r="E101" s="107"/>
      <c r="F101" s="107"/>
      <c r="G101" s="292"/>
      <c r="H101" s="291"/>
      <c r="I101" s="107"/>
      <c r="J101" s="107"/>
      <c r="K101" s="107"/>
      <c r="L101" s="292"/>
      <c r="M101" s="291"/>
      <c r="N101" s="107"/>
      <c r="O101" s="107"/>
      <c r="P101" s="107"/>
      <c r="Q101" s="292"/>
      <c r="R101" s="291"/>
      <c r="S101" s="107"/>
      <c r="T101" s="107"/>
      <c r="U101" s="107"/>
      <c r="V101" s="292"/>
      <c r="W101" s="291"/>
      <c r="X101" s="107"/>
      <c r="Y101" s="107"/>
      <c r="Z101" s="107"/>
      <c r="AA101" s="292"/>
      <c r="AB101" s="291"/>
      <c r="AC101" s="107"/>
      <c r="AD101" s="107"/>
      <c r="AE101" s="107"/>
      <c r="AF101" s="292"/>
      <c r="AG101" s="291"/>
      <c r="AH101" s="107"/>
      <c r="AI101" s="107"/>
      <c r="AJ101" s="107"/>
      <c r="AK101" s="292"/>
      <c r="AL101" s="291"/>
      <c r="AM101" s="107"/>
      <c r="AN101" s="107"/>
      <c r="AO101" s="107"/>
      <c r="AP101" s="292"/>
      <c r="AQ101" s="291"/>
      <c r="AR101" s="107"/>
      <c r="AS101" s="107"/>
      <c r="AT101" s="107"/>
      <c r="AU101" s="292"/>
      <c r="AV101" s="291"/>
      <c r="AW101" s="107"/>
      <c r="AX101" s="107"/>
      <c r="AY101" s="107"/>
      <c r="AZ101" s="292"/>
      <c r="BA101" s="291"/>
      <c r="BB101" s="107"/>
      <c r="BC101" s="107"/>
      <c r="BD101" s="107"/>
      <c r="BE101" s="292"/>
      <c r="BF101" s="291"/>
      <c r="BG101" s="107"/>
      <c r="BH101" s="107"/>
      <c r="BI101" s="107"/>
      <c r="BJ101" s="292"/>
      <c r="BK101" s="291"/>
      <c r="BL101" s="107"/>
      <c r="BM101" s="107"/>
      <c r="BN101" s="107"/>
      <c r="BO101" s="292"/>
      <c r="BP101" s="291"/>
      <c r="BQ101" s="107"/>
      <c r="BR101" s="107"/>
      <c r="BS101" s="107"/>
      <c r="BT101" s="292"/>
      <c r="BU101" s="291"/>
      <c r="BV101" s="107"/>
      <c r="BW101" s="107"/>
      <c r="BX101" s="107"/>
      <c r="BY101" s="292"/>
      <c r="BZ101" s="291"/>
      <c r="CA101" s="107"/>
      <c r="CB101" s="107"/>
      <c r="CC101" s="107"/>
      <c r="CD101" s="292"/>
      <c r="CE101" s="291"/>
      <c r="CF101" s="107"/>
      <c r="CG101" s="107"/>
      <c r="CH101" s="107"/>
      <c r="CI101" s="292"/>
      <c r="CJ101" s="291"/>
      <c r="CK101" s="107"/>
      <c r="CL101" s="107"/>
      <c r="CM101" s="107"/>
      <c r="CN101" s="292"/>
      <c r="CO101" s="291"/>
      <c r="CP101" s="107"/>
      <c r="CQ101" s="107"/>
      <c r="CR101" s="107"/>
      <c r="CS101" s="292"/>
      <c r="CT101" s="291"/>
      <c r="CU101" s="107"/>
      <c r="CV101" s="107">
        <f>CV96/CV110</f>
      </c>
      <c r="CW101" s="107"/>
      <c r="CX101" s="292"/>
      <c r="CY101" s="291"/>
      <c r="CZ101" s="291"/>
      <c r="DA101" s="291"/>
      <c r="DB101" s="291">
        <f>DB96/DB110</f>
      </c>
      <c r="DC101" s="292"/>
      <c r="DD101" s="291">
        <f t="shared" ref="DD101:EI101" si="79">DD96/DD110</f>
      </c>
      <c r="DE101" s="291">
        <f t="shared" si="79"/>
      </c>
      <c r="DF101" s="291">
        <f t="shared" si="79"/>
      </c>
      <c r="DG101" s="291">
        <f t="shared" si="79"/>
      </c>
      <c r="DH101" s="292">
        <f t="shared" si="79"/>
      </c>
      <c r="DI101" s="291">
        <f t="shared" si="79"/>
      </c>
      <c r="DJ101" s="291">
        <f t="shared" si="79"/>
      </c>
      <c r="DK101" s="291">
        <f t="shared" si="79"/>
      </c>
      <c r="DL101" s="291">
        <f t="shared" si="79"/>
      </c>
      <c r="DM101" s="292">
        <f t="shared" si="79"/>
      </c>
      <c r="DN101" s="291">
        <f t="shared" si="79"/>
      </c>
      <c r="DO101" s="291">
        <f t="shared" si="79"/>
      </c>
      <c r="DP101" s="291">
        <f t="shared" si="79"/>
      </c>
      <c r="DQ101" s="291">
        <f t="shared" si="79"/>
      </c>
      <c r="DR101" s="292">
        <f t="shared" si="79"/>
      </c>
      <c r="DS101" s="291">
        <f t="shared" si="79"/>
      </c>
      <c r="DT101" s="291">
        <f t="shared" si="79"/>
      </c>
      <c r="DU101" s="291">
        <f t="shared" si="79"/>
      </c>
      <c r="DV101" s="291">
        <f t="shared" si="79"/>
      </c>
      <c r="DW101" s="292">
        <f t="shared" si="79"/>
      </c>
      <c r="DX101" s="291">
        <f t="shared" si="79"/>
      </c>
      <c r="DY101" s="291">
        <f t="shared" si="79"/>
      </c>
      <c r="DZ101" s="291">
        <f t="shared" si="79"/>
      </c>
      <c r="EA101" s="291">
        <f t="shared" si="79"/>
      </c>
      <c r="EB101" s="292">
        <f t="shared" si="79"/>
      </c>
      <c r="EC101" s="291">
        <f t="shared" si="79"/>
      </c>
      <c r="ED101" s="291">
        <f t="shared" si="79"/>
      </c>
      <c r="EE101" s="291">
        <f t="shared" si="79"/>
      </c>
      <c r="EF101" s="291">
        <f t="shared" si="79"/>
      </c>
      <c r="EG101" s="292">
        <f t="shared" si="79"/>
      </c>
      <c r="EH101" s="291">
        <f t="shared" si="79"/>
      </c>
      <c r="EI101" s="291">
        <f t="shared" si="79"/>
      </c>
      <c r="EJ101" s="291">
        <f t="shared" ref="EJ101:ES101" si="80">EJ96/EJ110</f>
      </c>
      <c r="EK101" s="291">
        <f t="shared" si="80"/>
      </c>
      <c r="EL101" s="292">
        <f t="shared" si="80"/>
      </c>
      <c r="EM101" s="291">
        <f t="shared" si="80"/>
      </c>
      <c r="EN101" s="291">
        <f t="shared" si="80"/>
      </c>
      <c r="EO101" s="291">
        <f t="shared" si="80"/>
      </c>
      <c r="EP101" s="291">
        <f t="shared" si="80"/>
      </c>
      <c r="EQ101" s="292">
        <f t="shared" si="80"/>
      </c>
      <c r="ER101" s="291">
        <f t="shared" si="80"/>
      </c>
      <c r="ES101" s="291">
        <f t="shared" si="80"/>
      </c>
      <c r="ET101" s="291">
        <f>ET96/ET110</f>
      </c>
      <c r="EU101" s="291">
        <f>EU96/EU110</f>
      </c>
      <c r="EV101" s="292">
        <f>EV96/EV110</f>
      </c>
      <c r="EW101" s="291"/>
      <c r="EX101" s="291"/>
      <c r="EY101" s="291"/>
      <c r="EZ101" s="291"/>
      <c r="FA101" s="292"/>
      <c r="FB101" s="291"/>
      <c r="FC101" s="291"/>
      <c r="FD101" s="291"/>
      <c r="FE101" s="291"/>
      <c r="FF101" s="292"/>
      <c r="FG101" s="291"/>
      <c r="FH101" s="291"/>
      <c r="FI101" s="291"/>
      <c r="FJ101" s="291"/>
      <c r="FK101" s="292"/>
      <c r="FL101" s="291"/>
      <c r="FM101" s="291"/>
      <c r="FN101" s="291"/>
      <c r="FO101" s="291"/>
      <c r="FP101" s="292"/>
      <c r="FQ101" s="291"/>
      <c r="FR101" s="291"/>
      <c r="FS101" s="291"/>
      <c r="FT101" s="291"/>
      <c r="FU101" s="292"/>
      <c r="FV101" s="291"/>
      <c r="FW101" s="107"/>
      <c r="FX101" s="107"/>
      <c r="FY101" s="107"/>
      <c r="FZ101" s="292"/>
      <c r="GA101" s="291"/>
      <c r="GB101" s="107"/>
      <c r="GC101" s="107"/>
      <c r="GD101" s="107"/>
      <c r="GE101" s="292"/>
      <c r="GF101" s="291"/>
      <c r="GG101" s="107"/>
      <c r="GH101" s="107"/>
      <c r="GI101" s="107"/>
      <c r="GJ101" s="384"/>
    </row>
    <row r="102" spans="1:192" ht="12.75" hidden="1" customHeight="1" outlineLevel="1">
      <c r="B102" s="735"/>
      <c r="C102" s="291"/>
      <c r="D102" s="107"/>
      <c r="E102" s="107"/>
      <c r="F102" s="107"/>
      <c r="G102" s="292"/>
      <c r="H102" s="291"/>
      <c r="I102" s="107"/>
      <c r="J102" s="107"/>
      <c r="K102" s="107"/>
      <c r="L102" s="292"/>
      <c r="M102" s="291"/>
      <c r="N102" s="107"/>
      <c r="O102" s="107"/>
      <c r="P102" s="107"/>
      <c r="Q102" s="292"/>
      <c r="R102" s="291"/>
      <c r="S102" s="107"/>
      <c r="T102" s="107"/>
      <c r="U102" s="107"/>
      <c r="V102" s="292"/>
      <c r="W102" s="291"/>
      <c r="X102" s="107"/>
      <c r="Y102" s="107"/>
      <c r="Z102" s="107"/>
      <c r="AA102" s="292"/>
      <c r="AB102" s="291"/>
      <c r="AC102" s="107"/>
      <c r="AD102" s="107"/>
      <c r="AE102" s="107"/>
      <c r="AF102" s="292"/>
      <c r="AG102" s="291"/>
      <c r="AH102" s="107"/>
      <c r="AI102" s="107"/>
      <c r="AJ102" s="107"/>
      <c r="AK102" s="292"/>
      <c r="AL102" s="291"/>
      <c r="AM102" s="107"/>
      <c r="AN102" s="107"/>
      <c r="AO102" s="107"/>
      <c r="AP102" s="292"/>
      <c r="AQ102" s="291"/>
      <c r="AR102" s="107"/>
      <c r="AS102" s="107"/>
      <c r="AT102" s="107"/>
      <c r="AU102" s="292"/>
      <c r="AV102" s="291"/>
      <c r="AW102" s="107"/>
      <c r="AX102" s="107"/>
      <c r="AY102" s="107"/>
      <c r="AZ102" s="292"/>
      <c r="BA102" s="291"/>
      <c r="BB102" s="107"/>
      <c r="BC102" s="107"/>
      <c r="BD102" s="107"/>
      <c r="BE102" s="292"/>
      <c r="BF102" s="291"/>
      <c r="BG102" s="107"/>
      <c r="BH102" s="107"/>
      <c r="BI102" s="107"/>
      <c r="BJ102" s="292"/>
      <c r="BK102" s="291"/>
      <c r="BL102" s="107"/>
      <c r="BM102" s="107"/>
      <c r="BN102" s="107"/>
      <c r="BO102" s="292"/>
      <c r="BP102" s="291"/>
      <c r="BQ102" s="107"/>
      <c r="BR102" s="107"/>
      <c r="BS102" s="107"/>
      <c r="BT102" s="292"/>
      <c r="BU102" s="291"/>
      <c r="BV102" s="107"/>
      <c r="BW102" s="107"/>
      <c r="BX102" s="107"/>
      <c r="BY102" s="292"/>
      <c r="BZ102" s="291"/>
      <c r="CA102" s="107"/>
      <c r="CB102" s="107"/>
      <c r="CC102" s="107"/>
      <c r="CD102" s="292"/>
      <c r="CE102" s="291"/>
      <c r="CF102" s="107"/>
      <c r="CG102" s="107"/>
      <c r="CH102" s="107"/>
      <c r="CI102" s="292"/>
      <c r="CJ102" s="291"/>
      <c r="CK102" s="107"/>
      <c r="CL102" s="107"/>
      <c r="CM102" s="107"/>
      <c r="CN102" s="292"/>
      <c r="CO102" s="291"/>
      <c r="CP102" s="107"/>
      <c r="CQ102" s="107"/>
      <c r="CR102" s="107"/>
      <c r="CS102" s="292"/>
      <c r="CT102" s="291"/>
      <c r="CU102" s="107"/>
      <c r="CV102" s="107"/>
      <c r="CW102" s="107"/>
      <c r="CX102" s="292"/>
      <c r="CY102" s="291"/>
      <c r="CZ102" s="107"/>
      <c r="DA102" s="107"/>
      <c r="DB102" s="107"/>
      <c r="DC102" s="292"/>
      <c r="DD102" s="291"/>
      <c r="DE102" s="107"/>
      <c r="DF102" s="107"/>
      <c r="DG102" s="107"/>
      <c r="DH102" s="292"/>
      <c r="DI102" s="291"/>
      <c r="DJ102" s="107"/>
      <c r="DK102" s="107"/>
      <c r="DL102" s="107"/>
      <c r="DM102" s="292"/>
      <c r="DN102" s="291"/>
      <c r="DO102" s="107"/>
      <c r="DP102" s="107"/>
      <c r="DQ102" s="107"/>
      <c r="DR102" s="292"/>
      <c r="DS102" s="291"/>
      <c r="DT102" s="107"/>
      <c r="DU102" s="107"/>
      <c r="DV102" s="107"/>
      <c r="DW102" s="292"/>
      <c r="DX102" s="291"/>
      <c r="DY102" s="107"/>
      <c r="DZ102" s="107"/>
      <c r="EA102" s="107"/>
      <c r="EB102" s="292"/>
      <c r="EC102" s="291"/>
      <c r="ED102" s="107"/>
      <c r="EE102" s="107"/>
      <c r="EF102" s="107"/>
      <c r="EG102" s="292"/>
      <c r="EH102" s="291"/>
      <c r="EI102" s="107"/>
      <c r="EJ102" s="107"/>
      <c r="EK102" s="107"/>
      <c r="EL102" s="292"/>
      <c r="EM102" s="291"/>
      <c r="EN102" s="107"/>
      <c r="EO102" s="107"/>
      <c r="EP102" s="107"/>
      <c r="EQ102" s="292"/>
      <c r="ER102" s="291"/>
      <c r="ES102" s="107"/>
      <c r="ET102" s="107"/>
      <c r="EU102" s="107"/>
      <c r="EV102" s="292"/>
      <c r="EW102" s="291"/>
      <c r="EX102" s="107"/>
      <c r="EY102" s="107"/>
      <c r="EZ102" s="107"/>
      <c r="FA102" s="292"/>
      <c r="FB102" s="291"/>
      <c r="FC102" s="107"/>
      <c r="FD102" s="107"/>
      <c r="FE102" s="107"/>
      <c r="FF102" s="292"/>
      <c r="FG102" s="291"/>
      <c r="FH102" s="107"/>
      <c r="FI102" s="107"/>
      <c r="FJ102" s="107"/>
      <c r="FK102" s="292"/>
      <c r="FL102" s="291"/>
      <c r="FM102" s="107"/>
      <c r="FN102" s="107"/>
      <c r="FO102" s="107"/>
      <c r="FP102" s="292"/>
      <c r="FQ102" s="291"/>
      <c r="FR102" s="107"/>
      <c r="FS102" s="107"/>
      <c r="FT102" s="107"/>
      <c r="FU102" s="292"/>
      <c r="FV102" s="291"/>
      <c r="FW102" s="107"/>
      <c r="FX102" s="107"/>
      <c r="FY102" s="107"/>
      <c r="FZ102" s="292"/>
      <c r="GA102" s="291"/>
      <c r="GB102" s="107"/>
      <c r="GC102" s="107"/>
      <c r="GD102" s="107"/>
      <c r="GE102" s="292"/>
      <c r="GF102" s="291"/>
      <c r="GG102" s="107"/>
      <c r="GH102" s="107"/>
      <c r="GI102" s="107"/>
      <c r="GJ102" s="384"/>
    </row>
    <row r="103" spans="1:192" s="461" customFormat="1" ht="12.75" hidden="1" customHeight="1" outlineLevel="1">
      <c r="A103" s="807"/>
      <c r="B103" s="734" t="s">
        <v>1966</v>
      </c>
      <c r="C103" s="443"/>
      <c r="D103" s="471"/>
      <c r="E103" s="471"/>
      <c r="F103" s="471"/>
      <c r="G103" s="516"/>
      <c r="H103" s="443"/>
      <c r="I103" s="471"/>
      <c r="J103" s="471"/>
      <c r="K103" s="471"/>
      <c r="L103" s="516"/>
      <c r="M103" s="443"/>
      <c r="N103" s="471"/>
      <c r="O103" s="471"/>
      <c r="P103" s="471"/>
      <c r="Q103" s="516"/>
      <c r="R103" s="443"/>
      <c r="S103" s="471"/>
      <c r="T103" s="471"/>
      <c r="U103" s="471"/>
      <c r="V103" s="516"/>
      <c r="W103" s="443"/>
      <c r="X103" s="471"/>
      <c r="Y103" s="471"/>
      <c r="Z103" s="471"/>
      <c r="AA103" s="516"/>
      <c r="AB103" s="443"/>
      <c r="AC103" s="471"/>
      <c r="AD103" s="471"/>
      <c r="AE103" s="471"/>
      <c r="AF103" s="516"/>
      <c r="AG103" s="443"/>
      <c r="AH103" s="471"/>
      <c r="AI103" s="471"/>
      <c r="AJ103" s="471"/>
      <c r="AK103" s="516"/>
      <c r="AL103" s="443"/>
      <c r="AM103" s="471"/>
      <c r="AN103" s="471"/>
      <c r="AO103" s="471"/>
      <c r="AP103" s="516"/>
      <c r="AQ103" s="443"/>
      <c r="AR103" s="471"/>
      <c r="AS103" s="471"/>
      <c r="AT103" s="471"/>
      <c r="AU103" s="516"/>
      <c r="AV103" s="443"/>
      <c r="AW103" s="471"/>
      <c r="AX103" s="471"/>
      <c r="AY103" s="471"/>
      <c r="AZ103" s="516"/>
      <c r="BA103" s="443"/>
      <c r="BB103" s="471"/>
      <c r="BC103" s="471"/>
      <c r="BD103" s="471"/>
      <c r="BE103" s="516"/>
      <c r="BF103" s="443"/>
      <c r="BG103" s="471"/>
      <c r="BH103" s="471"/>
      <c r="BI103" s="471"/>
      <c r="BJ103" s="516"/>
      <c r="BK103" s="443"/>
      <c r="BL103" s="471"/>
      <c r="BM103" s="471"/>
      <c r="BN103" s="471"/>
      <c r="BO103" s="516"/>
      <c r="BP103" s="443"/>
      <c r="BQ103" s="471"/>
      <c r="BR103" s="471"/>
      <c r="BS103" s="471"/>
      <c r="BT103" s="516"/>
      <c r="BU103" s="443"/>
      <c r="BV103" s="471"/>
      <c r="BW103" s="471"/>
      <c r="BX103" s="471"/>
      <c r="BY103" s="516"/>
      <c r="BZ103" s="443"/>
      <c r="CA103" s="471"/>
      <c r="CB103" s="471"/>
      <c r="CC103" s="471"/>
      <c r="CD103" s="516"/>
      <c r="CE103" s="443"/>
      <c r="CF103" s="471"/>
      <c r="CG103" s="471"/>
      <c r="CH103" s="471"/>
      <c r="CI103" s="516"/>
      <c r="CJ103" s="443"/>
      <c r="CK103" s="471"/>
      <c r="CL103" s="471"/>
      <c r="CM103" s="471"/>
      <c r="CN103" s="516"/>
      <c r="CO103" s="443"/>
      <c r="CP103" s="471"/>
      <c r="CQ103" s="471"/>
      <c r="CR103" s="471"/>
      <c r="CS103" s="516"/>
      <c r="CT103" s="443"/>
      <c r="CU103" s="471"/>
      <c r="CV103" s="471">
        <f>CV110-CV96</f>
      </c>
      <c r="CW103" s="471"/>
      <c r="CX103" s="516"/>
      <c r="CY103" s="443"/>
      <c r="CZ103" s="471"/>
      <c r="DA103" s="471"/>
      <c r="DB103" s="443">
        <f>DB301+DB178</f>
      </c>
      <c r="DC103" s="516"/>
      <c r="DD103" s="443">
        <f t="shared" ref="DD103:EV103" si="81">DD301+DD178</f>
      </c>
      <c r="DE103" s="443">
        <f t="shared" si="81"/>
      </c>
      <c r="DF103" s="443">
        <f t="shared" si="81"/>
      </c>
      <c r="DG103" s="443">
        <f t="shared" si="81"/>
      </c>
      <c r="DH103" s="516">
        <f t="shared" si="81"/>
      </c>
      <c r="DI103" s="443">
        <f t="shared" si="81"/>
      </c>
      <c r="DJ103" s="443">
        <f t="shared" si="81"/>
      </c>
      <c r="DK103" s="443">
        <f t="shared" si="81"/>
      </c>
      <c r="DL103" s="443">
        <f t="shared" si="81"/>
      </c>
      <c r="DM103" s="516">
        <f t="shared" si="81"/>
      </c>
      <c r="DN103" s="443">
        <f t="shared" si="81"/>
      </c>
      <c r="DO103" s="443">
        <f t="shared" si="81"/>
      </c>
      <c r="DP103" s="443">
        <f t="shared" si="81"/>
      </c>
      <c r="DQ103" s="443">
        <f t="shared" si="81"/>
      </c>
      <c r="DR103" s="516">
        <f t="shared" si="81"/>
      </c>
      <c r="DS103" s="443">
        <f t="shared" si="81"/>
      </c>
      <c r="DT103" s="443">
        <f t="shared" si="81"/>
      </c>
      <c r="DU103" s="443">
        <f t="shared" si="81"/>
      </c>
      <c r="DV103" s="443">
        <f t="shared" si="81"/>
      </c>
      <c r="DW103" s="516">
        <f t="shared" si="81"/>
      </c>
      <c r="DX103" s="443">
        <f t="shared" si="81"/>
      </c>
      <c r="DY103" s="443">
        <f t="shared" si="81"/>
      </c>
      <c r="DZ103" s="443">
        <f t="shared" si="81"/>
      </c>
      <c r="EA103" s="443">
        <f t="shared" si="81"/>
      </c>
      <c r="EB103" s="516">
        <f t="shared" si="81"/>
      </c>
      <c r="EC103" s="443">
        <f t="shared" si="81"/>
      </c>
      <c r="ED103" s="443">
        <f t="shared" si="81"/>
      </c>
      <c r="EE103" s="443">
        <f t="shared" si="81"/>
      </c>
      <c r="EF103" s="443">
        <f t="shared" si="81"/>
      </c>
      <c r="EG103" s="516">
        <f t="shared" si="81"/>
      </c>
      <c r="EH103" s="443">
        <f t="shared" si="81"/>
      </c>
      <c r="EI103" s="443">
        <f t="shared" si="81"/>
      </c>
      <c r="EJ103" s="443">
        <f t="shared" si="81"/>
      </c>
      <c r="EK103" s="443">
        <f t="shared" si="81"/>
      </c>
      <c r="EL103" s="516">
        <f t="shared" si="81"/>
      </c>
      <c r="EM103" s="443">
        <f t="shared" si="81"/>
      </c>
      <c r="EN103" s="443">
        <f t="shared" si="81"/>
      </c>
      <c r="EO103" s="443">
        <f t="shared" si="81"/>
      </c>
      <c r="EP103" s="443">
        <f t="shared" si="81"/>
      </c>
      <c r="EQ103" s="516">
        <f t="shared" si="81"/>
      </c>
      <c r="ER103" s="443">
        <f t="shared" si="81"/>
      </c>
      <c r="ES103" s="443">
        <f t="shared" si="81"/>
      </c>
      <c r="ET103" s="443">
        <f t="shared" si="81"/>
      </c>
      <c r="EU103" s="443">
        <f t="shared" si="81"/>
      </c>
      <c r="EV103" s="516">
        <f t="shared" si="81"/>
      </c>
      <c r="EW103" s="443"/>
      <c r="EX103" s="443"/>
      <c r="EY103" s="443"/>
      <c r="EZ103" s="443"/>
      <c r="FA103" s="516"/>
      <c r="FB103" s="443"/>
      <c r="FC103" s="443"/>
      <c r="FD103" s="443"/>
      <c r="FE103" s="443"/>
      <c r="FF103" s="516"/>
      <c r="FG103" s="443"/>
      <c r="FH103" s="443"/>
      <c r="FI103" s="443"/>
      <c r="FJ103" s="443"/>
      <c r="FK103" s="516"/>
      <c r="FL103" s="443"/>
      <c r="FM103" s="443"/>
      <c r="FN103" s="443"/>
      <c r="FO103" s="443"/>
      <c r="FP103" s="516"/>
      <c r="FQ103" s="443"/>
      <c r="FR103" s="443"/>
      <c r="FS103" s="443"/>
      <c r="FT103" s="443"/>
      <c r="FU103" s="516"/>
      <c r="FV103" s="443"/>
      <c r="FW103" s="471"/>
      <c r="FX103" s="471"/>
      <c r="FY103" s="471"/>
      <c r="FZ103" s="516"/>
      <c r="GA103" s="443"/>
      <c r="GB103" s="471"/>
      <c r="GC103" s="471"/>
      <c r="GD103" s="471"/>
      <c r="GE103" s="516"/>
      <c r="GF103" s="443"/>
      <c r="GG103" s="471"/>
      <c r="GH103" s="471"/>
      <c r="GI103" s="471"/>
      <c r="GJ103" s="808"/>
    </row>
    <row r="104" spans="1:192" s="1241" customFormat="1" ht="12.75" hidden="1" customHeight="1" outlineLevel="1">
      <c r="A104" s="1237"/>
      <c r="B104" s="735" t="s">
        <v>34</v>
      </c>
      <c r="C104" s="892"/>
      <c r="D104" s="924"/>
      <c r="E104" s="924"/>
      <c r="F104" s="924"/>
      <c r="G104" s="1240"/>
      <c r="H104" s="892"/>
      <c r="I104" s="924"/>
      <c r="J104" s="924"/>
      <c r="K104" s="924"/>
      <c r="L104" s="1240"/>
      <c r="M104" s="892"/>
      <c r="N104" s="924"/>
      <c r="O104" s="924"/>
      <c r="P104" s="924"/>
      <c r="Q104" s="1240"/>
      <c r="R104" s="892"/>
      <c r="S104" s="924"/>
      <c r="T104" s="924"/>
      <c r="U104" s="924"/>
      <c r="V104" s="1240"/>
      <c r="W104" s="892"/>
      <c r="X104" s="924"/>
      <c r="Y104" s="924"/>
      <c r="Z104" s="924"/>
      <c r="AA104" s="1240"/>
      <c r="AB104" s="892"/>
      <c r="AC104" s="924"/>
      <c r="AD104" s="924"/>
      <c r="AE104" s="924"/>
      <c r="AF104" s="1240"/>
      <c r="AG104" s="892"/>
      <c r="AH104" s="924"/>
      <c r="AI104" s="924"/>
      <c r="AJ104" s="924"/>
      <c r="AK104" s="1240"/>
      <c r="AL104" s="892"/>
      <c r="AM104" s="924"/>
      <c r="AN104" s="924"/>
      <c r="AO104" s="924"/>
      <c r="AP104" s="1240"/>
      <c r="AQ104" s="892"/>
      <c r="AR104" s="924"/>
      <c r="AS104" s="924"/>
      <c r="AT104" s="924"/>
      <c r="AU104" s="1240"/>
      <c r="AV104" s="892"/>
      <c r="AW104" s="924"/>
      <c r="AX104" s="924"/>
      <c r="AY104" s="924"/>
      <c r="AZ104" s="1240"/>
      <c r="BA104" s="892"/>
      <c r="BB104" s="924"/>
      <c r="BC104" s="924"/>
      <c r="BD104" s="924"/>
      <c r="BE104" s="1240"/>
      <c r="BF104" s="892"/>
      <c r="BG104" s="924"/>
      <c r="BH104" s="924"/>
      <c r="BI104" s="924"/>
      <c r="BJ104" s="1240"/>
      <c r="BK104" s="892"/>
      <c r="BL104" s="924"/>
      <c r="BM104" s="924"/>
      <c r="BN104" s="924"/>
      <c r="BO104" s="1240"/>
      <c r="BP104" s="892"/>
      <c r="BQ104" s="924"/>
      <c r="BR104" s="924"/>
      <c r="BS104" s="924"/>
      <c r="BT104" s="1240"/>
      <c r="BU104" s="892"/>
      <c r="BV104" s="924"/>
      <c r="BW104" s="924"/>
      <c r="BX104" s="924"/>
      <c r="BY104" s="1240"/>
      <c r="BZ104" s="892"/>
      <c r="CA104" s="924"/>
      <c r="CB104" s="924"/>
      <c r="CC104" s="924"/>
      <c r="CD104" s="1240"/>
      <c r="CE104" s="892"/>
      <c r="CF104" s="924"/>
      <c r="CG104" s="924"/>
      <c r="CH104" s="924"/>
      <c r="CI104" s="1240"/>
      <c r="CJ104" s="892"/>
      <c r="CK104" s="924"/>
      <c r="CL104" s="924"/>
      <c r="CM104" s="924"/>
      <c r="CN104" s="1240"/>
      <c r="CO104" s="892"/>
      <c r="CP104" s="924"/>
      <c r="CQ104" s="924"/>
      <c r="CR104" s="924"/>
      <c r="CS104" s="1240"/>
      <c r="CT104" s="892"/>
      <c r="CU104" s="924"/>
      <c r="CV104" s="924"/>
      <c r="CW104" s="924"/>
      <c r="CX104" s="1240"/>
      <c r="CY104" s="892"/>
      <c r="CZ104" s="924"/>
      <c r="DA104" s="924"/>
      <c r="DB104" s="892"/>
      <c r="DC104" s="1240"/>
      <c r="DD104" s="892"/>
      <c r="DE104" s="892"/>
      <c r="DF104" s="892"/>
      <c r="DG104" s="892" t="e">
        <f>DG103/DB103-1</f>
      </c>
      <c r="DH104" s="1240"/>
      <c r="DI104" s="892">
        <f t="shared" ref="DI104:EN104" si="82">DI103/DD103-1</f>
      </c>
      <c r="DJ104" s="892">
        <f t="shared" si="82"/>
      </c>
      <c r="DK104" s="892">
        <f t="shared" si="82"/>
      </c>
      <c r="DL104" s="892">
        <f t="shared" si="82"/>
      </c>
      <c r="DM104" s="1240">
        <f t="shared" si="82"/>
      </c>
      <c r="DN104" s="892">
        <f t="shared" si="82"/>
      </c>
      <c r="DO104" s="892">
        <f t="shared" si="82"/>
      </c>
      <c r="DP104" s="892">
        <f t="shared" si="82"/>
      </c>
      <c r="DQ104" s="892">
        <f t="shared" si="82"/>
      </c>
      <c r="DR104" s="1240">
        <f t="shared" si="82"/>
      </c>
      <c r="DS104" s="892">
        <f t="shared" si="82"/>
      </c>
      <c r="DT104" s="892">
        <f t="shared" si="82"/>
      </c>
      <c r="DU104" s="892">
        <f t="shared" si="82"/>
      </c>
      <c r="DV104" s="892">
        <f t="shared" si="82"/>
      </c>
      <c r="DW104" s="1240">
        <f t="shared" si="82"/>
      </c>
      <c r="DX104" s="892">
        <f t="shared" si="82"/>
      </c>
      <c r="DY104" s="892">
        <f t="shared" si="82"/>
      </c>
      <c r="DZ104" s="892">
        <f t="shared" si="82"/>
      </c>
      <c r="EA104" s="892">
        <f t="shared" si="82"/>
      </c>
      <c r="EB104" s="1240">
        <f t="shared" si="82"/>
      </c>
      <c r="EC104" s="892">
        <f t="shared" si="82"/>
      </c>
      <c r="ED104" s="892">
        <f t="shared" si="82"/>
      </c>
      <c r="EE104" s="892">
        <f t="shared" si="82"/>
      </c>
      <c r="EF104" s="892">
        <f t="shared" si="82"/>
      </c>
      <c r="EG104" s="1240">
        <f t="shared" si="82"/>
      </c>
      <c r="EH104" s="892">
        <f t="shared" si="82"/>
      </c>
      <c r="EI104" s="892">
        <f t="shared" si="82"/>
      </c>
      <c r="EJ104" s="892">
        <f t="shared" si="82"/>
      </c>
      <c r="EK104" s="892">
        <f t="shared" si="82"/>
      </c>
      <c r="EL104" s="1240">
        <f t="shared" si="82"/>
      </c>
      <c r="EM104" s="892">
        <f t="shared" si="82"/>
      </c>
      <c r="EN104" s="892">
        <f t="shared" si="82"/>
      </c>
      <c r="EO104" s="892">
        <f t="shared" ref="EO104:ET104" si="83">EO103/EJ103-1</f>
      </c>
      <c r="EP104" s="892">
        <f t="shared" si="83"/>
      </c>
      <c r="EQ104" s="1240">
        <f t="shared" si="83"/>
      </c>
      <c r="ER104" s="892">
        <f t="shared" si="83"/>
      </c>
      <c r="ES104" s="892">
        <f t="shared" si="83"/>
      </c>
      <c r="ET104" s="892">
        <f t="shared" si="83"/>
      </c>
      <c r="EU104" s="892">
        <f>EU103/EP103-1</f>
      </c>
      <c r="EV104" s="1240">
        <f>EV103/EQ103-1</f>
      </c>
      <c r="EW104" s="892"/>
      <c r="EX104" s="892"/>
      <c r="EY104" s="892"/>
      <c r="EZ104" s="892"/>
      <c r="FA104" s="1240"/>
      <c r="FB104" s="892"/>
      <c r="FC104" s="892"/>
      <c r="FD104" s="892"/>
      <c r="FE104" s="892"/>
      <c r="FF104" s="1240"/>
      <c r="FG104" s="892"/>
      <c r="FH104" s="892"/>
      <c r="FI104" s="892"/>
      <c r="FJ104" s="892"/>
      <c r="FK104" s="1240"/>
      <c r="FL104" s="892"/>
      <c r="FM104" s="892"/>
      <c r="FN104" s="892"/>
      <c r="FO104" s="892"/>
      <c r="FP104" s="1240"/>
      <c r="FQ104" s="892"/>
      <c r="FR104" s="892"/>
      <c r="FS104" s="892"/>
      <c r="FT104" s="892"/>
      <c r="FU104" s="1240"/>
      <c r="FV104" s="892"/>
      <c r="FW104" s="924"/>
      <c r="FX104" s="924"/>
      <c r="FY104" s="924"/>
      <c r="FZ104" s="1240"/>
      <c r="GA104" s="892"/>
      <c r="GB104" s="924"/>
      <c r="GC104" s="924"/>
      <c r="GD104" s="924"/>
      <c r="GE104" s="1240"/>
      <c r="GF104" s="892"/>
      <c r="GG104" s="924"/>
      <c r="GH104" s="924"/>
      <c r="GI104" s="924"/>
      <c r="GJ104" s="1326"/>
    </row>
    <row r="105" spans="1:192" ht="12.75" hidden="1" customHeight="1" outlineLevel="1">
      <c r="B105" s="735" t="s">
        <v>36</v>
      </c>
      <c r="C105" s="291"/>
      <c r="D105" s="107"/>
      <c r="E105" s="107"/>
      <c r="F105" s="107"/>
      <c r="G105" s="292"/>
      <c r="H105" s="291"/>
      <c r="I105" s="107"/>
      <c r="J105" s="107"/>
      <c r="K105" s="107"/>
      <c r="L105" s="292"/>
      <c r="M105" s="291"/>
      <c r="N105" s="107"/>
      <c r="O105" s="107"/>
      <c r="P105" s="107"/>
      <c r="Q105" s="292"/>
      <c r="R105" s="291"/>
      <c r="S105" s="107"/>
      <c r="T105" s="107"/>
      <c r="U105" s="107"/>
      <c r="V105" s="292"/>
      <c r="W105" s="291"/>
      <c r="X105" s="107"/>
      <c r="Y105" s="107"/>
      <c r="Z105" s="107"/>
      <c r="AA105" s="292"/>
      <c r="AB105" s="291"/>
      <c r="AC105" s="107"/>
      <c r="AD105" s="107"/>
      <c r="AE105" s="107"/>
      <c r="AF105" s="292"/>
      <c r="AG105" s="291"/>
      <c r="AH105" s="107"/>
      <c r="AI105" s="107"/>
      <c r="AJ105" s="107"/>
      <c r="AK105" s="292"/>
      <c r="AL105" s="291"/>
      <c r="AM105" s="107"/>
      <c r="AN105" s="107"/>
      <c r="AO105" s="107"/>
      <c r="AP105" s="292"/>
      <c r="AQ105" s="291"/>
      <c r="AR105" s="107"/>
      <c r="AS105" s="107"/>
      <c r="AT105" s="107"/>
      <c r="AU105" s="292"/>
      <c r="AV105" s="291"/>
      <c r="AW105" s="107"/>
      <c r="AX105" s="107"/>
      <c r="AY105" s="107"/>
      <c r="AZ105" s="292"/>
      <c r="BA105" s="291"/>
      <c r="BB105" s="107"/>
      <c r="BC105" s="107"/>
      <c r="BD105" s="107"/>
      <c r="BE105" s="292"/>
      <c r="BF105" s="291"/>
      <c r="BG105" s="107"/>
      <c r="BH105" s="107"/>
      <c r="BI105" s="107"/>
      <c r="BJ105" s="292"/>
      <c r="BK105" s="291"/>
      <c r="BL105" s="107"/>
      <c r="BM105" s="107"/>
      <c r="BN105" s="107"/>
      <c r="BO105" s="292"/>
      <c r="BP105" s="291"/>
      <c r="BQ105" s="107"/>
      <c r="BR105" s="107"/>
      <c r="BS105" s="107"/>
      <c r="BT105" s="292"/>
      <c r="BU105" s="291"/>
      <c r="BV105" s="107"/>
      <c r="BW105" s="107"/>
      <c r="BX105" s="107"/>
      <c r="BY105" s="292"/>
      <c r="BZ105" s="291"/>
      <c r="CA105" s="107"/>
      <c r="CB105" s="107"/>
      <c r="CC105" s="107"/>
      <c r="CD105" s="292"/>
      <c r="CE105" s="291"/>
      <c r="CF105" s="107"/>
      <c r="CG105" s="107"/>
      <c r="CH105" s="107"/>
      <c r="CI105" s="292"/>
      <c r="CJ105" s="291"/>
      <c r="CK105" s="107"/>
      <c r="CL105" s="107"/>
      <c r="CM105" s="107"/>
      <c r="CN105" s="292"/>
      <c r="CO105" s="291"/>
      <c r="CP105" s="107"/>
      <c r="CQ105" s="107"/>
      <c r="CR105" s="107"/>
      <c r="CS105" s="292"/>
      <c r="CT105" s="291"/>
      <c r="CU105" s="107"/>
      <c r="CV105" s="107"/>
      <c r="CW105" s="107"/>
      <c r="CX105" s="292"/>
      <c r="CY105" s="291"/>
      <c r="CZ105" s="107"/>
      <c r="DA105" s="107"/>
      <c r="DB105" s="291"/>
      <c r="DC105" s="292"/>
      <c r="DD105" s="291" t="e">
        <f>DD103/DB103-1</f>
      </c>
      <c r="DE105" s="291">
        <f>DE103/DD103-1</f>
      </c>
      <c r="DF105" s="291">
        <f>DF103/DE103-1</f>
      </c>
      <c r="DG105" s="291">
        <f>DG103/DF103-1</f>
      </c>
      <c r="DH105" s="292"/>
      <c r="DI105" s="291">
        <f>DI103/DG103-1</f>
      </c>
      <c r="DJ105" s="291">
        <f>DJ103/DI103-1</f>
      </c>
      <c r="DK105" s="291">
        <f>DK103/DJ103-1</f>
      </c>
      <c r="DL105" s="291">
        <f>DL103/DK103-1</f>
      </c>
      <c r="DM105" s="292"/>
      <c r="DN105" s="291">
        <f>DN103/DL103-1</f>
      </c>
      <c r="DO105" s="291">
        <f>DO103/DN103-1</f>
      </c>
      <c r="DP105" s="291">
        <f>DP103/DO103-1</f>
      </c>
      <c r="DQ105" s="291">
        <f>DQ103/DP103-1</f>
      </c>
      <c r="DR105" s="292"/>
      <c r="DS105" s="291">
        <f>DS103/DQ103-1</f>
      </c>
      <c r="DT105" s="291">
        <f>DT103/DS103-1</f>
      </c>
      <c r="DU105" s="291">
        <f>DU103/DT103-1</f>
      </c>
      <c r="DV105" s="291">
        <f>DV103/DU103-1</f>
      </c>
      <c r="DW105" s="292"/>
      <c r="DX105" s="291">
        <f>DX103/DV103-1</f>
      </c>
      <c r="DY105" s="291">
        <f>DY103/DX103-1</f>
      </c>
      <c r="DZ105" s="291">
        <f>DZ103/DY103-1</f>
      </c>
      <c r="EA105" s="291">
        <f>EA103/DZ103-1</f>
      </c>
      <c r="EB105" s="292"/>
      <c r="EC105" s="291">
        <f>EC103/EA103-1</f>
      </c>
      <c r="ED105" s="291">
        <f>ED103/EC103-1</f>
      </c>
      <c r="EE105" s="291">
        <f>EE103/ED103-1</f>
      </c>
      <c r="EF105" s="291">
        <f>EF103/EE103-1</f>
      </c>
      <c r="EG105" s="292"/>
      <c r="EH105" s="291">
        <f>EH103/EF103-1</f>
      </c>
      <c r="EI105" s="291">
        <f>EI103/EH103-1</f>
      </c>
      <c r="EJ105" s="291">
        <f>EJ103/EI103-1</f>
      </c>
      <c r="EK105" s="291">
        <f>EK103/EJ103-1</f>
      </c>
      <c r="EL105" s="292"/>
      <c r="EM105" s="291">
        <f>EM103/EK103-1</f>
      </c>
      <c r="EN105" s="291">
        <f>EN103/EM103-1</f>
      </c>
      <c r="EO105" s="291">
        <f>EO103/EN103-1</f>
      </c>
      <c r="EP105" s="291">
        <f>EP103/EO103-1</f>
      </c>
      <c r="EQ105" s="292"/>
      <c r="ER105" s="291">
        <f>ER103/EP103-1</f>
      </c>
      <c r="ES105" s="291">
        <f>ES103/ER103-1</f>
      </c>
      <c r="ET105" s="291">
        <f>ET103/ES103-1</f>
      </c>
      <c r="EU105" s="291">
        <f>EU103/ET103-1</f>
      </c>
      <c r="EV105" s="292"/>
      <c r="EW105" s="291"/>
      <c r="EX105" s="291"/>
      <c r="EY105" s="291"/>
      <c r="EZ105" s="291"/>
      <c r="FA105" s="292"/>
      <c r="FB105" s="291"/>
      <c r="FC105" s="291"/>
      <c r="FD105" s="291"/>
      <c r="FE105" s="291"/>
      <c r="FF105" s="292"/>
      <c r="FG105" s="291"/>
      <c r="FH105" s="291"/>
      <c r="FI105" s="291"/>
      <c r="FJ105" s="291"/>
      <c r="FK105" s="292"/>
      <c r="FL105" s="291"/>
      <c r="FM105" s="291"/>
      <c r="FN105" s="291"/>
      <c r="FO105" s="291"/>
      <c r="FP105" s="292"/>
      <c r="FQ105" s="291"/>
      <c r="FR105" s="291"/>
      <c r="FS105" s="291"/>
      <c r="FT105" s="291"/>
      <c r="FU105" s="292"/>
      <c r="FV105" s="291"/>
      <c r="FW105" s="107"/>
      <c r="FX105" s="107"/>
      <c r="FY105" s="107"/>
      <c r="FZ105" s="292"/>
      <c r="GA105" s="291"/>
      <c r="GB105" s="107"/>
      <c r="GC105" s="107"/>
      <c r="GD105" s="107"/>
      <c r="GE105" s="292"/>
      <c r="GF105" s="291"/>
      <c r="GG105" s="107"/>
      <c r="GH105" s="107"/>
      <c r="GI105" s="107"/>
      <c r="GJ105" s="384"/>
    </row>
    <row r="106" spans="1:192" ht="12.75" hidden="1" customHeight="1" outlineLevel="1">
      <c r="B106" s="735" t="s">
        <v>243</v>
      </c>
      <c r="C106" s="291"/>
      <c r="D106" s="107"/>
      <c r="E106" s="107"/>
      <c r="F106" s="107"/>
      <c r="G106" s="292"/>
      <c r="H106" s="291"/>
      <c r="I106" s="107"/>
      <c r="J106" s="107"/>
      <c r="K106" s="107"/>
      <c r="L106" s="292"/>
      <c r="M106" s="291"/>
      <c r="N106" s="107"/>
      <c r="O106" s="107"/>
      <c r="P106" s="107"/>
      <c r="Q106" s="292"/>
      <c r="R106" s="291"/>
      <c r="S106" s="107"/>
      <c r="T106" s="107"/>
      <c r="U106" s="107"/>
      <c r="V106" s="292"/>
      <c r="W106" s="291"/>
      <c r="X106" s="107"/>
      <c r="Y106" s="107"/>
      <c r="Z106" s="107"/>
      <c r="AA106" s="292"/>
      <c r="AB106" s="291"/>
      <c r="AC106" s="107"/>
      <c r="AD106" s="107"/>
      <c r="AE106" s="107"/>
      <c r="AF106" s="292"/>
      <c r="AG106" s="291"/>
      <c r="AH106" s="107"/>
      <c r="AI106" s="107"/>
      <c r="AJ106" s="107"/>
      <c r="AK106" s="292"/>
      <c r="AL106" s="291"/>
      <c r="AM106" s="107"/>
      <c r="AN106" s="107"/>
      <c r="AO106" s="107"/>
      <c r="AP106" s="292"/>
      <c r="AQ106" s="291"/>
      <c r="AR106" s="107"/>
      <c r="AS106" s="107"/>
      <c r="AT106" s="107"/>
      <c r="AU106" s="292"/>
      <c r="AV106" s="291"/>
      <c r="AW106" s="107"/>
      <c r="AX106" s="107"/>
      <c r="AY106" s="107"/>
      <c r="AZ106" s="292"/>
      <c r="BA106" s="291"/>
      <c r="BB106" s="107"/>
      <c r="BC106" s="107"/>
      <c r="BD106" s="107"/>
      <c r="BE106" s="292"/>
      <c r="BF106" s="291"/>
      <c r="BG106" s="107"/>
      <c r="BH106" s="107"/>
      <c r="BI106" s="107"/>
      <c r="BJ106" s="292"/>
      <c r="BK106" s="291"/>
      <c r="BL106" s="107"/>
      <c r="BM106" s="107"/>
      <c r="BN106" s="107"/>
      <c r="BO106" s="292"/>
      <c r="BP106" s="291"/>
      <c r="BQ106" s="107"/>
      <c r="BR106" s="107"/>
      <c r="BS106" s="107"/>
      <c r="BT106" s="292"/>
      <c r="BU106" s="291"/>
      <c r="BV106" s="107"/>
      <c r="BW106" s="107"/>
      <c r="BX106" s="107"/>
      <c r="BY106" s="292"/>
      <c r="BZ106" s="291"/>
      <c r="CA106" s="107"/>
      <c r="CB106" s="107"/>
      <c r="CC106" s="107"/>
      <c r="CD106" s="292"/>
      <c r="CE106" s="291"/>
      <c r="CF106" s="107"/>
      <c r="CG106" s="107"/>
      <c r="CH106" s="107"/>
      <c r="CI106" s="292"/>
      <c r="CJ106" s="291"/>
      <c r="CK106" s="107"/>
      <c r="CL106" s="107"/>
      <c r="CM106" s="107"/>
      <c r="CN106" s="292"/>
      <c r="CO106" s="291"/>
      <c r="CP106" s="107"/>
      <c r="CQ106" s="107"/>
      <c r="CR106" s="107"/>
      <c r="CS106" s="292"/>
      <c r="CT106" s="291"/>
      <c r="CU106" s="107"/>
      <c r="CV106" s="107"/>
      <c r="CW106" s="107"/>
      <c r="CX106" s="292"/>
      <c r="CY106" s="291"/>
      <c r="CZ106" s="107"/>
      <c r="DA106" s="107"/>
      <c r="DB106" s="291"/>
      <c r="DC106" s="292"/>
      <c r="DD106" s="455"/>
      <c r="DE106" s="458"/>
      <c r="DF106" s="458"/>
      <c r="DG106" s="487">
        <f>DG103-DB103</f>
      </c>
      <c r="DH106" s="488"/>
      <c r="DI106" s="455">
        <f t="shared" ref="DI106:EN106" si="84">DI103-DD103</f>
      </c>
      <c r="DJ106" s="458">
        <f t="shared" si="84"/>
      </c>
      <c r="DK106" s="458">
        <f t="shared" si="84"/>
      </c>
      <c r="DL106" s="487">
        <f t="shared" si="84"/>
      </c>
      <c r="DM106" s="488">
        <f t="shared" si="84"/>
      </c>
      <c r="DN106" s="455">
        <f t="shared" si="84"/>
      </c>
      <c r="DO106" s="458">
        <f t="shared" si="84"/>
      </c>
      <c r="DP106" s="458">
        <f t="shared" si="84"/>
      </c>
      <c r="DQ106" s="487">
        <f t="shared" si="84"/>
      </c>
      <c r="DR106" s="488">
        <f t="shared" si="84"/>
      </c>
      <c r="DS106" s="455">
        <f t="shared" si="84"/>
      </c>
      <c r="DT106" s="458">
        <f t="shared" si="84"/>
      </c>
      <c r="DU106" s="458">
        <f t="shared" si="84"/>
      </c>
      <c r="DV106" s="487">
        <f t="shared" si="84"/>
      </c>
      <c r="DW106" s="488">
        <f t="shared" si="84"/>
      </c>
      <c r="DX106" s="455">
        <f t="shared" si="84"/>
      </c>
      <c r="DY106" s="458">
        <f t="shared" si="84"/>
      </c>
      <c r="DZ106" s="458">
        <f t="shared" si="84"/>
      </c>
      <c r="EA106" s="487">
        <f t="shared" si="84"/>
      </c>
      <c r="EB106" s="488">
        <f t="shared" si="84"/>
      </c>
      <c r="EC106" s="455">
        <f t="shared" si="84"/>
      </c>
      <c r="ED106" s="458">
        <f t="shared" si="84"/>
      </c>
      <c r="EE106" s="458">
        <f t="shared" si="84"/>
      </c>
      <c r="EF106" s="487">
        <f t="shared" si="84"/>
      </c>
      <c r="EG106" s="488">
        <f t="shared" si="84"/>
      </c>
      <c r="EH106" s="455">
        <f t="shared" si="84"/>
      </c>
      <c r="EI106" s="458">
        <f t="shared" si="84"/>
      </c>
      <c r="EJ106" s="458">
        <f t="shared" si="84"/>
      </c>
      <c r="EK106" s="487">
        <f t="shared" si="84"/>
      </c>
      <c r="EL106" s="488">
        <f t="shared" si="84"/>
      </c>
      <c r="EM106" s="455">
        <f t="shared" si="84"/>
      </c>
      <c r="EN106" s="458">
        <f t="shared" si="84"/>
      </c>
      <c r="EO106" s="458">
        <f t="shared" ref="EO106:ET106" si="85">EO103-EJ103</f>
      </c>
      <c r="EP106" s="487">
        <f t="shared" si="85"/>
      </c>
      <c r="EQ106" s="488">
        <f t="shared" si="85"/>
      </c>
      <c r="ER106" s="455">
        <f t="shared" si="85"/>
      </c>
      <c r="ES106" s="458">
        <f t="shared" si="85"/>
      </c>
      <c r="ET106" s="458">
        <f t="shared" si="85"/>
      </c>
      <c r="EU106" s="487">
        <f>EU103-EP103</f>
      </c>
      <c r="EV106" s="488">
        <f>EV103-EQ103</f>
      </c>
      <c r="EW106" s="455"/>
      <c r="EX106" s="458"/>
      <c r="EY106" s="458"/>
      <c r="EZ106" s="487"/>
      <c r="FA106" s="488"/>
      <c r="FB106" s="455"/>
      <c r="FC106" s="458"/>
      <c r="FD106" s="458"/>
      <c r="FE106" s="487"/>
      <c r="FF106" s="488"/>
      <c r="FG106" s="455"/>
      <c r="FH106" s="458"/>
      <c r="FI106" s="458"/>
      <c r="FJ106" s="487"/>
      <c r="FK106" s="488"/>
      <c r="FL106" s="455"/>
      <c r="FM106" s="458"/>
      <c r="FN106" s="458"/>
      <c r="FO106" s="487"/>
      <c r="FP106" s="488"/>
      <c r="FQ106" s="455"/>
      <c r="FR106" s="458"/>
      <c r="FS106" s="458"/>
      <c r="FT106" s="487"/>
      <c r="FU106" s="488"/>
      <c r="FV106" s="455"/>
      <c r="FW106" s="458"/>
      <c r="FX106" s="458"/>
      <c r="FY106" s="487"/>
      <c r="FZ106" s="459"/>
      <c r="GA106" s="455"/>
      <c r="GB106" s="458"/>
      <c r="GC106" s="458"/>
      <c r="GD106" s="487"/>
      <c r="GE106" s="459"/>
      <c r="GF106" s="455"/>
      <c r="GG106" s="458"/>
      <c r="GH106" s="458"/>
      <c r="GI106" s="487"/>
      <c r="GJ106" s="489"/>
    </row>
    <row r="107" spans="1:192" ht="12.75" hidden="1" customHeight="1" outlineLevel="1">
      <c r="B107" s="735" t="s">
        <v>244</v>
      </c>
      <c r="C107" s="291"/>
      <c r="D107" s="107"/>
      <c r="E107" s="107"/>
      <c r="F107" s="107"/>
      <c r="G107" s="292"/>
      <c r="H107" s="291"/>
      <c r="I107" s="107"/>
      <c r="J107" s="107"/>
      <c r="K107" s="107"/>
      <c r="L107" s="292"/>
      <c r="M107" s="291"/>
      <c r="N107" s="107"/>
      <c r="O107" s="107"/>
      <c r="P107" s="107"/>
      <c r="Q107" s="292"/>
      <c r="R107" s="291"/>
      <c r="S107" s="107"/>
      <c r="T107" s="107"/>
      <c r="U107" s="107"/>
      <c r="V107" s="292"/>
      <c r="W107" s="291"/>
      <c r="X107" s="107"/>
      <c r="Y107" s="107"/>
      <c r="Z107" s="107"/>
      <c r="AA107" s="292"/>
      <c r="AB107" s="291"/>
      <c r="AC107" s="107"/>
      <c r="AD107" s="107"/>
      <c r="AE107" s="107"/>
      <c r="AF107" s="292"/>
      <c r="AG107" s="291"/>
      <c r="AH107" s="107"/>
      <c r="AI107" s="107"/>
      <c r="AJ107" s="107"/>
      <c r="AK107" s="292"/>
      <c r="AL107" s="291"/>
      <c r="AM107" s="107"/>
      <c r="AN107" s="107"/>
      <c r="AO107" s="107"/>
      <c r="AP107" s="292"/>
      <c r="AQ107" s="291"/>
      <c r="AR107" s="107"/>
      <c r="AS107" s="107"/>
      <c r="AT107" s="107"/>
      <c r="AU107" s="292"/>
      <c r="AV107" s="291"/>
      <c r="AW107" s="107"/>
      <c r="AX107" s="107"/>
      <c r="AY107" s="107"/>
      <c r="AZ107" s="292"/>
      <c r="BA107" s="291"/>
      <c r="BB107" s="107"/>
      <c r="BC107" s="107"/>
      <c r="BD107" s="107"/>
      <c r="BE107" s="292"/>
      <c r="BF107" s="291"/>
      <c r="BG107" s="107"/>
      <c r="BH107" s="107"/>
      <c r="BI107" s="107"/>
      <c r="BJ107" s="292"/>
      <c r="BK107" s="291"/>
      <c r="BL107" s="107"/>
      <c r="BM107" s="107"/>
      <c r="BN107" s="107"/>
      <c r="BO107" s="292"/>
      <c r="BP107" s="291"/>
      <c r="BQ107" s="107"/>
      <c r="BR107" s="107"/>
      <c r="BS107" s="107"/>
      <c r="BT107" s="292"/>
      <c r="BU107" s="291"/>
      <c r="BV107" s="107"/>
      <c r="BW107" s="107"/>
      <c r="BX107" s="107"/>
      <c r="BY107" s="292"/>
      <c r="BZ107" s="291"/>
      <c r="CA107" s="107"/>
      <c r="CB107" s="107"/>
      <c r="CC107" s="107"/>
      <c r="CD107" s="292"/>
      <c r="CE107" s="291"/>
      <c r="CF107" s="107"/>
      <c r="CG107" s="107"/>
      <c r="CH107" s="107"/>
      <c r="CI107" s="292"/>
      <c r="CJ107" s="291"/>
      <c r="CK107" s="107"/>
      <c r="CL107" s="107"/>
      <c r="CM107" s="107"/>
      <c r="CN107" s="292"/>
      <c r="CO107" s="291"/>
      <c r="CP107" s="107"/>
      <c r="CQ107" s="107"/>
      <c r="CR107" s="107"/>
      <c r="CS107" s="292"/>
      <c r="CT107" s="291"/>
      <c r="CU107" s="107"/>
      <c r="CV107" s="107"/>
      <c r="CW107" s="107"/>
      <c r="CX107" s="292"/>
      <c r="CY107" s="291"/>
      <c r="CZ107" s="107"/>
      <c r="DA107" s="107"/>
      <c r="DB107" s="291"/>
      <c r="DC107" s="292"/>
      <c r="DD107" s="455">
        <f>DD103-DB103</f>
      </c>
      <c r="DE107" s="458">
        <f>DE103-DD103</f>
      </c>
      <c r="DF107" s="458">
        <f>DF103-DE103</f>
      </c>
      <c r="DG107" s="487">
        <f>DG103-DF103</f>
      </c>
      <c r="DH107" s="488"/>
      <c r="DI107" s="455">
        <f>DI103-DG103</f>
      </c>
      <c r="DJ107" s="458">
        <f>DJ103-DI103</f>
      </c>
      <c r="DK107" s="458">
        <f>DK103-DJ103</f>
      </c>
      <c r="DL107" s="487">
        <f>DL103-DK103</f>
      </c>
      <c r="DM107" s="488"/>
      <c r="DN107" s="455">
        <f>DN103-DL103</f>
      </c>
      <c r="DO107" s="458">
        <f>DO103-DN103</f>
      </c>
      <c r="DP107" s="458">
        <f>DP103-DO103</f>
      </c>
      <c r="DQ107" s="487">
        <f>DQ103-DP103</f>
      </c>
      <c r="DR107" s="488"/>
      <c r="DS107" s="455">
        <f>DS103-DQ103</f>
      </c>
      <c r="DT107" s="458">
        <f>DT103-DS103</f>
      </c>
      <c r="DU107" s="458">
        <f>DU103-DT103</f>
      </c>
      <c r="DV107" s="487">
        <f>DV103-DU103</f>
      </c>
      <c r="DW107" s="488"/>
      <c r="DX107" s="455">
        <f>DX103-DV103</f>
      </c>
      <c r="DY107" s="458">
        <f>DY103-DX103</f>
      </c>
      <c r="DZ107" s="458">
        <f>DZ103-DY103</f>
      </c>
      <c r="EA107" s="487">
        <f>EA103-DZ103</f>
      </c>
      <c r="EB107" s="488"/>
      <c r="EC107" s="455">
        <f>EC103-EA103</f>
      </c>
      <c r="ED107" s="458">
        <f>ED103-EC103</f>
      </c>
      <c r="EE107" s="458">
        <f>EE103-ED103</f>
      </c>
      <c r="EF107" s="487">
        <f>EF103-EE103</f>
      </c>
      <c r="EG107" s="488"/>
      <c r="EH107" s="455">
        <f>EH103-EF103</f>
      </c>
      <c r="EI107" s="458">
        <f>EI103-EH103</f>
      </c>
      <c r="EJ107" s="458">
        <f>EJ103-EI103</f>
      </c>
      <c r="EK107" s="487">
        <f>EK103-EJ103</f>
      </c>
      <c r="EL107" s="488"/>
      <c r="EM107" s="455">
        <f>EM103-EK103</f>
      </c>
      <c r="EN107" s="458">
        <f>EN103-EM103</f>
      </c>
      <c r="EO107" s="458">
        <f>EO103-EN103</f>
      </c>
      <c r="EP107" s="487">
        <f>EP103-EO103</f>
      </c>
      <c r="EQ107" s="488"/>
      <c r="ER107" s="455">
        <f>ER103-EP103</f>
      </c>
      <c r="ES107" s="458">
        <f>ES103-ER103</f>
      </c>
      <c r="ET107" s="458">
        <f>ET103-ES103</f>
      </c>
      <c r="EU107" s="487">
        <f>EU103-ET103</f>
      </c>
      <c r="EV107" s="488"/>
      <c r="EW107" s="455"/>
      <c r="EX107" s="458"/>
      <c r="EY107" s="458"/>
      <c r="EZ107" s="487"/>
      <c r="FA107" s="488"/>
      <c r="FB107" s="455"/>
      <c r="FC107" s="458"/>
      <c r="FD107" s="458"/>
      <c r="FE107" s="487"/>
      <c r="FF107" s="488"/>
      <c r="FG107" s="455"/>
      <c r="FH107" s="458"/>
      <c r="FI107" s="458"/>
      <c r="FJ107" s="487"/>
      <c r="FK107" s="488"/>
      <c r="FL107" s="455"/>
      <c r="FM107" s="458"/>
      <c r="FN107" s="458"/>
      <c r="FO107" s="487"/>
      <c r="FP107" s="488"/>
      <c r="FQ107" s="455"/>
      <c r="FR107" s="458"/>
      <c r="FS107" s="458"/>
      <c r="FT107" s="487"/>
      <c r="FU107" s="488"/>
      <c r="FV107" s="455"/>
      <c r="FW107" s="458"/>
      <c r="FX107" s="458"/>
      <c r="FY107" s="487"/>
      <c r="FZ107" s="459"/>
      <c r="GA107" s="455"/>
      <c r="GB107" s="458"/>
      <c r="GC107" s="458"/>
      <c r="GD107" s="487"/>
      <c r="GE107" s="459"/>
      <c r="GF107" s="455"/>
      <c r="GG107" s="458"/>
      <c r="GH107" s="458"/>
      <c r="GI107" s="487"/>
      <c r="GJ107" s="489"/>
    </row>
    <row r="108" spans="1:192" ht="12.75" hidden="1" customHeight="1" outlineLevel="1">
      <c r="B108" s="735" t="s">
        <v>254</v>
      </c>
      <c r="C108" s="291"/>
      <c r="D108" s="107"/>
      <c r="E108" s="107"/>
      <c r="F108" s="107"/>
      <c r="G108" s="292"/>
      <c r="H108" s="291"/>
      <c r="I108" s="107"/>
      <c r="J108" s="107"/>
      <c r="K108" s="107"/>
      <c r="L108" s="292"/>
      <c r="M108" s="291"/>
      <c r="N108" s="107"/>
      <c r="O108" s="107"/>
      <c r="P108" s="107"/>
      <c r="Q108" s="292"/>
      <c r="R108" s="291"/>
      <c r="S108" s="107"/>
      <c r="T108" s="107"/>
      <c r="U108" s="107"/>
      <c r="V108" s="292"/>
      <c r="W108" s="291"/>
      <c r="X108" s="107"/>
      <c r="Y108" s="107"/>
      <c r="Z108" s="107"/>
      <c r="AA108" s="292"/>
      <c r="AB108" s="291"/>
      <c r="AC108" s="107"/>
      <c r="AD108" s="107"/>
      <c r="AE108" s="107"/>
      <c r="AF108" s="292"/>
      <c r="AG108" s="291"/>
      <c r="AH108" s="107"/>
      <c r="AI108" s="107"/>
      <c r="AJ108" s="107"/>
      <c r="AK108" s="292"/>
      <c r="AL108" s="291"/>
      <c r="AM108" s="107"/>
      <c r="AN108" s="107"/>
      <c r="AO108" s="107"/>
      <c r="AP108" s="292"/>
      <c r="AQ108" s="291"/>
      <c r="AR108" s="107"/>
      <c r="AS108" s="107"/>
      <c r="AT108" s="107"/>
      <c r="AU108" s="292"/>
      <c r="AV108" s="291"/>
      <c r="AW108" s="107"/>
      <c r="AX108" s="107"/>
      <c r="AY108" s="107"/>
      <c r="AZ108" s="292"/>
      <c r="BA108" s="291"/>
      <c r="BB108" s="107"/>
      <c r="BC108" s="107"/>
      <c r="BD108" s="107"/>
      <c r="BE108" s="292"/>
      <c r="BF108" s="291"/>
      <c r="BG108" s="107"/>
      <c r="BH108" s="107"/>
      <c r="BI108" s="107"/>
      <c r="BJ108" s="292"/>
      <c r="BK108" s="291"/>
      <c r="BL108" s="107"/>
      <c r="BM108" s="107"/>
      <c r="BN108" s="107"/>
      <c r="BO108" s="292"/>
      <c r="BP108" s="291"/>
      <c r="BQ108" s="107"/>
      <c r="BR108" s="107"/>
      <c r="BS108" s="107"/>
      <c r="BT108" s="292"/>
      <c r="BU108" s="291"/>
      <c r="BV108" s="107"/>
      <c r="BW108" s="107"/>
      <c r="BX108" s="107"/>
      <c r="BY108" s="292"/>
      <c r="BZ108" s="291"/>
      <c r="CA108" s="107"/>
      <c r="CB108" s="107"/>
      <c r="CC108" s="107"/>
      <c r="CD108" s="292"/>
      <c r="CE108" s="291"/>
      <c r="CF108" s="107"/>
      <c r="CG108" s="107"/>
      <c r="CH108" s="107"/>
      <c r="CI108" s="292"/>
      <c r="CJ108" s="291"/>
      <c r="CK108" s="107"/>
      <c r="CL108" s="107"/>
      <c r="CM108" s="107"/>
      <c r="CN108" s="292"/>
      <c r="CO108" s="291"/>
      <c r="CP108" s="107"/>
      <c r="CQ108" s="107"/>
      <c r="CR108" s="107"/>
      <c r="CS108" s="292"/>
      <c r="CT108" s="291"/>
      <c r="CU108" s="107"/>
      <c r="CV108" s="107">
        <f>CV103/CV110</f>
      </c>
      <c r="CW108" s="107"/>
      <c r="CX108" s="292"/>
      <c r="CY108" s="291"/>
      <c r="CZ108" s="107"/>
      <c r="DA108" s="107"/>
      <c r="DB108" s="291">
        <f>DB103/DB110</f>
      </c>
      <c r="DC108" s="292"/>
      <c r="DD108" s="291">
        <f t="shared" ref="DD108:EI108" si="86">DD103/DD110</f>
      </c>
      <c r="DE108" s="291">
        <f t="shared" si="86"/>
      </c>
      <c r="DF108" s="291">
        <f t="shared" si="86"/>
      </c>
      <c r="DG108" s="291">
        <f t="shared" si="86"/>
      </c>
      <c r="DH108" s="292">
        <f t="shared" si="86"/>
      </c>
      <c r="DI108" s="291">
        <f t="shared" si="86"/>
      </c>
      <c r="DJ108" s="291">
        <f t="shared" si="86"/>
      </c>
      <c r="DK108" s="291">
        <f t="shared" si="86"/>
      </c>
      <c r="DL108" s="291">
        <f t="shared" si="86"/>
      </c>
      <c r="DM108" s="292">
        <f t="shared" si="86"/>
      </c>
      <c r="DN108" s="291">
        <f t="shared" si="86"/>
      </c>
      <c r="DO108" s="291">
        <f t="shared" si="86"/>
      </c>
      <c r="DP108" s="291">
        <f t="shared" si="86"/>
      </c>
      <c r="DQ108" s="291">
        <f t="shared" si="86"/>
      </c>
      <c r="DR108" s="292">
        <f t="shared" si="86"/>
      </c>
      <c r="DS108" s="291">
        <f t="shared" si="86"/>
      </c>
      <c r="DT108" s="291">
        <f t="shared" si="86"/>
      </c>
      <c r="DU108" s="291">
        <f t="shared" si="86"/>
      </c>
      <c r="DV108" s="291">
        <f t="shared" si="86"/>
      </c>
      <c r="DW108" s="292">
        <f t="shared" si="86"/>
      </c>
      <c r="DX108" s="291">
        <f t="shared" si="86"/>
      </c>
      <c r="DY108" s="291">
        <f t="shared" si="86"/>
      </c>
      <c r="DZ108" s="291">
        <f t="shared" si="86"/>
      </c>
      <c r="EA108" s="291">
        <f t="shared" si="86"/>
      </c>
      <c r="EB108" s="292">
        <f t="shared" si="86"/>
      </c>
      <c r="EC108" s="291">
        <f t="shared" si="86"/>
      </c>
      <c r="ED108" s="291">
        <f t="shared" si="86"/>
      </c>
      <c r="EE108" s="291">
        <f t="shared" si="86"/>
      </c>
      <c r="EF108" s="291">
        <f t="shared" si="86"/>
      </c>
      <c r="EG108" s="292">
        <f t="shared" si="86"/>
      </c>
      <c r="EH108" s="291">
        <f t="shared" si="86"/>
      </c>
      <c r="EI108" s="291">
        <f t="shared" si="86"/>
      </c>
      <c r="EJ108" s="291">
        <f t="shared" ref="EJ108:ES108" si="87">EJ103/EJ110</f>
      </c>
      <c r="EK108" s="291">
        <f t="shared" si="87"/>
      </c>
      <c r="EL108" s="292">
        <f t="shared" si="87"/>
      </c>
      <c r="EM108" s="291">
        <f t="shared" si="87"/>
      </c>
      <c r="EN108" s="291">
        <f t="shared" si="87"/>
      </c>
      <c r="EO108" s="291">
        <f t="shared" si="87"/>
      </c>
      <c r="EP108" s="291">
        <f t="shared" si="87"/>
      </c>
      <c r="EQ108" s="292">
        <f t="shared" si="87"/>
      </c>
      <c r="ER108" s="291">
        <f t="shared" si="87"/>
      </c>
      <c r="ES108" s="291">
        <f t="shared" si="87"/>
      </c>
      <c r="ET108" s="291">
        <f>ET103/ET110</f>
      </c>
      <c r="EU108" s="291">
        <f>EU103/EU110</f>
      </c>
      <c r="EV108" s="292">
        <f>EV103/EV110</f>
      </c>
      <c r="EW108" s="291"/>
      <c r="EX108" s="291"/>
      <c r="EY108" s="291"/>
      <c r="EZ108" s="291"/>
      <c r="FA108" s="292"/>
      <c r="FB108" s="291"/>
      <c r="FC108" s="291"/>
      <c r="FD108" s="291"/>
      <c r="FE108" s="291"/>
      <c r="FF108" s="292"/>
      <c r="FG108" s="291"/>
      <c r="FH108" s="291"/>
      <c r="FI108" s="291"/>
      <c r="FJ108" s="291"/>
      <c r="FK108" s="292"/>
      <c r="FL108" s="291"/>
      <c r="FM108" s="291"/>
      <c r="FN108" s="291"/>
      <c r="FO108" s="291"/>
      <c r="FP108" s="292"/>
      <c r="FQ108" s="291"/>
      <c r="FR108" s="291"/>
      <c r="FS108" s="291"/>
      <c r="FT108" s="291"/>
      <c r="FU108" s="292"/>
      <c r="FV108" s="291"/>
      <c r="FW108" s="107"/>
      <c r="FX108" s="107"/>
      <c r="FY108" s="107"/>
      <c r="FZ108" s="292"/>
      <c r="GA108" s="291"/>
      <c r="GB108" s="107"/>
      <c r="GC108" s="107"/>
      <c r="GD108" s="107"/>
      <c r="GE108" s="292"/>
      <c r="GF108" s="291"/>
      <c r="GG108" s="107"/>
      <c r="GH108" s="107"/>
      <c r="GI108" s="107"/>
      <c r="GJ108" s="384"/>
    </row>
    <row r="109" spans="1:192" ht="12.75" hidden="1" customHeight="1" outlineLevel="1">
      <c r="A109" s="790"/>
      <c r="B109" s="742"/>
      <c r="C109" s="106"/>
      <c r="D109" s="107"/>
      <c r="E109" s="107"/>
      <c r="F109" s="107"/>
      <c r="G109" s="293"/>
      <c r="H109" s="106"/>
      <c r="I109" s="107"/>
      <c r="J109" s="107"/>
      <c r="K109" s="107"/>
      <c r="L109" s="293"/>
      <c r="M109" s="106"/>
      <c r="N109" s="107"/>
      <c r="O109" s="107"/>
      <c r="P109" s="107"/>
      <c r="Q109" s="293"/>
      <c r="R109" s="106"/>
      <c r="S109" s="107"/>
      <c r="T109" s="107"/>
      <c r="U109" s="107"/>
      <c r="V109" s="293"/>
      <c r="W109" s="106"/>
      <c r="X109" s="107"/>
      <c r="Y109" s="107"/>
      <c r="Z109" s="107"/>
      <c r="AA109" s="293"/>
      <c r="AB109" s="106"/>
      <c r="AC109" s="107"/>
      <c r="AD109" s="107"/>
      <c r="AE109" s="107"/>
      <c r="AF109" s="293"/>
      <c r="AG109" s="106"/>
      <c r="AH109" s="107"/>
      <c r="AI109" s="107"/>
      <c r="AJ109" s="107"/>
      <c r="AK109" s="293"/>
      <c r="AL109" s="106"/>
      <c r="AM109" s="107"/>
      <c r="AN109" s="107"/>
      <c r="AO109" s="107"/>
      <c r="AP109" s="293"/>
      <c r="AQ109" s="106"/>
      <c r="AR109" s="107"/>
      <c r="AS109" s="107"/>
      <c r="AT109" s="107"/>
      <c r="AU109" s="293"/>
      <c r="AV109" s="106"/>
      <c r="AW109" s="107"/>
      <c r="AX109" s="107"/>
      <c r="AY109" s="107"/>
      <c r="AZ109" s="293"/>
      <c r="BA109" s="106"/>
      <c r="BB109" s="107"/>
      <c r="BC109" s="107"/>
      <c r="BD109" s="107"/>
      <c r="BE109" s="293"/>
      <c r="BF109" s="106"/>
      <c r="BG109" s="107"/>
      <c r="BH109" s="107"/>
      <c r="BI109" s="107"/>
      <c r="BJ109" s="293"/>
      <c r="BK109" s="106"/>
      <c r="BL109" s="107"/>
      <c r="BM109" s="107"/>
      <c r="BN109" s="107"/>
      <c r="BO109" s="293"/>
      <c r="BP109" s="106"/>
      <c r="BQ109" s="107"/>
      <c r="BR109" s="107"/>
      <c r="BS109" s="107"/>
      <c r="BT109" s="293"/>
      <c r="BU109" s="106"/>
      <c r="BV109" s="107"/>
      <c r="BW109" s="107"/>
      <c r="BX109" s="107"/>
      <c r="BY109" s="293"/>
      <c r="BZ109" s="106"/>
      <c r="CA109" s="107"/>
      <c r="CB109" s="107"/>
      <c r="CC109" s="107"/>
      <c r="CD109" s="293"/>
      <c r="CE109" s="106"/>
      <c r="CF109" s="107"/>
      <c r="CG109" s="107"/>
      <c r="CH109" s="107"/>
      <c r="CI109" s="293"/>
      <c r="CJ109" s="106"/>
      <c r="CK109" s="107"/>
      <c r="CL109" s="107"/>
      <c r="CM109" s="107"/>
      <c r="CN109" s="293"/>
      <c r="CO109" s="106"/>
      <c r="CP109" s="107"/>
      <c r="CQ109" s="107"/>
      <c r="CR109" s="107"/>
      <c r="CS109" s="293"/>
      <c r="CT109" s="106"/>
      <c r="CU109" s="107"/>
      <c r="CV109" s="107"/>
      <c r="CW109" s="107"/>
      <c r="CX109" s="293"/>
      <c r="CY109" s="106"/>
      <c r="CZ109" s="107"/>
      <c r="DA109" s="107"/>
      <c r="DB109" s="107"/>
      <c r="DC109" s="293"/>
      <c r="DD109" s="106"/>
      <c r="DE109" s="107"/>
      <c r="DF109" s="107"/>
      <c r="DG109" s="107"/>
      <c r="DH109" s="293"/>
      <c r="DI109" s="512"/>
      <c r="DJ109" s="512"/>
      <c r="DK109" s="513"/>
      <c r="DL109" s="513"/>
      <c r="DM109" s="514"/>
      <c r="DN109" s="512"/>
      <c r="DO109" s="513"/>
      <c r="DP109" s="513"/>
      <c r="DQ109" s="513"/>
      <c r="DR109" s="514"/>
      <c r="DS109" s="512"/>
      <c r="DT109" s="513"/>
      <c r="DU109" s="513"/>
      <c r="DV109" s="513"/>
      <c r="DW109" s="514"/>
      <c r="DX109" s="512"/>
      <c r="DY109" s="513"/>
      <c r="DZ109" s="513"/>
      <c r="EA109" s="513"/>
      <c r="EB109" s="514"/>
      <c r="EC109" s="512"/>
      <c r="ED109" s="513"/>
      <c r="EE109" s="513"/>
      <c r="EF109" s="513"/>
      <c r="EG109" s="514"/>
      <c r="EH109" s="512"/>
      <c r="EI109" s="513"/>
      <c r="EJ109" s="513"/>
      <c r="EK109" s="513"/>
      <c r="EL109" s="514"/>
      <c r="EM109" s="512"/>
      <c r="EN109" s="513"/>
      <c r="EO109" s="513"/>
      <c r="EP109" s="513"/>
      <c r="EQ109" s="514"/>
      <c r="ER109" s="512"/>
      <c r="ES109" s="107"/>
      <c r="ET109" s="107"/>
      <c r="EU109" s="107"/>
      <c r="EV109" s="293"/>
      <c r="EW109" s="106"/>
      <c r="EX109" s="107"/>
      <c r="EY109" s="107"/>
      <c r="EZ109" s="107"/>
      <c r="FA109" s="293"/>
      <c r="FB109" s="106"/>
      <c r="FC109" s="107"/>
      <c r="FD109" s="107"/>
      <c r="FE109" s="107"/>
      <c r="FF109" s="293"/>
      <c r="FG109" s="106"/>
      <c r="FH109" s="107"/>
      <c r="FI109" s="107"/>
      <c r="FJ109" s="107"/>
      <c r="FK109" s="293"/>
      <c r="FL109" s="106"/>
      <c r="FM109" s="107"/>
      <c r="FN109" s="107"/>
      <c r="FO109" s="107"/>
      <c r="FP109" s="293"/>
      <c r="FQ109" s="106"/>
      <c r="FR109" s="107"/>
      <c r="FS109" s="107"/>
      <c r="FT109" s="107"/>
      <c r="FU109" s="293"/>
      <c r="FV109" s="106"/>
      <c r="FW109" s="107"/>
      <c r="FX109" s="107"/>
      <c r="FY109" s="107"/>
      <c r="FZ109" s="293"/>
      <c r="GA109" s="106"/>
      <c r="GB109" s="107"/>
      <c r="GC109" s="107"/>
      <c r="GD109" s="107"/>
      <c r="GE109" s="293"/>
      <c r="GF109" s="106"/>
      <c r="GG109" s="107"/>
      <c r="GH109" s="107"/>
      <c r="GI109" s="107"/>
      <c r="GJ109" s="382"/>
    </row>
    <row r="110" spans="1:192" s="317" customFormat="1" ht="12.75" hidden="1" customHeight="1" outlineLevel="1">
      <c r="A110" s="280"/>
      <c r="B110" s="739" t="s">
        <v>1967</v>
      </c>
      <c r="C110" s="316"/>
      <c r="D110" s="316"/>
      <c r="E110" s="316"/>
      <c r="F110" s="316"/>
      <c r="G110" s="313"/>
      <c r="H110" s="316"/>
      <c r="I110" s="316"/>
      <c r="J110" s="316"/>
      <c r="K110" s="316"/>
      <c r="L110" s="313"/>
      <c r="M110" s="316"/>
      <c r="N110" s="316"/>
      <c r="O110" s="316"/>
      <c r="P110" s="316"/>
      <c r="Q110" s="313"/>
      <c r="R110" s="316"/>
      <c r="S110" s="316"/>
      <c r="T110" s="316"/>
      <c r="U110" s="316"/>
      <c r="V110" s="313"/>
      <c r="W110" s="316"/>
      <c r="X110" s="316"/>
      <c r="Y110" s="316"/>
      <c r="Z110" s="316"/>
      <c r="AA110" s="313"/>
      <c r="AB110" s="316"/>
      <c r="AC110" s="316"/>
      <c r="AD110" s="316"/>
      <c r="AE110" s="316"/>
      <c r="AF110" s="313"/>
      <c r="AG110" s="316"/>
      <c r="AH110" s="316"/>
      <c r="AI110" s="316"/>
      <c r="AJ110" s="316"/>
      <c r="AK110" s="313"/>
      <c r="AL110" s="316"/>
      <c r="AM110" s="316"/>
      <c r="AN110" s="316"/>
      <c r="AO110" s="316"/>
      <c r="AP110" s="313"/>
      <c r="AQ110" s="316"/>
      <c r="AR110" s="316"/>
      <c r="AS110" s="316"/>
      <c r="AT110" s="316"/>
      <c r="AU110" s="313"/>
      <c r="AV110" s="316"/>
      <c r="AW110" s="316"/>
      <c r="AX110" s="316"/>
      <c r="AY110" s="316"/>
      <c r="AZ110" s="313"/>
      <c r="BA110" s="316"/>
      <c r="BB110" s="316"/>
      <c r="BC110" s="316"/>
      <c r="BD110" s="316"/>
      <c r="BE110" s="313"/>
      <c r="BF110" s="316"/>
      <c r="BG110" s="316"/>
      <c r="BH110" s="316"/>
      <c r="BI110" s="316"/>
      <c r="BJ110" s="313"/>
      <c r="BK110" s="316"/>
      <c r="BL110" s="316"/>
      <c r="BM110" s="316"/>
      <c r="BN110" s="316"/>
      <c r="BO110" s="313"/>
      <c r="BP110" s="316"/>
      <c r="BQ110" s="316"/>
      <c r="BR110" s="316"/>
      <c r="BS110" s="316"/>
      <c r="BT110" s="313"/>
      <c r="BU110" s="316"/>
      <c r="BV110" s="316"/>
      <c r="BW110" s="316"/>
      <c r="BX110" s="316"/>
      <c r="BY110" s="313"/>
      <c r="BZ110" s="316"/>
      <c r="CA110" s="316"/>
      <c r="CB110" s="316"/>
      <c r="CC110" s="316"/>
      <c r="CD110" s="319"/>
      <c r="CE110" s="316"/>
      <c r="CF110" s="316"/>
      <c r="CG110" s="316"/>
      <c r="CH110" s="316"/>
      <c r="CI110" s="319"/>
      <c r="CJ110" s="316"/>
      <c r="CK110" s="316"/>
      <c r="CL110" s="316"/>
      <c r="CM110" s="316"/>
      <c r="CN110" s="319"/>
      <c r="CO110" s="316"/>
      <c r="CP110" s="316"/>
      <c r="CQ110" s="316"/>
      <c r="CR110" s="316"/>
      <c r="CS110" s="319"/>
      <c r="CT110" s="312">
        <f>CT255+CT144</f>
      </c>
      <c r="CU110" s="312">
        <f>CU255+CU144</f>
      </c>
      <c r="CV110" s="312">
        <f>CV255+CV144</f>
      </c>
      <c r="CW110" s="312">
        <f>CW255+CW144</f>
      </c>
      <c r="CX110" s="319">
        <f>SUM(CT110:CW110)</f>
      </c>
      <c r="CY110" s="312">
        <f>CY255+CY144</f>
      </c>
      <c r="CZ110" s="312">
        <f>CZ255+CZ144</f>
      </c>
      <c r="DA110" s="312">
        <f>DA255+DA144</f>
      </c>
      <c r="DB110" s="312">
        <f>DB255+DB144</f>
      </c>
      <c r="DC110" s="453">
        <v>23538</v>
      </c>
      <c r="DD110" s="312">
        <f>DD255+DD144</f>
      </c>
      <c r="DE110" s="312">
        <f>DE255+DE144</f>
      </c>
      <c r="DF110" s="312">
        <f>DF255+DF144</f>
      </c>
      <c r="DG110" s="312">
        <f>DG255+DG144</f>
      </c>
      <c r="DH110" s="453">
        <v>23868</v>
      </c>
      <c r="DI110" s="316">
        <v>5982</v>
      </c>
      <c r="DJ110" s="316">
        <v>6439</v>
      </c>
      <c r="DK110" s="316">
        <v>6234</v>
      </c>
      <c r="DL110" s="312">
        <f>DM110-DK110-DJ110-DI110</f>
      </c>
      <c r="DM110" s="453">
        <v>25573</v>
      </c>
      <c r="DN110" s="316">
        <v>6575</v>
      </c>
      <c r="DO110" s="316">
        <v>7075</v>
      </c>
      <c r="DP110" s="316">
        <v>7088</v>
      </c>
      <c r="DQ110" s="312">
        <f>DR110-DP110-DO110-DN110</f>
      </c>
      <c r="DR110" s="453">
        <v>28316</v>
      </c>
      <c r="DS110" s="316">
        <v>7622</v>
      </c>
      <c r="DT110" s="316">
        <v>7747</v>
      </c>
      <c r="DU110" s="316">
        <v>7889</v>
      </c>
      <c r="DV110" s="312">
        <f>DW110-DU110-DT110-DS110</f>
      </c>
      <c r="DW110" s="453">
        <v>31769</v>
      </c>
      <c r="DX110" s="316">
        <v>8466</v>
      </c>
      <c r="DY110" s="316">
        <v>8983</v>
      </c>
      <c r="DZ110" s="316">
        <v>8920</v>
      </c>
      <c r="EA110" s="312">
        <f>EB110-DZ110-DY110-DX110</f>
      </c>
      <c r="EB110" s="453">
        <v>35316</v>
      </c>
      <c r="EC110" s="316">
        <v>9278</v>
      </c>
      <c r="ED110" s="316">
        <v>9881</v>
      </c>
      <c r="EE110" s="316">
        <v>10016</v>
      </c>
      <c r="EF110" s="312">
        <f>EG110-EE110-ED110-EC110</f>
      </c>
      <c r="EG110" s="453">
        <v>39872</v>
      </c>
      <c r="EH110" s="316">
        <v>10808</v>
      </c>
      <c r="EI110" s="316">
        <v>11251</v>
      </c>
      <c r="EJ110" s="316">
        <v>11164</v>
      </c>
      <c r="EK110" s="312">
        <f>EL110-EJ110-EI110-EH110</f>
      </c>
      <c r="EL110" s="453">
        <v>44862</v>
      </c>
      <c r="EM110" s="316">
        <v>11548</v>
      </c>
      <c r="EN110" s="316">
        <v>11867</v>
      </c>
      <c r="EO110" s="316">
        <v>12438</v>
      </c>
      <c r="EP110" s="312">
        <f>EQ110-EO110-EN110-EM110</f>
      </c>
      <c r="EQ110" s="453">
        <v>48728</v>
      </c>
      <c r="ER110" s="316">
        <v>13140</v>
      </c>
      <c r="ES110" s="1158">
        <v>13477</v>
      </c>
      <c r="ET110" s="1158">
        <v>13911</v>
      </c>
      <c r="EU110" s="312">
        <f>EV110-ET110-ES110-ER110</f>
      </c>
      <c r="EV110" s="453">
        <v>54875</v>
      </c>
      <c r="EW110" s="1158"/>
      <c r="EX110" s="312"/>
      <c r="EY110" s="312"/>
      <c r="EZ110" s="312"/>
      <c r="FA110" s="313"/>
      <c r="FB110" s="312"/>
      <c r="FC110" s="312"/>
      <c r="FD110" s="312"/>
      <c r="FE110" s="312"/>
      <c r="FF110" s="313"/>
      <c r="FG110" s="312"/>
      <c r="FH110" s="312"/>
      <c r="FI110" s="312"/>
      <c r="FJ110" s="312"/>
      <c r="FK110" s="313"/>
      <c r="FL110" s="312"/>
      <c r="FM110" s="312"/>
      <c r="FN110" s="312"/>
      <c r="FO110" s="312"/>
      <c r="FP110" s="313"/>
      <c r="FQ110" s="312"/>
      <c r="FR110" s="312"/>
      <c r="FS110" s="312"/>
      <c r="FT110" s="312"/>
      <c r="FU110" s="313"/>
      <c r="FV110" s="312"/>
      <c r="FW110" s="312"/>
      <c r="FX110" s="312"/>
      <c r="FY110" s="312"/>
      <c r="FZ110" s="313"/>
      <c r="GA110" s="312"/>
      <c r="GB110" s="312"/>
      <c r="GC110" s="312"/>
      <c r="GD110" s="312"/>
      <c r="GE110" s="313"/>
      <c r="GF110" s="312"/>
      <c r="GG110" s="312"/>
      <c r="GH110" s="312"/>
      <c r="GI110" s="312"/>
      <c r="GJ110" s="385"/>
    </row>
    <row r="111" spans="1:192" s="1241" customFormat="1" ht="12.75" hidden="1" customHeight="1" outlineLevel="1">
      <c r="A111" s="1237"/>
      <c r="B111" s="735" t="s">
        <v>34</v>
      </c>
      <c r="C111" s="892"/>
      <c r="D111" s="924"/>
      <c r="E111" s="924"/>
      <c r="F111" s="924"/>
      <c r="G111" s="1240"/>
      <c r="H111" s="892"/>
      <c r="I111" s="924"/>
      <c r="J111" s="924"/>
      <c r="K111" s="924"/>
      <c r="L111" s="1240"/>
      <c r="M111" s="892"/>
      <c r="N111" s="924"/>
      <c r="O111" s="924"/>
      <c r="P111" s="924"/>
      <c r="Q111" s="1240"/>
      <c r="R111" s="892"/>
      <c r="S111" s="924"/>
      <c r="T111" s="924"/>
      <c r="U111" s="924"/>
      <c r="V111" s="1240"/>
      <c r="W111" s="892"/>
      <c r="X111" s="924"/>
      <c r="Y111" s="924"/>
      <c r="Z111" s="924"/>
      <c r="AA111" s="1240"/>
      <c r="AB111" s="892"/>
      <c r="AC111" s="924"/>
      <c r="AD111" s="924"/>
      <c r="AE111" s="924"/>
      <c r="AF111" s="1240"/>
      <c r="AG111" s="892"/>
      <c r="AH111" s="924"/>
      <c r="AI111" s="924"/>
      <c r="AJ111" s="924"/>
      <c r="AK111" s="1240"/>
      <c r="AL111" s="892"/>
      <c r="AM111" s="924"/>
      <c r="AN111" s="924"/>
      <c r="AO111" s="924"/>
      <c r="AP111" s="1240"/>
      <c r="AQ111" s="892"/>
      <c r="AR111" s="924"/>
      <c r="AS111" s="924"/>
      <c r="AT111" s="924"/>
      <c r="AU111" s="1240"/>
      <c r="AV111" s="892"/>
      <c r="AW111" s="924"/>
      <c r="AX111" s="924"/>
      <c r="AY111" s="924"/>
      <c r="AZ111" s="1240"/>
      <c r="BA111" s="892"/>
      <c r="BB111" s="924"/>
      <c r="BC111" s="924"/>
      <c r="BD111" s="924"/>
      <c r="BE111" s="1240"/>
      <c r="BF111" s="892"/>
      <c r="BG111" s="924"/>
      <c r="BH111" s="924"/>
      <c r="BI111" s="924"/>
      <c r="BJ111" s="1240"/>
      <c r="BK111" s="892"/>
      <c r="BL111" s="924"/>
      <c r="BM111" s="924"/>
      <c r="BN111" s="924"/>
      <c r="BO111" s="1240"/>
      <c r="BP111" s="892"/>
      <c r="BQ111" s="924"/>
      <c r="BR111" s="924"/>
      <c r="BS111" s="924"/>
      <c r="BT111" s="1240"/>
      <c r="BU111" s="892"/>
      <c r="BV111" s="924"/>
      <c r="BW111" s="924"/>
      <c r="BX111" s="924"/>
      <c r="BY111" s="1240"/>
      <c r="BZ111" s="892"/>
      <c r="CA111" s="924"/>
      <c r="CB111" s="924"/>
      <c r="CC111" s="924"/>
      <c r="CD111" s="1240"/>
      <c r="CE111" s="892"/>
      <c r="CF111" s="924"/>
      <c r="CG111" s="924"/>
      <c r="CH111" s="924"/>
      <c r="CI111" s="1240"/>
      <c r="CJ111" s="892"/>
      <c r="CK111" s="924"/>
      <c r="CL111" s="924"/>
      <c r="CM111" s="924"/>
      <c r="CN111" s="1240"/>
      <c r="CO111" s="892"/>
      <c r="CP111" s="924"/>
      <c r="CQ111" s="924"/>
      <c r="CR111" s="924"/>
      <c r="CS111" s="1240"/>
      <c r="CT111" s="892"/>
      <c r="CU111" s="892"/>
      <c r="CV111" s="892"/>
      <c r="CW111" s="892"/>
      <c r="CX111" s="1240"/>
      <c r="CY111" s="892">
        <f t="shared" ref="CY111:DM111" si="88">CY110/CT110-1</f>
      </c>
      <c r="CZ111" s="892">
        <f t="shared" si="88"/>
      </c>
      <c r="DA111" s="892">
        <f t="shared" si="88"/>
      </c>
      <c r="DB111" s="892">
        <f t="shared" si="88"/>
      </c>
      <c r="DC111" s="1240">
        <f t="shared" si="88"/>
      </c>
      <c r="DD111" s="892">
        <f t="shared" si="88"/>
      </c>
      <c r="DE111" s="892">
        <f t="shared" si="88"/>
      </c>
      <c r="DF111" s="892">
        <f t="shared" si="88"/>
      </c>
      <c r="DG111" s="892">
        <f t="shared" si="88"/>
      </c>
      <c r="DH111" s="1240">
        <f t="shared" si="88"/>
      </c>
      <c r="DI111" s="892">
        <f t="shared" si="88"/>
      </c>
      <c r="DJ111" s="892">
        <f t="shared" si="88"/>
      </c>
      <c r="DK111" s="892">
        <f t="shared" si="88"/>
      </c>
      <c r="DL111" s="892">
        <f t="shared" si="88"/>
      </c>
      <c r="DM111" s="1240">
        <f t="shared" si="88"/>
      </c>
      <c r="DN111" s="892">
        <f t="shared" ref="DN111:ET111" si="89">DN110/DI110-1</f>
      </c>
      <c r="DO111" s="892">
        <f t="shared" si="89"/>
      </c>
      <c r="DP111" s="892">
        <f t="shared" si="89"/>
      </c>
      <c r="DQ111" s="892">
        <f t="shared" si="89"/>
      </c>
      <c r="DR111" s="1240">
        <f t="shared" si="89"/>
      </c>
      <c r="DS111" s="892">
        <f t="shared" si="89"/>
      </c>
      <c r="DT111" s="892">
        <f t="shared" si="89"/>
      </c>
      <c r="DU111" s="892">
        <f t="shared" si="89"/>
      </c>
      <c r="DV111" s="892">
        <f t="shared" si="89"/>
      </c>
      <c r="DW111" s="1240">
        <f t="shared" si="89"/>
      </c>
      <c r="DX111" s="892">
        <f t="shared" si="89"/>
      </c>
      <c r="DY111" s="892">
        <f t="shared" si="89"/>
      </c>
      <c r="DZ111" s="892">
        <f t="shared" si="89"/>
      </c>
      <c r="EA111" s="892">
        <f t="shared" si="89"/>
      </c>
      <c r="EB111" s="1240">
        <f t="shared" si="89"/>
      </c>
      <c r="EC111" s="892">
        <f t="shared" si="89"/>
      </c>
      <c r="ED111" s="892">
        <f t="shared" si="89"/>
      </c>
      <c r="EE111" s="892">
        <f t="shared" si="89"/>
      </c>
      <c r="EF111" s="892">
        <f t="shared" si="89"/>
      </c>
      <c r="EG111" s="1240">
        <f t="shared" si="89"/>
      </c>
      <c r="EH111" s="892">
        <f t="shared" si="89"/>
      </c>
      <c r="EI111" s="892">
        <f t="shared" si="89"/>
      </c>
      <c r="EJ111" s="892">
        <f t="shared" si="89"/>
      </c>
      <c r="EK111" s="892">
        <f t="shared" si="89"/>
      </c>
      <c r="EL111" s="1240">
        <f t="shared" si="89"/>
      </c>
      <c r="EM111" s="892">
        <f t="shared" si="89"/>
      </c>
      <c r="EN111" s="892">
        <f t="shared" si="89"/>
      </c>
      <c r="EO111" s="892">
        <f t="shared" si="89"/>
      </c>
      <c r="EP111" s="892">
        <f t="shared" si="89"/>
      </c>
      <c r="EQ111" s="1240">
        <f t="shared" si="89"/>
      </c>
      <c r="ER111" s="892">
        <f>ER110/EM110-1</f>
      </c>
      <c r="ES111" s="892">
        <f t="shared" si="89"/>
      </c>
      <c r="ET111" s="892">
        <f t="shared" si="89"/>
      </c>
      <c r="EU111" s="892">
        <f>EU110/EP110-1</f>
      </c>
      <c r="EV111" s="1240">
        <f>EV110/EQ110-1</f>
      </c>
      <c r="EW111" s="892"/>
      <c r="EX111" s="892"/>
      <c r="EY111" s="892"/>
      <c r="EZ111" s="892"/>
      <c r="FA111" s="1240"/>
      <c r="FB111" s="892"/>
      <c r="FC111" s="892"/>
      <c r="FD111" s="892"/>
      <c r="FE111" s="892"/>
      <c r="FF111" s="1240"/>
      <c r="FG111" s="892"/>
      <c r="FH111" s="892"/>
      <c r="FI111" s="892"/>
      <c r="FJ111" s="892"/>
      <c r="FK111" s="1240"/>
      <c r="FL111" s="892"/>
      <c r="FM111" s="892"/>
      <c r="FN111" s="892"/>
      <c r="FO111" s="892"/>
      <c r="FP111" s="1240"/>
      <c r="FQ111" s="892"/>
      <c r="FR111" s="892"/>
      <c r="FS111" s="892"/>
      <c r="FT111" s="892"/>
      <c r="FU111" s="1240"/>
      <c r="FV111" s="892"/>
      <c r="FW111" s="924"/>
      <c r="FX111" s="924"/>
      <c r="FY111" s="924"/>
      <c r="FZ111" s="1240"/>
      <c r="GA111" s="892"/>
      <c r="GB111" s="924"/>
      <c r="GC111" s="924"/>
      <c r="GD111" s="924"/>
      <c r="GE111" s="1240"/>
      <c r="GF111" s="892"/>
      <c r="GG111" s="924"/>
      <c r="GH111" s="924"/>
      <c r="GI111" s="924"/>
      <c r="GJ111" s="1326"/>
    </row>
    <row r="112" spans="1:192" s="335" customFormat="1" ht="12.75" hidden="1" customHeight="1" outlineLevel="1">
      <c r="A112" s="790"/>
      <c r="B112" s="735" t="s">
        <v>36</v>
      </c>
      <c r="C112" s="106"/>
      <c r="D112" s="107"/>
      <c r="E112" s="107"/>
      <c r="F112" s="346"/>
      <c r="G112" s="347"/>
      <c r="H112" s="106"/>
      <c r="I112" s="107"/>
      <c r="J112" s="107"/>
      <c r="K112" s="346"/>
      <c r="L112" s="347"/>
      <c r="M112" s="106"/>
      <c r="N112" s="107"/>
      <c r="O112" s="107"/>
      <c r="P112" s="346"/>
      <c r="Q112" s="347"/>
      <c r="R112" s="106"/>
      <c r="S112" s="107"/>
      <c r="T112" s="107"/>
      <c r="U112" s="346"/>
      <c r="V112" s="347"/>
      <c r="W112" s="106"/>
      <c r="X112" s="107"/>
      <c r="Y112" s="107"/>
      <c r="Z112" s="346"/>
      <c r="AA112" s="347"/>
      <c r="AB112" s="106"/>
      <c r="AC112" s="107"/>
      <c r="AD112" s="107"/>
      <c r="AE112" s="346"/>
      <c r="AF112" s="347"/>
      <c r="AG112" s="106"/>
      <c r="AH112" s="107"/>
      <c r="AI112" s="107"/>
      <c r="AJ112" s="346"/>
      <c r="AK112" s="347"/>
      <c r="AL112" s="106"/>
      <c r="AM112" s="107"/>
      <c r="AN112" s="107"/>
      <c r="AO112" s="346"/>
      <c r="AP112" s="347"/>
      <c r="AQ112" s="106"/>
      <c r="AR112" s="107"/>
      <c r="AS112" s="107"/>
      <c r="AT112" s="346"/>
      <c r="AU112" s="347"/>
      <c r="AV112" s="106"/>
      <c r="AW112" s="107"/>
      <c r="AX112" s="107"/>
      <c r="AY112" s="346"/>
      <c r="AZ112" s="347"/>
      <c r="BA112" s="106"/>
      <c r="BB112" s="107"/>
      <c r="BC112" s="107"/>
      <c r="BD112" s="346"/>
      <c r="BE112" s="347"/>
      <c r="BF112" s="106"/>
      <c r="BG112" s="107"/>
      <c r="BH112" s="107"/>
      <c r="BI112" s="346"/>
      <c r="BJ112" s="347"/>
      <c r="BK112" s="106"/>
      <c r="BL112" s="107"/>
      <c r="BM112" s="107"/>
      <c r="BN112" s="346"/>
      <c r="BO112" s="347"/>
      <c r="BP112" s="106"/>
      <c r="BQ112" s="107"/>
      <c r="BR112" s="107"/>
      <c r="BS112" s="346"/>
      <c r="BT112" s="347"/>
      <c r="BU112" s="106"/>
      <c r="BV112" s="107"/>
      <c r="BW112" s="107"/>
      <c r="BX112" s="346"/>
      <c r="BY112" s="347"/>
      <c r="BZ112" s="106"/>
      <c r="CA112" s="107"/>
      <c r="CB112" s="107"/>
      <c r="CC112" s="346"/>
      <c r="CD112" s="347"/>
      <c r="CE112" s="106"/>
      <c r="CF112" s="107"/>
      <c r="CG112" s="107"/>
      <c r="CH112" s="346"/>
      <c r="CI112" s="347"/>
      <c r="CJ112" s="106"/>
      <c r="CK112" s="107"/>
      <c r="CL112" s="107"/>
      <c r="CM112" s="346"/>
      <c r="CN112" s="347"/>
      <c r="CO112" s="106"/>
      <c r="CP112" s="107"/>
      <c r="CQ112" s="107"/>
      <c r="CR112" s="346"/>
      <c r="CS112" s="347"/>
      <c r="CT112" s="106"/>
      <c r="CU112" s="107">
        <f>CU110/CT110-1</f>
      </c>
      <c r="CV112" s="107">
        <f>CV110/CU110-1</f>
      </c>
      <c r="CW112" s="346">
        <f>CW110/CV110-1</f>
      </c>
      <c r="CX112" s="347"/>
      <c r="CY112" s="106">
        <f>CY110/CW110-1</f>
      </c>
      <c r="CZ112" s="107">
        <f>CZ110/CY110-1</f>
      </c>
      <c r="DA112" s="107">
        <f>DA110/CZ110-1</f>
      </c>
      <c r="DB112" s="346">
        <f>DB110/DA110-1</f>
      </c>
      <c r="DC112" s="347"/>
      <c r="DD112" s="106">
        <f>DD110/DB110-1</f>
      </c>
      <c r="DE112" s="107">
        <f>DE110/DD110-1</f>
      </c>
      <c r="DF112" s="107">
        <f>DF110/DE110-1</f>
      </c>
      <c r="DG112" s="346">
        <f>DG110/DF110-1</f>
      </c>
      <c r="DH112" s="347"/>
      <c r="DI112" s="106">
        <f>DI110/DG110-1</f>
      </c>
      <c r="DJ112" s="107">
        <f>DJ110/DI110-1</f>
      </c>
      <c r="DK112" s="107">
        <f>DK110/DJ110-1</f>
      </c>
      <c r="DL112" s="346">
        <f>DL110/DK110-1</f>
      </c>
      <c r="DM112" s="347"/>
      <c r="DN112" s="106">
        <f>DN110/DL110-1</f>
      </c>
      <c r="DO112" s="107">
        <f>DO110/DN110-1</f>
      </c>
      <c r="DP112" s="107">
        <f>DP110/DO110-1</f>
      </c>
      <c r="DQ112" s="346">
        <f>DQ110/DP110-1</f>
      </c>
      <c r="DR112" s="347"/>
      <c r="DS112" s="106">
        <f>DS110/DQ110-1</f>
      </c>
      <c r="DT112" s="107">
        <f>DT110/DS110-1</f>
      </c>
      <c r="DU112" s="107">
        <f>DU110/DT110-1</f>
      </c>
      <c r="DV112" s="346">
        <f>DV110/DU110-1</f>
      </c>
      <c r="DW112" s="347"/>
      <c r="DX112" s="106">
        <f>DX110/DV110-1</f>
      </c>
      <c r="DY112" s="107">
        <f>DY110/DX110-1</f>
      </c>
      <c r="DZ112" s="107">
        <f>DZ110/DY110-1</f>
      </c>
      <c r="EA112" s="346">
        <f>EA110/DZ110-1</f>
      </c>
      <c r="EB112" s="347"/>
      <c r="EC112" s="106">
        <f>EC110/EA110-1</f>
      </c>
      <c r="ED112" s="107">
        <f>ED110/EC110-1</f>
      </c>
      <c r="EE112" s="107">
        <f>EE110/ED110-1</f>
      </c>
      <c r="EF112" s="346">
        <f>EF110/EE110-1</f>
      </c>
      <c r="EG112" s="347"/>
      <c r="EH112" s="106">
        <f>EH110/EF110-1</f>
      </c>
      <c r="EI112" s="107">
        <f>EI110/EH110-1</f>
      </c>
      <c r="EJ112" s="107">
        <f>EJ110/EI110-1</f>
      </c>
      <c r="EK112" s="346">
        <f>EK110/EJ110-1</f>
      </c>
      <c r="EL112" s="347"/>
      <c r="EM112" s="106">
        <f>EM110/EK110-1</f>
      </c>
      <c r="EN112" s="107">
        <f>EN110/EM110-1</f>
      </c>
      <c r="EO112" s="107">
        <f>EO110/EN110-1</f>
      </c>
      <c r="EP112" s="346">
        <f>EP110/EO110-1</f>
      </c>
      <c r="EQ112" s="347"/>
      <c r="ER112" s="106">
        <f>ER110/EP110-1</f>
      </c>
      <c r="ES112" s="107">
        <f>ES110/ER110-1</f>
      </c>
      <c r="ET112" s="107">
        <f>ET110/ES110-1</f>
      </c>
      <c r="EU112" s="346">
        <f>EU110/ET110-1</f>
      </c>
      <c r="EV112" s="347"/>
      <c r="EW112" s="106"/>
      <c r="EX112" s="107"/>
      <c r="EY112" s="107"/>
      <c r="EZ112" s="346"/>
      <c r="FA112" s="347"/>
      <c r="FB112" s="106"/>
      <c r="FC112" s="107"/>
      <c r="FD112" s="107"/>
      <c r="FE112" s="346"/>
      <c r="FF112" s="347"/>
      <c r="FG112" s="106"/>
      <c r="FH112" s="107"/>
      <c r="FI112" s="107"/>
      <c r="FJ112" s="346"/>
      <c r="FK112" s="347"/>
      <c r="FL112" s="106"/>
      <c r="FM112" s="107"/>
      <c r="FN112" s="107"/>
      <c r="FO112" s="346"/>
      <c r="FP112" s="347"/>
      <c r="FQ112" s="106"/>
      <c r="FR112" s="107"/>
      <c r="FS112" s="107"/>
      <c r="FT112" s="346"/>
      <c r="FU112" s="347"/>
      <c r="FV112" s="106"/>
      <c r="FW112" s="107"/>
      <c r="FX112" s="107"/>
      <c r="FY112" s="346"/>
      <c r="FZ112" s="293"/>
      <c r="GA112" s="106"/>
      <c r="GB112" s="107"/>
      <c r="GC112" s="107"/>
      <c r="GD112" s="346"/>
      <c r="GE112" s="293"/>
      <c r="GF112" s="106"/>
      <c r="GG112" s="107"/>
      <c r="GH112" s="107"/>
      <c r="GI112" s="346"/>
      <c r="GJ112" s="392"/>
    </row>
    <row r="113" spans="1:192" s="490" customFormat="1" ht="12.75" hidden="1" customHeight="1" outlineLevel="1">
      <c r="A113" s="796"/>
      <c r="B113" s="735" t="s">
        <v>243</v>
      </c>
      <c r="C113" s="455"/>
      <c r="D113" s="458"/>
      <c r="E113" s="458"/>
      <c r="F113" s="487"/>
      <c r="G113" s="488"/>
      <c r="H113" s="455"/>
      <c r="I113" s="458"/>
      <c r="J113" s="458"/>
      <c r="K113" s="487"/>
      <c r="L113" s="488"/>
      <c r="M113" s="455"/>
      <c r="N113" s="458"/>
      <c r="O113" s="458"/>
      <c r="P113" s="487"/>
      <c r="Q113" s="488"/>
      <c r="R113" s="455"/>
      <c r="S113" s="458"/>
      <c r="T113" s="458"/>
      <c r="U113" s="487"/>
      <c r="V113" s="488"/>
      <c r="W113" s="455"/>
      <c r="X113" s="458"/>
      <c r="Y113" s="458"/>
      <c r="Z113" s="487"/>
      <c r="AA113" s="488"/>
      <c r="AB113" s="455"/>
      <c r="AC113" s="458"/>
      <c r="AD113" s="458"/>
      <c r="AE113" s="487"/>
      <c r="AF113" s="488"/>
      <c r="AG113" s="455"/>
      <c r="AH113" s="458"/>
      <c r="AI113" s="458"/>
      <c r="AJ113" s="487"/>
      <c r="AK113" s="488"/>
      <c r="AL113" s="455"/>
      <c r="AM113" s="458"/>
      <c r="AN113" s="458"/>
      <c r="AO113" s="487"/>
      <c r="AP113" s="488"/>
      <c r="AQ113" s="455"/>
      <c r="AR113" s="458"/>
      <c r="AS113" s="458"/>
      <c r="AT113" s="487"/>
      <c r="AU113" s="488"/>
      <c r="AV113" s="455"/>
      <c r="AW113" s="458"/>
      <c r="AX113" s="458"/>
      <c r="AY113" s="487"/>
      <c r="AZ113" s="488"/>
      <c r="BA113" s="455"/>
      <c r="BB113" s="458"/>
      <c r="BC113" s="458"/>
      <c r="BD113" s="487"/>
      <c r="BE113" s="488"/>
      <c r="BF113" s="455"/>
      <c r="BG113" s="458"/>
      <c r="BH113" s="458"/>
      <c r="BI113" s="487"/>
      <c r="BJ113" s="488"/>
      <c r="BK113" s="455"/>
      <c r="BL113" s="458"/>
      <c r="BM113" s="458"/>
      <c r="BN113" s="487"/>
      <c r="BO113" s="488"/>
      <c r="BP113" s="455"/>
      <c r="BQ113" s="458"/>
      <c r="BR113" s="458"/>
      <c r="BS113" s="487"/>
      <c r="BT113" s="488"/>
      <c r="BU113" s="455"/>
      <c r="BV113" s="458"/>
      <c r="BW113" s="458"/>
      <c r="BX113" s="487"/>
      <c r="BY113" s="488"/>
      <c r="BZ113" s="455"/>
      <c r="CA113" s="458"/>
      <c r="CB113" s="458"/>
      <c r="CC113" s="487"/>
      <c r="CD113" s="488"/>
      <c r="CE113" s="455"/>
      <c r="CF113" s="458"/>
      <c r="CG113" s="458"/>
      <c r="CH113" s="487"/>
      <c r="CI113" s="488"/>
      <c r="CJ113" s="455"/>
      <c r="CK113" s="458"/>
      <c r="CL113" s="458"/>
      <c r="CM113" s="487"/>
      <c r="CN113" s="488"/>
      <c r="CO113" s="455"/>
      <c r="CP113" s="458"/>
      <c r="CQ113" s="458"/>
      <c r="CR113" s="487"/>
      <c r="CS113" s="488"/>
      <c r="CT113" s="455"/>
      <c r="CU113" s="458">
        <f t="shared" ref="CU113:DM113" si="90">CU110-CP110</f>
      </c>
      <c r="CV113" s="458">
        <f t="shared" si="90"/>
      </c>
      <c r="CW113" s="487">
        <f t="shared" si="90"/>
      </c>
      <c r="CX113" s="488">
        <f t="shared" si="90"/>
      </c>
      <c r="CY113" s="455">
        <f t="shared" si="90"/>
      </c>
      <c r="CZ113" s="458">
        <f t="shared" si="90"/>
      </c>
      <c r="DA113" s="458">
        <f t="shared" si="90"/>
      </c>
      <c r="DB113" s="487">
        <f t="shared" si="90"/>
      </c>
      <c r="DC113" s="488">
        <f t="shared" si="90"/>
      </c>
      <c r="DD113" s="455">
        <f t="shared" si="90"/>
      </c>
      <c r="DE113" s="458">
        <f t="shared" si="90"/>
      </c>
      <c r="DF113" s="458">
        <f t="shared" si="90"/>
      </c>
      <c r="DG113" s="487">
        <f t="shared" si="90"/>
      </c>
      <c r="DH113" s="488">
        <f t="shared" si="90"/>
      </c>
      <c r="DI113" s="455">
        <f t="shared" si="90"/>
      </c>
      <c r="DJ113" s="458">
        <f t="shared" si="90"/>
      </c>
      <c r="DK113" s="458">
        <f t="shared" si="90"/>
      </c>
      <c r="DL113" s="487">
        <f t="shared" si="90"/>
      </c>
      <c r="DM113" s="488">
        <f t="shared" si="90"/>
      </c>
      <c r="DN113" s="455">
        <f t="shared" ref="DN113:ET113" si="91">DN110-DI110</f>
      </c>
      <c r="DO113" s="458">
        <f t="shared" si="91"/>
      </c>
      <c r="DP113" s="458">
        <f t="shared" si="91"/>
      </c>
      <c r="DQ113" s="487">
        <f t="shared" si="91"/>
      </c>
      <c r="DR113" s="488">
        <f t="shared" si="91"/>
      </c>
      <c r="DS113" s="455">
        <f t="shared" si="91"/>
      </c>
      <c r="DT113" s="458">
        <f t="shared" si="91"/>
      </c>
      <c r="DU113" s="458">
        <f t="shared" si="91"/>
      </c>
      <c r="DV113" s="487">
        <f t="shared" si="91"/>
      </c>
      <c r="DW113" s="488">
        <f t="shared" si="91"/>
      </c>
      <c r="DX113" s="455">
        <f t="shared" si="91"/>
      </c>
      <c r="DY113" s="458">
        <f t="shared" si="91"/>
      </c>
      <c r="DZ113" s="458">
        <f t="shared" si="91"/>
      </c>
      <c r="EA113" s="487">
        <f t="shared" si="91"/>
      </c>
      <c r="EB113" s="488">
        <f t="shared" si="91"/>
      </c>
      <c r="EC113" s="455">
        <f t="shared" si="91"/>
      </c>
      <c r="ED113" s="458">
        <f t="shared" si="91"/>
      </c>
      <c r="EE113" s="458">
        <f t="shared" si="91"/>
      </c>
      <c r="EF113" s="487">
        <f t="shared" si="91"/>
      </c>
      <c r="EG113" s="488">
        <f t="shared" si="91"/>
      </c>
      <c r="EH113" s="455">
        <f t="shared" si="91"/>
      </c>
      <c r="EI113" s="458">
        <f t="shared" si="91"/>
      </c>
      <c r="EJ113" s="458">
        <f t="shared" si="91"/>
      </c>
      <c r="EK113" s="487">
        <f t="shared" si="91"/>
      </c>
      <c r="EL113" s="488">
        <f t="shared" si="91"/>
      </c>
      <c r="EM113" s="455">
        <f t="shared" si="91"/>
      </c>
      <c r="EN113" s="458">
        <f t="shared" si="91"/>
      </c>
      <c r="EO113" s="458">
        <f t="shared" si="91"/>
      </c>
      <c r="EP113" s="487">
        <f t="shared" si="91"/>
      </c>
      <c r="EQ113" s="488">
        <f t="shared" si="91"/>
      </c>
      <c r="ER113" s="455">
        <f>ER110-EM110</f>
      </c>
      <c r="ES113" s="458">
        <f t="shared" si="91"/>
      </c>
      <c r="ET113" s="458">
        <f t="shared" si="91"/>
      </c>
      <c r="EU113" s="487">
        <f>EU110-EP110</f>
      </c>
      <c r="EV113" s="488">
        <f>EV110-EQ110</f>
      </c>
      <c r="EW113" s="455"/>
      <c r="EX113" s="458"/>
      <c r="EY113" s="458"/>
      <c r="EZ113" s="487"/>
      <c r="FA113" s="488"/>
      <c r="FB113" s="455"/>
      <c r="FC113" s="458"/>
      <c r="FD113" s="458"/>
      <c r="FE113" s="487"/>
      <c r="FF113" s="488"/>
      <c r="FG113" s="455"/>
      <c r="FH113" s="458"/>
      <c r="FI113" s="458"/>
      <c r="FJ113" s="487"/>
      <c r="FK113" s="488"/>
      <c r="FL113" s="455"/>
      <c r="FM113" s="458"/>
      <c r="FN113" s="458"/>
      <c r="FO113" s="487"/>
      <c r="FP113" s="488"/>
      <c r="FQ113" s="455"/>
      <c r="FR113" s="458"/>
      <c r="FS113" s="458"/>
      <c r="FT113" s="487"/>
      <c r="FU113" s="488"/>
      <c r="FV113" s="455"/>
      <c r="FW113" s="458"/>
      <c r="FX113" s="458"/>
      <c r="FY113" s="487"/>
      <c r="FZ113" s="459"/>
      <c r="GA113" s="455"/>
      <c r="GB113" s="458"/>
      <c r="GC113" s="458"/>
      <c r="GD113" s="487"/>
      <c r="GE113" s="459"/>
      <c r="GF113" s="455"/>
      <c r="GG113" s="458"/>
      <c r="GH113" s="458"/>
      <c r="GI113" s="487"/>
      <c r="GJ113" s="489"/>
    </row>
    <row r="114" spans="1:192" s="490" customFormat="1" ht="12.75" hidden="1" customHeight="1" outlineLevel="1">
      <c r="A114" s="796"/>
      <c r="B114" s="735" t="s">
        <v>244</v>
      </c>
      <c r="C114" s="455"/>
      <c r="D114" s="458"/>
      <c r="E114" s="458"/>
      <c r="F114" s="487"/>
      <c r="G114" s="488"/>
      <c r="H114" s="455"/>
      <c r="I114" s="458"/>
      <c r="J114" s="458"/>
      <c r="K114" s="487"/>
      <c r="L114" s="488"/>
      <c r="M114" s="455"/>
      <c r="N114" s="458"/>
      <c r="O114" s="458"/>
      <c r="P114" s="487"/>
      <c r="Q114" s="488"/>
      <c r="R114" s="455"/>
      <c r="S114" s="458"/>
      <c r="T114" s="458"/>
      <c r="U114" s="487"/>
      <c r="V114" s="488"/>
      <c r="W114" s="455"/>
      <c r="X114" s="458"/>
      <c r="Y114" s="458"/>
      <c r="Z114" s="487"/>
      <c r="AA114" s="488"/>
      <c r="AB114" s="455"/>
      <c r="AC114" s="458"/>
      <c r="AD114" s="458"/>
      <c r="AE114" s="487"/>
      <c r="AF114" s="488"/>
      <c r="AG114" s="455"/>
      <c r="AH114" s="458"/>
      <c r="AI114" s="458"/>
      <c r="AJ114" s="487"/>
      <c r="AK114" s="488"/>
      <c r="AL114" s="455"/>
      <c r="AM114" s="458"/>
      <c r="AN114" s="458"/>
      <c r="AO114" s="487"/>
      <c r="AP114" s="488"/>
      <c r="AQ114" s="455"/>
      <c r="AR114" s="458"/>
      <c r="AS114" s="458"/>
      <c r="AT114" s="487"/>
      <c r="AU114" s="488"/>
      <c r="AV114" s="455"/>
      <c r="AW114" s="458"/>
      <c r="AX114" s="458"/>
      <c r="AY114" s="487"/>
      <c r="AZ114" s="488"/>
      <c r="BA114" s="455"/>
      <c r="BB114" s="458"/>
      <c r="BC114" s="458"/>
      <c r="BD114" s="487"/>
      <c r="BE114" s="488"/>
      <c r="BF114" s="455"/>
      <c r="BG114" s="458"/>
      <c r="BH114" s="458"/>
      <c r="BI114" s="487"/>
      <c r="BJ114" s="488"/>
      <c r="BK114" s="455"/>
      <c r="BL114" s="458"/>
      <c r="BM114" s="458"/>
      <c r="BN114" s="487"/>
      <c r="BO114" s="488"/>
      <c r="BP114" s="455"/>
      <c r="BQ114" s="458"/>
      <c r="BR114" s="458"/>
      <c r="BS114" s="487"/>
      <c r="BT114" s="488"/>
      <c r="BU114" s="455"/>
      <c r="BV114" s="458"/>
      <c r="BW114" s="458"/>
      <c r="BX114" s="487"/>
      <c r="BY114" s="488"/>
      <c r="BZ114" s="455"/>
      <c r="CA114" s="458"/>
      <c r="CB114" s="458"/>
      <c r="CC114" s="487"/>
      <c r="CD114" s="488"/>
      <c r="CE114" s="455"/>
      <c r="CF114" s="458"/>
      <c r="CG114" s="458"/>
      <c r="CH114" s="487"/>
      <c r="CI114" s="488"/>
      <c r="CJ114" s="455"/>
      <c r="CK114" s="458"/>
      <c r="CL114" s="458"/>
      <c r="CM114" s="487"/>
      <c r="CN114" s="488"/>
      <c r="CO114" s="455"/>
      <c r="CP114" s="458"/>
      <c r="CQ114" s="458"/>
      <c r="CR114" s="487"/>
      <c r="CS114" s="488"/>
      <c r="CT114" s="455"/>
      <c r="CU114" s="458">
        <f>CU110-CT110</f>
      </c>
      <c r="CV114" s="458">
        <f>CV110-CU110</f>
      </c>
      <c r="CW114" s="487">
        <f>CW110-CV110</f>
      </c>
      <c r="CX114" s="488"/>
      <c r="CY114" s="455">
        <f>CY110-CW110</f>
      </c>
      <c r="CZ114" s="458">
        <f>CZ110-CY110</f>
      </c>
      <c r="DA114" s="458">
        <f>DA110-CZ110</f>
      </c>
      <c r="DB114" s="487">
        <f>DB110-DA110</f>
      </c>
      <c r="DC114" s="488"/>
      <c r="DD114" s="455">
        <f>DD110-DB110</f>
      </c>
      <c r="DE114" s="458">
        <f>DE110-DD110</f>
      </c>
      <c r="DF114" s="458">
        <f>DF110-DE110</f>
      </c>
      <c r="DG114" s="487">
        <f>DG110-DF110</f>
      </c>
      <c r="DH114" s="488"/>
      <c r="DI114" s="455">
        <f>DI110-DG110</f>
      </c>
      <c r="DJ114" s="458">
        <f>DJ110-DI110</f>
      </c>
      <c r="DK114" s="458">
        <f>DK110-DJ110</f>
      </c>
      <c r="DL114" s="487">
        <f>DL110-DK110</f>
      </c>
      <c r="DM114" s="488"/>
      <c r="DN114" s="455">
        <f>DN110-DL110</f>
      </c>
      <c r="DO114" s="458">
        <f>DO110-DN110</f>
      </c>
      <c r="DP114" s="458">
        <f>DP110-DO110</f>
      </c>
      <c r="DQ114" s="487">
        <f>DQ110-DP110</f>
      </c>
      <c r="DR114" s="488"/>
      <c r="DS114" s="455">
        <f>DS110-DQ110</f>
      </c>
      <c r="DT114" s="458">
        <f>DT110-DS110</f>
      </c>
      <c r="DU114" s="458">
        <f>DU110-DT110</f>
      </c>
      <c r="DV114" s="487">
        <f>DV110-DU110</f>
      </c>
      <c r="DW114" s="488"/>
      <c r="DX114" s="455">
        <f>DX110-DV110</f>
      </c>
      <c r="DY114" s="458">
        <f>DY110-DX110</f>
      </c>
      <c r="DZ114" s="458">
        <f>DZ110-DY110</f>
      </c>
      <c r="EA114" s="487">
        <f>EA110-DZ110</f>
      </c>
      <c r="EB114" s="488"/>
      <c r="EC114" s="455">
        <f>EC110-EA110</f>
      </c>
      <c r="ED114" s="458">
        <f>ED110-EC110</f>
      </c>
      <c r="EE114" s="458">
        <f>EE110-ED110</f>
      </c>
      <c r="EF114" s="487">
        <f>EF110-EE110</f>
      </c>
      <c r="EG114" s="488"/>
      <c r="EH114" s="455">
        <f>EH110-EF110</f>
      </c>
      <c r="EI114" s="458">
        <f>EI110-EH110</f>
      </c>
      <c r="EJ114" s="458">
        <f>EJ110-EI110</f>
      </c>
      <c r="EK114" s="487">
        <f>EK110-EJ110</f>
      </c>
      <c r="EL114" s="488"/>
      <c r="EM114" s="455">
        <f>EM110-EK110</f>
      </c>
      <c r="EN114" s="458">
        <f>EN110-EM110</f>
      </c>
      <c r="EO114" s="458">
        <f>EO110-EN110</f>
      </c>
      <c r="EP114" s="487">
        <f>EP110-EO110</f>
      </c>
      <c r="EQ114" s="488"/>
      <c r="ER114" s="455">
        <f>ER110-EP110</f>
      </c>
      <c r="ES114" s="458">
        <f>ES110-ER110</f>
      </c>
      <c r="ET114" s="458">
        <f>ET110-ES110</f>
      </c>
      <c r="EU114" s="487">
        <f>EU110-ET110</f>
      </c>
      <c r="EV114" s="488"/>
      <c r="EW114" s="455"/>
      <c r="EX114" s="458"/>
      <c r="EY114" s="458"/>
      <c r="EZ114" s="487"/>
      <c r="FA114" s="488"/>
      <c r="FB114" s="455"/>
      <c r="FC114" s="458"/>
      <c r="FD114" s="458"/>
      <c r="FE114" s="487"/>
      <c r="FF114" s="488"/>
      <c r="FG114" s="455"/>
      <c r="FH114" s="458"/>
      <c r="FI114" s="458"/>
      <c r="FJ114" s="487"/>
      <c r="FK114" s="488"/>
      <c r="FL114" s="455"/>
      <c r="FM114" s="458"/>
      <c r="FN114" s="458"/>
      <c r="FO114" s="487"/>
      <c r="FP114" s="488"/>
      <c r="FQ114" s="455"/>
      <c r="FR114" s="458"/>
      <c r="FS114" s="458"/>
      <c r="FT114" s="487"/>
      <c r="FU114" s="488"/>
      <c r="FV114" s="455"/>
      <c r="FW114" s="458"/>
      <c r="FX114" s="458"/>
      <c r="FY114" s="487"/>
      <c r="FZ114" s="459"/>
      <c r="GA114" s="455"/>
      <c r="GB114" s="458"/>
      <c r="GC114" s="458"/>
      <c r="GD114" s="487"/>
      <c r="GE114" s="459"/>
      <c r="GF114" s="455"/>
      <c r="GG114" s="458"/>
      <c r="GH114" s="458"/>
      <c r="GI114" s="487"/>
      <c r="GJ114" s="489"/>
    </row>
    <row r="115" spans="1:192" s="335" customFormat="1" ht="12.75" hidden="1" customHeight="1" outlineLevel="1">
      <c r="A115" s="790"/>
      <c r="B115" s="735" t="s">
        <v>1884</v>
      </c>
      <c r="C115" s="106"/>
      <c r="D115" s="107"/>
      <c r="E115" s="107"/>
      <c r="F115" s="346"/>
      <c r="G115" s="347"/>
      <c r="H115" s="106"/>
      <c r="I115" s="107"/>
      <c r="J115" s="107"/>
      <c r="K115" s="346"/>
      <c r="L115" s="347"/>
      <c r="M115" s="106"/>
      <c r="N115" s="107"/>
      <c r="O115" s="107"/>
      <c r="P115" s="346"/>
      <c r="Q115" s="347"/>
      <c r="R115" s="106"/>
      <c r="S115" s="107"/>
      <c r="T115" s="107"/>
      <c r="U115" s="346"/>
      <c r="V115" s="347"/>
      <c r="W115" s="106"/>
      <c r="X115" s="107"/>
      <c r="Y115" s="107"/>
      <c r="Z115" s="346"/>
      <c r="AA115" s="347"/>
      <c r="AB115" s="106"/>
      <c r="AC115" s="107"/>
      <c r="AD115" s="107"/>
      <c r="AE115" s="346"/>
      <c r="AF115" s="347"/>
      <c r="AG115" s="106"/>
      <c r="AH115" s="107"/>
      <c r="AI115" s="107"/>
      <c r="AJ115" s="346"/>
      <c r="AK115" s="347"/>
      <c r="AL115" s="106"/>
      <c r="AM115" s="107"/>
      <c r="AN115" s="107"/>
      <c r="AO115" s="346"/>
      <c r="AP115" s="347"/>
      <c r="AQ115" s="106"/>
      <c r="AR115" s="107"/>
      <c r="AS115" s="107"/>
      <c r="AT115" s="346"/>
      <c r="AU115" s="347"/>
      <c r="AV115" s="106"/>
      <c r="AW115" s="107"/>
      <c r="AX115" s="107"/>
      <c r="AY115" s="346"/>
      <c r="AZ115" s="347"/>
      <c r="BA115" s="106"/>
      <c r="BB115" s="107"/>
      <c r="BC115" s="107"/>
      <c r="BD115" s="346"/>
      <c r="BE115" s="347"/>
      <c r="BF115" s="106"/>
      <c r="BG115" s="107"/>
      <c r="BH115" s="107"/>
      <c r="BI115" s="346"/>
      <c r="BJ115" s="347"/>
      <c r="BK115" s="106"/>
      <c r="BL115" s="107"/>
      <c r="BM115" s="107"/>
      <c r="BN115" s="346"/>
      <c r="BO115" s="347"/>
      <c r="BP115" s="106"/>
      <c r="BQ115" s="107"/>
      <c r="BR115" s="107"/>
      <c r="BS115" s="346"/>
      <c r="BT115" s="347"/>
      <c r="BU115" s="106"/>
      <c r="BV115" s="107"/>
      <c r="BW115" s="107"/>
      <c r="BX115" s="346"/>
      <c r="BY115" s="347"/>
      <c r="BZ115" s="106"/>
      <c r="CA115" s="107"/>
      <c r="CB115" s="107"/>
      <c r="CC115" s="346"/>
      <c r="CD115" s="347"/>
      <c r="CE115" s="106"/>
      <c r="CF115" s="107"/>
      <c r="CG115" s="107"/>
      <c r="CH115" s="346"/>
      <c r="CI115" s="347"/>
      <c r="CJ115" s="106"/>
      <c r="CK115" s="107"/>
      <c r="CL115" s="107"/>
      <c r="CM115" s="346"/>
      <c r="CN115" s="347"/>
      <c r="CO115" s="106"/>
      <c r="CP115" s="107"/>
      <c r="CQ115" s="107"/>
      <c r="CR115" s="346"/>
      <c r="CS115" s="347"/>
      <c r="CT115" s="106"/>
      <c r="CU115" s="107"/>
      <c r="CV115" s="107"/>
      <c r="CW115" s="346"/>
      <c r="CX115" s="347"/>
      <c r="CY115" s="106">
        <f t="shared" ref="CY115:DQ115" si="92">CY110/CY50</f>
      </c>
      <c r="CZ115" s="107">
        <f t="shared" si="92"/>
      </c>
      <c r="DA115" s="107">
        <f t="shared" si="92"/>
      </c>
      <c r="DB115" s="346">
        <f t="shared" si="92"/>
      </c>
      <c r="DC115" s="347">
        <f t="shared" si="92"/>
      </c>
      <c r="DD115" s="106">
        <f t="shared" si="92"/>
      </c>
      <c r="DE115" s="107">
        <f t="shared" si="92"/>
      </c>
      <c r="DF115" s="107">
        <f t="shared" si="92"/>
      </c>
      <c r="DG115" s="346">
        <f t="shared" si="92"/>
      </c>
      <c r="DH115" s="347">
        <f t="shared" si="92"/>
      </c>
      <c r="DI115" s="106">
        <f t="shared" si="92"/>
      </c>
      <c r="DJ115" s="107">
        <f t="shared" si="92"/>
      </c>
      <c r="DK115" s="107">
        <f t="shared" si="92"/>
      </c>
      <c r="DL115" s="346">
        <f t="shared" si="92"/>
      </c>
      <c r="DM115" s="347">
        <f t="shared" si="92"/>
      </c>
      <c r="DN115" s="106">
        <f t="shared" si="92"/>
      </c>
      <c r="DO115" s="107">
        <f t="shared" si="92"/>
      </c>
      <c r="DP115" s="107">
        <f t="shared" si="92"/>
      </c>
      <c r="DQ115" s="346">
        <f t="shared" si="92"/>
      </c>
      <c r="DR115" s="347">
        <f t="shared" ref="DR115:EV115" si="93">DR110/DR$50</f>
      </c>
      <c r="DS115" s="106">
        <f t="shared" si="93"/>
      </c>
      <c r="DT115" s="107">
        <f t="shared" si="93"/>
      </c>
      <c r="DU115" s="107">
        <f t="shared" si="93"/>
      </c>
      <c r="DV115" s="346">
        <f t="shared" si="93"/>
      </c>
      <c r="DW115" s="347">
        <f t="shared" si="93"/>
      </c>
      <c r="DX115" s="106">
        <f t="shared" si="93"/>
      </c>
      <c r="DY115" s="107">
        <f t="shared" si="93"/>
      </c>
      <c r="DZ115" s="107">
        <f t="shared" si="93"/>
      </c>
      <c r="EA115" s="346">
        <f t="shared" si="93"/>
      </c>
      <c r="EB115" s="347">
        <f t="shared" si="93"/>
      </c>
      <c r="EC115" s="106">
        <f t="shared" si="93"/>
      </c>
      <c r="ED115" s="107">
        <f t="shared" si="93"/>
      </c>
      <c r="EE115" s="107">
        <f t="shared" si="93"/>
      </c>
      <c r="EF115" s="346">
        <f t="shared" si="93"/>
      </c>
      <c r="EG115" s="347">
        <f t="shared" si="93"/>
      </c>
      <c r="EH115" s="106">
        <f t="shared" si="93"/>
      </c>
      <c r="EI115" s="107">
        <f t="shared" si="93"/>
      </c>
      <c r="EJ115" s="107">
        <f t="shared" si="93"/>
      </c>
      <c r="EK115" s="346">
        <f t="shared" si="93"/>
      </c>
      <c r="EL115" s="347">
        <f t="shared" si="93"/>
      </c>
      <c r="EM115" s="106">
        <f t="shared" si="93"/>
      </c>
      <c r="EN115" s="107">
        <f t="shared" si="93"/>
      </c>
      <c r="EO115" s="107">
        <f t="shared" si="93"/>
      </c>
      <c r="EP115" s="346">
        <f t="shared" si="93"/>
      </c>
      <c r="EQ115" s="347">
        <f t="shared" si="93"/>
      </c>
      <c r="ER115" s="106">
        <f t="shared" si="93"/>
      </c>
      <c r="ES115" s="107">
        <f t="shared" si="93"/>
      </c>
      <c r="ET115" s="107">
        <f t="shared" si="93"/>
      </c>
      <c r="EU115" s="346">
        <f t="shared" si="93"/>
      </c>
      <c r="EV115" s="347">
        <f t="shared" si="93"/>
      </c>
      <c r="EW115" s="106"/>
      <c r="EX115" s="107"/>
      <c r="EY115" s="107"/>
      <c r="EZ115" s="346"/>
      <c r="FA115" s="347"/>
      <c r="FB115" s="106"/>
      <c r="FC115" s="107"/>
      <c r="FD115" s="107"/>
      <c r="FE115" s="346"/>
      <c r="FF115" s="347"/>
      <c r="FG115" s="106"/>
      <c r="FH115" s="107"/>
      <c r="FI115" s="107"/>
      <c r="FJ115" s="346"/>
      <c r="FK115" s="347"/>
      <c r="FL115" s="106"/>
      <c r="FM115" s="107"/>
      <c r="FN115" s="107"/>
      <c r="FO115" s="346"/>
      <c r="FP115" s="347"/>
      <c r="FQ115" s="106"/>
      <c r="FR115" s="107"/>
      <c r="FS115" s="107"/>
      <c r="FT115" s="346"/>
      <c r="FU115" s="347"/>
      <c r="FV115" s="106"/>
      <c r="FW115" s="107"/>
      <c r="FX115" s="107"/>
      <c r="FY115" s="346"/>
      <c r="FZ115" s="293"/>
      <c r="GA115" s="106"/>
      <c r="GB115" s="107"/>
      <c r="GC115" s="107"/>
      <c r="GD115" s="346"/>
      <c r="GE115" s="293"/>
      <c r="GF115" s="106"/>
      <c r="GG115" s="107"/>
      <c r="GH115" s="107"/>
      <c r="GI115" s="346"/>
      <c r="GJ115" s="392"/>
    </row>
    <row r="116" spans="1:192" ht="12.75" hidden="1" customHeight="1" outlineLevel="1">
      <c r="A116" s="790"/>
      <c r="B116" s="742"/>
      <c r="C116" s="106"/>
      <c r="D116" s="107"/>
      <c r="E116" s="107"/>
      <c r="F116" s="107"/>
      <c r="G116" s="293"/>
      <c r="H116" s="106"/>
      <c r="I116" s="107"/>
      <c r="J116" s="107"/>
      <c r="K116" s="107"/>
      <c r="L116" s="293"/>
      <c r="M116" s="106"/>
      <c r="N116" s="107"/>
      <c r="O116" s="107"/>
      <c r="P116" s="107"/>
      <c r="Q116" s="293"/>
      <c r="R116" s="106"/>
      <c r="S116" s="107"/>
      <c r="T116" s="107"/>
      <c r="U116" s="107"/>
      <c r="V116" s="293"/>
      <c r="W116" s="106"/>
      <c r="X116" s="107"/>
      <c r="Y116" s="107"/>
      <c r="Z116" s="107"/>
      <c r="AA116" s="293"/>
      <c r="AB116" s="106"/>
      <c r="AC116" s="107"/>
      <c r="AD116" s="107"/>
      <c r="AE116" s="107"/>
      <c r="AF116" s="293"/>
      <c r="AG116" s="106"/>
      <c r="AH116" s="107"/>
      <c r="AI116" s="107"/>
      <c r="AJ116" s="107"/>
      <c r="AK116" s="293"/>
      <c r="AL116" s="106"/>
      <c r="AM116" s="107"/>
      <c r="AN116" s="107"/>
      <c r="AO116" s="107"/>
      <c r="AP116" s="293"/>
      <c r="AQ116" s="106"/>
      <c r="AR116" s="107"/>
      <c r="AS116" s="107"/>
      <c r="AT116" s="107"/>
      <c r="AU116" s="293"/>
      <c r="AV116" s="106"/>
      <c r="AW116" s="107"/>
      <c r="AX116" s="107"/>
      <c r="AY116" s="107"/>
      <c r="AZ116" s="293"/>
      <c r="BA116" s="106"/>
      <c r="BB116" s="107"/>
      <c r="BC116" s="107"/>
      <c r="BD116" s="107"/>
      <c r="BE116" s="293"/>
      <c r="BF116" s="106"/>
      <c r="BG116" s="107"/>
      <c r="BH116" s="107"/>
      <c r="BI116" s="107"/>
      <c r="BJ116" s="293"/>
      <c r="BK116" s="106"/>
      <c r="BL116" s="107"/>
      <c r="BM116" s="107"/>
      <c r="BN116" s="107"/>
      <c r="BO116" s="293"/>
      <c r="BP116" s="106"/>
      <c r="BQ116" s="107"/>
      <c r="BR116" s="107"/>
      <c r="BS116" s="107"/>
      <c r="BT116" s="293"/>
      <c r="BU116" s="106"/>
      <c r="BV116" s="107"/>
      <c r="BW116" s="107"/>
      <c r="BX116" s="107"/>
      <c r="BY116" s="293"/>
      <c r="BZ116" s="106"/>
      <c r="CA116" s="107"/>
      <c r="CB116" s="107"/>
      <c r="CC116" s="107"/>
      <c r="CD116" s="293"/>
      <c r="CE116" s="106"/>
      <c r="CF116" s="107"/>
      <c r="CG116" s="107"/>
      <c r="CH116" s="107"/>
      <c r="CI116" s="293"/>
      <c r="CJ116" s="106"/>
      <c r="CK116" s="107"/>
      <c r="CL116" s="107"/>
      <c r="CM116" s="107"/>
      <c r="CN116" s="293"/>
      <c r="CO116" s="106"/>
      <c r="CP116" s="107"/>
      <c r="CQ116" s="107"/>
      <c r="CR116" s="107"/>
      <c r="CS116" s="293"/>
      <c r="CT116" s="106"/>
      <c r="CU116" s="107"/>
      <c r="CV116" s="107"/>
      <c r="CW116" s="107"/>
      <c r="CX116" s="293"/>
      <c r="CY116" s="106"/>
      <c r="CZ116" s="107"/>
      <c r="DA116" s="107"/>
      <c r="DB116" s="107"/>
      <c r="DC116" s="293"/>
      <c r="DD116" s="106"/>
      <c r="DE116" s="107"/>
      <c r="DF116" s="107"/>
      <c r="DG116" s="107"/>
      <c r="DH116" s="293"/>
      <c r="DI116" s="512"/>
      <c r="DJ116" s="512"/>
      <c r="DK116" s="513"/>
      <c r="DL116" s="513"/>
      <c r="DM116" s="514"/>
      <c r="DN116" s="512"/>
      <c r="DO116" s="513"/>
      <c r="DP116" s="513"/>
      <c r="DQ116" s="513"/>
      <c r="DR116" s="514"/>
      <c r="DS116" s="512"/>
      <c r="DT116" s="513"/>
      <c r="DU116" s="513"/>
      <c r="DV116" s="513"/>
      <c r="DW116" s="514"/>
      <c r="DX116" s="512"/>
      <c r="DY116" s="513"/>
      <c r="DZ116" s="513"/>
      <c r="EA116" s="513"/>
      <c r="EB116" s="514"/>
      <c r="EC116" s="512"/>
      <c r="ED116" s="513"/>
      <c r="EE116" s="513"/>
      <c r="EF116" s="513"/>
      <c r="EG116" s="514"/>
      <c r="EH116" s="512"/>
      <c r="EI116" s="513"/>
      <c r="EJ116" s="513"/>
      <c r="EK116" s="513"/>
      <c r="EL116" s="514"/>
      <c r="EM116" s="512"/>
      <c r="EN116" s="513"/>
      <c r="EO116" s="513"/>
      <c r="EP116" s="513"/>
      <c r="EQ116" s="514"/>
      <c r="ER116" s="512"/>
      <c r="ES116" s="107"/>
      <c r="ET116" s="107"/>
      <c r="EU116" s="107"/>
      <c r="EV116" s="293"/>
      <c r="EW116" s="106"/>
      <c r="EX116" s="107"/>
      <c r="EY116" s="107"/>
      <c r="EZ116" s="107"/>
      <c r="FA116" s="293"/>
      <c r="FB116" s="106"/>
      <c r="FC116" s="107"/>
      <c r="FD116" s="107"/>
      <c r="FE116" s="107"/>
      <c r="FF116" s="293"/>
      <c r="FG116" s="106"/>
      <c r="FH116" s="107"/>
      <c r="FI116" s="107"/>
      <c r="FJ116" s="107"/>
      <c r="FK116" s="293"/>
      <c r="FL116" s="106"/>
      <c r="FM116" s="107"/>
      <c r="FN116" s="107"/>
      <c r="FO116" s="107"/>
      <c r="FP116" s="293"/>
      <c r="FQ116" s="106"/>
      <c r="FR116" s="107"/>
      <c r="FS116" s="107"/>
      <c r="FT116" s="107"/>
      <c r="FU116" s="293"/>
      <c r="FV116" s="106"/>
      <c r="FW116" s="107"/>
      <c r="FX116" s="107"/>
      <c r="FY116" s="107"/>
      <c r="FZ116" s="293"/>
      <c r="GA116" s="106"/>
      <c r="GB116" s="107"/>
      <c r="GC116" s="107"/>
      <c r="GD116" s="107"/>
      <c r="GE116" s="293"/>
      <c r="GF116" s="106"/>
      <c r="GG116" s="107"/>
      <c r="GH116" s="107"/>
      <c r="GI116" s="107"/>
      <c r="GJ116" s="382"/>
    </row>
    <row r="117" spans="1:192" s="461" customFormat="1" ht="12.75" customHeight="1" collapsed="1">
      <c r="A117" s="807"/>
      <c r="B117" s="734" t="s">
        <v>1990</v>
      </c>
      <c r="C117" s="443"/>
      <c r="D117" s="471"/>
      <c r="E117" s="471"/>
      <c r="F117" s="471"/>
      <c r="G117" s="516"/>
      <c r="H117" s="443"/>
      <c r="I117" s="471"/>
      <c r="J117" s="471"/>
      <c r="K117" s="471"/>
      <c r="L117" s="516"/>
      <c r="M117" s="443"/>
      <c r="N117" s="471"/>
      <c r="O117" s="471"/>
      <c r="P117" s="471"/>
      <c r="Q117" s="516"/>
      <c r="R117" s="443"/>
      <c r="S117" s="471"/>
      <c r="T117" s="471"/>
      <c r="U117" s="471"/>
      <c r="V117" s="516"/>
      <c r="W117" s="443"/>
      <c r="X117" s="471"/>
      <c r="Y117" s="471"/>
      <c r="Z117" s="471"/>
      <c r="AA117" s="516"/>
      <c r="AB117" s="443"/>
      <c r="AC117" s="471"/>
      <c r="AD117" s="471"/>
      <c r="AE117" s="471"/>
      <c r="AF117" s="516"/>
      <c r="AG117" s="443"/>
      <c r="AH117" s="471"/>
      <c r="AI117" s="471"/>
      <c r="AJ117" s="471"/>
      <c r="AK117" s="516"/>
      <c r="AL117" s="443"/>
      <c r="AM117" s="471"/>
      <c r="AN117" s="471"/>
      <c r="AO117" s="471"/>
      <c r="AP117" s="516"/>
      <c r="AQ117" s="443"/>
      <c r="AR117" s="471"/>
      <c r="AS117" s="471"/>
      <c r="AT117" s="471"/>
      <c r="AU117" s="516"/>
      <c r="AV117" s="443"/>
      <c r="AW117" s="471"/>
      <c r="AX117" s="471"/>
      <c r="AY117" s="471"/>
      <c r="AZ117" s="516"/>
      <c r="BA117" s="443"/>
      <c r="BB117" s="471"/>
      <c r="BC117" s="471"/>
      <c r="BD117" s="471"/>
      <c r="BE117" s="516"/>
      <c r="BF117" s="443"/>
      <c r="BG117" s="471"/>
      <c r="BH117" s="471"/>
      <c r="BI117" s="471"/>
      <c r="BJ117" s="516"/>
      <c r="BK117" s="443"/>
      <c r="BL117" s="471"/>
      <c r="BM117" s="471"/>
      <c r="BN117" s="471"/>
      <c r="BO117" s="516"/>
      <c r="BP117" s="443"/>
      <c r="BQ117" s="471"/>
      <c r="BR117" s="471"/>
      <c r="BS117" s="471"/>
      <c r="BT117" s="516"/>
      <c r="BU117" s="443"/>
      <c r="BV117" s="471"/>
      <c r="BW117" s="471"/>
      <c r="BX117" s="471"/>
      <c r="BY117" s="516"/>
      <c r="BZ117" s="443"/>
      <c r="CA117" s="471"/>
      <c r="CB117" s="471"/>
      <c r="CC117" s="471"/>
      <c r="CD117" s="516"/>
      <c r="CE117" s="443"/>
      <c r="CF117" s="471"/>
      <c r="CG117" s="471"/>
      <c r="CH117" s="471"/>
      <c r="CI117" s="516"/>
      <c r="CJ117" s="443"/>
      <c r="CK117" s="471"/>
      <c r="CL117" s="471"/>
      <c r="CM117" s="471"/>
      <c r="CN117" s="516"/>
      <c r="CO117" s="443"/>
      <c r="CP117" s="471"/>
      <c r="CQ117" s="452"/>
      <c r="CR117" s="452"/>
      <c r="CS117" s="516"/>
      <c r="CT117" s="443"/>
      <c r="CU117" s="471"/>
      <c r="CV117" s="452"/>
      <c r="CW117" s="471"/>
      <c r="CX117" s="516"/>
      <c r="CY117" s="443"/>
      <c r="CZ117" s="443"/>
      <c r="DA117" s="443"/>
      <c r="DB117" s="443"/>
      <c r="DC117" s="516"/>
      <c r="DD117" s="443"/>
      <c r="DE117" s="443"/>
      <c r="DF117" s="443"/>
      <c r="DG117" s="443"/>
      <c r="DH117" s="516"/>
      <c r="DI117" s="443"/>
      <c r="DJ117" s="443"/>
      <c r="DK117" s="443"/>
      <c r="DL117" s="443"/>
      <c r="DM117" s="516"/>
      <c r="DN117" s="443"/>
      <c r="DO117" s="443"/>
      <c r="DP117" s="443"/>
      <c r="DQ117" s="443"/>
      <c r="DR117" s="516"/>
      <c r="DS117" s="443"/>
      <c r="DT117" s="443"/>
      <c r="DU117" s="443"/>
      <c r="DV117" s="443"/>
      <c r="DW117" s="516"/>
      <c r="DX117" s="443"/>
      <c r="DY117" s="443"/>
      <c r="DZ117" s="443"/>
      <c r="EA117" s="443"/>
      <c r="EB117" s="516"/>
      <c r="EC117" s="443"/>
      <c r="ED117" s="443"/>
      <c r="EE117" s="443"/>
      <c r="EF117" s="443"/>
      <c r="EG117" s="516"/>
      <c r="EH117" s="443"/>
      <c r="EI117" s="443"/>
      <c r="EJ117" s="443"/>
      <c r="EK117" s="443"/>
      <c r="EL117" s="516"/>
      <c r="EM117" s="443"/>
      <c r="EN117" s="443"/>
      <c r="EO117" s="443"/>
      <c r="EP117" s="443"/>
      <c r="EQ117" s="516"/>
      <c r="ER117" s="443">
        <f t="shared" ref="ER117:GJ117" si="94">ER195+ER264</f>
      </c>
      <c r="ES117" s="443">
        <f t="shared" si="94"/>
      </c>
      <c r="ET117" s="443">
        <f t="shared" si="94"/>
      </c>
      <c r="EU117" s="443">
        <f t="shared" si="94"/>
      </c>
      <c r="EV117" s="516">
        <f t="shared" si="94"/>
      </c>
      <c r="EW117" s="443">
        <f t="shared" si="94"/>
      </c>
      <c r="EX117" s="443">
        <f t="shared" si="94"/>
      </c>
      <c r="EY117" s="443">
        <f t="shared" si="94"/>
      </c>
      <c r="EZ117" s="443">
        <f t="shared" si="94"/>
      </c>
      <c r="FA117" s="516">
        <f t="shared" si="94"/>
      </c>
      <c r="FB117" s="443">
        <f t="shared" si="94"/>
      </c>
      <c r="FC117" s="443">
        <f t="shared" si="94"/>
      </c>
      <c r="FD117" s="443">
        <f t="shared" si="94"/>
      </c>
      <c r="FE117" s="443">
        <f t="shared" si="94"/>
      </c>
      <c r="FF117" s="516">
        <f t="shared" si="94"/>
      </c>
      <c r="FG117" s="443">
        <f t="shared" si="94"/>
      </c>
      <c r="FH117" s="443">
        <f t="shared" si="94"/>
      </c>
      <c r="FI117" s="443">
        <f t="shared" si="94"/>
      </c>
      <c r="FJ117" s="443">
        <f t="shared" si="94"/>
      </c>
      <c r="FK117" s="516">
        <f t="shared" si="94"/>
      </c>
      <c r="FL117" s="443">
        <f t="shared" si="94"/>
      </c>
      <c r="FM117" s="443">
        <f t="shared" si="94"/>
      </c>
      <c r="FN117" s="443">
        <f t="shared" si="94"/>
      </c>
      <c r="FO117" s="443">
        <f t="shared" si="94"/>
      </c>
      <c r="FP117" s="516">
        <f t="shared" si="94"/>
      </c>
      <c r="FQ117" s="443">
        <f t="shared" si="94"/>
      </c>
      <c r="FR117" s="443">
        <f t="shared" si="94"/>
      </c>
      <c r="FS117" s="443">
        <f t="shared" si="94"/>
      </c>
      <c r="FT117" s="443">
        <f t="shared" si="94"/>
      </c>
      <c r="FU117" s="516">
        <f t="shared" si="94"/>
      </c>
      <c r="FV117" s="443">
        <f t="shared" si="94"/>
      </c>
      <c r="FW117" s="471">
        <f t="shared" si="94"/>
      </c>
      <c r="FX117" s="471">
        <f t="shared" si="94"/>
      </c>
      <c r="FY117" s="471">
        <f t="shared" si="94"/>
      </c>
      <c r="FZ117" s="516">
        <f t="shared" si="94"/>
      </c>
      <c r="GA117" s="443">
        <f t="shared" si="94"/>
      </c>
      <c r="GB117" s="471">
        <f t="shared" si="94"/>
      </c>
      <c r="GC117" s="471">
        <f t="shared" si="94"/>
      </c>
      <c r="GD117" s="471">
        <f t="shared" si="94"/>
      </c>
      <c r="GE117" s="516">
        <f t="shared" si="94"/>
      </c>
      <c r="GF117" s="443">
        <f t="shared" si="94"/>
      </c>
      <c r="GG117" s="471">
        <f t="shared" si="94"/>
      </c>
      <c r="GH117" s="471">
        <f t="shared" si="94"/>
      </c>
      <c r="GI117" s="471">
        <f t="shared" si="94"/>
      </c>
      <c r="GJ117" s="808">
        <f t="shared" si="94"/>
      </c>
    </row>
    <row r="118" spans="1:192" s="479" customFormat="1" ht="12.75" customHeight="1">
      <c r="A118" s="81"/>
      <c r="B118" s="1744" t="s">
        <v>34</v>
      </c>
      <c r="C118" s="291"/>
      <c r="D118" s="107"/>
      <c r="E118" s="107"/>
      <c r="F118" s="107"/>
      <c r="G118" s="292"/>
      <c r="H118" s="291"/>
      <c r="I118" s="107"/>
      <c r="J118" s="107"/>
      <c r="K118" s="107"/>
      <c r="L118" s="292"/>
      <c r="M118" s="291"/>
      <c r="N118" s="107"/>
      <c r="O118" s="107"/>
      <c r="P118" s="107"/>
      <c r="Q118" s="292"/>
      <c r="R118" s="291"/>
      <c r="S118" s="107"/>
      <c r="T118" s="107"/>
      <c r="U118" s="107"/>
      <c r="V118" s="292"/>
      <c r="W118" s="291"/>
      <c r="X118" s="107"/>
      <c r="Y118" s="107"/>
      <c r="Z118" s="107"/>
      <c r="AA118" s="292"/>
      <c r="AB118" s="291"/>
      <c r="AC118" s="107"/>
      <c r="AD118" s="107"/>
      <c r="AE118" s="107"/>
      <c r="AF118" s="292"/>
      <c r="AG118" s="291"/>
      <c r="AH118" s="107"/>
      <c r="AI118" s="107"/>
      <c r="AJ118" s="107"/>
      <c r="AK118" s="292"/>
      <c r="AL118" s="291"/>
      <c r="AM118" s="107"/>
      <c r="AN118" s="107"/>
      <c r="AO118" s="107"/>
      <c r="AP118" s="292"/>
      <c r="AQ118" s="291"/>
      <c r="AR118" s="107"/>
      <c r="AS118" s="107"/>
      <c r="AT118" s="107"/>
      <c r="AU118" s="292"/>
      <c r="AV118" s="291"/>
      <c r="AW118" s="107"/>
      <c r="AX118" s="107"/>
      <c r="AY118" s="107"/>
      <c r="AZ118" s="292"/>
      <c r="BA118" s="291"/>
      <c r="BB118" s="107"/>
      <c r="BC118" s="107"/>
      <c r="BD118" s="107"/>
      <c r="BE118" s="292"/>
      <c r="BF118" s="291"/>
      <c r="BG118" s="107"/>
      <c r="BH118" s="107"/>
      <c r="BI118" s="107"/>
      <c r="BJ118" s="292"/>
      <c r="BK118" s="291"/>
      <c r="BL118" s="107"/>
      <c r="BM118" s="107"/>
      <c r="BN118" s="107"/>
      <c r="BO118" s="292"/>
      <c r="BP118" s="291"/>
      <c r="BQ118" s="107"/>
      <c r="BR118" s="107"/>
      <c r="BS118" s="107"/>
      <c r="BT118" s="292"/>
      <c r="BU118" s="291"/>
      <c r="BV118" s="107"/>
      <c r="BW118" s="107"/>
      <c r="BX118" s="107"/>
      <c r="BY118" s="292"/>
      <c r="BZ118" s="291"/>
      <c r="CA118" s="107"/>
      <c r="CB118" s="107"/>
      <c r="CC118" s="107"/>
      <c r="CD118" s="292"/>
      <c r="CE118" s="291"/>
      <c r="CF118" s="107"/>
      <c r="CG118" s="107"/>
      <c r="CH118" s="107"/>
      <c r="CI118" s="292"/>
      <c r="CJ118" s="291"/>
      <c r="CK118" s="107"/>
      <c r="CL118" s="107"/>
      <c r="CM118" s="107"/>
      <c r="CN118" s="292"/>
      <c r="CO118" s="291"/>
      <c r="CP118" s="107"/>
      <c r="CQ118" s="107"/>
      <c r="CR118" s="107"/>
      <c r="CS118" s="292"/>
      <c r="CT118" s="291"/>
      <c r="CU118" s="107"/>
      <c r="CV118" s="107"/>
      <c r="CW118" s="107"/>
      <c r="CX118" s="292"/>
      <c r="CY118" s="291"/>
      <c r="CZ118" s="291"/>
      <c r="DA118" s="291"/>
      <c r="DB118" s="291"/>
      <c r="DC118" s="292"/>
      <c r="DD118" s="291"/>
      <c r="DE118" s="291"/>
      <c r="DF118" s="291"/>
      <c r="DG118" s="291"/>
      <c r="DH118" s="292"/>
      <c r="DI118" s="291"/>
      <c r="DJ118" s="291"/>
      <c r="DK118" s="291"/>
      <c r="DL118" s="291"/>
      <c r="DM118" s="292"/>
      <c r="DN118" s="291"/>
      <c r="DO118" s="291"/>
      <c r="DP118" s="291"/>
      <c r="DQ118" s="291"/>
      <c r="DR118" s="292"/>
      <c r="DS118" s="291"/>
      <c r="DT118" s="291"/>
      <c r="DU118" s="291"/>
      <c r="DV118" s="291"/>
      <c r="DW118" s="292"/>
      <c r="DX118" s="291"/>
      <c r="DY118" s="291"/>
      <c r="DZ118" s="291"/>
      <c r="EA118" s="291"/>
      <c r="EB118" s="292"/>
      <c r="EC118" s="291"/>
      <c r="ED118" s="291"/>
      <c r="EE118" s="291"/>
      <c r="EF118" s="291"/>
      <c r="EG118" s="292"/>
      <c r="EH118" s="291"/>
      <c r="EI118" s="291"/>
      <c r="EJ118" s="291"/>
      <c r="EK118" s="291"/>
      <c r="EL118" s="292"/>
      <c r="EM118" s="291"/>
      <c r="EN118" s="291"/>
      <c r="EO118" s="291"/>
      <c r="EP118" s="291"/>
      <c r="EQ118" s="292"/>
      <c r="ER118" s="291"/>
      <c r="ES118" s="291"/>
      <c r="ET118" s="291"/>
      <c r="EU118" s="291"/>
      <c r="EV118" s="292"/>
      <c r="EW118" s="291">
        <f t="shared" ref="EW118:GE118" si="95">EW117/ER117-1</f>
      </c>
      <c r="EX118" s="291">
        <f t="shared" si="95"/>
      </c>
      <c r="EY118" s="291">
        <f t="shared" si="95"/>
      </c>
      <c r="EZ118" s="291"/>
      <c r="FA118" s="292"/>
      <c r="FB118" s="291">
        <f t="shared" si="95"/>
      </c>
      <c r="FC118" s="291">
        <f t="shared" si="95"/>
      </c>
      <c r="FD118" s="291">
        <f t="shared" si="95"/>
      </c>
      <c r="FE118" s="291">
        <f t="shared" si="95"/>
      </c>
      <c r="FF118" s="292">
        <f t="shared" si="95"/>
      </c>
      <c r="FG118" s="291">
        <f t="shared" si="95"/>
      </c>
      <c r="FH118" s="291">
        <f t="shared" si="95"/>
      </c>
      <c r="FI118" s="291">
        <f t="shared" si="95"/>
      </c>
      <c r="FJ118" s="291">
        <f t="shared" si="95"/>
      </c>
      <c r="FK118" s="292">
        <f t="shared" si="95"/>
      </c>
      <c r="FL118" s="291">
        <f t="shared" si="95"/>
      </c>
      <c r="FM118" s="291">
        <f t="shared" si="95"/>
      </c>
      <c r="FN118" s="291">
        <f t="shared" si="95"/>
      </c>
      <c r="FO118" s="291">
        <f t="shared" si="95"/>
      </c>
      <c r="FP118" s="292">
        <f t="shared" si="95"/>
      </c>
      <c r="FQ118" s="291">
        <f t="shared" si="95"/>
      </c>
      <c r="FR118" s="291">
        <f t="shared" si="95"/>
      </c>
      <c r="FS118" s="291">
        <f t="shared" si="95"/>
      </c>
      <c r="FT118" s="291">
        <f t="shared" si="95"/>
      </c>
      <c r="FU118" s="292">
        <f t="shared" si="95"/>
      </c>
      <c r="FV118" s="291">
        <f t="shared" si="95"/>
      </c>
      <c r="FW118" s="107">
        <f t="shared" si="95"/>
      </c>
      <c r="FX118" s="107">
        <f t="shared" si="95"/>
      </c>
      <c r="FY118" s="107">
        <f t="shared" si="95"/>
      </c>
      <c r="FZ118" s="292">
        <f t="shared" si="95"/>
      </c>
      <c r="GA118" s="291">
        <f t="shared" si="95"/>
      </c>
      <c r="GB118" s="107">
        <f t="shared" si="95"/>
      </c>
      <c r="GC118" s="107">
        <f t="shared" si="95"/>
      </c>
      <c r="GD118" s="107">
        <f t="shared" si="95"/>
      </c>
      <c r="GE118" s="292">
        <f t="shared" si="95"/>
      </c>
      <c r="GF118" s="291">
        <f t="shared" ref="GF118" si="96">GF117/GA117-1</f>
      </c>
      <c r="GG118" s="107">
        <f t="shared" ref="GG118" si="97">GG117/GB117-1</f>
      </c>
      <c r="GH118" s="107">
        <f t="shared" ref="GH118" si="98">GH117/GC117-1</f>
      </c>
      <c r="GI118" s="107">
        <f t="shared" ref="GI118" si="99">GI117/GD117-1</f>
      </c>
      <c r="GJ118" s="384">
        <f t="shared" ref="GJ118" si="100">GJ117/GE117-1</f>
      </c>
    </row>
    <row r="119" spans="1:192" ht="12.75" customHeight="1">
      <c r="B119" s="735" t="s">
        <v>36</v>
      </c>
      <c r="C119" s="291"/>
      <c r="D119" s="107"/>
      <c r="E119" s="107"/>
      <c r="F119" s="107"/>
      <c r="G119" s="292"/>
      <c r="H119" s="291"/>
      <c r="I119" s="107"/>
      <c r="J119" s="107"/>
      <c r="K119" s="107"/>
      <c r="L119" s="292"/>
      <c r="M119" s="291"/>
      <c r="N119" s="107"/>
      <c r="O119" s="107"/>
      <c r="P119" s="107"/>
      <c r="Q119" s="292"/>
      <c r="R119" s="291"/>
      <c r="S119" s="107"/>
      <c r="T119" s="107"/>
      <c r="U119" s="107"/>
      <c r="V119" s="292"/>
      <c r="W119" s="291"/>
      <c r="X119" s="107"/>
      <c r="Y119" s="107"/>
      <c r="Z119" s="107"/>
      <c r="AA119" s="292"/>
      <c r="AB119" s="291"/>
      <c r="AC119" s="107"/>
      <c r="AD119" s="107"/>
      <c r="AE119" s="107"/>
      <c r="AF119" s="292"/>
      <c r="AG119" s="291"/>
      <c r="AH119" s="107"/>
      <c r="AI119" s="107"/>
      <c r="AJ119" s="107"/>
      <c r="AK119" s="292"/>
      <c r="AL119" s="291"/>
      <c r="AM119" s="107"/>
      <c r="AN119" s="107"/>
      <c r="AO119" s="107"/>
      <c r="AP119" s="292"/>
      <c r="AQ119" s="291"/>
      <c r="AR119" s="107"/>
      <c r="AS119" s="107"/>
      <c r="AT119" s="107"/>
      <c r="AU119" s="292"/>
      <c r="AV119" s="291"/>
      <c r="AW119" s="107"/>
      <c r="AX119" s="107"/>
      <c r="AY119" s="107"/>
      <c r="AZ119" s="292"/>
      <c r="BA119" s="291"/>
      <c r="BB119" s="107"/>
      <c r="BC119" s="107"/>
      <c r="BD119" s="107"/>
      <c r="BE119" s="292"/>
      <c r="BF119" s="291"/>
      <c r="BG119" s="107"/>
      <c r="BH119" s="107"/>
      <c r="BI119" s="107"/>
      <c r="BJ119" s="292"/>
      <c r="BK119" s="291"/>
      <c r="BL119" s="107"/>
      <c r="BM119" s="107"/>
      <c r="BN119" s="107"/>
      <c r="BO119" s="292"/>
      <c r="BP119" s="291"/>
      <c r="BQ119" s="107"/>
      <c r="BR119" s="107"/>
      <c r="BS119" s="107"/>
      <c r="BT119" s="292"/>
      <c r="BU119" s="291"/>
      <c r="BV119" s="107"/>
      <c r="BW119" s="107"/>
      <c r="BX119" s="107"/>
      <c r="BY119" s="292"/>
      <c r="BZ119" s="291"/>
      <c r="CA119" s="107"/>
      <c r="CB119" s="107"/>
      <c r="CC119" s="107"/>
      <c r="CD119" s="292"/>
      <c r="CE119" s="291"/>
      <c r="CF119" s="107"/>
      <c r="CG119" s="107"/>
      <c r="CH119" s="107"/>
      <c r="CI119" s="292"/>
      <c r="CJ119" s="291"/>
      <c r="CK119" s="107"/>
      <c r="CL119" s="107"/>
      <c r="CM119" s="107"/>
      <c r="CN119" s="292"/>
      <c r="CO119" s="291"/>
      <c r="CP119" s="107"/>
      <c r="CQ119" s="107"/>
      <c r="CR119" s="107"/>
      <c r="CS119" s="292"/>
      <c r="CT119" s="291"/>
      <c r="CU119" s="107"/>
      <c r="CV119" s="107"/>
      <c r="CW119" s="107"/>
      <c r="CX119" s="292"/>
      <c r="CY119" s="291"/>
      <c r="CZ119" s="291"/>
      <c r="DA119" s="291"/>
      <c r="DB119" s="291"/>
      <c r="DC119" s="292"/>
      <c r="DD119" s="291"/>
      <c r="DE119" s="291"/>
      <c r="DF119" s="291"/>
      <c r="DG119" s="291"/>
      <c r="DH119" s="292"/>
      <c r="DI119" s="291"/>
      <c r="DJ119" s="291"/>
      <c r="DK119" s="291"/>
      <c r="DL119" s="291"/>
      <c r="DM119" s="292"/>
      <c r="DN119" s="291"/>
      <c r="DO119" s="291"/>
      <c r="DP119" s="291"/>
      <c r="DQ119" s="291"/>
      <c r="DR119" s="292"/>
      <c r="DS119" s="291"/>
      <c r="DT119" s="291"/>
      <c r="DU119" s="291"/>
      <c r="DV119" s="291"/>
      <c r="DW119" s="292"/>
      <c r="DX119" s="291"/>
      <c r="DY119" s="291"/>
      <c r="DZ119" s="291"/>
      <c r="EA119" s="291"/>
      <c r="EB119" s="292"/>
      <c r="EC119" s="291"/>
      <c r="ED119" s="291"/>
      <c r="EE119" s="291"/>
      <c r="EF119" s="291"/>
      <c r="EG119" s="292"/>
      <c r="EH119" s="291"/>
      <c r="EI119" s="291"/>
      <c r="EJ119" s="291"/>
      <c r="EK119" s="291"/>
      <c r="EL119" s="292"/>
      <c r="EM119" s="291"/>
      <c r="EN119" s="291"/>
      <c r="EO119" s="291"/>
      <c r="EP119" s="291"/>
      <c r="EQ119" s="292"/>
      <c r="ER119" s="291"/>
      <c r="ES119" s="291">
        <f>ES117/ER117-1</f>
      </c>
      <c r="ET119" s="291">
        <f>ET117/ES117-1</f>
      </c>
      <c r="EU119" s="291">
        <f>EU117/ET117-1</f>
      </c>
      <c r="EV119" s="292"/>
      <c r="EW119" s="291">
        <f>EW117/EU117-1</f>
      </c>
      <c r="EX119" s="291">
        <f>EX117/EW117-1</f>
      </c>
      <c r="EY119" s="291">
        <f>EY117/EX117-1</f>
      </c>
      <c r="EZ119" s="291">
        <f>EZ117/EY117-1</f>
      </c>
      <c r="FA119" s="292"/>
      <c r="FB119" s="291">
        <f>FB117/EZ117-1</f>
      </c>
      <c r="FC119" s="291">
        <f>FC117/FB117-1</f>
      </c>
      <c r="FD119" s="291">
        <f>FD117/FC117-1</f>
      </c>
      <c r="FE119" s="291">
        <f>FE117/FD117-1</f>
      </c>
      <c r="FF119" s="292"/>
      <c r="FG119" s="291">
        <f>FG117/FE117-1</f>
      </c>
      <c r="FH119" s="291">
        <f>FH117/FG117-1</f>
      </c>
      <c r="FI119" s="291">
        <f>FI117/FH117-1</f>
      </c>
      <c r="FJ119" s="291">
        <f>FJ117/FI117-1</f>
      </c>
      <c r="FK119" s="292"/>
      <c r="FL119" s="291">
        <f>FL117/FJ117-1</f>
      </c>
      <c r="FM119" s="291">
        <f>FM117/FL117-1</f>
      </c>
      <c r="FN119" s="291">
        <f>FN117/FM117-1</f>
      </c>
      <c r="FO119" s="291">
        <f>FO117/FN117-1</f>
      </c>
      <c r="FP119" s="292"/>
      <c r="FQ119" s="291">
        <f>FQ117/FO117-1</f>
      </c>
      <c r="FR119" s="291">
        <f>FR117/FQ117-1</f>
      </c>
      <c r="FS119" s="291">
        <f>FS117/FR117-1</f>
      </c>
      <c r="FT119" s="291">
        <f>FT117/FS117-1</f>
      </c>
      <c r="FU119" s="292"/>
      <c r="FV119" s="291">
        <f>FV117/FT117-1</f>
      </c>
      <c r="FW119" s="107">
        <f>FW117/FV117-1</f>
      </c>
      <c r="FX119" s="107">
        <f>FX117/FW117-1</f>
      </c>
      <c r="FY119" s="107">
        <f>FY117/FX117-1</f>
      </c>
      <c r="FZ119" s="292"/>
      <c r="GA119" s="291">
        <f>GA117/FY117-1</f>
      </c>
      <c r="GB119" s="107">
        <f>GB117/GA117-1</f>
      </c>
      <c r="GC119" s="107">
        <f>GC117/GB117-1</f>
      </c>
      <c r="GD119" s="107">
        <f>GD117/GC117-1</f>
      </c>
      <c r="GE119" s="292"/>
      <c r="GF119" s="291">
        <f>GF117/GD117-1</f>
      </c>
      <c r="GG119" s="107">
        <f>GG117/GF117-1</f>
      </c>
      <c r="GH119" s="107">
        <f>GH117/GG117-1</f>
      </c>
      <c r="GI119" s="107">
        <f>GI117/GH117-1</f>
      </c>
      <c r="GJ119" s="384"/>
    </row>
    <row r="120" spans="1:192" ht="12.75" customHeight="1">
      <c r="B120" s="735" t="s">
        <v>243</v>
      </c>
      <c r="C120" s="291"/>
      <c r="D120" s="107"/>
      <c r="E120" s="107"/>
      <c r="F120" s="107"/>
      <c r="G120" s="292"/>
      <c r="H120" s="291"/>
      <c r="I120" s="107"/>
      <c r="J120" s="107"/>
      <c r="K120" s="107"/>
      <c r="L120" s="292"/>
      <c r="M120" s="291"/>
      <c r="N120" s="107"/>
      <c r="O120" s="107"/>
      <c r="P120" s="107"/>
      <c r="Q120" s="292"/>
      <c r="R120" s="291"/>
      <c r="S120" s="107"/>
      <c r="T120" s="107"/>
      <c r="U120" s="107"/>
      <c r="V120" s="292"/>
      <c r="W120" s="291"/>
      <c r="X120" s="107"/>
      <c r="Y120" s="107"/>
      <c r="Z120" s="107"/>
      <c r="AA120" s="292"/>
      <c r="AB120" s="291"/>
      <c r="AC120" s="107"/>
      <c r="AD120" s="107"/>
      <c r="AE120" s="107"/>
      <c r="AF120" s="292"/>
      <c r="AG120" s="291"/>
      <c r="AH120" s="107"/>
      <c r="AI120" s="107"/>
      <c r="AJ120" s="107"/>
      <c r="AK120" s="292"/>
      <c r="AL120" s="291"/>
      <c r="AM120" s="107"/>
      <c r="AN120" s="107"/>
      <c r="AO120" s="107"/>
      <c r="AP120" s="292"/>
      <c r="AQ120" s="291"/>
      <c r="AR120" s="107"/>
      <c r="AS120" s="107"/>
      <c r="AT120" s="107"/>
      <c r="AU120" s="292"/>
      <c r="AV120" s="291"/>
      <c r="AW120" s="107"/>
      <c r="AX120" s="107"/>
      <c r="AY120" s="107"/>
      <c r="AZ120" s="292"/>
      <c r="BA120" s="291"/>
      <c r="BB120" s="107"/>
      <c r="BC120" s="107"/>
      <c r="BD120" s="107"/>
      <c r="BE120" s="292"/>
      <c r="BF120" s="291"/>
      <c r="BG120" s="107"/>
      <c r="BH120" s="107"/>
      <c r="BI120" s="107"/>
      <c r="BJ120" s="292"/>
      <c r="BK120" s="291"/>
      <c r="BL120" s="107"/>
      <c r="BM120" s="107"/>
      <c r="BN120" s="107"/>
      <c r="BO120" s="292"/>
      <c r="BP120" s="291"/>
      <c r="BQ120" s="107"/>
      <c r="BR120" s="107"/>
      <c r="BS120" s="107"/>
      <c r="BT120" s="292"/>
      <c r="BU120" s="291"/>
      <c r="BV120" s="107"/>
      <c r="BW120" s="107"/>
      <c r="BX120" s="107"/>
      <c r="BY120" s="292"/>
      <c r="BZ120" s="291"/>
      <c r="CA120" s="107"/>
      <c r="CB120" s="107"/>
      <c r="CC120" s="107"/>
      <c r="CD120" s="292"/>
      <c r="CE120" s="291"/>
      <c r="CF120" s="107"/>
      <c r="CG120" s="107"/>
      <c r="CH120" s="107"/>
      <c r="CI120" s="292"/>
      <c r="CJ120" s="291"/>
      <c r="CK120" s="107"/>
      <c r="CL120" s="107"/>
      <c r="CM120" s="107"/>
      <c r="CN120" s="292"/>
      <c r="CO120" s="291"/>
      <c r="CP120" s="107"/>
      <c r="CQ120" s="107"/>
      <c r="CR120" s="107"/>
      <c r="CS120" s="292"/>
      <c r="CT120" s="291"/>
      <c r="CU120" s="107"/>
      <c r="CV120" s="107"/>
      <c r="CW120" s="107"/>
      <c r="CX120" s="292"/>
      <c r="CY120" s="291"/>
      <c r="CZ120" s="291"/>
      <c r="DA120" s="291"/>
      <c r="DB120" s="291"/>
      <c r="DC120" s="292"/>
      <c r="DD120" s="455"/>
      <c r="DE120" s="458"/>
      <c r="DF120" s="458"/>
      <c r="DG120" s="487"/>
      <c r="DH120" s="488"/>
      <c r="DI120" s="455"/>
      <c r="DJ120" s="458"/>
      <c r="DK120" s="458"/>
      <c r="DL120" s="487"/>
      <c r="DM120" s="488"/>
      <c r="DN120" s="455"/>
      <c r="DO120" s="458"/>
      <c r="DP120" s="458"/>
      <c r="DQ120" s="487"/>
      <c r="DR120" s="488"/>
      <c r="DS120" s="455"/>
      <c r="DT120" s="458"/>
      <c r="DU120" s="458"/>
      <c r="DV120" s="487"/>
      <c r="DW120" s="488"/>
      <c r="DX120" s="455"/>
      <c r="DY120" s="458"/>
      <c r="DZ120" s="458"/>
      <c r="EA120" s="487"/>
      <c r="EB120" s="488"/>
      <c r="EC120" s="455"/>
      <c r="ED120" s="458"/>
      <c r="EE120" s="458"/>
      <c r="EF120" s="487"/>
      <c r="EG120" s="488"/>
      <c r="EH120" s="455"/>
      <c r="EI120" s="458"/>
      <c r="EJ120" s="458"/>
      <c r="EK120" s="487"/>
      <c r="EL120" s="488"/>
      <c r="EM120" s="455"/>
      <c r="EN120" s="458"/>
      <c r="EO120" s="458"/>
      <c r="EP120" s="487"/>
      <c r="EQ120" s="488"/>
      <c r="ER120" s="455">
        <f t="shared" ref="ER120:GE120" si="101">ER117-EM117</f>
      </c>
      <c r="ES120" s="458">
        <f t="shared" si="101"/>
      </c>
      <c r="ET120" s="458">
        <f t="shared" si="101"/>
      </c>
      <c r="EU120" s="487">
        <f t="shared" si="101"/>
      </c>
      <c r="EV120" s="488">
        <f t="shared" si="101"/>
      </c>
      <c r="EW120" s="455">
        <f t="shared" si="101"/>
      </c>
      <c r="EX120" s="458">
        <f t="shared" si="101"/>
      </c>
      <c r="EY120" s="458">
        <f t="shared" si="101"/>
      </c>
      <c r="EZ120" s="487">
        <f t="shared" ref="EZ120" si="102">EZ117-EU117</f>
      </c>
      <c r="FA120" s="488">
        <f t="shared" si="101"/>
      </c>
      <c r="FB120" s="455">
        <f t="shared" si="101"/>
      </c>
      <c r="FC120" s="458">
        <f t="shared" si="101"/>
      </c>
      <c r="FD120" s="458">
        <f t="shared" si="101"/>
      </c>
      <c r="FE120" s="487">
        <f t="shared" si="101"/>
      </c>
      <c r="FF120" s="488">
        <f t="shared" si="101"/>
      </c>
      <c r="FG120" s="455">
        <f t="shared" si="101"/>
      </c>
      <c r="FH120" s="458">
        <f t="shared" si="101"/>
      </c>
      <c r="FI120" s="458">
        <f t="shared" si="101"/>
      </c>
      <c r="FJ120" s="487">
        <f t="shared" si="101"/>
      </c>
      <c r="FK120" s="488">
        <f t="shared" si="101"/>
      </c>
      <c r="FL120" s="455">
        <f t="shared" si="101"/>
      </c>
      <c r="FM120" s="458">
        <f t="shared" si="101"/>
      </c>
      <c r="FN120" s="458">
        <f t="shared" si="101"/>
      </c>
      <c r="FO120" s="487">
        <f t="shared" si="101"/>
      </c>
      <c r="FP120" s="488">
        <f t="shared" si="101"/>
      </c>
      <c r="FQ120" s="455">
        <f t="shared" si="101"/>
      </c>
      <c r="FR120" s="458">
        <f t="shared" si="101"/>
      </c>
      <c r="FS120" s="458">
        <f t="shared" si="101"/>
      </c>
      <c r="FT120" s="487">
        <f t="shared" si="101"/>
      </c>
      <c r="FU120" s="488">
        <f t="shared" si="101"/>
      </c>
      <c r="FV120" s="455">
        <f t="shared" si="101"/>
      </c>
      <c r="FW120" s="458">
        <f t="shared" si="101"/>
      </c>
      <c r="FX120" s="458">
        <f t="shared" si="101"/>
      </c>
      <c r="FY120" s="487">
        <f t="shared" si="101"/>
      </c>
      <c r="FZ120" s="459">
        <f t="shared" si="101"/>
      </c>
      <c r="GA120" s="455">
        <f t="shared" si="101"/>
      </c>
      <c r="GB120" s="458">
        <f t="shared" si="101"/>
      </c>
      <c r="GC120" s="458">
        <f t="shared" si="101"/>
      </c>
      <c r="GD120" s="487">
        <f t="shared" si="101"/>
      </c>
      <c r="GE120" s="459">
        <f t="shared" si="101"/>
      </c>
      <c r="GF120" s="455">
        <f t="shared" ref="GF120" si="103">GF117-GA117</f>
      </c>
      <c r="GG120" s="458">
        <f t="shared" ref="GG120" si="104">GG117-GB117</f>
      </c>
      <c r="GH120" s="458">
        <f t="shared" ref="GH120" si="105">GH117-GC117</f>
      </c>
      <c r="GI120" s="487">
        <f t="shared" ref="GI120" si="106">GI117-GD117</f>
      </c>
      <c r="GJ120" s="489">
        <f t="shared" ref="GJ120" si="107">GJ117-GE117</f>
      </c>
    </row>
    <row r="121" spans="1:192" ht="12.75" customHeight="1">
      <c r="B121" s="735" t="s">
        <v>244</v>
      </c>
      <c r="C121" s="291"/>
      <c r="D121" s="107"/>
      <c r="E121" s="107"/>
      <c r="F121" s="107"/>
      <c r="G121" s="292"/>
      <c r="H121" s="291"/>
      <c r="I121" s="107"/>
      <c r="J121" s="107"/>
      <c r="K121" s="107"/>
      <c r="L121" s="292"/>
      <c r="M121" s="291"/>
      <c r="N121" s="107"/>
      <c r="O121" s="107"/>
      <c r="P121" s="107"/>
      <c r="Q121" s="292"/>
      <c r="R121" s="291"/>
      <c r="S121" s="107"/>
      <c r="T121" s="107"/>
      <c r="U121" s="107"/>
      <c r="V121" s="292"/>
      <c r="W121" s="291"/>
      <c r="X121" s="107"/>
      <c r="Y121" s="107"/>
      <c r="Z121" s="107"/>
      <c r="AA121" s="292"/>
      <c r="AB121" s="291"/>
      <c r="AC121" s="107"/>
      <c r="AD121" s="107"/>
      <c r="AE121" s="107"/>
      <c r="AF121" s="292"/>
      <c r="AG121" s="291"/>
      <c r="AH121" s="107"/>
      <c r="AI121" s="107"/>
      <c r="AJ121" s="107"/>
      <c r="AK121" s="292"/>
      <c r="AL121" s="291"/>
      <c r="AM121" s="107"/>
      <c r="AN121" s="107"/>
      <c r="AO121" s="107"/>
      <c r="AP121" s="292"/>
      <c r="AQ121" s="291"/>
      <c r="AR121" s="107"/>
      <c r="AS121" s="107"/>
      <c r="AT121" s="107"/>
      <c r="AU121" s="292"/>
      <c r="AV121" s="291"/>
      <c r="AW121" s="107"/>
      <c r="AX121" s="107"/>
      <c r="AY121" s="107"/>
      <c r="AZ121" s="292"/>
      <c r="BA121" s="291"/>
      <c r="BB121" s="107"/>
      <c r="BC121" s="107"/>
      <c r="BD121" s="107"/>
      <c r="BE121" s="292"/>
      <c r="BF121" s="291"/>
      <c r="BG121" s="107"/>
      <c r="BH121" s="107"/>
      <c r="BI121" s="107"/>
      <c r="BJ121" s="292"/>
      <c r="BK121" s="291"/>
      <c r="BL121" s="107"/>
      <c r="BM121" s="107"/>
      <c r="BN121" s="107"/>
      <c r="BO121" s="292"/>
      <c r="BP121" s="291"/>
      <c r="BQ121" s="107"/>
      <c r="BR121" s="107"/>
      <c r="BS121" s="107"/>
      <c r="BT121" s="292"/>
      <c r="BU121" s="291"/>
      <c r="BV121" s="107"/>
      <c r="BW121" s="107"/>
      <c r="BX121" s="107"/>
      <c r="BY121" s="292"/>
      <c r="BZ121" s="291"/>
      <c r="CA121" s="107"/>
      <c r="CB121" s="107"/>
      <c r="CC121" s="107"/>
      <c r="CD121" s="292"/>
      <c r="CE121" s="291"/>
      <c r="CF121" s="107"/>
      <c r="CG121" s="107"/>
      <c r="CH121" s="107"/>
      <c r="CI121" s="292"/>
      <c r="CJ121" s="291"/>
      <c r="CK121" s="107"/>
      <c r="CL121" s="107"/>
      <c r="CM121" s="107"/>
      <c r="CN121" s="292"/>
      <c r="CO121" s="291"/>
      <c r="CP121" s="107"/>
      <c r="CQ121" s="107"/>
      <c r="CR121" s="107"/>
      <c r="CS121" s="292"/>
      <c r="CT121" s="291"/>
      <c r="CU121" s="107"/>
      <c r="CV121" s="107"/>
      <c r="CW121" s="107"/>
      <c r="CX121" s="292"/>
      <c r="CY121" s="291"/>
      <c r="CZ121" s="291"/>
      <c r="DA121" s="291"/>
      <c r="DB121" s="291"/>
      <c r="DC121" s="292"/>
      <c r="DD121" s="455"/>
      <c r="DE121" s="458"/>
      <c r="DF121" s="458"/>
      <c r="DG121" s="487"/>
      <c r="DH121" s="488"/>
      <c r="DI121" s="455"/>
      <c r="DJ121" s="458"/>
      <c r="DK121" s="458"/>
      <c r="DL121" s="487"/>
      <c r="DM121" s="488"/>
      <c r="DN121" s="455"/>
      <c r="DO121" s="458"/>
      <c r="DP121" s="458"/>
      <c r="DQ121" s="487"/>
      <c r="DR121" s="488"/>
      <c r="DS121" s="455"/>
      <c r="DT121" s="458"/>
      <c r="DU121" s="458"/>
      <c r="DV121" s="487"/>
      <c r="DW121" s="488"/>
      <c r="DX121" s="455"/>
      <c r="DY121" s="458"/>
      <c r="DZ121" s="458"/>
      <c r="EA121" s="487"/>
      <c r="EB121" s="488"/>
      <c r="EC121" s="455"/>
      <c r="ED121" s="458"/>
      <c r="EE121" s="458"/>
      <c r="EF121" s="487"/>
      <c r="EG121" s="488"/>
      <c r="EH121" s="455"/>
      <c r="EI121" s="458"/>
      <c r="EJ121" s="458"/>
      <c r="EK121" s="487"/>
      <c r="EL121" s="488"/>
      <c r="EM121" s="455"/>
      <c r="EN121" s="458"/>
      <c r="EO121" s="458"/>
      <c r="EP121" s="487"/>
      <c r="EQ121" s="488"/>
      <c r="ER121" s="455">
        <f>ER117-EP117</f>
      </c>
      <c r="ES121" s="458">
        <f>ES117-ER117</f>
      </c>
      <c r="ET121" s="458">
        <f>ET117-ES117</f>
      </c>
      <c r="EU121" s="487">
        <f>EU117-ET117</f>
      </c>
      <c r="EV121" s="488"/>
      <c r="EW121" s="455">
        <f>EW117-EU117</f>
      </c>
      <c r="EX121" s="458">
        <f>EX117-EW117</f>
      </c>
      <c r="EY121" s="458">
        <f>EY117-EX117</f>
      </c>
      <c r="EZ121" s="487">
        <f>EZ117-EY117</f>
      </c>
      <c r="FA121" s="488"/>
      <c r="FB121" s="455">
        <f>FB117-EZ117</f>
      </c>
      <c r="FC121" s="458">
        <f>FC117-FB117</f>
      </c>
      <c r="FD121" s="458">
        <f>FD117-FC117</f>
      </c>
      <c r="FE121" s="487">
        <f>FE117-FD117</f>
      </c>
      <c r="FF121" s="488"/>
      <c r="FG121" s="455">
        <f>FG117-FE117</f>
      </c>
      <c r="FH121" s="458">
        <f>FH117-FG117</f>
      </c>
      <c r="FI121" s="458">
        <f>FI117-FH117</f>
      </c>
      <c r="FJ121" s="487">
        <f>FJ117-FI117</f>
      </c>
      <c r="FK121" s="488"/>
      <c r="FL121" s="455">
        <f>FL117-FJ117</f>
      </c>
      <c r="FM121" s="458">
        <f>FM117-FL117</f>
      </c>
      <c r="FN121" s="458">
        <f>FN117-FM117</f>
      </c>
      <c r="FO121" s="487">
        <f>FO117-FN117</f>
      </c>
      <c r="FP121" s="488"/>
      <c r="FQ121" s="455">
        <f>FQ117-FO117</f>
      </c>
      <c r="FR121" s="458">
        <f>FR117-FQ117</f>
      </c>
      <c r="FS121" s="458">
        <f>FS117-FR117</f>
      </c>
      <c r="FT121" s="487">
        <f>FT117-FS117</f>
      </c>
      <c r="FU121" s="488"/>
      <c r="FV121" s="455">
        <f>FV117-FT117</f>
      </c>
      <c r="FW121" s="458">
        <f>FW117-FV117</f>
      </c>
      <c r="FX121" s="458">
        <f>FX117-FW117</f>
      </c>
      <c r="FY121" s="487">
        <f>FY117-FX117</f>
      </c>
      <c r="FZ121" s="459"/>
      <c r="GA121" s="455">
        <f>GA117-FY117</f>
      </c>
      <c r="GB121" s="458">
        <f>GB117-GA117</f>
      </c>
      <c r="GC121" s="458">
        <f>GC117-GB117</f>
      </c>
      <c r="GD121" s="487">
        <f>GD117-GC117</f>
      </c>
      <c r="GE121" s="459"/>
      <c r="GF121" s="455">
        <f>GF117-GD117</f>
      </c>
      <c r="GG121" s="458">
        <f>GG117-GF117</f>
      </c>
      <c r="GH121" s="458">
        <f>GH117-GG117</f>
      </c>
      <c r="GI121" s="487">
        <f>GI117-GH117</f>
      </c>
      <c r="GJ121" s="489"/>
    </row>
    <row r="122" spans="1:192" ht="12.75" customHeight="1">
      <c r="B122" s="735" t="s">
        <v>254</v>
      </c>
      <c r="C122" s="291"/>
      <c r="D122" s="107"/>
      <c r="E122" s="107"/>
      <c r="F122" s="107"/>
      <c r="G122" s="292"/>
      <c r="H122" s="291"/>
      <c r="I122" s="107"/>
      <c r="J122" s="107"/>
      <c r="K122" s="107"/>
      <c r="L122" s="292"/>
      <c r="M122" s="291"/>
      <c r="N122" s="107"/>
      <c r="O122" s="107"/>
      <c r="P122" s="107"/>
      <c r="Q122" s="292"/>
      <c r="R122" s="291"/>
      <c r="S122" s="107"/>
      <c r="T122" s="107"/>
      <c r="U122" s="107"/>
      <c r="V122" s="292"/>
      <c r="W122" s="291"/>
      <c r="X122" s="107"/>
      <c r="Y122" s="107"/>
      <c r="Z122" s="107"/>
      <c r="AA122" s="292"/>
      <c r="AB122" s="291"/>
      <c r="AC122" s="107"/>
      <c r="AD122" s="107"/>
      <c r="AE122" s="107"/>
      <c r="AF122" s="292"/>
      <c r="AG122" s="291"/>
      <c r="AH122" s="107"/>
      <c r="AI122" s="107"/>
      <c r="AJ122" s="107"/>
      <c r="AK122" s="292"/>
      <c r="AL122" s="291"/>
      <c r="AM122" s="107"/>
      <c r="AN122" s="107"/>
      <c r="AO122" s="107"/>
      <c r="AP122" s="292"/>
      <c r="AQ122" s="291"/>
      <c r="AR122" s="107"/>
      <c r="AS122" s="107"/>
      <c r="AT122" s="107"/>
      <c r="AU122" s="292"/>
      <c r="AV122" s="291"/>
      <c r="AW122" s="107"/>
      <c r="AX122" s="107"/>
      <c r="AY122" s="107"/>
      <c r="AZ122" s="292"/>
      <c r="BA122" s="291"/>
      <c r="BB122" s="107"/>
      <c r="BC122" s="107"/>
      <c r="BD122" s="107"/>
      <c r="BE122" s="292"/>
      <c r="BF122" s="291"/>
      <c r="BG122" s="107"/>
      <c r="BH122" s="107"/>
      <c r="BI122" s="107"/>
      <c r="BJ122" s="292"/>
      <c r="BK122" s="291"/>
      <c r="BL122" s="107"/>
      <c r="BM122" s="107"/>
      <c r="BN122" s="107"/>
      <c r="BO122" s="292"/>
      <c r="BP122" s="291"/>
      <c r="BQ122" s="107"/>
      <c r="BR122" s="107"/>
      <c r="BS122" s="107"/>
      <c r="BT122" s="292"/>
      <c r="BU122" s="291"/>
      <c r="BV122" s="107"/>
      <c r="BW122" s="107"/>
      <c r="BX122" s="107"/>
      <c r="BY122" s="292"/>
      <c r="BZ122" s="291"/>
      <c r="CA122" s="107"/>
      <c r="CB122" s="107"/>
      <c r="CC122" s="107"/>
      <c r="CD122" s="292"/>
      <c r="CE122" s="291"/>
      <c r="CF122" s="107"/>
      <c r="CG122" s="107"/>
      <c r="CH122" s="107"/>
      <c r="CI122" s="292"/>
      <c r="CJ122" s="291"/>
      <c r="CK122" s="107"/>
      <c r="CL122" s="107"/>
      <c r="CM122" s="107"/>
      <c r="CN122" s="292"/>
      <c r="CO122" s="291"/>
      <c r="CP122" s="107"/>
      <c r="CQ122" s="107"/>
      <c r="CR122" s="107"/>
      <c r="CS122" s="292"/>
      <c r="CT122" s="291"/>
      <c r="CU122" s="107"/>
      <c r="CV122" s="107"/>
      <c r="CW122" s="107"/>
      <c r="CX122" s="292"/>
      <c r="CY122" s="291"/>
      <c r="CZ122" s="291"/>
      <c r="DA122" s="291"/>
      <c r="DB122" s="291"/>
      <c r="DC122" s="292"/>
      <c r="DD122" s="291"/>
      <c r="DE122" s="291"/>
      <c r="DF122" s="291"/>
      <c r="DG122" s="291"/>
      <c r="DH122" s="292"/>
      <c r="DI122" s="291"/>
      <c r="DJ122" s="291"/>
      <c r="DK122" s="291"/>
      <c r="DL122" s="291"/>
      <c r="DM122" s="292"/>
      <c r="DN122" s="291"/>
      <c r="DO122" s="291"/>
      <c r="DP122" s="291"/>
      <c r="DQ122" s="291"/>
      <c r="DR122" s="292"/>
      <c r="DS122" s="291"/>
      <c r="DT122" s="291"/>
      <c r="DU122" s="291"/>
      <c r="DV122" s="291"/>
      <c r="DW122" s="292"/>
      <c r="DX122" s="291"/>
      <c r="DY122" s="291"/>
      <c r="DZ122" s="291"/>
      <c r="EA122" s="291"/>
      <c r="EB122" s="292"/>
      <c r="EC122" s="291"/>
      <c r="ED122" s="291"/>
      <c r="EE122" s="291"/>
      <c r="EF122" s="291"/>
      <c r="EG122" s="292"/>
      <c r="EH122" s="291"/>
      <c r="EI122" s="291"/>
      <c r="EJ122" s="291"/>
      <c r="EK122" s="291"/>
      <c r="EL122" s="292"/>
      <c r="EM122" s="291"/>
      <c r="EN122" s="291"/>
      <c r="EO122" s="291"/>
      <c r="EP122" s="291"/>
      <c r="EQ122" s="292"/>
      <c r="ER122" s="291">
        <f>ER117/ER131</f>
      </c>
      <c r="ES122" s="291">
        <f>ES117/ES131</f>
      </c>
      <c r="ET122" s="291">
        <f>ET117/ET131</f>
      </c>
      <c r="EU122" s="291">
        <f>EU117/EU131</f>
      </c>
      <c r="EV122" s="292">
        <f>EV117/EV131</f>
      </c>
      <c r="EW122" s="291">
        <f t="shared" ref="EW122:FO122" si="108">EW117/EW131</f>
      </c>
      <c r="EX122" s="291">
        <f>EX117/EX131</f>
      </c>
      <c r="EY122" s="291">
        <f>EY117/EY131</f>
      </c>
      <c r="EZ122" s="291">
        <f>EZ117/EZ131</f>
      </c>
      <c r="FA122" s="292">
        <f>FA117/FA131</f>
      </c>
      <c r="FB122" s="291">
        <f t="shared" si="108"/>
      </c>
      <c r="FC122" s="291">
        <f t="shared" si="108"/>
      </c>
      <c r="FD122" s="291">
        <f t="shared" si="108"/>
      </c>
      <c r="FE122" s="291">
        <f t="shared" si="108"/>
      </c>
      <c r="FF122" s="292">
        <f t="shared" si="108"/>
      </c>
      <c r="FG122" s="291">
        <f t="shared" si="108"/>
      </c>
      <c r="FH122" s="291">
        <f t="shared" si="108"/>
      </c>
      <c r="FI122" s="291">
        <f t="shared" si="108"/>
      </c>
      <c r="FJ122" s="291">
        <f t="shared" si="108"/>
      </c>
      <c r="FK122" s="292">
        <f t="shared" si="108"/>
      </c>
      <c r="FL122" s="291">
        <f t="shared" si="108"/>
      </c>
      <c r="FM122" s="291">
        <f t="shared" si="108"/>
      </c>
      <c r="FN122" s="291">
        <f t="shared" si="108"/>
      </c>
      <c r="FO122" s="291">
        <f t="shared" si="108"/>
      </c>
      <c r="FP122" s="292">
        <f t="shared" ref="FP122:GE122" si="109">FP117/FP131</f>
      </c>
      <c r="FQ122" s="291">
        <f t="shared" si="109"/>
      </c>
      <c r="FR122" s="291">
        <f t="shared" si="109"/>
      </c>
      <c r="FS122" s="291">
        <f t="shared" si="109"/>
      </c>
      <c r="FT122" s="291">
        <f t="shared" si="109"/>
      </c>
      <c r="FU122" s="292">
        <f t="shared" si="109"/>
      </c>
      <c r="FV122" s="291">
        <f t="shared" si="109"/>
      </c>
      <c r="FW122" s="107">
        <f t="shared" si="109"/>
      </c>
      <c r="FX122" s="107">
        <f t="shared" si="109"/>
      </c>
      <c r="FY122" s="107">
        <f t="shared" si="109"/>
      </c>
      <c r="FZ122" s="292">
        <f t="shared" si="109"/>
      </c>
      <c r="GA122" s="291">
        <f t="shared" si="109"/>
      </c>
      <c r="GB122" s="107">
        <f t="shared" si="109"/>
      </c>
      <c r="GC122" s="107">
        <f t="shared" si="109"/>
      </c>
      <c r="GD122" s="107">
        <f t="shared" si="109"/>
      </c>
      <c r="GE122" s="292">
        <f t="shared" si="109"/>
      </c>
      <c r="GF122" s="291">
        <f t="shared" ref="GF122:GJ122" si="110">GF117/GF131</f>
      </c>
      <c r="GG122" s="107">
        <f t="shared" si="110"/>
      </c>
      <c r="GH122" s="107">
        <f t="shared" si="110"/>
      </c>
      <c r="GI122" s="107">
        <f t="shared" si="110"/>
      </c>
      <c r="GJ122" s="384">
        <f t="shared" si="110"/>
      </c>
    </row>
    <row r="123" spans="1:192" ht="12.75" customHeight="1">
      <c r="B123" s="735"/>
      <c r="C123" s="291"/>
      <c r="D123" s="107"/>
      <c r="E123" s="107"/>
      <c r="F123" s="107"/>
      <c r="G123" s="292"/>
      <c r="H123" s="291"/>
      <c r="I123" s="107"/>
      <c r="J123" s="107"/>
      <c r="K123" s="107"/>
      <c r="L123" s="292"/>
      <c r="M123" s="291"/>
      <c r="N123" s="107"/>
      <c r="O123" s="107"/>
      <c r="P123" s="107"/>
      <c r="Q123" s="292"/>
      <c r="R123" s="291"/>
      <c r="S123" s="107"/>
      <c r="T123" s="107"/>
      <c r="U123" s="107"/>
      <c r="V123" s="292"/>
      <c r="W123" s="291"/>
      <c r="X123" s="107"/>
      <c r="Y123" s="107"/>
      <c r="Z123" s="107"/>
      <c r="AA123" s="292"/>
      <c r="AB123" s="291"/>
      <c r="AC123" s="107"/>
      <c r="AD123" s="107"/>
      <c r="AE123" s="107"/>
      <c r="AF123" s="292"/>
      <c r="AG123" s="291"/>
      <c r="AH123" s="107"/>
      <c r="AI123" s="107"/>
      <c r="AJ123" s="107"/>
      <c r="AK123" s="292"/>
      <c r="AL123" s="291"/>
      <c r="AM123" s="107"/>
      <c r="AN123" s="107"/>
      <c r="AO123" s="107"/>
      <c r="AP123" s="292"/>
      <c r="AQ123" s="291"/>
      <c r="AR123" s="107"/>
      <c r="AS123" s="107"/>
      <c r="AT123" s="107"/>
      <c r="AU123" s="292"/>
      <c r="AV123" s="291"/>
      <c r="AW123" s="107"/>
      <c r="AX123" s="107"/>
      <c r="AY123" s="107"/>
      <c r="AZ123" s="292"/>
      <c r="BA123" s="291"/>
      <c r="BB123" s="107"/>
      <c r="BC123" s="107"/>
      <c r="BD123" s="107"/>
      <c r="BE123" s="292"/>
      <c r="BF123" s="291"/>
      <c r="BG123" s="107"/>
      <c r="BH123" s="107"/>
      <c r="BI123" s="107"/>
      <c r="BJ123" s="292"/>
      <c r="BK123" s="291"/>
      <c r="BL123" s="107"/>
      <c r="BM123" s="107"/>
      <c r="BN123" s="107"/>
      <c r="BO123" s="292"/>
      <c r="BP123" s="291"/>
      <c r="BQ123" s="107"/>
      <c r="BR123" s="107"/>
      <c r="BS123" s="107"/>
      <c r="BT123" s="292"/>
      <c r="BU123" s="291"/>
      <c r="BV123" s="107"/>
      <c r="BW123" s="107"/>
      <c r="BX123" s="107"/>
      <c r="BY123" s="292"/>
      <c r="BZ123" s="291"/>
      <c r="CA123" s="107"/>
      <c r="CB123" s="107"/>
      <c r="CC123" s="107"/>
      <c r="CD123" s="292"/>
      <c r="CE123" s="291"/>
      <c r="CF123" s="107"/>
      <c r="CG123" s="107"/>
      <c r="CH123" s="107"/>
      <c r="CI123" s="292"/>
      <c r="CJ123" s="291"/>
      <c r="CK123" s="107"/>
      <c r="CL123" s="107"/>
      <c r="CM123" s="107"/>
      <c r="CN123" s="292"/>
      <c r="CO123" s="291"/>
      <c r="CP123" s="107"/>
      <c r="CQ123" s="107"/>
      <c r="CR123" s="107"/>
      <c r="CS123" s="292"/>
      <c r="CT123" s="291"/>
      <c r="CU123" s="107"/>
      <c r="CV123" s="107"/>
      <c r="CW123" s="107"/>
      <c r="CX123" s="292"/>
      <c r="CY123" s="291"/>
      <c r="CZ123" s="107"/>
      <c r="DA123" s="107"/>
      <c r="DB123" s="107"/>
      <c r="DC123" s="292"/>
      <c r="DD123" s="291"/>
      <c r="DE123" s="107"/>
      <c r="DF123" s="107"/>
      <c r="DG123" s="107"/>
      <c r="DH123" s="292"/>
      <c r="DI123" s="291"/>
      <c r="DJ123" s="107"/>
      <c r="DK123" s="107"/>
      <c r="DL123" s="107"/>
      <c r="DM123" s="292"/>
      <c r="DN123" s="291"/>
      <c r="DO123" s="107"/>
      <c r="DP123" s="107"/>
      <c r="DQ123" s="107"/>
      <c r="DR123" s="292"/>
      <c r="DS123" s="291"/>
      <c r="DT123" s="107"/>
      <c r="DU123" s="107"/>
      <c r="DV123" s="107"/>
      <c r="DW123" s="292"/>
      <c r="DX123" s="291"/>
      <c r="DY123" s="107"/>
      <c r="DZ123" s="107"/>
      <c r="EA123" s="107"/>
      <c r="EB123" s="292"/>
      <c r="EC123" s="291"/>
      <c r="ED123" s="107"/>
      <c r="EE123" s="107"/>
      <c r="EF123" s="107"/>
      <c r="EG123" s="292"/>
      <c r="EH123" s="291"/>
      <c r="EI123" s="107"/>
      <c r="EJ123" s="107"/>
      <c r="EK123" s="107"/>
      <c r="EL123" s="292"/>
      <c r="EM123" s="291"/>
      <c r="EN123" s="107"/>
      <c r="EO123" s="107"/>
      <c r="EP123" s="107"/>
      <c r="EQ123" s="292"/>
      <c r="ER123" s="291"/>
      <c r="ES123" s="107"/>
      <c r="ET123" s="107"/>
      <c r="EU123" s="107"/>
      <c r="EV123" s="292"/>
      <c r="EW123" s="291"/>
      <c r="EX123" s="107"/>
      <c r="EY123" s="107"/>
      <c r="EZ123" s="107"/>
      <c r="FA123" s="292"/>
      <c r="FB123" s="291"/>
      <c r="FC123" s="107"/>
      <c r="FD123" s="107"/>
      <c r="FE123" s="107"/>
      <c r="FF123" s="292"/>
      <c r="FG123" s="291"/>
      <c r="FH123" s="107"/>
      <c r="FI123" s="107"/>
      <c r="FJ123" s="107"/>
      <c r="FK123" s="292"/>
      <c r="FL123" s="291"/>
      <c r="FM123" s="107"/>
      <c r="FN123" s="107"/>
      <c r="FO123" s="107"/>
      <c r="FP123" s="292"/>
      <c r="FQ123" s="291"/>
      <c r="FR123" s="107"/>
      <c r="FS123" s="107"/>
      <c r="FT123" s="107"/>
      <c r="FU123" s="292"/>
      <c r="FV123" s="291"/>
      <c r="FW123" s="107"/>
      <c r="FX123" s="107"/>
      <c r="FY123" s="107"/>
      <c r="FZ123" s="292"/>
      <c r="GA123" s="291"/>
      <c r="GB123" s="107"/>
      <c r="GC123" s="107"/>
      <c r="GD123" s="107"/>
      <c r="GE123" s="292"/>
      <c r="GF123" s="291"/>
      <c r="GG123" s="107"/>
      <c r="GH123" s="107"/>
      <c r="GI123" s="107"/>
      <c r="GJ123" s="384"/>
    </row>
    <row r="124" spans="1:192" s="461" customFormat="1" ht="12.75" customHeight="1">
      <c r="A124" s="807"/>
      <c r="B124" s="1352" t="s">
        <v>1991</v>
      </c>
      <c r="C124" s="443"/>
      <c r="D124" s="471"/>
      <c r="E124" s="471"/>
      <c r="F124" s="471"/>
      <c r="G124" s="516"/>
      <c r="H124" s="443"/>
      <c r="I124" s="471"/>
      <c r="J124" s="471"/>
      <c r="K124" s="471"/>
      <c r="L124" s="516"/>
      <c r="M124" s="443"/>
      <c r="N124" s="471"/>
      <c r="O124" s="471"/>
      <c r="P124" s="471"/>
      <c r="Q124" s="516"/>
      <c r="R124" s="443"/>
      <c r="S124" s="471"/>
      <c r="T124" s="471"/>
      <c r="U124" s="471"/>
      <c r="V124" s="516"/>
      <c r="W124" s="443"/>
      <c r="X124" s="471"/>
      <c r="Y124" s="471"/>
      <c r="Z124" s="471"/>
      <c r="AA124" s="516"/>
      <c r="AB124" s="443"/>
      <c r="AC124" s="471"/>
      <c r="AD124" s="471"/>
      <c r="AE124" s="471"/>
      <c r="AF124" s="516"/>
      <c r="AG124" s="443"/>
      <c r="AH124" s="471"/>
      <c r="AI124" s="471"/>
      <c r="AJ124" s="471"/>
      <c r="AK124" s="516"/>
      <c r="AL124" s="443"/>
      <c r="AM124" s="471"/>
      <c r="AN124" s="471"/>
      <c r="AO124" s="471"/>
      <c r="AP124" s="516"/>
      <c r="AQ124" s="443"/>
      <c r="AR124" s="471"/>
      <c r="AS124" s="471"/>
      <c r="AT124" s="471"/>
      <c r="AU124" s="516"/>
      <c r="AV124" s="443"/>
      <c r="AW124" s="471"/>
      <c r="AX124" s="471"/>
      <c r="AY124" s="471"/>
      <c r="AZ124" s="516"/>
      <c r="BA124" s="443"/>
      <c r="BB124" s="471"/>
      <c r="BC124" s="471"/>
      <c r="BD124" s="471"/>
      <c r="BE124" s="516"/>
      <c r="BF124" s="443"/>
      <c r="BG124" s="471"/>
      <c r="BH124" s="471"/>
      <c r="BI124" s="471"/>
      <c r="BJ124" s="516"/>
      <c r="BK124" s="443"/>
      <c r="BL124" s="471"/>
      <c r="BM124" s="471"/>
      <c r="BN124" s="471"/>
      <c r="BO124" s="516"/>
      <c r="BP124" s="443"/>
      <c r="BQ124" s="471"/>
      <c r="BR124" s="471"/>
      <c r="BS124" s="471"/>
      <c r="BT124" s="516"/>
      <c r="BU124" s="443"/>
      <c r="BV124" s="471"/>
      <c r="BW124" s="471"/>
      <c r="BX124" s="471"/>
      <c r="BY124" s="516"/>
      <c r="BZ124" s="443"/>
      <c r="CA124" s="471"/>
      <c r="CB124" s="471"/>
      <c r="CC124" s="471"/>
      <c r="CD124" s="516"/>
      <c r="CE124" s="443"/>
      <c r="CF124" s="471"/>
      <c r="CG124" s="471"/>
      <c r="CH124" s="471"/>
      <c r="CI124" s="516"/>
      <c r="CJ124" s="443"/>
      <c r="CK124" s="471"/>
      <c r="CL124" s="471"/>
      <c r="CM124" s="471"/>
      <c r="CN124" s="516"/>
      <c r="CO124" s="443"/>
      <c r="CP124" s="471"/>
      <c r="CQ124" s="471"/>
      <c r="CR124" s="471"/>
      <c r="CS124" s="516"/>
      <c r="CT124" s="443"/>
      <c r="CU124" s="471"/>
      <c r="CV124" s="471"/>
      <c r="CW124" s="471"/>
      <c r="CX124" s="516"/>
      <c r="CY124" s="443"/>
      <c r="CZ124" s="471"/>
      <c r="DA124" s="471"/>
      <c r="DB124" s="443"/>
      <c r="DC124" s="516"/>
      <c r="DD124" s="443"/>
      <c r="DE124" s="443"/>
      <c r="DF124" s="443"/>
      <c r="DG124" s="443"/>
      <c r="DH124" s="516"/>
      <c r="DI124" s="443"/>
      <c r="DJ124" s="443"/>
      <c r="DK124" s="443"/>
      <c r="DL124" s="443"/>
      <c r="DM124" s="516"/>
      <c r="DN124" s="443"/>
      <c r="DO124" s="443"/>
      <c r="DP124" s="443"/>
      <c r="DQ124" s="443"/>
      <c r="DR124" s="516"/>
      <c r="DS124" s="443"/>
      <c r="DT124" s="443"/>
      <c r="DU124" s="443"/>
      <c r="DV124" s="443"/>
      <c r="DW124" s="516"/>
      <c r="DX124" s="443"/>
      <c r="DY124" s="443"/>
      <c r="DZ124" s="443"/>
      <c r="EA124" s="443"/>
      <c r="EB124" s="516"/>
      <c r="EC124" s="443"/>
      <c r="ED124" s="443"/>
      <c r="EE124" s="443"/>
      <c r="EF124" s="443"/>
      <c r="EG124" s="516"/>
      <c r="EH124" s="443"/>
      <c r="EI124" s="443"/>
      <c r="EJ124" s="443"/>
      <c r="EK124" s="443"/>
      <c r="EL124" s="516"/>
      <c r="EM124" s="443"/>
      <c r="EN124" s="443"/>
      <c r="EO124" s="443"/>
      <c r="EP124" s="443"/>
      <c r="EQ124" s="516"/>
      <c r="ER124" s="443">
        <f t="shared" ref="ER124:GE124" si="111">ER241+ER301</f>
      </c>
      <c r="ES124" s="443">
        <f t="shared" si="111"/>
      </c>
      <c r="ET124" s="443">
        <f t="shared" si="111"/>
      </c>
      <c r="EU124" s="443">
        <f t="shared" si="111"/>
      </c>
      <c r="EV124" s="516">
        <f t="shared" si="111"/>
      </c>
      <c r="EW124" s="443">
        <f t="shared" si="111"/>
      </c>
      <c r="EX124" s="443">
        <f t="shared" ref="EX124:FA124" si="112">EX241+EX301</f>
      </c>
      <c r="EY124" s="443">
        <f t="shared" si="112"/>
      </c>
      <c r="EZ124" s="443">
        <f t="shared" si="112"/>
      </c>
      <c r="FA124" s="516">
        <f t="shared" si="112"/>
      </c>
      <c r="FB124" s="443">
        <f t="shared" si="111"/>
      </c>
      <c r="FC124" s="443">
        <f t="shared" si="111"/>
      </c>
      <c r="FD124" s="443">
        <f t="shared" si="111"/>
      </c>
      <c r="FE124" s="443">
        <f t="shared" si="111"/>
      </c>
      <c r="FF124" s="516">
        <f t="shared" si="111"/>
      </c>
      <c r="FG124" s="443">
        <f t="shared" si="111"/>
      </c>
      <c r="FH124" s="443">
        <f t="shared" si="111"/>
      </c>
      <c r="FI124" s="443">
        <f t="shared" si="111"/>
      </c>
      <c r="FJ124" s="443">
        <f t="shared" si="111"/>
      </c>
      <c r="FK124" s="516">
        <f t="shared" si="111"/>
      </c>
      <c r="FL124" s="443">
        <f t="shared" si="111"/>
      </c>
      <c r="FM124" s="443">
        <f t="shared" si="111"/>
      </c>
      <c r="FN124" s="443">
        <f t="shared" si="111"/>
      </c>
      <c r="FO124" s="443">
        <f t="shared" si="111"/>
      </c>
      <c r="FP124" s="516">
        <f t="shared" si="111"/>
      </c>
      <c r="FQ124" s="443">
        <f t="shared" si="111"/>
      </c>
      <c r="FR124" s="443">
        <f t="shared" si="111"/>
      </c>
      <c r="FS124" s="443">
        <f t="shared" si="111"/>
      </c>
      <c r="FT124" s="443">
        <f t="shared" si="111"/>
      </c>
      <c r="FU124" s="516">
        <f t="shared" si="111"/>
      </c>
      <c r="FV124" s="443">
        <f t="shared" si="111"/>
      </c>
      <c r="FW124" s="471">
        <f t="shared" si="111"/>
      </c>
      <c r="FX124" s="471">
        <f t="shared" si="111"/>
      </c>
      <c r="FY124" s="471">
        <f t="shared" si="111"/>
      </c>
      <c r="FZ124" s="516">
        <f t="shared" si="111"/>
      </c>
      <c r="GA124" s="443">
        <f t="shared" si="111"/>
      </c>
      <c r="GB124" s="471">
        <f t="shared" si="111"/>
      </c>
      <c r="GC124" s="471">
        <f t="shared" si="111"/>
      </c>
      <c r="GD124" s="471">
        <f t="shared" si="111"/>
      </c>
      <c r="GE124" s="516">
        <f t="shared" si="111"/>
      </c>
      <c r="GF124" s="443">
        <f t="shared" ref="GF124:GJ124" si="113">GF241+GF301</f>
      </c>
      <c r="GG124" s="471">
        <f t="shared" si="113"/>
      </c>
      <c r="GH124" s="471">
        <f t="shared" si="113"/>
      </c>
      <c r="GI124" s="471">
        <f t="shared" si="113"/>
      </c>
      <c r="GJ124" s="808">
        <f t="shared" si="113"/>
      </c>
    </row>
    <row r="125" spans="1:192" s="479" customFormat="1" ht="12.75" customHeight="1">
      <c r="A125" s="81"/>
      <c r="B125" s="1744" t="s">
        <v>34</v>
      </c>
      <c r="C125" s="291"/>
      <c r="D125" s="107"/>
      <c r="E125" s="107"/>
      <c r="F125" s="107"/>
      <c r="G125" s="292"/>
      <c r="H125" s="291"/>
      <c r="I125" s="107"/>
      <c r="J125" s="107"/>
      <c r="K125" s="107"/>
      <c r="L125" s="292"/>
      <c r="M125" s="291"/>
      <c r="N125" s="107"/>
      <c r="O125" s="107"/>
      <c r="P125" s="107"/>
      <c r="Q125" s="292"/>
      <c r="R125" s="291"/>
      <c r="S125" s="107"/>
      <c r="T125" s="107"/>
      <c r="U125" s="107"/>
      <c r="V125" s="292"/>
      <c r="W125" s="291"/>
      <c r="X125" s="107"/>
      <c r="Y125" s="107"/>
      <c r="Z125" s="107"/>
      <c r="AA125" s="292"/>
      <c r="AB125" s="291"/>
      <c r="AC125" s="107"/>
      <c r="AD125" s="107"/>
      <c r="AE125" s="107"/>
      <c r="AF125" s="292"/>
      <c r="AG125" s="291"/>
      <c r="AH125" s="107"/>
      <c r="AI125" s="107"/>
      <c r="AJ125" s="107"/>
      <c r="AK125" s="292"/>
      <c r="AL125" s="291"/>
      <c r="AM125" s="107"/>
      <c r="AN125" s="107"/>
      <c r="AO125" s="107"/>
      <c r="AP125" s="292"/>
      <c r="AQ125" s="291"/>
      <c r="AR125" s="107"/>
      <c r="AS125" s="107"/>
      <c r="AT125" s="107"/>
      <c r="AU125" s="292"/>
      <c r="AV125" s="291"/>
      <c r="AW125" s="107"/>
      <c r="AX125" s="107"/>
      <c r="AY125" s="107"/>
      <c r="AZ125" s="292"/>
      <c r="BA125" s="291"/>
      <c r="BB125" s="107"/>
      <c r="BC125" s="107"/>
      <c r="BD125" s="107"/>
      <c r="BE125" s="292"/>
      <c r="BF125" s="291"/>
      <c r="BG125" s="107"/>
      <c r="BH125" s="107"/>
      <c r="BI125" s="107"/>
      <c r="BJ125" s="292"/>
      <c r="BK125" s="291"/>
      <c r="BL125" s="107"/>
      <c r="BM125" s="107"/>
      <c r="BN125" s="107"/>
      <c r="BO125" s="292"/>
      <c r="BP125" s="291"/>
      <c r="BQ125" s="107"/>
      <c r="BR125" s="107"/>
      <c r="BS125" s="107"/>
      <c r="BT125" s="292"/>
      <c r="BU125" s="291"/>
      <c r="BV125" s="107"/>
      <c r="BW125" s="107"/>
      <c r="BX125" s="107"/>
      <c r="BY125" s="292"/>
      <c r="BZ125" s="291"/>
      <c r="CA125" s="107"/>
      <c r="CB125" s="107"/>
      <c r="CC125" s="107"/>
      <c r="CD125" s="292"/>
      <c r="CE125" s="291"/>
      <c r="CF125" s="107"/>
      <c r="CG125" s="107"/>
      <c r="CH125" s="107"/>
      <c r="CI125" s="292"/>
      <c r="CJ125" s="291"/>
      <c r="CK125" s="107"/>
      <c r="CL125" s="107"/>
      <c r="CM125" s="107"/>
      <c r="CN125" s="292"/>
      <c r="CO125" s="291"/>
      <c r="CP125" s="107"/>
      <c r="CQ125" s="107"/>
      <c r="CR125" s="107"/>
      <c r="CS125" s="292"/>
      <c r="CT125" s="291"/>
      <c r="CU125" s="107"/>
      <c r="CV125" s="107"/>
      <c r="CW125" s="107"/>
      <c r="CX125" s="292"/>
      <c r="CY125" s="291"/>
      <c r="CZ125" s="107"/>
      <c r="DA125" s="107"/>
      <c r="DB125" s="291"/>
      <c r="DC125" s="292"/>
      <c r="DD125" s="291"/>
      <c r="DE125" s="291"/>
      <c r="DF125" s="291"/>
      <c r="DG125" s="291"/>
      <c r="DH125" s="292"/>
      <c r="DI125" s="291"/>
      <c r="DJ125" s="291"/>
      <c r="DK125" s="291"/>
      <c r="DL125" s="291"/>
      <c r="DM125" s="292"/>
      <c r="DN125" s="291"/>
      <c r="DO125" s="291"/>
      <c r="DP125" s="291"/>
      <c r="DQ125" s="291"/>
      <c r="DR125" s="292"/>
      <c r="DS125" s="291"/>
      <c r="DT125" s="291"/>
      <c r="DU125" s="291"/>
      <c r="DV125" s="291"/>
      <c r="DW125" s="292"/>
      <c r="DX125" s="291"/>
      <c r="DY125" s="291"/>
      <c r="DZ125" s="291"/>
      <c r="EA125" s="291"/>
      <c r="EB125" s="292"/>
      <c r="EC125" s="291"/>
      <c r="ED125" s="291"/>
      <c r="EE125" s="291"/>
      <c r="EF125" s="291"/>
      <c r="EG125" s="292"/>
      <c r="EH125" s="291"/>
      <c r="EI125" s="291"/>
      <c r="EJ125" s="291"/>
      <c r="EK125" s="291"/>
      <c r="EL125" s="292"/>
      <c r="EM125" s="291"/>
      <c r="EN125" s="291"/>
      <c r="EO125" s="291"/>
      <c r="EP125" s="291"/>
      <c r="EQ125" s="292"/>
      <c r="ER125" s="291"/>
      <c r="ES125" s="291"/>
      <c r="ET125" s="291"/>
      <c r="EU125" s="291"/>
      <c r="EV125" s="292"/>
      <c r="EW125" s="291">
        <f t="shared" ref="EW125:GE125" si="114">EW124/ER124-1</f>
      </c>
      <c r="EX125" s="291">
        <f t="shared" si="114"/>
      </c>
      <c r="EY125" s="291">
        <f t="shared" si="114"/>
      </c>
      <c r="EZ125" s="291"/>
      <c r="FA125" s="292"/>
      <c r="FB125" s="291">
        <f t="shared" si="114"/>
      </c>
      <c r="FC125" s="291">
        <f t="shared" si="114"/>
      </c>
      <c r="FD125" s="291">
        <f t="shared" si="114"/>
      </c>
      <c r="FE125" s="291">
        <f t="shared" si="114"/>
      </c>
      <c r="FF125" s="292">
        <f t="shared" si="114"/>
      </c>
      <c r="FG125" s="291">
        <f t="shared" si="114"/>
      </c>
      <c r="FH125" s="291">
        <f t="shared" si="114"/>
      </c>
      <c r="FI125" s="291">
        <f t="shared" si="114"/>
      </c>
      <c r="FJ125" s="291">
        <f t="shared" si="114"/>
      </c>
      <c r="FK125" s="292">
        <f t="shared" si="114"/>
      </c>
      <c r="FL125" s="291">
        <f t="shared" si="114"/>
      </c>
      <c r="FM125" s="291">
        <f t="shared" si="114"/>
      </c>
      <c r="FN125" s="291">
        <f t="shared" si="114"/>
      </c>
      <c r="FO125" s="291">
        <f t="shared" si="114"/>
      </c>
      <c r="FP125" s="292">
        <f t="shared" si="114"/>
      </c>
      <c r="FQ125" s="291">
        <f t="shared" si="114"/>
      </c>
      <c r="FR125" s="291">
        <f t="shared" si="114"/>
      </c>
      <c r="FS125" s="291">
        <f t="shared" si="114"/>
      </c>
      <c r="FT125" s="291">
        <f t="shared" si="114"/>
      </c>
      <c r="FU125" s="292">
        <f t="shared" si="114"/>
      </c>
      <c r="FV125" s="291">
        <f t="shared" si="114"/>
      </c>
      <c r="FW125" s="107">
        <f t="shared" si="114"/>
      </c>
      <c r="FX125" s="107">
        <f t="shared" si="114"/>
      </c>
      <c r="FY125" s="107">
        <f t="shared" si="114"/>
      </c>
      <c r="FZ125" s="292">
        <f t="shared" si="114"/>
      </c>
      <c r="GA125" s="291">
        <f t="shared" si="114"/>
      </c>
      <c r="GB125" s="107">
        <f t="shared" si="114"/>
      </c>
      <c r="GC125" s="107">
        <f t="shared" si="114"/>
      </c>
      <c r="GD125" s="107">
        <f t="shared" si="114"/>
      </c>
      <c r="GE125" s="292">
        <f t="shared" si="114"/>
      </c>
      <c r="GF125" s="291">
        <f t="shared" ref="GF125" si="115">GF124/GA124-1</f>
      </c>
      <c r="GG125" s="107">
        <f t="shared" ref="GG125" si="116">GG124/GB124-1</f>
      </c>
      <c r="GH125" s="107">
        <f t="shared" ref="GH125" si="117">GH124/GC124-1</f>
      </c>
      <c r="GI125" s="107">
        <f t="shared" ref="GI125" si="118">GI124/GD124-1</f>
      </c>
      <c r="GJ125" s="384">
        <f t="shared" ref="GJ125" si="119">GJ124/GE124-1</f>
      </c>
    </row>
    <row r="126" spans="1:192" ht="12.75" customHeight="1">
      <c r="B126" s="735" t="s">
        <v>36</v>
      </c>
      <c r="C126" s="291"/>
      <c r="D126" s="107"/>
      <c r="E126" s="107"/>
      <c r="F126" s="107"/>
      <c r="G126" s="292"/>
      <c r="H126" s="291"/>
      <c r="I126" s="107"/>
      <c r="J126" s="107"/>
      <c r="K126" s="107"/>
      <c r="L126" s="292"/>
      <c r="M126" s="291"/>
      <c r="N126" s="107"/>
      <c r="O126" s="107"/>
      <c r="P126" s="107"/>
      <c r="Q126" s="292"/>
      <c r="R126" s="291"/>
      <c r="S126" s="107"/>
      <c r="T126" s="107"/>
      <c r="U126" s="107"/>
      <c r="V126" s="292"/>
      <c r="W126" s="291"/>
      <c r="X126" s="107"/>
      <c r="Y126" s="107"/>
      <c r="Z126" s="107"/>
      <c r="AA126" s="292"/>
      <c r="AB126" s="291"/>
      <c r="AC126" s="107"/>
      <c r="AD126" s="107"/>
      <c r="AE126" s="107"/>
      <c r="AF126" s="292"/>
      <c r="AG126" s="291"/>
      <c r="AH126" s="107"/>
      <c r="AI126" s="107"/>
      <c r="AJ126" s="107"/>
      <c r="AK126" s="292"/>
      <c r="AL126" s="291"/>
      <c r="AM126" s="107"/>
      <c r="AN126" s="107"/>
      <c r="AO126" s="107"/>
      <c r="AP126" s="292"/>
      <c r="AQ126" s="291"/>
      <c r="AR126" s="107"/>
      <c r="AS126" s="107"/>
      <c r="AT126" s="107"/>
      <c r="AU126" s="292"/>
      <c r="AV126" s="291"/>
      <c r="AW126" s="107"/>
      <c r="AX126" s="107"/>
      <c r="AY126" s="107"/>
      <c r="AZ126" s="292"/>
      <c r="BA126" s="291"/>
      <c r="BB126" s="107"/>
      <c r="BC126" s="107"/>
      <c r="BD126" s="107"/>
      <c r="BE126" s="292"/>
      <c r="BF126" s="291"/>
      <c r="BG126" s="107"/>
      <c r="BH126" s="107"/>
      <c r="BI126" s="107"/>
      <c r="BJ126" s="292"/>
      <c r="BK126" s="291"/>
      <c r="BL126" s="107"/>
      <c r="BM126" s="107"/>
      <c r="BN126" s="107"/>
      <c r="BO126" s="292"/>
      <c r="BP126" s="291"/>
      <c r="BQ126" s="107"/>
      <c r="BR126" s="107"/>
      <c r="BS126" s="107"/>
      <c r="BT126" s="292"/>
      <c r="BU126" s="291"/>
      <c r="BV126" s="107"/>
      <c r="BW126" s="107"/>
      <c r="BX126" s="107"/>
      <c r="BY126" s="292"/>
      <c r="BZ126" s="291"/>
      <c r="CA126" s="107"/>
      <c r="CB126" s="107"/>
      <c r="CC126" s="107"/>
      <c r="CD126" s="292"/>
      <c r="CE126" s="291"/>
      <c r="CF126" s="107"/>
      <c r="CG126" s="107"/>
      <c r="CH126" s="107"/>
      <c r="CI126" s="292"/>
      <c r="CJ126" s="291"/>
      <c r="CK126" s="107"/>
      <c r="CL126" s="107"/>
      <c r="CM126" s="107"/>
      <c r="CN126" s="292"/>
      <c r="CO126" s="291"/>
      <c r="CP126" s="107"/>
      <c r="CQ126" s="107"/>
      <c r="CR126" s="107"/>
      <c r="CS126" s="292"/>
      <c r="CT126" s="291"/>
      <c r="CU126" s="107"/>
      <c r="CV126" s="107"/>
      <c r="CW126" s="107"/>
      <c r="CX126" s="292"/>
      <c r="CY126" s="291"/>
      <c r="CZ126" s="107"/>
      <c r="DA126" s="107"/>
      <c r="DB126" s="291"/>
      <c r="DC126" s="292"/>
      <c r="DD126" s="291"/>
      <c r="DE126" s="291"/>
      <c r="DF126" s="291"/>
      <c r="DG126" s="291"/>
      <c r="DH126" s="292"/>
      <c r="DI126" s="291"/>
      <c r="DJ126" s="291"/>
      <c r="DK126" s="291"/>
      <c r="DL126" s="291"/>
      <c r="DM126" s="292"/>
      <c r="DN126" s="291"/>
      <c r="DO126" s="291"/>
      <c r="DP126" s="291"/>
      <c r="DQ126" s="291"/>
      <c r="DR126" s="292"/>
      <c r="DS126" s="291"/>
      <c r="DT126" s="291"/>
      <c r="DU126" s="291"/>
      <c r="DV126" s="291"/>
      <c r="DW126" s="292"/>
      <c r="DX126" s="291"/>
      <c r="DY126" s="291"/>
      <c r="DZ126" s="291"/>
      <c r="EA126" s="291"/>
      <c r="EB126" s="292"/>
      <c r="EC126" s="291"/>
      <c r="ED126" s="291"/>
      <c r="EE126" s="291"/>
      <c r="EF126" s="291"/>
      <c r="EG126" s="292"/>
      <c r="EH126" s="291"/>
      <c r="EI126" s="291"/>
      <c r="EJ126" s="291"/>
      <c r="EK126" s="291"/>
      <c r="EL126" s="292"/>
      <c r="EM126" s="291"/>
      <c r="EN126" s="291"/>
      <c r="EO126" s="291"/>
      <c r="EP126" s="291"/>
      <c r="EQ126" s="292"/>
      <c r="ER126" s="291"/>
      <c r="ES126" s="291">
        <f>ES124/ER124-1</f>
      </c>
      <c r="ET126" s="291">
        <f>ET124/ES124-1</f>
      </c>
      <c r="EU126" s="291">
        <f>EU124/ET124-1</f>
      </c>
      <c r="EV126" s="292"/>
      <c r="EW126" s="291">
        <f>EW124/EU124-1</f>
      </c>
      <c r="EX126" s="291">
        <f>EX124/EW124-1</f>
      </c>
      <c r="EY126" s="291">
        <f>EY124/EX124-1</f>
      </c>
      <c r="EZ126" s="291">
        <f>EZ124/EY124-1</f>
      </c>
      <c r="FA126" s="292"/>
      <c r="FB126" s="291">
        <f>FB124/EZ124-1</f>
      </c>
      <c r="FC126" s="291">
        <f>FC124/FB124-1</f>
      </c>
      <c r="FD126" s="291">
        <f>FD124/FC124-1</f>
      </c>
      <c r="FE126" s="291">
        <f>FE124/FD124-1</f>
      </c>
      <c r="FF126" s="292"/>
      <c r="FG126" s="291">
        <f>FG124/FE124-1</f>
      </c>
      <c r="FH126" s="291">
        <f>FH124/FG124-1</f>
      </c>
      <c r="FI126" s="291">
        <f>FI124/FH124-1</f>
      </c>
      <c r="FJ126" s="291">
        <f>FJ124/FI124-1</f>
      </c>
      <c r="FK126" s="292"/>
      <c r="FL126" s="291">
        <f>FL124/FJ124-1</f>
      </c>
      <c r="FM126" s="291">
        <f>FM124/FL124-1</f>
      </c>
      <c r="FN126" s="291">
        <f>FN124/FM124-1</f>
      </c>
      <c r="FO126" s="291">
        <f>FO124/FN124-1</f>
      </c>
      <c r="FP126" s="292"/>
      <c r="FQ126" s="291">
        <f>FQ124/FO124-1</f>
      </c>
      <c r="FR126" s="291">
        <f>FR124/FQ124-1</f>
      </c>
      <c r="FS126" s="291">
        <f>FS124/FR124-1</f>
      </c>
      <c r="FT126" s="291">
        <f>FT124/FS124-1</f>
      </c>
      <c r="FU126" s="292"/>
      <c r="FV126" s="291">
        <f>FV124/FT124-1</f>
      </c>
      <c r="FW126" s="107">
        <f>FW124/FV124-1</f>
      </c>
      <c r="FX126" s="107">
        <f>FX124/FW124-1</f>
      </c>
      <c r="FY126" s="107">
        <f>FY124/FX124-1</f>
      </c>
      <c r="FZ126" s="292"/>
      <c r="GA126" s="291">
        <f>GA124/FY124-1</f>
      </c>
      <c r="GB126" s="107">
        <f>GB124/GA124-1</f>
      </c>
      <c r="GC126" s="107">
        <f>GC124/GB124-1</f>
      </c>
      <c r="GD126" s="107">
        <f>GD124/GC124-1</f>
      </c>
      <c r="GE126" s="292"/>
      <c r="GF126" s="291">
        <f>GF124/GD124-1</f>
      </c>
      <c r="GG126" s="107">
        <f>GG124/GF124-1</f>
      </c>
      <c r="GH126" s="107">
        <f>GH124/GG124-1</f>
      </c>
      <c r="GI126" s="107">
        <f>GI124/GH124-1</f>
      </c>
      <c r="GJ126" s="384"/>
    </row>
    <row r="127" spans="1:192" ht="12.75" customHeight="1">
      <c r="B127" s="735" t="s">
        <v>243</v>
      </c>
      <c r="C127" s="291"/>
      <c r="D127" s="107"/>
      <c r="E127" s="107"/>
      <c r="F127" s="107"/>
      <c r="G127" s="292"/>
      <c r="H127" s="291"/>
      <c r="I127" s="107"/>
      <c r="J127" s="107"/>
      <c r="K127" s="107"/>
      <c r="L127" s="292"/>
      <c r="M127" s="291"/>
      <c r="N127" s="107"/>
      <c r="O127" s="107"/>
      <c r="P127" s="107"/>
      <c r="Q127" s="292"/>
      <c r="R127" s="291"/>
      <c r="S127" s="107"/>
      <c r="T127" s="107"/>
      <c r="U127" s="107"/>
      <c r="V127" s="292"/>
      <c r="W127" s="291"/>
      <c r="X127" s="107"/>
      <c r="Y127" s="107"/>
      <c r="Z127" s="107"/>
      <c r="AA127" s="292"/>
      <c r="AB127" s="291"/>
      <c r="AC127" s="107"/>
      <c r="AD127" s="107"/>
      <c r="AE127" s="107"/>
      <c r="AF127" s="292"/>
      <c r="AG127" s="291"/>
      <c r="AH127" s="107"/>
      <c r="AI127" s="107"/>
      <c r="AJ127" s="107"/>
      <c r="AK127" s="292"/>
      <c r="AL127" s="291"/>
      <c r="AM127" s="107"/>
      <c r="AN127" s="107"/>
      <c r="AO127" s="107"/>
      <c r="AP127" s="292"/>
      <c r="AQ127" s="291"/>
      <c r="AR127" s="107"/>
      <c r="AS127" s="107"/>
      <c r="AT127" s="107"/>
      <c r="AU127" s="292"/>
      <c r="AV127" s="291"/>
      <c r="AW127" s="107"/>
      <c r="AX127" s="107"/>
      <c r="AY127" s="107"/>
      <c r="AZ127" s="292"/>
      <c r="BA127" s="291"/>
      <c r="BB127" s="107"/>
      <c r="BC127" s="107"/>
      <c r="BD127" s="107"/>
      <c r="BE127" s="292"/>
      <c r="BF127" s="291"/>
      <c r="BG127" s="107"/>
      <c r="BH127" s="107"/>
      <c r="BI127" s="107"/>
      <c r="BJ127" s="292"/>
      <c r="BK127" s="291"/>
      <c r="BL127" s="107"/>
      <c r="BM127" s="107"/>
      <c r="BN127" s="107"/>
      <c r="BO127" s="292"/>
      <c r="BP127" s="291"/>
      <c r="BQ127" s="107"/>
      <c r="BR127" s="107"/>
      <c r="BS127" s="107"/>
      <c r="BT127" s="292"/>
      <c r="BU127" s="291"/>
      <c r="BV127" s="107"/>
      <c r="BW127" s="107"/>
      <c r="BX127" s="107"/>
      <c r="BY127" s="292"/>
      <c r="BZ127" s="291"/>
      <c r="CA127" s="107"/>
      <c r="CB127" s="107"/>
      <c r="CC127" s="107"/>
      <c r="CD127" s="292"/>
      <c r="CE127" s="291"/>
      <c r="CF127" s="107"/>
      <c r="CG127" s="107"/>
      <c r="CH127" s="107"/>
      <c r="CI127" s="292"/>
      <c r="CJ127" s="291"/>
      <c r="CK127" s="107"/>
      <c r="CL127" s="107"/>
      <c r="CM127" s="107"/>
      <c r="CN127" s="292"/>
      <c r="CO127" s="291"/>
      <c r="CP127" s="107"/>
      <c r="CQ127" s="107"/>
      <c r="CR127" s="107"/>
      <c r="CS127" s="292"/>
      <c r="CT127" s="291"/>
      <c r="CU127" s="107"/>
      <c r="CV127" s="107"/>
      <c r="CW127" s="107"/>
      <c r="CX127" s="292"/>
      <c r="CY127" s="291"/>
      <c r="CZ127" s="107"/>
      <c r="DA127" s="107"/>
      <c r="DB127" s="291"/>
      <c r="DC127" s="292"/>
      <c r="DD127" s="455"/>
      <c r="DE127" s="458"/>
      <c r="DF127" s="458"/>
      <c r="DG127" s="487"/>
      <c r="DH127" s="488"/>
      <c r="DI127" s="455"/>
      <c r="DJ127" s="458"/>
      <c r="DK127" s="458"/>
      <c r="DL127" s="487"/>
      <c r="DM127" s="488"/>
      <c r="DN127" s="455"/>
      <c r="DO127" s="458"/>
      <c r="DP127" s="458"/>
      <c r="DQ127" s="487"/>
      <c r="DR127" s="488"/>
      <c r="DS127" s="455"/>
      <c r="DT127" s="458"/>
      <c r="DU127" s="458"/>
      <c r="DV127" s="487"/>
      <c r="DW127" s="488"/>
      <c r="DX127" s="455"/>
      <c r="DY127" s="458"/>
      <c r="DZ127" s="458"/>
      <c r="EA127" s="487"/>
      <c r="EB127" s="488"/>
      <c r="EC127" s="455"/>
      <c r="ED127" s="458"/>
      <c r="EE127" s="458"/>
      <c r="EF127" s="487"/>
      <c r="EG127" s="488"/>
      <c r="EH127" s="455"/>
      <c r="EI127" s="458"/>
      <c r="EJ127" s="458"/>
      <c r="EK127" s="487"/>
      <c r="EL127" s="488"/>
      <c r="EM127" s="455"/>
      <c r="EN127" s="458"/>
      <c r="EO127" s="458"/>
      <c r="EP127" s="487"/>
      <c r="EQ127" s="488"/>
      <c r="ER127" s="455">
        <f t="shared" ref="ER127:GE127" si="120">ER124-EM124</f>
      </c>
      <c r="ES127" s="458">
        <f t="shared" si="120"/>
      </c>
      <c r="ET127" s="458">
        <f t="shared" si="120"/>
      </c>
      <c r="EU127" s="487">
        <f t="shared" si="120"/>
      </c>
      <c r="EV127" s="488">
        <f t="shared" si="120"/>
      </c>
      <c r="EW127" s="455">
        <f t="shared" si="120"/>
      </c>
      <c r="EX127" s="458">
        <f t="shared" si="120"/>
      </c>
      <c r="EY127" s="458">
        <f t="shared" si="120"/>
      </c>
      <c r="EZ127" s="487">
        <f t="shared" ref="EZ127" si="121">EZ124-EU124</f>
      </c>
      <c r="FA127" s="488">
        <f t="shared" si="120"/>
      </c>
      <c r="FB127" s="455">
        <f t="shared" si="120"/>
      </c>
      <c r="FC127" s="458">
        <f t="shared" si="120"/>
      </c>
      <c r="FD127" s="458">
        <f t="shared" si="120"/>
      </c>
      <c r="FE127" s="487">
        <f t="shared" si="120"/>
      </c>
      <c r="FF127" s="488">
        <f t="shared" si="120"/>
      </c>
      <c r="FG127" s="455">
        <f t="shared" si="120"/>
      </c>
      <c r="FH127" s="458">
        <f t="shared" si="120"/>
      </c>
      <c r="FI127" s="458">
        <f t="shared" si="120"/>
      </c>
      <c r="FJ127" s="487">
        <f t="shared" si="120"/>
      </c>
      <c r="FK127" s="488">
        <f t="shared" si="120"/>
      </c>
      <c r="FL127" s="455">
        <f t="shared" si="120"/>
      </c>
      <c r="FM127" s="458">
        <f t="shared" si="120"/>
      </c>
      <c r="FN127" s="458">
        <f t="shared" si="120"/>
      </c>
      <c r="FO127" s="487">
        <f t="shared" si="120"/>
      </c>
      <c r="FP127" s="488">
        <f t="shared" si="120"/>
      </c>
      <c r="FQ127" s="455">
        <f t="shared" si="120"/>
      </c>
      <c r="FR127" s="458">
        <f t="shared" si="120"/>
      </c>
      <c r="FS127" s="458">
        <f t="shared" si="120"/>
      </c>
      <c r="FT127" s="487">
        <f t="shared" si="120"/>
      </c>
      <c r="FU127" s="488">
        <f t="shared" si="120"/>
      </c>
      <c r="FV127" s="455">
        <f t="shared" si="120"/>
      </c>
      <c r="FW127" s="458">
        <f t="shared" si="120"/>
      </c>
      <c r="FX127" s="458">
        <f t="shared" si="120"/>
      </c>
      <c r="FY127" s="487">
        <f t="shared" si="120"/>
      </c>
      <c r="FZ127" s="459">
        <f t="shared" si="120"/>
      </c>
      <c r="GA127" s="455">
        <f t="shared" si="120"/>
      </c>
      <c r="GB127" s="458">
        <f t="shared" si="120"/>
      </c>
      <c r="GC127" s="458">
        <f t="shared" si="120"/>
      </c>
      <c r="GD127" s="487">
        <f t="shared" si="120"/>
      </c>
      <c r="GE127" s="459">
        <f t="shared" si="120"/>
      </c>
      <c r="GF127" s="455">
        <f t="shared" ref="GF127" si="122">GF124-GA124</f>
      </c>
      <c r="GG127" s="458">
        <f t="shared" ref="GG127" si="123">GG124-GB124</f>
      </c>
      <c r="GH127" s="458">
        <f t="shared" ref="GH127" si="124">GH124-GC124</f>
      </c>
      <c r="GI127" s="487">
        <f t="shared" ref="GI127" si="125">GI124-GD124</f>
      </c>
      <c r="GJ127" s="489">
        <f t="shared" ref="GJ127" si="126">GJ124-GE124</f>
      </c>
    </row>
    <row r="128" spans="1:192" ht="12.75" customHeight="1">
      <c r="B128" s="735" t="s">
        <v>244</v>
      </c>
      <c r="C128" s="291"/>
      <c r="D128" s="107"/>
      <c r="E128" s="107"/>
      <c r="F128" s="107"/>
      <c r="G128" s="292"/>
      <c r="H128" s="291"/>
      <c r="I128" s="107"/>
      <c r="J128" s="107"/>
      <c r="K128" s="107"/>
      <c r="L128" s="292"/>
      <c r="M128" s="291"/>
      <c r="N128" s="107"/>
      <c r="O128" s="107"/>
      <c r="P128" s="107"/>
      <c r="Q128" s="292"/>
      <c r="R128" s="291"/>
      <c r="S128" s="107"/>
      <c r="T128" s="107"/>
      <c r="U128" s="107"/>
      <c r="V128" s="292"/>
      <c r="W128" s="291"/>
      <c r="X128" s="107"/>
      <c r="Y128" s="107"/>
      <c r="Z128" s="107"/>
      <c r="AA128" s="292"/>
      <c r="AB128" s="291"/>
      <c r="AC128" s="107"/>
      <c r="AD128" s="107"/>
      <c r="AE128" s="107"/>
      <c r="AF128" s="292"/>
      <c r="AG128" s="291"/>
      <c r="AH128" s="107"/>
      <c r="AI128" s="107"/>
      <c r="AJ128" s="107"/>
      <c r="AK128" s="292"/>
      <c r="AL128" s="291"/>
      <c r="AM128" s="107"/>
      <c r="AN128" s="107"/>
      <c r="AO128" s="107"/>
      <c r="AP128" s="292"/>
      <c r="AQ128" s="291"/>
      <c r="AR128" s="107"/>
      <c r="AS128" s="107"/>
      <c r="AT128" s="107"/>
      <c r="AU128" s="292"/>
      <c r="AV128" s="291"/>
      <c r="AW128" s="107"/>
      <c r="AX128" s="107"/>
      <c r="AY128" s="107"/>
      <c r="AZ128" s="292"/>
      <c r="BA128" s="291"/>
      <c r="BB128" s="107"/>
      <c r="BC128" s="107"/>
      <c r="BD128" s="107"/>
      <c r="BE128" s="292"/>
      <c r="BF128" s="291"/>
      <c r="BG128" s="107"/>
      <c r="BH128" s="107"/>
      <c r="BI128" s="107"/>
      <c r="BJ128" s="292"/>
      <c r="BK128" s="291"/>
      <c r="BL128" s="107"/>
      <c r="BM128" s="107"/>
      <c r="BN128" s="107"/>
      <c r="BO128" s="292"/>
      <c r="BP128" s="291"/>
      <c r="BQ128" s="107"/>
      <c r="BR128" s="107"/>
      <c r="BS128" s="107"/>
      <c r="BT128" s="292"/>
      <c r="BU128" s="291"/>
      <c r="BV128" s="107"/>
      <c r="BW128" s="107"/>
      <c r="BX128" s="107"/>
      <c r="BY128" s="292"/>
      <c r="BZ128" s="291"/>
      <c r="CA128" s="107"/>
      <c r="CB128" s="107"/>
      <c r="CC128" s="107"/>
      <c r="CD128" s="292"/>
      <c r="CE128" s="291"/>
      <c r="CF128" s="107"/>
      <c r="CG128" s="107"/>
      <c r="CH128" s="107"/>
      <c r="CI128" s="292"/>
      <c r="CJ128" s="291"/>
      <c r="CK128" s="107"/>
      <c r="CL128" s="107"/>
      <c r="CM128" s="107"/>
      <c r="CN128" s="292"/>
      <c r="CO128" s="291"/>
      <c r="CP128" s="107"/>
      <c r="CQ128" s="107"/>
      <c r="CR128" s="107"/>
      <c r="CS128" s="292"/>
      <c r="CT128" s="291"/>
      <c r="CU128" s="107"/>
      <c r="CV128" s="107"/>
      <c r="CW128" s="107"/>
      <c r="CX128" s="292"/>
      <c r="CY128" s="291"/>
      <c r="CZ128" s="107"/>
      <c r="DA128" s="107"/>
      <c r="DB128" s="291"/>
      <c r="DC128" s="292"/>
      <c r="DD128" s="455"/>
      <c r="DE128" s="458"/>
      <c r="DF128" s="458"/>
      <c r="DG128" s="487"/>
      <c r="DH128" s="488"/>
      <c r="DI128" s="455"/>
      <c r="DJ128" s="458"/>
      <c r="DK128" s="458"/>
      <c r="DL128" s="487"/>
      <c r="DM128" s="488"/>
      <c r="DN128" s="455"/>
      <c r="DO128" s="458"/>
      <c r="DP128" s="458"/>
      <c r="DQ128" s="487"/>
      <c r="DR128" s="488"/>
      <c r="DS128" s="455"/>
      <c r="DT128" s="458"/>
      <c r="DU128" s="458"/>
      <c r="DV128" s="487"/>
      <c r="DW128" s="488"/>
      <c r="DX128" s="455"/>
      <c r="DY128" s="458"/>
      <c r="DZ128" s="458"/>
      <c r="EA128" s="487"/>
      <c r="EB128" s="488"/>
      <c r="EC128" s="455"/>
      <c r="ED128" s="458"/>
      <c r="EE128" s="458"/>
      <c r="EF128" s="487"/>
      <c r="EG128" s="488"/>
      <c r="EH128" s="455"/>
      <c r="EI128" s="458"/>
      <c r="EJ128" s="458"/>
      <c r="EK128" s="487"/>
      <c r="EL128" s="488"/>
      <c r="EM128" s="455"/>
      <c r="EN128" s="458"/>
      <c r="EO128" s="458"/>
      <c r="EP128" s="487"/>
      <c r="EQ128" s="488"/>
      <c r="ER128" s="455">
        <f>ER124-EP124</f>
      </c>
      <c r="ES128" s="458">
        <f>ES124-ER124</f>
      </c>
      <c r="ET128" s="458">
        <f>ET124-ES124</f>
      </c>
      <c r="EU128" s="487">
        <f>EU124-ET124</f>
      </c>
      <c r="EV128" s="488"/>
      <c r="EW128" s="455">
        <f>EW124-EU124</f>
      </c>
      <c r="EX128" s="458">
        <f>EX124-EW124</f>
      </c>
      <c r="EY128" s="458">
        <f>EY124-EX124</f>
      </c>
      <c r="EZ128" s="487">
        <f>EZ124-EY124</f>
      </c>
      <c r="FA128" s="488"/>
      <c r="FB128" s="455">
        <f>FB124-EZ124</f>
      </c>
      <c r="FC128" s="458">
        <f>FC124-FB124</f>
      </c>
      <c r="FD128" s="458">
        <f>FD124-FC124</f>
      </c>
      <c r="FE128" s="487">
        <f>FE124-FD124</f>
      </c>
      <c r="FF128" s="488"/>
      <c r="FG128" s="455">
        <f>FG124-FE124</f>
      </c>
      <c r="FH128" s="458">
        <f>FH124-FG124</f>
      </c>
      <c r="FI128" s="458">
        <f>FI124-FH124</f>
      </c>
      <c r="FJ128" s="487">
        <f>FJ124-FI124</f>
      </c>
      <c r="FK128" s="488"/>
      <c r="FL128" s="455">
        <f>FL124-FJ124</f>
      </c>
      <c r="FM128" s="458">
        <f>FM124-FL124</f>
      </c>
      <c r="FN128" s="458">
        <f>FN124-FM124</f>
      </c>
      <c r="FO128" s="487">
        <f>FO124-FN124</f>
      </c>
      <c r="FP128" s="488"/>
      <c r="FQ128" s="455">
        <f>FQ124-FO124</f>
      </c>
      <c r="FR128" s="458">
        <f>FR124-FQ124</f>
      </c>
      <c r="FS128" s="458">
        <f>FS124-FR124</f>
      </c>
      <c r="FT128" s="487">
        <f>FT124-FS124</f>
      </c>
      <c r="FU128" s="488"/>
      <c r="FV128" s="455">
        <f>FV124-FT124</f>
      </c>
      <c r="FW128" s="458">
        <f>FW124-FV124</f>
      </c>
      <c r="FX128" s="458">
        <f>FX124-FW124</f>
      </c>
      <c r="FY128" s="487">
        <f>FY124-FX124</f>
      </c>
      <c r="FZ128" s="459"/>
      <c r="GA128" s="455">
        <f>GA124-FY124</f>
      </c>
      <c r="GB128" s="458">
        <f>GB124-GA124</f>
      </c>
      <c r="GC128" s="458">
        <f>GC124-GB124</f>
      </c>
      <c r="GD128" s="487">
        <f>GD124-GC124</f>
      </c>
      <c r="GE128" s="459"/>
      <c r="GF128" s="455">
        <f>GF124-GD124</f>
      </c>
      <c r="GG128" s="458">
        <f>GG124-GF124</f>
      </c>
      <c r="GH128" s="458">
        <f>GH124-GG124</f>
      </c>
      <c r="GI128" s="487">
        <f>GI124-GH124</f>
      </c>
      <c r="GJ128" s="489"/>
    </row>
    <row r="129" spans="1:192" ht="12.75" customHeight="1">
      <c r="B129" s="735" t="s">
        <v>254</v>
      </c>
      <c r="C129" s="291"/>
      <c r="D129" s="107"/>
      <c r="E129" s="107"/>
      <c r="F129" s="107"/>
      <c r="G129" s="292"/>
      <c r="H129" s="291"/>
      <c r="I129" s="107"/>
      <c r="J129" s="107"/>
      <c r="K129" s="107"/>
      <c r="L129" s="292"/>
      <c r="M129" s="291"/>
      <c r="N129" s="107"/>
      <c r="O129" s="107"/>
      <c r="P129" s="107"/>
      <c r="Q129" s="292"/>
      <c r="R129" s="291"/>
      <c r="S129" s="107"/>
      <c r="T129" s="107"/>
      <c r="U129" s="107"/>
      <c r="V129" s="292"/>
      <c r="W129" s="291"/>
      <c r="X129" s="107"/>
      <c r="Y129" s="107"/>
      <c r="Z129" s="107"/>
      <c r="AA129" s="292"/>
      <c r="AB129" s="291"/>
      <c r="AC129" s="107"/>
      <c r="AD129" s="107"/>
      <c r="AE129" s="107"/>
      <c r="AF129" s="292"/>
      <c r="AG129" s="291"/>
      <c r="AH129" s="107"/>
      <c r="AI129" s="107"/>
      <c r="AJ129" s="107"/>
      <c r="AK129" s="292"/>
      <c r="AL129" s="291"/>
      <c r="AM129" s="107"/>
      <c r="AN129" s="107"/>
      <c r="AO129" s="107"/>
      <c r="AP129" s="292"/>
      <c r="AQ129" s="291"/>
      <c r="AR129" s="107"/>
      <c r="AS129" s="107"/>
      <c r="AT129" s="107"/>
      <c r="AU129" s="292"/>
      <c r="AV129" s="291"/>
      <c r="AW129" s="107"/>
      <c r="AX129" s="107"/>
      <c r="AY129" s="107"/>
      <c r="AZ129" s="292"/>
      <c r="BA129" s="291"/>
      <c r="BB129" s="107"/>
      <c r="BC129" s="107"/>
      <c r="BD129" s="107"/>
      <c r="BE129" s="292"/>
      <c r="BF129" s="291"/>
      <c r="BG129" s="107"/>
      <c r="BH129" s="107"/>
      <c r="BI129" s="107"/>
      <c r="BJ129" s="292"/>
      <c r="BK129" s="291"/>
      <c r="BL129" s="107"/>
      <c r="BM129" s="107"/>
      <c r="BN129" s="107"/>
      <c r="BO129" s="292"/>
      <c r="BP129" s="291"/>
      <c r="BQ129" s="107"/>
      <c r="BR129" s="107"/>
      <c r="BS129" s="107"/>
      <c r="BT129" s="292"/>
      <c r="BU129" s="291"/>
      <c r="BV129" s="107"/>
      <c r="BW129" s="107"/>
      <c r="BX129" s="107"/>
      <c r="BY129" s="292"/>
      <c r="BZ129" s="291"/>
      <c r="CA129" s="107"/>
      <c r="CB129" s="107"/>
      <c r="CC129" s="107"/>
      <c r="CD129" s="292"/>
      <c r="CE129" s="291"/>
      <c r="CF129" s="107"/>
      <c r="CG129" s="107"/>
      <c r="CH129" s="107"/>
      <c r="CI129" s="292"/>
      <c r="CJ129" s="291"/>
      <c r="CK129" s="107"/>
      <c r="CL129" s="107"/>
      <c r="CM129" s="107"/>
      <c r="CN129" s="292"/>
      <c r="CO129" s="291"/>
      <c r="CP129" s="107"/>
      <c r="CQ129" s="107"/>
      <c r="CR129" s="107"/>
      <c r="CS129" s="292"/>
      <c r="CT129" s="291"/>
      <c r="CU129" s="107"/>
      <c r="CV129" s="107"/>
      <c r="CW129" s="107"/>
      <c r="CX129" s="292"/>
      <c r="CY129" s="291"/>
      <c r="CZ129" s="107"/>
      <c r="DA129" s="107"/>
      <c r="DB129" s="291"/>
      <c r="DC129" s="292"/>
      <c r="DD129" s="291"/>
      <c r="DE129" s="291"/>
      <c r="DF129" s="291"/>
      <c r="DG129" s="291"/>
      <c r="DH129" s="292"/>
      <c r="DI129" s="291"/>
      <c r="DJ129" s="291"/>
      <c r="DK129" s="291"/>
      <c r="DL129" s="291"/>
      <c r="DM129" s="292"/>
      <c r="DN129" s="291"/>
      <c r="DO129" s="291"/>
      <c r="DP129" s="291"/>
      <c r="DQ129" s="291"/>
      <c r="DR129" s="292"/>
      <c r="DS129" s="291"/>
      <c r="DT129" s="291"/>
      <c r="DU129" s="291"/>
      <c r="DV129" s="291"/>
      <c r="DW129" s="292"/>
      <c r="DX129" s="291"/>
      <c r="DY129" s="291"/>
      <c r="DZ129" s="291"/>
      <c r="EA129" s="291"/>
      <c r="EB129" s="292"/>
      <c r="EC129" s="291"/>
      <c r="ED129" s="291"/>
      <c r="EE129" s="291"/>
      <c r="EF129" s="291"/>
      <c r="EG129" s="292"/>
      <c r="EH129" s="291"/>
      <c r="EI129" s="291"/>
      <c r="EJ129" s="291"/>
      <c r="EK129" s="291"/>
      <c r="EL129" s="292"/>
      <c r="EM129" s="291"/>
      <c r="EN129" s="291"/>
      <c r="EO129" s="291"/>
      <c r="EP129" s="291"/>
      <c r="EQ129" s="292"/>
      <c r="ER129" s="291">
        <f>ER124/ER131</f>
      </c>
      <c r="ES129" s="291">
        <f>ES124/ES131</f>
      </c>
      <c r="ET129" s="291">
        <f>ET124/ET131</f>
      </c>
      <c r="EU129" s="291">
        <f>EU124/EU131</f>
      </c>
      <c r="EV129" s="292">
        <f>EV124/EV131</f>
      </c>
      <c r="EW129" s="291">
        <f t="shared" ref="EW129:FO129" si="127">EW124/EW131</f>
      </c>
      <c r="EX129" s="291">
        <f>EX124/EX131</f>
      </c>
      <c r="EY129" s="291">
        <f>EY124/EY131</f>
      </c>
      <c r="EZ129" s="291">
        <f>EZ124/EZ131</f>
      </c>
      <c r="FA129" s="292">
        <f>FA124/FA131</f>
      </c>
      <c r="FB129" s="291">
        <f t="shared" si="127"/>
      </c>
      <c r="FC129" s="291">
        <f t="shared" si="127"/>
      </c>
      <c r="FD129" s="291">
        <f t="shared" si="127"/>
      </c>
      <c r="FE129" s="291">
        <f t="shared" si="127"/>
      </c>
      <c r="FF129" s="292">
        <f t="shared" si="127"/>
      </c>
      <c r="FG129" s="291">
        <f t="shared" si="127"/>
      </c>
      <c r="FH129" s="291">
        <f t="shared" si="127"/>
      </c>
      <c r="FI129" s="291">
        <f t="shared" si="127"/>
      </c>
      <c r="FJ129" s="291">
        <f t="shared" si="127"/>
      </c>
      <c r="FK129" s="292">
        <f t="shared" si="127"/>
      </c>
      <c r="FL129" s="291">
        <f t="shared" si="127"/>
      </c>
      <c r="FM129" s="291">
        <f t="shared" si="127"/>
      </c>
      <c r="FN129" s="291">
        <f t="shared" si="127"/>
      </c>
      <c r="FO129" s="291">
        <f t="shared" si="127"/>
      </c>
      <c r="FP129" s="292">
        <f t="shared" ref="FP129:GE129" si="128">FP124/FP131</f>
      </c>
      <c r="FQ129" s="291">
        <f t="shared" si="128"/>
      </c>
      <c r="FR129" s="291">
        <f t="shared" si="128"/>
      </c>
      <c r="FS129" s="291">
        <f t="shared" si="128"/>
      </c>
      <c r="FT129" s="291">
        <f t="shared" si="128"/>
      </c>
      <c r="FU129" s="292">
        <f t="shared" si="128"/>
      </c>
      <c r="FV129" s="291">
        <f t="shared" si="128"/>
      </c>
      <c r="FW129" s="107">
        <f t="shared" si="128"/>
      </c>
      <c r="FX129" s="107">
        <f t="shared" si="128"/>
      </c>
      <c r="FY129" s="107">
        <f t="shared" si="128"/>
      </c>
      <c r="FZ129" s="292">
        <f t="shared" si="128"/>
      </c>
      <c r="GA129" s="291">
        <f t="shared" si="128"/>
      </c>
      <c r="GB129" s="107">
        <f t="shared" si="128"/>
      </c>
      <c r="GC129" s="107">
        <f t="shared" si="128"/>
      </c>
      <c r="GD129" s="107">
        <f t="shared" si="128"/>
      </c>
      <c r="GE129" s="292">
        <f t="shared" si="128"/>
      </c>
      <c r="GF129" s="291">
        <f t="shared" ref="GF129:GJ129" si="129">GF124/GF131</f>
      </c>
      <c r="GG129" s="107">
        <f t="shared" si="129"/>
      </c>
      <c r="GH129" s="107">
        <f t="shared" si="129"/>
      </c>
      <c r="GI129" s="107">
        <f t="shared" si="129"/>
      </c>
      <c r="GJ129" s="384">
        <f t="shared" si="129"/>
      </c>
    </row>
    <row r="130" spans="1:192" ht="12.75" customHeight="1">
      <c r="A130" s="790"/>
      <c r="B130" s="742"/>
      <c r="C130" s="106"/>
      <c r="D130" s="107"/>
      <c r="E130" s="107"/>
      <c r="F130" s="107"/>
      <c r="G130" s="293"/>
      <c r="H130" s="106"/>
      <c r="I130" s="107"/>
      <c r="J130" s="107"/>
      <c r="K130" s="107"/>
      <c r="L130" s="293"/>
      <c r="M130" s="106"/>
      <c r="N130" s="107"/>
      <c r="O130" s="107"/>
      <c r="P130" s="107"/>
      <c r="Q130" s="293"/>
      <c r="R130" s="106"/>
      <c r="S130" s="107"/>
      <c r="T130" s="107"/>
      <c r="U130" s="107"/>
      <c r="V130" s="293"/>
      <c r="W130" s="106"/>
      <c r="X130" s="107"/>
      <c r="Y130" s="107"/>
      <c r="Z130" s="107"/>
      <c r="AA130" s="293"/>
      <c r="AB130" s="106"/>
      <c r="AC130" s="107"/>
      <c r="AD130" s="107"/>
      <c r="AE130" s="107"/>
      <c r="AF130" s="293"/>
      <c r="AG130" s="106"/>
      <c r="AH130" s="107"/>
      <c r="AI130" s="107"/>
      <c r="AJ130" s="107"/>
      <c r="AK130" s="293"/>
      <c r="AL130" s="106"/>
      <c r="AM130" s="107"/>
      <c r="AN130" s="107"/>
      <c r="AO130" s="107"/>
      <c r="AP130" s="293"/>
      <c r="AQ130" s="106"/>
      <c r="AR130" s="107"/>
      <c r="AS130" s="107"/>
      <c r="AT130" s="107"/>
      <c r="AU130" s="293"/>
      <c r="AV130" s="106"/>
      <c r="AW130" s="107"/>
      <c r="AX130" s="107"/>
      <c r="AY130" s="107"/>
      <c r="AZ130" s="293"/>
      <c r="BA130" s="106"/>
      <c r="BB130" s="107"/>
      <c r="BC130" s="107"/>
      <c r="BD130" s="107"/>
      <c r="BE130" s="293"/>
      <c r="BF130" s="106"/>
      <c r="BG130" s="107"/>
      <c r="BH130" s="107"/>
      <c r="BI130" s="107"/>
      <c r="BJ130" s="293"/>
      <c r="BK130" s="106"/>
      <c r="BL130" s="107"/>
      <c r="BM130" s="107"/>
      <c r="BN130" s="107"/>
      <c r="BO130" s="293"/>
      <c r="BP130" s="106"/>
      <c r="BQ130" s="107"/>
      <c r="BR130" s="107"/>
      <c r="BS130" s="107"/>
      <c r="BT130" s="293"/>
      <c r="BU130" s="106"/>
      <c r="BV130" s="107"/>
      <c r="BW130" s="107"/>
      <c r="BX130" s="107"/>
      <c r="BY130" s="293"/>
      <c r="BZ130" s="106"/>
      <c r="CA130" s="107"/>
      <c r="CB130" s="107"/>
      <c r="CC130" s="107"/>
      <c r="CD130" s="293"/>
      <c r="CE130" s="106"/>
      <c r="CF130" s="107"/>
      <c r="CG130" s="107"/>
      <c r="CH130" s="107"/>
      <c r="CI130" s="293"/>
      <c r="CJ130" s="106"/>
      <c r="CK130" s="107"/>
      <c r="CL130" s="107"/>
      <c r="CM130" s="107"/>
      <c r="CN130" s="293"/>
      <c r="CO130" s="106"/>
      <c r="CP130" s="107"/>
      <c r="CQ130" s="107"/>
      <c r="CR130" s="107"/>
      <c r="CS130" s="293"/>
      <c r="CT130" s="106"/>
      <c r="CU130" s="107"/>
      <c r="CV130" s="107"/>
      <c r="CW130" s="107"/>
      <c r="CX130" s="293"/>
      <c r="CY130" s="106"/>
      <c r="CZ130" s="107"/>
      <c r="DA130" s="107"/>
      <c r="DB130" s="107"/>
      <c r="DC130" s="293"/>
      <c r="DD130" s="106"/>
      <c r="DE130" s="107"/>
      <c r="DF130" s="107"/>
      <c r="DG130" s="107"/>
      <c r="DH130" s="293"/>
      <c r="DI130" s="512"/>
      <c r="DJ130" s="512"/>
      <c r="DK130" s="513"/>
      <c r="DL130" s="513"/>
      <c r="DM130" s="514"/>
      <c r="DN130" s="512"/>
      <c r="DO130" s="513"/>
      <c r="DP130" s="513"/>
      <c r="DQ130" s="513"/>
      <c r="DR130" s="514"/>
      <c r="DS130" s="512"/>
      <c r="DT130" s="513"/>
      <c r="DU130" s="513"/>
      <c r="DV130" s="513"/>
      <c r="DW130" s="514"/>
      <c r="DX130" s="512"/>
      <c r="DY130" s="513"/>
      <c r="DZ130" s="513"/>
      <c r="EA130" s="513"/>
      <c r="EB130" s="514"/>
      <c r="EC130" s="512"/>
      <c r="ED130" s="513"/>
      <c r="EE130" s="513"/>
      <c r="EF130" s="513"/>
      <c r="EG130" s="514"/>
      <c r="EH130" s="512"/>
      <c r="EI130" s="513"/>
      <c r="EJ130" s="513"/>
      <c r="EK130" s="513"/>
      <c r="EL130" s="514"/>
      <c r="EM130" s="512"/>
      <c r="EN130" s="513"/>
      <c r="EO130" s="513"/>
      <c r="EP130" s="513"/>
      <c r="EQ130" s="514"/>
      <c r="ER130" s="106"/>
      <c r="ES130" s="107"/>
      <c r="ET130" s="107"/>
      <c r="EU130" s="107"/>
      <c r="EV130" s="293"/>
      <c r="EW130" s="106"/>
      <c r="EX130" s="107"/>
      <c r="EY130" s="107"/>
      <c r="EZ130" s="107"/>
      <c r="FA130" s="293"/>
      <c r="FB130" s="106"/>
      <c r="FC130" s="107"/>
      <c r="FD130" s="107"/>
      <c r="FE130" s="107"/>
      <c r="FF130" s="293"/>
      <c r="FG130" s="106"/>
      <c r="FH130" s="107"/>
      <c r="FI130" s="107"/>
      <c r="FJ130" s="107"/>
      <c r="FK130" s="293"/>
      <c r="FL130" s="106"/>
      <c r="FM130" s="107"/>
      <c r="FN130" s="107"/>
      <c r="FO130" s="107"/>
      <c r="FP130" s="293"/>
      <c r="FQ130" s="106"/>
      <c r="FR130" s="107"/>
      <c r="FS130" s="107"/>
      <c r="FT130" s="107"/>
      <c r="FU130" s="293"/>
      <c r="FV130" s="106"/>
      <c r="FW130" s="107"/>
      <c r="FX130" s="107"/>
      <c r="FY130" s="107"/>
      <c r="FZ130" s="293"/>
      <c r="GA130" s="106"/>
      <c r="GB130" s="107"/>
      <c r="GC130" s="107"/>
      <c r="GD130" s="107"/>
      <c r="GE130" s="293"/>
      <c r="GF130" s="106"/>
      <c r="GG130" s="107"/>
      <c r="GH130" s="107"/>
      <c r="GI130" s="107"/>
      <c r="GJ130" s="382"/>
    </row>
    <row r="131" spans="1:192" s="317" customFormat="1" ht="12.75" customHeight="1">
      <c r="A131" s="280"/>
      <c r="B131" s="739" t="s">
        <v>1993</v>
      </c>
      <c r="C131" s="316"/>
      <c r="D131" s="316"/>
      <c r="E131" s="316"/>
      <c r="F131" s="316"/>
      <c r="G131" s="313"/>
      <c r="H131" s="316"/>
      <c r="I131" s="316"/>
      <c r="J131" s="316"/>
      <c r="K131" s="316"/>
      <c r="L131" s="313"/>
      <c r="M131" s="316"/>
      <c r="N131" s="316"/>
      <c r="O131" s="316"/>
      <c r="P131" s="316"/>
      <c r="Q131" s="313"/>
      <c r="R131" s="316"/>
      <c r="S131" s="316"/>
      <c r="T131" s="316"/>
      <c r="U131" s="316"/>
      <c r="V131" s="313"/>
      <c r="W131" s="316"/>
      <c r="X131" s="316"/>
      <c r="Y131" s="316"/>
      <c r="Z131" s="316"/>
      <c r="AA131" s="313"/>
      <c r="AB131" s="316"/>
      <c r="AC131" s="316"/>
      <c r="AD131" s="316"/>
      <c r="AE131" s="316"/>
      <c r="AF131" s="313"/>
      <c r="AG131" s="316"/>
      <c r="AH131" s="316"/>
      <c r="AI131" s="316"/>
      <c r="AJ131" s="316"/>
      <c r="AK131" s="313"/>
      <c r="AL131" s="316"/>
      <c r="AM131" s="316"/>
      <c r="AN131" s="316"/>
      <c r="AO131" s="316"/>
      <c r="AP131" s="313"/>
      <c r="AQ131" s="316"/>
      <c r="AR131" s="316"/>
      <c r="AS131" s="316"/>
      <c r="AT131" s="316"/>
      <c r="AU131" s="313"/>
      <c r="AV131" s="316"/>
      <c r="AW131" s="316"/>
      <c r="AX131" s="316"/>
      <c r="AY131" s="316"/>
      <c r="AZ131" s="313"/>
      <c r="BA131" s="316"/>
      <c r="BB131" s="316"/>
      <c r="BC131" s="316"/>
      <c r="BD131" s="316"/>
      <c r="BE131" s="313"/>
      <c r="BF131" s="316"/>
      <c r="BG131" s="316"/>
      <c r="BH131" s="316"/>
      <c r="BI131" s="316"/>
      <c r="BJ131" s="313"/>
      <c r="BK131" s="316"/>
      <c r="BL131" s="316"/>
      <c r="BM131" s="316"/>
      <c r="BN131" s="316"/>
      <c r="BO131" s="313"/>
      <c r="BP131" s="316"/>
      <c r="BQ131" s="316"/>
      <c r="BR131" s="316"/>
      <c r="BS131" s="316"/>
      <c r="BT131" s="313"/>
      <c r="BU131" s="316"/>
      <c r="BV131" s="316"/>
      <c r="BW131" s="316"/>
      <c r="BX131" s="316"/>
      <c r="BY131" s="313"/>
      <c r="BZ131" s="316"/>
      <c r="CA131" s="316"/>
      <c r="CB131" s="316"/>
      <c r="CC131" s="316"/>
      <c r="CD131" s="319"/>
      <c r="CE131" s="316"/>
      <c r="CF131" s="316"/>
      <c r="CG131" s="316"/>
      <c r="CH131" s="316"/>
      <c r="CI131" s="319"/>
      <c r="CJ131" s="316"/>
      <c r="CK131" s="316"/>
      <c r="CL131" s="316"/>
      <c r="CM131" s="316"/>
      <c r="CN131" s="319"/>
      <c r="CO131" s="316"/>
      <c r="CP131" s="316"/>
      <c r="CQ131" s="316"/>
      <c r="CR131" s="316"/>
      <c r="CS131" s="319"/>
      <c r="CT131" s="312"/>
      <c r="CU131" s="312"/>
      <c r="CV131" s="312"/>
      <c r="CW131" s="312"/>
      <c r="CX131" s="319"/>
      <c r="CY131" s="312"/>
      <c r="CZ131" s="312"/>
      <c r="DA131" s="312"/>
      <c r="DB131" s="312"/>
      <c r="DC131" s="453"/>
      <c r="DD131" s="312"/>
      <c r="DE131" s="312"/>
      <c r="DF131" s="312"/>
      <c r="DG131" s="312"/>
      <c r="DH131" s="453"/>
      <c r="DI131" s="316"/>
      <c r="DJ131" s="316"/>
      <c r="DK131" s="316"/>
      <c r="DL131" s="312"/>
      <c r="DM131" s="453"/>
      <c r="DN131" s="316"/>
      <c r="DO131" s="316"/>
      <c r="DP131" s="316"/>
      <c r="DQ131" s="312"/>
      <c r="DR131" s="453"/>
      <c r="DS131" s="316"/>
      <c r="DT131" s="316"/>
      <c r="DU131" s="316"/>
      <c r="DV131" s="312"/>
      <c r="DW131" s="453"/>
      <c r="DX131" s="316"/>
      <c r="DY131" s="316"/>
      <c r="DZ131" s="316"/>
      <c r="EA131" s="312"/>
      <c r="EB131" s="453"/>
      <c r="EC131" s="316"/>
      <c r="ED131" s="316"/>
      <c r="EE131" s="316"/>
      <c r="EF131" s="312"/>
      <c r="EG131" s="453"/>
      <c r="EH131" s="316"/>
      <c r="EI131" s="316"/>
      <c r="EJ131" s="316"/>
      <c r="EK131" s="312"/>
      <c r="EL131" s="453"/>
      <c r="EM131" s="316"/>
      <c r="EN131" s="316"/>
      <c r="EO131" s="316"/>
      <c r="EP131" s="312"/>
      <c r="EQ131" s="453"/>
      <c r="ER131" s="312">
        <f>ER117+ER124</f>
      </c>
      <c r="ES131" s="312">
        <f>ES117+ES124</f>
      </c>
      <c r="ET131" s="312">
        <f>ET117+ET124</f>
      </c>
      <c r="EU131" s="312">
        <f>EU117+EU124</f>
      </c>
      <c r="EV131" s="313">
        <f>SUM(ER131:EU131)</f>
      </c>
      <c r="EW131" s="312">
        <f>EW117+EW124</f>
      </c>
      <c r="EX131" s="312">
        <f>EX117+EX124</f>
      </c>
      <c r="EY131" s="312">
        <f>EY117+EY124</f>
      </c>
      <c r="EZ131" s="312">
        <f>EZ117+EZ124</f>
      </c>
      <c r="FA131" s="313">
        <f>SUM(EW131:EZ131)</f>
      </c>
      <c r="FB131" s="312">
        <f>FB117+FB124</f>
      </c>
      <c r="FC131" s="312">
        <f>FC117+FC124</f>
      </c>
      <c r="FD131" s="312">
        <f>FD117+FD124</f>
      </c>
      <c r="FE131" s="312">
        <f>FE117+FE124</f>
      </c>
      <c r="FF131" s="313">
        <f>SUM(FB131:FE131)</f>
      </c>
      <c r="FG131" s="312">
        <f>FG117+FG124</f>
      </c>
      <c r="FH131" s="312">
        <f>FH117+FH124</f>
      </c>
      <c r="FI131" s="312">
        <f>FI117+FI124</f>
      </c>
      <c r="FJ131" s="312">
        <f>FJ117+FJ124</f>
      </c>
      <c r="FK131" s="313">
        <f>SUM(FG131:FJ131)</f>
      </c>
      <c r="FL131" s="312">
        <f>FL117+FL124</f>
      </c>
      <c r="FM131" s="312">
        <f>FM117+FM124</f>
      </c>
      <c r="FN131" s="312">
        <f>FN117+FN124</f>
      </c>
      <c r="FO131" s="312">
        <f>FO117+FO124</f>
      </c>
      <c r="FP131" s="313">
        <f>SUM(FL131:FO131)</f>
      </c>
      <c r="FQ131" s="312">
        <f>FQ117+FQ124</f>
      </c>
      <c r="FR131" s="312">
        <f>FR117+FR124</f>
      </c>
      <c r="FS131" s="312">
        <f>FS117+FS124</f>
      </c>
      <c r="FT131" s="312">
        <f>FT117+FT124</f>
      </c>
      <c r="FU131" s="313">
        <f>SUM(FQ131:FT131)</f>
      </c>
      <c r="FV131" s="312">
        <f>FV117+FV124</f>
      </c>
      <c r="FW131" s="312">
        <f>FW117+FW124</f>
      </c>
      <c r="FX131" s="312">
        <f>FX117+FX124</f>
      </c>
      <c r="FY131" s="312">
        <f>FY117+FY124</f>
      </c>
      <c r="FZ131" s="313">
        <f>SUM(FV131:FY131)</f>
      </c>
      <c r="GA131" s="312">
        <f>GA117+GA124</f>
      </c>
      <c r="GB131" s="312">
        <f>GB117+GB124</f>
      </c>
      <c r="GC131" s="312">
        <f>GC117+GC124</f>
      </c>
      <c r="GD131" s="312">
        <f>GD117+GD124</f>
      </c>
      <c r="GE131" s="313">
        <f>SUM(GA131:GD131)</f>
      </c>
      <c r="GF131" s="312">
        <f>GF117+GF124</f>
      </c>
      <c r="GG131" s="312">
        <f>GG117+GG124</f>
      </c>
      <c r="GH131" s="312">
        <f>GH117+GH124</f>
      </c>
      <c r="GI131" s="312">
        <f>GI117+GI124</f>
      </c>
      <c r="GJ131" s="385">
        <f>SUM(GF131:GI131)</f>
      </c>
    </row>
    <row r="132" spans="1:192" s="1241" customFormat="1" ht="12.75" customHeight="1">
      <c r="A132" s="1237"/>
      <c r="B132" s="735" t="s">
        <v>34</v>
      </c>
      <c r="C132" s="892"/>
      <c r="D132" s="924"/>
      <c r="E132" s="924"/>
      <c r="F132" s="924"/>
      <c r="G132" s="1240"/>
      <c r="H132" s="892"/>
      <c r="I132" s="924"/>
      <c r="J132" s="924"/>
      <c r="K132" s="924"/>
      <c r="L132" s="1240"/>
      <c r="M132" s="892"/>
      <c r="N132" s="924"/>
      <c r="O132" s="924"/>
      <c r="P132" s="924"/>
      <c r="Q132" s="1240"/>
      <c r="R132" s="892"/>
      <c r="S132" s="924"/>
      <c r="T132" s="924"/>
      <c r="U132" s="924"/>
      <c r="V132" s="1240"/>
      <c r="W132" s="892"/>
      <c r="X132" s="924"/>
      <c r="Y132" s="924"/>
      <c r="Z132" s="924"/>
      <c r="AA132" s="1240"/>
      <c r="AB132" s="892"/>
      <c r="AC132" s="924"/>
      <c r="AD132" s="924"/>
      <c r="AE132" s="924"/>
      <c r="AF132" s="1240"/>
      <c r="AG132" s="892"/>
      <c r="AH132" s="924"/>
      <c r="AI132" s="924"/>
      <c r="AJ132" s="924"/>
      <c r="AK132" s="1240"/>
      <c r="AL132" s="892"/>
      <c r="AM132" s="924"/>
      <c r="AN132" s="924"/>
      <c r="AO132" s="924"/>
      <c r="AP132" s="1240"/>
      <c r="AQ132" s="892"/>
      <c r="AR132" s="924"/>
      <c r="AS132" s="924"/>
      <c r="AT132" s="924"/>
      <c r="AU132" s="1240"/>
      <c r="AV132" s="892"/>
      <c r="AW132" s="924"/>
      <c r="AX132" s="924"/>
      <c r="AY132" s="924"/>
      <c r="AZ132" s="1240"/>
      <c r="BA132" s="892"/>
      <c r="BB132" s="924"/>
      <c r="BC132" s="924"/>
      <c r="BD132" s="924"/>
      <c r="BE132" s="1240"/>
      <c r="BF132" s="892"/>
      <c r="BG132" s="924"/>
      <c r="BH132" s="924"/>
      <c r="BI132" s="924"/>
      <c r="BJ132" s="1240"/>
      <c r="BK132" s="892"/>
      <c r="BL132" s="924"/>
      <c r="BM132" s="924"/>
      <c r="BN132" s="924"/>
      <c r="BO132" s="1240"/>
      <c r="BP132" s="892"/>
      <c r="BQ132" s="924"/>
      <c r="BR132" s="924"/>
      <c r="BS132" s="924"/>
      <c r="BT132" s="1240"/>
      <c r="BU132" s="892"/>
      <c r="BV132" s="924"/>
      <c r="BW132" s="924"/>
      <c r="BX132" s="924"/>
      <c r="BY132" s="1240"/>
      <c r="BZ132" s="892"/>
      <c r="CA132" s="924"/>
      <c r="CB132" s="924"/>
      <c r="CC132" s="924"/>
      <c r="CD132" s="1240"/>
      <c r="CE132" s="892"/>
      <c r="CF132" s="924"/>
      <c r="CG132" s="924"/>
      <c r="CH132" s="924"/>
      <c r="CI132" s="1240"/>
      <c r="CJ132" s="892"/>
      <c r="CK132" s="924"/>
      <c r="CL132" s="924"/>
      <c r="CM132" s="924"/>
      <c r="CN132" s="1240"/>
      <c r="CO132" s="892"/>
      <c r="CP132" s="924"/>
      <c r="CQ132" s="924"/>
      <c r="CR132" s="924"/>
      <c r="CS132" s="1240"/>
      <c r="CT132" s="892"/>
      <c r="CU132" s="892"/>
      <c r="CV132" s="892"/>
      <c r="CW132" s="892"/>
      <c r="CX132" s="1240"/>
      <c r="CY132" s="892"/>
      <c r="CZ132" s="892"/>
      <c r="DA132" s="892"/>
      <c r="DB132" s="892"/>
      <c r="DC132" s="1240"/>
      <c r="DD132" s="892"/>
      <c r="DE132" s="892"/>
      <c r="DF132" s="892"/>
      <c r="DG132" s="892"/>
      <c r="DH132" s="1240"/>
      <c r="DI132" s="892"/>
      <c r="DJ132" s="892"/>
      <c r="DK132" s="892"/>
      <c r="DL132" s="892"/>
      <c r="DM132" s="1240"/>
      <c r="DN132" s="892"/>
      <c r="DO132" s="892"/>
      <c r="DP132" s="892"/>
      <c r="DQ132" s="892"/>
      <c r="DR132" s="1240"/>
      <c r="DS132" s="892"/>
      <c r="DT132" s="892"/>
      <c r="DU132" s="892"/>
      <c r="DV132" s="892"/>
      <c r="DW132" s="1240"/>
      <c r="DX132" s="892"/>
      <c r="DY132" s="892"/>
      <c r="DZ132" s="892"/>
      <c r="EA132" s="892"/>
      <c r="EB132" s="1240"/>
      <c r="EC132" s="892"/>
      <c r="ED132" s="892"/>
      <c r="EE132" s="892"/>
      <c r="EF132" s="892"/>
      <c r="EG132" s="1240"/>
      <c r="EH132" s="892"/>
      <c r="EI132" s="892"/>
      <c r="EJ132" s="892"/>
      <c r="EK132" s="892"/>
      <c r="EL132" s="1240"/>
      <c r="EM132" s="892"/>
      <c r="EN132" s="892"/>
      <c r="EO132" s="892"/>
      <c r="EP132" s="892"/>
      <c r="EQ132" s="1240"/>
      <c r="ER132" s="892"/>
      <c r="ES132" s="892"/>
      <c r="ET132" s="892"/>
      <c r="EU132" s="892"/>
      <c r="EV132" s="1240"/>
      <c r="EW132" s="892">
        <f t="shared" ref="EW132:GE132" si="130">EW131/ER131-1</f>
      </c>
      <c r="EX132" s="892">
        <f t="shared" si="130"/>
      </c>
      <c r="EY132" s="892">
        <f t="shared" si="130"/>
      </c>
      <c r="EZ132" s="892"/>
      <c r="FA132" s="1240"/>
      <c r="FB132" s="892">
        <f t="shared" si="130"/>
      </c>
      <c r="FC132" s="892">
        <f t="shared" si="130"/>
      </c>
      <c r="FD132" s="892">
        <f t="shared" si="130"/>
      </c>
      <c r="FE132" s="892">
        <f t="shared" si="130"/>
      </c>
      <c r="FF132" s="1240">
        <f t="shared" si="130"/>
      </c>
      <c r="FG132" s="892">
        <f t="shared" si="130"/>
      </c>
      <c r="FH132" s="892">
        <f t="shared" si="130"/>
      </c>
      <c r="FI132" s="892">
        <f t="shared" si="130"/>
      </c>
      <c r="FJ132" s="892">
        <f t="shared" si="130"/>
      </c>
      <c r="FK132" s="1240">
        <f t="shared" si="130"/>
      </c>
      <c r="FL132" s="892">
        <f t="shared" si="130"/>
      </c>
      <c r="FM132" s="892">
        <f t="shared" si="130"/>
      </c>
      <c r="FN132" s="892">
        <f t="shared" si="130"/>
      </c>
      <c r="FO132" s="892">
        <f t="shared" si="130"/>
      </c>
      <c r="FP132" s="1240">
        <f t="shared" si="130"/>
      </c>
      <c r="FQ132" s="892">
        <f t="shared" si="130"/>
      </c>
      <c r="FR132" s="892">
        <f t="shared" si="130"/>
      </c>
      <c r="FS132" s="892">
        <f t="shared" si="130"/>
      </c>
      <c r="FT132" s="892">
        <f t="shared" si="130"/>
      </c>
      <c r="FU132" s="1240">
        <f t="shared" si="130"/>
      </c>
      <c r="FV132" s="892">
        <f t="shared" si="130"/>
      </c>
      <c r="FW132" s="924">
        <f t="shared" si="130"/>
      </c>
      <c r="FX132" s="924">
        <f t="shared" si="130"/>
      </c>
      <c r="FY132" s="924">
        <f t="shared" si="130"/>
      </c>
      <c r="FZ132" s="1240">
        <f t="shared" si="130"/>
      </c>
      <c r="GA132" s="892">
        <f t="shared" si="130"/>
      </c>
      <c r="GB132" s="924">
        <f t="shared" si="130"/>
      </c>
      <c r="GC132" s="924">
        <f t="shared" si="130"/>
      </c>
      <c r="GD132" s="924">
        <f t="shared" si="130"/>
      </c>
      <c r="GE132" s="1240">
        <f t="shared" si="130"/>
      </c>
      <c r="GF132" s="892">
        <f t="shared" ref="GF132" si="131">GF131/GA131-1</f>
      </c>
      <c r="GG132" s="924">
        <f t="shared" ref="GG132" si="132">GG131/GB131-1</f>
      </c>
      <c r="GH132" s="924">
        <f t="shared" ref="GH132" si="133">GH131/GC131-1</f>
      </c>
      <c r="GI132" s="924">
        <f t="shared" ref="GI132" si="134">GI131/GD131-1</f>
      </c>
      <c r="GJ132" s="1326">
        <f t="shared" ref="GJ132" si="135">GJ131/GE131-1</f>
      </c>
    </row>
    <row r="133" spans="1:192" s="335" customFormat="1" ht="12.75" customHeight="1">
      <c r="A133" s="790"/>
      <c r="B133" s="735" t="s">
        <v>36</v>
      </c>
      <c r="C133" s="106"/>
      <c r="D133" s="107"/>
      <c r="E133" s="107"/>
      <c r="F133" s="346"/>
      <c r="G133" s="347"/>
      <c r="H133" s="106"/>
      <c r="I133" s="107"/>
      <c r="J133" s="107"/>
      <c r="K133" s="346"/>
      <c r="L133" s="347"/>
      <c r="M133" s="106"/>
      <c r="N133" s="107"/>
      <c r="O133" s="107"/>
      <c r="P133" s="346"/>
      <c r="Q133" s="347"/>
      <c r="R133" s="106"/>
      <c r="S133" s="107"/>
      <c r="T133" s="107"/>
      <c r="U133" s="346"/>
      <c r="V133" s="347"/>
      <c r="W133" s="106"/>
      <c r="X133" s="107"/>
      <c r="Y133" s="107"/>
      <c r="Z133" s="346"/>
      <c r="AA133" s="347"/>
      <c r="AB133" s="106"/>
      <c r="AC133" s="107"/>
      <c r="AD133" s="107"/>
      <c r="AE133" s="346"/>
      <c r="AF133" s="347"/>
      <c r="AG133" s="106"/>
      <c r="AH133" s="107"/>
      <c r="AI133" s="107"/>
      <c r="AJ133" s="346"/>
      <c r="AK133" s="347"/>
      <c r="AL133" s="106"/>
      <c r="AM133" s="107"/>
      <c r="AN133" s="107"/>
      <c r="AO133" s="346"/>
      <c r="AP133" s="347"/>
      <c r="AQ133" s="106"/>
      <c r="AR133" s="107"/>
      <c r="AS133" s="107"/>
      <c r="AT133" s="346"/>
      <c r="AU133" s="347"/>
      <c r="AV133" s="106"/>
      <c r="AW133" s="107"/>
      <c r="AX133" s="107"/>
      <c r="AY133" s="346"/>
      <c r="AZ133" s="347"/>
      <c r="BA133" s="106"/>
      <c r="BB133" s="107"/>
      <c r="BC133" s="107"/>
      <c r="BD133" s="346"/>
      <c r="BE133" s="347"/>
      <c r="BF133" s="106"/>
      <c r="BG133" s="107"/>
      <c r="BH133" s="107"/>
      <c r="BI133" s="346"/>
      <c r="BJ133" s="347"/>
      <c r="BK133" s="106"/>
      <c r="BL133" s="107"/>
      <c r="BM133" s="107"/>
      <c r="BN133" s="346"/>
      <c r="BO133" s="347"/>
      <c r="BP133" s="106"/>
      <c r="BQ133" s="107"/>
      <c r="BR133" s="107"/>
      <c r="BS133" s="346"/>
      <c r="BT133" s="347"/>
      <c r="BU133" s="106"/>
      <c r="BV133" s="107"/>
      <c r="BW133" s="107"/>
      <c r="BX133" s="346"/>
      <c r="BY133" s="347"/>
      <c r="BZ133" s="106"/>
      <c r="CA133" s="107"/>
      <c r="CB133" s="107"/>
      <c r="CC133" s="346"/>
      <c r="CD133" s="347"/>
      <c r="CE133" s="106"/>
      <c r="CF133" s="107"/>
      <c r="CG133" s="107"/>
      <c r="CH133" s="346"/>
      <c r="CI133" s="347"/>
      <c r="CJ133" s="106"/>
      <c r="CK133" s="107"/>
      <c r="CL133" s="107"/>
      <c r="CM133" s="346"/>
      <c r="CN133" s="347"/>
      <c r="CO133" s="106"/>
      <c r="CP133" s="107"/>
      <c r="CQ133" s="107"/>
      <c r="CR133" s="346"/>
      <c r="CS133" s="347"/>
      <c r="CT133" s="106"/>
      <c r="CU133" s="107"/>
      <c r="CV133" s="107"/>
      <c r="CW133" s="346"/>
      <c r="CX133" s="347"/>
      <c r="CY133" s="106"/>
      <c r="CZ133" s="107"/>
      <c r="DA133" s="107"/>
      <c r="DB133" s="346"/>
      <c r="DC133" s="347"/>
      <c r="DD133" s="106"/>
      <c r="DE133" s="107"/>
      <c r="DF133" s="107"/>
      <c r="DG133" s="346"/>
      <c r="DH133" s="347"/>
      <c r="DI133" s="106"/>
      <c r="DJ133" s="107"/>
      <c r="DK133" s="107"/>
      <c r="DL133" s="346"/>
      <c r="DM133" s="347"/>
      <c r="DN133" s="106"/>
      <c r="DO133" s="107"/>
      <c r="DP133" s="107"/>
      <c r="DQ133" s="346"/>
      <c r="DR133" s="347"/>
      <c r="DS133" s="106"/>
      <c r="DT133" s="107"/>
      <c r="DU133" s="107"/>
      <c r="DV133" s="346"/>
      <c r="DW133" s="347"/>
      <c r="DX133" s="106"/>
      <c r="DY133" s="107"/>
      <c r="DZ133" s="107"/>
      <c r="EA133" s="346"/>
      <c r="EB133" s="347"/>
      <c r="EC133" s="106"/>
      <c r="ED133" s="107"/>
      <c r="EE133" s="107"/>
      <c r="EF133" s="346"/>
      <c r="EG133" s="347"/>
      <c r="EH133" s="106"/>
      <c r="EI133" s="107"/>
      <c r="EJ133" s="107"/>
      <c r="EK133" s="346"/>
      <c r="EL133" s="347"/>
      <c r="EM133" s="106"/>
      <c r="EN133" s="107"/>
      <c r="EO133" s="107"/>
      <c r="EP133" s="346"/>
      <c r="EQ133" s="347"/>
      <c r="ER133" s="106"/>
      <c r="ES133" s="107">
        <f>ES131/ER131-1</f>
      </c>
      <c r="ET133" s="107">
        <f>ET131/ES131-1</f>
      </c>
      <c r="EU133" s="346">
        <f>EU131/ET131-1</f>
      </c>
      <c r="EV133" s="347"/>
      <c r="EW133" s="106">
        <f>EW131/EU131-1</f>
      </c>
      <c r="EX133" s="107">
        <f>EX131/EW131-1</f>
      </c>
      <c r="EY133" s="107">
        <f>EY131/EX131-1</f>
      </c>
      <c r="EZ133" s="346">
        <f>EZ131/EY131-1</f>
      </c>
      <c r="FA133" s="347"/>
      <c r="FB133" s="106">
        <f>FB131/EZ131-1</f>
      </c>
      <c r="FC133" s="107">
        <f>FC131/FB131-1</f>
      </c>
      <c r="FD133" s="107">
        <f>FD131/FC131-1</f>
      </c>
      <c r="FE133" s="346">
        <f>FE131/FD131-1</f>
      </c>
      <c r="FF133" s="347"/>
      <c r="FG133" s="106">
        <f>FG131/FE131-1</f>
      </c>
      <c r="FH133" s="107">
        <f>FH131/FG131-1</f>
      </c>
      <c r="FI133" s="107">
        <f>FI131/FH131-1</f>
      </c>
      <c r="FJ133" s="346">
        <f>FJ131/FI131-1</f>
      </c>
      <c r="FK133" s="347"/>
      <c r="FL133" s="106">
        <f>FL131/FJ131-1</f>
      </c>
      <c r="FM133" s="107">
        <f>FM131/FL131-1</f>
      </c>
      <c r="FN133" s="107">
        <f>FN131/FM131-1</f>
      </c>
      <c r="FO133" s="346">
        <f>FO131/FN131-1</f>
      </c>
      <c r="FP133" s="347"/>
      <c r="FQ133" s="106">
        <f>FQ131/FO131-1</f>
      </c>
      <c r="FR133" s="107">
        <f>FR131/FQ131-1</f>
      </c>
      <c r="FS133" s="107">
        <f>FS131/FR131-1</f>
      </c>
      <c r="FT133" s="346">
        <f>FT131/FS131-1</f>
      </c>
      <c r="FU133" s="347"/>
      <c r="FV133" s="106">
        <f>FV131/FT131-1</f>
      </c>
      <c r="FW133" s="107">
        <f>FW131/FV131-1</f>
      </c>
      <c r="FX133" s="107">
        <f>FX131/FW131-1</f>
      </c>
      <c r="FY133" s="346">
        <f>FY131/FX131-1</f>
      </c>
      <c r="FZ133" s="293"/>
      <c r="GA133" s="106">
        <f>GA131/FY131-1</f>
      </c>
      <c r="GB133" s="107">
        <f>GB131/GA131-1</f>
      </c>
      <c r="GC133" s="107">
        <f>GC131/GB131-1</f>
      </c>
      <c r="GD133" s="346">
        <f>GD131/GC131-1</f>
      </c>
      <c r="GE133" s="293"/>
      <c r="GF133" s="106">
        <f>GF131/GD131-1</f>
      </c>
      <c r="GG133" s="107">
        <f>GG131/GF131-1</f>
      </c>
      <c r="GH133" s="107">
        <f>GH131/GG131-1</f>
      </c>
      <c r="GI133" s="346">
        <f>GI131/GH131-1</f>
      </c>
      <c r="GJ133" s="392"/>
    </row>
    <row r="134" spans="1:192" s="490" customFormat="1" ht="12.75" customHeight="1">
      <c r="A134" s="796"/>
      <c r="B134" s="735" t="s">
        <v>243</v>
      </c>
      <c r="C134" s="455"/>
      <c r="D134" s="458"/>
      <c r="E134" s="458"/>
      <c r="F134" s="487"/>
      <c r="G134" s="488"/>
      <c r="H134" s="455"/>
      <c r="I134" s="458"/>
      <c r="J134" s="458"/>
      <c r="K134" s="487"/>
      <c r="L134" s="488"/>
      <c r="M134" s="455"/>
      <c r="N134" s="458"/>
      <c r="O134" s="458"/>
      <c r="P134" s="487"/>
      <c r="Q134" s="488"/>
      <c r="R134" s="455"/>
      <c r="S134" s="458"/>
      <c r="T134" s="458"/>
      <c r="U134" s="487"/>
      <c r="V134" s="488"/>
      <c r="W134" s="455"/>
      <c r="X134" s="458"/>
      <c r="Y134" s="458"/>
      <c r="Z134" s="487"/>
      <c r="AA134" s="488"/>
      <c r="AB134" s="455"/>
      <c r="AC134" s="458"/>
      <c r="AD134" s="458"/>
      <c r="AE134" s="487"/>
      <c r="AF134" s="488"/>
      <c r="AG134" s="455"/>
      <c r="AH134" s="458"/>
      <c r="AI134" s="458"/>
      <c r="AJ134" s="487"/>
      <c r="AK134" s="488"/>
      <c r="AL134" s="455"/>
      <c r="AM134" s="458"/>
      <c r="AN134" s="458"/>
      <c r="AO134" s="487"/>
      <c r="AP134" s="488"/>
      <c r="AQ134" s="455"/>
      <c r="AR134" s="458"/>
      <c r="AS134" s="458"/>
      <c r="AT134" s="487"/>
      <c r="AU134" s="488"/>
      <c r="AV134" s="455"/>
      <c r="AW134" s="458"/>
      <c r="AX134" s="458"/>
      <c r="AY134" s="487"/>
      <c r="AZ134" s="488"/>
      <c r="BA134" s="455"/>
      <c r="BB134" s="458"/>
      <c r="BC134" s="458"/>
      <c r="BD134" s="487"/>
      <c r="BE134" s="488"/>
      <c r="BF134" s="455"/>
      <c r="BG134" s="458"/>
      <c r="BH134" s="458"/>
      <c r="BI134" s="487"/>
      <c r="BJ134" s="488"/>
      <c r="BK134" s="455"/>
      <c r="BL134" s="458"/>
      <c r="BM134" s="458"/>
      <c r="BN134" s="487"/>
      <c r="BO134" s="488"/>
      <c r="BP134" s="455"/>
      <c r="BQ134" s="458"/>
      <c r="BR134" s="458"/>
      <c r="BS134" s="487"/>
      <c r="BT134" s="488"/>
      <c r="BU134" s="455"/>
      <c r="BV134" s="458"/>
      <c r="BW134" s="458"/>
      <c r="BX134" s="487"/>
      <c r="BY134" s="488"/>
      <c r="BZ134" s="455"/>
      <c r="CA134" s="458"/>
      <c r="CB134" s="458"/>
      <c r="CC134" s="487"/>
      <c r="CD134" s="488"/>
      <c r="CE134" s="455"/>
      <c r="CF134" s="458"/>
      <c r="CG134" s="458"/>
      <c r="CH134" s="487"/>
      <c r="CI134" s="488"/>
      <c r="CJ134" s="455"/>
      <c r="CK134" s="458"/>
      <c r="CL134" s="458"/>
      <c r="CM134" s="487"/>
      <c r="CN134" s="488"/>
      <c r="CO134" s="455"/>
      <c r="CP134" s="458"/>
      <c r="CQ134" s="458"/>
      <c r="CR134" s="487"/>
      <c r="CS134" s="488"/>
      <c r="CT134" s="455"/>
      <c r="CU134" s="458"/>
      <c r="CV134" s="458"/>
      <c r="CW134" s="487"/>
      <c r="CX134" s="488"/>
      <c r="CY134" s="455"/>
      <c r="CZ134" s="458"/>
      <c r="DA134" s="458"/>
      <c r="DB134" s="487"/>
      <c r="DC134" s="488"/>
      <c r="DD134" s="455"/>
      <c r="DE134" s="458"/>
      <c r="DF134" s="458"/>
      <c r="DG134" s="487"/>
      <c r="DH134" s="488"/>
      <c r="DI134" s="455"/>
      <c r="DJ134" s="458"/>
      <c r="DK134" s="458"/>
      <c r="DL134" s="487"/>
      <c r="DM134" s="488"/>
      <c r="DN134" s="455"/>
      <c r="DO134" s="458"/>
      <c r="DP134" s="458"/>
      <c r="DQ134" s="487"/>
      <c r="DR134" s="488"/>
      <c r="DS134" s="455"/>
      <c r="DT134" s="458"/>
      <c r="DU134" s="458"/>
      <c r="DV134" s="487"/>
      <c r="DW134" s="488"/>
      <c r="DX134" s="455"/>
      <c r="DY134" s="458"/>
      <c r="DZ134" s="458"/>
      <c r="EA134" s="487"/>
      <c r="EB134" s="488"/>
      <c r="EC134" s="455"/>
      <c r="ED134" s="458"/>
      <c r="EE134" s="458"/>
      <c r="EF134" s="487"/>
      <c r="EG134" s="488"/>
      <c r="EH134" s="455"/>
      <c r="EI134" s="458"/>
      <c r="EJ134" s="458"/>
      <c r="EK134" s="487"/>
      <c r="EL134" s="488"/>
      <c r="EM134" s="455"/>
      <c r="EN134" s="458"/>
      <c r="EO134" s="458"/>
      <c r="EP134" s="487"/>
      <c r="EQ134" s="488"/>
      <c r="ER134" s="455">
        <f t="shared" ref="ER134:GE134" si="136">ER131-EM131</f>
      </c>
      <c r="ES134" s="458">
        <f t="shared" si="136"/>
      </c>
      <c r="ET134" s="458">
        <f t="shared" si="136"/>
      </c>
      <c r="EU134" s="487">
        <f t="shared" si="136"/>
      </c>
      <c r="EV134" s="488">
        <f t="shared" si="136"/>
      </c>
      <c r="EW134" s="455">
        <f t="shared" si="136"/>
      </c>
      <c r="EX134" s="458">
        <f t="shared" si="136"/>
      </c>
      <c r="EY134" s="458">
        <f t="shared" si="136"/>
      </c>
      <c r="EZ134" s="487">
        <f t="shared" ref="EZ134" si="137">EZ131-EU131</f>
      </c>
      <c r="FA134" s="488">
        <f t="shared" si="136"/>
      </c>
      <c r="FB134" s="455">
        <f t="shared" si="136"/>
      </c>
      <c r="FC134" s="458">
        <f t="shared" si="136"/>
      </c>
      <c r="FD134" s="458">
        <f t="shared" si="136"/>
      </c>
      <c r="FE134" s="487">
        <f t="shared" si="136"/>
      </c>
      <c r="FF134" s="488">
        <f t="shared" si="136"/>
      </c>
      <c r="FG134" s="455">
        <f t="shared" si="136"/>
      </c>
      <c r="FH134" s="458">
        <f t="shared" si="136"/>
      </c>
      <c r="FI134" s="458">
        <f t="shared" si="136"/>
      </c>
      <c r="FJ134" s="487">
        <f t="shared" si="136"/>
      </c>
      <c r="FK134" s="488">
        <f t="shared" si="136"/>
      </c>
      <c r="FL134" s="455">
        <f t="shared" si="136"/>
      </c>
      <c r="FM134" s="458">
        <f t="shared" si="136"/>
      </c>
      <c r="FN134" s="458">
        <f t="shared" si="136"/>
      </c>
      <c r="FO134" s="487">
        <f t="shared" si="136"/>
      </c>
      <c r="FP134" s="488">
        <f t="shared" si="136"/>
      </c>
      <c r="FQ134" s="455">
        <f t="shared" si="136"/>
      </c>
      <c r="FR134" s="458">
        <f t="shared" si="136"/>
      </c>
      <c r="FS134" s="458">
        <f t="shared" si="136"/>
      </c>
      <c r="FT134" s="487">
        <f t="shared" si="136"/>
      </c>
      <c r="FU134" s="488">
        <f t="shared" si="136"/>
      </c>
      <c r="FV134" s="455">
        <f t="shared" si="136"/>
      </c>
      <c r="FW134" s="458">
        <f t="shared" si="136"/>
      </c>
      <c r="FX134" s="458">
        <f t="shared" si="136"/>
      </c>
      <c r="FY134" s="487">
        <f t="shared" si="136"/>
      </c>
      <c r="FZ134" s="459">
        <f t="shared" si="136"/>
      </c>
      <c r="GA134" s="455">
        <f t="shared" si="136"/>
      </c>
      <c r="GB134" s="458">
        <f t="shared" si="136"/>
      </c>
      <c r="GC134" s="458">
        <f t="shared" si="136"/>
      </c>
      <c r="GD134" s="487">
        <f t="shared" si="136"/>
      </c>
      <c r="GE134" s="459">
        <f t="shared" si="136"/>
      </c>
      <c r="GF134" s="455">
        <f t="shared" ref="GF134" si="138">GF131-GA131</f>
      </c>
      <c r="GG134" s="458">
        <f t="shared" ref="GG134" si="139">GG131-GB131</f>
      </c>
      <c r="GH134" s="458">
        <f t="shared" ref="GH134" si="140">GH131-GC131</f>
      </c>
      <c r="GI134" s="487">
        <f t="shared" ref="GI134" si="141">GI131-GD131</f>
      </c>
      <c r="GJ134" s="489">
        <f t="shared" ref="GJ134" si="142">GJ131-GE131</f>
      </c>
    </row>
    <row r="135" spans="1:192" s="490" customFormat="1" ht="12.75" customHeight="1">
      <c r="A135" s="796"/>
      <c r="B135" s="735" t="s">
        <v>244</v>
      </c>
      <c r="C135" s="455"/>
      <c r="D135" s="458"/>
      <c r="E135" s="458"/>
      <c r="F135" s="487"/>
      <c r="G135" s="488"/>
      <c r="H135" s="455"/>
      <c r="I135" s="458"/>
      <c r="J135" s="458"/>
      <c r="K135" s="487"/>
      <c r="L135" s="488"/>
      <c r="M135" s="455"/>
      <c r="N135" s="458"/>
      <c r="O135" s="458"/>
      <c r="P135" s="487"/>
      <c r="Q135" s="488"/>
      <c r="R135" s="455"/>
      <c r="S135" s="458"/>
      <c r="T135" s="458"/>
      <c r="U135" s="487"/>
      <c r="V135" s="488"/>
      <c r="W135" s="455"/>
      <c r="X135" s="458"/>
      <c r="Y135" s="458"/>
      <c r="Z135" s="487"/>
      <c r="AA135" s="488"/>
      <c r="AB135" s="455"/>
      <c r="AC135" s="458"/>
      <c r="AD135" s="458"/>
      <c r="AE135" s="487"/>
      <c r="AF135" s="488"/>
      <c r="AG135" s="455"/>
      <c r="AH135" s="458"/>
      <c r="AI135" s="458"/>
      <c r="AJ135" s="487"/>
      <c r="AK135" s="488"/>
      <c r="AL135" s="455"/>
      <c r="AM135" s="458"/>
      <c r="AN135" s="458"/>
      <c r="AO135" s="487"/>
      <c r="AP135" s="488"/>
      <c r="AQ135" s="455"/>
      <c r="AR135" s="458"/>
      <c r="AS135" s="458"/>
      <c r="AT135" s="487"/>
      <c r="AU135" s="488"/>
      <c r="AV135" s="455"/>
      <c r="AW135" s="458"/>
      <c r="AX135" s="458"/>
      <c r="AY135" s="487"/>
      <c r="AZ135" s="488"/>
      <c r="BA135" s="455"/>
      <c r="BB135" s="458"/>
      <c r="BC135" s="458"/>
      <c r="BD135" s="487"/>
      <c r="BE135" s="488"/>
      <c r="BF135" s="455"/>
      <c r="BG135" s="458"/>
      <c r="BH135" s="458"/>
      <c r="BI135" s="487"/>
      <c r="BJ135" s="488"/>
      <c r="BK135" s="455"/>
      <c r="BL135" s="458"/>
      <c r="BM135" s="458"/>
      <c r="BN135" s="487"/>
      <c r="BO135" s="488"/>
      <c r="BP135" s="455"/>
      <c r="BQ135" s="458"/>
      <c r="BR135" s="458"/>
      <c r="BS135" s="487"/>
      <c r="BT135" s="488"/>
      <c r="BU135" s="455"/>
      <c r="BV135" s="458"/>
      <c r="BW135" s="458"/>
      <c r="BX135" s="487"/>
      <c r="BY135" s="488"/>
      <c r="BZ135" s="455"/>
      <c r="CA135" s="458"/>
      <c r="CB135" s="458"/>
      <c r="CC135" s="487"/>
      <c r="CD135" s="488"/>
      <c r="CE135" s="455"/>
      <c r="CF135" s="458"/>
      <c r="CG135" s="458"/>
      <c r="CH135" s="487"/>
      <c r="CI135" s="488"/>
      <c r="CJ135" s="455"/>
      <c r="CK135" s="458"/>
      <c r="CL135" s="458"/>
      <c r="CM135" s="487"/>
      <c r="CN135" s="488"/>
      <c r="CO135" s="455"/>
      <c r="CP135" s="458"/>
      <c r="CQ135" s="458"/>
      <c r="CR135" s="487"/>
      <c r="CS135" s="488"/>
      <c r="CT135" s="455"/>
      <c r="CU135" s="458"/>
      <c r="CV135" s="458"/>
      <c r="CW135" s="487"/>
      <c r="CX135" s="488"/>
      <c r="CY135" s="455"/>
      <c r="CZ135" s="458"/>
      <c r="DA135" s="458"/>
      <c r="DB135" s="487"/>
      <c r="DC135" s="488"/>
      <c r="DD135" s="455"/>
      <c r="DE135" s="458"/>
      <c r="DF135" s="458"/>
      <c r="DG135" s="487"/>
      <c r="DH135" s="488"/>
      <c r="DI135" s="455"/>
      <c r="DJ135" s="458"/>
      <c r="DK135" s="458"/>
      <c r="DL135" s="487"/>
      <c r="DM135" s="488"/>
      <c r="DN135" s="455"/>
      <c r="DO135" s="458"/>
      <c r="DP135" s="458"/>
      <c r="DQ135" s="487"/>
      <c r="DR135" s="488"/>
      <c r="DS135" s="455"/>
      <c r="DT135" s="458"/>
      <c r="DU135" s="458"/>
      <c r="DV135" s="487"/>
      <c r="DW135" s="488"/>
      <c r="DX135" s="455"/>
      <c r="DY135" s="458"/>
      <c r="DZ135" s="458"/>
      <c r="EA135" s="487"/>
      <c r="EB135" s="488"/>
      <c r="EC135" s="455"/>
      <c r="ED135" s="458"/>
      <c r="EE135" s="458"/>
      <c r="EF135" s="487"/>
      <c r="EG135" s="488"/>
      <c r="EH135" s="455"/>
      <c r="EI135" s="458"/>
      <c r="EJ135" s="458"/>
      <c r="EK135" s="487"/>
      <c r="EL135" s="488"/>
      <c r="EM135" s="455"/>
      <c r="EN135" s="458"/>
      <c r="EO135" s="458"/>
      <c r="EP135" s="487"/>
      <c r="EQ135" s="488"/>
      <c r="ER135" s="455">
        <f>ER131-EP131</f>
      </c>
      <c r="ES135" s="458">
        <f>ES131-ER131</f>
      </c>
      <c r="ET135" s="458">
        <f>ET131-ES131</f>
      </c>
      <c r="EU135" s="487">
        <f>EU131-ET131</f>
      </c>
      <c r="EV135" s="488"/>
      <c r="EW135" s="455">
        <f>EW131-EU131</f>
      </c>
      <c r="EX135" s="458">
        <f>EX131-EW131</f>
      </c>
      <c r="EY135" s="458">
        <f>EY131-EX131</f>
      </c>
      <c r="EZ135" s="487">
        <f>EZ131-EY131</f>
      </c>
      <c r="FA135" s="488"/>
      <c r="FB135" s="455">
        <f>FB131-EZ131</f>
      </c>
      <c r="FC135" s="458">
        <f>FC131-FB131</f>
      </c>
      <c r="FD135" s="458">
        <f>FD131-FC131</f>
      </c>
      <c r="FE135" s="487">
        <f>FE131-FD131</f>
      </c>
      <c r="FF135" s="488"/>
      <c r="FG135" s="455">
        <f>FG131-FE131</f>
      </c>
      <c r="FH135" s="458">
        <f>FH131-FG131</f>
      </c>
      <c r="FI135" s="458">
        <f>FI131-FH131</f>
      </c>
      <c r="FJ135" s="487">
        <f>FJ131-FI131</f>
      </c>
      <c r="FK135" s="488"/>
      <c r="FL135" s="455">
        <f>FL131-FJ131</f>
      </c>
      <c r="FM135" s="458">
        <f>FM131-FL131</f>
      </c>
      <c r="FN135" s="458">
        <f>FN131-FM131</f>
      </c>
      <c r="FO135" s="487">
        <f>FO131-FN131</f>
      </c>
      <c r="FP135" s="488"/>
      <c r="FQ135" s="455">
        <f>FQ131-FO131</f>
      </c>
      <c r="FR135" s="458">
        <f>FR131-FQ131</f>
      </c>
      <c r="FS135" s="458">
        <f>FS131-FR131</f>
      </c>
      <c r="FT135" s="487">
        <f>FT131-FS131</f>
      </c>
      <c r="FU135" s="488"/>
      <c r="FV135" s="455">
        <f>FV131-FT131</f>
      </c>
      <c r="FW135" s="458">
        <f>FW131-FV131</f>
      </c>
      <c r="FX135" s="458">
        <f>FX131-FW131</f>
      </c>
      <c r="FY135" s="487">
        <f>FY131-FX131</f>
      </c>
      <c r="FZ135" s="459"/>
      <c r="GA135" s="455">
        <f>GA131-FY131</f>
      </c>
      <c r="GB135" s="458">
        <f>GB131-GA131</f>
      </c>
      <c r="GC135" s="458">
        <f>GC131-GB131</f>
      </c>
      <c r="GD135" s="487">
        <f>GD131-GC131</f>
      </c>
      <c r="GE135" s="459"/>
      <c r="GF135" s="455">
        <f>GF131-GD131</f>
      </c>
      <c r="GG135" s="458">
        <f>GG131-GF131</f>
      </c>
      <c r="GH135" s="458">
        <f>GH131-GG131</f>
      </c>
      <c r="GI135" s="487">
        <f>GI131-GH131</f>
      </c>
      <c r="GJ135" s="489"/>
    </row>
    <row r="136" spans="1:192" s="335" customFormat="1" ht="12.75" customHeight="1">
      <c r="A136" s="790"/>
      <c r="B136" s="735" t="s">
        <v>1884</v>
      </c>
      <c r="C136" s="106"/>
      <c r="D136" s="107"/>
      <c r="E136" s="107"/>
      <c r="F136" s="346"/>
      <c r="G136" s="347"/>
      <c r="H136" s="106"/>
      <c r="I136" s="107"/>
      <c r="J136" s="107"/>
      <c r="K136" s="346"/>
      <c r="L136" s="347"/>
      <c r="M136" s="106"/>
      <c r="N136" s="107"/>
      <c r="O136" s="107"/>
      <c r="P136" s="346"/>
      <c r="Q136" s="347"/>
      <c r="R136" s="106"/>
      <c r="S136" s="107"/>
      <c r="T136" s="107"/>
      <c r="U136" s="346"/>
      <c r="V136" s="347"/>
      <c r="W136" s="106"/>
      <c r="X136" s="107"/>
      <c r="Y136" s="107"/>
      <c r="Z136" s="346"/>
      <c r="AA136" s="347"/>
      <c r="AB136" s="106"/>
      <c r="AC136" s="107"/>
      <c r="AD136" s="107"/>
      <c r="AE136" s="346"/>
      <c r="AF136" s="347"/>
      <c r="AG136" s="106"/>
      <c r="AH136" s="107"/>
      <c r="AI136" s="107"/>
      <c r="AJ136" s="346"/>
      <c r="AK136" s="347"/>
      <c r="AL136" s="106"/>
      <c r="AM136" s="107"/>
      <c r="AN136" s="107"/>
      <c r="AO136" s="346"/>
      <c r="AP136" s="347"/>
      <c r="AQ136" s="106"/>
      <c r="AR136" s="107"/>
      <c r="AS136" s="107"/>
      <c r="AT136" s="346"/>
      <c r="AU136" s="347"/>
      <c r="AV136" s="106"/>
      <c r="AW136" s="107"/>
      <c r="AX136" s="107"/>
      <c r="AY136" s="346"/>
      <c r="AZ136" s="347"/>
      <c r="BA136" s="106"/>
      <c r="BB136" s="107"/>
      <c r="BC136" s="107"/>
      <c r="BD136" s="346"/>
      <c r="BE136" s="347"/>
      <c r="BF136" s="106"/>
      <c r="BG136" s="107"/>
      <c r="BH136" s="107"/>
      <c r="BI136" s="346"/>
      <c r="BJ136" s="347"/>
      <c r="BK136" s="106"/>
      <c r="BL136" s="107"/>
      <c r="BM136" s="107"/>
      <c r="BN136" s="346"/>
      <c r="BO136" s="347"/>
      <c r="BP136" s="106"/>
      <c r="BQ136" s="107"/>
      <c r="BR136" s="107"/>
      <c r="BS136" s="346"/>
      <c r="BT136" s="347"/>
      <c r="BU136" s="106"/>
      <c r="BV136" s="107"/>
      <c r="BW136" s="107"/>
      <c r="BX136" s="346"/>
      <c r="BY136" s="347"/>
      <c r="BZ136" s="106"/>
      <c r="CA136" s="107"/>
      <c r="CB136" s="107"/>
      <c r="CC136" s="346"/>
      <c r="CD136" s="347"/>
      <c r="CE136" s="106"/>
      <c r="CF136" s="107"/>
      <c r="CG136" s="107"/>
      <c r="CH136" s="346"/>
      <c r="CI136" s="347"/>
      <c r="CJ136" s="106"/>
      <c r="CK136" s="107"/>
      <c r="CL136" s="107"/>
      <c r="CM136" s="346"/>
      <c r="CN136" s="347"/>
      <c r="CO136" s="106"/>
      <c r="CP136" s="107"/>
      <c r="CQ136" s="107"/>
      <c r="CR136" s="346"/>
      <c r="CS136" s="347"/>
      <c r="CT136" s="106"/>
      <c r="CU136" s="107"/>
      <c r="CV136" s="107"/>
      <c r="CW136" s="346"/>
      <c r="CX136" s="347"/>
      <c r="CY136" s="106"/>
      <c r="CZ136" s="107"/>
      <c r="DA136" s="107"/>
      <c r="DB136" s="346"/>
      <c r="DC136" s="347"/>
      <c r="DD136" s="106"/>
      <c r="DE136" s="107"/>
      <c r="DF136" s="107"/>
      <c r="DG136" s="346"/>
      <c r="DH136" s="347"/>
      <c r="DI136" s="106"/>
      <c r="DJ136" s="107"/>
      <c r="DK136" s="107"/>
      <c r="DL136" s="346"/>
      <c r="DM136" s="347"/>
      <c r="DN136" s="106"/>
      <c r="DO136" s="107"/>
      <c r="DP136" s="107"/>
      <c r="DQ136" s="346"/>
      <c r="DR136" s="347"/>
      <c r="DS136" s="106"/>
      <c r="DT136" s="107"/>
      <c r="DU136" s="107"/>
      <c r="DV136" s="346"/>
      <c r="DW136" s="347"/>
      <c r="DX136" s="106"/>
      <c r="DY136" s="107"/>
      <c r="DZ136" s="107"/>
      <c r="EA136" s="346"/>
      <c r="EB136" s="347"/>
      <c r="EC136" s="106"/>
      <c r="ED136" s="107"/>
      <c r="EE136" s="107"/>
      <c r="EF136" s="346"/>
      <c r="EG136" s="347"/>
      <c r="EH136" s="106"/>
      <c r="EI136" s="107"/>
      <c r="EJ136" s="107"/>
      <c r="EK136" s="346"/>
      <c r="EL136" s="347"/>
      <c r="EM136" s="106"/>
      <c r="EN136" s="107"/>
      <c r="EO136" s="107"/>
      <c r="EP136" s="346"/>
      <c r="EQ136" s="347"/>
      <c r="ER136" s="106">
        <f t="shared" ref="ER136:GE136" si="143">ER131/ER$10</f>
      </c>
      <c r="ES136" s="107">
        <f t="shared" si="143"/>
      </c>
      <c r="ET136" s="107">
        <f t="shared" si="143"/>
      </c>
      <c r="EU136" s="346">
        <f t="shared" si="143"/>
      </c>
      <c r="EV136" s="347">
        <f t="shared" si="143"/>
      </c>
      <c r="EW136" s="106">
        <f t="shared" si="143"/>
      </c>
      <c r="EX136" s="107">
        <f t="shared" si="143"/>
      </c>
      <c r="EY136" s="107">
        <f t="shared" ref="EY136:FA136" si="144">EY131/EY$10</f>
      </c>
      <c r="EZ136" s="346">
        <f t="shared" si="144"/>
      </c>
      <c r="FA136" s="347">
        <f t="shared" si="144"/>
      </c>
      <c r="FB136" s="106">
        <f t="shared" si="143"/>
      </c>
      <c r="FC136" s="107">
        <f t="shared" si="143"/>
      </c>
      <c r="FD136" s="107">
        <f t="shared" si="143"/>
      </c>
      <c r="FE136" s="346">
        <f t="shared" si="143"/>
      </c>
      <c r="FF136" s="347">
        <f t="shared" si="143"/>
      </c>
      <c r="FG136" s="106">
        <f t="shared" si="143"/>
      </c>
      <c r="FH136" s="107">
        <f t="shared" si="143"/>
      </c>
      <c r="FI136" s="107">
        <f t="shared" si="143"/>
      </c>
      <c r="FJ136" s="346">
        <f t="shared" si="143"/>
      </c>
      <c r="FK136" s="347">
        <f t="shared" si="143"/>
      </c>
      <c r="FL136" s="106">
        <f t="shared" si="143"/>
      </c>
      <c r="FM136" s="107">
        <f t="shared" si="143"/>
      </c>
      <c r="FN136" s="107">
        <f t="shared" si="143"/>
      </c>
      <c r="FO136" s="346">
        <f t="shared" si="143"/>
      </c>
      <c r="FP136" s="347">
        <f t="shared" si="143"/>
      </c>
      <c r="FQ136" s="106">
        <f t="shared" si="143"/>
      </c>
      <c r="FR136" s="107">
        <f t="shared" si="143"/>
      </c>
      <c r="FS136" s="107">
        <f t="shared" si="143"/>
      </c>
      <c r="FT136" s="346">
        <f t="shared" si="143"/>
      </c>
      <c r="FU136" s="347">
        <f t="shared" si="143"/>
      </c>
      <c r="FV136" s="106">
        <f t="shared" si="143"/>
      </c>
      <c r="FW136" s="107">
        <f t="shared" si="143"/>
      </c>
      <c r="FX136" s="107">
        <f t="shared" si="143"/>
      </c>
      <c r="FY136" s="346">
        <f t="shared" si="143"/>
      </c>
      <c r="FZ136" s="293">
        <f t="shared" si="143"/>
      </c>
      <c r="GA136" s="106">
        <f t="shared" si="143"/>
      </c>
      <c r="GB136" s="107">
        <f t="shared" si="143"/>
      </c>
      <c r="GC136" s="107">
        <f t="shared" si="143"/>
      </c>
      <c r="GD136" s="346">
        <f t="shared" si="143"/>
      </c>
      <c r="GE136" s="293">
        <f t="shared" si="143"/>
      </c>
      <c r="GF136" s="106">
        <f t="shared" ref="GF136:GJ136" si="145">GF131/GF$10</f>
      </c>
      <c r="GG136" s="107">
        <f t="shared" si="145"/>
      </c>
      <c r="GH136" s="107">
        <f t="shared" si="145"/>
      </c>
      <c r="GI136" s="346">
        <f t="shared" si="145"/>
      </c>
      <c r="GJ136" s="392">
        <f t="shared" si="145"/>
      </c>
    </row>
    <row r="137" spans="1:192" s="335" customFormat="1" ht="12.75" customHeight="1" thickBot="1">
      <c r="A137" s="790"/>
      <c r="B137" s="743"/>
      <c r="C137" s="387"/>
      <c r="D137" s="388"/>
      <c r="E137" s="388"/>
      <c r="F137" s="389"/>
      <c r="G137" s="390"/>
      <c r="H137" s="387"/>
      <c r="I137" s="388"/>
      <c r="J137" s="388"/>
      <c r="K137" s="389"/>
      <c r="L137" s="390"/>
      <c r="M137" s="387"/>
      <c r="N137" s="388"/>
      <c r="O137" s="388"/>
      <c r="P137" s="389"/>
      <c r="Q137" s="390"/>
      <c r="R137" s="387"/>
      <c r="S137" s="388"/>
      <c r="T137" s="388"/>
      <c r="U137" s="389"/>
      <c r="V137" s="390"/>
      <c r="W137" s="387"/>
      <c r="X137" s="388"/>
      <c r="Y137" s="388"/>
      <c r="Z137" s="389"/>
      <c r="AA137" s="390"/>
      <c r="AB137" s="387"/>
      <c r="AC137" s="388"/>
      <c r="AD137" s="388"/>
      <c r="AE137" s="389"/>
      <c r="AF137" s="390"/>
      <c r="AG137" s="387"/>
      <c r="AH137" s="388"/>
      <c r="AI137" s="388"/>
      <c r="AJ137" s="389"/>
      <c r="AK137" s="390"/>
      <c r="AL137" s="387"/>
      <c r="AM137" s="388"/>
      <c r="AN137" s="388"/>
      <c r="AO137" s="389"/>
      <c r="AP137" s="390"/>
      <c r="AQ137" s="387"/>
      <c r="AR137" s="388"/>
      <c r="AS137" s="388"/>
      <c r="AT137" s="389"/>
      <c r="AU137" s="390"/>
      <c r="AV137" s="387"/>
      <c r="AW137" s="388"/>
      <c r="AX137" s="388"/>
      <c r="AY137" s="389"/>
      <c r="AZ137" s="390"/>
      <c r="BA137" s="387"/>
      <c r="BB137" s="388"/>
      <c r="BC137" s="388"/>
      <c r="BD137" s="389"/>
      <c r="BE137" s="390"/>
      <c r="BF137" s="387"/>
      <c r="BG137" s="388"/>
      <c r="BH137" s="388"/>
      <c r="BI137" s="389"/>
      <c r="BJ137" s="390"/>
      <c r="BK137" s="387"/>
      <c r="BL137" s="388"/>
      <c r="BM137" s="388"/>
      <c r="BN137" s="389"/>
      <c r="BO137" s="390"/>
      <c r="BP137" s="387"/>
      <c r="BQ137" s="388"/>
      <c r="BR137" s="388"/>
      <c r="BS137" s="389"/>
      <c r="BT137" s="390"/>
      <c r="BU137" s="387"/>
      <c r="BV137" s="388"/>
      <c r="BW137" s="388"/>
      <c r="BX137" s="389"/>
      <c r="BY137" s="390"/>
      <c r="BZ137" s="387"/>
      <c r="CA137" s="388"/>
      <c r="CB137" s="388"/>
      <c r="CC137" s="389"/>
      <c r="CD137" s="390"/>
      <c r="CE137" s="387"/>
      <c r="CF137" s="388"/>
      <c r="CG137" s="388"/>
      <c r="CH137" s="389"/>
      <c r="CI137" s="390"/>
      <c r="CJ137" s="387"/>
      <c r="CK137" s="388"/>
      <c r="CL137" s="388"/>
      <c r="CM137" s="389"/>
      <c r="CN137" s="390"/>
      <c r="CO137" s="387"/>
      <c r="CP137" s="388"/>
      <c r="CQ137" s="388"/>
      <c r="CR137" s="389"/>
      <c r="CS137" s="390"/>
      <c r="CT137" s="387"/>
      <c r="CU137" s="388"/>
      <c r="CV137" s="388"/>
      <c r="CW137" s="389"/>
      <c r="CX137" s="390"/>
      <c r="CY137" s="387"/>
      <c r="CZ137" s="388"/>
      <c r="DA137" s="388"/>
      <c r="DB137" s="389"/>
      <c r="DC137" s="390"/>
      <c r="DD137" s="387"/>
      <c r="DE137" s="388"/>
      <c r="DF137" s="388"/>
      <c r="DG137" s="389"/>
      <c r="DH137" s="390"/>
      <c r="DI137" s="387"/>
      <c r="DJ137" s="388"/>
      <c r="DK137" s="388"/>
      <c r="DL137" s="389"/>
      <c r="DM137" s="390"/>
      <c r="DN137" s="387"/>
      <c r="DO137" s="388"/>
      <c r="DP137" s="388"/>
      <c r="DQ137" s="389"/>
      <c r="DR137" s="390"/>
      <c r="DS137" s="387"/>
      <c r="DT137" s="388"/>
      <c r="DU137" s="388"/>
      <c r="DV137" s="389"/>
      <c r="DW137" s="390"/>
      <c r="DX137" s="387"/>
      <c r="DY137" s="388"/>
      <c r="DZ137" s="388"/>
      <c r="EA137" s="389"/>
      <c r="EB137" s="390"/>
      <c r="EC137" s="387"/>
      <c r="ED137" s="388"/>
      <c r="EE137" s="388"/>
      <c r="EF137" s="389"/>
      <c r="EG137" s="390"/>
      <c r="EH137" s="387"/>
      <c r="EI137" s="388"/>
      <c r="EJ137" s="388"/>
      <c r="EK137" s="389"/>
      <c r="EL137" s="390"/>
      <c r="EM137" s="387"/>
      <c r="EN137" s="388"/>
      <c r="EO137" s="388"/>
      <c r="EP137" s="389"/>
      <c r="EQ137" s="390"/>
      <c r="ER137" s="387"/>
      <c r="ES137" s="388"/>
      <c r="ET137" s="388"/>
      <c r="EU137" s="389"/>
      <c r="EV137" s="390"/>
      <c r="EW137" s="387"/>
      <c r="EX137" s="388"/>
      <c r="EY137" s="388"/>
      <c r="EZ137" s="389"/>
      <c r="FA137" s="390"/>
      <c r="FB137" s="387"/>
      <c r="FC137" s="388"/>
      <c r="FD137" s="388"/>
      <c r="FE137" s="389"/>
      <c r="FF137" s="390"/>
      <c r="FG137" s="387"/>
      <c r="FH137" s="388"/>
      <c r="FI137" s="388"/>
      <c r="FJ137" s="389"/>
      <c r="FK137" s="390"/>
      <c r="FL137" s="387"/>
      <c r="FM137" s="388"/>
      <c r="FN137" s="388"/>
      <c r="FO137" s="389"/>
      <c r="FP137" s="390"/>
      <c r="FQ137" s="387"/>
      <c r="FR137" s="388"/>
      <c r="FS137" s="388"/>
      <c r="FT137" s="389"/>
      <c r="FU137" s="390"/>
      <c r="FV137" s="387"/>
      <c r="FW137" s="388"/>
      <c r="FX137" s="388"/>
      <c r="FY137" s="389"/>
      <c r="FZ137" s="1469"/>
      <c r="GA137" s="387"/>
      <c r="GB137" s="388"/>
      <c r="GC137" s="388"/>
      <c r="GD137" s="389"/>
      <c r="GE137" s="1469"/>
      <c r="GF137" s="387"/>
      <c r="GG137" s="388"/>
      <c r="GH137" s="388"/>
      <c r="GI137" s="389"/>
      <c r="GJ137" s="391"/>
    </row>
    <row r="138" spans="1:192" ht="12.75" customHeight="1">
      <c r="EV138" s="1174"/>
      <c r="FA138" s="1174"/>
      <c r="FF138" s="1174"/>
      <c r="FK138" s="1174"/>
      <c r="FP138" s="1174"/>
    </row>
    <row r="140" spans="1:192" ht="12.75" customHeight="1" thickBot="1">
      <c r="B140" s="702"/>
      <c r="C140" s="248"/>
      <c r="D140" s="266"/>
      <c r="E140" s="266"/>
      <c r="F140" s="266"/>
      <c r="G140" s="266"/>
      <c r="H140" s="248"/>
      <c r="I140" s="266"/>
      <c r="J140" s="266"/>
      <c r="K140" s="266"/>
      <c r="L140" s="266"/>
      <c r="M140" s="248"/>
      <c r="N140" s="266"/>
      <c r="O140" s="266"/>
      <c r="P140" s="266"/>
      <c r="Q140" s="266"/>
      <c r="R140" s="248"/>
      <c r="S140" s="266"/>
      <c r="T140" s="266"/>
      <c r="U140" s="266"/>
      <c r="V140" s="266"/>
      <c r="W140" s="248"/>
      <c r="X140" s="266"/>
      <c r="Y140" s="266"/>
      <c r="Z140" s="266"/>
      <c r="AA140" s="266"/>
      <c r="AB140" s="248"/>
      <c r="AC140" s="266"/>
      <c r="AD140" s="266"/>
      <c r="AE140" s="266"/>
      <c r="AF140" s="266"/>
      <c r="AG140" s="248"/>
      <c r="AH140" s="266"/>
      <c r="AI140" s="266"/>
      <c r="AJ140" s="266"/>
      <c r="AK140" s="266"/>
      <c r="AL140" s="248"/>
      <c r="AM140" s="266"/>
      <c r="AN140" s="266"/>
      <c r="AO140" s="266"/>
      <c r="AP140" s="266"/>
      <c r="AQ140" s="248"/>
      <c r="AR140" s="266"/>
      <c r="AS140" s="266"/>
      <c r="AT140" s="266"/>
      <c r="AU140" s="266"/>
      <c r="AV140" s="248"/>
      <c r="AW140" s="266"/>
      <c r="AX140" s="266"/>
      <c r="AY140" s="266"/>
      <c r="AZ140" s="266"/>
      <c r="BA140" s="248"/>
      <c r="BB140" s="266"/>
      <c r="BC140" s="266"/>
      <c r="BD140" s="266"/>
      <c r="BE140" s="266"/>
      <c r="BF140" s="248"/>
      <c r="BG140" s="266"/>
      <c r="BH140" s="266"/>
      <c r="BI140" s="266"/>
      <c r="BJ140" s="266"/>
      <c r="BK140" s="248"/>
      <c r="BL140" s="266"/>
      <c r="BM140" s="266"/>
      <c r="BN140" s="266"/>
      <c r="BO140" s="266"/>
      <c r="BP140" s="248"/>
      <c r="BQ140" s="266"/>
      <c r="BR140" s="266"/>
      <c r="BS140" s="266"/>
      <c r="BT140" s="266"/>
      <c r="BU140" s="248"/>
      <c r="BV140" s="266"/>
      <c r="BW140" s="266"/>
      <c r="BX140" s="266"/>
      <c r="BY140" s="266"/>
      <c r="BZ140" s="248"/>
      <c r="CA140" s="266"/>
      <c r="CB140" s="266"/>
      <c r="CC140" s="266"/>
      <c r="CD140" s="251"/>
      <c r="CE140" s="248"/>
      <c r="CF140" s="266"/>
      <c r="CG140" s="266"/>
      <c r="CH140" s="266"/>
      <c r="CI140" s="251"/>
      <c r="CJ140" s="248"/>
      <c r="CK140" s="266"/>
      <c r="CL140" s="266"/>
      <c r="CM140" s="266"/>
      <c r="CN140" s="251"/>
      <c r="CO140" s="248"/>
      <c r="CP140" s="266"/>
      <c r="CQ140" s="266"/>
      <c r="CR140" s="266"/>
      <c r="CS140" s="251"/>
      <c r="CT140" s="248"/>
      <c r="CU140" s="266"/>
      <c r="CV140" s="266"/>
      <c r="CW140" s="266"/>
      <c r="CX140" s="251"/>
      <c r="CY140" s="248"/>
      <c r="CZ140" s="266"/>
      <c r="DA140" s="266"/>
      <c r="DB140" s="266"/>
      <c r="DC140" s="251"/>
      <c r="DD140" s="248"/>
      <c r="DE140" s="266"/>
      <c r="DF140" s="266"/>
      <c r="DG140" s="266"/>
      <c r="DH140" s="251"/>
      <c r="DI140" s="248"/>
      <c r="DJ140" s="517"/>
      <c r="DK140" s="266"/>
      <c r="DL140" s="266"/>
      <c r="DM140" s="251"/>
      <c r="DN140" s="248"/>
      <c r="DO140" s="266"/>
      <c r="DP140" s="266"/>
      <c r="DQ140" s="266"/>
      <c r="DR140" s="251"/>
      <c r="DS140" s="248"/>
      <c r="DT140" s="266"/>
      <c r="DU140" s="266"/>
      <c r="DV140" s="266"/>
      <c r="DW140" s="251"/>
      <c r="DX140" s="248"/>
      <c r="DY140" s="266"/>
      <c r="DZ140" s="266"/>
      <c r="EA140" s="266"/>
      <c r="EB140" s="251"/>
      <c r="EC140" s="248"/>
      <c r="ED140" s="266"/>
      <c r="EE140" s="266"/>
      <c r="EF140" s="266"/>
      <c r="EG140" s="251"/>
      <c r="EH140" s="248"/>
      <c r="EI140" s="266"/>
      <c r="EJ140" s="266"/>
      <c r="EK140" s="266"/>
      <c r="EL140" s="251"/>
      <c r="EM140" s="248"/>
      <c r="EN140" s="266"/>
      <c r="EO140" s="266"/>
      <c r="EP140" s="266"/>
      <c r="EQ140" s="251"/>
      <c r="ER140" s="248"/>
      <c r="ES140" s="266"/>
      <c r="ET140" s="266"/>
      <c r="EU140" s="266"/>
      <c r="EV140" s="266"/>
      <c r="EW140" s="248"/>
      <c r="EX140" s="266"/>
      <c r="EY140" s="266"/>
      <c r="EZ140" s="266"/>
      <c r="FA140" s="266"/>
      <c r="FB140" s="248"/>
      <c r="FC140" s="266"/>
      <c r="FD140" s="266"/>
      <c r="FE140" s="266"/>
      <c r="FF140" s="266"/>
      <c r="FG140" s="248"/>
      <c r="FH140" s="266"/>
      <c r="FI140" s="266"/>
      <c r="FJ140" s="266"/>
      <c r="FK140" s="266"/>
      <c r="FL140" s="248"/>
      <c r="FM140" s="266"/>
      <c r="FN140" s="266"/>
      <c r="FO140" s="266"/>
      <c r="FP140" s="266"/>
      <c r="FQ140" s="248"/>
      <c r="FR140" s="266"/>
      <c r="FS140" s="266"/>
      <c r="FT140" s="266"/>
      <c r="FU140" s="266"/>
      <c r="FV140" s="248"/>
      <c r="FW140" s="266"/>
      <c r="FX140" s="266"/>
      <c r="FY140" s="266"/>
      <c r="FZ140" s="266"/>
      <c r="GA140" s="248"/>
      <c r="GB140" s="266"/>
      <c r="GC140" s="266"/>
      <c r="GD140" s="266"/>
      <c r="GE140" s="266"/>
      <c r="GF140" s="248"/>
      <c r="GG140" s="266"/>
      <c r="GH140" s="266"/>
      <c r="GI140" s="266"/>
      <c r="GJ140" s="266"/>
    </row>
    <row r="141" spans="1:192" ht="12.75" customHeight="1" thickBot="1">
      <c r="B141" s="731" t="s">
        <v>1968</v>
      </c>
      <c r="C141" s="396"/>
      <c r="D141" s="397"/>
      <c r="E141" s="397"/>
      <c r="F141" s="397"/>
      <c r="G141" s="397"/>
      <c r="H141" s="396"/>
      <c r="I141" s="397"/>
      <c r="J141" s="397"/>
      <c r="K141" s="397"/>
      <c r="L141" s="397"/>
      <c r="M141" s="396"/>
      <c r="N141" s="397"/>
      <c r="O141" s="397"/>
      <c r="P141" s="397"/>
      <c r="Q141" s="397"/>
      <c r="R141" s="396"/>
      <c r="S141" s="397"/>
      <c r="T141" s="397"/>
      <c r="U141" s="397"/>
      <c r="V141" s="397"/>
      <c r="W141" s="396"/>
      <c r="X141" s="397"/>
      <c r="Y141" s="397"/>
      <c r="Z141" s="397"/>
      <c r="AA141" s="397"/>
      <c r="AB141" s="396"/>
      <c r="AC141" s="397"/>
      <c r="AD141" s="397"/>
      <c r="AE141" s="397"/>
      <c r="AF141" s="397"/>
      <c r="AG141" s="396"/>
      <c r="AH141" s="397"/>
      <c r="AI141" s="397"/>
      <c r="AJ141" s="397"/>
      <c r="AK141" s="397"/>
      <c r="AL141" s="396"/>
      <c r="AM141" s="397"/>
      <c r="AN141" s="397"/>
      <c r="AO141" s="397"/>
      <c r="AP141" s="397"/>
      <c r="AQ141" s="396"/>
      <c r="AR141" s="397"/>
      <c r="AS141" s="397"/>
      <c r="AT141" s="397"/>
      <c r="AU141" s="397"/>
      <c r="AV141" s="396"/>
      <c r="AW141" s="397"/>
      <c r="AX141" s="397"/>
      <c r="AY141" s="397"/>
      <c r="AZ141" s="397"/>
      <c r="BA141" s="396"/>
      <c r="BB141" s="397"/>
      <c r="BC141" s="397"/>
      <c r="BD141" s="397"/>
      <c r="BE141" s="397"/>
      <c r="BF141" s="396"/>
      <c r="BG141" s="397"/>
      <c r="BH141" s="397"/>
      <c r="BI141" s="397"/>
      <c r="BJ141" s="397"/>
      <c r="BK141" s="396"/>
      <c r="BL141" s="397"/>
      <c r="BM141" s="397"/>
      <c r="BN141" s="397"/>
      <c r="BO141" s="397"/>
      <c r="BP141" s="396"/>
      <c r="BQ141" s="397"/>
      <c r="BR141" s="397"/>
      <c r="BS141" s="397"/>
      <c r="BT141" s="397"/>
      <c r="BU141" s="396"/>
      <c r="BV141" s="397"/>
      <c r="BW141" s="397"/>
      <c r="BX141" s="397"/>
      <c r="BY141" s="397"/>
      <c r="BZ141" s="396"/>
      <c r="CA141" s="397"/>
      <c r="CB141" s="397"/>
      <c r="CC141" s="397"/>
      <c r="CD141" s="430"/>
      <c r="CE141" s="396"/>
      <c r="CF141" s="397"/>
      <c r="CG141" s="397"/>
      <c r="CH141" s="397"/>
      <c r="CI141" s="430"/>
      <c r="CJ141" s="396"/>
      <c r="CK141" s="397"/>
      <c r="CL141" s="397"/>
      <c r="CM141" s="397"/>
      <c r="CN141" s="430"/>
      <c r="CO141" s="396"/>
      <c r="CP141" s="397"/>
      <c r="CQ141" s="397"/>
      <c r="CR141" s="397"/>
      <c r="CS141" s="430"/>
      <c r="CT141" s="396"/>
      <c r="CU141" s="397"/>
      <c r="CV141" s="397"/>
      <c r="CW141" s="397"/>
      <c r="CX141" s="430"/>
      <c r="CY141" s="396"/>
      <c r="CZ141" s="397"/>
      <c r="DA141" s="397"/>
      <c r="DB141" s="397"/>
      <c r="DC141" s="430"/>
      <c r="DD141" s="396"/>
      <c r="DE141" s="397"/>
      <c r="DF141" s="397"/>
      <c r="DG141" s="397"/>
      <c r="DH141" s="430"/>
      <c r="DI141" s="396"/>
      <c r="DJ141" s="397"/>
      <c r="DK141" s="397"/>
      <c r="DL141" s="397"/>
      <c r="DM141" s="430"/>
      <c r="DN141" s="396"/>
      <c r="DO141" s="397"/>
      <c r="DP141" s="397"/>
      <c r="DQ141" s="397"/>
      <c r="DR141" s="430"/>
      <c r="DS141" s="396"/>
      <c r="DT141" s="397"/>
      <c r="DU141" s="397"/>
      <c r="DV141" s="397"/>
      <c r="DW141" s="430"/>
      <c r="DX141" s="396"/>
      <c r="DY141" s="397"/>
      <c r="DZ141" s="397"/>
      <c r="EA141" s="397"/>
      <c r="EB141" s="430"/>
      <c r="EC141" s="396"/>
      <c r="ED141" s="397"/>
      <c r="EE141" s="397"/>
      <c r="EF141" s="397"/>
      <c r="EG141" s="430"/>
      <c r="EH141" s="396"/>
      <c r="EI141" s="397"/>
      <c r="EJ141" s="397"/>
      <c r="EK141" s="397"/>
      <c r="EL141" s="430"/>
      <c r="EM141" s="396"/>
      <c r="EN141" s="397"/>
      <c r="EO141" s="397"/>
      <c r="EP141" s="397"/>
      <c r="EQ141" s="430"/>
      <c r="ER141" s="396"/>
      <c r="ES141" s="397"/>
      <c r="ET141" s="397"/>
      <c r="EU141" s="397"/>
      <c r="EV141" s="397"/>
      <c r="EW141" s="396"/>
      <c r="EX141" s="397"/>
      <c r="EY141" s="397"/>
      <c r="EZ141" s="397"/>
      <c r="FA141" s="397"/>
      <c r="FB141" s="396"/>
      <c r="FC141" s="397"/>
      <c r="FD141" s="397"/>
      <c r="FE141" s="397"/>
      <c r="FF141" s="397"/>
      <c r="FG141" s="396"/>
      <c r="FH141" s="397"/>
      <c r="FI141" s="397"/>
      <c r="FJ141" s="397"/>
      <c r="FK141" s="397"/>
      <c r="FL141" s="396"/>
      <c r="FM141" s="397"/>
      <c r="FN141" s="397"/>
      <c r="FO141" s="397"/>
      <c r="FP141" s="397"/>
      <c r="FQ141" s="396"/>
      <c r="FR141" s="397"/>
      <c r="FS141" s="397"/>
      <c r="FT141" s="397"/>
      <c r="FU141" s="397"/>
      <c r="FV141" s="396"/>
      <c r="FW141" s="397"/>
      <c r="FX141" s="397"/>
      <c r="FY141" s="397"/>
      <c r="FZ141" s="397"/>
      <c r="GA141" s="396"/>
      <c r="GB141" s="397"/>
      <c r="GC141" s="397"/>
      <c r="GD141" s="397"/>
      <c r="GE141" s="397"/>
      <c r="GF141" s="396"/>
      <c r="GG141" s="397"/>
      <c r="GH141" s="397"/>
      <c r="GI141" s="397"/>
      <c r="GJ141" s="398"/>
    </row>
    <row r="142" spans="1:192" ht="12.75" customHeight="1">
      <c r="B142" s="738"/>
      <c r="C142" s="294"/>
      <c r="D142" s="295"/>
      <c r="E142" s="295"/>
      <c r="F142" s="295"/>
      <c r="G142" s="296"/>
      <c r="H142" s="294"/>
      <c r="I142" s="295"/>
      <c r="J142" s="295"/>
      <c r="K142" s="295"/>
      <c r="L142" s="296"/>
      <c r="M142" s="294"/>
      <c r="N142" s="295"/>
      <c r="O142" s="295"/>
      <c r="P142" s="295"/>
      <c r="Q142" s="296"/>
      <c r="R142" s="294"/>
      <c r="S142" s="295"/>
      <c r="T142" s="295"/>
      <c r="U142" s="295"/>
      <c r="V142" s="296"/>
      <c r="W142" s="294"/>
      <c r="X142" s="295"/>
      <c r="Y142" s="295"/>
      <c r="Z142" s="295"/>
      <c r="AA142" s="296"/>
      <c r="AB142" s="294"/>
      <c r="AC142" s="295"/>
      <c r="AD142" s="295"/>
      <c r="AE142" s="295"/>
      <c r="AF142" s="296"/>
      <c r="AG142" s="294"/>
      <c r="AH142" s="295"/>
      <c r="AI142" s="295"/>
      <c r="AJ142" s="295"/>
      <c r="AK142" s="296"/>
      <c r="AL142" s="294"/>
      <c r="AM142" s="295"/>
      <c r="AN142" s="295"/>
      <c r="AO142" s="295"/>
      <c r="AP142" s="296"/>
      <c r="AQ142" s="294"/>
      <c r="AR142" s="295"/>
      <c r="AS142" s="295"/>
      <c r="AT142" s="295"/>
      <c r="AU142" s="296"/>
      <c r="AV142" s="294"/>
      <c r="AW142" s="295"/>
      <c r="AX142" s="295"/>
      <c r="AY142" s="295"/>
      <c r="AZ142" s="296"/>
      <c r="BA142" s="294"/>
      <c r="BB142" s="295"/>
      <c r="BC142" s="295"/>
      <c r="BD142" s="295"/>
      <c r="BE142" s="296"/>
      <c r="BF142" s="294"/>
      <c r="BG142" s="295"/>
      <c r="BH142" s="295"/>
      <c r="BI142" s="295"/>
      <c r="BJ142" s="296"/>
      <c r="BK142" s="294"/>
      <c r="BL142" s="295"/>
      <c r="BM142" s="295"/>
      <c r="BN142" s="295"/>
      <c r="BO142" s="296"/>
      <c r="BP142" s="294"/>
      <c r="BQ142" s="295"/>
      <c r="BR142" s="295"/>
      <c r="BS142" s="295"/>
      <c r="BT142" s="296"/>
      <c r="BU142" s="294"/>
      <c r="BV142" s="295"/>
      <c r="BW142" s="295"/>
      <c r="BX142" s="295"/>
      <c r="BY142" s="296"/>
      <c r="BZ142" s="294"/>
      <c r="CA142" s="295"/>
      <c r="CB142" s="295"/>
      <c r="CC142" s="295"/>
      <c r="CD142" s="293"/>
      <c r="CE142" s="294"/>
      <c r="CF142" s="295"/>
      <c r="CG142" s="295"/>
      <c r="CH142" s="295"/>
      <c r="CI142" s="293"/>
      <c r="CJ142" s="294"/>
      <c r="CK142" s="295"/>
      <c r="CL142" s="295"/>
      <c r="CM142" s="295"/>
      <c r="CN142" s="293"/>
      <c r="CO142" s="294"/>
      <c r="CP142" s="295"/>
      <c r="CQ142" s="295"/>
      <c r="CR142" s="295"/>
      <c r="CS142" s="293"/>
      <c r="CT142" s="294"/>
      <c r="CU142" s="295"/>
      <c r="CV142" s="295"/>
      <c r="CW142" s="295"/>
      <c r="CX142" s="293"/>
      <c r="CY142" s="294"/>
      <c r="CZ142" s="295"/>
      <c r="DA142" s="295"/>
      <c r="DB142" s="295"/>
      <c r="DC142" s="520"/>
      <c r="DD142" s="521"/>
      <c r="DE142" s="522"/>
      <c r="DF142" s="522"/>
      <c r="DG142" s="522"/>
      <c r="DH142" s="520"/>
      <c r="DI142" s="521"/>
      <c r="DJ142" s="522"/>
      <c r="DK142" s="522"/>
      <c r="DL142" s="522"/>
      <c r="DM142" s="520"/>
      <c r="DN142" s="521"/>
      <c r="DO142" s="522"/>
      <c r="DP142" s="522"/>
      <c r="DQ142" s="522"/>
      <c r="DR142" s="520"/>
      <c r="DS142" s="294"/>
      <c r="DT142" s="295"/>
      <c r="DU142" s="295"/>
      <c r="DV142" s="295"/>
      <c r="DW142" s="293"/>
      <c r="DX142" s="294"/>
      <c r="DY142" s="295"/>
      <c r="DZ142" s="295"/>
      <c r="EA142" s="295"/>
      <c r="EB142" s="293"/>
      <c r="EC142" s="294"/>
      <c r="ED142" s="295"/>
      <c r="EE142" s="295"/>
      <c r="EF142" s="295"/>
      <c r="EG142" s="293"/>
      <c r="EH142" s="294"/>
      <c r="EI142" s="295"/>
      <c r="EJ142" s="295"/>
      <c r="EK142" s="295"/>
      <c r="EL142" s="293"/>
      <c r="EM142" s="495"/>
      <c r="EN142" s="295"/>
      <c r="EO142" s="295"/>
      <c r="EP142" s="295"/>
      <c r="EQ142" s="293"/>
      <c r="ER142" s="294"/>
      <c r="ES142" s="295"/>
      <c r="ET142" s="295"/>
      <c r="EU142" s="295"/>
      <c r="EV142" s="293"/>
      <c r="EW142" s="294"/>
      <c r="EX142" s="295"/>
      <c r="EY142" s="295"/>
      <c r="EZ142" s="295"/>
      <c r="FA142" s="296"/>
      <c r="FB142" s="294"/>
      <c r="FC142" s="295"/>
      <c r="FD142" s="295"/>
      <c r="FE142" s="295"/>
      <c r="FF142" s="296"/>
      <c r="FG142" s="294"/>
      <c r="FH142" s="295"/>
      <c r="FI142" s="295"/>
      <c r="FJ142" s="295"/>
      <c r="FK142" s="296"/>
      <c r="FL142" s="294"/>
      <c r="FM142" s="295"/>
      <c r="FN142" s="295"/>
      <c r="FO142" s="295"/>
      <c r="FP142" s="296"/>
      <c r="FQ142" s="294"/>
      <c r="FR142" s="295"/>
      <c r="FS142" s="295"/>
      <c r="FT142" s="295"/>
      <c r="FU142" s="296"/>
      <c r="FV142" s="294"/>
      <c r="FW142" s="295"/>
      <c r="FX142" s="295"/>
      <c r="FY142" s="295"/>
      <c r="FZ142" s="296"/>
      <c r="GA142" s="294"/>
      <c r="GB142" s="295"/>
      <c r="GC142" s="295"/>
      <c r="GD142" s="295"/>
      <c r="GE142" s="296"/>
      <c r="GF142" s="294"/>
      <c r="GG142" s="295"/>
      <c r="GH142" s="295"/>
      <c r="GI142" s="295"/>
      <c r="GJ142" s="383"/>
    </row>
    <row r="143" spans="1:192" ht="12.75" customHeight="1">
      <c r="B143" s="733" t="s">
        <v>1983</v>
      </c>
      <c r="C143" s="294"/>
      <c r="D143" s="295"/>
      <c r="E143" s="295"/>
      <c r="F143" s="295"/>
      <c r="G143" s="296"/>
      <c r="H143" s="294"/>
      <c r="I143" s="295"/>
      <c r="J143" s="295"/>
      <c r="K143" s="295"/>
      <c r="L143" s="296"/>
      <c r="M143" s="294"/>
      <c r="N143" s="295"/>
      <c r="O143" s="295"/>
      <c r="P143" s="295"/>
      <c r="Q143" s="296"/>
      <c r="R143" s="294"/>
      <c r="S143" s="295"/>
      <c r="T143" s="295"/>
      <c r="U143" s="295"/>
      <c r="V143" s="296"/>
      <c r="W143" s="294"/>
      <c r="X143" s="295"/>
      <c r="Y143" s="295"/>
      <c r="Z143" s="295"/>
      <c r="AA143" s="296"/>
      <c r="AB143" s="294"/>
      <c r="AC143" s="295"/>
      <c r="AD143" s="295"/>
      <c r="AE143" s="295"/>
      <c r="AF143" s="296"/>
      <c r="AG143" s="294"/>
      <c r="AH143" s="295"/>
      <c r="AI143" s="295"/>
      <c r="AJ143" s="295"/>
      <c r="AK143" s="296"/>
      <c r="AL143" s="294"/>
      <c r="AM143" s="295"/>
      <c r="AN143" s="295"/>
      <c r="AO143" s="295"/>
      <c r="AP143" s="296"/>
      <c r="AQ143" s="294"/>
      <c r="AR143" s="295"/>
      <c r="AS143" s="295"/>
      <c r="AT143" s="295"/>
      <c r="AU143" s="296"/>
      <c r="AV143" s="294"/>
      <c r="AW143" s="295"/>
      <c r="AX143" s="295"/>
      <c r="AY143" s="295"/>
      <c r="AZ143" s="296"/>
      <c r="BA143" s="294"/>
      <c r="BB143" s="295"/>
      <c r="BC143" s="295"/>
      <c r="BD143" s="295"/>
      <c r="BE143" s="296"/>
      <c r="BF143" s="294"/>
      <c r="BG143" s="295"/>
      <c r="BH143" s="295"/>
      <c r="BI143" s="295"/>
      <c r="BJ143" s="296"/>
      <c r="BK143" s="294"/>
      <c r="BL143" s="295"/>
      <c r="BM143" s="295"/>
      <c r="BN143" s="295"/>
      <c r="BO143" s="296"/>
      <c r="BP143" s="294"/>
      <c r="BQ143" s="295"/>
      <c r="BR143" s="295"/>
      <c r="BS143" s="295"/>
      <c r="BT143" s="296"/>
      <c r="BU143" s="294"/>
      <c r="BV143" s="295"/>
      <c r="BW143" s="295"/>
      <c r="BX143" s="295"/>
      <c r="BY143" s="296"/>
      <c r="BZ143" s="294"/>
      <c r="CA143" s="295"/>
      <c r="CB143" s="295"/>
      <c r="CC143" s="295"/>
      <c r="CD143" s="293"/>
      <c r="CE143" s="294"/>
      <c r="CF143" s="295"/>
      <c r="CG143" s="295"/>
      <c r="CH143" s="295"/>
      <c r="CI143" s="293"/>
      <c r="CJ143" s="294"/>
      <c r="CK143" s="295"/>
      <c r="CL143" s="295"/>
      <c r="CM143" s="295"/>
      <c r="CN143" s="293"/>
      <c r="CO143" s="294"/>
      <c r="CP143" s="295"/>
      <c r="CQ143" s="295"/>
      <c r="CR143" s="295"/>
      <c r="CS143" s="293"/>
      <c r="CT143" s="294"/>
      <c r="CU143" s="295"/>
      <c r="CV143" s="295"/>
      <c r="CW143" s="295"/>
      <c r="CX143" s="293"/>
      <c r="CY143" s="294"/>
      <c r="CZ143" s="295"/>
      <c r="DA143" s="295"/>
      <c r="DB143" s="295"/>
      <c r="DC143" s="520"/>
      <c r="DD143" s="521"/>
      <c r="DE143" s="522"/>
      <c r="DF143" s="522"/>
      <c r="DG143" s="522"/>
      <c r="DH143" s="520"/>
      <c r="DI143" s="521"/>
      <c r="DJ143" s="522"/>
      <c r="DK143" s="522"/>
      <c r="DL143" s="522"/>
      <c r="DM143" s="520"/>
      <c r="DN143" s="521"/>
      <c r="DO143" s="522"/>
      <c r="DP143" s="522"/>
      <c r="DQ143" s="522"/>
      <c r="DR143" s="520"/>
      <c r="DS143" s="294"/>
      <c r="DT143" s="295"/>
      <c r="DU143" s="295"/>
      <c r="DV143" s="295"/>
      <c r="DW143" s="293"/>
      <c r="DX143" s="294"/>
      <c r="DY143" s="295"/>
      <c r="DZ143" s="295"/>
      <c r="EA143" s="295"/>
      <c r="EB143" s="293"/>
      <c r="EC143" s="294"/>
      <c r="ED143" s="295"/>
      <c r="EE143" s="295"/>
      <c r="EF143" s="295"/>
      <c r="EG143" s="293"/>
      <c r="EH143" s="294"/>
      <c r="EI143" s="295"/>
      <c r="EJ143" s="295"/>
      <c r="EK143" s="295"/>
      <c r="EL143" s="293"/>
      <c r="EM143" s="294"/>
      <c r="EN143" s="295"/>
      <c r="EO143" s="295"/>
      <c r="EP143" s="295"/>
      <c r="EQ143" s="296"/>
      <c r="ER143" s="294"/>
      <c r="ES143" s="295"/>
      <c r="ET143" s="295"/>
      <c r="EU143" s="295"/>
      <c r="EV143" s="296"/>
      <c r="EW143" s="294"/>
      <c r="EX143" s="295"/>
      <c r="EY143" s="295"/>
      <c r="EZ143" s="295"/>
      <c r="FA143" s="296"/>
      <c r="FB143" s="294"/>
      <c r="FC143" s="295"/>
      <c r="FD143" s="295"/>
      <c r="FE143" s="295"/>
      <c r="FF143" s="296"/>
      <c r="FG143" s="294"/>
      <c r="FH143" s="295"/>
      <c r="FI143" s="295"/>
      <c r="FJ143" s="295"/>
      <c r="FK143" s="296"/>
      <c r="FL143" s="294"/>
      <c r="FM143" s="295"/>
      <c r="FN143" s="295"/>
      <c r="FO143" s="295"/>
      <c r="FP143" s="296"/>
      <c r="FQ143" s="294"/>
      <c r="FR143" s="295"/>
      <c r="FS143" s="295"/>
      <c r="FT143" s="295"/>
      <c r="FU143" s="296"/>
      <c r="FV143" s="294"/>
      <c r="FW143" s="295"/>
      <c r="FX143" s="295"/>
      <c r="FY143" s="295"/>
      <c r="FZ143" s="296"/>
      <c r="GA143" s="294"/>
      <c r="GB143" s="295"/>
      <c r="GC143" s="295"/>
      <c r="GD143" s="295"/>
      <c r="GE143" s="296"/>
      <c r="GF143" s="294"/>
      <c r="GG143" s="295"/>
      <c r="GH143" s="295"/>
      <c r="GI143" s="295"/>
      <c r="GJ143" s="383"/>
    </row>
    <row r="144" spans="1:192" s="317" customFormat="1" ht="12.75" hidden="1" customHeight="1" outlineLevel="1">
      <c r="A144" s="280"/>
      <c r="B144" s="739" t="s">
        <v>1969</v>
      </c>
      <c r="C144" s="312"/>
      <c r="D144" s="312"/>
      <c r="E144" s="312"/>
      <c r="F144" s="312"/>
      <c r="G144" s="313"/>
      <c r="H144" s="312"/>
      <c r="I144" s="312"/>
      <c r="J144" s="312"/>
      <c r="K144" s="312"/>
      <c r="L144" s="313"/>
      <c r="M144" s="312"/>
      <c r="N144" s="312"/>
      <c r="O144" s="312"/>
      <c r="P144" s="312"/>
      <c r="Q144" s="313"/>
      <c r="R144" s="312"/>
      <c r="S144" s="312"/>
      <c r="T144" s="312"/>
      <c r="U144" s="312"/>
      <c r="V144" s="313"/>
      <c r="W144" s="312"/>
      <c r="X144" s="312"/>
      <c r="Y144" s="312"/>
      <c r="Z144" s="312"/>
      <c r="AA144" s="313"/>
      <c r="AB144" s="312"/>
      <c r="AC144" s="312"/>
      <c r="AD144" s="312"/>
      <c r="AE144" s="312"/>
      <c r="AF144" s="313"/>
      <c r="AG144" s="312"/>
      <c r="AH144" s="312"/>
      <c r="AI144" s="312"/>
      <c r="AJ144" s="312"/>
      <c r="AK144" s="313"/>
      <c r="AL144" s="312"/>
      <c r="AM144" s="312"/>
      <c r="AN144" s="312"/>
      <c r="AO144" s="312"/>
      <c r="AP144" s="313"/>
      <c r="AQ144" s="312"/>
      <c r="AR144" s="312"/>
      <c r="AS144" s="312"/>
      <c r="AT144" s="312"/>
      <c r="AU144" s="313"/>
      <c r="AV144" s="312"/>
      <c r="AW144" s="312"/>
      <c r="AX144" s="312"/>
      <c r="AY144" s="312"/>
      <c r="AZ144" s="313"/>
      <c r="BA144" s="312"/>
      <c r="BB144" s="312"/>
      <c r="BC144" s="312"/>
      <c r="BD144" s="312"/>
      <c r="BE144" s="313"/>
      <c r="BF144" s="312"/>
      <c r="BG144" s="312"/>
      <c r="BH144" s="312"/>
      <c r="BI144" s="312"/>
      <c r="BJ144" s="313"/>
      <c r="BK144" s="312"/>
      <c r="BL144" s="312"/>
      <c r="BM144" s="312"/>
      <c r="BN144" s="312"/>
      <c r="BO144" s="313"/>
      <c r="BP144" s="312"/>
      <c r="BQ144" s="312"/>
      <c r="BR144" s="312"/>
      <c r="BS144" s="312"/>
      <c r="BT144" s="313"/>
      <c r="BU144" s="312"/>
      <c r="BV144" s="312"/>
      <c r="BW144" s="312"/>
      <c r="BX144" s="312"/>
      <c r="BY144" s="313"/>
      <c r="BZ144" s="312"/>
      <c r="CA144" s="312"/>
      <c r="CB144" s="312"/>
      <c r="CC144" s="312"/>
      <c r="CD144" s="319"/>
      <c r="CE144" s="312"/>
      <c r="CF144" s="312"/>
      <c r="CG144" s="312"/>
      <c r="CH144" s="312"/>
      <c r="CI144" s="319"/>
      <c r="CJ144" s="312"/>
      <c r="CK144" s="312"/>
      <c r="CL144" s="312"/>
      <c r="CM144" s="312"/>
      <c r="CN144" s="319"/>
      <c r="CO144" s="312">
        <f>CT144/(1+CT145)</f>
      </c>
      <c r="CP144" s="312">
        <f>CU144/(1+CU145)</f>
      </c>
      <c r="CQ144" s="312">
        <f>CV144/(1+CV145)</f>
      </c>
      <c r="CR144" s="312">
        <f>CW144/(1+CW145)</f>
      </c>
      <c r="CS144" s="456">
        <f>SUM(CO144:CR144)</f>
      </c>
      <c r="CT144" s="312">
        <f>CY144/(1+CY145)</f>
      </c>
      <c r="CU144" s="312">
        <f>CZ144/(1+CZ145)</f>
      </c>
      <c r="CV144" s="312">
        <f>DA144/(1+DA145)</f>
      </c>
      <c r="CW144" s="312">
        <f>DB144/(1+DB145)</f>
      </c>
      <c r="CX144" s="456">
        <f>SUM(CT144:CW144)</f>
      </c>
      <c r="CY144" s="312">
        <f>DD144/(1+DD145)</f>
      </c>
      <c r="CZ144" s="312">
        <f>DE144/(1+DE145)</f>
      </c>
      <c r="DA144" s="312">
        <f>DF144/(1+DF145)</f>
      </c>
      <c r="DB144" s="312">
        <f>DG144/(1+DG145)</f>
      </c>
      <c r="DC144" s="456">
        <f>SUM(CY144:DB144)</f>
      </c>
      <c r="DD144" s="312">
        <f>DI144/(1+DI145)</f>
      </c>
      <c r="DE144" s="312">
        <f>DJ144/(1+DJ145)</f>
      </c>
      <c r="DF144" s="312">
        <f>DK144/(1+DK145)</f>
      </c>
      <c r="DG144" s="312">
        <f>DL144/(1+DL145)</f>
      </c>
      <c r="DH144" s="456">
        <f>SUM(DD144:DG144)</f>
      </c>
      <c r="DI144" s="312">
        <f>DN144/(1+DN145)</f>
      </c>
      <c r="DJ144" s="312">
        <f>DO144/(1+DO145)</f>
      </c>
      <c r="DK144" s="312">
        <f>DP144/(1+DP145)</f>
      </c>
      <c r="DL144" s="312">
        <f>DQ144/(1+DQ145)</f>
      </c>
      <c r="DM144" s="456">
        <f>SUM(DI144:DL144)</f>
      </c>
      <c r="DN144" s="312">
        <f>DS144/(1+DS145)</f>
      </c>
      <c r="DO144" s="312">
        <f>DT144/(1+DT145)</f>
      </c>
      <c r="DP144" s="312">
        <f>DU144/(1+DU145)</f>
      </c>
      <c r="DQ144" s="312">
        <f>DV144/(1+DV145)</f>
      </c>
      <c r="DR144" s="456">
        <f>SUM(DN144:DQ144)</f>
      </c>
      <c r="DS144" s="312">
        <f>DX144/(1+DX145)</f>
      </c>
      <c r="DT144" s="312">
        <f>DY144/(1+DY145)</f>
      </c>
      <c r="DU144" s="312">
        <f>DZ144/(1+DZ145)</f>
      </c>
      <c r="DV144" s="312">
        <f>EA144/(1+EA145)</f>
      </c>
      <c r="DW144" s="456">
        <f>SUM(DS144:DV144)</f>
      </c>
      <c r="DX144" s="312">
        <f>EC144/(1+EC145)</f>
      </c>
      <c r="DY144" s="312">
        <f>ED144/(1+ED145)</f>
      </c>
      <c r="DZ144" s="312">
        <f>EE144/(1+EE145)</f>
      </c>
      <c r="EA144" s="312">
        <f>EF144/(1+EF145)</f>
      </c>
      <c r="EB144" s="456">
        <f>SUM(DX144:EA144)</f>
      </c>
      <c r="EC144" s="312">
        <f>EH144/(1+EH145)</f>
      </c>
      <c r="ED144" s="312">
        <f>EI144/(1+EI145)</f>
      </c>
      <c r="EE144" s="312">
        <f>EJ148/EJ145</f>
      </c>
      <c r="EF144" s="312">
        <f>EK144/(1+EK145)</f>
      </c>
      <c r="EG144" s="456">
        <f>SUM(EC144:EF144)</f>
      </c>
      <c r="EH144" s="312">
        <f>EM148/EM145</f>
      </c>
      <c r="EI144" s="312">
        <f>EN148/EN145</f>
      </c>
      <c r="EJ144" s="312">
        <f>EE144*(1+EJ145)</f>
      </c>
      <c r="EK144" s="312">
        <f>EP148/EP145</f>
      </c>
      <c r="EL144" s="456">
        <f>SUM(EH144:EK144)</f>
      </c>
      <c r="EM144" s="312">
        <f>EH144*(1+EM145)</f>
      </c>
      <c r="EN144" s="312">
        <f>EI144*(1+EN145)</f>
      </c>
      <c r="EO144" s="312">
        <f>EJ144*(1+EO145)</f>
      </c>
      <c r="EP144" s="312">
        <f>EK144*(1+EP145)</f>
      </c>
      <c r="EQ144" s="456">
        <f>SUM(EM144:EP144)</f>
      </c>
      <c r="ER144" s="312">
        <f>EM144*(1+ER145)</f>
      </c>
      <c r="ES144" s="312">
        <f>EN144*(1+ES145)</f>
      </c>
      <c r="ET144" s="312">
        <f>EO144*(1+ET145)</f>
      </c>
      <c r="EU144" s="312">
        <f>EP144*(1+EU145)</f>
      </c>
      <c r="EV144" s="456">
        <f>SUM(ER144:EU144)</f>
      </c>
      <c r="EW144" s="312"/>
      <c r="EX144" s="312"/>
      <c r="EY144" s="312"/>
      <c r="EZ144" s="312"/>
      <c r="FA144" s="456"/>
      <c r="FB144" s="312"/>
      <c r="FC144" s="312"/>
      <c r="FD144" s="312"/>
      <c r="FE144" s="312"/>
      <c r="FF144" s="456"/>
      <c r="FG144" s="312"/>
      <c r="FH144" s="312"/>
      <c r="FI144" s="312"/>
      <c r="FJ144" s="312"/>
      <c r="FK144" s="456"/>
      <c r="FL144" s="312"/>
      <c r="FM144" s="312"/>
      <c r="FN144" s="312"/>
      <c r="FO144" s="312"/>
      <c r="FP144" s="456"/>
      <c r="FQ144" s="312"/>
      <c r="FR144" s="312"/>
      <c r="FS144" s="312"/>
      <c r="FT144" s="312"/>
      <c r="FU144" s="456"/>
      <c r="FV144" s="312"/>
      <c r="FW144" s="312"/>
      <c r="FX144" s="312"/>
      <c r="FY144" s="312"/>
      <c r="FZ144" s="313"/>
      <c r="GA144" s="312"/>
      <c r="GB144" s="312"/>
      <c r="GC144" s="312"/>
      <c r="GD144" s="312"/>
      <c r="GE144" s="313"/>
      <c r="GF144" s="312"/>
      <c r="GG144" s="312"/>
      <c r="GH144" s="312"/>
      <c r="GI144" s="312"/>
      <c r="GJ144" s="385"/>
    </row>
    <row r="145" spans="1:192" s="1241" customFormat="1" ht="12.75" hidden="1" customHeight="1" outlineLevel="1">
      <c r="A145" s="1237"/>
      <c r="B145" s="735" t="s">
        <v>34</v>
      </c>
      <c r="C145" s="1238"/>
      <c r="D145" s="1117"/>
      <c r="E145" s="1117"/>
      <c r="F145" s="1117"/>
      <c r="G145" s="1239"/>
      <c r="H145" s="1238"/>
      <c r="I145" s="1117"/>
      <c r="J145" s="1117"/>
      <c r="K145" s="1117"/>
      <c r="L145" s="1239"/>
      <c r="M145" s="1238"/>
      <c r="N145" s="1117"/>
      <c r="O145" s="1117"/>
      <c r="P145" s="1117"/>
      <c r="Q145" s="1239"/>
      <c r="R145" s="1238"/>
      <c r="S145" s="1117"/>
      <c r="T145" s="1117"/>
      <c r="U145" s="1117"/>
      <c r="V145" s="1239"/>
      <c r="W145" s="1238"/>
      <c r="X145" s="1117"/>
      <c r="Y145" s="1117"/>
      <c r="Z145" s="1117"/>
      <c r="AA145" s="1239"/>
      <c r="AB145" s="1238"/>
      <c r="AC145" s="1117"/>
      <c r="AD145" s="1117"/>
      <c r="AE145" s="1117"/>
      <c r="AF145" s="1239"/>
      <c r="AG145" s="1238"/>
      <c r="AH145" s="1117"/>
      <c r="AI145" s="1117"/>
      <c r="AJ145" s="1117"/>
      <c r="AK145" s="1239"/>
      <c r="AL145" s="1238"/>
      <c r="AM145" s="1117"/>
      <c r="AN145" s="1117"/>
      <c r="AO145" s="1117"/>
      <c r="AP145" s="1239"/>
      <c r="AQ145" s="1238"/>
      <c r="AR145" s="1117"/>
      <c r="AS145" s="1117"/>
      <c r="AT145" s="1117"/>
      <c r="AU145" s="1239"/>
      <c r="AV145" s="1238"/>
      <c r="AW145" s="1117"/>
      <c r="AX145" s="1117"/>
      <c r="AY145" s="1117"/>
      <c r="AZ145" s="1239"/>
      <c r="BA145" s="1238"/>
      <c r="BB145" s="1117"/>
      <c r="BC145" s="1117"/>
      <c r="BD145" s="1117"/>
      <c r="BE145" s="1239"/>
      <c r="BF145" s="1238"/>
      <c r="BG145" s="1117"/>
      <c r="BH145" s="1117"/>
      <c r="BI145" s="1117"/>
      <c r="BJ145" s="1239"/>
      <c r="BK145" s="1238"/>
      <c r="BL145" s="1117"/>
      <c r="BM145" s="1117"/>
      <c r="BN145" s="1117"/>
      <c r="BO145" s="1239"/>
      <c r="BP145" s="1238"/>
      <c r="BQ145" s="1117"/>
      <c r="BR145" s="1117"/>
      <c r="BS145" s="1117"/>
      <c r="BT145" s="1239"/>
      <c r="BU145" s="1238"/>
      <c r="BV145" s="1117"/>
      <c r="BW145" s="1117"/>
      <c r="BX145" s="1117"/>
      <c r="BY145" s="1239"/>
      <c r="BZ145" s="1238"/>
      <c r="CA145" s="1117"/>
      <c r="CB145" s="1117"/>
      <c r="CC145" s="1117"/>
      <c r="CD145" s="1240"/>
      <c r="CE145" s="1238"/>
      <c r="CF145" s="1117"/>
      <c r="CG145" s="1117"/>
      <c r="CH145" s="1117"/>
      <c r="CI145" s="1240"/>
      <c r="CJ145" s="1238"/>
      <c r="CK145" s="1117"/>
      <c r="CL145" s="1117"/>
      <c r="CM145" s="1117"/>
      <c r="CN145" s="1240"/>
      <c r="CO145" s="1238"/>
      <c r="CP145" s="1117"/>
      <c r="CQ145" s="1117"/>
      <c r="CR145" s="1117"/>
      <c r="CS145" s="1240"/>
      <c r="CT145" s="1238">
        <v>0.11</v>
      </c>
      <c r="CU145" s="1117">
        <v>0.1</v>
      </c>
      <c r="CV145" s="1117">
        <v>0.06</v>
      </c>
      <c r="CW145" s="1117">
        <v>0.04</v>
      </c>
      <c r="CX145" s="1239">
        <v>0.05</v>
      </c>
      <c r="CY145" s="1328">
        <v>-0.01</v>
      </c>
      <c r="CZ145" s="1359">
        <v>-0.02</v>
      </c>
      <c r="DA145" s="1327">
        <v>-0.04</v>
      </c>
      <c r="DB145" s="1117">
        <v>-0.01</v>
      </c>
      <c r="DC145" s="1240">
        <f>DC144/CX144-1</f>
      </c>
      <c r="DD145" s="1328">
        <v>-0.02</v>
      </c>
      <c r="DE145" s="1327">
        <v>-0.01</v>
      </c>
      <c r="DF145" s="1327">
        <v>0</v>
      </c>
      <c r="DG145" s="1327">
        <v>0.05</v>
      </c>
      <c r="DH145" s="1332">
        <v>0.01</v>
      </c>
      <c r="DI145" s="1328">
        <v>0.09</v>
      </c>
      <c r="DJ145" s="1327">
        <v>7.0000000000000007E-2</v>
      </c>
      <c r="DK145" s="1327">
        <v>0.09</v>
      </c>
      <c r="DL145" s="1327">
        <v>0.05</v>
      </c>
      <c r="DM145" s="1332">
        <f>DM144/DH144-1</f>
      </c>
      <c r="DN145" s="441">
        <v>0.1</v>
      </c>
      <c r="DO145" s="439">
        <v>0.1</v>
      </c>
      <c r="DP145" s="439">
        <v>0.14000000000000001</v>
      </c>
      <c r="DQ145" s="439">
        <v>0.1</v>
      </c>
      <c r="DR145" s="1332">
        <v>0.11</v>
      </c>
      <c r="DS145" s="1328">
        <v>0.17</v>
      </c>
      <c r="DT145" s="1327">
        <v>0.11</v>
      </c>
      <c r="DU145" s="1327">
        <v>0.12</v>
      </c>
      <c r="DV145" s="1117">
        <v>0.14000000000000001</v>
      </c>
      <c r="DW145" s="1240">
        <f>DW144/DR144-1</f>
      </c>
      <c r="DX145" s="1328">
        <v>0.13</v>
      </c>
      <c r="DY145" s="1117">
        <v>0.16</v>
      </c>
      <c r="DZ145" s="1327">
        <v>0.13</v>
      </c>
      <c r="EA145" s="1117">
        <v>0.05</v>
      </c>
      <c r="EB145" s="1240">
        <f>EB144/DW144-1</f>
      </c>
      <c r="EC145" s="1238">
        <v>0.09</v>
      </c>
      <c r="ED145" s="1117">
        <v>0.11</v>
      </c>
      <c r="EE145" s="1327">
        <v>0.14000000000000001</v>
      </c>
      <c r="EF145" s="1117">
        <v>0.2</v>
      </c>
      <c r="EG145" s="1240">
        <f>EG144/EB144-1</f>
      </c>
      <c r="EH145" s="1238">
        <v>0.18</v>
      </c>
      <c r="EI145" s="1117">
        <v>0.14000000000000001</v>
      </c>
      <c r="EJ145" s="1327">
        <v>0.11700000000000001</v>
      </c>
      <c r="EK145" s="1117">
        <v>0.09</v>
      </c>
      <c r="EL145" s="1239">
        <v>0.13</v>
      </c>
      <c r="EM145" s="1238">
        <v>7.0000000000000007E-2</v>
      </c>
      <c r="EN145" s="1117">
        <v>6.7000000000000004E-2</v>
      </c>
      <c r="EO145" s="1117">
        <v>0.13</v>
      </c>
      <c r="EP145" s="1117">
        <v>0.12</v>
      </c>
      <c r="EQ145" s="1239">
        <v>0.1</v>
      </c>
      <c r="ER145" s="1238">
        <v>0.15</v>
      </c>
      <c r="ES145" s="1117">
        <v>0.15</v>
      </c>
      <c r="ET145" s="1327">
        <v>0.13</v>
      </c>
      <c r="EU145" s="1327">
        <v>0.12</v>
      </c>
      <c r="EV145" s="893">
        <f>EV144/EQ144-1</f>
      </c>
      <c r="EW145" s="924"/>
      <c r="EX145" s="924"/>
      <c r="EY145" s="924"/>
      <c r="EZ145" s="924"/>
      <c r="FA145" s="893"/>
      <c r="FB145" s="924"/>
      <c r="FC145" s="924"/>
      <c r="FD145" s="924"/>
      <c r="FE145" s="924"/>
      <c r="FF145" s="893"/>
      <c r="FG145" s="924"/>
      <c r="FH145" s="924"/>
      <c r="FI145" s="924"/>
      <c r="FJ145" s="924"/>
      <c r="FK145" s="893"/>
      <c r="FL145" s="924"/>
      <c r="FM145" s="924"/>
      <c r="FN145" s="924"/>
      <c r="FO145" s="924"/>
      <c r="FP145" s="893"/>
      <c r="FQ145" s="924"/>
      <c r="FR145" s="924"/>
      <c r="FS145" s="924"/>
      <c r="FT145" s="924"/>
      <c r="FU145" s="893"/>
      <c r="FV145" s="892"/>
      <c r="FW145" s="924"/>
      <c r="FX145" s="924"/>
      <c r="FY145" s="924"/>
      <c r="FZ145" s="1240"/>
      <c r="GA145" s="892"/>
      <c r="GB145" s="924"/>
      <c r="GC145" s="924"/>
      <c r="GD145" s="924"/>
      <c r="GE145" s="1240"/>
      <c r="GF145" s="892"/>
      <c r="GG145" s="924"/>
      <c r="GH145" s="924"/>
      <c r="GI145" s="924"/>
      <c r="GJ145" s="1326"/>
    </row>
    <row r="146" spans="1:192" ht="12.75" hidden="1" customHeight="1" outlineLevel="1">
      <c r="B146" s="735" t="s">
        <v>197</v>
      </c>
      <c r="C146" s="412"/>
      <c r="D146" s="114"/>
      <c r="E146" s="114"/>
      <c r="F146" s="114"/>
      <c r="G146" s="414"/>
      <c r="H146" s="412"/>
      <c r="I146" s="114"/>
      <c r="J146" s="114"/>
      <c r="K146" s="114"/>
      <c r="L146" s="414"/>
      <c r="M146" s="412"/>
      <c r="N146" s="114"/>
      <c r="O146" s="114"/>
      <c r="P146" s="114"/>
      <c r="Q146" s="414"/>
      <c r="R146" s="412"/>
      <c r="S146" s="114"/>
      <c r="T146" s="114"/>
      <c r="U146" s="114"/>
      <c r="V146" s="414"/>
      <c r="W146" s="412"/>
      <c r="X146" s="114"/>
      <c r="Y146" s="114"/>
      <c r="Z146" s="114"/>
      <c r="AA146" s="414"/>
      <c r="AB146" s="412"/>
      <c r="AC146" s="114"/>
      <c r="AD146" s="114"/>
      <c r="AE146" s="114"/>
      <c r="AF146" s="414"/>
      <c r="AG146" s="412"/>
      <c r="AH146" s="114"/>
      <c r="AI146" s="114"/>
      <c r="AJ146" s="114"/>
      <c r="AK146" s="414"/>
      <c r="AL146" s="412"/>
      <c r="AM146" s="114"/>
      <c r="AN146" s="114"/>
      <c r="AO146" s="114"/>
      <c r="AP146" s="414"/>
      <c r="AQ146" s="412"/>
      <c r="AR146" s="114"/>
      <c r="AS146" s="114"/>
      <c r="AT146" s="114"/>
      <c r="AU146" s="414"/>
      <c r="AV146" s="412"/>
      <c r="AW146" s="114"/>
      <c r="AX146" s="114"/>
      <c r="AY146" s="114"/>
      <c r="AZ146" s="414"/>
      <c r="BA146" s="412"/>
      <c r="BB146" s="114"/>
      <c r="BC146" s="114"/>
      <c r="BD146" s="114"/>
      <c r="BE146" s="414"/>
      <c r="BF146" s="412"/>
      <c r="BG146" s="114"/>
      <c r="BH146" s="114"/>
      <c r="BI146" s="114"/>
      <c r="BJ146" s="414"/>
      <c r="BK146" s="412"/>
      <c r="BL146" s="114"/>
      <c r="BM146" s="114"/>
      <c r="BN146" s="114"/>
      <c r="BO146" s="414"/>
      <c r="BP146" s="412"/>
      <c r="BQ146" s="114"/>
      <c r="BR146" s="114"/>
      <c r="BS146" s="114"/>
      <c r="BT146" s="414"/>
      <c r="BU146" s="412"/>
      <c r="BV146" s="114"/>
      <c r="BW146" s="114"/>
      <c r="BX146" s="114"/>
      <c r="BY146" s="414"/>
      <c r="BZ146" s="412"/>
      <c r="CA146" s="114"/>
      <c r="CB146" s="114"/>
      <c r="CC146" s="114"/>
      <c r="CD146" s="293"/>
      <c r="CE146" s="412"/>
      <c r="CF146" s="114"/>
      <c r="CG146" s="114"/>
      <c r="CH146" s="114"/>
      <c r="CI146" s="293"/>
      <c r="CJ146" s="412"/>
      <c r="CK146" s="114"/>
      <c r="CL146" s="114"/>
      <c r="CM146" s="114"/>
      <c r="CN146" s="293"/>
      <c r="CO146" s="412"/>
      <c r="CP146" s="114"/>
      <c r="CQ146" s="114"/>
      <c r="CR146" s="114"/>
      <c r="CS146" s="293"/>
      <c r="CT146" s="412">
        <v>0.11</v>
      </c>
      <c r="CU146" s="114">
        <v>0.1</v>
      </c>
      <c r="CV146" s="114">
        <v>0.06</v>
      </c>
      <c r="CW146" s="114">
        <v>0.04</v>
      </c>
      <c r="CX146" s="414">
        <v>0.05</v>
      </c>
      <c r="CY146" s="412">
        <v>0</v>
      </c>
      <c r="CZ146" s="114">
        <v>0.01</v>
      </c>
      <c r="DA146" s="114">
        <v>0.01</v>
      </c>
      <c r="DB146" s="114">
        <v>0.01</v>
      </c>
      <c r="DC146" s="293"/>
      <c r="DD146" s="441">
        <v>0.05</v>
      </c>
      <c r="DE146" s="439">
        <v>0.05</v>
      </c>
      <c r="DF146" s="439">
        <v>7.0000000000000007E-2</v>
      </c>
      <c r="DG146" s="439">
        <v>0.09</v>
      </c>
      <c r="DH146" s="895"/>
      <c r="DI146" s="441">
        <v>0.11</v>
      </c>
      <c r="DJ146" s="439">
        <v>0.08</v>
      </c>
      <c r="DK146" s="439">
        <v>0.1</v>
      </c>
      <c r="DL146" s="439">
        <v>0.06</v>
      </c>
      <c r="DM146" s="895"/>
      <c r="DN146" s="441">
        <v>0.1</v>
      </c>
      <c r="DO146" s="439">
        <v>0.1</v>
      </c>
      <c r="DP146" s="439">
        <v>0.12</v>
      </c>
      <c r="DQ146" s="439">
        <v>0.08</v>
      </c>
      <c r="DR146" s="895"/>
      <c r="DS146" s="412">
        <v>0.16</v>
      </c>
      <c r="DT146" s="114">
        <v>0.11</v>
      </c>
      <c r="DU146" s="114">
        <v>0.14000000000000001</v>
      </c>
      <c r="DV146" s="114">
        <v>0.16</v>
      </c>
      <c r="DW146" s="293"/>
      <c r="DX146" s="412">
        <v>0.15</v>
      </c>
      <c r="DY146" s="114">
        <v>0.18</v>
      </c>
      <c r="DZ146" s="114">
        <v>0.15</v>
      </c>
      <c r="EA146" s="114">
        <v>7.0000000000000007E-2</v>
      </c>
      <c r="EB146" s="293"/>
      <c r="EC146" s="412">
        <v>0.09</v>
      </c>
      <c r="ED146" s="114">
        <v>0.09</v>
      </c>
      <c r="EE146" s="114">
        <v>0.1</v>
      </c>
      <c r="EF146" s="114">
        <v>0.15</v>
      </c>
      <c r="EG146" s="293"/>
      <c r="EH146" s="412">
        <v>0.16</v>
      </c>
      <c r="EI146" s="114">
        <v>0.14000000000000001</v>
      </c>
      <c r="EJ146" s="114">
        <v>0.14000000000000001</v>
      </c>
      <c r="EK146" s="114">
        <v>0.13</v>
      </c>
      <c r="EL146" s="293"/>
      <c r="EM146" s="412">
        <v>0.13</v>
      </c>
      <c r="EN146" s="114">
        <v>0.14000000000000001</v>
      </c>
      <c r="EO146" s="114">
        <v>0.17</v>
      </c>
      <c r="EP146" s="114">
        <v>0.14000000000000001</v>
      </c>
      <c r="EQ146" s="293"/>
      <c r="ER146" s="412">
        <v>0.14000000000000001</v>
      </c>
      <c r="ES146" s="114">
        <v>0.13</v>
      </c>
      <c r="ET146" s="439">
        <v>0.12</v>
      </c>
      <c r="EU146" s="439">
        <v>0.13</v>
      </c>
      <c r="EV146" s="414">
        <v>0.13</v>
      </c>
      <c r="EW146" s="291"/>
      <c r="EX146" s="107"/>
      <c r="EY146" s="107"/>
      <c r="EZ146" s="107"/>
      <c r="FA146" s="293"/>
      <c r="FB146" s="291"/>
      <c r="FC146" s="107"/>
      <c r="FD146" s="107"/>
      <c r="FE146" s="107"/>
      <c r="FF146" s="293"/>
      <c r="FG146" s="291"/>
      <c r="FH146" s="107"/>
      <c r="FI146" s="107"/>
      <c r="FJ146" s="107"/>
      <c r="FK146" s="293"/>
      <c r="FL146" s="291"/>
      <c r="FM146" s="107"/>
      <c r="FN146" s="107"/>
      <c r="FO146" s="107"/>
      <c r="FP146" s="293"/>
      <c r="FQ146" s="291"/>
      <c r="FR146" s="107"/>
      <c r="FS146" s="107"/>
      <c r="FT146" s="107"/>
      <c r="FU146" s="293"/>
      <c r="FV146" s="291"/>
      <c r="FW146" s="107"/>
      <c r="FX146" s="107"/>
      <c r="FY146" s="107"/>
      <c r="FZ146" s="293"/>
      <c r="GA146" s="291"/>
      <c r="GB146" s="107"/>
      <c r="GC146" s="107"/>
      <c r="GD146" s="107"/>
      <c r="GE146" s="293"/>
      <c r="GF146" s="291"/>
      <c r="GG146" s="107"/>
      <c r="GH146" s="107"/>
      <c r="GI146" s="107"/>
      <c r="GJ146" s="382"/>
    </row>
    <row r="147" spans="1:192" ht="12.75" hidden="1" customHeight="1" outlineLevel="1">
      <c r="B147" s="735" t="s">
        <v>36</v>
      </c>
      <c r="C147" s="291"/>
      <c r="D147" s="107"/>
      <c r="E147" s="107"/>
      <c r="F147" s="107"/>
      <c r="G147" s="292"/>
      <c r="H147" s="291"/>
      <c r="I147" s="107"/>
      <c r="J147" s="107"/>
      <c r="K147" s="107"/>
      <c r="L147" s="292"/>
      <c r="M147" s="291"/>
      <c r="N147" s="107"/>
      <c r="O147" s="107"/>
      <c r="P147" s="107"/>
      <c r="Q147" s="292"/>
      <c r="R147" s="291"/>
      <c r="S147" s="107"/>
      <c r="T147" s="107"/>
      <c r="U147" s="107"/>
      <c r="V147" s="292"/>
      <c r="W147" s="291"/>
      <c r="X147" s="107"/>
      <c r="Y147" s="107"/>
      <c r="Z147" s="107"/>
      <c r="AA147" s="292"/>
      <c r="AB147" s="291"/>
      <c r="AC147" s="107"/>
      <c r="AD147" s="107"/>
      <c r="AE147" s="107"/>
      <c r="AF147" s="292"/>
      <c r="AG147" s="291"/>
      <c r="AH147" s="107"/>
      <c r="AI147" s="107"/>
      <c r="AJ147" s="107"/>
      <c r="AK147" s="292"/>
      <c r="AL147" s="291"/>
      <c r="AM147" s="107"/>
      <c r="AN147" s="107"/>
      <c r="AO147" s="107"/>
      <c r="AP147" s="292"/>
      <c r="AQ147" s="291"/>
      <c r="AR147" s="107"/>
      <c r="AS147" s="107"/>
      <c r="AT147" s="107"/>
      <c r="AU147" s="292"/>
      <c r="AV147" s="291"/>
      <c r="AW147" s="107"/>
      <c r="AX147" s="107"/>
      <c r="AY147" s="107"/>
      <c r="AZ147" s="292"/>
      <c r="BA147" s="291"/>
      <c r="BB147" s="107"/>
      <c r="BC147" s="107"/>
      <c r="BD147" s="107"/>
      <c r="BE147" s="292"/>
      <c r="BF147" s="291"/>
      <c r="BG147" s="107"/>
      <c r="BH147" s="107"/>
      <c r="BI147" s="107"/>
      <c r="BJ147" s="292"/>
      <c r="BK147" s="291"/>
      <c r="BL147" s="107"/>
      <c r="BM147" s="107"/>
      <c r="BN147" s="107"/>
      <c r="BO147" s="292"/>
      <c r="BP147" s="291"/>
      <c r="BQ147" s="107"/>
      <c r="BR147" s="107"/>
      <c r="BS147" s="107"/>
      <c r="BT147" s="292"/>
      <c r="BU147" s="291"/>
      <c r="BV147" s="107"/>
      <c r="BW147" s="107"/>
      <c r="BX147" s="107"/>
      <c r="BY147" s="292"/>
      <c r="BZ147" s="291"/>
      <c r="CA147" s="107"/>
      <c r="CB147" s="107"/>
      <c r="CC147" s="107"/>
      <c r="CD147" s="292"/>
      <c r="CE147" s="291"/>
      <c r="CF147" s="107"/>
      <c r="CG147" s="107"/>
      <c r="CH147" s="107"/>
      <c r="CI147" s="292"/>
      <c r="CJ147" s="291"/>
      <c r="CK147" s="107"/>
      <c r="CL147" s="107"/>
      <c r="CM147" s="107"/>
      <c r="CN147" s="292"/>
      <c r="CO147" s="291"/>
      <c r="CP147" s="107"/>
      <c r="CQ147" s="107"/>
      <c r="CR147" s="107"/>
      <c r="CS147" s="292"/>
      <c r="CT147" s="291"/>
      <c r="CU147" s="107">
        <f>CU144/CT144-1</f>
      </c>
      <c r="CV147" s="107">
        <f>CV144/CU144-1</f>
      </c>
      <c r="CW147" s="107">
        <f>CW144/CV144-1</f>
      </c>
      <c r="CX147" s="292"/>
      <c r="CY147" s="291">
        <f>CY144/CW144-1</f>
      </c>
      <c r="CZ147" s="107">
        <f>CZ144/CY144-1</f>
      </c>
      <c r="DA147" s="107">
        <f>DA144/CZ144-1</f>
      </c>
      <c r="DB147" s="107">
        <f>DB144/DA144-1</f>
      </c>
      <c r="DC147" s="292"/>
      <c r="DD147" s="349">
        <f>DD144/DB144-1</f>
      </c>
      <c r="DE147" s="468">
        <f>DE144/DD144-1</f>
      </c>
      <c r="DF147" s="468">
        <f>DF144/DE144-1</f>
      </c>
      <c r="DG147" s="468">
        <f>DG144/DF144-1</f>
      </c>
      <c r="DH147" s="896"/>
      <c r="DI147" s="349">
        <f>DI144/DG144-1</f>
      </c>
      <c r="DJ147" s="468">
        <f>DJ144/DI144-1</f>
      </c>
      <c r="DK147" s="468">
        <f>DK144/DJ144-1</f>
      </c>
      <c r="DL147" s="468">
        <f>DL144/DK144-1</f>
      </c>
      <c r="DM147" s="896"/>
      <c r="DN147" s="349">
        <f>DN144/DL144-1</f>
      </c>
      <c r="DO147" s="468">
        <f>DO144/DN144-1</f>
      </c>
      <c r="DP147" s="468">
        <f>DP144/DO144-1</f>
      </c>
      <c r="DQ147" s="468">
        <f>DQ144/DP144-1</f>
      </c>
      <c r="DR147" s="896"/>
      <c r="DS147" s="291">
        <f>DS144/DQ144-1</f>
      </c>
      <c r="DT147" s="107">
        <f>DT144/DS144-1</f>
      </c>
      <c r="DU147" s="107">
        <f>DU144/DT144-1</f>
      </c>
      <c r="DV147" s="107">
        <f>DV144/DU144-1</f>
      </c>
      <c r="DW147" s="292"/>
      <c r="DX147" s="291">
        <f>DX144/DV144-1</f>
      </c>
      <c r="DY147" s="107">
        <f>DY144/DX144-1</f>
      </c>
      <c r="DZ147" s="107">
        <f>DZ144/DY144-1</f>
      </c>
      <c r="EA147" s="107">
        <f>EA144/DZ144-1</f>
      </c>
      <c r="EB147" s="292"/>
      <c r="EC147" s="291">
        <f>EC144/EA144-1</f>
      </c>
      <c r="ED147" s="107">
        <f>ED144/EC144-1</f>
      </c>
      <c r="EE147" s="107">
        <f>EE144/ED144-1</f>
      </c>
      <c r="EF147" s="107">
        <f>EF144/EE144-1</f>
      </c>
      <c r="EG147" s="292"/>
      <c r="EH147" s="291">
        <f>EH144/EF144-1</f>
      </c>
      <c r="EI147" s="107">
        <f>EI144/EH144-1</f>
      </c>
      <c r="EJ147" s="107">
        <f>EJ144/EI144-1</f>
      </c>
      <c r="EK147" s="107">
        <f>EK144/EJ144-1</f>
      </c>
      <c r="EL147" s="292"/>
      <c r="EM147" s="291">
        <f>EM144/EK144-1</f>
      </c>
      <c r="EN147" s="107">
        <f>EN144/EM144-1</f>
      </c>
      <c r="EO147" s="107">
        <f>EO144/EN144-1</f>
      </c>
      <c r="EP147" s="107">
        <f>EP144/EO144-1</f>
      </c>
      <c r="EQ147" s="292"/>
      <c r="ER147" s="291">
        <f>ER144/EP144-1</f>
      </c>
      <c r="ES147" s="107">
        <f>ES144/ER144-1</f>
      </c>
      <c r="ET147" s="107">
        <f>ET144/ES144-1</f>
      </c>
      <c r="EU147" s="107">
        <f>EU144/ET144-1</f>
      </c>
      <c r="EV147" s="292"/>
      <c r="EW147" s="291"/>
      <c r="EX147" s="107"/>
      <c r="EY147" s="107"/>
      <c r="EZ147" s="107"/>
      <c r="FA147" s="292"/>
      <c r="FB147" s="291"/>
      <c r="FC147" s="107"/>
      <c r="FD147" s="107"/>
      <c r="FE147" s="107"/>
      <c r="FF147" s="292"/>
      <c r="FG147" s="291"/>
      <c r="FH147" s="107"/>
      <c r="FI147" s="107"/>
      <c r="FJ147" s="107"/>
      <c r="FK147" s="292"/>
      <c r="FL147" s="291"/>
      <c r="FM147" s="107"/>
      <c r="FN147" s="107"/>
      <c r="FO147" s="107"/>
      <c r="FP147" s="292"/>
      <c r="FQ147" s="291"/>
      <c r="FR147" s="107"/>
      <c r="FS147" s="107"/>
      <c r="FT147" s="107"/>
      <c r="FU147" s="292"/>
      <c r="FV147" s="291"/>
      <c r="FW147" s="107"/>
      <c r="FX147" s="107"/>
      <c r="FY147" s="107"/>
      <c r="FZ147" s="292"/>
      <c r="GA147" s="291"/>
      <c r="GB147" s="107"/>
      <c r="GC147" s="107"/>
      <c r="GD147" s="107"/>
      <c r="GE147" s="292"/>
      <c r="GF147" s="291"/>
      <c r="GG147" s="107"/>
      <c r="GH147" s="107"/>
      <c r="GI147" s="107"/>
      <c r="GJ147" s="384"/>
    </row>
    <row r="148" spans="1:192" s="461" customFormat="1" ht="12.75" hidden="1" customHeight="1" outlineLevel="1">
      <c r="A148" s="370"/>
      <c r="B148" s="735" t="s">
        <v>243</v>
      </c>
      <c r="C148" s="447"/>
      <c r="D148" s="458"/>
      <c r="E148" s="458"/>
      <c r="F148" s="458"/>
      <c r="G148" s="462"/>
      <c r="H148" s="447"/>
      <c r="I148" s="458"/>
      <c r="J148" s="458"/>
      <c r="K148" s="458"/>
      <c r="L148" s="462"/>
      <c r="M148" s="447"/>
      <c r="N148" s="458"/>
      <c r="O148" s="458"/>
      <c r="P148" s="458"/>
      <c r="Q148" s="462"/>
      <c r="R148" s="447"/>
      <c r="S148" s="458"/>
      <c r="T148" s="458"/>
      <c r="U148" s="458"/>
      <c r="V148" s="462"/>
      <c r="W148" s="447"/>
      <c r="X148" s="458"/>
      <c r="Y148" s="458"/>
      <c r="Z148" s="458"/>
      <c r="AA148" s="462"/>
      <c r="AB148" s="447"/>
      <c r="AC148" s="458"/>
      <c r="AD148" s="458"/>
      <c r="AE148" s="458"/>
      <c r="AF148" s="462"/>
      <c r="AG148" s="447"/>
      <c r="AH148" s="458"/>
      <c r="AI148" s="458"/>
      <c r="AJ148" s="458"/>
      <c r="AK148" s="462"/>
      <c r="AL148" s="447"/>
      <c r="AM148" s="458"/>
      <c r="AN148" s="458"/>
      <c r="AO148" s="458"/>
      <c r="AP148" s="462"/>
      <c r="AQ148" s="447"/>
      <c r="AR148" s="458"/>
      <c r="AS148" s="458"/>
      <c r="AT148" s="458"/>
      <c r="AU148" s="462"/>
      <c r="AV148" s="447"/>
      <c r="AW148" s="458"/>
      <c r="AX148" s="458"/>
      <c r="AY148" s="458"/>
      <c r="AZ148" s="462"/>
      <c r="BA148" s="447"/>
      <c r="BB148" s="458"/>
      <c r="BC148" s="458"/>
      <c r="BD148" s="458"/>
      <c r="BE148" s="462"/>
      <c r="BF148" s="447"/>
      <c r="BG148" s="458"/>
      <c r="BH148" s="458"/>
      <c r="BI148" s="458"/>
      <c r="BJ148" s="462"/>
      <c r="BK148" s="447"/>
      <c r="BL148" s="458"/>
      <c r="BM148" s="458"/>
      <c r="BN148" s="458"/>
      <c r="BO148" s="462"/>
      <c r="BP148" s="447"/>
      <c r="BQ148" s="458"/>
      <c r="BR148" s="458"/>
      <c r="BS148" s="458"/>
      <c r="BT148" s="462"/>
      <c r="BU148" s="447"/>
      <c r="BV148" s="458"/>
      <c r="BW148" s="458"/>
      <c r="BX148" s="458"/>
      <c r="BY148" s="462"/>
      <c r="BZ148" s="447"/>
      <c r="CA148" s="458"/>
      <c r="CB148" s="458"/>
      <c r="CC148" s="458"/>
      <c r="CD148" s="462"/>
      <c r="CE148" s="447"/>
      <c r="CF148" s="458"/>
      <c r="CG148" s="458"/>
      <c r="CH148" s="458"/>
      <c r="CI148" s="462"/>
      <c r="CJ148" s="447"/>
      <c r="CK148" s="458"/>
      <c r="CL148" s="458"/>
      <c r="CM148" s="458"/>
      <c r="CN148" s="462"/>
      <c r="CO148" s="447"/>
      <c r="CP148" s="458"/>
      <c r="CQ148" s="458"/>
      <c r="CR148" s="458"/>
      <c r="CS148" s="462"/>
      <c r="CT148" s="447"/>
      <c r="CU148" s="447"/>
      <c r="CV148" s="447"/>
      <c r="CW148" s="447"/>
      <c r="CX148" s="462"/>
      <c r="CY148" s="447">
        <f>CY144-CT144</f>
      </c>
      <c r="CZ148" s="447">
        <f>CZ144-CU144</f>
      </c>
      <c r="DA148" s="447">
        <f>DA144-CV144</f>
      </c>
      <c r="DB148" s="447">
        <f>DB144-CW144</f>
      </c>
      <c r="DC148" s="462">
        <f>DC144-CX144</f>
      </c>
      <c r="DD148" s="496">
        <v>-98</v>
      </c>
      <c r="DE148" s="496">
        <v>-36</v>
      </c>
      <c r="DF148" s="496">
        <v>20</v>
      </c>
      <c r="DG148" s="511">
        <f>DH148-DF148-DE148-DD148</f>
      </c>
      <c r="DH148" s="897">
        <v>135</v>
      </c>
      <c r="DI148" s="496">
        <v>264</v>
      </c>
      <c r="DJ148" s="496">
        <v>289</v>
      </c>
      <c r="DK148" s="496">
        <v>347</v>
      </c>
      <c r="DL148" s="511">
        <f>DM148-DK148-DJ148-DI148</f>
      </c>
      <c r="DM148" s="897">
        <v>1200</v>
      </c>
      <c r="DN148" s="496">
        <v>516</v>
      </c>
      <c r="DO148" s="496">
        <v>552</v>
      </c>
      <c r="DP148" s="496">
        <v>754</v>
      </c>
      <c r="DQ148" s="511">
        <f>DR148-DP148-DO148-DN148</f>
      </c>
      <c r="DR148" s="897">
        <v>2400</v>
      </c>
      <c r="DS148" s="447">
        <f t="shared" ref="DS148:EI148" si="146">DS144-DN144</f>
      </c>
      <c r="DT148" s="447">
        <f t="shared" si="146"/>
      </c>
      <c r="DU148" s="447">
        <f t="shared" si="146"/>
      </c>
      <c r="DV148" s="447">
        <f t="shared" si="146"/>
      </c>
      <c r="DW148" s="462">
        <f t="shared" si="146"/>
      </c>
      <c r="DX148" s="447">
        <f t="shared" si="146"/>
      </c>
      <c r="DY148" s="447">
        <f t="shared" si="146"/>
      </c>
      <c r="DZ148" s="447">
        <f t="shared" si="146"/>
      </c>
      <c r="EA148" s="447">
        <f t="shared" si="146"/>
      </c>
      <c r="EB148" s="462">
        <f t="shared" si="146"/>
      </c>
      <c r="EC148" s="447">
        <f t="shared" si="146"/>
      </c>
      <c r="ED148" s="447">
        <f t="shared" si="146"/>
      </c>
      <c r="EE148" s="447">
        <f t="shared" si="146"/>
      </c>
      <c r="EF148" s="447">
        <f t="shared" si="146"/>
      </c>
      <c r="EG148" s="462">
        <f t="shared" si="146"/>
      </c>
      <c r="EH148" s="447">
        <f t="shared" si="146"/>
      </c>
      <c r="EI148" s="447">
        <f t="shared" si="146"/>
      </c>
      <c r="EJ148" s="1378">
        <v>999</v>
      </c>
      <c r="EK148" s="447">
        <f>EK144-EF144</f>
      </c>
      <c r="EL148" s="494">
        <v>4400</v>
      </c>
      <c r="EM148" s="1378">
        <v>633</v>
      </c>
      <c r="EN148" s="1378">
        <v>627</v>
      </c>
      <c r="EO148" s="511">
        <f>EO144-EJ144</f>
      </c>
      <c r="EP148" s="458">
        <f>EQ148-EO148-EN148-EM148</f>
      </c>
      <c r="EQ148" s="1380">
        <v>3700</v>
      </c>
      <c r="ER148" s="496">
        <v>1500</v>
      </c>
      <c r="ES148" s="815">
        <v>1500</v>
      </c>
      <c r="ET148" s="815">
        <v>1400</v>
      </c>
      <c r="EU148" s="458">
        <f>EU144-EP144</f>
      </c>
      <c r="EV148" s="462">
        <f>EV144-EQ144</f>
      </c>
      <c r="EW148" s="458"/>
      <c r="EX148" s="458"/>
      <c r="EY148" s="458"/>
      <c r="EZ148" s="458"/>
      <c r="FA148" s="462"/>
      <c r="FB148" s="458"/>
      <c r="FC148" s="458"/>
      <c r="FD148" s="458"/>
      <c r="FE148" s="458"/>
      <c r="FF148" s="462"/>
      <c r="FG148" s="458"/>
      <c r="FH148" s="458"/>
      <c r="FI148" s="458"/>
      <c r="FJ148" s="458"/>
      <c r="FK148" s="462"/>
      <c r="FL148" s="458"/>
      <c r="FM148" s="458"/>
      <c r="FN148" s="458"/>
      <c r="FO148" s="458"/>
      <c r="FP148" s="462"/>
      <c r="FQ148" s="458"/>
      <c r="FR148" s="458"/>
      <c r="FS148" s="458"/>
      <c r="FT148" s="458"/>
      <c r="FU148" s="462"/>
      <c r="FV148" s="447"/>
      <c r="FW148" s="458"/>
      <c r="FX148" s="458"/>
      <c r="FY148" s="458"/>
      <c r="FZ148" s="462"/>
      <c r="GA148" s="447"/>
      <c r="GB148" s="458"/>
      <c r="GC148" s="458"/>
      <c r="GD148" s="458"/>
      <c r="GE148" s="462"/>
      <c r="GF148" s="447"/>
      <c r="GG148" s="458"/>
      <c r="GH148" s="458"/>
      <c r="GI148" s="458"/>
      <c r="GJ148" s="497"/>
    </row>
    <row r="149" spans="1:192" s="461" customFormat="1" ht="12.75" hidden="1" customHeight="1" outlineLevel="1">
      <c r="A149" s="370"/>
      <c r="B149" s="735" t="s">
        <v>244</v>
      </c>
      <c r="C149" s="447"/>
      <c r="D149" s="458"/>
      <c r="E149" s="458"/>
      <c r="F149" s="458"/>
      <c r="G149" s="462"/>
      <c r="H149" s="447"/>
      <c r="I149" s="458"/>
      <c r="J149" s="458"/>
      <c r="K149" s="458"/>
      <c r="L149" s="462"/>
      <c r="M149" s="447"/>
      <c r="N149" s="458"/>
      <c r="O149" s="458"/>
      <c r="P149" s="458"/>
      <c r="Q149" s="462"/>
      <c r="R149" s="447"/>
      <c r="S149" s="458"/>
      <c r="T149" s="458"/>
      <c r="U149" s="458"/>
      <c r="V149" s="462"/>
      <c r="W149" s="447"/>
      <c r="X149" s="458"/>
      <c r="Y149" s="458"/>
      <c r="Z149" s="458"/>
      <c r="AA149" s="462"/>
      <c r="AB149" s="447"/>
      <c r="AC149" s="458"/>
      <c r="AD149" s="458"/>
      <c r="AE149" s="458"/>
      <c r="AF149" s="462"/>
      <c r="AG149" s="447"/>
      <c r="AH149" s="458"/>
      <c r="AI149" s="458"/>
      <c r="AJ149" s="458"/>
      <c r="AK149" s="462"/>
      <c r="AL149" s="447"/>
      <c r="AM149" s="458"/>
      <c r="AN149" s="458"/>
      <c r="AO149" s="458"/>
      <c r="AP149" s="462"/>
      <c r="AQ149" s="447"/>
      <c r="AR149" s="458"/>
      <c r="AS149" s="458"/>
      <c r="AT149" s="458"/>
      <c r="AU149" s="462"/>
      <c r="AV149" s="447"/>
      <c r="AW149" s="458"/>
      <c r="AX149" s="458"/>
      <c r="AY149" s="458"/>
      <c r="AZ149" s="462"/>
      <c r="BA149" s="447"/>
      <c r="BB149" s="458"/>
      <c r="BC149" s="458"/>
      <c r="BD149" s="458"/>
      <c r="BE149" s="462"/>
      <c r="BF149" s="447"/>
      <c r="BG149" s="458"/>
      <c r="BH149" s="458"/>
      <c r="BI149" s="458"/>
      <c r="BJ149" s="462"/>
      <c r="BK149" s="447"/>
      <c r="BL149" s="458"/>
      <c r="BM149" s="458"/>
      <c r="BN149" s="458"/>
      <c r="BO149" s="462"/>
      <c r="BP149" s="447"/>
      <c r="BQ149" s="458"/>
      <c r="BR149" s="458"/>
      <c r="BS149" s="458"/>
      <c r="BT149" s="462"/>
      <c r="BU149" s="447"/>
      <c r="BV149" s="458"/>
      <c r="BW149" s="458"/>
      <c r="BX149" s="458"/>
      <c r="BY149" s="462"/>
      <c r="BZ149" s="447"/>
      <c r="CA149" s="458"/>
      <c r="CB149" s="458"/>
      <c r="CC149" s="458"/>
      <c r="CD149" s="462"/>
      <c r="CE149" s="447"/>
      <c r="CF149" s="458"/>
      <c r="CG149" s="458"/>
      <c r="CH149" s="458"/>
      <c r="CI149" s="462"/>
      <c r="CJ149" s="447"/>
      <c r="CK149" s="458"/>
      <c r="CL149" s="458"/>
      <c r="CM149" s="458"/>
      <c r="CN149" s="462"/>
      <c r="CO149" s="447"/>
      <c r="CP149" s="458"/>
      <c r="CQ149" s="458"/>
      <c r="CR149" s="458"/>
      <c r="CS149" s="462"/>
      <c r="CT149" s="447"/>
      <c r="CU149" s="458">
        <f>CU144-CT144</f>
      </c>
      <c r="CV149" s="458">
        <f>CV144-CU144</f>
      </c>
      <c r="CW149" s="458">
        <f>CW144-CV144</f>
      </c>
      <c r="CX149" s="462"/>
      <c r="CY149" s="447">
        <f>CY144-CW144</f>
      </c>
      <c r="CZ149" s="458">
        <f>CZ144-CY144</f>
      </c>
      <c r="DA149" s="458">
        <f>DA144-CZ144</f>
      </c>
      <c r="DB149" s="458">
        <f>DB144-DA144</f>
      </c>
      <c r="DC149" s="462"/>
      <c r="DD149" s="511">
        <f>DD144-DB144</f>
      </c>
      <c r="DE149" s="679">
        <f>DE144-DD144</f>
      </c>
      <c r="DF149" s="679">
        <f>DF144-DE144</f>
      </c>
      <c r="DG149" s="679">
        <f>DG144-DF144</f>
      </c>
      <c r="DH149" s="898"/>
      <c r="DI149" s="511">
        <f>DI144-DG144</f>
      </c>
      <c r="DJ149" s="679">
        <f>DJ144-DI144</f>
      </c>
      <c r="DK149" s="679">
        <f>DK144-DJ144</f>
      </c>
      <c r="DL149" s="679">
        <f>DL144-DK144</f>
      </c>
      <c r="DM149" s="898"/>
      <c r="DN149" s="511">
        <f>DN144-DL144</f>
      </c>
      <c r="DO149" s="679">
        <f>DO144-DN144</f>
      </c>
      <c r="DP149" s="679">
        <f>DP144-DO144</f>
      </c>
      <c r="DQ149" s="679">
        <f>DQ144-DP144</f>
      </c>
      <c r="DR149" s="898"/>
      <c r="DS149" s="447">
        <f>DS144-DQ144</f>
      </c>
      <c r="DT149" s="458">
        <f>DT144-DS144</f>
      </c>
      <c r="DU149" s="458">
        <f>DU144-DT144</f>
      </c>
      <c r="DV149" s="458">
        <f>DV144-DU144</f>
      </c>
      <c r="DW149" s="462"/>
      <c r="DX149" s="447">
        <f>DX144-DV144</f>
      </c>
      <c r="DY149" s="458">
        <f>DY144-DX144</f>
      </c>
      <c r="DZ149" s="458">
        <f>DZ144-DY144</f>
      </c>
      <c r="EA149" s="458">
        <f>EA144-DZ144</f>
      </c>
      <c r="EB149" s="462"/>
      <c r="EC149" s="447">
        <f>EC144-EA144</f>
      </c>
      <c r="ED149" s="458">
        <f>ED144-EC144</f>
      </c>
      <c r="EE149" s="458">
        <f>EE144-ED144</f>
      </c>
      <c r="EF149" s="458">
        <f>EF144-EE144</f>
      </c>
      <c r="EG149" s="462"/>
      <c r="EH149" s="447">
        <f>EH144-EF144</f>
      </c>
      <c r="EI149" s="458">
        <f>EI144-EH144</f>
      </c>
      <c r="EJ149" s="458">
        <f>EJ144-EI144</f>
      </c>
      <c r="EK149" s="458">
        <f>EK144-EJ144</f>
      </c>
      <c r="EL149" s="462"/>
      <c r="EM149" s="447">
        <f>EM144-EK144</f>
      </c>
      <c r="EN149" s="458">
        <f>EN144-EM144</f>
      </c>
      <c r="EO149" s="458">
        <f>EO144-EN144</f>
      </c>
      <c r="EP149" s="458">
        <f>EP144-EO144</f>
      </c>
      <c r="EQ149" s="462"/>
      <c r="ER149" s="447">
        <f>ER144-EP144</f>
      </c>
      <c r="ES149" s="458">
        <f>ES144-ER144</f>
      </c>
      <c r="ET149" s="458">
        <f>ET144-ES144</f>
      </c>
      <c r="EU149" s="458">
        <f>EU144-ET144</f>
      </c>
      <c r="EV149" s="462"/>
      <c r="EW149" s="447"/>
      <c r="EX149" s="458"/>
      <c r="EY149" s="458"/>
      <c r="EZ149" s="458"/>
      <c r="FA149" s="462"/>
      <c r="FB149" s="447"/>
      <c r="FC149" s="458"/>
      <c r="FD149" s="458"/>
      <c r="FE149" s="458"/>
      <c r="FF149" s="462"/>
      <c r="FG149" s="447"/>
      <c r="FH149" s="458"/>
      <c r="FI149" s="458"/>
      <c r="FJ149" s="458"/>
      <c r="FK149" s="462"/>
      <c r="FL149" s="447"/>
      <c r="FM149" s="458"/>
      <c r="FN149" s="458"/>
      <c r="FO149" s="458"/>
      <c r="FP149" s="462"/>
      <c r="FQ149" s="447"/>
      <c r="FR149" s="458"/>
      <c r="FS149" s="458"/>
      <c r="FT149" s="458"/>
      <c r="FU149" s="462"/>
      <c r="FV149" s="447"/>
      <c r="FW149" s="458"/>
      <c r="FX149" s="458"/>
      <c r="FY149" s="458"/>
      <c r="FZ149" s="462"/>
      <c r="GA149" s="447"/>
      <c r="GB149" s="458"/>
      <c r="GC149" s="458"/>
      <c r="GD149" s="458"/>
      <c r="GE149" s="462"/>
      <c r="GF149" s="447"/>
      <c r="GG149" s="458"/>
      <c r="GH149" s="458"/>
      <c r="GI149" s="458"/>
      <c r="GJ149" s="497"/>
    </row>
    <row r="150" spans="1:192" ht="12.75" hidden="1" customHeight="1" outlineLevel="1">
      <c r="B150" s="735" t="s">
        <v>254</v>
      </c>
      <c r="C150" s="291"/>
      <c r="D150" s="107"/>
      <c r="E150" s="107"/>
      <c r="F150" s="107"/>
      <c r="G150" s="292"/>
      <c r="H150" s="291"/>
      <c r="I150" s="107"/>
      <c r="J150" s="107"/>
      <c r="K150" s="107"/>
      <c r="L150" s="292"/>
      <c r="M150" s="291"/>
      <c r="N150" s="107"/>
      <c r="O150" s="107"/>
      <c r="P150" s="107"/>
      <c r="Q150" s="292"/>
      <c r="R150" s="291"/>
      <c r="S150" s="107"/>
      <c r="T150" s="107"/>
      <c r="U150" s="107"/>
      <c r="V150" s="292"/>
      <c r="W150" s="291"/>
      <c r="X150" s="107"/>
      <c r="Y150" s="107"/>
      <c r="Z150" s="107"/>
      <c r="AA150" s="292"/>
      <c r="AB150" s="291"/>
      <c r="AC150" s="107"/>
      <c r="AD150" s="107"/>
      <c r="AE150" s="107"/>
      <c r="AF150" s="292"/>
      <c r="AG150" s="291"/>
      <c r="AH150" s="107"/>
      <c r="AI150" s="107"/>
      <c r="AJ150" s="107"/>
      <c r="AK150" s="292"/>
      <c r="AL150" s="291"/>
      <c r="AM150" s="107"/>
      <c r="AN150" s="107"/>
      <c r="AO150" s="107"/>
      <c r="AP150" s="292"/>
      <c r="AQ150" s="291"/>
      <c r="AR150" s="107"/>
      <c r="AS150" s="107"/>
      <c r="AT150" s="107"/>
      <c r="AU150" s="292"/>
      <c r="AV150" s="291"/>
      <c r="AW150" s="107"/>
      <c r="AX150" s="107"/>
      <c r="AY150" s="107"/>
      <c r="AZ150" s="292"/>
      <c r="BA150" s="291"/>
      <c r="BB150" s="107"/>
      <c r="BC150" s="107"/>
      <c r="BD150" s="107"/>
      <c r="BE150" s="292"/>
      <c r="BF150" s="291"/>
      <c r="BG150" s="107"/>
      <c r="BH150" s="107"/>
      <c r="BI150" s="107"/>
      <c r="BJ150" s="292"/>
      <c r="BK150" s="291"/>
      <c r="BL150" s="107"/>
      <c r="BM150" s="107"/>
      <c r="BN150" s="107"/>
      <c r="BO150" s="292"/>
      <c r="BP150" s="291"/>
      <c r="BQ150" s="107"/>
      <c r="BR150" s="107"/>
      <c r="BS150" s="107"/>
      <c r="BT150" s="292"/>
      <c r="BU150" s="291"/>
      <c r="BV150" s="107"/>
      <c r="BW150" s="107"/>
      <c r="BX150" s="107"/>
      <c r="BY150" s="292"/>
      <c r="BZ150" s="291"/>
      <c r="CA150" s="107"/>
      <c r="CB150" s="107"/>
      <c r="CC150" s="107"/>
      <c r="CD150" s="292"/>
      <c r="CE150" s="291"/>
      <c r="CF150" s="107"/>
      <c r="CG150" s="107"/>
      <c r="CH150" s="107"/>
      <c r="CI150" s="292"/>
      <c r="CJ150" s="291"/>
      <c r="CK150" s="107"/>
      <c r="CL150" s="107"/>
      <c r="CM150" s="107"/>
      <c r="CN150" s="292"/>
      <c r="CO150" s="291"/>
      <c r="CP150" s="107"/>
      <c r="CQ150" s="107"/>
      <c r="CR150" s="107"/>
      <c r="CS150" s="292"/>
      <c r="CT150" s="291"/>
      <c r="CU150" s="291"/>
      <c r="CV150" s="291"/>
      <c r="CW150" s="291"/>
      <c r="CX150" s="292"/>
      <c r="CY150" s="291"/>
      <c r="CZ150" s="291"/>
      <c r="DA150" s="291"/>
      <c r="DB150" s="291"/>
      <c r="DC150" s="292">
        <f>DC144/DC110</f>
      </c>
      <c r="DD150" s="349"/>
      <c r="DE150" s="349"/>
      <c r="DF150" s="349"/>
      <c r="DG150" s="349"/>
      <c r="DH150" s="896">
        <f t="shared" ref="DH150:EV150" si="147">DH144/DH110</f>
      </c>
      <c r="DI150" s="349">
        <f t="shared" si="147"/>
      </c>
      <c r="DJ150" s="349">
        <f t="shared" si="147"/>
      </c>
      <c r="DK150" s="349">
        <f t="shared" si="147"/>
      </c>
      <c r="DL150" s="349">
        <f t="shared" si="147"/>
      </c>
      <c r="DM150" s="896">
        <f t="shared" si="147"/>
      </c>
      <c r="DN150" s="349">
        <f t="shared" si="147"/>
      </c>
      <c r="DO150" s="349">
        <f t="shared" si="147"/>
      </c>
      <c r="DP150" s="349">
        <f t="shared" si="147"/>
      </c>
      <c r="DQ150" s="349">
        <f t="shared" si="147"/>
      </c>
      <c r="DR150" s="896">
        <f t="shared" si="147"/>
      </c>
      <c r="DS150" s="291">
        <f t="shared" si="147"/>
      </c>
      <c r="DT150" s="291">
        <f t="shared" si="147"/>
      </c>
      <c r="DU150" s="291">
        <f t="shared" si="147"/>
      </c>
      <c r="DV150" s="291">
        <f t="shared" si="147"/>
      </c>
      <c r="DW150" s="292">
        <f t="shared" si="147"/>
      </c>
      <c r="DX150" s="291">
        <f t="shared" si="147"/>
      </c>
      <c r="DY150" s="291">
        <f t="shared" si="147"/>
      </c>
      <c r="DZ150" s="291">
        <f t="shared" si="147"/>
      </c>
      <c r="EA150" s="291">
        <f t="shared" si="147"/>
      </c>
      <c r="EB150" s="292">
        <f t="shared" si="147"/>
      </c>
      <c r="EC150" s="291">
        <f t="shared" si="147"/>
      </c>
      <c r="ED150" s="291">
        <f t="shared" si="147"/>
      </c>
      <c r="EE150" s="291">
        <f t="shared" si="147"/>
      </c>
      <c r="EF150" s="291">
        <f t="shared" si="147"/>
      </c>
      <c r="EG150" s="292">
        <f t="shared" si="147"/>
      </c>
      <c r="EH150" s="291">
        <f t="shared" si="147"/>
      </c>
      <c r="EI150" s="291">
        <f t="shared" si="147"/>
      </c>
      <c r="EJ150" s="291">
        <f t="shared" si="147"/>
      </c>
      <c r="EK150" s="291">
        <f t="shared" si="147"/>
      </c>
      <c r="EL150" s="292">
        <f t="shared" si="147"/>
      </c>
      <c r="EM150" s="291">
        <f t="shared" si="147"/>
      </c>
      <c r="EN150" s="291">
        <f t="shared" si="147"/>
      </c>
      <c r="EO150" s="291">
        <f t="shared" si="147"/>
      </c>
      <c r="EP150" s="291">
        <f t="shared" si="147"/>
      </c>
      <c r="EQ150" s="292">
        <f t="shared" si="147"/>
      </c>
      <c r="ER150" s="291">
        <f t="shared" si="147"/>
      </c>
      <c r="ES150" s="291">
        <f t="shared" si="147"/>
      </c>
      <c r="ET150" s="291">
        <f t="shared" si="147"/>
      </c>
      <c r="EU150" s="291">
        <f t="shared" si="147"/>
      </c>
      <c r="EV150" s="292">
        <f t="shared" si="147"/>
      </c>
      <c r="EW150" s="291"/>
      <c r="EX150" s="291"/>
      <c r="EY150" s="291"/>
      <c r="EZ150" s="291"/>
      <c r="FA150" s="292"/>
      <c r="FB150" s="291"/>
      <c r="FC150" s="291"/>
      <c r="FD150" s="291"/>
      <c r="FE150" s="291"/>
      <c r="FF150" s="292"/>
      <c r="FG150" s="291"/>
      <c r="FH150" s="291"/>
      <c r="FI150" s="291"/>
      <c r="FJ150" s="291"/>
      <c r="FK150" s="292"/>
      <c r="FL150" s="291"/>
      <c r="FM150" s="291"/>
      <c r="FN150" s="291"/>
      <c r="FO150" s="291"/>
      <c r="FP150" s="292"/>
      <c r="FQ150" s="291"/>
      <c r="FR150" s="291"/>
      <c r="FS150" s="291"/>
      <c r="FT150" s="291"/>
      <c r="FU150" s="292"/>
      <c r="FV150" s="291"/>
      <c r="FW150" s="107"/>
      <c r="FX150" s="107"/>
      <c r="FY150" s="107"/>
      <c r="FZ150" s="292"/>
      <c r="GA150" s="291"/>
      <c r="GB150" s="107"/>
      <c r="GC150" s="107"/>
      <c r="GD150" s="107"/>
      <c r="GE150" s="292"/>
      <c r="GF150" s="291"/>
      <c r="GG150" s="107"/>
      <c r="GH150" s="107"/>
      <c r="GI150" s="107"/>
      <c r="GJ150" s="384"/>
    </row>
    <row r="151" spans="1:192" ht="12.75" hidden="1" customHeight="1" outlineLevel="1">
      <c r="B151" s="735" t="s">
        <v>1884</v>
      </c>
      <c r="C151" s="291"/>
      <c r="D151" s="107"/>
      <c r="E151" s="107"/>
      <c r="F151" s="107"/>
      <c r="G151" s="292"/>
      <c r="H151" s="291"/>
      <c r="I151" s="107"/>
      <c r="J151" s="107"/>
      <c r="K151" s="107"/>
      <c r="L151" s="292"/>
      <c r="M151" s="291"/>
      <c r="N151" s="107"/>
      <c r="O151" s="107"/>
      <c r="P151" s="107"/>
      <c r="Q151" s="292"/>
      <c r="R151" s="291"/>
      <c r="S151" s="107"/>
      <c r="T151" s="107"/>
      <c r="U151" s="107"/>
      <c r="V151" s="292"/>
      <c r="W151" s="291"/>
      <c r="X151" s="107"/>
      <c r="Y151" s="107"/>
      <c r="Z151" s="107"/>
      <c r="AA151" s="292"/>
      <c r="AB151" s="291"/>
      <c r="AC151" s="107"/>
      <c r="AD151" s="107"/>
      <c r="AE151" s="107"/>
      <c r="AF151" s="292"/>
      <c r="AG151" s="291"/>
      <c r="AH151" s="107"/>
      <c r="AI151" s="107"/>
      <c r="AJ151" s="107"/>
      <c r="AK151" s="292"/>
      <c r="AL151" s="291"/>
      <c r="AM151" s="107"/>
      <c r="AN151" s="107"/>
      <c r="AO151" s="107"/>
      <c r="AP151" s="292"/>
      <c r="AQ151" s="291"/>
      <c r="AR151" s="107"/>
      <c r="AS151" s="107"/>
      <c r="AT151" s="107"/>
      <c r="AU151" s="292"/>
      <c r="AV151" s="291"/>
      <c r="AW151" s="107"/>
      <c r="AX151" s="107"/>
      <c r="AY151" s="107"/>
      <c r="AZ151" s="292"/>
      <c r="BA151" s="291"/>
      <c r="BB151" s="107"/>
      <c r="BC151" s="107"/>
      <c r="BD151" s="107"/>
      <c r="BE151" s="292"/>
      <c r="BF151" s="291"/>
      <c r="BG151" s="107"/>
      <c r="BH151" s="107"/>
      <c r="BI151" s="107"/>
      <c r="BJ151" s="292"/>
      <c r="BK151" s="291"/>
      <c r="BL151" s="107"/>
      <c r="BM151" s="107"/>
      <c r="BN151" s="107"/>
      <c r="BO151" s="292"/>
      <c r="BP151" s="291"/>
      <c r="BQ151" s="107"/>
      <c r="BR151" s="107"/>
      <c r="BS151" s="107"/>
      <c r="BT151" s="292"/>
      <c r="BU151" s="291"/>
      <c r="BV151" s="107"/>
      <c r="BW151" s="107"/>
      <c r="BX151" s="107"/>
      <c r="BY151" s="292"/>
      <c r="BZ151" s="291"/>
      <c r="CA151" s="107"/>
      <c r="CB151" s="107"/>
      <c r="CC151" s="107"/>
      <c r="CD151" s="292"/>
      <c r="CE151" s="291"/>
      <c r="CF151" s="107"/>
      <c r="CG151" s="107"/>
      <c r="CH151" s="107"/>
      <c r="CI151" s="292"/>
      <c r="CJ151" s="291"/>
      <c r="CK151" s="107"/>
      <c r="CL151" s="107"/>
      <c r="CM151" s="107"/>
      <c r="CN151" s="292"/>
      <c r="CO151" s="291"/>
      <c r="CP151" s="107"/>
      <c r="CQ151" s="107"/>
      <c r="CR151" s="107"/>
      <c r="CS151" s="292"/>
      <c r="CT151" s="291"/>
      <c r="CU151" s="291"/>
      <c r="CV151" s="291"/>
      <c r="CW151" s="291"/>
      <c r="CX151" s="292"/>
      <c r="CY151" s="291"/>
      <c r="CZ151" s="291"/>
      <c r="DA151" s="291"/>
      <c r="DB151" s="291"/>
      <c r="DC151" s="292"/>
      <c r="DD151" s="349"/>
      <c r="DE151" s="349"/>
      <c r="DF151" s="349"/>
      <c r="DG151" s="349"/>
      <c r="DH151" s="896"/>
      <c r="DI151" s="349"/>
      <c r="DJ151" s="349"/>
      <c r="DK151" s="349"/>
      <c r="DL151" s="349"/>
      <c r="DM151" s="896"/>
      <c r="DN151" s="349"/>
      <c r="DO151" s="349"/>
      <c r="DP151" s="349"/>
      <c r="DQ151" s="349"/>
      <c r="DR151" s="896"/>
      <c r="DS151" s="291"/>
      <c r="DT151" s="291"/>
      <c r="DU151" s="291"/>
      <c r="DV151" s="291"/>
      <c r="DW151" s="292">
        <f t="shared" ref="DW151:EV151" si="148">DW144/DW$50</f>
      </c>
      <c r="DX151" s="291">
        <f t="shared" si="148"/>
      </c>
      <c r="DY151" s="291">
        <f t="shared" si="148"/>
      </c>
      <c r="DZ151" s="291">
        <f t="shared" si="148"/>
      </c>
      <c r="EA151" s="291">
        <f t="shared" si="148"/>
      </c>
      <c r="EB151" s="292">
        <f t="shared" si="148"/>
      </c>
      <c r="EC151" s="291">
        <f t="shared" si="148"/>
      </c>
      <c r="ED151" s="291">
        <f t="shared" si="148"/>
      </c>
      <c r="EE151" s="291">
        <f t="shared" si="148"/>
      </c>
      <c r="EF151" s="291">
        <f t="shared" si="148"/>
      </c>
      <c r="EG151" s="292">
        <f t="shared" si="148"/>
      </c>
      <c r="EH151" s="291">
        <f t="shared" si="148"/>
      </c>
      <c r="EI151" s="291">
        <f t="shared" si="148"/>
      </c>
      <c r="EJ151" s="291">
        <f t="shared" si="148"/>
      </c>
      <c r="EK151" s="291">
        <f t="shared" si="148"/>
      </c>
      <c r="EL151" s="292">
        <f t="shared" si="148"/>
      </c>
      <c r="EM151" s="291">
        <f t="shared" si="148"/>
      </c>
      <c r="EN151" s="291">
        <f t="shared" si="148"/>
      </c>
      <c r="EO151" s="291">
        <f t="shared" si="148"/>
      </c>
      <c r="EP151" s="291">
        <f t="shared" si="148"/>
      </c>
      <c r="EQ151" s="292">
        <f t="shared" si="148"/>
      </c>
      <c r="ER151" s="291">
        <f t="shared" si="148"/>
      </c>
      <c r="ES151" s="291">
        <f t="shared" si="148"/>
      </c>
      <c r="ET151" s="291">
        <f t="shared" si="148"/>
      </c>
      <c r="EU151" s="291">
        <f t="shared" si="148"/>
      </c>
      <c r="EV151" s="292">
        <f t="shared" si="148"/>
      </c>
      <c r="EW151" s="291"/>
      <c r="EX151" s="291"/>
      <c r="EY151" s="291"/>
      <c r="EZ151" s="291"/>
      <c r="FA151" s="292"/>
      <c r="FB151" s="291"/>
      <c r="FC151" s="291"/>
      <c r="FD151" s="291"/>
      <c r="FE151" s="291"/>
      <c r="FF151" s="292"/>
      <c r="FG151" s="291"/>
      <c r="FH151" s="291"/>
      <c r="FI151" s="291"/>
      <c r="FJ151" s="291"/>
      <c r="FK151" s="292"/>
      <c r="FL151" s="291"/>
      <c r="FM151" s="291"/>
      <c r="FN151" s="291"/>
      <c r="FO151" s="291"/>
      <c r="FP151" s="292"/>
      <c r="FQ151" s="291"/>
      <c r="FR151" s="291"/>
      <c r="FS151" s="291"/>
      <c r="FT151" s="291"/>
      <c r="FU151" s="292"/>
      <c r="FV151" s="291"/>
      <c r="FW151" s="107"/>
      <c r="FX151" s="107"/>
      <c r="FY151" s="107"/>
      <c r="FZ151" s="292"/>
      <c r="GA151" s="291"/>
      <c r="GB151" s="107"/>
      <c r="GC151" s="107"/>
      <c r="GD151" s="107"/>
      <c r="GE151" s="292"/>
      <c r="GF151" s="291"/>
      <c r="GG151" s="107"/>
      <c r="GH151" s="107"/>
      <c r="GI151" s="107"/>
      <c r="GJ151" s="384"/>
    </row>
    <row r="152" spans="1:192" s="701" customFormat="1" ht="12.75" hidden="1" customHeight="1" outlineLevel="1">
      <c r="A152" s="850"/>
      <c r="B152" s="732"/>
      <c r="C152" s="495"/>
      <c r="D152" s="503"/>
      <c r="E152" s="503"/>
      <c r="F152" s="503"/>
      <c r="G152" s="916"/>
      <c r="H152" s="495"/>
      <c r="I152" s="503"/>
      <c r="J152" s="503"/>
      <c r="K152" s="503"/>
      <c r="L152" s="916"/>
      <c r="M152" s="495"/>
      <c r="N152" s="503"/>
      <c r="O152" s="503"/>
      <c r="P152" s="503"/>
      <c r="Q152" s="916"/>
      <c r="R152" s="495"/>
      <c r="S152" s="503"/>
      <c r="T152" s="503"/>
      <c r="U152" s="503"/>
      <c r="V152" s="916"/>
      <c r="W152" s="495"/>
      <c r="X152" s="503"/>
      <c r="Y152" s="503"/>
      <c r="Z152" s="503"/>
      <c r="AA152" s="916"/>
      <c r="AB152" s="495"/>
      <c r="AC152" s="503"/>
      <c r="AD152" s="503"/>
      <c r="AE152" s="503"/>
      <c r="AF152" s="916"/>
      <c r="AG152" s="495"/>
      <c r="AH152" s="503"/>
      <c r="AI152" s="503"/>
      <c r="AJ152" s="503"/>
      <c r="AK152" s="916"/>
      <c r="AL152" s="495"/>
      <c r="AM152" s="503"/>
      <c r="AN152" s="503"/>
      <c r="AO152" s="503"/>
      <c r="AP152" s="916"/>
      <c r="AQ152" s="495"/>
      <c r="AR152" s="503"/>
      <c r="AS152" s="503"/>
      <c r="AT152" s="503"/>
      <c r="AU152" s="916"/>
      <c r="AV152" s="495"/>
      <c r="AW152" s="503"/>
      <c r="AX152" s="503"/>
      <c r="AY152" s="503"/>
      <c r="AZ152" s="916"/>
      <c r="BA152" s="495"/>
      <c r="BB152" s="503"/>
      <c r="BC152" s="503"/>
      <c r="BD152" s="503"/>
      <c r="BE152" s="916"/>
      <c r="BF152" s="495"/>
      <c r="BG152" s="503"/>
      <c r="BH152" s="503"/>
      <c r="BI152" s="503"/>
      <c r="BJ152" s="916"/>
      <c r="BK152" s="495"/>
      <c r="BL152" s="503"/>
      <c r="BM152" s="503"/>
      <c r="BN152" s="503"/>
      <c r="BO152" s="916"/>
      <c r="BP152" s="495"/>
      <c r="BQ152" s="503"/>
      <c r="BR152" s="503"/>
      <c r="BS152" s="503"/>
      <c r="BT152" s="916"/>
      <c r="BU152" s="495"/>
      <c r="BV152" s="503"/>
      <c r="BW152" s="503"/>
      <c r="BX152" s="503"/>
      <c r="BY152" s="916"/>
      <c r="BZ152" s="495"/>
      <c r="CA152" s="503"/>
      <c r="CB152" s="503"/>
      <c r="CC152" s="503"/>
      <c r="CD152" s="921"/>
      <c r="CE152" s="495"/>
      <c r="CF152" s="503"/>
      <c r="CG152" s="503"/>
      <c r="CH152" s="503"/>
      <c r="CI152" s="921"/>
      <c r="CJ152" s="495"/>
      <c r="CK152" s="503"/>
      <c r="CL152" s="503"/>
      <c r="CM152" s="503"/>
      <c r="CN152" s="921"/>
      <c r="CO152" s="495"/>
      <c r="CP152" s="503"/>
      <c r="CQ152" s="503"/>
      <c r="CR152" s="503"/>
      <c r="CS152" s="921"/>
      <c r="CT152" s="495"/>
      <c r="CU152" s="503"/>
      <c r="CV152" s="503"/>
      <c r="CW152" s="503"/>
      <c r="CX152" s="921"/>
      <c r="CY152" s="495"/>
      <c r="CZ152" s="503"/>
      <c r="DA152" s="503"/>
      <c r="DB152" s="503"/>
      <c r="DC152" s="921"/>
      <c r="DD152" s="495"/>
      <c r="DE152" s="503"/>
      <c r="DF152" s="503"/>
      <c r="DG152" s="503"/>
      <c r="DH152" s="921"/>
      <c r="DI152" s="495"/>
      <c r="DJ152" s="503"/>
      <c r="DK152" s="503"/>
      <c r="DL152" s="503"/>
      <c r="DM152" s="921"/>
      <c r="DN152" s="495"/>
      <c r="DO152" s="503"/>
      <c r="DP152" s="503"/>
      <c r="DQ152" s="503"/>
      <c r="DR152" s="921"/>
      <c r="DS152" s="495"/>
      <c r="DT152" s="503"/>
      <c r="DU152" s="503"/>
      <c r="DV152" s="503"/>
      <c r="DW152" s="921"/>
      <c r="DX152" s="495"/>
      <c r="DY152" s="503"/>
      <c r="DZ152" s="503"/>
      <c r="EA152" s="503"/>
      <c r="EB152" s="921"/>
      <c r="EC152" s="495"/>
      <c r="ED152" s="503"/>
      <c r="EE152" s="503"/>
      <c r="EF152" s="503"/>
      <c r="EG152" s="921"/>
      <c r="EH152" s="495"/>
      <c r="EI152" s="503"/>
      <c r="EJ152" s="503"/>
      <c r="EK152" s="503"/>
      <c r="EL152" s="921"/>
      <c r="EM152" s="495"/>
      <c r="EN152" s="503"/>
      <c r="EO152" s="503"/>
      <c r="EP152" s="503"/>
      <c r="EQ152" s="921"/>
      <c r="ER152" s="495"/>
      <c r="ES152" s="503"/>
      <c r="ET152" s="503"/>
      <c r="EU152" s="503"/>
      <c r="EV152" s="916"/>
      <c r="EW152" s="495"/>
      <c r="EX152" s="503"/>
      <c r="EY152" s="503"/>
      <c r="EZ152" s="503"/>
      <c r="FA152" s="916"/>
      <c r="FB152" s="495"/>
      <c r="FC152" s="503"/>
      <c r="FD152" s="503"/>
      <c r="FE152" s="503"/>
      <c r="FF152" s="916"/>
      <c r="FG152" s="495"/>
      <c r="FH152" s="503"/>
      <c r="FI152" s="503"/>
      <c r="FJ152" s="503"/>
      <c r="FK152" s="916"/>
      <c r="FL152" s="495"/>
      <c r="FM152" s="503"/>
      <c r="FN152" s="503"/>
      <c r="FO152" s="503"/>
      <c r="FP152" s="916"/>
      <c r="FQ152" s="495"/>
      <c r="FR152" s="503"/>
      <c r="FS152" s="503"/>
      <c r="FT152" s="503"/>
      <c r="FU152" s="916"/>
      <c r="FV152" s="495"/>
      <c r="FW152" s="503"/>
      <c r="FX152" s="503"/>
      <c r="FY152" s="503"/>
      <c r="FZ152" s="916"/>
      <c r="GA152" s="495"/>
      <c r="GB152" s="503"/>
      <c r="GC152" s="503"/>
      <c r="GD152" s="503"/>
      <c r="GE152" s="916"/>
      <c r="GF152" s="495"/>
      <c r="GG152" s="503"/>
      <c r="GH152" s="503"/>
      <c r="GI152" s="503"/>
      <c r="GJ152" s="917"/>
    </row>
    <row r="153" spans="1:192" s="461" customFormat="1" ht="12.75" hidden="1" customHeight="1" outlineLevel="1">
      <c r="A153" s="807"/>
      <c r="B153" s="734" t="s">
        <v>1970</v>
      </c>
      <c r="C153" s="443"/>
      <c r="D153" s="471"/>
      <c r="E153" s="471"/>
      <c r="F153" s="471"/>
      <c r="G153" s="516"/>
      <c r="H153" s="443"/>
      <c r="I153" s="471"/>
      <c r="J153" s="471"/>
      <c r="K153" s="471"/>
      <c r="L153" s="516"/>
      <c r="M153" s="443"/>
      <c r="N153" s="471"/>
      <c r="O153" s="471"/>
      <c r="P153" s="471"/>
      <c r="Q153" s="516"/>
      <c r="R153" s="443"/>
      <c r="S153" s="471"/>
      <c r="T153" s="471"/>
      <c r="U153" s="471"/>
      <c r="V153" s="516"/>
      <c r="W153" s="443"/>
      <c r="X153" s="471"/>
      <c r="Y153" s="471"/>
      <c r="Z153" s="471"/>
      <c r="AA153" s="516"/>
      <c r="AB153" s="443"/>
      <c r="AC153" s="471"/>
      <c r="AD153" s="471"/>
      <c r="AE153" s="471"/>
      <c r="AF153" s="516"/>
      <c r="AG153" s="443"/>
      <c r="AH153" s="471"/>
      <c r="AI153" s="471"/>
      <c r="AJ153" s="471"/>
      <c r="AK153" s="516"/>
      <c r="AL153" s="443"/>
      <c r="AM153" s="471"/>
      <c r="AN153" s="471"/>
      <c r="AO153" s="471"/>
      <c r="AP153" s="516"/>
      <c r="AQ153" s="443"/>
      <c r="AR153" s="471"/>
      <c r="AS153" s="471"/>
      <c r="AT153" s="471"/>
      <c r="AU153" s="516"/>
      <c r="AV153" s="443"/>
      <c r="AW153" s="471"/>
      <c r="AX153" s="471"/>
      <c r="AY153" s="471"/>
      <c r="AZ153" s="516"/>
      <c r="BA153" s="443"/>
      <c r="BB153" s="471"/>
      <c r="BC153" s="471"/>
      <c r="BD153" s="471"/>
      <c r="BE153" s="516"/>
      <c r="BF153" s="443"/>
      <c r="BG153" s="471"/>
      <c r="BH153" s="471"/>
      <c r="BI153" s="471"/>
      <c r="BJ153" s="516"/>
      <c r="BK153" s="443"/>
      <c r="BL153" s="471"/>
      <c r="BM153" s="471"/>
      <c r="BN153" s="471"/>
      <c r="BO153" s="516"/>
      <c r="BP153" s="443"/>
      <c r="BQ153" s="471"/>
      <c r="BR153" s="471"/>
      <c r="BS153" s="471"/>
      <c r="BT153" s="516"/>
      <c r="BU153" s="443"/>
      <c r="BV153" s="471"/>
      <c r="BW153" s="471"/>
      <c r="BX153" s="471"/>
      <c r="BY153" s="516"/>
      <c r="BZ153" s="443"/>
      <c r="CA153" s="471"/>
      <c r="CB153" s="471"/>
      <c r="CC153" s="471"/>
      <c r="CD153" s="516"/>
      <c r="CE153" s="443"/>
      <c r="CF153" s="471"/>
      <c r="CG153" s="471"/>
      <c r="CH153" s="471"/>
      <c r="CI153" s="516"/>
      <c r="CJ153" s="443"/>
      <c r="CK153" s="471"/>
      <c r="CL153" s="471"/>
      <c r="CM153" s="471"/>
      <c r="CN153" s="516"/>
      <c r="CO153" s="443"/>
      <c r="CP153" s="471"/>
      <c r="CQ153" s="906"/>
      <c r="CR153" s="906"/>
      <c r="CS153" s="516"/>
      <c r="CT153" s="1144"/>
      <c r="CU153" s="1144"/>
      <c r="CV153" s="1145"/>
      <c r="CW153" s="1144"/>
      <c r="CX153" s="516"/>
      <c r="CY153" s="443"/>
      <c r="CZ153" s="443"/>
      <c r="DA153" s="443"/>
      <c r="DB153" s="443"/>
      <c r="DC153" s="516"/>
      <c r="DD153" s="471"/>
      <c r="DE153" s="471"/>
      <c r="DF153" s="471"/>
      <c r="DG153" s="471">
        <f>DL153/(1+DL154)</f>
      </c>
      <c r="DH153" s="516"/>
      <c r="DI153" s="471">
        <f>DN153/(1+DN154)</f>
      </c>
      <c r="DJ153" s="471">
        <f>DO153/(1+DO154)</f>
      </c>
      <c r="DK153" s="471">
        <f>DP153/(1+DP154)</f>
      </c>
      <c r="DL153" s="1374">
        <f>DL159*DL144</f>
      </c>
      <c r="DM153" s="516">
        <f>SUM(DI153:DL153)</f>
      </c>
      <c r="DN153" s="471">
        <f>DS153/(1+DS154)</f>
      </c>
      <c r="DO153" s="471">
        <f>DT153/(1+DT154)</f>
      </c>
      <c r="DP153" s="471">
        <f>DU153/(1+DU154)</f>
      </c>
      <c r="DQ153" s="471">
        <f>DL153*(DQ154+1)</f>
      </c>
      <c r="DR153" s="516">
        <f>SUM(DN153:DQ153)</f>
      </c>
      <c r="DS153" s="471">
        <f>DX153/(1+DX154)</f>
      </c>
      <c r="DT153" s="471">
        <f>DY153/(1+DY154)</f>
      </c>
      <c r="DU153" s="471">
        <f>DZ153/(1+DZ154)</f>
      </c>
      <c r="DV153" s="471">
        <f>DQ153*(DV154+1)</f>
      </c>
      <c r="DW153" s="516">
        <f>SUM(DS153:DV153)</f>
      </c>
      <c r="DX153" s="471">
        <f>EC153/(1+EC154)</f>
      </c>
      <c r="DY153" s="471">
        <f>ED153/(1+ED154)</f>
      </c>
      <c r="DZ153" s="471">
        <f>EE153/(1+EE154)</f>
      </c>
      <c r="EA153" s="471">
        <f>DV153*(EA154+1)</f>
      </c>
      <c r="EB153" s="516">
        <f>SUM(DX153:EA153)</f>
      </c>
      <c r="EC153" s="471">
        <f>EH153/(1+EH154)</f>
      </c>
      <c r="ED153" s="471">
        <f>EI153/(1+EI154)</f>
      </c>
      <c r="EE153" s="471">
        <f>EJ153/(1+EJ154)</f>
      </c>
      <c r="EF153" s="471">
        <f>EA153*(EF154+1)</f>
      </c>
      <c r="EG153" s="516">
        <f>SUM(EC153:EF153)</f>
      </c>
      <c r="EH153" s="471">
        <f>EM153/(1+EM154)</f>
      </c>
      <c r="EI153" s="471">
        <f>EN153/(1+EN154)</f>
      </c>
      <c r="EJ153" s="471">
        <f>EO153/(1+EO154)</f>
      </c>
      <c r="EK153" s="471">
        <f>EF153*(EK154+1)</f>
      </c>
      <c r="EL153" s="516">
        <f>SUM(EH153:EK153)</f>
      </c>
      <c r="EM153" s="471">
        <f>EM159*EM144</f>
      </c>
      <c r="EN153" s="471">
        <f>EN159*EN144</f>
      </c>
      <c r="EO153" s="471">
        <f>EO159*EO144</f>
      </c>
      <c r="EP153" s="471">
        <f>EK153*(EP154+1)</f>
      </c>
      <c r="EQ153" s="516">
        <f>SUM(EM153:EP153)</f>
      </c>
      <c r="ER153" s="471">
        <f>EM153*(1+ER154)</f>
      </c>
      <c r="ES153" s="471">
        <f>EN153*(1+ES154)</f>
      </c>
      <c r="ET153" s="471">
        <f>EO153*(ET154+1)</f>
      </c>
      <c r="EU153" s="471">
        <f>EP153*(EU154+1)</f>
      </c>
      <c r="EV153" s="516">
        <f>SUM(ER153:EU153)</f>
      </c>
      <c r="EW153" s="471"/>
      <c r="EX153" s="471"/>
      <c r="EY153" s="471"/>
      <c r="EZ153" s="471"/>
      <c r="FA153" s="516"/>
      <c r="FB153" s="471"/>
      <c r="FC153" s="471"/>
      <c r="FD153" s="471"/>
      <c r="FE153" s="471"/>
      <c r="FF153" s="516"/>
      <c r="FG153" s="471"/>
      <c r="FH153" s="471"/>
      <c r="FI153" s="471"/>
      <c r="FJ153" s="471"/>
      <c r="FK153" s="516"/>
      <c r="FL153" s="471"/>
      <c r="FM153" s="471"/>
      <c r="FN153" s="471"/>
      <c r="FO153" s="471"/>
      <c r="FP153" s="516"/>
      <c r="FQ153" s="471"/>
      <c r="FR153" s="471"/>
      <c r="FS153" s="471"/>
      <c r="FT153" s="471"/>
      <c r="FU153" s="516"/>
      <c r="FV153" s="443"/>
      <c r="FW153" s="471"/>
      <c r="FX153" s="471"/>
      <c r="FY153" s="471"/>
      <c r="FZ153" s="516"/>
      <c r="GA153" s="443"/>
      <c r="GB153" s="471"/>
      <c r="GC153" s="471"/>
      <c r="GD153" s="471"/>
      <c r="GE153" s="516"/>
      <c r="GF153" s="443"/>
      <c r="GG153" s="471"/>
      <c r="GH153" s="471"/>
      <c r="GI153" s="471"/>
      <c r="GJ153" s="808"/>
    </row>
    <row r="154" spans="1:192" s="1241" customFormat="1" ht="12.75" hidden="1" customHeight="1" outlineLevel="1">
      <c r="A154" s="1237" t="s">
        <v>360</v>
      </c>
      <c r="B154" s="735" t="s">
        <v>34</v>
      </c>
      <c r="C154" s="1238"/>
      <c r="D154" s="1117"/>
      <c r="E154" s="1117"/>
      <c r="F154" s="1117"/>
      <c r="G154" s="1325"/>
      <c r="H154" s="1238"/>
      <c r="I154" s="1117"/>
      <c r="J154" s="1117"/>
      <c r="K154" s="1117"/>
      <c r="L154" s="1325"/>
      <c r="M154" s="1238"/>
      <c r="N154" s="1117"/>
      <c r="O154" s="1117"/>
      <c r="P154" s="1117"/>
      <c r="Q154" s="1325"/>
      <c r="R154" s="1238"/>
      <c r="S154" s="1117"/>
      <c r="T154" s="1117"/>
      <c r="U154" s="1117"/>
      <c r="V154" s="1325"/>
      <c r="W154" s="1238"/>
      <c r="X154" s="1117"/>
      <c r="Y154" s="1117"/>
      <c r="Z154" s="1117"/>
      <c r="AA154" s="1325"/>
      <c r="AB154" s="1238"/>
      <c r="AC154" s="1117"/>
      <c r="AD154" s="1117"/>
      <c r="AE154" s="1117"/>
      <c r="AF154" s="1325"/>
      <c r="AG154" s="1238"/>
      <c r="AH154" s="1117"/>
      <c r="AI154" s="1117"/>
      <c r="AJ154" s="1117"/>
      <c r="AK154" s="1325"/>
      <c r="AL154" s="1238"/>
      <c r="AM154" s="1117"/>
      <c r="AN154" s="1117"/>
      <c r="AO154" s="1117"/>
      <c r="AP154" s="1325"/>
      <c r="AQ154" s="1238"/>
      <c r="AR154" s="1117"/>
      <c r="AS154" s="1117"/>
      <c r="AT154" s="1117"/>
      <c r="AU154" s="1325"/>
      <c r="AV154" s="1238"/>
      <c r="AW154" s="1117"/>
      <c r="AX154" s="1117"/>
      <c r="AY154" s="1117"/>
      <c r="AZ154" s="1325"/>
      <c r="BA154" s="1238"/>
      <c r="BB154" s="1117"/>
      <c r="BC154" s="1117"/>
      <c r="BD154" s="1117"/>
      <c r="BE154" s="1325"/>
      <c r="BF154" s="1238"/>
      <c r="BG154" s="1117"/>
      <c r="BH154" s="1117"/>
      <c r="BI154" s="1117"/>
      <c r="BJ154" s="1325"/>
      <c r="BK154" s="1238"/>
      <c r="BL154" s="1117"/>
      <c r="BM154" s="1117"/>
      <c r="BN154" s="1117"/>
      <c r="BO154" s="1325"/>
      <c r="BP154" s="1238"/>
      <c r="BQ154" s="1117"/>
      <c r="BR154" s="1117"/>
      <c r="BS154" s="1117"/>
      <c r="BT154" s="1325"/>
      <c r="BU154" s="1238"/>
      <c r="BV154" s="1117"/>
      <c r="BW154" s="1117"/>
      <c r="BX154" s="1117"/>
      <c r="BY154" s="1325"/>
      <c r="BZ154" s="1238"/>
      <c r="CA154" s="1117"/>
      <c r="CB154" s="1117"/>
      <c r="CC154" s="1117"/>
      <c r="CD154" s="893"/>
      <c r="CE154" s="1238"/>
      <c r="CF154" s="1117"/>
      <c r="CG154" s="1117"/>
      <c r="CH154" s="1117"/>
      <c r="CI154" s="893"/>
      <c r="CJ154" s="1238"/>
      <c r="CK154" s="1117"/>
      <c r="CL154" s="1117"/>
      <c r="CM154" s="1117"/>
      <c r="CN154" s="893"/>
      <c r="CO154" s="1238"/>
      <c r="CP154" s="1117"/>
      <c r="CQ154" s="1327"/>
      <c r="CR154" s="1327"/>
      <c r="CS154" s="893"/>
      <c r="CT154" s="1146"/>
      <c r="CU154" s="1146"/>
      <c r="CV154" s="1146"/>
      <c r="CW154" s="1146"/>
      <c r="CX154" s="893"/>
      <c r="CY154" s="892"/>
      <c r="CZ154" s="892"/>
      <c r="DA154" s="892"/>
      <c r="DB154" s="892"/>
      <c r="DC154" s="893"/>
      <c r="DD154" s="1328"/>
      <c r="DE154" s="1327"/>
      <c r="DF154" s="1327"/>
      <c r="DG154" s="114">
        <v>0.54</v>
      </c>
      <c r="DH154" s="293"/>
      <c r="DI154" s="412">
        <v>0.51</v>
      </c>
      <c r="DJ154" s="114">
        <v>0.47</v>
      </c>
      <c r="DK154" s="114">
        <v>0.45</v>
      </c>
      <c r="DL154" s="114">
        <v>0.43</v>
      </c>
      <c r="DM154" s="293"/>
      <c r="DN154" s="412">
        <v>0.42</v>
      </c>
      <c r="DO154" s="114">
        <v>0.41</v>
      </c>
      <c r="DP154" s="114">
        <v>0.42</v>
      </c>
      <c r="DQ154" s="114">
        <v>0.38</v>
      </c>
      <c r="DR154" s="293">
        <f>DR153/DM153-1</f>
      </c>
      <c r="DS154" s="412">
        <v>0.36</v>
      </c>
      <c r="DT154" s="114">
        <v>0.34</v>
      </c>
      <c r="DU154" s="114">
        <v>0.3</v>
      </c>
      <c r="DV154" s="114">
        <v>0.31</v>
      </c>
      <c r="DW154" s="293">
        <f>DW153/DR153-1</f>
      </c>
      <c r="DX154" s="412">
        <v>0.25</v>
      </c>
      <c r="DY154" s="114">
        <v>0.27</v>
      </c>
      <c r="DZ154" s="114">
        <v>0.25</v>
      </c>
      <c r="EA154" s="114">
        <v>0.19</v>
      </c>
      <c r="EB154" s="293">
        <f>EB153/DW153-1</f>
      </c>
      <c r="EC154" s="412">
        <v>0.21</v>
      </c>
      <c r="ED154" s="114">
        <v>0.21</v>
      </c>
      <c r="EE154" s="114">
        <v>0.22</v>
      </c>
      <c r="EF154" s="114">
        <v>0.25</v>
      </c>
      <c r="EG154" s="293">
        <f>EG153/EB153-1</f>
      </c>
      <c r="EH154" s="412">
        <v>0.23</v>
      </c>
      <c r="EI154" s="114">
        <v>0.19</v>
      </c>
      <c r="EJ154" s="114">
        <v>0.17</v>
      </c>
      <c r="EK154" s="114">
        <v>0.14599999999999999</v>
      </c>
      <c r="EL154" s="414">
        <v>0.18</v>
      </c>
      <c r="EM154" s="412">
        <v>0.11</v>
      </c>
      <c r="EN154" s="114">
        <v>0.11</v>
      </c>
      <c r="EO154" s="114">
        <v>0.14000000000000001</v>
      </c>
      <c r="EP154" s="114">
        <v>0.14549999999999999</v>
      </c>
      <c r="EQ154" s="293">
        <f>EQ153/EL153-1</f>
      </c>
      <c r="ER154" s="412">
        <v>0.17499999999999999</v>
      </c>
      <c r="ES154" s="114">
        <v>0.17199999999999999</v>
      </c>
      <c r="ET154" s="439">
        <v>0.14699999999999999</v>
      </c>
      <c r="EU154" s="439">
        <v>0.13</v>
      </c>
      <c r="EV154" s="293">
        <f>EV153/EQ153-1</f>
      </c>
      <c r="EW154" s="412"/>
      <c r="EX154" s="114"/>
      <c r="EY154" s="114"/>
      <c r="EZ154" s="114"/>
      <c r="FA154" s="293"/>
      <c r="FB154" s="412"/>
      <c r="FC154" s="412"/>
      <c r="FD154" s="412"/>
      <c r="FE154" s="412"/>
      <c r="FF154" s="293"/>
      <c r="FG154" s="412"/>
      <c r="FH154" s="412"/>
      <c r="FI154" s="412"/>
      <c r="FJ154" s="412"/>
      <c r="FK154" s="293"/>
      <c r="FL154" s="412"/>
      <c r="FM154" s="412"/>
      <c r="FN154" s="412"/>
      <c r="FO154" s="412"/>
      <c r="FP154" s="293"/>
      <c r="FQ154" s="412"/>
      <c r="FR154" s="412"/>
      <c r="FS154" s="412"/>
      <c r="FT154" s="412"/>
      <c r="FU154" s="293"/>
      <c r="FV154" s="412"/>
      <c r="FW154" s="412"/>
      <c r="FX154" s="412"/>
      <c r="FY154" s="412"/>
      <c r="FZ154" s="293"/>
      <c r="GA154" s="412"/>
      <c r="GB154" s="412"/>
      <c r="GC154" s="412"/>
      <c r="GD154" s="412"/>
      <c r="GE154" s="293"/>
      <c r="GF154" s="412"/>
      <c r="GG154" s="412"/>
      <c r="GH154" s="412"/>
      <c r="GI154" s="412"/>
      <c r="GJ154" s="382"/>
    </row>
    <row r="155" spans="1:192" ht="12.75" hidden="1" customHeight="1" outlineLevel="1">
      <c r="A155" s="68" t="s">
        <v>361</v>
      </c>
      <c r="B155" s="735" t="s">
        <v>197</v>
      </c>
      <c r="C155" s="412"/>
      <c r="D155" s="114"/>
      <c r="E155" s="114"/>
      <c r="F155" s="114"/>
      <c r="G155" s="414"/>
      <c r="H155" s="412"/>
      <c r="I155" s="114"/>
      <c r="J155" s="114"/>
      <c r="K155" s="114"/>
      <c r="L155" s="414"/>
      <c r="M155" s="412"/>
      <c r="N155" s="114"/>
      <c r="O155" s="114"/>
      <c r="P155" s="114"/>
      <c r="Q155" s="414"/>
      <c r="R155" s="412"/>
      <c r="S155" s="114"/>
      <c r="T155" s="114"/>
      <c r="U155" s="114"/>
      <c r="V155" s="414"/>
      <c r="W155" s="412"/>
      <c r="X155" s="114"/>
      <c r="Y155" s="114"/>
      <c r="Z155" s="114"/>
      <c r="AA155" s="414"/>
      <c r="AB155" s="412"/>
      <c r="AC155" s="114"/>
      <c r="AD155" s="114"/>
      <c r="AE155" s="114"/>
      <c r="AF155" s="414"/>
      <c r="AG155" s="412"/>
      <c r="AH155" s="114"/>
      <c r="AI155" s="114"/>
      <c r="AJ155" s="114"/>
      <c r="AK155" s="414"/>
      <c r="AL155" s="412"/>
      <c r="AM155" s="114"/>
      <c r="AN155" s="114"/>
      <c r="AO155" s="114"/>
      <c r="AP155" s="414"/>
      <c r="AQ155" s="412"/>
      <c r="AR155" s="114"/>
      <c r="AS155" s="114"/>
      <c r="AT155" s="114"/>
      <c r="AU155" s="414"/>
      <c r="AV155" s="412"/>
      <c r="AW155" s="114"/>
      <c r="AX155" s="114"/>
      <c r="AY155" s="114"/>
      <c r="AZ155" s="414"/>
      <c r="BA155" s="412"/>
      <c r="BB155" s="114"/>
      <c r="BC155" s="114"/>
      <c r="BD155" s="114"/>
      <c r="BE155" s="414"/>
      <c r="BF155" s="412"/>
      <c r="BG155" s="114"/>
      <c r="BH155" s="114"/>
      <c r="BI155" s="114"/>
      <c r="BJ155" s="414"/>
      <c r="BK155" s="412"/>
      <c r="BL155" s="114"/>
      <c r="BM155" s="114"/>
      <c r="BN155" s="114"/>
      <c r="BO155" s="414"/>
      <c r="BP155" s="412"/>
      <c r="BQ155" s="114"/>
      <c r="BR155" s="114"/>
      <c r="BS155" s="114"/>
      <c r="BT155" s="414"/>
      <c r="BU155" s="412"/>
      <c r="BV155" s="114"/>
      <c r="BW155" s="114"/>
      <c r="BX155" s="114"/>
      <c r="BY155" s="414"/>
      <c r="BZ155" s="412"/>
      <c r="CA155" s="114"/>
      <c r="CB155" s="114"/>
      <c r="CC155" s="114"/>
      <c r="CD155" s="293"/>
      <c r="CE155" s="412"/>
      <c r="CF155" s="114"/>
      <c r="CG155" s="114"/>
      <c r="CH155" s="114"/>
      <c r="CI155" s="293"/>
      <c r="CJ155" s="412"/>
      <c r="CK155" s="114"/>
      <c r="CL155" s="114"/>
      <c r="CM155" s="114"/>
      <c r="CN155" s="293"/>
      <c r="CO155" s="412"/>
      <c r="CP155" s="114"/>
      <c r="CQ155" s="439"/>
      <c r="CR155" s="439"/>
      <c r="CS155" s="293"/>
      <c r="CT155" s="349"/>
      <c r="CU155" s="468"/>
      <c r="CV155" s="468"/>
      <c r="CW155" s="468"/>
      <c r="CX155" s="293"/>
      <c r="CY155" s="291"/>
      <c r="CZ155" s="107"/>
      <c r="DA155" s="107"/>
      <c r="DB155" s="107"/>
      <c r="DC155" s="293"/>
      <c r="DD155" s="412">
        <v>0.7</v>
      </c>
      <c r="DE155" s="114">
        <v>0.7</v>
      </c>
      <c r="DF155" s="114">
        <v>0.63</v>
      </c>
      <c r="DG155" s="114">
        <v>0.59</v>
      </c>
      <c r="DH155" s="293"/>
      <c r="DI155" s="412">
        <v>0.54</v>
      </c>
      <c r="DJ155" s="114">
        <v>0.49</v>
      </c>
      <c r="DK155" s="114">
        <v>0.45</v>
      </c>
      <c r="DL155" s="114">
        <v>0.44</v>
      </c>
      <c r="DM155" s="293"/>
      <c r="DN155" s="412">
        <v>0.42</v>
      </c>
      <c r="DO155" s="114">
        <v>0.41</v>
      </c>
      <c r="DP155" s="114">
        <v>0.4</v>
      </c>
      <c r="DQ155" s="114">
        <v>0.35</v>
      </c>
      <c r="DR155" s="293"/>
      <c r="DS155" s="412">
        <v>0.35</v>
      </c>
      <c r="DT155" s="114">
        <v>0.33</v>
      </c>
      <c r="DU155" s="114">
        <v>0.31</v>
      </c>
      <c r="DV155" s="114">
        <v>0.34</v>
      </c>
      <c r="DW155" s="293"/>
      <c r="DX155" s="412">
        <v>0.28000000000000003</v>
      </c>
      <c r="DY155" s="114">
        <v>0.3</v>
      </c>
      <c r="DZ155" s="114">
        <v>0.27</v>
      </c>
      <c r="EA155" s="114">
        <v>0.22</v>
      </c>
      <c r="EB155" s="293"/>
      <c r="EC155" s="412">
        <v>0.2</v>
      </c>
      <c r="ED155" s="114">
        <v>0.2</v>
      </c>
      <c r="EE155" s="114">
        <v>0.19</v>
      </c>
      <c r="EF155" s="114">
        <v>0.2</v>
      </c>
      <c r="EG155" s="293"/>
      <c r="EH155" s="412">
        <v>0.21</v>
      </c>
      <c r="EI155" s="114">
        <v>0.19</v>
      </c>
      <c r="EJ155" s="114">
        <v>0.2</v>
      </c>
      <c r="EK155" s="114">
        <v>0.19</v>
      </c>
      <c r="EL155" s="293"/>
      <c r="EM155" s="412">
        <v>0.17</v>
      </c>
      <c r="EN155" s="114">
        <v>0.18</v>
      </c>
      <c r="EO155" s="114">
        <v>0.18</v>
      </c>
      <c r="EP155" s="114">
        <v>0.17</v>
      </c>
      <c r="EQ155" s="293"/>
      <c r="ER155" s="412">
        <v>0.17</v>
      </c>
      <c r="ES155" s="114">
        <v>0.16</v>
      </c>
      <c r="ET155" s="439">
        <v>0.15</v>
      </c>
      <c r="EU155" s="439">
        <v>0.14000000000000001</v>
      </c>
      <c r="EV155" s="293"/>
      <c r="EW155" s="412"/>
      <c r="EX155" s="107"/>
      <c r="EY155" s="107"/>
      <c r="EZ155" s="107"/>
      <c r="FA155" s="293"/>
      <c r="FB155" s="291"/>
      <c r="FC155" s="107"/>
      <c r="FD155" s="107"/>
      <c r="FE155" s="107"/>
      <c r="FF155" s="293"/>
      <c r="FG155" s="291"/>
      <c r="FH155" s="107"/>
      <c r="FI155" s="107"/>
      <c r="FJ155" s="107"/>
      <c r="FK155" s="293"/>
      <c r="FL155" s="291"/>
      <c r="FM155" s="107"/>
      <c r="FN155" s="107"/>
      <c r="FO155" s="107"/>
      <c r="FP155" s="293"/>
      <c r="FQ155" s="291"/>
      <c r="FR155" s="107"/>
      <c r="FS155" s="107"/>
      <c r="FT155" s="107"/>
      <c r="FU155" s="293"/>
      <c r="FV155" s="291"/>
      <c r="FW155" s="107"/>
      <c r="FX155" s="107"/>
      <c r="FY155" s="107"/>
      <c r="FZ155" s="293"/>
      <c r="GA155" s="291"/>
      <c r="GB155" s="107"/>
      <c r="GC155" s="107"/>
      <c r="GD155" s="107"/>
      <c r="GE155" s="293"/>
      <c r="GF155" s="291"/>
      <c r="GG155" s="107"/>
      <c r="GH155" s="107"/>
      <c r="GI155" s="107"/>
      <c r="GJ155" s="382"/>
    </row>
    <row r="156" spans="1:192" ht="12.75" hidden="1" customHeight="1" outlineLevel="1">
      <c r="B156" s="735" t="s">
        <v>36</v>
      </c>
      <c r="C156" s="291"/>
      <c r="D156" s="107"/>
      <c r="E156" s="107"/>
      <c r="F156" s="107"/>
      <c r="G156" s="293"/>
      <c r="H156" s="291"/>
      <c r="I156" s="107"/>
      <c r="J156" s="107"/>
      <c r="K156" s="107"/>
      <c r="L156" s="293"/>
      <c r="M156" s="291"/>
      <c r="N156" s="107"/>
      <c r="O156" s="107"/>
      <c r="P156" s="107"/>
      <c r="Q156" s="293"/>
      <c r="R156" s="291"/>
      <c r="S156" s="107"/>
      <c r="T156" s="107"/>
      <c r="U156" s="107"/>
      <c r="V156" s="293"/>
      <c r="W156" s="291"/>
      <c r="X156" s="107"/>
      <c r="Y156" s="107"/>
      <c r="Z156" s="107"/>
      <c r="AA156" s="293"/>
      <c r="AB156" s="291"/>
      <c r="AC156" s="107"/>
      <c r="AD156" s="107"/>
      <c r="AE156" s="107"/>
      <c r="AF156" s="293"/>
      <c r="AG156" s="291"/>
      <c r="AH156" s="107"/>
      <c r="AI156" s="107"/>
      <c r="AJ156" s="107"/>
      <c r="AK156" s="293"/>
      <c r="AL156" s="291"/>
      <c r="AM156" s="107"/>
      <c r="AN156" s="107"/>
      <c r="AO156" s="107"/>
      <c r="AP156" s="293"/>
      <c r="AQ156" s="291"/>
      <c r="AR156" s="107"/>
      <c r="AS156" s="107"/>
      <c r="AT156" s="107"/>
      <c r="AU156" s="293"/>
      <c r="AV156" s="291"/>
      <c r="AW156" s="107"/>
      <c r="AX156" s="107"/>
      <c r="AY156" s="107"/>
      <c r="AZ156" s="293"/>
      <c r="BA156" s="291"/>
      <c r="BB156" s="107"/>
      <c r="BC156" s="107"/>
      <c r="BD156" s="107"/>
      <c r="BE156" s="293"/>
      <c r="BF156" s="291"/>
      <c r="BG156" s="107"/>
      <c r="BH156" s="107"/>
      <c r="BI156" s="107"/>
      <c r="BJ156" s="293"/>
      <c r="BK156" s="291"/>
      <c r="BL156" s="107"/>
      <c r="BM156" s="107"/>
      <c r="BN156" s="107"/>
      <c r="BO156" s="293"/>
      <c r="BP156" s="291"/>
      <c r="BQ156" s="107"/>
      <c r="BR156" s="107"/>
      <c r="BS156" s="107"/>
      <c r="BT156" s="293"/>
      <c r="BU156" s="291"/>
      <c r="BV156" s="107"/>
      <c r="BW156" s="107"/>
      <c r="BX156" s="107"/>
      <c r="BY156" s="293"/>
      <c r="BZ156" s="291"/>
      <c r="CA156" s="107"/>
      <c r="CB156" s="107"/>
      <c r="CC156" s="107"/>
      <c r="CD156" s="293"/>
      <c r="CE156" s="291"/>
      <c r="CF156" s="107"/>
      <c r="CG156" s="107"/>
      <c r="CH156" s="107"/>
      <c r="CI156" s="293"/>
      <c r="CJ156" s="291"/>
      <c r="CK156" s="107"/>
      <c r="CL156" s="107"/>
      <c r="CM156" s="107"/>
      <c r="CN156" s="293"/>
      <c r="CO156" s="291"/>
      <c r="CP156" s="107"/>
      <c r="CQ156" s="468"/>
      <c r="CR156" s="468"/>
      <c r="CS156" s="292"/>
      <c r="CT156" s="349"/>
      <c r="CU156" s="468"/>
      <c r="CV156" s="468"/>
      <c r="CW156" s="468"/>
      <c r="CX156" s="292"/>
      <c r="CY156" s="291"/>
      <c r="CZ156" s="107"/>
      <c r="DA156" s="107"/>
      <c r="DB156" s="107"/>
      <c r="DC156" s="292"/>
      <c r="DD156" s="291"/>
      <c r="DE156" s="107"/>
      <c r="DF156" s="107"/>
      <c r="DG156" s="107"/>
      <c r="DH156" s="292"/>
      <c r="DI156" s="291">
        <f>DI153/DG153-1</f>
      </c>
      <c r="DJ156" s="107">
        <f>DJ153/DI153-1</f>
      </c>
      <c r="DK156" s="107">
        <f>DK153/DJ153-1</f>
      </c>
      <c r="DL156" s="107">
        <f>DL153/DK153-1</f>
      </c>
      <c r="DM156" s="292"/>
      <c r="DN156" s="291">
        <f>DN153/DL153-1</f>
      </c>
      <c r="DO156" s="107">
        <f>DO153/DN153-1</f>
      </c>
      <c r="DP156" s="107">
        <f>DP153/DO153-1</f>
      </c>
      <c r="DQ156" s="107">
        <f>DQ153/DP153-1</f>
      </c>
      <c r="DR156" s="292"/>
      <c r="DS156" s="291">
        <f>DS153/DQ153-1</f>
      </c>
      <c r="DT156" s="107">
        <f>DT153/DS153-1</f>
      </c>
      <c r="DU156" s="107">
        <f>DU153/DT153-1</f>
      </c>
      <c r="DV156" s="107">
        <f>DV153/DU153-1</f>
      </c>
      <c r="DW156" s="292"/>
      <c r="DX156" s="291">
        <f>DX153/DV153-1</f>
      </c>
      <c r="DY156" s="107">
        <f>DY153/DX153-1</f>
      </c>
      <c r="DZ156" s="107">
        <f>DZ153/DY153-1</f>
      </c>
      <c r="EA156" s="107">
        <f>EA153/DZ153-1</f>
      </c>
      <c r="EB156" s="292"/>
      <c r="EC156" s="291">
        <f>EC153/EA153-1</f>
      </c>
      <c r="ED156" s="107">
        <f>ED153/EC153-1</f>
      </c>
      <c r="EE156" s="107">
        <f>EE153/ED153-1</f>
      </c>
      <c r="EF156" s="107">
        <f>EF153/EE153-1</f>
      </c>
      <c r="EG156" s="292"/>
      <c r="EH156" s="291">
        <f>EH153/EF153-1</f>
      </c>
      <c r="EI156" s="107">
        <f>EI153/EH153-1</f>
      </c>
      <c r="EJ156" s="107">
        <f>EJ153/EI153-1</f>
      </c>
      <c r="EK156" s="107">
        <f>EK153/EJ153-1</f>
      </c>
      <c r="EL156" s="292"/>
      <c r="EM156" s="291">
        <f>EM153/EK153-1</f>
      </c>
      <c r="EN156" s="107">
        <f>EN153/EM153-1</f>
      </c>
      <c r="EO156" s="107">
        <f>EO153/EN153-1</f>
      </c>
      <c r="EP156" s="107">
        <f>EP153/EO153-1</f>
      </c>
      <c r="EQ156" s="292"/>
      <c r="ER156" s="291">
        <f>ER153/EP153-1</f>
      </c>
      <c r="ES156" s="107">
        <f>ES153/ER153-1</f>
      </c>
      <c r="ET156" s="107">
        <f>ET153/ES153-1</f>
      </c>
      <c r="EU156" s="107">
        <f>EU153/ET153-1</f>
      </c>
      <c r="EV156" s="292"/>
      <c r="EW156" s="291"/>
      <c r="EX156" s="107"/>
      <c r="EY156" s="107"/>
      <c r="EZ156" s="107"/>
      <c r="FA156" s="292"/>
      <c r="FB156" s="291"/>
      <c r="FC156" s="107"/>
      <c r="FD156" s="107"/>
      <c r="FE156" s="107"/>
      <c r="FF156" s="292"/>
      <c r="FG156" s="291"/>
      <c r="FH156" s="107"/>
      <c r="FI156" s="107"/>
      <c r="FJ156" s="107"/>
      <c r="FK156" s="292"/>
      <c r="FL156" s="291"/>
      <c r="FM156" s="107"/>
      <c r="FN156" s="107"/>
      <c r="FO156" s="107"/>
      <c r="FP156" s="292"/>
      <c r="FQ156" s="291"/>
      <c r="FR156" s="107"/>
      <c r="FS156" s="107"/>
      <c r="FT156" s="107"/>
      <c r="FU156" s="292"/>
      <c r="FV156" s="291"/>
      <c r="FW156" s="107"/>
      <c r="FX156" s="107"/>
      <c r="FY156" s="107"/>
      <c r="FZ156" s="293"/>
      <c r="GA156" s="291"/>
      <c r="GB156" s="107"/>
      <c r="GC156" s="107"/>
      <c r="GD156" s="107"/>
      <c r="GE156" s="293"/>
      <c r="GF156" s="291"/>
      <c r="GG156" s="107"/>
      <c r="GH156" s="107"/>
      <c r="GI156" s="107"/>
      <c r="GJ156" s="382"/>
    </row>
    <row r="157" spans="1:192" s="461" customFormat="1" ht="12.75" hidden="1" customHeight="1" outlineLevel="1">
      <c r="A157" s="370"/>
      <c r="B157" s="735" t="s">
        <v>243</v>
      </c>
      <c r="C157" s="447"/>
      <c r="D157" s="458"/>
      <c r="E157" s="458"/>
      <c r="F157" s="458"/>
      <c r="G157" s="459"/>
      <c r="H157" s="447"/>
      <c r="I157" s="458"/>
      <c r="J157" s="458"/>
      <c r="K157" s="458"/>
      <c r="L157" s="459"/>
      <c r="M157" s="447"/>
      <c r="N157" s="458"/>
      <c r="O157" s="458"/>
      <c r="P157" s="458"/>
      <c r="Q157" s="459"/>
      <c r="R157" s="447"/>
      <c r="S157" s="458"/>
      <c r="T157" s="458"/>
      <c r="U157" s="458"/>
      <c r="V157" s="459"/>
      <c r="W157" s="447"/>
      <c r="X157" s="458"/>
      <c r="Y157" s="458"/>
      <c r="Z157" s="458"/>
      <c r="AA157" s="459"/>
      <c r="AB157" s="447"/>
      <c r="AC157" s="458"/>
      <c r="AD157" s="458"/>
      <c r="AE157" s="458"/>
      <c r="AF157" s="459"/>
      <c r="AG157" s="447"/>
      <c r="AH157" s="458"/>
      <c r="AI157" s="458"/>
      <c r="AJ157" s="458"/>
      <c r="AK157" s="459"/>
      <c r="AL157" s="447"/>
      <c r="AM157" s="458"/>
      <c r="AN157" s="458"/>
      <c r="AO157" s="458"/>
      <c r="AP157" s="459"/>
      <c r="AQ157" s="447"/>
      <c r="AR157" s="458"/>
      <c r="AS157" s="458"/>
      <c r="AT157" s="458"/>
      <c r="AU157" s="459"/>
      <c r="AV157" s="447"/>
      <c r="AW157" s="458"/>
      <c r="AX157" s="458"/>
      <c r="AY157" s="458"/>
      <c r="AZ157" s="459"/>
      <c r="BA157" s="447"/>
      <c r="BB157" s="458"/>
      <c r="BC157" s="458"/>
      <c r="BD157" s="458"/>
      <c r="BE157" s="459"/>
      <c r="BF157" s="447"/>
      <c r="BG157" s="458"/>
      <c r="BH157" s="458"/>
      <c r="BI157" s="458"/>
      <c r="BJ157" s="459"/>
      <c r="BK157" s="447"/>
      <c r="BL157" s="458"/>
      <c r="BM157" s="458"/>
      <c r="BN157" s="458"/>
      <c r="BO157" s="459"/>
      <c r="BP157" s="447"/>
      <c r="BQ157" s="458"/>
      <c r="BR157" s="458"/>
      <c r="BS157" s="458"/>
      <c r="BT157" s="459"/>
      <c r="BU157" s="447"/>
      <c r="BV157" s="458"/>
      <c r="BW157" s="458"/>
      <c r="BX157" s="458"/>
      <c r="BY157" s="459"/>
      <c r="BZ157" s="447"/>
      <c r="CA157" s="458"/>
      <c r="CB157" s="458"/>
      <c r="CC157" s="458"/>
      <c r="CD157" s="459"/>
      <c r="CE157" s="447"/>
      <c r="CF157" s="458"/>
      <c r="CG157" s="458"/>
      <c r="CH157" s="458"/>
      <c r="CI157" s="459"/>
      <c r="CJ157" s="447"/>
      <c r="CK157" s="458"/>
      <c r="CL157" s="458"/>
      <c r="CM157" s="458"/>
      <c r="CN157" s="459"/>
      <c r="CO157" s="447"/>
      <c r="CP157" s="447"/>
      <c r="CQ157" s="447"/>
      <c r="CR157" s="447"/>
      <c r="CS157" s="462"/>
      <c r="CT157" s="511"/>
      <c r="CU157" s="511"/>
      <c r="CV157" s="511"/>
      <c r="CW157" s="511"/>
      <c r="CX157" s="462"/>
      <c r="CY157" s="447"/>
      <c r="CZ157" s="447"/>
      <c r="DA157" s="447"/>
      <c r="DB157" s="447"/>
      <c r="DC157" s="462"/>
      <c r="DD157" s="447"/>
      <c r="DE157" s="447"/>
      <c r="DF157" s="447"/>
      <c r="DG157" s="447"/>
      <c r="DH157" s="462"/>
      <c r="DI157" s="447">
        <f t="shared" ref="DI157:DR157" si="149">DN153-DI153</f>
      </c>
      <c r="DJ157" s="447">
        <f t="shared" si="149"/>
      </c>
      <c r="DK157" s="447">
        <f t="shared" si="149"/>
      </c>
      <c r="DL157" s="447">
        <f t="shared" si="149"/>
      </c>
      <c r="DM157" s="462">
        <f t="shared" si="149"/>
      </c>
      <c r="DN157" s="447">
        <f t="shared" si="149"/>
      </c>
      <c r="DO157" s="447">
        <f t="shared" si="149"/>
      </c>
      <c r="DP157" s="447">
        <f t="shared" si="149"/>
      </c>
      <c r="DQ157" s="447">
        <f t="shared" si="149"/>
      </c>
      <c r="DR157" s="462">
        <f t="shared" si="149"/>
      </c>
      <c r="DS157" s="447">
        <f t="shared" ref="DS157:ET157" si="150">DS153-DN153</f>
      </c>
      <c r="DT157" s="447">
        <f t="shared" si="150"/>
      </c>
      <c r="DU157" s="447">
        <f t="shared" si="150"/>
      </c>
      <c r="DV157" s="447">
        <f t="shared" si="150"/>
      </c>
      <c r="DW157" s="462">
        <f t="shared" si="150"/>
      </c>
      <c r="DX157" s="447">
        <f t="shared" si="150"/>
      </c>
      <c r="DY157" s="447">
        <f t="shared" si="150"/>
      </c>
      <c r="DZ157" s="447">
        <f t="shared" si="150"/>
      </c>
      <c r="EA157" s="447">
        <f t="shared" si="150"/>
      </c>
      <c r="EB157" s="462">
        <f t="shared" si="150"/>
      </c>
      <c r="EC157" s="447">
        <f t="shared" si="150"/>
      </c>
      <c r="ED157" s="447">
        <f t="shared" si="150"/>
      </c>
      <c r="EE157" s="447">
        <f t="shared" si="150"/>
      </c>
      <c r="EF157" s="447">
        <f t="shared" si="150"/>
      </c>
      <c r="EG157" s="462">
        <f t="shared" si="150"/>
      </c>
      <c r="EH157" s="447">
        <f t="shared" si="150"/>
      </c>
      <c r="EI157" s="447">
        <f t="shared" si="150"/>
      </c>
      <c r="EJ157" s="447">
        <f t="shared" si="150"/>
      </c>
      <c r="EK157" s="447">
        <f t="shared" si="150"/>
      </c>
      <c r="EL157" s="462">
        <f t="shared" si="150"/>
      </c>
      <c r="EM157" s="447">
        <f t="shared" si="150"/>
      </c>
      <c r="EN157" s="447">
        <f t="shared" si="150"/>
      </c>
      <c r="EO157" s="447">
        <f t="shared" si="150"/>
      </c>
      <c r="EP157" s="447">
        <f t="shared" si="150"/>
      </c>
      <c r="EQ157" s="462">
        <f t="shared" si="150"/>
      </c>
      <c r="ER157" s="447">
        <f t="shared" si="150"/>
      </c>
      <c r="ES157" s="447">
        <f t="shared" si="150"/>
      </c>
      <c r="ET157" s="447">
        <f t="shared" si="150"/>
      </c>
      <c r="EU157" s="447">
        <f>EU153-EP153</f>
      </c>
      <c r="EV157" s="462">
        <f>EV153-EQ153</f>
      </c>
      <c r="EW157" s="447"/>
      <c r="EX157" s="447"/>
      <c r="EY157" s="447"/>
      <c r="EZ157" s="447"/>
      <c r="FA157" s="462"/>
      <c r="FB157" s="447"/>
      <c r="FC157" s="447"/>
      <c r="FD157" s="447"/>
      <c r="FE157" s="447"/>
      <c r="FF157" s="462"/>
      <c r="FG157" s="447"/>
      <c r="FH157" s="447"/>
      <c r="FI157" s="447"/>
      <c r="FJ157" s="447"/>
      <c r="FK157" s="462"/>
      <c r="FL157" s="447"/>
      <c r="FM157" s="447"/>
      <c r="FN157" s="447"/>
      <c r="FO157" s="447"/>
      <c r="FP157" s="462"/>
      <c r="FQ157" s="447"/>
      <c r="FR157" s="447"/>
      <c r="FS157" s="447"/>
      <c r="FT157" s="447"/>
      <c r="FU157" s="462"/>
      <c r="FV157" s="447"/>
      <c r="FW157" s="458"/>
      <c r="FX157" s="458"/>
      <c r="FY157" s="458"/>
      <c r="FZ157" s="459"/>
      <c r="GA157" s="447"/>
      <c r="GB157" s="458"/>
      <c r="GC157" s="458"/>
      <c r="GD157" s="458"/>
      <c r="GE157" s="459"/>
      <c r="GF157" s="447"/>
      <c r="GG157" s="458"/>
      <c r="GH157" s="458"/>
      <c r="GI157" s="458"/>
      <c r="GJ157" s="460"/>
    </row>
    <row r="158" spans="1:192" s="461" customFormat="1" ht="12.75" hidden="1" customHeight="1" outlineLevel="1">
      <c r="A158" s="370"/>
      <c r="B158" s="735" t="s">
        <v>244</v>
      </c>
      <c r="C158" s="447"/>
      <c r="D158" s="458"/>
      <c r="E158" s="458"/>
      <c r="F158" s="458"/>
      <c r="G158" s="459"/>
      <c r="H158" s="447"/>
      <c r="I158" s="458"/>
      <c r="J158" s="458"/>
      <c r="K158" s="458"/>
      <c r="L158" s="459"/>
      <c r="M158" s="447"/>
      <c r="N158" s="458"/>
      <c r="O158" s="458"/>
      <c r="P158" s="458"/>
      <c r="Q158" s="459"/>
      <c r="R158" s="447"/>
      <c r="S158" s="458"/>
      <c r="T158" s="458"/>
      <c r="U158" s="458"/>
      <c r="V158" s="459"/>
      <c r="W158" s="447"/>
      <c r="X158" s="458"/>
      <c r="Y158" s="458"/>
      <c r="Z158" s="458"/>
      <c r="AA158" s="459"/>
      <c r="AB158" s="447"/>
      <c r="AC158" s="458"/>
      <c r="AD158" s="458"/>
      <c r="AE158" s="458"/>
      <c r="AF158" s="459"/>
      <c r="AG158" s="447"/>
      <c r="AH158" s="458"/>
      <c r="AI158" s="458"/>
      <c r="AJ158" s="458"/>
      <c r="AK158" s="459"/>
      <c r="AL158" s="447"/>
      <c r="AM158" s="458"/>
      <c r="AN158" s="458"/>
      <c r="AO158" s="458"/>
      <c r="AP158" s="459"/>
      <c r="AQ158" s="447"/>
      <c r="AR158" s="458"/>
      <c r="AS158" s="458"/>
      <c r="AT158" s="458"/>
      <c r="AU158" s="459"/>
      <c r="AV158" s="447"/>
      <c r="AW158" s="458"/>
      <c r="AX158" s="458"/>
      <c r="AY158" s="458"/>
      <c r="AZ158" s="459"/>
      <c r="BA158" s="447"/>
      <c r="BB158" s="458"/>
      <c r="BC158" s="458"/>
      <c r="BD158" s="458"/>
      <c r="BE158" s="459"/>
      <c r="BF158" s="447"/>
      <c r="BG158" s="458"/>
      <c r="BH158" s="458"/>
      <c r="BI158" s="458"/>
      <c r="BJ158" s="459"/>
      <c r="BK158" s="447"/>
      <c r="BL158" s="458"/>
      <c r="BM158" s="458"/>
      <c r="BN158" s="458"/>
      <c r="BO158" s="459"/>
      <c r="BP158" s="447"/>
      <c r="BQ158" s="458"/>
      <c r="BR158" s="458"/>
      <c r="BS158" s="458"/>
      <c r="BT158" s="459"/>
      <c r="BU158" s="447"/>
      <c r="BV158" s="458"/>
      <c r="BW158" s="458"/>
      <c r="BX158" s="458"/>
      <c r="BY158" s="459"/>
      <c r="BZ158" s="447"/>
      <c r="CA158" s="458"/>
      <c r="CB158" s="458"/>
      <c r="CC158" s="458"/>
      <c r="CD158" s="459"/>
      <c r="CE158" s="447"/>
      <c r="CF158" s="458"/>
      <c r="CG158" s="458"/>
      <c r="CH158" s="458"/>
      <c r="CI158" s="459"/>
      <c r="CJ158" s="447"/>
      <c r="CK158" s="458"/>
      <c r="CL158" s="458"/>
      <c r="CM158" s="458"/>
      <c r="CN158" s="459"/>
      <c r="CO158" s="447"/>
      <c r="CP158" s="458"/>
      <c r="CQ158" s="458"/>
      <c r="CR158" s="458"/>
      <c r="CS158" s="462"/>
      <c r="CT158" s="511"/>
      <c r="CU158" s="679"/>
      <c r="CV158" s="679"/>
      <c r="CW158" s="679"/>
      <c r="CX158" s="462"/>
      <c r="CY158" s="447"/>
      <c r="CZ158" s="458"/>
      <c r="DA158" s="458"/>
      <c r="DB158" s="458"/>
      <c r="DC158" s="462"/>
      <c r="DD158" s="447"/>
      <c r="DE158" s="458"/>
      <c r="DF158" s="458"/>
      <c r="DG158" s="458"/>
      <c r="DH158" s="462"/>
      <c r="DI158" s="447">
        <f>DI153-DG153</f>
      </c>
      <c r="DJ158" s="458">
        <f>DJ153-DI153</f>
      </c>
      <c r="DK158" s="458">
        <f>DK153-DJ153</f>
      </c>
      <c r="DL158" s="458">
        <f>DL153-DK153</f>
      </c>
      <c r="DM158" s="462"/>
      <c r="DN158" s="447">
        <f>DN153-DL153</f>
      </c>
      <c r="DO158" s="458">
        <f>DO153-DN153</f>
      </c>
      <c r="DP158" s="458">
        <f>DP153-DO153</f>
      </c>
      <c r="DQ158" s="458">
        <f>DQ153-DP153</f>
      </c>
      <c r="DR158" s="462"/>
      <c r="DS158" s="447">
        <f>DS153-DQ153</f>
      </c>
      <c r="DT158" s="458">
        <f>DT153-DS153</f>
      </c>
      <c r="DU158" s="458">
        <f>DU153-DT153</f>
      </c>
      <c r="DV158" s="458">
        <f>DV153-DU153</f>
      </c>
      <c r="DW158" s="462"/>
      <c r="DX158" s="447">
        <f>DX153-DV153</f>
      </c>
      <c r="DY158" s="458">
        <f>DY153-DX153</f>
      </c>
      <c r="DZ158" s="458">
        <f>DZ153-DY153</f>
      </c>
      <c r="EA158" s="458">
        <f>EA153-DZ153</f>
      </c>
      <c r="EB158" s="462"/>
      <c r="EC158" s="447">
        <f>EC153-EA153</f>
      </c>
      <c r="ED158" s="458">
        <f>ED153-EC153</f>
      </c>
      <c r="EE158" s="458">
        <f>EE153-ED153</f>
      </c>
      <c r="EF158" s="458">
        <f>EF153-EE153</f>
      </c>
      <c r="EG158" s="462"/>
      <c r="EH158" s="447">
        <f>EH153-EF153</f>
      </c>
      <c r="EI158" s="458">
        <f>EI153-EH153</f>
      </c>
      <c r="EJ158" s="458">
        <f>EJ153-EI153</f>
      </c>
      <c r="EK158" s="458">
        <f>EK153-EJ153</f>
      </c>
      <c r="EL158" s="462"/>
      <c r="EM158" s="447">
        <f>EM153-EK153</f>
      </c>
      <c r="EN158" s="458">
        <f>EN153-EM153</f>
      </c>
      <c r="EO158" s="458">
        <f>EO153-EN153</f>
      </c>
      <c r="EP158" s="458">
        <f>EP153-EO153</f>
      </c>
      <c r="EQ158" s="462"/>
      <c r="ER158" s="447">
        <f>ER153-EP153</f>
      </c>
      <c r="ES158" s="458">
        <f>ES153-ER153</f>
      </c>
      <c r="ET158" s="458">
        <f>ET153-ES153</f>
      </c>
      <c r="EU158" s="458">
        <f>EU153-ET153</f>
      </c>
      <c r="EV158" s="462"/>
      <c r="EW158" s="447"/>
      <c r="EX158" s="458"/>
      <c r="EY158" s="458"/>
      <c r="EZ158" s="458"/>
      <c r="FA158" s="462"/>
      <c r="FB158" s="447"/>
      <c r="FC158" s="458"/>
      <c r="FD158" s="458"/>
      <c r="FE158" s="458"/>
      <c r="FF158" s="462"/>
      <c r="FG158" s="447"/>
      <c r="FH158" s="458"/>
      <c r="FI158" s="458"/>
      <c r="FJ158" s="458"/>
      <c r="FK158" s="462"/>
      <c r="FL158" s="447"/>
      <c r="FM158" s="458"/>
      <c r="FN158" s="458"/>
      <c r="FO158" s="458"/>
      <c r="FP158" s="462"/>
      <c r="FQ158" s="447"/>
      <c r="FR158" s="458"/>
      <c r="FS158" s="458"/>
      <c r="FT158" s="458"/>
      <c r="FU158" s="462"/>
      <c r="FV158" s="447"/>
      <c r="FW158" s="458"/>
      <c r="FX158" s="458"/>
      <c r="FY158" s="458"/>
      <c r="FZ158" s="459"/>
      <c r="GA158" s="447"/>
      <c r="GB158" s="458"/>
      <c r="GC158" s="458"/>
      <c r="GD158" s="458"/>
      <c r="GE158" s="459"/>
      <c r="GF158" s="447"/>
      <c r="GG158" s="458"/>
      <c r="GH158" s="458"/>
      <c r="GI158" s="458"/>
      <c r="GJ158" s="460"/>
    </row>
    <row r="159" spans="1:192" ht="12.75" hidden="1" customHeight="1" outlineLevel="1">
      <c r="B159" s="735" t="s">
        <v>262</v>
      </c>
      <c r="C159" s="291"/>
      <c r="D159" s="107"/>
      <c r="E159" s="107"/>
      <c r="F159" s="107"/>
      <c r="G159" s="293"/>
      <c r="H159" s="291"/>
      <c r="I159" s="107"/>
      <c r="J159" s="107"/>
      <c r="K159" s="107"/>
      <c r="L159" s="293"/>
      <c r="M159" s="291"/>
      <c r="N159" s="107"/>
      <c r="O159" s="107"/>
      <c r="P159" s="107"/>
      <c r="Q159" s="293"/>
      <c r="R159" s="291"/>
      <c r="S159" s="107"/>
      <c r="T159" s="107"/>
      <c r="U159" s="107"/>
      <c r="V159" s="293"/>
      <c r="W159" s="291"/>
      <c r="X159" s="107"/>
      <c r="Y159" s="107"/>
      <c r="Z159" s="107"/>
      <c r="AA159" s="293"/>
      <c r="AB159" s="291"/>
      <c r="AC159" s="107"/>
      <c r="AD159" s="107"/>
      <c r="AE159" s="107"/>
      <c r="AF159" s="293"/>
      <c r="AG159" s="291"/>
      <c r="AH159" s="107"/>
      <c r="AI159" s="107"/>
      <c r="AJ159" s="107"/>
      <c r="AK159" s="293"/>
      <c r="AL159" s="291"/>
      <c r="AM159" s="107"/>
      <c r="AN159" s="107"/>
      <c r="AO159" s="107"/>
      <c r="AP159" s="293"/>
      <c r="AQ159" s="291"/>
      <c r="AR159" s="107"/>
      <c r="AS159" s="107"/>
      <c r="AT159" s="107"/>
      <c r="AU159" s="293"/>
      <c r="AV159" s="291"/>
      <c r="AW159" s="107"/>
      <c r="AX159" s="107"/>
      <c r="AY159" s="107"/>
      <c r="AZ159" s="293"/>
      <c r="BA159" s="291"/>
      <c r="BB159" s="107"/>
      <c r="BC159" s="107"/>
      <c r="BD159" s="107"/>
      <c r="BE159" s="293"/>
      <c r="BF159" s="291"/>
      <c r="BG159" s="107"/>
      <c r="BH159" s="107"/>
      <c r="BI159" s="107"/>
      <c r="BJ159" s="293"/>
      <c r="BK159" s="291"/>
      <c r="BL159" s="107"/>
      <c r="BM159" s="107"/>
      <c r="BN159" s="107"/>
      <c r="BO159" s="293"/>
      <c r="BP159" s="291"/>
      <c r="BQ159" s="107"/>
      <c r="BR159" s="107"/>
      <c r="BS159" s="107"/>
      <c r="BT159" s="293"/>
      <c r="BU159" s="291"/>
      <c r="BV159" s="107"/>
      <c r="BW159" s="107"/>
      <c r="BX159" s="107"/>
      <c r="BY159" s="293"/>
      <c r="BZ159" s="291"/>
      <c r="CA159" s="107"/>
      <c r="CB159" s="107"/>
      <c r="CC159" s="107"/>
      <c r="CD159" s="293"/>
      <c r="CE159" s="291"/>
      <c r="CF159" s="107"/>
      <c r="CG159" s="107"/>
      <c r="CH159" s="107"/>
      <c r="CI159" s="293"/>
      <c r="CJ159" s="291"/>
      <c r="CK159" s="107"/>
      <c r="CL159" s="107"/>
      <c r="CM159" s="107"/>
      <c r="CN159" s="293"/>
      <c r="CO159" s="291"/>
      <c r="CP159" s="291"/>
      <c r="CQ159" s="291"/>
      <c r="CR159" s="892"/>
      <c r="CS159" s="893"/>
      <c r="CT159" s="1146"/>
      <c r="CU159" s="1146"/>
      <c r="CV159" s="1146"/>
      <c r="CW159" s="441"/>
      <c r="CX159" s="293"/>
      <c r="CY159" s="107"/>
      <c r="CZ159" s="107"/>
      <c r="DA159" s="107"/>
      <c r="DB159" s="107"/>
      <c r="DC159" s="293"/>
      <c r="DD159" s="291"/>
      <c r="DE159" s="291"/>
      <c r="DF159" s="291"/>
      <c r="DG159" s="291">
        <f>DG153/DG144</f>
      </c>
      <c r="DH159" s="293"/>
      <c r="DI159" s="291">
        <f>DI153/DI144</f>
      </c>
      <c r="DJ159" s="291">
        <f>DJ153/DJ144</f>
      </c>
      <c r="DK159" s="291">
        <f>DK153/DK144</f>
      </c>
      <c r="DL159" s="412">
        <v>0.52</v>
      </c>
      <c r="DM159" s="293">
        <f t="shared" ref="DM159:DW159" si="151">DM153/DM144</f>
      </c>
      <c r="DN159" s="107">
        <f t="shared" si="151"/>
      </c>
      <c r="DO159" s="107">
        <f t="shared" si="151"/>
      </c>
      <c r="DP159" s="107">
        <f t="shared" si="151"/>
      </c>
      <c r="DQ159" s="107">
        <f t="shared" si="151"/>
      </c>
      <c r="DR159" s="293">
        <f t="shared" si="151"/>
      </c>
      <c r="DS159" s="107">
        <f t="shared" si="151"/>
      </c>
      <c r="DT159" s="107">
        <f t="shared" si="151"/>
      </c>
      <c r="DU159" s="107">
        <f t="shared" si="151"/>
      </c>
      <c r="DV159" s="107">
        <f t="shared" si="151"/>
      </c>
      <c r="DW159" s="293">
        <f t="shared" si="151"/>
      </c>
      <c r="DX159" s="468">
        <f>AVERAGE(DY159,DV159)</f>
      </c>
      <c r="DY159" s="468">
        <f>AVERAGE(DV159,EA159)</f>
      </c>
      <c r="DZ159" s="468">
        <f>AVERAGE(EA159,DY159)</f>
      </c>
      <c r="EA159" s="107">
        <f t="shared" ref="EA159:EL159" si="152">EA153/EA144</f>
      </c>
      <c r="EB159" s="293">
        <f t="shared" si="152"/>
      </c>
      <c r="EC159" s="107">
        <f t="shared" si="152"/>
      </c>
      <c r="ED159" s="107">
        <f t="shared" si="152"/>
      </c>
      <c r="EE159" s="107">
        <f t="shared" si="152"/>
      </c>
      <c r="EF159" s="924">
        <f t="shared" si="152"/>
      </c>
      <c r="EG159" s="893">
        <f t="shared" si="152"/>
      </c>
      <c r="EH159" s="107">
        <f t="shared" si="152"/>
      </c>
      <c r="EI159" s="107">
        <f t="shared" si="152"/>
      </c>
      <c r="EJ159" s="107">
        <f t="shared" si="152"/>
      </c>
      <c r="EK159" s="924">
        <f t="shared" si="152"/>
      </c>
      <c r="EL159" s="893">
        <f t="shared" si="152"/>
      </c>
      <c r="EM159" s="1379">
        <v>0.93</v>
      </c>
      <c r="EN159" s="1379">
        <v>0.93500000000000005</v>
      </c>
      <c r="EO159" s="1379">
        <f>AVERAGE(EN159,EP159)</f>
      </c>
      <c r="EP159" s="107">
        <f t="shared" ref="EP159:EV159" si="153">EP153/EP144</f>
      </c>
      <c r="EQ159" s="293">
        <f t="shared" si="153"/>
      </c>
      <c r="ER159" s="107">
        <f t="shared" si="153"/>
      </c>
      <c r="ES159" s="107">
        <f t="shared" si="153"/>
      </c>
      <c r="ET159" s="107">
        <f t="shared" si="153"/>
      </c>
      <c r="EU159" s="107">
        <f t="shared" si="153"/>
      </c>
      <c r="EV159" s="293">
        <f t="shared" si="153"/>
      </c>
      <c r="EW159" s="107"/>
      <c r="EX159" s="107"/>
      <c r="EY159" s="107"/>
      <c r="EZ159" s="107"/>
      <c r="FA159" s="293"/>
      <c r="FB159" s="107"/>
      <c r="FC159" s="107"/>
      <c r="FD159" s="107"/>
      <c r="FE159" s="107"/>
      <c r="FF159" s="293"/>
      <c r="FG159" s="107"/>
      <c r="FH159" s="107"/>
      <c r="FI159" s="107"/>
      <c r="FJ159" s="107"/>
      <c r="FK159" s="293"/>
      <c r="FL159" s="107"/>
      <c r="FM159" s="107"/>
      <c r="FN159" s="107"/>
      <c r="FO159" s="107"/>
      <c r="FP159" s="293"/>
      <c r="FQ159" s="107"/>
      <c r="FR159" s="107"/>
      <c r="FS159" s="107"/>
      <c r="FT159" s="107"/>
      <c r="FU159" s="293"/>
      <c r="FV159" s="291"/>
      <c r="FW159" s="107"/>
      <c r="FX159" s="107"/>
      <c r="FY159" s="107"/>
      <c r="FZ159" s="293"/>
      <c r="GA159" s="291"/>
      <c r="GB159" s="107"/>
      <c r="GC159" s="107"/>
      <c r="GD159" s="107"/>
      <c r="GE159" s="293"/>
      <c r="GF159" s="291"/>
      <c r="GG159" s="107"/>
      <c r="GH159" s="107"/>
      <c r="GI159" s="107"/>
      <c r="GJ159" s="382"/>
    </row>
    <row r="160" spans="1:192" ht="12.75" hidden="1" customHeight="1" outlineLevel="1">
      <c r="B160" s="735" t="s">
        <v>254</v>
      </c>
      <c r="C160" s="291"/>
      <c r="D160" s="107"/>
      <c r="E160" s="107"/>
      <c r="F160" s="107"/>
      <c r="G160" s="293"/>
      <c r="H160" s="291"/>
      <c r="I160" s="107"/>
      <c r="J160" s="107"/>
      <c r="K160" s="107"/>
      <c r="L160" s="293"/>
      <c r="M160" s="291"/>
      <c r="N160" s="107"/>
      <c r="O160" s="107"/>
      <c r="P160" s="107"/>
      <c r="Q160" s="293"/>
      <c r="R160" s="291"/>
      <c r="S160" s="107"/>
      <c r="T160" s="107"/>
      <c r="U160" s="107"/>
      <c r="V160" s="293"/>
      <c r="W160" s="291"/>
      <c r="X160" s="107"/>
      <c r="Y160" s="107"/>
      <c r="Z160" s="107"/>
      <c r="AA160" s="293"/>
      <c r="AB160" s="291"/>
      <c r="AC160" s="107"/>
      <c r="AD160" s="107"/>
      <c r="AE160" s="107"/>
      <c r="AF160" s="293"/>
      <c r="AG160" s="291"/>
      <c r="AH160" s="107"/>
      <c r="AI160" s="107"/>
      <c r="AJ160" s="107"/>
      <c r="AK160" s="293"/>
      <c r="AL160" s="291"/>
      <c r="AM160" s="107"/>
      <c r="AN160" s="107"/>
      <c r="AO160" s="107"/>
      <c r="AP160" s="293"/>
      <c r="AQ160" s="291"/>
      <c r="AR160" s="107"/>
      <c r="AS160" s="107"/>
      <c r="AT160" s="107"/>
      <c r="AU160" s="293"/>
      <c r="AV160" s="291"/>
      <c r="AW160" s="107"/>
      <c r="AX160" s="107"/>
      <c r="AY160" s="107"/>
      <c r="AZ160" s="293"/>
      <c r="BA160" s="291"/>
      <c r="BB160" s="107"/>
      <c r="BC160" s="107"/>
      <c r="BD160" s="107"/>
      <c r="BE160" s="293"/>
      <c r="BF160" s="291"/>
      <c r="BG160" s="107"/>
      <c r="BH160" s="107"/>
      <c r="BI160" s="107"/>
      <c r="BJ160" s="293"/>
      <c r="BK160" s="291"/>
      <c r="BL160" s="107"/>
      <c r="BM160" s="107"/>
      <c r="BN160" s="107"/>
      <c r="BO160" s="293"/>
      <c r="BP160" s="291"/>
      <c r="BQ160" s="107"/>
      <c r="BR160" s="107"/>
      <c r="BS160" s="107"/>
      <c r="BT160" s="293"/>
      <c r="BU160" s="291"/>
      <c r="BV160" s="107"/>
      <c r="BW160" s="107"/>
      <c r="BX160" s="107"/>
      <c r="BY160" s="293"/>
      <c r="BZ160" s="291"/>
      <c r="CA160" s="107"/>
      <c r="CB160" s="107"/>
      <c r="CC160" s="107"/>
      <c r="CD160" s="293"/>
      <c r="CE160" s="291"/>
      <c r="CF160" s="107"/>
      <c r="CG160" s="107"/>
      <c r="CH160" s="107"/>
      <c r="CI160" s="293"/>
      <c r="CJ160" s="291"/>
      <c r="CK160" s="107"/>
      <c r="CL160" s="107"/>
      <c r="CM160" s="107"/>
      <c r="CN160" s="293"/>
      <c r="CO160" s="291"/>
      <c r="CP160" s="291"/>
      <c r="CQ160" s="291"/>
      <c r="CR160" s="892"/>
      <c r="CS160" s="893"/>
      <c r="CT160" s="1146"/>
      <c r="CU160" s="1146"/>
      <c r="CV160" s="1146"/>
      <c r="CW160" s="349"/>
      <c r="CX160" s="293"/>
      <c r="CY160" s="107"/>
      <c r="CZ160" s="107"/>
      <c r="DA160" s="107"/>
      <c r="DB160" s="107"/>
      <c r="DC160" s="293"/>
      <c r="DD160" s="291"/>
      <c r="DE160" s="291"/>
      <c r="DF160" s="291"/>
      <c r="DG160" s="291">
        <f>IFERROR(DG153/DG110,"")</f>
      </c>
      <c r="DH160" s="293"/>
      <c r="DI160" s="291">
        <f t="shared" ref="DI160:EV160" si="154">IFERROR(DI153/DI110,"")</f>
      </c>
      <c r="DJ160" s="291">
        <f t="shared" si="154"/>
      </c>
      <c r="DK160" s="291">
        <f t="shared" si="154"/>
      </c>
      <c r="DL160" s="291">
        <f t="shared" si="154"/>
      </c>
      <c r="DM160" s="293">
        <f t="shared" si="154"/>
      </c>
      <c r="DN160" s="107">
        <f t="shared" si="154"/>
      </c>
      <c r="DO160" s="107">
        <f t="shared" si="154"/>
      </c>
      <c r="DP160" s="107">
        <f t="shared" si="154"/>
      </c>
      <c r="DQ160" s="107">
        <f t="shared" si="154"/>
      </c>
      <c r="DR160" s="293">
        <f t="shared" si="154"/>
      </c>
      <c r="DS160" s="107">
        <f t="shared" si="154"/>
      </c>
      <c r="DT160" s="107">
        <f t="shared" si="154"/>
      </c>
      <c r="DU160" s="107">
        <f t="shared" si="154"/>
      </c>
      <c r="DV160" s="468">
        <f t="shared" si="154"/>
      </c>
      <c r="DW160" s="293">
        <f t="shared" si="154"/>
      </c>
      <c r="DX160" s="107">
        <f t="shared" si="154"/>
      </c>
      <c r="DY160" s="107">
        <f t="shared" si="154"/>
      </c>
      <c r="DZ160" s="107">
        <f t="shared" si="154"/>
      </c>
      <c r="EA160" s="107">
        <f t="shared" si="154"/>
      </c>
      <c r="EB160" s="293">
        <f t="shared" si="154"/>
      </c>
      <c r="EC160" s="107">
        <f t="shared" si="154"/>
      </c>
      <c r="ED160" s="107">
        <f t="shared" si="154"/>
      </c>
      <c r="EE160" s="107">
        <f t="shared" si="154"/>
      </c>
      <c r="EF160" s="107">
        <f t="shared" si="154"/>
      </c>
      <c r="EG160" s="293">
        <f t="shared" si="154"/>
      </c>
      <c r="EH160" s="107">
        <f t="shared" si="154"/>
      </c>
      <c r="EI160" s="107">
        <f t="shared" si="154"/>
      </c>
      <c r="EJ160" s="107">
        <f t="shared" si="154"/>
      </c>
      <c r="EK160" s="107">
        <f t="shared" si="154"/>
      </c>
      <c r="EL160" s="293">
        <f t="shared" si="154"/>
      </c>
      <c r="EM160" s="291">
        <f t="shared" si="154"/>
      </c>
      <c r="EN160" s="107">
        <f t="shared" si="154"/>
      </c>
      <c r="EO160" s="291">
        <f t="shared" si="154"/>
      </c>
      <c r="EP160" s="107">
        <f t="shared" si="154"/>
      </c>
      <c r="EQ160" s="293">
        <f t="shared" si="154"/>
      </c>
      <c r="ER160" s="291">
        <f t="shared" si="154"/>
      </c>
      <c r="ES160" s="107">
        <f t="shared" si="154"/>
      </c>
      <c r="ET160" s="107">
        <f t="shared" si="154"/>
      </c>
      <c r="EU160" s="107">
        <f t="shared" si="154"/>
      </c>
      <c r="EV160" s="293">
        <f t="shared" si="154"/>
      </c>
      <c r="EW160" s="291"/>
      <c r="EX160" s="107"/>
      <c r="EY160" s="291"/>
      <c r="EZ160" s="107"/>
      <c r="FA160" s="293"/>
      <c r="FB160" s="291"/>
      <c r="FC160" s="107"/>
      <c r="FD160" s="291"/>
      <c r="FE160" s="107"/>
      <c r="FF160" s="293"/>
      <c r="FG160" s="291"/>
      <c r="FH160" s="107"/>
      <c r="FI160" s="291"/>
      <c r="FJ160" s="107"/>
      <c r="FK160" s="293"/>
      <c r="FL160" s="291"/>
      <c r="FM160" s="107"/>
      <c r="FN160" s="291"/>
      <c r="FO160" s="107"/>
      <c r="FP160" s="293"/>
      <c r="FQ160" s="291"/>
      <c r="FR160" s="107"/>
      <c r="FS160" s="291"/>
      <c r="FT160" s="107"/>
      <c r="FU160" s="293"/>
      <c r="FV160" s="291"/>
      <c r="FW160" s="107"/>
      <c r="FX160" s="291"/>
      <c r="FY160" s="107"/>
      <c r="FZ160" s="293"/>
      <c r="GA160" s="291"/>
      <c r="GB160" s="107"/>
      <c r="GC160" s="291"/>
      <c r="GD160" s="107"/>
      <c r="GE160" s="293"/>
      <c r="GF160" s="291"/>
      <c r="GG160" s="107"/>
      <c r="GH160" s="291"/>
      <c r="GI160" s="107"/>
      <c r="GJ160" s="382"/>
    </row>
    <row r="161" spans="1:192" ht="12.75" hidden="1" customHeight="1" outlineLevel="1">
      <c r="B161" s="735" t="s">
        <v>1863</v>
      </c>
      <c r="C161" s="291"/>
      <c r="D161" s="107"/>
      <c r="E161" s="107"/>
      <c r="F161" s="107"/>
      <c r="G161" s="293"/>
      <c r="H161" s="291"/>
      <c r="I161" s="107"/>
      <c r="J161" s="107"/>
      <c r="K161" s="107"/>
      <c r="L161" s="293"/>
      <c r="M161" s="291"/>
      <c r="N161" s="107"/>
      <c r="O161" s="107"/>
      <c r="P161" s="107"/>
      <c r="Q161" s="293"/>
      <c r="R161" s="291"/>
      <c r="S161" s="107"/>
      <c r="T161" s="107"/>
      <c r="U161" s="107"/>
      <c r="V161" s="293"/>
      <c r="W161" s="291"/>
      <c r="X161" s="107"/>
      <c r="Y161" s="107"/>
      <c r="Z161" s="107"/>
      <c r="AA161" s="293"/>
      <c r="AB161" s="291"/>
      <c r="AC161" s="107"/>
      <c r="AD161" s="107"/>
      <c r="AE161" s="107"/>
      <c r="AF161" s="293"/>
      <c r="AG161" s="291"/>
      <c r="AH161" s="107"/>
      <c r="AI161" s="107"/>
      <c r="AJ161" s="107"/>
      <c r="AK161" s="293"/>
      <c r="AL161" s="291"/>
      <c r="AM161" s="107"/>
      <c r="AN161" s="107"/>
      <c r="AO161" s="107"/>
      <c r="AP161" s="293"/>
      <c r="AQ161" s="291"/>
      <c r="AR161" s="107"/>
      <c r="AS161" s="107"/>
      <c r="AT161" s="107"/>
      <c r="AU161" s="293"/>
      <c r="AV161" s="291"/>
      <c r="AW161" s="107"/>
      <c r="AX161" s="107"/>
      <c r="AY161" s="107"/>
      <c r="AZ161" s="293"/>
      <c r="BA161" s="291"/>
      <c r="BB161" s="107"/>
      <c r="BC161" s="107"/>
      <c r="BD161" s="107"/>
      <c r="BE161" s="293"/>
      <c r="BF161" s="291"/>
      <c r="BG161" s="107"/>
      <c r="BH161" s="107"/>
      <c r="BI161" s="107"/>
      <c r="BJ161" s="293"/>
      <c r="BK161" s="291"/>
      <c r="BL161" s="107"/>
      <c r="BM161" s="107"/>
      <c r="BN161" s="107"/>
      <c r="BO161" s="293"/>
      <c r="BP161" s="291"/>
      <c r="BQ161" s="107"/>
      <c r="BR161" s="107"/>
      <c r="BS161" s="107"/>
      <c r="BT161" s="293"/>
      <c r="BU161" s="291"/>
      <c r="BV161" s="107"/>
      <c r="BW161" s="107"/>
      <c r="BX161" s="107"/>
      <c r="BY161" s="293"/>
      <c r="BZ161" s="291"/>
      <c r="CA161" s="107"/>
      <c r="CB161" s="107"/>
      <c r="CC161" s="107"/>
      <c r="CD161" s="293"/>
      <c r="CE161" s="291"/>
      <c r="CF161" s="107"/>
      <c r="CG161" s="107"/>
      <c r="CH161" s="107"/>
      <c r="CI161" s="293"/>
      <c r="CJ161" s="291"/>
      <c r="CK161" s="107"/>
      <c r="CL161" s="107"/>
      <c r="CM161" s="107"/>
      <c r="CN161" s="293"/>
      <c r="CO161" s="291"/>
      <c r="CP161" s="291"/>
      <c r="CQ161" s="291"/>
      <c r="CR161" s="892"/>
      <c r="CS161" s="893"/>
      <c r="CT161" s="1146"/>
      <c r="CU161" s="1146"/>
      <c r="CV161" s="1146"/>
      <c r="CW161" s="349"/>
      <c r="CX161" s="293"/>
      <c r="CY161" s="107"/>
      <c r="CZ161" s="107"/>
      <c r="DA161" s="107"/>
      <c r="DB161" s="107"/>
      <c r="DC161" s="293"/>
      <c r="DD161" s="291"/>
      <c r="DE161" s="291"/>
      <c r="DF161" s="291"/>
      <c r="DG161" s="291">
        <f t="shared" ref="DG161:ET161" si="155">DG153/DG$50</f>
      </c>
      <c r="DH161" s="293"/>
      <c r="DI161" s="291">
        <f t="shared" si="155"/>
      </c>
      <c r="DJ161" s="291">
        <f t="shared" si="155"/>
      </c>
      <c r="DK161" s="291">
        <f t="shared" si="155"/>
      </c>
      <c r="DL161" s="291">
        <f t="shared" si="155"/>
      </c>
      <c r="DM161" s="293">
        <f t="shared" si="155"/>
      </c>
      <c r="DN161" s="107">
        <f t="shared" si="155"/>
      </c>
      <c r="DO161" s="107">
        <f t="shared" si="155"/>
      </c>
      <c r="DP161" s="107">
        <f t="shared" si="155"/>
      </c>
      <c r="DQ161" s="107">
        <f t="shared" si="155"/>
      </c>
      <c r="DR161" s="293">
        <f t="shared" si="155"/>
      </c>
      <c r="DS161" s="107">
        <f t="shared" si="155"/>
      </c>
      <c r="DT161" s="107">
        <f t="shared" si="155"/>
      </c>
      <c r="DU161" s="107">
        <f t="shared" si="155"/>
      </c>
      <c r="DV161" s="468">
        <f t="shared" si="155"/>
      </c>
      <c r="DW161" s="293">
        <f t="shared" si="155"/>
      </c>
      <c r="DX161" s="107">
        <f t="shared" si="155"/>
      </c>
      <c r="DY161" s="107">
        <f t="shared" si="155"/>
      </c>
      <c r="DZ161" s="107">
        <f t="shared" si="155"/>
      </c>
      <c r="EA161" s="107">
        <f t="shared" si="155"/>
      </c>
      <c r="EB161" s="293">
        <f t="shared" si="155"/>
      </c>
      <c r="EC161" s="107">
        <f t="shared" si="155"/>
      </c>
      <c r="ED161" s="107">
        <f t="shared" si="155"/>
      </c>
      <c r="EE161" s="107">
        <f t="shared" si="155"/>
      </c>
      <c r="EF161" s="107">
        <f t="shared" si="155"/>
      </c>
      <c r="EG161" s="293">
        <f t="shared" si="155"/>
      </c>
      <c r="EH161" s="107">
        <f t="shared" si="155"/>
      </c>
      <c r="EI161" s="107">
        <f t="shared" si="155"/>
      </c>
      <c r="EJ161" s="107">
        <f t="shared" si="155"/>
      </c>
      <c r="EK161" s="107">
        <f t="shared" si="155"/>
      </c>
      <c r="EL161" s="293">
        <f t="shared" si="155"/>
      </c>
      <c r="EM161" s="291">
        <f t="shared" si="155"/>
      </c>
      <c r="EN161" s="107">
        <f t="shared" si="155"/>
      </c>
      <c r="EO161" s="291">
        <f t="shared" si="155"/>
      </c>
      <c r="EP161" s="107">
        <f t="shared" si="155"/>
      </c>
      <c r="EQ161" s="293">
        <f t="shared" si="155"/>
      </c>
      <c r="ER161" s="291">
        <f t="shared" si="155"/>
      </c>
      <c r="ES161" s="107">
        <f t="shared" si="155"/>
      </c>
      <c r="ET161" s="107">
        <f t="shared" si="155"/>
      </c>
      <c r="EU161" s="107">
        <f>EU153/EU$50</f>
      </c>
      <c r="EV161" s="293">
        <f>EV153/EV$50</f>
      </c>
      <c r="EW161" s="291"/>
      <c r="EX161" s="107"/>
      <c r="EY161" s="291"/>
      <c r="EZ161" s="107"/>
      <c r="FA161" s="293"/>
      <c r="FB161" s="291"/>
      <c r="FC161" s="107"/>
      <c r="FD161" s="291"/>
      <c r="FE161" s="107"/>
      <c r="FF161" s="293"/>
      <c r="FG161" s="291"/>
      <c r="FH161" s="107"/>
      <c r="FI161" s="291"/>
      <c r="FJ161" s="107"/>
      <c r="FK161" s="293"/>
      <c r="FL161" s="291"/>
      <c r="FM161" s="107"/>
      <c r="FN161" s="291"/>
      <c r="FO161" s="107"/>
      <c r="FP161" s="293"/>
      <c r="FQ161" s="291"/>
      <c r="FR161" s="107"/>
      <c r="FS161" s="291"/>
      <c r="FT161" s="107"/>
      <c r="FU161" s="293"/>
      <c r="FV161" s="291"/>
      <c r="FW161" s="107"/>
      <c r="FX161" s="291"/>
      <c r="FY161" s="107"/>
      <c r="FZ161" s="293"/>
      <c r="GA161" s="291"/>
      <c r="GB161" s="107"/>
      <c r="GC161" s="291"/>
      <c r="GD161" s="107"/>
      <c r="GE161" s="293"/>
      <c r="GF161" s="291"/>
      <c r="GG161" s="107"/>
      <c r="GH161" s="291"/>
      <c r="GI161" s="107"/>
      <c r="GJ161" s="382"/>
    </row>
    <row r="162" spans="1:192" ht="12.75" hidden="1" customHeight="1" outlineLevel="1">
      <c r="B162" s="736"/>
      <c r="C162" s="291"/>
      <c r="D162" s="107"/>
      <c r="E162" s="107"/>
      <c r="F162" s="107"/>
      <c r="G162" s="293"/>
      <c r="H162" s="291"/>
      <c r="I162" s="107"/>
      <c r="J162" s="107"/>
      <c r="K162" s="107"/>
      <c r="L162" s="293"/>
      <c r="M162" s="291"/>
      <c r="N162" s="107"/>
      <c r="O162" s="107"/>
      <c r="P162" s="107"/>
      <c r="Q162" s="293"/>
      <c r="R162" s="291"/>
      <c r="S162" s="107"/>
      <c r="T162" s="107"/>
      <c r="U162" s="107"/>
      <c r="V162" s="293"/>
      <c r="W162" s="291"/>
      <c r="X162" s="107"/>
      <c r="Y162" s="107"/>
      <c r="Z162" s="107"/>
      <c r="AA162" s="293"/>
      <c r="AB162" s="291"/>
      <c r="AC162" s="107"/>
      <c r="AD162" s="107"/>
      <c r="AE162" s="107"/>
      <c r="AF162" s="293"/>
      <c r="AG162" s="291"/>
      <c r="AH162" s="107"/>
      <c r="AI162" s="107"/>
      <c r="AJ162" s="107"/>
      <c r="AK162" s="293"/>
      <c r="AL162" s="291"/>
      <c r="AM162" s="107"/>
      <c r="AN162" s="107"/>
      <c r="AO162" s="107"/>
      <c r="AP162" s="293"/>
      <c r="AQ162" s="291"/>
      <c r="AR162" s="107"/>
      <c r="AS162" s="107"/>
      <c r="AT162" s="107"/>
      <c r="AU162" s="293"/>
      <c r="AV162" s="291"/>
      <c r="AW162" s="107"/>
      <c r="AX162" s="107"/>
      <c r="AY162" s="107"/>
      <c r="AZ162" s="293"/>
      <c r="BA162" s="291"/>
      <c r="BB162" s="107"/>
      <c r="BC162" s="107"/>
      <c r="BD162" s="107"/>
      <c r="BE162" s="293"/>
      <c r="BF162" s="291"/>
      <c r="BG162" s="107"/>
      <c r="BH162" s="107"/>
      <c r="BI162" s="107"/>
      <c r="BJ162" s="293"/>
      <c r="BK162" s="291"/>
      <c r="BL162" s="107"/>
      <c r="BM162" s="107"/>
      <c r="BN162" s="107"/>
      <c r="BO162" s="293"/>
      <c r="BP162" s="291"/>
      <c r="BQ162" s="107"/>
      <c r="BR162" s="107"/>
      <c r="BS162" s="107"/>
      <c r="BT162" s="293"/>
      <c r="BU162" s="291"/>
      <c r="BV162" s="107"/>
      <c r="BW162" s="107"/>
      <c r="BX162" s="107"/>
      <c r="BY162" s="293"/>
      <c r="BZ162" s="291"/>
      <c r="CA162" s="107"/>
      <c r="CB162" s="107"/>
      <c r="CC162" s="107"/>
      <c r="CD162" s="293"/>
      <c r="CE162" s="291"/>
      <c r="CF162" s="107"/>
      <c r="CG162" s="107"/>
      <c r="CH162" s="107"/>
      <c r="CI162" s="293"/>
      <c r="CJ162" s="291"/>
      <c r="CK162" s="107"/>
      <c r="CL162" s="107"/>
      <c r="CM162" s="107"/>
      <c r="CN162" s="293"/>
      <c r="CO162" s="291"/>
      <c r="CP162" s="107"/>
      <c r="CQ162" s="107"/>
      <c r="CR162" s="107"/>
      <c r="CS162" s="293"/>
      <c r="CT162" s="291"/>
      <c r="CU162" s="107"/>
      <c r="CV162" s="107"/>
      <c r="CW162" s="107"/>
      <c r="CX162" s="293"/>
      <c r="CY162" s="291"/>
      <c r="CZ162" s="107"/>
      <c r="DA162" s="107"/>
      <c r="DB162" s="107"/>
      <c r="DC162" s="293"/>
      <c r="DD162" s="291"/>
      <c r="DE162" s="107"/>
      <c r="DF162" s="107"/>
      <c r="DG162" s="107"/>
      <c r="DH162" s="293"/>
      <c r="DI162" s="291"/>
      <c r="DJ162" s="107"/>
      <c r="DK162" s="107"/>
      <c r="DL162" s="107"/>
      <c r="DM162" s="293"/>
      <c r="DN162" s="291"/>
      <c r="DO162" s="107"/>
      <c r="DP162" s="107"/>
      <c r="DQ162" s="107"/>
      <c r="DR162" s="293"/>
      <c r="DS162" s="291"/>
      <c r="DT162" s="107"/>
      <c r="DU162" s="107"/>
      <c r="DV162" s="107"/>
      <c r="DW162" s="293"/>
      <c r="DX162" s="291"/>
      <c r="DY162" s="107"/>
      <c r="DZ162" s="107"/>
      <c r="EA162" s="107"/>
      <c r="EB162" s="293"/>
      <c r="EC162" s="291"/>
      <c r="ED162" s="107"/>
      <c r="EE162" s="107"/>
      <c r="EF162" s="107"/>
      <c r="EG162" s="293"/>
      <c r="EH162" s="291"/>
      <c r="EI162" s="107"/>
      <c r="EJ162" s="107"/>
      <c r="EK162" s="107"/>
      <c r="EL162" s="293"/>
      <c r="EM162" s="291"/>
      <c r="EN162" s="107"/>
      <c r="EO162" s="107"/>
      <c r="EP162" s="107"/>
      <c r="EQ162" s="293"/>
      <c r="ER162" s="291"/>
      <c r="ES162" s="107"/>
      <c r="ET162" s="107"/>
      <c r="EU162" s="107"/>
      <c r="EV162" s="293"/>
      <c r="EW162" s="291"/>
      <c r="EX162" s="107"/>
      <c r="EY162" s="107"/>
      <c r="EZ162" s="107"/>
      <c r="FA162" s="293"/>
      <c r="FB162" s="291"/>
      <c r="FC162" s="107"/>
      <c r="FD162" s="107"/>
      <c r="FE162" s="107"/>
      <c r="FF162" s="293"/>
      <c r="FG162" s="291"/>
      <c r="FH162" s="107"/>
      <c r="FI162" s="107"/>
      <c r="FJ162" s="107"/>
      <c r="FK162" s="293"/>
      <c r="FL162" s="291"/>
      <c r="FM162" s="107"/>
      <c r="FN162" s="107"/>
      <c r="FO162" s="107"/>
      <c r="FP162" s="293"/>
      <c r="FQ162" s="291"/>
      <c r="FR162" s="107"/>
      <c r="FS162" s="107"/>
      <c r="FT162" s="107"/>
      <c r="FU162" s="293"/>
      <c r="FV162" s="291"/>
      <c r="FW162" s="107"/>
      <c r="FX162" s="107"/>
      <c r="FY162" s="107"/>
      <c r="FZ162" s="293"/>
      <c r="GA162" s="291"/>
      <c r="GB162" s="107"/>
      <c r="GC162" s="107"/>
      <c r="GD162" s="107"/>
      <c r="GE162" s="293"/>
      <c r="GF162" s="291"/>
      <c r="GG162" s="107"/>
      <c r="GH162" s="107"/>
      <c r="GI162" s="107"/>
      <c r="GJ162" s="382"/>
    </row>
    <row r="163" spans="1:192" ht="12.75" hidden="1" customHeight="1" outlineLevel="1">
      <c r="B163" s="736" t="s">
        <v>422</v>
      </c>
      <c r="C163" s="291"/>
      <c r="D163" s="107"/>
      <c r="E163" s="107"/>
      <c r="F163" s="107"/>
      <c r="G163" s="293"/>
      <c r="H163" s="291"/>
      <c r="I163" s="107"/>
      <c r="J163" s="107"/>
      <c r="K163" s="107"/>
      <c r="L163" s="293"/>
      <c r="M163" s="291"/>
      <c r="N163" s="107"/>
      <c r="O163" s="107"/>
      <c r="P163" s="107"/>
      <c r="Q163" s="293"/>
      <c r="R163" s="291"/>
      <c r="S163" s="107"/>
      <c r="T163" s="107"/>
      <c r="U163" s="107"/>
      <c r="V163" s="293"/>
      <c r="W163" s="291"/>
      <c r="X163" s="107"/>
      <c r="Y163" s="107"/>
      <c r="Z163" s="107"/>
      <c r="AA163" s="293"/>
      <c r="AB163" s="291"/>
      <c r="AC163" s="107"/>
      <c r="AD163" s="107"/>
      <c r="AE163" s="107"/>
      <c r="AF163" s="293"/>
      <c r="AG163" s="291"/>
      <c r="AH163" s="107"/>
      <c r="AI163" s="107"/>
      <c r="AJ163" s="107"/>
      <c r="AK163" s="293"/>
      <c r="AL163" s="291"/>
      <c r="AM163" s="107"/>
      <c r="AN163" s="107"/>
      <c r="AO163" s="107"/>
      <c r="AP163" s="293"/>
      <c r="AQ163" s="291"/>
      <c r="AR163" s="107"/>
      <c r="AS163" s="107"/>
      <c r="AT163" s="107"/>
      <c r="AU163" s="293"/>
      <c r="AV163" s="291"/>
      <c r="AW163" s="107"/>
      <c r="AX163" s="107"/>
      <c r="AY163" s="107"/>
      <c r="AZ163" s="293"/>
      <c r="BA163" s="291"/>
      <c r="BB163" s="107"/>
      <c r="BC163" s="107"/>
      <c r="BD163" s="107"/>
      <c r="BE163" s="293"/>
      <c r="BF163" s="291"/>
      <c r="BG163" s="107"/>
      <c r="BH163" s="107"/>
      <c r="BI163" s="107"/>
      <c r="BJ163" s="293"/>
      <c r="BK163" s="291"/>
      <c r="BL163" s="107"/>
      <c r="BM163" s="107"/>
      <c r="BN163" s="107"/>
      <c r="BO163" s="293"/>
      <c r="BP163" s="291"/>
      <c r="BQ163" s="107"/>
      <c r="BR163" s="107"/>
      <c r="BS163" s="107"/>
      <c r="BT163" s="293"/>
      <c r="BU163" s="291"/>
      <c r="BV163" s="107"/>
      <c r="BW163" s="107"/>
      <c r="BX163" s="107"/>
      <c r="BY163" s="293"/>
      <c r="BZ163" s="291"/>
      <c r="CA163" s="107"/>
      <c r="CB163" s="107"/>
      <c r="CC163" s="107"/>
      <c r="CD163" s="293"/>
      <c r="CE163" s="291"/>
      <c r="CF163" s="107"/>
      <c r="CG163" s="107"/>
      <c r="CH163" s="107"/>
      <c r="CI163" s="293"/>
      <c r="CJ163" s="291"/>
      <c r="CK163" s="107"/>
      <c r="CL163" s="107"/>
      <c r="CM163" s="107"/>
      <c r="CN163" s="293"/>
      <c r="CO163" s="291"/>
      <c r="CP163" s="107"/>
      <c r="CQ163" s="107"/>
      <c r="CR163" s="107"/>
      <c r="CS163" s="293"/>
      <c r="CT163" s="291"/>
      <c r="CU163" s="107"/>
      <c r="CV163" s="107"/>
      <c r="CW163" s="107"/>
      <c r="CX163" s="293"/>
      <c r="CY163" s="291"/>
      <c r="CZ163" s="107"/>
      <c r="DA163" s="107"/>
      <c r="DB163" s="107"/>
      <c r="DC163" s="293"/>
      <c r="DD163" s="291"/>
      <c r="DE163" s="107"/>
      <c r="DF163" s="107"/>
      <c r="DG163" s="107"/>
      <c r="DH163" s="293"/>
      <c r="DI163" s="291"/>
      <c r="DJ163" s="107"/>
      <c r="DK163" s="107"/>
      <c r="DL163" s="107"/>
      <c r="DM163" s="293"/>
      <c r="DN163" s="291"/>
      <c r="DO163" s="107"/>
      <c r="DP163" s="107"/>
      <c r="DQ163" s="107"/>
      <c r="DR163" s="293"/>
      <c r="DS163" s="291"/>
      <c r="DT163" s="107"/>
      <c r="DU163" s="107"/>
      <c r="DV163" s="107"/>
      <c r="DW163" s="293"/>
      <c r="DX163" s="291"/>
      <c r="DY163" s="107"/>
      <c r="DZ163" s="107"/>
      <c r="EA163" s="107"/>
      <c r="EB163" s="293"/>
      <c r="EC163" s="291"/>
      <c r="ED163" s="107"/>
      <c r="EE163" s="107"/>
      <c r="EF163" s="458">
        <f>EF164*EF153</f>
      </c>
      <c r="EG163" s="293"/>
      <c r="EH163" s="458">
        <f>EH164*EH153</f>
      </c>
      <c r="EI163" s="458">
        <f>EI164*EI153</f>
      </c>
      <c r="EJ163" s="458">
        <f>EJ164*EJ153</f>
      </c>
      <c r="EK163" s="458">
        <f>EK164*EK153</f>
      </c>
      <c r="EL163" s="293"/>
      <c r="EM163" s="291"/>
      <c r="EN163" s="107"/>
      <c r="EO163" s="107"/>
      <c r="EP163" s="107"/>
      <c r="EQ163" s="293"/>
      <c r="ER163" s="291"/>
      <c r="ES163" s="107"/>
      <c r="ET163" s="107"/>
      <c r="EU163" s="107"/>
      <c r="EV163" s="293"/>
      <c r="EW163" s="291"/>
      <c r="EX163" s="107"/>
      <c r="EY163" s="107"/>
      <c r="EZ163" s="107"/>
      <c r="FA163" s="293"/>
      <c r="FB163" s="291"/>
      <c r="FC163" s="107"/>
      <c r="FD163" s="107"/>
      <c r="FE163" s="107"/>
      <c r="FF163" s="293"/>
      <c r="FG163" s="291"/>
      <c r="FH163" s="107"/>
      <c r="FI163" s="107"/>
      <c r="FJ163" s="107"/>
      <c r="FK163" s="293"/>
      <c r="FL163" s="291"/>
      <c r="FM163" s="107"/>
      <c r="FN163" s="107"/>
      <c r="FO163" s="107"/>
      <c r="FP163" s="293"/>
      <c r="FQ163" s="291"/>
      <c r="FR163" s="107"/>
      <c r="FS163" s="107"/>
      <c r="FT163" s="107"/>
      <c r="FU163" s="293"/>
      <c r="FV163" s="291"/>
      <c r="FW163" s="107"/>
      <c r="FX163" s="107"/>
      <c r="FY163" s="107"/>
      <c r="FZ163" s="293"/>
      <c r="GA163" s="291"/>
      <c r="GB163" s="107"/>
      <c r="GC163" s="107"/>
      <c r="GD163" s="107"/>
      <c r="GE163" s="293"/>
      <c r="GF163" s="291"/>
      <c r="GG163" s="107"/>
      <c r="GH163" s="107"/>
      <c r="GI163" s="107"/>
      <c r="GJ163" s="382"/>
    </row>
    <row r="164" spans="1:192" ht="12.75" hidden="1" customHeight="1" outlineLevel="1">
      <c r="B164" s="736" t="s">
        <v>222</v>
      </c>
      <c r="C164" s="291"/>
      <c r="D164" s="107"/>
      <c r="E164" s="107"/>
      <c r="F164" s="107"/>
      <c r="G164" s="293"/>
      <c r="H164" s="291"/>
      <c r="I164" s="107"/>
      <c r="J164" s="107"/>
      <c r="K164" s="107"/>
      <c r="L164" s="293"/>
      <c r="M164" s="291"/>
      <c r="N164" s="107"/>
      <c r="O164" s="107"/>
      <c r="P164" s="107"/>
      <c r="Q164" s="293"/>
      <c r="R164" s="291"/>
      <c r="S164" s="107"/>
      <c r="T164" s="107"/>
      <c r="U164" s="107"/>
      <c r="V164" s="293"/>
      <c r="W164" s="291"/>
      <c r="X164" s="107"/>
      <c r="Y164" s="107"/>
      <c r="Z164" s="107"/>
      <c r="AA164" s="293"/>
      <c r="AB164" s="291"/>
      <c r="AC164" s="107"/>
      <c r="AD164" s="107"/>
      <c r="AE164" s="107"/>
      <c r="AF164" s="293"/>
      <c r="AG164" s="291"/>
      <c r="AH164" s="107"/>
      <c r="AI164" s="107"/>
      <c r="AJ164" s="107"/>
      <c r="AK164" s="293"/>
      <c r="AL164" s="291"/>
      <c r="AM164" s="107"/>
      <c r="AN164" s="107"/>
      <c r="AO164" s="107"/>
      <c r="AP164" s="293"/>
      <c r="AQ164" s="291"/>
      <c r="AR164" s="107"/>
      <c r="AS164" s="107"/>
      <c r="AT164" s="107"/>
      <c r="AU164" s="293"/>
      <c r="AV164" s="291"/>
      <c r="AW164" s="107"/>
      <c r="AX164" s="107"/>
      <c r="AY164" s="107"/>
      <c r="AZ164" s="293"/>
      <c r="BA164" s="291"/>
      <c r="BB164" s="107"/>
      <c r="BC164" s="107"/>
      <c r="BD164" s="107"/>
      <c r="BE164" s="293"/>
      <c r="BF164" s="291"/>
      <c r="BG164" s="107"/>
      <c r="BH164" s="107"/>
      <c r="BI164" s="107"/>
      <c r="BJ164" s="293"/>
      <c r="BK164" s="291"/>
      <c r="BL164" s="107"/>
      <c r="BM164" s="107"/>
      <c r="BN164" s="107"/>
      <c r="BO164" s="293"/>
      <c r="BP164" s="291"/>
      <c r="BQ164" s="107"/>
      <c r="BR164" s="107"/>
      <c r="BS164" s="107"/>
      <c r="BT164" s="293"/>
      <c r="BU164" s="291"/>
      <c r="BV164" s="107"/>
      <c r="BW164" s="107"/>
      <c r="BX164" s="107"/>
      <c r="BY164" s="293"/>
      <c r="BZ164" s="291"/>
      <c r="CA164" s="107"/>
      <c r="CB164" s="107"/>
      <c r="CC164" s="107"/>
      <c r="CD164" s="293"/>
      <c r="CE164" s="291"/>
      <c r="CF164" s="107"/>
      <c r="CG164" s="107"/>
      <c r="CH164" s="107"/>
      <c r="CI164" s="293"/>
      <c r="CJ164" s="291"/>
      <c r="CK164" s="107"/>
      <c r="CL164" s="107"/>
      <c r="CM164" s="107"/>
      <c r="CN164" s="293"/>
      <c r="CO164" s="291"/>
      <c r="CP164" s="107"/>
      <c r="CQ164" s="107"/>
      <c r="CR164" s="107"/>
      <c r="CS164" s="293"/>
      <c r="CT164" s="291"/>
      <c r="CU164" s="107"/>
      <c r="CV164" s="107"/>
      <c r="CW164" s="107"/>
      <c r="CX164" s="293"/>
      <c r="CY164" s="291"/>
      <c r="CZ164" s="107"/>
      <c r="DA164" s="107"/>
      <c r="DB164" s="107"/>
      <c r="DC164" s="293"/>
      <c r="DD164" s="291"/>
      <c r="DE164" s="107"/>
      <c r="DF164" s="107"/>
      <c r="DG164" s="107"/>
      <c r="DH164" s="293"/>
      <c r="DI164" s="291"/>
      <c r="DJ164" s="107"/>
      <c r="DK164" s="107"/>
      <c r="DL164" s="107"/>
      <c r="DM164" s="293"/>
      <c r="DN164" s="291"/>
      <c r="DO164" s="107"/>
      <c r="DP164" s="107"/>
      <c r="DQ164" s="107"/>
      <c r="DR164" s="293"/>
      <c r="DS164" s="291"/>
      <c r="DT164" s="107"/>
      <c r="DU164" s="107"/>
      <c r="DV164" s="107"/>
      <c r="DW164" s="293"/>
      <c r="DX164" s="291"/>
      <c r="DY164" s="107"/>
      <c r="DZ164" s="107"/>
      <c r="EA164" s="107"/>
      <c r="EB164" s="293"/>
      <c r="EC164" s="291"/>
      <c r="ED164" s="107"/>
      <c r="EE164" s="107"/>
      <c r="EF164" s="114">
        <v>0.08</v>
      </c>
      <c r="EG164" s="293"/>
      <c r="EH164" s="412">
        <f>AVERAGE(EF164,EI164)</f>
      </c>
      <c r="EI164" s="114">
        <f>AVERAGE(EF164,EK164)</f>
      </c>
      <c r="EJ164" s="114">
        <f>AVERAGE(EI164,EK164)</f>
      </c>
      <c r="EK164" s="114">
        <v>0.12</v>
      </c>
      <c r="EL164" s="293"/>
      <c r="EM164" s="283"/>
      <c r="EN164" s="107"/>
      <c r="EO164" s="107"/>
      <c r="EP164" s="107"/>
      <c r="EQ164" s="293"/>
      <c r="ER164" s="291"/>
      <c r="ES164" s="107"/>
      <c r="ET164" s="107"/>
      <c r="EU164" s="107"/>
      <c r="EV164" s="293"/>
      <c r="EW164" s="291"/>
      <c r="EX164" s="107"/>
      <c r="EY164" s="107"/>
      <c r="EZ164" s="107"/>
      <c r="FA164" s="293"/>
      <c r="FB164" s="291"/>
      <c r="FC164" s="107"/>
      <c r="FD164" s="107"/>
      <c r="FE164" s="107"/>
      <c r="FF164" s="293"/>
      <c r="FG164" s="291"/>
      <c r="FH164" s="107"/>
      <c r="FI164" s="107"/>
      <c r="FJ164" s="107"/>
      <c r="FK164" s="293"/>
      <c r="FL164" s="291"/>
      <c r="FM164" s="107"/>
      <c r="FN164" s="107"/>
      <c r="FO164" s="107"/>
      <c r="FP164" s="293"/>
      <c r="FQ164" s="291"/>
      <c r="FR164" s="107"/>
      <c r="FS164" s="107"/>
      <c r="FT164" s="107"/>
      <c r="FU164" s="293"/>
      <c r="FV164" s="291"/>
      <c r="FW164" s="107"/>
      <c r="FX164" s="107"/>
      <c r="FY164" s="107"/>
      <c r="FZ164" s="293"/>
      <c r="GA164" s="291"/>
      <c r="GB164" s="107"/>
      <c r="GC164" s="107"/>
      <c r="GD164" s="107"/>
      <c r="GE164" s="293"/>
      <c r="GF164" s="291"/>
      <c r="GG164" s="107"/>
      <c r="GH164" s="107"/>
      <c r="GI164" s="107"/>
      <c r="GJ164" s="382"/>
    </row>
    <row r="165" spans="1:192" ht="12.75" hidden="1" customHeight="1" outlineLevel="1">
      <c r="B165" s="736" t="s">
        <v>1902</v>
      </c>
      <c r="C165" s="291"/>
      <c r="D165" s="107"/>
      <c r="E165" s="107"/>
      <c r="F165" s="107"/>
      <c r="G165" s="293"/>
      <c r="H165" s="291"/>
      <c r="I165" s="107"/>
      <c r="J165" s="107"/>
      <c r="K165" s="107"/>
      <c r="L165" s="293"/>
      <c r="M165" s="291"/>
      <c r="N165" s="107"/>
      <c r="O165" s="107"/>
      <c r="P165" s="107"/>
      <c r="Q165" s="293"/>
      <c r="R165" s="291"/>
      <c r="S165" s="107"/>
      <c r="T165" s="107"/>
      <c r="U165" s="107"/>
      <c r="V165" s="293"/>
      <c r="W165" s="291"/>
      <c r="X165" s="107"/>
      <c r="Y165" s="107"/>
      <c r="Z165" s="107"/>
      <c r="AA165" s="293"/>
      <c r="AB165" s="291"/>
      <c r="AC165" s="107"/>
      <c r="AD165" s="107"/>
      <c r="AE165" s="107"/>
      <c r="AF165" s="293"/>
      <c r="AG165" s="291"/>
      <c r="AH165" s="107"/>
      <c r="AI165" s="107"/>
      <c r="AJ165" s="107"/>
      <c r="AK165" s="293"/>
      <c r="AL165" s="291"/>
      <c r="AM165" s="107"/>
      <c r="AN165" s="107"/>
      <c r="AO165" s="107"/>
      <c r="AP165" s="293"/>
      <c r="AQ165" s="291"/>
      <c r="AR165" s="107"/>
      <c r="AS165" s="107"/>
      <c r="AT165" s="107"/>
      <c r="AU165" s="293"/>
      <c r="AV165" s="291"/>
      <c r="AW165" s="107"/>
      <c r="AX165" s="107"/>
      <c r="AY165" s="107"/>
      <c r="AZ165" s="293"/>
      <c r="BA165" s="291"/>
      <c r="BB165" s="107"/>
      <c r="BC165" s="107"/>
      <c r="BD165" s="107"/>
      <c r="BE165" s="293"/>
      <c r="BF165" s="291"/>
      <c r="BG165" s="107"/>
      <c r="BH165" s="107"/>
      <c r="BI165" s="107"/>
      <c r="BJ165" s="293"/>
      <c r="BK165" s="291"/>
      <c r="BL165" s="107"/>
      <c r="BM165" s="107"/>
      <c r="BN165" s="107"/>
      <c r="BO165" s="293"/>
      <c r="BP165" s="291"/>
      <c r="BQ165" s="107"/>
      <c r="BR165" s="107"/>
      <c r="BS165" s="107"/>
      <c r="BT165" s="293"/>
      <c r="BU165" s="291"/>
      <c r="BV165" s="107"/>
      <c r="BW165" s="107"/>
      <c r="BX165" s="107"/>
      <c r="BY165" s="293"/>
      <c r="BZ165" s="291"/>
      <c r="CA165" s="107"/>
      <c r="CB165" s="107"/>
      <c r="CC165" s="107"/>
      <c r="CD165" s="293"/>
      <c r="CE165" s="291"/>
      <c r="CF165" s="107"/>
      <c r="CG165" s="107"/>
      <c r="CH165" s="107"/>
      <c r="CI165" s="293"/>
      <c r="CJ165" s="291"/>
      <c r="CK165" s="107"/>
      <c r="CL165" s="107"/>
      <c r="CM165" s="107"/>
      <c r="CN165" s="293"/>
      <c r="CO165" s="291"/>
      <c r="CP165" s="107"/>
      <c r="CQ165" s="107"/>
      <c r="CR165" s="107"/>
      <c r="CS165" s="293"/>
      <c r="CT165" s="291"/>
      <c r="CU165" s="107"/>
      <c r="CV165" s="107"/>
      <c r="CW165" s="107"/>
      <c r="CX165" s="293"/>
      <c r="CY165" s="291"/>
      <c r="CZ165" s="107"/>
      <c r="DA165" s="107"/>
      <c r="DB165" s="107"/>
      <c r="DC165" s="293"/>
      <c r="DD165" s="291"/>
      <c r="DE165" s="107"/>
      <c r="DF165" s="107"/>
      <c r="DG165" s="107"/>
      <c r="DH165" s="293"/>
      <c r="DI165" s="291"/>
      <c r="DJ165" s="107"/>
      <c r="DK165" s="107"/>
      <c r="DL165" s="107"/>
      <c r="DM165" s="293"/>
      <c r="DN165" s="291"/>
      <c r="DO165" s="107"/>
      <c r="DP165" s="107"/>
      <c r="DQ165" s="107"/>
      <c r="DR165" s="293"/>
      <c r="DS165" s="291"/>
      <c r="DT165" s="107"/>
      <c r="DU165" s="107"/>
      <c r="DV165" s="107"/>
      <c r="DW165" s="293"/>
      <c r="DX165" s="291"/>
      <c r="DY165" s="107"/>
      <c r="DZ165" s="107"/>
      <c r="EA165" s="107"/>
      <c r="EB165" s="293"/>
      <c r="EC165" s="291"/>
      <c r="ED165" s="107"/>
      <c r="EE165" s="107"/>
      <c r="EF165" s="114"/>
      <c r="EG165" s="293"/>
      <c r="EH165" s="412"/>
      <c r="EI165" s="114"/>
      <c r="EJ165" s="114"/>
      <c r="EK165" s="114"/>
      <c r="EL165" s="293"/>
      <c r="EM165" s="283"/>
      <c r="EN165" s="107"/>
      <c r="EO165" s="107"/>
      <c r="EP165" s="107"/>
      <c r="EQ165" s="293"/>
      <c r="ER165" s="291"/>
      <c r="ES165" s="107"/>
      <c r="ET165" s="107"/>
      <c r="EU165" s="107"/>
      <c r="EV165" s="293"/>
      <c r="EW165" s="291"/>
      <c r="EX165" s="107"/>
      <c r="EY165" s="107"/>
      <c r="EZ165" s="107"/>
      <c r="FA165" s="293"/>
      <c r="FB165" s="291"/>
      <c r="FC165" s="107"/>
      <c r="FD165" s="107"/>
      <c r="FE165" s="107"/>
      <c r="FF165" s="293"/>
      <c r="FG165" s="291"/>
      <c r="FH165" s="107"/>
      <c r="FI165" s="107"/>
      <c r="FJ165" s="107"/>
      <c r="FK165" s="293"/>
      <c r="FL165" s="291"/>
      <c r="FM165" s="107"/>
      <c r="FN165" s="107"/>
      <c r="FO165" s="107"/>
      <c r="FP165" s="293"/>
      <c r="FQ165" s="291"/>
      <c r="FR165" s="107"/>
      <c r="FS165" s="107"/>
      <c r="FT165" s="107"/>
      <c r="FU165" s="293"/>
      <c r="FV165" s="291"/>
      <c r="FW165" s="107"/>
      <c r="FX165" s="107"/>
      <c r="FY165" s="107"/>
      <c r="FZ165" s="293"/>
      <c r="GA165" s="291"/>
      <c r="GB165" s="107"/>
      <c r="GC165" s="107"/>
      <c r="GD165" s="107"/>
      <c r="GE165" s="293"/>
      <c r="GF165" s="291"/>
      <c r="GG165" s="107"/>
      <c r="GH165" s="107"/>
      <c r="GI165" s="107"/>
      <c r="GJ165" s="382"/>
    </row>
    <row r="166" spans="1:192" ht="12.75" hidden="1" customHeight="1" outlineLevel="1">
      <c r="B166" s="736" t="s">
        <v>34</v>
      </c>
      <c r="C166" s="291"/>
      <c r="D166" s="107"/>
      <c r="E166" s="107"/>
      <c r="F166" s="107"/>
      <c r="G166" s="293"/>
      <c r="H166" s="291"/>
      <c r="I166" s="107"/>
      <c r="J166" s="107"/>
      <c r="K166" s="107"/>
      <c r="L166" s="293"/>
      <c r="M166" s="291"/>
      <c r="N166" s="107"/>
      <c r="O166" s="107"/>
      <c r="P166" s="107"/>
      <c r="Q166" s="293"/>
      <c r="R166" s="291"/>
      <c r="S166" s="107"/>
      <c r="T166" s="107"/>
      <c r="U166" s="107"/>
      <c r="V166" s="293"/>
      <c r="W166" s="291"/>
      <c r="X166" s="107"/>
      <c r="Y166" s="107"/>
      <c r="Z166" s="107"/>
      <c r="AA166" s="293"/>
      <c r="AB166" s="291"/>
      <c r="AC166" s="107"/>
      <c r="AD166" s="107"/>
      <c r="AE166" s="107"/>
      <c r="AF166" s="293"/>
      <c r="AG166" s="291"/>
      <c r="AH166" s="107"/>
      <c r="AI166" s="107"/>
      <c r="AJ166" s="107"/>
      <c r="AK166" s="293"/>
      <c r="AL166" s="291"/>
      <c r="AM166" s="107"/>
      <c r="AN166" s="107"/>
      <c r="AO166" s="107"/>
      <c r="AP166" s="293"/>
      <c r="AQ166" s="291"/>
      <c r="AR166" s="107"/>
      <c r="AS166" s="107"/>
      <c r="AT166" s="107"/>
      <c r="AU166" s="293"/>
      <c r="AV166" s="291"/>
      <c r="AW166" s="107"/>
      <c r="AX166" s="107"/>
      <c r="AY166" s="107"/>
      <c r="AZ166" s="293"/>
      <c r="BA166" s="291"/>
      <c r="BB166" s="107"/>
      <c r="BC166" s="107"/>
      <c r="BD166" s="107"/>
      <c r="BE166" s="293"/>
      <c r="BF166" s="291"/>
      <c r="BG166" s="107"/>
      <c r="BH166" s="107"/>
      <c r="BI166" s="107"/>
      <c r="BJ166" s="293"/>
      <c r="BK166" s="291"/>
      <c r="BL166" s="107"/>
      <c r="BM166" s="107"/>
      <c r="BN166" s="107"/>
      <c r="BO166" s="293"/>
      <c r="BP166" s="291"/>
      <c r="BQ166" s="107"/>
      <c r="BR166" s="107"/>
      <c r="BS166" s="107"/>
      <c r="BT166" s="293"/>
      <c r="BU166" s="291"/>
      <c r="BV166" s="107"/>
      <c r="BW166" s="107"/>
      <c r="BX166" s="107"/>
      <c r="BY166" s="293"/>
      <c r="BZ166" s="291"/>
      <c r="CA166" s="107"/>
      <c r="CB166" s="107"/>
      <c r="CC166" s="107"/>
      <c r="CD166" s="293"/>
      <c r="CE166" s="291"/>
      <c r="CF166" s="107"/>
      <c r="CG166" s="107"/>
      <c r="CH166" s="107"/>
      <c r="CI166" s="293"/>
      <c r="CJ166" s="291"/>
      <c r="CK166" s="107"/>
      <c r="CL166" s="107"/>
      <c r="CM166" s="107"/>
      <c r="CN166" s="293"/>
      <c r="CO166" s="291"/>
      <c r="CP166" s="107"/>
      <c r="CQ166" s="107"/>
      <c r="CR166" s="107"/>
      <c r="CS166" s="293"/>
      <c r="CT166" s="291"/>
      <c r="CU166" s="107"/>
      <c r="CV166" s="107"/>
      <c r="CW166" s="107"/>
      <c r="CX166" s="293"/>
      <c r="CY166" s="291"/>
      <c r="CZ166" s="107"/>
      <c r="DA166" s="107"/>
      <c r="DB166" s="107"/>
      <c r="DC166" s="293"/>
      <c r="DD166" s="291"/>
      <c r="DE166" s="107"/>
      <c r="DF166" s="107"/>
      <c r="DG166" s="107"/>
      <c r="DH166" s="293"/>
      <c r="DI166" s="291"/>
      <c r="DJ166" s="107"/>
      <c r="DK166" s="107"/>
      <c r="DL166" s="107"/>
      <c r="DM166" s="293"/>
      <c r="DN166" s="291"/>
      <c r="DO166" s="107"/>
      <c r="DP166" s="107"/>
      <c r="DQ166" s="107"/>
      <c r="DR166" s="293"/>
      <c r="DS166" s="291"/>
      <c r="DT166" s="107"/>
      <c r="DU166" s="107"/>
      <c r="DV166" s="107"/>
      <c r="DW166" s="293"/>
      <c r="DX166" s="291"/>
      <c r="DY166" s="107"/>
      <c r="DZ166" s="107"/>
      <c r="EA166" s="107"/>
      <c r="EB166" s="293"/>
      <c r="EC166" s="291"/>
      <c r="ED166" s="107"/>
      <c r="EE166" s="107"/>
      <c r="EF166" s="107"/>
      <c r="EG166" s="293"/>
      <c r="EH166" s="291"/>
      <c r="EI166" s="107"/>
      <c r="EJ166" s="107"/>
      <c r="EK166" s="439">
        <v>0.6</v>
      </c>
      <c r="EL166" s="293"/>
      <c r="EM166" s="291"/>
      <c r="EN166" s="107"/>
      <c r="EO166" s="107"/>
      <c r="EP166" s="107"/>
      <c r="EQ166" s="293"/>
      <c r="ER166" s="291"/>
      <c r="ES166" s="107"/>
      <c r="ET166" s="107"/>
      <c r="EU166" s="107"/>
      <c r="EV166" s="293"/>
      <c r="EW166" s="291"/>
      <c r="EX166" s="107"/>
      <c r="EY166" s="107"/>
      <c r="EZ166" s="107"/>
      <c r="FA166" s="293"/>
      <c r="FB166" s="291"/>
      <c r="FC166" s="107"/>
      <c r="FD166" s="107"/>
      <c r="FE166" s="107"/>
      <c r="FF166" s="293"/>
      <c r="FG166" s="291"/>
      <c r="FH166" s="107"/>
      <c r="FI166" s="107"/>
      <c r="FJ166" s="107"/>
      <c r="FK166" s="293"/>
      <c r="FL166" s="291"/>
      <c r="FM166" s="107"/>
      <c r="FN166" s="107"/>
      <c r="FO166" s="107"/>
      <c r="FP166" s="293"/>
      <c r="FQ166" s="291"/>
      <c r="FR166" s="107"/>
      <c r="FS166" s="107"/>
      <c r="FT166" s="107"/>
      <c r="FU166" s="293"/>
      <c r="FV166" s="291"/>
      <c r="FW166" s="107"/>
      <c r="FX166" s="107"/>
      <c r="FY166" s="107"/>
      <c r="FZ166" s="293"/>
      <c r="GA166" s="291"/>
      <c r="GB166" s="107"/>
      <c r="GC166" s="107"/>
      <c r="GD166" s="107"/>
      <c r="GE166" s="293"/>
      <c r="GF166" s="291"/>
      <c r="GG166" s="107"/>
      <c r="GH166" s="107"/>
      <c r="GI166" s="107"/>
      <c r="GJ166" s="382"/>
    </row>
    <row r="167" spans="1:192" ht="12.75" hidden="1" customHeight="1" outlineLevel="1">
      <c r="B167" s="736"/>
      <c r="C167" s="291"/>
      <c r="D167" s="107"/>
      <c r="E167" s="107"/>
      <c r="F167" s="107"/>
      <c r="G167" s="293"/>
      <c r="H167" s="291"/>
      <c r="I167" s="107"/>
      <c r="J167" s="107"/>
      <c r="K167" s="107"/>
      <c r="L167" s="293"/>
      <c r="M167" s="291"/>
      <c r="N167" s="107"/>
      <c r="O167" s="107"/>
      <c r="P167" s="107"/>
      <c r="Q167" s="293"/>
      <c r="R167" s="291"/>
      <c r="S167" s="107"/>
      <c r="T167" s="107"/>
      <c r="U167" s="107"/>
      <c r="V167" s="293"/>
      <c r="W167" s="291"/>
      <c r="X167" s="107"/>
      <c r="Y167" s="107"/>
      <c r="Z167" s="107"/>
      <c r="AA167" s="293"/>
      <c r="AB167" s="291"/>
      <c r="AC167" s="107"/>
      <c r="AD167" s="107"/>
      <c r="AE167" s="107"/>
      <c r="AF167" s="293"/>
      <c r="AG167" s="291"/>
      <c r="AH167" s="107"/>
      <c r="AI167" s="107"/>
      <c r="AJ167" s="107"/>
      <c r="AK167" s="293"/>
      <c r="AL167" s="291"/>
      <c r="AM167" s="107"/>
      <c r="AN167" s="107"/>
      <c r="AO167" s="107"/>
      <c r="AP167" s="293"/>
      <c r="AQ167" s="291"/>
      <c r="AR167" s="107"/>
      <c r="AS167" s="107"/>
      <c r="AT167" s="107"/>
      <c r="AU167" s="293"/>
      <c r="AV167" s="291"/>
      <c r="AW167" s="107"/>
      <c r="AX167" s="107"/>
      <c r="AY167" s="107"/>
      <c r="AZ167" s="293"/>
      <c r="BA167" s="291"/>
      <c r="BB167" s="107"/>
      <c r="BC167" s="107"/>
      <c r="BD167" s="107"/>
      <c r="BE167" s="293"/>
      <c r="BF167" s="291"/>
      <c r="BG167" s="107"/>
      <c r="BH167" s="107"/>
      <c r="BI167" s="107"/>
      <c r="BJ167" s="293"/>
      <c r="BK167" s="291"/>
      <c r="BL167" s="107"/>
      <c r="BM167" s="107"/>
      <c r="BN167" s="107"/>
      <c r="BO167" s="293"/>
      <c r="BP167" s="291"/>
      <c r="BQ167" s="107"/>
      <c r="BR167" s="107"/>
      <c r="BS167" s="107"/>
      <c r="BT167" s="293"/>
      <c r="BU167" s="291"/>
      <c r="BV167" s="107"/>
      <c r="BW167" s="107"/>
      <c r="BX167" s="107"/>
      <c r="BY167" s="293"/>
      <c r="BZ167" s="291"/>
      <c r="CA167" s="107"/>
      <c r="CB167" s="107"/>
      <c r="CC167" s="107"/>
      <c r="CD167" s="293"/>
      <c r="CE167" s="291"/>
      <c r="CF167" s="107"/>
      <c r="CG167" s="107"/>
      <c r="CH167" s="107"/>
      <c r="CI167" s="293"/>
      <c r="CJ167" s="291"/>
      <c r="CK167" s="107"/>
      <c r="CL167" s="107"/>
      <c r="CM167" s="107"/>
      <c r="CN167" s="293"/>
      <c r="CO167" s="291"/>
      <c r="CP167" s="107"/>
      <c r="CQ167" s="107"/>
      <c r="CR167" s="107"/>
      <c r="CS167" s="293"/>
      <c r="CT167" s="291"/>
      <c r="CU167" s="107"/>
      <c r="CV167" s="107"/>
      <c r="CW167" s="107"/>
      <c r="CX167" s="293"/>
      <c r="CY167" s="291"/>
      <c r="CZ167" s="107"/>
      <c r="DA167" s="107"/>
      <c r="DB167" s="107"/>
      <c r="DC167" s="293"/>
      <c r="DD167" s="291"/>
      <c r="DE167" s="107"/>
      <c r="DF167" s="107"/>
      <c r="DG167" s="107"/>
      <c r="DH167" s="293"/>
      <c r="DI167" s="505"/>
      <c r="DJ167" s="505"/>
      <c r="DK167" s="505"/>
      <c r="DL167" s="505"/>
      <c r="DM167" s="459"/>
      <c r="DN167" s="291"/>
      <c r="DO167" s="107"/>
      <c r="DP167" s="107"/>
      <c r="DQ167" s="107"/>
      <c r="DR167" s="293"/>
      <c r="DS167" s="291"/>
      <c r="DT167" s="107"/>
      <c r="DU167" s="107"/>
      <c r="DV167" s="107"/>
      <c r="DW167" s="293"/>
      <c r="DX167" s="291"/>
      <c r="DY167" s="107"/>
      <c r="DZ167" s="107"/>
      <c r="EA167" s="107"/>
      <c r="EB167" s="293"/>
      <c r="EC167" s="291"/>
      <c r="ED167" s="107"/>
      <c r="EE167" s="107"/>
      <c r="EF167" s="107"/>
      <c r="EG167" s="293"/>
      <c r="EH167" s="291"/>
      <c r="EI167" s="107"/>
      <c r="EJ167" s="107"/>
      <c r="EK167" s="107"/>
      <c r="EL167" s="293"/>
      <c r="EM167" s="291"/>
      <c r="EN167" s="107"/>
      <c r="EO167" s="107"/>
      <c r="EP167" s="107"/>
      <c r="EQ167" s="293"/>
      <c r="ER167" s="291"/>
      <c r="ES167" s="107"/>
      <c r="ET167" s="107"/>
      <c r="EU167" s="107"/>
      <c r="EV167" s="293"/>
      <c r="EW167" s="291"/>
      <c r="EX167" s="107"/>
      <c r="EY167" s="107"/>
      <c r="EZ167" s="107"/>
      <c r="FA167" s="293"/>
      <c r="FB167" s="291"/>
      <c r="FC167" s="107"/>
      <c r="FD167" s="107"/>
      <c r="FE167" s="107"/>
      <c r="FF167" s="293"/>
      <c r="FG167" s="291"/>
      <c r="FH167" s="107"/>
      <c r="FI167" s="107"/>
      <c r="FJ167" s="107"/>
      <c r="FK167" s="293"/>
      <c r="FL167" s="291"/>
      <c r="FM167" s="107"/>
      <c r="FN167" s="107"/>
      <c r="FO167" s="107"/>
      <c r="FP167" s="293"/>
      <c r="FQ167" s="291"/>
      <c r="FR167" s="107"/>
      <c r="FS167" s="107"/>
      <c r="FT167" s="107"/>
      <c r="FU167" s="293"/>
      <c r="FV167" s="291"/>
      <c r="FW167" s="107"/>
      <c r="FX167" s="107"/>
      <c r="FY167" s="107"/>
      <c r="FZ167" s="293"/>
      <c r="GA167" s="291"/>
      <c r="GB167" s="107"/>
      <c r="GC167" s="107"/>
      <c r="GD167" s="107"/>
      <c r="GE167" s="293"/>
      <c r="GF167" s="291"/>
      <c r="GG167" s="107"/>
      <c r="GH167" s="107"/>
      <c r="GI167" s="107"/>
      <c r="GJ167" s="382"/>
    </row>
    <row r="168" spans="1:192" ht="12.75" hidden="1" customHeight="1" outlineLevel="1">
      <c r="B168" s="1530" t="s">
        <v>1979</v>
      </c>
      <c r="C168" s="291"/>
      <c r="D168" s="107"/>
      <c r="E168" s="107"/>
      <c r="F168" s="107"/>
      <c r="G168" s="293"/>
      <c r="H168" s="291"/>
      <c r="I168" s="107"/>
      <c r="J168" s="107"/>
      <c r="K168" s="107"/>
      <c r="L168" s="293"/>
      <c r="M168" s="291"/>
      <c r="N168" s="107"/>
      <c r="O168" s="107"/>
      <c r="P168" s="107"/>
      <c r="Q168" s="293"/>
      <c r="R168" s="291"/>
      <c r="S168" s="107"/>
      <c r="T168" s="107"/>
      <c r="U168" s="107"/>
      <c r="V168" s="293"/>
      <c r="W168" s="291"/>
      <c r="X168" s="107"/>
      <c r="Y168" s="107"/>
      <c r="Z168" s="107"/>
      <c r="AA168" s="293"/>
      <c r="AB168" s="291"/>
      <c r="AC168" s="107"/>
      <c r="AD168" s="107"/>
      <c r="AE168" s="107"/>
      <c r="AF168" s="293"/>
      <c r="AG168" s="291"/>
      <c r="AH168" s="107"/>
      <c r="AI168" s="107"/>
      <c r="AJ168" s="107"/>
      <c r="AK168" s="293"/>
      <c r="AL168" s="291"/>
      <c r="AM168" s="107"/>
      <c r="AN168" s="107"/>
      <c r="AO168" s="107"/>
      <c r="AP168" s="293"/>
      <c r="AQ168" s="291"/>
      <c r="AR168" s="107"/>
      <c r="AS168" s="107"/>
      <c r="AT168" s="107"/>
      <c r="AU168" s="293"/>
      <c r="AV168" s="291"/>
      <c r="AW168" s="107"/>
      <c r="AX168" s="107"/>
      <c r="AY168" s="107"/>
      <c r="AZ168" s="293"/>
      <c r="BA168" s="291"/>
      <c r="BB168" s="107"/>
      <c r="BC168" s="107"/>
      <c r="BD168" s="107"/>
      <c r="BE168" s="293"/>
      <c r="BF168" s="291"/>
      <c r="BG168" s="107"/>
      <c r="BH168" s="107"/>
      <c r="BI168" s="107"/>
      <c r="BJ168" s="293"/>
      <c r="BK168" s="291"/>
      <c r="BL168" s="107"/>
      <c r="BM168" s="107"/>
      <c r="BN168" s="107"/>
      <c r="BO168" s="293"/>
      <c r="BP168" s="291"/>
      <c r="BQ168" s="107"/>
      <c r="BR168" s="107"/>
      <c r="BS168" s="107"/>
      <c r="BT168" s="293"/>
      <c r="BU168" s="291"/>
      <c r="BV168" s="107"/>
      <c r="BW168" s="107"/>
      <c r="BX168" s="107"/>
      <c r="BY168" s="293"/>
      <c r="BZ168" s="291"/>
      <c r="CA168" s="107"/>
      <c r="CB168" s="107"/>
      <c r="CC168" s="107"/>
      <c r="CD168" s="293"/>
      <c r="CE168" s="291"/>
      <c r="CF168" s="107"/>
      <c r="CG168" s="107"/>
      <c r="CH168" s="107"/>
      <c r="CI168" s="293"/>
      <c r="CJ168" s="291"/>
      <c r="CK168" s="107"/>
      <c r="CL168" s="107"/>
      <c r="CM168" s="107"/>
      <c r="CN168" s="293"/>
      <c r="CO168" s="291"/>
      <c r="CP168" s="107"/>
      <c r="CQ168" s="468"/>
      <c r="CR168" s="468"/>
      <c r="CS168" s="292"/>
      <c r="CT168" s="349"/>
      <c r="CU168" s="468"/>
      <c r="CV168" s="468"/>
      <c r="CW168" s="468"/>
      <c r="CX168" s="292"/>
      <c r="CY168" s="291"/>
      <c r="CZ168" s="107"/>
      <c r="DA168" s="107"/>
      <c r="DB168" s="107"/>
      <c r="DC168" s="292"/>
      <c r="DD168" s="291"/>
      <c r="DE168" s="107"/>
      <c r="DF168" s="107"/>
      <c r="DG168" s="107"/>
      <c r="DH168" s="292"/>
      <c r="DI168" s="291"/>
      <c r="DJ168" s="107"/>
      <c r="DK168" s="107"/>
      <c r="DL168" s="107"/>
      <c r="DM168" s="292"/>
      <c r="DN168" s="291"/>
      <c r="DO168" s="107"/>
      <c r="DP168" s="107"/>
      <c r="DQ168" s="107"/>
      <c r="DR168" s="292"/>
      <c r="DS168" s="291"/>
      <c r="DT168" s="107"/>
      <c r="DU168" s="107"/>
      <c r="DV168" s="107"/>
      <c r="DW168" s="292"/>
      <c r="DX168" s="291"/>
      <c r="DY168" s="107"/>
      <c r="DZ168" s="107"/>
      <c r="EA168" s="107"/>
      <c r="EB168" s="292"/>
      <c r="EC168" s="291"/>
      <c r="ED168" s="107"/>
      <c r="EE168" s="107"/>
      <c r="EF168" s="107"/>
      <c r="EG168" s="292"/>
      <c r="EH168" s="291"/>
      <c r="EI168" s="107"/>
      <c r="EJ168" s="107"/>
      <c r="EK168" s="107"/>
      <c r="EL168" s="292"/>
      <c r="EM168" s="291"/>
      <c r="EN168" s="107"/>
      <c r="EO168" s="506"/>
      <c r="EP168" s="107"/>
      <c r="EQ168" s="292"/>
      <c r="ER168" s="291"/>
      <c r="ES168" s="107"/>
      <c r="ET168" s="107"/>
      <c r="EU168" s="107"/>
      <c r="EV168" s="292"/>
      <c r="EW168" s="291"/>
      <c r="EX168" s="107"/>
      <c r="EY168" s="107"/>
      <c r="EZ168" s="107"/>
      <c r="FA168" s="292"/>
      <c r="FB168" s="291"/>
      <c r="FC168" s="107"/>
      <c r="FD168" s="107"/>
      <c r="FE168" s="107"/>
      <c r="FF168" s="292"/>
      <c r="FG168" s="291"/>
      <c r="FH168" s="107"/>
      <c r="FI168" s="107"/>
      <c r="FJ168" s="107"/>
      <c r="FK168" s="292"/>
      <c r="FL168" s="291"/>
      <c r="FM168" s="107"/>
      <c r="FN168" s="107"/>
      <c r="FO168" s="107"/>
      <c r="FP168" s="292"/>
      <c r="FQ168" s="291"/>
      <c r="FR168" s="107"/>
      <c r="FS168" s="107"/>
      <c r="FT168" s="107"/>
      <c r="FU168" s="292"/>
      <c r="FV168" s="291"/>
      <c r="FW168" s="107"/>
      <c r="FX168" s="107"/>
      <c r="FY168" s="107"/>
      <c r="FZ168" s="293"/>
      <c r="GA168" s="291"/>
      <c r="GB168" s="107"/>
      <c r="GC168" s="107"/>
      <c r="GD168" s="107"/>
      <c r="GE168" s="293"/>
      <c r="GF168" s="291"/>
      <c r="GG168" s="107"/>
      <c r="GH168" s="107"/>
      <c r="GI168" s="107"/>
      <c r="GJ168" s="382"/>
    </row>
    <row r="169" spans="1:192" s="419" customFormat="1" ht="12.75" hidden="1" customHeight="1" outlineLevel="1">
      <c r="A169" s="795"/>
      <c r="B169" s="736" t="s">
        <v>1974</v>
      </c>
      <c r="C169" s="420"/>
      <c r="D169" s="421"/>
      <c r="E169" s="421"/>
      <c r="F169" s="421"/>
      <c r="G169" s="422"/>
      <c r="H169" s="420"/>
      <c r="I169" s="421"/>
      <c r="J169" s="421"/>
      <c r="K169" s="421"/>
      <c r="L169" s="422"/>
      <c r="M169" s="420"/>
      <c r="N169" s="421"/>
      <c r="O169" s="421"/>
      <c r="P169" s="421"/>
      <c r="Q169" s="422"/>
      <c r="R169" s="420"/>
      <c r="S169" s="421"/>
      <c r="T169" s="421"/>
      <c r="U169" s="421"/>
      <c r="V169" s="422"/>
      <c r="W169" s="420"/>
      <c r="X169" s="421"/>
      <c r="Y169" s="421"/>
      <c r="Z169" s="421"/>
      <c r="AA169" s="422"/>
      <c r="AB169" s="420"/>
      <c r="AC169" s="421"/>
      <c r="AD169" s="421"/>
      <c r="AE169" s="421"/>
      <c r="AF169" s="422"/>
      <c r="AG169" s="420"/>
      <c r="AH169" s="421"/>
      <c r="AI169" s="421"/>
      <c r="AJ169" s="421"/>
      <c r="AK169" s="422"/>
      <c r="AL169" s="420"/>
      <c r="AM169" s="421"/>
      <c r="AN169" s="421"/>
      <c r="AO169" s="421"/>
      <c r="AP169" s="422"/>
      <c r="AQ169" s="420"/>
      <c r="AR169" s="421"/>
      <c r="AS169" s="421"/>
      <c r="AT169" s="421"/>
      <c r="AU169" s="422"/>
      <c r="AV169" s="420"/>
      <c r="AW169" s="421"/>
      <c r="AX169" s="421"/>
      <c r="AY169" s="421"/>
      <c r="AZ169" s="422"/>
      <c r="BA169" s="420"/>
      <c r="BB169" s="421"/>
      <c r="BC169" s="421"/>
      <c r="BD169" s="421"/>
      <c r="BE169" s="422"/>
      <c r="BF169" s="420"/>
      <c r="BG169" s="421"/>
      <c r="BH169" s="421"/>
      <c r="BI169" s="421"/>
      <c r="BJ169" s="422"/>
      <c r="BK169" s="420"/>
      <c r="BL169" s="421"/>
      <c r="BM169" s="421"/>
      <c r="BN169" s="421"/>
      <c r="BO169" s="422"/>
      <c r="BP169" s="420"/>
      <c r="BQ169" s="421"/>
      <c r="BR169" s="421"/>
      <c r="BS169" s="421"/>
      <c r="BT169" s="422"/>
      <c r="BU169" s="420"/>
      <c r="BV169" s="421"/>
      <c r="BW169" s="421"/>
      <c r="BX169" s="421"/>
      <c r="BY169" s="422"/>
      <c r="BZ169" s="420"/>
      <c r="CA169" s="421"/>
      <c r="CB169" s="421"/>
      <c r="CC169" s="421"/>
      <c r="CD169" s="417"/>
      <c r="CE169" s="420"/>
      <c r="CF169" s="421"/>
      <c r="CG169" s="421"/>
      <c r="CH169" s="421"/>
      <c r="CI169" s="417"/>
      <c r="CJ169" s="420"/>
      <c r="CK169" s="421"/>
      <c r="CL169" s="421"/>
      <c r="CM169" s="421"/>
      <c r="CN169" s="417"/>
      <c r="CO169" s="415"/>
      <c r="CP169" s="416"/>
      <c r="CQ169" s="416"/>
      <c r="CR169" s="416"/>
      <c r="CS169" s="417"/>
      <c r="CT169" s="415">
        <f>CY169/(1+CY170)</f>
      </c>
      <c r="CU169" s="416">
        <f>CZ169/(1+CZ170)</f>
      </c>
      <c r="CV169" s="416">
        <f>DA169/(1+DA170)</f>
      </c>
      <c r="CW169" s="416">
        <f>DB169/(1+DB170)</f>
      </c>
      <c r="CX169" s="417">
        <f>CW169</f>
      </c>
      <c r="CY169" s="415">
        <f>DD169/(1+DD170)</f>
      </c>
      <c r="CZ169" s="416">
        <f>DE169/(1+DE170)</f>
      </c>
      <c r="DA169" s="416">
        <f>DF169/(1+DF170)</f>
      </c>
      <c r="DB169" s="416">
        <f>DG169/(1+DG170)</f>
      </c>
      <c r="DC169" s="417">
        <f>DB169</f>
      </c>
      <c r="DD169" s="416">
        <f>DI169/(1+DI170)</f>
      </c>
      <c r="DE169" s="416">
        <f>DJ169/(1+DJ170)</f>
      </c>
      <c r="DF169" s="416">
        <f>DK169/(1+DK170)</f>
      </c>
      <c r="DG169" s="416">
        <f>DL169/(1+DL170)</f>
      </c>
      <c r="DH169" s="417">
        <f>DG169</f>
      </c>
      <c r="DI169" s="415">
        <f>DN169/(1+DN170)</f>
      </c>
      <c r="DJ169" s="416">
        <f>DO169/(1+DO170)</f>
      </c>
      <c r="DK169" s="416">
        <f>DP169/(1+DP170)</f>
      </c>
      <c r="DL169" s="416">
        <f>DQ169/(1+DQ170)</f>
      </c>
      <c r="DM169" s="417">
        <f>DL169</f>
      </c>
      <c r="DN169" s="415">
        <f>DS169/(1+DS170)</f>
      </c>
      <c r="DO169" s="416">
        <f>DT169/(1+DT170)</f>
      </c>
      <c r="DP169" s="416">
        <f>DU169/(1+DU170)</f>
      </c>
      <c r="DQ169" s="416">
        <f>DV169/(1+DV170)</f>
      </c>
      <c r="DR169" s="417">
        <f>DQ169</f>
      </c>
      <c r="DS169" s="415">
        <f>DX169/(1+DX170)</f>
      </c>
      <c r="DT169" s="416">
        <f>DY169/(1+DY170)</f>
      </c>
      <c r="DU169" s="416">
        <f>DZ169/(1+DZ170)</f>
      </c>
      <c r="DV169" s="416">
        <f>EA169/(1+EA170)</f>
      </c>
      <c r="DW169" s="417">
        <f>DV169</f>
      </c>
      <c r="DX169" s="415">
        <f>EC169/(1+EC170)</f>
      </c>
      <c r="DY169" s="416">
        <f>ED169/(1+ED170)</f>
      </c>
      <c r="DZ169" s="421">
        <v>258</v>
      </c>
      <c r="EA169" s="416">
        <f>EF169/(1+EF170)</f>
      </c>
      <c r="EB169" s="417">
        <f>EA169</f>
      </c>
      <c r="EC169" s="416">
        <f>EH169/(1+EH170)</f>
      </c>
      <c r="ED169" s="416">
        <f>EI169/(1+EI170)</f>
      </c>
      <c r="EE169" s="416">
        <f>DZ169*(1+EE170)</f>
      </c>
      <c r="EF169" s="416">
        <f>EK169/(1+EK170)</f>
      </c>
      <c r="EG169" s="417">
        <f>EF169</f>
      </c>
      <c r="EH169" s="416">
        <f>EM169/(1+EM170)</f>
      </c>
      <c r="EI169" s="416">
        <f>EN169/(1+EN170)</f>
      </c>
      <c r="EJ169" s="416">
        <f>EE169*(1+EJ170)</f>
      </c>
      <c r="EK169" s="421">
        <v>352</v>
      </c>
      <c r="EL169" s="417">
        <f>EK169</f>
      </c>
      <c r="EM169" s="420">
        <v>358</v>
      </c>
      <c r="EN169" s="421">
        <v>368</v>
      </c>
      <c r="EO169" s="421">
        <f>EJ169*(1+EO170)</f>
      </c>
      <c r="EP169" s="416">
        <f>EK169*(1+EP170)</f>
      </c>
      <c r="EQ169" s="417">
        <f>EP169</f>
      </c>
      <c r="ER169" s="416">
        <f>EM169*(1+ER170)</f>
      </c>
      <c r="ES169" s="416">
        <f>EN169*(1+ES170)</f>
      </c>
      <c r="ET169" s="416">
        <f>EO169*(1+ET170)</f>
      </c>
      <c r="EU169" s="416">
        <f>EP169*(1+EU170)</f>
      </c>
      <c r="EV169" s="417">
        <f>EU169</f>
      </c>
      <c r="EW169" s="416"/>
      <c r="EX169" s="416"/>
      <c r="EY169" s="416"/>
      <c r="EZ169" s="416"/>
      <c r="FA169" s="417"/>
      <c r="FB169" s="416"/>
      <c r="FC169" s="416"/>
      <c r="FD169" s="416"/>
      <c r="FE169" s="416"/>
      <c r="FF169" s="417"/>
      <c r="FG169" s="416"/>
      <c r="FH169" s="416"/>
      <c r="FI169" s="416"/>
      <c r="FJ169" s="416"/>
      <c r="FK169" s="417"/>
      <c r="FL169" s="416"/>
      <c r="FM169" s="416"/>
      <c r="FN169" s="416"/>
      <c r="FO169" s="416"/>
      <c r="FP169" s="417"/>
      <c r="FQ169" s="416"/>
      <c r="FR169" s="416"/>
      <c r="FS169" s="416"/>
      <c r="FT169" s="416"/>
      <c r="FU169" s="417"/>
      <c r="FV169" s="416"/>
      <c r="FW169" s="416"/>
      <c r="FX169" s="416"/>
      <c r="FY169" s="416"/>
      <c r="FZ169" s="417"/>
      <c r="GA169" s="416"/>
      <c r="GB169" s="416"/>
      <c r="GC169" s="416"/>
      <c r="GD169" s="416"/>
      <c r="GE169" s="417"/>
      <c r="GF169" s="416"/>
      <c r="GG169" s="416"/>
      <c r="GH169" s="416"/>
      <c r="GI169" s="416"/>
      <c r="GJ169" s="418"/>
    </row>
    <row r="170" spans="1:192" s="1200" customFormat="1" ht="12.75" hidden="1" customHeight="1" outlineLevel="1">
      <c r="A170" s="1272"/>
      <c r="B170" s="1300" t="s">
        <v>34</v>
      </c>
      <c r="C170" s="1238"/>
      <c r="D170" s="1117"/>
      <c r="E170" s="1117"/>
      <c r="F170" s="1117"/>
      <c r="G170" s="1325"/>
      <c r="H170" s="1238"/>
      <c r="I170" s="1117"/>
      <c r="J170" s="1117"/>
      <c r="K170" s="1117"/>
      <c r="L170" s="1325"/>
      <c r="M170" s="1238"/>
      <c r="N170" s="1117"/>
      <c r="O170" s="1117"/>
      <c r="P170" s="1117"/>
      <c r="Q170" s="1325"/>
      <c r="R170" s="1238"/>
      <c r="S170" s="1117"/>
      <c r="T170" s="1117"/>
      <c r="U170" s="1117"/>
      <c r="V170" s="1325"/>
      <c r="W170" s="1238"/>
      <c r="X170" s="1117"/>
      <c r="Y170" s="1117"/>
      <c r="Z170" s="1117"/>
      <c r="AA170" s="1325"/>
      <c r="AB170" s="1238"/>
      <c r="AC170" s="1117"/>
      <c r="AD170" s="1117"/>
      <c r="AE170" s="1117"/>
      <c r="AF170" s="1325"/>
      <c r="AG170" s="1238"/>
      <c r="AH170" s="1117"/>
      <c r="AI170" s="1117"/>
      <c r="AJ170" s="1117"/>
      <c r="AK170" s="1325"/>
      <c r="AL170" s="1238"/>
      <c r="AM170" s="1117"/>
      <c r="AN170" s="1117"/>
      <c r="AO170" s="1117"/>
      <c r="AP170" s="1325"/>
      <c r="AQ170" s="1238"/>
      <c r="AR170" s="1117"/>
      <c r="AS170" s="1117"/>
      <c r="AT170" s="1117"/>
      <c r="AU170" s="1325"/>
      <c r="AV170" s="1238"/>
      <c r="AW170" s="1117"/>
      <c r="AX170" s="1117"/>
      <c r="AY170" s="1117"/>
      <c r="AZ170" s="1325"/>
      <c r="BA170" s="1238"/>
      <c r="BB170" s="1117"/>
      <c r="BC170" s="1117"/>
      <c r="BD170" s="1117"/>
      <c r="BE170" s="1325"/>
      <c r="BF170" s="1238"/>
      <c r="BG170" s="1117"/>
      <c r="BH170" s="1117"/>
      <c r="BI170" s="1117"/>
      <c r="BJ170" s="1325"/>
      <c r="BK170" s="1238"/>
      <c r="BL170" s="1117"/>
      <c r="BM170" s="1117"/>
      <c r="BN170" s="1117"/>
      <c r="BO170" s="1325"/>
      <c r="BP170" s="1238"/>
      <c r="BQ170" s="1117"/>
      <c r="BR170" s="1117"/>
      <c r="BS170" s="1117"/>
      <c r="BT170" s="1325"/>
      <c r="BU170" s="1238"/>
      <c r="BV170" s="1117"/>
      <c r="BW170" s="1117"/>
      <c r="BX170" s="1117"/>
      <c r="BY170" s="1325"/>
      <c r="BZ170" s="1238"/>
      <c r="CA170" s="1117"/>
      <c r="CB170" s="1117"/>
      <c r="CC170" s="1117"/>
      <c r="CD170" s="893"/>
      <c r="CE170" s="1238"/>
      <c r="CF170" s="1117"/>
      <c r="CG170" s="1117"/>
      <c r="CH170" s="1117"/>
      <c r="CI170" s="893"/>
      <c r="CJ170" s="1238"/>
      <c r="CK170" s="1117"/>
      <c r="CL170" s="1117"/>
      <c r="CM170" s="1117"/>
      <c r="CN170" s="893"/>
      <c r="CO170" s="1238"/>
      <c r="CP170" s="1117"/>
      <c r="CQ170" s="1117"/>
      <c r="CR170" s="1117"/>
      <c r="CS170" s="893"/>
      <c r="CT170" s="1117">
        <v>1.35</v>
      </c>
      <c r="CU170" s="1117">
        <v>1.27</v>
      </c>
      <c r="CV170" s="1117">
        <v>0.98</v>
      </c>
      <c r="CW170" s="1117">
        <v>0.99</v>
      </c>
      <c r="CX170" s="1325">
        <v>0.99</v>
      </c>
      <c r="CY170" s="1238">
        <v>0.96</v>
      </c>
      <c r="CZ170" s="1117">
        <v>0.88</v>
      </c>
      <c r="DA170" s="1117">
        <v>0.84</v>
      </c>
      <c r="DB170" s="1117">
        <v>0.74</v>
      </c>
      <c r="DC170" s="893">
        <f>DC169/CX169-1</f>
      </c>
      <c r="DD170" s="1238">
        <v>0.66</v>
      </c>
      <c r="DE170" s="1117">
        <v>0.59</v>
      </c>
      <c r="DF170" s="1117">
        <v>0.56999999999999995</v>
      </c>
      <c r="DG170" s="1117">
        <v>0.45</v>
      </c>
      <c r="DH170" s="893">
        <f>DH169/DC169-1</f>
      </c>
      <c r="DI170" s="1328">
        <v>0.4</v>
      </c>
      <c r="DJ170" s="1327">
        <v>0.37</v>
      </c>
      <c r="DK170" s="1327">
        <v>0.35</v>
      </c>
      <c r="DL170" s="1327">
        <v>0.31</v>
      </c>
      <c r="DM170" s="893">
        <f>DM169/DH169-1</f>
      </c>
      <c r="DN170" s="1238">
        <v>0.32</v>
      </c>
      <c r="DO170" s="1117">
        <v>0.3</v>
      </c>
      <c r="DP170" s="1117">
        <v>0.28000000000000003</v>
      </c>
      <c r="DQ170" s="1117">
        <v>0.28999999999999998</v>
      </c>
      <c r="DR170" s="893">
        <f>DR169/DM169-1</f>
      </c>
      <c r="DS170" s="1238">
        <v>0.28999999999999998</v>
      </c>
      <c r="DT170" s="1117">
        <v>0.27</v>
      </c>
      <c r="DU170" s="1117">
        <v>0.27</v>
      </c>
      <c r="DV170" s="1117">
        <v>0.23</v>
      </c>
      <c r="DW170" s="893">
        <f>DW169/DR169-1</f>
      </c>
      <c r="DX170" s="1238">
        <v>0.21</v>
      </c>
      <c r="DY170" s="1117">
        <v>0.21</v>
      </c>
      <c r="DZ170" s="1117">
        <v>0.2</v>
      </c>
      <c r="EA170" s="1117">
        <v>0.15</v>
      </c>
      <c r="EB170" s="893">
        <f>EB169/DW169-1</f>
      </c>
      <c r="EC170" s="1238">
        <v>0.15</v>
      </c>
      <c r="ED170" s="1117">
        <v>0.15</v>
      </c>
      <c r="EE170" s="1117">
        <v>0.15</v>
      </c>
      <c r="EF170" s="1117">
        <v>0.17</v>
      </c>
      <c r="EG170" s="893">
        <f>EG169/EB169-1</f>
      </c>
      <c r="EH170" s="1238">
        <v>0.17</v>
      </c>
      <c r="EI170" s="1117">
        <v>0.16</v>
      </c>
      <c r="EJ170" s="1117">
        <v>0.16</v>
      </c>
      <c r="EK170" s="1117">
        <v>0.14000000000000001</v>
      </c>
      <c r="EL170" s="1325">
        <v>0.14000000000000001</v>
      </c>
      <c r="EM170" s="1238">
        <v>0.14000000000000001</v>
      </c>
      <c r="EN170" s="1117">
        <v>0.12</v>
      </c>
      <c r="EO170" s="114">
        <v>0.111</v>
      </c>
      <c r="EP170" s="1117">
        <v>0.11</v>
      </c>
      <c r="EQ170" s="893">
        <f>EQ169/EL169-1</f>
      </c>
      <c r="ER170" s="1328">
        <v>0.1</v>
      </c>
      <c r="ES170" s="1117">
        <v>0.09</v>
      </c>
      <c r="ET170" s="1327">
        <v>0.08</v>
      </c>
      <c r="EU170" s="1327">
        <v>7.0000000000000007E-2</v>
      </c>
      <c r="EV170" s="893">
        <f>EV169/EQ169-1</f>
      </c>
      <c r="EW170" s="1328"/>
      <c r="EX170" s="1327"/>
      <c r="EY170" s="1327"/>
      <c r="EZ170" s="1327"/>
      <c r="FA170" s="893"/>
      <c r="FB170" s="924"/>
      <c r="FC170" s="924"/>
      <c r="FD170" s="924"/>
      <c r="FE170" s="924"/>
      <c r="FF170" s="893"/>
      <c r="FG170" s="924"/>
      <c r="FH170" s="924"/>
      <c r="FI170" s="924"/>
      <c r="FJ170" s="924"/>
      <c r="FK170" s="893"/>
      <c r="FL170" s="924"/>
      <c r="FM170" s="924"/>
      <c r="FN170" s="924"/>
      <c r="FO170" s="924"/>
      <c r="FP170" s="893"/>
      <c r="FQ170" s="924"/>
      <c r="FR170" s="924"/>
      <c r="FS170" s="924"/>
      <c r="FT170" s="924"/>
      <c r="FU170" s="893"/>
      <c r="FV170" s="924"/>
      <c r="FW170" s="924"/>
      <c r="FX170" s="924"/>
      <c r="FY170" s="924"/>
      <c r="FZ170" s="893"/>
      <c r="GA170" s="924"/>
      <c r="GB170" s="924"/>
      <c r="GC170" s="924"/>
      <c r="GD170" s="924"/>
      <c r="GE170" s="893"/>
      <c r="GF170" s="924"/>
      <c r="GG170" s="924"/>
      <c r="GH170" s="924"/>
      <c r="GI170" s="924"/>
      <c r="GJ170" s="1199"/>
    </row>
    <row r="171" spans="1:192" s="1701" customFormat="1" ht="12.75" hidden="1" customHeight="1" outlineLevel="1">
      <c r="A171" s="1694"/>
      <c r="B171" s="1695" t="s">
        <v>2074</v>
      </c>
      <c r="C171" s="1343"/>
      <c r="D171" s="1696"/>
      <c r="E171" s="1696"/>
      <c r="F171" s="1696"/>
      <c r="G171" s="1697"/>
      <c r="H171" s="1343"/>
      <c r="I171" s="1696"/>
      <c r="J171" s="1696"/>
      <c r="K171" s="1696"/>
      <c r="L171" s="1697"/>
      <c r="M171" s="1343"/>
      <c r="N171" s="1696"/>
      <c r="O171" s="1696"/>
      <c r="P171" s="1696"/>
      <c r="Q171" s="1697"/>
      <c r="R171" s="1343"/>
      <c r="S171" s="1696"/>
      <c r="T171" s="1696"/>
      <c r="U171" s="1696"/>
      <c r="V171" s="1697"/>
      <c r="W171" s="1343"/>
      <c r="X171" s="1696"/>
      <c r="Y171" s="1696"/>
      <c r="Z171" s="1696"/>
      <c r="AA171" s="1697"/>
      <c r="AB171" s="1343"/>
      <c r="AC171" s="1696"/>
      <c r="AD171" s="1696"/>
      <c r="AE171" s="1696"/>
      <c r="AF171" s="1697"/>
      <c r="AG171" s="1343"/>
      <c r="AH171" s="1696"/>
      <c r="AI171" s="1696"/>
      <c r="AJ171" s="1696"/>
      <c r="AK171" s="1697"/>
      <c r="AL171" s="1343"/>
      <c r="AM171" s="1696"/>
      <c r="AN171" s="1696"/>
      <c r="AO171" s="1696"/>
      <c r="AP171" s="1697"/>
      <c r="AQ171" s="1343"/>
      <c r="AR171" s="1696"/>
      <c r="AS171" s="1696"/>
      <c r="AT171" s="1696"/>
      <c r="AU171" s="1697"/>
      <c r="AV171" s="1343"/>
      <c r="AW171" s="1696"/>
      <c r="AX171" s="1696"/>
      <c r="AY171" s="1696"/>
      <c r="AZ171" s="1697"/>
      <c r="BA171" s="1343"/>
      <c r="BB171" s="1696"/>
      <c r="BC171" s="1696"/>
      <c r="BD171" s="1696"/>
      <c r="BE171" s="1697"/>
      <c r="BF171" s="1343"/>
      <c r="BG171" s="1696"/>
      <c r="BH171" s="1696"/>
      <c r="BI171" s="1696"/>
      <c r="BJ171" s="1697"/>
      <c r="BK171" s="1343"/>
      <c r="BL171" s="1696"/>
      <c r="BM171" s="1696"/>
      <c r="BN171" s="1696"/>
      <c r="BO171" s="1697"/>
      <c r="BP171" s="1343"/>
      <c r="BQ171" s="1696"/>
      <c r="BR171" s="1696"/>
      <c r="BS171" s="1696"/>
      <c r="BT171" s="1697"/>
      <c r="BU171" s="1343"/>
      <c r="BV171" s="1696"/>
      <c r="BW171" s="1696"/>
      <c r="BX171" s="1696"/>
      <c r="BY171" s="1697"/>
      <c r="BZ171" s="1343"/>
      <c r="CA171" s="1696"/>
      <c r="CB171" s="1696"/>
      <c r="CC171" s="1696"/>
      <c r="CD171" s="1697"/>
      <c r="CE171" s="1343"/>
      <c r="CF171" s="1696"/>
      <c r="CG171" s="1696"/>
      <c r="CH171" s="1696"/>
      <c r="CI171" s="1697"/>
      <c r="CJ171" s="1343"/>
      <c r="CK171" s="1696"/>
      <c r="CL171" s="1696"/>
      <c r="CM171" s="1696"/>
      <c r="CN171" s="1697"/>
      <c r="CO171" s="1698"/>
      <c r="CP171" s="1322"/>
      <c r="CQ171" s="1322"/>
      <c r="CR171" s="1322"/>
      <c r="CS171" s="1697"/>
      <c r="CT171" s="1698">
        <f>CT169-CR169</f>
      </c>
      <c r="CU171" s="1322">
        <f>CU169-CT169</f>
      </c>
      <c r="CV171" s="1322">
        <f>CV169-CU169</f>
      </c>
      <c r="CW171" s="1322">
        <f>CW169-CV169</f>
      </c>
      <c r="CX171" s="1697">
        <f>SUM(CT171:CW171)</f>
      </c>
      <c r="CY171" s="1698">
        <f>CY169-CW169</f>
      </c>
      <c r="CZ171" s="1322">
        <f>CZ169-CY169</f>
      </c>
      <c r="DA171" s="1322">
        <f>DA169-CZ169</f>
      </c>
      <c r="DB171" s="1322">
        <f>DB169-DA169</f>
      </c>
      <c r="DC171" s="1697">
        <f>SUM(CY171:DB171)</f>
      </c>
      <c r="DD171" s="1698">
        <f>DD169-DB169</f>
      </c>
      <c r="DE171" s="1322">
        <f>DE169-DD169</f>
      </c>
      <c r="DF171" s="1322">
        <f>DF169-DE169</f>
      </c>
      <c r="DG171" s="1322">
        <f>DG169-DF169</f>
      </c>
      <c r="DH171" s="1697">
        <f>SUM(DD171:DG171)</f>
      </c>
      <c r="DI171" s="1698">
        <f>DI169-DG169</f>
      </c>
      <c r="DJ171" s="1322">
        <f>DJ169-DI169</f>
      </c>
      <c r="DK171" s="1322">
        <f>DK169-DJ169</f>
      </c>
      <c r="DL171" s="1322">
        <f>DL169-DK169</f>
      </c>
      <c r="DM171" s="1697">
        <f>SUM(DI171:DL171)</f>
      </c>
      <c r="DN171" s="1698">
        <f>DN169-DL169</f>
      </c>
      <c r="DO171" s="1322">
        <f>DO169-DN169</f>
      </c>
      <c r="DP171" s="1322">
        <f>DP169-DO169</f>
      </c>
      <c r="DQ171" s="1322">
        <f>DQ169-DP169</f>
      </c>
      <c r="DR171" s="1697">
        <f>SUM(DN171:DQ171)</f>
      </c>
      <c r="DS171" s="1698">
        <f>DS169-DQ169</f>
      </c>
      <c r="DT171" s="1322">
        <f>DT169-DS169</f>
      </c>
      <c r="DU171" s="1322">
        <f>DU169-DT169</f>
      </c>
      <c r="DV171" s="1322">
        <f>DV169-DU169</f>
      </c>
      <c r="DW171" s="1697">
        <f>SUM(DS171:DV171)</f>
      </c>
      <c r="DX171" s="1698">
        <f>DX169-DV169</f>
      </c>
      <c r="DY171" s="1322">
        <f>DY169-DX169</f>
      </c>
      <c r="DZ171" s="1322">
        <f>DZ169-DY169</f>
      </c>
      <c r="EA171" s="1322">
        <f>EA169-DZ169</f>
      </c>
      <c r="EB171" s="1697">
        <f>SUM(DX171:EA171)</f>
      </c>
      <c r="EC171" s="1698">
        <f>EC169-EA169</f>
      </c>
      <c r="ED171" s="1322">
        <f>ED169-EC169</f>
      </c>
      <c r="EE171" s="1322">
        <f>EE169-ED169</f>
      </c>
      <c r="EF171" s="1322">
        <f>EF169-EE169</f>
      </c>
      <c r="EG171" s="1697">
        <f>SUM(EC171:EF171)</f>
      </c>
      <c r="EH171" s="1698">
        <f>EH169-EF169</f>
      </c>
      <c r="EI171" s="1322">
        <f>EI169-EH169</f>
      </c>
      <c r="EJ171" s="1322">
        <f>EJ169-EI169</f>
      </c>
      <c r="EK171" s="1322">
        <f>EK169-EJ169</f>
      </c>
      <c r="EL171" s="1697">
        <f>SUM(EH171:EK171)</f>
      </c>
      <c r="EM171" s="1698">
        <f>EM169-EK169</f>
      </c>
      <c r="EN171" s="1322">
        <f>EN169-EM169</f>
      </c>
      <c r="EO171" s="1322">
        <f>EO169-EN169</f>
      </c>
      <c r="EP171" s="1322">
        <f>EP169-EO169</f>
      </c>
      <c r="EQ171" s="1697">
        <f>SUM(EM171:EP171)</f>
      </c>
      <c r="ER171" s="1698">
        <f>ER169-EP169</f>
      </c>
      <c r="ES171" s="1322">
        <f>ES169-ER169</f>
      </c>
      <c r="ET171" s="1322">
        <f>ET169-ES169</f>
      </c>
      <c r="EU171" s="1322">
        <f>EU169-ET169</f>
      </c>
      <c r="EV171" s="1697">
        <f>SUM(ER171:EU171)</f>
      </c>
      <c r="EW171" s="1698"/>
      <c r="EX171" s="1322"/>
      <c r="EY171" s="1322"/>
      <c r="EZ171" s="1322"/>
      <c r="FA171" s="1697"/>
      <c r="FB171" s="1699"/>
      <c r="FC171" s="1699"/>
      <c r="FD171" s="1699"/>
      <c r="FE171" s="1699"/>
      <c r="FF171" s="1697"/>
      <c r="FG171" s="1699"/>
      <c r="FH171" s="1699"/>
      <c r="FI171" s="1699"/>
      <c r="FJ171" s="1699"/>
      <c r="FK171" s="1697"/>
      <c r="FL171" s="1699"/>
      <c r="FM171" s="1699"/>
      <c r="FN171" s="1699"/>
      <c r="FO171" s="1699"/>
      <c r="FP171" s="1697"/>
      <c r="FQ171" s="1699"/>
      <c r="FR171" s="1699"/>
      <c r="FS171" s="1699"/>
      <c r="FT171" s="1699"/>
      <c r="FU171" s="1697"/>
      <c r="FV171" s="1699"/>
      <c r="FW171" s="1699"/>
      <c r="FX171" s="1699"/>
      <c r="FY171" s="1699"/>
      <c r="FZ171" s="1697"/>
      <c r="GA171" s="1699"/>
      <c r="GB171" s="1699"/>
      <c r="GC171" s="1699"/>
      <c r="GD171" s="1699"/>
      <c r="GE171" s="1697"/>
      <c r="GF171" s="1699"/>
      <c r="GG171" s="1699"/>
      <c r="GH171" s="1699"/>
      <c r="GI171" s="1699"/>
      <c r="GJ171" s="1700"/>
    </row>
    <row r="172" spans="1:192" s="1701" customFormat="1" ht="12.75" hidden="1" customHeight="1" outlineLevel="1">
      <c r="A172" s="1694"/>
      <c r="B172" s="1695"/>
      <c r="C172" s="1343"/>
      <c r="D172" s="1696"/>
      <c r="E172" s="1696"/>
      <c r="F172" s="1696"/>
      <c r="G172" s="1697"/>
      <c r="H172" s="1343"/>
      <c r="I172" s="1696"/>
      <c r="J172" s="1696"/>
      <c r="K172" s="1696"/>
      <c r="L172" s="1697"/>
      <c r="M172" s="1343"/>
      <c r="N172" s="1696"/>
      <c r="O172" s="1696"/>
      <c r="P172" s="1696"/>
      <c r="Q172" s="1697"/>
      <c r="R172" s="1343"/>
      <c r="S172" s="1696"/>
      <c r="T172" s="1696"/>
      <c r="U172" s="1696"/>
      <c r="V172" s="1697"/>
      <c r="W172" s="1343"/>
      <c r="X172" s="1696"/>
      <c r="Y172" s="1696"/>
      <c r="Z172" s="1696"/>
      <c r="AA172" s="1697"/>
      <c r="AB172" s="1343"/>
      <c r="AC172" s="1696"/>
      <c r="AD172" s="1696"/>
      <c r="AE172" s="1696"/>
      <c r="AF172" s="1697"/>
      <c r="AG172" s="1343"/>
      <c r="AH172" s="1696"/>
      <c r="AI172" s="1696"/>
      <c r="AJ172" s="1696"/>
      <c r="AK172" s="1697"/>
      <c r="AL172" s="1343"/>
      <c r="AM172" s="1696"/>
      <c r="AN172" s="1696"/>
      <c r="AO172" s="1696"/>
      <c r="AP172" s="1697"/>
      <c r="AQ172" s="1343"/>
      <c r="AR172" s="1696"/>
      <c r="AS172" s="1696"/>
      <c r="AT172" s="1696"/>
      <c r="AU172" s="1697"/>
      <c r="AV172" s="1343"/>
      <c r="AW172" s="1696"/>
      <c r="AX172" s="1696"/>
      <c r="AY172" s="1696"/>
      <c r="AZ172" s="1697"/>
      <c r="BA172" s="1343"/>
      <c r="BB172" s="1696"/>
      <c r="BC172" s="1696"/>
      <c r="BD172" s="1696"/>
      <c r="BE172" s="1697"/>
      <c r="BF172" s="1343"/>
      <c r="BG172" s="1696"/>
      <c r="BH172" s="1696"/>
      <c r="BI172" s="1696"/>
      <c r="BJ172" s="1697"/>
      <c r="BK172" s="1343"/>
      <c r="BL172" s="1696"/>
      <c r="BM172" s="1696"/>
      <c r="BN172" s="1696"/>
      <c r="BO172" s="1697"/>
      <c r="BP172" s="1343"/>
      <c r="BQ172" s="1696"/>
      <c r="BR172" s="1696"/>
      <c r="BS172" s="1696"/>
      <c r="BT172" s="1697"/>
      <c r="BU172" s="1343"/>
      <c r="BV172" s="1696"/>
      <c r="BW172" s="1696"/>
      <c r="BX172" s="1696"/>
      <c r="BY172" s="1697"/>
      <c r="BZ172" s="1343"/>
      <c r="CA172" s="1696"/>
      <c r="CB172" s="1696"/>
      <c r="CC172" s="1696"/>
      <c r="CD172" s="1697"/>
      <c r="CE172" s="1343"/>
      <c r="CF172" s="1696"/>
      <c r="CG172" s="1696"/>
      <c r="CH172" s="1696"/>
      <c r="CI172" s="1697"/>
      <c r="CJ172" s="1343"/>
      <c r="CK172" s="1696"/>
      <c r="CL172" s="1696"/>
      <c r="CM172" s="1696"/>
      <c r="CN172" s="1697"/>
      <c r="CO172" s="1698"/>
      <c r="CP172" s="1322"/>
      <c r="CQ172" s="1322"/>
      <c r="CR172" s="1322"/>
      <c r="CS172" s="1697"/>
      <c r="CT172" s="1698"/>
      <c r="CU172" s="1322"/>
      <c r="CV172" s="1322"/>
      <c r="CW172" s="1322"/>
      <c r="CX172" s="1697"/>
      <c r="CY172" s="1698"/>
      <c r="CZ172" s="1322"/>
      <c r="DA172" s="1322"/>
      <c r="DB172" s="1322"/>
      <c r="DC172" s="1697"/>
      <c r="DD172" s="1698"/>
      <c r="DE172" s="1322"/>
      <c r="DF172" s="1322"/>
      <c r="DG172" s="1322"/>
      <c r="DH172" s="1697"/>
      <c r="DI172" s="1698"/>
      <c r="DJ172" s="1322"/>
      <c r="DK172" s="1322"/>
      <c r="DL172" s="1322"/>
      <c r="DM172" s="1697"/>
      <c r="DN172" s="1698"/>
      <c r="DO172" s="1322"/>
      <c r="DP172" s="1322"/>
      <c r="DQ172" s="1322"/>
      <c r="DR172" s="1697"/>
      <c r="DS172" s="1698"/>
      <c r="DT172" s="1322"/>
      <c r="DU172" s="1322"/>
      <c r="DV172" s="1322"/>
      <c r="DW172" s="1697"/>
      <c r="DX172" s="1698"/>
      <c r="DY172" s="1322"/>
      <c r="DZ172" s="1322"/>
      <c r="EA172" s="1322"/>
      <c r="EB172" s="1697"/>
      <c r="EC172" s="1698"/>
      <c r="ED172" s="1322"/>
      <c r="EE172" s="1322"/>
      <c r="EF172" s="1322"/>
      <c r="EG172" s="1697"/>
      <c r="EH172" s="1698"/>
      <c r="EI172" s="1322"/>
      <c r="EJ172" s="1322"/>
      <c r="EK172" s="1322"/>
      <c r="EL172" s="1697"/>
      <c r="EM172" s="1698"/>
      <c r="EN172" s="1322"/>
      <c r="EO172" s="1322"/>
      <c r="EP172" s="1322"/>
      <c r="EQ172" s="1697"/>
      <c r="ER172" s="1698"/>
      <c r="ES172" s="1322"/>
      <c r="ET172" s="1322"/>
      <c r="EU172" s="1322"/>
      <c r="EV172" s="1697"/>
      <c r="EW172" s="1698"/>
      <c r="EX172" s="1322"/>
      <c r="EY172" s="1322"/>
      <c r="EZ172" s="1699"/>
      <c r="FA172" s="1697"/>
      <c r="FB172" s="1699"/>
      <c r="FC172" s="1699"/>
      <c r="FD172" s="1699"/>
      <c r="FE172" s="1699"/>
      <c r="FF172" s="1697"/>
      <c r="FG172" s="1699"/>
      <c r="FH172" s="1699"/>
      <c r="FI172" s="1699"/>
      <c r="FJ172" s="1699"/>
      <c r="FK172" s="1697"/>
      <c r="FL172" s="1699"/>
      <c r="FM172" s="1699"/>
      <c r="FN172" s="1699"/>
      <c r="FO172" s="1699"/>
      <c r="FP172" s="1697"/>
      <c r="FQ172" s="1699"/>
      <c r="FR172" s="1699"/>
      <c r="FS172" s="1699"/>
      <c r="FT172" s="1699"/>
      <c r="FU172" s="1697"/>
      <c r="FV172" s="1699"/>
      <c r="FW172" s="1699"/>
      <c r="FX172" s="1699"/>
      <c r="FY172" s="1699"/>
      <c r="FZ172" s="1697"/>
      <c r="GA172" s="1699"/>
      <c r="GB172" s="1699"/>
      <c r="GC172" s="1699"/>
      <c r="GD172" s="1699"/>
      <c r="GE172" s="1697"/>
      <c r="GF172" s="1699"/>
      <c r="GG172" s="1699"/>
      <c r="GH172" s="1699"/>
      <c r="GI172" s="1699"/>
      <c r="GJ172" s="1700"/>
    </row>
    <row r="173" spans="1:192" s="835" customFormat="1" ht="12.75" hidden="1" customHeight="1" outlineLevel="1">
      <c r="A173" s="370"/>
      <c r="B173" s="737" t="s">
        <v>2073</v>
      </c>
      <c r="C173" s="447"/>
      <c r="D173" s="458"/>
      <c r="E173" s="458"/>
      <c r="F173" s="458"/>
      <c r="G173" s="459"/>
      <c r="H173" s="447"/>
      <c r="I173" s="458"/>
      <c r="J173" s="458"/>
      <c r="K173" s="458"/>
      <c r="L173" s="459"/>
      <c r="M173" s="447"/>
      <c r="N173" s="458"/>
      <c r="O173" s="458"/>
      <c r="P173" s="458"/>
      <c r="Q173" s="459"/>
      <c r="R173" s="447"/>
      <c r="S173" s="458"/>
      <c r="T173" s="458"/>
      <c r="U173" s="458"/>
      <c r="V173" s="459"/>
      <c r="W173" s="447"/>
      <c r="X173" s="458"/>
      <c r="Y173" s="458"/>
      <c r="Z173" s="458"/>
      <c r="AA173" s="459"/>
      <c r="AB173" s="447"/>
      <c r="AC173" s="458"/>
      <c r="AD173" s="458"/>
      <c r="AE173" s="458"/>
      <c r="AF173" s="459"/>
      <c r="AG173" s="447"/>
      <c r="AH173" s="458"/>
      <c r="AI173" s="458"/>
      <c r="AJ173" s="458"/>
      <c r="AK173" s="459"/>
      <c r="AL173" s="447"/>
      <c r="AM173" s="458"/>
      <c r="AN173" s="458"/>
      <c r="AO173" s="458"/>
      <c r="AP173" s="459"/>
      <c r="AQ173" s="447"/>
      <c r="AR173" s="458"/>
      <c r="AS173" s="458"/>
      <c r="AT173" s="458"/>
      <c r="AU173" s="459"/>
      <c r="AV173" s="447"/>
      <c r="AW173" s="458"/>
      <c r="AX173" s="458"/>
      <c r="AY173" s="458"/>
      <c r="AZ173" s="459"/>
      <c r="BA173" s="447"/>
      <c r="BB173" s="458"/>
      <c r="BC173" s="458"/>
      <c r="BD173" s="458"/>
      <c r="BE173" s="459"/>
      <c r="BF173" s="447"/>
      <c r="BG173" s="458"/>
      <c r="BH173" s="458"/>
      <c r="BI173" s="458"/>
      <c r="BJ173" s="459"/>
      <c r="BK173" s="447"/>
      <c r="BL173" s="458"/>
      <c r="BM173" s="458"/>
      <c r="BN173" s="458"/>
      <c r="BO173" s="459"/>
      <c r="BP173" s="447"/>
      <c r="BQ173" s="458"/>
      <c r="BR173" s="458"/>
      <c r="BS173" s="458"/>
      <c r="BT173" s="459"/>
      <c r="BU173" s="447"/>
      <c r="BV173" s="458"/>
      <c r="BW173" s="458"/>
      <c r="BX173" s="458"/>
      <c r="BY173" s="459"/>
      <c r="BZ173" s="447"/>
      <c r="CA173" s="458"/>
      <c r="CB173" s="458"/>
      <c r="CC173" s="458"/>
      <c r="CD173" s="459"/>
      <c r="CE173" s="447"/>
      <c r="CF173" s="458"/>
      <c r="CG173" s="458"/>
      <c r="CH173" s="458"/>
      <c r="CI173" s="459"/>
      <c r="CJ173" s="447"/>
      <c r="CK173" s="458"/>
      <c r="CL173" s="458"/>
      <c r="CM173" s="458"/>
      <c r="CN173" s="459"/>
      <c r="CO173" s="831"/>
      <c r="CP173" s="831"/>
      <c r="CQ173" s="831"/>
      <c r="CR173" s="831"/>
      <c r="CS173" s="459"/>
      <c r="CT173" s="831"/>
      <c r="CU173" s="831"/>
      <c r="CV173" s="831"/>
      <c r="CW173" s="831"/>
      <c r="CX173" s="894"/>
      <c r="CY173" s="831"/>
      <c r="CZ173" s="831"/>
      <c r="DA173" s="831"/>
      <c r="DB173" s="831"/>
      <c r="DC173" s="894"/>
      <c r="DD173" s="831"/>
      <c r="DE173" s="831"/>
      <c r="DF173" s="831"/>
      <c r="DG173" s="831"/>
      <c r="DH173" s="832"/>
      <c r="DI173" s="831"/>
      <c r="DJ173" s="831"/>
      <c r="DK173" s="831"/>
      <c r="DL173" s="831"/>
      <c r="DM173" s="832"/>
      <c r="DN173" s="831"/>
      <c r="DO173" s="831"/>
      <c r="DP173" s="831"/>
      <c r="DQ173" s="831"/>
      <c r="DR173" s="832"/>
      <c r="DS173" s="831"/>
      <c r="DT173" s="831"/>
      <c r="DU173" s="831"/>
      <c r="DV173" s="831"/>
      <c r="DW173" s="832"/>
      <c r="DX173" s="831"/>
      <c r="DY173" s="831"/>
      <c r="DZ173" s="831"/>
      <c r="EA173" s="831"/>
      <c r="EB173" s="832"/>
      <c r="EC173" s="831"/>
      <c r="ED173" s="831"/>
      <c r="EE173" s="831"/>
      <c r="EF173" s="831"/>
      <c r="EG173" s="832"/>
      <c r="EH173" s="831"/>
      <c r="EI173" s="831"/>
      <c r="EJ173" s="831"/>
      <c r="EK173" s="831"/>
      <c r="EL173" s="832"/>
      <c r="EM173" s="831">
        <f>EM158/EM169*4</f>
      </c>
      <c r="EN173" s="831">
        <f>EN158/EN169*4</f>
      </c>
      <c r="EO173" s="831">
        <f>EO158/EO169*4</f>
      </c>
      <c r="EP173" s="831">
        <f>EP158/EP169*4</f>
      </c>
      <c r="EQ173" s="832">
        <f>EQ158/EQ169</f>
      </c>
      <c r="ER173" s="831">
        <f>ER158/ER169*4</f>
      </c>
      <c r="ES173" s="831">
        <f>ES158/ES169*4</f>
      </c>
      <c r="ET173" s="831">
        <f>ET158/ET169*4</f>
      </c>
      <c r="EU173" s="831">
        <f>EU158/EU169*4</f>
      </c>
      <c r="EV173" s="832">
        <f>EV158/EV169</f>
      </c>
      <c r="EW173" s="831"/>
      <c r="EX173" s="831"/>
      <c r="EY173" s="831"/>
      <c r="EZ173" s="831"/>
      <c r="FA173" s="832"/>
      <c r="FB173" s="831"/>
      <c r="FC173" s="831"/>
      <c r="FD173" s="831"/>
      <c r="FE173" s="831"/>
      <c r="FF173" s="832"/>
      <c r="FG173" s="831"/>
      <c r="FH173" s="831"/>
      <c r="FI173" s="831"/>
      <c r="FJ173" s="831"/>
      <c r="FK173" s="832"/>
      <c r="FL173" s="831"/>
      <c r="FM173" s="831"/>
      <c r="FN173" s="831"/>
      <c r="FO173" s="831"/>
      <c r="FP173" s="832"/>
      <c r="FQ173" s="831"/>
      <c r="FR173" s="831"/>
      <c r="FS173" s="831"/>
      <c r="FT173" s="831"/>
      <c r="FU173" s="832"/>
      <c r="FV173" s="831"/>
      <c r="FW173" s="831"/>
      <c r="FX173" s="831"/>
      <c r="FY173" s="831"/>
      <c r="FZ173" s="832"/>
      <c r="GA173" s="833"/>
      <c r="GB173" s="831"/>
      <c r="GC173" s="831"/>
      <c r="GD173" s="831"/>
      <c r="GE173" s="832"/>
      <c r="GF173" s="833"/>
      <c r="GG173" s="831"/>
      <c r="GH173" s="831"/>
      <c r="GI173" s="831"/>
      <c r="GJ173" s="834"/>
    </row>
    <row r="174" spans="1:192" s="835" customFormat="1" ht="12.75" hidden="1" customHeight="1" outlineLevel="1">
      <c r="A174" s="370"/>
      <c r="B174" s="1692" t="s">
        <v>34</v>
      </c>
      <c r="C174" s="447"/>
      <c r="D174" s="458"/>
      <c r="E174" s="458"/>
      <c r="F174" s="458"/>
      <c r="G174" s="459"/>
      <c r="H174" s="447"/>
      <c r="I174" s="458"/>
      <c r="J174" s="458"/>
      <c r="K174" s="458"/>
      <c r="L174" s="459"/>
      <c r="M174" s="447"/>
      <c r="N174" s="458"/>
      <c r="O174" s="458"/>
      <c r="P174" s="458"/>
      <c r="Q174" s="459"/>
      <c r="R174" s="447"/>
      <c r="S174" s="458"/>
      <c r="T174" s="458"/>
      <c r="U174" s="458"/>
      <c r="V174" s="459"/>
      <c r="W174" s="447"/>
      <c r="X174" s="458"/>
      <c r="Y174" s="458"/>
      <c r="Z174" s="458"/>
      <c r="AA174" s="459"/>
      <c r="AB174" s="447"/>
      <c r="AC174" s="458"/>
      <c r="AD174" s="458"/>
      <c r="AE174" s="458"/>
      <c r="AF174" s="459"/>
      <c r="AG174" s="447"/>
      <c r="AH174" s="458"/>
      <c r="AI174" s="458"/>
      <c r="AJ174" s="458"/>
      <c r="AK174" s="459"/>
      <c r="AL174" s="447"/>
      <c r="AM174" s="458"/>
      <c r="AN174" s="458"/>
      <c r="AO174" s="458"/>
      <c r="AP174" s="459"/>
      <c r="AQ174" s="447"/>
      <c r="AR174" s="458"/>
      <c r="AS174" s="458"/>
      <c r="AT174" s="458"/>
      <c r="AU174" s="459"/>
      <c r="AV174" s="447"/>
      <c r="AW174" s="458"/>
      <c r="AX174" s="458"/>
      <c r="AY174" s="458"/>
      <c r="AZ174" s="459"/>
      <c r="BA174" s="447"/>
      <c r="BB174" s="458"/>
      <c r="BC174" s="458"/>
      <c r="BD174" s="458"/>
      <c r="BE174" s="459"/>
      <c r="BF174" s="447"/>
      <c r="BG174" s="458"/>
      <c r="BH174" s="458"/>
      <c r="BI174" s="458"/>
      <c r="BJ174" s="459"/>
      <c r="BK174" s="447"/>
      <c r="BL174" s="458"/>
      <c r="BM174" s="458"/>
      <c r="BN174" s="458"/>
      <c r="BO174" s="459"/>
      <c r="BP174" s="447"/>
      <c r="BQ174" s="458"/>
      <c r="BR174" s="458"/>
      <c r="BS174" s="458"/>
      <c r="BT174" s="459"/>
      <c r="BU174" s="447"/>
      <c r="BV174" s="458"/>
      <c r="BW174" s="458"/>
      <c r="BX174" s="458"/>
      <c r="BY174" s="459"/>
      <c r="BZ174" s="447"/>
      <c r="CA174" s="458"/>
      <c r="CB174" s="458"/>
      <c r="CC174" s="458"/>
      <c r="CD174" s="459"/>
      <c r="CE174" s="447"/>
      <c r="CF174" s="458"/>
      <c r="CG174" s="458"/>
      <c r="CH174" s="458"/>
      <c r="CI174" s="459"/>
      <c r="CJ174" s="447"/>
      <c r="CK174" s="458"/>
      <c r="CL174" s="458"/>
      <c r="CM174" s="458"/>
      <c r="CN174" s="459"/>
      <c r="CO174" s="831"/>
      <c r="CP174" s="831"/>
      <c r="CQ174" s="831"/>
      <c r="CR174" s="831"/>
      <c r="CS174" s="459"/>
      <c r="CT174" s="831"/>
      <c r="CU174" s="831"/>
      <c r="CV174" s="831"/>
      <c r="CW174" s="831"/>
      <c r="CX174" s="894"/>
      <c r="CY174" s="831"/>
      <c r="CZ174" s="831"/>
      <c r="DA174" s="831"/>
      <c r="DB174" s="831"/>
      <c r="DC174" s="894"/>
      <c r="DD174" s="831"/>
      <c r="DE174" s="831"/>
      <c r="DF174" s="831"/>
      <c r="DG174" s="831"/>
      <c r="DH174" s="832"/>
      <c r="DI174" s="831"/>
      <c r="DJ174" s="831"/>
      <c r="DK174" s="831"/>
      <c r="DL174" s="831"/>
      <c r="DM174" s="832"/>
      <c r="DN174" s="831"/>
      <c r="DO174" s="831"/>
      <c r="DP174" s="831"/>
      <c r="DQ174" s="831"/>
      <c r="DR174" s="832"/>
      <c r="DS174" s="831"/>
      <c r="DT174" s="831"/>
      <c r="DU174" s="831"/>
      <c r="DV174" s="831"/>
      <c r="DW174" s="832"/>
      <c r="DX174" s="831"/>
      <c r="DY174" s="831"/>
      <c r="DZ174" s="831"/>
      <c r="EA174" s="831"/>
      <c r="EB174" s="832"/>
      <c r="EC174" s="831"/>
      <c r="ED174" s="831"/>
      <c r="EE174" s="831"/>
      <c r="EF174" s="831"/>
      <c r="EG174" s="832"/>
      <c r="EH174" s="831"/>
      <c r="EI174" s="831"/>
      <c r="EJ174" s="831"/>
      <c r="EK174" s="831"/>
      <c r="EL174" s="832"/>
      <c r="EM174" s="831"/>
      <c r="EN174" s="831"/>
      <c r="EO174" s="831"/>
      <c r="EP174" s="831"/>
      <c r="EQ174" s="832"/>
      <c r="ER174" s="1202">
        <f>ER173/EM173-1</f>
      </c>
      <c r="ES174" s="1202">
        <f>ES173/EN173-1</f>
      </c>
      <c r="ET174" s="1202">
        <f>ET173/EO173-1</f>
      </c>
      <c r="EU174" s="1202">
        <f>EU173/EP173-1</f>
      </c>
      <c r="EV174" s="1693" t="e">
        <f>EV173/EQ173-1</f>
      </c>
      <c r="EW174" s="1202"/>
      <c r="EX174" s="1202"/>
      <c r="EY174" s="1202"/>
      <c r="EZ174" s="1202"/>
      <c r="FA174" s="1693"/>
      <c r="FB174" s="1236"/>
      <c r="FC174" s="1236"/>
      <c r="FD174" s="1236"/>
      <c r="FE174" s="1236"/>
      <c r="FF174" s="1693"/>
      <c r="FG174" s="1236"/>
      <c r="FH174" s="1236"/>
      <c r="FI174" s="1236"/>
      <c r="FJ174" s="1236"/>
      <c r="FK174" s="1693"/>
      <c r="FL174" s="1236"/>
      <c r="FM174" s="1236"/>
      <c r="FN174" s="1236"/>
      <c r="FO174" s="1236"/>
      <c r="FP174" s="1693"/>
      <c r="FQ174" s="1236"/>
      <c r="FR174" s="1236"/>
      <c r="FS174" s="1236"/>
      <c r="FT174" s="1236"/>
      <c r="FU174" s="1693"/>
      <c r="FV174" s="1236"/>
      <c r="FW174" s="1236"/>
      <c r="FX174" s="1236"/>
      <c r="FY174" s="1236"/>
      <c r="FZ174" s="1693"/>
      <c r="GA174" s="1236"/>
      <c r="GB174" s="1236"/>
      <c r="GC174" s="1236"/>
      <c r="GD174" s="1236"/>
      <c r="GE174" s="1693"/>
      <c r="GF174" s="1236"/>
      <c r="GG174" s="1236"/>
      <c r="GH174" s="1236"/>
      <c r="GI174" s="1236"/>
      <c r="GJ174" s="1199"/>
    </row>
    <row r="175" spans="1:192" ht="12.75" hidden="1" customHeight="1" outlineLevel="1">
      <c r="B175" s="736"/>
      <c r="C175" s="291"/>
      <c r="D175" s="107"/>
      <c r="E175" s="107"/>
      <c r="F175" s="107"/>
      <c r="G175" s="293"/>
      <c r="H175" s="291"/>
      <c r="I175" s="107"/>
      <c r="J175" s="107"/>
      <c r="K175" s="107"/>
      <c r="L175" s="293"/>
      <c r="M175" s="291"/>
      <c r="N175" s="107"/>
      <c r="O175" s="107"/>
      <c r="P175" s="107"/>
      <c r="Q175" s="293"/>
      <c r="R175" s="291"/>
      <c r="S175" s="107"/>
      <c r="T175" s="107"/>
      <c r="U175" s="107"/>
      <c r="V175" s="293"/>
      <c r="W175" s="291"/>
      <c r="X175" s="107"/>
      <c r="Y175" s="107"/>
      <c r="Z175" s="107"/>
      <c r="AA175" s="293"/>
      <c r="AB175" s="291"/>
      <c r="AC175" s="107"/>
      <c r="AD175" s="107"/>
      <c r="AE175" s="107"/>
      <c r="AF175" s="293"/>
      <c r="AG175" s="291"/>
      <c r="AH175" s="107"/>
      <c r="AI175" s="107"/>
      <c r="AJ175" s="107"/>
      <c r="AK175" s="293"/>
      <c r="AL175" s="291"/>
      <c r="AM175" s="107"/>
      <c r="AN175" s="107"/>
      <c r="AO175" s="107"/>
      <c r="AP175" s="293"/>
      <c r="AQ175" s="291"/>
      <c r="AR175" s="107"/>
      <c r="AS175" s="107"/>
      <c r="AT175" s="107"/>
      <c r="AU175" s="293"/>
      <c r="AV175" s="291"/>
      <c r="AW175" s="107"/>
      <c r="AX175" s="107"/>
      <c r="AY175" s="107"/>
      <c r="AZ175" s="293"/>
      <c r="BA175" s="291"/>
      <c r="BB175" s="107"/>
      <c r="BC175" s="107"/>
      <c r="BD175" s="107"/>
      <c r="BE175" s="293"/>
      <c r="BF175" s="291"/>
      <c r="BG175" s="107"/>
      <c r="BH175" s="107"/>
      <c r="BI175" s="107"/>
      <c r="BJ175" s="293"/>
      <c r="BK175" s="291"/>
      <c r="BL175" s="107"/>
      <c r="BM175" s="107"/>
      <c r="BN175" s="107"/>
      <c r="BO175" s="293"/>
      <c r="BP175" s="291"/>
      <c r="BQ175" s="107"/>
      <c r="BR175" s="107"/>
      <c r="BS175" s="107"/>
      <c r="BT175" s="293"/>
      <c r="BU175" s="291"/>
      <c r="BV175" s="107"/>
      <c r="BW175" s="107"/>
      <c r="BX175" s="107"/>
      <c r="BY175" s="293"/>
      <c r="BZ175" s="291"/>
      <c r="CA175" s="107"/>
      <c r="CB175" s="107"/>
      <c r="CC175" s="107"/>
      <c r="CD175" s="293"/>
      <c r="CE175" s="291"/>
      <c r="CF175" s="107"/>
      <c r="CG175" s="107"/>
      <c r="CH175" s="107"/>
      <c r="CI175" s="293"/>
      <c r="CJ175" s="291"/>
      <c r="CK175" s="107"/>
      <c r="CL175" s="107"/>
      <c r="CM175" s="107"/>
      <c r="CN175" s="293"/>
      <c r="CO175" s="291"/>
      <c r="CP175" s="107"/>
      <c r="CQ175" s="107"/>
      <c r="CR175" s="107"/>
      <c r="CS175" s="293"/>
      <c r="CT175" s="291"/>
      <c r="CU175" s="107"/>
      <c r="CV175" s="107"/>
      <c r="CW175" s="107"/>
      <c r="CX175" s="293"/>
      <c r="CY175" s="291"/>
      <c r="CZ175" s="107"/>
      <c r="DA175" s="107"/>
      <c r="DB175" s="107"/>
      <c r="DC175" s="293"/>
      <c r="DD175" s="291"/>
      <c r="DE175" s="107"/>
      <c r="DF175" s="107"/>
      <c r="DG175" s="107"/>
      <c r="DH175" s="293"/>
      <c r="DI175" s="291"/>
      <c r="DJ175" s="107"/>
      <c r="DK175" s="107"/>
      <c r="DL175" s="107"/>
      <c r="DM175" s="293"/>
      <c r="DN175" s="291"/>
      <c r="DO175" s="107"/>
      <c r="DP175" s="107"/>
      <c r="DQ175" s="107"/>
      <c r="DR175" s="293"/>
      <c r="DS175" s="291"/>
      <c r="DT175" s="107"/>
      <c r="DU175" s="107"/>
      <c r="DV175" s="107"/>
      <c r="DW175" s="293"/>
      <c r="DX175" s="291"/>
      <c r="DY175" s="107"/>
      <c r="DZ175" s="107"/>
      <c r="EA175" s="107"/>
      <c r="EB175" s="293"/>
      <c r="EC175" s="291"/>
      <c r="ED175" s="107"/>
      <c r="EE175" s="107"/>
      <c r="EF175" s="107"/>
      <c r="EG175" s="293"/>
      <c r="EH175" s="291"/>
      <c r="EI175" s="107"/>
      <c r="EJ175" s="107"/>
      <c r="EK175" s="107"/>
      <c r="EL175" s="293"/>
      <c r="EM175" s="291"/>
      <c r="EN175" s="107"/>
      <c r="EO175" s="107"/>
      <c r="EP175" s="107"/>
      <c r="EQ175" s="293"/>
      <c r="ER175" s="291"/>
      <c r="ES175" s="107"/>
      <c r="ET175" s="107"/>
      <c r="EU175" s="107"/>
      <c r="EV175" s="293"/>
      <c r="EW175" s="291"/>
      <c r="EX175" s="107"/>
      <c r="EY175" s="107"/>
      <c r="EZ175" s="107"/>
      <c r="FA175" s="293"/>
      <c r="FB175" s="291"/>
      <c r="FC175" s="107"/>
      <c r="FD175" s="107"/>
      <c r="FE175" s="107"/>
      <c r="FF175" s="293"/>
      <c r="FG175" s="291"/>
      <c r="FH175" s="107"/>
      <c r="FI175" s="107"/>
      <c r="FJ175" s="107"/>
      <c r="FK175" s="293"/>
      <c r="FL175" s="291"/>
      <c r="FM175" s="107"/>
      <c r="FN175" s="107"/>
      <c r="FO175" s="107"/>
      <c r="FP175" s="293"/>
      <c r="FQ175" s="291"/>
      <c r="FR175" s="107"/>
      <c r="FS175" s="107"/>
      <c r="FT175" s="107"/>
      <c r="FU175" s="293"/>
      <c r="FV175" s="291"/>
      <c r="FW175" s="107"/>
      <c r="FX175" s="107"/>
      <c r="FY175" s="107"/>
      <c r="FZ175" s="293"/>
      <c r="GA175" s="291"/>
      <c r="GB175" s="107"/>
      <c r="GC175" s="107"/>
      <c r="GD175" s="107"/>
      <c r="GE175" s="293"/>
      <c r="GF175" s="291"/>
      <c r="GG175" s="107"/>
      <c r="GH175" s="107"/>
      <c r="GI175" s="107"/>
      <c r="GJ175" s="382"/>
    </row>
    <row r="176" spans="1:192" s="419" customFormat="1" ht="12.75" hidden="1" customHeight="1" outlineLevel="1">
      <c r="A176" s="795"/>
      <c r="B176" s="736" t="s">
        <v>261</v>
      </c>
      <c r="C176" s="420"/>
      <c r="D176" s="421"/>
      <c r="E176" s="421"/>
      <c r="F176" s="421"/>
      <c r="G176" s="422"/>
      <c r="H176" s="420"/>
      <c r="I176" s="421"/>
      <c r="J176" s="421"/>
      <c r="K176" s="421"/>
      <c r="L176" s="422"/>
      <c r="M176" s="420"/>
      <c r="N176" s="421"/>
      <c r="O176" s="421"/>
      <c r="P176" s="421"/>
      <c r="Q176" s="422"/>
      <c r="R176" s="420"/>
      <c r="S176" s="421"/>
      <c r="T176" s="421"/>
      <c r="U176" s="421"/>
      <c r="V176" s="422"/>
      <c r="W176" s="420"/>
      <c r="X176" s="421"/>
      <c r="Y176" s="421"/>
      <c r="Z176" s="421"/>
      <c r="AA176" s="422"/>
      <c r="AB176" s="420"/>
      <c r="AC176" s="421"/>
      <c r="AD176" s="421"/>
      <c r="AE176" s="421"/>
      <c r="AF176" s="422"/>
      <c r="AG176" s="420"/>
      <c r="AH176" s="421"/>
      <c r="AI176" s="421"/>
      <c r="AJ176" s="421"/>
      <c r="AK176" s="422"/>
      <c r="AL176" s="420"/>
      <c r="AM176" s="421"/>
      <c r="AN176" s="421"/>
      <c r="AO176" s="421"/>
      <c r="AP176" s="422"/>
      <c r="AQ176" s="420"/>
      <c r="AR176" s="421"/>
      <c r="AS176" s="421"/>
      <c r="AT176" s="421"/>
      <c r="AU176" s="422"/>
      <c r="AV176" s="420"/>
      <c r="AW176" s="421"/>
      <c r="AX176" s="421"/>
      <c r="AY176" s="421"/>
      <c r="AZ176" s="422"/>
      <c r="BA176" s="420"/>
      <c r="BB176" s="421"/>
      <c r="BC176" s="421"/>
      <c r="BD176" s="421"/>
      <c r="BE176" s="422"/>
      <c r="BF176" s="420"/>
      <c r="BG176" s="421"/>
      <c r="BH176" s="421"/>
      <c r="BI176" s="421"/>
      <c r="BJ176" s="422"/>
      <c r="BK176" s="420"/>
      <c r="BL176" s="421"/>
      <c r="BM176" s="421"/>
      <c r="BN176" s="421"/>
      <c r="BO176" s="422"/>
      <c r="BP176" s="420"/>
      <c r="BQ176" s="421"/>
      <c r="BR176" s="421"/>
      <c r="BS176" s="421"/>
      <c r="BT176" s="422"/>
      <c r="BU176" s="420"/>
      <c r="BV176" s="421"/>
      <c r="BW176" s="421"/>
      <c r="BX176" s="421"/>
      <c r="BY176" s="422"/>
      <c r="BZ176" s="420"/>
      <c r="CA176" s="421"/>
      <c r="CB176" s="421"/>
      <c r="CC176" s="421"/>
      <c r="CD176" s="417"/>
      <c r="CE176" s="420"/>
      <c r="CF176" s="421"/>
      <c r="CG176" s="421"/>
      <c r="CH176" s="421"/>
      <c r="CI176" s="417"/>
      <c r="CJ176" s="420"/>
      <c r="CK176" s="421"/>
      <c r="CL176" s="421"/>
      <c r="CM176" s="421"/>
      <c r="CN176" s="417"/>
      <c r="CO176" s="420"/>
      <c r="CP176" s="421"/>
      <c r="CQ176" s="421"/>
      <c r="CR176" s="421"/>
      <c r="CS176" s="417"/>
      <c r="CT176" s="420"/>
      <c r="CU176" s="421"/>
      <c r="CV176" s="416"/>
      <c r="CW176" s="416"/>
      <c r="CX176" s="417"/>
      <c r="CY176" s="420"/>
      <c r="CZ176" s="421"/>
      <c r="DA176" s="421">
        <v>50</v>
      </c>
      <c r="DB176" s="510">
        <f>AVERAGE(DA176,DD176)</f>
      </c>
      <c r="DC176" s="417">
        <f>DB176</f>
      </c>
      <c r="DD176" s="420">
        <v>60</v>
      </c>
      <c r="DE176" s="510">
        <f>AVERAGE(DD176,DF176)</f>
      </c>
      <c r="DF176" s="421">
        <v>70</v>
      </c>
      <c r="DG176" s="510">
        <f>AVERAGE(DI176,DF176)</f>
      </c>
      <c r="DH176" s="417">
        <f>DG176</f>
      </c>
      <c r="DI176" s="420">
        <v>85</v>
      </c>
      <c r="DJ176" s="510">
        <f>AVERAGE(DK176,DI176)</f>
      </c>
      <c r="DK176" s="421">
        <v>100</v>
      </c>
      <c r="DL176" s="510">
        <f>AVERAGE(DN176,DK176)</f>
      </c>
      <c r="DM176" s="417">
        <f>DL176</f>
      </c>
      <c r="DN176" s="420">
        <v>120</v>
      </c>
      <c r="DO176" s="510">
        <f>AVERAGE(DP176,DN176)</f>
      </c>
      <c r="DP176" s="420">
        <v>135</v>
      </c>
      <c r="DQ176" s="510">
        <f>AVERAGE(DS176,DP176)</f>
      </c>
      <c r="DR176" s="417">
        <f>DQ176</f>
      </c>
      <c r="DS176" s="420">
        <v>155</v>
      </c>
      <c r="DT176" s="510">
        <f>AVERAGE(DU176,DS176)</f>
      </c>
      <c r="DU176" s="420">
        <v>180</v>
      </c>
      <c r="DV176" s="510">
        <f>AVERAGE(DX176,DU176)</f>
      </c>
      <c r="DW176" s="417">
        <f>DV176</f>
      </c>
      <c r="DX176" s="420">
        <v>200</v>
      </c>
      <c r="DY176" s="421"/>
      <c r="DZ176" s="421"/>
      <c r="EA176" s="416"/>
      <c r="EB176" s="417"/>
      <c r="EC176" s="420"/>
      <c r="ED176" s="421"/>
      <c r="EE176" s="416"/>
      <c r="EF176" s="416"/>
      <c r="EG176" s="417"/>
      <c r="EH176" s="420"/>
      <c r="EI176" s="421"/>
      <c r="EJ176" s="416"/>
      <c r="EK176" s="416"/>
      <c r="EL176" s="417"/>
      <c r="EM176" s="420"/>
      <c r="EN176" s="421"/>
      <c r="EO176" s="421"/>
      <c r="EP176" s="421"/>
      <c r="EQ176" s="417"/>
      <c r="ER176" s="442"/>
      <c r="ES176" s="416"/>
      <c r="ET176" s="416"/>
      <c r="EU176" s="416"/>
      <c r="EV176" s="417"/>
      <c r="EW176" s="415"/>
      <c r="EX176" s="416"/>
      <c r="EY176" s="416"/>
      <c r="EZ176" s="416"/>
      <c r="FA176" s="417"/>
      <c r="FB176" s="415"/>
      <c r="FC176" s="416"/>
      <c r="FD176" s="416"/>
      <c r="FE176" s="416"/>
      <c r="FF176" s="417"/>
      <c r="FG176" s="415"/>
      <c r="FH176" s="416"/>
      <c r="FI176" s="416"/>
      <c r="FJ176" s="416"/>
      <c r="FK176" s="417"/>
      <c r="FL176" s="415"/>
      <c r="FM176" s="416"/>
      <c r="FN176" s="416"/>
      <c r="FO176" s="416"/>
      <c r="FP176" s="417"/>
      <c r="FQ176" s="415"/>
      <c r="FR176" s="416"/>
      <c r="FS176" s="416"/>
      <c r="FT176" s="416"/>
      <c r="FU176" s="417"/>
      <c r="FV176" s="415"/>
      <c r="FW176" s="416"/>
      <c r="FX176" s="416"/>
      <c r="FY176" s="416"/>
      <c r="FZ176" s="417"/>
      <c r="GA176" s="415"/>
      <c r="GB176" s="416"/>
      <c r="GC176" s="416"/>
      <c r="GD176" s="416"/>
      <c r="GE176" s="417"/>
      <c r="GF176" s="415"/>
      <c r="GG176" s="416"/>
      <c r="GH176" s="416"/>
      <c r="GI176" s="416"/>
      <c r="GJ176" s="418"/>
    </row>
    <row r="177" spans="1:192" s="335" customFormat="1" ht="12.75" hidden="1" customHeight="1" outlineLevel="1">
      <c r="A177" s="68"/>
      <c r="B177" s="737"/>
      <c r="C177" s="291"/>
      <c r="D177" s="107"/>
      <c r="E177" s="107"/>
      <c r="F177" s="107"/>
      <c r="G177" s="293"/>
      <c r="H177" s="291"/>
      <c r="I177" s="107"/>
      <c r="J177" s="107"/>
      <c r="K177" s="107"/>
      <c r="L177" s="293"/>
      <c r="M177" s="291"/>
      <c r="N177" s="107"/>
      <c r="O177" s="107"/>
      <c r="P177" s="107"/>
      <c r="Q177" s="293"/>
      <c r="R177" s="291"/>
      <c r="S177" s="107"/>
      <c r="T177" s="107"/>
      <c r="U177" s="107"/>
      <c r="V177" s="293"/>
      <c r="W177" s="291"/>
      <c r="X177" s="107"/>
      <c r="Y177" s="107"/>
      <c r="Z177" s="107"/>
      <c r="AA177" s="293"/>
      <c r="AB177" s="291"/>
      <c r="AC177" s="107"/>
      <c r="AD177" s="107"/>
      <c r="AE177" s="107"/>
      <c r="AF177" s="293"/>
      <c r="AG177" s="291"/>
      <c r="AH177" s="107"/>
      <c r="AI177" s="107"/>
      <c r="AJ177" s="107"/>
      <c r="AK177" s="293"/>
      <c r="AL177" s="291"/>
      <c r="AM177" s="107"/>
      <c r="AN177" s="107"/>
      <c r="AO177" s="107"/>
      <c r="AP177" s="293"/>
      <c r="AQ177" s="291"/>
      <c r="AR177" s="107"/>
      <c r="AS177" s="107"/>
      <c r="AT177" s="107"/>
      <c r="AU177" s="293"/>
      <c r="AV177" s="291"/>
      <c r="AW177" s="107"/>
      <c r="AX177" s="107"/>
      <c r="AY177" s="107"/>
      <c r="AZ177" s="293"/>
      <c r="BA177" s="291"/>
      <c r="BB177" s="107"/>
      <c r="BC177" s="107"/>
      <c r="BD177" s="107"/>
      <c r="BE177" s="293"/>
      <c r="BF177" s="291"/>
      <c r="BG177" s="107"/>
      <c r="BH177" s="107"/>
      <c r="BI177" s="107"/>
      <c r="BJ177" s="293"/>
      <c r="BK177" s="291"/>
      <c r="BL177" s="107"/>
      <c r="BM177" s="107"/>
      <c r="BN177" s="107"/>
      <c r="BO177" s="293"/>
      <c r="BP177" s="291"/>
      <c r="BQ177" s="107"/>
      <c r="BR177" s="107"/>
      <c r="BS177" s="107"/>
      <c r="BT177" s="293"/>
      <c r="BU177" s="291"/>
      <c r="BV177" s="107"/>
      <c r="BW177" s="107"/>
      <c r="BX177" s="107"/>
      <c r="BY177" s="293"/>
      <c r="BZ177" s="291"/>
      <c r="CA177" s="107"/>
      <c r="CB177" s="107"/>
      <c r="CC177" s="107"/>
      <c r="CD177" s="293"/>
      <c r="CE177" s="291"/>
      <c r="CF177" s="107"/>
      <c r="CG177" s="107"/>
      <c r="CH177" s="107"/>
      <c r="CI177" s="293"/>
      <c r="CJ177" s="291"/>
      <c r="CK177" s="107"/>
      <c r="CL177" s="107"/>
      <c r="CM177" s="107"/>
      <c r="CN177" s="293"/>
      <c r="CO177" s="511"/>
      <c r="CP177" s="458"/>
      <c r="CQ177" s="458"/>
      <c r="CR177" s="458"/>
      <c r="CS177" s="293"/>
      <c r="CT177" s="511"/>
      <c r="CU177" s="458"/>
      <c r="CV177" s="458"/>
      <c r="CW177" s="458"/>
      <c r="CX177" s="293"/>
      <c r="CY177" s="511"/>
      <c r="CZ177" s="458"/>
      <c r="DA177" s="458"/>
      <c r="DB177" s="458"/>
      <c r="DC177" s="293"/>
      <c r="DD177" s="511"/>
      <c r="DE177" s="458"/>
      <c r="DF177" s="458"/>
      <c r="DG177" s="458"/>
      <c r="DH177" s="293"/>
      <c r="DI177" s="511"/>
      <c r="DJ177" s="458"/>
      <c r="DK177" s="458"/>
      <c r="DL177" s="458"/>
      <c r="DM177" s="293"/>
      <c r="DN177" s="511"/>
      <c r="DO177" s="458"/>
      <c r="DP177" s="458"/>
      <c r="DQ177" s="458"/>
      <c r="DR177" s="293"/>
      <c r="DS177" s="511"/>
      <c r="DT177" s="458"/>
      <c r="DU177" s="458"/>
      <c r="DV177" s="458"/>
      <c r="DW177" s="293"/>
      <c r="DX177" s="511"/>
      <c r="DY177" s="458"/>
      <c r="DZ177" s="458"/>
      <c r="EA177" s="458"/>
      <c r="EB177" s="293"/>
      <c r="EC177" s="511"/>
      <c r="ED177" s="458"/>
      <c r="EE177" s="458"/>
      <c r="EF177" s="458"/>
      <c r="EG177" s="293"/>
      <c r="EH177" s="511"/>
      <c r="EI177" s="458"/>
      <c r="EJ177" s="458"/>
      <c r="EK177" s="458"/>
      <c r="EL177" s="293"/>
      <c r="EM177" s="511"/>
      <c r="EN177" s="458"/>
      <c r="EO177" s="458"/>
      <c r="EP177" s="458"/>
      <c r="EQ177" s="293"/>
      <c r="ER177" s="511"/>
      <c r="ES177" s="458"/>
      <c r="ET177" s="458"/>
      <c r="EU177" s="458"/>
      <c r="EV177" s="293"/>
      <c r="EW177" s="511"/>
      <c r="EX177" s="458"/>
      <c r="EY177" s="458"/>
      <c r="EZ177" s="493"/>
      <c r="FA177" s="293"/>
      <c r="FB177" s="291"/>
      <c r="FC177" s="107"/>
      <c r="FD177" s="107"/>
      <c r="FE177" s="107"/>
      <c r="FF177" s="293"/>
      <c r="FG177" s="291"/>
      <c r="FH177" s="107"/>
      <c r="FI177" s="107"/>
      <c r="FJ177" s="107"/>
      <c r="FK177" s="293"/>
      <c r="FL177" s="291"/>
      <c r="FM177" s="107"/>
      <c r="FN177" s="107"/>
      <c r="FO177" s="107"/>
      <c r="FP177" s="293"/>
      <c r="FQ177" s="291"/>
      <c r="FR177" s="107"/>
      <c r="FS177" s="107"/>
      <c r="FT177" s="107"/>
      <c r="FU177" s="293"/>
      <c r="FV177" s="291"/>
      <c r="FW177" s="107"/>
      <c r="FX177" s="107"/>
      <c r="FY177" s="107"/>
      <c r="FZ177" s="293"/>
      <c r="GA177" s="291"/>
      <c r="GB177" s="107"/>
      <c r="GC177" s="107"/>
      <c r="GD177" s="107"/>
      <c r="GE177" s="293"/>
      <c r="GF177" s="291"/>
      <c r="GG177" s="107"/>
      <c r="GH177" s="107"/>
      <c r="GI177" s="107"/>
      <c r="GJ177" s="382"/>
    </row>
    <row r="178" spans="1:192" s="461" customFormat="1" ht="12.75" hidden="1" customHeight="1" outlineLevel="1">
      <c r="A178" s="807"/>
      <c r="B178" s="734" t="s">
        <v>1971</v>
      </c>
      <c r="C178" s="443"/>
      <c r="D178" s="471"/>
      <c r="E178" s="471"/>
      <c r="F178" s="471"/>
      <c r="G178" s="516"/>
      <c r="H178" s="443"/>
      <c r="I178" s="471"/>
      <c r="J178" s="471"/>
      <c r="K178" s="471"/>
      <c r="L178" s="516"/>
      <c r="M178" s="443"/>
      <c r="N178" s="471"/>
      <c r="O178" s="471"/>
      <c r="P178" s="471"/>
      <c r="Q178" s="516"/>
      <c r="R178" s="443"/>
      <c r="S178" s="471"/>
      <c r="T178" s="471"/>
      <c r="U178" s="471"/>
      <c r="V178" s="516"/>
      <c r="W178" s="443"/>
      <c r="X178" s="471"/>
      <c r="Y178" s="471"/>
      <c r="Z178" s="471"/>
      <c r="AA178" s="516"/>
      <c r="AB178" s="443"/>
      <c r="AC178" s="471"/>
      <c r="AD178" s="471"/>
      <c r="AE178" s="471"/>
      <c r="AF178" s="516"/>
      <c r="AG178" s="443"/>
      <c r="AH178" s="471"/>
      <c r="AI178" s="471"/>
      <c r="AJ178" s="471"/>
      <c r="AK178" s="516"/>
      <c r="AL178" s="443"/>
      <c r="AM178" s="471"/>
      <c r="AN178" s="471"/>
      <c r="AO178" s="471"/>
      <c r="AP178" s="516"/>
      <c r="AQ178" s="443"/>
      <c r="AR178" s="471"/>
      <c r="AS178" s="471"/>
      <c r="AT178" s="471"/>
      <c r="AU178" s="516"/>
      <c r="AV178" s="443"/>
      <c r="AW178" s="471"/>
      <c r="AX178" s="471"/>
      <c r="AY178" s="471"/>
      <c r="AZ178" s="516"/>
      <c r="BA178" s="443"/>
      <c r="BB178" s="471"/>
      <c r="BC178" s="471"/>
      <c r="BD178" s="471"/>
      <c r="BE178" s="516"/>
      <c r="BF178" s="443"/>
      <c r="BG178" s="471"/>
      <c r="BH178" s="471"/>
      <c r="BI178" s="471"/>
      <c r="BJ178" s="516"/>
      <c r="BK178" s="443"/>
      <c r="BL178" s="471"/>
      <c r="BM178" s="471"/>
      <c r="BN178" s="471"/>
      <c r="BO178" s="516"/>
      <c r="BP178" s="443"/>
      <c r="BQ178" s="471"/>
      <c r="BR178" s="471"/>
      <c r="BS178" s="471"/>
      <c r="BT178" s="516"/>
      <c r="BU178" s="443"/>
      <c r="BV178" s="471"/>
      <c r="BW178" s="471"/>
      <c r="BX178" s="471"/>
      <c r="BY178" s="516"/>
      <c r="BZ178" s="443"/>
      <c r="CA178" s="471"/>
      <c r="CB178" s="471"/>
      <c r="CC178" s="471"/>
      <c r="CD178" s="516"/>
      <c r="CE178" s="443"/>
      <c r="CF178" s="471"/>
      <c r="CG178" s="471"/>
      <c r="CH178" s="471"/>
      <c r="CI178" s="516"/>
      <c r="CJ178" s="443"/>
      <c r="CK178" s="471"/>
      <c r="CL178" s="471"/>
      <c r="CM178" s="471"/>
      <c r="CN178" s="516"/>
      <c r="CO178" s="443"/>
      <c r="CP178" s="471"/>
      <c r="CQ178" s="471"/>
      <c r="CR178" s="471"/>
      <c r="CS178" s="516"/>
      <c r="CT178" s="471"/>
      <c r="CU178" s="471"/>
      <c r="CV178" s="471"/>
      <c r="CW178" s="471"/>
      <c r="CX178" s="516"/>
      <c r="CY178" s="443"/>
      <c r="CZ178" s="443"/>
      <c r="DA178" s="443"/>
      <c r="DB178" s="443"/>
      <c r="DC178" s="516"/>
      <c r="DD178" s="443">
        <f>DD144-DD153</f>
      </c>
      <c r="DE178" s="443">
        <f>DE144-DE153</f>
      </c>
      <c r="DF178" s="443">
        <f>DF144-DF153</f>
      </c>
      <c r="DG178" s="443">
        <f>DG144-DG153</f>
      </c>
      <c r="DH178" s="516">
        <f>SUM(DD178:DG178)</f>
      </c>
      <c r="DI178" s="443">
        <f>DI144-DI153</f>
      </c>
      <c r="DJ178" s="443">
        <f>DJ144-DJ153</f>
      </c>
      <c r="DK178" s="443">
        <f>DK144-DK153</f>
      </c>
      <c r="DL178" s="443">
        <f>DL144-DL153</f>
      </c>
      <c r="DM178" s="516">
        <f>SUM(DI178:DL178)</f>
      </c>
      <c r="DN178" s="443">
        <f>DN144-DN153</f>
      </c>
      <c r="DO178" s="443">
        <f>DO144-DO153</f>
      </c>
      <c r="DP178" s="443">
        <f>DP144-DP153</f>
      </c>
      <c r="DQ178" s="443">
        <f>DQ144-DQ153</f>
      </c>
      <c r="DR178" s="516">
        <f>SUM(DN178:DQ178)</f>
      </c>
      <c r="DS178" s="443">
        <f>DS144-DS153</f>
      </c>
      <c r="DT178" s="443">
        <f>DT144-DT153</f>
      </c>
      <c r="DU178" s="443">
        <f>DU144-DU153</f>
      </c>
      <c r="DV178" s="443">
        <f>DV144-DV153</f>
      </c>
      <c r="DW178" s="516">
        <f>SUM(DS178:DV178)</f>
      </c>
      <c r="DX178" s="443">
        <f>DX144-DX153</f>
      </c>
      <c r="DY178" s="443">
        <f>DY144-DY153</f>
      </c>
      <c r="DZ178" s="443">
        <f>DZ144-DZ153</f>
      </c>
      <c r="EA178" s="443">
        <f>EA144-EA153</f>
      </c>
      <c r="EB178" s="516">
        <f>SUM(DX178:EA178)</f>
      </c>
      <c r="EC178" s="443">
        <f>EC144-EC153</f>
      </c>
      <c r="ED178" s="443">
        <f>ED144-ED153</f>
      </c>
      <c r="EE178" s="443">
        <f>EE144-EE153</f>
      </c>
      <c r="EF178" s="443">
        <f>EF144-EF153</f>
      </c>
      <c r="EG178" s="516">
        <f>SUM(EC178:EF178)</f>
      </c>
      <c r="EH178" s="443">
        <f>EH144-EH153</f>
      </c>
      <c r="EI178" s="443">
        <f>EI144-EI153</f>
      </c>
      <c r="EJ178" s="443">
        <f>EJ144-EJ153</f>
      </c>
      <c r="EK178" s="443">
        <f>EK144-EK153</f>
      </c>
      <c r="EL178" s="516">
        <f>SUM(EH178:EK178)</f>
      </c>
      <c r="EM178" s="443">
        <f>EM144-EM153</f>
      </c>
      <c r="EN178" s="443">
        <f>EN144-EN153</f>
      </c>
      <c r="EO178" s="443">
        <f>EO144-EO153</f>
      </c>
      <c r="EP178" s="443">
        <f>EP144-EP153</f>
      </c>
      <c r="EQ178" s="516">
        <f>SUM(EM178:EP178)</f>
      </c>
      <c r="ER178" s="443">
        <f>ER144-ER153</f>
      </c>
      <c r="ES178" s="443">
        <f>ES144-ES153</f>
      </c>
      <c r="ET178" s="443">
        <f>ET144-ET153</f>
      </c>
      <c r="EU178" s="443">
        <f>EU144-EU153</f>
      </c>
      <c r="EV178" s="516">
        <f>SUM(ER178:EU178)</f>
      </c>
      <c r="EW178" s="471"/>
      <c r="EX178" s="471"/>
      <c r="EY178" s="471"/>
      <c r="EZ178" s="471"/>
      <c r="FA178" s="516"/>
      <c r="FB178" s="471"/>
      <c r="FC178" s="471"/>
      <c r="FD178" s="471"/>
      <c r="FE178" s="471"/>
      <c r="FF178" s="516"/>
      <c r="FG178" s="471"/>
      <c r="FH178" s="471"/>
      <c r="FI178" s="471"/>
      <c r="FJ178" s="471"/>
      <c r="FK178" s="516"/>
      <c r="FL178" s="471"/>
      <c r="FM178" s="471"/>
      <c r="FN178" s="471"/>
      <c r="FO178" s="471"/>
      <c r="FP178" s="516"/>
      <c r="FQ178" s="471"/>
      <c r="FR178" s="471"/>
      <c r="FS178" s="471"/>
      <c r="FT178" s="471"/>
      <c r="FU178" s="516"/>
      <c r="FV178" s="443"/>
      <c r="FW178" s="471"/>
      <c r="FX178" s="471"/>
      <c r="FY178" s="471"/>
      <c r="FZ178" s="516"/>
      <c r="GA178" s="443"/>
      <c r="GB178" s="471"/>
      <c r="GC178" s="471"/>
      <c r="GD178" s="471"/>
      <c r="GE178" s="516"/>
      <c r="GF178" s="443"/>
      <c r="GG178" s="471"/>
      <c r="GH178" s="471"/>
      <c r="GI178" s="471"/>
      <c r="GJ178" s="808"/>
    </row>
    <row r="179" spans="1:192" s="1241" customFormat="1" ht="12.75" hidden="1" customHeight="1" outlineLevel="1">
      <c r="A179" s="1237"/>
      <c r="B179" s="735" t="s">
        <v>34</v>
      </c>
      <c r="C179" s="1238"/>
      <c r="D179" s="1117"/>
      <c r="E179" s="1117"/>
      <c r="F179" s="1117"/>
      <c r="G179" s="1325"/>
      <c r="H179" s="1238"/>
      <c r="I179" s="1117"/>
      <c r="J179" s="1117"/>
      <c r="K179" s="1117"/>
      <c r="L179" s="1325"/>
      <c r="M179" s="1238"/>
      <c r="N179" s="1117"/>
      <c r="O179" s="1117"/>
      <c r="P179" s="1117"/>
      <c r="Q179" s="1325"/>
      <c r="R179" s="1238"/>
      <c r="S179" s="1117"/>
      <c r="T179" s="1117"/>
      <c r="U179" s="1117"/>
      <c r="V179" s="1325"/>
      <c r="W179" s="1238"/>
      <c r="X179" s="1117"/>
      <c r="Y179" s="1117"/>
      <c r="Z179" s="1117"/>
      <c r="AA179" s="1325"/>
      <c r="AB179" s="1238"/>
      <c r="AC179" s="1117"/>
      <c r="AD179" s="1117"/>
      <c r="AE179" s="1117"/>
      <c r="AF179" s="1325"/>
      <c r="AG179" s="1238"/>
      <c r="AH179" s="1117"/>
      <c r="AI179" s="1117"/>
      <c r="AJ179" s="1117"/>
      <c r="AK179" s="1325"/>
      <c r="AL179" s="1238"/>
      <c r="AM179" s="1117"/>
      <c r="AN179" s="1117"/>
      <c r="AO179" s="1117"/>
      <c r="AP179" s="1325"/>
      <c r="AQ179" s="1238"/>
      <c r="AR179" s="1117"/>
      <c r="AS179" s="1117"/>
      <c r="AT179" s="1117"/>
      <c r="AU179" s="1325"/>
      <c r="AV179" s="1238"/>
      <c r="AW179" s="1117"/>
      <c r="AX179" s="1117"/>
      <c r="AY179" s="1117"/>
      <c r="AZ179" s="1325"/>
      <c r="BA179" s="1238"/>
      <c r="BB179" s="1117"/>
      <c r="BC179" s="1117"/>
      <c r="BD179" s="1117"/>
      <c r="BE179" s="1325"/>
      <c r="BF179" s="1238"/>
      <c r="BG179" s="1117"/>
      <c r="BH179" s="1117"/>
      <c r="BI179" s="1117"/>
      <c r="BJ179" s="1325"/>
      <c r="BK179" s="1238"/>
      <c r="BL179" s="1117"/>
      <c r="BM179" s="1117"/>
      <c r="BN179" s="1117"/>
      <c r="BO179" s="1325"/>
      <c r="BP179" s="1238"/>
      <c r="BQ179" s="1117"/>
      <c r="BR179" s="1117"/>
      <c r="BS179" s="1117"/>
      <c r="BT179" s="1325"/>
      <c r="BU179" s="1238"/>
      <c r="BV179" s="1117"/>
      <c r="BW179" s="1117"/>
      <c r="BX179" s="1117"/>
      <c r="BY179" s="1325"/>
      <c r="BZ179" s="1238"/>
      <c r="CA179" s="1117"/>
      <c r="CB179" s="1117"/>
      <c r="CC179" s="1117"/>
      <c r="CD179" s="893"/>
      <c r="CE179" s="1238"/>
      <c r="CF179" s="1117"/>
      <c r="CG179" s="1117"/>
      <c r="CH179" s="1117"/>
      <c r="CI179" s="893"/>
      <c r="CJ179" s="1238"/>
      <c r="CK179" s="1117"/>
      <c r="CL179" s="1117"/>
      <c r="CM179" s="1117"/>
      <c r="CN179" s="893"/>
      <c r="CO179" s="1238"/>
      <c r="CP179" s="1117"/>
      <c r="CQ179" s="1117"/>
      <c r="CR179" s="1117"/>
      <c r="CS179" s="893"/>
      <c r="CT179" s="1238"/>
      <c r="CU179" s="1117"/>
      <c r="CV179" s="1117">
        <v>-0.16</v>
      </c>
      <c r="CW179" s="1117"/>
      <c r="CX179" s="893"/>
      <c r="CY179" s="1328">
        <v>-7.3999999999999996E-2</v>
      </c>
      <c r="CZ179" s="1327">
        <v>-0.126</v>
      </c>
      <c r="DA179" s="1327">
        <v>-0.16400000000000001</v>
      </c>
      <c r="DB179" s="1356"/>
      <c r="DC179" s="1357">
        <v>-0.13250000000000001</v>
      </c>
      <c r="DD179" s="1375">
        <v>-0.15</v>
      </c>
      <c r="DE179" s="1117"/>
      <c r="DF179" s="1117"/>
      <c r="DG179" s="1117">
        <v>-0.12</v>
      </c>
      <c r="DH179" s="893"/>
      <c r="DI179" s="1238">
        <v>-0.14000000000000001</v>
      </c>
      <c r="DJ179" s="1117">
        <v>-0.13</v>
      </c>
      <c r="DK179" s="1117">
        <v>-0.13</v>
      </c>
      <c r="DL179" s="1117">
        <v>-0.17</v>
      </c>
      <c r="DM179" s="893">
        <f>DM178/DH178-1</f>
      </c>
      <c r="DN179" s="1238">
        <v>-0.17</v>
      </c>
      <c r="DO179" s="1117">
        <v>-0.16</v>
      </c>
      <c r="DP179" s="1117">
        <v>-0.15</v>
      </c>
      <c r="DQ179" s="1117">
        <v>-0.19</v>
      </c>
      <c r="DR179" s="893">
        <f>DR178/DM178-1</f>
      </c>
      <c r="DS179" s="1238">
        <v>-0.12</v>
      </c>
      <c r="DT179" s="1117">
        <v>-0.21</v>
      </c>
      <c r="DU179" s="1117">
        <v>-0.185</v>
      </c>
      <c r="DV179" s="1117">
        <v>-0.17</v>
      </c>
      <c r="DW179" s="893">
        <f>DW178/DR178-1</f>
      </c>
      <c r="DX179" s="1238">
        <v>-0.16500000000000001</v>
      </c>
      <c r="DY179" s="1117">
        <v>-0.11</v>
      </c>
      <c r="DZ179" s="1117">
        <v>-0.20499999999999999</v>
      </c>
      <c r="EA179" s="1117">
        <v>-0.34</v>
      </c>
      <c r="EB179" s="893">
        <f>EB178/DW178-1</f>
      </c>
      <c r="EC179" s="1238">
        <v>-0.3</v>
      </c>
      <c r="ED179" s="1117">
        <v>-0.26</v>
      </c>
      <c r="EE179" s="1117">
        <v>-0.245</v>
      </c>
      <c r="EF179" s="1117">
        <v>-0.08</v>
      </c>
      <c r="EG179" s="893">
        <f>EG178/EB178-1</f>
      </c>
      <c r="EH179" s="1238">
        <v>-0.13</v>
      </c>
      <c r="EI179" s="1117">
        <v>-0.17</v>
      </c>
      <c r="EJ179" s="1117">
        <v>-0.28000000000000003</v>
      </c>
      <c r="EK179" s="1117">
        <v>-0.32</v>
      </c>
      <c r="EL179" s="1325">
        <v>-0.22</v>
      </c>
      <c r="EM179" s="1238">
        <v>-0.28000000000000003</v>
      </c>
      <c r="EN179" s="1117">
        <v>-0.3</v>
      </c>
      <c r="EO179" s="1117">
        <v>-0.01</v>
      </c>
      <c r="EP179" s="1117">
        <v>-0.2</v>
      </c>
      <c r="EQ179" s="893">
        <f>EQ178/EL178-1</f>
      </c>
      <c r="ER179" s="1238">
        <v>-0.17</v>
      </c>
      <c r="ES179" s="1117">
        <v>-0.17</v>
      </c>
      <c r="ET179" s="1327">
        <v>-0.2</v>
      </c>
      <c r="EU179" s="1327">
        <v>-0.09</v>
      </c>
      <c r="EV179" s="893">
        <f>EV178/EQ178-1</f>
      </c>
      <c r="EW179" s="1238"/>
      <c r="EX179" s="1117"/>
      <c r="EY179" s="1117"/>
      <c r="EZ179" s="1117"/>
      <c r="FA179" s="893"/>
      <c r="FB179" s="1238"/>
      <c r="FC179" s="1117"/>
      <c r="FD179" s="1117"/>
      <c r="FE179" s="1117"/>
      <c r="FF179" s="893"/>
      <c r="FG179" s="1238"/>
      <c r="FH179" s="1117"/>
      <c r="FI179" s="1117"/>
      <c r="FJ179" s="1117"/>
      <c r="FK179" s="893"/>
      <c r="FL179" s="1238"/>
      <c r="FM179" s="1117"/>
      <c r="FN179" s="1117"/>
      <c r="FO179" s="1117"/>
      <c r="FP179" s="893"/>
      <c r="FQ179" s="1238"/>
      <c r="FR179" s="1117"/>
      <c r="FS179" s="1117"/>
      <c r="FT179" s="1117"/>
      <c r="FU179" s="893"/>
      <c r="FV179" s="1238"/>
      <c r="FW179" s="1117"/>
      <c r="FX179" s="1117"/>
      <c r="FY179" s="1117"/>
      <c r="FZ179" s="893"/>
      <c r="GA179" s="1238"/>
      <c r="GB179" s="1117"/>
      <c r="GC179" s="1117"/>
      <c r="GD179" s="1117"/>
      <c r="GE179" s="893"/>
      <c r="GF179" s="1238"/>
      <c r="GG179" s="1117"/>
      <c r="GH179" s="1117"/>
      <c r="GI179" s="1117"/>
      <c r="GJ179" s="1199"/>
    </row>
    <row r="180" spans="1:192" ht="12.75" hidden="1" customHeight="1" outlineLevel="1">
      <c r="B180" s="735" t="s">
        <v>197</v>
      </c>
      <c r="C180" s="412"/>
      <c r="D180" s="114"/>
      <c r="E180" s="114"/>
      <c r="F180" s="114"/>
      <c r="G180" s="414"/>
      <c r="H180" s="412"/>
      <c r="I180" s="114"/>
      <c r="J180" s="114"/>
      <c r="K180" s="114"/>
      <c r="L180" s="414"/>
      <c r="M180" s="412"/>
      <c r="N180" s="114"/>
      <c r="O180" s="114"/>
      <c r="P180" s="114"/>
      <c r="Q180" s="414"/>
      <c r="R180" s="412"/>
      <c r="S180" s="114"/>
      <c r="T180" s="114"/>
      <c r="U180" s="114"/>
      <c r="V180" s="414"/>
      <c r="W180" s="412"/>
      <c r="X180" s="114"/>
      <c r="Y180" s="114"/>
      <c r="Z180" s="114"/>
      <c r="AA180" s="414"/>
      <c r="AB180" s="412"/>
      <c r="AC180" s="114"/>
      <c r="AD180" s="114"/>
      <c r="AE180" s="114"/>
      <c r="AF180" s="414"/>
      <c r="AG180" s="412"/>
      <c r="AH180" s="114"/>
      <c r="AI180" s="114"/>
      <c r="AJ180" s="114"/>
      <c r="AK180" s="414"/>
      <c r="AL180" s="412"/>
      <c r="AM180" s="114"/>
      <c r="AN180" s="114"/>
      <c r="AO180" s="114"/>
      <c r="AP180" s="414"/>
      <c r="AQ180" s="412"/>
      <c r="AR180" s="114"/>
      <c r="AS180" s="114"/>
      <c r="AT180" s="114"/>
      <c r="AU180" s="414"/>
      <c r="AV180" s="412"/>
      <c r="AW180" s="114"/>
      <c r="AX180" s="114"/>
      <c r="AY180" s="114"/>
      <c r="AZ180" s="414"/>
      <c r="BA180" s="412"/>
      <c r="BB180" s="114"/>
      <c r="BC180" s="114"/>
      <c r="BD180" s="114"/>
      <c r="BE180" s="414"/>
      <c r="BF180" s="412"/>
      <c r="BG180" s="114"/>
      <c r="BH180" s="114"/>
      <c r="BI180" s="114"/>
      <c r="BJ180" s="414"/>
      <c r="BK180" s="412"/>
      <c r="BL180" s="114"/>
      <c r="BM180" s="114"/>
      <c r="BN180" s="114"/>
      <c r="BO180" s="414"/>
      <c r="BP180" s="412"/>
      <c r="BQ180" s="114"/>
      <c r="BR180" s="114"/>
      <c r="BS180" s="114"/>
      <c r="BT180" s="414"/>
      <c r="BU180" s="412"/>
      <c r="BV180" s="114"/>
      <c r="BW180" s="114"/>
      <c r="BX180" s="114"/>
      <c r="BY180" s="414"/>
      <c r="BZ180" s="412"/>
      <c r="CA180" s="114"/>
      <c r="CB180" s="114"/>
      <c r="CC180" s="114"/>
      <c r="CD180" s="293"/>
      <c r="CE180" s="412"/>
      <c r="CF180" s="114"/>
      <c r="CG180" s="114"/>
      <c r="CH180" s="114"/>
      <c r="CI180" s="293"/>
      <c r="CJ180" s="412"/>
      <c r="CK180" s="114"/>
      <c r="CL180" s="114"/>
      <c r="CM180" s="114"/>
      <c r="CN180" s="293"/>
      <c r="CO180" s="412"/>
      <c r="CP180" s="114"/>
      <c r="CQ180" s="114"/>
      <c r="CR180" s="114"/>
      <c r="CS180" s="293"/>
      <c r="CT180" s="412"/>
      <c r="CU180" s="114"/>
      <c r="CV180" s="114">
        <v>-0.13</v>
      </c>
      <c r="CW180" s="114"/>
      <c r="CX180" s="293"/>
      <c r="CY180" s="412"/>
      <c r="CZ180" s="114"/>
      <c r="DA180" s="114"/>
      <c r="DB180" s="114"/>
      <c r="DC180" s="293"/>
      <c r="DD180" s="412">
        <v>-0.08</v>
      </c>
      <c r="DE180" s="114">
        <v>-0.08</v>
      </c>
      <c r="DF180" s="114">
        <v>-0.11</v>
      </c>
      <c r="DG180" s="114">
        <v>-0.09</v>
      </c>
      <c r="DH180" s="293"/>
      <c r="DI180" s="412">
        <v>-0.13</v>
      </c>
      <c r="DJ180" s="114">
        <v>-0.12</v>
      </c>
      <c r="DK180" s="114">
        <v>-0.13</v>
      </c>
      <c r="DL180" s="114">
        <v>-0.16</v>
      </c>
      <c r="DM180" s="293"/>
      <c r="DN180" s="412">
        <v>-0.17</v>
      </c>
      <c r="DO180" s="114">
        <v>-0.16</v>
      </c>
      <c r="DP180" s="114">
        <v>-0.16</v>
      </c>
      <c r="DQ180" s="114">
        <v>-0.2</v>
      </c>
      <c r="DR180" s="293"/>
      <c r="DS180" s="412">
        <v>-0.13</v>
      </c>
      <c r="DT180" s="114">
        <v>-0.21</v>
      </c>
      <c r="DU180" s="114">
        <v>-0.18</v>
      </c>
      <c r="DV180" s="114">
        <v>-0.15</v>
      </c>
      <c r="DW180" s="293"/>
      <c r="DX180" s="412">
        <v>-0.15</v>
      </c>
      <c r="DY180" s="114">
        <v>-0.1</v>
      </c>
      <c r="DZ180" s="114">
        <v>-0.2</v>
      </c>
      <c r="EA180" s="114">
        <v>-0.33</v>
      </c>
      <c r="EB180" s="293"/>
      <c r="EC180" s="412">
        <v>-0.3</v>
      </c>
      <c r="ED180" s="114">
        <v>-0.27</v>
      </c>
      <c r="EE180" s="114">
        <v>-0.27</v>
      </c>
      <c r="EF180" s="114">
        <v>-0.11</v>
      </c>
      <c r="EG180" s="293"/>
      <c r="EH180" s="412">
        <v>-0.14000000000000001</v>
      </c>
      <c r="EI180" s="114">
        <v>-0.17</v>
      </c>
      <c r="EJ180" s="114">
        <v>-0.25</v>
      </c>
      <c r="EK180" s="114">
        <v>-0.28000000000000003</v>
      </c>
      <c r="EL180" s="293"/>
      <c r="EM180" s="412">
        <v>-0.22</v>
      </c>
      <c r="EN180" s="114">
        <v>-0.24</v>
      </c>
      <c r="EO180" s="114">
        <v>0.05</v>
      </c>
      <c r="EP180" s="114">
        <v>-0.18</v>
      </c>
      <c r="EQ180" s="293"/>
      <c r="ER180" s="412">
        <v>-0.17</v>
      </c>
      <c r="ES180" s="114">
        <v>-0.18</v>
      </c>
      <c r="ET180" s="439">
        <v>-0.18</v>
      </c>
      <c r="EU180" s="439">
        <v>-7.0000000000000007E-2</v>
      </c>
      <c r="EV180" s="293"/>
      <c r="EW180" s="412"/>
      <c r="EX180" s="114"/>
      <c r="EY180" s="114"/>
      <c r="EZ180" s="114"/>
      <c r="FA180" s="293"/>
      <c r="FB180" s="412"/>
      <c r="FC180" s="114"/>
      <c r="FD180" s="114"/>
      <c r="FE180" s="114"/>
      <c r="FF180" s="293"/>
      <c r="FG180" s="412"/>
      <c r="FH180" s="114"/>
      <c r="FI180" s="114"/>
      <c r="FJ180" s="114"/>
      <c r="FK180" s="293"/>
      <c r="FL180" s="412"/>
      <c r="FM180" s="114"/>
      <c r="FN180" s="114"/>
      <c r="FO180" s="114"/>
      <c r="FP180" s="293"/>
      <c r="FQ180" s="412"/>
      <c r="FR180" s="114"/>
      <c r="FS180" s="114"/>
      <c r="FT180" s="114"/>
      <c r="FU180" s="293"/>
      <c r="FV180" s="412"/>
      <c r="FW180" s="114"/>
      <c r="FX180" s="114"/>
      <c r="FY180" s="114"/>
      <c r="FZ180" s="293"/>
      <c r="GA180" s="412"/>
      <c r="GB180" s="114"/>
      <c r="GC180" s="114"/>
      <c r="GD180" s="114"/>
      <c r="GE180" s="293"/>
      <c r="GF180" s="412"/>
      <c r="GG180" s="114"/>
      <c r="GH180" s="114"/>
      <c r="GI180" s="114"/>
      <c r="GJ180" s="382"/>
    </row>
    <row r="181" spans="1:192" ht="12.75" hidden="1" customHeight="1" outlineLevel="1">
      <c r="B181" s="735" t="s">
        <v>36</v>
      </c>
      <c r="C181" s="291"/>
      <c r="D181" s="107"/>
      <c r="E181" s="107"/>
      <c r="F181" s="107"/>
      <c r="G181" s="293"/>
      <c r="H181" s="291"/>
      <c r="I181" s="107"/>
      <c r="J181" s="107"/>
      <c r="K181" s="107"/>
      <c r="L181" s="293"/>
      <c r="M181" s="291"/>
      <c r="N181" s="107"/>
      <c r="O181" s="107"/>
      <c r="P181" s="107"/>
      <c r="Q181" s="293"/>
      <c r="R181" s="291"/>
      <c r="S181" s="107"/>
      <c r="T181" s="107"/>
      <c r="U181" s="107"/>
      <c r="V181" s="293"/>
      <c r="W181" s="291"/>
      <c r="X181" s="107"/>
      <c r="Y181" s="107"/>
      <c r="Z181" s="107"/>
      <c r="AA181" s="293"/>
      <c r="AB181" s="291"/>
      <c r="AC181" s="107"/>
      <c r="AD181" s="107"/>
      <c r="AE181" s="107"/>
      <c r="AF181" s="293"/>
      <c r="AG181" s="291"/>
      <c r="AH181" s="107"/>
      <c r="AI181" s="107"/>
      <c r="AJ181" s="107"/>
      <c r="AK181" s="293"/>
      <c r="AL181" s="291"/>
      <c r="AM181" s="107"/>
      <c r="AN181" s="107"/>
      <c r="AO181" s="107"/>
      <c r="AP181" s="293"/>
      <c r="AQ181" s="291"/>
      <c r="AR181" s="107"/>
      <c r="AS181" s="107"/>
      <c r="AT181" s="107"/>
      <c r="AU181" s="293"/>
      <c r="AV181" s="291"/>
      <c r="AW181" s="107"/>
      <c r="AX181" s="107"/>
      <c r="AY181" s="107"/>
      <c r="AZ181" s="293"/>
      <c r="BA181" s="291"/>
      <c r="BB181" s="107"/>
      <c r="BC181" s="107"/>
      <c r="BD181" s="107"/>
      <c r="BE181" s="293"/>
      <c r="BF181" s="291"/>
      <c r="BG181" s="107"/>
      <c r="BH181" s="107"/>
      <c r="BI181" s="107"/>
      <c r="BJ181" s="293"/>
      <c r="BK181" s="291"/>
      <c r="BL181" s="107"/>
      <c r="BM181" s="107"/>
      <c r="BN181" s="107"/>
      <c r="BO181" s="293"/>
      <c r="BP181" s="291"/>
      <c r="BQ181" s="107"/>
      <c r="BR181" s="107"/>
      <c r="BS181" s="107"/>
      <c r="BT181" s="293"/>
      <c r="BU181" s="291"/>
      <c r="BV181" s="107"/>
      <c r="BW181" s="107"/>
      <c r="BX181" s="107"/>
      <c r="BY181" s="293"/>
      <c r="BZ181" s="291"/>
      <c r="CA181" s="107"/>
      <c r="CB181" s="107"/>
      <c r="CC181" s="107"/>
      <c r="CD181" s="293"/>
      <c r="CE181" s="291"/>
      <c r="CF181" s="107"/>
      <c r="CG181" s="107"/>
      <c r="CH181" s="107"/>
      <c r="CI181" s="293"/>
      <c r="CJ181" s="291"/>
      <c r="CK181" s="107"/>
      <c r="CL181" s="107"/>
      <c r="CM181" s="107"/>
      <c r="CN181" s="293"/>
      <c r="CO181" s="291"/>
      <c r="CP181" s="107"/>
      <c r="CQ181" s="107"/>
      <c r="CR181" s="107"/>
      <c r="CS181" s="293"/>
      <c r="CT181" s="291"/>
      <c r="CU181" s="107"/>
      <c r="CV181" s="107"/>
      <c r="CW181" s="107"/>
      <c r="CX181" s="293"/>
      <c r="CY181" s="291"/>
      <c r="CZ181" s="107"/>
      <c r="DA181" s="107"/>
      <c r="DB181" s="107"/>
      <c r="DC181" s="293"/>
      <c r="DD181" s="291" t="e">
        <f>DD178/DB178-1</f>
      </c>
      <c r="DE181" s="107">
        <f>DE178/DD178-1</f>
      </c>
      <c r="DF181" s="107">
        <f>DF178/DE178-1</f>
      </c>
      <c r="DG181" s="107">
        <f>DG178/DF178-1</f>
      </c>
      <c r="DH181" s="293"/>
      <c r="DI181" s="291">
        <f>DI178/DG178-1</f>
      </c>
      <c r="DJ181" s="107">
        <f>DJ178/DI178-1</f>
      </c>
      <c r="DK181" s="107">
        <f>DK178/DJ178-1</f>
      </c>
      <c r="DL181" s="107">
        <f>DL178/DK178-1</f>
      </c>
      <c r="DM181" s="293"/>
      <c r="DN181" s="291">
        <f>DN178/DL178-1</f>
      </c>
      <c r="DO181" s="107">
        <f>DO178/DN178-1</f>
      </c>
      <c r="DP181" s="107">
        <f>DP178/DO178-1</f>
      </c>
      <c r="DQ181" s="107">
        <f>DQ178/DP178-1</f>
      </c>
      <c r="DR181" s="292"/>
      <c r="DS181" s="291">
        <f>DS178/DQ178-1</f>
      </c>
      <c r="DT181" s="107">
        <f>DT178/DS178-1</f>
      </c>
      <c r="DU181" s="107">
        <f>DU178/DT178-1</f>
      </c>
      <c r="DV181" s="107">
        <f>DV178/DU178-1</f>
      </c>
      <c r="DW181" s="292"/>
      <c r="DX181" s="291">
        <f>DX178/DV178-1</f>
      </c>
      <c r="DY181" s="107">
        <f>DY178/DX178-1</f>
      </c>
      <c r="DZ181" s="107">
        <f>DZ178/DY178-1</f>
      </c>
      <c r="EA181" s="107">
        <f>EA178/DZ178-1</f>
      </c>
      <c r="EB181" s="292"/>
      <c r="EC181" s="291">
        <f>EC178/EA178-1</f>
      </c>
      <c r="ED181" s="107">
        <f>ED178/EC178-1</f>
      </c>
      <c r="EE181" s="107">
        <f>EE178/ED178-1</f>
      </c>
      <c r="EF181" s="107">
        <f>EF178/EE178-1</f>
      </c>
      <c r="EG181" s="292"/>
      <c r="EH181" s="291">
        <f>EH178/EF178-1</f>
      </c>
      <c r="EI181" s="107">
        <f>EI178/EH178-1</f>
      </c>
      <c r="EJ181" s="107">
        <f>EJ178/EI178-1</f>
      </c>
      <c r="EK181" s="107">
        <f>EK178/EJ178-1</f>
      </c>
      <c r="EL181" s="292"/>
      <c r="EM181" s="291">
        <f>EM178/EK178-1</f>
      </c>
      <c r="EN181" s="107">
        <f>EN178/EM178-1</f>
      </c>
      <c r="EO181" s="107">
        <f>EO178/EN178-1</f>
      </c>
      <c r="EP181" s="107">
        <f>EP178/EO178-1</f>
      </c>
      <c r="EQ181" s="292"/>
      <c r="ER181" s="291">
        <f>ER178/EP178-1</f>
      </c>
      <c r="ES181" s="107">
        <f>ES178/ER178-1</f>
      </c>
      <c r="ET181" s="107">
        <f>ET178/ES178-1</f>
      </c>
      <c r="EU181" s="107">
        <f>EU178/ET178-1</f>
      </c>
      <c r="EV181" s="292"/>
      <c r="EW181" s="291"/>
      <c r="EX181" s="107"/>
      <c r="EY181" s="107"/>
      <c r="EZ181" s="107"/>
      <c r="FA181" s="292"/>
      <c r="FB181" s="291"/>
      <c r="FC181" s="107"/>
      <c r="FD181" s="107"/>
      <c r="FE181" s="107"/>
      <c r="FF181" s="292"/>
      <c r="FG181" s="291"/>
      <c r="FH181" s="107"/>
      <c r="FI181" s="107"/>
      <c r="FJ181" s="107"/>
      <c r="FK181" s="292"/>
      <c r="FL181" s="291"/>
      <c r="FM181" s="107"/>
      <c r="FN181" s="107"/>
      <c r="FO181" s="107"/>
      <c r="FP181" s="292"/>
      <c r="FQ181" s="291"/>
      <c r="FR181" s="107"/>
      <c r="FS181" s="107"/>
      <c r="FT181" s="107"/>
      <c r="FU181" s="292"/>
      <c r="FV181" s="291"/>
      <c r="FW181" s="107"/>
      <c r="FX181" s="107"/>
      <c r="FY181" s="107"/>
      <c r="FZ181" s="293"/>
      <c r="GA181" s="291"/>
      <c r="GB181" s="107"/>
      <c r="GC181" s="107"/>
      <c r="GD181" s="107"/>
      <c r="GE181" s="293"/>
      <c r="GF181" s="291"/>
      <c r="GG181" s="107"/>
      <c r="GH181" s="107"/>
      <c r="GI181" s="107"/>
      <c r="GJ181" s="382"/>
    </row>
    <row r="182" spans="1:192" s="461" customFormat="1" ht="12.75" hidden="1" customHeight="1" outlineLevel="1">
      <c r="A182" s="370"/>
      <c r="B182" s="735" t="s">
        <v>243</v>
      </c>
      <c r="C182" s="447"/>
      <c r="D182" s="458"/>
      <c r="E182" s="458"/>
      <c r="F182" s="458"/>
      <c r="G182" s="459"/>
      <c r="H182" s="447"/>
      <c r="I182" s="458"/>
      <c r="J182" s="458"/>
      <c r="K182" s="458"/>
      <c r="L182" s="459"/>
      <c r="M182" s="447"/>
      <c r="N182" s="458"/>
      <c r="O182" s="458"/>
      <c r="P182" s="458"/>
      <c r="Q182" s="459"/>
      <c r="R182" s="447"/>
      <c r="S182" s="458"/>
      <c r="T182" s="458"/>
      <c r="U182" s="458"/>
      <c r="V182" s="459"/>
      <c r="W182" s="447"/>
      <c r="X182" s="458"/>
      <c r="Y182" s="458"/>
      <c r="Z182" s="458"/>
      <c r="AA182" s="459"/>
      <c r="AB182" s="447"/>
      <c r="AC182" s="458"/>
      <c r="AD182" s="458"/>
      <c r="AE182" s="458"/>
      <c r="AF182" s="459"/>
      <c r="AG182" s="447"/>
      <c r="AH182" s="458"/>
      <c r="AI182" s="458"/>
      <c r="AJ182" s="458"/>
      <c r="AK182" s="459"/>
      <c r="AL182" s="447"/>
      <c r="AM182" s="458"/>
      <c r="AN182" s="458"/>
      <c r="AO182" s="458"/>
      <c r="AP182" s="459"/>
      <c r="AQ182" s="447"/>
      <c r="AR182" s="458"/>
      <c r="AS182" s="458"/>
      <c r="AT182" s="458"/>
      <c r="AU182" s="459"/>
      <c r="AV182" s="447"/>
      <c r="AW182" s="458"/>
      <c r="AX182" s="458"/>
      <c r="AY182" s="458"/>
      <c r="AZ182" s="459"/>
      <c r="BA182" s="447"/>
      <c r="BB182" s="458"/>
      <c r="BC182" s="458"/>
      <c r="BD182" s="458"/>
      <c r="BE182" s="459"/>
      <c r="BF182" s="447"/>
      <c r="BG182" s="458"/>
      <c r="BH182" s="458"/>
      <c r="BI182" s="458"/>
      <c r="BJ182" s="459"/>
      <c r="BK182" s="447"/>
      <c r="BL182" s="458"/>
      <c r="BM182" s="458"/>
      <c r="BN182" s="458"/>
      <c r="BO182" s="459"/>
      <c r="BP182" s="447"/>
      <c r="BQ182" s="458"/>
      <c r="BR182" s="458"/>
      <c r="BS182" s="458"/>
      <c r="BT182" s="459"/>
      <c r="BU182" s="447"/>
      <c r="BV182" s="458"/>
      <c r="BW182" s="458"/>
      <c r="BX182" s="458"/>
      <c r="BY182" s="459"/>
      <c r="BZ182" s="447"/>
      <c r="CA182" s="458"/>
      <c r="CB182" s="458"/>
      <c r="CC182" s="458"/>
      <c r="CD182" s="459"/>
      <c r="CE182" s="447"/>
      <c r="CF182" s="458"/>
      <c r="CG182" s="458"/>
      <c r="CH182" s="458"/>
      <c r="CI182" s="459"/>
      <c r="CJ182" s="447"/>
      <c r="CK182" s="458"/>
      <c r="CL182" s="458"/>
      <c r="CM182" s="458"/>
      <c r="CN182" s="459"/>
      <c r="CO182" s="447"/>
      <c r="CP182" s="458"/>
      <c r="CQ182" s="458"/>
      <c r="CR182" s="458"/>
      <c r="CS182" s="459"/>
      <c r="CT182" s="447"/>
      <c r="CU182" s="458"/>
      <c r="CV182" s="458"/>
      <c r="CW182" s="458"/>
      <c r="CX182" s="459"/>
      <c r="CY182" s="1377">
        <v>-322</v>
      </c>
      <c r="CZ182" s="1376">
        <v>-633</v>
      </c>
      <c r="DA182" s="1376">
        <v>-704</v>
      </c>
      <c r="DB182" s="1376">
        <f>DC182-DA182-CZ182-CY182</f>
      </c>
      <c r="DC182" s="1358">
        <v>-2451</v>
      </c>
      <c r="DD182" s="447">
        <f t="shared" ref="DD182:EI182" si="156">DD178-CY178</f>
      </c>
      <c r="DE182" s="458">
        <f t="shared" si="156"/>
      </c>
      <c r="DF182" s="458">
        <f t="shared" si="156"/>
      </c>
      <c r="DG182" s="458">
        <f t="shared" si="156"/>
      </c>
      <c r="DH182" s="459">
        <f t="shared" si="156"/>
      </c>
      <c r="DI182" s="447">
        <f t="shared" si="156"/>
      </c>
      <c r="DJ182" s="458">
        <f t="shared" si="156"/>
      </c>
      <c r="DK182" s="458">
        <f t="shared" si="156"/>
      </c>
      <c r="DL182" s="458">
        <f t="shared" si="156"/>
      </c>
      <c r="DM182" s="459">
        <f t="shared" si="156"/>
      </c>
      <c r="DN182" s="447">
        <f t="shared" si="156"/>
      </c>
      <c r="DO182" s="447">
        <f t="shared" si="156"/>
      </c>
      <c r="DP182" s="447">
        <f t="shared" si="156"/>
      </c>
      <c r="DQ182" s="447">
        <f t="shared" si="156"/>
      </c>
      <c r="DR182" s="462">
        <f t="shared" si="156"/>
      </c>
      <c r="DS182" s="447">
        <f t="shared" si="156"/>
      </c>
      <c r="DT182" s="447">
        <f t="shared" si="156"/>
      </c>
      <c r="DU182" s="447">
        <f t="shared" si="156"/>
      </c>
      <c r="DV182" s="447">
        <f t="shared" si="156"/>
      </c>
      <c r="DW182" s="462">
        <f t="shared" si="156"/>
      </c>
      <c r="DX182" s="447">
        <f t="shared" si="156"/>
      </c>
      <c r="DY182" s="447">
        <f t="shared" si="156"/>
      </c>
      <c r="DZ182" s="447">
        <f t="shared" si="156"/>
      </c>
      <c r="EA182" s="447">
        <f t="shared" si="156"/>
      </c>
      <c r="EB182" s="462">
        <f t="shared" si="156"/>
      </c>
      <c r="EC182" s="447">
        <f t="shared" si="156"/>
      </c>
      <c r="ED182" s="447">
        <f t="shared" si="156"/>
      </c>
      <c r="EE182" s="447">
        <f t="shared" si="156"/>
      </c>
      <c r="EF182" s="447">
        <f t="shared" si="156"/>
      </c>
      <c r="EG182" s="462">
        <f t="shared" si="156"/>
      </c>
      <c r="EH182" s="447">
        <f t="shared" si="156"/>
      </c>
      <c r="EI182" s="447">
        <f t="shared" si="156"/>
      </c>
      <c r="EJ182" s="447">
        <f t="shared" ref="EJ182:EV182" si="157">EJ178-EE178</f>
      </c>
      <c r="EK182" s="447">
        <f t="shared" si="157"/>
      </c>
      <c r="EL182" s="462">
        <f t="shared" si="157"/>
      </c>
      <c r="EM182" s="447">
        <f t="shared" si="157"/>
      </c>
      <c r="EN182" s="447">
        <f t="shared" si="157"/>
      </c>
      <c r="EO182" s="447">
        <f t="shared" si="157"/>
      </c>
      <c r="EP182" s="447">
        <f t="shared" si="157"/>
      </c>
      <c r="EQ182" s="462">
        <f t="shared" si="157"/>
      </c>
      <c r="ER182" s="447">
        <f t="shared" si="157"/>
      </c>
      <c r="ES182" s="447">
        <f t="shared" si="157"/>
      </c>
      <c r="ET182" s="447">
        <f t="shared" si="157"/>
      </c>
      <c r="EU182" s="447">
        <f t="shared" si="157"/>
      </c>
      <c r="EV182" s="462">
        <f t="shared" si="157"/>
      </c>
      <c r="EW182" s="447"/>
      <c r="EX182" s="447"/>
      <c r="EY182" s="447"/>
      <c r="EZ182" s="447"/>
      <c r="FA182" s="462"/>
      <c r="FB182" s="447"/>
      <c r="FC182" s="447"/>
      <c r="FD182" s="447"/>
      <c r="FE182" s="447"/>
      <c r="FF182" s="462"/>
      <c r="FG182" s="447"/>
      <c r="FH182" s="447"/>
      <c r="FI182" s="447"/>
      <c r="FJ182" s="447"/>
      <c r="FK182" s="462"/>
      <c r="FL182" s="447"/>
      <c r="FM182" s="447"/>
      <c r="FN182" s="447"/>
      <c r="FO182" s="447"/>
      <c r="FP182" s="462"/>
      <c r="FQ182" s="447"/>
      <c r="FR182" s="447"/>
      <c r="FS182" s="447"/>
      <c r="FT182" s="447"/>
      <c r="FU182" s="462"/>
      <c r="FV182" s="447"/>
      <c r="FW182" s="458"/>
      <c r="FX182" s="458"/>
      <c r="FY182" s="458"/>
      <c r="FZ182" s="459"/>
      <c r="GA182" s="447"/>
      <c r="GB182" s="458"/>
      <c r="GC182" s="458"/>
      <c r="GD182" s="458"/>
      <c r="GE182" s="459"/>
      <c r="GF182" s="447"/>
      <c r="GG182" s="458"/>
      <c r="GH182" s="458"/>
      <c r="GI182" s="458"/>
      <c r="GJ182" s="460"/>
    </row>
    <row r="183" spans="1:192" s="461" customFormat="1" ht="12.75" hidden="1" customHeight="1" outlineLevel="1">
      <c r="A183" s="370"/>
      <c r="B183" s="735" t="s">
        <v>244</v>
      </c>
      <c r="C183" s="447"/>
      <c r="D183" s="458"/>
      <c r="E183" s="458"/>
      <c r="F183" s="458"/>
      <c r="G183" s="459"/>
      <c r="H183" s="447"/>
      <c r="I183" s="458"/>
      <c r="J183" s="458"/>
      <c r="K183" s="458"/>
      <c r="L183" s="459"/>
      <c r="M183" s="447"/>
      <c r="N183" s="458"/>
      <c r="O183" s="458"/>
      <c r="P183" s="458"/>
      <c r="Q183" s="459"/>
      <c r="R183" s="447"/>
      <c r="S183" s="458"/>
      <c r="T183" s="458"/>
      <c r="U183" s="458"/>
      <c r="V183" s="459"/>
      <c r="W183" s="447"/>
      <c r="X183" s="458"/>
      <c r="Y183" s="458"/>
      <c r="Z183" s="458"/>
      <c r="AA183" s="459"/>
      <c r="AB183" s="447"/>
      <c r="AC183" s="458"/>
      <c r="AD183" s="458"/>
      <c r="AE183" s="458"/>
      <c r="AF183" s="459"/>
      <c r="AG183" s="447"/>
      <c r="AH183" s="458"/>
      <c r="AI183" s="458"/>
      <c r="AJ183" s="458"/>
      <c r="AK183" s="459"/>
      <c r="AL183" s="447"/>
      <c r="AM183" s="458"/>
      <c r="AN183" s="458"/>
      <c r="AO183" s="458"/>
      <c r="AP183" s="459"/>
      <c r="AQ183" s="447"/>
      <c r="AR183" s="458"/>
      <c r="AS183" s="458"/>
      <c r="AT183" s="458"/>
      <c r="AU183" s="459"/>
      <c r="AV183" s="447"/>
      <c r="AW183" s="458"/>
      <c r="AX183" s="458"/>
      <c r="AY183" s="458"/>
      <c r="AZ183" s="459"/>
      <c r="BA183" s="447"/>
      <c r="BB183" s="458"/>
      <c r="BC183" s="458"/>
      <c r="BD183" s="458"/>
      <c r="BE183" s="459"/>
      <c r="BF183" s="447"/>
      <c r="BG183" s="458"/>
      <c r="BH183" s="458"/>
      <c r="BI183" s="458"/>
      <c r="BJ183" s="459"/>
      <c r="BK183" s="447"/>
      <c r="BL183" s="458"/>
      <c r="BM183" s="458"/>
      <c r="BN183" s="458"/>
      <c r="BO183" s="459"/>
      <c r="BP183" s="447"/>
      <c r="BQ183" s="458"/>
      <c r="BR183" s="458"/>
      <c r="BS183" s="458"/>
      <c r="BT183" s="459"/>
      <c r="BU183" s="447"/>
      <c r="BV183" s="458"/>
      <c r="BW183" s="458"/>
      <c r="BX183" s="458"/>
      <c r="BY183" s="459"/>
      <c r="BZ183" s="447"/>
      <c r="CA183" s="458"/>
      <c r="CB183" s="458"/>
      <c r="CC183" s="458"/>
      <c r="CD183" s="459"/>
      <c r="CE183" s="447"/>
      <c r="CF183" s="458"/>
      <c r="CG183" s="458"/>
      <c r="CH183" s="458"/>
      <c r="CI183" s="459"/>
      <c r="CJ183" s="447"/>
      <c r="CK183" s="458"/>
      <c r="CL183" s="458"/>
      <c r="CM183" s="458"/>
      <c r="CN183" s="459"/>
      <c r="CO183" s="447"/>
      <c r="CP183" s="458"/>
      <c r="CQ183" s="458"/>
      <c r="CR183" s="458"/>
      <c r="CS183" s="459"/>
      <c r="CT183" s="447"/>
      <c r="CU183" s="458"/>
      <c r="CV183" s="458"/>
      <c r="CW183" s="458"/>
      <c r="CX183" s="459"/>
      <c r="CY183" s="447"/>
      <c r="CZ183" s="458"/>
      <c r="DA183" s="458"/>
      <c r="DB183" s="458"/>
      <c r="DC183" s="459"/>
      <c r="DD183" s="447">
        <f>DD178-DB178</f>
      </c>
      <c r="DE183" s="458">
        <f>DE178-DD178</f>
      </c>
      <c r="DF183" s="458">
        <f>DF178-DE178</f>
      </c>
      <c r="DG183" s="458">
        <f>DG178-DF178</f>
      </c>
      <c r="DH183" s="459"/>
      <c r="DI183" s="851">
        <f>DI178-DG178</f>
      </c>
      <c r="DJ183" s="513">
        <f>DJ178-DI178</f>
      </c>
      <c r="DK183" s="513">
        <f>DK178-DJ178</f>
      </c>
      <c r="DL183" s="513">
        <f>DL178-DK178</f>
      </c>
      <c r="DM183" s="514"/>
      <c r="DN183" s="447">
        <f>DN178-DL178</f>
      </c>
      <c r="DO183" s="458">
        <f>DO178-DN178</f>
      </c>
      <c r="DP183" s="458">
        <f>DP178-DO178</f>
      </c>
      <c r="DQ183" s="458">
        <f>DQ178-DP178</f>
      </c>
      <c r="DR183" s="462"/>
      <c r="DS183" s="447">
        <f>DS178-DQ178</f>
      </c>
      <c r="DT183" s="458">
        <f>DT178-DS178</f>
      </c>
      <c r="DU183" s="458">
        <f>DU178-DT178</f>
      </c>
      <c r="DV183" s="458">
        <f>DV178-DU178</f>
      </c>
      <c r="DW183" s="462"/>
      <c r="DX183" s="447">
        <f>DX178-DV178</f>
      </c>
      <c r="DY183" s="458">
        <f>DY178-DX178</f>
      </c>
      <c r="DZ183" s="458">
        <f>DZ178-DY178</f>
      </c>
      <c r="EA183" s="458">
        <f>EA178-DZ178</f>
      </c>
      <c r="EB183" s="462"/>
      <c r="EC183" s="447">
        <f>EC178-EA178</f>
      </c>
      <c r="ED183" s="458">
        <f>ED178-EC178</f>
      </c>
      <c r="EE183" s="458">
        <f>EE178-ED178</f>
      </c>
      <c r="EF183" s="458">
        <f>EF178-EE178</f>
      </c>
      <c r="EG183" s="462"/>
      <c r="EH183" s="447">
        <f>EH178-EF178</f>
      </c>
      <c r="EI183" s="458">
        <f>EI178-EH178</f>
      </c>
      <c r="EJ183" s="458">
        <f>EJ178-EI178</f>
      </c>
      <c r="EK183" s="458">
        <f>EK178-EJ178</f>
      </c>
      <c r="EL183" s="462"/>
      <c r="EM183" s="447">
        <f>EM178-EK178</f>
      </c>
      <c r="EN183" s="458">
        <f>EN178-EM178</f>
      </c>
      <c r="EO183" s="458">
        <f>EO178-EN178</f>
      </c>
      <c r="EP183" s="458">
        <f>EP178-EO178</f>
      </c>
      <c r="EQ183" s="462"/>
      <c r="ER183" s="447">
        <f>ER178-EP178</f>
      </c>
      <c r="ES183" s="458">
        <f>ES178-ER178</f>
      </c>
      <c r="ET183" s="458">
        <f>ET178-ES178</f>
      </c>
      <c r="EU183" s="458">
        <f>EU178-ET178</f>
      </c>
      <c r="EV183" s="462"/>
      <c r="EW183" s="447"/>
      <c r="EX183" s="458"/>
      <c r="EY183" s="458"/>
      <c r="EZ183" s="458"/>
      <c r="FA183" s="462"/>
      <c r="FB183" s="447"/>
      <c r="FC183" s="458"/>
      <c r="FD183" s="458"/>
      <c r="FE183" s="458"/>
      <c r="FF183" s="462"/>
      <c r="FG183" s="447"/>
      <c r="FH183" s="458"/>
      <c r="FI183" s="458"/>
      <c r="FJ183" s="458"/>
      <c r="FK183" s="462"/>
      <c r="FL183" s="447"/>
      <c r="FM183" s="458"/>
      <c r="FN183" s="458"/>
      <c r="FO183" s="458"/>
      <c r="FP183" s="462"/>
      <c r="FQ183" s="447"/>
      <c r="FR183" s="458"/>
      <c r="FS183" s="458"/>
      <c r="FT183" s="458"/>
      <c r="FU183" s="462"/>
      <c r="FV183" s="447"/>
      <c r="FW183" s="458"/>
      <c r="FX183" s="458"/>
      <c r="FY183" s="458"/>
      <c r="FZ183" s="459"/>
      <c r="GA183" s="447"/>
      <c r="GB183" s="458"/>
      <c r="GC183" s="458"/>
      <c r="GD183" s="458"/>
      <c r="GE183" s="459"/>
      <c r="GF183" s="447"/>
      <c r="GG183" s="458"/>
      <c r="GH183" s="458"/>
      <c r="GI183" s="458"/>
      <c r="GJ183" s="460"/>
    </row>
    <row r="184" spans="1:192" ht="12.75" hidden="1" customHeight="1" outlineLevel="1">
      <c r="B184" s="735" t="s">
        <v>262</v>
      </c>
      <c r="C184" s="291"/>
      <c r="D184" s="107"/>
      <c r="E184" s="107"/>
      <c r="F184" s="107"/>
      <c r="G184" s="293"/>
      <c r="H184" s="291"/>
      <c r="I184" s="107"/>
      <c r="J184" s="107"/>
      <c r="K184" s="107"/>
      <c r="L184" s="293"/>
      <c r="M184" s="291"/>
      <c r="N184" s="107"/>
      <c r="O184" s="107"/>
      <c r="P184" s="107"/>
      <c r="Q184" s="293"/>
      <c r="R184" s="291"/>
      <c r="S184" s="107"/>
      <c r="T184" s="107"/>
      <c r="U184" s="107"/>
      <c r="V184" s="293"/>
      <c r="W184" s="291"/>
      <c r="X184" s="107"/>
      <c r="Y184" s="107"/>
      <c r="Z184" s="107"/>
      <c r="AA184" s="293"/>
      <c r="AB184" s="291"/>
      <c r="AC184" s="107"/>
      <c r="AD184" s="107"/>
      <c r="AE184" s="107"/>
      <c r="AF184" s="293"/>
      <c r="AG184" s="291"/>
      <c r="AH184" s="107"/>
      <c r="AI184" s="107"/>
      <c r="AJ184" s="107"/>
      <c r="AK184" s="293"/>
      <c r="AL184" s="291"/>
      <c r="AM184" s="107"/>
      <c r="AN184" s="107"/>
      <c r="AO184" s="107"/>
      <c r="AP184" s="293"/>
      <c r="AQ184" s="291"/>
      <c r="AR184" s="107"/>
      <c r="AS184" s="107"/>
      <c r="AT184" s="107"/>
      <c r="AU184" s="293"/>
      <c r="AV184" s="291"/>
      <c r="AW184" s="107"/>
      <c r="AX184" s="107"/>
      <c r="AY184" s="107"/>
      <c r="AZ184" s="293"/>
      <c r="BA184" s="291"/>
      <c r="BB184" s="107"/>
      <c r="BC184" s="107"/>
      <c r="BD184" s="107"/>
      <c r="BE184" s="293"/>
      <c r="BF184" s="291"/>
      <c r="BG184" s="107"/>
      <c r="BH184" s="107"/>
      <c r="BI184" s="107"/>
      <c r="BJ184" s="293"/>
      <c r="BK184" s="291"/>
      <c r="BL184" s="107"/>
      <c r="BM184" s="107"/>
      <c r="BN184" s="107"/>
      <c r="BO184" s="293"/>
      <c r="BP184" s="291"/>
      <c r="BQ184" s="107"/>
      <c r="BR184" s="107"/>
      <c r="BS184" s="107"/>
      <c r="BT184" s="293"/>
      <c r="BU184" s="291"/>
      <c r="BV184" s="107"/>
      <c r="BW184" s="107"/>
      <c r="BX184" s="107"/>
      <c r="BY184" s="293"/>
      <c r="BZ184" s="291"/>
      <c r="CA184" s="107"/>
      <c r="CB184" s="107"/>
      <c r="CC184" s="107"/>
      <c r="CD184" s="293"/>
      <c r="CE184" s="291"/>
      <c r="CF184" s="107"/>
      <c r="CG184" s="107"/>
      <c r="CH184" s="107"/>
      <c r="CI184" s="293"/>
      <c r="CJ184" s="291"/>
      <c r="CK184" s="107"/>
      <c r="CL184" s="107"/>
      <c r="CM184" s="107"/>
      <c r="CN184" s="293"/>
      <c r="CO184" s="291"/>
      <c r="CP184" s="107"/>
      <c r="CQ184" s="107"/>
      <c r="CR184" s="107"/>
      <c r="CS184" s="293"/>
      <c r="CT184" s="291"/>
      <c r="CU184" s="107"/>
      <c r="CV184" s="107"/>
      <c r="CW184" s="107"/>
      <c r="CX184" s="293"/>
      <c r="CY184" s="291"/>
      <c r="CZ184" s="107"/>
      <c r="DA184" s="107"/>
      <c r="DB184" s="107"/>
      <c r="DC184" s="293"/>
      <c r="DD184" s="291">
        <f t="shared" ref="DD184:EV184" si="158">DD178/DD144</f>
      </c>
      <c r="DE184" s="107">
        <f t="shared" si="158"/>
      </c>
      <c r="DF184" s="107">
        <f t="shared" si="158"/>
      </c>
      <c r="DG184" s="107">
        <f t="shared" si="158"/>
      </c>
      <c r="DH184" s="293">
        <f t="shared" si="158"/>
      </c>
      <c r="DI184" s="291">
        <f t="shared" si="158"/>
      </c>
      <c r="DJ184" s="291">
        <f t="shared" si="158"/>
      </c>
      <c r="DK184" s="291">
        <f t="shared" si="158"/>
      </c>
      <c r="DL184" s="291">
        <f t="shared" si="158"/>
      </c>
      <c r="DM184" s="293">
        <f t="shared" si="158"/>
      </c>
      <c r="DN184" s="291">
        <f t="shared" si="158"/>
      </c>
      <c r="DO184" s="291">
        <f t="shared" si="158"/>
      </c>
      <c r="DP184" s="291">
        <f t="shared" si="158"/>
      </c>
      <c r="DQ184" s="291">
        <f t="shared" si="158"/>
      </c>
      <c r="DR184" s="293">
        <f t="shared" si="158"/>
      </c>
      <c r="DS184" s="291">
        <f t="shared" si="158"/>
      </c>
      <c r="DT184" s="291">
        <f t="shared" si="158"/>
      </c>
      <c r="DU184" s="291">
        <f t="shared" si="158"/>
      </c>
      <c r="DV184" s="291">
        <f t="shared" si="158"/>
      </c>
      <c r="DW184" s="293">
        <f t="shared" si="158"/>
      </c>
      <c r="DX184" s="291">
        <f t="shared" si="158"/>
      </c>
      <c r="DY184" s="291">
        <f t="shared" si="158"/>
      </c>
      <c r="DZ184" s="291">
        <f t="shared" si="158"/>
      </c>
      <c r="EA184" s="291">
        <f t="shared" si="158"/>
      </c>
      <c r="EB184" s="293">
        <f t="shared" si="158"/>
      </c>
      <c r="EC184" s="291">
        <f t="shared" si="158"/>
      </c>
      <c r="ED184" s="291">
        <f t="shared" si="158"/>
      </c>
      <c r="EE184" s="291">
        <f t="shared" si="158"/>
      </c>
      <c r="EF184" s="291">
        <f t="shared" si="158"/>
      </c>
      <c r="EG184" s="293">
        <f t="shared" si="158"/>
      </c>
      <c r="EH184" s="291">
        <f t="shared" si="158"/>
      </c>
      <c r="EI184" s="291">
        <f t="shared" si="158"/>
      </c>
      <c r="EJ184" s="291">
        <f t="shared" si="158"/>
      </c>
      <c r="EK184" s="291">
        <f t="shared" si="158"/>
      </c>
      <c r="EL184" s="293">
        <f t="shared" si="158"/>
      </c>
      <c r="EM184" s="291">
        <f t="shared" si="158"/>
      </c>
      <c r="EN184" s="291">
        <f t="shared" si="158"/>
      </c>
      <c r="EO184" s="291">
        <f t="shared" si="158"/>
      </c>
      <c r="EP184" s="291">
        <f t="shared" si="158"/>
      </c>
      <c r="EQ184" s="293">
        <f t="shared" si="158"/>
      </c>
      <c r="ER184" s="291">
        <f t="shared" si="158"/>
      </c>
      <c r="ES184" s="291">
        <f t="shared" si="158"/>
      </c>
      <c r="ET184" s="291">
        <f t="shared" si="158"/>
      </c>
      <c r="EU184" s="291">
        <f t="shared" si="158"/>
      </c>
      <c r="EV184" s="293">
        <f t="shared" si="158"/>
      </c>
      <c r="EW184" s="291"/>
      <c r="EX184" s="291"/>
      <c r="EY184" s="291"/>
      <c r="EZ184" s="291"/>
      <c r="FA184" s="293"/>
      <c r="FB184" s="291"/>
      <c r="FC184" s="291"/>
      <c r="FD184" s="291"/>
      <c r="FE184" s="291"/>
      <c r="FF184" s="293"/>
      <c r="FG184" s="291"/>
      <c r="FH184" s="291"/>
      <c r="FI184" s="291"/>
      <c r="FJ184" s="291"/>
      <c r="FK184" s="293"/>
      <c r="FL184" s="291"/>
      <c r="FM184" s="291"/>
      <c r="FN184" s="291"/>
      <c r="FO184" s="291"/>
      <c r="FP184" s="293"/>
      <c r="FQ184" s="291"/>
      <c r="FR184" s="291"/>
      <c r="FS184" s="291"/>
      <c r="FT184" s="291"/>
      <c r="FU184" s="293"/>
      <c r="FV184" s="291"/>
      <c r="FW184" s="107"/>
      <c r="FX184" s="107"/>
      <c r="FY184" s="107"/>
      <c r="FZ184" s="293"/>
      <c r="GA184" s="291"/>
      <c r="GB184" s="107"/>
      <c r="GC184" s="107"/>
      <c r="GD184" s="107"/>
      <c r="GE184" s="293"/>
      <c r="GF184" s="291"/>
      <c r="GG184" s="107"/>
      <c r="GH184" s="107"/>
      <c r="GI184" s="107"/>
      <c r="GJ184" s="382"/>
    </row>
    <row r="185" spans="1:192" ht="12.75" customHeight="1" collapsed="1">
      <c r="B185" s="735"/>
      <c r="C185" s="291"/>
      <c r="D185" s="107"/>
      <c r="E185" s="107"/>
      <c r="F185" s="107"/>
      <c r="G185" s="293"/>
      <c r="H185" s="291"/>
      <c r="I185" s="107"/>
      <c r="J185" s="107"/>
      <c r="K185" s="107"/>
      <c r="L185" s="293"/>
      <c r="M185" s="291"/>
      <c r="N185" s="107"/>
      <c r="O185" s="107"/>
      <c r="P185" s="107"/>
      <c r="Q185" s="293"/>
      <c r="R185" s="291"/>
      <c r="S185" s="107"/>
      <c r="T185" s="107"/>
      <c r="U185" s="107"/>
      <c r="V185" s="293"/>
      <c r="W185" s="291"/>
      <c r="X185" s="107"/>
      <c r="Y185" s="107"/>
      <c r="Z185" s="107"/>
      <c r="AA185" s="293"/>
      <c r="AB185" s="291"/>
      <c r="AC185" s="107"/>
      <c r="AD185" s="107"/>
      <c r="AE185" s="107"/>
      <c r="AF185" s="293"/>
      <c r="AG185" s="291"/>
      <c r="AH185" s="107"/>
      <c r="AI185" s="107"/>
      <c r="AJ185" s="107"/>
      <c r="AK185" s="293"/>
      <c r="AL185" s="291"/>
      <c r="AM185" s="107"/>
      <c r="AN185" s="107"/>
      <c r="AO185" s="107"/>
      <c r="AP185" s="293"/>
      <c r="AQ185" s="291"/>
      <c r="AR185" s="107"/>
      <c r="AS185" s="107"/>
      <c r="AT185" s="107"/>
      <c r="AU185" s="293"/>
      <c r="AV185" s="291"/>
      <c r="AW185" s="107"/>
      <c r="AX185" s="107"/>
      <c r="AY185" s="107"/>
      <c r="AZ185" s="293"/>
      <c r="BA185" s="291"/>
      <c r="BB185" s="107"/>
      <c r="BC185" s="107"/>
      <c r="BD185" s="107"/>
      <c r="BE185" s="293"/>
      <c r="BF185" s="291"/>
      <c r="BG185" s="107"/>
      <c r="BH185" s="107"/>
      <c r="BI185" s="107"/>
      <c r="BJ185" s="293"/>
      <c r="BK185" s="291"/>
      <c r="BL185" s="107"/>
      <c r="BM185" s="107"/>
      <c r="BN185" s="107"/>
      <c r="BO185" s="293"/>
      <c r="BP185" s="291"/>
      <c r="BQ185" s="107"/>
      <c r="BR185" s="107"/>
      <c r="BS185" s="107"/>
      <c r="BT185" s="293"/>
      <c r="BU185" s="291"/>
      <c r="BV185" s="107"/>
      <c r="BW185" s="107"/>
      <c r="BX185" s="107"/>
      <c r="BY185" s="293"/>
      <c r="BZ185" s="291"/>
      <c r="CA185" s="107"/>
      <c r="CB185" s="107"/>
      <c r="CC185" s="107"/>
      <c r="CD185" s="293"/>
      <c r="CE185" s="291"/>
      <c r="CF185" s="107"/>
      <c r="CG185" s="107"/>
      <c r="CH185" s="107"/>
      <c r="CI185" s="293"/>
      <c r="CJ185" s="291"/>
      <c r="CK185" s="107"/>
      <c r="CL185" s="107"/>
      <c r="CM185" s="107"/>
      <c r="CN185" s="293"/>
      <c r="CO185" s="291"/>
      <c r="CP185" s="107"/>
      <c r="CQ185" s="107"/>
      <c r="CR185" s="107"/>
      <c r="CS185" s="293"/>
      <c r="CT185" s="291"/>
      <c r="CU185" s="107"/>
      <c r="CV185" s="107"/>
      <c r="CW185" s="107"/>
      <c r="CX185" s="293"/>
      <c r="CY185" s="291"/>
      <c r="CZ185" s="107"/>
      <c r="DA185" s="107"/>
      <c r="DB185" s="107"/>
      <c r="DC185" s="293"/>
      <c r="DD185" s="291"/>
      <c r="DE185" s="107"/>
      <c r="DF185" s="107"/>
      <c r="DG185" s="107"/>
      <c r="DH185" s="293"/>
      <c r="DI185" s="291"/>
      <c r="DJ185" s="291"/>
      <c r="DK185" s="291"/>
      <c r="DL185" s="291"/>
      <c r="DM185" s="293"/>
      <c r="DN185" s="291"/>
      <c r="DO185" s="291"/>
      <c r="DP185" s="291"/>
      <c r="DQ185" s="291"/>
      <c r="DR185" s="293"/>
      <c r="DS185" s="291"/>
      <c r="DT185" s="291"/>
      <c r="DU185" s="291"/>
      <c r="DV185" s="291"/>
      <c r="DW185" s="293"/>
      <c r="DX185" s="291"/>
      <c r="DY185" s="291"/>
      <c r="DZ185" s="291"/>
      <c r="EA185" s="291"/>
      <c r="EB185" s="293"/>
      <c r="EC185" s="291"/>
      <c r="ED185" s="291"/>
      <c r="EE185" s="291"/>
      <c r="EF185" s="291"/>
      <c r="EG185" s="293"/>
      <c r="EH185" s="291"/>
      <c r="EI185" s="291"/>
      <c r="EJ185" s="291"/>
      <c r="EK185" s="291"/>
      <c r="EL185" s="293"/>
      <c r="EM185" s="291"/>
      <c r="EN185" s="291"/>
      <c r="EO185" s="291"/>
      <c r="EP185" s="291"/>
      <c r="EQ185" s="293"/>
      <c r="ER185" s="291"/>
      <c r="ES185" s="291"/>
      <c r="ET185" s="291"/>
      <c r="EU185" s="291"/>
      <c r="EV185" s="293"/>
      <c r="EW185" s="291"/>
      <c r="EX185" s="291"/>
      <c r="EY185" s="291"/>
      <c r="EZ185" s="291"/>
      <c r="FA185" s="293"/>
      <c r="FB185" s="291"/>
      <c r="FC185" s="291"/>
      <c r="FD185" s="291"/>
      <c r="FE185" s="291"/>
      <c r="FF185" s="293"/>
      <c r="FG185" s="291"/>
      <c r="FH185" s="291"/>
      <c r="FI185" s="291"/>
      <c r="FJ185" s="291"/>
      <c r="FK185" s="293"/>
      <c r="FL185" s="291"/>
      <c r="FM185" s="291"/>
      <c r="FN185" s="291"/>
      <c r="FO185" s="291"/>
      <c r="FP185" s="293"/>
      <c r="FQ185" s="291"/>
      <c r="FR185" s="291"/>
      <c r="FS185" s="291"/>
      <c r="FT185" s="291"/>
      <c r="FU185" s="293"/>
      <c r="FV185" s="291"/>
      <c r="FW185" s="107"/>
      <c r="FX185" s="107"/>
      <c r="FY185" s="107"/>
      <c r="FZ185" s="293"/>
      <c r="GA185" s="291"/>
      <c r="GB185" s="107"/>
      <c r="GC185" s="107"/>
      <c r="GD185" s="107"/>
      <c r="GE185" s="293"/>
      <c r="GF185" s="291"/>
      <c r="GG185" s="107"/>
      <c r="GH185" s="107"/>
      <c r="GI185" s="107"/>
      <c r="GJ185" s="382"/>
    </row>
    <row r="186" spans="1:192" s="317" customFormat="1" ht="12.75" customHeight="1">
      <c r="A186" s="280"/>
      <c r="B186" s="739" t="s">
        <v>1968</v>
      </c>
      <c r="C186" s="312"/>
      <c r="D186" s="312"/>
      <c r="E186" s="312"/>
      <c r="F186" s="312"/>
      <c r="G186" s="313"/>
      <c r="H186" s="312"/>
      <c r="I186" s="312"/>
      <c r="J186" s="312"/>
      <c r="K186" s="312"/>
      <c r="L186" s="313"/>
      <c r="M186" s="312"/>
      <c r="N186" s="312"/>
      <c r="O186" s="312"/>
      <c r="P186" s="312"/>
      <c r="Q186" s="313"/>
      <c r="R186" s="312"/>
      <c r="S186" s="312"/>
      <c r="T186" s="312"/>
      <c r="U186" s="312"/>
      <c r="V186" s="313"/>
      <c r="W186" s="312"/>
      <c r="X186" s="312"/>
      <c r="Y186" s="312"/>
      <c r="Z186" s="312"/>
      <c r="AA186" s="313"/>
      <c r="AB186" s="312"/>
      <c r="AC186" s="312"/>
      <c r="AD186" s="312"/>
      <c r="AE186" s="312"/>
      <c r="AF186" s="313"/>
      <c r="AG186" s="312"/>
      <c r="AH186" s="312"/>
      <c r="AI186" s="312"/>
      <c r="AJ186" s="312"/>
      <c r="AK186" s="313"/>
      <c r="AL186" s="312"/>
      <c r="AM186" s="312"/>
      <c r="AN186" s="312"/>
      <c r="AO186" s="312"/>
      <c r="AP186" s="313"/>
      <c r="AQ186" s="312"/>
      <c r="AR186" s="312"/>
      <c r="AS186" s="312"/>
      <c r="AT186" s="312"/>
      <c r="AU186" s="313"/>
      <c r="AV186" s="312"/>
      <c r="AW186" s="312"/>
      <c r="AX186" s="312"/>
      <c r="AY186" s="312"/>
      <c r="AZ186" s="313"/>
      <c r="BA186" s="312"/>
      <c r="BB186" s="312"/>
      <c r="BC186" s="312"/>
      <c r="BD186" s="312"/>
      <c r="BE186" s="313"/>
      <c r="BF186" s="312"/>
      <c r="BG186" s="312"/>
      <c r="BH186" s="312"/>
      <c r="BI186" s="312"/>
      <c r="BJ186" s="313"/>
      <c r="BK186" s="312"/>
      <c r="BL186" s="312"/>
      <c r="BM186" s="312"/>
      <c r="BN186" s="312"/>
      <c r="BO186" s="313"/>
      <c r="BP186" s="312"/>
      <c r="BQ186" s="312"/>
      <c r="BR186" s="312"/>
      <c r="BS186" s="312"/>
      <c r="BT186" s="313"/>
      <c r="BU186" s="312"/>
      <c r="BV186" s="312"/>
      <c r="BW186" s="312"/>
      <c r="BX186" s="312"/>
      <c r="BY186" s="313"/>
      <c r="BZ186" s="312"/>
      <c r="CA186" s="312"/>
      <c r="CB186" s="312"/>
      <c r="CC186" s="312"/>
      <c r="CD186" s="319"/>
      <c r="CE186" s="312"/>
      <c r="CF186" s="312"/>
      <c r="CG186" s="312"/>
      <c r="CH186" s="312"/>
      <c r="CI186" s="319"/>
      <c r="CJ186" s="312"/>
      <c r="CK186" s="312"/>
      <c r="CL186" s="312"/>
      <c r="CM186" s="312"/>
      <c r="CN186" s="319"/>
      <c r="CO186" s="312"/>
      <c r="CP186" s="312"/>
      <c r="CQ186" s="312"/>
      <c r="CR186" s="312"/>
      <c r="CS186" s="456"/>
      <c r="CT186" s="312"/>
      <c r="CU186" s="312"/>
      <c r="CV186" s="312"/>
      <c r="CW186" s="312"/>
      <c r="CX186" s="456"/>
      <c r="CY186" s="312"/>
      <c r="CZ186" s="312"/>
      <c r="DA186" s="312"/>
      <c r="DB186" s="312"/>
      <c r="DC186" s="456"/>
      <c r="DD186" s="312"/>
      <c r="DE186" s="312"/>
      <c r="DF186" s="312"/>
      <c r="DG186" s="312"/>
      <c r="DH186" s="456"/>
      <c r="DI186" s="312"/>
      <c r="DJ186" s="312"/>
      <c r="DK186" s="312"/>
      <c r="DL186" s="312"/>
      <c r="DM186" s="456"/>
      <c r="DN186" s="312"/>
      <c r="DO186" s="312"/>
      <c r="DP186" s="312"/>
      <c r="DQ186" s="312"/>
      <c r="DR186" s="456"/>
      <c r="DS186" s="312"/>
      <c r="DT186" s="312"/>
      <c r="DU186" s="312"/>
      <c r="DV186" s="312"/>
      <c r="DW186" s="456"/>
      <c r="DX186" s="312"/>
      <c r="DY186" s="312"/>
      <c r="DZ186" s="312"/>
      <c r="EA186" s="312"/>
      <c r="EB186" s="456"/>
      <c r="EC186" s="312"/>
      <c r="ED186" s="312"/>
      <c r="EE186" s="312"/>
      <c r="EF186" s="312"/>
      <c r="EG186" s="456"/>
      <c r="EH186" s="312"/>
      <c r="EI186" s="312"/>
      <c r="EJ186" s="312"/>
      <c r="EK186" s="312"/>
      <c r="EL186" s="456"/>
      <c r="EM186" s="316">
        <v>15502</v>
      </c>
      <c r="EN186" s="316">
        <v>15774</v>
      </c>
      <c r="EO186" s="316">
        <v>17195</v>
      </c>
      <c r="EP186" s="316">
        <v>18478</v>
      </c>
      <c r="EQ186" s="456">
        <f>SUM(EM186:EP186)</f>
      </c>
      <c r="ER186" s="316">
        <v>18044</v>
      </c>
      <c r="ES186" s="316">
        <v>18321</v>
      </c>
      <c r="ET186" s="316">
        <v>19712</v>
      </c>
      <c r="EU186" s="316">
        <v>20892</v>
      </c>
      <c r="EV186" s="456">
        <f>SUM(ER186:EU186)</f>
      </c>
      <c r="EW186" s="316">
        <v>20449</v>
      </c>
      <c r="EX186" s="1158">
        <v>21117</v>
      </c>
      <c r="EY186" s="1158">
        <v>21883</v>
      </c>
      <c r="EZ186" s="1159">
        <f>FA186-EY186-EX186-EW186</f>
      </c>
      <c r="FA186" s="457">
        <v>87767</v>
      </c>
      <c r="FB186" s="312">
        <f>FB195+FB241</f>
      </c>
      <c r="FC186" s="312">
        <f>FC195+FC241</f>
      </c>
      <c r="FD186" s="312">
        <f>FD195+FD241</f>
      </c>
      <c r="FE186" s="312">
        <f>FE195+FE241</f>
      </c>
      <c r="FF186" s="456">
        <f>SUM(FB186:FE186)</f>
      </c>
      <c r="FG186" s="312">
        <f>FG195+FG241</f>
      </c>
      <c r="FH186" s="312">
        <f>FH195+FH241</f>
      </c>
      <c r="FI186" s="312">
        <f>FI195+FI241</f>
      </c>
      <c r="FJ186" s="312">
        <f>FJ195+FJ241</f>
      </c>
      <c r="FK186" s="456">
        <f>SUM(FG186:FJ186)</f>
      </c>
      <c r="FL186" s="312">
        <f>FL195+FL241</f>
      </c>
      <c r="FM186" s="312">
        <f>FM195+FM241</f>
      </c>
      <c r="FN186" s="312">
        <f>FN195+FN241</f>
      </c>
      <c r="FO186" s="312">
        <f>FO195+FO241</f>
      </c>
      <c r="FP186" s="456">
        <f>SUM(FL186:FO186)</f>
      </c>
      <c r="FQ186" s="312">
        <f>FQ195+FQ241</f>
      </c>
      <c r="FR186" s="312">
        <f>FR195+FR241</f>
      </c>
      <c r="FS186" s="312">
        <f>FS195+FS241</f>
      </c>
      <c r="FT186" s="312">
        <f>FT195+FT241</f>
      </c>
      <c r="FU186" s="456">
        <f>SUM(FQ186:FT186)</f>
      </c>
      <c r="FV186" s="312">
        <f>FV195+FV241</f>
      </c>
      <c r="FW186" s="312">
        <f>FW195+FW241</f>
      </c>
      <c r="FX186" s="312">
        <f>FX195+FX241</f>
      </c>
      <c r="FY186" s="312">
        <f>FY195+FY241</f>
      </c>
      <c r="FZ186" s="456">
        <f>SUM(FV186:FY186)</f>
      </c>
      <c r="GA186" s="312">
        <f>GA195+GA241</f>
      </c>
      <c r="GB186" s="312">
        <f>GB195+GB241</f>
      </c>
      <c r="GC186" s="312">
        <f>GC195+GC241</f>
      </c>
      <c r="GD186" s="312">
        <f>GD195+GD241</f>
      </c>
      <c r="GE186" s="456">
        <f>SUM(GA186:GD186)</f>
      </c>
      <c r="GF186" s="312">
        <f>GF195+GF241</f>
      </c>
      <c r="GG186" s="312">
        <f>GG195+GG241</f>
      </c>
      <c r="GH186" s="312">
        <f>GH195+GH241</f>
      </c>
      <c r="GI186" s="312">
        <f>GI195+GI241</f>
      </c>
      <c r="GJ186" s="385">
        <f>SUM(GF186:GI186)</f>
      </c>
    </row>
    <row r="187" spans="1:192" s="479" customFormat="1" ht="12.75" customHeight="1">
      <c r="A187" s="81"/>
      <c r="B187" s="1744" t="s">
        <v>34</v>
      </c>
      <c r="C187" s="412"/>
      <c r="D187" s="114"/>
      <c r="E187" s="114"/>
      <c r="F187" s="114"/>
      <c r="G187" s="413"/>
      <c r="H187" s="412"/>
      <c r="I187" s="114"/>
      <c r="J187" s="114"/>
      <c r="K187" s="114"/>
      <c r="L187" s="413"/>
      <c r="M187" s="412"/>
      <c r="N187" s="114"/>
      <c r="O187" s="114"/>
      <c r="P187" s="114"/>
      <c r="Q187" s="413"/>
      <c r="R187" s="412"/>
      <c r="S187" s="114"/>
      <c r="T187" s="114"/>
      <c r="U187" s="114"/>
      <c r="V187" s="413"/>
      <c r="W187" s="412"/>
      <c r="X187" s="114"/>
      <c r="Y187" s="114"/>
      <c r="Z187" s="114"/>
      <c r="AA187" s="413"/>
      <c r="AB187" s="412"/>
      <c r="AC187" s="114"/>
      <c r="AD187" s="114"/>
      <c r="AE187" s="114"/>
      <c r="AF187" s="413"/>
      <c r="AG187" s="412"/>
      <c r="AH187" s="114"/>
      <c r="AI187" s="114"/>
      <c r="AJ187" s="114"/>
      <c r="AK187" s="413"/>
      <c r="AL187" s="412"/>
      <c r="AM187" s="114"/>
      <c r="AN187" s="114"/>
      <c r="AO187" s="114"/>
      <c r="AP187" s="413"/>
      <c r="AQ187" s="412"/>
      <c r="AR187" s="114"/>
      <c r="AS187" s="114"/>
      <c r="AT187" s="114"/>
      <c r="AU187" s="413"/>
      <c r="AV187" s="412"/>
      <c r="AW187" s="114"/>
      <c r="AX187" s="114"/>
      <c r="AY187" s="114"/>
      <c r="AZ187" s="413"/>
      <c r="BA187" s="412"/>
      <c r="BB187" s="114"/>
      <c r="BC187" s="114"/>
      <c r="BD187" s="114"/>
      <c r="BE187" s="413"/>
      <c r="BF187" s="412"/>
      <c r="BG187" s="114"/>
      <c r="BH187" s="114"/>
      <c r="BI187" s="114"/>
      <c r="BJ187" s="413"/>
      <c r="BK187" s="412"/>
      <c r="BL187" s="114"/>
      <c r="BM187" s="114"/>
      <c r="BN187" s="114"/>
      <c r="BO187" s="413"/>
      <c r="BP187" s="412"/>
      <c r="BQ187" s="114"/>
      <c r="BR187" s="114"/>
      <c r="BS187" s="114"/>
      <c r="BT187" s="413"/>
      <c r="BU187" s="412"/>
      <c r="BV187" s="114"/>
      <c r="BW187" s="114"/>
      <c r="BX187" s="114"/>
      <c r="BY187" s="413"/>
      <c r="BZ187" s="412"/>
      <c r="CA187" s="114"/>
      <c r="CB187" s="114"/>
      <c r="CC187" s="114"/>
      <c r="CD187" s="292"/>
      <c r="CE187" s="412"/>
      <c r="CF187" s="114"/>
      <c r="CG187" s="114"/>
      <c r="CH187" s="114"/>
      <c r="CI187" s="292"/>
      <c r="CJ187" s="412"/>
      <c r="CK187" s="114"/>
      <c r="CL187" s="114"/>
      <c r="CM187" s="114"/>
      <c r="CN187" s="292"/>
      <c r="CO187" s="412"/>
      <c r="CP187" s="114"/>
      <c r="CQ187" s="114"/>
      <c r="CR187" s="114"/>
      <c r="CS187" s="292"/>
      <c r="CT187" s="412"/>
      <c r="CU187" s="114"/>
      <c r="CV187" s="114"/>
      <c r="CW187" s="114"/>
      <c r="CX187" s="413"/>
      <c r="CY187" s="441"/>
      <c r="CZ187" s="1753"/>
      <c r="DA187" s="439"/>
      <c r="DB187" s="114"/>
      <c r="DC187" s="292"/>
      <c r="DD187" s="441"/>
      <c r="DE187" s="439"/>
      <c r="DF187" s="439"/>
      <c r="DG187" s="439"/>
      <c r="DH187" s="1754"/>
      <c r="DI187" s="441"/>
      <c r="DJ187" s="439"/>
      <c r="DK187" s="439"/>
      <c r="DL187" s="439"/>
      <c r="DM187" s="1754"/>
      <c r="DN187" s="441"/>
      <c r="DO187" s="439"/>
      <c r="DP187" s="439"/>
      <c r="DQ187" s="439"/>
      <c r="DR187" s="1754"/>
      <c r="DS187" s="441"/>
      <c r="DT187" s="439"/>
      <c r="DU187" s="439"/>
      <c r="DV187" s="114"/>
      <c r="DW187" s="292"/>
      <c r="DX187" s="441"/>
      <c r="DY187" s="114"/>
      <c r="DZ187" s="439"/>
      <c r="EA187" s="114"/>
      <c r="EB187" s="292"/>
      <c r="EC187" s="412"/>
      <c r="ED187" s="114"/>
      <c r="EE187" s="439"/>
      <c r="EF187" s="114"/>
      <c r="EG187" s="292"/>
      <c r="EH187" s="412"/>
      <c r="EI187" s="114"/>
      <c r="EJ187" s="439"/>
      <c r="EK187" s="114"/>
      <c r="EL187" s="413"/>
      <c r="EM187" s="412"/>
      <c r="EN187" s="114"/>
      <c r="EO187" s="114"/>
      <c r="EP187" s="114"/>
      <c r="EQ187" s="413"/>
      <c r="ER187" s="107">
        <f t="shared" ref="ER187" si="159">ER186/EM186-1</f>
      </c>
      <c r="ES187" s="107">
        <f t="shared" ref="ES187" si="160">ES186/EN186-1</f>
      </c>
      <c r="ET187" s="107">
        <f t="shared" ref="ET187" si="161">ET186/EO186-1</f>
      </c>
      <c r="EU187" s="107">
        <f t="shared" ref="EU187" si="162">EU186/EP186-1</f>
      </c>
      <c r="EV187" s="293">
        <f t="shared" ref="EV187" si="163">EV186/EQ186-1</f>
      </c>
      <c r="EW187" s="107">
        <f t="shared" ref="EW187:GE187" si="164">EW186/ER186-1</f>
      </c>
      <c r="EX187" s="107">
        <f t="shared" si="164"/>
      </c>
      <c r="EY187" s="107">
        <f t="shared" si="164"/>
      </c>
      <c r="EZ187" s="107">
        <f t="shared" si="164"/>
      </c>
      <c r="FA187" s="293">
        <f t="shared" si="164"/>
      </c>
      <c r="FB187" s="107">
        <f t="shared" si="164"/>
      </c>
      <c r="FC187" s="107">
        <f t="shared" si="164"/>
      </c>
      <c r="FD187" s="107">
        <f t="shared" si="164"/>
      </c>
      <c r="FE187" s="107">
        <f t="shared" si="164"/>
      </c>
      <c r="FF187" s="293">
        <f t="shared" si="164"/>
      </c>
      <c r="FG187" s="107">
        <f t="shared" si="164"/>
      </c>
      <c r="FH187" s="107">
        <f t="shared" si="164"/>
      </c>
      <c r="FI187" s="107">
        <f t="shared" si="164"/>
      </c>
      <c r="FJ187" s="107">
        <f t="shared" si="164"/>
      </c>
      <c r="FK187" s="293">
        <f t="shared" si="164"/>
      </c>
      <c r="FL187" s="107">
        <f t="shared" si="164"/>
      </c>
      <c r="FM187" s="107">
        <f t="shared" si="164"/>
      </c>
      <c r="FN187" s="107">
        <f t="shared" si="164"/>
      </c>
      <c r="FO187" s="107">
        <f t="shared" si="164"/>
      </c>
      <c r="FP187" s="293">
        <f t="shared" si="164"/>
      </c>
      <c r="FQ187" s="107">
        <f t="shared" si="164"/>
      </c>
      <c r="FR187" s="107">
        <f t="shared" si="164"/>
      </c>
      <c r="FS187" s="107">
        <f t="shared" si="164"/>
      </c>
      <c r="FT187" s="107">
        <f t="shared" si="164"/>
      </c>
      <c r="FU187" s="293">
        <f t="shared" si="164"/>
      </c>
      <c r="FV187" s="291">
        <f t="shared" si="164"/>
      </c>
      <c r="FW187" s="107">
        <f t="shared" si="164"/>
      </c>
      <c r="FX187" s="107">
        <f t="shared" si="164"/>
      </c>
      <c r="FY187" s="107">
        <f t="shared" si="164"/>
      </c>
      <c r="FZ187" s="292">
        <f t="shared" si="164"/>
      </c>
      <c r="GA187" s="291">
        <f t="shared" si="164"/>
      </c>
      <c r="GB187" s="107">
        <f t="shared" si="164"/>
      </c>
      <c r="GC187" s="107">
        <f t="shared" si="164"/>
      </c>
      <c r="GD187" s="107">
        <f t="shared" si="164"/>
      </c>
      <c r="GE187" s="292">
        <f t="shared" si="164"/>
      </c>
      <c r="GF187" s="291">
        <f t="shared" ref="GF187" si="165">GF186/GA186-1</f>
      </c>
      <c r="GG187" s="107">
        <f t="shared" ref="GG187" si="166">GG186/GB186-1</f>
      </c>
      <c r="GH187" s="107">
        <f t="shared" ref="GH187" si="167">GH186/GC186-1</f>
      </c>
      <c r="GI187" s="107">
        <f t="shared" ref="GI187" si="168">GI186/GD186-1</f>
      </c>
      <c r="GJ187" s="384">
        <f t="shared" ref="GJ187" si="169">GJ186/GE186-1</f>
      </c>
    </row>
    <row r="188" spans="1:192" s="476" customFormat="1" ht="12.75" customHeight="1">
      <c r="A188" s="784"/>
      <c r="B188" s="1744" t="s">
        <v>197</v>
      </c>
      <c r="C188" s="412"/>
      <c r="D188" s="114"/>
      <c r="E188" s="114"/>
      <c r="F188" s="114"/>
      <c r="G188" s="414"/>
      <c r="H188" s="412"/>
      <c r="I188" s="114"/>
      <c r="J188" s="114"/>
      <c r="K188" s="114"/>
      <c r="L188" s="414"/>
      <c r="M188" s="412"/>
      <c r="N188" s="114"/>
      <c r="O188" s="114"/>
      <c r="P188" s="114"/>
      <c r="Q188" s="414"/>
      <c r="R188" s="412"/>
      <c r="S188" s="114"/>
      <c r="T188" s="114"/>
      <c r="U188" s="114"/>
      <c r="V188" s="414"/>
      <c r="W188" s="412"/>
      <c r="X188" s="114"/>
      <c r="Y188" s="114"/>
      <c r="Z188" s="114"/>
      <c r="AA188" s="414"/>
      <c r="AB188" s="412"/>
      <c r="AC188" s="114"/>
      <c r="AD188" s="114"/>
      <c r="AE188" s="114"/>
      <c r="AF188" s="414"/>
      <c r="AG188" s="412"/>
      <c r="AH188" s="114"/>
      <c r="AI188" s="114"/>
      <c r="AJ188" s="114"/>
      <c r="AK188" s="414"/>
      <c r="AL188" s="412"/>
      <c r="AM188" s="114"/>
      <c r="AN188" s="114"/>
      <c r="AO188" s="114"/>
      <c r="AP188" s="414"/>
      <c r="AQ188" s="412"/>
      <c r="AR188" s="114"/>
      <c r="AS188" s="114"/>
      <c r="AT188" s="114"/>
      <c r="AU188" s="414"/>
      <c r="AV188" s="412"/>
      <c r="AW188" s="114"/>
      <c r="AX188" s="114"/>
      <c r="AY188" s="114"/>
      <c r="AZ188" s="414"/>
      <c r="BA188" s="412"/>
      <c r="BB188" s="114"/>
      <c r="BC188" s="114"/>
      <c r="BD188" s="114"/>
      <c r="BE188" s="414"/>
      <c r="BF188" s="412"/>
      <c r="BG188" s="114"/>
      <c r="BH188" s="114"/>
      <c r="BI188" s="114"/>
      <c r="BJ188" s="414"/>
      <c r="BK188" s="412"/>
      <c r="BL188" s="114"/>
      <c r="BM188" s="114"/>
      <c r="BN188" s="114"/>
      <c r="BO188" s="414"/>
      <c r="BP188" s="412"/>
      <c r="BQ188" s="114"/>
      <c r="BR188" s="114"/>
      <c r="BS188" s="114"/>
      <c r="BT188" s="414"/>
      <c r="BU188" s="412"/>
      <c r="BV188" s="114"/>
      <c r="BW188" s="114"/>
      <c r="BX188" s="114"/>
      <c r="BY188" s="414"/>
      <c r="BZ188" s="412"/>
      <c r="CA188" s="114"/>
      <c r="CB188" s="114"/>
      <c r="CC188" s="114"/>
      <c r="CD188" s="293"/>
      <c r="CE188" s="412"/>
      <c r="CF188" s="114"/>
      <c r="CG188" s="114"/>
      <c r="CH188" s="114"/>
      <c r="CI188" s="293"/>
      <c r="CJ188" s="412"/>
      <c r="CK188" s="114"/>
      <c r="CL188" s="114"/>
      <c r="CM188" s="114"/>
      <c r="CN188" s="293"/>
      <c r="CO188" s="412"/>
      <c r="CP188" s="114"/>
      <c r="CQ188" s="114"/>
      <c r="CR188" s="114"/>
      <c r="CS188" s="293"/>
      <c r="CT188" s="412"/>
      <c r="CU188" s="114"/>
      <c r="CV188" s="114"/>
      <c r="CW188" s="114"/>
      <c r="CX188" s="414"/>
      <c r="CY188" s="412"/>
      <c r="CZ188" s="114"/>
      <c r="DA188" s="114"/>
      <c r="DB188" s="114"/>
      <c r="DC188" s="293"/>
      <c r="DD188" s="441"/>
      <c r="DE188" s="439"/>
      <c r="DF188" s="439"/>
      <c r="DG188" s="439"/>
      <c r="DH188" s="895"/>
      <c r="DI188" s="441"/>
      <c r="DJ188" s="439"/>
      <c r="DK188" s="439"/>
      <c r="DL188" s="439"/>
      <c r="DM188" s="895"/>
      <c r="DN188" s="441"/>
      <c r="DO188" s="439"/>
      <c r="DP188" s="439"/>
      <c r="DQ188" s="439"/>
      <c r="DR188" s="895"/>
      <c r="DS188" s="412"/>
      <c r="DT188" s="114"/>
      <c r="DU188" s="114"/>
      <c r="DV188" s="114"/>
      <c r="DW188" s="293"/>
      <c r="DX188" s="412"/>
      <c r="DY188" s="114"/>
      <c r="DZ188" s="114"/>
      <c r="EA188" s="114"/>
      <c r="EB188" s="293"/>
      <c r="EC188" s="412"/>
      <c r="ED188" s="114"/>
      <c r="EE188" s="114"/>
      <c r="EF188" s="114"/>
      <c r="EG188" s="293"/>
      <c r="EH188" s="412"/>
      <c r="EI188" s="114"/>
      <c r="EJ188" s="439"/>
      <c r="EK188" s="439"/>
      <c r="EL188" s="293"/>
      <c r="EM188" s="441"/>
      <c r="EN188" s="439"/>
      <c r="EO188" s="439"/>
      <c r="EP188" s="114"/>
      <c r="EQ188" s="293"/>
      <c r="ER188" s="291"/>
      <c r="ES188" s="107"/>
      <c r="ET188" s="107"/>
      <c r="EU188" s="107"/>
      <c r="EV188" s="293"/>
      <c r="EW188" s="412">
        <v>0.14000000000000001</v>
      </c>
      <c r="EX188" s="439">
        <v>0.15</v>
      </c>
      <c r="EY188" s="439">
        <v>0.14000000000000001</v>
      </c>
      <c r="EZ188" s="439">
        <v>0.15</v>
      </c>
      <c r="FA188" s="293"/>
      <c r="FB188" s="291"/>
      <c r="FC188" s="107"/>
      <c r="FD188" s="107"/>
      <c r="FE188" s="107"/>
      <c r="FF188" s="293"/>
      <c r="FG188" s="291"/>
      <c r="FH188" s="107"/>
      <c r="FI188" s="107"/>
      <c r="FJ188" s="107"/>
      <c r="FK188" s="293"/>
      <c r="FL188" s="291"/>
      <c r="FM188" s="107"/>
      <c r="FN188" s="107"/>
      <c r="FO188" s="107"/>
      <c r="FP188" s="293"/>
      <c r="FQ188" s="291"/>
      <c r="FR188" s="107"/>
      <c r="FS188" s="107"/>
      <c r="FT188" s="107"/>
      <c r="FU188" s="293"/>
      <c r="FV188" s="291"/>
      <c r="FW188" s="107"/>
      <c r="FX188" s="107"/>
      <c r="FY188" s="107"/>
      <c r="FZ188" s="293"/>
      <c r="GA188" s="291"/>
      <c r="GB188" s="107"/>
      <c r="GC188" s="107"/>
      <c r="GD188" s="107"/>
      <c r="GE188" s="293"/>
      <c r="GF188" s="291"/>
      <c r="GG188" s="107"/>
      <c r="GH188" s="107"/>
      <c r="GI188" s="107"/>
      <c r="GJ188" s="382"/>
    </row>
    <row r="189" spans="1:192" ht="12.75" customHeight="1">
      <c r="B189" s="735" t="s">
        <v>36</v>
      </c>
      <c r="C189" s="291"/>
      <c r="D189" s="107"/>
      <c r="E189" s="107"/>
      <c r="F189" s="107"/>
      <c r="G189" s="292"/>
      <c r="H189" s="291"/>
      <c r="I189" s="107"/>
      <c r="J189" s="107"/>
      <c r="K189" s="107"/>
      <c r="L189" s="292"/>
      <c r="M189" s="291"/>
      <c r="N189" s="107"/>
      <c r="O189" s="107"/>
      <c r="P189" s="107"/>
      <c r="Q189" s="292"/>
      <c r="R189" s="291"/>
      <c r="S189" s="107"/>
      <c r="T189" s="107"/>
      <c r="U189" s="107"/>
      <c r="V189" s="292"/>
      <c r="W189" s="291"/>
      <c r="X189" s="107"/>
      <c r="Y189" s="107"/>
      <c r="Z189" s="107"/>
      <c r="AA189" s="292"/>
      <c r="AB189" s="291"/>
      <c r="AC189" s="107"/>
      <c r="AD189" s="107"/>
      <c r="AE189" s="107"/>
      <c r="AF189" s="292"/>
      <c r="AG189" s="291"/>
      <c r="AH189" s="107"/>
      <c r="AI189" s="107"/>
      <c r="AJ189" s="107"/>
      <c r="AK189" s="292"/>
      <c r="AL189" s="291"/>
      <c r="AM189" s="107"/>
      <c r="AN189" s="107"/>
      <c r="AO189" s="107"/>
      <c r="AP189" s="292"/>
      <c r="AQ189" s="291"/>
      <c r="AR189" s="107"/>
      <c r="AS189" s="107"/>
      <c r="AT189" s="107"/>
      <c r="AU189" s="292"/>
      <c r="AV189" s="291"/>
      <c r="AW189" s="107"/>
      <c r="AX189" s="107"/>
      <c r="AY189" s="107"/>
      <c r="AZ189" s="292"/>
      <c r="BA189" s="291"/>
      <c r="BB189" s="107"/>
      <c r="BC189" s="107"/>
      <c r="BD189" s="107"/>
      <c r="BE189" s="292"/>
      <c r="BF189" s="291"/>
      <c r="BG189" s="107"/>
      <c r="BH189" s="107"/>
      <c r="BI189" s="107"/>
      <c r="BJ189" s="292"/>
      <c r="BK189" s="291"/>
      <c r="BL189" s="107"/>
      <c r="BM189" s="107"/>
      <c r="BN189" s="107"/>
      <c r="BO189" s="292"/>
      <c r="BP189" s="291"/>
      <c r="BQ189" s="107"/>
      <c r="BR189" s="107"/>
      <c r="BS189" s="107"/>
      <c r="BT189" s="292"/>
      <c r="BU189" s="291"/>
      <c r="BV189" s="107"/>
      <c r="BW189" s="107"/>
      <c r="BX189" s="107"/>
      <c r="BY189" s="292"/>
      <c r="BZ189" s="291"/>
      <c r="CA189" s="107"/>
      <c r="CB189" s="107"/>
      <c r="CC189" s="107"/>
      <c r="CD189" s="292"/>
      <c r="CE189" s="291"/>
      <c r="CF189" s="107"/>
      <c r="CG189" s="107"/>
      <c r="CH189" s="107"/>
      <c r="CI189" s="292"/>
      <c r="CJ189" s="291"/>
      <c r="CK189" s="107"/>
      <c r="CL189" s="107"/>
      <c r="CM189" s="107"/>
      <c r="CN189" s="292"/>
      <c r="CO189" s="291"/>
      <c r="CP189" s="107"/>
      <c r="CQ189" s="107"/>
      <c r="CR189" s="107"/>
      <c r="CS189" s="292"/>
      <c r="CT189" s="291"/>
      <c r="CU189" s="107"/>
      <c r="CV189" s="107"/>
      <c r="CW189" s="107"/>
      <c r="CX189" s="292"/>
      <c r="CY189" s="291"/>
      <c r="CZ189" s="107"/>
      <c r="DA189" s="107"/>
      <c r="DB189" s="107"/>
      <c r="DC189" s="292"/>
      <c r="DD189" s="349"/>
      <c r="DE189" s="468"/>
      <c r="DF189" s="468"/>
      <c r="DG189" s="468"/>
      <c r="DH189" s="896"/>
      <c r="DI189" s="349"/>
      <c r="DJ189" s="468"/>
      <c r="DK189" s="468"/>
      <c r="DL189" s="468"/>
      <c r="DM189" s="896"/>
      <c r="DN189" s="349"/>
      <c r="DO189" s="468"/>
      <c r="DP189" s="468"/>
      <c r="DQ189" s="468"/>
      <c r="DR189" s="896"/>
      <c r="DS189" s="291"/>
      <c r="DT189" s="107"/>
      <c r="DU189" s="107"/>
      <c r="DV189" s="107"/>
      <c r="DW189" s="292"/>
      <c r="DX189" s="291"/>
      <c r="DY189" s="107"/>
      <c r="DZ189" s="107"/>
      <c r="EA189" s="107"/>
      <c r="EB189" s="292"/>
      <c r="EC189" s="291"/>
      <c r="ED189" s="107"/>
      <c r="EE189" s="107"/>
      <c r="EF189" s="107"/>
      <c r="EG189" s="292"/>
      <c r="EH189" s="291"/>
      <c r="EI189" s="107"/>
      <c r="EJ189" s="468"/>
      <c r="EK189" s="468"/>
      <c r="EL189" s="292"/>
      <c r="EM189" s="349"/>
      <c r="EN189" s="468"/>
      <c r="EO189" s="468"/>
      <c r="EP189" s="107"/>
      <c r="EQ189" s="292"/>
      <c r="ER189" s="291">
        <f>ER186/EP186-1</f>
      </c>
      <c r="ES189" s="107">
        <f>ES186/ER186-1</f>
      </c>
      <c r="ET189" s="107">
        <f>ET186/ES186-1</f>
      </c>
      <c r="EU189" s="107">
        <f>EU186/ET186-1</f>
      </c>
      <c r="EV189" s="292"/>
      <c r="EW189" s="291">
        <f>EW186/EU186-1</f>
      </c>
      <c r="EX189" s="107">
        <f>EX186/EW186-1</f>
      </c>
      <c r="EY189" s="107">
        <f>EY186/EX186-1</f>
      </c>
      <c r="EZ189" s="107">
        <f>EZ186/EY186-1</f>
      </c>
      <c r="FA189" s="292"/>
      <c r="FB189" s="291">
        <f>FB186/EZ186-1</f>
      </c>
      <c r="FC189" s="107">
        <f>FC186/FB186-1</f>
      </c>
      <c r="FD189" s="107">
        <f>FD186/FC186-1</f>
      </c>
      <c r="FE189" s="107">
        <f>FE186/FD186-1</f>
      </c>
      <c r="FF189" s="292"/>
      <c r="FG189" s="291">
        <f>FG186/FE186-1</f>
      </c>
      <c r="FH189" s="107">
        <f>FH186/FG186-1</f>
      </c>
      <c r="FI189" s="107">
        <f>FI186/FH186-1</f>
      </c>
      <c r="FJ189" s="107">
        <f>FJ186/FI186-1</f>
      </c>
      <c r="FK189" s="292"/>
      <c r="FL189" s="291">
        <f>FL186/FJ186-1</f>
      </c>
      <c r="FM189" s="107">
        <f>FM186/FL186-1</f>
      </c>
      <c r="FN189" s="107">
        <f>FN186/FM186-1</f>
      </c>
      <c r="FO189" s="107">
        <f>FO186/FN186-1</f>
      </c>
      <c r="FP189" s="292"/>
      <c r="FQ189" s="291">
        <f>FQ186/FO186-1</f>
      </c>
      <c r="FR189" s="107">
        <f>FR186/FQ186-1</f>
      </c>
      <c r="FS189" s="107">
        <f>FS186/FR186-1</f>
      </c>
      <c r="FT189" s="107">
        <f>FT186/FS186-1</f>
      </c>
      <c r="FU189" s="292"/>
      <c r="FV189" s="291">
        <f>FV186/FT186-1</f>
      </c>
      <c r="FW189" s="107">
        <f>FW186/FV186-1</f>
      </c>
      <c r="FX189" s="107">
        <f>FX186/FW186-1</f>
      </c>
      <c r="FY189" s="107">
        <f>FY186/FX186-1</f>
      </c>
      <c r="FZ189" s="292"/>
      <c r="GA189" s="291">
        <f>GA186/FY186-1</f>
      </c>
      <c r="GB189" s="107">
        <f>GB186/GA186-1</f>
      </c>
      <c r="GC189" s="107">
        <f>GC186/GB186-1</f>
      </c>
      <c r="GD189" s="107">
        <f>GD186/GC186-1</f>
      </c>
      <c r="GE189" s="292"/>
      <c r="GF189" s="291">
        <f>GF186/GD186-1</f>
      </c>
      <c r="GG189" s="107">
        <f>GG186/GF186-1</f>
      </c>
      <c r="GH189" s="107">
        <f>GH186/GG186-1</f>
      </c>
      <c r="GI189" s="107">
        <f>GI186/GH186-1</f>
      </c>
      <c r="GJ189" s="384"/>
    </row>
    <row r="190" spans="1:192" s="461" customFormat="1" ht="12.75" customHeight="1">
      <c r="A190" s="370"/>
      <c r="B190" s="735" t="s">
        <v>243</v>
      </c>
      <c r="C190" s="447"/>
      <c r="D190" s="458"/>
      <c r="E190" s="458"/>
      <c r="F190" s="458"/>
      <c r="G190" s="462"/>
      <c r="H190" s="447"/>
      <c r="I190" s="458"/>
      <c r="J190" s="458"/>
      <c r="K190" s="458"/>
      <c r="L190" s="462"/>
      <c r="M190" s="447"/>
      <c r="N190" s="458"/>
      <c r="O190" s="458"/>
      <c r="P190" s="458"/>
      <c r="Q190" s="462"/>
      <c r="R190" s="447"/>
      <c r="S190" s="458"/>
      <c r="T190" s="458"/>
      <c r="U190" s="458"/>
      <c r="V190" s="462"/>
      <c r="W190" s="447"/>
      <c r="X190" s="458"/>
      <c r="Y190" s="458"/>
      <c r="Z190" s="458"/>
      <c r="AA190" s="462"/>
      <c r="AB190" s="447"/>
      <c r="AC190" s="458"/>
      <c r="AD190" s="458"/>
      <c r="AE190" s="458"/>
      <c r="AF190" s="462"/>
      <c r="AG190" s="447"/>
      <c r="AH190" s="458"/>
      <c r="AI190" s="458"/>
      <c r="AJ190" s="458"/>
      <c r="AK190" s="462"/>
      <c r="AL190" s="447"/>
      <c r="AM190" s="458"/>
      <c r="AN190" s="458"/>
      <c r="AO190" s="458"/>
      <c r="AP190" s="462"/>
      <c r="AQ190" s="447"/>
      <c r="AR190" s="458"/>
      <c r="AS190" s="458"/>
      <c r="AT190" s="458"/>
      <c r="AU190" s="462"/>
      <c r="AV190" s="447"/>
      <c r="AW190" s="458"/>
      <c r="AX190" s="458"/>
      <c r="AY190" s="458"/>
      <c r="AZ190" s="462"/>
      <c r="BA190" s="447"/>
      <c r="BB190" s="458"/>
      <c r="BC190" s="458"/>
      <c r="BD190" s="458"/>
      <c r="BE190" s="462"/>
      <c r="BF190" s="447"/>
      <c r="BG190" s="458"/>
      <c r="BH190" s="458"/>
      <c r="BI190" s="458"/>
      <c r="BJ190" s="462"/>
      <c r="BK190" s="447"/>
      <c r="BL190" s="458"/>
      <c r="BM190" s="458"/>
      <c r="BN190" s="458"/>
      <c r="BO190" s="462"/>
      <c r="BP190" s="447"/>
      <c r="BQ190" s="458"/>
      <c r="BR190" s="458"/>
      <c r="BS190" s="458"/>
      <c r="BT190" s="462"/>
      <c r="BU190" s="447"/>
      <c r="BV190" s="458"/>
      <c r="BW190" s="458"/>
      <c r="BX190" s="458"/>
      <c r="BY190" s="462"/>
      <c r="BZ190" s="447"/>
      <c r="CA190" s="458"/>
      <c r="CB190" s="458"/>
      <c r="CC190" s="458"/>
      <c r="CD190" s="462"/>
      <c r="CE190" s="447"/>
      <c r="CF190" s="458"/>
      <c r="CG190" s="458"/>
      <c r="CH190" s="458"/>
      <c r="CI190" s="462"/>
      <c r="CJ190" s="447"/>
      <c r="CK190" s="458"/>
      <c r="CL190" s="458"/>
      <c r="CM190" s="458"/>
      <c r="CN190" s="462"/>
      <c r="CO190" s="447"/>
      <c r="CP190" s="458"/>
      <c r="CQ190" s="458"/>
      <c r="CR190" s="458"/>
      <c r="CS190" s="462"/>
      <c r="CT190" s="447"/>
      <c r="CU190" s="447"/>
      <c r="CV190" s="447"/>
      <c r="CW190" s="447"/>
      <c r="CX190" s="462"/>
      <c r="CY190" s="447"/>
      <c r="CZ190" s="447"/>
      <c r="DA190" s="447"/>
      <c r="DB190" s="447"/>
      <c r="DC190" s="462"/>
      <c r="DD190" s="496"/>
      <c r="DE190" s="496"/>
      <c r="DF190" s="496"/>
      <c r="DG190" s="511"/>
      <c r="DH190" s="897"/>
      <c r="DI190" s="496"/>
      <c r="DJ190" s="496"/>
      <c r="DK190" s="496"/>
      <c r="DL190" s="511"/>
      <c r="DM190" s="897"/>
      <c r="DN190" s="496"/>
      <c r="DO190" s="496"/>
      <c r="DP190" s="496"/>
      <c r="DQ190" s="511"/>
      <c r="DR190" s="897"/>
      <c r="DS190" s="447"/>
      <c r="DT190" s="447"/>
      <c r="DU190" s="447"/>
      <c r="DV190" s="447"/>
      <c r="DW190" s="462"/>
      <c r="DX190" s="447"/>
      <c r="DY190" s="447"/>
      <c r="DZ190" s="447"/>
      <c r="EA190" s="447"/>
      <c r="EB190" s="462"/>
      <c r="EC190" s="447"/>
      <c r="ED190" s="447"/>
      <c r="EE190" s="447"/>
      <c r="EF190" s="447"/>
      <c r="EG190" s="462"/>
      <c r="EH190" s="447"/>
      <c r="EI190" s="447"/>
      <c r="EJ190" s="1523"/>
      <c r="EK190" s="511"/>
      <c r="EL190" s="494"/>
      <c r="EM190" s="1523"/>
      <c r="EN190" s="1523"/>
      <c r="EO190" s="511"/>
      <c r="EP190" s="458"/>
      <c r="EQ190" s="462"/>
      <c r="ER190" s="458">
        <f t="shared" ref="ER190:GE190" si="170">ER186-EM186</f>
      </c>
      <c r="ES190" s="458">
        <f t="shared" si="170"/>
      </c>
      <c r="ET190" s="458">
        <f t="shared" si="170"/>
      </c>
      <c r="EU190" s="458">
        <f t="shared" si="170"/>
      </c>
      <c r="EV190" s="462">
        <f t="shared" si="170"/>
      </c>
      <c r="EW190" s="458">
        <f t="shared" si="170"/>
      </c>
      <c r="EX190" s="458">
        <f t="shared" si="170"/>
      </c>
      <c r="EY190" s="458">
        <f t="shared" si="170"/>
      </c>
      <c r="EZ190" s="458">
        <f t="shared" si="170"/>
      </c>
      <c r="FA190" s="462">
        <f t="shared" si="170"/>
      </c>
      <c r="FB190" s="458">
        <f t="shared" si="170"/>
      </c>
      <c r="FC190" s="458">
        <f t="shared" si="170"/>
      </c>
      <c r="FD190" s="458">
        <f t="shared" si="170"/>
      </c>
      <c r="FE190" s="458">
        <f t="shared" si="170"/>
      </c>
      <c r="FF190" s="462">
        <f t="shared" si="170"/>
      </c>
      <c r="FG190" s="458">
        <f t="shared" si="170"/>
      </c>
      <c r="FH190" s="458">
        <f t="shared" si="170"/>
      </c>
      <c r="FI190" s="458">
        <f t="shared" si="170"/>
      </c>
      <c r="FJ190" s="458">
        <f t="shared" si="170"/>
      </c>
      <c r="FK190" s="462">
        <f t="shared" si="170"/>
      </c>
      <c r="FL190" s="458">
        <f t="shared" si="170"/>
      </c>
      <c r="FM190" s="458">
        <f t="shared" si="170"/>
      </c>
      <c r="FN190" s="458">
        <f t="shared" si="170"/>
      </c>
      <c r="FO190" s="458">
        <f t="shared" si="170"/>
      </c>
      <c r="FP190" s="462">
        <f t="shared" si="170"/>
      </c>
      <c r="FQ190" s="458">
        <f t="shared" si="170"/>
      </c>
      <c r="FR190" s="458">
        <f t="shared" si="170"/>
      </c>
      <c r="FS190" s="458">
        <f t="shared" si="170"/>
      </c>
      <c r="FT190" s="458">
        <f t="shared" si="170"/>
      </c>
      <c r="FU190" s="462">
        <f t="shared" si="170"/>
      </c>
      <c r="FV190" s="447">
        <f t="shared" si="170"/>
      </c>
      <c r="FW190" s="458">
        <f t="shared" si="170"/>
      </c>
      <c r="FX190" s="458">
        <f t="shared" si="170"/>
      </c>
      <c r="FY190" s="458">
        <f t="shared" si="170"/>
      </c>
      <c r="FZ190" s="462">
        <f t="shared" si="170"/>
      </c>
      <c r="GA190" s="447">
        <f t="shared" si="170"/>
      </c>
      <c r="GB190" s="458">
        <f t="shared" si="170"/>
      </c>
      <c r="GC190" s="458">
        <f t="shared" si="170"/>
      </c>
      <c r="GD190" s="458">
        <f t="shared" si="170"/>
      </c>
      <c r="GE190" s="462">
        <f t="shared" si="170"/>
      </c>
      <c r="GF190" s="447">
        <f t="shared" ref="GF190" si="171">GF186-GA186</f>
      </c>
      <c r="GG190" s="458">
        <f t="shared" ref="GG190" si="172">GG186-GB186</f>
      </c>
      <c r="GH190" s="458">
        <f t="shared" ref="GH190" si="173">GH186-GC186</f>
      </c>
      <c r="GI190" s="458">
        <f t="shared" ref="GI190" si="174">GI186-GD186</f>
      </c>
      <c r="GJ190" s="497">
        <f t="shared" ref="GJ190" si="175">GJ186-GE186</f>
      </c>
    </row>
    <row r="191" spans="1:192" s="461" customFormat="1" ht="12.75" customHeight="1">
      <c r="A191" s="370"/>
      <c r="B191" s="735" t="s">
        <v>244</v>
      </c>
      <c r="C191" s="447"/>
      <c r="D191" s="458"/>
      <c r="E191" s="458"/>
      <c r="F191" s="458"/>
      <c r="G191" s="462"/>
      <c r="H191" s="447"/>
      <c r="I191" s="458"/>
      <c r="J191" s="458"/>
      <c r="K191" s="458"/>
      <c r="L191" s="462"/>
      <c r="M191" s="447"/>
      <c r="N191" s="458"/>
      <c r="O191" s="458"/>
      <c r="P191" s="458"/>
      <c r="Q191" s="462"/>
      <c r="R191" s="447"/>
      <c r="S191" s="458"/>
      <c r="T191" s="458"/>
      <c r="U191" s="458"/>
      <c r="V191" s="462"/>
      <c r="W191" s="447"/>
      <c r="X191" s="458"/>
      <c r="Y191" s="458"/>
      <c r="Z191" s="458"/>
      <c r="AA191" s="462"/>
      <c r="AB191" s="447"/>
      <c r="AC191" s="458"/>
      <c r="AD191" s="458"/>
      <c r="AE191" s="458"/>
      <c r="AF191" s="462"/>
      <c r="AG191" s="447"/>
      <c r="AH191" s="458"/>
      <c r="AI191" s="458"/>
      <c r="AJ191" s="458"/>
      <c r="AK191" s="462"/>
      <c r="AL191" s="447"/>
      <c r="AM191" s="458"/>
      <c r="AN191" s="458"/>
      <c r="AO191" s="458"/>
      <c r="AP191" s="462"/>
      <c r="AQ191" s="447"/>
      <c r="AR191" s="458"/>
      <c r="AS191" s="458"/>
      <c r="AT191" s="458"/>
      <c r="AU191" s="462"/>
      <c r="AV191" s="447"/>
      <c r="AW191" s="458"/>
      <c r="AX191" s="458"/>
      <c r="AY191" s="458"/>
      <c r="AZ191" s="462"/>
      <c r="BA191" s="447"/>
      <c r="BB191" s="458"/>
      <c r="BC191" s="458"/>
      <c r="BD191" s="458"/>
      <c r="BE191" s="462"/>
      <c r="BF191" s="447"/>
      <c r="BG191" s="458"/>
      <c r="BH191" s="458"/>
      <c r="BI191" s="458"/>
      <c r="BJ191" s="462"/>
      <c r="BK191" s="447"/>
      <c r="BL191" s="458"/>
      <c r="BM191" s="458"/>
      <c r="BN191" s="458"/>
      <c r="BO191" s="462"/>
      <c r="BP191" s="447"/>
      <c r="BQ191" s="458"/>
      <c r="BR191" s="458"/>
      <c r="BS191" s="458"/>
      <c r="BT191" s="462"/>
      <c r="BU191" s="447"/>
      <c r="BV191" s="458"/>
      <c r="BW191" s="458"/>
      <c r="BX191" s="458"/>
      <c r="BY191" s="462"/>
      <c r="BZ191" s="447"/>
      <c r="CA191" s="458"/>
      <c r="CB191" s="458"/>
      <c r="CC191" s="458"/>
      <c r="CD191" s="462"/>
      <c r="CE191" s="447"/>
      <c r="CF191" s="458"/>
      <c r="CG191" s="458"/>
      <c r="CH191" s="458"/>
      <c r="CI191" s="462"/>
      <c r="CJ191" s="447"/>
      <c r="CK191" s="458"/>
      <c r="CL191" s="458"/>
      <c r="CM191" s="458"/>
      <c r="CN191" s="462"/>
      <c r="CO191" s="447"/>
      <c r="CP191" s="458"/>
      <c r="CQ191" s="458"/>
      <c r="CR191" s="458"/>
      <c r="CS191" s="462"/>
      <c r="CT191" s="447"/>
      <c r="CU191" s="458"/>
      <c r="CV191" s="458"/>
      <c r="CW191" s="458"/>
      <c r="CX191" s="462"/>
      <c r="CY191" s="447"/>
      <c r="CZ191" s="458"/>
      <c r="DA191" s="458"/>
      <c r="DB191" s="458"/>
      <c r="DC191" s="462"/>
      <c r="DD191" s="511"/>
      <c r="DE191" s="679"/>
      <c r="DF191" s="679"/>
      <c r="DG191" s="679"/>
      <c r="DH191" s="898"/>
      <c r="DI191" s="511"/>
      <c r="DJ191" s="679"/>
      <c r="DK191" s="679"/>
      <c r="DL191" s="679"/>
      <c r="DM191" s="898"/>
      <c r="DN191" s="511"/>
      <c r="DO191" s="679"/>
      <c r="DP191" s="679"/>
      <c r="DQ191" s="679"/>
      <c r="DR191" s="898"/>
      <c r="DS191" s="447"/>
      <c r="DT191" s="458"/>
      <c r="DU191" s="458"/>
      <c r="DV191" s="458"/>
      <c r="DW191" s="462"/>
      <c r="DX191" s="447"/>
      <c r="DY191" s="458"/>
      <c r="DZ191" s="458"/>
      <c r="EA191" s="458"/>
      <c r="EB191" s="462"/>
      <c r="EC191" s="447"/>
      <c r="ED191" s="458"/>
      <c r="EE191" s="458"/>
      <c r="EF191" s="458"/>
      <c r="EG191" s="462"/>
      <c r="EH191" s="447"/>
      <c r="EI191" s="458"/>
      <c r="EJ191" s="679"/>
      <c r="EK191" s="679"/>
      <c r="EL191" s="462"/>
      <c r="EM191" s="447"/>
      <c r="EN191" s="458"/>
      <c r="EO191" s="458"/>
      <c r="EP191" s="458"/>
      <c r="EQ191" s="462"/>
      <c r="ER191" s="447">
        <f>ER186-EP186</f>
      </c>
      <c r="ES191" s="458">
        <f>ES186-ER186</f>
      </c>
      <c r="ET191" s="458">
        <f>ET186-ES186</f>
      </c>
      <c r="EU191" s="458">
        <f>EU186-ET186</f>
      </c>
      <c r="EV191" s="462"/>
      <c r="EW191" s="447">
        <f>EW186-EU186</f>
      </c>
      <c r="EX191" s="458">
        <f>EX186-EW186</f>
      </c>
      <c r="EY191" s="458">
        <f>EY186-EX186</f>
      </c>
      <c r="EZ191" s="458">
        <f>EZ186-EY186</f>
      </c>
      <c r="FA191" s="462"/>
      <c r="FB191" s="447">
        <f>FB186-EZ186</f>
      </c>
      <c r="FC191" s="458">
        <f>FC186-FB186</f>
      </c>
      <c r="FD191" s="458">
        <f>FD186-FC186</f>
      </c>
      <c r="FE191" s="458">
        <f>FE186-FD186</f>
      </c>
      <c r="FF191" s="462"/>
      <c r="FG191" s="447">
        <f>FG186-FE186</f>
      </c>
      <c r="FH191" s="458">
        <f>FH186-FG186</f>
      </c>
      <c r="FI191" s="458">
        <f>FI186-FH186</f>
      </c>
      <c r="FJ191" s="458">
        <f>FJ186-FI186</f>
      </c>
      <c r="FK191" s="462"/>
      <c r="FL191" s="447">
        <f>FL186-FJ186</f>
      </c>
      <c r="FM191" s="458">
        <f>FM186-FL186</f>
      </c>
      <c r="FN191" s="458">
        <f>FN186-FM186</f>
      </c>
      <c r="FO191" s="458">
        <f>FO186-FN186</f>
      </c>
      <c r="FP191" s="462"/>
      <c r="FQ191" s="447">
        <f>FQ186-FO186</f>
      </c>
      <c r="FR191" s="458">
        <f>FR186-FQ186</f>
      </c>
      <c r="FS191" s="458">
        <f>FS186-FR186</f>
      </c>
      <c r="FT191" s="458">
        <f>FT186-FS186</f>
      </c>
      <c r="FU191" s="462"/>
      <c r="FV191" s="447">
        <f>FV186-FT186</f>
      </c>
      <c r="FW191" s="458">
        <f>FW186-FV186</f>
      </c>
      <c r="FX191" s="458">
        <f>FX186-FW186</f>
      </c>
      <c r="FY191" s="458">
        <f>FY186-FX186</f>
      </c>
      <c r="FZ191" s="462"/>
      <c r="GA191" s="447">
        <f>GA186-FY186</f>
      </c>
      <c r="GB191" s="458">
        <f>GB186-GA186</f>
      </c>
      <c r="GC191" s="458">
        <f>GC186-GB186</f>
      </c>
      <c r="GD191" s="458">
        <f>GD186-GC186</f>
      </c>
      <c r="GE191" s="462"/>
      <c r="GF191" s="447">
        <f>GF186-GD186</f>
      </c>
      <c r="GG191" s="458">
        <f>GG186-GF186</f>
      </c>
      <c r="GH191" s="458">
        <f>GH186-GG186</f>
      </c>
      <c r="GI191" s="458">
        <f>GI186-GH186</f>
      </c>
      <c r="GJ191" s="497"/>
    </row>
    <row r="192" spans="1:192" ht="12.75" customHeight="1">
      <c r="B192" s="735" t="s">
        <v>1994</v>
      </c>
      <c r="C192" s="291"/>
      <c r="D192" s="107"/>
      <c r="E192" s="107"/>
      <c r="F192" s="107"/>
      <c r="G192" s="292"/>
      <c r="H192" s="291"/>
      <c r="I192" s="107"/>
      <c r="J192" s="107"/>
      <c r="K192" s="107"/>
      <c r="L192" s="292"/>
      <c r="M192" s="291"/>
      <c r="N192" s="107"/>
      <c r="O192" s="107"/>
      <c r="P192" s="107"/>
      <c r="Q192" s="292"/>
      <c r="R192" s="291"/>
      <c r="S192" s="107"/>
      <c r="T192" s="107"/>
      <c r="U192" s="107"/>
      <c r="V192" s="292"/>
      <c r="W192" s="291"/>
      <c r="X192" s="107"/>
      <c r="Y192" s="107"/>
      <c r="Z192" s="107"/>
      <c r="AA192" s="292"/>
      <c r="AB192" s="291"/>
      <c r="AC192" s="107"/>
      <c r="AD192" s="107"/>
      <c r="AE192" s="107"/>
      <c r="AF192" s="292"/>
      <c r="AG192" s="291"/>
      <c r="AH192" s="107"/>
      <c r="AI192" s="107"/>
      <c r="AJ192" s="107"/>
      <c r="AK192" s="292"/>
      <c r="AL192" s="291"/>
      <c r="AM192" s="107"/>
      <c r="AN192" s="107"/>
      <c r="AO192" s="107"/>
      <c r="AP192" s="292"/>
      <c r="AQ192" s="291"/>
      <c r="AR192" s="107"/>
      <c r="AS192" s="107"/>
      <c r="AT192" s="107"/>
      <c r="AU192" s="292"/>
      <c r="AV192" s="291"/>
      <c r="AW192" s="107"/>
      <c r="AX192" s="107"/>
      <c r="AY192" s="107"/>
      <c r="AZ192" s="292"/>
      <c r="BA192" s="291"/>
      <c r="BB192" s="107"/>
      <c r="BC192" s="107"/>
      <c r="BD192" s="107"/>
      <c r="BE192" s="292"/>
      <c r="BF192" s="291"/>
      <c r="BG192" s="107"/>
      <c r="BH192" s="107"/>
      <c r="BI192" s="107"/>
      <c r="BJ192" s="292"/>
      <c r="BK192" s="291"/>
      <c r="BL192" s="107"/>
      <c r="BM192" s="107"/>
      <c r="BN192" s="107"/>
      <c r="BO192" s="292"/>
      <c r="BP192" s="291"/>
      <c r="BQ192" s="107"/>
      <c r="BR192" s="107"/>
      <c r="BS192" s="107"/>
      <c r="BT192" s="292"/>
      <c r="BU192" s="291"/>
      <c r="BV192" s="107"/>
      <c r="BW192" s="107"/>
      <c r="BX192" s="107"/>
      <c r="BY192" s="292"/>
      <c r="BZ192" s="291"/>
      <c r="CA192" s="107"/>
      <c r="CB192" s="107"/>
      <c r="CC192" s="107"/>
      <c r="CD192" s="292"/>
      <c r="CE192" s="291"/>
      <c r="CF192" s="107"/>
      <c r="CG192" s="107"/>
      <c r="CH192" s="107"/>
      <c r="CI192" s="292"/>
      <c r="CJ192" s="291"/>
      <c r="CK192" s="107"/>
      <c r="CL192" s="107"/>
      <c r="CM192" s="107"/>
      <c r="CN192" s="292"/>
      <c r="CO192" s="291"/>
      <c r="CP192" s="107"/>
      <c r="CQ192" s="107"/>
      <c r="CR192" s="107"/>
      <c r="CS192" s="292"/>
      <c r="CT192" s="291"/>
      <c r="CU192" s="291"/>
      <c r="CV192" s="291"/>
      <c r="CW192" s="291"/>
      <c r="CX192" s="292"/>
      <c r="CY192" s="291"/>
      <c r="CZ192" s="291"/>
      <c r="DA192" s="291"/>
      <c r="DB192" s="291"/>
      <c r="DC192" s="292"/>
      <c r="DD192" s="349"/>
      <c r="DE192" s="349"/>
      <c r="DF192" s="349"/>
      <c r="DG192" s="349"/>
      <c r="DH192" s="896"/>
      <c r="DI192" s="349"/>
      <c r="DJ192" s="349"/>
      <c r="DK192" s="349"/>
      <c r="DL192" s="349"/>
      <c r="DM192" s="896"/>
      <c r="DN192" s="349"/>
      <c r="DO192" s="349"/>
      <c r="DP192" s="349"/>
      <c r="DQ192" s="349"/>
      <c r="DR192" s="896"/>
      <c r="DS192" s="291"/>
      <c r="DT192" s="291"/>
      <c r="DU192" s="291"/>
      <c r="DV192" s="291"/>
      <c r="DW192" s="292"/>
      <c r="DX192" s="291"/>
      <c r="DY192" s="291"/>
      <c r="DZ192" s="291"/>
      <c r="EA192" s="291"/>
      <c r="EB192" s="292"/>
      <c r="EC192" s="291"/>
      <c r="ED192" s="291"/>
      <c r="EE192" s="291"/>
      <c r="EF192" s="291"/>
      <c r="EG192" s="292"/>
      <c r="EH192" s="291"/>
      <c r="EI192" s="291"/>
      <c r="EJ192" s="349"/>
      <c r="EK192" s="349"/>
      <c r="EL192" s="292"/>
      <c r="EM192" s="291"/>
      <c r="EN192" s="291"/>
      <c r="EO192" s="291"/>
      <c r="EP192" s="291"/>
      <c r="EQ192" s="292"/>
      <c r="ER192" s="291">
        <f t="shared" ref="ER192:GE192" si="176">ER186/ER$131</f>
      </c>
      <c r="ES192" s="291">
        <f t="shared" si="176"/>
      </c>
      <c r="ET192" s="291">
        <f t="shared" si="176"/>
      </c>
      <c r="EU192" s="291">
        <f t="shared" si="176"/>
      </c>
      <c r="EV192" s="292">
        <f t="shared" si="176"/>
      </c>
      <c r="EW192" s="291">
        <f t="shared" si="176"/>
      </c>
      <c r="EX192" s="291">
        <f t="shared" ref="EX192:FA192" si="177">EX186/EX$131</f>
      </c>
      <c r="EY192" s="291">
        <f t="shared" si="177"/>
      </c>
      <c r="EZ192" s="291">
        <f t="shared" si="177"/>
      </c>
      <c r="FA192" s="292">
        <f t="shared" si="177"/>
      </c>
      <c r="FB192" s="291">
        <f t="shared" si="176"/>
      </c>
      <c r="FC192" s="291">
        <f t="shared" si="176"/>
      </c>
      <c r="FD192" s="291">
        <f t="shared" si="176"/>
      </c>
      <c r="FE192" s="291">
        <f t="shared" si="176"/>
      </c>
      <c r="FF192" s="292">
        <f t="shared" si="176"/>
      </c>
      <c r="FG192" s="291">
        <f t="shared" si="176"/>
      </c>
      <c r="FH192" s="291">
        <f t="shared" si="176"/>
      </c>
      <c r="FI192" s="291">
        <f t="shared" si="176"/>
      </c>
      <c r="FJ192" s="291">
        <f t="shared" si="176"/>
      </c>
      <c r="FK192" s="292">
        <f t="shared" si="176"/>
      </c>
      <c r="FL192" s="291">
        <f t="shared" si="176"/>
      </c>
      <c r="FM192" s="291">
        <f t="shared" si="176"/>
      </c>
      <c r="FN192" s="291">
        <f t="shared" si="176"/>
      </c>
      <c r="FO192" s="291">
        <f t="shared" si="176"/>
      </c>
      <c r="FP192" s="292">
        <f t="shared" si="176"/>
      </c>
      <c r="FQ192" s="291">
        <f t="shared" si="176"/>
      </c>
      <c r="FR192" s="291">
        <f t="shared" si="176"/>
      </c>
      <c r="FS192" s="291">
        <f t="shared" si="176"/>
      </c>
      <c r="FT192" s="291">
        <f t="shared" si="176"/>
      </c>
      <c r="FU192" s="292">
        <f t="shared" si="176"/>
      </c>
      <c r="FV192" s="291">
        <f t="shared" si="176"/>
      </c>
      <c r="FW192" s="107">
        <f t="shared" si="176"/>
      </c>
      <c r="FX192" s="107">
        <f t="shared" si="176"/>
      </c>
      <c r="FY192" s="107">
        <f t="shared" si="176"/>
      </c>
      <c r="FZ192" s="292">
        <f t="shared" si="176"/>
      </c>
      <c r="GA192" s="291">
        <f t="shared" si="176"/>
      </c>
      <c r="GB192" s="107">
        <f t="shared" si="176"/>
      </c>
      <c r="GC192" s="107">
        <f t="shared" si="176"/>
      </c>
      <c r="GD192" s="107">
        <f t="shared" si="176"/>
      </c>
      <c r="GE192" s="292">
        <f t="shared" si="176"/>
      </c>
      <c r="GF192" s="291">
        <f t="shared" ref="GF192:GJ192" si="178">GF186/GF$131</f>
      </c>
      <c r="GG192" s="107">
        <f t="shared" si="178"/>
      </c>
      <c r="GH192" s="107">
        <f t="shared" si="178"/>
      </c>
      <c r="GI192" s="107">
        <f t="shared" si="178"/>
      </c>
      <c r="GJ192" s="384">
        <f t="shared" si="178"/>
      </c>
    </row>
    <row r="193" spans="1:192" ht="12.75" customHeight="1">
      <c r="B193" s="735" t="s">
        <v>1884</v>
      </c>
      <c r="C193" s="291"/>
      <c r="D193" s="107"/>
      <c r="E193" s="107"/>
      <c r="F193" s="107"/>
      <c r="G193" s="292"/>
      <c r="H193" s="291"/>
      <c r="I193" s="107"/>
      <c r="J193" s="107"/>
      <c r="K193" s="107"/>
      <c r="L193" s="292"/>
      <c r="M193" s="291"/>
      <c r="N193" s="107"/>
      <c r="O193" s="107"/>
      <c r="P193" s="107"/>
      <c r="Q193" s="292"/>
      <c r="R193" s="291"/>
      <c r="S193" s="107"/>
      <c r="T193" s="107"/>
      <c r="U193" s="107"/>
      <c r="V193" s="292"/>
      <c r="W193" s="291"/>
      <c r="X193" s="107"/>
      <c r="Y193" s="107"/>
      <c r="Z193" s="107"/>
      <c r="AA193" s="292"/>
      <c r="AB193" s="291"/>
      <c r="AC193" s="107"/>
      <c r="AD193" s="107"/>
      <c r="AE193" s="107"/>
      <c r="AF193" s="292"/>
      <c r="AG193" s="291"/>
      <c r="AH193" s="107"/>
      <c r="AI193" s="107"/>
      <c r="AJ193" s="107"/>
      <c r="AK193" s="292"/>
      <c r="AL193" s="291"/>
      <c r="AM193" s="107"/>
      <c r="AN193" s="107"/>
      <c r="AO193" s="107"/>
      <c r="AP193" s="292"/>
      <c r="AQ193" s="291"/>
      <c r="AR193" s="107"/>
      <c r="AS193" s="107"/>
      <c r="AT193" s="107"/>
      <c r="AU193" s="292"/>
      <c r="AV193" s="291"/>
      <c r="AW193" s="107"/>
      <c r="AX193" s="107"/>
      <c r="AY193" s="107"/>
      <c r="AZ193" s="292"/>
      <c r="BA193" s="291"/>
      <c r="BB193" s="107"/>
      <c r="BC193" s="107"/>
      <c r="BD193" s="107"/>
      <c r="BE193" s="292"/>
      <c r="BF193" s="291"/>
      <c r="BG193" s="107"/>
      <c r="BH193" s="107"/>
      <c r="BI193" s="107"/>
      <c r="BJ193" s="292"/>
      <c r="BK193" s="291"/>
      <c r="BL193" s="107"/>
      <c r="BM193" s="107"/>
      <c r="BN193" s="107"/>
      <c r="BO193" s="292"/>
      <c r="BP193" s="291"/>
      <c r="BQ193" s="107"/>
      <c r="BR193" s="107"/>
      <c r="BS193" s="107"/>
      <c r="BT193" s="292"/>
      <c r="BU193" s="291"/>
      <c r="BV193" s="107"/>
      <c r="BW193" s="107"/>
      <c r="BX193" s="107"/>
      <c r="BY193" s="292"/>
      <c r="BZ193" s="291"/>
      <c r="CA193" s="107"/>
      <c r="CB193" s="107"/>
      <c r="CC193" s="107"/>
      <c r="CD193" s="292"/>
      <c r="CE193" s="291"/>
      <c r="CF193" s="107"/>
      <c r="CG193" s="107"/>
      <c r="CH193" s="107"/>
      <c r="CI193" s="292"/>
      <c r="CJ193" s="291"/>
      <c r="CK193" s="107"/>
      <c r="CL193" s="107"/>
      <c r="CM193" s="107"/>
      <c r="CN193" s="292"/>
      <c r="CO193" s="291"/>
      <c r="CP193" s="107"/>
      <c r="CQ193" s="107"/>
      <c r="CR193" s="107"/>
      <c r="CS193" s="292"/>
      <c r="CT193" s="291"/>
      <c r="CU193" s="291"/>
      <c r="CV193" s="291"/>
      <c r="CW193" s="291"/>
      <c r="CX193" s="292"/>
      <c r="CY193" s="291"/>
      <c r="CZ193" s="291"/>
      <c r="DA193" s="291"/>
      <c r="DB193" s="291"/>
      <c r="DC193" s="292"/>
      <c r="DD193" s="349"/>
      <c r="DE193" s="349"/>
      <c r="DF193" s="349"/>
      <c r="DG193" s="349"/>
      <c r="DH193" s="896"/>
      <c r="DI193" s="349"/>
      <c r="DJ193" s="349"/>
      <c r="DK193" s="349"/>
      <c r="DL193" s="349"/>
      <c r="DM193" s="896"/>
      <c r="DN193" s="349"/>
      <c r="DO193" s="349"/>
      <c r="DP193" s="349"/>
      <c r="DQ193" s="349"/>
      <c r="DR193" s="896"/>
      <c r="DS193" s="291"/>
      <c r="DT193" s="291"/>
      <c r="DU193" s="291"/>
      <c r="DV193" s="291"/>
      <c r="DW193" s="292"/>
      <c r="DX193" s="291"/>
      <c r="DY193" s="291"/>
      <c r="DZ193" s="291"/>
      <c r="EA193" s="291"/>
      <c r="EB193" s="292"/>
      <c r="EC193" s="291"/>
      <c r="ED193" s="291"/>
      <c r="EE193" s="291"/>
      <c r="EF193" s="291"/>
      <c r="EG193" s="292"/>
      <c r="EH193" s="291"/>
      <c r="EI193" s="291"/>
      <c r="EJ193" s="291"/>
      <c r="EK193" s="291"/>
      <c r="EL193" s="292"/>
      <c r="EM193" s="291"/>
      <c r="EN193" s="291"/>
      <c r="EO193" s="291"/>
      <c r="EP193" s="291"/>
      <c r="EQ193" s="292"/>
      <c r="ER193" s="291">
        <f t="shared" ref="ER193:GE193" si="179">ER186/ER$10</f>
      </c>
      <c r="ES193" s="291">
        <f t="shared" si="179"/>
      </c>
      <c r="ET193" s="291">
        <f t="shared" si="179"/>
      </c>
      <c r="EU193" s="291">
        <f t="shared" si="179"/>
      </c>
      <c r="EV193" s="292">
        <f t="shared" si="179"/>
      </c>
      <c r="EW193" s="291">
        <f t="shared" si="179"/>
      </c>
      <c r="EX193" s="291">
        <f t="shared" ref="EX193:FA193" si="180">EX186/EX$10</f>
      </c>
      <c r="EY193" s="291">
        <f t="shared" si="180"/>
      </c>
      <c r="EZ193" s="291">
        <f t="shared" si="180"/>
      </c>
      <c r="FA193" s="292">
        <f t="shared" si="180"/>
      </c>
      <c r="FB193" s="291">
        <f t="shared" si="179"/>
      </c>
      <c r="FC193" s="291">
        <f t="shared" si="179"/>
      </c>
      <c r="FD193" s="291">
        <f t="shared" si="179"/>
      </c>
      <c r="FE193" s="291">
        <f t="shared" si="179"/>
      </c>
      <c r="FF193" s="292">
        <f t="shared" si="179"/>
      </c>
      <c r="FG193" s="291">
        <f t="shared" si="179"/>
      </c>
      <c r="FH193" s="291">
        <f t="shared" si="179"/>
      </c>
      <c r="FI193" s="291">
        <f t="shared" si="179"/>
      </c>
      <c r="FJ193" s="291">
        <f t="shared" si="179"/>
      </c>
      <c r="FK193" s="292">
        <f t="shared" si="179"/>
      </c>
      <c r="FL193" s="291">
        <f t="shared" si="179"/>
      </c>
      <c r="FM193" s="291">
        <f t="shared" si="179"/>
      </c>
      <c r="FN193" s="291">
        <f t="shared" si="179"/>
      </c>
      <c r="FO193" s="291">
        <f t="shared" si="179"/>
      </c>
      <c r="FP193" s="292">
        <f t="shared" si="179"/>
      </c>
      <c r="FQ193" s="291">
        <f t="shared" si="179"/>
      </c>
      <c r="FR193" s="291">
        <f t="shared" si="179"/>
      </c>
      <c r="FS193" s="291">
        <f t="shared" si="179"/>
      </c>
      <c r="FT193" s="291">
        <f t="shared" si="179"/>
      </c>
      <c r="FU193" s="292">
        <f t="shared" si="179"/>
      </c>
      <c r="FV193" s="291">
        <f t="shared" si="179"/>
      </c>
      <c r="FW193" s="107">
        <f t="shared" si="179"/>
      </c>
      <c r="FX193" s="107">
        <f t="shared" si="179"/>
      </c>
      <c r="FY193" s="107">
        <f t="shared" si="179"/>
      </c>
      <c r="FZ193" s="292">
        <f t="shared" si="179"/>
      </c>
      <c r="GA193" s="291">
        <f t="shared" si="179"/>
      </c>
      <c r="GB193" s="107">
        <f t="shared" si="179"/>
      </c>
      <c r="GC193" s="107">
        <f t="shared" si="179"/>
      </c>
      <c r="GD193" s="107">
        <f t="shared" si="179"/>
      </c>
      <c r="GE193" s="292">
        <f t="shared" si="179"/>
      </c>
      <c r="GF193" s="291">
        <f t="shared" ref="GF193:GJ193" si="181">GF186/GF$10</f>
      </c>
      <c r="GG193" s="107">
        <f t="shared" si="181"/>
      </c>
      <c r="GH193" s="107">
        <f t="shared" si="181"/>
      </c>
      <c r="GI193" s="107">
        <f t="shared" si="181"/>
      </c>
      <c r="GJ193" s="384">
        <f t="shared" si="181"/>
      </c>
    </row>
    <row r="194" spans="1:192" s="701" customFormat="1" ht="12.75" customHeight="1">
      <c r="A194" s="850"/>
      <c r="B194" s="732"/>
      <c r="C194" s="495"/>
      <c r="D194" s="503"/>
      <c r="E194" s="503"/>
      <c r="F194" s="503"/>
      <c r="G194" s="916"/>
      <c r="H194" s="495"/>
      <c r="I194" s="503"/>
      <c r="J194" s="503"/>
      <c r="K194" s="503"/>
      <c r="L194" s="916"/>
      <c r="M194" s="495"/>
      <c r="N194" s="503"/>
      <c r="O194" s="503"/>
      <c r="P194" s="503"/>
      <c r="Q194" s="916"/>
      <c r="R194" s="495"/>
      <c r="S194" s="503"/>
      <c r="T194" s="503"/>
      <c r="U194" s="503"/>
      <c r="V194" s="916"/>
      <c r="W194" s="495"/>
      <c r="X194" s="503"/>
      <c r="Y194" s="503"/>
      <c r="Z194" s="503"/>
      <c r="AA194" s="916"/>
      <c r="AB194" s="495"/>
      <c r="AC194" s="503"/>
      <c r="AD194" s="503"/>
      <c r="AE194" s="503"/>
      <c r="AF194" s="916"/>
      <c r="AG194" s="495"/>
      <c r="AH194" s="503"/>
      <c r="AI194" s="503"/>
      <c r="AJ194" s="503"/>
      <c r="AK194" s="916"/>
      <c r="AL194" s="495"/>
      <c r="AM194" s="503"/>
      <c r="AN194" s="503"/>
      <c r="AO194" s="503"/>
      <c r="AP194" s="916"/>
      <c r="AQ194" s="495"/>
      <c r="AR194" s="503"/>
      <c r="AS194" s="503"/>
      <c r="AT194" s="503"/>
      <c r="AU194" s="916"/>
      <c r="AV194" s="495"/>
      <c r="AW194" s="503"/>
      <c r="AX194" s="503"/>
      <c r="AY194" s="503"/>
      <c r="AZ194" s="916"/>
      <c r="BA194" s="495"/>
      <c r="BB194" s="503"/>
      <c r="BC194" s="503"/>
      <c r="BD194" s="503"/>
      <c r="BE194" s="916"/>
      <c r="BF194" s="495"/>
      <c r="BG194" s="503"/>
      <c r="BH194" s="503"/>
      <c r="BI194" s="503"/>
      <c r="BJ194" s="916"/>
      <c r="BK194" s="495"/>
      <c r="BL194" s="503"/>
      <c r="BM194" s="503"/>
      <c r="BN194" s="503"/>
      <c r="BO194" s="916"/>
      <c r="BP194" s="495"/>
      <c r="BQ194" s="503"/>
      <c r="BR194" s="503"/>
      <c r="BS194" s="503"/>
      <c r="BT194" s="916"/>
      <c r="BU194" s="495"/>
      <c r="BV194" s="503"/>
      <c r="BW194" s="503"/>
      <c r="BX194" s="503"/>
      <c r="BY194" s="916"/>
      <c r="BZ194" s="495"/>
      <c r="CA194" s="503"/>
      <c r="CB194" s="503"/>
      <c r="CC194" s="503"/>
      <c r="CD194" s="921"/>
      <c r="CE194" s="495"/>
      <c r="CF194" s="503"/>
      <c r="CG194" s="503"/>
      <c r="CH194" s="503"/>
      <c r="CI194" s="921"/>
      <c r="CJ194" s="495"/>
      <c r="CK194" s="503"/>
      <c r="CL194" s="503"/>
      <c r="CM194" s="503"/>
      <c r="CN194" s="921"/>
      <c r="CO194" s="495"/>
      <c r="CP194" s="503"/>
      <c r="CQ194" s="503"/>
      <c r="CR194" s="503"/>
      <c r="CS194" s="921"/>
      <c r="CT194" s="495"/>
      <c r="CU194" s="503"/>
      <c r="CV194" s="503"/>
      <c r="CW194" s="503"/>
      <c r="CX194" s="921"/>
      <c r="CY194" s="495"/>
      <c r="CZ194" s="503"/>
      <c r="DA194" s="503"/>
      <c r="DB194" s="503"/>
      <c r="DC194" s="921"/>
      <c r="DD194" s="495"/>
      <c r="DE194" s="503"/>
      <c r="DF194" s="503"/>
      <c r="DG194" s="503"/>
      <c r="DH194" s="921"/>
      <c r="DI194" s="495"/>
      <c r="DJ194" s="503"/>
      <c r="DK194" s="503"/>
      <c r="DL194" s="503"/>
      <c r="DM194" s="921"/>
      <c r="DN194" s="495"/>
      <c r="DO194" s="503"/>
      <c r="DP194" s="503"/>
      <c r="DQ194" s="503"/>
      <c r="DR194" s="921"/>
      <c r="DS194" s="495"/>
      <c r="DT194" s="503"/>
      <c r="DU194" s="503"/>
      <c r="DV194" s="503"/>
      <c r="DW194" s="921"/>
      <c r="DX194" s="495"/>
      <c r="DY194" s="503"/>
      <c r="DZ194" s="503"/>
      <c r="EA194" s="503"/>
      <c r="EB194" s="921"/>
      <c r="EC194" s="495"/>
      <c r="ED194" s="503"/>
      <c r="EE194" s="503"/>
      <c r="EF194" s="503"/>
      <c r="EG194" s="921"/>
      <c r="EH194" s="495"/>
      <c r="EI194" s="503"/>
      <c r="EJ194" s="503"/>
      <c r="EK194" s="503"/>
      <c r="EL194" s="921"/>
      <c r="EM194" s="495"/>
      <c r="EN194" s="503"/>
      <c r="EO194" s="503"/>
      <c r="EP194" s="503"/>
      <c r="EQ194" s="921"/>
      <c r="ER194" s="495"/>
      <c r="ES194" s="503"/>
      <c r="ET194" s="503"/>
      <c r="EU194" s="503"/>
      <c r="EV194" s="916"/>
      <c r="EW194" s="495"/>
      <c r="EX194" s="503"/>
      <c r="EY194" s="503"/>
      <c r="EZ194" s="503"/>
      <c r="FA194" s="916"/>
      <c r="FB194" s="1702"/>
      <c r="FC194" s="1438"/>
      <c r="FD194" s="1438"/>
      <c r="FE194" s="1438"/>
      <c r="FF194" s="504"/>
      <c r="FG194" s="1702"/>
      <c r="FH194" s="1438"/>
      <c r="FI194" s="1438"/>
      <c r="FJ194" s="1438"/>
      <c r="FK194" s="504"/>
      <c r="FL194" s="1702"/>
      <c r="FM194" s="1438"/>
      <c r="FN194" s="1438"/>
      <c r="FO194" s="1438"/>
      <c r="FP194" s="504"/>
      <c r="FQ194" s="1702"/>
      <c r="FR194" s="1438"/>
      <c r="FS194" s="1438"/>
      <c r="FT194" s="1438"/>
      <c r="FU194" s="504"/>
      <c r="FV194" s="1702"/>
      <c r="FW194" s="1438"/>
      <c r="FX194" s="1438"/>
      <c r="FY194" s="1438"/>
      <c r="FZ194" s="504"/>
      <c r="GA194" s="1702"/>
      <c r="GB194" s="1438"/>
      <c r="GC194" s="1438"/>
      <c r="GD194" s="1438"/>
      <c r="GE194" s="504"/>
      <c r="GF194" s="1702"/>
      <c r="GG194" s="1438"/>
      <c r="GH194" s="1438"/>
      <c r="GI194" s="1438"/>
      <c r="GJ194" s="1703"/>
    </row>
    <row r="195" spans="1:192" s="461" customFormat="1" ht="12.75" customHeight="1">
      <c r="A195" s="807"/>
      <c r="B195" s="734" t="s">
        <v>1972</v>
      </c>
      <c r="C195" s="443"/>
      <c r="D195" s="471"/>
      <c r="E195" s="471"/>
      <c r="F195" s="471"/>
      <c r="G195" s="516"/>
      <c r="H195" s="443"/>
      <c r="I195" s="471"/>
      <c r="J195" s="471"/>
      <c r="K195" s="471"/>
      <c r="L195" s="516"/>
      <c r="M195" s="443"/>
      <c r="N195" s="471"/>
      <c r="O195" s="471"/>
      <c r="P195" s="471"/>
      <c r="Q195" s="516"/>
      <c r="R195" s="443"/>
      <c r="S195" s="471"/>
      <c r="T195" s="471"/>
      <c r="U195" s="471"/>
      <c r="V195" s="516"/>
      <c r="W195" s="443"/>
      <c r="X195" s="471"/>
      <c r="Y195" s="471"/>
      <c r="Z195" s="471"/>
      <c r="AA195" s="516"/>
      <c r="AB195" s="443"/>
      <c r="AC195" s="471"/>
      <c r="AD195" s="471"/>
      <c r="AE195" s="471"/>
      <c r="AF195" s="516"/>
      <c r="AG195" s="443"/>
      <c r="AH195" s="471"/>
      <c r="AI195" s="471"/>
      <c r="AJ195" s="471"/>
      <c r="AK195" s="516"/>
      <c r="AL195" s="443"/>
      <c r="AM195" s="471"/>
      <c r="AN195" s="471"/>
      <c r="AO195" s="471"/>
      <c r="AP195" s="516"/>
      <c r="AQ195" s="443"/>
      <c r="AR195" s="471"/>
      <c r="AS195" s="471"/>
      <c r="AT195" s="471"/>
      <c r="AU195" s="516"/>
      <c r="AV195" s="443"/>
      <c r="AW195" s="471"/>
      <c r="AX195" s="471"/>
      <c r="AY195" s="471"/>
      <c r="AZ195" s="516"/>
      <c r="BA195" s="443"/>
      <c r="BB195" s="471"/>
      <c r="BC195" s="471"/>
      <c r="BD195" s="471"/>
      <c r="BE195" s="516"/>
      <c r="BF195" s="443"/>
      <c r="BG195" s="471"/>
      <c r="BH195" s="471"/>
      <c r="BI195" s="471"/>
      <c r="BJ195" s="516"/>
      <c r="BK195" s="443"/>
      <c r="BL195" s="471"/>
      <c r="BM195" s="471"/>
      <c r="BN195" s="471"/>
      <c r="BO195" s="516"/>
      <c r="BP195" s="443"/>
      <c r="BQ195" s="471"/>
      <c r="BR195" s="471"/>
      <c r="BS195" s="471"/>
      <c r="BT195" s="516"/>
      <c r="BU195" s="443"/>
      <c r="BV195" s="471"/>
      <c r="BW195" s="471"/>
      <c r="BX195" s="471"/>
      <c r="BY195" s="516"/>
      <c r="BZ195" s="443"/>
      <c r="CA195" s="471"/>
      <c r="CB195" s="471"/>
      <c r="CC195" s="471"/>
      <c r="CD195" s="516"/>
      <c r="CE195" s="443"/>
      <c r="CF195" s="471"/>
      <c r="CG195" s="471"/>
      <c r="CH195" s="471"/>
      <c r="CI195" s="516"/>
      <c r="CJ195" s="443"/>
      <c r="CK195" s="471"/>
      <c r="CL195" s="471"/>
      <c r="CM195" s="471"/>
      <c r="CN195" s="516"/>
      <c r="CO195" s="443"/>
      <c r="CP195" s="471"/>
      <c r="CQ195" s="906"/>
      <c r="CR195" s="906"/>
      <c r="CS195" s="516"/>
      <c r="CT195" s="1144"/>
      <c r="CU195" s="1144"/>
      <c r="CV195" s="1145"/>
      <c r="CW195" s="1144"/>
      <c r="CX195" s="516"/>
      <c r="CY195" s="443"/>
      <c r="CZ195" s="443"/>
      <c r="DA195" s="443"/>
      <c r="DB195" s="443"/>
      <c r="DC195" s="516"/>
      <c r="DD195" s="471"/>
      <c r="DE195" s="471"/>
      <c r="DF195" s="471"/>
      <c r="DG195" s="471"/>
      <c r="DH195" s="516"/>
      <c r="DI195" s="471"/>
      <c r="DJ195" s="471"/>
      <c r="DK195" s="471"/>
      <c r="DL195" s="1145"/>
      <c r="DM195" s="516"/>
      <c r="DN195" s="471"/>
      <c r="DO195" s="471"/>
      <c r="DP195" s="471"/>
      <c r="DQ195" s="471"/>
      <c r="DR195" s="516"/>
      <c r="DS195" s="471"/>
      <c r="DT195" s="471"/>
      <c r="DU195" s="471"/>
      <c r="DV195" s="471"/>
      <c r="DW195" s="516"/>
      <c r="DX195" s="471"/>
      <c r="DY195" s="471"/>
      <c r="DZ195" s="471"/>
      <c r="EA195" s="471"/>
      <c r="EB195" s="516"/>
      <c r="EC195" s="471"/>
      <c r="ED195" s="471"/>
      <c r="EE195" s="471"/>
      <c r="EF195" s="471"/>
      <c r="EG195" s="516"/>
      <c r="EH195" s="471"/>
      <c r="EI195" s="471"/>
      <c r="EJ195" s="471"/>
      <c r="EK195" s="471"/>
      <c r="EL195" s="516"/>
      <c r="EM195" s="471">
        <f>ER195/(1+ER196)</f>
      </c>
      <c r="EN195" s="471">
        <f>ES195/(1+ES196)</f>
      </c>
      <c r="EO195" s="471">
        <f>ET195/(1+ET196)</f>
      </c>
      <c r="EP195" s="471">
        <f>EU195/(1+EU196)</f>
      </c>
      <c r="EQ195" s="516">
        <f>SUM(EM195:EP195)</f>
      </c>
      <c r="ER195" s="471">
        <f>EW195/(1+EW196)</f>
      </c>
      <c r="ES195" s="471">
        <f>ES186*ES201</f>
      </c>
      <c r="ET195" s="471">
        <f>ET186*ET201</f>
      </c>
      <c r="EU195" s="471">
        <f>EU186*EU201</f>
      </c>
      <c r="EV195" s="516">
        <f>SUM(ER195:EU195)</f>
      </c>
      <c r="EW195" s="471">
        <f>EW186*EW201</f>
      </c>
      <c r="EX195" s="471">
        <f t="shared" ref="EX195:EZ195" si="182">ES195*(1+EX196)</f>
      </c>
      <c r="EY195" s="471">
        <f t="shared" si="182"/>
      </c>
      <c r="EZ195" s="471">
        <f t="shared" si="182"/>
      </c>
      <c r="FA195" s="516">
        <f>SUM(EW195:EZ195)</f>
      </c>
      <c r="FB195" s="471">
        <f>FB206*FB210/4</f>
      </c>
      <c r="FC195" s="471">
        <f>FC206*FC210/4</f>
      </c>
      <c r="FD195" s="471">
        <f>FD206*FD210/4</f>
      </c>
      <c r="FE195" s="471">
        <f>FE206*FE210/4</f>
      </c>
      <c r="FF195" s="516">
        <f>SUM(FB195:FE195)</f>
      </c>
      <c r="FG195" s="471">
        <f>FG206*FG210/4</f>
      </c>
      <c r="FH195" s="471">
        <f>FH206*FH210/4</f>
      </c>
      <c r="FI195" s="471">
        <f>FI206*FI210/4</f>
      </c>
      <c r="FJ195" s="471">
        <f>FJ206*FJ210/4</f>
      </c>
      <c r="FK195" s="516">
        <f>SUM(FG195:FJ195)</f>
      </c>
      <c r="FL195" s="471">
        <f>FL206*FL210/4</f>
      </c>
      <c r="FM195" s="471">
        <f>FM206*FM210/4</f>
      </c>
      <c r="FN195" s="471">
        <f>FN206*FN210/4</f>
      </c>
      <c r="FO195" s="471">
        <f>FO206*FO210/4</f>
      </c>
      <c r="FP195" s="516">
        <f>SUM(FL195:FO195)</f>
      </c>
      <c r="FQ195" s="471">
        <f>FQ206*FQ210/4</f>
      </c>
      <c r="FR195" s="471">
        <f>FR206*FR210/4</f>
      </c>
      <c r="FS195" s="471">
        <f>FS206*FS210/4</f>
      </c>
      <c r="FT195" s="471">
        <f>FT206*FT210/4</f>
      </c>
      <c r="FU195" s="516">
        <f>SUM(FQ195:FT195)</f>
      </c>
      <c r="FV195" s="471">
        <f>FV206*FV210/4</f>
      </c>
      <c r="FW195" s="471">
        <f>FW206*FW210/4</f>
      </c>
      <c r="FX195" s="471">
        <f>FX206*FX210/4</f>
      </c>
      <c r="FY195" s="471">
        <f>FY206*FY210/4</f>
      </c>
      <c r="FZ195" s="516">
        <f>SUM(FV195:FY195)</f>
      </c>
      <c r="GA195" s="471">
        <f>GA206*GA210/4</f>
      </c>
      <c r="GB195" s="471">
        <f>GB206*GB210/4</f>
      </c>
      <c r="GC195" s="471">
        <f>GC206*GC210/4</f>
      </c>
      <c r="GD195" s="471">
        <f>GD206*GD210/4</f>
      </c>
      <c r="GE195" s="516">
        <f>SUM(GA195:GD195)</f>
      </c>
      <c r="GF195" s="471">
        <f>GF206*GF210/4</f>
      </c>
      <c r="GG195" s="471">
        <f>GG206*GG210/4</f>
      </c>
      <c r="GH195" s="471">
        <f>GH206*GH210/4</f>
      </c>
      <c r="GI195" s="471">
        <f>GI206*GI210/4</f>
      </c>
      <c r="GJ195" s="808">
        <f>SUM(GF195:GI195)</f>
      </c>
    </row>
    <row r="196" spans="1:192" s="479" customFormat="1" ht="12.75" customHeight="1">
      <c r="A196" s="81" t="s">
        <v>2010</v>
      </c>
      <c r="B196" s="1744" t="s">
        <v>34</v>
      </c>
      <c r="C196" s="412"/>
      <c r="D196" s="114"/>
      <c r="E196" s="114"/>
      <c r="F196" s="114"/>
      <c r="G196" s="414"/>
      <c r="H196" s="412"/>
      <c r="I196" s="114"/>
      <c r="J196" s="114"/>
      <c r="K196" s="114"/>
      <c r="L196" s="414"/>
      <c r="M196" s="412"/>
      <c r="N196" s="114"/>
      <c r="O196" s="114"/>
      <c r="P196" s="114"/>
      <c r="Q196" s="414"/>
      <c r="R196" s="412"/>
      <c r="S196" s="114"/>
      <c r="T196" s="114"/>
      <c r="U196" s="114"/>
      <c r="V196" s="414"/>
      <c r="W196" s="412"/>
      <c r="X196" s="114"/>
      <c r="Y196" s="114"/>
      <c r="Z196" s="114"/>
      <c r="AA196" s="414"/>
      <c r="AB196" s="412"/>
      <c r="AC196" s="114"/>
      <c r="AD196" s="114"/>
      <c r="AE196" s="114"/>
      <c r="AF196" s="414"/>
      <c r="AG196" s="412"/>
      <c r="AH196" s="114"/>
      <c r="AI196" s="114"/>
      <c r="AJ196" s="114"/>
      <c r="AK196" s="414"/>
      <c r="AL196" s="412"/>
      <c r="AM196" s="114"/>
      <c r="AN196" s="114"/>
      <c r="AO196" s="114"/>
      <c r="AP196" s="414"/>
      <c r="AQ196" s="412"/>
      <c r="AR196" s="114"/>
      <c r="AS196" s="114"/>
      <c r="AT196" s="114"/>
      <c r="AU196" s="414"/>
      <c r="AV196" s="412"/>
      <c r="AW196" s="114"/>
      <c r="AX196" s="114"/>
      <c r="AY196" s="114"/>
      <c r="AZ196" s="414"/>
      <c r="BA196" s="412"/>
      <c r="BB196" s="114"/>
      <c r="BC196" s="114"/>
      <c r="BD196" s="114"/>
      <c r="BE196" s="414"/>
      <c r="BF196" s="412"/>
      <c r="BG196" s="114"/>
      <c r="BH196" s="114"/>
      <c r="BI196" s="114"/>
      <c r="BJ196" s="414"/>
      <c r="BK196" s="412"/>
      <c r="BL196" s="114"/>
      <c r="BM196" s="114"/>
      <c r="BN196" s="114"/>
      <c r="BO196" s="414"/>
      <c r="BP196" s="412"/>
      <c r="BQ196" s="114"/>
      <c r="BR196" s="114"/>
      <c r="BS196" s="114"/>
      <c r="BT196" s="414"/>
      <c r="BU196" s="412"/>
      <c r="BV196" s="114"/>
      <c r="BW196" s="114"/>
      <c r="BX196" s="114"/>
      <c r="BY196" s="414"/>
      <c r="BZ196" s="412"/>
      <c r="CA196" s="114"/>
      <c r="CB196" s="114"/>
      <c r="CC196" s="114"/>
      <c r="CD196" s="293"/>
      <c r="CE196" s="412"/>
      <c r="CF196" s="114"/>
      <c r="CG196" s="114"/>
      <c r="CH196" s="114"/>
      <c r="CI196" s="293"/>
      <c r="CJ196" s="412"/>
      <c r="CK196" s="114"/>
      <c r="CL196" s="114"/>
      <c r="CM196" s="114"/>
      <c r="CN196" s="293"/>
      <c r="CO196" s="412"/>
      <c r="CP196" s="114"/>
      <c r="CQ196" s="439"/>
      <c r="CR196" s="439"/>
      <c r="CS196" s="293"/>
      <c r="CT196" s="349"/>
      <c r="CU196" s="349"/>
      <c r="CV196" s="349"/>
      <c r="CW196" s="349"/>
      <c r="CX196" s="293"/>
      <c r="CY196" s="291"/>
      <c r="CZ196" s="291"/>
      <c r="DA196" s="291"/>
      <c r="DB196" s="291"/>
      <c r="DC196" s="293"/>
      <c r="DD196" s="441"/>
      <c r="DE196" s="439"/>
      <c r="DF196" s="439"/>
      <c r="DG196" s="114"/>
      <c r="DH196" s="293"/>
      <c r="DI196" s="412"/>
      <c r="DJ196" s="114"/>
      <c r="DK196" s="114"/>
      <c r="DL196" s="114"/>
      <c r="DM196" s="293"/>
      <c r="DN196" s="412"/>
      <c r="DO196" s="114"/>
      <c r="DP196" s="114"/>
      <c r="DQ196" s="114"/>
      <c r="DR196" s="293"/>
      <c r="DS196" s="412"/>
      <c r="DT196" s="114"/>
      <c r="DU196" s="114"/>
      <c r="DV196" s="114"/>
      <c r="DW196" s="293"/>
      <c r="DX196" s="412"/>
      <c r="DY196" s="114"/>
      <c r="DZ196" s="114"/>
      <c r="EA196" s="114"/>
      <c r="EB196" s="293"/>
      <c r="EC196" s="412"/>
      <c r="ED196" s="114"/>
      <c r="EE196" s="114"/>
      <c r="EF196" s="114"/>
      <c r="EG196" s="293"/>
      <c r="EH196" s="412"/>
      <c r="EI196" s="114"/>
      <c r="EJ196" s="114"/>
      <c r="EK196" s="114"/>
      <c r="EL196" s="414"/>
      <c r="EM196" s="412"/>
      <c r="EN196" s="114"/>
      <c r="EO196" s="114"/>
      <c r="EP196" s="114"/>
      <c r="EQ196" s="293"/>
      <c r="ER196" s="412">
        <v>0.2</v>
      </c>
      <c r="ES196" s="114">
        <v>0.2</v>
      </c>
      <c r="ET196" s="439">
        <v>0.17</v>
      </c>
      <c r="EU196" s="439">
        <v>0.15</v>
      </c>
      <c r="EV196" s="414">
        <v>0.18</v>
      </c>
      <c r="EW196" s="439">
        <v>0.15</v>
      </c>
      <c r="EX196" s="439">
        <v>0.16</v>
      </c>
      <c r="EY196" s="439">
        <v>0.12</v>
      </c>
      <c r="EZ196" s="439">
        <v>0.18</v>
      </c>
      <c r="FA196" s="293">
        <f t="shared" ref="FA196:GE196" si="183">FA195/EV195-1</f>
      </c>
      <c r="FB196" s="107">
        <f>FB195/EW195-1</f>
      </c>
      <c r="FC196" s="107">
        <f>FC195/EX195-1</f>
      </c>
      <c r="FD196" s="107">
        <f>FD195/EY195-1</f>
      </c>
      <c r="FE196" s="107">
        <f>FE195/EZ195-1</f>
      </c>
      <c r="FF196" s="293">
        <f t="shared" si="183"/>
      </c>
      <c r="FG196" s="107">
        <f>FG195/FB195-1</f>
      </c>
      <c r="FH196" s="107">
        <f>FH195/FC195-1</f>
      </c>
      <c r="FI196" s="107">
        <f>FI195/FD195-1</f>
      </c>
      <c r="FJ196" s="107">
        <f>FJ195/FE195-1</f>
      </c>
      <c r="FK196" s="293">
        <f t="shared" ref="FK196" si="184">FK195/FF195-1</f>
      </c>
      <c r="FL196" s="107">
        <f>FL195/FG195-1</f>
      </c>
      <c r="FM196" s="107">
        <f>FM195/FH195-1</f>
      </c>
      <c r="FN196" s="107">
        <f>FN195/FI195-1</f>
      </c>
      <c r="FO196" s="107">
        <f>FO195/FJ195-1</f>
      </c>
      <c r="FP196" s="293">
        <f t="shared" ref="FP196" si="185">FP195/FK195-1</f>
      </c>
      <c r="FQ196" s="107">
        <f>FQ195/FL195-1</f>
      </c>
      <c r="FR196" s="107">
        <f>FR195/FM195-1</f>
      </c>
      <c r="FS196" s="107">
        <f>FS195/FN195-1</f>
      </c>
      <c r="FT196" s="107">
        <f>FT195/FO195-1</f>
      </c>
      <c r="FU196" s="293">
        <f t="shared" ref="FU196" si="186">FU195/FP195-1</f>
      </c>
      <c r="FV196" s="107">
        <f>FV195/FQ195-1</f>
      </c>
      <c r="FW196" s="107">
        <f>FW195/FR195-1</f>
      </c>
      <c r="FX196" s="107">
        <f>FX195/FS195-1</f>
      </c>
      <c r="FY196" s="107">
        <f>FY195/FT195-1</f>
      </c>
      <c r="FZ196" s="293">
        <f t="shared" ref="FZ196" si="187">FZ195/FU195-1</f>
      </c>
      <c r="GA196" s="107">
        <f>GA195/FV195-1</f>
      </c>
      <c r="GB196" s="107">
        <f>GB195/FW195-1</f>
      </c>
      <c r="GC196" s="107">
        <f>GC195/FX195-1</f>
      </c>
      <c r="GD196" s="107">
        <f>GD195/FY195-1</f>
      </c>
      <c r="GE196" s="293">
        <f t="shared" si="183"/>
      </c>
      <c r="GF196" s="107">
        <f>GF195/GA195-1</f>
      </c>
      <c r="GG196" s="107">
        <f>GG195/GB195-1</f>
      </c>
      <c r="GH196" s="107">
        <f>GH195/GC195-1</f>
      </c>
      <c r="GI196" s="107">
        <f>GI195/GD195-1</f>
      </c>
      <c r="GJ196" s="384">
        <f t="shared" ref="GJ196" si="188">GJ195/GE195-1</f>
      </c>
    </row>
    <row r="197" spans="1:192" s="476" customFormat="1" ht="12.75" customHeight="1">
      <c r="A197" s="784" t="s">
        <v>2011</v>
      </c>
      <c r="B197" s="1744" t="s">
        <v>197</v>
      </c>
      <c r="C197" s="412"/>
      <c r="D197" s="114"/>
      <c r="E197" s="114"/>
      <c r="F197" s="114"/>
      <c r="G197" s="414"/>
      <c r="H197" s="412"/>
      <c r="I197" s="114"/>
      <c r="J197" s="114"/>
      <c r="K197" s="114"/>
      <c r="L197" s="414"/>
      <c r="M197" s="412"/>
      <c r="N197" s="114"/>
      <c r="O197" s="114"/>
      <c r="P197" s="114"/>
      <c r="Q197" s="414"/>
      <c r="R197" s="412"/>
      <c r="S197" s="114"/>
      <c r="T197" s="114"/>
      <c r="U197" s="114"/>
      <c r="V197" s="414"/>
      <c r="W197" s="412"/>
      <c r="X197" s="114"/>
      <c r="Y197" s="114"/>
      <c r="Z197" s="114"/>
      <c r="AA197" s="414"/>
      <c r="AB197" s="412"/>
      <c r="AC197" s="114"/>
      <c r="AD197" s="114"/>
      <c r="AE197" s="114"/>
      <c r="AF197" s="414"/>
      <c r="AG197" s="412"/>
      <c r="AH197" s="114"/>
      <c r="AI197" s="114"/>
      <c r="AJ197" s="114"/>
      <c r="AK197" s="414"/>
      <c r="AL197" s="412"/>
      <c r="AM197" s="114"/>
      <c r="AN197" s="114"/>
      <c r="AO197" s="114"/>
      <c r="AP197" s="414"/>
      <c r="AQ197" s="412"/>
      <c r="AR197" s="114"/>
      <c r="AS197" s="114"/>
      <c r="AT197" s="114"/>
      <c r="AU197" s="414"/>
      <c r="AV197" s="412"/>
      <c r="AW197" s="114"/>
      <c r="AX197" s="114"/>
      <c r="AY197" s="114"/>
      <c r="AZ197" s="414"/>
      <c r="BA197" s="412"/>
      <c r="BB197" s="114"/>
      <c r="BC197" s="114"/>
      <c r="BD197" s="114"/>
      <c r="BE197" s="414"/>
      <c r="BF197" s="412"/>
      <c r="BG197" s="114"/>
      <c r="BH197" s="114"/>
      <c r="BI197" s="114"/>
      <c r="BJ197" s="414"/>
      <c r="BK197" s="412"/>
      <c r="BL197" s="114"/>
      <c r="BM197" s="114"/>
      <c r="BN197" s="114"/>
      <c r="BO197" s="414"/>
      <c r="BP197" s="412"/>
      <c r="BQ197" s="114"/>
      <c r="BR197" s="114"/>
      <c r="BS197" s="114"/>
      <c r="BT197" s="414"/>
      <c r="BU197" s="412"/>
      <c r="BV197" s="114"/>
      <c r="BW197" s="114"/>
      <c r="BX197" s="114"/>
      <c r="BY197" s="414"/>
      <c r="BZ197" s="412"/>
      <c r="CA197" s="114"/>
      <c r="CB197" s="114"/>
      <c r="CC197" s="114"/>
      <c r="CD197" s="293"/>
      <c r="CE197" s="412"/>
      <c r="CF197" s="114"/>
      <c r="CG197" s="114"/>
      <c r="CH197" s="114"/>
      <c r="CI197" s="293"/>
      <c r="CJ197" s="412"/>
      <c r="CK197" s="114"/>
      <c r="CL197" s="114"/>
      <c r="CM197" s="114"/>
      <c r="CN197" s="293"/>
      <c r="CO197" s="412"/>
      <c r="CP197" s="114"/>
      <c r="CQ197" s="439"/>
      <c r="CR197" s="439"/>
      <c r="CS197" s="293"/>
      <c r="CT197" s="349"/>
      <c r="CU197" s="468"/>
      <c r="CV197" s="468"/>
      <c r="CW197" s="468"/>
      <c r="CX197" s="293"/>
      <c r="CY197" s="291"/>
      <c r="CZ197" s="107"/>
      <c r="DA197" s="107"/>
      <c r="DB197" s="107"/>
      <c r="DC197" s="293"/>
      <c r="DD197" s="412"/>
      <c r="DE197" s="114"/>
      <c r="DF197" s="114"/>
      <c r="DG197" s="114"/>
      <c r="DH197" s="293"/>
      <c r="DI197" s="412"/>
      <c r="DJ197" s="114"/>
      <c r="DK197" s="114"/>
      <c r="DL197" s="114"/>
      <c r="DM197" s="293"/>
      <c r="DN197" s="412"/>
      <c r="DO197" s="114"/>
      <c r="DP197" s="114"/>
      <c r="DQ197" s="114"/>
      <c r="DR197" s="293"/>
      <c r="DS197" s="412"/>
      <c r="DT197" s="114"/>
      <c r="DU197" s="114"/>
      <c r="DV197" s="114"/>
      <c r="DW197" s="293"/>
      <c r="DX197" s="412"/>
      <c r="DY197" s="114"/>
      <c r="DZ197" s="114"/>
      <c r="EA197" s="114"/>
      <c r="EB197" s="293"/>
      <c r="EC197" s="412"/>
      <c r="ED197" s="114"/>
      <c r="EE197" s="114"/>
      <c r="EF197" s="114"/>
      <c r="EG197" s="293"/>
      <c r="EH197" s="412"/>
      <c r="EI197" s="114"/>
      <c r="EJ197" s="114"/>
      <c r="EK197" s="114"/>
      <c r="EL197" s="293"/>
      <c r="EM197" s="412"/>
      <c r="EN197" s="114"/>
      <c r="EO197" s="114"/>
      <c r="EP197" s="114"/>
      <c r="EQ197" s="293"/>
      <c r="ER197" s="412">
        <v>0.19</v>
      </c>
      <c r="ES197" s="114">
        <v>0.18</v>
      </c>
      <c r="ET197" s="439">
        <v>0.17</v>
      </c>
      <c r="EU197" s="439">
        <v>0.16</v>
      </c>
      <c r="EV197" s="414"/>
      <c r="EW197" s="441">
        <v>0.16</v>
      </c>
      <c r="EX197" s="439">
        <v>0.15</v>
      </c>
      <c r="EY197" s="439">
        <v>0.15</v>
      </c>
      <c r="EZ197" s="439">
        <v>0.16</v>
      </c>
      <c r="FA197" s="414"/>
      <c r="FB197" s="412">
        <f>FB196-3%</f>
      </c>
      <c r="FC197" s="412">
        <f>FC196-2%</f>
      </c>
      <c r="FD197" s="412">
        <f>FD196-2%</f>
      </c>
      <c r="FE197" s="412">
        <f>FE196-2%</f>
      </c>
      <c r="FF197" s="293"/>
      <c r="FG197" s="291"/>
      <c r="FH197" s="107"/>
      <c r="FI197" s="107"/>
      <c r="FJ197" s="107"/>
      <c r="FK197" s="293"/>
      <c r="FL197" s="291"/>
      <c r="FM197" s="107"/>
      <c r="FN197" s="107"/>
      <c r="FO197" s="107"/>
      <c r="FP197" s="293"/>
      <c r="FQ197" s="291"/>
      <c r="FR197" s="107"/>
      <c r="FS197" s="107"/>
      <c r="FT197" s="107"/>
      <c r="FU197" s="293"/>
      <c r="FV197" s="291"/>
      <c r="FW197" s="107"/>
      <c r="FX197" s="107"/>
      <c r="FY197" s="107"/>
      <c r="FZ197" s="293"/>
      <c r="GA197" s="291"/>
      <c r="GB197" s="107"/>
      <c r="GC197" s="107"/>
      <c r="GD197" s="107"/>
      <c r="GE197" s="293"/>
      <c r="GF197" s="291"/>
      <c r="GG197" s="107"/>
      <c r="GH197" s="107"/>
      <c r="GI197" s="107"/>
      <c r="GJ197" s="382"/>
    </row>
    <row r="198" spans="1:192" ht="12.75" customHeight="1">
      <c r="B198" s="736" t="s">
        <v>36</v>
      </c>
      <c r="C198" s="291"/>
      <c r="D198" s="107"/>
      <c r="E198" s="107"/>
      <c r="F198" s="107"/>
      <c r="G198" s="293"/>
      <c r="H198" s="291"/>
      <c r="I198" s="107"/>
      <c r="J198" s="107"/>
      <c r="K198" s="107"/>
      <c r="L198" s="293"/>
      <c r="M198" s="291"/>
      <c r="N198" s="107"/>
      <c r="O198" s="107"/>
      <c r="P198" s="107"/>
      <c r="Q198" s="293"/>
      <c r="R198" s="291"/>
      <c r="S198" s="107"/>
      <c r="T198" s="107"/>
      <c r="U198" s="107"/>
      <c r="V198" s="293"/>
      <c r="W198" s="291"/>
      <c r="X198" s="107"/>
      <c r="Y198" s="107"/>
      <c r="Z198" s="107"/>
      <c r="AA198" s="293"/>
      <c r="AB198" s="291"/>
      <c r="AC198" s="107"/>
      <c r="AD198" s="107"/>
      <c r="AE198" s="107"/>
      <c r="AF198" s="293"/>
      <c r="AG198" s="291"/>
      <c r="AH198" s="107"/>
      <c r="AI198" s="107"/>
      <c r="AJ198" s="107"/>
      <c r="AK198" s="293"/>
      <c r="AL198" s="291"/>
      <c r="AM198" s="107"/>
      <c r="AN198" s="107"/>
      <c r="AO198" s="107"/>
      <c r="AP198" s="293"/>
      <c r="AQ198" s="291"/>
      <c r="AR198" s="107"/>
      <c r="AS198" s="107"/>
      <c r="AT198" s="107"/>
      <c r="AU198" s="293"/>
      <c r="AV198" s="291"/>
      <c r="AW198" s="107"/>
      <c r="AX198" s="107"/>
      <c r="AY198" s="107"/>
      <c r="AZ198" s="293"/>
      <c r="BA198" s="291"/>
      <c r="BB198" s="107"/>
      <c r="BC198" s="107"/>
      <c r="BD198" s="107"/>
      <c r="BE198" s="293"/>
      <c r="BF198" s="291"/>
      <c r="BG198" s="107"/>
      <c r="BH198" s="107"/>
      <c r="BI198" s="107"/>
      <c r="BJ198" s="293"/>
      <c r="BK198" s="291"/>
      <c r="BL198" s="107"/>
      <c r="BM198" s="107"/>
      <c r="BN198" s="107"/>
      <c r="BO198" s="293"/>
      <c r="BP198" s="291"/>
      <c r="BQ198" s="107"/>
      <c r="BR198" s="107"/>
      <c r="BS198" s="107"/>
      <c r="BT198" s="293"/>
      <c r="BU198" s="291"/>
      <c r="BV198" s="107"/>
      <c r="BW198" s="107"/>
      <c r="BX198" s="107"/>
      <c r="BY198" s="293"/>
      <c r="BZ198" s="291"/>
      <c r="CA198" s="107"/>
      <c r="CB198" s="107"/>
      <c r="CC198" s="107"/>
      <c r="CD198" s="293"/>
      <c r="CE198" s="291"/>
      <c r="CF198" s="107"/>
      <c r="CG198" s="107"/>
      <c r="CH198" s="107"/>
      <c r="CI198" s="293"/>
      <c r="CJ198" s="291"/>
      <c r="CK198" s="107"/>
      <c r="CL198" s="107"/>
      <c r="CM198" s="107"/>
      <c r="CN198" s="293"/>
      <c r="CO198" s="291"/>
      <c r="CP198" s="107"/>
      <c r="CQ198" s="468"/>
      <c r="CR198" s="468"/>
      <c r="CS198" s="292"/>
      <c r="CT198" s="349"/>
      <c r="CU198" s="468"/>
      <c r="CV198" s="468"/>
      <c r="CW198" s="468"/>
      <c r="CX198" s="292"/>
      <c r="CY198" s="291"/>
      <c r="CZ198" s="107"/>
      <c r="DA198" s="107"/>
      <c r="DB198" s="107"/>
      <c r="DC198" s="292"/>
      <c r="DD198" s="291"/>
      <c r="DE198" s="107"/>
      <c r="DF198" s="107"/>
      <c r="DG198" s="107"/>
      <c r="DH198" s="292"/>
      <c r="DI198" s="291"/>
      <c r="DJ198" s="107"/>
      <c r="DK198" s="107"/>
      <c r="DL198" s="107"/>
      <c r="DM198" s="292"/>
      <c r="DN198" s="291"/>
      <c r="DO198" s="107"/>
      <c r="DP198" s="107"/>
      <c r="DQ198" s="107"/>
      <c r="DR198" s="292"/>
      <c r="DS198" s="291"/>
      <c r="DT198" s="107"/>
      <c r="DU198" s="107"/>
      <c r="DV198" s="107"/>
      <c r="DW198" s="292"/>
      <c r="DX198" s="291"/>
      <c r="DY198" s="107"/>
      <c r="DZ198" s="107"/>
      <c r="EA198" s="107"/>
      <c r="EB198" s="292"/>
      <c r="EC198" s="291"/>
      <c r="ED198" s="107"/>
      <c r="EE198" s="107"/>
      <c r="EF198" s="107"/>
      <c r="EG198" s="292"/>
      <c r="EH198" s="291"/>
      <c r="EI198" s="107"/>
      <c r="EJ198" s="107"/>
      <c r="EK198" s="107"/>
      <c r="EL198" s="292"/>
      <c r="EM198" s="291"/>
      <c r="EN198" s="107">
        <f>EN195/EM195-1</f>
      </c>
      <c r="EO198" s="107">
        <f>EO195/EN195-1</f>
      </c>
      <c r="EP198" s="107">
        <f>EP195/EO195-1</f>
      </c>
      <c r="EQ198" s="292"/>
      <c r="ER198" s="291">
        <f>ER195/EP195-1</f>
      </c>
      <c r="ES198" s="107">
        <f>ES195/ER195-1</f>
      </c>
      <c r="ET198" s="107">
        <f>ET195/ES195-1</f>
      </c>
      <c r="EU198" s="107">
        <f>EU195/ET195-1</f>
      </c>
      <c r="EV198" s="292"/>
      <c r="EW198" s="291">
        <f>EW195/EU195-1</f>
      </c>
      <c r="EX198" s="107">
        <f>EX195/EW195-1</f>
      </c>
      <c r="EY198" s="107">
        <f>EY195/EX195-1</f>
      </c>
      <c r="EZ198" s="107">
        <f>EZ195/EY195-1</f>
      </c>
      <c r="FA198" s="292"/>
      <c r="FB198" s="291">
        <f>FB195/EZ195-1</f>
      </c>
      <c r="FC198" s="107">
        <f>FC195/FB195-1</f>
      </c>
      <c r="FD198" s="107">
        <f>FD195/FC195-1</f>
      </c>
      <c r="FE198" s="107">
        <f>FE195/FD195-1</f>
      </c>
      <c r="FF198" s="292"/>
      <c r="FG198" s="291">
        <f>FG195/FE195-1</f>
      </c>
      <c r="FH198" s="107">
        <f>FH195/FG195-1</f>
      </c>
      <c r="FI198" s="107">
        <f>FI195/FH195-1</f>
      </c>
      <c r="FJ198" s="107">
        <f>FJ195/FI195-1</f>
      </c>
      <c r="FK198" s="292"/>
      <c r="FL198" s="291">
        <f>FL195/FJ195-1</f>
      </c>
      <c r="FM198" s="107">
        <f>FM195/FL195-1</f>
      </c>
      <c r="FN198" s="107">
        <f>FN195/FM195-1</f>
      </c>
      <c r="FO198" s="107">
        <f>FO195/FN195-1</f>
      </c>
      <c r="FP198" s="292"/>
      <c r="FQ198" s="291">
        <f>FQ195/FO195-1</f>
      </c>
      <c r="FR198" s="107">
        <f>FR195/FQ195-1</f>
      </c>
      <c r="FS198" s="107">
        <f>FS195/FR195-1</f>
      </c>
      <c r="FT198" s="107">
        <f>FT195/FS195-1</f>
      </c>
      <c r="FU198" s="292"/>
      <c r="FV198" s="291">
        <f>FV195/FT195-1</f>
      </c>
      <c r="FW198" s="107">
        <f>FW195/FV195-1</f>
      </c>
      <c r="FX198" s="107">
        <f>FX195/FW195-1</f>
      </c>
      <c r="FY198" s="107">
        <f>FY195/FX195-1</f>
      </c>
      <c r="FZ198" s="293"/>
      <c r="GA198" s="291">
        <f>GA195/FY195-1</f>
      </c>
      <c r="GB198" s="107">
        <f>GB195/GA195-1</f>
      </c>
      <c r="GC198" s="107">
        <f>GC195/GB195-1</f>
      </c>
      <c r="GD198" s="107">
        <f>GD195/GC195-1</f>
      </c>
      <c r="GE198" s="293"/>
      <c r="GF198" s="291">
        <f>GF195/GD195-1</f>
      </c>
      <c r="GG198" s="107">
        <f>GG195/GF195-1</f>
      </c>
      <c r="GH198" s="107">
        <f>GH195/GG195-1</f>
      </c>
      <c r="GI198" s="107">
        <f>GI195/GH195-1</f>
      </c>
      <c r="GJ198" s="382"/>
    </row>
    <row r="199" spans="1:192" s="461" customFormat="1" ht="12.75" customHeight="1">
      <c r="A199" s="370"/>
      <c r="B199" s="735" t="s">
        <v>243</v>
      </c>
      <c r="C199" s="447"/>
      <c r="D199" s="458"/>
      <c r="E199" s="458"/>
      <c r="F199" s="458"/>
      <c r="G199" s="459"/>
      <c r="H199" s="447"/>
      <c r="I199" s="458"/>
      <c r="J199" s="458"/>
      <c r="K199" s="458"/>
      <c r="L199" s="459"/>
      <c r="M199" s="447"/>
      <c r="N199" s="458"/>
      <c r="O199" s="458"/>
      <c r="P199" s="458"/>
      <c r="Q199" s="459"/>
      <c r="R199" s="447"/>
      <c r="S199" s="458"/>
      <c r="T199" s="458"/>
      <c r="U199" s="458"/>
      <c r="V199" s="459"/>
      <c r="W199" s="447"/>
      <c r="X199" s="458"/>
      <c r="Y199" s="458"/>
      <c r="Z199" s="458"/>
      <c r="AA199" s="459"/>
      <c r="AB199" s="447"/>
      <c r="AC199" s="458"/>
      <c r="AD199" s="458"/>
      <c r="AE199" s="458"/>
      <c r="AF199" s="459"/>
      <c r="AG199" s="447"/>
      <c r="AH199" s="458"/>
      <c r="AI199" s="458"/>
      <c r="AJ199" s="458"/>
      <c r="AK199" s="459"/>
      <c r="AL199" s="447"/>
      <c r="AM199" s="458"/>
      <c r="AN199" s="458"/>
      <c r="AO199" s="458"/>
      <c r="AP199" s="459"/>
      <c r="AQ199" s="447"/>
      <c r="AR199" s="458"/>
      <c r="AS199" s="458"/>
      <c r="AT199" s="458"/>
      <c r="AU199" s="459"/>
      <c r="AV199" s="447"/>
      <c r="AW199" s="458"/>
      <c r="AX199" s="458"/>
      <c r="AY199" s="458"/>
      <c r="AZ199" s="459"/>
      <c r="BA199" s="447"/>
      <c r="BB199" s="458"/>
      <c r="BC199" s="458"/>
      <c r="BD199" s="458"/>
      <c r="BE199" s="459"/>
      <c r="BF199" s="447"/>
      <c r="BG199" s="458"/>
      <c r="BH199" s="458"/>
      <c r="BI199" s="458"/>
      <c r="BJ199" s="459"/>
      <c r="BK199" s="447"/>
      <c r="BL199" s="458"/>
      <c r="BM199" s="458"/>
      <c r="BN199" s="458"/>
      <c r="BO199" s="459"/>
      <c r="BP199" s="447"/>
      <c r="BQ199" s="458"/>
      <c r="BR199" s="458"/>
      <c r="BS199" s="458"/>
      <c r="BT199" s="459"/>
      <c r="BU199" s="447"/>
      <c r="BV199" s="458"/>
      <c r="BW199" s="458"/>
      <c r="BX199" s="458"/>
      <c r="BY199" s="459"/>
      <c r="BZ199" s="447"/>
      <c r="CA199" s="458"/>
      <c r="CB199" s="458"/>
      <c r="CC199" s="458"/>
      <c r="CD199" s="459"/>
      <c r="CE199" s="447"/>
      <c r="CF199" s="458"/>
      <c r="CG199" s="458"/>
      <c r="CH199" s="458"/>
      <c r="CI199" s="459"/>
      <c r="CJ199" s="447"/>
      <c r="CK199" s="458"/>
      <c r="CL199" s="458"/>
      <c r="CM199" s="458"/>
      <c r="CN199" s="459"/>
      <c r="CO199" s="447"/>
      <c r="CP199" s="447"/>
      <c r="CQ199" s="447"/>
      <c r="CR199" s="447"/>
      <c r="CS199" s="462"/>
      <c r="CT199" s="511"/>
      <c r="CU199" s="511"/>
      <c r="CV199" s="511"/>
      <c r="CW199" s="511"/>
      <c r="CX199" s="462"/>
      <c r="CY199" s="447"/>
      <c r="CZ199" s="447"/>
      <c r="DA199" s="447"/>
      <c r="DB199" s="447"/>
      <c r="DC199" s="462"/>
      <c r="DD199" s="447"/>
      <c r="DE199" s="447"/>
      <c r="DF199" s="447"/>
      <c r="DG199" s="447"/>
      <c r="DH199" s="462"/>
      <c r="DI199" s="447"/>
      <c r="DJ199" s="447"/>
      <c r="DK199" s="447"/>
      <c r="DL199" s="447"/>
      <c r="DM199" s="462"/>
      <c r="DN199" s="447"/>
      <c r="DO199" s="447"/>
      <c r="DP199" s="447"/>
      <c r="DQ199" s="447"/>
      <c r="DR199" s="462"/>
      <c r="DS199" s="447"/>
      <c r="DT199" s="447"/>
      <c r="DU199" s="447"/>
      <c r="DV199" s="447"/>
      <c r="DW199" s="462"/>
      <c r="DX199" s="447"/>
      <c r="DY199" s="447"/>
      <c r="DZ199" s="447"/>
      <c r="EA199" s="447"/>
      <c r="EB199" s="462"/>
      <c r="EC199" s="447"/>
      <c r="ED199" s="447"/>
      <c r="EE199" s="447"/>
      <c r="EF199" s="447"/>
      <c r="EG199" s="462"/>
      <c r="EH199" s="447"/>
      <c r="EI199" s="447"/>
      <c r="EJ199" s="447"/>
      <c r="EK199" s="447"/>
      <c r="EL199" s="462"/>
      <c r="EM199" s="447"/>
      <c r="EN199" s="447"/>
      <c r="EO199" s="447"/>
      <c r="EP199" s="447"/>
      <c r="EQ199" s="462"/>
      <c r="ER199" s="447">
        <f t="shared" ref="ER199" si="189">ER195-EM195</f>
      </c>
      <c r="ES199" s="447">
        <f t="shared" ref="ES199" si="190">ES195-EN195</f>
      </c>
      <c r="ET199" s="447">
        <f t="shared" ref="ET199" si="191">ET195-EO195</f>
      </c>
      <c r="EU199" s="447">
        <f t="shared" ref="EU199" si="192">EU195-EP195</f>
      </c>
      <c r="EV199" s="462">
        <f t="shared" ref="EV199" si="193">EV195-EQ195</f>
      </c>
      <c r="EW199" s="447">
        <f t="shared" ref="EW199:GE199" si="194">EW195-ER195</f>
      </c>
      <c r="EX199" s="447">
        <f t="shared" si="194"/>
      </c>
      <c r="EY199" s="447">
        <f t="shared" si="194"/>
      </c>
      <c r="EZ199" s="447">
        <f t="shared" si="194"/>
      </c>
      <c r="FA199" s="462">
        <f t="shared" si="194"/>
      </c>
      <c r="FB199" s="447">
        <f t="shared" si="194"/>
      </c>
      <c r="FC199" s="447">
        <f t="shared" si="194"/>
      </c>
      <c r="FD199" s="447">
        <f t="shared" si="194"/>
      </c>
      <c r="FE199" s="447">
        <f t="shared" si="194"/>
      </c>
      <c r="FF199" s="462">
        <f t="shared" si="194"/>
      </c>
      <c r="FG199" s="447">
        <f t="shared" si="194"/>
      </c>
      <c r="FH199" s="447">
        <f t="shared" si="194"/>
      </c>
      <c r="FI199" s="447">
        <f t="shared" si="194"/>
      </c>
      <c r="FJ199" s="447">
        <f t="shared" si="194"/>
      </c>
      <c r="FK199" s="462">
        <f t="shared" si="194"/>
      </c>
      <c r="FL199" s="447">
        <f t="shared" si="194"/>
      </c>
      <c r="FM199" s="447">
        <f t="shared" si="194"/>
      </c>
      <c r="FN199" s="447">
        <f t="shared" si="194"/>
      </c>
      <c r="FO199" s="447">
        <f t="shared" si="194"/>
      </c>
      <c r="FP199" s="462">
        <f t="shared" si="194"/>
      </c>
      <c r="FQ199" s="447">
        <f t="shared" si="194"/>
      </c>
      <c r="FR199" s="447">
        <f t="shared" si="194"/>
      </c>
      <c r="FS199" s="447">
        <f t="shared" si="194"/>
      </c>
      <c r="FT199" s="447">
        <f t="shared" si="194"/>
      </c>
      <c r="FU199" s="462">
        <f t="shared" si="194"/>
      </c>
      <c r="FV199" s="447">
        <f t="shared" si="194"/>
      </c>
      <c r="FW199" s="458">
        <f t="shared" si="194"/>
      </c>
      <c r="FX199" s="458">
        <f t="shared" si="194"/>
      </c>
      <c r="FY199" s="458">
        <f t="shared" si="194"/>
      </c>
      <c r="FZ199" s="459">
        <f t="shared" si="194"/>
      </c>
      <c r="GA199" s="447">
        <f t="shared" si="194"/>
      </c>
      <c r="GB199" s="458">
        <f t="shared" si="194"/>
      </c>
      <c r="GC199" s="458">
        <f t="shared" si="194"/>
      </c>
      <c r="GD199" s="458">
        <f t="shared" si="194"/>
      </c>
      <c r="GE199" s="459">
        <f t="shared" si="194"/>
      </c>
      <c r="GF199" s="447">
        <f t="shared" ref="GF199" si="195">GF195-GA195</f>
      </c>
      <c r="GG199" s="458">
        <f t="shared" ref="GG199" si="196">GG195-GB195</f>
      </c>
      <c r="GH199" s="458">
        <f t="shared" ref="GH199" si="197">GH195-GC195</f>
      </c>
      <c r="GI199" s="458">
        <f t="shared" ref="GI199" si="198">GI195-GD195</f>
      </c>
      <c r="GJ199" s="460">
        <f t="shared" ref="GJ199" si="199">GJ195-GE195</f>
      </c>
    </row>
    <row r="200" spans="1:192" s="461" customFormat="1" ht="12.75" customHeight="1">
      <c r="A200" s="370"/>
      <c r="B200" s="735" t="s">
        <v>244</v>
      </c>
      <c r="C200" s="447"/>
      <c r="D200" s="458"/>
      <c r="E200" s="458"/>
      <c r="F200" s="458"/>
      <c r="G200" s="459"/>
      <c r="H200" s="447"/>
      <c r="I200" s="458"/>
      <c r="J200" s="458"/>
      <c r="K200" s="458"/>
      <c r="L200" s="459"/>
      <c r="M200" s="447"/>
      <c r="N200" s="458"/>
      <c r="O200" s="458"/>
      <c r="P200" s="458"/>
      <c r="Q200" s="459"/>
      <c r="R200" s="447"/>
      <c r="S200" s="458"/>
      <c r="T200" s="458"/>
      <c r="U200" s="458"/>
      <c r="V200" s="459"/>
      <c r="W200" s="447"/>
      <c r="X200" s="458"/>
      <c r="Y200" s="458"/>
      <c r="Z200" s="458"/>
      <c r="AA200" s="459"/>
      <c r="AB200" s="447"/>
      <c r="AC200" s="458"/>
      <c r="AD200" s="458"/>
      <c r="AE200" s="458"/>
      <c r="AF200" s="459"/>
      <c r="AG200" s="447"/>
      <c r="AH200" s="458"/>
      <c r="AI200" s="458"/>
      <c r="AJ200" s="458"/>
      <c r="AK200" s="459"/>
      <c r="AL200" s="447"/>
      <c r="AM200" s="458"/>
      <c r="AN200" s="458"/>
      <c r="AO200" s="458"/>
      <c r="AP200" s="459"/>
      <c r="AQ200" s="447"/>
      <c r="AR200" s="458"/>
      <c r="AS200" s="458"/>
      <c r="AT200" s="458"/>
      <c r="AU200" s="459"/>
      <c r="AV200" s="447"/>
      <c r="AW200" s="458"/>
      <c r="AX200" s="458"/>
      <c r="AY200" s="458"/>
      <c r="AZ200" s="459"/>
      <c r="BA200" s="447"/>
      <c r="BB200" s="458"/>
      <c r="BC200" s="458"/>
      <c r="BD200" s="458"/>
      <c r="BE200" s="459"/>
      <c r="BF200" s="447"/>
      <c r="BG200" s="458"/>
      <c r="BH200" s="458"/>
      <c r="BI200" s="458"/>
      <c r="BJ200" s="459"/>
      <c r="BK200" s="447"/>
      <c r="BL200" s="458"/>
      <c r="BM200" s="458"/>
      <c r="BN200" s="458"/>
      <c r="BO200" s="459"/>
      <c r="BP200" s="447"/>
      <c r="BQ200" s="458"/>
      <c r="BR200" s="458"/>
      <c r="BS200" s="458"/>
      <c r="BT200" s="459"/>
      <c r="BU200" s="447"/>
      <c r="BV200" s="458"/>
      <c r="BW200" s="458"/>
      <c r="BX200" s="458"/>
      <c r="BY200" s="459"/>
      <c r="BZ200" s="447"/>
      <c r="CA200" s="458"/>
      <c r="CB200" s="458"/>
      <c r="CC200" s="458"/>
      <c r="CD200" s="459"/>
      <c r="CE200" s="447"/>
      <c r="CF200" s="458"/>
      <c r="CG200" s="458"/>
      <c r="CH200" s="458"/>
      <c r="CI200" s="459"/>
      <c r="CJ200" s="447"/>
      <c r="CK200" s="458"/>
      <c r="CL200" s="458"/>
      <c r="CM200" s="458"/>
      <c r="CN200" s="459"/>
      <c r="CO200" s="447"/>
      <c r="CP200" s="458"/>
      <c r="CQ200" s="458"/>
      <c r="CR200" s="458"/>
      <c r="CS200" s="462"/>
      <c r="CT200" s="511"/>
      <c r="CU200" s="679"/>
      <c r="CV200" s="679"/>
      <c r="CW200" s="679"/>
      <c r="CX200" s="462"/>
      <c r="CY200" s="447"/>
      <c r="CZ200" s="458"/>
      <c r="DA200" s="458"/>
      <c r="DB200" s="458"/>
      <c r="DC200" s="462"/>
      <c r="DD200" s="447"/>
      <c r="DE200" s="458"/>
      <c r="DF200" s="458"/>
      <c r="DG200" s="458"/>
      <c r="DH200" s="462"/>
      <c r="DI200" s="447"/>
      <c r="DJ200" s="458"/>
      <c r="DK200" s="458"/>
      <c r="DL200" s="458"/>
      <c r="DM200" s="462"/>
      <c r="DN200" s="447"/>
      <c r="DO200" s="458"/>
      <c r="DP200" s="458"/>
      <c r="DQ200" s="458"/>
      <c r="DR200" s="462"/>
      <c r="DS200" s="447"/>
      <c r="DT200" s="458"/>
      <c r="DU200" s="458"/>
      <c r="DV200" s="458"/>
      <c r="DW200" s="462"/>
      <c r="DX200" s="447"/>
      <c r="DY200" s="458"/>
      <c r="DZ200" s="458"/>
      <c r="EA200" s="458"/>
      <c r="EB200" s="462"/>
      <c r="EC200" s="447"/>
      <c r="ED200" s="458"/>
      <c r="EE200" s="458"/>
      <c r="EF200" s="458"/>
      <c r="EG200" s="462"/>
      <c r="EH200" s="447"/>
      <c r="EI200" s="458"/>
      <c r="EJ200" s="458"/>
      <c r="EK200" s="458"/>
      <c r="EL200" s="462"/>
      <c r="EM200" s="511"/>
      <c r="EN200" s="679"/>
      <c r="EO200" s="679"/>
      <c r="EP200" s="679"/>
      <c r="EQ200" s="462"/>
      <c r="ER200" s="447">
        <f>ER195-EP195</f>
      </c>
      <c r="ES200" s="458">
        <f>ES195-ER195</f>
      </c>
      <c r="ET200" s="458">
        <f>ET195-ES195</f>
      </c>
      <c r="EU200" s="458">
        <f>EU195-ET195</f>
      </c>
      <c r="EV200" s="462"/>
      <c r="EW200" s="447">
        <f>EW195-EU195</f>
      </c>
      <c r="EX200" s="458">
        <f>EX195-EW195</f>
      </c>
      <c r="EY200" s="458">
        <f>EY195-EX195</f>
      </c>
      <c r="EZ200" s="458">
        <f>EZ195-EY195</f>
      </c>
      <c r="FA200" s="462"/>
      <c r="FB200" s="447">
        <f>FB195-EZ195</f>
      </c>
      <c r="FC200" s="458">
        <f>FC195-FB195</f>
      </c>
      <c r="FD200" s="458">
        <f>FD195-FC195</f>
      </c>
      <c r="FE200" s="458">
        <f>FE195-FD195</f>
      </c>
      <c r="FF200" s="462"/>
      <c r="FG200" s="447">
        <f>FG195-FE195</f>
      </c>
      <c r="FH200" s="458">
        <f>FH195-FG195</f>
      </c>
      <c r="FI200" s="458">
        <f>FI195-FH195</f>
      </c>
      <c r="FJ200" s="458">
        <f>FJ195-FI195</f>
      </c>
      <c r="FK200" s="462"/>
      <c r="FL200" s="447">
        <f>FL195-FJ195</f>
      </c>
      <c r="FM200" s="458">
        <f>FM195-FL195</f>
      </c>
      <c r="FN200" s="458">
        <f>FN195-FM195</f>
      </c>
      <c r="FO200" s="458">
        <f>FO195-FN195</f>
      </c>
      <c r="FP200" s="462"/>
      <c r="FQ200" s="447">
        <f>FQ195-FO195</f>
      </c>
      <c r="FR200" s="458">
        <f>FR195-FQ195</f>
      </c>
      <c r="FS200" s="458">
        <f>FS195-FR195</f>
      </c>
      <c r="FT200" s="458">
        <f>FT195-FS195</f>
      </c>
      <c r="FU200" s="462"/>
      <c r="FV200" s="447">
        <f>FV195-FT195</f>
      </c>
      <c r="FW200" s="458">
        <f>FW195-FV195</f>
      </c>
      <c r="FX200" s="458">
        <f>FX195-FW195</f>
      </c>
      <c r="FY200" s="458">
        <f>FY195-FX195</f>
      </c>
      <c r="FZ200" s="459"/>
      <c r="GA200" s="447">
        <f>GA195-FY195</f>
      </c>
      <c r="GB200" s="458">
        <f>GB195-GA195</f>
      </c>
      <c r="GC200" s="458">
        <f>GC195-GB195</f>
      </c>
      <c r="GD200" s="458">
        <f>GD195-GC195</f>
      </c>
      <c r="GE200" s="459"/>
      <c r="GF200" s="447">
        <f>GF195-GD195</f>
      </c>
      <c r="GG200" s="458">
        <f>GG195-GF195</f>
      </c>
      <c r="GH200" s="458">
        <f>GH195-GG195</f>
      </c>
      <c r="GI200" s="458">
        <f>GI195-GH195</f>
      </c>
      <c r="GJ200" s="460"/>
    </row>
    <row r="201" spans="1:192" ht="12.75" customHeight="1">
      <c r="B201" s="1246" t="s">
        <v>1995</v>
      </c>
      <c r="C201" s="291"/>
      <c r="D201" s="107"/>
      <c r="E201" s="107"/>
      <c r="F201" s="107"/>
      <c r="G201" s="292"/>
      <c r="H201" s="291"/>
      <c r="I201" s="107"/>
      <c r="J201" s="107"/>
      <c r="K201" s="107"/>
      <c r="L201" s="292"/>
      <c r="M201" s="291"/>
      <c r="N201" s="107"/>
      <c r="O201" s="107"/>
      <c r="P201" s="107"/>
      <c r="Q201" s="292"/>
      <c r="R201" s="291"/>
      <c r="S201" s="107"/>
      <c r="T201" s="107"/>
      <c r="U201" s="107"/>
      <c r="V201" s="292"/>
      <c r="W201" s="291"/>
      <c r="X201" s="107"/>
      <c r="Y201" s="107"/>
      <c r="Z201" s="107"/>
      <c r="AA201" s="292"/>
      <c r="AB201" s="291"/>
      <c r="AC201" s="107"/>
      <c r="AD201" s="107"/>
      <c r="AE201" s="107"/>
      <c r="AF201" s="292"/>
      <c r="AG201" s="291"/>
      <c r="AH201" s="107"/>
      <c r="AI201" s="107"/>
      <c r="AJ201" s="107"/>
      <c r="AK201" s="292"/>
      <c r="AL201" s="291"/>
      <c r="AM201" s="107"/>
      <c r="AN201" s="107"/>
      <c r="AO201" s="107"/>
      <c r="AP201" s="292"/>
      <c r="AQ201" s="291"/>
      <c r="AR201" s="107"/>
      <c r="AS201" s="107"/>
      <c r="AT201" s="107"/>
      <c r="AU201" s="292"/>
      <c r="AV201" s="291"/>
      <c r="AW201" s="107"/>
      <c r="AX201" s="107"/>
      <c r="AY201" s="107"/>
      <c r="AZ201" s="292"/>
      <c r="BA201" s="291"/>
      <c r="BB201" s="107"/>
      <c r="BC201" s="107"/>
      <c r="BD201" s="107"/>
      <c r="BE201" s="292"/>
      <c r="BF201" s="291"/>
      <c r="BG201" s="107"/>
      <c r="BH201" s="107"/>
      <c r="BI201" s="107"/>
      <c r="BJ201" s="292"/>
      <c r="BK201" s="291"/>
      <c r="BL201" s="107"/>
      <c r="BM201" s="107"/>
      <c r="BN201" s="107"/>
      <c r="BO201" s="292"/>
      <c r="BP201" s="291"/>
      <c r="BQ201" s="107"/>
      <c r="BR201" s="107"/>
      <c r="BS201" s="107"/>
      <c r="BT201" s="292"/>
      <c r="BU201" s="291"/>
      <c r="BV201" s="107"/>
      <c r="BW201" s="107"/>
      <c r="BX201" s="107"/>
      <c r="BY201" s="292"/>
      <c r="BZ201" s="291"/>
      <c r="CA201" s="107"/>
      <c r="CB201" s="107"/>
      <c r="CC201" s="107"/>
      <c r="CD201" s="292"/>
      <c r="CE201" s="291"/>
      <c r="CF201" s="107"/>
      <c r="CG201" s="107"/>
      <c r="CH201" s="107"/>
      <c r="CI201" s="292"/>
      <c r="CJ201" s="291"/>
      <c r="CK201" s="107"/>
      <c r="CL201" s="107"/>
      <c r="CM201" s="107"/>
      <c r="CN201" s="292"/>
      <c r="CO201" s="291"/>
      <c r="CP201" s="107"/>
      <c r="CQ201" s="107"/>
      <c r="CR201" s="107"/>
      <c r="CS201" s="292"/>
      <c r="CT201" s="291"/>
      <c r="CU201" s="291"/>
      <c r="CV201" s="291"/>
      <c r="CW201" s="291"/>
      <c r="CX201" s="292"/>
      <c r="CY201" s="291"/>
      <c r="CZ201" s="291"/>
      <c r="DA201" s="291"/>
      <c r="DB201" s="291"/>
      <c r="DC201" s="292"/>
      <c r="DD201" s="349"/>
      <c r="DE201" s="349"/>
      <c r="DF201" s="349"/>
      <c r="DG201" s="349"/>
      <c r="DH201" s="896"/>
      <c r="DI201" s="349"/>
      <c r="DJ201" s="349"/>
      <c r="DK201" s="349"/>
      <c r="DL201" s="349"/>
      <c r="DM201" s="896"/>
      <c r="DN201" s="349"/>
      <c r="DO201" s="349"/>
      <c r="DP201" s="349"/>
      <c r="DQ201" s="349"/>
      <c r="DR201" s="896"/>
      <c r="DS201" s="291"/>
      <c r="DT201" s="291"/>
      <c r="DU201" s="291"/>
      <c r="DV201" s="291"/>
      <c r="DW201" s="292"/>
      <c r="DX201" s="291"/>
      <c r="DY201" s="291"/>
      <c r="DZ201" s="291"/>
      <c r="EA201" s="291"/>
      <c r="EB201" s="292"/>
      <c r="EC201" s="291"/>
      <c r="ED201" s="291"/>
      <c r="EE201" s="291"/>
      <c r="EF201" s="291"/>
      <c r="EG201" s="292"/>
      <c r="EH201" s="291"/>
      <c r="EI201" s="291"/>
      <c r="EJ201" s="349"/>
      <c r="EK201" s="349"/>
      <c r="EL201" s="292"/>
      <c r="EM201" s="291"/>
      <c r="EN201" s="291"/>
      <c r="EO201" s="291"/>
      <c r="EP201" s="291"/>
      <c r="EQ201" s="292"/>
      <c r="ER201" s="291">
        <f>ER195/ER$186</f>
      </c>
      <c r="ES201" s="1622">
        <f>AVERAGE(ER201,ET201)</f>
      </c>
      <c r="ET201" s="1622">
        <f>AVERAGE(EW201,ER201)</f>
      </c>
      <c r="EU201" s="1622">
        <f>AVERAGE(ET201,EW201)</f>
      </c>
      <c r="EV201" s="292">
        <f>EV195/EV$131</f>
      </c>
      <c r="EW201" s="1625">
        <v>0.89</v>
      </c>
      <c r="EX201" s="291">
        <f t="shared" ref="EX201:GE201" si="200">EX195/EX$186</f>
      </c>
      <c r="EY201" s="291">
        <f t="shared" si="200"/>
      </c>
      <c r="EZ201" s="291">
        <f t="shared" si="200"/>
      </c>
      <c r="FA201" s="292">
        <f>FA195/FA$131</f>
      </c>
      <c r="FB201" s="291">
        <f t="shared" si="200"/>
      </c>
      <c r="FC201" s="291">
        <f t="shared" si="200"/>
      </c>
      <c r="FD201" s="291">
        <f t="shared" si="200"/>
      </c>
      <c r="FE201" s="291">
        <f t="shared" si="200"/>
      </c>
      <c r="FF201" s="292">
        <f t="shared" si="200"/>
      </c>
      <c r="FG201" s="291">
        <f t="shared" si="200"/>
      </c>
      <c r="FH201" s="291">
        <f t="shared" si="200"/>
      </c>
      <c r="FI201" s="291">
        <f t="shared" si="200"/>
      </c>
      <c r="FJ201" s="291">
        <f t="shared" si="200"/>
      </c>
      <c r="FK201" s="292">
        <f t="shared" si="200"/>
      </c>
      <c r="FL201" s="291">
        <f t="shared" si="200"/>
      </c>
      <c r="FM201" s="291">
        <f t="shared" si="200"/>
      </c>
      <c r="FN201" s="291">
        <f t="shared" si="200"/>
      </c>
      <c r="FO201" s="291">
        <f t="shared" si="200"/>
      </c>
      <c r="FP201" s="292">
        <f t="shared" si="200"/>
      </c>
      <c r="FQ201" s="291">
        <f t="shared" si="200"/>
      </c>
      <c r="FR201" s="291">
        <f t="shared" si="200"/>
      </c>
      <c r="FS201" s="291">
        <f t="shared" si="200"/>
      </c>
      <c r="FT201" s="291">
        <f t="shared" si="200"/>
      </c>
      <c r="FU201" s="292">
        <f t="shared" si="200"/>
      </c>
      <c r="FV201" s="291">
        <f t="shared" si="200"/>
      </c>
      <c r="FW201" s="107">
        <f t="shared" si="200"/>
      </c>
      <c r="FX201" s="107">
        <f t="shared" si="200"/>
      </c>
      <c r="FY201" s="107">
        <f t="shared" si="200"/>
      </c>
      <c r="FZ201" s="292">
        <f t="shared" si="200"/>
      </c>
      <c r="GA201" s="291">
        <f t="shared" si="200"/>
      </c>
      <c r="GB201" s="107">
        <f t="shared" si="200"/>
      </c>
      <c r="GC201" s="107">
        <f t="shared" si="200"/>
      </c>
      <c r="GD201" s="107">
        <f t="shared" si="200"/>
      </c>
      <c r="GE201" s="292">
        <f t="shared" si="200"/>
      </c>
      <c r="GF201" s="291">
        <f t="shared" ref="GF201:GJ201" si="201">GF195/GF$186</f>
      </c>
      <c r="GG201" s="107">
        <f t="shared" si="201"/>
      </c>
      <c r="GH201" s="107">
        <f t="shared" si="201"/>
      </c>
      <c r="GI201" s="107">
        <f t="shared" si="201"/>
      </c>
      <c r="GJ201" s="384">
        <f t="shared" si="201"/>
      </c>
    </row>
    <row r="202" spans="1:192" ht="12.75" customHeight="1">
      <c r="B202" s="1246" t="s">
        <v>1994</v>
      </c>
      <c r="C202" s="291"/>
      <c r="D202" s="107"/>
      <c r="E202" s="107"/>
      <c r="F202" s="107"/>
      <c r="G202" s="293"/>
      <c r="H202" s="291"/>
      <c r="I202" s="107"/>
      <c r="J202" s="107"/>
      <c r="K202" s="107"/>
      <c r="L202" s="293"/>
      <c r="M202" s="291"/>
      <c r="N202" s="107"/>
      <c r="O202" s="107"/>
      <c r="P202" s="107"/>
      <c r="Q202" s="293"/>
      <c r="R202" s="291"/>
      <c r="S202" s="107"/>
      <c r="T202" s="107"/>
      <c r="U202" s="107"/>
      <c r="V202" s="293"/>
      <c r="W202" s="291"/>
      <c r="X202" s="107"/>
      <c r="Y202" s="107"/>
      <c r="Z202" s="107"/>
      <c r="AA202" s="293"/>
      <c r="AB202" s="291"/>
      <c r="AC202" s="107"/>
      <c r="AD202" s="107"/>
      <c r="AE202" s="107"/>
      <c r="AF202" s="293"/>
      <c r="AG202" s="291"/>
      <c r="AH202" s="107"/>
      <c r="AI202" s="107"/>
      <c r="AJ202" s="107"/>
      <c r="AK202" s="293"/>
      <c r="AL202" s="291"/>
      <c r="AM202" s="107"/>
      <c r="AN202" s="107"/>
      <c r="AO202" s="107"/>
      <c r="AP202" s="293"/>
      <c r="AQ202" s="291"/>
      <c r="AR202" s="107"/>
      <c r="AS202" s="107"/>
      <c r="AT202" s="107"/>
      <c r="AU202" s="293"/>
      <c r="AV202" s="291"/>
      <c r="AW202" s="107"/>
      <c r="AX202" s="107"/>
      <c r="AY202" s="107"/>
      <c r="AZ202" s="293"/>
      <c r="BA202" s="291"/>
      <c r="BB202" s="107"/>
      <c r="BC202" s="107"/>
      <c r="BD202" s="107"/>
      <c r="BE202" s="293"/>
      <c r="BF202" s="291"/>
      <c r="BG202" s="107"/>
      <c r="BH202" s="107"/>
      <c r="BI202" s="107"/>
      <c r="BJ202" s="293"/>
      <c r="BK202" s="291"/>
      <c r="BL202" s="107"/>
      <c r="BM202" s="107"/>
      <c r="BN202" s="107"/>
      <c r="BO202" s="293"/>
      <c r="BP202" s="291"/>
      <c r="BQ202" s="107"/>
      <c r="BR202" s="107"/>
      <c r="BS202" s="107"/>
      <c r="BT202" s="293"/>
      <c r="BU202" s="291"/>
      <c r="BV202" s="107"/>
      <c r="BW202" s="107"/>
      <c r="BX202" s="107"/>
      <c r="BY202" s="293"/>
      <c r="BZ202" s="291"/>
      <c r="CA202" s="107"/>
      <c r="CB202" s="107"/>
      <c r="CC202" s="107"/>
      <c r="CD202" s="293"/>
      <c r="CE202" s="291"/>
      <c r="CF202" s="107"/>
      <c r="CG202" s="107"/>
      <c r="CH202" s="107"/>
      <c r="CI202" s="293"/>
      <c r="CJ202" s="291"/>
      <c r="CK202" s="107"/>
      <c r="CL202" s="107"/>
      <c r="CM202" s="107"/>
      <c r="CN202" s="293"/>
      <c r="CO202" s="291"/>
      <c r="CP202" s="291"/>
      <c r="CQ202" s="291"/>
      <c r="CR202" s="892"/>
      <c r="CS202" s="893"/>
      <c r="CT202" s="1146"/>
      <c r="CU202" s="1146"/>
      <c r="CV202" s="1146"/>
      <c r="CW202" s="441"/>
      <c r="CX202" s="293"/>
      <c r="CY202" s="107"/>
      <c r="CZ202" s="107"/>
      <c r="DA202" s="107"/>
      <c r="DB202" s="107"/>
      <c r="DC202" s="293"/>
      <c r="DD202" s="291"/>
      <c r="DE202" s="291"/>
      <c r="DF202" s="291"/>
      <c r="DG202" s="291"/>
      <c r="DH202" s="293"/>
      <c r="DI202" s="291"/>
      <c r="DJ202" s="291"/>
      <c r="DK202" s="291"/>
      <c r="DL202" s="412"/>
      <c r="DM202" s="293"/>
      <c r="DN202" s="107"/>
      <c r="DO202" s="107"/>
      <c r="DP202" s="107"/>
      <c r="DQ202" s="107"/>
      <c r="DR202" s="293"/>
      <c r="DS202" s="107"/>
      <c r="DT202" s="107"/>
      <c r="DU202" s="107"/>
      <c r="DV202" s="107"/>
      <c r="DW202" s="293"/>
      <c r="DX202" s="468"/>
      <c r="DY202" s="468"/>
      <c r="DZ202" s="468"/>
      <c r="EA202" s="107"/>
      <c r="EB202" s="293"/>
      <c r="EC202" s="107"/>
      <c r="ED202" s="107"/>
      <c r="EE202" s="107"/>
      <c r="EF202" s="924"/>
      <c r="EG202" s="893"/>
      <c r="EH202" s="107"/>
      <c r="EI202" s="107"/>
      <c r="EJ202" s="107"/>
      <c r="EK202" s="924"/>
      <c r="EL202" s="893"/>
      <c r="EM202" s="1361"/>
      <c r="EN202" s="1361"/>
      <c r="EO202" s="1361"/>
      <c r="EP202" s="468"/>
      <c r="EQ202" s="293"/>
      <c r="ER202" s="107">
        <f t="shared" ref="ER202:GE202" si="202">ER195/ER$131</f>
      </c>
      <c r="ES202" s="107">
        <f t="shared" si="202"/>
      </c>
      <c r="ET202" s="107">
        <f t="shared" si="202"/>
      </c>
      <c r="EU202" s="107">
        <f t="shared" si="202"/>
      </c>
      <c r="EV202" s="293">
        <f t="shared" si="202"/>
      </c>
      <c r="EW202" s="107">
        <f t="shared" si="202"/>
      </c>
      <c r="EX202" s="107">
        <f t="shared" si="202"/>
      </c>
      <c r="EY202" s="107">
        <f t="shared" ref="EY202:FA202" si="203">EY195/EY$131</f>
      </c>
      <c r="EZ202" s="107">
        <f t="shared" si="203"/>
      </c>
      <c r="FA202" s="293">
        <f t="shared" si="203"/>
      </c>
      <c r="FB202" s="107">
        <f t="shared" si="202"/>
      </c>
      <c r="FC202" s="107">
        <f t="shared" si="202"/>
      </c>
      <c r="FD202" s="107">
        <f t="shared" si="202"/>
      </c>
      <c r="FE202" s="107">
        <f t="shared" si="202"/>
      </c>
      <c r="FF202" s="293">
        <f t="shared" si="202"/>
      </c>
      <c r="FG202" s="107">
        <f t="shared" si="202"/>
      </c>
      <c r="FH202" s="107">
        <f t="shared" si="202"/>
      </c>
      <c r="FI202" s="107">
        <f t="shared" si="202"/>
      </c>
      <c r="FJ202" s="107">
        <f t="shared" si="202"/>
      </c>
      <c r="FK202" s="293">
        <f t="shared" si="202"/>
      </c>
      <c r="FL202" s="107">
        <f t="shared" si="202"/>
      </c>
      <c r="FM202" s="107">
        <f t="shared" si="202"/>
      </c>
      <c r="FN202" s="107">
        <f t="shared" si="202"/>
      </c>
      <c r="FO202" s="107">
        <f t="shared" si="202"/>
      </c>
      <c r="FP202" s="293">
        <f t="shared" si="202"/>
      </c>
      <c r="FQ202" s="107">
        <f t="shared" si="202"/>
      </c>
      <c r="FR202" s="107">
        <f t="shared" si="202"/>
      </c>
      <c r="FS202" s="107">
        <f t="shared" si="202"/>
      </c>
      <c r="FT202" s="107">
        <f t="shared" si="202"/>
      </c>
      <c r="FU202" s="293">
        <f t="shared" si="202"/>
      </c>
      <c r="FV202" s="291">
        <f t="shared" si="202"/>
      </c>
      <c r="FW202" s="107">
        <f t="shared" si="202"/>
      </c>
      <c r="FX202" s="107">
        <f t="shared" si="202"/>
      </c>
      <c r="FY202" s="107">
        <f t="shared" si="202"/>
      </c>
      <c r="FZ202" s="293">
        <f t="shared" si="202"/>
      </c>
      <c r="GA202" s="291">
        <f t="shared" si="202"/>
      </c>
      <c r="GB202" s="107">
        <f t="shared" si="202"/>
      </c>
      <c r="GC202" s="107">
        <f t="shared" si="202"/>
      </c>
      <c r="GD202" s="107">
        <f t="shared" si="202"/>
      </c>
      <c r="GE202" s="293">
        <f t="shared" si="202"/>
      </c>
      <c r="GF202" s="291">
        <f t="shared" ref="GF202:GJ202" si="204">GF195/GF$131</f>
      </c>
      <c r="GG202" s="107">
        <f t="shared" si="204"/>
      </c>
      <c r="GH202" s="107">
        <f t="shared" si="204"/>
      </c>
      <c r="GI202" s="107">
        <f t="shared" si="204"/>
      </c>
      <c r="GJ202" s="382">
        <f t="shared" si="204"/>
      </c>
    </row>
    <row r="203" spans="1:192" ht="12.75" customHeight="1">
      <c r="B203" s="1246" t="s">
        <v>1884</v>
      </c>
      <c r="C203" s="291"/>
      <c r="D203" s="107"/>
      <c r="E203" s="107"/>
      <c r="F203" s="107"/>
      <c r="G203" s="292"/>
      <c r="H203" s="291"/>
      <c r="I203" s="107"/>
      <c r="J203" s="107"/>
      <c r="K203" s="107"/>
      <c r="L203" s="292"/>
      <c r="M203" s="291"/>
      <c r="N203" s="107"/>
      <c r="O203" s="107"/>
      <c r="P203" s="107"/>
      <c r="Q203" s="292"/>
      <c r="R203" s="291"/>
      <c r="S203" s="107"/>
      <c r="T203" s="107"/>
      <c r="U203" s="107"/>
      <c r="V203" s="292"/>
      <c r="W203" s="291"/>
      <c r="X203" s="107"/>
      <c r="Y203" s="107"/>
      <c r="Z203" s="107"/>
      <c r="AA203" s="292"/>
      <c r="AB203" s="291"/>
      <c r="AC203" s="107"/>
      <c r="AD203" s="107"/>
      <c r="AE203" s="107"/>
      <c r="AF203" s="292"/>
      <c r="AG203" s="291"/>
      <c r="AH203" s="107"/>
      <c r="AI203" s="107"/>
      <c r="AJ203" s="107"/>
      <c r="AK203" s="292"/>
      <c r="AL203" s="291"/>
      <c r="AM203" s="107"/>
      <c r="AN203" s="107"/>
      <c r="AO203" s="107"/>
      <c r="AP203" s="292"/>
      <c r="AQ203" s="291"/>
      <c r="AR203" s="107"/>
      <c r="AS203" s="107"/>
      <c r="AT203" s="107"/>
      <c r="AU203" s="292"/>
      <c r="AV203" s="291"/>
      <c r="AW203" s="107"/>
      <c r="AX203" s="107"/>
      <c r="AY203" s="107"/>
      <c r="AZ203" s="292"/>
      <c r="BA203" s="291"/>
      <c r="BB203" s="107"/>
      <c r="BC203" s="107"/>
      <c r="BD203" s="107"/>
      <c r="BE203" s="292"/>
      <c r="BF203" s="291"/>
      <c r="BG203" s="107"/>
      <c r="BH203" s="107"/>
      <c r="BI203" s="107"/>
      <c r="BJ203" s="292"/>
      <c r="BK203" s="291"/>
      <c r="BL203" s="107"/>
      <c r="BM203" s="107"/>
      <c r="BN203" s="107"/>
      <c r="BO203" s="292"/>
      <c r="BP203" s="291"/>
      <c r="BQ203" s="107"/>
      <c r="BR203" s="107"/>
      <c r="BS203" s="107"/>
      <c r="BT203" s="292"/>
      <c r="BU203" s="291"/>
      <c r="BV203" s="107"/>
      <c r="BW203" s="107"/>
      <c r="BX203" s="107"/>
      <c r="BY203" s="292"/>
      <c r="BZ203" s="291"/>
      <c r="CA203" s="107"/>
      <c r="CB203" s="107"/>
      <c r="CC203" s="107"/>
      <c r="CD203" s="292"/>
      <c r="CE203" s="291"/>
      <c r="CF203" s="107"/>
      <c r="CG203" s="107"/>
      <c r="CH203" s="107"/>
      <c r="CI203" s="292"/>
      <c r="CJ203" s="291"/>
      <c r="CK203" s="107"/>
      <c r="CL203" s="107"/>
      <c r="CM203" s="107"/>
      <c r="CN203" s="292"/>
      <c r="CO203" s="291"/>
      <c r="CP203" s="107"/>
      <c r="CQ203" s="107"/>
      <c r="CR203" s="107"/>
      <c r="CS203" s="292"/>
      <c r="CT203" s="291"/>
      <c r="CU203" s="291"/>
      <c r="CV203" s="291"/>
      <c r="CW203" s="291"/>
      <c r="CX203" s="292"/>
      <c r="CY203" s="291"/>
      <c r="CZ203" s="291"/>
      <c r="DA203" s="291"/>
      <c r="DB203" s="291"/>
      <c r="DC203" s="292"/>
      <c r="DD203" s="349"/>
      <c r="DE203" s="349"/>
      <c r="DF203" s="349"/>
      <c r="DG203" s="349"/>
      <c r="DH203" s="896"/>
      <c r="DI203" s="349"/>
      <c r="DJ203" s="349"/>
      <c r="DK203" s="349"/>
      <c r="DL203" s="349"/>
      <c r="DM203" s="896"/>
      <c r="DN203" s="349"/>
      <c r="DO203" s="349"/>
      <c r="DP203" s="349"/>
      <c r="DQ203" s="349"/>
      <c r="DR203" s="896"/>
      <c r="DS203" s="291"/>
      <c r="DT203" s="291"/>
      <c r="DU203" s="291"/>
      <c r="DV203" s="291"/>
      <c r="DW203" s="292"/>
      <c r="DX203" s="291"/>
      <c r="DY203" s="291"/>
      <c r="DZ203" s="291"/>
      <c r="EA203" s="291"/>
      <c r="EB203" s="292"/>
      <c r="EC203" s="291"/>
      <c r="ED203" s="291"/>
      <c r="EE203" s="291"/>
      <c r="EF203" s="291"/>
      <c r="EG203" s="292"/>
      <c r="EH203" s="291"/>
      <c r="EI203" s="291"/>
      <c r="EJ203" s="291"/>
      <c r="EK203" s="291"/>
      <c r="EL203" s="292"/>
      <c r="EM203" s="291"/>
      <c r="EN203" s="291"/>
      <c r="EO203" s="291"/>
      <c r="EP203" s="291"/>
      <c r="EQ203" s="292"/>
      <c r="ER203" s="291">
        <f t="shared" ref="ER203:GE203" si="205">ER195/ER$10</f>
      </c>
      <c r="ES203" s="291">
        <f t="shared" si="205"/>
      </c>
      <c r="ET203" s="291">
        <f t="shared" si="205"/>
      </c>
      <c r="EU203" s="291">
        <f t="shared" si="205"/>
      </c>
      <c r="EV203" s="292">
        <f t="shared" si="205"/>
      </c>
      <c r="EW203" s="291">
        <f t="shared" si="205"/>
      </c>
      <c r="EX203" s="291">
        <f t="shared" si="205"/>
      </c>
      <c r="EY203" s="291">
        <f t="shared" ref="EY203:FA203" si="206">EY195/EY$10</f>
      </c>
      <c r="EZ203" s="291">
        <f t="shared" si="206"/>
      </c>
      <c r="FA203" s="292">
        <f t="shared" si="206"/>
      </c>
      <c r="FB203" s="291">
        <f t="shared" si="205"/>
      </c>
      <c r="FC203" s="291">
        <f t="shared" si="205"/>
      </c>
      <c r="FD203" s="291">
        <f t="shared" si="205"/>
      </c>
      <c r="FE203" s="291">
        <f t="shared" si="205"/>
      </c>
      <c r="FF203" s="292">
        <f t="shared" si="205"/>
      </c>
      <c r="FG203" s="291">
        <f t="shared" si="205"/>
      </c>
      <c r="FH203" s="291">
        <f t="shared" si="205"/>
      </c>
      <c r="FI203" s="291">
        <f t="shared" si="205"/>
      </c>
      <c r="FJ203" s="291">
        <f t="shared" si="205"/>
      </c>
      <c r="FK203" s="292">
        <f t="shared" si="205"/>
      </c>
      <c r="FL203" s="291">
        <f t="shared" si="205"/>
      </c>
      <c r="FM203" s="291">
        <f t="shared" si="205"/>
      </c>
      <c r="FN203" s="291">
        <f t="shared" si="205"/>
      </c>
      <c r="FO203" s="291">
        <f t="shared" si="205"/>
      </c>
      <c r="FP203" s="292">
        <f t="shared" si="205"/>
      </c>
      <c r="FQ203" s="291">
        <f t="shared" si="205"/>
      </c>
      <c r="FR203" s="291">
        <f t="shared" si="205"/>
      </c>
      <c r="FS203" s="291">
        <f t="shared" si="205"/>
      </c>
      <c r="FT203" s="291">
        <f t="shared" si="205"/>
      </c>
      <c r="FU203" s="292">
        <f t="shared" si="205"/>
      </c>
      <c r="FV203" s="291">
        <f t="shared" si="205"/>
      </c>
      <c r="FW203" s="107">
        <f t="shared" si="205"/>
      </c>
      <c r="FX203" s="107">
        <f t="shared" si="205"/>
      </c>
      <c r="FY203" s="107">
        <f t="shared" si="205"/>
      </c>
      <c r="FZ203" s="292">
        <f t="shared" si="205"/>
      </c>
      <c r="GA203" s="291">
        <f t="shared" si="205"/>
      </c>
      <c r="GB203" s="107">
        <f t="shared" si="205"/>
      </c>
      <c r="GC203" s="107">
        <f t="shared" si="205"/>
      </c>
      <c r="GD203" s="107">
        <f t="shared" si="205"/>
      </c>
      <c r="GE203" s="292">
        <f t="shared" si="205"/>
      </c>
      <c r="GF203" s="291">
        <f t="shared" ref="GF203:GJ203" si="207">GF195/GF$10</f>
      </c>
      <c r="GG203" s="107">
        <f t="shared" si="207"/>
      </c>
      <c r="GH203" s="107">
        <f t="shared" si="207"/>
      </c>
      <c r="GI203" s="107">
        <f t="shared" si="207"/>
      </c>
      <c r="GJ203" s="384">
        <f t="shared" si="207"/>
      </c>
    </row>
    <row r="204" spans="1:192" ht="12.75" customHeight="1">
      <c r="B204" s="735"/>
      <c r="C204" s="291"/>
      <c r="D204" s="107"/>
      <c r="E204" s="107"/>
      <c r="F204" s="107"/>
      <c r="G204" s="293"/>
      <c r="H204" s="291"/>
      <c r="I204" s="107"/>
      <c r="J204" s="107"/>
      <c r="K204" s="107"/>
      <c r="L204" s="293"/>
      <c r="M204" s="291"/>
      <c r="N204" s="107"/>
      <c r="O204" s="107"/>
      <c r="P204" s="107"/>
      <c r="Q204" s="293"/>
      <c r="R204" s="291"/>
      <c r="S204" s="107"/>
      <c r="T204" s="107"/>
      <c r="U204" s="107"/>
      <c r="V204" s="293"/>
      <c r="W204" s="291"/>
      <c r="X204" s="107"/>
      <c r="Y204" s="107"/>
      <c r="Z204" s="107"/>
      <c r="AA204" s="293"/>
      <c r="AB204" s="291"/>
      <c r="AC204" s="107"/>
      <c r="AD204" s="107"/>
      <c r="AE204" s="107"/>
      <c r="AF204" s="293"/>
      <c r="AG204" s="291"/>
      <c r="AH204" s="107"/>
      <c r="AI204" s="107"/>
      <c r="AJ204" s="107"/>
      <c r="AK204" s="293"/>
      <c r="AL204" s="291"/>
      <c r="AM204" s="107"/>
      <c r="AN204" s="107"/>
      <c r="AO204" s="107"/>
      <c r="AP204" s="293"/>
      <c r="AQ204" s="291"/>
      <c r="AR204" s="107"/>
      <c r="AS204" s="107"/>
      <c r="AT204" s="107"/>
      <c r="AU204" s="293"/>
      <c r="AV204" s="291"/>
      <c r="AW204" s="107"/>
      <c r="AX204" s="107"/>
      <c r="AY204" s="107"/>
      <c r="AZ204" s="293"/>
      <c r="BA204" s="291"/>
      <c r="BB204" s="107"/>
      <c r="BC204" s="107"/>
      <c r="BD204" s="107"/>
      <c r="BE204" s="293"/>
      <c r="BF204" s="291"/>
      <c r="BG204" s="107"/>
      <c r="BH204" s="107"/>
      <c r="BI204" s="107"/>
      <c r="BJ204" s="293"/>
      <c r="BK204" s="291"/>
      <c r="BL204" s="107"/>
      <c r="BM204" s="107"/>
      <c r="BN204" s="107"/>
      <c r="BO204" s="293"/>
      <c r="BP204" s="291"/>
      <c r="BQ204" s="107"/>
      <c r="BR204" s="107"/>
      <c r="BS204" s="107"/>
      <c r="BT204" s="293"/>
      <c r="BU204" s="291"/>
      <c r="BV204" s="107"/>
      <c r="BW204" s="107"/>
      <c r="BX204" s="107"/>
      <c r="BY204" s="293"/>
      <c r="BZ204" s="291"/>
      <c r="CA204" s="107"/>
      <c r="CB204" s="107"/>
      <c r="CC204" s="107"/>
      <c r="CD204" s="293"/>
      <c r="CE204" s="291"/>
      <c r="CF204" s="107"/>
      <c r="CG204" s="107"/>
      <c r="CH204" s="107"/>
      <c r="CI204" s="293"/>
      <c r="CJ204" s="291"/>
      <c r="CK204" s="107"/>
      <c r="CL204" s="107"/>
      <c r="CM204" s="107"/>
      <c r="CN204" s="293"/>
      <c r="CO204" s="291"/>
      <c r="CP204" s="291"/>
      <c r="CQ204" s="291"/>
      <c r="CR204" s="892"/>
      <c r="CS204" s="893"/>
      <c r="CT204" s="1146"/>
      <c r="CU204" s="1146"/>
      <c r="CV204" s="1146"/>
      <c r="CW204" s="349"/>
      <c r="CX204" s="293"/>
      <c r="CY204" s="107"/>
      <c r="CZ204" s="107"/>
      <c r="DA204" s="107"/>
      <c r="DB204" s="107"/>
      <c r="DC204" s="293"/>
      <c r="DD204" s="291"/>
      <c r="DE204" s="291"/>
      <c r="DF204" s="291"/>
      <c r="DG204" s="291"/>
      <c r="DH204" s="293"/>
      <c r="DI204" s="291"/>
      <c r="DJ204" s="291"/>
      <c r="DK204" s="291"/>
      <c r="DL204" s="291"/>
      <c r="DM204" s="293"/>
      <c r="DN204" s="107"/>
      <c r="DO204" s="107"/>
      <c r="DP204" s="107"/>
      <c r="DQ204" s="107"/>
      <c r="DR204" s="293"/>
      <c r="DS204" s="107"/>
      <c r="DT204" s="107"/>
      <c r="DU204" s="107"/>
      <c r="DV204" s="468"/>
      <c r="DW204" s="293"/>
      <c r="DX204" s="107"/>
      <c r="DY204" s="107"/>
      <c r="DZ204" s="107"/>
      <c r="EA204" s="107"/>
      <c r="EB204" s="293"/>
      <c r="EC204" s="107"/>
      <c r="ED204" s="107"/>
      <c r="EE204" s="107"/>
      <c r="EF204" s="107"/>
      <c r="EG204" s="293"/>
      <c r="EH204" s="107"/>
      <c r="EI204" s="107"/>
      <c r="EJ204" s="107"/>
      <c r="EK204" s="107"/>
      <c r="EL204" s="293"/>
      <c r="EM204" s="349"/>
      <c r="EN204" s="468"/>
      <c r="EO204" s="349"/>
      <c r="EP204" s="468"/>
      <c r="EQ204" s="293"/>
      <c r="ER204" s="291"/>
      <c r="ES204" s="107"/>
      <c r="ET204" s="107"/>
      <c r="EU204" s="107"/>
      <c r="EV204" s="293"/>
      <c r="EW204" s="291"/>
      <c r="EX204" s="107"/>
      <c r="EY204" s="291"/>
      <c r="EZ204" s="107"/>
      <c r="FA204" s="293"/>
      <c r="FB204" s="291"/>
      <c r="FC204" s="107"/>
      <c r="FD204" s="291"/>
      <c r="FE204" s="107"/>
      <c r="FF204" s="293"/>
      <c r="FG204" s="291"/>
      <c r="FH204" s="107"/>
      <c r="FI204" s="291"/>
      <c r="FJ204" s="107"/>
      <c r="FK204" s="293"/>
      <c r="FL204" s="291"/>
      <c r="FM204" s="107"/>
      <c r="FN204" s="291"/>
      <c r="FO204" s="107"/>
      <c r="FP204" s="293"/>
      <c r="FQ204" s="291"/>
      <c r="FR204" s="107"/>
      <c r="FS204" s="291"/>
      <c r="FT204" s="107"/>
      <c r="FU204" s="293"/>
      <c r="FV204" s="291"/>
      <c r="FW204" s="107"/>
      <c r="FX204" s="291"/>
      <c r="FY204" s="107"/>
      <c r="FZ204" s="293"/>
      <c r="GA204" s="291"/>
      <c r="GB204" s="107"/>
      <c r="GC204" s="291"/>
      <c r="GD204" s="107"/>
      <c r="GE204" s="293"/>
      <c r="GF204" s="291"/>
      <c r="GG204" s="107"/>
      <c r="GH204" s="291"/>
      <c r="GI204" s="107"/>
      <c r="GJ204" s="382"/>
    </row>
    <row r="205" spans="1:192" ht="12.75" customHeight="1">
      <c r="B205" s="1530" t="s">
        <v>1979</v>
      </c>
      <c r="C205" s="291"/>
      <c r="D205" s="107"/>
      <c r="E205" s="107"/>
      <c r="F205" s="107"/>
      <c r="G205" s="293"/>
      <c r="H205" s="291"/>
      <c r="I205" s="107"/>
      <c r="J205" s="107"/>
      <c r="K205" s="107"/>
      <c r="L205" s="293"/>
      <c r="M205" s="291"/>
      <c r="N205" s="107"/>
      <c r="O205" s="107"/>
      <c r="P205" s="107"/>
      <c r="Q205" s="293"/>
      <c r="R205" s="291"/>
      <c r="S205" s="107"/>
      <c r="T205" s="107"/>
      <c r="U205" s="107"/>
      <c r="V205" s="293"/>
      <c r="W205" s="291"/>
      <c r="X205" s="107"/>
      <c r="Y205" s="107"/>
      <c r="Z205" s="107"/>
      <c r="AA205" s="293"/>
      <c r="AB205" s="291"/>
      <c r="AC205" s="107"/>
      <c r="AD205" s="107"/>
      <c r="AE205" s="107"/>
      <c r="AF205" s="293"/>
      <c r="AG205" s="291"/>
      <c r="AH205" s="107"/>
      <c r="AI205" s="107"/>
      <c r="AJ205" s="107"/>
      <c r="AK205" s="293"/>
      <c r="AL205" s="291"/>
      <c r="AM205" s="107"/>
      <c r="AN205" s="107"/>
      <c r="AO205" s="107"/>
      <c r="AP205" s="293"/>
      <c r="AQ205" s="291"/>
      <c r="AR205" s="107"/>
      <c r="AS205" s="107"/>
      <c r="AT205" s="107"/>
      <c r="AU205" s="293"/>
      <c r="AV205" s="291"/>
      <c r="AW205" s="107"/>
      <c r="AX205" s="107"/>
      <c r="AY205" s="107"/>
      <c r="AZ205" s="293"/>
      <c r="BA205" s="291"/>
      <c r="BB205" s="107"/>
      <c r="BC205" s="107"/>
      <c r="BD205" s="107"/>
      <c r="BE205" s="293"/>
      <c r="BF205" s="291"/>
      <c r="BG205" s="107"/>
      <c r="BH205" s="107"/>
      <c r="BI205" s="107"/>
      <c r="BJ205" s="293"/>
      <c r="BK205" s="291"/>
      <c r="BL205" s="107"/>
      <c r="BM205" s="107"/>
      <c r="BN205" s="107"/>
      <c r="BO205" s="293"/>
      <c r="BP205" s="291"/>
      <c r="BQ205" s="107"/>
      <c r="BR205" s="107"/>
      <c r="BS205" s="107"/>
      <c r="BT205" s="293"/>
      <c r="BU205" s="291"/>
      <c r="BV205" s="107"/>
      <c r="BW205" s="107"/>
      <c r="BX205" s="107"/>
      <c r="BY205" s="293"/>
      <c r="BZ205" s="291"/>
      <c r="CA205" s="107"/>
      <c r="CB205" s="107"/>
      <c r="CC205" s="107"/>
      <c r="CD205" s="293"/>
      <c r="CE205" s="291"/>
      <c r="CF205" s="107"/>
      <c r="CG205" s="107"/>
      <c r="CH205" s="107"/>
      <c r="CI205" s="293"/>
      <c r="CJ205" s="291"/>
      <c r="CK205" s="107"/>
      <c r="CL205" s="107"/>
      <c r="CM205" s="107"/>
      <c r="CN205" s="293"/>
      <c r="CO205" s="291"/>
      <c r="CP205" s="107"/>
      <c r="CQ205" s="468"/>
      <c r="CR205" s="468"/>
      <c r="CS205" s="292"/>
      <c r="CT205" s="349"/>
      <c r="CU205" s="468"/>
      <c r="CV205" s="468"/>
      <c r="CW205" s="468"/>
      <c r="CX205" s="292"/>
      <c r="CY205" s="291"/>
      <c r="CZ205" s="107"/>
      <c r="DA205" s="107"/>
      <c r="DB205" s="107"/>
      <c r="DC205" s="292"/>
      <c r="DD205" s="291"/>
      <c r="DE205" s="107"/>
      <c r="DF205" s="107"/>
      <c r="DG205" s="107"/>
      <c r="DH205" s="292"/>
      <c r="DI205" s="291"/>
      <c r="DJ205" s="107"/>
      <c r="DK205" s="107"/>
      <c r="DL205" s="107"/>
      <c r="DM205" s="292"/>
      <c r="DN205" s="291"/>
      <c r="DO205" s="107"/>
      <c r="DP205" s="107"/>
      <c r="DQ205" s="107"/>
      <c r="DR205" s="292"/>
      <c r="DS205" s="291"/>
      <c r="DT205" s="107"/>
      <c r="DU205" s="107"/>
      <c r="DV205" s="107"/>
      <c r="DW205" s="292"/>
      <c r="DX205" s="291"/>
      <c r="DY205" s="107"/>
      <c r="DZ205" s="107"/>
      <c r="EA205" s="107"/>
      <c r="EB205" s="292"/>
      <c r="EC205" s="291"/>
      <c r="ED205" s="107"/>
      <c r="EE205" s="107"/>
      <c r="EF205" s="107"/>
      <c r="EG205" s="292"/>
      <c r="EH205" s="291"/>
      <c r="EI205" s="107"/>
      <c r="EJ205" s="107"/>
      <c r="EK205" s="107"/>
      <c r="EL205" s="292"/>
      <c r="EM205" s="291"/>
      <c r="EN205" s="107"/>
      <c r="EO205" s="506"/>
      <c r="EP205" s="107"/>
      <c r="EQ205" s="292"/>
      <c r="ER205" s="291"/>
      <c r="ES205" s="107"/>
      <c r="ET205" s="107"/>
      <c r="EU205" s="107"/>
      <c r="EV205" s="292"/>
      <c r="EW205" s="291"/>
      <c r="EX205" s="107"/>
      <c r="EY205" s="107"/>
      <c r="EZ205" s="107"/>
      <c r="FA205" s="292"/>
      <c r="FB205" s="291"/>
      <c r="FC205" s="107"/>
      <c r="FD205" s="107"/>
      <c r="FE205" s="107"/>
      <c r="FF205" s="292"/>
      <c r="FG205" s="291"/>
      <c r="FH205" s="107"/>
      <c r="FI205" s="107"/>
      <c r="FJ205" s="107"/>
      <c r="FK205" s="292"/>
      <c r="FL205" s="291"/>
      <c r="FM205" s="107"/>
      <c r="FN205" s="107"/>
      <c r="FO205" s="107"/>
      <c r="FP205" s="292"/>
      <c r="FQ205" s="291"/>
      <c r="FR205" s="107"/>
      <c r="FS205" s="107"/>
      <c r="FT205" s="107"/>
      <c r="FU205" s="292"/>
      <c r="FV205" s="291"/>
      <c r="FW205" s="107"/>
      <c r="FX205" s="107"/>
      <c r="FY205" s="107"/>
      <c r="FZ205" s="293"/>
      <c r="GA205" s="291"/>
      <c r="GB205" s="107"/>
      <c r="GC205" s="107"/>
      <c r="GD205" s="107"/>
      <c r="GE205" s="293"/>
      <c r="GF205" s="291"/>
      <c r="GG205" s="107"/>
      <c r="GH205" s="107"/>
      <c r="GI205" s="107"/>
      <c r="GJ205" s="382"/>
    </row>
    <row r="206" spans="1:192" s="419" customFormat="1" ht="12.75" hidden="1" customHeight="1" outlineLevel="1">
      <c r="A206" s="795"/>
      <c r="B206" s="736" t="s">
        <v>2087</v>
      </c>
      <c r="C206" s="420"/>
      <c r="D206" s="421"/>
      <c r="E206" s="421"/>
      <c r="F206" s="421"/>
      <c r="G206" s="422"/>
      <c r="H206" s="420"/>
      <c r="I206" s="421"/>
      <c r="J206" s="421"/>
      <c r="K206" s="421"/>
      <c r="L206" s="422"/>
      <c r="M206" s="420"/>
      <c r="N206" s="421"/>
      <c r="O206" s="421"/>
      <c r="P206" s="421"/>
      <c r="Q206" s="422"/>
      <c r="R206" s="420"/>
      <c r="S206" s="421"/>
      <c r="T206" s="421"/>
      <c r="U206" s="421"/>
      <c r="V206" s="422"/>
      <c r="W206" s="420"/>
      <c r="X206" s="421"/>
      <c r="Y206" s="421"/>
      <c r="Z206" s="421"/>
      <c r="AA206" s="422"/>
      <c r="AB206" s="420"/>
      <c r="AC206" s="421"/>
      <c r="AD206" s="421"/>
      <c r="AE206" s="421"/>
      <c r="AF206" s="422"/>
      <c r="AG206" s="420"/>
      <c r="AH206" s="421"/>
      <c r="AI206" s="421"/>
      <c r="AJ206" s="421"/>
      <c r="AK206" s="422"/>
      <c r="AL206" s="420"/>
      <c r="AM206" s="421"/>
      <c r="AN206" s="421"/>
      <c r="AO206" s="421"/>
      <c r="AP206" s="422"/>
      <c r="AQ206" s="420"/>
      <c r="AR206" s="421"/>
      <c r="AS206" s="421"/>
      <c r="AT206" s="421"/>
      <c r="AU206" s="422"/>
      <c r="AV206" s="420"/>
      <c r="AW206" s="421"/>
      <c r="AX206" s="421"/>
      <c r="AY206" s="421"/>
      <c r="AZ206" s="422"/>
      <c r="BA206" s="420"/>
      <c r="BB206" s="421"/>
      <c r="BC206" s="421"/>
      <c r="BD206" s="421"/>
      <c r="BE206" s="422"/>
      <c r="BF206" s="420"/>
      <c r="BG206" s="421"/>
      <c r="BH206" s="421"/>
      <c r="BI206" s="421"/>
      <c r="BJ206" s="422"/>
      <c r="BK206" s="420"/>
      <c r="BL206" s="421"/>
      <c r="BM206" s="421"/>
      <c r="BN206" s="421"/>
      <c r="BO206" s="422"/>
      <c r="BP206" s="420"/>
      <c r="BQ206" s="421"/>
      <c r="BR206" s="421"/>
      <c r="BS206" s="421"/>
      <c r="BT206" s="422"/>
      <c r="BU206" s="420"/>
      <c r="BV206" s="421"/>
      <c r="BW206" s="421"/>
      <c r="BX206" s="421"/>
      <c r="BY206" s="422"/>
      <c r="BZ206" s="420"/>
      <c r="CA206" s="421"/>
      <c r="CB206" s="421"/>
      <c r="CC206" s="421"/>
      <c r="CD206" s="417"/>
      <c r="CE206" s="420"/>
      <c r="CF206" s="421"/>
      <c r="CG206" s="421"/>
      <c r="CH206" s="421"/>
      <c r="CI206" s="417"/>
      <c r="CJ206" s="420"/>
      <c r="CK206" s="421"/>
      <c r="CL206" s="421"/>
      <c r="CM206" s="421"/>
      <c r="CN206" s="417"/>
      <c r="CO206" s="415"/>
      <c r="CP206" s="416"/>
      <c r="CQ206" s="416"/>
      <c r="CR206" s="416"/>
      <c r="CS206" s="417"/>
      <c r="CT206" s="415"/>
      <c r="CU206" s="416"/>
      <c r="CV206" s="416"/>
      <c r="CW206" s="416"/>
      <c r="CX206" s="417"/>
      <c r="CY206" s="415"/>
      <c r="CZ206" s="416"/>
      <c r="DA206" s="416"/>
      <c r="DB206" s="416"/>
      <c r="DC206" s="417"/>
      <c r="DD206" s="416"/>
      <c r="DE206" s="416"/>
      <c r="DF206" s="416"/>
      <c r="DG206" s="416"/>
      <c r="DH206" s="417"/>
      <c r="DI206" s="415"/>
      <c r="DJ206" s="416"/>
      <c r="DK206" s="416"/>
      <c r="DL206" s="416"/>
      <c r="DM206" s="417"/>
      <c r="DN206" s="415"/>
      <c r="DO206" s="416"/>
      <c r="DP206" s="416"/>
      <c r="DQ206" s="416"/>
      <c r="DR206" s="417"/>
      <c r="DS206" s="415"/>
      <c r="DT206" s="416"/>
      <c r="DU206" s="416"/>
      <c r="DV206" s="416"/>
      <c r="DW206" s="417"/>
      <c r="DX206" s="415"/>
      <c r="DY206" s="416"/>
      <c r="DZ206" s="421"/>
      <c r="EA206" s="416"/>
      <c r="EB206" s="417"/>
      <c r="EC206" s="416"/>
      <c r="ED206" s="416"/>
      <c r="EE206" s="416"/>
      <c r="EF206" s="416"/>
      <c r="EG206" s="417"/>
      <c r="EH206" s="416"/>
      <c r="EI206" s="416"/>
      <c r="EJ206" s="416"/>
      <c r="EK206" s="421"/>
      <c r="EL206" s="417"/>
      <c r="EM206" s="416">
        <f>ER206/(1+ER207)</f>
      </c>
      <c r="EN206" s="416">
        <f>ES206/(1+ES207)</f>
      </c>
      <c r="EO206" s="416">
        <f>ET206/(1+ET207)</f>
      </c>
      <c r="EP206" s="416">
        <f>EU206/(1+EU207)</f>
      </c>
      <c r="EQ206" s="417">
        <f>EP206</f>
      </c>
      <c r="ER206" s="416">
        <f>EW206/(1+EW207)</f>
      </c>
      <c r="ES206" s="416">
        <f>EX206/(1+EX207)</f>
      </c>
      <c r="ET206" s="416">
        <f>EY206/(1+EY207)</f>
      </c>
      <c r="EU206" s="421">
        <f>AVERAGE(ET206,EW206)</f>
      </c>
      <c r="EV206" s="417">
        <f>EU206</f>
      </c>
      <c r="EW206" s="421">
        <f>AVERAGE(EY206,ET206)</f>
      </c>
      <c r="EX206" s="421">
        <f>AVERAGE(EW206,EY206)</f>
      </c>
      <c r="EY206" s="421">
        <v>432</v>
      </c>
      <c r="EZ206" s="416">
        <f>EU206*(1+EZ207)</f>
      </c>
      <c r="FA206" s="417">
        <f>EZ206</f>
      </c>
      <c r="FB206" s="416">
        <f>FA206+FB208</f>
      </c>
      <c r="FC206" s="416">
        <f>FB206+FC208</f>
      </c>
      <c r="FD206" s="416">
        <f>FC206+FD208</f>
      </c>
      <c r="FE206" s="416">
        <f>FD206+FE208</f>
      </c>
      <c r="FF206" s="417">
        <f>FE206</f>
      </c>
      <c r="FG206" s="416">
        <f>FF206+FG208</f>
      </c>
      <c r="FH206" s="416">
        <f>FG206+FH208</f>
      </c>
      <c r="FI206" s="416">
        <f>FH206+FI208</f>
      </c>
      <c r="FJ206" s="416">
        <f>FI206+FJ208</f>
      </c>
      <c r="FK206" s="417">
        <f>FJ206</f>
      </c>
      <c r="FL206" s="416">
        <f>FK206+FL208</f>
      </c>
      <c r="FM206" s="416">
        <f>FL206+FM208</f>
      </c>
      <c r="FN206" s="416">
        <f>FM206+FN208</f>
      </c>
      <c r="FO206" s="416">
        <f>FN206+FO208</f>
      </c>
      <c r="FP206" s="417">
        <f>FO206</f>
      </c>
      <c r="FQ206" s="416">
        <f>FP206+FQ208</f>
      </c>
      <c r="FR206" s="416">
        <f>FQ206+FR208</f>
      </c>
      <c r="FS206" s="416">
        <f>FR206+FS208</f>
      </c>
      <c r="FT206" s="416">
        <f>FS206+FT208</f>
      </c>
      <c r="FU206" s="417">
        <f>FT206</f>
      </c>
      <c r="FV206" s="416">
        <f>FU206+FV208</f>
      </c>
      <c r="FW206" s="416">
        <f>FV206+FW208</f>
      </c>
      <c r="FX206" s="416">
        <f>FW206+FX208</f>
      </c>
      <c r="FY206" s="416">
        <f>FX206+FY208</f>
      </c>
      <c r="FZ206" s="417">
        <f>FY206</f>
      </c>
      <c r="GA206" s="416">
        <f>FZ206+GA208</f>
      </c>
      <c r="GB206" s="416">
        <f>GA206+GB208</f>
      </c>
      <c r="GC206" s="416">
        <f>GB206+GC208</f>
      </c>
      <c r="GD206" s="416">
        <f>GC206+GD208</f>
      </c>
      <c r="GE206" s="417">
        <f>GD206</f>
      </c>
      <c r="GF206" s="416">
        <f>GE206+GF208</f>
      </c>
      <c r="GG206" s="416">
        <f>GF206+GG208</f>
      </c>
      <c r="GH206" s="416">
        <f>GG206+GH208</f>
      </c>
      <c r="GI206" s="416">
        <f>GH206+GI208</f>
      </c>
      <c r="GJ206" s="418">
        <f>GI206</f>
      </c>
    </row>
    <row r="207" spans="1:192" s="1200" customFormat="1" ht="12.75" hidden="1" customHeight="1" outlineLevel="1">
      <c r="A207" s="1272"/>
      <c r="B207" s="1300" t="s">
        <v>34</v>
      </c>
      <c r="C207" s="1238"/>
      <c r="D207" s="1117"/>
      <c r="E207" s="1117"/>
      <c r="F207" s="1117"/>
      <c r="G207" s="1325"/>
      <c r="H207" s="1238"/>
      <c r="I207" s="1117"/>
      <c r="J207" s="1117"/>
      <c r="K207" s="1117"/>
      <c r="L207" s="1325"/>
      <c r="M207" s="1238"/>
      <c r="N207" s="1117"/>
      <c r="O207" s="1117"/>
      <c r="P207" s="1117"/>
      <c r="Q207" s="1325"/>
      <c r="R207" s="1238"/>
      <c r="S207" s="1117"/>
      <c r="T207" s="1117"/>
      <c r="U207" s="1117"/>
      <c r="V207" s="1325"/>
      <c r="W207" s="1238"/>
      <c r="X207" s="1117"/>
      <c r="Y207" s="1117"/>
      <c r="Z207" s="1117"/>
      <c r="AA207" s="1325"/>
      <c r="AB207" s="1238"/>
      <c r="AC207" s="1117"/>
      <c r="AD207" s="1117"/>
      <c r="AE207" s="1117"/>
      <c r="AF207" s="1325"/>
      <c r="AG207" s="1238"/>
      <c r="AH207" s="1117"/>
      <c r="AI207" s="1117"/>
      <c r="AJ207" s="1117"/>
      <c r="AK207" s="1325"/>
      <c r="AL207" s="1238"/>
      <c r="AM207" s="1117"/>
      <c r="AN207" s="1117"/>
      <c r="AO207" s="1117"/>
      <c r="AP207" s="1325"/>
      <c r="AQ207" s="1238"/>
      <c r="AR207" s="1117"/>
      <c r="AS207" s="1117"/>
      <c r="AT207" s="1117"/>
      <c r="AU207" s="1325"/>
      <c r="AV207" s="1238"/>
      <c r="AW207" s="1117"/>
      <c r="AX207" s="1117"/>
      <c r="AY207" s="1117"/>
      <c r="AZ207" s="1325"/>
      <c r="BA207" s="1238"/>
      <c r="BB207" s="1117"/>
      <c r="BC207" s="1117"/>
      <c r="BD207" s="1117"/>
      <c r="BE207" s="1325"/>
      <c r="BF207" s="1238"/>
      <c r="BG207" s="1117"/>
      <c r="BH207" s="1117"/>
      <c r="BI207" s="1117"/>
      <c r="BJ207" s="1325"/>
      <c r="BK207" s="1238"/>
      <c r="BL207" s="1117"/>
      <c r="BM207" s="1117"/>
      <c r="BN207" s="1117"/>
      <c r="BO207" s="1325"/>
      <c r="BP207" s="1238"/>
      <c r="BQ207" s="1117"/>
      <c r="BR207" s="1117"/>
      <c r="BS207" s="1117"/>
      <c r="BT207" s="1325"/>
      <c r="BU207" s="1238"/>
      <c r="BV207" s="1117"/>
      <c r="BW207" s="1117"/>
      <c r="BX207" s="1117"/>
      <c r="BY207" s="1325"/>
      <c r="BZ207" s="1238"/>
      <c r="CA207" s="1117"/>
      <c r="CB207" s="1117"/>
      <c r="CC207" s="1117"/>
      <c r="CD207" s="893"/>
      <c r="CE207" s="1238"/>
      <c r="CF207" s="1117"/>
      <c r="CG207" s="1117"/>
      <c r="CH207" s="1117"/>
      <c r="CI207" s="893"/>
      <c r="CJ207" s="1238"/>
      <c r="CK207" s="1117"/>
      <c r="CL207" s="1117"/>
      <c r="CM207" s="1117"/>
      <c r="CN207" s="893"/>
      <c r="CO207" s="1238"/>
      <c r="CP207" s="1117"/>
      <c r="CQ207" s="1117"/>
      <c r="CR207" s="1117"/>
      <c r="CS207" s="893"/>
      <c r="CT207" s="1117"/>
      <c r="CU207" s="1117"/>
      <c r="CV207" s="1117"/>
      <c r="CW207" s="1117"/>
      <c r="CX207" s="1325"/>
      <c r="CY207" s="1238"/>
      <c r="CZ207" s="1117"/>
      <c r="DA207" s="1117"/>
      <c r="DB207" s="1117"/>
      <c r="DC207" s="893"/>
      <c r="DD207" s="1238"/>
      <c r="DE207" s="1117"/>
      <c r="DF207" s="1117"/>
      <c r="DG207" s="1117"/>
      <c r="DH207" s="893"/>
      <c r="DI207" s="1328"/>
      <c r="DJ207" s="1327"/>
      <c r="DK207" s="1327"/>
      <c r="DL207" s="1327"/>
      <c r="DM207" s="893"/>
      <c r="DN207" s="1238"/>
      <c r="DO207" s="1117"/>
      <c r="DP207" s="1117"/>
      <c r="DQ207" s="1117"/>
      <c r="DR207" s="893"/>
      <c r="DS207" s="1238"/>
      <c r="DT207" s="1117"/>
      <c r="DU207" s="1117"/>
      <c r="DV207" s="1117"/>
      <c r="DW207" s="893"/>
      <c r="DX207" s="1238"/>
      <c r="DY207" s="1117"/>
      <c r="DZ207" s="1117"/>
      <c r="EA207" s="1117"/>
      <c r="EB207" s="893"/>
      <c r="EC207" s="1238"/>
      <c r="ED207" s="1117"/>
      <c r="EE207" s="1117"/>
      <c r="EF207" s="1117"/>
      <c r="EG207" s="893"/>
      <c r="EH207" s="1238"/>
      <c r="EI207" s="1117"/>
      <c r="EJ207" s="1117"/>
      <c r="EK207" s="1117"/>
      <c r="EL207" s="1325"/>
      <c r="EM207" s="1238"/>
      <c r="EN207" s="1117"/>
      <c r="EO207" s="114"/>
      <c r="EP207" s="1117"/>
      <c r="EQ207" s="893"/>
      <c r="ER207" s="1328">
        <v>0.1</v>
      </c>
      <c r="ES207" s="1117">
        <v>0.09</v>
      </c>
      <c r="ET207" s="1327">
        <v>0.08</v>
      </c>
      <c r="EU207" s="1327">
        <v>7.0000000000000007E-2</v>
      </c>
      <c r="EV207" s="893">
        <f>EV206/EQ206-1</f>
      </c>
      <c r="EW207" s="1328">
        <v>0.08</v>
      </c>
      <c r="EX207" s="1327">
        <v>7.0000000000000007E-2</v>
      </c>
      <c r="EY207" s="1327">
        <v>7.0000000000000007E-2</v>
      </c>
      <c r="EZ207" s="1327">
        <v>0.06</v>
      </c>
      <c r="FA207" s="893">
        <f>FA206/EV206-1</f>
      </c>
      <c r="FB207" s="924">
        <f t="shared" ref="FB207:GE207" si="208">FB206/EW206-1</f>
      </c>
      <c r="FC207" s="924">
        <f t="shared" si="208"/>
      </c>
      <c r="FD207" s="924">
        <f t="shared" si="208"/>
      </c>
      <c r="FE207" s="924">
        <f t="shared" si="208"/>
      </c>
      <c r="FF207" s="893">
        <f t="shared" si="208"/>
      </c>
      <c r="FG207" s="924">
        <f t="shared" si="208"/>
      </c>
      <c r="FH207" s="924">
        <f t="shared" si="208"/>
      </c>
      <c r="FI207" s="924">
        <f t="shared" si="208"/>
      </c>
      <c r="FJ207" s="924">
        <f t="shared" si="208"/>
      </c>
      <c r="FK207" s="893">
        <f t="shared" si="208"/>
      </c>
      <c r="FL207" s="924">
        <f t="shared" si="208"/>
      </c>
      <c r="FM207" s="924">
        <f t="shared" si="208"/>
      </c>
      <c r="FN207" s="924">
        <f t="shared" si="208"/>
      </c>
      <c r="FO207" s="924">
        <f t="shared" si="208"/>
      </c>
      <c r="FP207" s="893">
        <f t="shared" si="208"/>
      </c>
      <c r="FQ207" s="924">
        <f t="shared" si="208"/>
      </c>
      <c r="FR207" s="924">
        <f t="shared" si="208"/>
      </c>
      <c r="FS207" s="924">
        <f t="shared" si="208"/>
      </c>
      <c r="FT207" s="924">
        <f t="shared" si="208"/>
      </c>
      <c r="FU207" s="893">
        <f t="shared" si="208"/>
      </c>
      <c r="FV207" s="924">
        <f t="shared" si="208"/>
      </c>
      <c r="FW207" s="924">
        <f t="shared" si="208"/>
      </c>
      <c r="FX207" s="924">
        <f t="shared" si="208"/>
      </c>
      <c r="FY207" s="924">
        <f t="shared" si="208"/>
      </c>
      <c r="FZ207" s="893">
        <f t="shared" si="208"/>
      </c>
      <c r="GA207" s="924">
        <f t="shared" si="208"/>
      </c>
      <c r="GB207" s="924">
        <f t="shared" si="208"/>
      </c>
      <c r="GC207" s="924">
        <f t="shared" si="208"/>
      </c>
      <c r="GD207" s="924">
        <f t="shared" si="208"/>
      </c>
      <c r="GE207" s="893">
        <f t="shared" si="208"/>
      </c>
      <c r="GF207" s="924">
        <f t="shared" ref="GF207" si="209">GF206/GA206-1</f>
      </c>
      <c r="GG207" s="924">
        <f t="shared" ref="GG207" si="210">GG206/GB206-1</f>
      </c>
      <c r="GH207" s="924">
        <f t="shared" ref="GH207" si="211">GH206/GC206-1</f>
      </c>
      <c r="GI207" s="924">
        <f t="shared" ref="GI207" si="212">GI206/GD206-1</f>
      </c>
      <c r="GJ207" s="1199">
        <f t="shared" ref="GJ207" si="213">GJ206/GE206-1</f>
      </c>
    </row>
    <row r="208" spans="1:192" s="1701" customFormat="1" ht="12.75" hidden="1" customHeight="1" outlineLevel="1">
      <c r="A208" s="1694"/>
      <c r="B208" s="1695" t="s">
        <v>2074</v>
      </c>
      <c r="C208" s="1343"/>
      <c r="D208" s="1696"/>
      <c r="E208" s="1696"/>
      <c r="F208" s="1696"/>
      <c r="G208" s="1697"/>
      <c r="H208" s="1343"/>
      <c r="I208" s="1696"/>
      <c r="J208" s="1696"/>
      <c r="K208" s="1696"/>
      <c r="L208" s="1697"/>
      <c r="M208" s="1343"/>
      <c r="N208" s="1696"/>
      <c r="O208" s="1696"/>
      <c r="P208" s="1696"/>
      <c r="Q208" s="1697"/>
      <c r="R208" s="1343"/>
      <c r="S208" s="1696"/>
      <c r="T208" s="1696"/>
      <c r="U208" s="1696"/>
      <c r="V208" s="1697"/>
      <c r="W208" s="1343"/>
      <c r="X208" s="1696"/>
      <c r="Y208" s="1696"/>
      <c r="Z208" s="1696"/>
      <c r="AA208" s="1697"/>
      <c r="AB208" s="1343"/>
      <c r="AC208" s="1696"/>
      <c r="AD208" s="1696"/>
      <c r="AE208" s="1696"/>
      <c r="AF208" s="1697"/>
      <c r="AG208" s="1343"/>
      <c r="AH208" s="1696"/>
      <c r="AI208" s="1696"/>
      <c r="AJ208" s="1696"/>
      <c r="AK208" s="1697"/>
      <c r="AL208" s="1343"/>
      <c r="AM208" s="1696"/>
      <c r="AN208" s="1696"/>
      <c r="AO208" s="1696"/>
      <c r="AP208" s="1697"/>
      <c r="AQ208" s="1343"/>
      <c r="AR208" s="1696"/>
      <c r="AS208" s="1696"/>
      <c r="AT208" s="1696"/>
      <c r="AU208" s="1697"/>
      <c r="AV208" s="1343"/>
      <c r="AW208" s="1696"/>
      <c r="AX208" s="1696"/>
      <c r="AY208" s="1696"/>
      <c r="AZ208" s="1697"/>
      <c r="BA208" s="1343"/>
      <c r="BB208" s="1696"/>
      <c r="BC208" s="1696"/>
      <c r="BD208" s="1696"/>
      <c r="BE208" s="1697"/>
      <c r="BF208" s="1343"/>
      <c r="BG208" s="1696"/>
      <c r="BH208" s="1696"/>
      <c r="BI208" s="1696"/>
      <c r="BJ208" s="1697"/>
      <c r="BK208" s="1343"/>
      <c r="BL208" s="1696"/>
      <c r="BM208" s="1696"/>
      <c r="BN208" s="1696"/>
      <c r="BO208" s="1697"/>
      <c r="BP208" s="1343"/>
      <c r="BQ208" s="1696"/>
      <c r="BR208" s="1696"/>
      <c r="BS208" s="1696"/>
      <c r="BT208" s="1697"/>
      <c r="BU208" s="1343"/>
      <c r="BV208" s="1696"/>
      <c r="BW208" s="1696"/>
      <c r="BX208" s="1696"/>
      <c r="BY208" s="1697"/>
      <c r="BZ208" s="1343"/>
      <c r="CA208" s="1696"/>
      <c r="CB208" s="1696"/>
      <c r="CC208" s="1696"/>
      <c r="CD208" s="1697"/>
      <c r="CE208" s="1343"/>
      <c r="CF208" s="1696"/>
      <c r="CG208" s="1696"/>
      <c r="CH208" s="1696"/>
      <c r="CI208" s="1697"/>
      <c r="CJ208" s="1343"/>
      <c r="CK208" s="1696"/>
      <c r="CL208" s="1696"/>
      <c r="CM208" s="1696"/>
      <c r="CN208" s="1697"/>
      <c r="CO208" s="1698"/>
      <c r="CP208" s="1322"/>
      <c r="CQ208" s="1322"/>
      <c r="CR208" s="1322"/>
      <c r="CS208" s="1697"/>
      <c r="CT208" s="1698"/>
      <c r="CU208" s="1322"/>
      <c r="CV208" s="1322"/>
      <c r="CW208" s="1322"/>
      <c r="CX208" s="1697"/>
      <c r="CY208" s="1698"/>
      <c r="CZ208" s="1322"/>
      <c r="DA208" s="1322"/>
      <c r="DB208" s="1322"/>
      <c r="DC208" s="1697"/>
      <c r="DD208" s="1698"/>
      <c r="DE208" s="1322"/>
      <c r="DF208" s="1322"/>
      <c r="DG208" s="1322"/>
      <c r="DH208" s="1697"/>
      <c r="DI208" s="1698"/>
      <c r="DJ208" s="1322"/>
      <c r="DK208" s="1322"/>
      <c r="DL208" s="1322"/>
      <c r="DM208" s="1697"/>
      <c r="DN208" s="1698"/>
      <c r="DO208" s="1322"/>
      <c r="DP208" s="1322"/>
      <c r="DQ208" s="1322"/>
      <c r="DR208" s="1697"/>
      <c r="DS208" s="1698"/>
      <c r="DT208" s="1322"/>
      <c r="DU208" s="1322"/>
      <c r="DV208" s="1322"/>
      <c r="DW208" s="1697"/>
      <c r="DX208" s="1698"/>
      <c r="DY208" s="1322"/>
      <c r="DZ208" s="1322"/>
      <c r="EA208" s="1322"/>
      <c r="EB208" s="1697"/>
      <c r="EC208" s="1698"/>
      <c r="ED208" s="1322"/>
      <c r="EE208" s="1322"/>
      <c r="EF208" s="1322"/>
      <c r="EG208" s="1697"/>
      <c r="EH208" s="1698"/>
      <c r="EI208" s="1322"/>
      <c r="EJ208" s="1322"/>
      <c r="EK208" s="1322"/>
      <c r="EL208" s="1697"/>
      <c r="EM208" s="1698"/>
      <c r="EN208" s="1322">
        <f>EN206-EM206</f>
      </c>
      <c r="EO208" s="1322">
        <f>EO206-EN206</f>
      </c>
      <c r="EP208" s="1322">
        <f>EP206-EO206</f>
      </c>
      <c r="EQ208" s="1697">
        <f>SUM(EM208:EP208)</f>
      </c>
      <c r="ER208" s="1698">
        <f>ER206-EP206</f>
      </c>
      <c r="ES208" s="1322">
        <f>ES206-ER206</f>
      </c>
      <c r="ET208" s="1322">
        <f>ET206-ES206</f>
      </c>
      <c r="EU208" s="1322">
        <f>EU206-ET206</f>
      </c>
      <c r="EV208" s="1697">
        <f>SUM(ER208:EU208)</f>
      </c>
      <c r="EW208" s="1698">
        <f>EW206-EU206</f>
      </c>
      <c r="EX208" s="1322">
        <f>EX206-EW206</f>
      </c>
      <c r="EY208" s="1322">
        <f>EY206-EX206</f>
      </c>
      <c r="EZ208" s="1322">
        <f>EZ206-EY206</f>
      </c>
      <c r="FA208" s="1697">
        <f>SUM(EW208:EZ208)</f>
      </c>
      <c r="FB208" s="1699">
        <v>6</v>
      </c>
      <c r="FC208" s="1699">
        <f>FB208</f>
      </c>
      <c r="FD208" s="1699">
        <f>FC208</f>
      </c>
      <c r="FE208" s="1699">
        <f>FD208</f>
      </c>
      <c r="FF208" s="1697">
        <f>SUM(FB208:FE208)</f>
      </c>
      <c r="FG208" s="1699">
        <v>6</v>
      </c>
      <c r="FH208" s="1699">
        <f>FG208</f>
      </c>
      <c r="FI208" s="1699">
        <f>FH208</f>
      </c>
      <c r="FJ208" s="1699">
        <f>FI208</f>
      </c>
      <c r="FK208" s="1697">
        <f>SUM(FG208:FJ208)</f>
      </c>
      <c r="FL208" s="1699">
        <v>5.5</v>
      </c>
      <c r="FM208" s="1699">
        <f>FL208</f>
      </c>
      <c r="FN208" s="1699">
        <f>FM208</f>
      </c>
      <c r="FO208" s="1699">
        <f>FN208</f>
      </c>
      <c r="FP208" s="1697">
        <f>SUM(FL208:FO208)</f>
      </c>
      <c r="FQ208" s="1699">
        <v>5</v>
      </c>
      <c r="FR208" s="1699">
        <f>FQ208</f>
      </c>
      <c r="FS208" s="1699">
        <f>FR208</f>
      </c>
      <c r="FT208" s="1699">
        <f>FS208</f>
      </c>
      <c r="FU208" s="1697">
        <f>SUM(FQ208:FT208)</f>
      </c>
      <c r="FV208" s="1699">
        <v>5</v>
      </c>
      <c r="FW208" s="1699">
        <f>FV208</f>
      </c>
      <c r="FX208" s="1699">
        <f>FW208</f>
      </c>
      <c r="FY208" s="1699">
        <f>FX208</f>
      </c>
      <c r="FZ208" s="1697">
        <f>SUM(FV208:FY208)</f>
      </c>
      <c r="GA208" s="1699">
        <v>5</v>
      </c>
      <c r="GB208" s="1699">
        <f>GA208</f>
      </c>
      <c r="GC208" s="1699">
        <f>GB208</f>
      </c>
      <c r="GD208" s="1699">
        <f>GC208</f>
      </c>
      <c r="GE208" s="1697">
        <f>SUM(GA208:GD208)</f>
      </c>
      <c r="GF208" s="1699">
        <v>5</v>
      </c>
      <c r="GG208" s="1699">
        <f>GF208</f>
      </c>
      <c r="GH208" s="1699">
        <f>GG208</f>
      </c>
      <c r="GI208" s="1699">
        <f>GH208</f>
      </c>
      <c r="GJ208" s="1700">
        <f>SUM(GF208:GI208)</f>
      </c>
    </row>
    <row r="209" spans="1:192" s="1701" customFormat="1" ht="12.75" hidden="1" customHeight="1" outlineLevel="1">
      <c r="A209" s="1694"/>
      <c r="B209" s="1695"/>
      <c r="C209" s="1343"/>
      <c r="D209" s="1696"/>
      <c r="E209" s="1696"/>
      <c r="F209" s="1696"/>
      <c r="G209" s="1697"/>
      <c r="H209" s="1343"/>
      <c r="I209" s="1696"/>
      <c r="J209" s="1696"/>
      <c r="K209" s="1696"/>
      <c r="L209" s="1697"/>
      <c r="M209" s="1343"/>
      <c r="N209" s="1696"/>
      <c r="O209" s="1696"/>
      <c r="P209" s="1696"/>
      <c r="Q209" s="1697"/>
      <c r="R209" s="1343"/>
      <c r="S209" s="1696"/>
      <c r="T209" s="1696"/>
      <c r="U209" s="1696"/>
      <c r="V209" s="1697"/>
      <c r="W209" s="1343"/>
      <c r="X209" s="1696"/>
      <c r="Y209" s="1696"/>
      <c r="Z209" s="1696"/>
      <c r="AA209" s="1697"/>
      <c r="AB209" s="1343"/>
      <c r="AC209" s="1696"/>
      <c r="AD209" s="1696"/>
      <c r="AE209" s="1696"/>
      <c r="AF209" s="1697"/>
      <c r="AG209" s="1343"/>
      <c r="AH209" s="1696"/>
      <c r="AI209" s="1696"/>
      <c r="AJ209" s="1696"/>
      <c r="AK209" s="1697"/>
      <c r="AL209" s="1343"/>
      <c r="AM209" s="1696"/>
      <c r="AN209" s="1696"/>
      <c r="AO209" s="1696"/>
      <c r="AP209" s="1697"/>
      <c r="AQ209" s="1343"/>
      <c r="AR209" s="1696"/>
      <c r="AS209" s="1696"/>
      <c r="AT209" s="1696"/>
      <c r="AU209" s="1697"/>
      <c r="AV209" s="1343"/>
      <c r="AW209" s="1696"/>
      <c r="AX209" s="1696"/>
      <c r="AY209" s="1696"/>
      <c r="AZ209" s="1697"/>
      <c r="BA209" s="1343"/>
      <c r="BB209" s="1696"/>
      <c r="BC209" s="1696"/>
      <c r="BD209" s="1696"/>
      <c r="BE209" s="1697"/>
      <c r="BF209" s="1343"/>
      <c r="BG209" s="1696"/>
      <c r="BH209" s="1696"/>
      <c r="BI209" s="1696"/>
      <c r="BJ209" s="1697"/>
      <c r="BK209" s="1343"/>
      <c r="BL209" s="1696"/>
      <c r="BM209" s="1696"/>
      <c r="BN209" s="1696"/>
      <c r="BO209" s="1697"/>
      <c r="BP209" s="1343"/>
      <c r="BQ209" s="1696"/>
      <c r="BR209" s="1696"/>
      <c r="BS209" s="1696"/>
      <c r="BT209" s="1697"/>
      <c r="BU209" s="1343"/>
      <c r="BV209" s="1696"/>
      <c r="BW209" s="1696"/>
      <c r="BX209" s="1696"/>
      <c r="BY209" s="1697"/>
      <c r="BZ209" s="1343"/>
      <c r="CA209" s="1696"/>
      <c r="CB209" s="1696"/>
      <c r="CC209" s="1696"/>
      <c r="CD209" s="1697"/>
      <c r="CE209" s="1343"/>
      <c r="CF209" s="1696"/>
      <c r="CG209" s="1696"/>
      <c r="CH209" s="1696"/>
      <c r="CI209" s="1697"/>
      <c r="CJ209" s="1343"/>
      <c r="CK209" s="1696"/>
      <c r="CL209" s="1696"/>
      <c r="CM209" s="1696"/>
      <c r="CN209" s="1697"/>
      <c r="CO209" s="1698"/>
      <c r="CP209" s="1322"/>
      <c r="CQ209" s="1322"/>
      <c r="CR209" s="1322"/>
      <c r="CS209" s="1697"/>
      <c r="CT209" s="1698"/>
      <c r="CU209" s="1322"/>
      <c r="CV209" s="1322"/>
      <c r="CW209" s="1322"/>
      <c r="CX209" s="1697"/>
      <c r="CY209" s="1698"/>
      <c r="CZ209" s="1322"/>
      <c r="DA209" s="1322"/>
      <c r="DB209" s="1322"/>
      <c r="DC209" s="1697"/>
      <c r="DD209" s="1698"/>
      <c r="DE209" s="1322"/>
      <c r="DF209" s="1322"/>
      <c r="DG209" s="1322"/>
      <c r="DH209" s="1697"/>
      <c r="DI209" s="1698"/>
      <c r="DJ209" s="1322"/>
      <c r="DK209" s="1322"/>
      <c r="DL209" s="1322"/>
      <c r="DM209" s="1697"/>
      <c r="DN209" s="1698"/>
      <c r="DO209" s="1322"/>
      <c r="DP209" s="1322"/>
      <c r="DQ209" s="1322"/>
      <c r="DR209" s="1697"/>
      <c r="DS209" s="1698"/>
      <c r="DT209" s="1322"/>
      <c r="DU209" s="1322"/>
      <c r="DV209" s="1322"/>
      <c r="DW209" s="1697"/>
      <c r="DX209" s="1698"/>
      <c r="DY209" s="1322"/>
      <c r="DZ209" s="1322"/>
      <c r="EA209" s="1322"/>
      <c r="EB209" s="1697"/>
      <c r="EC209" s="1698"/>
      <c r="ED209" s="1322"/>
      <c r="EE209" s="1322"/>
      <c r="EF209" s="1322"/>
      <c r="EG209" s="1697"/>
      <c r="EH209" s="1698"/>
      <c r="EI209" s="1322"/>
      <c r="EJ209" s="1322"/>
      <c r="EK209" s="1322"/>
      <c r="EL209" s="1697"/>
      <c r="EM209" s="1698"/>
      <c r="EN209" s="1322"/>
      <c r="EO209" s="1322"/>
      <c r="EP209" s="1322"/>
      <c r="EQ209" s="1697"/>
      <c r="ER209" s="1698"/>
      <c r="ES209" s="1322"/>
      <c r="ET209" s="1322"/>
      <c r="EU209" s="1322"/>
      <c r="EV209" s="1697"/>
      <c r="EW209" s="1698"/>
      <c r="EX209" s="1322"/>
      <c r="EY209" s="1322"/>
      <c r="EZ209" s="1699"/>
      <c r="FA209" s="1697"/>
      <c r="FB209" s="1699"/>
      <c r="FC209" s="1699"/>
      <c r="FD209" s="1699"/>
      <c r="FE209" s="1699"/>
      <c r="FF209" s="1697"/>
      <c r="FG209" s="1699"/>
      <c r="FH209" s="1699"/>
      <c r="FI209" s="1699"/>
      <c r="FJ209" s="1699"/>
      <c r="FK209" s="1697"/>
      <c r="FL209" s="1699"/>
      <c r="FM209" s="1699"/>
      <c r="FN209" s="1699"/>
      <c r="FO209" s="1699"/>
      <c r="FP209" s="1697"/>
      <c r="FQ209" s="1699"/>
      <c r="FR209" s="1699"/>
      <c r="FS209" s="1699"/>
      <c r="FT209" s="1699"/>
      <c r="FU209" s="1697"/>
      <c r="FV209" s="1699"/>
      <c r="FW209" s="1699"/>
      <c r="FX209" s="1699"/>
      <c r="FY209" s="1699"/>
      <c r="FZ209" s="1697"/>
      <c r="GA209" s="1699"/>
      <c r="GB209" s="1699"/>
      <c r="GC209" s="1699"/>
      <c r="GD209" s="1699"/>
      <c r="GE209" s="1697"/>
      <c r="GF209" s="1699"/>
      <c r="GG209" s="1699"/>
      <c r="GH209" s="1699"/>
      <c r="GI209" s="1699"/>
      <c r="GJ209" s="1700"/>
    </row>
    <row r="210" spans="1:192" s="835" customFormat="1" ht="12.75" hidden="1" customHeight="1" outlineLevel="1">
      <c r="A210" s="370"/>
      <c r="B210" s="737" t="s">
        <v>2073</v>
      </c>
      <c r="C210" s="447"/>
      <c r="D210" s="458"/>
      <c r="E210" s="458"/>
      <c r="F210" s="458"/>
      <c r="G210" s="459"/>
      <c r="H210" s="447"/>
      <c r="I210" s="458"/>
      <c r="J210" s="458"/>
      <c r="K210" s="458"/>
      <c r="L210" s="459"/>
      <c r="M210" s="447"/>
      <c r="N210" s="458"/>
      <c r="O210" s="458"/>
      <c r="P210" s="458"/>
      <c r="Q210" s="459"/>
      <c r="R210" s="447"/>
      <c r="S210" s="458"/>
      <c r="T210" s="458"/>
      <c r="U210" s="458"/>
      <c r="V210" s="459"/>
      <c r="W210" s="447"/>
      <c r="X210" s="458"/>
      <c r="Y210" s="458"/>
      <c r="Z210" s="458"/>
      <c r="AA210" s="459"/>
      <c r="AB210" s="447"/>
      <c r="AC210" s="458"/>
      <c r="AD210" s="458"/>
      <c r="AE210" s="458"/>
      <c r="AF210" s="459"/>
      <c r="AG210" s="447"/>
      <c r="AH210" s="458"/>
      <c r="AI210" s="458"/>
      <c r="AJ210" s="458"/>
      <c r="AK210" s="459"/>
      <c r="AL210" s="447"/>
      <c r="AM210" s="458"/>
      <c r="AN210" s="458"/>
      <c r="AO210" s="458"/>
      <c r="AP210" s="459"/>
      <c r="AQ210" s="447"/>
      <c r="AR210" s="458"/>
      <c r="AS210" s="458"/>
      <c r="AT210" s="458"/>
      <c r="AU210" s="459"/>
      <c r="AV210" s="447"/>
      <c r="AW210" s="458"/>
      <c r="AX210" s="458"/>
      <c r="AY210" s="458"/>
      <c r="AZ210" s="459"/>
      <c r="BA210" s="447"/>
      <c r="BB210" s="458"/>
      <c r="BC210" s="458"/>
      <c r="BD210" s="458"/>
      <c r="BE210" s="459"/>
      <c r="BF210" s="447"/>
      <c r="BG210" s="458"/>
      <c r="BH210" s="458"/>
      <c r="BI210" s="458"/>
      <c r="BJ210" s="459"/>
      <c r="BK210" s="447"/>
      <c r="BL210" s="458"/>
      <c r="BM210" s="458"/>
      <c r="BN210" s="458"/>
      <c r="BO210" s="459"/>
      <c r="BP210" s="447"/>
      <c r="BQ210" s="458"/>
      <c r="BR210" s="458"/>
      <c r="BS210" s="458"/>
      <c r="BT210" s="459"/>
      <c r="BU210" s="447"/>
      <c r="BV210" s="458"/>
      <c r="BW210" s="458"/>
      <c r="BX210" s="458"/>
      <c r="BY210" s="459"/>
      <c r="BZ210" s="447"/>
      <c r="CA210" s="458"/>
      <c r="CB210" s="458"/>
      <c r="CC210" s="458"/>
      <c r="CD210" s="459"/>
      <c r="CE210" s="447"/>
      <c r="CF210" s="458"/>
      <c r="CG210" s="458"/>
      <c r="CH210" s="458"/>
      <c r="CI210" s="459"/>
      <c r="CJ210" s="447"/>
      <c r="CK210" s="458"/>
      <c r="CL210" s="458"/>
      <c r="CM210" s="458"/>
      <c r="CN210" s="459"/>
      <c r="CO210" s="831"/>
      <c r="CP210" s="831"/>
      <c r="CQ210" s="831"/>
      <c r="CR210" s="831"/>
      <c r="CS210" s="459"/>
      <c r="CT210" s="831"/>
      <c r="CU210" s="831"/>
      <c r="CV210" s="831"/>
      <c r="CW210" s="831"/>
      <c r="CX210" s="894"/>
      <c r="CY210" s="831"/>
      <c r="CZ210" s="831"/>
      <c r="DA210" s="831"/>
      <c r="DB210" s="831"/>
      <c r="DC210" s="894"/>
      <c r="DD210" s="831"/>
      <c r="DE210" s="831"/>
      <c r="DF210" s="831"/>
      <c r="DG210" s="831"/>
      <c r="DH210" s="832"/>
      <c r="DI210" s="831"/>
      <c r="DJ210" s="831"/>
      <c r="DK210" s="831"/>
      <c r="DL210" s="831"/>
      <c r="DM210" s="832"/>
      <c r="DN210" s="831"/>
      <c r="DO210" s="831"/>
      <c r="DP210" s="831"/>
      <c r="DQ210" s="831"/>
      <c r="DR210" s="832"/>
      <c r="DS210" s="831"/>
      <c r="DT210" s="831"/>
      <c r="DU210" s="831"/>
      <c r="DV210" s="831"/>
      <c r="DW210" s="832"/>
      <c r="DX210" s="831"/>
      <c r="DY210" s="831"/>
      <c r="DZ210" s="831"/>
      <c r="EA210" s="831"/>
      <c r="EB210" s="832"/>
      <c r="EC210" s="831"/>
      <c r="ED210" s="831"/>
      <c r="EE210" s="831"/>
      <c r="EF210" s="831"/>
      <c r="EG210" s="832"/>
      <c r="EH210" s="831"/>
      <c r="EI210" s="831"/>
      <c r="EJ210" s="831"/>
      <c r="EK210" s="831"/>
      <c r="EL210" s="832"/>
      <c r="EM210" s="831">
        <f>EM195/EM206*4</f>
      </c>
      <c r="EN210" s="831">
        <f>EN195/EN206*4</f>
      </c>
      <c r="EO210" s="831">
        <f>EO195/EO206*4</f>
      </c>
      <c r="EP210" s="831">
        <f>EP195/EP206*4</f>
      </c>
      <c r="EQ210" s="832">
        <f>EQ195/EQ206</f>
      </c>
      <c r="ER210" s="831">
        <f>ER195/ER206*4</f>
      </c>
      <c r="ES210" s="831">
        <f>ES195/ES206*4</f>
      </c>
      <c r="ET210" s="831">
        <f>ET195/ET206*4</f>
      </c>
      <c r="EU210" s="831">
        <f>EU195/EU206*4</f>
      </c>
      <c r="EV210" s="832">
        <f>EV195/EV206</f>
      </c>
      <c r="EW210" s="831">
        <f>EW195/EW206*4</f>
      </c>
      <c r="EX210" s="831">
        <f>EX195/EX206*4</f>
      </c>
      <c r="EY210" s="831">
        <f>EY195/EY206*4</f>
      </c>
      <c r="EZ210" s="831">
        <f>EZ195/EZ206*4</f>
      </c>
      <c r="FA210" s="832">
        <f>FA195/FA206</f>
      </c>
      <c r="FB210" s="831">
        <f t="shared" ref="FB210:FE210" si="214">EW210*(1+FB211)</f>
      </c>
      <c r="FC210" s="831">
        <f t="shared" si="214"/>
      </c>
      <c r="FD210" s="831">
        <f t="shared" si="214"/>
      </c>
      <c r="FE210" s="831">
        <f t="shared" si="214"/>
      </c>
      <c r="FF210" s="832">
        <f>FF195/FF206</f>
      </c>
      <c r="FG210" s="831">
        <f t="shared" ref="FG210" si="215">FB210*(1+FG211)</f>
      </c>
      <c r="FH210" s="831">
        <f t="shared" ref="FH210" si="216">FC210*(1+FH211)</f>
      </c>
      <c r="FI210" s="831">
        <f t="shared" ref="FI210" si="217">FD210*(1+FI211)</f>
      </c>
      <c r="FJ210" s="831">
        <f t="shared" ref="FJ210" si="218">FE210*(1+FJ211)</f>
      </c>
      <c r="FK210" s="832">
        <f>FK195/FK206</f>
      </c>
      <c r="FL210" s="831">
        <f t="shared" ref="FL210" si="219">FG210*(1+FL211)</f>
      </c>
      <c r="FM210" s="831">
        <f t="shared" ref="FM210" si="220">FH210*(1+FM211)</f>
      </c>
      <c r="FN210" s="831">
        <f t="shared" ref="FN210" si="221">FI210*(1+FN211)</f>
      </c>
      <c r="FO210" s="831">
        <f t="shared" ref="FO210" si="222">FJ210*(1+FO211)</f>
      </c>
      <c r="FP210" s="832">
        <f>FP195/FP206</f>
      </c>
      <c r="FQ210" s="831">
        <f t="shared" ref="FQ210" si="223">FL210*(1+FQ211)</f>
      </c>
      <c r="FR210" s="831">
        <f t="shared" ref="FR210" si="224">FM210*(1+FR211)</f>
      </c>
      <c r="FS210" s="831">
        <f t="shared" ref="FS210" si="225">FN210*(1+FS211)</f>
      </c>
      <c r="FT210" s="831">
        <f t="shared" ref="FT210" si="226">FO210*(1+FT211)</f>
      </c>
      <c r="FU210" s="832">
        <f>FU195/FU206</f>
      </c>
      <c r="FV210" s="831">
        <f t="shared" ref="FV210" si="227">FQ210*(1+FV211)</f>
      </c>
      <c r="FW210" s="831">
        <f t="shared" ref="FW210" si="228">FR210*(1+FW211)</f>
      </c>
      <c r="FX210" s="831">
        <f t="shared" ref="FX210" si="229">FS210*(1+FX211)</f>
      </c>
      <c r="FY210" s="831">
        <f t="shared" ref="FY210" si="230">FT210*(1+FY211)</f>
      </c>
      <c r="FZ210" s="832">
        <f>FZ195/FZ206</f>
      </c>
      <c r="GA210" s="833">
        <f t="shared" ref="GA210" si="231">FV210*(1+GA211)</f>
      </c>
      <c r="GB210" s="831">
        <f t="shared" ref="GB210" si="232">FW210*(1+GB211)</f>
      </c>
      <c r="GC210" s="831">
        <f t="shared" ref="GC210" si="233">FX210*(1+GC211)</f>
      </c>
      <c r="GD210" s="831">
        <f t="shared" ref="GD210" si="234">FY210*(1+GD211)</f>
      </c>
      <c r="GE210" s="832">
        <f>GE195/GE206</f>
      </c>
      <c r="GF210" s="833">
        <f t="shared" ref="GF210" si="235">GA210*(1+GF211)</f>
      </c>
      <c r="GG210" s="831">
        <f t="shared" ref="GG210" si="236">GB210*(1+GG211)</f>
      </c>
      <c r="GH210" s="831">
        <f t="shared" ref="GH210" si="237">GC210*(1+GH211)</f>
      </c>
      <c r="GI210" s="831">
        <f t="shared" ref="GI210" si="238">GD210*(1+GI211)</f>
      </c>
      <c r="GJ210" s="834">
        <f>GJ195/GJ206</f>
      </c>
    </row>
    <row r="211" spans="1:192" s="835" customFormat="1" ht="12.75" hidden="1" customHeight="1" outlineLevel="1">
      <c r="A211" s="370"/>
      <c r="B211" s="1692" t="s">
        <v>34</v>
      </c>
      <c r="C211" s="447"/>
      <c r="D211" s="458"/>
      <c r="E211" s="458"/>
      <c r="F211" s="458"/>
      <c r="G211" s="459"/>
      <c r="H211" s="447"/>
      <c r="I211" s="458"/>
      <c r="J211" s="458"/>
      <c r="K211" s="458"/>
      <c r="L211" s="459"/>
      <c r="M211" s="447"/>
      <c r="N211" s="458"/>
      <c r="O211" s="458"/>
      <c r="P211" s="458"/>
      <c r="Q211" s="459"/>
      <c r="R211" s="447"/>
      <c r="S211" s="458"/>
      <c r="T211" s="458"/>
      <c r="U211" s="458"/>
      <c r="V211" s="459"/>
      <c r="W211" s="447"/>
      <c r="X211" s="458"/>
      <c r="Y211" s="458"/>
      <c r="Z211" s="458"/>
      <c r="AA211" s="459"/>
      <c r="AB211" s="447"/>
      <c r="AC211" s="458"/>
      <c r="AD211" s="458"/>
      <c r="AE211" s="458"/>
      <c r="AF211" s="459"/>
      <c r="AG211" s="447"/>
      <c r="AH211" s="458"/>
      <c r="AI211" s="458"/>
      <c r="AJ211" s="458"/>
      <c r="AK211" s="459"/>
      <c r="AL211" s="447"/>
      <c r="AM211" s="458"/>
      <c r="AN211" s="458"/>
      <c r="AO211" s="458"/>
      <c r="AP211" s="459"/>
      <c r="AQ211" s="447"/>
      <c r="AR211" s="458"/>
      <c r="AS211" s="458"/>
      <c r="AT211" s="458"/>
      <c r="AU211" s="459"/>
      <c r="AV211" s="447"/>
      <c r="AW211" s="458"/>
      <c r="AX211" s="458"/>
      <c r="AY211" s="458"/>
      <c r="AZ211" s="459"/>
      <c r="BA211" s="447"/>
      <c r="BB211" s="458"/>
      <c r="BC211" s="458"/>
      <c r="BD211" s="458"/>
      <c r="BE211" s="459"/>
      <c r="BF211" s="447"/>
      <c r="BG211" s="458"/>
      <c r="BH211" s="458"/>
      <c r="BI211" s="458"/>
      <c r="BJ211" s="459"/>
      <c r="BK211" s="447"/>
      <c r="BL211" s="458"/>
      <c r="BM211" s="458"/>
      <c r="BN211" s="458"/>
      <c r="BO211" s="459"/>
      <c r="BP211" s="447"/>
      <c r="BQ211" s="458"/>
      <c r="BR211" s="458"/>
      <c r="BS211" s="458"/>
      <c r="BT211" s="459"/>
      <c r="BU211" s="447"/>
      <c r="BV211" s="458"/>
      <c r="BW211" s="458"/>
      <c r="BX211" s="458"/>
      <c r="BY211" s="459"/>
      <c r="BZ211" s="447"/>
      <c r="CA211" s="458"/>
      <c r="CB211" s="458"/>
      <c r="CC211" s="458"/>
      <c r="CD211" s="459"/>
      <c r="CE211" s="447"/>
      <c r="CF211" s="458"/>
      <c r="CG211" s="458"/>
      <c r="CH211" s="458"/>
      <c r="CI211" s="459"/>
      <c r="CJ211" s="447"/>
      <c r="CK211" s="458"/>
      <c r="CL211" s="458"/>
      <c r="CM211" s="458"/>
      <c r="CN211" s="459"/>
      <c r="CO211" s="831"/>
      <c r="CP211" s="831"/>
      <c r="CQ211" s="831"/>
      <c r="CR211" s="831"/>
      <c r="CS211" s="459"/>
      <c r="CT211" s="831"/>
      <c r="CU211" s="831"/>
      <c r="CV211" s="831"/>
      <c r="CW211" s="831"/>
      <c r="CX211" s="894"/>
      <c r="CY211" s="831"/>
      <c r="CZ211" s="831"/>
      <c r="DA211" s="831"/>
      <c r="DB211" s="831"/>
      <c r="DC211" s="894"/>
      <c r="DD211" s="831"/>
      <c r="DE211" s="831"/>
      <c r="DF211" s="831"/>
      <c r="DG211" s="831"/>
      <c r="DH211" s="832"/>
      <c r="DI211" s="831"/>
      <c r="DJ211" s="831"/>
      <c r="DK211" s="831"/>
      <c r="DL211" s="831"/>
      <c r="DM211" s="832"/>
      <c r="DN211" s="831"/>
      <c r="DO211" s="831"/>
      <c r="DP211" s="831"/>
      <c r="DQ211" s="831"/>
      <c r="DR211" s="832"/>
      <c r="DS211" s="831"/>
      <c r="DT211" s="831"/>
      <c r="DU211" s="831"/>
      <c r="DV211" s="831"/>
      <c r="DW211" s="832"/>
      <c r="DX211" s="831"/>
      <c r="DY211" s="831"/>
      <c r="DZ211" s="831"/>
      <c r="EA211" s="831"/>
      <c r="EB211" s="832"/>
      <c r="EC211" s="831"/>
      <c r="ED211" s="831"/>
      <c r="EE211" s="831"/>
      <c r="EF211" s="831"/>
      <c r="EG211" s="832"/>
      <c r="EH211" s="831"/>
      <c r="EI211" s="831"/>
      <c r="EJ211" s="831"/>
      <c r="EK211" s="831"/>
      <c r="EL211" s="832"/>
      <c r="EM211" s="831"/>
      <c r="EN211" s="831"/>
      <c r="EO211" s="831"/>
      <c r="EP211" s="831"/>
      <c r="EQ211" s="832"/>
      <c r="ER211" s="1202">
        <f t="shared" ref="ER211:EY211" si="239">ER210/EM210-1</f>
      </c>
      <c r="ES211" s="1202">
        <f t="shared" si="239"/>
      </c>
      <c r="ET211" s="1202">
        <f t="shared" si="239"/>
      </c>
      <c r="EU211" s="1202">
        <f t="shared" si="239"/>
      </c>
      <c r="EV211" s="1693">
        <f t="shared" si="239"/>
      </c>
      <c r="EW211" s="1202">
        <f t="shared" si="239"/>
      </c>
      <c r="EX211" s="1202">
        <f t="shared" si="239"/>
      </c>
      <c r="EY211" s="1202">
        <f t="shared" si="239"/>
      </c>
      <c r="EZ211" s="1202">
        <f t="shared" ref="EZ211" si="240">EZ210/EU210-1</f>
      </c>
      <c r="FA211" s="1693">
        <f>FA210/EV210-1</f>
      </c>
      <c r="FB211" s="1236">
        <v>0.1075</v>
      </c>
      <c r="FC211" s="1236">
        <v>0.09</v>
      </c>
      <c r="FD211" s="1236">
        <f>FC211</f>
      </c>
      <c r="FE211" s="1236">
        <f>FD211</f>
      </c>
      <c r="FF211" s="1693">
        <f t="shared" ref="FF211" si="241">FF210/FA210-1</f>
      </c>
      <c r="FG211" s="1236">
        <v>7.0000000000000007E-2</v>
      </c>
      <c r="FH211" s="1236">
        <f>FG211</f>
      </c>
      <c r="FI211" s="1236">
        <f>FH211</f>
      </c>
      <c r="FJ211" s="1236">
        <f>FI211</f>
      </c>
      <c r="FK211" s="1693">
        <f t="shared" ref="FK211" si="242">FK210/FF210-1</f>
      </c>
      <c r="FL211" s="1236">
        <v>6.7500000000000004E-2</v>
      </c>
      <c r="FM211" s="1236">
        <f>FL211</f>
      </c>
      <c r="FN211" s="1236">
        <f>FM211</f>
      </c>
      <c r="FO211" s="1236">
        <f>FN211</f>
      </c>
      <c r="FP211" s="1693">
        <f t="shared" ref="FP211" si="243">FP210/FK210-1</f>
      </c>
      <c r="FQ211" s="1236">
        <f>+FL211-0.25%</f>
      </c>
      <c r="FR211" s="1236">
        <f>FQ211</f>
      </c>
      <c r="FS211" s="1236">
        <f>FR211</f>
      </c>
      <c r="FT211" s="1236">
        <f>FS211</f>
      </c>
      <c r="FU211" s="1693">
        <f t="shared" ref="FU211" si="244">FU210/FP210-1</f>
      </c>
      <c r="FV211" s="1236">
        <f>FQ211</f>
      </c>
      <c r="FW211" s="1236">
        <f>FV211</f>
      </c>
      <c r="FX211" s="1236">
        <f>FW211</f>
      </c>
      <c r="FY211" s="1236">
        <f>FX211</f>
      </c>
      <c r="FZ211" s="1693">
        <f t="shared" ref="FZ211" si="245">FZ210/FU210-1</f>
      </c>
      <c r="GA211" s="1236">
        <f>FV211</f>
      </c>
      <c r="GB211" s="1236">
        <f>GA211</f>
      </c>
      <c r="GC211" s="1236">
        <f>GB211</f>
      </c>
      <c r="GD211" s="1236">
        <f>GC211</f>
      </c>
      <c r="GE211" s="1693">
        <f>GE210/FZ210-1</f>
      </c>
      <c r="GF211" s="1236">
        <f>GA211</f>
      </c>
      <c r="GG211" s="1236">
        <f>GF211</f>
      </c>
      <c r="GH211" s="1236">
        <f>GG211</f>
      </c>
      <c r="GI211" s="1236">
        <f>GH211</f>
      </c>
      <c r="GJ211" s="1199">
        <f>GJ210/GE210-1</f>
      </c>
    </row>
    <row r="212" spans="1:192" s="335" customFormat="1" ht="12.75" customHeight="1" collapsed="1">
      <c r="A212" s="68"/>
      <c r="B212" s="737"/>
      <c r="C212" s="291"/>
      <c r="D212" s="107"/>
      <c r="E212" s="107"/>
      <c r="F212" s="107"/>
      <c r="G212" s="293"/>
      <c r="H212" s="291"/>
      <c r="I212" s="107"/>
      <c r="J212" s="107"/>
      <c r="K212" s="107"/>
      <c r="L212" s="293"/>
      <c r="M212" s="291"/>
      <c r="N212" s="107"/>
      <c r="O212" s="107"/>
      <c r="P212" s="107"/>
      <c r="Q212" s="293"/>
      <c r="R212" s="291"/>
      <c r="S212" s="107"/>
      <c r="T212" s="107"/>
      <c r="U212" s="107"/>
      <c r="V212" s="293"/>
      <c r="W212" s="291"/>
      <c r="X212" s="107"/>
      <c r="Y212" s="107"/>
      <c r="Z212" s="107"/>
      <c r="AA212" s="293"/>
      <c r="AB212" s="291"/>
      <c r="AC212" s="107"/>
      <c r="AD212" s="107"/>
      <c r="AE212" s="107"/>
      <c r="AF212" s="293"/>
      <c r="AG212" s="291"/>
      <c r="AH212" s="107"/>
      <c r="AI212" s="107"/>
      <c r="AJ212" s="107"/>
      <c r="AK212" s="293"/>
      <c r="AL212" s="291"/>
      <c r="AM212" s="107"/>
      <c r="AN212" s="107"/>
      <c r="AO212" s="107"/>
      <c r="AP212" s="293"/>
      <c r="AQ212" s="291"/>
      <c r="AR212" s="107"/>
      <c r="AS212" s="107"/>
      <c r="AT212" s="107"/>
      <c r="AU212" s="293"/>
      <c r="AV212" s="291"/>
      <c r="AW212" s="107"/>
      <c r="AX212" s="107"/>
      <c r="AY212" s="107"/>
      <c r="AZ212" s="293"/>
      <c r="BA212" s="291"/>
      <c r="BB212" s="107"/>
      <c r="BC212" s="107"/>
      <c r="BD212" s="107"/>
      <c r="BE212" s="293"/>
      <c r="BF212" s="291"/>
      <c r="BG212" s="107"/>
      <c r="BH212" s="107"/>
      <c r="BI212" s="107"/>
      <c r="BJ212" s="293"/>
      <c r="BK212" s="291"/>
      <c r="BL212" s="107"/>
      <c r="BM212" s="107"/>
      <c r="BN212" s="107"/>
      <c r="BO212" s="293"/>
      <c r="BP212" s="291"/>
      <c r="BQ212" s="107"/>
      <c r="BR212" s="107"/>
      <c r="BS212" s="107"/>
      <c r="BT212" s="293"/>
      <c r="BU212" s="291"/>
      <c r="BV212" s="107"/>
      <c r="BW212" s="107"/>
      <c r="BX212" s="107"/>
      <c r="BY212" s="293"/>
      <c r="BZ212" s="291"/>
      <c r="CA212" s="107"/>
      <c r="CB212" s="107"/>
      <c r="CC212" s="107"/>
      <c r="CD212" s="293"/>
      <c r="CE212" s="291"/>
      <c r="CF212" s="107"/>
      <c r="CG212" s="107"/>
      <c r="CH212" s="107"/>
      <c r="CI212" s="293"/>
      <c r="CJ212" s="291"/>
      <c r="CK212" s="107"/>
      <c r="CL212" s="107"/>
      <c r="CM212" s="107"/>
      <c r="CN212" s="293"/>
      <c r="CO212" s="511"/>
      <c r="CP212" s="458"/>
      <c r="CQ212" s="458"/>
      <c r="CR212" s="458"/>
      <c r="CS212" s="293"/>
      <c r="CT212" s="511"/>
      <c r="CU212" s="458"/>
      <c r="CV212" s="458"/>
      <c r="CW212" s="458"/>
      <c r="CX212" s="293"/>
      <c r="CY212" s="511"/>
      <c r="CZ212" s="458"/>
      <c r="DA212" s="458"/>
      <c r="DB212" s="458"/>
      <c r="DC212" s="293"/>
      <c r="DD212" s="511"/>
      <c r="DE212" s="458"/>
      <c r="DF212" s="458"/>
      <c r="DG212" s="458"/>
      <c r="DH212" s="293"/>
      <c r="DI212" s="511"/>
      <c r="DJ212" s="458"/>
      <c r="DK212" s="458"/>
      <c r="DL212" s="458"/>
      <c r="DM212" s="293"/>
      <c r="DN212" s="511"/>
      <c r="DO212" s="458"/>
      <c r="DP212" s="458"/>
      <c r="DQ212" s="458"/>
      <c r="DR212" s="293"/>
      <c r="DS212" s="511"/>
      <c r="DT212" s="458"/>
      <c r="DU212" s="458"/>
      <c r="DV212" s="458"/>
      <c r="DW212" s="293"/>
      <c r="DX212" s="511"/>
      <c r="DY212" s="458"/>
      <c r="DZ212" s="458"/>
      <c r="EA212" s="458"/>
      <c r="EB212" s="293"/>
      <c r="EC212" s="511"/>
      <c r="ED212" s="458"/>
      <c r="EE212" s="458"/>
      <c r="EF212" s="458"/>
      <c r="EG212" s="293"/>
      <c r="EH212" s="511"/>
      <c r="EI212" s="458"/>
      <c r="EJ212" s="458"/>
      <c r="EK212" s="458"/>
      <c r="EL212" s="293"/>
      <c r="EM212" s="511"/>
      <c r="EN212" s="458"/>
      <c r="EO212" s="458"/>
      <c r="EP212" s="458"/>
      <c r="EQ212" s="293"/>
      <c r="ER212" s="511"/>
      <c r="ES212" s="458"/>
      <c r="ET212" s="458"/>
      <c r="EU212" s="458"/>
      <c r="EV212" s="293"/>
      <c r="EW212" s="511"/>
      <c r="EX212" s="458"/>
      <c r="EY212" s="458"/>
      <c r="EZ212" s="493"/>
      <c r="FA212" s="293"/>
      <c r="FB212" s="291"/>
      <c r="FC212" s="107"/>
      <c r="FD212" s="107"/>
      <c r="FE212" s="107"/>
      <c r="FF212" s="293"/>
      <c r="FG212" s="291"/>
      <c r="FH212" s="107"/>
      <c r="FI212" s="107"/>
      <c r="FJ212" s="107"/>
      <c r="FK212" s="293"/>
      <c r="FL212" s="291"/>
      <c r="FM212" s="107"/>
      <c r="FN212" s="107"/>
      <c r="FO212" s="107"/>
      <c r="FP212" s="293"/>
      <c r="FQ212" s="291"/>
      <c r="FR212" s="107"/>
      <c r="FS212" s="107"/>
      <c r="FT212" s="107"/>
      <c r="FU212" s="293"/>
      <c r="FV212" s="291"/>
      <c r="FW212" s="107"/>
      <c r="FX212" s="107"/>
      <c r="FY212" s="107"/>
      <c r="FZ212" s="293"/>
      <c r="GA212" s="291"/>
      <c r="GB212" s="107"/>
      <c r="GC212" s="107"/>
      <c r="GD212" s="107"/>
      <c r="GE212" s="293"/>
      <c r="GF212" s="291"/>
      <c r="GG212" s="107"/>
      <c r="GH212" s="107"/>
      <c r="GI212" s="107"/>
      <c r="GJ212" s="382"/>
    </row>
    <row r="213" spans="1:192" ht="12.75" customHeight="1">
      <c r="B213" s="1530" t="s">
        <v>1980</v>
      </c>
      <c r="C213" s="291"/>
      <c r="D213" s="107"/>
      <c r="E213" s="107"/>
      <c r="F213" s="107"/>
      <c r="G213" s="293"/>
      <c r="H213" s="291"/>
      <c r="I213" s="107"/>
      <c r="J213" s="107"/>
      <c r="K213" s="107"/>
      <c r="L213" s="293"/>
      <c r="M213" s="291"/>
      <c r="N213" s="107"/>
      <c r="O213" s="107"/>
      <c r="P213" s="107"/>
      <c r="Q213" s="293"/>
      <c r="R213" s="291"/>
      <c r="S213" s="107"/>
      <c r="T213" s="107"/>
      <c r="U213" s="107"/>
      <c r="V213" s="293"/>
      <c r="W213" s="291"/>
      <c r="X213" s="107"/>
      <c r="Y213" s="107"/>
      <c r="Z213" s="107"/>
      <c r="AA213" s="293"/>
      <c r="AB213" s="291"/>
      <c r="AC213" s="107"/>
      <c r="AD213" s="107"/>
      <c r="AE213" s="107"/>
      <c r="AF213" s="293"/>
      <c r="AG213" s="291"/>
      <c r="AH213" s="107"/>
      <c r="AI213" s="107"/>
      <c r="AJ213" s="107"/>
      <c r="AK213" s="293"/>
      <c r="AL213" s="291"/>
      <c r="AM213" s="107"/>
      <c r="AN213" s="107"/>
      <c r="AO213" s="107"/>
      <c r="AP213" s="293"/>
      <c r="AQ213" s="291"/>
      <c r="AR213" s="107"/>
      <c r="AS213" s="107"/>
      <c r="AT213" s="107"/>
      <c r="AU213" s="293"/>
      <c r="AV213" s="291"/>
      <c r="AW213" s="107"/>
      <c r="AX213" s="107"/>
      <c r="AY213" s="107"/>
      <c r="AZ213" s="293"/>
      <c r="BA213" s="291"/>
      <c r="BB213" s="107"/>
      <c r="BC213" s="107"/>
      <c r="BD213" s="107"/>
      <c r="BE213" s="293"/>
      <c r="BF213" s="291"/>
      <c r="BG213" s="107"/>
      <c r="BH213" s="107"/>
      <c r="BI213" s="107"/>
      <c r="BJ213" s="293"/>
      <c r="BK213" s="291"/>
      <c r="BL213" s="107"/>
      <c r="BM213" s="107"/>
      <c r="BN213" s="107"/>
      <c r="BO213" s="293"/>
      <c r="BP213" s="291"/>
      <c r="BQ213" s="107"/>
      <c r="BR213" s="107"/>
      <c r="BS213" s="107"/>
      <c r="BT213" s="293"/>
      <c r="BU213" s="291"/>
      <c r="BV213" s="107"/>
      <c r="BW213" s="107"/>
      <c r="BX213" s="107"/>
      <c r="BY213" s="293"/>
      <c r="BZ213" s="291"/>
      <c r="CA213" s="107"/>
      <c r="CB213" s="107"/>
      <c r="CC213" s="107"/>
      <c r="CD213" s="293"/>
      <c r="CE213" s="291"/>
      <c r="CF213" s="107"/>
      <c r="CG213" s="107"/>
      <c r="CH213" s="107"/>
      <c r="CI213" s="293"/>
      <c r="CJ213" s="291"/>
      <c r="CK213" s="107"/>
      <c r="CL213" s="107"/>
      <c r="CM213" s="107"/>
      <c r="CN213" s="293"/>
      <c r="CO213" s="291"/>
      <c r="CP213" s="107"/>
      <c r="CQ213" s="107"/>
      <c r="CR213" s="107"/>
      <c r="CS213" s="293"/>
      <c r="CT213" s="291"/>
      <c r="CU213" s="107"/>
      <c r="CV213" s="107"/>
      <c r="CW213" s="107"/>
      <c r="CX213" s="293"/>
      <c r="CY213" s="291"/>
      <c r="CZ213" s="107"/>
      <c r="DA213" s="107"/>
      <c r="DB213" s="107"/>
      <c r="DC213" s="293"/>
      <c r="DD213" s="291"/>
      <c r="DE213" s="107"/>
      <c r="DF213" s="107"/>
      <c r="DG213" s="107"/>
      <c r="DH213" s="293"/>
      <c r="DI213" s="291"/>
      <c r="DJ213" s="107"/>
      <c r="DK213" s="107"/>
      <c r="DL213" s="107"/>
      <c r="DM213" s="293"/>
      <c r="DN213" s="291"/>
      <c r="DO213" s="107"/>
      <c r="DP213" s="107"/>
      <c r="DQ213" s="107"/>
      <c r="DR213" s="293"/>
      <c r="DS213" s="291"/>
      <c r="DT213" s="107"/>
      <c r="DU213" s="107"/>
      <c r="DV213" s="107"/>
      <c r="DW213" s="293"/>
      <c r="DX213" s="291"/>
      <c r="DY213" s="107"/>
      <c r="DZ213" s="107"/>
      <c r="EA213" s="107"/>
      <c r="EB213" s="293"/>
      <c r="EC213" s="291"/>
      <c r="ED213" s="107"/>
      <c r="EE213" s="107"/>
      <c r="EF213" s="107"/>
      <c r="EG213" s="293"/>
      <c r="EH213" s="291"/>
      <c r="EI213" s="107"/>
      <c r="EJ213" s="107"/>
      <c r="EK213" s="107"/>
      <c r="EL213" s="293"/>
      <c r="EM213" s="291"/>
      <c r="EN213" s="107"/>
      <c r="EO213" s="107"/>
      <c r="EP213" s="107"/>
      <c r="EQ213" s="293"/>
      <c r="ER213" s="291"/>
      <c r="ES213" s="107"/>
      <c r="ET213" s="107"/>
      <c r="EU213" s="107"/>
      <c r="EV213" s="293"/>
      <c r="EW213" s="291"/>
      <c r="EX213" s="107"/>
      <c r="EY213" s="107"/>
      <c r="EZ213" s="107"/>
      <c r="FA213" s="293"/>
      <c r="FB213" s="291"/>
      <c r="FC213" s="107"/>
      <c r="FD213" s="107"/>
      <c r="FE213" s="107"/>
      <c r="FF213" s="293"/>
      <c r="FG213" s="291"/>
      <c r="FH213" s="107"/>
      <c r="FI213" s="107"/>
      <c r="FJ213" s="107"/>
      <c r="FK213" s="293"/>
      <c r="FL213" s="291"/>
      <c r="FM213" s="107"/>
      <c r="FN213" s="107"/>
      <c r="FO213" s="107"/>
      <c r="FP213" s="293"/>
      <c r="FQ213" s="291"/>
      <c r="FR213" s="107"/>
      <c r="FS213" s="107"/>
      <c r="FT213" s="107"/>
      <c r="FU213" s="293"/>
      <c r="FV213" s="291"/>
      <c r="FW213" s="107"/>
      <c r="FX213" s="107"/>
      <c r="FY213" s="107"/>
      <c r="FZ213" s="293"/>
      <c r="GA213" s="291"/>
      <c r="GB213" s="107"/>
      <c r="GC213" s="107"/>
      <c r="GD213" s="107"/>
      <c r="GE213" s="293"/>
      <c r="GF213" s="291"/>
      <c r="GG213" s="107"/>
      <c r="GH213" s="107"/>
      <c r="GI213" s="107"/>
      <c r="GJ213" s="382"/>
    </row>
    <row r="214" spans="1:192" ht="12.75" hidden="1" customHeight="1" outlineLevel="1">
      <c r="B214" s="736" t="s">
        <v>422</v>
      </c>
      <c r="C214" s="291"/>
      <c r="D214" s="107"/>
      <c r="E214" s="107"/>
      <c r="F214" s="107"/>
      <c r="G214" s="293"/>
      <c r="H214" s="291"/>
      <c r="I214" s="107"/>
      <c r="J214" s="107"/>
      <c r="K214" s="107"/>
      <c r="L214" s="293"/>
      <c r="M214" s="291"/>
      <c r="N214" s="107"/>
      <c r="O214" s="107"/>
      <c r="P214" s="107"/>
      <c r="Q214" s="293"/>
      <c r="R214" s="291"/>
      <c r="S214" s="107"/>
      <c r="T214" s="107"/>
      <c r="U214" s="107"/>
      <c r="V214" s="293"/>
      <c r="W214" s="291"/>
      <c r="X214" s="107"/>
      <c r="Y214" s="107"/>
      <c r="Z214" s="107"/>
      <c r="AA214" s="293"/>
      <c r="AB214" s="291"/>
      <c r="AC214" s="107"/>
      <c r="AD214" s="107"/>
      <c r="AE214" s="107"/>
      <c r="AF214" s="293"/>
      <c r="AG214" s="291"/>
      <c r="AH214" s="107"/>
      <c r="AI214" s="107"/>
      <c r="AJ214" s="107"/>
      <c r="AK214" s="293"/>
      <c r="AL214" s="291"/>
      <c r="AM214" s="107"/>
      <c r="AN214" s="107"/>
      <c r="AO214" s="107"/>
      <c r="AP214" s="293"/>
      <c r="AQ214" s="291"/>
      <c r="AR214" s="107"/>
      <c r="AS214" s="107"/>
      <c r="AT214" s="107"/>
      <c r="AU214" s="293"/>
      <c r="AV214" s="291"/>
      <c r="AW214" s="107"/>
      <c r="AX214" s="107"/>
      <c r="AY214" s="107"/>
      <c r="AZ214" s="293"/>
      <c r="BA214" s="291"/>
      <c r="BB214" s="107"/>
      <c r="BC214" s="107"/>
      <c r="BD214" s="107"/>
      <c r="BE214" s="293"/>
      <c r="BF214" s="291"/>
      <c r="BG214" s="107"/>
      <c r="BH214" s="107"/>
      <c r="BI214" s="107"/>
      <c r="BJ214" s="293"/>
      <c r="BK214" s="291"/>
      <c r="BL214" s="107"/>
      <c r="BM214" s="107"/>
      <c r="BN214" s="107"/>
      <c r="BO214" s="293"/>
      <c r="BP214" s="291"/>
      <c r="BQ214" s="107"/>
      <c r="BR214" s="107"/>
      <c r="BS214" s="107"/>
      <c r="BT214" s="293"/>
      <c r="BU214" s="291"/>
      <c r="BV214" s="107"/>
      <c r="BW214" s="107"/>
      <c r="BX214" s="107"/>
      <c r="BY214" s="293"/>
      <c r="BZ214" s="291"/>
      <c r="CA214" s="107"/>
      <c r="CB214" s="107"/>
      <c r="CC214" s="107"/>
      <c r="CD214" s="293"/>
      <c r="CE214" s="291"/>
      <c r="CF214" s="107"/>
      <c r="CG214" s="107"/>
      <c r="CH214" s="107"/>
      <c r="CI214" s="293"/>
      <c r="CJ214" s="291"/>
      <c r="CK214" s="107"/>
      <c r="CL214" s="107"/>
      <c r="CM214" s="107"/>
      <c r="CN214" s="293"/>
      <c r="CO214" s="291"/>
      <c r="CP214" s="107"/>
      <c r="CQ214" s="107"/>
      <c r="CR214" s="107"/>
      <c r="CS214" s="293"/>
      <c r="CT214" s="291"/>
      <c r="CU214" s="107"/>
      <c r="CV214" s="107"/>
      <c r="CW214" s="107"/>
      <c r="CX214" s="293"/>
      <c r="CY214" s="291"/>
      <c r="CZ214" s="107"/>
      <c r="DA214" s="107"/>
      <c r="DB214" s="107"/>
      <c r="DC214" s="293"/>
      <c r="DD214" s="291"/>
      <c r="DE214" s="107"/>
      <c r="DF214" s="107"/>
      <c r="DG214" s="107"/>
      <c r="DH214" s="293"/>
      <c r="DI214" s="291"/>
      <c r="DJ214" s="107"/>
      <c r="DK214" s="107"/>
      <c r="DL214" s="107"/>
      <c r="DM214" s="293"/>
      <c r="DN214" s="291"/>
      <c r="DO214" s="107"/>
      <c r="DP214" s="107"/>
      <c r="DQ214" s="107"/>
      <c r="DR214" s="293"/>
      <c r="DS214" s="291"/>
      <c r="DT214" s="107"/>
      <c r="DU214" s="107"/>
      <c r="DV214" s="107"/>
      <c r="DW214" s="293"/>
      <c r="DX214" s="291"/>
      <c r="DY214" s="107"/>
      <c r="DZ214" s="107"/>
      <c r="EA214" s="107"/>
      <c r="EB214" s="293"/>
      <c r="EC214" s="291"/>
      <c r="ED214" s="107"/>
      <c r="EE214" s="107"/>
      <c r="EF214" s="458">
        <f>EF215*EF153</f>
      </c>
      <c r="EG214" s="293"/>
      <c r="EH214" s="458">
        <f>EH215*EH153</f>
      </c>
      <c r="EI214" s="458">
        <f>EI215*EI153</f>
      </c>
      <c r="EJ214" s="458">
        <f>EJ215*EJ153</f>
      </c>
      <c r="EK214" s="458">
        <f>EK215*EK153</f>
      </c>
      <c r="EL214" s="293"/>
      <c r="EM214" s="291"/>
      <c r="EN214" s="107"/>
      <c r="EO214" s="107"/>
      <c r="EP214" s="107"/>
      <c r="EQ214" s="293"/>
      <c r="ER214" s="291"/>
      <c r="ES214" s="107"/>
      <c r="ET214" s="107"/>
      <c r="EU214" s="107"/>
      <c r="EV214" s="293"/>
      <c r="EW214" s="291"/>
      <c r="EX214" s="107"/>
      <c r="EY214" s="107"/>
      <c r="EZ214" s="439"/>
      <c r="FA214" s="293"/>
      <c r="FB214" s="291"/>
      <c r="FC214" s="107"/>
      <c r="FD214" s="107"/>
      <c r="FE214" s="107"/>
      <c r="FF214" s="293"/>
      <c r="FG214" s="291"/>
      <c r="FH214" s="107"/>
      <c r="FI214" s="107"/>
      <c r="FJ214" s="107"/>
      <c r="FK214" s="293"/>
      <c r="FL214" s="291"/>
      <c r="FM214" s="107"/>
      <c r="FN214" s="107"/>
      <c r="FO214" s="107"/>
      <c r="FP214" s="293"/>
      <c r="FQ214" s="291"/>
      <c r="FR214" s="107"/>
      <c r="FS214" s="107"/>
      <c r="FT214" s="107"/>
      <c r="FU214" s="293"/>
      <c r="FV214" s="291"/>
      <c r="FW214" s="107"/>
      <c r="FX214" s="107"/>
      <c r="FY214" s="107"/>
      <c r="FZ214" s="293"/>
      <c r="GA214" s="291"/>
      <c r="GB214" s="107"/>
      <c r="GC214" s="107"/>
      <c r="GD214" s="107"/>
      <c r="GE214" s="293"/>
      <c r="GF214" s="291"/>
      <c r="GG214" s="107"/>
      <c r="GH214" s="107"/>
      <c r="GI214" s="107"/>
      <c r="GJ214" s="382"/>
    </row>
    <row r="215" spans="1:192" ht="12.75" hidden="1" customHeight="1" outlineLevel="1">
      <c r="B215" s="736" t="s">
        <v>222</v>
      </c>
      <c r="C215" s="291"/>
      <c r="D215" s="107"/>
      <c r="E215" s="107"/>
      <c r="F215" s="107"/>
      <c r="G215" s="293"/>
      <c r="H215" s="291"/>
      <c r="I215" s="107"/>
      <c r="J215" s="107"/>
      <c r="K215" s="107"/>
      <c r="L215" s="293"/>
      <c r="M215" s="291"/>
      <c r="N215" s="107"/>
      <c r="O215" s="107"/>
      <c r="P215" s="107"/>
      <c r="Q215" s="293"/>
      <c r="R215" s="291"/>
      <c r="S215" s="107"/>
      <c r="T215" s="107"/>
      <c r="U215" s="107"/>
      <c r="V215" s="293"/>
      <c r="W215" s="291"/>
      <c r="X215" s="107"/>
      <c r="Y215" s="107"/>
      <c r="Z215" s="107"/>
      <c r="AA215" s="293"/>
      <c r="AB215" s="291"/>
      <c r="AC215" s="107"/>
      <c r="AD215" s="107"/>
      <c r="AE215" s="107"/>
      <c r="AF215" s="293"/>
      <c r="AG215" s="291"/>
      <c r="AH215" s="107"/>
      <c r="AI215" s="107"/>
      <c r="AJ215" s="107"/>
      <c r="AK215" s="293"/>
      <c r="AL215" s="291"/>
      <c r="AM215" s="107"/>
      <c r="AN215" s="107"/>
      <c r="AO215" s="107"/>
      <c r="AP215" s="293"/>
      <c r="AQ215" s="291"/>
      <c r="AR215" s="107"/>
      <c r="AS215" s="107"/>
      <c r="AT215" s="107"/>
      <c r="AU215" s="293"/>
      <c r="AV215" s="291"/>
      <c r="AW215" s="107"/>
      <c r="AX215" s="107"/>
      <c r="AY215" s="107"/>
      <c r="AZ215" s="293"/>
      <c r="BA215" s="291"/>
      <c r="BB215" s="107"/>
      <c r="BC215" s="107"/>
      <c r="BD215" s="107"/>
      <c r="BE215" s="293"/>
      <c r="BF215" s="291"/>
      <c r="BG215" s="107"/>
      <c r="BH215" s="107"/>
      <c r="BI215" s="107"/>
      <c r="BJ215" s="293"/>
      <c r="BK215" s="291"/>
      <c r="BL215" s="107"/>
      <c r="BM215" s="107"/>
      <c r="BN215" s="107"/>
      <c r="BO215" s="293"/>
      <c r="BP215" s="291"/>
      <c r="BQ215" s="107"/>
      <c r="BR215" s="107"/>
      <c r="BS215" s="107"/>
      <c r="BT215" s="293"/>
      <c r="BU215" s="291"/>
      <c r="BV215" s="107"/>
      <c r="BW215" s="107"/>
      <c r="BX215" s="107"/>
      <c r="BY215" s="293"/>
      <c r="BZ215" s="291"/>
      <c r="CA215" s="107"/>
      <c r="CB215" s="107"/>
      <c r="CC215" s="107"/>
      <c r="CD215" s="293"/>
      <c r="CE215" s="291"/>
      <c r="CF215" s="107"/>
      <c r="CG215" s="107"/>
      <c r="CH215" s="107"/>
      <c r="CI215" s="293"/>
      <c r="CJ215" s="291"/>
      <c r="CK215" s="107"/>
      <c r="CL215" s="107"/>
      <c r="CM215" s="107"/>
      <c r="CN215" s="293"/>
      <c r="CO215" s="291"/>
      <c r="CP215" s="107"/>
      <c r="CQ215" s="107"/>
      <c r="CR215" s="107"/>
      <c r="CS215" s="293"/>
      <c r="CT215" s="291"/>
      <c r="CU215" s="107"/>
      <c r="CV215" s="107"/>
      <c r="CW215" s="107"/>
      <c r="CX215" s="293"/>
      <c r="CY215" s="291"/>
      <c r="CZ215" s="107"/>
      <c r="DA215" s="107"/>
      <c r="DB215" s="107"/>
      <c r="DC215" s="293"/>
      <c r="DD215" s="291"/>
      <c r="DE215" s="107"/>
      <c r="DF215" s="107"/>
      <c r="DG215" s="107"/>
      <c r="DH215" s="293"/>
      <c r="DI215" s="291"/>
      <c r="DJ215" s="107"/>
      <c r="DK215" s="107"/>
      <c r="DL215" s="107"/>
      <c r="DM215" s="293"/>
      <c r="DN215" s="291"/>
      <c r="DO215" s="107"/>
      <c r="DP215" s="107"/>
      <c r="DQ215" s="107"/>
      <c r="DR215" s="293"/>
      <c r="DS215" s="291"/>
      <c r="DT215" s="107"/>
      <c r="DU215" s="107"/>
      <c r="DV215" s="107"/>
      <c r="DW215" s="293"/>
      <c r="DX215" s="291"/>
      <c r="DY215" s="107"/>
      <c r="DZ215" s="107"/>
      <c r="EA215" s="107"/>
      <c r="EB215" s="293"/>
      <c r="EC215" s="291"/>
      <c r="ED215" s="107"/>
      <c r="EE215" s="107"/>
      <c r="EF215" s="114">
        <v>0.08</v>
      </c>
      <c r="EG215" s="293"/>
      <c r="EH215" s="412">
        <f>AVERAGE(EF215,EI215)</f>
      </c>
      <c r="EI215" s="114">
        <f>AVERAGE(EF215,EK215)</f>
      </c>
      <c r="EJ215" s="114">
        <f>AVERAGE(EI215,EK215)</f>
      </c>
      <c r="EK215" s="114">
        <v>0.12</v>
      </c>
      <c r="EL215" s="293"/>
      <c r="EM215" s="283"/>
      <c r="EN215" s="107"/>
      <c r="EO215" s="107"/>
      <c r="EP215" s="107"/>
      <c r="EQ215" s="293"/>
      <c r="ER215" s="291"/>
      <c r="ES215" s="107"/>
      <c r="ET215" s="107"/>
      <c r="EU215" s="107"/>
      <c r="EV215" s="293"/>
      <c r="EW215" s="291"/>
      <c r="EX215" s="107"/>
      <c r="EY215" s="107"/>
      <c r="EZ215" s="439"/>
      <c r="FA215" s="293"/>
      <c r="FB215" s="291"/>
      <c r="FC215" s="107"/>
      <c r="FD215" s="107"/>
      <c r="FE215" s="107"/>
      <c r="FF215" s="293"/>
      <c r="FG215" s="291"/>
      <c r="FH215" s="107"/>
      <c r="FI215" s="107"/>
      <c r="FJ215" s="107"/>
      <c r="FK215" s="293"/>
      <c r="FL215" s="291"/>
      <c r="FM215" s="107"/>
      <c r="FN215" s="107"/>
      <c r="FO215" s="107"/>
      <c r="FP215" s="293"/>
      <c r="FQ215" s="291"/>
      <c r="FR215" s="107"/>
      <c r="FS215" s="107"/>
      <c r="FT215" s="107"/>
      <c r="FU215" s="293"/>
      <c r="FV215" s="291"/>
      <c r="FW215" s="107"/>
      <c r="FX215" s="107"/>
      <c r="FY215" s="107"/>
      <c r="FZ215" s="293"/>
      <c r="GA215" s="291"/>
      <c r="GB215" s="107"/>
      <c r="GC215" s="107"/>
      <c r="GD215" s="107"/>
      <c r="GE215" s="293"/>
      <c r="GF215" s="291"/>
      <c r="GG215" s="107"/>
      <c r="GH215" s="107"/>
      <c r="GI215" s="107"/>
      <c r="GJ215" s="382"/>
    </row>
    <row r="216" spans="1:192" ht="12.75" hidden="1" customHeight="1" outlineLevel="1">
      <c r="B216" s="736" t="s">
        <v>1902</v>
      </c>
      <c r="C216" s="291"/>
      <c r="D216" s="107"/>
      <c r="E216" s="107"/>
      <c r="F216" s="107"/>
      <c r="G216" s="293"/>
      <c r="H216" s="291"/>
      <c r="I216" s="107"/>
      <c r="J216" s="107"/>
      <c r="K216" s="107"/>
      <c r="L216" s="293"/>
      <c r="M216" s="291"/>
      <c r="N216" s="107"/>
      <c r="O216" s="107"/>
      <c r="P216" s="107"/>
      <c r="Q216" s="293"/>
      <c r="R216" s="291"/>
      <c r="S216" s="107"/>
      <c r="T216" s="107"/>
      <c r="U216" s="107"/>
      <c r="V216" s="293"/>
      <c r="W216" s="291"/>
      <c r="X216" s="107"/>
      <c r="Y216" s="107"/>
      <c r="Z216" s="107"/>
      <c r="AA216" s="293"/>
      <c r="AB216" s="291"/>
      <c r="AC216" s="107"/>
      <c r="AD216" s="107"/>
      <c r="AE216" s="107"/>
      <c r="AF216" s="293"/>
      <c r="AG216" s="291"/>
      <c r="AH216" s="107"/>
      <c r="AI216" s="107"/>
      <c r="AJ216" s="107"/>
      <c r="AK216" s="293"/>
      <c r="AL216" s="291"/>
      <c r="AM216" s="107"/>
      <c r="AN216" s="107"/>
      <c r="AO216" s="107"/>
      <c r="AP216" s="293"/>
      <c r="AQ216" s="291"/>
      <c r="AR216" s="107"/>
      <c r="AS216" s="107"/>
      <c r="AT216" s="107"/>
      <c r="AU216" s="293"/>
      <c r="AV216" s="291"/>
      <c r="AW216" s="107"/>
      <c r="AX216" s="107"/>
      <c r="AY216" s="107"/>
      <c r="AZ216" s="293"/>
      <c r="BA216" s="291"/>
      <c r="BB216" s="107"/>
      <c r="BC216" s="107"/>
      <c r="BD216" s="107"/>
      <c r="BE216" s="293"/>
      <c r="BF216" s="291"/>
      <c r="BG216" s="107"/>
      <c r="BH216" s="107"/>
      <c r="BI216" s="107"/>
      <c r="BJ216" s="293"/>
      <c r="BK216" s="291"/>
      <c r="BL216" s="107"/>
      <c r="BM216" s="107"/>
      <c r="BN216" s="107"/>
      <c r="BO216" s="293"/>
      <c r="BP216" s="291"/>
      <c r="BQ216" s="107"/>
      <c r="BR216" s="107"/>
      <c r="BS216" s="107"/>
      <c r="BT216" s="293"/>
      <c r="BU216" s="291"/>
      <c r="BV216" s="107"/>
      <c r="BW216" s="107"/>
      <c r="BX216" s="107"/>
      <c r="BY216" s="293"/>
      <c r="BZ216" s="291"/>
      <c r="CA216" s="107"/>
      <c r="CB216" s="107"/>
      <c r="CC216" s="107"/>
      <c r="CD216" s="293"/>
      <c r="CE216" s="291"/>
      <c r="CF216" s="107"/>
      <c r="CG216" s="107"/>
      <c r="CH216" s="107"/>
      <c r="CI216" s="293"/>
      <c r="CJ216" s="291"/>
      <c r="CK216" s="107"/>
      <c r="CL216" s="107"/>
      <c r="CM216" s="107"/>
      <c r="CN216" s="293"/>
      <c r="CO216" s="291"/>
      <c r="CP216" s="107"/>
      <c r="CQ216" s="107"/>
      <c r="CR216" s="107"/>
      <c r="CS216" s="293"/>
      <c r="CT216" s="291"/>
      <c r="CU216" s="107"/>
      <c r="CV216" s="107"/>
      <c r="CW216" s="107"/>
      <c r="CX216" s="293"/>
      <c r="CY216" s="291"/>
      <c r="CZ216" s="107"/>
      <c r="DA216" s="107"/>
      <c r="DB216" s="107"/>
      <c r="DC216" s="293"/>
      <c r="DD216" s="291"/>
      <c r="DE216" s="107"/>
      <c r="DF216" s="107"/>
      <c r="DG216" s="107"/>
      <c r="DH216" s="293"/>
      <c r="DI216" s="291"/>
      <c r="DJ216" s="107"/>
      <c r="DK216" s="107"/>
      <c r="DL216" s="107"/>
      <c r="DM216" s="293"/>
      <c r="DN216" s="291"/>
      <c r="DO216" s="107"/>
      <c r="DP216" s="107"/>
      <c r="DQ216" s="107"/>
      <c r="DR216" s="293"/>
      <c r="DS216" s="291"/>
      <c r="DT216" s="107"/>
      <c r="DU216" s="107"/>
      <c r="DV216" s="107"/>
      <c r="DW216" s="293"/>
      <c r="DX216" s="291"/>
      <c r="DY216" s="107"/>
      <c r="DZ216" s="107"/>
      <c r="EA216" s="107"/>
      <c r="EB216" s="293"/>
      <c r="EC216" s="291"/>
      <c r="ED216" s="107"/>
      <c r="EE216" s="107"/>
      <c r="EF216" s="114"/>
      <c r="EG216" s="293"/>
      <c r="EH216" s="412"/>
      <c r="EI216" s="114"/>
      <c r="EJ216" s="114"/>
      <c r="EK216" s="114"/>
      <c r="EL216" s="293"/>
      <c r="EM216" s="283"/>
      <c r="EN216" s="107"/>
      <c r="EO216" s="107"/>
      <c r="EP216" s="107"/>
      <c r="EQ216" s="293"/>
      <c r="ER216" s="291"/>
      <c r="ES216" s="107"/>
      <c r="ET216" s="107"/>
      <c r="EU216" s="107"/>
      <c r="EV216" s="293"/>
      <c r="EW216" s="291"/>
      <c r="EX216" s="107"/>
      <c r="EY216" s="107"/>
      <c r="EZ216" s="439"/>
      <c r="FA216" s="293"/>
      <c r="FB216" s="291"/>
      <c r="FC216" s="107"/>
      <c r="FD216" s="107"/>
      <c r="FE216" s="107"/>
      <c r="FF216" s="293"/>
      <c r="FG216" s="291"/>
      <c r="FH216" s="107"/>
      <c r="FI216" s="107"/>
      <c r="FJ216" s="107"/>
      <c r="FK216" s="293"/>
      <c r="FL216" s="291"/>
      <c r="FM216" s="107"/>
      <c r="FN216" s="107"/>
      <c r="FO216" s="107"/>
      <c r="FP216" s="293"/>
      <c r="FQ216" s="291"/>
      <c r="FR216" s="107"/>
      <c r="FS216" s="107"/>
      <c r="FT216" s="107"/>
      <c r="FU216" s="293"/>
      <c r="FV216" s="291"/>
      <c r="FW216" s="107"/>
      <c r="FX216" s="107"/>
      <c r="FY216" s="107"/>
      <c r="FZ216" s="293"/>
      <c r="GA216" s="291"/>
      <c r="GB216" s="107"/>
      <c r="GC216" s="107"/>
      <c r="GD216" s="107"/>
      <c r="GE216" s="293"/>
      <c r="GF216" s="291"/>
      <c r="GG216" s="107"/>
      <c r="GH216" s="107"/>
      <c r="GI216" s="107"/>
      <c r="GJ216" s="382"/>
    </row>
    <row r="217" spans="1:192" ht="12.75" hidden="1" customHeight="1" outlineLevel="1">
      <c r="B217" s="736" t="s">
        <v>34</v>
      </c>
      <c r="C217" s="291"/>
      <c r="D217" s="107"/>
      <c r="E217" s="107"/>
      <c r="F217" s="107"/>
      <c r="G217" s="293"/>
      <c r="H217" s="291"/>
      <c r="I217" s="107"/>
      <c r="J217" s="107"/>
      <c r="K217" s="107"/>
      <c r="L217" s="293"/>
      <c r="M217" s="291"/>
      <c r="N217" s="107"/>
      <c r="O217" s="107"/>
      <c r="P217" s="107"/>
      <c r="Q217" s="293"/>
      <c r="R217" s="291"/>
      <c r="S217" s="107"/>
      <c r="T217" s="107"/>
      <c r="U217" s="107"/>
      <c r="V217" s="293"/>
      <c r="W217" s="291"/>
      <c r="X217" s="107"/>
      <c r="Y217" s="107"/>
      <c r="Z217" s="107"/>
      <c r="AA217" s="293"/>
      <c r="AB217" s="291"/>
      <c r="AC217" s="107"/>
      <c r="AD217" s="107"/>
      <c r="AE217" s="107"/>
      <c r="AF217" s="293"/>
      <c r="AG217" s="291"/>
      <c r="AH217" s="107"/>
      <c r="AI217" s="107"/>
      <c r="AJ217" s="107"/>
      <c r="AK217" s="293"/>
      <c r="AL217" s="291"/>
      <c r="AM217" s="107"/>
      <c r="AN217" s="107"/>
      <c r="AO217" s="107"/>
      <c r="AP217" s="293"/>
      <c r="AQ217" s="291"/>
      <c r="AR217" s="107"/>
      <c r="AS217" s="107"/>
      <c r="AT217" s="107"/>
      <c r="AU217" s="293"/>
      <c r="AV217" s="291"/>
      <c r="AW217" s="107"/>
      <c r="AX217" s="107"/>
      <c r="AY217" s="107"/>
      <c r="AZ217" s="293"/>
      <c r="BA217" s="291"/>
      <c r="BB217" s="107"/>
      <c r="BC217" s="107"/>
      <c r="BD217" s="107"/>
      <c r="BE217" s="293"/>
      <c r="BF217" s="291"/>
      <c r="BG217" s="107"/>
      <c r="BH217" s="107"/>
      <c r="BI217" s="107"/>
      <c r="BJ217" s="293"/>
      <c r="BK217" s="291"/>
      <c r="BL217" s="107"/>
      <c r="BM217" s="107"/>
      <c r="BN217" s="107"/>
      <c r="BO217" s="293"/>
      <c r="BP217" s="291"/>
      <c r="BQ217" s="107"/>
      <c r="BR217" s="107"/>
      <c r="BS217" s="107"/>
      <c r="BT217" s="293"/>
      <c r="BU217" s="291"/>
      <c r="BV217" s="107"/>
      <c r="BW217" s="107"/>
      <c r="BX217" s="107"/>
      <c r="BY217" s="293"/>
      <c r="BZ217" s="291"/>
      <c r="CA217" s="107"/>
      <c r="CB217" s="107"/>
      <c r="CC217" s="107"/>
      <c r="CD217" s="293"/>
      <c r="CE217" s="291"/>
      <c r="CF217" s="107"/>
      <c r="CG217" s="107"/>
      <c r="CH217" s="107"/>
      <c r="CI217" s="293"/>
      <c r="CJ217" s="291"/>
      <c r="CK217" s="107"/>
      <c r="CL217" s="107"/>
      <c r="CM217" s="107"/>
      <c r="CN217" s="293"/>
      <c r="CO217" s="291"/>
      <c r="CP217" s="107"/>
      <c r="CQ217" s="107"/>
      <c r="CR217" s="107"/>
      <c r="CS217" s="293"/>
      <c r="CT217" s="291"/>
      <c r="CU217" s="107"/>
      <c r="CV217" s="107"/>
      <c r="CW217" s="107"/>
      <c r="CX217" s="293"/>
      <c r="CY217" s="291"/>
      <c r="CZ217" s="107"/>
      <c r="DA217" s="107"/>
      <c r="DB217" s="107"/>
      <c r="DC217" s="293"/>
      <c r="DD217" s="291"/>
      <c r="DE217" s="107"/>
      <c r="DF217" s="107"/>
      <c r="DG217" s="107"/>
      <c r="DH217" s="293"/>
      <c r="DI217" s="291"/>
      <c r="DJ217" s="107"/>
      <c r="DK217" s="107"/>
      <c r="DL217" s="107"/>
      <c r="DM217" s="293"/>
      <c r="DN217" s="291"/>
      <c r="DO217" s="107"/>
      <c r="DP217" s="107"/>
      <c r="DQ217" s="107"/>
      <c r="DR217" s="293"/>
      <c r="DS217" s="291"/>
      <c r="DT217" s="107"/>
      <c r="DU217" s="107"/>
      <c r="DV217" s="107"/>
      <c r="DW217" s="293"/>
      <c r="DX217" s="291"/>
      <c r="DY217" s="107"/>
      <c r="DZ217" s="107"/>
      <c r="EA217" s="107"/>
      <c r="EB217" s="293"/>
      <c r="EC217" s="291"/>
      <c r="ED217" s="107"/>
      <c r="EE217" s="107"/>
      <c r="EF217" s="107"/>
      <c r="EG217" s="293"/>
      <c r="EH217" s="291"/>
      <c r="EI217" s="107"/>
      <c r="EJ217" s="107"/>
      <c r="EK217" s="439">
        <v>0.6</v>
      </c>
      <c r="EL217" s="293"/>
      <c r="EM217" s="291"/>
      <c r="EN217" s="107"/>
      <c r="EO217" s="107"/>
      <c r="EP217" s="107"/>
      <c r="EQ217" s="293"/>
      <c r="ER217" s="291"/>
      <c r="ES217" s="107"/>
      <c r="ET217" s="107"/>
      <c r="EU217" s="107"/>
      <c r="EV217" s="293"/>
      <c r="EW217" s="291"/>
      <c r="EX217" s="107"/>
      <c r="EY217" s="107"/>
      <c r="EZ217" s="439"/>
      <c r="FA217" s="293"/>
      <c r="FB217" s="291"/>
      <c r="FC217" s="107"/>
      <c r="FD217" s="107"/>
      <c r="FE217" s="107"/>
      <c r="FF217" s="293"/>
      <c r="FG217" s="291"/>
      <c r="FH217" s="107"/>
      <c r="FI217" s="107"/>
      <c r="FJ217" s="107"/>
      <c r="FK217" s="293"/>
      <c r="FL217" s="291"/>
      <c r="FM217" s="107"/>
      <c r="FN217" s="107"/>
      <c r="FO217" s="107"/>
      <c r="FP217" s="293"/>
      <c r="FQ217" s="291"/>
      <c r="FR217" s="107"/>
      <c r="FS217" s="107"/>
      <c r="FT217" s="107"/>
      <c r="FU217" s="293"/>
      <c r="FV217" s="291"/>
      <c r="FW217" s="107"/>
      <c r="FX217" s="107"/>
      <c r="FY217" s="107"/>
      <c r="FZ217" s="293"/>
      <c r="GA217" s="291"/>
      <c r="GB217" s="107"/>
      <c r="GC217" s="107"/>
      <c r="GD217" s="107"/>
      <c r="GE217" s="293"/>
      <c r="GF217" s="291"/>
      <c r="GG217" s="107"/>
      <c r="GH217" s="107"/>
      <c r="GI217" s="107"/>
      <c r="GJ217" s="382"/>
    </row>
    <row r="218" spans="1:192" ht="12.75" customHeight="1" collapsed="1">
      <c r="B218" s="736"/>
      <c r="C218" s="291"/>
      <c r="D218" s="107"/>
      <c r="E218" s="107"/>
      <c r="F218" s="107"/>
      <c r="G218" s="293"/>
      <c r="H218" s="291"/>
      <c r="I218" s="107"/>
      <c r="J218" s="107"/>
      <c r="K218" s="107"/>
      <c r="L218" s="293"/>
      <c r="M218" s="291"/>
      <c r="N218" s="107"/>
      <c r="O218" s="107"/>
      <c r="P218" s="107"/>
      <c r="Q218" s="293"/>
      <c r="R218" s="291"/>
      <c r="S218" s="107"/>
      <c r="T218" s="107"/>
      <c r="U218" s="107"/>
      <c r="V218" s="293"/>
      <c r="W218" s="291"/>
      <c r="X218" s="107"/>
      <c r="Y218" s="107"/>
      <c r="Z218" s="107"/>
      <c r="AA218" s="293"/>
      <c r="AB218" s="291"/>
      <c r="AC218" s="107"/>
      <c r="AD218" s="107"/>
      <c r="AE218" s="107"/>
      <c r="AF218" s="293"/>
      <c r="AG218" s="291"/>
      <c r="AH218" s="107"/>
      <c r="AI218" s="107"/>
      <c r="AJ218" s="107"/>
      <c r="AK218" s="293"/>
      <c r="AL218" s="291"/>
      <c r="AM218" s="107"/>
      <c r="AN218" s="107"/>
      <c r="AO218" s="107"/>
      <c r="AP218" s="293"/>
      <c r="AQ218" s="291"/>
      <c r="AR218" s="107"/>
      <c r="AS218" s="107"/>
      <c r="AT218" s="107"/>
      <c r="AU218" s="293"/>
      <c r="AV218" s="291"/>
      <c r="AW218" s="107"/>
      <c r="AX218" s="107"/>
      <c r="AY218" s="107"/>
      <c r="AZ218" s="293"/>
      <c r="BA218" s="291"/>
      <c r="BB218" s="107"/>
      <c r="BC218" s="107"/>
      <c r="BD218" s="107"/>
      <c r="BE218" s="293"/>
      <c r="BF218" s="291"/>
      <c r="BG218" s="107"/>
      <c r="BH218" s="107"/>
      <c r="BI218" s="107"/>
      <c r="BJ218" s="293"/>
      <c r="BK218" s="291"/>
      <c r="BL218" s="107"/>
      <c r="BM218" s="107"/>
      <c r="BN218" s="107"/>
      <c r="BO218" s="293"/>
      <c r="BP218" s="291"/>
      <c r="BQ218" s="107"/>
      <c r="BR218" s="107"/>
      <c r="BS218" s="107"/>
      <c r="BT218" s="293"/>
      <c r="BU218" s="291"/>
      <c r="BV218" s="107"/>
      <c r="BW218" s="107"/>
      <c r="BX218" s="107"/>
      <c r="BY218" s="293"/>
      <c r="BZ218" s="291"/>
      <c r="CA218" s="107"/>
      <c r="CB218" s="107"/>
      <c r="CC218" s="107"/>
      <c r="CD218" s="293"/>
      <c r="CE218" s="291"/>
      <c r="CF218" s="107"/>
      <c r="CG218" s="107"/>
      <c r="CH218" s="107"/>
      <c r="CI218" s="293"/>
      <c r="CJ218" s="291"/>
      <c r="CK218" s="107"/>
      <c r="CL218" s="107"/>
      <c r="CM218" s="107"/>
      <c r="CN218" s="293"/>
      <c r="CO218" s="291"/>
      <c r="CP218" s="107"/>
      <c r="CQ218" s="107"/>
      <c r="CR218" s="107"/>
      <c r="CS218" s="293"/>
      <c r="CT218" s="291"/>
      <c r="CU218" s="107"/>
      <c r="CV218" s="107"/>
      <c r="CW218" s="107"/>
      <c r="CX218" s="293"/>
      <c r="CY218" s="291"/>
      <c r="CZ218" s="107"/>
      <c r="DA218" s="107"/>
      <c r="DB218" s="107"/>
      <c r="DC218" s="293"/>
      <c r="DD218" s="291"/>
      <c r="DE218" s="107"/>
      <c r="DF218" s="107"/>
      <c r="DG218" s="107"/>
      <c r="DH218" s="293"/>
      <c r="DI218" s="291"/>
      <c r="DJ218" s="107"/>
      <c r="DK218" s="107"/>
      <c r="DL218" s="107"/>
      <c r="DM218" s="293"/>
      <c r="DN218" s="291"/>
      <c r="DO218" s="107"/>
      <c r="DP218" s="107"/>
      <c r="DQ218" s="107"/>
      <c r="DR218" s="293"/>
      <c r="DS218" s="291"/>
      <c r="DT218" s="107"/>
      <c r="DU218" s="107"/>
      <c r="DV218" s="107"/>
      <c r="DW218" s="293"/>
      <c r="DX218" s="291"/>
      <c r="DY218" s="107"/>
      <c r="DZ218" s="107"/>
      <c r="EA218" s="107"/>
      <c r="EB218" s="293"/>
      <c r="EC218" s="291"/>
      <c r="ED218" s="107"/>
      <c r="EE218" s="107"/>
      <c r="EF218" s="107"/>
      <c r="EG218" s="293"/>
      <c r="EH218" s="291"/>
      <c r="EI218" s="107"/>
      <c r="EJ218" s="107"/>
      <c r="EK218" s="439"/>
      <c r="EL218" s="293"/>
      <c r="EM218" s="291"/>
      <c r="EN218" s="107"/>
      <c r="EO218" s="107"/>
      <c r="EP218" s="107"/>
      <c r="EQ218" s="293"/>
      <c r="ER218" s="291"/>
      <c r="ES218" s="107"/>
      <c r="ET218" s="107"/>
      <c r="EU218" s="107"/>
      <c r="EV218" s="293"/>
      <c r="EW218" s="291"/>
      <c r="EX218" s="468"/>
      <c r="EY218" s="107"/>
      <c r="EZ218" s="439"/>
      <c r="FA218" s="293"/>
      <c r="FB218" s="291"/>
      <c r="FC218" s="107"/>
      <c r="FD218" s="107"/>
      <c r="FE218" s="107"/>
      <c r="FF218" s="293"/>
      <c r="FG218" s="291"/>
      <c r="FH218" s="107"/>
      <c r="FI218" s="107"/>
      <c r="FJ218" s="107"/>
      <c r="FK218" s="293"/>
      <c r="FL218" s="291"/>
      <c r="FM218" s="107"/>
      <c r="FN218" s="107"/>
      <c r="FO218" s="107"/>
      <c r="FP218" s="293"/>
      <c r="FQ218" s="291"/>
      <c r="FR218" s="107"/>
      <c r="FS218" s="107"/>
      <c r="FT218" s="107"/>
      <c r="FU218" s="293"/>
      <c r="FV218" s="291"/>
      <c r="FW218" s="107"/>
      <c r="FX218" s="107"/>
      <c r="FY218" s="107"/>
      <c r="FZ218" s="293"/>
      <c r="GA218" s="291"/>
      <c r="GB218" s="107"/>
      <c r="GC218" s="107"/>
      <c r="GD218" s="107"/>
      <c r="GE218" s="293"/>
      <c r="GF218" s="291"/>
      <c r="GG218" s="107"/>
      <c r="GH218" s="107"/>
      <c r="GI218" s="107"/>
      <c r="GJ218" s="382"/>
    </row>
    <row r="219" spans="1:192" ht="12.75" customHeight="1">
      <c r="B219" s="1530" t="s">
        <v>2064</v>
      </c>
      <c r="C219" s="291"/>
      <c r="D219" s="107"/>
      <c r="E219" s="107"/>
      <c r="F219" s="107"/>
      <c r="G219" s="293"/>
      <c r="H219" s="291"/>
      <c r="I219" s="107"/>
      <c r="J219" s="107"/>
      <c r="K219" s="107"/>
      <c r="L219" s="293"/>
      <c r="M219" s="291"/>
      <c r="N219" s="107"/>
      <c r="O219" s="107"/>
      <c r="P219" s="107"/>
      <c r="Q219" s="293"/>
      <c r="R219" s="291"/>
      <c r="S219" s="107"/>
      <c r="T219" s="107"/>
      <c r="U219" s="107"/>
      <c r="V219" s="293"/>
      <c r="W219" s="291"/>
      <c r="X219" s="107"/>
      <c r="Y219" s="107"/>
      <c r="Z219" s="107"/>
      <c r="AA219" s="293"/>
      <c r="AB219" s="291"/>
      <c r="AC219" s="107"/>
      <c r="AD219" s="107"/>
      <c r="AE219" s="107"/>
      <c r="AF219" s="293"/>
      <c r="AG219" s="291"/>
      <c r="AH219" s="107"/>
      <c r="AI219" s="107"/>
      <c r="AJ219" s="107"/>
      <c r="AK219" s="293"/>
      <c r="AL219" s="291"/>
      <c r="AM219" s="107"/>
      <c r="AN219" s="107"/>
      <c r="AO219" s="107"/>
      <c r="AP219" s="293"/>
      <c r="AQ219" s="291"/>
      <c r="AR219" s="107"/>
      <c r="AS219" s="107"/>
      <c r="AT219" s="107"/>
      <c r="AU219" s="293"/>
      <c r="AV219" s="291"/>
      <c r="AW219" s="107"/>
      <c r="AX219" s="107"/>
      <c r="AY219" s="107"/>
      <c r="AZ219" s="293"/>
      <c r="BA219" s="291"/>
      <c r="BB219" s="107"/>
      <c r="BC219" s="107"/>
      <c r="BD219" s="107"/>
      <c r="BE219" s="293"/>
      <c r="BF219" s="291"/>
      <c r="BG219" s="107"/>
      <c r="BH219" s="107"/>
      <c r="BI219" s="107"/>
      <c r="BJ219" s="293"/>
      <c r="BK219" s="291"/>
      <c r="BL219" s="107"/>
      <c r="BM219" s="107"/>
      <c r="BN219" s="107"/>
      <c r="BO219" s="293"/>
      <c r="BP219" s="291"/>
      <c r="BQ219" s="107"/>
      <c r="BR219" s="107"/>
      <c r="BS219" s="107"/>
      <c r="BT219" s="293"/>
      <c r="BU219" s="291"/>
      <c r="BV219" s="107"/>
      <c r="BW219" s="107"/>
      <c r="BX219" s="107"/>
      <c r="BY219" s="293"/>
      <c r="BZ219" s="291"/>
      <c r="CA219" s="107"/>
      <c r="CB219" s="107"/>
      <c r="CC219" s="107"/>
      <c r="CD219" s="293"/>
      <c r="CE219" s="291"/>
      <c r="CF219" s="107"/>
      <c r="CG219" s="107"/>
      <c r="CH219" s="107"/>
      <c r="CI219" s="293"/>
      <c r="CJ219" s="291"/>
      <c r="CK219" s="107"/>
      <c r="CL219" s="107"/>
      <c r="CM219" s="107"/>
      <c r="CN219" s="293"/>
      <c r="CO219" s="291"/>
      <c r="CP219" s="107"/>
      <c r="CQ219" s="107"/>
      <c r="CR219" s="107"/>
      <c r="CS219" s="293"/>
      <c r="CT219" s="291"/>
      <c r="CU219" s="107"/>
      <c r="CV219" s="107"/>
      <c r="CW219" s="107"/>
      <c r="CX219" s="293"/>
      <c r="CY219" s="291"/>
      <c r="CZ219" s="107"/>
      <c r="DA219" s="107"/>
      <c r="DB219" s="107"/>
      <c r="DC219" s="293"/>
      <c r="DD219" s="291"/>
      <c r="DE219" s="107"/>
      <c r="DF219" s="107"/>
      <c r="DG219" s="107"/>
      <c r="DH219" s="293"/>
      <c r="DI219" s="291"/>
      <c r="DJ219" s="107"/>
      <c r="DK219" s="107"/>
      <c r="DL219" s="107"/>
      <c r="DM219" s="293"/>
      <c r="DN219" s="291"/>
      <c r="DO219" s="107"/>
      <c r="DP219" s="107"/>
      <c r="DQ219" s="107"/>
      <c r="DR219" s="293"/>
      <c r="DS219" s="291"/>
      <c r="DT219" s="107"/>
      <c r="DU219" s="107"/>
      <c r="DV219" s="107"/>
      <c r="DW219" s="293"/>
      <c r="DX219" s="291"/>
      <c r="DY219" s="107"/>
      <c r="DZ219" s="107"/>
      <c r="EA219" s="107"/>
      <c r="EB219" s="293"/>
      <c r="EC219" s="291"/>
      <c r="ED219" s="107"/>
      <c r="EE219" s="107"/>
      <c r="EF219" s="107"/>
      <c r="EG219" s="293"/>
      <c r="EH219" s="291"/>
      <c r="EI219" s="107"/>
      <c r="EJ219" s="107"/>
      <c r="EK219" s="107"/>
      <c r="EL219" s="293"/>
      <c r="EM219" s="291"/>
      <c r="EN219" s="107"/>
      <c r="EO219" s="107"/>
      <c r="EP219" s="107"/>
      <c r="EQ219" s="293"/>
      <c r="ER219" s="291"/>
      <c r="ES219" s="107"/>
      <c r="ET219" s="107"/>
      <c r="EU219" s="107"/>
      <c r="EV219" s="293"/>
      <c r="EW219" s="291"/>
      <c r="EX219" s="107"/>
      <c r="EY219" s="107"/>
      <c r="EZ219" s="439"/>
      <c r="FA219" s="293"/>
      <c r="FB219" s="291"/>
      <c r="FC219" s="107"/>
      <c r="FD219" s="107"/>
      <c r="FE219" s="107"/>
      <c r="FF219" s="293"/>
      <c r="FG219" s="291"/>
      <c r="FH219" s="107"/>
      <c r="FI219" s="107"/>
      <c r="FJ219" s="107"/>
      <c r="FK219" s="293"/>
      <c r="FL219" s="291"/>
      <c r="FM219" s="107"/>
      <c r="FN219" s="107"/>
      <c r="FO219" s="107"/>
      <c r="FP219" s="293"/>
      <c r="FQ219" s="291"/>
      <c r="FR219" s="107"/>
      <c r="FS219" s="107"/>
      <c r="FT219" s="107"/>
      <c r="FU219" s="293"/>
      <c r="FV219" s="291"/>
      <c r="FW219" s="107"/>
      <c r="FX219" s="107"/>
      <c r="FY219" s="107"/>
      <c r="FZ219" s="293"/>
      <c r="GA219" s="291"/>
      <c r="GB219" s="107"/>
      <c r="GC219" s="107"/>
      <c r="GD219" s="107"/>
      <c r="GE219" s="293"/>
      <c r="GF219" s="291"/>
      <c r="GG219" s="107"/>
      <c r="GH219" s="107"/>
      <c r="GI219" s="107"/>
      <c r="GJ219" s="382"/>
    </row>
    <row r="220" spans="1:192" ht="12.75" hidden="1" customHeight="1" outlineLevel="1">
      <c r="B220" s="736" t="s">
        <v>2065</v>
      </c>
      <c r="C220" s="291"/>
      <c r="D220" s="107"/>
      <c r="E220" s="107"/>
      <c r="F220" s="107"/>
      <c r="G220" s="293"/>
      <c r="H220" s="291"/>
      <c r="I220" s="107"/>
      <c r="J220" s="107"/>
      <c r="K220" s="107"/>
      <c r="L220" s="293"/>
      <c r="M220" s="291"/>
      <c r="N220" s="107"/>
      <c r="O220" s="107"/>
      <c r="P220" s="107"/>
      <c r="Q220" s="293"/>
      <c r="R220" s="291"/>
      <c r="S220" s="107"/>
      <c r="T220" s="107"/>
      <c r="U220" s="107"/>
      <c r="V220" s="293"/>
      <c r="W220" s="291"/>
      <c r="X220" s="107"/>
      <c r="Y220" s="107"/>
      <c r="Z220" s="107"/>
      <c r="AA220" s="293"/>
      <c r="AB220" s="291"/>
      <c r="AC220" s="107"/>
      <c r="AD220" s="107"/>
      <c r="AE220" s="107"/>
      <c r="AF220" s="293"/>
      <c r="AG220" s="291"/>
      <c r="AH220" s="107"/>
      <c r="AI220" s="107"/>
      <c r="AJ220" s="107"/>
      <c r="AK220" s="293"/>
      <c r="AL220" s="291"/>
      <c r="AM220" s="107"/>
      <c r="AN220" s="107"/>
      <c r="AO220" s="107"/>
      <c r="AP220" s="293"/>
      <c r="AQ220" s="291"/>
      <c r="AR220" s="107"/>
      <c r="AS220" s="107"/>
      <c r="AT220" s="107"/>
      <c r="AU220" s="293"/>
      <c r="AV220" s="291"/>
      <c r="AW220" s="107"/>
      <c r="AX220" s="107"/>
      <c r="AY220" s="107"/>
      <c r="AZ220" s="293"/>
      <c r="BA220" s="291"/>
      <c r="BB220" s="107"/>
      <c r="BC220" s="107"/>
      <c r="BD220" s="107"/>
      <c r="BE220" s="293"/>
      <c r="BF220" s="291"/>
      <c r="BG220" s="107"/>
      <c r="BH220" s="107"/>
      <c r="BI220" s="107"/>
      <c r="BJ220" s="293"/>
      <c r="BK220" s="291"/>
      <c r="BL220" s="107"/>
      <c r="BM220" s="107"/>
      <c r="BN220" s="107"/>
      <c r="BO220" s="293"/>
      <c r="BP220" s="291"/>
      <c r="BQ220" s="107"/>
      <c r="BR220" s="107"/>
      <c r="BS220" s="107"/>
      <c r="BT220" s="293"/>
      <c r="BU220" s="291"/>
      <c r="BV220" s="107"/>
      <c r="BW220" s="107"/>
      <c r="BX220" s="107"/>
      <c r="BY220" s="293"/>
      <c r="BZ220" s="291"/>
      <c r="CA220" s="107"/>
      <c r="CB220" s="107"/>
      <c r="CC220" s="107"/>
      <c r="CD220" s="293"/>
      <c r="CE220" s="291"/>
      <c r="CF220" s="107"/>
      <c r="CG220" s="107"/>
      <c r="CH220" s="107"/>
      <c r="CI220" s="293"/>
      <c r="CJ220" s="291"/>
      <c r="CK220" s="107"/>
      <c r="CL220" s="107"/>
      <c r="CM220" s="107"/>
      <c r="CN220" s="293"/>
      <c r="CO220" s="291"/>
      <c r="CP220" s="107"/>
      <c r="CQ220" s="107"/>
      <c r="CR220" s="107"/>
      <c r="CS220" s="293"/>
      <c r="CT220" s="291"/>
      <c r="CU220" s="107"/>
      <c r="CV220" s="107"/>
      <c r="CW220" s="107"/>
      <c r="CX220" s="293"/>
      <c r="CY220" s="291"/>
      <c r="CZ220" s="107"/>
      <c r="DA220" s="107"/>
      <c r="DB220" s="107"/>
      <c r="DC220" s="293"/>
      <c r="DD220" s="291"/>
      <c r="DE220" s="107"/>
      <c r="DF220" s="107"/>
      <c r="DG220" s="107"/>
      <c r="DH220" s="293"/>
      <c r="DI220" s="291"/>
      <c r="DJ220" s="107"/>
      <c r="DK220" s="107"/>
      <c r="DL220" s="107"/>
      <c r="DM220" s="293"/>
      <c r="DN220" s="291"/>
      <c r="DO220" s="107"/>
      <c r="DP220" s="107"/>
      <c r="DQ220" s="107"/>
      <c r="DR220" s="293"/>
      <c r="DS220" s="291"/>
      <c r="DT220" s="107"/>
      <c r="DU220" s="107"/>
      <c r="DV220" s="107"/>
      <c r="DW220" s="293"/>
      <c r="DX220" s="291"/>
      <c r="DY220" s="107"/>
      <c r="DZ220" s="107"/>
      <c r="EA220" s="107"/>
      <c r="EB220" s="293"/>
      <c r="EC220" s="291"/>
      <c r="ED220" s="107"/>
      <c r="EE220" s="107"/>
      <c r="EF220" s="458"/>
      <c r="EG220" s="293"/>
      <c r="EH220" s="458"/>
      <c r="EI220" s="458"/>
      <c r="EJ220" s="458"/>
      <c r="EK220" s="458"/>
      <c r="EL220" s="293"/>
      <c r="EM220" s="291"/>
      <c r="EN220" s="107"/>
      <c r="EO220" s="107"/>
      <c r="EP220" s="107"/>
      <c r="EQ220" s="293"/>
      <c r="ER220" s="291"/>
      <c r="ES220" s="107"/>
      <c r="ET220" s="107"/>
      <c r="EU220" s="107"/>
      <c r="EV220" s="293"/>
      <c r="EW220" s="291"/>
      <c r="EX220" s="107"/>
      <c r="EY220" s="114">
        <v>3</v>
      </c>
      <c r="EZ220" s="439"/>
      <c r="FA220" s="293"/>
      <c r="FB220" s="291"/>
      <c r="FC220" s="107"/>
      <c r="FD220" s="107"/>
      <c r="FE220" s="107"/>
      <c r="FF220" s="293"/>
      <c r="FG220" s="291"/>
      <c r="FH220" s="107"/>
      <c r="FI220" s="107"/>
      <c r="FJ220" s="107"/>
      <c r="FK220" s="293"/>
      <c r="FL220" s="291"/>
      <c r="FM220" s="107"/>
      <c r="FN220" s="107"/>
      <c r="FO220" s="107"/>
      <c r="FP220" s="293"/>
      <c r="FQ220" s="291"/>
      <c r="FR220" s="107"/>
      <c r="FS220" s="107"/>
      <c r="FT220" s="107"/>
      <c r="FU220" s="293"/>
      <c r="FV220" s="291"/>
      <c r="FW220" s="107"/>
      <c r="FX220" s="107"/>
      <c r="FY220" s="107"/>
      <c r="FZ220" s="293"/>
      <c r="GA220" s="291"/>
      <c r="GB220" s="107"/>
      <c r="GC220" s="107"/>
      <c r="GD220" s="107"/>
      <c r="GE220" s="293"/>
      <c r="GF220" s="291"/>
      <c r="GG220" s="107"/>
      <c r="GH220" s="107"/>
      <c r="GI220" s="107"/>
      <c r="GJ220" s="382"/>
    </row>
    <row r="221" spans="1:192" ht="12.75" hidden="1" customHeight="1" outlineLevel="1">
      <c r="B221" s="736"/>
      <c r="C221" s="291"/>
      <c r="D221" s="107"/>
      <c r="E221" s="107"/>
      <c r="F221" s="107"/>
      <c r="G221" s="293"/>
      <c r="H221" s="291"/>
      <c r="I221" s="107"/>
      <c r="J221" s="107"/>
      <c r="K221" s="107"/>
      <c r="L221" s="293"/>
      <c r="M221" s="291"/>
      <c r="N221" s="107"/>
      <c r="O221" s="107"/>
      <c r="P221" s="107"/>
      <c r="Q221" s="293"/>
      <c r="R221" s="291"/>
      <c r="S221" s="107"/>
      <c r="T221" s="107"/>
      <c r="U221" s="107"/>
      <c r="V221" s="293"/>
      <c r="W221" s="291"/>
      <c r="X221" s="107"/>
      <c r="Y221" s="107"/>
      <c r="Z221" s="107"/>
      <c r="AA221" s="293"/>
      <c r="AB221" s="291"/>
      <c r="AC221" s="107"/>
      <c r="AD221" s="107"/>
      <c r="AE221" s="107"/>
      <c r="AF221" s="293"/>
      <c r="AG221" s="291"/>
      <c r="AH221" s="107"/>
      <c r="AI221" s="107"/>
      <c r="AJ221" s="107"/>
      <c r="AK221" s="293"/>
      <c r="AL221" s="291"/>
      <c r="AM221" s="107"/>
      <c r="AN221" s="107"/>
      <c r="AO221" s="107"/>
      <c r="AP221" s="293"/>
      <c r="AQ221" s="291"/>
      <c r="AR221" s="107"/>
      <c r="AS221" s="107"/>
      <c r="AT221" s="107"/>
      <c r="AU221" s="293"/>
      <c r="AV221" s="291"/>
      <c r="AW221" s="107"/>
      <c r="AX221" s="107"/>
      <c r="AY221" s="107"/>
      <c r="AZ221" s="293"/>
      <c r="BA221" s="291"/>
      <c r="BB221" s="107"/>
      <c r="BC221" s="107"/>
      <c r="BD221" s="107"/>
      <c r="BE221" s="293"/>
      <c r="BF221" s="291"/>
      <c r="BG221" s="107"/>
      <c r="BH221" s="107"/>
      <c r="BI221" s="107"/>
      <c r="BJ221" s="293"/>
      <c r="BK221" s="291"/>
      <c r="BL221" s="107"/>
      <c r="BM221" s="107"/>
      <c r="BN221" s="107"/>
      <c r="BO221" s="293"/>
      <c r="BP221" s="291"/>
      <c r="BQ221" s="107"/>
      <c r="BR221" s="107"/>
      <c r="BS221" s="107"/>
      <c r="BT221" s="293"/>
      <c r="BU221" s="291"/>
      <c r="BV221" s="107"/>
      <c r="BW221" s="107"/>
      <c r="BX221" s="107"/>
      <c r="BY221" s="293"/>
      <c r="BZ221" s="291"/>
      <c r="CA221" s="107"/>
      <c r="CB221" s="107"/>
      <c r="CC221" s="107"/>
      <c r="CD221" s="293"/>
      <c r="CE221" s="291"/>
      <c r="CF221" s="107"/>
      <c r="CG221" s="107"/>
      <c r="CH221" s="107"/>
      <c r="CI221" s="293"/>
      <c r="CJ221" s="291"/>
      <c r="CK221" s="107"/>
      <c r="CL221" s="107"/>
      <c r="CM221" s="107"/>
      <c r="CN221" s="293"/>
      <c r="CO221" s="291"/>
      <c r="CP221" s="107"/>
      <c r="CQ221" s="107"/>
      <c r="CR221" s="107"/>
      <c r="CS221" s="293"/>
      <c r="CT221" s="291"/>
      <c r="CU221" s="107"/>
      <c r="CV221" s="107"/>
      <c r="CW221" s="107"/>
      <c r="CX221" s="293"/>
      <c r="CY221" s="291"/>
      <c r="CZ221" s="107"/>
      <c r="DA221" s="107"/>
      <c r="DB221" s="107"/>
      <c r="DC221" s="293"/>
      <c r="DD221" s="291"/>
      <c r="DE221" s="107"/>
      <c r="DF221" s="107"/>
      <c r="DG221" s="107"/>
      <c r="DH221" s="293"/>
      <c r="DI221" s="291"/>
      <c r="DJ221" s="107"/>
      <c r="DK221" s="107"/>
      <c r="DL221" s="107"/>
      <c r="DM221" s="293"/>
      <c r="DN221" s="291"/>
      <c r="DO221" s="107"/>
      <c r="DP221" s="107"/>
      <c r="DQ221" s="107"/>
      <c r="DR221" s="293"/>
      <c r="DS221" s="291"/>
      <c r="DT221" s="107"/>
      <c r="DU221" s="107"/>
      <c r="DV221" s="107"/>
      <c r="DW221" s="293"/>
      <c r="DX221" s="291"/>
      <c r="DY221" s="107"/>
      <c r="DZ221" s="107"/>
      <c r="EA221" s="107"/>
      <c r="EB221" s="293"/>
      <c r="EC221" s="291"/>
      <c r="ED221" s="107"/>
      <c r="EE221" s="107"/>
      <c r="EF221" s="458"/>
      <c r="EG221" s="293"/>
      <c r="EH221" s="458"/>
      <c r="EI221" s="458"/>
      <c r="EJ221" s="458"/>
      <c r="EK221" s="458"/>
      <c r="EL221" s="293"/>
      <c r="EM221" s="291"/>
      <c r="EN221" s="107"/>
      <c r="EO221" s="107"/>
      <c r="EP221" s="107"/>
      <c r="EQ221" s="293"/>
      <c r="ER221" s="291"/>
      <c r="ES221" s="107"/>
      <c r="ET221" s="107"/>
      <c r="EU221" s="107"/>
      <c r="EV221" s="293"/>
      <c r="EW221" s="291"/>
      <c r="EX221" s="107"/>
      <c r="EY221" s="114"/>
      <c r="EZ221" s="439"/>
      <c r="FA221" s="293"/>
      <c r="FB221" s="291"/>
      <c r="FC221" s="107"/>
      <c r="FD221" s="107"/>
      <c r="FE221" s="107"/>
      <c r="FF221" s="293"/>
      <c r="FG221" s="291"/>
      <c r="FH221" s="107"/>
      <c r="FI221" s="107"/>
      <c r="FJ221" s="107"/>
      <c r="FK221" s="293"/>
      <c r="FL221" s="291"/>
      <c r="FM221" s="107"/>
      <c r="FN221" s="107"/>
      <c r="FO221" s="107"/>
      <c r="FP221" s="293"/>
      <c r="FQ221" s="291"/>
      <c r="FR221" s="107"/>
      <c r="FS221" s="107"/>
      <c r="FT221" s="107"/>
      <c r="FU221" s="293"/>
      <c r="FV221" s="291"/>
      <c r="FW221" s="107"/>
      <c r="FX221" s="107"/>
      <c r="FY221" s="107"/>
      <c r="FZ221" s="293"/>
      <c r="GA221" s="291"/>
      <c r="GB221" s="107"/>
      <c r="GC221" s="107"/>
      <c r="GD221" s="107"/>
      <c r="GE221" s="293"/>
      <c r="GF221" s="291"/>
      <c r="GG221" s="107"/>
      <c r="GH221" s="107"/>
      <c r="GI221" s="107"/>
      <c r="GJ221" s="382"/>
    </row>
    <row r="222" spans="1:192" ht="12.75" hidden="1" customHeight="1" outlineLevel="1">
      <c r="B222" s="736" t="s">
        <v>2067</v>
      </c>
      <c r="C222" s="291"/>
      <c r="D222" s="107"/>
      <c r="E222" s="107"/>
      <c r="F222" s="107"/>
      <c r="G222" s="293"/>
      <c r="H222" s="291"/>
      <c r="I222" s="107"/>
      <c r="J222" s="107"/>
      <c r="K222" s="107"/>
      <c r="L222" s="293"/>
      <c r="M222" s="291"/>
      <c r="N222" s="107"/>
      <c r="O222" s="107"/>
      <c r="P222" s="107"/>
      <c r="Q222" s="293"/>
      <c r="R222" s="291"/>
      <c r="S222" s="107"/>
      <c r="T222" s="107"/>
      <c r="U222" s="107"/>
      <c r="V222" s="293"/>
      <c r="W222" s="291"/>
      <c r="X222" s="107"/>
      <c r="Y222" s="107"/>
      <c r="Z222" s="107"/>
      <c r="AA222" s="293"/>
      <c r="AB222" s="291"/>
      <c r="AC222" s="107"/>
      <c r="AD222" s="107"/>
      <c r="AE222" s="107"/>
      <c r="AF222" s="293"/>
      <c r="AG222" s="291"/>
      <c r="AH222" s="107"/>
      <c r="AI222" s="107"/>
      <c r="AJ222" s="107"/>
      <c r="AK222" s="293"/>
      <c r="AL222" s="291"/>
      <c r="AM222" s="107"/>
      <c r="AN222" s="107"/>
      <c r="AO222" s="107"/>
      <c r="AP222" s="293"/>
      <c r="AQ222" s="291"/>
      <c r="AR222" s="107"/>
      <c r="AS222" s="107"/>
      <c r="AT222" s="107"/>
      <c r="AU222" s="293"/>
      <c r="AV222" s="291"/>
      <c r="AW222" s="107"/>
      <c r="AX222" s="107"/>
      <c r="AY222" s="107"/>
      <c r="AZ222" s="293"/>
      <c r="BA222" s="291"/>
      <c r="BB222" s="107"/>
      <c r="BC222" s="107"/>
      <c r="BD222" s="107"/>
      <c r="BE222" s="293"/>
      <c r="BF222" s="291"/>
      <c r="BG222" s="107"/>
      <c r="BH222" s="107"/>
      <c r="BI222" s="107"/>
      <c r="BJ222" s="293"/>
      <c r="BK222" s="291"/>
      <c r="BL222" s="107"/>
      <c r="BM222" s="107"/>
      <c r="BN222" s="107"/>
      <c r="BO222" s="293"/>
      <c r="BP222" s="291"/>
      <c r="BQ222" s="107"/>
      <c r="BR222" s="107"/>
      <c r="BS222" s="107"/>
      <c r="BT222" s="293"/>
      <c r="BU222" s="291"/>
      <c r="BV222" s="107"/>
      <c r="BW222" s="107"/>
      <c r="BX222" s="107"/>
      <c r="BY222" s="293"/>
      <c r="BZ222" s="291"/>
      <c r="CA222" s="107"/>
      <c r="CB222" s="107"/>
      <c r="CC222" s="107"/>
      <c r="CD222" s="293"/>
      <c r="CE222" s="291"/>
      <c r="CF222" s="107"/>
      <c r="CG222" s="107"/>
      <c r="CH222" s="107"/>
      <c r="CI222" s="293"/>
      <c r="CJ222" s="291"/>
      <c r="CK222" s="107"/>
      <c r="CL222" s="107"/>
      <c r="CM222" s="107"/>
      <c r="CN222" s="293"/>
      <c r="CO222" s="291"/>
      <c r="CP222" s="107"/>
      <c r="CQ222" s="107"/>
      <c r="CR222" s="107"/>
      <c r="CS222" s="293"/>
      <c r="CT222" s="291"/>
      <c r="CU222" s="107"/>
      <c r="CV222" s="107"/>
      <c r="CW222" s="107"/>
      <c r="CX222" s="293"/>
      <c r="CY222" s="291"/>
      <c r="CZ222" s="107"/>
      <c r="DA222" s="107"/>
      <c r="DB222" s="107"/>
      <c r="DC222" s="293"/>
      <c r="DD222" s="291"/>
      <c r="DE222" s="107"/>
      <c r="DF222" s="107"/>
      <c r="DG222" s="107"/>
      <c r="DH222" s="293"/>
      <c r="DI222" s="291"/>
      <c r="DJ222" s="107"/>
      <c r="DK222" s="107"/>
      <c r="DL222" s="107"/>
      <c r="DM222" s="293"/>
      <c r="DN222" s="291"/>
      <c r="DO222" s="107"/>
      <c r="DP222" s="107"/>
      <c r="DQ222" s="107"/>
      <c r="DR222" s="293"/>
      <c r="DS222" s="291"/>
      <c r="DT222" s="107"/>
      <c r="DU222" s="107"/>
      <c r="DV222" s="107"/>
      <c r="DW222" s="293"/>
      <c r="DX222" s="291"/>
      <c r="DY222" s="107"/>
      <c r="DZ222" s="107"/>
      <c r="EA222" s="107"/>
      <c r="EB222" s="293"/>
      <c r="EC222" s="291"/>
      <c r="ED222" s="107"/>
      <c r="EE222" s="107"/>
      <c r="EF222" s="114"/>
      <c r="EG222" s="293"/>
      <c r="EH222" s="412"/>
      <c r="EI222" s="114"/>
      <c r="EJ222" s="114"/>
      <c r="EK222" s="114"/>
      <c r="EL222" s="293"/>
      <c r="EM222" s="283"/>
      <c r="EN222" s="107"/>
      <c r="EO222" s="107"/>
      <c r="EP222" s="107"/>
      <c r="EQ222" s="293"/>
      <c r="ER222" s="291"/>
      <c r="ES222" s="107"/>
      <c r="ET222" s="107"/>
      <c r="EU222" s="107"/>
      <c r="EV222" s="293"/>
      <c r="EW222" s="291"/>
      <c r="EX222" s="107"/>
      <c r="EY222" s="1351">
        <v>230</v>
      </c>
      <c r="EZ222" s="439"/>
      <c r="FA222" s="293"/>
      <c r="FB222" s="291"/>
      <c r="FC222" s="107"/>
      <c r="FD222" s="107"/>
      <c r="FE222" s="107"/>
      <c r="FF222" s="293"/>
      <c r="FG222" s="291"/>
      <c r="FH222" s="107"/>
      <c r="FI222" s="107"/>
      <c r="FJ222" s="107"/>
      <c r="FK222" s="293"/>
      <c r="FL222" s="291"/>
      <c r="FM222" s="107"/>
      <c r="FN222" s="107"/>
      <c r="FO222" s="107"/>
      <c r="FP222" s="293"/>
      <c r="FQ222" s="291"/>
      <c r="FR222" s="107"/>
      <c r="FS222" s="107"/>
      <c r="FT222" s="107"/>
      <c r="FU222" s="293"/>
      <c r="FV222" s="291"/>
      <c r="FW222" s="107"/>
      <c r="FX222" s="107"/>
      <c r="FY222" s="107"/>
      <c r="FZ222" s="293"/>
      <c r="GA222" s="291"/>
      <c r="GB222" s="107"/>
      <c r="GC222" s="107"/>
      <c r="GD222" s="107"/>
      <c r="GE222" s="293"/>
      <c r="GF222" s="291"/>
      <c r="GG222" s="107"/>
      <c r="GH222" s="107"/>
      <c r="GI222" s="107"/>
      <c r="GJ222" s="382"/>
    </row>
    <row r="223" spans="1:192" ht="12.75" hidden="1" customHeight="1" outlineLevel="1">
      <c r="B223" s="1300" t="s">
        <v>2066</v>
      </c>
      <c r="C223" s="291"/>
      <c r="D223" s="107"/>
      <c r="E223" s="107"/>
      <c r="F223" s="107"/>
      <c r="G223" s="293"/>
      <c r="H223" s="291"/>
      <c r="I223" s="107"/>
      <c r="J223" s="107"/>
      <c r="K223" s="107"/>
      <c r="L223" s="293"/>
      <c r="M223" s="291"/>
      <c r="N223" s="107"/>
      <c r="O223" s="107"/>
      <c r="P223" s="107"/>
      <c r="Q223" s="293"/>
      <c r="R223" s="291"/>
      <c r="S223" s="107"/>
      <c r="T223" s="107"/>
      <c r="U223" s="107"/>
      <c r="V223" s="293"/>
      <c r="W223" s="291"/>
      <c r="X223" s="107"/>
      <c r="Y223" s="107"/>
      <c r="Z223" s="107"/>
      <c r="AA223" s="293"/>
      <c r="AB223" s="291"/>
      <c r="AC223" s="107"/>
      <c r="AD223" s="107"/>
      <c r="AE223" s="107"/>
      <c r="AF223" s="293"/>
      <c r="AG223" s="291"/>
      <c r="AH223" s="107"/>
      <c r="AI223" s="107"/>
      <c r="AJ223" s="107"/>
      <c r="AK223" s="293"/>
      <c r="AL223" s="291"/>
      <c r="AM223" s="107"/>
      <c r="AN223" s="107"/>
      <c r="AO223" s="107"/>
      <c r="AP223" s="293"/>
      <c r="AQ223" s="291"/>
      <c r="AR223" s="107"/>
      <c r="AS223" s="107"/>
      <c r="AT223" s="107"/>
      <c r="AU223" s="293"/>
      <c r="AV223" s="291"/>
      <c r="AW223" s="107"/>
      <c r="AX223" s="107"/>
      <c r="AY223" s="107"/>
      <c r="AZ223" s="293"/>
      <c r="BA223" s="291"/>
      <c r="BB223" s="107"/>
      <c r="BC223" s="107"/>
      <c r="BD223" s="107"/>
      <c r="BE223" s="293"/>
      <c r="BF223" s="291"/>
      <c r="BG223" s="107"/>
      <c r="BH223" s="107"/>
      <c r="BI223" s="107"/>
      <c r="BJ223" s="293"/>
      <c r="BK223" s="291"/>
      <c r="BL223" s="107"/>
      <c r="BM223" s="107"/>
      <c r="BN223" s="107"/>
      <c r="BO223" s="293"/>
      <c r="BP223" s="291"/>
      <c r="BQ223" s="107"/>
      <c r="BR223" s="107"/>
      <c r="BS223" s="107"/>
      <c r="BT223" s="293"/>
      <c r="BU223" s="291"/>
      <c r="BV223" s="107"/>
      <c r="BW223" s="107"/>
      <c r="BX223" s="107"/>
      <c r="BY223" s="293"/>
      <c r="BZ223" s="291"/>
      <c r="CA223" s="107"/>
      <c r="CB223" s="107"/>
      <c r="CC223" s="107"/>
      <c r="CD223" s="293"/>
      <c r="CE223" s="291"/>
      <c r="CF223" s="107"/>
      <c r="CG223" s="107"/>
      <c r="CH223" s="107"/>
      <c r="CI223" s="293"/>
      <c r="CJ223" s="291"/>
      <c r="CK223" s="107"/>
      <c r="CL223" s="107"/>
      <c r="CM223" s="107"/>
      <c r="CN223" s="293"/>
      <c r="CO223" s="291"/>
      <c r="CP223" s="107"/>
      <c r="CQ223" s="107"/>
      <c r="CR223" s="107"/>
      <c r="CS223" s="293"/>
      <c r="CT223" s="291"/>
      <c r="CU223" s="107"/>
      <c r="CV223" s="107"/>
      <c r="CW223" s="107"/>
      <c r="CX223" s="293"/>
      <c r="CY223" s="291"/>
      <c r="CZ223" s="107"/>
      <c r="DA223" s="107"/>
      <c r="DB223" s="107"/>
      <c r="DC223" s="293"/>
      <c r="DD223" s="291"/>
      <c r="DE223" s="107"/>
      <c r="DF223" s="107"/>
      <c r="DG223" s="107"/>
      <c r="DH223" s="293"/>
      <c r="DI223" s="291"/>
      <c r="DJ223" s="107"/>
      <c r="DK223" s="107"/>
      <c r="DL223" s="107"/>
      <c r="DM223" s="293"/>
      <c r="DN223" s="291"/>
      <c r="DO223" s="107"/>
      <c r="DP223" s="107"/>
      <c r="DQ223" s="107"/>
      <c r="DR223" s="293"/>
      <c r="DS223" s="291"/>
      <c r="DT223" s="107"/>
      <c r="DU223" s="107"/>
      <c r="DV223" s="107"/>
      <c r="DW223" s="293"/>
      <c r="DX223" s="291"/>
      <c r="DY223" s="107"/>
      <c r="DZ223" s="107"/>
      <c r="EA223" s="107"/>
      <c r="EB223" s="293"/>
      <c r="EC223" s="291"/>
      <c r="ED223" s="107"/>
      <c r="EE223" s="107"/>
      <c r="EF223" s="107"/>
      <c r="EG223" s="293"/>
      <c r="EH223" s="291"/>
      <c r="EI223" s="107"/>
      <c r="EJ223" s="107"/>
      <c r="EK223" s="439"/>
      <c r="EL223" s="293"/>
      <c r="EM223" s="291"/>
      <c r="EN223" s="107"/>
      <c r="EO223" s="107"/>
      <c r="EP223" s="107"/>
      <c r="EQ223" s="293"/>
      <c r="ER223" s="291"/>
      <c r="ES223" s="107"/>
      <c r="ET223" s="107"/>
      <c r="EU223" s="107"/>
      <c r="EV223" s="293"/>
      <c r="EW223" s="291"/>
      <c r="EX223" s="107"/>
      <c r="EY223" s="114">
        <v>0.9</v>
      </c>
      <c r="EZ223" s="439"/>
      <c r="FA223" s="293"/>
      <c r="FB223" s="291"/>
      <c r="FC223" s="107"/>
      <c r="FD223" s="107"/>
      <c r="FE223" s="107"/>
      <c r="FF223" s="293"/>
      <c r="FG223" s="291"/>
      <c r="FH223" s="107"/>
      <c r="FI223" s="107"/>
      <c r="FJ223" s="107"/>
      <c r="FK223" s="293"/>
      <c r="FL223" s="291"/>
      <c r="FM223" s="107"/>
      <c r="FN223" s="107"/>
      <c r="FO223" s="107"/>
      <c r="FP223" s="293"/>
      <c r="FQ223" s="291"/>
      <c r="FR223" s="107"/>
      <c r="FS223" s="107"/>
      <c r="FT223" s="107"/>
      <c r="FU223" s="293"/>
      <c r="FV223" s="291"/>
      <c r="FW223" s="107"/>
      <c r="FX223" s="107"/>
      <c r="FY223" s="107"/>
      <c r="FZ223" s="293"/>
      <c r="GA223" s="291"/>
      <c r="GB223" s="107"/>
      <c r="GC223" s="107"/>
      <c r="GD223" s="107"/>
      <c r="GE223" s="293"/>
      <c r="GF223" s="291"/>
      <c r="GG223" s="107"/>
      <c r="GH223" s="107"/>
      <c r="GI223" s="107"/>
      <c r="GJ223" s="382"/>
    </row>
    <row r="224" spans="1:192" ht="12.75" customHeight="1" collapsed="1">
      <c r="B224" s="736"/>
      <c r="C224" s="291"/>
      <c r="D224" s="107"/>
      <c r="E224" s="107"/>
      <c r="F224" s="107"/>
      <c r="G224" s="293"/>
      <c r="H224" s="291"/>
      <c r="I224" s="107"/>
      <c r="J224" s="107"/>
      <c r="K224" s="107"/>
      <c r="L224" s="293"/>
      <c r="M224" s="291"/>
      <c r="N224" s="107"/>
      <c r="O224" s="107"/>
      <c r="P224" s="107"/>
      <c r="Q224" s="293"/>
      <c r="R224" s="291"/>
      <c r="S224" s="107"/>
      <c r="T224" s="107"/>
      <c r="U224" s="107"/>
      <c r="V224" s="293"/>
      <c r="W224" s="291"/>
      <c r="X224" s="107"/>
      <c r="Y224" s="107"/>
      <c r="Z224" s="107"/>
      <c r="AA224" s="293"/>
      <c r="AB224" s="291"/>
      <c r="AC224" s="107"/>
      <c r="AD224" s="107"/>
      <c r="AE224" s="107"/>
      <c r="AF224" s="293"/>
      <c r="AG224" s="291"/>
      <c r="AH224" s="107"/>
      <c r="AI224" s="107"/>
      <c r="AJ224" s="107"/>
      <c r="AK224" s="293"/>
      <c r="AL224" s="291"/>
      <c r="AM224" s="107"/>
      <c r="AN224" s="107"/>
      <c r="AO224" s="107"/>
      <c r="AP224" s="293"/>
      <c r="AQ224" s="291"/>
      <c r="AR224" s="107"/>
      <c r="AS224" s="107"/>
      <c r="AT224" s="107"/>
      <c r="AU224" s="293"/>
      <c r="AV224" s="291"/>
      <c r="AW224" s="107"/>
      <c r="AX224" s="107"/>
      <c r="AY224" s="107"/>
      <c r="AZ224" s="293"/>
      <c r="BA224" s="291"/>
      <c r="BB224" s="107"/>
      <c r="BC224" s="107"/>
      <c r="BD224" s="107"/>
      <c r="BE224" s="293"/>
      <c r="BF224" s="291"/>
      <c r="BG224" s="107"/>
      <c r="BH224" s="107"/>
      <c r="BI224" s="107"/>
      <c r="BJ224" s="293"/>
      <c r="BK224" s="291"/>
      <c r="BL224" s="107"/>
      <c r="BM224" s="107"/>
      <c r="BN224" s="107"/>
      <c r="BO224" s="293"/>
      <c r="BP224" s="291"/>
      <c r="BQ224" s="107"/>
      <c r="BR224" s="107"/>
      <c r="BS224" s="107"/>
      <c r="BT224" s="293"/>
      <c r="BU224" s="291"/>
      <c r="BV224" s="107"/>
      <c r="BW224" s="107"/>
      <c r="BX224" s="107"/>
      <c r="BY224" s="293"/>
      <c r="BZ224" s="291"/>
      <c r="CA224" s="107"/>
      <c r="CB224" s="107"/>
      <c r="CC224" s="107"/>
      <c r="CD224" s="293"/>
      <c r="CE224" s="291"/>
      <c r="CF224" s="107"/>
      <c r="CG224" s="107"/>
      <c r="CH224" s="107"/>
      <c r="CI224" s="293"/>
      <c r="CJ224" s="291"/>
      <c r="CK224" s="107"/>
      <c r="CL224" s="107"/>
      <c r="CM224" s="107"/>
      <c r="CN224" s="293"/>
      <c r="CO224" s="291"/>
      <c r="CP224" s="107"/>
      <c r="CQ224" s="107"/>
      <c r="CR224" s="107"/>
      <c r="CS224" s="293"/>
      <c r="CT224" s="291"/>
      <c r="CU224" s="107"/>
      <c r="CV224" s="107"/>
      <c r="CW224" s="107"/>
      <c r="CX224" s="293"/>
      <c r="CY224" s="291"/>
      <c r="CZ224" s="107"/>
      <c r="DA224" s="107"/>
      <c r="DB224" s="107"/>
      <c r="DC224" s="293"/>
      <c r="DD224" s="291"/>
      <c r="DE224" s="107"/>
      <c r="DF224" s="107"/>
      <c r="DG224" s="107"/>
      <c r="DH224" s="293"/>
      <c r="DI224" s="291"/>
      <c r="DJ224" s="107"/>
      <c r="DK224" s="107"/>
      <c r="DL224" s="107"/>
      <c r="DM224" s="293"/>
      <c r="DN224" s="291"/>
      <c r="DO224" s="107"/>
      <c r="DP224" s="107"/>
      <c r="DQ224" s="107"/>
      <c r="DR224" s="293"/>
      <c r="DS224" s="291"/>
      <c r="DT224" s="107"/>
      <c r="DU224" s="107"/>
      <c r="DV224" s="107"/>
      <c r="DW224" s="293"/>
      <c r="DX224" s="291"/>
      <c r="DY224" s="107"/>
      <c r="DZ224" s="107"/>
      <c r="EA224" s="107"/>
      <c r="EB224" s="293"/>
      <c r="EC224" s="291"/>
      <c r="ED224" s="107"/>
      <c r="EE224" s="107"/>
      <c r="EF224" s="107"/>
      <c r="EG224" s="293"/>
      <c r="EH224" s="291"/>
      <c r="EI224" s="107"/>
      <c r="EJ224" s="107"/>
      <c r="EK224" s="439"/>
      <c r="EL224" s="293"/>
      <c r="EM224" s="291"/>
      <c r="EN224" s="107"/>
      <c r="EO224" s="107"/>
      <c r="EP224" s="107"/>
      <c r="EQ224" s="293"/>
      <c r="ER224" s="291"/>
      <c r="ES224" s="107"/>
      <c r="ET224" s="107"/>
      <c r="EU224" s="107"/>
      <c r="EV224" s="293"/>
      <c r="EW224" s="291"/>
      <c r="EX224" s="468"/>
      <c r="EY224" s="107"/>
      <c r="EZ224" s="439"/>
      <c r="FA224" s="293"/>
      <c r="FB224" s="291"/>
      <c r="FC224" s="107"/>
      <c r="FD224" s="107"/>
      <c r="FE224" s="107"/>
      <c r="FF224" s="293"/>
      <c r="FG224" s="291"/>
      <c r="FH224" s="107"/>
      <c r="FI224" s="107"/>
      <c r="FJ224" s="107"/>
      <c r="FK224" s="293"/>
      <c r="FL224" s="291"/>
      <c r="FM224" s="107"/>
      <c r="FN224" s="107"/>
      <c r="FO224" s="107"/>
      <c r="FP224" s="293"/>
      <c r="FQ224" s="291"/>
      <c r="FR224" s="107"/>
      <c r="FS224" s="107"/>
      <c r="FT224" s="107"/>
      <c r="FU224" s="293"/>
      <c r="FV224" s="291"/>
      <c r="FW224" s="107"/>
      <c r="FX224" s="107"/>
      <c r="FY224" s="107"/>
      <c r="FZ224" s="293"/>
      <c r="GA224" s="291"/>
      <c r="GB224" s="107"/>
      <c r="GC224" s="107"/>
      <c r="GD224" s="107"/>
      <c r="GE224" s="293"/>
      <c r="GF224" s="291"/>
      <c r="GG224" s="107"/>
      <c r="GH224" s="107"/>
      <c r="GI224" s="107"/>
      <c r="GJ224" s="382"/>
    </row>
    <row r="225" spans="1:192" ht="12.75" customHeight="1">
      <c r="B225" s="1530" t="s">
        <v>1981</v>
      </c>
      <c r="C225" s="291"/>
      <c r="D225" s="107"/>
      <c r="E225" s="107"/>
      <c r="F225" s="107"/>
      <c r="G225" s="293"/>
      <c r="H225" s="291"/>
      <c r="I225" s="107"/>
      <c r="J225" s="107"/>
      <c r="K225" s="107"/>
      <c r="L225" s="293"/>
      <c r="M225" s="291"/>
      <c r="N225" s="107"/>
      <c r="O225" s="107"/>
      <c r="P225" s="107"/>
      <c r="Q225" s="293"/>
      <c r="R225" s="291"/>
      <c r="S225" s="107"/>
      <c r="T225" s="107"/>
      <c r="U225" s="107"/>
      <c r="V225" s="293"/>
      <c r="W225" s="291"/>
      <c r="X225" s="107"/>
      <c r="Y225" s="107"/>
      <c r="Z225" s="107"/>
      <c r="AA225" s="293"/>
      <c r="AB225" s="291"/>
      <c r="AC225" s="107"/>
      <c r="AD225" s="107"/>
      <c r="AE225" s="107"/>
      <c r="AF225" s="293"/>
      <c r="AG225" s="291"/>
      <c r="AH225" s="107"/>
      <c r="AI225" s="107"/>
      <c r="AJ225" s="107"/>
      <c r="AK225" s="293"/>
      <c r="AL225" s="291"/>
      <c r="AM225" s="107"/>
      <c r="AN225" s="107"/>
      <c r="AO225" s="107"/>
      <c r="AP225" s="293"/>
      <c r="AQ225" s="291"/>
      <c r="AR225" s="107"/>
      <c r="AS225" s="107"/>
      <c r="AT225" s="107"/>
      <c r="AU225" s="293"/>
      <c r="AV225" s="291"/>
      <c r="AW225" s="107"/>
      <c r="AX225" s="107"/>
      <c r="AY225" s="107"/>
      <c r="AZ225" s="293"/>
      <c r="BA225" s="291"/>
      <c r="BB225" s="107"/>
      <c r="BC225" s="107"/>
      <c r="BD225" s="107"/>
      <c r="BE225" s="293"/>
      <c r="BF225" s="291"/>
      <c r="BG225" s="107"/>
      <c r="BH225" s="107"/>
      <c r="BI225" s="107"/>
      <c r="BJ225" s="293"/>
      <c r="BK225" s="291"/>
      <c r="BL225" s="107"/>
      <c r="BM225" s="107"/>
      <c r="BN225" s="107"/>
      <c r="BO225" s="293"/>
      <c r="BP225" s="291"/>
      <c r="BQ225" s="107"/>
      <c r="BR225" s="107"/>
      <c r="BS225" s="107"/>
      <c r="BT225" s="293"/>
      <c r="BU225" s="291"/>
      <c r="BV225" s="107"/>
      <c r="BW225" s="107"/>
      <c r="BX225" s="107"/>
      <c r="BY225" s="293"/>
      <c r="BZ225" s="291"/>
      <c r="CA225" s="107"/>
      <c r="CB225" s="107"/>
      <c r="CC225" s="107"/>
      <c r="CD225" s="293"/>
      <c r="CE225" s="291"/>
      <c r="CF225" s="107"/>
      <c r="CG225" s="107"/>
      <c r="CH225" s="107"/>
      <c r="CI225" s="293"/>
      <c r="CJ225" s="291"/>
      <c r="CK225" s="107"/>
      <c r="CL225" s="107"/>
      <c r="CM225" s="107"/>
      <c r="CN225" s="293"/>
      <c r="CO225" s="291"/>
      <c r="CP225" s="107"/>
      <c r="CQ225" s="468"/>
      <c r="CR225" s="468"/>
      <c r="CS225" s="292"/>
      <c r="CT225" s="349"/>
      <c r="CU225" s="468"/>
      <c r="CV225" s="468"/>
      <c r="CW225" s="468"/>
      <c r="CX225" s="292"/>
      <c r="CY225" s="291"/>
      <c r="CZ225" s="107"/>
      <c r="DA225" s="107"/>
      <c r="DB225" s="107"/>
      <c r="DC225" s="292"/>
      <c r="DD225" s="291"/>
      <c r="DE225" s="107"/>
      <c r="DF225" s="107"/>
      <c r="DG225" s="107"/>
      <c r="DH225" s="292"/>
      <c r="DI225" s="291"/>
      <c r="DJ225" s="107"/>
      <c r="DK225" s="107"/>
      <c r="DL225" s="107"/>
      <c r="DM225" s="292"/>
      <c r="DN225" s="291"/>
      <c r="DO225" s="107"/>
      <c r="DP225" s="107"/>
      <c r="DQ225" s="107"/>
      <c r="DR225" s="292"/>
      <c r="DS225" s="291"/>
      <c r="DT225" s="107"/>
      <c r="DU225" s="107"/>
      <c r="DV225" s="107"/>
      <c r="DW225" s="292"/>
      <c r="DX225" s="291"/>
      <c r="DY225" s="107"/>
      <c r="DZ225" s="107"/>
      <c r="EA225" s="107"/>
      <c r="EB225" s="292"/>
      <c r="EC225" s="291"/>
      <c r="ED225" s="107"/>
      <c r="EE225" s="107"/>
      <c r="EF225" s="107"/>
      <c r="EG225" s="292"/>
      <c r="EH225" s="291"/>
      <c r="EI225" s="107"/>
      <c r="EJ225" s="107"/>
      <c r="EK225" s="107"/>
      <c r="EL225" s="292"/>
      <c r="EM225" s="291"/>
      <c r="EN225" s="107"/>
      <c r="EO225" s="107"/>
      <c r="EP225" s="107"/>
      <c r="EQ225" s="292"/>
      <c r="ER225" s="291"/>
      <c r="ES225" s="107"/>
      <c r="ET225" s="107"/>
      <c r="EU225" s="107"/>
      <c r="EV225" s="292"/>
      <c r="EW225" s="291"/>
      <c r="EX225" s="468"/>
      <c r="EY225" s="107"/>
      <c r="EZ225" s="439"/>
      <c r="FA225" s="292"/>
      <c r="FB225" s="291"/>
      <c r="FC225" s="107"/>
      <c r="FD225" s="107"/>
      <c r="FE225" s="107"/>
      <c r="FF225" s="292"/>
      <c r="FG225" s="291"/>
      <c r="FH225" s="107"/>
      <c r="FI225" s="107"/>
      <c r="FJ225" s="107"/>
      <c r="FK225" s="292"/>
      <c r="FL225" s="291"/>
      <c r="FM225" s="107"/>
      <c r="FN225" s="107"/>
      <c r="FO225" s="107"/>
      <c r="FP225" s="292"/>
      <c r="FQ225" s="291"/>
      <c r="FR225" s="107"/>
      <c r="FS225" s="107"/>
      <c r="FT225" s="107"/>
      <c r="FU225" s="292"/>
      <c r="FV225" s="291"/>
      <c r="FW225" s="107"/>
      <c r="FX225" s="107"/>
      <c r="FY225" s="107"/>
      <c r="FZ225" s="293"/>
      <c r="GA225" s="291"/>
      <c r="GB225" s="107"/>
      <c r="GC225" s="107"/>
      <c r="GD225" s="107"/>
      <c r="GE225" s="293"/>
      <c r="GF225" s="291"/>
      <c r="GG225" s="107"/>
      <c r="GH225" s="107"/>
      <c r="GI225" s="107"/>
      <c r="GJ225" s="382"/>
    </row>
    <row r="226" spans="1:192" s="419" customFormat="1" ht="12.75" hidden="1" customHeight="1" outlineLevel="1">
      <c r="A226" s="798"/>
      <c r="B226" s="745" t="s">
        <v>237</v>
      </c>
      <c r="C226" s="415"/>
      <c r="D226" s="416"/>
      <c r="E226" s="416"/>
      <c r="F226" s="416"/>
      <c r="G226" s="417"/>
      <c r="H226" s="415"/>
      <c r="I226" s="416"/>
      <c r="J226" s="416"/>
      <c r="K226" s="416"/>
      <c r="L226" s="417"/>
      <c r="M226" s="415"/>
      <c r="N226" s="416"/>
      <c r="O226" s="416"/>
      <c r="P226" s="416"/>
      <c r="Q226" s="417"/>
      <c r="R226" s="415"/>
      <c r="S226" s="416"/>
      <c r="T226" s="416"/>
      <c r="U226" s="416"/>
      <c r="V226" s="417"/>
      <c r="W226" s="415"/>
      <c r="X226" s="416"/>
      <c r="Y226" s="416"/>
      <c r="Z226" s="416"/>
      <c r="AA226" s="417"/>
      <c r="AB226" s="415"/>
      <c r="AC226" s="416"/>
      <c r="AD226" s="416"/>
      <c r="AE226" s="416"/>
      <c r="AF226" s="417"/>
      <c r="AG226" s="415"/>
      <c r="AH226" s="416"/>
      <c r="AI226" s="416"/>
      <c r="AJ226" s="416"/>
      <c r="AK226" s="417"/>
      <c r="AL226" s="415"/>
      <c r="AM226" s="416"/>
      <c r="AN226" s="416"/>
      <c r="AO226" s="416"/>
      <c r="AP226" s="417"/>
      <c r="AQ226" s="415"/>
      <c r="AR226" s="416"/>
      <c r="AS226" s="416"/>
      <c r="AT226" s="416"/>
      <c r="AU226" s="417"/>
      <c r="AV226" s="415"/>
      <c r="AW226" s="416"/>
      <c r="AX226" s="416"/>
      <c r="AY226" s="416"/>
      <c r="AZ226" s="417"/>
      <c r="BA226" s="415"/>
      <c r="BB226" s="416"/>
      <c r="BC226" s="416"/>
      <c r="BD226" s="416"/>
      <c r="BE226" s="417"/>
      <c r="BF226" s="415"/>
      <c r="BG226" s="416"/>
      <c r="BH226" s="416"/>
      <c r="BI226" s="416"/>
      <c r="BJ226" s="417"/>
      <c r="BK226" s="415"/>
      <c r="BL226" s="416"/>
      <c r="BM226" s="416"/>
      <c r="BN226" s="416"/>
      <c r="BO226" s="417"/>
      <c r="BP226" s="415"/>
      <c r="BQ226" s="416"/>
      <c r="BR226" s="416"/>
      <c r="BS226" s="416"/>
      <c r="BT226" s="417"/>
      <c r="BU226" s="415"/>
      <c r="BV226" s="416"/>
      <c r="BW226" s="416"/>
      <c r="BX226" s="416"/>
      <c r="BY226" s="417"/>
      <c r="BZ226" s="415"/>
      <c r="CA226" s="416"/>
      <c r="CB226" s="416"/>
      <c r="CC226" s="416"/>
      <c r="CD226" s="417"/>
      <c r="CE226" s="415"/>
      <c r="CF226" s="416"/>
      <c r="CG226" s="416"/>
      <c r="CH226" s="416"/>
      <c r="CI226" s="417"/>
      <c r="CJ226" s="415"/>
      <c r="CK226" s="416"/>
      <c r="CL226" s="416"/>
      <c r="CM226" s="416"/>
      <c r="CN226" s="417"/>
      <c r="CO226" s="415"/>
      <c r="CP226" s="416"/>
      <c r="CQ226" s="416"/>
      <c r="CR226" s="416"/>
      <c r="CS226" s="417"/>
      <c r="CT226" s="420"/>
      <c r="CU226" s="421"/>
      <c r="CV226" s="421"/>
      <c r="CW226" s="421"/>
      <c r="CX226" s="417"/>
      <c r="CY226" s="420"/>
      <c r="CZ226" s="421"/>
      <c r="DA226" s="421"/>
      <c r="DB226" s="421"/>
      <c r="DC226" s="417"/>
      <c r="DD226" s="420"/>
      <c r="DE226" s="421"/>
      <c r="DF226" s="421"/>
      <c r="DG226" s="421"/>
      <c r="DH226" s="417"/>
      <c r="DI226" s="415">
        <f>DN226/(1+DN227)</f>
      </c>
      <c r="DJ226" s="416">
        <f>DO226/(1+DO227)</f>
      </c>
      <c r="DK226" s="416">
        <f>DP226/(1+DP227)</f>
      </c>
      <c r="DL226" s="421">
        <v>50</v>
      </c>
      <c r="DM226" s="417">
        <f>DL226</f>
      </c>
      <c r="DN226" s="420">
        <v>55</v>
      </c>
      <c r="DO226" s="421">
        <v>60</v>
      </c>
      <c r="DP226" s="421">
        <v>65</v>
      </c>
      <c r="DQ226" s="421">
        <v>82</v>
      </c>
      <c r="DR226" s="417">
        <f>DQ226</f>
      </c>
      <c r="DS226" s="420">
        <v>88</v>
      </c>
      <c r="DT226" s="421">
        <v>94</v>
      </c>
      <c r="DU226" s="421">
        <v>100</v>
      </c>
      <c r="DV226" s="421">
        <v>116</v>
      </c>
      <c r="DW226" s="417">
        <f>DV226</f>
      </c>
      <c r="DX226" s="420">
        <v>120</v>
      </c>
      <c r="DY226" s="421">
        <v>127</v>
      </c>
      <c r="DZ226" s="421">
        <v>134</v>
      </c>
      <c r="EA226" s="421">
        <v>147</v>
      </c>
      <c r="EB226" s="417">
        <f>EA226</f>
      </c>
      <c r="EC226" s="420">
        <v>152</v>
      </c>
      <c r="ED226" s="421">
        <v>163</v>
      </c>
      <c r="EE226" s="421">
        <v>174</v>
      </c>
      <c r="EF226" s="421">
        <v>190</v>
      </c>
      <c r="EG226" s="417">
        <f>EF226</f>
      </c>
      <c r="EH226" s="420">
        <v>196</v>
      </c>
      <c r="EI226" s="421">
        <v>209</v>
      </c>
      <c r="EJ226" s="421">
        <v>218</v>
      </c>
      <c r="EK226" s="421">
        <v>230</v>
      </c>
      <c r="EL226" s="417">
        <f>EK226</f>
      </c>
      <c r="EM226" s="420">
        <v>232</v>
      </c>
      <c r="EN226" s="421">
        <v>241</v>
      </c>
      <c r="EO226" s="421">
        <v>250</v>
      </c>
      <c r="EP226" s="421">
        <v>256</v>
      </c>
      <c r="EQ226" s="417">
        <f>EP226</f>
      </c>
      <c r="ER226" s="420">
        <v>259</v>
      </c>
      <c r="ES226" s="421">
        <v>268</v>
      </c>
      <c r="ET226" s="1351">
        <v>274</v>
      </c>
      <c r="EU226" s="1351">
        <v>281</v>
      </c>
      <c r="EV226" s="417">
        <f>EU226</f>
      </c>
      <c r="EW226" s="442"/>
      <c r="EX226" s="1351"/>
      <c r="EY226" s="1351"/>
      <c r="EZ226" s="1351"/>
      <c r="FA226" s="417"/>
      <c r="FB226" s="415"/>
      <c r="FC226" s="416"/>
      <c r="FD226" s="416"/>
      <c r="FE226" s="416"/>
      <c r="FF226" s="417"/>
      <c r="FG226" s="415"/>
      <c r="FH226" s="416"/>
      <c r="FI226" s="416"/>
      <c r="FJ226" s="416"/>
      <c r="FK226" s="417"/>
      <c r="FL226" s="415"/>
      <c r="FM226" s="416"/>
      <c r="FN226" s="416"/>
      <c r="FO226" s="416"/>
      <c r="FP226" s="417"/>
      <c r="FQ226" s="415"/>
      <c r="FR226" s="416"/>
      <c r="FS226" s="416"/>
      <c r="FT226" s="416"/>
      <c r="FU226" s="417"/>
      <c r="FV226" s="415"/>
      <c r="FW226" s="416"/>
      <c r="FX226" s="416"/>
      <c r="FY226" s="416"/>
      <c r="FZ226" s="417"/>
      <c r="GA226" s="415"/>
      <c r="GB226" s="416"/>
      <c r="GC226" s="416"/>
      <c r="GD226" s="416"/>
      <c r="GE226" s="417"/>
      <c r="GF226" s="415"/>
      <c r="GG226" s="416"/>
      <c r="GH226" s="416"/>
      <c r="GI226" s="416"/>
      <c r="GJ226" s="418"/>
    </row>
    <row r="227" spans="1:192" ht="12.75" hidden="1" customHeight="1" outlineLevel="1">
      <c r="B227" s="736" t="s">
        <v>34</v>
      </c>
      <c r="C227" s="291"/>
      <c r="D227" s="107"/>
      <c r="E227" s="107"/>
      <c r="F227" s="107"/>
      <c r="G227" s="293"/>
      <c r="H227" s="291"/>
      <c r="I227" s="107"/>
      <c r="J227" s="107"/>
      <c r="K227" s="107"/>
      <c r="L227" s="293"/>
      <c r="M227" s="291"/>
      <c r="N227" s="107"/>
      <c r="O227" s="107"/>
      <c r="P227" s="107"/>
      <c r="Q227" s="293"/>
      <c r="R227" s="291"/>
      <c r="S227" s="107"/>
      <c r="T227" s="107"/>
      <c r="U227" s="107"/>
      <c r="V227" s="293"/>
      <c r="W227" s="291"/>
      <c r="X227" s="107"/>
      <c r="Y227" s="107"/>
      <c r="Z227" s="107"/>
      <c r="AA227" s="293"/>
      <c r="AB227" s="291"/>
      <c r="AC227" s="107"/>
      <c r="AD227" s="107"/>
      <c r="AE227" s="107"/>
      <c r="AF227" s="293"/>
      <c r="AG227" s="291"/>
      <c r="AH227" s="107"/>
      <c r="AI227" s="107"/>
      <c r="AJ227" s="107"/>
      <c r="AK227" s="293"/>
      <c r="AL227" s="291"/>
      <c r="AM227" s="107"/>
      <c r="AN227" s="107"/>
      <c r="AO227" s="107"/>
      <c r="AP227" s="293"/>
      <c r="AQ227" s="291"/>
      <c r="AR227" s="107"/>
      <c r="AS227" s="107"/>
      <c r="AT227" s="107"/>
      <c r="AU227" s="293"/>
      <c r="AV227" s="291"/>
      <c r="AW227" s="107"/>
      <c r="AX227" s="107"/>
      <c r="AY227" s="107"/>
      <c r="AZ227" s="293"/>
      <c r="BA227" s="291"/>
      <c r="BB227" s="107"/>
      <c r="BC227" s="107"/>
      <c r="BD227" s="107"/>
      <c r="BE227" s="293"/>
      <c r="BF227" s="291"/>
      <c r="BG227" s="107"/>
      <c r="BH227" s="107"/>
      <c r="BI227" s="107"/>
      <c r="BJ227" s="293"/>
      <c r="BK227" s="291"/>
      <c r="BL227" s="107"/>
      <c r="BM227" s="107"/>
      <c r="BN227" s="107"/>
      <c r="BO227" s="293"/>
      <c r="BP227" s="291"/>
      <c r="BQ227" s="107"/>
      <c r="BR227" s="107"/>
      <c r="BS227" s="107"/>
      <c r="BT227" s="293"/>
      <c r="BU227" s="291"/>
      <c r="BV227" s="107"/>
      <c r="BW227" s="107"/>
      <c r="BX227" s="107"/>
      <c r="BY227" s="293"/>
      <c r="BZ227" s="291"/>
      <c r="CA227" s="107"/>
      <c r="CB227" s="107"/>
      <c r="CC227" s="107"/>
      <c r="CD227" s="293"/>
      <c r="CE227" s="291"/>
      <c r="CF227" s="107"/>
      <c r="CG227" s="107"/>
      <c r="CH227" s="107"/>
      <c r="CI227" s="293"/>
      <c r="CJ227" s="291"/>
      <c r="CK227" s="107"/>
      <c r="CL227" s="107"/>
      <c r="CM227" s="107"/>
      <c r="CN227" s="293"/>
      <c r="CO227" s="291"/>
      <c r="CP227" s="107"/>
      <c r="CQ227" s="107"/>
      <c r="CR227" s="107"/>
      <c r="CS227" s="293"/>
      <c r="CT227" s="412"/>
      <c r="CU227" s="114"/>
      <c r="CV227" s="114"/>
      <c r="CW227" s="114"/>
      <c r="CX227" s="293"/>
      <c r="CY227" s="412"/>
      <c r="CZ227" s="114"/>
      <c r="DA227" s="114"/>
      <c r="DB227" s="114"/>
      <c r="DC227" s="293"/>
      <c r="DD227" s="412"/>
      <c r="DE227" s="114"/>
      <c r="DF227" s="114"/>
      <c r="DG227" s="114"/>
      <c r="DH227" s="293"/>
      <c r="DI227" s="412"/>
      <c r="DJ227" s="114"/>
      <c r="DK227" s="114"/>
      <c r="DL227" s="114"/>
      <c r="DM227" s="293"/>
      <c r="DN227" s="412">
        <v>0.68</v>
      </c>
      <c r="DO227" s="114">
        <v>0.64</v>
      </c>
      <c r="DP227" s="114">
        <v>0.55000000000000004</v>
      </c>
      <c r="DQ227" s="114">
        <v>0.55000000000000004</v>
      </c>
      <c r="DR227" s="293">
        <f>DR226/DM226-1</f>
      </c>
      <c r="DS227" s="412">
        <v>0.59</v>
      </c>
      <c r="DT227" s="114">
        <v>0.56999999999999995</v>
      </c>
      <c r="DU227" s="114">
        <v>0.53</v>
      </c>
      <c r="DV227" s="114">
        <v>0.41</v>
      </c>
      <c r="DW227" s="293">
        <f>DW226/DR226-1</f>
      </c>
      <c r="DX227" s="412">
        <v>0.36</v>
      </c>
      <c r="DY227" s="114">
        <v>0.35</v>
      </c>
      <c r="DZ227" s="114">
        <v>0.34</v>
      </c>
      <c r="EA227" s="114">
        <v>0.26</v>
      </c>
      <c r="EB227" s="293">
        <f>EB226/DW226-1</f>
      </c>
      <c r="EC227" s="412">
        <v>0.27</v>
      </c>
      <c r="ED227" s="114">
        <v>0.28999999999999998</v>
      </c>
      <c r="EE227" s="114">
        <v>0.3</v>
      </c>
      <c r="EF227" s="114">
        <v>0.28999999999999998</v>
      </c>
      <c r="EG227" s="293">
        <f>EG226/EB226-1</f>
      </c>
      <c r="EH227" s="412">
        <v>0.3</v>
      </c>
      <c r="EI227" s="114">
        <v>0.28000000000000003</v>
      </c>
      <c r="EJ227" s="114">
        <v>0.25</v>
      </c>
      <c r="EK227" s="114">
        <v>0.21</v>
      </c>
      <c r="EL227" s="293">
        <f>EL226/EG226-1</f>
      </c>
      <c r="EM227" s="412">
        <v>0.18</v>
      </c>
      <c r="EN227" s="114">
        <v>0.16</v>
      </c>
      <c r="EO227" s="114">
        <v>0.15</v>
      </c>
      <c r="EP227" s="114">
        <f>EP226/EK226-1</f>
      </c>
      <c r="EQ227" s="293">
        <f>EQ226/EL226-1</f>
      </c>
      <c r="ER227" s="412">
        <v>0.11</v>
      </c>
      <c r="ES227" s="114">
        <v>0.11</v>
      </c>
      <c r="ET227" s="439">
        <v>0.1</v>
      </c>
      <c r="EU227" s="439">
        <v>0.1</v>
      </c>
      <c r="EV227" s="293">
        <f>EV226/EQ226-1</f>
      </c>
      <c r="EW227" s="441"/>
      <c r="EX227" s="439"/>
      <c r="EY227" s="439"/>
      <c r="EZ227" s="439"/>
      <c r="FA227" s="293"/>
      <c r="FB227" s="291"/>
      <c r="FC227" s="107"/>
      <c r="FD227" s="107"/>
      <c r="FE227" s="107"/>
      <c r="FF227" s="293"/>
      <c r="FG227" s="291"/>
      <c r="FH227" s="107"/>
      <c r="FI227" s="107"/>
      <c r="FJ227" s="107"/>
      <c r="FK227" s="293"/>
      <c r="FL227" s="291"/>
      <c r="FM227" s="107"/>
      <c r="FN227" s="107"/>
      <c r="FO227" s="107"/>
      <c r="FP227" s="293"/>
      <c r="FQ227" s="291"/>
      <c r="FR227" s="107"/>
      <c r="FS227" s="107"/>
      <c r="FT227" s="107"/>
      <c r="FU227" s="293"/>
      <c r="FV227" s="291"/>
      <c r="FW227" s="107"/>
      <c r="FX227" s="107"/>
      <c r="FY227" s="107"/>
      <c r="FZ227" s="293"/>
      <c r="GA227" s="291"/>
      <c r="GB227" s="107"/>
      <c r="GC227" s="107"/>
      <c r="GD227" s="107"/>
      <c r="GE227" s="293"/>
      <c r="GF227" s="291"/>
      <c r="GG227" s="107"/>
      <c r="GH227" s="107"/>
      <c r="GI227" s="107"/>
      <c r="GJ227" s="382"/>
    </row>
    <row r="228" spans="1:192" ht="12.75" hidden="1" customHeight="1" outlineLevel="1">
      <c r="B228" s="736" t="s">
        <v>36</v>
      </c>
      <c r="C228" s="291"/>
      <c r="D228" s="107"/>
      <c r="E228" s="107"/>
      <c r="F228" s="107"/>
      <c r="G228" s="293"/>
      <c r="H228" s="291"/>
      <c r="I228" s="107"/>
      <c r="J228" s="107"/>
      <c r="K228" s="107"/>
      <c r="L228" s="293"/>
      <c r="M228" s="291"/>
      <c r="N228" s="107"/>
      <c r="O228" s="107"/>
      <c r="P228" s="107"/>
      <c r="Q228" s="293"/>
      <c r="R228" s="291"/>
      <c r="S228" s="107"/>
      <c r="T228" s="107"/>
      <c r="U228" s="107"/>
      <c r="V228" s="293"/>
      <c r="W228" s="291"/>
      <c r="X228" s="107"/>
      <c r="Y228" s="107"/>
      <c r="Z228" s="107"/>
      <c r="AA228" s="293"/>
      <c r="AB228" s="291"/>
      <c r="AC228" s="107"/>
      <c r="AD228" s="107"/>
      <c r="AE228" s="107"/>
      <c r="AF228" s="293"/>
      <c r="AG228" s="291"/>
      <c r="AH228" s="107"/>
      <c r="AI228" s="107"/>
      <c r="AJ228" s="107"/>
      <c r="AK228" s="293"/>
      <c r="AL228" s="291"/>
      <c r="AM228" s="107"/>
      <c r="AN228" s="107"/>
      <c r="AO228" s="107"/>
      <c r="AP228" s="293"/>
      <c r="AQ228" s="291"/>
      <c r="AR228" s="107"/>
      <c r="AS228" s="107"/>
      <c r="AT228" s="107"/>
      <c r="AU228" s="293"/>
      <c r="AV228" s="291"/>
      <c r="AW228" s="107"/>
      <c r="AX228" s="107"/>
      <c r="AY228" s="107"/>
      <c r="AZ228" s="293"/>
      <c r="BA228" s="291"/>
      <c r="BB228" s="107"/>
      <c r="BC228" s="107"/>
      <c r="BD228" s="107"/>
      <c r="BE228" s="293"/>
      <c r="BF228" s="291"/>
      <c r="BG228" s="107"/>
      <c r="BH228" s="107"/>
      <c r="BI228" s="107"/>
      <c r="BJ228" s="293"/>
      <c r="BK228" s="291"/>
      <c r="BL228" s="107"/>
      <c r="BM228" s="107"/>
      <c r="BN228" s="107"/>
      <c r="BO228" s="293"/>
      <c r="BP228" s="291"/>
      <c r="BQ228" s="107"/>
      <c r="BR228" s="107"/>
      <c r="BS228" s="107"/>
      <c r="BT228" s="293"/>
      <c r="BU228" s="291"/>
      <c r="BV228" s="107"/>
      <c r="BW228" s="107"/>
      <c r="BX228" s="107"/>
      <c r="BY228" s="293"/>
      <c r="BZ228" s="291"/>
      <c r="CA228" s="107"/>
      <c r="CB228" s="107"/>
      <c r="CC228" s="107"/>
      <c r="CD228" s="293"/>
      <c r="CE228" s="291"/>
      <c r="CF228" s="107"/>
      <c r="CG228" s="107"/>
      <c r="CH228" s="107"/>
      <c r="CI228" s="293"/>
      <c r="CJ228" s="291"/>
      <c r="CK228" s="107"/>
      <c r="CL228" s="107"/>
      <c r="CM228" s="107"/>
      <c r="CN228" s="293"/>
      <c r="CO228" s="291"/>
      <c r="CP228" s="107"/>
      <c r="CQ228" s="107"/>
      <c r="CR228" s="107"/>
      <c r="CS228" s="293"/>
      <c r="CT228" s="291"/>
      <c r="CU228" s="107"/>
      <c r="CV228" s="107"/>
      <c r="CW228" s="107"/>
      <c r="CX228" s="293"/>
      <c r="CY228" s="291"/>
      <c r="CZ228" s="107"/>
      <c r="DA228" s="107"/>
      <c r="DB228" s="107"/>
      <c r="DC228" s="293"/>
      <c r="DD228" s="291"/>
      <c r="DE228" s="107"/>
      <c r="DF228" s="107"/>
      <c r="DG228" s="107"/>
      <c r="DH228" s="293"/>
      <c r="DI228" s="291"/>
      <c r="DJ228" s="107">
        <f>DJ226/DI226-1</f>
      </c>
      <c r="DK228" s="107">
        <f>DK226/DJ226-1</f>
      </c>
      <c r="DL228" s="107">
        <f>DL226/DK226-1</f>
      </c>
      <c r="DM228" s="293"/>
      <c r="DN228" s="291">
        <f>DN226/DL226-1</f>
      </c>
      <c r="DO228" s="107">
        <f>DO226/DN226-1</f>
      </c>
      <c r="DP228" s="107">
        <f>DP226/DO226-1</f>
      </c>
      <c r="DQ228" s="107">
        <f>DQ226/DP226-1</f>
      </c>
      <c r="DR228" s="293"/>
      <c r="DS228" s="291">
        <f>DS226/DQ226-1</f>
      </c>
      <c r="DT228" s="107">
        <f>DT226/DS226-1</f>
      </c>
      <c r="DU228" s="107">
        <f>DU226/DT226-1</f>
      </c>
      <c r="DV228" s="107">
        <f>DV226/DU226-1</f>
      </c>
      <c r="DW228" s="293"/>
      <c r="DX228" s="291">
        <f>DX226/DV226-1</f>
      </c>
      <c r="DY228" s="107">
        <f>DY226/DX226-1</f>
      </c>
      <c r="DZ228" s="107">
        <f>DZ226/DY226-1</f>
      </c>
      <c r="EA228" s="107">
        <f>EA226/DZ226-1</f>
      </c>
      <c r="EB228" s="293"/>
      <c r="EC228" s="291">
        <f>EC226/EA226-1</f>
      </c>
      <c r="ED228" s="107">
        <f>ED226/EC226-1</f>
      </c>
      <c r="EE228" s="107">
        <f>EE226/ED226-1</f>
      </c>
      <c r="EF228" s="107">
        <f>EF226/EE226-1</f>
      </c>
      <c r="EG228" s="293"/>
      <c r="EH228" s="291">
        <f>EH226/EF226-1</f>
      </c>
      <c r="EI228" s="107">
        <f>EI226/EH226-1</f>
      </c>
      <c r="EJ228" s="107">
        <f>EJ226/EI226-1</f>
      </c>
      <c r="EK228" s="107">
        <f>EK226/EJ226-1</f>
      </c>
      <c r="EL228" s="293"/>
      <c r="EM228" s="291">
        <f>EM226/EK226-1</f>
      </c>
      <c r="EN228" s="107">
        <f>EN226/EM226-1</f>
      </c>
      <c r="EO228" s="107">
        <f>EO226/EN226-1</f>
      </c>
      <c r="EP228" s="107">
        <f>EP226/EO226-1</f>
      </c>
      <c r="EQ228" s="293"/>
      <c r="ER228" s="291">
        <f>ER226/EP226-1</f>
      </c>
      <c r="ES228" s="107">
        <f>ES226/ER226-1</f>
      </c>
      <c r="ET228" s="107">
        <f>ET226/ES226-1</f>
      </c>
      <c r="EU228" s="107">
        <f>EU226/ET226-1</f>
      </c>
      <c r="EV228" s="293"/>
      <c r="EW228" s="349"/>
      <c r="EX228" s="468"/>
      <c r="EY228" s="468"/>
      <c r="EZ228" s="439"/>
      <c r="FA228" s="293"/>
      <c r="FB228" s="291"/>
      <c r="FC228" s="107"/>
      <c r="FD228" s="107"/>
      <c r="FE228" s="107"/>
      <c r="FF228" s="293"/>
      <c r="FG228" s="291"/>
      <c r="FH228" s="107"/>
      <c r="FI228" s="107"/>
      <c r="FJ228" s="107"/>
      <c r="FK228" s="293"/>
      <c r="FL228" s="291"/>
      <c r="FM228" s="107"/>
      <c r="FN228" s="107"/>
      <c r="FO228" s="107"/>
      <c r="FP228" s="293"/>
      <c r="FQ228" s="291"/>
      <c r="FR228" s="107"/>
      <c r="FS228" s="107"/>
      <c r="FT228" s="107"/>
      <c r="FU228" s="293"/>
      <c r="FV228" s="291"/>
      <c r="FW228" s="107"/>
      <c r="FX228" s="107"/>
      <c r="FY228" s="107"/>
      <c r="FZ228" s="293"/>
      <c r="GA228" s="291"/>
      <c r="GB228" s="107"/>
      <c r="GC228" s="107"/>
      <c r="GD228" s="107"/>
      <c r="GE228" s="293"/>
      <c r="GF228" s="291"/>
      <c r="GG228" s="107"/>
      <c r="GH228" s="107"/>
      <c r="GI228" s="107"/>
      <c r="GJ228" s="382"/>
    </row>
    <row r="229" spans="1:192" s="461" customFormat="1" ht="12.75" hidden="1" customHeight="1" outlineLevel="1">
      <c r="A229" s="370"/>
      <c r="B229" s="736" t="s">
        <v>246</v>
      </c>
      <c r="C229" s="447"/>
      <c r="D229" s="458"/>
      <c r="E229" s="458"/>
      <c r="F229" s="458"/>
      <c r="G229" s="459"/>
      <c r="H229" s="447"/>
      <c r="I229" s="458"/>
      <c r="J229" s="458"/>
      <c r="K229" s="458"/>
      <c r="L229" s="459"/>
      <c r="M229" s="447"/>
      <c r="N229" s="458"/>
      <c r="O229" s="458"/>
      <c r="P229" s="458"/>
      <c r="Q229" s="459"/>
      <c r="R229" s="447"/>
      <c r="S229" s="458"/>
      <c r="T229" s="458"/>
      <c r="U229" s="458"/>
      <c r="V229" s="459"/>
      <c r="W229" s="447"/>
      <c r="X229" s="458"/>
      <c r="Y229" s="458"/>
      <c r="Z229" s="458"/>
      <c r="AA229" s="459"/>
      <c r="AB229" s="447"/>
      <c r="AC229" s="458"/>
      <c r="AD229" s="458"/>
      <c r="AE229" s="458"/>
      <c r="AF229" s="459"/>
      <c r="AG229" s="447"/>
      <c r="AH229" s="458"/>
      <c r="AI229" s="458"/>
      <c r="AJ229" s="458"/>
      <c r="AK229" s="459"/>
      <c r="AL229" s="447"/>
      <c r="AM229" s="458"/>
      <c r="AN229" s="458"/>
      <c r="AO229" s="458"/>
      <c r="AP229" s="459"/>
      <c r="AQ229" s="447"/>
      <c r="AR229" s="458"/>
      <c r="AS229" s="458"/>
      <c r="AT229" s="458"/>
      <c r="AU229" s="459"/>
      <c r="AV229" s="447"/>
      <c r="AW229" s="458"/>
      <c r="AX229" s="458"/>
      <c r="AY229" s="458"/>
      <c r="AZ229" s="459"/>
      <c r="BA229" s="447"/>
      <c r="BB229" s="458"/>
      <c r="BC229" s="458"/>
      <c r="BD229" s="458"/>
      <c r="BE229" s="459"/>
      <c r="BF229" s="447"/>
      <c r="BG229" s="458"/>
      <c r="BH229" s="458"/>
      <c r="BI229" s="458"/>
      <c r="BJ229" s="459"/>
      <c r="BK229" s="447"/>
      <c r="BL229" s="458"/>
      <c r="BM229" s="458"/>
      <c r="BN229" s="458"/>
      <c r="BO229" s="459"/>
      <c r="BP229" s="447"/>
      <c r="BQ229" s="458"/>
      <c r="BR229" s="458"/>
      <c r="BS229" s="458"/>
      <c r="BT229" s="459"/>
      <c r="BU229" s="447"/>
      <c r="BV229" s="458"/>
      <c r="BW229" s="458"/>
      <c r="BX229" s="458"/>
      <c r="BY229" s="459"/>
      <c r="BZ229" s="447"/>
      <c r="CA229" s="458"/>
      <c r="CB229" s="458"/>
      <c r="CC229" s="458"/>
      <c r="CD229" s="459"/>
      <c r="CE229" s="447"/>
      <c r="CF229" s="458"/>
      <c r="CG229" s="458"/>
      <c r="CH229" s="458"/>
      <c r="CI229" s="459"/>
      <c r="CJ229" s="447"/>
      <c r="CK229" s="458"/>
      <c r="CL229" s="458"/>
      <c r="CM229" s="458"/>
      <c r="CN229" s="459"/>
      <c r="CO229" s="447"/>
      <c r="CP229" s="458"/>
      <c r="CQ229" s="458"/>
      <c r="CR229" s="458"/>
      <c r="CS229" s="459"/>
      <c r="CT229" s="447"/>
      <c r="CU229" s="458"/>
      <c r="CV229" s="458"/>
      <c r="CW229" s="458"/>
      <c r="CX229" s="459"/>
      <c r="CY229" s="447"/>
      <c r="CZ229" s="458"/>
      <c r="DA229" s="458"/>
      <c r="DB229" s="458"/>
      <c r="DC229" s="459"/>
      <c r="DD229" s="447"/>
      <c r="DE229" s="458"/>
      <c r="DF229" s="458"/>
      <c r="DG229" s="458"/>
      <c r="DH229" s="459"/>
      <c r="DI229" s="447"/>
      <c r="DJ229" s="447"/>
      <c r="DK229" s="447"/>
      <c r="DL229" s="447"/>
      <c r="DM229" s="459"/>
      <c r="DN229" s="447">
        <f t="shared" ref="DN229:EV229" si="246">DN226-DI226</f>
      </c>
      <c r="DO229" s="447">
        <f t="shared" si="246"/>
      </c>
      <c r="DP229" s="447">
        <f t="shared" si="246"/>
      </c>
      <c r="DQ229" s="447">
        <f t="shared" si="246"/>
      </c>
      <c r="DR229" s="459">
        <f t="shared" si="246"/>
      </c>
      <c r="DS229" s="447">
        <f t="shared" si="246"/>
      </c>
      <c r="DT229" s="447">
        <f t="shared" si="246"/>
      </c>
      <c r="DU229" s="447">
        <f t="shared" si="246"/>
      </c>
      <c r="DV229" s="447">
        <f t="shared" si="246"/>
      </c>
      <c r="DW229" s="459">
        <f t="shared" si="246"/>
      </c>
      <c r="DX229" s="447">
        <f t="shared" si="246"/>
      </c>
      <c r="DY229" s="447">
        <f t="shared" si="246"/>
      </c>
      <c r="DZ229" s="447">
        <f t="shared" si="246"/>
      </c>
      <c r="EA229" s="447">
        <f t="shared" si="246"/>
      </c>
      <c r="EB229" s="459">
        <f t="shared" si="246"/>
      </c>
      <c r="EC229" s="447">
        <f t="shared" si="246"/>
      </c>
      <c r="ED229" s="447">
        <f t="shared" si="246"/>
      </c>
      <c r="EE229" s="447">
        <f t="shared" si="246"/>
      </c>
      <c r="EF229" s="447">
        <f t="shared" si="246"/>
      </c>
      <c r="EG229" s="459">
        <f t="shared" si="246"/>
      </c>
      <c r="EH229" s="447">
        <f t="shared" si="246"/>
      </c>
      <c r="EI229" s="447">
        <f t="shared" si="246"/>
      </c>
      <c r="EJ229" s="447">
        <f t="shared" si="246"/>
      </c>
      <c r="EK229" s="447">
        <f t="shared" si="246"/>
      </c>
      <c r="EL229" s="459">
        <f t="shared" si="246"/>
      </c>
      <c r="EM229" s="447">
        <f t="shared" si="246"/>
      </c>
      <c r="EN229" s="447">
        <f t="shared" si="246"/>
      </c>
      <c r="EO229" s="447">
        <f t="shared" si="246"/>
      </c>
      <c r="EP229" s="447">
        <f t="shared" si="246"/>
      </c>
      <c r="EQ229" s="459">
        <f t="shared" si="246"/>
      </c>
      <c r="ER229" s="447">
        <f t="shared" si="246"/>
      </c>
      <c r="ES229" s="447">
        <f t="shared" si="246"/>
      </c>
      <c r="ET229" s="447">
        <f t="shared" si="246"/>
      </c>
      <c r="EU229" s="447">
        <f t="shared" si="246"/>
      </c>
      <c r="EV229" s="459">
        <f t="shared" si="246"/>
      </c>
      <c r="EW229" s="511"/>
      <c r="EX229" s="679"/>
      <c r="EY229" s="679"/>
      <c r="EZ229" s="815"/>
      <c r="FA229" s="459"/>
      <c r="FB229" s="447"/>
      <c r="FC229" s="458"/>
      <c r="FD229" s="458"/>
      <c r="FE229" s="458"/>
      <c r="FF229" s="459"/>
      <c r="FG229" s="447"/>
      <c r="FH229" s="458"/>
      <c r="FI229" s="458"/>
      <c r="FJ229" s="458"/>
      <c r="FK229" s="459"/>
      <c r="FL229" s="447"/>
      <c r="FM229" s="458"/>
      <c r="FN229" s="458"/>
      <c r="FO229" s="458"/>
      <c r="FP229" s="459"/>
      <c r="FQ229" s="447"/>
      <c r="FR229" s="458"/>
      <c r="FS229" s="458"/>
      <c r="FT229" s="458"/>
      <c r="FU229" s="459"/>
      <c r="FV229" s="447"/>
      <c r="FW229" s="458"/>
      <c r="FX229" s="458"/>
      <c r="FY229" s="458"/>
      <c r="FZ229" s="459"/>
      <c r="GA229" s="447"/>
      <c r="GB229" s="458"/>
      <c r="GC229" s="458"/>
      <c r="GD229" s="458"/>
      <c r="GE229" s="459"/>
      <c r="GF229" s="447"/>
      <c r="GG229" s="458"/>
      <c r="GH229" s="458"/>
      <c r="GI229" s="458"/>
      <c r="GJ229" s="460"/>
    </row>
    <row r="230" spans="1:192" s="461" customFormat="1" ht="12.75" hidden="1" customHeight="1" outlineLevel="1">
      <c r="A230" s="370"/>
      <c r="B230" s="736" t="s">
        <v>245</v>
      </c>
      <c r="C230" s="447"/>
      <c r="D230" s="458"/>
      <c r="E230" s="458"/>
      <c r="F230" s="458"/>
      <c r="G230" s="459"/>
      <c r="H230" s="447"/>
      <c r="I230" s="458"/>
      <c r="J230" s="458"/>
      <c r="K230" s="458"/>
      <c r="L230" s="459"/>
      <c r="M230" s="447"/>
      <c r="N230" s="458"/>
      <c r="O230" s="458"/>
      <c r="P230" s="458"/>
      <c r="Q230" s="459"/>
      <c r="R230" s="447"/>
      <c r="S230" s="458"/>
      <c r="T230" s="458"/>
      <c r="U230" s="458"/>
      <c r="V230" s="459"/>
      <c r="W230" s="447"/>
      <c r="X230" s="458"/>
      <c r="Y230" s="458"/>
      <c r="Z230" s="458"/>
      <c r="AA230" s="459"/>
      <c r="AB230" s="447"/>
      <c r="AC230" s="458"/>
      <c r="AD230" s="458"/>
      <c r="AE230" s="458"/>
      <c r="AF230" s="459"/>
      <c r="AG230" s="447"/>
      <c r="AH230" s="458"/>
      <c r="AI230" s="458"/>
      <c r="AJ230" s="458"/>
      <c r="AK230" s="459"/>
      <c r="AL230" s="447"/>
      <c r="AM230" s="458"/>
      <c r="AN230" s="458"/>
      <c r="AO230" s="458"/>
      <c r="AP230" s="459"/>
      <c r="AQ230" s="447"/>
      <c r="AR230" s="458"/>
      <c r="AS230" s="458"/>
      <c r="AT230" s="458"/>
      <c r="AU230" s="459"/>
      <c r="AV230" s="447"/>
      <c r="AW230" s="458"/>
      <c r="AX230" s="458"/>
      <c r="AY230" s="458"/>
      <c r="AZ230" s="459"/>
      <c r="BA230" s="447"/>
      <c r="BB230" s="458"/>
      <c r="BC230" s="458"/>
      <c r="BD230" s="458"/>
      <c r="BE230" s="459"/>
      <c r="BF230" s="447"/>
      <c r="BG230" s="458"/>
      <c r="BH230" s="458"/>
      <c r="BI230" s="458"/>
      <c r="BJ230" s="459"/>
      <c r="BK230" s="447"/>
      <c r="BL230" s="458"/>
      <c r="BM230" s="458"/>
      <c r="BN230" s="458"/>
      <c r="BO230" s="459"/>
      <c r="BP230" s="447"/>
      <c r="BQ230" s="458"/>
      <c r="BR230" s="458"/>
      <c r="BS230" s="458"/>
      <c r="BT230" s="459"/>
      <c r="BU230" s="447"/>
      <c r="BV230" s="458"/>
      <c r="BW230" s="458"/>
      <c r="BX230" s="458"/>
      <c r="BY230" s="459"/>
      <c r="BZ230" s="447"/>
      <c r="CA230" s="458"/>
      <c r="CB230" s="458"/>
      <c r="CC230" s="458"/>
      <c r="CD230" s="459"/>
      <c r="CE230" s="447"/>
      <c r="CF230" s="458"/>
      <c r="CG230" s="458"/>
      <c r="CH230" s="458"/>
      <c r="CI230" s="459"/>
      <c r="CJ230" s="447"/>
      <c r="CK230" s="458"/>
      <c r="CL230" s="458"/>
      <c r="CM230" s="458"/>
      <c r="CN230" s="459"/>
      <c r="CO230" s="447"/>
      <c r="CP230" s="458"/>
      <c r="CQ230" s="458"/>
      <c r="CR230" s="458"/>
      <c r="CS230" s="459"/>
      <c r="CT230" s="447"/>
      <c r="CU230" s="458"/>
      <c r="CV230" s="458"/>
      <c r="CW230" s="458"/>
      <c r="CX230" s="459"/>
      <c r="CY230" s="447"/>
      <c r="CZ230" s="458"/>
      <c r="DA230" s="458"/>
      <c r="DB230" s="458"/>
      <c r="DC230" s="459"/>
      <c r="DD230" s="447"/>
      <c r="DE230" s="458"/>
      <c r="DF230" s="458"/>
      <c r="DG230" s="458"/>
      <c r="DH230" s="459"/>
      <c r="DI230" s="447"/>
      <c r="DJ230" s="447">
        <f>DJ226-DI226</f>
      </c>
      <c r="DK230" s="447">
        <f>DK226-DJ226</f>
      </c>
      <c r="DL230" s="447">
        <f>DL226-DK226</f>
      </c>
      <c r="DM230" s="459">
        <f>DM226-DH226</f>
      </c>
      <c r="DN230" s="447">
        <f>DN226-DL226</f>
      </c>
      <c r="DO230" s="447">
        <f>DO226-DN226</f>
      </c>
      <c r="DP230" s="447">
        <f>DP226-DO226</f>
      </c>
      <c r="DQ230" s="447">
        <f>DQ226-DP226</f>
      </c>
      <c r="DR230" s="459">
        <f>DR226-DM226</f>
      </c>
      <c r="DS230" s="447">
        <f>DS226-DQ226</f>
      </c>
      <c r="DT230" s="447">
        <f>DT226-DS226</f>
      </c>
      <c r="DU230" s="447">
        <f>DU226-DT226</f>
      </c>
      <c r="DV230" s="447">
        <f>DV226-DU226</f>
      </c>
      <c r="DW230" s="459">
        <f>DW226-DR226</f>
      </c>
      <c r="DX230" s="447">
        <f>DX226-DV226</f>
      </c>
      <c r="DY230" s="447">
        <f>DY226-DX226</f>
      </c>
      <c r="DZ230" s="447">
        <f>DZ226-DY226</f>
      </c>
      <c r="EA230" s="447">
        <f>EA226-DZ226</f>
      </c>
      <c r="EB230" s="459">
        <f>EB226-DW226</f>
      </c>
      <c r="EC230" s="447">
        <f>EC226-EA226</f>
      </c>
      <c r="ED230" s="447">
        <f>ED226-EC226</f>
      </c>
      <c r="EE230" s="447">
        <f>EE226-ED226</f>
      </c>
      <c r="EF230" s="447">
        <f>EF226-EE226</f>
      </c>
      <c r="EG230" s="459">
        <f>EG226-EB226</f>
      </c>
      <c r="EH230" s="447">
        <f>EH226-EF226</f>
      </c>
      <c r="EI230" s="447">
        <f>EI226-EH226</f>
      </c>
      <c r="EJ230" s="447">
        <f>EJ226-EI226</f>
      </c>
      <c r="EK230" s="447">
        <f>EK226-EJ226</f>
      </c>
      <c r="EL230" s="459">
        <f>EL226-EG226</f>
      </c>
      <c r="EM230" s="447">
        <f>EM226-EK226</f>
      </c>
      <c r="EN230" s="447">
        <f>EN226-EM226</f>
      </c>
      <c r="EO230" s="447">
        <f>EO226-EN226</f>
      </c>
      <c r="EP230" s="447">
        <f>EP226-EO226</f>
      </c>
      <c r="EQ230" s="459">
        <f>EQ226-EL226</f>
      </c>
      <c r="ER230" s="447">
        <f>ER226-EP226</f>
      </c>
      <c r="ES230" s="447">
        <f>ES226-ER226</f>
      </c>
      <c r="ET230" s="447">
        <f>ET226-ES226</f>
      </c>
      <c r="EU230" s="447">
        <f>EU226-ET226</f>
      </c>
      <c r="EV230" s="459">
        <f>EV226-EQ226</f>
      </c>
      <c r="EW230" s="511"/>
      <c r="EX230" s="679"/>
      <c r="EY230" s="679"/>
      <c r="EZ230" s="815"/>
      <c r="FA230" s="459"/>
      <c r="FB230" s="447"/>
      <c r="FC230" s="458"/>
      <c r="FD230" s="458"/>
      <c r="FE230" s="458"/>
      <c r="FF230" s="459"/>
      <c r="FG230" s="447"/>
      <c r="FH230" s="458"/>
      <c r="FI230" s="458"/>
      <c r="FJ230" s="458"/>
      <c r="FK230" s="459"/>
      <c r="FL230" s="447"/>
      <c r="FM230" s="458"/>
      <c r="FN230" s="458"/>
      <c r="FO230" s="458"/>
      <c r="FP230" s="459"/>
      <c r="FQ230" s="447"/>
      <c r="FR230" s="458"/>
      <c r="FS230" s="458"/>
      <c r="FT230" s="458"/>
      <c r="FU230" s="459"/>
      <c r="FV230" s="447"/>
      <c r="FW230" s="458"/>
      <c r="FX230" s="458"/>
      <c r="FY230" s="458"/>
      <c r="FZ230" s="459"/>
      <c r="GA230" s="447"/>
      <c r="GB230" s="458"/>
      <c r="GC230" s="458"/>
      <c r="GD230" s="458"/>
      <c r="GE230" s="459"/>
      <c r="GF230" s="447"/>
      <c r="GG230" s="458"/>
      <c r="GH230" s="458"/>
      <c r="GI230" s="458"/>
      <c r="GJ230" s="460"/>
    </row>
    <row r="231" spans="1:192" s="461" customFormat="1" ht="12.75" customHeight="1" collapsed="1">
      <c r="A231" s="370"/>
      <c r="B231" s="735"/>
      <c r="C231" s="447"/>
      <c r="D231" s="458"/>
      <c r="E231" s="458"/>
      <c r="F231" s="458"/>
      <c r="G231" s="459"/>
      <c r="H231" s="447"/>
      <c r="I231" s="458"/>
      <c r="J231" s="458"/>
      <c r="K231" s="458"/>
      <c r="L231" s="459"/>
      <c r="M231" s="447"/>
      <c r="N231" s="458"/>
      <c r="O231" s="458"/>
      <c r="P231" s="458"/>
      <c r="Q231" s="459"/>
      <c r="R231" s="447"/>
      <c r="S231" s="458"/>
      <c r="T231" s="458"/>
      <c r="U231" s="458"/>
      <c r="V231" s="459"/>
      <c r="W231" s="447"/>
      <c r="X231" s="458"/>
      <c r="Y231" s="458"/>
      <c r="Z231" s="458"/>
      <c r="AA231" s="459"/>
      <c r="AB231" s="447"/>
      <c r="AC231" s="458"/>
      <c r="AD231" s="458"/>
      <c r="AE231" s="458"/>
      <c r="AF231" s="459"/>
      <c r="AG231" s="447"/>
      <c r="AH231" s="458"/>
      <c r="AI231" s="458"/>
      <c r="AJ231" s="458"/>
      <c r="AK231" s="459"/>
      <c r="AL231" s="447"/>
      <c r="AM231" s="458"/>
      <c r="AN231" s="458"/>
      <c r="AO231" s="458"/>
      <c r="AP231" s="459"/>
      <c r="AQ231" s="447"/>
      <c r="AR231" s="458"/>
      <c r="AS231" s="458"/>
      <c r="AT231" s="458"/>
      <c r="AU231" s="459"/>
      <c r="AV231" s="447"/>
      <c r="AW231" s="458"/>
      <c r="AX231" s="458"/>
      <c r="AY231" s="458"/>
      <c r="AZ231" s="459"/>
      <c r="BA231" s="447"/>
      <c r="BB231" s="458"/>
      <c r="BC231" s="458"/>
      <c r="BD231" s="458"/>
      <c r="BE231" s="459"/>
      <c r="BF231" s="447"/>
      <c r="BG231" s="458"/>
      <c r="BH231" s="458"/>
      <c r="BI231" s="458"/>
      <c r="BJ231" s="459"/>
      <c r="BK231" s="447"/>
      <c r="BL231" s="458"/>
      <c r="BM231" s="458"/>
      <c r="BN231" s="458"/>
      <c r="BO231" s="459"/>
      <c r="BP231" s="447"/>
      <c r="BQ231" s="458"/>
      <c r="BR231" s="458"/>
      <c r="BS231" s="458"/>
      <c r="BT231" s="459"/>
      <c r="BU231" s="447"/>
      <c r="BV231" s="458"/>
      <c r="BW231" s="458"/>
      <c r="BX231" s="458"/>
      <c r="BY231" s="459"/>
      <c r="BZ231" s="447"/>
      <c r="CA231" s="458"/>
      <c r="CB231" s="458"/>
      <c r="CC231" s="458"/>
      <c r="CD231" s="459"/>
      <c r="CE231" s="447"/>
      <c r="CF231" s="458"/>
      <c r="CG231" s="458"/>
      <c r="CH231" s="458"/>
      <c r="CI231" s="459"/>
      <c r="CJ231" s="447"/>
      <c r="CK231" s="458"/>
      <c r="CL231" s="458"/>
      <c r="CM231" s="458"/>
      <c r="CN231" s="459"/>
      <c r="CO231" s="447"/>
      <c r="CP231" s="458"/>
      <c r="CQ231" s="458"/>
      <c r="CR231" s="458"/>
      <c r="CS231" s="459"/>
      <c r="CT231" s="447"/>
      <c r="CU231" s="458"/>
      <c r="CV231" s="458"/>
      <c r="CW231" s="458"/>
      <c r="CX231" s="459"/>
      <c r="CY231" s="447"/>
      <c r="CZ231" s="458"/>
      <c r="DA231" s="458"/>
      <c r="DB231" s="458"/>
      <c r="DC231" s="459"/>
      <c r="DD231" s="447"/>
      <c r="DE231" s="458"/>
      <c r="DF231" s="458"/>
      <c r="DG231" s="458"/>
      <c r="DH231" s="459"/>
      <c r="DI231" s="447"/>
      <c r="DJ231" s="447"/>
      <c r="DK231" s="447"/>
      <c r="DL231" s="447"/>
      <c r="DM231" s="459"/>
      <c r="DN231" s="447"/>
      <c r="DO231" s="447"/>
      <c r="DP231" s="447"/>
      <c r="DQ231" s="447"/>
      <c r="DR231" s="459"/>
      <c r="DS231" s="447"/>
      <c r="DT231" s="447"/>
      <c r="DU231" s="447"/>
      <c r="DV231" s="447"/>
      <c r="DW231" s="459"/>
      <c r="DX231" s="447"/>
      <c r="DY231" s="447"/>
      <c r="DZ231" s="447"/>
      <c r="EA231" s="447"/>
      <c r="EB231" s="459"/>
      <c r="EC231" s="447"/>
      <c r="ED231" s="447"/>
      <c r="EE231" s="447"/>
      <c r="EF231" s="447"/>
      <c r="EG231" s="459"/>
      <c r="EH231" s="447"/>
      <c r="EI231" s="447"/>
      <c r="EJ231" s="447"/>
      <c r="EK231" s="447"/>
      <c r="EL231" s="459"/>
      <c r="EM231" s="447"/>
      <c r="EN231" s="447"/>
      <c r="EO231" s="447"/>
      <c r="EP231" s="447"/>
      <c r="EQ231" s="459"/>
      <c r="ER231" s="447"/>
      <c r="ES231" s="447"/>
      <c r="ET231" s="447"/>
      <c r="EU231" s="447"/>
      <c r="EV231" s="459"/>
      <c r="EW231" s="511"/>
      <c r="EX231" s="679"/>
      <c r="EY231" s="679"/>
      <c r="EZ231" s="815"/>
      <c r="FA231" s="459"/>
      <c r="FB231" s="447"/>
      <c r="FC231" s="458"/>
      <c r="FD231" s="458"/>
      <c r="FE231" s="458"/>
      <c r="FF231" s="459"/>
      <c r="FG231" s="447"/>
      <c r="FH231" s="458"/>
      <c r="FI231" s="458"/>
      <c r="FJ231" s="458"/>
      <c r="FK231" s="459"/>
      <c r="FL231" s="447"/>
      <c r="FM231" s="458"/>
      <c r="FN231" s="458"/>
      <c r="FO231" s="458"/>
      <c r="FP231" s="459"/>
      <c r="FQ231" s="447"/>
      <c r="FR231" s="458"/>
      <c r="FS231" s="458"/>
      <c r="FT231" s="458"/>
      <c r="FU231" s="459"/>
      <c r="FV231" s="447"/>
      <c r="FW231" s="458"/>
      <c r="FX231" s="458"/>
      <c r="FY231" s="458"/>
      <c r="FZ231" s="459"/>
      <c r="GA231" s="447"/>
      <c r="GB231" s="458"/>
      <c r="GC231" s="458"/>
      <c r="GD231" s="458"/>
      <c r="GE231" s="459"/>
      <c r="GF231" s="447"/>
      <c r="GG231" s="458"/>
      <c r="GH231" s="458"/>
      <c r="GI231" s="458"/>
      <c r="GJ231" s="460"/>
    </row>
    <row r="232" spans="1:192" s="461" customFormat="1" ht="12.75" customHeight="1">
      <c r="A232" s="370"/>
      <c r="B232" s="1530" t="s">
        <v>1982</v>
      </c>
      <c r="C232" s="447"/>
      <c r="D232" s="458"/>
      <c r="E232" s="458"/>
      <c r="F232" s="458"/>
      <c r="G232" s="459"/>
      <c r="H232" s="447"/>
      <c r="I232" s="458"/>
      <c r="J232" s="458"/>
      <c r="K232" s="458"/>
      <c r="L232" s="459"/>
      <c r="M232" s="447"/>
      <c r="N232" s="458"/>
      <c r="O232" s="458"/>
      <c r="P232" s="458"/>
      <c r="Q232" s="459"/>
      <c r="R232" s="447"/>
      <c r="S232" s="458"/>
      <c r="T232" s="458"/>
      <c r="U232" s="458"/>
      <c r="V232" s="459"/>
      <c r="W232" s="447"/>
      <c r="X232" s="458"/>
      <c r="Y232" s="458"/>
      <c r="Z232" s="458"/>
      <c r="AA232" s="459"/>
      <c r="AB232" s="447"/>
      <c r="AC232" s="458"/>
      <c r="AD232" s="458"/>
      <c r="AE232" s="458"/>
      <c r="AF232" s="459"/>
      <c r="AG232" s="447"/>
      <c r="AH232" s="458"/>
      <c r="AI232" s="458"/>
      <c r="AJ232" s="458"/>
      <c r="AK232" s="459"/>
      <c r="AL232" s="447"/>
      <c r="AM232" s="458"/>
      <c r="AN232" s="458"/>
      <c r="AO232" s="458"/>
      <c r="AP232" s="459"/>
      <c r="AQ232" s="447"/>
      <c r="AR232" s="458"/>
      <c r="AS232" s="458"/>
      <c r="AT232" s="458"/>
      <c r="AU232" s="459"/>
      <c r="AV232" s="447"/>
      <c r="AW232" s="458"/>
      <c r="AX232" s="458"/>
      <c r="AY232" s="458"/>
      <c r="AZ232" s="459"/>
      <c r="BA232" s="447"/>
      <c r="BB232" s="458"/>
      <c r="BC232" s="458"/>
      <c r="BD232" s="458"/>
      <c r="BE232" s="459"/>
      <c r="BF232" s="447"/>
      <c r="BG232" s="458"/>
      <c r="BH232" s="458"/>
      <c r="BI232" s="458"/>
      <c r="BJ232" s="459"/>
      <c r="BK232" s="447"/>
      <c r="BL232" s="458"/>
      <c r="BM232" s="458"/>
      <c r="BN232" s="458"/>
      <c r="BO232" s="459"/>
      <c r="BP232" s="447"/>
      <c r="BQ232" s="458"/>
      <c r="BR232" s="458"/>
      <c r="BS232" s="458"/>
      <c r="BT232" s="459"/>
      <c r="BU232" s="447"/>
      <c r="BV232" s="458"/>
      <c r="BW232" s="458"/>
      <c r="BX232" s="458"/>
      <c r="BY232" s="459"/>
      <c r="BZ232" s="447"/>
      <c r="CA232" s="458"/>
      <c r="CB232" s="458"/>
      <c r="CC232" s="458"/>
      <c r="CD232" s="459"/>
      <c r="CE232" s="447"/>
      <c r="CF232" s="458"/>
      <c r="CG232" s="458"/>
      <c r="CH232" s="458"/>
      <c r="CI232" s="459"/>
      <c r="CJ232" s="447"/>
      <c r="CK232" s="458"/>
      <c r="CL232" s="458"/>
      <c r="CM232" s="458"/>
      <c r="CN232" s="459"/>
      <c r="CO232" s="447"/>
      <c r="CP232" s="458"/>
      <c r="CQ232" s="458"/>
      <c r="CR232" s="458"/>
      <c r="CS232" s="459"/>
      <c r="CT232" s="447"/>
      <c r="CU232" s="458"/>
      <c r="CV232" s="458"/>
      <c r="CW232" s="458"/>
      <c r="CX232" s="459"/>
      <c r="CY232" s="447"/>
      <c r="CZ232" s="458"/>
      <c r="DA232" s="458"/>
      <c r="DB232" s="458"/>
      <c r="DC232" s="459"/>
      <c r="DD232" s="447"/>
      <c r="DE232" s="458"/>
      <c r="DF232" s="458"/>
      <c r="DG232" s="458"/>
      <c r="DH232" s="459"/>
      <c r="DI232" s="447"/>
      <c r="DJ232" s="447"/>
      <c r="DK232" s="447"/>
      <c r="DL232" s="447"/>
      <c r="DM232" s="459"/>
      <c r="DN232" s="447"/>
      <c r="DO232" s="447"/>
      <c r="DP232" s="447"/>
      <c r="DQ232" s="447"/>
      <c r="DR232" s="459"/>
      <c r="DS232" s="447"/>
      <c r="DT232" s="447"/>
      <c r="DU232" s="447"/>
      <c r="DV232" s="447"/>
      <c r="DW232" s="459"/>
      <c r="DX232" s="447"/>
      <c r="DY232" s="447"/>
      <c r="DZ232" s="447"/>
      <c r="EA232" s="447"/>
      <c r="EB232" s="459"/>
      <c r="EC232" s="447"/>
      <c r="ED232" s="447"/>
      <c r="EE232" s="447"/>
      <c r="EF232" s="447"/>
      <c r="EG232" s="459"/>
      <c r="EH232" s="447"/>
      <c r="EI232" s="447"/>
      <c r="EJ232" s="447"/>
      <c r="EK232" s="447"/>
      <c r="EL232" s="459"/>
      <c r="EM232" s="447"/>
      <c r="EN232" s="447"/>
      <c r="EO232" s="447"/>
      <c r="EP232" s="447"/>
      <c r="EQ232" s="459"/>
      <c r="ER232" s="447"/>
      <c r="ES232" s="447"/>
      <c r="ET232" s="447"/>
      <c r="EU232" s="447"/>
      <c r="EV232" s="459"/>
      <c r="EW232" s="511"/>
      <c r="EX232" s="679"/>
      <c r="EY232" s="679"/>
      <c r="EZ232" s="815"/>
      <c r="FA232" s="459"/>
      <c r="FB232" s="447"/>
      <c r="FC232" s="458"/>
      <c r="FD232" s="458"/>
      <c r="FE232" s="458"/>
      <c r="FF232" s="459"/>
      <c r="FG232" s="447"/>
      <c r="FH232" s="458"/>
      <c r="FI232" s="458"/>
      <c r="FJ232" s="458"/>
      <c r="FK232" s="459"/>
      <c r="FL232" s="447"/>
      <c r="FM232" s="458"/>
      <c r="FN232" s="458"/>
      <c r="FO232" s="458"/>
      <c r="FP232" s="459"/>
      <c r="FQ232" s="447"/>
      <c r="FR232" s="458"/>
      <c r="FS232" s="458"/>
      <c r="FT232" s="458"/>
      <c r="FU232" s="459"/>
      <c r="FV232" s="447"/>
      <c r="FW232" s="458"/>
      <c r="FX232" s="458"/>
      <c r="FY232" s="458"/>
      <c r="FZ232" s="459"/>
      <c r="GA232" s="447"/>
      <c r="GB232" s="458"/>
      <c r="GC232" s="458"/>
      <c r="GD232" s="458"/>
      <c r="GE232" s="459"/>
      <c r="GF232" s="447"/>
      <c r="GG232" s="458"/>
      <c r="GH232" s="458"/>
      <c r="GI232" s="458"/>
      <c r="GJ232" s="460"/>
    </row>
    <row r="233" spans="1:192" s="419" customFormat="1" ht="12.75" hidden="1" customHeight="1" outlineLevel="1">
      <c r="A233" s="798"/>
      <c r="B233" s="745" t="s">
        <v>1952</v>
      </c>
      <c r="C233" s="415"/>
      <c r="D233" s="416"/>
      <c r="E233" s="416"/>
      <c r="F233" s="416"/>
      <c r="G233" s="417"/>
      <c r="H233" s="415"/>
      <c r="I233" s="416"/>
      <c r="J233" s="416"/>
      <c r="K233" s="416"/>
      <c r="L233" s="417"/>
      <c r="M233" s="415"/>
      <c r="N233" s="416"/>
      <c r="O233" s="416"/>
      <c r="P233" s="416"/>
      <c r="Q233" s="417"/>
      <c r="R233" s="415"/>
      <c r="S233" s="416"/>
      <c r="T233" s="416"/>
      <c r="U233" s="416"/>
      <c r="V233" s="417"/>
      <c r="W233" s="415"/>
      <c r="X233" s="416"/>
      <c r="Y233" s="416"/>
      <c r="Z233" s="416"/>
      <c r="AA233" s="417"/>
      <c r="AB233" s="415"/>
      <c r="AC233" s="416"/>
      <c r="AD233" s="416"/>
      <c r="AE233" s="416"/>
      <c r="AF233" s="417"/>
      <c r="AG233" s="415"/>
      <c r="AH233" s="416"/>
      <c r="AI233" s="416"/>
      <c r="AJ233" s="416"/>
      <c r="AK233" s="417"/>
      <c r="AL233" s="415"/>
      <c r="AM233" s="416"/>
      <c r="AN233" s="416"/>
      <c r="AO233" s="416"/>
      <c r="AP233" s="417"/>
      <c r="AQ233" s="415"/>
      <c r="AR233" s="416"/>
      <c r="AS233" s="416"/>
      <c r="AT233" s="416"/>
      <c r="AU233" s="417"/>
      <c r="AV233" s="415"/>
      <c r="AW233" s="416"/>
      <c r="AX233" s="416"/>
      <c r="AY233" s="416"/>
      <c r="AZ233" s="417"/>
      <c r="BA233" s="415"/>
      <c r="BB233" s="416"/>
      <c r="BC233" s="416"/>
      <c r="BD233" s="416"/>
      <c r="BE233" s="417"/>
      <c r="BF233" s="415"/>
      <c r="BG233" s="416"/>
      <c r="BH233" s="416"/>
      <c r="BI233" s="416"/>
      <c r="BJ233" s="417"/>
      <c r="BK233" s="415"/>
      <c r="BL233" s="416"/>
      <c r="BM233" s="416"/>
      <c r="BN233" s="416"/>
      <c r="BO233" s="417"/>
      <c r="BP233" s="415"/>
      <c r="BQ233" s="416"/>
      <c r="BR233" s="416"/>
      <c r="BS233" s="416"/>
      <c r="BT233" s="417"/>
      <c r="BU233" s="415"/>
      <c r="BV233" s="416"/>
      <c r="BW233" s="416"/>
      <c r="BX233" s="416"/>
      <c r="BY233" s="417"/>
      <c r="BZ233" s="415"/>
      <c r="CA233" s="416"/>
      <c r="CB233" s="416"/>
      <c r="CC233" s="416"/>
      <c r="CD233" s="417"/>
      <c r="CE233" s="415"/>
      <c r="CF233" s="416"/>
      <c r="CG233" s="416"/>
      <c r="CH233" s="416"/>
      <c r="CI233" s="417"/>
      <c r="CJ233" s="415"/>
      <c r="CK233" s="416"/>
      <c r="CL233" s="416"/>
      <c r="CM233" s="416"/>
      <c r="CN233" s="417"/>
      <c r="CO233" s="415"/>
      <c r="CP233" s="416"/>
      <c r="CQ233" s="416"/>
      <c r="CR233" s="416"/>
      <c r="CS233" s="417"/>
      <c r="CT233" s="420"/>
      <c r="CU233" s="421"/>
      <c r="CV233" s="421"/>
      <c r="CW233" s="421"/>
      <c r="CX233" s="417"/>
      <c r="CY233" s="420"/>
      <c r="CZ233" s="421"/>
      <c r="DA233" s="421"/>
      <c r="DB233" s="421"/>
      <c r="DC233" s="417"/>
      <c r="DD233" s="420"/>
      <c r="DE233" s="421"/>
      <c r="DF233" s="421"/>
      <c r="DG233" s="421"/>
      <c r="DH233" s="417"/>
      <c r="DI233" s="415"/>
      <c r="DJ233" s="416"/>
      <c r="DK233" s="416"/>
      <c r="DL233" s="421"/>
      <c r="DM233" s="417"/>
      <c r="DN233" s="420"/>
      <c r="DO233" s="421"/>
      <c r="DP233" s="421"/>
      <c r="DQ233" s="421"/>
      <c r="DR233" s="417"/>
      <c r="DS233" s="420"/>
      <c r="DT233" s="421"/>
      <c r="DU233" s="421"/>
      <c r="DV233" s="421"/>
      <c r="DW233" s="417"/>
      <c r="DX233" s="420"/>
      <c r="DY233" s="421"/>
      <c r="DZ233" s="421"/>
      <c r="EA233" s="421"/>
      <c r="EB233" s="417"/>
      <c r="EC233" s="420"/>
      <c r="ED233" s="421"/>
      <c r="EE233" s="421"/>
      <c r="EF233" s="421"/>
      <c r="EG233" s="417"/>
      <c r="EH233" s="420"/>
      <c r="EI233" s="421"/>
      <c r="EJ233" s="421"/>
      <c r="EK233" s="421"/>
      <c r="EL233" s="417"/>
      <c r="EM233" s="420"/>
      <c r="EN233" s="421"/>
      <c r="EO233" s="421"/>
      <c r="EP233" s="421"/>
      <c r="EQ233" s="417"/>
      <c r="ER233" s="420">
        <v>126</v>
      </c>
      <c r="ES233" s="421">
        <v>230</v>
      </c>
      <c r="ET233" s="1351">
        <v>330</v>
      </c>
      <c r="EU233" s="1351">
        <v>480</v>
      </c>
      <c r="EV233" s="417"/>
      <c r="EW233" s="442">
        <v>600</v>
      </c>
      <c r="EX233" s="1351"/>
      <c r="EY233" s="1351"/>
      <c r="EZ233" s="1351"/>
      <c r="FA233" s="417"/>
      <c r="FB233" s="415"/>
      <c r="FC233" s="416"/>
      <c r="FD233" s="416"/>
      <c r="FE233" s="416"/>
      <c r="FF233" s="417"/>
      <c r="FG233" s="415"/>
      <c r="FH233" s="416"/>
      <c r="FI233" s="416"/>
      <c r="FJ233" s="416"/>
      <c r="FK233" s="417"/>
      <c r="FL233" s="415"/>
      <c r="FM233" s="416"/>
      <c r="FN233" s="416"/>
      <c r="FO233" s="416"/>
      <c r="FP233" s="417"/>
      <c r="FQ233" s="415"/>
      <c r="FR233" s="416"/>
      <c r="FS233" s="416"/>
      <c r="FT233" s="416"/>
      <c r="FU233" s="417"/>
      <c r="FV233" s="415"/>
      <c r="FW233" s="416"/>
      <c r="FX233" s="416"/>
      <c r="FY233" s="416"/>
      <c r="FZ233" s="417"/>
      <c r="GA233" s="415"/>
      <c r="GB233" s="416"/>
      <c r="GC233" s="416"/>
      <c r="GD233" s="416"/>
      <c r="GE233" s="417"/>
      <c r="GF233" s="415"/>
      <c r="GG233" s="416"/>
      <c r="GH233" s="416"/>
      <c r="GI233" s="416"/>
      <c r="GJ233" s="418"/>
    </row>
    <row r="234" spans="1:192" ht="12.75" hidden="1" customHeight="1" outlineLevel="1">
      <c r="B234" s="736" t="s">
        <v>34</v>
      </c>
      <c r="C234" s="291"/>
      <c r="D234" s="107"/>
      <c r="E234" s="107"/>
      <c r="F234" s="107"/>
      <c r="G234" s="293"/>
      <c r="H234" s="291"/>
      <c r="I234" s="107"/>
      <c r="J234" s="107"/>
      <c r="K234" s="107"/>
      <c r="L234" s="293"/>
      <c r="M234" s="291"/>
      <c r="N234" s="107"/>
      <c r="O234" s="107"/>
      <c r="P234" s="107"/>
      <c r="Q234" s="293"/>
      <c r="R234" s="291"/>
      <c r="S234" s="107"/>
      <c r="T234" s="107"/>
      <c r="U234" s="107"/>
      <c r="V234" s="293"/>
      <c r="W234" s="291"/>
      <c r="X234" s="107"/>
      <c r="Y234" s="107"/>
      <c r="Z234" s="107"/>
      <c r="AA234" s="293"/>
      <c r="AB234" s="291"/>
      <c r="AC234" s="107"/>
      <c r="AD234" s="107"/>
      <c r="AE234" s="107"/>
      <c r="AF234" s="293"/>
      <c r="AG234" s="291"/>
      <c r="AH234" s="107"/>
      <c r="AI234" s="107"/>
      <c r="AJ234" s="107"/>
      <c r="AK234" s="293"/>
      <c r="AL234" s="291"/>
      <c r="AM234" s="107"/>
      <c r="AN234" s="107"/>
      <c r="AO234" s="107"/>
      <c r="AP234" s="293"/>
      <c r="AQ234" s="291"/>
      <c r="AR234" s="107"/>
      <c r="AS234" s="107"/>
      <c r="AT234" s="107"/>
      <c r="AU234" s="293"/>
      <c r="AV234" s="291"/>
      <c r="AW234" s="107"/>
      <c r="AX234" s="107"/>
      <c r="AY234" s="107"/>
      <c r="AZ234" s="293"/>
      <c r="BA234" s="291"/>
      <c r="BB234" s="107"/>
      <c r="BC234" s="107"/>
      <c r="BD234" s="107"/>
      <c r="BE234" s="293"/>
      <c r="BF234" s="291"/>
      <c r="BG234" s="107"/>
      <c r="BH234" s="107"/>
      <c r="BI234" s="107"/>
      <c r="BJ234" s="293"/>
      <c r="BK234" s="291"/>
      <c r="BL234" s="107"/>
      <c r="BM234" s="107"/>
      <c r="BN234" s="107"/>
      <c r="BO234" s="293"/>
      <c r="BP234" s="291"/>
      <c r="BQ234" s="107"/>
      <c r="BR234" s="107"/>
      <c r="BS234" s="107"/>
      <c r="BT234" s="293"/>
      <c r="BU234" s="291"/>
      <c r="BV234" s="107"/>
      <c r="BW234" s="107"/>
      <c r="BX234" s="107"/>
      <c r="BY234" s="293"/>
      <c r="BZ234" s="291"/>
      <c r="CA234" s="107"/>
      <c r="CB234" s="107"/>
      <c r="CC234" s="107"/>
      <c r="CD234" s="293"/>
      <c r="CE234" s="291"/>
      <c r="CF234" s="107"/>
      <c r="CG234" s="107"/>
      <c r="CH234" s="107"/>
      <c r="CI234" s="293"/>
      <c r="CJ234" s="291"/>
      <c r="CK234" s="107"/>
      <c r="CL234" s="107"/>
      <c r="CM234" s="107"/>
      <c r="CN234" s="293"/>
      <c r="CO234" s="291"/>
      <c r="CP234" s="107"/>
      <c r="CQ234" s="107"/>
      <c r="CR234" s="107"/>
      <c r="CS234" s="293"/>
      <c r="CT234" s="412"/>
      <c r="CU234" s="114"/>
      <c r="CV234" s="114"/>
      <c r="CW234" s="114"/>
      <c r="CX234" s="293"/>
      <c r="CY234" s="412"/>
      <c r="CZ234" s="114"/>
      <c r="DA234" s="114"/>
      <c r="DB234" s="114"/>
      <c r="DC234" s="293"/>
      <c r="DD234" s="412"/>
      <c r="DE234" s="114"/>
      <c r="DF234" s="114"/>
      <c r="DG234" s="114"/>
      <c r="DH234" s="293"/>
      <c r="DI234" s="412"/>
      <c r="DJ234" s="114"/>
      <c r="DK234" s="114"/>
      <c r="DL234" s="114"/>
      <c r="DM234" s="293"/>
      <c r="DN234" s="412"/>
      <c r="DO234" s="114"/>
      <c r="DP234" s="114"/>
      <c r="DQ234" s="114"/>
      <c r="DR234" s="293"/>
      <c r="DS234" s="412"/>
      <c r="DT234" s="114"/>
      <c r="DU234" s="114"/>
      <c r="DV234" s="114"/>
      <c r="DW234" s="293"/>
      <c r="DX234" s="412"/>
      <c r="DY234" s="114"/>
      <c r="DZ234" s="114"/>
      <c r="EA234" s="114"/>
      <c r="EB234" s="293"/>
      <c r="EC234" s="412"/>
      <c r="ED234" s="114"/>
      <c r="EE234" s="114"/>
      <c r="EF234" s="114"/>
      <c r="EG234" s="293"/>
      <c r="EH234" s="412"/>
      <c r="EI234" s="114"/>
      <c r="EJ234" s="114"/>
      <c r="EK234" s="114"/>
      <c r="EL234" s="293"/>
      <c r="EM234" s="412"/>
      <c r="EN234" s="114"/>
      <c r="EO234" s="114"/>
      <c r="EP234" s="114"/>
      <c r="EQ234" s="293"/>
      <c r="ER234" s="412"/>
      <c r="ES234" s="114"/>
      <c r="ET234" s="439"/>
      <c r="EU234" s="439"/>
      <c r="EV234" s="293"/>
      <c r="EW234" s="349">
        <f>EW233/ER233-1</f>
      </c>
      <c r="EX234" s="468"/>
      <c r="EY234" s="107"/>
      <c r="EZ234" s="439"/>
      <c r="FA234" s="293"/>
      <c r="FB234" s="291"/>
      <c r="FC234" s="107"/>
      <c r="FD234" s="107"/>
      <c r="FE234" s="107"/>
      <c r="FF234" s="293"/>
      <c r="FG234" s="291"/>
      <c r="FH234" s="107"/>
      <c r="FI234" s="107"/>
      <c r="FJ234" s="107"/>
      <c r="FK234" s="293"/>
      <c r="FL234" s="291"/>
      <c r="FM234" s="107"/>
      <c r="FN234" s="107"/>
      <c r="FO234" s="107"/>
      <c r="FP234" s="293"/>
      <c r="FQ234" s="291"/>
      <c r="FR234" s="107"/>
      <c r="FS234" s="107"/>
      <c r="FT234" s="107"/>
      <c r="FU234" s="293"/>
      <c r="FV234" s="291"/>
      <c r="FW234" s="107"/>
      <c r="FX234" s="107"/>
      <c r="FY234" s="107"/>
      <c r="FZ234" s="293"/>
      <c r="GA234" s="291"/>
      <c r="GB234" s="107"/>
      <c r="GC234" s="107"/>
      <c r="GD234" s="107"/>
      <c r="GE234" s="293"/>
      <c r="GF234" s="291"/>
      <c r="GG234" s="107"/>
      <c r="GH234" s="107"/>
      <c r="GI234" s="107"/>
      <c r="GJ234" s="382"/>
    </row>
    <row r="235" spans="1:192" ht="12.75" hidden="1" customHeight="1" outlineLevel="1">
      <c r="B235" s="736" t="s">
        <v>36</v>
      </c>
      <c r="C235" s="291"/>
      <c r="D235" s="107"/>
      <c r="E235" s="107"/>
      <c r="F235" s="107"/>
      <c r="G235" s="293"/>
      <c r="H235" s="291"/>
      <c r="I235" s="107"/>
      <c r="J235" s="107"/>
      <c r="K235" s="107"/>
      <c r="L235" s="293"/>
      <c r="M235" s="291"/>
      <c r="N235" s="107"/>
      <c r="O235" s="107"/>
      <c r="P235" s="107"/>
      <c r="Q235" s="293"/>
      <c r="R235" s="291"/>
      <c r="S235" s="107"/>
      <c r="T235" s="107"/>
      <c r="U235" s="107"/>
      <c r="V235" s="293"/>
      <c r="W235" s="291"/>
      <c r="X235" s="107"/>
      <c r="Y235" s="107"/>
      <c r="Z235" s="107"/>
      <c r="AA235" s="293"/>
      <c r="AB235" s="291"/>
      <c r="AC235" s="107"/>
      <c r="AD235" s="107"/>
      <c r="AE235" s="107"/>
      <c r="AF235" s="293"/>
      <c r="AG235" s="291"/>
      <c r="AH235" s="107"/>
      <c r="AI235" s="107"/>
      <c r="AJ235" s="107"/>
      <c r="AK235" s="293"/>
      <c r="AL235" s="291"/>
      <c r="AM235" s="107"/>
      <c r="AN235" s="107"/>
      <c r="AO235" s="107"/>
      <c r="AP235" s="293"/>
      <c r="AQ235" s="291"/>
      <c r="AR235" s="107"/>
      <c r="AS235" s="107"/>
      <c r="AT235" s="107"/>
      <c r="AU235" s="293"/>
      <c r="AV235" s="291"/>
      <c r="AW235" s="107"/>
      <c r="AX235" s="107"/>
      <c r="AY235" s="107"/>
      <c r="AZ235" s="293"/>
      <c r="BA235" s="291"/>
      <c r="BB235" s="107"/>
      <c r="BC235" s="107"/>
      <c r="BD235" s="107"/>
      <c r="BE235" s="293"/>
      <c r="BF235" s="291"/>
      <c r="BG235" s="107"/>
      <c r="BH235" s="107"/>
      <c r="BI235" s="107"/>
      <c r="BJ235" s="293"/>
      <c r="BK235" s="291"/>
      <c r="BL235" s="107"/>
      <c r="BM235" s="107"/>
      <c r="BN235" s="107"/>
      <c r="BO235" s="293"/>
      <c r="BP235" s="291"/>
      <c r="BQ235" s="107"/>
      <c r="BR235" s="107"/>
      <c r="BS235" s="107"/>
      <c r="BT235" s="293"/>
      <c r="BU235" s="291"/>
      <c r="BV235" s="107"/>
      <c r="BW235" s="107"/>
      <c r="BX235" s="107"/>
      <c r="BY235" s="293"/>
      <c r="BZ235" s="291"/>
      <c r="CA235" s="107"/>
      <c r="CB235" s="107"/>
      <c r="CC235" s="107"/>
      <c r="CD235" s="293"/>
      <c r="CE235" s="291"/>
      <c r="CF235" s="107"/>
      <c r="CG235" s="107"/>
      <c r="CH235" s="107"/>
      <c r="CI235" s="293"/>
      <c r="CJ235" s="291"/>
      <c r="CK235" s="107"/>
      <c r="CL235" s="107"/>
      <c r="CM235" s="107"/>
      <c r="CN235" s="293"/>
      <c r="CO235" s="291"/>
      <c r="CP235" s="107"/>
      <c r="CQ235" s="107"/>
      <c r="CR235" s="107"/>
      <c r="CS235" s="293"/>
      <c r="CT235" s="291"/>
      <c r="CU235" s="107"/>
      <c r="CV235" s="107"/>
      <c r="CW235" s="107"/>
      <c r="CX235" s="293"/>
      <c r="CY235" s="291"/>
      <c r="CZ235" s="107"/>
      <c r="DA235" s="107"/>
      <c r="DB235" s="107"/>
      <c r="DC235" s="293"/>
      <c r="DD235" s="291"/>
      <c r="DE235" s="107"/>
      <c r="DF235" s="107"/>
      <c r="DG235" s="107"/>
      <c r="DH235" s="293"/>
      <c r="DI235" s="291"/>
      <c r="DJ235" s="107"/>
      <c r="DK235" s="107"/>
      <c r="DL235" s="107"/>
      <c r="DM235" s="293"/>
      <c r="DN235" s="291"/>
      <c r="DO235" s="107"/>
      <c r="DP235" s="107"/>
      <c r="DQ235" s="107"/>
      <c r="DR235" s="293"/>
      <c r="DS235" s="291"/>
      <c r="DT235" s="107"/>
      <c r="DU235" s="107"/>
      <c r="DV235" s="107"/>
      <c r="DW235" s="293"/>
      <c r="DX235" s="291"/>
      <c r="DY235" s="107"/>
      <c r="DZ235" s="107"/>
      <c r="EA235" s="107"/>
      <c r="EB235" s="293"/>
      <c r="EC235" s="291"/>
      <c r="ED235" s="107"/>
      <c r="EE235" s="107"/>
      <c r="EF235" s="107"/>
      <c r="EG235" s="293"/>
      <c r="EH235" s="291"/>
      <c r="EI235" s="107"/>
      <c r="EJ235" s="107"/>
      <c r="EK235" s="107"/>
      <c r="EL235" s="293"/>
      <c r="EM235" s="291"/>
      <c r="EN235" s="107"/>
      <c r="EO235" s="107"/>
      <c r="EP235" s="107"/>
      <c r="EQ235" s="293"/>
      <c r="ER235" s="291"/>
      <c r="ES235" s="114">
        <v>0.8</v>
      </c>
      <c r="ET235" s="107">
        <f>ET233/ES233-1</f>
      </c>
      <c r="EU235" s="114">
        <v>0.45</v>
      </c>
      <c r="EV235" s="293"/>
      <c r="EW235" s="349">
        <f>EW233/EU233</f>
      </c>
      <c r="EX235" s="468"/>
      <c r="EY235" s="107"/>
      <c r="EZ235" s="439"/>
      <c r="FA235" s="293"/>
      <c r="FB235" s="291"/>
      <c r="FC235" s="107"/>
      <c r="FD235" s="107"/>
      <c r="FE235" s="107"/>
      <c r="FF235" s="293"/>
      <c r="FG235" s="291"/>
      <c r="FH235" s="107"/>
      <c r="FI235" s="107"/>
      <c r="FJ235" s="107"/>
      <c r="FK235" s="293"/>
      <c r="FL235" s="291"/>
      <c r="FM235" s="107"/>
      <c r="FN235" s="107"/>
      <c r="FO235" s="107"/>
      <c r="FP235" s="293"/>
      <c r="FQ235" s="291"/>
      <c r="FR235" s="107"/>
      <c r="FS235" s="107"/>
      <c r="FT235" s="107"/>
      <c r="FU235" s="293"/>
      <c r="FV235" s="291"/>
      <c r="FW235" s="107"/>
      <c r="FX235" s="107"/>
      <c r="FY235" s="107"/>
      <c r="FZ235" s="293"/>
      <c r="GA235" s="291"/>
      <c r="GB235" s="107"/>
      <c r="GC235" s="107"/>
      <c r="GD235" s="107"/>
      <c r="GE235" s="293"/>
      <c r="GF235" s="291"/>
      <c r="GG235" s="107"/>
      <c r="GH235" s="107"/>
      <c r="GI235" s="107"/>
      <c r="GJ235" s="382"/>
    </row>
    <row r="236" spans="1:192" ht="12.75" hidden="1" customHeight="1" outlineLevel="1">
      <c r="B236" s="736"/>
      <c r="C236" s="291"/>
      <c r="D236" s="107"/>
      <c r="E236" s="107"/>
      <c r="F236" s="107"/>
      <c r="G236" s="293"/>
      <c r="H236" s="291"/>
      <c r="I236" s="107"/>
      <c r="J236" s="107"/>
      <c r="K236" s="107"/>
      <c r="L236" s="293"/>
      <c r="M236" s="291"/>
      <c r="N236" s="107"/>
      <c r="O236" s="107"/>
      <c r="P236" s="107"/>
      <c r="Q236" s="293"/>
      <c r="R236" s="291"/>
      <c r="S236" s="107"/>
      <c r="T236" s="107"/>
      <c r="U236" s="107"/>
      <c r="V236" s="293"/>
      <c r="W236" s="291"/>
      <c r="X236" s="107"/>
      <c r="Y236" s="107"/>
      <c r="Z236" s="107"/>
      <c r="AA236" s="293"/>
      <c r="AB236" s="291"/>
      <c r="AC236" s="107"/>
      <c r="AD236" s="107"/>
      <c r="AE236" s="107"/>
      <c r="AF236" s="293"/>
      <c r="AG236" s="291"/>
      <c r="AH236" s="107"/>
      <c r="AI236" s="107"/>
      <c r="AJ236" s="107"/>
      <c r="AK236" s="293"/>
      <c r="AL236" s="291"/>
      <c r="AM236" s="107"/>
      <c r="AN236" s="107"/>
      <c r="AO236" s="107"/>
      <c r="AP236" s="293"/>
      <c r="AQ236" s="291"/>
      <c r="AR236" s="107"/>
      <c r="AS236" s="107"/>
      <c r="AT236" s="107"/>
      <c r="AU236" s="293"/>
      <c r="AV236" s="291"/>
      <c r="AW236" s="107"/>
      <c r="AX236" s="107"/>
      <c r="AY236" s="107"/>
      <c r="AZ236" s="293"/>
      <c r="BA236" s="291"/>
      <c r="BB236" s="107"/>
      <c r="BC236" s="107"/>
      <c r="BD236" s="107"/>
      <c r="BE236" s="293"/>
      <c r="BF236" s="291"/>
      <c r="BG236" s="107"/>
      <c r="BH236" s="107"/>
      <c r="BI236" s="107"/>
      <c r="BJ236" s="293"/>
      <c r="BK236" s="291"/>
      <c r="BL236" s="107"/>
      <c r="BM236" s="107"/>
      <c r="BN236" s="107"/>
      <c r="BO236" s="293"/>
      <c r="BP236" s="291"/>
      <c r="BQ236" s="107"/>
      <c r="BR236" s="107"/>
      <c r="BS236" s="107"/>
      <c r="BT236" s="293"/>
      <c r="BU236" s="291"/>
      <c r="BV236" s="107"/>
      <c r="BW236" s="107"/>
      <c r="BX236" s="107"/>
      <c r="BY236" s="293"/>
      <c r="BZ236" s="291"/>
      <c r="CA236" s="107"/>
      <c r="CB236" s="107"/>
      <c r="CC236" s="107"/>
      <c r="CD236" s="293"/>
      <c r="CE236" s="291"/>
      <c r="CF236" s="107"/>
      <c r="CG236" s="107"/>
      <c r="CH236" s="107"/>
      <c r="CI236" s="293"/>
      <c r="CJ236" s="291"/>
      <c r="CK236" s="107"/>
      <c r="CL236" s="107"/>
      <c r="CM236" s="107"/>
      <c r="CN236" s="293"/>
      <c r="CO236" s="291"/>
      <c r="CP236" s="107"/>
      <c r="CQ236" s="107"/>
      <c r="CR236" s="107"/>
      <c r="CS236" s="293"/>
      <c r="CT236" s="291"/>
      <c r="CU236" s="107"/>
      <c r="CV236" s="107"/>
      <c r="CW236" s="107"/>
      <c r="CX236" s="293"/>
      <c r="CY236" s="291"/>
      <c r="CZ236" s="107"/>
      <c r="DA236" s="107"/>
      <c r="DB236" s="107"/>
      <c r="DC236" s="293"/>
      <c r="DD236" s="291"/>
      <c r="DE236" s="107"/>
      <c r="DF236" s="107"/>
      <c r="DG236" s="107"/>
      <c r="DH236" s="293"/>
      <c r="DI236" s="291"/>
      <c r="DJ236" s="107"/>
      <c r="DK236" s="107"/>
      <c r="DL236" s="107"/>
      <c r="DM236" s="293"/>
      <c r="DN236" s="291"/>
      <c r="DO236" s="107"/>
      <c r="DP236" s="107"/>
      <c r="DQ236" s="107"/>
      <c r="DR236" s="293"/>
      <c r="DS236" s="291"/>
      <c r="DT236" s="107"/>
      <c r="DU236" s="107"/>
      <c r="DV236" s="107"/>
      <c r="DW236" s="293"/>
      <c r="DX236" s="291"/>
      <c r="DY236" s="107"/>
      <c r="DZ236" s="107"/>
      <c r="EA236" s="107"/>
      <c r="EB236" s="293"/>
      <c r="EC236" s="291"/>
      <c r="ED236" s="107"/>
      <c r="EE236" s="107"/>
      <c r="EF236" s="107"/>
      <c r="EG236" s="293"/>
      <c r="EH236" s="291"/>
      <c r="EI236" s="107"/>
      <c r="EJ236" s="107"/>
      <c r="EK236" s="107"/>
      <c r="EL236" s="293"/>
      <c r="EM236" s="291"/>
      <c r="EN236" s="107"/>
      <c r="EO236" s="107"/>
      <c r="EP236" s="107"/>
      <c r="EQ236" s="293"/>
      <c r="ER236" s="291"/>
      <c r="ES236" s="107"/>
      <c r="ET236" s="107"/>
      <c r="EU236" s="114"/>
      <c r="EV236" s="293"/>
      <c r="EW236" s="349"/>
      <c r="EX236" s="468"/>
      <c r="EY236" s="107"/>
      <c r="EZ236" s="439"/>
      <c r="FA236" s="293"/>
      <c r="FB236" s="291"/>
      <c r="FC236" s="107"/>
      <c r="FD236" s="107"/>
      <c r="FE236" s="107"/>
      <c r="FF236" s="293"/>
      <c r="FG236" s="291"/>
      <c r="FH236" s="107"/>
      <c r="FI236" s="107"/>
      <c r="FJ236" s="107"/>
      <c r="FK236" s="293"/>
      <c r="FL236" s="291"/>
      <c r="FM236" s="107"/>
      <c r="FN236" s="107"/>
      <c r="FO236" s="107"/>
      <c r="FP236" s="293"/>
      <c r="FQ236" s="291"/>
      <c r="FR236" s="107"/>
      <c r="FS236" s="107"/>
      <c r="FT236" s="107"/>
      <c r="FU236" s="293"/>
      <c r="FV236" s="291"/>
      <c r="FW236" s="107"/>
      <c r="FX236" s="107"/>
      <c r="FY236" s="107"/>
      <c r="FZ236" s="293"/>
      <c r="GA236" s="291"/>
      <c r="GB236" s="107"/>
      <c r="GC236" s="107"/>
      <c r="GD236" s="107"/>
      <c r="GE236" s="293"/>
      <c r="GF236" s="291"/>
      <c r="GG236" s="107"/>
      <c r="GH236" s="107"/>
      <c r="GI236" s="107"/>
      <c r="GJ236" s="382"/>
    </row>
    <row r="237" spans="1:192" s="419" customFormat="1" ht="12.75" hidden="1" customHeight="1" outlineLevel="1">
      <c r="A237" s="798"/>
      <c r="B237" s="745" t="s">
        <v>1953</v>
      </c>
      <c r="C237" s="415"/>
      <c r="D237" s="416"/>
      <c r="E237" s="416"/>
      <c r="F237" s="416"/>
      <c r="G237" s="417"/>
      <c r="H237" s="415"/>
      <c r="I237" s="416"/>
      <c r="J237" s="416"/>
      <c r="K237" s="416"/>
      <c r="L237" s="417"/>
      <c r="M237" s="415"/>
      <c r="N237" s="416"/>
      <c r="O237" s="416"/>
      <c r="P237" s="416"/>
      <c r="Q237" s="417"/>
      <c r="R237" s="415"/>
      <c r="S237" s="416"/>
      <c r="T237" s="416"/>
      <c r="U237" s="416"/>
      <c r="V237" s="417"/>
      <c r="W237" s="415"/>
      <c r="X237" s="416"/>
      <c r="Y237" s="416"/>
      <c r="Z237" s="416"/>
      <c r="AA237" s="417"/>
      <c r="AB237" s="415"/>
      <c r="AC237" s="416"/>
      <c r="AD237" s="416"/>
      <c r="AE237" s="416"/>
      <c r="AF237" s="417"/>
      <c r="AG237" s="415"/>
      <c r="AH237" s="416"/>
      <c r="AI237" s="416"/>
      <c r="AJ237" s="416"/>
      <c r="AK237" s="417"/>
      <c r="AL237" s="415"/>
      <c r="AM237" s="416"/>
      <c r="AN237" s="416"/>
      <c r="AO237" s="416"/>
      <c r="AP237" s="417"/>
      <c r="AQ237" s="415"/>
      <c r="AR237" s="416"/>
      <c r="AS237" s="416"/>
      <c r="AT237" s="416"/>
      <c r="AU237" s="417"/>
      <c r="AV237" s="415"/>
      <c r="AW237" s="416"/>
      <c r="AX237" s="416"/>
      <c r="AY237" s="416"/>
      <c r="AZ237" s="417"/>
      <c r="BA237" s="415"/>
      <c r="BB237" s="416"/>
      <c r="BC237" s="416"/>
      <c r="BD237" s="416"/>
      <c r="BE237" s="417"/>
      <c r="BF237" s="415"/>
      <c r="BG237" s="416"/>
      <c r="BH237" s="416"/>
      <c r="BI237" s="416"/>
      <c r="BJ237" s="417"/>
      <c r="BK237" s="415"/>
      <c r="BL237" s="416"/>
      <c r="BM237" s="416"/>
      <c r="BN237" s="416"/>
      <c r="BO237" s="417"/>
      <c r="BP237" s="415"/>
      <c r="BQ237" s="416"/>
      <c r="BR237" s="416"/>
      <c r="BS237" s="416"/>
      <c r="BT237" s="417"/>
      <c r="BU237" s="415"/>
      <c r="BV237" s="416"/>
      <c r="BW237" s="416"/>
      <c r="BX237" s="416"/>
      <c r="BY237" s="417"/>
      <c r="BZ237" s="415"/>
      <c r="CA237" s="416"/>
      <c r="CB237" s="416"/>
      <c r="CC237" s="416"/>
      <c r="CD237" s="417"/>
      <c r="CE237" s="415"/>
      <c r="CF237" s="416"/>
      <c r="CG237" s="416"/>
      <c r="CH237" s="416"/>
      <c r="CI237" s="417"/>
      <c r="CJ237" s="415"/>
      <c r="CK237" s="416"/>
      <c r="CL237" s="416"/>
      <c r="CM237" s="416"/>
      <c r="CN237" s="417"/>
      <c r="CO237" s="415"/>
      <c r="CP237" s="416"/>
      <c r="CQ237" s="416"/>
      <c r="CR237" s="416"/>
      <c r="CS237" s="417"/>
      <c r="CT237" s="420"/>
      <c r="CU237" s="421"/>
      <c r="CV237" s="421"/>
      <c r="CW237" s="421"/>
      <c r="CX237" s="417"/>
      <c r="CY237" s="420"/>
      <c r="CZ237" s="421"/>
      <c r="DA237" s="421"/>
      <c r="DB237" s="421"/>
      <c r="DC237" s="417"/>
      <c r="DD237" s="420"/>
      <c r="DE237" s="421"/>
      <c r="DF237" s="421"/>
      <c r="DG237" s="421"/>
      <c r="DH237" s="417"/>
      <c r="DI237" s="415"/>
      <c r="DJ237" s="416"/>
      <c r="DK237" s="416"/>
      <c r="DL237" s="421"/>
      <c r="DM237" s="417"/>
      <c r="DN237" s="420"/>
      <c r="DO237" s="421"/>
      <c r="DP237" s="421"/>
      <c r="DQ237" s="421"/>
      <c r="DR237" s="417"/>
      <c r="DS237" s="420"/>
      <c r="DT237" s="421"/>
      <c r="DU237" s="421"/>
      <c r="DV237" s="421"/>
      <c r="DW237" s="417"/>
      <c r="DX237" s="420"/>
      <c r="DY237" s="421"/>
      <c r="DZ237" s="421"/>
      <c r="EA237" s="421"/>
      <c r="EB237" s="417"/>
      <c r="EC237" s="420"/>
      <c r="ED237" s="421"/>
      <c r="EE237" s="421"/>
      <c r="EF237" s="421"/>
      <c r="EG237" s="417"/>
      <c r="EH237" s="420"/>
      <c r="EI237" s="421"/>
      <c r="EJ237" s="421"/>
      <c r="EK237" s="421"/>
      <c r="EL237" s="417"/>
      <c r="EM237" s="420">
        <f>ER237/(1+ER238)</f>
      </c>
      <c r="EN237" s="421"/>
      <c r="EO237" s="421"/>
      <c r="EP237" s="421"/>
      <c r="EQ237" s="417"/>
      <c r="ER237" s="420">
        <v>20</v>
      </c>
      <c r="ES237" s="421"/>
      <c r="ET237" s="510">
        <f>EU237/(1+EU239)</f>
      </c>
      <c r="EU237" s="1351">
        <v>48</v>
      </c>
      <c r="EV237" s="417"/>
      <c r="EW237" s="442"/>
      <c r="EX237" s="1351"/>
      <c r="EY237" s="1351">
        <v>56</v>
      </c>
      <c r="EZ237" s="1351"/>
      <c r="FA237" s="417"/>
      <c r="FB237" s="415"/>
      <c r="FC237" s="416"/>
      <c r="FD237" s="416"/>
      <c r="FE237" s="416"/>
      <c r="FF237" s="417"/>
      <c r="FG237" s="415"/>
      <c r="FH237" s="416"/>
      <c r="FI237" s="416"/>
      <c r="FJ237" s="416"/>
      <c r="FK237" s="417"/>
      <c r="FL237" s="415"/>
      <c r="FM237" s="416"/>
      <c r="FN237" s="416"/>
      <c r="FO237" s="416"/>
      <c r="FP237" s="417"/>
      <c r="FQ237" s="415"/>
      <c r="FR237" s="416"/>
      <c r="FS237" s="416"/>
      <c r="FT237" s="416"/>
      <c r="FU237" s="417"/>
      <c r="FV237" s="415"/>
      <c r="FW237" s="416"/>
      <c r="FX237" s="416"/>
      <c r="FY237" s="416"/>
      <c r="FZ237" s="417"/>
      <c r="GA237" s="415"/>
      <c r="GB237" s="416"/>
      <c r="GC237" s="416"/>
      <c r="GD237" s="416"/>
      <c r="GE237" s="417"/>
      <c r="GF237" s="415"/>
      <c r="GG237" s="416"/>
      <c r="GH237" s="416"/>
      <c r="GI237" s="416"/>
      <c r="GJ237" s="418"/>
    </row>
    <row r="238" spans="1:192" ht="12.75" hidden="1" customHeight="1" outlineLevel="1">
      <c r="B238" s="736" t="s">
        <v>34</v>
      </c>
      <c r="C238" s="291"/>
      <c r="D238" s="107"/>
      <c r="E238" s="107"/>
      <c r="F238" s="107"/>
      <c r="G238" s="293"/>
      <c r="H238" s="291"/>
      <c r="I238" s="107"/>
      <c r="J238" s="107"/>
      <c r="K238" s="107"/>
      <c r="L238" s="293"/>
      <c r="M238" s="291"/>
      <c r="N238" s="107"/>
      <c r="O238" s="107"/>
      <c r="P238" s="107"/>
      <c r="Q238" s="293"/>
      <c r="R238" s="291"/>
      <c r="S238" s="107"/>
      <c r="T238" s="107"/>
      <c r="U238" s="107"/>
      <c r="V238" s="293"/>
      <c r="W238" s="291"/>
      <c r="X238" s="107"/>
      <c r="Y238" s="107"/>
      <c r="Z238" s="107"/>
      <c r="AA238" s="293"/>
      <c r="AB238" s="291"/>
      <c r="AC238" s="107"/>
      <c r="AD238" s="107"/>
      <c r="AE238" s="107"/>
      <c r="AF238" s="293"/>
      <c r="AG238" s="291"/>
      <c r="AH238" s="107"/>
      <c r="AI238" s="107"/>
      <c r="AJ238" s="107"/>
      <c r="AK238" s="293"/>
      <c r="AL238" s="291"/>
      <c r="AM238" s="107"/>
      <c r="AN238" s="107"/>
      <c r="AO238" s="107"/>
      <c r="AP238" s="293"/>
      <c r="AQ238" s="291"/>
      <c r="AR238" s="107"/>
      <c r="AS238" s="107"/>
      <c r="AT238" s="107"/>
      <c r="AU238" s="293"/>
      <c r="AV238" s="291"/>
      <c r="AW238" s="107"/>
      <c r="AX238" s="107"/>
      <c r="AY238" s="107"/>
      <c r="AZ238" s="293"/>
      <c r="BA238" s="291"/>
      <c r="BB238" s="107"/>
      <c r="BC238" s="107"/>
      <c r="BD238" s="107"/>
      <c r="BE238" s="293"/>
      <c r="BF238" s="291"/>
      <c r="BG238" s="107"/>
      <c r="BH238" s="107"/>
      <c r="BI238" s="107"/>
      <c r="BJ238" s="293"/>
      <c r="BK238" s="291"/>
      <c r="BL238" s="107"/>
      <c r="BM238" s="107"/>
      <c r="BN238" s="107"/>
      <c r="BO238" s="293"/>
      <c r="BP238" s="291"/>
      <c r="BQ238" s="107"/>
      <c r="BR238" s="107"/>
      <c r="BS238" s="107"/>
      <c r="BT238" s="293"/>
      <c r="BU238" s="291"/>
      <c r="BV238" s="107"/>
      <c r="BW238" s="107"/>
      <c r="BX238" s="107"/>
      <c r="BY238" s="293"/>
      <c r="BZ238" s="291"/>
      <c r="CA238" s="107"/>
      <c r="CB238" s="107"/>
      <c r="CC238" s="107"/>
      <c r="CD238" s="293"/>
      <c r="CE238" s="291"/>
      <c r="CF238" s="107"/>
      <c r="CG238" s="107"/>
      <c r="CH238" s="107"/>
      <c r="CI238" s="293"/>
      <c r="CJ238" s="291"/>
      <c r="CK238" s="107"/>
      <c r="CL238" s="107"/>
      <c r="CM238" s="107"/>
      <c r="CN238" s="293"/>
      <c r="CO238" s="291"/>
      <c r="CP238" s="107"/>
      <c r="CQ238" s="107"/>
      <c r="CR238" s="107"/>
      <c r="CS238" s="293"/>
      <c r="CT238" s="412"/>
      <c r="CU238" s="114"/>
      <c r="CV238" s="114"/>
      <c r="CW238" s="114"/>
      <c r="CX238" s="293"/>
      <c r="CY238" s="412"/>
      <c r="CZ238" s="114"/>
      <c r="DA238" s="114"/>
      <c r="DB238" s="114"/>
      <c r="DC238" s="293"/>
      <c r="DD238" s="412"/>
      <c r="DE238" s="114"/>
      <c r="DF238" s="114"/>
      <c r="DG238" s="114"/>
      <c r="DH238" s="293"/>
      <c r="DI238" s="412"/>
      <c r="DJ238" s="114"/>
      <c r="DK238" s="114"/>
      <c r="DL238" s="114"/>
      <c r="DM238" s="293"/>
      <c r="DN238" s="412"/>
      <c r="DO238" s="114"/>
      <c r="DP238" s="114"/>
      <c r="DQ238" s="114"/>
      <c r="DR238" s="293"/>
      <c r="DS238" s="412"/>
      <c r="DT238" s="114"/>
      <c r="DU238" s="114"/>
      <c r="DV238" s="114"/>
      <c r="DW238" s="293"/>
      <c r="DX238" s="412"/>
      <c r="DY238" s="114"/>
      <c r="DZ238" s="114"/>
      <c r="EA238" s="114"/>
      <c r="EB238" s="293"/>
      <c r="EC238" s="412"/>
      <c r="ED238" s="114"/>
      <c r="EE238" s="114"/>
      <c r="EF238" s="114"/>
      <c r="EG238" s="293"/>
      <c r="EH238" s="412"/>
      <c r="EI238" s="114"/>
      <c r="EJ238" s="114"/>
      <c r="EK238" s="114"/>
      <c r="EL238" s="293"/>
      <c r="EM238" s="412"/>
      <c r="EN238" s="114"/>
      <c r="EO238" s="114"/>
      <c r="EP238" s="114"/>
      <c r="EQ238" s="293"/>
      <c r="ER238" s="412">
        <v>0.4</v>
      </c>
      <c r="ES238" s="114"/>
      <c r="ET238" s="439"/>
      <c r="EU238" s="439"/>
      <c r="EV238" s="293"/>
      <c r="EW238" s="441"/>
      <c r="EX238" s="107"/>
      <c r="EY238" s="114">
        <v>0.27</v>
      </c>
      <c r="EZ238" s="439"/>
      <c r="FA238" s="293"/>
      <c r="FB238" s="291"/>
      <c r="FC238" s="107"/>
      <c r="FD238" s="107"/>
      <c r="FE238" s="107"/>
      <c r="FF238" s="293"/>
      <c r="FG238" s="291"/>
      <c r="FH238" s="107"/>
      <c r="FI238" s="107"/>
      <c r="FJ238" s="107"/>
      <c r="FK238" s="293"/>
      <c r="FL238" s="291"/>
      <c r="FM238" s="107"/>
      <c r="FN238" s="107"/>
      <c r="FO238" s="107"/>
      <c r="FP238" s="293"/>
      <c r="FQ238" s="291"/>
      <c r="FR238" s="107"/>
      <c r="FS238" s="107"/>
      <c r="FT238" s="107"/>
      <c r="FU238" s="293"/>
      <c r="FV238" s="291"/>
      <c r="FW238" s="107"/>
      <c r="FX238" s="107"/>
      <c r="FY238" s="107"/>
      <c r="FZ238" s="293"/>
      <c r="GA238" s="291"/>
      <c r="GB238" s="107"/>
      <c r="GC238" s="107"/>
      <c r="GD238" s="107"/>
      <c r="GE238" s="293"/>
      <c r="GF238" s="291"/>
      <c r="GG238" s="107"/>
      <c r="GH238" s="107"/>
      <c r="GI238" s="107"/>
      <c r="GJ238" s="382"/>
    </row>
    <row r="239" spans="1:192" ht="12.75" hidden="1" customHeight="1" outlineLevel="1">
      <c r="B239" s="736" t="s">
        <v>36</v>
      </c>
      <c r="C239" s="291"/>
      <c r="D239" s="107"/>
      <c r="E239" s="107"/>
      <c r="F239" s="107"/>
      <c r="G239" s="293"/>
      <c r="H239" s="291"/>
      <c r="I239" s="107"/>
      <c r="J239" s="107"/>
      <c r="K239" s="107"/>
      <c r="L239" s="293"/>
      <c r="M239" s="291"/>
      <c r="N239" s="107"/>
      <c r="O239" s="107"/>
      <c r="P239" s="107"/>
      <c r="Q239" s="293"/>
      <c r="R239" s="291"/>
      <c r="S239" s="107"/>
      <c r="T239" s="107"/>
      <c r="U239" s="107"/>
      <c r="V239" s="293"/>
      <c r="W239" s="291"/>
      <c r="X239" s="107"/>
      <c r="Y239" s="107"/>
      <c r="Z239" s="107"/>
      <c r="AA239" s="293"/>
      <c r="AB239" s="291"/>
      <c r="AC239" s="107"/>
      <c r="AD239" s="107"/>
      <c r="AE239" s="107"/>
      <c r="AF239" s="293"/>
      <c r="AG239" s="291"/>
      <c r="AH239" s="107"/>
      <c r="AI239" s="107"/>
      <c r="AJ239" s="107"/>
      <c r="AK239" s="293"/>
      <c r="AL239" s="291"/>
      <c r="AM239" s="107"/>
      <c r="AN239" s="107"/>
      <c r="AO239" s="107"/>
      <c r="AP239" s="293"/>
      <c r="AQ239" s="291"/>
      <c r="AR239" s="107"/>
      <c r="AS239" s="107"/>
      <c r="AT239" s="107"/>
      <c r="AU239" s="293"/>
      <c r="AV239" s="291"/>
      <c r="AW239" s="107"/>
      <c r="AX239" s="107"/>
      <c r="AY239" s="107"/>
      <c r="AZ239" s="293"/>
      <c r="BA239" s="291"/>
      <c r="BB239" s="107"/>
      <c r="BC239" s="107"/>
      <c r="BD239" s="107"/>
      <c r="BE239" s="293"/>
      <c r="BF239" s="291"/>
      <c r="BG239" s="107"/>
      <c r="BH239" s="107"/>
      <c r="BI239" s="107"/>
      <c r="BJ239" s="293"/>
      <c r="BK239" s="291"/>
      <c r="BL239" s="107"/>
      <c r="BM239" s="107"/>
      <c r="BN239" s="107"/>
      <c r="BO239" s="293"/>
      <c r="BP239" s="291"/>
      <c r="BQ239" s="107"/>
      <c r="BR239" s="107"/>
      <c r="BS239" s="107"/>
      <c r="BT239" s="293"/>
      <c r="BU239" s="291"/>
      <c r="BV239" s="107"/>
      <c r="BW239" s="107"/>
      <c r="BX239" s="107"/>
      <c r="BY239" s="293"/>
      <c r="BZ239" s="291"/>
      <c r="CA239" s="107"/>
      <c r="CB239" s="107"/>
      <c r="CC239" s="107"/>
      <c r="CD239" s="293"/>
      <c r="CE239" s="291"/>
      <c r="CF239" s="107"/>
      <c r="CG239" s="107"/>
      <c r="CH239" s="107"/>
      <c r="CI239" s="293"/>
      <c r="CJ239" s="291"/>
      <c r="CK239" s="107"/>
      <c r="CL239" s="107"/>
      <c r="CM239" s="107"/>
      <c r="CN239" s="293"/>
      <c r="CO239" s="291"/>
      <c r="CP239" s="107"/>
      <c r="CQ239" s="107"/>
      <c r="CR239" s="107"/>
      <c r="CS239" s="293"/>
      <c r="CT239" s="291"/>
      <c r="CU239" s="107"/>
      <c r="CV239" s="107"/>
      <c r="CW239" s="107"/>
      <c r="CX239" s="293"/>
      <c r="CY239" s="291"/>
      <c r="CZ239" s="107"/>
      <c r="DA239" s="107"/>
      <c r="DB239" s="107"/>
      <c r="DC239" s="293"/>
      <c r="DD239" s="291"/>
      <c r="DE239" s="107"/>
      <c r="DF239" s="107"/>
      <c r="DG239" s="107"/>
      <c r="DH239" s="293"/>
      <c r="DI239" s="291"/>
      <c r="DJ239" s="107"/>
      <c r="DK239" s="107"/>
      <c r="DL239" s="107"/>
      <c r="DM239" s="293"/>
      <c r="DN239" s="291"/>
      <c r="DO239" s="107"/>
      <c r="DP239" s="107"/>
      <c r="DQ239" s="107"/>
      <c r="DR239" s="293"/>
      <c r="DS239" s="291"/>
      <c r="DT239" s="107"/>
      <c r="DU239" s="107"/>
      <c r="DV239" s="107"/>
      <c r="DW239" s="293"/>
      <c r="DX239" s="291"/>
      <c r="DY239" s="107"/>
      <c r="DZ239" s="107"/>
      <c r="EA239" s="107"/>
      <c r="EB239" s="293"/>
      <c r="EC239" s="291"/>
      <c r="ED239" s="107"/>
      <c r="EE239" s="107"/>
      <c r="EF239" s="107"/>
      <c r="EG239" s="293"/>
      <c r="EH239" s="291"/>
      <c r="EI239" s="107"/>
      <c r="EJ239" s="107"/>
      <c r="EK239" s="107"/>
      <c r="EL239" s="293"/>
      <c r="EM239" s="291"/>
      <c r="EN239" s="107"/>
      <c r="EO239" s="107"/>
      <c r="EP239" s="107"/>
      <c r="EQ239" s="293"/>
      <c r="ER239" s="291"/>
      <c r="ES239" s="107"/>
      <c r="ET239" s="107"/>
      <c r="EU239" s="114">
        <v>0.4</v>
      </c>
      <c r="EV239" s="293"/>
      <c r="EW239" s="441"/>
      <c r="EX239" s="439"/>
      <c r="EY239" s="107"/>
      <c r="EZ239" s="439"/>
      <c r="FA239" s="293"/>
      <c r="FB239" s="291"/>
      <c r="FC239" s="107"/>
      <c r="FD239" s="107"/>
      <c r="FE239" s="107"/>
      <c r="FF239" s="293"/>
      <c r="FG239" s="291"/>
      <c r="FH239" s="107"/>
      <c r="FI239" s="107"/>
      <c r="FJ239" s="107"/>
      <c r="FK239" s="293"/>
      <c r="FL239" s="291"/>
      <c r="FM239" s="107"/>
      <c r="FN239" s="107"/>
      <c r="FO239" s="107"/>
      <c r="FP239" s="293"/>
      <c r="FQ239" s="291"/>
      <c r="FR239" s="107"/>
      <c r="FS239" s="107"/>
      <c r="FT239" s="107"/>
      <c r="FU239" s="293"/>
      <c r="FV239" s="291"/>
      <c r="FW239" s="107"/>
      <c r="FX239" s="107"/>
      <c r="FY239" s="107"/>
      <c r="FZ239" s="293"/>
      <c r="GA239" s="291"/>
      <c r="GB239" s="107"/>
      <c r="GC239" s="107"/>
      <c r="GD239" s="107"/>
      <c r="GE239" s="293"/>
      <c r="GF239" s="291"/>
      <c r="GG239" s="107"/>
      <c r="GH239" s="107"/>
      <c r="GI239" s="107"/>
      <c r="GJ239" s="382"/>
    </row>
    <row r="240" spans="1:192" ht="12.75" customHeight="1" collapsed="1">
      <c r="B240" s="735"/>
      <c r="C240" s="291"/>
      <c r="D240" s="107"/>
      <c r="E240" s="107"/>
      <c r="F240" s="107"/>
      <c r="G240" s="293"/>
      <c r="H240" s="291"/>
      <c r="I240" s="107"/>
      <c r="J240" s="107"/>
      <c r="K240" s="107"/>
      <c r="L240" s="293"/>
      <c r="M240" s="291"/>
      <c r="N240" s="107"/>
      <c r="O240" s="107"/>
      <c r="P240" s="107"/>
      <c r="Q240" s="293"/>
      <c r="R240" s="291"/>
      <c r="S240" s="107"/>
      <c r="T240" s="107"/>
      <c r="U240" s="107"/>
      <c r="V240" s="293"/>
      <c r="W240" s="291"/>
      <c r="X240" s="107"/>
      <c r="Y240" s="107"/>
      <c r="Z240" s="107"/>
      <c r="AA240" s="293"/>
      <c r="AB240" s="291"/>
      <c r="AC240" s="107"/>
      <c r="AD240" s="107"/>
      <c r="AE240" s="107"/>
      <c r="AF240" s="293"/>
      <c r="AG240" s="291"/>
      <c r="AH240" s="107"/>
      <c r="AI240" s="107"/>
      <c r="AJ240" s="107"/>
      <c r="AK240" s="293"/>
      <c r="AL240" s="291"/>
      <c r="AM240" s="107"/>
      <c r="AN240" s="107"/>
      <c r="AO240" s="107"/>
      <c r="AP240" s="293"/>
      <c r="AQ240" s="291"/>
      <c r="AR240" s="107"/>
      <c r="AS240" s="107"/>
      <c r="AT240" s="107"/>
      <c r="AU240" s="293"/>
      <c r="AV240" s="291"/>
      <c r="AW240" s="107"/>
      <c r="AX240" s="107"/>
      <c r="AY240" s="107"/>
      <c r="AZ240" s="293"/>
      <c r="BA240" s="291"/>
      <c r="BB240" s="107"/>
      <c r="BC240" s="107"/>
      <c r="BD240" s="107"/>
      <c r="BE240" s="293"/>
      <c r="BF240" s="291"/>
      <c r="BG240" s="107"/>
      <c r="BH240" s="107"/>
      <c r="BI240" s="107"/>
      <c r="BJ240" s="293"/>
      <c r="BK240" s="291"/>
      <c r="BL240" s="107"/>
      <c r="BM240" s="107"/>
      <c r="BN240" s="107"/>
      <c r="BO240" s="293"/>
      <c r="BP240" s="291"/>
      <c r="BQ240" s="107"/>
      <c r="BR240" s="107"/>
      <c r="BS240" s="107"/>
      <c r="BT240" s="293"/>
      <c r="BU240" s="291"/>
      <c r="BV240" s="107"/>
      <c r="BW240" s="107"/>
      <c r="BX240" s="107"/>
      <c r="BY240" s="293"/>
      <c r="BZ240" s="291"/>
      <c r="CA240" s="107"/>
      <c r="CB240" s="107"/>
      <c r="CC240" s="107"/>
      <c r="CD240" s="293"/>
      <c r="CE240" s="291"/>
      <c r="CF240" s="107"/>
      <c r="CG240" s="107"/>
      <c r="CH240" s="107"/>
      <c r="CI240" s="293"/>
      <c r="CJ240" s="291"/>
      <c r="CK240" s="107"/>
      <c r="CL240" s="107"/>
      <c r="CM240" s="107"/>
      <c r="CN240" s="293"/>
      <c r="CO240" s="291"/>
      <c r="CP240" s="107"/>
      <c r="CQ240" s="107"/>
      <c r="CR240" s="107"/>
      <c r="CS240" s="293"/>
      <c r="CT240" s="291"/>
      <c r="CU240" s="107"/>
      <c r="CV240" s="107"/>
      <c r="CW240" s="107"/>
      <c r="CX240" s="293"/>
      <c r="CY240" s="291"/>
      <c r="CZ240" s="107"/>
      <c r="DA240" s="107"/>
      <c r="DB240" s="107"/>
      <c r="DC240" s="293"/>
      <c r="DD240" s="291"/>
      <c r="DE240" s="107"/>
      <c r="DF240" s="107"/>
      <c r="DG240" s="107"/>
      <c r="DH240" s="293"/>
      <c r="DI240" s="291"/>
      <c r="DJ240" s="107"/>
      <c r="DK240" s="107"/>
      <c r="DL240" s="107"/>
      <c r="DM240" s="293"/>
      <c r="DN240" s="291"/>
      <c r="DO240" s="107"/>
      <c r="DP240" s="107"/>
      <c r="DQ240" s="107"/>
      <c r="DR240" s="293"/>
      <c r="DS240" s="291"/>
      <c r="DT240" s="107"/>
      <c r="DU240" s="107"/>
      <c r="DV240" s="107"/>
      <c r="DW240" s="293"/>
      <c r="DX240" s="291"/>
      <c r="DY240" s="107"/>
      <c r="DZ240" s="107"/>
      <c r="EA240" s="107"/>
      <c r="EB240" s="293"/>
      <c r="EC240" s="291"/>
      <c r="ED240" s="107"/>
      <c r="EE240" s="107"/>
      <c r="EF240" s="107"/>
      <c r="EG240" s="293"/>
      <c r="EH240" s="291"/>
      <c r="EI240" s="107"/>
      <c r="EJ240" s="107"/>
      <c r="EK240" s="107"/>
      <c r="EL240" s="293"/>
      <c r="EM240" s="291"/>
      <c r="EN240" s="107"/>
      <c r="EO240" s="107"/>
      <c r="EP240" s="107"/>
      <c r="EQ240" s="293"/>
      <c r="ER240" s="291"/>
      <c r="ES240" s="107"/>
      <c r="ET240" s="107"/>
      <c r="EU240" s="114"/>
      <c r="EV240" s="293"/>
      <c r="EW240" s="291"/>
      <c r="EX240" s="107"/>
      <c r="EY240" s="107"/>
      <c r="EZ240" s="114"/>
      <c r="FA240" s="293"/>
      <c r="FB240" s="291"/>
      <c r="FC240" s="107"/>
      <c r="FD240" s="107"/>
      <c r="FE240" s="107"/>
      <c r="FF240" s="293"/>
      <c r="FG240" s="291"/>
      <c r="FH240" s="107"/>
      <c r="FI240" s="107"/>
      <c r="FJ240" s="107"/>
      <c r="FK240" s="293"/>
      <c r="FL240" s="291"/>
      <c r="FM240" s="107"/>
      <c r="FN240" s="107"/>
      <c r="FO240" s="107"/>
      <c r="FP240" s="293"/>
      <c r="FQ240" s="291"/>
      <c r="FR240" s="107"/>
      <c r="FS240" s="107"/>
      <c r="FT240" s="107"/>
      <c r="FU240" s="293"/>
      <c r="FV240" s="291"/>
      <c r="FW240" s="107"/>
      <c r="FX240" s="107"/>
      <c r="FY240" s="107"/>
      <c r="FZ240" s="293"/>
      <c r="GA240" s="291"/>
      <c r="GB240" s="107"/>
      <c r="GC240" s="107"/>
      <c r="GD240" s="107"/>
      <c r="GE240" s="293"/>
      <c r="GF240" s="291"/>
      <c r="GG240" s="107"/>
      <c r="GH240" s="107"/>
      <c r="GI240" s="107"/>
      <c r="GJ240" s="382"/>
    </row>
    <row r="241" spans="1:192" s="314" customFormat="1" ht="12.75" customHeight="1" collapsed="1">
      <c r="A241" s="274"/>
      <c r="B241" s="744" t="s">
        <v>1973</v>
      </c>
      <c r="C241" s="408"/>
      <c r="D241" s="408"/>
      <c r="E241" s="408"/>
      <c r="F241" s="408"/>
      <c r="G241" s="318"/>
      <c r="H241" s="408"/>
      <c r="I241" s="408"/>
      <c r="J241" s="408"/>
      <c r="K241" s="408"/>
      <c r="L241" s="318"/>
      <c r="M241" s="408"/>
      <c r="N241" s="408"/>
      <c r="O241" s="408"/>
      <c r="P241" s="408"/>
      <c r="Q241" s="318"/>
      <c r="R241" s="408"/>
      <c r="S241" s="408"/>
      <c r="T241" s="408"/>
      <c r="U241" s="408"/>
      <c r="V241" s="318"/>
      <c r="W241" s="408"/>
      <c r="X241" s="408"/>
      <c r="Y241" s="408"/>
      <c r="Z241" s="408"/>
      <c r="AA241" s="318"/>
      <c r="AB241" s="408"/>
      <c r="AC241" s="408"/>
      <c r="AD241" s="408"/>
      <c r="AE241" s="408"/>
      <c r="AF241" s="318"/>
      <c r="AG241" s="408"/>
      <c r="AH241" s="408"/>
      <c r="AI241" s="408"/>
      <c r="AJ241" s="408"/>
      <c r="AK241" s="318"/>
      <c r="AL241" s="408"/>
      <c r="AM241" s="408"/>
      <c r="AN241" s="408"/>
      <c r="AO241" s="408"/>
      <c r="AP241" s="318"/>
      <c r="AQ241" s="408"/>
      <c r="AR241" s="408"/>
      <c r="AS241" s="408"/>
      <c r="AT241" s="408"/>
      <c r="AU241" s="318"/>
      <c r="AV241" s="408"/>
      <c r="AW241" s="408"/>
      <c r="AX241" s="408"/>
      <c r="AY241" s="408"/>
      <c r="AZ241" s="318"/>
      <c r="BA241" s="408"/>
      <c r="BB241" s="408"/>
      <c r="BC241" s="408"/>
      <c r="BD241" s="408"/>
      <c r="BE241" s="318"/>
      <c r="BF241" s="408"/>
      <c r="BG241" s="408"/>
      <c r="BH241" s="408"/>
      <c r="BI241" s="408"/>
      <c r="BJ241" s="318"/>
      <c r="BK241" s="408"/>
      <c r="BL241" s="408"/>
      <c r="BM241" s="408"/>
      <c r="BN241" s="408"/>
      <c r="BO241" s="318"/>
      <c r="BP241" s="408"/>
      <c r="BQ241" s="408"/>
      <c r="BR241" s="408"/>
      <c r="BS241" s="408"/>
      <c r="BT241" s="318"/>
      <c r="BU241" s="408"/>
      <c r="BV241" s="408"/>
      <c r="BW241" s="408"/>
      <c r="BX241" s="408"/>
      <c r="BY241" s="318"/>
      <c r="BZ241" s="408"/>
      <c r="CA241" s="408"/>
      <c r="CB241" s="408"/>
      <c r="CC241" s="408"/>
      <c r="CD241" s="432"/>
      <c r="CE241" s="408"/>
      <c r="CF241" s="408"/>
      <c r="CG241" s="408"/>
      <c r="CH241" s="408"/>
      <c r="CI241" s="432"/>
      <c r="CJ241" s="408"/>
      <c r="CK241" s="408"/>
      <c r="CL241" s="408"/>
      <c r="CM241" s="408"/>
      <c r="CN241" s="432"/>
      <c r="CO241" s="408"/>
      <c r="CP241" s="408"/>
      <c r="CQ241" s="408"/>
      <c r="CR241" s="408"/>
      <c r="CS241" s="516"/>
      <c r="CT241" s="408"/>
      <c r="CU241" s="408"/>
      <c r="CV241" s="408"/>
      <c r="CW241" s="408"/>
      <c r="CX241" s="516"/>
      <c r="CY241" s="408"/>
      <c r="CZ241" s="408"/>
      <c r="DA241" s="408"/>
      <c r="DB241" s="408"/>
      <c r="DC241" s="516"/>
      <c r="DD241" s="408"/>
      <c r="DE241" s="408"/>
      <c r="DF241" s="408"/>
      <c r="DG241" s="408"/>
      <c r="DH241" s="516"/>
      <c r="DI241" s="408"/>
      <c r="DJ241" s="408"/>
      <c r="DK241" s="408"/>
      <c r="DL241" s="408"/>
      <c r="DM241" s="516"/>
      <c r="DN241" s="408"/>
      <c r="DO241" s="408"/>
      <c r="DP241" s="408"/>
      <c r="DQ241" s="408"/>
      <c r="DR241" s="516"/>
      <c r="DS241" s="408"/>
      <c r="DT241" s="408"/>
      <c r="DU241" s="408"/>
      <c r="DV241" s="408"/>
      <c r="DW241" s="516"/>
      <c r="DX241" s="408"/>
      <c r="DY241" s="408"/>
      <c r="DZ241" s="408"/>
      <c r="EA241" s="408"/>
      <c r="EB241" s="516"/>
      <c r="EC241" s="408"/>
      <c r="ED241" s="408"/>
      <c r="EE241" s="408"/>
      <c r="EF241" s="408"/>
      <c r="EG241" s="516"/>
      <c r="EH241" s="408"/>
      <c r="EI241" s="408"/>
      <c r="EJ241" s="408"/>
      <c r="EK241" s="408"/>
      <c r="EL241" s="516"/>
      <c r="EM241" s="408">
        <f>EM186-EM195</f>
      </c>
      <c r="EN241" s="408">
        <f>EN186-EN195</f>
      </c>
      <c r="EO241" s="408">
        <f>EO186-EO195</f>
      </c>
      <c r="EP241" s="408">
        <f>EP186-EP195</f>
      </c>
      <c r="EQ241" s="516">
        <f>SUM(EM241:EP241)</f>
      </c>
      <c r="ER241" s="408">
        <f>ER186-ER195</f>
      </c>
      <c r="ES241" s="408">
        <f>ES186-ES195</f>
      </c>
      <c r="ET241" s="408">
        <f>ET186-ET195</f>
      </c>
      <c r="EU241" s="408">
        <f>EU186-EU195</f>
      </c>
      <c r="EV241" s="516">
        <f>SUM(ER241:EU241)</f>
      </c>
      <c r="EW241" s="408">
        <f>EW186-EW195</f>
      </c>
      <c r="EX241" s="408">
        <f>EX186-EX195</f>
      </c>
      <c r="EY241" s="408">
        <f>EY186-EY195</f>
      </c>
      <c r="EZ241" s="408">
        <f>EZ186-EZ195</f>
      </c>
      <c r="FA241" s="516">
        <f>SUM(EW241:EZ241)</f>
      </c>
      <c r="FB241" s="408">
        <f t="shared" ref="FB241" si="247">EW241*(1+FB242)</f>
      </c>
      <c r="FC241" s="408">
        <f t="shared" ref="FC241" si="248">EX241*(1+FC242)</f>
      </c>
      <c r="FD241" s="408">
        <f t="shared" ref="FD241" si="249">EY241*(1+FD242)</f>
      </c>
      <c r="FE241" s="408">
        <f t="shared" ref="FE241" si="250">EZ241*(1+FE242)</f>
      </c>
      <c r="FF241" s="516">
        <f>SUM(FB241:FE241)</f>
      </c>
      <c r="FG241" s="408">
        <f t="shared" ref="FG241" si="251">FB241*(1+FG242)</f>
      </c>
      <c r="FH241" s="408">
        <f t="shared" ref="FH241" si="252">FC241*(1+FH242)</f>
      </c>
      <c r="FI241" s="408">
        <f t="shared" ref="FI241" si="253">FD241*(1+FI242)</f>
      </c>
      <c r="FJ241" s="408">
        <f t="shared" ref="FJ241" si="254">FE241*(1+FJ242)</f>
      </c>
      <c r="FK241" s="516">
        <f>SUM(FG241:FJ241)</f>
      </c>
      <c r="FL241" s="408">
        <f t="shared" ref="FL241" si="255">FG241*(1+FL242)</f>
      </c>
      <c r="FM241" s="408">
        <f t="shared" ref="FM241" si="256">FH241*(1+FM242)</f>
      </c>
      <c r="FN241" s="408">
        <f t="shared" ref="FN241" si="257">FI241*(1+FN242)</f>
      </c>
      <c r="FO241" s="408">
        <f t="shared" ref="FO241" si="258">FJ241*(1+FO242)</f>
      </c>
      <c r="FP241" s="516">
        <f>SUM(FL241:FO241)</f>
      </c>
      <c r="FQ241" s="408">
        <f t="shared" ref="FQ241" si="259">FL241*(1+FQ242)</f>
      </c>
      <c r="FR241" s="408">
        <f t="shared" ref="FR241" si="260">FM241*(1+FR242)</f>
      </c>
      <c r="FS241" s="408">
        <f t="shared" ref="FS241" si="261">FN241*(1+FS242)</f>
      </c>
      <c r="FT241" s="408">
        <f t="shared" ref="FT241" si="262">FO241*(1+FT242)</f>
      </c>
      <c r="FU241" s="516">
        <f>SUM(FQ241:FT241)</f>
      </c>
      <c r="FV241" s="408">
        <f t="shared" ref="FV241" si="263">FQ241*(1+FV242)</f>
      </c>
      <c r="FW241" s="408">
        <f t="shared" ref="FW241" si="264">FR241*(1+FW242)</f>
      </c>
      <c r="FX241" s="408">
        <f t="shared" ref="FX241" si="265">FS241*(1+FX242)</f>
      </c>
      <c r="FY241" s="408">
        <f t="shared" ref="FY241" si="266">FT241*(1+FY242)</f>
      </c>
      <c r="FZ241" s="516">
        <f>SUM(FV241:FY241)</f>
      </c>
      <c r="GA241" s="408">
        <f t="shared" ref="GA241" si="267">FV241*(1+GA242)</f>
      </c>
      <c r="GB241" s="408">
        <f t="shared" ref="GB241" si="268">FW241*(1+GB242)</f>
      </c>
      <c r="GC241" s="408">
        <f t="shared" ref="GC241" si="269">FX241*(1+GC242)</f>
      </c>
      <c r="GD241" s="408">
        <f t="shared" ref="GD241" si="270">FY241*(1+GD242)</f>
      </c>
      <c r="GE241" s="516">
        <f>SUM(GA241:GD241)</f>
      </c>
      <c r="GF241" s="408">
        <f t="shared" ref="GF241" si="271">GA241*(1+GF242)</f>
      </c>
      <c r="GG241" s="408">
        <f t="shared" ref="GG241" si="272">GB241*(1+GG242)</f>
      </c>
      <c r="GH241" s="408">
        <f t="shared" ref="GH241" si="273">GC241*(1+GH242)</f>
      </c>
      <c r="GI241" s="408">
        <f t="shared" ref="GI241" si="274">GD241*(1+GI242)</f>
      </c>
      <c r="GJ241" s="386">
        <f>SUM(GF241:GI241)</f>
      </c>
    </row>
    <row r="242" spans="1:192" s="479" customFormat="1" ht="12.75" customHeight="1">
      <c r="A242" s="81"/>
      <c r="B242" s="1744" t="s">
        <v>34</v>
      </c>
      <c r="C242" s="412"/>
      <c r="D242" s="114"/>
      <c r="E242" s="114"/>
      <c r="F242" s="114"/>
      <c r="G242" s="413"/>
      <c r="H242" s="412"/>
      <c r="I242" s="114"/>
      <c r="J242" s="114"/>
      <c r="K242" s="114"/>
      <c r="L242" s="413"/>
      <c r="M242" s="412"/>
      <c r="N242" s="114"/>
      <c r="O242" s="114"/>
      <c r="P242" s="114"/>
      <c r="Q242" s="413"/>
      <c r="R242" s="412"/>
      <c r="S242" s="114"/>
      <c r="T242" s="114"/>
      <c r="U242" s="114"/>
      <c r="V242" s="413"/>
      <c r="W242" s="412"/>
      <c r="X242" s="114"/>
      <c r="Y242" s="114"/>
      <c r="Z242" s="114"/>
      <c r="AA242" s="413"/>
      <c r="AB242" s="412"/>
      <c r="AC242" s="114"/>
      <c r="AD242" s="114"/>
      <c r="AE242" s="114"/>
      <c r="AF242" s="413"/>
      <c r="AG242" s="412"/>
      <c r="AH242" s="114"/>
      <c r="AI242" s="114"/>
      <c r="AJ242" s="114"/>
      <c r="AK242" s="413"/>
      <c r="AL242" s="412"/>
      <c r="AM242" s="114"/>
      <c r="AN242" s="114"/>
      <c r="AO242" s="114"/>
      <c r="AP242" s="413"/>
      <c r="AQ242" s="412"/>
      <c r="AR242" s="114"/>
      <c r="AS242" s="114"/>
      <c r="AT242" s="114"/>
      <c r="AU242" s="413"/>
      <c r="AV242" s="412"/>
      <c r="AW242" s="114"/>
      <c r="AX242" s="114"/>
      <c r="AY242" s="114"/>
      <c r="AZ242" s="413"/>
      <c r="BA242" s="412"/>
      <c r="BB242" s="114"/>
      <c r="BC242" s="114"/>
      <c r="BD242" s="114"/>
      <c r="BE242" s="413"/>
      <c r="BF242" s="412"/>
      <c r="BG242" s="114"/>
      <c r="BH242" s="114"/>
      <c r="BI242" s="114"/>
      <c r="BJ242" s="413"/>
      <c r="BK242" s="412"/>
      <c r="BL242" s="114"/>
      <c r="BM242" s="114"/>
      <c r="BN242" s="114"/>
      <c r="BO242" s="413"/>
      <c r="BP242" s="412"/>
      <c r="BQ242" s="114"/>
      <c r="BR242" s="114"/>
      <c r="BS242" s="114"/>
      <c r="BT242" s="413"/>
      <c r="BU242" s="412"/>
      <c r="BV242" s="114"/>
      <c r="BW242" s="114"/>
      <c r="BX242" s="114"/>
      <c r="BY242" s="413"/>
      <c r="BZ242" s="412"/>
      <c r="CA242" s="114"/>
      <c r="CB242" s="114"/>
      <c r="CC242" s="114"/>
      <c r="CD242" s="292"/>
      <c r="CE242" s="412"/>
      <c r="CF242" s="114"/>
      <c r="CG242" s="114"/>
      <c r="CH242" s="114"/>
      <c r="CI242" s="292"/>
      <c r="CJ242" s="412"/>
      <c r="CK242" s="114"/>
      <c r="CL242" s="114"/>
      <c r="CM242" s="114"/>
      <c r="CN242" s="292"/>
      <c r="CO242" s="412"/>
      <c r="CP242" s="114"/>
      <c r="CQ242" s="114"/>
      <c r="CR242" s="114"/>
      <c r="CS242" s="292"/>
      <c r="CT242" s="412"/>
      <c r="CU242" s="114"/>
      <c r="CV242" s="114"/>
      <c r="CW242" s="114"/>
      <c r="CX242" s="413"/>
      <c r="CY242" s="441"/>
      <c r="CZ242" s="1753"/>
      <c r="DA242" s="439"/>
      <c r="DB242" s="114"/>
      <c r="DC242" s="292"/>
      <c r="DD242" s="441"/>
      <c r="DE242" s="439"/>
      <c r="DF242" s="439"/>
      <c r="DG242" s="439"/>
      <c r="DH242" s="1754"/>
      <c r="DI242" s="441"/>
      <c r="DJ242" s="439"/>
      <c r="DK242" s="439"/>
      <c r="DL242" s="439"/>
      <c r="DM242" s="1754"/>
      <c r="DN242" s="441"/>
      <c r="DO242" s="439"/>
      <c r="DP242" s="439"/>
      <c r="DQ242" s="439"/>
      <c r="DR242" s="1754"/>
      <c r="DS242" s="441"/>
      <c r="DT242" s="439"/>
      <c r="DU242" s="439"/>
      <c r="DV242" s="114"/>
      <c r="DW242" s="292"/>
      <c r="DX242" s="441"/>
      <c r="DY242" s="114"/>
      <c r="DZ242" s="439"/>
      <c r="EA242" s="114"/>
      <c r="EB242" s="292"/>
      <c r="EC242" s="412"/>
      <c r="ED242" s="114"/>
      <c r="EE242" s="439"/>
      <c r="EF242" s="114"/>
      <c r="EG242" s="292"/>
      <c r="EH242" s="412"/>
      <c r="EI242" s="114"/>
      <c r="EJ242" s="439"/>
      <c r="EK242" s="114"/>
      <c r="EL242" s="413"/>
      <c r="EM242" s="412"/>
      <c r="EN242" s="114"/>
      <c r="EO242" s="114"/>
      <c r="EP242" s="114"/>
      <c r="EQ242" s="413"/>
      <c r="ER242" s="107">
        <f t="shared" ref="ER242:EV242" si="275">ER241/EM241-1</f>
      </c>
      <c r="ES242" s="107">
        <f t="shared" si="275"/>
      </c>
      <c r="ET242" s="107">
        <f t="shared" si="275"/>
      </c>
      <c r="EU242" s="107">
        <f t="shared" si="275"/>
      </c>
      <c r="EV242" s="293">
        <f t="shared" si="275"/>
      </c>
      <c r="EW242" s="114">
        <v>0.02</v>
      </c>
      <c r="EX242" s="439">
        <v>0.13</v>
      </c>
      <c r="EY242" s="439">
        <v>0.05</v>
      </c>
      <c r="EZ242" s="439">
        <v>0.09</v>
      </c>
      <c r="FA242" s="293">
        <f t="shared" ref="FA242" si="276">FA241/EV241-1</f>
      </c>
      <c r="FB242" s="114">
        <v>7.0000000000000007E-2</v>
      </c>
      <c r="FC242" s="114">
        <v>0.05</v>
      </c>
      <c r="FD242" s="114">
        <f>FC242</f>
      </c>
      <c r="FE242" s="114">
        <f>FD242</f>
      </c>
      <c r="FF242" s="293">
        <f t="shared" ref="FF242" si="277">FF241/FA241-1</f>
      </c>
      <c r="FG242" s="114">
        <v>0</v>
      </c>
      <c r="FH242" s="114">
        <f>FG242</f>
      </c>
      <c r="FI242" s="114">
        <f>FH242</f>
      </c>
      <c r="FJ242" s="114">
        <f>FI242</f>
      </c>
      <c r="FK242" s="293">
        <f t="shared" ref="FK242" si="278">FK241/FF241-1</f>
      </c>
      <c r="FL242" s="114">
        <v>-0.05</v>
      </c>
      <c r="FM242" s="114">
        <f>FL242</f>
      </c>
      <c r="FN242" s="114">
        <f>FM242</f>
      </c>
      <c r="FO242" s="114">
        <f>FN242</f>
      </c>
      <c r="FP242" s="293">
        <f t="shared" ref="FP242" si="279">FP241/FK241-1</f>
      </c>
      <c r="FQ242" s="114">
        <v>-0.05</v>
      </c>
      <c r="FR242" s="114">
        <f>FQ242</f>
      </c>
      <c r="FS242" s="114">
        <f>FR242</f>
      </c>
      <c r="FT242" s="114">
        <f>FS242</f>
      </c>
      <c r="FU242" s="293">
        <f t="shared" ref="FU242" si="280">FU241/FP241-1</f>
      </c>
      <c r="FV242" s="114">
        <v>-0.05</v>
      </c>
      <c r="FW242" s="114">
        <f>FV242</f>
      </c>
      <c r="FX242" s="114">
        <f>FW242</f>
      </c>
      <c r="FY242" s="114">
        <f>FX242</f>
      </c>
      <c r="FZ242" s="293">
        <f t="shared" ref="FZ242" si="281">FZ241/FU241-1</f>
      </c>
      <c r="GA242" s="114">
        <v>-0.05</v>
      </c>
      <c r="GB242" s="114">
        <f>GA242</f>
      </c>
      <c r="GC242" s="114">
        <f>GB242</f>
      </c>
      <c r="GD242" s="114">
        <f>GC242</f>
      </c>
      <c r="GE242" s="293">
        <f t="shared" ref="GE242" si="282">GE241/FZ241-1</f>
      </c>
      <c r="GF242" s="114">
        <v>-0.05</v>
      </c>
      <c r="GG242" s="114">
        <f>GF242</f>
      </c>
      <c r="GH242" s="114">
        <f>GG242</f>
      </c>
      <c r="GI242" s="114">
        <f>GH242</f>
      </c>
      <c r="GJ242" s="384">
        <f t="shared" ref="GJ242" si="283">GJ241/GE241-1</f>
      </c>
    </row>
    <row r="243" spans="1:192" s="476" customFormat="1" ht="12.75" customHeight="1">
      <c r="A243" s="784"/>
      <c r="B243" s="1744" t="s">
        <v>197</v>
      </c>
      <c r="C243" s="412"/>
      <c r="D243" s="114"/>
      <c r="E243" s="114"/>
      <c r="F243" s="114"/>
      <c r="G243" s="414"/>
      <c r="H243" s="412"/>
      <c r="I243" s="114"/>
      <c r="J243" s="114"/>
      <c r="K243" s="114"/>
      <c r="L243" s="414"/>
      <c r="M243" s="412"/>
      <c r="N243" s="114"/>
      <c r="O243" s="114"/>
      <c r="P243" s="114"/>
      <c r="Q243" s="414"/>
      <c r="R243" s="412"/>
      <c r="S243" s="114"/>
      <c r="T243" s="114"/>
      <c r="U243" s="114"/>
      <c r="V243" s="414"/>
      <c r="W243" s="412"/>
      <c r="X243" s="114"/>
      <c r="Y243" s="114"/>
      <c r="Z243" s="114"/>
      <c r="AA243" s="414"/>
      <c r="AB243" s="412"/>
      <c r="AC243" s="114"/>
      <c r="AD243" s="114"/>
      <c r="AE243" s="114"/>
      <c r="AF243" s="414"/>
      <c r="AG243" s="412"/>
      <c r="AH243" s="114"/>
      <c r="AI243" s="114"/>
      <c r="AJ243" s="114"/>
      <c r="AK243" s="414"/>
      <c r="AL243" s="412"/>
      <c r="AM243" s="114"/>
      <c r="AN243" s="114"/>
      <c r="AO243" s="114"/>
      <c r="AP243" s="414"/>
      <c r="AQ243" s="412"/>
      <c r="AR243" s="114"/>
      <c r="AS243" s="114"/>
      <c r="AT243" s="114"/>
      <c r="AU243" s="414"/>
      <c r="AV243" s="412"/>
      <c r="AW243" s="114"/>
      <c r="AX243" s="114"/>
      <c r="AY243" s="114"/>
      <c r="AZ243" s="414"/>
      <c r="BA243" s="412"/>
      <c r="BB243" s="114"/>
      <c r="BC243" s="114"/>
      <c r="BD243" s="114"/>
      <c r="BE243" s="414"/>
      <c r="BF243" s="412"/>
      <c r="BG243" s="114"/>
      <c r="BH243" s="114"/>
      <c r="BI243" s="114"/>
      <c r="BJ243" s="414"/>
      <c r="BK243" s="412"/>
      <c r="BL243" s="114"/>
      <c r="BM243" s="114"/>
      <c r="BN243" s="114"/>
      <c r="BO243" s="414"/>
      <c r="BP243" s="412"/>
      <c r="BQ243" s="114"/>
      <c r="BR243" s="114"/>
      <c r="BS243" s="114"/>
      <c r="BT243" s="414"/>
      <c r="BU243" s="412"/>
      <c r="BV243" s="114"/>
      <c r="BW243" s="114"/>
      <c r="BX243" s="114"/>
      <c r="BY243" s="414"/>
      <c r="BZ243" s="412"/>
      <c r="CA243" s="114"/>
      <c r="CB243" s="114"/>
      <c r="CC243" s="114"/>
      <c r="CD243" s="293"/>
      <c r="CE243" s="412"/>
      <c r="CF243" s="114"/>
      <c r="CG243" s="114"/>
      <c r="CH243" s="114"/>
      <c r="CI243" s="293"/>
      <c r="CJ243" s="412"/>
      <c r="CK243" s="114"/>
      <c r="CL243" s="114"/>
      <c r="CM243" s="114"/>
      <c r="CN243" s="293"/>
      <c r="CO243" s="412"/>
      <c r="CP243" s="114"/>
      <c r="CQ243" s="114"/>
      <c r="CR243" s="114"/>
      <c r="CS243" s="293"/>
      <c r="CT243" s="412"/>
      <c r="CU243" s="114"/>
      <c r="CV243" s="114"/>
      <c r="CW243" s="114"/>
      <c r="CX243" s="414"/>
      <c r="CY243" s="412"/>
      <c r="CZ243" s="114"/>
      <c r="DA243" s="114"/>
      <c r="DB243" s="114"/>
      <c r="DC243" s="293"/>
      <c r="DD243" s="441"/>
      <c r="DE243" s="439"/>
      <c r="DF243" s="439"/>
      <c r="DG243" s="439"/>
      <c r="DH243" s="895"/>
      <c r="DI243" s="441"/>
      <c r="DJ243" s="439"/>
      <c r="DK243" s="439"/>
      <c r="DL243" s="439"/>
      <c r="DM243" s="895"/>
      <c r="DN243" s="441"/>
      <c r="DO243" s="439"/>
      <c r="DP243" s="439"/>
      <c r="DQ243" s="439"/>
      <c r="DR243" s="895"/>
      <c r="DS243" s="412"/>
      <c r="DT243" s="114"/>
      <c r="DU243" s="114"/>
      <c r="DV243" s="114"/>
      <c r="DW243" s="293"/>
      <c r="DX243" s="412"/>
      <c r="DY243" s="114"/>
      <c r="DZ243" s="114"/>
      <c r="EA243" s="114"/>
      <c r="EB243" s="293"/>
      <c r="EC243" s="412"/>
      <c r="ED243" s="114"/>
      <c r="EE243" s="114"/>
      <c r="EF243" s="114"/>
      <c r="EG243" s="293"/>
      <c r="EH243" s="412"/>
      <c r="EI243" s="114"/>
      <c r="EJ243" s="439"/>
      <c r="EK243" s="439"/>
      <c r="EL243" s="293"/>
      <c r="EM243" s="441"/>
      <c r="EN243" s="439"/>
      <c r="EO243" s="439"/>
      <c r="EP243" s="114"/>
      <c r="EQ243" s="293"/>
      <c r="ER243" s="291"/>
      <c r="ES243" s="107"/>
      <c r="ET243" s="107"/>
      <c r="EU243" s="107"/>
      <c r="EV243" s="293"/>
      <c r="EW243" s="412">
        <v>0.03</v>
      </c>
      <c r="EX243" s="439">
        <v>0.13</v>
      </c>
      <c r="EY243" s="439">
        <v>0.08</v>
      </c>
      <c r="EZ243" s="439">
        <v>7.0000000000000007E-2</v>
      </c>
      <c r="FA243" s="293"/>
      <c r="FB243" s="291"/>
      <c r="FC243" s="107"/>
      <c r="FD243" s="107"/>
      <c r="FE243" s="107"/>
      <c r="FF243" s="293"/>
      <c r="FG243" s="291"/>
      <c r="FH243" s="107"/>
      <c r="FI243" s="107"/>
      <c r="FJ243" s="107"/>
      <c r="FK243" s="293"/>
      <c r="FL243" s="291"/>
      <c r="FM243" s="107"/>
      <c r="FN243" s="107"/>
      <c r="FO243" s="107"/>
      <c r="FP243" s="293"/>
      <c r="FQ243" s="291"/>
      <c r="FR243" s="107"/>
      <c r="FS243" s="107"/>
      <c r="FT243" s="107"/>
      <c r="FU243" s="293"/>
      <c r="FV243" s="291"/>
      <c r="FW243" s="107"/>
      <c r="FX243" s="107"/>
      <c r="FY243" s="107"/>
      <c r="FZ243" s="293"/>
      <c r="GA243" s="291"/>
      <c r="GB243" s="107"/>
      <c r="GC243" s="107"/>
      <c r="GD243" s="107"/>
      <c r="GE243" s="293"/>
      <c r="GF243" s="291"/>
      <c r="GG243" s="107"/>
      <c r="GH243" s="107"/>
      <c r="GI243" s="107"/>
      <c r="GJ243" s="382"/>
    </row>
    <row r="244" spans="1:192" ht="12.75" customHeight="1">
      <c r="B244" s="735" t="s">
        <v>36</v>
      </c>
      <c r="C244" s="291"/>
      <c r="D244" s="107"/>
      <c r="E244" s="107"/>
      <c r="F244" s="107"/>
      <c r="G244" s="292"/>
      <c r="H244" s="291"/>
      <c r="I244" s="107"/>
      <c r="J244" s="107"/>
      <c r="K244" s="107"/>
      <c r="L244" s="292"/>
      <c r="M244" s="291"/>
      <c r="N244" s="107"/>
      <c r="O244" s="107"/>
      <c r="P244" s="107"/>
      <c r="Q244" s="292"/>
      <c r="R244" s="291"/>
      <c r="S244" s="107"/>
      <c r="T244" s="107"/>
      <c r="U244" s="107"/>
      <c r="V244" s="292"/>
      <c r="W244" s="291"/>
      <c r="X244" s="107"/>
      <c r="Y244" s="107"/>
      <c r="Z244" s="107"/>
      <c r="AA244" s="292"/>
      <c r="AB244" s="291"/>
      <c r="AC244" s="107"/>
      <c r="AD244" s="107"/>
      <c r="AE244" s="107"/>
      <c r="AF244" s="292"/>
      <c r="AG244" s="291"/>
      <c r="AH244" s="107"/>
      <c r="AI244" s="107"/>
      <c r="AJ244" s="107"/>
      <c r="AK244" s="292"/>
      <c r="AL244" s="291"/>
      <c r="AM244" s="107"/>
      <c r="AN244" s="107"/>
      <c r="AO244" s="107"/>
      <c r="AP244" s="292"/>
      <c r="AQ244" s="291"/>
      <c r="AR244" s="107"/>
      <c r="AS244" s="107"/>
      <c r="AT244" s="107"/>
      <c r="AU244" s="292"/>
      <c r="AV244" s="291"/>
      <c r="AW244" s="107"/>
      <c r="AX244" s="107"/>
      <c r="AY244" s="107"/>
      <c r="AZ244" s="292"/>
      <c r="BA244" s="291"/>
      <c r="BB244" s="107"/>
      <c r="BC244" s="107"/>
      <c r="BD244" s="107"/>
      <c r="BE244" s="292"/>
      <c r="BF244" s="291"/>
      <c r="BG244" s="107"/>
      <c r="BH244" s="107"/>
      <c r="BI244" s="107"/>
      <c r="BJ244" s="292"/>
      <c r="BK244" s="291"/>
      <c r="BL244" s="107"/>
      <c r="BM244" s="107"/>
      <c r="BN244" s="107"/>
      <c r="BO244" s="292"/>
      <c r="BP244" s="291"/>
      <c r="BQ244" s="107"/>
      <c r="BR244" s="107"/>
      <c r="BS244" s="107"/>
      <c r="BT244" s="292"/>
      <c r="BU244" s="291"/>
      <c r="BV244" s="107"/>
      <c r="BW244" s="107"/>
      <c r="BX244" s="107"/>
      <c r="BY244" s="292"/>
      <c r="BZ244" s="291"/>
      <c r="CA244" s="107"/>
      <c r="CB244" s="107"/>
      <c r="CC244" s="107"/>
      <c r="CD244" s="292"/>
      <c r="CE244" s="291"/>
      <c r="CF244" s="107"/>
      <c r="CG244" s="107"/>
      <c r="CH244" s="107"/>
      <c r="CI244" s="292"/>
      <c r="CJ244" s="291"/>
      <c r="CK244" s="107"/>
      <c r="CL244" s="107"/>
      <c r="CM244" s="107"/>
      <c r="CN244" s="292"/>
      <c r="CO244" s="291"/>
      <c r="CP244" s="107"/>
      <c r="CQ244" s="107"/>
      <c r="CR244" s="107"/>
      <c r="CS244" s="292"/>
      <c r="CT244" s="291"/>
      <c r="CU244" s="107"/>
      <c r="CV244" s="107"/>
      <c r="CW244" s="107"/>
      <c r="CX244" s="292"/>
      <c r="CY244" s="291"/>
      <c r="CZ244" s="107"/>
      <c r="DA244" s="107"/>
      <c r="DB244" s="107"/>
      <c r="DC244" s="292"/>
      <c r="DD244" s="349"/>
      <c r="DE244" s="468"/>
      <c r="DF244" s="468"/>
      <c r="DG244" s="468"/>
      <c r="DH244" s="896"/>
      <c r="DI244" s="349"/>
      <c r="DJ244" s="468"/>
      <c r="DK244" s="468"/>
      <c r="DL244" s="468"/>
      <c r="DM244" s="896"/>
      <c r="DN244" s="349"/>
      <c r="DO244" s="468"/>
      <c r="DP244" s="468"/>
      <c r="DQ244" s="468"/>
      <c r="DR244" s="896"/>
      <c r="DS244" s="291"/>
      <c r="DT244" s="107"/>
      <c r="DU244" s="107"/>
      <c r="DV244" s="107"/>
      <c r="DW244" s="292"/>
      <c r="DX244" s="291"/>
      <c r="DY244" s="107"/>
      <c r="DZ244" s="107"/>
      <c r="EA244" s="107"/>
      <c r="EB244" s="292"/>
      <c r="EC244" s="291"/>
      <c r="ED244" s="107"/>
      <c r="EE244" s="107"/>
      <c r="EF244" s="107"/>
      <c r="EG244" s="292"/>
      <c r="EH244" s="291"/>
      <c r="EI244" s="107"/>
      <c r="EJ244" s="468"/>
      <c r="EK244" s="468"/>
      <c r="EL244" s="292"/>
      <c r="EM244" s="349"/>
      <c r="EN244" s="468"/>
      <c r="EO244" s="468"/>
      <c r="EP244" s="107"/>
      <c r="EQ244" s="292"/>
      <c r="ER244" s="291"/>
      <c r="ES244" s="107">
        <f>ES241/ER241-1</f>
      </c>
      <c r="ET244" s="107">
        <f>ET241/ES241-1</f>
      </c>
      <c r="EU244" s="107">
        <f>EU241/ET241-1</f>
      </c>
      <c r="EV244" s="292"/>
      <c r="EW244" s="291">
        <f>EW241/EU241-1</f>
      </c>
      <c r="EX244" s="107">
        <f>EX241/EW241-1</f>
      </c>
      <c r="EY244" s="107">
        <f>EY241/EX241-1</f>
      </c>
      <c r="EZ244" s="107">
        <f>EZ241/EY241-1</f>
      </c>
      <c r="FA244" s="292"/>
      <c r="FB244" s="291">
        <f>FB241/EZ241-1</f>
      </c>
      <c r="FC244" s="107">
        <f>FC241/FB241-1</f>
      </c>
      <c r="FD244" s="107">
        <f>FD241/FC241-1</f>
      </c>
      <c r="FE244" s="107">
        <f>FE241/FD241-1</f>
      </c>
      <c r="FF244" s="292"/>
      <c r="FG244" s="291">
        <f>FG241/FE241-1</f>
      </c>
      <c r="FH244" s="107">
        <f>FH241/FG241-1</f>
      </c>
      <c r="FI244" s="107">
        <f>FI241/FH241-1</f>
      </c>
      <c r="FJ244" s="107">
        <f>FJ241/FI241-1</f>
      </c>
      <c r="FK244" s="292"/>
      <c r="FL244" s="291">
        <f>FL241/FJ241-1</f>
      </c>
      <c r="FM244" s="107">
        <f>FM241/FL241-1</f>
      </c>
      <c r="FN244" s="107">
        <f>FN241/FM241-1</f>
      </c>
      <c r="FO244" s="107">
        <f>FO241/FN241-1</f>
      </c>
      <c r="FP244" s="292"/>
      <c r="FQ244" s="291">
        <f>FQ241/FO241-1</f>
      </c>
      <c r="FR244" s="107">
        <f>FR241/FQ241-1</f>
      </c>
      <c r="FS244" s="107">
        <f>FS241/FR241-1</f>
      </c>
      <c r="FT244" s="107">
        <f>FT241/FS241-1</f>
      </c>
      <c r="FU244" s="292"/>
      <c r="FV244" s="291">
        <f>FV241/FT241-1</f>
      </c>
      <c r="FW244" s="107">
        <f>FW241/FV241-1</f>
      </c>
      <c r="FX244" s="107">
        <f>FX241/FW241-1</f>
      </c>
      <c r="FY244" s="107">
        <f>FY241/FX241-1</f>
      </c>
      <c r="FZ244" s="292"/>
      <c r="GA244" s="291">
        <f>GA241/FY241-1</f>
      </c>
      <c r="GB244" s="107">
        <f>GB241/GA241-1</f>
      </c>
      <c r="GC244" s="107">
        <f>GC241/GB241-1</f>
      </c>
      <c r="GD244" s="107">
        <f>GD241/GC241-1</f>
      </c>
      <c r="GE244" s="292"/>
      <c r="GF244" s="291">
        <f>GF241/GD241-1</f>
      </c>
      <c r="GG244" s="107">
        <f>GG241/GF241-1</f>
      </c>
      <c r="GH244" s="107">
        <f>GH241/GG241-1</f>
      </c>
      <c r="GI244" s="107">
        <f>GI241/GH241-1</f>
      </c>
      <c r="GJ244" s="384"/>
    </row>
    <row r="245" spans="1:192" s="461" customFormat="1" ht="12.75" customHeight="1">
      <c r="A245" s="370"/>
      <c r="B245" s="735" t="s">
        <v>243</v>
      </c>
      <c r="C245" s="447"/>
      <c r="D245" s="458"/>
      <c r="E245" s="458"/>
      <c r="F245" s="458"/>
      <c r="G245" s="462"/>
      <c r="H245" s="447"/>
      <c r="I245" s="458"/>
      <c r="J245" s="458"/>
      <c r="K245" s="458"/>
      <c r="L245" s="462"/>
      <c r="M245" s="447"/>
      <c r="N245" s="458"/>
      <c r="O245" s="458"/>
      <c r="P245" s="458"/>
      <c r="Q245" s="462"/>
      <c r="R245" s="447"/>
      <c r="S245" s="458"/>
      <c r="T245" s="458"/>
      <c r="U245" s="458"/>
      <c r="V245" s="462"/>
      <c r="W245" s="447"/>
      <c r="X245" s="458"/>
      <c r="Y245" s="458"/>
      <c r="Z245" s="458"/>
      <c r="AA245" s="462"/>
      <c r="AB245" s="447"/>
      <c r="AC245" s="458"/>
      <c r="AD245" s="458"/>
      <c r="AE245" s="458"/>
      <c r="AF245" s="462"/>
      <c r="AG245" s="447"/>
      <c r="AH245" s="458"/>
      <c r="AI245" s="458"/>
      <c r="AJ245" s="458"/>
      <c r="AK245" s="462"/>
      <c r="AL245" s="447"/>
      <c r="AM245" s="458"/>
      <c r="AN245" s="458"/>
      <c r="AO245" s="458"/>
      <c r="AP245" s="462"/>
      <c r="AQ245" s="447"/>
      <c r="AR245" s="458"/>
      <c r="AS245" s="458"/>
      <c r="AT245" s="458"/>
      <c r="AU245" s="462"/>
      <c r="AV245" s="447"/>
      <c r="AW245" s="458"/>
      <c r="AX245" s="458"/>
      <c r="AY245" s="458"/>
      <c r="AZ245" s="462"/>
      <c r="BA245" s="447"/>
      <c r="BB245" s="458"/>
      <c r="BC245" s="458"/>
      <c r="BD245" s="458"/>
      <c r="BE245" s="462"/>
      <c r="BF245" s="447"/>
      <c r="BG245" s="458"/>
      <c r="BH245" s="458"/>
      <c r="BI245" s="458"/>
      <c r="BJ245" s="462"/>
      <c r="BK245" s="447"/>
      <c r="BL245" s="458"/>
      <c r="BM245" s="458"/>
      <c r="BN245" s="458"/>
      <c r="BO245" s="462"/>
      <c r="BP245" s="447"/>
      <c r="BQ245" s="458"/>
      <c r="BR245" s="458"/>
      <c r="BS245" s="458"/>
      <c r="BT245" s="462"/>
      <c r="BU245" s="447"/>
      <c r="BV245" s="458"/>
      <c r="BW245" s="458"/>
      <c r="BX245" s="458"/>
      <c r="BY245" s="462"/>
      <c r="BZ245" s="447"/>
      <c r="CA245" s="458"/>
      <c r="CB245" s="458"/>
      <c r="CC245" s="458"/>
      <c r="CD245" s="462"/>
      <c r="CE245" s="447"/>
      <c r="CF245" s="458"/>
      <c r="CG245" s="458"/>
      <c r="CH245" s="458"/>
      <c r="CI245" s="462"/>
      <c r="CJ245" s="447"/>
      <c r="CK245" s="458"/>
      <c r="CL245" s="458"/>
      <c r="CM245" s="458"/>
      <c r="CN245" s="462"/>
      <c r="CO245" s="447"/>
      <c r="CP245" s="458"/>
      <c r="CQ245" s="458"/>
      <c r="CR245" s="458"/>
      <c r="CS245" s="462"/>
      <c r="CT245" s="447"/>
      <c r="CU245" s="447"/>
      <c r="CV245" s="447"/>
      <c r="CW245" s="447"/>
      <c r="CX245" s="462"/>
      <c r="CY245" s="447"/>
      <c r="CZ245" s="447"/>
      <c r="DA245" s="447"/>
      <c r="DB245" s="447"/>
      <c r="DC245" s="462"/>
      <c r="DD245" s="496"/>
      <c r="DE245" s="496"/>
      <c r="DF245" s="496"/>
      <c r="DG245" s="511"/>
      <c r="DH245" s="897"/>
      <c r="DI245" s="496"/>
      <c r="DJ245" s="496"/>
      <c r="DK245" s="496"/>
      <c r="DL245" s="511"/>
      <c r="DM245" s="897"/>
      <c r="DN245" s="496"/>
      <c r="DO245" s="496"/>
      <c r="DP245" s="496"/>
      <c r="DQ245" s="511"/>
      <c r="DR245" s="897"/>
      <c r="DS245" s="447"/>
      <c r="DT245" s="447"/>
      <c r="DU245" s="447"/>
      <c r="DV245" s="447"/>
      <c r="DW245" s="462"/>
      <c r="DX245" s="447"/>
      <c r="DY245" s="447"/>
      <c r="DZ245" s="447"/>
      <c r="EA245" s="447"/>
      <c r="EB245" s="462"/>
      <c r="EC245" s="447"/>
      <c r="ED245" s="447"/>
      <c r="EE245" s="447"/>
      <c r="EF245" s="447"/>
      <c r="EG245" s="462"/>
      <c r="EH245" s="447"/>
      <c r="EI245" s="447"/>
      <c r="EJ245" s="1523"/>
      <c r="EK245" s="511"/>
      <c r="EL245" s="494"/>
      <c r="EM245" s="1523"/>
      <c r="EN245" s="1523"/>
      <c r="EO245" s="511"/>
      <c r="EP245" s="458"/>
      <c r="EQ245" s="462"/>
      <c r="ER245" s="458">
        <f t="shared" ref="ER245:GE245" si="284">ER241-EM241</f>
      </c>
      <c r="ES245" s="458">
        <f t="shared" si="284"/>
      </c>
      <c r="ET245" s="458">
        <f t="shared" si="284"/>
      </c>
      <c r="EU245" s="458">
        <f t="shared" si="284"/>
      </c>
      <c r="EV245" s="462">
        <f t="shared" si="284"/>
      </c>
      <c r="EW245" s="458">
        <f t="shared" si="284"/>
      </c>
      <c r="EX245" s="458">
        <f t="shared" si="284"/>
      </c>
      <c r="EY245" s="458">
        <f t="shared" si="284"/>
      </c>
      <c r="EZ245" s="458">
        <f t="shared" si="284"/>
      </c>
      <c r="FA245" s="462">
        <f t="shared" si="284"/>
      </c>
      <c r="FB245" s="458">
        <f t="shared" si="284"/>
      </c>
      <c r="FC245" s="458">
        <f t="shared" si="284"/>
      </c>
      <c r="FD245" s="458">
        <f t="shared" si="284"/>
      </c>
      <c r="FE245" s="458">
        <f t="shared" si="284"/>
      </c>
      <c r="FF245" s="462">
        <f t="shared" si="284"/>
      </c>
      <c r="FG245" s="458">
        <f t="shared" si="284"/>
      </c>
      <c r="FH245" s="458">
        <f t="shared" si="284"/>
      </c>
      <c r="FI245" s="458">
        <f t="shared" si="284"/>
      </c>
      <c r="FJ245" s="458">
        <f t="shared" si="284"/>
      </c>
      <c r="FK245" s="462">
        <f t="shared" si="284"/>
      </c>
      <c r="FL245" s="458">
        <f t="shared" si="284"/>
      </c>
      <c r="FM245" s="458">
        <f t="shared" si="284"/>
      </c>
      <c r="FN245" s="458">
        <f t="shared" si="284"/>
      </c>
      <c r="FO245" s="458">
        <f t="shared" si="284"/>
      </c>
      <c r="FP245" s="462">
        <f t="shared" si="284"/>
      </c>
      <c r="FQ245" s="458">
        <f t="shared" si="284"/>
      </c>
      <c r="FR245" s="458">
        <f t="shared" si="284"/>
      </c>
      <c r="FS245" s="458">
        <f t="shared" si="284"/>
      </c>
      <c r="FT245" s="458">
        <f t="shared" si="284"/>
      </c>
      <c r="FU245" s="462">
        <f t="shared" si="284"/>
      </c>
      <c r="FV245" s="447">
        <f t="shared" si="284"/>
      </c>
      <c r="FW245" s="458">
        <f t="shared" si="284"/>
      </c>
      <c r="FX245" s="458">
        <f t="shared" si="284"/>
      </c>
      <c r="FY245" s="458">
        <f t="shared" si="284"/>
      </c>
      <c r="FZ245" s="462">
        <f t="shared" si="284"/>
      </c>
      <c r="GA245" s="447">
        <f t="shared" si="284"/>
      </c>
      <c r="GB245" s="458">
        <f t="shared" si="284"/>
      </c>
      <c r="GC245" s="458">
        <f t="shared" si="284"/>
      </c>
      <c r="GD245" s="458">
        <f t="shared" si="284"/>
      </c>
      <c r="GE245" s="462">
        <f t="shared" si="284"/>
      </c>
      <c r="GF245" s="447">
        <f t="shared" ref="GF245" si="285">GF241-GA241</f>
      </c>
      <c r="GG245" s="458">
        <f t="shared" ref="GG245" si="286">GG241-GB241</f>
      </c>
      <c r="GH245" s="458">
        <f t="shared" ref="GH245" si="287">GH241-GC241</f>
      </c>
      <c r="GI245" s="458">
        <f t="shared" ref="GI245" si="288">GI241-GD241</f>
      </c>
      <c r="GJ245" s="497">
        <f t="shared" ref="GJ245" si="289">GJ241-GE241</f>
      </c>
    </row>
    <row r="246" spans="1:192" s="461" customFormat="1" ht="12.75" customHeight="1">
      <c r="A246" s="370"/>
      <c r="B246" s="735" t="s">
        <v>244</v>
      </c>
      <c r="C246" s="447"/>
      <c r="D246" s="458"/>
      <c r="E246" s="458"/>
      <c r="F246" s="458"/>
      <c r="G246" s="462"/>
      <c r="H246" s="447"/>
      <c r="I246" s="458"/>
      <c r="J246" s="458"/>
      <c r="K246" s="458"/>
      <c r="L246" s="462"/>
      <c r="M246" s="447"/>
      <c r="N246" s="458"/>
      <c r="O246" s="458"/>
      <c r="P246" s="458"/>
      <c r="Q246" s="462"/>
      <c r="R246" s="447"/>
      <c r="S246" s="458"/>
      <c r="T246" s="458"/>
      <c r="U246" s="458"/>
      <c r="V246" s="462"/>
      <c r="W246" s="447"/>
      <c r="X246" s="458"/>
      <c r="Y246" s="458"/>
      <c r="Z246" s="458"/>
      <c r="AA246" s="462"/>
      <c r="AB246" s="447"/>
      <c r="AC246" s="458"/>
      <c r="AD246" s="458"/>
      <c r="AE246" s="458"/>
      <c r="AF246" s="462"/>
      <c r="AG246" s="447"/>
      <c r="AH246" s="458"/>
      <c r="AI246" s="458"/>
      <c r="AJ246" s="458"/>
      <c r="AK246" s="462"/>
      <c r="AL246" s="447"/>
      <c r="AM246" s="458"/>
      <c r="AN246" s="458"/>
      <c r="AO246" s="458"/>
      <c r="AP246" s="462"/>
      <c r="AQ246" s="447"/>
      <c r="AR246" s="458"/>
      <c r="AS246" s="458"/>
      <c r="AT246" s="458"/>
      <c r="AU246" s="462"/>
      <c r="AV246" s="447"/>
      <c r="AW246" s="458"/>
      <c r="AX246" s="458"/>
      <c r="AY246" s="458"/>
      <c r="AZ246" s="462"/>
      <c r="BA246" s="447"/>
      <c r="BB246" s="458"/>
      <c r="BC246" s="458"/>
      <c r="BD246" s="458"/>
      <c r="BE246" s="462"/>
      <c r="BF246" s="447"/>
      <c r="BG246" s="458"/>
      <c r="BH246" s="458"/>
      <c r="BI246" s="458"/>
      <c r="BJ246" s="462"/>
      <c r="BK246" s="447"/>
      <c r="BL246" s="458"/>
      <c r="BM246" s="458"/>
      <c r="BN246" s="458"/>
      <c r="BO246" s="462"/>
      <c r="BP246" s="447"/>
      <c r="BQ246" s="458"/>
      <c r="BR246" s="458"/>
      <c r="BS246" s="458"/>
      <c r="BT246" s="462"/>
      <c r="BU246" s="447"/>
      <c r="BV246" s="458"/>
      <c r="BW246" s="458"/>
      <c r="BX246" s="458"/>
      <c r="BY246" s="462"/>
      <c r="BZ246" s="447"/>
      <c r="CA246" s="458"/>
      <c r="CB246" s="458"/>
      <c r="CC246" s="458"/>
      <c r="CD246" s="462"/>
      <c r="CE246" s="447"/>
      <c r="CF246" s="458"/>
      <c r="CG246" s="458"/>
      <c r="CH246" s="458"/>
      <c r="CI246" s="462"/>
      <c r="CJ246" s="447"/>
      <c r="CK246" s="458"/>
      <c r="CL246" s="458"/>
      <c r="CM246" s="458"/>
      <c r="CN246" s="462"/>
      <c r="CO246" s="447"/>
      <c r="CP246" s="458"/>
      <c r="CQ246" s="458"/>
      <c r="CR246" s="458"/>
      <c r="CS246" s="462"/>
      <c r="CT246" s="447"/>
      <c r="CU246" s="458"/>
      <c r="CV246" s="458"/>
      <c r="CW246" s="458"/>
      <c r="CX246" s="462"/>
      <c r="CY246" s="447"/>
      <c r="CZ246" s="458"/>
      <c r="DA246" s="458"/>
      <c r="DB246" s="458"/>
      <c r="DC246" s="462"/>
      <c r="DD246" s="511"/>
      <c r="DE246" s="679"/>
      <c r="DF246" s="679"/>
      <c r="DG246" s="679"/>
      <c r="DH246" s="898"/>
      <c r="DI246" s="511"/>
      <c r="DJ246" s="679"/>
      <c r="DK246" s="679"/>
      <c r="DL246" s="679"/>
      <c r="DM246" s="898"/>
      <c r="DN246" s="511"/>
      <c r="DO246" s="679"/>
      <c r="DP246" s="679"/>
      <c r="DQ246" s="679"/>
      <c r="DR246" s="898"/>
      <c r="DS246" s="447"/>
      <c r="DT246" s="458"/>
      <c r="DU246" s="458"/>
      <c r="DV246" s="458"/>
      <c r="DW246" s="462"/>
      <c r="DX246" s="447"/>
      <c r="DY246" s="458"/>
      <c r="DZ246" s="458"/>
      <c r="EA246" s="458"/>
      <c r="EB246" s="462"/>
      <c r="EC246" s="447"/>
      <c r="ED246" s="458"/>
      <c r="EE246" s="458"/>
      <c r="EF246" s="458"/>
      <c r="EG246" s="462"/>
      <c r="EH246" s="447"/>
      <c r="EI246" s="458"/>
      <c r="EJ246" s="679"/>
      <c r="EK246" s="679"/>
      <c r="EL246" s="462"/>
      <c r="EM246" s="447"/>
      <c r="EN246" s="458"/>
      <c r="EO246" s="458"/>
      <c r="EP246" s="458"/>
      <c r="EQ246" s="462"/>
      <c r="ER246" s="447">
        <f>ER241-EP241</f>
      </c>
      <c r="ES246" s="458">
        <f>ES241-ER241</f>
      </c>
      <c r="ET246" s="458">
        <f>ET241-ES241</f>
      </c>
      <c r="EU246" s="458">
        <f>EU241-ET241</f>
      </c>
      <c r="EV246" s="462"/>
      <c r="EW246" s="447">
        <f>EW241-EU241</f>
      </c>
      <c r="EX246" s="458">
        <f>EX241-EW241</f>
      </c>
      <c r="EY246" s="458">
        <f>EY241-EX241</f>
      </c>
      <c r="EZ246" s="458">
        <f>EZ241-EY241</f>
      </c>
      <c r="FA246" s="462"/>
      <c r="FB246" s="447">
        <f>FB241-EZ241</f>
      </c>
      <c r="FC246" s="458">
        <f>FC241-FB241</f>
      </c>
      <c r="FD246" s="458">
        <f>FD241-FC241</f>
      </c>
      <c r="FE246" s="458">
        <f>FE241-FD241</f>
      </c>
      <c r="FF246" s="462"/>
      <c r="FG246" s="447">
        <f>FG241-FE241</f>
      </c>
      <c r="FH246" s="458">
        <f>FH241-FG241</f>
      </c>
      <c r="FI246" s="458">
        <f>FI241-FH241</f>
      </c>
      <c r="FJ246" s="458">
        <f>FJ241-FI241</f>
      </c>
      <c r="FK246" s="462"/>
      <c r="FL246" s="447">
        <f>FL241-FJ241</f>
      </c>
      <c r="FM246" s="458">
        <f>FM241-FL241</f>
      </c>
      <c r="FN246" s="458">
        <f>FN241-FM241</f>
      </c>
      <c r="FO246" s="458">
        <f>FO241-FN241</f>
      </c>
      <c r="FP246" s="462"/>
      <c r="FQ246" s="447">
        <f>FQ241-FO241</f>
      </c>
      <c r="FR246" s="458">
        <f>FR241-FQ241</f>
      </c>
      <c r="FS246" s="458">
        <f>FS241-FR241</f>
      </c>
      <c r="FT246" s="458">
        <f>FT241-FS241</f>
      </c>
      <c r="FU246" s="462"/>
      <c r="FV246" s="447">
        <f>FV241-FT241</f>
      </c>
      <c r="FW246" s="458">
        <f>FW241-FV241</f>
      </c>
      <c r="FX246" s="458">
        <f>FX241-FW241</f>
      </c>
      <c r="FY246" s="458">
        <f>FY241-FX241</f>
      </c>
      <c r="FZ246" s="462"/>
      <c r="GA246" s="447">
        <f>GA241-FY241</f>
      </c>
      <c r="GB246" s="458">
        <f>GB241-GA241</f>
      </c>
      <c r="GC246" s="458">
        <f>GC241-GB241</f>
      </c>
      <c r="GD246" s="458">
        <f>GD241-GC241</f>
      </c>
      <c r="GE246" s="462"/>
      <c r="GF246" s="447">
        <f>GF241-GD241</f>
      </c>
      <c r="GG246" s="458">
        <f>GG241-GF241</f>
      </c>
      <c r="GH246" s="458">
        <f>GH241-GG241</f>
      </c>
      <c r="GI246" s="458">
        <f>GI241-GH241</f>
      </c>
      <c r="GJ246" s="497"/>
    </row>
    <row r="247" spans="1:192" ht="12.75" customHeight="1">
      <c r="B247" s="735" t="s">
        <v>1995</v>
      </c>
      <c r="C247" s="291"/>
      <c r="D247" s="107"/>
      <c r="E247" s="107"/>
      <c r="F247" s="107"/>
      <c r="G247" s="293"/>
      <c r="H247" s="291"/>
      <c r="I247" s="107"/>
      <c r="J247" s="107"/>
      <c r="K247" s="107"/>
      <c r="L247" s="293"/>
      <c r="M247" s="291"/>
      <c r="N247" s="107"/>
      <c r="O247" s="107"/>
      <c r="P247" s="107"/>
      <c r="Q247" s="293"/>
      <c r="R247" s="291"/>
      <c r="S247" s="107"/>
      <c r="T247" s="107"/>
      <c r="U247" s="107"/>
      <c r="V247" s="293"/>
      <c r="W247" s="291"/>
      <c r="X247" s="107"/>
      <c r="Y247" s="107"/>
      <c r="Z247" s="107"/>
      <c r="AA247" s="293"/>
      <c r="AB247" s="291"/>
      <c r="AC247" s="107"/>
      <c r="AD247" s="107"/>
      <c r="AE247" s="107"/>
      <c r="AF247" s="293"/>
      <c r="AG247" s="291"/>
      <c r="AH247" s="107"/>
      <c r="AI247" s="107"/>
      <c r="AJ247" s="107"/>
      <c r="AK247" s="293"/>
      <c r="AL247" s="291"/>
      <c r="AM247" s="107"/>
      <c r="AN247" s="107"/>
      <c r="AO247" s="107"/>
      <c r="AP247" s="293"/>
      <c r="AQ247" s="291"/>
      <c r="AR247" s="107"/>
      <c r="AS247" s="107"/>
      <c r="AT247" s="107"/>
      <c r="AU247" s="293"/>
      <c r="AV247" s="291"/>
      <c r="AW247" s="107"/>
      <c r="AX247" s="107"/>
      <c r="AY247" s="107"/>
      <c r="AZ247" s="293"/>
      <c r="BA247" s="291"/>
      <c r="BB247" s="107"/>
      <c r="BC247" s="107"/>
      <c r="BD247" s="107"/>
      <c r="BE247" s="293"/>
      <c r="BF247" s="291"/>
      <c r="BG247" s="107"/>
      <c r="BH247" s="107"/>
      <c r="BI247" s="107"/>
      <c r="BJ247" s="293"/>
      <c r="BK247" s="291"/>
      <c r="BL247" s="107"/>
      <c r="BM247" s="107"/>
      <c r="BN247" s="107"/>
      <c r="BO247" s="293"/>
      <c r="BP247" s="291"/>
      <c r="BQ247" s="107"/>
      <c r="BR247" s="107"/>
      <c r="BS247" s="107"/>
      <c r="BT247" s="293"/>
      <c r="BU247" s="291"/>
      <c r="BV247" s="107"/>
      <c r="BW247" s="107"/>
      <c r="BX247" s="107"/>
      <c r="BY247" s="293"/>
      <c r="BZ247" s="291"/>
      <c r="CA247" s="107"/>
      <c r="CB247" s="107"/>
      <c r="CC247" s="107"/>
      <c r="CD247" s="293"/>
      <c r="CE247" s="291"/>
      <c r="CF247" s="107"/>
      <c r="CG247" s="107"/>
      <c r="CH247" s="107"/>
      <c r="CI247" s="293"/>
      <c r="CJ247" s="291"/>
      <c r="CK247" s="107"/>
      <c r="CL247" s="107"/>
      <c r="CM247" s="107"/>
      <c r="CN247" s="293"/>
      <c r="CO247" s="291"/>
      <c r="CP247" s="291"/>
      <c r="CQ247" s="291"/>
      <c r="CR247" s="892"/>
      <c r="CS247" s="893"/>
      <c r="CT247" s="1146"/>
      <c r="CU247" s="1146"/>
      <c r="CV247" s="1146"/>
      <c r="CW247" s="441"/>
      <c r="CX247" s="293"/>
      <c r="CY247" s="107"/>
      <c r="CZ247" s="107"/>
      <c r="DA247" s="107"/>
      <c r="DB247" s="107"/>
      <c r="DC247" s="293"/>
      <c r="DD247" s="291"/>
      <c r="DE247" s="291"/>
      <c r="DF247" s="291"/>
      <c r="DG247" s="291"/>
      <c r="DH247" s="293"/>
      <c r="DI247" s="291"/>
      <c r="DJ247" s="291"/>
      <c r="DK247" s="291"/>
      <c r="DL247" s="412"/>
      <c r="DM247" s="293"/>
      <c r="DN247" s="107"/>
      <c r="DO247" s="107"/>
      <c r="DP247" s="107"/>
      <c r="DQ247" s="107"/>
      <c r="DR247" s="293"/>
      <c r="DS247" s="107"/>
      <c r="DT247" s="107"/>
      <c r="DU247" s="107"/>
      <c r="DV247" s="107"/>
      <c r="DW247" s="293"/>
      <c r="DX247" s="468"/>
      <c r="DY247" s="468"/>
      <c r="DZ247" s="468"/>
      <c r="EA247" s="107"/>
      <c r="EB247" s="293"/>
      <c r="EC247" s="107"/>
      <c r="ED247" s="107"/>
      <c r="EE247" s="107"/>
      <c r="EF247" s="924"/>
      <c r="EG247" s="893"/>
      <c r="EH247" s="107"/>
      <c r="EI247" s="107"/>
      <c r="EJ247" s="107"/>
      <c r="EK247" s="924"/>
      <c r="EL247" s="893"/>
      <c r="EM247" s="1361"/>
      <c r="EN247" s="1361"/>
      <c r="EO247" s="1361"/>
      <c r="EP247" s="468"/>
      <c r="EQ247" s="293"/>
      <c r="ER247" s="107"/>
      <c r="ES247" s="107"/>
      <c r="ET247" s="107"/>
      <c r="EU247" s="107"/>
      <c r="EV247" s="293"/>
      <c r="EW247" s="107">
        <f t="shared" ref="EW247:GE247" si="290">EW241/EW$186</f>
      </c>
      <c r="EX247" s="107">
        <f t="shared" si="290"/>
      </c>
      <c r="EY247" s="107">
        <f t="shared" si="290"/>
      </c>
      <c r="EZ247" s="107">
        <f t="shared" si="290"/>
      </c>
      <c r="FA247" s="293"/>
      <c r="FB247" s="107">
        <f t="shared" si="290"/>
      </c>
      <c r="FC247" s="107">
        <f t="shared" si="290"/>
      </c>
      <c r="FD247" s="107">
        <f t="shared" si="290"/>
      </c>
      <c r="FE247" s="107">
        <f t="shared" si="290"/>
      </c>
      <c r="FF247" s="293">
        <f t="shared" si="290"/>
      </c>
      <c r="FG247" s="107">
        <f t="shared" si="290"/>
      </c>
      <c r="FH247" s="107">
        <f t="shared" si="290"/>
      </c>
      <c r="FI247" s="107">
        <f t="shared" si="290"/>
      </c>
      <c r="FJ247" s="107">
        <f t="shared" si="290"/>
      </c>
      <c r="FK247" s="293">
        <f t="shared" si="290"/>
      </c>
      <c r="FL247" s="107">
        <f t="shared" si="290"/>
      </c>
      <c r="FM247" s="107">
        <f t="shared" si="290"/>
      </c>
      <c r="FN247" s="107">
        <f t="shared" si="290"/>
      </c>
      <c r="FO247" s="107">
        <f t="shared" si="290"/>
      </c>
      <c r="FP247" s="293">
        <f t="shared" si="290"/>
      </c>
      <c r="FQ247" s="107">
        <f t="shared" si="290"/>
      </c>
      <c r="FR247" s="107">
        <f t="shared" si="290"/>
      </c>
      <c r="FS247" s="107">
        <f t="shared" si="290"/>
      </c>
      <c r="FT247" s="107">
        <f t="shared" si="290"/>
      </c>
      <c r="FU247" s="293">
        <f t="shared" si="290"/>
      </c>
      <c r="FV247" s="291">
        <f t="shared" si="290"/>
      </c>
      <c r="FW247" s="107">
        <f t="shared" si="290"/>
      </c>
      <c r="FX247" s="107">
        <f t="shared" si="290"/>
      </c>
      <c r="FY247" s="107">
        <f t="shared" si="290"/>
      </c>
      <c r="FZ247" s="293">
        <f t="shared" si="290"/>
      </c>
      <c r="GA247" s="291">
        <f t="shared" si="290"/>
      </c>
      <c r="GB247" s="107">
        <f t="shared" si="290"/>
      </c>
      <c r="GC247" s="107">
        <f t="shared" si="290"/>
      </c>
      <c r="GD247" s="107">
        <f t="shared" si="290"/>
      </c>
      <c r="GE247" s="293">
        <f t="shared" si="290"/>
      </c>
      <c r="GF247" s="291">
        <f t="shared" ref="GF247:GJ247" si="291">GF241/GF$186</f>
      </c>
      <c r="GG247" s="107">
        <f t="shared" si="291"/>
      </c>
      <c r="GH247" s="107">
        <f t="shared" si="291"/>
      </c>
      <c r="GI247" s="107">
        <f t="shared" si="291"/>
      </c>
      <c r="GJ247" s="382">
        <f t="shared" si="291"/>
      </c>
    </row>
    <row r="248" spans="1:192" ht="12.75" customHeight="1">
      <c r="B248" s="735" t="s">
        <v>1994</v>
      </c>
      <c r="C248" s="291"/>
      <c r="D248" s="107"/>
      <c r="E248" s="107"/>
      <c r="F248" s="107"/>
      <c r="G248" s="292"/>
      <c r="H248" s="291"/>
      <c r="I248" s="107"/>
      <c r="J248" s="107"/>
      <c r="K248" s="107"/>
      <c r="L248" s="292"/>
      <c r="M248" s="291"/>
      <c r="N248" s="107"/>
      <c r="O248" s="107"/>
      <c r="P248" s="107"/>
      <c r="Q248" s="292"/>
      <c r="R248" s="291"/>
      <c r="S248" s="107"/>
      <c r="T248" s="107"/>
      <c r="U248" s="107"/>
      <c r="V248" s="292"/>
      <c r="W248" s="291"/>
      <c r="X248" s="107"/>
      <c r="Y248" s="107"/>
      <c r="Z248" s="107"/>
      <c r="AA248" s="292"/>
      <c r="AB248" s="291"/>
      <c r="AC248" s="107"/>
      <c r="AD248" s="107"/>
      <c r="AE248" s="107"/>
      <c r="AF248" s="292"/>
      <c r="AG248" s="291"/>
      <c r="AH248" s="107"/>
      <c r="AI248" s="107"/>
      <c r="AJ248" s="107"/>
      <c r="AK248" s="292"/>
      <c r="AL248" s="291"/>
      <c r="AM248" s="107"/>
      <c r="AN248" s="107"/>
      <c r="AO248" s="107"/>
      <c r="AP248" s="292"/>
      <c r="AQ248" s="291"/>
      <c r="AR248" s="107"/>
      <c r="AS248" s="107"/>
      <c r="AT248" s="107"/>
      <c r="AU248" s="292"/>
      <c r="AV248" s="291"/>
      <c r="AW248" s="107"/>
      <c r="AX248" s="107"/>
      <c r="AY248" s="107"/>
      <c r="AZ248" s="292"/>
      <c r="BA248" s="291"/>
      <c r="BB248" s="107"/>
      <c r="BC248" s="107"/>
      <c r="BD248" s="107"/>
      <c r="BE248" s="292"/>
      <c r="BF248" s="291"/>
      <c r="BG248" s="107"/>
      <c r="BH248" s="107"/>
      <c r="BI248" s="107"/>
      <c r="BJ248" s="292"/>
      <c r="BK248" s="291"/>
      <c r="BL248" s="107"/>
      <c r="BM248" s="107"/>
      <c r="BN248" s="107"/>
      <c r="BO248" s="292"/>
      <c r="BP248" s="291"/>
      <c r="BQ248" s="107"/>
      <c r="BR248" s="107"/>
      <c r="BS248" s="107"/>
      <c r="BT248" s="292"/>
      <c r="BU248" s="291"/>
      <c r="BV248" s="107"/>
      <c r="BW248" s="107"/>
      <c r="BX248" s="107"/>
      <c r="BY248" s="292"/>
      <c r="BZ248" s="291"/>
      <c r="CA248" s="107"/>
      <c r="CB248" s="107"/>
      <c r="CC248" s="107"/>
      <c r="CD248" s="292"/>
      <c r="CE248" s="291"/>
      <c r="CF248" s="107"/>
      <c r="CG248" s="107"/>
      <c r="CH248" s="107"/>
      <c r="CI248" s="292"/>
      <c r="CJ248" s="291"/>
      <c r="CK248" s="107"/>
      <c r="CL248" s="107"/>
      <c r="CM248" s="107"/>
      <c r="CN248" s="292"/>
      <c r="CO248" s="291"/>
      <c r="CP248" s="107"/>
      <c r="CQ248" s="107"/>
      <c r="CR248" s="107"/>
      <c r="CS248" s="292"/>
      <c r="CT248" s="291"/>
      <c r="CU248" s="291"/>
      <c r="CV248" s="291"/>
      <c r="CW248" s="291"/>
      <c r="CX248" s="292"/>
      <c r="CY248" s="291"/>
      <c r="CZ248" s="291"/>
      <c r="DA248" s="291"/>
      <c r="DB248" s="291"/>
      <c r="DC248" s="292"/>
      <c r="DD248" s="349"/>
      <c r="DE248" s="349"/>
      <c r="DF248" s="349"/>
      <c r="DG248" s="349"/>
      <c r="DH248" s="896"/>
      <c r="DI248" s="349"/>
      <c r="DJ248" s="349"/>
      <c r="DK248" s="349"/>
      <c r="DL248" s="349"/>
      <c r="DM248" s="896"/>
      <c r="DN248" s="349"/>
      <c r="DO248" s="349"/>
      <c r="DP248" s="349"/>
      <c r="DQ248" s="349"/>
      <c r="DR248" s="896"/>
      <c r="DS248" s="291"/>
      <c r="DT248" s="291"/>
      <c r="DU248" s="291"/>
      <c r="DV248" s="291"/>
      <c r="DW248" s="292"/>
      <c r="DX248" s="291"/>
      <c r="DY248" s="291"/>
      <c r="DZ248" s="291"/>
      <c r="EA248" s="291"/>
      <c r="EB248" s="292"/>
      <c r="EC248" s="291"/>
      <c r="ED248" s="291"/>
      <c r="EE248" s="291"/>
      <c r="EF248" s="291"/>
      <c r="EG248" s="292"/>
      <c r="EH248" s="291"/>
      <c r="EI248" s="291"/>
      <c r="EJ248" s="349"/>
      <c r="EK248" s="349"/>
      <c r="EL248" s="292"/>
      <c r="EM248" s="291"/>
      <c r="EN248" s="291"/>
      <c r="EO248" s="291"/>
      <c r="EP248" s="291"/>
      <c r="EQ248" s="292"/>
      <c r="ER248" s="291">
        <f t="shared" ref="ER248:GE248" si="292">ER241/ER$131</f>
      </c>
      <c r="ES248" s="291">
        <f t="shared" si="292"/>
      </c>
      <c r="ET248" s="291">
        <f t="shared" si="292"/>
      </c>
      <c r="EU248" s="291">
        <f t="shared" si="292"/>
      </c>
      <c r="EV248" s="292">
        <f t="shared" si="292"/>
      </c>
      <c r="EW248" s="291">
        <f t="shared" si="292"/>
      </c>
      <c r="EX248" s="291">
        <f t="shared" ref="EX248:FA248" si="293">EX241/EX$131</f>
      </c>
      <c r="EY248" s="291">
        <f t="shared" si="293"/>
      </c>
      <c r="EZ248" s="291">
        <f t="shared" si="293"/>
      </c>
      <c r="FA248" s="292">
        <f t="shared" si="293"/>
      </c>
      <c r="FB248" s="291">
        <f t="shared" si="292"/>
      </c>
      <c r="FC248" s="291">
        <f t="shared" si="292"/>
      </c>
      <c r="FD248" s="291">
        <f t="shared" si="292"/>
      </c>
      <c r="FE248" s="291">
        <f t="shared" si="292"/>
      </c>
      <c r="FF248" s="292">
        <f t="shared" si="292"/>
      </c>
      <c r="FG248" s="291">
        <f t="shared" si="292"/>
      </c>
      <c r="FH248" s="291">
        <f t="shared" si="292"/>
      </c>
      <c r="FI248" s="291">
        <f t="shared" si="292"/>
      </c>
      <c r="FJ248" s="291">
        <f t="shared" si="292"/>
      </c>
      <c r="FK248" s="292">
        <f t="shared" si="292"/>
      </c>
      <c r="FL248" s="291">
        <f t="shared" si="292"/>
      </c>
      <c r="FM248" s="291">
        <f t="shared" si="292"/>
      </c>
      <c r="FN248" s="291">
        <f t="shared" si="292"/>
      </c>
      <c r="FO248" s="291">
        <f t="shared" si="292"/>
      </c>
      <c r="FP248" s="292">
        <f t="shared" si="292"/>
      </c>
      <c r="FQ248" s="291">
        <f t="shared" si="292"/>
      </c>
      <c r="FR248" s="291">
        <f t="shared" si="292"/>
      </c>
      <c r="FS248" s="291">
        <f t="shared" si="292"/>
      </c>
      <c r="FT248" s="291">
        <f t="shared" si="292"/>
      </c>
      <c r="FU248" s="292">
        <f t="shared" si="292"/>
      </c>
      <c r="FV248" s="291">
        <f t="shared" si="292"/>
      </c>
      <c r="FW248" s="107">
        <f t="shared" si="292"/>
      </c>
      <c r="FX248" s="107">
        <f t="shared" si="292"/>
      </c>
      <c r="FY248" s="107">
        <f t="shared" si="292"/>
      </c>
      <c r="FZ248" s="292">
        <f t="shared" si="292"/>
      </c>
      <c r="GA248" s="291">
        <f t="shared" si="292"/>
      </c>
      <c r="GB248" s="107">
        <f t="shared" si="292"/>
      </c>
      <c r="GC248" s="107">
        <f t="shared" si="292"/>
      </c>
      <c r="GD248" s="107">
        <f t="shared" si="292"/>
      </c>
      <c r="GE248" s="292">
        <f t="shared" si="292"/>
      </c>
      <c r="GF248" s="291">
        <f t="shared" ref="GF248:GJ248" si="294">GF241/GF$131</f>
      </c>
      <c r="GG248" s="107">
        <f t="shared" si="294"/>
      </c>
      <c r="GH248" s="107">
        <f t="shared" si="294"/>
      </c>
      <c r="GI248" s="107">
        <f t="shared" si="294"/>
      </c>
      <c r="GJ248" s="384">
        <f t="shared" si="294"/>
      </c>
    </row>
    <row r="249" spans="1:192" ht="12.75" customHeight="1">
      <c r="B249" s="735" t="s">
        <v>1884</v>
      </c>
      <c r="C249" s="291"/>
      <c r="D249" s="107"/>
      <c r="E249" s="107"/>
      <c r="F249" s="107"/>
      <c r="G249" s="292"/>
      <c r="H249" s="291"/>
      <c r="I249" s="107"/>
      <c r="J249" s="107"/>
      <c r="K249" s="107"/>
      <c r="L249" s="292"/>
      <c r="M249" s="291"/>
      <c r="N249" s="107"/>
      <c r="O249" s="107"/>
      <c r="P249" s="107"/>
      <c r="Q249" s="292"/>
      <c r="R249" s="291"/>
      <c r="S249" s="107"/>
      <c r="T249" s="107"/>
      <c r="U249" s="107"/>
      <c r="V249" s="292"/>
      <c r="W249" s="291"/>
      <c r="X249" s="107"/>
      <c r="Y249" s="107"/>
      <c r="Z249" s="107"/>
      <c r="AA249" s="292"/>
      <c r="AB249" s="291"/>
      <c r="AC249" s="107"/>
      <c r="AD249" s="107"/>
      <c r="AE249" s="107"/>
      <c r="AF249" s="292"/>
      <c r="AG249" s="291"/>
      <c r="AH249" s="107"/>
      <c r="AI249" s="107"/>
      <c r="AJ249" s="107"/>
      <c r="AK249" s="292"/>
      <c r="AL249" s="291"/>
      <c r="AM249" s="107"/>
      <c r="AN249" s="107"/>
      <c r="AO249" s="107"/>
      <c r="AP249" s="292"/>
      <c r="AQ249" s="291"/>
      <c r="AR249" s="107"/>
      <c r="AS249" s="107"/>
      <c r="AT249" s="107"/>
      <c r="AU249" s="292"/>
      <c r="AV249" s="291"/>
      <c r="AW249" s="107"/>
      <c r="AX249" s="107"/>
      <c r="AY249" s="107"/>
      <c r="AZ249" s="292"/>
      <c r="BA249" s="291"/>
      <c r="BB249" s="107"/>
      <c r="BC249" s="107"/>
      <c r="BD249" s="107"/>
      <c r="BE249" s="292"/>
      <c r="BF249" s="291"/>
      <c r="BG249" s="107"/>
      <c r="BH249" s="107"/>
      <c r="BI249" s="107"/>
      <c r="BJ249" s="292"/>
      <c r="BK249" s="291"/>
      <c r="BL249" s="107"/>
      <c r="BM249" s="107"/>
      <c r="BN249" s="107"/>
      <c r="BO249" s="292"/>
      <c r="BP249" s="291"/>
      <c r="BQ249" s="107"/>
      <c r="BR249" s="107"/>
      <c r="BS249" s="107"/>
      <c r="BT249" s="292"/>
      <c r="BU249" s="291"/>
      <c r="BV249" s="107"/>
      <c r="BW249" s="107"/>
      <c r="BX249" s="107"/>
      <c r="BY249" s="292"/>
      <c r="BZ249" s="291"/>
      <c r="CA249" s="107"/>
      <c r="CB249" s="107"/>
      <c r="CC249" s="107"/>
      <c r="CD249" s="292"/>
      <c r="CE249" s="291"/>
      <c r="CF249" s="107"/>
      <c r="CG249" s="107"/>
      <c r="CH249" s="107"/>
      <c r="CI249" s="292"/>
      <c r="CJ249" s="291"/>
      <c r="CK249" s="107"/>
      <c r="CL249" s="107"/>
      <c r="CM249" s="107"/>
      <c r="CN249" s="292"/>
      <c r="CO249" s="291"/>
      <c r="CP249" s="107"/>
      <c r="CQ249" s="107"/>
      <c r="CR249" s="107"/>
      <c r="CS249" s="292"/>
      <c r="CT249" s="291"/>
      <c r="CU249" s="291"/>
      <c r="CV249" s="291"/>
      <c r="CW249" s="291"/>
      <c r="CX249" s="292"/>
      <c r="CY249" s="291"/>
      <c r="CZ249" s="291"/>
      <c r="DA249" s="291"/>
      <c r="DB249" s="291"/>
      <c r="DC249" s="292"/>
      <c r="DD249" s="349"/>
      <c r="DE249" s="349"/>
      <c r="DF249" s="349"/>
      <c r="DG249" s="349"/>
      <c r="DH249" s="896"/>
      <c r="DI249" s="349"/>
      <c r="DJ249" s="349"/>
      <c r="DK249" s="349"/>
      <c r="DL249" s="349"/>
      <c r="DM249" s="896"/>
      <c r="DN249" s="349"/>
      <c r="DO249" s="349"/>
      <c r="DP249" s="349"/>
      <c r="DQ249" s="349"/>
      <c r="DR249" s="896"/>
      <c r="DS249" s="291"/>
      <c r="DT249" s="291"/>
      <c r="DU249" s="291"/>
      <c r="DV249" s="291"/>
      <c r="DW249" s="292"/>
      <c r="DX249" s="291"/>
      <c r="DY249" s="291"/>
      <c r="DZ249" s="291"/>
      <c r="EA249" s="291"/>
      <c r="EB249" s="292"/>
      <c r="EC249" s="291"/>
      <c r="ED249" s="291"/>
      <c r="EE249" s="291"/>
      <c r="EF249" s="291"/>
      <c r="EG249" s="292"/>
      <c r="EH249" s="291"/>
      <c r="EI249" s="291"/>
      <c r="EJ249" s="291"/>
      <c r="EK249" s="291"/>
      <c r="EL249" s="292"/>
      <c r="EM249" s="291"/>
      <c r="EN249" s="291"/>
      <c r="EO249" s="291"/>
      <c r="EP249" s="291"/>
      <c r="EQ249" s="292"/>
      <c r="ER249" s="291">
        <f t="shared" ref="ER249:GE249" si="295">ER241/ER$10</f>
      </c>
      <c r="ES249" s="291">
        <f t="shared" si="295"/>
      </c>
      <c r="ET249" s="291">
        <f t="shared" si="295"/>
      </c>
      <c r="EU249" s="291">
        <f t="shared" si="295"/>
      </c>
      <c r="EV249" s="292">
        <f t="shared" si="295"/>
      </c>
      <c r="EW249" s="291">
        <f t="shared" si="295"/>
      </c>
      <c r="EX249" s="291">
        <f t="shared" ref="EX249:FA249" si="296">EX241/EX$10</f>
      </c>
      <c r="EY249" s="291">
        <f t="shared" si="296"/>
      </c>
      <c r="EZ249" s="291">
        <f t="shared" si="296"/>
      </c>
      <c r="FA249" s="292">
        <f t="shared" si="296"/>
      </c>
      <c r="FB249" s="291">
        <f t="shared" si="295"/>
      </c>
      <c r="FC249" s="291">
        <f t="shared" si="295"/>
      </c>
      <c r="FD249" s="291">
        <f t="shared" si="295"/>
      </c>
      <c r="FE249" s="291">
        <f t="shared" si="295"/>
      </c>
      <c r="FF249" s="292">
        <f t="shared" si="295"/>
      </c>
      <c r="FG249" s="291">
        <f t="shared" si="295"/>
      </c>
      <c r="FH249" s="291">
        <f t="shared" si="295"/>
      </c>
      <c r="FI249" s="291">
        <f t="shared" si="295"/>
      </c>
      <c r="FJ249" s="291">
        <f t="shared" si="295"/>
      </c>
      <c r="FK249" s="292">
        <f t="shared" si="295"/>
      </c>
      <c r="FL249" s="291">
        <f t="shared" si="295"/>
      </c>
      <c r="FM249" s="291">
        <f t="shared" si="295"/>
      </c>
      <c r="FN249" s="291">
        <f t="shared" si="295"/>
      </c>
      <c r="FO249" s="291">
        <f t="shared" si="295"/>
      </c>
      <c r="FP249" s="292">
        <f t="shared" si="295"/>
      </c>
      <c r="FQ249" s="291">
        <f t="shared" si="295"/>
      </c>
      <c r="FR249" s="291">
        <f t="shared" si="295"/>
      </c>
      <c r="FS249" s="291">
        <f t="shared" si="295"/>
      </c>
      <c r="FT249" s="291">
        <f t="shared" si="295"/>
      </c>
      <c r="FU249" s="292">
        <f t="shared" si="295"/>
      </c>
      <c r="FV249" s="291">
        <f t="shared" si="295"/>
      </c>
      <c r="FW249" s="107">
        <f t="shared" si="295"/>
      </c>
      <c r="FX249" s="107">
        <f t="shared" si="295"/>
      </c>
      <c r="FY249" s="107">
        <f t="shared" si="295"/>
      </c>
      <c r="FZ249" s="292">
        <f t="shared" si="295"/>
      </c>
      <c r="GA249" s="291">
        <f t="shared" si="295"/>
      </c>
      <c r="GB249" s="107">
        <f t="shared" si="295"/>
      </c>
      <c r="GC249" s="107">
        <f t="shared" si="295"/>
      </c>
      <c r="GD249" s="107">
        <f t="shared" si="295"/>
      </c>
      <c r="GE249" s="292">
        <f t="shared" si="295"/>
      </c>
      <c r="GF249" s="291">
        <f t="shared" ref="GF249:GJ249" si="297">GF241/GF$10</f>
      </c>
      <c r="GG249" s="107">
        <f t="shared" si="297"/>
      </c>
      <c r="GH249" s="107">
        <f t="shared" si="297"/>
      </c>
      <c r="GI249" s="107">
        <f t="shared" si="297"/>
      </c>
      <c r="GJ249" s="384">
        <f t="shared" si="297"/>
      </c>
    </row>
    <row r="250" spans="1:192" ht="12.75" customHeight="1" thickBot="1">
      <c r="B250" s="743"/>
      <c r="C250" s="393"/>
      <c r="D250" s="388"/>
      <c r="E250" s="388"/>
      <c r="F250" s="388"/>
      <c r="G250" s="394"/>
      <c r="H250" s="393"/>
      <c r="I250" s="388"/>
      <c r="J250" s="388"/>
      <c r="K250" s="388"/>
      <c r="L250" s="394"/>
      <c r="M250" s="393"/>
      <c r="N250" s="388"/>
      <c r="O250" s="388"/>
      <c r="P250" s="388"/>
      <c r="Q250" s="394"/>
      <c r="R250" s="393"/>
      <c r="S250" s="388"/>
      <c r="T250" s="388"/>
      <c r="U250" s="388"/>
      <c r="V250" s="394"/>
      <c r="W250" s="393"/>
      <c r="X250" s="388"/>
      <c r="Y250" s="388"/>
      <c r="Z250" s="388"/>
      <c r="AA250" s="394"/>
      <c r="AB250" s="393"/>
      <c r="AC250" s="388"/>
      <c r="AD250" s="388"/>
      <c r="AE250" s="388"/>
      <c r="AF250" s="394"/>
      <c r="AG250" s="393"/>
      <c r="AH250" s="388"/>
      <c r="AI250" s="388"/>
      <c r="AJ250" s="388"/>
      <c r="AK250" s="394"/>
      <c r="AL250" s="393"/>
      <c r="AM250" s="388"/>
      <c r="AN250" s="388"/>
      <c r="AO250" s="388"/>
      <c r="AP250" s="394"/>
      <c r="AQ250" s="393"/>
      <c r="AR250" s="388"/>
      <c r="AS250" s="388"/>
      <c r="AT250" s="388"/>
      <c r="AU250" s="394"/>
      <c r="AV250" s="393"/>
      <c r="AW250" s="388"/>
      <c r="AX250" s="388"/>
      <c r="AY250" s="388"/>
      <c r="AZ250" s="394"/>
      <c r="BA250" s="393"/>
      <c r="BB250" s="388"/>
      <c r="BC250" s="388"/>
      <c r="BD250" s="388"/>
      <c r="BE250" s="394"/>
      <c r="BF250" s="393"/>
      <c r="BG250" s="388"/>
      <c r="BH250" s="388"/>
      <c r="BI250" s="388"/>
      <c r="BJ250" s="394"/>
      <c r="BK250" s="393"/>
      <c r="BL250" s="388"/>
      <c r="BM250" s="388"/>
      <c r="BN250" s="388"/>
      <c r="BO250" s="394"/>
      <c r="BP250" s="393"/>
      <c r="BQ250" s="388"/>
      <c r="BR250" s="388"/>
      <c r="BS250" s="388"/>
      <c r="BT250" s="394"/>
      <c r="BU250" s="393"/>
      <c r="BV250" s="388"/>
      <c r="BW250" s="388"/>
      <c r="BX250" s="388"/>
      <c r="BY250" s="394"/>
      <c r="BZ250" s="393"/>
      <c r="CA250" s="388"/>
      <c r="CB250" s="388"/>
      <c r="CC250" s="388"/>
      <c r="CD250" s="394"/>
      <c r="CE250" s="393"/>
      <c r="CF250" s="388"/>
      <c r="CG250" s="388"/>
      <c r="CH250" s="388"/>
      <c r="CI250" s="394"/>
      <c r="CJ250" s="393"/>
      <c r="CK250" s="388"/>
      <c r="CL250" s="388"/>
      <c r="CM250" s="388"/>
      <c r="CN250" s="394"/>
      <c r="CO250" s="393"/>
      <c r="CP250" s="388"/>
      <c r="CQ250" s="388"/>
      <c r="CR250" s="388"/>
      <c r="CS250" s="394"/>
      <c r="CT250" s="393"/>
      <c r="CU250" s="388"/>
      <c r="CV250" s="388"/>
      <c r="CW250" s="388"/>
      <c r="CX250" s="394"/>
      <c r="CY250" s="393"/>
      <c r="CZ250" s="388"/>
      <c r="DA250" s="388"/>
      <c r="DB250" s="388"/>
      <c r="DC250" s="394"/>
      <c r="DD250" s="393"/>
      <c r="DE250" s="388"/>
      <c r="DF250" s="388"/>
      <c r="DG250" s="388"/>
      <c r="DH250" s="1147"/>
      <c r="DI250" s="393"/>
      <c r="DJ250" s="388"/>
      <c r="DK250" s="388"/>
      <c r="DL250" s="388"/>
      <c r="DM250" s="394"/>
      <c r="DN250" s="393"/>
      <c r="DO250" s="388"/>
      <c r="DP250" s="388"/>
      <c r="DQ250" s="388"/>
      <c r="DR250" s="394"/>
      <c r="DS250" s="393"/>
      <c r="DT250" s="388"/>
      <c r="DU250" s="388"/>
      <c r="DV250" s="388"/>
      <c r="DW250" s="394"/>
      <c r="DX250" s="393"/>
      <c r="DY250" s="388"/>
      <c r="DZ250" s="388"/>
      <c r="EA250" s="388"/>
      <c r="EB250" s="394"/>
      <c r="EC250" s="393"/>
      <c r="ED250" s="388"/>
      <c r="EE250" s="388"/>
      <c r="EF250" s="388"/>
      <c r="EG250" s="394"/>
      <c r="EH250" s="393"/>
      <c r="EI250" s="388"/>
      <c r="EJ250" s="388"/>
      <c r="EK250" s="388"/>
      <c r="EL250" s="394"/>
      <c r="EM250" s="393"/>
      <c r="EN250" s="388"/>
      <c r="EO250" s="388"/>
      <c r="EP250" s="388"/>
      <c r="EQ250" s="394"/>
      <c r="ER250" s="393"/>
      <c r="ES250" s="388"/>
      <c r="ET250" s="388"/>
      <c r="EU250" s="388"/>
      <c r="EV250" s="394"/>
      <c r="EW250" s="393"/>
      <c r="EX250" s="388"/>
      <c r="EY250" s="388"/>
      <c r="EZ250" s="388"/>
      <c r="FA250" s="394"/>
      <c r="FB250" s="393"/>
      <c r="FC250" s="388"/>
      <c r="FD250" s="388"/>
      <c r="FE250" s="388"/>
      <c r="FF250" s="394"/>
      <c r="FG250" s="393"/>
      <c r="FH250" s="388"/>
      <c r="FI250" s="388"/>
      <c r="FJ250" s="388"/>
      <c r="FK250" s="394"/>
      <c r="FL250" s="393"/>
      <c r="FM250" s="388"/>
      <c r="FN250" s="388"/>
      <c r="FO250" s="388"/>
      <c r="FP250" s="394"/>
      <c r="FQ250" s="393"/>
      <c r="FR250" s="388"/>
      <c r="FS250" s="388"/>
      <c r="FT250" s="388"/>
      <c r="FU250" s="394"/>
      <c r="FV250" s="393"/>
      <c r="FW250" s="388"/>
      <c r="FX250" s="388"/>
      <c r="FY250" s="388"/>
      <c r="FZ250" s="394"/>
      <c r="GA250" s="393"/>
      <c r="GB250" s="388"/>
      <c r="GC250" s="388"/>
      <c r="GD250" s="388"/>
      <c r="GE250" s="394"/>
      <c r="GF250" s="393"/>
      <c r="GG250" s="388"/>
      <c r="GH250" s="388"/>
      <c r="GI250" s="388"/>
      <c r="GJ250" s="395"/>
    </row>
    <row r="251" spans="1:192" ht="12.75" customHeight="1">
      <c r="B251" s="702"/>
      <c r="C251" s="248"/>
      <c r="D251" s="266"/>
      <c r="E251" s="266"/>
      <c r="F251" s="266"/>
      <c r="G251" s="266"/>
      <c r="H251" s="248"/>
      <c r="I251" s="266"/>
      <c r="J251" s="266"/>
      <c r="K251" s="266"/>
      <c r="L251" s="266"/>
      <c r="M251" s="248"/>
      <c r="N251" s="266"/>
      <c r="O251" s="266"/>
      <c r="P251" s="266"/>
      <c r="Q251" s="266"/>
      <c r="R251" s="248"/>
      <c r="S251" s="266"/>
      <c r="T251" s="266"/>
      <c r="U251" s="266"/>
      <c r="V251" s="266"/>
      <c r="W251" s="248"/>
      <c r="X251" s="266"/>
      <c r="Y251" s="266"/>
      <c r="Z251" s="266"/>
      <c r="AA251" s="266"/>
      <c r="AB251" s="248"/>
      <c r="AC251" s="266"/>
      <c r="AD251" s="266"/>
      <c r="AE251" s="266"/>
      <c r="AF251" s="266"/>
      <c r="AG251" s="248"/>
      <c r="AH251" s="266"/>
      <c r="AI251" s="266"/>
      <c r="AJ251" s="266"/>
      <c r="AK251" s="266"/>
      <c r="AL251" s="248"/>
      <c r="AM251" s="266"/>
      <c r="AN251" s="266"/>
      <c r="AO251" s="266"/>
      <c r="AP251" s="266"/>
      <c r="AQ251" s="248"/>
      <c r="AR251" s="266"/>
      <c r="AS251" s="266"/>
      <c r="AT251" s="266"/>
      <c r="AU251" s="266"/>
      <c r="AV251" s="248"/>
      <c r="AW251" s="266"/>
      <c r="AX251" s="266"/>
      <c r="AY251" s="266"/>
      <c r="AZ251" s="266"/>
      <c r="BA251" s="248"/>
      <c r="BB251" s="266"/>
      <c r="BC251" s="266"/>
      <c r="BD251" s="266"/>
      <c r="BE251" s="266"/>
      <c r="BF251" s="248"/>
      <c r="BG251" s="266"/>
      <c r="BH251" s="266"/>
      <c r="BI251" s="266"/>
      <c r="BJ251" s="266"/>
      <c r="BK251" s="248"/>
      <c r="BL251" s="266"/>
      <c r="BM251" s="266"/>
      <c r="BN251" s="266"/>
      <c r="BO251" s="266"/>
      <c r="BP251" s="248"/>
      <c r="BQ251" s="266"/>
      <c r="BR251" s="266"/>
      <c r="BS251" s="266"/>
      <c r="BT251" s="266"/>
      <c r="BU251" s="248"/>
      <c r="BV251" s="266"/>
      <c r="BW251" s="266"/>
      <c r="BX251" s="266"/>
      <c r="BY251" s="266"/>
      <c r="BZ251" s="248"/>
      <c r="CA251" s="266"/>
      <c r="CB251" s="266"/>
      <c r="CC251" s="266"/>
      <c r="CD251" s="251"/>
      <c r="CE251" s="248"/>
      <c r="CF251" s="266"/>
      <c r="CG251" s="266"/>
      <c r="CH251" s="266"/>
      <c r="CI251" s="251"/>
      <c r="CJ251" s="248"/>
      <c r="CK251" s="266"/>
      <c r="CL251" s="266"/>
      <c r="CM251" s="266"/>
      <c r="CN251" s="251"/>
      <c r="CO251" s="248"/>
      <c r="CP251" s="266"/>
      <c r="CQ251" s="266"/>
      <c r="CR251" s="266"/>
      <c r="CS251" s="251"/>
      <c r="CT251" s="248"/>
      <c r="CU251" s="266"/>
      <c r="CV251" s="519"/>
      <c r="CW251" s="518"/>
      <c r="CX251" s="251"/>
      <c r="CY251" s="248"/>
      <c r="CZ251" s="266"/>
      <c r="DA251" s="266"/>
      <c r="DB251" s="266"/>
      <c r="DC251" s="251"/>
      <c r="DD251" s="248"/>
      <c r="DE251" s="266"/>
      <c r="DF251" s="266"/>
      <c r="DG251" s="266"/>
      <c r="DH251" s="251"/>
      <c r="DI251" s="248"/>
      <c r="DJ251" s="517"/>
      <c r="DK251" s="518"/>
      <c r="DL251" s="266"/>
      <c r="DM251" s="251"/>
      <c r="DN251" s="248"/>
      <c r="DO251" s="266"/>
      <c r="DP251" s="266"/>
      <c r="DQ251" s="266"/>
      <c r="DR251" s="251"/>
      <c r="DS251" s="248"/>
      <c r="DT251" s="266"/>
      <c r="DU251" s="266"/>
      <c r="DV251" s="266"/>
      <c r="DW251" s="251"/>
      <c r="DX251" s="248"/>
      <c r="DY251" s="266"/>
      <c r="DZ251" s="266"/>
      <c r="EA251" s="266"/>
      <c r="EB251" s="251"/>
      <c r="EC251" s="248"/>
      <c r="ED251" s="266"/>
      <c r="EE251" s="266"/>
      <c r="EF251" s="266"/>
      <c r="EG251" s="251"/>
      <c r="EH251" s="248"/>
      <c r="EI251" s="266"/>
      <c r="EJ251" s="266"/>
      <c r="EK251" s="266"/>
      <c r="EL251" s="251"/>
      <c r="EM251" s="248"/>
      <c r="EN251" s="266"/>
      <c r="EO251" s="266"/>
      <c r="EP251" s="266"/>
      <c r="EQ251" s="251"/>
      <c r="ER251" s="248"/>
      <c r="ES251" s="266"/>
      <c r="ET251" s="266"/>
      <c r="EU251" s="266"/>
      <c r="EV251" s="266"/>
      <c r="EW251" s="248"/>
      <c r="EX251" s="266"/>
      <c r="EY251" s="266"/>
      <c r="EZ251" s="266"/>
      <c r="FA251" s="266"/>
      <c r="FB251" s="248"/>
      <c r="FC251" s="266"/>
      <c r="FD251" s="266"/>
      <c r="FE251" s="266"/>
      <c r="FF251" s="266"/>
      <c r="FG251" s="248"/>
      <c r="FH251" s="266"/>
      <c r="FI251" s="266"/>
      <c r="FJ251" s="266"/>
      <c r="FK251" s="266"/>
      <c r="FL251" s="248"/>
      <c r="FM251" s="266"/>
      <c r="FN251" s="266"/>
      <c r="FO251" s="266"/>
      <c r="FP251" s="266"/>
      <c r="FQ251" s="248"/>
      <c r="FR251" s="266"/>
      <c r="FS251" s="266"/>
      <c r="FT251" s="266"/>
      <c r="FU251" s="266"/>
      <c r="FV251" s="248"/>
      <c r="FW251" s="266"/>
      <c r="FX251" s="266"/>
      <c r="FY251" s="266"/>
      <c r="FZ251" s="266"/>
      <c r="GA251" s="248"/>
      <c r="GB251" s="266"/>
      <c r="GC251" s="266"/>
      <c r="GD251" s="266"/>
      <c r="GE251" s="266"/>
      <c r="GF251" s="248"/>
      <c r="GG251" s="266"/>
      <c r="GH251" s="266"/>
      <c r="GI251" s="266"/>
      <c r="GJ251" s="266"/>
    </row>
    <row r="252" spans="1:192" ht="12.75" customHeight="1" thickBot="1">
      <c r="B252" s="702"/>
      <c r="C252" s="248"/>
      <c r="D252" s="266"/>
      <c r="E252" s="266"/>
      <c r="F252" s="266"/>
      <c r="G252" s="266"/>
      <c r="H252" s="248"/>
      <c r="I252" s="266"/>
      <c r="J252" s="266"/>
      <c r="K252" s="266"/>
      <c r="L252" s="266"/>
      <c r="M252" s="248"/>
      <c r="N252" s="266"/>
      <c r="O252" s="266"/>
      <c r="P252" s="266"/>
      <c r="Q252" s="266"/>
      <c r="R252" s="248"/>
      <c r="S252" s="266"/>
      <c r="T252" s="266"/>
      <c r="U252" s="266"/>
      <c r="V252" s="266"/>
      <c r="W252" s="248"/>
      <c r="X252" s="266"/>
      <c r="Y252" s="266"/>
      <c r="Z252" s="266"/>
      <c r="AA252" s="266"/>
      <c r="AB252" s="248"/>
      <c r="AC252" s="266"/>
      <c r="AD252" s="266"/>
      <c r="AE252" s="266"/>
      <c r="AF252" s="266"/>
      <c r="AG252" s="248"/>
      <c r="AH252" s="266"/>
      <c r="AI252" s="266"/>
      <c r="AJ252" s="266"/>
      <c r="AK252" s="266"/>
      <c r="AL252" s="248"/>
      <c r="AM252" s="266"/>
      <c r="AN252" s="266"/>
      <c r="AO252" s="266"/>
      <c r="AP252" s="266"/>
      <c r="AQ252" s="248"/>
      <c r="AR252" s="266"/>
      <c r="AS252" s="266"/>
      <c r="AT252" s="266"/>
      <c r="AU252" s="266"/>
      <c r="AV252" s="248"/>
      <c r="AW252" s="266"/>
      <c r="AX252" s="266"/>
      <c r="AY252" s="266"/>
      <c r="AZ252" s="266"/>
      <c r="BA252" s="248"/>
      <c r="BB252" s="266"/>
      <c r="BC252" s="266"/>
      <c r="BD252" s="266"/>
      <c r="BE252" s="266"/>
      <c r="BF252" s="248"/>
      <c r="BG252" s="266"/>
      <c r="BH252" s="266"/>
      <c r="BI252" s="266"/>
      <c r="BJ252" s="266"/>
      <c r="BK252" s="248"/>
      <c r="BL252" s="266"/>
      <c r="BM252" s="266"/>
      <c r="BN252" s="266"/>
      <c r="BO252" s="266"/>
      <c r="BP252" s="248"/>
      <c r="BQ252" s="266"/>
      <c r="BR252" s="266"/>
      <c r="BS252" s="266"/>
      <c r="BT252" s="266"/>
      <c r="BU252" s="248"/>
      <c r="BV252" s="266"/>
      <c r="BW252" s="266"/>
      <c r="BX252" s="266"/>
      <c r="BY252" s="266"/>
      <c r="BZ252" s="248"/>
      <c r="CA252" s="266"/>
      <c r="CB252" s="266"/>
      <c r="CC252" s="266"/>
      <c r="CD252" s="251"/>
      <c r="CE252" s="248"/>
      <c r="CF252" s="266"/>
      <c r="CG252" s="266"/>
      <c r="CH252" s="266"/>
      <c r="CI252" s="251"/>
      <c r="CJ252" s="248"/>
      <c r="CK252" s="266"/>
      <c r="CL252" s="266"/>
      <c r="CM252" s="266"/>
      <c r="CN252" s="251"/>
      <c r="CO252" s="248"/>
      <c r="CP252" s="266"/>
      <c r="CQ252" s="266"/>
      <c r="CR252" s="266"/>
      <c r="CS252" s="251"/>
      <c r="CT252" s="248"/>
      <c r="CU252" s="266"/>
      <c r="CV252" s="519"/>
      <c r="CW252" s="518"/>
      <c r="CX252" s="251"/>
      <c r="CY252" s="248"/>
      <c r="CZ252" s="266"/>
      <c r="DA252" s="266"/>
      <c r="DB252" s="266"/>
      <c r="DC252" s="251"/>
      <c r="DD252" s="248"/>
      <c r="DE252" s="266"/>
      <c r="DF252" s="266"/>
      <c r="DG252" s="266"/>
      <c r="DH252" s="251"/>
      <c r="DI252" s="248"/>
      <c r="DJ252" s="517"/>
      <c r="DK252" s="518"/>
      <c r="DL252" s="266"/>
      <c r="DM252" s="251"/>
      <c r="DN252" s="248"/>
      <c r="DO252" s="266"/>
      <c r="DP252" s="266"/>
      <c r="DQ252" s="266"/>
      <c r="DR252" s="251"/>
      <c r="DS252" s="248"/>
      <c r="DT252" s="266"/>
      <c r="DU252" s="266"/>
      <c r="DV252" s="266"/>
      <c r="DW252" s="251"/>
      <c r="DX252" s="248"/>
      <c r="DY252" s="266"/>
      <c r="DZ252" s="266"/>
      <c r="EA252" s="266"/>
      <c r="EB252" s="251"/>
      <c r="EC252" s="248"/>
      <c r="ED252" s="266"/>
      <c r="EE252" s="266"/>
      <c r="EF252" s="266"/>
      <c r="EG252" s="251"/>
      <c r="EH252" s="248"/>
      <c r="EI252" s="266"/>
      <c r="EJ252" s="266"/>
      <c r="EK252" s="266"/>
      <c r="EL252" s="251"/>
      <c r="EM252" s="248"/>
      <c r="EN252" s="266"/>
      <c r="EO252" s="266"/>
      <c r="EP252" s="266"/>
      <c r="EQ252" s="251"/>
      <c r="ER252" s="248"/>
      <c r="ES252" s="266"/>
      <c r="ET252" s="266"/>
      <c r="EU252" s="266"/>
      <c r="EV252" s="266"/>
      <c r="EW252" s="1342"/>
      <c r="EX252" s="1341"/>
      <c r="EY252" s="1341"/>
      <c r="EZ252" s="1341"/>
      <c r="FA252" s="266"/>
      <c r="FB252" s="1342"/>
      <c r="FC252" s="1341"/>
      <c r="FD252" s="1341"/>
      <c r="FE252" s="1341"/>
      <c r="FF252" s="1341"/>
      <c r="FG252" s="1342"/>
      <c r="FH252" s="1341"/>
      <c r="FI252" s="1341"/>
      <c r="FJ252" s="1341"/>
      <c r="FK252" s="1341"/>
      <c r="FL252" s="1342"/>
      <c r="FM252" s="1341"/>
      <c r="FN252" s="1341"/>
      <c r="FO252" s="1341"/>
      <c r="FP252" s="1341"/>
      <c r="FQ252" s="1342"/>
      <c r="FR252" s="1341"/>
      <c r="FS252" s="1341"/>
      <c r="FT252" s="1341"/>
      <c r="FU252" s="1341"/>
      <c r="FV252" s="1342"/>
      <c r="FW252" s="1341"/>
      <c r="FX252" s="1341"/>
      <c r="FY252" s="1341"/>
      <c r="FZ252" s="1341"/>
      <c r="GA252" s="1342"/>
      <c r="GB252" s="1341"/>
      <c r="GC252" s="1341"/>
      <c r="GD252" s="1341"/>
      <c r="GE252" s="1341"/>
      <c r="GF252" s="1342"/>
      <c r="GG252" s="1341"/>
      <c r="GH252" s="1341"/>
      <c r="GI252" s="1341"/>
      <c r="GJ252" s="1341"/>
    </row>
    <row r="253" spans="1:192" ht="12.75" customHeight="1" thickBot="1">
      <c r="B253" s="731" t="s">
        <v>1977</v>
      </c>
      <c r="C253" s="396"/>
      <c r="D253" s="397"/>
      <c r="E253" s="397"/>
      <c r="F253" s="397"/>
      <c r="G253" s="397"/>
      <c r="H253" s="396"/>
      <c r="I253" s="397"/>
      <c r="J253" s="397"/>
      <c r="K253" s="397"/>
      <c r="L253" s="397"/>
      <c r="M253" s="396"/>
      <c r="N253" s="397"/>
      <c r="O253" s="397"/>
      <c r="P253" s="397"/>
      <c r="Q253" s="397"/>
      <c r="R253" s="396"/>
      <c r="S253" s="397"/>
      <c r="T253" s="397"/>
      <c r="U253" s="397"/>
      <c r="V253" s="397"/>
      <c r="W253" s="396"/>
      <c r="X253" s="397"/>
      <c r="Y253" s="397"/>
      <c r="Z253" s="397"/>
      <c r="AA253" s="397"/>
      <c r="AB253" s="396"/>
      <c r="AC253" s="397"/>
      <c r="AD253" s="397"/>
      <c r="AE253" s="397"/>
      <c r="AF253" s="397"/>
      <c r="AG253" s="396"/>
      <c r="AH253" s="397"/>
      <c r="AI253" s="397"/>
      <c r="AJ253" s="397"/>
      <c r="AK253" s="397"/>
      <c r="AL253" s="396"/>
      <c r="AM253" s="397"/>
      <c r="AN253" s="397"/>
      <c r="AO253" s="397"/>
      <c r="AP253" s="397"/>
      <c r="AQ253" s="396"/>
      <c r="AR253" s="397"/>
      <c r="AS253" s="397"/>
      <c r="AT253" s="397"/>
      <c r="AU253" s="397"/>
      <c r="AV253" s="396"/>
      <c r="AW253" s="397"/>
      <c r="AX253" s="397"/>
      <c r="AY253" s="397"/>
      <c r="AZ253" s="397"/>
      <c r="BA253" s="396"/>
      <c r="BB253" s="397"/>
      <c r="BC253" s="397"/>
      <c r="BD253" s="397"/>
      <c r="BE253" s="397"/>
      <c r="BF253" s="396"/>
      <c r="BG253" s="397"/>
      <c r="BH253" s="397"/>
      <c r="BI253" s="397"/>
      <c r="BJ253" s="397"/>
      <c r="BK253" s="396"/>
      <c r="BL253" s="397"/>
      <c r="BM253" s="397"/>
      <c r="BN253" s="397"/>
      <c r="BO253" s="397"/>
      <c r="BP253" s="396"/>
      <c r="BQ253" s="397"/>
      <c r="BR253" s="397"/>
      <c r="BS253" s="397"/>
      <c r="BT253" s="397"/>
      <c r="BU253" s="396"/>
      <c r="BV253" s="397"/>
      <c r="BW253" s="397"/>
      <c r="BX253" s="397"/>
      <c r="BY253" s="397"/>
      <c r="BZ253" s="396"/>
      <c r="CA253" s="397"/>
      <c r="CB253" s="397"/>
      <c r="CC253" s="397"/>
      <c r="CD253" s="430"/>
      <c r="CE253" s="396"/>
      <c r="CF253" s="397"/>
      <c r="CG253" s="397"/>
      <c r="CH253" s="397"/>
      <c r="CI253" s="430"/>
      <c r="CJ253" s="396"/>
      <c r="CK253" s="397"/>
      <c r="CL253" s="397"/>
      <c r="CM253" s="397"/>
      <c r="CN253" s="430"/>
      <c r="CO253" s="396"/>
      <c r="CP253" s="397"/>
      <c r="CQ253" s="397"/>
      <c r="CR253" s="397"/>
      <c r="CS253" s="430"/>
      <c r="CT253" s="396"/>
      <c r="CU253" s="397"/>
      <c r="CV253" s="397"/>
      <c r="CW253" s="397"/>
      <c r="CX253" s="430"/>
      <c r="CY253" s="396"/>
      <c r="CZ253" s="397"/>
      <c r="DA253" s="397"/>
      <c r="DB253" s="397"/>
      <c r="DC253" s="430"/>
      <c r="DD253" s="396"/>
      <c r="DE253" s="397"/>
      <c r="DF253" s="397"/>
      <c r="DG253" s="397"/>
      <c r="DH253" s="430"/>
      <c r="DI253" s="396"/>
      <c r="DJ253" s="397"/>
      <c r="DK253" s="397"/>
      <c r="DL253" s="397"/>
      <c r="DM253" s="430"/>
      <c r="DN253" s="396"/>
      <c r="DO253" s="397"/>
      <c r="DP253" s="397"/>
      <c r="DQ253" s="397"/>
      <c r="DR253" s="430"/>
      <c r="DS253" s="396"/>
      <c r="DT253" s="397"/>
      <c r="DU253" s="397"/>
      <c r="DV253" s="397"/>
      <c r="DW253" s="430"/>
      <c r="DX253" s="396"/>
      <c r="DY253" s="397"/>
      <c r="DZ253" s="397"/>
      <c r="EA253" s="397"/>
      <c r="EB253" s="430"/>
      <c r="EC253" s="396"/>
      <c r="ED253" s="397"/>
      <c r="EE253" s="397"/>
      <c r="EF253" s="397"/>
      <c r="EG253" s="430"/>
      <c r="EH253" s="396"/>
      <c r="EI253" s="397"/>
      <c r="EJ253" s="397"/>
      <c r="EK253" s="397"/>
      <c r="EL253" s="430"/>
      <c r="EM253" s="396"/>
      <c r="EN253" s="397"/>
      <c r="EO253" s="397"/>
      <c r="EP253" s="397"/>
      <c r="EQ253" s="430"/>
      <c r="ER253" s="396"/>
      <c r="ES253" s="397"/>
      <c r="ET253" s="397"/>
      <c r="EU253" s="397"/>
      <c r="EV253" s="397"/>
      <c r="EW253" s="396"/>
      <c r="EX253" s="397"/>
      <c r="EY253" s="397"/>
      <c r="EZ253" s="397"/>
      <c r="FA253" s="397"/>
      <c r="FB253" s="396"/>
      <c r="FC253" s="397"/>
      <c r="FD253" s="397"/>
      <c r="FE253" s="397"/>
      <c r="FF253" s="397"/>
      <c r="FG253" s="396"/>
      <c r="FH253" s="397"/>
      <c r="FI253" s="397"/>
      <c r="FJ253" s="397"/>
      <c r="FK253" s="397"/>
      <c r="FL253" s="396"/>
      <c r="FM253" s="397"/>
      <c r="FN253" s="397"/>
      <c r="FO253" s="397"/>
      <c r="FP253" s="397"/>
      <c r="FQ253" s="396"/>
      <c r="FR253" s="397"/>
      <c r="FS253" s="397"/>
      <c r="FT253" s="397"/>
      <c r="FU253" s="397"/>
      <c r="FV253" s="396"/>
      <c r="FW253" s="397"/>
      <c r="FX253" s="397"/>
      <c r="FY253" s="397"/>
      <c r="FZ253" s="397"/>
      <c r="GA253" s="396"/>
      <c r="GB253" s="397"/>
      <c r="GC253" s="397"/>
      <c r="GD253" s="397"/>
      <c r="GE253" s="397"/>
      <c r="GF253" s="396"/>
      <c r="GG253" s="397"/>
      <c r="GH253" s="397"/>
      <c r="GI253" s="397"/>
      <c r="GJ253" s="398"/>
    </row>
    <row r="254" spans="1:192" ht="12.75" customHeight="1">
      <c r="B254" s="740"/>
      <c r="C254" s="298"/>
      <c r="D254" s="295"/>
      <c r="E254" s="295"/>
      <c r="F254" s="295"/>
      <c r="G254" s="296"/>
      <c r="H254" s="298"/>
      <c r="I254" s="295"/>
      <c r="J254" s="295"/>
      <c r="K254" s="295"/>
      <c r="L254" s="296"/>
      <c r="M254" s="298"/>
      <c r="N254" s="295"/>
      <c r="O254" s="295"/>
      <c r="P254" s="295"/>
      <c r="Q254" s="296"/>
      <c r="R254" s="298"/>
      <c r="S254" s="295"/>
      <c r="T254" s="295"/>
      <c r="U254" s="295"/>
      <c r="V254" s="296"/>
      <c r="W254" s="298"/>
      <c r="X254" s="295"/>
      <c r="Y254" s="295"/>
      <c r="Z254" s="295"/>
      <c r="AA254" s="296"/>
      <c r="AB254" s="298"/>
      <c r="AC254" s="295"/>
      <c r="AD254" s="295"/>
      <c r="AE254" s="295"/>
      <c r="AF254" s="296"/>
      <c r="AG254" s="298"/>
      <c r="AH254" s="295"/>
      <c r="AI254" s="295"/>
      <c r="AJ254" s="295"/>
      <c r="AK254" s="296"/>
      <c r="AL254" s="298"/>
      <c r="AM254" s="295"/>
      <c r="AN254" s="295"/>
      <c r="AO254" s="295"/>
      <c r="AP254" s="296"/>
      <c r="AQ254" s="298"/>
      <c r="AR254" s="295"/>
      <c r="AS254" s="295"/>
      <c r="AT254" s="295"/>
      <c r="AU254" s="296"/>
      <c r="AV254" s="298"/>
      <c r="AW254" s="295"/>
      <c r="AX254" s="295"/>
      <c r="AY254" s="295"/>
      <c r="AZ254" s="296"/>
      <c r="BA254" s="298"/>
      <c r="BB254" s="295"/>
      <c r="BC254" s="295"/>
      <c r="BD254" s="295"/>
      <c r="BE254" s="296"/>
      <c r="BF254" s="298"/>
      <c r="BG254" s="295"/>
      <c r="BH254" s="295"/>
      <c r="BI254" s="295"/>
      <c r="BJ254" s="296"/>
      <c r="BK254" s="298"/>
      <c r="BL254" s="295"/>
      <c r="BM254" s="295"/>
      <c r="BN254" s="295"/>
      <c r="BO254" s="296"/>
      <c r="BP254" s="298"/>
      <c r="BQ254" s="295"/>
      <c r="BR254" s="295"/>
      <c r="BS254" s="295"/>
      <c r="BT254" s="296"/>
      <c r="BU254" s="298"/>
      <c r="BV254" s="295"/>
      <c r="BW254" s="295"/>
      <c r="BX254" s="295"/>
      <c r="BY254" s="296"/>
      <c r="BZ254" s="298"/>
      <c r="CA254" s="295"/>
      <c r="CB254" s="295"/>
      <c r="CC254" s="295"/>
      <c r="CD254" s="293"/>
      <c r="CE254" s="298"/>
      <c r="CF254" s="295"/>
      <c r="CG254" s="295"/>
      <c r="CH254" s="295"/>
      <c r="CI254" s="293"/>
      <c r="CJ254" s="298"/>
      <c r="CK254" s="295"/>
      <c r="CL254" s="295"/>
      <c r="CM254" s="295"/>
      <c r="CN254" s="293"/>
      <c r="CO254" s="298"/>
      <c r="CP254" s="295"/>
      <c r="CQ254" s="295"/>
      <c r="CR254" s="295"/>
      <c r="CS254" s="293"/>
      <c r="CT254" s="298"/>
      <c r="CU254" s="295"/>
      <c r="CV254" s="295"/>
      <c r="CW254" s="295"/>
      <c r="CX254" s="293"/>
      <c r="CY254" s="298"/>
      <c r="CZ254" s="295"/>
      <c r="DA254" s="295"/>
      <c r="DB254" s="295"/>
      <c r="DC254" s="293"/>
      <c r="DD254" s="298"/>
      <c r="DE254" s="295"/>
      <c r="DF254" s="295"/>
      <c r="DG254" s="295"/>
      <c r="DH254" s="293"/>
      <c r="DI254" s="298"/>
      <c r="DJ254" s="295"/>
      <c r="DK254" s="295"/>
      <c r="DL254" s="295"/>
      <c r="DM254" s="293"/>
      <c r="DN254" s="298"/>
      <c r="DO254" s="295"/>
      <c r="DP254" s="295"/>
      <c r="DQ254" s="295"/>
      <c r="DR254" s="293"/>
      <c r="DS254" s="298"/>
      <c r="DT254" s="295"/>
      <c r="DU254" s="295"/>
      <c r="DV254" s="295"/>
      <c r="DW254" s="293"/>
      <c r="DX254" s="298"/>
      <c r="DY254" s="295"/>
      <c r="DZ254" s="295"/>
      <c r="EA254" s="295"/>
      <c r="EB254" s="293"/>
      <c r="EC254" s="298"/>
      <c r="ED254" s="295"/>
      <c r="EE254" s="295"/>
      <c r="EF254" s="295"/>
      <c r="EG254" s="293"/>
      <c r="EH254" s="298"/>
      <c r="EI254" s="295"/>
      <c r="EJ254" s="295"/>
      <c r="EK254" s="295"/>
      <c r="EL254" s="293"/>
      <c r="EM254" s="298"/>
      <c r="EN254" s="295"/>
      <c r="EO254" s="298"/>
      <c r="EP254" s="298"/>
      <c r="EQ254" s="293"/>
      <c r="ER254" s="298"/>
      <c r="ES254" s="298"/>
      <c r="ET254" s="298"/>
      <c r="EU254" s="298"/>
      <c r="EV254" s="296"/>
      <c r="EW254" s="298"/>
      <c r="EX254" s="295"/>
      <c r="EY254" s="295"/>
      <c r="EZ254" s="295"/>
      <c r="FA254" s="296"/>
      <c r="FB254" s="298"/>
      <c r="FC254" s="295"/>
      <c r="FD254" s="295"/>
      <c r="FE254" s="295"/>
      <c r="FF254" s="296"/>
      <c r="FG254" s="298"/>
      <c r="FH254" s="295"/>
      <c r="FI254" s="295"/>
      <c r="FJ254" s="295"/>
      <c r="FK254" s="296"/>
      <c r="FL254" s="298"/>
      <c r="FM254" s="295"/>
      <c r="FN254" s="295"/>
      <c r="FO254" s="295"/>
      <c r="FP254" s="296"/>
      <c r="FQ254" s="298"/>
      <c r="FR254" s="295"/>
      <c r="FS254" s="295"/>
      <c r="FT254" s="295"/>
      <c r="FU254" s="296"/>
      <c r="FV254" s="298"/>
      <c r="FW254" s="295"/>
      <c r="FX254" s="295"/>
      <c r="FY254" s="295"/>
      <c r="FZ254" s="1468"/>
      <c r="GA254" s="298"/>
      <c r="GB254" s="295"/>
      <c r="GC254" s="295"/>
      <c r="GD254" s="295"/>
      <c r="GE254" s="1468"/>
      <c r="GF254" s="298"/>
      <c r="GG254" s="295"/>
      <c r="GH254" s="295"/>
      <c r="GI254" s="295"/>
      <c r="GJ254" s="383"/>
    </row>
    <row r="255" spans="1:192" s="317" customFormat="1" ht="12.75" customHeight="1">
      <c r="A255" s="280"/>
      <c r="B255" s="739" t="s">
        <v>1977</v>
      </c>
      <c r="C255" s="312"/>
      <c r="D255" s="312"/>
      <c r="E255" s="312"/>
      <c r="F255" s="312"/>
      <c r="G255" s="313"/>
      <c r="H255" s="312"/>
      <c r="I255" s="312"/>
      <c r="J255" s="312"/>
      <c r="K255" s="312"/>
      <c r="L255" s="313"/>
      <c r="M255" s="312"/>
      <c r="N255" s="312"/>
      <c r="O255" s="312"/>
      <c r="P255" s="312"/>
      <c r="Q255" s="313"/>
      <c r="R255" s="312"/>
      <c r="S255" s="312"/>
      <c r="T255" s="312"/>
      <c r="U255" s="312"/>
      <c r="V255" s="313"/>
      <c r="W255" s="312"/>
      <c r="X255" s="312"/>
      <c r="Y255" s="312"/>
      <c r="Z255" s="312"/>
      <c r="AA255" s="313"/>
      <c r="AB255" s="312"/>
      <c r="AC255" s="312"/>
      <c r="AD255" s="312"/>
      <c r="AE255" s="312"/>
      <c r="AF255" s="313"/>
      <c r="AG255" s="312"/>
      <c r="AH255" s="312"/>
      <c r="AI255" s="312"/>
      <c r="AJ255" s="312"/>
      <c r="AK255" s="313"/>
      <c r="AL255" s="312"/>
      <c r="AM255" s="312"/>
      <c r="AN255" s="312"/>
      <c r="AO255" s="312"/>
      <c r="AP255" s="313"/>
      <c r="AQ255" s="312"/>
      <c r="AR255" s="312"/>
      <c r="AS255" s="312"/>
      <c r="AT255" s="312"/>
      <c r="AU255" s="313"/>
      <c r="AV255" s="312"/>
      <c r="AW255" s="312"/>
      <c r="AX255" s="312"/>
      <c r="AY255" s="312"/>
      <c r="AZ255" s="313"/>
      <c r="BA255" s="312"/>
      <c r="BB255" s="312"/>
      <c r="BC255" s="312"/>
      <c r="BD255" s="312"/>
      <c r="BE255" s="313"/>
      <c r="BF255" s="312"/>
      <c r="BG255" s="312"/>
      <c r="BH255" s="312"/>
      <c r="BI255" s="312"/>
      <c r="BJ255" s="313"/>
      <c r="BK255" s="312"/>
      <c r="BL255" s="312"/>
      <c r="BM255" s="312"/>
      <c r="BN255" s="312"/>
      <c r="BO255" s="313"/>
      <c r="BP255" s="312"/>
      <c r="BQ255" s="312"/>
      <c r="BR255" s="312"/>
      <c r="BS255" s="312"/>
      <c r="BT255" s="313"/>
      <c r="BU255" s="312"/>
      <c r="BV255" s="312"/>
      <c r="BW255" s="312"/>
      <c r="BX255" s="312"/>
      <c r="BY255" s="313"/>
      <c r="BZ255" s="312"/>
      <c r="CA255" s="312"/>
      <c r="CB255" s="312"/>
      <c r="CC255" s="312"/>
      <c r="CD255" s="319"/>
      <c r="CE255" s="312"/>
      <c r="CF255" s="312"/>
      <c r="CG255" s="312"/>
      <c r="CH255" s="312"/>
      <c r="CI255" s="319"/>
      <c r="CJ255" s="312">
        <f>CO259/CO256</f>
      </c>
      <c r="CK255" s="312"/>
      <c r="CL255" s="312"/>
      <c r="CM255" s="312"/>
      <c r="CN255" s="319"/>
      <c r="CO255" s="312">
        <f>CJ255*(1+CO256)</f>
      </c>
      <c r="CP255" s="312"/>
      <c r="CQ255" s="312"/>
      <c r="CR255" s="312"/>
      <c r="CS255" s="319"/>
      <c r="CT255" s="1159"/>
      <c r="CU255" s="1159"/>
      <c r="CV255" s="1159"/>
      <c r="CW255" s="1159"/>
      <c r="CX255" s="319"/>
      <c r="CY255" s="1159"/>
      <c r="CZ255" s="1159"/>
      <c r="DA255" s="1159"/>
      <c r="DB255" s="1159"/>
      <c r="DC255" s="319"/>
      <c r="DD255" s="1159"/>
      <c r="DE255" s="1159"/>
      <c r="DF255" s="1159"/>
      <c r="DG255" s="1159"/>
      <c r="DH255" s="319"/>
      <c r="DI255" s="1159"/>
      <c r="DJ255" s="1159"/>
      <c r="DK255" s="1159"/>
      <c r="DL255" s="1159"/>
      <c r="DM255" s="319"/>
      <c r="DN255" s="312"/>
      <c r="DO255" s="312"/>
      <c r="DP255" s="312"/>
      <c r="DQ255" s="312"/>
      <c r="DR255" s="319"/>
      <c r="DS255" s="312"/>
      <c r="DT255" s="312"/>
      <c r="DU255" s="312"/>
      <c r="DV255" s="312"/>
      <c r="DW255" s="319"/>
      <c r="DX255" s="312"/>
      <c r="DY255" s="312"/>
      <c r="DZ255" s="312"/>
      <c r="EA255" s="312"/>
      <c r="EB255" s="319"/>
      <c r="EC255" s="312"/>
      <c r="ED255" s="312"/>
      <c r="EE255" s="312"/>
      <c r="EF255" s="312"/>
      <c r="EG255" s="319"/>
      <c r="EH255" s="312"/>
      <c r="EI255" s="312"/>
      <c r="EJ255" s="312"/>
      <c r="EK255" s="312"/>
      <c r="EL255" s="319"/>
      <c r="EM255" s="316">
        <v>1599</v>
      </c>
      <c r="EN255" s="316">
        <v>1605</v>
      </c>
      <c r="EO255" s="316">
        <v>1586</v>
      </c>
      <c r="EP255" s="316">
        <v>1627</v>
      </c>
      <c r="EQ255" s="319">
        <f>SUM(EM255:EP255)</f>
      </c>
      <c r="ER255" s="316">
        <v>1643</v>
      </c>
      <c r="ES255" s="316">
        <v>1679</v>
      </c>
      <c r="ET255" s="316">
        <v>1648</v>
      </c>
      <c r="EU255" s="316">
        <v>1678</v>
      </c>
      <c r="EV255" s="313">
        <f>SUM(ER255:EU255)</f>
      </c>
      <c r="EW255" s="316">
        <v>1727</v>
      </c>
      <c r="EX255" s="1158">
        <v>1821</v>
      </c>
      <c r="EY255" s="1158">
        <v>1821</v>
      </c>
      <c r="EZ255" s="1159">
        <f>FA255-EY255-EX255-EW255</f>
      </c>
      <c r="FA255" s="453">
        <v>7404</v>
      </c>
      <c r="FB255" s="312">
        <f>FB301+FB264</f>
      </c>
      <c r="FC255" s="312">
        <f>FC301+FC264</f>
      </c>
      <c r="FD255" s="312">
        <f>FD301+FD264</f>
      </c>
      <c r="FE255" s="312">
        <f>FE301+FE264</f>
      </c>
      <c r="FF255" s="313">
        <f>SUM(FB255:FE255)</f>
      </c>
      <c r="FG255" s="312">
        <f>FG301+FG264</f>
      </c>
      <c r="FH255" s="312">
        <f>FH301+FH264</f>
      </c>
      <c r="FI255" s="312">
        <f>FI301+FI264</f>
      </c>
      <c r="FJ255" s="312">
        <f>FJ301+FJ264</f>
      </c>
      <c r="FK255" s="313">
        <f>SUM(FG255:FJ255)</f>
      </c>
      <c r="FL255" s="312">
        <f>FL301+FL264</f>
      </c>
      <c r="FM255" s="312">
        <f>FM301+FM264</f>
      </c>
      <c r="FN255" s="312">
        <f>FN301+FN264</f>
      </c>
      <c r="FO255" s="312">
        <f>FO301+FO264</f>
      </c>
      <c r="FP255" s="313">
        <f>SUM(FL255:FO255)</f>
      </c>
      <c r="FQ255" s="312">
        <f>FQ301+FQ264</f>
      </c>
      <c r="FR255" s="312">
        <f>FR301+FR264</f>
      </c>
      <c r="FS255" s="312">
        <f>FS301+FS264</f>
      </c>
      <c r="FT255" s="312">
        <f>FT301+FT264</f>
      </c>
      <c r="FU255" s="313">
        <f>SUM(FQ255:FT255)</f>
      </c>
      <c r="FV255" s="312">
        <f>FV301+FV264</f>
      </c>
      <c r="FW255" s="312">
        <f>FW301+FW264</f>
      </c>
      <c r="FX255" s="312">
        <f>FX301+FX264</f>
      </c>
      <c r="FY255" s="312">
        <f>FY301+FY264</f>
      </c>
      <c r="FZ255" s="313">
        <f>SUM(FV255:FY255)</f>
      </c>
      <c r="GA255" s="312">
        <f>GA301+GA264</f>
      </c>
      <c r="GB255" s="312">
        <f>GB301+GB264</f>
      </c>
      <c r="GC255" s="312">
        <f>GC301+GC264</f>
      </c>
      <c r="GD255" s="312">
        <f>GD301+GD264</f>
      </c>
      <c r="GE255" s="313">
        <f>SUM(GA255:GD255)</f>
      </c>
      <c r="GF255" s="312">
        <f>GF301+GF264</f>
      </c>
      <c r="GG255" s="312">
        <f>GG301+GG264</f>
      </c>
      <c r="GH255" s="312">
        <f>GH301+GH264</f>
      </c>
      <c r="GI255" s="312">
        <f>GI301+GI264</f>
      </c>
      <c r="GJ255" s="385">
        <f>SUM(GF255:GI255)</f>
      </c>
    </row>
    <row r="256" spans="1:192" s="479" customFormat="1" ht="12.75" customHeight="1">
      <c r="A256" s="81"/>
      <c r="B256" s="1744" t="s">
        <v>34</v>
      </c>
      <c r="C256" s="412"/>
      <c r="D256" s="114"/>
      <c r="E256" s="114"/>
      <c r="F256" s="114"/>
      <c r="G256" s="413"/>
      <c r="H256" s="412"/>
      <c r="I256" s="114"/>
      <c r="J256" s="114"/>
      <c r="K256" s="114"/>
      <c r="L256" s="413"/>
      <c r="M256" s="412"/>
      <c r="N256" s="114"/>
      <c r="O256" s="114"/>
      <c r="P256" s="114"/>
      <c r="Q256" s="413"/>
      <c r="R256" s="412"/>
      <c r="S256" s="114"/>
      <c r="T256" s="114"/>
      <c r="U256" s="114"/>
      <c r="V256" s="413"/>
      <c r="W256" s="412"/>
      <c r="X256" s="114"/>
      <c r="Y256" s="114"/>
      <c r="Z256" s="114"/>
      <c r="AA256" s="413"/>
      <c r="AB256" s="412"/>
      <c r="AC256" s="114"/>
      <c r="AD256" s="114"/>
      <c r="AE256" s="114"/>
      <c r="AF256" s="413"/>
      <c r="AG256" s="412"/>
      <c r="AH256" s="114"/>
      <c r="AI256" s="114"/>
      <c r="AJ256" s="114"/>
      <c r="AK256" s="413"/>
      <c r="AL256" s="412"/>
      <c r="AM256" s="114"/>
      <c r="AN256" s="114"/>
      <c r="AO256" s="114"/>
      <c r="AP256" s="413"/>
      <c r="AQ256" s="412"/>
      <c r="AR256" s="114"/>
      <c r="AS256" s="114"/>
      <c r="AT256" s="114"/>
      <c r="AU256" s="413"/>
      <c r="AV256" s="412"/>
      <c r="AW256" s="114"/>
      <c r="AX256" s="114"/>
      <c r="AY256" s="114"/>
      <c r="AZ256" s="413"/>
      <c r="BA256" s="412"/>
      <c r="BB256" s="114"/>
      <c r="BC256" s="114"/>
      <c r="BD256" s="114"/>
      <c r="BE256" s="413"/>
      <c r="BF256" s="412"/>
      <c r="BG256" s="114"/>
      <c r="BH256" s="114"/>
      <c r="BI256" s="114"/>
      <c r="BJ256" s="413"/>
      <c r="BK256" s="412"/>
      <c r="BL256" s="114"/>
      <c r="BM256" s="114"/>
      <c r="BN256" s="114"/>
      <c r="BO256" s="413"/>
      <c r="BP256" s="412"/>
      <c r="BQ256" s="114"/>
      <c r="BR256" s="114"/>
      <c r="BS256" s="114"/>
      <c r="BT256" s="413"/>
      <c r="BU256" s="412"/>
      <c r="BV256" s="114"/>
      <c r="BW256" s="114"/>
      <c r="BX256" s="114"/>
      <c r="BY256" s="413"/>
      <c r="BZ256" s="412"/>
      <c r="CA256" s="114"/>
      <c r="CB256" s="114"/>
      <c r="CC256" s="114"/>
      <c r="CD256" s="292"/>
      <c r="CE256" s="412"/>
      <c r="CF256" s="114"/>
      <c r="CG256" s="114"/>
      <c r="CH256" s="114"/>
      <c r="CI256" s="292"/>
      <c r="CJ256" s="412"/>
      <c r="CK256" s="114"/>
      <c r="CL256" s="114"/>
      <c r="CM256" s="114"/>
      <c r="CN256" s="292"/>
      <c r="CO256" s="412">
        <v>-0.23</v>
      </c>
      <c r="CP256" s="114"/>
      <c r="CQ256" s="114"/>
      <c r="CR256" s="114"/>
      <c r="CS256" s="292"/>
      <c r="CT256" s="412"/>
      <c r="CU256" s="114"/>
      <c r="CV256" s="114"/>
      <c r="CW256" s="114"/>
      <c r="CX256" s="292"/>
      <c r="CY256" s="441">
        <v>7.0000000000000007E-2</v>
      </c>
      <c r="CZ256" s="439">
        <v>-0.12</v>
      </c>
      <c r="DA256" s="439">
        <v>-0.28999999999999998</v>
      </c>
      <c r="DB256" s="439">
        <v>-0.3</v>
      </c>
      <c r="DC256" s="413">
        <v>0.17</v>
      </c>
      <c r="DD256" s="412">
        <v>-0.13</v>
      </c>
      <c r="DE256" s="114">
        <v>-0.14000000000000001</v>
      </c>
      <c r="DF256" s="114">
        <v>0.03</v>
      </c>
      <c r="DG256" s="114">
        <v>0.19</v>
      </c>
      <c r="DH256" s="292"/>
      <c r="DI256" s="441">
        <v>0.03</v>
      </c>
      <c r="DJ256" s="439">
        <v>0.2</v>
      </c>
      <c r="DK256" s="439">
        <v>0.11</v>
      </c>
      <c r="DL256" s="439">
        <v>0.11</v>
      </c>
      <c r="DM256" s="292"/>
      <c r="DN256" s="412">
        <v>0.12</v>
      </c>
      <c r="DO256" s="114">
        <v>0.12</v>
      </c>
      <c r="DP256" s="114">
        <v>0.12</v>
      </c>
      <c r="DQ256" s="114">
        <v>0.08</v>
      </c>
      <c r="DR256" s="292"/>
      <c r="DS256" s="412">
        <v>0.16</v>
      </c>
      <c r="DT256" s="114">
        <v>0.01</v>
      </c>
      <c r="DU256" s="114">
        <v>0.08</v>
      </c>
      <c r="DV256" s="114">
        <v>0.06</v>
      </c>
      <c r="DW256" s="292"/>
      <c r="DX256" s="412">
        <v>0.05</v>
      </c>
      <c r="DY256" s="114">
        <v>0.19</v>
      </c>
      <c r="DZ256" s="114">
        <v>0.15</v>
      </c>
      <c r="EA256" s="114">
        <v>0.06</v>
      </c>
      <c r="EB256" s="292"/>
      <c r="EC256" s="412">
        <v>0.13</v>
      </c>
      <c r="ED256" s="114">
        <v>7.0000000000000007E-2</v>
      </c>
      <c r="EE256" s="114">
        <v>0.05</v>
      </c>
      <c r="EF256" s="114">
        <v>0.18</v>
      </c>
      <c r="EG256" s="292"/>
      <c r="EH256" s="412">
        <v>0.1</v>
      </c>
      <c r="EI256" s="114">
        <v>0.15</v>
      </c>
      <c r="EJ256" s="114">
        <v>0.11</v>
      </c>
      <c r="EK256" s="114">
        <v>0.09</v>
      </c>
      <c r="EL256" s="413">
        <v>0.11</v>
      </c>
      <c r="EM256" s="412">
        <v>7.0000000000000007E-2</v>
      </c>
      <c r="EN256" s="114">
        <v>-0.02</v>
      </c>
      <c r="EO256" s="114">
        <v>0.01</v>
      </c>
      <c r="EP256" s="114">
        <v>0.03</v>
      </c>
      <c r="EQ256" s="413">
        <v>0.02</v>
      </c>
      <c r="ER256" s="291">
        <f t="shared" ref="ER256" si="298">ER255/EM255-1</f>
      </c>
      <c r="ES256" s="107">
        <f t="shared" ref="ES256" si="299">ES255/EN255-1</f>
      </c>
      <c r="ET256" s="468">
        <f t="shared" ref="ET256" si="300">ET255/EO255-1</f>
      </c>
      <c r="EU256" s="468">
        <f t="shared" ref="EU256" si="301">EU255/EP255-1</f>
      </c>
      <c r="EV256" s="293">
        <f t="shared" ref="EV256" si="302">EV255/EQ255-1</f>
      </c>
      <c r="EW256" s="468">
        <v>0.05</v>
      </c>
      <c r="EX256" s="107">
        <f t="shared" ref="EX256:FA256" si="303">EX255/ES255-1</f>
      </c>
      <c r="EY256" s="107">
        <f t="shared" si="303"/>
      </c>
      <c r="EZ256" s="468">
        <f t="shared" si="303"/>
      </c>
      <c r="FA256" s="293">
        <f t="shared" si="303"/>
      </c>
      <c r="FB256" s="107">
        <f t="shared" ref="FB256:FZ256" si="304">FB255/EW255-1</f>
      </c>
      <c r="FC256" s="107">
        <f t="shared" si="304"/>
      </c>
      <c r="FD256" s="107">
        <f t="shared" si="304"/>
      </c>
      <c r="FE256" s="107">
        <f t="shared" si="304"/>
      </c>
      <c r="FF256" s="293">
        <f t="shared" si="304"/>
      </c>
      <c r="FG256" s="107">
        <f t="shared" si="304"/>
      </c>
      <c r="FH256" s="107">
        <f t="shared" si="304"/>
      </c>
      <c r="FI256" s="107">
        <f t="shared" si="304"/>
      </c>
      <c r="FJ256" s="107">
        <f t="shared" si="304"/>
      </c>
      <c r="FK256" s="293">
        <f t="shared" si="304"/>
      </c>
      <c r="FL256" s="107">
        <f t="shared" si="304"/>
      </c>
      <c r="FM256" s="107">
        <f t="shared" si="304"/>
      </c>
      <c r="FN256" s="107">
        <f t="shared" si="304"/>
      </c>
      <c r="FO256" s="107">
        <f t="shared" si="304"/>
      </c>
      <c r="FP256" s="293">
        <f t="shared" si="304"/>
      </c>
      <c r="FQ256" s="107">
        <f t="shared" si="304"/>
      </c>
      <c r="FR256" s="107">
        <f t="shared" si="304"/>
      </c>
      <c r="FS256" s="107">
        <f t="shared" si="304"/>
      </c>
      <c r="FT256" s="107">
        <f t="shared" si="304"/>
      </c>
      <c r="FU256" s="293">
        <f t="shared" si="304"/>
      </c>
      <c r="FV256" s="291">
        <f t="shared" si="304"/>
      </c>
      <c r="FW256" s="107">
        <f t="shared" si="304"/>
      </c>
      <c r="FX256" s="107">
        <f t="shared" si="304"/>
      </c>
      <c r="FY256" s="107">
        <f t="shared" si="304"/>
      </c>
      <c r="FZ256" s="292">
        <f t="shared" si="304"/>
      </c>
      <c r="GA256" s="291">
        <f t="shared" ref="GA256:GJ256" si="305">GA255/FV255-1</f>
      </c>
      <c r="GB256" s="107">
        <f t="shared" si="305"/>
      </c>
      <c r="GC256" s="107">
        <f t="shared" si="305"/>
      </c>
      <c r="GD256" s="107">
        <f t="shared" si="305"/>
      </c>
      <c r="GE256" s="292">
        <f t="shared" si="305"/>
      </c>
      <c r="GF256" s="291">
        <f t="shared" si="305"/>
      </c>
      <c r="GG256" s="107">
        <f t="shared" si="305"/>
      </c>
      <c r="GH256" s="107">
        <f t="shared" si="305"/>
      </c>
      <c r="GI256" s="107">
        <f t="shared" si="305"/>
      </c>
      <c r="GJ256" s="384">
        <f t="shared" si="305"/>
      </c>
    </row>
    <row r="257" spans="1:192" s="476" customFormat="1" ht="12.75" customHeight="1">
      <c r="A257" s="784"/>
      <c r="B257" s="1744" t="s">
        <v>197</v>
      </c>
      <c r="C257" s="412"/>
      <c r="D257" s="114"/>
      <c r="E257" s="114"/>
      <c r="F257" s="114"/>
      <c r="G257" s="414"/>
      <c r="H257" s="412"/>
      <c r="I257" s="114"/>
      <c r="J257" s="114"/>
      <c r="K257" s="114"/>
      <c r="L257" s="414"/>
      <c r="M257" s="412"/>
      <c r="N257" s="114"/>
      <c r="O257" s="114"/>
      <c r="P257" s="114"/>
      <c r="Q257" s="414"/>
      <c r="R257" s="412"/>
      <c r="S257" s="114"/>
      <c r="T257" s="114"/>
      <c r="U257" s="114"/>
      <c r="V257" s="414"/>
      <c r="W257" s="412"/>
      <c r="X257" s="114"/>
      <c r="Y257" s="114"/>
      <c r="Z257" s="114"/>
      <c r="AA257" s="414"/>
      <c r="AB257" s="412"/>
      <c r="AC257" s="114"/>
      <c r="AD257" s="114"/>
      <c r="AE257" s="114"/>
      <c r="AF257" s="414"/>
      <c r="AG257" s="412"/>
      <c r="AH257" s="114"/>
      <c r="AI257" s="114"/>
      <c r="AJ257" s="114"/>
      <c r="AK257" s="414"/>
      <c r="AL257" s="412"/>
      <c r="AM257" s="114"/>
      <c r="AN257" s="114"/>
      <c r="AO257" s="114"/>
      <c r="AP257" s="414"/>
      <c r="AQ257" s="412"/>
      <c r="AR257" s="114"/>
      <c r="AS257" s="114"/>
      <c r="AT257" s="114"/>
      <c r="AU257" s="414"/>
      <c r="AV257" s="412"/>
      <c r="AW257" s="114"/>
      <c r="AX257" s="114"/>
      <c r="AY257" s="114"/>
      <c r="AZ257" s="414"/>
      <c r="BA257" s="412"/>
      <c r="BB257" s="114"/>
      <c r="BC257" s="114"/>
      <c r="BD257" s="114"/>
      <c r="BE257" s="414"/>
      <c r="BF257" s="412"/>
      <c r="BG257" s="114"/>
      <c r="BH257" s="114"/>
      <c r="BI257" s="114"/>
      <c r="BJ257" s="414"/>
      <c r="BK257" s="412"/>
      <c r="BL257" s="114"/>
      <c r="BM257" s="114"/>
      <c r="BN257" s="114"/>
      <c r="BO257" s="414"/>
      <c r="BP257" s="412"/>
      <c r="BQ257" s="114"/>
      <c r="BR257" s="114"/>
      <c r="BS257" s="114"/>
      <c r="BT257" s="414"/>
      <c r="BU257" s="412"/>
      <c r="BV257" s="114"/>
      <c r="BW257" s="114"/>
      <c r="BX257" s="114"/>
      <c r="BY257" s="414"/>
      <c r="BZ257" s="412"/>
      <c r="CA257" s="114"/>
      <c r="CB257" s="114"/>
      <c r="CC257" s="114"/>
      <c r="CD257" s="293"/>
      <c r="CE257" s="412"/>
      <c r="CF257" s="114"/>
      <c r="CG257" s="114"/>
      <c r="CH257" s="114"/>
      <c r="CI257" s="293"/>
      <c r="CJ257" s="412"/>
      <c r="CK257" s="114"/>
      <c r="CL257" s="114"/>
      <c r="CM257" s="114"/>
      <c r="CN257" s="293"/>
      <c r="CO257" s="412"/>
      <c r="CP257" s="114"/>
      <c r="CQ257" s="114"/>
      <c r="CR257" s="114"/>
      <c r="CS257" s="293"/>
      <c r="CT257" s="412"/>
      <c r="CU257" s="114"/>
      <c r="CV257" s="114"/>
      <c r="CW257" s="114"/>
      <c r="CX257" s="293"/>
      <c r="CY257" s="412">
        <v>7.0000000000000007E-2</v>
      </c>
      <c r="CZ257" s="114">
        <v>-0.09</v>
      </c>
      <c r="DA257" s="114">
        <v>-0.24</v>
      </c>
      <c r="DB257" s="114">
        <v>-0.23</v>
      </c>
      <c r="DC257" s="293"/>
      <c r="DD257" s="412">
        <v>-0.04</v>
      </c>
      <c r="DE257" s="114">
        <v>-0.08</v>
      </c>
      <c r="DF257" s="114">
        <v>0.06</v>
      </c>
      <c r="DG257" s="114">
        <v>0.18</v>
      </c>
      <c r="DH257" s="293"/>
      <c r="DI257" s="441">
        <v>0.03</v>
      </c>
      <c r="DJ257" s="439">
        <v>0.19</v>
      </c>
      <c r="DK257" s="439">
        <v>0.11</v>
      </c>
      <c r="DL257" s="439">
        <v>0.11</v>
      </c>
      <c r="DM257" s="293"/>
      <c r="DN257" s="412">
        <v>0.1</v>
      </c>
      <c r="DO257" s="114">
        <v>0.11</v>
      </c>
      <c r="DP257" s="114">
        <v>0.09</v>
      </c>
      <c r="DQ257" s="114">
        <v>0.06</v>
      </c>
      <c r="DR257" s="293"/>
      <c r="DS257" s="412">
        <v>0.17</v>
      </c>
      <c r="DT257" s="114">
        <v>0.02</v>
      </c>
      <c r="DU257" s="114">
        <v>0.1</v>
      </c>
      <c r="DV257" s="114">
        <v>0.08</v>
      </c>
      <c r="DW257" s="293"/>
      <c r="DX257" s="412">
        <v>0.06</v>
      </c>
      <c r="DY257" s="114">
        <v>0.2</v>
      </c>
      <c r="DZ257" s="114">
        <v>0.17</v>
      </c>
      <c r="EA257" s="114">
        <v>7.0000000000000007E-2</v>
      </c>
      <c r="EB257" s="293"/>
      <c r="EC257" s="412">
        <v>0.13</v>
      </c>
      <c r="ED257" s="114">
        <v>0.06</v>
      </c>
      <c r="EE257" s="114">
        <v>0.02</v>
      </c>
      <c r="EF257" s="114">
        <v>0.15</v>
      </c>
      <c r="EG257" s="293"/>
      <c r="EH257" s="412">
        <v>0.08</v>
      </c>
      <c r="EI257" s="114">
        <v>0.15</v>
      </c>
      <c r="EJ257" s="114">
        <v>0.12</v>
      </c>
      <c r="EK257" s="114">
        <v>0.12</v>
      </c>
      <c r="EL257" s="293"/>
      <c r="EM257" s="441">
        <v>0.11</v>
      </c>
      <c r="EN257" s="439">
        <v>0.03</v>
      </c>
      <c r="EO257" s="439">
        <v>0.04</v>
      </c>
      <c r="EP257" s="439">
        <v>0.06</v>
      </c>
      <c r="EQ257" s="293"/>
      <c r="ER257" s="412">
        <v>0.04</v>
      </c>
      <c r="ES257" s="114">
        <v>0.04</v>
      </c>
      <c r="ET257" s="439">
        <v>0.04</v>
      </c>
      <c r="EU257" s="439">
        <v>0.04</v>
      </c>
      <c r="EV257" s="293"/>
      <c r="EW257" s="439">
        <v>0.05</v>
      </c>
      <c r="EX257" s="439">
        <v>0.08</v>
      </c>
      <c r="EY257" s="439">
        <v>0.12</v>
      </c>
      <c r="EZ257" s="439">
        <v>0.21</v>
      </c>
      <c r="FA257" s="293"/>
      <c r="FB257" s="291"/>
      <c r="FC257" s="107"/>
      <c r="FD257" s="107"/>
      <c r="FE257" s="107"/>
      <c r="FF257" s="293"/>
      <c r="FG257" s="291"/>
      <c r="FH257" s="107"/>
      <c r="FI257" s="107"/>
      <c r="FJ257" s="107"/>
      <c r="FK257" s="293"/>
      <c r="FL257" s="291"/>
      <c r="FM257" s="107"/>
      <c r="FN257" s="107"/>
      <c r="FO257" s="107"/>
      <c r="FP257" s="293"/>
      <c r="FQ257" s="291"/>
      <c r="FR257" s="107"/>
      <c r="FS257" s="107"/>
      <c r="FT257" s="107"/>
      <c r="FU257" s="293"/>
      <c r="FV257" s="291"/>
      <c r="FW257" s="107"/>
      <c r="FX257" s="107"/>
      <c r="FY257" s="107"/>
      <c r="FZ257" s="293"/>
      <c r="GA257" s="291"/>
      <c r="GB257" s="107"/>
      <c r="GC257" s="107"/>
      <c r="GD257" s="107"/>
      <c r="GE257" s="293"/>
      <c r="GF257" s="291"/>
      <c r="GG257" s="107"/>
      <c r="GH257" s="107"/>
      <c r="GI257" s="107"/>
      <c r="GJ257" s="382"/>
    </row>
    <row r="258" spans="1:192" ht="12.75" customHeight="1">
      <c r="B258" s="735" t="s">
        <v>36</v>
      </c>
      <c r="C258" s="291"/>
      <c r="D258" s="107"/>
      <c r="E258" s="107"/>
      <c r="F258" s="107"/>
      <c r="G258" s="292"/>
      <c r="H258" s="291"/>
      <c r="I258" s="107"/>
      <c r="J258" s="107"/>
      <c r="K258" s="107"/>
      <c r="L258" s="292"/>
      <c r="M258" s="291"/>
      <c r="N258" s="107"/>
      <c r="O258" s="107"/>
      <c r="P258" s="107"/>
      <c r="Q258" s="292"/>
      <c r="R258" s="291"/>
      <c r="S258" s="107"/>
      <c r="T258" s="107"/>
      <c r="U258" s="107"/>
      <c r="V258" s="292"/>
      <c r="W258" s="291"/>
      <c r="X258" s="107"/>
      <c r="Y258" s="107"/>
      <c r="Z258" s="107"/>
      <c r="AA258" s="292"/>
      <c r="AB258" s="291"/>
      <c r="AC258" s="107"/>
      <c r="AD258" s="107"/>
      <c r="AE258" s="107"/>
      <c r="AF258" s="292"/>
      <c r="AG258" s="291"/>
      <c r="AH258" s="107"/>
      <c r="AI258" s="107"/>
      <c r="AJ258" s="107"/>
      <c r="AK258" s="292"/>
      <c r="AL258" s="291"/>
      <c r="AM258" s="107"/>
      <c r="AN258" s="107"/>
      <c r="AO258" s="107"/>
      <c r="AP258" s="292"/>
      <c r="AQ258" s="291"/>
      <c r="AR258" s="107"/>
      <c r="AS258" s="107"/>
      <c r="AT258" s="107"/>
      <c r="AU258" s="292"/>
      <c r="AV258" s="291"/>
      <c r="AW258" s="107"/>
      <c r="AX258" s="107"/>
      <c r="AY258" s="107"/>
      <c r="AZ258" s="292"/>
      <c r="BA258" s="291"/>
      <c r="BB258" s="107"/>
      <c r="BC258" s="107"/>
      <c r="BD258" s="107"/>
      <c r="BE258" s="292"/>
      <c r="BF258" s="291"/>
      <c r="BG258" s="107"/>
      <c r="BH258" s="107"/>
      <c r="BI258" s="107"/>
      <c r="BJ258" s="292"/>
      <c r="BK258" s="291"/>
      <c r="BL258" s="107"/>
      <c r="BM258" s="107"/>
      <c r="BN258" s="107"/>
      <c r="BO258" s="292"/>
      <c r="BP258" s="291"/>
      <c r="BQ258" s="107"/>
      <c r="BR258" s="107"/>
      <c r="BS258" s="107"/>
      <c r="BT258" s="292"/>
      <c r="BU258" s="291"/>
      <c r="BV258" s="107"/>
      <c r="BW258" s="107"/>
      <c r="BX258" s="107"/>
      <c r="BY258" s="292"/>
      <c r="BZ258" s="291"/>
      <c r="CA258" s="107"/>
      <c r="CB258" s="107"/>
      <c r="CC258" s="107"/>
      <c r="CD258" s="292"/>
      <c r="CE258" s="291"/>
      <c r="CF258" s="107"/>
      <c r="CG258" s="107"/>
      <c r="CH258" s="107"/>
      <c r="CI258" s="292"/>
      <c r="CJ258" s="291"/>
      <c r="CK258" s="107"/>
      <c r="CL258" s="107"/>
      <c r="CM258" s="107"/>
      <c r="CN258" s="292"/>
      <c r="CO258" s="291"/>
      <c r="CP258" s="107"/>
      <c r="CQ258" s="107"/>
      <c r="CR258" s="107"/>
      <c r="CS258" s="292"/>
      <c r="CT258" s="291"/>
      <c r="CU258" s="107"/>
      <c r="CV258" s="107"/>
      <c r="CW258" s="107"/>
      <c r="CX258" s="292"/>
      <c r="CY258" s="291"/>
      <c r="CZ258" s="107"/>
      <c r="DA258" s="107"/>
      <c r="DB258" s="107"/>
      <c r="DC258" s="292"/>
      <c r="DD258" s="291"/>
      <c r="DE258" s="107"/>
      <c r="DF258" s="107"/>
      <c r="DG258" s="107"/>
      <c r="DH258" s="292"/>
      <c r="DI258" s="349"/>
      <c r="DJ258" s="468"/>
      <c r="DK258" s="468"/>
      <c r="DL258" s="468"/>
      <c r="DM258" s="292"/>
      <c r="DN258" s="291"/>
      <c r="DO258" s="107"/>
      <c r="DP258" s="107"/>
      <c r="DQ258" s="107"/>
      <c r="DR258" s="292"/>
      <c r="DS258" s="291"/>
      <c r="DT258" s="107"/>
      <c r="DU258" s="107"/>
      <c r="DV258" s="107"/>
      <c r="DW258" s="292"/>
      <c r="DX258" s="291"/>
      <c r="DY258" s="107"/>
      <c r="DZ258" s="107"/>
      <c r="EA258" s="107"/>
      <c r="EB258" s="292"/>
      <c r="EC258" s="291"/>
      <c r="ED258" s="107"/>
      <c r="EE258" s="107"/>
      <c r="EF258" s="107"/>
      <c r="EG258" s="292"/>
      <c r="EH258" s="291"/>
      <c r="EI258" s="107"/>
      <c r="EJ258" s="107"/>
      <c r="EK258" s="107"/>
      <c r="EL258" s="292"/>
      <c r="EM258" s="349" t="e">
        <f>EM255/EK255-1</f>
      </c>
      <c r="EN258" s="468">
        <f>EN255/EM255-1</f>
      </c>
      <c r="EO258" s="468">
        <f>EO255/EN255-1</f>
      </c>
      <c r="EP258" s="468">
        <f>EP255/EO255-1</f>
      </c>
      <c r="EQ258" s="292"/>
      <c r="ER258" s="291">
        <f>ER255/EP255-1</f>
      </c>
      <c r="ES258" s="107">
        <f>ES255/ER255-1</f>
      </c>
      <c r="ET258" s="468">
        <f>ET255/ES255-1</f>
      </c>
      <c r="EU258" s="107">
        <f>EU255/ET255-1</f>
      </c>
      <c r="EV258" s="292"/>
      <c r="EW258" s="291">
        <f>EW255/EU255-1</f>
      </c>
      <c r="EX258" s="107">
        <f>EX255/EW255-1</f>
      </c>
      <c r="EY258" s="468">
        <f>EY255/EX255-1</f>
      </c>
      <c r="EZ258" s="107">
        <f>EZ255/EY255-1</f>
      </c>
      <c r="FA258" s="292"/>
      <c r="FB258" s="291">
        <f>FB255/EZ255-1</f>
      </c>
      <c r="FC258" s="107">
        <f>FC255/FB255-1</f>
      </c>
      <c r="FD258" s="107">
        <f>FD255/FC255-1</f>
      </c>
      <c r="FE258" s="107">
        <f>FE255/FD255-1</f>
      </c>
      <c r="FF258" s="292"/>
      <c r="FG258" s="291">
        <f>FG255/FE255-1</f>
      </c>
      <c r="FH258" s="107">
        <f>FH255/FG255-1</f>
      </c>
      <c r="FI258" s="107">
        <f>FI255/FH255-1</f>
      </c>
      <c r="FJ258" s="107">
        <f>FJ255/FI255-1</f>
      </c>
      <c r="FK258" s="292"/>
      <c r="FL258" s="291">
        <f>FL255/FJ255-1</f>
      </c>
      <c r="FM258" s="107">
        <f>FM255/FL255-1</f>
      </c>
      <c r="FN258" s="107">
        <f>FN255/FM255-1</f>
      </c>
      <c r="FO258" s="107">
        <f>FO255/FN255-1</f>
      </c>
      <c r="FP258" s="292"/>
      <c r="FQ258" s="291">
        <f>FQ255/FO255-1</f>
      </c>
      <c r="FR258" s="107">
        <f>FR255/FQ255-1</f>
      </c>
      <c r="FS258" s="107">
        <f>FS255/FR255-1</f>
      </c>
      <c r="FT258" s="107">
        <f>FT255/FS255-1</f>
      </c>
      <c r="FU258" s="292"/>
      <c r="FV258" s="291">
        <f>FV255/FT255-1</f>
      </c>
      <c r="FW258" s="107">
        <f>FW255/FV255-1</f>
      </c>
      <c r="FX258" s="107">
        <f>FX255/FW255-1</f>
      </c>
      <c r="FY258" s="107">
        <f>FY255/FX255-1</f>
      </c>
      <c r="FZ258" s="292"/>
      <c r="GA258" s="291">
        <f>GA255/FY255-1</f>
      </c>
      <c r="GB258" s="107">
        <f>GB255/GA255-1</f>
      </c>
      <c r="GC258" s="107">
        <f>GC255/GB255-1</f>
      </c>
      <c r="GD258" s="107">
        <f>GD255/GC255-1</f>
      </c>
      <c r="GE258" s="292"/>
      <c r="GF258" s="291">
        <f>GF255/GD255-1</f>
      </c>
      <c r="GG258" s="107">
        <f>GG255/GF255-1</f>
      </c>
      <c r="GH258" s="107">
        <f>GH255/GG255-1</f>
      </c>
      <c r="GI258" s="107">
        <f>GI255/GH255-1</f>
      </c>
      <c r="GJ258" s="384"/>
    </row>
    <row r="259" spans="1:192" s="461" customFormat="1" ht="12.75" customHeight="1">
      <c r="A259" s="370"/>
      <c r="B259" s="735" t="s">
        <v>243</v>
      </c>
      <c r="C259" s="447"/>
      <c r="D259" s="458"/>
      <c r="E259" s="458"/>
      <c r="F259" s="458"/>
      <c r="G259" s="462"/>
      <c r="H259" s="447"/>
      <c r="I259" s="458"/>
      <c r="J259" s="458"/>
      <c r="K259" s="458"/>
      <c r="L259" s="462"/>
      <c r="M259" s="447"/>
      <c r="N259" s="458"/>
      <c r="O259" s="458"/>
      <c r="P259" s="458"/>
      <c r="Q259" s="462"/>
      <c r="R259" s="447"/>
      <c r="S259" s="458"/>
      <c r="T259" s="458"/>
      <c r="U259" s="458"/>
      <c r="V259" s="462"/>
      <c r="W259" s="447"/>
      <c r="X259" s="458"/>
      <c r="Y259" s="458"/>
      <c r="Z259" s="458"/>
      <c r="AA259" s="462"/>
      <c r="AB259" s="447"/>
      <c r="AC259" s="458"/>
      <c r="AD259" s="458"/>
      <c r="AE259" s="458"/>
      <c r="AF259" s="462"/>
      <c r="AG259" s="447"/>
      <c r="AH259" s="458"/>
      <c r="AI259" s="458"/>
      <c r="AJ259" s="458"/>
      <c r="AK259" s="462"/>
      <c r="AL259" s="447"/>
      <c r="AM259" s="458"/>
      <c r="AN259" s="458"/>
      <c r="AO259" s="458"/>
      <c r="AP259" s="462"/>
      <c r="AQ259" s="447"/>
      <c r="AR259" s="458"/>
      <c r="AS259" s="458"/>
      <c r="AT259" s="458"/>
      <c r="AU259" s="462"/>
      <c r="AV259" s="447"/>
      <c r="AW259" s="458"/>
      <c r="AX259" s="458"/>
      <c r="AY259" s="458"/>
      <c r="AZ259" s="462"/>
      <c r="BA259" s="447"/>
      <c r="BB259" s="458"/>
      <c r="BC259" s="458"/>
      <c r="BD259" s="458"/>
      <c r="BE259" s="462"/>
      <c r="BF259" s="447"/>
      <c r="BG259" s="458"/>
      <c r="BH259" s="458"/>
      <c r="BI259" s="458"/>
      <c r="BJ259" s="462"/>
      <c r="BK259" s="447"/>
      <c r="BL259" s="458"/>
      <c r="BM259" s="458"/>
      <c r="BN259" s="458"/>
      <c r="BO259" s="462"/>
      <c r="BP259" s="447"/>
      <c r="BQ259" s="458"/>
      <c r="BR259" s="458"/>
      <c r="BS259" s="458"/>
      <c r="BT259" s="462"/>
      <c r="BU259" s="447"/>
      <c r="BV259" s="458"/>
      <c r="BW259" s="458"/>
      <c r="BX259" s="458"/>
      <c r="BY259" s="462"/>
      <c r="BZ259" s="447"/>
      <c r="CA259" s="458"/>
      <c r="CB259" s="458"/>
      <c r="CC259" s="458"/>
      <c r="CD259" s="462"/>
      <c r="CE259" s="447"/>
      <c r="CF259" s="458"/>
      <c r="CG259" s="458"/>
      <c r="CH259" s="458"/>
      <c r="CI259" s="462"/>
      <c r="CJ259" s="447"/>
      <c r="CK259" s="458"/>
      <c r="CL259" s="458"/>
      <c r="CM259" s="458"/>
      <c r="CN259" s="462"/>
      <c r="CO259" s="448">
        <v>-217</v>
      </c>
      <c r="CP259" s="458"/>
      <c r="CQ259" s="458"/>
      <c r="CR259" s="458"/>
      <c r="CS259" s="462"/>
      <c r="CT259" s="447"/>
      <c r="CU259" s="447"/>
      <c r="CV259" s="447"/>
      <c r="CW259" s="447"/>
      <c r="CX259" s="462"/>
      <c r="CY259" s="447"/>
      <c r="CZ259" s="447"/>
      <c r="DA259" s="447"/>
      <c r="DB259" s="447"/>
      <c r="DC259" s="462"/>
      <c r="DD259" s="448">
        <v>-105</v>
      </c>
      <c r="DE259" s="447"/>
      <c r="DF259" s="447"/>
      <c r="DG259" s="447"/>
      <c r="DH259" s="462"/>
      <c r="DI259" s="447"/>
      <c r="DJ259" s="447"/>
      <c r="DK259" s="447"/>
      <c r="DL259" s="447"/>
      <c r="DM259" s="462"/>
      <c r="DN259" s="447"/>
      <c r="DO259" s="447"/>
      <c r="DP259" s="447"/>
      <c r="DQ259" s="447"/>
      <c r="DR259" s="462"/>
      <c r="DS259" s="447"/>
      <c r="DT259" s="447"/>
      <c r="DU259" s="447"/>
      <c r="DV259" s="447"/>
      <c r="DW259" s="462"/>
      <c r="DX259" s="447"/>
      <c r="DY259" s="447"/>
      <c r="DZ259" s="447"/>
      <c r="EA259" s="447"/>
      <c r="EB259" s="462"/>
      <c r="EC259" s="447"/>
      <c r="ED259" s="447"/>
      <c r="EE259" s="447"/>
      <c r="EF259" s="447"/>
      <c r="EG259" s="462"/>
      <c r="EH259" s="447"/>
      <c r="EI259" s="447"/>
      <c r="EJ259" s="447"/>
      <c r="EK259" s="447"/>
      <c r="EL259" s="494">
        <v>641</v>
      </c>
      <c r="EM259" s="496">
        <v>105</v>
      </c>
      <c r="EN259" s="496">
        <v>-39</v>
      </c>
      <c r="EO259" s="496">
        <v>20</v>
      </c>
      <c r="EP259" s="679">
        <f>EQ259-EO259-EN259-EM259</f>
      </c>
      <c r="EQ259" s="494">
        <v>140</v>
      </c>
      <c r="ER259" s="496">
        <v>44</v>
      </c>
      <c r="ES259" s="815">
        <v>74</v>
      </c>
      <c r="ET259" s="815">
        <v>63</v>
      </c>
      <c r="EU259" s="458">
        <f>EU255-EP255</f>
      </c>
      <c r="EV259" s="462">
        <f>EV255-EQ255</f>
      </c>
      <c r="EW259" s="458">
        <f>EW255-ER255</f>
      </c>
      <c r="EX259" s="458">
        <f>EX255-ES255</f>
      </c>
      <c r="EY259" s="458">
        <f t="shared" ref="EY259:FZ259" si="306">EY255-ET255</f>
      </c>
      <c r="EZ259" s="458">
        <f>EZ255-EU255</f>
      </c>
      <c r="FA259" s="462">
        <f>FA255-EV255</f>
      </c>
      <c r="FB259" s="458">
        <f t="shared" si="306"/>
      </c>
      <c r="FC259" s="458">
        <f t="shared" si="306"/>
      </c>
      <c r="FD259" s="458">
        <f t="shared" si="306"/>
      </c>
      <c r="FE259" s="458">
        <f t="shared" si="306"/>
      </c>
      <c r="FF259" s="462">
        <f t="shared" si="306"/>
      </c>
      <c r="FG259" s="458">
        <f t="shared" si="306"/>
      </c>
      <c r="FH259" s="458">
        <f t="shared" si="306"/>
      </c>
      <c r="FI259" s="458">
        <f t="shared" si="306"/>
      </c>
      <c r="FJ259" s="458">
        <f t="shared" si="306"/>
      </c>
      <c r="FK259" s="462">
        <f t="shared" si="306"/>
      </c>
      <c r="FL259" s="458">
        <f t="shared" si="306"/>
      </c>
      <c r="FM259" s="458">
        <f t="shared" si="306"/>
      </c>
      <c r="FN259" s="458">
        <f t="shared" si="306"/>
      </c>
      <c r="FO259" s="458">
        <f t="shared" si="306"/>
      </c>
      <c r="FP259" s="462">
        <f t="shared" si="306"/>
      </c>
      <c r="FQ259" s="458">
        <f t="shared" si="306"/>
      </c>
      <c r="FR259" s="458">
        <f t="shared" si="306"/>
      </c>
      <c r="FS259" s="458">
        <f t="shared" si="306"/>
      </c>
      <c r="FT259" s="458">
        <f t="shared" si="306"/>
      </c>
      <c r="FU259" s="462">
        <f t="shared" si="306"/>
      </c>
      <c r="FV259" s="447">
        <f t="shared" si="306"/>
      </c>
      <c r="FW259" s="458">
        <f t="shared" si="306"/>
      </c>
      <c r="FX259" s="458">
        <f t="shared" si="306"/>
      </c>
      <c r="FY259" s="458">
        <f t="shared" si="306"/>
      </c>
      <c r="FZ259" s="462">
        <f t="shared" si="306"/>
      </c>
      <c r="GA259" s="447">
        <f t="shared" ref="GA259:GJ259" si="307">GA255-FV255</f>
      </c>
      <c r="GB259" s="458">
        <f t="shared" si="307"/>
      </c>
      <c r="GC259" s="458">
        <f t="shared" si="307"/>
      </c>
      <c r="GD259" s="458">
        <f t="shared" si="307"/>
      </c>
      <c r="GE259" s="462">
        <f t="shared" si="307"/>
      </c>
      <c r="GF259" s="447">
        <f t="shared" si="307"/>
      </c>
      <c r="GG259" s="458">
        <f t="shared" si="307"/>
      </c>
      <c r="GH259" s="458">
        <f t="shared" si="307"/>
      </c>
      <c r="GI259" s="458">
        <f t="shared" si="307"/>
      </c>
      <c r="GJ259" s="497">
        <f t="shared" si="307"/>
      </c>
    </row>
    <row r="260" spans="1:192" s="461" customFormat="1" ht="12.75" customHeight="1">
      <c r="A260" s="370"/>
      <c r="B260" s="735" t="s">
        <v>244</v>
      </c>
      <c r="C260" s="447"/>
      <c r="D260" s="458"/>
      <c r="E260" s="458"/>
      <c r="F260" s="458"/>
      <c r="G260" s="462"/>
      <c r="H260" s="447"/>
      <c r="I260" s="458"/>
      <c r="J260" s="458"/>
      <c r="K260" s="458"/>
      <c r="L260" s="462"/>
      <c r="M260" s="447"/>
      <c r="N260" s="458"/>
      <c r="O260" s="458"/>
      <c r="P260" s="458"/>
      <c r="Q260" s="462"/>
      <c r="R260" s="447"/>
      <c r="S260" s="458"/>
      <c r="T260" s="458"/>
      <c r="U260" s="458"/>
      <c r="V260" s="462"/>
      <c r="W260" s="447"/>
      <c r="X260" s="458"/>
      <c r="Y260" s="458"/>
      <c r="Z260" s="458"/>
      <c r="AA260" s="462"/>
      <c r="AB260" s="447"/>
      <c r="AC260" s="458"/>
      <c r="AD260" s="458"/>
      <c r="AE260" s="458"/>
      <c r="AF260" s="462"/>
      <c r="AG260" s="447"/>
      <c r="AH260" s="458"/>
      <c r="AI260" s="458"/>
      <c r="AJ260" s="458"/>
      <c r="AK260" s="462"/>
      <c r="AL260" s="447"/>
      <c r="AM260" s="458"/>
      <c r="AN260" s="458"/>
      <c r="AO260" s="458"/>
      <c r="AP260" s="462"/>
      <c r="AQ260" s="447"/>
      <c r="AR260" s="458"/>
      <c r="AS260" s="458"/>
      <c r="AT260" s="458"/>
      <c r="AU260" s="462"/>
      <c r="AV260" s="447"/>
      <c r="AW260" s="458"/>
      <c r="AX260" s="458"/>
      <c r="AY260" s="458"/>
      <c r="AZ260" s="462"/>
      <c r="BA260" s="447"/>
      <c r="BB260" s="458"/>
      <c r="BC260" s="458"/>
      <c r="BD260" s="458"/>
      <c r="BE260" s="462"/>
      <c r="BF260" s="447"/>
      <c r="BG260" s="458"/>
      <c r="BH260" s="458"/>
      <c r="BI260" s="458"/>
      <c r="BJ260" s="462"/>
      <c r="BK260" s="447"/>
      <c r="BL260" s="458"/>
      <c r="BM260" s="458"/>
      <c r="BN260" s="458"/>
      <c r="BO260" s="462"/>
      <c r="BP260" s="447"/>
      <c r="BQ260" s="458"/>
      <c r="BR260" s="458"/>
      <c r="BS260" s="458"/>
      <c r="BT260" s="462"/>
      <c r="BU260" s="447"/>
      <c r="BV260" s="458"/>
      <c r="BW260" s="458"/>
      <c r="BX260" s="458"/>
      <c r="BY260" s="462"/>
      <c r="BZ260" s="447"/>
      <c r="CA260" s="458"/>
      <c r="CB260" s="458"/>
      <c r="CC260" s="458"/>
      <c r="CD260" s="462"/>
      <c r="CE260" s="447"/>
      <c r="CF260" s="458"/>
      <c r="CG260" s="458"/>
      <c r="CH260" s="458"/>
      <c r="CI260" s="462"/>
      <c r="CJ260" s="447"/>
      <c r="CK260" s="458"/>
      <c r="CL260" s="458"/>
      <c r="CM260" s="458"/>
      <c r="CN260" s="462"/>
      <c r="CO260" s="447"/>
      <c r="CP260" s="458"/>
      <c r="CQ260" s="458"/>
      <c r="CR260" s="458"/>
      <c r="CS260" s="462"/>
      <c r="CT260" s="447"/>
      <c r="CU260" s="458"/>
      <c r="CV260" s="458"/>
      <c r="CW260" s="458"/>
      <c r="CX260" s="462"/>
      <c r="CY260" s="447"/>
      <c r="CZ260" s="458"/>
      <c r="DA260" s="458"/>
      <c r="DB260" s="458"/>
      <c r="DC260" s="462"/>
      <c r="DD260" s="447"/>
      <c r="DE260" s="458"/>
      <c r="DF260" s="458"/>
      <c r="DG260" s="458"/>
      <c r="DH260" s="462"/>
      <c r="DI260" s="447"/>
      <c r="DJ260" s="458"/>
      <c r="DK260" s="458"/>
      <c r="DL260" s="458"/>
      <c r="DM260" s="462"/>
      <c r="DN260" s="447"/>
      <c r="DO260" s="458"/>
      <c r="DP260" s="458"/>
      <c r="DQ260" s="458"/>
      <c r="DR260" s="462"/>
      <c r="DS260" s="447"/>
      <c r="DT260" s="458"/>
      <c r="DU260" s="458"/>
      <c r="DV260" s="458"/>
      <c r="DW260" s="462"/>
      <c r="DX260" s="447"/>
      <c r="DY260" s="458"/>
      <c r="DZ260" s="458"/>
      <c r="EA260" s="458"/>
      <c r="EB260" s="462"/>
      <c r="EC260" s="447"/>
      <c r="ED260" s="458"/>
      <c r="EE260" s="458"/>
      <c r="EF260" s="458"/>
      <c r="EG260" s="462"/>
      <c r="EH260" s="447"/>
      <c r="EI260" s="458"/>
      <c r="EJ260" s="458"/>
      <c r="EK260" s="458"/>
      <c r="EL260" s="462"/>
      <c r="EM260" s="511">
        <f>EM255-EK255</f>
      </c>
      <c r="EN260" s="679">
        <f>EN255-EM255</f>
      </c>
      <c r="EO260" s="679">
        <f>EO255-EN255</f>
      </c>
      <c r="EP260" s="679">
        <f>EP255-EO255</f>
      </c>
      <c r="EQ260" s="462"/>
      <c r="ER260" s="447">
        <f>EM255-EK255</f>
      </c>
      <c r="ES260" s="458">
        <f>ES255-ER255</f>
      </c>
      <c r="ET260" s="679">
        <f>ET255-ES255</f>
      </c>
      <c r="EU260" s="679">
        <f>EU255-ET255</f>
      </c>
      <c r="EV260" s="462"/>
      <c r="EW260" s="447">
        <f>EW255-EU255</f>
      </c>
      <c r="EX260" s="458">
        <f>EX255-EW255</f>
      </c>
      <c r="EY260" s="679">
        <f>EY255-EX255</f>
      </c>
      <c r="EZ260" s="679">
        <f>EZ255-EY255</f>
      </c>
      <c r="FA260" s="462"/>
      <c r="FB260" s="447">
        <f>FB255-EZ255</f>
      </c>
      <c r="FC260" s="458">
        <f>FC255-FB255</f>
      </c>
      <c r="FD260" s="458">
        <f>FD255-FC255</f>
      </c>
      <c r="FE260" s="458">
        <f>FE255-FD255</f>
      </c>
      <c r="FF260" s="462"/>
      <c r="FG260" s="447">
        <f>FG255-FE255</f>
      </c>
      <c r="FH260" s="458">
        <f>FH255-FG255</f>
      </c>
      <c r="FI260" s="458">
        <f>FI255-FH255</f>
      </c>
      <c r="FJ260" s="458">
        <f>FJ255-FI255</f>
      </c>
      <c r="FK260" s="462"/>
      <c r="FL260" s="447">
        <f>FL255-FJ255</f>
      </c>
      <c r="FM260" s="458">
        <f>FM255-FL255</f>
      </c>
      <c r="FN260" s="458">
        <f>FN255-FM255</f>
      </c>
      <c r="FO260" s="458">
        <f>FO255-FN255</f>
      </c>
      <c r="FP260" s="462"/>
      <c r="FQ260" s="447">
        <f>FQ255-FO255</f>
      </c>
      <c r="FR260" s="458">
        <f>FR255-FQ255</f>
      </c>
      <c r="FS260" s="458">
        <f>FS255-FR255</f>
      </c>
      <c r="FT260" s="458">
        <f>FT255-FS255</f>
      </c>
      <c r="FU260" s="462"/>
      <c r="FV260" s="447">
        <f>FV255-FT255</f>
      </c>
      <c r="FW260" s="458">
        <f>FW255-FV255</f>
      </c>
      <c r="FX260" s="458">
        <f>FX255-FW255</f>
      </c>
      <c r="FY260" s="458">
        <f>FY255-FX255</f>
      </c>
      <c r="FZ260" s="462"/>
      <c r="GA260" s="447">
        <f>GA255-FY255</f>
      </c>
      <c r="GB260" s="458">
        <f>GB255-GA255</f>
      </c>
      <c r="GC260" s="458">
        <f>GC255-GB255</f>
      </c>
      <c r="GD260" s="458">
        <f>GD255-GC255</f>
      </c>
      <c r="GE260" s="462"/>
      <c r="GF260" s="447">
        <f>GF255-GD255</f>
      </c>
      <c r="GG260" s="458">
        <f>GG255-GF255</f>
      </c>
      <c r="GH260" s="458">
        <f>GH255-GG255</f>
      </c>
      <c r="GI260" s="458">
        <f>GI255-GH255</f>
      </c>
      <c r="GJ260" s="497"/>
    </row>
    <row r="261" spans="1:192" ht="12.75" customHeight="1">
      <c r="B261" s="735" t="s">
        <v>1994</v>
      </c>
      <c r="C261" s="291"/>
      <c r="D261" s="107"/>
      <c r="E261" s="107"/>
      <c r="F261" s="107"/>
      <c r="G261" s="292"/>
      <c r="H261" s="291"/>
      <c r="I261" s="107"/>
      <c r="J261" s="107"/>
      <c r="K261" s="107"/>
      <c r="L261" s="292"/>
      <c r="M261" s="291"/>
      <c r="N261" s="107"/>
      <c r="O261" s="107"/>
      <c r="P261" s="107"/>
      <c r="Q261" s="292"/>
      <c r="R261" s="291"/>
      <c r="S261" s="107"/>
      <c r="T261" s="107"/>
      <c r="U261" s="107"/>
      <c r="V261" s="292"/>
      <c r="W261" s="291"/>
      <c r="X261" s="107"/>
      <c r="Y261" s="107"/>
      <c r="Z261" s="107"/>
      <c r="AA261" s="292"/>
      <c r="AB261" s="291"/>
      <c r="AC261" s="107"/>
      <c r="AD261" s="107"/>
      <c r="AE261" s="107"/>
      <c r="AF261" s="292"/>
      <c r="AG261" s="291"/>
      <c r="AH261" s="107"/>
      <c r="AI261" s="107"/>
      <c r="AJ261" s="107"/>
      <c r="AK261" s="292"/>
      <c r="AL261" s="291"/>
      <c r="AM261" s="107"/>
      <c r="AN261" s="107"/>
      <c r="AO261" s="107"/>
      <c r="AP261" s="292"/>
      <c r="AQ261" s="291"/>
      <c r="AR261" s="107"/>
      <c r="AS261" s="107"/>
      <c r="AT261" s="107"/>
      <c r="AU261" s="292"/>
      <c r="AV261" s="291"/>
      <c r="AW261" s="107"/>
      <c r="AX261" s="107"/>
      <c r="AY261" s="107"/>
      <c r="AZ261" s="292"/>
      <c r="BA261" s="291"/>
      <c r="BB261" s="107"/>
      <c r="BC261" s="107"/>
      <c r="BD261" s="107"/>
      <c r="BE261" s="292"/>
      <c r="BF261" s="291"/>
      <c r="BG261" s="107"/>
      <c r="BH261" s="107"/>
      <c r="BI261" s="107"/>
      <c r="BJ261" s="292"/>
      <c r="BK261" s="291"/>
      <c r="BL261" s="107"/>
      <c r="BM261" s="107"/>
      <c r="BN261" s="107"/>
      <c r="BO261" s="292"/>
      <c r="BP261" s="291"/>
      <c r="BQ261" s="107"/>
      <c r="BR261" s="107"/>
      <c r="BS261" s="107"/>
      <c r="BT261" s="292"/>
      <c r="BU261" s="291"/>
      <c r="BV261" s="107"/>
      <c r="BW261" s="107"/>
      <c r="BX261" s="107"/>
      <c r="BY261" s="292"/>
      <c r="BZ261" s="291"/>
      <c r="CA261" s="107"/>
      <c r="CB261" s="107"/>
      <c r="CC261" s="107"/>
      <c r="CD261" s="292"/>
      <c r="CE261" s="291"/>
      <c r="CF261" s="107"/>
      <c r="CG261" s="107"/>
      <c r="CH261" s="107"/>
      <c r="CI261" s="292"/>
      <c r="CJ261" s="291"/>
      <c r="CK261" s="107"/>
      <c r="CL261" s="107"/>
      <c r="CM261" s="107"/>
      <c r="CN261" s="292"/>
      <c r="CO261" s="291"/>
      <c r="CP261" s="107"/>
      <c r="CQ261" s="107"/>
      <c r="CR261" s="107"/>
      <c r="CS261" s="292"/>
      <c r="CT261" s="291"/>
      <c r="CU261" s="291"/>
      <c r="CV261" s="291"/>
      <c r="CW261" s="291"/>
      <c r="CX261" s="292"/>
      <c r="CY261" s="291"/>
      <c r="CZ261" s="291"/>
      <c r="DA261" s="291"/>
      <c r="DB261" s="291"/>
      <c r="DC261" s="292"/>
      <c r="DD261" s="349"/>
      <c r="DE261" s="349"/>
      <c r="DF261" s="349"/>
      <c r="DG261" s="349"/>
      <c r="DH261" s="896"/>
      <c r="DI261" s="349"/>
      <c r="DJ261" s="349"/>
      <c r="DK261" s="349"/>
      <c r="DL261" s="349"/>
      <c r="DM261" s="896"/>
      <c r="DN261" s="349"/>
      <c r="DO261" s="349"/>
      <c r="DP261" s="349"/>
      <c r="DQ261" s="349"/>
      <c r="DR261" s="896"/>
      <c r="DS261" s="291"/>
      <c r="DT261" s="291"/>
      <c r="DU261" s="291"/>
      <c r="DV261" s="291"/>
      <c r="DW261" s="292"/>
      <c r="DX261" s="291"/>
      <c r="DY261" s="291"/>
      <c r="DZ261" s="291"/>
      <c r="EA261" s="291"/>
      <c r="EB261" s="292"/>
      <c r="EC261" s="291"/>
      <c r="ED261" s="291"/>
      <c r="EE261" s="291"/>
      <c r="EF261" s="291"/>
      <c r="EG261" s="292"/>
      <c r="EH261" s="291"/>
      <c r="EI261" s="291"/>
      <c r="EJ261" s="349"/>
      <c r="EK261" s="349"/>
      <c r="EL261" s="292"/>
      <c r="EM261" s="291"/>
      <c r="EN261" s="291"/>
      <c r="EO261" s="291"/>
      <c r="EP261" s="291"/>
      <c r="EQ261" s="292"/>
      <c r="ER261" s="291">
        <f t="shared" ref="ER261:GE261" si="308">ER255/ER$131</f>
      </c>
      <c r="ES261" s="291">
        <f t="shared" si="308"/>
      </c>
      <c r="ET261" s="291">
        <f t="shared" si="308"/>
      </c>
      <c r="EU261" s="291">
        <f t="shared" si="308"/>
      </c>
      <c r="EV261" s="292">
        <f t="shared" si="308"/>
      </c>
      <c r="EW261" s="291">
        <f t="shared" si="308"/>
      </c>
      <c r="EX261" s="291">
        <f t="shared" ref="EX261:FA261" si="309">EX255/EX$131</f>
      </c>
      <c r="EY261" s="291">
        <f t="shared" si="309"/>
      </c>
      <c r="EZ261" s="291">
        <f t="shared" si="309"/>
      </c>
      <c r="FA261" s="292">
        <f t="shared" si="309"/>
      </c>
      <c r="FB261" s="291">
        <f t="shared" si="308"/>
      </c>
      <c r="FC261" s="291">
        <f t="shared" si="308"/>
      </c>
      <c r="FD261" s="291">
        <f t="shared" si="308"/>
      </c>
      <c r="FE261" s="291">
        <f t="shared" si="308"/>
      </c>
      <c r="FF261" s="292">
        <f t="shared" si="308"/>
      </c>
      <c r="FG261" s="291">
        <f t="shared" si="308"/>
      </c>
      <c r="FH261" s="291">
        <f t="shared" si="308"/>
      </c>
      <c r="FI261" s="291">
        <f t="shared" si="308"/>
      </c>
      <c r="FJ261" s="291">
        <f t="shared" si="308"/>
      </c>
      <c r="FK261" s="292">
        <f t="shared" si="308"/>
      </c>
      <c r="FL261" s="291">
        <f t="shared" si="308"/>
      </c>
      <c r="FM261" s="291">
        <f t="shared" si="308"/>
      </c>
      <c r="FN261" s="291">
        <f t="shared" si="308"/>
      </c>
      <c r="FO261" s="291">
        <f t="shared" si="308"/>
      </c>
      <c r="FP261" s="292">
        <f t="shared" si="308"/>
      </c>
      <c r="FQ261" s="291">
        <f t="shared" si="308"/>
      </c>
      <c r="FR261" s="291">
        <f t="shared" si="308"/>
      </c>
      <c r="FS261" s="291">
        <f t="shared" si="308"/>
      </c>
      <c r="FT261" s="291">
        <f t="shared" si="308"/>
      </c>
      <c r="FU261" s="292">
        <f t="shared" si="308"/>
      </c>
      <c r="FV261" s="291">
        <f t="shared" si="308"/>
      </c>
      <c r="FW261" s="107">
        <f t="shared" si="308"/>
      </c>
      <c r="FX261" s="107">
        <f t="shared" si="308"/>
      </c>
      <c r="FY261" s="107">
        <f t="shared" si="308"/>
      </c>
      <c r="FZ261" s="292">
        <f t="shared" si="308"/>
      </c>
      <c r="GA261" s="291">
        <f t="shared" si="308"/>
      </c>
      <c r="GB261" s="107">
        <f t="shared" si="308"/>
      </c>
      <c r="GC261" s="107">
        <f t="shared" si="308"/>
      </c>
      <c r="GD261" s="107">
        <f t="shared" si="308"/>
      </c>
      <c r="GE261" s="292">
        <f t="shared" si="308"/>
      </c>
      <c r="GF261" s="291">
        <f t="shared" ref="GF261:GJ261" si="310">GF255/GF$131</f>
      </c>
      <c r="GG261" s="107">
        <f t="shared" si="310"/>
      </c>
      <c r="GH261" s="107">
        <f t="shared" si="310"/>
      </c>
      <c r="GI261" s="107">
        <f t="shared" si="310"/>
      </c>
      <c r="GJ261" s="384">
        <f t="shared" si="310"/>
      </c>
    </row>
    <row r="262" spans="1:192" ht="12.75" customHeight="1">
      <c r="B262" s="735" t="s">
        <v>1884</v>
      </c>
      <c r="C262" s="291"/>
      <c r="D262" s="107"/>
      <c r="E262" s="107"/>
      <c r="F262" s="107"/>
      <c r="G262" s="292"/>
      <c r="H262" s="291"/>
      <c r="I262" s="107"/>
      <c r="J262" s="107"/>
      <c r="K262" s="107"/>
      <c r="L262" s="292"/>
      <c r="M262" s="291"/>
      <c r="N262" s="107"/>
      <c r="O262" s="107"/>
      <c r="P262" s="107"/>
      <c r="Q262" s="292"/>
      <c r="R262" s="291"/>
      <c r="S262" s="107"/>
      <c r="T262" s="107"/>
      <c r="U262" s="107"/>
      <c r="V262" s="292"/>
      <c r="W262" s="291"/>
      <c r="X262" s="107"/>
      <c r="Y262" s="107"/>
      <c r="Z262" s="107"/>
      <c r="AA262" s="292"/>
      <c r="AB262" s="291"/>
      <c r="AC262" s="107"/>
      <c r="AD262" s="107"/>
      <c r="AE262" s="107"/>
      <c r="AF262" s="292"/>
      <c r="AG262" s="291"/>
      <c r="AH262" s="107"/>
      <c r="AI262" s="107"/>
      <c r="AJ262" s="107"/>
      <c r="AK262" s="292"/>
      <c r="AL262" s="291"/>
      <c r="AM262" s="107"/>
      <c r="AN262" s="107"/>
      <c r="AO262" s="107"/>
      <c r="AP262" s="292"/>
      <c r="AQ262" s="291"/>
      <c r="AR262" s="107"/>
      <c r="AS262" s="107"/>
      <c r="AT262" s="107"/>
      <c r="AU262" s="292"/>
      <c r="AV262" s="291"/>
      <c r="AW262" s="107"/>
      <c r="AX262" s="107"/>
      <c r="AY262" s="107"/>
      <c r="AZ262" s="292"/>
      <c r="BA262" s="291"/>
      <c r="BB262" s="107"/>
      <c r="BC262" s="107"/>
      <c r="BD262" s="107"/>
      <c r="BE262" s="292"/>
      <c r="BF262" s="291"/>
      <c r="BG262" s="107"/>
      <c r="BH262" s="107"/>
      <c r="BI262" s="107"/>
      <c r="BJ262" s="292"/>
      <c r="BK262" s="291"/>
      <c r="BL262" s="107"/>
      <c r="BM262" s="107"/>
      <c r="BN262" s="107"/>
      <c r="BO262" s="292"/>
      <c r="BP262" s="291"/>
      <c r="BQ262" s="107"/>
      <c r="BR262" s="107"/>
      <c r="BS262" s="107"/>
      <c r="BT262" s="292"/>
      <c r="BU262" s="291"/>
      <c r="BV262" s="107"/>
      <c r="BW262" s="107"/>
      <c r="BX262" s="107"/>
      <c r="BY262" s="292"/>
      <c r="BZ262" s="291"/>
      <c r="CA262" s="107"/>
      <c r="CB262" s="107"/>
      <c r="CC262" s="107"/>
      <c r="CD262" s="292"/>
      <c r="CE262" s="291"/>
      <c r="CF262" s="107"/>
      <c r="CG262" s="107"/>
      <c r="CH262" s="107"/>
      <c r="CI262" s="292"/>
      <c r="CJ262" s="291"/>
      <c r="CK262" s="107"/>
      <c r="CL262" s="107"/>
      <c r="CM262" s="107"/>
      <c r="CN262" s="292"/>
      <c r="CO262" s="291"/>
      <c r="CP262" s="107"/>
      <c r="CQ262" s="107"/>
      <c r="CR262" s="107"/>
      <c r="CS262" s="292"/>
      <c r="CT262" s="291"/>
      <c r="CU262" s="291"/>
      <c r="CV262" s="291"/>
      <c r="CW262" s="291"/>
      <c r="CX262" s="292"/>
      <c r="CY262" s="291"/>
      <c r="CZ262" s="291"/>
      <c r="DA262" s="291"/>
      <c r="DB262" s="291"/>
      <c r="DC262" s="292"/>
      <c r="DD262" s="349"/>
      <c r="DE262" s="349"/>
      <c r="DF262" s="349"/>
      <c r="DG262" s="349"/>
      <c r="DH262" s="896"/>
      <c r="DI262" s="349"/>
      <c r="DJ262" s="349"/>
      <c r="DK262" s="349"/>
      <c r="DL262" s="349"/>
      <c r="DM262" s="896"/>
      <c r="DN262" s="349"/>
      <c r="DO262" s="349"/>
      <c r="DP262" s="349"/>
      <c r="DQ262" s="349"/>
      <c r="DR262" s="896"/>
      <c r="DS262" s="291"/>
      <c r="DT262" s="291"/>
      <c r="DU262" s="291"/>
      <c r="DV262" s="291"/>
      <c r="DW262" s="292"/>
      <c r="DX262" s="291"/>
      <c r="DY262" s="291"/>
      <c r="DZ262" s="291"/>
      <c r="EA262" s="291"/>
      <c r="EB262" s="292"/>
      <c r="EC262" s="291"/>
      <c r="ED262" s="291"/>
      <c r="EE262" s="291"/>
      <c r="EF262" s="291"/>
      <c r="EG262" s="292"/>
      <c r="EH262" s="291"/>
      <c r="EI262" s="291"/>
      <c r="EJ262" s="291"/>
      <c r="EK262" s="291"/>
      <c r="EL262" s="292"/>
      <c r="EM262" s="291"/>
      <c r="EN262" s="291"/>
      <c r="EO262" s="291"/>
      <c r="EP262" s="291"/>
      <c r="EQ262" s="292"/>
      <c r="ER262" s="291">
        <f t="shared" ref="ER262:GE262" si="311">ER255/ER$10</f>
      </c>
      <c r="ES262" s="291">
        <f t="shared" si="311"/>
      </c>
      <c r="ET262" s="291">
        <f t="shared" si="311"/>
      </c>
      <c r="EU262" s="291">
        <f t="shared" si="311"/>
      </c>
      <c r="EV262" s="292">
        <f t="shared" si="311"/>
      </c>
      <c r="EW262" s="291">
        <f t="shared" si="311"/>
      </c>
      <c r="EX262" s="291">
        <f t="shared" ref="EX262:FA262" si="312">EX255/EX$10</f>
      </c>
      <c r="EY262" s="291">
        <f t="shared" si="312"/>
      </c>
      <c r="EZ262" s="291">
        <f t="shared" si="312"/>
      </c>
      <c r="FA262" s="292">
        <f t="shared" si="312"/>
      </c>
      <c r="FB262" s="291">
        <f t="shared" si="311"/>
      </c>
      <c r="FC262" s="291">
        <f t="shared" si="311"/>
      </c>
      <c r="FD262" s="291">
        <f t="shared" si="311"/>
      </c>
      <c r="FE262" s="291">
        <f t="shared" si="311"/>
      </c>
      <c r="FF262" s="292">
        <f t="shared" si="311"/>
      </c>
      <c r="FG262" s="291">
        <f t="shared" si="311"/>
      </c>
      <c r="FH262" s="291">
        <f t="shared" si="311"/>
      </c>
      <c r="FI262" s="291">
        <f t="shared" si="311"/>
      </c>
      <c r="FJ262" s="291">
        <f t="shared" si="311"/>
      </c>
      <c r="FK262" s="292">
        <f t="shared" si="311"/>
      </c>
      <c r="FL262" s="291">
        <f t="shared" si="311"/>
      </c>
      <c r="FM262" s="291">
        <f t="shared" si="311"/>
      </c>
      <c r="FN262" s="291">
        <f t="shared" si="311"/>
      </c>
      <c r="FO262" s="291">
        <f t="shared" si="311"/>
      </c>
      <c r="FP262" s="292">
        <f t="shared" si="311"/>
      </c>
      <c r="FQ262" s="291">
        <f t="shared" si="311"/>
      </c>
      <c r="FR262" s="291">
        <f t="shared" si="311"/>
      </c>
      <c r="FS262" s="291">
        <f t="shared" si="311"/>
      </c>
      <c r="FT262" s="291">
        <f t="shared" si="311"/>
      </c>
      <c r="FU262" s="292">
        <f t="shared" si="311"/>
      </c>
      <c r="FV262" s="291">
        <f t="shared" si="311"/>
      </c>
      <c r="FW262" s="107">
        <f t="shared" si="311"/>
      </c>
      <c r="FX262" s="107">
        <f t="shared" si="311"/>
      </c>
      <c r="FY262" s="107">
        <f t="shared" si="311"/>
      </c>
      <c r="FZ262" s="292">
        <f t="shared" si="311"/>
      </c>
      <c r="GA262" s="291">
        <f t="shared" si="311"/>
      </c>
      <c r="GB262" s="107">
        <f t="shared" si="311"/>
      </c>
      <c r="GC262" s="107">
        <f t="shared" si="311"/>
      </c>
      <c r="GD262" s="107">
        <f t="shared" si="311"/>
      </c>
      <c r="GE262" s="292">
        <f t="shared" si="311"/>
      </c>
      <c r="GF262" s="291">
        <f t="shared" ref="GF262:GJ262" si="313">GF255/GF$10</f>
      </c>
      <c r="GG262" s="107">
        <f t="shared" si="313"/>
      </c>
      <c r="GH262" s="107">
        <f t="shared" si="313"/>
      </c>
      <c r="GI262" s="107">
        <f t="shared" si="313"/>
      </c>
      <c r="GJ262" s="384">
        <f t="shared" si="313"/>
      </c>
    </row>
    <row r="263" spans="1:192" ht="12.75" customHeight="1">
      <c r="B263" s="735"/>
      <c r="C263" s="291"/>
      <c r="D263" s="107"/>
      <c r="E263" s="107"/>
      <c r="F263" s="107"/>
      <c r="G263" s="292"/>
      <c r="H263" s="291"/>
      <c r="I263" s="107"/>
      <c r="J263" s="107"/>
      <c r="K263" s="107"/>
      <c r="L263" s="292"/>
      <c r="M263" s="291"/>
      <c r="N263" s="107"/>
      <c r="O263" s="107"/>
      <c r="P263" s="107"/>
      <c r="Q263" s="292"/>
      <c r="R263" s="291"/>
      <c r="S263" s="107"/>
      <c r="T263" s="107"/>
      <c r="U263" s="107"/>
      <c r="V263" s="292"/>
      <c r="W263" s="291"/>
      <c r="X263" s="107"/>
      <c r="Y263" s="107"/>
      <c r="Z263" s="107"/>
      <c r="AA263" s="292"/>
      <c r="AB263" s="291"/>
      <c r="AC263" s="107"/>
      <c r="AD263" s="107"/>
      <c r="AE263" s="107"/>
      <c r="AF263" s="292"/>
      <c r="AG263" s="291"/>
      <c r="AH263" s="107"/>
      <c r="AI263" s="107"/>
      <c r="AJ263" s="107"/>
      <c r="AK263" s="292"/>
      <c r="AL263" s="291"/>
      <c r="AM263" s="107"/>
      <c r="AN263" s="107"/>
      <c r="AO263" s="107"/>
      <c r="AP263" s="292"/>
      <c r="AQ263" s="291"/>
      <c r="AR263" s="107"/>
      <c r="AS263" s="107"/>
      <c r="AT263" s="107"/>
      <c r="AU263" s="292"/>
      <c r="AV263" s="291"/>
      <c r="AW263" s="107"/>
      <c r="AX263" s="107"/>
      <c r="AY263" s="107"/>
      <c r="AZ263" s="292"/>
      <c r="BA263" s="291"/>
      <c r="BB263" s="107"/>
      <c r="BC263" s="107"/>
      <c r="BD263" s="107"/>
      <c r="BE263" s="292"/>
      <c r="BF263" s="291"/>
      <c r="BG263" s="107"/>
      <c r="BH263" s="107"/>
      <c r="BI263" s="107"/>
      <c r="BJ263" s="292"/>
      <c r="BK263" s="291"/>
      <c r="BL263" s="107"/>
      <c r="BM263" s="107"/>
      <c r="BN263" s="107"/>
      <c r="BO263" s="292"/>
      <c r="BP263" s="291"/>
      <c r="BQ263" s="107"/>
      <c r="BR263" s="107"/>
      <c r="BS263" s="107"/>
      <c r="BT263" s="292"/>
      <c r="BU263" s="291"/>
      <c r="BV263" s="107"/>
      <c r="BW263" s="107"/>
      <c r="BX263" s="107"/>
      <c r="BY263" s="292"/>
      <c r="BZ263" s="291"/>
      <c r="CA263" s="107"/>
      <c r="CB263" s="107"/>
      <c r="CC263" s="107"/>
      <c r="CD263" s="292"/>
      <c r="CE263" s="291"/>
      <c r="CF263" s="107"/>
      <c r="CG263" s="107"/>
      <c r="CH263" s="107"/>
      <c r="CI263" s="292"/>
      <c r="CJ263" s="291"/>
      <c r="CK263" s="107"/>
      <c r="CL263" s="107"/>
      <c r="CM263" s="107"/>
      <c r="CN263" s="292"/>
      <c r="CO263" s="291"/>
      <c r="CP263" s="107"/>
      <c r="CQ263" s="107"/>
      <c r="CR263" s="107"/>
      <c r="CS263" s="292"/>
      <c r="CT263" s="291"/>
      <c r="CU263" s="291"/>
      <c r="CV263" s="291"/>
      <c r="CW263" s="291"/>
      <c r="CX263" s="292"/>
      <c r="CY263" s="291"/>
      <c r="CZ263" s="291"/>
      <c r="DA263" s="291"/>
      <c r="DB263" s="291"/>
      <c r="DC263" s="292"/>
      <c r="DD263" s="349"/>
      <c r="DE263" s="349"/>
      <c r="DF263" s="349"/>
      <c r="DG263" s="349"/>
      <c r="DH263" s="896"/>
      <c r="DI263" s="349"/>
      <c r="DJ263" s="349"/>
      <c r="DK263" s="349"/>
      <c r="DL263" s="349"/>
      <c r="DM263" s="896"/>
      <c r="DN263" s="349"/>
      <c r="DO263" s="349"/>
      <c r="DP263" s="349"/>
      <c r="DQ263" s="349"/>
      <c r="DR263" s="896"/>
      <c r="DS263" s="291"/>
      <c r="DT263" s="291"/>
      <c r="DU263" s="291"/>
      <c r="DV263" s="291"/>
      <c r="DW263" s="292"/>
      <c r="DX263" s="291"/>
      <c r="DY263" s="291"/>
      <c r="DZ263" s="291"/>
      <c r="EA263" s="291"/>
      <c r="EB263" s="292"/>
      <c r="EC263" s="291"/>
      <c r="ED263" s="291"/>
      <c r="EE263" s="291"/>
      <c r="EF263" s="291"/>
      <c r="EG263" s="292"/>
      <c r="EH263" s="291"/>
      <c r="EI263" s="291"/>
      <c r="EJ263" s="291"/>
      <c r="EK263" s="291"/>
      <c r="EL263" s="292"/>
      <c r="EM263" s="291"/>
      <c r="EN263" s="291"/>
      <c r="EO263" s="291"/>
      <c r="EP263" s="291"/>
      <c r="EQ263" s="292"/>
      <c r="ER263" s="291"/>
      <c r="ES263" s="291"/>
      <c r="ET263" s="291"/>
      <c r="EU263" s="291"/>
      <c r="EV263" s="292"/>
      <c r="EW263" s="291"/>
      <c r="EX263" s="291"/>
      <c r="EY263" s="291"/>
      <c r="EZ263" s="447"/>
      <c r="FA263" s="292"/>
      <c r="FB263" s="447"/>
      <c r="FC263" s="447"/>
      <c r="FD263" s="447"/>
      <c r="FE263" s="447"/>
      <c r="FF263" s="462"/>
      <c r="FG263" s="447"/>
      <c r="FH263" s="447"/>
      <c r="FI263" s="447"/>
      <c r="FJ263" s="447"/>
      <c r="FK263" s="462"/>
      <c r="FL263" s="447"/>
      <c r="FM263" s="447"/>
      <c r="FN263" s="447"/>
      <c r="FO263" s="447"/>
      <c r="FP263" s="462"/>
      <c r="FQ263" s="447"/>
      <c r="FR263" s="447"/>
      <c r="FS263" s="447"/>
      <c r="FT263" s="447"/>
      <c r="FU263" s="462"/>
      <c r="FV263" s="447"/>
      <c r="FW263" s="458"/>
      <c r="FX263" s="458"/>
      <c r="FY263" s="458"/>
      <c r="FZ263" s="462"/>
      <c r="GA263" s="447"/>
      <c r="GB263" s="458"/>
      <c r="GC263" s="458"/>
      <c r="GD263" s="458"/>
      <c r="GE263" s="462"/>
      <c r="GF263" s="447"/>
      <c r="GG263" s="458"/>
      <c r="GH263" s="458"/>
      <c r="GI263" s="458"/>
      <c r="GJ263" s="497"/>
    </row>
    <row r="264" spans="1:192" s="461" customFormat="1" ht="12.75" customHeight="1">
      <c r="A264" s="807"/>
      <c r="B264" s="734" t="s">
        <v>1976</v>
      </c>
      <c r="C264" s="443"/>
      <c r="D264" s="471"/>
      <c r="E264" s="471"/>
      <c r="F264" s="471"/>
      <c r="G264" s="516"/>
      <c r="H264" s="443"/>
      <c r="I264" s="471"/>
      <c r="J264" s="471"/>
      <c r="K264" s="471"/>
      <c r="L264" s="516"/>
      <c r="M264" s="443"/>
      <c r="N264" s="471"/>
      <c r="O264" s="471"/>
      <c r="P264" s="471"/>
      <c r="Q264" s="516"/>
      <c r="R264" s="443"/>
      <c r="S264" s="471"/>
      <c r="T264" s="471"/>
      <c r="U264" s="471"/>
      <c r="V264" s="516"/>
      <c r="W264" s="443"/>
      <c r="X264" s="471"/>
      <c r="Y264" s="471"/>
      <c r="Z264" s="471"/>
      <c r="AA264" s="516"/>
      <c r="AB264" s="443"/>
      <c r="AC264" s="471"/>
      <c r="AD264" s="471"/>
      <c r="AE264" s="471"/>
      <c r="AF264" s="516"/>
      <c r="AG264" s="443"/>
      <c r="AH264" s="471"/>
      <c r="AI264" s="471"/>
      <c r="AJ264" s="471"/>
      <c r="AK264" s="516"/>
      <c r="AL264" s="443"/>
      <c r="AM264" s="471"/>
      <c r="AN264" s="471"/>
      <c r="AO264" s="471"/>
      <c r="AP264" s="516"/>
      <c r="AQ264" s="443"/>
      <c r="AR264" s="471"/>
      <c r="AS264" s="471"/>
      <c r="AT264" s="471"/>
      <c r="AU264" s="516"/>
      <c r="AV264" s="443"/>
      <c r="AW264" s="471"/>
      <c r="AX264" s="471"/>
      <c r="AY264" s="471"/>
      <c r="AZ264" s="516"/>
      <c r="BA264" s="443"/>
      <c r="BB264" s="471"/>
      <c r="BC264" s="471"/>
      <c r="BD264" s="471"/>
      <c r="BE264" s="516"/>
      <c r="BF264" s="443"/>
      <c r="BG264" s="471"/>
      <c r="BH264" s="471"/>
      <c r="BI264" s="471"/>
      <c r="BJ264" s="516"/>
      <c r="BK264" s="443"/>
      <c r="BL264" s="471"/>
      <c r="BM264" s="471"/>
      <c r="BN264" s="471"/>
      <c r="BO264" s="516"/>
      <c r="BP264" s="443"/>
      <c r="BQ264" s="471"/>
      <c r="BR264" s="471"/>
      <c r="BS264" s="471"/>
      <c r="BT264" s="516"/>
      <c r="BU264" s="443"/>
      <c r="BV264" s="471"/>
      <c r="BW264" s="471"/>
      <c r="BX264" s="471"/>
      <c r="BY264" s="516"/>
      <c r="BZ264" s="443"/>
      <c r="CA264" s="471"/>
      <c r="CB264" s="471"/>
      <c r="CC264" s="471"/>
      <c r="CD264" s="516"/>
      <c r="CE264" s="443"/>
      <c r="CF264" s="471"/>
      <c r="CG264" s="471"/>
      <c r="CH264" s="471"/>
      <c r="CI264" s="516"/>
      <c r="CJ264" s="443"/>
      <c r="CK264" s="471"/>
      <c r="CL264" s="471"/>
      <c r="CM264" s="471"/>
      <c r="CN264" s="516"/>
      <c r="CO264" s="443"/>
      <c r="CP264" s="471"/>
      <c r="CQ264" s="471"/>
      <c r="CR264" s="471"/>
      <c r="CS264" s="516"/>
      <c r="CT264" s="443"/>
      <c r="CU264" s="471"/>
      <c r="CV264" s="471"/>
      <c r="CW264" s="471"/>
      <c r="CX264" s="516"/>
      <c r="CY264" s="443"/>
      <c r="CZ264" s="443"/>
      <c r="DA264" s="443"/>
      <c r="DB264" s="443"/>
      <c r="DC264" s="516"/>
      <c r="DD264" s="443"/>
      <c r="DE264" s="443"/>
      <c r="DF264" s="443"/>
      <c r="DG264" s="443"/>
      <c r="DH264" s="516"/>
      <c r="DI264" s="443"/>
      <c r="DJ264" s="443"/>
      <c r="DK264" s="443"/>
      <c r="DL264" s="443"/>
      <c r="DM264" s="516"/>
      <c r="DN264" s="443"/>
      <c r="DO264" s="443"/>
      <c r="DP264" s="443"/>
      <c r="DQ264" s="443"/>
      <c r="DR264" s="516"/>
      <c r="DS264" s="443"/>
      <c r="DT264" s="443"/>
      <c r="DU264" s="443"/>
      <c r="DV264" s="443"/>
      <c r="DW264" s="516"/>
      <c r="DX264" s="443"/>
      <c r="DY264" s="443"/>
      <c r="DZ264" s="443"/>
      <c r="EA264" s="443"/>
      <c r="EB264" s="516"/>
      <c r="EC264" s="443"/>
      <c r="ED264" s="443"/>
      <c r="EE264" s="443"/>
      <c r="EF264" s="443"/>
      <c r="EG264" s="516"/>
      <c r="EH264" s="443"/>
      <c r="EI264" s="443"/>
      <c r="EJ264" s="443"/>
      <c r="EK264" s="443"/>
      <c r="EL264" s="516"/>
      <c r="EM264" s="443">
        <f>ER264/(1+ER265)</f>
      </c>
      <c r="EN264" s="443">
        <f>ES264/(1+ES265)</f>
      </c>
      <c r="EO264" s="443">
        <f>ET264/(1+ET265)</f>
      </c>
      <c r="EP264" s="443">
        <f>EU264/(1+EU265)</f>
      </c>
      <c r="EQ264" s="516">
        <f>SUM(EM264:EP264)</f>
      </c>
      <c r="ER264" s="443">
        <f>EW264/(1+EW265)</f>
      </c>
      <c r="ES264" s="471">
        <f>ES255*ES270</f>
      </c>
      <c r="ET264" s="471">
        <f>ET255*ET270</f>
      </c>
      <c r="EU264" s="471">
        <f>EU255*EU270</f>
      </c>
      <c r="EV264" s="516">
        <f>SUM(ER264:EU264)</f>
      </c>
      <c r="EW264" s="471">
        <f>EW255*EW270</f>
      </c>
      <c r="EX264" s="471">
        <f>ES264*(1+EX265)</f>
      </c>
      <c r="EY264" s="471">
        <f>ET264*(1+EY265)</f>
      </c>
      <c r="EZ264" s="471">
        <f>EU264*(1+EZ265)</f>
      </c>
      <c r="FA264" s="516">
        <f>SUM(EW264:EZ264)</f>
      </c>
      <c r="FB264" s="471">
        <f t="shared" ref="FB264:FQ264" si="314">FB273*FB278/4</f>
      </c>
      <c r="FC264" s="471">
        <f t="shared" si="314"/>
      </c>
      <c r="FD264" s="471">
        <f t="shared" si="314"/>
      </c>
      <c r="FE264" s="471">
        <f t="shared" si="314"/>
      </c>
      <c r="FF264" s="516">
        <f>SUM(FB264:FE264)</f>
      </c>
      <c r="FG264" s="471">
        <f t="shared" si="314"/>
      </c>
      <c r="FH264" s="471">
        <f t="shared" si="314"/>
      </c>
      <c r="FI264" s="471">
        <f t="shared" si="314"/>
      </c>
      <c r="FJ264" s="471">
        <f t="shared" si="314"/>
      </c>
      <c r="FK264" s="516">
        <f>SUM(FG264:FJ264)</f>
      </c>
      <c r="FL264" s="471">
        <f t="shared" si="314"/>
      </c>
      <c r="FM264" s="471">
        <f t="shared" si="314"/>
      </c>
      <c r="FN264" s="471">
        <f t="shared" si="314"/>
      </c>
      <c r="FO264" s="471">
        <f t="shared" si="314"/>
      </c>
      <c r="FP264" s="516">
        <f>SUM(FL264:FO264)</f>
      </c>
      <c r="FQ264" s="471">
        <f t="shared" si="314"/>
      </c>
      <c r="FR264" s="471">
        <f t="shared" ref="FR264:FT264" si="315">FR273*FR278/4</f>
      </c>
      <c r="FS264" s="471">
        <f t="shared" si="315"/>
      </c>
      <c r="FT264" s="471">
        <f t="shared" si="315"/>
      </c>
      <c r="FU264" s="516">
        <f>SUM(FQ264:FT264)</f>
      </c>
      <c r="FV264" s="471">
        <f t="shared" ref="FV264:FY264" si="316">FV273*FV278/4</f>
      </c>
      <c r="FW264" s="471">
        <f t="shared" si="316"/>
      </c>
      <c r="FX264" s="471">
        <f t="shared" si="316"/>
      </c>
      <c r="FY264" s="471">
        <f t="shared" si="316"/>
      </c>
      <c r="FZ264" s="516">
        <f>SUM(FV264:FY264)</f>
      </c>
      <c r="GA264" s="471">
        <f t="shared" ref="GA264:GD264" si="317">GA273*GA278/4</f>
      </c>
      <c r="GB264" s="471">
        <f t="shared" si="317"/>
      </c>
      <c r="GC264" s="471">
        <f t="shared" si="317"/>
      </c>
      <c r="GD264" s="471">
        <f t="shared" si="317"/>
      </c>
      <c r="GE264" s="516">
        <f>SUM(GA264:GD264)</f>
      </c>
      <c r="GF264" s="471">
        <f t="shared" ref="GF264:GI264" si="318">GF273*GF278/4</f>
      </c>
      <c r="GG264" s="471">
        <f t="shared" si="318"/>
      </c>
      <c r="GH264" s="471">
        <f t="shared" si="318"/>
      </c>
      <c r="GI264" s="471">
        <f t="shared" si="318"/>
      </c>
      <c r="GJ264" s="808">
        <f>SUM(GF264:GI264)</f>
      </c>
    </row>
    <row r="265" spans="1:192" s="479" customFormat="1" ht="12.75" customHeight="1">
      <c r="A265" s="81"/>
      <c r="B265" s="1744" t="s">
        <v>34</v>
      </c>
      <c r="C265" s="291"/>
      <c r="D265" s="107"/>
      <c r="E265" s="107"/>
      <c r="F265" s="107"/>
      <c r="G265" s="292"/>
      <c r="H265" s="291"/>
      <c r="I265" s="107"/>
      <c r="J265" s="107"/>
      <c r="K265" s="107"/>
      <c r="L265" s="292"/>
      <c r="M265" s="291"/>
      <c r="N265" s="107"/>
      <c r="O265" s="107"/>
      <c r="P265" s="107"/>
      <c r="Q265" s="292"/>
      <c r="R265" s="291"/>
      <c r="S265" s="107"/>
      <c r="T265" s="107"/>
      <c r="U265" s="107"/>
      <c r="V265" s="292"/>
      <c r="W265" s="291"/>
      <c r="X265" s="107"/>
      <c r="Y265" s="107"/>
      <c r="Z265" s="107"/>
      <c r="AA265" s="292"/>
      <c r="AB265" s="291"/>
      <c r="AC265" s="107"/>
      <c r="AD265" s="107"/>
      <c r="AE265" s="107"/>
      <c r="AF265" s="292"/>
      <c r="AG265" s="291"/>
      <c r="AH265" s="107"/>
      <c r="AI265" s="107"/>
      <c r="AJ265" s="107"/>
      <c r="AK265" s="292"/>
      <c r="AL265" s="291"/>
      <c r="AM265" s="107"/>
      <c r="AN265" s="107"/>
      <c r="AO265" s="107"/>
      <c r="AP265" s="292"/>
      <c r="AQ265" s="291"/>
      <c r="AR265" s="107"/>
      <c r="AS265" s="107"/>
      <c r="AT265" s="107"/>
      <c r="AU265" s="292"/>
      <c r="AV265" s="291"/>
      <c r="AW265" s="107"/>
      <c r="AX265" s="107"/>
      <c r="AY265" s="107"/>
      <c r="AZ265" s="292"/>
      <c r="BA265" s="291"/>
      <c r="BB265" s="107"/>
      <c r="BC265" s="107"/>
      <c r="BD265" s="107"/>
      <c r="BE265" s="292"/>
      <c r="BF265" s="291"/>
      <c r="BG265" s="107"/>
      <c r="BH265" s="107"/>
      <c r="BI265" s="107"/>
      <c r="BJ265" s="292"/>
      <c r="BK265" s="291"/>
      <c r="BL265" s="107"/>
      <c r="BM265" s="107"/>
      <c r="BN265" s="107"/>
      <c r="BO265" s="292"/>
      <c r="BP265" s="291"/>
      <c r="BQ265" s="107"/>
      <c r="BR265" s="107"/>
      <c r="BS265" s="107"/>
      <c r="BT265" s="292"/>
      <c r="BU265" s="291"/>
      <c r="BV265" s="107"/>
      <c r="BW265" s="107"/>
      <c r="BX265" s="107"/>
      <c r="BY265" s="292"/>
      <c r="BZ265" s="291"/>
      <c r="CA265" s="107"/>
      <c r="CB265" s="107"/>
      <c r="CC265" s="107"/>
      <c r="CD265" s="292"/>
      <c r="CE265" s="291"/>
      <c r="CF265" s="107"/>
      <c r="CG265" s="107"/>
      <c r="CH265" s="107"/>
      <c r="CI265" s="292"/>
      <c r="CJ265" s="291"/>
      <c r="CK265" s="107"/>
      <c r="CL265" s="107"/>
      <c r="CM265" s="107"/>
      <c r="CN265" s="292"/>
      <c r="CO265" s="291"/>
      <c r="CP265" s="107"/>
      <c r="CQ265" s="107"/>
      <c r="CR265" s="107"/>
      <c r="CS265" s="292"/>
      <c r="CT265" s="291"/>
      <c r="CU265" s="107"/>
      <c r="CV265" s="107"/>
      <c r="CW265" s="107"/>
      <c r="CX265" s="292"/>
      <c r="CY265" s="291"/>
      <c r="CZ265" s="107"/>
      <c r="DA265" s="107"/>
      <c r="DB265" s="114"/>
      <c r="DC265" s="413"/>
      <c r="DD265" s="291"/>
      <c r="DE265" s="291"/>
      <c r="DF265" s="291"/>
      <c r="DG265" s="291"/>
      <c r="DH265" s="292"/>
      <c r="DI265" s="291"/>
      <c r="DJ265" s="291"/>
      <c r="DK265" s="291"/>
      <c r="DL265" s="291"/>
      <c r="DM265" s="292"/>
      <c r="DN265" s="291"/>
      <c r="DO265" s="291"/>
      <c r="DP265" s="291"/>
      <c r="DQ265" s="291"/>
      <c r="DR265" s="292"/>
      <c r="DS265" s="291"/>
      <c r="DT265" s="291"/>
      <c r="DU265" s="291"/>
      <c r="DV265" s="291"/>
      <c r="DW265" s="292"/>
      <c r="DX265" s="291"/>
      <c r="DY265" s="291"/>
      <c r="DZ265" s="291"/>
      <c r="EA265" s="291"/>
      <c r="EB265" s="292"/>
      <c r="EC265" s="291"/>
      <c r="ED265" s="291"/>
      <c r="EE265" s="291"/>
      <c r="EF265" s="291"/>
      <c r="EG265" s="292"/>
      <c r="EH265" s="291"/>
      <c r="EI265" s="291"/>
      <c r="EJ265" s="291"/>
      <c r="EK265" s="291"/>
      <c r="EL265" s="292"/>
      <c r="EM265" s="291"/>
      <c r="EN265" s="291"/>
      <c r="EO265" s="291"/>
      <c r="EP265" s="291"/>
      <c r="EQ265" s="292"/>
      <c r="ER265" s="412">
        <v>0.08</v>
      </c>
      <c r="ES265" s="412">
        <v>0.08</v>
      </c>
      <c r="ET265" s="412">
        <v>0.08</v>
      </c>
      <c r="EU265" s="412">
        <v>7.0000000000000007E-2</v>
      </c>
      <c r="EV265" s="292">
        <f>EV264/EQ264-1</f>
      </c>
      <c r="EW265" s="412">
        <v>0.06</v>
      </c>
      <c r="EX265" s="439">
        <v>0.08</v>
      </c>
      <c r="EY265" s="439">
        <v>0.1</v>
      </c>
      <c r="EZ265" s="439">
        <v>0.2</v>
      </c>
      <c r="FA265" s="292">
        <f>FA264/EV264-1</f>
      </c>
      <c r="FB265" s="107">
        <f t="shared" ref="FB265:FE265" si="319">FB264/EW264-1</f>
      </c>
      <c r="FC265" s="107">
        <f t="shared" si="319"/>
      </c>
      <c r="FD265" s="107">
        <f t="shared" si="319"/>
      </c>
      <c r="FE265" s="107">
        <f t="shared" si="319"/>
      </c>
      <c r="FF265" s="292">
        <f>FF264/FA264-1</f>
      </c>
      <c r="FG265" s="107">
        <f t="shared" ref="FG265" si="320">FG264/FB264-1</f>
      </c>
      <c r="FH265" s="107">
        <f t="shared" ref="FH265" si="321">FH264/FC264-1</f>
      </c>
      <c r="FI265" s="107">
        <f t="shared" ref="FI265" si="322">FI264/FD264-1</f>
      </c>
      <c r="FJ265" s="107">
        <f t="shared" ref="FJ265" si="323">FJ264/FE264-1</f>
      </c>
      <c r="FK265" s="292">
        <f>FK264/FF264-1</f>
      </c>
      <c r="FL265" s="107">
        <f t="shared" ref="FL265" si="324">FL264/FG264-1</f>
      </c>
      <c r="FM265" s="107">
        <f t="shared" ref="FM265" si="325">FM264/FH264-1</f>
      </c>
      <c r="FN265" s="107">
        <f t="shared" ref="FN265" si="326">FN264/FI264-1</f>
      </c>
      <c r="FO265" s="107">
        <f t="shared" ref="FO265" si="327">FO264/FJ264-1</f>
      </c>
      <c r="FP265" s="292">
        <f>FP264/FK264-1</f>
      </c>
      <c r="FQ265" s="107">
        <f t="shared" ref="FQ265" si="328">FQ264/FL264-1</f>
      </c>
      <c r="FR265" s="107">
        <f t="shared" ref="FR265" si="329">FR264/FM264-1</f>
      </c>
      <c r="FS265" s="107">
        <f t="shared" ref="FS265" si="330">FS264/FN264-1</f>
      </c>
      <c r="FT265" s="107">
        <f t="shared" ref="FT265" si="331">FT264/FO264-1</f>
      </c>
      <c r="FU265" s="292">
        <f>FU264/FP264-1</f>
      </c>
      <c r="FV265" s="107">
        <f t="shared" ref="FV265" si="332">FV264/FQ264-1</f>
      </c>
      <c r="FW265" s="107">
        <f t="shared" ref="FW265" si="333">FW264/FR264-1</f>
      </c>
      <c r="FX265" s="107">
        <f t="shared" ref="FX265" si="334">FX264/FS264-1</f>
      </c>
      <c r="FY265" s="107">
        <f t="shared" ref="FY265" si="335">FY264/FT264-1</f>
      </c>
      <c r="FZ265" s="292">
        <f>FZ264/FU264-1</f>
      </c>
      <c r="GA265" s="107">
        <f t="shared" ref="GA265" si="336">GA264/FV264-1</f>
      </c>
      <c r="GB265" s="107">
        <f t="shared" ref="GB265" si="337">GB264/FW264-1</f>
      </c>
      <c r="GC265" s="107">
        <f t="shared" ref="GC265" si="338">GC264/FX264-1</f>
      </c>
      <c r="GD265" s="107">
        <f t="shared" ref="GD265" si="339">GD264/FY264-1</f>
      </c>
      <c r="GE265" s="292">
        <f>GE264/FZ264-1</f>
      </c>
      <c r="GF265" s="107">
        <f t="shared" ref="GF265" si="340">GF264/GA264-1</f>
      </c>
      <c r="GG265" s="107">
        <f t="shared" ref="GG265" si="341">GG264/GB264-1</f>
      </c>
      <c r="GH265" s="107">
        <f t="shared" ref="GH265" si="342">GH264/GC264-1</f>
      </c>
      <c r="GI265" s="107">
        <f t="shared" ref="GI265" si="343">GI264/GD264-1</f>
      </c>
      <c r="GJ265" s="384">
        <f>GJ264/GE264-1</f>
      </c>
    </row>
    <row r="266" spans="1:192" s="479" customFormat="1" ht="12.75" customHeight="1">
      <c r="A266" s="81"/>
      <c r="B266" s="1744" t="s">
        <v>197</v>
      </c>
      <c r="C266" s="291"/>
      <c r="D266" s="107"/>
      <c r="E266" s="107"/>
      <c r="F266" s="107"/>
      <c r="G266" s="292"/>
      <c r="H266" s="291"/>
      <c r="I266" s="107"/>
      <c r="J266" s="107"/>
      <c r="K266" s="107"/>
      <c r="L266" s="292"/>
      <c r="M266" s="291"/>
      <c r="N266" s="107"/>
      <c r="O266" s="107"/>
      <c r="P266" s="107"/>
      <c r="Q266" s="292"/>
      <c r="R266" s="291"/>
      <c r="S266" s="107"/>
      <c r="T266" s="107"/>
      <c r="U266" s="107"/>
      <c r="V266" s="292"/>
      <c r="W266" s="291"/>
      <c r="X266" s="107"/>
      <c r="Y266" s="107"/>
      <c r="Z266" s="107"/>
      <c r="AA266" s="292"/>
      <c r="AB266" s="291"/>
      <c r="AC266" s="107"/>
      <c r="AD266" s="107"/>
      <c r="AE266" s="107"/>
      <c r="AF266" s="292"/>
      <c r="AG266" s="291"/>
      <c r="AH266" s="107"/>
      <c r="AI266" s="107"/>
      <c r="AJ266" s="107"/>
      <c r="AK266" s="292"/>
      <c r="AL266" s="291"/>
      <c r="AM266" s="107"/>
      <c r="AN266" s="107"/>
      <c r="AO266" s="107"/>
      <c r="AP266" s="292"/>
      <c r="AQ266" s="291"/>
      <c r="AR266" s="107"/>
      <c r="AS266" s="107"/>
      <c r="AT266" s="107"/>
      <c r="AU266" s="292"/>
      <c r="AV266" s="291"/>
      <c r="AW266" s="107"/>
      <c r="AX266" s="107"/>
      <c r="AY266" s="107"/>
      <c r="AZ266" s="292"/>
      <c r="BA266" s="291"/>
      <c r="BB266" s="107"/>
      <c r="BC266" s="107"/>
      <c r="BD266" s="107"/>
      <c r="BE266" s="292"/>
      <c r="BF266" s="291"/>
      <c r="BG266" s="107"/>
      <c r="BH266" s="107"/>
      <c r="BI266" s="107"/>
      <c r="BJ266" s="292"/>
      <c r="BK266" s="291"/>
      <c r="BL266" s="107"/>
      <c r="BM266" s="107"/>
      <c r="BN266" s="107"/>
      <c r="BO266" s="292"/>
      <c r="BP266" s="291"/>
      <c r="BQ266" s="107"/>
      <c r="BR266" s="107"/>
      <c r="BS266" s="107"/>
      <c r="BT266" s="292"/>
      <c r="BU266" s="291"/>
      <c r="BV266" s="107"/>
      <c r="BW266" s="107"/>
      <c r="BX266" s="107"/>
      <c r="BY266" s="292"/>
      <c r="BZ266" s="291"/>
      <c r="CA266" s="107"/>
      <c r="CB266" s="107"/>
      <c r="CC266" s="107"/>
      <c r="CD266" s="292"/>
      <c r="CE266" s="291"/>
      <c r="CF266" s="107"/>
      <c r="CG266" s="107"/>
      <c r="CH266" s="107"/>
      <c r="CI266" s="292"/>
      <c r="CJ266" s="291"/>
      <c r="CK266" s="107"/>
      <c r="CL266" s="107"/>
      <c r="CM266" s="107"/>
      <c r="CN266" s="292"/>
      <c r="CO266" s="291"/>
      <c r="CP266" s="107"/>
      <c r="CQ266" s="107"/>
      <c r="CR266" s="107"/>
      <c r="CS266" s="292"/>
      <c r="CT266" s="291"/>
      <c r="CU266" s="107"/>
      <c r="CV266" s="107"/>
      <c r="CW266" s="107"/>
      <c r="CX266" s="292"/>
      <c r="CY266" s="291"/>
      <c r="CZ266" s="107"/>
      <c r="DA266" s="107"/>
      <c r="DB266" s="114"/>
      <c r="DC266" s="413"/>
      <c r="DD266" s="291"/>
      <c r="DE266" s="291"/>
      <c r="DF266" s="291"/>
      <c r="DG266" s="291"/>
      <c r="DH266" s="292"/>
      <c r="DI266" s="291"/>
      <c r="DJ266" s="291"/>
      <c r="DK266" s="291"/>
      <c r="DL266" s="291"/>
      <c r="DM266" s="292"/>
      <c r="DN266" s="291"/>
      <c r="DO266" s="291"/>
      <c r="DP266" s="291"/>
      <c r="DQ266" s="291"/>
      <c r="DR266" s="292"/>
      <c r="DS266" s="291"/>
      <c r="DT266" s="291"/>
      <c r="DU266" s="291"/>
      <c r="DV266" s="291"/>
      <c r="DW266" s="292"/>
      <c r="DX266" s="291"/>
      <c r="DY266" s="291"/>
      <c r="DZ266" s="291"/>
      <c r="EA266" s="291"/>
      <c r="EB266" s="292"/>
      <c r="EC266" s="291"/>
      <c r="ED266" s="291"/>
      <c r="EE266" s="291"/>
      <c r="EF266" s="291"/>
      <c r="EG266" s="292"/>
      <c r="EH266" s="291"/>
      <c r="EI266" s="291"/>
      <c r="EJ266" s="291"/>
      <c r="EK266" s="291"/>
      <c r="EL266" s="292"/>
      <c r="EM266" s="291"/>
      <c r="EN266" s="291"/>
      <c r="EO266" s="291"/>
      <c r="EP266" s="291"/>
      <c r="EQ266" s="292"/>
      <c r="ER266" s="441">
        <v>0.09</v>
      </c>
      <c r="ES266" s="441">
        <v>0.08</v>
      </c>
      <c r="ET266" s="441">
        <v>0.08</v>
      </c>
      <c r="EU266" s="441">
        <v>7.0000000000000007E-2</v>
      </c>
      <c r="EV266" s="292"/>
      <c r="EW266" s="441">
        <v>7.0000000000000007E-2</v>
      </c>
      <c r="EX266" s="439"/>
      <c r="EY266" s="439">
        <v>0.12</v>
      </c>
      <c r="EZ266" s="439">
        <v>0.2</v>
      </c>
      <c r="FA266" s="292"/>
      <c r="FB266" s="412">
        <f>FB265-3%</f>
      </c>
      <c r="FC266" s="114"/>
      <c r="FD266" s="114"/>
      <c r="FE266" s="114"/>
      <c r="FF266" s="292"/>
      <c r="FG266" s="412"/>
      <c r="FH266" s="114"/>
      <c r="FI266" s="114"/>
      <c r="FJ266" s="114"/>
      <c r="FK266" s="292"/>
      <c r="FL266" s="412"/>
      <c r="FM266" s="114"/>
      <c r="FN266" s="114"/>
      <c r="FO266" s="114"/>
      <c r="FP266" s="292"/>
      <c r="FQ266" s="412"/>
      <c r="FR266" s="114"/>
      <c r="FS266" s="114"/>
      <c r="FT266" s="114"/>
      <c r="FU266" s="292"/>
      <c r="FV266" s="412"/>
      <c r="FW266" s="114"/>
      <c r="FX266" s="114"/>
      <c r="FY266" s="114"/>
      <c r="FZ266" s="292"/>
      <c r="GA266" s="412"/>
      <c r="GB266" s="114"/>
      <c r="GC266" s="114"/>
      <c r="GD266" s="114"/>
      <c r="GE266" s="292"/>
      <c r="GF266" s="412"/>
      <c r="GG266" s="114"/>
      <c r="GH266" s="114"/>
      <c r="GI266" s="114"/>
      <c r="GJ266" s="384"/>
    </row>
    <row r="267" spans="1:192" ht="12.75" customHeight="1">
      <c r="B267" s="735" t="s">
        <v>36</v>
      </c>
      <c r="C267" s="291"/>
      <c r="D267" s="107"/>
      <c r="E267" s="107"/>
      <c r="F267" s="107"/>
      <c r="G267" s="292"/>
      <c r="H267" s="291"/>
      <c r="I267" s="107"/>
      <c r="J267" s="107"/>
      <c r="K267" s="107"/>
      <c r="L267" s="292"/>
      <c r="M267" s="291"/>
      <c r="N267" s="107"/>
      <c r="O267" s="107"/>
      <c r="P267" s="107"/>
      <c r="Q267" s="292"/>
      <c r="R267" s="291"/>
      <c r="S267" s="107"/>
      <c r="T267" s="107"/>
      <c r="U267" s="107"/>
      <c r="V267" s="292"/>
      <c r="W267" s="291"/>
      <c r="X267" s="107"/>
      <c r="Y267" s="107"/>
      <c r="Z267" s="107"/>
      <c r="AA267" s="292"/>
      <c r="AB267" s="291"/>
      <c r="AC267" s="107"/>
      <c r="AD267" s="107"/>
      <c r="AE267" s="107"/>
      <c r="AF267" s="292"/>
      <c r="AG267" s="291"/>
      <c r="AH267" s="107"/>
      <c r="AI267" s="107"/>
      <c r="AJ267" s="107"/>
      <c r="AK267" s="292"/>
      <c r="AL267" s="291"/>
      <c r="AM267" s="107"/>
      <c r="AN267" s="107"/>
      <c r="AO267" s="107"/>
      <c r="AP267" s="292"/>
      <c r="AQ267" s="291"/>
      <c r="AR267" s="107"/>
      <c r="AS267" s="107"/>
      <c r="AT267" s="107"/>
      <c r="AU267" s="292"/>
      <c r="AV267" s="291"/>
      <c r="AW267" s="107"/>
      <c r="AX267" s="107"/>
      <c r="AY267" s="107"/>
      <c r="AZ267" s="292"/>
      <c r="BA267" s="291"/>
      <c r="BB267" s="107"/>
      <c r="BC267" s="107"/>
      <c r="BD267" s="107"/>
      <c r="BE267" s="292"/>
      <c r="BF267" s="291"/>
      <c r="BG267" s="107"/>
      <c r="BH267" s="107"/>
      <c r="BI267" s="107"/>
      <c r="BJ267" s="292"/>
      <c r="BK267" s="291"/>
      <c r="BL267" s="107"/>
      <c r="BM267" s="107"/>
      <c r="BN267" s="107"/>
      <c r="BO267" s="292"/>
      <c r="BP267" s="291"/>
      <c r="BQ267" s="107"/>
      <c r="BR267" s="107"/>
      <c r="BS267" s="107"/>
      <c r="BT267" s="292"/>
      <c r="BU267" s="291"/>
      <c r="BV267" s="107"/>
      <c r="BW267" s="107"/>
      <c r="BX267" s="107"/>
      <c r="BY267" s="292"/>
      <c r="BZ267" s="291"/>
      <c r="CA267" s="107"/>
      <c r="CB267" s="107"/>
      <c r="CC267" s="107"/>
      <c r="CD267" s="292"/>
      <c r="CE267" s="291"/>
      <c r="CF267" s="107"/>
      <c r="CG267" s="107"/>
      <c r="CH267" s="107"/>
      <c r="CI267" s="292"/>
      <c r="CJ267" s="291"/>
      <c r="CK267" s="107"/>
      <c r="CL267" s="107"/>
      <c r="CM267" s="107"/>
      <c r="CN267" s="292"/>
      <c r="CO267" s="291"/>
      <c r="CP267" s="107"/>
      <c r="CQ267" s="107"/>
      <c r="CR267" s="107"/>
      <c r="CS267" s="292"/>
      <c r="CT267" s="291"/>
      <c r="CU267" s="107"/>
      <c r="CV267" s="107"/>
      <c r="CW267" s="107"/>
      <c r="CX267" s="292"/>
      <c r="CY267" s="291"/>
      <c r="CZ267" s="107"/>
      <c r="DA267" s="107"/>
      <c r="DB267" s="107"/>
      <c r="DC267" s="292"/>
      <c r="DD267" s="291"/>
      <c r="DE267" s="291"/>
      <c r="DF267" s="291"/>
      <c r="DG267" s="291"/>
      <c r="DH267" s="292"/>
      <c r="DI267" s="291"/>
      <c r="DJ267" s="291"/>
      <c r="DK267" s="291"/>
      <c r="DL267" s="291"/>
      <c r="DM267" s="292"/>
      <c r="DN267" s="291"/>
      <c r="DO267" s="291"/>
      <c r="DP267" s="291"/>
      <c r="DQ267" s="291"/>
      <c r="DR267" s="292"/>
      <c r="DS267" s="291"/>
      <c r="DT267" s="291"/>
      <c r="DU267" s="291"/>
      <c r="DV267" s="291"/>
      <c r="DW267" s="292"/>
      <c r="DX267" s="291"/>
      <c r="DY267" s="291"/>
      <c r="DZ267" s="291"/>
      <c r="EA267" s="291"/>
      <c r="EB267" s="292"/>
      <c r="EC267" s="291"/>
      <c r="ED267" s="291"/>
      <c r="EE267" s="291"/>
      <c r="EF267" s="291"/>
      <c r="EG267" s="292"/>
      <c r="EH267" s="291"/>
      <c r="EI267" s="291"/>
      <c r="EJ267" s="291"/>
      <c r="EK267" s="291"/>
      <c r="EL267" s="292"/>
      <c r="EM267" s="291"/>
      <c r="EN267" s="291">
        <f>EN264/EM264-1</f>
      </c>
      <c r="EO267" s="291">
        <f>EO264/EN264-1</f>
      </c>
      <c r="EP267" s="291">
        <f>EP264/EO264-1</f>
      </c>
      <c r="EQ267" s="292"/>
      <c r="ER267" s="291">
        <f>ER264/EP264-1</f>
      </c>
      <c r="ES267" s="291">
        <f>ES264/ER264-1</f>
      </c>
      <c r="ET267" s="291">
        <f>ET264/ES264-1</f>
      </c>
      <c r="EU267" s="291">
        <f>EU264/ET264-1</f>
      </c>
      <c r="EV267" s="413"/>
      <c r="EW267" s="291">
        <f>EW264/EU264-1</f>
      </c>
      <c r="EX267" s="291">
        <f>EX264/EW264-1</f>
      </c>
      <c r="EY267" s="291">
        <f>EY264/EX264-1</f>
      </c>
      <c r="EZ267" s="291">
        <f>EZ264/EY264-1</f>
      </c>
      <c r="FA267" s="413"/>
      <c r="FB267" s="291">
        <f>FB264/EZ264-1</f>
      </c>
      <c r="FC267" s="291">
        <f>FC264/FB264-1</f>
      </c>
      <c r="FD267" s="291">
        <f>FD264/FC264-1</f>
      </c>
      <c r="FE267" s="291">
        <f>FE264/FD264-1</f>
      </c>
      <c r="FF267" s="292"/>
      <c r="FG267" s="291">
        <f>FG264/FE264-1</f>
      </c>
      <c r="FH267" s="291">
        <f>FH264/FG264-1</f>
      </c>
      <c r="FI267" s="291">
        <f>FI264/FH264-1</f>
      </c>
      <c r="FJ267" s="291">
        <f>FJ264/FI264-1</f>
      </c>
      <c r="FK267" s="292"/>
      <c r="FL267" s="291">
        <f>FL264/FJ264-1</f>
      </c>
      <c r="FM267" s="291">
        <f>FM264/FL264-1</f>
      </c>
      <c r="FN267" s="291">
        <f>FN264/FM264-1</f>
      </c>
      <c r="FO267" s="291">
        <f>FO264/FN264-1</f>
      </c>
      <c r="FP267" s="292"/>
      <c r="FQ267" s="291">
        <f>FQ264/FO264-1</f>
      </c>
      <c r="FR267" s="291">
        <f>FR264/FQ264-1</f>
      </c>
      <c r="FS267" s="291">
        <f>FS264/FR264-1</f>
      </c>
      <c r="FT267" s="291">
        <f>FT264/FS264-1</f>
      </c>
      <c r="FU267" s="292"/>
      <c r="FV267" s="291">
        <f>FV264/FT264-1</f>
      </c>
      <c r="FW267" s="107">
        <f>FW264/FV264-1</f>
      </c>
      <c r="FX267" s="107">
        <f>FX264/FW264-1</f>
      </c>
      <c r="FY267" s="107">
        <f>FY264/FX264-1</f>
      </c>
      <c r="FZ267" s="292"/>
      <c r="GA267" s="291">
        <f>GA264/FY264-1</f>
      </c>
      <c r="GB267" s="107">
        <f>GB264/GA264-1</f>
      </c>
      <c r="GC267" s="107">
        <f>GC264/GB264-1</f>
      </c>
      <c r="GD267" s="107">
        <f>GD264/GC264-1</f>
      </c>
      <c r="GE267" s="292"/>
      <c r="GF267" s="291">
        <f>GF264/GD264-1</f>
      </c>
      <c r="GG267" s="107">
        <f>GG264/GF264-1</f>
      </c>
      <c r="GH267" s="107">
        <f>GH264/GG264-1</f>
      </c>
      <c r="GI267" s="107">
        <f>GI264/GH264-1</f>
      </c>
      <c r="GJ267" s="384"/>
    </row>
    <row r="268" spans="1:192" s="317" customFormat="1" ht="12.75" customHeight="1">
      <c r="A268" s="280"/>
      <c r="B268" s="735" t="s">
        <v>243</v>
      </c>
      <c r="C268" s="376"/>
      <c r="D268" s="376"/>
      <c r="E268" s="376"/>
      <c r="F268" s="376"/>
      <c r="G268" s="377"/>
      <c r="H268" s="376"/>
      <c r="I268" s="376"/>
      <c r="J268" s="376"/>
      <c r="K268" s="376"/>
      <c r="L268" s="377"/>
      <c r="M268" s="376"/>
      <c r="N268" s="376"/>
      <c r="O268" s="376"/>
      <c r="P268" s="376"/>
      <c r="Q268" s="377"/>
      <c r="R268" s="376"/>
      <c r="S268" s="376"/>
      <c r="T268" s="376"/>
      <c r="U268" s="376"/>
      <c r="V268" s="377"/>
      <c r="W268" s="376"/>
      <c r="X268" s="376"/>
      <c r="Y268" s="376"/>
      <c r="Z268" s="376"/>
      <c r="AA268" s="377"/>
      <c r="AB268" s="376"/>
      <c r="AC268" s="376"/>
      <c r="AD268" s="376"/>
      <c r="AE268" s="376"/>
      <c r="AF268" s="377"/>
      <c r="AG268" s="376"/>
      <c r="AH268" s="376"/>
      <c r="AI268" s="376"/>
      <c r="AJ268" s="376"/>
      <c r="AK268" s="377"/>
      <c r="AL268" s="376"/>
      <c r="AM268" s="376"/>
      <c r="AN268" s="376"/>
      <c r="AO268" s="376"/>
      <c r="AP268" s="377"/>
      <c r="AQ268" s="376"/>
      <c r="AR268" s="376"/>
      <c r="AS268" s="376"/>
      <c r="AT268" s="376"/>
      <c r="AU268" s="377"/>
      <c r="AV268" s="376"/>
      <c r="AW268" s="376"/>
      <c r="AX268" s="376"/>
      <c r="AY268" s="376"/>
      <c r="AZ268" s="377"/>
      <c r="BA268" s="376"/>
      <c r="BB268" s="376"/>
      <c r="BC268" s="376"/>
      <c r="BD268" s="376"/>
      <c r="BE268" s="377"/>
      <c r="BF268" s="376"/>
      <c r="BG268" s="376"/>
      <c r="BH268" s="376"/>
      <c r="BI268" s="376"/>
      <c r="BJ268" s="377"/>
      <c r="BK268" s="376"/>
      <c r="BL268" s="376"/>
      <c r="BM268" s="376"/>
      <c r="BN268" s="376"/>
      <c r="BO268" s="377"/>
      <c r="BP268" s="376"/>
      <c r="BQ268" s="376"/>
      <c r="BR268" s="376"/>
      <c r="BS268" s="376"/>
      <c r="BT268" s="377"/>
      <c r="BU268" s="376"/>
      <c r="BV268" s="376"/>
      <c r="BW268" s="376"/>
      <c r="BX268" s="376"/>
      <c r="BY268" s="377"/>
      <c r="BZ268" s="376"/>
      <c r="CA268" s="376"/>
      <c r="CB268" s="376"/>
      <c r="CC268" s="376"/>
      <c r="CD268" s="431"/>
      <c r="CE268" s="376"/>
      <c r="CF268" s="376"/>
      <c r="CG268" s="376"/>
      <c r="CH268" s="376"/>
      <c r="CI268" s="431"/>
      <c r="CJ268" s="376"/>
      <c r="CK268" s="376"/>
      <c r="CL268" s="376"/>
      <c r="CM268" s="376"/>
      <c r="CN268" s="431"/>
      <c r="CO268" s="376"/>
      <c r="CP268" s="376"/>
      <c r="CQ268" s="376"/>
      <c r="CR268" s="376"/>
      <c r="CS268" s="431"/>
      <c r="CT268" s="376"/>
      <c r="CU268" s="376"/>
      <c r="CV268" s="376"/>
      <c r="CW268" s="376"/>
      <c r="CX268" s="508">
        <v>316</v>
      </c>
      <c r="CY268" s="507">
        <v>87</v>
      </c>
      <c r="CZ268" s="507">
        <v>97</v>
      </c>
      <c r="DA268" s="507">
        <v>83</v>
      </c>
      <c r="DB268" s="509">
        <f>DC268-DA268-CZ268-CY268</f>
      </c>
      <c r="DC268" s="508">
        <v>323</v>
      </c>
      <c r="DD268" s="509"/>
      <c r="DE268" s="509"/>
      <c r="DF268" s="509"/>
      <c r="DG268" s="509"/>
      <c r="DH268" s="845"/>
      <c r="DI268" s="509"/>
      <c r="DJ268" s="509"/>
      <c r="DK268" s="509"/>
      <c r="DL268" s="509"/>
      <c r="DM268" s="845"/>
      <c r="DN268" s="509"/>
      <c r="DO268" s="509"/>
      <c r="DP268" s="509"/>
      <c r="DQ268" s="509"/>
      <c r="DR268" s="845"/>
      <c r="DS268" s="509"/>
      <c r="DT268" s="509"/>
      <c r="DU268" s="509"/>
      <c r="DV268" s="509"/>
      <c r="DW268" s="845"/>
      <c r="DX268" s="509"/>
      <c r="DY268" s="509"/>
      <c r="DZ268" s="509"/>
      <c r="EA268" s="509"/>
      <c r="EB268" s="845"/>
      <c r="EC268" s="509"/>
      <c r="ED268" s="509"/>
      <c r="EE268" s="509"/>
      <c r="EF268" s="509"/>
      <c r="EG268" s="845"/>
      <c r="EH268" s="509"/>
      <c r="EI268" s="509"/>
      <c r="EJ268" s="509"/>
      <c r="EK268" s="509"/>
      <c r="EL268" s="845"/>
      <c r="EM268" s="509">
        <f t="shared" ref="EM268:FO268" si="344">EM264-EH264</f>
      </c>
      <c r="EN268" s="509">
        <f t="shared" si="344"/>
      </c>
      <c r="EO268" s="509">
        <f t="shared" si="344"/>
      </c>
      <c r="EP268" s="509">
        <f t="shared" si="344"/>
      </c>
      <c r="EQ268" s="845">
        <f t="shared" si="344"/>
      </c>
      <c r="ER268" s="509">
        <f t="shared" si="344"/>
      </c>
      <c r="ES268" s="509">
        <f t="shared" si="344"/>
      </c>
      <c r="ET268" s="509">
        <f t="shared" si="344"/>
      </c>
      <c r="EU268" s="509">
        <f>EU264-EP264</f>
      </c>
      <c r="EV268" s="845">
        <f>EV264-EQ264</f>
      </c>
      <c r="EW268" s="509">
        <f t="shared" si="344"/>
      </c>
      <c r="EX268" s="509">
        <f t="shared" si="344"/>
      </c>
      <c r="EY268" s="509">
        <f t="shared" si="344"/>
      </c>
      <c r="EZ268" s="509">
        <f>EZ264-EU264</f>
      </c>
      <c r="FA268" s="845">
        <f>FA264-EV264</f>
      </c>
      <c r="FB268" s="509">
        <f t="shared" si="344"/>
      </c>
      <c r="FC268" s="509">
        <f t="shared" si="344"/>
      </c>
      <c r="FD268" s="509">
        <f t="shared" si="344"/>
      </c>
      <c r="FE268" s="509">
        <f t="shared" si="344"/>
      </c>
      <c r="FF268" s="845">
        <f t="shared" si="344"/>
      </c>
      <c r="FG268" s="509">
        <f t="shared" si="344"/>
      </c>
      <c r="FH268" s="509">
        <f t="shared" si="344"/>
      </c>
      <c r="FI268" s="509">
        <f t="shared" si="344"/>
      </c>
      <c r="FJ268" s="509">
        <f t="shared" si="344"/>
      </c>
      <c r="FK268" s="845">
        <f t="shared" si="344"/>
      </c>
      <c r="FL268" s="509">
        <f t="shared" si="344"/>
      </c>
      <c r="FM268" s="509">
        <f t="shared" si="344"/>
      </c>
      <c r="FN268" s="509">
        <f t="shared" si="344"/>
      </c>
      <c r="FO268" s="509">
        <f t="shared" si="344"/>
      </c>
      <c r="FP268" s="845">
        <f t="shared" ref="FP268:FZ268" si="345">FP264-FK264</f>
      </c>
      <c r="FQ268" s="509">
        <f t="shared" si="345"/>
      </c>
      <c r="FR268" s="509">
        <f t="shared" si="345"/>
      </c>
      <c r="FS268" s="509">
        <f t="shared" si="345"/>
      </c>
      <c r="FT268" s="509">
        <f t="shared" si="345"/>
      </c>
      <c r="FU268" s="845">
        <f t="shared" si="345"/>
      </c>
      <c r="FV268" s="509">
        <f t="shared" si="345"/>
      </c>
      <c r="FW268" s="509">
        <f t="shared" si="345"/>
      </c>
      <c r="FX268" s="509">
        <f t="shared" si="345"/>
      </c>
      <c r="FY268" s="509">
        <f t="shared" si="345"/>
      </c>
      <c r="FZ268" s="1458">
        <f t="shared" si="345"/>
      </c>
      <c r="GA268" s="509">
        <f t="shared" ref="GA268:GJ268" si="346">GA264-FV264</f>
      </c>
      <c r="GB268" s="509">
        <f t="shared" si="346"/>
      </c>
      <c r="GC268" s="509">
        <f t="shared" si="346"/>
      </c>
      <c r="GD268" s="509">
        <f t="shared" si="346"/>
      </c>
      <c r="GE268" s="1458">
        <f t="shared" si="346"/>
      </c>
      <c r="GF268" s="509">
        <f t="shared" si="346"/>
      </c>
      <c r="GG268" s="509">
        <f t="shared" si="346"/>
      </c>
      <c r="GH268" s="509">
        <f t="shared" si="346"/>
      </c>
      <c r="GI268" s="509">
        <f t="shared" si="346"/>
      </c>
      <c r="GJ268" s="855">
        <f t="shared" si="346"/>
      </c>
    </row>
    <row r="269" spans="1:192" s="317" customFormat="1" ht="12.75" customHeight="1">
      <c r="A269" s="280"/>
      <c r="B269" s="735" t="s">
        <v>244</v>
      </c>
      <c r="C269" s="376"/>
      <c r="D269" s="376"/>
      <c r="E269" s="376"/>
      <c r="F269" s="376"/>
      <c r="G269" s="377"/>
      <c r="H269" s="376"/>
      <c r="I269" s="376"/>
      <c r="J269" s="376"/>
      <c r="K269" s="376"/>
      <c r="L269" s="377"/>
      <c r="M269" s="376"/>
      <c r="N269" s="376"/>
      <c r="O269" s="376"/>
      <c r="P269" s="376"/>
      <c r="Q269" s="377"/>
      <c r="R269" s="376"/>
      <c r="S269" s="376"/>
      <c r="T269" s="376"/>
      <c r="U269" s="376"/>
      <c r="V269" s="377"/>
      <c r="W269" s="376"/>
      <c r="X269" s="376"/>
      <c r="Y269" s="376"/>
      <c r="Z269" s="376"/>
      <c r="AA269" s="377"/>
      <c r="AB269" s="376"/>
      <c r="AC269" s="376"/>
      <c r="AD269" s="376"/>
      <c r="AE269" s="376"/>
      <c r="AF269" s="377"/>
      <c r="AG269" s="376"/>
      <c r="AH269" s="376"/>
      <c r="AI269" s="376"/>
      <c r="AJ269" s="376"/>
      <c r="AK269" s="377"/>
      <c r="AL269" s="376"/>
      <c r="AM269" s="376"/>
      <c r="AN269" s="376"/>
      <c r="AO269" s="376"/>
      <c r="AP269" s="377"/>
      <c r="AQ269" s="376"/>
      <c r="AR269" s="376"/>
      <c r="AS269" s="376"/>
      <c r="AT269" s="376"/>
      <c r="AU269" s="377"/>
      <c r="AV269" s="376"/>
      <c r="AW269" s="376"/>
      <c r="AX269" s="376"/>
      <c r="AY269" s="376"/>
      <c r="AZ269" s="377"/>
      <c r="BA269" s="376"/>
      <c r="BB269" s="376"/>
      <c r="BC269" s="376"/>
      <c r="BD269" s="376"/>
      <c r="BE269" s="377"/>
      <c r="BF269" s="376"/>
      <c r="BG269" s="376"/>
      <c r="BH269" s="376"/>
      <c r="BI269" s="376"/>
      <c r="BJ269" s="377"/>
      <c r="BK269" s="376"/>
      <c r="BL269" s="376"/>
      <c r="BM269" s="376"/>
      <c r="BN269" s="376"/>
      <c r="BO269" s="377"/>
      <c r="BP269" s="376"/>
      <c r="BQ269" s="376"/>
      <c r="BR269" s="376"/>
      <c r="BS269" s="376"/>
      <c r="BT269" s="377"/>
      <c r="BU269" s="376"/>
      <c r="BV269" s="376"/>
      <c r="BW269" s="376"/>
      <c r="BX269" s="376"/>
      <c r="BY269" s="377"/>
      <c r="BZ269" s="376"/>
      <c r="CA269" s="376"/>
      <c r="CB269" s="376"/>
      <c r="CC269" s="376"/>
      <c r="CD269" s="431"/>
      <c r="CE269" s="376"/>
      <c r="CF269" s="376"/>
      <c r="CG269" s="376"/>
      <c r="CH269" s="376"/>
      <c r="CI269" s="431"/>
      <c r="CJ269" s="376"/>
      <c r="CK269" s="376"/>
      <c r="CL269" s="376"/>
      <c r="CM269" s="376"/>
      <c r="CN269" s="431"/>
      <c r="CO269" s="376"/>
      <c r="CP269" s="376"/>
      <c r="CQ269" s="376"/>
      <c r="CR269" s="376"/>
      <c r="CS269" s="431"/>
      <c r="CT269" s="376"/>
      <c r="CU269" s="376"/>
      <c r="CV269" s="376"/>
      <c r="CW269" s="376"/>
      <c r="CX269" s="508"/>
      <c r="CY269" s="507"/>
      <c r="CZ269" s="507"/>
      <c r="DA269" s="507"/>
      <c r="DB269" s="376"/>
      <c r="DC269" s="431"/>
      <c r="DD269" s="509"/>
      <c r="DE269" s="509"/>
      <c r="DF269" s="509"/>
      <c r="DG269" s="509"/>
      <c r="DH269" s="431"/>
      <c r="DI269" s="509"/>
      <c r="DJ269" s="509"/>
      <c r="DK269" s="509"/>
      <c r="DL269" s="509"/>
      <c r="DM269" s="431"/>
      <c r="DN269" s="509"/>
      <c r="DO269" s="509"/>
      <c r="DP269" s="509"/>
      <c r="DQ269" s="509"/>
      <c r="DR269" s="431"/>
      <c r="DS269" s="509"/>
      <c r="DT269" s="509"/>
      <c r="DU269" s="509"/>
      <c r="DV269" s="509"/>
      <c r="DW269" s="431"/>
      <c r="DX269" s="509"/>
      <c r="DY269" s="509"/>
      <c r="DZ269" s="509"/>
      <c r="EA269" s="509"/>
      <c r="EB269" s="431"/>
      <c r="EC269" s="509"/>
      <c r="ED269" s="509"/>
      <c r="EE269" s="509"/>
      <c r="EF269" s="509"/>
      <c r="EG269" s="431"/>
      <c r="EH269" s="509"/>
      <c r="EI269" s="509"/>
      <c r="EJ269" s="509"/>
      <c r="EK269" s="509"/>
      <c r="EL269" s="431"/>
      <c r="EM269" s="509">
        <f>EM264-EK264</f>
      </c>
      <c r="EN269" s="509">
        <f>EN264-EM264</f>
      </c>
      <c r="EO269" s="509">
        <f>EO264-EN264</f>
      </c>
      <c r="EP269" s="509">
        <f>EP264-EO264</f>
      </c>
      <c r="EQ269" s="431"/>
      <c r="ER269" s="509">
        <f>ER264-EP264</f>
      </c>
      <c r="ES269" s="509">
        <f>ES264-ER264</f>
      </c>
      <c r="ET269" s="509">
        <f>ET264-ES264</f>
      </c>
      <c r="EU269" s="509">
        <f>EU264-ET264</f>
      </c>
      <c r="EV269" s="431"/>
      <c r="EW269" s="509">
        <f>EW264-EU264</f>
      </c>
      <c r="EX269" s="509">
        <f>EX264-EW264</f>
      </c>
      <c r="EY269" s="509">
        <f>EY264-EX264</f>
      </c>
      <c r="EZ269" s="509">
        <f>EZ264-EY264</f>
      </c>
      <c r="FA269" s="431"/>
      <c r="FB269" s="509">
        <f>FB264-EZ264</f>
      </c>
      <c r="FC269" s="509">
        <f>FC264-FB264</f>
      </c>
      <c r="FD269" s="509">
        <f>FD264-FC264</f>
      </c>
      <c r="FE269" s="509">
        <f>FE264-FD264</f>
      </c>
      <c r="FF269" s="431"/>
      <c r="FG269" s="509">
        <f>FG264-FE264</f>
      </c>
      <c r="FH269" s="509">
        <f>FH264-FG264</f>
      </c>
      <c r="FI269" s="509">
        <f>FI264-FH264</f>
      </c>
      <c r="FJ269" s="509">
        <f>FJ264-FI264</f>
      </c>
      <c r="FK269" s="431"/>
      <c r="FL269" s="509">
        <f>FL264-FJ264</f>
      </c>
      <c r="FM269" s="509">
        <f>FM264-FL264</f>
      </c>
      <c r="FN269" s="509">
        <f>FN264-FM264</f>
      </c>
      <c r="FO269" s="509">
        <f>FO264-FN264</f>
      </c>
      <c r="FP269" s="431"/>
      <c r="FQ269" s="509">
        <f>FQ264-FO264</f>
      </c>
      <c r="FR269" s="509">
        <f>FR264-FQ264</f>
      </c>
      <c r="FS269" s="509">
        <f>FS264-FR264</f>
      </c>
      <c r="FT269" s="509">
        <f>FT264-FS264</f>
      </c>
      <c r="FU269" s="431"/>
      <c r="FV269" s="509">
        <f>FV264-FT264</f>
      </c>
      <c r="FW269" s="509">
        <f>FW264-FV264</f>
      </c>
      <c r="FX269" s="509">
        <f>FX264-FW264</f>
      </c>
      <c r="FY269" s="509">
        <f>FY264-FX264</f>
      </c>
      <c r="FZ269" s="1458"/>
      <c r="GA269" s="509">
        <f>GA264-FY264</f>
      </c>
      <c r="GB269" s="509">
        <f>GB264-GA264</f>
      </c>
      <c r="GC269" s="509">
        <f>GC264-GB264</f>
      </c>
      <c r="GD269" s="509">
        <f>GD264-GC264</f>
      </c>
      <c r="GE269" s="1458"/>
      <c r="GF269" s="509">
        <f>GF264-GD264</f>
      </c>
      <c r="GG269" s="509">
        <f>GG264-GF264</f>
      </c>
      <c r="GH269" s="509">
        <f>GH264-GG264</f>
      </c>
      <c r="GI269" s="509">
        <f>GI264-GH264</f>
      </c>
      <c r="GJ269" s="855"/>
    </row>
    <row r="270" spans="1:192" s="1750" customFormat="1" ht="12.75" customHeight="1">
      <c r="A270" s="1743"/>
      <c r="B270" s="1744" t="s">
        <v>394</v>
      </c>
      <c r="C270" s="1745"/>
      <c r="D270" s="1745"/>
      <c r="E270" s="1745"/>
      <c r="F270" s="1745"/>
      <c r="G270" s="1746"/>
      <c r="H270" s="1745"/>
      <c r="I270" s="1745"/>
      <c r="J270" s="1745"/>
      <c r="K270" s="1745"/>
      <c r="L270" s="1746"/>
      <c r="M270" s="1745"/>
      <c r="N270" s="1745"/>
      <c r="O270" s="1745"/>
      <c r="P270" s="1745"/>
      <c r="Q270" s="1746"/>
      <c r="R270" s="1745"/>
      <c r="S270" s="1745"/>
      <c r="T270" s="1745"/>
      <c r="U270" s="1745"/>
      <c r="V270" s="1746"/>
      <c r="W270" s="1745"/>
      <c r="X270" s="1745"/>
      <c r="Y270" s="1745"/>
      <c r="Z270" s="1745"/>
      <c r="AA270" s="1746"/>
      <c r="AB270" s="1745"/>
      <c r="AC270" s="1745"/>
      <c r="AD270" s="1745"/>
      <c r="AE270" s="1745"/>
      <c r="AF270" s="1746"/>
      <c r="AG270" s="1745"/>
      <c r="AH270" s="1745"/>
      <c r="AI270" s="1745"/>
      <c r="AJ270" s="1745"/>
      <c r="AK270" s="1746"/>
      <c r="AL270" s="1745"/>
      <c r="AM270" s="1745"/>
      <c r="AN270" s="1745"/>
      <c r="AO270" s="1745"/>
      <c r="AP270" s="1746"/>
      <c r="AQ270" s="1745"/>
      <c r="AR270" s="1745"/>
      <c r="AS270" s="1745"/>
      <c r="AT270" s="1745"/>
      <c r="AU270" s="1746"/>
      <c r="AV270" s="1745"/>
      <c r="AW270" s="1745"/>
      <c r="AX270" s="1745"/>
      <c r="AY270" s="1745"/>
      <c r="AZ270" s="1746"/>
      <c r="BA270" s="1745"/>
      <c r="BB270" s="1745"/>
      <c r="BC270" s="1745"/>
      <c r="BD270" s="1745"/>
      <c r="BE270" s="1746"/>
      <c r="BF270" s="1745"/>
      <c r="BG270" s="1745"/>
      <c r="BH270" s="1745"/>
      <c r="BI270" s="1745"/>
      <c r="BJ270" s="1746"/>
      <c r="BK270" s="1745"/>
      <c r="BL270" s="1745"/>
      <c r="BM270" s="1745"/>
      <c r="BN270" s="1745"/>
      <c r="BO270" s="1746"/>
      <c r="BP270" s="1745"/>
      <c r="BQ270" s="1745"/>
      <c r="BR270" s="1745"/>
      <c r="BS270" s="1745"/>
      <c r="BT270" s="1746"/>
      <c r="BU270" s="1745"/>
      <c r="BV270" s="1745"/>
      <c r="BW270" s="1745"/>
      <c r="BX270" s="1745"/>
      <c r="BY270" s="1746"/>
      <c r="BZ270" s="1745"/>
      <c r="CA270" s="1745"/>
      <c r="CB270" s="1745"/>
      <c r="CC270" s="1745"/>
      <c r="CD270" s="1747"/>
      <c r="CE270" s="1745"/>
      <c r="CF270" s="1745"/>
      <c r="CG270" s="1745"/>
      <c r="CH270" s="1745"/>
      <c r="CI270" s="1747"/>
      <c r="CJ270" s="1745"/>
      <c r="CK270" s="1745"/>
      <c r="CL270" s="1745"/>
      <c r="CM270" s="1745"/>
      <c r="CN270" s="1747"/>
      <c r="CO270" s="1745"/>
      <c r="CP270" s="1745"/>
      <c r="CQ270" s="1745"/>
      <c r="CR270" s="1745"/>
      <c r="CS270" s="1747"/>
      <c r="CT270" s="1745"/>
      <c r="CU270" s="1745"/>
      <c r="CV270" s="1745"/>
      <c r="CW270" s="1745"/>
      <c r="CX270" s="856"/>
      <c r="CY270" s="764" t="str">
        <f t="shared" ref="CY270:DC270" si="347">IFERROR(CY264/CY255,"")</f>
      </c>
      <c r="CZ270" s="764" t="str">
        <f t="shared" si="347"/>
      </c>
      <c r="DA270" s="764" t="str">
        <f t="shared" si="347"/>
      </c>
      <c r="DB270" s="764" t="str">
        <f t="shared" si="347"/>
      </c>
      <c r="DC270" s="846" t="str">
        <f t="shared" si="347"/>
      </c>
      <c r="DD270" s="764"/>
      <c r="DE270" s="764"/>
      <c r="DF270" s="764"/>
      <c r="DG270" s="764"/>
      <c r="DH270" s="846"/>
      <c r="DI270" s="764"/>
      <c r="DJ270" s="764"/>
      <c r="DK270" s="764"/>
      <c r="DL270" s="764"/>
      <c r="DM270" s="846"/>
      <c r="DN270" s="764"/>
      <c r="DO270" s="764"/>
      <c r="DP270" s="764"/>
      <c r="DQ270" s="764"/>
      <c r="DR270" s="846"/>
      <c r="DS270" s="764"/>
      <c r="DT270" s="764"/>
      <c r="DU270" s="764"/>
      <c r="DV270" s="764"/>
      <c r="DW270" s="846"/>
      <c r="DX270" s="764"/>
      <c r="DY270" s="764"/>
      <c r="DZ270" s="764"/>
      <c r="EA270" s="764"/>
      <c r="EB270" s="846"/>
      <c r="EC270" s="764"/>
      <c r="ED270" s="764"/>
      <c r="EE270" s="764"/>
      <c r="EF270" s="764"/>
      <c r="EG270" s="846"/>
      <c r="EH270" s="764"/>
      <c r="EI270" s="764"/>
      <c r="EJ270" s="764"/>
      <c r="EK270" s="764"/>
      <c r="EL270" s="846"/>
      <c r="EM270" s="764">
        <f t="shared" ref="EM270:FJ270" si="348">IFERROR(EM264/EM255,"")</f>
      </c>
      <c r="EN270" s="764">
        <f t="shared" si="348"/>
      </c>
      <c r="EO270" s="764">
        <f t="shared" si="348"/>
      </c>
      <c r="EP270" s="764">
        <f t="shared" si="348"/>
      </c>
      <c r="EQ270" s="846">
        <f t="shared" si="348"/>
      </c>
      <c r="ER270" s="764">
        <f t="shared" si="348"/>
      </c>
      <c r="ES270" s="1748">
        <f>AVERAGE(ER270,ET270)</f>
      </c>
      <c r="ET270" s="1748">
        <f>AVERAGE(EW270,ER270)</f>
      </c>
      <c r="EU270" s="1748">
        <f>AVERAGE(ET270,EW270)</f>
      </c>
      <c r="EV270" s="846">
        <f t="shared" si="348"/>
      </c>
      <c r="EW270" s="1748">
        <v>0.85</v>
      </c>
      <c r="EX270" s="764">
        <f t="shared" si="348"/>
      </c>
      <c r="EY270" s="764">
        <f t="shared" si="348"/>
      </c>
      <c r="EZ270" s="764">
        <f t="shared" si="348"/>
      </c>
      <c r="FA270" s="846">
        <f t="shared" ref="FA270" si="349">IFERROR(FA264/FA255,"")</f>
      </c>
      <c r="FB270" s="764">
        <f t="shared" si="348"/>
      </c>
      <c r="FC270" s="764">
        <f t="shared" si="348"/>
      </c>
      <c r="FD270" s="764">
        <f t="shared" si="348"/>
      </c>
      <c r="FE270" s="764">
        <f t="shared" si="348"/>
      </c>
      <c r="FF270" s="846">
        <f t="shared" si="348"/>
      </c>
      <c r="FG270" s="764">
        <f t="shared" si="348"/>
      </c>
      <c r="FH270" s="764">
        <f t="shared" si="348"/>
      </c>
      <c r="FI270" s="764">
        <f t="shared" si="348"/>
      </c>
      <c r="FJ270" s="764">
        <f t="shared" si="348"/>
      </c>
      <c r="FK270" s="846">
        <f t="shared" ref="FK270:GE270" si="350">IFERROR(FK264/FK255,"")</f>
      </c>
      <c r="FL270" s="764">
        <f t="shared" si="350"/>
      </c>
      <c r="FM270" s="764">
        <f t="shared" si="350"/>
      </c>
      <c r="FN270" s="764">
        <f t="shared" si="350"/>
      </c>
      <c r="FO270" s="764">
        <f t="shared" si="350"/>
      </c>
      <c r="FP270" s="846">
        <f t="shared" si="350"/>
      </c>
      <c r="FQ270" s="764">
        <f t="shared" si="350"/>
      </c>
      <c r="FR270" s="764">
        <f t="shared" si="350"/>
      </c>
      <c r="FS270" s="764">
        <f t="shared" si="350"/>
      </c>
      <c r="FT270" s="764">
        <f t="shared" si="350"/>
      </c>
      <c r="FU270" s="846">
        <f t="shared" si="350"/>
      </c>
      <c r="FV270" s="764">
        <f t="shared" si="350"/>
      </c>
      <c r="FW270" s="764">
        <f t="shared" si="350"/>
      </c>
      <c r="FX270" s="764">
        <f t="shared" si="350"/>
      </c>
      <c r="FY270" s="764">
        <f t="shared" si="350"/>
      </c>
      <c r="FZ270" s="1746">
        <f t="shared" si="350"/>
      </c>
      <c r="GA270" s="764">
        <f t="shared" si="350"/>
      </c>
      <c r="GB270" s="764">
        <f t="shared" si="350"/>
      </c>
      <c r="GC270" s="764">
        <f t="shared" si="350"/>
      </c>
      <c r="GD270" s="764">
        <f t="shared" si="350"/>
      </c>
      <c r="GE270" s="1746">
        <f t="shared" si="350"/>
      </c>
      <c r="GF270" s="764">
        <f t="shared" ref="GF270:GJ270" si="351">IFERROR(GF264/GF255,"")</f>
      </c>
      <c r="GG270" s="764">
        <f t="shared" si="351"/>
      </c>
      <c r="GH270" s="764">
        <f t="shared" si="351"/>
      </c>
      <c r="GI270" s="764">
        <f t="shared" si="351"/>
      </c>
      <c r="GJ270" s="1749">
        <f t="shared" si="351"/>
      </c>
    </row>
    <row r="271" spans="1:192" ht="12.75" customHeight="1">
      <c r="B271" s="735" t="s">
        <v>1994</v>
      </c>
      <c r="C271" s="291"/>
      <c r="D271" s="107"/>
      <c r="E271" s="107"/>
      <c r="F271" s="107"/>
      <c r="G271" s="292"/>
      <c r="H271" s="291"/>
      <c r="I271" s="107"/>
      <c r="J271" s="107"/>
      <c r="K271" s="107"/>
      <c r="L271" s="292"/>
      <c r="M271" s="291"/>
      <c r="N271" s="107"/>
      <c r="O271" s="107"/>
      <c r="P271" s="107"/>
      <c r="Q271" s="292"/>
      <c r="R271" s="291"/>
      <c r="S271" s="107"/>
      <c r="T271" s="107"/>
      <c r="U271" s="107"/>
      <c r="V271" s="292"/>
      <c r="W271" s="291"/>
      <c r="X271" s="107"/>
      <c r="Y271" s="107"/>
      <c r="Z271" s="107"/>
      <c r="AA271" s="292"/>
      <c r="AB271" s="291"/>
      <c r="AC271" s="107"/>
      <c r="AD271" s="107"/>
      <c r="AE271" s="107"/>
      <c r="AF271" s="292"/>
      <c r="AG271" s="291"/>
      <c r="AH271" s="107"/>
      <c r="AI271" s="107"/>
      <c r="AJ271" s="107"/>
      <c r="AK271" s="292"/>
      <c r="AL271" s="291"/>
      <c r="AM271" s="107"/>
      <c r="AN271" s="107"/>
      <c r="AO271" s="107"/>
      <c r="AP271" s="292"/>
      <c r="AQ271" s="291"/>
      <c r="AR271" s="107"/>
      <c r="AS271" s="107"/>
      <c r="AT271" s="107"/>
      <c r="AU271" s="292"/>
      <c r="AV271" s="291"/>
      <c r="AW271" s="107"/>
      <c r="AX271" s="107"/>
      <c r="AY271" s="107"/>
      <c r="AZ271" s="292"/>
      <c r="BA271" s="291"/>
      <c r="BB271" s="107"/>
      <c r="BC271" s="107"/>
      <c r="BD271" s="107"/>
      <c r="BE271" s="292"/>
      <c r="BF271" s="291"/>
      <c r="BG271" s="107"/>
      <c r="BH271" s="107"/>
      <c r="BI271" s="107"/>
      <c r="BJ271" s="292"/>
      <c r="BK271" s="291"/>
      <c r="BL271" s="107"/>
      <c r="BM271" s="107"/>
      <c r="BN271" s="107"/>
      <c r="BO271" s="292"/>
      <c r="BP271" s="291"/>
      <c r="BQ271" s="107"/>
      <c r="BR271" s="107"/>
      <c r="BS271" s="107"/>
      <c r="BT271" s="292"/>
      <c r="BU271" s="291"/>
      <c r="BV271" s="107"/>
      <c r="BW271" s="107"/>
      <c r="BX271" s="107"/>
      <c r="BY271" s="292"/>
      <c r="BZ271" s="291"/>
      <c r="CA271" s="107"/>
      <c r="CB271" s="107"/>
      <c r="CC271" s="107"/>
      <c r="CD271" s="292"/>
      <c r="CE271" s="291"/>
      <c r="CF271" s="107"/>
      <c r="CG271" s="107"/>
      <c r="CH271" s="107"/>
      <c r="CI271" s="292"/>
      <c r="CJ271" s="291"/>
      <c r="CK271" s="107"/>
      <c r="CL271" s="107"/>
      <c r="CM271" s="107"/>
      <c r="CN271" s="292"/>
      <c r="CO271" s="291"/>
      <c r="CP271" s="107"/>
      <c r="CQ271" s="107"/>
      <c r="CR271" s="107"/>
      <c r="CS271" s="292"/>
      <c r="CT271" s="291"/>
      <c r="CU271" s="291"/>
      <c r="CV271" s="291"/>
      <c r="CW271" s="291"/>
      <c r="CX271" s="292"/>
      <c r="CY271" s="291"/>
      <c r="CZ271" s="291"/>
      <c r="DA271" s="291"/>
      <c r="DB271" s="291"/>
      <c r="DC271" s="292"/>
      <c r="DD271" s="349"/>
      <c r="DE271" s="349"/>
      <c r="DF271" s="349"/>
      <c r="DG271" s="349"/>
      <c r="DH271" s="896"/>
      <c r="DI271" s="349"/>
      <c r="DJ271" s="349"/>
      <c r="DK271" s="349"/>
      <c r="DL271" s="349"/>
      <c r="DM271" s="896"/>
      <c r="DN271" s="349"/>
      <c r="DO271" s="349"/>
      <c r="DP271" s="349"/>
      <c r="DQ271" s="349"/>
      <c r="DR271" s="896"/>
      <c r="DS271" s="291"/>
      <c r="DT271" s="291"/>
      <c r="DU271" s="291"/>
      <c r="DV271" s="291"/>
      <c r="DW271" s="292"/>
      <c r="DX271" s="291"/>
      <c r="DY271" s="291"/>
      <c r="DZ271" s="291"/>
      <c r="EA271" s="291"/>
      <c r="EB271" s="292"/>
      <c r="EC271" s="291"/>
      <c r="ED271" s="291"/>
      <c r="EE271" s="291"/>
      <c r="EF271" s="291"/>
      <c r="EG271" s="292"/>
      <c r="EH271" s="291"/>
      <c r="EI271" s="291"/>
      <c r="EJ271" s="349"/>
      <c r="EK271" s="349"/>
      <c r="EL271" s="292"/>
      <c r="EM271" s="291"/>
      <c r="EN271" s="291"/>
      <c r="EO271" s="291"/>
      <c r="EP271" s="291"/>
      <c r="EQ271" s="292"/>
      <c r="ER271" s="291">
        <f t="shared" ref="ER271:GE271" si="352">ER264/ER$131</f>
      </c>
      <c r="ES271" s="291">
        <f t="shared" si="352"/>
      </c>
      <c r="ET271" s="291">
        <f t="shared" si="352"/>
      </c>
      <c r="EU271" s="291">
        <f t="shared" si="352"/>
      </c>
      <c r="EV271" s="292">
        <f t="shared" si="352"/>
      </c>
      <c r="EW271" s="291">
        <f t="shared" si="352"/>
      </c>
      <c r="EX271" s="291">
        <f t="shared" si="352"/>
      </c>
      <c r="EY271" s="291">
        <f t="shared" si="352"/>
      </c>
      <c r="EZ271" s="291">
        <f t="shared" si="352"/>
      </c>
      <c r="FA271" s="292">
        <f t="shared" ref="FA271" si="353">FA264/FA$131</f>
      </c>
      <c r="FB271" s="291">
        <f t="shared" si="352"/>
      </c>
      <c r="FC271" s="291">
        <f t="shared" si="352"/>
      </c>
      <c r="FD271" s="291">
        <f t="shared" si="352"/>
      </c>
      <c r="FE271" s="291">
        <f t="shared" si="352"/>
      </c>
      <c r="FF271" s="292">
        <f t="shared" si="352"/>
      </c>
      <c r="FG271" s="291">
        <f t="shared" si="352"/>
      </c>
      <c r="FH271" s="291">
        <f t="shared" si="352"/>
      </c>
      <c r="FI271" s="291">
        <f t="shared" si="352"/>
      </c>
      <c r="FJ271" s="291">
        <f t="shared" si="352"/>
      </c>
      <c r="FK271" s="292">
        <f t="shared" si="352"/>
      </c>
      <c r="FL271" s="291">
        <f t="shared" si="352"/>
      </c>
      <c r="FM271" s="291">
        <f t="shared" si="352"/>
      </c>
      <c r="FN271" s="291">
        <f t="shared" si="352"/>
      </c>
      <c r="FO271" s="291">
        <f t="shared" si="352"/>
      </c>
      <c r="FP271" s="292">
        <f t="shared" si="352"/>
      </c>
      <c r="FQ271" s="291">
        <f t="shared" si="352"/>
      </c>
      <c r="FR271" s="291">
        <f t="shared" si="352"/>
      </c>
      <c r="FS271" s="291">
        <f t="shared" si="352"/>
      </c>
      <c r="FT271" s="291">
        <f t="shared" si="352"/>
      </c>
      <c r="FU271" s="292">
        <f t="shared" si="352"/>
      </c>
      <c r="FV271" s="291">
        <f t="shared" si="352"/>
      </c>
      <c r="FW271" s="107">
        <f t="shared" si="352"/>
      </c>
      <c r="FX271" s="107">
        <f t="shared" si="352"/>
      </c>
      <c r="FY271" s="107">
        <f t="shared" si="352"/>
      </c>
      <c r="FZ271" s="292">
        <f t="shared" si="352"/>
      </c>
      <c r="GA271" s="291">
        <f t="shared" si="352"/>
      </c>
      <c r="GB271" s="107">
        <f t="shared" si="352"/>
      </c>
      <c r="GC271" s="107">
        <f t="shared" si="352"/>
      </c>
      <c r="GD271" s="107">
        <f t="shared" si="352"/>
      </c>
      <c r="GE271" s="292">
        <f t="shared" si="352"/>
      </c>
      <c r="GF271" s="291">
        <f t="shared" ref="GF271:GJ271" si="354">GF264/GF$131</f>
      </c>
      <c r="GG271" s="107">
        <f t="shared" si="354"/>
      </c>
      <c r="GH271" s="107">
        <f t="shared" si="354"/>
      </c>
      <c r="GI271" s="107">
        <f t="shared" si="354"/>
      </c>
      <c r="GJ271" s="384">
        <f t="shared" si="354"/>
      </c>
    </row>
    <row r="272" spans="1:192" ht="12.75" customHeight="1">
      <c r="B272" s="735"/>
      <c r="C272" s="291"/>
      <c r="D272" s="107"/>
      <c r="E272" s="107"/>
      <c r="F272" s="107"/>
      <c r="G272" s="292"/>
      <c r="H272" s="291"/>
      <c r="I272" s="107"/>
      <c r="J272" s="107"/>
      <c r="K272" s="107"/>
      <c r="L272" s="292"/>
      <c r="M272" s="291"/>
      <c r="N272" s="107"/>
      <c r="O272" s="107"/>
      <c r="P272" s="107"/>
      <c r="Q272" s="292"/>
      <c r="R272" s="291"/>
      <c r="S272" s="107"/>
      <c r="T272" s="107"/>
      <c r="U272" s="107"/>
      <c r="V272" s="292"/>
      <c r="W272" s="291"/>
      <c r="X272" s="107"/>
      <c r="Y272" s="107"/>
      <c r="Z272" s="107"/>
      <c r="AA272" s="292"/>
      <c r="AB272" s="291"/>
      <c r="AC272" s="107"/>
      <c r="AD272" s="107"/>
      <c r="AE272" s="107"/>
      <c r="AF272" s="292"/>
      <c r="AG272" s="291"/>
      <c r="AH272" s="107"/>
      <c r="AI272" s="107"/>
      <c r="AJ272" s="107"/>
      <c r="AK272" s="292"/>
      <c r="AL272" s="291"/>
      <c r="AM272" s="107"/>
      <c r="AN272" s="107"/>
      <c r="AO272" s="107"/>
      <c r="AP272" s="292"/>
      <c r="AQ272" s="291"/>
      <c r="AR272" s="107"/>
      <c r="AS272" s="107"/>
      <c r="AT272" s="107"/>
      <c r="AU272" s="292"/>
      <c r="AV272" s="291"/>
      <c r="AW272" s="107"/>
      <c r="AX272" s="107"/>
      <c r="AY272" s="107"/>
      <c r="AZ272" s="292"/>
      <c r="BA272" s="291"/>
      <c r="BB272" s="107"/>
      <c r="BC272" s="107"/>
      <c r="BD272" s="107"/>
      <c r="BE272" s="292"/>
      <c r="BF272" s="291"/>
      <c r="BG272" s="107"/>
      <c r="BH272" s="107"/>
      <c r="BI272" s="107"/>
      <c r="BJ272" s="292"/>
      <c r="BK272" s="291"/>
      <c r="BL272" s="107"/>
      <c r="BM272" s="107"/>
      <c r="BN272" s="107"/>
      <c r="BO272" s="292"/>
      <c r="BP272" s="291"/>
      <c r="BQ272" s="107"/>
      <c r="BR272" s="107"/>
      <c r="BS272" s="107"/>
      <c r="BT272" s="292"/>
      <c r="BU272" s="291"/>
      <c r="BV272" s="107"/>
      <c r="BW272" s="107"/>
      <c r="BX272" s="107"/>
      <c r="BY272" s="292"/>
      <c r="BZ272" s="291"/>
      <c r="CA272" s="107"/>
      <c r="CB272" s="107"/>
      <c r="CC272" s="107"/>
      <c r="CD272" s="292"/>
      <c r="CE272" s="291"/>
      <c r="CF272" s="107"/>
      <c r="CG272" s="107"/>
      <c r="CH272" s="107"/>
      <c r="CI272" s="292"/>
      <c r="CJ272" s="291"/>
      <c r="CK272" s="107"/>
      <c r="CL272" s="107"/>
      <c r="CM272" s="107"/>
      <c r="CN272" s="292"/>
      <c r="CO272" s="291"/>
      <c r="CP272" s="107"/>
      <c r="CQ272" s="107"/>
      <c r="CR272" s="107"/>
      <c r="CS272" s="292"/>
      <c r="CT272" s="291"/>
      <c r="CU272" s="107"/>
      <c r="CV272" s="107"/>
      <c r="CW272" s="107"/>
      <c r="CX272" s="292"/>
      <c r="CY272" s="291"/>
      <c r="CZ272" s="107"/>
      <c r="DA272" s="107"/>
      <c r="DB272" s="107"/>
      <c r="DC272" s="292"/>
      <c r="DD272" s="291"/>
      <c r="DE272" s="107"/>
      <c r="DF272" s="107"/>
      <c r="DG272" s="107"/>
      <c r="DH272" s="292"/>
      <c r="DI272" s="349"/>
      <c r="DJ272" s="468"/>
      <c r="DK272" s="468"/>
      <c r="DL272" s="468"/>
      <c r="DM272" s="292"/>
      <c r="DN272" s="291"/>
      <c r="DO272" s="107"/>
      <c r="DP272" s="107"/>
      <c r="DQ272" s="107"/>
      <c r="DR272" s="292"/>
      <c r="DS272" s="291"/>
      <c r="DT272" s="107"/>
      <c r="DU272" s="107"/>
      <c r="DV272" s="107"/>
      <c r="DW272" s="292"/>
      <c r="DX272" s="291"/>
      <c r="DY272" s="107"/>
      <c r="DZ272" s="107"/>
      <c r="EA272" s="107"/>
      <c r="EB272" s="292"/>
      <c r="EC272" s="291"/>
      <c r="ED272" s="107"/>
      <c r="EE272" s="107"/>
      <c r="EF272" s="107"/>
      <c r="EG272" s="292"/>
      <c r="EH272" s="291"/>
      <c r="EI272" s="107"/>
      <c r="EJ272" s="107"/>
      <c r="EK272" s="107"/>
      <c r="EL272" s="292"/>
      <c r="EM272" s="291"/>
      <c r="EN272" s="107"/>
      <c r="EO272" s="107"/>
      <c r="EP272" s="107"/>
      <c r="EQ272" s="292"/>
      <c r="ER272" s="291"/>
      <c r="ES272" s="107"/>
      <c r="ET272" s="107"/>
      <c r="EU272" s="107"/>
      <c r="EV272" s="292"/>
      <c r="EW272" s="291"/>
      <c r="EX272" s="107"/>
      <c r="EY272" s="107"/>
      <c r="EZ272" s="107"/>
      <c r="FA272" s="292"/>
      <c r="FB272" s="291"/>
      <c r="FC272" s="107"/>
      <c r="FD272" s="107"/>
      <c r="FE272" s="107"/>
      <c r="FF272" s="292"/>
      <c r="FG272" s="291"/>
      <c r="FH272" s="107"/>
      <c r="FI272" s="107"/>
      <c r="FJ272" s="107"/>
      <c r="FK272" s="292"/>
      <c r="FL272" s="291"/>
      <c r="FM272" s="107"/>
      <c r="FN272" s="107"/>
      <c r="FO272" s="107"/>
      <c r="FP272" s="292"/>
      <c r="FQ272" s="291"/>
      <c r="FR272" s="107"/>
      <c r="FS272" s="107"/>
      <c r="FT272" s="107"/>
      <c r="FU272" s="292"/>
      <c r="FV272" s="291"/>
      <c r="FW272" s="107"/>
      <c r="FX272" s="107"/>
      <c r="FY272" s="107"/>
      <c r="FZ272" s="292"/>
      <c r="GA272" s="291"/>
      <c r="GB272" s="107"/>
      <c r="GC272" s="107"/>
      <c r="GD272" s="107"/>
      <c r="GE272" s="292"/>
      <c r="GF272" s="291"/>
      <c r="GG272" s="107"/>
      <c r="GH272" s="107"/>
      <c r="GI272" s="107"/>
      <c r="GJ272" s="384"/>
    </row>
    <row r="273" spans="1:192" s="1609" customFormat="1" ht="12.75" customHeight="1">
      <c r="A273" s="594"/>
      <c r="B273" s="735" t="s">
        <v>236</v>
      </c>
      <c r="C273" s="1601"/>
      <c r="D273" s="1602"/>
      <c r="E273" s="1602"/>
      <c r="F273" s="1602"/>
      <c r="G273" s="1603"/>
      <c r="H273" s="1601"/>
      <c r="I273" s="1602"/>
      <c r="J273" s="1602"/>
      <c r="K273" s="1602"/>
      <c r="L273" s="1603"/>
      <c r="M273" s="1601"/>
      <c r="N273" s="1602"/>
      <c r="O273" s="1602"/>
      <c r="P273" s="1602"/>
      <c r="Q273" s="1603"/>
      <c r="R273" s="1601"/>
      <c r="S273" s="1602"/>
      <c r="T273" s="1602"/>
      <c r="U273" s="1602"/>
      <c r="V273" s="1603"/>
      <c r="W273" s="1601"/>
      <c r="X273" s="1602"/>
      <c r="Y273" s="1602"/>
      <c r="Z273" s="1602"/>
      <c r="AA273" s="1603"/>
      <c r="AB273" s="1601"/>
      <c r="AC273" s="1602"/>
      <c r="AD273" s="1602"/>
      <c r="AE273" s="1602"/>
      <c r="AF273" s="1603"/>
      <c r="AG273" s="1601"/>
      <c r="AH273" s="1602"/>
      <c r="AI273" s="1602"/>
      <c r="AJ273" s="1602"/>
      <c r="AK273" s="1603"/>
      <c r="AL273" s="1601"/>
      <c r="AM273" s="1602"/>
      <c r="AN273" s="1602"/>
      <c r="AO273" s="1602"/>
      <c r="AP273" s="1603"/>
      <c r="AQ273" s="1601"/>
      <c r="AR273" s="1602"/>
      <c r="AS273" s="1602"/>
      <c r="AT273" s="1602"/>
      <c r="AU273" s="1603"/>
      <c r="AV273" s="1601"/>
      <c r="AW273" s="1602"/>
      <c r="AX273" s="1602"/>
      <c r="AY273" s="1602"/>
      <c r="AZ273" s="1603"/>
      <c r="BA273" s="1601"/>
      <c r="BB273" s="1602"/>
      <c r="BC273" s="1602"/>
      <c r="BD273" s="1602"/>
      <c r="BE273" s="1603"/>
      <c r="BF273" s="1601"/>
      <c r="BG273" s="1602"/>
      <c r="BH273" s="1602"/>
      <c r="BI273" s="1602"/>
      <c r="BJ273" s="1603"/>
      <c r="BK273" s="1601"/>
      <c r="BL273" s="1602"/>
      <c r="BM273" s="1602"/>
      <c r="BN273" s="1602"/>
      <c r="BO273" s="1603"/>
      <c r="BP273" s="1601"/>
      <c r="BQ273" s="1602"/>
      <c r="BR273" s="1602"/>
      <c r="BS273" s="1602"/>
      <c r="BT273" s="1603"/>
      <c r="BU273" s="1601"/>
      <c r="BV273" s="1602"/>
      <c r="BW273" s="1602"/>
      <c r="BX273" s="1602"/>
      <c r="BY273" s="1603"/>
      <c r="BZ273" s="1601"/>
      <c r="CA273" s="1602"/>
      <c r="CB273" s="1602"/>
      <c r="CC273" s="1602"/>
      <c r="CD273" s="1604"/>
      <c r="CE273" s="1601"/>
      <c r="CF273" s="1602"/>
      <c r="CG273" s="1602"/>
      <c r="CH273" s="1602"/>
      <c r="CI273" s="1604"/>
      <c r="CJ273" s="1601"/>
      <c r="CK273" s="1602"/>
      <c r="CL273" s="1602"/>
      <c r="CM273" s="1602"/>
      <c r="CN273" s="1604"/>
      <c r="CO273" s="1601">
        <v>1</v>
      </c>
      <c r="CP273" s="1602"/>
      <c r="CQ273" s="1602"/>
      <c r="CR273" s="1602"/>
      <c r="CS273" s="1604"/>
      <c r="CT273" s="1601"/>
      <c r="CU273" s="1602"/>
      <c r="CV273" s="1602">
        <v>4.4000000000000004</v>
      </c>
      <c r="CW273" s="1602">
        <v>5.6</v>
      </c>
      <c r="CX273" s="1604">
        <f>CW273</f>
      </c>
      <c r="CY273" s="1601">
        <v>7.1</v>
      </c>
      <c r="CZ273" s="1602">
        <v>9.1999999999999993</v>
      </c>
      <c r="DA273" s="1602">
        <v>12.4</v>
      </c>
      <c r="DB273" s="1602">
        <v>15.2</v>
      </c>
      <c r="DC273" s="1604">
        <f>DB273</f>
      </c>
      <c r="DD273" s="1601">
        <v>18.2</v>
      </c>
      <c r="DE273" s="1602">
        <v>20.6</v>
      </c>
      <c r="DF273" s="1602">
        <v>22.2</v>
      </c>
      <c r="DG273" s="1602">
        <v>23.1</v>
      </c>
      <c r="DH273" s="1604">
        <f>DG273</f>
      </c>
      <c r="DI273" s="1605">
        <v>24</v>
      </c>
      <c r="DJ273" s="1606">
        <v>24.9</v>
      </c>
      <c r="DK273" s="1606">
        <v>26.2</v>
      </c>
      <c r="DL273" s="1606">
        <v>27</v>
      </c>
      <c r="DM273" s="1604">
        <f>DL273</f>
      </c>
      <c r="DN273" s="1601">
        <v>28</v>
      </c>
      <c r="DO273" s="1602">
        <v>29.2</v>
      </c>
      <c r="DP273" s="1602">
        <v>30.6</v>
      </c>
      <c r="DQ273" s="1602">
        <v>31.4</v>
      </c>
      <c r="DR273" s="1604">
        <f>DQ273</f>
      </c>
      <c r="DS273" s="1601">
        <v>32.5</v>
      </c>
      <c r="DT273" s="1602">
        <v>33.299999999999997</v>
      </c>
      <c r="DU273" s="1602">
        <v>34.200000000000003</v>
      </c>
      <c r="DV273" s="1602">
        <v>34.799999999999997</v>
      </c>
      <c r="DW273" s="1604">
        <f>DV273</f>
      </c>
      <c r="DX273" s="1601">
        <v>35.6</v>
      </c>
      <c r="DY273" s="1602">
        <v>37.200000000000003</v>
      </c>
      <c r="DZ273" s="1602">
        <v>39.6</v>
      </c>
      <c r="EA273" s="1602">
        <v>42.7</v>
      </c>
      <c r="EB273" s="1604">
        <f>EA273</f>
      </c>
      <c r="EC273" s="1601">
        <v>45.3</v>
      </c>
      <c r="ED273" s="1602">
        <v>47.5</v>
      </c>
      <c r="EE273" s="1602">
        <v>50.2</v>
      </c>
      <c r="EF273" s="1602">
        <v>51.9</v>
      </c>
      <c r="EG273" s="1604">
        <f>EF273</f>
      </c>
      <c r="EH273" s="1601">
        <v>54.1</v>
      </c>
      <c r="EI273" s="1602">
        <v>56.4</v>
      </c>
      <c r="EJ273" s="1602">
        <v>58.4</v>
      </c>
      <c r="EK273" s="1602">
        <v>59.7</v>
      </c>
      <c r="EL273" s="1604">
        <f>EK273</f>
      </c>
      <c r="EM273" s="1601">
        <v>65.099999999999994</v>
      </c>
      <c r="EN273" s="1602">
        <v>67.7</v>
      </c>
      <c r="EO273" s="1602">
        <v>70.8</v>
      </c>
      <c r="EP273" s="1602">
        <v>74.900000000000006</v>
      </c>
      <c r="EQ273" s="1604">
        <f>EP273</f>
      </c>
      <c r="ER273" s="1605">
        <v>76.7</v>
      </c>
      <c r="ES273" s="1602">
        <v>78.400000000000006</v>
      </c>
      <c r="ET273" s="1606">
        <v>80.8</v>
      </c>
      <c r="EU273" s="1606">
        <v>82.4</v>
      </c>
      <c r="EV273" s="1604">
        <f>EU273</f>
      </c>
      <c r="EW273" s="1605">
        <v>84.4</v>
      </c>
      <c r="EX273" s="1606">
        <v>86.3</v>
      </c>
      <c r="EY273" s="1606">
        <v>87.7</v>
      </c>
      <c r="EZ273" s="1606">
        <v>89</v>
      </c>
      <c r="FA273" s="1604">
        <f>EZ273</f>
      </c>
      <c r="FB273" s="1607">
        <f t="shared" ref="FB273:FE273" si="355">FA273+FB276</f>
      </c>
      <c r="FC273" s="1607">
        <f t="shared" si="355"/>
      </c>
      <c r="FD273" s="1607">
        <f t="shared" si="355"/>
      </c>
      <c r="FE273" s="1607">
        <f t="shared" si="355"/>
      </c>
      <c r="FF273" s="1604">
        <f>FE273</f>
      </c>
      <c r="FG273" s="1607">
        <f t="shared" ref="FG273:FJ273" si="356">FF273+FG276</f>
      </c>
      <c r="FH273" s="1607">
        <f t="shared" si="356"/>
      </c>
      <c r="FI273" s="1607">
        <f t="shared" si="356"/>
      </c>
      <c r="FJ273" s="1607">
        <f t="shared" si="356"/>
      </c>
      <c r="FK273" s="1604">
        <f>FJ273</f>
      </c>
      <c r="FL273" s="1607">
        <f t="shared" ref="FL273:FO273" si="357">FK273+FL276</f>
      </c>
      <c r="FM273" s="1607">
        <f t="shared" si="357"/>
      </c>
      <c r="FN273" s="1607">
        <f t="shared" si="357"/>
      </c>
      <c r="FO273" s="1607">
        <f t="shared" si="357"/>
      </c>
      <c r="FP273" s="1604">
        <f>FO273</f>
      </c>
      <c r="FQ273" s="1607">
        <f t="shared" ref="FQ273:FT273" si="358">FP273+FQ276</f>
      </c>
      <c r="FR273" s="1607">
        <f t="shared" si="358"/>
      </c>
      <c r="FS273" s="1607">
        <f t="shared" si="358"/>
      </c>
      <c r="FT273" s="1607">
        <f t="shared" si="358"/>
      </c>
      <c r="FU273" s="1604">
        <f>FT273</f>
      </c>
      <c r="FV273" s="1607">
        <f t="shared" ref="FV273:FY273" si="359">FU273+FV276</f>
      </c>
      <c r="FW273" s="1607">
        <f t="shared" si="359"/>
      </c>
      <c r="FX273" s="1607">
        <f t="shared" si="359"/>
      </c>
      <c r="FY273" s="1607">
        <f t="shared" si="359"/>
      </c>
      <c r="FZ273" s="1604">
        <f>FY273</f>
      </c>
      <c r="GA273" s="1607">
        <f t="shared" ref="GA273:GD273" si="360">FZ273+GA276</f>
      </c>
      <c r="GB273" s="1607">
        <f t="shared" si="360"/>
      </c>
      <c r="GC273" s="1607">
        <f t="shared" si="360"/>
      </c>
      <c r="GD273" s="1607">
        <f t="shared" si="360"/>
      </c>
      <c r="GE273" s="1604">
        <f>GD273</f>
      </c>
      <c r="GF273" s="1607">
        <f t="shared" ref="GF273" si="361">GE273+GF276</f>
      </c>
      <c r="GG273" s="1607">
        <f t="shared" ref="GG273" si="362">GF273+GG276</f>
      </c>
      <c r="GH273" s="1607">
        <f t="shared" ref="GH273" si="363">GG273+GH276</f>
      </c>
      <c r="GI273" s="1607">
        <f t="shared" ref="GI273" si="364">GH273+GI276</f>
      </c>
      <c r="GJ273" s="1608">
        <f>GI273</f>
      </c>
    </row>
    <row r="274" spans="1:192" s="367" customFormat="1" ht="12.75" customHeight="1">
      <c r="A274" s="784"/>
      <c r="B274" s="737" t="s">
        <v>34</v>
      </c>
      <c r="C274" s="291"/>
      <c r="D274" s="107"/>
      <c r="E274" s="107"/>
      <c r="F274" s="107"/>
      <c r="G274" s="292"/>
      <c r="H274" s="291"/>
      <c r="I274" s="107"/>
      <c r="J274" s="107"/>
      <c r="K274" s="107"/>
      <c r="L274" s="292"/>
      <c r="M274" s="291"/>
      <c r="N274" s="107"/>
      <c r="O274" s="107"/>
      <c r="P274" s="107"/>
      <c r="Q274" s="292"/>
      <c r="R274" s="291"/>
      <c r="S274" s="107"/>
      <c r="T274" s="107"/>
      <c r="U274" s="107"/>
      <c r="V274" s="292"/>
      <c r="W274" s="291"/>
      <c r="X274" s="107"/>
      <c r="Y274" s="107"/>
      <c r="Z274" s="107"/>
      <c r="AA274" s="292"/>
      <c r="AB274" s="291"/>
      <c r="AC274" s="107"/>
      <c r="AD274" s="107"/>
      <c r="AE274" s="107"/>
      <c r="AF274" s="292"/>
      <c r="AG274" s="291"/>
      <c r="AH274" s="107"/>
      <c r="AI274" s="107"/>
      <c r="AJ274" s="107"/>
      <c r="AK274" s="292"/>
      <c r="AL274" s="291"/>
      <c r="AM274" s="107"/>
      <c r="AN274" s="107"/>
      <c r="AO274" s="107"/>
      <c r="AP274" s="292"/>
      <c r="AQ274" s="291"/>
      <c r="AR274" s="107"/>
      <c r="AS274" s="107"/>
      <c r="AT274" s="107"/>
      <c r="AU274" s="292"/>
      <c r="AV274" s="291"/>
      <c r="AW274" s="107"/>
      <c r="AX274" s="107"/>
      <c r="AY274" s="107"/>
      <c r="AZ274" s="292"/>
      <c r="BA274" s="291"/>
      <c r="BB274" s="107"/>
      <c r="BC274" s="107"/>
      <c r="BD274" s="107"/>
      <c r="BE274" s="292"/>
      <c r="BF274" s="291"/>
      <c r="BG274" s="107"/>
      <c r="BH274" s="107"/>
      <c r="BI274" s="107"/>
      <c r="BJ274" s="292"/>
      <c r="BK274" s="291"/>
      <c r="BL274" s="107"/>
      <c r="BM274" s="107"/>
      <c r="BN274" s="107"/>
      <c r="BO274" s="292"/>
      <c r="BP274" s="291"/>
      <c r="BQ274" s="107"/>
      <c r="BR274" s="107"/>
      <c r="BS274" s="107"/>
      <c r="BT274" s="292"/>
      <c r="BU274" s="291"/>
      <c r="BV274" s="107"/>
      <c r="BW274" s="107"/>
      <c r="BX274" s="107"/>
      <c r="BY274" s="292"/>
      <c r="BZ274" s="291"/>
      <c r="CA274" s="107"/>
      <c r="CB274" s="107"/>
      <c r="CC274" s="107"/>
      <c r="CD274" s="292"/>
      <c r="CE274" s="291"/>
      <c r="CF274" s="107"/>
      <c r="CG274" s="107"/>
      <c r="CH274" s="107"/>
      <c r="CI274" s="292"/>
      <c r="CJ274" s="291"/>
      <c r="CK274" s="107"/>
      <c r="CL274" s="107"/>
      <c r="CM274" s="107"/>
      <c r="CN274" s="292"/>
      <c r="CO274" s="291"/>
      <c r="CP274" s="107"/>
      <c r="CQ274" s="107"/>
      <c r="CR274" s="107"/>
      <c r="CS274" s="292"/>
      <c r="CT274" s="291"/>
      <c r="CU274" s="107"/>
      <c r="CV274" s="107"/>
      <c r="CW274" s="107"/>
      <c r="CX274" s="292"/>
      <c r="CY274" s="291"/>
      <c r="CZ274" s="114">
        <v>1.69</v>
      </c>
      <c r="DA274" s="114">
        <v>1.79</v>
      </c>
      <c r="DB274" s="107"/>
      <c r="DC274" s="292">
        <f t="shared" ref="DC274:EK274" si="365">DC273/CX273-1</f>
      </c>
      <c r="DD274" s="107">
        <f t="shared" si="365"/>
      </c>
      <c r="DE274" s="107">
        <f t="shared" si="365"/>
      </c>
      <c r="DF274" s="107">
        <f t="shared" si="365"/>
      </c>
      <c r="DG274" s="107">
        <f t="shared" si="365"/>
      </c>
      <c r="DH274" s="292">
        <f t="shared" si="365"/>
      </c>
      <c r="DI274" s="468">
        <f t="shared" si="365"/>
      </c>
      <c r="DJ274" s="468">
        <f t="shared" si="365"/>
      </c>
      <c r="DK274" s="468">
        <f t="shared" si="365"/>
      </c>
      <c r="DL274" s="468">
        <f t="shared" si="365"/>
      </c>
      <c r="DM274" s="292">
        <f t="shared" si="365"/>
      </c>
      <c r="DN274" s="107">
        <f t="shared" si="365"/>
      </c>
      <c r="DO274" s="107">
        <f t="shared" si="365"/>
      </c>
      <c r="DP274" s="107">
        <f t="shared" si="365"/>
      </c>
      <c r="DQ274" s="107">
        <f t="shared" si="365"/>
      </c>
      <c r="DR274" s="292">
        <f t="shared" si="365"/>
      </c>
      <c r="DS274" s="107">
        <f t="shared" si="365"/>
      </c>
      <c r="DT274" s="107">
        <f t="shared" si="365"/>
      </c>
      <c r="DU274" s="107">
        <f t="shared" si="365"/>
      </c>
      <c r="DV274" s="107">
        <f t="shared" si="365"/>
      </c>
      <c r="DW274" s="292">
        <f t="shared" si="365"/>
      </c>
      <c r="DX274" s="107">
        <f t="shared" si="365"/>
      </c>
      <c r="DY274" s="107">
        <f t="shared" si="365"/>
      </c>
      <c r="DZ274" s="107">
        <f t="shared" si="365"/>
      </c>
      <c r="EA274" s="107">
        <f t="shared" si="365"/>
      </c>
      <c r="EB274" s="292">
        <f t="shared" si="365"/>
      </c>
      <c r="EC274" s="107">
        <f t="shared" si="365"/>
      </c>
      <c r="ED274" s="107">
        <f t="shared" si="365"/>
      </c>
      <c r="EE274" s="107">
        <f t="shared" si="365"/>
      </c>
      <c r="EF274" s="107">
        <f t="shared" si="365"/>
      </c>
      <c r="EG274" s="292">
        <f t="shared" si="365"/>
      </c>
      <c r="EH274" s="107">
        <f t="shared" si="365"/>
      </c>
      <c r="EI274" s="107">
        <f t="shared" si="365"/>
      </c>
      <c r="EJ274" s="107">
        <f t="shared" si="365"/>
      </c>
      <c r="EK274" s="107">
        <f t="shared" si="365"/>
      </c>
      <c r="EL274" s="413">
        <v>0.15</v>
      </c>
      <c r="EM274" s="441">
        <v>0.13</v>
      </c>
      <c r="EN274" s="439">
        <v>0.12</v>
      </c>
      <c r="EO274" s="439">
        <v>0.11</v>
      </c>
      <c r="EP274" s="439">
        <v>0.12</v>
      </c>
      <c r="EQ274" s="292">
        <f>EQ273/EL273-1</f>
      </c>
      <c r="ER274" s="291">
        <f>ER273/EM273-1</f>
      </c>
      <c r="ES274" s="114">
        <v>0.16</v>
      </c>
      <c r="ET274" s="439">
        <v>0.14000000000000001</v>
      </c>
      <c r="EU274" s="439">
        <v>0.1</v>
      </c>
      <c r="EV274" s="292">
        <f>EV273/EQ273-1</f>
      </c>
      <c r="EW274" s="441">
        <v>0.1</v>
      </c>
      <c r="EX274" s="439">
        <v>0.1</v>
      </c>
      <c r="EY274" s="439">
        <v>0.09</v>
      </c>
      <c r="EZ274" s="439">
        <v>0.08</v>
      </c>
      <c r="FA274" s="292">
        <f>FA273/EV273-1</f>
      </c>
      <c r="FB274" s="107">
        <f t="shared" ref="FB274:FE274" si="366">FB273/EW273-1</f>
      </c>
      <c r="FC274" s="107">
        <f t="shared" si="366"/>
      </c>
      <c r="FD274" s="107">
        <f t="shared" si="366"/>
      </c>
      <c r="FE274" s="107">
        <f t="shared" si="366"/>
      </c>
      <c r="FF274" s="292">
        <f>FF273/FA273-1</f>
      </c>
      <c r="FG274" s="107">
        <f t="shared" ref="FG274" si="367">FG273/FB273-1</f>
      </c>
      <c r="FH274" s="107">
        <f t="shared" ref="FH274" si="368">FH273/FC273-1</f>
      </c>
      <c r="FI274" s="107">
        <f t="shared" ref="FI274" si="369">FI273/FD273-1</f>
      </c>
      <c r="FJ274" s="107">
        <f t="shared" ref="FJ274" si="370">FJ273/FE273-1</f>
      </c>
      <c r="FK274" s="292">
        <f>FK273/FF273-1</f>
      </c>
      <c r="FL274" s="107">
        <f t="shared" ref="FL274" si="371">FL273/FG273-1</f>
      </c>
      <c r="FM274" s="107">
        <f t="shared" ref="FM274" si="372">FM273/FH273-1</f>
      </c>
      <c r="FN274" s="107">
        <f t="shared" ref="FN274" si="373">FN273/FI273-1</f>
      </c>
      <c r="FO274" s="107">
        <f t="shared" ref="FO274" si="374">FO273/FJ273-1</f>
      </c>
      <c r="FP274" s="292">
        <f>FP273/FK273-1</f>
      </c>
      <c r="FQ274" s="107">
        <f t="shared" ref="FQ274" si="375">FQ273/FL273-1</f>
      </c>
      <c r="FR274" s="107">
        <f t="shared" ref="FR274" si="376">FR273/FM273-1</f>
      </c>
      <c r="FS274" s="107">
        <f t="shared" ref="FS274" si="377">FS273/FN273-1</f>
      </c>
      <c r="FT274" s="107">
        <f t="shared" ref="FT274" si="378">FT273/FO273-1</f>
      </c>
      <c r="FU274" s="292">
        <f>FU273/FP273-1</f>
      </c>
      <c r="FV274" s="107">
        <f t="shared" ref="FV274" si="379">FV273/FQ273-1</f>
      </c>
      <c r="FW274" s="107">
        <f t="shared" ref="FW274" si="380">FW273/FR273-1</f>
      </c>
      <c r="FX274" s="107">
        <f t="shared" ref="FX274" si="381">FX273/FS273-1</f>
      </c>
      <c r="FY274" s="107">
        <f t="shared" ref="FY274" si="382">FY273/FT273-1</f>
      </c>
      <c r="FZ274" s="292">
        <f>FZ273/FU273-1</f>
      </c>
      <c r="GA274" s="107">
        <f t="shared" ref="GA274" si="383">GA273/FV273-1</f>
      </c>
      <c r="GB274" s="107">
        <f t="shared" ref="GB274" si="384">GB273/FW273-1</f>
      </c>
      <c r="GC274" s="107">
        <f t="shared" ref="GC274" si="385">GC273/FX273-1</f>
      </c>
      <c r="GD274" s="107">
        <f t="shared" ref="GD274" si="386">GD273/FY273-1</f>
      </c>
      <c r="GE274" s="292">
        <f>GE273/FZ273-1</f>
      </c>
      <c r="GF274" s="107">
        <f t="shared" ref="GF274" si="387">GF273/GA273-1</f>
      </c>
      <c r="GG274" s="107">
        <f t="shared" ref="GG274" si="388">GG273/GB273-1</f>
      </c>
      <c r="GH274" s="107">
        <f t="shared" ref="GH274" si="389">GH273/GC273-1</f>
      </c>
      <c r="GI274" s="107">
        <f t="shared" ref="GI274" si="390">GI273/GD273-1</f>
      </c>
      <c r="GJ274" s="384">
        <f>GJ273/GE273-1</f>
      </c>
    </row>
    <row r="275" spans="1:192" s="367" customFormat="1" ht="12.75" customHeight="1">
      <c r="A275" s="784"/>
      <c r="B275" s="737" t="s">
        <v>36</v>
      </c>
      <c r="C275" s="291"/>
      <c r="D275" s="107"/>
      <c r="E275" s="107"/>
      <c r="F275" s="107"/>
      <c r="G275" s="292"/>
      <c r="H275" s="291"/>
      <c r="I275" s="107"/>
      <c r="J275" s="107"/>
      <c r="K275" s="107"/>
      <c r="L275" s="292"/>
      <c r="M275" s="291"/>
      <c r="N275" s="107"/>
      <c r="O275" s="107"/>
      <c r="P275" s="107"/>
      <c r="Q275" s="292"/>
      <c r="R275" s="291"/>
      <c r="S275" s="107"/>
      <c r="T275" s="107"/>
      <c r="U275" s="107"/>
      <c r="V275" s="292"/>
      <c r="W275" s="291"/>
      <c r="X275" s="107"/>
      <c r="Y275" s="107"/>
      <c r="Z275" s="107"/>
      <c r="AA275" s="292"/>
      <c r="AB275" s="291"/>
      <c r="AC275" s="107"/>
      <c r="AD275" s="107"/>
      <c r="AE275" s="107"/>
      <c r="AF275" s="292"/>
      <c r="AG275" s="291"/>
      <c r="AH275" s="107"/>
      <c r="AI275" s="107"/>
      <c r="AJ275" s="107"/>
      <c r="AK275" s="292"/>
      <c r="AL275" s="291"/>
      <c r="AM275" s="107"/>
      <c r="AN275" s="107"/>
      <c r="AO275" s="107"/>
      <c r="AP275" s="292"/>
      <c r="AQ275" s="291"/>
      <c r="AR275" s="107"/>
      <c r="AS275" s="107"/>
      <c r="AT275" s="107"/>
      <c r="AU275" s="292"/>
      <c r="AV275" s="291"/>
      <c r="AW275" s="107"/>
      <c r="AX275" s="107"/>
      <c r="AY275" s="107"/>
      <c r="AZ275" s="292"/>
      <c r="BA275" s="291"/>
      <c r="BB275" s="107"/>
      <c r="BC275" s="107"/>
      <c r="BD275" s="107"/>
      <c r="BE275" s="292"/>
      <c r="BF275" s="291"/>
      <c r="BG275" s="107"/>
      <c r="BH275" s="107"/>
      <c r="BI275" s="107"/>
      <c r="BJ275" s="292"/>
      <c r="BK275" s="291"/>
      <c r="BL275" s="107"/>
      <c r="BM275" s="107"/>
      <c r="BN275" s="107"/>
      <c r="BO275" s="292"/>
      <c r="BP275" s="291"/>
      <c r="BQ275" s="107"/>
      <c r="BR275" s="107"/>
      <c r="BS275" s="107"/>
      <c r="BT275" s="292"/>
      <c r="BU275" s="291"/>
      <c r="BV275" s="107"/>
      <c r="BW275" s="107"/>
      <c r="BX275" s="107"/>
      <c r="BY275" s="292"/>
      <c r="BZ275" s="291"/>
      <c r="CA275" s="107"/>
      <c r="CB275" s="107"/>
      <c r="CC275" s="107"/>
      <c r="CD275" s="292"/>
      <c r="CE275" s="291"/>
      <c r="CF275" s="107"/>
      <c r="CG275" s="107"/>
      <c r="CH275" s="107"/>
      <c r="CI275" s="292"/>
      <c r="CJ275" s="291"/>
      <c r="CK275" s="107"/>
      <c r="CL275" s="107"/>
      <c r="CM275" s="107"/>
      <c r="CN275" s="292"/>
      <c r="CO275" s="291"/>
      <c r="CP275" s="107"/>
      <c r="CQ275" s="107"/>
      <c r="CR275" s="107"/>
      <c r="CS275" s="292"/>
      <c r="CT275" s="291"/>
      <c r="CU275" s="468"/>
      <c r="CV275" s="468"/>
      <c r="CW275" s="468">
        <f>CW273/CV273-1</f>
      </c>
      <c r="CX275" s="292"/>
      <c r="CY275" s="291">
        <f>CY273/CW273-1</f>
      </c>
      <c r="CZ275" s="468">
        <f>CZ273/CY273-1</f>
      </c>
      <c r="DA275" s="468">
        <f>DA273/CZ273-1</f>
      </c>
      <c r="DB275" s="468">
        <f>DB273/DA273-1</f>
      </c>
      <c r="DC275" s="292"/>
      <c r="DD275" s="291">
        <f>DD273/DB273-1</f>
      </c>
      <c r="DE275" s="468">
        <f>DE273/DD273-1</f>
      </c>
      <c r="DF275" s="468">
        <f>DF273/DE273-1</f>
      </c>
      <c r="DG275" s="468">
        <f>DG273/DF273-1</f>
      </c>
      <c r="DH275" s="292"/>
      <c r="DI275" s="349">
        <f>DI273/DG273-1</f>
      </c>
      <c r="DJ275" s="468">
        <f>DJ273/DI273-1</f>
      </c>
      <c r="DK275" s="468">
        <f>DK273/DJ273-1</f>
      </c>
      <c r="DL275" s="468">
        <f>DL273/DK273-1</f>
      </c>
      <c r="DM275" s="292"/>
      <c r="DN275" s="291">
        <f>DN273/DL273-1</f>
      </c>
      <c r="DO275" s="468">
        <f>DO273/DN273-1</f>
      </c>
      <c r="DP275" s="468">
        <f>DP273/DO273-1</f>
      </c>
      <c r="DQ275" s="468">
        <f>DQ273/DP273-1</f>
      </c>
      <c r="DR275" s="292"/>
      <c r="DS275" s="291">
        <f>DS273/DQ273-1</f>
      </c>
      <c r="DT275" s="468">
        <f>DT273/DS273-1</f>
      </c>
      <c r="DU275" s="468">
        <f>DU273/DT273-1</f>
      </c>
      <c r="DV275" s="468">
        <f>DV273/DU273-1</f>
      </c>
      <c r="DW275" s="292"/>
      <c r="DX275" s="291">
        <f>DX273/DV273-1</f>
      </c>
      <c r="DY275" s="468">
        <f>DY273/DX273-1</f>
      </c>
      <c r="DZ275" s="468">
        <f>DZ273/DY273-1</f>
      </c>
      <c r="EA275" s="468">
        <f>EA273/DZ273-1</f>
      </c>
      <c r="EB275" s="292"/>
      <c r="EC275" s="291">
        <f>EC273/EA273-1</f>
      </c>
      <c r="ED275" s="468">
        <f>ED273/EC273-1</f>
      </c>
      <c r="EE275" s="468">
        <f>EE273/ED273-1</f>
      </c>
      <c r="EF275" s="468">
        <f>EF273/EE273-1</f>
      </c>
      <c r="EG275" s="292"/>
      <c r="EH275" s="291">
        <f>EH273/EF273-1</f>
      </c>
      <c r="EI275" s="468">
        <f>EI273/EH273-1</f>
      </c>
      <c r="EJ275" s="468">
        <f>EJ273/EI273-1</f>
      </c>
      <c r="EK275" s="468">
        <f>EK273/EJ273-1</f>
      </c>
      <c r="EL275" s="292"/>
      <c r="EM275" s="291">
        <f>EM273/EK273-1</f>
      </c>
      <c r="EN275" s="468">
        <f>EN273/EM273-1</f>
      </c>
      <c r="EO275" s="468">
        <f>EO273/EN273-1</f>
      </c>
      <c r="EP275" s="468">
        <f>EP273/EO273-1</f>
      </c>
      <c r="EQ275" s="292"/>
      <c r="ER275" s="291">
        <f>ER273/EP273-1</f>
      </c>
      <c r="ES275" s="468">
        <f>ES273/ER273-1</f>
      </c>
      <c r="ET275" s="468">
        <f>ET273/ES273-1</f>
      </c>
      <c r="EU275" s="107">
        <f>EU273/ET273-1</f>
      </c>
      <c r="EV275" s="292"/>
      <c r="EW275" s="291">
        <f>EW273/EU273-1</f>
      </c>
      <c r="EX275" s="468">
        <f>EX273/EW273-1</f>
      </c>
      <c r="EY275" s="468">
        <f>EY273/EX273-1</f>
      </c>
      <c r="EZ275" s="107">
        <f>EZ273/EY273-1</f>
      </c>
      <c r="FA275" s="292"/>
      <c r="FB275" s="291">
        <f>FB273/EZ273-1</f>
      </c>
      <c r="FC275" s="468">
        <f>FC273/FB273-1</f>
      </c>
      <c r="FD275" s="468">
        <f>FD273/FC273-1</f>
      </c>
      <c r="FE275" s="468">
        <f>FE273/FD273-1</f>
      </c>
      <c r="FF275" s="292"/>
      <c r="FG275" s="291">
        <f>FG273/FE273-1</f>
      </c>
      <c r="FH275" s="468">
        <f>FH273/FG273-1</f>
      </c>
      <c r="FI275" s="468">
        <f>FI273/FH273-1</f>
      </c>
      <c r="FJ275" s="468">
        <f>FJ273/FI273-1</f>
      </c>
      <c r="FK275" s="292"/>
      <c r="FL275" s="291">
        <f>FL273/FJ273-1</f>
      </c>
      <c r="FM275" s="468">
        <f>FM273/FL273-1</f>
      </c>
      <c r="FN275" s="468">
        <f>FN273/FM273-1</f>
      </c>
      <c r="FO275" s="468">
        <f>FO273/FN273-1</f>
      </c>
      <c r="FP275" s="292"/>
      <c r="FQ275" s="291">
        <f>FQ273/FO273-1</f>
      </c>
      <c r="FR275" s="468">
        <f>FR273/FQ273-1</f>
      </c>
      <c r="FS275" s="468">
        <f>FS273/FR273-1</f>
      </c>
      <c r="FT275" s="468">
        <f>FT273/FS273-1</f>
      </c>
      <c r="FU275" s="292"/>
      <c r="FV275" s="291">
        <f>FV273/FT273-1</f>
      </c>
      <c r="FW275" s="468">
        <f>FW273/FV273-1</f>
      </c>
      <c r="FX275" s="468">
        <f>FX273/FW273-1</f>
      </c>
      <c r="FY275" s="468">
        <f>FY273/FX273-1</f>
      </c>
      <c r="FZ275" s="292"/>
      <c r="GA275" s="291">
        <f>GA273/FY273-1</f>
      </c>
      <c r="GB275" s="468">
        <f>GB273/GA273-1</f>
      </c>
      <c r="GC275" s="468">
        <f>GC273/GB273-1</f>
      </c>
      <c r="GD275" s="468">
        <f>GD273/GC273-1</f>
      </c>
      <c r="GE275" s="292"/>
      <c r="GF275" s="291">
        <f>GF273/GD273-1</f>
      </c>
      <c r="GG275" s="468">
        <f>GG273/GF273-1</f>
      </c>
      <c r="GH275" s="468">
        <f>GH273/GG273-1</f>
      </c>
      <c r="GI275" s="468">
        <f>GI273/GH273-1</f>
      </c>
      <c r="GJ275" s="384"/>
    </row>
    <row r="276" spans="1:192" s="1701" customFormat="1" ht="12.75" hidden="1" customHeight="1" outlineLevel="1">
      <c r="A276" s="1694"/>
      <c r="B276" s="1704" t="s">
        <v>2074</v>
      </c>
      <c r="C276" s="1343"/>
      <c r="D276" s="1696"/>
      <c r="E276" s="1696"/>
      <c r="F276" s="1696"/>
      <c r="G276" s="1697"/>
      <c r="H276" s="1343"/>
      <c r="I276" s="1696"/>
      <c r="J276" s="1696"/>
      <c r="K276" s="1696"/>
      <c r="L276" s="1697"/>
      <c r="M276" s="1343"/>
      <c r="N276" s="1696"/>
      <c r="O276" s="1696"/>
      <c r="P276" s="1696"/>
      <c r="Q276" s="1697"/>
      <c r="R276" s="1343"/>
      <c r="S276" s="1696"/>
      <c r="T276" s="1696"/>
      <c r="U276" s="1696"/>
      <c r="V276" s="1697"/>
      <c r="W276" s="1343"/>
      <c r="X276" s="1696"/>
      <c r="Y276" s="1696"/>
      <c r="Z276" s="1696"/>
      <c r="AA276" s="1697"/>
      <c r="AB276" s="1343"/>
      <c r="AC276" s="1696"/>
      <c r="AD276" s="1696"/>
      <c r="AE276" s="1696"/>
      <c r="AF276" s="1697"/>
      <c r="AG276" s="1343"/>
      <c r="AH276" s="1696"/>
      <c r="AI276" s="1696"/>
      <c r="AJ276" s="1696"/>
      <c r="AK276" s="1697"/>
      <c r="AL276" s="1343"/>
      <c r="AM276" s="1696"/>
      <c r="AN276" s="1696"/>
      <c r="AO276" s="1696"/>
      <c r="AP276" s="1697"/>
      <c r="AQ276" s="1343"/>
      <c r="AR276" s="1696"/>
      <c r="AS276" s="1696"/>
      <c r="AT276" s="1696"/>
      <c r="AU276" s="1697"/>
      <c r="AV276" s="1343"/>
      <c r="AW276" s="1696"/>
      <c r="AX276" s="1696"/>
      <c r="AY276" s="1696"/>
      <c r="AZ276" s="1697"/>
      <c r="BA276" s="1343"/>
      <c r="BB276" s="1696"/>
      <c r="BC276" s="1696"/>
      <c r="BD276" s="1696"/>
      <c r="BE276" s="1697"/>
      <c r="BF276" s="1343"/>
      <c r="BG276" s="1696"/>
      <c r="BH276" s="1696"/>
      <c r="BI276" s="1696"/>
      <c r="BJ276" s="1697"/>
      <c r="BK276" s="1343"/>
      <c r="BL276" s="1696"/>
      <c r="BM276" s="1696"/>
      <c r="BN276" s="1696"/>
      <c r="BO276" s="1697"/>
      <c r="BP276" s="1343"/>
      <c r="BQ276" s="1696"/>
      <c r="BR276" s="1696"/>
      <c r="BS276" s="1696"/>
      <c r="BT276" s="1697"/>
      <c r="BU276" s="1343"/>
      <c r="BV276" s="1696"/>
      <c r="BW276" s="1696"/>
      <c r="BX276" s="1696"/>
      <c r="BY276" s="1697"/>
      <c r="BZ276" s="1343"/>
      <c r="CA276" s="1696"/>
      <c r="CB276" s="1696"/>
      <c r="CC276" s="1696"/>
      <c r="CD276" s="1697"/>
      <c r="CE276" s="1343"/>
      <c r="CF276" s="1696"/>
      <c r="CG276" s="1696"/>
      <c r="CH276" s="1696"/>
      <c r="CI276" s="1697"/>
      <c r="CJ276" s="1343"/>
      <c r="CK276" s="1696"/>
      <c r="CL276" s="1696"/>
      <c r="CM276" s="1696"/>
      <c r="CN276" s="1697"/>
      <c r="CO276" s="1698"/>
      <c r="CP276" s="1322"/>
      <c r="CQ276" s="1322"/>
      <c r="CR276" s="1322"/>
      <c r="CS276" s="1697"/>
      <c r="CT276" s="1698"/>
      <c r="CU276" s="1322"/>
      <c r="CV276" s="1322"/>
      <c r="CW276" s="1322"/>
      <c r="CX276" s="1697"/>
      <c r="CY276" s="1698"/>
      <c r="CZ276" s="1322">
        <f t="shared" ref="CZ276:EZ276" si="391">CZ273-CY273</f>
      </c>
      <c r="DA276" s="1322">
        <f t="shared" si="391"/>
      </c>
      <c r="DB276" s="1322">
        <f t="shared" si="391"/>
      </c>
      <c r="DC276" s="1697">
        <f>SUM(CY276:DB276)</f>
      </c>
      <c r="DD276" s="1322">
        <f t="shared" si="391"/>
      </c>
      <c r="DE276" s="1322">
        <f t="shared" si="391"/>
      </c>
      <c r="DF276" s="1322">
        <f t="shared" si="391"/>
      </c>
      <c r="DG276" s="1322">
        <f t="shared" si="391"/>
      </c>
      <c r="DH276" s="1697">
        <f>SUM(DD276:DG276)</f>
      </c>
      <c r="DI276" s="1322">
        <f t="shared" si="391"/>
      </c>
      <c r="DJ276" s="1322">
        <f t="shared" si="391"/>
      </c>
      <c r="DK276" s="1322">
        <f t="shared" si="391"/>
      </c>
      <c r="DL276" s="1322">
        <f t="shared" si="391"/>
      </c>
      <c r="DM276" s="1697">
        <f>SUM(DI276:DL276)</f>
      </c>
      <c r="DN276" s="1322">
        <f t="shared" si="391"/>
      </c>
      <c r="DO276" s="1322">
        <f t="shared" si="391"/>
      </c>
      <c r="DP276" s="1322">
        <f t="shared" si="391"/>
      </c>
      <c r="DQ276" s="1322">
        <f t="shared" si="391"/>
      </c>
      <c r="DR276" s="1697">
        <f>SUM(DN276:DQ276)</f>
      </c>
      <c r="DS276" s="1322">
        <f t="shared" si="391"/>
      </c>
      <c r="DT276" s="1322">
        <f t="shared" si="391"/>
      </c>
      <c r="DU276" s="1322">
        <f t="shared" si="391"/>
      </c>
      <c r="DV276" s="1322">
        <f t="shared" si="391"/>
      </c>
      <c r="DW276" s="1697">
        <f>SUM(DS276:DV276)</f>
      </c>
      <c r="DX276" s="1322">
        <f t="shared" si="391"/>
      </c>
      <c r="DY276" s="1322">
        <f t="shared" si="391"/>
      </c>
      <c r="DZ276" s="1322">
        <f t="shared" si="391"/>
      </c>
      <c r="EA276" s="1322">
        <f t="shared" si="391"/>
      </c>
      <c r="EB276" s="1697">
        <f>SUM(DX276:EA276)</f>
      </c>
      <c r="EC276" s="1322">
        <f t="shared" si="391"/>
      </c>
      <c r="ED276" s="1322">
        <f t="shared" si="391"/>
      </c>
      <c r="EE276" s="1322">
        <f t="shared" si="391"/>
      </c>
      <c r="EF276" s="1322">
        <f t="shared" si="391"/>
      </c>
      <c r="EG276" s="1697">
        <f>SUM(EC276:EF276)</f>
      </c>
      <c r="EH276" s="1322">
        <f t="shared" si="391"/>
      </c>
      <c r="EI276" s="1322">
        <f t="shared" si="391"/>
      </c>
      <c r="EJ276" s="1322">
        <f t="shared" si="391"/>
      </c>
      <c r="EK276" s="1322">
        <f t="shared" si="391"/>
      </c>
      <c r="EL276" s="1697">
        <f>SUM(EH276:EK276)</f>
      </c>
      <c r="EM276" s="1322">
        <f t="shared" si="391"/>
      </c>
      <c r="EN276" s="1322">
        <f t="shared" si="391"/>
      </c>
      <c r="EO276" s="1322">
        <f t="shared" si="391"/>
      </c>
      <c r="EP276" s="1322">
        <f t="shared" si="391"/>
      </c>
      <c r="EQ276" s="1697">
        <f>SUM(EM276:EP276)</f>
      </c>
      <c r="ER276" s="1322">
        <f t="shared" si="391"/>
      </c>
      <c r="ES276" s="1322">
        <f t="shared" si="391"/>
      </c>
      <c r="ET276" s="1322">
        <f t="shared" si="391"/>
      </c>
      <c r="EU276" s="1322">
        <f t="shared" si="391"/>
      </c>
      <c r="EV276" s="1697">
        <f>SUM(ER276:EU276)</f>
      </c>
      <c r="EW276" s="1322">
        <f t="shared" si="391"/>
      </c>
      <c r="EX276" s="1322">
        <f t="shared" si="391"/>
      </c>
      <c r="EY276" s="1322">
        <f t="shared" si="391"/>
      </c>
      <c r="EZ276" s="1322">
        <f t="shared" si="391"/>
      </c>
      <c r="FA276" s="1697">
        <f>SUM(EW276:EZ276)</f>
      </c>
      <c r="FB276" s="1699">
        <v>1</v>
      </c>
      <c r="FC276" s="1699">
        <f>FB276</f>
      </c>
      <c r="FD276" s="1699">
        <f>FC276</f>
      </c>
      <c r="FE276" s="1699">
        <v>2</v>
      </c>
      <c r="FF276" s="1697">
        <f>SUM(FB276:FE276)</f>
      </c>
      <c r="FG276" s="1699">
        <v>1.8</v>
      </c>
      <c r="FH276" s="1699">
        <f>FG276</f>
      </c>
      <c r="FI276" s="1699">
        <f>FH276</f>
      </c>
      <c r="FJ276" s="1699">
        <f>FI276</f>
      </c>
      <c r="FK276" s="1697">
        <f>SUM(FG276:FJ276)</f>
      </c>
      <c r="FL276" s="1699">
        <f>FG276-0.1</f>
      </c>
      <c r="FM276" s="1699">
        <f>FL276</f>
      </c>
      <c r="FN276" s="1699">
        <f>FM276</f>
      </c>
      <c r="FO276" s="1699">
        <f>FN276</f>
      </c>
      <c r="FP276" s="1697">
        <f>SUM(FL276:FO276)</f>
      </c>
      <c r="FQ276" s="1699">
        <v>1.5</v>
      </c>
      <c r="FR276" s="1699">
        <f>FQ276</f>
      </c>
      <c r="FS276" s="1699">
        <f>FR276</f>
      </c>
      <c r="FT276" s="1699">
        <f>FS276</f>
      </c>
      <c r="FU276" s="1697">
        <f>SUM(FQ276:FT276)</f>
      </c>
      <c r="FV276" s="1699">
        <f>FQ276-0.1</f>
      </c>
      <c r="FW276" s="1699">
        <f>FV276</f>
      </c>
      <c r="FX276" s="1699">
        <f>FW276</f>
      </c>
      <c r="FY276" s="1699">
        <f>FX276</f>
      </c>
      <c r="FZ276" s="1697">
        <f>SUM(FV276:FY276)</f>
      </c>
      <c r="GA276" s="1699">
        <f>FV276-0.1</f>
      </c>
      <c r="GB276" s="1699">
        <f>GA276</f>
      </c>
      <c r="GC276" s="1699">
        <f>GB276</f>
      </c>
      <c r="GD276" s="1699">
        <f>GC276</f>
      </c>
      <c r="GE276" s="1697">
        <f>SUM(GA276:GD276)</f>
      </c>
      <c r="GF276" s="1699">
        <f>GA276-0.1</f>
      </c>
      <c r="GG276" s="1699">
        <f>GF276</f>
      </c>
      <c r="GH276" s="1699">
        <f>GG276</f>
      </c>
      <c r="GI276" s="1699">
        <f>GH276</f>
      </c>
      <c r="GJ276" s="1700">
        <f>SUM(GF276:GI276)</f>
      </c>
    </row>
    <row r="277" spans="1:192" s="367" customFormat="1" ht="12.75" customHeight="1" collapsed="1">
      <c r="A277" s="784"/>
      <c r="B277" s="737"/>
      <c r="C277" s="291"/>
      <c r="D277" s="107"/>
      <c r="E277" s="107"/>
      <c r="F277" s="107"/>
      <c r="G277" s="292"/>
      <c r="H277" s="291"/>
      <c r="I277" s="107"/>
      <c r="J277" s="107"/>
      <c r="K277" s="107"/>
      <c r="L277" s="292"/>
      <c r="M277" s="291"/>
      <c r="N277" s="107"/>
      <c r="O277" s="107"/>
      <c r="P277" s="107"/>
      <c r="Q277" s="292"/>
      <c r="R277" s="291"/>
      <c r="S277" s="107"/>
      <c r="T277" s="107"/>
      <c r="U277" s="107"/>
      <c r="V277" s="292"/>
      <c r="W277" s="291"/>
      <c r="X277" s="107"/>
      <c r="Y277" s="107"/>
      <c r="Z277" s="107"/>
      <c r="AA277" s="292"/>
      <c r="AB277" s="291"/>
      <c r="AC277" s="107"/>
      <c r="AD277" s="107"/>
      <c r="AE277" s="107"/>
      <c r="AF277" s="292"/>
      <c r="AG277" s="291"/>
      <c r="AH277" s="107"/>
      <c r="AI277" s="107"/>
      <c r="AJ277" s="107"/>
      <c r="AK277" s="292"/>
      <c r="AL277" s="291"/>
      <c r="AM277" s="107"/>
      <c r="AN277" s="107"/>
      <c r="AO277" s="107"/>
      <c r="AP277" s="292"/>
      <c r="AQ277" s="291"/>
      <c r="AR277" s="107"/>
      <c r="AS277" s="107"/>
      <c r="AT277" s="107"/>
      <c r="AU277" s="292"/>
      <c r="AV277" s="291"/>
      <c r="AW277" s="107"/>
      <c r="AX277" s="107"/>
      <c r="AY277" s="107"/>
      <c r="AZ277" s="292"/>
      <c r="BA277" s="291"/>
      <c r="BB277" s="107"/>
      <c r="BC277" s="107"/>
      <c r="BD277" s="107"/>
      <c r="BE277" s="292"/>
      <c r="BF277" s="291"/>
      <c r="BG277" s="107"/>
      <c r="BH277" s="107"/>
      <c r="BI277" s="107"/>
      <c r="BJ277" s="292"/>
      <c r="BK277" s="291"/>
      <c r="BL277" s="107"/>
      <c r="BM277" s="107"/>
      <c r="BN277" s="107"/>
      <c r="BO277" s="292"/>
      <c r="BP277" s="291"/>
      <c r="BQ277" s="107"/>
      <c r="BR277" s="107"/>
      <c r="BS277" s="107"/>
      <c r="BT277" s="292"/>
      <c r="BU277" s="291"/>
      <c r="BV277" s="107"/>
      <c r="BW277" s="107"/>
      <c r="BX277" s="107"/>
      <c r="BY277" s="292"/>
      <c r="BZ277" s="291"/>
      <c r="CA277" s="107"/>
      <c r="CB277" s="107"/>
      <c r="CC277" s="107"/>
      <c r="CD277" s="292"/>
      <c r="CE277" s="291"/>
      <c r="CF277" s="107"/>
      <c r="CG277" s="107"/>
      <c r="CH277" s="107"/>
      <c r="CI277" s="292"/>
      <c r="CJ277" s="291"/>
      <c r="CK277" s="107"/>
      <c r="CL277" s="107"/>
      <c r="CM277" s="107"/>
      <c r="CN277" s="292"/>
      <c r="CO277" s="291"/>
      <c r="CP277" s="107"/>
      <c r="CQ277" s="107"/>
      <c r="CR277" s="107"/>
      <c r="CS277" s="292"/>
      <c r="CT277" s="291"/>
      <c r="CU277" s="468"/>
      <c r="CV277" s="468"/>
      <c r="CW277" s="468"/>
      <c r="CX277" s="292"/>
      <c r="CY277" s="291"/>
      <c r="CZ277" s="468"/>
      <c r="DA277" s="468"/>
      <c r="DB277" s="468"/>
      <c r="DC277" s="292"/>
      <c r="DD277" s="291"/>
      <c r="DE277" s="468"/>
      <c r="DF277" s="468"/>
      <c r="DG277" s="468"/>
      <c r="DH277" s="292"/>
      <c r="DI277" s="349"/>
      <c r="DJ277" s="468"/>
      <c r="DK277" s="468"/>
      <c r="DL277" s="468"/>
      <c r="DM277" s="292"/>
      <c r="DN277" s="291"/>
      <c r="DO277" s="468"/>
      <c r="DP277" s="468"/>
      <c r="DQ277" s="468"/>
      <c r="DR277" s="292"/>
      <c r="DS277" s="291"/>
      <c r="DT277" s="468"/>
      <c r="DU277" s="468"/>
      <c r="DV277" s="468"/>
      <c r="DW277" s="292"/>
      <c r="DX277" s="291"/>
      <c r="DY277" s="468"/>
      <c r="DZ277" s="468"/>
      <c r="EA277" s="468"/>
      <c r="EB277" s="292"/>
      <c r="EC277" s="291"/>
      <c r="ED277" s="468"/>
      <c r="EE277" s="468"/>
      <c r="EF277" s="468"/>
      <c r="EG277" s="292"/>
      <c r="EH277" s="291"/>
      <c r="EI277" s="468"/>
      <c r="EJ277" s="468"/>
      <c r="EK277" s="468"/>
      <c r="EL277" s="292"/>
      <c r="EM277" s="841"/>
      <c r="EN277" s="841"/>
      <c r="EO277" s="841"/>
      <c r="EP277" s="841"/>
      <c r="EQ277" s="292"/>
      <c r="ER277" s="291"/>
      <c r="ES277" s="468"/>
      <c r="ET277" s="468"/>
      <c r="EU277" s="107"/>
      <c r="EV277" s="292"/>
      <c r="EW277" s="291"/>
      <c r="EX277" s="468"/>
      <c r="EY277" s="468"/>
      <c r="EZ277" s="107"/>
      <c r="FA277" s="292"/>
      <c r="FB277" s="291"/>
      <c r="FC277" s="107"/>
      <c r="FD277" s="107"/>
      <c r="FE277" s="107"/>
      <c r="FF277" s="292"/>
      <c r="FG277" s="291"/>
      <c r="FH277" s="107"/>
      <c r="FI277" s="107"/>
      <c r="FJ277" s="107"/>
      <c r="FK277" s="292"/>
      <c r="FL277" s="291"/>
      <c r="FM277" s="107"/>
      <c r="FN277" s="107"/>
      <c r="FO277" s="107"/>
      <c r="FP277" s="292"/>
      <c r="FQ277" s="291"/>
      <c r="FR277" s="107"/>
      <c r="FS277" s="107"/>
      <c r="FT277" s="107"/>
      <c r="FU277" s="292"/>
      <c r="FV277" s="291"/>
      <c r="FW277" s="107"/>
      <c r="FX277" s="107"/>
      <c r="FY277" s="107"/>
      <c r="FZ277" s="292"/>
      <c r="GA277" s="291"/>
      <c r="GB277" s="107"/>
      <c r="GC277" s="107"/>
      <c r="GD277" s="107"/>
      <c r="GE277" s="292"/>
      <c r="GF277" s="291"/>
      <c r="GG277" s="107"/>
      <c r="GH277" s="107"/>
      <c r="GI277" s="107"/>
      <c r="GJ277" s="384"/>
    </row>
    <row r="278" spans="1:192" s="844" customFormat="1" ht="12.75" customHeight="1">
      <c r="A278" s="836"/>
      <c r="B278" s="1297" t="s">
        <v>2073</v>
      </c>
      <c r="C278" s="837"/>
      <c r="D278" s="838"/>
      <c r="E278" s="838"/>
      <c r="F278" s="838"/>
      <c r="G278" s="839"/>
      <c r="H278" s="837"/>
      <c r="I278" s="838"/>
      <c r="J278" s="838"/>
      <c r="K278" s="838"/>
      <c r="L278" s="839"/>
      <c r="M278" s="837"/>
      <c r="N278" s="838"/>
      <c r="O278" s="838"/>
      <c r="P278" s="838"/>
      <c r="Q278" s="839"/>
      <c r="R278" s="837"/>
      <c r="S278" s="838"/>
      <c r="T278" s="838"/>
      <c r="U278" s="838"/>
      <c r="V278" s="839"/>
      <c r="W278" s="837"/>
      <c r="X278" s="838"/>
      <c r="Y278" s="838"/>
      <c r="Z278" s="838"/>
      <c r="AA278" s="839"/>
      <c r="AB278" s="837"/>
      <c r="AC278" s="838"/>
      <c r="AD278" s="838"/>
      <c r="AE278" s="838"/>
      <c r="AF278" s="839"/>
      <c r="AG278" s="837"/>
      <c r="AH278" s="838"/>
      <c r="AI278" s="838"/>
      <c r="AJ278" s="838"/>
      <c r="AK278" s="839"/>
      <c r="AL278" s="837"/>
      <c r="AM278" s="838"/>
      <c r="AN278" s="838"/>
      <c r="AO278" s="838"/>
      <c r="AP278" s="839"/>
      <c r="AQ278" s="837"/>
      <c r="AR278" s="838"/>
      <c r="AS278" s="838"/>
      <c r="AT278" s="838"/>
      <c r="AU278" s="839"/>
      <c r="AV278" s="837"/>
      <c r="AW278" s="838"/>
      <c r="AX278" s="838"/>
      <c r="AY278" s="838"/>
      <c r="AZ278" s="839"/>
      <c r="BA278" s="837"/>
      <c r="BB278" s="838"/>
      <c r="BC278" s="838"/>
      <c r="BD278" s="838"/>
      <c r="BE278" s="839"/>
      <c r="BF278" s="837"/>
      <c r="BG278" s="838"/>
      <c r="BH278" s="838"/>
      <c r="BI278" s="838"/>
      <c r="BJ278" s="839"/>
      <c r="BK278" s="837"/>
      <c r="BL278" s="838"/>
      <c r="BM278" s="838"/>
      <c r="BN278" s="838"/>
      <c r="BO278" s="839"/>
      <c r="BP278" s="837"/>
      <c r="BQ278" s="838"/>
      <c r="BR278" s="838"/>
      <c r="BS278" s="838"/>
      <c r="BT278" s="839"/>
      <c r="BU278" s="837"/>
      <c r="BV278" s="838"/>
      <c r="BW278" s="838"/>
      <c r="BX278" s="838"/>
      <c r="BY278" s="839"/>
      <c r="BZ278" s="837"/>
      <c r="CA278" s="838"/>
      <c r="CB278" s="838"/>
      <c r="CC278" s="838"/>
      <c r="CD278" s="840"/>
      <c r="CE278" s="837"/>
      <c r="CF278" s="838"/>
      <c r="CG278" s="838"/>
      <c r="CH278" s="838"/>
      <c r="CI278" s="840"/>
      <c r="CJ278" s="837"/>
      <c r="CK278" s="838"/>
      <c r="CL278" s="838"/>
      <c r="CM278" s="838"/>
      <c r="CN278" s="840"/>
      <c r="CO278" s="837"/>
      <c r="CP278" s="838"/>
      <c r="CQ278" s="838"/>
      <c r="CR278" s="838"/>
      <c r="CS278" s="840"/>
      <c r="CT278" s="837"/>
      <c r="CU278" s="838"/>
      <c r="CV278" s="838"/>
      <c r="CW278" s="838"/>
      <c r="CX278" s="840"/>
      <c r="CY278" s="841">
        <f>((CY282*CY283)+(CY289*CY290)+(CY296*CY297))*4</f>
      </c>
      <c r="CZ278" s="841">
        <f>((CZ282*CZ283)+(CZ289*CZ290)+(CZ296*CZ297))*4</f>
      </c>
      <c r="DA278" s="841">
        <f>((DA282*DA283)+(DA289*DA290)+(DA296*DA297))*4</f>
      </c>
      <c r="DB278" s="841">
        <f>((DB282*DB283)+(DB289*DB290)+(DB296*DB297))*4</f>
      </c>
      <c r="DC278" s="840">
        <f>DB278</f>
      </c>
      <c r="DD278" s="841">
        <f>((DD282*DD283)+(DD289*DD290)+(DD296*DD297))*4</f>
      </c>
      <c r="DE278" s="841">
        <f>((DE282*DE283)+(DE289*DE290)+(DE296*DE297))*4</f>
      </c>
      <c r="DF278" s="841">
        <f>((DF282*DF283)+(DF289*DF290)+(DF296*DF297))*4</f>
      </c>
      <c r="DG278" s="841">
        <f>((DG282*DG283)+(DG289*DG290)+(DG296*DG297))*4</f>
      </c>
      <c r="DH278" s="840">
        <f>DG278</f>
      </c>
      <c r="DI278" s="841">
        <f>((DI282*DI283)+(DI289*DI290)+(DI296*DI297))*4</f>
      </c>
      <c r="DJ278" s="841">
        <f>((DJ282*DJ283)+(DJ289*DJ290)+(DJ296*DJ297))*4</f>
      </c>
      <c r="DK278" s="841">
        <f>((DK282*DK283)+(DK289*DK290)+(DK296*DK297))*4</f>
      </c>
      <c r="DL278" s="841">
        <f>((DL282*DL283)+(DL289*DL290)+(DL296*DL297))*4</f>
      </c>
      <c r="DM278" s="840">
        <f>DL278</f>
      </c>
      <c r="DN278" s="841">
        <f>((DN282*DN283)+(DN289*DN290)+(DN296*DN297))*4</f>
      </c>
      <c r="DO278" s="841">
        <f>((DO282*DO283)+(DO289*DO290)+(DO296*DO297))*4</f>
      </c>
      <c r="DP278" s="841">
        <f>((DP282*DP283)+(DP289*DP290)+(DP296*DP297))*4</f>
      </c>
      <c r="DQ278" s="841">
        <f>((DQ282*DQ283)+(DQ289*DQ290)+(DQ296*DQ297))*4</f>
      </c>
      <c r="DR278" s="840">
        <f>DQ278</f>
      </c>
      <c r="DS278" s="841">
        <f>((DS282*DS283)+(DS289*DS290)+(DS296*DS297))*4</f>
      </c>
      <c r="DT278" s="841">
        <f>((DT282*DT283)+(DT289*DT290)+(DT296*DT297))*4</f>
      </c>
      <c r="DU278" s="841">
        <f>((DU282*DU283)+(DU289*DU290)+(DU296*DU297))*4</f>
      </c>
      <c r="DV278" s="841">
        <f>((DV282*DV283)+(DV289*DV290)+(DV296*DV297))*4</f>
      </c>
      <c r="DW278" s="840">
        <f>DV278</f>
      </c>
      <c r="DX278" s="841">
        <f>((DX282*DX283)+(DX289*DX290)+(DX296*DX297))*4</f>
      </c>
      <c r="DY278" s="841">
        <f>((DY282*DY283)+(DY289*DY290)+(DY296*DY297))*4</f>
      </c>
      <c r="DZ278" s="841">
        <f>((DZ282*DZ283)+(DZ289*DZ290)+(DZ296*DZ297))*4</f>
      </c>
      <c r="EA278" s="841">
        <f>((EA282*EA283)+(EA289*EA290)+(EA296*EA297))*4</f>
      </c>
      <c r="EB278" s="840">
        <f>EA278</f>
      </c>
      <c r="EC278" s="841">
        <f>((EC282*EC283)+(EC289*EC290)+(EC296*EC297))*4</f>
      </c>
      <c r="ED278" s="841">
        <f>((ED282*ED283)+(ED289*ED290)+(ED296*ED297))*4</f>
      </c>
      <c r="EE278" s="841">
        <f>((EE282*EE283)+(EE289*EE290)+(EE296*EE297))*4</f>
      </c>
      <c r="EF278" s="841">
        <f>((EF282*EF283)+(EF289*EF290)+(EF296*EF297))*4</f>
      </c>
      <c r="EG278" s="840">
        <f>EF278</f>
      </c>
      <c r="EH278" s="841">
        <f>((EH282*EH283)+(EH289*EH290)+(EH296*EH297))*4</f>
      </c>
      <c r="EI278" s="841">
        <f>((EI282*EI283)+(EI289*EI290)+(EI296*EI297))*4</f>
      </c>
      <c r="EJ278" s="841">
        <f>((EJ282*EJ283)+(EJ289*EJ290)+(EJ296*EJ297))*4</f>
      </c>
      <c r="EK278" s="841">
        <f>((EK282*EK283)+(EK289*EK290)+(EK296*EK297))*4</f>
      </c>
      <c r="EL278" s="840">
        <f>EK278</f>
      </c>
      <c r="EM278" s="841">
        <f>EM264/EM273*4</f>
      </c>
      <c r="EN278" s="841">
        <f>EN264/EN273*4</f>
      </c>
      <c r="EO278" s="841">
        <f>EO264/EO273*4</f>
      </c>
      <c r="EP278" s="841">
        <f>EP264/EP273*4</f>
      </c>
      <c r="EQ278" s="840">
        <f>EQ264/EQ273</f>
      </c>
      <c r="ER278" s="841">
        <f>ER264/ER273*4</f>
      </c>
      <c r="ES278" s="841">
        <f>ES264/ES273*4</f>
      </c>
      <c r="ET278" s="841">
        <f>ET264/ET273*4</f>
      </c>
      <c r="EU278" s="841">
        <f>EU264/EU273*4</f>
      </c>
      <c r="EV278" s="840">
        <f>EV264/EV273</f>
      </c>
      <c r="EW278" s="841">
        <f>EW264/EW273*4</f>
      </c>
      <c r="EX278" s="841">
        <f>EX264/EX273*4</f>
      </c>
      <c r="EY278" s="841">
        <f>EY264/EY273*4</f>
      </c>
      <c r="EZ278" s="841">
        <f>EZ264/EZ273*4</f>
      </c>
      <c r="FA278" s="840">
        <f>FA264/FA273</f>
      </c>
      <c r="FB278" s="831">
        <f t="shared" ref="FB278" si="392">EW278*(1+FB279)</f>
      </c>
      <c r="FC278" s="831">
        <f t="shared" ref="FC278" si="393">EX278*(1+FC279)</f>
      </c>
      <c r="FD278" s="831">
        <f t="shared" ref="FD278" si="394">EY278*(1+FD279)</f>
      </c>
      <c r="FE278" s="831">
        <f t="shared" ref="FE278" si="395">EZ278*(1+FE279)</f>
      </c>
      <c r="FF278" s="840">
        <f>FF264/FF273</f>
      </c>
      <c r="FG278" s="831">
        <f t="shared" ref="FG278" si="396">FB278*(1+FG279)</f>
      </c>
      <c r="FH278" s="831">
        <f t="shared" ref="FH278" si="397">FC278*(1+FH279)</f>
      </c>
      <c r="FI278" s="831">
        <f t="shared" ref="FI278" si="398">FD278*(1+FI279)</f>
      </c>
      <c r="FJ278" s="831">
        <f t="shared" ref="FJ278" si="399">FE278*(1+FJ279)</f>
      </c>
      <c r="FK278" s="840">
        <f>FK264/FK273</f>
      </c>
      <c r="FL278" s="831">
        <f t="shared" ref="FL278" si="400">FG278*(1+FL279)</f>
      </c>
      <c r="FM278" s="831">
        <f t="shared" ref="FM278" si="401">FH278*(1+FM279)</f>
      </c>
      <c r="FN278" s="831">
        <f t="shared" ref="FN278" si="402">FI278*(1+FN279)</f>
      </c>
      <c r="FO278" s="831">
        <f t="shared" ref="FO278" si="403">FJ278*(1+FO279)</f>
      </c>
      <c r="FP278" s="840">
        <f>FP264/FP273</f>
      </c>
      <c r="FQ278" s="831">
        <f t="shared" ref="FQ278" si="404">FL278*(1+FQ279)</f>
      </c>
      <c r="FR278" s="831">
        <f t="shared" ref="FR278" si="405">FM278*(1+FR279)</f>
      </c>
      <c r="FS278" s="831">
        <f t="shared" ref="FS278" si="406">FN278*(1+FS279)</f>
      </c>
      <c r="FT278" s="831">
        <f t="shared" ref="FT278" si="407">FO278*(1+FT279)</f>
      </c>
      <c r="FU278" s="840">
        <f>FU264/FU273</f>
      </c>
      <c r="FV278" s="831">
        <f t="shared" ref="FV278" si="408">FQ278*(1+FV279)</f>
      </c>
      <c r="FW278" s="831">
        <f t="shared" ref="FW278" si="409">FR278*(1+FW279)</f>
      </c>
      <c r="FX278" s="831">
        <f t="shared" ref="FX278" si="410">FS278*(1+FX279)</f>
      </c>
      <c r="FY278" s="831">
        <f t="shared" ref="FY278" si="411">FT278*(1+FY279)</f>
      </c>
      <c r="FZ278" s="840">
        <f>FZ264/FZ273</f>
      </c>
      <c r="GA278" s="833">
        <f t="shared" ref="GA278" si="412">FV278*(1+GA279)</f>
      </c>
      <c r="GB278" s="831">
        <f t="shared" ref="GB278" si="413">FW278*(1+GB279)</f>
      </c>
      <c r="GC278" s="831">
        <f t="shared" ref="GC278" si="414">FX278*(1+GC279)</f>
      </c>
      <c r="GD278" s="831">
        <f t="shared" ref="GD278" si="415">FY278*(1+GD279)</f>
      </c>
      <c r="GE278" s="840">
        <f>GE264/GE273</f>
      </c>
      <c r="GF278" s="833">
        <f t="shared" ref="GF278" si="416">GA278*(1+GF279)</f>
      </c>
      <c r="GG278" s="831">
        <f t="shared" ref="GG278" si="417">GB278*(1+GG279)</f>
      </c>
      <c r="GH278" s="831">
        <f t="shared" ref="GH278" si="418">GC278*(1+GH279)</f>
      </c>
      <c r="GI278" s="831">
        <f t="shared" ref="GI278" si="419">GD278*(1+GI279)</f>
      </c>
      <c r="GJ278" s="834">
        <f>GJ264/GJ273</f>
      </c>
    </row>
    <row r="279" spans="1:192" s="476" customFormat="1" ht="12.75" customHeight="1">
      <c r="A279" s="784"/>
      <c r="B279" s="1755" t="s">
        <v>34</v>
      </c>
      <c r="C279" s="412"/>
      <c r="D279" s="114"/>
      <c r="E279" s="114"/>
      <c r="F279" s="114"/>
      <c r="G279" s="413"/>
      <c r="H279" s="412"/>
      <c r="I279" s="114"/>
      <c r="J279" s="114"/>
      <c r="K279" s="114"/>
      <c r="L279" s="413"/>
      <c r="M279" s="412"/>
      <c r="N279" s="114"/>
      <c r="O279" s="114"/>
      <c r="P279" s="114"/>
      <c r="Q279" s="413"/>
      <c r="R279" s="412"/>
      <c r="S279" s="114"/>
      <c r="T279" s="114"/>
      <c r="U279" s="114"/>
      <c r="V279" s="413"/>
      <c r="W279" s="412"/>
      <c r="X279" s="114"/>
      <c r="Y279" s="114"/>
      <c r="Z279" s="114"/>
      <c r="AA279" s="413"/>
      <c r="AB279" s="412"/>
      <c r="AC279" s="114"/>
      <c r="AD279" s="114"/>
      <c r="AE279" s="114"/>
      <c r="AF279" s="413"/>
      <c r="AG279" s="412"/>
      <c r="AH279" s="114"/>
      <c r="AI279" s="114"/>
      <c r="AJ279" s="114"/>
      <c r="AK279" s="413"/>
      <c r="AL279" s="412"/>
      <c r="AM279" s="114"/>
      <c r="AN279" s="114"/>
      <c r="AO279" s="114"/>
      <c r="AP279" s="413"/>
      <c r="AQ279" s="412"/>
      <c r="AR279" s="114"/>
      <c r="AS279" s="114"/>
      <c r="AT279" s="114"/>
      <c r="AU279" s="413"/>
      <c r="AV279" s="412"/>
      <c r="AW279" s="114"/>
      <c r="AX279" s="114"/>
      <c r="AY279" s="114"/>
      <c r="AZ279" s="413"/>
      <c r="BA279" s="412"/>
      <c r="BB279" s="114"/>
      <c r="BC279" s="114"/>
      <c r="BD279" s="114"/>
      <c r="BE279" s="413"/>
      <c r="BF279" s="412"/>
      <c r="BG279" s="114"/>
      <c r="BH279" s="114"/>
      <c r="BI279" s="114"/>
      <c r="BJ279" s="413"/>
      <c r="BK279" s="412"/>
      <c r="BL279" s="114"/>
      <c r="BM279" s="114"/>
      <c r="BN279" s="114"/>
      <c r="BO279" s="413"/>
      <c r="BP279" s="412"/>
      <c r="BQ279" s="114"/>
      <c r="BR279" s="114"/>
      <c r="BS279" s="114"/>
      <c r="BT279" s="413"/>
      <c r="BU279" s="412"/>
      <c r="BV279" s="114"/>
      <c r="BW279" s="114"/>
      <c r="BX279" s="114"/>
      <c r="BY279" s="413"/>
      <c r="BZ279" s="412"/>
      <c r="CA279" s="114"/>
      <c r="CB279" s="114"/>
      <c r="CC279" s="114"/>
      <c r="CD279" s="292"/>
      <c r="CE279" s="412"/>
      <c r="CF279" s="114"/>
      <c r="CG279" s="114"/>
      <c r="CH279" s="114"/>
      <c r="CI279" s="292"/>
      <c r="CJ279" s="412"/>
      <c r="CK279" s="114"/>
      <c r="CL279" s="114"/>
      <c r="CM279" s="114"/>
      <c r="CN279" s="292"/>
      <c r="CO279" s="412"/>
      <c r="CP279" s="114"/>
      <c r="CQ279" s="114"/>
      <c r="CR279" s="114"/>
      <c r="CS279" s="292"/>
      <c r="CT279" s="412"/>
      <c r="CU279" s="114"/>
      <c r="CV279" s="114"/>
      <c r="CW279" s="114"/>
      <c r="CX279" s="292"/>
      <c r="CY279" s="107"/>
      <c r="CZ279" s="107"/>
      <c r="DA279" s="107"/>
      <c r="DB279" s="107"/>
      <c r="DC279" s="292"/>
      <c r="DD279" s="107"/>
      <c r="DE279" s="107"/>
      <c r="DF279" s="107"/>
      <c r="DG279" s="107"/>
      <c r="DH279" s="292"/>
      <c r="DI279" s="107"/>
      <c r="DJ279" s="107"/>
      <c r="DK279" s="107"/>
      <c r="DL279" s="107"/>
      <c r="DM279" s="292"/>
      <c r="DN279" s="107"/>
      <c r="DO279" s="107"/>
      <c r="DP279" s="107"/>
      <c r="DQ279" s="107"/>
      <c r="DR279" s="292"/>
      <c r="DS279" s="107"/>
      <c r="DT279" s="107"/>
      <c r="DU279" s="107"/>
      <c r="DV279" s="107"/>
      <c r="DW279" s="292"/>
      <c r="DX279" s="107"/>
      <c r="DY279" s="107"/>
      <c r="DZ279" s="107"/>
      <c r="EA279" s="107"/>
      <c r="EB279" s="292"/>
      <c r="EC279" s="107"/>
      <c r="ED279" s="107"/>
      <c r="EE279" s="107"/>
      <c r="EF279" s="107"/>
      <c r="EG279" s="292"/>
      <c r="EH279" s="107"/>
      <c r="EI279" s="107"/>
      <c r="EJ279" s="107"/>
      <c r="EK279" s="107"/>
      <c r="EL279" s="292"/>
      <c r="EM279" s="107">
        <f t="shared" ref="EM279:FA279" si="420">EM278/EH278-1</f>
      </c>
      <c r="EN279" s="107">
        <f t="shared" si="420"/>
      </c>
      <c r="EO279" s="107">
        <f t="shared" si="420"/>
      </c>
      <c r="EP279" s="107">
        <f t="shared" si="420"/>
      </c>
      <c r="EQ279" s="292">
        <f t="shared" si="420"/>
      </c>
      <c r="ER279" s="107">
        <f t="shared" si="420"/>
      </c>
      <c r="ES279" s="107">
        <f t="shared" si="420"/>
      </c>
      <c r="ET279" s="107">
        <f t="shared" si="420"/>
      </c>
      <c r="EU279" s="107">
        <f t="shared" si="420"/>
      </c>
      <c r="EV279" s="292">
        <f t="shared" si="420"/>
      </c>
      <c r="EW279" s="107">
        <f t="shared" si="420"/>
      </c>
      <c r="EX279" s="107">
        <f t="shared" si="420"/>
      </c>
      <c r="EY279" s="107">
        <f t="shared" si="420"/>
      </c>
      <c r="EZ279" s="107">
        <f t="shared" si="420"/>
      </c>
      <c r="FA279" s="292">
        <f t="shared" si="420"/>
      </c>
      <c r="FB279" s="1464">
        <v>0.16500000000000001</v>
      </c>
      <c r="FC279" s="1464">
        <v>0.25</v>
      </c>
      <c r="FD279" s="1464">
        <v>0.3</v>
      </c>
      <c r="FE279" s="1464">
        <v>0.17</v>
      </c>
      <c r="FF279" s="524">
        <f t="shared" ref="FF279" si="421">FF278/FA278-1</f>
      </c>
      <c r="FG279" s="1464">
        <v>0.1</v>
      </c>
      <c r="FH279" s="1464">
        <v>0.02</v>
      </c>
      <c r="FI279" s="1464">
        <v>0</v>
      </c>
      <c r="FJ279" s="1464">
        <f>FI279</f>
      </c>
      <c r="FK279" s="524">
        <f t="shared" ref="FK279" si="422">FK278/FF278-1</f>
      </c>
      <c r="FL279" s="1464">
        <v>-0.02</v>
      </c>
      <c r="FM279" s="1464">
        <f>FL279</f>
      </c>
      <c r="FN279" s="1464">
        <f>FM279</f>
      </c>
      <c r="FO279" s="1464">
        <f>FN279</f>
      </c>
      <c r="FP279" s="524">
        <f t="shared" ref="FP279" si="423">FP278/FK278-1</f>
      </c>
      <c r="FQ279" s="1464">
        <v>-0.02</v>
      </c>
      <c r="FR279" s="1464">
        <f>FQ279</f>
      </c>
      <c r="FS279" s="1464">
        <f>FR279</f>
      </c>
      <c r="FT279" s="1464">
        <f>FS279</f>
      </c>
      <c r="FU279" s="524">
        <f t="shared" ref="FU279" si="424">FU278/FP278-1</f>
      </c>
      <c r="FV279" s="1464">
        <v>-0.02</v>
      </c>
      <c r="FW279" s="1464">
        <f>FV279</f>
      </c>
      <c r="FX279" s="1464">
        <f>FW279</f>
      </c>
      <c r="FY279" s="1464">
        <f>FX279</f>
      </c>
      <c r="FZ279" s="524">
        <f t="shared" ref="FZ279" si="425">FZ278/FU278-1</f>
      </c>
      <c r="GA279" s="1464">
        <v>-0.02</v>
      </c>
      <c r="GB279" s="1464">
        <f>GA279</f>
      </c>
      <c r="GC279" s="1464">
        <f>GB279</f>
      </c>
      <c r="GD279" s="1464">
        <f>GC279</f>
      </c>
      <c r="GE279" s="524">
        <f>GE278/FZ278-1</f>
      </c>
      <c r="GF279" s="1464">
        <v>-0.02</v>
      </c>
      <c r="GG279" s="1464">
        <f>GF279</f>
      </c>
      <c r="GH279" s="1464">
        <f>GG279</f>
      </c>
      <c r="GI279" s="1464">
        <f>GH279</f>
      </c>
      <c r="GJ279" s="382">
        <f>GJ278/GE278-1</f>
      </c>
    </row>
    <row r="280" spans="1:192" s="844" customFormat="1" ht="12.75" customHeight="1">
      <c r="A280" s="836"/>
      <c r="B280" s="1246"/>
      <c r="C280" s="837"/>
      <c r="D280" s="838"/>
      <c r="E280" s="838"/>
      <c r="F280" s="838"/>
      <c r="G280" s="839"/>
      <c r="H280" s="837"/>
      <c r="I280" s="838"/>
      <c r="J280" s="838"/>
      <c r="K280" s="838"/>
      <c r="L280" s="839"/>
      <c r="M280" s="837"/>
      <c r="N280" s="838"/>
      <c r="O280" s="838"/>
      <c r="P280" s="838"/>
      <c r="Q280" s="839"/>
      <c r="R280" s="837"/>
      <c r="S280" s="838"/>
      <c r="T280" s="838"/>
      <c r="U280" s="838"/>
      <c r="V280" s="839"/>
      <c r="W280" s="837"/>
      <c r="X280" s="838"/>
      <c r="Y280" s="838"/>
      <c r="Z280" s="838"/>
      <c r="AA280" s="839"/>
      <c r="AB280" s="837"/>
      <c r="AC280" s="838"/>
      <c r="AD280" s="838"/>
      <c r="AE280" s="838"/>
      <c r="AF280" s="839"/>
      <c r="AG280" s="837"/>
      <c r="AH280" s="838"/>
      <c r="AI280" s="838"/>
      <c r="AJ280" s="838"/>
      <c r="AK280" s="839"/>
      <c r="AL280" s="837"/>
      <c r="AM280" s="838"/>
      <c r="AN280" s="838"/>
      <c r="AO280" s="838"/>
      <c r="AP280" s="839"/>
      <c r="AQ280" s="837"/>
      <c r="AR280" s="838"/>
      <c r="AS280" s="838"/>
      <c r="AT280" s="838"/>
      <c r="AU280" s="839"/>
      <c r="AV280" s="837"/>
      <c r="AW280" s="838"/>
      <c r="AX280" s="838"/>
      <c r="AY280" s="838"/>
      <c r="AZ280" s="839"/>
      <c r="BA280" s="837"/>
      <c r="BB280" s="838"/>
      <c r="BC280" s="838"/>
      <c r="BD280" s="838"/>
      <c r="BE280" s="839"/>
      <c r="BF280" s="837"/>
      <c r="BG280" s="838"/>
      <c r="BH280" s="838"/>
      <c r="BI280" s="838"/>
      <c r="BJ280" s="839"/>
      <c r="BK280" s="837"/>
      <c r="BL280" s="838"/>
      <c r="BM280" s="838"/>
      <c r="BN280" s="838"/>
      <c r="BO280" s="839"/>
      <c r="BP280" s="837"/>
      <c r="BQ280" s="838"/>
      <c r="BR280" s="838"/>
      <c r="BS280" s="838"/>
      <c r="BT280" s="839"/>
      <c r="BU280" s="837"/>
      <c r="BV280" s="838"/>
      <c r="BW280" s="838"/>
      <c r="BX280" s="838"/>
      <c r="BY280" s="839"/>
      <c r="BZ280" s="837"/>
      <c r="CA280" s="838"/>
      <c r="CB280" s="838"/>
      <c r="CC280" s="838"/>
      <c r="CD280" s="840"/>
      <c r="CE280" s="837"/>
      <c r="CF280" s="838"/>
      <c r="CG280" s="838"/>
      <c r="CH280" s="838"/>
      <c r="CI280" s="840"/>
      <c r="CJ280" s="837"/>
      <c r="CK280" s="838"/>
      <c r="CL280" s="838"/>
      <c r="CM280" s="838"/>
      <c r="CN280" s="840"/>
      <c r="CO280" s="837"/>
      <c r="CP280" s="838"/>
      <c r="CQ280" s="838"/>
      <c r="CR280" s="838"/>
      <c r="CS280" s="840"/>
      <c r="CT280" s="837"/>
      <c r="CU280" s="838"/>
      <c r="CV280" s="838"/>
      <c r="CW280" s="838"/>
      <c r="CX280" s="840"/>
      <c r="CY280" s="841"/>
      <c r="CZ280" s="841"/>
      <c r="DA280" s="841"/>
      <c r="DB280" s="841"/>
      <c r="DC280" s="840"/>
      <c r="DD280" s="841"/>
      <c r="DE280" s="841"/>
      <c r="DF280" s="841"/>
      <c r="DG280" s="841"/>
      <c r="DH280" s="840"/>
      <c r="DI280" s="841"/>
      <c r="DJ280" s="841"/>
      <c r="DK280" s="841"/>
      <c r="DL280" s="841"/>
      <c r="DM280" s="840"/>
      <c r="DN280" s="841"/>
      <c r="DO280" s="841"/>
      <c r="DP280" s="841"/>
      <c r="DQ280" s="841"/>
      <c r="DR280" s="840"/>
      <c r="DS280" s="841"/>
      <c r="DT280" s="841"/>
      <c r="DU280" s="841"/>
      <c r="DV280" s="841"/>
      <c r="DW280" s="840"/>
      <c r="DX280" s="841"/>
      <c r="DY280" s="841"/>
      <c r="DZ280" s="841"/>
      <c r="EA280" s="841"/>
      <c r="EB280" s="840"/>
      <c r="EC280" s="841"/>
      <c r="ED280" s="841"/>
      <c r="EE280" s="841"/>
      <c r="EF280" s="841"/>
      <c r="EG280" s="840"/>
      <c r="EH280" s="841"/>
      <c r="EI280" s="841"/>
      <c r="EJ280" s="841"/>
      <c r="EK280" s="841"/>
      <c r="EL280" s="840"/>
      <c r="EM280" s="841"/>
      <c r="EN280" s="841"/>
      <c r="EO280" s="841"/>
      <c r="EP280" s="841"/>
      <c r="EQ280" s="840"/>
      <c r="ER280" s="841"/>
      <c r="ES280" s="841"/>
      <c r="ET280" s="841"/>
      <c r="EU280" s="841"/>
      <c r="EV280" s="840"/>
      <c r="EW280" s="842"/>
      <c r="EX280" s="841"/>
      <c r="EY280" s="841"/>
      <c r="EZ280" s="841"/>
      <c r="FA280" s="840"/>
      <c r="FB280" s="842"/>
      <c r="FC280" s="841"/>
      <c r="FD280" s="841"/>
      <c r="FE280" s="841"/>
      <c r="FF280" s="840"/>
      <c r="FG280" s="842"/>
      <c r="FH280" s="841"/>
      <c r="FI280" s="841"/>
      <c r="FJ280" s="841"/>
      <c r="FK280" s="840"/>
      <c r="FL280" s="842"/>
      <c r="FM280" s="841"/>
      <c r="FN280" s="841"/>
      <c r="FO280" s="841"/>
      <c r="FP280" s="840"/>
      <c r="FQ280" s="842"/>
      <c r="FR280" s="841"/>
      <c r="FS280" s="841"/>
      <c r="FT280" s="841"/>
      <c r="FU280" s="840"/>
      <c r="FV280" s="842"/>
      <c r="FW280" s="841"/>
      <c r="FX280" s="841"/>
      <c r="FY280" s="841"/>
      <c r="FZ280" s="840"/>
      <c r="GA280" s="842"/>
      <c r="GB280" s="841"/>
      <c r="GC280" s="841"/>
      <c r="GD280" s="841"/>
      <c r="GE280" s="840"/>
      <c r="GF280" s="842"/>
      <c r="GG280" s="841"/>
      <c r="GH280" s="841"/>
      <c r="GI280" s="841"/>
      <c r="GJ280" s="843"/>
    </row>
    <row r="281" spans="1:192" s="844" customFormat="1" ht="12.75" customHeight="1">
      <c r="A281" s="836"/>
      <c r="B281" s="1531" t="s">
        <v>2075</v>
      </c>
      <c r="C281" s="837"/>
      <c r="D281" s="838"/>
      <c r="E281" s="838"/>
      <c r="F281" s="838"/>
      <c r="G281" s="839"/>
      <c r="H281" s="837"/>
      <c r="I281" s="838"/>
      <c r="J281" s="838"/>
      <c r="K281" s="838"/>
      <c r="L281" s="839"/>
      <c r="M281" s="837"/>
      <c r="N281" s="838"/>
      <c r="O281" s="838"/>
      <c r="P281" s="838"/>
      <c r="Q281" s="839"/>
      <c r="R281" s="837"/>
      <c r="S281" s="838"/>
      <c r="T281" s="838"/>
      <c r="U281" s="838"/>
      <c r="V281" s="839"/>
      <c r="W281" s="837"/>
      <c r="X281" s="838"/>
      <c r="Y281" s="838"/>
      <c r="Z281" s="838"/>
      <c r="AA281" s="839"/>
      <c r="AB281" s="837"/>
      <c r="AC281" s="838"/>
      <c r="AD281" s="838"/>
      <c r="AE281" s="838"/>
      <c r="AF281" s="839"/>
      <c r="AG281" s="837"/>
      <c r="AH281" s="838"/>
      <c r="AI281" s="838"/>
      <c r="AJ281" s="838"/>
      <c r="AK281" s="839"/>
      <c r="AL281" s="837"/>
      <c r="AM281" s="838"/>
      <c r="AN281" s="838"/>
      <c r="AO281" s="838"/>
      <c r="AP281" s="839"/>
      <c r="AQ281" s="837"/>
      <c r="AR281" s="838"/>
      <c r="AS281" s="838"/>
      <c r="AT281" s="838"/>
      <c r="AU281" s="839"/>
      <c r="AV281" s="837"/>
      <c r="AW281" s="838"/>
      <c r="AX281" s="838"/>
      <c r="AY281" s="838"/>
      <c r="AZ281" s="839"/>
      <c r="BA281" s="837"/>
      <c r="BB281" s="838"/>
      <c r="BC281" s="838"/>
      <c r="BD281" s="838"/>
      <c r="BE281" s="839"/>
      <c r="BF281" s="837"/>
      <c r="BG281" s="838"/>
      <c r="BH281" s="838"/>
      <c r="BI281" s="838"/>
      <c r="BJ281" s="839"/>
      <c r="BK281" s="837"/>
      <c r="BL281" s="838"/>
      <c r="BM281" s="838"/>
      <c r="BN281" s="838"/>
      <c r="BO281" s="839"/>
      <c r="BP281" s="837"/>
      <c r="BQ281" s="838"/>
      <c r="BR281" s="838"/>
      <c r="BS281" s="838"/>
      <c r="BT281" s="839"/>
      <c r="BU281" s="837"/>
      <c r="BV281" s="838"/>
      <c r="BW281" s="838"/>
      <c r="BX281" s="838"/>
      <c r="BY281" s="839"/>
      <c r="BZ281" s="837"/>
      <c r="CA281" s="838"/>
      <c r="CB281" s="838"/>
      <c r="CC281" s="838"/>
      <c r="CD281" s="840"/>
      <c r="CE281" s="837"/>
      <c r="CF281" s="838"/>
      <c r="CG281" s="838"/>
      <c r="CH281" s="838"/>
      <c r="CI281" s="840"/>
      <c r="CJ281" s="837"/>
      <c r="CK281" s="838"/>
      <c r="CL281" s="838"/>
      <c r="CM281" s="838"/>
      <c r="CN281" s="840"/>
      <c r="CO281" s="837"/>
      <c r="CP281" s="838"/>
      <c r="CQ281" s="838"/>
      <c r="CR281" s="838"/>
      <c r="CS281" s="840"/>
      <c r="CT281" s="837"/>
      <c r="CU281" s="838"/>
      <c r="CV281" s="838"/>
      <c r="CW281" s="838"/>
      <c r="CX281" s="840"/>
      <c r="CY281" s="838"/>
      <c r="CZ281" s="838"/>
      <c r="DA281" s="838"/>
      <c r="DB281" s="838"/>
      <c r="DC281" s="840"/>
      <c r="DD281" s="838"/>
      <c r="DE281" s="838"/>
      <c r="DF281" s="838"/>
      <c r="DG281" s="838"/>
      <c r="DH281" s="840"/>
      <c r="DI281" s="838"/>
      <c r="DJ281" s="838"/>
      <c r="DK281" s="838"/>
      <c r="DL281" s="838"/>
      <c r="DM281" s="840"/>
      <c r="DN281" s="838"/>
      <c r="DO281" s="838"/>
      <c r="DP281" s="838"/>
      <c r="DQ281" s="838"/>
      <c r="DR281" s="840"/>
      <c r="DS281" s="838"/>
      <c r="DT281" s="838"/>
      <c r="DU281" s="838"/>
      <c r="DV281" s="838"/>
      <c r="DW281" s="840"/>
      <c r="DX281" s="838"/>
      <c r="DY281" s="838"/>
      <c r="DZ281" s="838"/>
      <c r="EA281" s="838"/>
      <c r="EB281" s="840"/>
      <c r="EC281" s="838"/>
      <c r="ED281" s="838"/>
      <c r="EE281" s="838"/>
      <c r="EF281" s="838"/>
      <c r="EG281" s="840"/>
      <c r="EH281" s="838"/>
      <c r="EI281" s="838"/>
      <c r="EJ281" s="838"/>
      <c r="EK281" s="838"/>
      <c r="EL281" s="840"/>
      <c r="EM281" s="838"/>
      <c r="EN281" s="838"/>
      <c r="EO281" s="838"/>
      <c r="EP281" s="838"/>
      <c r="EQ281" s="840"/>
      <c r="ER281" s="838"/>
      <c r="ES281" s="838"/>
      <c r="ET281" s="841"/>
      <c r="EU281" s="841"/>
      <c r="EV281" s="840"/>
      <c r="EW281" s="842"/>
      <c r="EX281" s="841"/>
      <c r="EY281" s="841"/>
      <c r="EZ281" s="841"/>
      <c r="FA281" s="840"/>
      <c r="FB281" s="842"/>
      <c r="FC281" s="841"/>
      <c r="FD281" s="841"/>
      <c r="FE281" s="841"/>
      <c r="FF281" s="840"/>
      <c r="FG281" s="842"/>
      <c r="FH281" s="841"/>
      <c r="FI281" s="841"/>
      <c r="FJ281" s="841"/>
      <c r="FK281" s="840"/>
      <c r="FL281" s="842"/>
      <c r="FM281" s="841"/>
      <c r="FN281" s="841"/>
      <c r="FO281" s="841"/>
      <c r="FP281" s="840"/>
      <c r="FQ281" s="842"/>
      <c r="FR281" s="841"/>
      <c r="FS281" s="841"/>
      <c r="FT281" s="841"/>
      <c r="FU281" s="840"/>
      <c r="FV281" s="842"/>
      <c r="FW281" s="841"/>
      <c r="FX281" s="841"/>
      <c r="FY281" s="841"/>
      <c r="FZ281" s="840"/>
      <c r="GA281" s="842"/>
      <c r="GB281" s="841"/>
      <c r="GC281" s="841"/>
      <c r="GD281" s="841"/>
      <c r="GE281" s="840"/>
      <c r="GF281" s="842"/>
      <c r="GG281" s="841"/>
      <c r="GH281" s="841"/>
      <c r="GI281" s="841"/>
      <c r="GJ281" s="843"/>
    </row>
    <row r="282" spans="1:192" s="1303" customFormat="1" ht="12.75" hidden="1" customHeight="1" outlineLevel="1">
      <c r="A282" s="836"/>
      <c r="B282" s="1301" t="s">
        <v>1871</v>
      </c>
      <c r="C282" s="842"/>
      <c r="D282" s="841"/>
      <c r="E282" s="841"/>
      <c r="F282" s="841"/>
      <c r="G282" s="840"/>
      <c r="H282" s="842"/>
      <c r="I282" s="841"/>
      <c r="J282" s="841"/>
      <c r="K282" s="841"/>
      <c r="L282" s="840"/>
      <c r="M282" s="842"/>
      <c r="N282" s="841"/>
      <c r="O282" s="841"/>
      <c r="P282" s="841"/>
      <c r="Q282" s="840"/>
      <c r="R282" s="842"/>
      <c r="S282" s="841"/>
      <c r="T282" s="841"/>
      <c r="U282" s="841"/>
      <c r="V282" s="840"/>
      <c r="W282" s="842"/>
      <c r="X282" s="841"/>
      <c r="Y282" s="841"/>
      <c r="Z282" s="841"/>
      <c r="AA282" s="840"/>
      <c r="AB282" s="842"/>
      <c r="AC282" s="841"/>
      <c r="AD282" s="841"/>
      <c r="AE282" s="841"/>
      <c r="AF282" s="840"/>
      <c r="AG282" s="842"/>
      <c r="AH282" s="841"/>
      <c r="AI282" s="841"/>
      <c r="AJ282" s="841"/>
      <c r="AK282" s="840"/>
      <c r="AL282" s="842"/>
      <c r="AM282" s="841"/>
      <c r="AN282" s="841"/>
      <c r="AO282" s="841"/>
      <c r="AP282" s="840"/>
      <c r="AQ282" s="842"/>
      <c r="AR282" s="841"/>
      <c r="AS282" s="841"/>
      <c r="AT282" s="841"/>
      <c r="AU282" s="840"/>
      <c r="AV282" s="842"/>
      <c r="AW282" s="841"/>
      <c r="AX282" s="841"/>
      <c r="AY282" s="841"/>
      <c r="AZ282" s="840"/>
      <c r="BA282" s="842"/>
      <c r="BB282" s="841"/>
      <c r="BC282" s="841"/>
      <c r="BD282" s="841"/>
      <c r="BE282" s="840"/>
      <c r="BF282" s="842"/>
      <c r="BG282" s="841"/>
      <c r="BH282" s="841"/>
      <c r="BI282" s="841"/>
      <c r="BJ282" s="840"/>
      <c r="BK282" s="842"/>
      <c r="BL282" s="841"/>
      <c r="BM282" s="841"/>
      <c r="BN282" s="841"/>
      <c r="BO282" s="840"/>
      <c r="BP282" s="842"/>
      <c r="BQ282" s="841"/>
      <c r="BR282" s="841"/>
      <c r="BS282" s="841"/>
      <c r="BT282" s="840"/>
      <c r="BU282" s="842"/>
      <c r="BV282" s="841"/>
      <c r="BW282" s="841"/>
      <c r="BX282" s="841"/>
      <c r="BY282" s="840"/>
      <c r="BZ282" s="842"/>
      <c r="CA282" s="841"/>
      <c r="CB282" s="841"/>
      <c r="CC282" s="841"/>
      <c r="CD282" s="840"/>
      <c r="CE282" s="842"/>
      <c r="CF282" s="841"/>
      <c r="CG282" s="841"/>
      <c r="CH282" s="841"/>
      <c r="CI282" s="840"/>
      <c r="CJ282" s="842"/>
      <c r="CK282" s="841"/>
      <c r="CL282" s="841"/>
      <c r="CM282" s="841"/>
      <c r="CN282" s="840"/>
      <c r="CO282" s="842"/>
      <c r="CP282" s="841"/>
      <c r="CQ282" s="841"/>
      <c r="CR282" s="841"/>
      <c r="CS282" s="840"/>
      <c r="CT282" s="842"/>
      <c r="CU282" s="841"/>
      <c r="CV282" s="841"/>
      <c r="CW282" s="841"/>
      <c r="CX282" s="840"/>
      <c r="CY282" s="841">
        <f>(CY284*CY285)+(CY286*CY287)</f>
      </c>
      <c r="CZ282" s="841">
        <f>(CZ284*CZ285)+(CZ286*CZ287)</f>
      </c>
      <c r="DA282" s="841">
        <f>(DA284*DA285)+(DA286*DA287)</f>
      </c>
      <c r="DB282" s="841">
        <f>(DB284*DB285)+(DB286*DB287)</f>
      </c>
      <c r="DC282" s="840"/>
      <c r="DD282" s="841">
        <f>(DD284*DD285)+(DD286*DD287)</f>
      </c>
      <c r="DE282" s="841">
        <f>(DE284*DE285)+(DE286*DE287)</f>
      </c>
      <c r="DF282" s="841">
        <f>(DF284*DF285)+(DF286*DF287)</f>
      </c>
      <c r="DG282" s="841">
        <f>(DG284*DG285)+(DG286*DG287)</f>
      </c>
      <c r="DH282" s="840"/>
      <c r="DI282" s="841">
        <f>(DI284*DI285)+(DI286*DI287)</f>
      </c>
      <c r="DJ282" s="841">
        <f>(DJ284*DJ285)+(DJ286*DJ287)</f>
      </c>
      <c r="DK282" s="841">
        <f>(DK284*DK285)+(DK286*DK287)</f>
      </c>
      <c r="DL282" s="841">
        <f>(DL284*DL285)+(DL286*DL287)</f>
      </c>
      <c r="DM282" s="840"/>
      <c r="DN282" s="841">
        <f>(DN284*DN285)+(DN286*DN287)</f>
      </c>
      <c r="DO282" s="841">
        <f>(DO284*DO285)+(DO286*DO287)</f>
      </c>
      <c r="DP282" s="841">
        <f>(DP284*DP285)+(DP286*DP287)</f>
      </c>
      <c r="DQ282" s="841">
        <f>(DQ284*DQ285)+(DQ286*DQ287)</f>
      </c>
      <c r="DR282" s="840"/>
      <c r="DS282" s="841">
        <f>(DS284*DS285)+(DS286*DS287)</f>
      </c>
      <c r="DT282" s="841">
        <f>(DT284*DT285)+(DT286*DT287)</f>
      </c>
      <c r="DU282" s="841">
        <f>(DU284*DU285)+(DU286*DU287)</f>
      </c>
      <c r="DV282" s="841">
        <f>(DV284*DV285)+(DV286*DV287)</f>
      </c>
      <c r="DW282" s="840"/>
      <c r="DX282" s="841">
        <f>(DX284*DX285)+(DX286*DX287)</f>
      </c>
      <c r="DY282" s="841">
        <f>(DY284*DY285)+(DY286*DY287)</f>
      </c>
      <c r="DZ282" s="841">
        <f>(DZ284*DZ285)+(DZ286*DZ287)</f>
      </c>
      <c r="EA282" s="841">
        <f>(EA284*EA285)+(EA286*EA287)</f>
      </c>
      <c r="EB282" s="840"/>
      <c r="EC282" s="841">
        <f>(EC284*EC285)+(EC286*EC287)</f>
      </c>
      <c r="ED282" s="841">
        <f>(ED284*ED285)+(ED286*ED287)</f>
      </c>
      <c r="EE282" s="841">
        <f>(EE284*EE285)+(EE286*EE287)</f>
      </c>
      <c r="EF282" s="841">
        <f>(EF284*EF285)+(EF286*EF287)</f>
      </c>
      <c r="EG282" s="840"/>
      <c r="EH282" s="841">
        <f>(EH284*EH285)+(EH286*EH287)</f>
      </c>
      <c r="EI282" s="841">
        <f>(EI284*EI285)+(EI286*EI287)</f>
      </c>
      <c r="EJ282" s="841">
        <f>(EJ284*EJ285)+(EJ286*EJ287)</f>
      </c>
      <c r="EK282" s="841">
        <f>(EK284*EK285)+(EK286*EK287)</f>
      </c>
      <c r="EL282" s="840"/>
      <c r="EM282" s="841">
        <f>(EM284*EM285)+(EM286*EM287)</f>
      </c>
      <c r="EN282" s="841">
        <f>(EN284*EN285)+(EN286*EN287)</f>
      </c>
      <c r="EO282" s="841">
        <f>(EO284*EO285)+(EO286*EO287)</f>
      </c>
      <c r="EP282" s="841">
        <f>(EP284*EP285)+(EP286*EP287)</f>
      </c>
      <c r="EQ282" s="840"/>
      <c r="ER282" s="841">
        <f>(ER284*ER285)+(ER286*ER287)</f>
      </c>
      <c r="ES282" s="841">
        <f>(ES284*ES285)+(ES286*ES287)</f>
      </c>
      <c r="ET282" s="841">
        <f>(ET284*ET285)+(ET286*ET287)</f>
      </c>
      <c r="EU282" s="841">
        <f>(EU284*EU285)+(EU286*EU287)</f>
      </c>
      <c r="EV282" s="840"/>
      <c r="EW282" s="1647"/>
      <c r="EX282" s="841"/>
      <c r="EY282" s="841"/>
      <c r="EZ282" s="841"/>
      <c r="FA282" s="840"/>
      <c r="FB282" s="842"/>
      <c r="FC282" s="841"/>
      <c r="FD282" s="841"/>
      <c r="FE282" s="841"/>
      <c r="FF282" s="840"/>
      <c r="FG282" s="842"/>
      <c r="FH282" s="841"/>
      <c r="FI282" s="841"/>
      <c r="FJ282" s="841"/>
      <c r="FK282" s="840"/>
      <c r="FL282" s="842"/>
      <c r="FM282" s="841"/>
      <c r="FN282" s="841"/>
      <c r="FO282" s="841"/>
      <c r="FP282" s="840"/>
      <c r="FQ282" s="842"/>
      <c r="FR282" s="841"/>
      <c r="FS282" s="841"/>
      <c r="FT282" s="841"/>
      <c r="FU282" s="840"/>
      <c r="FV282" s="842"/>
      <c r="FW282" s="841"/>
      <c r="FX282" s="841"/>
      <c r="FY282" s="841"/>
      <c r="FZ282" s="840"/>
      <c r="GA282" s="842"/>
      <c r="GB282" s="841"/>
      <c r="GC282" s="841"/>
      <c r="GD282" s="841"/>
      <c r="GE282" s="840"/>
      <c r="GF282" s="842"/>
      <c r="GG282" s="841"/>
      <c r="GH282" s="841"/>
      <c r="GI282" s="841"/>
      <c r="GJ282" s="843"/>
    </row>
    <row r="283" spans="1:192" s="476" customFormat="1" ht="12.75" hidden="1" customHeight="1" outlineLevel="1">
      <c r="A283" s="784"/>
      <c r="B283" s="1297" t="s">
        <v>1872</v>
      </c>
      <c r="C283" s="412"/>
      <c r="D283" s="114"/>
      <c r="E283" s="114"/>
      <c r="F283" s="114"/>
      <c r="G283" s="413"/>
      <c r="H283" s="412"/>
      <c r="I283" s="114"/>
      <c r="J283" s="114"/>
      <c r="K283" s="114"/>
      <c r="L283" s="413"/>
      <c r="M283" s="412"/>
      <c r="N283" s="114"/>
      <c r="O283" s="114"/>
      <c r="P283" s="114"/>
      <c r="Q283" s="413"/>
      <c r="R283" s="412"/>
      <c r="S283" s="114"/>
      <c r="T283" s="114"/>
      <c r="U283" s="114"/>
      <c r="V283" s="413"/>
      <c r="W283" s="412"/>
      <c r="X283" s="114"/>
      <c r="Y283" s="114"/>
      <c r="Z283" s="114"/>
      <c r="AA283" s="413"/>
      <c r="AB283" s="412"/>
      <c r="AC283" s="114"/>
      <c r="AD283" s="114"/>
      <c r="AE283" s="114"/>
      <c r="AF283" s="413"/>
      <c r="AG283" s="412"/>
      <c r="AH283" s="114"/>
      <c r="AI283" s="114"/>
      <c r="AJ283" s="114"/>
      <c r="AK283" s="413"/>
      <c r="AL283" s="412"/>
      <c r="AM283" s="114"/>
      <c r="AN283" s="114"/>
      <c r="AO283" s="114"/>
      <c r="AP283" s="413"/>
      <c r="AQ283" s="412"/>
      <c r="AR283" s="114"/>
      <c r="AS283" s="114"/>
      <c r="AT283" s="114"/>
      <c r="AU283" s="413"/>
      <c r="AV283" s="412"/>
      <c r="AW283" s="114"/>
      <c r="AX283" s="114"/>
      <c r="AY283" s="114"/>
      <c r="AZ283" s="413"/>
      <c r="BA283" s="412"/>
      <c r="BB283" s="114"/>
      <c r="BC283" s="114"/>
      <c r="BD283" s="114"/>
      <c r="BE283" s="413"/>
      <c r="BF283" s="412"/>
      <c r="BG283" s="114"/>
      <c r="BH283" s="114"/>
      <c r="BI283" s="114"/>
      <c r="BJ283" s="413"/>
      <c r="BK283" s="412"/>
      <c r="BL283" s="114"/>
      <c r="BM283" s="114"/>
      <c r="BN283" s="114"/>
      <c r="BO283" s="413"/>
      <c r="BP283" s="412"/>
      <c r="BQ283" s="114"/>
      <c r="BR283" s="114"/>
      <c r="BS283" s="114"/>
      <c r="BT283" s="413"/>
      <c r="BU283" s="412"/>
      <c r="BV283" s="114"/>
      <c r="BW283" s="114"/>
      <c r="BX283" s="114"/>
      <c r="BY283" s="413"/>
      <c r="BZ283" s="412"/>
      <c r="CA283" s="114"/>
      <c r="CB283" s="114"/>
      <c r="CC283" s="114"/>
      <c r="CD283" s="292"/>
      <c r="CE283" s="412"/>
      <c r="CF283" s="114"/>
      <c r="CG283" s="114"/>
      <c r="CH283" s="114"/>
      <c r="CI283" s="292"/>
      <c r="CJ283" s="412"/>
      <c r="CK283" s="114"/>
      <c r="CL283" s="114"/>
      <c r="CM283" s="114"/>
      <c r="CN283" s="292"/>
      <c r="CO283" s="412"/>
      <c r="CP283" s="114"/>
      <c r="CQ283" s="114"/>
      <c r="CR283" s="114"/>
      <c r="CS283" s="292"/>
      <c r="CT283" s="412"/>
      <c r="CU283" s="114"/>
      <c r="CV283" s="114"/>
      <c r="CW283" s="114"/>
      <c r="CX283" s="292"/>
      <c r="CY283" s="114">
        <v>0.3</v>
      </c>
      <c r="CZ283" s="114">
        <f t="shared" ref="CZ283:DB284" si="426">CY283</f>
      </c>
      <c r="DA283" s="114">
        <f t="shared" si="426"/>
      </c>
      <c r="DB283" s="114">
        <f t="shared" si="426"/>
      </c>
      <c r="DC283" s="292"/>
      <c r="DD283" s="114">
        <v>0.3</v>
      </c>
      <c r="DE283" s="114">
        <f t="shared" ref="DE283:DG284" si="427">DD283</f>
      </c>
      <c r="DF283" s="114">
        <f t="shared" si="427"/>
      </c>
      <c r="DG283" s="114">
        <f t="shared" si="427"/>
      </c>
      <c r="DH283" s="292"/>
      <c r="DI283" s="114">
        <v>0.3</v>
      </c>
      <c r="DJ283" s="114">
        <f t="shared" ref="DJ283:DL284" si="428">DI283</f>
      </c>
      <c r="DK283" s="114">
        <f t="shared" si="428"/>
      </c>
      <c r="DL283" s="114">
        <f t="shared" si="428"/>
      </c>
      <c r="DM283" s="292"/>
      <c r="DN283" s="114">
        <v>0.3</v>
      </c>
      <c r="DO283" s="114">
        <f t="shared" ref="DO283:DQ284" si="429">DN283</f>
      </c>
      <c r="DP283" s="114">
        <f t="shared" si="429"/>
      </c>
      <c r="DQ283" s="114">
        <f t="shared" si="429"/>
      </c>
      <c r="DR283" s="292"/>
      <c r="DS283" s="114">
        <v>0.3</v>
      </c>
      <c r="DT283" s="114">
        <f t="shared" ref="DT283:DV284" si="430">DS283</f>
      </c>
      <c r="DU283" s="114">
        <f t="shared" si="430"/>
      </c>
      <c r="DV283" s="114">
        <f t="shared" si="430"/>
      </c>
      <c r="DW283" s="292"/>
      <c r="DX283" s="114">
        <v>0.3</v>
      </c>
      <c r="DY283" s="114">
        <f t="shared" ref="DY283:EA284" si="431">DX283</f>
      </c>
      <c r="DZ283" s="114">
        <f t="shared" si="431"/>
      </c>
      <c r="EA283" s="114">
        <f t="shared" si="431"/>
      </c>
      <c r="EB283" s="292"/>
      <c r="EC283" s="114">
        <v>0.3</v>
      </c>
      <c r="ED283" s="114">
        <f t="shared" ref="ED283:EF284" si="432">EC283</f>
      </c>
      <c r="EE283" s="114">
        <f t="shared" si="432"/>
      </c>
      <c r="EF283" s="114">
        <f t="shared" si="432"/>
      </c>
      <c r="EG283" s="292"/>
      <c r="EH283" s="114">
        <v>0.3</v>
      </c>
      <c r="EI283" s="114">
        <f t="shared" ref="EI283:EK284" si="433">EH283</f>
      </c>
      <c r="EJ283" s="114">
        <f t="shared" si="433"/>
      </c>
      <c r="EK283" s="114">
        <f t="shared" si="433"/>
      </c>
      <c r="EL283" s="292"/>
      <c r="EM283" s="114">
        <v>0.3</v>
      </c>
      <c r="EN283" s="114">
        <f t="shared" ref="EN283:EP287" si="434">EM283</f>
      </c>
      <c r="EO283" s="114">
        <f t="shared" si="434"/>
      </c>
      <c r="EP283" s="114">
        <f t="shared" si="434"/>
      </c>
      <c r="EQ283" s="292"/>
      <c r="ER283" s="114">
        <v>0.3</v>
      </c>
      <c r="ES283" s="114">
        <f t="shared" ref="ES283:EU284" si="435">ER283</f>
      </c>
      <c r="ET283" s="114">
        <f t="shared" si="435"/>
      </c>
      <c r="EU283" s="439">
        <f t="shared" si="435"/>
      </c>
      <c r="EV283" s="292"/>
      <c r="EW283" s="441"/>
      <c r="EX283" s="107"/>
      <c r="EY283" s="114"/>
      <c r="EZ283" s="107"/>
      <c r="FA283" s="292"/>
      <c r="FB283" s="291"/>
      <c r="FC283" s="107"/>
      <c r="FD283" s="107"/>
      <c r="FE283" s="107"/>
      <c r="FF283" s="292"/>
      <c r="FG283" s="291"/>
      <c r="FH283" s="107"/>
      <c r="FI283" s="107"/>
      <c r="FJ283" s="107"/>
      <c r="FK283" s="292"/>
      <c r="FL283" s="291"/>
      <c r="FM283" s="107"/>
      <c r="FN283" s="107"/>
      <c r="FO283" s="107"/>
      <c r="FP283" s="292"/>
      <c r="FQ283" s="291"/>
      <c r="FR283" s="107"/>
      <c r="FS283" s="107"/>
      <c r="FT283" s="107"/>
      <c r="FU283" s="292"/>
      <c r="FV283" s="291"/>
      <c r="FW283" s="107"/>
      <c r="FX283" s="107"/>
      <c r="FY283" s="107"/>
      <c r="FZ283" s="292"/>
      <c r="GA283" s="291"/>
      <c r="GB283" s="107"/>
      <c r="GC283" s="107"/>
      <c r="GD283" s="107"/>
      <c r="GE283" s="292"/>
      <c r="GF283" s="291"/>
      <c r="GG283" s="107"/>
      <c r="GH283" s="107"/>
      <c r="GI283" s="107"/>
      <c r="GJ283" s="384"/>
    </row>
    <row r="284" spans="1:192" s="844" customFormat="1" ht="12.75" hidden="1" customHeight="1" outlineLevel="1">
      <c r="A284" s="836"/>
      <c r="B284" s="1299" t="s">
        <v>1866</v>
      </c>
      <c r="C284" s="837"/>
      <c r="D284" s="838"/>
      <c r="E284" s="838"/>
      <c r="F284" s="838"/>
      <c r="G284" s="839"/>
      <c r="H284" s="837"/>
      <c r="I284" s="838"/>
      <c r="J284" s="838"/>
      <c r="K284" s="838"/>
      <c r="L284" s="839"/>
      <c r="M284" s="837"/>
      <c r="N284" s="838"/>
      <c r="O284" s="838"/>
      <c r="P284" s="838"/>
      <c r="Q284" s="839"/>
      <c r="R284" s="837"/>
      <c r="S284" s="838"/>
      <c r="T284" s="838"/>
      <c r="U284" s="838"/>
      <c r="V284" s="839"/>
      <c r="W284" s="837"/>
      <c r="X284" s="838"/>
      <c r="Y284" s="838"/>
      <c r="Z284" s="838"/>
      <c r="AA284" s="839"/>
      <c r="AB284" s="837"/>
      <c r="AC284" s="838"/>
      <c r="AD284" s="838"/>
      <c r="AE284" s="838"/>
      <c r="AF284" s="839"/>
      <c r="AG284" s="837"/>
      <c r="AH284" s="838"/>
      <c r="AI284" s="838"/>
      <c r="AJ284" s="838"/>
      <c r="AK284" s="839"/>
      <c r="AL284" s="837"/>
      <c r="AM284" s="838"/>
      <c r="AN284" s="838"/>
      <c r="AO284" s="838"/>
      <c r="AP284" s="839"/>
      <c r="AQ284" s="837"/>
      <c r="AR284" s="838"/>
      <c r="AS284" s="838"/>
      <c r="AT284" s="838"/>
      <c r="AU284" s="839"/>
      <c r="AV284" s="837"/>
      <c r="AW284" s="838"/>
      <c r="AX284" s="838"/>
      <c r="AY284" s="838"/>
      <c r="AZ284" s="839"/>
      <c r="BA284" s="837"/>
      <c r="BB284" s="838"/>
      <c r="BC284" s="838"/>
      <c r="BD284" s="838"/>
      <c r="BE284" s="839"/>
      <c r="BF284" s="837"/>
      <c r="BG284" s="838"/>
      <c r="BH284" s="838"/>
      <c r="BI284" s="838"/>
      <c r="BJ284" s="839"/>
      <c r="BK284" s="837"/>
      <c r="BL284" s="838"/>
      <c r="BM284" s="838"/>
      <c r="BN284" s="838"/>
      <c r="BO284" s="839"/>
      <c r="BP284" s="837"/>
      <c r="BQ284" s="838"/>
      <c r="BR284" s="838"/>
      <c r="BS284" s="838"/>
      <c r="BT284" s="839"/>
      <c r="BU284" s="837"/>
      <c r="BV284" s="838"/>
      <c r="BW284" s="838"/>
      <c r="BX284" s="838"/>
      <c r="BY284" s="839"/>
      <c r="BZ284" s="837"/>
      <c r="CA284" s="838"/>
      <c r="CB284" s="838"/>
      <c r="CC284" s="838"/>
      <c r="CD284" s="840"/>
      <c r="CE284" s="837"/>
      <c r="CF284" s="838"/>
      <c r="CG284" s="838"/>
      <c r="CH284" s="838"/>
      <c r="CI284" s="840"/>
      <c r="CJ284" s="837"/>
      <c r="CK284" s="838"/>
      <c r="CL284" s="838"/>
      <c r="CM284" s="838"/>
      <c r="CN284" s="840"/>
      <c r="CO284" s="837"/>
      <c r="CP284" s="838"/>
      <c r="CQ284" s="838"/>
      <c r="CR284" s="838"/>
      <c r="CS284" s="840"/>
      <c r="CT284" s="837"/>
      <c r="CU284" s="838"/>
      <c r="CV284" s="838"/>
      <c r="CW284" s="838"/>
      <c r="CX284" s="840"/>
      <c r="CY284" s="838">
        <f>9.99*3</f>
      </c>
      <c r="CZ284" s="838">
        <f t="shared" si="426"/>
      </c>
      <c r="DA284" s="838">
        <f t="shared" si="426"/>
      </c>
      <c r="DB284" s="838">
        <f t="shared" si="426"/>
      </c>
      <c r="DC284" s="840"/>
      <c r="DD284" s="838">
        <f>9.99*3</f>
      </c>
      <c r="DE284" s="838">
        <f t="shared" si="427"/>
      </c>
      <c r="DF284" s="838">
        <f t="shared" si="427"/>
      </c>
      <c r="DG284" s="838">
        <f t="shared" si="427"/>
      </c>
      <c r="DH284" s="840"/>
      <c r="DI284" s="838">
        <f>9.99*3</f>
      </c>
      <c r="DJ284" s="838">
        <f t="shared" si="428"/>
      </c>
      <c r="DK284" s="838">
        <f t="shared" si="428"/>
      </c>
      <c r="DL284" s="838">
        <f t="shared" si="428"/>
      </c>
      <c r="DM284" s="840"/>
      <c r="DN284" s="838">
        <f>9.99*3</f>
      </c>
      <c r="DO284" s="838">
        <f t="shared" si="429"/>
      </c>
      <c r="DP284" s="838">
        <f t="shared" si="429"/>
      </c>
      <c r="DQ284" s="838">
        <f t="shared" si="429"/>
      </c>
      <c r="DR284" s="840"/>
      <c r="DS284" s="838">
        <f>9.99*3</f>
      </c>
      <c r="DT284" s="838">
        <f t="shared" si="430"/>
      </c>
      <c r="DU284" s="838">
        <f t="shared" si="430"/>
      </c>
      <c r="DV284" s="838">
        <f t="shared" si="430"/>
      </c>
      <c r="DW284" s="840"/>
      <c r="DX284" s="838">
        <f>9.99*3</f>
      </c>
      <c r="DY284" s="838">
        <f t="shared" si="431"/>
      </c>
      <c r="DZ284" s="838">
        <f t="shared" si="431"/>
      </c>
      <c r="EA284" s="838">
        <f t="shared" si="431"/>
      </c>
      <c r="EB284" s="840"/>
      <c r="EC284" s="838">
        <f>9.99*3</f>
      </c>
      <c r="ED284" s="838">
        <f t="shared" si="432"/>
      </c>
      <c r="EE284" s="838">
        <f t="shared" si="432"/>
      </c>
      <c r="EF284" s="838">
        <f t="shared" si="432"/>
      </c>
      <c r="EG284" s="840"/>
      <c r="EH284" s="838">
        <f>9.99*3</f>
      </c>
      <c r="EI284" s="838">
        <f t="shared" si="433"/>
      </c>
      <c r="EJ284" s="838">
        <f t="shared" si="433"/>
      </c>
      <c r="EK284" s="838">
        <f t="shared" si="433"/>
      </c>
      <c r="EL284" s="840"/>
      <c r="EM284" s="838">
        <f>9.99*3</f>
      </c>
      <c r="EN284" s="838">
        <f t="shared" si="434"/>
      </c>
      <c r="EO284" s="838">
        <f t="shared" si="434"/>
      </c>
      <c r="EP284" s="838">
        <f t="shared" si="434"/>
      </c>
      <c r="EQ284" s="840"/>
      <c r="ER284" s="838">
        <f>9.99*3</f>
      </c>
      <c r="ES284" s="838">
        <f t="shared" si="435"/>
      </c>
      <c r="ET284" s="838">
        <f t="shared" si="435"/>
      </c>
      <c r="EU284" s="1296">
        <f t="shared" si="435"/>
      </c>
      <c r="EV284" s="840"/>
      <c r="EW284" s="1296"/>
      <c r="EX284" s="838"/>
      <c r="EY284" s="838"/>
      <c r="EZ284" s="838"/>
      <c r="FA284" s="840"/>
      <c r="FB284" s="842"/>
      <c r="FC284" s="841"/>
      <c r="FD284" s="841"/>
      <c r="FE284" s="841"/>
      <c r="FF284" s="840"/>
      <c r="FG284" s="842"/>
      <c r="FH284" s="841"/>
      <c r="FI284" s="841"/>
      <c r="FJ284" s="841"/>
      <c r="FK284" s="840"/>
      <c r="FL284" s="842"/>
      <c r="FM284" s="841"/>
      <c r="FN284" s="841"/>
      <c r="FO284" s="841"/>
      <c r="FP284" s="840"/>
      <c r="FQ284" s="842"/>
      <c r="FR284" s="841"/>
      <c r="FS284" s="841"/>
      <c r="FT284" s="841"/>
      <c r="FU284" s="840"/>
      <c r="FV284" s="842"/>
      <c r="FW284" s="841"/>
      <c r="FX284" s="841"/>
      <c r="FY284" s="841"/>
      <c r="FZ284" s="840"/>
      <c r="GA284" s="842"/>
      <c r="GB284" s="841"/>
      <c r="GC284" s="841"/>
      <c r="GD284" s="841"/>
      <c r="GE284" s="840"/>
      <c r="GF284" s="842"/>
      <c r="GG284" s="841"/>
      <c r="GH284" s="841"/>
      <c r="GI284" s="841"/>
      <c r="GJ284" s="843"/>
    </row>
    <row r="285" spans="1:192" s="476" customFormat="1" ht="12.75" hidden="1" customHeight="1" outlineLevel="1">
      <c r="A285" s="784"/>
      <c r="B285" s="1299" t="s">
        <v>1868</v>
      </c>
      <c r="C285" s="412"/>
      <c r="D285" s="114"/>
      <c r="E285" s="114"/>
      <c r="F285" s="114"/>
      <c r="G285" s="413"/>
      <c r="H285" s="412"/>
      <c r="I285" s="114"/>
      <c r="J285" s="114"/>
      <c r="K285" s="114"/>
      <c r="L285" s="413"/>
      <c r="M285" s="412"/>
      <c r="N285" s="114"/>
      <c r="O285" s="114"/>
      <c r="P285" s="114"/>
      <c r="Q285" s="413"/>
      <c r="R285" s="412"/>
      <c r="S285" s="114"/>
      <c r="T285" s="114"/>
      <c r="U285" s="114"/>
      <c r="V285" s="413"/>
      <c r="W285" s="412"/>
      <c r="X285" s="114"/>
      <c r="Y285" s="114"/>
      <c r="Z285" s="114"/>
      <c r="AA285" s="413"/>
      <c r="AB285" s="412"/>
      <c r="AC285" s="114"/>
      <c r="AD285" s="114"/>
      <c r="AE285" s="114"/>
      <c r="AF285" s="413"/>
      <c r="AG285" s="412"/>
      <c r="AH285" s="114"/>
      <c r="AI285" s="114"/>
      <c r="AJ285" s="114"/>
      <c r="AK285" s="413"/>
      <c r="AL285" s="412"/>
      <c r="AM285" s="114"/>
      <c r="AN285" s="114"/>
      <c r="AO285" s="114"/>
      <c r="AP285" s="413"/>
      <c r="AQ285" s="412"/>
      <c r="AR285" s="114"/>
      <c r="AS285" s="114"/>
      <c r="AT285" s="114"/>
      <c r="AU285" s="413"/>
      <c r="AV285" s="412"/>
      <c r="AW285" s="114"/>
      <c r="AX285" s="114"/>
      <c r="AY285" s="114"/>
      <c r="AZ285" s="413"/>
      <c r="BA285" s="412"/>
      <c r="BB285" s="114"/>
      <c r="BC285" s="114"/>
      <c r="BD285" s="114"/>
      <c r="BE285" s="413"/>
      <c r="BF285" s="412"/>
      <c r="BG285" s="114"/>
      <c r="BH285" s="114"/>
      <c r="BI285" s="114"/>
      <c r="BJ285" s="413"/>
      <c r="BK285" s="412"/>
      <c r="BL285" s="114"/>
      <c r="BM285" s="114"/>
      <c r="BN285" s="114"/>
      <c r="BO285" s="413"/>
      <c r="BP285" s="412"/>
      <c r="BQ285" s="114"/>
      <c r="BR285" s="114"/>
      <c r="BS285" s="114"/>
      <c r="BT285" s="413"/>
      <c r="BU285" s="412"/>
      <c r="BV285" s="114"/>
      <c r="BW285" s="114"/>
      <c r="BX285" s="114"/>
      <c r="BY285" s="413"/>
      <c r="BZ285" s="412"/>
      <c r="CA285" s="114"/>
      <c r="CB285" s="114"/>
      <c r="CC285" s="114"/>
      <c r="CD285" s="292"/>
      <c r="CE285" s="412"/>
      <c r="CF285" s="114"/>
      <c r="CG285" s="114"/>
      <c r="CH285" s="114"/>
      <c r="CI285" s="292"/>
      <c r="CJ285" s="412"/>
      <c r="CK285" s="114"/>
      <c r="CL285" s="114"/>
      <c r="CM285" s="114"/>
      <c r="CN285" s="292"/>
      <c r="CO285" s="412"/>
      <c r="CP285" s="114"/>
      <c r="CQ285" s="114"/>
      <c r="CR285" s="114"/>
      <c r="CS285" s="292"/>
      <c r="CT285" s="412"/>
      <c r="CU285" s="114"/>
      <c r="CV285" s="114"/>
      <c r="CW285" s="114"/>
      <c r="CX285" s="292"/>
      <c r="CY285" s="107">
        <f>100%-CY287</f>
      </c>
      <c r="CZ285" s="107">
        <f>100%-CZ287</f>
      </c>
      <c r="DA285" s="107">
        <f>100%-DA287</f>
      </c>
      <c r="DB285" s="107">
        <f>100%-DB287</f>
      </c>
      <c r="DC285" s="292"/>
      <c r="DD285" s="107">
        <f>100%-DD287</f>
      </c>
      <c r="DE285" s="107">
        <f>100%-DE287</f>
      </c>
      <c r="DF285" s="107">
        <f>100%-DF287</f>
      </c>
      <c r="DG285" s="107">
        <f>100%-DG287</f>
      </c>
      <c r="DH285" s="292"/>
      <c r="DI285" s="107">
        <f>100%-DI287</f>
      </c>
      <c r="DJ285" s="107">
        <f>100%-DJ287</f>
      </c>
      <c r="DK285" s="107">
        <f>100%-DK287</f>
      </c>
      <c r="DL285" s="107">
        <f>100%-DL287</f>
      </c>
      <c r="DM285" s="292"/>
      <c r="DN285" s="107">
        <f>100%-DN287</f>
      </c>
      <c r="DO285" s="107">
        <f>100%-DO287</f>
      </c>
      <c r="DP285" s="107">
        <f>100%-DP287</f>
      </c>
      <c r="DQ285" s="107">
        <f>100%-DQ287</f>
      </c>
      <c r="DR285" s="292"/>
      <c r="DS285" s="107">
        <f>100%-DS287</f>
      </c>
      <c r="DT285" s="107">
        <f>100%-DT287</f>
      </c>
      <c r="DU285" s="107">
        <f>100%-DU287</f>
      </c>
      <c r="DV285" s="107">
        <f>100%-DV287</f>
      </c>
      <c r="DW285" s="292"/>
      <c r="DX285" s="107">
        <f>100%-DX287</f>
      </c>
      <c r="DY285" s="107">
        <f>100%-DY287</f>
      </c>
      <c r="DZ285" s="107">
        <f>100%-DZ287</f>
      </c>
      <c r="EA285" s="107">
        <f>100%-EA287</f>
      </c>
      <c r="EB285" s="292"/>
      <c r="EC285" s="107">
        <f>100%-EC287</f>
      </c>
      <c r="ED285" s="107">
        <f>100%-ED287</f>
      </c>
      <c r="EE285" s="107">
        <f>100%-EE287</f>
      </c>
      <c r="EF285" s="107">
        <f>100%-EF287</f>
      </c>
      <c r="EG285" s="292"/>
      <c r="EH285" s="107">
        <f>100%-EH287</f>
      </c>
      <c r="EI285" s="107">
        <f>100%-EI287</f>
      </c>
      <c r="EJ285" s="107">
        <f>100%-EJ287</f>
      </c>
      <c r="EK285" s="107">
        <f>100%-EK287</f>
      </c>
      <c r="EL285" s="292"/>
      <c r="EM285" s="107">
        <f>100%-EM287</f>
      </c>
      <c r="EN285" s="107">
        <f>100%-EN287</f>
      </c>
      <c r="EO285" s="107">
        <f>100%-EO287</f>
      </c>
      <c r="EP285" s="107">
        <f>100%-EP287</f>
      </c>
      <c r="EQ285" s="292"/>
      <c r="ER285" s="107">
        <f>100%-ER287</f>
      </c>
      <c r="ES285" s="107">
        <f>100%-ES287</f>
      </c>
      <c r="ET285" s="107">
        <f>100%-ET287</f>
      </c>
      <c r="EU285" s="468">
        <f>100%-EU287</f>
      </c>
      <c r="EV285" s="292"/>
      <c r="EW285" s="349"/>
      <c r="EX285" s="107"/>
      <c r="EY285" s="107"/>
      <c r="EZ285" s="107"/>
      <c r="FA285" s="292"/>
      <c r="FB285" s="291"/>
      <c r="FC285" s="107"/>
      <c r="FD285" s="107"/>
      <c r="FE285" s="107"/>
      <c r="FF285" s="292"/>
      <c r="FG285" s="291"/>
      <c r="FH285" s="107"/>
      <c r="FI285" s="107"/>
      <c r="FJ285" s="107"/>
      <c r="FK285" s="292"/>
      <c r="FL285" s="291"/>
      <c r="FM285" s="107"/>
      <c r="FN285" s="107"/>
      <c r="FO285" s="107"/>
      <c r="FP285" s="292"/>
      <c r="FQ285" s="291"/>
      <c r="FR285" s="107"/>
      <c r="FS285" s="107"/>
      <c r="FT285" s="107"/>
      <c r="FU285" s="292"/>
      <c r="FV285" s="291"/>
      <c r="FW285" s="107"/>
      <c r="FX285" s="107"/>
      <c r="FY285" s="107"/>
      <c r="FZ285" s="292"/>
      <c r="GA285" s="291"/>
      <c r="GB285" s="107"/>
      <c r="GC285" s="107"/>
      <c r="GD285" s="107"/>
      <c r="GE285" s="292"/>
      <c r="GF285" s="291"/>
      <c r="GG285" s="107"/>
      <c r="GH285" s="107"/>
      <c r="GI285" s="107"/>
      <c r="GJ285" s="384"/>
    </row>
    <row r="286" spans="1:192" s="844" customFormat="1" ht="12.75" hidden="1" customHeight="1" outlineLevel="1">
      <c r="A286" s="836"/>
      <c r="B286" s="1299" t="s">
        <v>1867</v>
      </c>
      <c r="C286" s="837"/>
      <c r="D286" s="838"/>
      <c r="E286" s="838"/>
      <c r="F286" s="838"/>
      <c r="G286" s="839"/>
      <c r="H286" s="837"/>
      <c r="I286" s="838"/>
      <c r="J286" s="838"/>
      <c r="K286" s="838"/>
      <c r="L286" s="839"/>
      <c r="M286" s="837"/>
      <c r="N286" s="838"/>
      <c r="O286" s="838"/>
      <c r="P286" s="838"/>
      <c r="Q286" s="839"/>
      <c r="R286" s="837"/>
      <c r="S286" s="838"/>
      <c r="T286" s="838"/>
      <c r="U286" s="838"/>
      <c r="V286" s="839"/>
      <c r="W286" s="837"/>
      <c r="X286" s="838"/>
      <c r="Y286" s="838"/>
      <c r="Z286" s="838"/>
      <c r="AA286" s="839"/>
      <c r="AB286" s="837"/>
      <c r="AC286" s="838"/>
      <c r="AD286" s="838"/>
      <c r="AE286" s="838"/>
      <c r="AF286" s="839"/>
      <c r="AG286" s="837"/>
      <c r="AH286" s="838"/>
      <c r="AI286" s="838"/>
      <c r="AJ286" s="838"/>
      <c r="AK286" s="839"/>
      <c r="AL286" s="837"/>
      <c r="AM286" s="838"/>
      <c r="AN286" s="838"/>
      <c r="AO286" s="838"/>
      <c r="AP286" s="839"/>
      <c r="AQ286" s="837"/>
      <c r="AR286" s="838"/>
      <c r="AS286" s="838"/>
      <c r="AT286" s="838"/>
      <c r="AU286" s="839"/>
      <c r="AV286" s="837"/>
      <c r="AW286" s="838"/>
      <c r="AX286" s="838"/>
      <c r="AY286" s="838"/>
      <c r="AZ286" s="839"/>
      <c r="BA286" s="837"/>
      <c r="BB286" s="838"/>
      <c r="BC286" s="838"/>
      <c r="BD286" s="838"/>
      <c r="BE286" s="839"/>
      <c r="BF286" s="837"/>
      <c r="BG286" s="838"/>
      <c r="BH286" s="838"/>
      <c r="BI286" s="838"/>
      <c r="BJ286" s="839"/>
      <c r="BK286" s="837"/>
      <c r="BL286" s="838"/>
      <c r="BM286" s="838"/>
      <c r="BN286" s="838"/>
      <c r="BO286" s="839"/>
      <c r="BP286" s="837"/>
      <c r="BQ286" s="838"/>
      <c r="BR286" s="838"/>
      <c r="BS286" s="838"/>
      <c r="BT286" s="839"/>
      <c r="BU286" s="837"/>
      <c r="BV286" s="838"/>
      <c r="BW286" s="838"/>
      <c r="BX286" s="838"/>
      <c r="BY286" s="839"/>
      <c r="BZ286" s="837"/>
      <c r="CA286" s="838"/>
      <c r="CB286" s="838"/>
      <c r="CC286" s="838"/>
      <c r="CD286" s="840"/>
      <c r="CE286" s="837"/>
      <c r="CF286" s="838"/>
      <c r="CG286" s="838"/>
      <c r="CH286" s="838"/>
      <c r="CI286" s="840"/>
      <c r="CJ286" s="837"/>
      <c r="CK286" s="838"/>
      <c r="CL286" s="838"/>
      <c r="CM286" s="838"/>
      <c r="CN286" s="840"/>
      <c r="CO286" s="837"/>
      <c r="CP286" s="838"/>
      <c r="CQ286" s="838"/>
      <c r="CR286" s="838"/>
      <c r="CS286" s="840"/>
      <c r="CT286" s="837"/>
      <c r="CU286" s="838"/>
      <c r="CV286" s="838"/>
      <c r="CW286" s="838"/>
      <c r="CX286" s="840"/>
      <c r="CY286" s="838">
        <f>99.99/4</f>
      </c>
      <c r="CZ286" s="838">
        <f t="shared" ref="CZ286:DB287" si="436">CY286</f>
      </c>
      <c r="DA286" s="838">
        <f t="shared" si="436"/>
      </c>
      <c r="DB286" s="838">
        <f t="shared" si="436"/>
      </c>
      <c r="DC286" s="840"/>
      <c r="DD286" s="838">
        <f>99.99/4</f>
      </c>
      <c r="DE286" s="838">
        <f t="shared" ref="DE286:DG287" si="437">DD286</f>
      </c>
      <c r="DF286" s="838">
        <f t="shared" si="437"/>
      </c>
      <c r="DG286" s="838">
        <f t="shared" si="437"/>
      </c>
      <c r="DH286" s="840"/>
      <c r="DI286" s="838">
        <f>99.99/4</f>
      </c>
      <c r="DJ286" s="838">
        <f t="shared" ref="DJ286:DL287" si="438">DI286</f>
      </c>
      <c r="DK286" s="838">
        <f t="shared" si="438"/>
      </c>
      <c r="DL286" s="838">
        <f t="shared" si="438"/>
      </c>
      <c r="DM286" s="840"/>
      <c r="DN286" s="838">
        <f>99.99/4</f>
      </c>
      <c r="DO286" s="838">
        <f t="shared" ref="DO286:DQ287" si="439">DN286</f>
      </c>
      <c r="DP286" s="838">
        <f t="shared" si="439"/>
      </c>
      <c r="DQ286" s="838">
        <f t="shared" si="439"/>
      </c>
      <c r="DR286" s="840"/>
      <c r="DS286" s="838">
        <f>99.99/4</f>
      </c>
      <c r="DT286" s="838">
        <f t="shared" ref="DT286:DV287" si="440">DS286</f>
      </c>
      <c r="DU286" s="838">
        <f t="shared" si="440"/>
      </c>
      <c r="DV286" s="838">
        <f t="shared" si="440"/>
      </c>
      <c r="DW286" s="840"/>
      <c r="DX286" s="838">
        <f>99.99/4</f>
      </c>
      <c r="DY286" s="838">
        <f t="shared" ref="DY286:EA287" si="441">DX286</f>
      </c>
      <c r="DZ286" s="838">
        <f t="shared" si="441"/>
      </c>
      <c r="EA286" s="838">
        <f t="shared" si="441"/>
      </c>
      <c r="EB286" s="840"/>
      <c r="EC286" s="838">
        <f>99.99/4</f>
      </c>
      <c r="ED286" s="838">
        <f t="shared" ref="ED286:EF287" si="442">EC286</f>
      </c>
      <c r="EE286" s="838">
        <f t="shared" si="442"/>
      </c>
      <c r="EF286" s="838">
        <f t="shared" si="442"/>
      </c>
      <c r="EG286" s="840"/>
      <c r="EH286" s="838">
        <f>99.99/4</f>
      </c>
      <c r="EI286" s="838">
        <f t="shared" ref="EI286:EK287" si="443">EH286</f>
      </c>
      <c r="EJ286" s="838">
        <f t="shared" si="443"/>
      </c>
      <c r="EK286" s="838">
        <f t="shared" si="443"/>
      </c>
      <c r="EL286" s="840"/>
      <c r="EM286" s="838">
        <f>99.99/4</f>
      </c>
      <c r="EN286" s="838">
        <f t="shared" si="434"/>
      </c>
      <c r="EO286" s="838">
        <f t="shared" si="434"/>
      </c>
      <c r="EP286" s="838">
        <f t="shared" si="434"/>
      </c>
      <c r="EQ286" s="840"/>
      <c r="ER286" s="838">
        <f>99.99/4</f>
      </c>
      <c r="ES286" s="838">
        <f t="shared" ref="ES286:EU287" si="444">ER286</f>
      </c>
      <c r="ET286" s="838">
        <f t="shared" si="444"/>
      </c>
      <c r="EU286" s="1296">
        <f t="shared" si="444"/>
      </c>
      <c r="EV286" s="840"/>
      <c r="EW286" s="1648"/>
      <c r="EX286" s="841"/>
      <c r="EY286" s="838"/>
      <c r="EZ286" s="841"/>
      <c r="FA286" s="840"/>
      <c r="FB286" s="842"/>
      <c r="FC286" s="841"/>
      <c r="FD286" s="841"/>
      <c r="FE286" s="841"/>
      <c r="FF286" s="840"/>
      <c r="FG286" s="842"/>
      <c r="FH286" s="841"/>
      <c r="FI286" s="841"/>
      <c r="FJ286" s="841"/>
      <c r="FK286" s="840"/>
      <c r="FL286" s="842"/>
      <c r="FM286" s="841"/>
      <c r="FN286" s="841"/>
      <c r="FO286" s="841"/>
      <c r="FP286" s="840"/>
      <c r="FQ286" s="842"/>
      <c r="FR286" s="841"/>
      <c r="FS286" s="841"/>
      <c r="FT286" s="841"/>
      <c r="FU286" s="840"/>
      <c r="FV286" s="842"/>
      <c r="FW286" s="841"/>
      <c r="FX286" s="841"/>
      <c r="FY286" s="841"/>
      <c r="FZ286" s="840"/>
      <c r="GA286" s="842"/>
      <c r="GB286" s="841"/>
      <c r="GC286" s="841"/>
      <c r="GD286" s="841"/>
      <c r="GE286" s="840"/>
      <c r="GF286" s="842"/>
      <c r="GG286" s="841"/>
      <c r="GH286" s="841"/>
      <c r="GI286" s="841"/>
      <c r="GJ286" s="843"/>
    </row>
    <row r="287" spans="1:192" s="367" customFormat="1" ht="12.75" hidden="1" customHeight="1" outlineLevel="1">
      <c r="A287" s="784"/>
      <c r="B287" s="1302" t="s">
        <v>1869</v>
      </c>
      <c r="C287" s="291"/>
      <c r="D287" s="107"/>
      <c r="E287" s="107"/>
      <c r="F287" s="107"/>
      <c r="G287" s="292"/>
      <c r="H287" s="291"/>
      <c r="I287" s="107"/>
      <c r="J287" s="107"/>
      <c r="K287" s="107"/>
      <c r="L287" s="292"/>
      <c r="M287" s="291"/>
      <c r="N287" s="107"/>
      <c r="O287" s="107"/>
      <c r="P287" s="107"/>
      <c r="Q287" s="292"/>
      <c r="R287" s="291"/>
      <c r="S287" s="107"/>
      <c r="T287" s="107"/>
      <c r="U287" s="107"/>
      <c r="V287" s="292"/>
      <c r="W287" s="291"/>
      <c r="X287" s="107"/>
      <c r="Y287" s="107"/>
      <c r="Z287" s="107"/>
      <c r="AA287" s="292"/>
      <c r="AB287" s="291"/>
      <c r="AC287" s="107"/>
      <c r="AD287" s="107"/>
      <c r="AE287" s="107"/>
      <c r="AF287" s="292"/>
      <c r="AG287" s="291"/>
      <c r="AH287" s="107"/>
      <c r="AI287" s="107"/>
      <c r="AJ287" s="107"/>
      <c r="AK287" s="292"/>
      <c r="AL287" s="291"/>
      <c r="AM287" s="107"/>
      <c r="AN287" s="107"/>
      <c r="AO287" s="107"/>
      <c r="AP287" s="292"/>
      <c r="AQ287" s="291"/>
      <c r="AR287" s="107"/>
      <c r="AS287" s="107"/>
      <c r="AT287" s="107"/>
      <c r="AU287" s="292"/>
      <c r="AV287" s="291"/>
      <c r="AW287" s="107"/>
      <c r="AX287" s="107"/>
      <c r="AY287" s="107"/>
      <c r="AZ287" s="292"/>
      <c r="BA287" s="291"/>
      <c r="BB287" s="107"/>
      <c r="BC287" s="107"/>
      <c r="BD287" s="107"/>
      <c r="BE287" s="292"/>
      <c r="BF287" s="291"/>
      <c r="BG287" s="107"/>
      <c r="BH287" s="107"/>
      <c r="BI287" s="107"/>
      <c r="BJ287" s="292"/>
      <c r="BK287" s="291"/>
      <c r="BL287" s="107"/>
      <c r="BM287" s="107"/>
      <c r="BN287" s="107"/>
      <c r="BO287" s="292"/>
      <c r="BP287" s="291"/>
      <c r="BQ287" s="107"/>
      <c r="BR287" s="107"/>
      <c r="BS287" s="107"/>
      <c r="BT287" s="292"/>
      <c r="BU287" s="291"/>
      <c r="BV287" s="107"/>
      <c r="BW287" s="107"/>
      <c r="BX287" s="107"/>
      <c r="BY287" s="292"/>
      <c r="BZ287" s="291"/>
      <c r="CA287" s="107"/>
      <c r="CB287" s="107"/>
      <c r="CC287" s="107"/>
      <c r="CD287" s="292"/>
      <c r="CE287" s="291"/>
      <c r="CF287" s="107"/>
      <c r="CG287" s="107"/>
      <c r="CH287" s="107"/>
      <c r="CI287" s="292"/>
      <c r="CJ287" s="291"/>
      <c r="CK287" s="107"/>
      <c r="CL287" s="107"/>
      <c r="CM287" s="107"/>
      <c r="CN287" s="292"/>
      <c r="CO287" s="291"/>
      <c r="CP287" s="107"/>
      <c r="CQ287" s="107"/>
      <c r="CR287" s="107"/>
      <c r="CS287" s="292"/>
      <c r="CT287" s="291"/>
      <c r="CU287" s="107"/>
      <c r="CV287" s="107"/>
      <c r="CW287" s="107"/>
      <c r="CX287" s="292"/>
      <c r="CY287" s="114">
        <v>0.9</v>
      </c>
      <c r="CZ287" s="114">
        <f t="shared" si="436"/>
      </c>
      <c r="DA287" s="114">
        <f t="shared" si="436"/>
      </c>
      <c r="DB287" s="114">
        <f t="shared" si="436"/>
      </c>
      <c r="DC287" s="292"/>
      <c r="DD287" s="114">
        <v>0.9</v>
      </c>
      <c r="DE287" s="114">
        <f t="shared" si="437"/>
      </c>
      <c r="DF287" s="114">
        <f t="shared" si="437"/>
      </c>
      <c r="DG287" s="114">
        <f t="shared" si="437"/>
      </c>
      <c r="DH287" s="292"/>
      <c r="DI287" s="114">
        <v>0.9</v>
      </c>
      <c r="DJ287" s="114">
        <f t="shared" si="438"/>
      </c>
      <c r="DK287" s="114">
        <f t="shared" si="438"/>
      </c>
      <c r="DL287" s="114">
        <f t="shared" si="438"/>
      </c>
      <c r="DM287" s="292"/>
      <c r="DN287" s="114">
        <v>0.9</v>
      </c>
      <c r="DO287" s="114">
        <f t="shared" si="439"/>
      </c>
      <c r="DP287" s="114">
        <f t="shared" si="439"/>
      </c>
      <c r="DQ287" s="114">
        <f t="shared" si="439"/>
      </c>
      <c r="DR287" s="292"/>
      <c r="DS287" s="114">
        <v>0.9</v>
      </c>
      <c r="DT287" s="114">
        <f t="shared" si="440"/>
      </c>
      <c r="DU287" s="114">
        <f t="shared" si="440"/>
      </c>
      <c r="DV287" s="114">
        <f t="shared" si="440"/>
      </c>
      <c r="DW287" s="292"/>
      <c r="DX287" s="114">
        <v>0.9</v>
      </c>
      <c r="DY287" s="114">
        <f t="shared" si="441"/>
      </c>
      <c r="DZ287" s="114">
        <f t="shared" si="441"/>
      </c>
      <c r="EA287" s="114">
        <f t="shared" si="441"/>
      </c>
      <c r="EB287" s="292"/>
      <c r="EC287" s="114">
        <v>0.9</v>
      </c>
      <c r="ED287" s="114">
        <f t="shared" si="442"/>
      </c>
      <c r="EE287" s="114">
        <f t="shared" si="442"/>
      </c>
      <c r="EF287" s="114">
        <f t="shared" si="442"/>
      </c>
      <c r="EG287" s="292"/>
      <c r="EH287" s="114">
        <v>0.9</v>
      </c>
      <c r="EI287" s="114">
        <f t="shared" si="443"/>
      </c>
      <c r="EJ287" s="114">
        <f t="shared" si="443"/>
      </c>
      <c r="EK287" s="114">
        <f t="shared" si="443"/>
      </c>
      <c r="EL287" s="292"/>
      <c r="EM287" s="114">
        <v>0.9</v>
      </c>
      <c r="EN287" s="114">
        <f t="shared" si="434"/>
      </c>
      <c r="EO287" s="114">
        <f t="shared" si="434"/>
      </c>
      <c r="EP287" s="114">
        <f t="shared" si="434"/>
      </c>
      <c r="EQ287" s="292"/>
      <c r="ER287" s="114">
        <v>0.9</v>
      </c>
      <c r="ES287" s="114">
        <f t="shared" si="444"/>
      </c>
      <c r="ET287" s="114">
        <f t="shared" si="444"/>
      </c>
      <c r="EU287" s="439">
        <f t="shared" si="444"/>
      </c>
      <c r="EV287" s="292"/>
      <c r="EW287" s="441"/>
      <c r="EX287" s="107"/>
      <c r="EY287" s="114"/>
      <c r="EZ287" s="107"/>
      <c r="FA287" s="292"/>
      <c r="FB287" s="291"/>
      <c r="FC287" s="107"/>
      <c r="FD287" s="107"/>
      <c r="FE287" s="107"/>
      <c r="FF287" s="292"/>
      <c r="FG287" s="291"/>
      <c r="FH287" s="107"/>
      <c r="FI287" s="107"/>
      <c r="FJ287" s="107"/>
      <c r="FK287" s="292"/>
      <c r="FL287" s="291"/>
      <c r="FM287" s="107"/>
      <c r="FN287" s="107"/>
      <c r="FO287" s="107"/>
      <c r="FP287" s="292"/>
      <c r="FQ287" s="291"/>
      <c r="FR287" s="107"/>
      <c r="FS287" s="107"/>
      <c r="FT287" s="107"/>
      <c r="FU287" s="292"/>
      <c r="FV287" s="291"/>
      <c r="FW287" s="107"/>
      <c r="FX287" s="107"/>
      <c r="FY287" s="107"/>
      <c r="FZ287" s="292"/>
      <c r="GA287" s="291"/>
      <c r="GB287" s="107"/>
      <c r="GC287" s="107"/>
      <c r="GD287" s="107"/>
      <c r="GE287" s="292"/>
      <c r="GF287" s="291"/>
      <c r="GG287" s="107"/>
      <c r="GH287" s="107"/>
      <c r="GI287" s="107"/>
      <c r="GJ287" s="384"/>
    </row>
    <row r="288" spans="1:192" s="844" customFormat="1" ht="12.75" hidden="1" customHeight="1" outlineLevel="1">
      <c r="A288" s="836"/>
      <c r="B288" s="1297"/>
      <c r="C288" s="837"/>
      <c r="D288" s="838"/>
      <c r="E288" s="838"/>
      <c r="F288" s="838"/>
      <c r="G288" s="839"/>
      <c r="H288" s="837"/>
      <c r="I288" s="838"/>
      <c r="J288" s="838"/>
      <c r="K288" s="838"/>
      <c r="L288" s="839"/>
      <c r="M288" s="837"/>
      <c r="N288" s="838"/>
      <c r="O288" s="838"/>
      <c r="P288" s="838"/>
      <c r="Q288" s="839"/>
      <c r="R288" s="837"/>
      <c r="S288" s="838"/>
      <c r="T288" s="838"/>
      <c r="U288" s="838"/>
      <c r="V288" s="839"/>
      <c r="W288" s="837"/>
      <c r="X288" s="838"/>
      <c r="Y288" s="838"/>
      <c r="Z288" s="838"/>
      <c r="AA288" s="839"/>
      <c r="AB288" s="837"/>
      <c r="AC288" s="838"/>
      <c r="AD288" s="838"/>
      <c r="AE288" s="838"/>
      <c r="AF288" s="839"/>
      <c r="AG288" s="837"/>
      <c r="AH288" s="838"/>
      <c r="AI288" s="838"/>
      <c r="AJ288" s="838"/>
      <c r="AK288" s="839"/>
      <c r="AL288" s="837"/>
      <c r="AM288" s="838"/>
      <c r="AN288" s="838"/>
      <c r="AO288" s="838"/>
      <c r="AP288" s="839"/>
      <c r="AQ288" s="837"/>
      <c r="AR288" s="838"/>
      <c r="AS288" s="838"/>
      <c r="AT288" s="838"/>
      <c r="AU288" s="839"/>
      <c r="AV288" s="837"/>
      <c r="AW288" s="838"/>
      <c r="AX288" s="838"/>
      <c r="AY288" s="838"/>
      <c r="AZ288" s="839"/>
      <c r="BA288" s="837"/>
      <c r="BB288" s="838"/>
      <c r="BC288" s="838"/>
      <c r="BD288" s="838"/>
      <c r="BE288" s="839"/>
      <c r="BF288" s="837"/>
      <c r="BG288" s="838"/>
      <c r="BH288" s="838"/>
      <c r="BI288" s="838"/>
      <c r="BJ288" s="839"/>
      <c r="BK288" s="837"/>
      <c r="BL288" s="838"/>
      <c r="BM288" s="838"/>
      <c r="BN288" s="838"/>
      <c r="BO288" s="839"/>
      <c r="BP288" s="837"/>
      <c r="BQ288" s="838"/>
      <c r="BR288" s="838"/>
      <c r="BS288" s="838"/>
      <c r="BT288" s="839"/>
      <c r="BU288" s="837"/>
      <c r="BV288" s="838"/>
      <c r="BW288" s="838"/>
      <c r="BX288" s="838"/>
      <c r="BY288" s="839"/>
      <c r="BZ288" s="837"/>
      <c r="CA288" s="838"/>
      <c r="CB288" s="838"/>
      <c r="CC288" s="838"/>
      <c r="CD288" s="840"/>
      <c r="CE288" s="837"/>
      <c r="CF288" s="838"/>
      <c r="CG288" s="838"/>
      <c r="CH288" s="838"/>
      <c r="CI288" s="840"/>
      <c r="CJ288" s="837"/>
      <c r="CK288" s="838"/>
      <c r="CL288" s="838"/>
      <c r="CM288" s="838"/>
      <c r="CN288" s="840"/>
      <c r="CO288" s="837"/>
      <c r="CP288" s="838"/>
      <c r="CQ288" s="838"/>
      <c r="CR288" s="838"/>
      <c r="CS288" s="840"/>
      <c r="CT288" s="837"/>
      <c r="CU288" s="838"/>
      <c r="CV288" s="838"/>
      <c r="CW288" s="838"/>
      <c r="CX288" s="840"/>
      <c r="CY288" s="838"/>
      <c r="CZ288" s="838"/>
      <c r="DA288" s="838"/>
      <c r="DB288" s="838"/>
      <c r="DC288" s="840"/>
      <c r="DD288" s="838"/>
      <c r="DE288" s="838"/>
      <c r="DF288" s="838"/>
      <c r="DG288" s="838"/>
      <c r="DH288" s="840"/>
      <c r="DI288" s="838"/>
      <c r="DJ288" s="838"/>
      <c r="DK288" s="838"/>
      <c r="DL288" s="838"/>
      <c r="DM288" s="840"/>
      <c r="DN288" s="838"/>
      <c r="DO288" s="838"/>
      <c r="DP288" s="838"/>
      <c r="DQ288" s="838"/>
      <c r="DR288" s="840"/>
      <c r="DS288" s="838"/>
      <c r="DT288" s="838"/>
      <c r="DU288" s="838"/>
      <c r="DV288" s="838"/>
      <c r="DW288" s="840"/>
      <c r="DX288" s="838"/>
      <c r="DY288" s="838"/>
      <c r="DZ288" s="838"/>
      <c r="EA288" s="838"/>
      <c r="EB288" s="840"/>
      <c r="EC288" s="838"/>
      <c r="ED288" s="838"/>
      <c r="EE288" s="838"/>
      <c r="EF288" s="838"/>
      <c r="EG288" s="840"/>
      <c r="EH288" s="838"/>
      <c r="EI288" s="838"/>
      <c r="EJ288" s="838"/>
      <c r="EK288" s="838"/>
      <c r="EL288" s="840"/>
      <c r="EM288" s="838"/>
      <c r="EN288" s="838"/>
      <c r="EO288" s="838"/>
      <c r="EP288" s="838"/>
      <c r="EQ288" s="840"/>
      <c r="ER288" s="838"/>
      <c r="ES288" s="838"/>
      <c r="ET288" s="841"/>
      <c r="EU288" s="1497"/>
      <c r="EV288" s="840"/>
      <c r="EW288" s="1647"/>
      <c r="EX288" s="841"/>
      <c r="EY288" s="841"/>
      <c r="EZ288" s="841"/>
      <c r="FA288" s="840"/>
      <c r="FB288" s="842"/>
      <c r="FC288" s="841"/>
      <c r="FD288" s="841"/>
      <c r="FE288" s="841"/>
      <c r="FF288" s="840"/>
      <c r="FG288" s="842"/>
      <c r="FH288" s="841"/>
      <c r="FI288" s="841"/>
      <c r="FJ288" s="841"/>
      <c r="FK288" s="840"/>
      <c r="FL288" s="842"/>
      <c r="FM288" s="841"/>
      <c r="FN288" s="841"/>
      <c r="FO288" s="841"/>
      <c r="FP288" s="840"/>
      <c r="FQ288" s="842"/>
      <c r="FR288" s="841"/>
      <c r="FS288" s="841"/>
      <c r="FT288" s="841"/>
      <c r="FU288" s="840"/>
      <c r="FV288" s="842"/>
      <c r="FW288" s="841"/>
      <c r="FX288" s="841"/>
      <c r="FY288" s="841"/>
      <c r="FZ288" s="840"/>
      <c r="GA288" s="842"/>
      <c r="GB288" s="841"/>
      <c r="GC288" s="841"/>
      <c r="GD288" s="841"/>
      <c r="GE288" s="840"/>
      <c r="GF288" s="842"/>
      <c r="GG288" s="841"/>
      <c r="GH288" s="841"/>
      <c r="GI288" s="841"/>
      <c r="GJ288" s="843"/>
    </row>
    <row r="289" spans="1:192" s="1303" customFormat="1" ht="12.75" hidden="1" customHeight="1" outlineLevel="1">
      <c r="A289" s="836"/>
      <c r="B289" s="1301" t="s">
        <v>1876</v>
      </c>
      <c r="C289" s="842"/>
      <c r="D289" s="841"/>
      <c r="E289" s="841"/>
      <c r="F289" s="841"/>
      <c r="G289" s="840"/>
      <c r="H289" s="842"/>
      <c r="I289" s="841"/>
      <c r="J289" s="841"/>
      <c r="K289" s="841"/>
      <c r="L289" s="840"/>
      <c r="M289" s="842"/>
      <c r="N289" s="841"/>
      <c r="O289" s="841"/>
      <c r="P289" s="841"/>
      <c r="Q289" s="840"/>
      <c r="R289" s="842"/>
      <c r="S289" s="841"/>
      <c r="T289" s="841"/>
      <c r="U289" s="841"/>
      <c r="V289" s="840"/>
      <c r="W289" s="842"/>
      <c r="X289" s="841"/>
      <c r="Y289" s="841"/>
      <c r="Z289" s="841"/>
      <c r="AA289" s="840"/>
      <c r="AB289" s="842"/>
      <c r="AC289" s="841"/>
      <c r="AD289" s="841"/>
      <c r="AE289" s="841"/>
      <c r="AF289" s="840"/>
      <c r="AG289" s="842"/>
      <c r="AH289" s="841"/>
      <c r="AI289" s="841"/>
      <c r="AJ289" s="841"/>
      <c r="AK289" s="840"/>
      <c r="AL289" s="842"/>
      <c r="AM289" s="841"/>
      <c r="AN289" s="841"/>
      <c r="AO289" s="841"/>
      <c r="AP289" s="840"/>
      <c r="AQ289" s="842"/>
      <c r="AR289" s="841"/>
      <c r="AS289" s="841"/>
      <c r="AT289" s="841"/>
      <c r="AU289" s="840"/>
      <c r="AV289" s="842"/>
      <c r="AW289" s="841"/>
      <c r="AX289" s="841"/>
      <c r="AY289" s="841"/>
      <c r="AZ289" s="840"/>
      <c r="BA289" s="842"/>
      <c r="BB289" s="841"/>
      <c r="BC289" s="841"/>
      <c r="BD289" s="841"/>
      <c r="BE289" s="840"/>
      <c r="BF289" s="842"/>
      <c r="BG289" s="841"/>
      <c r="BH289" s="841"/>
      <c r="BI289" s="841"/>
      <c r="BJ289" s="840"/>
      <c r="BK289" s="842"/>
      <c r="BL289" s="841"/>
      <c r="BM289" s="841"/>
      <c r="BN289" s="841"/>
      <c r="BO289" s="840"/>
      <c r="BP289" s="842"/>
      <c r="BQ289" s="841"/>
      <c r="BR289" s="841"/>
      <c r="BS289" s="841"/>
      <c r="BT289" s="840"/>
      <c r="BU289" s="842"/>
      <c r="BV289" s="841"/>
      <c r="BW289" s="841"/>
      <c r="BX289" s="841"/>
      <c r="BY289" s="840"/>
      <c r="BZ289" s="842"/>
      <c r="CA289" s="841"/>
      <c r="CB289" s="841"/>
      <c r="CC289" s="841"/>
      <c r="CD289" s="840"/>
      <c r="CE289" s="842"/>
      <c r="CF289" s="841"/>
      <c r="CG289" s="841"/>
      <c r="CH289" s="841"/>
      <c r="CI289" s="840"/>
      <c r="CJ289" s="842"/>
      <c r="CK289" s="841"/>
      <c r="CL289" s="841"/>
      <c r="CM289" s="841"/>
      <c r="CN289" s="840"/>
      <c r="CO289" s="842"/>
      <c r="CP289" s="841"/>
      <c r="CQ289" s="841"/>
      <c r="CR289" s="841"/>
      <c r="CS289" s="840"/>
      <c r="CT289" s="842"/>
      <c r="CU289" s="841"/>
      <c r="CV289" s="841"/>
      <c r="CW289" s="841"/>
      <c r="CX289" s="840"/>
      <c r="CY289" s="841">
        <f>(CY291*CY292)+(CY293*CY294)</f>
      </c>
      <c r="CZ289" s="841">
        <f>CY289</f>
      </c>
      <c r="DA289" s="841">
        <f>CZ289</f>
      </c>
      <c r="DB289" s="841">
        <f>DA289</f>
      </c>
      <c r="DC289" s="840"/>
      <c r="DD289" s="841">
        <f>(DD291*DD292)+(DD293*DD294)</f>
      </c>
      <c r="DE289" s="841">
        <f>DD289</f>
      </c>
      <c r="DF289" s="841">
        <f>DE289</f>
      </c>
      <c r="DG289" s="841">
        <f>DF289</f>
      </c>
      <c r="DH289" s="840"/>
      <c r="DI289" s="841">
        <f>(DI291*DI292)+(DI293*DI294)</f>
      </c>
      <c r="DJ289" s="841">
        <f>DI289</f>
      </c>
      <c r="DK289" s="841">
        <f>DJ289</f>
      </c>
      <c r="DL289" s="841">
        <f>DK289</f>
      </c>
      <c r="DM289" s="840"/>
      <c r="DN289" s="841">
        <f>(DN291*DN292)+(DN293*DN294)</f>
      </c>
      <c r="DO289" s="841">
        <f>DN289</f>
      </c>
      <c r="DP289" s="841">
        <f>DO289</f>
      </c>
      <c r="DQ289" s="841">
        <f>DP289</f>
      </c>
      <c r="DR289" s="840"/>
      <c r="DS289" s="841">
        <f>(DS291*DS292)+(DS293*DS294)</f>
      </c>
      <c r="DT289" s="841">
        <f>DS289</f>
      </c>
      <c r="DU289" s="841">
        <f>DT289</f>
      </c>
      <c r="DV289" s="841">
        <f>DU289</f>
      </c>
      <c r="DW289" s="840"/>
      <c r="DX289" s="841">
        <f>(DX291*DX292)+(DX293*DX294)</f>
      </c>
      <c r="DY289" s="841">
        <f>DX289</f>
      </c>
      <c r="DZ289" s="841">
        <f>DY289</f>
      </c>
      <c r="EA289" s="841">
        <f>DZ289</f>
      </c>
      <c r="EB289" s="840"/>
      <c r="EC289" s="841">
        <f>(EC291*EC292)+(EC293*EC294)</f>
      </c>
      <c r="ED289" s="841">
        <f>EC289</f>
      </c>
      <c r="EE289" s="841">
        <f>ED289</f>
      </c>
      <c r="EF289" s="841">
        <f>EE289</f>
      </c>
      <c r="EG289" s="840"/>
      <c r="EH289" s="841">
        <f>(EH291*EH292)+(EH293*EH294)</f>
      </c>
      <c r="EI289" s="841">
        <f>EH289</f>
      </c>
      <c r="EJ289" s="841">
        <f>EI289</f>
      </c>
      <c r="EK289" s="841">
        <f>EJ289</f>
      </c>
      <c r="EL289" s="840"/>
      <c r="EM289" s="841">
        <f>(EM291*EM292)+(EM293*EM294)</f>
      </c>
      <c r="EN289" s="841">
        <f>EM289</f>
      </c>
      <c r="EO289" s="841">
        <f>EN289</f>
      </c>
      <c r="EP289" s="841">
        <f>EO289</f>
      </c>
      <c r="EQ289" s="840"/>
      <c r="ER289" s="841">
        <f>(ER291*ER292)+(ER293*ER294)</f>
      </c>
      <c r="ES289" s="841">
        <f>ER289</f>
      </c>
      <c r="ET289" s="841">
        <f>ES289</f>
      </c>
      <c r="EU289" s="1497">
        <f>ET289</f>
      </c>
      <c r="EV289" s="840"/>
      <c r="EW289" s="1647"/>
      <c r="EX289" s="841"/>
      <c r="EY289" s="841"/>
      <c r="EZ289" s="841"/>
      <c r="FA289" s="840"/>
      <c r="FB289" s="842"/>
      <c r="FC289" s="841"/>
      <c r="FD289" s="841"/>
      <c r="FE289" s="841"/>
      <c r="FF289" s="840"/>
      <c r="FG289" s="842"/>
      <c r="FH289" s="841"/>
      <c r="FI289" s="841"/>
      <c r="FJ289" s="841"/>
      <c r="FK289" s="840"/>
      <c r="FL289" s="842"/>
      <c r="FM289" s="841"/>
      <c r="FN289" s="841"/>
      <c r="FO289" s="841"/>
      <c r="FP289" s="840"/>
      <c r="FQ289" s="842"/>
      <c r="FR289" s="841"/>
      <c r="FS289" s="841"/>
      <c r="FT289" s="841"/>
      <c r="FU289" s="840"/>
      <c r="FV289" s="842"/>
      <c r="FW289" s="841"/>
      <c r="FX289" s="841"/>
      <c r="FY289" s="841"/>
      <c r="FZ289" s="840"/>
      <c r="GA289" s="842"/>
      <c r="GB289" s="841"/>
      <c r="GC289" s="841"/>
      <c r="GD289" s="841"/>
      <c r="GE289" s="840"/>
      <c r="GF289" s="842"/>
      <c r="GG289" s="841"/>
      <c r="GH289" s="841"/>
      <c r="GI289" s="841"/>
      <c r="GJ289" s="843"/>
    </row>
    <row r="290" spans="1:192" s="367" customFormat="1" ht="12.75" hidden="1" customHeight="1" outlineLevel="1">
      <c r="A290" s="784"/>
      <c r="B290" s="1301" t="s">
        <v>1873</v>
      </c>
      <c r="C290" s="291"/>
      <c r="D290" s="107"/>
      <c r="E290" s="107"/>
      <c r="F290" s="107"/>
      <c r="G290" s="292"/>
      <c r="H290" s="291"/>
      <c r="I290" s="107"/>
      <c r="J290" s="107"/>
      <c r="K290" s="107"/>
      <c r="L290" s="292"/>
      <c r="M290" s="291"/>
      <c r="N290" s="107"/>
      <c r="O290" s="107"/>
      <c r="P290" s="107"/>
      <c r="Q290" s="292"/>
      <c r="R290" s="291"/>
      <c r="S290" s="107"/>
      <c r="T290" s="107"/>
      <c r="U290" s="107"/>
      <c r="V290" s="292"/>
      <c r="W290" s="291"/>
      <c r="X290" s="107"/>
      <c r="Y290" s="107"/>
      <c r="Z290" s="107"/>
      <c r="AA290" s="292"/>
      <c r="AB290" s="291"/>
      <c r="AC290" s="107"/>
      <c r="AD290" s="107"/>
      <c r="AE290" s="107"/>
      <c r="AF290" s="292"/>
      <c r="AG290" s="291"/>
      <c r="AH290" s="107"/>
      <c r="AI290" s="107"/>
      <c r="AJ290" s="107"/>
      <c r="AK290" s="292"/>
      <c r="AL290" s="291"/>
      <c r="AM290" s="107"/>
      <c r="AN290" s="107"/>
      <c r="AO290" s="107"/>
      <c r="AP290" s="292"/>
      <c r="AQ290" s="291"/>
      <c r="AR290" s="107"/>
      <c r="AS290" s="107"/>
      <c r="AT290" s="107"/>
      <c r="AU290" s="292"/>
      <c r="AV290" s="291"/>
      <c r="AW290" s="107"/>
      <c r="AX290" s="107"/>
      <c r="AY290" s="107"/>
      <c r="AZ290" s="292"/>
      <c r="BA290" s="291"/>
      <c r="BB290" s="107"/>
      <c r="BC290" s="107"/>
      <c r="BD290" s="107"/>
      <c r="BE290" s="292"/>
      <c r="BF290" s="291"/>
      <c r="BG290" s="107"/>
      <c r="BH290" s="107"/>
      <c r="BI290" s="107"/>
      <c r="BJ290" s="292"/>
      <c r="BK290" s="291"/>
      <c r="BL290" s="107"/>
      <c r="BM290" s="107"/>
      <c r="BN290" s="107"/>
      <c r="BO290" s="292"/>
      <c r="BP290" s="291"/>
      <c r="BQ290" s="107"/>
      <c r="BR290" s="107"/>
      <c r="BS290" s="107"/>
      <c r="BT290" s="292"/>
      <c r="BU290" s="291"/>
      <c r="BV290" s="107"/>
      <c r="BW290" s="107"/>
      <c r="BX290" s="107"/>
      <c r="BY290" s="292"/>
      <c r="BZ290" s="291"/>
      <c r="CA290" s="107"/>
      <c r="CB290" s="107"/>
      <c r="CC290" s="107"/>
      <c r="CD290" s="292"/>
      <c r="CE290" s="291"/>
      <c r="CF290" s="107"/>
      <c r="CG290" s="107"/>
      <c r="CH290" s="107"/>
      <c r="CI290" s="292"/>
      <c r="CJ290" s="291"/>
      <c r="CK290" s="107"/>
      <c r="CL290" s="107"/>
      <c r="CM290" s="107"/>
      <c r="CN290" s="292"/>
      <c r="CO290" s="291"/>
      <c r="CP290" s="107"/>
      <c r="CQ290" s="107"/>
      <c r="CR290" s="107"/>
      <c r="CS290" s="292"/>
      <c r="CT290" s="291"/>
      <c r="CU290" s="107"/>
      <c r="CV290" s="107"/>
      <c r="CW290" s="107"/>
      <c r="CX290" s="292"/>
      <c r="CY290" s="107">
        <f>100%-CY283-CY297</f>
      </c>
      <c r="CZ290" s="107">
        <f>100%-CZ283-CZ297</f>
      </c>
      <c r="DA290" s="107">
        <f>100%-DA283-DA297</f>
      </c>
      <c r="DB290" s="107">
        <f>100%-DB283-DB297</f>
      </c>
      <c r="DC290" s="292"/>
      <c r="DD290" s="107">
        <f>100%-DD283-DD297</f>
      </c>
      <c r="DE290" s="107">
        <f>100%-DE283-DE297</f>
      </c>
      <c r="DF290" s="107">
        <f>100%-DF283-DF297</f>
      </c>
      <c r="DG290" s="107">
        <f>100%-DG283-DG297</f>
      </c>
      <c r="DH290" s="292"/>
      <c r="DI290" s="107">
        <f>100%-DI283-DI297</f>
      </c>
      <c r="DJ290" s="107">
        <f>100%-DJ283-DJ297</f>
      </c>
      <c r="DK290" s="107">
        <f>100%-DK283-DK297</f>
      </c>
      <c r="DL290" s="107">
        <f>100%-DL283-DL297</f>
      </c>
      <c r="DM290" s="292"/>
      <c r="DN290" s="107">
        <f>100%-DN283-DN297</f>
      </c>
      <c r="DO290" s="107">
        <f>100%-DO283-DO297</f>
      </c>
      <c r="DP290" s="107">
        <f>100%-DP283-DP297</f>
      </c>
      <c r="DQ290" s="107">
        <f>100%-DQ283-DQ297</f>
      </c>
      <c r="DR290" s="292"/>
      <c r="DS290" s="107">
        <f>100%-DS283-DS297</f>
      </c>
      <c r="DT290" s="107">
        <f>100%-DT283-DT297</f>
      </c>
      <c r="DU290" s="107">
        <f>100%-DU283-DU297</f>
      </c>
      <c r="DV290" s="107">
        <f>100%-DV283-DV297</f>
      </c>
      <c r="DW290" s="292"/>
      <c r="DX290" s="107">
        <f>100%-DX283-DX297</f>
      </c>
      <c r="DY290" s="107">
        <f>100%-DY283-DY297</f>
      </c>
      <c r="DZ290" s="107">
        <f>100%-DZ283-DZ297</f>
      </c>
      <c r="EA290" s="107">
        <f>100%-EA283-EA297</f>
      </c>
      <c r="EB290" s="292"/>
      <c r="EC290" s="107">
        <f>100%-EC283-EC297</f>
      </c>
      <c r="ED290" s="107">
        <f>100%-ED283-ED297</f>
      </c>
      <c r="EE290" s="107">
        <f>100%-EE283-EE297</f>
      </c>
      <c r="EF290" s="107">
        <f>100%-EF283-EF297</f>
      </c>
      <c r="EG290" s="292"/>
      <c r="EH290" s="107">
        <f>100%-EH283-EH297</f>
      </c>
      <c r="EI290" s="107">
        <f>100%-EI283-EI297</f>
      </c>
      <c r="EJ290" s="107">
        <f>100%-EJ283-EJ297</f>
      </c>
      <c r="EK290" s="107">
        <f>100%-EK283-EK297</f>
      </c>
      <c r="EL290" s="292"/>
      <c r="EM290" s="107">
        <f>100%-EM283-EM297</f>
      </c>
      <c r="EN290" s="107">
        <f>100%-EN283-EN297</f>
      </c>
      <c r="EO290" s="107">
        <f>100%-EO283-EO297</f>
      </c>
      <c r="EP290" s="107">
        <f>100%-EP283-EP297</f>
      </c>
      <c r="EQ290" s="292"/>
      <c r="ER290" s="107">
        <f>100%-ER283-ER297</f>
      </c>
      <c r="ES290" s="107">
        <f>100%-ES283-ES297</f>
      </c>
      <c r="ET290" s="107">
        <f>100%-ET283-ET297</f>
      </c>
      <c r="EU290" s="468">
        <f>100%-EU283-EU297</f>
      </c>
      <c r="EV290" s="292"/>
      <c r="EW290" s="349"/>
      <c r="EX290" s="107"/>
      <c r="EY290" s="107"/>
      <c r="EZ290" s="107"/>
      <c r="FA290" s="292"/>
      <c r="FB290" s="291"/>
      <c r="FC290" s="107"/>
      <c r="FD290" s="107"/>
      <c r="FE290" s="107"/>
      <c r="FF290" s="292"/>
      <c r="FG290" s="291"/>
      <c r="FH290" s="107"/>
      <c r="FI290" s="107"/>
      <c r="FJ290" s="107"/>
      <c r="FK290" s="292"/>
      <c r="FL290" s="291"/>
      <c r="FM290" s="107"/>
      <c r="FN290" s="107"/>
      <c r="FO290" s="107"/>
      <c r="FP290" s="292"/>
      <c r="FQ290" s="291"/>
      <c r="FR290" s="107"/>
      <c r="FS290" s="107"/>
      <c r="FT290" s="107"/>
      <c r="FU290" s="292"/>
      <c r="FV290" s="291"/>
      <c r="FW290" s="107"/>
      <c r="FX290" s="107"/>
      <c r="FY290" s="107"/>
      <c r="FZ290" s="292"/>
      <c r="GA290" s="291"/>
      <c r="GB290" s="107"/>
      <c r="GC290" s="107"/>
      <c r="GD290" s="107"/>
      <c r="GE290" s="292"/>
      <c r="GF290" s="291"/>
      <c r="GG290" s="107"/>
      <c r="GH290" s="107"/>
      <c r="GI290" s="107"/>
      <c r="GJ290" s="384"/>
    </row>
    <row r="291" spans="1:192" s="844" customFormat="1" ht="12.75" hidden="1" customHeight="1" outlineLevel="1">
      <c r="A291" s="836"/>
      <c r="B291" s="1299" t="s">
        <v>1866</v>
      </c>
      <c r="C291" s="837"/>
      <c r="D291" s="838"/>
      <c r="E291" s="838"/>
      <c r="F291" s="838"/>
      <c r="G291" s="839"/>
      <c r="H291" s="837"/>
      <c r="I291" s="838"/>
      <c r="J291" s="838"/>
      <c r="K291" s="838"/>
      <c r="L291" s="839"/>
      <c r="M291" s="837"/>
      <c r="N291" s="838"/>
      <c r="O291" s="838"/>
      <c r="P291" s="838"/>
      <c r="Q291" s="839"/>
      <c r="R291" s="837"/>
      <c r="S291" s="838"/>
      <c r="T291" s="838"/>
      <c r="U291" s="838"/>
      <c r="V291" s="839"/>
      <c r="W291" s="837"/>
      <c r="X291" s="838"/>
      <c r="Y291" s="838"/>
      <c r="Z291" s="838"/>
      <c r="AA291" s="839"/>
      <c r="AB291" s="837"/>
      <c r="AC291" s="838"/>
      <c r="AD291" s="838"/>
      <c r="AE291" s="838"/>
      <c r="AF291" s="839"/>
      <c r="AG291" s="837"/>
      <c r="AH291" s="838"/>
      <c r="AI291" s="838"/>
      <c r="AJ291" s="838"/>
      <c r="AK291" s="839"/>
      <c r="AL291" s="837"/>
      <c r="AM291" s="838"/>
      <c r="AN291" s="838"/>
      <c r="AO291" s="838"/>
      <c r="AP291" s="839"/>
      <c r="AQ291" s="837"/>
      <c r="AR291" s="838"/>
      <c r="AS291" s="838"/>
      <c r="AT291" s="838"/>
      <c r="AU291" s="839"/>
      <c r="AV291" s="837"/>
      <c r="AW291" s="838"/>
      <c r="AX291" s="838"/>
      <c r="AY291" s="838"/>
      <c r="AZ291" s="839"/>
      <c r="BA291" s="837"/>
      <c r="BB291" s="838"/>
      <c r="BC291" s="838"/>
      <c r="BD291" s="838"/>
      <c r="BE291" s="839"/>
      <c r="BF291" s="837"/>
      <c r="BG291" s="838"/>
      <c r="BH291" s="838"/>
      <c r="BI291" s="838"/>
      <c r="BJ291" s="839"/>
      <c r="BK291" s="837"/>
      <c r="BL291" s="838"/>
      <c r="BM291" s="838"/>
      <c r="BN291" s="838"/>
      <c r="BO291" s="839"/>
      <c r="BP291" s="837"/>
      <c r="BQ291" s="838"/>
      <c r="BR291" s="838"/>
      <c r="BS291" s="838"/>
      <c r="BT291" s="839"/>
      <c r="BU291" s="837"/>
      <c r="BV291" s="838"/>
      <c r="BW291" s="838"/>
      <c r="BX291" s="838"/>
      <c r="BY291" s="839"/>
      <c r="BZ291" s="837"/>
      <c r="CA291" s="838"/>
      <c r="CB291" s="838"/>
      <c r="CC291" s="838"/>
      <c r="CD291" s="840"/>
      <c r="CE291" s="837"/>
      <c r="CF291" s="838"/>
      <c r="CG291" s="838"/>
      <c r="CH291" s="838"/>
      <c r="CI291" s="840"/>
      <c r="CJ291" s="837"/>
      <c r="CK291" s="838"/>
      <c r="CL291" s="838"/>
      <c r="CM291" s="838"/>
      <c r="CN291" s="840"/>
      <c r="CO291" s="837"/>
      <c r="CP291" s="838"/>
      <c r="CQ291" s="838"/>
      <c r="CR291" s="838"/>
      <c r="CS291" s="840"/>
      <c r="CT291" s="837"/>
      <c r="CU291" s="838"/>
      <c r="CV291" s="838"/>
      <c r="CW291" s="838"/>
      <c r="CX291" s="840"/>
      <c r="CY291" s="838">
        <f>6.99*3</f>
      </c>
      <c r="CZ291" s="838">
        <f>6.99*3</f>
      </c>
      <c r="DA291" s="838">
        <f>6.99*3</f>
      </c>
      <c r="DB291" s="838">
        <f>6.99*3</f>
      </c>
      <c r="DC291" s="840"/>
      <c r="DD291" s="838">
        <f>6.99*3</f>
      </c>
      <c r="DE291" s="838">
        <f>6.99*3</f>
      </c>
      <c r="DF291" s="838">
        <f>6.99*3</f>
      </c>
      <c r="DG291" s="838">
        <f>6.99*3</f>
      </c>
      <c r="DH291" s="840"/>
      <c r="DI291" s="838">
        <f>6.99*3</f>
      </c>
      <c r="DJ291" s="838">
        <f>6.99*3</f>
      </c>
      <c r="DK291" s="838">
        <f>6.99*3</f>
      </c>
      <c r="DL291" s="838">
        <f>6.99*3</f>
      </c>
      <c r="DM291" s="840"/>
      <c r="DN291" s="838">
        <f>6.99*3</f>
      </c>
      <c r="DO291" s="838">
        <f>6.99*3</f>
      </c>
      <c r="DP291" s="838">
        <f>6.99*3</f>
      </c>
      <c r="DQ291" s="838">
        <f>6.99*3</f>
      </c>
      <c r="DR291" s="840"/>
      <c r="DS291" s="838">
        <f>6.99*3</f>
      </c>
      <c r="DT291" s="838">
        <f>6.99*3</f>
      </c>
      <c r="DU291" s="838">
        <f>6.99*3</f>
      </c>
      <c r="DV291" s="838">
        <f>6.99*3</f>
      </c>
      <c r="DW291" s="840"/>
      <c r="DX291" s="838">
        <f>6.99*3</f>
      </c>
      <c r="DY291" s="838">
        <f>6.99*3</f>
      </c>
      <c r="DZ291" s="838">
        <f>6.99*3</f>
      </c>
      <c r="EA291" s="838">
        <f>6.99*3</f>
      </c>
      <c r="EB291" s="840"/>
      <c r="EC291" s="838">
        <f>6.99*3</f>
      </c>
      <c r="ED291" s="838">
        <f>6.99*3</f>
      </c>
      <c r="EE291" s="838">
        <f>6.99*3</f>
      </c>
      <c r="EF291" s="838">
        <f>6.99*3</f>
      </c>
      <c r="EG291" s="840"/>
      <c r="EH291" s="838">
        <f>6.99*3</f>
      </c>
      <c r="EI291" s="838">
        <f>6.99*3</f>
      </c>
      <c r="EJ291" s="838">
        <f>6.99*3</f>
      </c>
      <c r="EK291" s="838">
        <f>6.99*3</f>
      </c>
      <c r="EL291" s="840"/>
      <c r="EM291" s="838">
        <f>6.99*3</f>
      </c>
      <c r="EN291" s="838">
        <f>6.99*3</f>
      </c>
      <c r="EO291" s="838">
        <f>6.99*3</f>
      </c>
      <c r="EP291" s="838">
        <f>6.99*3</f>
      </c>
      <c r="EQ291" s="840"/>
      <c r="ER291" s="838">
        <f>6.99*3</f>
      </c>
      <c r="ES291" s="838">
        <f>6.99*3</f>
      </c>
      <c r="ET291" s="838">
        <f>6.99*3</f>
      </c>
      <c r="EU291" s="1296">
        <f>6.99*3</f>
      </c>
      <c r="EV291" s="840"/>
      <c r="EW291" s="1648"/>
      <c r="EX291" s="841"/>
      <c r="EY291" s="838"/>
      <c r="EZ291" s="841"/>
      <c r="FA291" s="840"/>
      <c r="FB291" s="842"/>
      <c r="FC291" s="841"/>
      <c r="FD291" s="841"/>
      <c r="FE291" s="841"/>
      <c r="FF291" s="840"/>
      <c r="FG291" s="842"/>
      <c r="FH291" s="841"/>
      <c r="FI291" s="841"/>
      <c r="FJ291" s="841"/>
      <c r="FK291" s="840"/>
      <c r="FL291" s="842"/>
      <c r="FM291" s="841"/>
      <c r="FN291" s="841"/>
      <c r="FO291" s="841"/>
      <c r="FP291" s="840"/>
      <c r="FQ291" s="842"/>
      <c r="FR291" s="841"/>
      <c r="FS291" s="841"/>
      <c r="FT291" s="841"/>
      <c r="FU291" s="840"/>
      <c r="FV291" s="842"/>
      <c r="FW291" s="841"/>
      <c r="FX291" s="841"/>
      <c r="FY291" s="841"/>
      <c r="FZ291" s="840"/>
      <c r="GA291" s="842"/>
      <c r="GB291" s="841"/>
      <c r="GC291" s="841"/>
      <c r="GD291" s="841"/>
      <c r="GE291" s="840"/>
      <c r="GF291" s="842"/>
      <c r="GG291" s="841"/>
      <c r="GH291" s="841"/>
      <c r="GI291" s="841"/>
      <c r="GJ291" s="843"/>
    </row>
    <row r="292" spans="1:192" s="367" customFormat="1" ht="12.75" hidden="1" customHeight="1" outlineLevel="1">
      <c r="A292" s="784"/>
      <c r="B292" s="1302" t="s">
        <v>1868</v>
      </c>
      <c r="C292" s="291"/>
      <c r="D292" s="107"/>
      <c r="E292" s="107"/>
      <c r="F292" s="107"/>
      <c r="G292" s="292"/>
      <c r="H292" s="291"/>
      <c r="I292" s="107"/>
      <c r="J292" s="107"/>
      <c r="K292" s="107"/>
      <c r="L292" s="292"/>
      <c r="M292" s="291"/>
      <c r="N292" s="107"/>
      <c r="O292" s="107"/>
      <c r="P292" s="107"/>
      <c r="Q292" s="292"/>
      <c r="R292" s="291"/>
      <c r="S292" s="107"/>
      <c r="T292" s="107"/>
      <c r="U292" s="107"/>
      <c r="V292" s="292"/>
      <c r="W292" s="291"/>
      <c r="X292" s="107"/>
      <c r="Y292" s="107"/>
      <c r="Z292" s="107"/>
      <c r="AA292" s="292"/>
      <c r="AB292" s="291"/>
      <c r="AC292" s="107"/>
      <c r="AD292" s="107"/>
      <c r="AE292" s="107"/>
      <c r="AF292" s="292"/>
      <c r="AG292" s="291"/>
      <c r="AH292" s="107"/>
      <c r="AI292" s="107"/>
      <c r="AJ292" s="107"/>
      <c r="AK292" s="292"/>
      <c r="AL292" s="291"/>
      <c r="AM292" s="107"/>
      <c r="AN292" s="107"/>
      <c r="AO292" s="107"/>
      <c r="AP292" s="292"/>
      <c r="AQ292" s="291"/>
      <c r="AR292" s="107"/>
      <c r="AS292" s="107"/>
      <c r="AT292" s="107"/>
      <c r="AU292" s="292"/>
      <c r="AV292" s="291"/>
      <c r="AW292" s="107"/>
      <c r="AX292" s="107"/>
      <c r="AY292" s="107"/>
      <c r="AZ292" s="292"/>
      <c r="BA292" s="291"/>
      <c r="BB292" s="107"/>
      <c r="BC292" s="107"/>
      <c r="BD292" s="107"/>
      <c r="BE292" s="292"/>
      <c r="BF292" s="291"/>
      <c r="BG292" s="107"/>
      <c r="BH292" s="107"/>
      <c r="BI292" s="107"/>
      <c r="BJ292" s="292"/>
      <c r="BK292" s="291"/>
      <c r="BL292" s="107"/>
      <c r="BM292" s="107"/>
      <c r="BN292" s="107"/>
      <c r="BO292" s="292"/>
      <c r="BP292" s="291"/>
      <c r="BQ292" s="107"/>
      <c r="BR292" s="107"/>
      <c r="BS292" s="107"/>
      <c r="BT292" s="292"/>
      <c r="BU292" s="291"/>
      <c r="BV292" s="107"/>
      <c r="BW292" s="107"/>
      <c r="BX292" s="107"/>
      <c r="BY292" s="292"/>
      <c r="BZ292" s="291"/>
      <c r="CA292" s="107"/>
      <c r="CB292" s="107"/>
      <c r="CC292" s="107"/>
      <c r="CD292" s="292"/>
      <c r="CE292" s="291"/>
      <c r="CF292" s="107"/>
      <c r="CG292" s="107"/>
      <c r="CH292" s="107"/>
      <c r="CI292" s="292"/>
      <c r="CJ292" s="291"/>
      <c r="CK292" s="107"/>
      <c r="CL292" s="107"/>
      <c r="CM292" s="107"/>
      <c r="CN292" s="292"/>
      <c r="CO292" s="291"/>
      <c r="CP292" s="107"/>
      <c r="CQ292" s="107"/>
      <c r="CR292" s="107"/>
      <c r="CS292" s="292"/>
      <c r="CT292" s="291"/>
      <c r="CU292" s="107"/>
      <c r="CV292" s="107"/>
      <c r="CW292" s="107"/>
      <c r="CX292" s="292"/>
      <c r="CY292" s="107">
        <f>100%-CY294</f>
      </c>
      <c r="CZ292" s="107">
        <f>100%-CZ294</f>
      </c>
      <c r="DA292" s="107">
        <f>100%-DA294</f>
      </c>
      <c r="DB292" s="107">
        <f>100%-DB294</f>
      </c>
      <c r="DC292" s="292"/>
      <c r="DD292" s="107">
        <f>100%-DD294</f>
      </c>
      <c r="DE292" s="107">
        <f>100%-DE294</f>
      </c>
      <c r="DF292" s="107">
        <f>100%-DF294</f>
      </c>
      <c r="DG292" s="107">
        <f>100%-DG294</f>
      </c>
      <c r="DH292" s="292"/>
      <c r="DI292" s="107">
        <f>100%-DI294</f>
      </c>
      <c r="DJ292" s="107">
        <f>100%-DJ294</f>
      </c>
      <c r="DK292" s="107">
        <f>100%-DK294</f>
      </c>
      <c r="DL292" s="107">
        <f>100%-DL294</f>
      </c>
      <c r="DM292" s="292"/>
      <c r="DN292" s="107">
        <f>100%-DN294</f>
      </c>
      <c r="DO292" s="107">
        <f>100%-DO294</f>
      </c>
      <c r="DP292" s="107">
        <f>100%-DP294</f>
      </c>
      <c r="DQ292" s="107">
        <f>100%-DQ294</f>
      </c>
      <c r="DR292" s="292"/>
      <c r="DS292" s="107">
        <f>100%-DS294</f>
      </c>
      <c r="DT292" s="107">
        <f>100%-DT294</f>
      </c>
      <c r="DU292" s="107">
        <f>100%-DU294</f>
      </c>
      <c r="DV292" s="107">
        <f>100%-DV294</f>
      </c>
      <c r="DW292" s="292"/>
      <c r="DX292" s="107">
        <f>100%-DX294</f>
      </c>
      <c r="DY292" s="107">
        <f>100%-DY294</f>
      </c>
      <c r="DZ292" s="107">
        <f>100%-DZ294</f>
      </c>
      <c r="EA292" s="107">
        <f>100%-EA294</f>
      </c>
      <c r="EB292" s="292"/>
      <c r="EC292" s="107">
        <f>100%-EC294</f>
      </c>
      <c r="ED292" s="107">
        <f>100%-ED294</f>
      </c>
      <c r="EE292" s="107">
        <f>100%-EE294</f>
      </c>
      <c r="EF292" s="107">
        <f>100%-EF294</f>
      </c>
      <c r="EG292" s="292"/>
      <c r="EH292" s="107">
        <f>100%-EH294</f>
      </c>
      <c r="EI292" s="107">
        <f>100%-EI294</f>
      </c>
      <c r="EJ292" s="107">
        <f>100%-EJ294</f>
      </c>
      <c r="EK292" s="107">
        <f>100%-EK294</f>
      </c>
      <c r="EL292" s="292"/>
      <c r="EM292" s="107">
        <f>100%-EM294</f>
      </c>
      <c r="EN292" s="107">
        <f>100%-EN294</f>
      </c>
      <c r="EO292" s="107">
        <f>100%-EO294</f>
      </c>
      <c r="EP292" s="107">
        <f>100%-EP294</f>
      </c>
      <c r="EQ292" s="292"/>
      <c r="ER292" s="107">
        <f>100%-ER294</f>
      </c>
      <c r="ES292" s="107">
        <f>100%-ES294</f>
      </c>
      <c r="ET292" s="107">
        <f>100%-ET294</f>
      </c>
      <c r="EU292" s="468">
        <f>100%-EU294</f>
      </c>
      <c r="EV292" s="292"/>
      <c r="EW292" s="349"/>
      <c r="EX292" s="107"/>
      <c r="EY292" s="107"/>
      <c r="EZ292" s="107"/>
      <c r="FA292" s="292"/>
      <c r="FB292" s="291"/>
      <c r="FC292" s="107"/>
      <c r="FD292" s="107"/>
      <c r="FE292" s="107"/>
      <c r="FF292" s="292"/>
      <c r="FG292" s="291"/>
      <c r="FH292" s="107"/>
      <c r="FI292" s="107"/>
      <c r="FJ292" s="107"/>
      <c r="FK292" s="292"/>
      <c r="FL292" s="291"/>
      <c r="FM292" s="107"/>
      <c r="FN292" s="107"/>
      <c r="FO292" s="107"/>
      <c r="FP292" s="292"/>
      <c r="FQ292" s="291"/>
      <c r="FR292" s="107"/>
      <c r="FS292" s="107"/>
      <c r="FT292" s="107"/>
      <c r="FU292" s="292"/>
      <c r="FV292" s="291"/>
      <c r="FW292" s="107"/>
      <c r="FX292" s="107"/>
      <c r="FY292" s="107"/>
      <c r="FZ292" s="292"/>
      <c r="GA292" s="291"/>
      <c r="GB292" s="107"/>
      <c r="GC292" s="107"/>
      <c r="GD292" s="107"/>
      <c r="GE292" s="292"/>
      <c r="GF292" s="291"/>
      <c r="GG292" s="107"/>
      <c r="GH292" s="107"/>
      <c r="GI292" s="107"/>
      <c r="GJ292" s="384"/>
    </row>
    <row r="293" spans="1:192" s="844" customFormat="1" ht="12.75" hidden="1" customHeight="1" outlineLevel="1">
      <c r="A293" s="836"/>
      <c r="B293" s="1299" t="s">
        <v>1867</v>
      </c>
      <c r="C293" s="837"/>
      <c r="D293" s="838"/>
      <c r="E293" s="838"/>
      <c r="F293" s="838"/>
      <c r="G293" s="839"/>
      <c r="H293" s="837"/>
      <c r="I293" s="838"/>
      <c r="J293" s="838"/>
      <c r="K293" s="838"/>
      <c r="L293" s="839"/>
      <c r="M293" s="837"/>
      <c r="N293" s="838"/>
      <c r="O293" s="838"/>
      <c r="P293" s="838"/>
      <c r="Q293" s="839"/>
      <c r="R293" s="837"/>
      <c r="S293" s="838"/>
      <c r="T293" s="838"/>
      <c r="U293" s="838"/>
      <c r="V293" s="839"/>
      <c r="W293" s="837"/>
      <c r="X293" s="838"/>
      <c r="Y293" s="838"/>
      <c r="Z293" s="838"/>
      <c r="AA293" s="839"/>
      <c r="AB293" s="837"/>
      <c r="AC293" s="838"/>
      <c r="AD293" s="838"/>
      <c r="AE293" s="838"/>
      <c r="AF293" s="839"/>
      <c r="AG293" s="837"/>
      <c r="AH293" s="838"/>
      <c r="AI293" s="838"/>
      <c r="AJ293" s="838"/>
      <c r="AK293" s="839"/>
      <c r="AL293" s="837"/>
      <c r="AM293" s="838"/>
      <c r="AN293" s="838"/>
      <c r="AO293" s="838"/>
      <c r="AP293" s="839"/>
      <c r="AQ293" s="837"/>
      <c r="AR293" s="838"/>
      <c r="AS293" s="838"/>
      <c r="AT293" s="838"/>
      <c r="AU293" s="839"/>
      <c r="AV293" s="837"/>
      <c r="AW293" s="838"/>
      <c r="AX293" s="838"/>
      <c r="AY293" s="838"/>
      <c r="AZ293" s="839"/>
      <c r="BA293" s="837"/>
      <c r="BB293" s="838"/>
      <c r="BC293" s="838"/>
      <c r="BD293" s="838"/>
      <c r="BE293" s="839"/>
      <c r="BF293" s="837"/>
      <c r="BG293" s="838"/>
      <c r="BH293" s="838"/>
      <c r="BI293" s="838"/>
      <c r="BJ293" s="839"/>
      <c r="BK293" s="837"/>
      <c r="BL293" s="838"/>
      <c r="BM293" s="838"/>
      <c r="BN293" s="838"/>
      <c r="BO293" s="839"/>
      <c r="BP293" s="837"/>
      <c r="BQ293" s="838"/>
      <c r="BR293" s="838"/>
      <c r="BS293" s="838"/>
      <c r="BT293" s="839"/>
      <c r="BU293" s="837"/>
      <c r="BV293" s="838"/>
      <c r="BW293" s="838"/>
      <c r="BX293" s="838"/>
      <c r="BY293" s="839"/>
      <c r="BZ293" s="837"/>
      <c r="CA293" s="838"/>
      <c r="CB293" s="838"/>
      <c r="CC293" s="838"/>
      <c r="CD293" s="840"/>
      <c r="CE293" s="837"/>
      <c r="CF293" s="838"/>
      <c r="CG293" s="838"/>
      <c r="CH293" s="838"/>
      <c r="CI293" s="840"/>
      <c r="CJ293" s="837"/>
      <c r="CK293" s="838"/>
      <c r="CL293" s="838"/>
      <c r="CM293" s="838"/>
      <c r="CN293" s="840"/>
      <c r="CO293" s="837"/>
      <c r="CP293" s="838"/>
      <c r="CQ293" s="838"/>
      <c r="CR293" s="838"/>
      <c r="CS293" s="840"/>
      <c r="CT293" s="837"/>
      <c r="CU293" s="838"/>
      <c r="CV293" s="838"/>
      <c r="CW293" s="838"/>
      <c r="CX293" s="840"/>
      <c r="CY293" s="838">
        <f>69.99/4</f>
      </c>
      <c r="CZ293" s="838">
        <f>69.99/4</f>
      </c>
      <c r="DA293" s="838">
        <f>69.99/4</f>
      </c>
      <c r="DB293" s="838">
        <f>69.99/4</f>
      </c>
      <c r="DC293" s="840"/>
      <c r="DD293" s="838">
        <f>69.99/4</f>
      </c>
      <c r="DE293" s="838">
        <f>69.99/4</f>
      </c>
      <c r="DF293" s="838">
        <f>69.99/4</f>
      </c>
      <c r="DG293" s="838">
        <f>69.99/4</f>
      </c>
      <c r="DH293" s="840"/>
      <c r="DI293" s="838">
        <f>69.99/4</f>
      </c>
      <c r="DJ293" s="838">
        <f>69.99/4</f>
      </c>
      <c r="DK293" s="838">
        <f>69.99/4</f>
      </c>
      <c r="DL293" s="838">
        <f>69.99/4</f>
      </c>
      <c r="DM293" s="840"/>
      <c r="DN293" s="838">
        <f>69.99/4</f>
      </c>
      <c r="DO293" s="838">
        <f>69.99/4</f>
      </c>
      <c r="DP293" s="838">
        <f>69.99/4</f>
      </c>
      <c r="DQ293" s="838">
        <f>69.99/4</f>
      </c>
      <c r="DR293" s="840"/>
      <c r="DS293" s="838">
        <f>69.99/4</f>
      </c>
      <c r="DT293" s="838">
        <f>69.99/4</f>
      </c>
      <c r="DU293" s="838">
        <f>69.99/4</f>
      </c>
      <c r="DV293" s="838">
        <f>69.99/4</f>
      </c>
      <c r="DW293" s="840"/>
      <c r="DX293" s="838">
        <f>69.99/4</f>
      </c>
      <c r="DY293" s="838">
        <f>69.99/4</f>
      </c>
      <c r="DZ293" s="838">
        <f>69.99/4</f>
      </c>
      <c r="EA293" s="838">
        <f>69.99/4</f>
      </c>
      <c r="EB293" s="840"/>
      <c r="EC293" s="838">
        <f>69.99/4</f>
      </c>
      <c r="ED293" s="838">
        <f>69.99/4</f>
      </c>
      <c r="EE293" s="838">
        <f>69.99/4</f>
      </c>
      <c r="EF293" s="838">
        <f>69.99/4</f>
      </c>
      <c r="EG293" s="840"/>
      <c r="EH293" s="838">
        <f>69.99/4</f>
      </c>
      <c r="EI293" s="838">
        <f>69.99/4</f>
      </c>
      <c r="EJ293" s="838">
        <f>69.99/4</f>
      </c>
      <c r="EK293" s="838">
        <f>69.99/4</f>
      </c>
      <c r="EL293" s="840"/>
      <c r="EM293" s="838">
        <f>69.99/4</f>
      </c>
      <c r="EN293" s="838">
        <f>69.99/4</f>
      </c>
      <c r="EO293" s="838">
        <f>69.99/4</f>
      </c>
      <c r="EP293" s="838">
        <f>69.99/4</f>
      </c>
      <c r="EQ293" s="840"/>
      <c r="ER293" s="838">
        <f>69.99/4</f>
      </c>
      <c r="ES293" s="838">
        <f>69.99/4</f>
      </c>
      <c r="ET293" s="838">
        <f>69.99/4</f>
      </c>
      <c r="EU293" s="1296">
        <f>69.99/4</f>
      </c>
      <c r="EV293" s="840"/>
      <c r="EW293" s="1648"/>
      <c r="EX293" s="841"/>
      <c r="EY293" s="838"/>
      <c r="EZ293" s="841"/>
      <c r="FA293" s="840"/>
      <c r="FB293" s="842"/>
      <c r="FC293" s="841"/>
      <c r="FD293" s="841"/>
      <c r="FE293" s="841"/>
      <c r="FF293" s="840"/>
      <c r="FG293" s="842"/>
      <c r="FH293" s="841"/>
      <c r="FI293" s="841"/>
      <c r="FJ293" s="841"/>
      <c r="FK293" s="840"/>
      <c r="FL293" s="842"/>
      <c r="FM293" s="841"/>
      <c r="FN293" s="841"/>
      <c r="FO293" s="841"/>
      <c r="FP293" s="840"/>
      <c r="FQ293" s="842"/>
      <c r="FR293" s="841"/>
      <c r="FS293" s="841"/>
      <c r="FT293" s="841"/>
      <c r="FU293" s="840"/>
      <c r="FV293" s="842"/>
      <c r="FW293" s="841"/>
      <c r="FX293" s="841"/>
      <c r="FY293" s="841"/>
      <c r="FZ293" s="840"/>
      <c r="GA293" s="842"/>
      <c r="GB293" s="841"/>
      <c r="GC293" s="841"/>
      <c r="GD293" s="841"/>
      <c r="GE293" s="840"/>
      <c r="GF293" s="842"/>
      <c r="GG293" s="841"/>
      <c r="GH293" s="841"/>
      <c r="GI293" s="841"/>
      <c r="GJ293" s="843"/>
    </row>
    <row r="294" spans="1:192" s="844" customFormat="1" ht="12.75" hidden="1" customHeight="1" outlineLevel="1">
      <c r="A294" s="836"/>
      <c r="B294" s="1299" t="s">
        <v>1869</v>
      </c>
      <c r="C294" s="837"/>
      <c r="D294" s="838"/>
      <c r="E294" s="838"/>
      <c r="F294" s="838"/>
      <c r="G294" s="839"/>
      <c r="H294" s="837"/>
      <c r="I294" s="838"/>
      <c r="J294" s="838"/>
      <c r="K294" s="838"/>
      <c r="L294" s="839"/>
      <c r="M294" s="837"/>
      <c r="N294" s="838"/>
      <c r="O294" s="838"/>
      <c r="P294" s="838"/>
      <c r="Q294" s="839"/>
      <c r="R294" s="837"/>
      <c r="S294" s="838"/>
      <c r="T294" s="838"/>
      <c r="U294" s="838"/>
      <c r="V294" s="839"/>
      <c r="W294" s="837"/>
      <c r="X294" s="838"/>
      <c r="Y294" s="838"/>
      <c r="Z294" s="838"/>
      <c r="AA294" s="839"/>
      <c r="AB294" s="837"/>
      <c r="AC294" s="838"/>
      <c r="AD294" s="838"/>
      <c r="AE294" s="838"/>
      <c r="AF294" s="839"/>
      <c r="AG294" s="837"/>
      <c r="AH294" s="838"/>
      <c r="AI294" s="838"/>
      <c r="AJ294" s="838"/>
      <c r="AK294" s="839"/>
      <c r="AL294" s="837"/>
      <c r="AM294" s="838"/>
      <c r="AN294" s="838"/>
      <c r="AO294" s="838"/>
      <c r="AP294" s="839"/>
      <c r="AQ294" s="837"/>
      <c r="AR294" s="838"/>
      <c r="AS294" s="838"/>
      <c r="AT294" s="838"/>
      <c r="AU294" s="839"/>
      <c r="AV294" s="837"/>
      <c r="AW294" s="838"/>
      <c r="AX294" s="838"/>
      <c r="AY294" s="838"/>
      <c r="AZ294" s="839"/>
      <c r="BA294" s="837"/>
      <c r="BB294" s="838"/>
      <c r="BC294" s="838"/>
      <c r="BD294" s="838"/>
      <c r="BE294" s="839"/>
      <c r="BF294" s="837"/>
      <c r="BG294" s="838"/>
      <c r="BH294" s="838"/>
      <c r="BI294" s="838"/>
      <c r="BJ294" s="839"/>
      <c r="BK294" s="837"/>
      <c r="BL294" s="838"/>
      <c r="BM294" s="838"/>
      <c r="BN294" s="838"/>
      <c r="BO294" s="839"/>
      <c r="BP294" s="837"/>
      <c r="BQ294" s="838"/>
      <c r="BR294" s="838"/>
      <c r="BS294" s="838"/>
      <c r="BT294" s="839"/>
      <c r="BU294" s="837"/>
      <c r="BV294" s="838"/>
      <c r="BW294" s="838"/>
      <c r="BX294" s="838"/>
      <c r="BY294" s="839"/>
      <c r="BZ294" s="837"/>
      <c r="CA294" s="838"/>
      <c r="CB294" s="838"/>
      <c r="CC294" s="838"/>
      <c r="CD294" s="840"/>
      <c r="CE294" s="837"/>
      <c r="CF294" s="838"/>
      <c r="CG294" s="838"/>
      <c r="CH294" s="838"/>
      <c r="CI294" s="840"/>
      <c r="CJ294" s="837"/>
      <c r="CK294" s="838"/>
      <c r="CL294" s="838"/>
      <c r="CM294" s="838"/>
      <c r="CN294" s="840"/>
      <c r="CO294" s="837"/>
      <c r="CP294" s="838"/>
      <c r="CQ294" s="838"/>
      <c r="CR294" s="838"/>
      <c r="CS294" s="840"/>
      <c r="CT294" s="837"/>
      <c r="CU294" s="838"/>
      <c r="CV294" s="838"/>
      <c r="CW294" s="838"/>
      <c r="CX294" s="840"/>
      <c r="CY294" s="107">
        <f>CY287</f>
      </c>
      <c r="CZ294" s="107">
        <f>CZ287</f>
      </c>
      <c r="DA294" s="107">
        <f>DA287</f>
      </c>
      <c r="DB294" s="107">
        <f>DB287</f>
      </c>
      <c r="DC294" s="840"/>
      <c r="DD294" s="107">
        <f>DD287</f>
      </c>
      <c r="DE294" s="107">
        <f>DE287</f>
      </c>
      <c r="DF294" s="107">
        <f>DF287</f>
      </c>
      <c r="DG294" s="107">
        <f>DG287</f>
      </c>
      <c r="DH294" s="840"/>
      <c r="DI294" s="107">
        <f>DI287</f>
      </c>
      <c r="DJ294" s="107">
        <f>DJ287</f>
      </c>
      <c r="DK294" s="107">
        <f>DK287</f>
      </c>
      <c r="DL294" s="107">
        <f>DL287</f>
      </c>
      <c r="DM294" s="840"/>
      <c r="DN294" s="107">
        <f>DN287</f>
      </c>
      <c r="DO294" s="107">
        <f>DO287</f>
      </c>
      <c r="DP294" s="107">
        <f>DP287</f>
      </c>
      <c r="DQ294" s="107">
        <f>DQ287</f>
      </c>
      <c r="DR294" s="840"/>
      <c r="DS294" s="107">
        <f>DS287</f>
      </c>
      <c r="DT294" s="107">
        <f>DT287</f>
      </c>
      <c r="DU294" s="107">
        <f>DU287</f>
      </c>
      <c r="DV294" s="107">
        <f>DV287</f>
      </c>
      <c r="DW294" s="840"/>
      <c r="DX294" s="107">
        <f>DX287</f>
      </c>
      <c r="DY294" s="107">
        <f>DY287</f>
      </c>
      <c r="DZ294" s="107">
        <f>DZ287</f>
      </c>
      <c r="EA294" s="107">
        <f>EA287</f>
      </c>
      <c r="EB294" s="840"/>
      <c r="EC294" s="107">
        <f>EC287</f>
      </c>
      <c r="ED294" s="107">
        <f>ED287</f>
      </c>
      <c r="EE294" s="107">
        <f>EE287</f>
      </c>
      <c r="EF294" s="107">
        <f>EF287</f>
      </c>
      <c r="EG294" s="840"/>
      <c r="EH294" s="107">
        <f>EH287</f>
      </c>
      <c r="EI294" s="107">
        <f>EI287</f>
      </c>
      <c r="EJ294" s="107">
        <f>EJ287</f>
      </c>
      <c r="EK294" s="107">
        <f>EK287</f>
      </c>
      <c r="EL294" s="840"/>
      <c r="EM294" s="107">
        <f>EM287</f>
      </c>
      <c r="EN294" s="107">
        <f>EN287</f>
      </c>
      <c r="EO294" s="107">
        <f>EO287</f>
      </c>
      <c r="EP294" s="107">
        <f>EP287</f>
      </c>
      <c r="EQ294" s="840"/>
      <c r="ER294" s="107">
        <f>ER287</f>
      </c>
      <c r="ES294" s="107">
        <f>ES287</f>
      </c>
      <c r="ET294" s="107">
        <f>ET287</f>
      </c>
      <c r="EU294" s="1296">
        <f>EU287</f>
      </c>
      <c r="EV294" s="840"/>
      <c r="EW294" s="1648"/>
      <c r="EX294" s="841"/>
      <c r="EY294" s="107"/>
      <c r="EZ294" s="841"/>
      <c r="FA294" s="840"/>
      <c r="FB294" s="842"/>
      <c r="FC294" s="841"/>
      <c r="FD294" s="841"/>
      <c r="FE294" s="841"/>
      <c r="FF294" s="840"/>
      <c r="FG294" s="842"/>
      <c r="FH294" s="841"/>
      <c r="FI294" s="841"/>
      <c r="FJ294" s="841"/>
      <c r="FK294" s="840"/>
      <c r="FL294" s="842"/>
      <c r="FM294" s="841"/>
      <c r="FN294" s="841"/>
      <c r="FO294" s="841"/>
      <c r="FP294" s="840"/>
      <c r="FQ294" s="842"/>
      <c r="FR294" s="841"/>
      <c r="FS294" s="841"/>
      <c r="FT294" s="841"/>
      <c r="FU294" s="840"/>
      <c r="FV294" s="842"/>
      <c r="FW294" s="841"/>
      <c r="FX294" s="841"/>
      <c r="FY294" s="841"/>
      <c r="FZ294" s="840"/>
      <c r="GA294" s="842"/>
      <c r="GB294" s="841"/>
      <c r="GC294" s="841"/>
      <c r="GD294" s="841"/>
      <c r="GE294" s="840"/>
      <c r="GF294" s="842"/>
      <c r="GG294" s="841"/>
      <c r="GH294" s="841"/>
      <c r="GI294" s="841"/>
      <c r="GJ294" s="843"/>
    </row>
    <row r="295" spans="1:192" s="844" customFormat="1" ht="12.75" hidden="1" customHeight="1" outlineLevel="1">
      <c r="A295" s="836"/>
      <c r="B295" s="1297"/>
      <c r="C295" s="837"/>
      <c r="D295" s="838"/>
      <c r="E295" s="838"/>
      <c r="F295" s="838"/>
      <c r="G295" s="839"/>
      <c r="H295" s="837"/>
      <c r="I295" s="838"/>
      <c r="J295" s="838"/>
      <c r="K295" s="838"/>
      <c r="L295" s="839"/>
      <c r="M295" s="837"/>
      <c r="N295" s="838"/>
      <c r="O295" s="838"/>
      <c r="P295" s="838"/>
      <c r="Q295" s="839"/>
      <c r="R295" s="837"/>
      <c r="S295" s="838"/>
      <c r="T295" s="838"/>
      <c r="U295" s="838"/>
      <c r="V295" s="839"/>
      <c r="W295" s="837"/>
      <c r="X295" s="838"/>
      <c r="Y295" s="838"/>
      <c r="Z295" s="838"/>
      <c r="AA295" s="839"/>
      <c r="AB295" s="837"/>
      <c r="AC295" s="838"/>
      <c r="AD295" s="838"/>
      <c r="AE295" s="838"/>
      <c r="AF295" s="839"/>
      <c r="AG295" s="837"/>
      <c r="AH295" s="838"/>
      <c r="AI295" s="838"/>
      <c r="AJ295" s="838"/>
      <c r="AK295" s="839"/>
      <c r="AL295" s="837"/>
      <c r="AM295" s="838"/>
      <c r="AN295" s="838"/>
      <c r="AO295" s="838"/>
      <c r="AP295" s="839"/>
      <c r="AQ295" s="837"/>
      <c r="AR295" s="838"/>
      <c r="AS295" s="838"/>
      <c r="AT295" s="838"/>
      <c r="AU295" s="839"/>
      <c r="AV295" s="837"/>
      <c r="AW295" s="838"/>
      <c r="AX295" s="838"/>
      <c r="AY295" s="838"/>
      <c r="AZ295" s="839"/>
      <c r="BA295" s="837"/>
      <c r="BB295" s="838"/>
      <c r="BC295" s="838"/>
      <c r="BD295" s="838"/>
      <c r="BE295" s="839"/>
      <c r="BF295" s="837"/>
      <c r="BG295" s="838"/>
      <c r="BH295" s="838"/>
      <c r="BI295" s="838"/>
      <c r="BJ295" s="839"/>
      <c r="BK295" s="837"/>
      <c r="BL295" s="838"/>
      <c r="BM295" s="838"/>
      <c r="BN295" s="838"/>
      <c r="BO295" s="839"/>
      <c r="BP295" s="837"/>
      <c r="BQ295" s="838"/>
      <c r="BR295" s="838"/>
      <c r="BS295" s="838"/>
      <c r="BT295" s="839"/>
      <c r="BU295" s="837"/>
      <c r="BV295" s="838"/>
      <c r="BW295" s="838"/>
      <c r="BX295" s="838"/>
      <c r="BY295" s="839"/>
      <c r="BZ295" s="837"/>
      <c r="CA295" s="838"/>
      <c r="CB295" s="838"/>
      <c r="CC295" s="838"/>
      <c r="CD295" s="840"/>
      <c r="CE295" s="837"/>
      <c r="CF295" s="838"/>
      <c r="CG295" s="838"/>
      <c r="CH295" s="838"/>
      <c r="CI295" s="840"/>
      <c r="CJ295" s="837"/>
      <c r="CK295" s="838"/>
      <c r="CL295" s="838"/>
      <c r="CM295" s="838"/>
      <c r="CN295" s="840"/>
      <c r="CO295" s="837"/>
      <c r="CP295" s="838"/>
      <c r="CQ295" s="838"/>
      <c r="CR295" s="838"/>
      <c r="CS295" s="840"/>
      <c r="CT295" s="837"/>
      <c r="CU295" s="838"/>
      <c r="CV295" s="838"/>
      <c r="CW295" s="838"/>
      <c r="CX295" s="840"/>
      <c r="CY295" s="838"/>
      <c r="CZ295" s="838"/>
      <c r="DA295" s="838"/>
      <c r="DB295" s="838"/>
      <c r="DC295" s="840"/>
      <c r="DD295" s="838"/>
      <c r="DE295" s="838"/>
      <c r="DF295" s="838"/>
      <c r="DG295" s="838"/>
      <c r="DH295" s="840"/>
      <c r="DI295" s="838"/>
      <c r="DJ295" s="838"/>
      <c r="DK295" s="838"/>
      <c r="DL295" s="838"/>
      <c r="DM295" s="840"/>
      <c r="DN295" s="838"/>
      <c r="DO295" s="838"/>
      <c r="DP295" s="838"/>
      <c r="DQ295" s="838"/>
      <c r="DR295" s="840"/>
      <c r="DS295" s="838"/>
      <c r="DT295" s="838"/>
      <c r="DU295" s="838"/>
      <c r="DV295" s="838"/>
      <c r="DW295" s="840"/>
      <c r="DX295" s="838"/>
      <c r="DY295" s="838"/>
      <c r="DZ295" s="838"/>
      <c r="EA295" s="838"/>
      <c r="EB295" s="840"/>
      <c r="EC295" s="838"/>
      <c r="ED295" s="838"/>
      <c r="EE295" s="838"/>
      <c r="EF295" s="838"/>
      <c r="EG295" s="840"/>
      <c r="EH295" s="838"/>
      <c r="EI295" s="838"/>
      <c r="EJ295" s="838"/>
      <c r="EK295" s="838"/>
      <c r="EL295" s="840"/>
      <c r="EM295" s="838"/>
      <c r="EN295" s="838"/>
      <c r="EO295" s="838"/>
      <c r="EP295" s="838"/>
      <c r="EQ295" s="840"/>
      <c r="ER295" s="838"/>
      <c r="ES295" s="838"/>
      <c r="ET295" s="838"/>
      <c r="EU295" s="1296"/>
      <c r="EV295" s="840"/>
      <c r="EW295" s="1647"/>
      <c r="EX295" s="841"/>
      <c r="EY295" s="838"/>
      <c r="EZ295" s="841"/>
      <c r="FA295" s="840"/>
      <c r="FB295" s="842"/>
      <c r="FC295" s="841"/>
      <c r="FD295" s="841"/>
      <c r="FE295" s="841"/>
      <c r="FF295" s="840"/>
      <c r="FG295" s="842"/>
      <c r="FH295" s="841"/>
      <c r="FI295" s="841"/>
      <c r="FJ295" s="841"/>
      <c r="FK295" s="840"/>
      <c r="FL295" s="842"/>
      <c r="FM295" s="841"/>
      <c r="FN295" s="841"/>
      <c r="FO295" s="841"/>
      <c r="FP295" s="840"/>
      <c r="FQ295" s="842"/>
      <c r="FR295" s="841"/>
      <c r="FS295" s="841"/>
      <c r="FT295" s="841"/>
      <c r="FU295" s="840"/>
      <c r="FV295" s="842"/>
      <c r="FW295" s="841"/>
      <c r="FX295" s="841"/>
      <c r="FY295" s="841"/>
      <c r="FZ295" s="840"/>
      <c r="GA295" s="842"/>
      <c r="GB295" s="841"/>
      <c r="GC295" s="841"/>
      <c r="GD295" s="841"/>
      <c r="GE295" s="840"/>
      <c r="GF295" s="842"/>
      <c r="GG295" s="841"/>
      <c r="GH295" s="841"/>
      <c r="GI295" s="841"/>
      <c r="GJ295" s="843"/>
    </row>
    <row r="296" spans="1:192" s="844" customFormat="1" ht="12.75" hidden="1" customHeight="1" outlineLevel="1">
      <c r="A296" s="836"/>
      <c r="B296" s="1297" t="s">
        <v>1875</v>
      </c>
      <c r="C296" s="837"/>
      <c r="D296" s="838"/>
      <c r="E296" s="838"/>
      <c r="F296" s="838"/>
      <c r="G296" s="839"/>
      <c r="H296" s="837"/>
      <c r="I296" s="838"/>
      <c r="J296" s="838"/>
      <c r="K296" s="838"/>
      <c r="L296" s="839"/>
      <c r="M296" s="837"/>
      <c r="N296" s="838"/>
      <c r="O296" s="838"/>
      <c r="P296" s="838"/>
      <c r="Q296" s="839"/>
      <c r="R296" s="837"/>
      <c r="S296" s="838"/>
      <c r="T296" s="838"/>
      <c r="U296" s="838"/>
      <c r="V296" s="839"/>
      <c r="W296" s="837"/>
      <c r="X296" s="838"/>
      <c r="Y296" s="838"/>
      <c r="Z296" s="838"/>
      <c r="AA296" s="839"/>
      <c r="AB296" s="837"/>
      <c r="AC296" s="838"/>
      <c r="AD296" s="838"/>
      <c r="AE296" s="838"/>
      <c r="AF296" s="839"/>
      <c r="AG296" s="837"/>
      <c r="AH296" s="838"/>
      <c r="AI296" s="838"/>
      <c r="AJ296" s="838"/>
      <c r="AK296" s="839"/>
      <c r="AL296" s="837"/>
      <c r="AM296" s="838"/>
      <c r="AN296" s="838"/>
      <c r="AO296" s="838"/>
      <c r="AP296" s="839"/>
      <c r="AQ296" s="837"/>
      <c r="AR296" s="838"/>
      <c r="AS296" s="838"/>
      <c r="AT296" s="838"/>
      <c r="AU296" s="839"/>
      <c r="AV296" s="837"/>
      <c r="AW296" s="838"/>
      <c r="AX296" s="838"/>
      <c r="AY296" s="838"/>
      <c r="AZ296" s="839"/>
      <c r="BA296" s="837"/>
      <c r="BB296" s="838"/>
      <c r="BC296" s="838"/>
      <c r="BD296" s="838"/>
      <c r="BE296" s="839"/>
      <c r="BF296" s="837"/>
      <c r="BG296" s="838"/>
      <c r="BH296" s="838"/>
      <c r="BI296" s="838"/>
      <c r="BJ296" s="839"/>
      <c r="BK296" s="837"/>
      <c r="BL296" s="838"/>
      <c r="BM296" s="838"/>
      <c r="BN296" s="838"/>
      <c r="BO296" s="839"/>
      <c r="BP296" s="837"/>
      <c r="BQ296" s="838"/>
      <c r="BR296" s="838"/>
      <c r="BS296" s="838"/>
      <c r="BT296" s="839"/>
      <c r="BU296" s="837"/>
      <c r="BV296" s="838"/>
      <c r="BW296" s="838"/>
      <c r="BX296" s="838"/>
      <c r="BY296" s="839"/>
      <c r="BZ296" s="837"/>
      <c r="CA296" s="838"/>
      <c r="CB296" s="838"/>
      <c r="CC296" s="838"/>
      <c r="CD296" s="840"/>
      <c r="CE296" s="837"/>
      <c r="CF296" s="838"/>
      <c r="CG296" s="838"/>
      <c r="CH296" s="838"/>
      <c r="CI296" s="840"/>
      <c r="CJ296" s="837"/>
      <c r="CK296" s="838"/>
      <c r="CL296" s="838"/>
      <c r="CM296" s="838"/>
      <c r="CN296" s="840"/>
      <c r="CO296" s="837"/>
      <c r="CP296" s="838"/>
      <c r="CQ296" s="838"/>
      <c r="CR296" s="838"/>
      <c r="CS296" s="840"/>
      <c r="CT296" s="837"/>
      <c r="CU296" s="838"/>
      <c r="CV296" s="838"/>
      <c r="CW296" s="838"/>
      <c r="CX296" s="840"/>
      <c r="CY296" s="838"/>
      <c r="CZ296" s="838"/>
      <c r="DA296" s="838"/>
      <c r="DB296" s="838"/>
      <c r="DC296" s="840"/>
      <c r="DD296" s="838"/>
      <c r="DE296" s="838"/>
      <c r="DF296" s="838"/>
      <c r="DG296" s="838"/>
      <c r="DH296" s="840"/>
      <c r="DI296" s="838"/>
      <c r="DJ296" s="838"/>
      <c r="DK296" s="838"/>
      <c r="DL296" s="838"/>
      <c r="DM296" s="840"/>
      <c r="DN296" s="838"/>
      <c r="DO296" s="838"/>
      <c r="DP296" s="838"/>
      <c r="DQ296" s="838"/>
      <c r="DR296" s="840"/>
      <c r="DS296" s="838"/>
      <c r="DT296" s="838"/>
      <c r="DU296" s="838"/>
      <c r="DV296" s="838"/>
      <c r="DW296" s="840"/>
      <c r="DX296" s="838"/>
      <c r="DY296" s="838"/>
      <c r="DZ296" s="838"/>
      <c r="EA296" s="838"/>
      <c r="EB296" s="840"/>
      <c r="EC296" s="838"/>
      <c r="ED296" s="838"/>
      <c r="EE296" s="838"/>
      <c r="EF296" s="838"/>
      <c r="EG296" s="840"/>
      <c r="EH296" s="838"/>
      <c r="EI296" s="838"/>
      <c r="EJ296" s="838"/>
      <c r="EK296" s="838"/>
      <c r="EL296" s="840"/>
      <c r="EM296" s="838">
        <f>19.99/4</f>
      </c>
      <c r="EN296" s="838">
        <f>EM296</f>
      </c>
      <c r="EO296" s="838">
        <f>EN296</f>
      </c>
      <c r="EP296" s="838">
        <f>EO296</f>
      </c>
      <c r="EQ296" s="840"/>
      <c r="ER296" s="838">
        <f>19.99/4</f>
      </c>
      <c r="ES296" s="838">
        <f t="shared" ref="ES296:EU297" si="445">ER296</f>
      </c>
      <c r="ET296" s="838">
        <f t="shared" si="445"/>
      </c>
      <c r="EU296" s="1296">
        <f t="shared" si="445"/>
      </c>
      <c r="EV296" s="840"/>
      <c r="EW296" s="1648"/>
      <c r="EX296" s="841"/>
      <c r="EY296" s="838"/>
      <c r="EZ296" s="841"/>
      <c r="FA296" s="840"/>
      <c r="FB296" s="842"/>
      <c r="FC296" s="841"/>
      <c r="FD296" s="841"/>
      <c r="FE296" s="841"/>
      <c r="FF296" s="840"/>
      <c r="FG296" s="842"/>
      <c r="FH296" s="841"/>
      <c r="FI296" s="841"/>
      <c r="FJ296" s="841"/>
      <c r="FK296" s="840"/>
      <c r="FL296" s="842"/>
      <c r="FM296" s="841"/>
      <c r="FN296" s="841"/>
      <c r="FO296" s="841"/>
      <c r="FP296" s="840"/>
      <c r="FQ296" s="842"/>
      <c r="FR296" s="841"/>
      <c r="FS296" s="841"/>
      <c r="FT296" s="841"/>
      <c r="FU296" s="840"/>
      <c r="FV296" s="842"/>
      <c r="FW296" s="841"/>
      <c r="FX296" s="841"/>
      <c r="FY296" s="841"/>
      <c r="FZ296" s="840"/>
      <c r="GA296" s="842"/>
      <c r="GB296" s="841"/>
      <c r="GC296" s="841"/>
      <c r="GD296" s="841"/>
      <c r="GE296" s="840"/>
      <c r="GF296" s="842"/>
      <c r="GG296" s="841"/>
      <c r="GH296" s="841"/>
      <c r="GI296" s="841"/>
      <c r="GJ296" s="843"/>
    </row>
    <row r="297" spans="1:192" s="844" customFormat="1" ht="12.75" hidden="1" customHeight="1" outlineLevel="1">
      <c r="A297" s="836"/>
      <c r="B297" s="1297" t="s">
        <v>1874</v>
      </c>
      <c r="C297" s="837"/>
      <c r="D297" s="838"/>
      <c r="E297" s="838"/>
      <c r="F297" s="838"/>
      <c r="G297" s="839"/>
      <c r="H297" s="837"/>
      <c r="I297" s="838"/>
      <c r="J297" s="838"/>
      <c r="K297" s="838"/>
      <c r="L297" s="839"/>
      <c r="M297" s="837"/>
      <c r="N297" s="838"/>
      <c r="O297" s="838"/>
      <c r="P297" s="838"/>
      <c r="Q297" s="839"/>
      <c r="R297" s="837"/>
      <c r="S297" s="838"/>
      <c r="T297" s="838"/>
      <c r="U297" s="838"/>
      <c r="V297" s="839"/>
      <c r="W297" s="837"/>
      <c r="X297" s="838"/>
      <c r="Y297" s="838"/>
      <c r="Z297" s="838"/>
      <c r="AA297" s="839"/>
      <c r="AB297" s="837"/>
      <c r="AC297" s="838"/>
      <c r="AD297" s="838"/>
      <c r="AE297" s="838"/>
      <c r="AF297" s="839"/>
      <c r="AG297" s="837"/>
      <c r="AH297" s="838"/>
      <c r="AI297" s="838"/>
      <c r="AJ297" s="838"/>
      <c r="AK297" s="839"/>
      <c r="AL297" s="837"/>
      <c r="AM297" s="838"/>
      <c r="AN297" s="838"/>
      <c r="AO297" s="838"/>
      <c r="AP297" s="839"/>
      <c r="AQ297" s="837"/>
      <c r="AR297" s="838"/>
      <c r="AS297" s="838"/>
      <c r="AT297" s="838"/>
      <c r="AU297" s="839"/>
      <c r="AV297" s="837"/>
      <c r="AW297" s="838"/>
      <c r="AX297" s="838"/>
      <c r="AY297" s="838"/>
      <c r="AZ297" s="839"/>
      <c r="BA297" s="837"/>
      <c r="BB297" s="838"/>
      <c r="BC297" s="838"/>
      <c r="BD297" s="838"/>
      <c r="BE297" s="839"/>
      <c r="BF297" s="837"/>
      <c r="BG297" s="838"/>
      <c r="BH297" s="838"/>
      <c r="BI297" s="838"/>
      <c r="BJ297" s="839"/>
      <c r="BK297" s="837"/>
      <c r="BL297" s="838"/>
      <c r="BM297" s="838"/>
      <c r="BN297" s="838"/>
      <c r="BO297" s="839"/>
      <c r="BP297" s="837"/>
      <c r="BQ297" s="838"/>
      <c r="BR297" s="838"/>
      <c r="BS297" s="838"/>
      <c r="BT297" s="839"/>
      <c r="BU297" s="837"/>
      <c r="BV297" s="838"/>
      <c r="BW297" s="838"/>
      <c r="BX297" s="838"/>
      <c r="BY297" s="839"/>
      <c r="BZ297" s="837"/>
      <c r="CA297" s="838"/>
      <c r="CB297" s="838"/>
      <c r="CC297" s="838"/>
      <c r="CD297" s="840"/>
      <c r="CE297" s="837"/>
      <c r="CF297" s="838"/>
      <c r="CG297" s="838"/>
      <c r="CH297" s="838"/>
      <c r="CI297" s="840"/>
      <c r="CJ297" s="837"/>
      <c r="CK297" s="838"/>
      <c r="CL297" s="838"/>
      <c r="CM297" s="838"/>
      <c r="CN297" s="840"/>
      <c r="CO297" s="837"/>
      <c r="CP297" s="838"/>
      <c r="CQ297" s="838"/>
      <c r="CR297" s="838"/>
      <c r="CS297" s="840"/>
      <c r="CT297" s="837"/>
      <c r="CU297" s="838"/>
      <c r="CV297" s="838"/>
      <c r="CW297" s="838"/>
      <c r="CX297" s="840"/>
      <c r="CY297" s="838"/>
      <c r="CZ297" s="838"/>
      <c r="DA297" s="838"/>
      <c r="DB297" s="838"/>
      <c r="DC297" s="840"/>
      <c r="DD297" s="838"/>
      <c r="DE297" s="838"/>
      <c r="DF297" s="838"/>
      <c r="DG297" s="838"/>
      <c r="DH297" s="840"/>
      <c r="DI297" s="838"/>
      <c r="DJ297" s="838"/>
      <c r="DK297" s="838"/>
      <c r="DL297" s="838"/>
      <c r="DM297" s="840"/>
      <c r="DN297" s="838"/>
      <c r="DO297" s="838"/>
      <c r="DP297" s="838"/>
      <c r="DQ297" s="838"/>
      <c r="DR297" s="840"/>
      <c r="DS297" s="838"/>
      <c r="DT297" s="838"/>
      <c r="DU297" s="838"/>
      <c r="DV297" s="838"/>
      <c r="DW297" s="840"/>
      <c r="DX297" s="838"/>
      <c r="DY297" s="838"/>
      <c r="DZ297" s="838"/>
      <c r="EA297" s="838"/>
      <c r="EB297" s="840"/>
      <c r="EC297" s="838"/>
      <c r="ED297" s="838"/>
      <c r="EE297" s="838"/>
      <c r="EF297" s="838"/>
      <c r="EG297" s="840"/>
      <c r="EH297" s="838"/>
      <c r="EI297" s="838"/>
      <c r="EJ297" s="838"/>
      <c r="EK297" s="838"/>
      <c r="EL297" s="840"/>
      <c r="EM297" s="107">
        <f>EM299/EM273</f>
      </c>
      <c r="EN297" s="107">
        <f>EN299/EN273</f>
      </c>
      <c r="EO297" s="107">
        <f>EO299/EO273</f>
      </c>
      <c r="EP297" s="107">
        <f>EP299/EP273</f>
      </c>
      <c r="EQ297" s="840"/>
      <c r="ER297" s="114">
        <v>0.13</v>
      </c>
      <c r="ES297" s="114">
        <f t="shared" si="445"/>
      </c>
      <c r="ET297" s="114">
        <f t="shared" si="445"/>
      </c>
      <c r="EU297" s="439">
        <f t="shared" si="445"/>
      </c>
      <c r="EV297" s="840"/>
      <c r="EW297" s="1648"/>
      <c r="EX297" s="841"/>
      <c r="EY297" s="114"/>
      <c r="EZ297" s="841"/>
      <c r="FA297" s="840"/>
      <c r="FB297" s="842"/>
      <c r="FC297" s="841"/>
      <c r="FD297" s="841"/>
      <c r="FE297" s="841"/>
      <c r="FF297" s="840"/>
      <c r="FG297" s="842"/>
      <c r="FH297" s="841"/>
      <c r="FI297" s="841"/>
      <c r="FJ297" s="841"/>
      <c r="FK297" s="840"/>
      <c r="FL297" s="842"/>
      <c r="FM297" s="841"/>
      <c r="FN297" s="841"/>
      <c r="FO297" s="841"/>
      <c r="FP297" s="840"/>
      <c r="FQ297" s="842"/>
      <c r="FR297" s="841"/>
      <c r="FS297" s="841"/>
      <c r="FT297" s="841"/>
      <c r="FU297" s="840"/>
      <c r="FV297" s="842"/>
      <c r="FW297" s="841"/>
      <c r="FX297" s="841"/>
      <c r="FY297" s="841"/>
      <c r="FZ297" s="840"/>
      <c r="GA297" s="842"/>
      <c r="GB297" s="841"/>
      <c r="GC297" s="841"/>
      <c r="GD297" s="841"/>
      <c r="GE297" s="840"/>
      <c r="GF297" s="842"/>
      <c r="GG297" s="841"/>
      <c r="GH297" s="841"/>
      <c r="GI297" s="841"/>
      <c r="GJ297" s="843"/>
    </row>
    <row r="298" spans="1:192" s="844" customFormat="1" ht="12.75" hidden="1" customHeight="1" outlineLevel="1">
      <c r="A298" s="836"/>
      <c r="B298" s="1300" t="s">
        <v>1855</v>
      </c>
      <c r="C298" s="837"/>
      <c r="D298" s="838"/>
      <c r="E298" s="838"/>
      <c r="F298" s="838"/>
      <c r="G298" s="839"/>
      <c r="H298" s="837"/>
      <c r="I298" s="838"/>
      <c r="J298" s="838"/>
      <c r="K298" s="838"/>
      <c r="L298" s="839"/>
      <c r="M298" s="837"/>
      <c r="N298" s="838"/>
      <c r="O298" s="838"/>
      <c r="P298" s="838"/>
      <c r="Q298" s="839"/>
      <c r="R298" s="837"/>
      <c r="S298" s="838"/>
      <c r="T298" s="838"/>
      <c r="U298" s="838"/>
      <c r="V298" s="839"/>
      <c r="W298" s="837"/>
      <c r="X298" s="838"/>
      <c r="Y298" s="838"/>
      <c r="Z298" s="838"/>
      <c r="AA298" s="839"/>
      <c r="AB298" s="837"/>
      <c r="AC298" s="838"/>
      <c r="AD298" s="838"/>
      <c r="AE298" s="838"/>
      <c r="AF298" s="839"/>
      <c r="AG298" s="837"/>
      <c r="AH298" s="838"/>
      <c r="AI298" s="838"/>
      <c r="AJ298" s="838"/>
      <c r="AK298" s="839"/>
      <c r="AL298" s="837"/>
      <c r="AM298" s="838"/>
      <c r="AN298" s="838"/>
      <c r="AO298" s="838"/>
      <c r="AP298" s="839"/>
      <c r="AQ298" s="837"/>
      <c r="AR298" s="838"/>
      <c r="AS298" s="838"/>
      <c r="AT298" s="838"/>
      <c r="AU298" s="839"/>
      <c r="AV298" s="837"/>
      <c r="AW298" s="838"/>
      <c r="AX298" s="838"/>
      <c r="AY298" s="838"/>
      <c r="AZ298" s="839"/>
      <c r="BA298" s="837"/>
      <c r="BB298" s="838"/>
      <c r="BC298" s="838"/>
      <c r="BD298" s="838"/>
      <c r="BE298" s="839"/>
      <c r="BF298" s="837"/>
      <c r="BG298" s="838"/>
      <c r="BH298" s="838"/>
      <c r="BI298" s="838"/>
      <c r="BJ298" s="839"/>
      <c r="BK298" s="837"/>
      <c r="BL298" s="838"/>
      <c r="BM298" s="838"/>
      <c r="BN298" s="838"/>
      <c r="BO298" s="839"/>
      <c r="BP298" s="837"/>
      <c r="BQ298" s="838"/>
      <c r="BR298" s="838"/>
      <c r="BS298" s="838"/>
      <c r="BT298" s="839"/>
      <c r="BU298" s="837"/>
      <c r="BV298" s="838"/>
      <c r="BW298" s="838"/>
      <c r="BX298" s="838"/>
      <c r="BY298" s="839"/>
      <c r="BZ298" s="837"/>
      <c r="CA298" s="838"/>
      <c r="CB298" s="838"/>
      <c r="CC298" s="838"/>
      <c r="CD298" s="840"/>
      <c r="CE298" s="837"/>
      <c r="CF298" s="838"/>
      <c r="CG298" s="838"/>
      <c r="CH298" s="838"/>
      <c r="CI298" s="840"/>
      <c r="CJ298" s="837"/>
      <c r="CK298" s="838"/>
      <c r="CL298" s="838"/>
      <c r="CM298" s="838"/>
      <c r="CN298" s="840"/>
      <c r="CO298" s="837"/>
      <c r="CP298" s="838"/>
      <c r="CQ298" s="838"/>
      <c r="CR298" s="838"/>
      <c r="CS298" s="840"/>
      <c r="CT298" s="837"/>
      <c r="CU298" s="838"/>
      <c r="CV298" s="838"/>
      <c r="CW298" s="838"/>
      <c r="CX298" s="840"/>
      <c r="CY298" s="838"/>
      <c r="CZ298" s="838"/>
      <c r="DA298" s="838"/>
      <c r="DB298" s="838"/>
      <c r="DC298" s="840"/>
      <c r="DD298" s="838"/>
      <c r="DE298" s="838"/>
      <c r="DF298" s="838"/>
      <c r="DG298" s="838"/>
      <c r="DH298" s="840"/>
      <c r="DI298" s="838"/>
      <c r="DJ298" s="838"/>
      <c r="DK298" s="838"/>
      <c r="DL298" s="838"/>
      <c r="DM298" s="840"/>
      <c r="DN298" s="838"/>
      <c r="DO298" s="838"/>
      <c r="DP298" s="838"/>
      <c r="DQ298" s="838"/>
      <c r="DR298" s="840"/>
      <c r="DS298" s="838"/>
      <c r="DT298" s="838"/>
      <c r="DU298" s="838"/>
      <c r="DV298" s="838"/>
      <c r="DW298" s="840"/>
      <c r="DX298" s="838"/>
      <c r="DY298" s="838"/>
      <c r="DZ298" s="838"/>
      <c r="EA298" s="838"/>
      <c r="EB298" s="840"/>
      <c r="EC298" s="838"/>
      <c r="ED298" s="838"/>
      <c r="EE298" s="838"/>
      <c r="EF298" s="838"/>
      <c r="EG298" s="840"/>
      <c r="EH298" s="838"/>
      <c r="EI298" s="838"/>
      <c r="EJ298" s="838"/>
      <c r="EK298" s="838"/>
      <c r="EL298" s="840"/>
      <c r="EM298" s="420">
        <v>61.3</v>
      </c>
      <c r="EN298" s="421">
        <v>63.2</v>
      </c>
      <c r="EO298" s="421">
        <v>65.400000000000006</v>
      </c>
      <c r="EP298" s="421">
        <v>67</v>
      </c>
      <c r="EQ298" s="840"/>
      <c r="ER298" s="838"/>
      <c r="ES298" s="838"/>
      <c r="ET298" s="838"/>
      <c r="EU298" s="1296"/>
      <c r="EV298" s="840"/>
      <c r="EW298" s="1647"/>
      <c r="EX298" s="841"/>
      <c r="EY298" s="841"/>
      <c r="EZ298" s="841"/>
      <c r="FA298" s="840"/>
      <c r="FB298" s="842"/>
      <c r="FC298" s="841"/>
      <c r="FD298" s="841"/>
      <c r="FE298" s="841"/>
      <c r="FF298" s="840"/>
      <c r="FG298" s="842"/>
      <c r="FH298" s="841"/>
      <c r="FI298" s="841"/>
      <c r="FJ298" s="841"/>
      <c r="FK298" s="840"/>
      <c r="FL298" s="842"/>
      <c r="FM298" s="841"/>
      <c r="FN298" s="841"/>
      <c r="FO298" s="841"/>
      <c r="FP298" s="840"/>
      <c r="FQ298" s="842"/>
      <c r="FR298" s="841"/>
      <c r="FS298" s="841"/>
      <c r="FT298" s="841"/>
      <c r="FU298" s="840"/>
      <c r="FV298" s="842"/>
      <c r="FW298" s="841"/>
      <c r="FX298" s="841"/>
      <c r="FY298" s="841"/>
      <c r="FZ298" s="840"/>
      <c r="GA298" s="842"/>
      <c r="GB298" s="841"/>
      <c r="GC298" s="841"/>
      <c r="GD298" s="841"/>
      <c r="GE298" s="840"/>
      <c r="GF298" s="842"/>
      <c r="GG298" s="841"/>
      <c r="GH298" s="841"/>
      <c r="GI298" s="841"/>
      <c r="GJ298" s="843"/>
    </row>
    <row r="299" spans="1:192" s="844" customFormat="1" ht="12.75" hidden="1" customHeight="1" outlineLevel="1">
      <c r="A299" s="836"/>
      <c r="B299" s="1299" t="s">
        <v>1870</v>
      </c>
      <c r="C299" s="837"/>
      <c r="D299" s="838"/>
      <c r="E299" s="838"/>
      <c r="F299" s="838"/>
      <c r="G299" s="839"/>
      <c r="H299" s="837"/>
      <c r="I299" s="838"/>
      <c r="J299" s="838"/>
      <c r="K299" s="838"/>
      <c r="L299" s="839"/>
      <c r="M299" s="837"/>
      <c r="N299" s="838"/>
      <c r="O299" s="838"/>
      <c r="P299" s="838"/>
      <c r="Q299" s="839"/>
      <c r="R299" s="837"/>
      <c r="S299" s="838"/>
      <c r="T299" s="838"/>
      <c r="U299" s="838"/>
      <c r="V299" s="839"/>
      <c r="W299" s="837"/>
      <c r="X299" s="838"/>
      <c r="Y299" s="838"/>
      <c r="Z299" s="838"/>
      <c r="AA299" s="839"/>
      <c r="AB299" s="837"/>
      <c r="AC299" s="838"/>
      <c r="AD299" s="838"/>
      <c r="AE299" s="838"/>
      <c r="AF299" s="839"/>
      <c r="AG299" s="837"/>
      <c r="AH299" s="838"/>
      <c r="AI299" s="838"/>
      <c r="AJ299" s="838"/>
      <c r="AK299" s="839"/>
      <c r="AL299" s="837"/>
      <c r="AM299" s="838"/>
      <c r="AN299" s="838"/>
      <c r="AO299" s="838"/>
      <c r="AP299" s="839"/>
      <c r="AQ299" s="837"/>
      <c r="AR299" s="838"/>
      <c r="AS299" s="838"/>
      <c r="AT299" s="838"/>
      <c r="AU299" s="839"/>
      <c r="AV299" s="837"/>
      <c r="AW299" s="838"/>
      <c r="AX299" s="838"/>
      <c r="AY299" s="838"/>
      <c r="AZ299" s="839"/>
      <c r="BA299" s="837"/>
      <c r="BB299" s="838"/>
      <c r="BC299" s="838"/>
      <c r="BD299" s="838"/>
      <c r="BE299" s="839"/>
      <c r="BF299" s="837"/>
      <c r="BG299" s="838"/>
      <c r="BH299" s="838"/>
      <c r="BI299" s="838"/>
      <c r="BJ299" s="839"/>
      <c r="BK299" s="837"/>
      <c r="BL299" s="838"/>
      <c r="BM299" s="838"/>
      <c r="BN299" s="838"/>
      <c r="BO299" s="839"/>
      <c r="BP299" s="837"/>
      <c r="BQ299" s="838"/>
      <c r="BR299" s="838"/>
      <c r="BS299" s="838"/>
      <c r="BT299" s="839"/>
      <c r="BU299" s="837"/>
      <c r="BV299" s="838"/>
      <c r="BW299" s="838"/>
      <c r="BX299" s="838"/>
      <c r="BY299" s="839"/>
      <c r="BZ299" s="837"/>
      <c r="CA299" s="838"/>
      <c r="CB299" s="838"/>
      <c r="CC299" s="838"/>
      <c r="CD299" s="840"/>
      <c r="CE299" s="837"/>
      <c r="CF299" s="838"/>
      <c r="CG299" s="838"/>
      <c r="CH299" s="838"/>
      <c r="CI299" s="840"/>
      <c r="CJ299" s="837"/>
      <c r="CK299" s="838"/>
      <c r="CL299" s="838"/>
      <c r="CM299" s="838"/>
      <c r="CN299" s="840"/>
      <c r="CO299" s="837"/>
      <c r="CP299" s="838"/>
      <c r="CQ299" s="838"/>
      <c r="CR299" s="838"/>
      <c r="CS299" s="840"/>
      <c r="CT299" s="837"/>
      <c r="CU299" s="838"/>
      <c r="CV299" s="838"/>
      <c r="CW299" s="838"/>
      <c r="CX299" s="840"/>
      <c r="CY299" s="838"/>
      <c r="CZ299" s="838"/>
      <c r="DA299" s="838"/>
      <c r="DB299" s="838"/>
      <c r="DC299" s="840"/>
      <c r="DD299" s="838"/>
      <c r="DE299" s="838"/>
      <c r="DF299" s="838"/>
      <c r="DG299" s="838"/>
      <c r="DH299" s="840"/>
      <c r="DI299" s="838"/>
      <c r="DJ299" s="838"/>
      <c r="DK299" s="838"/>
      <c r="DL299" s="838"/>
      <c r="DM299" s="840"/>
      <c r="DN299" s="838"/>
      <c r="DO299" s="838"/>
      <c r="DP299" s="838"/>
      <c r="DQ299" s="838"/>
      <c r="DR299" s="840"/>
      <c r="DS299" s="838"/>
      <c r="DT299" s="838"/>
      <c r="DU299" s="838"/>
      <c r="DV299" s="838"/>
      <c r="DW299" s="840"/>
      <c r="DX299" s="838"/>
      <c r="DY299" s="838"/>
      <c r="DZ299" s="838"/>
      <c r="EA299" s="838"/>
      <c r="EB299" s="840"/>
      <c r="EC299" s="838"/>
      <c r="ED299" s="838"/>
      <c r="EE299" s="838"/>
      <c r="EF299" s="838"/>
      <c r="EG299" s="840"/>
      <c r="EH299" s="838"/>
      <c r="EI299" s="838"/>
      <c r="EJ299" s="838"/>
      <c r="EK299" s="838"/>
      <c r="EL299" s="840"/>
      <c r="EM299" s="1345">
        <f>EM273-EM298</f>
      </c>
      <c r="EN299" s="1345">
        <f>EN273-EN298</f>
      </c>
      <c r="EO299" s="1345">
        <f>EO273-EO298</f>
      </c>
      <c r="EP299" s="1343">
        <f>EP273-EP298</f>
      </c>
      <c r="EQ299" s="1344"/>
      <c r="ER299" s="1322">
        <f>ER273*ER297</f>
      </c>
      <c r="ES299" s="1322">
        <f>ES273*ES297</f>
      </c>
      <c r="ET299" s="1322">
        <f>ET273*ET297</f>
      </c>
      <c r="EU299" s="1322">
        <f>EU273*EU297</f>
      </c>
      <c r="EV299" s="840"/>
      <c r="EW299" s="1647"/>
      <c r="EX299" s="841"/>
      <c r="EY299" s="841"/>
      <c r="EZ299" s="841"/>
      <c r="FA299" s="840"/>
      <c r="FB299" s="842"/>
      <c r="FC299" s="841"/>
      <c r="FD299" s="841"/>
      <c r="FE299" s="841"/>
      <c r="FF299" s="840"/>
      <c r="FG299" s="842"/>
      <c r="FH299" s="841"/>
      <c r="FI299" s="841"/>
      <c r="FJ299" s="841"/>
      <c r="FK299" s="840"/>
      <c r="FL299" s="842"/>
      <c r="FM299" s="841"/>
      <c r="FN299" s="841"/>
      <c r="FO299" s="841"/>
      <c r="FP299" s="840"/>
      <c r="FQ299" s="842"/>
      <c r="FR299" s="841"/>
      <c r="FS299" s="841"/>
      <c r="FT299" s="841"/>
      <c r="FU299" s="840"/>
      <c r="FV299" s="842"/>
      <c r="FW299" s="841"/>
      <c r="FX299" s="841"/>
      <c r="FY299" s="841"/>
      <c r="FZ299" s="840"/>
      <c r="GA299" s="842"/>
      <c r="GB299" s="841"/>
      <c r="GC299" s="841"/>
      <c r="GD299" s="841"/>
      <c r="GE299" s="840"/>
      <c r="GF299" s="842"/>
      <c r="GG299" s="841"/>
      <c r="GH299" s="841"/>
      <c r="GI299" s="841"/>
      <c r="GJ299" s="843"/>
    </row>
    <row r="300" spans="1:192" s="844" customFormat="1" ht="12.75" customHeight="1" collapsed="1">
      <c r="A300" s="836"/>
      <c r="B300" s="1246"/>
      <c r="C300" s="837"/>
      <c r="D300" s="838"/>
      <c r="E300" s="838"/>
      <c r="F300" s="838"/>
      <c r="G300" s="839"/>
      <c r="H300" s="837"/>
      <c r="I300" s="838"/>
      <c r="J300" s="838"/>
      <c r="K300" s="838"/>
      <c r="L300" s="839"/>
      <c r="M300" s="837"/>
      <c r="N300" s="838"/>
      <c r="O300" s="838"/>
      <c r="P300" s="838"/>
      <c r="Q300" s="839"/>
      <c r="R300" s="837"/>
      <c r="S300" s="838"/>
      <c r="T300" s="838"/>
      <c r="U300" s="838"/>
      <c r="V300" s="839"/>
      <c r="W300" s="837"/>
      <c r="X300" s="838"/>
      <c r="Y300" s="838"/>
      <c r="Z300" s="838"/>
      <c r="AA300" s="839"/>
      <c r="AB300" s="837"/>
      <c r="AC300" s="838"/>
      <c r="AD300" s="838"/>
      <c r="AE300" s="838"/>
      <c r="AF300" s="839"/>
      <c r="AG300" s="837"/>
      <c r="AH300" s="838"/>
      <c r="AI300" s="838"/>
      <c r="AJ300" s="838"/>
      <c r="AK300" s="839"/>
      <c r="AL300" s="837"/>
      <c r="AM300" s="838"/>
      <c r="AN300" s="838"/>
      <c r="AO300" s="838"/>
      <c r="AP300" s="839"/>
      <c r="AQ300" s="837"/>
      <c r="AR300" s="838"/>
      <c r="AS300" s="838"/>
      <c r="AT300" s="838"/>
      <c r="AU300" s="839"/>
      <c r="AV300" s="837"/>
      <c r="AW300" s="838"/>
      <c r="AX300" s="838"/>
      <c r="AY300" s="838"/>
      <c r="AZ300" s="839"/>
      <c r="BA300" s="837"/>
      <c r="BB300" s="838"/>
      <c r="BC300" s="838"/>
      <c r="BD300" s="838"/>
      <c r="BE300" s="839"/>
      <c r="BF300" s="837"/>
      <c r="BG300" s="838"/>
      <c r="BH300" s="838"/>
      <c r="BI300" s="838"/>
      <c r="BJ300" s="839"/>
      <c r="BK300" s="837"/>
      <c r="BL300" s="838"/>
      <c r="BM300" s="838"/>
      <c r="BN300" s="838"/>
      <c r="BO300" s="839"/>
      <c r="BP300" s="837"/>
      <c r="BQ300" s="838"/>
      <c r="BR300" s="838"/>
      <c r="BS300" s="838"/>
      <c r="BT300" s="839"/>
      <c r="BU300" s="837"/>
      <c r="BV300" s="838"/>
      <c r="BW300" s="838"/>
      <c r="BX300" s="838"/>
      <c r="BY300" s="839"/>
      <c r="BZ300" s="837"/>
      <c r="CA300" s="838"/>
      <c r="CB300" s="838"/>
      <c r="CC300" s="838"/>
      <c r="CD300" s="840"/>
      <c r="CE300" s="837"/>
      <c r="CF300" s="838"/>
      <c r="CG300" s="838"/>
      <c r="CH300" s="838"/>
      <c r="CI300" s="840"/>
      <c r="CJ300" s="837"/>
      <c r="CK300" s="838"/>
      <c r="CL300" s="838"/>
      <c r="CM300" s="838"/>
      <c r="CN300" s="840"/>
      <c r="CO300" s="837"/>
      <c r="CP300" s="838"/>
      <c r="CQ300" s="838"/>
      <c r="CR300" s="838"/>
      <c r="CS300" s="840"/>
      <c r="CT300" s="837"/>
      <c r="CU300" s="838"/>
      <c r="CV300" s="838"/>
      <c r="CW300" s="838"/>
      <c r="CX300" s="840"/>
      <c r="CY300" s="838"/>
      <c r="CZ300" s="838"/>
      <c r="DA300" s="838"/>
      <c r="DB300" s="838"/>
      <c r="DC300" s="840"/>
      <c r="DD300" s="838"/>
      <c r="DE300" s="838"/>
      <c r="DF300" s="838"/>
      <c r="DG300" s="838"/>
      <c r="DH300" s="840"/>
      <c r="DI300" s="1296"/>
      <c r="DJ300" s="1296"/>
      <c r="DK300" s="1296"/>
      <c r="DL300" s="1296"/>
      <c r="DM300" s="840"/>
      <c r="DN300" s="838"/>
      <c r="DO300" s="838"/>
      <c r="DP300" s="838"/>
      <c r="DQ300" s="838"/>
      <c r="DR300" s="840"/>
      <c r="DS300" s="838"/>
      <c r="DT300" s="838"/>
      <c r="DU300" s="838"/>
      <c r="DV300" s="838"/>
      <c r="DW300" s="840"/>
      <c r="DX300" s="838"/>
      <c r="DY300" s="838"/>
      <c r="DZ300" s="838"/>
      <c r="EA300" s="838"/>
      <c r="EB300" s="840"/>
      <c r="EC300" s="838"/>
      <c r="ED300" s="838"/>
      <c r="EE300" s="838"/>
      <c r="EF300" s="838"/>
      <c r="EG300" s="840"/>
      <c r="EH300" s="838"/>
      <c r="EI300" s="838"/>
      <c r="EJ300" s="838"/>
      <c r="EK300" s="838"/>
      <c r="EL300" s="840"/>
      <c r="EM300" s="838"/>
      <c r="EN300" s="838"/>
      <c r="EO300" s="838"/>
      <c r="EP300" s="838"/>
      <c r="EQ300" s="840"/>
      <c r="ER300" s="838"/>
      <c r="ES300" s="838"/>
      <c r="ET300" s="841"/>
      <c r="EU300" s="841"/>
      <c r="EV300" s="840"/>
      <c r="EW300" s="842"/>
      <c r="EX300" s="841"/>
      <c r="EY300" s="841"/>
      <c r="EZ300" s="841"/>
      <c r="FA300" s="840"/>
      <c r="FB300" s="842"/>
      <c r="FC300" s="841"/>
      <c r="FD300" s="841"/>
      <c r="FE300" s="841"/>
      <c r="FF300" s="840"/>
      <c r="FG300" s="842"/>
      <c r="FH300" s="841"/>
      <c r="FI300" s="841"/>
      <c r="FJ300" s="841"/>
      <c r="FK300" s="840"/>
      <c r="FL300" s="842"/>
      <c r="FM300" s="841"/>
      <c r="FN300" s="841"/>
      <c r="FO300" s="841"/>
      <c r="FP300" s="840"/>
      <c r="FQ300" s="842"/>
      <c r="FR300" s="841"/>
      <c r="FS300" s="841"/>
      <c r="FT300" s="841"/>
      <c r="FU300" s="840"/>
      <c r="FV300" s="842"/>
      <c r="FW300" s="841"/>
      <c r="FX300" s="841"/>
      <c r="FY300" s="841"/>
      <c r="FZ300" s="840"/>
      <c r="GA300" s="842"/>
      <c r="GB300" s="841"/>
      <c r="GC300" s="841"/>
      <c r="GD300" s="841"/>
      <c r="GE300" s="840"/>
      <c r="GF300" s="842"/>
      <c r="GG300" s="841"/>
      <c r="GH300" s="841"/>
      <c r="GI300" s="841"/>
      <c r="GJ300" s="843"/>
    </row>
    <row r="301" spans="1:192" s="461" customFormat="1" ht="12.75" customHeight="1">
      <c r="A301" s="807"/>
      <c r="B301" s="1352" t="s">
        <v>1978</v>
      </c>
      <c r="C301" s="443"/>
      <c r="D301" s="471"/>
      <c r="E301" s="471"/>
      <c r="F301" s="471"/>
      <c r="G301" s="516"/>
      <c r="H301" s="443"/>
      <c r="I301" s="471"/>
      <c r="J301" s="471"/>
      <c r="K301" s="471"/>
      <c r="L301" s="516"/>
      <c r="M301" s="443"/>
      <c r="N301" s="471"/>
      <c r="O301" s="471"/>
      <c r="P301" s="471"/>
      <c r="Q301" s="516"/>
      <c r="R301" s="443"/>
      <c r="S301" s="471"/>
      <c r="T301" s="471"/>
      <c r="U301" s="471"/>
      <c r="V301" s="516"/>
      <c r="W301" s="443"/>
      <c r="X301" s="471"/>
      <c r="Y301" s="471"/>
      <c r="Z301" s="471"/>
      <c r="AA301" s="516"/>
      <c r="AB301" s="443"/>
      <c r="AC301" s="471"/>
      <c r="AD301" s="471"/>
      <c r="AE301" s="471"/>
      <c r="AF301" s="516"/>
      <c r="AG301" s="443"/>
      <c r="AH301" s="471"/>
      <c r="AI301" s="471"/>
      <c r="AJ301" s="471"/>
      <c r="AK301" s="516"/>
      <c r="AL301" s="443"/>
      <c r="AM301" s="471"/>
      <c r="AN301" s="471"/>
      <c r="AO301" s="471"/>
      <c r="AP301" s="516"/>
      <c r="AQ301" s="443"/>
      <c r="AR301" s="471"/>
      <c r="AS301" s="471"/>
      <c r="AT301" s="471"/>
      <c r="AU301" s="516"/>
      <c r="AV301" s="443"/>
      <c r="AW301" s="471"/>
      <c r="AX301" s="471"/>
      <c r="AY301" s="471"/>
      <c r="AZ301" s="516"/>
      <c r="BA301" s="443"/>
      <c r="BB301" s="471"/>
      <c r="BC301" s="471"/>
      <c r="BD301" s="471"/>
      <c r="BE301" s="516"/>
      <c r="BF301" s="443"/>
      <c r="BG301" s="471"/>
      <c r="BH301" s="471"/>
      <c r="BI301" s="471"/>
      <c r="BJ301" s="516"/>
      <c r="BK301" s="443"/>
      <c r="BL301" s="471"/>
      <c r="BM301" s="471"/>
      <c r="BN301" s="471"/>
      <c r="BO301" s="516"/>
      <c r="BP301" s="443"/>
      <c r="BQ301" s="471"/>
      <c r="BR301" s="471"/>
      <c r="BS301" s="471"/>
      <c r="BT301" s="516"/>
      <c r="BU301" s="443"/>
      <c r="BV301" s="471"/>
      <c r="BW301" s="471"/>
      <c r="BX301" s="471"/>
      <c r="BY301" s="516"/>
      <c r="BZ301" s="443"/>
      <c r="CA301" s="471"/>
      <c r="CB301" s="471"/>
      <c r="CC301" s="471"/>
      <c r="CD301" s="516"/>
      <c r="CE301" s="443"/>
      <c r="CF301" s="471"/>
      <c r="CG301" s="471"/>
      <c r="CH301" s="471"/>
      <c r="CI301" s="516"/>
      <c r="CJ301" s="443"/>
      <c r="CK301" s="471"/>
      <c r="CL301" s="471"/>
      <c r="CM301" s="471"/>
      <c r="CN301" s="516"/>
      <c r="CO301" s="443"/>
      <c r="CP301" s="471"/>
      <c r="CQ301" s="471"/>
      <c r="CR301" s="471"/>
      <c r="CS301" s="516">
        <f>CX304/CX302</f>
      </c>
      <c r="CT301" s="443"/>
      <c r="CU301" s="471"/>
      <c r="CV301" s="471"/>
      <c r="CW301" s="471"/>
      <c r="CX301" s="516">
        <f>DC304/DC302</f>
      </c>
      <c r="CY301" s="443"/>
      <c r="CZ301" s="443"/>
      <c r="DA301" s="443"/>
      <c r="DB301" s="443"/>
      <c r="DC301" s="516">
        <f>CX301*(1+DC302)</f>
      </c>
      <c r="DD301" s="443"/>
      <c r="DE301" s="443"/>
      <c r="DF301" s="443"/>
      <c r="DG301" s="443"/>
      <c r="DH301" s="516"/>
      <c r="DI301" s="443"/>
      <c r="DJ301" s="443"/>
      <c r="DK301" s="443"/>
      <c r="DL301" s="443"/>
      <c r="DM301" s="516"/>
      <c r="DN301" s="443"/>
      <c r="DO301" s="443"/>
      <c r="DP301" s="443"/>
      <c r="DQ301" s="443"/>
      <c r="DR301" s="516"/>
      <c r="DS301" s="443"/>
      <c r="DT301" s="443"/>
      <c r="DU301" s="443"/>
      <c r="DV301" s="443"/>
      <c r="DW301" s="516"/>
      <c r="DX301" s="443"/>
      <c r="DY301" s="443"/>
      <c r="DZ301" s="443"/>
      <c r="EA301" s="443"/>
      <c r="EB301" s="516"/>
      <c r="EC301" s="443"/>
      <c r="ED301" s="443"/>
      <c r="EE301" s="443"/>
      <c r="EF301" s="443"/>
      <c r="EG301" s="516"/>
      <c r="EH301" s="443"/>
      <c r="EI301" s="443"/>
      <c r="EJ301" s="443"/>
      <c r="EK301" s="443"/>
      <c r="EL301" s="516"/>
      <c r="EM301" s="443">
        <f>EM255-EM264</f>
      </c>
      <c r="EN301" s="443">
        <f>EN255-EN264</f>
      </c>
      <c r="EO301" s="443">
        <f>EO255-EO264</f>
      </c>
      <c r="EP301" s="443">
        <f>EP255-EP264</f>
      </c>
      <c r="EQ301" s="516">
        <f>SUM(EM301:EP301)</f>
      </c>
      <c r="ER301" s="443">
        <f>ER255-ER264</f>
      </c>
      <c r="ES301" s="443">
        <f>ES255-ES264</f>
      </c>
      <c r="ET301" s="443">
        <f>ET255-ET264</f>
      </c>
      <c r="EU301" s="443">
        <f>EU255-EU264</f>
      </c>
      <c r="EV301" s="516">
        <f>SUM(ER301:EU301)</f>
      </c>
      <c r="EW301" s="471">
        <f>EW255-EW264</f>
      </c>
      <c r="EX301" s="443">
        <f>EX255-EX264</f>
      </c>
      <c r="EY301" s="443">
        <f>EY255-EY264</f>
      </c>
      <c r="EZ301" s="443">
        <f>EZ255-EZ264</f>
      </c>
      <c r="FA301" s="516">
        <f>SUM(EW301:EZ301)</f>
      </c>
      <c r="FB301" s="471">
        <f>EW301*(1+FB302)</f>
      </c>
      <c r="FC301" s="471">
        <f>EX301*(1+FC302)</f>
      </c>
      <c r="FD301" s="471">
        <f>EY301*(1+FD302)</f>
      </c>
      <c r="FE301" s="471">
        <f>EZ301*(1+FE302)</f>
      </c>
      <c r="FF301" s="516">
        <f>SUM(FB301:FE301)</f>
      </c>
      <c r="FG301" s="471">
        <f>FB301*(1+FG302)</f>
      </c>
      <c r="FH301" s="471">
        <f>FC301*(1+FH302)</f>
      </c>
      <c r="FI301" s="471">
        <f>FD301*(1+FI302)</f>
      </c>
      <c r="FJ301" s="471">
        <f>FE301*(1+FJ302)</f>
      </c>
      <c r="FK301" s="516">
        <f>SUM(FG301:FJ301)</f>
      </c>
      <c r="FL301" s="471">
        <f>FG301*(1+FL302)</f>
      </c>
      <c r="FM301" s="471">
        <f>FH301*(1+FM302)</f>
      </c>
      <c r="FN301" s="471">
        <f>FI301*(1+FN302)</f>
      </c>
      <c r="FO301" s="471">
        <f>FJ301*(1+FO302)</f>
      </c>
      <c r="FP301" s="516">
        <f>SUM(FL301:FO301)</f>
      </c>
      <c r="FQ301" s="471">
        <f>FL301*(1+FQ302)</f>
      </c>
      <c r="FR301" s="471">
        <f>FM301*(1+FR302)</f>
      </c>
      <c r="FS301" s="471">
        <f>FN301*(1+FS302)</f>
      </c>
      <c r="FT301" s="471">
        <f>FO301*(1+FT302)</f>
      </c>
      <c r="FU301" s="516">
        <f>SUM(FQ301:FT301)</f>
      </c>
      <c r="FV301" s="443">
        <f>FQ301*(1+FV302)</f>
      </c>
      <c r="FW301" s="471">
        <f>FR301*(1+FW302)</f>
      </c>
      <c r="FX301" s="471">
        <f>FS301*(1+FX302)</f>
      </c>
      <c r="FY301" s="471">
        <f>FT301*(1+FY302)</f>
      </c>
      <c r="FZ301" s="516">
        <f>SUM(FV301:FY301)</f>
      </c>
      <c r="GA301" s="443">
        <f>FV301*(1+GA302)</f>
      </c>
      <c r="GB301" s="471">
        <f>FW301*(1+GB302)</f>
      </c>
      <c r="GC301" s="471">
        <f>FX301*(1+GC302)</f>
      </c>
      <c r="GD301" s="471">
        <f>FY301*(1+GD302)</f>
      </c>
      <c r="GE301" s="516">
        <f>SUM(GA301:GD301)</f>
      </c>
      <c r="GF301" s="443">
        <f>GA301*(1+GF302)</f>
      </c>
      <c r="GG301" s="471">
        <f>GB301*(1+GG302)</f>
      </c>
      <c r="GH301" s="471">
        <f>GC301*(1+GH302)</f>
      </c>
      <c r="GI301" s="471">
        <f>GD301*(1+GI302)</f>
      </c>
      <c r="GJ301" s="808">
        <f>SUM(GF301:GI301)</f>
      </c>
    </row>
    <row r="302" spans="1:192" s="479" customFormat="1" ht="12.75" customHeight="1">
      <c r="A302" s="81"/>
      <c r="B302" s="1744" t="s">
        <v>34</v>
      </c>
      <c r="C302" s="291"/>
      <c r="D302" s="107"/>
      <c r="E302" s="107"/>
      <c r="F302" s="107"/>
      <c r="G302" s="292"/>
      <c r="H302" s="291"/>
      <c r="I302" s="107"/>
      <c r="J302" s="107"/>
      <c r="K302" s="107"/>
      <c r="L302" s="292"/>
      <c r="M302" s="291"/>
      <c r="N302" s="107"/>
      <c r="O302" s="107"/>
      <c r="P302" s="107"/>
      <c r="Q302" s="292"/>
      <c r="R302" s="291"/>
      <c r="S302" s="107"/>
      <c r="T302" s="107"/>
      <c r="U302" s="107"/>
      <c r="V302" s="292"/>
      <c r="W302" s="291"/>
      <c r="X302" s="107"/>
      <c r="Y302" s="107"/>
      <c r="Z302" s="107"/>
      <c r="AA302" s="292"/>
      <c r="AB302" s="291"/>
      <c r="AC302" s="107"/>
      <c r="AD302" s="107"/>
      <c r="AE302" s="107"/>
      <c r="AF302" s="292"/>
      <c r="AG302" s="291"/>
      <c r="AH302" s="107"/>
      <c r="AI302" s="107"/>
      <c r="AJ302" s="107"/>
      <c r="AK302" s="292"/>
      <c r="AL302" s="291"/>
      <c r="AM302" s="107"/>
      <c r="AN302" s="107"/>
      <c r="AO302" s="107"/>
      <c r="AP302" s="292"/>
      <c r="AQ302" s="291"/>
      <c r="AR302" s="107"/>
      <c r="AS302" s="107"/>
      <c r="AT302" s="107"/>
      <c r="AU302" s="292"/>
      <c r="AV302" s="291"/>
      <c r="AW302" s="107"/>
      <c r="AX302" s="107"/>
      <c r="AY302" s="107"/>
      <c r="AZ302" s="292"/>
      <c r="BA302" s="291"/>
      <c r="BB302" s="107"/>
      <c r="BC302" s="107"/>
      <c r="BD302" s="107"/>
      <c r="BE302" s="292"/>
      <c r="BF302" s="291"/>
      <c r="BG302" s="107"/>
      <c r="BH302" s="107"/>
      <c r="BI302" s="107"/>
      <c r="BJ302" s="292"/>
      <c r="BK302" s="291"/>
      <c r="BL302" s="107"/>
      <c r="BM302" s="107"/>
      <c r="BN302" s="107"/>
      <c r="BO302" s="292"/>
      <c r="BP302" s="291"/>
      <c r="BQ302" s="107"/>
      <c r="BR302" s="107"/>
      <c r="BS302" s="107"/>
      <c r="BT302" s="292"/>
      <c r="BU302" s="291"/>
      <c r="BV302" s="107"/>
      <c r="BW302" s="107"/>
      <c r="BX302" s="107"/>
      <c r="BY302" s="292"/>
      <c r="BZ302" s="291"/>
      <c r="CA302" s="107"/>
      <c r="CB302" s="107"/>
      <c r="CC302" s="107"/>
      <c r="CD302" s="292"/>
      <c r="CE302" s="291"/>
      <c r="CF302" s="107"/>
      <c r="CG302" s="107"/>
      <c r="CH302" s="107"/>
      <c r="CI302" s="292"/>
      <c r="CJ302" s="291"/>
      <c r="CK302" s="107"/>
      <c r="CL302" s="107"/>
      <c r="CM302" s="107"/>
      <c r="CN302" s="292"/>
      <c r="CO302" s="291"/>
      <c r="CP302" s="107"/>
      <c r="CQ302" s="107"/>
      <c r="CR302" s="107"/>
      <c r="CS302" s="292"/>
      <c r="CT302" s="291"/>
      <c r="CU302" s="107"/>
      <c r="CV302" s="107"/>
      <c r="CW302" s="107"/>
      <c r="CX302" s="413">
        <v>-7.0000000000000007E-2</v>
      </c>
      <c r="CY302" s="291"/>
      <c r="CZ302" s="291"/>
      <c r="DA302" s="291"/>
      <c r="DB302" s="291"/>
      <c r="DC302" s="413">
        <v>-0.28999999999999998</v>
      </c>
      <c r="DD302" s="291"/>
      <c r="DE302" s="291"/>
      <c r="DF302" s="291"/>
      <c r="DG302" s="291"/>
      <c r="DH302" s="292"/>
      <c r="DI302" s="291"/>
      <c r="DJ302" s="291"/>
      <c r="DK302" s="291"/>
      <c r="DL302" s="291"/>
      <c r="DM302" s="292"/>
      <c r="DN302" s="291"/>
      <c r="DO302" s="291"/>
      <c r="DP302" s="291"/>
      <c r="DQ302" s="291"/>
      <c r="DR302" s="292"/>
      <c r="DS302" s="291"/>
      <c r="DT302" s="291"/>
      <c r="DU302" s="291"/>
      <c r="DV302" s="291"/>
      <c r="DW302" s="292"/>
      <c r="DX302" s="291"/>
      <c r="DY302" s="291"/>
      <c r="DZ302" s="291"/>
      <c r="EA302" s="291"/>
      <c r="EB302" s="292"/>
      <c r="EC302" s="291"/>
      <c r="ED302" s="291"/>
      <c r="EE302" s="291"/>
      <c r="EF302" s="291"/>
      <c r="EG302" s="292"/>
      <c r="EH302" s="291"/>
      <c r="EI302" s="291"/>
      <c r="EJ302" s="291"/>
      <c r="EK302" s="291"/>
      <c r="EL302" s="292"/>
      <c r="EM302" s="291"/>
      <c r="EN302" s="291"/>
      <c r="EO302" s="291"/>
      <c r="EP302" s="291"/>
      <c r="EQ302" s="292"/>
      <c r="ER302" s="291">
        <f t="shared" ref="ER302:EZ302" si="446">ER301/EM301-1</f>
      </c>
      <c r="ES302" s="291">
        <f t="shared" si="446"/>
      </c>
      <c r="ET302" s="291">
        <f t="shared" si="446"/>
      </c>
      <c r="EU302" s="291">
        <f t="shared" si="446"/>
      </c>
      <c r="EV302" s="292">
        <f>EV301/EQ301-1</f>
      </c>
      <c r="EW302" s="291">
        <f t="shared" si="446"/>
      </c>
      <c r="EX302" s="291">
        <f t="shared" si="446"/>
      </c>
      <c r="EY302" s="291">
        <f t="shared" si="446"/>
      </c>
      <c r="EZ302" s="291">
        <f t="shared" si="446"/>
      </c>
      <c r="FA302" s="292">
        <f>FA301/EV301-1</f>
      </c>
      <c r="FB302" s="412">
        <v>0</v>
      </c>
      <c r="FC302" s="114">
        <f>FB302</f>
      </c>
      <c r="FD302" s="114">
        <f>FC302</f>
      </c>
      <c r="FE302" s="114">
        <f>FD302</f>
      </c>
      <c r="FF302" s="292">
        <f>FF301/FA301-1</f>
      </c>
      <c r="FG302" s="412">
        <f>FE302-5%</f>
      </c>
      <c r="FH302" s="114">
        <f>FG302</f>
      </c>
      <c r="FI302" s="114">
        <f>FH302</f>
      </c>
      <c r="FJ302" s="114">
        <f>FI302</f>
      </c>
      <c r="FK302" s="292">
        <f>FK301/FF301-1</f>
      </c>
      <c r="FL302" s="412">
        <f>FG302-5%</f>
      </c>
      <c r="FM302" s="114">
        <f>FL302</f>
      </c>
      <c r="FN302" s="114">
        <f>FM302</f>
      </c>
      <c r="FO302" s="114">
        <f>FN302</f>
      </c>
      <c r="FP302" s="292">
        <f>FP301/FK301-1</f>
      </c>
      <c r="FQ302" s="412">
        <v>-0.2</v>
      </c>
      <c r="FR302" s="114">
        <f>FQ302</f>
      </c>
      <c r="FS302" s="114">
        <f>FR302</f>
      </c>
      <c r="FT302" s="114">
        <f>FS302</f>
      </c>
      <c r="FU302" s="292">
        <f>FU301/FP301-1</f>
      </c>
      <c r="FV302" s="412">
        <v>-0.25</v>
      </c>
      <c r="FW302" s="114">
        <f>FV302</f>
      </c>
      <c r="FX302" s="114">
        <f>FW302</f>
      </c>
      <c r="FY302" s="114">
        <f>FX302</f>
      </c>
      <c r="FZ302" s="292">
        <f>FZ301/FU301-1</f>
      </c>
      <c r="GA302" s="412">
        <f>FV302</f>
      </c>
      <c r="GB302" s="114">
        <f>GA302</f>
      </c>
      <c r="GC302" s="114">
        <f>GB302</f>
      </c>
      <c r="GD302" s="114">
        <f>GC302</f>
      </c>
      <c r="GE302" s="292">
        <f>GE301/FZ301-1</f>
      </c>
      <c r="GF302" s="412">
        <f>GA302</f>
      </c>
      <c r="GG302" s="114">
        <f>GF302</f>
      </c>
      <c r="GH302" s="114">
        <f>GG302</f>
      </c>
      <c r="GI302" s="114">
        <f>GH302</f>
      </c>
      <c r="GJ302" s="384">
        <f>GJ301/GE301-1</f>
      </c>
    </row>
    <row r="303" spans="1:192" ht="12.75" customHeight="1">
      <c r="B303" s="735" t="s">
        <v>36</v>
      </c>
      <c r="C303" s="291"/>
      <c r="D303" s="107"/>
      <c r="E303" s="107"/>
      <c r="F303" s="107"/>
      <c r="G303" s="292"/>
      <c r="H303" s="291"/>
      <c r="I303" s="107"/>
      <c r="J303" s="107"/>
      <c r="K303" s="107"/>
      <c r="L303" s="292"/>
      <c r="M303" s="291"/>
      <c r="N303" s="107"/>
      <c r="O303" s="107"/>
      <c r="P303" s="107"/>
      <c r="Q303" s="292"/>
      <c r="R303" s="291"/>
      <c r="S303" s="107"/>
      <c r="T303" s="107"/>
      <c r="U303" s="107"/>
      <c r="V303" s="292"/>
      <c r="W303" s="291"/>
      <c r="X303" s="107"/>
      <c r="Y303" s="107"/>
      <c r="Z303" s="107"/>
      <c r="AA303" s="292"/>
      <c r="AB303" s="291"/>
      <c r="AC303" s="107"/>
      <c r="AD303" s="107"/>
      <c r="AE303" s="107"/>
      <c r="AF303" s="292"/>
      <c r="AG303" s="291"/>
      <c r="AH303" s="107"/>
      <c r="AI303" s="107"/>
      <c r="AJ303" s="107"/>
      <c r="AK303" s="292"/>
      <c r="AL303" s="291"/>
      <c r="AM303" s="107"/>
      <c r="AN303" s="107"/>
      <c r="AO303" s="107"/>
      <c r="AP303" s="292"/>
      <c r="AQ303" s="291"/>
      <c r="AR303" s="107"/>
      <c r="AS303" s="107"/>
      <c r="AT303" s="107"/>
      <c r="AU303" s="292"/>
      <c r="AV303" s="291"/>
      <c r="AW303" s="107"/>
      <c r="AX303" s="107"/>
      <c r="AY303" s="107"/>
      <c r="AZ303" s="292"/>
      <c r="BA303" s="291"/>
      <c r="BB303" s="107"/>
      <c r="BC303" s="107"/>
      <c r="BD303" s="107"/>
      <c r="BE303" s="292"/>
      <c r="BF303" s="291"/>
      <c r="BG303" s="107"/>
      <c r="BH303" s="107"/>
      <c r="BI303" s="107"/>
      <c r="BJ303" s="292"/>
      <c r="BK303" s="291"/>
      <c r="BL303" s="107"/>
      <c r="BM303" s="107"/>
      <c r="BN303" s="107"/>
      <c r="BO303" s="292"/>
      <c r="BP303" s="291"/>
      <c r="BQ303" s="107"/>
      <c r="BR303" s="107"/>
      <c r="BS303" s="107"/>
      <c r="BT303" s="292"/>
      <c r="BU303" s="291"/>
      <c r="BV303" s="107"/>
      <c r="BW303" s="107"/>
      <c r="BX303" s="107"/>
      <c r="BY303" s="292"/>
      <c r="BZ303" s="291"/>
      <c r="CA303" s="107"/>
      <c r="CB303" s="107"/>
      <c r="CC303" s="107"/>
      <c r="CD303" s="292"/>
      <c r="CE303" s="291"/>
      <c r="CF303" s="107"/>
      <c r="CG303" s="107"/>
      <c r="CH303" s="107"/>
      <c r="CI303" s="292"/>
      <c r="CJ303" s="291"/>
      <c r="CK303" s="107"/>
      <c r="CL303" s="107"/>
      <c r="CM303" s="107"/>
      <c r="CN303" s="292"/>
      <c r="CO303" s="291"/>
      <c r="CP303" s="107"/>
      <c r="CQ303" s="107"/>
      <c r="CR303" s="107"/>
      <c r="CS303" s="292"/>
      <c r="CT303" s="291"/>
      <c r="CU303" s="107"/>
      <c r="CV303" s="107"/>
      <c r="CW303" s="107"/>
      <c r="CX303" s="292"/>
      <c r="CY303" s="291"/>
      <c r="CZ303" s="291"/>
      <c r="DA303" s="291"/>
      <c r="DB303" s="291"/>
      <c r="DC303" s="292"/>
      <c r="DD303" s="291"/>
      <c r="DE303" s="291"/>
      <c r="DF303" s="291"/>
      <c r="DG303" s="291"/>
      <c r="DH303" s="292"/>
      <c r="DI303" s="291"/>
      <c r="DJ303" s="291"/>
      <c r="DK303" s="291"/>
      <c r="DL303" s="291"/>
      <c r="DM303" s="292"/>
      <c r="DN303" s="291"/>
      <c r="DO303" s="291"/>
      <c r="DP303" s="291"/>
      <c r="DQ303" s="291"/>
      <c r="DR303" s="292"/>
      <c r="DS303" s="291"/>
      <c r="DT303" s="291"/>
      <c r="DU303" s="291"/>
      <c r="DV303" s="291"/>
      <c r="DW303" s="292"/>
      <c r="DX303" s="291"/>
      <c r="DY303" s="291"/>
      <c r="DZ303" s="291"/>
      <c r="EA303" s="291"/>
      <c r="EB303" s="292"/>
      <c r="EC303" s="291"/>
      <c r="ED303" s="291"/>
      <c r="EE303" s="291"/>
      <c r="EF303" s="291"/>
      <c r="EG303" s="292"/>
      <c r="EH303" s="291"/>
      <c r="EI303" s="291"/>
      <c r="EJ303" s="291"/>
      <c r="EK303" s="291"/>
      <c r="EL303" s="292"/>
      <c r="EM303" s="291"/>
      <c r="EN303" s="291">
        <f>EN301/EM301-1</f>
      </c>
      <c r="EO303" s="291">
        <f>EO301/EN301-1</f>
      </c>
      <c r="EP303" s="291">
        <f>EP301/EO301-1</f>
      </c>
      <c r="EQ303" s="292"/>
      <c r="ER303" s="291">
        <f>ER301/EP301-1</f>
      </c>
      <c r="ES303" s="291">
        <f>ES301/ER301-1</f>
      </c>
      <c r="ET303" s="291">
        <f>ET301/ES301-1</f>
      </c>
      <c r="EU303" s="291">
        <f>EU301/ET301-1</f>
      </c>
      <c r="EV303" s="292"/>
      <c r="EW303" s="291">
        <f>EW301/EU301-1</f>
      </c>
      <c r="EX303" s="291">
        <f>EX301/EW301-1</f>
      </c>
      <c r="EY303" s="291">
        <f>EY301/EX301-1</f>
      </c>
      <c r="EZ303" s="291">
        <f>EZ301/EY301-1</f>
      </c>
      <c r="FA303" s="292"/>
      <c r="FB303" s="291">
        <f>FB301/EZ301-1</f>
      </c>
      <c r="FC303" s="291">
        <f>FC301/FB301-1</f>
      </c>
      <c r="FD303" s="291">
        <f>FD301/FC301-1</f>
      </c>
      <c r="FE303" s="291">
        <f>FE301/FD301-1</f>
      </c>
      <c r="FF303" s="292"/>
      <c r="FG303" s="291">
        <f>FG301/FE301-1</f>
      </c>
      <c r="FH303" s="291">
        <f>FH301/FG301-1</f>
      </c>
      <c r="FI303" s="291">
        <f>FI301/FH301-1</f>
      </c>
      <c r="FJ303" s="291">
        <f>FJ301/FI301-1</f>
      </c>
      <c r="FK303" s="292"/>
      <c r="FL303" s="291">
        <f>FL301/FJ301-1</f>
      </c>
      <c r="FM303" s="291">
        <f>FM301/FL301-1</f>
      </c>
      <c r="FN303" s="291">
        <f>FN301/FM301-1</f>
      </c>
      <c r="FO303" s="291">
        <f>FO301/FN301-1</f>
      </c>
      <c r="FP303" s="292"/>
      <c r="FQ303" s="291">
        <f>FQ301/FO301-1</f>
      </c>
      <c r="FR303" s="291">
        <f>FR301/FQ301-1</f>
      </c>
      <c r="FS303" s="291">
        <f>FS301/FR301-1</f>
      </c>
      <c r="FT303" s="291">
        <f>FT301/FS301-1</f>
      </c>
      <c r="FU303" s="292"/>
      <c r="FV303" s="291">
        <f>FV301/FT301-1</f>
      </c>
      <c r="FW303" s="107">
        <f>FW301/FV301-1</f>
      </c>
      <c r="FX303" s="107">
        <f>FX301/FW301-1</f>
      </c>
      <c r="FY303" s="107">
        <f>FY301/FX301-1</f>
      </c>
      <c r="FZ303" s="292"/>
      <c r="GA303" s="291">
        <f>GA301/FY301-1</f>
      </c>
      <c r="GB303" s="107">
        <f>GB301/GA301-1</f>
      </c>
      <c r="GC303" s="107">
        <f>GC301/GB301-1</f>
      </c>
      <c r="GD303" s="107">
        <f>GD301/GC301-1</f>
      </c>
      <c r="GE303" s="292"/>
      <c r="GF303" s="291">
        <f>GF301/GD301-1</f>
      </c>
      <c r="GG303" s="107">
        <f>GG301/GF301-1</f>
      </c>
      <c r="GH303" s="107">
        <f>GH301/GG301-1</f>
      </c>
      <c r="GI303" s="107">
        <f>GI301/GH301-1</f>
      </c>
      <c r="GJ303" s="384"/>
    </row>
    <row r="304" spans="1:192" s="461" customFormat="1" ht="12.75" customHeight="1">
      <c r="A304" s="370"/>
      <c r="B304" s="735" t="s">
        <v>243</v>
      </c>
      <c r="C304" s="447"/>
      <c r="D304" s="458"/>
      <c r="E304" s="458"/>
      <c r="F304" s="458"/>
      <c r="G304" s="462"/>
      <c r="H304" s="447"/>
      <c r="I304" s="458"/>
      <c r="J304" s="458"/>
      <c r="K304" s="458"/>
      <c r="L304" s="462"/>
      <c r="M304" s="447"/>
      <c r="N304" s="458"/>
      <c r="O304" s="458"/>
      <c r="P304" s="458"/>
      <c r="Q304" s="462"/>
      <c r="R304" s="447"/>
      <c r="S304" s="458"/>
      <c r="T304" s="458"/>
      <c r="U304" s="458"/>
      <c r="V304" s="462"/>
      <c r="W304" s="447"/>
      <c r="X304" s="458"/>
      <c r="Y304" s="458"/>
      <c r="Z304" s="458"/>
      <c r="AA304" s="462"/>
      <c r="AB304" s="447"/>
      <c r="AC304" s="458"/>
      <c r="AD304" s="458"/>
      <c r="AE304" s="458"/>
      <c r="AF304" s="462"/>
      <c r="AG304" s="447"/>
      <c r="AH304" s="458"/>
      <c r="AI304" s="458"/>
      <c r="AJ304" s="458"/>
      <c r="AK304" s="462"/>
      <c r="AL304" s="447"/>
      <c r="AM304" s="458"/>
      <c r="AN304" s="458"/>
      <c r="AO304" s="458"/>
      <c r="AP304" s="462"/>
      <c r="AQ304" s="447"/>
      <c r="AR304" s="458"/>
      <c r="AS304" s="458"/>
      <c r="AT304" s="458"/>
      <c r="AU304" s="462"/>
      <c r="AV304" s="447"/>
      <c r="AW304" s="458"/>
      <c r="AX304" s="458"/>
      <c r="AY304" s="458"/>
      <c r="AZ304" s="462"/>
      <c r="BA304" s="447"/>
      <c r="BB304" s="458"/>
      <c r="BC304" s="458"/>
      <c r="BD304" s="458"/>
      <c r="BE304" s="462"/>
      <c r="BF304" s="447"/>
      <c r="BG304" s="458"/>
      <c r="BH304" s="458"/>
      <c r="BI304" s="458"/>
      <c r="BJ304" s="462"/>
      <c r="BK304" s="447"/>
      <c r="BL304" s="458"/>
      <c r="BM304" s="458"/>
      <c r="BN304" s="458"/>
      <c r="BO304" s="462"/>
      <c r="BP304" s="447"/>
      <c r="BQ304" s="458"/>
      <c r="BR304" s="458"/>
      <c r="BS304" s="458"/>
      <c r="BT304" s="462"/>
      <c r="BU304" s="447"/>
      <c r="BV304" s="458"/>
      <c r="BW304" s="458"/>
      <c r="BX304" s="458"/>
      <c r="BY304" s="462"/>
      <c r="BZ304" s="447"/>
      <c r="CA304" s="458"/>
      <c r="CB304" s="458"/>
      <c r="CC304" s="458"/>
      <c r="CD304" s="462"/>
      <c r="CE304" s="447"/>
      <c r="CF304" s="458"/>
      <c r="CG304" s="458"/>
      <c r="CH304" s="458"/>
      <c r="CI304" s="462"/>
      <c r="CJ304" s="447"/>
      <c r="CK304" s="458"/>
      <c r="CL304" s="458"/>
      <c r="CM304" s="458"/>
      <c r="CN304" s="462"/>
      <c r="CO304" s="447"/>
      <c r="CP304" s="458"/>
      <c r="CQ304" s="458"/>
      <c r="CR304" s="458"/>
      <c r="CS304" s="462"/>
      <c r="CT304" s="447"/>
      <c r="CU304" s="458"/>
      <c r="CV304" s="458"/>
      <c r="CW304" s="458"/>
      <c r="CX304" s="494">
        <v>-249</v>
      </c>
      <c r="CY304" s="852"/>
      <c r="CZ304" s="852"/>
      <c r="DA304" s="852"/>
      <c r="DB304" s="852"/>
      <c r="DC304" s="494">
        <v>-946</v>
      </c>
      <c r="DD304" s="852"/>
      <c r="DE304" s="852"/>
      <c r="DF304" s="852"/>
      <c r="DG304" s="852"/>
      <c r="DH304" s="853"/>
      <c r="DI304" s="852"/>
      <c r="DJ304" s="852"/>
      <c r="DK304" s="852"/>
      <c r="DL304" s="852"/>
      <c r="DM304" s="853"/>
      <c r="DN304" s="852"/>
      <c r="DO304" s="852"/>
      <c r="DP304" s="852"/>
      <c r="DQ304" s="852"/>
      <c r="DR304" s="853"/>
      <c r="DS304" s="852"/>
      <c r="DT304" s="852"/>
      <c r="DU304" s="852"/>
      <c r="DV304" s="852"/>
      <c r="DW304" s="853"/>
      <c r="DX304" s="852"/>
      <c r="DY304" s="852"/>
      <c r="DZ304" s="852"/>
      <c r="EA304" s="852"/>
      <c r="EB304" s="853"/>
      <c r="EC304" s="852"/>
      <c r="ED304" s="852"/>
      <c r="EE304" s="852"/>
      <c r="EF304" s="852"/>
      <c r="EG304" s="853"/>
      <c r="EH304" s="852"/>
      <c r="EI304" s="852"/>
      <c r="EJ304" s="852"/>
      <c r="EK304" s="852"/>
      <c r="EL304" s="853"/>
      <c r="EM304" s="852">
        <f t="shared" ref="EM304:FO304" si="447">EM301-EH301</f>
      </c>
      <c r="EN304" s="852">
        <f t="shared" si="447"/>
      </c>
      <c r="EO304" s="852">
        <f t="shared" si="447"/>
      </c>
      <c r="EP304" s="852">
        <f t="shared" si="447"/>
      </c>
      <c r="EQ304" s="853">
        <f t="shared" si="447"/>
      </c>
      <c r="ER304" s="852">
        <f t="shared" si="447"/>
      </c>
      <c r="ES304" s="852">
        <f t="shared" si="447"/>
      </c>
      <c r="ET304" s="852">
        <f t="shared" si="447"/>
      </c>
      <c r="EU304" s="852">
        <f t="shared" si="447"/>
      </c>
      <c r="EV304" s="853">
        <f t="shared" si="447"/>
      </c>
      <c r="EW304" s="852">
        <f t="shared" si="447"/>
      </c>
      <c r="EX304" s="852">
        <f t="shared" si="447"/>
      </c>
      <c r="EY304" s="852">
        <f t="shared" si="447"/>
      </c>
      <c r="EZ304" s="852">
        <f t="shared" si="447"/>
      </c>
      <c r="FA304" s="853">
        <f t="shared" si="447"/>
      </c>
      <c r="FB304" s="852">
        <f t="shared" si="447"/>
      </c>
      <c r="FC304" s="852">
        <f t="shared" si="447"/>
      </c>
      <c r="FD304" s="852">
        <f t="shared" si="447"/>
      </c>
      <c r="FE304" s="852">
        <f t="shared" si="447"/>
      </c>
      <c r="FF304" s="853">
        <f t="shared" si="447"/>
      </c>
      <c r="FG304" s="852">
        <f t="shared" si="447"/>
      </c>
      <c r="FH304" s="852">
        <f t="shared" si="447"/>
      </c>
      <c r="FI304" s="852">
        <f t="shared" si="447"/>
      </c>
      <c r="FJ304" s="852">
        <f t="shared" si="447"/>
      </c>
      <c r="FK304" s="853">
        <f t="shared" si="447"/>
      </c>
      <c r="FL304" s="852">
        <f t="shared" si="447"/>
      </c>
      <c r="FM304" s="852">
        <f t="shared" si="447"/>
      </c>
      <c r="FN304" s="852">
        <f t="shared" si="447"/>
      </c>
      <c r="FO304" s="852">
        <f t="shared" si="447"/>
      </c>
      <c r="FP304" s="853">
        <f t="shared" ref="FP304:FZ304" si="448">FP301-FK301</f>
      </c>
      <c r="FQ304" s="852">
        <f t="shared" si="448"/>
      </c>
      <c r="FR304" s="852">
        <f t="shared" si="448"/>
      </c>
      <c r="FS304" s="852">
        <f t="shared" si="448"/>
      </c>
      <c r="FT304" s="852">
        <f t="shared" si="448"/>
      </c>
      <c r="FU304" s="853">
        <f t="shared" si="448"/>
      </c>
      <c r="FV304" s="447">
        <f t="shared" si="448"/>
      </c>
      <c r="FW304" s="458">
        <f t="shared" si="448"/>
      </c>
      <c r="FX304" s="458">
        <f t="shared" si="448"/>
      </c>
      <c r="FY304" s="458">
        <f t="shared" si="448"/>
      </c>
      <c r="FZ304" s="462">
        <f t="shared" si="448"/>
      </c>
      <c r="GA304" s="447">
        <f t="shared" ref="GA304:GJ304" si="449">GA301-FV301</f>
      </c>
      <c r="GB304" s="458">
        <f t="shared" si="449"/>
      </c>
      <c r="GC304" s="458">
        <f t="shared" si="449"/>
      </c>
      <c r="GD304" s="458">
        <f t="shared" si="449"/>
      </c>
      <c r="GE304" s="462">
        <f t="shared" si="449"/>
      </c>
      <c r="GF304" s="447">
        <f t="shared" si="449"/>
      </c>
      <c r="GG304" s="458">
        <f t="shared" si="449"/>
      </c>
      <c r="GH304" s="458">
        <f t="shared" si="449"/>
      </c>
      <c r="GI304" s="458">
        <f t="shared" si="449"/>
      </c>
      <c r="GJ304" s="497">
        <f t="shared" si="449"/>
      </c>
    </row>
    <row r="305" spans="1:192" s="461" customFormat="1" ht="12.75" customHeight="1">
      <c r="A305" s="370"/>
      <c r="B305" s="735" t="s">
        <v>244</v>
      </c>
      <c r="C305" s="447"/>
      <c r="D305" s="458"/>
      <c r="E305" s="458"/>
      <c r="F305" s="458"/>
      <c r="G305" s="462"/>
      <c r="H305" s="447"/>
      <c r="I305" s="458"/>
      <c r="J305" s="458"/>
      <c r="K305" s="458"/>
      <c r="L305" s="462"/>
      <c r="M305" s="447"/>
      <c r="N305" s="458"/>
      <c r="O305" s="458"/>
      <c r="P305" s="458"/>
      <c r="Q305" s="462"/>
      <c r="R305" s="447"/>
      <c r="S305" s="458"/>
      <c r="T305" s="458"/>
      <c r="U305" s="458"/>
      <c r="V305" s="462"/>
      <c r="W305" s="447"/>
      <c r="X305" s="458"/>
      <c r="Y305" s="458"/>
      <c r="Z305" s="458"/>
      <c r="AA305" s="462"/>
      <c r="AB305" s="447"/>
      <c r="AC305" s="458"/>
      <c r="AD305" s="458"/>
      <c r="AE305" s="458"/>
      <c r="AF305" s="462"/>
      <c r="AG305" s="447"/>
      <c r="AH305" s="458"/>
      <c r="AI305" s="458"/>
      <c r="AJ305" s="458"/>
      <c r="AK305" s="462"/>
      <c r="AL305" s="447"/>
      <c r="AM305" s="458"/>
      <c r="AN305" s="458"/>
      <c r="AO305" s="458"/>
      <c r="AP305" s="462"/>
      <c r="AQ305" s="447"/>
      <c r="AR305" s="458"/>
      <c r="AS305" s="458"/>
      <c r="AT305" s="458"/>
      <c r="AU305" s="462"/>
      <c r="AV305" s="447"/>
      <c r="AW305" s="458"/>
      <c r="AX305" s="458"/>
      <c r="AY305" s="458"/>
      <c r="AZ305" s="462"/>
      <c r="BA305" s="447"/>
      <c r="BB305" s="458"/>
      <c r="BC305" s="458"/>
      <c r="BD305" s="458"/>
      <c r="BE305" s="462"/>
      <c r="BF305" s="447"/>
      <c r="BG305" s="458"/>
      <c r="BH305" s="458"/>
      <c r="BI305" s="458"/>
      <c r="BJ305" s="462"/>
      <c r="BK305" s="447"/>
      <c r="BL305" s="458"/>
      <c r="BM305" s="458"/>
      <c r="BN305" s="458"/>
      <c r="BO305" s="462"/>
      <c r="BP305" s="447"/>
      <c r="BQ305" s="458"/>
      <c r="BR305" s="458"/>
      <c r="BS305" s="458"/>
      <c r="BT305" s="462"/>
      <c r="BU305" s="447"/>
      <c r="BV305" s="458"/>
      <c r="BW305" s="458"/>
      <c r="BX305" s="458"/>
      <c r="BY305" s="462"/>
      <c r="BZ305" s="447"/>
      <c r="CA305" s="458"/>
      <c r="CB305" s="458"/>
      <c r="CC305" s="458"/>
      <c r="CD305" s="462"/>
      <c r="CE305" s="447"/>
      <c r="CF305" s="458"/>
      <c r="CG305" s="458"/>
      <c r="CH305" s="458"/>
      <c r="CI305" s="462"/>
      <c r="CJ305" s="447"/>
      <c r="CK305" s="458"/>
      <c r="CL305" s="458"/>
      <c r="CM305" s="458"/>
      <c r="CN305" s="462"/>
      <c r="CO305" s="447"/>
      <c r="CP305" s="458"/>
      <c r="CQ305" s="458"/>
      <c r="CR305" s="458"/>
      <c r="CS305" s="462"/>
      <c r="CT305" s="447"/>
      <c r="CU305" s="458"/>
      <c r="CV305" s="458"/>
      <c r="CW305" s="458"/>
      <c r="CX305" s="462"/>
      <c r="CY305" s="852"/>
      <c r="CZ305" s="852"/>
      <c r="DA305" s="852"/>
      <c r="DB305" s="852"/>
      <c r="DC305" s="462"/>
      <c r="DD305" s="852"/>
      <c r="DE305" s="852"/>
      <c r="DF305" s="852"/>
      <c r="DG305" s="852"/>
      <c r="DH305" s="854"/>
      <c r="DI305" s="852"/>
      <c r="DJ305" s="852"/>
      <c r="DK305" s="852"/>
      <c r="DL305" s="852"/>
      <c r="DM305" s="854"/>
      <c r="DN305" s="852"/>
      <c r="DO305" s="852"/>
      <c r="DP305" s="852"/>
      <c r="DQ305" s="852"/>
      <c r="DR305" s="854"/>
      <c r="DS305" s="852"/>
      <c r="DT305" s="852"/>
      <c r="DU305" s="852"/>
      <c r="DV305" s="852"/>
      <c r="DW305" s="854"/>
      <c r="DX305" s="852"/>
      <c r="DY305" s="852"/>
      <c r="DZ305" s="852"/>
      <c r="EA305" s="852"/>
      <c r="EB305" s="854"/>
      <c r="EC305" s="852"/>
      <c r="ED305" s="852"/>
      <c r="EE305" s="852"/>
      <c r="EF305" s="852"/>
      <c r="EG305" s="854"/>
      <c r="EH305" s="852"/>
      <c r="EI305" s="852"/>
      <c r="EJ305" s="852"/>
      <c r="EK305" s="852"/>
      <c r="EL305" s="854"/>
      <c r="EM305" s="852">
        <f>EM301-EK301</f>
      </c>
      <c r="EN305" s="852">
        <f>EN301-EM301</f>
      </c>
      <c r="EO305" s="852">
        <f>EO301-EN301</f>
      </c>
      <c r="EP305" s="852">
        <f>EP301-EO301</f>
      </c>
      <c r="EQ305" s="854"/>
      <c r="ER305" s="852">
        <f>ER301-EP301</f>
      </c>
      <c r="ES305" s="852">
        <f>ES301-ER301</f>
      </c>
      <c r="ET305" s="852">
        <f>ET301-ES301</f>
      </c>
      <c r="EU305" s="852">
        <f>EU301-ET301</f>
      </c>
      <c r="EV305" s="854"/>
      <c r="EW305" s="852">
        <f>EW301-EU301</f>
      </c>
      <c r="EX305" s="852">
        <f>EX301-EW301</f>
      </c>
      <c r="EY305" s="852">
        <f>EY301-EX301</f>
      </c>
      <c r="EZ305" s="852">
        <f>EZ301-EY301</f>
      </c>
      <c r="FA305" s="854"/>
      <c r="FB305" s="852">
        <f>FB301-EZ301</f>
      </c>
      <c r="FC305" s="852">
        <f>FC301-FB301</f>
      </c>
      <c r="FD305" s="852">
        <f>FD301-FC301</f>
      </c>
      <c r="FE305" s="852">
        <f>FE301-FD301</f>
      </c>
      <c r="FF305" s="854"/>
      <c r="FG305" s="852">
        <f>FG301-FE301</f>
      </c>
      <c r="FH305" s="852">
        <f>FH301-FG301</f>
      </c>
      <c r="FI305" s="852">
        <f>FI301-FH301</f>
      </c>
      <c r="FJ305" s="852">
        <f>FJ301-FI301</f>
      </c>
      <c r="FK305" s="854"/>
      <c r="FL305" s="852">
        <f>FL301-FJ301</f>
      </c>
      <c r="FM305" s="852">
        <f>FM301-FL301</f>
      </c>
      <c r="FN305" s="852">
        <f>FN301-FM301</f>
      </c>
      <c r="FO305" s="852">
        <f>FO301-FN301</f>
      </c>
      <c r="FP305" s="854"/>
      <c r="FQ305" s="852">
        <f>FQ301-FO301</f>
      </c>
      <c r="FR305" s="852">
        <f>FR301-FQ301</f>
      </c>
      <c r="FS305" s="852">
        <f>FS301-FR301</f>
      </c>
      <c r="FT305" s="852">
        <f>FT301-FS301</f>
      </c>
      <c r="FU305" s="854"/>
      <c r="FV305" s="447">
        <f>FV301-FT301</f>
      </c>
      <c r="FW305" s="458">
        <f>FW301-FV301</f>
      </c>
      <c r="FX305" s="458">
        <f>FX301-FW301</f>
      </c>
      <c r="FY305" s="458">
        <f>FY301-FX301</f>
      </c>
      <c r="FZ305" s="462"/>
      <c r="GA305" s="447">
        <f>GA301-FY301</f>
      </c>
      <c r="GB305" s="458">
        <f>GB301-GA301</f>
      </c>
      <c r="GC305" s="458">
        <f>GC301-GB301</f>
      </c>
      <c r="GD305" s="458">
        <f>GD301-GC301</f>
      </c>
      <c r="GE305" s="462"/>
      <c r="GF305" s="447">
        <f>GF301-GD301</f>
      </c>
      <c r="GG305" s="458">
        <f>GG301-GF301</f>
      </c>
      <c r="GH305" s="458">
        <f>GH301-GG301</f>
      </c>
      <c r="GI305" s="458">
        <f>GI301-GH301</f>
      </c>
      <c r="GJ305" s="497"/>
    </row>
    <row r="306" spans="1:192" s="476" customFormat="1" ht="12.75" customHeight="1">
      <c r="A306" s="784"/>
      <c r="B306" s="735" t="s">
        <v>394</v>
      </c>
      <c r="C306" s="291"/>
      <c r="D306" s="107"/>
      <c r="E306" s="107"/>
      <c r="F306" s="107"/>
      <c r="G306" s="292"/>
      <c r="H306" s="291"/>
      <c r="I306" s="107"/>
      <c r="J306" s="107"/>
      <c r="K306" s="107"/>
      <c r="L306" s="292"/>
      <c r="M306" s="291"/>
      <c r="N306" s="107"/>
      <c r="O306" s="107"/>
      <c r="P306" s="107"/>
      <c r="Q306" s="292"/>
      <c r="R306" s="291"/>
      <c r="S306" s="107"/>
      <c r="T306" s="107"/>
      <c r="U306" s="107"/>
      <c r="V306" s="292"/>
      <c r="W306" s="291"/>
      <c r="X306" s="107"/>
      <c r="Y306" s="107"/>
      <c r="Z306" s="107"/>
      <c r="AA306" s="292"/>
      <c r="AB306" s="291"/>
      <c r="AC306" s="107"/>
      <c r="AD306" s="107"/>
      <c r="AE306" s="107"/>
      <c r="AF306" s="292"/>
      <c r="AG306" s="291"/>
      <c r="AH306" s="107"/>
      <c r="AI306" s="107"/>
      <c r="AJ306" s="107"/>
      <c r="AK306" s="292"/>
      <c r="AL306" s="291"/>
      <c r="AM306" s="107"/>
      <c r="AN306" s="107"/>
      <c r="AO306" s="107"/>
      <c r="AP306" s="292"/>
      <c r="AQ306" s="291"/>
      <c r="AR306" s="107"/>
      <c r="AS306" s="107"/>
      <c r="AT306" s="107"/>
      <c r="AU306" s="292"/>
      <c r="AV306" s="291"/>
      <c r="AW306" s="107"/>
      <c r="AX306" s="107"/>
      <c r="AY306" s="107"/>
      <c r="AZ306" s="292"/>
      <c r="BA306" s="291"/>
      <c r="BB306" s="107"/>
      <c r="BC306" s="107"/>
      <c r="BD306" s="107"/>
      <c r="BE306" s="292"/>
      <c r="BF306" s="291"/>
      <c r="BG306" s="107"/>
      <c r="BH306" s="107"/>
      <c r="BI306" s="107"/>
      <c r="BJ306" s="292"/>
      <c r="BK306" s="291"/>
      <c r="BL306" s="107"/>
      <c r="BM306" s="107"/>
      <c r="BN306" s="107"/>
      <c r="BO306" s="292"/>
      <c r="BP306" s="291"/>
      <c r="BQ306" s="107"/>
      <c r="BR306" s="107"/>
      <c r="BS306" s="107"/>
      <c r="BT306" s="292"/>
      <c r="BU306" s="291"/>
      <c r="BV306" s="107"/>
      <c r="BW306" s="107"/>
      <c r="BX306" s="107"/>
      <c r="BY306" s="292"/>
      <c r="BZ306" s="291"/>
      <c r="CA306" s="107"/>
      <c r="CB306" s="107"/>
      <c r="CC306" s="107"/>
      <c r="CD306" s="292"/>
      <c r="CE306" s="291"/>
      <c r="CF306" s="107"/>
      <c r="CG306" s="107"/>
      <c r="CH306" s="107"/>
      <c r="CI306" s="292"/>
      <c r="CJ306" s="291"/>
      <c r="CK306" s="107"/>
      <c r="CL306" s="107"/>
      <c r="CM306" s="107"/>
      <c r="CN306" s="292"/>
      <c r="CO306" s="291"/>
      <c r="CP306" s="107"/>
      <c r="CQ306" s="107"/>
      <c r="CR306" s="107"/>
      <c r="CS306" s="292"/>
      <c r="CT306" s="291"/>
      <c r="CU306" s="107"/>
      <c r="CV306" s="107"/>
      <c r="CW306" s="107"/>
      <c r="CX306" s="846"/>
      <c r="CY306" s="764"/>
      <c r="CZ306" s="764"/>
      <c r="DA306" s="764"/>
      <c r="DB306" s="764"/>
      <c r="DC306" s="846"/>
      <c r="DD306" s="764"/>
      <c r="DE306" s="764"/>
      <c r="DF306" s="764"/>
      <c r="DG306" s="764"/>
      <c r="DH306" s="846"/>
      <c r="DI306" s="764"/>
      <c r="DJ306" s="764"/>
      <c r="DK306" s="764"/>
      <c r="DL306" s="764"/>
      <c r="DM306" s="846"/>
      <c r="DN306" s="764"/>
      <c r="DO306" s="764"/>
      <c r="DP306" s="764"/>
      <c r="DQ306" s="764"/>
      <c r="DR306" s="846"/>
      <c r="DS306" s="764"/>
      <c r="DT306" s="764"/>
      <c r="DU306" s="764"/>
      <c r="DV306" s="764"/>
      <c r="DW306" s="846"/>
      <c r="DX306" s="764"/>
      <c r="DY306" s="764"/>
      <c r="DZ306" s="764"/>
      <c r="EA306" s="764"/>
      <c r="EB306" s="846"/>
      <c r="EC306" s="764"/>
      <c r="ED306" s="764"/>
      <c r="EE306" s="764"/>
      <c r="EF306" s="764"/>
      <c r="EG306" s="846"/>
      <c r="EH306" s="764"/>
      <c r="EI306" s="764"/>
      <c r="EJ306" s="764"/>
      <c r="EK306" s="764"/>
      <c r="EL306" s="846"/>
      <c r="EM306" s="764">
        <f t="shared" ref="EM306:FI306" si="450">EM301/EM255</f>
      </c>
      <c r="EN306" s="764">
        <f t="shared" si="450"/>
      </c>
      <c r="EO306" s="764">
        <f t="shared" si="450"/>
      </c>
      <c r="EP306" s="764">
        <f t="shared" si="450"/>
      </c>
      <c r="EQ306" s="846">
        <f t="shared" si="450"/>
      </c>
      <c r="ER306" s="764">
        <f t="shared" si="450"/>
      </c>
      <c r="ES306" s="764">
        <f t="shared" si="450"/>
      </c>
      <c r="ET306" s="764">
        <f t="shared" si="450"/>
      </c>
      <c r="EU306" s="764">
        <f t="shared" si="450"/>
      </c>
      <c r="EV306" s="846">
        <f t="shared" si="450"/>
      </c>
      <c r="EW306" s="764">
        <f t="shared" ref="EW306:FA306" si="451">EW301/EW255</f>
      </c>
      <c r="EX306" s="764">
        <f t="shared" si="451"/>
      </c>
      <c r="EY306" s="764">
        <f t="shared" si="451"/>
      </c>
      <c r="EZ306" s="764">
        <f t="shared" si="451"/>
      </c>
      <c r="FA306" s="846">
        <f t="shared" si="451"/>
      </c>
      <c r="FB306" s="764">
        <f t="shared" si="450"/>
      </c>
      <c r="FC306" s="764">
        <f t="shared" si="450"/>
      </c>
      <c r="FD306" s="764">
        <f t="shared" si="450"/>
      </c>
      <c r="FE306" s="764">
        <f t="shared" si="450"/>
      </c>
      <c r="FF306" s="846">
        <f t="shared" si="450"/>
      </c>
      <c r="FG306" s="764">
        <f t="shared" si="450"/>
      </c>
      <c r="FH306" s="764">
        <f t="shared" si="450"/>
      </c>
      <c r="FI306" s="764">
        <f t="shared" si="450"/>
      </c>
      <c r="FJ306" s="764">
        <f t="shared" ref="FJ306:GE306" si="452">FJ301/FJ255</f>
      </c>
      <c r="FK306" s="846">
        <f t="shared" si="452"/>
      </c>
      <c r="FL306" s="764">
        <f t="shared" si="452"/>
      </c>
      <c r="FM306" s="764">
        <f t="shared" si="452"/>
      </c>
      <c r="FN306" s="764">
        <f t="shared" si="452"/>
      </c>
      <c r="FO306" s="764">
        <f t="shared" si="452"/>
      </c>
      <c r="FP306" s="846">
        <f t="shared" si="452"/>
      </c>
      <c r="FQ306" s="764">
        <f t="shared" si="452"/>
      </c>
      <c r="FR306" s="764">
        <f t="shared" si="452"/>
      </c>
      <c r="FS306" s="764">
        <f t="shared" si="452"/>
      </c>
      <c r="FT306" s="764">
        <f t="shared" si="452"/>
      </c>
      <c r="FU306" s="846">
        <f t="shared" si="452"/>
      </c>
      <c r="FV306" s="291">
        <f t="shared" si="452"/>
      </c>
      <c r="FW306" s="107">
        <f t="shared" si="452"/>
      </c>
      <c r="FX306" s="107">
        <f t="shared" si="452"/>
      </c>
      <c r="FY306" s="107">
        <f t="shared" si="452"/>
      </c>
      <c r="FZ306" s="292">
        <f t="shared" si="452"/>
      </c>
      <c r="GA306" s="291">
        <f t="shared" si="452"/>
      </c>
      <c r="GB306" s="107">
        <f t="shared" si="452"/>
      </c>
      <c r="GC306" s="107">
        <f t="shared" si="452"/>
      </c>
      <c r="GD306" s="107">
        <f t="shared" si="452"/>
      </c>
      <c r="GE306" s="292">
        <f t="shared" si="452"/>
      </c>
      <c r="GF306" s="291">
        <f t="shared" ref="GF306:GJ306" si="453">GF301/GF255</f>
      </c>
      <c r="GG306" s="107">
        <f t="shared" si="453"/>
      </c>
      <c r="GH306" s="107">
        <f t="shared" si="453"/>
      </c>
      <c r="GI306" s="107">
        <f t="shared" si="453"/>
      </c>
      <c r="GJ306" s="384">
        <f t="shared" si="453"/>
      </c>
    </row>
    <row r="307" spans="1:192" ht="12.75" customHeight="1" thickBot="1">
      <c r="B307" s="743"/>
      <c r="C307" s="393"/>
      <c r="D307" s="388"/>
      <c r="E307" s="388"/>
      <c r="F307" s="388"/>
      <c r="G307" s="394"/>
      <c r="H307" s="393"/>
      <c r="I307" s="388"/>
      <c r="J307" s="388"/>
      <c r="K307" s="388"/>
      <c r="L307" s="394"/>
      <c r="M307" s="393"/>
      <c r="N307" s="388"/>
      <c r="O307" s="388"/>
      <c r="P307" s="388"/>
      <c r="Q307" s="394"/>
      <c r="R307" s="393"/>
      <c r="S307" s="388"/>
      <c r="T307" s="388"/>
      <c r="U307" s="388"/>
      <c r="V307" s="394"/>
      <c r="W307" s="393"/>
      <c r="X307" s="388"/>
      <c r="Y307" s="388"/>
      <c r="Z307" s="388"/>
      <c r="AA307" s="394"/>
      <c r="AB307" s="393"/>
      <c r="AC307" s="388"/>
      <c r="AD307" s="388"/>
      <c r="AE307" s="388"/>
      <c r="AF307" s="394"/>
      <c r="AG307" s="393"/>
      <c r="AH307" s="388"/>
      <c r="AI307" s="388"/>
      <c r="AJ307" s="388"/>
      <c r="AK307" s="394"/>
      <c r="AL307" s="393"/>
      <c r="AM307" s="388"/>
      <c r="AN307" s="388"/>
      <c r="AO307" s="388"/>
      <c r="AP307" s="394"/>
      <c r="AQ307" s="393"/>
      <c r="AR307" s="388"/>
      <c r="AS307" s="388"/>
      <c r="AT307" s="388"/>
      <c r="AU307" s="394"/>
      <c r="AV307" s="393"/>
      <c r="AW307" s="388"/>
      <c r="AX307" s="388"/>
      <c r="AY307" s="388"/>
      <c r="AZ307" s="394"/>
      <c r="BA307" s="393"/>
      <c r="BB307" s="388"/>
      <c r="BC307" s="388"/>
      <c r="BD307" s="388"/>
      <c r="BE307" s="394"/>
      <c r="BF307" s="393"/>
      <c r="BG307" s="388"/>
      <c r="BH307" s="388"/>
      <c r="BI307" s="388"/>
      <c r="BJ307" s="394"/>
      <c r="BK307" s="393"/>
      <c r="BL307" s="388"/>
      <c r="BM307" s="388"/>
      <c r="BN307" s="388"/>
      <c r="BO307" s="394"/>
      <c r="BP307" s="393"/>
      <c r="BQ307" s="388"/>
      <c r="BR307" s="388"/>
      <c r="BS307" s="388"/>
      <c r="BT307" s="394"/>
      <c r="BU307" s="393"/>
      <c r="BV307" s="388"/>
      <c r="BW307" s="388"/>
      <c r="BX307" s="388"/>
      <c r="BY307" s="394"/>
      <c r="BZ307" s="393"/>
      <c r="CA307" s="388"/>
      <c r="CB307" s="388"/>
      <c r="CC307" s="388"/>
      <c r="CD307" s="394"/>
      <c r="CE307" s="393"/>
      <c r="CF307" s="388"/>
      <c r="CG307" s="388"/>
      <c r="CH307" s="388"/>
      <c r="CI307" s="394"/>
      <c r="CJ307" s="393"/>
      <c r="CK307" s="388"/>
      <c r="CL307" s="388"/>
      <c r="CM307" s="388"/>
      <c r="CN307" s="394"/>
      <c r="CO307" s="393"/>
      <c r="CP307" s="388"/>
      <c r="CQ307" s="388"/>
      <c r="CR307" s="388"/>
      <c r="CS307" s="394"/>
      <c r="CT307" s="393"/>
      <c r="CU307" s="388"/>
      <c r="CV307" s="388"/>
      <c r="CW307" s="388"/>
      <c r="CX307" s="394"/>
      <c r="CY307" s="393"/>
      <c r="CZ307" s="388"/>
      <c r="DA307" s="388"/>
      <c r="DB307" s="388"/>
      <c r="DC307" s="394"/>
      <c r="DD307" s="393"/>
      <c r="DE307" s="388"/>
      <c r="DF307" s="388"/>
      <c r="DG307" s="388"/>
      <c r="DH307" s="394"/>
      <c r="DI307" s="393"/>
      <c r="DJ307" s="388"/>
      <c r="DK307" s="388"/>
      <c r="DL307" s="388"/>
      <c r="DM307" s="394"/>
      <c r="DN307" s="393"/>
      <c r="DO307" s="388"/>
      <c r="DP307" s="388"/>
      <c r="DQ307" s="388"/>
      <c r="DR307" s="394"/>
      <c r="DS307" s="393"/>
      <c r="DT307" s="388"/>
      <c r="DU307" s="388"/>
      <c r="DV307" s="388"/>
      <c r="DW307" s="394"/>
      <c r="DX307" s="393"/>
      <c r="DY307" s="388"/>
      <c r="DZ307" s="388"/>
      <c r="EA307" s="388"/>
      <c r="EB307" s="394"/>
      <c r="EC307" s="393"/>
      <c r="ED307" s="388"/>
      <c r="EE307" s="388"/>
      <c r="EF307" s="388"/>
      <c r="EG307" s="394"/>
      <c r="EH307" s="393"/>
      <c r="EI307" s="388"/>
      <c r="EJ307" s="388"/>
      <c r="EK307" s="388"/>
      <c r="EL307" s="394"/>
      <c r="EM307" s="393"/>
      <c r="EN307" s="388"/>
      <c r="EO307" s="388"/>
      <c r="EP307" s="388"/>
      <c r="EQ307" s="394"/>
      <c r="ER307" s="393"/>
      <c r="ES307" s="388"/>
      <c r="ET307" s="388"/>
      <c r="EU307" s="388"/>
      <c r="EV307" s="394"/>
      <c r="EW307" s="393"/>
      <c r="EX307" s="388"/>
      <c r="EY307" s="388"/>
      <c r="EZ307" s="388"/>
      <c r="FA307" s="394"/>
      <c r="FB307" s="393"/>
      <c r="FC307" s="388"/>
      <c r="FD307" s="388"/>
      <c r="FE307" s="388"/>
      <c r="FF307" s="394"/>
      <c r="FG307" s="393"/>
      <c r="FH307" s="388"/>
      <c r="FI307" s="388"/>
      <c r="FJ307" s="388"/>
      <c r="FK307" s="394"/>
      <c r="FL307" s="393"/>
      <c r="FM307" s="388"/>
      <c r="FN307" s="388"/>
      <c r="FO307" s="388"/>
      <c r="FP307" s="394"/>
      <c r="FQ307" s="393"/>
      <c r="FR307" s="388"/>
      <c r="FS307" s="388"/>
      <c r="FT307" s="388"/>
      <c r="FU307" s="394"/>
      <c r="FV307" s="393"/>
      <c r="FW307" s="388"/>
      <c r="FX307" s="388"/>
      <c r="FY307" s="388"/>
      <c r="FZ307" s="394"/>
      <c r="GA307" s="393"/>
      <c r="GB307" s="388"/>
      <c r="GC307" s="388"/>
      <c r="GD307" s="388"/>
      <c r="GE307" s="394"/>
      <c r="GF307" s="393"/>
      <c r="GG307" s="388"/>
      <c r="GH307" s="388"/>
      <c r="GI307" s="388"/>
      <c r="GJ307" s="395"/>
    </row>
    <row r="308" spans="1:192" ht="12.75" customHeight="1">
      <c r="B308" s="702"/>
      <c r="C308" s="248"/>
      <c r="D308" s="266"/>
      <c r="E308" s="266"/>
      <c r="F308" s="266"/>
      <c r="G308" s="266"/>
      <c r="H308" s="248"/>
      <c r="I308" s="266"/>
      <c r="J308" s="266"/>
      <c r="K308" s="266"/>
      <c r="L308" s="266"/>
      <c r="M308" s="248"/>
      <c r="N308" s="266"/>
      <c r="O308" s="266"/>
      <c r="P308" s="266"/>
      <c r="Q308" s="266"/>
      <c r="R308" s="248"/>
      <c r="S308" s="266"/>
      <c r="T308" s="266"/>
      <c r="U308" s="266"/>
      <c r="V308" s="266"/>
      <c r="W308" s="248"/>
      <c r="X308" s="266"/>
      <c r="Y308" s="266"/>
      <c r="Z308" s="266"/>
      <c r="AA308" s="266"/>
      <c r="AB308" s="248"/>
      <c r="AC308" s="266"/>
      <c r="AD308" s="266"/>
      <c r="AE308" s="266"/>
      <c r="AF308" s="266"/>
      <c r="AG308" s="248"/>
      <c r="AH308" s="266"/>
      <c r="AI308" s="266"/>
      <c r="AJ308" s="266"/>
      <c r="AK308" s="266"/>
      <c r="AL308" s="248"/>
      <c r="AM308" s="266"/>
      <c r="AN308" s="266"/>
      <c r="AO308" s="266"/>
      <c r="AP308" s="266"/>
      <c r="AQ308" s="248"/>
      <c r="AR308" s="266"/>
      <c r="AS308" s="266"/>
      <c r="AT308" s="266"/>
      <c r="AU308" s="266"/>
      <c r="AV308" s="248"/>
      <c r="AW308" s="266"/>
      <c r="AX308" s="266"/>
      <c r="AY308" s="266"/>
      <c r="AZ308" s="266"/>
      <c r="BA308" s="248"/>
      <c r="BB308" s="266"/>
      <c r="BC308" s="266"/>
      <c r="BD308" s="266"/>
      <c r="BE308" s="266"/>
      <c r="BF308" s="248"/>
      <c r="BG308" s="266"/>
      <c r="BH308" s="266"/>
      <c r="BI308" s="266"/>
      <c r="BJ308" s="266"/>
      <c r="BK308" s="248"/>
      <c r="BL308" s="266"/>
      <c r="BM308" s="266"/>
      <c r="BN308" s="266"/>
      <c r="BO308" s="266"/>
      <c r="BP308" s="248"/>
      <c r="BQ308" s="266"/>
      <c r="BR308" s="266"/>
      <c r="BS308" s="266"/>
      <c r="BT308" s="266"/>
      <c r="BU308" s="248"/>
      <c r="BV308" s="266"/>
      <c r="BW308" s="266"/>
      <c r="BX308" s="266"/>
      <c r="BY308" s="266"/>
      <c r="BZ308" s="248"/>
      <c r="CA308" s="266"/>
      <c r="CB308" s="266"/>
      <c r="CC308" s="266"/>
      <c r="CD308" s="251"/>
      <c r="CE308" s="248"/>
      <c r="CF308" s="266"/>
      <c r="CG308" s="266"/>
      <c r="CH308" s="266"/>
      <c r="CI308" s="251"/>
      <c r="CJ308" s="248"/>
      <c r="CK308" s="266"/>
      <c r="CL308" s="266"/>
      <c r="CM308" s="266"/>
      <c r="CN308" s="251"/>
      <c r="CO308" s="248"/>
      <c r="CP308" s="266"/>
      <c r="CQ308" s="266"/>
      <c r="CR308" s="266"/>
      <c r="CS308" s="251"/>
      <c r="CT308" s="248"/>
      <c r="CU308" s="266"/>
      <c r="CV308" s="519"/>
      <c r="CW308" s="518"/>
      <c r="CX308" s="251"/>
      <c r="CY308" s="248"/>
      <c r="CZ308" s="266"/>
      <c r="DA308" s="266"/>
      <c r="DB308" s="266"/>
      <c r="DC308" s="251"/>
      <c r="DD308" s="248"/>
      <c r="DE308" s="266"/>
      <c r="DF308" s="266"/>
      <c r="DG308" s="266"/>
      <c r="DH308" s="251"/>
      <c r="DI308" s="248"/>
      <c r="DJ308" s="517"/>
      <c r="DK308" s="518"/>
      <c r="DL308" s="266"/>
      <c r="DM308" s="251"/>
      <c r="DN308" s="248"/>
      <c r="DO308" s="266"/>
      <c r="DP308" s="266"/>
      <c r="DQ308" s="266"/>
      <c r="DR308" s="251"/>
      <c r="DS308" s="248"/>
      <c r="DT308" s="266"/>
      <c r="DU308" s="266"/>
      <c r="DV308" s="266"/>
      <c r="DW308" s="251"/>
      <c r="DX308" s="248"/>
      <c r="DY308" s="266"/>
      <c r="DZ308" s="266"/>
      <c r="EA308" s="266"/>
      <c r="EB308" s="251"/>
      <c r="EC308" s="248"/>
      <c r="ED308" s="266"/>
      <c r="EE308" s="266"/>
      <c r="EF308" s="266"/>
      <c r="EG308" s="251"/>
      <c r="EH308" s="248"/>
      <c r="EI308" s="266"/>
      <c r="EJ308" s="266"/>
      <c r="EK308" s="266"/>
      <c r="EL308" s="251"/>
      <c r="EM308" s="248"/>
      <c r="EN308" s="266"/>
      <c r="EO308" s="266"/>
      <c r="EP308" s="266"/>
      <c r="EQ308" s="251"/>
      <c r="ER308" s="248"/>
      <c r="ES308" s="266"/>
      <c r="ET308" s="266"/>
      <c r="EU308" s="266"/>
      <c r="EV308" s="266"/>
      <c r="EW308" s="248"/>
      <c r="EX308" s="266"/>
      <c r="EY308" s="266"/>
      <c r="EZ308" s="266"/>
      <c r="FA308" s="266"/>
      <c r="FB308" s="248"/>
      <c r="FC308" s="266"/>
      <c r="FD308" s="266"/>
      <c r="FE308" s="266"/>
      <c r="FF308" s="266"/>
      <c r="FG308" s="248"/>
      <c r="FH308" s="266"/>
      <c r="FI308" s="266"/>
      <c r="FJ308" s="266"/>
      <c r="FK308" s="266"/>
      <c r="FL308" s="248"/>
      <c r="FM308" s="266"/>
      <c r="FN308" s="266"/>
      <c r="FO308" s="266"/>
      <c r="FP308" s="266"/>
      <c r="FQ308" s="248"/>
      <c r="FR308" s="266"/>
      <c r="FS308" s="266"/>
      <c r="FT308" s="266"/>
      <c r="FU308" s="266"/>
      <c r="FV308" s="248"/>
      <c r="FW308" s="266"/>
      <c r="FX308" s="266"/>
      <c r="FY308" s="266"/>
      <c r="FZ308" s="266"/>
      <c r="GA308" s="248"/>
      <c r="GB308" s="266"/>
      <c r="GC308" s="266"/>
      <c r="GD308" s="266"/>
      <c r="GE308" s="266"/>
      <c r="GF308" s="248"/>
      <c r="GG308" s="266"/>
      <c r="GH308" s="266"/>
      <c r="GI308" s="266"/>
      <c r="GJ308" s="266"/>
    </row>
    <row r="309" spans="1:192" ht="12.75" customHeight="1" thickBot="1">
      <c r="B309" s="702"/>
      <c r="C309" s="248"/>
      <c r="D309" s="266"/>
      <c r="E309" s="266"/>
      <c r="F309" s="266"/>
      <c r="G309" s="266"/>
      <c r="H309" s="248"/>
      <c r="I309" s="266"/>
      <c r="J309" s="266"/>
      <c r="K309" s="266"/>
      <c r="L309" s="266"/>
      <c r="M309" s="248"/>
      <c r="N309" s="266"/>
      <c r="O309" s="266"/>
      <c r="P309" s="266"/>
      <c r="Q309" s="266"/>
      <c r="R309" s="248"/>
      <c r="S309" s="266"/>
      <c r="T309" s="266"/>
      <c r="U309" s="266"/>
      <c r="V309" s="266"/>
      <c r="W309" s="248"/>
      <c r="X309" s="266"/>
      <c r="Y309" s="266"/>
      <c r="Z309" s="266"/>
      <c r="AA309" s="266"/>
      <c r="AB309" s="248"/>
      <c r="AC309" s="266"/>
      <c r="AD309" s="266"/>
      <c r="AE309" s="266"/>
      <c r="AF309" s="266"/>
      <c r="AG309" s="248"/>
      <c r="AH309" s="266"/>
      <c r="AI309" s="266"/>
      <c r="AJ309" s="266"/>
      <c r="AK309" s="266"/>
      <c r="AL309" s="248"/>
      <c r="AM309" s="266"/>
      <c r="AN309" s="266"/>
      <c r="AO309" s="266"/>
      <c r="AP309" s="266"/>
      <c r="AQ309" s="248"/>
      <c r="AR309" s="266"/>
      <c r="AS309" s="266"/>
      <c r="AT309" s="266"/>
      <c r="AU309" s="266"/>
      <c r="AV309" s="248"/>
      <c r="AW309" s="266"/>
      <c r="AX309" s="266"/>
      <c r="AY309" s="266"/>
      <c r="AZ309" s="266"/>
      <c r="BA309" s="248"/>
      <c r="BB309" s="266"/>
      <c r="BC309" s="266"/>
      <c r="BD309" s="266"/>
      <c r="BE309" s="266"/>
      <c r="BF309" s="248"/>
      <c r="BG309" s="266"/>
      <c r="BH309" s="266"/>
      <c r="BI309" s="266"/>
      <c r="BJ309" s="266"/>
      <c r="BK309" s="248"/>
      <c r="BL309" s="266"/>
      <c r="BM309" s="266"/>
      <c r="BN309" s="266"/>
      <c r="BO309" s="266"/>
      <c r="BP309" s="248"/>
      <c r="BQ309" s="266"/>
      <c r="BR309" s="266"/>
      <c r="BS309" s="266"/>
      <c r="BT309" s="266"/>
      <c r="BU309" s="248"/>
      <c r="BV309" s="266"/>
      <c r="BW309" s="266"/>
      <c r="BX309" s="266"/>
      <c r="BY309" s="266"/>
      <c r="BZ309" s="248"/>
      <c r="CA309" s="266"/>
      <c r="CB309" s="266"/>
      <c r="CC309" s="266"/>
      <c r="CD309" s="251"/>
      <c r="CE309" s="248"/>
      <c r="CF309" s="266"/>
      <c r="CG309" s="266"/>
      <c r="CH309" s="266"/>
      <c r="CI309" s="251"/>
      <c r="CJ309" s="248"/>
      <c r="CK309" s="266"/>
      <c r="CL309" s="266"/>
      <c r="CM309" s="266"/>
      <c r="CN309" s="251"/>
      <c r="CO309" s="248"/>
      <c r="CP309" s="266"/>
      <c r="CQ309" s="266"/>
      <c r="CR309" s="266"/>
      <c r="CS309" s="251"/>
      <c r="CT309" s="248"/>
      <c r="CU309" s="266"/>
      <c r="CV309" s="519"/>
      <c r="CW309" s="518"/>
      <c r="CX309" s="251"/>
      <c r="CY309" s="248"/>
      <c r="CZ309" s="266"/>
      <c r="DA309" s="266"/>
      <c r="DB309" s="266"/>
      <c r="DC309" s="251"/>
      <c r="DD309" s="248"/>
      <c r="DE309" s="266"/>
      <c r="DF309" s="266"/>
      <c r="DG309" s="266"/>
      <c r="DH309" s="251"/>
      <c r="DI309" s="248"/>
      <c r="DJ309" s="517"/>
      <c r="DK309" s="518"/>
      <c r="DL309" s="266"/>
      <c r="DM309" s="251"/>
      <c r="DN309" s="248"/>
      <c r="DO309" s="266"/>
      <c r="DP309" s="266"/>
      <c r="DQ309" s="266"/>
      <c r="DR309" s="251"/>
      <c r="DS309" s="248"/>
      <c r="DT309" s="266"/>
      <c r="DU309" s="266"/>
      <c r="DV309" s="266"/>
      <c r="DW309" s="251"/>
      <c r="DX309" s="248"/>
      <c r="DY309" s="266"/>
      <c r="DZ309" s="266"/>
      <c r="EA309" s="266"/>
      <c r="EB309" s="251"/>
      <c r="EC309" s="248"/>
      <c r="ED309" s="266"/>
      <c r="EE309" s="266"/>
      <c r="EF309" s="266"/>
      <c r="EG309" s="251"/>
      <c r="EH309" s="248"/>
      <c r="EI309" s="266"/>
      <c r="EJ309" s="266"/>
      <c r="EK309" s="266"/>
      <c r="EL309" s="251"/>
      <c r="EM309" s="248"/>
      <c r="EN309" s="266"/>
      <c r="EO309" s="266"/>
      <c r="EP309" s="266"/>
      <c r="EQ309" s="251"/>
      <c r="ER309" s="248"/>
      <c r="ES309" s="266"/>
      <c r="ET309" s="266"/>
      <c r="EU309" s="266"/>
      <c r="EV309" s="1341"/>
      <c r="EW309" s="1342"/>
      <c r="EX309" s="1341"/>
      <c r="EY309" s="1341"/>
      <c r="EZ309" s="1341"/>
      <c r="FA309" s="1341"/>
      <c r="FB309" s="1342"/>
      <c r="FC309" s="1341"/>
      <c r="FD309" s="1341"/>
      <c r="FE309" s="1341"/>
      <c r="FF309" s="1341"/>
      <c r="FG309" s="1342"/>
      <c r="FH309" s="1341"/>
      <c r="FI309" s="1341"/>
      <c r="FJ309" s="1341"/>
      <c r="FK309" s="1341"/>
      <c r="FL309" s="1342"/>
      <c r="FM309" s="1341"/>
      <c r="FN309" s="1341"/>
      <c r="FO309" s="1341"/>
      <c r="FP309" s="1341"/>
      <c r="FQ309" s="1342"/>
      <c r="FR309" s="1341"/>
      <c r="FS309" s="1341"/>
      <c r="FT309" s="1341"/>
      <c r="FU309" s="1341"/>
      <c r="FV309" s="1342"/>
      <c r="FW309" s="1341"/>
      <c r="FX309" s="1341"/>
      <c r="FY309" s="1341"/>
      <c r="FZ309" s="1467"/>
      <c r="GA309" s="1342"/>
      <c r="GB309" s="1341"/>
      <c r="GC309" s="1341"/>
      <c r="GD309" s="1341"/>
      <c r="GE309" s="1467"/>
      <c r="GF309" s="1342"/>
      <c r="GG309" s="1341"/>
      <c r="GH309" s="1341"/>
      <c r="GI309" s="1341"/>
      <c r="GJ309" s="1341"/>
    </row>
    <row r="310" spans="1:192" ht="12.75" customHeight="1" thickBot="1">
      <c r="B310" s="731" t="s">
        <v>199</v>
      </c>
      <c r="C310" s="396"/>
      <c r="D310" s="397"/>
      <c r="E310" s="397"/>
      <c r="F310" s="397"/>
      <c r="G310" s="397"/>
      <c r="H310" s="396"/>
      <c r="I310" s="397"/>
      <c r="J310" s="397"/>
      <c r="K310" s="397"/>
      <c r="L310" s="397"/>
      <c r="M310" s="396"/>
      <c r="N310" s="397"/>
      <c r="O310" s="397"/>
      <c r="P310" s="397"/>
      <c r="Q310" s="397"/>
      <c r="R310" s="396"/>
      <c r="S310" s="397"/>
      <c r="T310" s="397"/>
      <c r="U310" s="397"/>
      <c r="V310" s="397"/>
      <c r="W310" s="396"/>
      <c r="X310" s="397"/>
      <c r="Y310" s="397"/>
      <c r="Z310" s="397"/>
      <c r="AA310" s="397"/>
      <c r="AB310" s="396"/>
      <c r="AC310" s="397"/>
      <c r="AD310" s="397"/>
      <c r="AE310" s="397"/>
      <c r="AF310" s="397"/>
      <c r="AG310" s="396"/>
      <c r="AH310" s="397"/>
      <c r="AI310" s="397"/>
      <c r="AJ310" s="397"/>
      <c r="AK310" s="397"/>
      <c r="AL310" s="396"/>
      <c r="AM310" s="397"/>
      <c r="AN310" s="397"/>
      <c r="AO310" s="397"/>
      <c r="AP310" s="397"/>
      <c r="AQ310" s="396"/>
      <c r="AR310" s="397"/>
      <c r="AS310" s="397"/>
      <c r="AT310" s="397"/>
      <c r="AU310" s="397"/>
      <c r="AV310" s="396"/>
      <c r="AW310" s="397"/>
      <c r="AX310" s="397"/>
      <c r="AY310" s="397"/>
      <c r="AZ310" s="397"/>
      <c r="BA310" s="396"/>
      <c r="BB310" s="397"/>
      <c r="BC310" s="397"/>
      <c r="BD310" s="397"/>
      <c r="BE310" s="397"/>
      <c r="BF310" s="396"/>
      <c r="BG310" s="397"/>
      <c r="BH310" s="397"/>
      <c r="BI310" s="397"/>
      <c r="BJ310" s="397"/>
      <c r="BK310" s="396"/>
      <c r="BL310" s="397"/>
      <c r="BM310" s="397"/>
      <c r="BN310" s="397"/>
      <c r="BO310" s="397"/>
      <c r="BP310" s="396"/>
      <c r="BQ310" s="397"/>
      <c r="BR310" s="397"/>
      <c r="BS310" s="397"/>
      <c r="BT310" s="397"/>
      <c r="BU310" s="396"/>
      <c r="BV310" s="397"/>
      <c r="BW310" s="397"/>
      <c r="BX310" s="397"/>
      <c r="BY310" s="397"/>
      <c r="BZ310" s="396"/>
      <c r="CA310" s="397"/>
      <c r="CB310" s="397"/>
      <c r="CC310" s="397"/>
      <c r="CD310" s="430"/>
      <c r="CE310" s="396"/>
      <c r="CF310" s="397"/>
      <c r="CG310" s="397"/>
      <c r="CH310" s="397"/>
      <c r="CI310" s="430"/>
      <c r="CJ310" s="396"/>
      <c r="CK310" s="397"/>
      <c r="CL310" s="397"/>
      <c r="CM310" s="397"/>
      <c r="CN310" s="430"/>
      <c r="CO310" s="396"/>
      <c r="CP310" s="397"/>
      <c r="CQ310" s="397"/>
      <c r="CR310" s="397"/>
      <c r="CS310" s="430"/>
      <c r="CT310" s="396"/>
      <c r="CU310" s="397"/>
      <c r="CV310" s="397"/>
      <c r="CW310" s="397"/>
      <c r="CX310" s="430"/>
      <c r="CY310" s="396"/>
      <c r="CZ310" s="397"/>
      <c r="DA310" s="397"/>
      <c r="DB310" s="397"/>
      <c r="DC310" s="430"/>
      <c r="DD310" s="396"/>
      <c r="DE310" s="397"/>
      <c r="DF310" s="397"/>
      <c r="DG310" s="397"/>
      <c r="DH310" s="430"/>
      <c r="DI310" s="396"/>
      <c r="DJ310" s="397"/>
      <c r="DK310" s="397"/>
      <c r="DL310" s="397"/>
      <c r="DM310" s="430"/>
      <c r="DN310" s="396"/>
      <c r="DO310" s="397"/>
      <c r="DP310" s="397"/>
      <c r="DQ310" s="397"/>
      <c r="DR310" s="430"/>
      <c r="DS310" s="396"/>
      <c r="DT310" s="397"/>
      <c r="DU310" s="397"/>
      <c r="DV310" s="397"/>
      <c r="DW310" s="430"/>
      <c r="DX310" s="396"/>
      <c r="DY310" s="397"/>
      <c r="DZ310" s="397"/>
      <c r="EA310" s="397"/>
      <c r="EB310" s="430"/>
      <c r="EC310" s="396"/>
      <c r="ED310" s="397"/>
      <c r="EE310" s="397"/>
      <c r="EF310" s="397"/>
      <c r="EG310" s="430"/>
      <c r="EH310" s="396"/>
      <c r="EI310" s="397"/>
      <c r="EJ310" s="397"/>
      <c r="EK310" s="397"/>
      <c r="EL310" s="430"/>
      <c r="EM310" s="396"/>
      <c r="EN310" s="397"/>
      <c r="EO310" s="397"/>
      <c r="EP310" s="397"/>
      <c r="EQ310" s="430"/>
      <c r="ER310" s="396"/>
      <c r="ES310" s="397"/>
      <c r="ET310" s="397"/>
      <c r="EU310" s="397"/>
      <c r="EV310" s="397"/>
      <c r="EW310" s="396"/>
      <c r="EX310" s="397"/>
      <c r="EY310" s="397"/>
      <c r="EZ310" s="397"/>
      <c r="FA310" s="397"/>
      <c r="FB310" s="396"/>
      <c r="FC310" s="397"/>
      <c r="FD310" s="397"/>
      <c r="FE310" s="397"/>
      <c r="FF310" s="397"/>
      <c r="FG310" s="396"/>
      <c r="FH310" s="397"/>
      <c r="FI310" s="397"/>
      <c r="FJ310" s="397"/>
      <c r="FK310" s="397"/>
      <c r="FL310" s="396"/>
      <c r="FM310" s="397"/>
      <c r="FN310" s="397"/>
      <c r="FO310" s="397"/>
      <c r="FP310" s="397"/>
      <c r="FQ310" s="396"/>
      <c r="FR310" s="397"/>
      <c r="FS310" s="397"/>
      <c r="FT310" s="397"/>
      <c r="FU310" s="397"/>
      <c r="FV310" s="396"/>
      <c r="FW310" s="397"/>
      <c r="FX310" s="397"/>
      <c r="FY310" s="397"/>
      <c r="FZ310" s="397"/>
      <c r="GA310" s="396"/>
      <c r="GB310" s="397"/>
      <c r="GC310" s="397"/>
      <c r="GD310" s="397"/>
      <c r="GE310" s="397"/>
      <c r="GF310" s="396"/>
      <c r="GG310" s="397"/>
      <c r="GH310" s="397"/>
      <c r="GI310" s="397"/>
      <c r="GJ310" s="398"/>
    </row>
    <row r="311" spans="1:192" ht="12.75" customHeight="1">
      <c r="A311" s="792"/>
      <c r="B311" s="746"/>
      <c r="C311" s="378"/>
      <c r="D311" s="379"/>
      <c r="E311" s="379"/>
      <c r="F311" s="379"/>
      <c r="G311" s="380"/>
      <c r="H311" s="378"/>
      <c r="I311" s="379"/>
      <c r="J311" s="379"/>
      <c r="K311" s="379"/>
      <c r="L311" s="380"/>
      <c r="M311" s="378"/>
      <c r="N311" s="379"/>
      <c r="O311" s="379"/>
      <c r="P311" s="379"/>
      <c r="Q311" s="380"/>
      <c r="R311" s="378"/>
      <c r="S311" s="379"/>
      <c r="T311" s="379"/>
      <c r="U311" s="379"/>
      <c r="V311" s="380"/>
      <c r="W311" s="378"/>
      <c r="X311" s="379"/>
      <c r="Y311" s="379"/>
      <c r="Z311" s="379"/>
      <c r="AA311" s="380"/>
      <c r="AB311" s="378"/>
      <c r="AC311" s="379"/>
      <c r="AD311" s="379"/>
      <c r="AE311" s="379"/>
      <c r="AF311" s="380"/>
      <c r="AG311" s="378"/>
      <c r="AH311" s="379"/>
      <c r="AI311" s="379"/>
      <c r="AJ311" s="379"/>
      <c r="AK311" s="380"/>
      <c r="AL311" s="378"/>
      <c r="AM311" s="379"/>
      <c r="AN311" s="379"/>
      <c r="AO311" s="379"/>
      <c r="AP311" s="380"/>
      <c r="AQ311" s="378"/>
      <c r="AR311" s="379"/>
      <c r="AS311" s="379"/>
      <c r="AT311" s="379"/>
      <c r="AU311" s="380"/>
      <c r="AV311" s="378"/>
      <c r="AW311" s="379"/>
      <c r="AX311" s="379"/>
      <c r="AY311" s="379"/>
      <c r="AZ311" s="380"/>
      <c r="BA311" s="378"/>
      <c r="BB311" s="379"/>
      <c r="BC311" s="379"/>
      <c r="BD311" s="379"/>
      <c r="BE311" s="380"/>
      <c r="BF311" s="378"/>
      <c r="BG311" s="379"/>
      <c r="BH311" s="379"/>
      <c r="BI311" s="379"/>
      <c r="BJ311" s="380"/>
      <c r="BK311" s="378"/>
      <c r="BL311" s="379"/>
      <c r="BM311" s="379"/>
      <c r="BN311" s="379"/>
      <c r="BO311" s="380"/>
      <c r="BP311" s="378"/>
      <c r="BQ311" s="379"/>
      <c r="BR311" s="379"/>
      <c r="BS311" s="379"/>
      <c r="BT311" s="380"/>
      <c r="BU311" s="378"/>
      <c r="BV311" s="379"/>
      <c r="BW311" s="379"/>
      <c r="BX311" s="379"/>
      <c r="BY311" s="380"/>
      <c r="BZ311" s="378"/>
      <c r="CA311" s="379"/>
      <c r="CB311" s="379"/>
      <c r="CC311" s="379"/>
      <c r="CD311" s="380"/>
      <c r="CE311" s="378"/>
      <c r="CF311" s="379"/>
      <c r="CG311" s="379"/>
      <c r="CH311" s="379"/>
      <c r="CI311" s="380"/>
      <c r="CJ311" s="378"/>
      <c r="CK311" s="379"/>
      <c r="CL311" s="379"/>
      <c r="CM311" s="379"/>
      <c r="CN311" s="380"/>
      <c r="CO311" s="378"/>
      <c r="CP311" s="379"/>
      <c r="CQ311" s="379"/>
      <c r="CR311" s="379"/>
      <c r="CS311" s="380"/>
      <c r="CT311" s="378"/>
      <c r="CU311" s="379"/>
      <c r="CV311" s="379"/>
      <c r="CW311" s="379"/>
      <c r="CX311" s="380"/>
      <c r="CY311" s="378"/>
      <c r="CZ311" s="379"/>
      <c r="DA311" s="379"/>
      <c r="DB311" s="379"/>
      <c r="DC311" s="380"/>
      <c r="DD311" s="378"/>
      <c r="DE311" s="379"/>
      <c r="DF311" s="379"/>
      <c r="DG311" s="379"/>
      <c r="DH311" s="380"/>
      <c r="DI311" s="378"/>
      <c r="DJ311" s="379"/>
      <c r="DK311" s="379"/>
      <c r="DL311" s="379"/>
      <c r="DM311" s="380"/>
      <c r="DN311" s="378"/>
      <c r="DO311" s="379"/>
      <c r="DP311" s="379"/>
      <c r="DQ311" s="379"/>
      <c r="DR311" s="380"/>
      <c r="DS311" s="378"/>
      <c r="DT311" s="379"/>
      <c r="DU311" s="379"/>
      <c r="DV311" s="379"/>
      <c r="DW311" s="380"/>
      <c r="DX311" s="378"/>
      <c r="DY311" s="379"/>
      <c r="DZ311" s="379"/>
      <c r="EA311" s="379"/>
      <c r="EB311" s="380"/>
      <c r="EC311" s="378"/>
      <c r="ED311" s="379"/>
      <c r="EE311" s="379"/>
      <c r="EF311" s="379"/>
      <c r="EG311" s="380"/>
      <c r="EH311" s="378"/>
      <c r="EI311" s="379"/>
      <c r="EJ311" s="379"/>
      <c r="EK311" s="379"/>
      <c r="EL311" s="380"/>
      <c r="EM311" s="378"/>
      <c r="EN311" s="379"/>
      <c r="EO311" s="379"/>
      <c r="EP311" s="379"/>
      <c r="EQ311" s="380"/>
      <c r="ER311" s="378"/>
      <c r="ES311" s="379"/>
      <c r="ET311" s="379"/>
      <c r="EU311" s="379"/>
      <c r="EV311" s="380"/>
      <c r="EW311" s="378"/>
      <c r="EX311" s="379"/>
      <c r="EY311" s="379"/>
      <c r="EZ311" s="379"/>
      <c r="FA311" s="380"/>
      <c r="FB311" s="378"/>
      <c r="FC311" s="379"/>
      <c r="FD311" s="379"/>
      <c r="FE311" s="379"/>
      <c r="FF311" s="380"/>
      <c r="FG311" s="378"/>
      <c r="FH311" s="379"/>
      <c r="FI311" s="379"/>
      <c r="FJ311" s="379"/>
      <c r="FK311" s="380"/>
      <c r="FL311" s="378"/>
      <c r="FM311" s="379"/>
      <c r="FN311" s="379"/>
      <c r="FO311" s="379"/>
      <c r="FP311" s="380"/>
      <c r="FQ311" s="378"/>
      <c r="FR311" s="379"/>
      <c r="FS311" s="379"/>
      <c r="FT311" s="379"/>
      <c r="FU311" s="380"/>
      <c r="FV311" s="378"/>
      <c r="FW311" s="379"/>
      <c r="FX311" s="379"/>
      <c r="FY311" s="379"/>
      <c r="FZ311" s="380"/>
      <c r="GA311" s="378"/>
      <c r="GB311" s="379"/>
      <c r="GC311" s="379"/>
      <c r="GD311" s="379"/>
      <c r="GE311" s="380"/>
      <c r="GF311" s="378"/>
      <c r="GG311" s="379"/>
      <c r="GH311" s="379"/>
      <c r="GI311" s="379"/>
      <c r="GJ311" s="381"/>
    </row>
    <row r="312" spans="1:192" s="317" customFormat="1" ht="12.75" customHeight="1">
      <c r="A312" s="280"/>
      <c r="B312" s="857" t="s">
        <v>203</v>
      </c>
      <c r="C312" s="316"/>
      <c r="D312" s="316"/>
      <c r="E312" s="316"/>
      <c r="F312" s="316"/>
      <c r="G312" s="313"/>
      <c r="H312" s="316"/>
      <c r="I312" s="316"/>
      <c r="J312" s="316"/>
      <c r="K312" s="1160"/>
      <c r="L312" s="1161"/>
      <c r="M312" s="316"/>
      <c r="N312" s="316"/>
      <c r="O312" s="316"/>
      <c r="P312" s="316"/>
      <c r="Q312" s="313"/>
      <c r="R312" s="316"/>
      <c r="S312" s="316"/>
      <c r="T312" s="316"/>
      <c r="U312" s="1160"/>
      <c r="V312" s="1161"/>
      <c r="W312" s="316"/>
      <c r="X312" s="316"/>
      <c r="Y312" s="316"/>
      <c r="Z312" s="316"/>
      <c r="AA312" s="313"/>
      <c r="AB312" s="316"/>
      <c r="AC312" s="316"/>
      <c r="AD312" s="316"/>
      <c r="AE312" s="1160"/>
      <c r="AF312" s="1161"/>
      <c r="AG312" s="316"/>
      <c r="AH312" s="316"/>
      <c r="AI312" s="316"/>
      <c r="AJ312" s="316"/>
      <c r="AK312" s="313"/>
      <c r="AL312" s="316"/>
      <c r="AM312" s="316"/>
      <c r="AN312" s="316"/>
      <c r="AO312" s="1160"/>
      <c r="AP312" s="1161"/>
      <c r="AQ312" s="316"/>
      <c r="AR312" s="316"/>
      <c r="AS312" s="316"/>
      <c r="AT312" s="316"/>
      <c r="AU312" s="313"/>
      <c r="AV312" s="316"/>
      <c r="AW312" s="316"/>
      <c r="AX312" s="316"/>
      <c r="AY312" s="1160"/>
      <c r="AZ312" s="1161"/>
      <c r="BA312" s="316"/>
      <c r="BB312" s="316"/>
      <c r="BC312" s="316"/>
      <c r="BD312" s="316"/>
      <c r="BE312" s="313"/>
      <c r="BF312" s="316"/>
      <c r="BG312" s="316"/>
      <c r="BH312" s="316"/>
      <c r="BI312" s="1160"/>
      <c r="BJ312" s="1161"/>
      <c r="BK312" s="316"/>
      <c r="BL312" s="316"/>
      <c r="BM312" s="316"/>
      <c r="BN312" s="316"/>
      <c r="BO312" s="313"/>
      <c r="BP312" s="316"/>
      <c r="BQ312" s="316"/>
      <c r="BR312" s="316"/>
      <c r="BS312" s="1160"/>
      <c r="BT312" s="1161"/>
      <c r="BU312" s="316"/>
      <c r="BV312" s="316"/>
      <c r="BW312" s="316"/>
      <c r="BX312" s="316"/>
      <c r="BY312" s="313"/>
      <c r="BZ312" s="316"/>
      <c r="CA312" s="316"/>
      <c r="CB312" s="316"/>
      <c r="CC312" s="1160"/>
      <c r="CD312" s="1162"/>
      <c r="CE312" s="316"/>
      <c r="CF312" s="316"/>
      <c r="CG312" s="316"/>
      <c r="CH312" s="316"/>
      <c r="CI312" s="319"/>
      <c r="CJ312" s="316"/>
      <c r="CK312" s="316"/>
      <c r="CL312" s="316"/>
      <c r="CM312" s="1160"/>
      <c r="CN312" s="1162"/>
      <c r="CO312" s="316"/>
      <c r="CP312" s="316"/>
      <c r="CQ312" s="316"/>
      <c r="CR312" s="316"/>
      <c r="CS312" s="319"/>
      <c r="CT312" s="316"/>
      <c r="CU312" s="316"/>
      <c r="CV312" s="316"/>
      <c r="CW312" s="1160"/>
      <c r="CX312" s="1162"/>
      <c r="CY312" s="316"/>
      <c r="CZ312" s="316"/>
      <c r="DA312" s="316"/>
      <c r="DB312" s="316"/>
      <c r="DC312" s="319"/>
      <c r="DD312" s="316"/>
      <c r="DE312" s="316"/>
      <c r="DF312" s="316"/>
      <c r="DG312" s="1160"/>
      <c r="DH312" s="1162"/>
      <c r="DI312" s="316"/>
      <c r="DJ312" s="316">
        <v>228</v>
      </c>
      <c r="DK312" s="316">
        <v>975</v>
      </c>
      <c r="DL312" s="316">
        <v>1067</v>
      </c>
      <c r="DM312" s="319">
        <f>SUM(DI312:DL312)</f>
      </c>
      <c r="DN312" s="316">
        <v>1148</v>
      </c>
      <c r="DO312" s="316">
        <v>1312</v>
      </c>
      <c r="DP312" s="316">
        <v>1335</v>
      </c>
      <c r="DQ312" s="316">
        <v>1464</v>
      </c>
      <c r="DR312" s="817">
        <f>SUM(DN312:DQ312)</f>
      </c>
      <c r="DS312" s="312">
        <f>DN312*(1+DS313)</f>
      </c>
      <c r="DT312" s="312">
        <f>DO312*(1+DT313)</f>
      </c>
      <c r="DU312" s="312">
        <f>DP312*(1+DU313)</f>
      </c>
      <c r="DV312" s="1163">
        <f>DQ312*(1+DV313)</f>
      </c>
      <c r="DW312" s="319">
        <f>SUM(DS312:DV312)</f>
      </c>
      <c r="DX312" s="312">
        <f>DS312*(1+DX313)</f>
      </c>
      <c r="DY312" s="312">
        <f>DT312*(1+DY313)</f>
      </c>
      <c r="DZ312" s="312">
        <f>DU312*(1+DZ313)</f>
      </c>
      <c r="EA312" s="1163">
        <f>DV312*(1+EA313)</f>
      </c>
      <c r="EB312" s="319">
        <f>SUM(DX312:EA312)</f>
      </c>
      <c r="EC312" s="312">
        <f>DX312*(1+EC313)</f>
      </c>
      <c r="ED312" s="312">
        <f>DY312*(1+ED313)</f>
      </c>
      <c r="EE312" s="312">
        <f>DZ312*(1+EE313)</f>
      </c>
      <c r="EF312" s="1163">
        <f>EA312*(1+EF313)</f>
      </c>
      <c r="EG312" s="454">
        <v>10289</v>
      </c>
      <c r="EH312" s="316">
        <v>3136</v>
      </c>
      <c r="EI312" s="316">
        <v>3531</v>
      </c>
      <c r="EJ312" s="316">
        <v>3437</v>
      </c>
      <c r="EK312" s="1163">
        <f>EL312-EJ312-EI312-EH312</f>
      </c>
      <c r="EL312" s="453">
        <v>13816</v>
      </c>
      <c r="EM312" s="316">
        <v>3628</v>
      </c>
      <c r="EN312" s="316">
        <v>3833</v>
      </c>
      <c r="EO312" s="1158">
        <v>3659</v>
      </c>
      <c r="EP312" s="1163">
        <f>EQ312-EO312-EN312-EM312</f>
      </c>
      <c r="EQ312" s="454">
        <v>14989</v>
      </c>
      <c r="ER312" s="316">
        <v>3913</v>
      </c>
      <c r="ES312" s="1158">
        <v>4195</v>
      </c>
      <c r="ET312" s="1158">
        <v>4013</v>
      </c>
      <c r="EU312" s="1163">
        <f>EV312-ET312-ES312-ER312</f>
      </c>
      <c r="EV312" s="453">
        <v>16372</v>
      </c>
      <c r="EW312" s="1158">
        <v>4292</v>
      </c>
      <c r="EX312" s="1158">
        <v>4587</v>
      </c>
      <c r="EY312" s="1158">
        <v>4311</v>
      </c>
      <c r="EZ312" s="1163">
        <f>FA312-EY312-EX312-EW312</f>
      </c>
      <c r="FA312" s="1726">
        <v>17812</v>
      </c>
      <c r="FB312" s="312">
        <f>EW312*(1+FB313)</f>
      </c>
      <c r="FC312" s="312">
        <f>EX312*(FC313+1)</f>
      </c>
      <c r="FD312" s="312">
        <f>EY312*(FD313+1)</f>
      </c>
      <c r="FE312" s="312">
        <f>EZ312*(FE313+1)</f>
      </c>
      <c r="FF312" s="313">
        <f>SUM(FB312:FE312)</f>
      </c>
      <c r="FG312" s="312">
        <f>FB312*(1+FG313)</f>
      </c>
      <c r="FH312" s="312">
        <f>FC312*(FH313+1)</f>
      </c>
      <c r="FI312" s="312">
        <f>FD312*(FI313+1)</f>
      </c>
      <c r="FJ312" s="312">
        <f>FE312*(FJ313+1)</f>
      </c>
      <c r="FK312" s="313">
        <f>SUM(FG312:FJ312)</f>
      </c>
      <c r="FL312" s="312">
        <f>FG312*(1+FL313)</f>
      </c>
      <c r="FM312" s="312">
        <f>FH312*(FM313+1)</f>
      </c>
      <c r="FN312" s="312">
        <f>FI312*(FN313+1)</f>
      </c>
      <c r="FO312" s="312">
        <f>FJ312*(FO313+1)</f>
      </c>
      <c r="FP312" s="313">
        <f>SUM(FL312:FO312)</f>
      </c>
      <c r="FQ312" s="312">
        <f>FL312*(1+FQ313)</f>
      </c>
      <c r="FR312" s="312">
        <f>FM312*(FR313+1)</f>
      </c>
      <c r="FS312" s="312">
        <f>FN312*(FS313+1)</f>
      </c>
      <c r="FT312" s="312">
        <f>FO312*(FT313+1)</f>
      </c>
      <c r="FU312" s="313">
        <f>SUM(FQ312:FT312)</f>
      </c>
      <c r="FV312" s="312">
        <f>FQ312*(1+FV313)</f>
      </c>
      <c r="FW312" s="312">
        <f>FR312*(FW313+1)</f>
      </c>
      <c r="FX312" s="312">
        <f>FS312*(FX313+1)</f>
      </c>
      <c r="FY312" s="312">
        <f>FT312*(FY313+1)</f>
      </c>
      <c r="FZ312" s="313">
        <f>SUM(FV312:FY312)</f>
      </c>
      <c r="GA312" s="312">
        <f>FV312*(1+GA313)</f>
      </c>
      <c r="GB312" s="312">
        <f>FW312*(GB313+1)</f>
      </c>
      <c r="GC312" s="312">
        <f>FX312*(GC313+1)</f>
      </c>
      <c r="GD312" s="312">
        <f>FY312*(GD313+1)</f>
      </c>
      <c r="GE312" s="313">
        <f>SUM(GA312:GD312)</f>
      </c>
      <c r="GF312" s="312">
        <f>GA312*(1+GF313)</f>
      </c>
      <c r="GG312" s="312">
        <f>GB312*(GG313+1)</f>
      </c>
      <c r="GH312" s="312">
        <f>GC312*(GH313+1)</f>
      </c>
      <c r="GI312" s="312">
        <f>GD312*(GI313+1)</f>
      </c>
      <c r="GJ312" s="385">
        <f>SUM(GF312:GI312)</f>
      </c>
    </row>
    <row r="313" spans="1:192" s="1241" customFormat="1" ht="12.75" customHeight="1">
      <c r="A313" s="1237"/>
      <c r="B313" s="735" t="s">
        <v>34</v>
      </c>
      <c r="C313" s="1238"/>
      <c r="D313" s="1117"/>
      <c r="E313" s="1117"/>
      <c r="F313" s="1117"/>
      <c r="G313" s="1524"/>
      <c r="H313" s="1238"/>
      <c r="I313" s="1117"/>
      <c r="J313" s="1117"/>
      <c r="K313" s="1329"/>
      <c r="L313" s="1330"/>
      <c r="M313" s="1238"/>
      <c r="N313" s="1117"/>
      <c r="O313" s="1117"/>
      <c r="P313" s="1117"/>
      <c r="Q313" s="1239"/>
      <c r="R313" s="1238"/>
      <c r="S313" s="1117"/>
      <c r="T313" s="1117"/>
      <c r="U313" s="1329"/>
      <c r="V313" s="1330"/>
      <c r="W313" s="1238"/>
      <c r="X313" s="1117"/>
      <c r="Y313" s="1117"/>
      <c r="Z313" s="1117"/>
      <c r="AA313" s="1239"/>
      <c r="AB313" s="1238"/>
      <c r="AC313" s="1117"/>
      <c r="AD313" s="1117"/>
      <c r="AE313" s="1329"/>
      <c r="AF313" s="1330"/>
      <c r="AG313" s="1238"/>
      <c r="AH313" s="1117"/>
      <c r="AI313" s="1117"/>
      <c r="AJ313" s="1329"/>
      <c r="AK313" s="1330"/>
      <c r="AL313" s="1238"/>
      <c r="AM313" s="1117"/>
      <c r="AN313" s="1117"/>
      <c r="AO313" s="1329"/>
      <c r="AP313" s="1330"/>
      <c r="AQ313" s="1238"/>
      <c r="AR313" s="1117"/>
      <c r="AS313" s="1117"/>
      <c r="AT313" s="1329"/>
      <c r="AU313" s="1330"/>
      <c r="AV313" s="1238"/>
      <c r="AW313" s="1117"/>
      <c r="AX313" s="1117"/>
      <c r="AY313" s="1329"/>
      <c r="AZ313" s="1330"/>
      <c r="BA313" s="1238"/>
      <c r="BB313" s="1117"/>
      <c r="BC313" s="1117"/>
      <c r="BD313" s="1329"/>
      <c r="BE313" s="1330"/>
      <c r="BF313" s="1238"/>
      <c r="BG313" s="1117"/>
      <c r="BH313" s="1117"/>
      <c r="BI313" s="1329"/>
      <c r="BJ313" s="1330"/>
      <c r="BK313" s="1238"/>
      <c r="BL313" s="1117"/>
      <c r="BM313" s="1117"/>
      <c r="BN313" s="1117"/>
      <c r="BO313" s="1239"/>
      <c r="BP313" s="1238"/>
      <c r="BQ313" s="1117"/>
      <c r="BR313" s="1117"/>
      <c r="BS313" s="1329"/>
      <c r="BT313" s="1330"/>
      <c r="BU313" s="1238"/>
      <c r="BV313" s="1117"/>
      <c r="BW313" s="1117"/>
      <c r="BX313" s="1117"/>
      <c r="BY313" s="1239"/>
      <c r="BZ313" s="1238"/>
      <c r="CA313" s="1117"/>
      <c r="CB313" s="1117"/>
      <c r="CC313" s="1329"/>
      <c r="CD313" s="1331"/>
      <c r="CE313" s="1238"/>
      <c r="CF313" s="1117"/>
      <c r="CG313" s="1117"/>
      <c r="CH313" s="1117"/>
      <c r="CI313" s="1240"/>
      <c r="CJ313" s="1238"/>
      <c r="CK313" s="1117"/>
      <c r="CL313" s="1117"/>
      <c r="CM313" s="1329"/>
      <c r="CN313" s="1331"/>
      <c r="CO313" s="1238"/>
      <c r="CP313" s="1117"/>
      <c r="CQ313" s="1117"/>
      <c r="CR313" s="1117"/>
      <c r="CS313" s="1240"/>
      <c r="CT313" s="1238"/>
      <c r="CU313" s="1117"/>
      <c r="CV313" s="1117"/>
      <c r="CW313" s="1329"/>
      <c r="CX313" s="1331"/>
      <c r="CY313" s="1238"/>
      <c r="CZ313" s="1117"/>
      <c r="DA313" s="1117"/>
      <c r="DB313" s="1117"/>
      <c r="DC313" s="1240"/>
      <c r="DD313" s="1238"/>
      <c r="DE313" s="1117"/>
      <c r="DF313" s="1117"/>
      <c r="DG313" s="1329"/>
      <c r="DH313" s="1331"/>
      <c r="DI313" s="1238"/>
      <c r="DJ313" s="1117"/>
      <c r="DK313" s="1117"/>
      <c r="DL313" s="1329"/>
      <c r="DM313" s="1331"/>
      <c r="DN313" s="1238"/>
      <c r="DO313" s="1117"/>
      <c r="DP313" s="114">
        <v>0.37</v>
      </c>
      <c r="DQ313" s="114">
        <v>0.37</v>
      </c>
      <c r="DR313" s="1353">
        <f>DR312/DM312-1</f>
      </c>
      <c r="DS313" s="412">
        <v>0.33</v>
      </c>
      <c r="DT313" s="114">
        <v>0.28999999999999998</v>
      </c>
      <c r="DU313" s="114">
        <v>0.27</v>
      </c>
      <c r="DV313" s="423">
        <v>0.25</v>
      </c>
      <c r="DW313" s="407">
        <f>DW312/DR312-1</f>
      </c>
      <c r="DX313" s="412">
        <v>0.25</v>
      </c>
      <c r="DY313" s="114">
        <v>0.24</v>
      </c>
      <c r="DZ313" s="114">
        <v>0.21</v>
      </c>
      <c r="EA313" s="1354">
        <v>0.1</v>
      </c>
      <c r="EB313" s="407">
        <f>EB312/DW312-1</f>
      </c>
      <c r="EC313" s="412">
        <v>0.16</v>
      </c>
      <c r="ED313" s="114">
        <v>0.23</v>
      </c>
      <c r="EE313" s="114">
        <v>0.25</v>
      </c>
      <c r="EF313" s="423">
        <v>0.46</v>
      </c>
      <c r="EG313" s="407">
        <f>EG312/EB312-1</f>
      </c>
      <c r="EH313" s="412">
        <v>0.42</v>
      </c>
      <c r="EI313" s="114">
        <v>0.37</v>
      </c>
      <c r="EJ313" s="114">
        <v>0.34</v>
      </c>
      <c r="EK313" s="1354">
        <v>0.26</v>
      </c>
      <c r="EL313" s="424">
        <v>0.34</v>
      </c>
      <c r="EM313" s="441">
        <v>0.17</v>
      </c>
      <c r="EN313" s="439">
        <v>0.1</v>
      </c>
      <c r="EO313" s="439">
        <v>0.08</v>
      </c>
      <c r="EP313" s="1355">
        <v>0.05</v>
      </c>
      <c r="EQ313" s="407">
        <f>EQ312/EL312-1</f>
      </c>
      <c r="ER313" s="412">
        <v>0.08</v>
      </c>
      <c r="ES313" s="114">
        <v>0.09</v>
      </c>
      <c r="ET313" s="439">
        <v>0.1</v>
      </c>
      <c r="EU313" s="1355">
        <v>0.1</v>
      </c>
      <c r="EV313" s="292">
        <f>EV312/EQ312-1</f>
      </c>
      <c r="EW313" s="441">
        <v>0.1</v>
      </c>
      <c r="EX313" s="439">
        <f>EX312/ES312-1</f>
      </c>
      <c r="EY313" s="439">
        <v>7.0000000000000007E-2</v>
      </c>
      <c r="EZ313" s="1355">
        <v>0.09</v>
      </c>
      <c r="FA313" s="292">
        <f>FA312/EV312-1</f>
      </c>
      <c r="FB313" s="412">
        <v>7.4999999999999997E-2</v>
      </c>
      <c r="FC313" s="412">
        <v>7.4999999999999997E-2</v>
      </c>
      <c r="FD313" s="412">
        <f>FC313</f>
      </c>
      <c r="FE313" s="412">
        <f>FD313</f>
      </c>
      <c r="FF313" s="292">
        <f>FF312/FA312-1</f>
      </c>
      <c r="FG313" s="412">
        <f>FB313-1%</f>
      </c>
      <c r="FH313" s="412">
        <f>FG313</f>
      </c>
      <c r="FI313" s="412">
        <f>FH313</f>
      </c>
      <c r="FJ313" s="412">
        <f>FI313</f>
      </c>
      <c r="FK313" s="292">
        <f>FK312/FF312-1</f>
      </c>
      <c r="FL313" s="412">
        <f>FG313-0.5%</f>
      </c>
      <c r="FM313" s="412">
        <f>FL313</f>
      </c>
      <c r="FN313" s="412">
        <f>FM313</f>
      </c>
      <c r="FO313" s="412">
        <f>FN313</f>
      </c>
      <c r="FP313" s="292">
        <f>FP312/FK312-1</f>
      </c>
      <c r="FQ313" s="412">
        <f>FL313-0.25%</f>
      </c>
      <c r="FR313" s="412">
        <f>FQ313</f>
      </c>
      <c r="FS313" s="412">
        <f>FR313</f>
      </c>
      <c r="FT313" s="412">
        <f>FS313</f>
      </c>
      <c r="FU313" s="292">
        <f>FU312/FP312-1</f>
      </c>
      <c r="FV313" s="412">
        <f>FQ313-1%</f>
      </c>
      <c r="FW313" s="412">
        <f>FV313</f>
      </c>
      <c r="FX313" s="412">
        <f>FW313</f>
      </c>
      <c r="FY313" s="412">
        <f>FX313</f>
      </c>
      <c r="FZ313" s="292">
        <f>FZ312/FU312-1</f>
      </c>
      <c r="GA313" s="412">
        <f>FV313-1%</f>
      </c>
      <c r="GB313" s="412">
        <f>GA313</f>
      </c>
      <c r="GC313" s="412">
        <f>GB313</f>
      </c>
      <c r="GD313" s="412">
        <f>GC313</f>
      </c>
      <c r="GE313" s="292">
        <f>GE312/FZ312-1</f>
      </c>
      <c r="GF313" s="412">
        <f>GA313-1%</f>
      </c>
      <c r="GG313" s="412">
        <f>GF313</f>
      </c>
      <c r="GH313" s="412">
        <f>GG313</f>
      </c>
      <c r="GI313" s="412">
        <f>GH313</f>
      </c>
      <c r="GJ313" s="384">
        <f>GJ312/GE312-1</f>
      </c>
    </row>
    <row r="314" spans="1:192" ht="12.75" customHeight="1">
      <c r="B314" s="735" t="s">
        <v>197</v>
      </c>
      <c r="C314" s="412"/>
      <c r="D314" s="114"/>
      <c r="E314" s="114"/>
      <c r="F314" s="114"/>
      <c r="G314" s="413"/>
      <c r="H314" s="412"/>
      <c r="I314" s="114"/>
      <c r="J314" s="114"/>
      <c r="K314" s="423"/>
      <c r="L314" s="424"/>
      <c r="M314" s="412"/>
      <c r="N314" s="114"/>
      <c r="O314" s="114"/>
      <c r="P314" s="423"/>
      <c r="Q314" s="424"/>
      <c r="R314" s="412"/>
      <c r="S314" s="114"/>
      <c r="T314" s="114"/>
      <c r="U314" s="423"/>
      <c r="V314" s="424"/>
      <c r="W314" s="412"/>
      <c r="X314" s="114"/>
      <c r="Y314" s="114"/>
      <c r="Z314" s="423"/>
      <c r="AA314" s="424"/>
      <c r="AB314" s="412"/>
      <c r="AC314" s="114"/>
      <c r="AD314" s="114"/>
      <c r="AE314" s="423"/>
      <c r="AF314" s="424"/>
      <c r="AG314" s="412"/>
      <c r="AH314" s="114"/>
      <c r="AI314" s="114"/>
      <c r="AJ314" s="423"/>
      <c r="AK314" s="424"/>
      <c r="AL314" s="412"/>
      <c r="AM314" s="114"/>
      <c r="AN314" s="114"/>
      <c r="AO314" s="423"/>
      <c r="AP314" s="424"/>
      <c r="AQ314" s="412"/>
      <c r="AR314" s="114"/>
      <c r="AS314" s="114"/>
      <c r="AT314" s="423"/>
      <c r="AU314" s="424"/>
      <c r="AV314" s="412"/>
      <c r="AW314" s="114"/>
      <c r="AX314" s="114"/>
      <c r="AY314" s="423"/>
      <c r="AZ314" s="424"/>
      <c r="BA314" s="412"/>
      <c r="BB314" s="114"/>
      <c r="BC314" s="114"/>
      <c r="BD314" s="423"/>
      <c r="BE314" s="424"/>
      <c r="BF314" s="412"/>
      <c r="BG314" s="114"/>
      <c r="BH314" s="114"/>
      <c r="BI314" s="423"/>
      <c r="BJ314" s="424"/>
      <c r="BK314" s="412"/>
      <c r="BL314" s="114"/>
      <c r="BM314" s="114"/>
      <c r="BN314" s="114"/>
      <c r="BO314" s="413"/>
      <c r="BP314" s="412"/>
      <c r="BQ314" s="114"/>
      <c r="BR314" s="114"/>
      <c r="BS314" s="423"/>
      <c r="BT314" s="424"/>
      <c r="BU314" s="412"/>
      <c r="BV314" s="114"/>
      <c r="BW314" s="114"/>
      <c r="BX314" s="114"/>
      <c r="BY314" s="413"/>
      <c r="BZ314" s="412"/>
      <c r="CA314" s="114"/>
      <c r="CB314" s="114"/>
      <c r="CC314" s="423"/>
      <c r="CD314" s="407"/>
      <c r="CE314" s="412"/>
      <c r="CF314" s="114"/>
      <c r="CG314" s="114"/>
      <c r="CH314" s="114"/>
      <c r="CI314" s="292"/>
      <c r="CJ314" s="412"/>
      <c r="CK314" s="114"/>
      <c r="CL314" s="114"/>
      <c r="CM314" s="423"/>
      <c r="CN314" s="407"/>
      <c r="CO314" s="412"/>
      <c r="CP314" s="114"/>
      <c r="CQ314" s="114"/>
      <c r="CR314" s="423"/>
      <c r="CS314" s="407"/>
      <c r="CT314" s="412"/>
      <c r="CU314" s="114"/>
      <c r="CV314" s="114"/>
      <c r="CW314" s="423"/>
      <c r="CX314" s="407"/>
      <c r="CY314" s="412"/>
      <c r="CZ314" s="114"/>
      <c r="DA314" s="114"/>
      <c r="DB314" s="114"/>
      <c r="DC314" s="292"/>
      <c r="DD314" s="412"/>
      <c r="DE314" s="114"/>
      <c r="DF314" s="114"/>
      <c r="DG314" s="423"/>
      <c r="DH314" s="407"/>
      <c r="DI314" s="412"/>
      <c r="DJ314" s="114"/>
      <c r="DK314" s="114"/>
      <c r="DL314" s="423"/>
      <c r="DM314" s="407"/>
      <c r="DN314" s="412"/>
      <c r="DO314" s="114"/>
      <c r="DP314" s="114">
        <v>0.33</v>
      </c>
      <c r="DQ314" s="423">
        <v>0.34</v>
      </c>
      <c r="DR314" s="407"/>
      <c r="DS314" s="412">
        <v>0.33</v>
      </c>
      <c r="DT314" s="114">
        <v>0.3</v>
      </c>
      <c r="DU314" s="114">
        <v>0.28999999999999998</v>
      </c>
      <c r="DV314" s="423">
        <v>0.28000000000000003</v>
      </c>
      <c r="DW314" s="407"/>
      <c r="DX314" s="412">
        <v>0.26</v>
      </c>
      <c r="DY314" s="114">
        <v>0.26</v>
      </c>
      <c r="DZ314" s="114">
        <v>0.22</v>
      </c>
      <c r="EA314" s="423">
        <v>0.11</v>
      </c>
      <c r="EB314" s="407"/>
      <c r="EC314" s="412">
        <v>0.16</v>
      </c>
      <c r="ED314" s="114">
        <v>0.22</v>
      </c>
      <c r="EE314" s="114">
        <v>0.23</v>
      </c>
      <c r="EF314" s="423">
        <v>0.42</v>
      </c>
      <c r="EG314" s="407"/>
      <c r="EH314" s="412">
        <v>0.39</v>
      </c>
      <c r="EI314" s="114">
        <v>0.36</v>
      </c>
      <c r="EJ314" s="114">
        <v>0.35</v>
      </c>
      <c r="EK314" s="114">
        <v>0.28999999999999998</v>
      </c>
      <c r="EL314" s="292"/>
      <c r="EM314" s="412">
        <v>0.21</v>
      </c>
      <c r="EN314" s="114">
        <v>0.14000000000000001</v>
      </c>
      <c r="EO314" s="114">
        <v>0.1</v>
      </c>
      <c r="EP314" s="423">
        <v>7.0000000000000007E-2</v>
      </c>
      <c r="EQ314" s="407"/>
      <c r="ER314" s="412">
        <v>0.08</v>
      </c>
      <c r="ES314" s="114">
        <v>0.08</v>
      </c>
      <c r="ET314" s="439">
        <v>0.09</v>
      </c>
      <c r="EU314" s="1355">
        <v>0.09</v>
      </c>
      <c r="EV314" s="407"/>
      <c r="EW314" s="441">
        <v>0.09</v>
      </c>
      <c r="EX314" s="439">
        <v>0.09</v>
      </c>
      <c r="EY314" s="439">
        <v>0.08</v>
      </c>
      <c r="EZ314" s="1355">
        <v>0.08</v>
      </c>
      <c r="FA314" s="407"/>
      <c r="FB314" s="291"/>
      <c r="FC314" s="107"/>
      <c r="FD314" s="107"/>
      <c r="FE314" s="346"/>
      <c r="FF314" s="407"/>
      <c r="FG314" s="291"/>
      <c r="FH314" s="107"/>
      <c r="FI314" s="107"/>
      <c r="FJ314" s="346"/>
      <c r="FK314" s="407"/>
      <c r="FL314" s="291"/>
      <c r="FM314" s="107"/>
      <c r="FN314" s="107"/>
      <c r="FO314" s="346"/>
      <c r="FP314" s="407"/>
      <c r="FQ314" s="291"/>
      <c r="FR314" s="107"/>
      <c r="FS314" s="107"/>
      <c r="FT314" s="346"/>
      <c r="FU314" s="407"/>
      <c r="FV314" s="291"/>
      <c r="FW314" s="107"/>
      <c r="FX314" s="107"/>
      <c r="FY314" s="346"/>
      <c r="FZ314" s="292"/>
      <c r="GA314" s="291"/>
      <c r="GB314" s="107"/>
      <c r="GC314" s="107"/>
      <c r="GD314" s="346"/>
      <c r="GE314" s="292"/>
      <c r="GF314" s="291"/>
      <c r="GG314" s="107"/>
      <c r="GH314" s="107"/>
      <c r="GI314" s="346"/>
      <c r="GJ314" s="384"/>
    </row>
    <row r="315" spans="1:192" ht="12.75" customHeight="1">
      <c r="B315" s="735" t="s">
        <v>36</v>
      </c>
      <c r="C315" s="291"/>
      <c r="D315" s="107"/>
      <c r="E315" s="107"/>
      <c r="F315" s="107"/>
      <c r="G315" s="293"/>
      <c r="H315" s="291"/>
      <c r="I315" s="107"/>
      <c r="J315" s="107"/>
      <c r="K315" s="346"/>
      <c r="L315" s="347"/>
      <c r="M315" s="291"/>
      <c r="N315" s="107"/>
      <c r="O315" s="107"/>
      <c r="P315" s="346"/>
      <c r="Q315" s="347"/>
      <c r="R315" s="291"/>
      <c r="S315" s="107"/>
      <c r="T315" s="107"/>
      <c r="U315" s="346"/>
      <c r="V315" s="347"/>
      <c r="W315" s="291"/>
      <c r="X315" s="107"/>
      <c r="Y315" s="107"/>
      <c r="Z315" s="346"/>
      <c r="AA315" s="347"/>
      <c r="AB315" s="291"/>
      <c r="AC315" s="107"/>
      <c r="AD315" s="107"/>
      <c r="AE315" s="346"/>
      <c r="AF315" s="347"/>
      <c r="AG315" s="291"/>
      <c r="AH315" s="107"/>
      <c r="AI315" s="107"/>
      <c r="AJ315" s="346"/>
      <c r="AK315" s="347"/>
      <c r="AL315" s="291"/>
      <c r="AM315" s="107"/>
      <c r="AN315" s="107"/>
      <c r="AO315" s="346"/>
      <c r="AP315" s="347"/>
      <c r="AQ315" s="291"/>
      <c r="AR315" s="107"/>
      <c r="AS315" s="107"/>
      <c r="AT315" s="346"/>
      <c r="AU315" s="347"/>
      <c r="AV315" s="291"/>
      <c r="AW315" s="107"/>
      <c r="AX315" s="107"/>
      <c r="AY315" s="346"/>
      <c r="AZ315" s="347"/>
      <c r="BA315" s="291"/>
      <c r="BB315" s="107"/>
      <c r="BC315" s="107"/>
      <c r="BD315" s="346"/>
      <c r="BE315" s="347"/>
      <c r="BF315" s="291"/>
      <c r="BG315" s="107"/>
      <c r="BH315" s="107"/>
      <c r="BI315" s="346"/>
      <c r="BJ315" s="347"/>
      <c r="BK315" s="291"/>
      <c r="BL315" s="107"/>
      <c r="BM315" s="107"/>
      <c r="BN315" s="107"/>
      <c r="BO315" s="293"/>
      <c r="BP315" s="291"/>
      <c r="BQ315" s="107"/>
      <c r="BR315" s="107"/>
      <c r="BS315" s="346"/>
      <c r="BT315" s="347"/>
      <c r="BU315" s="291"/>
      <c r="BV315" s="107"/>
      <c r="BW315" s="107"/>
      <c r="BX315" s="107"/>
      <c r="BY315" s="293"/>
      <c r="BZ315" s="291"/>
      <c r="CA315" s="107"/>
      <c r="CB315" s="107"/>
      <c r="CC315" s="346"/>
      <c r="CD315" s="347"/>
      <c r="CE315" s="291"/>
      <c r="CF315" s="107"/>
      <c r="CG315" s="107"/>
      <c r="CH315" s="107"/>
      <c r="CI315" s="293"/>
      <c r="CJ315" s="291"/>
      <c r="CK315" s="107"/>
      <c r="CL315" s="107"/>
      <c r="CM315" s="346"/>
      <c r="CN315" s="347"/>
      <c r="CO315" s="291"/>
      <c r="CP315" s="107"/>
      <c r="CQ315" s="107"/>
      <c r="CR315" s="346"/>
      <c r="CS315" s="347"/>
      <c r="CT315" s="291"/>
      <c r="CU315" s="107"/>
      <c r="CV315" s="107"/>
      <c r="CW315" s="346"/>
      <c r="CX315" s="347"/>
      <c r="CY315" s="291"/>
      <c r="CZ315" s="107"/>
      <c r="DA315" s="107"/>
      <c r="DB315" s="346"/>
      <c r="DC315" s="347"/>
      <c r="DD315" s="291"/>
      <c r="DE315" s="107"/>
      <c r="DF315" s="107"/>
      <c r="DG315" s="346"/>
      <c r="DH315" s="347"/>
      <c r="DI315" s="291"/>
      <c r="DJ315" s="107"/>
      <c r="DK315" s="107"/>
      <c r="DL315" s="346">
        <f>DL312/DK312-1</f>
      </c>
      <c r="DM315" s="347"/>
      <c r="DN315" s="291">
        <f>DN312/DL312-1</f>
      </c>
      <c r="DO315" s="107">
        <f>DO312/DN312-1</f>
      </c>
      <c r="DP315" s="107">
        <f>DP312/DO312-1</f>
      </c>
      <c r="DQ315" s="346">
        <f>DQ312/DP312-1</f>
      </c>
      <c r="DR315" s="347"/>
      <c r="DS315" s="291">
        <f>DS312/DQ312-1</f>
      </c>
      <c r="DT315" s="107">
        <f>DT312/DS312-1</f>
      </c>
      <c r="DU315" s="107">
        <f>DU312/DT312-1</f>
      </c>
      <c r="DV315" s="346">
        <f>DV312/DU312-1</f>
      </c>
      <c r="DW315" s="347"/>
      <c r="DX315" s="291">
        <f>DX312/DV312-1</f>
      </c>
      <c r="DY315" s="107">
        <f>DY312/DX312-1</f>
      </c>
      <c r="DZ315" s="107">
        <f>DZ312/DY312-1</f>
      </c>
      <c r="EA315" s="346">
        <f>EA312/DZ312-1</f>
      </c>
      <c r="EB315" s="347"/>
      <c r="EC315" s="291">
        <f>EC312/EA312-1</f>
      </c>
      <c r="ED315" s="107">
        <f>ED312/EC312-1</f>
      </c>
      <c r="EE315" s="107">
        <f>EE312/ED312-1</f>
      </c>
      <c r="EF315" s="346">
        <f>EF312/EE312-1</f>
      </c>
      <c r="EG315" s="347"/>
      <c r="EH315" s="291">
        <f>EH312/EF312-1</f>
      </c>
      <c r="EI315" s="107">
        <f>EI312/EH312-1</f>
      </c>
      <c r="EJ315" s="107">
        <f>EJ312/EI312-1</f>
      </c>
      <c r="EK315" s="346">
        <f>EK312/EJ312-1</f>
      </c>
      <c r="EL315" s="293"/>
      <c r="EM315" s="291">
        <f>EM312/EK312-1</f>
      </c>
      <c r="EN315" s="107">
        <f>EN312/EM312-1</f>
      </c>
      <c r="EO315" s="107">
        <f>EO312/EN312-1</f>
      </c>
      <c r="EP315" s="346">
        <f>EP312/EO312-1</f>
      </c>
      <c r="EQ315" s="347"/>
      <c r="ER315" s="291">
        <f>ER312/EP312-1</f>
      </c>
      <c r="ES315" s="107">
        <f>ES312/ER312-1</f>
      </c>
      <c r="ET315" s="107">
        <f>ET312/ES312-1</f>
      </c>
      <c r="EU315" s="1496">
        <f>EU312/ET312-1</f>
      </c>
      <c r="EV315" s="347"/>
      <c r="EW315" s="291">
        <f>EW312/EU312-1</f>
      </c>
      <c r="EX315" s="107">
        <f>EX312/EW312-1</f>
      </c>
      <c r="EY315" s="107">
        <f>EY312/EX312-1</f>
      </c>
      <c r="EZ315" s="1496">
        <f>EZ312/EY312-1</f>
      </c>
      <c r="FA315" s="347"/>
      <c r="FB315" s="291">
        <f>FB312/EZ312-1</f>
      </c>
      <c r="FC315" s="107">
        <f>FC312/FB312-1</f>
      </c>
      <c r="FD315" s="107">
        <f>FD312/FC312-1</f>
      </c>
      <c r="FE315" s="346">
        <f>FE312/FD312-1</f>
      </c>
      <c r="FF315" s="347"/>
      <c r="FG315" s="291">
        <f>FG312/FE312-1</f>
      </c>
      <c r="FH315" s="107">
        <f>FH312/FG312-1</f>
      </c>
      <c r="FI315" s="107">
        <f>FI312/FH312-1</f>
      </c>
      <c r="FJ315" s="346">
        <f>FJ312/FI312-1</f>
      </c>
      <c r="FK315" s="347"/>
      <c r="FL315" s="291">
        <f>FL312/FJ312-1</f>
      </c>
      <c r="FM315" s="107">
        <f>FM312/FL312-1</f>
      </c>
      <c r="FN315" s="107">
        <f>FN312/FM312-1</f>
      </c>
      <c r="FO315" s="346">
        <f>FO312/FN312-1</f>
      </c>
      <c r="FP315" s="347"/>
      <c r="FQ315" s="291">
        <f>FQ312/FO312-1</f>
      </c>
      <c r="FR315" s="107">
        <f>FR312/FQ312-1</f>
      </c>
      <c r="FS315" s="107">
        <f>FS312/FR312-1</f>
      </c>
      <c r="FT315" s="346">
        <f>FT312/FS312-1</f>
      </c>
      <c r="FU315" s="347"/>
      <c r="FV315" s="291">
        <f>FV312/FT312-1</f>
      </c>
      <c r="FW315" s="107">
        <f>FW312/FV312-1</f>
      </c>
      <c r="FX315" s="107">
        <f>FX312/FW312-1</f>
      </c>
      <c r="FY315" s="346">
        <f>FY312/FX312-1</f>
      </c>
      <c r="FZ315" s="293"/>
      <c r="GA315" s="291">
        <f>GA312/FY312-1</f>
      </c>
      <c r="GB315" s="107">
        <f>GB312/GA312-1</f>
      </c>
      <c r="GC315" s="107">
        <f>GC312/GB312-1</f>
      </c>
      <c r="GD315" s="346">
        <f>GD312/GC312-1</f>
      </c>
      <c r="GE315" s="293"/>
      <c r="GF315" s="291">
        <f>GF312/GD312-1</f>
      </c>
      <c r="GG315" s="107">
        <f>GG312/GF312-1</f>
      </c>
      <c r="GH315" s="107">
        <f>GH312/GG312-1</f>
      </c>
      <c r="GI315" s="346">
        <f>GI312/GH312-1</f>
      </c>
      <c r="GJ315" s="382"/>
    </row>
    <row r="316" spans="1:192" ht="12.75" customHeight="1">
      <c r="B316" s="735" t="s">
        <v>243</v>
      </c>
      <c r="C316" s="291"/>
      <c r="D316" s="107"/>
      <c r="E316" s="107"/>
      <c r="F316" s="107"/>
      <c r="G316" s="293"/>
      <c r="H316" s="291"/>
      <c r="I316" s="107"/>
      <c r="J316" s="107"/>
      <c r="K316" s="346"/>
      <c r="L316" s="347"/>
      <c r="M316" s="291"/>
      <c r="N316" s="107"/>
      <c r="O316" s="107"/>
      <c r="P316" s="346"/>
      <c r="Q316" s="347"/>
      <c r="R316" s="291"/>
      <c r="S316" s="107"/>
      <c r="T316" s="107"/>
      <c r="U316" s="346"/>
      <c r="V316" s="347"/>
      <c r="W316" s="291"/>
      <c r="X316" s="107"/>
      <c r="Y316" s="107"/>
      <c r="Z316" s="346"/>
      <c r="AA316" s="347"/>
      <c r="AB316" s="291"/>
      <c r="AC316" s="107"/>
      <c r="AD316" s="107"/>
      <c r="AE316" s="346"/>
      <c r="AF316" s="347"/>
      <c r="AG316" s="291"/>
      <c r="AH316" s="107"/>
      <c r="AI316" s="107"/>
      <c r="AJ316" s="346"/>
      <c r="AK316" s="347"/>
      <c r="AL316" s="291"/>
      <c r="AM316" s="107"/>
      <c r="AN316" s="107"/>
      <c r="AO316" s="346"/>
      <c r="AP316" s="347"/>
      <c r="AQ316" s="291"/>
      <c r="AR316" s="107"/>
      <c r="AS316" s="107"/>
      <c r="AT316" s="346"/>
      <c r="AU316" s="347"/>
      <c r="AV316" s="291"/>
      <c r="AW316" s="107"/>
      <c r="AX316" s="107"/>
      <c r="AY316" s="346"/>
      <c r="AZ316" s="347"/>
      <c r="BA316" s="291"/>
      <c r="BB316" s="107"/>
      <c r="BC316" s="107"/>
      <c r="BD316" s="346"/>
      <c r="BE316" s="347"/>
      <c r="BF316" s="291"/>
      <c r="BG316" s="107"/>
      <c r="BH316" s="107"/>
      <c r="BI316" s="346"/>
      <c r="BJ316" s="347"/>
      <c r="BK316" s="291"/>
      <c r="BL316" s="107"/>
      <c r="BM316" s="107"/>
      <c r="BN316" s="107"/>
      <c r="BO316" s="293"/>
      <c r="BP316" s="291"/>
      <c r="BQ316" s="107"/>
      <c r="BR316" s="107"/>
      <c r="BS316" s="346"/>
      <c r="BT316" s="347"/>
      <c r="BU316" s="291"/>
      <c r="BV316" s="107"/>
      <c r="BW316" s="107"/>
      <c r="BX316" s="107"/>
      <c r="BY316" s="293"/>
      <c r="BZ316" s="291"/>
      <c r="CA316" s="107"/>
      <c r="CB316" s="107"/>
      <c r="CC316" s="346"/>
      <c r="CD316" s="347"/>
      <c r="CE316" s="291"/>
      <c r="CF316" s="107"/>
      <c r="CG316" s="107"/>
      <c r="CH316" s="107"/>
      <c r="CI316" s="293"/>
      <c r="CJ316" s="291"/>
      <c r="CK316" s="107"/>
      <c r="CL316" s="107"/>
      <c r="CM316" s="346"/>
      <c r="CN316" s="347"/>
      <c r="CO316" s="291"/>
      <c r="CP316" s="107"/>
      <c r="CQ316" s="107"/>
      <c r="CR316" s="346"/>
      <c r="CS316" s="347"/>
      <c r="CT316" s="291"/>
      <c r="CU316" s="107"/>
      <c r="CV316" s="107"/>
      <c r="CW316" s="346"/>
      <c r="CX316" s="347"/>
      <c r="CY316" s="291"/>
      <c r="CZ316" s="107"/>
      <c r="DA316" s="107"/>
      <c r="DB316" s="346"/>
      <c r="DC316" s="347"/>
      <c r="DD316" s="291"/>
      <c r="DE316" s="107"/>
      <c r="DF316" s="107"/>
      <c r="DG316" s="346"/>
      <c r="DH316" s="347"/>
      <c r="DI316" s="447"/>
      <c r="DJ316" s="447"/>
      <c r="DK316" s="447"/>
      <c r="DL316" s="447"/>
      <c r="DM316" s="459"/>
      <c r="DN316" s="447"/>
      <c r="DO316" s="447">
        <f t="shared" ref="DO316:EQ316" si="454">DO312-DJ312</f>
      </c>
      <c r="DP316" s="447">
        <f t="shared" si="454"/>
      </c>
      <c r="DQ316" s="447">
        <f t="shared" si="454"/>
      </c>
      <c r="DR316" s="459">
        <f t="shared" si="454"/>
      </c>
      <c r="DS316" s="447">
        <f t="shared" si="454"/>
      </c>
      <c r="DT316" s="447">
        <f t="shared" si="454"/>
      </c>
      <c r="DU316" s="447">
        <f t="shared" si="454"/>
      </c>
      <c r="DV316" s="447">
        <f t="shared" si="454"/>
      </c>
      <c r="DW316" s="459">
        <f t="shared" si="454"/>
      </c>
      <c r="DX316" s="447">
        <f t="shared" si="454"/>
      </c>
      <c r="DY316" s="447">
        <f t="shared" si="454"/>
      </c>
      <c r="DZ316" s="447">
        <f t="shared" si="454"/>
      </c>
      <c r="EA316" s="447">
        <f t="shared" si="454"/>
      </c>
      <c r="EB316" s="459">
        <f t="shared" si="454"/>
      </c>
      <c r="EC316" s="447">
        <f t="shared" si="454"/>
      </c>
      <c r="ED316" s="447">
        <f t="shared" si="454"/>
      </c>
      <c r="EE316" s="447">
        <f t="shared" si="454"/>
      </c>
      <c r="EF316" s="447">
        <f t="shared" si="454"/>
      </c>
      <c r="EG316" s="459">
        <f t="shared" si="454"/>
      </c>
      <c r="EH316" s="447">
        <f t="shared" si="454"/>
      </c>
      <c r="EI316" s="447">
        <f t="shared" si="454"/>
      </c>
      <c r="EJ316" s="447">
        <f t="shared" si="454"/>
      </c>
      <c r="EK316" s="447">
        <f t="shared" si="454"/>
      </c>
      <c r="EL316" s="812">
        <v>3500</v>
      </c>
      <c r="EM316" s="447">
        <f t="shared" si="454"/>
      </c>
      <c r="EN316" s="447">
        <f t="shared" si="454"/>
      </c>
      <c r="EO316" s="447">
        <f t="shared" si="454"/>
      </c>
      <c r="EP316" s="447">
        <f t="shared" si="454"/>
      </c>
      <c r="EQ316" s="459">
        <f t="shared" si="454"/>
      </c>
      <c r="ER316" s="496">
        <v>285</v>
      </c>
      <c r="ES316" s="448">
        <v>362</v>
      </c>
      <c r="ET316" s="496">
        <v>354</v>
      </c>
      <c r="EU316" s="447">
        <f t="shared" ref="EU316:FZ316" si="455">EU312-EP312</f>
      </c>
      <c r="EV316" s="459">
        <f t="shared" si="455"/>
      </c>
      <c r="EW316" s="511">
        <f t="shared" si="455"/>
      </c>
      <c r="EX316" s="447">
        <f t="shared" si="455"/>
      </c>
      <c r="EY316" s="447">
        <f t="shared" si="455"/>
      </c>
      <c r="EZ316" s="447">
        <f t="shared" si="455"/>
      </c>
      <c r="FA316" s="459">
        <f t="shared" si="455"/>
      </c>
      <c r="FB316" s="447">
        <f t="shared" si="455"/>
      </c>
      <c r="FC316" s="447">
        <f t="shared" si="455"/>
      </c>
      <c r="FD316" s="447">
        <f t="shared" si="455"/>
      </c>
      <c r="FE316" s="447">
        <f t="shared" si="455"/>
      </c>
      <c r="FF316" s="459">
        <f t="shared" si="455"/>
      </c>
      <c r="FG316" s="447">
        <f t="shared" si="455"/>
      </c>
      <c r="FH316" s="447">
        <f t="shared" si="455"/>
      </c>
      <c r="FI316" s="447">
        <f t="shared" si="455"/>
      </c>
      <c r="FJ316" s="447">
        <f t="shared" si="455"/>
      </c>
      <c r="FK316" s="459">
        <f t="shared" si="455"/>
      </c>
      <c r="FL316" s="447">
        <f t="shared" si="455"/>
      </c>
      <c r="FM316" s="447">
        <f t="shared" si="455"/>
      </c>
      <c r="FN316" s="447">
        <f t="shared" si="455"/>
      </c>
      <c r="FO316" s="447">
        <f t="shared" si="455"/>
      </c>
      <c r="FP316" s="459">
        <f t="shared" si="455"/>
      </c>
      <c r="FQ316" s="447">
        <f t="shared" si="455"/>
      </c>
      <c r="FR316" s="447">
        <f t="shared" si="455"/>
      </c>
      <c r="FS316" s="447">
        <f t="shared" si="455"/>
      </c>
      <c r="FT316" s="447">
        <f t="shared" si="455"/>
      </c>
      <c r="FU316" s="459">
        <f t="shared" si="455"/>
      </c>
      <c r="FV316" s="447">
        <f t="shared" si="455"/>
      </c>
      <c r="FW316" s="458">
        <f t="shared" si="455"/>
      </c>
      <c r="FX316" s="458">
        <f t="shared" si="455"/>
      </c>
      <c r="FY316" s="487">
        <f t="shared" si="455"/>
      </c>
      <c r="FZ316" s="459">
        <f t="shared" si="455"/>
      </c>
      <c r="GA316" s="447">
        <f t="shared" ref="GA316:GJ316" si="456">GA312-FV312</f>
      </c>
      <c r="GB316" s="458">
        <f t="shared" si="456"/>
      </c>
      <c r="GC316" s="458">
        <f t="shared" si="456"/>
      </c>
      <c r="GD316" s="487">
        <f t="shared" si="456"/>
      </c>
      <c r="GE316" s="459">
        <f t="shared" si="456"/>
      </c>
      <c r="GF316" s="447">
        <f t="shared" si="456"/>
      </c>
      <c r="GG316" s="458">
        <f t="shared" si="456"/>
      </c>
      <c r="GH316" s="458">
        <f t="shared" si="456"/>
      </c>
      <c r="GI316" s="487">
        <f t="shared" si="456"/>
      </c>
      <c r="GJ316" s="489">
        <f t="shared" si="456"/>
      </c>
    </row>
    <row r="317" spans="1:192" ht="12.75" customHeight="1">
      <c r="B317" s="735" t="s">
        <v>244</v>
      </c>
      <c r="C317" s="291"/>
      <c r="D317" s="107"/>
      <c r="E317" s="107"/>
      <c r="F317" s="107"/>
      <c r="G317" s="293"/>
      <c r="H317" s="291"/>
      <c r="I317" s="107"/>
      <c r="J317" s="107"/>
      <c r="K317" s="346"/>
      <c r="L317" s="347"/>
      <c r="M317" s="291"/>
      <c r="N317" s="107"/>
      <c r="O317" s="107"/>
      <c r="P317" s="346"/>
      <c r="Q317" s="347"/>
      <c r="R317" s="291"/>
      <c r="S317" s="107"/>
      <c r="T317" s="107"/>
      <c r="U317" s="346"/>
      <c r="V317" s="347"/>
      <c r="W317" s="291"/>
      <c r="X317" s="107"/>
      <c r="Y317" s="107"/>
      <c r="Z317" s="346"/>
      <c r="AA317" s="347"/>
      <c r="AB317" s="291"/>
      <c r="AC317" s="107"/>
      <c r="AD317" s="107"/>
      <c r="AE317" s="346"/>
      <c r="AF317" s="347"/>
      <c r="AG317" s="291"/>
      <c r="AH317" s="107"/>
      <c r="AI317" s="107"/>
      <c r="AJ317" s="346"/>
      <c r="AK317" s="347"/>
      <c r="AL317" s="291"/>
      <c r="AM317" s="107"/>
      <c r="AN317" s="107"/>
      <c r="AO317" s="346"/>
      <c r="AP317" s="347"/>
      <c r="AQ317" s="291"/>
      <c r="AR317" s="107"/>
      <c r="AS317" s="107"/>
      <c r="AT317" s="346"/>
      <c r="AU317" s="347"/>
      <c r="AV317" s="291"/>
      <c r="AW317" s="107"/>
      <c r="AX317" s="107"/>
      <c r="AY317" s="346"/>
      <c r="AZ317" s="347"/>
      <c r="BA317" s="291"/>
      <c r="BB317" s="107"/>
      <c r="BC317" s="107"/>
      <c r="BD317" s="346"/>
      <c r="BE317" s="347"/>
      <c r="BF317" s="291"/>
      <c r="BG317" s="107"/>
      <c r="BH317" s="107"/>
      <c r="BI317" s="346"/>
      <c r="BJ317" s="347"/>
      <c r="BK317" s="291"/>
      <c r="BL317" s="107"/>
      <c r="BM317" s="107"/>
      <c r="BN317" s="107"/>
      <c r="BO317" s="293"/>
      <c r="BP317" s="291"/>
      <c r="BQ317" s="107"/>
      <c r="BR317" s="107"/>
      <c r="BS317" s="346"/>
      <c r="BT317" s="347"/>
      <c r="BU317" s="291"/>
      <c r="BV317" s="107"/>
      <c r="BW317" s="107"/>
      <c r="BX317" s="107"/>
      <c r="BY317" s="293"/>
      <c r="BZ317" s="291"/>
      <c r="CA317" s="107"/>
      <c r="CB317" s="107"/>
      <c r="CC317" s="346"/>
      <c r="CD317" s="347"/>
      <c r="CE317" s="291"/>
      <c r="CF317" s="107"/>
      <c r="CG317" s="107"/>
      <c r="CH317" s="107"/>
      <c r="CI317" s="293"/>
      <c r="CJ317" s="291"/>
      <c r="CK317" s="107"/>
      <c r="CL317" s="107"/>
      <c r="CM317" s="346"/>
      <c r="CN317" s="347"/>
      <c r="CO317" s="291"/>
      <c r="CP317" s="107"/>
      <c r="CQ317" s="107"/>
      <c r="CR317" s="346"/>
      <c r="CS317" s="347"/>
      <c r="CT317" s="291"/>
      <c r="CU317" s="107"/>
      <c r="CV317" s="107"/>
      <c r="CW317" s="346"/>
      <c r="CX317" s="347"/>
      <c r="CY317" s="291"/>
      <c r="CZ317" s="107"/>
      <c r="DA317" s="107"/>
      <c r="DB317" s="346"/>
      <c r="DC317" s="347"/>
      <c r="DD317" s="291"/>
      <c r="DE317" s="107"/>
      <c r="DF317" s="107"/>
      <c r="DG317" s="346"/>
      <c r="DH317" s="347"/>
      <c r="DI317" s="447"/>
      <c r="DJ317" s="447"/>
      <c r="DK317" s="447"/>
      <c r="DL317" s="492">
        <f>DL312-DK312</f>
      </c>
      <c r="DM317" s="347"/>
      <c r="DN317" s="447">
        <f>DN312-DL312</f>
      </c>
      <c r="DO317" s="447">
        <f>DO312-DN312</f>
      </c>
      <c r="DP317" s="447">
        <f>DP312-DO312</f>
      </c>
      <c r="DQ317" s="492">
        <f>DQ312-DP312</f>
      </c>
      <c r="DR317" s="347"/>
      <c r="DS317" s="447">
        <f>DS312-DQ312</f>
      </c>
      <c r="DT317" s="447">
        <f>DT312-DS312</f>
      </c>
      <c r="DU317" s="447">
        <f>DU312-DT312</f>
      </c>
      <c r="DV317" s="492">
        <f>DV312-DU312</f>
      </c>
      <c r="DW317" s="347"/>
      <c r="DX317" s="447">
        <f>DX312-DV312</f>
      </c>
      <c r="DY317" s="447">
        <f>DY312-DX312</f>
      </c>
      <c r="DZ317" s="447">
        <f>DZ312-DY312</f>
      </c>
      <c r="EA317" s="492">
        <f>EA312-DZ312</f>
      </c>
      <c r="EB317" s="347"/>
      <c r="EC317" s="447">
        <f>EC312-EA312</f>
      </c>
      <c r="ED317" s="447">
        <f>ED312-EC312</f>
      </c>
      <c r="EE317" s="447">
        <f>EE312-ED312</f>
      </c>
      <c r="EF317" s="492">
        <f>EF312-EE312</f>
      </c>
      <c r="EG317" s="347"/>
      <c r="EH317" s="447">
        <f>EH312-EF312</f>
      </c>
      <c r="EI317" s="447">
        <f>EI312-EH312</f>
      </c>
      <c r="EJ317" s="447">
        <f>EJ312-EI312</f>
      </c>
      <c r="EK317" s="492">
        <f>EK312-EJ312</f>
      </c>
      <c r="EL317" s="347"/>
      <c r="EM317" s="447">
        <f>EM312-EK312</f>
      </c>
      <c r="EN317" s="447">
        <f>EN312-EM312</f>
      </c>
      <c r="EO317" s="447">
        <f>EO312-EN312</f>
      </c>
      <c r="EP317" s="492">
        <f>EP312-EO312</f>
      </c>
      <c r="EQ317" s="347"/>
      <c r="ER317" s="447">
        <f>ER312-EP312</f>
      </c>
      <c r="ES317" s="447">
        <f>ES312-ER312</f>
      </c>
      <c r="ET317" s="447">
        <f>ET312-ES312</f>
      </c>
      <c r="EU317" s="492">
        <f>EU312-ET312</f>
      </c>
      <c r="EV317" s="347"/>
      <c r="EW317" s="447">
        <f>EW312-EU312</f>
      </c>
      <c r="EX317" s="447">
        <f>EX312-EW312</f>
      </c>
      <c r="EY317" s="447">
        <f>EY312-EX312</f>
      </c>
      <c r="EZ317" s="492">
        <f>EZ312-EY312</f>
      </c>
      <c r="FA317" s="347"/>
      <c r="FB317" s="447">
        <f>FB312-EZ312</f>
      </c>
      <c r="FC317" s="447">
        <f>FC312-FB312</f>
      </c>
      <c r="FD317" s="447">
        <f>FD312-FC312</f>
      </c>
      <c r="FE317" s="492">
        <f>FE312-FD312</f>
      </c>
      <c r="FF317" s="347"/>
      <c r="FG317" s="447">
        <f>FG312-FE312</f>
      </c>
      <c r="FH317" s="447">
        <f>FH312-FG312</f>
      </c>
      <c r="FI317" s="447">
        <f>FI312-FH312</f>
      </c>
      <c r="FJ317" s="492">
        <f>FJ312-FI312</f>
      </c>
      <c r="FK317" s="347"/>
      <c r="FL317" s="447">
        <f>FL312-FJ312</f>
      </c>
      <c r="FM317" s="447">
        <f>FM312-FL312</f>
      </c>
      <c r="FN317" s="447">
        <f>FN312-FM312</f>
      </c>
      <c r="FO317" s="492">
        <f>FO312-FN312</f>
      </c>
      <c r="FP317" s="347"/>
      <c r="FQ317" s="447">
        <f>FQ312-FO312</f>
      </c>
      <c r="FR317" s="447">
        <f>FR312-FQ312</f>
      </c>
      <c r="FS317" s="447">
        <f>FS312-FR312</f>
      </c>
      <c r="FT317" s="492">
        <f>FT312-FS312</f>
      </c>
      <c r="FU317" s="347"/>
      <c r="FV317" s="447">
        <f>FV312-FT312</f>
      </c>
      <c r="FW317" s="458">
        <f>FW312-FV312</f>
      </c>
      <c r="FX317" s="458">
        <f>FX312-FW312</f>
      </c>
      <c r="FY317" s="487">
        <f>FY312-FX312</f>
      </c>
      <c r="FZ317" s="459"/>
      <c r="GA317" s="447">
        <f>GA312-FY312</f>
      </c>
      <c r="GB317" s="458">
        <f>GB312-GA312</f>
      </c>
      <c r="GC317" s="458">
        <f>GC312-GB312</f>
      </c>
      <c r="GD317" s="487">
        <f>GD312-GC312</f>
      </c>
      <c r="GE317" s="459"/>
      <c r="GF317" s="447">
        <f>GF312-GD312</f>
      </c>
      <c r="GG317" s="458">
        <f>GG312-GF312</f>
      </c>
      <c r="GH317" s="458">
        <f>GH312-GG312</f>
      </c>
      <c r="GI317" s="487">
        <f>GI312-GH312</f>
      </c>
      <c r="GJ317" s="489"/>
    </row>
    <row r="318" spans="1:192" ht="12.75" customHeight="1">
      <c r="B318" s="735" t="s">
        <v>1884</v>
      </c>
      <c r="C318" s="291"/>
      <c r="D318" s="107"/>
      <c r="E318" s="107"/>
      <c r="F318" s="107"/>
      <c r="G318" s="292"/>
      <c r="H318" s="291"/>
      <c r="I318" s="107"/>
      <c r="J318" s="107"/>
      <c r="K318" s="107"/>
      <c r="L318" s="292"/>
      <c r="M318" s="291"/>
      <c r="N318" s="107"/>
      <c r="O318" s="107"/>
      <c r="P318" s="107"/>
      <c r="Q318" s="292"/>
      <c r="R318" s="291"/>
      <c r="S318" s="107"/>
      <c r="T318" s="107"/>
      <c r="U318" s="107"/>
      <c r="V318" s="292"/>
      <c r="W318" s="291"/>
      <c r="X318" s="107"/>
      <c r="Y318" s="107"/>
      <c r="Z318" s="107"/>
      <c r="AA318" s="292"/>
      <c r="AB318" s="291"/>
      <c r="AC318" s="107"/>
      <c r="AD318" s="107"/>
      <c r="AE318" s="107"/>
      <c r="AF318" s="292"/>
      <c r="AG318" s="291"/>
      <c r="AH318" s="107"/>
      <c r="AI318" s="107"/>
      <c r="AJ318" s="107"/>
      <c r="AK318" s="292"/>
      <c r="AL318" s="291"/>
      <c r="AM318" s="107"/>
      <c r="AN318" s="107"/>
      <c r="AO318" s="107"/>
      <c r="AP318" s="292"/>
      <c r="AQ318" s="291"/>
      <c r="AR318" s="107"/>
      <c r="AS318" s="107"/>
      <c r="AT318" s="107"/>
      <c r="AU318" s="292"/>
      <c r="AV318" s="291"/>
      <c r="AW318" s="107"/>
      <c r="AX318" s="107"/>
      <c r="AY318" s="107"/>
      <c r="AZ318" s="292"/>
      <c r="BA318" s="291"/>
      <c r="BB318" s="107"/>
      <c r="BC318" s="107"/>
      <c r="BD318" s="107"/>
      <c r="BE318" s="292"/>
      <c r="BF318" s="291"/>
      <c r="BG318" s="107"/>
      <c r="BH318" s="107"/>
      <c r="BI318" s="107"/>
      <c r="BJ318" s="292"/>
      <c r="BK318" s="291"/>
      <c r="BL318" s="107"/>
      <c r="BM318" s="107"/>
      <c r="BN318" s="107"/>
      <c r="BO318" s="292"/>
      <c r="BP318" s="291"/>
      <c r="BQ318" s="107"/>
      <c r="BR318" s="107"/>
      <c r="BS318" s="107"/>
      <c r="BT318" s="292"/>
      <c r="BU318" s="291"/>
      <c r="BV318" s="107"/>
      <c r="BW318" s="107"/>
      <c r="BX318" s="107"/>
      <c r="BY318" s="292"/>
      <c r="BZ318" s="291"/>
      <c r="CA318" s="107"/>
      <c r="CB318" s="107"/>
      <c r="CC318" s="107"/>
      <c r="CD318" s="292"/>
      <c r="CE318" s="291"/>
      <c r="CF318" s="107"/>
      <c r="CG318" s="107"/>
      <c r="CH318" s="107"/>
      <c r="CI318" s="292"/>
      <c r="CJ318" s="291"/>
      <c r="CK318" s="107"/>
      <c r="CL318" s="107"/>
      <c r="CM318" s="107"/>
      <c r="CN318" s="292"/>
      <c r="CO318" s="291"/>
      <c r="CP318" s="107"/>
      <c r="CQ318" s="107"/>
      <c r="CR318" s="107"/>
      <c r="CS318" s="292"/>
      <c r="CT318" s="291"/>
      <c r="CU318" s="291"/>
      <c r="CV318" s="291"/>
      <c r="CW318" s="291"/>
      <c r="CX318" s="292"/>
      <c r="CY318" s="291"/>
      <c r="CZ318" s="291"/>
      <c r="DA318" s="291"/>
      <c r="DB318" s="291"/>
      <c r="DC318" s="292"/>
      <c r="DD318" s="349"/>
      <c r="DE318" s="349"/>
      <c r="DF318" s="349"/>
      <c r="DG318" s="349"/>
      <c r="DH318" s="896"/>
      <c r="DI318" s="349"/>
      <c r="DJ318" s="349"/>
      <c r="DK318" s="349"/>
      <c r="DL318" s="349"/>
      <c r="DM318" s="896"/>
      <c r="DN318" s="349"/>
      <c r="DO318" s="349"/>
      <c r="DP318" s="349"/>
      <c r="DQ318" s="349"/>
      <c r="DR318" s="896"/>
      <c r="DS318" s="291"/>
      <c r="DT318" s="291"/>
      <c r="DU318" s="291"/>
      <c r="DV318" s="291"/>
      <c r="DW318" s="292"/>
      <c r="DX318" s="291"/>
      <c r="DY318" s="291"/>
      <c r="DZ318" s="291"/>
      <c r="EA318" s="291"/>
      <c r="EB318" s="292"/>
      <c r="EC318" s="291"/>
      <c r="ED318" s="291"/>
      <c r="EE318" s="291"/>
      <c r="EF318" s="291"/>
      <c r="EG318" s="292"/>
      <c r="EH318" s="291"/>
      <c r="EI318" s="291"/>
      <c r="EJ318" s="291"/>
      <c r="EK318" s="291"/>
      <c r="EL318" s="292"/>
      <c r="EM318" s="291"/>
      <c r="EN318" s="291"/>
      <c r="EO318" s="291"/>
      <c r="EP318" s="291"/>
      <c r="EQ318" s="292"/>
      <c r="ER318" s="291">
        <f t="shared" ref="ER318:GE318" si="457">ER312/ER$10</f>
      </c>
      <c r="ES318" s="291">
        <f t="shared" si="457"/>
      </c>
      <c r="ET318" s="291">
        <f t="shared" si="457"/>
      </c>
      <c r="EU318" s="291">
        <f t="shared" si="457"/>
      </c>
      <c r="EV318" s="292">
        <f t="shared" si="457"/>
      </c>
      <c r="EW318" s="291">
        <f t="shared" si="457"/>
      </c>
      <c r="EX318" s="291">
        <f t="shared" ref="EX318:FA318" si="458">EX312/EX$10</f>
      </c>
      <c r="EY318" s="291">
        <f t="shared" si="458"/>
      </c>
      <c r="EZ318" s="291">
        <f t="shared" si="458"/>
      </c>
      <c r="FA318" s="292">
        <f t="shared" si="458"/>
      </c>
      <c r="FB318" s="291">
        <f t="shared" si="457"/>
      </c>
      <c r="FC318" s="291">
        <f t="shared" si="457"/>
      </c>
      <c r="FD318" s="291">
        <f t="shared" si="457"/>
      </c>
      <c r="FE318" s="291">
        <f t="shared" si="457"/>
      </c>
      <c r="FF318" s="292">
        <f t="shared" si="457"/>
      </c>
      <c r="FG318" s="291">
        <f t="shared" si="457"/>
      </c>
      <c r="FH318" s="291">
        <f t="shared" si="457"/>
      </c>
      <c r="FI318" s="291">
        <f t="shared" si="457"/>
      </c>
      <c r="FJ318" s="291">
        <f t="shared" si="457"/>
      </c>
      <c r="FK318" s="292">
        <f t="shared" si="457"/>
      </c>
      <c r="FL318" s="291">
        <f t="shared" si="457"/>
      </c>
      <c r="FM318" s="291">
        <f t="shared" si="457"/>
      </c>
      <c r="FN318" s="291">
        <f t="shared" si="457"/>
      </c>
      <c r="FO318" s="291">
        <f t="shared" si="457"/>
      </c>
      <c r="FP318" s="292">
        <f t="shared" si="457"/>
      </c>
      <c r="FQ318" s="291">
        <f t="shared" si="457"/>
      </c>
      <c r="FR318" s="291">
        <f t="shared" si="457"/>
      </c>
      <c r="FS318" s="291">
        <f t="shared" si="457"/>
      </c>
      <c r="FT318" s="291">
        <f t="shared" si="457"/>
      </c>
      <c r="FU318" s="292">
        <f t="shared" si="457"/>
      </c>
      <c r="FV318" s="291">
        <f t="shared" si="457"/>
      </c>
      <c r="FW318" s="107">
        <f t="shared" si="457"/>
      </c>
      <c r="FX318" s="107">
        <f t="shared" si="457"/>
      </c>
      <c r="FY318" s="107">
        <f t="shared" si="457"/>
      </c>
      <c r="FZ318" s="292">
        <f t="shared" si="457"/>
      </c>
      <c r="GA318" s="291">
        <f t="shared" si="457"/>
      </c>
      <c r="GB318" s="107">
        <f t="shared" si="457"/>
      </c>
      <c r="GC318" s="107">
        <f t="shared" si="457"/>
      </c>
      <c r="GD318" s="107">
        <f t="shared" si="457"/>
      </c>
      <c r="GE318" s="292">
        <f t="shared" si="457"/>
      </c>
      <c r="GF318" s="291">
        <f t="shared" ref="GF318:GJ318" si="459">GF312/GF$10</f>
      </c>
      <c r="GG318" s="107">
        <f t="shared" si="459"/>
      </c>
      <c r="GH318" s="107">
        <f t="shared" si="459"/>
      </c>
      <c r="GI318" s="107">
        <f t="shared" si="459"/>
      </c>
      <c r="GJ318" s="384">
        <f t="shared" si="459"/>
      </c>
    </row>
    <row r="319" spans="1:192" s="335" customFormat="1" ht="12.75" customHeight="1">
      <c r="A319" s="790"/>
      <c r="B319" s="735"/>
      <c r="C319" s="106"/>
      <c r="D319" s="107"/>
      <c r="E319" s="107"/>
      <c r="F319" s="346"/>
      <c r="G319" s="347"/>
      <c r="H319" s="106"/>
      <c r="I319" s="107"/>
      <c r="J319" s="107"/>
      <c r="K319" s="346"/>
      <c r="L319" s="347"/>
      <c r="M319" s="106"/>
      <c r="N319" s="107"/>
      <c r="O319" s="107"/>
      <c r="P319" s="346"/>
      <c r="Q319" s="347"/>
      <c r="R319" s="106"/>
      <c r="S319" s="107"/>
      <c r="T319" s="107"/>
      <c r="U319" s="346"/>
      <c r="V319" s="347"/>
      <c r="W319" s="106"/>
      <c r="X319" s="107"/>
      <c r="Y319" s="107"/>
      <c r="Z319" s="346"/>
      <c r="AA319" s="347"/>
      <c r="AB319" s="106"/>
      <c r="AC319" s="107"/>
      <c r="AD319" s="107"/>
      <c r="AE319" s="346"/>
      <c r="AF319" s="347"/>
      <c r="AG319" s="106"/>
      <c r="AH319" s="107"/>
      <c r="AI319" s="107"/>
      <c r="AJ319" s="346"/>
      <c r="AK319" s="347"/>
      <c r="AL319" s="106"/>
      <c r="AM319" s="107"/>
      <c r="AN319" s="107"/>
      <c r="AO319" s="346"/>
      <c r="AP319" s="347"/>
      <c r="AQ319" s="106"/>
      <c r="AR319" s="107"/>
      <c r="AS319" s="107"/>
      <c r="AT319" s="346"/>
      <c r="AU319" s="347"/>
      <c r="AV319" s="106"/>
      <c r="AW319" s="107"/>
      <c r="AX319" s="107"/>
      <c r="AY319" s="346"/>
      <c r="AZ319" s="347"/>
      <c r="BA319" s="106"/>
      <c r="BB319" s="107"/>
      <c r="BC319" s="107"/>
      <c r="BD319" s="346"/>
      <c r="BE319" s="347"/>
      <c r="BF319" s="106"/>
      <c r="BG319" s="107"/>
      <c r="BH319" s="107"/>
      <c r="BI319" s="346"/>
      <c r="BJ319" s="347"/>
      <c r="BK319" s="106"/>
      <c r="BL319" s="107"/>
      <c r="BM319" s="107"/>
      <c r="BN319" s="346"/>
      <c r="BO319" s="347"/>
      <c r="BP319" s="106"/>
      <c r="BQ319" s="107"/>
      <c r="BR319" s="107"/>
      <c r="BS319" s="346"/>
      <c r="BT319" s="347"/>
      <c r="BU319" s="106"/>
      <c r="BV319" s="107"/>
      <c r="BW319" s="107"/>
      <c r="BX319" s="107"/>
      <c r="BY319" s="293"/>
      <c r="BZ319" s="106"/>
      <c r="CA319" s="107"/>
      <c r="CB319" s="107"/>
      <c r="CC319" s="346"/>
      <c r="CD319" s="347"/>
      <c r="CE319" s="106"/>
      <c r="CF319" s="107"/>
      <c r="CG319" s="107"/>
      <c r="CH319" s="346"/>
      <c r="CI319" s="347"/>
      <c r="CJ319" s="106"/>
      <c r="CK319" s="107"/>
      <c r="CL319" s="107"/>
      <c r="CM319" s="346"/>
      <c r="CN319" s="347"/>
      <c r="CO319" s="106"/>
      <c r="CP319" s="107"/>
      <c r="CQ319" s="107"/>
      <c r="CR319" s="346"/>
      <c r="CS319" s="347"/>
      <c r="CT319" s="106"/>
      <c r="CU319" s="107"/>
      <c r="CV319" s="107"/>
      <c r="CW319" s="346"/>
      <c r="CX319" s="347"/>
      <c r="CY319" s="106"/>
      <c r="CZ319" s="107"/>
      <c r="DA319" s="107"/>
      <c r="DB319" s="346"/>
      <c r="DC319" s="347"/>
      <c r="DD319" s="106"/>
      <c r="DE319" s="107"/>
      <c r="DF319" s="107"/>
      <c r="DG319" s="346"/>
      <c r="DH319" s="347"/>
      <c r="DI319" s="106"/>
      <c r="DJ319" s="107"/>
      <c r="DK319" s="107"/>
      <c r="DL319" s="346"/>
      <c r="DM319" s="347"/>
      <c r="DN319" s="106"/>
      <c r="DO319" s="107"/>
      <c r="DP319" s="107"/>
      <c r="DQ319" s="346"/>
      <c r="DR319" s="347"/>
      <c r="DS319" s="106"/>
      <c r="DT319" s="107"/>
      <c r="DU319" s="107"/>
      <c r="DV319" s="346"/>
      <c r="DW319" s="347"/>
      <c r="DX319" s="106"/>
      <c r="DY319" s="107"/>
      <c r="DZ319" s="107"/>
      <c r="EA319" s="346"/>
      <c r="EB319" s="347"/>
      <c r="EC319" s="106"/>
      <c r="ED319" s="107"/>
      <c r="EE319" s="107"/>
      <c r="EF319" s="346"/>
      <c r="EG319" s="347"/>
      <c r="EH319" s="106"/>
      <c r="EI319" s="107"/>
      <c r="EJ319" s="107"/>
      <c r="EK319" s="346"/>
      <c r="EL319" s="347"/>
      <c r="EM319" s="106"/>
      <c r="EN319" s="107"/>
      <c r="EO319" s="107"/>
      <c r="EP319" s="346"/>
      <c r="EQ319" s="347"/>
      <c r="ER319" s="106"/>
      <c r="ES319" s="107"/>
      <c r="ET319" s="107"/>
      <c r="EU319" s="346"/>
      <c r="EV319" s="347"/>
      <c r="EW319" s="106"/>
      <c r="EX319" s="107"/>
      <c r="EY319" s="107"/>
      <c r="EZ319" s="346"/>
      <c r="FA319" s="347"/>
      <c r="FB319" s="106"/>
      <c r="FC319" s="107"/>
      <c r="FD319" s="107"/>
      <c r="FE319" s="346"/>
      <c r="FF319" s="347"/>
      <c r="FG319" s="106"/>
      <c r="FH319" s="107"/>
      <c r="FI319" s="107"/>
      <c r="FJ319" s="346"/>
      <c r="FK319" s="347"/>
      <c r="FL319" s="106"/>
      <c r="FM319" s="107"/>
      <c r="FN319" s="107"/>
      <c r="FO319" s="346"/>
      <c r="FP319" s="347"/>
      <c r="FQ319" s="106"/>
      <c r="FR319" s="107"/>
      <c r="FS319" s="107"/>
      <c r="FT319" s="346"/>
      <c r="FU319" s="347"/>
      <c r="FV319" s="106"/>
      <c r="FW319" s="107"/>
      <c r="FX319" s="107"/>
      <c r="FY319" s="346"/>
      <c r="FZ319" s="293"/>
      <c r="GA319" s="106"/>
      <c r="GB319" s="107"/>
      <c r="GC319" s="107"/>
      <c r="GD319" s="346"/>
      <c r="GE319" s="293"/>
      <c r="GF319" s="106"/>
      <c r="GG319" s="107"/>
      <c r="GH319" s="107"/>
      <c r="GI319" s="346"/>
      <c r="GJ319" s="392"/>
    </row>
    <row r="320" spans="1:192" s="490" customFormat="1" ht="12.75" customHeight="1">
      <c r="A320" s="796"/>
      <c r="B320" s="745" t="s">
        <v>220</v>
      </c>
      <c r="C320" s="455"/>
      <c r="D320" s="458"/>
      <c r="E320" s="458"/>
      <c r="F320" s="487"/>
      <c r="G320" s="488"/>
      <c r="H320" s="455"/>
      <c r="I320" s="458"/>
      <c r="J320" s="458"/>
      <c r="K320" s="487"/>
      <c r="L320" s="488"/>
      <c r="M320" s="455"/>
      <c r="N320" s="458"/>
      <c r="O320" s="458"/>
      <c r="P320" s="487"/>
      <c r="Q320" s="488"/>
      <c r="R320" s="455"/>
      <c r="S320" s="458"/>
      <c r="T320" s="458"/>
      <c r="U320" s="487"/>
      <c r="V320" s="488"/>
      <c r="W320" s="455"/>
      <c r="X320" s="458"/>
      <c r="Y320" s="458"/>
      <c r="Z320" s="487"/>
      <c r="AA320" s="488"/>
      <c r="AB320" s="455"/>
      <c r="AC320" s="458"/>
      <c r="AD320" s="458"/>
      <c r="AE320" s="487"/>
      <c r="AF320" s="488"/>
      <c r="AG320" s="455"/>
      <c r="AH320" s="458"/>
      <c r="AI320" s="458"/>
      <c r="AJ320" s="487"/>
      <c r="AK320" s="488"/>
      <c r="AL320" s="455"/>
      <c r="AM320" s="458"/>
      <c r="AN320" s="458"/>
      <c r="AO320" s="487"/>
      <c r="AP320" s="488"/>
      <c r="AQ320" s="455"/>
      <c r="AR320" s="458"/>
      <c r="AS320" s="458"/>
      <c r="AT320" s="487"/>
      <c r="AU320" s="488"/>
      <c r="AV320" s="455"/>
      <c r="AW320" s="458"/>
      <c r="AX320" s="458"/>
      <c r="AY320" s="487"/>
      <c r="AZ320" s="488"/>
      <c r="BA320" s="455"/>
      <c r="BB320" s="458"/>
      <c r="BC320" s="458"/>
      <c r="BD320" s="487"/>
      <c r="BE320" s="488"/>
      <c r="BF320" s="455"/>
      <c r="BG320" s="458"/>
      <c r="BH320" s="458"/>
      <c r="BI320" s="487"/>
      <c r="BJ320" s="488"/>
      <c r="BK320" s="455"/>
      <c r="BL320" s="458"/>
      <c r="BM320" s="458"/>
      <c r="BN320" s="487"/>
      <c r="BO320" s="488"/>
      <c r="BP320" s="455"/>
      <c r="BQ320" s="458"/>
      <c r="BR320" s="458"/>
      <c r="BS320" s="487"/>
      <c r="BT320" s="488"/>
      <c r="BU320" s="455"/>
      <c r="BV320" s="458"/>
      <c r="BW320" s="458"/>
      <c r="BX320" s="458"/>
      <c r="BY320" s="459"/>
      <c r="BZ320" s="455"/>
      <c r="CA320" s="458"/>
      <c r="CB320" s="458"/>
      <c r="CC320" s="487"/>
      <c r="CD320" s="488"/>
      <c r="CE320" s="455"/>
      <c r="CF320" s="458"/>
      <c r="CG320" s="458"/>
      <c r="CH320" s="487"/>
      <c r="CI320" s="488"/>
      <c r="CJ320" s="455"/>
      <c r="CK320" s="458"/>
      <c r="CL320" s="458"/>
      <c r="CM320" s="487"/>
      <c r="CN320" s="488"/>
      <c r="CO320" s="455"/>
      <c r="CP320" s="458"/>
      <c r="CQ320" s="458"/>
      <c r="CR320" s="487"/>
      <c r="CS320" s="488"/>
      <c r="CT320" s="455"/>
      <c r="CU320" s="458"/>
      <c r="CV320" s="458"/>
      <c r="CW320" s="487"/>
      <c r="CX320" s="488"/>
      <c r="CY320" s="455"/>
      <c r="CZ320" s="458"/>
      <c r="DA320" s="458"/>
      <c r="DB320" s="487"/>
      <c r="DC320" s="488"/>
      <c r="DD320" s="455"/>
      <c r="DE320" s="458"/>
      <c r="DF320" s="458"/>
      <c r="DG320" s="487"/>
      <c r="DH320" s="488"/>
      <c r="DI320" s="455"/>
      <c r="DJ320" s="458"/>
      <c r="DK320" s="458">
        <v>500</v>
      </c>
      <c r="DL320" s="487"/>
      <c r="DM320" s="488"/>
      <c r="DN320" s="455"/>
      <c r="DO320" s="458"/>
      <c r="DP320" s="458"/>
      <c r="DQ320" s="487"/>
      <c r="DR320" s="488"/>
      <c r="DS320" s="455"/>
      <c r="DT320" s="458"/>
      <c r="DU320" s="458"/>
      <c r="DV320" s="487"/>
      <c r="DW320" s="488"/>
      <c r="DX320" s="455"/>
      <c r="DY320" s="458"/>
      <c r="DZ320" s="458"/>
      <c r="EA320" s="487"/>
      <c r="EB320" s="488"/>
      <c r="EC320" s="455"/>
      <c r="ED320" s="458"/>
      <c r="EE320" s="458"/>
      <c r="EF320" s="487"/>
      <c r="EG320" s="488"/>
      <c r="EH320" s="450">
        <v>800</v>
      </c>
      <c r="EI320" s="1148">
        <f>AVERAGE(EH320,EJ320)</f>
      </c>
      <c r="EJ320" s="450">
        <v>830</v>
      </c>
      <c r="EK320" s="451">
        <v>850</v>
      </c>
      <c r="EL320" s="488">
        <f>EK320</f>
      </c>
      <c r="EM320" s="450">
        <v>875</v>
      </c>
      <c r="EN320" s="450">
        <v>900</v>
      </c>
      <c r="EO320" s="450">
        <v>930</v>
      </c>
      <c r="EP320" s="451">
        <v>950</v>
      </c>
      <c r="EQ320" s="488">
        <f>EP320</f>
      </c>
      <c r="ER320" s="450">
        <v>985</v>
      </c>
      <c r="ES320" s="679">
        <f>ES312/ES323</f>
      </c>
      <c r="ET320" s="679">
        <f>ET312/ET323</f>
      </c>
      <c r="EU320" s="679">
        <f>EU312/EU323</f>
      </c>
      <c r="EV320" s="459">
        <f>EU320</f>
      </c>
      <c r="EW320" s="679">
        <f>EW312/EW323</f>
      </c>
      <c r="EX320" s="679">
        <f>EX312/EX323</f>
      </c>
      <c r="EY320" s="815">
        <f>EY312/EY323</f>
      </c>
      <c r="EZ320" s="815">
        <v>1200</v>
      </c>
      <c r="FA320" s="459">
        <f>EZ320</f>
      </c>
      <c r="FB320" s="455"/>
      <c r="FC320" s="458"/>
      <c r="FD320" s="458"/>
      <c r="FE320" s="487"/>
      <c r="FF320" s="488"/>
      <c r="FG320" s="455"/>
      <c r="FH320" s="458"/>
      <c r="FI320" s="458"/>
      <c r="FJ320" s="487"/>
      <c r="FK320" s="488"/>
      <c r="FL320" s="455"/>
      <c r="FM320" s="458"/>
      <c r="FN320" s="458"/>
      <c r="FO320" s="487"/>
      <c r="FP320" s="488"/>
      <c r="FQ320" s="455"/>
      <c r="FR320" s="458"/>
      <c r="FS320" s="458"/>
      <c r="FT320" s="487"/>
      <c r="FU320" s="488"/>
      <c r="FV320" s="455"/>
      <c r="FW320" s="458"/>
      <c r="FX320" s="458"/>
      <c r="FY320" s="487"/>
      <c r="FZ320" s="459"/>
      <c r="GA320" s="455"/>
      <c r="GB320" s="458"/>
      <c r="GC320" s="458"/>
      <c r="GD320" s="487"/>
      <c r="GE320" s="459"/>
      <c r="GF320" s="455"/>
      <c r="GG320" s="458"/>
      <c r="GH320" s="458"/>
      <c r="GI320" s="487"/>
      <c r="GJ320" s="489"/>
    </row>
    <row r="321" spans="1:192" s="335" customFormat="1" ht="12.75" customHeight="1">
      <c r="A321" s="790"/>
      <c r="B321" s="736" t="s">
        <v>34</v>
      </c>
      <c r="C321" s="106"/>
      <c r="D321" s="107"/>
      <c r="E321" s="107"/>
      <c r="F321" s="346"/>
      <c r="G321" s="347"/>
      <c r="H321" s="106"/>
      <c r="I321" s="107"/>
      <c r="J321" s="107"/>
      <c r="K321" s="346"/>
      <c r="L321" s="347"/>
      <c r="M321" s="106"/>
      <c r="N321" s="107"/>
      <c r="O321" s="107"/>
      <c r="P321" s="346"/>
      <c r="Q321" s="347"/>
      <c r="R321" s="106"/>
      <c r="S321" s="107"/>
      <c r="T321" s="107"/>
      <c r="U321" s="346"/>
      <c r="V321" s="347"/>
      <c r="W321" s="106"/>
      <c r="X321" s="107"/>
      <c r="Y321" s="107"/>
      <c r="Z321" s="346"/>
      <c r="AA321" s="347"/>
      <c r="AB321" s="106"/>
      <c r="AC321" s="107"/>
      <c r="AD321" s="107"/>
      <c r="AE321" s="346"/>
      <c r="AF321" s="347"/>
      <c r="AG321" s="106"/>
      <c r="AH321" s="107"/>
      <c r="AI321" s="107"/>
      <c r="AJ321" s="346"/>
      <c r="AK321" s="347"/>
      <c r="AL321" s="106"/>
      <c r="AM321" s="107"/>
      <c r="AN321" s="107"/>
      <c r="AO321" s="346"/>
      <c r="AP321" s="347"/>
      <c r="AQ321" s="106"/>
      <c r="AR321" s="107"/>
      <c r="AS321" s="107"/>
      <c r="AT321" s="346"/>
      <c r="AU321" s="347"/>
      <c r="AV321" s="106"/>
      <c r="AW321" s="107"/>
      <c r="AX321" s="107"/>
      <c r="AY321" s="346"/>
      <c r="AZ321" s="347"/>
      <c r="BA321" s="106"/>
      <c r="BB321" s="107"/>
      <c r="BC321" s="107"/>
      <c r="BD321" s="346"/>
      <c r="BE321" s="347"/>
      <c r="BF321" s="106"/>
      <c r="BG321" s="107"/>
      <c r="BH321" s="107"/>
      <c r="BI321" s="346"/>
      <c r="BJ321" s="347"/>
      <c r="BK321" s="106"/>
      <c r="BL321" s="107"/>
      <c r="BM321" s="107"/>
      <c r="BN321" s="346"/>
      <c r="BO321" s="347"/>
      <c r="BP321" s="106"/>
      <c r="BQ321" s="107"/>
      <c r="BR321" s="107"/>
      <c r="BS321" s="346"/>
      <c r="BT321" s="347"/>
      <c r="BU321" s="106"/>
      <c r="BV321" s="107"/>
      <c r="BW321" s="107"/>
      <c r="BX321" s="346"/>
      <c r="BY321" s="347"/>
      <c r="BZ321" s="106"/>
      <c r="CA321" s="107"/>
      <c r="CB321" s="107"/>
      <c r="CC321" s="346"/>
      <c r="CD321" s="347"/>
      <c r="CE321" s="106"/>
      <c r="CF321" s="107"/>
      <c r="CG321" s="107"/>
      <c r="CH321" s="346"/>
      <c r="CI321" s="347"/>
      <c r="CJ321" s="106"/>
      <c r="CK321" s="107"/>
      <c r="CL321" s="107"/>
      <c r="CM321" s="346"/>
      <c r="CN321" s="347"/>
      <c r="CO321" s="106"/>
      <c r="CP321" s="107"/>
      <c r="CQ321" s="107"/>
      <c r="CR321" s="346"/>
      <c r="CS321" s="347"/>
      <c r="CT321" s="106"/>
      <c r="CU321" s="107"/>
      <c r="CV321" s="107"/>
      <c r="CW321" s="346"/>
      <c r="CX321" s="347"/>
      <c r="CY321" s="106"/>
      <c r="CZ321" s="107"/>
      <c r="DA321" s="107"/>
      <c r="DB321" s="346"/>
      <c r="DC321" s="347"/>
      <c r="DD321" s="106"/>
      <c r="DE321" s="107"/>
      <c r="DF321" s="107"/>
      <c r="DG321" s="346"/>
      <c r="DH321" s="347"/>
      <c r="DI321" s="106"/>
      <c r="DJ321" s="107"/>
      <c r="DK321" s="107"/>
      <c r="DL321" s="346"/>
      <c r="DM321" s="347"/>
      <c r="DN321" s="106"/>
      <c r="DO321" s="107"/>
      <c r="DP321" s="107"/>
      <c r="DQ321" s="346"/>
      <c r="DR321" s="347"/>
      <c r="DS321" s="106"/>
      <c r="DT321" s="107"/>
      <c r="DU321" s="107"/>
      <c r="DV321" s="346"/>
      <c r="DW321" s="347"/>
      <c r="DX321" s="106"/>
      <c r="DY321" s="107"/>
      <c r="DZ321" s="107"/>
      <c r="EA321" s="346"/>
      <c r="EB321" s="347"/>
      <c r="EC321" s="106"/>
      <c r="ED321" s="107"/>
      <c r="EE321" s="107"/>
      <c r="EF321" s="346"/>
      <c r="EG321" s="347"/>
      <c r="EH321" s="106"/>
      <c r="EI321" s="107"/>
      <c r="EJ321" s="107"/>
      <c r="EK321" s="346"/>
      <c r="EL321" s="347"/>
      <c r="EM321" s="106">
        <f t="shared" ref="EM321:EQ321" si="460">EM320/EH320-1</f>
      </c>
      <c r="EN321" s="107">
        <f t="shared" si="460"/>
      </c>
      <c r="EO321" s="107">
        <f t="shared" si="460"/>
      </c>
      <c r="EP321" s="346">
        <f t="shared" si="460"/>
      </c>
      <c r="EQ321" s="347">
        <f t="shared" si="460"/>
      </c>
      <c r="ER321" s="106">
        <f t="shared" ref="ER321" si="461">ER320/EM320-1</f>
      </c>
      <c r="ES321" s="107">
        <f t="shared" ref="ES321" si="462">ES320/EN320-1</f>
      </c>
      <c r="ET321" s="107">
        <f t="shared" ref="ET321" si="463">ET320/EO320-1</f>
      </c>
      <c r="EU321" s="346">
        <f t="shared" ref="EU321" si="464">EU320/EP320-1</f>
      </c>
      <c r="EV321" s="347">
        <f t="shared" ref="EV321" si="465">EV320/EQ320-1</f>
      </c>
      <c r="EW321" s="107">
        <f t="shared" ref="EW321" si="466">EW320/ER320-1</f>
      </c>
      <c r="EX321" s="107">
        <f t="shared" ref="EX321" si="467">EX320/ES320-1</f>
      </c>
      <c r="EY321" s="107">
        <f t="shared" ref="EY321" si="468">EY320/ET320-1</f>
      </c>
      <c r="EZ321" s="346">
        <f t="shared" ref="EZ321" si="469">EZ320/EU320-1</f>
      </c>
      <c r="FA321" s="347">
        <f t="shared" ref="FA321" si="470">FA320/EV320-1</f>
      </c>
      <c r="FB321" s="106"/>
      <c r="FC321" s="107"/>
      <c r="FD321" s="107"/>
      <c r="FE321" s="346"/>
      <c r="FF321" s="347"/>
      <c r="FG321" s="106"/>
      <c r="FH321" s="107"/>
      <c r="FI321" s="107"/>
      <c r="FJ321" s="346"/>
      <c r="FK321" s="347"/>
      <c r="FL321" s="106"/>
      <c r="FM321" s="107"/>
      <c r="FN321" s="107"/>
      <c r="FO321" s="346"/>
      <c r="FP321" s="347"/>
      <c r="FQ321" s="106"/>
      <c r="FR321" s="107"/>
      <c r="FS321" s="107"/>
      <c r="FT321" s="346"/>
      <c r="FU321" s="347"/>
      <c r="FV321" s="106"/>
      <c r="FW321" s="107"/>
      <c r="FX321" s="107"/>
      <c r="FY321" s="346"/>
      <c r="FZ321" s="293"/>
      <c r="GA321" s="106"/>
      <c r="GB321" s="107"/>
      <c r="GC321" s="107"/>
      <c r="GD321" s="346"/>
      <c r="GE321" s="293"/>
      <c r="GF321" s="106"/>
      <c r="GG321" s="107"/>
      <c r="GH321" s="107"/>
      <c r="GI321" s="346"/>
      <c r="GJ321" s="392"/>
    </row>
    <row r="322" spans="1:192" s="335" customFormat="1" ht="12.75" customHeight="1">
      <c r="A322" s="790"/>
      <c r="B322" s="736" t="s">
        <v>36</v>
      </c>
      <c r="C322" s="106"/>
      <c r="D322" s="107"/>
      <c r="E322" s="107"/>
      <c r="F322" s="346"/>
      <c r="G322" s="347"/>
      <c r="H322" s="106"/>
      <c r="I322" s="107"/>
      <c r="J322" s="107"/>
      <c r="K322" s="346"/>
      <c r="L322" s="347"/>
      <c r="M322" s="106"/>
      <c r="N322" s="107"/>
      <c r="O322" s="107"/>
      <c r="P322" s="346"/>
      <c r="Q322" s="347"/>
      <c r="R322" s="106"/>
      <c r="S322" s="107"/>
      <c r="T322" s="107"/>
      <c r="U322" s="346"/>
      <c r="V322" s="347"/>
      <c r="W322" s="106"/>
      <c r="X322" s="107"/>
      <c r="Y322" s="107"/>
      <c r="Z322" s="346"/>
      <c r="AA322" s="347"/>
      <c r="AB322" s="106"/>
      <c r="AC322" s="107"/>
      <c r="AD322" s="107"/>
      <c r="AE322" s="346"/>
      <c r="AF322" s="347"/>
      <c r="AG322" s="106"/>
      <c r="AH322" s="107"/>
      <c r="AI322" s="107"/>
      <c r="AJ322" s="346"/>
      <c r="AK322" s="347"/>
      <c r="AL322" s="106"/>
      <c r="AM322" s="107"/>
      <c r="AN322" s="107"/>
      <c r="AO322" s="346"/>
      <c r="AP322" s="347"/>
      <c r="AQ322" s="106"/>
      <c r="AR322" s="107"/>
      <c r="AS322" s="107"/>
      <c r="AT322" s="346"/>
      <c r="AU322" s="347"/>
      <c r="AV322" s="106"/>
      <c r="AW322" s="107"/>
      <c r="AX322" s="107"/>
      <c r="AY322" s="346"/>
      <c r="AZ322" s="347"/>
      <c r="BA322" s="106"/>
      <c r="BB322" s="107"/>
      <c r="BC322" s="107"/>
      <c r="BD322" s="346"/>
      <c r="BE322" s="347"/>
      <c r="BF322" s="106"/>
      <c r="BG322" s="107"/>
      <c r="BH322" s="107"/>
      <c r="BI322" s="346"/>
      <c r="BJ322" s="347"/>
      <c r="BK322" s="106"/>
      <c r="BL322" s="107"/>
      <c r="BM322" s="107"/>
      <c r="BN322" s="346"/>
      <c r="BO322" s="347"/>
      <c r="BP322" s="106"/>
      <c r="BQ322" s="107"/>
      <c r="BR322" s="107"/>
      <c r="BS322" s="346"/>
      <c r="BT322" s="347"/>
      <c r="BU322" s="106"/>
      <c r="BV322" s="107"/>
      <c r="BW322" s="107"/>
      <c r="BX322" s="346"/>
      <c r="BY322" s="347"/>
      <c r="BZ322" s="106"/>
      <c r="CA322" s="107"/>
      <c r="CB322" s="107"/>
      <c r="CC322" s="346"/>
      <c r="CD322" s="347"/>
      <c r="CE322" s="106"/>
      <c r="CF322" s="107"/>
      <c r="CG322" s="107"/>
      <c r="CH322" s="346"/>
      <c r="CI322" s="347"/>
      <c r="CJ322" s="106"/>
      <c r="CK322" s="107"/>
      <c r="CL322" s="107"/>
      <c r="CM322" s="346"/>
      <c r="CN322" s="347"/>
      <c r="CO322" s="106"/>
      <c r="CP322" s="107"/>
      <c r="CQ322" s="107"/>
      <c r="CR322" s="346"/>
      <c r="CS322" s="347"/>
      <c r="CT322" s="106"/>
      <c r="CU322" s="107"/>
      <c r="CV322" s="107"/>
      <c r="CW322" s="346"/>
      <c r="CX322" s="347"/>
      <c r="CY322" s="106"/>
      <c r="CZ322" s="107"/>
      <c r="DA322" s="107"/>
      <c r="DB322" s="346"/>
      <c r="DC322" s="347"/>
      <c r="DD322" s="106"/>
      <c r="DE322" s="107"/>
      <c r="DF322" s="107"/>
      <c r="DG322" s="346"/>
      <c r="DH322" s="347"/>
      <c r="DI322" s="106"/>
      <c r="DJ322" s="107"/>
      <c r="DK322" s="107"/>
      <c r="DL322" s="346"/>
      <c r="DM322" s="347"/>
      <c r="DN322" s="106"/>
      <c r="DO322" s="107"/>
      <c r="DP322" s="107"/>
      <c r="DQ322" s="346"/>
      <c r="DR322" s="347"/>
      <c r="DS322" s="106"/>
      <c r="DT322" s="107"/>
      <c r="DU322" s="107"/>
      <c r="DV322" s="346"/>
      <c r="DW322" s="347"/>
      <c r="DX322" s="106"/>
      <c r="DY322" s="107"/>
      <c r="DZ322" s="107"/>
      <c r="EA322" s="346"/>
      <c r="EB322" s="347"/>
      <c r="EC322" s="106"/>
      <c r="ED322" s="107"/>
      <c r="EE322" s="107"/>
      <c r="EF322" s="346"/>
      <c r="EG322" s="347"/>
      <c r="EH322" s="291"/>
      <c r="EI322" s="107">
        <f>EI320/EH320-1</f>
      </c>
      <c r="EJ322" s="107">
        <f>EJ320/EI320-1</f>
      </c>
      <c r="EK322" s="346">
        <f>EK320/EJ320-1</f>
      </c>
      <c r="EL322" s="347"/>
      <c r="EM322" s="291">
        <f>EM320/EK320-1</f>
      </c>
      <c r="EN322" s="107">
        <f>EN320/EM320-1</f>
      </c>
      <c r="EO322" s="107">
        <f>EO320/EN320-1</f>
      </c>
      <c r="EP322" s="346">
        <f>EP320/EO320-1</f>
      </c>
      <c r="EQ322" s="347"/>
      <c r="ER322" s="291">
        <f>ER320/EP320-1</f>
      </c>
      <c r="ES322" s="107">
        <f>ES320/ER320-1</f>
      </c>
      <c r="ET322" s="107">
        <f>ET320/ES320-1</f>
      </c>
      <c r="EU322" s="346">
        <f>EU320/ET320-1</f>
      </c>
      <c r="EV322" s="347"/>
      <c r="EW322" s="291">
        <f>EW320/EU320-1</f>
      </c>
      <c r="EX322" s="107">
        <f>EX320/EW320-1</f>
      </c>
      <c r="EY322" s="107">
        <f>EY320/EX320-1</f>
      </c>
      <c r="EZ322" s="346">
        <f>EZ320/EY320-1</f>
      </c>
      <c r="FA322" s="347"/>
      <c r="FB322" s="106"/>
      <c r="FC322" s="107"/>
      <c r="FD322" s="107"/>
      <c r="FE322" s="346"/>
      <c r="FF322" s="347"/>
      <c r="FG322" s="106"/>
      <c r="FH322" s="107"/>
      <c r="FI322" s="107"/>
      <c r="FJ322" s="346"/>
      <c r="FK322" s="347"/>
      <c r="FL322" s="106"/>
      <c r="FM322" s="107"/>
      <c r="FN322" s="107"/>
      <c r="FO322" s="346"/>
      <c r="FP322" s="347"/>
      <c r="FQ322" s="106"/>
      <c r="FR322" s="107"/>
      <c r="FS322" s="107"/>
      <c r="FT322" s="346"/>
      <c r="FU322" s="347"/>
      <c r="FV322" s="106"/>
      <c r="FW322" s="107"/>
      <c r="FX322" s="107"/>
      <c r="FY322" s="346"/>
      <c r="FZ322" s="293"/>
      <c r="GA322" s="106"/>
      <c r="GB322" s="107"/>
      <c r="GC322" s="107"/>
      <c r="GD322" s="346"/>
      <c r="GE322" s="293"/>
      <c r="GF322" s="106"/>
      <c r="GG322" s="107"/>
      <c r="GH322" s="107"/>
      <c r="GI322" s="346"/>
      <c r="GJ322" s="392"/>
    </row>
    <row r="323" spans="1:192" s="335" customFormat="1" ht="12.75" customHeight="1">
      <c r="A323" s="790"/>
      <c r="B323" s="736" t="s">
        <v>239</v>
      </c>
      <c r="C323" s="106"/>
      <c r="D323" s="107"/>
      <c r="E323" s="107"/>
      <c r="F323" s="346"/>
      <c r="G323" s="347"/>
      <c r="H323" s="106"/>
      <c r="I323" s="107"/>
      <c r="J323" s="107"/>
      <c r="K323" s="346"/>
      <c r="L323" s="347"/>
      <c r="M323" s="106"/>
      <c r="N323" s="107"/>
      <c r="O323" s="107"/>
      <c r="P323" s="346"/>
      <c r="Q323" s="347"/>
      <c r="R323" s="106"/>
      <c r="S323" s="107"/>
      <c r="T323" s="107"/>
      <c r="U323" s="346"/>
      <c r="V323" s="347"/>
      <c r="W323" s="106"/>
      <c r="X323" s="107"/>
      <c r="Y323" s="107"/>
      <c r="Z323" s="346"/>
      <c r="AA323" s="347"/>
      <c r="AB323" s="106"/>
      <c r="AC323" s="107"/>
      <c r="AD323" s="107"/>
      <c r="AE323" s="346"/>
      <c r="AF323" s="347"/>
      <c r="AG323" s="106"/>
      <c r="AH323" s="107"/>
      <c r="AI323" s="107"/>
      <c r="AJ323" s="346"/>
      <c r="AK323" s="347"/>
      <c r="AL323" s="106"/>
      <c r="AM323" s="107"/>
      <c r="AN323" s="107"/>
      <c r="AO323" s="346"/>
      <c r="AP323" s="347"/>
      <c r="AQ323" s="106"/>
      <c r="AR323" s="107"/>
      <c r="AS323" s="107"/>
      <c r="AT323" s="346"/>
      <c r="AU323" s="347"/>
      <c r="AV323" s="106"/>
      <c r="AW323" s="107"/>
      <c r="AX323" s="107"/>
      <c r="AY323" s="346"/>
      <c r="AZ323" s="347"/>
      <c r="BA323" s="106"/>
      <c r="BB323" s="107"/>
      <c r="BC323" s="107"/>
      <c r="BD323" s="346"/>
      <c r="BE323" s="347"/>
      <c r="BF323" s="106"/>
      <c r="BG323" s="107"/>
      <c r="BH323" s="107"/>
      <c r="BI323" s="346"/>
      <c r="BJ323" s="347"/>
      <c r="BK323" s="106"/>
      <c r="BL323" s="107"/>
      <c r="BM323" s="107"/>
      <c r="BN323" s="346"/>
      <c r="BO323" s="347"/>
      <c r="BP323" s="106"/>
      <c r="BQ323" s="107"/>
      <c r="BR323" s="107"/>
      <c r="BS323" s="346"/>
      <c r="BT323" s="347"/>
      <c r="BU323" s="106"/>
      <c r="BV323" s="107"/>
      <c r="BW323" s="107"/>
      <c r="BX323" s="346"/>
      <c r="BY323" s="347"/>
      <c r="BZ323" s="106"/>
      <c r="CA323" s="107"/>
      <c r="CB323" s="107"/>
      <c r="CC323" s="346"/>
      <c r="CD323" s="347"/>
      <c r="CE323" s="106"/>
      <c r="CF323" s="107"/>
      <c r="CG323" s="107"/>
      <c r="CH323" s="346"/>
      <c r="CI323" s="347"/>
      <c r="CJ323" s="106"/>
      <c r="CK323" s="107"/>
      <c r="CL323" s="107"/>
      <c r="CM323" s="346"/>
      <c r="CN323" s="347"/>
      <c r="CO323" s="106"/>
      <c r="CP323" s="107"/>
      <c r="CQ323" s="107"/>
      <c r="CR323" s="346"/>
      <c r="CS323" s="347"/>
      <c r="CT323" s="106"/>
      <c r="CU323" s="107"/>
      <c r="CV323" s="107"/>
      <c r="CW323" s="346"/>
      <c r="CX323" s="347"/>
      <c r="CY323" s="106"/>
      <c r="CZ323" s="107"/>
      <c r="DA323" s="107"/>
      <c r="DB323" s="346"/>
      <c r="DC323" s="347"/>
      <c r="DD323" s="106"/>
      <c r="DE323" s="107"/>
      <c r="DF323" s="107"/>
      <c r="DG323" s="346"/>
      <c r="DH323" s="347"/>
      <c r="DI323" s="106"/>
      <c r="DJ323" s="107"/>
      <c r="DK323" s="107"/>
      <c r="DL323" s="346"/>
      <c r="DM323" s="347"/>
      <c r="DN323" s="106"/>
      <c r="DO323" s="107"/>
      <c r="DP323" s="107"/>
      <c r="DQ323" s="346"/>
      <c r="DR323" s="347"/>
      <c r="DS323" s="106"/>
      <c r="DT323" s="107"/>
      <c r="DU323" s="107"/>
      <c r="DV323" s="346"/>
      <c r="DW323" s="347"/>
      <c r="DX323" s="106"/>
      <c r="DY323" s="107"/>
      <c r="DZ323" s="107"/>
      <c r="EA323" s="346"/>
      <c r="EB323" s="347"/>
      <c r="EC323" s="106"/>
      <c r="ED323" s="107"/>
      <c r="EE323" s="107"/>
      <c r="EF323" s="346"/>
      <c r="EG323" s="347"/>
      <c r="EH323" s="305">
        <f>EH312/EH320</f>
      </c>
      <c r="EI323" s="305">
        <f>EI312/EI320</f>
      </c>
      <c r="EJ323" s="305">
        <f>EJ312/EJ320</f>
      </c>
      <c r="EK323" s="305">
        <f>EK312/EK320</f>
      </c>
      <c r="EL323" s="306">
        <f>SUM(EH323:EK323)</f>
      </c>
      <c r="EM323" s="305">
        <f>EM312/EM320</f>
      </c>
      <c r="EN323" s="305">
        <f>EN312/EN320</f>
      </c>
      <c r="EO323" s="305">
        <f>EO312/EO320</f>
      </c>
      <c r="EP323" s="305">
        <f>EP312/EP320</f>
      </c>
      <c r="EQ323" s="306">
        <f>SUM(EM323:EP323)</f>
      </c>
      <c r="ER323" s="305">
        <f>ER312/ER320</f>
      </c>
      <c r="ES323" s="1712">
        <f>ER323-0.02</f>
      </c>
      <c r="ET323" s="1712">
        <f>ES323-0.02</f>
      </c>
      <c r="EU323" s="1712">
        <f>ET323-0.02</f>
      </c>
      <c r="EV323" s="306">
        <f>SUM(ER323:EU323)</f>
      </c>
      <c r="EW323" s="1712">
        <f>EU323-0.02</f>
      </c>
      <c r="EX323" s="1712">
        <f>EW323-0.02</f>
      </c>
      <c r="EY323" s="1712">
        <f>EX323-0.02</f>
      </c>
      <c r="EZ323" s="305">
        <f>EZ312/EZ320</f>
      </c>
      <c r="FA323" s="306">
        <f>SUM(EW323:EZ323)</f>
      </c>
      <c r="FB323" s="106"/>
      <c r="FC323" s="107"/>
      <c r="FD323" s="107"/>
      <c r="FE323" s="346"/>
      <c r="FF323" s="347"/>
      <c r="FG323" s="106"/>
      <c r="FH323" s="107"/>
      <c r="FI323" s="107"/>
      <c r="FJ323" s="346"/>
      <c r="FK323" s="347"/>
      <c r="FL323" s="106"/>
      <c r="FM323" s="107"/>
      <c r="FN323" s="107"/>
      <c r="FO323" s="346"/>
      <c r="FP323" s="347"/>
      <c r="FQ323" s="106"/>
      <c r="FR323" s="107"/>
      <c r="FS323" s="107"/>
      <c r="FT323" s="346"/>
      <c r="FU323" s="347"/>
      <c r="FV323" s="106"/>
      <c r="FW323" s="107"/>
      <c r="FX323" s="107"/>
      <c r="FY323" s="346"/>
      <c r="FZ323" s="293"/>
      <c r="GA323" s="106"/>
      <c r="GB323" s="107"/>
      <c r="GC323" s="107"/>
      <c r="GD323" s="346"/>
      <c r="GE323" s="293"/>
      <c r="GF323" s="106"/>
      <c r="GG323" s="107"/>
      <c r="GH323" s="107"/>
      <c r="GI323" s="346"/>
      <c r="GJ323" s="392"/>
    </row>
    <row r="324" spans="1:192" s="335" customFormat="1" ht="12.75" customHeight="1">
      <c r="A324" s="790"/>
      <c r="B324" s="735"/>
      <c r="C324" s="106"/>
      <c r="D324" s="107"/>
      <c r="E324" s="107"/>
      <c r="F324" s="346"/>
      <c r="G324" s="347"/>
      <c r="H324" s="106"/>
      <c r="I324" s="107"/>
      <c r="J324" s="107"/>
      <c r="K324" s="346"/>
      <c r="L324" s="347"/>
      <c r="M324" s="106"/>
      <c r="N324" s="107"/>
      <c r="O324" s="107"/>
      <c r="P324" s="346"/>
      <c r="Q324" s="347"/>
      <c r="R324" s="106"/>
      <c r="S324" s="107"/>
      <c r="T324" s="107"/>
      <c r="U324" s="346"/>
      <c r="V324" s="347"/>
      <c r="W324" s="106"/>
      <c r="X324" s="107"/>
      <c r="Y324" s="107"/>
      <c r="Z324" s="346"/>
      <c r="AA324" s="347"/>
      <c r="AB324" s="106"/>
      <c r="AC324" s="107"/>
      <c r="AD324" s="107"/>
      <c r="AE324" s="346"/>
      <c r="AF324" s="347"/>
      <c r="AG324" s="106"/>
      <c r="AH324" s="107"/>
      <c r="AI324" s="107"/>
      <c r="AJ324" s="346"/>
      <c r="AK324" s="347"/>
      <c r="AL324" s="106"/>
      <c r="AM324" s="107"/>
      <c r="AN324" s="107"/>
      <c r="AO324" s="346"/>
      <c r="AP324" s="347"/>
      <c r="AQ324" s="106"/>
      <c r="AR324" s="107"/>
      <c r="AS324" s="107"/>
      <c r="AT324" s="346"/>
      <c r="AU324" s="347"/>
      <c r="AV324" s="106"/>
      <c r="AW324" s="107"/>
      <c r="AX324" s="107"/>
      <c r="AY324" s="346"/>
      <c r="AZ324" s="347"/>
      <c r="BA324" s="106"/>
      <c r="BB324" s="107"/>
      <c r="BC324" s="107"/>
      <c r="BD324" s="346"/>
      <c r="BE324" s="347"/>
      <c r="BF324" s="106"/>
      <c r="BG324" s="107"/>
      <c r="BH324" s="107"/>
      <c r="BI324" s="346"/>
      <c r="BJ324" s="347"/>
      <c r="BK324" s="106"/>
      <c r="BL324" s="107"/>
      <c r="BM324" s="107"/>
      <c r="BN324" s="346"/>
      <c r="BO324" s="347"/>
      <c r="BP324" s="106"/>
      <c r="BQ324" s="107"/>
      <c r="BR324" s="107"/>
      <c r="BS324" s="346"/>
      <c r="BT324" s="347"/>
      <c r="BU324" s="106"/>
      <c r="BV324" s="107"/>
      <c r="BW324" s="107"/>
      <c r="BX324" s="346"/>
      <c r="BY324" s="347"/>
      <c r="BZ324" s="106"/>
      <c r="CA324" s="107"/>
      <c r="CB324" s="107"/>
      <c r="CC324" s="346"/>
      <c r="CD324" s="347"/>
      <c r="CE324" s="106"/>
      <c r="CF324" s="107"/>
      <c r="CG324" s="107"/>
      <c r="CH324" s="346"/>
      <c r="CI324" s="347"/>
      <c r="CJ324" s="106"/>
      <c r="CK324" s="107"/>
      <c r="CL324" s="107"/>
      <c r="CM324" s="346"/>
      <c r="CN324" s="347"/>
      <c r="CO324" s="106"/>
      <c r="CP324" s="107"/>
      <c r="CQ324" s="107"/>
      <c r="CR324" s="346"/>
      <c r="CS324" s="347"/>
      <c r="CT324" s="106"/>
      <c r="CU324" s="107"/>
      <c r="CV324" s="107"/>
      <c r="CW324" s="346"/>
      <c r="CX324" s="347"/>
      <c r="CY324" s="106"/>
      <c r="CZ324" s="107"/>
      <c r="DA324" s="107"/>
      <c r="DB324" s="346"/>
      <c r="DC324" s="347"/>
      <c r="DD324" s="106"/>
      <c r="DE324" s="107"/>
      <c r="DF324" s="107"/>
      <c r="DG324" s="346"/>
      <c r="DH324" s="347"/>
      <c r="DI324" s="106"/>
      <c r="DJ324" s="107"/>
      <c r="DK324" s="107"/>
      <c r="DL324" s="346"/>
      <c r="DM324" s="347"/>
      <c r="DN324" s="106"/>
      <c r="DO324" s="107"/>
      <c r="DP324" s="107"/>
      <c r="DQ324" s="346"/>
      <c r="DR324" s="347"/>
      <c r="DS324" s="106"/>
      <c r="DT324" s="107"/>
      <c r="DU324" s="107"/>
      <c r="DV324" s="346"/>
      <c r="DW324" s="347"/>
      <c r="DX324" s="106"/>
      <c r="DY324" s="107"/>
      <c r="DZ324" s="107"/>
      <c r="EA324" s="346"/>
      <c r="EB324" s="347"/>
      <c r="EC324" s="106"/>
      <c r="ED324" s="107"/>
      <c r="EE324" s="107"/>
      <c r="EF324" s="346"/>
      <c r="EG324" s="347"/>
      <c r="EH324" s="106"/>
      <c r="EI324" s="107"/>
      <c r="EJ324" s="107"/>
      <c r="EK324" s="346"/>
      <c r="EL324" s="347"/>
      <c r="EM324" s="106"/>
      <c r="EN324" s="107"/>
      <c r="EO324" s="107"/>
      <c r="EP324" s="346"/>
      <c r="EQ324" s="347"/>
      <c r="ER324" s="106"/>
      <c r="ES324" s="107"/>
      <c r="ET324" s="107"/>
      <c r="EU324" s="346"/>
      <c r="EV324" s="347"/>
      <c r="EW324" s="106"/>
      <c r="EX324" s="107"/>
      <c r="EY324" s="1728"/>
      <c r="EZ324" s="1727"/>
      <c r="FA324" s="347"/>
      <c r="FB324" s="106"/>
      <c r="FC324" s="107"/>
      <c r="FD324" s="107"/>
      <c r="FE324" s="346"/>
      <c r="FF324" s="347"/>
      <c r="FG324" s="106"/>
      <c r="FH324" s="107"/>
      <c r="FI324" s="107"/>
      <c r="FJ324" s="346"/>
      <c r="FK324" s="347"/>
      <c r="FL324" s="106"/>
      <c r="FM324" s="107"/>
      <c r="FN324" s="107"/>
      <c r="FO324" s="346"/>
      <c r="FP324" s="347"/>
      <c r="FQ324" s="106"/>
      <c r="FR324" s="107"/>
      <c r="FS324" s="107"/>
      <c r="FT324" s="346"/>
      <c r="FU324" s="347"/>
      <c r="FV324" s="106"/>
      <c r="FW324" s="107"/>
      <c r="FX324" s="107"/>
      <c r="FY324" s="346"/>
      <c r="FZ324" s="293"/>
      <c r="GA324" s="106"/>
      <c r="GB324" s="107"/>
      <c r="GC324" s="107"/>
      <c r="GD324" s="346"/>
      <c r="GE324" s="293"/>
      <c r="GF324" s="106"/>
      <c r="GG324" s="107"/>
      <c r="GH324" s="107"/>
      <c r="GI324" s="346"/>
      <c r="GJ324" s="392"/>
    </row>
    <row r="325" spans="1:192" s="490" customFormat="1" ht="12.75" customHeight="1">
      <c r="A325" s="796"/>
      <c r="B325" s="745" t="s">
        <v>238</v>
      </c>
      <c r="C325" s="455"/>
      <c r="D325" s="458"/>
      <c r="E325" s="458"/>
      <c r="F325" s="487"/>
      <c r="G325" s="488"/>
      <c r="H325" s="455"/>
      <c r="I325" s="458"/>
      <c r="J325" s="458"/>
      <c r="K325" s="487"/>
      <c r="L325" s="488"/>
      <c r="M325" s="455"/>
      <c r="N325" s="458"/>
      <c r="O325" s="458"/>
      <c r="P325" s="487"/>
      <c r="Q325" s="488"/>
      <c r="R325" s="455"/>
      <c r="S325" s="458"/>
      <c r="T325" s="458"/>
      <c r="U325" s="487"/>
      <c r="V325" s="488"/>
      <c r="W325" s="455"/>
      <c r="X325" s="458"/>
      <c r="Y325" s="458"/>
      <c r="Z325" s="487"/>
      <c r="AA325" s="488"/>
      <c r="AB325" s="455"/>
      <c r="AC325" s="458"/>
      <c r="AD325" s="458"/>
      <c r="AE325" s="487"/>
      <c r="AF325" s="488"/>
      <c r="AG325" s="455"/>
      <c r="AH325" s="458"/>
      <c r="AI325" s="458"/>
      <c r="AJ325" s="487"/>
      <c r="AK325" s="488"/>
      <c r="AL325" s="455"/>
      <c r="AM325" s="458"/>
      <c r="AN325" s="458"/>
      <c r="AO325" s="487"/>
      <c r="AP325" s="488"/>
      <c r="AQ325" s="455"/>
      <c r="AR325" s="458"/>
      <c r="AS325" s="458"/>
      <c r="AT325" s="487"/>
      <c r="AU325" s="488"/>
      <c r="AV325" s="455"/>
      <c r="AW325" s="458"/>
      <c r="AX325" s="458"/>
      <c r="AY325" s="487"/>
      <c r="AZ325" s="488"/>
      <c r="BA325" s="455"/>
      <c r="BB325" s="458"/>
      <c r="BC325" s="458"/>
      <c r="BD325" s="487"/>
      <c r="BE325" s="488"/>
      <c r="BF325" s="455"/>
      <c r="BG325" s="458"/>
      <c r="BH325" s="458"/>
      <c r="BI325" s="487"/>
      <c r="BJ325" s="488"/>
      <c r="BK325" s="455"/>
      <c r="BL325" s="458"/>
      <c r="BM325" s="458"/>
      <c r="BN325" s="487"/>
      <c r="BO325" s="488"/>
      <c r="BP325" s="455"/>
      <c r="BQ325" s="458"/>
      <c r="BR325" s="458"/>
      <c r="BS325" s="487"/>
      <c r="BT325" s="488"/>
      <c r="BU325" s="455"/>
      <c r="BV325" s="458"/>
      <c r="BW325" s="458"/>
      <c r="BX325" s="487"/>
      <c r="BY325" s="488"/>
      <c r="BZ325" s="455"/>
      <c r="CA325" s="458"/>
      <c r="CB325" s="458"/>
      <c r="CC325" s="487"/>
      <c r="CD325" s="488"/>
      <c r="CE325" s="455"/>
      <c r="CF325" s="458"/>
      <c r="CG325" s="458"/>
      <c r="CH325" s="487"/>
      <c r="CI325" s="488"/>
      <c r="CJ325" s="455"/>
      <c r="CK325" s="458"/>
      <c r="CL325" s="458"/>
      <c r="CM325" s="487"/>
      <c r="CN325" s="488"/>
      <c r="CO325" s="455"/>
      <c r="CP325" s="458"/>
      <c r="CQ325" s="458"/>
      <c r="CR325" s="487"/>
      <c r="CS325" s="488"/>
      <c r="CT325" s="455"/>
      <c r="CU325" s="458"/>
      <c r="CV325" s="458"/>
      <c r="CW325" s="487"/>
      <c r="CX325" s="488"/>
      <c r="CY325" s="455"/>
      <c r="CZ325" s="458"/>
      <c r="DA325" s="458"/>
      <c r="DB325" s="487"/>
      <c r="DC325" s="488"/>
      <c r="DD325" s="455"/>
      <c r="DE325" s="458"/>
      <c r="DF325" s="458"/>
      <c r="DG325" s="487"/>
      <c r="DH325" s="488"/>
      <c r="DI325" s="455"/>
      <c r="DJ325" s="458"/>
      <c r="DK325" s="458"/>
      <c r="DL325" s="487"/>
      <c r="DM325" s="488"/>
      <c r="DN325" s="450">
        <f>21000/4</f>
      </c>
      <c r="DO325" s="1381">
        <f>AVERAGE(DN325,DP325)</f>
      </c>
      <c r="DP325" s="1381">
        <f>AVERAGE(DN325,DS325)</f>
      </c>
      <c r="DQ325" s="1382">
        <f>AVERAGE(DP325,DS325)</f>
      </c>
      <c r="DR325" s="488">
        <f>DQ325</f>
      </c>
      <c r="DS325" s="455">
        <f>DN325*(1+DS326)</f>
      </c>
      <c r="DT325" s="455">
        <f>DO325*(1+DT326)</f>
      </c>
      <c r="DU325" s="455">
        <f>DP325*(1+DU326)</f>
      </c>
      <c r="DV325" s="899">
        <f>DQ325*(1+DV326)</f>
      </c>
      <c r="DW325" s="488">
        <f>DV325</f>
      </c>
      <c r="DX325" s="455">
        <f>DS325*(1+DX326)</f>
      </c>
      <c r="DY325" s="455">
        <f>DT325*(1+DY326)</f>
      </c>
      <c r="DZ325" s="455">
        <f>DU325*(1+DZ326)</f>
      </c>
      <c r="EA325" s="899">
        <f>DV325*(1+EA326)</f>
      </c>
      <c r="EB325" s="488">
        <f>EA325</f>
      </c>
      <c r="EC325" s="455">
        <f>DX325*(1+EC326)</f>
      </c>
      <c r="ED325" s="455">
        <f>DY325*(1+ED326)</f>
      </c>
      <c r="EE325" s="455">
        <f>DZ325*(1+EE326)</f>
      </c>
      <c r="EF325" s="899">
        <f>EA325*(1+EF326)</f>
      </c>
      <c r="EG325" s="488">
        <f>EF325</f>
      </c>
      <c r="EH325" s="455">
        <f>EC325*(1+EH326)</f>
      </c>
      <c r="EI325" s="455">
        <f>ED325*(1+EI326)</f>
      </c>
      <c r="EJ325" s="455">
        <f>EE325*(1+EJ326)</f>
      </c>
      <c r="EK325" s="899">
        <f>EF325*(1+EK326)</f>
      </c>
      <c r="EL325" s="488">
        <f>EK325</f>
      </c>
      <c r="EM325" s="455">
        <f>EH325*(1+EM326)</f>
      </c>
      <c r="EN325" s="455">
        <f>EI325*(1+EN326)</f>
      </c>
      <c r="EO325" s="455">
        <f>EJ325*(1+EO326)</f>
      </c>
      <c r="EP325" s="899">
        <f>EK325*(1+EP326)</f>
      </c>
      <c r="EQ325" s="488">
        <f>EP325</f>
      </c>
      <c r="ER325" s="455">
        <f>EM325*(1+ER326)</f>
      </c>
      <c r="ES325" s="455">
        <f>EN325*(1+ES326)</f>
      </c>
      <c r="ET325" s="455">
        <f>EO325*(1+ET326)</f>
      </c>
      <c r="EU325" s="899">
        <f>EP325*(1+EU326)</f>
      </c>
      <c r="EV325" s="488">
        <f>EU325</f>
      </c>
      <c r="EW325" s="455">
        <f>ER325*(1+EW326)</f>
      </c>
      <c r="EX325" s="455">
        <f>ES325*(1+EX326)</f>
      </c>
      <c r="EY325" s="455">
        <f>ET325*(1+EY326)</f>
      </c>
      <c r="EZ325" s="899">
        <f>EU325*(1+EZ326)</f>
      </c>
      <c r="FA325" s="488">
        <f>EZ325</f>
      </c>
      <c r="FB325" s="455"/>
      <c r="FC325" s="458"/>
      <c r="FD325" s="458"/>
      <c r="FE325" s="487"/>
      <c r="FF325" s="488"/>
      <c r="FG325" s="455"/>
      <c r="FH325" s="458"/>
      <c r="FI325" s="458"/>
      <c r="FJ325" s="487"/>
      <c r="FK325" s="488"/>
      <c r="FL325" s="455"/>
      <c r="FM325" s="458"/>
      <c r="FN325" s="458"/>
      <c r="FO325" s="487"/>
      <c r="FP325" s="488"/>
      <c r="FQ325" s="455"/>
      <c r="FR325" s="458"/>
      <c r="FS325" s="458"/>
      <c r="FT325" s="487"/>
      <c r="FU325" s="488"/>
      <c r="FV325" s="455"/>
      <c r="FW325" s="458"/>
      <c r="FX325" s="458"/>
      <c r="FY325" s="487"/>
      <c r="FZ325" s="459"/>
      <c r="GA325" s="455"/>
      <c r="GB325" s="458"/>
      <c r="GC325" s="458"/>
      <c r="GD325" s="487"/>
      <c r="GE325" s="459"/>
      <c r="GF325" s="455"/>
      <c r="GG325" s="458"/>
      <c r="GH325" s="458"/>
      <c r="GI325" s="487"/>
      <c r="GJ325" s="489"/>
    </row>
    <row r="326" spans="1:192" ht="12.75" customHeight="1">
      <c r="B326" s="736" t="s">
        <v>34</v>
      </c>
      <c r="C326" s="412"/>
      <c r="D326" s="114"/>
      <c r="E326" s="114"/>
      <c r="F326" s="114"/>
      <c r="G326" s="413"/>
      <c r="H326" s="412"/>
      <c r="I326" s="114"/>
      <c r="J326" s="114"/>
      <c r="K326" s="423"/>
      <c r="L326" s="424"/>
      <c r="M326" s="412"/>
      <c r="N326" s="114"/>
      <c r="O326" s="114"/>
      <c r="P326" s="423"/>
      <c r="Q326" s="424"/>
      <c r="R326" s="412"/>
      <c r="S326" s="114"/>
      <c r="T326" s="114"/>
      <c r="U326" s="423"/>
      <c r="V326" s="424"/>
      <c r="W326" s="412"/>
      <c r="X326" s="114"/>
      <c r="Y326" s="114"/>
      <c r="Z326" s="423"/>
      <c r="AA326" s="424"/>
      <c r="AB326" s="412"/>
      <c r="AC326" s="114"/>
      <c r="AD326" s="114"/>
      <c r="AE326" s="423"/>
      <c r="AF326" s="424"/>
      <c r="AG326" s="412"/>
      <c r="AH326" s="114"/>
      <c r="AI326" s="114"/>
      <c r="AJ326" s="423"/>
      <c r="AK326" s="424"/>
      <c r="AL326" s="412"/>
      <c r="AM326" s="114"/>
      <c r="AN326" s="114"/>
      <c r="AO326" s="423"/>
      <c r="AP326" s="424"/>
      <c r="AQ326" s="412"/>
      <c r="AR326" s="114"/>
      <c r="AS326" s="114"/>
      <c r="AT326" s="423"/>
      <c r="AU326" s="424"/>
      <c r="AV326" s="412"/>
      <c r="AW326" s="114"/>
      <c r="AX326" s="114"/>
      <c r="AY326" s="423"/>
      <c r="AZ326" s="424"/>
      <c r="BA326" s="412"/>
      <c r="BB326" s="114"/>
      <c r="BC326" s="114"/>
      <c r="BD326" s="423"/>
      <c r="BE326" s="424"/>
      <c r="BF326" s="412"/>
      <c r="BG326" s="114"/>
      <c r="BH326" s="114"/>
      <c r="BI326" s="423"/>
      <c r="BJ326" s="424"/>
      <c r="BK326" s="412"/>
      <c r="BL326" s="114"/>
      <c r="BM326" s="114"/>
      <c r="BN326" s="114"/>
      <c r="BO326" s="413"/>
      <c r="BP326" s="412"/>
      <c r="BQ326" s="114"/>
      <c r="BR326" s="114"/>
      <c r="BS326" s="423"/>
      <c r="BT326" s="424"/>
      <c r="BU326" s="412"/>
      <c r="BV326" s="114"/>
      <c r="BW326" s="114"/>
      <c r="BX326" s="114"/>
      <c r="BY326" s="413"/>
      <c r="BZ326" s="412"/>
      <c r="CA326" s="114"/>
      <c r="CB326" s="114"/>
      <c r="CC326" s="423"/>
      <c r="CD326" s="407"/>
      <c r="CE326" s="412"/>
      <c r="CF326" s="114"/>
      <c r="CG326" s="114"/>
      <c r="CH326" s="114"/>
      <c r="CI326" s="292"/>
      <c r="CJ326" s="412"/>
      <c r="CK326" s="114"/>
      <c r="CL326" s="114"/>
      <c r="CM326" s="423"/>
      <c r="CN326" s="407"/>
      <c r="CO326" s="412"/>
      <c r="CP326" s="114"/>
      <c r="CQ326" s="114"/>
      <c r="CR326" s="423"/>
      <c r="CS326" s="407"/>
      <c r="CT326" s="412"/>
      <c r="CU326" s="114"/>
      <c r="CV326" s="114"/>
      <c r="CW326" s="423"/>
      <c r="CX326" s="407"/>
      <c r="CY326" s="412"/>
      <c r="CZ326" s="114"/>
      <c r="DA326" s="114"/>
      <c r="DB326" s="114"/>
      <c r="DC326" s="292"/>
      <c r="DD326" s="412"/>
      <c r="DE326" s="114"/>
      <c r="DF326" s="114"/>
      <c r="DG326" s="423"/>
      <c r="DH326" s="407"/>
      <c r="DI326" s="412"/>
      <c r="DJ326" s="114"/>
      <c r="DK326" s="114"/>
      <c r="DL326" s="423">
        <v>0.2</v>
      </c>
      <c r="DM326" s="407"/>
      <c r="DN326" s="412">
        <v>0.2</v>
      </c>
      <c r="DO326" s="114">
        <v>0.2</v>
      </c>
      <c r="DP326" s="114">
        <v>0.3</v>
      </c>
      <c r="DQ326" s="423">
        <v>0.41</v>
      </c>
      <c r="DR326" s="407" t="str">
        <f>IFERROR(DR325/DM325-1,"")</f>
      </c>
      <c r="DS326" s="412">
        <v>0.34</v>
      </c>
      <c r="DT326" s="114">
        <v>0.3</v>
      </c>
      <c r="DU326" s="114">
        <v>0.24</v>
      </c>
      <c r="DV326" s="423">
        <v>0.22</v>
      </c>
      <c r="DW326" s="407">
        <f>IFERROR(DW325/DR325-1,"")</f>
      </c>
      <c r="DX326" s="412">
        <v>0.22</v>
      </c>
      <c r="DY326" s="114">
        <v>0.25</v>
      </c>
      <c r="DZ326" s="114">
        <v>0.26</v>
      </c>
      <c r="EA326" s="423">
        <v>0.27</v>
      </c>
      <c r="EB326" s="407"/>
      <c r="EC326" s="412">
        <v>0.31</v>
      </c>
      <c r="ED326" s="114">
        <v>0.3</v>
      </c>
      <c r="EE326" s="114">
        <v>0.28999999999999998</v>
      </c>
      <c r="EF326" s="423">
        <v>0.3</v>
      </c>
      <c r="EG326" s="407"/>
      <c r="EH326" s="412">
        <v>0.19</v>
      </c>
      <c r="EI326" s="114">
        <v>0.22</v>
      </c>
      <c r="EJ326" s="114">
        <v>0.22</v>
      </c>
      <c r="EK326" s="114">
        <v>0.22</v>
      </c>
      <c r="EL326" s="292"/>
      <c r="EM326" s="441">
        <v>0.24</v>
      </c>
      <c r="EN326" s="439">
        <v>0.18</v>
      </c>
      <c r="EO326" s="439">
        <v>0.15</v>
      </c>
      <c r="EP326" s="423">
        <v>0.12</v>
      </c>
      <c r="EQ326" s="407"/>
      <c r="ER326" s="412">
        <v>0.12</v>
      </c>
      <c r="ES326" s="114">
        <v>0.12</v>
      </c>
      <c r="ET326" s="439">
        <v>0.11</v>
      </c>
      <c r="EU326" s="1355">
        <v>0.13</v>
      </c>
      <c r="EV326" s="407"/>
      <c r="EW326" s="441">
        <v>0.11</v>
      </c>
      <c r="EX326" s="439">
        <v>0.09</v>
      </c>
      <c r="EY326" s="439">
        <v>0.09</v>
      </c>
      <c r="EZ326" s="1355">
        <v>7.0000000000000007E-2</v>
      </c>
      <c r="FA326" s="407"/>
      <c r="FB326" s="291"/>
      <c r="FC326" s="107"/>
      <c r="FD326" s="107"/>
      <c r="FE326" s="346"/>
      <c r="FF326" s="407"/>
      <c r="FG326" s="291"/>
      <c r="FH326" s="107"/>
      <c r="FI326" s="107"/>
      <c r="FJ326" s="346"/>
      <c r="FK326" s="407"/>
      <c r="FL326" s="291"/>
      <c r="FM326" s="107"/>
      <c r="FN326" s="107"/>
      <c r="FO326" s="346"/>
      <c r="FP326" s="407"/>
      <c r="FQ326" s="291"/>
      <c r="FR326" s="107"/>
      <c r="FS326" s="107"/>
      <c r="FT326" s="346"/>
      <c r="FU326" s="407"/>
      <c r="FV326" s="291"/>
      <c r="FW326" s="107"/>
      <c r="FX326" s="107"/>
      <c r="FY326" s="346"/>
      <c r="FZ326" s="292"/>
      <c r="GA326" s="291"/>
      <c r="GB326" s="107"/>
      <c r="GC326" s="107"/>
      <c r="GD326" s="346"/>
      <c r="GE326" s="292"/>
      <c r="GF326" s="291"/>
      <c r="GG326" s="107"/>
      <c r="GH326" s="107"/>
      <c r="GI326" s="346"/>
      <c r="GJ326" s="384"/>
    </row>
    <row r="327" spans="1:192" s="844" customFormat="1" ht="12.75" customHeight="1">
      <c r="A327" s="836"/>
      <c r="B327" s="1531"/>
      <c r="C327" s="837"/>
      <c r="D327" s="838"/>
      <c r="E327" s="838"/>
      <c r="F327" s="838"/>
      <c r="G327" s="839"/>
      <c r="H327" s="837"/>
      <c r="I327" s="838"/>
      <c r="J327" s="838"/>
      <c r="K327" s="838"/>
      <c r="L327" s="839"/>
      <c r="M327" s="837"/>
      <c r="N327" s="838"/>
      <c r="O327" s="838"/>
      <c r="P327" s="838"/>
      <c r="Q327" s="839"/>
      <c r="R327" s="837"/>
      <c r="S327" s="838"/>
      <c r="T327" s="838"/>
      <c r="U327" s="838"/>
      <c r="V327" s="839"/>
      <c r="W327" s="837"/>
      <c r="X327" s="838"/>
      <c r="Y327" s="838"/>
      <c r="Z327" s="838"/>
      <c r="AA327" s="839"/>
      <c r="AB327" s="837"/>
      <c r="AC327" s="838"/>
      <c r="AD327" s="838"/>
      <c r="AE327" s="838"/>
      <c r="AF327" s="839"/>
      <c r="AG327" s="837"/>
      <c r="AH327" s="838"/>
      <c r="AI327" s="838"/>
      <c r="AJ327" s="838"/>
      <c r="AK327" s="839"/>
      <c r="AL327" s="837"/>
      <c r="AM327" s="838"/>
      <c r="AN327" s="838"/>
      <c r="AO327" s="838"/>
      <c r="AP327" s="839"/>
      <c r="AQ327" s="837"/>
      <c r="AR327" s="838"/>
      <c r="AS327" s="838"/>
      <c r="AT327" s="838"/>
      <c r="AU327" s="839"/>
      <c r="AV327" s="837"/>
      <c r="AW327" s="838"/>
      <c r="AX327" s="838"/>
      <c r="AY327" s="838"/>
      <c r="AZ327" s="839"/>
      <c r="BA327" s="837"/>
      <c r="BB327" s="838"/>
      <c r="BC327" s="838"/>
      <c r="BD327" s="838"/>
      <c r="BE327" s="839"/>
      <c r="BF327" s="837"/>
      <c r="BG327" s="838"/>
      <c r="BH327" s="838"/>
      <c r="BI327" s="838"/>
      <c r="BJ327" s="839"/>
      <c r="BK327" s="837"/>
      <c r="BL327" s="838"/>
      <c r="BM327" s="838"/>
      <c r="BN327" s="838"/>
      <c r="BO327" s="839"/>
      <c r="BP327" s="837"/>
      <c r="BQ327" s="838"/>
      <c r="BR327" s="838"/>
      <c r="BS327" s="838"/>
      <c r="BT327" s="839"/>
      <c r="BU327" s="837"/>
      <c r="BV327" s="838"/>
      <c r="BW327" s="838"/>
      <c r="BX327" s="838"/>
      <c r="BY327" s="839"/>
      <c r="BZ327" s="837"/>
      <c r="CA327" s="838"/>
      <c r="CB327" s="838"/>
      <c r="CC327" s="838"/>
      <c r="CD327" s="840"/>
      <c r="CE327" s="837"/>
      <c r="CF327" s="838"/>
      <c r="CG327" s="838"/>
      <c r="CH327" s="838"/>
      <c r="CI327" s="840"/>
      <c r="CJ327" s="837"/>
      <c r="CK327" s="838"/>
      <c r="CL327" s="838"/>
      <c r="CM327" s="838"/>
      <c r="CN327" s="840"/>
      <c r="CO327" s="837"/>
      <c r="CP327" s="838"/>
      <c r="CQ327" s="838"/>
      <c r="CR327" s="838"/>
      <c r="CS327" s="840"/>
      <c r="CT327" s="837"/>
      <c r="CU327" s="838"/>
      <c r="CV327" s="838"/>
      <c r="CW327" s="838"/>
      <c r="CX327" s="840"/>
      <c r="CY327" s="838"/>
      <c r="CZ327" s="838"/>
      <c r="DA327" s="838"/>
      <c r="DB327" s="838"/>
      <c r="DC327" s="840"/>
      <c r="DD327" s="838"/>
      <c r="DE327" s="838"/>
      <c r="DF327" s="838"/>
      <c r="DG327" s="838"/>
      <c r="DH327" s="840"/>
      <c r="DI327" s="838"/>
      <c r="DJ327" s="838"/>
      <c r="DK327" s="838"/>
      <c r="DL327" s="838"/>
      <c r="DM327" s="840"/>
      <c r="DN327" s="838"/>
      <c r="DO327" s="838"/>
      <c r="DP327" s="838"/>
      <c r="DQ327" s="838"/>
      <c r="DR327" s="840"/>
      <c r="DS327" s="838"/>
      <c r="DT327" s="838"/>
      <c r="DU327" s="838"/>
      <c r="DV327" s="838"/>
      <c r="DW327" s="840"/>
      <c r="DX327" s="838"/>
      <c r="DY327" s="838"/>
      <c r="DZ327" s="838"/>
      <c r="EA327" s="838"/>
      <c r="EB327" s="840"/>
      <c r="EC327" s="838"/>
      <c r="ED327" s="838"/>
      <c r="EE327" s="838"/>
      <c r="EF327" s="838"/>
      <c r="EG327" s="840"/>
      <c r="EH327" s="838"/>
      <c r="EI327" s="838"/>
      <c r="EJ327" s="838"/>
      <c r="EK327" s="838"/>
      <c r="EL327" s="840"/>
      <c r="EM327" s="838"/>
      <c r="EN327" s="838"/>
      <c r="EO327" s="838"/>
      <c r="EP327" s="838"/>
      <c r="EQ327" s="840"/>
      <c r="ER327" s="838"/>
      <c r="ES327" s="838"/>
      <c r="ET327" s="841"/>
      <c r="EU327" s="841"/>
      <c r="EV327" s="840"/>
      <c r="EW327" s="842"/>
      <c r="EX327" s="841"/>
      <c r="EY327" s="841"/>
      <c r="EZ327" s="841"/>
      <c r="FA327" s="840"/>
      <c r="FB327" s="842"/>
      <c r="FC327" s="841"/>
      <c r="FD327" s="841"/>
      <c r="FE327" s="841"/>
      <c r="FF327" s="840"/>
      <c r="FG327" s="842"/>
      <c r="FH327" s="841"/>
      <c r="FI327" s="841"/>
      <c r="FJ327" s="841"/>
      <c r="FK327" s="840"/>
      <c r="FL327" s="842"/>
      <c r="FM327" s="841"/>
      <c r="FN327" s="841"/>
      <c r="FO327" s="841"/>
      <c r="FP327" s="840"/>
      <c r="FQ327" s="842"/>
      <c r="FR327" s="841"/>
      <c r="FS327" s="841"/>
      <c r="FT327" s="841"/>
      <c r="FU327" s="840"/>
      <c r="FV327" s="842"/>
      <c r="FW327" s="841"/>
      <c r="FX327" s="841"/>
      <c r="FY327" s="841"/>
      <c r="FZ327" s="840"/>
      <c r="GA327" s="842"/>
      <c r="GB327" s="841"/>
      <c r="GC327" s="841"/>
      <c r="GD327" s="841"/>
      <c r="GE327" s="840"/>
      <c r="GF327" s="842"/>
      <c r="GG327" s="841"/>
      <c r="GH327" s="841"/>
      <c r="GI327" s="841"/>
      <c r="GJ327" s="843"/>
    </row>
    <row r="328" spans="1:192" s="844" customFormat="1" ht="12.75" customHeight="1">
      <c r="A328" s="836"/>
      <c r="B328" s="1532" t="s">
        <v>1992</v>
      </c>
      <c r="C328" s="837"/>
      <c r="D328" s="838"/>
      <c r="E328" s="838"/>
      <c r="F328" s="838"/>
      <c r="G328" s="839"/>
      <c r="H328" s="837"/>
      <c r="I328" s="838"/>
      <c r="J328" s="838"/>
      <c r="K328" s="838"/>
      <c r="L328" s="839"/>
      <c r="M328" s="837"/>
      <c r="N328" s="838"/>
      <c r="O328" s="838"/>
      <c r="P328" s="838"/>
      <c r="Q328" s="839"/>
      <c r="R328" s="837"/>
      <c r="S328" s="838"/>
      <c r="T328" s="838"/>
      <c r="U328" s="838"/>
      <c r="V328" s="839"/>
      <c r="W328" s="837"/>
      <c r="X328" s="838"/>
      <c r="Y328" s="838"/>
      <c r="Z328" s="838"/>
      <c r="AA328" s="839"/>
      <c r="AB328" s="837"/>
      <c r="AC328" s="838"/>
      <c r="AD328" s="838"/>
      <c r="AE328" s="838"/>
      <c r="AF328" s="839"/>
      <c r="AG328" s="837"/>
      <c r="AH328" s="838"/>
      <c r="AI328" s="838"/>
      <c r="AJ328" s="838"/>
      <c r="AK328" s="839"/>
      <c r="AL328" s="837"/>
      <c r="AM328" s="838"/>
      <c r="AN328" s="838"/>
      <c r="AO328" s="838"/>
      <c r="AP328" s="839"/>
      <c r="AQ328" s="837"/>
      <c r="AR328" s="838"/>
      <c r="AS328" s="838"/>
      <c r="AT328" s="838"/>
      <c r="AU328" s="839"/>
      <c r="AV328" s="837"/>
      <c r="AW328" s="838"/>
      <c r="AX328" s="838"/>
      <c r="AY328" s="838"/>
      <c r="AZ328" s="839"/>
      <c r="BA328" s="837"/>
      <c r="BB328" s="838"/>
      <c r="BC328" s="838"/>
      <c r="BD328" s="838"/>
      <c r="BE328" s="839"/>
      <c r="BF328" s="837"/>
      <c r="BG328" s="838"/>
      <c r="BH328" s="838"/>
      <c r="BI328" s="838"/>
      <c r="BJ328" s="839"/>
      <c r="BK328" s="837"/>
      <c r="BL328" s="838"/>
      <c r="BM328" s="838"/>
      <c r="BN328" s="838"/>
      <c r="BO328" s="839"/>
      <c r="BP328" s="837"/>
      <c r="BQ328" s="838"/>
      <c r="BR328" s="838"/>
      <c r="BS328" s="838"/>
      <c r="BT328" s="839"/>
      <c r="BU328" s="837"/>
      <c r="BV328" s="838"/>
      <c r="BW328" s="838"/>
      <c r="BX328" s="838"/>
      <c r="BY328" s="839"/>
      <c r="BZ328" s="837"/>
      <c r="CA328" s="838"/>
      <c r="CB328" s="838"/>
      <c r="CC328" s="838"/>
      <c r="CD328" s="840"/>
      <c r="CE328" s="837"/>
      <c r="CF328" s="838"/>
      <c r="CG328" s="838"/>
      <c r="CH328" s="838"/>
      <c r="CI328" s="840"/>
      <c r="CJ328" s="837"/>
      <c r="CK328" s="838"/>
      <c r="CL328" s="838"/>
      <c r="CM328" s="838"/>
      <c r="CN328" s="840"/>
      <c r="CO328" s="837"/>
      <c r="CP328" s="838"/>
      <c r="CQ328" s="838"/>
      <c r="CR328" s="838"/>
      <c r="CS328" s="840"/>
      <c r="CT328" s="837"/>
      <c r="CU328" s="838"/>
      <c r="CV328" s="838"/>
      <c r="CW328" s="838"/>
      <c r="CX328" s="840"/>
      <c r="CY328" s="838"/>
      <c r="CZ328" s="838"/>
      <c r="DA328" s="838"/>
      <c r="DB328" s="838"/>
      <c r="DC328" s="840"/>
      <c r="DD328" s="838"/>
      <c r="DE328" s="838"/>
      <c r="DF328" s="838"/>
      <c r="DG328" s="838"/>
      <c r="DH328" s="840"/>
      <c r="DI328" s="838"/>
      <c r="DJ328" s="838"/>
      <c r="DK328" s="838"/>
      <c r="DL328" s="838"/>
      <c r="DM328" s="840"/>
      <c r="DN328" s="838"/>
      <c r="DO328" s="838"/>
      <c r="DP328" s="838"/>
      <c r="DQ328" s="838"/>
      <c r="DR328" s="840"/>
      <c r="DS328" s="838"/>
      <c r="DT328" s="838"/>
      <c r="DU328" s="838"/>
      <c r="DV328" s="838"/>
      <c r="DW328" s="840"/>
      <c r="DX328" s="838"/>
      <c r="DY328" s="838"/>
      <c r="DZ328" s="838"/>
      <c r="EA328" s="838"/>
      <c r="EB328" s="840"/>
      <c r="EC328" s="838"/>
      <c r="ED328" s="838"/>
      <c r="EE328" s="838"/>
      <c r="EF328" s="838"/>
      <c r="EG328" s="840"/>
      <c r="EH328" s="838"/>
      <c r="EI328" s="838"/>
      <c r="EJ328" s="838"/>
      <c r="EK328" s="838"/>
      <c r="EL328" s="840"/>
      <c r="EM328" s="838"/>
      <c r="EN328" s="838"/>
      <c r="EO328" s="838"/>
      <c r="EP328" s="838"/>
      <c r="EQ328" s="840"/>
      <c r="ER328" s="838"/>
      <c r="ES328" s="838"/>
      <c r="ET328" s="841"/>
      <c r="EU328" s="841"/>
      <c r="EV328" s="840"/>
      <c r="EW328" s="842"/>
      <c r="EX328" s="841"/>
      <c r="EY328" s="841"/>
      <c r="EZ328" s="841"/>
      <c r="FA328" s="840"/>
      <c r="FB328" s="842"/>
      <c r="FC328" s="841"/>
      <c r="FD328" s="841"/>
      <c r="FE328" s="841"/>
      <c r="FF328" s="840"/>
      <c r="FG328" s="842"/>
      <c r="FH328" s="841"/>
      <c r="FI328" s="841"/>
      <c r="FJ328" s="841"/>
      <c r="FK328" s="840"/>
      <c r="FL328" s="842"/>
      <c r="FM328" s="841"/>
      <c r="FN328" s="841"/>
      <c r="FO328" s="841"/>
      <c r="FP328" s="840"/>
      <c r="FQ328" s="842"/>
      <c r="FR328" s="841"/>
      <c r="FS328" s="841"/>
      <c r="FT328" s="841"/>
      <c r="FU328" s="840"/>
      <c r="FV328" s="842"/>
      <c r="FW328" s="841"/>
      <c r="FX328" s="841"/>
      <c r="FY328" s="841"/>
      <c r="FZ328" s="840"/>
      <c r="GA328" s="842"/>
      <c r="GB328" s="841"/>
      <c r="GC328" s="841"/>
      <c r="GD328" s="841"/>
      <c r="GE328" s="840"/>
      <c r="GF328" s="842"/>
      <c r="GG328" s="841"/>
      <c r="GH328" s="841"/>
      <c r="GI328" s="841"/>
      <c r="GJ328" s="843"/>
    </row>
    <row r="329" spans="1:192" ht="12.75" hidden="1" customHeight="1" outlineLevel="1">
      <c r="A329" s="789"/>
      <c r="B329" s="734" t="s">
        <v>224</v>
      </c>
      <c r="C329" s="399"/>
      <c r="D329" s="129"/>
      <c r="E329" s="129"/>
      <c r="F329" s="129"/>
      <c r="G329" s="400"/>
      <c r="H329" s="399"/>
      <c r="I329" s="129"/>
      <c r="J329" s="129"/>
      <c r="K329" s="129"/>
      <c r="L329" s="400"/>
      <c r="M329" s="399"/>
      <c r="N329" s="129"/>
      <c r="O329" s="129"/>
      <c r="P329" s="129"/>
      <c r="Q329" s="400"/>
      <c r="R329" s="399"/>
      <c r="S329" s="129"/>
      <c r="T329" s="129"/>
      <c r="U329" s="129"/>
      <c r="V329" s="400"/>
      <c r="W329" s="399"/>
      <c r="X329" s="129"/>
      <c r="Y329" s="129"/>
      <c r="Z329" s="129"/>
      <c r="AA329" s="400"/>
      <c r="AB329" s="399"/>
      <c r="AC329" s="129"/>
      <c r="AD329" s="129"/>
      <c r="AE329" s="129"/>
      <c r="AF329" s="400"/>
      <c r="AG329" s="399"/>
      <c r="AH329" s="129"/>
      <c r="AI329" s="129"/>
      <c r="AJ329" s="129"/>
      <c r="AK329" s="400"/>
      <c r="AL329" s="399"/>
      <c r="AM329" s="129"/>
      <c r="AN329" s="129"/>
      <c r="AO329" s="129"/>
      <c r="AP329" s="400"/>
      <c r="AQ329" s="399"/>
      <c r="AR329" s="129"/>
      <c r="AS329" s="129"/>
      <c r="AT329" s="129"/>
      <c r="AU329" s="400"/>
      <c r="AV329" s="399"/>
      <c r="AW329" s="129"/>
      <c r="AX329" s="129"/>
      <c r="AY329" s="129"/>
      <c r="AZ329" s="400"/>
      <c r="BA329" s="399"/>
      <c r="BB329" s="129"/>
      <c r="BC329" s="129"/>
      <c r="BD329" s="129"/>
      <c r="BE329" s="400"/>
      <c r="BF329" s="399"/>
      <c r="BG329" s="129"/>
      <c r="BH329" s="129"/>
      <c r="BI329" s="129"/>
      <c r="BJ329" s="400"/>
      <c r="BK329" s="399"/>
      <c r="BL329" s="129"/>
      <c r="BM329" s="129"/>
      <c r="BN329" s="129"/>
      <c r="BO329" s="400"/>
      <c r="BP329" s="399"/>
      <c r="BQ329" s="129"/>
      <c r="BR329" s="129"/>
      <c r="BS329" s="129"/>
      <c r="BT329" s="400"/>
      <c r="BU329" s="399"/>
      <c r="BV329" s="129"/>
      <c r="BW329" s="129"/>
      <c r="BX329" s="129"/>
      <c r="BY329" s="400"/>
      <c r="BZ329" s="399"/>
      <c r="CA329" s="129"/>
      <c r="CB329" s="129"/>
      <c r="CC329" s="129"/>
      <c r="CD329" s="400"/>
      <c r="CE329" s="399"/>
      <c r="CF329" s="129"/>
      <c r="CG329" s="129"/>
      <c r="CH329" s="129"/>
      <c r="CI329" s="400"/>
      <c r="CJ329" s="399"/>
      <c r="CK329" s="129"/>
      <c r="CL329" s="129"/>
      <c r="CM329" s="129"/>
      <c r="CN329" s="400"/>
      <c r="CO329" s="399"/>
      <c r="CP329" s="129"/>
      <c r="CQ329" s="129"/>
      <c r="CR329" s="129"/>
      <c r="CS329" s="400"/>
      <c r="CT329" s="399"/>
      <c r="CU329" s="129"/>
      <c r="CV329" s="129"/>
      <c r="CW329" s="129"/>
      <c r="CX329" s="400"/>
      <c r="CY329" s="399"/>
      <c r="CZ329" s="129"/>
      <c r="DA329" s="129"/>
      <c r="DB329" s="129"/>
      <c r="DC329" s="400"/>
      <c r="DD329" s="399"/>
      <c r="DE329" s="129"/>
      <c r="DF329" s="129"/>
      <c r="DG329" s="129"/>
      <c r="DH329" s="400"/>
      <c r="DI329" s="399"/>
      <c r="DJ329" s="129"/>
      <c r="DK329" s="129"/>
      <c r="DL329" s="129"/>
      <c r="DM329" s="400"/>
      <c r="DN329" s="399"/>
      <c r="DO329" s="129"/>
      <c r="DP329" s="129"/>
      <c r="DQ329" s="129"/>
      <c r="DR329" s="400"/>
      <c r="DS329" s="399"/>
      <c r="DT329" s="129"/>
      <c r="DU329" s="129"/>
      <c r="DV329" s="129"/>
      <c r="DW329" s="400"/>
      <c r="DX329" s="399"/>
      <c r="DY329" s="129"/>
      <c r="DZ329" s="129"/>
      <c r="EA329" s="129"/>
      <c r="EB329" s="400"/>
      <c r="EC329" s="399"/>
      <c r="ED329" s="129"/>
      <c r="EE329" s="129"/>
      <c r="EF329" s="129"/>
      <c r="EG329" s="400"/>
      <c r="EH329" s="399"/>
      <c r="EI329" s="129"/>
      <c r="EJ329" s="129"/>
      <c r="EK329" s="129"/>
      <c r="EL329" s="449">
        <v>6000</v>
      </c>
      <c r="EM329" s="399"/>
      <c r="EN329" s="129"/>
      <c r="EO329" s="129"/>
      <c r="EP329" s="129"/>
      <c r="EQ329" s="449">
        <v>7000</v>
      </c>
      <c r="ER329" s="399"/>
      <c r="ES329" s="129"/>
      <c r="ET329" s="129"/>
      <c r="EU329" s="129"/>
      <c r="EV329" s="400"/>
      <c r="EW329" s="399"/>
      <c r="EX329" s="129"/>
      <c r="EY329" s="129"/>
      <c r="EZ329" s="129"/>
      <c r="FA329" s="400"/>
      <c r="FB329" s="399"/>
      <c r="FC329" s="129"/>
      <c r="FD329" s="129"/>
      <c r="FE329" s="129"/>
      <c r="FF329" s="400"/>
      <c r="FG329" s="399"/>
      <c r="FH329" s="129"/>
      <c r="FI329" s="129"/>
      <c r="FJ329" s="129"/>
      <c r="FK329" s="400"/>
      <c r="FL329" s="399"/>
      <c r="FM329" s="129"/>
      <c r="FN329" s="129"/>
      <c r="FO329" s="129"/>
      <c r="FP329" s="400"/>
      <c r="FQ329" s="399"/>
      <c r="FR329" s="129"/>
      <c r="FS329" s="129"/>
      <c r="FT329" s="129"/>
      <c r="FU329" s="400"/>
      <c r="FV329" s="399"/>
      <c r="FW329" s="129"/>
      <c r="FX329" s="129"/>
      <c r="FY329" s="129"/>
      <c r="FZ329" s="400"/>
      <c r="GA329" s="399"/>
      <c r="GB329" s="129"/>
      <c r="GC329" s="129"/>
      <c r="GD329" s="129"/>
      <c r="GE329" s="400"/>
      <c r="GF329" s="399"/>
      <c r="GG329" s="129"/>
      <c r="GH329" s="129"/>
      <c r="GI329" s="129"/>
      <c r="GJ329" s="401"/>
    </row>
    <row r="330" spans="1:192" ht="12.75" hidden="1" customHeight="1" outlineLevel="1">
      <c r="B330" s="735" t="s">
        <v>34</v>
      </c>
      <c r="C330" s="291"/>
      <c r="D330" s="107"/>
      <c r="E330" s="107"/>
      <c r="F330" s="107"/>
      <c r="G330" s="293"/>
      <c r="H330" s="291"/>
      <c r="I330" s="107"/>
      <c r="J330" s="107"/>
      <c r="K330" s="107"/>
      <c r="L330" s="293"/>
      <c r="M330" s="291"/>
      <c r="N330" s="107"/>
      <c r="O330" s="107"/>
      <c r="P330" s="107"/>
      <c r="Q330" s="293"/>
      <c r="R330" s="291"/>
      <c r="S330" s="107"/>
      <c r="T330" s="107"/>
      <c r="U330" s="107"/>
      <c r="V330" s="293"/>
      <c r="W330" s="291"/>
      <c r="X330" s="107"/>
      <c r="Y330" s="107"/>
      <c r="Z330" s="107"/>
      <c r="AA330" s="293"/>
      <c r="AB330" s="291"/>
      <c r="AC330" s="107"/>
      <c r="AD330" s="107"/>
      <c r="AE330" s="107"/>
      <c r="AF330" s="293"/>
      <c r="AG330" s="291"/>
      <c r="AH330" s="107"/>
      <c r="AI330" s="107"/>
      <c r="AJ330" s="107"/>
      <c r="AK330" s="293"/>
      <c r="AL330" s="291"/>
      <c r="AM330" s="107"/>
      <c r="AN330" s="107"/>
      <c r="AO330" s="107"/>
      <c r="AP330" s="293"/>
      <c r="AQ330" s="291"/>
      <c r="AR330" s="107"/>
      <c r="AS330" s="107"/>
      <c r="AT330" s="107"/>
      <c r="AU330" s="293"/>
      <c r="AV330" s="291"/>
      <c r="AW330" s="107"/>
      <c r="AX330" s="107"/>
      <c r="AY330" s="107"/>
      <c r="AZ330" s="293"/>
      <c r="BA330" s="291"/>
      <c r="BB330" s="107"/>
      <c r="BC330" s="107"/>
      <c r="BD330" s="107"/>
      <c r="BE330" s="293"/>
      <c r="BF330" s="291"/>
      <c r="BG330" s="107"/>
      <c r="BH330" s="107"/>
      <c r="BI330" s="107"/>
      <c r="BJ330" s="293"/>
      <c r="BK330" s="291"/>
      <c r="BL330" s="107"/>
      <c r="BM330" s="107"/>
      <c r="BN330" s="107"/>
      <c r="BO330" s="293"/>
      <c r="BP330" s="291"/>
      <c r="BQ330" s="107"/>
      <c r="BR330" s="107"/>
      <c r="BS330" s="107"/>
      <c r="BT330" s="293"/>
      <c r="BU330" s="291"/>
      <c r="BV330" s="107"/>
      <c r="BW330" s="107"/>
      <c r="BX330" s="107"/>
      <c r="BY330" s="293"/>
      <c r="BZ330" s="291"/>
      <c r="CA330" s="107"/>
      <c r="CB330" s="107"/>
      <c r="CC330" s="107"/>
      <c r="CD330" s="293"/>
      <c r="CE330" s="291"/>
      <c r="CF330" s="107"/>
      <c r="CG330" s="107"/>
      <c r="CH330" s="107"/>
      <c r="CI330" s="293"/>
      <c r="CJ330" s="291"/>
      <c r="CK330" s="107"/>
      <c r="CL330" s="107"/>
      <c r="CM330" s="107"/>
      <c r="CN330" s="293"/>
      <c r="CO330" s="291"/>
      <c r="CP330" s="107"/>
      <c r="CQ330" s="107"/>
      <c r="CR330" s="107"/>
      <c r="CS330" s="293"/>
      <c r="CT330" s="291"/>
      <c r="CU330" s="107"/>
      <c r="CV330" s="107"/>
      <c r="CW330" s="107"/>
      <c r="CX330" s="293"/>
      <c r="CY330" s="291"/>
      <c r="CZ330" s="107"/>
      <c r="DA330" s="107"/>
      <c r="DB330" s="107"/>
      <c r="DC330" s="293"/>
      <c r="DD330" s="291"/>
      <c r="DE330" s="107"/>
      <c r="DF330" s="107"/>
      <c r="DG330" s="107"/>
      <c r="DH330" s="293"/>
      <c r="DI330" s="291"/>
      <c r="DJ330" s="107"/>
      <c r="DK330" s="107"/>
      <c r="DL330" s="107"/>
      <c r="DM330" s="293"/>
      <c r="DN330" s="291"/>
      <c r="DO330" s="107"/>
      <c r="DP330" s="107"/>
      <c r="DQ330" s="107"/>
      <c r="DR330" s="293"/>
      <c r="DS330" s="291"/>
      <c r="DT330" s="107"/>
      <c r="DU330" s="107"/>
      <c r="DV330" s="107"/>
      <c r="DW330" s="293"/>
      <c r="DX330" s="291"/>
      <c r="DY330" s="107"/>
      <c r="DZ330" s="107"/>
      <c r="EA330" s="107"/>
      <c r="EB330" s="293"/>
      <c r="EC330" s="291"/>
      <c r="ED330" s="107"/>
      <c r="EE330" s="107"/>
      <c r="EF330" s="107"/>
      <c r="EG330" s="293"/>
      <c r="EH330" s="291"/>
      <c r="EI330" s="107"/>
      <c r="EJ330" s="114">
        <v>0.43</v>
      </c>
      <c r="EK330" s="114">
        <v>0.39</v>
      </c>
      <c r="EL330" s="293">
        <f>EK330</f>
      </c>
      <c r="EM330" s="291"/>
      <c r="EN330" s="107"/>
      <c r="EO330" s="107"/>
      <c r="EP330" s="107"/>
      <c r="EQ330" s="293"/>
      <c r="ER330" s="291"/>
      <c r="ES330" s="107"/>
      <c r="ET330" s="107"/>
      <c r="EU330" s="107"/>
      <c r="EV330" s="293"/>
      <c r="EW330" s="291"/>
      <c r="EX330" s="107"/>
      <c r="EY330" s="107"/>
      <c r="EZ330" s="107"/>
      <c r="FA330" s="293"/>
      <c r="FB330" s="291"/>
      <c r="FC330" s="107"/>
      <c r="FD330" s="107"/>
      <c r="FE330" s="107"/>
      <c r="FF330" s="293"/>
      <c r="FG330" s="291"/>
      <c r="FH330" s="107"/>
      <c r="FI330" s="107"/>
      <c r="FJ330" s="107"/>
      <c r="FK330" s="293"/>
      <c r="FL330" s="291"/>
      <c r="FM330" s="107"/>
      <c r="FN330" s="107"/>
      <c r="FO330" s="107"/>
      <c r="FP330" s="293"/>
      <c r="FQ330" s="291"/>
      <c r="FR330" s="107"/>
      <c r="FS330" s="107"/>
      <c r="FT330" s="107"/>
      <c r="FU330" s="293"/>
      <c r="FV330" s="291"/>
      <c r="FW330" s="107"/>
      <c r="FX330" s="107"/>
      <c r="FY330" s="107"/>
      <c r="FZ330" s="293"/>
      <c r="GA330" s="291"/>
      <c r="GB330" s="107"/>
      <c r="GC330" s="107"/>
      <c r="GD330" s="107"/>
      <c r="GE330" s="293"/>
      <c r="GF330" s="291"/>
      <c r="GG330" s="107"/>
      <c r="GH330" s="107"/>
      <c r="GI330" s="107"/>
      <c r="GJ330" s="382"/>
    </row>
    <row r="331" spans="1:192" ht="12.75" hidden="1" customHeight="1" outlineLevel="1">
      <c r="B331" s="735"/>
      <c r="C331" s="291"/>
      <c r="D331" s="107"/>
      <c r="E331" s="107"/>
      <c r="F331" s="107"/>
      <c r="G331" s="293"/>
      <c r="H331" s="291"/>
      <c r="I331" s="107"/>
      <c r="J331" s="107"/>
      <c r="K331" s="107"/>
      <c r="L331" s="293"/>
      <c r="M331" s="291"/>
      <c r="N331" s="107"/>
      <c r="O331" s="107"/>
      <c r="P331" s="107"/>
      <c r="Q331" s="293"/>
      <c r="R331" s="291"/>
      <c r="S331" s="107"/>
      <c r="T331" s="107"/>
      <c r="U331" s="107"/>
      <c r="V331" s="293"/>
      <c r="W331" s="291"/>
      <c r="X331" s="107"/>
      <c r="Y331" s="107"/>
      <c r="Z331" s="107"/>
      <c r="AA331" s="293"/>
      <c r="AB331" s="291"/>
      <c r="AC331" s="107"/>
      <c r="AD331" s="107"/>
      <c r="AE331" s="107"/>
      <c r="AF331" s="293"/>
      <c r="AG331" s="291"/>
      <c r="AH331" s="107"/>
      <c r="AI331" s="107"/>
      <c r="AJ331" s="107"/>
      <c r="AK331" s="293"/>
      <c r="AL331" s="291"/>
      <c r="AM331" s="107"/>
      <c r="AN331" s="107"/>
      <c r="AO331" s="107"/>
      <c r="AP331" s="293"/>
      <c r="AQ331" s="291"/>
      <c r="AR331" s="107"/>
      <c r="AS331" s="107"/>
      <c r="AT331" s="107"/>
      <c r="AU331" s="293"/>
      <c r="AV331" s="291"/>
      <c r="AW331" s="107"/>
      <c r="AX331" s="107"/>
      <c r="AY331" s="107"/>
      <c r="AZ331" s="293"/>
      <c r="BA331" s="291"/>
      <c r="BB331" s="107"/>
      <c r="BC331" s="107"/>
      <c r="BD331" s="107"/>
      <c r="BE331" s="293"/>
      <c r="BF331" s="291"/>
      <c r="BG331" s="107"/>
      <c r="BH331" s="107"/>
      <c r="BI331" s="107"/>
      <c r="BJ331" s="293"/>
      <c r="BK331" s="291"/>
      <c r="BL331" s="107"/>
      <c r="BM331" s="107"/>
      <c r="BN331" s="107"/>
      <c r="BO331" s="293"/>
      <c r="BP331" s="291"/>
      <c r="BQ331" s="107"/>
      <c r="BR331" s="107"/>
      <c r="BS331" s="107"/>
      <c r="BT331" s="293"/>
      <c r="BU331" s="291"/>
      <c r="BV331" s="107"/>
      <c r="BW331" s="107"/>
      <c r="BX331" s="107"/>
      <c r="BY331" s="293"/>
      <c r="BZ331" s="291"/>
      <c r="CA331" s="107"/>
      <c r="CB331" s="107"/>
      <c r="CC331" s="107"/>
      <c r="CD331" s="293"/>
      <c r="CE331" s="291"/>
      <c r="CF331" s="107"/>
      <c r="CG331" s="107"/>
      <c r="CH331" s="107"/>
      <c r="CI331" s="293"/>
      <c r="CJ331" s="291"/>
      <c r="CK331" s="107"/>
      <c r="CL331" s="107"/>
      <c r="CM331" s="107"/>
      <c r="CN331" s="293"/>
      <c r="CO331" s="291"/>
      <c r="CP331" s="107"/>
      <c r="CQ331" s="107"/>
      <c r="CR331" s="107"/>
      <c r="CS331" s="293"/>
      <c r="CT331" s="291"/>
      <c r="CU331" s="107"/>
      <c r="CV331" s="107"/>
      <c r="CW331" s="107"/>
      <c r="CX331" s="293"/>
      <c r="CY331" s="291"/>
      <c r="CZ331" s="107"/>
      <c r="DA331" s="107"/>
      <c r="DB331" s="107"/>
      <c r="DC331" s="293"/>
      <c r="DD331" s="291"/>
      <c r="DE331" s="107"/>
      <c r="DF331" s="107"/>
      <c r="DG331" s="107"/>
      <c r="DH331" s="293"/>
      <c r="DI331" s="291"/>
      <c r="DJ331" s="107"/>
      <c r="DK331" s="107"/>
      <c r="DL331" s="107"/>
      <c r="DM331" s="293"/>
      <c r="DN331" s="291"/>
      <c r="DO331" s="107"/>
      <c r="DP331" s="107"/>
      <c r="DQ331" s="107"/>
      <c r="DR331" s="293"/>
      <c r="DS331" s="291"/>
      <c r="DT331" s="107"/>
      <c r="DU331" s="107"/>
      <c r="DV331" s="107"/>
      <c r="DW331" s="293"/>
      <c r="DX331" s="291"/>
      <c r="DY331" s="107"/>
      <c r="DZ331" s="107"/>
      <c r="EA331" s="107"/>
      <c r="EB331" s="293"/>
      <c r="EC331" s="291"/>
      <c r="ED331" s="107"/>
      <c r="EE331" s="107"/>
      <c r="EF331" s="107"/>
      <c r="EG331" s="293"/>
      <c r="EH331" s="291"/>
      <c r="EI331" s="107"/>
      <c r="EJ331" s="107"/>
      <c r="EK331" s="107"/>
      <c r="EL331" s="293"/>
      <c r="EM331" s="291"/>
      <c r="EN331" s="107"/>
      <c r="EO331" s="107"/>
      <c r="EP331" s="107"/>
      <c r="EQ331" s="293"/>
      <c r="ER331" s="291"/>
      <c r="ES331" s="107"/>
      <c r="ET331" s="107"/>
      <c r="EU331" s="107"/>
      <c r="EV331" s="293"/>
      <c r="EW331" s="291"/>
      <c r="EX331" s="107"/>
      <c r="EY331" s="107"/>
      <c r="EZ331" s="107"/>
      <c r="FA331" s="293"/>
      <c r="FB331" s="291"/>
      <c r="FC331" s="107"/>
      <c r="FD331" s="107"/>
      <c r="FE331" s="107"/>
      <c r="FF331" s="293"/>
      <c r="FG331" s="291"/>
      <c r="FH331" s="107"/>
      <c r="FI331" s="107"/>
      <c r="FJ331" s="107"/>
      <c r="FK331" s="293"/>
      <c r="FL331" s="291"/>
      <c r="FM331" s="107"/>
      <c r="FN331" s="107"/>
      <c r="FO331" s="107"/>
      <c r="FP331" s="293"/>
      <c r="FQ331" s="291"/>
      <c r="FR331" s="107"/>
      <c r="FS331" s="107"/>
      <c r="FT331" s="107"/>
      <c r="FU331" s="293"/>
      <c r="FV331" s="291"/>
      <c r="FW331" s="107"/>
      <c r="FX331" s="107"/>
      <c r="FY331" s="107"/>
      <c r="FZ331" s="293"/>
      <c r="GA331" s="291"/>
      <c r="GB331" s="107"/>
      <c r="GC331" s="107"/>
      <c r="GD331" s="107"/>
      <c r="GE331" s="293"/>
      <c r="GF331" s="291"/>
      <c r="GG331" s="107"/>
      <c r="GH331" s="107"/>
      <c r="GI331" s="107"/>
      <c r="GJ331" s="382"/>
    </row>
    <row r="332" spans="1:192" s="461" customFormat="1" ht="12.75" hidden="1" customHeight="1" outlineLevel="1">
      <c r="A332" s="807"/>
      <c r="B332" s="734" t="s">
        <v>225</v>
      </c>
      <c r="C332" s="443"/>
      <c r="D332" s="471"/>
      <c r="E332" s="471"/>
      <c r="F332" s="471"/>
      <c r="G332" s="516"/>
      <c r="H332" s="443"/>
      <c r="I332" s="471"/>
      <c r="J332" s="471"/>
      <c r="K332" s="471"/>
      <c r="L332" s="516"/>
      <c r="M332" s="443"/>
      <c r="N332" s="471"/>
      <c r="O332" s="471"/>
      <c r="P332" s="471"/>
      <c r="Q332" s="516"/>
      <c r="R332" s="443"/>
      <c r="S332" s="471"/>
      <c r="T332" s="471"/>
      <c r="U332" s="471"/>
      <c r="V332" s="516"/>
      <c r="W332" s="443"/>
      <c r="X332" s="471"/>
      <c r="Y332" s="471"/>
      <c r="Z332" s="471"/>
      <c r="AA332" s="516"/>
      <c r="AB332" s="443"/>
      <c r="AC332" s="471"/>
      <c r="AD332" s="471"/>
      <c r="AE332" s="471"/>
      <c r="AF332" s="516"/>
      <c r="AG332" s="443"/>
      <c r="AH332" s="471"/>
      <c r="AI332" s="471"/>
      <c r="AJ332" s="471"/>
      <c r="AK332" s="516"/>
      <c r="AL332" s="443"/>
      <c r="AM332" s="471"/>
      <c r="AN332" s="471"/>
      <c r="AO332" s="471"/>
      <c r="AP332" s="516"/>
      <c r="AQ332" s="443"/>
      <c r="AR332" s="471"/>
      <c r="AS332" s="471"/>
      <c r="AT332" s="471"/>
      <c r="AU332" s="516"/>
      <c r="AV332" s="443"/>
      <c r="AW332" s="471"/>
      <c r="AX332" s="471"/>
      <c r="AY332" s="471"/>
      <c r="AZ332" s="516"/>
      <c r="BA332" s="443"/>
      <c r="BB332" s="471"/>
      <c r="BC332" s="471"/>
      <c r="BD332" s="471"/>
      <c r="BE332" s="516"/>
      <c r="BF332" s="443"/>
      <c r="BG332" s="471"/>
      <c r="BH332" s="471"/>
      <c r="BI332" s="471"/>
      <c r="BJ332" s="516"/>
      <c r="BK332" s="443"/>
      <c r="BL332" s="471"/>
      <c r="BM332" s="471"/>
      <c r="BN332" s="471"/>
      <c r="BO332" s="516"/>
      <c r="BP332" s="443"/>
      <c r="BQ332" s="471"/>
      <c r="BR332" s="471"/>
      <c r="BS332" s="471"/>
      <c r="BT332" s="516"/>
      <c r="BU332" s="443"/>
      <c r="BV332" s="471"/>
      <c r="BW332" s="471"/>
      <c r="BX332" s="471"/>
      <c r="BY332" s="516"/>
      <c r="BZ332" s="443"/>
      <c r="CA332" s="471"/>
      <c r="CB332" s="471"/>
      <c r="CC332" s="471"/>
      <c r="CD332" s="516"/>
      <c r="CE332" s="443"/>
      <c r="CF332" s="471"/>
      <c r="CG332" s="471"/>
      <c r="CH332" s="471"/>
      <c r="CI332" s="516"/>
      <c r="CJ332" s="443"/>
      <c r="CK332" s="471"/>
      <c r="CL332" s="471"/>
      <c r="CM332" s="471"/>
      <c r="CN332" s="516"/>
      <c r="CO332" s="443"/>
      <c r="CP332" s="471"/>
      <c r="CQ332" s="471"/>
      <c r="CR332" s="471"/>
      <c r="CS332" s="516"/>
      <c r="CT332" s="443"/>
      <c r="CU332" s="471"/>
      <c r="CV332" s="471"/>
      <c r="CW332" s="471"/>
      <c r="CX332" s="516"/>
      <c r="CY332" s="443"/>
      <c r="CZ332" s="471"/>
      <c r="DA332" s="471"/>
      <c r="DB332" s="471"/>
      <c r="DC332" s="516"/>
      <c r="DD332" s="443"/>
      <c r="DE332" s="471"/>
      <c r="DF332" s="471"/>
      <c r="DG332" s="471"/>
      <c r="DH332" s="516"/>
      <c r="DI332" s="443"/>
      <c r="DJ332" s="471"/>
      <c r="DK332" s="471"/>
      <c r="DL332" s="471"/>
      <c r="DM332" s="516"/>
      <c r="DN332" s="443"/>
      <c r="DO332" s="471"/>
      <c r="DP332" s="471"/>
      <c r="DQ332" s="471"/>
      <c r="DR332" s="516"/>
      <c r="DS332" s="443"/>
      <c r="DT332" s="471"/>
      <c r="DU332" s="471"/>
      <c r="DV332" s="471"/>
      <c r="DW332" s="516"/>
      <c r="DX332" s="443"/>
      <c r="DY332" s="471"/>
      <c r="DZ332" s="471"/>
      <c r="EA332" s="471"/>
      <c r="EB332" s="516"/>
      <c r="EC332" s="443"/>
      <c r="ED332" s="471"/>
      <c r="EE332" s="471"/>
      <c r="EF332" s="452">
        <v>250</v>
      </c>
      <c r="EG332" s="516"/>
      <c r="EH332" s="443"/>
      <c r="EI332" s="471"/>
      <c r="EJ332" s="471"/>
      <c r="EK332" s="471"/>
      <c r="EL332" s="1149">
        <v>5000</v>
      </c>
      <c r="EM332" s="443">
        <f>EL332*(1+EM315)/4</f>
      </c>
      <c r="EN332" s="471">
        <f>EM332*(1+EN315)</f>
      </c>
      <c r="EO332" s="471"/>
      <c r="EP332" s="471"/>
      <c r="EQ332" s="516"/>
      <c r="ER332" s="443"/>
      <c r="ES332" s="471"/>
      <c r="ET332" s="471"/>
      <c r="EU332" s="471"/>
      <c r="EV332" s="516"/>
      <c r="EW332" s="443"/>
      <c r="EX332" s="471"/>
      <c r="EY332" s="471"/>
      <c r="EZ332" s="471"/>
      <c r="FA332" s="516"/>
      <c r="FB332" s="443"/>
      <c r="FC332" s="471"/>
      <c r="FD332" s="471"/>
      <c r="FE332" s="471"/>
      <c r="FF332" s="516"/>
      <c r="FG332" s="443"/>
      <c r="FH332" s="471"/>
      <c r="FI332" s="471"/>
      <c r="FJ332" s="471"/>
      <c r="FK332" s="516"/>
      <c r="FL332" s="443"/>
      <c r="FM332" s="471"/>
      <c r="FN332" s="471"/>
      <c r="FO332" s="471"/>
      <c r="FP332" s="516"/>
      <c r="FQ332" s="443"/>
      <c r="FR332" s="471"/>
      <c r="FS332" s="471"/>
      <c r="FT332" s="471"/>
      <c r="FU332" s="516"/>
      <c r="FV332" s="443"/>
      <c r="FW332" s="471"/>
      <c r="FX332" s="471"/>
      <c r="FY332" s="471"/>
      <c r="FZ332" s="516"/>
      <c r="GA332" s="443"/>
      <c r="GB332" s="471"/>
      <c r="GC332" s="471"/>
      <c r="GD332" s="471"/>
      <c r="GE332" s="516"/>
      <c r="GF332" s="443"/>
      <c r="GG332" s="471"/>
      <c r="GH332" s="471"/>
      <c r="GI332" s="471"/>
      <c r="GJ332" s="808"/>
    </row>
    <row r="333" spans="1:192" ht="12.75" hidden="1" customHeight="1" outlineLevel="1">
      <c r="B333" s="735" t="s">
        <v>34</v>
      </c>
      <c r="C333" s="291"/>
      <c r="D333" s="107"/>
      <c r="E333" s="107"/>
      <c r="F333" s="107"/>
      <c r="G333" s="293"/>
      <c r="H333" s="291"/>
      <c r="I333" s="107"/>
      <c r="J333" s="107"/>
      <c r="K333" s="107"/>
      <c r="L333" s="293"/>
      <c r="M333" s="291"/>
      <c r="N333" s="107"/>
      <c r="O333" s="107"/>
      <c r="P333" s="107"/>
      <c r="Q333" s="293"/>
      <c r="R333" s="291"/>
      <c r="S333" s="107"/>
      <c r="T333" s="107"/>
      <c r="U333" s="107"/>
      <c r="V333" s="293"/>
      <c r="W333" s="291"/>
      <c r="X333" s="107"/>
      <c r="Y333" s="107"/>
      <c r="Z333" s="107"/>
      <c r="AA333" s="293"/>
      <c r="AB333" s="291"/>
      <c r="AC333" s="107"/>
      <c r="AD333" s="107"/>
      <c r="AE333" s="107"/>
      <c r="AF333" s="293"/>
      <c r="AG333" s="291"/>
      <c r="AH333" s="107"/>
      <c r="AI333" s="107"/>
      <c r="AJ333" s="107"/>
      <c r="AK333" s="293"/>
      <c r="AL333" s="291"/>
      <c r="AM333" s="107"/>
      <c r="AN333" s="107"/>
      <c r="AO333" s="107"/>
      <c r="AP333" s="293"/>
      <c r="AQ333" s="291"/>
      <c r="AR333" s="107"/>
      <c r="AS333" s="107"/>
      <c r="AT333" s="107"/>
      <c r="AU333" s="293"/>
      <c r="AV333" s="291"/>
      <c r="AW333" s="107"/>
      <c r="AX333" s="107"/>
      <c r="AY333" s="107"/>
      <c r="AZ333" s="293"/>
      <c r="BA333" s="291"/>
      <c r="BB333" s="107"/>
      <c r="BC333" s="107"/>
      <c r="BD333" s="107"/>
      <c r="BE333" s="293"/>
      <c r="BF333" s="291"/>
      <c r="BG333" s="107"/>
      <c r="BH333" s="107"/>
      <c r="BI333" s="107"/>
      <c r="BJ333" s="293"/>
      <c r="BK333" s="291"/>
      <c r="BL333" s="107"/>
      <c r="BM333" s="107"/>
      <c r="BN333" s="107"/>
      <c r="BO333" s="293"/>
      <c r="BP333" s="291"/>
      <c r="BQ333" s="107"/>
      <c r="BR333" s="107"/>
      <c r="BS333" s="107"/>
      <c r="BT333" s="293"/>
      <c r="BU333" s="291"/>
      <c r="BV333" s="107"/>
      <c r="BW333" s="107"/>
      <c r="BX333" s="107"/>
      <c r="BY333" s="293"/>
      <c r="BZ333" s="291"/>
      <c r="CA333" s="107"/>
      <c r="CB333" s="107"/>
      <c r="CC333" s="107"/>
      <c r="CD333" s="293"/>
      <c r="CE333" s="291"/>
      <c r="CF333" s="107"/>
      <c r="CG333" s="107"/>
      <c r="CH333" s="107"/>
      <c r="CI333" s="293"/>
      <c r="CJ333" s="291"/>
      <c r="CK333" s="107"/>
      <c r="CL333" s="107"/>
      <c r="CM333" s="107"/>
      <c r="CN333" s="293"/>
      <c r="CO333" s="291"/>
      <c r="CP333" s="107"/>
      <c r="CQ333" s="107"/>
      <c r="CR333" s="107"/>
      <c r="CS333" s="293"/>
      <c r="CT333" s="291"/>
      <c r="CU333" s="107"/>
      <c r="CV333" s="107"/>
      <c r="CW333" s="107"/>
      <c r="CX333" s="293"/>
      <c r="CY333" s="291"/>
      <c r="CZ333" s="107"/>
      <c r="DA333" s="107"/>
      <c r="DB333" s="107"/>
      <c r="DC333" s="293"/>
      <c r="DD333" s="291"/>
      <c r="DE333" s="107"/>
      <c r="DF333" s="107"/>
      <c r="DG333" s="107"/>
      <c r="DH333" s="293"/>
      <c r="DI333" s="291"/>
      <c r="DJ333" s="107"/>
      <c r="DK333" s="107"/>
      <c r="DL333" s="107"/>
      <c r="DM333" s="293"/>
      <c r="DN333" s="291"/>
      <c r="DO333" s="107"/>
      <c r="DP333" s="107"/>
      <c r="DQ333" s="107"/>
      <c r="DR333" s="293"/>
      <c r="DS333" s="291"/>
      <c r="DT333" s="107"/>
      <c r="DU333" s="107"/>
      <c r="DV333" s="107"/>
      <c r="DW333" s="293"/>
      <c r="DX333" s="291"/>
      <c r="DY333" s="107"/>
      <c r="DZ333" s="107"/>
      <c r="EA333" s="107"/>
      <c r="EB333" s="293"/>
      <c r="EC333" s="291"/>
      <c r="ED333" s="107"/>
      <c r="EE333" s="107"/>
      <c r="EF333" s="107"/>
      <c r="EG333" s="293"/>
      <c r="EH333" s="412">
        <v>0.61</v>
      </c>
      <c r="EI333" s="114">
        <v>0.43</v>
      </c>
      <c r="EJ333" s="107"/>
      <c r="EK333" s="107"/>
      <c r="EL333" s="293"/>
      <c r="EM333" s="291"/>
      <c r="EN333" s="107"/>
      <c r="EO333" s="107"/>
      <c r="EP333" s="107"/>
      <c r="EQ333" s="293"/>
      <c r="ER333" s="291"/>
      <c r="ES333" s="107"/>
      <c r="ET333" s="107"/>
      <c r="EU333" s="107"/>
      <c r="EV333" s="293"/>
      <c r="EW333" s="291"/>
      <c r="EX333" s="107"/>
      <c r="EY333" s="107"/>
      <c r="EZ333" s="107"/>
      <c r="FA333" s="293"/>
      <c r="FB333" s="291"/>
      <c r="FC333" s="107"/>
      <c r="FD333" s="107"/>
      <c r="FE333" s="107"/>
      <c r="FF333" s="293"/>
      <c r="FG333" s="291"/>
      <c r="FH333" s="107"/>
      <c r="FI333" s="107"/>
      <c r="FJ333" s="107"/>
      <c r="FK333" s="293"/>
      <c r="FL333" s="291"/>
      <c r="FM333" s="107"/>
      <c r="FN333" s="107"/>
      <c r="FO333" s="107"/>
      <c r="FP333" s="293"/>
      <c r="FQ333" s="291"/>
      <c r="FR333" s="107"/>
      <c r="FS333" s="107"/>
      <c r="FT333" s="107"/>
      <c r="FU333" s="293"/>
      <c r="FV333" s="291"/>
      <c r="FW333" s="107"/>
      <c r="FX333" s="107"/>
      <c r="FY333" s="107"/>
      <c r="FZ333" s="293"/>
      <c r="GA333" s="291"/>
      <c r="GB333" s="107"/>
      <c r="GC333" s="107"/>
      <c r="GD333" s="107"/>
      <c r="GE333" s="293"/>
      <c r="GF333" s="291"/>
      <c r="GG333" s="107"/>
      <c r="GH333" s="107"/>
      <c r="GI333" s="107"/>
      <c r="GJ333" s="382"/>
    </row>
    <row r="334" spans="1:192" ht="12.75" hidden="1" customHeight="1" outlineLevel="1">
      <c r="B334" s="735"/>
      <c r="C334" s="291"/>
      <c r="D334" s="107"/>
      <c r="E334" s="107"/>
      <c r="F334" s="107"/>
      <c r="G334" s="293"/>
      <c r="H334" s="291"/>
      <c r="I334" s="107"/>
      <c r="J334" s="107"/>
      <c r="K334" s="107"/>
      <c r="L334" s="293"/>
      <c r="M334" s="291"/>
      <c r="N334" s="107"/>
      <c r="O334" s="107"/>
      <c r="P334" s="107"/>
      <c r="Q334" s="293"/>
      <c r="R334" s="291"/>
      <c r="S334" s="107"/>
      <c r="T334" s="107"/>
      <c r="U334" s="107"/>
      <c r="V334" s="293"/>
      <c r="W334" s="291"/>
      <c r="X334" s="107"/>
      <c r="Y334" s="107"/>
      <c r="Z334" s="107"/>
      <c r="AA334" s="293"/>
      <c r="AB334" s="291"/>
      <c r="AC334" s="107"/>
      <c r="AD334" s="107"/>
      <c r="AE334" s="107"/>
      <c r="AF334" s="293"/>
      <c r="AG334" s="291"/>
      <c r="AH334" s="107"/>
      <c r="AI334" s="107"/>
      <c r="AJ334" s="107"/>
      <c r="AK334" s="293"/>
      <c r="AL334" s="291"/>
      <c r="AM334" s="107"/>
      <c r="AN334" s="107"/>
      <c r="AO334" s="107"/>
      <c r="AP334" s="293"/>
      <c r="AQ334" s="291"/>
      <c r="AR334" s="107"/>
      <c r="AS334" s="107"/>
      <c r="AT334" s="107"/>
      <c r="AU334" s="293"/>
      <c r="AV334" s="291"/>
      <c r="AW334" s="107"/>
      <c r="AX334" s="107"/>
      <c r="AY334" s="107"/>
      <c r="AZ334" s="293"/>
      <c r="BA334" s="291"/>
      <c r="BB334" s="107"/>
      <c r="BC334" s="107"/>
      <c r="BD334" s="107"/>
      <c r="BE334" s="293"/>
      <c r="BF334" s="291"/>
      <c r="BG334" s="107"/>
      <c r="BH334" s="107"/>
      <c r="BI334" s="107"/>
      <c r="BJ334" s="293"/>
      <c r="BK334" s="291"/>
      <c r="BL334" s="107"/>
      <c r="BM334" s="107"/>
      <c r="BN334" s="107"/>
      <c r="BO334" s="293"/>
      <c r="BP334" s="291"/>
      <c r="BQ334" s="107"/>
      <c r="BR334" s="107"/>
      <c r="BS334" s="107"/>
      <c r="BT334" s="293"/>
      <c r="BU334" s="291"/>
      <c r="BV334" s="107"/>
      <c r="BW334" s="107"/>
      <c r="BX334" s="107"/>
      <c r="BY334" s="293"/>
      <c r="BZ334" s="291"/>
      <c r="CA334" s="107"/>
      <c r="CB334" s="107"/>
      <c r="CC334" s="107"/>
      <c r="CD334" s="293"/>
      <c r="CE334" s="291"/>
      <c r="CF334" s="107"/>
      <c r="CG334" s="107"/>
      <c r="CH334" s="107"/>
      <c r="CI334" s="293"/>
      <c r="CJ334" s="291"/>
      <c r="CK334" s="107"/>
      <c r="CL334" s="107"/>
      <c r="CM334" s="107"/>
      <c r="CN334" s="293"/>
      <c r="CO334" s="291"/>
      <c r="CP334" s="107"/>
      <c r="CQ334" s="107"/>
      <c r="CR334" s="107"/>
      <c r="CS334" s="293"/>
      <c r="CT334" s="291"/>
      <c r="CU334" s="107"/>
      <c r="CV334" s="107"/>
      <c r="CW334" s="107"/>
      <c r="CX334" s="293"/>
      <c r="CY334" s="291"/>
      <c r="CZ334" s="107"/>
      <c r="DA334" s="107"/>
      <c r="DB334" s="107"/>
      <c r="DC334" s="293"/>
      <c r="DD334" s="291"/>
      <c r="DE334" s="107"/>
      <c r="DF334" s="107"/>
      <c r="DG334" s="107"/>
      <c r="DH334" s="293"/>
      <c r="DI334" s="291"/>
      <c r="DJ334" s="107"/>
      <c r="DK334" s="107"/>
      <c r="DL334" s="107"/>
      <c r="DM334" s="293"/>
      <c r="DN334" s="291"/>
      <c r="DO334" s="107"/>
      <c r="DP334" s="107"/>
      <c r="DQ334" s="107"/>
      <c r="DR334" s="293"/>
      <c r="DS334" s="291"/>
      <c r="DT334" s="107"/>
      <c r="DU334" s="107"/>
      <c r="DV334" s="107"/>
      <c r="DW334" s="293"/>
      <c r="DX334" s="291"/>
      <c r="DY334" s="107"/>
      <c r="DZ334" s="107"/>
      <c r="EA334" s="107"/>
      <c r="EB334" s="293"/>
      <c r="EC334" s="291"/>
      <c r="ED334" s="107"/>
      <c r="EE334" s="107"/>
      <c r="EF334" s="107"/>
      <c r="EG334" s="293"/>
      <c r="EH334" s="291"/>
      <c r="EI334" s="107"/>
      <c r="EJ334" s="107"/>
      <c r="EK334" s="107"/>
      <c r="EL334" s="293"/>
      <c r="EM334" s="291"/>
      <c r="EN334" s="107"/>
      <c r="EO334" s="107"/>
      <c r="EP334" s="107"/>
      <c r="EQ334" s="293"/>
      <c r="ER334" s="291"/>
      <c r="ES334" s="107"/>
      <c r="ET334" s="107"/>
      <c r="EU334" s="107"/>
      <c r="EV334" s="293"/>
      <c r="EW334" s="291"/>
      <c r="EX334" s="107"/>
      <c r="EY334" s="107"/>
      <c r="EZ334" s="107"/>
      <c r="FA334" s="293"/>
      <c r="FB334" s="291"/>
      <c r="FC334" s="107"/>
      <c r="FD334" s="107"/>
      <c r="FE334" s="107"/>
      <c r="FF334" s="293"/>
      <c r="FG334" s="291"/>
      <c r="FH334" s="107"/>
      <c r="FI334" s="107"/>
      <c r="FJ334" s="107"/>
      <c r="FK334" s="293"/>
      <c r="FL334" s="291"/>
      <c r="FM334" s="107"/>
      <c r="FN334" s="107"/>
      <c r="FO334" s="107"/>
      <c r="FP334" s="293"/>
      <c r="FQ334" s="291"/>
      <c r="FR334" s="107"/>
      <c r="FS334" s="107"/>
      <c r="FT334" s="107"/>
      <c r="FU334" s="293"/>
      <c r="FV334" s="291"/>
      <c r="FW334" s="107"/>
      <c r="FX334" s="107"/>
      <c r="FY334" s="107"/>
      <c r="FZ334" s="293"/>
      <c r="GA334" s="291"/>
      <c r="GB334" s="107"/>
      <c r="GC334" s="107"/>
      <c r="GD334" s="107"/>
      <c r="GE334" s="293"/>
      <c r="GF334" s="291"/>
      <c r="GG334" s="107"/>
      <c r="GH334" s="107"/>
      <c r="GI334" s="107"/>
      <c r="GJ334" s="382"/>
    </row>
    <row r="335" spans="1:192" ht="12.75" hidden="1" customHeight="1" outlineLevel="1">
      <c r="A335" s="789"/>
      <c r="B335" s="734" t="s">
        <v>2069</v>
      </c>
      <c r="C335" s="399"/>
      <c r="D335" s="129"/>
      <c r="E335" s="129"/>
      <c r="F335" s="129"/>
      <c r="G335" s="400"/>
      <c r="H335" s="399"/>
      <c r="I335" s="129"/>
      <c r="J335" s="129"/>
      <c r="K335" s="129"/>
      <c r="L335" s="400"/>
      <c r="M335" s="399"/>
      <c r="N335" s="129"/>
      <c r="O335" s="129"/>
      <c r="P335" s="129"/>
      <c r="Q335" s="400"/>
      <c r="R335" s="399"/>
      <c r="S335" s="129"/>
      <c r="T335" s="129"/>
      <c r="U335" s="129"/>
      <c r="V335" s="400"/>
      <c r="W335" s="399"/>
      <c r="X335" s="129"/>
      <c r="Y335" s="129"/>
      <c r="Z335" s="129"/>
      <c r="AA335" s="400"/>
      <c r="AB335" s="399"/>
      <c r="AC335" s="129"/>
      <c r="AD335" s="129"/>
      <c r="AE335" s="129"/>
      <c r="AF335" s="400"/>
      <c r="AG335" s="399"/>
      <c r="AH335" s="129"/>
      <c r="AI335" s="129"/>
      <c r="AJ335" s="129"/>
      <c r="AK335" s="400"/>
      <c r="AL335" s="399"/>
      <c r="AM335" s="129"/>
      <c r="AN335" s="129"/>
      <c r="AO335" s="129"/>
      <c r="AP335" s="400"/>
      <c r="AQ335" s="399"/>
      <c r="AR335" s="129"/>
      <c r="AS335" s="129"/>
      <c r="AT335" s="129"/>
      <c r="AU335" s="400"/>
      <c r="AV335" s="399"/>
      <c r="AW335" s="129"/>
      <c r="AX335" s="129"/>
      <c r="AY335" s="129"/>
      <c r="AZ335" s="400"/>
      <c r="BA335" s="399"/>
      <c r="BB335" s="129"/>
      <c r="BC335" s="129"/>
      <c r="BD335" s="129"/>
      <c r="BE335" s="400"/>
      <c r="BF335" s="399"/>
      <c r="BG335" s="129"/>
      <c r="BH335" s="129"/>
      <c r="BI335" s="129"/>
      <c r="BJ335" s="400"/>
      <c r="BK335" s="399"/>
      <c r="BL335" s="129"/>
      <c r="BM335" s="129"/>
      <c r="BN335" s="129"/>
      <c r="BO335" s="400"/>
      <c r="BP335" s="399"/>
      <c r="BQ335" s="129"/>
      <c r="BR335" s="129"/>
      <c r="BS335" s="129"/>
      <c r="BT335" s="400"/>
      <c r="BU335" s="399"/>
      <c r="BV335" s="129"/>
      <c r="BW335" s="129"/>
      <c r="BX335" s="129"/>
      <c r="BY335" s="400"/>
      <c r="BZ335" s="399"/>
      <c r="CA335" s="129"/>
      <c r="CB335" s="129"/>
      <c r="CC335" s="129"/>
      <c r="CD335" s="400"/>
      <c r="CE335" s="399"/>
      <c r="CF335" s="129"/>
      <c r="CG335" s="129"/>
      <c r="CH335" s="129"/>
      <c r="CI335" s="400"/>
      <c r="CJ335" s="399"/>
      <c r="CK335" s="129"/>
      <c r="CL335" s="129"/>
      <c r="CM335" s="129"/>
      <c r="CN335" s="400"/>
      <c r="CO335" s="399"/>
      <c r="CP335" s="129"/>
      <c r="CQ335" s="129"/>
      <c r="CR335" s="129"/>
      <c r="CS335" s="400"/>
      <c r="CT335" s="399"/>
      <c r="CU335" s="129"/>
      <c r="CV335" s="129"/>
      <c r="CW335" s="129"/>
      <c r="CX335" s="400"/>
      <c r="CY335" s="399"/>
      <c r="CZ335" s="129"/>
      <c r="DA335" s="129"/>
      <c r="DB335" s="129"/>
      <c r="DC335" s="400"/>
      <c r="DD335" s="399"/>
      <c r="DE335" s="129"/>
      <c r="DF335" s="129"/>
      <c r="DG335" s="129"/>
      <c r="DH335" s="400"/>
      <c r="DI335" s="399"/>
      <c r="DJ335" s="129"/>
      <c r="DK335" s="129"/>
      <c r="DL335" s="129"/>
      <c r="DM335" s="400"/>
      <c r="DN335" s="399"/>
      <c r="DO335" s="129"/>
      <c r="DP335" s="129"/>
      <c r="DQ335" s="129"/>
      <c r="DR335" s="400"/>
      <c r="DS335" s="399"/>
      <c r="DT335" s="129"/>
      <c r="DU335" s="129"/>
      <c r="DV335" s="129"/>
      <c r="DW335" s="400"/>
      <c r="DX335" s="399"/>
      <c r="DY335" s="129"/>
      <c r="DZ335" s="129"/>
      <c r="EA335" s="129"/>
      <c r="EB335" s="400"/>
      <c r="EC335" s="399"/>
      <c r="ED335" s="129"/>
      <c r="EE335" s="129"/>
      <c r="EF335" s="129"/>
      <c r="EG335" s="400"/>
      <c r="EH335" s="399"/>
      <c r="EI335" s="129"/>
      <c r="EJ335" s="129"/>
      <c r="EK335" s="129"/>
      <c r="EL335" s="400"/>
      <c r="EM335" s="399"/>
      <c r="EN335" s="129"/>
      <c r="EO335" s="129"/>
      <c r="EP335" s="129"/>
      <c r="EQ335" s="449"/>
      <c r="ER335" s="922"/>
      <c r="ES335" s="923">
        <f>1700/4</f>
      </c>
      <c r="ET335" s="129"/>
      <c r="EU335" s="1505"/>
      <c r="EV335" s="400"/>
      <c r="EW335" s="399"/>
      <c r="EX335" s="452">
        <f>2000/4</f>
      </c>
      <c r="EY335" s="129"/>
      <c r="EZ335" s="129"/>
      <c r="FA335" s="400"/>
      <c r="FB335" s="399"/>
      <c r="FC335" s="129"/>
      <c r="FD335" s="129"/>
      <c r="FE335" s="129"/>
      <c r="FF335" s="400"/>
      <c r="FG335" s="399"/>
      <c r="FH335" s="129"/>
      <c r="FI335" s="129"/>
      <c r="FJ335" s="129"/>
      <c r="FK335" s="400"/>
      <c r="FL335" s="399"/>
      <c r="FM335" s="129"/>
      <c r="FN335" s="129"/>
      <c r="FO335" s="129"/>
      <c r="FP335" s="400"/>
      <c r="FQ335" s="399"/>
      <c r="FR335" s="129"/>
      <c r="FS335" s="129"/>
      <c r="FT335" s="129"/>
      <c r="FU335" s="400"/>
      <c r="FV335" s="399"/>
      <c r="FW335" s="129"/>
      <c r="FX335" s="129"/>
      <c r="FY335" s="129"/>
      <c r="FZ335" s="400"/>
      <c r="GA335" s="399"/>
      <c r="GB335" s="129"/>
      <c r="GC335" s="129"/>
      <c r="GD335" s="129"/>
      <c r="GE335" s="400"/>
      <c r="GF335" s="399"/>
      <c r="GG335" s="129"/>
      <c r="GH335" s="129"/>
      <c r="GI335" s="129"/>
      <c r="GJ335" s="401"/>
    </row>
    <row r="336" spans="1:192" ht="12.75" hidden="1" customHeight="1" outlineLevel="1">
      <c r="B336" s="735" t="s">
        <v>34</v>
      </c>
      <c r="C336" s="291"/>
      <c r="D336" s="107"/>
      <c r="E336" s="107"/>
      <c r="F336" s="107"/>
      <c r="G336" s="293"/>
      <c r="H336" s="291"/>
      <c r="I336" s="107"/>
      <c r="J336" s="107"/>
      <c r="K336" s="107"/>
      <c r="L336" s="293"/>
      <c r="M336" s="291"/>
      <c r="N336" s="107"/>
      <c r="O336" s="107"/>
      <c r="P336" s="107"/>
      <c r="Q336" s="293"/>
      <c r="R336" s="291"/>
      <c r="S336" s="107"/>
      <c r="T336" s="107"/>
      <c r="U336" s="107"/>
      <c r="V336" s="293"/>
      <c r="W336" s="291"/>
      <c r="X336" s="107"/>
      <c r="Y336" s="107"/>
      <c r="Z336" s="107"/>
      <c r="AA336" s="293"/>
      <c r="AB336" s="291"/>
      <c r="AC336" s="107"/>
      <c r="AD336" s="107"/>
      <c r="AE336" s="107"/>
      <c r="AF336" s="293"/>
      <c r="AG336" s="291"/>
      <c r="AH336" s="107"/>
      <c r="AI336" s="107"/>
      <c r="AJ336" s="107"/>
      <c r="AK336" s="293"/>
      <c r="AL336" s="291"/>
      <c r="AM336" s="107"/>
      <c r="AN336" s="107"/>
      <c r="AO336" s="107"/>
      <c r="AP336" s="293"/>
      <c r="AQ336" s="291"/>
      <c r="AR336" s="107"/>
      <c r="AS336" s="107"/>
      <c r="AT336" s="107"/>
      <c r="AU336" s="293"/>
      <c r="AV336" s="291"/>
      <c r="AW336" s="107"/>
      <c r="AX336" s="107"/>
      <c r="AY336" s="107"/>
      <c r="AZ336" s="293"/>
      <c r="BA336" s="291"/>
      <c r="BB336" s="107"/>
      <c r="BC336" s="107"/>
      <c r="BD336" s="107"/>
      <c r="BE336" s="293"/>
      <c r="BF336" s="291"/>
      <c r="BG336" s="107"/>
      <c r="BH336" s="107"/>
      <c r="BI336" s="107"/>
      <c r="BJ336" s="293"/>
      <c r="BK336" s="291"/>
      <c r="BL336" s="107"/>
      <c r="BM336" s="107"/>
      <c r="BN336" s="107"/>
      <c r="BO336" s="293"/>
      <c r="BP336" s="291"/>
      <c r="BQ336" s="107"/>
      <c r="BR336" s="107"/>
      <c r="BS336" s="107"/>
      <c r="BT336" s="293"/>
      <c r="BU336" s="291"/>
      <c r="BV336" s="107"/>
      <c r="BW336" s="107"/>
      <c r="BX336" s="107"/>
      <c r="BY336" s="293"/>
      <c r="BZ336" s="291"/>
      <c r="CA336" s="107"/>
      <c r="CB336" s="107"/>
      <c r="CC336" s="107"/>
      <c r="CD336" s="293"/>
      <c r="CE336" s="291"/>
      <c r="CF336" s="107"/>
      <c r="CG336" s="107"/>
      <c r="CH336" s="107"/>
      <c r="CI336" s="293"/>
      <c r="CJ336" s="291"/>
      <c r="CK336" s="107"/>
      <c r="CL336" s="107"/>
      <c r="CM336" s="107"/>
      <c r="CN336" s="293"/>
      <c r="CO336" s="291"/>
      <c r="CP336" s="107"/>
      <c r="CQ336" s="107"/>
      <c r="CR336" s="107"/>
      <c r="CS336" s="293"/>
      <c r="CT336" s="291"/>
      <c r="CU336" s="107"/>
      <c r="CV336" s="107"/>
      <c r="CW336" s="107"/>
      <c r="CX336" s="293"/>
      <c r="CY336" s="291"/>
      <c r="CZ336" s="107"/>
      <c r="DA336" s="107"/>
      <c r="DB336" s="107"/>
      <c r="DC336" s="293"/>
      <c r="DD336" s="291"/>
      <c r="DE336" s="107"/>
      <c r="DF336" s="107"/>
      <c r="DG336" s="107"/>
      <c r="DH336" s="293"/>
      <c r="DI336" s="291"/>
      <c r="DJ336" s="107"/>
      <c r="DK336" s="107"/>
      <c r="DL336" s="107"/>
      <c r="DM336" s="293"/>
      <c r="DN336" s="291"/>
      <c r="DO336" s="107"/>
      <c r="DP336" s="107"/>
      <c r="DQ336" s="107"/>
      <c r="DR336" s="293"/>
      <c r="DS336" s="291"/>
      <c r="DT336" s="107"/>
      <c r="DU336" s="107"/>
      <c r="DV336" s="107"/>
      <c r="DW336" s="293"/>
      <c r="DX336" s="291"/>
      <c r="DY336" s="107"/>
      <c r="DZ336" s="107"/>
      <c r="EA336" s="107"/>
      <c r="EB336" s="293"/>
      <c r="EC336" s="291"/>
      <c r="ED336" s="107"/>
      <c r="EE336" s="107"/>
      <c r="EF336" s="107"/>
      <c r="EG336" s="293"/>
      <c r="EH336" s="291"/>
      <c r="EI336" s="107"/>
      <c r="EJ336" s="107"/>
      <c r="EK336" s="107"/>
      <c r="EL336" s="293"/>
      <c r="EM336" s="291"/>
      <c r="EN336" s="107"/>
      <c r="EO336" s="107"/>
      <c r="EP336" s="107"/>
      <c r="EQ336" s="293"/>
      <c r="ER336" s="291"/>
      <c r="ES336" s="107"/>
      <c r="ET336" s="107"/>
      <c r="EU336" s="107"/>
      <c r="EV336" s="293"/>
      <c r="EW336" s="291"/>
      <c r="EX336" s="107"/>
      <c r="EY336" s="107"/>
      <c r="EZ336" s="107"/>
      <c r="FA336" s="293"/>
      <c r="FB336" s="291"/>
      <c r="FC336" s="107"/>
      <c r="FD336" s="107"/>
      <c r="FE336" s="107"/>
      <c r="FF336" s="293"/>
      <c r="FG336" s="291"/>
      <c r="FH336" s="107"/>
      <c r="FI336" s="107"/>
      <c r="FJ336" s="107"/>
      <c r="FK336" s="293"/>
      <c r="FL336" s="291"/>
      <c r="FM336" s="107"/>
      <c r="FN336" s="107"/>
      <c r="FO336" s="107"/>
      <c r="FP336" s="293"/>
      <c r="FQ336" s="291"/>
      <c r="FR336" s="107"/>
      <c r="FS336" s="107"/>
      <c r="FT336" s="107"/>
      <c r="FU336" s="293"/>
      <c r="FV336" s="291"/>
      <c r="FW336" s="107"/>
      <c r="FX336" s="107"/>
      <c r="FY336" s="107"/>
      <c r="FZ336" s="293"/>
      <c r="GA336" s="291"/>
      <c r="GB336" s="107"/>
      <c r="GC336" s="107"/>
      <c r="GD336" s="107"/>
      <c r="GE336" s="293"/>
      <c r="GF336" s="291"/>
      <c r="GG336" s="107"/>
      <c r="GH336" s="107"/>
      <c r="GI336" s="107"/>
      <c r="GJ336" s="382"/>
    </row>
    <row r="337" spans="1:192" ht="12.75" hidden="1" customHeight="1" outlineLevel="1">
      <c r="B337" s="735" t="s">
        <v>2068</v>
      </c>
      <c r="C337" s="291"/>
      <c r="D337" s="107"/>
      <c r="E337" s="107"/>
      <c r="F337" s="107"/>
      <c r="G337" s="293"/>
      <c r="H337" s="291"/>
      <c r="I337" s="107"/>
      <c r="J337" s="107"/>
      <c r="K337" s="107"/>
      <c r="L337" s="293"/>
      <c r="M337" s="291"/>
      <c r="N337" s="107"/>
      <c r="O337" s="107"/>
      <c r="P337" s="107"/>
      <c r="Q337" s="293"/>
      <c r="R337" s="291"/>
      <c r="S337" s="107"/>
      <c r="T337" s="107"/>
      <c r="U337" s="107"/>
      <c r="V337" s="293"/>
      <c r="W337" s="291"/>
      <c r="X337" s="107"/>
      <c r="Y337" s="107"/>
      <c r="Z337" s="107"/>
      <c r="AA337" s="293"/>
      <c r="AB337" s="291"/>
      <c r="AC337" s="107"/>
      <c r="AD337" s="107"/>
      <c r="AE337" s="107"/>
      <c r="AF337" s="293"/>
      <c r="AG337" s="291"/>
      <c r="AH337" s="107"/>
      <c r="AI337" s="107"/>
      <c r="AJ337" s="107"/>
      <c r="AK337" s="293"/>
      <c r="AL337" s="291"/>
      <c r="AM337" s="107"/>
      <c r="AN337" s="107"/>
      <c r="AO337" s="107"/>
      <c r="AP337" s="293"/>
      <c r="AQ337" s="291"/>
      <c r="AR337" s="107"/>
      <c r="AS337" s="107"/>
      <c r="AT337" s="107"/>
      <c r="AU337" s="293"/>
      <c r="AV337" s="291"/>
      <c r="AW337" s="107"/>
      <c r="AX337" s="107"/>
      <c r="AY337" s="107"/>
      <c r="AZ337" s="293"/>
      <c r="BA337" s="291"/>
      <c r="BB337" s="107"/>
      <c r="BC337" s="107"/>
      <c r="BD337" s="107"/>
      <c r="BE337" s="293"/>
      <c r="BF337" s="291"/>
      <c r="BG337" s="107"/>
      <c r="BH337" s="107"/>
      <c r="BI337" s="107"/>
      <c r="BJ337" s="293"/>
      <c r="BK337" s="291"/>
      <c r="BL337" s="107"/>
      <c r="BM337" s="107"/>
      <c r="BN337" s="107"/>
      <c r="BO337" s="293"/>
      <c r="BP337" s="291"/>
      <c r="BQ337" s="107"/>
      <c r="BR337" s="107"/>
      <c r="BS337" s="107"/>
      <c r="BT337" s="293"/>
      <c r="BU337" s="291"/>
      <c r="BV337" s="107"/>
      <c r="BW337" s="107"/>
      <c r="BX337" s="107"/>
      <c r="BY337" s="293"/>
      <c r="BZ337" s="291"/>
      <c r="CA337" s="107"/>
      <c r="CB337" s="107"/>
      <c r="CC337" s="107"/>
      <c r="CD337" s="293"/>
      <c r="CE337" s="291"/>
      <c r="CF337" s="107"/>
      <c r="CG337" s="107"/>
      <c r="CH337" s="107"/>
      <c r="CI337" s="293"/>
      <c r="CJ337" s="291"/>
      <c r="CK337" s="107"/>
      <c r="CL337" s="107"/>
      <c r="CM337" s="107"/>
      <c r="CN337" s="293"/>
      <c r="CO337" s="291"/>
      <c r="CP337" s="107"/>
      <c r="CQ337" s="107"/>
      <c r="CR337" s="107"/>
      <c r="CS337" s="293"/>
      <c r="CT337" s="291"/>
      <c r="CU337" s="107"/>
      <c r="CV337" s="107"/>
      <c r="CW337" s="107"/>
      <c r="CX337" s="293"/>
      <c r="CY337" s="291"/>
      <c r="CZ337" s="107"/>
      <c r="DA337" s="107"/>
      <c r="DB337" s="107"/>
      <c r="DC337" s="293"/>
      <c r="DD337" s="291"/>
      <c r="DE337" s="107"/>
      <c r="DF337" s="107"/>
      <c r="DG337" s="107"/>
      <c r="DH337" s="293"/>
      <c r="DI337" s="291"/>
      <c r="DJ337" s="107"/>
      <c r="DK337" s="107"/>
      <c r="DL337" s="107"/>
      <c r="DM337" s="293"/>
      <c r="DN337" s="291"/>
      <c r="DO337" s="107"/>
      <c r="DP337" s="107"/>
      <c r="DQ337" s="107"/>
      <c r="DR337" s="293"/>
      <c r="DS337" s="291"/>
      <c r="DT337" s="107"/>
      <c r="DU337" s="107"/>
      <c r="DV337" s="107"/>
      <c r="DW337" s="293"/>
      <c r="DX337" s="291"/>
      <c r="DY337" s="107"/>
      <c r="DZ337" s="107"/>
      <c r="EA337" s="107"/>
      <c r="EB337" s="293"/>
      <c r="EC337" s="291"/>
      <c r="ED337" s="107"/>
      <c r="EE337" s="107"/>
      <c r="EF337" s="107"/>
      <c r="EG337" s="293"/>
      <c r="EH337" s="291"/>
      <c r="EI337" s="107"/>
      <c r="EJ337" s="107"/>
      <c r="EK337" s="107"/>
      <c r="EL337" s="293"/>
      <c r="EM337" s="291"/>
      <c r="EN337" s="107"/>
      <c r="EO337" s="107"/>
      <c r="EP337" s="107"/>
      <c r="EQ337" s="293"/>
      <c r="ER337" s="291"/>
      <c r="ES337" s="107"/>
      <c r="ET337" s="107"/>
      <c r="EU337" s="107"/>
      <c r="EV337" s="293"/>
      <c r="EW337" s="291"/>
      <c r="EX337" s="107"/>
      <c r="EY337" s="107"/>
      <c r="EZ337" s="107"/>
      <c r="FA337" s="293"/>
      <c r="FB337" s="291"/>
      <c r="FC337" s="107"/>
      <c r="FD337" s="107"/>
      <c r="FE337" s="107"/>
      <c r="FF337" s="293"/>
      <c r="FG337" s="291"/>
      <c r="FH337" s="107"/>
      <c r="FI337" s="107"/>
      <c r="FJ337" s="107"/>
      <c r="FK337" s="293"/>
      <c r="FL337" s="291"/>
      <c r="FM337" s="107"/>
      <c r="FN337" s="107"/>
      <c r="FO337" s="107"/>
      <c r="FP337" s="293"/>
      <c r="FQ337" s="291"/>
      <c r="FR337" s="107"/>
      <c r="FS337" s="107"/>
      <c r="FT337" s="107"/>
      <c r="FU337" s="293"/>
      <c r="FV337" s="291"/>
      <c r="FW337" s="107"/>
      <c r="FX337" s="107"/>
      <c r="FY337" s="107"/>
      <c r="FZ337" s="293"/>
      <c r="GA337" s="291"/>
      <c r="GB337" s="107"/>
      <c r="GC337" s="107"/>
      <c r="GD337" s="107"/>
      <c r="GE337" s="293"/>
      <c r="GF337" s="291"/>
      <c r="GG337" s="107"/>
      <c r="GH337" s="107"/>
      <c r="GI337" s="107"/>
      <c r="GJ337" s="382"/>
    </row>
    <row r="338" spans="1:192" ht="12.75" hidden="1" customHeight="1" outlineLevel="1">
      <c r="B338" s="736" t="s">
        <v>34</v>
      </c>
      <c r="C338" s="291"/>
      <c r="D338" s="107"/>
      <c r="E338" s="107"/>
      <c r="F338" s="107"/>
      <c r="G338" s="293"/>
      <c r="H338" s="291"/>
      <c r="I338" s="107"/>
      <c r="J338" s="107"/>
      <c r="K338" s="107"/>
      <c r="L338" s="293"/>
      <c r="M338" s="291"/>
      <c r="N338" s="107"/>
      <c r="O338" s="107"/>
      <c r="P338" s="107"/>
      <c r="Q338" s="293"/>
      <c r="R338" s="291"/>
      <c r="S338" s="107"/>
      <c r="T338" s="107"/>
      <c r="U338" s="107"/>
      <c r="V338" s="293"/>
      <c r="W338" s="291"/>
      <c r="X338" s="107"/>
      <c r="Y338" s="107"/>
      <c r="Z338" s="107"/>
      <c r="AA338" s="293"/>
      <c r="AB338" s="291"/>
      <c r="AC338" s="107"/>
      <c r="AD338" s="107"/>
      <c r="AE338" s="107"/>
      <c r="AF338" s="293"/>
      <c r="AG338" s="291"/>
      <c r="AH338" s="107"/>
      <c r="AI338" s="107"/>
      <c r="AJ338" s="107"/>
      <c r="AK338" s="293"/>
      <c r="AL338" s="291"/>
      <c r="AM338" s="107"/>
      <c r="AN338" s="107"/>
      <c r="AO338" s="107"/>
      <c r="AP338" s="293"/>
      <c r="AQ338" s="291"/>
      <c r="AR338" s="107"/>
      <c r="AS338" s="107"/>
      <c r="AT338" s="107"/>
      <c r="AU338" s="293"/>
      <c r="AV338" s="291"/>
      <c r="AW338" s="107"/>
      <c r="AX338" s="107"/>
      <c r="AY338" s="107"/>
      <c r="AZ338" s="293"/>
      <c r="BA338" s="291"/>
      <c r="BB338" s="107"/>
      <c r="BC338" s="107"/>
      <c r="BD338" s="107"/>
      <c r="BE338" s="293"/>
      <c r="BF338" s="291"/>
      <c r="BG338" s="107"/>
      <c r="BH338" s="107"/>
      <c r="BI338" s="107"/>
      <c r="BJ338" s="293"/>
      <c r="BK338" s="291"/>
      <c r="BL338" s="107"/>
      <c r="BM338" s="107"/>
      <c r="BN338" s="107"/>
      <c r="BO338" s="293"/>
      <c r="BP338" s="291"/>
      <c r="BQ338" s="107"/>
      <c r="BR338" s="107"/>
      <c r="BS338" s="107"/>
      <c r="BT338" s="293"/>
      <c r="BU338" s="291"/>
      <c r="BV338" s="107"/>
      <c r="BW338" s="107"/>
      <c r="BX338" s="107"/>
      <c r="BY338" s="293"/>
      <c r="BZ338" s="291"/>
      <c r="CA338" s="107"/>
      <c r="CB338" s="107"/>
      <c r="CC338" s="107"/>
      <c r="CD338" s="293"/>
      <c r="CE338" s="291"/>
      <c r="CF338" s="107"/>
      <c r="CG338" s="107"/>
      <c r="CH338" s="107"/>
      <c r="CI338" s="293"/>
      <c r="CJ338" s="291"/>
      <c r="CK338" s="107"/>
      <c r="CL338" s="107"/>
      <c r="CM338" s="107"/>
      <c r="CN338" s="293"/>
      <c r="CO338" s="291"/>
      <c r="CP338" s="107"/>
      <c r="CQ338" s="107"/>
      <c r="CR338" s="107"/>
      <c r="CS338" s="293"/>
      <c r="CT338" s="291"/>
      <c r="CU338" s="107"/>
      <c r="CV338" s="107"/>
      <c r="CW338" s="107"/>
      <c r="CX338" s="293"/>
      <c r="CY338" s="291"/>
      <c r="CZ338" s="107"/>
      <c r="DA338" s="107"/>
      <c r="DB338" s="107"/>
      <c r="DC338" s="293"/>
      <c r="DD338" s="291"/>
      <c r="DE338" s="107"/>
      <c r="DF338" s="107"/>
      <c r="DG338" s="107"/>
      <c r="DH338" s="293"/>
      <c r="DI338" s="291"/>
      <c r="DJ338" s="107"/>
      <c r="DK338" s="107"/>
      <c r="DL338" s="107"/>
      <c r="DM338" s="293"/>
      <c r="DN338" s="291"/>
      <c r="DO338" s="107"/>
      <c r="DP338" s="107"/>
      <c r="DQ338" s="107"/>
      <c r="DR338" s="293"/>
      <c r="DS338" s="291"/>
      <c r="DT338" s="107"/>
      <c r="DU338" s="107"/>
      <c r="DV338" s="107"/>
      <c r="DW338" s="293"/>
      <c r="DX338" s="291"/>
      <c r="DY338" s="107"/>
      <c r="DZ338" s="107"/>
      <c r="EA338" s="107"/>
      <c r="EB338" s="293"/>
      <c r="EC338" s="291"/>
      <c r="ED338" s="107"/>
      <c r="EE338" s="107"/>
      <c r="EF338" s="107"/>
      <c r="EG338" s="293"/>
      <c r="EH338" s="291"/>
      <c r="EI338" s="107"/>
      <c r="EJ338" s="107"/>
      <c r="EK338" s="107"/>
      <c r="EL338" s="293"/>
      <c r="EM338" s="291"/>
      <c r="EN338" s="107"/>
      <c r="EO338" s="107"/>
      <c r="EP338" s="107"/>
      <c r="EQ338" s="293"/>
      <c r="ER338" s="291"/>
      <c r="ES338" s="107"/>
      <c r="ET338" s="107"/>
      <c r="EU338" s="107"/>
      <c r="EV338" s="293"/>
      <c r="EW338" s="291"/>
      <c r="EX338" s="107"/>
      <c r="EY338" s="107"/>
      <c r="EZ338" s="107"/>
      <c r="FA338" s="293"/>
      <c r="FB338" s="291"/>
      <c r="FC338" s="107"/>
      <c r="FD338" s="107"/>
      <c r="FE338" s="107"/>
      <c r="FF338" s="293"/>
      <c r="FG338" s="291"/>
      <c r="FH338" s="107"/>
      <c r="FI338" s="107"/>
      <c r="FJ338" s="107"/>
      <c r="FK338" s="293"/>
      <c r="FL338" s="291"/>
      <c r="FM338" s="107"/>
      <c r="FN338" s="107"/>
      <c r="FO338" s="107"/>
      <c r="FP338" s="293"/>
      <c r="FQ338" s="291"/>
      <c r="FR338" s="107"/>
      <c r="FS338" s="107"/>
      <c r="FT338" s="107"/>
      <c r="FU338" s="293"/>
      <c r="FV338" s="291"/>
      <c r="FW338" s="107"/>
      <c r="FX338" s="107"/>
      <c r="FY338" s="107"/>
      <c r="FZ338" s="293"/>
      <c r="GA338" s="291"/>
      <c r="GB338" s="107"/>
      <c r="GC338" s="107"/>
      <c r="GD338" s="107"/>
      <c r="GE338" s="293"/>
      <c r="GF338" s="291"/>
      <c r="GG338" s="107"/>
      <c r="GH338" s="107"/>
      <c r="GI338" s="107"/>
      <c r="GJ338" s="382"/>
    </row>
    <row r="339" spans="1:192" ht="12.75" hidden="1" customHeight="1" outlineLevel="1">
      <c r="A339" s="792"/>
      <c r="B339" s="747"/>
      <c r="C339" s="291"/>
      <c r="D339" s="107"/>
      <c r="E339" s="107"/>
      <c r="F339" s="107"/>
      <c r="G339" s="293"/>
      <c r="H339" s="291"/>
      <c r="I339" s="107"/>
      <c r="J339" s="107"/>
      <c r="K339" s="107"/>
      <c r="L339" s="293"/>
      <c r="M339" s="291"/>
      <c r="N339" s="107"/>
      <c r="O339" s="107"/>
      <c r="P339" s="107"/>
      <c r="Q339" s="293"/>
      <c r="R339" s="291"/>
      <c r="S339" s="107"/>
      <c r="T339" s="107"/>
      <c r="U339" s="107"/>
      <c r="V339" s="293"/>
      <c r="W339" s="291"/>
      <c r="X339" s="107"/>
      <c r="Y339" s="107"/>
      <c r="Z339" s="107"/>
      <c r="AA339" s="293"/>
      <c r="AB339" s="291"/>
      <c r="AC339" s="107"/>
      <c r="AD339" s="107"/>
      <c r="AE339" s="107"/>
      <c r="AF339" s="293"/>
      <c r="AG339" s="291"/>
      <c r="AH339" s="107"/>
      <c r="AI339" s="107"/>
      <c r="AJ339" s="107"/>
      <c r="AK339" s="293"/>
      <c r="AL339" s="291"/>
      <c r="AM339" s="107"/>
      <c r="AN339" s="107"/>
      <c r="AO339" s="107"/>
      <c r="AP339" s="293"/>
      <c r="AQ339" s="291"/>
      <c r="AR339" s="107"/>
      <c r="AS339" s="107"/>
      <c r="AT339" s="107"/>
      <c r="AU339" s="293"/>
      <c r="AV339" s="291"/>
      <c r="AW339" s="107"/>
      <c r="AX339" s="107"/>
      <c r="AY339" s="107"/>
      <c r="AZ339" s="293"/>
      <c r="BA339" s="291"/>
      <c r="BB339" s="107"/>
      <c r="BC339" s="107"/>
      <c r="BD339" s="107"/>
      <c r="BE339" s="293"/>
      <c r="BF339" s="291"/>
      <c r="BG339" s="107"/>
      <c r="BH339" s="107"/>
      <c r="BI339" s="107"/>
      <c r="BJ339" s="293"/>
      <c r="BK339" s="291"/>
      <c r="BL339" s="107"/>
      <c r="BM339" s="107"/>
      <c r="BN339" s="107"/>
      <c r="BO339" s="293"/>
      <c r="BP339" s="291"/>
      <c r="BQ339" s="107"/>
      <c r="BR339" s="107"/>
      <c r="BS339" s="107"/>
      <c r="BT339" s="293"/>
      <c r="BU339" s="291"/>
      <c r="BV339" s="107"/>
      <c r="BW339" s="107"/>
      <c r="BX339" s="107"/>
      <c r="BY339" s="293"/>
      <c r="BZ339" s="291"/>
      <c r="CA339" s="107"/>
      <c r="CB339" s="107"/>
      <c r="CC339" s="107"/>
      <c r="CD339" s="293"/>
      <c r="CE339" s="291"/>
      <c r="CF339" s="107"/>
      <c r="CG339" s="107"/>
      <c r="CH339" s="107"/>
      <c r="CI339" s="293"/>
      <c r="CJ339" s="291"/>
      <c r="CK339" s="107"/>
      <c r="CL339" s="107"/>
      <c r="CM339" s="107"/>
      <c r="CN339" s="293"/>
      <c r="CO339" s="291"/>
      <c r="CP339" s="107"/>
      <c r="CQ339" s="107"/>
      <c r="CR339" s="107"/>
      <c r="CS339" s="293"/>
      <c r="CT339" s="291"/>
      <c r="CU339" s="107"/>
      <c r="CV339" s="107"/>
      <c r="CW339" s="107"/>
      <c r="CX339" s="293"/>
      <c r="CY339" s="291"/>
      <c r="CZ339" s="107"/>
      <c r="DA339" s="107"/>
      <c r="DB339" s="107"/>
      <c r="DC339" s="293"/>
      <c r="DD339" s="291"/>
      <c r="DE339" s="107"/>
      <c r="DF339" s="107"/>
      <c r="DG339" s="107"/>
      <c r="DH339" s="293"/>
      <c r="DI339" s="291"/>
      <c r="DJ339" s="107"/>
      <c r="DK339" s="107"/>
      <c r="DL339" s="107"/>
      <c r="DM339" s="293"/>
      <c r="DN339" s="291"/>
      <c r="DO339" s="107"/>
      <c r="DP339" s="107"/>
      <c r="DQ339" s="107"/>
      <c r="DR339" s="293"/>
      <c r="DS339" s="291"/>
      <c r="DT339" s="107"/>
      <c r="DU339" s="107"/>
      <c r="DV339" s="107"/>
      <c r="DW339" s="293"/>
      <c r="DX339" s="291"/>
      <c r="DY339" s="107"/>
      <c r="DZ339" s="107"/>
      <c r="EA339" s="107"/>
      <c r="EB339" s="293"/>
      <c r="EC339" s="291"/>
      <c r="ED339" s="107"/>
      <c r="EE339" s="107"/>
      <c r="EF339" s="107"/>
      <c r="EG339" s="293"/>
      <c r="EH339" s="291"/>
      <c r="EI339" s="107"/>
      <c r="EJ339" s="107"/>
      <c r="EK339" s="107"/>
      <c r="EL339" s="293"/>
      <c r="EM339" s="291"/>
      <c r="EN339" s="107"/>
      <c r="EO339" s="107"/>
      <c r="EP339" s="107"/>
      <c r="EQ339" s="293"/>
      <c r="ER339" s="291"/>
      <c r="ES339" s="107"/>
      <c r="ET339" s="107"/>
      <c r="EU339" s="107"/>
      <c r="EV339" s="293"/>
      <c r="EW339" s="291"/>
      <c r="EX339" s="107"/>
      <c r="EY339" s="107"/>
      <c r="EZ339" s="107"/>
      <c r="FA339" s="293"/>
      <c r="FB339" s="291"/>
      <c r="FC339" s="107"/>
      <c r="FD339" s="107"/>
      <c r="FE339" s="107"/>
      <c r="FF339" s="293"/>
      <c r="FG339" s="291"/>
      <c r="FH339" s="107"/>
      <c r="FI339" s="107"/>
      <c r="FJ339" s="107"/>
      <c r="FK339" s="293"/>
      <c r="FL339" s="291"/>
      <c r="FM339" s="107"/>
      <c r="FN339" s="107"/>
      <c r="FO339" s="107"/>
      <c r="FP339" s="293"/>
      <c r="FQ339" s="291"/>
      <c r="FR339" s="107"/>
      <c r="FS339" s="107"/>
      <c r="FT339" s="107"/>
      <c r="FU339" s="293"/>
      <c r="FV339" s="291"/>
      <c r="FW339" s="107"/>
      <c r="FX339" s="107"/>
      <c r="FY339" s="107"/>
      <c r="FZ339" s="293"/>
      <c r="GA339" s="291"/>
      <c r="GB339" s="107"/>
      <c r="GC339" s="107"/>
      <c r="GD339" s="107"/>
      <c r="GE339" s="293"/>
      <c r="GF339" s="291"/>
      <c r="GG339" s="107"/>
      <c r="GH339" s="107"/>
      <c r="GI339" s="107"/>
      <c r="GJ339" s="382"/>
    </row>
    <row r="340" spans="1:192" ht="12.75" hidden="1" customHeight="1" outlineLevel="1">
      <c r="A340" s="789"/>
      <c r="B340" s="734" t="s">
        <v>227</v>
      </c>
      <c r="C340" s="399"/>
      <c r="D340" s="129"/>
      <c r="E340" s="129"/>
      <c r="F340" s="129"/>
      <c r="G340" s="400"/>
      <c r="H340" s="399"/>
      <c r="I340" s="129"/>
      <c r="J340" s="129"/>
      <c r="K340" s="129"/>
      <c r="L340" s="400"/>
      <c r="M340" s="399"/>
      <c r="N340" s="129"/>
      <c r="O340" s="129"/>
      <c r="P340" s="129"/>
      <c r="Q340" s="400"/>
      <c r="R340" s="399"/>
      <c r="S340" s="129"/>
      <c r="T340" s="129"/>
      <c r="U340" s="129"/>
      <c r="V340" s="400"/>
      <c r="W340" s="399"/>
      <c r="X340" s="129"/>
      <c r="Y340" s="129"/>
      <c r="Z340" s="129"/>
      <c r="AA340" s="400"/>
      <c r="AB340" s="399"/>
      <c r="AC340" s="129"/>
      <c r="AD340" s="129"/>
      <c r="AE340" s="129"/>
      <c r="AF340" s="400"/>
      <c r="AG340" s="399"/>
      <c r="AH340" s="129"/>
      <c r="AI340" s="129"/>
      <c r="AJ340" s="129"/>
      <c r="AK340" s="400"/>
      <c r="AL340" s="399"/>
      <c r="AM340" s="129"/>
      <c r="AN340" s="129"/>
      <c r="AO340" s="129"/>
      <c r="AP340" s="400"/>
      <c r="AQ340" s="399"/>
      <c r="AR340" s="129"/>
      <c r="AS340" s="129"/>
      <c r="AT340" s="129"/>
      <c r="AU340" s="400"/>
      <c r="AV340" s="399"/>
      <c r="AW340" s="129"/>
      <c r="AX340" s="129"/>
      <c r="AY340" s="129"/>
      <c r="AZ340" s="400"/>
      <c r="BA340" s="399"/>
      <c r="BB340" s="129"/>
      <c r="BC340" s="129"/>
      <c r="BD340" s="129"/>
      <c r="BE340" s="400"/>
      <c r="BF340" s="399"/>
      <c r="BG340" s="129"/>
      <c r="BH340" s="129"/>
      <c r="BI340" s="129"/>
      <c r="BJ340" s="400"/>
      <c r="BK340" s="399"/>
      <c r="BL340" s="129"/>
      <c r="BM340" s="129"/>
      <c r="BN340" s="129"/>
      <c r="BO340" s="400"/>
      <c r="BP340" s="399"/>
      <c r="BQ340" s="129"/>
      <c r="BR340" s="129"/>
      <c r="BS340" s="129"/>
      <c r="BT340" s="400"/>
      <c r="BU340" s="399"/>
      <c r="BV340" s="129"/>
      <c r="BW340" s="129"/>
      <c r="BX340" s="129"/>
      <c r="BY340" s="400"/>
      <c r="BZ340" s="399"/>
      <c r="CA340" s="129"/>
      <c r="CB340" s="129"/>
      <c r="CC340" s="129"/>
      <c r="CD340" s="400"/>
      <c r="CE340" s="399"/>
      <c r="CF340" s="129"/>
      <c r="CG340" s="129"/>
      <c r="CH340" s="129"/>
      <c r="CI340" s="400"/>
      <c r="CJ340" s="399"/>
      <c r="CK340" s="129"/>
      <c r="CL340" s="129"/>
      <c r="CM340" s="129"/>
      <c r="CN340" s="400"/>
      <c r="CO340" s="399"/>
      <c r="CP340" s="129"/>
      <c r="CQ340" s="129"/>
      <c r="CR340" s="129"/>
      <c r="CS340" s="400"/>
      <c r="CT340" s="399"/>
      <c r="CU340" s="129"/>
      <c r="CV340" s="129"/>
      <c r="CW340" s="129"/>
      <c r="CX340" s="400"/>
      <c r="CY340" s="399"/>
      <c r="CZ340" s="129"/>
      <c r="DA340" s="129"/>
      <c r="DB340" s="129"/>
      <c r="DC340" s="400"/>
      <c r="DD340" s="399"/>
      <c r="DE340" s="129"/>
      <c r="DF340" s="129"/>
      <c r="DG340" s="129"/>
      <c r="DH340" s="400"/>
      <c r="DI340" s="399"/>
      <c r="DJ340" s="129"/>
      <c r="DK340" s="129"/>
      <c r="DL340" s="129"/>
      <c r="DM340" s="400"/>
      <c r="DN340" s="399"/>
      <c r="DO340" s="129"/>
      <c r="DP340" s="129"/>
      <c r="DQ340" s="129"/>
      <c r="DR340" s="400"/>
      <c r="DS340" s="399"/>
      <c r="DT340" s="129"/>
      <c r="DU340" s="129"/>
      <c r="DV340" s="129"/>
      <c r="DW340" s="400"/>
      <c r="DX340" s="399"/>
      <c r="DY340" s="129"/>
      <c r="DZ340" s="129"/>
      <c r="EA340" s="129"/>
      <c r="EB340" s="400"/>
      <c r="EC340" s="399"/>
      <c r="ED340" s="129"/>
      <c r="EE340" s="129"/>
      <c r="EF340" s="129"/>
      <c r="EG340" s="400"/>
      <c r="EH340" s="399"/>
      <c r="EI340" s="334">
        <v>250</v>
      </c>
      <c r="EJ340" s="129"/>
      <c r="EK340" s="129"/>
      <c r="EL340" s="400"/>
      <c r="EM340" s="399"/>
      <c r="EN340" s="129"/>
      <c r="EO340" s="129"/>
      <c r="EP340" s="129"/>
      <c r="EQ340" s="400"/>
      <c r="ER340" s="399"/>
      <c r="ES340" s="129"/>
      <c r="ET340" s="129"/>
      <c r="EU340" s="129"/>
      <c r="EV340" s="400"/>
      <c r="EW340" s="399"/>
      <c r="EX340" s="129"/>
      <c r="EY340" s="129"/>
      <c r="EZ340" s="129"/>
      <c r="FA340" s="400"/>
      <c r="FB340" s="399"/>
      <c r="FC340" s="129"/>
      <c r="FD340" s="129"/>
      <c r="FE340" s="129"/>
      <c r="FF340" s="400"/>
      <c r="FG340" s="399"/>
      <c r="FH340" s="129"/>
      <c r="FI340" s="129"/>
      <c r="FJ340" s="129"/>
      <c r="FK340" s="400"/>
      <c r="FL340" s="399"/>
      <c r="FM340" s="129"/>
      <c r="FN340" s="129"/>
      <c r="FO340" s="129"/>
      <c r="FP340" s="400"/>
      <c r="FQ340" s="399"/>
      <c r="FR340" s="129"/>
      <c r="FS340" s="129"/>
      <c r="FT340" s="129"/>
      <c r="FU340" s="400"/>
      <c r="FV340" s="399"/>
      <c r="FW340" s="129"/>
      <c r="FX340" s="129"/>
      <c r="FY340" s="129"/>
      <c r="FZ340" s="400"/>
      <c r="GA340" s="399"/>
      <c r="GB340" s="129"/>
      <c r="GC340" s="129"/>
      <c r="GD340" s="129"/>
      <c r="GE340" s="400"/>
      <c r="GF340" s="399"/>
      <c r="GG340" s="129"/>
      <c r="GH340" s="129"/>
      <c r="GI340" s="129"/>
      <c r="GJ340" s="401"/>
    </row>
    <row r="341" spans="1:192" ht="12.75" hidden="1" customHeight="1" outlineLevel="1">
      <c r="B341" s="735" t="s">
        <v>34</v>
      </c>
      <c r="C341" s="291"/>
      <c r="D341" s="107"/>
      <c r="E341" s="107"/>
      <c r="F341" s="107"/>
      <c r="G341" s="293"/>
      <c r="H341" s="291"/>
      <c r="I341" s="107"/>
      <c r="J341" s="107"/>
      <c r="K341" s="107"/>
      <c r="L341" s="293"/>
      <c r="M341" s="291"/>
      <c r="N341" s="107"/>
      <c r="O341" s="107"/>
      <c r="P341" s="107"/>
      <c r="Q341" s="293"/>
      <c r="R341" s="291"/>
      <c r="S341" s="107"/>
      <c r="T341" s="107"/>
      <c r="U341" s="107"/>
      <c r="V341" s="293"/>
      <c r="W341" s="291"/>
      <c r="X341" s="107"/>
      <c r="Y341" s="107"/>
      <c r="Z341" s="107"/>
      <c r="AA341" s="293"/>
      <c r="AB341" s="291"/>
      <c r="AC341" s="107"/>
      <c r="AD341" s="107"/>
      <c r="AE341" s="107"/>
      <c r="AF341" s="293"/>
      <c r="AG341" s="291"/>
      <c r="AH341" s="107"/>
      <c r="AI341" s="107"/>
      <c r="AJ341" s="107"/>
      <c r="AK341" s="293"/>
      <c r="AL341" s="291"/>
      <c r="AM341" s="107"/>
      <c r="AN341" s="107"/>
      <c r="AO341" s="107"/>
      <c r="AP341" s="293"/>
      <c r="AQ341" s="291"/>
      <c r="AR341" s="107"/>
      <c r="AS341" s="107"/>
      <c r="AT341" s="107"/>
      <c r="AU341" s="293"/>
      <c r="AV341" s="291"/>
      <c r="AW341" s="107"/>
      <c r="AX341" s="107"/>
      <c r="AY341" s="107"/>
      <c r="AZ341" s="293"/>
      <c r="BA341" s="291"/>
      <c r="BB341" s="107"/>
      <c r="BC341" s="107"/>
      <c r="BD341" s="107"/>
      <c r="BE341" s="293"/>
      <c r="BF341" s="291"/>
      <c r="BG341" s="107"/>
      <c r="BH341" s="107"/>
      <c r="BI341" s="107"/>
      <c r="BJ341" s="293"/>
      <c r="BK341" s="291"/>
      <c r="BL341" s="107"/>
      <c r="BM341" s="107"/>
      <c r="BN341" s="107"/>
      <c r="BO341" s="293"/>
      <c r="BP341" s="291"/>
      <c r="BQ341" s="107"/>
      <c r="BR341" s="107"/>
      <c r="BS341" s="107"/>
      <c r="BT341" s="293"/>
      <c r="BU341" s="291"/>
      <c r="BV341" s="107"/>
      <c r="BW341" s="107"/>
      <c r="BX341" s="107"/>
      <c r="BY341" s="293"/>
      <c r="BZ341" s="291"/>
      <c r="CA341" s="107"/>
      <c r="CB341" s="107"/>
      <c r="CC341" s="107"/>
      <c r="CD341" s="293"/>
      <c r="CE341" s="291"/>
      <c r="CF341" s="107"/>
      <c r="CG341" s="107"/>
      <c r="CH341" s="107"/>
      <c r="CI341" s="293"/>
      <c r="CJ341" s="291"/>
      <c r="CK341" s="107"/>
      <c r="CL341" s="107"/>
      <c r="CM341" s="107"/>
      <c r="CN341" s="293"/>
      <c r="CO341" s="291"/>
      <c r="CP341" s="107"/>
      <c r="CQ341" s="107"/>
      <c r="CR341" s="107"/>
      <c r="CS341" s="293"/>
      <c r="CT341" s="291"/>
      <c r="CU341" s="107"/>
      <c r="CV341" s="107"/>
      <c r="CW341" s="107"/>
      <c r="CX341" s="293"/>
      <c r="CY341" s="291"/>
      <c r="CZ341" s="107"/>
      <c r="DA341" s="107"/>
      <c r="DB341" s="107"/>
      <c r="DC341" s="293"/>
      <c r="DD341" s="291"/>
      <c r="DE341" s="107"/>
      <c r="DF341" s="107"/>
      <c r="DG341" s="107"/>
      <c r="DH341" s="293"/>
      <c r="DI341" s="291"/>
      <c r="DJ341" s="107"/>
      <c r="DK341" s="107"/>
      <c r="DL341" s="107"/>
      <c r="DM341" s="293"/>
      <c r="DN341" s="291"/>
      <c r="DO341" s="107"/>
      <c r="DP341" s="107"/>
      <c r="DQ341" s="107"/>
      <c r="DR341" s="293"/>
      <c r="DS341" s="291"/>
      <c r="DT341" s="107"/>
      <c r="DU341" s="107"/>
      <c r="DV341" s="107"/>
      <c r="DW341" s="293"/>
      <c r="DX341" s="291"/>
      <c r="DY341" s="107"/>
      <c r="DZ341" s="107"/>
      <c r="EA341" s="107"/>
      <c r="EB341" s="293"/>
      <c r="EC341" s="291"/>
      <c r="ED341" s="107"/>
      <c r="EE341" s="107"/>
      <c r="EF341" s="107"/>
      <c r="EG341" s="293"/>
      <c r="EH341" s="291"/>
      <c r="EI341" s="107"/>
      <c r="EJ341" s="107"/>
      <c r="EK341" s="107"/>
      <c r="EL341" s="293"/>
      <c r="EM341" s="291"/>
      <c r="EN341" s="107"/>
      <c r="EO341" s="107"/>
      <c r="EP341" s="107"/>
      <c r="EQ341" s="293"/>
      <c r="ER341" s="291"/>
      <c r="ES341" s="107"/>
      <c r="ET341" s="107"/>
      <c r="EU341" s="107"/>
      <c r="EV341" s="293"/>
      <c r="EW341" s="291"/>
      <c r="EX341" s="107"/>
      <c r="EY341" s="107"/>
      <c r="EZ341" s="107"/>
      <c r="FA341" s="293"/>
      <c r="FB341" s="291"/>
      <c r="FC341" s="107"/>
      <c r="FD341" s="107"/>
      <c r="FE341" s="107"/>
      <c r="FF341" s="293"/>
      <c r="FG341" s="291"/>
      <c r="FH341" s="107"/>
      <c r="FI341" s="107"/>
      <c r="FJ341" s="107"/>
      <c r="FK341" s="293"/>
      <c r="FL341" s="291"/>
      <c r="FM341" s="107"/>
      <c r="FN341" s="107"/>
      <c r="FO341" s="107"/>
      <c r="FP341" s="293"/>
      <c r="FQ341" s="291"/>
      <c r="FR341" s="107"/>
      <c r="FS341" s="107"/>
      <c r="FT341" s="107"/>
      <c r="FU341" s="293"/>
      <c r="FV341" s="291"/>
      <c r="FW341" s="107"/>
      <c r="FX341" s="107"/>
      <c r="FY341" s="107"/>
      <c r="FZ341" s="293"/>
      <c r="GA341" s="291"/>
      <c r="GB341" s="107"/>
      <c r="GC341" s="107"/>
      <c r="GD341" s="107"/>
      <c r="GE341" s="293"/>
      <c r="GF341" s="291"/>
      <c r="GG341" s="107"/>
      <c r="GH341" s="107"/>
      <c r="GI341" s="107"/>
      <c r="GJ341" s="382"/>
    </row>
    <row r="342" spans="1:192" s="335" customFormat="1" ht="12.75" customHeight="1" collapsed="1" thickBot="1">
      <c r="A342" s="790"/>
      <c r="B342" s="743"/>
      <c r="C342" s="387"/>
      <c r="D342" s="388"/>
      <c r="E342" s="388"/>
      <c r="F342" s="389"/>
      <c r="G342" s="390"/>
      <c r="H342" s="387"/>
      <c r="I342" s="388"/>
      <c r="J342" s="388"/>
      <c r="K342" s="389"/>
      <c r="L342" s="390"/>
      <c r="M342" s="387"/>
      <c r="N342" s="388"/>
      <c r="O342" s="388"/>
      <c r="P342" s="389"/>
      <c r="Q342" s="390"/>
      <c r="R342" s="387"/>
      <c r="S342" s="388"/>
      <c r="T342" s="388"/>
      <c r="U342" s="389"/>
      <c r="V342" s="390"/>
      <c r="W342" s="387"/>
      <c r="X342" s="388"/>
      <c r="Y342" s="388"/>
      <c r="Z342" s="389"/>
      <c r="AA342" s="390"/>
      <c r="AB342" s="387"/>
      <c r="AC342" s="388"/>
      <c r="AD342" s="388"/>
      <c r="AE342" s="389"/>
      <c r="AF342" s="390"/>
      <c r="AG342" s="387"/>
      <c r="AH342" s="388"/>
      <c r="AI342" s="388"/>
      <c r="AJ342" s="389"/>
      <c r="AK342" s="390"/>
      <c r="AL342" s="387"/>
      <c r="AM342" s="388"/>
      <c r="AN342" s="388"/>
      <c r="AO342" s="389"/>
      <c r="AP342" s="390"/>
      <c r="AQ342" s="387"/>
      <c r="AR342" s="388"/>
      <c r="AS342" s="388"/>
      <c r="AT342" s="389"/>
      <c r="AU342" s="390"/>
      <c r="AV342" s="387"/>
      <c r="AW342" s="388"/>
      <c r="AX342" s="388"/>
      <c r="AY342" s="389"/>
      <c r="AZ342" s="390"/>
      <c r="BA342" s="387"/>
      <c r="BB342" s="388"/>
      <c r="BC342" s="388"/>
      <c r="BD342" s="389"/>
      <c r="BE342" s="390"/>
      <c r="BF342" s="387"/>
      <c r="BG342" s="388"/>
      <c r="BH342" s="388"/>
      <c r="BI342" s="389"/>
      <c r="BJ342" s="390"/>
      <c r="BK342" s="387"/>
      <c r="BL342" s="388"/>
      <c r="BM342" s="388"/>
      <c r="BN342" s="389"/>
      <c r="BO342" s="390"/>
      <c r="BP342" s="387"/>
      <c r="BQ342" s="388"/>
      <c r="BR342" s="388"/>
      <c r="BS342" s="389"/>
      <c r="BT342" s="390"/>
      <c r="BU342" s="387"/>
      <c r="BV342" s="388"/>
      <c r="BW342" s="388"/>
      <c r="BX342" s="389"/>
      <c r="BY342" s="390"/>
      <c r="BZ342" s="387"/>
      <c r="CA342" s="388"/>
      <c r="CB342" s="388"/>
      <c r="CC342" s="389"/>
      <c r="CD342" s="390"/>
      <c r="CE342" s="387"/>
      <c r="CF342" s="388"/>
      <c r="CG342" s="388"/>
      <c r="CH342" s="389"/>
      <c r="CI342" s="390"/>
      <c r="CJ342" s="387"/>
      <c r="CK342" s="388"/>
      <c r="CL342" s="388"/>
      <c r="CM342" s="389"/>
      <c r="CN342" s="390"/>
      <c r="CO342" s="387"/>
      <c r="CP342" s="388"/>
      <c r="CQ342" s="388"/>
      <c r="CR342" s="389"/>
      <c r="CS342" s="390"/>
      <c r="CT342" s="387"/>
      <c r="CU342" s="388"/>
      <c r="CV342" s="388"/>
      <c r="CW342" s="389"/>
      <c r="CX342" s="390"/>
      <c r="CY342" s="387"/>
      <c r="CZ342" s="388"/>
      <c r="DA342" s="388"/>
      <c r="DB342" s="389"/>
      <c r="DC342" s="390"/>
      <c r="DD342" s="387"/>
      <c r="DE342" s="388"/>
      <c r="DF342" s="388"/>
      <c r="DG342" s="389"/>
      <c r="DH342" s="390"/>
      <c r="DI342" s="387"/>
      <c r="DJ342" s="388"/>
      <c r="DK342" s="388"/>
      <c r="DL342" s="389"/>
      <c r="DM342" s="390"/>
      <c r="DN342" s="387"/>
      <c r="DO342" s="388"/>
      <c r="DP342" s="388"/>
      <c r="DQ342" s="389"/>
      <c r="DR342" s="390"/>
      <c r="DS342" s="387"/>
      <c r="DT342" s="388"/>
      <c r="DU342" s="388"/>
      <c r="DV342" s="389"/>
      <c r="DW342" s="390"/>
      <c r="DX342" s="387"/>
      <c r="DY342" s="388"/>
      <c r="DZ342" s="388"/>
      <c r="EA342" s="389"/>
      <c r="EB342" s="390"/>
      <c r="EC342" s="387"/>
      <c r="ED342" s="388"/>
      <c r="EE342" s="388"/>
      <c r="EF342" s="389"/>
      <c r="EG342" s="390"/>
      <c r="EH342" s="387"/>
      <c r="EI342" s="388"/>
      <c r="EJ342" s="388"/>
      <c r="EK342" s="389"/>
      <c r="EL342" s="390"/>
      <c r="EM342" s="387"/>
      <c r="EN342" s="388"/>
      <c r="EO342" s="388"/>
      <c r="EP342" s="389"/>
      <c r="EQ342" s="390"/>
      <c r="ER342" s="387"/>
      <c r="ES342" s="388"/>
      <c r="ET342" s="388"/>
      <c r="EU342" s="1466"/>
      <c r="EV342" s="390"/>
      <c r="EW342" s="387"/>
      <c r="EX342" s="388"/>
      <c r="EY342" s="388"/>
      <c r="EZ342" s="389"/>
      <c r="FA342" s="390"/>
      <c r="FB342" s="387"/>
      <c r="FC342" s="388"/>
      <c r="FD342" s="388"/>
      <c r="FE342" s="389"/>
      <c r="FF342" s="390"/>
      <c r="FG342" s="387"/>
      <c r="FH342" s="388"/>
      <c r="FI342" s="388"/>
      <c r="FJ342" s="389"/>
      <c r="FK342" s="390"/>
      <c r="FL342" s="387"/>
      <c r="FM342" s="388"/>
      <c r="FN342" s="388"/>
      <c r="FO342" s="389"/>
      <c r="FP342" s="390"/>
      <c r="FQ342" s="387"/>
      <c r="FR342" s="388"/>
      <c r="FS342" s="388"/>
      <c r="FT342" s="389"/>
      <c r="FU342" s="390"/>
      <c r="FV342" s="387"/>
      <c r="FW342" s="388"/>
      <c r="FX342" s="388"/>
      <c r="FY342" s="389"/>
      <c r="FZ342" s="1469"/>
      <c r="GA342" s="387"/>
      <c r="GB342" s="388"/>
      <c r="GC342" s="388"/>
      <c r="GD342" s="389"/>
      <c r="GE342" s="1469"/>
      <c r="GF342" s="387"/>
      <c r="GG342" s="388"/>
      <c r="GH342" s="388"/>
      <c r="GI342" s="389"/>
      <c r="GJ342" s="391"/>
    </row>
    <row r="343" spans="1:192" ht="12.75" customHeight="1">
      <c r="B343" s="754"/>
      <c r="EM343" s="440"/>
      <c r="ER343" s="491"/>
    </row>
    <row r="344" spans="1:192" ht="12.75" customHeight="1" thickBot="1"/>
    <row r="345" spans="1:192" ht="12.75" customHeight="1" thickBot="1">
      <c r="B345" s="731" t="s">
        <v>198</v>
      </c>
      <c r="C345" s="396"/>
      <c r="D345" s="397"/>
      <c r="E345" s="397"/>
      <c r="F345" s="397"/>
      <c r="G345" s="397"/>
      <c r="H345" s="396"/>
      <c r="I345" s="397"/>
      <c r="J345" s="397"/>
      <c r="K345" s="397"/>
      <c r="L345" s="397"/>
      <c r="M345" s="396"/>
      <c r="N345" s="397"/>
      <c r="O345" s="397"/>
      <c r="P345" s="397"/>
      <c r="Q345" s="397"/>
      <c r="R345" s="396"/>
      <c r="S345" s="397"/>
      <c r="T345" s="397"/>
      <c r="U345" s="397"/>
      <c r="V345" s="397"/>
      <c r="W345" s="396"/>
      <c r="X345" s="397"/>
      <c r="Y345" s="397"/>
      <c r="Z345" s="397"/>
      <c r="AA345" s="397"/>
      <c r="AB345" s="396"/>
      <c r="AC345" s="397"/>
      <c r="AD345" s="397"/>
      <c r="AE345" s="397"/>
      <c r="AF345" s="397"/>
      <c r="AG345" s="396"/>
      <c r="AH345" s="397"/>
      <c r="AI345" s="397"/>
      <c r="AJ345" s="397"/>
      <c r="AK345" s="397"/>
      <c r="AL345" s="396"/>
      <c r="AM345" s="397"/>
      <c r="AN345" s="397"/>
      <c r="AO345" s="397"/>
      <c r="AP345" s="397"/>
      <c r="AQ345" s="396"/>
      <c r="AR345" s="397"/>
      <c r="AS345" s="397"/>
      <c r="AT345" s="397"/>
      <c r="AU345" s="397"/>
      <c r="AV345" s="396"/>
      <c r="AW345" s="397"/>
      <c r="AX345" s="397"/>
      <c r="AY345" s="397"/>
      <c r="AZ345" s="397"/>
      <c r="BA345" s="396"/>
      <c r="BB345" s="397"/>
      <c r="BC345" s="397"/>
      <c r="BD345" s="397"/>
      <c r="BE345" s="397"/>
      <c r="BF345" s="396"/>
      <c r="BG345" s="397"/>
      <c r="BH345" s="397"/>
      <c r="BI345" s="397"/>
      <c r="BJ345" s="397"/>
      <c r="BK345" s="396"/>
      <c r="BL345" s="397"/>
      <c r="BM345" s="397"/>
      <c r="BN345" s="397"/>
      <c r="BO345" s="397"/>
      <c r="BP345" s="396"/>
      <c r="BQ345" s="397"/>
      <c r="BR345" s="397"/>
      <c r="BS345" s="397"/>
      <c r="BT345" s="397"/>
      <c r="BU345" s="396"/>
      <c r="BV345" s="397"/>
      <c r="BW345" s="397"/>
      <c r="BX345" s="397"/>
      <c r="BY345" s="397"/>
      <c r="BZ345" s="396"/>
      <c r="CA345" s="397"/>
      <c r="CB345" s="397"/>
      <c r="CC345" s="397"/>
      <c r="CD345" s="430"/>
      <c r="CE345" s="396"/>
      <c r="CF345" s="397"/>
      <c r="CG345" s="397"/>
      <c r="CH345" s="397"/>
      <c r="CI345" s="430"/>
      <c r="CJ345" s="396"/>
      <c r="CK345" s="397"/>
      <c r="CL345" s="397"/>
      <c r="CM345" s="397"/>
      <c r="CN345" s="430"/>
      <c r="CO345" s="396"/>
      <c r="CP345" s="397"/>
      <c r="CQ345" s="397"/>
      <c r="CR345" s="397"/>
      <c r="CS345" s="430"/>
      <c r="CT345" s="396"/>
      <c r="CU345" s="397"/>
      <c r="CV345" s="397"/>
      <c r="CW345" s="397"/>
      <c r="CX345" s="430"/>
      <c r="CY345" s="396"/>
      <c r="CZ345" s="397"/>
      <c r="DA345" s="397"/>
      <c r="DB345" s="397"/>
      <c r="DC345" s="430"/>
      <c r="DD345" s="396"/>
      <c r="DE345" s="397"/>
      <c r="DF345" s="397"/>
      <c r="DG345" s="397"/>
      <c r="DH345" s="430"/>
      <c r="DI345" s="396"/>
      <c r="DJ345" s="397"/>
      <c r="DK345" s="397"/>
      <c r="DL345" s="397"/>
      <c r="DM345" s="430"/>
      <c r="DN345" s="396"/>
      <c r="DO345" s="397"/>
      <c r="DP345" s="397"/>
      <c r="DQ345" s="397"/>
      <c r="DR345" s="430"/>
      <c r="DS345" s="396"/>
      <c r="DT345" s="397"/>
      <c r="DU345" s="397"/>
      <c r="DV345" s="397"/>
      <c r="DW345" s="430"/>
      <c r="DX345" s="396"/>
      <c r="DY345" s="397"/>
      <c r="DZ345" s="397"/>
      <c r="EA345" s="397"/>
      <c r="EB345" s="430"/>
      <c r="EC345" s="396"/>
      <c r="ED345" s="397"/>
      <c r="EE345" s="397"/>
      <c r="EF345" s="397"/>
      <c r="EG345" s="430"/>
      <c r="EH345" s="396"/>
      <c r="EI345" s="397"/>
      <c r="EJ345" s="397"/>
      <c r="EK345" s="397"/>
      <c r="EL345" s="430"/>
      <c r="EM345" s="396"/>
      <c r="EN345" s="397"/>
      <c r="EO345" s="397"/>
      <c r="EP345" s="397"/>
      <c r="EQ345" s="430"/>
      <c r="ER345" s="396"/>
      <c r="ES345" s="397"/>
      <c r="ET345" s="397"/>
      <c r="EU345" s="397"/>
      <c r="EV345" s="397"/>
      <c r="EW345" s="396"/>
      <c r="EX345" s="397"/>
      <c r="EY345" s="397"/>
      <c r="EZ345" s="397"/>
      <c r="FA345" s="397"/>
      <c r="FB345" s="396"/>
      <c r="FC345" s="397"/>
      <c r="FD345" s="397"/>
      <c r="FE345" s="397"/>
      <c r="FF345" s="397"/>
      <c r="FG345" s="396"/>
      <c r="FH345" s="397"/>
      <c r="FI345" s="397"/>
      <c r="FJ345" s="397"/>
      <c r="FK345" s="397"/>
      <c r="FL345" s="396"/>
      <c r="FM345" s="397"/>
      <c r="FN345" s="397"/>
      <c r="FO345" s="397"/>
      <c r="FP345" s="397"/>
      <c r="FQ345" s="396"/>
      <c r="FR345" s="397"/>
      <c r="FS345" s="397"/>
      <c r="FT345" s="397"/>
      <c r="FU345" s="397"/>
      <c r="FV345" s="396"/>
      <c r="FW345" s="397"/>
      <c r="FX345" s="397"/>
      <c r="FY345" s="397"/>
      <c r="FZ345" s="397"/>
      <c r="GA345" s="396"/>
      <c r="GB345" s="397"/>
      <c r="GC345" s="397"/>
      <c r="GD345" s="397"/>
      <c r="GE345" s="397"/>
      <c r="GF345" s="396"/>
      <c r="GG345" s="397"/>
      <c r="GH345" s="397"/>
      <c r="GI345" s="397"/>
      <c r="GJ345" s="398"/>
    </row>
    <row r="346" spans="1:192" ht="12.75" customHeight="1">
      <c r="B346" s="732"/>
      <c r="C346" s="294"/>
      <c r="D346" s="295"/>
      <c r="E346" s="295"/>
      <c r="F346" s="295"/>
      <c r="G346" s="296"/>
      <c r="H346" s="294"/>
      <c r="I346" s="295"/>
      <c r="J346" s="295"/>
      <c r="K346" s="295"/>
      <c r="L346" s="296"/>
      <c r="M346" s="294"/>
      <c r="N346" s="295"/>
      <c r="O346" s="295"/>
      <c r="P346" s="295"/>
      <c r="Q346" s="296"/>
      <c r="R346" s="294"/>
      <c r="S346" s="295"/>
      <c r="T346" s="295"/>
      <c r="U346" s="295"/>
      <c r="V346" s="296"/>
      <c r="W346" s="294"/>
      <c r="X346" s="295"/>
      <c r="Y346" s="295"/>
      <c r="Z346" s="295"/>
      <c r="AA346" s="296"/>
      <c r="AB346" s="294"/>
      <c r="AC346" s="295"/>
      <c r="AD346" s="295"/>
      <c r="AE346" s="295"/>
      <c r="AF346" s="296"/>
      <c r="AG346" s="294"/>
      <c r="AH346" s="295"/>
      <c r="AI346" s="295"/>
      <c r="AJ346" s="295"/>
      <c r="AK346" s="296"/>
      <c r="AL346" s="294"/>
      <c r="AM346" s="295"/>
      <c r="AN346" s="295"/>
      <c r="AO346" s="295"/>
      <c r="AP346" s="296"/>
      <c r="AQ346" s="294"/>
      <c r="AR346" s="295"/>
      <c r="AS346" s="295"/>
      <c r="AT346" s="295"/>
      <c r="AU346" s="296"/>
      <c r="AV346" s="294"/>
      <c r="AW346" s="295"/>
      <c r="AX346" s="295"/>
      <c r="AY346" s="295"/>
      <c r="AZ346" s="296"/>
      <c r="BA346" s="294"/>
      <c r="BB346" s="295"/>
      <c r="BC346" s="295"/>
      <c r="BD346" s="295"/>
      <c r="BE346" s="296"/>
      <c r="BF346" s="294"/>
      <c r="BG346" s="295"/>
      <c r="BH346" s="295"/>
      <c r="BI346" s="295"/>
      <c r="BJ346" s="296"/>
      <c r="BK346" s="294"/>
      <c r="BL346" s="295"/>
      <c r="BM346" s="295"/>
      <c r="BN346" s="295"/>
      <c r="BO346" s="296"/>
      <c r="BP346" s="294"/>
      <c r="BQ346" s="295"/>
      <c r="BR346" s="295"/>
      <c r="BS346" s="295"/>
      <c r="BT346" s="296"/>
      <c r="BU346" s="294"/>
      <c r="BV346" s="295"/>
      <c r="BW346" s="295"/>
      <c r="BX346" s="295"/>
      <c r="BY346" s="296"/>
      <c r="BZ346" s="294"/>
      <c r="CA346" s="295"/>
      <c r="CB346" s="295"/>
      <c r="CC346" s="295"/>
      <c r="CD346" s="293"/>
      <c r="CE346" s="294"/>
      <c r="CF346" s="295"/>
      <c r="CG346" s="295"/>
      <c r="CH346" s="295"/>
      <c r="CI346" s="293"/>
      <c r="CJ346" s="294"/>
      <c r="CK346" s="295"/>
      <c r="CL346" s="295"/>
      <c r="CM346" s="295"/>
      <c r="CN346" s="293"/>
      <c r="CO346" s="294"/>
      <c r="CP346" s="295"/>
      <c r="CQ346" s="295"/>
      <c r="CR346" s="295"/>
      <c r="CS346" s="293"/>
      <c r="CT346" s="294"/>
      <c r="CU346" s="295"/>
      <c r="CV346" s="295"/>
      <c r="CW346" s="295"/>
      <c r="CX346" s="293"/>
      <c r="CY346" s="294"/>
      <c r="CZ346" s="295"/>
      <c r="DA346" s="295"/>
      <c r="DB346" s="295"/>
      <c r="DC346" s="293"/>
      <c r="DD346" s="294"/>
      <c r="DE346" s="295"/>
      <c r="DF346" s="295"/>
      <c r="DG346" s="295"/>
      <c r="DH346" s="293"/>
      <c r="DI346" s="294"/>
      <c r="DJ346" s="295"/>
      <c r="DK346" s="295"/>
      <c r="DL346" s="295"/>
      <c r="DM346" s="293"/>
      <c r="DN346" s="294"/>
      <c r="DO346" s="295"/>
      <c r="DP346" s="295"/>
      <c r="DQ346" s="295"/>
      <c r="DR346" s="293"/>
      <c r="DS346" s="294"/>
      <c r="DT346" s="295"/>
      <c r="DU346" s="295"/>
      <c r="DV346" s="295"/>
      <c r="DW346" s="293"/>
      <c r="DX346" s="294"/>
      <c r="DY346" s="295"/>
      <c r="DZ346" s="295"/>
      <c r="EA346" s="295"/>
      <c r="EB346" s="293"/>
      <c r="EC346" s="294"/>
      <c r="ED346" s="295"/>
      <c r="EE346" s="295"/>
      <c r="EF346" s="295"/>
      <c r="EG346" s="293"/>
      <c r="EH346" s="294"/>
      <c r="EI346" s="295"/>
      <c r="EJ346" s="295"/>
      <c r="EK346" s="295"/>
      <c r="EL346" s="293"/>
      <c r="EM346" s="294"/>
      <c r="EN346" s="295"/>
      <c r="EO346" s="295"/>
      <c r="EP346" s="295"/>
      <c r="EQ346" s="293"/>
      <c r="ER346" s="294"/>
      <c r="ES346" s="295"/>
      <c r="ET346" s="295"/>
      <c r="EU346" s="295"/>
      <c r="EV346" s="296"/>
      <c r="EW346" s="294"/>
      <c r="EX346" s="295"/>
      <c r="EY346" s="295"/>
      <c r="EZ346" s="295"/>
      <c r="FA346" s="296"/>
      <c r="FB346" s="294"/>
      <c r="FC346" s="295"/>
      <c r="FD346" s="295"/>
      <c r="FE346" s="295"/>
      <c r="FF346" s="296"/>
      <c r="FG346" s="294"/>
      <c r="FH346" s="295"/>
      <c r="FI346" s="295"/>
      <c r="FJ346" s="295"/>
      <c r="FK346" s="296"/>
      <c r="FL346" s="294"/>
      <c r="FM346" s="295"/>
      <c r="FN346" s="295"/>
      <c r="FO346" s="295"/>
      <c r="FP346" s="296"/>
      <c r="FQ346" s="294"/>
      <c r="FR346" s="295"/>
      <c r="FS346" s="295"/>
      <c r="FT346" s="295"/>
      <c r="FU346" s="296"/>
      <c r="FV346" s="294"/>
      <c r="FW346" s="295"/>
      <c r="FX346" s="295"/>
      <c r="FY346" s="295"/>
      <c r="FZ346" s="1468"/>
      <c r="GA346" s="294"/>
      <c r="GB346" s="295"/>
      <c r="GC346" s="295"/>
      <c r="GD346" s="295"/>
      <c r="GE346" s="1468"/>
      <c r="GF346" s="294"/>
      <c r="GG346" s="295"/>
      <c r="GH346" s="295"/>
      <c r="GI346" s="295"/>
      <c r="GJ346" s="383"/>
    </row>
    <row r="347" spans="1:192" s="317" customFormat="1" ht="12.75" customHeight="1">
      <c r="A347" s="280"/>
      <c r="B347" s="857" t="s">
        <v>223</v>
      </c>
      <c r="C347" s="316"/>
      <c r="D347" s="316"/>
      <c r="E347" s="316"/>
      <c r="F347" s="316"/>
      <c r="G347" s="313"/>
      <c r="H347" s="316"/>
      <c r="I347" s="316"/>
      <c r="J347" s="316"/>
      <c r="K347" s="316"/>
      <c r="L347" s="313"/>
      <c r="M347" s="316"/>
      <c r="N347" s="316"/>
      <c r="O347" s="316"/>
      <c r="P347" s="316"/>
      <c r="Q347" s="313"/>
      <c r="R347" s="316"/>
      <c r="S347" s="316"/>
      <c r="T347" s="316"/>
      <c r="U347" s="316"/>
      <c r="V347" s="313"/>
      <c r="W347" s="316"/>
      <c r="X347" s="316"/>
      <c r="Y347" s="316"/>
      <c r="Z347" s="316"/>
      <c r="AA347" s="313"/>
      <c r="AB347" s="316"/>
      <c r="AC347" s="316"/>
      <c r="AD347" s="316"/>
      <c r="AE347" s="316"/>
      <c r="AF347" s="313"/>
      <c r="AG347" s="316"/>
      <c r="AH347" s="316"/>
      <c r="AI347" s="316"/>
      <c r="AJ347" s="316"/>
      <c r="AK347" s="313"/>
      <c r="AL347" s="316"/>
      <c r="AM347" s="316"/>
      <c r="AN347" s="316"/>
      <c r="AO347" s="316"/>
      <c r="AP347" s="313"/>
      <c r="AQ347" s="316"/>
      <c r="AR347" s="316"/>
      <c r="AS347" s="316"/>
      <c r="AT347" s="316"/>
      <c r="AU347" s="313"/>
      <c r="AV347" s="316"/>
      <c r="AW347" s="316"/>
      <c r="AX347" s="316"/>
      <c r="AY347" s="316"/>
      <c r="AZ347" s="313"/>
      <c r="BA347" s="316"/>
      <c r="BB347" s="316"/>
      <c r="BC347" s="316"/>
      <c r="BD347" s="316"/>
      <c r="BE347" s="313"/>
      <c r="BF347" s="316"/>
      <c r="BG347" s="316"/>
      <c r="BH347" s="316"/>
      <c r="BI347" s="316"/>
      <c r="BJ347" s="313"/>
      <c r="BK347" s="316"/>
      <c r="BL347" s="316"/>
      <c r="BM347" s="316"/>
      <c r="BN347" s="316"/>
      <c r="BO347" s="313"/>
      <c r="BP347" s="316"/>
      <c r="BQ347" s="316"/>
      <c r="BR347" s="316"/>
      <c r="BS347" s="316"/>
      <c r="BT347" s="313"/>
      <c r="BU347" s="316"/>
      <c r="BV347" s="316"/>
      <c r="BW347" s="316"/>
      <c r="BX347" s="316"/>
      <c r="BY347" s="313"/>
      <c r="BZ347" s="316"/>
      <c r="CA347" s="316"/>
      <c r="CB347" s="316"/>
      <c r="CC347" s="316"/>
      <c r="CD347" s="319"/>
      <c r="CE347" s="316"/>
      <c r="CF347" s="316"/>
      <c r="CG347" s="316"/>
      <c r="CH347" s="316"/>
      <c r="CI347" s="319"/>
      <c r="CJ347" s="316"/>
      <c r="CK347" s="316"/>
      <c r="CL347" s="316"/>
      <c r="CM347" s="316"/>
      <c r="CN347" s="319"/>
      <c r="CO347" s="316"/>
      <c r="CP347" s="316"/>
      <c r="CQ347" s="316"/>
      <c r="CR347" s="316"/>
      <c r="CS347" s="319"/>
      <c r="CT347" s="312">
        <f>CY347/(1+CY348)</f>
      </c>
      <c r="CU347" s="312">
        <f>CZ347/(1+CZ348)</f>
      </c>
      <c r="CV347" s="312">
        <f>DA347/(1+DA348)</f>
      </c>
      <c r="CW347" s="312">
        <f>DB347/(1+DB348)</f>
      </c>
      <c r="CX347" s="319">
        <f>SUM(CT347:CW347)</f>
      </c>
      <c r="CY347" s="312">
        <f>DD347/(1+DD348)</f>
      </c>
      <c r="CZ347" s="312">
        <f>DE347/(1+DE348)</f>
      </c>
      <c r="DA347" s="312">
        <f>DF347/(1+DF348)</f>
      </c>
      <c r="DB347" s="312">
        <f>DG347/(1+DG348)</f>
      </c>
      <c r="DC347" s="319">
        <f>SUM(CY347:DB347)</f>
      </c>
      <c r="DD347" s="312">
        <f>DI347/(1+DI348)</f>
      </c>
      <c r="DE347" s="312">
        <f>DJ347/(1+DJ348)</f>
      </c>
      <c r="DF347" s="312">
        <f>DK347/(1+DK348)</f>
      </c>
      <c r="DG347" s="312">
        <f>DL347/(1+DL348)</f>
      </c>
      <c r="DH347" s="319">
        <f>SUM(DD347:DG347)</f>
      </c>
      <c r="DI347" s="312">
        <f>DN347/(1+DN348)</f>
      </c>
      <c r="DJ347" s="312">
        <f>DO347/(1+DO348)</f>
      </c>
      <c r="DK347" s="312">
        <f>DP347/(1+DP348)</f>
      </c>
      <c r="DL347" s="312">
        <f>DQ347/(1+DQ348)</f>
      </c>
      <c r="DM347" s="319">
        <f>SUM(DI347:DL347)</f>
      </c>
      <c r="DN347" s="312">
        <f>DS347/(1+DS348)</f>
      </c>
      <c r="DO347" s="312">
        <f>DT347/(1+DT348)</f>
      </c>
      <c r="DP347" s="312">
        <f>DU347/(1+DU348)</f>
      </c>
      <c r="DQ347" s="312">
        <f>DV347/(1+DV348)</f>
      </c>
      <c r="DR347" s="319">
        <f>SUM(DN347:DQ347)</f>
      </c>
      <c r="DS347" s="312">
        <f>DX347/(1+DX348)</f>
      </c>
      <c r="DT347" s="312">
        <f>DY347/(1+DY348)</f>
      </c>
      <c r="DU347" s="312">
        <f>DZ347/(1+DZ348)</f>
      </c>
      <c r="DV347" s="312">
        <f>EA347/(1+EA348)</f>
      </c>
      <c r="DW347" s="319">
        <f>SUM(DS347:DV347)</f>
      </c>
      <c r="DX347" s="312">
        <f>EC347/(1+EC348)</f>
      </c>
      <c r="DY347" s="312">
        <f>ED347/(1+ED348)</f>
      </c>
      <c r="DZ347" s="312">
        <f>EE347/(1+EE348)</f>
      </c>
      <c r="EA347" s="312">
        <f>EF347/(1+EF348)</f>
      </c>
      <c r="EB347" s="319">
        <f>SUM(DX347:EA347)</f>
      </c>
      <c r="EC347" s="312">
        <f>EH347/(1+EH348)</f>
      </c>
      <c r="ED347" s="312">
        <f>EI347/(1+EI348)</f>
      </c>
      <c r="EE347" s="312">
        <f>EJ347/(1+EJ348)</f>
      </c>
      <c r="EF347" s="312">
        <f>EK347/(1+EK348)</f>
      </c>
      <c r="EG347" s="453">
        <v>3754</v>
      </c>
      <c r="EH347" s="312">
        <f>EM347/(1+EM348)</f>
      </c>
      <c r="EI347" s="312">
        <f>EN347/(1+EN348)</f>
      </c>
      <c r="EJ347" s="312">
        <f>EO347/(1+EO348)</f>
      </c>
      <c r="EK347" s="312">
        <f>EP347/(1+EP348)</f>
      </c>
      <c r="EL347" s="453">
        <v>4687</v>
      </c>
      <c r="EM347" s="316">
        <v>1345</v>
      </c>
      <c r="EN347" s="316">
        <v>1391</v>
      </c>
      <c r="EO347" s="1158">
        <v>1484</v>
      </c>
      <c r="EP347" s="312">
        <f>EQ347-EO347-EN347-EM347</f>
      </c>
      <c r="EQ347" s="453">
        <v>5796</v>
      </c>
      <c r="ER347" s="316">
        <v>1626</v>
      </c>
      <c r="ES347" s="1158">
        <v>1659</v>
      </c>
      <c r="ET347" s="1158">
        <v>1740</v>
      </c>
      <c r="EU347" s="312">
        <f>EV347-ET347-ES347-ER347</f>
      </c>
      <c r="EV347" s="453">
        <v>6831</v>
      </c>
      <c r="EW347" s="1158">
        <v>1849</v>
      </c>
      <c r="EX347" s="1158">
        <v>1913</v>
      </c>
      <c r="EY347" s="1158">
        <v>1929</v>
      </c>
      <c r="EZ347" s="312">
        <f>FA347-EY347-EX347-EW347</f>
      </c>
      <c r="FA347" s="1726">
        <v>7827</v>
      </c>
      <c r="FB347" s="312">
        <f>FB355+FB365</f>
      </c>
      <c r="FC347" s="312">
        <f>FC355+FC365</f>
      </c>
      <c r="FD347" s="312">
        <f>FD355+FD365</f>
      </c>
      <c r="FE347" s="312">
        <f>FE355+FE365</f>
      </c>
      <c r="FF347" s="313">
        <f>SUM(FB347:FE347)</f>
      </c>
      <c r="FG347" s="312">
        <f>FG355+FG365</f>
      </c>
      <c r="FH347" s="312">
        <f>FH355+FH365</f>
      </c>
      <c r="FI347" s="312">
        <f>FI355+FI365</f>
      </c>
      <c r="FJ347" s="312">
        <f>FJ355+FJ365</f>
      </c>
      <c r="FK347" s="313">
        <f>SUM(FG347:FJ347)</f>
      </c>
      <c r="FL347" s="312">
        <f>FL355+FL365</f>
      </c>
      <c r="FM347" s="312">
        <f>FM355+FM365</f>
      </c>
      <c r="FN347" s="312">
        <f>FN355+FN365</f>
      </c>
      <c r="FO347" s="312">
        <f>FO355+FO365</f>
      </c>
      <c r="FP347" s="313">
        <f>SUM(FL347:FO347)</f>
      </c>
      <c r="FQ347" s="312">
        <f>FQ355+FQ365</f>
      </c>
      <c r="FR347" s="312">
        <f>FR355+FR365</f>
      </c>
      <c r="FS347" s="312">
        <f>FS355+FS365</f>
      </c>
      <c r="FT347" s="312">
        <f>FT355+FT365</f>
      </c>
      <c r="FU347" s="313">
        <f>SUM(FQ347:FT347)</f>
      </c>
      <c r="FV347" s="312">
        <f>FV355+FV365</f>
      </c>
      <c r="FW347" s="312">
        <f>FW355+FW365</f>
      </c>
      <c r="FX347" s="312">
        <f>FX355+FX365</f>
      </c>
      <c r="FY347" s="312">
        <f>FY355+FY365</f>
      </c>
      <c r="FZ347" s="456">
        <f>SUM(FV347:FY347)</f>
      </c>
      <c r="GA347" s="312">
        <f>GA355+GA365</f>
      </c>
      <c r="GB347" s="312">
        <f>GB355+GB365</f>
      </c>
      <c r="GC347" s="312">
        <f>GC355+GC365</f>
      </c>
      <c r="GD347" s="312">
        <f>GD355+GD365</f>
      </c>
      <c r="GE347" s="456">
        <f>SUM(GA347:GD347)</f>
      </c>
      <c r="GF347" s="312">
        <f>GF355+GF365</f>
      </c>
      <c r="GG347" s="312">
        <f>GG355+GG365</f>
      </c>
      <c r="GH347" s="312">
        <f>GH355+GH365</f>
      </c>
      <c r="GI347" s="312">
        <f>GI355+GI365</f>
      </c>
      <c r="GJ347" s="499">
        <f>SUM(GF347:GI347)</f>
      </c>
    </row>
    <row r="348" spans="1:192" s="1241" customFormat="1" ht="12.75" customHeight="1">
      <c r="A348" s="1237"/>
      <c r="B348" s="735" t="s">
        <v>34</v>
      </c>
      <c r="C348" s="1238"/>
      <c r="D348" s="1117"/>
      <c r="E348" s="1117"/>
      <c r="F348" s="1117"/>
      <c r="G348" s="1239"/>
      <c r="H348" s="1238"/>
      <c r="I348" s="1117"/>
      <c r="J348" s="1117"/>
      <c r="K348" s="1117"/>
      <c r="L348" s="1239"/>
      <c r="M348" s="1238"/>
      <c r="N348" s="1117"/>
      <c r="O348" s="1117"/>
      <c r="P348" s="1117"/>
      <c r="Q348" s="1239"/>
      <c r="R348" s="1238"/>
      <c r="S348" s="1117"/>
      <c r="T348" s="1117"/>
      <c r="U348" s="1117"/>
      <c r="V348" s="1239"/>
      <c r="W348" s="1238"/>
      <c r="X348" s="1117"/>
      <c r="Y348" s="1117"/>
      <c r="Z348" s="1117"/>
      <c r="AA348" s="1239"/>
      <c r="AB348" s="1238"/>
      <c r="AC348" s="1117"/>
      <c r="AD348" s="1117"/>
      <c r="AE348" s="1117"/>
      <c r="AF348" s="1239"/>
      <c r="AG348" s="1238"/>
      <c r="AH348" s="1117"/>
      <c r="AI348" s="1117"/>
      <c r="AJ348" s="1117"/>
      <c r="AK348" s="1239"/>
      <c r="AL348" s="1238"/>
      <c r="AM348" s="1117"/>
      <c r="AN348" s="1117"/>
      <c r="AO348" s="1117"/>
      <c r="AP348" s="1239"/>
      <c r="AQ348" s="1238"/>
      <c r="AR348" s="1117"/>
      <c r="AS348" s="1117"/>
      <c r="AT348" s="1117"/>
      <c r="AU348" s="1239"/>
      <c r="AV348" s="1238"/>
      <c r="AW348" s="1117"/>
      <c r="AX348" s="1117"/>
      <c r="AY348" s="1117"/>
      <c r="AZ348" s="1239"/>
      <c r="BA348" s="1238"/>
      <c r="BB348" s="1117"/>
      <c r="BC348" s="1117"/>
      <c r="BD348" s="1117"/>
      <c r="BE348" s="1239"/>
      <c r="BF348" s="1238"/>
      <c r="BG348" s="1117"/>
      <c r="BH348" s="1117"/>
      <c r="BI348" s="1117"/>
      <c r="BJ348" s="1239"/>
      <c r="BK348" s="1238"/>
      <c r="BL348" s="1117"/>
      <c r="BM348" s="1117"/>
      <c r="BN348" s="1117"/>
      <c r="BO348" s="1239"/>
      <c r="BP348" s="1238"/>
      <c r="BQ348" s="1117"/>
      <c r="BR348" s="1117"/>
      <c r="BS348" s="1117"/>
      <c r="BT348" s="1239"/>
      <c r="BU348" s="1238"/>
      <c r="BV348" s="1117"/>
      <c r="BW348" s="1117"/>
      <c r="BX348" s="1117"/>
      <c r="BY348" s="1239"/>
      <c r="BZ348" s="1238"/>
      <c r="CA348" s="1117"/>
      <c r="CB348" s="1117"/>
      <c r="CC348" s="1117"/>
      <c r="CD348" s="1240"/>
      <c r="CE348" s="1238"/>
      <c r="CF348" s="1117"/>
      <c r="CG348" s="1117"/>
      <c r="CH348" s="1117"/>
      <c r="CI348" s="1240"/>
      <c r="CJ348" s="1238"/>
      <c r="CK348" s="1117"/>
      <c r="CL348" s="1117"/>
      <c r="CM348" s="1117"/>
      <c r="CN348" s="1240"/>
      <c r="CO348" s="1238"/>
      <c r="CP348" s="1117"/>
      <c r="CQ348" s="1117"/>
      <c r="CR348" s="1117"/>
      <c r="CS348" s="1240"/>
      <c r="CT348" s="1238"/>
      <c r="CU348" s="1117"/>
      <c r="CV348" s="1117"/>
      <c r="CW348" s="1117"/>
      <c r="CX348" s="1240"/>
      <c r="CY348" s="412">
        <v>0.15</v>
      </c>
      <c r="CZ348" s="114">
        <v>0.13</v>
      </c>
      <c r="DA348" s="114">
        <v>0.13</v>
      </c>
      <c r="DB348" s="114">
        <v>0.06</v>
      </c>
      <c r="DC348" s="292">
        <f>DC347/CX347-1</f>
      </c>
      <c r="DD348" s="412">
        <v>0.03</v>
      </c>
      <c r="DE348" s="114">
        <v>0.03</v>
      </c>
      <c r="DF348" s="114">
        <v>0.04</v>
      </c>
      <c r="DG348" s="114">
        <v>0.06</v>
      </c>
      <c r="DH348" s="292">
        <f>DH347/DC347-1</f>
      </c>
      <c r="DI348" s="441">
        <v>0.1</v>
      </c>
      <c r="DJ348" s="439">
        <v>0.01</v>
      </c>
      <c r="DK348" s="439">
        <v>0.1</v>
      </c>
      <c r="DL348" s="439">
        <v>0.02</v>
      </c>
      <c r="DM348" s="292">
        <f>DM347/DH347-1</f>
      </c>
      <c r="DN348" s="412">
        <v>0.13</v>
      </c>
      <c r="DO348" s="114">
        <v>0.1</v>
      </c>
      <c r="DP348" s="114">
        <v>0.17</v>
      </c>
      <c r="DQ348" s="114">
        <v>0.11</v>
      </c>
      <c r="DR348" s="292">
        <f>DR347/DM347-1</f>
      </c>
      <c r="DS348" s="412">
        <v>0.2</v>
      </c>
      <c r="DT348" s="114">
        <v>0.17</v>
      </c>
      <c r="DU348" s="114">
        <v>0.13</v>
      </c>
      <c r="DV348" s="114">
        <v>0.12</v>
      </c>
      <c r="DW348" s="292">
        <f>DW347/DR347-1</f>
      </c>
      <c r="DX348" s="412">
        <v>0.14000000000000001</v>
      </c>
      <c r="DY348" s="114">
        <v>0.12</v>
      </c>
      <c r="DZ348" s="114">
        <v>0.17</v>
      </c>
      <c r="EA348" s="114">
        <v>0.13</v>
      </c>
      <c r="EB348" s="292">
        <f>EB347/DW347-1</f>
      </c>
      <c r="EC348" s="412">
        <v>0.19</v>
      </c>
      <c r="ED348" s="114">
        <v>0.21</v>
      </c>
      <c r="EE348" s="114">
        <v>0.26</v>
      </c>
      <c r="EF348" s="114">
        <v>0.33</v>
      </c>
      <c r="EG348" s="292">
        <f>EG347/EB347-1</f>
      </c>
      <c r="EH348" s="412">
        <v>0.31</v>
      </c>
      <c r="EI348" s="114">
        <v>0.28999999999999998</v>
      </c>
      <c r="EJ348" s="114">
        <v>0.22</v>
      </c>
      <c r="EK348" s="114">
        <v>0.19</v>
      </c>
      <c r="EL348" s="413">
        <v>0.25</v>
      </c>
      <c r="EM348" s="412">
        <v>0.15</v>
      </c>
      <c r="EN348" s="114">
        <v>0.13</v>
      </c>
      <c r="EO348" s="114">
        <v>0.17</v>
      </c>
      <c r="EP348" s="412">
        <v>0.19</v>
      </c>
      <c r="EQ348" s="292">
        <f>EQ347/EL347-1</f>
      </c>
      <c r="ER348" s="412">
        <v>0.22</v>
      </c>
      <c r="ES348" s="114">
        <v>0.21</v>
      </c>
      <c r="ET348" s="439">
        <v>0.19</v>
      </c>
      <c r="EU348" s="439">
        <v>0.16</v>
      </c>
      <c r="EV348" s="292">
        <f t="shared" ref="EV348:FZ348" si="471">EV347/EQ347-1</f>
      </c>
      <c r="EW348" s="439">
        <f>EW347/ER347-1</f>
      </c>
      <c r="EX348" s="439">
        <v>0.15</v>
      </c>
      <c r="EY348" s="439">
        <v>0.11</v>
      </c>
      <c r="EZ348" s="439">
        <v>0.18</v>
      </c>
      <c r="FA348" s="292">
        <f t="shared" si="471"/>
      </c>
      <c r="FB348" s="107">
        <f t="shared" si="471"/>
      </c>
      <c r="FC348" s="107">
        <f t="shared" si="471"/>
      </c>
      <c r="FD348" s="107">
        <f t="shared" si="471"/>
      </c>
      <c r="FE348" s="107">
        <f t="shared" si="471"/>
      </c>
      <c r="FF348" s="292">
        <f t="shared" si="471"/>
      </c>
      <c r="FG348" s="107">
        <f t="shared" si="471"/>
      </c>
      <c r="FH348" s="107">
        <f t="shared" si="471"/>
      </c>
      <c r="FI348" s="107">
        <f t="shared" si="471"/>
      </c>
      <c r="FJ348" s="107">
        <f t="shared" si="471"/>
      </c>
      <c r="FK348" s="292">
        <f t="shared" si="471"/>
      </c>
      <c r="FL348" s="107">
        <f t="shared" si="471"/>
      </c>
      <c r="FM348" s="107">
        <f t="shared" si="471"/>
      </c>
      <c r="FN348" s="107">
        <f t="shared" si="471"/>
      </c>
      <c r="FO348" s="107">
        <f t="shared" si="471"/>
      </c>
      <c r="FP348" s="292">
        <f t="shared" si="471"/>
      </c>
      <c r="FQ348" s="107">
        <f t="shared" si="471"/>
      </c>
      <c r="FR348" s="107">
        <f t="shared" si="471"/>
      </c>
      <c r="FS348" s="107">
        <f t="shared" si="471"/>
      </c>
      <c r="FT348" s="107">
        <f t="shared" si="471"/>
      </c>
      <c r="FU348" s="292">
        <f t="shared" si="471"/>
      </c>
      <c r="FV348" s="107">
        <f t="shared" si="471"/>
      </c>
      <c r="FW348" s="107">
        <f t="shared" si="471"/>
      </c>
      <c r="FX348" s="107">
        <f t="shared" si="471"/>
      </c>
      <c r="FY348" s="107">
        <f t="shared" si="471"/>
      </c>
      <c r="FZ348" s="292">
        <f t="shared" si="471"/>
      </c>
      <c r="GA348" s="107">
        <f t="shared" ref="GA348:GJ348" si="472">GA347/FV347-1</f>
      </c>
      <c r="GB348" s="107">
        <f t="shared" si="472"/>
      </c>
      <c r="GC348" s="107">
        <f t="shared" si="472"/>
      </c>
      <c r="GD348" s="107">
        <f t="shared" si="472"/>
      </c>
      <c r="GE348" s="292">
        <f t="shared" si="472"/>
      </c>
      <c r="GF348" s="107">
        <f t="shared" si="472"/>
      </c>
      <c r="GG348" s="107">
        <f t="shared" si="472"/>
      </c>
      <c r="GH348" s="107">
        <f t="shared" si="472"/>
      </c>
      <c r="GI348" s="107">
        <f t="shared" si="472"/>
      </c>
      <c r="GJ348" s="384">
        <f t="shared" si="472"/>
      </c>
    </row>
    <row r="349" spans="1:192" ht="12.75" customHeight="1">
      <c r="B349" s="735" t="s">
        <v>197</v>
      </c>
      <c r="C349" s="412"/>
      <c r="D349" s="114"/>
      <c r="E349" s="114"/>
      <c r="F349" s="114"/>
      <c r="G349" s="414"/>
      <c r="H349" s="412"/>
      <c r="I349" s="114"/>
      <c r="J349" s="114"/>
      <c r="K349" s="114"/>
      <c r="L349" s="414"/>
      <c r="M349" s="412"/>
      <c r="N349" s="114"/>
      <c r="O349" s="114"/>
      <c r="P349" s="114"/>
      <c r="Q349" s="414"/>
      <c r="R349" s="412"/>
      <c r="S349" s="114"/>
      <c r="T349" s="114"/>
      <c r="U349" s="114"/>
      <c r="V349" s="414"/>
      <c r="W349" s="412"/>
      <c r="X349" s="114"/>
      <c r="Y349" s="114"/>
      <c r="Z349" s="114"/>
      <c r="AA349" s="414"/>
      <c r="AB349" s="412"/>
      <c r="AC349" s="114"/>
      <c r="AD349" s="114"/>
      <c r="AE349" s="114"/>
      <c r="AF349" s="414"/>
      <c r="AG349" s="412"/>
      <c r="AH349" s="114"/>
      <c r="AI349" s="114"/>
      <c r="AJ349" s="114"/>
      <c r="AK349" s="414"/>
      <c r="AL349" s="412"/>
      <c r="AM349" s="114"/>
      <c r="AN349" s="114"/>
      <c r="AO349" s="114"/>
      <c r="AP349" s="414"/>
      <c r="AQ349" s="412"/>
      <c r="AR349" s="114"/>
      <c r="AS349" s="114"/>
      <c r="AT349" s="114"/>
      <c r="AU349" s="414"/>
      <c r="AV349" s="412"/>
      <c r="AW349" s="114"/>
      <c r="AX349" s="114"/>
      <c r="AY349" s="114"/>
      <c r="AZ349" s="414"/>
      <c r="BA349" s="412"/>
      <c r="BB349" s="114"/>
      <c r="BC349" s="114"/>
      <c r="BD349" s="114"/>
      <c r="BE349" s="414"/>
      <c r="BF349" s="412"/>
      <c r="BG349" s="114"/>
      <c r="BH349" s="114"/>
      <c r="BI349" s="114"/>
      <c r="BJ349" s="414"/>
      <c r="BK349" s="412"/>
      <c r="BL349" s="114"/>
      <c r="BM349" s="114"/>
      <c r="BN349" s="114"/>
      <c r="BO349" s="414"/>
      <c r="BP349" s="412"/>
      <c r="BQ349" s="114"/>
      <c r="BR349" s="114"/>
      <c r="BS349" s="114"/>
      <c r="BT349" s="414"/>
      <c r="BU349" s="412"/>
      <c r="BV349" s="114"/>
      <c r="BW349" s="114"/>
      <c r="BX349" s="114"/>
      <c r="BY349" s="414"/>
      <c r="BZ349" s="412"/>
      <c r="CA349" s="114"/>
      <c r="CB349" s="114"/>
      <c r="CC349" s="114"/>
      <c r="CD349" s="293"/>
      <c r="CE349" s="412"/>
      <c r="CF349" s="114"/>
      <c r="CG349" s="114"/>
      <c r="CH349" s="114"/>
      <c r="CI349" s="293"/>
      <c r="CJ349" s="412"/>
      <c r="CK349" s="114"/>
      <c r="CL349" s="114"/>
      <c r="CM349" s="114"/>
      <c r="CN349" s="293"/>
      <c r="CO349" s="412"/>
      <c r="CP349" s="114"/>
      <c r="CQ349" s="114"/>
      <c r="CR349" s="114"/>
      <c r="CS349" s="293"/>
      <c r="CT349" s="412"/>
      <c r="CU349" s="114"/>
      <c r="CV349" s="114"/>
      <c r="CW349" s="114"/>
      <c r="CX349" s="293"/>
      <c r="CY349" s="412">
        <v>0.15</v>
      </c>
      <c r="CZ349" s="114">
        <v>0.17</v>
      </c>
      <c r="DA349" s="114">
        <v>0.2</v>
      </c>
      <c r="DB349" s="114">
        <v>0.15</v>
      </c>
      <c r="DC349" s="293"/>
      <c r="DD349" s="412">
        <v>0.12</v>
      </c>
      <c r="DE349" s="114">
        <v>0.11</v>
      </c>
      <c r="DF349" s="114">
        <v>0.09</v>
      </c>
      <c r="DG349" s="114">
        <v>7.0000000000000007E-2</v>
      </c>
      <c r="DH349" s="293"/>
      <c r="DI349" s="441">
        <v>0.12</v>
      </c>
      <c r="DJ349" s="439">
        <v>0.02</v>
      </c>
      <c r="DK349" s="439">
        <v>0.12</v>
      </c>
      <c r="DL349" s="439">
        <v>0.04</v>
      </c>
      <c r="DM349" s="293"/>
      <c r="DN349" s="412">
        <v>0.12</v>
      </c>
      <c r="DO349" s="114">
        <v>0.09</v>
      </c>
      <c r="DP349" s="114">
        <v>0.14000000000000001</v>
      </c>
      <c r="DQ349" s="114">
        <v>0.08</v>
      </c>
      <c r="DR349" s="293"/>
      <c r="DS349" s="412">
        <v>0.2</v>
      </c>
      <c r="DT349" s="114">
        <v>0.17</v>
      </c>
      <c r="DU349" s="114">
        <v>0.15</v>
      </c>
      <c r="DV349" s="114">
        <v>0.15</v>
      </c>
      <c r="DW349" s="293"/>
      <c r="DX349" s="412">
        <v>0.16</v>
      </c>
      <c r="DY349" s="114">
        <v>0.15</v>
      </c>
      <c r="DZ349" s="114">
        <v>0.2</v>
      </c>
      <c r="EA349" s="114">
        <v>0.15</v>
      </c>
      <c r="EB349" s="293"/>
      <c r="EC349" s="412">
        <v>0.18</v>
      </c>
      <c r="ED349" s="114">
        <v>0.18</v>
      </c>
      <c r="EE349" s="114">
        <v>0.22</v>
      </c>
      <c r="EF349" s="114">
        <v>0.26</v>
      </c>
      <c r="EG349" s="293"/>
      <c r="EH349" s="412">
        <v>0.28999999999999998</v>
      </c>
      <c r="EI349" s="114">
        <v>0.28999999999999998</v>
      </c>
      <c r="EJ349" s="114">
        <v>0.25</v>
      </c>
      <c r="EK349" s="114">
        <v>0.24</v>
      </c>
      <c r="EL349" s="293"/>
      <c r="EM349" s="412">
        <v>0.22</v>
      </c>
      <c r="EN349" s="114">
        <v>0.2</v>
      </c>
      <c r="EO349" s="114">
        <v>0.21</v>
      </c>
      <c r="EP349" s="114">
        <v>0.21</v>
      </c>
      <c r="EQ349" s="293"/>
      <c r="ER349" s="412">
        <v>0.21</v>
      </c>
      <c r="ES349" s="114">
        <v>0.19</v>
      </c>
      <c r="ET349" s="439">
        <v>0.17</v>
      </c>
      <c r="EU349" s="439">
        <v>0.16</v>
      </c>
      <c r="EV349" s="293"/>
      <c r="EW349" s="441">
        <v>0.14000000000000001</v>
      </c>
      <c r="EX349" s="439">
        <v>0.15</v>
      </c>
      <c r="EY349" s="439">
        <v>0.12</v>
      </c>
      <c r="EZ349" s="439">
        <v>0.17</v>
      </c>
      <c r="FA349" s="293"/>
      <c r="FB349" s="291"/>
      <c r="FC349" s="107"/>
      <c r="FD349" s="107"/>
      <c r="FE349" s="107"/>
      <c r="FF349" s="293"/>
      <c r="FG349" s="291"/>
      <c r="FH349" s="107"/>
      <c r="FI349" s="107"/>
      <c r="FJ349" s="107"/>
      <c r="FK349" s="293"/>
      <c r="FL349" s="291"/>
      <c r="FM349" s="107"/>
      <c r="FN349" s="107"/>
      <c r="FO349" s="107"/>
      <c r="FP349" s="293"/>
      <c r="FQ349" s="291"/>
      <c r="FR349" s="107"/>
      <c r="FS349" s="107"/>
      <c r="FT349" s="107"/>
      <c r="FU349" s="293"/>
      <c r="FV349" s="291"/>
      <c r="FW349" s="107"/>
      <c r="FX349" s="107"/>
      <c r="FY349" s="107"/>
      <c r="FZ349" s="293"/>
      <c r="GA349" s="291"/>
      <c r="GB349" s="107"/>
      <c r="GC349" s="107"/>
      <c r="GD349" s="107"/>
      <c r="GE349" s="293"/>
      <c r="GF349" s="291"/>
      <c r="GG349" s="107"/>
      <c r="GH349" s="107"/>
      <c r="GI349" s="107"/>
      <c r="GJ349" s="382"/>
    </row>
    <row r="350" spans="1:192" ht="12.75" customHeight="1">
      <c r="B350" s="735" t="s">
        <v>36</v>
      </c>
      <c r="C350" s="291"/>
      <c r="D350" s="107"/>
      <c r="E350" s="107"/>
      <c r="F350" s="346"/>
      <c r="G350" s="347"/>
      <c r="H350" s="291"/>
      <c r="I350" s="107"/>
      <c r="J350" s="107"/>
      <c r="K350" s="346"/>
      <c r="L350" s="347"/>
      <c r="M350" s="291"/>
      <c r="N350" s="107"/>
      <c r="O350" s="107"/>
      <c r="P350" s="346"/>
      <c r="Q350" s="347"/>
      <c r="R350" s="291"/>
      <c r="S350" s="107"/>
      <c r="T350" s="107"/>
      <c r="U350" s="346"/>
      <c r="V350" s="347"/>
      <c r="W350" s="291"/>
      <c r="X350" s="107"/>
      <c r="Y350" s="107"/>
      <c r="Z350" s="346"/>
      <c r="AA350" s="347"/>
      <c r="AB350" s="291"/>
      <c r="AC350" s="107"/>
      <c r="AD350" s="107"/>
      <c r="AE350" s="346"/>
      <c r="AF350" s="347"/>
      <c r="AG350" s="291"/>
      <c r="AH350" s="107"/>
      <c r="AI350" s="107"/>
      <c r="AJ350" s="346"/>
      <c r="AK350" s="347"/>
      <c r="AL350" s="291"/>
      <c r="AM350" s="107"/>
      <c r="AN350" s="107"/>
      <c r="AO350" s="346"/>
      <c r="AP350" s="347"/>
      <c r="AQ350" s="291"/>
      <c r="AR350" s="107"/>
      <c r="AS350" s="107"/>
      <c r="AT350" s="346"/>
      <c r="AU350" s="347"/>
      <c r="AV350" s="291"/>
      <c r="AW350" s="107"/>
      <c r="AX350" s="107"/>
      <c r="AY350" s="346"/>
      <c r="AZ350" s="347"/>
      <c r="BA350" s="291"/>
      <c r="BB350" s="107"/>
      <c r="BC350" s="107"/>
      <c r="BD350" s="346"/>
      <c r="BE350" s="347"/>
      <c r="BF350" s="291"/>
      <c r="BG350" s="107"/>
      <c r="BH350" s="107"/>
      <c r="BI350" s="346"/>
      <c r="BJ350" s="347"/>
      <c r="BK350" s="291"/>
      <c r="BL350" s="107"/>
      <c r="BM350" s="107"/>
      <c r="BN350" s="346"/>
      <c r="BO350" s="347"/>
      <c r="BP350" s="291"/>
      <c r="BQ350" s="107"/>
      <c r="BR350" s="107"/>
      <c r="BS350" s="346"/>
      <c r="BT350" s="347"/>
      <c r="BU350" s="291"/>
      <c r="BV350" s="107"/>
      <c r="BW350" s="107"/>
      <c r="BX350" s="346"/>
      <c r="BY350" s="347"/>
      <c r="BZ350" s="291"/>
      <c r="CA350" s="107"/>
      <c r="CB350" s="107"/>
      <c r="CC350" s="346"/>
      <c r="CD350" s="347"/>
      <c r="CE350" s="291"/>
      <c r="CF350" s="107"/>
      <c r="CG350" s="107"/>
      <c r="CH350" s="346"/>
      <c r="CI350" s="347"/>
      <c r="CJ350" s="291"/>
      <c r="CK350" s="107"/>
      <c r="CL350" s="107"/>
      <c r="CM350" s="346"/>
      <c r="CN350" s="347"/>
      <c r="CO350" s="291"/>
      <c r="CP350" s="107"/>
      <c r="CQ350" s="107"/>
      <c r="CR350" s="346"/>
      <c r="CS350" s="347"/>
      <c r="CT350" s="291"/>
      <c r="CU350" s="107">
        <f>CU347/CT347-1</f>
      </c>
      <c r="CV350" s="107">
        <f>CV347/CU347-1</f>
      </c>
      <c r="CW350" s="346">
        <f>CW347/CV347-1</f>
      </c>
      <c r="CX350" s="347"/>
      <c r="CY350" s="291">
        <f>CY347/CW347-1</f>
      </c>
      <c r="CZ350" s="107">
        <f>CZ347/CY347-1</f>
      </c>
      <c r="DA350" s="107">
        <f>DA347/CZ347-1</f>
      </c>
      <c r="DB350" s="346">
        <f>DB347/DA347-1</f>
      </c>
      <c r="DC350" s="347"/>
      <c r="DD350" s="291">
        <f>DD347/DB347-1</f>
      </c>
      <c r="DE350" s="107">
        <f>DE347/DD347-1</f>
      </c>
      <c r="DF350" s="107">
        <f>DF347/DE347-1</f>
      </c>
      <c r="DG350" s="346">
        <f>DG347/DF347-1</f>
      </c>
      <c r="DH350" s="347"/>
      <c r="DI350" s="291">
        <f>DI347/DG347-1</f>
      </c>
      <c r="DJ350" s="107">
        <f>DJ347/DI347-1</f>
      </c>
      <c r="DK350" s="107">
        <f>DK347/DJ347-1</f>
      </c>
      <c r="DL350" s="346">
        <f>DL347/DK347-1</f>
      </c>
      <c r="DM350" s="347"/>
      <c r="DN350" s="291">
        <f>DN347/DL347-1</f>
      </c>
      <c r="DO350" s="107">
        <f>DO347/DN347-1</f>
      </c>
      <c r="DP350" s="107">
        <f>DP347/DO347-1</f>
      </c>
      <c r="DQ350" s="346">
        <f>DQ347/DP347-1</f>
      </c>
      <c r="DR350" s="347"/>
      <c r="DS350" s="291">
        <f>DS347/DQ347-1</f>
      </c>
      <c r="DT350" s="107">
        <f>DT347/DS347-1</f>
      </c>
      <c r="DU350" s="107">
        <f>DU347/DT347-1</f>
      </c>
      <c r="DV350" s="346">
        <f>DV347/DU347-1</f>
      </c>
      <c r="DW350" s="347"/>
      <c r="DX350" s="291">
        <f>DX347/DV347-1</f>
      </c>
      <c r="DY350" s="107">
        <f>DY347/DX347-1</f>
      </c>
      <c r="DZ350" s="107">
        <f>DZ347/DY347-1</f>
      </c>
      <c r="EA350" s="346">
        <f>EA347/DZ347-1</f>
      </c>
      <c r="EB350" s="347"/>
      <c r="EC350" s="291">
        <f>EC347/EA347-1</f>
      </c>
      <c r="ED350" s="107">
        <f>ED347/EC347-1</f>
      </c>
      <c r="EE350" s="107">
        <f>EE347/ED347-1</f>
      </c>
      <c r="EF350" s="346">
        <f>EF347/EE347-1</f>
      </c>
      <c r="EG350" s="347"/>
      <c r="EH350" s="291">
        <f>EH347/EF347-1</f>
      </c>
      <c r="EI350" s="107">
        <f>EI347/EH347-1</f>
      </c>
      <c r="EJ350" s="107">
        <f>EJ347/EI347-1</f>
      </c>
      <c r="EK350" s="346">
        <f>EK347/EJ347-1</f>
      </c>
      <c r="EL350" s="347"/>
      <c r="EM350" s="291">
        <f>EM347/EK347-1</f>
      </c>
      <c r="EN350" s="107">
        <f>EN347/EM347-1</f>
      </c>
      <c r="EO350" s="107">
        <f>EO347/EN347-1</f>
      </c>
      <c r="EP350" s="346">
        <f>EP347/EO347-1</f>
      </c>
      <c r="EQ350" s="347"/>
      <c r="ER350" s="291">
        <f>ER347/EP347-1</f>
      </c>
      <c r="ES350" s="107">
        <f>ES347/ER347-1</f>
      </c>
      <c r="ET350" s="107">
        <f>ET347/ES347-1</f>
      </c>
      <c r="EU350" s="346">
        <f>EU347/ET347-1</f>
      </c>
      <c r="EV350" s="347"/>
      <c r="EW350" s="291">
        <f>EW347/EU347-1</f>
      </c>
      <c r="EX350" s="107">
        <f>EX347/EW347-1</f>
      </c>
      <c r="EY350" s="107">
        <f>EY347/EX347-1</f>
      </c>
      <c r="EZ350" s="1496">
        <f>EZ347/EY347-1</f>
      </c>
      <c r="FA350" s="347"/>
      <c r="FB350" s="291">
        <f>FB347/EZ347-1</f>
      </c>
      <c r="FC350" s="107">
        <f>FC347/FB347-1</f>
      </c>
      <c r="FD350" s="107">
        <f>FD347/FC347-1</f>
      </c>
      <c r="FE350" s="346">
        <f>FE347/FD347-1</f>
      </c>
      <c r="FF350" s="347"/>
      <c r="FG350" s="291">
        <f>FG347/FE347-1</f>
      </c>
      <c r="FH350" s="107">
        <f>FH347/FG347-1</f>
      </c>
      <c r="FI350" s="107">
        <f>FI347/FH347-1</f>
      </c>
      <c r="FJ350" s="346">
        <f>FJ347/FI347-1</f>
      </c>
      <c r="FK350" s="347"/>
      <c r="FL350" s="291">
        <f>FL347/FJ347-1</f>
      </c>
      <c r="FM350" s="107">
        <f>FM347/FL347-1</f>
      </c>
      <c r="FN350" s="107">
        <f>FN347/FM347-1</f>
      </c>
      <c r="FO350" s="346">
        <f>FO347/FN347-1</f>
      </c>
      <c r="FP350" s="347"/>
      <c r="FQ350" s="291">
        <f>FQ347/FO347-1</f>
      </c>
      <c r="FR350" s="107">
        <f>FR347/FQ347-1</f>
      </c>
      <c r="FS350" s="107">
        <f>FS347/FR347-1</f>
      </c>
      <c r="FT350" s="346">
        <f>FT347/FS347-1</f>
      </c>
      <c r="FU350" s="347"/>
      <c r="FV350" s="291">
        <f>FV347/FT347-1</f>
      </c>
      <c r="FW350" s="107">
        <f>FW347/FV347-1</f>
      </c>
      <c r="FX350" s="107">
        <f>FX347/FW347-1</f>
      </c>
      <c r="FY350" s="346">
        <f>FY347/FX347-1</f>
      </c>
      <c r="FZ350" s="293"/>
      <c r="GA350" s="291">
        <f>GA347/FY347-1</f>
      </c>
      <c r="GB350" s="107">
        <f>GB347/GA347-1</f>
      </c>
      <c r="GC350" s="107">
        <f>GC347/GB347-1</f>
      </c>
      <c r="GD350" s="346">
        <f>GD347/GC347-1</f>
      </c>
      <c r="GE350" s="293"/>
      <c r="GF350" s="291">
        <f>GF347/GD347-1</f>
      </c>
      <c r="GG350" s="107">
        <f>GG347/GF347-1</f>
      </c>
      <c r="GH350" s="107">
        <f>GH347/GG347-1</f>
      </c>
      <c r="GI350" s="346">
        <f>GI347/GH347-1</f>
      </c>
      <c r="GJ350" s="382"/>
    </row>
    <row r="351" spans="1:192" ht="12.75" customHeight="1">
      <c r="B351" s="735" t="s">
        <v>243</v>
      </c>
      <c r="C351" s="291"/>
      <c r="D351" s="107"/>
      <c r="E351" s="107"/>
      <c r="F351" s="346"/>
      <c r="G351" s="347"/>
      <c r="H351" s="291"/>
      <c r="I351" s="107"/>
      <c r="J351" s="107"/>
      <c r="K351" s="346"/>
      <c r="L351" s="347"/>
      <c r="M351" s="291"/>
      <c r="N351" s="107"/>
      <c r="O351" s="107"/>
      <c r="P351" s="346"/>
      <c r="Q351" s="347"/>
      <c r="R351" s="291"/>
      <c r="S351" s="107"/>
      <c r="T351" s="107"/>
      <c r="U351" s="346"/>
      <c r="V351" s="347"/>
      <c r="W351" s="291"/>
      <c r="X351" s="107"/>
      <c r="Y351" s="107"/>
      <c r="Z351" s="346"/>
      <c r="AA351" s="347"/>
      <c r="AB351" s="291"/>
      <c r="AC351" s="107"/>
      <c r="AD351" s="107"/>
      <c r="AE351" s="346"/>
      <c r="AF351" s="347"/>
      <c r="AG351" s="291"/>
      <c r="AH351" s="107"/>
      <c r="AI351" s="107"/>
      <c r="AJ351" s="346"/>
      <c r="AK351" s="347"/>
      <c r="AL351" s="291"/>
      <c r="AM351" s="107"/>
      <c r="AN351" s="107"/>
      <c r="AO351" s="346"/>
      <c r="AP351" s="347"/>
      <c r="AQ351" s="291"/>
      <c r="AR351" s="107"/>
      <c r="AS351" s="107"/>
      <c r="AT351" s="346"/>
      <c r="AU351" s="347"/>
      <c r="AV351" s="291"/>
      <c r="AW351" s="107"/>
      <c r="AX351" s="107"/>
      <c r="AY351" s="346"/>
      <c r="AZ351" s="347"/>
      <c r="BA351" s="291"/>
      <c r="BB351" s="107"/>
      <c r="BC351" s="107"/>
      <c r="BD351" s="346"/>
      <c r="BE351" s="347"/>
      <c r="BF351" s="291"/>
      <c r="BG351" s="107"/>
      <c r="BH351" s="107"/>
      <c r="BI351" s="346"/>
      <c r="BJ351" s="347"/>
      <c r="BK351" s="291"/>
      <c r="BL351" s="107"/>
      <c r="BM351" s="107"/>
      <c r="BN351" s="346"/>
      <c r="BO351" s="347"/>
      <c r="BP351" s="291"/>
      <c r="BQ351" s="107"/>
      <c r="BR351" s="107"/>
      <c r="BS351" s="346"/>
      <c r="BT351" s="347"/>
      <c r="BU351" s="291"/>
      <c r="BV351" s="107"/>
      <c r="BW351" s="107"/>
      <c r="BX351" s="346"/>
      <c r="BY351" s="347"/>
      <c r="BZ351" s="291"/>
      <c r="CA351" s="107"/>
      <c r="CB351" s="107"/>
      <c r="CC351" s="346"/>
      <c r="CD351" s="347"/>
      <c r="CE351" s="291"/>
      <c r="CF351" s="107"/>
      <c r="CG351" s="107"/>
      <c r="CH351" s="346"/>
      <c r="CI351" s="347"/>
      <c r="CJ351" s="291"/>
      <c r="CK351" s="107"/>
      <c r="CL351" s="107"/>
      <c r="CM351" s="346"/>
      <c r="CN351" s="347"/>
      <c r="CO351" s="291"/>
      <c r="CP351" s="107"/>
      <c r="CQ351" s="107"/>
      <c r="CR351" s="346"/>
      <c r="CS351" s="347"/>
      <c r="CT351" s="447"/>
      <c r="CU351" s="447"/>
      <c r="CV351" s="447"/>
      <c r="CW351" s="492"/>
      <c r="CX351" s="347"/>
      <c r="CY351" s="447">
        <f t="shared" ref="CY351:EQ351" si="473">CY347-CT347</f>
      </c>
      <c r="CZ351" s="447">
        <f t="shared" si="473"/>
      </c>
      <c r="DA351" s="447">
        <f t="shared" si="473"/>
      </c>
      <c r="DB351" s="492">
        <f t="shared" si="473"/>
      </c>
      <c r="DC351" s="488">
        <f t="shared" si="473"/>
      </c>
      <c r="DD351" s="447">
        <f t="shared" si="473"/>
      </c>
      <c r="DE351" s="447">
        <f t="shared" si="473"/>
      </c>
      <c r="DF351" s="447">
        <f t="shared" si="473"/>
      </c>
      <c r="DG351" s="492">
        <f t="shared" si="473"/>
      </c>
      <c r="DH351" s="488">
        <f t="shared" si="473"/>
      </c>
      <c r="DI351" s="447">
        <f t="shared" si="473"/>
      </c>
      <c r="DJ351" s="447">
        <f t="shared" si="473"/>
      </c>
      <c r="DK351" s="447">
        <f t="shared" si="473"/>
      </c>
      <c r="DL351" s="492">
        <f t="shared" si="473"/>
      </c>
      <c r="DM351" s="488">
        <f t="shared" si="473"/>
      </c>
      <c r="DN351" s="447">
        <f t="shared" si="473"/>
      </c>
      <c r="DO351" s="447">
        <f t="shared" si="473"/>
      </c>
      <c r="DP351" s="447">
        <f t="shared" si="473"/>
      </c>
      <c r="DQ351" s="492">
        <f t="shared" si="473"/>
      </c>
      <c r="DR351" s="488">
        <f t="shared" si="473"/>
      </c>
      <c r="DS351" s="447">
        <f t="shared" si="473"/>
      </c>
      <c r="DT351" s="447">
        <f t="shared" si="473"/>
      </c>
      <c r="DU351" s="447">
        <f t="shared" si="473"/>
      </c>
      <c r="DV351" s="492">
        <f t="shared" si="473"/>
      </c>
      <c r="DW351" s="488">
        <f t="shared" si="473"/>
      </c>
      <c r="DX351" s="447">
        <f t="shared" si="473"/>
      </c>
      <c r="DY351" s="447">
        <f t="shared" si="473"/>
      </c>
      <c r="DZ351" s="447">
        <f t="shared" si="473"/>
      </c>
      <c r="EA351" s="492">
        <f t="shared" si="473"/>
      </c>
      <c r="EB351" s="488">
        <f t="shared" si="473"/>
      </c>
      <c r="EC351" s="447">
        <f t="shared" si="473"/>
      </c>
      <c r="ED351" s="447">
        <f t="shared" si="473"/>
      </c>
      <c r="EE351" s="447">
        <f t="shared" si="473"/>
      </c>
      <c r="EF351" s="492">
        <f t="shared" si="473"/>
      </c>
      <c r="EG351" s="488">
        <f t="shared" si="473"/>
      </c>
      <c r="EH351" s="447">
        <f t="shared" si="473"/>
      </c>
      <c r="EI351" s="447">
        <f t="shared" si="473"/>
      </c>
      <c r="EJ351" s="447">
        <f t="shared" si="473"/>
      </c>
      <c r="EK351" s="492">
        <f t="shared" si="473"/>
      </c>
      <c r="EL351" s="488">
        <f t="shared" si="473"/>
      </c>
      <c r="EM351" s="447">
        <f t="shared" si="473"/>
      </c>
      <c r="EN351" s="447">
        <f t="shared" si="473"/>
      </c>
      <c r="EO351" s="447">
        <f t="shared" si="473"/>
      </c>
      <c r="EP351" s="492">
        <f t="shared" si="473"/>
      </c>
      <c r="EQ351" s="488">
        <f t="shared" si="473"/>
      </c>
      <c r="ER351" s="447">
        <f t="shared" ref="ER351:FZ351" si="474">ER347-EM347</f>
      </c>
      <c r="ES351" s="447">
        <f t="shared" si="474"/>
      </c>
      <c r="ET351" s="448">
        <v>257</v>
      </c>
      <c r="EU351" s="492">
        <f t="shared" si="474"/>
      </c>
      <c r="EV351" s="488">
        <f t="shared" si="474"/>
      </c>
      <c r="EW351" s="447">
        <f t="shared" si="474"/>
      </c>
      <c r="EX351" s="447">
        <f t="shared" si="474"/>
      </c>
      <c r="EY351" s="447">
        <f t="shared" si="474"/>
      </c>
      <c r="EZ351" s="492">
        <f t="shared" si="474"/>
      </c>
      <c r="FA351" s="488">
        <f t="shared" si="474"/>
      </c>
      <c r="FB351" s="447">
        <f t="shared" si="474"/>
      </c>
      <c r="FC351" s="447">
        <f t="shared" si="474"/>
      </c>
      <c r="FD351" s="447">
        <f t="shared" si="474"/>
      </c>
      <c r="FE351" s="492">
        <f t="shared" si="474"/>
      </c>
      <c r="FF351" s="488">
        <f t="shared" si="474"/>
      </c>
      <c r="FG351" s="447">
        <f t="shared" si="474"/>
      </c>
      <c r="FH351" s="447">
        <f t="shared" si="474"/>
      </c>
      <c r="FI351" s="447">
        <f t="shared" si="474"/>
      </c>
      <c r="FJ351" s="492">
        <f t="shared" si="474"/>
      </c>
      <c r="FK351" s="488">
        <f t="shared" si="474"/>
      </c>
      <c r="FL351" s="447">
        <f t="shared" si="474"/>
      </c>
      <c r="FM351" s="447">
        <f t="shared" si="474"/>
      </c>
      <c r="FN351" s="447">
        <f t="shared" si="474"/>
      </c>
      <c r="FO351" s="492">
        <f t="shared" si="474"/>
      </c>
      <c r="FP351" s="488">
        <f t="shared" si="474"/>
      </c>
      <c r="FQ351" s="447">
        <f t="shared" si="474"/>
      </c>
      <c r="FR351" s="447">
        <f t="shared" si="474"/>
      </c>
      <c r="FS351" s="447">
        <f t="shared" si="474"/>
      </c>
      <c r="FT351" s="492">
        <f t="shared" si="474"/>
      </c>
      <c r="FU351" s="488">
        <f t="shared" si="474"/>
      </c>
      <c r="FV351" s="447">
        <f t="shared" si="474"/>
      </c>
      <c r="FW351" s="447">
        <f t="shared" si="474"/>
      </c>
      <c r="FX351" s="447">
        <f t="shared" si="474"/>
      </c>
      <c r="FY351" s="492">
        <f t="shared" si="474"/>
      </c>
      <c r="FZ351" s="459">
        <f t="shared" si="474"/>
      </c>
      <c r="GA351" s="447">
        <f t="shared" ref="GA351:GJ351" si="475">GA347-FV347</f>
      </c>
      <c r="GB351" s="447">
        <f t="shared" si="475"/>
      </c>
      <c r="GC351" s="447">
        <f t="shared" si="475"/>
      </c>
      <c r="GD351" s="492">
        <f t="shared" si="475"/>
      </c>
      <c r="GE351" s="459">
        <f t="shared" si="475"/>
      </c>
      <c r="GF351" s="447">
        <f t="shared" si="475"/>
      </c>
      <c r="GG351" s="447">
        <f t="shared" si="475"/>
      </c>
      <c r="GH351" s="447">
        <f t="shared" si="475"/>
      </c>
      <c r="GI351" s="492">
        <f t="shared" si="475"/>
      </c>
      <c r="GJ351" s="489">
        <f t="shared" si="475"/>
      </c>
    </row>
    <row r="352" spans="1:192" ht="12.75" customHeight="1">
      <c r="B352" s="735" t="s">
        <v>244</v>
      </c>
      <c r="C352" s="291"/>
      <c r="D352" s="107"/>
      <c r="E352" s="107"/>
      <c r="F352" s="346"/>
      <c r="G352" s="347"/>
      <c r="H352" s="291"/>
      <c r="I352" s="107"/>
      <c r="J352" s="107"/>
      <c r="K352" s="346"/>
      <c r="L352" s="347"/>
      <c r="M352" s="291"/>
      <c r="N352" s="107"/>
      <c r="O352" s="107"/>
      <c r="P352" s="346"/>
      <c r="Q352" s="347"/>
      <c r="R352" s="291"/>
      <c r="S352" s="107"/>
      <c r="T352" s="107"/>
      <c r="U352" s="346"/>
      <c r="V352" s="347"/>
      <c r="W352" s="291"/>
      <c r="X352" s="107"/>
      <c r="Y352" s="107"/>
      <c r="Z352" s="346"/>
      <c r="AA352" s="347"/>
      <c r="AB352" s="291"/>
      <c r="AC352" s="107"/>
      <c r="AD352" s="107"/>
      <c r="AE352" s="346"/>
      <c r="AF352" s="347"/>
      <c r="AG352" s="291"/>
      <c r="AH352" s="107"/>
      <c r="AI352" s="107"/>
      <c r="AJ352" s="346"/>
      <c r="AK352" s="347"/>
      <c r="AL352" s="291"/>
      <c r="AM352" s="107"/>
      <c r="AN352" s="107"/>
      <c r="AO352" s="346"/>
      <c r="AP352" s="347"/>
      <c r="AQ352" s="291"/>
      <c r="AR352" s="107"/>
      <c r="AS352" s="107"/>
      <c r="AT352" s="346"/>
      <c r="AU352" s="347"/>
      <c r="AV352" s="291"/>
      <c r="AW352" s="107"/>
      <c r="AX352" s="107"/>
      <c r="AY352" s="346"/>
      <c r="AZ352" s="347"/>
      <c r="BA352" s="291"/>
      <c r="BB352" s="107"/>
      <c r="BC352" s="107"/>
      <c r="BD352" s="346"/>
      <c r="BE352" s="347"/>
      <c r="BF352" s="291"/>
      <c r="BG352" s="107"/>
      <c r="BH352" s="107"/>
      <c r="BI352" s="346"/>
      <c r="BJ352" s="347"/>
      <c r="BK352" s="291"/>
      <c r="BL352" s="107"/>
      <c r="BM352" s="107"/>
      <c r="BN352" s="346"/>
      <c r="BO352" s="347"/>
      <c r="BP352" s="291"/>
      <c r="BQ352" s="107"/>
      <c r="BR352" s="107"/>
      <c r="BS352" s="346"/>
      <c r="BT352" s="347"/>
      <c r="BU352" s="291"/>
      <c r="BV352" s="107"/>
      <c r="BW352" s="107"/>
      <c r="BX352" s="346"/>
      <c r="BY352" s="347"/>
      <c r="BZ352" s="291"/>
      <c r="CA352" s="107"/>
      <c r="CB352" s="107"/>
      <c r="CC352" s="346"/>
      <c r="CD352" s="347"/>
      <c r="CE352" s="291"/>
      <c r="CF352" s="107"/>
      <c r="CG352" s="107"/>
      <c r="CH352" s="346"/>
      <c r="CI352" s="347"/>
      <c r="CJ352" s="291"/>
      <c r="CK352" s="107"/>
      <c r="CL352" s="107"/>
      <c r="CM352" s="346"/>
      <c r="CN352" s="347"/>
      <c r="CO352" s="291"/>
      <c r="CP352" s="107"/>
      <c r="CQ352" s="107"/>
      <c r="CR352" s="346"/>
      <c r="CS352" s="347"/>
      <c r="CT352" s="447"/>
      <c r="CU352" s="447">
        <f>CU347-CT347</f>
      </c>
      <c r="CV352" s="447">
        <f>CV347-CU347</f>
      </c>
      <c r="CW352" s="492">
        <f>CW347-CV347</f>
      </c>
      <c r="CX352" s="347"/>
      <c r="CY352" s="447">
        <f>CY347-CW347</f>
      </c>
      <c r="CZ352" s="447">
        <f>CZ347-CY347</f>
      </c>
      <c r="DA352" s="447">
        <f>DA347-CZ347</f>
      </c>
      <c r="DB352" s="492">
        <f>DB347-DA347</f>
      </c>
      <c r="DC352" s="347"/>
      <c r="DD352" s="447">
        <f>DD347-DB347</f>
      </c>
      <c r="DE352" s="447">
        <f>DE347-DD347</f>
      </c>
      <c r="DF352" s="447">
        <f>DF347-DE347</f>
      </c>
      <c r="DG352" s="492">
        <f>DG347-DF347</f>
      </c>
      <c r="DH352" s="347"/>
      <c r="DI352" s="447">
        <f>DI347-DG347</f>
      </c>
      <c r="DJ352" s="447">
        <f>DJ347-DI347</f>
      </c>
      <c r="DK352" s="447">
        <f>DK347-DJ347</f>
      </c>
      <c r="DL352" s="492">
        <f>DL347-DK347</f>
      </c>
      <c r="DM352" s="347"/>
      <c r="DN352" s="447">
        <f>DN347-DL347</f>
      </c>
      <c r="DO352" s="447">
        <f>DO347-DN347</f>
      </c>
      <c r="DP352" s="447">
        <f>DP347-DO347</f>
      </c>
      <c r="DQ352" s="492">
        <f>DQ347-DP347</f>
      </c>
      <c r="DR352" s="347"/>
      <c r="DS352" s="447">
        <f>DS347-DQ347</f>
      </c>
      <c r="DT352" s="447">
        <f>DT347-DS347</f>
      </c>
      <c r="DU352" s="447">
        <f>DU347-DT347</f>
      </c>
      <c r="DV352" s="492">
        <f>DV347-DU347</f>
      </c>
      <c r="DW352" s="347"/>
      <c r="DX352" s="447">
        <f>DX347-DV347</f>
      </c>
      <c r="DY352" s="447">
        <f>DY347-DX347</f>
      </c>
      <c r="DZ352" s="447">
        <f>DZ347-DY347</f>
      </c>
      <c r="EA352" s="492">
        <f>EA347-DZ347</f>
      </c>
      <c r="EB352" s="347"/>
      <c r="EC352" s="447">
        <f>EC347-EA347</f>
      </c>
      <c r="ED352" s="447">
        <f>ED347-EC347</f>
      </c>
      <c r="EE352" s="447">
        <f>EE347-ED347</f>
      </c>
      <c r="EF352" s="492">
        <f>EF347-EE347</f>
      </c>
      <c r="EG352" s="347"/>
      <c r="EH352" s="447">
        <f>EH347-EF347</f>
      </c>
      <c r="EI352" s="447">
        <f>EI347-EH347</f>
      </c>
      <c r="EJ352" s="447">
        <f>EJ347-EI347</f>
      </c>
      <c r="EK352" s="492">
        <f>EK347-EJ347</f>
      </c>
      <c r="EL352" s="347"/>
      <c r="EM352" s="447">
        <f>EM347-EK347</f>
      </c>
      <c r="EN352" s="447">
        <f>EN347-EM347</f>
      </c>
      <c r="EO352" s="447">
        <f>EO347-EN347</f>
      </c>
      <c r="EP352" s="492">
        <f>EP347-EO347</f>
      </c>
      <c r="EQ352" s="347"/>
      <c r="ER352" s="447">
        <f>ER347-EP347</f>
      </c>
      <c r="ES352" s="447">
        <f>ES347-ER347</f>
      </c>
      <c r="ET352" s="447">
        <f>ET347-ES347</f>
      </c>
      <c r="EU352" s="492">
        <f>EU347-ET347</f>
      </c>
      <c r="EV352" s="347"/>
      <c r="EW352" s="511">
        <f>EW347-EU347</f>
      </c>
      <c r="EX352" s="447">
        <f>EX347-EW347</f>
      </c>
      <c r="EY352" s="447">
        <f>EY347-EX347</f>
      </c>
      <c r="EZ352" s="492">
        <f>EZ347-EY347</f>
      </c>
      <c r="FA352" s="347"/>
      <c r="FB352" s="447">
        <f>FB347-EZ347</f>
      </c>
      <c r="FC352" s="447">
        <f>FC347-FB347</f>
      </c>
      <c r="FD352" s="447">
        <f>FD347-FC347</f>
      </c>
      <c r="FE352" s="492">
        <f>FE347-FD347</f>
      </c>
      <c r="FF352" s="347"/>
      <c r="FG352" s="447">
        <f>FG347-FE347</f>
      </c>
      <c r="FH352" s="447">
        <f>FH347-FG347</f>
      </c>
      <c r="FI352" s="447">
        <f>FI347-FH347</f>
      </c>
      <c r="FJ352" s="492">
        <f>FJ347-FI347</f>
      </c>
      <c r="FK352" s="347"/>
      <c r="FL352" s="447">
        <f>FL347-FJ347</f>
      </c>
      <c r="FM352" s="447">
        <f>FM347-FL347</f>
      </c>
      <c r="FN352" s="447">
        <f>FN347-FM347</f>
      </c>
      <c r="FO352" s="492">
        <f>FO347-FN347</f>
      </c>
      <c r="FP352" s="347"/>
      <c r="FQ352" s="447">
        <f>FQ347-FO347</f>
      </c>
      <c r="FR352" s="447">
        <f>FR347-FQ347</f>
      </c>
      <c r="FS352" s="447">
        <f>FS347-FR347</f>
      </c>
      <c r="FT352" s="492">
        <f>FT347-FS347</f>
      </c>
      <c r="FU352" s="347"/>
      <c r="FV352" s="447">
        <f>FV347-FT347</f>
      </c>
      <c r="FW352" s="447">
        <f>FW347-FV347</f>
      </c>
      <c r="FX352" s="447">
        <f>FX347-FW347</f>
      </c>
      <c r="FY352" s="492">
        <f>FY347-FX347</f>
      </c>
      <c r="FZ352" s="293"/>
      <c r="GA352" s="447">
        <f>GA347-FY347</f>
      </c>
      <c r="GB352" s="447">
        <f>GB347-GA347</f>
      </c>
      <c r="GC352" s="447">
        <f>GC347-GB347</f>
      </c>
      <c r="GD352" s="492">
        <f>GD347-GC347</f>
      </c>
      <c r="GE352" s="293"/>
      <c r="GF352" s="447">
        <f>GF347-GD347</f>
      </c>
      <c r="GG352" s="447">
        <f>GG347-GF347</f>
      </c>
      <c r="GH352" s="447">
        <f>GH347-GG347</f>
      </c>
      <c r="GI352" s="492">
        <f>GI347-GH347</f>
      </c>
      <c r="GJ352" s="392"/>
    </row>
    <row r="353" spans="1:192" ht="12.75" customHeight="1">
      <c r="B353" s="735" t="s">
        <v>1884</v>
      </c>
      <c r="C353" s="291"/>
      <c r="D353" s="107"/>
      <c r="E353" s="107"/>
      <c r="F353" s="107"/>
      <c r="G353" s="292"/>
      <c r="H353" s="291"/>
      <c r="I353" s="107"/>
      <c r="J353" s="107"/>
      <c r="K353" s="107"/>
      <c r="L353" s="292"/>
      <c r="M353" s="291"/>
      <c r="N353" s="107"/>
      <c r="O353" s="107"/>
      <c r="P353" s="107"/>
      <c r="Q353" s="292"/>
      <c r="R353" s="291"/>
      <c r="S353" s="107"/>
      <c r="T353" s="107"/>
      <c r="U353" s="107"/>
      <c r="V353" s="292"/>
      <c r="W353" s="291"/>
      <c r="X353" s="107"/>
      <c r="Y353" s="107"/>
      <c r="Z353" s="107"/>
      <c r="AA353" s="292"/>
      <c r="AB353" s="291"/>
      <c r="AC353" s="107"/>
      <c r="AD353" s="107"/>
      <c r="AE353" s="107"/>
      <c r="AF353" s="292"/>
      <c r="AG353" s="291"/>
      <c r="AH353" s="107"/>
      <c r="AI353" s="107"/>
      <c r="AJ353" s="107"/>
      <c r="AK353" s="292"/>
      <c r="AL353" s="291"/>
      <c r="AM353" s="107"/>
      <c r="AN353" s="107"/>
      <c r="AO353" s="107"/>
      <c r="AP353" s="292"/>
      <c r="AQ353" s="291"/>
      <c r="AR353" s="107"/>
      <c r="AS353" s="107"/>
      <c r="AT353" s="107"/>
      <c r="AU353" s="292"/>
      <c r="AV353" s="291"/>
      <c r="AW353" s="107"/>
      <c r="AX353" s="107"/>
      <c r="AY353" s="107"/>
      <c r="AZ353" s="292"/>
      <c r="BA353" s="291"/>
      <c r="BB353" s="107"/>
      <c r="BC353" s="107"/>
      <c r="BD353" s="107"/>
      <c r="BE353" s="292"/>
      <c r="BF353" s="291"/>
      <c r="BG353" s="107"/>
      <c r="BH353" s="107"/>
      <c r="BI353" s="107"/>
      <c r="BJ353" s="292"/>
      <c r="BK353" s="291"/>
      <c r="BL353" s="107"/>
      <c r="BM353" s="107"/>
      <c r="BN353" s="107"/>
      <c r="BO353" s="292"/>
      <c r="BP353" s="291"/>
      <c r="BQ353" s="107"/>
      <c r="BR353" s="107"/>
      <c r="BS353" s="107"/>
      <c r="BT353" s="292"/>
      <c r="BU353" s="291"/>
      <c r="BV353" s="107"/>
      <c r="BW353" s="107"/>
      <c r="BX353" s="107"/>
      <c r="BY353" s="292"/>
      <c r="BZ353" s="291"/>
      <c r="CA353" s="107"/>
      <c r="CB353" s="107"/>
      <c r="CC353" s="107"/>
      <c r="CD353" s="292"/>
      <c r="CE353" s="291"/>
      <c r="CF353" s="107"/>
      <c r="CG353" s="107"/>
      <c r="CH353" s="107"/>
      <c r="CI353" s="292"/>
      <c r="CJ353" s="291"/>
      <c r="CK353" s="107"/>
      <c r="CL353" s="107"/>
      <c r="CM353" s="107"/>
      <c r="CN353" s="292"/>
      <c r="CO353" s="291"/>
      <c r="CP353" s="107"/>
      <c r="CQ353" s="107"/>
      <c r="CR353" s="107"/>
      <c r="CS353" s="292"/>
      <c r="CT353" s="291"/>
      <c r="CU353" s="291"/>
      <c r="CV353" s="291"/>
      <c r="CW353" s="291"/>
      <c r="CX353" s="292"/>
      <c r="CY353" s="291"/>
      <c r="CZ353" s="291"/>
      <c r="DA353" s="291"/>
      <c r="DB353" s="291"/>
      <c r="DC353" s="292"/>
      <c r="DD353" s="349"/>
      <c r="DE353" s="349"/>
      <c r="DF353" s="349"/>
      <c r="DG353" s="349"/>
      <c r="DH353" s="896"/>
      <c r="DI353" s="349"/>
      <c r="DJ353" s="349"/>
      <c r="DK353" s="349"/>
      <c r="DL353" s="349"/>
      <c r="DM353" s="896"/>
      <c r="DN353" s="349"/>
      <c r="DO353" s="349"/>
      <c r="DP353" s="349"/>
      <c r="DQ353" s="349"/>
      <c r="DR353" s="896"/>
      <c r="DS353" s="291"/>
      <c r="DT353" s="291"/>
      <c r="DU353" s="291"/>
      <c r="DV353" s="291"/>
      <c r="DW353" s="292"/>
      <c r="DX353" s="291"/>
      <c r="DY353" s="291"/>
      <c r="DZ353" s="291"/>
      <c r="EA353" s="291"/>
      <c r="EB353" s="292"/>
      <c r="EC353" s="291"/>
      <c r="ED353" s="291"/>
      <c r="EE353" s="291"/>
      <c r="EF353" s="291"/>
      <c r="EG353" s="292"/>
      <c r="EH353" s="291"/>
      <c r="EI353" s="291"/>
      <c r="EJ353" s="291"/>
      <c r="EK353" s="291"/>
      <c r="EL353" s="292"/>
      <c r="EM353" s="291"/>
      <c r="EN353" s="291"/>
      <c r="EO353" s="291"/>
      <c r="EP353" s="291"/>
      <c r="EQ353" s="292"/>
      <c r="ER353" s="291">
        <f t="shared" ref="ER353:GE353" si="476">ER347/ER$10</f>
      </c>
      <c r="ES353" s="291">
        <f t="shared" si="476"/>
      </c>
      <c r="ET353" s="291">
        <f t="shared" si="476"/>
      </c>
      <c r="EU353" s="291">
        <f t="shared" si="476"/>
      </c>
      <c r="EV353" s="292">
        <f t="shared" si="476"/>
      </c>
      <c r="EW353" s="349">
        <f t="shared" si="476"/>
      </c>
      <c r="EX353" s="291">
        <f t="shared" ref="EX353:FA353" si="477">EX347/EX$10</f>
      </c>
      <c r="EY353" s="291">
        <f t="shared" si="477"/>
      </c>
      <c r="EZ353" s="291">
        <f t="shared" si="477"/>
      </c>
      <c r="FA353" s="292">
        <f t="shared" si="477"/>
      </c>
      <c r="FB353" s="291">
        <f t="shared" si="476"/>
      </c>
      <c r="FC353" s="291">
        <f t="shared" si="476"/>
      </c>
      <c r="FD353" s="291">
        <f t="shared" si="476"/>
      </c>
      <c r="FE353" s="291">
        <f t="shared" si="476"/>
      </c>
      <c r="FF353" s="292">
        <f t="shared" si="476"/>
      </c>
      <c r="FG353" s="291">
        <f t="shared" si="476"/>
      </c>
      <c r="FH353" s="291">
        <f t="shared" si="476"/>
      </c>
      <c r="FI353" s="291">
        <f t="shared" si="476"/>
      </c>
      <c r="FJ353" s="291">
        <f t="shared" si="476"/>
      </c>
      <c r="FK353" s="292">
        <f t="shared" si="476"/>
      </c>
      <c r="FL353" s="291">
        <f t="shared" si="476"/>
      </c>
      <c r="FM353" s="291">
        <f t="shared" si="476"/>
      </c>
      <c r="FN353" s="291">
        <f t="shared" si="476"/>
      </c>
      <c r="FO353" s="291">
        <f t="shared" si="476"/>
      </c>
      <c r="FP353" s="292">
        <f t="shared" si="476"/>
      </c>
      <c r="FQ353" s="291">
        <f t="shared" si="476"/>
      </c>
      <c r="FR353" s="291">
        <f t="shared" si="476"/>
      </c>
      <c r="FS353" s="291">
        <f t="shared" si="476"/>
      </c>
      <c r="FT353" s="291">
        <f t="shared" si="476"/>
      </c>
      <c r="FU353" s="292">
        <f t="shared" si="476"/>
      </c>
      <c r="FV353" s="291">
        <f t="shared" si="476"/>
      </c>
      <c r="FW353" s="107">
        <f t="shared" si="476"/>
      </c>
      <c r="FX353" s="107">
        <f t="shared" si="476"/>
      </c>
      <c r="FY353" s="107">
        <f t="shared" si="476"/>
      </c>
      <c r="FZ353" s="292">
        <f t="shared" si="476"/>
      </c>
      <c r="GA353" s="291">
        <f t="shared" si="476"/>
      </c>
      <c r="GB353" s="107">
        <f t="shared" si="476"/>
      </c>
      <c r="GC353" s="107">
        <f t="shared" si="476"/>
      </c>
      <c r="GD353" s="107">
        <f t="shared" si="476"/>
      </c>
      <c r="GE353" s="292">
        <f t="shared" si="476"/>
      </c>
      <c r="GF353" s="291">
        <f t="shared" ref="GF353:GJ353" si="478">GF347/GF$10</f>
      </c>
      <c r="GG353" s="107">
        <f t="shared" si="478"/>
      </c>
      <c r="GH353" s="107">
        <f t="shared" si="478"/>
      </c>
      <c r="GI353" s="107">
        <f t="shared" si="478"/>
      </c>
      <c r="GJ353" s="384">
        <f t="shared" si="478"/>
      </c>
    </row>
    <row r="354" spans="1:192" s="335" customFormat="1" ht="12.75" customHeight="1">
      <c r="A354" s="790"/>
      <c r="B354" s="742"/>
      <c r="C354" s="106"/>
      <c r="D354" s="107"/>
      <c r="E354" s="107"/>
      <c r="F354" s="346"/>
      <c r="G354" s="347"/>
      <c r="H354" s="106"/>
      <c r="I354" s="107"/>
      <c r="J354" s="107"/>
      <c r="K354" s="346"/>
      <c r="L354" s="347"/>
      <c r="M354" s="106"/>
      <c r="N354" s="107"/>
      <c r="O354" s="107"/>
      <c r="P354" s="346"/>
      <c r="Q354" s="347"/>
      <c r="R354" s="106"/>
      <c r="S354" s="107"/>
      <c r="T354" s="107"/>
      <c r="U354" s="346"/>
      <c r="V354" s="347"/>
      <c r="W354" s="106"/>
      <c r="X354" s="107"/>
      <c r="Y354" s="107"/>
      <c r="Z354" s="346"/>
      <c r="AA354" s="347"/>
      <c r="AB354" s="106"/>
      <c r="AC354" s="107"/>
      <c r="AD354" s="107"/>
      <c r="AE354" s="346"/>
      <c r="AF354" s="347"/>
      <c r="AG354" s="106"/>
      <c r="AH354" s="107"/>
      <c r="AI354" s="107"/>
      <c r="AJ354" s="346"/>
      <c r="AK354" s="347"/>
      <c r="AL354" s="106"/>
      <c r="AM354" s="107"/>
      <c r="AN354" s="107"/>
      <c r="AO354" s="346"/>
      <c r="AP354" s="347"/>
      <c r="AQ354" s="106"/>
      <c r="AR354" s="107"/>
      <c r="AS354" s="107"/>
      <c r="AT354" s="346"/>
      <c r="AU354" s="347"/>
      <c r="AV354" s="106"/>
      <c r="AW354" s="107"/>
      <c r="AX354" s="107"/>
      <c r="AY354" s="346"/>
      <c r="AZ354" s="347"/>
      <c r="BA354" s="106"/>
      <c r="BB354" s="107"/>
      <c r="BC354" s="107"/>
      <c r="BD354" s="346"/>
      <c r="BE354" s="347"/>
      <c r="BF354" s="106"/>
      <c r="BG354" s="107"/>
      <c r="BH354" s="107"/>
      <c r="BI354" s="346"/>
      <c r="BJ354" s="347"/>
      <c r="BK354" s="106"/>
      <c r="BL354" s="107"/>
      <c r="BM354" s="107"/>
      <c r="BN354" s="346"/>
      <c r="BO354" s="347"/>
      <c r="BP354" s="106"/>
      <c r="BQ354" s="107"/>
      <c r="BR354" s="107"/>
      <c r="BS354" s="346"/>
      <c r="BT354" s="347"/>
      <c r="BU354" s="106"/>
      <c r="BV354" s="107"/>
      <c r="BW354" s="107"/>
      <c r="BX354" s="346"/>
      <c r="BY354" s="347"/>
      <c r="BZ354" s="106"/>
      <c r="CA354" s="107"/>
      <c r="CB354" s="107"/>
      <c r="CC354" s="346"/>
      <c r="CD354" s="347"/>
      <c r="CE354" s="106"/>
      <c r="CF354" s="107"/>
      <c r="CG354" s="107"/>
      <c r="CH354" s="346"/>
      <c r="CI354" s="347"/>
      <c r="CJ354" s="106"/>
      <c r="CK354" s="107"/>
      <c r="CL354" s="107"/>
      <c r="CM354" s="346"/>
      <c r="CN354" s="347"/>
      <c r="CO354" s="106"/>
      <c r="CP354" s="107"/>
      <c r="CQ354" s="107"/>
      <c r="CR354" s="346"/>
      <c r="CS354" s="347"/>
      <c r="CT354" s="106"/>
      <c r="CU354" s="107"/>
      <c r="CV354" s="107"/>
      <c r="CW354" s="346"/>
      <c r="CX354" s="347"/>
      <c r="CY354" s="106"/>
      <c r="CZ354" s="107"/>
      <c r="DA354" s="107"/>
      <c r="DB354" s="346"/>
      <c r="DC354" s="347"/>
      <c r="DD354" s="106"/>
      <c r="DE354" s="107"/>
      <c r="DF354" s="107"/>
      <c r="DG354" s="346"/>
      <c r="DH354" s="347"/>
      <c r="DI354" s="106"/>
      <c r="DJ354" s="107"/>
      <c r="DK354" s="107"/>
      <c r="DL354" s="346"/>
      <c r="DM354" s="347"/>
      <c r="DN354" s="106"/>
      <c r="DO354" s="107"/>
      <c r="DP354" s="107"/>
      <c r="DQ354" s="346"/>
      <c r="DR354" s="347"/>
      <c r="DS354" s="106"/>
      <c r="DT354" s="107"/>
      <c r="DU354" s="107"/>
      <c r="DV354" s="346"/>
      <c r="DW354" s="347"/>
      <c r="DX354" s="106"/>
      <c r="DY354" s="107"/>
      <c r="DZ354" s="107"/>
      <c r="EA354" s="346"/>
      <c r="EB354" s="347"/>
      <c r="EC354" s="106"/>
      <c r="ED354" s="107"/>
      <c r="EE354" s="107"/>
      <c r="EF354" s="346"/>
      <c r="EG354" s="347"/>
      <c r="EH354" s="882"/>
      <c r="EI354" s="468"/>
      <c r="EJ354" s="468"/>
      <c r="EK354" s="346"/>
      <c r="EL354" s="347"/>
      <c r="EM354" s="106"/>
      <c r="EN354" s="107"/>
      <c r="EO354" s="107"/>
      <c r="EP354" s="888"/>
      <c r="EQ354" s="347"/>
      <c r="ER354" s="106"/>
      <c r="ES354" s="107"/>
      <c r="ET354" s="107"/>
      <c r="EU354" s="346"/>
      <c r="EV354" s="347"/>
      <c r="EW354" s="882"/>
      <c r="EX354" s="107"/>
      <c r="EY354" s="107"/>
      <c r="EZ354" s="346"/>
      <c r="FA354" s="347"/>
      <c r="FB354" s="106"/>
      <c r="FC354" s="107"/>
      <c r="FD354" s="107"/>
      <c r="FE354" s="346"/>
      <c r="FF354" s="347"/>
      <c r="FG354" s="106"/>
      <c r="FH354" s="107"/>
      <c r="FI354" s="107"/>
      <c r="FJ354" s="346"/>
      <c r="FK354" s="347"/>
      <c r="FL354" s="106"/>
      <c r="FM354" s="107"/>
      <c r="FN354" s="107"/>
      <c r="FO354" s="346"/>
      <c r="FP354" s="347"/>
      <c r="FQ354" s="106"/>
      <c r="FR354" s="107"/>
      <c r="FS354" s="107"/>
      <c r="FT354" s="346"/>
      <c r="FU354" s="347"/>
      <c r="FV354" s="106"/>
      <c r="FW354" s="107"/>
      <c r="FX354" s="107"/>
      <c r="FY354" s="346"/>
      <c r="FZ354" s="293"/>
      <c r="GA354" s="106"/>
      <c r="GB354" s="107"/>
      <c r="GC354" s="107"/>
      <c r="GD354" s="346"/>
      <c r="GE354" s="293"/>
      <c r="GF354" s="106"/>
      <c r="GG354" s="107"/>
      <c r="GH354" s="107"/>
      <c r="GI354" s="346"/>
      <c r="GJ354" s="392"/>
    </row>
    <row r="355" spans="1:192" s="461" customFormat="1" ht="12.75" customHeight="1">
      <c r="A355" s="807"/>
      <c r="B355" s="734" t="s">
        <v>200</v>
      </c>
      <c r="C355" s="443"/>
      <c r="D355" s="471"/>
      <c r="E355" s="471"/>
      <c r="F355" s="471"/>
      <c r="G355" s="516"/>
      <c r="H355" s="443"/>
      <c r="I355" s="471"/>
      <c r="J355" s="471"/>
      <c r="K355" s="471"/>
      <c r="L355" s="516"/>
      <c r="M355" s="443"/>
      <c r="N355" s="471"/>
      <c r="O355" s="471"/>
      <c r="P355" s="471"/>
      <c r="Q355" s="516"/>
      <c r="R355" s="443"/>
      <c r="S355" s="471"/>
      <c r="T355" s="471"/>
      <c r="U355" s="471"/>
      <c r="V355" s="516"/>
      <c r="W355" s="443"/>
      <c r="X355" s="471"/>
      <c r="Y355" s="471"/>
      <c r="Z355" s="471"/>
      <c r="AA355" s="516"/>
      <c r="AB355" s="443"/>
      <c r="AC355" s="471"/>
      <c r="AD355" s="471"/>
      <c r="AE355" s="471"/>
      <c r="AF355" s="516"/>
      <c r="AG355" s="443"/>
      <c r="AH355" s="471"/>
      <c r="AI355" s="471"/>
      <c r="AJ355" s="471"/>
      <c r="AK355" s="516"/>
      <c r="AL355" s="443"/>
      <c r="AM355" s="471"/>
      <c r="AN355" s="471"/>
      <c r="AO355" s="471"/>
      <c r="AP355" s="516"/>
      <c r="AQ355" s="443"/>
      <c r="AR355" s="471"/>
      <c r="AS355" s="471"/>
      <c r="AT355" s="471"/>
      <c r="AU355" s="516"/>
      <c r="AV355" s="443"/>
      <c r="AW355" s="471"/>
      <c r="AX355" s="471"/>
      <c r="AY355" s="471"/>
      <c r="AZ355" s="516"/>
      <c r="BA355" s="443"/>
      <c r="BB355" s="471"/>
      <c r="BC355" s="471"/>
      <c r="BD355" s="471"/>
      <c r="BE355" s="516"/>
      <c r="BF355" s="443"/>
      <c r="BG355" s="471"/>
      <c r="BH355" s="471"/>
      <c r="BI355" s="471"/>
      <c r="BJ355" s="516"/>
      <c r="BK355" s="443"/>
      <c r="BL355" s="471"/>
      <c r="BM355" s="471"/>
      <c r="BN355" s="471"/>
      <c r="BO355" s="516"/>
      <c r="BP355" s="443"/>
      <c r="BQ355" s="471"/>
      <c r="BR355" s="471"/>
      <c r="BS355" s="471"/>
      <c r="BT355" s="516"/>
      <c r="BU355" s="443"/>
      <c r="BV355" s="471"/>
      <c r="BW355" s="471"/>
      <c r="BX355" s="471"/>
      <c r="BY355" s="516"/>
      <c r="BZ355" s="443"/>
      <c r="CA355" s="471"/>
      <c r="CB355" s="471"/>
      <c r="CC355" s="471"/>
      <c r="CD355" s="516"/>
      <c r="CE355" s="443"/>
      <c r="CF355" s="471"/>
      <c r="CG355" s="471"/>
      <c r="CH355" s="471"/>
      <c r="CI355" s="516"/>
      <c r="CJ355" s="443"/>
      <c r="CK355" s="471"/>
      <c r="CL355" s="471"/>
      <c r="CM355" s="471"/>
      <c r="CN355" s="516"/>
      <c r="CO355" s="443"/>
      <c r="CP355" s="471"/>
      <c r="CQ355" s="471"/>
      <c r="CR355" s="471"/>
      <c r="CS355" s="516"/>
      <c r="CT355" s="443"/>
      <c r="CU355" s="471"/>
      <c r="CV355" s="471"/>
      <c r="CW355" s="471"/>
      <c r="CX355" s="516"/>
      <c r="CY355" s="443"/>
      <c r="CZ355" s="471"/>
      <c r="DA355" s="471"/>
      <c r="DB355" s="471"/>
      <c r="DC355" s="516"/>
      <c r="DD355" s="471"/>
      <c r="DE355" s="471"/>
      <c r="DF355" s="471">
        <f>DK355/(1+DK356)</f>
      </c>
      <c r="DG355" s="471">
        <f>DL355/(1+DL356)</f>
      </c>
      <c r="DH355" s="516"/>
      <c r="DI355" s="471">
        <f>DN355/(1+DN356)</f>
      </c>
      <c r="DJ355" s="471">
        <f>DO355/(1+DO356)</f>
      </c>
      <c r="DK355" s="471">
        <f>DP355/(1+DP356)</f>
      </c>
      <c r="DL355" s="471">
        <f>DQ355/(1+DQ356)</f>
      </c>
      <c r="DM355" s="516">
        <f>SUM(DI355:DL355)</f>
      </c>
      <c r="DN355" s="471">
        <f>DS355/(1+DS356)</f>
      </c>
      <c r="DO355" s="471">
        <f>DT355/(1+DT356)</f>
      </c>
      <c r="DP355" s="471">
        <f>DU355/(1+DU356)</f>
      </c>
      <c r="DQ355" s="471">
        <f>DV355/(1+DV356)</f>
      </c>
      <c r="DR355" s="516">
        <f>SUM(DN355:DQ355)</f>
      </c>
      <c r="DS355" s="471">
        <f>DX355/(1+DX356)</f>
      </c>
      <c r="DT355" s="471">
        <f>DY355/(1+DY356)</f>
      </c>
      <c r="DU355" s="1383">
        <f>DZ355/(1+DZ356)</f>
      </c>
      <c r="DV355" s="471">
        <f>EA355/(1+EA356)</f>
      </c>
      <c r="DW355" s="516">
        <f>SUM(DS355:DV355)</f>
      </c>
      <c r="DX355" s="471">
        <f>EC355/(1+EC356)</f>
      </c>
      <c r="DY355" s="471">
        <f>ED355/(1+ED356)</f>
      </c>
      <c r="DZ355" s="471">
        <f>EE355/(1+EE356)</f>
      </c>
      <c r="EA355" s="471">
        <f>EF355/(1+EF356)</f>
      </c>
      <c r="EB355" s="516">
        <f>SUM(DX355:EA355)</f>
      </c>
      <c r="EC355" s="471">
        <f>EH355/(1+EH356)</f>
      </c>
      <c r="ED355" s="471">
        <f>EI355/(1+EI356)</f>
      </c>
      <c r="EE355" s="471">
        <f>EJ355/(1+EJ356)</f>
      </c>
      <c r="EF355" s="471">
        <f>EK355/(1+EK356)</f>
      </c>
      <c r="EG355" s="516">
        <f>SUM(EC355:EF355)</f>
      </c>
      <c r="EH355" s="471">
        <f>EM355/(1+EM356)</f>
      </c>
      <c r="EI355" s="471">
        <f>EN355/(1+EN356)</f>
      </c>
      <c r="EJ355" s="471">
        <f>EO355/(1+EO356)</f>
      </c>
      <c r="EK355" s="471">
        <f>EP355/(1+EP356)</f>
      </c>
      <c r="EL355" s="516">
        <f>SUM(EH355:EK355)</f>
      </c>
      <c r="EM355" s="443">
        <f>ER355/(1+ER356)</f>
      </c>
      <c r="EN355" s="1624">
        <f>ES355/(1+ES356)</f>
      </c>
      <c r="EO355" s="443">
        <f>ET355/(1+ET356)</f>
      </c>
      <c r="EP355" s="443">
        <f>EU355/(1+EU356)</f>
      </c>
      <c r="EQ355" s="620">
        <f>SUM(EM355:EP355)</f>
      </c>
      <c r="ER355" s="443">
        <f>EW355/(1+EW356)</f>
      </c>
      <c r="ES355" s="1144">
        <f>ES347*ES359</f>
      </c>
      <c r="ET355" s="1144">
        <f>ET347*ET359</f>
      </c>
      <c r="EU355" s="1144">
        <f>EU347*EU359</f>
      </c>
      <c r="EV355" s="620">
        <f>SUM(ER355:EU355)</f>
      </c>
      <c r="EW355" s="1144">
        <f>EW347*EW359</f>
      </c>
      <c r="EX355" s="471">
        <f>ES355*(1+EX356)</f>
      </c>
      <c r="EY355" s="471">
        <f>ET355*(1+EY356)</f>
      </c>
      <c r="EZ355" s="471">
        <f>EU355*(1+EZ356)</f>
      </c>
      <c r="FA355" s="620">
        <f>SUM(EW355:EZ355)</f>
      </c>
      <c r="FB355" s="443">
        <f>EW355*(1+FB356)</f>
      </c>
      <c r="FC355" s="471">
        <f>EX355*(1+FC356)</f>
      </c>
      <c r="FD355" s="471">
        <f>EY355*(1+FD356)</f>
      </c>
      <c r="FE355" s="471">
        <f>EZ355*(1+FE356)</f>
      </c>
      <c r="FF355" s="620">
        <f>SUM(FB355:FE355)</f>
      </c>
      <c r="FG355" s="443">
        <f>FB355*(1+FG356)</f>
      </c>
      <c r="FH355" s="471">
        <f>FC355*(1+FH356)</f>
      </c>
      <c r="FI355" s="471">
        <f>FD355*(1+FI356)</f>
      </c>
      <c r="FJ355" s="471">
        <f>FE355*(1+FJ356)</f>
      </c>
      <c r="FK355" s="620">
        <f>SUM(FG355:FJ355)</f>
      </c>
      <c r="FL355" s="443">
        <f>FG355*(1+FL356)</f>
      </c>
      <c r="FM355" s="471">
        <f>FH355*(1+FM356)</f>
      </c>
      <c r="FN355" s="471">
        <f>FI355*(1+FN356)</f>
      </c>
      <c r="FO355" s="471">
        <f>FJ355*(1+FO356)</f>
      </c>
      <c r="FP355" s="620">
        <f>SUM(FL355:FO355)</f>
      </c>
      <c r="FQ355" s="443">
        <f>FL355*(1+FQ356)</f>
      </c>
      <c r="FR355" s="471">
        <f>FM355*(1+FR356)</f>
      </c>
      <c r="FS355" s="471">
        <f>FN355*(1+FS356)</f>
      </c>
      <c r="FT355" s="471">
        <f>FO355*(1+FT356)</f>
      </c>
      <c r="FU355" s="620">
        <f>SUM(FQ355:FT355)</f>
      </c>
      <c r="FV355" s="443">
        <f>FQ355*(1+FV356)</f>
      </c>
      <c r="FW355" s="471">
        <f>FR355*(1+FW356)</f>
      </c>
      <c r="FX355" s="471">
        <f>FS355*(1+FX356)</f>
      </c>
      <c r="FY355" s="471">
        <f>FT355*(1+FY356)</f>
      </c>
      <c r="FZ355" s="516">
        <f>SUM(FV355:FY355)</f>
      </c>
      <c r="GA355" s="443">
        <f>FV355*(1+GA356)</f>
      </c>
      <c r="GB355" s="471">
        <f>FW355*(1+GB356)</f>
      </c>
      <c r="GC355" s="471">
        <f>FX355*(1+GC356)</f>
      </c>
      <c r="GD355" s="471">
        <f>FY355*(1+GD356)</f>
      </c>
      <c r="GE355" s="516">
        <f>SUM(GA355:GD355)</f>
      </c>
      <c r="GF355" s="443">
        <f>GA355*(1+GF356)</f>
      </c>
      <c r="GG355" s="471">
        <f>GB355*(1+GG356)</f>
      </c>
      <c r="GH355" s="471">
        <f>GC355*(1+GH356)</f>
      </c>
      <c r="GI355" s="471">
        <f>GD355*(1+GI356)</f>
      </c>
      <c r="GJ355" s="808">
        <f>SUM(GF355:GI355)</f>
      </c>
    </row>
    <row r="356" spans="1:192" s="479" customFormat="1" ht="12.75" customHeight="1">
      <c r="A356" s="81"/>
      <c r="B356" s="735" t="s">
        <v>34</v>
      </c>
      <c r="C356" s="412"/>
      <c r="D356" s="114"/>
      <c r="E356" s="114"/>
      <c r="F356" s="114"/>
      <c r="G356" s="414"/>
      <c r="H356" s="412"/>
      <c r="I356" s="114"/>
      <c r="J356" s="114"/>
      <c r="K356" s="114"/>
      <c r="L356" s="414"/>
      <c r="M356" s="412"/>
      <c r="N356" s="114"/>
      <c r="O356" s="114"/>
      <c r="P356" s="114"/>
      <c r="Q356" s="414"/>
      <c r="R356" s="412"/>
      <c r="S356" s="114"/>
      <c r="T356" s="114"/>
      <c r="U356" s="114"/>
      <c r="V356" s="414"/>
      <c r="W356" s="412"/>
      <c r="X356" s="114"/>
      <c r="Y356" s="114"/>
      <c r="Z356" s="114"/>
      <c r="AA356" s="414"/>
      <c r="AB356" s="412"/>
      <c r="AC356" s="114"/>
      <c r="AD356" s="114"/>
      <c r="AE356" s="114"/>
      <c r="AF356" s="414"/>
      <c r="AG356" s="412"/>
      <c r="AH356" s="114"/>
      <c r="AI356" s="114"/>
      <c r="AJ356" s="114"/>
      <c r="AK356" s="414"/>
      <c r="AL356" s="412"/>
      <c r="AM356" s="114"/>
      <c r="AN356" s="114"/>
      <c r="AO356" s="114"/>
      <c r="AP356" s="414"/>
      <c r="AQ356" s="412"/>
      <c r="AR356" s="114"/>
      <c r="AS356" s="114"/>
      <c r="AT356" s="114"/>
      <c r="AU356" s="414"/>
      <c r="AV356" s="412"/>
      <c r="AW356" s="114"/>
      <c r="AX356" s="114"/>
      <c r="AY356" s="114"/>
      <c r="AZ356" s="414"/>
      <c r="BA356" s="412"/>
      <c r="BB356" s="114"/>
      <c r="BC356" s="114"/>
      <c r="BD356" s="114"/>
      <c r="BE356" s="414"/>
      <c r="BF356" s="412"/>
      <c r="BG356" s="114"/>
      <c r="BH356" s="114"/>
      <c r="BI356" s="114"/>
      <c r="BJ356" s="414"/>
      <c r="BK356" s="412"/>
      <c r="BL356" s="114"/>
      <c r="BM356" s="114"/>
      <c r="BN356" s="114"/>
      <c r="BO356" s="414"/>
      <c r="BP356" s="412"/>
      <c r="BQ356" s="114"/>
      <c r="BR356" s="114"/>
      <c r="BS356" s="114"/>
      <c r="BT356" s="414"/>
      <c r="BU356" s="412"/>
      <c r="BV356" s="114"/>
      <c r="BW356" s="114"/>
      <c r="BX356" s="114"/>
      <c r="BY356" s="414"/>
      <c r="BZ356" s="412"/>
      <c r="CA356" s="114"/>
      <c r="CB356" s="114"/>
      <c r="CC356" s="114"/>
      <c r="CD356" s="293"/>
      <c r="CE356" s="412"/>
      <c r="CF356" s="114"/>
      <c r="CG356" s="114"/>
      <c r="CH356" s="114"/>
      <c r="CI356" s="293"/>
      <c r="CJ356" s="412"/>
      <c r="CK356" s="114"/>
      <c r="CL356" s="114"/>
      <c r="CM356" s="114"/>
      <c r="CN356" s="293"/>
      <c r="CO356" s="412"/>
      <c r="CP356" s="114"/>
      <c r="CQ356" s="114"/>
      <c r="CR356" s="114"/>
      <c r="CS356" s="293"/>
      <c r="CT356" s="412"/>
      <c r="CU356" s="114"/>
      <c r="CV356" s="114"/>
      <c r="CW356" s="114"/>
      <c r="CX356" s="293"/>
      <c r="CY356" s="412"/>
      <c r="CZ356" s="114"/>
      <c r="DA356" s="114"/>
      <c r="DB356" s="114"/>
      <c r="DC356" s="293"/>
      <c r="DD356" s="412"/>
      <c r="DE356" s="114"/>
      <c r="DF356" s="114"/>
      <c r="DG356" s="114"/>
      <c r="DH356" s="293"/>
      <c r="DI356" s="412"/>
      <c r="DJ356" s="114"/>
      <c r="DK356" s="114">
        <v>0.81</v>
      </c>
      <c r="DL356" s="114">
        <v>0.74</v>
      </c>
      <c r="DM356" s="293"/>
      <c r="DN356" s="412">
        <v>0.69</v>
      </c>
      <c r="DO356" s="114">
        <v>0.67</v>
      </c>
      <c r="DP356" s="114">
        <v>0.65</v>
      </c>
      <c r="DQ356" s="114">
        <v>0.61</v>
      </c>
      <c r="DR356" s="293">
        <f>DR355/DM355-1</f>
      </c>
      <c r="DS356" s="412">
        <v>0.51</v>
      </c>
      <c r="DT356" s="114">
        <v>0.51</v>
      </c>
      <c r="DU356" s="114">
        <v>0.43</v>
      </c>
      <c r="DV356" s="114">
        <v>0.45</v>
      </c>
      <c r="DW356" s="293">
        <f>DW355/DR355-1</f>
      </c>
      <c r="DX356" s="412">
        <v>0.41</v>
      </c>
      <c r="DY356" s="114">
        <v>0.42</v>
      </c>
      <c r="DZ356" s="114">
        <v>0.46500000000000002</v>
      </c>
      <c r="EA356" s="114">
        <v>0.38</v>
      </c>
      <c r="EB356" s="293">
        <f>EB355/DW355-1</f>
      </c>
      <c r="EC356" s="412">
        <v>0.38</v>
      </c>
      <c r="ED356" s="114">
        <v>0.39</v>
      </c>
      <c r="EE356" s="114">
        <v>0.44500000000000001</v>
      </c>
      <c r="EF356" s="114">
        <v>0.49</v>
      </c>
      <c r="EG356" s="293">
        <f>EG355/EB355-1</f>
      </c>
      <c r="EH356" s="412">
        <v>0.48</v>
      </c>
      <c r="EI356" s="114">
        <v>0.45</v>
      </c>
      <c r="EJ356" s="114">
        <v>0.34499999999999997</v>
      </c>
      <c r="EK356" s="114">
        <v>0.31</v>
      </c>
      <c r="EL356" s="414">
        <v>0.39</v>
      </c>
      <c r="EM356" s="412">
        <v>0.24</v>
      </c>
      <c r="EN356" s="114">
        <v>0.21</v>
      </c>
      <c r="EO356" s="114">
        <v>0.245</v>
      </c>
      <c r="EP356" s="439">
        <v>0.26</v>
      </c>
      <c r="EQ356" s="293">
        <f>EQ355/EL355-1</f>
      </c>
      <c r="ER356" s="412">
        <v>0.27</v>
      </c>
      <c r="ES356" s="114">
        <v>0.26</v>
      </c>
      <c r="ET356" s="439">
        <v>0.22</v>
      </c>
      <c r="EU356" s="439">
        <v>0.19</v>
      </c>
      <c r="EV356" s="293">
        <f>EV355/EQ355-1</f>
      </c>
      <c r="EW356" s="441">
        <v>0.18</v>
      </c>
      <c r="EX356" s="439">
        <v>0.19</v>
      </c>
      <c r="EY356" s="439">
        <v>0.16</v>
      </c>
      <c r="EZ356" s="439">
        <v>0.23</v>
      </c>
      <c r="FA356" s="293">
        <f>FA355/EV355-1</f>
      </c>
      <c r="FB356" s="412">
        <v>0.19</v>
      </c>
      <c r="FC356" s="412">
        <v>0.18</v>
      </c>
      <c r="FD356" s="412">
        <v>0.18</v>
      </c>
      <c r="FE356" s="412">
        <v>0.15</v>
      </c>
      <c r="FF356" s="293">
        <f>FF355/FA355-1</f>
      </c>
      <c r="FG356" s="412">
        <v>0.16</v>
      </c>
      <c r="FH356" s="412">
        <f>FG356</f>
      </c>
      <c r="FI356" s="412">
        <f>FH356</f>
      </c>
      <c r="FJ356" s="412">
        <f>FI356</f>
      </c>
      <c r="FK356" s="293">
        <f>FK355/FF355-1</f>
      </c>
      <c r="FL356" s="412">
        <f>FJ356-1.5%</f>
      </c>
      <c r="FM356" s="412">
        <f>FL356</f>
      </c>
      <c r="FN356" s="412">
        <f>FM356</f>
      </c>
      <c r="FO356" s="412">
        <f>FN356</f>
      </c>
      <c r="FP356" s="293">
        <f>FP355/FK355-1</f>
      </c>
      <c r="FQ356" s="412">
        <f>FO356-1.5%</f>
      </c>
      <c r="FR356" s="412">
        <f>FQ356</f>
      </c>
      <c r="FS356" s="412">
        <f>FR356</f>
      </c>
      <c r="FT356" s="412">
        <f>FS356</f>
      </c>
      <c r="FU356" s="293">
        <f>FU355/FP355-1</f>
      </c>
      <c r="FV356" s="412">
        <f>FT356-1%</f>
      </c>
      <c r="FW356" s="412">
        <f>FV356</f>
      </c>
      <c r="FX356" s="412">
        <f>FW356</f>
      </c>
      <c r="FY356" s="412">
        <f>FX356</f>
      </c>
      <c r="FZ356" s="293">
        <f>FZ355/FU355-1</f>
      </c>
      <c r="GA356" s="412">
        <f>FY356-1%</f>
      </c>
      <c r="GB356" s="412">
        <f>GA356</f>
      </c>
      <c r="GC356" s="412">
        <f>GB356</f>
      </c>
      <c r="GD356" s="412">
        <f>GC356</f>
      </c>
      <c r="GE356" s="293">
        <f>GE355/FZ355-1</f>
      </c>
      <c r="GF356" s="412">
        <f>GD356-1%</f>
      </c>
      <c r="GG356" s="412">
        <f>GF356</f>
      </c>
      <c r="GH356" s="412">
        <f>GG356</f>
      </c>
      <c r="GI356" s="412">
        <f>GH356</f>
      </c>
      <c r="GJ356" s="382">
        <f>GJ355/GE355-1</f>
      </c>
    </row>
    <row r="357" spans="1:192" ht="12.75" customHeight="1">
      <c r="B357" s="735" t="s">
        <v>197</v>
      </c>
      <c r="C357" s="412"/>
      <c r="D357" s="114"/>
      <c r="E357" s="114"/>
      <c r="F357" s="114"/>
      <c r="G357" s="414"/>
      <c r="H357" s="412"/>
      <c r="I357" s="114"/>
      <c r="J357" s="114"/>
      <c r="K357" s="114"/>
      <c r="L357" s="414"/>
      <c r="M357" s="412"/>
      <c r="N357" s="114"/>
      <c r="O357" s="114"/>
      <c r="P357" s="114"/>
      <c r="Q357" s="414"/>
      <c r="R357" s="412"/>
      <c r="S357" s="114"/>
      <c r="T357" s="114"/>
      <c r="U357" s="114"/>
      <c r="V357" s="414"/>
      <c r="W357" s="412"/>
      <c r="X357" s="114"/>
      <c r="Y357" s="114"/>
      <c r="Z357" s="114"/>
      <c r="AA357" s="414"/>
      <c r="AB357" s="412"/>
      <c r="AC357" s="114"/>
      <c r="AD357" s="114"/>
      <c r="AE357" s="114"/>
      <c r="AF357" s="414"/>
      <c r="AG357" s="412"/>
      <c r="AH357" s="114"/>
      <c r="AI357" s="114"/>
      <c r="AJ357" s="114"/>
      <c r="AK357" s="414"/>
      <c r="AL357" s="412"/>
      <c r="AM357" s="114"/>
      <c r="AN357" s="114"/>
      <c r="AO357" s="114"/>
      <c r="AP357" s="414"/>
      <c r="AQ357" s="412"/>
      <c r="AR357" s="114"/>
      <c r="AS357" s="114"/>
      <c r="AT357" s="114"/>
      <c r="AU357" s="414"/>
      <c r="AV357" s="412"/>
      <c r="AW357" s="114"/>
      <c r="AX357" s="114"/>
      <c r="AY357" s="114"/>
      <c r="AZ357" s="414"/>
      <c r="BA357" s="412"/>
      <c r="BB357" s="114"/>
      <c r="BC357" s="114"/>
      <c r="BD357" s="114"/>
      <c r="BE357" s="414"/>
      <c r="BF357" s="412"/>
      <c r="BG357" s="114"/>
      <c r="BH357" s="114"/>
      <c r="BI357" s="114"/>
      <c r="BJ357" s="414"/>
      <c r="BK357" s="412"/>
      <c r="BL357" s="114"/>
      <c r="BM357" s="114"/>
      <c r="BN357" s="114"/>
      <c r="BO357" s="414"/>
      <c r="BP357" s="412"/>
      <c r="BQ357" s="114"/>
      <c r="BR357" s="114"/>
      <c r="BS357" s="114"/>
      <c r="BT357" s="414"/>
      <c r="BU357" s="412"/>
      <c r="BV357" s="114"/>
      <c r="BW357" s="114"/>
      <c r="BX357" s="114"/>
      <c r="BY357" s="414"/>
      <c r="BZ357" s="412"/>
      <c r="CA357" s="114"/>
      <c r="CB357" s="114"/>
      <c r="CC357" s="114"/>
      <c r="CD357" s="293"/>
      <c r="CE357" s="412"/>
      <c r="CF357" s="114"/>
      <c r="CG357" s="114"/>
      <c r="CH357" s="114"/>
      <c r="CI357" s="293"/>
      <c r="CJ357" s="412"/>
      <c r="CK357" s="114"/>
      <c r="CL357" s="114"/>
      <c r="CM357" s="114"/>
      <c r="CN357" s="293"/>
      <c r="CO357" s="412"/>
      <c r="CP357" s="114"/>
      <c r="CQ357" s="114"/>
      <c r="CR357" s="114"/>
      <c r="CS357" s="293"/>
      <c r="CT357" s="412"/>
      <c r="CU357" s="114"/>
      <c r="CV357" s="114"/>
      <c r="CW357" s="114"/>
      <c r="CX357" s="293"/>
      <c r="CY357" s="412"/>
      <c r="CZ357" s="114"/>
      <c r="DA357" s="114"/>
      <c r="DB357" s="114"/>
      <c r="DC357" s="293"/>
      <c r="DD357" s="412"/>
      <c r="DE357" s="114"/>
      <c r="DF357" s="114"/>
      <c r="DG357" s="114"/>
      <c r="DH357" s="293"/>
      <c r="DI357" s="412"/>
      <c r="DJ357" s="114"/>
      <c r="DK357" s="114">
        <v>0.82</v>
      </c>
      <c r="DL357" s="114">
        <v>0.75</v>
      </c>
      <c r="DM357" s="293"/>
      <c r="DN357" s="412">
        <v>0.69</v>
      </c>
      <c r="DO357" s="114">
        <v>0.68</v>
      </c>
      <c r="DP357" s="114">
        <v>0.62</v>
      </c>
      <c r="DQ357" s="114">
        <v>0.56000000000000005</v>
      </c>
      <c r="DR357" s="293"/>
      <c r="DS357" s="412">
        <v>0.49</v>
      </c>
      <c r="DT357" s="114">
        <v>0.5</v>
      </c>
      <c r="DU357" s="114">
        <v>0.44</v>
      </c>
      <c r="DV357" s="114">
        <v>0.48</v>
      </c>
      <c r="DW357" s="293"/>
      <c r="DX357" s="412">
        <v>0.44</v>
      </c>
      <c r="DY357" s="114">
        <v>0.45</v>
      </c>
      <c r="DZ357" s="114">
        <v>0.49</v>
      </c>
      <c r="EA357" s="114">
        <v>0.4</v>
      </c>
      <c r="EB357" s="293"/>
      <c r="EC357" s="412">
        <v>0.37</v>
      </c>
      <c r="ED357" s="114">
        <v>0.37</v>
      </c>
      <c r="EE357" s="114">
        <v>0.4</v>
      </c>
      <c r="EF357" s="114">
        <v>0.42</v>
      </c>
      <c r="EG357" s="293"/>
      <c r="EH357" s="412">
        <v>0.45</v>
      </c>
      <c r="EI357" s="114">
        <v>0.44</v>
      </c>
      <c r="EJ357" s="114">
        <v>0.38</v>
      </c>
      <c r="EK357" s="114">
        <v>0.36</v>
      </c>
      <c r="EL357" s="293"/>
      <c r="EM357" s="412">
        <v>0.32</v>
      </c>
      <c r="EN357" s="114">
        <v>0.28999999999999998</v>
      </c>
      <c r="EO357" s="114">
        <v>0.28999999999999998</v>
      </c>
      <c r="EP357" s="114">
        <v>0.28000000000000003</v>
      </c>
      <c r="EQ357" s="293"/>
      <c r="ER357" s="412">
        <v>0.26</v>
      </c>
      <c r="ES357" s="114">
        <v>0.23</v>
      </c>
      <c r="ET357" s="439">
        <v>0.21</v>
      </c>
      <c r="EU357" s="439">
        <v>0.2</v>
      </c>
      <c r="EV357" s="293"/>
      <c r="EW357" s="441">
        <v>0.19</v>
      </c>
      <c r="EX357" s="439">
        <v>0.18</v>
      </c>
      <c r="EY357" s="439">
        <v>0.18</v>
      </c>
      <c r="EZ357" s="439">
        <v>0.21</v>
      </c>
      <c r="FA357" s="293"/>
      <c r="FB357" s="412">
        <f t="shared" ref="FB357" si="479">FB356-3%</f>
      </c>
      <c r="FC357" s="412">
        <f t="shared" ref="FC357:FE357" si="480">FC356-2%</f>
      </c>
      <c r="FD357" s="412">
        <f t="shared" si="480"/>
      </c>
      <c r="FE357" s="412">
        <f t="shared" si="480"/>
      </c>
      <c r="FF357" s="293"/>
      <c r="FG357" s="291"/>
      <c r="FH357" s="107"/>
      <c r="FI357" s="107"/>
      <c r="FJ357" s="107"/>
      <c r="FK357" s="293"/>
      <c r="FL357" s="291"/>
      <c r="FM357" s="107"/>
      <c r="FN357" s="107"/>
      <c r="FO357" s="107"/>
      <c r="FP357" s="293"/>
      <c r="FQ357" s="291"/>
      <c r="FR357" s="107"/>
      <c r="FS357" s="107"/>
      <c r="FT357" s="107"/>
      <c r="FU357" s="293"/>
      <c r="FV357" s="291"/>
      <c r="FW357" s="107"/>
      <c r="FX357" s="107"/>
      <c r="FY357" s="107"/>
      <c r="FZ357" s="293"/>
      <c r="GA357" s="291"/>
      <c r="GB357" s="107"/>
      <c r="GC357" s="107"/>
      <c r="GD357" s="107"/>
      <c r="GE357" s="293"/>
      <c r="GF357" s="291"/>
      <c r="GG357" s="107"/>
      <c r="GH357" s="107"/>
      <c r="GI357" s="107"/>
      <c r="GJ357" s="382"/>
    </row>
    <row r="358" spans="1:192" ht="12.75" customHeight="1">
      <c r="B358" s="735" t="s">
        <v>36</v>
      </c>
      <c r="C358" s="291"/>
      <c r="D358" s="107"/>
      <c r="E358" s="107"/>
      <c r="F358" s="107"/>
      <c r="G358" s="293"/>
      <c r="H358" s="291"/>
      <c r="I358" s="107"/>
      <c r="J358" s="107"/>
      <c r="K358" s="107"/>
      <c r="L358" s="293"/>
      <c r="M358" s="291"/>
      <c r="N358" s="107"/>
      <c r="O358" s="107"/>
      <c r="P358" s="107"/>
      <c r="Q358" s="293"/>
      <c r="R358" s="291"/>
      <c r="S358" s="107"/>
      <c r="T358" s="107"/>
      <c r="U358" s="107"/>
      <c r="V358" s="293"/>
      <c r="W358" s="291"/>
      <c r="X358" s="107"/>
      <c r="Y358" s="107"/>
      <c r="Z358" s="107"/>
      <c r="AA358" s="293"/>
      <c r="AB358" s="291"/>
      <c r="AC358" s="107"/>
      <c r="AD358" s="107"/>
      <c r="AE358" s="107"/>
      <c r="AF358" s="293"/>
      <c r="AG358" s="291"/>
      <c r="AH358" s="107"/>
      <c r="AI358" s="107"/>
      <c r="AJ358" s="107"/>
      <c r="AK358" s="293"/>
      <c r="AL358" s="291"/>
      <c r="AM358" s="107"/>
      <c r="AN358" s="107"/>
      <c r="AO358" s="107"/>
      <c r="AP358" s="293"/>
      <c r="AQ358" s="291"/>
      <c r="AR358" s="107"/>
      <c r="AS358" s="107"/>
      <c r="AT358" s="107"/>
      <c r="AU358" s="293"/>
      <c r="AV358" s="291"/>
      <c r="AW358" s="107"/>
      <c r="AX358" s="107"/>
      <c r="AY358" s="107"/>
      <c r="AZ358" s="293"/>
      <c r="BA358" s="291"/>
      <c r="BB358" s="107"/>
      <c r="BC358" s="107"/>
      <c r="BD358" s="107"/>
      <c r="BE358" s="293"/>
      <c r="BF358" s="291"/>
      <c r="BG358" s="107"/>
      <c r="BH358" s="107"/>
      <c r="BI358" s="107"/>
      <c r="BJ358" s="293"/>
      <c r="BK358" s="291"/>
      <c r="BL358" s="107"/>
      <c r="BM358" s="107"/>
      <c r="BN358" s="107"/>
      <c r="BO358" s="293"/>
      <c r="BP358" s="291"/>
      <c r="BQ358" s="107"/>
      <c r="BR358" s="107"/>
      <c r="BS358" s="107"/>
      <c r="BT358" s="293"/>
      <c r="BU358" s="291"/>
      <c r="BV358" s="107"/>
      <c r="BW358" s="107"/>
      <c r="BX358" s="107"/>
      <c r="BY358" s="293"/>
      <c r="BZ358" s="291"/>
      <c r="CA358" s="107"/>
      <c r="CB358" s="107"/>
      <c r="CC358" s="107"/>
      <c r="CD358" s="293"/>
      <c r="CE358" s="291"/>
      <c r="CF358" s="107"/>
      <c r="CG358" s="107"/>
      <c r="CH358" s="107"/>
      <c r="CI358" s="293"/>
      <c r="CJ358" s="291"/>
      <c r="CK358" s="107"/>
      <c r="CL358" s="107"/>
      <c r="CM358" s="107"/>
      <c r="CN358" s="293"/>
      <c r="CO358" s="291"/>
      <c r="CP358" s="107"/>
      <c r="CQ358" s="107"/>
      <c r="CR358" s="107"/>
      <c r="CS358" s="293"/>
      <c r="CT358" s="291"/>
      <c r="CU358" s="107"/>
      <c r="CV358" s="107"/>
      <c r="CW358" s="107"/>
      <c r="CX358" s="293"/>
      <c r="CY358" s="291"/>
      <c r="CZ358" s="107"/>
      <c r="DA358" s="107"/>
      <c r="DB358" s="107"/>
      <c r="DC358" s="293"/>
      <c r="DD358" s="291"/>
      <c r="DE358" s="107"/>
      <c r="DF358" s="107"/>
      <c r="DG358" s="346">
        <f>DG355/DF355-1</f>
      </c>
      <c r="DH358" s="293"/>
      <c r="DI358" s="291">
        <f>DI355/DG355-1</f>
      </c>
      <c r="DJ358" s="107">
        <f>DJ355/DI355-1</f>
      </c>
      <c r="DK358" s="107">
        <f>DK355/DJ355-1</f>
      </c>
      <c r="DL358" s="346">
        <f>DL355/DK355-1</f>
      </c>
      <c r="DM358" s="293"/>
      <c r="DN358" s="291">
        <f>DN355/DL355-1</f>
      </c>
      <c r="DO358" s="107">
        <f>DO355/DN355-1</f>
      </c>
      <c r="DP358" s="107">
        <f>DP355/DO355-1</f>
      </c>
      <c r="DQ358" s="346">
        <f>DQ355/DP355-1</f>
      </c>
      <c r="DR358" s="293"/>
      <c r="DS358" s="291">
        <f>DS355/DQ355-1</f>
      </c>
      <c r="DT358" s="107">
        <f>DT355/DS355-1</f>
      </c>
      <c r="DU358" s="107">
        <f>DU355/DT355-1</f>
      </c>
      <c r="DV358" s="346">
        <f>DV355/DU355-1</f>
      </c>
      <c r="DW358" s="293"/>
      <c r="DX358" s="291">
        <f>DX355/DV355-1</f>
      </c>
      <c r="DY358" s="107">
        <f>DY355/DX355-1</f>
      </c>
      <c r="DZ358" s="107">
        <f>DZ355/DY355-1</f>
      </c>
      <c r="EA358" s="346">
        <f>EA355/DZ355-1</f>
      </c>
      <c r="EB358" s="293"/>
      <c r="EC358" s="291">
        <f>EC355/EA355-1</f>
      </c>
      <c r="ED358" s="107">
        <f>ED355/EC355-1</f>
      </c>
      <c r="EE358" s="107">
        <f>EE355/ED355-1</f>
      </c>
      <c r="EF358" s="346">
        <f>EF355/EE355-1</f>
      </c>
      <c r="EG358" s="293"/>
      <c r="EH358" s="291">
        <f>EH355/EF355-1</f>
      </c>
      <c r="EI358" s="107">
        <f>EI355/EH355-1</f>
      </c>
      <c r="EJ358" s="107">
        <f>EJ355/EI355-1</f>
      </c>
      <c r="EK358" s="346">
        <f>EK355/EJ355-1</f>
      </c>
      <c r="EL358" s="293"/>
      <c r="EM358" s="291">
        <f>EM355/EK355-1</f>
      </c>
      <c r="EN358" s="107">
        <f>EN355/EM355-1</f>
      </c>
      <c r="EO358" s="107">
        <f>EO355/EN355-1</f>
      </c>
      <c r="EP358" s="346">
        <f>EP355/EO355-1</f>
      </c>
      <c r="EQ358" s="293"/>
      <c r="ER358" s="291">
        <f>ER355/EP355-1</f>
      </c>
      <c r="ES358" s="107">
        <f>ES355/ER355-1</f>
      </c>
      <c r="ET358" s="107">
        <f>ET355/ES355-1</f>
      </c>
      <c r="EU358" s="1496">
        <f>EU355/ET355-1</f>
      </c>
      <c r="EV358" s="293"/>
      <c r="EW358" s="291">
        <f>EW355/EU355-1</f>
      </c>
      <c r="EX358" s="107">
        <f>EX355/EW355-1</f>
      </c>
      <c r="EY358" s="107">
        <f>EY355/EX355-1</f>
      </c>
      <c r="EZ358" s="1496">
        <f>EZ355/EY355-1</f>
      </c>
      <c r="FA358" s="293"/>
      <c r="FB358" s="291">
        <f>FB355/EZ355-1</f>
      </c>
      <c r="FC358" s="107">
        <f>FC355/FB355-1</f>
      </c>
      <c r="FD358" s="107">
        <f>FD355/FC355-1</f>
      </c>
      <c r="FE358" s="346">
        <f>FE355/FD355-1</f>
      </c>
      <c r="FF358" s="293"/>
      <c r="FG358" s="291">
        <f>FG355/FE355-1</f>
      </c>
      <c r="FH358" s="107">
        <f>FH355/FG355-1</f>
      </c>
      <c r="FI358" s="107">
        <f>FI355/FH355-1</f>
      </c>
      <c r="FJ358" s="346">
        <f>FJ355/FI355-1</f>
      </c>
      <c r="FK358" s="293"/>
      <c r="FL358" s="291">
        <f>FL355/FJ355-1</f>
      </c>
      <c r="FM358" s="107">
        <f>FM355/FL355-1</f>
      </c>
      <c r="FN358" s="107">
        <f>FN355/FM355-1</f>
      </c>
      <c r="FO358" s="346">
        <f>FO355/FN355-1</f>
      </c>
      <c r="FP358" s="293"/>
      <c r="FQ358" s="291">
        <f>FQ355/FO355-1</f>
      </c>
      <c r="FR358" s="107">
        <f>FR355/FQ355-1</f>
      </c>
      <c r="FS358" s="107">
        <f>FS355/FR355-1</f>
      </c>
      <c r="FT358" s="346">
        <f>FT355/FS355-1</f>
      </c>
      <c r="FU358" s="293"/>
      <c r="FV358" s="291">
        <f>FV355/FT355-1</f>
      </c>
      <c r="FW358" s="107">
        <f>FW355/FV355-1</f>
      </c>
      <c r="FX358" s="107">
        <f>FX355/FW355-1</f>
      </c>
      <c r="FY358" s="107">
        <f>FY355/FX355-1</f>
      </c>
      <c r="FZ358" s="293"/>
      <c r="GA358" s="291">
        <f>GA355/FY355-1</f>
      </c>
      <c r="GB358" s="107">
        <f>GB355/GA355-1</f>
      </c>
      <c r="GC358" s="107">
        <f>GC355/GB355-1</f>
      </c>
      <c r="GD358" s="107">
        <f>GD355/GC355-1</f>
      </c>
      <c r="GE358" s="293"/>
      <c r="GF358" s="291">
        <f>GF355/GD355-1</f>
      </c>
      <c r="GG358" s="107">
        <f>GG355/GF355-1</f>
      </c>
      <c r="GH358" s="107">
        <f>GH355/GG355-1</f>
      </c>
      <c r="GI358" s="107">
        <f>GI355/GH355-1</f>
      </c>
      <c r="GJ358" s="382"/>
    </row>
    <row r="359" spans="1:192" s="1200" customFormat="1" ht="12.75" customHeight="1">
      <c r="A359" s="1272"/>
      <c r="B359" s="735" t="s">
        <v>393</v>
      </c>
      <c r="C359" s="892"/>
      <c r="D359" s="924"/>
      <c r="E359" s="924"/>
      <c r="F359" s="924"/>
      <c r="G359" s="893"/>
      <c r="H359" s="892"/>
      <c r="I359" s="924"/>
      <c r="J359" s="924"/>
      <c r="K359" s="924"/>
      <c r="L359" s="893"/>
      <c r="M359" s="892"/>
      <c r="N359" s="924"/>
      <c r="O359" s="924"/>
      <c r="P359" s="924"/>
      <c r="Q359" s="893"/>
      <c r="R359" s="892"/>
      <c r="S359" s="924"/>
      <c r="T359" s="924"/>
      <c r="U359" s="924"/>
      <c r="V359" s="893"/>
      <c r="W359" s="892"/>
      <c r="X359" s="924"/>
      <c r="Y359" s="924"/>
      <c r="Z359" s="924"/>
      <c r="AA359" s="893"/>
      <c r="AB359" s="892"/>
      <c r="AC359" s="924"/>
      <c r="AD359" s="924"/>
      <c r="AE359" s="924"/>
      <c r="AF359" s="893"/>
      <c r="AG359" s="892"/>
      <c r="AH359" s="924"/>
      <c r="AI359" s="924"/>
      <c r="AJ359" s="924"/>
      <c r="AK359" s="893"/>
      <c r="AL359" s="892"/>
      <c r="AM359" s="924"/>
      <c r="AN359" s="924"/>
      <c r="AO359" s="924"/>
      <c r="AP359" s="893"/>
      <c r="AQ359" s="892"/>
      <c r="AR359" s="924"/>
      <c r="AS359" s="924"/>
      <c r="AT359" s="924"/>
      <c r="AU359" s="893"/>
      <c r="AV359" s="892"/>
      <c r="AW359" s="924"/>
      <c r="AX359" s="924"/>
      <c r="AY359" s="924"/>
      <c r="AZ359" s="893"/>
      <c r="BA359" s="892"/>
      <c r="BB359" s="924"/>
      <c r="BC359" s="924"/>
      <c r="BD359" s="924"/>
      <c r="BE359" s="893"/>
      <c r="BF359" s="892"/>
      <c r="BG359" s="924"/>
      <c r="BH359" s="924"/>
      <c r="BI359" s="924"/>
      <c r="BJ359" s="893"/>
      <c r="BK359" s="892"/>
      <c r="BL359" s="924"/>
      <c r="BM359" s="924"/>
      <c r="BN359" s="924"/>
      <c r="BO359" s="893"/>
      <c r="BP359" s="892"/>
      <c r="BQ359" s="924"/>
      <c r="BR359" s="924"/>
      <c r="BS359" s="924"/>
      <c r="BT359" s="893"/>
      <c r="BU359" s="892"/>
      <c r="BV359" s="924"/>
      <c r="BW359" s="924"/>
      <c r="BX359" s="924"/>
      <c r="BY359" s="893"/>
      <c r="BZ359" s="892"/>
      <c r="CA359" s="924"/>
      <c r="CB359" s="924"/>
      <c r="CC359" s="924"/>
      <c r="CD359" s="893"/>
      <c r="CE359" s="892"/>
      <c r="CF359" s="924"/>
      <c r="CG359" s="924"/>
      <c r="CH359" s="924"/>
      <c r="CI359" s="893"/>
      <c r="CJ359" s="892"/>
      <c r="CK359" s="924"/>
      <c r="CL359" s="924"/>
      <c r="CM359" s="924"/>
      <c r="CN359" s="893"/>
      <c r="CO359" s="892"/>
      <c r="CP359" s="924"/>
      <c r="CQ359" s="924"/>
      <c r="CR359" s="924"/>
      <c r="CS359" s="893"/>
      <c r="CT359" s="892"/>
      <c r="CU359" s="924"/>
      <c r="CV359" s="924"/>
      <c r="CW359" s="924"/>
      <c r="CX359" s="893"/>
      <c r="CY359" s="892"/>
      <c r="CZ359" s="924"/>
      <c r="DA359" s="924"/>
      <c r="DB359" s="924"/>
      <c r="DC359" s="893"/>
      <c r="DD359" s="924"/>
      <c r="DE359" s="924"/>
      <c r="DF359" s="924">
        <f>DF355/DF347</f>
      </c>
      <c r="DG359" s="924">
        <f>DG355/DG347</f>
      </c>
      <c r="DH359" s="893"/>
      <c r="DI359" s="924">
        <f t="shared" ref="DI359:EF359" si="481">DI355/DI347</f>
      </c>
      <c r="DJ359" s="924">
        <f t="shared" si="481"/>
      </c>
      <c r="DK359" s="924">
        <f t="shared" si="481"/>
      </c>
      <c r="DL359" s="924">
        <f t="shared" si="481"/>
      </c>
      <c r="DM359" s="893">
        <f t="shared" si="481"/>
      </c>
      <c r="DN359" s="924">
        <f t="shared" si="481"/>
      </c>
      <c r="DO359" s="924">
        <f t="shared" si="481"/>
      </c>
      <c r="DP359" s="924">
        <f t="shared" si="481"/>
      </c>
      <c r="DQ359" s="924">
        <f t="shared" si="481"/>
      </c>
      <c r="DR359" s="893">
        <f t="shared" si="481"/>
      </c>
      <c r="DS359" s="924">
        <f t="shared" si="481"/>
      </c>
      <c r="DT359" s="924">
        <f t="shared" si="481"/>
      </c>
      <c r="DU359" s="924">
        <f t="shared" si="481"/>
      </c>
      <c r="DV359" s="924">
        <f t="shared" si="481"/>
      </c>
      <c r="DW359" s="893">
        <f t="shared" si="481"/>
      </c>
      <c r="DX359" s="924">
        <f t="shared" si="481"/>
      </c>
      <c r="DY359" s="924">
        <f t="shared" si="481"/>
      </c>
      <c r="DZ359" s="924">
        <f t="shared" si="481"/>
      </c>
      <c r="EA359" s="924">
        <f t="shared" si="481"/>
      </c>
      <c r="EB359" s="893">
        <f t="shared" si="481"/>
      </c>
      <c r="EC359" s="924">
        <f t="shared" si="481"/>
      </c>
      <c r="ED359" s="924">
        <f t="shared" si="481"/>
      </c>
      <c r="EE359" s="924">
        <f t="shared" si="481"/>
      </c>
      <c r="EF359" s="1359">
        <f t="shared" si="481"/>
      </c>
      <c r="EG359" s="893"/>
      <c r="EH359" s="924">
        <f t="shared" ref="EH359:ER359" si="482">EH355/EH347</f>
      </c>
      <c r="EI359" s="924">
        <f t="shared" si="482"/>
      </c>
      <c r="EJ359" s="924">
        <f t="shared" si="482"/>
      </c>
      <c r="EK359" s="924">
        <f t="shared" si="482"/>
      </c>
      <c r="EL359" s="893">
        <f t="shared" si="482"/>
      </c>
      <c r="EM359" s="924">
        <f t="shared" si="482"/>
      </c>
      <c r="EN359" s="924">
        <f t="shared" si="482"/>
      </c>
      <c r="EO359" s="924">
        <f t="shared" si="482"/>
      </c>
      <c r="EP359" s="924">
        <f t="shared" si="482"/>
      </c>
      <c r="EQ359" s="893">
        <f t="shared" si="482"/>
      </c>
      <c r="ER359" s="924">
        <f t="shared" si="482"/>
      </c>
      <c r="ES359" s="1623">
        <f>AVERAGE(ER359,ET359)</f>
      </c>
      <c r="ET359" s="1623">
        <f>AVERAGE(ER359,EW359)</f>
      </c>
      <c r="EU359" s="1623">
        <f>AVERAGE(ET359,EW359)</f>
      </c>
      <c r="EV359" s="893">
        <f>EV355/EV347</f>
      </c>
      <c r="EW359" s="1623">
        <v>0.9</v>
      </c>
      <c r="EX359" s="924">
        <f t="shared" ref="EX359:GJ359" si="483">EX355/EX347</f>
      </c>
      <c r="EY359" s="924">
        <f t="shared" si="483"/>
      </c>
      <c r="EZ359" s="924">
        <f t="shared" si="483"/>
      </c>
      <c r="FA359" s="893">
        <f t="shared" si="483"/>
      </c>
      <c r="FB359" s="924">
        <f t="shared" si="483"/>
      </c>
      <c r="FC359" s="924">
        <f t="shared" si="483"/>
      </c>
      <c r="FD359" s="924">
        <f t="shared" si="483"/>
      </c>
      <c r="FE359" s="924">
        <f t="shared" si="483"/>
      </c>
      <c r="FF359" s="893">
        <f t="shared" si="483"/>
      </c>
      <c r="FG359" s="924">
        <f t="shared" si="483"/>
      </c>
      <c r="FH359" s="924">
        <f t="shared" si="483"/>
      </c>
      <c r="FI359" s="924">
        <f t="shared" si="483"/>
      </c>
      <c r="FJ359" s="924">
        <f t="shared" si="483"/>
      </c>
      <c r="FK359" s="893">
        <f t="shared" si="483"/>
      </c>
      <c r="FL359" s="924">
        <f t="shared" si="483"/>
      </c>
      <c r="FM359" s="924">
        <f t="shared" si="483"/>
      </c>
      <c r="FN359" s="924">
        <f t="shared" si="483"/>
      </c>
      <c r="FO359" s="924">
        <f t="shared" si="483"/>
      </c>
      <c r="FP359" s="893">
        <f t="shared" si="483"/>
      </c>
      <c r="FQ359" s="924">
        <f t="shared" si="483"/>
      </c>
      <c r="FR359" s="924">
        <f t="shared" si="483"/>
      </c>
      <c r="FS359" s="924">
        <f t="shared" si="483"/>
      </c>
      <c r="FT359" s="924">
        <f t="shared" si="483"/>
      </c>
      <c r="FU359" s="893">
        <f t="shared" si="483"/>
      </c>
      <c r="FV359" s="892">
        <f t="shared" si="483"/>
      </c>
      <c r="FW359" s="924">
        <f t="shared" si="483"/>
      </c>
      <c r="FX359" s="924">
        <f t="shared" si="483"/>
      </c>
      <c r="FY359" s="924">
        <f t="shared" si="483"/>
      </c>
      <c r="FZ359" s="893">
        <f t="shared" si="483"/>
      </c>
      <c r="GA359" s="892">
        <f t="shared" si="483"/>
      </c>
      <c r="GB359" s="924">
        <f t="shared" si="483"/>
      </c>
      <c r="GC359" s="924">
        <f t="shared" si="483"/>
      </c>
      <c r="GD359" s="924">
        <f t="shared" si="483"/>
      </c>
      <c r="GE359" s="893">
        <f t="shared" si="483"/>
      </c>
      <c r="GF359" s="892">
        <f t="shared" si="483"/>
      </c>
      <c r="GG359" s="924">
        <f t="shared" si="483"/>
      </c>
      <c r="GH359" s="924">
        <f t="shared" si="483"/>
      </c>
      <c r="GI359" s="924">
        <f t="shared" si="483"/>
      </c>
      <c r="GJ359" s="1199">
        <f t="shared" si="483"/>
      </c>
    </row>
    <row r="360" spans="1:192" ht="12.75" customHeight="1">
      <c r="B360" s="735"/>
      <c r="C360" s="291"/>
      <c r="D360" s="107"/>
      <c r="E360" s="107"/>
      <c r="F360" s="107"/>
      <c r="G360" s="293"/>
      <c r="H360" s="291"/>
      <c r="I360" s="107"/>
      <c r="J360" s="107"/>
      <c r="K360" s="107"/>
      <c r="L360" s="293"/>
      <c r="M360" s="291"/>
      <c r="N360" s="107"/>
      <c r="O360" s="107"/>
      <c r="P360" s="107"/>
      <c r="Q360" s="293"/>
      <c r="R360" s="291"/>
      <c r="S360" s="107"/>
      <c r="T360" s="107"/>
      <c r="U360" s="107"/>
      <c r="V360" s="293"/>
      <c r="W360" s="291"/>
      <c r="X360" s="107"/>
      <c r="Y360" s="107"/>
      <c r="Z360" s="107"/>
      <c r="AA360" s="293"/>
      <c r="AB360" s="291"/>
      <c r="AC360" s="107"/>
      <c r="AD360" s="107"/>
      <c r="AE360" s="107"/>
      <c r="AF360" s="293"/>
      <c r="AG360" s="291"/>
      <c r="AH360" s="107"/>
      <c r="AI360" s="107"/>
      <c r="AJ360" s="107"/>
      <c r="AK360" s="293"/>
      <c r="AL360" s="291"/>
      <c r="AM360" s="107"/>
      <c r="AN360" s="107"/>
      <c r="AO360" s="107"/>
      <c r="AP360" s="293"/>
      <c r="AQ360" s="291"/>
      <c r="AR360" s="107"/>
      <c r="AS360" s="107"/>
      <c r="AT360" s="107"/>
      <c r="AU360" s="293"/>
      <c r="AV360" s="291"/>
      <c r="AW360" s="107"/>
      <c r="AX360" s="107"/>
      <c r="AY360" s="107"/>
      <c r="AZ360" s="293"/>
      <c r="BA360" s="291"/>
      <c r="BB360" s="107"/>
      <c r="BC360" s="107"/>
      <c r="BD360" s="107"/>
      <c r="BE360" s="293"/>
      <c r="BF360" s="291"/>
      <c r="BG360" s="107"/>
      <c r="BH360" s="107"/>
      <c r="BI360" s="107"/>
      <c r="BJ360" s="293"/>
      <c r="BK360" s="291"/>
      <c r="BL360" s="107"/>
      <c r="BM360" s="107"/>
      <c r="BN360" s="107"/>
      <c r="BO360" s="293"/>
      <c r="BP360" s="291"/>
      <c r="BQ360" s="107"/>
      <c r="BR360" s="107"/>
      <c r="BS360" s="107"/>
      <c r="BT360" s="293"/>
      <c r="BU360" s="291"/>
      <c r="BV360" s="107"/>
      <c r="BW360" s="107"/>
      <c r="BX360" s="107"/>
      <c r="BY360" s="293"/>
      <c r="BZ360" s="291"/>
      <c r="CA360" s="107"/>
      <c r="CB360" s="107"/>
      <c r="CC360" s="107"/>
      <c r="CD360" s="293"/>
      <c r="CE360" s="291"/>
      <c r="CF360" s="107"/>
      <c r="CG360" s="107"/>
      <c r="CH360" s="107"/>
      <c r="CI360" s="293"/>
      <c r="CJ360" s="291"/>
      <c r="CK360" s="107"/>
      <c r="CL360" s="107"/>
      <c r="CM360" s="107"/>
      <c r="CN360" s="293"/>
      <c r="CO360" s="291"/>
      <c r="CP360" s="107"/>
      <c r="CQ360" s="107"/>
      <c r="CR360" s="107"/>
      <c r="CS360" s="293"/>
      <c r="CT360" s="291"/>
      <c r="CU360" s="107"/>
      <c r="CV360" s="107"/>
      <c r="CW360" s="107"/>
      <c r="CX360" s="293"/>
      <c r="CY360" s="291"/>
      <c r="CZ360" s="107"/>
      <c r="DA360" s="107"/>
      <c r="DB360" s="107"/>
      <c r="DC360" s="293"/>
      <c r="DD360" s="291"/>
      <c r="DE360" s="107"/>
      <c r="DF360" s="107"/>
      <c r="DG360" s="346"/>
      <c r="DH360" s="293"/>
      <c r="DI360" s="291"/>
      <c r="DJ360" s="107"/>
      <c r="DK360" s="107"/>
      <c r="DL360" s="346"/>
      <c r="DM360" s="347"/>
      <c r="DN360" s="291"/>
      <c r="DO360" s="107"/>
      <c r="DP360" s="107"/>
      <c r="DQ360" s="346"/>
      <c r="DR360" s="347"/>
      <c r="DS360" s="291"/>
      <c r="DT360" s="107"/>
      <c r="DU360" s="107"/>
      <c r="DV360" s="346"/>
      <c r="DW360" s="347"/>
      <c r="DX360" s="291"/>
      <c r="DY360" s="107"/>
      <c r="DZ360" s="107"/>
      <c r="EA360" s="346"/>
      <c r="EB360" s="347"/>
      <c r="EC360" s="291"/>
      <c r="ED360" s="107"/>
      <c r="EE360" s="107"/>
      <c r="EF360" s="346"/>
      <c r="EG360" s="347"/>
      <c r="EH360" s="291"/>
      <c r="EI360" s="107"/>
      <c r="EJ360" s="107"/>
      <c r="EK360" s="346"/>
      <c r="EL360" s="347"/>
      <c r="EM360" s="291"/>
      <c r="EN360" s="107"/>
      <c r="EO360" s="107"/>
      <c r="EP360" s="346"/>
      <c r="EQ360" s="347"/>
      <c r="ER360" s="291"/>
      <c r="ES360" s="107"/>
      <c r="ET360" s="107"/>
      <c r="EU360" s="1496"/>
      <c r="EV360" s="347"/>
      <c r="EW360" s="291"/>
      <c r="EX360" s="107"/>
      <c r="EY360" s="107"/>
      <c r="EZ360" s="1496"/>
      <c r="FA360" s="347"/>
      <c r="FB360" s="291"/>
      <c r="FC360" s="107"/>
      <c r="FD360" s="107"/>
      <c r="FE360" s="346"/>
      <c r="FF360" s="347"/>
      <c r="FG360" s="291"/>
      <c r="FH360" s="107"/>
      <c r="FI360" s="107"/>
      <c r="FJ360" s="346"/>
      <c r="FK360" s="347"/>
      <c r="FL360" s="291"/>
      <c r="FM360" s="107"/>
      <c r="FN360" s="107"/>
      <c r="FO360" s="346"/>
      <c r="FP360" s="347"/>
      <c r="FQ360" s="291"/>
      <c r="FR360" s="107"/>
      <c r="FS360" s="107"/>
      <c r="FT360" s="346"/>
      <c r="FU360" s="347"/>
      <c r="FV360" s="291"/>
      <c r="FW360" s="107"/>
      <c r="FX360" s="107"/>
      <c r="FY360" s="107"/>
      <c r="FZ360" s="293"/>
      <c r="GA360" s="291"/>
      <c r="GB360" s="107"/>
      <c r="GC360" s="107"/>
      <c r="GD360" s="107"/>
      <c r="GE360" s="293"/>
      <c r="GF360" s="291"/>
      <c r="GG360" s="107"/>
      <c r="GH360" s="107"/>
      <c r="GI360" s="107"/>
      <c r="GJ360" s="382"/>
    </row>
    <row r="361" spans="1:192" s="461" customFormat="1" ht="12.75" customHeight="1">
      <c r="A361" s="370"/>
      <c r="B361" s="735" t="s">
        <v>243</v>
      </c>
      <c r="C361" s="447"/>
      <c r="D361" s="458"/>
      <c r="E361" s="458"/>
      <c r="F361" s="458"/>
      <c r="G361" s="462"/>
      <c r="H361" s="447"/>
      <c r="I361" s="458"/>
      <c r="J361" s="458"/>
      <c r="K361" s="458"/>
      <c r="L361" s="462"/>
      <c r="M361" s="447"/>
      <c r="N361" s="458"/>
      <c r="O361" s="458"/>
      <c r="P361" s="458"/>
      <c r="Q361" s="462"/>
      <c r="R361" s="447"/>
      <c r="S361" s="458"/>
      <c r="T361" s="458"/>
      <c r="U361" s="458"/>
      <c r="V361" s="462"/>
      <c r="W361" s="447"/>
      <c r="X361" s="458"/>
      <c r="Y361" s="458"/>
      <c r="Z361" s="458"/>
      <c r="AA361" s="462"/>
      <c r="AB361" s="447"/>
      <c r="AC361" s="458"/>
      <c r="AD361" s="458"/>
      <c r="AE361" s="458"/>
      <c r="AF361" s="462"/>
      <c r="AG361" s="447"/>
      <c r="AH361" s="458"/>
      <c r="AI361" s="458"/>
      <c r="AJ361" s="458"/>
      <c r="AK361" s="462"/>
      <c r="AL361" s="447"/>
      <c r="AM361" s="458"/>
      <c r="AN361" s="458"/>
      <c r="AO361" s="458"/>
      <c r="AP361" s="462"/>
      <c r="AQ361" s="447"/>
      <c r="AR361" s="458"/>
      <c r="AS361" s="458"/>
      <c r="AT361" s="458"/>
      <c r="AU361" s="462"/>
      <c r="AV361" s="447"/>
      <c r="AW361" s="458"/>
      <c r="AX361" s="458"/>
      <c r="AY361" s="458"/>
      <c r="AZ361" s="462"/>
      <c r="BA361" s="447"/>
      <c r="BB361" s="458"/>
      <c r="BC361" s="458"/>
      <c r="BD361" s="458"/>
      <c r="BE361" s="462"/>
      <c r="BF361" s="447"/>
      <c r="BG361" s="458"/>
      <c r="BH361" s="458"/>
      <c r="BI361" s="458"/>
      <c r="BJ361" s="462"/>
      <c r="BK361" s="447"/>
      <c r="BL361" s="458"/>
      <c r="BM361" s="458"/>
      <c r="BN361" s="458"/>
      <c r="BO361" s="462"/>
      <c r="BP361" s="447"/>
      <c r="BQ361" s="458"/>
      <c r="BR361" s="458"/>
      <c r="BS361" s="458"/>
      <c r="BT361" s="462"/>
      <c r="BU361" s="447"/>
      <c r="BV361" s="458"/>
      <c r="BW361" s="458"/>
      <c r="BX361" s="458"/>
      <c r="BY361" s="462"/>
      <c r="BZ361" s="447"/>
      <c r="CA361" s="458"/>
      <c r="CB361" s="458"/>
      <c r="CC361" s="458"/>
      <c r="CD361" s="462"/>
      <c r="CE361" s="447"/>
      <c r="CF361" s="458"/>
      <c r="CG361" s="458"/>
      <c r="CH361" s="458"/>
      <c r="CI361" s="462"/>
      <c r="CJ361" s="447"/>
      <c r="CK361" s="458"/>
      <c r="CL361" s="458"/>
      <c r="CM361" s="458"/>
      <c r="CN361" s="462"/>
      <c r="CO361" s="447"/>
      <c r="CP361" s="458"/>
      <c r="CQ361" s="458"/>
      <c r="CR361" s="458"/>
      <c r="CS361" s="462"/>
      <c r="CT361" s="447"/>
      <c r="CU361" s="458"/>
      <c r="CV361" s="458"/>
      <c r="CW361" s="458"/>
      <c r="CX361" s="462"/>
      <c r="CY361" s="447"/>
      <c r="CZ361" s="458"/>
      <c r="DA361" s="458"/>
      <c r="DB361" s="458"/>
      <c r="DC361" s="462"/>
      <c r="DD361" s="447"/>
      <c r="DE361" s="458"/>
      <c r="DF361" s="447"/>
      <c r="DG361" s="492"/>
      <c r="DH361" s="462"/>
      <c r="DI361" s="447"/>
      <c r="DJ361" s="447"/>
      <c r="DK361" s="447">
        <f t="shared" ref="DK361:EP361" si="484">DK355-DF355</f>
      </c>
      <c r="DL361" s="492">
        <f t="shared" si="484"/>
      </c>
      <c r="DM361" s="488">
        <f t="shared" si="484"/>
      </c>
      <c r="DN361" s="447">
        <f t="shared" si="484"/>
      </c>
      <c r="DO361" s="447">
        <f t="shared" si="484"/>
      </c>
      <c r="DP361" s="447">
        <f t="shared" si="484"/>
      </c>
      <c r="DQ361" s="492">
        <f t="shared" si="484"/>
      </c>
      <c r="DR361" s="488">
        <f t="shared" si="484"/>
      </c>
      <c r="DS361" s="447">
        <f t="shared" si="484"/>
      </c>
      <c r="DT361" s="447">
        <f t="shared" si="484"/>
      </c>
      <c r="DU361" s="447">
        <f t="shared" si="484"/>
      </c>
      <c r="DV361" s="492">
        <f t="shared" si="484"/>
      </c>
      <c r="DW361" s="488">
        <f t="shared" si="484"/>
      </c>
      <c r="DX361" s="447">
        <f t="shared" si="484"/>
      </c>
      <c r="DY361" s="447">
        <f t="shared" si="484"/>
      </c>
      <c r="DZ361" s="447">
        <f t="shared" si="484"/>
      </c>
      <c r="EA361" s="492">
        <f t="shared" si="484"/>
      </c>
      <c r="EB361" s="488">
        <f t="shared" si="484"/>
      </c>
      <c r="EC361" s="447">
        <f t="shared" si="484"/>
      </c>
      <c r="ED361" s="447">
        <f t="shared" si="484"/>
      </c>
      <c r="EE361" s="447">
        <f t="shared" si="484"/>
      </c>
      <c r="EF361" s="492">
        <f t="shared" si="484"/>
      </c>
      <c r="EG361" s="488">
        <f t="shared" si="484"/>
      </c>
      <c r="EH361" s="447">
        <f t="shared" si="484"/>
      </c>
      <c r="EI361" s="447">
        <f t="shared" si="484"/>
      </c>
      <c r="EJ361" s="447">
        <f t="shared" si="484"/>
      </c>
      <c r="EK361" s="492">
        <f t="shared" si="484"/>
      </c>
      <c r="EL361" s="488">
        <f t="shared" si="484"/>
      </c>
      <c r="EM361" s="447">
        <f t="shared" si="484"/>
      </c>
      <c r="EN361" s="447">
        <f t="shared" si="484"/>
      </c>
      <c r="EO361" s="447">
        <f t="shared" si="484"/>
      </c>
      <c r="EP361" s="492">
        <f t="shared" si="484"/>
      </c>
      <c r="EQ361" s="488">
        <f t="shared" ref="EQ361:FV361" si="485">EQ355-EL355</f>
      </c>
      <c r="ER361" s="447">
        <f t="shared" si="485"/>
      </c>
      <c r="ES361" s="447">
        <f t="shared" si="485"/>
      </c>
      <c r="ET361" s="447">
        <f t="shared" si="485"/>
      </c>
      <c r="EU361" s="492">
        <f t="shared" si="485"/>
      </c>
      <c r="EV361" s="488">
        <f t="shared" si="485"/>
      </c>
      <c r="EW361" s="447">
        <f t="shared" si="485"/>
      </c>
      <c r="EX361" s="447">
        <f t="shared" si="485"/>
      </c>
      <c r="EY361" s="447">
        <f t="shared" si="485"/>
      </c>
      <c r="EZ361" s="492">
        <f t="shared" si="485"/>
      </c>
      <c r="FA361" s="488">
        <f t="shared" si="485"/>
      </c>
      <c r="FB361" s="447">
        <f t="shared" si="485"/>
      </c>
      <c r="FC361" s="447">
        <f t="shared" si="485"/>
      </c>
      <c r="FD361" s="447">
        <f t="shared" si="485"/>
      </c>
      <c r="FE361" s="492">
        <f t="shared" si="485"/>
      </c>
      <c r="FF361" s="488">
        <f t="shared" si="485"/>
      </c>
      <c r="FG361" s="447">
        <f t="shared" si="485"/>
      </c>
      <c r="FH361" s="447">
        <f t="shared" si="485"/>
      </c>
      <c r="FI361" s="447">
        <f t="shared" si="485"/>
      </c>
      <c r="FJ361" s="492">
        <f t="shared" si="485"/>
      </c>
      <c r="FK361" s="488">
        <f t="shared" si="485"/>
      </c>
      <c r="FL361" s="447">
        <f t="shared" si="485"/>
      </c>
      <c r="FM361" s="447">
        <f t="shared" si="485"/>
      </c>
      <c r="FN361" s="447">
        <f t="shared" si="485"/>
      </c>
      <c r="FO361" s="492">
        <f t="shared" si="485"/>
      </c>
      <c r="FP361" s="488">
        <f t="shared" si="485"/>
      </c>
      <c r="FQ361" s="447">
        <f t="shared" si="485"/>
      </c>
      <c r="FR361" s="447">
        <f t="shared" si="485"/>
      </c>
      <c r="FS361" s="447">
        <f t="shared" si="485"/>
      </c>
      <c r="FT361" s="492">
        <f t="shared" si="485"/>
      </c>
      <c r="FU361" s="488">
        <f t="shared" si="485"/>
      </c>
      <c r="FV361" s="447">
        <f t="shared" si="485"/>
      </c>
      <c r="FW361" s="458">
        <f t="shared" ref="FW361:GJ361" si="486">FW355-FR355</f>
      </c>
      <c r="FX361" s="458">
        <f t="shared" si="486"/>
      </c>
      <c r="FY361" s="458">
        <f t="shared" si="486"/>
      </c>
      <c r="FZ361" s="462">
        <f t="shared" si="486"/>
      </c>
      <c r="GA361" s="447">
        <f t="shared" si="486"/>
      </c>
      <c r="GB361" s="458">
        <f t="shared" si="486"/>
      </c>
      <c r="GC361" s="458">
        <f t="shared" si="486"/>
      </c>
      <c r="GD361" s="458">
        <f t="shared" si="486"/>
      </c>
      <c r="GE361" s="462">
        <f t="shared" si="486"/>
      </c>
      <c r="GF361" s="447">
        <f t="shared" si="486"/>
      </c>
      <c r="GG361" s="458">
        <f t="shared" si="486"/>
      </c>
      <c r="GH361" s="458">
        <f t="shared" si="486"/>
      </c>
      <c r="GI361" s="458">
        <f t="shared" si="486"/>
      </c>
      <c r="GJ361" s="497">
        <f t="shared" si="486"/>
      </c>
    </row>
    <row r="362" spans="1:192" ht="12.75" customHeight="1">
      <c r="B362" s="736" t="s">
        <v>34</v>
      </c>
      <c r="C362" s="291"/>
      <c r="D362" s="107"/>
      <c r="E362" s="107"/>
      <c r="F362" s="107"/>
      <c r="G362" s="293"/>
      <c r="H362" s="291"/>
      <c r="I362" s="107"/>
      <c r="J362" s="107"/>
      <c r="K362" s="107"/>
      <c r="L362" s="293"/>
      <c r="M362" s="291"/>
      <c r="N362" s="107"/>
      <c r="O362" s="107"/>
      <c r="P362" s="107"/>
      <c r="Q362" s="293"/>
      <c r="R362" s="291"/>
      <c r="S362" s="107"/>
      <c r="T362" s="107"/>
      <c r="U362" s="107"/>
      <c r="V362" s="293"/>
      <c r="W362" s="291"/>
      <c r="X362" s="107"/>
      <c r="Y362" s="107"/>
      <c r="Z362" s="107"/>
      <c r="AA362" s="293"/>
      <c r="AB362" s="291"/>
      <c r="AC362" s="107"/>
      <c r="AD362" s="107"/>
      <c r="AE362" s="107"/>
      <c r="AF362" s="293"/>
      <c r="AG362" s="291"/>
      <c r="AH362" s="107"/>
      <c r="AI362" s="107"/>
      <c r="AJ362" s="107"/>
      <c r="AK362" s="293"/>
      <c r="AL362" s="291"/>
      <c r="AM362" s="107"/>
      <c r="AN362" s="107"/>
      <c r="AO362" s="107"/>
      <c r="AP362" s="293"/>
      <c r="AQ362" s="291"/>
      <c r="AR362" s="107"/>
      <c r="AS362" s="107"/>
      <c r="AT362" s="107"/>
      <c r="AU362" s="293"/>
      <c r="AV362" s="291"/>
      <c r="AW362" s="107"/>
      <c r="AX362" s="107"/>
      <c r="AY362" s="107"/>
      <c r="AZ362" s="293"/>
      <c r="BA362" s="291"/>
      <c r="BB362" s="107"/>
      <c r="BC362" s="107"/>
      <c r="BD362" s="107"/>
      <c r="BE362" s="293"/>
      <c r="BF362" s="291"/>
      <c r="BG362" s="107"/>
      <c r="BH362" s="107"/>
      <c r="BI362" s="107"/>
      <c r="BJ362" s="293"/>
      <c r="BK362" s="291"/>
      <c r="BL362" s="107"/>
      <c r="BM362" s="107"/>
      <c r="BN362" s="107"/>
      <c r="BO362" s="293"/>
      <c r="BP362" s="291"/>
      <c r="BQ362" s="107"/>
      <c r="BR362" s="107"/>
      <c r="BS362" s="107"/>
      <c r="BT362" s="293"/>
      <c r="BU362" s="291"/>
      <c r="BV362" s="107"/>
      <c r="BW362" s="107"/>
      <c r="BX362" s="107"/>
      <c r="BY362" s="293"/>
      <c r="BZ362" s="291"/>
      <c r="CA362" s="107"/>
      <c r="CB362" s="107"/>
      <c r="CC362" s="107"/>
      <c r="CD362" s="293"/>
      <c r="CE362" s="291"/>
      <c r="CF362" s="107"/>
      <c r="CG362" s="107"/>
      <c r="CH362" s="107"/>
      <c r="CI362" s="293"/>
      <c r="CJ362" s="291"/>
      <c r="CK362" s="107"/>
      <c r="CL362" s="107"/>
      <c r="CM362" s="107"/>
      <c r="CN362" s="293"/>
      <c r="CO362" s="291"/>
      <c r="CP362" s="107"/>
      <c r="CQ362" s="107"/>
      <c r="CR362" s="107"/>
      <c r="CS362" s="293"/>
      <c r="CT362" s="291"/>
      <c r="CU362" s="107"/>
      <c r="CV362" s="107"/>
      <c r="CW362" s="107"/>
      <c r="CX362" s="293"/>
      <c r="CY362" s="291"/>
      <c r="CZ362" s="107"/>
      <c r="DA362" s="107"/>
      <c r="DB362" s="107"/>
      <c r="DC362" s="293"/>
      <c r="DD362" s="291"/>
      <c r="DE362" s="107"/>
      <c r="DF362" s="107"/>
      <c r="DG362" s="346"/>
      <c r="DH362" s="293"/>
      <c r="DI362" s="291"/>
      <c r="DJ362" s="107"/>
      <c r="DK362" s="107"/>
      <c r="DL362" s="346"/>
      <c r="DM362" s="347"/>
      <c r="DN362" s="291"/>
      <c r="DO362" s="107"/>
      <c r="DP362" s="107"/>
      <c r="DQ362" s="346"/>
      <c r="DR362" s="347"/>
      <c r="DS362" s="291">
        <f t="shared" ref="DS362" si="487">DS361/DN361-1</f>
      </c>
      <c r="DT362" s="291">
        <f t="shared" ref="DT362" si="488">DT361/DO361-1</f>
      </c>
      <c r="DU362" s="291">
        <f t="shared" ref="DU362" si="489">DU361/DP361-1</f>
      </c>
      <c r="DV362" s="291">
        <f t="shared" ref="DV362" si="490">DV361/DQ361-1</f>
      </c>
      <c r="DW362" s="292">
        <f t="shared" ref="DW362" si="491">DW361/DR361-1</f>
      </c>
      <c r="DX362" s="291">
        <f t="shared" ref="DX362" si="492">DX361/DS361-1</f>
      </c>
      <c r="DY362" s="291">
        <f t="shared" ref="DY362" si="493">DY361/DT361-1</f>
      </c>
      <c r="DZ362" s="291">
        <f t="shared" ref="DZ362" si="494">DZ361/DU361-1</f>
      </c>
      <c r="EA362" s="291">
        <f t="shared" ref="EA362" si="495">EA361/DV361-1</f>
      </c>
      <c r="EB362" s="292">
        <f t="shared" ref="EB362" si="496">EB361/DW361-1</f>
      </c>
      <c r="EC362" s="291">
        <f t="shared" ref="EC362" si="497">EC361/DX361-1</f>
      </c>
      <c r="ED362" s="291">
        <f t="shared" ref="ED362" si="498">ED361/DY361-1</f>
      </c>
      <c r="EE362" s="291">
        <f t="shared" ref="EE362" si="499">EE361/DZ361-1</f>
      </c>
      <c r="EF362" s="291">
        <f t="shared" ref="EF362" si="500">EF361/EA361-1</f>
      </c>
      <c r="EG362" s="292">
        <f t="shared" ref="EG362" si="501">EG361/EB361-1</f>
      </c>
      <c r="EH362" s="291">
        <f t="shared" ref="EH362" si="502">EH361/EC361-1</f>
      </c>
      <c r="EI362" s="291">
        <f t="shared" ref="EI362" si="503">EI361/ED361-1</f>
      </c>
      <c r="EJ362" s="291">
        <f t="shared" ref="EJ362" si="504">EJ361/EE361-1</f>
      </c>
      <c r="EK362" s="291">
        <f t="shared" ref="EK362" si="505">EK361/EF361-1</f>
      </c>
      <c r="EL362" s="292">
        <f t="shared" ref="EL362" si="506">EL361/EG361-1</f>
      </c>
      <c r="EM362" s="291">
        <f t="shared" ref="EM362" si="507">EM361/EH361-1</f>
      </c>
      <c r="EN362" s="291">
        <f t="shared" ref="EN362" si="508">EN361/EI361-1</f>
      </c>
      <c r="EO362" s="291">
        <f t="shared" ref="EO362" si="509">EO361/EJ361-1</f>
      </c>
      <c r="EP362" s="291">
        <f t="shared" ref="EP362" si="510">EP361/EK361-1</f>
      </c>
      <c r="EQ362" s="292">
        <f t="shared" ref="EQ362" si="511">EQ361/EL361-1</f>
      </c>
      <c r="ER362" s="291">
        <f t="shared" ref="ER362" si="512">ER361/EM361-1</f>
      </c>
      <c r="ES362" s="291">
        <f t="shared" ref="ES362" si="513">ES361/EN361-1</f>
      </c>
      <c r="ET362" s="291">
        <f t="shared" ref="ET362" si="514">ET361/EO361-1</f>
      </c>
      <c r="EU362" s="291">
        <f t="shared" ref="EU362" si="515">EU361/EP361-1</f>
      </c>
      <c r="EV362" s="292">
        <f t="shared" ref="EV362" si="516">EV361/EQ361-1</f>
      </c>
      <c r="EW362" s="291">
        <f t="shared" ref="EW362" si="517">EW361/ER361-1</f>
      </c>
      <c r="EX362" s="291">
        <f t="shared" ref="EX362" si="518">EX361/ES361-1</f>
      </c>
      <c r="EY362" s="291">
        <f t="shared" ref="EY362" si="519">EY361/ET361-1</f>
      </c>
      <c r="EZ362" s="291">
        <f t="shared" ref="EZ362" si="520">EZ361/EU361-1</f>
      </c>
      <c r="FA362" s="292">
        <f t="shared" ref="FA362" si="521">FA361/EV361-1</f>
      </c>
      <c r="FB362" s="291">
        <f t="shared" ref="FB362" si="522">FB361/EW361-1</f>
      </c>
      <c r="FC362" s="291">
        <f t="shared" ref="FC362" si="523">FC361/EX361-1</f>
      </c>
      <c r="FD362" s="291">
        <f t="shared" ref="FD362" si="524">FD361/EY361-1</f>
      </c>
      <c r="FE362" s="291">
        <f t="shared" ref="FE362" si="525">FE361/EZ361-1</f>
      </c>
      <c r="FF362" s="292">
        <f t="shared" ref="FF362" si="526">FF361/FA361-1</f>
      </c>
      <c r="FG362" s="291">
        <f t="shared" ref="FG362" si="527">FG361/FB361-1</f>
      </c>
      <c r="FH362" s="291">
        <f t="shared" ref="FH362" si="528">FH361/FC361-1</f>
      </c>
      <c r="FI362" s="291">
        <f t="shared" ref="FI362" si="529">FI361/FD361-1</f>
      </c>
      <c r="FJ362" s="291">
        <f t="shared" ref="FJ362" si="530">FJ361/FE361-1</f>
      </c>
      <c r="FK362" s="292">
        <f t="shared" ref="FK362" si="531">FK361/FF361-1</f>
      </c>
      <c r="FL362" s="291">
        <f t="shared" ref="FL362" si="532">FL361/FG361-1</f>
      </c>
      <c r="FM362" s="291">
        <f t="shared" ref="FM362" si="533">FM361/FH361-1</f>
      </c>
      <c r="FN362" s="291">
        <f t="shared" ref="FN362" si="534">FN361/FI361-1</f>
      </c>
      <c r="FO362" s="291">
        <f t="shared" ref="FO362" si="535">FO361/FJ361-1</f>
      </c>
      <c r="FP362" s="292">
        <f t="shared" ref="FP362" si="536">FP361/FK361-1</f>
      </c>
      <c r="FQ362" s="291">
        <f t="shared" ref="FQ362" si="537">FQ361/FL361-1</f>
      </c>
      <c r="FR362" s="291">
        <f t="shared" ref="FR362" si="538">FR361/FM361-1</f>
      </c>
      <c r="FS362" s="291">
        <f t="shared" ref="FS362" si="539">FS361/FN361-1</f>
      </c>
      <c r="FT362" s="291">
        <f t="shared" ref="FT362" si="540">FT361/FO361-1</f>
      </c>
      <c r="FU362" s="292">
        <f t="shared" ref="FU362" si="541">FU361/FP361-1</f>
      </c>
      <c r="FV362" s="291">
        <f t="shared" ref="FV362" si="542">FV361/FQ361-1</f>
      </c>
      <c r="FW362" s="291">
        <f t="shared" ref="FW362" si="543">FW361/FR361-1</f>
      </c>
      <c r="FX362" s="291">
        <f t="shared" ref="FX362" si="544">FX361/FS361-1</f>
      </c>
      <c r="FY362" s="291">
        <f t="shared" ref="FY362" si="545">FY361/FT361-1</f>
      </c>
      <c r="FZ362" s="292">
        <f t="shared" ref="FZ362" si="546">FZ361/FU361-1</f>
      </c>
      <c r="GA362" s="291">
        <f t="shared" ref="GA362" si="547">GA361/FV361-1</f>
      </c>
      <c r="GB362" s="291">
        <f t="shared" ref="GB362" si="548">GB361/FW361-1</f>
      </c>
      <c r="GC362" s="291">
        <f t="shared" ref="GC362" si="549">GC361/FX361-1</f>
      </c>
      <c r="GD362" s="291">
        <f t="shared" ref="GD362" si="550">GD361/FY361-1</f>
      </c>
      <c r="GE362" s="292">
        <f t="shared" ref="GE362" si="551">GE361/FZ361-1</f>
      </c>
      <c r="GF362" s="291">
        <f t="shared" ref="GF362" si="552">GF361/GA361-1</f>
      </c>
      <c r="GG362" s="107">
        <f t="shared" ref="GG362" si="553">GG361/GB361-1</f>
      </c>
      <c r="GH362" s="107">
        <f t="shared" ref="GH362" si="554">GH361/GC361-1</f>
      </c>
      <c r="GI362" s="107">
        <f t="shared" ref="GI362" si="555">GI361/GD361-1</f>
      </c>
      <c r="GJ362" s="382">
        <f t="shared" ref="GJ362" si="556">GJ361/GE361-1</f>
      </c>
    </row>
    <row r="363" spans="1:192" s="461" customFormat="1" ht="12.75" customHeight="1">
      <c r="A363" s="370"/>
      <c r="B363" s="735" t="s">
        <v>244</v>
      </c>
      <c r="C363" s="447"/>
      <c r="D363" s="458"/>
      <c r="E363" s="458"/>
      <c r="F363" s="458"/>
      <c r="G363" s="459"/>
      <c r="H363" s="447"/>
      <c r="I363" s="458"/>
      <c r="J363" s="458"/>
      <c r="K363" s="458"/>
      <c r="L363" s="459"/>
      <c r="M363" s="447"/>
      <c r="N363" s="458"/>
      <c r="O363" s="458"/>
      <c r="P363" s="458"/>
      <c r="Q363" s="459"/>
      <c r="R363" s="447"/>
      <c r="S363" s="458"/>
      <c r="T363" s="458"/>
      <c r="U363" s="458"/>
      <c r="V363" s="459"/>
      <c r="W363" s="447"/>
      <c r="X363" s="458"/>
      <c r="Y363" s="458"/>
      <c r="Z363" s="458"/>
      <c r="AA363" s="459"/>
      <c r="AB363" s="447"/>
      <c r="AC363" s="458"/>
      <c r="AD363" s="458"/>
      <c r="AE363" s="458"/>
      <c r="AF363" s="459"/>
      <c r="AG363" s="447"/>
      <c r="AH363" s="458"/>
      <c r="AI363" s="458"/>
      <c r="AJ363" s="458"/>
      <c r="AK363" s="459"/>
      <c r="AL363" s="447"/>
      <c r="AM363" s="458"/>
      <c r="AN363" s="458"/>
      <c r="AO363" s="458"/>
      <c r="AP363" s="459"/>
      <c r="AQ363" s="447"/>
      <c r="AR363" s="458"/>
      <c r="AS363" s="458"/>
      <c r="AT363" s="458"/>
      <c r="AU363" s="459"/>
      <c r="AV363" s="447"/>
      <c r="AW363" s="458"/>
      <c r="AX363" s="458"/>
      <c r="AY363" s="458"/>
      <c r="AZ363" s="459"/>
      <c r="BA363" s="447"/>
      <c r="BB363" s="458"/>
      <c r="BC363" s="458"/>
      <c r="BD363" s="458"/>
      <c r="BE363" s="459"/>
      <c r="BF363" s="447"/>
      <c r="BG363" s="458"/>
      <c r="BH363" s="458"/>
      <c r="BI363" s="458"/>
      <c r="BJ363" s="459"/>
      <c r="BK363" s="447"/>
      <c r="BL363" s="458"/>
      <c r="BM363" s="458"/>
      <c r="BN363" s="458"/>
      <c r="BO363" s="459"/>
      <c r="BP363" s="447"/>
      <c r="BQ363" s="458"/>
      <c r="BR363" s="458"/>
      <c r="BS363" s="458"/>
      <c r="BT363" s="459"/>
      <c r="BU363" s="447"/>
      <c r="BV363" s="458"/>
      <c r="BW363" s="458"/>
      <c r="BX363" s="458"/>
      <c r="BY363" s="459"/>
      <c r="BZ363" s="447"/>
      <c r="CA363" s="458"/>
      <c r="CB363" s="458"/>
      <c r="CC363" s="458"/>
      <c r="CD363" s="459"/>
      <c r="CE363" s="447"/>
      <c r="CF363" s="458"/>
      <c r="CG363" s="458"/>
      <c r="CH363" s="458"/>
      <c r="CI363" s="459"/>
      <c r="CJ363" s="447"/>
      <c r="CK363" s="458"/>
      <c r="CL363" s="458"/>
      <c r="CM363" s="458"/>
      <c r="CN363" s="459"/>
      <c r="CO363" s="447"/>
      <c r="CP363" s="458"/>
      <c r="CQ363" s="458"/>
      <c r="CR363" s="458"/>
      <c r="CS363" s="459"/>
      <c r="CT363" s="447"/>
      <c r="CU363" s="458"/>
      <c r="CV363" s="458"/>
      <c r="CW363" s="458"/>
      <c r="CX363" s="459"/>
      <c r="CY363" s="447"/>
      <c r="CZ363" s="458"/>
      <c r="DA363" s="458"/>
      <c r="DB363" s="458"/>
      <c r="DC363" s="459"/>
      <c r="DD363" s="447"/>
      <c r="DE363" s="447"/>
      <c r="DF363" s="447"/>
      <c r="DG363" s="492">
        <f>DG355-DF355</f>
      </c>
      <c r="DH363" s="488"/>
      <c r="DI363" s="447">
        <f>DI355-DG355</f>
      </c>
      <c r="DJ363" s="447">
        <f>DJ355-DI355</f>
      </c>
      <c r="DK363" s="447">
        <f>DK355-DJ355</f>
      </c>
      <c r="DL363" s="492">
        <f>DL355-DK355</f>
      </c>
      <c r="DM363" s="488"/>
      <c r="DN363" s="447">
        <f>DN355-DL355</f>
      </c>
      <c r="DO363" s="447">
        <f>DO355-DN355</f>
      </c>
      <c r="DP363" s="447">
        <f>DP355-DO355</f>
      </c>
      <c r="DQ363" s="492">
        <f>DQ355-DP355</f>
      </c>
      <c r="DR363" s="488"/>
      <c r="DS363" s="447">
        <f>DS355-DQ355</f>
      </c>
      <c r="DT363" s="447">
        <f>DT355-DS355</f>
      </c>
      <c r="DU363" s="447">
        <f>DU355-DT355</f>
      </c>
      <c r="DV363" s="492">
        <f>DV355-DU355</f>
      </c>
      <c r="DW363" s="488"/>
      <c r="DX363" s="447">
        <f>DX355-DV355</f>
      </c>
      <c r="DY363" s="447">
        <f>DY355-DX355</f>
      </c>
      <c r="DZ363" s="447">
        <f>DZ355-DY355</f>
      </c>
      <c r="EA363" s="492">
        <f>EA355-DZ355</f>
      </c>
      <c r="EB363" s="488"/>
      <c r="EC363" s="447">
        <f>EC355-EA355</f>
      </c>
      <c r="ED363" s="447">
        <f>ED355-EC355</f>
      </c>
      <c r="EE363" s="447">
        <f>EE355-ED355</f>
      </c>
      <c r="EF363" s="492">
        <f>EF355-EE355</f>
      </c>
      <c r="EG363" s="488"/>
      <c r="EH363" s="447">
        <f>EH355-EF355</f>
      </c>
      <c r="EI363" s="447">
        <f>EI355-EH355</f>
      </c>
      <c r="EJ363" s="447">
        <f>EJ355-EI355</f>
      </c>
      <c r="EK363" s="492">
        <f>EK355-EJ355</f>
      </c>
      <c r="EL363" s="488"/>
      <c r="EM363" s="447">
        <f>EM355-EK355</f>
      </c>
      <c r="EN363" s="447">
        <f>EN355-EM355</f>
      </c>
      <c r="EO363" s="447">
        <f>EO355-EN355</f>
      </c>
      <c r="EP363" s="492">
        <f>EP355-EO355</f>
      </c>
      <c r="EQ363" s="488"/>
      <c r="ER363" s="447">
        <f>ER355-EP355</f>
      </c>
      <c r="ES363" s="447">
        <f>ES355-ER355</f>
      </c>
      <c r="ET363" s="447">
        <f>ET355-ES355</f>
      </c>
      <c r="EU363" s="492">
        <f>EU355-ET355</f>
      </c>
      <c r="EV363" s="488"/>
      <c r="EW363" s="447">
        <f>EW355-EU355</f>
      </c>
      <c r="EX363" s="447">
        <f>EX355-EW355</f>
      </c>
      <c r="EY363" s="447">
        <f>EY355-EX355</f>
      </c>
      <c r="EZ363" s="492">
        <f>EZ355-EY355</f>
      </c>
      <c r="FA363" s="488"/>
      <c r="FB363" s="447">
        <f>FB355-EZ355</f>
      </c>
      <c r="FC363" s="447">
        <f>FC355-FB355</f>
      </c>
      <c r="FD363" s="447">
        <f>FD355-FC355</f>
      </c>
      <c r="FE363" s="492">
        <f>FE355-FD355</f>
      </c>
      <c r="FF363" s="488"/>
      <c r="FG363" s="447">
        <f>FG355-FE355</f>
      </c>
      <c r="FH363" s="447">
        <f>FH355-FG355</f>
      </c>
      <c r="FI363" s="447">
        <f>FI355-FH355</f>
      </c>
      <c r="FJ363" s="492">
        <f>FJ355-FI355</f>
      </c>
      <c r="FK363" s="488"/>
      <c r="FL363" s="447">
        <f>FL355-FJ355</f>
      </c>
      <c r="FM363" s="447">
        <f>FM355-FL355</f>
      </c>
      <c r="FN363" s="447">
        <f>FN355-FM355</f>
      </c>
      <c r="FO363" s="492">
        <f>FO355-FN355</f>
      </c>
      <c r="FP363" s="488"/>
      <c r="FQ363" s="447">
        <f>FQ355-FO355</f>
      </c>
      <c r="FR363" s="447">
        <f>FR355-FQ355</f>
      </c>
      <c r="FS363" s="447">
        <f>FS355-FR355</f>
      </c>
      <c r="FT363" s="492">
        <f>FT355-FS355</f>
      </c>
      <c r="FU363" s="488"/>
      <c r="FV363" s="447">
        <f>FV355-FT355</f>
      </c>
      <c r="FW363" s="458">
        <f>FW355-FV355</f>
      </c>
      <c r="FX363" s="458">
        <f>FX355-FW355</f>
      </c>
      <c r="FY363" s="458">
        <f>FY355-FX355</f>
      </c>
      <c r="FZ363" s="459"/>
      <c r="GA363" s="447">
        <f>GA355-FY355</f>
      </c>
      <c r="GB363" s="458">
        <f>GB355-GA355</f>
      </c>
      <c r="GC363" s="458">
        <f>GC355-GB355</f>
      </c>
      <c r="GD363" s="458">
        <f>GD355-GC355</f>
      </c>
      <c r="GE363" s="459"/>
      <c r="GF363" s="447">
        <f>GF355-GD355</f>
      </c>
      <c r="GG363" s="458">
        <f>GG355-GF355</f>
      </c>
      <c r="GH363" s="458">
        <f>GH355-GG355</f>
      </c>
      <c r="GI363" s="458">
        <f>GI355-GH355</f>
      </c>
      <c r="GJ363" s="460"/>
    </row>
    <row r="364" spans="1:192" ht="12.75" customHeight="1">
      <c r="B364" s="736"/>
      <c r="C364" s="291"/>
      <c r="D364" s="107"/>
      <c r="E364" s="107"/>
      <c r="F364" s="107"/>
      <c r="G364" s="293"/>
      <c r="H364" s="291"/>
      <c r="I364" s="107"/>
      <c r="J364" s="107"/>
      <c r="K364" s="107"/>
      <c r="L364" s="293"/>
      <c r="M364" s="291"/>
      <c r="N364" s="107"/>
      <c r="O364" s="107"/>
      <c r="P364" s="107"/>
      <c r="Q364" s="293"/>
      <c r="R364" s="291"/>
      <c r="S364" s="107"/>
      <c r="T364" s="107"/>
      <c r="U364" s="107"/>
      <c r="V364" s="293"/>
      <c r="W364" s="291"/>
      <c r="X364" s="107"/>
      <c r="Y364" s="107"/>
      <c r="Z364" s="107"/>
      <c r="AA364" s="293"/>
      <c r="AB364" s="291"/>
      <c r="AC364" s="107"/>
      <c r="AD364" s="107"/>
      <c r="AE364" s="107"/>
      <c r="AF364" s="293"/>
      <c r="AG364" s="291"/>
      <c r="AH364" s="107"/>
      <c r="AI364" s="107"/>
      <c r="AJ364" s="107"/>
      <c r="AK364" s="293"/>
      <c r="AL364" s="291"/>
      <c r="AM364" s="107"/>
      <c r="AN364" s="107"/>
      <c r="AO364" s="107"/>
      <c r="AP364" s="293"/>
      <c r="AQ364" s="291"/>
      <c r="AR364" s="107"/>
      <c r="AS364" s="107"/>
      <c r="AT364" s="107"/>
      <c r="AU364" s="293"/>
      <c r="AV364" s="291"/>
      <c r="AW364" s="107"/>
      <c r="AX364" s="107"/>
      <c r="AY364" s="107"/>
      <c r="AZ364" s="293"/>
      <c r="BA364" s="291"/>
      <c r="BB364" s="107"/>
      <c r="BC364" s="107"/>
      <c r="BD364" s="107"/>
      <c r="BE364" s="293"/>
      <c r="BF364" s="291"/>
      <c r="BG364" s="107"/>
      <c r="BH364" s="107"/>
      <c r="BI364" s="107"/>
      <c r="BJ364" s="293"/>
      <c r="BK364" s="291"/>
      <c r="BL364" s="107"/>
      <c r="BM364" s="107"/>
      <c r="BN364" s="107"/>
      <c r="BO364" s="293"/>
      <c r="BP364" s="291"/>
      <c r="BQ364" s="107"/>
      <c r="BR364" s="107"/>
      <c r="BS364" s="107"/>
      <c r="BT364" s="293"/>
      <c r="BU364" s="291"/>
      <c r="BV364" s="107"/>
      <c r="BW364" s="107"/>
      <c r="BX364" s="107"/>
      <c r="BY364" s="293"/>
      <c r="BZ364" s="291"/>
      <c r="CA364" s="107"/>
      <c r="CB364" s="107"/>
      <c r="CC364" s="107"/>
      <c r="CD364" s="293"/>
      <c r="CE364" s="291"/>
      <c r="CF364" s="107"/>
      <c r="CG364" s="107"/>
      <c r="CH364" s="107"/>
      <c r="CI364" s="293"/>
      <c r="CJ364" s="291"/>
      <c r="CK364" s="107"/>
      <c r="CL364" s="107"/>
      <c r="CM364" s="107"/>
      <c r="CN364" s="293"/>
      <c r="CO364" s="291"/>
      <c r="CP364" s="107"/>
      <c r="CQ364" s="107"/>
      <c r="CR364" s="107"/>
      <c r="CS364" s="293"/>
      <c r="CT364" s="291"/>
      <c r="CU364" s="107"/>
      <c r="CV364" s="107"/>
      <c r="CW364" s="107"/>
      <c r="CX364" s="293"/>
      <c r="CY364" s="291"/>
      <c r="CZ364" s="107"/>
      <c r="DA364" s="107"/>
      <c r="DB364" s="107"/>
      <c r="DC364" s="293"/>
      <c r="DD364" s="291"/>
      <c r="DE364" s="107"/>
      <c r="DF364" s="107"/>
      <c r="DG364" s="107"/>
      <c r="DH364" s="293"/>
      <c r="DI364" s="291"/>
      <c r="DJ364" s="107"/>
      <c r="DK364" s="107"/>
      <c r="DL364" s="107"/>
      <c r="DM364" s="293"/>
      <c r="DN364" s="291"/>
      <c r="DO364" s="107"/>
      <c r="DP364" s="107"/>
      <c r="DQ364" s="107"/>
      <c r="DR364" s="293"/>
      <c r="DS364" s="291"/>
      <c r="DT364" s="107"/>
      <c r="DU364" s="107"/>
      <c r="DV364" s="107"/>
      <c r="DW364" s="293"/>
      <c r="DX364" s="291"/>
      <c r="DY364" s="107"/>
      <c r="DZ364" s="107"/>
      <c r="EA364" s="107"/>
      <c r="EB364" s="293"/>
      <c r="EC364" s="291"/>
      <c r="ED364" s="107"/>
      <c r="EE364" s="107"/>
      <c r="EF364" s="107"/>
      <c r="EG364" s="293"/>
      <c r="EH364" s="291"/>
      <c r="EI364" s="107"/>
      <c r="EJ364" s="107"/>
      <c r="EK364" s="107"/>
      <c r="EL364" s="293"/>
      <c r="EM364" s="291"/>
      <c r="EN364" s="107"/>
      <c r="EO364" s="107"/>
      <c r="EP364" s="107"/>
      <c r="EQ364" s="293"/>
      <c r="ER364" s="291"/>
      <c r="ES364" s="107"/>
      <c r="ET364" s="107"/>
      <c r="EU364" s="107"/>
      <c r="EV364" s="293"/>
      <c r="EW364" s="291"/>
      <c r="EX364" s="107"/>
      <c r="EY364" s="107"/>
      <c r="EZ364" s="107"/>
      <c r="FA364" s="293"/>
      <c r="FB364" s="291"/>
      <c r="FC364" s="107"/>
      <c r="FD364" s="107"/>
      <c r="FE364" s="107"/>
      <c r="FF364" s="293"/>
      <c r="FG364" s="291"/>
      <c r="FH364" s="107"/>
      <c r="FI364" s="107"/>
      <c r="FJ364" s="107"/>
      <c r="FK364" s="293"/>
      <c r="FL364" s="291"/>
      <c r="FM364" s="107"/>
      <c r="FN364" s="107"/>
      <c r="FO364" s="107"/>
      <c r="FP364" s="293"/>
      <c r="FQ364" s="291"/>
      <c r="FR364" s="107"/>
      <c r="FS364" s="107"/>
      <c r="FT364" s="107"/>
      <c r="FU364" s="293"/>
      <c r="FV364" s="291"/>
      <c r="FW364" s="107"/>
      <c r="FX364" s="107"/>
      <c r="FY364" s="107"/>
      <c r="FZ364" s="293"/>
      <c r="GA364" s="291"/>
      <c r="GB364" s="107"/>
      <c r="GC364" s="107"/>
      <c r="GD364" s="107"/>
      <c r="GE364" s="293"/>
      <c r="GF364" s="291"/>
      <c r="GG364" s="107"/>
      <c r="GH364" s="107"/>
      <c r="GI364" s="107"/>
      <c r="GJ364" s="382"/>
    </row>
    <row r="365" spans="1:192" s="314" customFormat="1" ht="12.75" customHeight="1">
      <c r="A365" s="274"/>
      <c r="B365" s="744" t="s">
        <v>1975</v>
      </c>
      <c r="C365" s="408"/>
      <c r="D365" s="408"/>
      <c r="E365" s="408"/>
      <c r="F365" s="408"/>
      <c r="G365" s="318"/>
      <c r="H365" s="408"/>
      <c r="I365" s="408"/>
      <c r="J365" s="408"/>
      <c r="K365" s="408"/>
      <c r="L365" s="318"/>
      <c r="M365" s="408"/>
      <c r="N365" s="408"/>
      <c r="O365" s="408"/>
      <c r="P365" s="408"/>
      <c r="Q365" s="318"/>
      <c r="R365" s="408"/>
      <c r="S365" s="408"/>
      <c r="T365" s="408"/>
      <c r="U365" s="408"/>
      <c r="V365" s="318"/>
      <c r="W365" s="408"/>
      <c r="X365" s="408"/>
      <c r="Y365" s="408"/>
      <c r="Z365" s="408"/>
      <c r="AA365" s="318"/>
      <c r="AB365" s="408"/>
      <c r="AC365" s="408"/>
      <c r="AD365" s="408"/>
      <c r="AE365" s="408"/>
      <c r="AF365" s="318"/>
      <c r="AG365" s="408"/>
      <c r="AH365" s="408"/>
      <c r="AI365" s="408"/>
      <c r="AJ365" s="408"/>
      <c r="AK365" s="318"/>
      <c r="AL365" s="408"/>
      <c r="AM365" s="408"/>
      <c r="AN365" s="408"/>
      <c r="AO365" s="408"/>
      <c r="AP365" s="318"/>
      <c r="AQ365" s="408"/>
      <c r="AR365" s="408"/>
      <c r="AS365" s="408"/>
      <c r="AT365" s="408"/>
      <c r="AU365" s="318"/>
      <c r="AV365" s="408"/>
      <c r="AW365" s="408"/>
      <c r="AX365" s="408"/>
      <c r="AY365" s="408"/>
      <c r="AZ365" s="318"/>
      <c r="BA365" s="408"/>
      <c r="BB365" s="408"/>
      <c r="BC365" s="408"/>
      <c r="BD365" s="408"/>
      <c r="BE365" s="318"/>
      <c r="BF365" s="408"/>
      <c r="BG365" s="408"/>
      <c r="BH365" s="408"/>
      <c r="BI365" s="408"/>
      <c r="BJ365" s="318"/>
      <c r="BK365" s="408"/>
      <c r="BL365" s="408"/>
      <c r="BM365" s="408"/>
      <c r="BN365" s="408"/>
      <c r="BO365" s="318"/>
      <c r="BP365" s="408"/>
      <c r="BQ365" s="408"/>
      <c r="BR365" s="408"/>
      <c r="BS365" s="408"/>
      <c r="BT365" s="318"/>
      <c r="BU365" s="408"/>
      <c r="BV365" s="408"/>
      <c r="BW365" s="408"/>
      <c r="BX365" s="408"/>
      <c r="BY365" s="318"/>
      <c r="BZ365" s="408"/>
      <c r="CA365" s="408"/>
      <c r="CB365" s="408"/>
      <c r="CC365" s="408"/>
      <c r="CD365" s="432"/>
      <c r="CE365" s="408"/>
      <c r="CF365" s="408"/>
      <c r="CG365" s="408"/>
      <c r="CH365" s="408"/>
      <c r="CI365" s="432"/>
      <c r="CJ365" s="408"/>
      <c r="CK365" s="408"/>
      <c r="CL365" s="408"/>
      <c r="CM365" s="408"/>
      <c r="CN365" s="432"/>
      <c r="CO365" s="408"/>
      <c r="CP365" s="408"/>
      <c r="CQ365" s="408"/>
      <c r="CR365" s="408"/>
      <c r="CS365" s="432"/>
      <c r="CT365" s="408"/>
      <c r="CU365" s="408"/>
      <c r="CV365" s="408"/>
      <c r="CW365" s="408"/>
      <c r="CX365" s="432"/>
      <c r="CY365" s="408"/>
      <c r="CZ365" s="408"/>
      <c r="DA365" s="408"/>
      <c r="DB365" s="408"/>
      <c r="DC365" s="432"/>
      <c r="DD365" s="408"/>
      <c r="DE365" s="408"/>
      <c r="DF365" s="408">
        <f>DF347-DF355</f>
      </c>
      <c r="DG365" s="408">
        <f>DG347-DG355</f>
      </c>
      <c r="DH365" s="432"/>
      <c r="DI365" s="408">
        <f>DI347-DI355</f>
      </c>
      <c r="DJ365" s="408">
        <f>DJ347-DJ355</f>
      </c>
      <c r="DK365" s="408">
        <f>DK347-DK355</f>
      </c>
      <c r="DL365" s="408">
        <f>DL347-DL355</f>
      </c>
      <c r="DM365" s="432">
        <f>SUM(DI365:DL365)</f>
      </c>
      <c r="DN365" s="408">
        <f>DN347-DN355</f>
      </c>
      <c r="DO365" s="408">
        <f>DO347-DO355</f>
      </c>
      <c r="DP365" s="408">
        <f>DP347-DP355</f>
      </c>
      <c r="DQ365" s="408">
        <f>DQ347-DQ355</f>
      </c>
      <c r="DR365" s="432">
        <f>SUM(DN365:DQ365)</f>
      </c>
      <c r="DS365" s="408">
        <f>DS347-DS355</f>
      </c>
      <c r="DT365" s="408">
        <f>DT347-DT355</f>
      </c>
      <c r="DU365" s="408">
        <f>DU347-DU355</f>
      </c>
      <c r="DV365" s="408">
        <f>DV347-DV355</f>
      </c>
      <c r="DW365" s="432">
        <f>SUM(DS365:DV365)</f>
      </c>
      <c r="DX365" s="408">
        <f>DX347-DX355</f>
      </c>
      <c r="DY365" s="408">
        <f>DY347-DY355</f>
      </c>
      <c r="DZ365" s="408">
        <f>DZ347-DZ355</f>
      </c>
      <c r="EA365" s="408">
        <f>EA347-EA355</f>
      </c>
      <c r="EB365" s="432">
        <f>SUM(DX365:EA365)</f>
      </c>
      <c r="EC365" s="408">
        <f>EC347-EC355</f>
      </c>
      <c r="ED365" s="408">
        <f>ED347-ED355</f>
      </c>
      <c r="EE365" s="408">
        <f>EE347-EE355</f>
      </c>
      <c r="EF365" s="408">
        <f>EF347-EF355</f>
      </c>
      <c r="EG365" s="432">
        <f>SUM(EC365:EF365)</f>
      </c>
      <c r="EH365" s="408">
        <f>EH347-EH355</f>
      </c>
      <c r="EI365" s="408">
        <f>EI347-EI355</f>
      </c>
      <c r="EJ365" s="408">
        <f>EJ347-EJ355</f>
      </c>
      <c r="EK365" s="408">
        <f>EK347-EK355</f>
      </c>
      <c r="EL365" s="432">
        <f>SUM(EH365:EK365)</f>
      </c>
      <c r="EM365" s="408">
        <f>EM347-EM355</f>
      </c>
      <c r="EN365" s="408">
        <f>EN347-EN355</f>
      </c>
      <c r="EO365" s="408">
        <f>EO347-EO355</f>
      </c>
      <c r="EP365" s="408">
        <f>EP347-EP355</f>
      </c>
      <c r="EQ365" s="432">
        <f>SUM(EM365:EP365)</f>
      </c>
      <c r="ER365" s="408">
        <f>ER347-ER355</f>
      </c>
      <c r="ES365" s="408">
        <f>ES347-ES355</f>
      </c>
      <c r="ET365" s="408">
        <f>ET347-ET355</f>
      </c>
      <c r="EU365" s="408">
        <f>EU347-EU355</f>
      </c>
      <c r="EV365" s="432">
        <f>SUM(ER365:EU365)</f>
      </c>
      <c r="EW365" s="408">
        <f>EW347-EW355</f>
      </c>
      <c r="EX365" s="408">
        <f>EX347-EX355</f>
      </c>
      <c r="EY365" s="408">
        <f>EY347-EY355</f>
      </c>
      <c r="EZ365" s="408">
        <f>EZ347-EZ355</f>
      </c>
      <c r="FA365" s="432">
        <f>SUM(EW365:EZ365)</f>
      </c>
      <c r="FB365" s="408">
        <f>EW365*(1+FB366)</f>
      </c>
      <c r="FC365" s="408">
        <f>EX365*(1+FC366)</f>
      </c>
      <c r="FD365" s="408">
        <f>EY365*(1+FD366)</f>
      </c>
      <c r="FE365" s="408">
        <f>EZ365*(1+FE366)</f>
      </c>
      <c r="FF365" s="432">
        <f>SUM(FB365:FE365)</f>
      </c>
      <c r="FG365" s="408">
        <f>FB365*(1+FG366)</f>
      </c>
      <c r="FH365" s="408">
        <f>FC365*(1+FH366)</f>
      </c>
      <c r="FI365" s="408">
        <f>FD365*(1+FI366)</f>
      </c>
      <c r="FJ365" s="408">
        <f>FE365*(1+FJ366)</f>
      </c>
      <c r="FK365" s="432">
        <f>SUM(FG365:FJ365)</f>
      </c>
      <c r="FL365" s="408">
        <f>FG365*(1+FL366)</f>
      </c>
      <c r="FM365" s="408">
        <f>FH365*(1+FM366)</f>
      </c>
      <c r="FN365" s="408">
        <f>FI365*(1+FN366)</f>
      </c>
      <c r="FO365" s="408">
        <f>FJ365*(1+FO366)</f>
      </c>
      <c r="FP365" s="432">
        <f>SUM(FL365:FO365)</f>
      </c>
      <c r="FQ365" s="408">
        <f>FL365*(1+FQ366)</f>
      </c>
      <c r="FR365" s="408">
        <f>FM365*(1+FR366)</f>
      </c>
      <c r="FS365" s="408">
        <f>FN365*(1+FS366)</f>
      </c>
      <c r="FT365" s="408">
        <f>FO365*(1+FT366)</f>
      </c>
      <c r="FU365" s="432">
        <f>SUM(FQ365:FT365)</f>
      </c>
      <c r="FV365" s="408">
        <f>FQ365*(1+FV366)</f>
      </c>
      <c r="FW365" s="408">
        <f>FR365*(1+FW366)</f>
      </c>
      <c r="FX365" s="408">
        <f>FS365*(1+FX366)</f>
      </c>
      <c r="FY365" s="408">
        <f>FT365*(1+FY366)</f>
      </c>
      <c r="FZ365" s="318">
        <f>SUM(FV365:FY365)</f>
      </c>
      <c r="GA365" s="408">
        <f>FV365*(1+GA366)</f>
      </c>
      <c r="GB365" s="408">
        <f>FW365*(1+GB366)</f>
      </c>
      <c r="GC365" s="408">
        <f>FX365*(1+GC366)</f>
      </c>
      <c r="GD365" s="408">
        <f>FY365*(1+GD366)</f>
      </c>
      <c r="GE365" s="318">
        <f>SUM(GA365:GD365)</f>
      </c>
      <c r="GF365" s="408">
        <f>GA365*(1+GF366)</f>
      </c>
      <c r="GG365" s="408">
        <f>GB365*(1+GG366)</f>
      </c>
      <c r="GH365" s="408">
        <f>GC365*(1+GH366)</f>
      </c>
      <c r="GI365" s="408">
        <f>GD365*(1+GI366)</f>
      </c>
      <c r="GJ365" s="386">
        <f>SUM(GF365:GI365)</f>
      </c>
    </row>
    <row r="366" spans="1:192" s="1241" customFormat="1" ht="12.75" customHeight="1">
      <c r="A366" s="1237"/>
      <c r="B366" s="735" t="s">
        <v>34</v>
      </c>
      <c r="C366" s="892"/>
      <c r="D366" s="924"/>
      <c r="E366" s="924"/>
      <c r="F366" s="924"/>
      <c r="G366" s="1240"/>
      <c r="H366" s="892"/>
      <c r="I366" s="924"/>
      <c r="J366" s="924"/>
      <c r="K366" s="924"/>
      <c r="L366" s="1240"/>
      <c r="M366" s="892"/>
      <c r="N366" s="924"/>
      <c r="O366" s="924"/>
      <c r="P366" s="924"/>
      <c r="Q366" s="1240"/>
      <c r="R366" s="892"/>
      <c r="S366" s="924"/>
      <c r="T366" s="924"/>
      <c r="U366" s="924"/>
      <c r="V366" s="1240"/>
      <c r="W366" s="892"/>
      <c r="X366" s="924"/>
      <c r="Y366" s="924"/>
      <c r="Z366" s="924"/>
      <c r="AA366" s="1240"/>
      <c r="AB366" s="892"/>
      <c r="AC366" s="924"/>
      <c r="AD366" s="924"/>
      <c r="AE366" s="924"/>
      <c r="AF366" s="1240"/>
      <c r="AG366" s="892"/>
      <c r="AH366" s="924"/>
      <c r="AI366" s="924"/>
      <c r="AJ366" s="924"/>
      <c r="AK366" s="1240"/>
      <c r="AL366" s="892"/>
      <c r="AM366" s="924"/>
      <c r="AN366" s="924"/>
      <c r="AO366" s="924"/>
      <c r="AP366" s="1240"/>
      <c r="AQ366" s="892"/>
      <c r="AR366" s="924"/>
      <c r="AS366" s="924"/>
      <c r="AT366" s="924"/>
      <c r="AU366" s="1240"/>
      <c r="AV366" s="892"/>
      <c r="AW366" s="924"/>
      <c r="AX366" s="924"/>
      <c r="AY366" s="924"/>
      <c r="AZ366" s="1240"/>
      <c r="BA366" s="892"/>
      <c r="BB366" s="924"/>
      <c r="BC366" s="924"/>
      <c r="BD366" s="924"/>
      <c r="BE366" s="1240"/>
      <c r="BF366" s="892"/>
      <c r="BG366" s="924"/>
      <c r="BH366" s="924"/>
      <c r="BI366" s="924"/>
      <c r="BJ366" s="1240"/>
      <c r="BK366" s="892"/>
      <c r="BL366" s="924"/>
      <c r="BM366" s="924"/>
      <c r="BN366" s="924"/>
      <c r="BO366" s="1240"/>
      <c r="BP366" s="892"/>
      <c r="BQ366" s="924"/>
      <c r="BR366" s="924"/>
      <c r="BS366" s="924"/>
      <c r="BT366" s="1240"/>
      <c r="BU366" s="892"/>
      <c r="BV366" s="924"/>
      <c r="BW366" s="924"/>
      <c r="BX366" s="924"/>
      <c r="BY366" s="1240"/>
      <c r="BZ366" s="892"/>
      <c r="CA366" s="924"/>
      <c r="CB366" s="924"/>
      <c r="CC366" s="924"/>
      <c r="CD366" s="1240"/>
      <c r="CE366" s="892"/>
      <c r="CF366" s="924"/>
      <c r="CG366" s="924"/>
      <c r="CH366" s="924"/>
      <c r="CI366" s="1240"/>
      <c r="CJ366" s="892"/>
      <c r="CK366" s="924"/>
      <c r="CL366" s="924"/>
      <c r="CM366" s="924"/>
      <c r="CN366" s="1240"/>
      <c r="CO366" s="892"/>
      <c r="CP366" s="924"/>
      <c r="CQ366" s="924"/>
      <c r="CR366" s="924"/>
      <c r="CS366" s="1240"/>
      <c r="CT366" s="892"/>
      <c r="CU366" s="924"/>
      <c r="CV366" s="924"/>
      <c r="CW366" s="924"/>
      <c r="CX366" s="1240"/>
      <c r="CY366" s="892"/>
      <c r="CZ366" s="924"/>
      <c r="DA366" s="924"/>
      <c r="DB366" s="924"/>
      <c r="DC366" s="1240"/>
      <c r="DD366" s="892"/>
      <c r="DE366" s="924"/>
      <c r="DF366" s="892"/>
      <c r="DG366" s="892"/>
      <c r="DH366" s="1240"/>
      <c r="DI366" s="892"/>
      <c r="DJ366" s="892"/>
      <c r="DK366" s="291">
        <f t="shared" ref="DK366:EP366" si="557">DK365/DF365-1</f>
      </c>
      <c r="DL366" s="291">
        <f t="shared" si="557"/>
      </c>
      <c r="DM366" s="292"/>
      <c r="DN366" s="291">
        <f t="shared" si="557"/>
      </c>
      <c r="DO366" s="291">
        <f t="shared" si="557"/>
      </c>
      <c r="DP366" s="291">
        <f t="shared" si="557"/>
      </c>
      <c r="DQ366" s="291">
        <f t="shared" si="557"/>
      </c>
      <c r="DR366" s="292">
        <f t="shared" si="557"/>
      </c>
      <c r="DS366" s="291">
        <f t="shared" si="557"/>
      </c>
      <c r="DT366" s="291">
        <f t="shared" si="557"/>
      </c>
      <c r="DU366" s="291">
        <f t="shared" si="557"/>
      </c>
      <c r="DV366" s="291">
        <f t="shared" si="557"/>
      </c>
      <c r="DW366" s="292">
        <f t="shared" si="557"/>
      </c>
      <c r="DX366" s="291">
        <f t="shared" si="557"/>
      </c>
      <c r="DY366" s="291">
        <f t="shared" si="557"/>
      </c>
      <c r="DZ366" s="291">
        <f t="shared" si="557"/>
      </c>
      <c r="EA366" s="291">
        <f t="shared" si="557"/>
      </c>
      <c r="EB366" s="292">
        <f t="shared" si="557"/>
      </c>
      <c r="EC366" s="291">
        <f t="shared" si="557"/>
      </c>
      <c r="ED366" s="291">
        <f t="shared" si="557"/>
      </c>
      <c r="EE366" s="291">
        <f t="shared" si="557"/>
      </c>
      <c r="EF366" s="291">
        <f t="shared" si="557"/>
      </c>
      <c r="EG366" s="292">
        <f t="shared" si="557"/>
      </c>
      <c r="EH366" s="291">
        <f t="shared" si="557"/>
      </c>
      <c r="EI366" s="291">
        <f t="shared" si="557"/>
      </c>
      <c r="EJ366" s="291">
        <f t="shared" si="557"/>
      </c>
      <c r="EK366" s="291">
        <f t="shared" si="557"/>
      </c>
      <c r="EL366" s="292">
        <f t="shared" si="557"/>
      </c>
      <c r="EM366" s="291">
        <f t="shared" si="557"/>
      </c>
      <c r="EN366" s="291">
        <f t="shared" si="557"/>
      </c>
      <c r="EO366" s="291">
        <f t="shared" si="557"/>
      </c>
      <c r="EP366" s="291">
        <f t="shared" si="557"/>
      </c>
      <c r="EQ366" s="292">
        <f t="shared" ref="EQ366:FA366" si="558">EQ365/EL365-1</f>
      </c>
      <c r="ER366" s="291">
        <f t="shared" si="558"/>
      </c>
      <c r="ES366" s="291">
        <f t="shared" si="558"/>
      </c>
      <c r="ET366" s="291">
        <f t="shared" si="558"/>
      </c>
      <c r="EU366" s="291">
        <f t="shared" si="558"/>
      </c>
      <c r="EV366" s="292">
        <f t="shared" si="558"/>
      </c>
      <c r="EW366" s="291">
        <f t="shared" si="558"/>
      </c>
      <c r="EX366" s="291">
        <f t="shared" si="558"/>
      </c>
      <c r="EY366" s="291">
        <f t="shared" si="558"/>
      </c>
      <c r="EZ366" s="291">
        <f t="shared" ref="EZ366" si="559">EZ365/EU365-1</f>
      </c>
      <c r="FA366" s="292">
        <f t="shared" si="558"/>
      </c>
      <c r="FB366" s="412">
        <v>-0.2</v>
      </c>
      <c r="FC366" s="412">
        <f>FB366</f>
      </c>
      <c r="FD366" s="412">
        <f>FC366</f>
      </c>
      <c r="FE366" s="412">
        <f>FD366</f>
      </c>
      <c r="FF366" s="292">
        <f>FF365/FA365-1</f>
      </c>
      <c r="FG366" s="412">
        <f>FB366-2%</f>
      </c>
      <c r="FH366" s="412">
        <f>FG366</f>
      </c>
      <c r="FI366" s="412">
        <f>FH366</f>
      </c>
      <c r="FJ366" s="412">
        <f>FI366</f>
      </c>
      <c r="FK366" s="292">
        <f>FK365/FF365-1</f>
      </c>
      <c r="FL366" s="412">
        <f>FG366-2%</f>
      </c>
      <c r="FM366" s="412">
        <f>FL366</f>
      </c>
      <c r="FN366" s="412">
        <f>FM366</f>
      </c>
      <c r="FO366" s="412">
        <f>FN366</f>
      </c>
      <c r="FP366" s="292">
        <f>FP365/FK365-1</f>
      </c>
      <c r="FQ366" s="412">
        <f>FL366-2%</f>
      </c>
      <c r="FR366" s="412">
        <f>FQ366</f>
      </c>
      <c r="FS366" s="412">
        <f>FR366</f>
      </c>
      <c r="FT366" s="412">
        <f>FS366</f>
      </c>
      <c r="FU366" s="292">
        <f>FU365/FP365-1</f>
      </c>
      <c r="FV366" s="412">
        <f>FQ366-2%</f>
      </c>
      <c r="FW366" s="412">
        <f>FV366</f>
      </c>
      <c r="FX366" s="412">
        <f>FW366</f>
      </c>
      <c r="FY366" s="412">
        <f>FX366</f>
      </c>
      <c r="FZ366" s="292">
        <f>FZ365/FU365-1</f>
      </c>
      <c r="GA366" s="412">
        <f>FV366-2%</f>
      </c>
      <c r="GB366" s="412">
        <f>GA366</f>
      </c>
      <c r="GC366" s="412">
        <f>GB366</f>
      </c>
      <c r="GD366" s="412">
        <f>GC366</f>
      </c>
      <c r="GE366" s="292">
        <f>GE365/FZ365-1</f>
      </c>
      <c r="GF366" s="412">
        <f>GA366-2%</f>
      </c>
      <c r="GG366" s="412">
        <f>GF366</f>
      </c>
      <c r="GH366" s="412">
        <f>GG366</f>
      </c>
      <c r="GI366" s="412">
        <f>GH366</f>
      </c>
      <c r="GJ366" s="384">
        <f>GJ365/GE365-1</f>
      </c>
    </row>
    <row r="367" spans="1:192" ht="12.75" customHeight="1">
      <c r="B367" s="735" t="s">
        <v>36</v>
      </c>
      <c r="C367" s="291"/>
      <c r="D367" s="107"/>
      <c r="E367" s="107"/>
      <c r="F367" s="107"/>
      <c r="G367" s="292"/>
      <c r="H367" s="291"/>
      <c r="I367" s="107"/>
      <c r="J367" s="107"/>
      <c r="K367" s="107"/>
      <c r="L367" s="292"/>
      <c r="M367" s="291"/>
      <c r="N367" s="107"/>
      <c r="O367" s="107"/>
      <c r="P367" s="107"/>
      <c r="Q367" s="292"/>
      <c r="R367" s="291"/>
      <c r="S367" s="107"/>
      <c r="T367" s="107"/>
      <c r="U367" s="107"/>
      <c r="V367" s="292"/>
      <c r="W367" s="291"/>
      <c r="X367" s="107"/>
      <c r="Y367" s="107"/>
      <c r="Z367" s="107"/>
      <c r="AA367" s="292"/>
      <c r="AB367" s="291"/>
      <c r="AC367" s="107"/>
      <c r="AD367" s="107"/>
      <c r="AE367" s="107"/>
      <c r="AF367" s="292"/>
      <c r="AG367" s="291"/>
      <c r="AH367" s="107"/>
      <c r="AI367" s="107"/>
      <c r="AJ367" s="107"/>
      <c r="AK367" s="292"/>
      <c r="AL367" s="291"/>
      <c r="AM367" s="107"/>
      <c r="AN367" s="107"/>
      <c r="AO367" s="107"/>
      <c r="AP367" s="292"/>
      <c r="AQ367" s="291"/>
      <c r="AR367" s="107"/>
      <c r="AS367" s="107"/>
      <c r="AT367" s="107"/>
      <c r="AU367" s="292"/>
      <c r="AV367" s="291"/>
      <c r="AW367" s="107"/>
      <c r="AX367" s="107"/>
      <c r="AY367" s="107"/>
      <c r="AZ367" s="292"/>
      <c r="BA367" s="291"/>
      <c r="BB367" s="107"/>
      <c r="BC367" s="107"/>
      <c r="BD367" s="107"/>
      <c r="BE367" s="292"/>
      <c r="BF367" s="291"/>
      <c r="BG367" s="107"/>
      <c r="BH367" s="107"/>
      <c r="BI367" s="107"/>
      <c r="BJ367" s="292"/>
      <c r="BK367" s="291"/>
      <c r="BL367" s="107"/>
      <c r="BM367" s="107"/>
      <c r="BN367" s="107"/>
      <c r="BO367" s="292"/>
      <c r="BP367" s="291"/>
      <c r="BQ367" s="107"/>
      <c r="BR367" s="107"/>
      <c r="BS367" s="107"/>
      <c r="BT367" s="292"/>
      <c r="BU367" s="291"/>
      <c r="BV367" s="107"/>
      <c r="BW367" s="107"/>
      <c r="BX367" s="107"/>
      <c r="BY367" s="292"/>
      <c r="BZ367" s="291"/>
      <c r="CA367" s="107"/>
      <c r="CB367" s="107"/>
      <c r="CC367" s="107"/>
      <c r="CD367" s="292"/>
      <c r="CE367" s="291"/>
      <c r="CF367" s="107"/>
      <c r="CG367" s="107"/>
      <c r="CH367" s="107"/>
      <c r="CI367" s="292"/>
      <c r="CJ367" s="291"/>
      <c r="CK367" s="107"/>
      <c r="CL367" s="107"/>
      <c r="CM367" s="107"/>
      <c r="CN367" s="292"/>
      <c r="CO367" s="291"/>
      <c r="CP367" s="107"/>
      <c r="CQ367" s="107"/>
      <c r="CR367" s="107"/>
      <c r="CS367" s="292"/>
      <c r="CT367" s="291"/>
      <c r="CU367" s="107"/>
      <c r="CV367" s="107"/>
      <c r="CW367" s="107"/>
      <c r="CX367" s="292"/>
      <c r="CY367" s="291"/>
      <c r="CZ367" s="107"/>
      <c r="DA367" s="107"/>
      <c r="DB367" s="107"/>
      <c r="DC367" s="292"/>
      <c r="DD367" s="291"/>
      <c r="DE367" s="107"/>
      <c r="DF367" s="107"/>
      <c r="DG367" s="346">
        <f>DG365/DF365-1</f>
      </c>
      <c r="DH367" s="292"/>
      <c r="DI367" s="291">
        <f>DI365/DG365-1</f>
      </c>
      <c r="DJ367" s="107">
        <f>DJ365/DI365-1</f>
      </c>
      <c r="DK367" s="107">
        <f>DK365/DJ365-1</f>
      </c>
      <c r="DL367" s="346">
        <f>DL365/DK365-1</f>
      </c>
      <c r="DM367" s="293"/>
      <c r="DN367" s="291">
        <f>DN365/DL365-1</f>
      </c>
      <c r="DO367" s="107">
        <f>DO365/DN365-1</f>
      </c>
      <c r="DP367" s="107">
        <f>DP365/DO365-1</f>
      </c>
      <c r="DQ367" s="346">
        <f>DQ365/DP365-1</f>
      </c>
      <c r="DR367" s="293"/>
      <c r="DS367" s="291">
        <f>DS365/DQ365-1</f>
      </c>
      <c r="DT367" s="107">
        <f>DT365/DS365-1</f>
      </c>
      <c r="DU367" s="107">
        <f>DU365/DT365-1</f>
      </c>
      <c r="DV367" s="346">
        <f>DV365/DU365-1</f>
      </c>
      <c r="DW367" s="293"/>
      <c r="DX367" s="291">
        <f>DX365/DV365-1</f>
      </c>
      <c r="DY367" s="107">
        <f>DY365/DX365-1</f>
      </c>
      <c r="DZ367" s="107">
        <f>DZ365/DY365-1</f>
      </c>
      <c r="EA367" s="346">
        <f>EA365/DZ365-1</f>
      </c>
      <c r="EB367" s="293"/>
      <c r="EC367" s="291">
        <f>EC365/EA365-1</f>
      </c>
      <c r="ED367" s="107">
        <f>ED365/EC365-1</f>
      </c>
      <c r="EE367" s="107">
        <f>EE365/ED365-1</f>
      </c>
      <c r="EF367" s="346">
        <f>EF365/EE365-1</f>
      </c>
      <c r="EG367" s="293"/>
      <c r="EH367" s="291">
        <f>EH365/EF365-1</f>
      </c>
      <c r="EI367" s="107">
        <f>EI365/EH365-1</f>
      </c>
      <c r="EJ367" s="107">
        <f>EJ365/EI365-1</f>
      </c>
      <c r="EK367" s="346">
        <f>EK365/EJ365-1</f>
      </c>
      <c r="EL367" s="293"/>
      <c r="EM367" s="291">
        <f>EM365/EK365-1</f>
      </c>
      <c r="EN367" s="107">
        <f>EN365/EM365-1</f>
      </c>
      <c r="EO367" s="107">
        <f>EO365/EN365-1</f>
      </c>
      <c r="EP367" s="346">
        <f>EP365/EO365-1</f>
      </c>
      <c r="EQ367" s="293"/>
      <c r="ER367" s="291">
        <f>ER365/EP365-1</f>
      </c>
      <c r="ES367" s="107">
        <f>ES365/ER365-1</f>
      </c>
      <c r="ET367" s="107">
        <f>ET365/ES365-1</f>
      </c>
      <c r="EU367" s="346">
        <f>EU365/ET365-1</f>
      </c>
      <c r="EV367" s="293"/>
      <c r="EW367" s="291">
        <f>EW365/EU365-1</f>
      </c>
      <c r="EX367" s="107">
        <f>EX365/EW365-1</f>
      </c>
      <c r="EY367" s="107">
        <f>EY365/EX365-1</f>
      </c>
      <c r="EZ367" s="346">
        <f>EZ365/EY365-1</f>
      </c>
      <c r="FA367" s="293"/>
      <c r="FB367" s="291">
        <f>FB365/EZ365-1</f>
      </c>
      <c r="FC367" s="107">
        <f>FC365/FB365-1</f>
      </c>
      <c r="FD367" s="107">
        <f>FD365/FC365-1</f>
      </c>
      <c r="FE367" s="346">
        <f>FE365/FD365-1</f>
      </c>
      <c r="FF367" s="293"/>
      <c r="FG367" s="291">
        <f>FG365/FE365-1</f>
      </c>
      <c r="FH367" s="107">
        <f>FH365/FG365-1</f>
      </c>
      <c r="FI367" s="107">
        <f>FI365/FH365-1</f>
      </c>
      <c r="FJ367" s="346">
        <f>FJ365/FI365-1</f>
      </c>
      <c r="FK367" s="293"/>
      <c r="FL367" s="291">
        <f>FL365/FJ365-1</f>
      </c>
      <c r="FM367" s="107">
        <f>FM365/FL365-1</f>
      </c>
      <c r="FN367" s="107">
        <f>FN365/FM365-1</f>
      </c>
      <c r="FO367" s="346">
        <f>FO365/FN365-1</f>
      </c>
      <c r="FP367" s="293"/>
      <c r="FQ367" s="291">
        <f>FQ365/FO365-1</f>
      </c>
      <c r="FR367" s="107">
        <f>FR365/FQ365-1</f>
      </c>
      <c r="FS367" s="107">
        <f>FS365/FR365-1</f>
      </c>
      <c r="FT367" s="346">
        <f>FT365/FS365-1</f>
      </c>
      <c r="FU367" s="293"/>
      <c r="FV367" s="291">
        <f>FV365/FT365-1</f>
      </c>
      <c r="FW367" s="107">
        <f>FW365/FV365-1</f>
      </c>
      <c r="FX367" s="107">
        <f>FX365/FW365-1</f>
      </c>
      <c r="FY367" s="107">
        <f>FY365/FX365-1</f>
      </c>
      <c r="FZ367" s="292"/>
      <c r="GA367" s="291">
        <f>GA365/FY365-1</f>
      </c>
      <c r="GB367" s="107">
        <f>GB365/GA365-1</f>
      </c>
      <c r="GC367" s="107">
        <f>GC365/GB365-1</f>
      </c>
      <c r="GD367" s="107">
        <f>GD365/GC365-1</f>
      </c>
      <c r="GE367" s="292"/>
      <c r="GF367" s="291">
        <f>GF365/GD365-1</f>
      </c>
      <c r="GG367" s="107">
        <f>GG365/GF365-1</f>
      </c>
      <c r="GH367" s="107">
        <f>GH365/GG365-1</f>
      </c>
      <c r="GI367" s="107">
        <f>GI365/GH365-1</f>
      </c>
      <c r="GJ367" s="384"/>
    </row>
    <row r="368" spans="1:192" s="461" customFormat="1" ht="12.75" customHeight="1">
      <c r="A368" s="370"/>
      <c r="B368" s="735" t="s">
        <v>243</v>
      </c>
      <c r="C368" s="447"/>
      <c r="D368" s="458"/>
      <c r="E368" s="458"/>
      <c r="F368" s="458"/>
      <c r="G368" s="462"/>
      <c r="H368" s="447"/>
      <c r="I368" s="458"/>
      <c r="J368" s="458"/>
      <c r="K368" s="458"/>
      <c r="L368" s="462"/>
      <c r="M368" s="447"/>
      <c r="N368" s="458"/>
      <c r="O368" s="458"/>
      <c r="P368" s="458"/>
      <c r="Q368" s="462"/>
      <c r="R368" s="447"/>
      <c r="S368" s="458"/>
      <c r="T368" s="458"/>
      <c r="U368" s="458"/>
      <c r="V368" s="462"/>
      <c r="W368" s="447"/>
      <c r="X368" s="458"/>
      <c r="Y368" s="458"/>
      <c r="Z368" s="458"/>
      <c r="AA368" s="462"/>
      <c r="AB368" s="447"/>
      <c r="AC368" s="458"/>
      <c r="AD368" s="458"/>
      <c r="AE368" s="458"/>
      <c r="AF368" s="462"/>
      <c r="AG368" s="447"/>
      <c r="AH368" s="458"/>
      <c r="AI368" s="458"/>
      <c r="AJ368" s="458"/>
      <c r="AK368" s="462"/>
      <c r="AL368" s="447"/>
      <c r="AM368" s="458"/>
      <c r="AN368" s="458"/>
      <c r="AO368" s="458"/>
      <c r="AP368" s="462"/>
      <c r="AQ368" s="447"/>
      <c r="AR368" s="458"/>
      <c r="AS368" s="458"/>
      <c r="AT368" s="458"/>
      <c r="AU368" s="462"/>
      <c r="AV368" s="447"/>
      <c r="AW368" s="458"/>
      <c r="AX368" s="458"/>
      <c r="AY368" s="458"/>
      <c r="AZ368" s="462"/>
      <c r="BA368" s="447"/>
      <c r="BB368" s="458"/>
      <c r="BC368" s="458"/>
      <c r="BD368" s="458"/>
      <c r="BE368" s="462"/>
      <c r="BF368" s="447"/>
      <c r="BG368" s="458"/>
      <c r="BH368" s="458"/>
      <c r="BI368" s="458"/>
      <c r="BJ368" s="462"/>
      <c r="BK368" s="447"/>
      <c r="BL368" s="458"/>
      <c r="BM368" s="458"/>
      <c r="BN368" s="458"/>
      <c r="BO368" s="462"/>
      <c r="BP368" s="447"/>
      <c r="BQ368" s="458"/>
      <c r="BR368" s="458"/>
      <c r="BS368" s="458"/>
      <c r="BT368" s="462"/>
      <c r="BU368" s="447"/>
      <c r="BV368" s="458"/>
      <c r="BW368" s="458"/>
      <c r="BX368" s="458"/>
      <c r="BY368" s="462"/>
      <c r="BZ368" s="447"/>
      <c r="CA368" s="458"/>
      <c r="CB368" s="458"/>
      <c r="CC368" s="458"/>
      <c r="CD368" s="462"/>
      <c r="CE368" s="447"/>
      <c r="CF368" s="458"/>
      <c r="CG368" s="458"/>
      <c r="CH368" s="458"/>
      <c r="CI368" s="462"/>
      <c r="CJ368" s="447"/>
      <c r="CK368" s="458"/>
      <c r="CL368" s="458"/>
      <c r="CM368" s="458"/>
      <c r="CN368" s="462"/>
      <c r="CO368" s="447"/>
      <c r="CP368" s="458"/>
      <c r="CQ368" s="458"/>
      <c r="CR368" s="458"/>
      <c r="CS368" s="462"/>
      <c r="CT368" s="447"/>
      <c r="CU368" s="458"/>
      <c r="CV368" s="458"/>
      <c r="CW368" s="458"/>
      <c r="CX368" s="462"/>
      <c r="CY368" s="447"/>
      <c r="CZ368" s="458"/>
      <c r="DA368" s="458"/>
      <c r="DB368" s="458"/>
      <c r="DC368" s="462"/>
      <c r="DD368" s="447"/>
      <c r="DE368" s="458"/>
      <c r="DF368" s="447"/>
      <c r="DG368" s="492"/>
      <c r="DH368" s="462"/>
      <c r="DI368" s="447">
        <f t="shared" ref="DI368:EN368" si="560">DI365-DD365</f>
      </c>
      <c r="DJ368" s="447">
        <f t="shared" si="560"/>
      </c>
      <c r="DK368" s="447">
        <f t="shared" si="560"/>
      </c>
      <c r="DL368" s="492">
        <f t="shared" si="560"/>
      </c>
      <c r="DM368" s="488">
        <f t="shared" si="560"/>
      </c>
      <c r="DN368" s="447">
        <f t="shared" si="560"/>
      </c>
      <c r="DO368" s="447">
        <f t="shared" si="560"/>
      </c>
      <c r="DP368" s="447">
        <f t="shared" si="560"/>
      </c>
      <c r="DQ368" s="492">
        <f t="shared" si="560"/>
      </c>
      <c r="DR368" s="488">
        <f t="shared" si="560"/>
      </c>
      <c r="DS368" s="447">
        <f t="shared" si="560"/>
      </c>
      <c r="DT368" s="447">
        <f t="shared" si="560"/>
      </c>
      <c r="DU368" s="447">
        <f t="shared" si="560"/>
      </c>
      <c r="DV368" s="492">
        <f t="shared" si="560"/>
      </c>
      <c r="DW368" s="488">
        <f t="shared" si="560"/>
      </c>
      <c r="DX368" s="447">
        <f t="shared" si="560"/>
      </c>
      <c r="DY368" s="447">
        <f t="shared" si="560"/>
      </c>
      <c r="DZ368" s="447">
        <f t="shared" si="560"/>
      </c>
      <c r="EA368" s="492">
        <f t="shared" si="560"/>
      </c>
      <c r="EB368" s="488">
        <f t="shared" si="560"/>
      </c>
      <c r="EC368" s="447">
        <f t="shared" si="560"/>
      </c>
      <c r="ED368" s="447">
        <f t="shared" si="560"/>
      </c>
      <c r="EE368" s="447">
        <f t="shared" si="560"/>
      </c>
      <c r="EF368" s="492">
        <f t="shared" si="560"/>
      </c>
      <c r="EG368" s="488">
        <f t="shared" si="560"/>
      </c>
      <c r="EH368" s="447">
        <f t="shared" si="560"/>
      </c>
      <c r="EI368" s="447">
        <f t="shared" si="560"/>
      </c>
      <c r="EJ368" s="447">
        <f t="shared" si="560"/>
      </c>
      <c r="EK368" s="492">
        <f t="shared" si="560"/>
      </c>
      <c r="EL368" s="488">
        <f t="shared" si="560"/>
      </c>
      <c r="EM368" s="447">
        <f t="shared" si="560"/>
      </c>
      <c r="EN368" s="447">
        <f t="shared" si="560"/>
      </c>
      <c r="EO368" s="447">
        <f t="shared" ref="EO368:FT368" si="561">EO365-EJ365</f>
      </c>
      <c r="EP368" s="492">
        <f t="shared" si="561"/>
      </c>
      <c r="EQ368" s="488">
        <f t="shared" si="561"/>
      </c>
      <c r="ER368" s="447">
        <f t="shared" si="561"/>
      </c>
      <c r="ES368" s="447">
        <f t="shared" si="561"/>
      </c>
      <c r="ET368" s="447">
        <f t="shared" si="561"/>
      </c>
      <c r="EU368" s="492">
        <f>EU365-EP365</f>
      </c>
      <c r="EV368" s="488">
        <f>EV365-EQ365</f>
      </c>
      <c r="EW368" s="447">
        <f t="shared" si="561"/>
      </c>
      <c r="EX368" s="447">
        <f t="shared" si="561"/>
      </c>
      <c r="EY368" s="447">
        <f t="shared" si="561"/>
      </c>
      <c r="EZ368" s="492">
        <f>EZ365-EU365</f>
      </c>
      <c r="FA368" s="488">
        <f>FA365-EV365</f>
      </c>
      <c r="FB368" s="447">
        <f t="shared" si="561"/>
      </c>
      <c r="FC368" s="447">
        <f t="shared" si="561"/>
      </c>
      <c r="FD368" s="447">
        <f t="shared" si="561"/>
      </c>
      <c r="FE368" s="492">
        <f t="shared" si="561"/>
      </c>
      <c r="FF368" s="488">
        <f t="shared" si="561"/>
      </c>
      <c r="FG368" s="447">
        <f t="shared" si="561"/>
      </c>
      <c r="FH368" s="447">
        <f t="shared" si="561"/>
      </c>
      <c r="FI368" s="447">
        <f t="shared" si="561"/>
      </c>
      <c r="FJ368" s="492">
        <f t="shared" si="561"/>
      </c>
      <c r="FK368" s="488">
        <f t="shared" si="561"/>
      </c>
      <c r="FL368" s="447">
        <f t="shared" si="561"/>
      </c>
      <c r="FM368" s="447">
        <f t="shared" si="561"/>
      </c>
      <c r="FN368" s="447">
        <f t="shared" si="561"/>
      </c>
      <c r="FO368" s="492">
        <f t="shared" si="561"/>
      </c>
      <c r="FP368" s="488">
        <f t="shared" si="561"/>
      </c>
      <c r="FQ368" s="447">
        <f t="shared" si="561"/>
      </c>
      <c r="FR368" s="447">
        <f t="shared" si="561"/>
      </c>
      <c r="FS368" s="447">
        <f t="shared" si="561"/>
      </c>
      <c r="FT368" s="492">
        <f t="shared" si="561"/>
      </c>
      <c r="FU368" s="488">
        <f t="shared" ref="FU368:FZ368" si="562">FU365-FP365</f>
      </c>
      <c r="FV368" s="447">
        <f t="shared" si="562"/>
      </c>
      <c r="FW368" s="458">
        <f t="shared" si="562"/>
      </c>
      <c r="FX368" s="458">
        <f t="shared" si="562"/>
      </c>
      <c r="FY368" s="458">
        <f t="shared" si="562"/>
      </c>
      <c r="FZ368" s="462">
        <f t="shared" si="562"/>
      </c>
      <c r="GA368" s="447">
        <f t="shared" ref="GA368:GJ368" si="563">GA365-FV365</f>
      </c>
      <c r="GB368" s="458">
        <f t="shared" si="563"/>
      </c>
      <c r="GC368" s="458">
        <f t="shared" si="563"/>
      </c>
      <c r="GD368" s="458">
        <f t="shared" si="563"/>
      </c>
      <c r="GE368" s="462">
        <f t="shared" si="563"/>
      </c>
      <c r="GF368" s="447">
        <f t="shared" si="563"/>
      </c>
      <c r="GG368" s="458">
        <f t="shared" si="563"/>
      </c>
      <c r="GH368" s="458">
        <f t="shared" si="563"/>
      </c>
      <c r="GI368" s="458">
        <f t="shared" si="563"/>
      </c>
      <c r="GJ368" s="497">
        <f t="shared" si="563"/>
      </c>
    </row>
    <row r="369" spans="1:192" s="461" customFormat="1" ht="12.75" customHeight="1">
      <c r="A369" s="370"/>
      <c r="B369" s="735" t="s">
        <v>244</v>
      </c>
      <c r="C369" s="447"/>
      <c r="D369" s="458"/>
      <c r="E369" s="458"/>
      <c r="F369" s="458"/>
      <c r="G369" s="462"/>
      <c r="H369" s="447"/>
      <c r="I369" s="458"/>
      <c r="J369" s="458"/>
      <c r="K369" s="458"/>
      <c r="L369" s="462"/>
      <c r="M369" s="447"/>
      <c r="N369" s="458"/>
      <c r="O369" s="458"/>
      <c r="P369" s="458"/>
      <c r="Q369" s="462"/>
      <c r="R369" s="447"/>
      <c r="S369" s="458"/>
      <c r="T369" s="458"/>
      <c r="U369" s="458"/>
      <c r="V369" s="462"/>
      <c r="W369" s="447"/>
      <c r="X369" s="458"/>
      <c r="Y369" s="458"/>
      <c r="Z369" s="458"/>
      <c r="AA369" s="462"/>
      <c r="AB369" s="447"/>
      <c r="AC369" s="458"/>
      <c r="AD369" s="458"/>
      <c r="AE369" s="458"/>
      <c r="AF369" s="462"/>
      <c r="AG369" s="447"/>
      <c r="AH369" s="458"/>
      <c r="AI369" s="458"/>
      <c r="AJ369" s="458"/>
      <c r="AK369" s="462"/>
      <c r="AL369" s="447"/>
      <c r="AM369" s="458"/>
      <c r="AN369" s="458"/>
      <c r="AO369" s="458"/>
      <c r="AP369" s="462"/>
      <c r="AQ369" s="447"/>
      <c r="AR369" s="458"/>
      <c r="AS369" s="458"/>
      <c r="AT369" s="458"/>
      <c r="AU369" s="462"/>
      <c r="AV369" s="447"/>
      <c r="AW369" s="458"/>
      <c r="AX369" s="458"/>
      <c r="AY369" s="458"/>
      <c r="AZ369" s="462"/>
      <c r="BA369" s="447"/>
      <c r="BB369" s="458"/>
      <c r="BC369" s="458"/>
      <c r="BD369" s="458"/>
      <c r="BE369" s="462"/>
      <c r="BF369" s="447"/>
      <c r="BG369" s="458"/>
      <c r="BH369" s="458"/>
      <c r="BI369" s="458"/>
      <c r="BJ369" s="462"/>
      <c r="BK369" s="447"/>
      <c r="BL369" s="458"/>
      <c r="BM369" s="458"/>
      <c r="BN369" s="458"/>
      <c r="BO369" s="462"/>
      <c r="BP369" s="447"/>
      <c r="BQ369" s="458"/>
      <c r="BR369" s="458"/>
      <c r="BS369" s="458"/>
      <c r="BT369" s="462"/>
      <c r="BU369" s="447"/>
      <c r="BV369" s="458"/>
      <c r="BW369" s="458"/>
      <c r="BX369" s="458"/>
      <c r="BY369" s="462"/>
      <c r="BZ369" s="447"/>
      <c r="CA369" s="458"/>
      <c r="CB369" s="458"/>
      <c r="CC369" s="458"/>
      <c r="CD369" s="462"/>
      <c r="CE369" s="447"/>
      <c r="CF369" s="458"/>
      <c r="CG369" s="458"/>
      <c r="CH369" s="458"/>
      <c r="CI369" s="462"/>
      <c r="CJ369" s="447"/>
      <c r="CK369" s="458"/>
      <c r="CL369" s="458"/>
      <c r="CM369" s="458"/>
      <c r="CN369" s="462"/>
      <c r="CO369" s="447"/>
      <c r="CP369" s="458"/>
      <c r="CQ369" s="458"/>
      <c r="CR369" s="458"/>
      <c r="CS369" s="462"/>
      <c r="CT369" s="447"/>
      <c r="CU369" s="458"/>
      <c r="CV369" s="458"/>
      <c r="CW369" s="458"/>
      <c r="CX369" s="462"/>
      <c r="CY369" s="447"/>
      <c r="CZ369" s="458"/>
      <c r="DA369" s="458"/>
      <c r="DB369" s="458"/>
      <c r="DC369" s="462"/>
      <c r="DD369" s="447"/>
      <c r="DE369" s="458"/>
      <c r="DF369" s="447"/>
      <c r="DG369" s="492">
        <f>DG365-DF365</f>
      </c>
      <c r="DH369" s="462"/>
      <c r="DI369" s="447">
        <f>DI365-DG365</f>
      </c>
      <c r="DJ369" s="447">
        <f>DJ365-DI365</f>
      </c>
      <c r="DK369" s="447">
        <f>DK365-DJ365</f>
      </c>
      <c r="DL369" s="492">
        <f>DL365-DK365</f>
      </c>
      <c r="DM369" s="488"/>
      <c r="DN369" s="447">
        <f>DN365-DL365</f>
      </c>
      <c r="DO369" s="447">
        <f>DO365-DN365</f>
      </c>
      <c r="DP369" s="447">
        <f>DP365-DO365</f>
      </c>
      <c r="DQ369" s="492">
        <f>DQ365-DP365</f>
      </c>
      <c r="DR369" s="488"/>
      <c r="DS369" s="447">
        <f>DS365-DQ365</f>
      </c>
      <c r="DT369" s="447">
        <f>DT365-DS365</f>
      </c>
      <c r="DU369" s="447">
        <f>DU365-DT365</f>
      </c>
      <c r="DV369" s="492">
        <f>DV365-DU365</f>
      </c>
      <c r="DW369" s="488"/>
      <c r="DX369" s="447">
        <f>DX365-DV365</f>
      </c>
      <c r="DY369" s="447">
        <f>DY365-DX365</f>
      </c>
      <c r="DZ369" s="447">
        <f>DZ365-DY365</f>
      </c>
      <c r="EA369" s="492">
        <f>EA365-DZ365</f>
      </c>
      <c r="EB369" s="488"/>
      <c r="EC369" s="447">
        <f>EC365-EA365</f>
      </c>
      <c r="ED369" s="447">
        <f>ED365-EC365</f>
      </c>
      <c r="EE369" s="447">
        <f>EE365-ED365</f>
      </c>
      <c r="EF369" s="492">
        <f>EF365-EE365</f>
      </c>
      <c r="EG369" s="488"/>
      <c r="EH369" s="447">
        <f>EH365-EF365</f>
      </c>
      <c r="EI369" s="447">
        <f>EI365-EH365</f>
      </c>
      <c r="EJ369" s="447">
        <f>EJ365-EI365</f>
      </c>
      <c r="EK369" s="492">
        <f>EK365-EJ365</f>
      </c>
      <c r="EL369" s="488"/>
      <c r="EM369" s="447">
        <f>EM365-EK365</f>
      </c>
      <c r="EN369" s="447">
        <f>EN365-EM365</f>
      </c>
      <c r="EO369" s="447">
        <f>EO365-EN365</f>
      </c>
      <c r="EP369" s="492">
        <f>EP365-EO365</f>
      </c>
      <c r="EQ369" s="488"/>
      <c r="ER369" s="447">
        <f>ER365-EP365</f>
      </c>
      <c r="ES369" s="447">
        <f>ES365-ER365</f>
      </c>
      <c r="ET369" s="447">
        <f>ET365-ES365</f>
      </c>
      <c r="EU369" s="492">
        <f>EU365-ET365</f>
      </c>
      <c r="EV369" s="488"/>
      <c r="EW369" s="447">
        <f>EW365-EU365</f>
      </c>
      <c r="EX369" s="447">
        <f>EX365-EW365</f>
      </c>
      <c r="EY369" s="447">
        <f>EY365-EX365</f>
      </c>
      <c r="EZ369" s="492">
        <f>EZ365-EY365</f>
      </c>
      <c r="FA369" s="488"/>
      <c r="FB369" s="447">
        <f>FB365-EZ365</f>
      </c>
      <c r="FC369" s="447">
        <f>FC365-FB365</f>
      </c>
      <c r="FD369" s="447">
        <f>FD365-FC365</f>
      </c>
      <c r="FE369" s="492">
        <f>FE365-FD365</f>
      </c>
      <c r="FF369" s="488"/>
      <c r="FG369" s="447">
        <f>FG365-FE365</f>
      </c>
      <c r="FH369" s="447">
        <f>FH365-FG365</f>
      </c>
      <c r="FI369" s="447">
        <f>FI365-FH365</f>
      </c>
      <c r="FJ369" s="492">
        <f>FJ365-FI365</f>
      </c>
      <c r="FK369" s="488"/>
      <c r="FL369" s="447">
        <f>FL365-FJ365</f>
      </c>
      <c r="FM369" s="447">
        <f>FM365-FL365</f>
      </c>
      <c r="FN369" s="447">
        <f>FN365-FM365</f>
      </c>
      <c r="FO369" s="492">
        <f>FO365-FN365</f>
      </c>
      <c r="FP369" s="488"/>
      <c r="FQ369" s="447">
        <f>FQ365-FO365</f>
      </c>
      <c r="FR369" s="447">
        <f>FR365-FQ365</f>
      </c>
      <c r="FS369" s="447">
        <f>FS365-FR365</f>
      </c>
      <c r="FT369" s="492">
        <f>FT365-FS365</f>
      </c>
      <c r="FU369" s="488"/>
      <c r="FV369" s="447">
        <f>FV365-FT365</f>
      </c>
      <c r="FW369" s="458">
        <f>FW365-FV365</f>
      </c>
      <c r="FX369" s="458">
        <f>FX365-FW365</f>
      </c>
      <c r="FY369" s="458">
        <f>FY365-FX365</f>
      </c>
      <c r="FZ369" s="462"/>
      <c r="GA369" s="447">
        <f>GA365-FY365</f>
      </c>
      <c r="GB369" s="458">
        <f>GB365-GA365</f>
      </c>
      <c r="GC369" s="458">
        <f>GC365-GB365</f>
      </c>
      <c r="GD369" s="458">
        <f>GD365-GC365</f>
      </c>
      <c r="GE369" s="462"/>
      <c r="GF369" s="447">
        <f>GF365-GD365</f>
      </c>
      <c r="GG369" s="458">
        <f>GG365-GF365</f>
      </c>
      <c r="GH369" s="458">
        <f>GH365-GG365</f>
      </c>
      <c r="GI369" s="458">
        <f>GI365-GH365</f>
      </c>
      <c r="GJ369" s="497"/>
    </row>
    <row r="370" spans="1:192" ht="12.75" customHeight="1">
      <c r="B370" s="735" t="s">
        <v>393</v>
      </c>
      <c r="C370" s="291"/>
      <c r="D370" s="107"/>
      <c r="E370" s="107"/>
      <c r="F370" s="107"/>
      <c r="G370" s="292"/>
      <c r="H370" s="291"/>
      <c r="I370" s="107"/>
      <c r="J370" s="107"/>
      <c r="K370" s="107"/>
      <c r="L370" s="292"/>
      <c r="M370" s="291"/>
      <c r="N370" s="107"/>
      <c r="O370" s="107"/>
      <c r="P370" s="107"/>
      <c r="Q370" s="292"/>
      <c r="R370" s="291"/>
      <c r="S370" s="107"/>
      <c r="T370" s="107"/>
      <c r="U370" s="107"/>
      <c r="V370" s="292"/>
      <c r="W370" s="291"/>
      <c r="X370" s="107"/>
      <c r="Y370" s="107"/>
      <c r="Z370" s="107"/>
      <c r="AA370" s="292"/>
      <c r="AB370" s="291"/>
      <c r="AC370" s="107"/>
      <c r="AD370" s="107"/>
      <c r="AE370" s="107"/>
      <c r="AF370" s="292"/>
      <c r="AG370" s="291"/>
      <c r="AH370" s="107"/>
      <c r="AI370" s="107"/>
      <c r="AJ370" s="107"/>
      <c r="AK370" s="292"/>
      <c r="AL370" s="291"/>
      <c r="AM370" s="107"/>
      <c r="AN370" s="107"/>
      <c r="AO370" s="107"/>
      <c r="AP370" s="292"/>
      <c r="AQ370" s="291"/>
      <c r="AR370" s="107"/>
      <c r="AS370" s="107"/>
      <c r="AT370" s="107"/>
      <c r="AU370" s="292"/>
      <c r="AV370" s="291"/>
      <c r="AW370" s="107"/>
      <c r="AX370" s="107"/>
      <c r="AY370" s="107"/>
      <c r="AZ370" s="292"/>
      <c r="BA370" s="291"/>
      <c r="BB370" s="107"/>
      <c r="BC370" s="107"/>
      <c r="BD370" s="107"/>
      <c r="BE370" s="292"/>
      <c r="BF370" s="291"/>
      <c r="BG370" s="107"/>
      <c r="BH370" s="107"/>
      <c r="BI370" s="107"/>
      <c r="BJ370" s="292"/>
      <c r="BK370" s="291"/>
      <c r="BL370" s="107"/>
      <c r="BM370" s="107"/>
      <c r="BN370" s="107"/>
      <c r="BO370" s="292"/>
      <c r="BP370" s="291"/>
      <c r="BQ370" s="107"/>
      <c r="BR370" s="107"/>
      <c r="BS370" s="107"/>
      <c r="BT370" s="292"/>
      <c r="BU370" s="291"/>
      <c r="BV370" s="107"/>
      <c r="BW370" s="107"/>
      <c r="BX370" s="107"/>
      <c r="BY370" s="292"/>
      <c r="BZ370" s="291"/>
      <c r="CA370" s="107"/>
      <c r="CB370" s="107"/>
      <c r="CC370" s="107"/>
      <c r="CD370" s="292"/>
      <c r="CE370" s="291"/>
      <c r="CF370" s="107"/>
      <c r="CG370" s="107"/>
      <c r="CH370" s="107"/>
      <c r="CI370" s="292"/>
      <c r="CJ370" s="291"/>
      <c r="CK370" s="107"/>
      <c r="CL370" s="107"/>
      <c r="CM370" s="107"/>
      <c r="CN370" s="292"/>
      <c r="CO370" s="291"/>
      <c r="CP370" s="107"/>
      <c r="CQ370" s="107"/>
      <c r="CR370" s="107"/>
      <c r="CS370" s="292"/>
      <c r="CT370" s="291"/>
      <c r="CU370" s="107"/>
      <c r="CV370" s="107"/>
      <c r="CW370" s="107"/>
      <c r="CX370" s="292"/>
      <c r="CY370" s="291"/>
      <c r="CZ370" s="107"/>
      <c r="DA370" s="107"/>
      <c r="DB370" s="107"/>
      <c r="DC370" s="292"/>
      <c r="DD370" s="291"/>
      <c r="DE370" s="107"/>
      <c r="DF370" s="107">
        <f>DF365/DF347</f>
      </c>
      <c r="DG370" s="107">
        <f>DG365/DG347</f>
      </c>
      <c r="DH370" s="292"/>
      <c r="DI370" s="107">
        <f t="shared" ref="DI370:EN370" si="564">DI365/DI347</f>
      </c>
      <c r="DJ370" s="107">
        <f t="shared" si="564"/>
      </c>
      <c r="DK370" s="107">
        <f t="shared" si="564"/>
      </c>
      <c r="DL370" s="107">
        <f t="shared" si="564"/>
      </c>
      <c r="DM370" s="292">
        <f t="shared" si="564"/>
      </c>
      <c r="DN370" s="107">
        <f t="shared" si="564"/>
      </c>
      <c r="DO370" s="107">
        <f t="shared" si="564"/>
      </c>
      <c r="DP370" s="107">
        <f t="shared" si="564"/>
      </c>
      <c r="DQ370" s="107">
        <f t="shared" si="564"/>
      </c>
      <c r="DR370" s="292">
        <f t="shared" si="564"/>
      </c>
      <c r="DS370" s="107">
        <f t="shared" si="564"/>
      </c>
      <c r="DT370" s="107">
        <f t="shared" si="564"/>
      </c>
      <c r="DU370" s="107">
        <f t="shared" si="564"/>
      </c>
      <c r="DV370" s="107">
        <f t="shared" si="564"/>
      </c>
      <c r="DW370" s="292">
        <f t="shared" si="564"/>
      </c>
      <c r="DX370" s="107">
        <f t="shared" si="564"/>
      </c>
      <c r="DY370" s="107">
        <f t="shared" si="564"/>
      </c>
      <c r="DZ370" s="107">
        <f t="shared" si="564"/>
      </c>
      <c r="EA370" s="107">
        <f t="shared" si="564"/>
      </c>
      <c r="EB370" s="292">
        <f t="shared" si="564"/>
      </c>
      <c r="EC370" s="107">
        <f t="shared" si="564"/>
      </c>
      <c r="ED370" s="107">
        <f t="shared" si="564"/>
      </c>
      <c r="EE370" s="107">
        <f t="shared" si="564"/>
      </c>
      <c r="EF370" s="107">
        <f t="shared" si="564"/>
      </c>
      <c r="EG370" s="292">
        <f t="shared" si="564"/>
      </c>
      <c r="EH370" s="107">
        <f t="shared" si="564"/>
      </c>
      <c r="EI370" s="107">
        <f t="shared" si="564"/>
      </c>
      <c r="EJ370" s="107">
        <f t="shared" si="564"/>
      </c>
      <c r="EK370" s="107">
        <f t="shared" si="564"/>
      </c>
      <c r="EL370" s="292">
        <f t="shared" si="564"/>
      </c>
      <c r="EM370" s="107">
        <f t="shared" si="564"/>
      </c>
      <c r="EN370" s="107">
        <f t="shared" si="564"/>
      </c>
      <c r="EO370" s="107">
        <f t="shared" ref="EO370:FT370" si="565">EO365/EO347</f>
      </c>
      <c r="EP370" s="107">
        <f t="shared" si="565"/>
      </c>
      <c r="EQ370" s="292">
        <f t="shared" si="565"/>
      </c>
      <c r="ER370" s="107">
        <f t="shared" si="565"/>
      </c>
      <c r="ES370" s="107">
        <f t="shared" si="565"/>
      </c>
      <c r="ET370" s="107">
        <f t="shared" si="565"/>
      </c>
      <c r="EU370" s="107">
        <f t="shared" si="565"/>
      </c>
      <c r="EV370" s="292">
        <f t="shared" si="565"/>
      </c>
      <c r="EW370" s="107">
        <f t="shared" si="565"/>
      </c>
      <c r="EX370" s="107">
        <f t="shared" si="565"/>
      </c>
      <c r="EY370" s="107">
        <f t="shared" si="565"/>
      </c>
      <c r="EZ370" s="107">
        <f t="shared" si="565"/>
      </c>
      <c r="FA370" s="292">
        <f t="shared" si="565"/>
      </c>
      <c r="FB370" s="107">
        <f t="shared" si="565"/>
      </c>
      <c r="FC370" s="107">
        <f t="shared" si="565"/>
      </c>
      <c r="FD370" s="107">
        <f t="shared" si="565"/>
      </c>
      <c r="FE370" s="107">
        <f t="shared" si="565"/>
      </c>
      <c r="FF370" s="292">
        <f t="shared" si="565"/>
      </c>
      <c r="FG370" s="107">
        <f t="shared" si="565"/>
      </c>
      <c r="FH370" s="107">
        <f t="shared" si="565"/>
      </c>
      <c r="FI370" s="107">
        <f t="shared" si="565"/>
      </c>
      <c r="FJ370" s="107">
        <f t="shared" si="565"/>
      </c>
      <c r="FK370" s="292">
        <f t="shared" si="565"/>
      </c>
      <c r="FL370" s="107">
        <f t="shared" si="565"/>
      </c>
      <c r="FM370" s="107">
        <f t="shared" si="565"/>
      </c>
      <c r="FN370" s="107">
        <f t="shared" si="565"/>
      </c>
      <c r="FO370" s="107">
        <f t="shared" si="565"/>
      </c>
      <c r="FP370" s="292">
        <f t="shared" si="565"/>
      </c>
      <c r="FQ370" s="107">
        <f t="shared" si="565"/>
      </c>
      <c r="FR370" s="107">
        <f t="shared" si="565"/>
      </c>
      <c r="FS370" s="107">
        <f t="shared" si="565"/>
      </c>
      <c r="FT370" s="107">
        <f t="shared" si="565"/>
      </c>
      <c r="FU370" s="292">
        <f t="shared" ref="FU370:GJ370" si="566">FU365/FU347</f>
      </c>
      <c r="FV370" s="291">
        <f t="shared" si="566"/>
      </c>
      <c r="FW370" s="107">
        <f t="shared" si="566"/>
      </c>
      <c r="FX370" s="107">
        <f t="shared" si="566"/>
      </c>
      <c r="FY370" s="107">
        <f t="shared" si="566"/>
      </c>
      <c r="FZ370" s="292">
        <f t="shared" si="566"/>
      </c>
      <c r="GA370" s="291">
        <f t="shared" si="566"/>
      </c>
      <c r="GB370" s="107">
        <f t="shared" si="566"/>
      </c>
      <c r="GC370" s="107">
        <f t="shared" si="566"/>
      </c>
      <c r="GD370" s="107">
        <f t="shared" si="566"/>
      </c>
      <c r="GE370" s="292">
        <f t="shared" si="566"/>
      </c>
      <c r="GF370" s="291">
        <f t="shared" si="566"/>
      </c>
      <c r="GG370" s="107">
        <f t="shared" si="566"/>
      </c>
      <c r="GH370" s="107">
        <f t="shared" si="566"/>
      </c>
      <c r="GI370" s="107">
        <f t="shared" si="566"/>
      </c>
      <c r="GJ370" s="384">
        <f t="shared" si="566"/>
      </c>
    </row>
    <row r="371" spans="1:192" s="335" customFormat="1" ht="12.75" customHeight="1">
      <c r="A371" s="790"/>
      <c r="B371" s="742"/>
      <c r="C371" s="106"/>
      <c r="D371" s="107"/>
      <c r="E371" s="107"/>
      <c r="F371" s="346"/>
      <c r="G371" s="347"/>
      <c r="H371" s="106"/>
      <c r="I371" s="107"/>
      <c r="J371" s="107"/>
      <c r="K371" s="346"/>
      <c r="L371" s="347"/>
      <c r="M371" s="106"/>
      <c r="N371" s="107"/>
      <c r="O371" s="107"/>
      <c r="P371" s="346"/>
      <c r="Q371" s="347"/>
      <c r="R371" s="106"/>
      <c r="S371" s="107"/>
      <c r="T371" s="107"/>
      <c r="U371" s="346"/>
      <c r="V371" s="347"/>
      <c r="W371" s="106"/>
      <c r="X371" s="107"/>
      <c r="Y371" s="107"/>
      <c r="Z371" s="346"/>
      <c r="AA371" s="347"/>
      <c r="AB371" s="106"/>
      <c r="AC371" s="107"/>
      <c r="AD371" s="107"/>
      <c r="AE371" s="346"/>
      <c r="AF371" s="347"/>
      <c r="AG371" s="106"/>
      <c r="AH371" s="107"/>
      <c r="AI371" s="107"/>
      <c r="AJ371" s="346"/>
      <c r="AK371" s="347"/>
      <c r="AL371" s="106"/>
      <c r="AM371" s="107"/>
      <c r="AN371" s="107"/>
      <c r="AO371" s="346"/>
      <c r="AP371" s="347"/>
      <c r="AQ371" s="106"/>
      <c r="AR371" s="107"/>
      <c r="AS371" s="107"/>
      <c r="AT371" s="346"/>
      <c r="AU371" s="347"/>
      <c r="AV371" s="106"/>
      <c r="AW371" s="107"/>
      <c r="AX371" s="107"/>
      <c r="AY371" s="346"/>
      <c r="AZ371" s="347"/>
      <c r="BA371" s="106"/>
      <c r="BB371" s="107"/>
      <c r="BC371" s="107"/>
      <c r="BD371" s="346"/>
      <c r="BE371" s="347"/>
      <c r="BF371" s="106"/>
      <c r="BG371" s="107"/>
      <c r="BH371" s="107"/>
      <c r="BI371" s="346"/>
      <c r="BJ371" s="347"/>
      <c r="BK371" s="106"/>
      <c r="BL371" s="107"/>
      <c r="BM371" s="107"/>
      <c r="BN371" s="346"/>
      <c r="BO371" s="347"/>
      <c r="BP371" s="106"/>
      <c r="BQ371" s="107"/>
      <c r="BR371" s="107"/>
      <c r="BS371" s="346"/>
      <c r="BT371" s="347"/>
      <c r="BU371" s="106"/>
      <c r="BV371" s="107"/>
      <c r="BW371" s="107"/>
      <c r="BX371" s="346"/>
      <c r="BY371" s="347"/>
      <c r="BZ371" s="106"/>
      <c r="CA371" s="107"/>
      <c r="CB371" s="107"/>
      <c r="CC371" s="346"/>
      <c r="CD371" s="347"/>
      <c r="CE371" s="106"/>
      <c r="CF371" s="107"/>
      <c r="CG371" s="107"/>
      <c r="CH371" s="346"/>
      <c r="CI371" s="347"/>
      <c r="CJ371" s="106"/>
      <c r="CK371" s="107"/>
      <c r="CL371" s="107"/>
      <c r="CM371" s="346"/>
      <c r="CN371" s="347"/>
      <c r="CO371" s="106"/>
      <c r="CP371" s="107"/>
      <c r="CQ371" s="107"/>
      <c r="CR371" s="346"/>
      <c r="CS371" s="347"/>
      <c r="CT371" s="106"/>
      <c r="CU371" s="107"/>
      <c r="CV371" s="107"/>
      <c r="CW371" s="346"/>
      <c r="CX371" s="347"/>
      <c r="CY371" s="106"/>
      <c r="CZ371" s="107"/>
      <c r="DA371" s="107"/>
      <c r="DB371" s="346"/>
      <c r="DC371" s="347"/>
      <c r="DD371" s="106"/>
      <c r="DE371" s="107"/>
      <c r="DF371" s="107"/>
      <c r="DG371" s="346"/>
      <c r="DH371" s="347"/>
      <c r="DI371" s="106"/>
      <c r="DJ371" s="107"/>
      <c r="DK371" s="107"/>
      <c r="DL371" s="346"/>
      <c r="DM371" s="347"/>
      <c r="DN371" s="106"/>
      <c r="DO371" s="107"/>
      <c r="DP371" s="107"/>
      <c r="DQ371" s="346"/>
      <c r="DR371" s="347"/>
      <c r="DS371" s="106"/>
      <c r="DT371" s="107"/>
      <c r="DU371" s="107"/>
      <c r="DV371" s="346"/>
      <c r="DW371" s="347"/>
      <c r="DX371" s="106"/>
      <c r="DY371" s="107"/>
      <c r="DZ371" s="107"/>
      <c r="EA371" s="346"/>
      <c r="EB371" s="347"/>
      <c r="EC371" s="106"/>
      <c r="ED371" s="107"/>
      <c r="EE371" s="107"/>
      <c r="EF371" s="346"/>
      <c r="EG371" s="347"/>
      <c r="EH371" s="106"/>
      <c r="EI371" s="107"/>
      <c r="EJ371" s="107"/>
      <c r="EK371" s="346"/>
      <c r="EL371" s="347"/>
      <c r="EM371" s="106"/>
      <c r="EN371" s="107"/>
      <c r="EO371" s="107"/>
      <c r="EP371" s="346"/>
      <c r="EQ371" s="347"/>
      <c r="ER371" s="106"/>
      <c r="ES371" s="107"/>
      <c r="ET371" s="107"/>
      <c r="EU371" s="346"/>
      <c r="EV371" s="347"/>
      <c r="EW371" s="106"/>
      <c r="EX371" s="107"/>
      <c r="EY371" s="107"/>
      <c r="EZ371" s="346"/>
      <c r="FA371" s="347"/>
      <c r="FB371" s="106"/>
      <c r="FC371" s="107"/>
      <c r="FD371" s="107"/>
      <c r="FE371" s="346"/>
      <c r="FF371" s="347"/>
      <c r="FG371" s="106"/>
      <c r="FH371" s="107"/>
      <c r="FI371" s="107"/>
      <c r="FJ371" s="346"/>
      <c r="FK371" s="347"/>
      <c r="FL371" s="106"/>
      <c r="FM371" s="107"/>
      <c r="FN371" s="107"/>
      <c r="FO371" s="346"/>
      <c r="FP371" s="347"/>
      <c r="FQ371" s="106"/>
      <c r="FR371" s="107"/>
      <c r="FS371" s="107"/>
      <c r="FT371" s="346"/>
      <c r="FU371" s="347"/>
      <c r="FV371" s="106"/>
      <c r="FW371" s="107"/>
      <c r="FX371" s="107"/>
      <c r="FY371" s="346"/>
      <c r="FZ371" s="293"/>
      <c r="GA371" s="106"/>
      <c r="GB371" s="107"/>
      <c r="GC371" s="107"/>
      <c r="GD371" s="346"/>
      <c r="GE371" s="293"/>
      <c r="GF371" s="106"/>
      <c r="GG371" s="107"/>
      <c r="GH371" s="107"/>
      <c r="GI371" s="346"/>
      <c r="GJ371" s="392"/>
    </row>
    <row r="372" spans="1:192" s="335" customFormat="1" ht="12.75" customHeight="1" thickBot="1">
      <c r="A372" s="790"/>
      <c r="B372" s="743"/>
      <c r="C372" s="387"/>
      <c r="D372" s="388"/>
      <c r="E372" s="388"/>
      <c r="F372" s="389"/>
      <c r="G372" s="390"/>
      <c r="H372" s="387"/>
      <c r="I372" s="388"/>
      <c r="J372" s="388"/>
      <c r="K372" s="389"/>
      <c r="L372" s="390"/>
      <c r="M372" s="387"/>
      <c r="N372" s="388"/>
      <c r="O372" s="388"/>
      <c r="P372" s="389"/>
      <c r="Q372" s="390"/>
      <c r="R372" s="387"/>
      <c r="S372" s="388"/>
      <c r="T372" s="388"/>
      <c r="U372" s="389"/>
      <c r="V372" s="390"/>
      <c r="W372" s="387"/>
      <c r="X372" s="388"/>
      <c r="Y372" s="388"/>
      <c r="Z372" s="389"/>
      <c r="AA372" s="390"/>
      <c r="AB372" s="387"/>
      <c r="AC372" s="388"/>
      <c r="AD372" s="388"/>
      <c r="AE372" s="389"/>
      <c r="AF372" s="390"/>
      <c r="AG372" s="387"/>
      <c r="AH372" s="388"/>
      <c r="AI372" s="388"/>
      <c r="AJ372" s="389"/>
      <c r="AK372" s="390"/>
      <c r="AL372" s="387"/>
      <c r="AM372" s="388"/>
      <c r="AN372" s="388"/>
      <c r="AO372" s="389"/>
      <c r="AP372" s="390"/>
      <c r="AQ372" s="387"/>
      <c r="AR372" s="388"/>
      <c r="AS372" s="388"/>
      <c r="AT372" s="389"/>
      <c r="AU372" s="390"/>
      <c r="AV372" s="387"/>
      <c r="AW372" s="388"/>
      <c r="AX372" s="388"/>
      <c r="AY372" s="389"/>
      <c r="AZ372" s="390"/>
      <c r="BA372" s="387"/>
      <c r="BB372" s="388"/>
      <c r="BC372" s="388"/>
      <c r="BD372" s="389"/>
      <c r="BE372" s="390"/>
      <c r="BF372" s="387"/>
      <c r="BG372" s="388"/>
      <c r="BH372" s="388"/>
      <c r="BI372" s="389"/>
      <c r="BJ372" s="390"/>
      <c r="BK372" s="387"/>
      <c r="BL372" s="388"/>
      <c r="BM372" s="388"/>
      <c r="BN372" s="389"/>
      <c r="BO372" s="390"/>
      <c r="BP372" s="387"/>
      <c r="BQ372" s="388"/>
      <c r="BR372" s="388"/>
      <c r="BS372" s="389"/>
      <c r="BT372" s="390"/>
      <c r="BU372" s="387"/>
      <c r="BV372" s="388"/>
      <c r="BW372" s="388"/>
      <c r="BX372" s="389"/>
      <c r="BY372" s="390"/>
      <c r="BZ372" s="387"/>
      <c r="CA372" s="388"/>
      <c r="CB372" s="388"/>
      <c r="CC372" s="389"/>
      <c r="CD372" s="390"/>
      <c r="CE372" s="387"/>
      <c r="CF372" s="388"/>
      <c r="CG372" s="388"/>
      <c r="CH372" s="389"/>
      <c r="CI372" s="390"/>
      <c r="CJ372" s="387"/>
      <c r="CK372" s="388"/>
      <c r="CL372" s="388"/>
      <c r="CM372" s="389"/>
      <c r="CN372" s="390"/>
      <c r="CO372" s="387"/>
      <c r="CP372" s="388"/>
      <c r="CQ372" s="388"/>
      <c r="CR372" s="389"/>
      <c r="CS372" s="390"/>
      <c r="CT372" s="387"/>
      <c r="CU372" s="388"/>
      <c r="CV372" s="388"/>
      <c r="CW372" s="389"/>
      <c r="CX372" s="390"/>
      <c r="CY372" s="387"/>
      <c r="CZ372" s="388"/>
      <c r="DA372" s="388"/>
      <c r="DB372" s="389"/>
      <c r="DC372" s="390"/>
      <c r="DD372" s="387"/>
      <c r="DE372" s="388"/>
      <c r="DF372" s="388"/>
      <c r="DG372" s="389"/>
      <c r="DH372" s="390"/>
      <c r="DI372" s="387"/>
      <c r="DJ372" s="388"/>
      <c r="DK372" s="388"/>
      <c r="DL372" s="389"/>
      <c r="DM372" s="390"/>
      <c r="DN372" s="387"/>
      <c r="DO372" s="388"/>
      <c r="DP372" s="388"/>
      <c r="DQ372" s="389"/>
      <c r="DR372" s="390"/>
      <c r="DS372" s="387"/>
      <c r="DT372" s="388"/>
      <c r="DU372" s="388"/>
      <c r="DV372" s="389"/>
      <c r="DW372" s="390"/>
      <c r="DX372" s="387"/>
      <c r="DY372" s="388"/>
      <c r="DZ372" s="388"/>
      <c r="EA372" s="389"/>
      <c r="EB372" s="390"/>
      <c r="EC372" s="387"/>
      <c r="ED372" s="388"/>
      <c r="EE372" s="388"/>
      <c r="EF372" s="389"/>
      <c r="EG372" s="390"/>
      <c r="EH372" s="387"/>
      <c r="EI372" s="388"/>
      <c r="EJ372" s="388"/>
      <c r="EK372" s="389"/>
      <c r="EL372" s="390"/>
      <c r="EM372" s="387"/>
      <c r="EN372" s="388"/>
      <c r="EO372" s="886"/>
      <c r="EP372" s="887"/>
      <c r="EQ372" s="390"/>
      <c r="ER372" s="387"/>
      <c r="ES372" s="388"/>
      <c r="ET372" s="388"/>
      <c r="EU372" s="389"/>
      <c r="EV372" s="390"/>
      <c r="EW372" s="387"/>
      <c r="EX372" s="388"/>
      <c r="EY372" s="388"/>
      <c r="EZ372" s="389"/>
      <c r="FA372" s="390"/>
      <c r="FB372" s="387"/>
      <c r="FC372" s="388"/>
      <c r="FD372" s="388"/>
      <c r="FE372" s="389"/>
      <c r="FF372" s="390"/>
      <c r="FG372" s="387"/>
      <c r="FH372" s="388"/>
      <c r="FI372" s="388"/>
      <c r="FJ372" s="389"/>
      <c r="FK372" s="390"/>
      <c r="FL372" s="387"/>
      <c r="FM372" s="388"/>
      <c r="FN372" s="388"/>
      <c r="FO372" s="389"/>
      <c r="FP372" s="390"/>
      <c r="FQ372" s="387"/>
      <c r="FR372" s="388"/>
      <c r="FS372" s="388"/>
      <c r="FT372" s="389"/>
      <c r="FU372" s="390"/>
      <c r="FV372" s="387"/>
      <c r="FW372" s="388"/>
      <c r="FX372" s="388"/>
      <c r="FY372" s="389"/>
      <c r="FZ372" s="1469"/>
      <c r="GA372" s="387"/>
      <c r="GB372" s="388"/>
      <c r="GC372" s="388"/>
      <c r="GD372" s="389"/>
      <c r="GE372" s="1469"/>
      <c r="GF372" s="387"/>
      <c r="GG372" s="388"/>
      <c r="GH372" s="388"/>
      <c r="GI372" s="389"/>
      <c r="GJ372" s="391"/>
    </row>
    <row r="374" spans="1:192" ht="12.75" customHeight="1">
      <c r="ER374" s="1174"/>
      <c r="ES374" s="1174"/>
      <c r="ET374" s="1174"/>
      <c r="EU374" s="1174"/>
      <c r="EV374" s="1174"/>
      <c r="EW374" s="1174"/>
      <c r="EX374" s="1174"/>
      <c r="EY374" s="1174"/>
      <c r="EZ374" s="1174"/>
      <c r="FA374" s="1174"/>
      <c r="FB374" s="1174"/>
      <c r="FC374" s="1174"/>
      <c r="FD374" s="1174"/>
      <c r="FE374" s="1174"/>
      <c r="FF374" s="1174"/>
    </row>
    <row r="375" spans="1:192" ht="12.75" customHeight="1">
      <c r="ET375" s="1174"/>
      <c r="EU375" s="1174"/>
      <c r="EW375" s="1174"/>
      <c r="EX375" s="1174"/>
      <c r="EY375" s="1174"/>
      <c r="EZ375" s="1174"/>
      <c r="FB375" s="1174"/>
      <c r="FC375" s="1174"/>
      <c r="FD375" s="1174"/>
      <c r="FE375" s="1174"/>
    </row>
    <row r="376" spans="1:192" ht="12.75" customHeight="1">
      <c r="FA376" s="1174"/>
      <c r="FF376" s="1174"/>
    </row>
  </sheetData>
  <conditionalFormatting sqref="A153:XFD153">
    <cfRule type="cellIs" dxfId="8" priority="17" operator="lessThan">
      <formula>0</formula>
    </cfRule>
  </conditionalFormatting>
  <conditionalFormatting sqref="A178:XFD178">
    <cfRule type="cellIs" dxfId="7" priority="20" operator="lessThan">
      <formula>0</formula>
    </cfRule>
  </conditionalFormatting>
  <conditionalFormatting sqref="A195:XFD195">
    <cfRule type="cellIs" dxfId="6" priority="7" operator="lessThan">
      <formula>0</formula>
    </cfRule>
  </conditionalFormatting>
  <conditionalFormatting sqref="A301:XFD301">
    <cfRule type="cellIs" dxfId="5" priority="19" operator="lessThan">
      <formula>0</formula>
    </cfRule>
  </conditionalFormatting>
  <conditionalFormatting sqref="A365:XFD365">
    <cfRule type="cellIs" dxfId="4" priority="16" operator="lessThan">
      <formula>0</formula>
    </cfRule>
  </conditionalFormatting>
  <conditionalFormatting sqref="EQ186">
    <cfRule type="cellIs" dxfId="3" priority="1" operator="lessThan">
      <formula>0</formula>
    </cfRule>
  </conditionalFormatting>
  <pageMargins left="0.7" right="0.7" top="0.75" bottom="0.75" header="0.3" footer="0.3"/>
  <pageSetup orientation="portrait" r:id="rId1"/>
  <customProperties>
    <customPr name="Qube.Worksheet.Visibility" r:id="rId2"/>
  </customPropertie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2AD53E-6C2F-44A9-AD85-91C6D9531DCD}">
  <sheetPr>
    <tabColor theme="4"/>
    <pageSetUpPr autoPageBreaks="0"/>
  </sheetPr>
  <dimension ref="A1:GJ237"/>
  <sheetViews>
    <sheetView showGridLines="0" zoomScaleNormal="100" workbookViewId="0">
      <pane xSplit="2" ySplit="8" topLeftCell="EW45" activePane="bottomRight" state="frozen"/>
      <selection activeCell="DD115" sqref="DD115"/>
      <selection pane="topRight" activeCell="DD115" sqref="DD115"/>
      <selection pane="bottomLeft" activeCell="DD115" sqref="DD115"/>
      <selection pane="bottomRight"/>
    </sheetView>
  </sheetViews>
  <sheetFormatPr defaultColWidth="9.109375" defaultRowHeight="12.75" customHeight="1" outlineLevelRow="1" outlineLevelCol="1"/>
  <cols>
    <col min="1" max="1" width="3.5546875" style="68" customWidth="1"/>
    <col min="2" max="2" width="62.44140625" style="701" bestFit="1" customWidth="1"/>
    <col min="3" max="3" width="11.109375" style="284" hidden="1" customWidth="1" outlineLevel="1"/>
    <col min="4" max="6" width="11.109375" style="288" hidden="1" customWidth="1" outlineLevel="1"/>
    <col min="7" max="7" width="11.44140625" style="288" bestFit="1" customWidth="1" collapsed="1"/>
    <col min="8" max="8" width="11.109375" style="284" hidden="1" customWidth="1" outlineLevel="1"/>
    <col min="9" max="11" width="11.109375" style="288" hidden="1" customWidth="1" outlineLevel="1"/>
    <col min="12" max="12" width="11.44140625" style="288" bestFit="1" customWidth="1" collapsed="1"/>
    <col min="13" max="13" width="11.109375" style="284" hidden="1" customWidth="1" outlineLevel="1"/>
    <col min="14" max="16" width="11.109375" style="288" hidden="1" customWidth="1" outlineLevel="1"/>
    <col min="17" max="17" width="11.44140625" style="288" bestFit="1" customWidth="1" collapsed="1"/>
    <col min="18" max="18" width="11.109375" style="284" hidden="1" customWidth="1" outlineLevel="1"/>
    <col min="19" max="21" width="11.109375" style="288" hidden="1" customWidth="1" outlineLevel="1"/>
    <col min="22" max="22" width="11.44140625" style="288" bestFit="1" customWidth="1" collapsed="1"/>
    <col min="23" max="23" width="11.109375" style="284" hidden="1" customWidth="1" outlineLevel="1"/>
    <col min="24" max="26" width="11.109375" style="288" hidden="1" customWidth="1" outlineLevel="1"/>
    <col min="27" max="27" width="11.44140625" style="288" bestFit="1" customWidth="1" collapsed="1"/>
    <col min="28" max="28" width="11.109375" style="284" hidden="1" customWidth="1" outlineLevel="1"/>
    <col min="29" max="31" width="11.109375" style="288" hidden="1" customWidth="1" outlineLevel="1"/>
    <col min="32" max="32" width="11.44140625" style="288" bestFit="1" customWidth="1" collapsed="1"/>
    <col min="33" max="33" width="11.109375" style="284" hidden="1" customWidth="1" outlineLevel="1"/>
    <col min="34" max="36" width="11.109375" style="288" hidden="1" customWidth="1" outlineLevel="1"/>
    <col min="37" max="37" width="11.44140625" style="288" bestFit="1" customWidth="1" collapsed="1"/>
    <col min="38" max="38" width="11.109375" style="284" hidden="1" customWidth="1" outlineLevel="1"/>
    <col min="39" max="41" width="11.109375" style="288" hidden="1" customWidth="1" outlineLevel="1"/>
    <col min="42" max="42" width="11.109375" style="288" customWidth="1" collapsed="1"/>
    <col min="43" max="43" width="11.109375" style="284" hidden="1" customWidth="1" outlineLevel="1"/>
    <col min="44" max="46" width="11.109375" style="288" hidden="1" customWidth="1" outlineLevel="1"/>
    <col min="47" max="47" width="11.109375" style="288" customWidth="1" collapsed="1"/>
    <col min="48" max="48" width="11.109375" style="284" hidden="1" customWidth="1" outlineLevel="1"/>
    <col min="49" max="51" width="11.109375" style="288" hidden="1" customWidth="1" outlineLevel="1"/>
    <col min="52" max="52" width="11.44140625" style="288" bestFit="1" customWidth="1" collapsed="1"/>
    <col min="53" max="53" width="11.109375" style="284" hidden="1" customWidth="1" outlineLevel="1"/>
    <col min="54" max="56" width="11.109375" style="288" hidden="1" customWidth="1" outlineLevel="1"/>
    <col min="57" max="57" width="11.44140625" style="288" bestFit="1" customWidth="1" collapsed="1"/>
    <col min="58" max="58" width="11.109375" style="284" hidden="1" customWidth="1" outlineLevel="1"/>
    <col min="59" max="61" width="11.109375" style="288" hidden="1" customWidth="1" outlineLevel="1"/>
    <col min="62" max="62" width="11.44140625" style="288" bestFit="1" customWidth="1" collapsed="1"/>
    <col min="63" max="63" width="11.109375" style="284" hidden="1" customWidth="1" outlineLevel="1"/>
    <col min="64" max="66" width="11.109375" style="288" hidden="1" customWidth="1" outlineLevel="1"/>
    <col min="67" max="67" width="11.44140625" style="288" bestFit="1" customWidth="1" collapsed="1"/>
    <col min="68" max="68" width="11.109375" style="284" hidden="1" customWidth="1" outlineLevel="1"/>
    <col min="69" max="71" width="11.109375" style="288" hidden="1" customWidth="1" outlineLevel="1"/>
    <col min="72" max="72" width="11.44140625" style="288" bestFit="1" customWidth="1" collapsed="1"/>
    <col min="73" max="73" width="11.109375" style="284" hidden="1" customWidth="1" outlineLevel="1"/>
    <col min="74" max="76" width="11.109375" style="288" hidden="1" customWidth="1" outlineLevel="1"/>
    <col min="77" max="77" width="11.44140625" style="288" bestFit="1" customWidth="1" collapsed="1"/>
    <col min="78" max="78" width="11.109375" style="284" hidden="1" customWidth="1" outlineLevel="1"/>
    <col min="79" max="81" width="11.109375" style="288" hidden="1" customWidth="1" outlineLevel="1"/>
    <col min="82" max="82" width="11.44140625" style="288" bestFit="1" customWidth="1" collapsed="1"/>
    <col min="83" max="83" width="11.109375" style="284" hidden="1" customWidth="1" outlineLevel="1"/>
    <col min="84" max="86" width="11.109375" style="288" hidden="1" customWidth="1" outlineLevel="1"/>
    <col min="87" max="87" width="11.109375" style="288" customWidth="1" collapsed="1"/>
    <col min="88" max="88" width="11.109375" style="284" hidden="1" customWidth="1" outlineLevel="1"/>
    <col min="89" max="91" width="11.109375" style="288" hidden="1" customWidth="1" outlineLevel="1"/>
    <col min="92" max="92" width="11.109375" style="288" customWidth="1" collapsed="1"/>
    <col min="93" max="93" width="11.109375" style="284" hidden="1" customWidth="1" outlineLevel="1"/>
    <col min="94" max="96" width="11.109375" style="288" hidden="1" customWidth="1" outlineLevel="1"/>
    <col min="97" max="97" width="11.44140625" style="288" bestFit="1" customWidth="1" collapsed="1"/>
    <col min="98" max="98" width="11.109375" style="284" hidden="1" customWidth="1" outlineLevel="1"/>
    <col min="99" max="101" width="11.109375" style="288" hidden="1" customWidth="1" outlineLevel="1"/>
    <col min="102" max="102" width="11.44140625" style="288" bestFit="1" customWidth="1" collapsed="1"/>
    <col min="103" max="103" width="11.109375" style="284" hidden="1" customWidth="1" outlineLevel="1"/>
    <col min="104" max="106" width="11.109375" style="288" hidden="1" customWidth="1" outlineLevel="1"/>
    <col min="107" max="107" width="11.44140625" style="288" bestFit="1" customWidth="1" collapsed="1"/>
    <col min="108" max="108" width="11.109375" style="284" hidden="1" customWidth="1" outlineLevel="1"/>
    <col min="109" max="111" width="11.109375" style="288" hidden="1" customWidth="1" outlineLevel="1"/>
    <col min="112" max="112" width="11.44140625" style="288" customWidth="1" collapsed="1"/>
    <col min="113" max="113" width="11.109375" style="284" hidden="1" customWidth="1" outlineLevel="1"/>
    <col min="114" max="116" width="11.109375" style="288" hidden="1" customWidth="1" outlineLevel="1"/>
    <col min="117" max="117" width="11.44140625" style="288" bestFit="1" customWidth="1" collapsed="1"/>
    <col min="118" max="118" width="11.109375" style="284" hidden="1" customWidth="1" outlineLevel="1"/>
    <col min="119" max="121" width="11.109375" style="288" hidden="1" customWidth="1" outlineLevel="1"/>
    <col min="122" max="122" width="11.44140625" style="288" bestFit="1" customWidth="1" collapsed="1"/>
    <col min="123" max="123" width="11.109375" style="284" hidden="1" customWidth="1" outlineLevel="1"/>
    <col min="124" max="126" width="9.44140625" style="288" hidden="1" customWidth="1" outlineLevel="1"/>
    <col min="127" max="127" width="11.44140625" style="288" bestFit="1" customWidth="1" collapsed="1"/>
    <col min="128" max="128" width="11.109375" style="284" hidden="1" customWidth="1" outlineLevel="1"/>
    <col min="129" max="131" width="11.109375" style="288" hidden="1" customWidth="1" outlineLevel="1"/>
    <col min="132" max="132" width="11.109375" style="288" customWidth="1" collapsed="1"/>
    <col min="133" max="133" width="11.109375" style="284" hidden="1" customWidth="1" outlineLevel="1"/>
    <col min="134" max="136" width="11.109375" style="288" hidden="1" customWidth="1" outlineLevel="1"/>
    <col min="137" max="137" width="11.109375" style="288" customWidth="1" collapsed="1"/>
    <col min="138" max="138" width="12.5546875" style="284" hidden="1" customWidth="1" outlineLevel="1"/>
    <col min="139" max="141" width="11.44140625" style="288" hidden="1" customWidth="1" outlineLevel="1"/>
    <col min="142" max="142" width="12.5546875" style="142" bestFit="1" customWidth="1" collapsed="1"/>
    <col min="143" max="143" width="11.44140625" style="284" hidden="1" customWidth="1" outlineLevel="1"/>
    <col min="144" max="146" width="11.44140625" style="288" hidden="1" customWidth="1" outlineLevel="1"/>
    <col min="147" max="147" width="11.44140625" style="142" bestFit="1" customWidth="1" collapsed="1"/>
    <col min="148" max="148" width="11.109375" style="284" hidden="1" customWidth="1" outlineLevel="1"/>
    <col min="149" max="151" width="11.109375" style="288" hidden="1" customWidth="1" outlineLevel="1"/>
    <col min="152" max="152" width="11.44140625" style="288" bestFit="1" customWidth="1" collapsed="1"/>
    <col min="153" max="153" width="11.109375" style="284" customWidth="1" outlineLevel="1"/>
    <col min="154" max="156" width="11.109375" style="288" customWidth="1" outlineLevel="1"/>
    <col min="157" max="157" width="11.44140625" style="288" bestFit="1" customWidth="1"/>
    <col min="158" max="158" width="11.109375" style="284" customWidth="1" outlineLevel="1"/>
    <col min="159" max="161" width="11.109375" style="288" customWidth="1" outlineLevel="1"/>
    <col min="162" max="162" width="11.44140625" style="288" bestFit="1" customWidth="1"/>
    <col min="163" max="163" width="11.109375" style="284" customWidth="1" outlineLevel="1"/>
    <col min="164" max="166" width="11.109375" style="288" customWidth="1" outlineLevel="1"/>
    <col min="167" max="167" width="11.44140625" style="288" bestFit="1" customWidth="1"/>
    <col min="168" max="168" width="11.109375" style="284" hidden="1" customWidth="1" outlineLevel="1"/>
    <col min="169" max="171" width="11.109375" style="288" hidden="1" customWidth="1" outlineLevel="1"/>
    <col min="172" max="172" width="11.44140625" style="288" bestFit="1" customWidth="1" collapsed="1"/>
    <col min="173" max="173" width="11.109375" style="284" hidden="1" customWidth="1" outlineLevel="1"/>
    <col min="174" max="176" width="11.109375" style="288" hidden="1" customWidth="1" outlineLevel="1"/>
    <col min="177" max="177" width="11.44140625" style="288" bestFit="1" customWidth="1" collapsed="1"/>
    <col min="178" max="178" width="11.109375" style="284" hidden="1" customWidth="1" outlineLevel="1"/>
    <col min="179" max="181" width="9.44140625" style="288" hidden="1" customWidth="1" outlineLevel="1"/>
    <col min="182" max="182" width="11.44140625" style="288" bestFit="1" customWidth="1" collapsed="1"/>
    <col min="183" max="183" width="11.109375" style="284" hidden="1" customWidth="1" outlineLevel="1"/>
    <col min="184" max="186" width="9.44140625" style="288" hidden="1" customWidth="1" outlineLevel="1"/>
    <col min="187" max="187" width="11.44140625" style="288" bestFit="1" customWidth="1" collapsed="1"/>
    <col min="188" max="188" width="11.109375" style="284" hidden="1" customWidth="1" outlineLevel="1"/>
    <col min="189" max="191" width="9.44140625" style="288" hidden="1" customWidth="1" outlineLevel="1"/>
    <col min="192" max="192" width="11.44140625" style="288" bestFit="1" customWidth="1" collapsed="1"/>
    <col min="193" max="16384" width="9.109375" style="283"/>
  </cols>
  <sheetData>
    <row r="1" spans="1:192" ht="12.75" customHeight="1">
      <c r="D1" s="285"/>
      <c r="E1" s="285"/>
      <c r="F1" s="285"/>
      <c r="G1" s="285"/>
      <c r="I1" s="285"/>
      <c r="J1" s="285"/>
      <c r="K1" s="285"/>
      <c r="L1" s="285"/>
      <c r="N1" s="285"/>
      <c r="O1" s="285"/>
      <c r="P1" s="285"/>
      <c r="Q1" s="285"/>
      <c r="S1" s="285"/>
      <c r="T1" s="285"/>
      <c r="U1" s="285"/>
      <c r="V1" s="285"/>
      <c r="X1" s="285"/>
      <c r="Y1" s="285"/>
      <c r="Z1" s="285"/>
      <c r="AA1" s="285"/>
      <c r="AC1" s="285"/>
      <c r="AD1" s="285"/>
      <c r="AE1" s="285"/>
      <c r="AF1" s="285"/>
      <c r="AH1" s="285"/>
      <c r="AI1" s="285"/>
      <c r="AJ1" s="285"/>
      <c r="AK1" s="285"/>
      <c r="AM1" s="285"/>
      <c r="AN1" s="285"/>
      <c r="AO1" s="285"/>
      <c r="AP1" s="285"/>
      <c r="AR1" s="285"/>
      <c r="AS1" s="285"/>
      <c r="AT1" s="285"/>
      <c r="AU1" s="285"/>
      <c r="AW1" s="285"/>
      <c r="AX1" s="285"/>
      <c r="AY1" s="285"/>
      <c r="AZ1" s="285"/>
      <c r="BB1" s="285"/>
      <c r="BC1" s="285"/>
      <c r="BD1" s="285"/>
      <c r="BE1" s="285"/>
      <c r="BG1" s="285"/>
      <c r="BH1" s="285"/>
      <c r="BI1" s="285"/>
      <c r="BJ1" s="285"/>
      <c r="BL1" s="285"/>
      <c r="BM1" s="285"/>
      <c r="BN1" s="285"/>
      <c r="BO1" s="285"/>
      <c r="BQ1" s="285"/>
      <c r="BR1" s="285"/>
      <c r="BS1" s="285"/>
      <c r="BT1" s="285"/>
      <c r="BV1" s="285"/>
      <c r="BW1" s="285"/>
      <c r="BX1" s="285"/>
      <c r="BY1" s="285"/>
      <c r="CA1" s="285"/>
      <c r="CB1" s="285"/>
      <c r="CC1" s="285"/>
      <c r="CD1" s="285"/>
      <c r="CF1" s="285"/>
      <c r="CG1" s="285"/>
      <c r="CH1" s="285"/>
      <c r="CI1" s="285"/>
      <c r="CK1" s="285"/>
      <c r="CL1" s="285"/>
      <c r="CM1" s="285"/>
      <c r="CN1" s="285"/>
      <c r="CP1" s="285"/>
      <c r="CQ1" s="285"/>
      <c r="CR1" s="285"/>
      <c r="CS1" s="285"/>
      <c r="CU1" s="285"/>
      <c r="CV1" s="285"/>
      <c r="CW1" s="285"/>
      <c r="CX1" s="285"/>
      <c r="CZ1" s="285"/>
      <c r="DA1" s="285"/>
      <c r="DB1" s="285"/>
      <c r="DC1" s="285"/>
      <c r="DE1" s="285"/>
      <c r="DF1" s="285"/>
      <c r="DG1" s="285"/>
      <c r="DH1" s="285"/>
      <c r="DJ1" s="285"/>
      <c r="DK1" s="285"/>
      <c r="DL1" s="285"/>
      <c r="DM1" s="285"/>
      <c r="DO1" s="285"/>
      <c r="DP1" s="285"/>
      <c r="DQ1" s="285"/>
      <c r="DR1" s="285"/>
      <c r="DT1" s="285"/>
      <c r="DU1" s="285"/>
      <c r="DV1" s="285"/>
      <c r="DW1" s="285"/>
      <c r="DY1" s="285"/>
      <c r="DZ1" s="285"/>
      <c r="EA1" s="285"/>
      <c r="EB1" s="285"/>
      <c r="ED1" s="285"/>
      <c r="EE1" s="285"/>
      <c r="EF1" s="285"/>
      <c r="EG1" s="285"/>
      <c r="EI1" s="285"/>
      <c r="EJ1" s="285"/>
      <c r="EK1" s="285"/>
      <c r="EL1" s="285"/>
      <c r="EN1" s="285"/>
      <c r="EO1" s="285"/>
      <c r="EP1" s="285"/>
      <c r="EQ1" s="285"/>
      <c r="ES1" s="285"/>
      <c r="ET1" s="285"/>
      <c r="EU1" s="285"/>
      <c r="EV1" s="285"/>
      <c r="EX1" s="285"/>
      <c r="EY1" s="285"/>
      <c r="EZ1" s="285"/>
      <c r="FA1" s="285"/>
      <c r="FC1" s="285"/>
      <c r="FD1" s="285"/>
      <c r="FE1" s="285"/>
      <c r="FF1" s="285"/>
      <c r="FH1" s="285"/>
      <c r="FI1" s="285"/>
      <c r="FJ1" s="285"/>
      <c r="FK1" s="285"/>
      <c r="FM1" s="285"/>
      <c r="FN1" s="285"/>
      <c r="FO1" s="285"/>
      <c r="FP1" s="285"/>
      <c r="FR1" s="285"/>
      <c r="FS1" s="285"/>
      <c r="FT1" s="285"/>
      <c r="FU1" s="285"/>
      <c r="FW1" s="285"/>
      <c r="FX1" s="285"/>
      <c r="FY1" s="285"/>
      <c r="FZ1" s="285"/>
      <c r="GB1" s="285"/>
      <c r="GC1" s="285"/>
      <c r="GD1" s="285"/>
      <c r="GE1" s="285"/>
      <c r="GG1" s="285"/>
      <c r="GH1" s="285"/>
      <c r="GI1" s="285"/>
      <c r="GJ1" s="285"/>
    </row>
    <row r="2" spans="1:192" ht="12.75" customHeight="1">
      <c r="B2" s="1434" t="s">
        <v>63</v>
      </c>
      <c r="D2" s="285"/>
      <c r="E2" s="285"/>
      <c r="F2" s="285"/>
      <c r="G2" s="285"/>
      <c r="I2" s="285"/>
      <c r="J2" s="285"/>
      <c r="K2" s="285"/>
      <c r="L2" s="285"/>
      <c r="N2" s="285"/>
      <c r="O2" s="285"/>
      <c r="P2" s="285"/>
      <c r="Q2" s="285"/>
      <c r="S2" s="285"/>
      <c r="T2" s="285"/>
      <c r="U2" s="285"/>
      <c r="V2" s="285"/>
      <c r="X2" s="285"/>
      <c r="Y2" s="285"/>
      <c r="Z2" s="285"/>
      <c r="AA2" s="285"/>
      <c r="AC2" s="285"/>
      <c r="AD2" s="285"/>
      <c r="AE2" s="285"/>
      <c r="AF2" s="285"/>
      <c r="AH2" s="285"/>
      <c r="AI2" s="285"/>
      <c r="AJ2" s="285"/>
      <c r="AK2" s="285"/>
      <c r="AM2" s="285"/>
      <c r="AN2" s="285"/>
      <c r="AO2" s="285"/>
      <c r="AP2" s="285"/>
      <c r="AR2" s="285"/>
      <c r="AS2" s="285"/>
      <c r="AT2" s="285"/>
      <c r="AU2" s="285"/>
      <c r="AW2" s="285"/>
      <c r="AX2" s="285"/>
      <c r="AY2" s="285"/>
      <c r="AZ2" s="285"/>
      <c r="BB2" s="285"/>
      <c r="BC2" s="285"/>
      <c r="BD2" s="285"/>
      <c r="BE2" s="285"/>
      <c r="BG2" s="285"/>
      <c r="BH2" s="285"/>
      <c r="BI2" s="285"/>
      <c r="BJ2" s="285"/>
      <c r="BL2" s="285"/>
      <c r="BM2" s="285"/>
      <c r="BN2" s="285"/>
      <c r="BO2" s="285"/>
      <c r="BQ2" s="285"/>
      <c r="BR2" s="285"/>
      <c r="BS2" s="285"/>
      <c r="BT2" s="285"/>
      <c r="BV2" s="285"/>
      <c r="BW2" s="285"/>
      <c r="BX2" s="285"/>
      <c r="BY2" s="285"/>
      <c r="CA2" s="285"/>
      <c r="CB2" s="285"/>
      <c r="CC2" s="285"/>
      <c r="CD2" s="285"/>
      <c r="CF2" s="285"/>
      <c r="CG2" s="285"/>
      <c r="CH2" s="285"/>
      <c r="CI2" s="285"/>
      <c r="CK2" s="285"/>
      <c r="CL2" s="285"/>
      <c r="CM2" s="285"/>
      <c r="CN2" s="285"/>
      <c r="CP2" s="285"/>
      <c r="CQ2" s="285"/>
      <c r="CR2" s="285"/>
      <c r="CS2" s="285"/>
      <c r="CU2" s="285"/>
      <c r="CV2" s="285"/>
      <c r="CW2" s="285"/>
      <c r="CX2" s="375"/>
      <c r="CY2" s="474"/>
      <c r="CZ2" s="375"/>
      <c r="DA2" s="375"/>
      <c r="DB2" s="375"/>
      <c r="DC2" s="1448"/>
      <c r="DD2" s="474"/>
      <c r="DE2" s="375"/>
      <c r="DF2" s="375"/>
      <c r="DG2" s="375"/>
      <c r="DH2" s="375"/>
      <c r="DI2" s="474"/>
      <c r="DJ2" s="375"/>
      <c r="DK2" s="375"/>
      <c r="DL2" s="375"/>
      <c r="DM2" s="1448"/>
      <c r="DO2" s="285"/>
      <c r="DP2" s="285"/>
      <c r="DQ2" s="285"/>
      <c r="DR2" s="285"/>
      <c r="DT2" s="285"/>
      <c r="DU2" s="285"/>
      <c r="DV2" s="285"/>
      <c r="DW2" s="285"/>
      <c r="DY2" s="285"/>
      <c r="DZ2" s="285"/>
      <c r="EA2" s="285"/>
      <c r="EB2" s="285"/>
      <c r="ED2" s="285"/>
      <c r="EE2" s="285"/>
      <c r="EF2" s="285"/>
      <c r="EG2" s="285"/>
      <c r="EI2" s="285"/>
      <c r="EJ2" s="285"/>
      <c r="EK2" s="285"/>
      <c r="EL2" s="285"/>
      <c r="EN2" s="285"/>
      <c r="EO2" s="285"/>
      <c r="EP2" s="285"/>
      <c r="EQ2" s="285"/>
      <c r="ES2" s="285"/>
      <c r="ET2" s="285"/>
      <c r="EU2" s="285"/>
      <c r="EV2" s="285"/>
      <c r="EX2" s="285"/>
      <c r="EY2" s="285"/>
      <c r="EZ2" s="285"/>
      <c r="FA2" s="285"/>
      <c r="FC2" s="285"/>
      <c r="FD2" s="285"/>
      <c r="FE2" s="285"/>
      <c r="FF2" s="285"/>
      <c r="FH2" s="285"/>
      <c r="FI2" s="285"/>
      <c r="FJ2" s="285"/>
      <c r="FK2" s="285"/>
      <c r="FM2" s="285"/>
      <c r="FN2" s="285"/>
      <c r="FO2" s="285"/>
      <c r="FP2" s="285"/>
      <c r="FR2" s="285"/>
      <c r="FS2" s="285"/>
      <c r="FT2" s="285"/>
      <c r="FU2" s="285"/>
      <c r="FW2" s="285"/>
      <c r="FX2" s="285"/>
      <c r="FY2" s="285"/>
      <c r="FZ2" s="285"/>
      <c r="GB2" s="285"/>
      <c r="GC2" s="285"/>
      <c r="GD2" s="285"/>
      <c r="GE2" s="285"/>
      <c r="GG2" s="285"/>
      <c r="GH2" s="285"/>
      <c r="GI2" s="285"/>
      <c r="GJ2" s="285"/>
    </row>
    <row r="3" spans="1:192" ht="12.75" customHeight="1">
      <c r="B3" s="1434" t="s">
        <v>64</v>
      </c>
      <c r="D3" s="285"/>
      <c r="E3" s="285"/>
      <c r="F3" s="285"/>
      <c r="G3" s="285"/>
      <c r="I3" s="285"/>
      <c r="J3" s="285"/>
      <c r="K3" s="285"/>
      <c r="L3" s="285"/>
      <c r="N3" s="285"/>
      <c r="O3" s="285"/>
      <c r="P3" s="285"/>
      <c r="Q3" s="285"/>
      <c r="S3" s="285"/>
      <c r="T3" s="285"/>
      <c r="U3" s="285"/>
      <c r="V3" s="285"/>
      <c r="X3" s="285"/>
      <c r="Y3" s="285"/>
      <c r="Z3" s="285"/>
      <c r="AA3" s="285"/>
      <c r="AC3" s="285"/>
      <c r="AD3" s="285"/>
      <c r="AE3" s="285"/>
      <c r="AF3" s="285"/>
      <c r="AH3" s="285"/>
      <c r="AI3" s="285"/>
      <c r="AJ3" s="285"/>
      <c r="AK3" s="285"/>
      <c r="AM3" s="285"/>
      <c r="AN3" s="285"/>
      <c r="AO3" s="285"/>
      <c r="AP3" s="285"/>
      <c r="AR3" s="285"/>
      <c r="AS3" s="285"/>
      <c r="AT3" s="285"/>
      <c r="AU3" s="285"/>
      <c r="AW3" s="285"/>
      <c r="AX3" s="285"/>
      <c r="AY3" s="285"/>
      <c r="AZ3" s="285"/>
      <c r="BB3" s="285"/>
      <c r="BC3" s="285"/>
      <c r="BD3" s="285"/>
      <c r="BE3" s="285"/>
      <c r="BG3" s="285"/>
      <c r="BH3" s="285"/>
      <c r="BI3" s="285"/>
      <c r="BJ3" s="285"/>
      <c r="BL3" s="285"/>
      <c r="BM3" s="285"/>
      <c r="BN3" s="285"/>
      <c r="BO3" s="285"/>
      <c r="BQ3" s="285"/>
      <c r="BR3" s="285"/>
      <c r="BS3" s="285"/>
      <c r="BT3" s="285"/>
      <c r="BV3" s="285"/>
      <c r="BW3" s="285"/>
      <c r="BX3" s="285"/>
      <c r="BY3" s="285"/>
      <c r="CA3" s="285"/>
      <c r="CB3" s="285"/>
      <c r="CC3" s="285"/>
      <c r="CD3" s="285"/>
      <c r="CF3" s="285"/>
      <c r="CG3" s="285"/>
      <c r="CH3" s="285"/>
      <c r="CI3" s="285"/>
      <c r="CK3" s="285"/>
      <c r="CL3" s="285"/>
      <c r="CM3" s="285"/>
      <c r="CN3" s="285"/>
      <c r="CP3" s="285"/>
      <c r="CQ3" s="285"/>
      <c r="CR3" s="285"/>
      <c r="CS3" s="285"/>
      <c r="CU3" s="285"/>
      <c r="CV3" s="285"/>
      <c r="CW3" s="285"/>
      <c r="CX3" s="375"/>
      <c r="CY3" s="474"/>
      <c r="CZ3" s="375"/>
      <c r="DA3" s="375"/>
      <c r="DB3" s="375"/>
      <c r="DC3" s="1448"/>
      <c r="DD3" s="474"/>
      <c r="DE3" s="375"/>
      <c r="DF3" s="375"/>
      <c r="DG3" s="375"/>
      <c r="DH3" s="375"/>
      <c r="DI3" s="474"/>
      <c r="DJ3" s="375"/>
      <c r="DK3" s="375"/>
      <c r="DL3" s="375"/>
      <c r="DM3" s="1448"/>
      <c r="DO3" s="285"/>
      <c r="DP3" s="285"/>
      <c r="DQ3" s="285"/>
      <c r="DR3" s="285"/>
      <c r="DT3" s="285"/>
      <c r="DU3" s="285"/>
      <c r="DV3" s="285"/>
      <c r="DW3" s="285"/>
      <c r="DY3" s="285"/>
      <c r="DZ3" s="285"/>
      <c r="EA3" s="285"/>
      <c r="EB3" s="285"/>
      <c r="ED3" s="285"/>
      <c r="EE3" s="285"/>
      <c r="EF3" s="285"/>
      <c r="EG3" s="285"/>
      <c r="EI3" s="285"/>
      <c r="EJ3" s="285"/>
      <c r="EK3" s="285"/>
      <c r="EL3" s="285"/>
      <c r="EN3" s="285"/>
      <c r="EO3" s="285"/>
      <c r="EP3" s="285"/>
      <c r="EQ3" s="285"/>
      <c r="ES3" s="285"/>
      <c r="ET3" s="285"/>
      <c r="EU3" s="285"/>
      <c r="EV3" s="1627"/>
      <c r="EX3" s="285"/>
      <c r="EY3" s="285"/>
      <c r="EZ3" s="285"/>
      <c r="FA3" s="285"/>
      <c r="FC3" s="285"/>
      <c r="FD3" s="285"/>
      <c r="FE3" s="285"/>
      <c r="FF3" s="285"/>
      <c r="FH3" s="285"/>
      <c r="FI3" s="285"/>
      <c r="FJ3" s="285"/>
      <c r="FK3" s="285"/>
      <c r="FM3" s="285"/>
      <c r="FN3" s="285"/>
      <c r="FO3" s="285"/>
      <c r="FP3" s="285"/>
      <c r="FR3" s="285"/>
      <c r="FS3" s="285"/>
      <c r="FT3" s="285"/>
      <c r="FU3" s="285"/>
      <c r="FW3" s="285"/>
      <c r="FX3" s="285"/>
      <c r="FY3" s="285"/>
      <c r="FZ3" s="285"/>
      <c r="GB3" s="285"/>
      <c r="GC3" s="285"/>
      <c r="GD3" s="285"/>
      <c r="GE3" s="285"/>
      <c r="GG3" s="285"/>
      <c r="GH3" s="285"/>
      <c r="GI3" s="285"/>
      <c r="GJ3" s="285"/>
    </row>
    <row r="4" spans="1:192" ht="12.75" customHeight="1">
      <c r="B4" s="1434" t="s">
        <v>27</v>
      </c>
      <c r="D4" s="285"/>
      <c r="E4" s="285"/>
      <c r="F4" s="285"/>
      <c r="G4" s="285"/>
      <c r="I4" s="285"/>
      <c r="J4" s="285"/>
      <c r="K4" s="285"/>
      <c r="L4" s="285"/>
      <c r="N4" s="285"/>
      <c r="O4" s="285"/>
      <c r="P4" s="285"/>
      <c r="Q4" s="285"/>
      <c r="S4" s="285"/>
      <c r="T4" s="285"/>
      <c r="U4" s="285"/>
      <c r="V4" s="285"/>
      <c r="X4" s="285"/>
      <c r="Y4" s="285"/>
      <c r="Z4" s="285"/>
      <c r="AA4" s="285"/>
      <c r="AC4" s="285"/>
      <c r="AD4" s="285"/>
      <c r="AE4" s="285"/>
      <c r="AF4" s="285"/>
      <c r="AH4" s="285"/>
      <c r="AI4" s="285"/>
      <c r="AJ4" s="285"/>
      <c r="AK4" s="285"/>
      <c r="AM4" s="285"/>
      <c r="AN4" s="285"/>
      <c r="AO4" s="285"/>
      <c r="AP4" s="285"/>
      <c r="AR4" s="285"/>
      <c r="AS4" s="285"/>
      <c r="AT4" s="285"/>
      <c r="AU4" s="285"/>
      <c r="AW4" s="285"/>
      <c r="AX4" s="285"/>
      <c r="AY4" s="285"/>
      <c r="AZ4" s="285"/>
      <c r="BB4" s="285"/>
      <c r="BC4" s="285"/>
      <c r="BD4" s="285"/>
      <c r="BE4" s="285"/>
      <c r="BG4" s="285"/>
      <c r="BH4" s="285"/>
      <c r="BI4" s="285"/>
      <c r="BJ4" s="285"/>
      <c r="BL4" s="285"/>
      <c r="BM4" s="285"/>
      <c r="BN4" s="285"/>
      <c r="BO4" s="285"/>
      <c r="BQ4" s="285"/>
      <c r="BR4" s="285"/>
      <c r="BS4" s="285"/>
      <c r="BT4" s="285"/>
      <c r="BV4" s="285"/>
      <c r="BW4" s="285"/>
      <c r="BX4" s="285"/>
      <c r="BY4" s="285"/>
      <c r="CA4" s="285"/>
      <c r="CB4" s="285"/>
      <c r="CC4" s="285"/>
      <c r="CD4" s="285"/>
      <c r="CF4" s="285"/>
      <c r="CG4" s="285"/>
      <c r="CH4" s="285"/>
      <c r="CI4" s="285"/>
      <c r="CK4" s="285"/>
      <c r="CL4" s="285"/>
      <c r="CM4" s="285"/>
      <c r="CN4" s="285"/>
      <c r="CP4" s="285"/>
      <c r="CQ4" s="285"/>
      <c r="CR4" s="285"/>
      <c r="CS4" s="285"/>
      <c r="CU4" s="285"/>
      <c r="CV4" s="285"/>
      <c r="CW4" s="285"/>
      <c r="CX4" s="375"/>
      <c r="CY4" s="474"/>
      <c r="CZ4" s="375"/>
      <c r="DA4" s="375"/>
      <c r="DB4" s="375"/>
      <c r="DC4" s="985"/>
      <c r="DD4" s="474"/>
      <c r="DE4" s="375"/>
      <c r="DF4" s="375"/>
      <c r="DG4" s="375"/>
      <c r="DH4" s="375"/>
      <c r="DI4" s="984"/>
      <c r="DJ4" s="985"/>
      <c r="DK4" s="983"/>
      <c r="DL4" s="985"/>
      <c r="DM4" s="985"/>
      <c r="DO4" s="285"/>
      <c r="DP4" s="285"/>
      <c r="DQ4" s="285"/>
      <c r="DR4" s="285"/>
      <c r="DT4" s="285"/>
      <c r="DU4" s="285"/>
      <c r="DV4" s="285"/>
      <c r="DW4" s="285"/>
      <c r="DY4" s="285"/>
      <c r="DZ4" s="285"/>
      <c r="EA4" s="285"/>
      <c r="EB4" s="285"/>
      <c r="ED4" s="285"/>
      <c r="EE4" s="285"/>
      <c r="EF4" s="285"/>
      <c r="EG4" s="285"/>
      <c r="EI4" s="285"/>
      <c r="EJ4" s="285"/>
      <c r="EK4" s="285"/>
      <c r="EL4" s="285"/>
      <c r="EN4" s="285"/>
      <c r="EO4" s="285"/>
      <c r="EP4" s="285"/>
      <c r="EQ4" s="285"/>
      <c r="ES4" s="285"/>
      <c r="ET4" s="285"/>
      <c r="EU4" s="285"/>
      <c r="EV4" s="1587"/>
      <c r="EX4" s="285"/>
      <c r="EY4" s="285"/>
      <c r="EZ4" s="285"/>
      <c r="FA4" s="285"/>
      <c r="FC4" s="285"/>
      <c r="FD4" s="285"/>
      <c r="FE4" s="285"/>
      <c r="FF4" s="285"/>
      <c r="FH4" s="285"/>
      <c r="FI4" s="285"/>
      <c r="FJ4" s="285"/>
      <c r="FK4" s="285"/>
      <c r="FM4" s="285"/>
      <c r="FN4" s="285"/>
      <c r="FO4" s="285"/>
      <c r="FP4" s="285"/>
      <c r="FR4" s="285"/>
      <c r="FS4" s="285"/>
      <c r="FT4" s="285"/>
      <c r="FU4" s="285"/>
      <c r="FW4" s="285"/>
      <c r="FX4" s="285"/>
      <c r="FY4" s="285"/>
      <c r="FZ4" s="285"/>
      <c r="GB4" s="285"/>
      <c r="GC4" s="285"/>
      <c r="GD4" s="285"/>
      <c r="GE4" s="285"/>
      <c r="GG4" s="285"/>
      <c r="GH4" s="285"/>
      <c r="GI4" s="285"/>
      <c r="GJ4" s="285"/>
    </row>
    <row r="5" spans="1:192" ht="12.75" customHeight="1">
      <c r="C5" s="286"/>
      <c r="D5" s="287"/>
      <c r="E5" s="287"/>
      <c r="G5" s="287"/>
      <c r="H5" s="286"/>
      <c r="I5" s="287"/>
      <c r="J5" s="287"/>
      <c r="L5" s="285"/>
      <c r="M5" s="286"/>
      <c r="N5" s="287"/>
      <c r="O5" s="287"/>
      <c r="Q5" s="285"/>
      <c r="R5" s="286"/>
      <c r="S5" s="287"/>
      <c r="T5" s="287"/>
      <c r="V5" s="285"/>
      <c r="W5" s="286"/>
      <c r="X5" s="287"/>
      <c r="Y5" s="287"/>
      <c r="AA5" s="285"/>
      <c r="AB5" s="286"/>
      <c r="AC5" s="287"/>
      <c r="AD5" s="287"/>
      <c r="AF5" s="285"/>
      <c r="AG5" s="286"/>
      <c r="AH5" s="287"/>
      <c r="AI5" s="287"/>
      <c r="AK5" s="285"/>
      <c r="AL5" s="286"/>
      <c r="AM5" s="287"/>
      <c r="AN5" s="287"/>
      <c r="AP5" s="285"/>
      <c r="AQ5" s="286"/>
      <c r="AR5" s="287"/>
      <c r="AS5" s="287"/>
      <c r="AU5" s="285"/>
      <c r="AV5" s="286"/>
      <c r="AW5" s="287"/>
      <c r="AX5" s="287"/>
      <c r="AZ5" s="287"/>
      <c r="BA5" s="286"/>
      <c r="BB5" s="287"/>
      <c r="BC5" s="287"/>
      <c r="BE5" s="285"/>
      <c r="BF5" s="286"/>
      <c r="BG5" s="287"/>
      <c r="BH5" s="287"/>
      <c r="BJ5" s="285"/>
      <c r="BK5" s="286"/>
      <c r="BL5" s="287"/>
      <c r="BM5" s="287"/>
      <c r="BO5" s="285"/>
      <c r="BP5" s="286"/>
      <c r="BQ5" s="287"/>
      <c r="BR5" s="287"/>
      <c r="BT5" s="285"/>
      <c r="BU5" s="286"/>
      <c r="BV5" s="287"/>
      <c r="BW5" s="287"/>
      <c r="BY5" s="285"/>
      <c r="BZ5" s="286"/>
      <c r="CA5" s="287"/>
      <c r="CB5" s="287"/>
      <c r="CD5" s="285"/>
      <c r="CE5" s="286"/>
      <c r="CF5" s="287"/>
      <c r="CG5" s="287"/>
      <c r="CI5" s="285"/>
      <c r="CJ5" s="286"/>
      <c r="CK5" s="287"/>
      <c r="CL5" s="287"/>
      <c r="CN5" s="285"/>
      <c r="CO5" s="286"/>
      <c r="CP5" s="287"/>
      <c r="CQ5" s="287"/>
      <c r="CS5" s="287"/>
      <c r="CT5" s="350"/>
      <c r="CU5" s="351"/>
      <c r="CV5" s="351"/>
      <c r="CW5" s="351"/>
      <c r="CX5" s="375"/>
      <c r="CY5" s="350"/>
      <c r="CZ5" s="351"/>
      <c r="DA5" s="351"/>
      <c r="DB5" s="475"/>
      <c r="DC5" s="1448"/>
      <c r="DD5" s="350"/>
      <c r="DE5" s="351"/>
      <c r="DF5" s="351"/>
      <c r="DG5" s="351"/>
      <c r="DH5" s="375"/>
      <c r="DI5" s="350"/>
      <c r="DJ5" s="351"/>
      <c r="DK5" s="351"/>
      <c r="DL5" s="351"/>
      <c r="DM5" s="1448"/>
      <c r="DO5" s="285"/>
      <c r="DP5" s="285"/>
      <c r="DQ5" s="285"/>
      <c r="DR5" s="285"/>
      <c r="DT5" s="285"/>
      <c r="DU5" s="285"/>
      <c r="DV5" s="285"/>
      <c r="DW5" s="285"/>
      <c r="DY5" s="285"/>
      <c r="DZ5" s="285"/>
      <c r="EA5" s="285"/>
      <c r="EB5" s="285"/>
      <c r="ED5" s="285"/>
      <c r="EE5" s="285"/>
      <c r="EF5" s="285"/>
      <c r="EG5" s="285"/>
      <c r="EH5" s="286"/>
      <c r="EI5" s="287"/>
      <c r="EJ5" s="287"/>
      <c r="EL5" s="285"/>
      <c r="EM5" s="286"/>
      <c r="EN5" s="287"/>
      <c r="EO5" s="287"/>
      <c r="EQ5" s="285"/>
      <c r="ER5" s="286"/>
      <c r="ES5" s="287"/>
      <c r="ET5" s="287"/>
      <c r="EV5" s="285"/>
      <c r="EW5" s="286"/>
      <c r="EX5" s="287"/>
      <c r="EY5" s="287"/>
      <c r="EZ5" s="285"/>
      <c r="FA5" s="285"/>
      <c r="FC5" s="285"/>
      <c r="FD5" s="285"/>
      <c r="FE5" s="285"/>
      <c r="FF5" s="285"/>
      <c r="FH5" s="285"/>
      <c r="FI5" s="285"/>
      <c r="FJ5" s="285"/>
      <c r="FK5" s="285"/>
      <c r="FM5" s="285"/>
      <c r="FN5" s="285"/>
      <c r="FO5" s="285"/>
      <c r="FP5" s="285"/>
      <c r="FR5" s="285"/>
      <c r="FS5" s="285"/>
      <c r="FT5" s="285"/>
      <c r="FU5" s="285"/>
      <c r="FW5" s="285"/>
      <c r="FX5" s="285"/>
      <c r="FY5" s="285"/>
      <c r="FZ5" s="285"/>
      <c r="GB5" s="285"/>
      <c r="GC5" s="285"/>
      <c r="GD5" s="285"/>
      <c r="GE5" s="285"/>
      <c r="GG5" s="285"/>
      <c r="GH5" s="285"/>
      <c r="GI5" s="285"/>
      <c r="GJ5" s="285"/>
    </row>
    <row r="6" spans="1:192" ht="12.75" customHeight="1">
      <c r="C6" s="47" t="str">
        <f>Dates!C3</f>
      </c>
      <c r="D6" s="47"/>
      <c r="E6" s="47"/>
      <c r="F6" s="47"/>
      <c r="G6" s="93"/>
      <c r="H6" s="47" t="str">
        <f>Dates!H3</f>
      </c>
      <c r="I6" s="47"/>
      <c r="J6" s="47"/>
      <c r="K6" s="47"/>
      <c r="L6" s="93"/>
      <c r="M6" s="47" t="str">
        <f>Dates!M3</f>
      </c>
      <c r="N6" s="47"/>
      <c r="O6" s="47"/>
      <c r="P6" s="47"/>
      <c r="Q6" s="93"/>
      <c r="R6" s="47" t="str">
        <f>Dates!R3</f>
      </c>
      <c r="S6" s="47"/>
      <c r="T6" s="47"/>
      <c r="U6" s="47"/>
      <c r="V6" s="93"/>
      <c r="W6" s="47" t="str">
        <f>Dates!W3</f>
      </c>
      <c r="X6" s="47"/>
      <c r="Y6" s="47"/>
      <c r="Z6" s="47"/>
      <c r="AA6" s="93"/>
      <c r="AB6" s="47" t="str">
        <f>Dates!AB3</f>
      </c>
      <c r="AC6" s="47"/>
      <c r="AD6" s="47"/>
      <c r="AE6" s="47"/>
      <c r="AF6" s="93"/>
      <c r="AG6" s="47" t="str">
        <f>Dates!AG3</f>
      </c>
      <c r="AH6" s="47"/>
      <c r="AI6" s="47"/>
      <c r="AJ6" s="47"/>
      <c r="AK6" s="93"/>
      <c r="AL6" s="47" t="str">
        <f>Dates!AL3</f>
      </c>
      <c r="AM6" s="47"/>
      <c r="AN6" s="47"/>
      <c r="AO6" s="47"/>
      <c r="AP6" s="93"/>
      <c r="AQ6" s="47" t="str">
        <f>Dates!AQ3</f>
      </c>
      <c r="AR6" s="47"/>
      <c r="AS6" s="47"/>
      <c r="AT6" s="47"/>
      <c r="AU6" s="93"/>
      <c r="AV6" s="47" t="str">
        <f>Dates!AV3</f>
      </c>
      <c r="AW6" s="47"/>
      <c r="AX6" s="47"/>
      <c r="AY6" s="47"/>
      <c r="AZ6" s="93"/>
      <c r="BA6" s="47" t="str">
        <f>Dates!BA3</f>
      </c>
      <c r="BB6" s="47"/>
      <c r="BC6" s="47"/>
      <c r="BD6" s="47"/>
      <c r="BE6" s="93"/>
      <c r="BF6" s="47" t="str">
        <f>Dates!BF3</f>
      </c>
      <c r="BG6" s="47"/>
      <c r="BH6" s="47"/>
      <c r="BI6" s="47"/>
      <c r="BJ6" s="93"/>
      <c r="BK6" s="47" t="str">
        <f>Dates!BK3</f>
      </c>
      <c r="BL6" s="47"/>
      <c r="BM6" s="47"/>
      <c r="BN6" s="47"/>
      <c r="BO6" s="93"/>
      <c r="BP6" s="47" t="str">
        <f>Dates!BP3</f>
      </c>
      <c r="BQ6" s="47"/>
      <c r="BR6" s="47"/>
      <c r="BS6" s="47"/>
      <c r="BT6" s="93"/>
      <c r="BU6" s="47" t="str">
        <f>Dates!BU3</f>
      </c>
      <c r="BV6" s="47"/>
      <c r="BW6" s="47"/>
      <c r="BX6" s="47"/>
      <c r="BY6" s="93"/>
      <c r="BZ6" s="47" t="str">
        <f>Dates!BZ3</f>
      </c>
      <c r="CA6" s="47"/>
      <c r="CB6" s="47"/>
      <c r="CC6" s="47"/>
      <c r="CD6" s="93"/>
      <c r="CE6" s="47" t="str">
        <f>Dates!CE3</f>
      </c>
      <c r="CF6" s="47"/>
      <c r="CG6" s="47"/>
      <c r="CH6" s="47"/>
      <c r="CI6" s="93"/>
      <c r="CJ6" s="47" t="str">
        <f>Dates!CJ3</f>
      </c>
      <c r="CK6" s="47"/>
      <c r="CL6" s="47"/>
      <c r="CM6" s="47"/>
      <c r="CN6" s="93"/>
      <c r="CO6" s="47" t="str">
        <f>Dates!CO3</f>
      </c>
      <c r="CP6" s="47"/>
      <c r="CQ6" s="47"/>
      <c r="CR6" s="47"/>
      <c r="CS6" s="93"/>
      <c r="CT6" s="47" t="str">
        <f>Dates!CT3</f>
      </c>
      <c r="CU6" s="47"/>
      <c r="CV6" s="47"/>
      <c r="CW6" s="47"/>
      <c r="CX6" s="643"/>
      <c r="CY6" s="977"/>
      <c r="CZ6" s="977"/>
      <c r="DA6" s="977"/>
      <c r="DB6" s="977"/>
      <c r="DC6" s="643"/>
      <c r="DD6" s="977"/>
      <c r="DE6" s="977"/>
      <c r="DF6" s="977"/>
      <c r="DG6" s="977"/>
      <c r="DH6" s="643"/>
      <c r="DI6" s="977"/>
      <c r="DJ6" s="977"/>
      <c r="DK6" s="977"/>
      <c r="DL6" s="977"/>
      <c r="DM6" s="643"/>
      <c r="DN6" s="47" t="str">
        <f>Dates!DN3</f>
      </c>
      <c r="DO6" s="47"/>
      <c r="DP6" s="47"/>
      <c r="DQ6" s="47"/>
      <c r="DR6" s="93"/>
      <c r="DS6" s="47" t="str">
        <f>Dates!DS3</f>
      </c>
      <c r="DT6" s="47"/>
      <c r="DU6" s="47"/>
      <c r="DV6" s="47"/>
      <c r="DW6" s="93"/>
      <c r="DX6" s="47" t="str">
        <f>Dates!DX3</f>
      </c>
      <c r="DY6" s="47"/>
      <c r="DZ6" s="47"/>
      <c r="EA6" s="47"/>
      <c r="EB6" s="93"/>
      <c r="EC6" s="47" t="str">
        <f>Dates!EC3</f>
      </c>
      <c r="ED6" s="47"/>
      <c r="EE6" s="47"/>
      <c r="EF6" s="47"/>
      <c r="EG6" s="93"/>
      <c r="EH6" s="47" t="str">
        <f>Dates!EH3</f>
      </c>
      <c r="EI6" s="47"/>
      <c r="EJ6" s="47"/>
      <c r="EK6" s="47"/>
      <c r="EL6" s="93"/>
      <c r="EM6" s="47" t="str">
        <f>Dates!EM3</f>
      </c>
      <c r="EN6" s="47"/>
      <c r="EO6" s="47"/>
      <c r="EP6" s="47"/>
      <c r="EQ6" s="93"/>
      <c r="ER6" s="47" t="str">
        <f>Dates!ER3</f>
      </c>
      <c r="ES6" s="47"/>
      <c r="ET6" s="47"/>
      <c r="EU6" s="47"/>
      <c r="EV6" s="1277"/>
      <c r="EW6" s="47" t="str">
        <f>Dates!EW3</f>
      </c>
      <c r="EX6" s="47"/>
      <c r="EY6" s="47"/>
      <c r="EZ6" s="47"/>
      <c r="FA6" s="93"/>
      <c r="FB6" s="47" t="str">
        <f>Dates!FB3</f>
      </c>
      <c r="FC6" s="47"/>
      <c r="FD6" s="47"/>
      <c r="FE6" s="47"/>
      <c r="FF6" s="93"/>
      <c r="FG6" s="47" t="str">
        <f>Dates!FG3</f>
      </c>
      <c r="FH6" s="47"/>
      <c r="FI6" s="47"/>
      <c r="FJ6" s="47"/>
      <c r="FK6" s="93"/>
      <c r="FL6" s="47" t="str">
        <f>Dates!FL3</f>
      </c>
      <c r="FM6" s="47"/>
      <c r="FN6" s="47"/>
      <c r="FO6" s="47"/>
      <c r="FP6" s="93"/>
      <c r="FQ6" s="47" t="str">
        <f>Dates!FQ3</f>
      </c>
      <c r="FR6" s="47"/>
      <c r="FS6" s="47"/>
      <c r="FT6" s="47"/>
      <c r="FU6" s="93"/>
      <c r="FV6" s="47" t="str">
        <f>Dates!FV3</f>
      </c>
      <c r="FW6" s="47"/>
      <c r="FX6" s="47"/>
      <c r="FY6" s="47"/>
      <c r="FZ6" s="93"/>
      <c r="GA6" s="47" t="str">
        <f>Dates!GA3</f>
      </c>
      <c r="GB6" s="47"/>
      <c r="GC6" s="47"/>
      <c r="GD6" s="47"/>
      <c r="GE6" s="93"/>
      <c r="GF6" s="47" t="str">
        <f>Dates!GF3</f>
      </c>
      <c r="GG6" s="47"/>
      <c r="GH6" s="47"/>
      <c r="GI6" s="47"/>
      <c r="GJ6" s="93"/>
    </row>
    <row r="7" spans="1:192" ht="12.75" customHeight="1">
      <c r="C7" s="96" t="str">
        <f>Dates!C4</f>
      </c>
      <c r="D7" s="96" t="str">
        <f>Dates!D4</f>
      </c>
      <c r="E7" s="96" t="str">
        <f>Dates!E4</f>
      </c>
      <c r="F7" s="96" t="str">
        <f>Dates!F4</f>
      </c>
      <c r="G7" s="97" t="str">
        <f>Dates!G4</f>
      </c>
      <c r="H7" s="96" t="str">
        <f>Dates!H4</f>
      </c>
      <c r="I7" s="96" t="str">
        <f>Dates!I4</f>
      </c>
      <c r="J7" s="96" t="str">
        <f>Dates!J4</f>
      </c>
      <c r="K7" s="96" t="str">
        <f>Dates!K4</f>
      </c>
      <c r="L7" s="97" t="str">
        <f>Dates!L4</f>
      </c>
      <c r="M7" s="96" t="str">
        <f>Dates!M4</f>
      </c>
      <c r="N7" s="96" t="str">
        <f>Dates!N4</f>
      </c>
      <c r="O7" s="96" t="str">
        <f>Dates!O4</f>
      </c>
      <c r="P7" s="96" t="str">
        <f>Dates!P4</f>
      </c>
      <c r="Q7" s="97" t="str">
        <f>Dates!Q4</f>
      </c>
      <c r="R7" s="96" t="str">
        <f>Dates!R4</f>
      </c>
      <c r="S7" s="96" t="str">
        <f>Dates!S4</f>
      </c>
      <c r="T7" s="96" t="str">
        <f>Dates!T4</f>
      </c>
      <c r="U7" s="96" t="str">
        <f>Dates!U4</f>
      </c>
      <c r="V7" s="97" t="str">
        <f>Dates!V4</f>
      </c>
      <c r="W7" s="96" t="str">
        <f>Dates!W4</f>
      </c>
      <c r="X7" s="96" t="str">
        <f>Dates!X4</f>
      </c>
      <c r="Y7" s="96" t="str">
        <f>Dates!Y4</f>
      </c>
      <c r="Z7" s="96" t="str">
        <f>Dates!Z4</f>
      </c>
      <c r="AA7" s="97" t="str">
        <f>Dates!AA4</f>
      </c>
      <c r="AB7" s="96" t="str">
        <f>Dates!AB4</f>
      </c>
      <c r="AC7" s="96" t="str">
        <f>Dates!AC4</f>
      </c>
      <c r="AD7" s="96" t="str">
        <f>Dates!AD4</f>
      </c>
      <c r="AE7" s="96" t="str">
        <f>Dates!AE4</f>
      </c>
      <c r="AF7" s="97" t="str">
        <f>Dates!AF4</f>
      </c>
      <c r="AG7" s="96" t="str">
        <f>Dates!AG4</f>
      </c>
      <c r="AH7" s="96" t="str">
        <f>Dates!AH4</f>
      </c>
      <c r="AI7" s="96" t="str">
        <f>Dates!AI4</f>
      </c>
      <c r="AJ7" s="96" t="str">
        <f>Dates!AJ4</f>
      </c>
      <c r="AK7" s="97" t="str">
        <f>Dates!AK4</f>
      </c>
      <c r="AL7" s="96" t="str">
        <f>Dates!AL4</f>
      </c>
      <c r="AM7" s="96" t="str">
        <f>Dates!AM4</f>
      </c>
      <c r="AN7" s="96" t="str">
        <f>Dates!AN4</f>
      </c>
      <c r="AO7" s="96" t="str">
        <f>Dates!AO4</f>
      </c>
      <c r="AP7" s="97" t="str">
        <f>Dates!AP4</f>
      </c>
      <c r="AQ7" s="96" t="str">
        <f>Dates!AQ4</f>
      </c>
      <c r="AR7" s="96" t="str">
        <f>Dates!AR4</f>
      </c>
      <c r="AS7" s="96" t="str">
        <f>Dates!AS4</f>
      </c>
      <c r="AT7" s="96" t="str">
        <f>Dates!AT4</f>
      </c>
      <c r="AU7" s="97" t="str">
        <f>Dates!AU4</f>
      </c>
      <c r="AV7" s="96" t="str">
        <f>Dates!AV4</f>
      </c>
      <c r="AW7" s="96" t="str">
        <f>Dates!AW4</f>
      </c>
      <c r="AX7" s="96" t="str">
        <f>Dates!AX4</f>
      </c>
      <c r="AY7" s="96" t="str">
        <f>Dates!AY4</f>
      </c>
      <c r="AZ7" s="97" t="str">
        <f>Dates!AZ4</f>
      </c>
      <c r="BA7" s="96" t="str">
        <f>Dates!BA4</f>
      </c>
      <c r="BB7" s="96" t="str">
        <f>Dates!BB4</f>
      </c>
      <c r="BC7" s="96" t="str">
        <f>Dates!BC4</f>
      </c>
      <c r="BD7" s="96" t="str">
        <f>Dates!BD4</f>
      </c>
      <c r="BE7" s="97" t="str">
        <f>Dates!BE4</f>
      </c>
      <c r="BF7" s="96" t="str">
        <f>Dates!BF4</f>
      </c>
      <c r="BG7" s="96" t="str">
        <f>Dates!BG4</f>
      </c>
      <c r="BH7" s="96" t="str">
        <f>Dates!BH4</f>
      </c>
      <c r="BI7" s="96" t="str">
        <f>Dates!BI4</f>
      </c>
      <c r="BJ7" s="97" t="str">
        <f>Dates!BJ4</f>
      </c>
      <c r="BK7" s="96" t="str">
        <f>Dates!BK4</f>
      </c>
      <c r="BL7" s="96" t="str">
        <f>Dates!BL4</f>
      </c>
      <c r="BM7" s="96" t="str">
        <f>Dates!BM4</f>
      </c>
      <c r="BN7" s="96" t="str">
        <f>Dates!BN4</f>
      </c>
      <c r="BO7" s="97" t="str">
        <f>Dates!BO4</f>
      </c>
      <c r="BP7" s="96" t="str">
        <f>Dates!BP4</f>
      </c>
      <c r="BQ7" s="96" t="str">
        <f>Dates!BQ4</f>
      </c>
      <c r="BR7" s="96" t="str">
        <f>Dates!BR4</f>
      </c>
      <c r="BS7" s="96" t="str">
        <f>Dates!BS4</f>
      </c>
      <c r="BT7" s="97" t="str">
        <f>Dates!BT4</f>
      </c>
      <c r="BU7" s="96" t="str">
        <f>Dates!BU4</f>
      </c>
      <c r="BV7" s="96" t="str">
        <f>Dates!BV4</f>
      </c>
      <c r="BW7" s="96" t="str">
        <f>Dates!BW4</f>
      </c>
      <c r="BX7" s="96" t="str">
        <f>Dates!BX4</f>
      </c>
      <c r="BY7" s="97" t="str">
        <f>Dates!BY4</f>
      </c>
      <c r="BZ7" s="96" t="str">
        <f>Dates!BZ4</f>
      </c>
      <c r="CA7" s="96" t="str">
        <f>Dates!CA4</f>
      </c>
      <c r="CB7" s="96" t="str">
        <f>Dates!CB4</f>
      </c>
      <c r="CC7" s="96" t="str">
        <f>Dates!CC4</f>
      </c>
      <c r="CD7" s="97" t="str">
        <f>Dates!CD4</f>
      </c>
      <c r="CE7" s="96" t="str">
        <f>Dates!CE4</f>
      </c>
      <c r="CF7" s="96" t="str">
        <f>Dates!CF4</f>
      </c>
      <c r="CG7" s="96" t="str">
        <f>Dates!CG4</f>
      </c>
      <c r="CH7" s="96" t="str">
        <f>Dates!CH4</f>
      </c>
      <c r="CI7" s="97" t="str">
        <f>Dates!CI4</f>
      </c>
      <c r="CJ7" s="96" t="str">
        <f>Dates!CJ4</f>
      </c>
      <c r="CK7" s="96" t="str">
        <f>Dates!CK4</f>
      </c>
      <c r="CL7" s="96" t="str">
        <f>Dates!CL4</f>
      </c>
      <c r="CM7" s="96" t="str">
        <f>Dates!CM4</f>
      </c>
      <c r="CN7" s="97" t="str">
        <f>Dates!CN4</f>
      </c>
      <c r="CO7" s="96" t="str">
        <f>Dates!CO4</f>
      </c>
      <c r="CP7" s="96" t="str">
        <f>Dates!CP4</f>
      </c>
      <c r="CQ7" s="96" t="str">
        <f>Dates!CQ4</f>
      </c>
      <c r="CR7" s="96" t="str">
        <f>Dates!CR4</f>
      </c>
      <c r="CS7" s="97" t="str">
        <f>Dates!CS4</f>
      </c>
      <c r="CT7" s="96" t="str">
        <f>Dates!CT4</f>
      </c>
      <c r="CU7" s="96" t="str">
        <f>Dates!CU4</f>
      </c>
      <c r="CV7" s="96" t="str">
        <f>Dates!CV4</f>
      </c>
      <c r="CW7" s="96" t="str">
        <f>Dates!CW4</f>
      </c>
      <c r="CX7" s="97" t="str">
        <f>Dates!CX4</f>
      </c>
      <c r="CY7" s="96" t="str">
        <f>Dates!CY4</f>
      </c>
      <c r="CZ7" s="96" t="str">
        <f>Dates!CZ4</f>
      </c>
      <c r="DA7" s="96" t="str">
        <f>Dates!DA4</f>
      </c>
      <c r="DB7" s="96" t="str">
        <f>Dates!DB4</f>
      </c>
      <c r="DC7" s="97" t="str">
        <f>Dates!DC4</f>
      </c>
      <c r="DD7" s="96" t="str">
        <f>Dates!DD4</f>
      </c>
      <c r="DE7" s="96" t="str">
        <f>Dates!DE4</f>
      </c>
      <c r="DF7" s="96" t="str">
        <f>Dates!DF4</f>
      </c>
      <c r="DG7" s="96" t="str">
        <f>Dates!DG4</f>
      </c>
      <c r="DH7" s="97" t="str">
        <f>Dates!DH4</f>
      </c>
      <c r="DI7" s="96" t="str">
        <f>Dates!DI4</f>
      </c>
      <c r="DJ7" s="96" t="str">
        <f>Dates!DJ4</f>
      </c>
      <c r="DK7" s="96" t="str">
        <f>Dates!DK4</f>
      </c>
      <c r="DL7" s="96" t="str">
        <f>Dates!DL4</f>
      </c>
      <c r="DM7" s="97" t="str">
        <f>Dates!DM4</f>
      </c>
      <c r="DN7" s="96" t="str">
        <f>Dates!DN4</f>
      </c>
      <c r="DO7" s="96" t="str">
        <f>Dates!DO4</f>
      </c>
      <c r="DP7" s="96" t="str">
        <f>Dates!DP4</f>
      </c>
      <c r="DQ7" s="96" t="str">
        <f>Dates!DQ4</f>
      </c>
      <c r="DR7" s="97" t="str">
        <f>Dates!DR4</f>
      </c>
      <c r="DS7" s="96" t="str">
        <f>Dates!DS4</f>
      </c>
      <c r="DT7" s="96" t="str">
        <f>Dates!DT4</f>
      </c>
      <c r="DU7" s="96" t="str">
        <f>Dates!DU4</f>
      </c>
      <c r="DV7" s="96" t="str">
        <f>Dates!DV4</f>
      </c>
      <c r="DW7" s="97" t="str">
        <f>Dates!DW4</f>
      </c>
      <c r="DX7" s="96" t="str">
        <f>Dates!DX4</f>
      </c>
      <c r="DY7" s="96" t="str">
        <f>Dates!DY4</f>
      </c>
      <c r="DZ7" s="96" t="str">
        <f>Dates!DZ4</f>
      </c>
      <c r="EA7" s="96" t="str">
        <f>Dates!EA4</f>
      </c>
      <c r="EB7" s="97" t="str">
        <f>Dates!EB4</f>
      </c>
      <c r="EC7" s="96" t="str">
        <f>Dates!EC4</f>
      </c>
      <c r="ED7" s="96" t="str">
        <f>Dates!ED4</f>
      </c>
      <c r="EE7" s="96" t="str">
        <f>Dates!EE4</f>
      </c>
      <c r="EF7" s="96" t="str">
        <f>Dates!EF4</f>
      </c>
      <c r="EG7" s="97" t="str">
        <f>Dates!EG4</f>
      </c>
      <c r="EH7" s="96" t="str">
        <f>Dates!EH4</f>
      </c>
      <c r="EI7" s="96" t="str">
        <f>Dates!EI4</f>
      </c>
      <c r="EJ7" s="96" t="str">
        <f>Dates!EJ4</f>
      </c>
      <c r="EK7" s="96" t="str">
        <f>Dates!EK4</f>
      </c>
      <c r="EL7" s="97" t="str">
        <f>Dates!EL4</f>
      </c>
      <c r="EM7" s="96" t="str">
        <f>Dates!EM4</f>
      </c>
      <c r="EN7" s="96" t="str">
        <f>Dates!EN4</f>
      </c>
      <c r="EO7" s="96" t="str">
        <f>Dates!EO4</f>
      </c>
      <c r="EP7" s="96" t="str">
        <f>Dates!EP4</f>
      </c>
      <c r="EQ7" s="97" t="str">
        <f>Dates!EQ4</f>
      </c>
      <c r="ER7" s="96" t="str">
        <f>Dates!ER4</f>
      </c>
      <c r="ES7" s="96" t="str">
        <f>Dates!ES4</f>
      </c>
      <c r="ET7" s="96" t="str">
        <f>Dates!ET4</f>
      </c>
      <c r="EU7" s="96" t="str">
        <f>Dates!EU4</f>
      </c>
      <c r="EV7" s="97" t="str">
        <f>Dates!EV4</f>
      </c>
      <c r="EW7" s="96" t="str">
        <f>Dates!EW4</f>
      </c>
      <c r="EX7" s="96" t="str">
        <f>Dates!EX4</f>
      </c>
      <c r="EY7" s="96" t="str">
        <f>Dates!EY4</f>
      </c>
      <c r="EZ7" s="96" t="str">
        <f>Dates!EZ4</f>
      </c>
      <c r="FA7" s="97" t="str">
        <f>Dates!FA4</f>
      </c>
      <c r="FB7" s="96" t="str">
        <f>Dates!FB4</f>
      </c>
      <c r="FC7" s="96" t="str">
        <f>Dates!FC4</f>
      </c>
      <c r="FD7" s="96" t="str">
        <f>Dates!FD4</f>
      </c>
      <c r="FE7" s="96" t="str">
        <f>Dates!FE4</f>
      </c>
      <c r="FF7" s="97" t="str">
        <f>Dates!FF4</f>
      </c>
      <c r="FG7" s="96" t="str">
        <f>Dates!FG4</f>
      </c>
      <c r="FH7" s="96" t="str">
        <f>Dates!FH4</f>
      </c>
      <c r="FI7" s="96" t="str">
        <f>Dates!FI4</f>
      </c>
      <c r="FJ7" s="96" t="str">
        <f>Dates!FJ4</f>
      </c>
      <c r="FK7" s="97" t="str">
        <f>Dates!FK4</f>
      </c>
      <c r="FL7" s="96" t="str">
        <f>Dates!FL4</f>
      </c>
      <c r="FM7" s="96" t="str">
        <f>Dates!FM4</f>
      </c>
      <c r="FN7" s="96" t="str">
        <f>Dates!FN4</f>
      </c>
      <c r="FO7" s="96" t="str">
        <f>Dates!FO4</f>
      </c>
      <c r="FP7" s="97" t="str">
        <f>Dates!FP4</f>
      </c>
      <c r="FQ7" s="96" t="str">
        <f>Dates!FQ4</f>
      </c>
      <c r="FR7" s="96" t="str">
        <f>Dates!FR4</f>
      </c>
      <c r="FS7" s="96" t="str">
        <f>Dates!FS4</f>
      </c>
      <c r="FT7" s="96" t="str">
        <f>Dates!FT4</f>
      </c>
      <c r="FU7" s="97" t="str">
        <f>Dates!FU4</f>
      </c>
      <c r="FV7" s="96" t="str">
        <f>Dates!FV4</f>
      </c>
      <c r="FW7" s="96" t="str">
        <f>Dates!FW4</f>
      </c>
      <c r="FX7" s="96" t="str">
        <f>Dates!FX4</f>
      </c>
      <c r="FY7" s="96" t="str">
        <f>Dates!FY4</f>
      </c>
      <c r="FZ7" s="97" t="str">
        <f>Dates!FZ4</f>
      </c>
      <c r="GA7" s="96" t="str">
        <f>Dates!GA4</f>
      </c>
      <c r="GB7" s="96" t="str">
        <f>Dates!GB4</f>
      </c>
      <c r="GC7" s="96" t="str">
        <f>Dates!GC4</f>
      </c>
      <c r="GD7" s="96" t="str">
        <f>Dates!GD4</f>
      </c>
      <c r="GE7" s="97" t="str">
        <f>Dates!GE4</f>
      </c>
      <c r="GF7" s="96" t="str">
        <f>Dates!GF4</f>
      </c>
      <c r="GG7" s="96" t="str">
        <f>Dates!GG4</f>
      </c>
      <c r="GH7" s="96" t="str">
        <f>Dates!GH4</f>
      </c>
      <c r="GI7" s="96" t="str">
        <f>Dates!GI4</f>
      </c>
      <c r="GJ7" s="97" t="str">
        <f>Dates!GJ4</f>
      </c>
    </row>
    <row r="8" spans="1:192" ht="12.75" customHeight="1">
      <c r="C8" s="98">
        <f>Dates!C5</f>
      </c>
      <c r="D8" s="98">
        <f>Dates!D5</f>
      </c>
      <c r="E8" s="98">
        <f>Dates!E5</f>
      </c>
      <c r="F8" s="98">
        <f>Dates!F5</f>
      </c>
      <c r="G8" s="99">
        <f>Dates!G5</f>
      </c>
      <c r="H8" s="98">
        <f>Dates!H5</f>
      </c>
      <c r="I8" s="98">
        <f>Dates!I5</f>
      </c>
      <c r="J8" s="98">
        <f>Dates!J5</f>
      </c>
      <c r="K8" s="98">
        <f>Dates!K5</f>
      </c>
      <c r="L8" s="99">
        <f>Dates!L5</f>
      </c>
      <c r="M8" s="98">
        <f>Dates!M5</f>
      </c>
      <c r="N8" s="98">
        <f>Dates!N5</f>
      </c>
      <c r="O8" s="98">
        <f>Dates!O5</f>
      </c>
      <c r="P8" s="98">
        <f>Dates!P5</f>
      </c>
      <c r="Q8" s="99">
        <f>Dates!Q5</f>
      </c>
      <c r="R8" s="98">
        <f>Dates!R5</f>
      </c>
      <c r="S8" s="98">
        <f>Dates!S5</f>
      </c>
      <c r="T8" s="98">
        <f>Dates!T5</f>
      </c>
      <c r="U8" s="98">
        <f>Dates!U5</f>
      </c>
      <c r="V8" s="99">
        <f>Dates!V5</f>
      </c>
      <c r="W8" s="98">
        <f>Dates!W5</f>
      </c>
      <c r="X8" s="98">
        <f>Dates!X5</f>
      </c>
      <c r="Y8" s="98">
        <f>Dates!Y5</f>
      </c>
      <c r="Z8" s="98">
        <f>Dates!Z5</f>
      </c>
      <c r="AA8" s="99">
        <f>Dates!AA5</f>
      </c>
      <c r="AB8" s="98">
        <f>Dates!AB5</f>
      </c>
      <c r="AC8" s="98">
        <f>Dates!AC5</f>
      </c>
      <c r="AD8" s="98">
        <f>Dates!AD5</f>
      </c>
      <c r="AE8" s="98">
        <f>Dates!AE5</f>
      </c>
      <c r="AF8" s="99">
        <f>Dates!AF5</f>
      </c>
      <c r="AG8" s="98">
        <f>Dates!AG5</f>
      </c>
      <c r="AH8" s="98">
        <f>Dates!AH5</f>
      </c>
      <c r="AI8" s="98">
        <f>Dates!AI5</f>
      </c>
      <c r="AJ8" s="98">
        <f>Dates!AJ5</f>
      </c>
      <c r="AK8" s="99">
        <f>Dates!AK5</f>
      </c>
      <c r="AL8" s="98">
        <f>Dates!AL5</f>
      </c>
      <c r="AM8" s="98">
        <f>Dates!AM5</f>
      </c>
      <c r="AN8" s="98">
        <f>Dates!AN5</f>
      </c>
      <c r="AO8" s="98">
        <f>Dates!AO5</f>
      </c>
      <c r="AP8" s="99">
        <f>Dates!AP5</f>
      </c>
      <c r="AQ8" s="98">
        <f>Dates!AQ5</f>
      </c>
      <c r="AR8" s="98">
        <f>Dates!AR5</f>
      </c>
      <c r="AS8" s="98">
        <f>Dates!AS5</f>
      </c>
      <c r="AT8" s="98">
        <f>Dates!AT5</f>
      </c>
      <c r="AU8" s="99">
        <f>Dates!AU5</f>
      </c>
      <c r="AV8" s="98">
        <f>Dates!AV5</f>
      </c>
      <c r="AW8" s="98">
        <f>Dates!AW5</f>
      </c>
      <c r="AX8" s="98">
        <f>Dates!AX5</f>
      </c>
      <c r="AY8" s="98">
        <f>Dates!AY5</f>
      </c>
      <c r="AZ8" s="99">
        <f>Dates!AZ5</f>
      </c>
      <c r="BA8" s="98">
        <f>Dates!BA5</f>
      </c>
      <c r="BB8" s="98">
        <f>Dates!BB5</f>
      </c>
      <c r="BC8" s="98">
        <f>Dates!BC5</f>
      </c>
      <c r="BD8" s="98">
        <f>Dates!BD5</f>
      </c>
      <c r="BE8" s="99">
        <f>Dates!BE5</f>
      </c>
      <c r="BF8" s="98">
        <f>Dates!BF5</f>
      </c>
      <c r="BG8" s="98">
        <f>Dates!BG5</f>
      </c>
      <c r="BH8" s="98">
        <f>Dates!BH5</f>
      </c>
      <c r="BI8" s="98">
        <f>Dates!BI5</f>
      </c>
      <c r="BJ8" s="99">
        <f>Dates!BJ5</f>
      </c>
      <c r="BK8" s="98">
        <f>Dates!BK5</f>
      </c>
      <c r="BL8" s="98">
        <f>Dates!BL5</f>
      </c>
      <c r="BM8" s="98">
        <f>Dates!BM5</f>
      </c>
      <c r="BN8" s="98">
        <f>Dates!BN5</f>
      </c>
      <c r="BO8" s="99">
        <f>Dates!BO5</f>
      </c>
      <c r="BP8" s="98">
        <f>Dates!BP5</f>
      </c>
      <c r="BQ8" s="98">
        <f>Dates!BQ5</f>
      </c>
      <c r="BR8" s="98">
        <f>Dates!BR5</f>
      </c>
      <c r="BS8" s="98">
        <f>Dates!BS5</f>
      </c>
      <c r="BT8" s="99">
        <f>Dates!BT5</f>
      </c>
      <c r="BU8" s="98">
        <f>Dates!BU5</f>
      </c>
      <c r="BV8" s="98">
        <f>Dates!BV5</f>
      </c>
      <c r="BW8" s="98">
        <f>Dates!BW5</f>
      </c>
      <c r="BX8" s="98">
        <f>Dates!BX5</f>
      </c>
      <c r="BY8" s="99">
        <f>Dates!BY5</f>
      </c>
      <c r="BZ8" s="98">
        <f>Dates!BZ5</f>
      </c>
      <c r="CA8" s="98">
        <f>Dates!CA5</f>
      </c>
      <c r="CB8" s="98">
        <f>Dates!CB5</f>
      </c>
      <c r="CC8" s="98">
        <f>Dates!CC5</f>
      </c>
      <c r="CD8" s="99">
        <f>Dates!CD5</f>
      </c>
      <c r="CE8" s="98">
        <f>Dates!CE5</f>
      </c>
      <c r="CF8" s="98">
        <f>Dates!CF5</f>
      </c>
      <c r="CG8" s="98">
        <f>Dates!CG5</f>
      </c>
      <c r="CH8" s="98">
        <f>Dates!CH5</f>
      </c>
      <c r="CI8" s="99">
        <f>Dates!CI5</f>
      </c>
      <c r="CJ8" s="98">
        <f>Dates!CJ5</f>
      </c>
      <c r="CK8" s="98">
        <f>Dates!CK5</f>
      </c>
      <c r="CL8" s="98">
        <f>Dates!CL5</f>
      </c>
      <c r="CM8" s="98">
        <f>Dates!CM5</f>
      </c>
      <c r="CN8" s="99">
        <f>Dates!CN5</f>
      </c>
      <c r="CO8" s="98">
        <f>Dates!CO5</f>
      </c>
      <c r="CP8" s="98">
        <f>Dates!CP5</f>
      </c>
      <c r="CQ8" s="98">
        <f>Dates!CQ5</f>
      </c>
      <c r="CR8" s="98">
        <f>Dates!CR5</f>
      </c>
      <c r="CS8" s="99">
        <f>Dates!CS5</f>
      </c>
      <c r="CT8" s="98">
        <f>Dates!CT5</f>
      </c>
      <c r="CU8" s="98">
        <f>Dates!CU5</f>
      </c>
      <c r="CV8" s="98">
        <f>Dates!CV5</f>
      </c>
      <c r="CW8" s="98">
        <f>Dates!CW5</f>
      </c>
      <c r="CX8" s="99">
        <f>Dates!CX5</f>
      </c>
      <c r="CY8" s="98">
        <f>Dates!CY5</f>
      </c>
      <c r="CZ8" s="98">
        <f>Dates!CZ5</f>
      </c>
      <c r="DA8" s="98">
        <f>Dates!DA5</f>
      </c>
      <c r="DB8" s="98">
        <f>Dates!DB5</f>
      </c>
      <c r="DC8" s="99">
        <f>Dates!DC5</f>
      </c>
      <c r="DD8" s="98">
        <f>Dates!DD5</f>
      </c>
      <c r="DE8" s="98">
        <f>Dates!DE5</f>
      </c>
      <c r="DF8" s="98">
        <f>Dates!DF5</f>
      </c>
      <c r="DG8" s="98">
        <f>Dates!DG5</f>
      </c>
      <c r="DH8" s="99">
        <f>Dates!DH5</f>
      </c>
      <c r="DI8" s="98">
        <f>Dates!DI5</f>
      </c>
      <c r="DJ8" s="98">
        <f>Dates!DJ5</f>
      </c>
      <c r="DK8" s="98">
        <f>Dates!DK5</f>
      </c>
      <c r="DL8" s="98">
        <f>Dates!DL5</f>
      </c>
      <c r="DM8" s="99">
        <f>Dates!DM5</f>
      </c>
      <c r="DN8" s="98">
        <f>Dates!DN5</f>
      </c>
      <c r="DO8" s="98">
        <f>Dates!DO5</f>
      </c>
      <c r="DP8" s="98">
        <f>Dates!DP5</f>
      </c>
      <c r="DQ8" s="98">
        <f>Dates!DQ5</f>
      </c>
      <c r="DR8" s="99">
        <f>Dates!DR5</f>
      </c>
      <c r="DS8" s="98">
        <f>Dates!DS5</f>
      </c>
      <c r="DT8" s="98">
        <f>Dates!DT5</f>
      </c>
      <c r="DU8" s="98">
        <f>Dates!DU5</f>
      </c>
      <c r="DV8" s="98">
        <f>Dates!DV5</f>
      </c>
      <c r="DW8" s="99">
        <f>Dates!DW5</f>
      </c>
      <c r="DX8" s="98">
        <f>Dates!DX5</f>
      </c>
      <c r="DY8" s="98">
        <f>Dates!DY5</f>
      </c>
      <c r="DZ8" s="98">
        <f>Dates!DZ5</f>
      </c>
      <c r="EA8" s="98">
        <f>Dates!EA5</f>
      </c>
      <c r="EB8" s="99">
        <f>Dates!EB5</f>
      </c>
      <c r="EC8" s="98">
        <f>Dates!EC5</f>
      </c>
      <c r="ED8" s="98">
        <f>Dates!ED5</f>
      </c>
      <c r="EE8" s="98">
        <f>Dates!EE5</f>
      </c>
      <c r="EF8" s="98">
        <f>Dates!EF5</f>
      </c>
      <c r="EG8" s="99">
        <f>Dates!EG5</f>
      </c>
      <c r="EH8" s="98">
        <f>Dates!EH5</f>
      </c>
      <c r="EI8" s="98">
        <f>Dates!EI5</f>
      </c>
      <c r="EJ8" s="98">
        <f>Dates!EJ5</f>
      </c>
      <c r="EK8" s="98">
        <f>Dates!EK5</f>
      </c>
      <c r="EL8" s="99">
        <f>Dates!EL5</f>
      </c>
      <c r="EM8" s="98">
        <f>Dates!EM5</f>
      </c>
      <c r="EN8" s="98">
        <f>Dates!EN5</f>
      </c>
      <c r="EO8" s="98">
        <f>Dates!EO5</f>
      </c>
      <c r="EP8" s="98">
        <f>Dates!EP5</f>
      </c>
      <c r="EQ8" s="99">
        <f>Dates!EQ5</f>
      </c>
      <c r="ER8" s="98">
        <f>Dates!ER5</f>
      </c>
      <c r="ES8" s="98">
        <f>Dates!ES5</f>
      </c>
      <c r="ET8" s="98">
        <f>Dates!ET5</f>
      </c>
      <c r="EU8" s="98">
        <f>Dates!EU5</f>
      </c>
      <c r="EV8" s="99">
        <f>Dates!EV5</f>
      </c>
      <c r="EW8" s="98">
        <f>Dates!EW5</f>
      </c>
      <c r="EX8" s="98">
        <f>Dates!EX5</f>
      </c>
      <c r="EY8" s="98">
        <f>Dates!EY5</f>
      </c>
      <c r="EZ8" s="98">
        <f>Dates!EZ5</f>
      </c>
      <c r="FA8" s="99">
        <f>Dates!FA5</f>
      </c>
      <c r="FB8" s="98">
        <f>Dates!FB5</f>
      </c>
      <c r="FC8" s="98">
        <f>Dates!FC5</f>
      </c>
      <c r="FD8" s="98">
        <f>Dates!FD5</f>
      </c>
      <c r="FE8" s="98">
        <f>Dates!FE5</f>
      </c>
      <c r="FF8" s="99">
        <f>Dates!FF5</f>
      </c>
      <c r="FG8" s="98">
        <f>Dates!FG5</f>
      </c>
      <c r="FH8" s="98">
        <f>Dates!FH5</f>
      </c>
      <c r="FI8" s="98">
        <f>Dates!FI5</f>
      </c>
      <c r="FJ8" s="98">
        <f>Dates!FJ5</f>
      </c>
      <c r="FK8" s="99">
        <f>Dates!FK5</f>
      </c>
      <c r="FL8" s="98">
        <f>Dates!FL5</f>
      </c>
      <c r="FM8" s="98">
        <f>Dates!FM5</f>
      </c>
      <c r="FN8" s="98">
        <f>Dates!FN5</f>
      </c>
      <c r="FO8" s="98">
        <f>Dates!FO5</f>
      </c>
      <c r="FP8" s="99">
        <f>Dates!FP5</f>
      </c>
      <c r="FQ8" s="98">
        <f>Dates!FQ5</f>
      </c>
      <c r="FR8" s="98">
        <f>Dates!FR5</f>
      </c>
      <c r="FS8" s="98">
        <f>Dates!FS5</f>
      </c>
      <c r="FT8" s="98">
        <f>Dates!FT5</f>
      </c>
      <c r="FU8" s="99">
        <f>Dates!FU5</f>
      </c>
      <c r="FV8" s="98">
        <f>Dates!FV5</f>
      </c>
      <c r="FW8" s="98">
        <f>Dates!FW5</f>
      </c>
      <c r="FX8" s="98">
        <f>Dates!FX5</f>
      </c>
      <c r="FY8" s="98">
        <f>Dates!FY5</f>
      </c>
      <c r="FZ8" s="99">
        <f>Dates!FZ5</f>
      </c>
      <c r="GA8" s="98">
        <f>Dates!GA5</f>
      </c>
      <c r="GB8" s="98">
        <f>Dates!GB5</f>
      </c>
      <c r="GC8" s="98">
        <f>Dates!GC5</f>
      </c>
      <c r="GD8" s="98">
        <f>Dates!GD5</f>
      </c>
      <c r="GE8" s="99">
        <f>Dates!GE5</f>
      </c>
      <c r="GF8" s="98">
        <f>Dates!GF5</f>
      </c>
      <c r="GG8" s="98">
        <f>Dates!GG5</f>
      </c>
      <c r="GH8" s="98">
        <f>Dates!GH5</f>
      </c>
      <c r="GI8" s="98">
        <f>Dates!GI5</f>
      </c>
      <c r="GJ8" s="99">
        <f>Dates!GJ5</f>
      </c>
    </row>
    <row r="9" spans="1:192" ht="12.75" customHeight="1">
      <c r="C9" s="289"/>
      <c r="D9" s="289"/>
      <c r="E9" s="289"/>
      <c r="F9" s="289"/>
      <c r="G9" s="290"/>
      <c r="H9" s="289"/>
      <c r="I9" s="289"/>
      <c r="J9" s="289"/>
      <c r="K9" s="289"/>
      <c r="L9" s="290"/>
      <c r="M9" s="289"/>
      <c r="N9" s="289"/>
      <c r="O9" s="289"/>
      <c r="P9" s="289"/>
      <c r="Q9" s="290"/>
      <c r="R9" s="289"/>
      <c r="S9" s="289"/>
      <c r="T9" s="289"/>
      <c r="U9" s="289"/>
      <c r="V9" s="290"/>
      <c r="W9" s="289"/>
      <c r="X9" s="289"/>
      <c r="Y9" s="289"/>
      <c r="Z9" s="289"/>
      <c r="AA9" s="290"/>
      <c r="AB9" s="289"/>
      <c r="AC9" s="289"/>
      <c r="AD9" s="289"/>
      <c r="AE9" s="289"/>
      <c r="AF9" s="290"/>
      <c r="AG9" s="289"/>
      <c r="AH9" s="289"/>
      <c r="AI9" s="289"/>
      <c r="AJ9" s="289"/>
      <c r="AK9" s="290"/>
      <c r="AL9" s="289"/>
      <c r="AM9" s="289"/>
      <c r="AN9" s="289"/>
      <c r="AO9" s="289"/>
      <c r="AP9" s="290"/>
      <c r="AQ9" s="289"/>
      <c r="AR9" s="289"/>
      <c r="AS9" s="289"/>
      <c r="AT9" s="289"/>
      <c r="AU9" s="290"/>
      <c r="AV9" s="289"/>
      <c r="AW9" s="289"/>
      <c r="AX9" s="289"/>
      <c r="AY9" s="289"/>
      <c r="AZ9" s="290"/>
      <c r="BA9" s="289"/>
      <c r="BB9" s="289"/>
      <c r="BC9" s="289"/>
      <c r="BD9" s="289"/>
      <c r="BE9" s="290"/>
      <c r="BF9" s="289"/>
      <c r="BG9" s="289"/>
      <c r="BH9" s="289"/>
      <c r="BI9" s="289"/>
      <c r="BJ9" s="290"/>
      <c r="BK9" s="289"/>
      <c r="BL9" s="289"/>
      <c r="BM9" s="289"/>
      <c r="BN9" s="289"/>
      <c r="BO9" s="290"/>
      <c r="BP9" s="289"/>
      <c r="BQ9" s="289"/>
      <c r="BR9" s="289"/>
      <c r="BS9" s="289"/>
      <c r="BT9" s="290"/>
      <c r="BU9" s="289"/>
      <c r="BV9" s="289"/>
      <c r="BW9" s="289"/>
      <c r="BX9" s="289"/>
      <c r="BY9" s="290"/>
      <c r="BZ9" s="289"/>
      <c r="CA9" s="289"/>
      <c r="CB9" s="289"/>
      <c r="CC9" s="289"/>
      <c r="CD9" s="290"/>
      <c r="CE9" s="289"/>
      <c r="CF9" s="289"/>
      <c r="CG9" s="289"/>
      <c r="CH9" s="289"/>
      <c r="CI9" s="290"/>
      <c r="CJ9" s="289"/>
      <c r="CK9" s="289"/>
      <c r="CL9" s="289"/>
      <c r="CM9" s="289"/>
      <c r="CN9" s="290"/>
      <c r="CO9" s="289"/>
      <c r="CP9" s="289"/>
      <c r="CQ9" s="289"/>
      <c r="CR9" s="289"/>
      <c r="CS9" s="290"/>
      <c r="CT9" s="289"/>
      <c r="CU9" s="289"/>
      <c r="CV9" s="289"/>
      <c r="CW9" s="289"/>
      <c r="CX9" s="290"/>
      <c r="CY9" s="289"/>
      <c r="CZ9" s="289"/>
      <c r="DA9" s="289"/>
      <c r="DB9" s="289"/>
      <c r="DC9" s="290"/>
      <c r="DD9" s="289"/>
      <c r="DE9" s="289"/>
      <c r="DF9" s="289"/>
      <c r="DG9" s="289"/>
      <c r="DH9" s="290"/>
      <c r="DI9" s="289"/>
      <c r="DJ9" s="289"/>
      <c r="DK9" s="289"/>
      <c r="DL9" s="289"/>
      <c r="DM9" s="290"/>
      <c r="DN9" s="289"/>
      <c r="DO9" s="289"/>
      <c r="DP9" s="289"/>
      <c r="DQ9" s="289"/>
      <c r="DR9" s="290"/>
      <c r="DS9" s="289"/>
      <c r="DT9" s="289"/>
      <c r="DU9" s="289"/>
      <c r="DV9" s="289"/>
      <c r="DW9" s="290"/>
      <c r="DX9" s="289"/>
      <c r="DY9" s="289"/>
      <c r="DZ9" s="289"/>
      <c r="EA9" s="289"/>
      <c r="EB9" s="290"/>
      <c r="EC9" s="289"/>
      <c r="ED9" s="289"/>
      <c r="EE9" s="289"/>
      <c r="EF9" s="289"/>
      <c r="EG9" s="290"/>
      <c r="EH9" s="289"/>
      <c r="EI9" s="289"/>
      <c r="EJ9" s="289"/>
      <c r="EK9" s="289"/>
      <c r="EL9" s="290"/>
      <c r="EM9" s="294"/>
      <c r="EN9" s="295"/>
      <c r="EO9" s="295"/>
      <c r="EP9" s="295"/>
      <c r="EQ9" s="296"/>
      <c r="ER9" s="294"/>
      <c r="ES9" s="295"/>
      <c r="ET9" s="295"/>
      <c r="EU9" s="295"/>
      <c r="EV9" s="296"/>
      <c r="EW9" s="289"/>
      <c r="EX9" s="289"/>
      <c r="EY9" s="289"/>
      <c r="EZ9" s="289"/>
      <c r="FA9" s="290"/>
      <c r="FB9" s="289"/>
      <c r="FC9" s="289"/>
      <c r="FD9" s="289"/>
      <c r="FE9" s="289"/>
      <c r="FF9" s="290"/>
      <c r="FG9" s="289"/>
      <c r="FH9" s="289"/>
      <c r="FI9" s="289"/>
      <c r="FJ9" s="289"/>
      <c r="FK9" s="290"/>
      <c r="FL9" s="289"/>
      <c r="FM9" s="289"/>
      <c r="FN9" s="289"/>
      <c r="FO9" s="289"/>
      <c r="FP9" s="290"/>
      <c r="FQ9" s="289"/>
      <c r="FR9" s="289"/>
      <c r="FS9" s="289"/>
      <c r="FT9" s="289"/>
      <c r="FU9" s="290"/>
      <c r="FV9" s="289"/>
      <c r="FW9" s="289"/>
      <c r="FX9" s="289"/>
      <c r="FY9" s="289"/>
      <c r="FZ9" s="290"/>
      <c r="GA9" s="289"/>
      <c r="GB9" s="289"/>
      <c r="GC9" s="289"/>
      <c r="GD9" s="289"/>
      <c r="GE9" s="290"/>
      <c r="GF9" s="289"/>
      <c r="GG9" s="289"/>
      <c r="GH9" s="289"/>
      <c r="GI9" s="289"/>
      <c r="GJ9" s="290"/>
    </row>
    <row r="10" spans="1:192" s="317" customFormat="1" ht="12.75" customHeight="1">
      <c r="A10" s="280" t="s">
        <v>323</v>
      </c>
      <c r="B10" s="730" t="s">
        <v>187</v>
      </c>
      <c r="C10" s="315"/>
      <c r="D10" s="315"/>
      <c r="E10" s="315"/>
      <c r="F10" s="315"/>
      <c r="G10" s="313"/>
      <c r="H10" s="315"/>
      <c r="I10" s="315"/>
      <c r="J10" s="315"/>
      <c r="K10" s="315"/>
      <c r="L10" s="313"/>
      <c r="M10" s="315"/>
      <c r="N10" s="315"/>
      <c r="O10" s="315"/>
      <c r="P10" s="315"/>
      <c r="Q10" s="313"/>
      <c r="R10" s="315"/>
      <c r="S10" s="315"/>
      <c r="T10" s="315"/>
      <c r="U10" s="315"/>
      <c r="V10" s="313"/>
      <c r="W10" s="315"/>
      <c r="X10" s="315"/>
      <c r="Y10" s="315"/>
      <c r="Z10" s="315"/>
      <c r="AA10" s="313"/>
      <c r="AB10" s="315"/>
      <c r="AC10" s="315"/>
      <c r="AD10" s="315"/>
      <c r="AE10" s="315"/>
      <c r="AF10" s="313"/>
      <c r="AG10" s="315"/>
      <c r="AH10" s="315"/>
      <c r="AI10" s="315"/>
      <c r="AJ10" s="315"/>
      <c r="AK10" s="313"/>
      <c r="AL10" s="315"/>
      <c r="AM10" s="315"/>
      <c r="AN10" s="315"/>
      <c r="AO10" s="315"/>
      <c r="AP10" s="313"/>
      <c r="AQ10" s="315"/>
      <c r="AR10" s="315"/>
      <c r="AS10" s="315"/>
      <c r="AT10" s="315"/>
      <c r="AU10" s="313"/>
      <c r="AV10" s="315"/>
      <c r="AW10" s="315"/>
      <c r="AX10" s="315"/>
      <c r="AY10" s="315"/>
      <c r="AZ10" s="313"/>
      <c r="BA10" s="315"/>
      <c r="BB10" s="315"/>
      <c r="BC10" s="315"/>
      <c r="BD10" s="315"/>
      <c r="BE10" s="313"/>
      <c r="BF10" s="315"/>
      <c r="BG10" s="315"/>
      <c r="BH10" s="315"/>
      <c r="BI10" s="315"/>
      <c r="BJ10" s="313"/>
      <c r="BK10" s="315"/>
      <c r="BL10" s="315"/>
      <c r="BM10" s="315"/>
      <c r="BN10" s="315"/>
      <c r="BO10" s="313"/>
      <c r="BP10" s="315"/>
      <c r="BQ10" s="315"/>
      <c r="BR10" s="315"/>
      <c r="BS10" s="315"/>
      <c r="BT10" s="313"/>
      <c r="BU10" s="315"/>
      <c r="BV10" s="315"/>
      <c r="BW10" s="315"/>
      <c r="BX10" s="315"/>
      <c r="BY10" s="313"/>
      <c r="BZ10" s="315"/>
      <c r="CA10" s="315"/>
      <c r="CB10" s="315"/>
      <c r="CC10" s="315"/>
      <c r="CD10" s="313"/>
      <c r="CE10" s="315"/>
      <c r="CF10" s="315"/>
      <c r="CG10" s="315"/>
      <c r="CH10" s="315"/>
      <c r="CI10" s="313"/>
      <c r="CJ10" s="315"/>
      <c r="CK10" s="315"/>
      <c r="CL10" s="315"/>
      <c r="CM10" s="315"/>
      <c r="CN10" s="313"/>
      <c r="CO10" s="315"/>
      <c r="CP10" s="315"/>
      <c r="CQ10" s="315"/>
      <c r="CR10" s="315"/>
      <c r="CS10" s="313"/>
      <c r="CT10" s="316"/>
      <c r="CU10" s="316"/>
      <c r="CV10" s="316"/>
      <c r="CW10" s="316"/>
      <c r="CX10" s="313"/>
      <c r="CY10" s="316"/>
      <c r="CZ10" s="316"/>
      <c r="DA10" s="316"/>
      <c r="DB10" s="316"/>
      <c r="DC10" s="313"/>
      <c r="DD10" s="316"/>
      <c r="DE10" s="316"/>
      <c r="DF10" s="316"/>
      <c r="DG10" s="316"/>
      <c r="DH10" s="313"/>
      <c r="DI10" s="1158"/>
      <c r="DJ10" s="1158"/>
      <c r="DK10" s="1158"/>
      <c r="DL10" s="1158"/>
      <c r="DM10" s="313"/>
      <c r="DN10" s="316"/>
      <c r="DO10" s="316"/>
      <c r="DP10" s="316"/>
      <c r="DQ10" s="316"/>
      <c r="DR10" s="313"/>
      <c r="DS10" s="316"/>
      <c r="DT10" s="316"/>
      <c r="DU10" s="316"/>
      <c r="DV10" s="316"/>
      <c r="DW10" s="313"/>
      <c r="DX10" s="316"/>
      <c r="DY10" s="316"/>
      <c r="DZ10" s="316"/>
      <c r="EA10" s="316"/>
      <c r="EB10" s="313"/>
      <c r="EC10" s="316"/>
      <c r="ED10" s="316"/>
      <c r="EE10" s="316"/>
      <c r="EF10" s="316"/>
      <c r="EG10" s="313"/>
      <c r="EH10" s="316"/>
      <c r="EI10" s="316"/>
      <c r="EJ10" s="316"/>
      <c r="EK10" s="316"/>
      <c r="EL10" s="313"/>
      <c r="EM10" s="316">
        <v>16885</v>
      </c>
      <c r="EN10" s="316">
        <v>17296</v>
      </c>
      <c r="EO10" s="316">
        <v>18244</v>
      </c>
      <c r="EP10" s="316">
        <v>19889</v>
      </c>
      <c r="EQ10" s="319">
        <f>SUM(EM10:EP10)</f>
      </c>
      <c r="ER10" s="316">
        <v>20013</v>
      </c>
      <c r="ES10" s="316">
        <v>21525</v>
      </c>
      <c r="ET10" s="1158">
        <v>22141</v>
      </c>
      <c r="EU10" s="1158">
        <v>23785</v>
      </c>
      <c r="EV10" s="319">
        <f>EV90+EV224+EV232</f>
      </c>
      <c r="EW10" s="1158">
        <v>24092</v>
      </c>
      <c r="EX10" s="1158">
        <v>25544</v>
      </c>
      <c r="EY10" s="1158">
        <v>26751</v>
      </c>
      <c r="EZ10" s="1158">
        <v>29878</v>
      </c>
      <c r="FA10" s="319">
        <f>SUM(EW10:EZ10)</f>
      </c>
      <c r="FB10" s="312">
        <f>FB90+FB224+FB232</f>
      </c>
      <c r="FC10" s="312">
        <f>FC90+FC224+FC232</f>
      </c>
      <c r="FD10" s="312">
        <f>FD90+FD224+FD232</f>
      </c>
      <c r="FE10" s="312">
        <f>FE90+FE224+FE232</f>
      </c>
      <c r="FF10" s="319">
        <f>SUM(FB10:FE10)</f>
      </c>
      <c r="FG10" s="312">
        <f>FG90+FG224+FG232</f>
      </c>
      <c r="FH10" s="312">
        <f>FH90+FH224+FH232</f>
      </c>
      <c r="FI10" s="312">
        <f>FI90+FI224+FI232</f>
      </c>
      <c r="FJ10" s="312">
        <f>FJ90+FJ224+FJ232</f>
      </c>
      <c r="FK10" s="319">
        <f>SUM(FG10:FJ10)</f>
      </c>
      <c r="FL10" s="312">
        <f>FL90+FL224+FL232</f>
      </c>
      <c r="FM10" s="312">
        <f>FM90+FM224+FM232</f>
      </c>
      <c r="FN10" s="312">
        <f>FN90+FN224+FN232</f>
      </c>
      <c r="FO10" s="312">
        <f>FO90+FO224+FO232</f>
      </c>
      <c r="FP10" s="319">
        <f>SUM(FL10:FO10)</f>
      </c>
      <c r="FQ10" s="312">
        <f>FQ90+FQ224+FQ232</f>
      </c>
      <c r="FR10" s="312">
        <f>FR90+FR224+FR232</f>
      </c>
      <c r="FS10" s="312">
        <f>FS90+FS224+FS232</f>
      </c>
      <c r="FT10" s="312">
        <f>FT90+FT224+FT232</f>
      </c>
      <c r="FU10" s="319">
        <f>SUM(FQ10:FT10)</f>
      </c>
      <c r="FV10" s="312">
        <f>FV90+FV224+FV232</f>
      </c>
      <c r="FW10" s="312">
        <f>FW90+FW224+FW232</f>
      </c>
      <c r="FX10" s="312">
        <f>FX90+FX224+FX232</f>
      </c>
      <c r="FY10" s="312">
        <f>FY90+FY224+FY232</f>
      </c>
      <c r="FZ10" s="319">
        <f>SUM(FV10:FY10)</f>
      </c>
      <c r="GA10" s="312">
        <f>GA90+GA224+GA232</f>
      </c>
      <c r="GB10" s="312">
        <f>GB90+GB224+GB232</f>
      </c>
      <c r="GC10" s="312">
        <f>GC90+GC224+GC232</f>
      </c>
      <c r="GD10" s="312">
        <f>GD90+GD224+GD232</f>
      </c>
      <c r="GE10" s="319">
        <f>SUM(GA10:GD10)</f>
      </c>
      <c r="GF10" s="312">
        <f>GF90+GF224+GF232</f>
      </c>
      <c r="GG10" s="312">
        <f>GG90+GG224+GG232</f>
      </c>
      <c r="GH10" s="312">
        <f>GH90+GH224+GH232</f>
      </c>
      <c r="GI10" s="312">
        <f>GI90+GI224+GI232</f>
      </c>
      <c r="GJ10" s="319">
        <f>SUM(GF10:GI10)</f>
      </c>
    </row>
    <row r="11" spans="1:192" s="1241" customFormat="1" ht="12.75" customHeight="1">
      <c r="A11" s="1237" t="s">
        <v>324</v>
      </c>
      <c r="B11" s="727" t="s">
        <v>34</v>
      </c>
      <c r="C11" s="892"/>
      <c r="D11" s="924"/>
      <c r="E11" s="924"/>
      <c r="F11" s="924"/>
      <c r="G11" s="1240"/>
      <c r="H11" s="892"/>
      <c r="I11" s="924"/>
      <c r="J11" s="924"/>
      <c r="K11" s="924"/>
      <c r="L11" s="1240"/>
      <c r="M11" s="892"/>
      <c r="N11" s="924"/>
      <c r="O11" s="924"/>
      <c r="P11" s="924"/>
      <c r="Q11" s="1240"/>
      <c r="R11" s="892"/>
      <c r="S11" s="924"/>
      <c r="T11" s="924"/>
      <c r="U11" s="924"/>
      <c r="V11" s="1240"/>
      <c r="W11" s="892"/>
      <c r="X11" s="924"/>
      <c r="Y11" s="924"/>
      <c r="Z11" s="924"/>
      <c r="AA11" s="1240"/>
      <c r="AB11" s="892"/>
      <c r="AC11" s="924"/>
      <c r="AD11" s="924"/>
      <c r="AE11" s="924"/>
      <c r="AF11" s="1240"/>
      <c r="AG11" s="892"/>
      <c r="AH11" s="924"/>
      <c r="AI11" s="924"/>
      <c r="AJ11" s="924"/>
      <c r="AK11" s="1240"/>
      <c r="AL11" s="892"/>
      <c r="AM11" s="924"/>
      <c r="AN11" s="924"/>
      <c r="AO11" s="924"/>
      <c r="AP11" s="1240"/>
      <c r="AQ11" s="892"/>
      <c r="AR11" s="924"/>
      <c r="AS11" s="924"/>
      <c r="AT11" s="924"/>
      <c r="AU11" s="1240"/>
      <c r="AV11" s="892"/>
      <c r="AW11" s="924"/>
      <c r="AX11" s="924"/>
      <c r="AY11" s="924"/>
      <c r="AZ11" s="1240"/>
      <c r="BA11" s="892"/>
      <c r="BB11" s="924"/>
      <c r="BC11" s="924"/>
      <c r="BD11" s="924"/>
      <c r="BE11" s="1240"/>
      <c r="BF11" s="892"/>
      <c r="BG11" s="924"/>
      <c r="BH11" s="924"/>
      <c r="BI11" s="924"/>
      <c r="BJ11" s="1240"/>
      <c r="BK11" s="892"/>
      <c r="BL11" s="924"/>
      <c r="BM11" s="924"/>
      <c r="BN11" s="924"/>
      <c r="BO11" s="1240"/>
      <c r="BP11" s="892"/>
      <c r="BQ11" s="924"/>
      <c r="BR11" s="924"/>
      <c r="BS11" s="924"/>
      <c r="BT11" s="1240"/>
      <c r="BU11" s="892"/>
      <c r="BV11" s="924"/>
      <c r="BW11" s="924"/>
      <c r="BX11" s="924"/>
      <c r="BY11" s="1240"/>
      <c r="BZ11" s="892"/>
      <c r="CA11" s="924"/>
      <c r="CB11" s="924"/>
      <c r="CC11" s="924"/>
      <c r="CD11" s="1240"/>
      <c r="CE11" s="892"/>
      <c r="CF11" s="924"/>
      <c r="CG11" s="924"/>
      <c r="CH11" s="924"/>
      <c r="CI11" s="1240"/>
      <c r="CJ11" s="892"/>
      <c r="CK11" s="924"/>
      <c r="CL11" s="924"/>
      <c r="CM11" s="924"/>
      <c r="CN11" s="1240"/>
      <c r="CO11" s="892"/>
      <c r="CP11" s="924"/>
      <c r="CQ11" s="924"/>
      <c r="CR11" s="924"/>
      <c r="CS11" s="1240"/>
      <c r="CT11" s="892"/>
      <c r="CU11" s="924"/>
      <c r="CV11" s="924"/>
      <c r="CW11" s="924"/>
      <c r="CX11" s="1240"/>
      <c r="CY11" s="291"/>
      <c r="CZ11" s="107"/>
      <c r="DA11" s="107"/>
      <c r="DB11" s="107"/>
      <c r="DC11" s="292"/>
      <c r="DD11" s="349"/>
      <c r="DE11" s="468"/>
      <c r="DF11" s="468"/>
      <c r="DG11" s="468"/>
      <c r="DH11" s="292"/>
      <c r="DI11" s="441"/>
      <c r="DJ11" s="439"/>
      <c r="DK11" s="439"/>
      <c r="DL11" s="439"/>
      <c r="DM11" s="292"/>
      <c r="DN11" s="291"/>
      <c r="DO11" s="107"/>
      <c r="DP11" s="107"/>
      <c r="DQ11" s="107"/>
      <c r="DR11" s="292"/>
      <c r="DS11" s="291"/>
      <c r="DT11" s="107"/>
      <c r="DU11" s="107"/>
      <c r="DV11" s="107"/>
      <c r="DW11" s="292"/>
      <c r="DX11" s="291"/>
      <c r="DY11" s="107"/>
      <c r="DZ11" s="107"/>
      <c r="EA11" s="107"/>
      <c r="EB11" s="292"/>
      <c r="EC11" s="291"/>
      <c r="ED11" s="107"/>
      <c r="EE11" s="107"/>
      <c r="EF11" s="107"/>
      <c r="EG11" s="292"/>
      <c r="EH11" s="291"/>
      <c r="EI11" s="107"/>
      <c r="EJ11" s="107"/>
      <c r="EK11" s="107"/>
      <c r="EL11" s="292"/>
      <c r="EM11" s="291" t="str">
        <f t="shared" ref="EM11:GE11" si="0">IFERROR(EM10/EH10-1,"--")</f>
      </c>
      <c r="EN11" s="291" t="str">
        <f t="shared" si="0"/>
      </c>
      <c r="EO11" s="291" t="str">
        <f t="shared" si="0"/>
      </c>
      <c r="EP11" s="291" t="str">
        <f t="shared" si="0"/>
      </c>
      <c r="EQ11" s="292" t="str">
        <f t="shared" si="0"/>
      </c>
      <c r="ER11" s="291">
        <f t="shared" si="0"/>
      </c>
      <c r="ES11" s="291">
        <f t="shared" si="0"/>
      </c>
      <c r="ET11" s="291">
        <f t="shared" si="0"/>
      </c>
      <c r="EU11" s="291">
        <f t="shared" si="0"/>
      </c>
      <c r="EV11" s="292">
        <f t="shared" si="0"/>
      </c>
      <c r="EW11" s="291">
        <f t="shared" si="0"/>
      </c>
      <c r="EX11" s="291">
        <f t="shared" si="0"/>
      </c>
      <c r="EY11" s="291">
        <f t="shared" si="0"/>
      </c>
      <c r="EZ11" s="291">
        <f t="shared" si="0"/>
      </c>
      <c r="FA11" s="292">
        <f t="shared" si="0"/>
      </c>
      <c r="FB11" s="291">
        <f t="shared" si="0"/>
      </c>
      <c r="FC11" s="291">
        <f t="shared" si="0"/>
      </c>
      <c r="FD11" s="291">
        <f t="shared" si="0"/>
      </c>
      <c r="FE11" s="291">
        <f t="shared" si="0"/>
      </c>
      <c r="FF11" s="292">
        <f t="shared" si="0"/>
      </c>
      <c r="FG11" s="291">
        <f t="shared" si="0"/>
      </c>
      <c r="FH11" s="291">
        <f t="shared" si="0"/>
      </c>
      <c r="FI11" s="291">
        <f t="shared" si="0"/>
      </c>
      <c r="FJ11" s="291">
        <f t="shared" si="0"/>
      </c>
      <c r="FK11" s="292">
        <f t="shared" si="0"/>
      </c>
      <c r="FL11" s="291">
        <f t="shared" si="0"/>
      </c>
      <c r="FM11" s="291">
        <f t="shared" si="0"/>
      </c>
      <c r="FN11" s="291">
        <f t="shared" si="0"/>
      </c>
      <c r="FO11" s="291">
        <f t="shared" si="0"/>
      </c>
      <c r="FP11" s="292">
        <f t="shared" si="0"/>
      </c>
      <c r="FQ11" s="291">
        <f t="shared" si="0"/>
      </c>
      <c r="FR11" s="291">
        <f t="shared" si="0"/>
      </c>
      <c r="FS11" s="291">
        <f t="shared" si="0"/>
      </c>
      <c r="FT11" s="291">
        <f t="shared" si="0"/>
      </c>
      <c r="FU11" s="292">
        <f t="shared" si="0"/>
      </c>
      <c r="FV11" s="291">
        <f t="shared" si="0"/>
      </c>
      <c r="FW11" s="291">
        <f t="shared" si="0"/>
      </c>
      <c r="FX11" s="291">
        <f t="shared" si="0"/>
      </c>
      <c r="FY11" s="291">
        <f t="shared" si="0"/>
      </c>
      <c r="FZ11" s="292">
        <f t="shared" si="0"/>
      </c>
      <c r="GA11" s="291">
        <f t="shared" si="0"/>
      </c>
      <c r="GB11" s="107">
        <f t="shared" si="0"/>
      </c>
      <c r="GC11" s="107">
        <f t="shared" si="0"/>
      </c>
      <c r="GD11" s="107">
        <f t="shared" si="0"/>
      </c>
      <c r="GE11" s="292">
        <f t="shared" si="0"/>
      </c>
      <c r="GF11" s="291">
        <f t="shared" ref="GF11" si="1">IFERROR(GF10/GA10-1,"--")</f>
      </c>
      <c r="GG11" s="107">
        <f t="shared" ref="GG11" si="2">IFERROR(GG10/GB10-1,"--")</f>
      </c>
      <c r="GH11" s="107">
        <f t="shared" ref="GH11" si="3">IFERROR(GH10/GC10-1,"--")</f>
      </c>
      <c r="GI11" s="107">
        <f t="shared" ref="GI11" si="4">IFERROR(GI10/GD10-1,"--")</f>
      </c>
      <c r="GJ11" s="292">
        <f t="shared" ref="GJ11" si="5">IFERROR(GJ10/GE10-1,"--")</f>
      </c>
    </row>
    <row r="12" spans="1:192" ht="12.75" customHeight="1">
      <c r="A12" s="68" t="s">
        <v>325</v>
      </c>
      <c r="B12" s="727" t="s">
        <v>197</v>
      </c>
      <c r="C12" s="291"/>
      <c r="D12" s="107"/>
      <c r="E12" s="107"/>
      <c r="F12" s="107"/>
      <c r="G12" s="292"/>
      <c r="H12" s="291"/>
      <c r="I12" s="107"/>
      <c r="J12" s="107"/>
      <c r="K12" s="107"/>
      <c r="L12" s="292"/>
      <c r="M12" s="291"/>
      <c r="N12" s="107"/>
      <c r="O12" s="107"/>
      <c r="P12" s="107"/>
      <c r="Q12" s="292"/>
      <c r="R12" s="291"/>
      <c r="S12" s="107"/>
      <c r="T12" s="107"/>
      <c r="U12" s="107"/>
      <c r="V12" s="292"/>
      <c r="W12" s="291"/>
      <c r="X12" s="107"/>
      <c r="Y12" s="107"/>
      <c r="Z12" s="107"/>
      <c r="AA12" s="292"/>
      <c r="AB12" s="291"/>
      <c r="AC12" s="107"/>
      <c r="AD12" s="107"/>
      <c r="AE12" s="107"/>
      <c r="AF12" s="292"/>
      <c r="AG12" s="291"/>
      <c r="AH12" s="107"/>
      <c r="AI12" s="107"/>
      <c r="AJ12" s="107"/>
      <c r="AK12" s="292"/>
      <c r="AL12" s="291"/>
      <c r="AM12" s="107"/>
      <c r="AN12" s="107"/>
      <c r="AO12" s="107"/>
      <c r="AP12" s="292"/>
      <c r="AQ12" s="291"/>
      <c r="AR12" s="107"/>
      <c r="AS12" s="107"/>
      <c r="AT12" s="107"/>
      <c r="AU12" s="292"/>
      <c r="AV12" s="291"/>
      <c r="AW12" s="107"/>
      <c r="AX12" s="107"/>
      <c r="AY12" s="107"/>
      <c r="AZ12" s="292"/>
      <c r="BA12" s="291"/>
      <c r="BB12" s="107"/>
      <c r="BC12" s="107"/>
      <c r="BD12" s="107"/>
      <c r="BE12" s="292"/>
      <c r="BF12" s="291"/>
      <c r="BG12" s="107"/>
      <c r="BH12" s="107"/>
      <c r="BI12" s="107"/>
      <c r="BJ12" s="292"/>
      <c r="BK12" s="291"/>
      <c r="BL12" s="107"/>
      <c r="BM12" s="107"/>
      <c r="BN12" s="107"/>
      <c r="BO12" s="292"/>
      <c r="BP12" s="291"/>
      <c r="BQ12" s="107"/>
      <c r="BR12" s="107"/>
      <c r="BS12" s="107"/>
      <c r="BT12" s="292"/>
      <c r="BU12" s="291"/>
      <c r="BV12" s="107"/>
      <c r="BW12" s="107"/>
      <c r="BX12" s="107"/>
      <c r="BY12" s="292"/>
      <c r="BZ12" s="291"/>
      <c r="CA12" s="107"/>
      <c r="CB12" s="107"/>
      <c r="CC12" s="107"/>
      <c r="CD12" s="292"/>
      <c r="CE12" s="291"/>
      <c r="CF12" s="107"/>
      <c r="CG12" s="107"/>
      <c r="CH12" s="107"/>
      <c r="CI12" s="292"/>
      <c r="CJ12" s="291"/>
      <c r="CK12" s="107"/>
      <c r="CL12" s="107"/>
      <c r="CM12" s="107"/>
      <c r="CN12" s="292"/>
      <c r="CO12" s="291"/>
      <c r="CP12" s="107"/>
      <c r="CQ12" s="107"/>
      <c r="CR12" s="107"/>
      <c r="CS12" s="292"/>
      <c r="CT12" s="412"/>
      <c r="CU12" s="114"/>
      <c r="CV12" s="114"/>
      <c r="CW12" s="114"/>
      <c r="CX12" s="292"/>
      <c r="CY12" s="412"/>
      <c r="CZ12" s="114"/>
      <c r="DA12" s="114"/>
      <c r="DB12" s="114"/>
      <c r="DC12" s="292"/>
      <c r="DD12" s="412"/>
      <c r="DE12" s="114"/>
      <c r="DF12" s="114"/>
      <c r="DG12" s="114"/>
      <c r="DH12" s="292"/>
      <c r="DI12" s="412"/>
      <c r="DJ12" s="114"/>
      <c r="DK12" s="114"/>
      <c r="DL12" s="114"/>
      <c r="DM12" s="292"/>
      <c r="DN12" s="412"/>
      <c r="DO12" s="114"/>
      <c r="DP12" s="114"/>
      <c r="DQ12" s="114"/>
      <c r="DR12" s="292"/>
      <c r="DS12" s="412"/>
      <c r="DT12" s="114"/>
      <c r="DU12" s="114"/>
      <c r="DV12" s="114"/>
      <c r="DW12" s="292"/>
      <c r="DX12" s="412"/>
      <c r="DY12" s="114"/>
      <c r="DZ12" s="114"/>
      <c r="EA12" s="114"/>
      <c r="EB12" s="292"/>
      <c r="EC12" s="412"/>
      <c r="ED12" s="114"/>
      <c r="EE12" s="114"/>
      <c r="EF12" s="114"/>
      <c r="EG12" s="292"/>
      <c r="EH12" s="412"/>
      <c r="EI12" s="114"/>
      <c r="EJ12" s="114"/>
      <c r="EK12" s="114"/>
      <c r="EL12" s="413"/>
      <c r="EM12" s="412"/>
      <c r="EN12" s="114"/>
      <c r="EO12" s="439"/>
      <c r="EP12" s="439"/>
      <c r="EQ12" s="292"/>
      <c r="ER12" s="412"/>
      <c r="ES12" s="114"/>
      <c r="ET12" s="439"/>
      <c r="EU12" s="439"/>
      <c r="EV12" s="292"/>
      <c r="EW12" s="441">
        <v>0.21</v>
      </c>
      <c r="EX12" s="439">
        <v>0.19</v>
      </c>
      <c r="EY12" s="439">
        <v>0.22</v>
      </c>
      <c r="EZ12" s="439">
        <v>0.25</v>
      </c>
      <c r="FA12" s="292"/>
      <c r="FB12" s="412">
        <f>FB11-1%</f>
      </c>
      <c r="FC12" s="114"/>
      <c r="FD12" s="439"/>
      <c r="FE12" s="439"/>
      <c r="FF12" s="292"/>
      <c r="FG12" s="412"/>
      <c r="FH12" s="114"/>
      <c r="FI12" s="439"/>
      <c r="FJ12" s="439"/>
      <c r="FK12" s="292"/>
      <c r="FL12" s="412"/>
      <c r="FM12" s="114"/>
      <c r="FN12" s="439"/>
      <c r="FO12" s="439"/>
      <c r="FP12" s="292"/>
      <c r="FQ12" s="412"/>
      <c r="FR12" s="114"/>
      <c r="FS12" s="439"/>
      <c r="FT12" s="439"/>
      <c r="FU12" s="292"/>
      <c r="FV12" s="412"/>
      <c r="FW12" s="114"/>
      <c r="FX12" s="439"/>
      <c r="FY12" s="439"/>
      <c r="FZ12" s="292"/>
      <c r="GA12" s="412"/>
      <c r="GB12" s="114"/>
      <c r="GC12" s="114"/>
      <c r="GD12" s="114"/>
      <c r="GE12" s="292"/>
      <c r="GF12" s="412"/>
      <c r="GG12" s="114"/>
      <c r="GH12" s="114"/>
      <c r="GI12" s="114"/>
      <c r="GJ12" s="292"/>
    </row>
    <row r="13" spans="1:192" ht="12.75" customHeight="1">
      <c r="A13" s="68" t="s">
        <v>326</v>
      </c>
      <c r="B13" s="727" t="s">
        <v>36</v>
      </c>
      <c r="C13" s="291"/>
      <c r="D13" s="107"/>
      <c r="E13" s="107"/>
      <c r="F13" s="107"/>
      <c r="G13" s="293"/>
      <c r="H13" s="291"/>
      <c r="I13" s="107"/>
      <c r="J13" s="107"/>
      <c r="K13" s="107"/>
      <c r="L13" s="293"/>
      <c r="M13" s="291"/>
      <c r="N13" s="107"/>
      <c r="O13" s="107"/>
      <c r="P13" s="107"/>
      <c r="Q13" s="293"/>
      <c r="R13" s="291"/>
      <c r="S13" s="107"/>
      <c r="T13" s="107"/>
      <c r="U13" s="107"/>
      <c r="V13" s="293"/>
      <c r="W13" s="291"/>
      <c r="X13" s="107"/>
      <c r="Y13" s="107"/>
      <c r="Z13" s="107"/>
      <c r="AA13" s="293"/>
      <c r="AB13" s="291"/>
      <c r="AC13" s="107"/>
      <c r="AD13" s="107"/>
      <c r="AE13" s="107"/>
      <c r="AF13" s="293"/>
      <c r="AG13" s="291"/>
      <c r="AH13" s="107"/>
      <c r="AI13" s="107"/>
      <c r="AJ13" s="107"/>
      <c r="AK13" s="293"/>
      <c r="AL13" s="291"/>
      <c r="AM13" s="107"/>
      <c r="AN13" s="107"/>
      <c r="AO13" s="107"/>
      <c r="AP13" s="293"/>
      <c r="AQ13" s="291"/>
      <c r="AR13" s="107"/>
      <c r="AS13" s="107"/>
      <c r="AT13" s="107"/>
      <c r="AU13" s="293"/>
      <c r="AV13" s="291"/>
      <c r="AW13" s="107"/>
      <c r="AX13" s="107"/>
      <c r="AY13" s="107"/>
      <c r="AZ13" s="293"/>
      <c r="BA13" s="291"/>
      <c r="BB13" s="107"/>
      <c r="BC13" s="107"/>
      <c r="BD13" s="107"/>
      <c r="BE13" s="293"/>
      <c r="BF13" s="291"/>
      <c r="BG13" s="107"/>
      <c r="BH13" s="107"/>
      <c r="BI13" s="107"/>
      <c r="BJ13" s="293"/>
      <c r="BK13" s="291"/>
      <c r="BL13" s="107"/>
      <c r="BM13" s="107"/>
      <c r="BN13" s="107"/>
      <c r="BO13" s="293"/>
      <c r="BP13" s="291"/>
      <c r="BQ13" s="107"/>
      <c r="BR13" s="107"/>
      <c r="BS13" s="107"/>
      <c r="BT13" s="293"/>
      <c r="BU13" s="291"/>
      <c r="BV13" s="107"/>
      <c r="BW13" s="107"/>
      <c r="BX13" s="107"/>
      <c r="BY13" s="293"/>
      <c r="BZ13" s="291"/>
      <c r="CA13" s="107"/>
      <c r="CB13" s="107"/>
      <c r="CC13" s="107"/>
      <c r="CD13" s="293"/>
      <c r="CE13" s="291"/>
      <c r="CF13" s="107"/>
      <c r="CG13" s="107"/>
      <c r="CH13" s="107"/>
      <c r="CI13" s="293"/>
      <c r="CJ13" s="291"/>
      <c r="CK13" s="107"/>
      <c r="CL13" s="107"/>
      <c r="CM13" s="107"/>
      <c r="CN13" s="293"/>
      <c r="CO13" s="291"/>
      <c r="CP13" s="107"/>
      <c r="CQ13" s="107"/>
      <c r="CR13" s="107"/>
      <c r="CS13" s="293"/>
      <c r="CT13" s="291"/>
      <c r="CU13" s="107"/>
      <c r="CV13" s="107"/>
      <c r="CW13" s="107"/>
      <c r="CX13" s="293"/>
      <c r="CY13" s="291"/>
      <c r="CZ13" s="107"/>
      <c r="DA13" s="107"/>
      <c r="DB13" s="107"/>
      <c r="DC13" s="293"/>
      <c r="DD13" s="291"/>
      <c r="DE13" s="107"/>
      <c r="DF13" s="107"/>
      <c r="DG13" s="107"/>
      <c r="DH13" s="293"/>
      <c r="DI13" s="291"/>
      <c r="DJ13" s="107"/>
      <c r="DK13" s="107"/>
      <c r="DL13" s="107"/>
      <c r="DM13" s="293"/>
      <c r="DN13" s="291"/>
      <c r="DO13" s="107"/>
      <c r="DP13" s="107"/>
      <c r="DQ13" s="107"/>
      <c r="DR13" s="293"/>
      <c r="DS13" s="291"/>
      <c r="DT13" s="107"/>
      <c r="DU13" s="107"/>
      <c r="DV13" s="107"/>
      <c r="DW13" s="293"/>
      <c r="DX13" s="291"/>
      <c r="DY13" s="107"/>
      <c r="DZ13" s="107"/>
      <c r="EA13" s="107"/>
      <c r="EB13" s="293"/>
      <c r="EC13" s="291"/>
      <c r="ED13" s="107"/>
      <c r="EE13" s="107"/>
      <c r="EF13" s="107"/>
      <c r="EG13" s="293"/>
      <c r="EH13" s="291"/>
      <c r="EI13" s="107"/>
      <c r="EJ13" s="107"/>
      <c r="EK13" s="107"/>
      <c r="EL13" s="293"/>
      <c r="EM13" s="291" t="str">
        <f>IFERROR(EM10/EK10-1,"--")</f>
      </c>
      <c r="EN13" s="107">
        <f>IFERROR(EN10/EM10-1,"--")</f>
      </c>
      <c r="EO13" s="107">
        <f>IFERROR(EO10/EN10-1,"--")</f>
      </c>
      <c r="EP13" s="107">
        <f>IFERROR(EP10/EO10-1,"--")</f>
      </c>
      <c r="EQ13" s="293"/>
      <c r="ER13" s="291">
        <f>IFERROR(ER10/EP10-1,"--")</f>
      </c>
      <c r="ES13" s="107">
        <f>IFERROR(ES10/ER10-1,"--")</f>
      </c>
      <c r="ET13" s="107">
        <f>IFERROR(ET10/ES10-1,"--")</f>
      </c>
      <c r="EU13" s="107">
        <f>IFERROR(EU10/ET10-1,"--")</f>
      </c>
      <c r="EV13" s="293"/>
      <c r="EW13" s="291">
        <f>IFERROR(EW10/EU10-1,"--")</f>
      </c>
      <c r="EX13" s="107">
        <f>IFERROR(EX10/EW10-1,"--")</f>
      </c>
      <c r="EY13" s="107">
        <f>IFERROR(EY10/EX10-1,"--")</f>
      </c>
      <c r="EZ13" s="107">
        <f>IFERROR(EZ10/EY10-1,"--")</f>
      </c>
      <c r="FA13" s="293"/>
      <c r="FB13" s="291">
        <f>IFERROR(FB10/EZ10-1,"--")</f>
      </c>
      <c r="FC13" s="107">
        <f>IFERROR(FC10/FB10-1,"--")</f>
      </c>
      <c r="FD13" s="107">
        <f>IFERROR(FD10/FC10-1,"--")</f>
      </c>
      <c r="FE13" s="107">
        <f>IFERROR(FE10/FD10-1,"--")</f>
      </c>
      <c r="FF13" s="293"/>
      <c r="FG13" s="291">
        <f>IFERROR(FG10/FE10-1,"--")</f>
      </c>
      <c r="FH13" s="107">
        <f>IFERROR(FH10/FG10-1,"--")</f>
      </c>
      <c r="FI13" s="107">
        <f>IFERROR(FI10/FH10-1,"--")</f>
      </c>
      <c r="FJ13" s="107">
        <f>IFERROR(FJ10/FI10-1,"--")</f>
      </c>
      <c r="FK13" s="293"/>
      <c r="FL13" s="291">
        <f>IFERROR(FL10/FJ10-1,"--")</f>
      </c>
      <c r="FM13" s="107">
        <f>IFERROR(FM10/FL10-1,"--")</f>
      </c>
      <c r="FN13" s="107">
        <f>IFERROR(FN10/FM10-1,"--")</f>
      </c>
      <c r="FO13" s="107">
        <f>IFERROR(FO10/FN10-1,"--")</f>
      </c>
      <c r="FP13" s="293"/>
      <c r="FQ13" s="291">
        <f>IFERROR(FQ10/FO10-1,"--")</f>
      </c>
      <c r="FR13" s="107">
        <f>IFERROR(FR10/FQ10-1,"--")</f>
      </c>
      <c r="FS13" s="107">
        <f>IFERROR(FS10/FR10-1,"--")</f>
      </c>
      <c r="FT13" s="107">
        <f>IFERROR(FT10/FS10-1,"--")</f>
      </c>
      <c r="FU13" s="293"/>
      <c r="FV13" s="291">
        <f>IFERROR(FV10/FT10-1,"--")</f>
      </c>
      <c r="FW13" s="107">
        <f>IFERROR(FW10/FV10-1,"--")</f>
      </c>
      <c r="FX13" s="107">
        <f>IFERROR(FX10/FW10-1,"--")</f>
      </c>
      <c r="FY13" s="107">
        <f>IFERROR(FY10/FX10-1,"--")</f>
      </c>
      <c r="FZ13" s="293"/>
      <c r="GA13" s="291">
        <f>IFERROR(GA10/FY10-1,"--")</f>
      </c>
      <c r="GB13" s="107">
        <f>IFERROR(GB10/GA10-1,"--")</f>
      </c>
      <c r="GC13" s="107">
        <f>IFERROR(GC10/GB10-1,"--")</f>
      </c>
      <c r="GD13" s="107">
        <f>IFERROR(GD10/GC10-1,"--")</f>
      </c>
      <c r="GE13" s="293"/>
      <c r="GF13" s="291">
        <f>IFERROR(GF10/GD10-1,"--")</f>
      </c>
      <c r="GG13" s="107">
        <f>IFERROR(GG10/GF10-1,"--")</f>
      </c>
      <c r="GH13" s="107">
        <f>IFERROR(GH10/GG10-1,"--")</f>
      </c>
      <c r="GI13" s="107">
        <f>IFERROR(GI10/GH10-1,"--")</f>
      </c>
      <c r="GJ13" s="293"/>
    </row>
    <row r="14" spans="1:192" ht="12.75" customHeight="1">
      <c r="B14" s="727" t="s">
        <v>243</v>
      </c>
      <c r="C14" s="291"/>
      <c r="D14" s="107"/>
      <c r="E14" s="107"/>
      <c r="F14" s="107"/>
      <c r="G14" s="293"/>
      <c r="H14" s="291"/>
      <c r="I14" s="107"/>
      <c r="J14" s="107"/>
      <c r="K14" s="107"/>
      <c r="L14" s="293"/>
      <c r="M14" s="291"/>
      <c r="N14" s="107"/>
      <c r="O14" s="107"/>
      <c r="P14" s="107"/>
      <c r="Q14" s="293"/>
      <c r="R14" s="291"/>
      <c r="S14" s="107"/>
      <c r="T14" s="107"/>
      <c r="U14" s="107"/>
      <c r="V14" s="293"/>
      <c r="W14" s="291"/>
      <c r="X14" s="107"/>
      <c r="Y14" s="107"/>
      <c r="Z14" s="107"/>
      <c r="AA14" s="293"/>
      <c r="AB14" s="291"/>
      <c r="AC14" s="107"/>
      <c r="AD14" s="107"/>
      <c r="AE14" s="107"/>
      <c r="AF14" s="293"/>
      <c r="AG14" s="291"/>
      <c r="AH14" s="107"/>
      <c r="AI14" s="107"/>
      <c r="AJ14" s="107"/>
      <c r="AK14" s="293"/>
      <c r="AL14" s="291"/>
      <c r="AM14" s="107"/>
      <c r="AN14" s="107"/>
      <c r="AO14" s="107"/>
      <c r="AP14" s="293"/>
      <c r="AQ14" s="291"/>
      <c r="AR14" s="107"/>
      <c r="AS14" s="107"/>
      <c r="AT14" s="107"/>
      <c r="AU14" s="293"/>
      <c r="AV14" s="291"/>
      <c r="AW14" s="107"/>
      <c r="AX14" s="107"/>
      <c r="AY14" s="107"/>
      <c r="AZ14" s="293"/>
      <c r="BA14" s="291"/>
      <c r="BB14" s="107"/>
      <c r="BC14" s="107"/>
      <c r="BD14" s="107"/>
      <c r="BE14" s="293"/>
      <c r="BF14" s="291"/>
      <c r="BG14" s="107"/>
      <c r="BH14" s="107"/>
      <c r="BI14" s="107"/>
      <c r="BJ14" s="293"/>
      <c r="BK14" s="291"/>
      <c r="BL14" s="107"/>
      <c r="BM14" s="107"/>
      <c r="BN14" s="107"/>
      <c r="BO14" s="293"/>
      <c r="BP14" s="291"/>
      <c r="BQ14" s="107"/>
      <c r="BR14" s="107"/>
      <c r="BS14" s="107"/>
      <c r="BT14" s="293"/>
      <c r="BU14" s="291"/>
      <c r="BV14" s="107"/>
      <c r="BW14" s="107"/>
      <c r="BX14" s="107"/>
      <c r="BY14" s="293"/>
      <c r="BZ14" s="291"/>
      <c r="CA14" s="107"/>
      <c r="CB14" s="107"/>
      <c r="CC14" s="107"/>
      <c r="CD14" s="293"/>
      <c r="CE14" s="291"/>
      <c r="CF14" s="107"/>
      <c r="CG14" s="107"/>
      <c r="CH14" s="107"/>
      <c r="CI14" s="293"/>
      <c r="CJ14" s="291"/>
      <c r="CK14" s="107"/>
      <c r="CL14" s="107"/>
      <c r="CM14" s="107"/>
      <c r="CN14" s="293"/>
      <c r="CO14" s="291"/>
      <c r="CP14" s="107"/>
      <c r="CQ14" s="107"/>
      <c r="CR14" s="107"/>
      <c r="CS14" s="293"/>
      <c r="CT14" s="291"/>
      <c r="CU14" s="107"/>
      <c r="CV14" s="107"/>
      <c r="CW14" s="107"/>
      <c r="CX14" s="293"/>
      <c r="CY14" s="447"/>
      <c r="CZ14" s="447"/>
      <c r="DA14" s="447"/>
      <c r="DB14" s="458"/>
      <c r="DC14" s="466"/>
      <c r="DD14" s="447"/>
      <c r="DE14" s="447"/>
      <c r="DF14" s="447"/>
      <c r="DG14" s="458"/>
      <c r="DH14" s="466"/>
      <c r="DI14" s="447"/>
      <c r="DJ14" s="447"/>
      <c r="DK14" s="447"/>
      <c r="DL14" s="458"/>
      <c r="DM14" s="466"/>
      <c r="DN14" s="447"/>
      <c r="DO14" s="447"/>
      <c r="DP14" s="447"/>
      <c r="DQ14" s="458"/>
      <c r="DR14" s="466"/>
      <c r="DS14" s="447"/>
      <c r="DT14" s="447"/>
      <c r="DU14" s="447"/>
      <c r="DV14" s="458"/>
      <c r="DW14" s="466"/>
      <c r="DX14" s="447"/>
      <c r="DY14" s="447"/>
      <c r="DZ14" s="447"/>
      <c r="EA14" s="458"/>
      <c r="EB14" s="466"/>
      <c r="EC14" s="447"/>
      <c r="ED14" s="447"/>
      <c r="EE14" s="447"/>
      <c r="EF14" s="458"/>
      <c r="EG14" s="466"/>
      <c r="EH14" s="447"/>
      <c r="EI14" s="447"/>
      <c r="EJ14" s="447"/>
      <c r="EK14" s="458"/>
      <c r="EL14" s="466"/>
      <c r="EM14" s="447">
        <f t="shared" ref="EM14:GE14" si="6">EM10-EH10</f>
      </c>
      <c r="EN14" s="458">
        <f t="shared" si="6"/>
      </c>
      <c r="EO14" s="511">
        <f t="shared" si="6"/>
      </c>
      <c r="EP14" s="458">
        <f t="shared" si="6"/>
      </c>
      <c r="EQ14" s="459">
        <f t="shared" si="6"/>
      </c>
      <c r="ER14" s="447">
        <f t="shared" si="6"/>
      </c>
      <c r="ES14" s="458">
        <f t="shared" si="6"/>
      </c>
      <c r="ET14" s="511">
        <f t="shared" si="6"/>
      </c>
      <c r="EU14" s="458">
        <f t="shared" si="6"/>
      </c>
      <c r="EV14" s="459">
        <f t="shared" si="6"/>
      </c>
      <c r="EW14" s="447">
        <f t="shared" si="6"/>
      </c>
      <c r="EX14" s="458">
        <f t="shared" si="6"/>
      </c>
      <c r="EY14" s="458">
        <f t="shared" si="6"/>
      </c>
      <c r="EZ14" s="458">
        <f t="shared" si="6"/>
      </c>
      <c r="FA14" s="459">
        <f t="shared" si="6"/>
      </c>
      <c r="FB14" s="447">
        <f t="shared" si="6"/>
      </c>
      <c r="FC14" s="458">
        <f t="shared" si="6"/>
      </c>
      <c r="FD14" s="511">
        <f t="shared" si="6"/>
      </c>
      <c r="FE14" s="458">
        <f t="shared" si="6"/>
      </c>
      <c r="FF14" s="459">
        <f t="shared" si="6"/>
      </c>
      <c r="FG14" s="447">
        <f t="shared" si="6"/>
      </c>
      <c r="FH14" s="458">
        <f t="shared" si="6"/>
      </c>
      <c r="FI14" s="511">
        <f t="shared" si="6"/>
      </c>
      <c r="FJ14" s="458">
        <f t="shared" si="6"/>
      </c>
      <c r="FK14" s="459">
        <f t="shared" si="6"/>
      </c>
      <c r="FL14" s="447">
        <f t="shared" si="6"/>
      </c>
      <c r="FM14" s="458">
        <f t="shared" si="6"/>
      </c>
      <c r="FN14" s="511">
        <f t="shared" si="6"/>
      </c>
      <c r="FO14" s="458">
        <f t="shared" si="6"/>
      </c>
      <c r="FP14" s="459">
        <f t="shared" si="6"/>
      </c>
      <c r="FQ14" s="447">
        <f t="shared" si="6"/>
      </c>
      <c r="FR14" s="458">
        <f t="shared" si="6"/>
      </c>
      <c r="FS14" s="511">
        <f t="shared" si="6"/>
      </c>
      <c r="FT14" s="458">
        <f t="shared" si="6"/>
      </c>
      <c r="FU14" s="459">
        <f t="shared" si="6"/>
      </c>
      <c r="FV14" s="447">
        <f t="shared" si="6"/>
      </c>
      <c r="FW14" s="458">
        <f t="shared" si="6"/>
      </c>
      <c r="FX14" s="511">
        <f t="shared" si="6"/>
      </c>
      <c r="FY14" s="458">
        <f t="shared" si="6"/>
      </c>
      <c r="FZ14" s="459">
        <f t="shared" si="6"/>
      </c>
      <c r="GA14" s="447">
        <f t="shared" si="6"/>
      </c>
      <c r="GB14" s="458">
        <f t="shared" si="6"/>
      </c>
      <c r="GC14" s="458">
        <f t="shared" si="6"/>
      </c>
      <c r="GD14" s="458">
        <f t="shared" si="6"/>
      </c>
      <c r="GE14" s="459">
        <f t="shared" si="6"/>
      </c>
      <c r="GF14" s="447">
        <f t="shared" ref="GF14" si="7">GF10-GA10</f>
      </c>
      <c r="GG14" s="458">
        <f t="shared" ref="GG14" si="8">GG10-GB10</f>
      </c>
      <c r="GH14" s="458">
        <f t="shared" ref="GH14" si="9">GH10-GC10</f>
      </c>
      <c r="GI14" s="458">
        <f t="shared" ref="GI14" si="10">GI10-GD10</f>
      </c>
      <c r="GJ14" s="459">
        <f t="shared" ref="GJ14" si="11">GJ10-GE10</f>
      </c>
    </row>
    <row r="15" spans="1:192" ht="12.75" customHeight="1">
      <c r="B15" s="727" t="s">
        <v>244</v>
      </c>
      <c r="C15" s="291"/>
      <c r="D15" s="107"/>
      <c r="E15" s="107"/>
      <c r="F15" s="107"/>
      <c r="G15" s="293"/>
      <c r="H15" s="291"/>
      <c r="I15" s="107"/>
      <c r="J15" s="107"/>
      <c r="K15" s="107"/>
      <c r="L15" s="293"/>
      <c r="M15" s="291"/>
      <c r="N15" s="107"/>
      <c r="O15" s="107"/>
      <c r="P15" s="107"/>
      <c r="Q15" s="293"/>
      <c r="R15" s="291"/>
      <c r="S15" s="107"/>
      <c r="T15" s="107"/>
      <c r="U15" s="107"/>
      <c r="V15" s="293"/>
      <c r="W15" s="291"/>
      <c r="X15" s="107"/>
      <c r="Y15" s="107"/>
      <c r="Z15" s="107"/>
      <c r="AA15" s="293"/>
      <c r="AB15" s="291"/>
      <c r="AC15" s="107"/>
      <c r="AD15" s="107"/>
      <c r="AE15" s="107"/>
      <c r="AF15" s="293"/>
      <c r="AG15" s="291"/>
      <c r="AH15" s="107"/>
      <c r="AI15" s="107"/>
      <c r="AJ15" s="107"/>
      <c r="AK15" s="293"/>
      <c r="AL15" s="291"/>
      <c r="AM15" s="107"/>
      <c r="AN15" s="107"/>
      <c r="AO15" s="107"/>
      <c r="AP15" s="293"/>
      <c r="AQ15" s="291"/>
      <c r="AR15" s="107"/>
      <c r="AS15" s="107"/>
      <c r="AT15" s="107"/>
      <c r="AU15" s="293"/>
      <c r="AV15" s="291"/>
      <c r="AW15" s="107"/>
      <c r="AX15" s="107"/>
      <c r="AY15" s="107"/>
      <c r="AZ15" s="293"/>
      <c r="BA15" s="291"/>
      <c r="BB15" s="107"/>
      <c r="BC15" s="107"/>
      <c r="BD15" s="107"/>
      <c r="BE15" s="293"/>
      <c r="BF15" s="291"/>
      <c r="BG15" s="107"/>
      <c r="BH15" s="107"/>
      <c r="BI15" s="107"/>
      <c r="BJ15" s="293"/>
      <c r="BK15" s="291"/>
      <c r="BL15" s="107"/>
      <c r="BM15" s="107"/>
      <c r="BN15" s="107"/>
      <c r="BO15" s="293"/>
      <c r="BP15" s="291"/>
      <c r="BQ15" s="107"/>
      <c r="BR15" s="107"/>
      <c r="BS15" s="107"/>
      <c r="BT15" s="293"/>
      <c r="BU15" s="291"/>
      <c r="BV15" s="107"/>
      <c r="BW15" s="107"/>
      <c r="BX15" s="107"/>
      <c r="BY15" s="293"/>
      <c r="BZ15" s="291"/>
      <c r="CA15" s="107"/>
      <c r="CB15" s="107"/>
      <c r="CC15" s="107"/>
      <c r="CD15" s="293"/>
      <c r="CE15" s="291"/>
      <c r="CF15" s="107"/>
      <c r="CG15" s="107"/>
      <c r="CH15" s="107"/>
      <c r="CI15" s="293"/>
      <c r="CJ15" s="291"/>
      <c r="CK15" s="107"/>
      <c r="CL15" s="107"/>
      <c r="CM15" s="107"/>
      <c r="CN15" s="293"/>
      <c r="CO15" s="291"/>
      <c r="CP15" s="107"/>
      <c r="CQ15" s="107"/>
      <c r="CR15" s="107"/>
      <c r="CS15" s="293"/>
      <c r="CT15" s="291"/>
      <c r="CU15" s="107"/>
      <c r="CV15" s="107"/>
      <c r="CW15" s="107"/>
      <c r="CX15" s="293"/>
      <c r="CY15" s="447"/>
      <c r="CZ15" s="447"/>
      <c r="DA15" s="447"/>
      <c r="DB15" s="447"/>
      <c r="DC15" s="293"/>
      <c r="DD15" s="447"/>
      <c r="DE15" s="447"/>
      <c r="DF15" s="447"/>
      <c r="DG15" s="447"/>
      <c r="DH15" s="293"/>
      <c r="DI15" s="447"/>
      <c r="DJ15" s="447"/>
      <c r="DK15" s="447"/>
      <c r="DL15" s="447"/>
      <c r="DM15" s="293"/>
      <c r="DN15" s="447"/>
      <c r="DO15" s="447"/>
      <c r="DP15" s="447"/>
      <c r="DQ15" s="447"/>
      <c r="DR15" s="293"/>
      <c r="DS15" s="447"/>
      <c r="DT15" s="447"/>
      <c r="DU15" s="447"/>
      <c r="DV15" s="447"/>
      <c r="DW15" s="293"/>
      <c r="DX15" s="447"/>
      <c r="DY15" s="447"/>
      <c r="DZ15" s="447"/>
      <c r="EA15" s="447"/>
      <c r="EB15" s="293"/>
      <c r="EC15" s="447"/>
      <c r="ED15" s="447"/>
      <c r="EE15" s="447"/>
      <c r="EF15" s="447"/>
      <c r="EG15" s="293"/>
      <c r="EH15" s="447"/>
      <c r="EI15" s="447"/>
      <c r="EJ15" s="447"/>
      <c r="EK15" s="447"/>
      <c r="EL15" s="293"/>
      <c r="EM15" s="447">
        <f>EM10-EK10</f>
      </c>
      <c r="EN15" s="458">
        <f>EN10-EM10</f>
      </c>
      <c r="EO15" s="447">
        <f>EO10-EN10</f>
      </c>
      <c r="EP15" s="447">
        <f>EP10-EO10</f>
      </c>
      <c r="EQ15" s="459"/>
      <c r="ER15" s="447">
        <f>ER10-EP10</f>
      </c>
      <c r="ES15" s="458">
        <f>ES10-ER10</f>
      </c>
      <c r="ET15" s="447">
        <f>ET10-ES10</f>
      </c>
      <c r="EU15" s="447">
        <f>EU10-ET10</f>
      </c>
      <c r="EV15" s="459"/>
      <c r="EW15" s="447">
        <f>EW10-EU10</f>
      </c>
      <c r="EX15" s="458">
        <f>EX10-EW10</f>
      </c>
      <c r="EY15" s="458">
        <f>EY10-EX10</f>
      </c>
      <c r="EZ15" s="447">
        <f>EZ10-EY10</f>
      </c>
      <c r="FA15" s="459"/>
      <c r="FB15" s="447">
        <f>FB10-EZ10</f>
      </c>
      <c r="FC15" s="458">
        <f>FC10-FB10</f>
      </c>
      <c r="FD15" s="447">
        <f>FD10-FC10</f>
      </c>
      <c r="FE15" s="447">
        <f>FE10-FD10</f>
      </c>
      <c r="FF15" s="459"/>
      <c r="FG15" s="447">
        <f>FG10-FE10</f>
      </c>
      <c r="FH15" s="458">
        <f>FH10-FG10</f>
      </c>
      <c r="FI15" s="447">
        <f>FI10-FH10</f>
      </c>
      <c r="FJ15" s="447">
        <f>FJ10-FI10</f>
      </c>
      <c r="FK15" s="459"/>
      <c r="FL15" s="447">
        <f>FL10-FJ10</f>
      </c>
      <c r="FM15" s="458">
        <f>FM10-FL10</f>
      </c>
      <c r="FN15" s="447">
        <f>FN10-FM10</f>
      </c>
      <c r="FO15" s="447">
        <f>FO10-FN10</f>
      </c>
      <c r="FP15" s="459"/>
      <c r="FQ15" s="447">
        <f>FQ10-FO10</f>
      </c>
      <c r="FR15" s="458">
        <f>FR10-FQ10</f>
      </c>
      <c r="FS15" s="447">
        <f>FS10-FR10</f>
      </c>
      <c r="FT15" s="447">
        <f>FT10-FS10</f>
      </c>
      <c r="FU15" s="459"/>
      <c r="FV15" s="447">
        <f>FV10-FT10</f>
      </c>
      <c r="FW15" s="458">
        <f>FW10-FV10</f>
      </c>
      <c r="FX15" s="447">
        <f>FX10-FW10</f>
      </c>
      <c r="FY15" s="447">
        <f>FY10-FX10</f>
      </c>
      <c r="FZ15" s="459"/>
      <c r="GA15" s="447">
        <f>GA10-FY10</f>
      </c>
      <c r="GB15" s="458">
        <f>GB10-GA10</f>
      </c>
      <c r="GC15" s="458">
        <f>GC10-GB10</f>
      </c>
      <c r="GD15" s="458">
        <f>GD10-GC10</f>
      </c>
      <c r="GE15" s="459"/>
      <c r="GF15" s="447">
        <f>GF10-GD10</f>
      </c>
      <c r="GG15" s="458">
        <f>GG10-GF10</f>
      </c>
      <c r="GH15" s="458">
        <f>GH10-GG10</f>
      </c>
      <c r="GI15" s="458">
        <f>GI10-GH10</f>
      </c>
      <c r="GJ15" s="459"/>
    </row>
    <row r="16" spans="1:192" ht="12.75" customHeight="1">
      <c r="B16" s="727" t="s">
        <v>257</v>
      </c>
      <c r="C16" s="291"/>
      <c r="D16" s="107"/>
      <c r="E16" s="107"/>
      <c r="F16" s="107"/>
      <c r="G16" s="293"/>
      <c r="H16" s="291"/>
      <c r="I16" s="107"/>
      <c r="J16" s="107"/>
      <c r="K16" s="107"/>
      <c r="L16" s="293"/>
      <c r="M16" s="291"/>
      <c r="N16" s="107"/>
      <c r="O16" s="107"/>
      <c r="P16" s="107"/>
      <c r="Q16" s="293"/>
      <c r="R16" s="291"/>
      <c r="S16" s="107"/>
      <c r="T16" s="107"/>
      <c r="U16" s="107"/>
      <c r="V16" s="293"/>
      <c r="W16" s="291"/>
      <c r="X16" s="107"/>
      <c r="Y16" s="107"/>
      <c r="Z16" s="107"/>
      <c r="AA16" s="293"/>
      <c r="AB16" s="291"/>
      <c r="AC16" s="107"/>
      <c r="AD16" s="107"/>
      <c r="AE16" s="107"/>
      <c r="AF16" s="293"/>
      <c r="AG16" s="291"/>
      <c r="AH16" s="107"/>
      <c r="AI16" s="107"/>
      <c r="AJ16" s="107"/>
      <c r="AK16" s="293"/>
      <c r="AL16" s="291"/>
      <c r="AM16" s="107"/>
      <c r="AN16" s="107"/>
      <c r="AO16" s="107"/>
      <c r="AP16" s="293"/>
      <c r="AQ16" s="291"/>
      <c r="AR16" s="107"/>
      <c r="AS16" s="107"/>
      <c r="AT16" s="107"/>
      <c r="AU16" s="293"/>
      <c r="AV16" s="291"/>
      <c r="AW16" s="107"/>
      <c r="AX16" s="107"/>
      <c r="AY16" s="107"/>
      <c r="AZ16" s="293"/>
      <c r="BA16" s="291"/>
      <c r="BB16" s="107"/>
      <c r="BC16" s="107"/>
      <c r="BD16" s="107"/>
      <c r="BE16" s="293"/>
      <c r="BF16" s="291"/>
      <c r="BG16" s="107"/>
      <c r="BH16" s="107"/>
      <c r="BI16" s="107"/>
      <c r="BJ16" s="293"/>
      <c r="BK16" s="291"/>
      <c r="BL16" s="107"/>
      <c r="BM16" s="107"/>
      <c r="BN16" s="107"/>
      <c r="BO16" s="293"/>
      <c r="BP16" s="291"/>
      <c r="BQ16" s="107"/>
      <c r="BR16" s="107"/>
      <c r="BS16" s="107"/>
      <c r="BT16" s="293"/>
      <c r="BU16" s="291"/>
      <c r="BV16" s="107"/>
      <c r="BW16" s="107"/>
      <c r="BX16" s="107"/>
      <c r="BY16" s="293"/>
      <c r="BZ16" s="291"/>
      <c r="CA16" s="107"/>
      <c r="CB16" s="107"/>
      <c r="CC16" s="107"/>
      <c r="CD16" s="293"/>
      <c r="CE16" s="291"/>
      <c r="CF16" s="107"/>
      <c r="CG16" s="107"/>
      <c r="CH16" s="107"/>
      <c r="CI16" s="293"/>
      <c r="CJ16" s="291"/>
      <c r="CK16" s="107"/>
      <c r="CL16" s="107"/>
      <c r="CM16" s="107"/>
      <c r="CN16" s="293"/>
      <c r="CO16" s="291"/>
      <c r="CP16" s="107"/>
      <c r="CQ16" s="107"/>
      <c r="CR16" s="107"/>
      <c r="CS16" s="293"/>
      <c r="CT16" s="291"/>
      <c r="CU16" s="107"/>
      <c r="CV16" s="107"/>
      <c r="CW16" s="107"/>
      <c r="CX16" s="293"/>
      <c r="CY16" s="291"/>
      <c r="CZ16" s="107"/>
      <c r="DA16" s="107"/>
      <c r="DB16" s="107"/>
      <c r="DC16" s="293"/>
      <c r="DD16" s="291"/>
      <c r="DE16" s="107"/>
      <c r="DF16" s="107"/>
      <c r="DG16" s="107"/>
      <c r="DH16" s="293"/>
      <c r="DI16" s="291"/>
      <c r="DJ16" s="107"/>
      <c r="DK16" s="107"/>
      <c r="DL16" s="107"/>
      <c r="DM16" s="293"/>
      <c r="DN16" s="291"/>
      <c r="DO16" s="107"/>
      <c r="DP16" s="107"/>
      <c r="DQ16" s="107"/>
      <c r="DR16" s="293"/>
      <c r="DS16" s="291"/>
      <c r="DT16" s="107"/>
      <c r="DU16" s="107"/>
      <c r="DV16" s="107"/>
      <c r="DW16" s="293"/>
      <c r="DX16" s="291"/>
      <c r="DY16" s="107"/>
      <c r="DZ16" s="107"/>
      <c r="EA16" s="107"/>
      <c r="EB16" s="293"/>
      <c r="EC16" s="291"/>
      <c r="ED16" s="107"/>
      <c r="EE16" s="107"/>
      <c r="EF16" s="107"/>
      <c r="EG16" s="293"/>
      <c r="EH16" s="291"/>
      <c r="EI16" s="107"/>
      <c r="EJ16" s="107"/>
      <c r="EK16" s="107"/>
      <c r="EL16" s="293"/>
      <c r="EM16" s="291">
        <f>EM10/IS!EM$24</f>
      </c>
      <c r="EN16" s="291">
        <f>EN10/IS!EN$24</f>
      </c>
      <c r="EO16" s="291">
        <f>EO10/IS!EO$24</f>
      </c>
      <c r="EP16" s="291">
        <f>EP10/IS!EP$24</f>
      </c>
      <c r="EQ16" s="293">
        <f>EQ10/IS!EQ$24</f>
      </c>
      <c r="ER16" s="291">
        <f>ER10/IS!ER$24</f>
      </c>
      <c r="ES16" s="291">
        <f>ES10/IS!ES$24</f>
      </c>
      <c r="ET16" s="291">
        <f>ET10/IS!ET$24</f>
      </c>
      <c r="EU16" s="291">
        <f>EU10/IS!EU$24</f>
      </c>
      <c r="EV16" s="293">
        <f>EV10/IS!EV$24</f>
      </c>
      <c r="EW16" s="291">
        <f>EW10/IS!EW$24</f>
      </c>
      <c r="EX16" s="291">
        <f>EX10/IS!EX$24</f>
      </c>
      <c r="EY16" s="291">
        <f>EY10/IS!EY$24</f>
      </c>
      <c r="EZ16" s="291">
        <f>EZ10/IS!EZ$24</f>
      </c>
      <c r="FA16" s="293">
        <f>FA10/IS!FA$24</f>
      </c>
      <c r="FB16" s="291">
        <f>FB10/IS!FB$24</f>
      </c>
      <c r="FC16" s="291">
        <f>FC10/IS!FC$24</f>
      </c>
      <c r="FD16" s="291">
        <f>FD10/IS!FD$24</f>
      </c>
      <c r="FE16" s="291">
        <f>FE10/IS!FE$24</f>
      </c>
      <c r="FF16" s="293">
        <f>FF10/IS!FF$24</f>
      </c>
      <c r="FG16" s="291">
        <f>FG10/IS!FG$24</f>
      </c>
      <c r="FH16" s="291">
        <f>FH10/IS!FH$24</f>
      </c>
      <c r="FI16" s="291">
        <f>FI10/IS!FI$24</f>
      </c>
      <c r="FJ16" s="291">
        <f>FJ10/IS!FJ$24</f>
      </c>
      <c r="FK16" s="293">
        <f>FK10/IS!FK$24</f>
      </c>
      <c r="FL16" s="291">
        <f>FL10/IS!FL$24</f>
      </c>
      <c r="FM16" s="291">
        <f>FM10/IS!FM$24</f>
      </c>
      <c r="FN16" s="291">
        <f>FN10/IS!FN$24</f>
      </c>
      <c r="FO16" s="291">
        <f>FO10/IS!FO$24</f>
      </c>
      <c r="FP16" s="293">
        <f>FP10/IS!FP$24</f>
      </c>
      <c r="FQ16" s="291">
        <f>FQ10/IS!FQ$24</f>
      </c>
      <c r="FR16" s="291">
        <f>FR10/IS!FR$24</f>
      </c>
      <c r="FS16" s="291">
        <f>FS10/IS!FS$24</f>
      </c>
      <c r="FT16" s="291">
        <f>FT10/IS!FT$24</f>
      </c>
      <c r="FU16" s="293">
        <f>FU10/IS!FU$24</f>
      </c>
      <c r="FV16" s="291">
        <f>FV10/IS!FV$24</f>
      </c>
      <c r="FW16" s="291">
        <f>FW10/IS!FW$24</f>
      </c>
      <c r="FX16" s="291">
        <f>FX10/IS!FX$24</f>
      </c>
      <c r="FY16" s="291">
        <f>FY10/IS!FY$24</f>
      </c>
      <c r="FZ16" s="293">
        <f>FZ10/IS!FZ$24</f>
      </c>
      <c r="GA16" s="291">
        <f>GA10/IS!GA$24</f>
      </c>
      <c r="GB16" s="107">
        <f>GB10/IS!GB$24</f>
      </c>
      <c r="GC16" s="107">
        <f>GC10/IS!GC$24</f>
      </c>
      <c r="GD16" s="107">
        <f>GD10/IS!GD$24</f>
      </c>
      <c r="GE16" s="293">
        <f>GE10/IS!GE$24</f>
      </c>
      <c r="GF16" s="291">
        <f>GF10/IS!GF$24</f>
      </c>
      <c r="GG16" s="107">
        <f>GG10/IS!GG$24</f>
      </c>
      <c r="GH16" s="107">
        <f>GH10/IS!GH$24</f>
      </c>
      <c r="GI16" s="107">
        <f>GI10/IS!GI$24</f>
      </c>
      <c r="GJ16" s="293">
        <f>GJ10/IS!GJ$24</f>
      </c>
    </row>
    <row r="17" spans="1:192" ht="12.75" customHeight="1">
      <c r="B17" s="729"/>
      <c r="C17" s="294"/>
      <c r="D17" s="295"/>
      <c r="E17" s="295"/>
      <c r="F17" s="295"/>
      <c r="G17" s="296"/>
      <c r="H17" s="294"/>
      <c r="I17" s="295"/>
      <c r="J17" s="295"/>
      <c r="K17" s="295"/>
      <c r="L17" s="296"/>
      <c r="M17" s="294"/>
      <c r="N17" s="295"/>
      <c r="O17" s="295"/>
      <c r="P17" s="295"/>
      <c r="Q17" s="296"/>
      <c r="R17" s="294"/>
      <c r="S17" s="295"/>
      <c r="T17" s="295"/>
      <c r="U17" s="295"/>
      <c r="V17" s="296"/>
      <c r="W17" s="294"/>
      <c r="X17" s="295"/>
      <c r="Y17" s="295"/>
      <c r="Z17" s="295"/>
      <c r="AA17" s="296"/>
      <c r="AB17" s="294"/>
      <c r="AC17" s="295"/>
      <c r="AD17" s="295"/>
      <c r="AE17" s="295"/>
      <c r="AF17" s="296"/>
      <c r="AG17" s="294"/>
      <c r="AH17" s="295"/>
      <c r="AI17" s="295"/>
      <c r="AJ17" s="295"/>
      <c r="AK17" s="296"/>
      <c r="AL17" s="294"/>
      <c r="AM17" s="295"/>
      <c r="AN17" s="295"/>
      <c r="AO17" s="295"/>
      <c r="AP17" s="296"/>
      <c r="AQ17" s="294"/>
      <c r="AR17" s="295"/>
      <c r="AS17" s="295"/>
      <c r="AT17" s="295"/>
      <c r="AU17" s="296"/>
      <c r="AV17" s="294"/>
      <c r="AW17" s="295"/>
      <c r="AX17" s="295"/>
      <c r="AY17" s="295"/>
      <c r="AZ17" s="296"/>
      <c r="BA17" s="294"/>
      <c r="BB17" s="295"/>
      <c r="BC17" s="295"/>
      <c r="BD17" s="295"/>
      <c r="BE17" s="296"/>
      <c r="BF17" s="294"/>
      <c r="BG17" s="295"/>
      <c r="BH17" s="295"/>
      <c r="BI17" s="295"/>
      <c r="BJ17" s="296"/>
      <c r="BK17" s="294"/>
      <c r="BL17" s="295"/>
      <c r="BM17" s="295"/>
      <c r="BN17" s="295"/>
      <c r="BO17" s="296"/>
      <c r="BP17" s="294"/>
      <c r="BQ17" s="295"/>
      <c r="BR17" s="295"/>
      <c r="BS17" s="295"/>
      <c r="BT17" s="296"/>
      <c r="BU17" s="294"/>
      <c r="BV17" s="295"/>
      <c r="BW17" s="295"/>
      <c r="BX17" s="295"/>
      <c r="BY17" s="296"/>
      <c r="BZ17" s="294"/>
      <c r="CA17" s="295"/>
      <c r="CB17" s="295"/>
      <c r="CC17" s="295"/>
      <c r="CD17" s="296"/>
      <c r="CE17" s="294"/>
      <c r="CF17" s="295"/>
      <c r="CG17" s="295"/>
      <c r="CH17" s="295"/>
      <c r="CI17" s="296"/>
      <c r="CJ17" s="294"/>
      <c r="CK17" s="295"/>
      <c r="CL17" s="295"/>
      <c r="CM17" s="295"/>
      <c r="CN17" s="296"/>
      <c r="CO17" s="294"/>
      <c r="CP17" s="295"/>
      <c r="CQ17" s="295"/>
      <c r="CR17" s="295"/>
      <c r="CS17" s="296"/>
      <c r="CT17" s="294"/>
      <c r="CU17" s="295"/>
      <c r="CV17" s="295"/>
      <c r="CW17" s="295"/>
      <c r="CX17" s="296"/>
      <c r="CY17" s="294"/>
      <c r="CZ17" s="295"/>
      <c r="DA17" s="295"/>
      <c r="DB17" s="295"/>
      <c r="DC17" s="296"/>
      <c r="DD17" s="294"/>
      <c r="DE17" s="295"/>
      <c r="DF17" s="295"/>
      <c r="DG17" s="295"/>
      <c r="DH17" s="296"/>
      <c r="DI17" s="294"/>
      <c r="DJ17" s="295"/>
      <c r="DK17" s="295"/>
      <c r="DL17" s="295"/>
      <c r="DM17" s="296"/>
      <c r="DN17" s="294"/>
      <c r="DO17" s="295"/>
      <c r="DP17" s="295"/>
      <c r="DQ17" s="295"/>
      <c r="DR17" s="296"/>
      <c r="DS17" s="294"/>
      <c r="DT17" s="295"/>
      <c r="DU17" s="295"/>
      <c r="DV17" s="295"/>
      <c r="DW17" s="296"/>
      <c r="DX17" s="294"/>
      <c r="DY17" s="295"/>
      <c r="DZ17" s="295"/>
      <c r="EA17" s="295"/>
      <c r="EB17" s="296"/>
      <c r="EC17" s="294"/>
      <c r="ED17" s="295"/>
      <c r="EE17" s="295"/>
      <c r="EF17" s="295"/>
      <c r="EG17" s="296"/>
      <c r="EH17" s="294"/>
      <c r="EI17" s="295"/>
      <c r="EJ17" s="295"/>
      <c r="EK17" s="295"/>
      <c r="EL17" s="296"/>
      <c r="EM17" s="294"/>
      <c r="EN17" s="295"/>
      <c r="EO17" s="295"/>
      <c r="EP17" s="295"/>
      <c r="EQ17" s="296"/>
      <c r="ER17" s="294"/>
      <c r="ES17" s="295"/>
      <c r="ET17" s="295"/>
      <c r="EU17" s="295"/>
      <c r="EV17" s="296"/>
      <c r="EW17" s="294"/>
      <c r="EX17" s="295"/>
      <c r="EY17" s="295"/>
      <c r="EZ17" s="295"/>
      <c r="FA17" s="296"/>
      <c r="FB17" s="294"/>
      <c r="FC17" s="295"/>
      <c r="FD17" s="295"/>
      <c r="FE17" s="295"/>
      <c r="FF17" s="296"/>
      <c r="FG17" s="294"/>
      <c r="FH17" s="295"/>
      <c r="FI17" s="295"/>
      <c r="FJ17" s="295"/>
      <c r="FK17" s="296"/>
      <c r="FL17" s="294"/>
      <c r="FM17" s="295"/>
      <c r="FN17" s="295"/>
      <c r="FO17" s="295"/>
      <c r="FP17" s="296"/>
      <c r="FQ17" s="294"/>
      <c r="FR17" s="295"/>
      <c r="FS17" s="295"/>
      <c r="FT17" s="295"/>
      <c r="FU17" s="296"/>
      <c r="FV17" s="294"/>
      <c r="FW17" s="295"/>
      <c r="FX17" s="295"/>
      <c r="FY17" s="295"/>
      <c r="FZ17" s="296"/>
      <c r="GA17" s="294"/>
      <c r="GB17" s="295"/>
      <c r="GC17" s="295"/>
      <c r="GD17" s="295"/>
      <c r="GE17" s="296"/>
      <c r="GF17" s="294"/>
      <c r="GG17" s="295"/>
      <c r="GH17" s="295"/>
      <c r="GI17" s="295"/>
      <c r="GJ17" s="296"/>
    </row>
    <row r="18" spans="1:192" s="1717" customFormat="1" ht="12.75" customHeight="1">
      <c r="A18" s="280"/>
      <c r="B18" s="730" t="s">
        <v>2084</v>
      </c>
      <c r="C18" s="316"/>
      <c r="D18" s="316"/>
      <c r="E18" s="316"/>
      <c r="F18" s="316"/>
      <c r="G18" s="453"/>
      <c r="H18" s="316"/>
      <c r="I18" s="316"/>
      <c r="J18" s="316"/>
      <c r="K18" s="316"/>
      <c r="L18" s="453"/>
      <c r="M18" s="316"/>
      <c r="N18" s="316"/>
      <c r="O18" s="316"/>
      <c r="P18" s="316"/>
      <c r="Q18" s="453"/>
      <c r="R18" s="316"/>
      <c r="S18" s="316"/>
      <c r="T18" s="316"/>
      <c r="U18" s="316"/>
      <c r="V18" s="453"/>
      <c r="W18" s="316"/>
      <c r="X18" s="316"/>
      <c r="Y18" s="316"/>
      <c r="Z18" s="316"/>
      <c r="AA18" s="453"/>
      <c r="AB18" s="316"/>
      <c r="AC18" s="316"/>
      <c r="AD18" s="316"/>
      <c r="AE18" s="316"/>
      <c r="AF18" s="453"/>
      <c r="AG18" s="316"/>
      <c r="AH18" s="316"/>
      <c r="AI18" s="316"/>
      <c r="AJ18" s="316"/>
      <c r="AK18" s="453"/>
      <c r="AL18" s="316"/>
      <c r="AM18" s="316"/>
      <c r="AN18" s="316"/>
      <c r="AO18" s="316"/>
      <c r="AP18" s="453"/>
      <c r="AQ18" s="316"/>
      <c r="AR18" s="316"/>
      <c r="AS18" s="316"/>
      <c r="AT18" s="316"/>
      <c r="AU18" s="453"/>
      <c r="AV18" s="316"/>
      <c r="AW18" s="316"/>
      <c r="AX18" s="316"/>
      <c r="AY18" s="316"/>
      <c r="AZ18" s="453"/>
      <c r="BA18" s="316"/>
      <c r="BB18" s="316"/>
      <c r="BC18" s="316"/>
      <c r="BD18" s="316"/>
      <c r="BE18" s="453"/>
      <c r="BF18" s="316"/>
      <c r="BG18" s="316"/>
      <c r="BH18" s="316"/>
      <c r="BI18" s="316"/>
      <c r="BJ18" s="453"/>
      <c r="BK18" s="316"/>
      <c r="BL18" s="316"/>
      <c r="BM18" s="316"/>
      <c r="BN18" s="316"/>
      <c r="BO18" s="453"/>
      <c r="BP18" s="316"/>
      <c r="BQ18" s="316"/>
      <c r="BR18" s="316"/>
      <c r="BS18" s="316"/>
      <c r="BT18" s="453"/>
      <c r="BU18" s="316"/>
      <c r="BV18" s="316"/>
      <c r="BW18" s="316"/>
      <c r="BX18" s="316"/>
      <c r="BY18" s="453"/>
      <c r="BZ18" s="316"/>
      <c r="CA18" s="316"/>
      <c r="CB18" s="316"/>
      <c r="CC18" s="316"/>
      <c r="CD18" s="453"/>
      <c r="CE18" s="316"/>
      <c r="CF18" s="316"/>
      <c r="CG18" s="316"/>
      <c r="CH18" s="316"/>
      <c r="CI18" s="453"/>
      <c r="CJ18" s="316"/>
      <c r="CK18" s="316"/>
      <c r="CL18" s="316"/>
      <c r="CM18" s="316"/>
      <c r="CN18" s="453"/>
      <c r="CO18" s="316"/>
      <c r="CP18" s="316"/>
      <c r="CQ18" s="316"/>
      <c r="CR18" s="316"/>
      <c r="CS18" s="453"/>
      <c r="CT18" s="316"/>
      <c r="CU18" s="316"/>
      <c r="CV18" s="316"/>
      <c r="CW18" s="316"/>
      <c r="CX18" s="453"/>
      <c r="CY18" s="316"/>
      <c r="CZ18" s="316"/>
      <c r="DA18" s="316"/>
      <c r="DB18" s="316"/>
      <c r="DC18" s="453"/>
      <c r="DD18" s="316"/>
      <c r="DE18" s="316"/>
      <c r="DF18" s="316"/>
      <c r="DG18" s="316"/>
      <c r="DH18" s="453"/>
      <c r="DI18" s="316"/>
      <c r="DJ18" s="316"/>
      <c r="DK18" s="316"/>
      <c r="DL18" s="316"/>
      <c r="DM18" s="453"/>
      <c r="DN18" s="316"/>
      <c r="DO18" s="316"/>
      <c r="DP18" s="316"/>
      <c r="DQ18" s="316"/>
      <c r="DR18" s="453"/>
      <c r="DS18" s="316"/>
      <c r="DT18" s="316"/>
      <c r="DU18" s="316"/>
      <c r="DV18" s="316"/>
      <c r="DW18" s="453"/>
      <c r="DX18" s="316"/>
      <c r="DY18" s="316"/>
      <c r="DZ18" s="316"/>
      <c r="EA18" s="316"/>
      <c r="EB18" s="453"/>
      <c r="EC18" s="316"/>
      <c r="ED18" s="316"/>
      <c r="EE18" s="316"/>
      <c r="EF18" s="316"/>
      <c r="EG18" s="453"/>
      <c r="EH18" s="316"/>
      <c r="EI18" s="316"/>
      <c r="EJ18" s="316"/>
      <c r="EK18" s="316"/>
      <c r="EL18" s="453"/>
      <c r="EM18" s="316"/>
      <c r="EN18" s="316"/>
      <c r="EO18" s="316"/>
      <c r="EP18" s="316"/>
      <c r="EQ18" s="453"/>
      <c r="ER18" s="316"/>
      <c r="ES18" s="316"/>
      <c r="ET18" s="316"/>
      <c r="EU18" s="316"/>
      <c r="EV18" s="453">
        <v>29611</v>
      </c>
      <c r="EW18" s="316"/>
      <c r="EX18" s="316"/>
      <c r="EY18" s="316"/>
      <c r="EZ18" s="316"/>
      <c r="FA18" s="453">
        <v>40171</v>
      </c>
      <c r="FB18" s="316"/>
      <c r="FC18" s="316"/>
      <c r="FD18" s="316"/>
      <c r="FE18" s="316"/>
      <c r="FF18" s="453"/>
      <c r="FG18" s="316"/>
      <c r="FH18" s="316"/>
      <c r="FI18" s="316"/>
      <c r="FJ18" s="316"/>
      <c r="FK18" s="453"/>
      <c r="FL18" s="316"/>
      <c r="FM18" s="316"/>
      <c r="FN18" s="316"/>
      <c r="FO18" s="316"/>
      <c r="FP18" s="453"/>
      <c r="FQ18" s="316"/>
      <c r="FR18" s="316"/>
      <c r="FS18" s="316"/>
      <c r="FT18" s="316"/>
      <c r="FU18" s="453"/>
      <c r="FV18" s="316"/>
      <c r="FW18" s="316"/>
      <c r="FX18" s="316"/>
      <c r="FY18" s="316"/>
      <c r="FZ18" s="453"/>
      <c r="GA18" s="316"/>
      <c r="GB18" s="316"/>
      <c r="GC18" s="316"/>
      <c r="GD18" s="316"/>
      <c r="GE18" s="453"/>
      <c r="GF18" s="316"/>
      <c r="GG18" s="316"/>
      <c r="GH18" s="316"/>
      <c r="GI18" s="316"/>
      <c r="GJ18" s="453"/>
    </row>
    <row r="19" spans="1:192" ht="12.75" customHeight="1">
      <c r="B19" s="727" t="s">
        <v>34</v>
      </c>
      <c r="C19" s="291"/>
      <c r="D19" s="107"/>
      <c r="E19" s="107"/>
      <c r="F19" s="107"/>
      <c r="G19" s="292"/>
      <c r="H19" s="291"/>
      <c r="I19" s="107"/>
      <c r="J19" s="107"/>
      <c r="K19" s="107"/>
      <c r="L19" s="292"/>
      <c r="M19" s="291"/>
      <c r="N19" s="107"/>
      <c r="O19" s="107"/>
      <c r="P19" s="107"/>
      <c r="Q19" s="292"/>
      <c r="R19" s="291"/>
      <c r="S19" s="107"/>
      <c r="T19" s="107"/>
      <c r="U19" s="107"/>
      <c r="V19" s="292"/>
      <c r="W19" s="291"/>
      <c r="X19" s="107"/>
      <c r="Y19" s="107"/>
      <c r="Z19" s="107"/>
      <c r="AA19" s="292"/>
      <c r="AB19" s="291"/>
      <c r="AC19" s="107"/>
      <c r="AD19" s="107"/>
      <c r="AE19" s="107"/>
      <c r="AF19" s="292"/>
      <c r="AG19" s="291"/>
      <c r="AH19" s="107"/>
      <c r="AI19" s="107"/>
      <c r="AJ19" s="107"/>
      <c r="AK19" s="292"/>
      <c r="AL19" s="291"/>
      <c r="AM19" s="107"/>
      <c r="AN19" s="107"/>
      <c r="AO19" s="107"/>
      <c r="AP19" s="292"/>
      <c r="AQ19" s="291"/>
      <c r="AR19" s="107"/>
      <c r="AS19" s="107"/>
      <c r="AT19" s="107"/>
      <c r="AU19" s="292"/>
      <c r="AV19" s="291"/>
      <c r="AW19" s="107"/>
      <c r="AX19" s="107"/>
      <c r="AY19" s="107"/>
      <c r="AZ19" s="292"/>
      <c r="BA19" s="291"/>
      <c r="BB19" s="107"/>
      <c r="BC19" s="107"/>
      <c r="BD19" s="107"/>
      <c r="BE19" s="292"/>
      <c r="BF19" s="291"/>
      <c r="BG19" s="107"/>
      <c r="BH19" s="107"/>
      <c r="BI19" s="107"/>
      <c r="BJ19" s="292"/>
      <c r="BK19" s="291"/>
      <c r="BL19" s="107"/>
      <c r="BM19" s="107"/>
      <c r="BN19" s="107"/>
      <c r="BO19" s="292"/>
      <c r="BP19" s="291"/>
      <c r="BQ19" s="107"/>
      <c r="BR19" s="107"/>
      <c r="BS19" s="107"/>
      <c r="BT19" s="292"/>
      <c r="BU19" s="291"/>
      <c r="BV19" s="107"/>
      <c r="BW19" s="107"/>
      <c r="BX19" s="107"/>
      <c r="BY19" s="292"/>
      <c r="BZ19" s="291"/>
      <c r="CA19" s="107"/>
      <c r="CB19" s="107"/>
      <c r="CC19" s="107"/>
      <c r="CD19" s="292"/>
      <c r="CE19" s="291"/>
      <c r="CF19" s="107"/>
      <c r="CG19" s="107"/>
      <c r="CH19" s="107"/>
      <c r="CI19" s="292"/>
      <c r="CJ19" s="291"/>
      <c r="CK19" s="107"/>
      <c r="CL19" s="107"/>
      <c r="CM19" s="107"/>
      <c r="CN19" s="292"/>
      <c r="CO19" s="291"/>
      <c r="CP19" s="107"/>
      <c r="CQ19" s="107"/>
      <c r="CR19" s="107"/>
      <c r="CS19" s="292"/>
      <c r="CT19" s="291"/>
      <c r="CU19" s="107"/>
      <c r="CV19" s="107"/>
      <c r="CW19" s="107"/>
      <c r="CX19" s="292"/>
      <c r="CY19" s="291"/>
      <c r="CZ19" s="107"/>
      <c r="DA19" s="107"/>
      <c r="DB19" s="107"/>
      <c r="DC19" s="292"/>
      <c r="DD19" s="412"/>
      <c r="DE19" s="114"/>
      <c r="DF19" s="114"/>
      <c r="DG19" s="114"/>
      <c r="DH19" s="292"/>
      <c r="DI19" s="412"/>
      <c r="DJ19" s="114"/>
      <c r="DK19" s="114"/>
      <c r="DL19" s="114"/>
      <c r="DM19" s="292"/>
      <c r="DN19" s="412"/>
      <c r="DO19" s="114"/>
      <c r="DP19" s="114"/>
      <c r="DQ19" s="114"/>
      <c r="DR19" s="292"/>
      <c r="DS19" s="412"/>
      <c r="DT19" s="114"/>
      <c r="DU19" s="114"/>
      <c r="DV19" s="114"/>
      <c r="DW19" s="292"/>
      <c r="DX19" s="412"/>
      <c r="DY19" s="114"/>
      <c r="DZ19" s="114"/>
      <c r="EA19" s="114"/>
      <c r="EB19" s="292"/>
      <c r="EC19" s="412"/>
      <c r="ED19" s="114"/>
      <c r="EE19" s="114"/>
      <c r="EF19" s="114"/>
      <c r="EG19" s="292"/>
      <c r="EH19" s="412"/>
      <c r="EI19" s="114"/>
      <c r="EJ19" s="114"/>
      <c r="EK19" s="114"/>
      <c r="EL19" s="413"/>
      <c r="EM19" s="412"/>
      <c r="EN19" s="114"/>
      <c r="EO19" s="114"/>
      <c r="EP19" s="114"/>
      <c r="EQ19" s="292"/>
      <c r="ER19" s="412"/>
      <c r="ES19" s="114"/>
      <c r="ET19" s="439"/>
      <c r="EU19" s="439"/>
      <c r="EV19" s="292"/>
      <c r="EW19" s="441"/>
      <c r="EX19" s="439"/>
      <c r="EY19" s="439"/>
      <c r="EZ19" s="439"/>
      <c r="FA19" s="292">
        <f>FA18/EV18-1</f>
      </c>
      <c r="FB19" s="291"/>
      <c r="FC19" s="107"/>
      <c r="FD19" s="107"/>
      <c r="FE19" s="107"/>
      <c r="FF19" s="292"/>
      <c r="FG19" s="291"/>
      <c r="FH19" s="107"/>
      <c r="FI19" s="107"/>
      <c r="FJ19" s="107"/>
      <c r="FK19" s="292"/>
      <c r="FL19" s="291"/>
      <c r="FM19" s="107"/>
      <c r="FN19" s="107"/>
      <c r="FO19" s="107"/>
      <c r="FP19" s="292"/>
      <c r="FQ19" s="291"/>
      <c r="FR19" s="107"/>
      <c r="FS19" s="107"/>
      <c r="FT19" s="107"/>
      <c r="FU19" s="292"/>
      <c r="FV19" s="291"/>
      <c r="FW19" s="107"/>
      <c r="FX19" s="107"/>
      <c r="FY19" s="107"/>
      <c r="FZ19" s="292"/>
      <c r="GA19" s="291"/>
      <c r="GB19" s="107"/>
      <c r="GC19" s="107"/>
      <c r="GD19" s="107"/>
      <c r="GE19" s="292"/>
      <c r="GF19" s="291"/>
      <c r="GG19" s="107"/>
      <c r="GH19" s="107"/>
      <c r="GI19" s="107"/>
      <c r="GJ19" s="292"/>
    </row>
    <row r="20" spans="1:192" ht="12.75" customHeight="1">
      <c r="B20" s="727" t="s">
        <v>36</v>
      </c>
      <c r="C20" s="291"/>
      <c r="D20" s="107"/>
      <c r="E20" s="107"/>
      <c r="F20" s="107"/>
      <c r="G20" s="293"/>
      <c r="H20" s="291"/>
      <c r="I20" s="107"/>
      <c r="J20" s="107"/>
      <c r="K20" s="107"/>
      <c r="L20" s="293"/>
      <c r="M20" s="291"/>
      <c r="N20" s="107"/>
      <c r="O20" s="107"/>
      <c r="P20" s="107"/>
      <c r="Q20" s="293"/>
      <c r="R20" s="291"/>
      <c r="S20" s="107"/>
      <c r="T20" s="107"/>
      <c r="U20" s="107"/>
      <c r="V20" s="293"/>
      <c r="W20" s="291"/>
      <c r="X20" s="107"/>
      <c r="Y20" s="107"/>
      <c r="Z20" s="107"/>
      <c r="AA20" s="293"/>
      <c r="AB20" s="291"/>
      <c r="AC20" s="107"/>
      <c r="AD20" s="107"/>
      <c r="AE20" s="107"/>
      <c r="AF20" s="293"/>
      <c r="AG20" s="291"/>
      <c r="AH20" s="107"/>
      <c r="AI20" s="107"/>
      <c r="AJ20" s="107"/>
      <c r="AK20" s="293"/>
      <c r="AL20" s="291"/>
      <c r="AM20" s="107"/>
      <c r="AN20" s="107"/>
      <c r="AO20" s="107"/>
      <c r="AP20" s="293"/>
      <c r="AQ20" s="291"/>
      <c r="AR20" s="107"/>
      <c r="AS20" s="107"/>
      <c r="AT20" s="107"/>
      <c r="AU20" s="293"/>
      <c r="AV20" s="291"/>
      <c r="AW20" s="107"/>
      <c r="AX20" s="107"/>
      <c r="AY20" s="107"/>
      <c r="AZ20" s="293"/>
      <c r="BA20" s="291"/>
      <c r="BB20" s="107"/>
      <c r="BC20" s="107"/>
      <c r="BD20" s="107"/>
      <c r="BE20" s="293"/>
      <c r="BF20" s="291"/>
      <c r="BG20" s="107"/>
      <c r="BH20" s="107"/>
      <c r="BI20" s="107"/>
      <c r="BJ20" s="293"/>
      <c r="BK20" s="291"/>
      <c r="BL20" s="107"/>
      <c r="BM20" s="107"/>
      <c r="BN20" s="107"/>
      <c r="BO20" s="293"/>
      <c r="BP20" s="291"/>
      <c r="BQ20" s="107"/>
      <c r="BR20" s="107"/>
      <c r="BS20" s="107"/>
      <c r="BT20" s="293"/>
      <c r="BU20" s="291"/>
      <c r="BV20" s="107"/>
      <c r="BW20" s="107"/>
      <c r="BX20" s="107"/>
      <c r="BY20" s="293"/>
      <c r="BZ20" s="291"/>
      <c r="CA20" s="107"/>
      <c r="CB20" s="107"/>
      <c r="CC20" s="107"/>
      <c r="CD20" s="293"/>
      <c r="CE20" s="291"/>
      <c r="CF20" s="107"/>
      <c r="CG20" s="107"/>
      <c r="CH20" s="107"/>
      <c r="CI20" s="293"/>
      <c r="CJ20" s="291"/>
      <c r="CK20" s="107"/>
      <c r="CL20" s="107"/>
      <c r="CM20" s="107"/>
      <c r="CN20" s="293"/>
      <c r="CO20" s="291"/>
      <c r="CP20" s="107"/>
      <c r="CQ20" s="107"/>
      <c r="CR20" s="107"/>
      <c r="CS20" s="293"/>
      <c r="CT20" s="291"/>
      <c r="CU20" s="107"/>
      <c r="CV20" s="107"/>
      <c r="CW20" s="107"/>
      <c r="CX20" s="293"/>
      <c r="CY20" s="291"/>
      <c r="CZ20" s="107"/>
      <c r="DA20" s="107"/>
      <c r="DB20" s="107"/>
      <c r="DC20" s="293"/>
      <c r="DD20" s="291"/>
      <c r="DE20" s="107"/>
      <c r="DF20" s="107"/>
      <c r="DG20" s="107"/>
      <c r="DH20" s="293"/>
      <c r="DI20" s="291"/>
      <c r="DJ20" s="107"/>
      <c r="DK20" s="107"/>
      <c r="DL20" s="107"/>
      <c r="DM20" s="293"/>
      <c r="DN20" s="291"/>
      <c r="DO20" s="107"/>
      <c r="DP20" s="107"/>
      <c r="DQ20" s="107"/>
      <c r="DR20" s="293"/>
      <c r="DS20" s="291"/>
      <c r="DT20" s="107"/>
      <c r="DU20" s="107"/>
      <c r="DV20" s="107"/>
      <c r="DW20" s="293"/>
      <c r="DX20" s="291"/>
      <c r="DY20" s="107"/>
      <c r="DZ20" s="107"/>
      <c r="EA20" s="107"/>
      <c r="EB20" s="293"/>
      <c r="EC20" s="291"/>
      <c r="ED20" s="107"/>
      <c r="EE20" s="107"/>
      <c r="EF20" s="107"/>
      <c r="EG20" s="293"/>
      <c r="EH20" s="291"/>
      <c r="EI20" s="107"/>
      <c r="EJ20" s="107"/>
      <c r="EK20" s="107"/>
      <c r="EL20" s="293"/>
      <c r="EM20" s="291"/>
      <c r="EN20" s="107"/>
      <c r="EO20" s="107"/>
      <c r="EP20" s="107"/>
      <c r="EQ20" s="293"/>
      <c r="ER20" s="291"/>
      <c r="ES20" s="107"/>
      <c r="ET20" s="107"/>
      <c r="EU20" s="468"/>
      <c r="EV20" s="293"/>
      <c r="EW20" s="291"/>
      <c r="EX20" s="107"/>
      <c r="EY20" s="114"/>
      <c r="EZ20" s="107"/>
      <c r="FA20" s="293"/>
      <c r="FB20" s="291"/>
      <c r="FC20" s="107"/>
      <c r="FD20" s="107"/>
      <c r="FE20" s="107"/>
      <c r="FF20" s="293"/>
      <c r="FG20" s="291"/>
      <c r="FH20" s="107"/>
      <c r="FI20" s="107"/>
      <c r="FJ20" s="107"/>
      <c r="FK20" s="293"/>
      <c r="FL20" s="291"/>
      <c r="FM20" s="107"/>
      <c r="FN20" s="107"/>
      <c r="FO20" s="107"/>
      <c r="FP20" s="293"/>
      <c r="FQ20" s="291"/>
      <c r="FR20" s="107"/>
      <c r="FS20" s="107"/>
      <c r="FT20" s="107"/>
      <c r="FU20" s="293"/>
      <c r="FV20" s="291"/>
      <c r="FW20" s="107"/>
      <c r="FX20" s="107"/>
      <c r="FY20" s="107"/>
      <c r="FZ20" s="293"/>
      <c r="GA20" s="291"/>
      <c r="GB20" s="107"/>
      <c r="GC20" s="107"/>
      <c r="GD20" s="107"/>
      <c r="GE20" s="293"/>
      <c r="GF20" s="291"/>
      <c r="GG20" s="107"/>
      <c r="GH20" s="107"/>
      <c r="GI20" s="107"/>
      <c r="GJ20" s="293"/>
    </row>
    <row r="21" spans="1:192" s="461" customFormat="1" ht="12.75" customHeight="1">
      <c r="A21" s="370"/>
      <c r="B21" s="1718" t="s">
        <v>2083</v>
      </c>
      <c r="C21" s="447"/>
      <c r="D21" s="458"/>
      <c r="E21" s="458"/>
      <c r="F21" s="458"/>
      <c r="G21" s="459"/>
      <c r="H21" s="447"/>
      <c r="I21" s="458"/>
      <c r="J21" s="458"/>
      <c r="K21" s="458"/>
      <c r="L21" s="459"/>
      <c r="M21" s="447"/>
      <c r="N21" s="458"/>
      <c r="O21" s="458"/>
      <c r="P21" s="458"/>
      <c r="Q21" s="459"/>
      <c r="R21" s="447"/>
      <c r="S21" s="458"/>
      <c r="T21" s="458"/>
      <c r="U21" s="458"/>
      <c r="V21" s="459"/>
      <c r="W21" s="447"/>
      <c r="X21" s="458"/>
      <c r="Y21" s="458"/>
      <c r="Z21" s="458"/>
      <c r="AA21" s="459"/>
      <c r="AB21" s="447"/>
      <c r="AC21" s="458"/>
      <c r="AD21" s="458"/>
      <c r="AE21" s="458"/>
      <c r="AF21" s="459"/>
      <c r="AG21" s="447"/>
      <c r="AH21" s="458"/>
      <c r="AI21" s="458"/>
      <c r="AJ21" s="458"/>
      <c r="AK21" s="459"/>
      <c r="AL21" s="447"/>
      <c r="AM21" s="458"/>
      <c r="AN21" s="458"/>
      <c r="AO21" s="458"/>
      <c r="AP21" s="459"/>
      <c r="AQ21" s="447"/>
      <c r="AR21" s="458"/>
      <c r="AS21" s="458"/>
      <c r="AT21" s="458"/>
      <c r="AU21" s="459"/>
      <c r="AV21" s="447"/>
      <c r="AW21" s="458"/>
      <c r="AX21" s="458"/>
      <c r="AY21" s="458"/>
      <c r="AZ21" s="459"/>
      <c r="BA21" s="447"/>
      <c r="BB21" s="458"/>
      <c r="BC21" s="458"/>
      <c r="BD21" s="458"/>
      <c r="BE21" s="459"/>
      <c r="BF21" s="447"/>
      <c r="BG21" s="458"/>
      <c r="BH21" s="458"/>
      <c r="BI21" s="458"/>
      <c r="BJ21" s="459"/>
      <c r="BK21" s="447"/>
      <c r="BL21" s="458"/>
      <c r="BM21" s="458"/>
      <c r="BN21" s="458"/>
      <c r="BO21" s="459"/>
      <c r="BP21" s="447"/>
      <c r="BQ21" s="458"/>
      <c r="BR21" s="458"/>
      <c r="BS21" s="458"/>
      <c r="BT21" s="459"/>
      <c r="BU21" s="447"/>
      <c r="BV21" s="458"/>
      <c r="BW21" s="458"/>
      <c r="BX21" s="458"/>
      <c r="BY21" s="459"/>
      <c r="BZ21" s="447"/>
      <c r="CA21" s="458"/>
      <c r="CB21" s="458"/>
      <c r="CC21" s="458"/>
      <c r="CD21" s="459"/>
      <c r="CE21" s="447"/>
      <c r="CF21" s="458"/>
      <c r="CG21" s="458"/>
      <c r="CH21" s="458"/>
      <c r="CI21" s="459"/>
      <c r="CJ21" s="447"/>
      <c r="CK21" s="458"/>
      <c r="CL21" s="458"/>
      <c r="CM21" s="458"/>
      <c r="CN21" s="459"/>
      <c r="CO21" s="447"/>
      <c r="CP21" s="458"/>
      <c r="CQ21" s="458"/>
      <c r="CR21" s="458"/>
      <c r="CS21" s="459"/>
      <c r="CT21" s="447"/>
      <c r="CU21" s="458"/>
      <c r="CV21" s="458"/>
      <c r="CW21" s="458"/>
      <c r="CX21" s="459"/>
      <c r="CY21" s="447"/>
      <c r="CZ21" s="447"/>
      <c r="DA21" s="447"/>
      <c r="DB21" s="447"/>
      <c r="DC21" s="462"/>
      <c r="DD21" s="447"/>
      <c r="DE21" s="447"/>
      <c r="DF21" s="447"/>
      <c r="DG21" s="447"/>
      <c r="DH21" s="462"/>
      <c r="DI21" s="447"/>
      <c r="DJ21" s="447"/>
      <c r="DK21" s="447"/>
      <c r="DL21" s="447"/>
      <c r="DM21" s="462"/>
      <c r="DN21" s="447"/>
      <c r="DO21" s="447"/>
      <c r="DP21" s="447"/>
      <c r="DQ21" s="447"/>
      <c r="DR21" s="462"/>
      <c r="DS21" s="447"/>
      <c r="DT21" s="447"/>
      <c r="DU21" s="447"/>
      <c r="DV21" s="447"/>
      <c r="DW21" s="462"/>
      <c r="DX21" s="447"/>
      <c r="DY21" s="447"/>
      <c r="DZ21" s="447"/>
      <c r="EA21" s="447"/>
      <c r="EB21" s="462"/>
      <c r="EC21" s="447"/>
      <c r="ED21" s="447"/>
      <c r="EE21" s="447"/>
      <c r="EF21" s="447"/>
      <c r="EG21" s="462"/>
      <c r="EH21" s="447"/>
      <c r="EI21" s="447"/>
      <c r="EJ21" s="447"/>
      <c r="EK21" s="447"/>
      <c r="EL21" s="494"/>
      <c r="EM21" s="448"/>
      <c r="EN21" s="448"/>
      <c r="EO21" s="448"/>
      <c r="EP21" s="458"/>
      <c r="EQ21" s="494"/>
      <c r="ER21" s="448"/>
      <c r="ES21" s="496"/>
      <c r="ET21" s="815"/>
      <c r="EU21" s="458"/>
      <c r="EV21" s="494"/>
      <c r="EW21" s="496"/>
      <c r="EX21" s="496"/>
      <c r="EY21" s="496"/>
      <c r="EZ21" s="815"/>
      <c r="FA21" s="459">
        <f>FA18-EV18</f>
      </c>
      <c r="FB21" s="447"/>
      <c r="FC21" s="458"/>
      <c r="FD21" s="458"/>
      <c r="FE21" s="458"/>
      <c r="FF21" s="459"/>
      <c r="FG21" s="447"/>
      <c r="FH21" s="458"/>
      <c r="FI21" s="458"/>
      <c r="FJ21" s="458"/>
      <c r="FK21" s="459"/>
      <c r="FL21" s="447"/>
      <c r="FM21" s="458"/>
      <c r="FN21" s="458"/>
      <c r="FO21" s="458"/>
      <c r="FP21" s="459"/>
      <c r="FQ21" s="447"/>
      <c r="FR21" s="458"/>
      <c r="FS21" s="458"/>
      <c r="FT21" s="458"/>
      <c r="FU21" s="459"/>
      <c r="FV21" s="447"/>
      <c r="FW21" s="458"/>
      <c r="FX21" s="458"/>
      <c r="FY21" s="458"/>
      <c r="FZ21" s="459"/>
      <c r="GA21" s="447"/>
      <c r="GB21" s="458"/>
      <c r="GC21" s="458"/>
      <c r="GD21" s="458"/>
      <c r="GE21" s="459"/>
      <c r="GF21" s="447"/>
      <c r="GG21" s="458"/>
      <c r="GH21" s="458"/>
      <c r="GI21" s="458"/>
      <c r="GJ21" s="459"/>
    </row>
    <row r="22" spans="1:192" ht="12.75" customHeight="1">
      <c r="B22" s="727"/>
      <c r="C22" s="291"/>
      <c r="D22" s="107"/>
      <c r="E22" s="107"/>
      <c r="F22" s="107"/>
      <c r="G22" s="293"/>
      <c r="H22" s="291"/>
      <c r="I22" s="107"/>
      <c r="J22" s="107"/>
      <c r="K22" s="107"/>
      <c r="L22" s="293"/>
      <c r="M22" s="291"/>
      <c r="N22" s="107"/>
      <c r="O22" s="107"/>
      <c r="P22" s="107"/>
      <c r="Q22" s="293"/>
      <c r="R22" s="291"/>
      <c r="S22" s="107"/>
      <c r="T22" s="107"/>
      <c r="U22" s="107"/>
      <c r="V22" s="293"/>
      <c r="W22" s="291"/>
      <c r="X22" s="107"/>
      <c r="Y22" s="107"/>
      <c r="Z22" s="107"/>
      <c r="AA22" s="293"/>
      <c r="AB22" s="291"/>
      <c r="AC22" s="107"/>
      <c r="AD22" s="107"/>
      <c r="AE22" s="107"/>
      <c r="AF22" s="293"/>
      <c r="AG22" s="291"/>
      <c r="AH22" s="107"/>
      <c r="AI22" s="107"/>
      <c r="AJ22" s="107"/>
      <c r="AK22" s="293"/>
      <c r="AL22" s="291"/>
      <c r="AM22" s="107"/>
      <c r="AN22" s="107"/>
      <c r="AO22" s="107"/>
      <c r="AP22" s="293"/>
      <c r="AQ22" s="291"/>
      <c r="AR22" s="107"/>
      <c r="AS22" s="107"/>
      <c r="AT22" s="107"/>
      <c r="AU22" s="293"/>
      <c r="AV22" s="291"/>
      <c r="AW22" s="107"/>
      <c r="AX22" s="107"/>
      <c r="AY22" s="107"/>
      <c r="AZ22" s="293"/>
      <c r="BA22" s="291"/>
      <c r="BB22" s="107"/>
      <c r="BC22" s="107"/>
      <c r="BD22" s="107"/>
      <c r="BE22" s="293"/>
      <c r="BF22" s="291"/>
      <c r="BG22" s="107"/>
      <c r="BH22" s="107"/>
      <c r="BI22" s="107"/>
      <c r="BJ22" s="293"/>
      <c r="BK22" s="291"/>
      <c r="BL22" s="107"/>
      <c r="BM22" s="107"/>
      <c r="BN22" s="107"/>
      <c r="BO22" s="293"/>
      <c r="BP22" s="291"/>
      <c r="BQ22" s="107"/>
      <c r="BR22" s="107"/>
      <c r="BS22" s="107"/>
      <c r="BT22" s="293"/>
      <c r="BU22" s="291"/>
      <c r="BV22" s="107"/>
      <c r="BW22" s="107"/>
      <c r="BX22" s="107"/>
      <c r="BY22" s="293"/>
      <c r="BZ22" s="291"/>
      <c r="CA22" s="107"/>
      <c r="CB22" s="107"/>
      <c r="CC22" s="107"/>
      <c r="CD22" s="293"/>
      <c r="CE22" s="291"/>
      <c r="CF22" s="107"/>
      <c r="CG22" s="107"/>
      <c r="CH22" s="107"/>
      <c r="CI22" s="293"/>
      <c r="CJ22" s="291"/>
      <c r="CK22" s="107"/>
      <c r="CL22" s="107"/>
      <c r="CM22" s="107"/>
      <c r="CN22" s="293"/>
      <c r="CO22" s="291"/>
      <c r="CP22" s="107"/>
      <c r="CQ22" s="107"/>
      <c r="CR22" s="107"/>
      <c r="CS22" s="293"/>
      <c r="CT22" s="291"/>
      <c r="CU22" s="107"/>
      <c r="CV22" s="107"/>
      <c r="CW22" s="107"/>
      <c r="CX22" s="293"/>
      <c r="CY22" s="291"/>
      <c r="CZ22" s="107"/>
      <c r="DA22" s="107"/>
      <c r="DB22" s="107"/>
      <c r="DC22" s="293"/>
      <c r="DD22" s="291"/>
      <c r="DE22" s="107"/>
      <c r="DF22" s="107"/>
      <c r="DG22" s="107"/>
      <c r="DH22" s="293"/>
      <c r="DI22" s="291"/>
      <c r="DJ22" s="107"/>
      <c r="DK22" s="107"/>
      <c r="DL22" s="107"/>
      <c r="DM22" s="293"/>
      <c r="DN22" s="291"/>
      <c r="DO22" s="107"/>
      <c r="DP22" s="107"/>
      <c r="DQ22" s="107"/>
      <c r="DR22" s="293"/>
      <c r="DS22" s="291"/>
      <c r="DT22" s="107"/>
      <c r="DU22" s="107"/>
      <c r="DV22" s="107"/>
      <c r="DW22" s="293"/>
      <c r="DX22" s="291"/>
      <c r="DY22" s="107"/>
      <c r="DZ22" s="107"/>
      <c r="EA22" s="107"/>
      <c r="EB22" s="293"/>
      <c r="EC22" s="291"/>
      <c r="ED22" s="107"/>
      <c r="EE22" s="107"/>
      <c r="EF22" s="107"/>
      <c r="EG22" s="293"/>
      <c r="EH22" s="291"/>
      <c r="EI22" s="107"/>
      <c r="EJ22" s="107"/>
      <c r="EK22" s="107"/>
      <c r="EL22" s="293"/>
      <c r="EM22" s="294"/>
      <c r="EN22" s="295"/>
      <c r="EO22" s="295"/>
      <c r="EP22" s="469"/>
      <c r="EQ22" s="293"/>
      <c r="ER22" s="446"/>
      <c r="ES22" s="295"/>
      <c r="ET22" s="295"/>
      <c r="EU22" s="295"/>
      <c r="EV22" s="296"/>
      <c r="EW22" s="289"/>
      <c r="EX22" s="107"/>
      <c r="EY22" s="506"/>
      <c r="EZ22" s="107"/>
      <c r="FA22" s="293"/>
      <c r="FB22" s="291"/>
      <c r="FC22" s="107"/>
      <c r="FD22" s="107"/>
      <c r="FE22" s="107"/>
      <c r="FF22" s="293"/>
      <c r="FG22" s="291"/>
      <c r="FH22" s="107"/>
      <c r="FI22" s="107"/>
      <c r="FJ22" s="107"/>
      <c r="FK22" s="293"/>
      <c r="FL22" s="291"/>
      <c r="FM22" s="107"/>
      <c r="FN22" s="107"/>
      <c r="FO22" s="107"/>
      <c r="FP22" s="293"/>
      <c r="FQ22" s="291"/>
      <c r="FR22" s="107"/>
      <c r="FS22" s="107"/>
      <c r="FT22" s="107"/>
      <c r="FU22" s="293"/>
      <c r="FV22" s="291"/>
      <c r="FW22" s="107"/>
      <c r="FX22" s="107"/>
      <c r="FY22" s="107"/>
      <c r="FZ22" s="293"/>
      <c r="GA22" s="291"/>
      <c r="GB22" s="107"/>
      <c r="GC22" s="107"/>
      <c r="GD22" s="107"/>
      <c r="GE22" s="293"/>
      <c r="GF22" s="291"/>
      <c r="GG22" s="107"/>
      <c r="GH22" s="107"/>
      <c r="GI22" s="107"/>
      <c r="GJ22" s="293"/>
    </row>
    <row r="23" spans="1:192" s="317" customFormat="1" ht="12.75" customHeight="1" collapsed="1">
      <c r="A23" s="280"/>
      <c r="B23" s="730" t="s">
        <v>264</v>
      </c>
      <c r="C23" s="315"/>
      <c r="D23" s="315"/>
      <c r="E23" s="315"/>
      <c r="F23" s="315"/>
      <c r="G23" s="313"/>
      <c r="H23" s="315"/>
      <c r="I23" s="315"/>
      <c r="J23" s="315"/>
      <c r="K23" s="315"/>
      <c r="L23" s="313"/>
      <c r="M23" s="315"/>
      <c r="N23" s="315"/>
      <c r="O23" s="315"/>
      <c r="P23" s="315"/>
      <c r="Q23" s="313"/>
      <c r="R23" s="315"/>
      <c r="S23" s="315"/>
      <c r="T23" s="315"/>
      <c r="U23" s="315"/>
      <c r="V23" s="313"/>
      <c r="W23" s="315"/>
      <c r="X23" s="315"/>
      <c r="Y23" s="315"/>
      <c r="Z23" s="315"/>
      <c r="AA23" s="313"/>
      <c r="AB23" s="315"/>
      <c r="AC23" s="315"/>
      <c r="AD23" s="315"/>
      <c r="AE23" s="315"/>
      <c r="AF23" s="313"/>
      <c r="AG23" s="315"/>
      <c r="AH23" s="315"/>
      <c r="AI23" s="315"/>
      <c r="AJ23" s="315"/>
      <c r="AK23" s="313"/>
      <c r="AL23" s="315"/>
      <c r="AM23" s="315"/>
      <c r="AN23" s="315"/>
      <c r="AO23" s="315"/>
      <c r="AP23" s="313"/>
      <c r="AQ23" s="315"/>
      <c r="AR23" s="315"/>
      <c r="AS23" s="315"/>
      <c r="AT23" s="315"/>
      <c r="AU23" s="313"/>
      <c r="AV23" s="315"/>
      <c r="AW23" s="315"/>
      <c r="AX23" s="315"/>
      <c r="AY23" s="315"/>
      <c r="AZ23" s="313"/>
      <c r="BA23" s="315"/>
      <c r="BB23" s="315"/>
      <c r="BC23" s="315"/>
      <c r="BD23" s="315"/>
      <c r="BE23" s="313"/>
      <c r="BF23" s="315"/>
      <c r="BG23" s="315"/>
      <c r="BH23" s="315"/>
      <c r="BI23" s="315"/>
      <c r="BJ23" s="313"/>
      <c r="BK23" s="315"/>
      <c r="BL23" s="315"/>
      <c r="BM23" s="315"/>
      <c r="BN23" s="315"/>
      <c r="BO23" s="313"/>
      <c r="BP23" s="315"/>
      <c r="BQ23" s="315"/>
      <c r="BR23" s="315"/>
      <c r="BS23" s="315"/>
      <c r="BT23" s="313"/>
      <c r="BU23" s="315"/>
      <c r="BV23" s="315"/>
      <c r="BW23" s="315"/>
      <c r="BX23" s="315"/>
      <c r="BY23" s="313"/>
      <c r="BZ23" s="315"/>
      <c r="CA23" s="315"/>
      <c r="CB23" s="315"/>
      <c r="CC23" s="315"/>
      <c r="CD23" s="319"/>
      <c r="CE23" s="315"/>
      <c r="CF23" s="315"/>
      <c r="CG23" s="315"/>
      <c r="CH23" s="315"/>
      <c r="CI23" s="319"/>
      <c r="CJ23" s="315"/>
      <c r="CK23" s="315"/>
      <c r="CL23" s="315"/>
      <c r="CM23" s="315"/>
      <c r="CN23" s="319"/>
      <c r="CO23" s="315"/>
      <c r="CP23" s="315"/>
      <c r="CQ23" s="315"/>
      <c r="CR23" s="315"/>
      <c r="CS23" s="319"/>
      <c r="CT23" s="316"/>
      <c r="CU23" s="316"/>
      <c r="CV23" s="316"/>
      <c r="CW23" s="316"/>
      <c r="CX23" s="319"/>
      <c r="CY23" s="312"/>
      <c r="CZ23" s="312"/>
      <c r="DA23" s="312"/>
      <c r="DB23" s="312"/>
      <c r="DC23" s="319"/>
      <c r="DD23" s="312"/>
      <c r="DE23" s="312"/>
      <c r="DF23" s="312"/>
      <c r="DG23" s="312"/>
      <c r="DH23" s="319"/>
      <c r="DI23" s="312"/>
      <c r="DJ23" s="312"/>
      <c r="DK23" s="312"/>
      <c r="DL23" s="312"/>
      <c r="DM23" s="319"/>
      <c r="DN23" s="312"/>
      <c r="DO23" s="312"/>
      <c r="DP23" s="312"/>
      <c r="DQ23" s="312"/>
      <c r="DR23" s="319"/>
      <c r="DS23" s="312"/>
      <c r="DT23" s="312"/>
      <c r="DU23" s="312"/>
      <c r="DV23" s="312"/>
      <c r="DW23" s="319"/>
      <c r="DX23" s="312"/>
      <c r="DY23" s="312"/>
      <c r="DZ23" s="312"/>
      <c r="EA23" s="312"/>
      <c r="EB23" s="319"/>
      <c r="EC23" s="312"/>
      <c r="ED23" s="312"/>
      <c r="EE23" s="312"/>
      <c r="EF23" s="312"/>
      <c r="EG23" s="319"/>
      <c r="EH23" s="312"/>
      <c r="EI23" s="312"/>
      <c r="EJ23" s="312"/>
      <c r="EK23" s="312"/>
      <c r="EL23" s="319"/>
      <c r="EM23" s="312"/>
      <c r="EN23" s="312"/>
      <c r="EO23" s="312"/>
      <c r="EP23" s="312"/>
      <c r="EQ23" s="319"/>
      <c r="ER23" s="312">
        <f>EW27/EW24</f>
      </c>
      <c r="ES23" s="312">
        <f>EX27/EX24</f>
      </c>
      <c r="ET23" s="312">
        <f>EY27/EY24</f>
      </c>
      <c r="EU23" s="312">
        <f>EZ27/EZ24</f>
      </c>
      <c r="EV23" s="313">
        <f>EV10-EV18</f>
      </c>
      <c r="EW23" s="312">
        <f>ER23*(1+EW24)</f>
      </c>
      <c r="EX23" s="312">
        <f>ES23*(1+EX24)</f>
      </c>
      <c r="EY23" s="312">
        <f>ET23*(1+EY24)</f>
      </c>
      <c r="EZ23" s="312">
        <f>EU23*(1+EZ24)</f>
      </c>
      <c r="FA23" s="313">
        <f>FA10-FA18</f>
      </c>
      <c r="FB23" s="312">
        <f>FB10*FB28</f>
      </c>
      <c r="FC23" s="312">
        <f>FC10*FC28</f>
      </c>
      <c r="FD23" s="312">
        <f>FD10*FD28</f>
      </c>
      <c r="FE23" s="312">
        <f>FE10*FE28</f>
      </c>
      <c r="FF23" s="313">
        <f>SUM(FB23:FE23)</f>
      </c>
      <c r="FG23" s="312">
        <f>FG10*FG28</f>
      </c>
      <c r="FH23" s="312">
        <f>FH10*FH28</f>
      </c>
      <c r="FI23" s="312">
        <f>FI10*FI28</f>
      </c>
      <c r="FJ23" s="312">
        <f>FJ10*FJ28</f>
      </c>
      <c r="FK23" s="313">
        <f>SUM(FG23:FJ23)</f>
      </c>
      <c r="FL23" s="312">
        <f>FL10*FL28</f>
      </c>
      <c r="FM23" s="312">
        <f>FM10*FM28</f>
      </c>
      <c r="FN23" s="312">
        <f>FN10*FN28</f>
      </c>
      <c r="FO23" s="312">
        <f>FO10*FO28</f>
      </c>
      <c r="FP23" s="313">
        <f>SUM(FL23:FO23)</f>
      </c>
      <c r="FQ23" s="312">
        <f>FQ10*FQ28</f>
      </c>
      <c r="FR23" s="312">
        <f>FR10*FR28</f>
      </c>
      <c r="FS23" s="312">
        <f>FS10*FS28</f>
      </c>
      <c r="FT23" s="312">
        <f>FT10*FT28</f>
      </c>
      <c r="FU23" s="313">
        <f>SUM(FQ23:FT23)</f>
      </c>
      <c r="FV23" s="312">
        <f>FV10*FV28</f>
      </c>
      <c r="FW23" s="312">
        <f>FW10*FW28</f>
      </c>
      <c r="FX23" s="312">
        <f>FX10*FX28</f>
      </c>
      <c r="FY23" s="312">
        <f>FY10*FY28</f>
      </c>
      <c r="FZ23" s="313">
        <f>SUM(FV23:FY23)</f>
      </c>
      <c r="GA23" s="312">
        <f>GA10*GA28</f>
      </c>
      <c r="GB23" s="312">
        <f>GB10*GB28</f>
      </c>
      <c r="GC23" s="312">
        <f>GC10*GC28</f>
      </c>
      <c r="GD23" s="312">
        <f>GD10*GD28</f>
      </c>
      <c r="GE23" s="313">
        <f>SUM(GA23:GD23)</f>
      </c>
      <c r="GF23" s="312">
        <f>GF10*GF28</f>
      </c>
      <c r="GG23" s="312">
        <f>GG10*GG28</f>
      </c>
      <c r="GH23" s="312">
        <f>GH10*GH28</f>
      </c>
      <c r="GI23" s="312">
        <f>GI10*GI28</f>
      </c>
      <c r="GJ23" s="313">
        <f>SUM(GF23:GI23)</f>
      </c>
    </row>
    <row r="24" spans="1:192" ht="12.75" customHeight="1">
      <c r="B24" s="727" t="s">
        <v>34</v>
      </c>
      <c r="C24" s="412"/>
      <c r="D24" s="114"/>
      <c r="E24" s="114"/>
      <c r="F24" s="114"/>
      <c r="G24" s="413"/>
      <c r="H24" s="412"/>
      <c r="I24" s="114"/>
      <c r="J24" s="114"/>
      <c r="K24" s="114"/>
      <c r="L24" s="413"/>
      <c r="M24" s="412"/>
      <c r="N24" s="114"/>
      <c r="O24" s="114"/>
      <c r="P24" s="114"/>
      <c r="Q24" s="413"/>
      <c r="R24" s="412"/>
      <c r="S24" s="114"/>
      <c r="T24" s="114"/>
      <c r="U24" s="114"/>
      <c r="V24" s="413"/>
      <c r="W24" s="412"/>
      <c r="X24" s="114"/>
      <c r="Y24" s="114"/>
      <c r="Z24" s="114"/>
      <c r="AA24" s="413"/>
      <c r="AB24" s="412"/>
      <c r="AC24" s="114"/>
      <c r="AD24" s="114"/>
      <c r="AE24" s="114"/>
      <c r="AF24" s="413"/>
      <c r="AG24" s="412"/>
      <c r="AH24" s="114"/>
      <c r="AI24" s="114"/>
      <c r="AJ24" s="114"/>
      <c r="AK24" s="413"/>
      <c r="AL24" s="412"/>
      <c r="AM24" s="114"/>
      <c r="AN24" s="114"/>
      <c r="AO24" s="114"/>
      <c r="AP24" s="413"/>
      <c r="AQ24" s="412"/>
      <c r="AR24" s="114"/>
      <c r="AS24" s="114"/>
      <c r="AT24" s="114"/>
      <c r="AU24" s="413"/>
      <c r="AV24" s="412"/>
      <c r="AW24" s="114"/>
      <c r="AX24" s="114"/>
      <c r="AY24" s="114"/>
      <c r="AZ24" s="413"/>
      <c r="BA24" s="412"/>
      <c r="BB24" s="114"/>
      <c r="BC24" s="114"/>
      <c r="BD24" s="114"/>
      <c r="BE24" s="413"/>
      <c r="BF24" s="412"/>
      <c r="BG24" s="114"/>
      <c r="BH24" s="114"/>
      <c r="BI24" s="114"/>
      <c r="BJ24" s="413"/>
      <c r="BK24" s="412"/>
      <c r="BL24" s="114"/>
      <c r="BM24" s="114"/>
      <c r="BN24" s="114"/>
      <c r="BO24" s="413"/>
      <c r="BP24" s="412"/>
      <c r="BQ24" s="114"/>
      <c r="BR24" s="114"/>
      <c r="BS24" s="114"/>
      <c r="BT24" s="413"/>
      <c r="BU24" s="412"/>
      <c r="BV24" s="114"/>
      <c r="BW24" s="114"/>
      <c r="BX24" s="114"/>
      <c r="BY24" s="413"/>
      <c r="BZ24" s="412"/>
      <c r="CA24" s="114"/>
      <c r="CB24" s="114"/>
      <c r="CC24" s="114"/>
      <c r="CD24" s="292"/>
      <c r="CE24" s="412"/>
      <c r="CF24" s="114"/>
      <c r="CG24" s="114"/>
      <c r="CH24" s="114"/>
      <c r="CI24" s="292"/>
      <c r="CJ24" s="412"/>
      <c r="CK24" s="114"/>
      <c r="CL24" s="114"/>
      <c r="CM24" s="114"/>
      <c r="CN24" s="292"/>
      <c r="CO24" s="412"/>
      <c r="CP24" s="114"/>
      <c r="CQ24" s="114"/>
      <c r="CR24" s="114"/>
      <c r="CS24" s="292"/>
      <c r="CT24" s="412"/>
      <c r="CU24" s="114"/>
      <c r="CV24" s="114"/>
      <c r="CW24" s="114"/>
      <c r="CX24" s="292"/>
      <c r="CY24" s="412"/>
      <c r="CZ24" s="114"/>
      <c r="DA24" s="114"/>
      <c r="DB24" s="114"/>
      <c r="DC24" s="292"/>
      <c r="DD24" s="412"/>
      <c r="DE24" s="114"/>
      <c r="DF24" s="114"/>
      <c r="DG24" s="114"/>
      <c r="DH24" s="292"/>
      <c r="DI24" s="412"/>
      <c r="DJ24" s="114"/>
      <c r="DK24" s="114"/>
      <c r="DL24" s="114"/>
      <c r="DM24" s="292"/>
      <c r="DN24" s="412"/>
      <c r="DO24" s="114"/>
      <c r="DP24" s="114"/>
      <c r="DQ24" s="114"/>
      <c r="DR24" s="292"/>
      <c r="DS24" s="412"/>
      <c r="DT24" s="114"/>
      <c r="DU24" s="114"/>
      <c r="DV24" s="114"/>
      <c r="DW24" s="292"/>
      <c r="DX24" s="412"/>
      <c r="DY24" s="114"/>
      <c r="DZ24" s="114"/>
      <c r="EA24" s="114"/>
      <c r="EB24" s="292"/>
      <c r="EC24" s="412"/>
      <c r="ED24" s="114"/>
      <c r="EE24" s="114"/>
      <c r="EF24" s="114"/>
      <c r="EG24" s="292"/>
      <c r="EH24" s="412"/>
      <c r="EI24" s="114"/>
      <c r="EJ24" s="114"/>
      <c r="EK24" s="114"/>
      <c r="EL24" s="413"/>
      <c r="EM24" s="412"/>
      <c r="EN24" s="114"/>
      <c r="EO24" s="114"/>
      <c r="EP24" s="114"/>
      <c r="EQ24" s="292"/>
      <c r="ER24" s="412"/>
      <c r="ES24" s="114"/>
      <c r="ET24" s="439"/>
      <c r="EU24" s="439"/>
      <c r="EV24" s="292"/>
      <c r="EW24" s="439">
        <v>0.15</v>
      </c>
      <c r="EX24" s="439">
        <v>0.12</v>
      </c>
      <c r="EY24" s="439">
        <v>0.13</v>
      </c>
      <c r="EZ24" s="439">
        <v>0.17</v>
      </c>
      <c r="FA24" s="292">
        <f>FA23/EV23-1</f>
      </c>
      <c r="FB24" s="107">
        <f t="shared" ref="FB24:GE24" si="12">FB23/EW23-1</f>
      </c>
      <c r="FC24" s="107">
        <f t="shared" si="12"/>
      </c>
      <c r="FD24" s="107">
        <f t="shared" si="12"/>
      </c>
      <c r="FE24" s="107">
        <f t="shared" si="12"/>
      </c>
      <c r="FF24" s="292">
        <f t="shared" si="12"/>
      </c>
      <c r="FG24" s="107">
        <f t="shared" si="12"/>
      </c>
      <c r="FH24" s="107">
        <f t="shared" si="12"/>
      </c>
      <c r="FI24" s="107">
        <f t="shared" si="12"/>
      </c>
      <c r="FJ24" s="107">
        <f t="shared" si="12"/>
      </c>
      <c r="FK24" s="292">
        <f t="shared" si="12"/>
      </c>
      <c r="FL24" s="107">
        <f t="shared" si="12"/>
      </c>
      <c r="FM24" s="107">
        <f t="shared" si="12"/>
      </c>
      <c r="FN24" s="107">
        <f t="shared" si="12"/>
      </c>
      <c r="FO24" s="107">
        <f t="shared" si="12"/>
      </c>
      <c r="FP24" s="292">
        <f t="shared" si="12"/>
      </c>
      <c r="FQ24" s="107">
        <f t="shared" si="12"/>
      </c>
      <c r="FR24" s="107">
        <f t="shared" si="12"/>
      </c>
      <c r="FS24" s="107">
        <f t="shared" si="12"/>
      </c>
      <c r="FT24" s="107">
        <f t="shared" si="12"/>
      </c>
      <c r="FU24" s="292">
        <f t="shared" si="12"/>
      </c>
      <c r="FV24" s="107">
        <f t="shared" si="12"/>
      </c>
      <c r="FW24" s="107">
        <f t="shared" si="12"/>
      </c>
      <c r="FX24" s="107">
        <f t="shared" si="12"/>
      </c>
      <c r="FY24" s="107">
        <f t="shared" si="12"/>
      </c>
      <c r="FZ24" s="292">
        <f t="shared" si="12"/>
      </c>
      <c r="GA24" s="107">
        <f t="shared" si="12"/>
      </c>
      <c r="GB24" s="107">
        <f t="shared" si="12"/>
      </c>
      <c r="GC24" s="107">
        <f t="shared" si="12"/>
      </c>
      <c r="GD24" s="107">
        <f t="shared" si="12"/>
      </c>
      <c r="GE24" s="292">
        <f t="shared" si="12"/>
      </c>
      <c r="GF24" s="107">
        <f t="shared" ref="GF24" si="13">GF23/GA23-1</f>
      </c>
      <c r="GG24" s="107">
        <f t="shared" ref="GG24" si="14">GG23/GB23-1</f>
      </c>
      <c r="GH24" s="107">
        <f t="shared" ref="GH24" si="15">GH23/GC23-1</f>
      </c>
      <c r="GI24" s="107">
        <f t="shared" ref="GI24" si="16">GI23/GD23-1</f>
      </c>
      <c r="GJ24" s="292">
        <f t="shared" ref="GJ24" si="17">GJ23/GE23-1</f>
      </c>
    </row>
    <row r="25" spans="1:192" ht="12.75" customHeight="1">
      <c r="B25" s="727" t="s">
        <v>197</v>
      </c>
      <c r="C25" s="412"/>
      <c r="D25" s="114"/>
      <c r="E25" s="114"/>
      <c r="F25" s="114"/>
      <c r="G25" s="413"/>
      <c r="H25" s="412"/>
      <c r="I25" s="114"/>
      <c r="J25" s="114"/>
      <c r="K25" s="114"/>
      <c r="L25" s="413"/>
      <c r="M25" s="412"/>
      <c r="N25" s="114"/>
      <c r="O25" s="114"/>
      <c r="P25" s="114"/>
      <c r="Q25" s="413"/>
      <c r="R25" s="412"/>
      <c r="S25" s="114"/>
      <c r="T25" s="114"/>
      <c r="U25" s="114"/>
      <c r="V25" s="413"/>
      <c r="W25" s="412"/>
      <c r="X25" s="114"/>
      <c r="Y25" s="114"/>
      <c r="Z25" s="114"/>
      <c r="AA25" s="413"/>
      <c r="AB25" s="412"/>
      <c r="AC25" s="114"/>
      <c r="AD25" s="114"/>
      <c r="AE25" s="114"/>
      <c r="AF25" s="413"/>
      <c r="AG25" s="412"/>
      <c r="AH25" s="114"/>
      <c r="AI25" s="114"/>
      <c r="AJ25" s="114"/>
      <c r="AK25" s="413"/>
      <c r="AL25" s="412"/>
      <c r="AM25" s="114"/>
      <c r="AN25" s="114"/>
      <c r="AO25" s="114"/>
      <c r="AP25" s="413"/>
      <c r="AQ25" s="412"/>
      <c r="AR25" s="114"/>
      <c r="AS25" s="114"/>
      <c r="AT25" s="114"/>
      <c r="AU25" s="413"/>
      <c r="AV25" s="412"/>
      <c r="AW25" s="114"/>
      <c r="AX25" s="114"/>
      <c r="AY25" s="114"/>
      <c r="AZ25" s="413"/>
      <c r="BA25" s="412"/>
      <c r="BB25" s="114"/>
      <c r="BC25" s="114"/>
      <c r="BD25" s="114"/>
      <c r="BE25" s="413"/>
      <c r="BF25" s="412"/>
      <c r="BG25" s="114"/>
      <c r="BH25" s="114"/>
      <c r="BI25" s="114"/>
      <c r="BJ25" s="413"/>
      <c r="BK25" s="412"/>
      <c r="BL25" s="114"/>
      <c r="BM25" s="114"/>
      <c r="BN25" s="114"/>
      <c r="BO25" s="413"/>
      <c r="BP25" s="412"/>
      <c r="BQ25" s="114"/>
      <c r="BR25" s="114"/>
      <c r="BS25" s="114"/>
      <c r="BT25" s="413"/>
      <c r="BU25" s="412"/>
      <c r="BV25" s="114"/>
      <c r="BW25" s="114"/>
      <c r="BX25" s="114"/>
      <c r="BY25" s="413"/>
      <c r="BZ25" s="412"/>
      <c r="CA25" s="114"/>
      <c r="CB25" s="114"/>
      <c r="CC25" s="114"/>
      <c r="CD25" s="292"/>
      <c r="CE25" s="412"/>
      <c r="CF25" s="114"/>
      <c r="CG25" s="114"/>
      <c r="CH25" s="114"/>
      <c r="CI25" s="292"/>
      <c r="CJ25" s="412"/>
      <c r="CK25" s="114"/>
      <c r="CL25" s="114"/>
      <c r="CM25" s="114"/>
      <c r="CN25" s="292"/>
      <c r="CO25" s="412"/>
      <c r="CP25" s="114"/>
      <c r="CQ25" s="114"/>
      <c r="CR25" s="114"/>
      <c r="CS25" s="292"/>
      <c r="CT25" s="412"/>
      <c r="CU25" s="114"/>
      <c r="CV25" s="114"/>
      <c r="CW25" s="114"/>
      <c r="CX25" s="292"/>
      <c r="CY25" s="412"/>
      <c r="CZ25" s="114"/>
      <c r="DA25" s="114"/>
      <c r="DB25" s="114"/>
      <c r="DC25" s="292"/>
      <c r="DD25" s="412"/>
      <c r="DE25" s="114"/>
      <c r="DF25" s="114"/>
      <c r="DG25" s="114"/>
      <c r="DH25" s="292"/>
      <c r="DI25" s="412"/>
      <c r="DJ25" s="114"/>
      <c r="DK25" s="114"/>
      <c r="DL25" s="114"/>
      <c r="DM25" s="292"/>
      <c r="DN25" s="412"/>
      <c r="DO25" s="114"/>
      <c r="DP25" s="114"/>
      <c r="DQ25" s="114"/>
      <c r="DR25" s="292"/>
      <c r="DS25" s="412"/>
      <c r="DT25" s="114"/>
      <c r="DU25" s="114"/>
      <c r="DV25" s="114"/>
      <c r="DW25" s="292"/>
      <c r="DX25" s="412"/>
      <c r="DY25" s="114"/>
      <c r="DZ25" s="114"/>
      <c r="EA25" s="114"/>
      <c r="EB25" s="292"/>
      <c r="EC25" s="412"/>
      <c r="ED25" s="114"/>
      <c r="EE25" s="114"/>
      <c r="EF25" s="114"/>
      <c r="EG25" s="292"/>
      <c r="EH25" s="412"/>
      <c r="EI25" s="114"/>
      <c r="EJ25" s="114"/>
      <c r="EK25" s="114"/>
      <c r="EL25" s="292"/>
      <c r="EM25" s="412"/>
      <c r="EN25" s="114"/>
      <c r="EO25" s="114"/>
      <c r="EP25" s="114"/>
      <c r="EQ25" s="292"/>
      <c r="ER25" s="412"/>
      <c r="ES25" s="114"/>
      <c r="ET25" s="439"/>
      <c r="EU25" s="439"/>
      <c r="EV25" s="292"/>
      <c r="EW25" s="441">
        <v>0.15</v>
      </c>
      <c r="EX25" s="439">
        <v>0.13</v>
      </c>
      <c r="EY25" s="439">
        <v>0.14000000000000001</v>
      </c>
      <c r="EZ25" s="439">
        <v>0.16</v>
      </c>
      <c r="FA25" s="292"/>
      <c r="FB25" s="291"/>
      <c r="FC25" s="107"/>
      <c r="FD25" s="107"/>
      <c r="FE25" s="107"/>
      <c r="FF25" s="292"/>
      <c r="FG25" s="291"/>
      <c r="FH25" s="107"/>
      <c r="FI25" s="107"/>
      <c r="FJ25" s="107"/>
      <c r="FK25" s="292"/>
      <c r="FL25" s="291"/>
      <c r="FM25" s="107"/>
      <c r="FN25" s="107"/>
      <c r="FO25" s="107"/>
      <c r="FP25" s="292"/>
      <c r="FQ25" s="291"/>
      <c r="FR25" s="107"/>
      <c r="FS25" s="107"/>
      <c r="FT25" s="107"/>
      <c r="FU25" s="292"/>
      <c r="FV25" s="291"/>
      <c r="FW25" s="107"/>
      <c r="FX25" s="107"/>
      <c r="FY25" s="107"/>
      <c r="FZ25" s="292"/>
      <c r="GA25" s="291"/>
      <c r="GB25" s="107"/>
      <c r="GC25" s="107"/>
      <c r="GD25" s="107"/>
      <c r="GE25" s="292"/>
      <c r="GF25" s="291"/>
      <c r="GG25" s="107"/>
      <c r="GH25" s="107"/>
      <c r="GI25" s="107"/>
      <c r="GJ25" s="292"/>
    </row>
    <row r="26" spans="1:192" ht="12.75" customHeight="1">
      <c r="B26" s="727" t="s">
        <v>36</v>
      </c>
      <c r="C26" s="291"/>
      <c r="D26" s="107"/>
      <c r="E26" s="107"/>
      <c r="F26" s="107"/>
      <c r="G26" s="293"/>
      <c r="H26" s="291"/>
      <c r="I26" s="107"/>
      <c r="J26" s="107"/>
      <c r="K26" s="107"/>
      <c r="L26" s="293"/>
      <c r="M26" s="291"/>
      <c r="N26" s="107"/>
      <c r="O26" s="107"/>
      <c r="P26" s="107"/>
      <c r="Q26" s="293"/>
      <c r="R26" s="291"/>
      <c r="S26" s="107"/>
      <c r="T26" s="107"/>
      <c r="U26" s="107"/>
      <c r="V26" s="293"/>
      <c r="W26" s="291"/>
      <c r="X26" s="107"/>
      <c r="Y26" s="107"/>
      <c r="Z26" s="107"/>
      <c r="AA26" s="293"/>
      <c r="AB26" s="291"/>
      <c r="AC26" s="107"/>
      <c r="AD26" s="107"/>
      <c r="AE26" s="107"/>
      <c r="AF26" s="293"/>
      <c r="AG26" s="291"/>
      <c r="AH26" s="107"/>
      <c r="AI26" s="107"/>
      <c r="AJ26" s="107"/>
      <c r="AK26" s="293"/>
      <c r="AL26" s="291"/>
      <c r="AM26" s="107"/>
      <c r="AN26" s="107"/>
      <c r="AO26" s="107"/>
      <c r="AP26" s="293"/>
      <c r="AQ26" s="291"/>
      <c r="AR26" s="107"/>
      <c r="AS26" s="107"/>
      <c r="AT26" s="107"/>
      <c r="AU26" s="293"/>
      <c r="AV26" s="291"/>
      <c r="AW26" s="107"/>
      <c r="AX26" s="107"/>
      <c r="AY26" s="107"/>
      <c r="AZ26" s="293"/>
      <c r="BA26" s="291"/>
      <c r="BB26" s="107"/>
      <c r="BC26" s="107"/>
      <c r="BD26" s="107"/>
      <c r="BE26" s="293"/>
      <c r="BF26" s="291"/>
      <c r="BG26" s="107"/>
      <c r="BH26" s="107"/>
      <c r="BI26" s="107"/>
      <c r="BJ26" s="293"/>
      <c r="BK26" s="291"/>
      <c r="BL26" s="107"/>
      <c r="BM26" s="107"/>
      <c r="BN26" s="107"/>
      <c r="BO26" s="293"/>
      <c r="BP26" s="291"/>
      <c r="BQ26" s="107"/>
      <c r="BR26" s="107"/>
      <c r="BS26" s="107"/>
      <c r="BT26" s="293"/>
      <c r="BU26" s="291"/>
      <c r="BV26" s="107"/>
      <c r="BW26" s="107"/>
      <c r="BX26" s="107"/>
      <c r="BY26" s="293"/>
      <c r="BZ26" s="291"/>
      <c r="CA26" s="107"/>
      <c r="CB26" s="107"/>
      <c r="CC26" s="107"/>
      <c r="CD26" s="293"/>
      <c r="CE26" s="291"/>
      <c r="CF26" s="107"/>
      <c r="CG26" s="107"/>
      <c r="CH26" s="107"/>
      <c r="CI26" s="293"/>
      <c r="CJ26" s="291"/>
      <c r="CK26" s="107"/>
      <c r="CL26" s="107"/>
      <c r="CM26" s="107"/>
      <c r="CN26" s="293"/>
      <c r="CO26" s="291"/>
      <c r="CP26" s="107"/>
      <c r="CQ26" s="107"/>
      <c r="CR26" s="107"/>
      <c r="CS26" s="293"/>
      <c r="CT26" s="291"/>
      <c r="CU26" s="107"/>
      <c r="CV26" s="107"/>
      <c r="CW26" s="107"/>
      <c r="CX26" s="293"/>
      <c r="CY26" s="291"/>
      <c r="CZ26" s="107"/>
      <c r="DA26" s="107"/>
      <c r="DB26" s="107"/>
      <c r="DC26" s="293"/>
      <c r="DD26" s="291"/>
      <c r="DE26" s="107"/>
      <c r="DF26" s="107"/>
      <c r="DG26" s="107"/>
      <c r="DH26" s="293"/>
      <c r="DI26" s="291"/>
      <c r="DJ26" s="107"/>
      <c r="DK26" s="107"/>
      <c r="DL26" s="107"/>
      <c r="DM26" s="293"/>
      <c r="DN26" s="291"/>
      <c r="DO26" s="107"/>
      <c r="DP26" s="107"/>
      <c r="DQ26" s="107"/>
      <c r="DR26" s="293"/>
      <c r="DS26" s="291"/>
      <c r="DT26" s="107"/>
      <c r="DU26" s="107"/>
      <c r="DV26" s="107"/>
      <c r="DW26" s="293"/>
      <c r="DX26" s="291"/>
      <c r="DY26" s="107"/>
      <c r="DZ26" s="107"/>
      <c r="EA26" s="107"/>
      <c r="EB26" s="293"/>
      <c r="EC26" s="291"/>
      <c r="ED26" s="107"/>
      <c r="EE26" s="107"/>
      <c r="EF26" s="107"/>
      <c r="EG26" s="293"/>
      <c r="EH26" s="291"/>
      <c r="EI26" s="107"/>
      <c r="EJ26" s="107"/>
      <c r="EK26" s="107"/>
      <c r="EL26" s="293"/>
      <c r="EM26" s="291"/>
      <c r="EN26" s="107"/>
      <c r="EO26" s="107"/>
      <c r="EP26" s="107"/>
      <c r="EQ26" s="293"/>
      <c r="ER26" s="291"/>
      <c r="ES26" s="107"/>
      <c r="ET26" s="107"/>
      <c r="EU26" s="107"/>
      <c r="EV26" s="293"/>
      <c r="EW26" s="291">
        <f>IFERROR(EW23/EU23-1,"--")</f>
      </c>
      <c r="EX26" s="107">
        <f>IFERROR(EX23/EW23-1,"--")</f>
      </c>
      <c r="EY26" s="107">
        <f>IFERROR(EY23/EX23-1,"--")</f>
      </c>
      <c r="EZ26" s="107">
        <f>IFERROR(EZ23/EY23-1,"--")</f>
      </c>
      <c r="FA26" s="293"/>
      <c r="FB26" s="291">
        <f>IFERROR(FB23/EZ23-1,"--")</f>
      </c>
      <c r="FC26" s="107">
        <f>IFERROR(FC23/FB23-1,"--")</f>
      </c>
      <c r="FD26" s="107">
        <f>IFERROR(FD23/FC23-1,"--")</f>
      </c>
      <c r="FE26" s="107">
        <f>IFERROR(FE23/FD23-1,"--")</f>
      </c>
      <c r="FF26" s="293"/>
      <c r="FG26" s="291">
        <f>IFERROR(FG23/FE23-1,"--")</f>
      </c>
      <c r="FH26" s="107">
        <f>IFERROR(FH23/FG23-1,"--")</f>
      </c>
      <c r="FI26" s="107">
        <f>IFERROR(FI23/FH23-1,"--")</f>
      </c>
      <c r="FJ26" s="107">
        <f>IFERROR(FJ23/FI23-1,"--")</f>
      </c>
      <c r="FK26" s="293"/>
      <c r="FL26" s="291">
        <f>IFERROR(FL23/FJ23-1,"--")</f>
      </c>
      <c r="FM26" s="107">
        <f>IFERROR(FM23/FL23-1,"--")</f>
      </c>
      <c r="FN26" s="107">
        <f>IFERROR(FN23/FM23-1,"--")</f>
      </c>
      <c r="FO26" s="107">
        <f>IFERROR(FO23/FN23-1,"--")</f>
      </c>
      <c r="FP26" s="293"/>
      <c r="FQ26" s="291">
        <f>IFERROR(FQ23/FO23-1,"--")</f>
      </c>
      <c r="FR26" s="107">
        <f>IFERROR(FR23/FQ23-1,"--")</f>
      </c>
      <c r="FS26" s="107">
        <f>IFERROR(FS23/FR23-1,"--")</f>
      </c>
      <c r="FT26" s="107">
        <f>IFERROR(FT23/FS23-1,"--")</f>
      </c>
      <c r="FU26" s="293"/>
      <c r="FV26" s="291">
        <f>IFERROR(FV23/FT23-1,"--")</f>
      </c>
      <c r="FW26" s="107">
        <f>IFERROR(FW23/FV23-1,"--")</f>
      </c>
      <c r="FX26" s="107">
        <f>IFERROR(FX23/FW23-1,"--")</f>
      </c>
      <c r="FY26" s="107">
        <f>IFERROR(FY23/FX23-1,"--")</f>
      </c>
      <c r="FZ26" s="293"/>
      <c r="GA26" s="291">
        <f>IFERROR(GA23/FY23-1,"--")</f>
      </c>
      <c r="GB26" s="107">
        <f>IFERROR(GB23/GA23-1,"--")</f>
      </c>
      <c r="GC26" s="107">
        <f>IFERROR(GC23/GB23-1,"--")</f>
      </c>
      <c r="GD26" s="107">
        <f>IFERROR(GD23/GC23-1,"--")</f>
      </c>
      <c r="GE26" s="293"/>
      <c r="GF26" s="291">
        <f>IFERROR(GF23/GD23-1,"--")</f>
      </c>
      <c r="GG26" s="107">
        <f>IFERROR(GG23/GF23-1,"--")</f>
      </c>
      <c r="GH26" s="107">
        <f>IFERROR(GH23/GG23-1,"--")</f>
      </c>
      <c r="GI26" s="107">
        <f>IFERROR(GI23/GH23-1,"--")</f>
      </c>
      <c r="GJ26" s="293"/>
    </row>
    <row r="27" spans="1:192" ht="12.75" customHeight="1">
      <c r="B27" s="727" t="s">
        <v>265</v>
      </c>
      <c r="C27" s="412"/>
      <c r="D27" s="114"/>
      <c r="E27" s="114"/>
      <c r="F27" s="114"/>
      <c r="G27" s="413"/>
      <c r="H27" s="412"/>
      <c r="I27" s="114"/>
      <c r="J27" s="114"/>
      <c r="K27" s="114"/>
      <c r="L27" s="413"/>
      <c r="M27" s="412"/>
      <c r="N27" s="114"/>
      <c r="O27" s="114"/>
      <c r="P27" s="114"/>
      <c r="Q27" s="413"/>
      <c r="R27" s="412"/>
      <c r="S27" s="114"/>
      <c r="T27" s="114"/>
      <c r="U27" s="114"/>
      <c r="V27" s="413"/>
      <c r="W27" s="412"/>
      <c r="X27" s="114"/>
      <c r="Y27" s="114"/>
      <c r="Z27" s="114"/>
      <c r="AA27" s="413"/>
      <c r="AB27" s="412"/>
      <c r="AC27" s="114"/>
      <c r="AD27" s="114"/>
      <c r="AE27" s="114"/>
      <c r="AF27" s="413"/>
      <c r="AG27" s="412"/>
      <c r="AH27" s="114"/>
      <c r="AI27" s="114"/>
      <c r="AJ27" s="114"/>
      <c r="AK27" s="413"/>
      <c r="AL27" s="412"/>
      <c r="AM27" s="114"/>
      <c r="AN27" s="114"/>
      <c r="AO27" s="114"/>
      <c r="AP27" s="413"/>
      <c r="AQ27" s="412"/>
      <c r="AR27" s="114"/>
      <c r="AS27" s="114"/>
      <c r="AT27" s="114"/>
      <c r="AU27" s="413"/>
      <c r="AV27" s="412"/>
      <c r="AW27" s="114"/>
      <c r="AX27" s="114"/>
      <c r="AY27" s="114"/>
      <c r="AZ27" s="413"/>
      <c r="BA27" s="412"/>
      <c r="BB27" s="114"/>
      <c r="BC27" s="114"/>
      <c r="BD27" s="114"/>
      <c r="BE27" s="413"/>
      <c r="BF27" s="412"/>
      <c r="BG27" s="114"/>
      <c r="BH27" s="114"/>
      <c r="BI27" s="114"/>
      <c r="BJ27" s="413"/>
      <c r="BK27" s="412"/>
      <c r="BL27" s="114"/>
      <c r="BM27" s="114"/>
      <c r="BN27" s="114"/>
      <c r="BO27" s="413"/>
      <c r="BP27" s="412"/>
      <c r="BQ27" s="114"/>
      <c r="BR27" s="114"/>
      <c r="BS27" s="114"/>
      <c r="BT27" s="413"/>
      <c r="BU27" s="412"/>
      <c r="BV27" s="114"/>
      <c r="BW27" s="114"/>
      <c r="BX27" s="114"/>
      <c r="BY27" s="413"/>
      <c r="BZ27" s="412"/>
      <c r="CA27" s="114"/>
      <c r="CB27" s="114"/>
      <c r="CC27" s="114"/>
      <c r="CD27" s="292"/>
      <c r="CE27" s="412"/>
      <c r="CF27" s="114"/>
      <c r="CG27" s="114"/>
      <c r="CH27" s="114"/>
      <c r="CI27" s="292"/>
      <c r="CJ27" s="412"/>
      <c r="CK27" s="114"/>
      <c r="CL27" s="114"/>
      <c r="CM27" s="114"/>
      <c r="CN27" s="292"/>
      <c r="CO27" s="412"/>
      <c r="CP27" s="114"/>
      <c r="CQ27" s="114"/>
      <c r="CR27" s="114"/>
      <c r="CS27" s="292"/>
      <c r="CT27" s="412"/>
      <c r="CU27" s="114"/>
      <c r="CV27" s="114"/>
      <c r="CW27" s="114"/>
      <c r="CX27" s="292"/>
      <c r="CY27" s="447"/>
      <c r="CZ27" s="458"/>
      <c r="DA27" s="458"/>
      <c r="DB27" s="458"/>
      <c r="DC27" s="462"/>
      <c r="DD27" s="447"/>
      <c r="DE27" s="458"/>
      <c r="DF27" s="458"/>
      <c r="DG27" s="458"/>
      <c r="DH27" s="462"/>
      <c r="DI27" s="447"/>
      <c r="DJ27" s="458"/>
      <c r="DK27" s="458"/>
      <c r="DL27" s="458"/>
      <c r="DM27" s="462"/>
      <c r="DN27" s="447"/>
      <c r="DO27" s="458"/>
      <c r="DP27" s="458"/>
      <c r="DQ27" s="458"/>
      <c r="DR27" s="462"/>
      <c r="DS27" s="447"/>
      <c r="DT27" s="458"/>
      <c r="DU27" s="458"/>
      <c r="DV27" s="458"/>
      <c r="DW27" s="462"/>
      <c r="DX27" s="447"/>
      <c r="DY27" s="458"/>
      <c r="DZ27" s="458"/>
      <c r="EA27" s="458"/>
      <c r="EB27" s="462"/>
      <c r="EC27" s="447"/>
      <c r="ED27" s="458"/>
      <c r="EE27" s="458"/>
      <c r="EF27" s="458"/>
      <c r="EG27" s="462"/>
      <c r="EH27" s="447"/>
      <c r="EI27" s="458"/>
      <c r="EJ27" s="458"/>
      <c r="EK27" s="458"/>
      <c r="EL27" s="494"/>
      <c r="EM27" s="448"/>
      <c r="EN27" s="448"/>
      <c r="EO27" s="448"/>
      <c r="EP27" s="463"/>
      <c r="EQ27" s="494"/>
      <c r="ER27" s="448"/>
      <c r="ES27" s="815"/>
      <c r="ET27" s="815"/>
      <c r="EU27" s="463"/>
      <c r="EV27" s="494"/>
      <c r="EW27" s="815">
        <v>2000</v>
      </c>
      <c r="EX27" s="815">
        <v>1800</v>
      </c>
      <c r="EY27" s="815">
        <v>1900</v>
      </c>
      <c r="EZ27" s="679">
        <f>FA27-EY27-EX27-EW27</f>
      </c>
      <c r="FA27" s="462">
        <f t="shared" ref="FA27:GE27" si="18">FA23-EV23</f>
      </c>
      <c r="FB27" s="458">
        <f t="shared" si="18"/>
      </c>
      <c r="FC27" s="458">
        <f t="shared" si="18"/>
      </c>
      <c r="FD27" s="458">
        <f t="shared" si="18"/>
      </c>
      <c r="FE27" s="458">
        <f t="shared" si="18"/>
      </c>
      <c r="FF27" s="462">
        <f t="shared" si="18"/>
      </c>
      <c r="FG27" s="458">
        <f t="shared" si="18"/>
      </c>
      <c r="FH27" s="458">
        <f t="shared" si="18"/>
      </c>
      <c r="FI27" s="458">
        <f t="shared" si="18"/>
      </c>
      <c r="FJ27" s="458">
        <f t="shared" si="18"/>
      </c>
      <c r="FK27" s="462">
        <f t="shared" si="18"/>
      </c>
      <c r="FL27" s="458">
        <f t="shared" si="18"/>
      </c>
      <c r="FM27" s="458">
        <f t="shared" si="18"/>
      </c>
      <c r="FN27" s="458">
        <f t="shared" si="18"/>
      </c>
      <c r="FO27" s="458">
        <f t="shared" si="18"/>
      </c>
      <c r="FP27" s="462">
        <f t="shared" si="18"/>
      </c>
      <c r="FQ27" s="458">
        <f t="shared" si="18"/>
      </c>
      <c r="FR27" s="458">
        <f t="shared" si="18"/>
      </c>
      <c r="FS27" s="458">
        <f t="shared" si="18"/>
      </c>
      <c r="FT27" s="458">
        <f t="shared" si="18"/>
      </c>
      <c r="FU27" s="462">
        <f t="shared" si="18"/>
      </c>
      <c r="FV27" s="458">
        <f t="shared" si="18"/>
      </c>
      <c r="FW27" s="458">
        <f t="shared" si="18"/>
      </c>
      <c r="FX27" s="458">
        <f t="shared" si="18"/>
      </c>
      <c r="FY27" s="458">
        <f t="shared" si="18"/>
      </c>
      <c r="FZ27" s="462">
        <f t="shared" si="18"/>
      </c>
      <c r="GA27" s="458">
        <f t="shared" si="18"/>
      </c>
      <c r="GB27" s="458">
        <f t="shared" si="18"/>
      </c>
      <c r="GC27" s="458">
        <f t="shared" si="18"/>
      </c>
      <c r="GD27" s="458">
        <f t="shared" si="18"/>
      </c>
      <c r="GE27" s="462">
        <f t="shared" si="18"/>
      </c>
      <c r="GF27" s="458">
        <f t="shared" ref="GF27" si="19">GF23-GA23</f>
      </c>
      <c r="GG27" s="458">
        <f t="shared" ref="GG27" si="20">GG23-GB23</f>
      </c>
      <c r="GH27" s="458">
        <f t="shared" ref="GH27" si="21">GH23-GC23</f>
      </c>
      <c r="GI27" s="458">
        <f t="shared" ref="GI27" si="22">GI23-GD23</f>
      </c>
      <c r="GJ27" s="462">
        <f t="shared" ref="GJ27" si="23">GJ23-GE23</f>
      </c>
    </row>
    <row r="28" spans="1:192" s="479" customFormat="1" ht="12.75" customHeight="1">
      <c r="A28" s="81"/>
      <c r="B28" s="1756" t="s">
        <v>259</v>
      </c>
      <c r="C28" s="412"/>
      <c r="D28" s="114"/>
      <c r="E28" s="114"/>
      <c r="F28" s="114"/>
      <c r="G28" s="413"/>
      <c r="H28" s="412"/>
      <c r="I28" s="114"/>
      <c r="J28" s="114"/>
      <c r="K28" s="114"/>
      <c r="L28" s="413"/>
      <c r="M28" s="412"/>
      <c r="N28" s="114"/>
      <c r="O28" s="114"/>
      <c r="P28" s="114"/>
      <c r="Q28" s="413"/>
      <c r="R28" s="412"/>
      <c r="S28" s="114"/>
      <c r="T28" s="114"/>
      <c r="U28" s="114"/>
      <c r="V28" s="413"/>
      <c r="W28" s="412"/>
      <c r="X28" s="114"/>
      <c r="Y28" s="114"/>
      <c r="Z28" s="114"/>
      <c r="AA28" s="413"/>
      <c r="AB28" s="412"/>
      <c r="AC28" s="114"/>
      <c r="AD28" s="114"/>
      <c r="AE28" s="114"/>
      <c r="AF28" s="413"/>
      <c r="AG28" s="412"/>
      <c r="AH28" s="114"/>
      <c r="AI28" s="114"/>
      <c r="AJ28" s="114"/>
      <c r="AK28" s="413"/>
      <c r="AL28" s="412"/>
      <c r="AM28" s="114"/>
      <c r="AN28" s="114"/>
      <c r="AO28" s="114"/>
      <c r="AP28" s="413"/>
      <c r="AQ28" s="412"/>
      <c r="AR28" s="114"/>
      <c r="AS28" s="114"/>
      <c r="AT28" s="114"/>
      <c r="AU28" s="413"/>
      <c r="AV28" s="412"/>
      <c r="AW28" s="114"/>
      <c r="AX28" s="114"/>
      <c r="AY28" s="114"/>
      <c r="AZ28" s="413"/>
      <c r="BA28" s="412"/>
      <c r="BB28" s="114"/>
      <c r="BC28" s="114"/>
      <c r="BD28" s="114"/>
      <c r="BE28" s="413"/>
      <c r="BF28" s="412"/>
      <c r="BG28" s="114"/>
      <c r="BH28" s="114"/>
      <c r="BI28" s="114"/>
      <c r="BJ28" s="413"/>
      <c r="BK28" s="412"/>
      <c r="BL28" s="114"/>
      <c r="BM28" s="114"/>
      <c r="BN28" s="114"/>
      <c r="BO28" s="413"/>
      <c r="BP28" s="412"/>
      <c r="BQ28" s="114"/>
      <c r="BR28" s="114"/>
      <c r="BS28" s="114"/>
      <c r="BT28" s="413"/>
      <c r="BU28" s="412"/>
      <c r="BV28" s="114"/>
      <c r="BW28" s="114"/>
      <c r="BX28" s="114"/>
      <c r="BY28" s="413"/>
      <c r="BZ28" s="412"/>
      <c r="CA28" s="114"/>
      <c r="CB28" s="114"/>
      <c r="CC28" s="114"/>
      <c r="CD28" s="292"/>
      <c r="CE28" s="412"/>
      <c r="CF28" s="114"/>
      <c r="CG28" s="114"/>
      <c r="CH28" s="114"/>
      <c r="CI28" s="292"/>
      <c r="CJ28" s="412"/>
      <c r="CK28" s="114"/>
      <c r="CL28" s="114"/>
      <c r="CM28" s="114"/>
      <c r="CN28" s="292"/>
      <c r="CO28" s="412"/>
      <c r="CP28" s="114"/>
      <c r="CQ28" s="114"/>
      <c r="CR28" s="114"/>
      <c r="CS28" s="292"/>
      <c r="CT28" s="412"/>
      <c r="CU28" s="114"/>
      <c r="CV28" s="114"/>
      <c r="CW28" s="114"/>
      <c r="CX28" s="292"/>
      <c r="CY28" s="291"/>
      <c r="CZ28" s="107"/>
      <c r="DA28" s="107"/>
      <c r="DB28" s="107"/>
      <c r="DC28" s="292"/>
      <c r="DD28" s="291"/>
      <c r="DE28" s="107"/>
      <c r="DF28" s="107"/>
      <c r="DG28" s="107"/>
      <c r="DH28" s="292"/>
      <c r="DI28" s="291"/>
      <c r="DJ28" s="107"/>
      <c r="DK28" s="107"/>
      <c r="DL28" s="107"/>
      <c r="DM28" s="292"/>
      <c r="DN28" s="291"/>
      <c r="DO28" s="107"/>
      <c r="DP28" s="107"/>
      <c r="DQ28" s="107"/>
      <c r="DR28" s="292"/>
      <c r="DS28" s="291"/>
      <c r="DT28" s="107"/>
      <c r="DU28" s="107"/>
      <c r="DV28" s="107"/>
      <c r="DW28" s="292"/>
      <c r="DX28" s="291"/>
      <c r="DY28" s="107"/>
      <c r="DZ28" s="107"/>
      <c r="EA28" s="107"/>
      <c r="EB28" s="292"/>
      <c r="EC28" s="291"/>
      <c r="ED28" s="107"/>
      <c r="EE28" s="107"/>
      <c r="EF28" s="107"/>
      <c r="EG28" s="292"/>
      <c r="EH28" s="291"/>
      <c r="EI28" s="107"/>
      <c r="EJ28" s="107"/>
      <c r="EK28" s="107"/>
      <c r="EL28" s="292"/>
      <c r="EM28" s="291"/>
      <c r="EN28" s="291"/>
      <c r="EO28" s="291"/>
      <c r="EP28" s="107"/>
      <c r="EQ28" s="292"/>
      <c r="ER28" s="291">
        <f t="shared" ref="ER28:FA28" si="24">ER23/ER10</f>
      </c>
      <c r="ES28" s="291">
        <f t="shared" si="24"/>
      </c>
      <c r="ET28" s="291">
        <f t="shared" si="24"/>
      </c>
      <c r="EU28" s="291">
        <f t="shared" si="24"/>
      </c>
      <c r="EV28" s="292">
        <f t="shared" si="24"/>
      </c>
      <c r="EW28" s="291">
        <f t="shared" si="24"/>
      </c>
      <c r="EX28" s="291">
        <f t="shared" si="24"/>
      </c>
      <c r="EY28" s="291">
        <f t="shared" si="24"/>
      </c>
      <c r="EZ28" s="291">
        <f t="shared" si="24"/>
      </c>
      <c r="FA28" s="292">
        <f t="shared" si="24"/>
      </c>
      <c r="FB28" s="412">
        <v>0.57499999999999996</v>
      </c>
      <c r="FC28" s="412">
        <v>0.56999999999999995</v>
      </c>
      <c r="FD28" s="412">
        <v>0.56499999999999995</v>
      </c>
      <c r="FE28" s="412">
        <f>FD28</f>
      </c>
      <c r="FF28" s="292">
        <f>FF23/FF10</f>
      </c>
      <c r="FG28" s="412">
        <v>0.56999999999999995</v>
      </c>
      <c r="FH28" s="412">
        <f>FG28</f>
      </c>
      <c r="FI28" s="412">
        <f>FH28</f>
      </c>
      <c r="FJ28" s="412">
        <f>FI28</f>
      </c>
      <c r="FK28" s="292">
        <f>FK23/FK10</f>
      </c>
      <c r="FL28" s="412">
        <f>FJ28+0.5%</f>
      </c>
      <c r="FM28" s="412">
        <f>FL28</f>
      </c>
      <c r="FN28" s="412">
        <f>FM28</f>
      </c>
      <c r="FO28" s="412">
        <f>FN28</f>
      </c>
      <c r="FP28" s="292">
        <f>FP23/FP10</f>
      </c>
      <c r="FQ28" s="412">
        <f>FO28+0.5%</f>
      </c>
      <c r="FR28" s="412">
        <f>FQ28</f>
      </c>
      <c r="FS28" s="412">
        <f>FR28</f>
      </c>
      <c r="FT28" s="412">
        <f>FS28</f>
      </c>
      <c r="FU28" s="292">
        <f>FU23/FU10</f>
      </c>
      <c r="FV28" s="412">
        <f>FT28+0.5%</f>
      </c>
      <c r="FW28" s="412">
        <f>FV28</f>
      </c>
      <c r="FX28" s="412">
        <f>FW28</f>
      </c>
      <c r="FY28" s="412">
        <f>FX28</f>
      </c>
      <c r="FZ28" s="292">
        <f>FZ23/FZ10</f>
      </c>
      <c r="GA28" s="412">
        <f>FY28+0.5%</f>
      </c>
      <c r="GB28" s="412">
        <f>GA28</f>
      </c>
      <c r="GC28" s="412">
        <f>GB28</f>
      </c>
      <c r="GD28" s="412">
        <f>GC28</f>
      </c>
      <c r="GE28" s="292">
        <f>GE23/GE10</f>
      </c>
      <c r="GF28" s="412">
        <f>GD28+0.5%</f>
      </c>
      <c r="GG28" s="412">
        <f>GF28</f>
      </c>
      <c r="GH28" s="412">
        <f>GG28</f>
      </c>
      <c r="GI28" s="412">
        <f>GH28</f>
      </c>
      <c r="GJ28" s="292">
        <f>GJ23/GJ10</f>
      </c>
    </row>
    <row r="29" spans="1:192" s="1247" customFormat="1" ht="12.75" customHeight="1">
      <c r="A29" s="1561"/>
      <c r="B29" s="753" t="s">
        <v>1854</v>
      </c>
      <c r="C29" s="1243"/>
      <c r="D29" s="1244"/>
      <c r="E29" s="1244"/>
      <c r="F29" s="1244"/>
      <c r="G29" s="1242"/>
      <c r="H29" s="1243"/>
      <c r="I29" s="1244"/>
      <c r="J29" s="1244"/>
      <c r="K29" s="1244"/>
      <c r="L29" s="1242"/>
      <c r="M29" s="1243"/>
      <c r="N29" s="1244"/>
      <c r="O29" s="1244"/>
      <c r="P29" s="1244"/>
      <c r="Q29" s="1242"/>
      <c r="R29" s="1243"/>
      <c r="S29" s="1244"/>
      <c r="T29" s="1244"/>
      <c r="U29" s="1244"/>
      <c r="V29" s="1242"/>
      <c r="W29" s="1243"/>
      <c r="X29" s="1244"/>
      <c r="Y29" s="1244"/>
      <c r="Z29" s="1244"/>
      <c r="AA29" s="1242"/>
      <c r="AB29" s="1243"/>
      <c r="AC29" s="1244"/>
      <c r="AD29" s="1244"/>
      <c r="AE29" s="1244"/>
      <c r="AF29" s="1242"/>
      <c r="AG29" s="1243"/>
      <c r="AH29" s="1244"/>
      <c r="AI29" s="1244"/>
      <c r="AJ29" s="1244"/>
      <c r="AK29" s="1242"/>
      <c r="AL29" s="1243"/>
      <c r="AM29" s="1244"/>
      <c r="AN29" s="1244"/>
      <c r="AO29" s="1244"/>
      <c r="AP29" s="1242"/>
      <c r="AQ29" s="1243"/>
      <c r="AR29" s="1244"/>
      <c r="AS29" s="1244"/>
      <c r="AT29" s="1244"/>
      <c r="AU29" s="1242"/>
      <c r="AV29" s="1243"/>
      <c r="AW29" s="1244"/>
      <c r="AX29" s="1244"/>
      <c r="AY29" s="1244"/>
      <c r="AZ29" s="1242"/>
      <c r="BA29" s="1243"/>
      <c r="BB29" s="1244"/>
      <c r="BC29" s="1244"/>
      <c r="BD29" s="1244"/>
      <c r="BE29" s="1242"/>
      <c r="BF29" s="1243"/>
      <c r="BG29" s="1244"/>
      <c r="BH29" s="1244"/>
      <c r="BI29" s="1244"/>
      <c r="BJ29" s="1242"/>
      <c r="BK29" s="1243"/>
      <c r="BL29" s="1244"/>
      <c r="BM29" s="1244"/>
      <c r="BN29" s="1244"/>
      <c r="BO29" s="1242"/>
      <c r="BP29" s="1243"/>
      <c r="BQ29" s="1244"/>
      <c r="BR29" s="1244"/>
      <c r="BS29" s="1244"/>
      <c r="BT29" s="1242"/>
      <c r="BU29" s="1243"/>
      <c r="BV29" s="1244"/>
      <c r="BW29" s="1244"/>
      <c r="BX29" s="1244"/>
      <c r="BY29" s="1242"/>
      <c r="BZ29" s="1243"/>
      <c r="CA29" s="1244"/>
      <c r="CB29" s="1244"/>
      <c r="CC29" s="1244"/>
      <c r="CD29" s="1242"/>
      <c r="CE29" s="1243"/>
      <c r="CF29" s="1244"/>
      <c r="CG29" s="1244"/>
      <c r="CH29" s="1244"/>
      <c r="CI29" s="1242"/>
      <c r="CJ29" s="1243"/>
      <c r="CK29" s="1244"/>
      <c r="CL29" s="1244"/>
      <c r="CM29" s="1244"/>
      <c r="CN29" s="1242"/>
      <c r="CO29" s="1243"/>
      <c r="CP29" s="1244"/>
      <c r="CQ29" s="1244"/>
      <c r="CR29" s="1244"/>
      <c r="CS29" s="1242"/>
      <c r="CT29" s="1243"/>
      <c r="CU29" s="1244"/>
      <c r="CV29" s="1244"/>
      <c r="CW29" s="1244"/>
      <c r="CX29" s="1242"/>
      <c r="CY29" s="1243"/>
      <c r="CZ29" s="1244"/>
      <c r="DA29" s="1244"/>
      <c r="DB29" s="1244"/>
      <c r="DC29" s="1242"/>
      <c r="DD29" s="1243"/>
      <c r="DE29" s="1244"/>
      <c r="DF29" s="1244"/>
      <c r="DG29" s="1244"/>
      <c r="DH29" s="1245"/>
      <c r="DI29" s="1243"/>
      <c r="DJ29" s="1244"/>
      <c r="DK29" s="1244"/>
      <c r="DL29" s="1244"/>
      <c r="DM29" s="1242"/>
      <c r="DN29" s="1243"/>
      <c r="DO29" s="1244"/>
      <c r="DP29" s="1244"/>
      <c r="DQ29" s="1244"/>
      <c r="DR29" s="1242"/>
      <c r="DS29" s="1243"/>
      <c r="DT29" s="1244"/>
      <c r="DU29" s="1244"/>
      <c r="DV29" s="1244"/>
      <c r="DW29" s="1242"/>
      <c r="DX29" s="1243"/>
      <c r="DY29" s="1244"/>
      <c r="DZ29" s="1244"/>
      <c r="EA29" s="1244"/>
      <c r="EB29" s="1242"/>
      <c r="EC29" s="1243"/>
      <c r="ED29" s="1244"/>
      <c r="EE29" s="1244"/>
      <c r="EF29" s="1244"/>
      <c r="EG29" s="1242"/>
      <c r="EH29" s="1243"/>
      <c r="EI29" s="1244"/>
      <c r="EJ29" s="1244"/>
      <c r="EK29" s="1244"/>
      <c r="EL29" s="1242"/>
      <c r="EM29" s="1243"/>
      <c r="EN29" s="1243"/>
      <c r="EO29" s="1243"/>
      <c r="EP29" s="1244"/>
      <c r="EQ29" s="1242"/>
      <c r="ER29" s="1243"/>
      <c r="ES29" s="1244"/>
      <c r="ET29" s="1243"/>
      <c r="EU29" s="1244"/>
      <c r="EV29" s="1242"/>
      <c r="EW29" s="1243">
        <f t="shared" ref="EW29:GE29" si="25">(EW28-ER28)*10000</f>
      </c>
      <c r="EX29" s="1244">
        <f t="shared" si="25"/>
      </c>
      <c r="EY29" s="1244">
        <f t="shared" si="25"/>
      </c>
      <c r="EZ29" s="1244">
        <f t="shared" si="25"/>
      </c>
      <c r="FA29" s="1242">
        <f t="shared" si="25"/>
      </c>
      <c r="FB29" s="1243">
        <f t="shared" si="25"/>
      </c>
      <c r="FC29" s="1244">
        <f t="shared" si="25"/>
      </c>
      <c r="FD29" s="1244">
        <f t="shared" si="25"/>
      </c>
      <c r="FE29" s="1244">
        <f t="shared" si="25"/>
      </c>
      <c r="FF29" s="1242">
        <f t="shared" si="25"/>
      </c>
      <c r="FG29" s="1243">
        <f t="shared" si="25"/>
      </c>
      <c r="FH29" s="1244">
        <f t="shared" si="25"/>
      </c>
      <c r="FI29" s="1244">
        <f t="shared" si="25"/>
      </c>
      <c r="FJ29" s="1244">
        <f t="shared" si="25"/>
      </c>
      <c r="FK29" s="1242">
        <f t="shared" si="25"/>
      </c>
      <c r="FL29" s="1243">
        <f t="shared" si="25"/>
      </c>
      <c r="FM29" s="1244">
        <f t="shared" si="25"/>
      </c>
      <c r="FN29" s="1244">
        <f t="shared" si="25"/>
      </c>
      <c r="FO29" s="1244">
        <f t="shared" si="25"/>
      </c>
      <c r="FP29" s="1242">
        <f t="shared" si="25"/>
      </c>
      <c r="FQ29" s="1243">
        <f t="shared" si="25"/>
      </c>
      <c r="FR29" s="1244">
        <f t="shared" si="25"/>
      </c>
      <c r="FS29" s="1244">
        <f t="shared" si="25"/>
      </c>
      <c r="FT29" s="1244">
        <f t="shared" si="25"/>
      </c>
      <c r="FU29" s="1242">
        <f t="shared" si="25"/>
      </c>
      <c r="FV29" s="1243">
        <f t="shared" si="25"/>
      </c>
      <c r="FW29" s="1244">
        <f t="shared" si="25"/>
      </c>
      <c r="FX29" s="1244">
        <f t="shared" si="25"/>
      </c>
      <c r="FY29" s="1244">
        <f t="shared" si="25"/>
      </c>
      <c r="FZ29" s="1242">
        <f t="shared" si="25"/>
      </c>
      <c r="GA29" s="1243">
        <f t="shared" si="25"/>
      </c>
      <c r="GB29" s="1244">
        <f t="shared" si="25"/>
      </c>
      <c r="GC29" s="1244">
        <f t="shared" si="25"/>
      </c>
      <c r="GD29" s="1244">
        <f t="shared" si="25"/>
      </c>
      <c r="GE29" s="1242">
        <f t="shared" si="25"/>
      </c>
      <c r="GF29" s="1243">
        <f t="shared" ref="GF29" si="26">(GF28-GA28)*10000</f>
      </c>
      <c r="GG29" s="1244">
        <f t="shared" ref="GG29" si="27">(GG28-GB28)*10000</f>
      </c>
      <c r="GH29" s="1244">
        <f t="shared" ref="GH29" si="28">(GH28-GC28)*10000</f>
      </c>
      <c r="GI29" s="1244">
        <f t="shared" ref="GI29" si="29">(GI28-GD28)*10000</f>
      </c>
      <c r="GJ29" s="1242">
        <f t="shared" ref="GJ29" si="30">(GJ28-GE28)*10000</f>
      </c>
    </row>
    <row r="30" spans="1:192" ht="12.75" customHeight="1">
      <c r="B30" s="727"/>
      <c r="C30" s="412"/>
      <c r="D30" s="114"/>
      <c r="E30" s="114"/>
      <c r="F30" s="114"/>
      <c r="G30" s="413"/>
      <c r="H30" s="412"/>
      <c r="I30" s="114"/>
      <c r="J30" s="114"/>
      <c r="K30" s="114"/>
      <c r="L30" s="413"/>
      <c r="M30" s="412"/>
      <c r="N30" s="114"/>
      <c r="O30" s="114"/>
      <c r="P30" s="114"/>
      <c r="Q30" s="413"/>
      <c r="R30" s="412"/>
      <c r="S30" s="114"/>
      <c r="T30" s="114"/>
      <c r="U30" s="114"/>
      <c r="V30" s="413"/>
      <c r="W30" s="412"/>
      <c r="X30" s="114"/>
      <c r="Y30" s="114"/>
      <c r="Z30" s="114"/>
      <c r="AA30" s="413"/>
      <c r="AB30" s="412"/>
      <c r="AC30" s="114"/>
      <c r="AD30" s="114"/>
      <c r="AE30" s="114"/>
      <c r="AF30" s="413"/>
      <c r="AG30" s="412"/>
      <c r="AH30" s="114"/>
      <c r="AI30" s="114"/>
      <c r="AJ30" s="114"/>
      <c r="AK30" s="413"/>
      <c r="AL30" s="412"/>
      <c r="AM30" s="114"/>
      <c r="AN30" s="114"/>
      <c r="AO30" s="114"/>
      <c r="AP30" s="413"/>
      <c r="AQ30" s="412"/>
      <c r="AR30" s="114"/>
      <c r="AS30" s="114"/>
      <c r="AT30" s="114"/>
      <c r="AU30" s="413"/>
      <c r="AV30" s="412"/>
      <c r="AW30" s="114"/>
      <c r="AX30" s="114"/>
      <c r="AY30" s="114"/>
      <c r="AZ30" s="413"/>
      <c r="BA30" s="412"/>
      <c r="BB30" s="114"/>
      <c r="BC30" s="114"/>
      <c r="BD30" s="114"/>
      <c r="BE30" s="413"/>
      <c r="BF30" s="412"/>
      <c r="BG30" s="114"/>
      <c r="BH30" s="114"/>
      <c r="BI30" s="114"/>
      <c r="BJ30" s="413"/>
      <c r="BK30" s="412"/>
      <c r="BL30" s="114"/>
      <c r="BM30" s="114"/>
      <c r="BN30" s="114"/>
      <c r="BO30" s="413"/>
      <c r="BP30" s="412"/>
      <c r="BQ30" s="114"/>
      <c r="BR30" s="114"/>
      <c r="BS30" s="114"/>
      <c r="BT30" s="413"/>
      <c r="BU30" s="412"/>
      <c r="BV30" s="114"/>
      <c r="BW30" s="114"/>
      <c r="BX30" s="114"/>
      <c r="BY30" s="413"/>
      <c r="BZ30" s="412"/>
      <c r="CA30" s="114"/>
      <c r="CB30" s="114"/>
      <c r="CC30" s="114"/>
      <c r="CD30" s="292"/>
      <c r="CE30" s="412"/>
      <c r="CF30" s="114"/>
      <c r="CG30" s="114"/>
      <c r="CH30" s="114"/>
      <c r="CI30" s="292"/>
      <c r="CJ30" s="412"/>
      <c r="CK30" s="114"/>
      <c r="CL30" s="114"/>
      <c r="CM30" s="114"/>
      <c r="CN30" s="292"/>
      <c r="CO30" s="412"/>
      <c r="CP30" s="114"/>
      <c r="CQ30" s="114"/>
      <c r="CR30" s="114"/>
      <c r="CS30" s="292"/>
      <c r="CT30" s="412"/>
      <c r="CU30" s="114"/>
      <c r="CV30" s="114"/>
      <c r="CW30" s="114"/>
      <c r="CX30" s="292"/>
      <c r="CY30" s="412"/>
      <c r="CZ30" s="114"/>
      <c r="DA30" s="114"/>
      <c r="DB30" s="114"/>
      <c r="DC30" s="292"/>
      <c r="DD30" s="412"/>
      <c r="DE30" s="114"/>
      <c r="DF30" s="114"/>
      <c r="DG30" s="114"/>
      <c r="DH30" s="292"/>
      <c r="DI30" s="412"/>
      <c r="DJ30" s="114"/>
      <c r="DK30" s="114"/>
      <c r="DL30" s="114"/>
      <c r="DM30" s="292"/>
      <c r="DN30" s="412"/>
      <c r="DO30" s="114"/>
      <c r="DP30" s="114"/>
      <c r="DQ30" s="114"/>
      <c r="DR30" s="292"/>
      <c r="DS30" s="412"/>
      <c r="DT30" s="114"/>
      <c r="DU30" s="114"/>
      <c r="DV30" s="114"/>
      <c r="DW30" s="292"/>
      <c r="DX30" s="412"/>
      <c r="DY30" s="114"/>
      <c r="DZ30" s="114"/>
      <c r="EA30" s="114"/>
      <c r="EB30" s="292"/>
      <c r="EC30" s="412"/>
      <c r="ED30" s="114"/>
      <c r="EE30" s="114"/>
      <c r="EF30" s="114"/>
      <c r="EG30" s="292"/>
      <c r="EH30" s="412"/>
      <c r="EI30" s="114"/>
      <c r="EJ30" s="114"/>
      <c r="EK30" s="114"/>
      <c r="EL30" s="292"/>
      <c r="EM30" s="412"/>
      <c r="EN30" s="114"/>
      <c r="EO30" s="114"/>
      <c r="EP30" s="114"/>
      <c r="EQ30" s="292"/>
      <c r="ER30" s="412"/>
      <c r="ES30" s="107"/>
      <c r="ET30" s="107"/>
      <c r="EU30" s="107"/>
      <c r="EV30" s="292"/>
      <c r="EW30" s="291"/>
      <c r="EX30" s="107"/>
      <c r="EY30" s="107"/>
      <c r="EZ30" s="107"/>
      <c r="FA30" s="292"/>
      <c r="FB30" s="291"/>
      <c r="FC30" s="107"/>
      <c r="FD30" s="107"/>
      <c r="FE30" s="107"/>
      <c r="FF30" s="292"/>
      <c r="FG30" s="291"/>
      <c r="FH30" s="107"/>
      <c r="FI30" s="107"/>
      <c r="FJ30" s="107"/>
      <c r="FK30" s="292"/>
      <c r="FL30" s="291"/>
      <c r="FM30" s="107"/>
      <c r="FN30" s="107"/>
      <c r="FO30" s="107"/>
      <c r="FP30" s="292"/>
      <c r="FQ30" s="291"/>
      <c r="FR30" s="107"/>
      <c r="FS30" s="107"/>
      <c r="FT30" s="107"/>
      <c r="FU30" s="292"/>
      <c r="FV30" s="291"/>
      <c r="FW30" s="107"/>
      <c r="FX30" s="107"/>
      <c r="FY30" s="107"/>
      <c r="FZ30" s="292"/>
      <c r="GA30" s="291"/>
      <c r="GB30" s="107"/>
      <c r="GC30" s="107"/>
      <c r="GD30" s="107"/>
      <c r="GE30" s="292"/>
      <c r="GF30" s="291"/>
      <c r="GG30" s="107"/>
      <c r="GH30" s="107"/>
      <c r="GI30" s="107"/>
      <c r="GJ30" s="292"/>
    </row>
    <row r="31" spans="1:192" s="317" customFormat="1" ht="12.75" customHeight="1" collapsed="1">
      <c r="A31" s="280"/>
      <c r="B31" s="730" t="s">
        <v>229</v>
      </c>
      <c r="C31" s="315"/>
      <c r="D31" s="315"/>
      <c r="E31" s="315"/>
      <c r="F31" s="315"/>
      <c r="G31" s="313"/>
      <c r="H31" s="315"/>
      <c r="I31" s="315"/>
      <c r="J31" s="315"/>
      <c r="K31" s="315"/>
      <c r="L31" s="313"/>
      <c r="M31" s="315"/>
      <c r="N31" s="315"/>
      <c r="O31" s="315"/>
      <c r="P31" s="315"/>
      <c r="Q31" s="313"/>
      <c r="R31" s="315"/>
      <c r="S31" s="315"/>
      <c r="T31" s="315"/>
      <c r="U31" s="315"/>
      <c r="V31" s="313"/>
      <c r="W31" s="315"/>
      <c r="X31" s="315"/>
      <c r="Y31" s="315"/>
      <c r="Z31" s="315"/>
      <c r="AA31" s="313"/>
      <c r="AB31" s="315"/>
      <c r="AC31" s="315"/>
      <c r="AD31" s="315"/>
      <c r="AE31" s="315"/>
      <c r="AF31" s="313"/>
      <c r="AG31" s="315"/>
      <c r="AH31" s="315"/>
      <c r="AI31" s="315"/>
      <c r="AJ31" s="315"/>
      <c r="AK31" s="313"/>
      <c r="AL31" s="315"/>
      <c r="AM31" s="315"/>
      <c r="AN31" s="315"/>
      <c r="AO31" s="315"/>
      <c r="AP31" s="313"/>
      <c r="AQ31" s="315"/>
      <c r="AR31" s="315"/>
      <c r="AS31" s="315"/>
      <c r="AT31" s="315"/>
      <c r="AU31" s="313"/>
      <c r="AV31" s="315"/>
      <c r="AW31" s="315"/>
      <c r="AX31" s="315"/>
      <c r="AY31" s="315"/>
      <c r="AZ31" s="313"/>
      <c r="BA31" s="315"/>
      <c r="BB31" s="315"/>
      <c r="BC31" s="315"/>
      <c r="BD31" s="315"/>
      <c r="BE31" s="313"/>
      <c r="BF31" s="315"/>
      <c r="BG31" s="315"/>
      <c r="BH31" s="315"/>
      <c r="BI31" s="315"/>
      <c r="BJ31" s="313"/>
      <c r="BK31" s="315"/>
      <c r="BL31" s="315"/>
      <c r="BM31" s="315"/>
      <c r="BN31" s="315"/>
      <c r="BO31" s="313"/>
      <c r="BP31" s="315"/>
      <c r="BQ31" s="315"/>
      <c r="BR31" s="315"/>
      <c r="BS31" s="315"/>
      <c r="BT31" s="313"/>
      <c r="BU31" s="315"/>
      <c r="BV31" s="315"/>
      <c r="BW31" s="315"/>
      <c r="BX31" s="315"/>
      <c r="BY31" s="313"/>
      <c r="BZ31" s="315"/>
      <c r="CA31" s="315"/>
      <c r="CB31" s="315"/>
      <c r="CC31" s="315"/>
      <c r="CD31" s="319"/>
      <c r="CE31" s="315"/>
      <c r="CF31" s="315"/>
      <c r="CG31" s="315"/>
      <c r="CH31" s="315"/>
      <c r="CI31" s="319"/>
      <c r="CJ31" s="315"/>
      <c r="CK31" s="315"/>
      <c r="CL31" s="315"/>
      <c r="CM31" s="315"/>
      <c r="CN31" s="319"/>
      <c r="CO31" s="315"/>
      <c r="CP31" s="315"/>
      <c r="CQ31" s="315"/>
      <c r="CR31" s="315"/>
      <c r="CS31" s="319"/>
      <c r="CT31" s="316"/>
      <c r="CU31" s="316"/>
      <c r="CV31" s="316"/>
      <c r="CW31" s="316"/>
      <c r="CX31" s="319"/>
      <c r="CY31" s="312"/>
      <c r="CZ31" s="312"/>
      <c r="DA31" s="312"/>
      <c r="DB31" s="312"/>
      <c r="DC31" s="319"/>
      <c r="DD31" s="312"/>
      <c r="DE31" s="312"/>
      <c r="DF31" s="312"/>
      <c r="DG31" s="312"/>
      <c r="DH31" s="319"/>
      <c r="DI31" s="312"/>
      <c r="DJ31" s="312"/>
      <c r="DK31" s="312"/>
      <c r="DL31" s="312"/>
      <c r="DM31" s="319"/>
      <c r="DN31" s="312"/>
      <c r="DO31" s="312"/>
      <c r="DP31" s="312"/>
      <c r="DQ31" s="312"/>
      <c r="DR31" s="319"/>
      <c r="DS31" s="312"/>
      <c r="DT31" s="312"/>
      <c r="DU31" s="312"/>
      <c r="DV31" s="312"/>
      <c r="DW31" s="319"/>
      <c r="DX31" s="312"/>
      <c r="DY31" s="312"/>
      <c r="DZ31" s="312"/>
      <c r="EA31" s="312"/>
      <c r="EB31" s="319"/>
      <c r="EC31" s="312"/>
      <c r="ED31" s="312"/>
      <c r="EE31" s="312"/>
      <c r="EF31" s="312"/>
      <c r="EG31" s="319"/>
      <c r="EH31" s="312"/>
      <c r="EI31" s="312"/>
      <c r="EJ31" s="312"/>
      <c r="EK31" s="312"/>
      <c r="EL31" s="319"/>
      <c r="EM31" s="312"/>
      <c r="EN31" s="312"/>
      <c r="EO31" s="312"/>
      <c r="EP31" s="312"/>
      <c r="EQ31" s="319"/>
      <c r="ER31" s="312">
        <f>EW35/EW32</f>
      </c>
      <c r="ES31" s="312">
        <f>EX35/EX32</f>
      </c>
      <c r="ET31" s="312">
        <f>EY35/EY32</f>
      </c>
      <c r="EU31" s="312">
        <f>EZ35/EZ32</f>
      </c>
      <c r="EV31" s="453">
        <v>20040</v>
      </c>
      <c r="EW31" s="312">
        <f>ER31*(1+EW32)</f>
      </c>
      <c r="EX31" s="312">
        <f>ES31*(1+EX32)</f>
      </c>
      <c r="EY31" s="312">
        <f>ET31*(1+EY32)</f>
      </c>
      <c r="EZ31" s="312">
        <f>EU31*(1+EZ32)</f>
      </c>
      <c r="FA31" s="453">
        <v>21505</v>
      </c>
      <c r="FB31" s="316"/>
      <c r="FC31" s="316"/>
      <c r="FD31" s="316"/>
      <c r="FE31" s="316"/>
      <c r="FF31" s="313"/>
      <c r="FG31" s="316"/>
      <c r="FH31" s="316"/>
      <c r="FI31" s="316"/>
      <c r="FJ31" s="316"/>
      <c r="FK31" s="313"/>
      <c r="FL31" s="316"/>
      <c r="FM31" s="316"/>
      <c r="FN31" s="316"/>
      <c r="FO31" s="316"/>
      <c r="FP31" s="313"/>
      <c r="FQ31" s="316"/>
      <c r="FR31" s="316"/>
      <c r="FS31" s="316"/>
      <c r="FT31" s="316"/>
      <c r="FU31" s="313"/>
      <c r="FV31" s="316"/>
      <c r="FW31" s="316"/>
      <c r="FX31" s="316"/>
      <c r="FY31" s="316"/>
      <c r="FZ31" s="313"/>
      <c r="GA31" s="316"/>
      <c r="GB31" s="316"/>
      <c r="GC31" s="316"/>
      <c r="GD31" s="316"/>
      <c r="GE31" s="313"/>
      <c r="GF31" s="316"/>
      <c r="GG31" s="316"/>
      <c r="GH31" s="316"/>
      <c r="GI31" s="316"/>
      <c r="GJ31" s="313"/>
    </row>
    <row r="32" spans="1:192" ht="12.75" customHeight="1">
      <c r="B32" s="727" t="s">
        <v>34</v>
      </c>
      <c r="C32" s="412"/>
      <c r="D32" s="114"/>
      <c r="E32" s="114"/>
      <c r="F32" s="114"/>
      <c r="G32" s="413"/>
      <c r="H32" s="412"/>
      <c r="I32" s="114"/>
      <c r="J32" s="114"/>
      <c r="K32" s="114"/>
      <c r="L32" s="413"/>
      <c r="M32" s="412"/>
      <c r="N32" s="114"/>
      <c r="O32" s="114"/>
      <c r="P32" s="114"/>
      <c r="Q32" s="413"/>
      <c r="R32" s="412"/>
      <c r="S32" s="114"/>
      <c r="T32" s="114"/>
      <c r="U32" s="114"/>
      <c r="V32" s="413"/>
      <c r="W32" s="412"/>
      <c r="X32" s="114"/>
      <c r="Y32" s="114"/>
      <c r="Z32" s="114"/>
      <c r="AA32" s="413"/>
      <c r="AB32" s="412"/>
      <c r="AC32" s="114"/>
      <c r="AD32" s="114"/>
      <c r="AE32" s="114"/>
      <c r="AF32" s="413"/>
      <c r="AG32" s="412"/>
      <c r="AH32" s="114"/>
      <c r="AI32" s="114"/>
      <c r="AJ32" s="114"/>
      <c r="AK32" s="413"/>
      <c r="AL32" s="412"/>
      <c r="AM32" s="114"/>
      <c r="AN32" s="114"/>
      <c r="AO32" s="114"/>
      <c r="AP32" s="413"/>
      <c r="AQ32" s="412"/>
      <c r="AR32" s="114"/>
      <c r="AS32" s="114"/>
      <c r="AT32" s="114"/>
      <c r="AU32" s="413"/>
      <c r="AV32" s="412"/>
      <c r="AW32" s="114"/>
      <c r="AX32" s="114"/>
      <c r="AY32" s="114"/>
      <c r="AZ32" s="413"/>
      <c r="BA32" s="412"/>
      <c r="BB32" s="114"/>
      <c r="BC32" s="114"/>
      <c r="BD32" s="114"/>
      <c r="BE32" s="413"/>
      <c r="BF32" s="412"/>
      <c r="BG32" s="114"/>
      <c r="BH32" s="114"/>
      <c r="BI32" s="114"/>
      <c r="BJ32" s="413"/>
      <c r="BK32" s="412"/>
      <c r="BL32" s="114"/>
      <c r="BM32" s="114"/>
      <c r="BN32" s="114"/>
      <c r="BO32" s="413"/>
      <c r="BP32" s="412"/>
      <c r="BQ32" s="114"/>
      <c r="BR32" s="114"/>
      <c r="BS32" s="114"/>
      <c r="BT32" s="413"/>
      <c r="BU32" s="412"/>
      <c r="BV32" s="114"/>
      <c r="BW32" s="114"/>
      <c r="BX32" s="114"/>
      <c r="BY32" s="413"/>
      <c r="BZ32" s="412"/>
      <c r="CA32" s="114"/>
      <c r="CB32" s="114"/>
      <c r="CC32" s="114"/>
      <c r="CD32" s="292"/>
      <c r="CE32" s="412"/>
      <c r="CF32" s="114"/>
      <c r="CG32" s="114"/>
      <c r="CH32" s="114"/>
      <c r="CI32" s="292"/>
      <c r="CJ32" s="412"/>
      <c r="CK32" s="114"/>
      <c r="CL32" s="114"/>
      <c r="CM32" s="114"/>
      <c r="CN32" s="292"/>
      <c r="CO32" s="412"/>
      <c r="CP32" s="114"/>
      <c r="CQ32" s="114"/>
      <c r="CR32" s="114"/>
      <c r="CS32" s="292"/>
      <c r="CT32" s="412"/>
      <c r="CU32" s="114"/>
      <c r="CV32" s="114"/>
      <c r="CW32" s="114"/>
      <c r="CX32" s="292"/>
      <c r="CY32" s="412"/>
      <c r="CZ32" s="114"/>
      <c r="DA32" s="114"/>
      <c r="DB32" s="114"/>
      <c r="DC32" s="292"/>
      <c r="DD32" s="412"/>
      <c r="DE32" s="114"/>
      <c r="DF32" s="114"/>
      <c r="DG32" s="114"/>
      <c r="DH32" s="292"/>
      <c r="DI32" s="412"/>
      <c r="DJ32" s="114"/>
      <c r="DK32" s="114"/>
      <c r="DL32" s="114"/>
      <c r="DM32" s="292"/>
      <c r="DN32" s="412"/>
      <c r="DO32" s="114"/>
      <c r="DP32" s="114"/>
      <c r="DQ32" s="114"/>
      <c r="DR32" s="292"/>
      <c r="DS32" s="412"/>
      <c r="DT32" s="114"/>
      <c r="DU32" s="114"/>
      <c r="DV32" s="114"/>
      <c r="DW32" s="292"/>
      <c r="DX32" s="412"/>
      <c r="DY32" s="114"/>
      <c r="DZ32" s="114"/>
      <c r="EA32" s="114"/>
      <c r="EB32" s="292"/>
      <c r="EC32" s="412"/>
      <c r="ED32" s="114"/>
      <c r="EE32" s="114"/>
      <c r="EF32" s="114"/>
      <c r="EG32" s="292"/>
      <c r="EH32" s="412"/>
      <c r="EI32" s="114"/>
      <c r="EJ32" s="114"/>
      <c r="EK32" s="114"/>
      <c r="EL32" s="413"/>
      <c r="EM32" s="412"/>
      <c r="EN32" s="114"/>
      <c r="EO32" s="114"/>
      <c r="EP32" s="114"/>
      <c r="EQ32" s="292"/>
      <c r="ER32" s="412"/>
      <c r="ES32" s="114"/>
      <c r="ET32" s="439"/>
      <c r="EU32" s="439"/>
      <c r="EV32" s="292"/>
      <c r="EW32" s="441">
        <v>0.08</v>
      </c>
      <c r="EX32" s="439">
        <v>0.1</v>
      </c>
      <c r="EY32" s="439">
        <v>0.06</v>
      </c>
      <c r="EZ32" s="439">
        <v>0.06</v>
      </c>
      <c r="FA32" s="292">
        <f>FA31/EV31-1</f>
      </c>
      <c r="FB32" s="291"/>
      <c r="FC32" s="107"/>
      <c r="FD32" s="107"/>
      <c r="FE32" s="107"/>
      <c r="FF32" s="292"/>
      <c r="FG32" s="291"/>
      <c r="FH32" s="107"/>
      <c r="FI32" s="107"/>
      <c r="FJ32" s="107"/>
      <c r="FK32" s="292"/>
      <c r="FL32" s="291"/>
      <c r="FM32" s="107"/>
      <c r="FN32" s="107"/>
      <c r="FO32" s="107"/>
      <c r="FP32" s="292"/>
      <c r="FQ32" s="291"/>
      <c r="FR32" s="107"/>
      <c r="FS32" s="107"/>
      <c r="FT32" s="107"/>
      <c r="FU32" s="292"/>
      <c r="FV32" s="291"/>
      <c r="FW32" s="107"/>
      <c r="FX32" s="107"/>
      <c r="FY32" s="107"/>
      <c r="FZ32" s="292"/>
      <c r="GA32" s="291"/>
      <c r="GB32" s="107"/>
      <c r="GC32" s="107"/>
      <c r="GD32" s="107"/>
      <c r="GE32" s="292"/>
      <c r="GF32" s="291"/>
      <c r="GG32" s="107"/>
      <c r="GH32" s="107"/>
      <c r="GI32" s="107"/>
      <c r="GJ32" s="292"/>
    </row>
    <row r="33" spans="1:192" ht="12.75" customHeight="1">
      <c r="B33" s="727" t="s">
        <v>197</v>
      </c>
      <c r="C33" s="412"/>
      <c r="D33" s="114"/>
      <c r="E33" s="114"/>
      <c r="F33" s="114"/>
      <c r="G33" s="413"/>
      <c r="H33" s="412"/>
      <c r="I33" s="114"/>
      <c r="J33" s="114"/>
      <c r="K33" s="114"/>
      <c r="L33" s="413"/>
      <c r="M33" s="412"/>
      <c r="N33" s="114"/>
      <c r="O33" s="114"/>
      <c r="P33" s="114"/>
      <c r="Q33" s="413"/>
      <c r="R33" s="412"/>
      <c r="S33" s="114"/>
      <c r="T33" s="114"/>
      <c r="U33" s="114"/>
      <c r="V33" s="413"/>
      <c r="W33" s="412"/>
      <c r="X33" s="114"/>
      <c r="Y33" s="114"/>
      <c r="Z33" s="114"/>
      <c r="AA33" s="413"/>
      <c r="AB33" s="412"/>
      <c r="AC33" s="114"/>
      <c r="AD33" s="114"/>
      <c r="AE33" s="114"/>
      <c r="AF33" s="413"/>
      <c r="AG33" s="412"/>
      <c r="AH33" s="114"/>
      <c r="AI33" s="114"/>
      <c r="AJ33" s="114"/>
      <c r="AK33" s="413"/>
      <c r="AL33" s="412"/>
      <c r="AM33" s="114"/>
      <c r="AN33" s="114"/>
      <c r="AO33" s="114"/>
      <c r="AP33" s="413"/>
      <c r="AQ33" s="412"/>
      <c r="AR33" s="114"/>
      <c r="AS33" s="114"/>
      <c r="AT33" s="114"/>
      <c r="AU33" s="413"/>
      <c r="AV33" s="412"/>
      <c r="AW33" s="114"/>
      <c r="AX33" s="114"/>
      <c r="AY33" s="114"/>
      <c r="AZ33" s="413"/>
      <c r="BA33" s="412"/>
      <c r="BB33" s="114"/>
      <c r="BC33" s="114"/>
      <c r="BD33" s="114"/>
      <c r="BE33" s="413"/>
      <c r="BF33" s="412"/>
      <c r="BG33" s="114"/>
      <c r="BH33" s="114"/>
      <c r="BI33" s="114"/>
      <c r="BJ33" s="413"/>
      <c r="BK33" s="412"/>
      <c r="BL33" s="114"/>
      <c r="BM33" s="114"/>
      <c r="BN33" s="114"/>
      <c r="BO33" s="413"/>
      <c r="BP33" s="412"/>
      <c r="BQ33" s="114"/>
      <c r="BR33" s="114"/>
      <c r="BS33" s="114"/>
      <c r="BT33" s="413"/>
      <c r="BU33" s="412"/>
      <c r="BV33" s="114"/>
      <c r="BW33" s="114"/>
      <c r="BX33" s="114"/>
      <c r="BY33" s="413"/>
      <c r="BZ33" s="412"/>
      <c r="CA33" s="114"/>
      <c r="CB33" s="114"/>
      <c r="CC33" s="114"/>
      <c r="CD33" s="292"/>
      <c r="CE33" s="412"/>
      <c r="CF33" s="114"/>
      <c r="CG33" s="114"/>
      <c r="CH33" s="114"/>
      <c r="CI33" s="292"/>
      <c r="CJ33" s="412"/>
      <c r="CK33" s="114"/>
      <c r="CL33" s="114"/>
      <c r="CM33" s="114"/>
      <c r="CN33" s="292"/>
      <c r="CO33" s="412"/>
      <c r="CP33" s="114"/>
      <c r="CQ33" s="114"/>
      <c r="CR33" s="114"/>
      <c r="CS33" s="292"/>
      <c r="CT33" s="412"/>
      <c r="CU33" s="114"/>
      <c r="CV33" s="114"/>
      <c r="CW33" s="114"/>
      <c r="CX33" s="292"/>
      <c r="CY33" s="412"/>
      <c r="CZ33" s="114"/>
      <c r="DA33" s="114"/>
      <c r="DB33" s="114"/>
      <c r="DC33" s="292"/>
      <c r="DD33" s="412"/>
      <c r="DE33" s="114"/>
      <c r="DF33" s="114"/>
      <c r="DG33" s="114"/>
      <c r="DH33" s="292"/>
      <c r="DI33" s="412"/>
      <c r="DJ33" s="114"/>
      <c r="DK33" s="114"/>
      <c r="DL33" s="114"/>
      <c r="DM33" s="292"/>
      <c r="DN33" s="412"/>
      <c r="DO33" s="114"/>
      <c r="DP33" s="114"/>
      <c r="DQ33" s="114"/>
      <c r="DR33" s="292"/>
      <c r="DS33" s="412"/>
      <c r="DT33" s="114"/>
      <c r="DU33" s="114"/>
      <c r="DV33" s="114"/>
      <c r="DW33" s="292"/>
      <c r="DX33" s="412"/>
      <c r="DY33" s="114"/>
      <c r="DZ33" s="114"/>
      <c r="EA33" s="114"/>
      <c r="EB33" s="292"/>
      <c r="EC33" s="412"/>
      <c r="ED33" s="114"/>
      <c r="EE33" s="114"/>
      <c r="EF33" s="114"/>
      <c r="EG33" s="292"/>
      <c r="EH33" s="412"/>
      <c r="EI33" s="114"/>
      <c r="EJ33" s="114"/>
      <c r="EK33" s="114"/>
      <c r="EL33" s="292"/>
      <c r="EM33" s="412"/>
      <c r="EN33" s="114"/>
      <c r="EO33" s="114"/>
      <c r="EP33" s="114"/>
      <c r="EQ33" s="292"/>
      <c r="ER33" s="412"/>
      <c r="ES33" s="114"/>
      <c r="ET33" s="439"/>
      <c r="EU33" s="439"/>
      <c r="EV33" s="292"/>
      <c r="EW33" s="441">
        <v>0.08</v>
      </c>
      <c r="EX33" s="439"/>
      <c r="EY33" s="439">
        <v>7.0000000000000007E-2</v>
      </c>
      <c r="EZ33" s="439">
        <v>0.04</v>
      </c>
      <c r="FA33" s="292"/>
      <c r="FB33" s="291"/>
      <c r="FC33" s="107"/>
      <c r="FD33" s="107"/>
      <c r="FE33" s="107"/>
      <c r="FF33" s="292"/>
      <c r="FG33" s="291"/>
      <c r="FH33" s="107"/>
      <c r="FI33" s="107"/>
      <c r="FJ33" s="107"/>
      <c r="FK33" s="292"/>
      <c r="FL33" s="291"/>
      <c r="FM33" s="107"/>
      <c r="FN33" s="107"/>
      <c r="FO33" s="107"/>
      <c r="FP33" s="292"/>
      <c r="FQ33" s="291"/>
      <c r="FR33" s="107"/>
      <c r="FS33" s="107"/>
      <c r="FT33" s="107"/>
      <c r="FU33" s="292"/>
      <c r="FV33" s="291"/>
      <c r="FW33" s="107"/>
      <c r="FX33" s="107"/>
      <c r="FY33" s="107"/>
      <c r="FZ33" s="292"/>
      <c r="GA33" s="291"/>
      <c r="GB33" s="107"/>
      <c r="GC33" s="107"/>
      <c r="GD33" s="107"/>
      <c r="GE33" s="292"/>
      <c r="GF33" s="291"/>
      <c r="GG33" s="107"/>
      <c r="GH33" s="107"/>
      <c r="GI33" s="107"/>
      <c r="GJ33" s="292"/>
    </row>
    <row r="34" spans="1:192" ht="12.75" customHeight="1">
      <c r="B34" s="727" t="s">
        <v>36</v>
      </c>
      <c r="C34" s="412"/>
      <c r="D34" s="114"/>
      <c r="E34" s="114"/>
      <c r="F34" s="114"/>
      <c r="G34" s="413"/>
      <c r="H34" s="412"/>
      <c r="I34" s="114"/>
      <c r="J34" s="114"/>
      <c r="K34" s="114"/>
      <c r="L34" s="413"/>
      <c r="M34" s="412"/>
      <c r="N34" s="114"/>
      <c r="O34" s="114"/>
      <c r="P34" s="114"/>
      <c r="Q34" s="413"/>
      <c r="R34" s="412"/>
      <c r="S34" s="114"/>
      <c r="T34" s="114"/>
      <c r="U34" s="114"/>
      <c r="V34" s="413"/>
      <c r="W34" s="412"/>
      <c r="X34" s="114"/>
      <c r="Y34" s="114"/>
      <c r="Z34" s="114"/>
      <c r="AA34" s="413"/>
      <c r="AB34" s="412"/>
      <c r="AC34" s="114"/>
      <c r="AD34" s="114"/>
      <c r="AE34" s="114"/>
      <c r="AF34" s="413"/>
      <c r="AG34" s="412"/>
      <c r="AH34" s="114"/>
      <c r="AI34" s="114"/>
      <c r="AJ34" s="114"/>
      <c r="AK34" s="413"/>
      <c r="AL34" s="412"/>
      <c r="AM34" s="114"/>
      <c r="AN34" s="114"/>
      <c r="AO34" s="114"/>
      <c r="AP34" s="413"/>
      <c r="AQ34" s="412"/>
      <c r="AR34" s="114"/>
      <c r="AS34" s="114"/>
      <c r="AT34" s="114"/>
      <c r="AU34" s="413"/>
      <c r="AV34" s="412"/>
      <c r="AW34" s="114"/>
      <c r="AX34" s="114"/>
      <c r="AY34" s="114"/>
      <c r="AZ34" s="413"/>
      <c r="BA34" s="412"/>
      <c r="BB34" s="114"/>
      <c r="BC34" s="114"/>
      <c r="BD34" s="114"/>
      <c r="BE34" s="413"/>
      <c r="BF34" s="412"/>
      <c r="BG34" s="114"/>
      <c r="BH34" s="114"/>
      <c r="BI34" s="114"/>
      <c r="BJ34" s="413"/>
      <c r="BK34" s="412"/>
      <c r="BL34" s="114"/>
      <c r="BM34" s="114"/>
      <c r="BN34" s="114"/>
      <c r="BO34" s="413"/>
      <c r="BP34" s="412"/>
      <c r="BQ34" s="114"/>
      <c r="BR34" s="114"/>
      <c r="BS34" s="114"/>
      <c r="BT34" s="413"/>
      <c r="BU34" s="412"/>
      <c r="BV34" s="114"/>
      <c r="BW34" s="114"/>
      <c r="BX34" s="114"/>
      <c r="BY34" s="413"/>
      <c r="BZ34" s="412"/>
      <c r="CA34" s="114"/>
      <c r="CB34" s="114"/>
      <c r="CC34" s="114"/>
      <c r="CD34" s="292"/>
      <c r="CE34" s="412"/>
      <c r="CF34" s="114"/>
      <c r="CG34" s="114"/>
      <c r="CH34" s="114"/>
      <c r="CI34" s="292"/>
      <c r="CJ34" s="412"/>
      <c r="CK34" s="114"/>
      <c r="CL34" s="114"/>
      <c r="CM34" s="114"/>
      <c r="CN34" s="292"/>
      <c r="CO34" s="412"/>
      <c r="CP34" s="114"/>
      <c r="CQ34" s="114"/>
      <c r="CR34" s="114"/>
      <c r="CS34" s="292"/>
      <c r="CT34" s="412"/>
      <c r="CU34" s="114"/>
      <c r="CV34" s="114"/>
      <c r="CW34" s="114"/>
      <c r="CX34" s="292"/>
      <c r="CY34" s="412"/>
      <c r="CZ34" s="114"/>
      <c r="DA34" s="114"/>
      <c r="DB34" s="114"/>
      <c r="DC34" s="292"/>
      <c r="DD34" s="291"/>
      <c r="DE34" s="291"/>
      <c r="DF34" s="291"/>
      <c r="DG34" s="291"/>
      <c r="DH34" s="292"/>
      <c r="DI34" s="291"/>
      <c r="DJ34" s="291"/>
      <c r="DK34" s="291"/>
      <c r="DL34" s="291"/>
      <c r="DM34" s="292"/>
      <c r="DN34" s="291"/>
      <c r="DO34" s="291"/>
      <c r="DP34" s="291"/>
      <c r="DQ34" s="291"/>
      <c r="DR34" s="292"/>
      <c r="DS34" s="291"/>
      <c r="DT34" s="291"/>
      <c r="DU34" s="291"/>
      <c r="DV34" s="291"/>
      <c r="DW34" s="292"/>
      <c r="DX34" s="291"/>
      <c r="DY34" s="291"/>
      <c r="DZ34" s="291"/>
      <c r="EA34" s="291"/>
      <c r="EB34" s="292"/>
      <c r="EC34" s="291"/>
      <c r="ED34" s="291"/>
      <c r="EE34" s="291"/>
      <c r="EF34" s="291"/>
      <c r="EG34" s="292"/>
      <c r="EH34" s="291"/>
      <c r="EI34" s="291"/>
      <c r="EJ34" s="291"/>
      <c r="EK34" s="291"/>
      <c r="EL34" s="292"/>
      <c r="EM34" s="291"/>
      <c r="EN34" s="291"/>
      <c r="EO34" s="291"/>
      <c r="EP34" s="291"/>
      <c r="EQ34" s="292"/>
      <c r="ER34" s="291"/>
      <c r="ES34" s="291"/>
      <c r="ET34" s="291"/>
      <c r="EU34" s="349"/>
      <c r="EV34" s="292"/>
      <c r="EW34" s="291"/>
      <c r="EX34" s="107"/>
      <c r="EY34" s="107"/>
      <c r="EZ34" s="107"/>
      <c r="FA34" s="292"/>
      <c r="FB34" s="291"/>
      <c r="FC34" s="107"/>
      <c r="FD34" s="107"/>
      <c r="FE34" s="107"/>
      <c r="FF34" s="292"/>
      <c r="FG34" s="291"/>
      <c r="FH34" s="107"/>
      <c r="FI34" s="107"/>
      <c r="FJ34" s="107"/>
      <c r="FK34" s="292"/>
      <c r="FL34" s="291"/>
      <c r="FM34" s="107"/>
      <c r="FN34" s="107"/>
      <c r="FO34" s="107"/>
      <c r="FP34" s="292"/>
      <c r="FQ34" s="291"/>
      <c r="FR34" s="107"/>
      <c r="FS34" s="107"/>
      <c r="FT34" s="107"/>
      <c r="FU34" s="292"/>
      <c r="FV34" s="291"/>
      <c r="FW34" s="107"/>
      <c r="FX34" s="107"/>
      <c r="FY34" s="107"/>
      <c r="FZ34" s="292"/>
      <c r="GA34" s="291"/>
      <c r="GB34" s="107"/>
      <c r="GC34" s="107"/>
      <c r="GD34" s="107"/>
      <c r="GE34" s="292"/>
      <c r="GF34" s="291"/>
      <c r="GG34" s="107"/>
      <c r="GH34" s="107"/>
      <c r="GI34" s="107"/>
      <c r="GJ34" s="292"/>
    </row>
    <row r="35" spans="1:192" s="461" customFormat="1" ht="12.75" customHeight="1">
      <c r="A35" s="370"/>
      <c r="B35" s="727" t="s">
        <v>255</v>
      </c>
      <c r="C35" s="448"/>
      <c r="D35" s="493"/>
      <c r="E35" s="493"/>
      <c r="F35" s="493"/>
      <c r="G35" s="494"/>
      <c r="H35" s="448"/>
      <c r="I35" s="493"/>
      <c r="J35" s="493"/>
      <c r="K35" s="493"/>
      <c r="L35" s="494"/>
      <c r="M35" s="448"/>
      <c r="N35" s="493"/>
      <c r="O35" s="493"/>
      <c r="P35" s="493"/>
      <c r="Q35" s="494"/>
      <c r="R35" s="448"/>
      <c r="S35" s="493"/>
      <c r="T35" s="493"/>
      <c r="U35" s="493"/>
      <c r="V35" s="494"/>
      <c r="W35" s="448"/>
      <c r="X35" s="493"/>
      <c r="Y35" s="493"/>
      <c r="Z35" s="493"/>
      <c r="AA35" s="494"/>
      <c r="AB35" s="448"/>
      <c r="AC35" s="493"/>
      <c r="AD35" s="493"/>
      <c r="AE35" s="493"/>
      <c r="AF35" s="494"/>
      <c r="AG35" s="448"/>
      <c r="AH35" s="493"/>
      <c r="AI35" s="493"/>
      <c r="AJ35" s="493"/>
      <c r="AK35" s="494"/>
      <c r="AL35" s="448"/>
      <c r="AM35" s="493"/>
      <c r="AN35" s="493"/>
      <c r="AO35" s="493"/>
      <c r="AP35" s="494"/>
      <c r="AQ35" s="448"/>
      <c r="AR35" s="493"/>
      <c r="AS35" s="493"/>
      <c r="AT35" s="493"/>
      <c r="AU35" s="494"/>
      <c r="AV35" s="448"/>
      <c r="AW35" s="493"/>
      <c r="AX35" s="493"/>
      <c r="AY35" s="493"/>
      <c r="AZ35" s="494"/>
      <c r="BA35" s="448"/>
      <c r="BB35" s="493"/>
      <c r="BC35" s="493"/>
      <c r="BD35" s="493"/>
      <c r="BE35" s="494"/>
      <c r="BF35" s="448"/>
      <c r="BG35" s="493"/>
      <c r="BH35" s="493"/>
      <c r="BI35" s="493"/>
      <c r="BJ35" s="494"/>
      <c r="BK35" s="448"/>
      <c r="BL35" s="493"/>
      <c r="BM35" s="493"/>
      <c r="BN35" s="493"/>
      <c r="BO35" s="494"/>
      <c r="BP35" s="448"/>
      <c r="BQ35" s="493"/>
      <c r="BR35" s="493"/>
      <c r="BS35" s="493"/>
      <c r="BT35" s="494"/>
      <c r="BU35" s="448"/>
      <c r="BV35" s="493"/>
      <c r="BW35" s="493"/>
      <c r="BX35" s="493"/>
      <c r="BY35" s="494"/>
      <c r="BZ35" s="448"/>
      <c r="CA35" s="493"/>
      <c r="CB35" s="493"/>
      <c r="CC35" s="493"/>
      <c r="CD35" s="462"/>
      <c r="CE35" s="448"/>
      <c r="CF35" s="493"/>
      <c r="CG35" s="493"/>
      <c r="CH35" s="493"/>
      <c r="CI35" s="462"/>
      <c r="CJ35" s="448"/>
      <c r="CK35" s="493"/>
      <c r="CL35" s="493"/>
      <c r="CM35" s="493"/>
      <c r="CN35" s="462"/>
      <c r="CO35" s="448"/>
      <c r="CP35" s="493"/>
      <c r="CQ35" s="493"/>
      <c r="CR35" s="493"/>
      <c r="CS35" s="462"/>
      <c r="CT35" s="448"/>
      <c r="CU35" s="493"/>
      <c r="CV35" s="493"/>
      <c r="CW35" s="493"/>
      <c r="CX35" s="462"/>
      <c r="CY35" s="448"/>
      <c r="CZ35" s="493"/>
      <c r="DA35" s="493"/>
      <c r="DB35" s="493"/>
      <c r="DC35" s="462"/>
      <c r="DD35" s="447"/>
      <c r="DE35" s="447"/>
      <c r="DF35" s="447"/>
      <c r="DG35" s="447"/>
      <c r="DH35" s="462"/>
      <c r="DI35" s="447"/>
      <c r="DJ35" s="447"/>
      <c r="DK35" s="447"/>
      <c r="DL35" s="447"/>
      <c r="DM35" s="462"/>
      <c r="DN35" s="447"/>
      <c r="DO35" s="447"/>
      <c r="DP35" s="447"/>
      <c r="DQ35" s="447"/>
      <c r="DR35" s="462"/>
      <c r="DS35" s="447"/>
      <c r="DT35" s="447"/>
      <c r="DU35" s="447"/>
      <c r="DV35" s="447"/>
      <c r="DW35" s="462"/>
      <c r="DX35" s="447"/>
      <c r="DY35" s="447"/>
      <c r="DZ35" s="447"/>
      <c r="EA35" s="447"/>
      <c r="EB35" s="462"/>
      <c r="EC35" s="447"/>
      <c r="ED35" s="447"/>
      <c r="EE35" s="447"/>
      <c r="EF35" s="447"/>
      <c r="EG35" s="462"/>
      <c r="EH35" s="447"/>
      <c r="EI35" s="447"/>
      <c r="EJ35" s="447"/>
      <c r="EK35" s="447"/>
      <c r="EL35" s="494"/>
      <c r="EM35" s="448"/>
      <c r="EN35" s="448"/>
      <c r="EO35" s="448"/>
      <c r="EP35" s="458"/>
      <c r="EQ35" s="494"/>
      <c r="ER35" s="448"/>
      <c r="ES35" s="493"/>
      <c r="ET35" s="815"/>
      <c r="EU35" s="458"/>
      <c r="EV35" s="494"/>
      <c r="EW35" s="496">
        <v>372</v>
      </c>
      <c r="EX35" s="496">
        <v>482</v>
      </c>
      <c r="EY35" s="815">
        <v>302</v>
      </c>
      <c r="EZ35" s="679">
        <f>FA35-EY35-EX35-EW35</f>
      </c>
      <c r="FA35" s="462">
        <f t="shared" ref="FA35" si="31">FA31-EV31</f>
      </c>
      <c r="FB35" s="447"/>
      <c r="FC35" s="458"/>
      <c r="FD35" s="458"/>
      <c r="FE35" s="458"/>
      <c r="FF35" s="462"/>
      <c r="FG35" s="447"/>
      <c r="FH35" s="458"/>
      <c r="FI35" s="458"/>
      <c r="FJ35" s="458"/>
      <c r="FK35" s="462"/>
      <c r="FL35" s="447"/>
      <c r="FM35" s="458"/>
      <c r="FN35" s="458"/>
      <c r="FO35" s="458"/>
      <c r="FP35" s="462"/>
      <c r="FQ35" s="447"/>
      <c r="FR35" s="458"/>
      <c r="FS35" s="458"/>
      <c r="FT35" s="458"/>
      <c r="FU35" s="462"/>
      <c r="FV35" s="447"/>
      <c r="FW35" s="458"/>
      <c r="FX35" s="458"/>
      <c r="FY35" s="458"/>
      <c r="FZ35" s="462"/>
      <c r="GA35" s="447"/>
      <c r="GB35" s="458"/>
      <c r="GC35" s="458"/>
      <c r="GD35" s="458"/>
      <c r="GE35" s="462"/>
      <c r="GF35" s="447"/>
      <c r="GG35" s="458"/>
      <c r="GH35" s="458"/>
      <c r="GI35" s="458"/>
      <c r="GJ35" s="462"/>
    </row>
    <row r="36" spans="1:192" s="701" customFormat="1" ht="12.75" customHeight="1">
      <c r="A36" s="850"/>
      <c r="B36" s="729"/>
      <c r="C36" s="495"/>
      <c r="D36" s="503"/>
      <c r="E36" s="503"/>
      <c r="F36" s="503"/>
      <c r="G36" s="916"/>
      <c r="H36" s="495"/>
      <c r="I36" s="503"/>
      <c r="J36" s="503"/>
      <c r="K36" s="503"/>
      <c r="L36" s="916"/>
      <c r="M36" s="495"/>
      <c r="N36" s="503"/>
      <c r="O36" s="503"/>
      <c r="P36" s="503"/>
      <c r="Q36" s="916"/>
      <c r="R36" s="495"/>
      <c r="S36" s="503"/>
      <c r="T36" s="503"/>
      <c r="U36" s="503"/>
      <c r="V36" s="916"/>
      <c r="W36" s="495"/>
      <c r="X36" s="503"/>
      <c r="Y36" s="503"/>
      <c r="Z36" s="503"/>
      <c r="AA36" s="916"/>
      <c r="AB36" s="495"/>
      <c r="AC36" s="503"/>
      <c r="AD36" s="503"/>
      <c r="AE36" s="503"/>
      <c r="AF36" s="916"/>
      <c r="AG36" s="495"/>
      <c r="AH36" s="503"/>
      <c r="AI36" s="503"/>
      <c r="AJ36" s="503"/>
      <c r="AK36" s="916"/>
      <c r="AL36" s="495"/>
      <c r="AM36" s="503"/>
      <c r="AN36" s="503"/>
      <c r="AO36" s="503"/>
      <c r="AP36" s="916"/>
      <c r="AQ36" s="495"/>
      <c r="AR36" s="503"/>
      <c r="AS36" s="503"/>
      <c r="AT36" s="503"/>
      <c r="AU36" s="916"/>
      <c r="AV36" s="495"/>
      <c r="AW36" s="503"/>
      <c r="AX36" s="503"/>
      <c r="AY36" s="503"/>
      <c r="AZ36" s="916"/>
      <c r="BA36" s="495"/>
      <c r="BB36" s="503"/>
      <c r="BC36" s="503"/>
      <c r="BD36" s="503"/>
      <c r="BE36" s="916"/>
      <c r="BF36" s="495"/>
      <c r="BG36" s="503"/>
      <c r="BH36" s="503"/>
      <c r="BI36" s="503"/>
      <c r="BJ36" s="916"/>
      <c r="BK36" s="495"/>
      <c r="BL36" s="503"/>
      <c r="BM36" s="503"/>
      <c r="BN36" s="503"/>
      <c r="BO36" s="916"/>
      <c r="BP36" s="495"/>
      <c r="BQ36" s="503"/>
      <c r="BR36" s="503"/>
      <c r="BS36" s="503"/>
      <c r="BT36" s="916"/>
      <c r="BU36" s="495"/>
      <c r="BV36" s="503"/>
      <c r="BW36" s="503"/>
      <c r="BX36" s="503"/>
      <c r="BY36" s="916"/>
      <c r="BZ36" s="495"/>
      <c r="CA36" s="503"/>
      <c r="CB36" s="503"/>
      <c r="CC36" s="503"/>
      <c r="CD36" s="916"/>
      <c r="CE36" s="495"/>
      <c r="CF36" s="503"/>
      <c r="CG36" s="503"/>
      <c r="CH36" s="503"/>
      <c r="CI36" s="916"/>
      <c r="CJ36" s="495"/>
      <c r="CK36" s="503"/>
      <c r="CL36" s="503"/>
      <c r="CM36" s="503"/>
      <c r="CN36" s="916"/>
      <c r="CO36" s="495"/>
      <c r="CP36" s="503"/>
      <c r="CQ36" s="503"/>
      <c r="CR36" s="503"/>
      <c r="CS36" s="916"/>
      <c r="CT36" s="495"/>
      <c r="CU36" s="503"/>
      <c r="CV36" s="503"/>
      <c r="CW36" s="503"/>
      <c r="CX36" s="916"/>
      <c r="CY36" s="495"/>
      <c r="CZ36" s="503"/>
      <c r="DA36" s="503"/>
      <c r="DB36" s="503"/>
      <c r="DC36" s="916"/>
      <c r="DD36" s="495"/>
      <c r="DE36" s="503"/>
      <c r="DF36" s="503"/>
      <c r="DG36" s="503"/>
      <c r="DH36" s="916"/>
      <c r="DI36" s="495"/>
      <c r="DJ36" s="503"/>
      <c r="DK36" s="503"/>
      <c r="DL36" s="503"/>
      <c r="DM36" s="916"/>
      <c r="DN36" s="495"/>
      <c r="DO36" s="503"/>
      <c r="DP36" s="503"/>
      <c r="DQ36" s="503"/>
      <c r="DR36" s="916"/>
      <c r="DS36" s="495"/>
      <c r="DT36" s="503"/>
      <c r="DU36" s="503"/>
      <c r="DV36" s="503"/>
      <c r="DW36" s="916"/>
      <c r="DX36" s="495"/>
      <c r="DY36" s="503"/>
      <c r="DZ36" s="503"/>
      <c r="EA36" s="503"/>
      <c r="EB36" s="916"/>
      <c r="EC36" s="495"/>
      <c r="ED36" s="503"/>
      <c r="EE36" s="503"/>
      <c r="EF36" s="503"/>
      <c r="EG36" s="916"/>
      <c r="EH36" s="495"/>
      <c r="EI36" s="503"/>
      <c r="EJ36" s="503"/>
      <c r="EK36" s="503"/>
      <c r="EL36" s="916"/>
      <c r="EM36" s="412"/>
      <c r="EN36" s="114"/>
      <c r="EO36" s="114"/>
      <c r="EP36" s="114"/>
      <c r="EQ36" s="292"/>
      <c r="ER36" s="412"/>
      <c r="ES36" s="107"/>
      <c r="ET36" s="107"/>
      <c r="EU36" s="107"/>
      <c r="EV36" s="292"/>
      <c r="EW36" s="291"/>
      <c r="EX36" s="503"/>
      <c r="EY36" s="503"/>
      <c r="EZ36" s="503"/>
      <c r="FA36" s="916"/>
      <c r="FB36" s="495"/>
      <c r="FC36" s="503"/>
      <c r="FD36" s="503"/>
      <c r="FE36" s="503"/>
      <c r="FF36" s="916"/>
      <c r="FG36" s="495"/>
      <c r="FH36" s="503"/>
      <c r="FI36" s="503"/>
      <c r="FJ36" s="503"/>
      <c r="FK36" s="916"/>
      <c r="FL36" s="495"/>
      <c r="FM36" s="503"/>
      <c r="FN36" s="503"/>
      <c r="FO36" s="503"/>
      <c r="FP36" s="916"/>
      <c r="FQ36" s="495"/>
      <c r="FR36" s="503"/>
      <c r="FS36" s="503"/>
      <c r="FT36" s="503"/>
      <c r="FU36" s="916"/>
      <c r="FV36" s="495"/>
      <c r="FW36" s="503"/>
      <c r="FX36" s="503"/>
      <c r="FY36" s="503"/>
      <c r="FZ36" s="916"/>
      <c r="GA36" s="495"/>
      <c r="GB36" s="503"/>
      <c r="GC36" s="503"/>
      <c r="GD36" s="503"/>
      <c r="GE36" s="916"/>
      <c r="GF36" s="495"/>
      <c r="GG36" s="503"/>
      <c r="GH36" s="503"/>
      <c r="GI36" s="503"/>
      <c r="GJ36" s="916"/>
    </row>
    <row r="37" spans="1:192" s="317" customFormat="1" ht="12.75" customHeight="1">
      <c r="A37" s="280"/>
      <c r="B37" s="730" t="s">
        <v>188</v>
      </c>
      <c r="C37" s="315"/>
      <c r="D37" s="315"/>
      <c r="E37" s="315"/>
      <c r="F37" s="315"/>
      <c r="G37" s="313"/>
      <c r="H37" s="315"/>
      <c r="I37" s="315"/>
      <c r="J37" s="315"/>
      <c r="K37" s="315"/>
      <c r="L37" s="313"/>
      <c r="M37" s="315"/>
      <c r="N37" s="315"/>
      <c r="O37" s="315"/>
      <c r="P37" s="315"/>
      <c r="Q37" s="313"/>
      <c r="R37" s="315"/>
      <c r="S37" s="315"/>
      <c r="T37" s="315"/>
      <c r="U37" s="315"/>
      <c r="V37" s="313"/>
      <c r="W37" s="315"/>
      <c r="X37" s="315"/>
      <c r="Y37" s="315"/>
      <c r="Z37" s="315"/>
      <c r="AA37" s="313"/>
      <c r="AB37" s="315"/>
      <c r="AC37" s="315"/>
      <c r="AD37" s="315"/>
      <c r="AE37" s="315"/>
      <c r="AF37" s="313"/>
      <c r="AG37" s="315"/>
      <c r="AH37" s="315"/>
      <c r="AI37" s="315"/>
      <c r="AJ37" s="315"/>
      <c r="AK37" s="313"/>
      <c r="AL37" s="315"/>
      <c r="AM37" s="315"/>
      <c r="AN37" s="315"/>
      <c r="AO37" s="315"/>
      <c r="AP37" s="313"/>
      <c r="AQ37" s="315"/>
      <c r="AR37" s="315"/>
      <c r="AS37" s="315"/>
      <c r="AT37" s="315"/>
      <c r="AU37" s="313"/>
      <c r="AV37" s="315"/>
      <c r="AW37" s="315"/>
      <c r="AX37" s="315"/>
      <c r="AY37" s="315"/>
      <c r="AZ37" s="313"/>
      <c r="BA37" s="315"/>
      <c r="BB37" s="315"/>
      <c r="BC37" s="315"/>
      <c r="BD37" s="315"/>
      <c r="BE37" s="313"/>
      <c r="BF37" s="315"/>
      <c r="BG37" s="315"/>
      <c r="BH37" s="315"/>
      <c r="BI37" s="315"/>
      <c r="BJ37" s="313"/>
      <c r="BK37" s="315"/>
      <c r="BL37" s="315"/>
      <c r="BM37" s="315"/>
      <c r="BN37" s="315"/>
      <c r="BO37" s="313"/>
      <c r="BP37" s="315"/>
      <c r="BQ37" s="315"/>
      <c r="BR37" s="315"/>
      <c r="BS37" s="315"/>
      <c r="BT37" s="313"/>
      <c r="BU37" s="315"/>
      <c r="BV37" s="315"/>
      <c r="BW37" s="315"/>
      <c r="BX37" s="315"/>
      <c r="BY37" s="313"/>
      <c r="BZ37" s="315"/>
      <c r="CA37" s="315"/>
      <c r="CB37" s="315"/>
      <c r="CC37" s="315"/>
      <c r="CD37" s="313"/>
      <c r="CE37" s="315"/>
      <c r="CF37" s="315"/>
      <c r="CG37" s="315"/>
      <c r="CH37" s="315"/>
      <c r="CI37" s="313"/>
      <c r="CJ37" s="315"/>
      <c r="CK37" s="315"/>
      <c r="CL37" s="315"/>
      <c r="CM37" s="315"/>
      <c r="CN37" s="313"/>
      <c r="CO37" s="315"/>
      <c r="CP37" s="315"/>
      <c r="CQ37" s="315"/>
      <c r="CR37" s="315"/>
      <c r="CS37" s="313"/>
      <c r="CT37" s="316"/>
      <c r="CU37" s="316"/>
      <c r="CV37" s="316"/>
      <c r="CW37" s="316"/>
      <c r="CX37" s="313"/>
      <c r="CY37" s="316"/>
      <c r="CZ37" s="316"/>
      <c r="DA37" s="316"/>
      <c r="DB37" s="316"/>
      <c r="DC37" s="313"/>
      <c r="DD37" s="316"/>
      <c r="DE37" s="316"/>
      <c r="DF37" s="316"/>
      <c r="DG37" s="316"/>
      <c r="DH37" s="313"/>
      <c r="DI37" s="1158"/>
      <c r="DJ37" s="1158"/>
      <c r="DK37" s="1158"/>
      <c r="DL37" s="1158"/>
      <c r="DM37" s="313"/>
      <c r="DN37" s="316"/>
      <c r="DO37" s="316"/>
      <c r="DP37" s="316"/>
      <c r="DQ37" s="316"/>
      <c r="DR37" s="313"/>
      <c r="DS37" s="316"/>
      <c r="DT37" s="316"/>
      <c r="DU37" s="316"/>
      <c r="DV37" s="316"/>
      <c r="DW37" s="313"/>
      <c r="DX37" s="316"/>
      <c r="DY37" s="316"/>
      <c r="DZ37" s="316"/>
      <c r="EA37" s="316"/>
      <c r="EB37" s="313"/>
      <c r="EC37" s="316"/>
      <c r="ED37" s="316"/>
      <c r="EE37" s="316"/>
      <c r="EF37" s="316"/>
      <c r="EG37" s="313"/>
      <c r="EH37" s="316"/>
      <c r="EI37" s="1158"/>
      <c r="EJ37" s="316"/>
      <c r="EK37" s="316"/>
      <c r="EL37" s="313"/>
      <c r="EM37" s="316">
        <v>6750</v>
      </c>
      <c r="EN37" s="316">
        <v>6727</v>
      </c>
      <c r="EO37" s="316">
        <v>7017</v>
      </c>
      <c r="EP37" s="316">
        <v>7917</v>
      </c>
      <c r="EQ37" s="319">
        <f>SUM(EM37:EP37)</f>
      </c>
      <c r="ER37" s="1158">
        <v>8908</v>
      </c>
      <c r="ES37" s="1158">
        <v>9555</v>
      </c>
      <c r="ET37" s="1158">
        <v>9515</v>
      </c>
      <c r="EU37" s="1158">
        <v>9835</v>
      </c>
      <c r="EV37" s="319">
        <f>SUM(ER37:EU37)</f>
      </c>
      <c r="EW37" s="1158">
        <v>10503</v>
      </c>
      <c r="EX37" s="1158">
        <v>10851</v>
      </c>
      <c r="EY37" s="1158">
        <v>11095</v>
      </c>
      <c r="EZ37" s="1158">
        <v>12140</v>
      </c>
      <c r="FA37" s="319">
        <f>SUM(EW37:EZ37)</f>
      </c>
      <c r="FB37" s="316"/>
      <c r="FC37" s="316"/>
      <c r="FD37" s="316"/>
      <c r="FE37" s="316"/>
      <c r="FF37" s="313"/>
      <c r="FG37" s="316"/>
      <c r="FH37" s="316"/>
      <c r="FI37" s="316"/>
      <c r="FJ37" s="316"/>
      <c r="FK37" s="313"/>
      <c r="FL37" s="316"/>
      <c r="FM37" s="316"/>
      <c r="FN37" s="316"/>
      <c r="FO37" s="316"/>
      <c r="FP37" s="313"/>
      <c r="FQ37" s="316"/>
      <c r="FR37" s="316"/>
      <c r="FS37" s="316"/>
      <c r="FT37" s="316"/>
      <c r="FU37" s="313"/>
      <c r="FV37" s="316"/>
      <c r="FW37" s="316"/>
      <c r="FX37" s="316"/>
      <c r="FY37" s="316"/>
      <c r="FZ37" s="313"/>
      <c r="GA37" s="316"/>
      <c r="GB37" s="316"/>
      <c r="GC37" s="316"/>
      <c r="GD37" s="316"/>
      <c r="GE37" s="313"/>
      <c r="GF37" s="316"/>
      <c r="GG37" s="316"/>
      <c r="GH37" s="316"/>
      <c r="GI37" s="316"/>
      <c r="GJ37" s="313"/>
    </row>
    <row r="38" spans="1:192" ht="12.75" customHeight="1">
      <c r="B38" s="727" t="s">
        <v>34</v>
      </c>
      <c r="C38" s="291"/>
      <c r="D38" s="107"/>
      <c r="E38" s="107"/>
      <c r="F38" s="107"/>
      <c r="G38" s="292"/>
      <c r="H38" s="291"/>
      <c r="I38" s="107"/>
      <c r="J38" s="107"/>
      <c r="K38" s="107"/>
      <c r="L38" s="292"/>
      <c r="M38" s="291"/>
      <c r="N38" s="107"/>
      <c r="O38" s="107"/>
      <c r="P38" s="107"/>
      <c r="Q38" s="292"/>
      <c r="R38" s="291"/>
      <c r="S38" s="107"/>
      <c r="T38" s="107"/>
      <c r="U38" s="107"/>
      <c r="V38" s="292"/>
      <c r="W38" s="291"/>
      <c r="X38" s="107"/>
      <c r="Y38" s="107"/>
      <c r="Z38" s="107"/>
      <c r="AA38" s="292"/>
      <c r="AB38" s="291"/>
      <c r="AC38" s="107"/>
      <c r="AD38" s="107"/>
      <c r="AE38" s="107"/>
      <c r="AF38" s="292"/>
      <c r="AG38" s="291"/>
      <c r="AH38" s="107"/>
      <c r="AI38" s="107"/>
      <c r="AJ38" s="107"/>
      <c r="AK38" s="292"/>
      <c r="AL38" s="291"/>
      <c r="AM38" s="107"/>
      <c r="AN38" s="107"/>
      <c r="AO38" s="107"/>
      <c r="AP38" s="292"/>
      <c r="AQ38" s="291"/>
      <c r="AR38" s="107"/>
      <c r="AS38" s="107"/>
      <c r="AT38" s="107"/>
      <c r="AU38" s="292"/>
      <c r="AV38" s="291"/>
      <c r="AW38" s="107"/>
      <c r="AX38" s="107"/>
      <c r="AY38" s="107"/>
      <c r="AZ38" s="292"/>
      <c r="BA38" s="291"/>
      <c r="BB38" s="107"/>
      <c r="BC38" s="107"/>
      <c r="BD38" s="107"/>
      <c r="BE38" s="292"/>
      <c r="BF38" s="291"/>
      <c r="BG38" s="107"/>
      <c r="BH38" s="107"/>
      <c r="BI38" s="107"/>
      <c r="BJ38" s="292"/>
      <c r="BK38" s="291"/>
      <c r="BL38" s="107"/>
      <c r="BM38" s="107"/>
      <c r="BN38" s="107"/>
      <c r="BO38" s="292"/>
      <c r="BP38" s="291"/>
      <c r="BQ38" s="107"/>
      <c r="BR38" s="107"/>
      <c r="BS38" s="107"/>
      <c r="BT38" s="292"/>
      <c r="BU38" s="291"/>
      <c r="BV38" s="107"/>
      <c r="BW38" s="107"/>
      <c r="BX38" s="107"/>
      <c r="BY38" s="292"/>
      <c r="BZ38" s="291"/>
      <c r="CA38" s="107"/>
      <c r="CB38" s="107"/>
      <c r="CC38" s="107"/>
      <c r="CD38" s="292"/>
      <c r="CE38" s="291"/>
      <c r="CF38" s="107"/>
      <c r="CG38" s="107"/>
      <c r="CH38" s="107"/>
      <c r="CI38" s="292"/>
      <c r="CJ38" s="291"/>
      <c r="CK38" s="107"/>
      <c r="CL38" s="107"/>
      <c r="CM38" s="107"/>
      <c r="CN38" s="292"/>
      <c r="CO38" s="291"/>
      <c r="CP38" s="107"/>
      <c r="CQ38" s="107"/>
      <c r="CR38" s="107"/>
      <c r="CS38" s="292"/>
      <c r="CT38" s="291"/>
      <c r="CU38" s="107"/>
      <c r="CV38" s="107"/>
      <c r="CW38" s="107"/>
      <c r="CX38" s="292"/>
      <c r="CY38" s="291"/>
      <c r="CZ38" s="107"/>
      <c r="DA38" s="107"/>
      <c r="DB38" s="107"/>
      <c r="DC38" s="292"/>
      <c r="DD38" s="441"/>
      <c r="DE38" s="439"/>
      <c r="DF38" s="439"/>
      <c r="DG38" s="439"/>
      <c r="DH38" s="292"/>
      <c r="DI38" s="441"/>
      <c r="DJ38" s="439"/>
      <c r="DK38" s="439"/>
      <c r="DL38" s="439"/>
      <c r="DM38" s="292"/>
      <c r="DN38" s="291"/>
      <c r="DO38" s="107"/>
      <c r="DP38" s="107"/>
      <c r="DQ38" s="107"/>
      <c r="DR38" s="292"/>
      <c r="DS38" s="291"/>
      <c r="DT38" s="107"/>
      <c r="DU38" s="107"/>
      <c r="DV38" s="107"/>
      <c r="DW38" s="292"/>
      <c r="DX38" s="291"/>
      <c r="DY38" s="107"/>
      <c r="DZ38" s="107"/>
      <c r="EA38" s="107"/>
      <c r="EB38" s="292"/>
      <c r="EC38" s="291"/>
      <c r="ED38" s="107"/>
      <c r="EE38" s="107"/>
      <c r="EF38" s="107"/>
      <c r="EG38" s="292"/>
      <c r="EH38" s="291"/>
      <c r="EI38" s="107"/>
      <c r="EJ38" s="107"/>
      <c r="EK38" s="107"/>
      <c r="EL38" s="292"/>
      <c r="EM38" s="439"/>
      <c r="EN38" s="439"/>
      <c r="EO38" s="114"/>
      <c r="EP38" s="468"/>
      <c r="EQ38" s="292"/>
      <c r="ER38" s="107">
        <f t="shared" ref="ER38" si="32">ER37/EM37-1</f>
      </c>
      <c r="ES38" s="107">
        <f t="shared" ref="ES38" si="33">ES37/EN37-1</f>
      </c>
      <c r="ET38" s="107">
        <f t="shared" ref="ET38" si="34">ET37/EO37-1</f>
      </c>
      <c r="EU38" s="107">
        <f t="shared" ref="EU38" si="35">EU37/EP37-1</f>
      </c>
      <c r="EV38" s="292">
        <f t="shared" ref="EV38:FA38" si="36">EV37/EQ37-1</f>
      </c>
      <c r="EW38" s="107">
        <f t="shared" si="36"/>
      </c>
      <c r="EX38" s="107">
        <f t="shared" si="36"/>
      </c>
      <c r="EY38" s="107">
        <f t="shared" si="36"/>
      </c>
      <c r="EZ38" s="107">
        <f t="shared" si="36"/>
      </c>
      <c r="FA38" s="292">
        <f t="shared" si="36"/>
      </c>
      <c r="FB38" s="291"/>
      <c r="FC38" s="107"/>
      <c r="FD38" s="107"/>
      <c r="FE38" s="107"/>
      <c r="FF38" s="292"/>
      <c r="FG38" s="291"/>
      <c r="FH38" s="107"/>
      <c r="FI38" s="107"/>
      <c r="FJ38" s="107"/>
      <c r="FK38" s="292"/>
      <c r="FL38" s="291"/>
      <c r="FM38" s="107"/>
      <c r="FN38" s="107"/>
      <c r="FO38" s="107"/>
      <c r="FP38" s="292"/>
      <c r="FQ38" s="291"/>
      <c r="FR38" s="107"/>
      <c r="FS38" s="107"/>
      <c r="FT38" s="107"/>
      <c r="FU38" s="292"/>
      <c r="FV38" s="291"/>
      <c r="FW38" s="107"/>
      <c r="FX38" s="107"/>
      <c r="FY38" s="107"/>
      <c r="FZ38" s="292"/>
      <c r="GA38" s="291"/>
      <c r="GB38" s="107"/>
      <c r="GC38" s="107"/>
      <c r="GD38" s="107"/>
      <c r="GE38" s="292"/>
      <c r="GF38" s="291"/>
      <c r="GG38" s="107"/>
      <c r="GH38" s="107"/>
      <c r="GI38" s="107"/>
      <c r="GJ38" s="292"/>
    </row>
    <row r="39" spans="1:192" ht="12.75" customHeight="1">
      <c r="B39" s="727" t="s">
        <v>197</v>
      </c>
      <c r="C39" s="291"/>
      <c r="D39" s="107"/>
      <c r="E39" s="107"/>
      <c r="F39" s="107"/>
      <c r="G39" s="292"/>
      <c r="H39" s="291"/>
      <c r="I39" s="107"/>
      <c r="J39" s="107"/>
      <c r="K39" s="107"/>
      <c r="L39" s="292"/>
      <c r="M39" s="291"/>
      <c r="N39" s="107"/>
      <c r="O39" s="107"/>
      <c r="P39" s="107"/>
      <c r="Q39" s="292"/>
      <c r="R39" s="291"/>
      <c r="S39" s="107"/>
      <c r="T39" s="107"/>
      <c r="U39" s="107"/>
      <c r="V39" s="292"/>
      <c r="W39" s="291"/>
      <c r="X39" s="107"/>
      <c r="Y39" s="107"/>
      <c r="Z39" s="107"/>
      <c r="AA39" s="292"/>
      <c r="AB39" s="291"/>
      <c r="AC39" s="107"/>
      <c r="AD39" s="107"/>
      <c r="AE39" s="107"/>
      <c r="AF39" s="292"/>
      <c r="AG39" s="291"/>
      <c r="AH39" s="107"/>
      <c r="AI39" s="107"/>
      <c r="AJ39" s="107"/>
      <c r="AK39" s="292"/>
      <c r="AL39" s="291"/>
      <c r="AM39" s="107"/>
      <c r="AN39" s="107"/>
      <c r="AO39" s="107"/>
      <c r="AP39" s="292"/>
      <c r="AQ39" s="291"/>
      <c r="AR39" s="107"/>
      <c r="AS39" s="107"/>
      <c r="AT39" s="107"/>
      <c r="AU39" s="292"/>
      <c r="AV39" s="291"/>
      <c r="AW39" s="107"/>
      <c r="AX39" s="107"/>
      <c r="AY39" s="107"/>
      <c r="AZ39" s="292"/>
      <c r="BA39" s="291"/>
      <c r="BB39" s="107"/>
      <c r="BC39" s="107"/>
      <c r="BD39" s="107"/>
      <c r="BE39" s="292"/>
      <c r="BF39" s="291"/>
      <c r="BG39" s="107"/>
      <c r="BH39" s="107"/>
      <c r="BI39" s="107"/>
      <c r="BJ39" s="292"/>
      <c r="BK39" s="291"/>
      <c r="BL39" s="107"/>
      <c r="BM39" s="107"/>
      <c r="BN39" s="107"/>
      <c r="BO39" s="292"/>
      <c r="BP39" s="291"/>
      <c r="BQ39" s="107"/>
      <c r="BR39" s="107"/>
      <c r="BS39" s="107"/>
      <c r="BT39" s="292"/>
      <c r="BU39" s="291"/>
      <c r="BV39" s="107"/>
      <c r="BW39" s="107"/>
      <c r="BX39" s="107"/>
      <c r="BY39" s="292"/>
      <c r="BZ39" s="291"/>
      <c r="CA39" s="107"/>
      <c r="CB39" s="107"/>
      <c r="CC39" s="107"/>
      <c r="CD39" s="292"/>
      <c r="CE39" s="291"/>
      <c r="CF39" s="107"/>
      <c r="CG39" s="107"/>
      <c r="CH39" s="107"/>
      <c r="CI39" s="292"/>
      <c r="CJ39" s="291"/>
      <c r="CK39" s="107"/>
      <c r="CL39" s="107"/>
      <c r="CM39" s="107"/>
      <c r="CN39" s="292"/>
      <c r="CO39" s="291"/>
      <c r="CP39" s="107"/>
      <c r="CQ39" s="107"/>
      <c r="CR39" s="107"/>
      <c r="CS39" s="292"/>
      <c r="CT39" s="412"/>
      <c r="CU39" s="114"/>
      <c r="CV39" s="114"/>
      <c r="CW39" s="114"/>
      <c r="CX39" s="292"/>
      <c r="CY39" s="412"/>
      <c r="CZ39" s="114"/>
      <c r="DA39" s="114"/>
      <c r="DB39" s="114"/>
      <c r="DC39" s="292"/>
      <c r="DD39" s="412"/>
      <c r="DE39" s="114"/>
      <c r="DF39" s="114"/>
      <c r="DG39" s="114"/>
      <c r="DH39" s="292"/>
      <c r="DI39" s="412"/>
      <c r="DJ39" s="114"/>
      <c r="DK39" s="114"/>
      <c r="DL39" s="114"/>
      <c r="DM39" s="292"/>
      <c r="DN39" s="412"/>
      <c r="DO39" s="114"/>
      <c r="DP39" s="114"/>
      <c r="DQ39" s="114"/>
      <c r="DR39" s="292"/>
      <c r="DS39" s="412"/>
      <c r="DT39" s="114"/>
      <c r="DU39" s="114"/>
      <c r="DV39" s="114"/>
      <c r="DW39" s="292"/>
      <c r="DX39" s="412"/>
      <c r="DY39" s="114"/>
      <c r="DZ39" s="114"/>
      <c r="EA39" s="114"/>
      <c r="EB39" s="292"/>
      <c r="EC39" s="412"/>
      <c r="ED39" s="114"/>
      <c r="EE39" s="114"/>
      <c r="EF39" s="114"/>
      <c r="EG39" s="292"/>
      <c r="EH39" s="412"/>
      <c r="EI39" s="114"/>
      <c r="EJ39" s="114"/>
      <c r="EK39" s="114"/>
      <c r="EL39" s="413"/>
      <c r="EM39" s="412"/>
      <c r="EN39" s="114"/>
      <c r="EO39" s="114"/>
      <c r="EP39" s="114"/>
      <c r="EQ39" s="292"/>
      <c r="ER39" s="412"/>
      <c r="ES39" s="114"/>
      <c r="ET39" s="439"/>
      <c r="EU39" s="439"/>
      <c r="EV39" s="292"/>
      <c r="EW39" s="441">
        <v>0.18</v>
      </c>
      <c r="EX39" s="439">
        <v>0.14000000000000001</v>
      </c>
      <c r="EY39" s="439">
        <v>0.18</v>
      </c>
      <c r="EZ39" s="439">
        <v>0.23</v>
      </c>
      <c r="FA39" s="292"/>
      <c r="FB39" s="291"/>
      <c r="FC39" s="107"/>
      <c r="FD39" s="107"/>
      <c r="FE39" s="107"/>
      <c r="FF39" s="292"/>
      <c r="FG39" s="291"/>
      <c r="FH39" s="107"/>
      <c r="FI39" s="107"/>
      <c r="FJ39" s="107"/>
      <c r="FK39" s="292"/>
      <c r="FL39" s="291"/>
      <c r="FM39" s="107"/>
      <c r="FN39" s="107"/>
      <c r="FO39" s="107"/>
      <c r="FP39" s="292"/>
      <c r="FQ39" s="291"/>
      <c r="FR39" s="107"/>
      <c r="FS39" s="107"/>
      <c r="FT39" s="107"/>
      <c r="FU39" s="292"/>
      <c r="FV39" s="291"/>
      <c r="FW39" s="107"/>
      <c r="FX39" s="107"/>
      <c r="FY39" s="107"/>
      <c r="FZ39" s="292"/>
      <c r="GA39" s="291"/>
      <c r="GB39" s="107"/>
      <c r="GC39" s="107"/>
      <c r="GD39" s="107"/>
      <c r="GE39" s="292"/>
      <c r="GF39" s="291"/>
      <c r="GG39" s="107"/>
      <c r="GH39" s="107"/>
      <c r="GI39" s="107"/>
      <c r="GJ39" s="292"/>
    </row>
    <row r="40" spans="1:192" ht="12.75" customHeight="1">
      <c r="B40" s="727" t="s">
        <v>36</v>
      </c>
      <c r="C40" s="291"/>
      <c r="D40" s="107"/>
      <c r="E40" s="107"/>
      <c r="F40" s="107"/>
      <c r="G40" s="293"/>
      <c r="H40" s="291"/>
      <c r="I40" s="107"/>
      <c r="J40" s="107"/>
      <c r="K40" s="107"/>
      <c r="L40" s="293"/>
      <c r="M40" s="291"/>
      <c r="N40" s="107"/>
      <c r="O40" s="107"/>
      <c r="P40" s="107"/>
      <c r="Q40" s="293"/>
      <c r="R40" s="291"/>
      <c r="S40" s="107"/>
      <c r="T40" s="107"/>
      <c r="U40" s="107"/>
      <c r="V40" s="293"/>
      <c r="W40" s="291"/>
      <c r="X40" s="107"/>
      <c r="Y40" s="107"/>
      <c r="Z40" s="107"/>
      <c r="AA40" s="293"/>
      <c r="AB40" s="291"/>
      <c r="AC40" s="107"/>
      <c r="AD40" s="107"/>
      <c r="AE40" s="107"/>
      <c r="AF40" s="293"/>
      <c r="AG40" s="291"/>
      <c r="AH40" s="107"/>
      <c r="AI40" s="107"/>
      <c r="AJ40" s="107"/>
      <c r="AK40" s="293"/>
      <c r="AL40" s="291"/>
      <c r="AM40" s="107"/>
      <c r="AN40" s="107"/>
      <c r="AO40" s="107"/>
      <c r="AP40" s="293"/>
      <c r="AQ40" s="291"/>
      <c r="AR40" s="107"/>
      <c r="AS40" s="107"/>
      <c r="AT40" s="107"/>
      <c r="AU40" s="293"/>
      <c r="AV40" s="291"/>
      <c r="AW40" s="107"/>
      <c r="AX40" s="107"/>
      <c r="AY40" s="107"/>
      <c r="AZ40" s="293"/>
      <c r="BA40" s="291"/>
      <c r="BB40" s="107"/>
      <c r="BC40" s="107"/>
      <c r="BD40" s="107"/>
      <c r="BE40" s="293"/>
      <c r="BF40" s="291"/>
      <c r="BG40" s="107"/>
      <c r="BH40" s="107"/>
      <c r="BI40" s="107"/>
      <c r="BJ40" s="293"/>
      <c r="BK40" s="291"/>
      <c r="BL40" s="107"/>
      <c r="BM40" s="107"/>
      <c r="BN40" s="107"/>
      <c r="BO40" s="293"/>
      <c r="BP40" s="291"/>
      <c r="BQ40" s="107"/>
      <c r="BR40" s="107"/>
      <c r="BS40" s="107"/>
      <c r="BT40" s="293"/>
      <c r="BU40" s="291"/>
      <c r="BV40" s="107"/>
      <c r="BW40" s="107"/>
      <c r="BX40" s="107"/>
      <c r="BY40" s="293"/>
      <c r="BZ40" s="291"/>
      <c r="CA40" s="107"/>
      <c r="CB40" s="107"/>
      <c r="CC40" s="107"/>
      <c r="CD40" s="293"/>
      <c r="CE40" s="291"/>
      <c r="CF40" s="107"/>
      <c r="CG40" s="107"/>
      <c r="CH40" s="107"/>
      <c r="CI40" s="293"/>
      <c r="CJ40" s="291"/>
      <c r="CK40" s="107"/>
      <c r="CL40" s="107"/>
      <c r="CM40" s="107"/>
      <c r="CN40" s="293"/>
      <c r="CO40" s="291"/>
      <c r="CP40" s="107"/>
      <c r="CQ40" s="107"/>
      <c r="CR40" s="107"/>
      <c r="CS40" s="293"/>
      <c r="CT40" s="291"/>
      <c r="CU40" s="107"/>
      <c r="CV40" s="107"/>
      <c r="CW40" s="107"/>
      <c r="CX40" s="293"/>
      <c r="CY40" s="291"/>
      <c r="CZ40" s="107"/>
      <c r="DA40" s="107"/>
      <c r="DB40" s="107"/>
      <c r="DC40" s="293"/>
      <c r="DD40" s="291"/>
      <c r="DE40" s="107"/>
      <c r="DF40" s="107"/>
      <c r="DG40" s="107"/>
      <c r="DH40" s="293"/>
      <c r="DI40" s="291"/>
      <c r="DJ40" s="107"/>
      <c r="DK40" s="107"/>
      <c r="DL40" s="107"/>
      <c r="DM40" s="293"/>
      <c r="DN40" s="291"/>
      <c r="DO40" s="107"/>
      <c r="DP40" s="107"/>
      <c r="DQ40" s="107"/>
      <c r="DR40" s="293"/>
      <c r="DS40" s="291"/>
      <c r="DT40" s="107"/>
      <c r="DU40" s="107"/>
      <c r="DV40" s="107"/>
      <c r="DW40" s="293"/>
      <c r="DX40" s="291"/>
      <c r="DY40" s="107"/>
      <c r="DZ40" s="107"/>
      <c r="EA40" s="107"/>
      <c r="EB40" s="293"/>
      <c r="EC40" s="291"/>
      <c r="ED40" s="107"/>
      <c r="EE40" s="107"/>
      <c r="EF40" s="107"/>
      <c r="EG40" s="293"/>
      <c r="EH40" s="291"/>
      <c r="EI40" s="107"/>
      <c r="EJ40" s="107"/>
      <c r="EK40" s="107"/>
      <c r="EL40" s="293"/>
      <c r="EM40" s="291"/>
      <c r="EN40" s="107"/>
      <c r="EO40" s="107"/>
      <c r="EP40" s="107"/>
      <c r="EQ40" s="293"/>
      <c r="ER40" s="291">
        <f>IFERROR(ER37/EP37-1,"--")</f>
      </c>
      <c r="ES40" s="107">
        <f>IFERROR(ES37/ER37-1,"--")</f>
      </c>
      <c r="ET40" s="107">
        <f>IFERROR(ET37/ES37-1,"--")</f>
      </c>
      <c r="EU40" s="468">
        <f>IFERROR(EU37/ET37-1,"--")</f>
      </c>
      <c r="EV40" s="293"/>
      <c r="EW40" s="291">
        <f>IFERROR(EW37/EU37-1,"--")</f>
      </c>
      <c r="EX40" s="107">
        <f>IFERROR(EX37/EW37-1,"--")</f>
      </c>
      <c r="EY40" s="107">
        <f>IFERROR(EY37/EX37-1,"--")</f>
      </c>
      <c r="EZ40" s="468">
        <f>IFERROR(EZ37/EY37-1,"--")</f>
      </c>
      <c r="FA40" s="293"/>
      <c r="FB40" s="291"/>
      <c r="FC40" s="107"/>
      <c r="FD40" s="107"/>
      <c r="FE40" s="107"/>
      <c r="FF40" s="293"/>
      <c r="FG40" s="291"/>
      <c r="FH40" s="107"/>
      <c r="FI40" s="107"/>
      <c r="FJ40" s="107"/>
      <c r="FK40" s="293"/>
      <c r="FL40" s="291"/>
      <c r="FM40" s="107"/>
      <c r="FN40" s="107"/>
      <c r="FO40" s="107"/>
      <c r="FP40" s="293"/>
      <c r="FQ40" s="291"/>
      <c r="FR40" s="107"/>
      <c r="FS40" s="107"/>
      <c r="FT40" s="107"/>
      <c r="FU40" s="293"/>
      <c r="FV40" s="291"/>
      <c r="FW40" s="107"/>
      <c r="FX40" s="107"/>
      <c r="FY40" s="107"/>
      <c r="FZ40" s="293"/>
      <c r="GA40" s="291"/>
      <c r="GB40" s="107"/>
      <c r="GC40" s="107"/>
      <c r="GD40" s="107"/>
      <c r="GE40" s="293"/>
      <c r="GF40" s="291"/>
      <c r="GG40" s="107"/>
      <c r="GH40" s="107"/>
      <c r="GI40" s="107"/>
      <c r="GJ40" s="293"/>
    </row>
    <row r="41" spans="1:192" ht="12.75" customHeight="1">
      <c r="B41" s="727" t="s">
        <v>256</v>
      </c>
      <c r="C41" s="291"/>
      <c r="D41" s="107"/>
      <c r="E41" s="107"/>
      <c r="F41" s="107"/>
      <c r="G41" s="293"/>
      <c r="H41" s="291"/>
      <c r="I41" s="107"/>
      <c r="J41" s="107"/>
      <c r="K41" s="107"/>
      <c r="L41" s="293"/>
      <c r="M41" s="291"/>
      <c r="N41" s="107"/>
      <c r="O41" s="107"/>
      <c r="P41" s="107"/>
      <c r="Q41" s="293"/>
      <c r="R41" s="291"/>
      <c r="S41" s="107"/>
      <c r="T41" s="107"/>
      <c r="U41" s="107"/>
      <c r="V41" s="293"/>
      <c r="W41" s="291"/>
      <c r="X41" s="107"/>
      <c r="Y41" s="107"/>
      <c r="Z41" s="107"/>
      <c r="AA41" s="293"/>
      <c r="AB41" s="291"/>
      <c r="AC41" s="107"/>
      <c r="AD41" s="107"/>
      <c r="AE41" s="107"/>
      <c r="AF41" s="293"/>
      <c r="AG41" s="291"/>
      <c r="AH41" s="107"/>
      <c r="AI41" s="107"/>
      <c r="AJ41" s="107"/>
      <c r="AK41" s="293"/>
      <c r="AL41" s="291"/>
      <c r="AM41" s="107"/>
      <c r="AN41" s="107"/>
      <c r="AO41" s="107"/>
      <c r="AP41" s="293"/>
      <c r="AQ41" s="291"/>
      <c r="AR41" s="107"/>
      <c r="AS41" s="107"/>
      <c r="AT41" s="107"/>
      <c r="AU41" s="293"/>
      <c r="AV41" s="291"/>
      <c r="AW41" s="107"/>
      <c r="AX41" s="107"/>
      <c r="AY41" s="107"/>
      <c r="AZ41" s="293"/>
      <c r="BA41" s="291"/>
      <c r="BB41" s="107"/>
      <c r="BC41" s="107"/>
      <c r="BD41" s="107"/>
      <c r="BE41" s="293"/>
      <c r="BF41" s="291"/>
      <c r="BG41" s="107"/>
      <c r="BH41" s="107"/>
      <c r="BI41" s="107"/>
      <c r="BJ41" s="293"/>
      <c r="BK41" s="291"/>
      <c r="BL41" s="107"/>
      <c r="BM41" s="107"/>
      <c r="BN41" s="107"/>
      <c r="BO41" s="293"/>
      <c r="BP41" s="291"/>
      <c r="BQ41" s="107"/>
      <c r="BR41" s="107"/>
      <c r="BS41" s="107"/>
      <c r="BT41" s="293"/>
      <c r="BU41" s="291"/>
      <c r="BV41" s="107"/>
      <c r="BW41" s="107"/>
      <c r="BX41" s="107"/>
      <c r="BY41" s="293"/>
      <c r="BZ41" s="291"/>
      <c r="CA41" s="107"/>
      <c r="CB41" s="107"/>
      <c r="CC41" s="107"/>
      <c r="CD41" s="293"/>
      <c r="CE41" s="291"/>
      <c r="CF41" s="107"/>
      <c r="CG41" s="107"/>
      <c r="CH41" s="107"/>
      <c r="CI41" s="293"/>
      <c r="CJ41" s="291"/>
      <c r="CK41" s="107"/>
      <c r="CL41" s="107"/>
      <c r="CM41" s="107"/>
      <c r="CN41" s="293"/>
      <c r="CO41" s="291"/>
      <c r="CP41" s="107"/>
      <c r="CQ41" s="107"/>
      <c r="CR41" s="107"/>
      <c r="CS41" s="293"/>
      <c r="CT41" s="291"/>
      <c r="CU41" s="107"/>
      <c r="CV41" s="107"/>
      <c r="CW41" s="107"/>
      <c r="CX41" s="293"/>
      <c r="CY41" s="447"/>
      <c r="CZ41" s="447"/>
      <c r="DA41" s="447"/>
      <c r="DB41" s="447"/>
      <c r="DC41" s="459"/>
      <c r="DD41" s="447"/>
      <c r="DE41" s="447"/>
      <c r="DF41" s="447"/>
      <c r="DG41" s="447"/>
      <c r="DH41" s="459"/>
      <c r="DI41" s="447"/>
      <c r="DJ41" s="447"/>
      <c r="DK41" s="447"/>
      <c r="DL41" s="447"/>
      <c r="DM41" s="459"/>
      <c r="DN41" s="447"/>
      <c r="DO41" s="447"/>
      <c r="DP41" s="447"/>
      <c r="DQ41" s="447"/>
      <c r="DR41" s="459"/>
      <c r="DS41" s="447"/>
      <c r="DT41" s="447"/>
      <c r="DU41" s="447"/>
      <c r="DV41" s="447"/>
      <c r="DW41" s="459"/>
      <c r="DX41" s="447"/>
      <c r="DY41" s="447"/>
      <c r="DZ41" s="447"/>
      <c r="EA41" s="447"/>
      <c r="EB41" s="459"/>
      <c r="EC41" s="447"/>
      <c r="ED41" s="447"/>
      <c r="EE41" s="447"/>
      <c r="EF41" s="447"/>
      <c r="EG41" s="459"/>
      <c r="EH41" s="447"/>
      <c r="EI41" s="447"/>
      <c r="EJ41" s="447"/>
      <c r="EK41" s="447"/>
      <c r="EL41" s="459"/>
      <c r="EM41" s="511"/>
      <c r="EN41" s="511"/>
      <c r="EO41" s="511"/>
      <c r="EP41" s="447"/>
      <c r="EQ41" s="459"/>
      <c r="ER41" s="447">
        <f t="shared" ref="ER41" si="37">ER37-EM37</f>
      </c>
      <c r="ES41" s="679">
        <f t="shared" ref="ES41" si="38">ES37-EN37</f>
      </c>
      <c r="ET41" s="511">
        <f t="shared" ref="ET41" si="39">ET37-EO37</f>
      </c>
      <c r="EU41" s="447">
        <f t="shared" ref="EU41" si="40">EU37-EP37</f>
      </c>
      <c r="EV41" s="459">
        <f t="shared" ref="EV41:FA41" si="41">EV37-EQ37</f>
      </c>
      <c r="EW41" s="447">
        <f t="shared" si="41"/>
      </c>
      <c r="EX41" s="679">
        <f t="shared" si="41"/>
      </c>
      <c r="EY41" s="679">
        <f t="shared" si="41"/>
      </c>
      <c r="EZ41" s="447">
        <f t="shared" si="41"/>
      </c>
      <c r="FA41" s="459">
        <f t="shared" si="41"/>
      </c>
      <c r="FB41" s="291"/>
      <c r="FC41" s="107"/>
      <c r="FD41" s="107"/>
      <c r="FE41" s="107"/>
      <c r="FF41" s="293"/>
      <c r="FG41" s="291"/>
      <c r="FH41" s="107"/>
      <c r="FI41" s="107"/>
      <c r="FJ41" s="107"/>
      <c r="FK41" s="293"/>
      <c r="FL41" s="291"/>
      <c r="FM41" s="107"/>
      <c r="FN41" s="107"/>
      <c r="FO41" s="107"/>
      <c r="FP41" s="293"/>
      <c r="FQ41" s="291"/>
      <c r="FR41" s="107"/>
      <c r="FS41" s="107"/>
      <c r="FT41" s="107"/>
      <c r="FU41" s="293"/>
      <c r="FV41" s="291"/>
      <c r="FW41" s="107"/>
      <c r="FX41" s="107"/>
      <c r="FY41" s="107"/>
      <c r="FZ41" s="293"/>
      <c r="GA41" s="291"/>
      <c r="GB41" s="107"/>
      <c r="GC41" s="107"/>
      <c r="GD41" s="107"/>
      <c r="GE41" s="293"/>
      <c r="GF41" s="291"/>
      <c r="GG41" s="107"/>
      <c r="GH41" s="107"/>
      <c r="GI41" s="107"/>
      <c r="GJ41" s="293"/>
    </row>
    <row r="42" spans="1:192" ht="12.75" customHeight="1">
      <c r="B42" s="727" t="s">
        <v>263</v>
      </c>
      <c r="C42" s="291"/>
      <c r="D42" s="107"/>
      <c r="E42" s="107"/>
      <c r="F42" s="107"/>
      <c r="G42" s="293"/>
      <c r="H42" s="291"/>
      <c r="I42" s="107"/>
      <c r="J42" s="107"/>
      <c r="K42" s="107"/>
      <c r="L42" s="293"/>
      <c r="M42" s="291"/>
      <c r="N42" s="107"/>
      <c r="O42" s="107"/>
      <c r="P42" s="107"/>
      <c r="Q42" s="293"/>
      <c r="R42" s="291"/>
      <c r="S42" s="107"/>
      <c r="T42" s="107"/>
      <c r="U42" s="107"/>
      <c r="V42" s="293"/>
      <c r="W42" s="291"/>
      <c r="X42" s="107"/>
      <c r="Y42" s="107"/>
      <c r="Z42" s="107"/>
      <c r="AA42" s="293"/>
      <c r="AB42" s="291"/>
      <c r="AC42" s="107"/>
      <c r="AD42" s="107"/>
      <c r="AE42" s="107"/>
      <c r="AF42" s="293"/>
      <c r="AG42" s="291"/>
      <c r="AH42" s="107"/>
      <c r="AI42" s="107"/>
      <c r="AJ42" s="107"/>
      <c r="AK42" s="293"/>
      <c r="AL42" s="291"/>
      <c r="AM42" s="107"/>
      <c r="AN42" s="107"/>
      <c r="AO42" s="107"/>
      <c r="AP42" s="293"/>
      <c r="AQ42" s="291"/>
      <c r="AR42" s="107"/>
      <c r="AS42" s="107"/>
      <c r="AT42" s="107"/>
      <c r="AU42" s="293"/>
      <c r="AV42" s="291"/>
      <c r="AW42" s="107"/>
      <c r="AX42" s="107"/>
      <c r="AY42" s="107"/>
      <c r="AZ42" s="293"/>
      <c r="BA42" s="291"/>
      <c r="BB42" s="107"/>
      <c r="BC42" s="107"/>
      <c r="BD42" s="107"/>
      <c r="BE42" s="293"/>
      <c r="BF42" s="291"/>
      <c r="BG42" s="107"/>
      <c r="BH42" s="107"/>
      <c r="BI42" s="107"/>
      <c r="BJ42" s="293"/>
      <c r="BK42" s="291"/>
      <c r="BL42" s="107"/>
      <c r="BM42" s="107"/>
      <c r="BN42" s="107"/>
      <c r="BO42" s="293"/>
      <c r="BP42" s="291"/>
      <c r="BQ42" s="107"/>
      <c r="BR42" s="107"/>
      <c r="BS42" s="107"/>
      <c r="BT42" s="293"/>
      <c r="BU42" s="291"/>
      <c r="BV42" s="107"/>
      <c r="BW42" s="107"/>
      <c r="BX42" s="107"/>
      <c r="BY42" s="293"/>
      <c r="BZ42" s="291"/>
      <c r="CA42" s="107"/>
      <c r="CB42" s="107"/>
      <c r="CC42" s="107"/>
      <c r="CD42" s="293"/>
      <c r="CE42" s="291"/>
      <c r="CF42" s="107"/>
      <c r="CG42" s="107"/>
      <c r="CH42" s="107"/>
      <c r="CI42" s="293"/>
      <c r="CJ42" s="291"/>
      <c r="CK42" s="107"/>
      <c r="CL42" s="107"/>
      <c r="CM42" s="107"/>
      <c r="CN42" s="293"/>
      <c r="CO42" s="291"/>
      <c r="CP42" s="107"/>
      <c r="CQ42" s="107"/>
      <c r="CR42" s="107"/>
      <c r="CS42" s="293"/>
      <c r="CT42" s="291"/>
      <c r="CU42" s="107"/>
      <c r="CV42" s="107"/>
      <c r="CW42" s="107"/>
      <c r="CX42" s="293"/>
      <c r="CY42" s="465"/>
      <c r="CZ42" s="465"/>
      <c r="DA42" s="465"/>
      <c r="DB42" s="465"/>
      <c r="DC42" s="524"/>
      <c r="DD42" s="465"/>
      <c r="DE42" s="465"/>
      <c r="DF42" s="465"/>
      <c r="DG42" s="465"/>
      <c r="DH42" s="524"/>
      <c r="DI42" s="465"/>
      <c r="DJ42" s="465"/>
      <c r="DK42" s="465"/>
      <c r="DL42" s="465"/>
      <c r="DM42" s="524"/>
      <c r="DN42" s="465"/>
      <c r="DO42" s="465"/>
      <c r="DP42" s="465"/>
      <c r="DQ42" s="465"/>
      <c r="DR42" s="524"/>
      <c r="DS42" s="465"/>
      <c r="DT42" s="465"/>
      <c r="DU42" s="465"/>
      <c r="DV42" s="465"/>
      <c r="DW42" s="524"/>
      <c r="DX42" s="465"/>
      <c r="DY42" s="465"/>
      <c r="DZ42" s="465"/>
      <c r="EA42" s="465"/>
      <c r="EB42" s="524"/>
      <c r="EC42" s="465"/>
      <c r="ED42" s="465"/>
      <c r="EE42" s="465"/>
      <c r="EF42" s="465"/>
      <c r="EG42" s="524"/>
      <c r="EH42" s="465"/>
      <c r="EI42" s="465"/>
      <c r="EJ42" s="465"/>
      <c r="EK42" s="465"/>
      <c r="EL42" s="524"/>
      <c r="EM42" s="294"/>
      <c r="EN42" s="295"/>
      <c r="EO42" s="295"/>
      <c r="EP42" s="295"/>
      <c r="EQ42" s="296"/>
      <c r="ER42" s="465">
        <f t="shared" ref="ER42:EV42" si="42">ER37/ER10</f>
      </c>
      <c r="ES42" s="107">
        <f t="shared" si="42"/>
      </c>
      <c r="ET42" s="295">
        <f t="shared" si="42"/>
      </c>
      <c r="EU42" s="295">
        <f t="shared" si="42"/>
      </c>
      <c r="EV42" s="296">
        <f t="shared" si="42"/>
      </c>
      <c r="EW42" s="465">
        <f t="shared" ref="EW42:EX42" si="43">EW37/EW10</f>
      </c>
      <c r="EX42" s="107">
        <f t="shared" si="43"/>
      </c>
      <c r="EY42" s="107">
        <f t="shared" ref="EY42:FA42" si="44">EY37/EY10</f>
      </c>
      <c r="EZ42" s="295">
        <f t="shared" si="44"/>
      </c>
      <c r="FA42" s="296">
        <f t="shared" si="44"/>
      </c>
      <c r="FB42" s="291"/>
      <c r="FC42" s="107"/>
      <c r="FD42" s="107"/>
      <c r="FE42" s="107"/>
      <c r="FF42" s="293"/>
      <c r="FG42" s="291"/>
      <c r="FH42" s="107"/>
      <c r="FI42" s="107"/>
      <c r="FJ42" s="107"/>
      <c r="FK42" s="293"/>
      <c r="FL42" s="291"/>
      <c r="FM42" s="107"/>
      <c r="FN42" s="107"/>
      <c r="FO42" s="107"/>
      <c r="FP42" s="293"/>
      <c r="FQ42" s="291"/>
      <c r="FR42" s="107"/>
      <c r="FS42" s="107"/>
      <c r="FT42" s="107"/>
      <c r="FU42" s="293"/>
      <c r="FV42" s="291"/>
      <c r="FW42" s="107"/>
      <c r="FX42" s="107"/>
      <c r="FY42" s="107"/>
      <c r="FZ42" s="293"/>
      <c r="GA42" s="291"/>
      <c r="GB42" s="107"/>
      <c r="GC42" s="107"/>
      <c r="GD42" s="107"/>
      <c r="GE42" s="293"/>
      <c r="GF42" s="291"/>
      <c r="GG42" s="107"/>
      <c r="GH42" s="107"/>
      <c r="GI42" s="107"/>
      <c r="GJ42" s="293"/>
    </row>
    <row r="43" spans="1:192" s="1247" customFormat="1" ht="12.75" customHeight="1">
      <c r="A43" s="1561"/>
      <c r="B43" s="753" t="s">
        <v>1854</v>
      </c>
      <c r="C43" s="1243"/>
      <c r="D43" s="1244"/>
      <c r="E43" s="1244"/>
      <c r="F43" s="1244"/>
      <c r="G43" s="1242"/>
      <c r="H43" s="1243"/>
      <c r="I43" s="1244"/>
      <c r="J43" s="1244"/>
      <c r="K43" s="1244"/>
      <c r="L43" s="1242"/>
      <c r="M43" s="1243"/>
      <c r="N43" s="1244"/>
      <c r="O43" s="1244"/>
      <c r="P43" s="1244"/>
      <c r="Q43" s="1242"/>
      <c r="R43" s="1243"/>
      <c r="S43" s="1244"/>
      <c r="T43" s="1244"/>
      <c r="U43" s="1244"/>
      <c r="V43" s="1242"/>
      <c r="W43" s="1243"/>
      <c r="X43" s="1244"/>
      <c r="Y43" s="1244"/>
      <c r="Z43" s="1244"/>
      <c r="AA43" s="1242"/>
      <c r="AB43" s="1243"/>
      <c r="AC43" s="1244"/>
      <c r="AD43" s="1244"/>
      <c r="AE43" s="1244"/>
      <c r="AF43" s="1242"/>
      <c r="AG43" s="1243"/>
      <c r="AH43" s="1244"/>
      <c r="AI43" s="1244"/>
      <c r="AJ43" s="1244"/>
      <c r="AK43" s="1242"/>
      <c r="AL43" s="1243"/>
      <c r="AM43" s="1244"/>
      <c r="AN43" s="1244"/>
      <c r="AO43" s="1244"/>
      <c r="AP43" s="1242"/>
      <c r="AQ43" s="1243"/>
      <c r="AR43" s="1244"/>
      <c r="AS43" s="1244"/>
      <c r="AT43" s="1244"/>
      <c r="AU43" s="1242"/>
      <c r="AV43" s="1243"/>
      <c r="AW43" s="1244"/>
      <c r="AX43" s="1244"/>
      <c r="AY43" s="1244"/>
      <c r="AZ43" s="1242"/>
      <c r="BA43" s="1243"/>
      <c r="BB43" s="1244"/>
      <c r="BC43" s="1244"/>
      <c r="BD43" s="1244"/>
      <c r="BE43" s="1242"/>
      <c r="BF43" s="1243"/>
      <c r="BG43" s="1244"/>
      <c r="BH43" s="1244"/>
      <c r="BI43" s="1244"/>
      <c r="BJ43" s="1242"/>
      <c r="BK43" s="1243"/>
      <c r="BL43" s="1244"/>
      <c r="BM43" s="1244"/>
      <c r="BN43" s="1244"/>
      <c r="BO43" s="1242"/>
      <c r="BP43" s="1243"/>
      <c r="BQ43" s="1244"/>
      <c r="BR43" s="1244"/>
      <c r="BS43" s="1244"/>
      <c r="BT43" s="1242"/>
      <c r="BU43" s="1243"/>
      <c r="BV43" s="1244"/>
      <c r="BW43" s="1244"/>
      <c r="BX43" s="1244"/>
      <c r="BY43" s="1242"/>
      <c r="BZ43" s="1243"/>
      <c r="CA43" s="1244"/>
      <c r="CB43" s="1244"/>
      <c r="CC43" s="1244"/>
      <c r="CD43" s="1242"/>
      <c r="CE43" s="1243"/>
      <c r="CF43" s="1244"/>
      <c r="CG43" s="1244"/>
      <c r="CH43" s="1244"/>
      <c r="CI43" s="1242"/>
      <c r="CJ43" s="1243"/>
      <c r="CK43" s="1244"/>
      <c r="CL43" s="1244"/>
      <c r="CM43" s="1244"/>
      <c r="CN43" s="1242"/>
      <c r="CO43" s="1243"/>
      <c r="CP43" s="1244"/>
      <c r="CQ43" s="1244"/>
      <c r="CR43" s="1244"/>
      <c r="CS43" s="1242"/>
      <c r="CT43" s="1243"/>
      <c r="CU43" s="1244"/>
      <c r="CV43" s="1244"/>
      <c r="CW43" s="1244"/>
      <c r="CX43" s="1242"/>
      <c r="CY43" s="1243"/>
      <c r="CZ43" s="1244"/>
      <c r="DA43" s="1244"/>
      <c r="DB43" s="1244"/>
      <c r="DC43" s="1242"/>
      <c r="DD43" s="1243"/>
      <c r="DE43" s="1244"/>
      <c r="DF43" s="1244"/>
      <c r="DG43" s="1244"/>
      <c r="DH43" s="1245"/>
      <c r="DI43" s="1243"/>
      <c r="DJ43" s="1244"/>
      <c r="DK43" s="1244"/>
      <c r="DL43" s="1244"/>
      <c r="DM43" s="1242"/>
      <c r="DN43" s="1243"/>
      <c r="DO43" s="1244"/>
      <c r="DP43" s="1244"/>
      <c r="DQ43" s="1244"/>
      <c r="DR43" s="1242"/>
      <c r="DS43" s="1243"/>
      <c r="DT43" s="1244"/>
      <c r="DU43" s="1244"/>
      <c r="DV43" s="1244"/>
      <c r="DW43" s="1242"/>
      <c r="DX43" s="1243"/>
      <c r="DY43" s="1244"/>
      <c r="DZ43" s="1244"/>
      <c r="EA43" s="1244"/>
      <c r="EB43" s="1242"/>
      <c r="EC43" s="1243"/>
      <c r="ED43" s="1244"/>
      <c r="EE43" s="1244"/>
      <c r="EF43" s="1244"/>
      <c r="EG43" s="1242"/>
      <c r="EH43" s="1243"/>
      <c r="EI43" s="1244"/>
      <c r="EJ43" s="1244"/>
      <c r="EK43" s="1244"/>
      <c r="EL43" s="1242"/>
      <c r="EM43" s="1243"/>
      <c r="EN43" s="1243"/>
      <c r="EO43" s="1243"/>
      <c r="EP43" s="1244"/>
      <c r="EQ43" s="1242"/>
      <c r="ER43" s="1243">
        <f t="shared" ref="ER43" si="45">(ER42-EM42)*10000</f>
      </c>
      <c r="ES43" s="1244">
        <f t="shared" ref="ES43" si="46">(ES42-EN42)*10000</f>
      </c>
      <c r="ET43" s="1243">
        <f t="shared" ref="ET43" si="47">(ET42-EO42)*10000</f>
      </c>
      <c r="EU43" s="1244">
        <f t="shared" ref="EU43" si="48">(EU42-EP42)*10000</f>
      </c>
      <c r="EV43" s="1242">
        <f t="shared" ref="EV43:FA43" si="49">(EV42-EQ42)*10000</f>
      </c>
      <c r="EW43" s="1243">
        <f t="shared" si="49"/>
      </c>
      <c r="EX43" s="1244">
        <f t="shared" si="49"/>
      </c>
      <c r="EY43" s="1244">
        <f t="shared" si="49"/>
      </c>
      <c r="EZ43" s="1244">
        <f t="shared" si="49"/>
      </c>
      <c r="FA43" s="1242">
        <f t="shared" si="49"/>
      </c>
      <c r="FB43" s="1243"/>
      <c r="FC43" s="1244"/>
      <c r="FD43" s="1244"/>
      <c r="FE43" s="1244"/>
      <c r="FF43" s="1242"/>
      <c r="FG43" s="1243"/>
      <c r="FH43" s="1243"/>
      <c r="FI43" s="1243"/>
      <c r="FJ43" s="1243"/>
      <c r="FK43" s="1242"/>
      <c r="FL43" s="1243"/>
      <c r="FM43" s="1243"/>
      <c r="FN43" s="1243"/>
      <c r="FO43" s="1243"/>
      <c r="FP43" s="1242"/>
      <c r="FQ43" s="1243"/>
      <c r="FR43" s="1243"/>
      <c r="FS43" s="1243"/>
      <c r="FT43" s="1243"/>
      <c r="FU43" s="1242"/>
      <c r="FV43" s="1243"/>
      <c r="FW43" s="1243"/>
      <c r="FX43" s="1243"/>
      <c r="FY43" s="1243"/>
      <c r="FZ43" s="1242"/>
      <c r="GA43" s="1243"/>
      <c r="GB43" s="1243"/>
      <c r="GC43" s="1243"/>
      <c r="GD43" s="1243"/>
      <c r="GE43" s="1242"/>
      <c r="GF43" s="1243"/>
      <c r="GG43" s="1243"/>
      <c r="GH43" s="1243"/>
      <c r="GI43" s="1243"/>
      <c r="GJ43" s="1242"/>
    </row>
    <row r="44" spans="1:192" ht="12.75" customHeight="1">
      <c r="C44" s="294"/>
      <c r="D44" s="295"/>
      <c r="E44" s="295"/>
      <c r="F44" s="295"/>
      <c r="G44" s="296"/>
      <c r="H44" s="294"/>
      <c r="I44" s="295"/>
      <c r="J44" s="295"/>
      <c r="K44" s="295"/>
      <c r="L44" s="296"/>
      <c r="M44" s="294"/>
      <c r="N44" s="295"/>
      <c r="O44" s="295"/>
      <c r="P44" s="295"/>
      <c r="Q44" s="296"/>
      <c r="R44" s="294"/>
      <c r="S44" s="295"/>
      <c r="T44" s="295"/>
      <c r="U44" s="295"/>
      <c r="V44" s="296"/>
      <c r="W44" s="294"/>
      <c r="X44" s="295"/>
      <c r="Y44" s="295"/>
      <c r="Z44" s="295"/>
      <c r="AA44" s="296"/>
      <c r="AB44" s="294"/>
      <c r="AC44" s="295"/>
      <c r="AD44" s="295"/>
      <c r="AE44" s="295"/>
      <c r="AF44" s="296"/>
      <c r="AG44" s="294"/>
      <c r="AH44" s="295"/>
      <c r="AI44" s="295"/>
      <c r="AJ44" s="295"/>
      <c r="AK44" s="296"/>
      <c r="AL44" s="294"/>
      <c r="AM44" s="295"/>
      <c r="AN44" s="295"/>
      <c r="AO44" s="295"/>
      <c r="AP44" s="296"/>
      <c r="AQ44" s="294"/>
      <c r="AR44" s="295"/>
      <c r="AS44" s="295"/>
      <c r="AT44" s="295"/>
      <c r="AU44" s="296"/>
      <c r="AV44" s="294"/>
      <c r="AW44" s="295"/>
      <c r="AX44" s="295"/>
      <c r="AY44" s="295"/>
      <c r="AZ44" s="296"/>
      <c r="BA44" s="294"/>
      <c r="BB44" s="295"/>
      <c r="BC44" s="295"/>
      <c r="BD44" s="295"/>
      <c r="BE44" s="296"/>
      <c r="BF44" s="294"/>
      <c r="BG44" s="295"/>
      <c r="BH44" s="295"/>
      <c r="BI44" s="295"/>
      <c r="BJ44" s="296"/>
      <c r="BK44" s="294"/>
      <c r="BL44" s="295"/>
      <c r="BM44" s="295"/>
      <c r="BN44" s="295"/>
      <c r="BO44" s="296"/>
      <c r="BP44" s="294"/>
      <c r="BQ44" s="295"/>
      <c r="BR44" s="295"/>
      <c r="BS44" s="295"/>
      <c r="BT44" s="296"/>
      <c r="BU44" s="294"/>
      <c r="BV44" s="295"/>
      <c r="BW44" s="295"/>
      <c r="BX44" s="295"/>
      <c r="BY44" s="296"/>
      <c r="BZ44" s="294"/>
      <c r="CA44" s="295"/>
      <c r="CB44" s="295"/>
      <c r="CC44" s="295"/>
      <c r="CD44" s="296"/>
      <c r="CE44" s="294"/>
      <c r="CF44" s="295"/>
      <c r="CG44" s="295"/>
      <c r="CH44" s="295"/>
      <c r="CI44" s="296"/>
      <c r="CJ44" s="294"/>
      <c r="CK44" s="295"/>
      <c r="CL44" s="295"/>
      <c r="CM44" s="295"/>
      <c r="CN44" s="296"/>
      <c r="CO44" s="294"/>
      <c r="CP44" s="295"/>
      <c r="CQ44" s="295"/>
      <c r="CR44" s="295"/>
      <c r="CS44" s="296"/>
      <c r="CT44" s="294"/>
      <c r="CU44" s="295"/>
      <c r="CV44" s="295"/>
      <c r="CW44" s="295"/>
      <c r="CX44" s="296"/>
      <c r="CY44" s="294"/>
      <c r="CZ44" s="295"/>
      <c r="DA44" s="295"/>
      <c r="DB44" s="295"/>
      <c r="DC44" s="296"/>
      <c r="DD44" s="294"/>
      <c r="DE44" s="295"/>
      <c r="DF44" s="295"/>
      <c r="DG44" s="295"/>
      <c r="DH44" s="296"/>
      <c r="DI44" s="294"/>
      <c r="DJ44" s="295"/>
      <c r="DK44" s="295"/>
      <c r="DL44" s="295"/>
      <c r="DM44" s="296"/>
      <c r="DN44" s="294"/>
      <c r="DO44" s="295"/>
      <c r="DP44" s="295"/>
      <c r="DQ44" s="295"/>
      <c r="DR44" s="296"/>
      <c r="DS44" s="294"/>
      <c r="DT44" s="295"/>
      <c r="DU44" s="295"/>
      <c r="DV44" s="295"/>
      <c r="DW44" s="296"/>
      <c r="DX44" s="294"/>
      <c r="DY44" s="295"/>
      <c r="DZ44" s="295"/>
      <c r="EA44" s="295"/>
      <c r="EB44" s="296"/>
      <c r="EC44" s="294"/>
      <c r="ED44" s="295"/>
      <c r="EE44" s="295"/>
      <c r="EF44" s="295"/>
      <c r="EG44" s="296"/>
      <c r="EH44" s="294"/>
      <c r="EI44" s="295"/>
      <c r="EJ44" s="295"/>
      <c r="EK44" s="295"/>
      <c r="EL44" s="296"/>
      <c r="EM44" s="294"/>
      <c r="EN44" s="295"/>
      <c r="EO44" s="295"/>
      <c r="EP44" s="295"/>
      <c r="EQ44" s="296"/>
      <c r="ER44" s="294"/>
      <c r="ES44" s="295"/>
      <c r="ET44" s="295"/>
      <c r="EU44" s="295"/>
      <c r="EV44" s="296"/>
      <c r="EW44" s="294"/>
      <c r="EX44" s="295"/>
      <c r="EY44" s="295"/>
      <c r="EZ44" s="295"/>
      <c r="FA44" s="296"/>
      <c r="FB44" s="294"/>
      <c r="FC44" s="295"/>
      <c r="FD44" s="295"/>
      <c r="FE44" s="295"/>
      <c r="FF44" s="296"/>
      <c r="FG44" s="294"/>
      <c r="FH44" s="295"/>
      <c r="FI44" s="295"/>
      <c r="FJ44" s="295"/>
      <c r="FK44" s="296"/>
      <c r="FL44" s="294"/>
      <c r="FM44" s="295"/>
      <c r="FN44" s="295"/>
      <c r="FO44" s="295"/>
      <c r="FP44" s="296"/>
      <c r="FQ44" s="294"/>
      <c r="FR44" s="295"/>
      <c r="FS44" s="295"/>
      <c r="FT44" s="295"/>
      <c r="FU44" s="296"/>
      <c r="FV44" s="294"/>
      <c r="FW44" s="295"/>
      <c r="FX44" s="295"/>
      <c r="FY44" s="295"/>
      <c r="FZ44" s="296"/>
      <c r="GA44" s="294"/>
      <c r="GB44" s="295"/>
      <c r="GC44" s="295"/>
      <c r="GD44" s="295"/>
      <c r="GE44" s="296"/>
      <c r="GF44" s="294"/>
      <c r="GG44" s="295"/>
      <c r="GH44" s="295"/>
      <c r="GI44" s="295"/>
      <c r="GJ44" s="296"/>
    </row>
    <row r="45" spans="1:192" s="317" customFormat="1" ht="12.75" customHeight="1">
      <c r="A45" s="280"/>
      <c r="B45" s="730" t="s">
        <v>194</v>
      </c>
      <c r="C45" s="316"/>
      <c r="D45" s="316"/>
      <c r="E45" s="316"/>
      <c r="F45" s="316"/>
      <c r="G45" s="313"/>
      <c r="H45" s="316"/>
      <c r="I45" s="316"/>
      <c r="J45" s="316"/>
      <c r="K45" s="316"/>
      <c r="L45" s="313"/>
      <c r="M45" s="316"/>
      <c r="N45" s="316"/>
      <c r="O45" s="316"/>
      <c r="P45" s="316"/>
      <c r="Q45" s="313"/>
      <c r="R45" s="316"/>
      <c r="S45" s="316"/>
      <c r="T45" s="316"/>
      <c r="U45" s="316"/>
      <c r="V45" s="313"/>
      <c r="W45" s="316"/>
      <c r="X45" s="316"/>
      <c r="Y45" s="316"/>
      <c r="Z45" s="316"/>
      <c r="AA45" s="313"/>
      <c r="AB45" s="316"/>
      <c r="AC45" s="316"/>
      <c r="AD45" s="316"/>
      <c r="AE45" s="316"/>
      <c r="AF45" s="313"/>
      <c r="AG45" s="316"/>
      <c r="AH45" s="316"/>
      <c r="AI45" s="316"/>
      <c r="AJ45" s="316"/>
      <c r="AK45" s="313"/>
      <c r="AL45" s="316"/>
      <c r="AM45" s="316"/>
      <c r="AN45" s="316"/>
      <c r="AO45" s="316"/>
      <c r="AP45" s="313"/>
      <c r="AQ45" s="316"/>
      <c r="AR45" s="316"/>
      <c r="AS45" s="316"/>
      <c r="AT45" s="316"/>
      <c r="AU45" s="313"/>
      <c r="AV45" s="316"/>
      <c r="AW45" s="316"/>
      <c r="AX45" s="316"/>
      <c r="AY45" s="316"/>
      <c r="AZ45" s="313"/>
      <c r="BA45" s="316"/>
      <c r="BB45" s="316"/>
      <c r="BC45" s="316"/>
      <c r="BD45" s="316"/>
      <c r="BE45" s="313"/>
      <c r="BF45" s="316"/>
      <c r="BG45" s="316"/>
      <c r="BH45" s="316"/>
      <c r="BI45" s="316"/>
      <c r="BJ45" s="313"/>
      <c r="BK45" s="316"/>
      <c r="BL45" s="316"/>
      <c r="BM45" s="316"/>
      <c r="BN45" s="316"/>
      <c r="BO45" s="313"/>
      <c r="BP45" s="316"/>
      <c r="BQ45" s="316"/>
      <c r="BR45" s="316"/>
      <c r="BS45" s="316"/>
      <c r="BT45" s="313"/>
      <c r="BU45" s="316"/>
      <c r="BV45" s="316"/>
      <c r="BW45" s="316"/>
      <c r="BX45" s="316"/>
      <c r="BY45" s="313"/>
      <c r="BZ45" s="316"/>
      <c r="CA45" s="316"/>
      <c r="CB45" s="316"/>
      <c r="CC45" s="316"/>
      <c r="CD45" s="313"/>
      <c r="CE45" s="316"/>
      <c r="CF45" s="316"/>
      <c r="CG45" s="316"/>
      <c r="CH45" s="316"/>
      <c r="CI45" s="313"/>
      <c r="CJ45" s="316"/>
      <c r="CK45" s="316"/>
      <c r="CL45" s="316"/>
      <c r="CM45" s="316"/>
      <c r="CN45" s="313"/>
      <c r="CO45" s="316"/>
      <c r="CP45" s="316"/>
      <c r="CQ45" s="316"/>
      <c r="CR45" s="316"/>
      <c r="CS45" s="313"/>
      <c r="CT45" s="316"/>
      <c r="CU45" s="316"/>
      <c r="CV45" s="316"/>
      <c r="CW45" s="316"/>
      <c r="CX45" s="313"/>
      <c r="CY45" s="316"/>
      <c r="CZ45" s="316"/>
      <c r="DA45" s="316"/>
      <c r="DB45" s="316"/>
      <c r="DC45" s="313"/>
      <c r="DD45" s="316"/>
      <c r="DE45" s="316"/>
      <c r="DF45" s="316"/>
      <c r="DG45" s="316"/>
      <c r="DH45" s="313"/>
      <c r="DI45" s="316"/>
      <c r="DJ45" s="316"/>
      <c r="DK45" s="316"/>
      <c r="DL45" s="316"/>
      <c r="DM45" s="313"/>
      <c r="DN45" s="316"/>
      <c r="DO45" s="316"/>
      <c r="DP45" s="316"/>
      <c r="DQ45" s="316"/>
      <c r="DR45" s="313"/>
      <c r="DS45" s="316"/>
      <c r="DT45" s="316"/>
      <c r="DU45" s="316"/>
      <c r="DV45" s="316"/>
      <c r="DW45" s="313"/>
      <c r="DX45" s="316"/>
      <c r="DY45" s="316"/>
      <c r="DZ45" s="316"/>
      <c r="EA45" s="316"/>
      <c r="EB45" s="313"/>
      <c r="EC45" s="316"/>
      <c r="ED45" s="316"/>
      <c r="EE45" s="316"/>
      <c r="EF45" s="316"/>
      <c r="EG45" s="313"/>
      <c r="EH45" s="316"/>
      <c r="EI45" s="316"/>
      <c r="EJ45" s="316"/>
      <c r="EK45" s="316"/>
      <c r="EL45" s="313"/>
      <c r="EM45" s="316"/>
      <c r="EN45" s="316"/>
      <c r="EO45" s="316"/>
      <c r="EP45" s="316"/>
      <c r="EQ45" s="313"/>
      <c r="ER45" s="316"/>
      <c r="ES45" s="1158"/>
      <c r="ET45" s="1158"/>
      <c r="EU45" s="1158">
        <v>13683</v>
      </c>
      <c r="EV45" s="313">
        <f>EU45</f>
      </c>
      <c r="EW45" s="1158">
        <v>12397</v>
      </c>
      <c r="EX45" s="1158">
        <v>10979</v>
      </c>
      <c r="EY45" s="1158">
        <v>10240</v>
      </c>
      <c r="EZ45" s="1158">
        <v>14022</v>
      </c>
      <c r="FA45" s="313">
        <f>EZ45</f>
      </c>
      <c r="FB45" s="312"/>
      <c r="FC45" s="312"/>
      <c r="FD45" s="312"/>
      <c r="FE45" s="312"/>
      <c r="FF45" s="313"/>
      <c r="FG45" s="312"/>
      <c r="FH45" s="312"/>
      <c r="FI45" s="312"/>
      <c r="FJ45" s="312"/>
      <c r="FK45" s="313"/>
      <c r="FL45" s="312"/>
      <c r="FM45" s="312"/>
      <c r="FN45" s="312"/>
      <c r="FO45" s="312"/>
      <c r="FP45" s="313"/>
      <c r="FQ45" s="312"/>
      <c r="FR45" s="312"/>
      <c r="FS45" s="312"/>
      <c r="FT45" s="312"/>
      <c r="FU45" s="313"/>
      <c r="FV45" s="312"/>
      <c r="FW45" s="312"/>
      <c r="FX45" s="312"/>
      <c r="FY45" s="312"/>
      <c r="FZ45" s="313"/>
      <c r="GA45" s="312"/>
      <c r="GB45" s="312"/>
      <c r="GC45" s="312"/>
      <c r="GD45" s="312"/>
      <c r="GE45" s="313"/>
      <c r="GF45" s="312"/>
      <c r="GG45" s="312"/>
      <c r="GH45" s="312"/>
      <c r="GI45" s="312"/>
      <c r="GJ45" s="313"/>
    </row>
    <row r="46" spans="1:192" ht="12.75" customHeight="1">
      <c r="B46" s="727" t="s">
        <v>34</v>
      </c>
      <c r="C46" s="291"/>
      <c r="D46" s="107"/>
      <c r="E46" s="107"/>
      <c r="F46" s="107"/>
      <c r="G46" s="292"/>
      <c r="H46" s="291"/>
      <c r="I46" s="107"/>
      <c r="J46" s="107"/>
      <c r="K46" s="107"/>
      <c r="L46" s="292"/>
      <c r="M46" s="291"/>
      <c r="N46" s="107"/>
      <c r="O46" s="107"/>
      <c r="P46" s="107"/>
      <c r="Q46" s="292"/>
      <c r="R46" s="291"/>
      <c r="S46" s="107"/>
      <c r="T46" s="107"/>
      <c r="U46" s="107"/>
      <c r="V46" s="292"/>
      <c r="W46" s="291"/>
      <c r="X46" s="107"/>
      <c r="Y46" s="107"/>
      <c r="Z46" s="107"/>
      <c r="AA46" s="292"/>
      <c r="AB46" s="291"/>
      <c r="AC46" s="107"/>
      <c r="AD46" s="107"/>
      <c r="AE46" s="107"/>
      <c r="AF46" s="292"/>
      <c r="AG46" s="291"/>
      <c r="AH46" s="107"/>
      <c r="AI46" s="107"/>
      <c r="AJ46" s="107"/>
      <c r="AK46" s="292"/>
      <c r="AL46" s="291"/>
      <c r="AM46" s="107"/>
      <c r="AN46" s="107"/>
      <c r="AO46" s="107"/>
      <c r="AP46" s="292"/>
      <c r="AQ46" s="291"/>
      <c r="AR46" s="107"/>
      <c r="AS46" s="107"/>
      <c r="AT46" s="107"/>
      <c r="AU46" s="292"/>
      <c r="AV46" s="291"/>
      <c r="AW46" s="107"/>
      <c r="AX46" s="107"/>
      <c r="AY46" s="107"/>
      <c r="AZ46" s="292"/>
      <c r="BA46" s="291"/>
      <c r="BB46" s="107"/>
      <c r="BC46" s="107"/>
      <c r="BD46" s="107"/>
      <c r="BE46" s="292"/>
      <c r="BF46" s="291"/>
      <c r="BG46" s="107"/>
      <c r="BH46" s="107"/>
      <c r="BI46" s="107"/>
      <c r="BJ46" s="292"/>
      <c r="BK46" s="291"/>
      <c r="BL46" s="107"/>
      <c r="BM46" s="107"/>
      <c r="BN46" s="107"/>
      <c r="BO46" s="292"/>
      <c r="BP46" s="291"/>
      <c r="BQ46" s="107"/>
      <c r="BR46" s="107"/>
      <c r="BS46" s="107"/>
      <c r="BT46" s="292"/>
      <c r="BU46" s="291"/>
      <c r="BV46" s="107"/>
      <c r="BW46" s="107"/>
      <c r="BX46" s="107"/>
      <c r="BY46" s="292"/>
      <c r="BZ46" s="291"/>
      <c r="CA46" s="107"/>
      <c r="CB46" s="107"/>
      <c r="CC46" s="107"/>
      <c r="CD46" s="292"/>
      <c r="CE46" s="291"/>
      <c r="CF46" s="107"/>
      <c r="CG46" s="107"/>
      <c r="CH46" s="107"/>
      <c r="CI46" s="292"/>
      <c r="CJ46" s="291"/>
      <c r="CK46" s="107"/>
      <c r="CL46" s="107"/>
      <c r="CM46" s="107"/>
      <c r="CN46" s="292"/>
      <c r="CO46" s="291"/>
      <c r="CP46" s="107"/>
      <c r="CQ46" s="107"/>
      <c r="CR46" s="107"/>
      <c r="CS46" s="292"/>
      <c r="CT46" s="291"/>
      <c r="CU46" s="107"/>
      <c r="CV46" s="107"/>
      <c r="CW46" s="107"/>
      <c r="CX46" s="292"/>
      <c r="CY46" s="291"/>
      <c r="CZ46" s="107"/>
      <c r="DA46" s="107"/>
      <c r="DB46" s="107"/>
      <c r="DC46" s="292"/>
      <c r="DD46" s="291"/>
      <c r="DE46" s="107"/>
      <c r="DF46" s="107"/>
      <c r="DG46" s="107"/>
      <c r="DH46" s="292"/>
      <c r="DI46" s="291"/>
      <c r="DJ46" s="107"/>
      <c r="DK46" s="107"/>
      <c r="DL46" s="107"/>
      <c r="DM46" s="292"/>
      <c r="DN46" s="291"/>
      <c r="DO46" s="107"/>
      <c r="DP46" s="107"/>
      <c r="DQ46" s="107"/>
      <c r="DR46" s="292"/>
      <c r="DS46" s="291"/>
      <c r="DT46" s="107"/>
      <c r="DU46" s="107"/>
      <c r="DV46" s="107"/>
      <c r="DW46" s="292"/>
      <c r="DX46" s="291"/>
      <c r="DY46" s="107"/>
      <c r="DZ46" s="107"/>
      <c r="EA46" s="107"/>
      <c r="EB46" s="292"/>
      <c r="EC46" s="291"/>
      <c r="ED46" s="107"/>
      <c r="EE46" s="107"/>
      <c r="EF46" s="107"/>
      <c r="EG46" s="292"/>
      <c r="EH46" s="291"/>
      <c r="EI46" s="107"/>
      <c r="EJ46" s="107"/>
      <c r="EK46" s="107"/>
      <c r="EL46" s="292"/>
      <c r="EM46" s="291"/>
      <c r="EN46" s="107"/>
      <c r="EO46" s="107"/>
      <c r="EP46" s="107"/>
      <c r="EQ46" s="292"/>
      <c r="ER46" s="291"/>
      <c r="ES46" s="107"/>
      <c r="ET46" s="107"/>
      <c r="EU46" s="107"/>
      <c r="EV46" s="292"/>
      <c r="EW46" s="291"/>
      <c r="EX46" s="107"/>
      <c r="EY46" s="107"/>
      <c r="EZ46" s="107">
        <f t="shared" ref="EZ46" si="50">EZ45/EU45-1</f>
      </c>
      <c r="FA46" s="292">
        <f t="shared" ref="FA46" si="51">FA45/EV45-1</f>
      </c>
      <c r="FB46" s="291"/>
      <c r="FC46" s="107"/>
      <c r="FD46" s="107"/>
      <c r="FE46" s="107"/>
      <c r="FF46" s="292"/>
      <c r="FG46" s="291"/>
      <c r="FH46" s="107"/>
      <c r="FI46" s="107"/>
      <c r="FJ46" s="107"/>
      <c r="FK46" s="292"/>
      <c r="FL46" s="291"/>
      <c r="FM46" s="107"/>
      <c r="FN46" s="107"/>
      <c r="FO46" s="107"/>
      <c r="FP46" s="292"/>
      <c r="FQ46" s="291"/>
      <c r="FR46" s="107"/>
      <c r="FS46" s="107"/>
      <c r="FT46" s="107"/>
      <c r="FU46" s="292"/>
      <c r="FV46" s="291"/>
      <c r="FW46" s="107"/>
      <c r="FX46" s="107"/>
      <c r="FY46" s="107"/>
      <c r="FZ46" s="292"/>
      <c r="GA46" s="291"/>
      <c r="GB46" s="107"/>
      <c r="GC46" s="107"/>
      <c r="GD46" s="107"/>
      <c r="GE46" s="292"/>
      <c r="GF46" s="291"/>
      <c r="GG46" s="107"/>
      <c r="GH46" s="107"/>
      <c r="GI46" s="107"/>
      <c r="GJ46" s="292"/>
    </row>
    <row r="47" spans="1:192" ht="12.75" customHeight="1">
      <c r="B47" s="727" t="s">
        <v>36</v>
      </c>
      <c r="C47" s="291"/>
      <c r="D47" s="107"/>
      <c r="E47" s="107"/>
      <c r="F47" s="107"/>
      <c r="G47" s="293"/>
      <c r="H47" s="291"/>
      <c r="I47" s="107"/>
      <c r="J47" s="107"/>
      <c r="K47" s="107"/>
      <c r="L47" s="293"/>
      <c r="M47" s="291"/>
      <c r="N47" s="107"/>
      <c r="O47" s="107"/>
      <c r="P47" s="107"/>
      <c r="Q47" s="293"/>
      <c r="R47" s="291"/>
      <c r="S47" s="107"/>
      <c r="T47" s="107"/>
      <c r="U47" s="107"/>
      <c r="V47" s="293"/>
      <c r="W47" s="291"/>
      <c r="X47" s="107"/>
      <c r="Y47" s="107"/>
      <c r="Z47" s="107"/>
      <c r="AA47" s="293"/>
      <c r="AB47" s="291"/>
      <c r="AC47" s="107"/>
      <c r="AD47" s="107"/>
      <c r="AE47" s="107"/>
      <c r="AF47" s="293"/>
      <c r="AG47" s="291"/>
      <c r="AH47" s="107"/>
      <c r="AI47" s="107"/>
      <c r="AJ47" s="107"/>
      <c r="AK47" s="293"/>
      <c r="AL47" s="291"/>
      <c r="AM47" s="107"/>
      <c r="AN47" s="107"/>
      <c r="AO47" s="107"/>
      <c r="AP47" s="293"/>
      <c r="AQ47" s="291"/>
      <c r="AR47" s="107"/>
      <c r="AS47" s="107"/>
      <c r="AT47" s="107"/>
      <c r="AU47" s="293"/>
      <c r="AV47" s="291"/>
      <c r="AW47" s="107"/>
      <c r="AX47" s="107"/>
      <c r="AY47" s="107"/>
      <c r="AZ47" s="293"/>
      <c r="BA47" s="291"/>
      <c r="BB47" s="107"/>
      <c r="BC47" s="107"/>
      <c r="BD47" s="107"/>
      <c r="BE47" s="293"/>
      <c r="BF47" s="291"/>
      <c r="BG47" s="107"/>
      <c r="BH47" s="107"/>
      <c r="BI47" s="107"/>
      <c r="BJ47" s="293"/>
      <c r="BK47" s="291"/>
      <c r="BL47" s="107"/>
      <c r="BM47" s="107"/>
      <c r="BN47" s="107"/>
      <c r="BO47" s="293"/>
      <c r="BP47" s="291"/>
      <c r="BQ47" s="107"/>
      <c r="BR47" s="107"/>
      <c r="BS47" s="107"/>
      <c r="BT47" s="293"/>
      <c r="BU47" s="291"/>
      <c r="BV47" s="107"/>
      <c r="BW47" s="107"/>
      <c r="BX47" s="107"/>
      <c r="BY47" s="293"/>
      <c r="BZ47" s="291"/>
      <c r="CA47" s="107"/>
      <c r="CB47" s="107"/>
      <c r="CC47" s="107"/>
      <c r="CD47" s="293"/>
      <c r="CE47" s="291"/>
      <c r="CF47" s="107"/>
      <c r="CG47" s="107"/>
      <c r="CH47" s="107"/>
      <c r="CI47" s="293"/>
      <c r="CJ47" s="291"/>
      <c r="CK47" s="107"/>
      <c r="CL47" s="107"/>
      <c r="CM47" s="107"/>
      <c r="CN47" s="293"/>
      <c r="CO47" s="291"/>
      <c r="CP47" s="107"/>
      <c r="CQ47" s="107"/>
      <c r="CR47" s="107"/>
      <c r="CS47" s="293"/>
      <c r="CT47" s="291"/>
      <c r="CU47" s="107"/>
      <c r="CV47" s="107"/>
      <c r="CW47" s="107"/>
      <c r="CX47" s="293"/>
      <c r="CY47" s="291"/>
      <c r="CZ47" s="107"/>
      <c r="DA47" s="107"/>
      <c r="DB47" s="107"/>
      <c r="DC47" s="293"/>
      <c r="DD47" s="291"/>
      <c r="DE47" s="107"/>
      <c r="DF47" s="107"/>
      <c r="DG47" s="107"/>
      <c r="DH47" s="293"/>
      <c r="DI47" s="291"/>
      <c r="DJ47" s="107"/>
      <c r="DK47" s="107"/>
      <c r="DL47" s="107"/>
      <c r="DM47" s="293"/>
      <c r="DN47" s="291"/>
      <c r="DO47" s="107"/>
      <c r="DP47" s="107"/>
      <c r="DQ47" s="107"/>
      <c r="DR47" s="293"/>
      <c r="DS47" s="291"/>
      <c r="DT47" s="107"/>
      <c r="DU47" s="107"/>
      <c r="DV47" s="107"/>
      <c r="DW47" s="293"/>
      <c r="DX47" s="291"/>
      <c r="DY47" s="107"/>
      <c r="DZ47" s="107"/>
      <c r="EA47" s="107"/>
      <c r="EB47" s="293"/>
      <c r="EC47" s="291"/>
      <c r="ED47" s="107"/>
      <c r="EE47" s="107"/>
      <c r="EF47" s="107"/>
      <c r="EG47" s="293"/>
      <c r="EH47" s="291"/>
      <c r="EI47" s="107"/>
      <c r="EJ47" s="107"/>
      <c r="EK47" s="107"/>
      <c r="EL47" s="293"/>
      <c r="EM47" s="291"/>
      <c r="EN47" s="107"/>
      <c r="EO47" s="107"/>
      <c r="EP47" s="107"/>
      <c r="EQ47" s="293"/>
      <c r="ER47" s="291"/>
      <c r="ES47" s="107"/>
      <c r="ET47" s="107"/>
      <c r="EU47" s="107"/>
      <c r="EV47" s="293"/>
      <c r="EW47" s="291"/>
      <c r="EX47" s="107"/>
      <c r="EY47" s="107"/>
      <c r="EZ47" s="107"/>
      <c r="FA47" s="293"/>
      <c r="FB47" s="291"/>
      <c r="FC47" s="107"/>
      <c r="FD47" s="107"/>
      <c r="FE47" s="107"/>
      <c r="FF47" s="293"/>
      <c r="FG47" s="291"/>
      <c r="FH47" s="107"/>
      <c r="FI47" s="107"/>
      <c r="FJ47" s="107"/>
      <c r="FK47" s="293"/>
      <c r="FL47" s="291"/>
      <c r="FM47" s="107"/>
      <c r="FN47" s="107"/>
      <c r="FO47" s="107"/>
      <c r="FP47" s="293"/>
      <c r="FQ47" s="291"/>
      <c r="FR47" s="107"/>
      <c r="FS47" s="107"/>
      <c r="FT47" s="107"/>
      <c r="FU47" s="293"/>
      <c r="FV47" s="291"/>
      <c r="FW47" s="107"/>
      <c r="FX47" s="107"/>
      <c r="FY47" s="107"/>
      <c r="FZ47" s="293"/>
      <c r="GA47" s="291"/>
      <c r="GB47" s="107"/>
      <c r="GC47" s="107"/>
      <c r="GD47" s="107"/>
      <c r="GE47" s="293"/>
      <c r="GF47" s="291"/>
      <c r="GG47" s="107"/>
      <c r="GH47" s="107"/>
      <c r="GI47" s="107"/>
      <c r="GJ47" s="293"/>
    </row>
    <row r="48" spans="1:192" ht="12.75" customHeight="1">
      <c r="B48" s="727"/>
      <c r="C48" s="291"/>
      <c r="D48" s="107"/>
      <c r="E48" s="107"/>
      <c r="F48" s="107"/>
      <c r="G48" s="293"/>
      <c r="H48" s="291"/>
      <c r="I48" s="107"/>
      <c r="J48" s="107"/>
      <c r="K48" s="107"/>
      <c r="L48" s="293"/>
      <c r="M48" s="291"/>
      <c r="N48" s="107"/>
      <c r="O48" s="107"/>
      <c r="P48" s="107"/>
      <c r="Q48" s="293"/>
      <c r="R48" s="291"/>
      <c r="S48" s="107"/>
      <c r="T48" s="107"/>
      <c r="U48" s="107"/>
      <c r="V48" s="293"/>
      <c r="W48" s="291"/>
      <c r="X48" s="107"/>
      <c r="Y48" s="107"/>
      <c r="Z48" s="107"/>
      <c r="AA48" s="293"/>
      <c r="AB48" s="291"/>
      <c r="AC48" s="107"/>
      <c r="AD48" s="107"/>
      <c r="AE48" s="107"/>
      <c r="AF48" s="293"/>
      <c r="AG48" s="291"/>
      <c r="AH48" s="107"/>
      <c r="AI48" s="107"/>
      <c r="AJ48" s="107"/>
      <c r="AK48" s="293"/>
      <c r="AL48" s="291"/>
      <c r="AM48" s="107"/>
      <c r="AN48" s="107"/>
      <c r="AO48" s="107"/>
      <c r="AP48" s="293"/>
      <c r="AQ48" s="291"/>
      <c r="AR48" s="107"/>
      <c r="AS48" s="107"/>
      <c r="AT48" s="107"/>
      <c r="AU48" s="293"/>
      <c r="AV48" s="291"/>
      <c r="AW48" s="107"/>
      <c r="AX48" s="107"/>
      <c r="AY48" s="107"/>
      <c r="AZ48" s="293"/>
      <c r="BA48" s="291"/>
      <c r="BB48" s="107"/>
      <c r="BC48" s="107"/>
      <c r="BD48" s="107"/>
      <c r="BE48" s="293"/>
      <c r="BF48" s="291"/>
      <c r="BG48" s="107"/>
      <c r="BH48" s="107"/>
      <c r="BI48" s="107"/>
      <c r="BJ48" s="293"/>
      <c r="BK48" s="291"/>
      <c r="BL48" s="107"/>
      <c r="BM48" s="107"/>
      <c r="BN48" s="107"/>
      <c r="BO48" s="293"/>
      <c r="BP48" s="291"/>
      <c r="BQ48" s="107"/>
      <c r="BR48" s="107"/>
      <c r="BS48" s="107"/>
      <c r="BT48" s="293"/>
      <c r="BU48" s="291"/>
      <c r="BV48" s="107"/>
      <c r="BW48" s="107"/>
      <c r="BX48" s="107"/>
      <c r="BY48" s="293"/>
      <c r="BZ48" s="291"/>
      <c r="CA48" s="107"/>
      <c r="CB48" s="107"/>
      <c r="CC48" s="107"/>
      <c r="CD48" s="293"/>
      <c r="CE48" s="291"/>
      <c r="CF48" s="107"/>
      <c r="CG48" s="107"/>
      <c r="CH48" s="107"/>
      <c r="CI48" s="293"/>
      <c r="CJ48" s="291"/>
      <c r="CK48" s="107"/>
      <c r="CL48" s="107"/>
      <c r="CM48" s="107"/>
      <c r="CN48" s="293"/>
      <c r="CO48" s="291"/>
      <c r="CP48" s="107"/>
      <c r="CQ48" s="107"/>
      <c r="CR48" s="107"/>
      <c r="CS48" s="293"/>
      <c r="CT48" s="291"/>
      <c r="CU48" s="291"/>
      <c r="CV48" s="291"/>
      <c r="CW48" s="291"/>
      <c r="CX48" s="293"/>
      <c r="CY48" s="291"/>
      <c r="CZ48" s="291"/>
      <c r="DA48" s="291"/>
      <c r="DB48" s="291"/>
      <c r="DC48" s="293"/>
      <c r="DD48" s="291"/>
      <c r="DE48" s="291"/>
      <c r="DF48" s="291"/>
      <c r="DG48" s="291"/>
      <c r="DH48" s="293"/>
      <c r="DI48" s="291"/>
      <c r="DJ48" s="291"/>
      <c r="DK48" s="291"/>
      <c r="DL48" s="291"/>
      <c r="DM48" s="293"/>
      <c r="DN48" s="291"/>
      <c r="DO48" s="291"/>
      <c r="DP48" s="291"/>
      <c r="DQ48" s="291"/>
      <c r="DR48" s="293"/>
      <c r="DS48" s="291"/>
      <c r="DT48" s="291"/>
      <c r="DU48" s="291"/>
      <c r="DV48" s="291"/>
      <c r="DW48" s="293"/>
      <c r="DX48" s="291"/>
      <c r="DY48" s="291"/>
      <c r="DZ48" s="291"/>
      <c r="EA48" s="291"/>
      <c r="EB48" s="293"/>
      <c r="EC48" s="291"/>
      <c r="ED48" s="291"/>
      <c r="EE48" s="291"/>
      <c r="EF48" s="291"/>
      <c r="EG48" s="293"/>
      <c r="EH48" s="291"/>
      <c r="EI48" s="291"/>
      <c r="EJ48" s="291"/>
      <c r="EK48" s="291"/>
      <c r="EL48" s="293"/>
      <c r="EM48" s="291"/>
      <c r="EN48" s="291"/>
      <c r="EO48" s="291"/>
      <c r="EP48" s="291"/>
      <c r="EQ48" s="293"/>
      <c r="ER48" s="291"/>
      <c r="ES48" s="291"/>
      <c r="ET48" s="291"/>
      <c r="EU48" s="291"/>
      <c r="EV48" s="293"/>
      <c r="EW48" s="291"/>
      <c r="EX48" s="107"/>
      <c r="EY48" s="107"/>
      <c r="EZ48" s="107"/>
      <c r="FA48" s="293"/>
      <c r="FB48" s="291"/>
      <c r="FC48" s="107"/>
      <c r="FD48" s="107"/>
      <c r="FE48" s="107"/>
      <c r="FF48" s="293"/>
      <c r="FG48" s="291"/>
      <c r="FH48" s="107"/>
      <c r="FI48" s="107"/>
      <c r="FJ48" s="107"/>
      <c r="FK48" s="293"/>
      <c r="FL48" s="291"/>
      <c r="FM48" s="107"/>
      <c r="FN48" s="107"/>
      <c r="FO48" s="107"/>
      <c r="FP48" s="293"/>
      <c r="FQ48" s="291"/>
      <c r="FR48" s="107"/>
      <c r="FS48" s="107"/>
      <c r="FT48" s="107"/>
      <c r="FU48" s="293"/>
      <c r="FV48" s="291"/>
      <c r="FW48" s="107"/>
      <c r="FX48" s="107"/>
      <c r="FY48" s="107"/>
      <c r="FZ48" s="293"/>
      <c r="GA48" s="291"/>
      <c r="GB48" s="107"/>
      <c r="GC48" s="107"/>
      <c r="GD48" s="107"/>
      <c r="GE48" s="293"/>
      <c r="GF48" s="291"/>
      <c r="GG48" s="107"/>
      <c r="GH48" s="107"/>
      <c r="GI48" s="107"/>
      <c r="GJ48" s="293"/>
    </row>
    <row r="49" spans="1:192" ht="12.75" customHeight="1">
      <c r="B49" s="1516" t="s">
        <v>2001</v>
      </c>
      <c r="C49" s="291"/>
      <c r="D49" s="107"/>
      <c r="E49" s="107"/>
      <c r="F49" s="107"/>
      <c r="G49" s="293"/>
      <c r="H49" s="291"/>
      <c r="I49" s="107"/>
      <c r="J49" s="107"/>
      <c r="K49" s="107"/>
      <c r="L49" s="293"/>
      <c r="M49" s="291"/>
      <c r="N49" s="107"/>
      <c r="O49" s="107"/>
      <c r="P49" s="107"/>
      <c r="Q49" s="293"/>
      <c r="R49" s="291"/>
      <c r="S49" s="107"/>
      <c r="T49" s="107"/>
      <c r="U49" s="107"/>
      <c r="V49" s="293"/>
      <c r="W49" s="291"/>
      <c r="X49" s="107"/>
      <c r="Y49" s="107"/>
      <c r="Z49" s="107"/>
      <c r="AA49" s="293"/>
      <c r="AB49" s="291"/>
      <c r="AC49" s="107"/>
      <c r="AD49" s="107"/>
      <c r="AE49" s="107"/>
      <c r="AF49" s="293"/>
      <c r="AG49" s="291"/>
      <c r="AH49" s="107"/>
      <c r="AI49" s="107"/>
      <c r="AJ49" s="107"/>
      <c r="AK49" s="293"/>
      <c r="AL49" s="291"/>
      <c r="AM49" s="107"/>
      <c r="AN49" s="107"/>
      <c r="AO49" s="107"/>
      <c r="AP49" s="293"/>
      <c r="AQ49" s="291"/>
      <c r="AR49" s="107"/>
      <c r="AS49" s="107"/>
      <c r="AT49" s="107"/>
      <c r="AU49" s="293"/>
      <c r="AV49" s="291"/>
      <c r="AW49" s="107"/>
      <c r="AX49" s="107"/>
      <c r="AY49" s="107"/>
      <c r="AZ49" s="293"/>
      <c r="BA49" s="291"/>
      <c r="BB49" s="107"/>
      <c r="BC49" s="107"/>
      <c r="BD49" s="107"/>
      <c r="BE49" s="293"/>
      <c r="BF49" s="291"/>
      <c r="BG49" s="107"/>
      <c r="BH49" s="107"/>
      <c r="BI49" s="107"/>
      <c r="BJ49" s="293"/>
      <c r="BK49" s="291"/>
      <c r="BL49" s="107"/>
      <c r="BM49" s="107"/>
      <c r="BN49" s="107"/>
      <c r="BO49" s="293"/>
      <c r="BP49" s="291"/>
      <c r="BQ49" s="107"/>
      <c r="BR49" s="107"/>
      <c r="BS49" s="107"/>
      <c r="BT49" s="293"/>
      <c r="BU49" s="291"/>
      <c r="BV49" s="107"/>
      <c r="BW49" s="107"/>
      <c r="BX49" s="107"/>
      <c r="BY49" s="293"/>
      <c r="BZ49" s="291"/>
      <c r="CA49" s="107"/>
      <c r="CB49" s="107"/>
      <c r="CC49" s="107"/>
      <c r="CD49" s="293"/>
      <c r="CE49" s="291"/>
      <c r="CF49" s="107"/>
      <c r="CG49" s="107"/>
      <c r="CH49" s="107"/>
      <c r="CI49" s="293"/>
      <c r="CJ49" s="291"/>
      <c r="CK49" s="107"/>
      <c r="CL49" s="107"/>
      <c r="CM49" s="107"/>
      <c r="CN49" s="293"/>
      <c r="CO49" s="291"/>
      <c r="CP49" s="107"/>
      <c r="CQ49" s="107"/>
      <c r="CR49" s="107"/>
      <c r="CS49" s="293"/>
      <c r="CT49" s="291"/>
      <c r="CU49" s="291"/>
      <c r="CV49" s="291"/>
      <c r="CW49" s="291"/>
      <c r="CX49" s="293"/>
      <c r="CY49" s="291"/>
      <c r="CZ49" s="291"/>
      <c r="DA49" s="291"/>
      <c r="DB49" s="291"/>
      <c r="DC49" s="293"/>
      <c r="DD49" s="291"/>
      <c r="DE49" s="291"/>
      <c r="DF49" s="291"/>
      <c r="DG49" s="291"/>
      <c r="DH49" s="293"/>
      <c r="DI49" s="291"/>
      <c r="DJ49" s="291"/>
      <c r="DK49" s="291"/>
      <c r="DL49" s="291"/>
      <c r="DM49" s="293"/>
      <c r="DN49" s="291"/>
      <c r="DO49" s="291"/>
      <c r="DP49" s="291"/>
      <c r="DQ49" s="291"/>
      <c r="DR49" s="293"/>
      <c r="DS49" s="291"/>
      <c r="DT49" s="291"/>
      <c r="DU49" s="291"/>
      <c r="DV49" s="291"/>
      <c r="DW49" s="293"/>
      <c r="DX49" s="291"/>
      <c r="DY49" s="291"/>
      <c r="DZ49" s="291"/>
      <c r="EA49" s="291"/>
      <c r="EB49" s="293"/>
      <c r="EC49" s="291"/>
      <c r="ED49" s="291"/>
      <c r="EE49" s="291"/>
      <c r="EF49" s="291"/>
      <c r="EG49" s="293"/>
      <c r="EH49" s="291"/>
      <c r="EI49" s="291"/>
      <c r="EJ49" s="291"/>
      <c r="EK49" s="291"/>
      <c r="EL49" s="293"/>
      <c r="EM49" s="291"/>
      <c r="EN49" s="291"/>
      <c r="EO49" s="291"/>
      <c r="EP49" s="291"/>
      <c r="EQ49" s="293"/>
      <c r="ER49" s="291"/>
      <c r="ES49" s="291"/>
      <c r="ET49" s="291"/>
      <c r="EU49" s="291"/>
      <c r="EV49" s="293"/>
      <c r="EW49" s="291"/>
      <c r="EX49" s="107"/>
      <c r="EY49" s="107"/>
      <c r="EZ49" s="107"/>
      <c r="FA49" s="293"/>
      <c r="FB49" s="291"/>
      <c r="FC49" s="107"/>
      <c r="FD49" s="107"/>
      <c r="FE49" s="107"/>
      <c r="FF49" s="293"/>
      <c r="FG49" s="291"/>
      <c r="FH49" s="107"/>
      <c r="FI49" s="107"/>
      <c r="FJ49" s="107"/>
      <c r="FK49" s="293"/>
      <c r="FL49" s="291"/>
      <c r="FM49" s="107"/>
      <c r="FN49" s="107"/>
      <c r="FO49" s="107"/>
      <c r="FP49" s="293"/>
      <c r="FQ49" s="291"/>
      <c r="FR49" s="107"/>
      <c r="FS49" s="107"/>
      <c r="FT49" s="107"/>
      <c r="FU49" s="293"/>
      <c r="FV49" s="291"/>
      <c r="FW49" s="107"/>
      <c r="FX49" s="107"/>
      <c r="FY49" s="107"/>
      <c r="FZ49" s="293"/>
      <c r="GA49" s="291"/>
      <c r="GB49" s="107"/>
      <c r="GC49" s="107"/>
      <c r="GD49" s="107"/>
      <c r="GE49" s="293"/>
      <c r="GF49" s="291"/>
      <c r="GG49" s="107"/>
      <c r="GH49" s="107"/>
      <c r="GI49" s="107"/>
      <c r="GJ49" s="293"/>
    </row>
    <row r="50" spans="1:192" s="317" customFormat="1" ht="12.75" hidden="1" customHeight="1" outlineLevel="1">
      <c r="A50" s="280"/>
      <c r="B50" s="730" t="s">
        <v>1996</v>
      </c>
      <c r="C50" s="315"/>
      <c r="D50" s="315"/>
      <c r="E50" s="315"/>
      <c r="F50" s="315"/>
      <c r="G50" s="313"/>
      <c r="H50" s="315"/>
      <c r="I50" s="315"/>
      <c r="J50" s="315"/>
      <c r="K50" s="315"/>
      <c r="L50" s="313"/>
      <c r="M50" s="315"/>
      <c r="N50" s="315"/>
      <c r="O50" s="315"/>
      <c r="P50" s="315"/>
      <c r="Q50" s="313"/>
      <c r="R50" s="315"/>
      <c r="S50" s="315"/>
      <c r="T50" s="315"/>
      <c r="U50" s="315"/>
      <c r="V50" s="313"/>
      <c r="W50" s="315"/>
      <c r="X50" s="315"/>
      <c r="Y50" s="315"/>
      <c r="Z50" s="315"/>
      <c r="AA50" s="313"/>
      <c r="AB50" s="315"/>
      <c r="AC50" s="315"/>
      <c r="AD50" s="315"/>
      <c r="AE50" s="315"/>
      <c r="AF50" s="313"/>
      <c r="AG50" s="315"/>
      <c r="AH50" s="315"/>
      <c r="AI50" s="315"/>
      <c r="AJ50" s="315"/>
      <c r="AK50" s="313"/>
      <c r="AL50" s="315"/>
      <c r="AM50" s="315"/>
      <c r="AN50" s="315"/>
      <c r="AO50" s="315"/>
      <c r="AP50" s="313"/>
      <c r="AQ50" s="315"/>
      <c r="AR50" s="315"/>
      <c r="AS50" s="315"/>
      <c r="AT50" s="315"/>
      <c r="AU50" s="313"/>
      <c r="AV50" s="315"/>
      <c r="AW50" s="315"/>
      <c r="AX50" s="315"/>
      <c r="AY50" s="315"/>
      <c r="AZ50" s="313"/>
      <c r="BA50" s="315"/>
      <c r="BB50" s="315"/>
      <c r="BC50" s="315"/>
      <c r="BD50" s="315"/>
      <c r="BE50" s="313"/>
      <c r="BF50" s="315"/>
      <c r="BG50" s="315"/>
      <c r="BH50" s="315"/>
      <c r="BI50" s="315"/>
      <c r="BJ50" s="313"/>
      <c r="BK50" s="315"/>
      <c r="BL50" s="315"/>
      <c r="BM50" s="315"/>
      <c r="BN50" s="315"/>
      <c r="BO50" s="313"/>
      <c r="BP50" s="315"/>
      <c r="BQ50" s="315"/>
      <c r="BR50" s="315"/>
      <c r="BS50" s="315"/>
      <c r="BT50" s="313"/>
      <c r="BU50" s="315"/>
      <c r="BV50" s="315"/>
      <c r="BW50" s="315"/>
      <c r="BX50" s="315"/>
      <c r="BY50" s="313"/>
      <c r="BZ50" s="315"/>
      <c r="CA50" s="315"/>
      <c r="CB50" s="315"/>
      <c r="CC50" s="315"/>
      <c r="CD50" s="313"/>
      <c r="CE50" s="315"/>
      <c r="CF50" s="315"/>
      <c r="CG50" s="315"/>
      <c r="CH50" s="315"/>
      <c r="CI50" s="313"/>
      <c r="CJ50" s="315"/>
      <c r="CK50" s="315"/>
      <c r="CL50" s="315"/>
      <c r="CM50" s="315"/>
      <c r="CN50" s="313"/>
      <c r="CO50" s="315"/>
      <c r="CP50" s="315"/>
      <c r="CQ50" s="315"/>
      <c r="CR50" s="315"/>
      <c r="CS50" s="313"/>
      <c r="CT50" s="316"/>
      <c r="CU50" s="316"/>
      <c r="CV50" s="316"/>
      <c r="CW50" s="316"/>
      <c r="CX50" s="313"/>
      <c r="CY50" s="316">
        <v>5475</v>
      </c>
      <c r="CZ50" s="316">
        <v>6041</v>
      </c>
      <c r="DA50" s="316">
        <v>5903</v>
      </c>
      <c r="DB50" s="316">
        <v>6296</v>
      </c>
      <c r="DC50" s="313">
        <f>SUM(CY50:DB50)</f>
      </c>
      <c r="DD50" s="316">
        <v>5892</v>
      </c>
      <c r="DE50" s="316">
        <v>6343</v>
      </c>
      <c r="DF50" s="316">
        <v>6096</v>
      </c>
      <c r="DG50" s="316">
        <v>6711</v>
      </c>
      <c r="DH50" s="313">
        <f>SUM(DD50:DG50)</f>
      </c>
      <c r="DI50" s="1158">
        <v>6097</v>
      </c>
      <c r="DJ50" s="1158">
        <v>6758</v>
      </c>
      <c r="DK50" s="1158">
        <v>6730</v>
      </c>
      <c r="DL50" s="1158">
        <v>7822</v>
      </c>
      <c r="DM50" s="313">
        <f>SUM(DI50:DL50)</f>
      </c>
      <c r="DN50" s="316">
        <v>6922</v>
      </c>
      <c r="DO50" s="316">
        <v>7795</v>
      </c>
      <c r="DP50" s="316">
        <v>7896</v>
      </c>
      <c r="DQ50" s="316">
        <v>9606</v>
      </c>
      <c r="DR50" s="313">
        <f>SUM(DN50:DQ50)</f>
      </c>
      <c r="DS50" s="316">
        <v>8567</v>
      </c>
      <c r="DT50" s="316">
        <v>9378</v>
      </c>
      <c r="DU50" s="316">
        <v>9649</v>
      </c>
      <c r="DV50" s="316">
        <v>11391</v>
      </c>
      <c r="DW50" s="313">
        <f>SUM(DS50:DV50)</f>
      </c>
      <c r="DX50" s="316">
        <v>10845</v>
      </c>
      <c r="DY50" s="316">
        <v>11869</v>
      </c>
      <c r="DZ50" s="316">
        <v>12281</v>
      </c>
      <c r="EA50" s="316">
        <v>13371</v>
      </c>
      <c r="EB50" s="313">
        <f>SUM(DX50:EA50)</f>
      </c>
      <c r="EC50" s="316">
        <v>12986</v>
      </c>
      <c r="ED50" s="316">
        <v>14601</v>
      </c>
      <c r="EE50" s="316">
        <v>15118</v>
      </c>
      <c r="EF50" s="316">
        <v>17375</v>
      </c>
      <c r="EG50" s="313">
        <f>SUM(EC50:EF50)</f>
      </c>
      <c r="EH50" s="316">
        <v>16964</v>
      </c>
      <c r="EI50" s="316">
        <v>18327</v>
      </c>
      <c r="EJ50" s="316">
        <v>19051</v>
      </c>
      <c r="EK50" s="316">
        <v>20909</v>
      </c>
      <c r="EL50" s="313">
        <f>SUM(EH50:EK50)</f>
      </c>
      <c r="EM50" s="316">
        <v>20325</v>
      </c>
      <c r="EN50" s="316">
        <v>21508</v>
      </c>
      <c r="EO50" s="316">
        <v>22081</v>
      </c>
      <c r="EP50" s="316">
        <v>23993</v>
      </c>
      <c r="EQ50" s="313">
        <f>SUM(EM50:EP50)</f>
      </c>
      <c r="ER50" s="316">
        <v>24259</v>
      </c>
      <c r="ES50" s="316">
        <v>25880</v>
      </c>
      <c r="ET50" s="1158">
        <v>26708</v>
      </c>
      <c r="EU50" s="1158">
        <v>28515</v>
      </c>
      <c r="EV50" s="319">
        <f>SUM(ER50:EU50)</f>
      </c>
      <c r="EW50" s="312"/>
      <c r="EX50" s="312"/>
      <c r="EY50" s="312"/>
      <c r="EZ50" s="312"/>
      <c r="FA50" s="319"/>
      <c r="FB50" s="312"/>
      <c r="FC50" s="312"/>
      <c r="FD50" s="312"/>
      <c r="FE50" s="312"/>
      <c r="FF50" s="319"/>
      <c r="FG50" s="312"/>
      <c r="FH50" s="312"/>
      <c r="FI50" s="312"/>
      <c r="FJ50" s="312"/>
      <c r="FK50" s="319"/>
      <c r="FL50" s="312"/>
      <c r="FM50" s="312"/>
      <c r="FN50" s="312"/>
      <c r="FO50" s="312"/>
      <c r="FP50" s="319"/>
      <c r="FQ50" s="312"/>
      <c r="FR50" s="312"/>
      <c r="FS50" s="312"/>
      <c r="FT50" s="312"/>
      <c r="FU50" s="319"/>
      <c r="FV50" s="312"/>
      <c r="FW50" s="312"/>
      <c r="FX50" s="312"/>
      <c r="FY50" s="312"/>
      <c r="FZ50" s="313"/>
      <c r="GA50" s="312"/>
      <c r="GB50" s="312"/>
      <c r="GC50" s="312"/>
      <c r="GD50" s="312"/>
      <c r="GE50" s="313"/>
      <c r="GF50" s="312"/>
      <c r="GG50" s="312"/>
      <c r="GH50" s="312"/>
      <c r="GI50" s="312"/>
      <c r="GJ50" s="313"/>
    </row>
    <row r="51" spans="1:192" s="1241" customFormat="1" ht="12.75" hidden="1" customHeight="1" outlineLevel="1">
      <c r="A51" s="1237"/>
      <c r="B51" s="727" t="s">
        <v>34</v>
      </c>
      <c r="C51" s="892"/>
      <c r="D51" s="924"/>
      <c r="E51" s="924"/>
      <c r="F51" s="924"/>
      <c r="G51" s="1240"/>
      <c r="H51" s="892"/>
      <c r="I51" s="924"/>
      <c r="J51" s="924"/>
      <c r="K51" s="924"/>
      <c r="L51" s="1240"/>
      <c r="M51" s="892"/>
      <c r="N51" s="924"/>
      <c r="O51" s="924"/>
      <c r="P51" s="924"/>
      <c r="Q51" s="1240"/>
      <c r="R51" s="892"/>
      <c r="S51" s="924"/>
      <c r="T51" s="924"/>
      <c r="U51" s="924"/>
      <c r="V51" s="1240"/>
      <c r="W51" s="892"/>
      <c r="X51" s="924"/>
      <c r="Y51" s="924"/>
      <c r="Z51" s="924"/>
      <c r="AA51" s="1240"/>
      <c r="AB51" s="892"/>
      <c r="AC51" s="924"/>
      <c r="AD51" s="924"/>
      <c r="AE51" s="924"/>
      <c r="AF51" s="1240"/>
      <c r="AG51" s="892"/>
      <c r="AH51" s="924"/>
      <c r="AI51" s="924"/>
      <c r="AJ51" s="924"/>
      <c r="AK51" s="1240"/>
      <c r="AL51" s="892"/>
      <c r="AM51" s="924"/>
      <c r="AN51" s="924"/>
      <c r="AO51" s="924"/>
      <c r="AP51" s="1240"/>
      <c r="AQ51" s="892"/>
      <c r="AR51" s="924"/>
      <c r="AS51" s="924"/>
      <c r="AT51" s="924"/>
      <c r="AU51" s="1240"/>
      <c r="AV51" s="892"/>
      <c r="AW51" s="924"/>
      <c r="AX51" s="924"/>
      <c r="AY51" s="924"/>
      <c r="AZ51" s="1240"/>
      <c r="BA51" s="892"/>
      <c r="BB51" s="924"/>
      <c r="BC51" s="924"/>
      <c r="BD51" s="924"/>
      <c r="BE51" s="1240"/>
      <c r="BF51" s="892"/>
      <c r="BG51" s="924"/>
      <c r="BH51" s="924"/>
      <c r="BI51" s="924"/>
      <c r="BJ51" s="1240"/>
      <c r="BK51" s="892"/>
      <c r="BL51" s="924"/>
      <c r="BM51" s="924"/>
      <c r="BN51" s="924"/>
      <c r="BO51" s="1240"/>
      <c r="BP51" s="892"/>
      <c r="BQ51" s="924"/>
      <c r="BR51" s="924"/>
      <c r="BS51" s="924"/>
      <c r="BT51" s="1240"/>
      <c r="BU51" s="892"/>
      <c r="BV51" s="924"/>
      <c r="BW51" s="924"/>
      <c r="BX51" s="924"/>
      <c r="BY51" s="1240"/>
      <c r="BZ51" s="892"/>
      <c r="CA51" s="924"/>
      <c r="CB51" s="924"/>
      <c r="CC51" s="924"/>
      <c r="CD51" s="1240"/>
      <c r="CE51" s="892"/>
      <c r="CF51" s="924"/>
      <c r="CG51" s="924"/>
      <c r="CH51" s="924"/>
      <c r="CI51" s="1240"/>
      <c r="CJ51" s="892"/>
      <c r="CK51" s="924"/>
      <c r="CL51" s="924"/>
      <c r="CM51" s="924"/>
      <c r="CN51" s="1240"/>
      <c r="CO51" s="892"/>
      <c r="CP51" s="924"/>
      <c r="CQ51" s="924"/>
      <c r="CR51" s="924"/>
      <c r="CS51" s="1240"/>
      <c r="CT51" s="892"/>
      <c r="CU51" s="924"/>
      <c r="CV51" s="924"/>
      <c r="CW51" s="924"/>
      <c r="CX51" s="1240"/>
      <c r="CY51" s="291" t="str">
        <f t="shared" ref="CY51:DH51" si="52">IFERROR(CY50/CT50-1,"--")</f>
      </c>
      <c r="CZ51" s="107" t="str">
        <f t="shared" si="52"/>
      </c>
      <c r="DA51" s="107" t="str">
        <f t="shared" si="52"/>
      </c>
      <c r="DB51" s="107" t="str">
        <f t="shared" si="52"/>
      </c>
      <c r="DC51" s="292" t="str">
        <f t="shared" si="52"/>
      </c>
      <c r="DD51" s="349">
        <f t="shared" si="52"/>
      </c>
      <c r="DE51" s="468">
        <f t="shared" si="52"/>
      </c>
      <c r="DF51" s="468">
        <f t="shared" si="52"/>
      </c>
      <c r="DG51" s="468">
        <f t="shared" si="52"/>
      </c>
      <c r="DH51" s="292">
        <f t="shared" si="52"/>
      </c>
      <c r="DI51" s="441">
        <v>0.09</v>
      </c>
      <c r="DJ51" s="439">
        <v>0.08</v>
      </c>
      <c r="DK51" s="439">
        <v>0.14000000000000001</v>
      </c>
      <c r="DL51" s="439">
        <v>0.09</v>
      </c>
      <c r="DM51" s="292">
        <f t="shared" ref="DM51:ER51" si="53">IFERROR(DM50/DH50-1,"--")</f>
      </c>
      <c r="DN51" s="291">
        <f t="shared" si="53"/>
      </c>
      <c r="DO51" s="107">
        <f t="shared" si="53"/>
      </c>
      <c r="DP51" s="107">
        <f t="shared" si="53"/>
      </c>
      <c r="DQ51" s="107">
        <f t="shared" si="53"/>
      </c>
      <c r="DR51" s="292">
        <f t="shared" si="53"/>
      </c>
      <c r="DS51" s="291">
        <f t="shared" si="53"/>
      </c>
      <c r="DT51" s="107">
        <f t="shared" si="53"/>
      </c>
      <c r="DU51" s="107">
        <f t="shared" si="53"/>
      </c>
      <c r="DV51" s="107">
        <f t="shared" si="53"/>
      </c>
      <c r="DW51" s="292">
        <f t="shared" si="53"/>
      </c>
      <c r="DX51" s="291">
        <f t="shared" si="53"/>
      </c>
      <c r="DY51" s="107">
        <f t="shared" si="53"/>
      </c>
      <c r="DZ51" s="107">
        <f t="shared" si="53"/>
      </c>
      <c r="EA51" s="107">
        <f t="shared" si="53"/>
      </c>
      <c r="EB51" s="292">
        <f t="shared" si="53"/>
      </c>
      <c r="EC51" s="291">
        <f t="shared" si="53"/>
      </c>
      <c r="ED51" s="107">
        <f t="shared" si="53"/>
      </c>
      <c r="EE51" s="107">
        <f t="shared" si="53"/>
      </c>
      <c r="EF51" s="107">
        <f t="shared" si="53"/>
      </c>
      <c r="EG51" s="292">
        <f t="shared" si="53"/>
      </c>
      <c r="EH51" s="291">
        <f t="shared" si="53"/>
      </c>
      <c r="EI51" s="107">
        <f t="shared" si="53"/>
      </c>
      <c r="EJ51" s="107">
        <f t="shared" si="53"/>
      </c>
      <c r="EK51" s="107">
        <f t="shared" si="53"/>
      </c>
      <c r="EL51" s="292">
        <f t="shared" si="53"/>
      </c>
      <c r="EM51" s="291">
        <f t="shared" si="53"/>
      </c>
      <c r="EN51" s="468">
        <f t="shared" si="53"/>
      </c>
      <c r="EO51" s="107">
        <f t="shared" si="53"/>
      </c>
      <c r="EP51" s="107">
        <f t="shared" si="53"/>
      </c>
      <c r="EQ51" s="292">
        <f t="shared" si="53"/>
      </c>
      <c r="ER51" s="291">
        <f t="shared" si="53"/>
      </c>
      <c r="ES51" s="291">
        <f>IFERROR(ES50/EN50-1,"--")</f>
      </c>
      <c r="ET51" s="291">
        <f>IFERROR(ET50/EO50-1,"--")</f>
      </c>
      <c r="EU51" s="291">
        <f>IFERROR(EU50/EP50-1,"--")</f>
      </c>
      <c r="EV51" s="292">
        <f>IFERROR(EV50/EQ50-1,"--")</f>
      </c>
      <c r="EW51" s="291"/>
      <c r="EX51" s="291"/>
      <c r="EY51" s="291"/>
      <c r="EZ51" s="291"/>
      <c r="FA51" s="292"/>
      <c r="FB51" s="291"/>
      <c r="FC51" s="291"/>
      <c r="FD51" s="291"/>
      <c r="FE51" s="291"/>
      <c r="FF51" s="292"/>
      <c r="FG51" s="291"/>
      <c r="FH51" s="291"/>
      <c r="FI51" s="291"/>
      <c r="FJ51" s="291"/>
      <c r="FK51" s="292"/>
      <c r="FL51" s="291"/>
      <c r="FM51" s="291"/>
      <c r="FN51" s="291"/>
      <c r="FO51" s="291"/>
      <c r="FP51" s="292"/>
      <c r="FQ51" s="291"/>
      <c r="FR51" s="291"/>
      <c r="FS51" s="291"/>
      <c r="FT51" s="291"/>
      <c r="FU51" s="292"/>
      <c r="FV51" s="291"/>
      <c r="FW51" s="107"/>
      <c r="FX51" s="107"/>
      <c r="FY51" s="107"/>
      <c r="FZ51" s="292"/>
      <c r="GA51" s="291"/>
      <c r="GB51" s="107"/>
      <c r="GC51" s="107"/>
      <c r="GD51" s="107"/>
      <c r="GE51" s="292"/>
      <c r="GF51" s="291"/>
      <c r="GG51" s="107"/>
      <c r="GH51" s="107"/>
      <c r="GI51" s="107"/>
      <c r="GJ51" s="292"/>
    </row>
    <row r="52" spans="1:192" ht="12.75" hidden="1" customHeight="1" outlineLevel="1">
      <c r="B52" s="727" t="s">
        <v>197</v>
      </c>
      <c r="C52" s="291"/>
      <c r="D52" s="107"/>
      <c r="E52" s="107"/>
      <c r="F52" s="107"/>
      <c r="G52" s="292"/>
      <c r="H52" s="291"/>
      <c r="I52" s="107"/>
      <c r="J52" s="107"/>
      <c r="K52" s="107"/>
      <c r="L52" s="292"/>
      <c r="M52" s="291"/>
      <c r="N52" s="107"/>
      <c r="O52" s="107"/>
      <c r="P52" s="107"/>
      <c r="Q52" s="292"/>
      <c r="R52" s="291"/>
      <c r="S52" s="107"/>
      <c r="T52" s="107"/>
      <c r="U52" s="107"/>
      <c r="V52" s="292"/>
      <c r="W52" s="291"/>
      <c r="X52" s="107"/>
      <c r="Y52" s="107"/>
      <c r="Z52" s="107"/>
      <c r="AA52" s="292"/>
      <c r="AB52" s="291"/>
      <c r="AC52" s="107"/>
      <c r="AD52" s="107"/>
      <c r="AE52" s="107"/>
      <c r="AF52" s="292"/>
      <c r="AG52" s="291"/>
      <c r="AH52" s="107"/>
      <c r="AI52" s="107"/>
      <c r="AJ52" s="107"/>
      <c r="AK52" s="292"/>
      <c r="AL52" s="291"/>
      <c r="AM52" s="107"/>
      <c r="AN52" s="107"/>
      <c r="AO52" s="107"/>
      <c r="AP52" s="292"/>
      <c r="AQ52" s="291"/>
      <c r="AR52" s="107"/>
      <c r="AS52" s="107"/>
      <c r="AT52" s="107"/>
      <c r="AU52" s="292"/>
      <c r="AV52" s="291"/>
      <c r="AW52" s="107"/>
      <c r="AX52" s="107"/>
      <c r="AY52" s="107"/>
      <c r="AZ52" s="292"/>
      <c r="BA52" s="291"/>
      <c r="BB52" s="107"/>
      <c r="BC52" s="107"/>
      <c r="BD52" s="107"/>
      <c r="BE52" s="292"/>
      <c r="BF52" s="291"/>
      <c r="BG52" s="107"/>
      <c r="BH52" s="107"/>
      <c r="BI52" s="107"/>
      <c r="BJ52" s="292"/>
      <c r="BK52" s="291"/>
      <c r="BL52" s="107"/>
      <c r="BM52" s="107"/>
      <c r="BN52" s="107"/>
      <c r="BO52" s="292"/>
      <c r="BP52" s="291"/>
      <c r="BQ52" s="107"/>
      <c r="BR52" s="107"/>
      <c r="BS52" s="107"/>
      <c r="BT52" s="292"/>
      <c r="BU52" s="291"/>
      <c r="BV52" s="107"/>
      <c r="BW52" s="107"/>
      <c r="BX52" s="107"/>
      <c r="BY52" s="292"/>
      <c r="BZ52" s="291"/>
      <c r="CA52" s="107"/>
      <c r="CB52" s="107"/>
      <c r="CC52" s="107"/>
      <c r="CD52" s="292"/>
      <c r="CE52" s="291"/>
      <c r="CF52" s="107"/>
      <c r="CG52" s="107"/>
      <c r="CH52" s="107"/>
      <c r="CI52" s="292"/>
      <c r="CJ52" s="291"/>
      <c r="CK52" s="107"/>
      <c r="CL52" s="107"/>
      <c r="CM52" s="107"/>
      <c r="CN52" s="292"/>
      <c r="CO52" s="291"/>
      <c r="CP52" s="107"/>
      <c r="CQ52" s="107"/>
      <c r="CR52" s="107"/>
      <c r="CS52" s="292"/>
      <c r="CT52" s="412"/>
      <c r="CU52" s="114"/>
      <c r="CV52" s="114"/>
      <c r="CW52" s="114"/>
      <c r="CX52" s="292"/>
      <c r="CY52" s="412"/>
      <c r="CZ52" s="114"/>
      <c r="DA52" s="114"/>
      <c r="DB52" s="114"/>
      <c r="DC52" s="292"/>
      <c r="DD52" s="412">
        <v>0.14000000000000001</v>
      </c>
      <c r="DE52" s="114">
        <v>0.11</v>
      </c>
      <c r="DF52" s="114">
        <v>0.08</v>
      </c>
      <c r="DG52" s="114">
        <v>0.1</v>
      </c>
      <c r="DH52" s="292"/>
      <c r="DI52" s="412">
        <v>0.1</v>
      </c>
      <c r="DJ52" s="114">
        <v>0.1</v>
      </c>
      <c r="DK52" s="114">
        <v>0.12</v>
      </c>
      <c r="DL52" s="114">
        <v>0.12</v>
      </c>
      <c r="DM52" s="292"/>
      <c r="DN52" s="412">
        <v>0.13</v>
      </c>
      <c r="DO52" s="114">
        <v>0.15</v>
      </c>
      <c r="DP52" s="114">
        <v>0.15</v>
      </c>
      <c r="DQ52" s="114">
        <v>0.2</v>
      </c>
      <c r="DR52" s="292"/>
      <c r="DS52" s="412">
        <v>0.24</v>
      </c>
      <c r="DT52" s="114">
        <v>0.21</v>
      </c>
      <c r="DU52" s="114">
        <v>0.24</v>
      </c>
      <c r="DV52" s="114">
        <v>0.21</v>
      </c>
      <c r="DW52" s="292"/>
      <c r="DX52" s="412">
        <v>0.28999999999999998</v>
      </c>
      <c r="DY52" s="114">
        <v>0.28000000000000003</v>
      </c>
      <c r="DZ52" s="114">
        <v>0.28999999999999998</v>
      </c>
      <c r="EA52" s="114">
        <v>0.19</v>
      </c>
      <c r="EB52" s="292"/>
      <c r="EC52" s="412">
        <v>0.19</v>
      </c>
      <c r="ED52" s="114">
        <v>0.22</v>
      </c>
      <c r="EE52" s="114">
        <v>0.2</v>
      </c>
      <c r="EF52" s="114">
        <v>0.26</v>
      </c>
      <c r="EG52" s="292"/>
      <c r="EH52" s="412">
        <v>0.28999999999999998</v>
      </c>
      <c r="EI52" s="114">
        <v>0.26</v>
      </c>
      <c r="EJ52" s="114">
        <v>0.28999999999999998</v>
      </c>
      <c r="EK52" s="114">
        <v>0.25</v>
      </c>
      <c r="EL52" s="413">
        <v>0.27</v>
      </c>
      <c r="EM52" s="412">
        <v>0.26</v>
      </c>
      <c r="EN52" s="114">
        <v>0.24</v>
      </c>
      <c r="EO52" s="114">
        <v>0.19</v>
      </c>
      <c r="EP52" s="114">
        <v>0.17</v>
      </c>
      <c r="EQ52" s="292"/>
      <c r="ER52" s="412">
        <v>0.19</v>
      </c>
      <c r="ES52" s="114">
        <v>0.19</v>
      </c>
      <c r="ET52" s="439">
        <v>0.21</v>
      </c>
      <c r="EU52" s="439">
        <v>0.2</v>
      </c>
      <c r="EV52" s="292"/>
      <c r="EW52" s="412"/>
      <c r="EX52" s="114"/>
      <c r="EY52" s="114"/>
      <c r="EZ52" s="114"/>
      <c r="FA52" s="292"/>
      <c r="FB52" s="412"/>
      <c r="FC52" s="114"/>
      <c r="FD52" s="114"/>
      <c r="FE52" s="114"/>
      <c r="FF52" s="292"/>
      <c r="FG52" s="412"/>
      <c r="FH52" s="114"/>
      <c r="FI52" s="114"/>
      <c r="FJ52" s="114"/>
      <c r="FK52" s="292"/>
      <c r="FL52" s="412"/>
      <c r="FM52" s="114"/>
      <c r="FN52" s="114"/>
      <c r="FO52" s="114"/>
      <c r="FP52" s="292"/>
      <c r="FQ52" s="412"/>
      <c r="FR52" s="114"/>
      <c r="FS52" s="114"/>
      <c r="FT52" s="114"/>
      <c r="FU52" s="292"/>
      <c r="FV52" s="412"/>
      <c r="FW52" s="114"/>
      <c r="FX52" s="114"/>
      <c r="FY52" s="114"/>
      <c r="FZ52" s="292"/>
      <c r="GA52" s="412"/>
      <c r="GB52" s="114"/>
      <c r="GC52" s="114"/>
      <c r="GD52" s="114"/>
      <c r="GE52" s="292"/>
      <c r="GF52" s="412"/>
      <c r="GG52" s="114"/>
      <c r="GH52" s="114"/>
      <c r="GI52" s="114"/>
      <c r="GJ52" s="292"/>
    </row>
    <row r="53" spans="1:192" ht="12.75" hidden="1" customHeight="1" outlineLevel="1">
      <c r="B53" s="727" t="s">
        <v>36</v>
      </c>
      <c r="C53" s="291"/>
      <c r="D53" s="107"/>
      <c r="E53" s="107"/>
      <c r="F53" s="107"/>
      <c r="G53" s="293"/>
      <c r="H53" s="291"/>
      <c r="I53" s="107"/>
      <c r="J53" s="107"/>
      <c r="K53" s="107"/>
      <c r="L53" s="293"/>
      <c r="M53" s="291"/>
      <c r="N53" s="107"/>
      <c r="O53" s="107"/>
      <c r="P53" s="107"/>
      <c r="Q53" s="293"/>
      <c r="R53" s="291"/>
      <c r="S53" s="107"/>
      <c r="T53" s="107"/>
      <c r="U53" s="107"/>
      <c r="V53" s="293"/>
      <c r="W53" s="291"/>
      <c r="X53" s="107"/>
      <c r="Y53" s="107"/>
      <c r="Z53" s="107"/>
      <c r="AA53" s="293"/>
      <c r="AB53" s="291"/>
      <c r="AC53" s="107"/>
      <c r="AD53" s="107"/>
      <c r="AE53" s="107"/>
      <c r="AF53" s="293"/>
      <c r="AG53" s="291"/>
      <c r="AH53" s="107"/>
      <c r="AI53" s="107"/>
      <c r="AJ53" s="107"/>
      <c r="AK53" s="293"/>
      <c r="AL53" s="291"/>
      <c r="AM53" s="107"/>
      <c r="AN53" s="107"/>
      <c r="AO53" s="107"/>
      <c r="AP53" s="293"/>
      <c r="AQ53" s="291"/>
      <c r="AR53" s="107"/>
      <c r="AS53" s="107"/>
      <c r="AT53" s="107"/>
      <c r="AU53" s="293"/>
      <c r="AV53" s="291"/>
      <c r="AW53" s="107"/>
      <c r="AX53" s="107"/>
      <c r="AY53" s="107"/>
      <c r="AZ53" s="293"/>
      <c r="BA53" s="291"/>
      <c r="BB53" s="107"/>
      <c r="BC53" s="107"/>
      <c r="BD53" s="107"/>
      <c r="BE53" s="293"/>
      <c r="BF53" s="291"/>
      <c r="BG53" s="107"/>
      <c r="BH53" s="107"/>
      <c r="BI53" s="107"/>
      <c r="BJ53" s="293"/>
      <c r="BK53" s="291"/>
      <c r="BL53" s="107"/>
      <c r="BM53" s="107"/>
      <c r="BN53" s="107"/>
      <c r="BO53" s="293"/>
      <c r="BP53" s="291"/>
      <c r="BQ53" s="107"/>
      <c r="BR53" s="107"/>
      <c r="BS53" s="107"/>
      <c r="BT53" s="293"/>
      <c r="BU53" s="291"/>
      <c r="BV53" s="107"/>
      <c r="BW53" s="107"/>
      <c r="BX53" s="107"/>
      <c r="BY53" s="293"/>
      <c r="BZ53" s="291"/>
      <c r="CA53" s="107"/>
      <c r="CB53" s="107"/>
      <c r="CC53" s="107"/>
      <c r="CD53" s="293"/>
      <c r="CE53" s="291"/>
      <c r="CF53" s="107"/>
      <c r="CG53" s="107"/>
      <c r="CH53" s="107"/>
      <c r="CI53" s="293"/>
      <c r="CJ53" s="291"/>
      <c r="CK53" s="107"/>
      <c r="CL53" s="107"/>
      <c r="CM53" s="107"/>
      <c r="CN53" s="293"/>
      <c r="CO53" s="291"/>
      <c r="CP53" s="107"/>
      <c r="CQ53" s="107"/>
      <c r="CR53" s="107"/>
      <c r="CS53" s="293"/>
      <c r="CT53" s="291"/>
      <c r="CU53" s="107"/>
      <c r="CV53" s="107"/>
      <c r="CW53" s="107"/>
      <c r="CX53" s="293"/>
      <c r="CY53" s="291" t="str">
        <f>IFERROR(CY50/CW50-1,"--")</f>
      </c>
      <c r="CZ53" s="107">
        <f>IFERROR(CZ50/CY50-1,"--")</f>
      </c>
      <c r="DA53" s="107">
        <f>IFERROR(DA50/CZ50-1,"--")</f>
      </c>
      <c r="DB53" s="107">
        <f>IFERROR(DB50/DA50-1,"--")</f>
      </c>
      <c r="DC53" s="293"/>
      <c r="DD53" s="291">
        <f>IFERROR(DD50/DB50-1,"--")</f>
      </c>
      <c r="DE53" s="107">
        <f>IFERROR(DE50/DD50-1,"--")</f>
      </c>
      <c r="DF53" s="107">
        <f>IFERROR(DF50/DE50-1,"--")</f>
      </c>
      <c r="DG53" s="107">
        <f>IFERROR(DG50/DF50-1,"--")</f>
      </c>
      <c r="DH53" s="293"/>
      <c r="DI53" s="291">
        <f>IFERROR(DI50/DG50-1,"--")</f>
      </c>
      <c r="DJ53" s="107">
        <f>IFERROR(DJ50/DI50-1,"--")</f>
      </c>
      <c r="DK53" s="107">
        <f>IFERROR(DK50/DJ50-1,"--")</f>
      </c>
      <c r="DL53" s="107">
        <f>IFERROR(DL50/DK50-1,"--")</f>
      </c>
      <c r="DM53" s="293"/>
      <c r="DN53" s="291">
        <f>IFERROR(DN50/DL50-1,"--")</f>
      </c>
      <c r="DO53" s="107">
        <f>IFERROR(DO50/DN50-1,"--")</f>
      </c>
      <c r="DP53" s="107">
        <f>IFERROR(DP50/DO50-1,"--")</f>
      </c>
      <c r="DQ53" s="107">
        <f>IFERROR(DQ50/DP50-1,"--")</f>
      </c>
      <c r="DR53" s="293"/>
      <c r="DS53" s="291">
        <f>IFERROR(DS50/DQ50-1,"--")</f>
      </c>
      <c r="DT53" s="107">
        <f>IFERROR(DT50/DS50-1,"--")</f>
      </c>
      <c r="DU53" s="107">
        <f>IFERROR(DU50/DT50-1,"--")</f>
      </c>
      <c r="DV53" s="107">
        <f>IFERROR(DV50/DU50-1,"--")</f>
      </c>
      <c r="DW53" s="293"/>
      <c r="DX53" s="291">
        <f>IFERROR(DX50/DV50-1,"--")</f>
      </c>
      <c r="DY53" s="107">
        <f>IFERROR(DY50/DX50-1,"--")</f>
      </c>
      <c r="DZ53" s="107">
        <f>IFERROR(DZ50/DY50-1,"--")</f>
      </c>
      <c r="EA53" s="107">
        <f>IFERROR(EA50/DZ50-1,"--")</f>
      </c>
      <c r="EB53" s="293"/>
      <c r="EC53" s="291">
        <f>IFERROR(EC50/EA50-1,"--")</f>
      </c>
      <c r="ED53" s="107">
        <f>IFERROR(ED50/EC50-1,"--")</f>
      </c>
      <c r="EE53" s="107">
        <f>IFERROR(EE50/ED50-1,"--")</f>
      </c>
      <c r="EF53" s="107">
        <f>IFERROR(EF50/EE50-1,"--")</f>
      </c>
      <c r="EG53" s="293"/>
      <c r="EH53" s="291">
        <f>IFERROR(EH50/EF50-1,"--")</f>
      </c>
      <c r="EI53" s="107">
        <f>IFERROR(EI50/EH50-1,"--")</f>
      </c>
      <c r="EJ53" s="107">
        <f>IFERROR(EJ50/EI50-1,"--")</f>
      </c>
      <c r="EK53" s="107">
        <f>IFERROR(EK50/EJ50-1,"--")</f>
      </c>
      <c r="EL53" s="293"/>
      <c r="EM53" s="291">
        <f>IFERROR(EM50/EK50-1,"--")</f>
      </c>
      <c r="EN53" s="107">
        <f>IFERROR(EN50/EM50-1,"--")</f>
      </c>
      <c r="EO53" s="107">
        <f>IFERROR(EO50/EN50-1,"--")</f>
      </c>
      <c r="EP53" s="107">
        <f>IFERROR(EP50/EO50-1,"--")</f>
      </c>
      <c r="EQ53" s="293"/>
      <c r="ER53" s="291">
        <f>IFERROR(ER50/EP50-1,"--")</f>
      </c>
      <c r="ES53" s="107">
        <f>IFERROR(ES50/ER50-1,"--")</f>
      </c>
      <c r="ET53" s="107">
        <f>IFERROR(ET50/ES50-1,"--")</f>
      </c>
      <c r="EU53" s="107">
        <f>IFERROR(EU50/ET50-1,"--")</f>
      </c>
      <c r="EV53" s="293"/>
      <c r="EW53" s="291"/>
      <c r="EX53" s="107"/>
      <c r="EY53" s="107"/>
      <c r="EZ53" s="107"/>
      <c r="FA53" s="293"/>
      <c r="FB53" s="291"/>
      <c r="FC53" s="107"/>
      <c r="FD53" s="107"/>
      <c r="FE53" s="107"/>
      <c r="FF53" s="293"/>
      <c r="FG53" s="291"/>
      <c r="FH53" s="107"/>
      <c r="FI53" s="107"/>
      <c r="FJ53" s="107"/>
      <c r="FK53" s="293"/>
      <c r="FL53" s="291"/>
      <c r="FM53" s="107"/>
      <c r="FN53" s="107"/>
      <c r="FO53" s="107"/>
      <c r="FP53" s="293"/>
      <c r="FQ53" s="291"/>
      <c r="FR53" s="107"/>
      <c r="FS53" s="107"/>
      <c r="FT53" s="107"/>
      <c r="FU53" s="293"/>
      <c r="FV53" s="291"/>
      <c r="FW53" s="107"/>
      <c r="FX53" s="107"/>
      <c r="FY53" s="107"/>
      <c r="FZ53" s="293"/>
      <c r="GA53" s="291"/>
      <c r="GB53" s="107"/>
      <c r="GC53" s="107"/>
      <c r="GD53" s="107"/>
      <c r="GE53" s="293"/>
      <c r="GF53" s="291"/>
      <c r="GG53" s="107"/>
      <c r="GH53" s="107"/>
      <c r="GI53" s="107"/>
      <c r="GJ53" s="293"/>
    </row>
    <row r="54" spans="1:192" ht="12.75" hidden="1" customHeight="1" outlineLevel="1">
      <c r="B54" s="727" t="s">
        <v>243</v>
      </c>
      <c r="C54" s="291"/>
      <c r="D54" s="107"/>
      <c r="E54" s="107"/>
      <c r="F54" s="107"/>
      <c r="G54" s="293"/>
      <c r="H54" s="291"/>
      <c r="I54" s="107"/>
      <c r="J54" s="107"/>
      <c r="K54" s="107"/>
      <c r="L54" s="293"/>
      <c r="M54" s="291"/>
      <c r="N54" s="107"/>
      <c r="O54" s="107"/>
      <c r="P54" s="107"/>
      <c r="Q54" s="293"/>
      <c r="R54" s="291"/>
      <c r="S54" s="107"/>
      <c r="T54" s="107"/>
      <c r="U54" s="107"/>
      <c r="V54" s="293"/>
      <c r="W54" s="291"/>
      <c r="X54" s="107"/>
      <c r="Y54" s="107"/>
      <c r="Z54" s="107"/>
      <c r="AA54" s="293"/>
      <c r="AB54" s="291"/>
      <c r="AC54" s="107"/>
      <c r="AD54" s="107"/>
      <c r="AE54" s="107"/>
      <c r="AF54" s="293"/>
      <c r="AG54" s="291"/>
      <c r="AH54" s="107"/>
      <c r="AI54" s="107"/>
      <c r="AJ54" s="107"/>
      <c r="AK54" s="293"/>
      <c r="AL54" s="291"/>
      <c r="AM54" s="107"/>
      <c r="AN54" s="107"/>
      <c r="AO54" s="107"/>
      <c r="AP54" s="293"/>
      <c r="AQ54" s="291"/>
      <c r="AR54" s="107"/>
      <c r="AS54" s="107"/>
      <c r="AT54" s="107"/>
      <c r="AU54" s="293"/>
      <c r="AV54" s="291"/>
      <c r="AW54" s="107"/>
      <c r="AX54" s="107"/>
      <c r="AY54" s="107"/>
      <c r="AZ54" s="293"/>
      <c r="BA54" s="291"/>
      <c r="BB54" s="107"/>
      <c r="BC54" s="107"/>
      <c r="BD54" s="107"/>
      <c r="BE54" s="293"/>
      <c r="BF54" s="291"/>
      <c r="BG54" s="107"/>
      <c r="BH54" s="107"/>
      <c r="BI54" s="107"/>
      <c r="BJ54" s="293"/>
      <c r="BK54" s="291"/>
      <c r="BL54" s="107"/>
      <c r="BM54" s="107"/>
      <c r="BN54" s="107"/>
      <c r="BO54" s="293"/>
      <c r="BP54" s="291"/>
      <c r="BQ54" s="107"/>
      <c r="BR54" s="107"/>
      <c r="BS54" s="107"/>
      <c r="BT54" s="293"/>
      <c r="BU54" s="291"/>
      <c r="BV54" s="107"/>
      <c r="BW54" s="107"/>
      <c r="BX54" s="107"/>
      <c r="BY54" s="293"/>
      <c r="BZ54" s="291"/>
      <c r="CA54" s="107"/>
      <c r="CB54" s="107"/>
      <c r="CC54" s="107"/>
      <c r="CD54" s="293"/>
      <c r="CE54" s="291"/>
      <c r="CF54" s="107"/>
      <c r="CG54" s="107"/>
      <c r="CH54" s="107"/>
      <c r="CI54" s="293"/>
      <c r="CJ54" s="291"/>
      <c r="CK54" s="107"/>
      <c r="CL54" s="107"/>
      <c r="CM54" s="107"/>
      <c r="CN54" s="293"/>
      <c r="CO54" s="291"/>
      <c r="CP54" s="107"/>
      <c r="CQ54" s="107"/>
      <c r="CR54" s="107"/>
      <c r="CS54" s="293"/>
      <c r="CT54" s="291"/>
      <c r="CU54" s="107"/>
      <c r="CV54" s="107"/>
      <c r="CW54" s="107"/>
      <c r="CX54" s="293"/>
      <c r="CY54" s="447"/>
      <c r="CZ54" s="447"/>
      <c r="DA54" s="447"/>
      <c r="DB54" s="458"/>
      <c r="DC54" s="466"/>
      <c r="DD54" s="447">
        <f t="shared" ref="DD54:EK54" si="54">DD50-CY50</f>
      </c>
      <c r="DE54" s="447">
        <f t="shared" si="54"/>
      </c>
      <c r="DF54" s="447">
        <f t="shared" si="54"/>
      </c>
      <c r="DG54" s="458">
        <f t="shared" si="54"/>
      </c>
      <c r="DH54" s="466">
        <f t="shared" si="54"/>
      </c>
      <c r="DI54" s="447">
        <f t="shared" si="54"/>
      </c>
      <c r="DJ54" s="447">
        <f t="shared" si="54"/>
      </c>
      <c r="DK54" s="447">
        <f t="shared" si="54"/>
      </c>
      <c r="DL54" s="458">
        <f t="shared" si="54"/>
      </c>
      <c r="DM54" s="466">
        <f t="shared" si="54"/>
      </c>
      <c r="DN54" s="447">
        <f t="shared" si="54"/>
      </c>
      <c r="DO54" s="447">
        <f t="shared" si="54"/>
      </c>
      <c r="DP54" s="447">
        <f t="shared" si="54"/>
      </c>
      <c r="DQ54" s="458">
        <f t="shared" si="54"/>
      </c>
      <c r="DR54" s="466">
        <f t="shared" si="54"/>
      </c>
      <c r="DS54" s="447">
        <f t="shared" si="54"/>
      </c>
      <c r="DT54" s="447">
        <f t="shared" si="54"/>
      </c>
      <c r="DU54" s="447">
        <f t="shared" si="54"/>
      </c>
      <c r="DV54" s="458">
        <f t="shared" si="54"/>
      </c>
      <c r="DW54" s="466">
        <f t="shared" si="54"/>
      </c>
      <c r="DX54" s="447">
        <f t="shared" si="54"/>
      </c>
      <c r="DY54" s="447">
        <f t="shared" si="54"/>
      </c>
      <c r="DZ54" s="447">
        <f t="shared" si="54"/>
      </c>
      <c r="EA54" s="458">
        <f t="shared" si="54"/>
      </c>
      <c r="EB54" s="466">
        <f t="shared" si="54"/>
      </c>
      <c r="EC54" s="447">
        <f t="shared" si="54"/>
      </c>
      <c r="ED54" s="447">
        <f t="shared" si="54"/>
      </c>
      <c r="EE54" s="447">
        <f t="shared" si="54"/>
      </c>
      <c r="EF54" s="458">
        <f t="shared" si="54"/>
      </c>
      <c r="EG54" s="466">
        <f t="shared" si="54"/>
      </c>
      <c r="EH54" s="447">
        <f t="shared" si="54"/>
      </c>
      <c r="EI54" s="447">
        <f t="shared" si="54"/>
      </c>
      <c r="EJ54" s="447">
        <f t="shared" si="54"/>
      </c>
      <c r="EK54" s="458">
        <f t="shared" si="54"/>
      </c>
      <c r="EL54" s="466">
        <v>15200</v>
      </c>
      <c r="EM54" s="447">
        <f t="shared" ref="EM54:EV54" si="55">EM50-EH50</f>
      </c>
      <c r="EN54" s="447">
        <f t="shared" si="55"/>
      </c>
      <c r="EO54" s="511">
        <f t="shared" si="55"/>
      </c>
      <c r="EP54" s="458">
        <f t="shared" si="55"/>
      </c>
      <c r="EQ54" s="466">
        <f t="shared" si="55"/>
      </c>
      <c r="ER54" s="447">
        <f t="shared" si="55"/>
      </c>
      <c r="ES54" s="458">
        <f t="shared" si="55"/>
      </c>
      <c r="ET54" s="511">
        <f t="shared" si="55"/>
      </c>
      <c r="EU54" s="458">
        <f t="shared" si="55"/>
      </c>
      <c r="EV54" s="459">
        <f t="shared" si="55"/>
      </c>
      <c r="EW54" s="447"/>
      <c r="EX54" s="458"/>
      <c r="EY54" s="458"/>
      <c r="EZ54" s="458"/>
      <c r="FA54" s="459"/>
      <c r="FB54" s="447"/>
      <c r="FC54" s="458"/>
      <c r="FD54" s="458"/>
      <c r="FE54" s="458"/>
      <c r="FF54" s="459"/>
      <c r="FG54" s="447"/>
      <c r="FH54" s="458"/>
      <c r="FI54" s="458"/>
      <c r="FJ54" s="458"/>
      <c r="FK54" s="459"/>
      <c r="FL54" s="447"/>
      <c r="FM54" s="458"/>
      <c r="FN54" s="458"/>
      <c r="FO54" s="458"/>
      <c r="FP54" s="459"/>
      <c r="FQ54" s="447"/>
      <c r="FR54" s="458"/>
      <c r="FS54" s="458"/>
      <c r="FT54" s="458"/>
      <c r="FU54" s="459"/>
      <c r="FV54" s="447"/>
      <c r="FW54" s="458"/>
      <c r="FX54" s="458"/>
      <c r="FY54" s="458"/>
      <c r="FZ54" s="459"/>
      <c r="GA54" s="447"/>
      <c r="GB54" s="458"/>
      <c r="GC54" s="458"/>
      <c r="GD54" s="458"/>
      <c r="GE54" s="459"/>
      <c r="GF54" s="447"/>
      <c r="GG54" s="458"/>
      <c r="GH54" s="458"/>
      <c r="GI54" s="458"/>
      <c r="GJ54" s="459"/>
    </row>
    <row r="55" spans="1:192" ht="12.75" hidden="1" customHeight="1" outlineLevel="1">
      <c r="B55" s="727" t="s">
        <v>244</v>
      </c>
      <c r="C55" s="291"/>
      <c r="D55" s="107"/>
      <c r="E55" s="107"/>
      <c r="F55" s="107"/>
      <c r="G55" s="293"/>
      <c r="H55" s="291"/>
      <c r="I55" s="107"/>
      <c r="J55" s="107"/>
      <c r="K55" s="107"/>
      <c r="L55" s="293"/>
      <c r="M55" s="291"/>
      <c r="N55" s="107"/>
      <c r="O55" s="107"/>
      <c r="P55" s="107"/>
      <c r="Q55" s="293"/>
      <c r="R55" s="291"/>
      <c r="S55" s="107"/>
      <c r="T55" s="107"/>
      <c r="U55" s="107"/>
      <c r="V55" s="293"/>
      <c r="W55" s="291"/>
      <c r="X55" s="107"/>
      <c r="Y55" s="107"/>
      <c r="Z55" s="107"/>
      <c r="AA55" s="293"/>
      <c r="AB55" s="291"/>
      <c r="AC55" s="107"/>
      <c r="AD55" s="107"/>
      <c r="AE55" s="107"/>
      <c r="AF55" s="293"/>
      <c r="AG55" s="291"/>
      <c r="AH55" s="107"/>
      <c r="AI55" s="107"/>
      <c r="AJ55" s="107"/>
      <c r="AK55" s="293"/>
      <c r="AL55" s="291"/>
      <c r="AM55" s="107"/>
      <c r="AN55" s="107"/>
      <c r="AO55" s="107"/>
      <c r="AP55" s="293"/>
      <c r="AQ55" s="291"/>
      <c r="AR55" s="107"/>
      <c r="AS55" s="107"/>
      <c r="AT55" s="107"/>
      <c r="AU55" s="293"/>
      <c r="AV55" s="291"/>
      <c r="AW55" s="107"/>
      <c r="AX55" s="107"/>
      <c r="AY55" s="107"/>
      <c r="AZ55" s="293"/>
      <c r="BA55" s="291"/>
      <c r="BB55" s="107"/>
      <c r="BC55" s="107"/>
      <c r="BD55" s="107"/>
      <c r="BE55" s="293"/>
      <c r="BF55" s="291"/>
      <c r="BG55" s="107"/>
      <c r="BH55" s="107"/>
      <c r="BI55" s="107"/>
      <c r="BJ55" s="293"/>
      <c r="BK55" s="291"/>
      <c r="BL55" s="107"/>
      <c r="BM55" s="107"/>
      <c r="BN55" s="107"/>
      <c r="BO55" s="293"/>
      <c r="BP55" s="291"/>
      <c r="BQ55" s="107"/>
      <c r="BR55" s="107"/>
      <c r="BS55" s="107"/>
      <c r="BT55" s="293"/>
      <c r="BU55" s="291"/>
      <c r="BV55" s="107"/>
      <c r="BW55" s="107"/>
      <c r="BX55" s="107"/>
      <c r="BY55" s="293"/>
      <c r="BZ55" s="291"/>
      <c r="CA55" s="107"/>
      <c r="CB55" s="107"/>
      <c r="CC55" s="107"/>
      <c r="CD55" s="293"/>
      <c r="CE55" s="291"/>
      <c r="CF55" s="107"/>
      <c r="CG55" s="107"/>
      <c r="CH55" s="107"/>
      <c r="CI55" s="293"/>
      <c r="CJ55" s="291"/>
      <c r="CK55" s="107"/>
      <c r="CL55" s="107"/>
      <c r="CM55" s="107"/>
      <c r="CN55" s="293"/>
      <c r="CO55" s="291"/>
      <c r="CP55" s="107"/>
      <c r="CQ55" s="107"/>
      <c r="CR55" s="107"/>
      <c r="CS55" s="293"/>
      <c r="CT55" s="291"/>
      <c r="CU55" s="107"/>
      <c r="CV55" s="107"/>
      <c r="CW55" s="107"/>
      <c r="CX55" s="293"/>
      <c r="CY55" s="447"/>
      <c r="CZ55" s="447">
        <f>CZ50-CY50</f>
      </c>
      <c r="DA55" s="447">
        <f>DA50-CZ50</f>
      </c>
      <c r="DB55" s="447">
        <f>DB50-DA50</f>
      </c>
      <c r="DC55" s="293"/>
      <c r="DD55" s="447">
        <f>DD50-DB50</f>
      </c>
      <c r="DE55" s="447">
        <f>DE50-DD50</f>
      </c>
      <c r="DF55" s="447">
        <f>DF50-DE50</f>
      </c>
      <c r="DG55" s="447">
        <f>DG50-DF50</f>
      </c>
      <c r="DH55" s="293"/>
      <c r="DI55" s="447">
        <f>DI50-DG50</f>
      </c>
      <c r="DJ55" s="447">
        <f>DJ50-DI50</f>
      </c>
      <c r="DK55" s="447">
        <f>DK50-DJ50</f>
      </c>
      <c r="DL55" s="447">
        <f>DL50-DK50</f>
      </c>
      <c r="DM55" s="293"/>
      <c r="DN55" s="447">
        <f>DN50-DL50</f>
      </c>
      <c r="DO55" s="447">
        <f>DO50-DN50</f>
      </c>
      <c r="DP55" s="447">
        <f>DP50-DO50</f>
      </c>
      <c r="DQ55" s="447">
        <f>DQ50-DP50</f>
      </c>
      <c r="DR55" s="293"/>
      <c r="DS55" s="447">
        <f>DS50-DQ50</f>
      </c>
      <c r="DT55" s="447">
        <f>DT50-DS50</f>
      </c>
      <c r="DU55" s="447">
        <f>DU50-DT50</f>
      </c>
      <c r="DV55" s="447">
        <f>DV50-DU50</f>
      </c>
      <c r="DW55" s="293"/>
      <c r="DX55" s="447">
        <f>DX50-DV50</f>
      </c>
      <c r="DY55" s="447">
        <f>DY50-DX50</f>
      </c>
      <c r="DZ55" s="447">
        <f>DZ50-DY50</f>
      </c>
      <c r="EA55" s="447">
        <f>EA50-DZ50</f>
      </c>
      <c r="EB55" s="293"/>
      <c r="EC55" s="447">
        <f>EC50-EA50</f>
      </c>
      <c r="ED55" s="447">
        <f>ED50-EC50</f>
      </c>
      <c r="EE55" s="447">
        <f>EE50-ED50</f>
      </c>
      <c r="EF55" s="447">
        <f>EF50-EE50</f>
      </c>
      <c r="EG55" s="293"/>
      <c r="EH55" s="447">
        <f>EH50-EF50</f>
      </c>
      <c r="EI55" s="447">
        <f>EI50-EH50</f>
      </c>
      <c r="EJ55" s="447">
        <f>EJ50-EI50</f>
      </c>
      <c r="EK55" s="447">
        <f>EK50-EJ50</f>
      </c>
      <c r="EL55" s="293"/>
      <c r="EM55" s="447">
        <f>EM50-EK50</f>
      </c>
      <c r="EN55" s="447">
        <f>EN50-EM50</f>
      </c>
      <c r="EO55" s="447">
        <f>EO50-EN50</f>
      </c>
      <c r="EP55" s="447">
        <f>EP50-EO50</f>
      </c>
      <c r="EQ55" s="293"/>
      <c r="ER55" s="447">
        <f>ER50-EP50</f>
      </c>
      <c r="ES55" s="458">
        <f>ES50-ER50</f>
      </c>
      <c r="ET55" s="447">
        <f>ET50-ES50</f>
      </c>
      <c r="EU55" s="447">
        <f>EU50-ET50</f>
      </c>
      <c r="EV55" s="459"/>
      <c r="EW55" s="447"/>
      <c r="EX55" s="458"/>
      <c r="EY55" s="458"/>
      <c r="EZ55" s="458"/>
      <c r="FA55" s="459"/>
      <c r="FB55" s="447"/>
      <c r="FC55" s="458"/>
      <c r="FD55" s="458"/>
      <c r="FE55" s="458"/>
      <c r="FF55" s="459"/>
      <c r="FG55" s="447"/>
      <c r="FH55" s="458"/>
      <c r="FI55" s="458"/>
      <c r="FJ55" s="458"/>
      <c r="FK55" s="459"/>
      <c r="FL55" s="447"/>
      <c r="FM55" s="458"/>
      <c r="FN55" s="458"/>
      <c r="FO55" s="458"/>
      <c r="FP55" s="459"/>
      <c r="FQ55" s="447"/>
      <c r="FR55" s="458"/>
      <c r="FS55" s="458"/>
      <c r="FT55" s="458"/>
      <c r="FU55" s="459"/>
      <c r="FV55" s="447"/>
      <c r="FW55" s="458"/>
      <c r="FX55" s="458"/>
      <c r="FY55" s="458"/>
      <c r="FZ55" s="459"/>
      <c r="GA55" s="447"/>
      <c r="GB55" s="458"/>
      <c r="GC55" s="458"/>
      <c r="GD55" s="458"/>
      <c r="GE55" s="459"/>
      <c r="GF55" s="447"/>
      <c r="GG55" s="458"/>
      <c r="GH55" s="458"/>
      <c r="GI55" s="458"/>
      <c r="GJ55" s="459"/>
    </row>
    <row r="56" spans="1:192" ht="12.75" hidden="1" customHeight="1" outlineLevel="1">
      <c r="B56" s="727" t="s">
        <v>257</v>
      </c>
      <c r="C56" s="291"/>
      <c r="D56" s="107"/>
      <c r="E56" s="107"/>
      <c r="F56" s="107"/>
      <c r="G56" s="293"/>
      <c r="H56" s="291"/>
      <c r="I56" s="107"/>
      <c r="J56" s="107"/>
      <c r="K56" s="107"/>
      <c r="L56" s="293"/>
      <c r="M56" s="291"/>
      <c r="N56" s="107"/>
      <c r="O56" s="107"/>
      <c r="P56" s="107"/>
      <c r="Q56" s="293"/>
      <c r="R56" s="291"/>
      <c r="S56" s="107"/>
      <c r="T56" s="107"/>
      <c r="U56" s="107"/>
      <c r="V56" s="293"/>
      <c r="W56" s="291"/>
      <c r="X56" s="107"/>
      <c r="Y56" s="107"/>
      <c r="Z56" s="107"/>
      <c r="AA56" s="293"/>
      <c r="AB56" s="291"/>
      <c r="AC56" s="107"/>
      <c r="AD56" s="107"/>
      <c r="AE56" s="107"/>
      <c r="AF56" s="293"/>
      <c r="AG56" s="291"/>
      <c r="AH56" s="107"/>
      <c r="AI56" s="107"/>
      <c r="AJ56" s="107"/>
      <c r="AK56" s="293"/>
      <c r="AL56" s="291"/>
      <c r="AM56" s="107"/>
      <c r="AN56" s="107"/>
      <c r="AO56" s="107"/>
      <c r="AP56" s="293"/>
      <c r="AQ56" s="291"/>
      <c r="AR56" s="107"/>
      <c r="AS56" s="107"/>
      <c r="AT56" s="107"/>
      <c r="AU56" s="293"/>
      <c r="AV56" s="291"/>
      <c r="AW56" s="107"/>
      <c r="AX56" s="107"/>
      <c r="AY56" s="107"/>
      <c r="AZ56" s="293"/>
      <c r="BA56" s="291"/>
      <c r="BB56" s="107"/>
      <c r="BC56" s="107"/>
      <c r="BD56" s="107"/>
      <c r="BE56" s="293"/>
      <c r="BF56" s="291"/>
      <c r="BG56" s="107"/>
      <c r="BH56" s="107"/>
      <c r="BI56" s="107"/>
      <c r="BJ56" s="293"/>
      <c r="BK56" s="291"/>
      <c r="BL56" s="107"/>
      <c r="BM56" s="107"/>
      <c r="BN56" s="107"/>
      <c r="BO56" s="293"/>
      <c r="BP56" s="291"/>
      <c r="BQ56" s="107"/>
      <c r="BR56" s="107"/>
      <c r="BS56" s="107"/>
      <c r="BT56" s="293"/>
      <c r="BU56" s="291"/>
      <c r="BV56" s="107"/>
      <c r="BW56" s="107"/>
      <c r="BX56" s="107"/>
      <c r="BY56" s="293"/>
      <c r="BZ56" s="291"/>
      <c r="CA56" s="107"/>
      <c r="CB56" s="107"/>
      <c r="CC56" s="107"/>
      <c r="CD56" s="293"/>
      <c r="CE56" s="291"/>
      <c r="CF56" s="107"/>
      <c r="CG56" s="107"/>
      <c r="CH56" s="107"/>
      <c r="CI56" s="293"/>
      <c r="CJ56" s="291"/>
      <c r="CK56" s="107"/>
      <c r="CL56" s="107"/>
      <c r="CM56" s="107"/>
      <c r="CN56" s="293"/>
      <c r="CO56" s="291"/>
      <c r="CP56" s="107"/>
      <c r="CQ56" s="107"/>
      <c r="CR56" s="107"/>
      <c r="CS56" s="293"/>
      <c r="CT56" s="291"/>
      <c r="CU56" s="107"/>
      <c r="CV56" s="107"/>
      <c r="CW56" s="107"/>
      <c r="CX56" s="293"/>
      <c r="CY56" s="291">
        <f>CY50/IS!CY24</f>
      </c>
      <c r="CZ56" s="107">
        <f>CZ50/IS!CZ24</f>
      </c>
      <c r="DA56" s="107">
        <f>DA50/IS!DA24</f>
      </c>
      <c r="DB56" s="107">
        <f>DB50/IS!DB24</f>
      </c>
      <c r="DC56" s="293">
        <f>DC50/IS!DC24</f>
      </c>
      <c r="DD56" s="291">
        <f>DD50/IS!DD24</f>
      </c>
      <c r="DE56" s="107">
        <f>DE50/IS!DE24</f>
      </c>
      <c r="DF56" s="107">
        <f>DF50/IS!DF24</f>
      </c>
      <c r="DG56" s="107">
        <f>DG50/IS!DG24</f>
      </c>
      <c r="DH56" s="293">
        <f>DH50/IS!DH24</f>
      </c>
      <c r="DI56" s="291">
        <f>DI50/IS!DI24</f>
      </c>
      <c r="DJ56" s="107">
        <f>DJ50/IS!DJ24</f>
      </c>
      <c r="DK56" s="107">
        <f>DK50/IS!DK24</f>
      </c>
      <c r="DL56" s="107">
        <f>DL50/IS!DL24</f>
      </c>
      <c r="DM56" s="293">
        <f>DM50/IS!DM24</f>
      </c>
      <c r="DN56" s="291">
        <f>DN50/IS!DN24</f>
      </c>
      <c r="DO56" s="107">
        <f>DO50/IS!DO24</f>
      </c>
      <c r="DP56" s="107">
        <f>DP50/IS!DP24</f>
      </c>
      <c r="DQ56" s="107">
        <f>DQ50/IS!DQ24</f>
      </c>
      <c r="DR56" s="293">
        <f>DR50/IS!DR24</f>
      </c>
      <c r="DS56" s="291">
        <f>DS50/IS!DS24</f>
      </c>
      <c r="DT56" s="107">
        <f>DT50/IS!DT24</f>
      </c>
      <c r="DU56" s="107">
        <f>DU50/IS!DU24</f>
      </c>
      <c r="DV56" s="107">
        <f>DV50/IS!DV24</f>
      </c>
      <c r="DW56" s="293">
        <f>DW50/IS!DW24</f>
      </c>
      <c r="DX56" s="291">
        <f>DX50/IS!DX24</f>
      </c>
      <c r="DY56" s="107">
        <f>DY50/IS!DY24</f>
      </c>
      <c r="DZ56" s="107">
        <f>DZ50/IS!DZ24</f>
      </c>
      <c r="EA56" s="107">
        <f>EA50/IS!EA24</f>
      </c>
      <c r="EB56" s="293">
        <f>EB50/IS!EB24</f>
      </c>
      <c r="EC56" s="291">
        <f>EC50/IS!EC24</f>
      </c>
      <c r="ED56" s="107">
        <f>ED50/IS!ED24</f>
      </c>
      <c r="EE56" s="107">
        <f>EE50/IS!EE24</f>
      </c>
      <c r="EF56" s="107">
        <f>EF50/IS!EF24</f>
      </c>
      <c r="EG56" s="293">
        <f>EG50/IS!EG24</f>
      </c>
      <c r="EH56" s="291">
        <f>EH50/IS!EH24</f>
      </c>
      <c r="EI56" s="107">
        <f>EI50/IS!EI24</f>
      </c>
      <c r="EJ56" s="107">
        <f>EJ50/IS!EJ24</f>
      </c>
      <c r="EK56" s="107">
        <f>EK50/IS!EK24</f>
      </c>
      <c r="EL56" s="293">
        <f>EL50/IS!EL24</f>
      </c>
      <c r="EM56" s="291">
        <f>EM50/IS!EM24</f>
      </c>
      <c r="EN56" s="107">
        <f>EN50/IS!EN24</f>
      </c>
      <c r="EO56" s="107">
        <f>EO50/IS!EO24</f>
      </c>
      <c r="EP56" s="107">
        <f>EP50/IS!EP24</f>
      </c>
      <c r="EQ56" s="293">
        <f>EQ50/IS!EQ24</f>
      </c>
      <c r="ER56" s="291">
        <f>ER50/IS!ER24</f>
      </c>
      <c r="ES56" s="107">
        <f>ES50/IS!ES24</f>
      </c>
      <c r="ET56" s="107">
        <f>ET50/IS!ET24</f>
      </c>
      <c r="EU56" s="107">
        <f>EU50/IS!EU24</f>
      </c>
      <c r="EV56" s="293">
        <f>EV50/IS!EV24</f>
      </c>
      <c r="EW56" s="291"/>
      <c r="EX56" s="107"/>
      <c r="EY56" s="107"/>
      <c r="EZ56" s="107"/>
      <c r="FA56" s="293"/>
      <c r="FB56" s="291"/>
      <c r="FC56" s="107"/>
      <c r="FD56" s="107"/>
      <c r="FE56" s="107"/>
      <c r="FF56" s="293"/>
      <c r="FG56" s="291"/>
      <c r="FH56" s="107"/>
      <c r="FI56" s="107"/>
      <c r="FJ56" s="107"/>
      <c r="FK56" s="293"/>
      <c r="FL56" s="291"/>
      <c r="FM56" s="107"/>
      <c r="FN56" s="107"/>
      <c r="FO56" s="107"/>
      <c r="FP56" s="293"/>
      <c r="FQ56" s="291"/>
      <c r="FR56" s="107"/>
      <c r="FS56" s="107"/>
      <c r="FT56" s="107"/>
      <c r="FU56" s="293"/>
      <c r="FV56" s="291"/>
      <c r="FW56" s="107"/>
      <c r="FX56" s="107"/>
      <c r="FY56" s="107"/>
      <c r="FZ56" s="293"/>
      <c r="GA56" s="291"/>
      <c r="GB56" s="107"/>
      <c r="GC56" s="107"/>
      <c r="GD56" s="107"/>
      <c r="GE56" s="293"/>
      <c r="GF56" s="291"/>
      <c r="GG56" s="107"/>
      <c r="GH56" s="107"/>
      <c r="GI56" s="107"/>
      <c r="GJ56" s="293"/>
    </row>
    <row r="57" spans="1:192" ht="12.75" hidden="1" customHeight="1" outlineLevel="1">
      <c r="B57" s="729"/>
      <c r="C57" s="294"/>
      <c r="D57" s="295"/>
      <c r="E57" s="295"/>
      <c r="F57" s="295"/>
      <c r="G57" s="296"/>
      <c r="H57" s="294"/>
      <c r="I57" s="295"/>
      <c r="J57" s="295"/>
      <c r="K57" s="295"/>
      <c r="L57" s="296"/>
      <c r="M57" s="294"/>
      <c r="N57" s="295"/>
      <c r="O57" s="295"/>
      <c r="P57" s="295"/>
      <c r="Q57" s="296"/>
      <c r="R57" s="294"/>
      <c r="S57" s="295"/>
      <c r="T57" s="295"/>
      <c r="U57" s="295"/>
      <c r="V57" s="296"/>
      <c r="W57" s="294"/>
      <c r="X57" s="295"/>
      <c r="Y57" s="295"/>
      <c r="Z57" s="295"/>
      <c r="AA57" s="296"/>
      <c r="AB57" s="294"/>
      <c r="AC57" s="295"/>
      <c r="AD57" s="295"/>
      <c r="AE57" s="295"/>
      <c r="AF57" s="296"/>
      <c r="AG57" s="294"/>
      <c r="AH57" s="295"/>
      <c r="AI57" s="295"/>
      <c r="AJ57" s="295"/>
      <c r="AK57" s="296"/>
      <c r="AL57" s="294"/>
      <c r="AM57" s="295"/>
      <c r="AN57" s="295"/>
      <c r="AO57" s="295"/>
      <c r="AP57" s="296"/>
      <c r="AQ57" s="294"/>
      <c r="AR57" s="295"/>
      <c r="AS57" s="295"/>
      <c r="AT57" s="295"/>
      <c r="AU57" s="296"/>
      <c r="AV57" s="294"/>
      <c r="AW57" s="295"/>
      <c r="AX57" s="295"/>
      <c r="AY57" s="295"/>
      <c r="AZ57" s="296"/>
      <c r="BA57" s="294"/>
      <c r="BB57" s="295"/>
      <c r="BC57" s="295"/>
      <c r="BD57" s="295"/>
      <c r="BE57" s="296"/>
      <c r="BF57" s="294"/>
      <c r="BG57" s="295"/>
      <c r="BH57" s="295"/>
      <c r="BI57" s="295"/>
      <c r="BJ57" s="296"/>
      <c r="BK57" s="294"/>
      <c r="BL57" s="295"/>
      <c r="BM57" s="295"/>
      <c r="BN57" s="295"/>
      <c r="BO57" s="296"/>
      <c r="BP57" s="294"/>
      <c r="BQ57" s="295"/>
      <c r="BR57" s="295"/>
      <c r="BS57" s="295"/>
      <c r="BT57" s="296"/>
      <c r="BU57" s="294"/>
      <c r="BV57" s="295"/>
      <c r="BW57" s="295"/>
      <c r="BX57" s="295"/>
      <c r="BY57" s="296"/>
      <c r="BZ57" s="294"/>
      <c r="CA57" s="295"/>
      <c r="CB57" s="295"/>
      <c r="CC57" s="295"/>
      <c r="CD57" s="296"/>
      <c r="CE57" s="294"/>
      <c r="CF57" s="295"/>
      <c r="CG57" s="295"/>
      <c r="CH57" s="295"/>
      <c r="CI57" s="296"/>
      <c r="CJ57" s="294"/>
      <c r="CK57" s="295"/>
      <c r="CL57" s="295"/>
      <c r="CM57" s="295"/>
      <c r="CN57" s="296"/>
      <c r="CO57" s="294"/>
      <c r="CP57" s="295"/>
      <c r="CQ57" s="295"/>
      <c r="CR57" s="295"/>
      <c r="CS57" s="296"/>
      <c r="CT57" s="294"/>
      <c r="CU57" s="295"/>
      <c r="CV57" s="295"/>
      <c r="CW57" s="295"/>
      <c r="CX57" s="296"/>
      <c r="CY57" s="294"/>
      <c r="CZ57" s="295"/>
      <c r="DA57" s="295"/>
      <c r="DB57" s="295"/>
      <c r="DC57" s="296"/>
      <c r="DD57" s="294"/>
      <c r="DE57" s="295"/>
      <c r="DF57" s="295"/>
      <c r="DG57" s="295"/>
      <c r="DH57" s="296"/>
      <c r="DI57" s="294"/>
      <c r="DJ57" s="295"/>
      <c r="DK57" s="295"/>
      <c r="DL57" s="295"/>
      <c r="DM57" s="296"/>
      <c r="DN57" s="294"/>
      <c r="DO57" s="295"/>
      <c r="DP57" s="295"/>
      <c r="DQ57" s="295"/>
      <c r="DR57" s="296"/>
      <c r="DS57" s="294"/>
      <c r="DT57" s="295"/>
      <c r="DU57" s="295"/>
      <c r="DV57" s="295"/>
      <c r="DW57" s="296"/>
      <c r="DX57" s="294"/>
      <c r="DY57" s="295"/>
      <c r="DZ57" s="295"/>
      <c r="EA57" s="295"/>
      <c r="EB57" s="296"/>
      <c r="EC57" s="294"/>
      <c r="ED57" s="295"/>
      <c r="EE57" s="295"/>
      <c r="EF57" s="295"/>
      <c r="EG57" s="296"/>
      <c r="EH57" s="294"/>
      <c r="EI57" s="295"/>
      <c r="EJ57" s="295"/>
      <c r="EK57" s="295"/>
      <c r="EL57" s="296"/>
      <c r="EM57" s="294"/>
      <c r="EN57" s="295"/>
      <c r="EO57" s="295"/>
      <c r="EP57" s="295"/>
      <c r="EQ57" s="296"/>
      <c r="ER57" s="294"/>
      <c r="ES57" s="295"/>
      <c r="ET57" s="295"/>
      <c r="EU57" s="295"/>
      <c r="EV57" s="296"/>
      <c r="EW57" s="294"/>
      <c r="EX57" s="295"/>
      <c r="EY57" s="295"/>
      <c r="EZ57" s="295"/>
      <c r="FA57" s="296"/>
      <c r="FB57" s="294"/>
      <c r="FC57" s="295"/>
      <c r="FD57" s="295"/>
      <c r="FE57" s="295"/>
      <c r="FF57" s="296"/>
      <c r="FG57" s="294"/>
      <c r="FH57" s="295"/>
      <c r="FI57" s="295"/>
      <c r="FJ57" s="295"/>
      <c r="FK57" s="296"/>
      <c r="FL57" s="294"/>
      <c r="FM57" s="295"/>
      <c r="FN57" s="295"/>
      <c r="FO57" s="295"/>
      <c r="FP57" s="296"/>
      <c r="FQ57" s="294"/>
      <c r="FR57" s="295"/>
      <c r="FS57" s="295"/>
      <c r="FT57" s="295"/>
      <c r="FU57" s="296"/>
      <c r="FV57" s="294"/>
      <c r="FW57" s="295"/>
      <c r="FX57" s="295"/>
      <c r="FY57" s="295"/>
      <c r="FZ57" s="296"/>
      <c r="GA57" s="294"/>
      <c r="GB57" s="295"/>
      <c r="GC57" s="295"/>
      <c r="GD57" s="295"/>
      <c r="GE57" s="296"/>
      <c r="GF57" s="294"/>
      <c r="GG57" s="295"/>
      <c r="GH57" s="295"/>
      <c r="GI57" s="295"/>
      <c r="GJ57" s="296"/>
    </row>
    <row r="58" spans="1:192" s="317" customFormat="1" ht="12.75" hidden="1" customHeight="1" outlineLevel="1" collapsed="1">
      <c r="A58" s="280"/>
      <c r="B58" s="730" t="s">
        <v>1997</v>
      </c>
      <c r="C58" s="315"/>
      <c r="D58" s="315"/>
      <c r="E58" s="315"/>
      <c r="F58" s="315"/>
      <c r="G58" s="313"/>
      <c r="H58" s="315"/>
      <c r="I58" s="315"/>
      <c r="J58" s="315"/>
      <c r="K58" s="315"/>
      <c r="L58" s="313"/>
      <c r="M58" s="315"/>
      <c r="N58" s="315"/>
      <c r="O58" s="315"/>
      <c r="P58" s="315"/>
      <c r="Q58" s="313"/>
      <c r="R58" s="315"/>
      <c r="S58" s="315"/>
      <c r="T58" s="315"/>
      <c r="U58" s="315"/>
      <c r="V58" s="313"/>
      <c r="W58" s="315"/>
      <c r="X58" s="315"/>
      <c r="Y58" s="315"/>
      <c r="Z58" s="315"/>
      <c r="AA58" s="313"/>
      <c r="AB58" s="315"/>
      <c r="AC58" s="315"/>
      <c r="AD58" s="315"/>
      <c r="AE58" s="315"/>
      <c r="AF58" s="313"/>
      <c r="AG58" s="315"/>
      <c r="AH58" s="315"/>
      <c r="AI58" s="315"/>
      <c r="AJ58" s="315"/>
      <c r="AK58" s="313"/>
      <c r="AL58" s="315"/>
      <c r="AM58" s="315"/>
      <c r="AN58" s="315"/>
      <c r="AO58" s="315"/>
      <c r="AP58" s="313"/>
      <c r="AQ58" s="315"/>
      <c r="AR58" s="315"/>
      <c r="AS58" s="315"/>
      <c r="AT58" s="315"/>
      <c r="AU58" s="313"/>
      <c r="AV58" s="315"/>
      <c r="AW58" s="315"/>
      <c r="AX58" s="315"/>
      <c r="AY58" s="315"/>
      <c r="AZ58" s="313"/>
      <c r="BA58" s="315"/>
      <c r="BB58" s="315"/>
      <c r="BC58" s="315"/>
      <c r="BD58" s="315"/>
      <c r="BE58" s="313"/>
      <c r="BF58" s="315"/>
      <c r="BG58" s="315"/>
      <c r="BH58" s="315"/>
      <c r="BI58" s="315"/>
      <c r="BJ58" s="313"/>
      <c r="BK58" s="315"/>
      <c r="BL58" s="315"/>
      <c r="BM58" s="315"/>
      <c r="BN58" s="315"/>
      <c r="BO58" s="313"/>
      <c r="BP58" s="315"/>
      <c r="BQ58" s="315"/>
      <c r="BR58" s="315"/>
      <c r="BS58" s="315"/>
      <c r="BT58" s="313"/>
      <c r="BU58" s="315"/>
      <c r="BV58" s="315"/>
      <c r="BW58" s="315"/>
      <c r="BX58" s="315"/>
      <c r="BY58" s="313"/>
      <c r="BZ58" s="315"/>
      <c r="CA58" s="315"/>
      <c r="CB58" s="315"/>
      <c r="CC58" s="315"/>
      <c r="CD58" s="319"/>
      <c r="CE58" s="315"/>
      <c r="CF58" s="315"/>
      <c r="CG58" s="315"/>
      <c r="CH58" s="315"/>
      <c r="CI58" s="319"/>
      <c r="CJ58" s="315"/>
      <c r="CK58" s="315"/>
      <c r="CL58" s="315"/>
      <c r="CM58" s="315"/>
      <c r="CN58" s="319"/>
      <c r="CO58" s="315"/>
      <c r="CP58" s="315"/>
      <c r="CQ58" s="315"/>
      <c r="CR58" s="315"/>
      <c r="CS58" s="319"/>
      <c r="CT58" s="316"/>
      <c r="CU58" s="316"/>
      <c r="CV58" s="316"/>
      <c r="CW58" s="316"/>
      <c r="CX58" s="319"/>
      <c r="CY58" s="312">
        <f>DD58/(1+DD59)</f>
      </c>
      <c r="CZ58" s="312">
        <f>DE58/(1+DE59)</f>
      </c>
      <c r="DA58" s="312">
        <f>DF58/(1+DF59)</f>
      </c>
      <c r="DB58" s="312">
        <f>DG58/(1+DG59)</f>
      </c>
      <c r="DC58" s="319">
        <f>SUM(CY58:DB58)</f>
      </c>
      <c r="DD58" s="312">
        <f>DI58/(1+DI59)</f>
      </c>
      <c r="DE58" s="312">
        <f>DJ58/(1+DJ59)</f>
      </c>
      <c r="DF58" s="312">
        <f>DK58/(1+DK59)</f>
      </c>
      <c r="DG58" s="312">
        <f>DL58/(1+DL59)</f>
      </c>
      <c r="DH58" s="319">
        <f>SUM(DD58:DG58)</f>
      </c>
      <c r="DI58" s="312">
        <f>DN58/(1+DN59)</f>
      </c>
      <c r="DJ58" s="312">
        <f>DO58/(1+DO59)</f>
      </c>
      <c r="DK58" s="312">
        <f>DP58/(1+DP59)</f>
      </c>
      <c r="DL58" s="312">
        <f>DQ58/(1+DQ59)</f>
      </c>
      <c r="DM58" s="319">
        <f>SUM(DI58:DL58)</f>
      </c>
      <c r="DN58" s="312">
        <f>DS58/(1+DS59)</f>
      </c>
      <c r="DO58" s="312">
        <f>DT58/(1+DT59)</f>
      </c>
      <c r="DP58" s="312">
        <f>DU58/(1+DU59)</f>
      </c>
      <c r="DQ58" s="312">
        <f>DV58/(1+DV59)</f>
      </c>
      <c r="DR58" s="319">
        <f>SUM(DN58:DQ58)</f>
      </c>
      <c r="DS58" s="312">
        <f>DX58/(1+DX59)</f>
      </c>
      <c r="DT58" s="312">
        <f>DY58/(1+DY59)</f>
      </c>
      <c r="DU58" s="312">
        <f>DZ58/(1+DZ59)</f>
      </c>
      <c r="DV58" s="312">
        <f>EA58/(1+EA59)</f>
      </c>
      <c r="DW58" s="319">
        <f>SUM(DS58:DV58)</f>
      </c>
      <c r="DX58" s="312">
        <f>EC58/(1+EC59)</f>
      </c>
      <c r="DY58" s="312">
        <f>ED58/(1+ED59)</f>
      </c>
      <c r="DZ58" s="312">
        <f>EE58/(1+EE59)</f>
      </c>
      <c r="EA58" s="312">
        <f>EF58/(1+EF59)</f>
      </c>
      <c r="EB58" s="319">
        <f>SUM(DX58:EA58)</f>
      </c>
      <c r="EC58" s="312">
        <f>EH58/(1+EH59)</f>
      </c>
      <c r="ED58" s="312">
        <f>EI58/(1+EI59)</f>
      </c>
      <c r="EE58" s="312">
        <f>EJ58/(1+EJ59)</f>
      </c>
      <c r="EF58" s="312">
        <f>EK58/(1+EK59)</f>
      </c>
      <c r="EG58" s="319">
        <f>SUM(EC58:EF58)</f>
      </c>
      <c r="EH58" s="312">
        <f>EM62/EM59</f>
      </c>
      <c r="EI58" s="312">
        <f>EN62/EN59</f>
      </c>
      <c r="EJ58" s="312">
        <f>EO62/EO59</f>
      </c>
      <c r="EK58" s="312">
        <f>EP62/EP59</f>
      </c>
      <c r="EL58" s="319">
        <f>SUM(EH58:EK58)</f>
      </c>
      <c r="EM58" s="312">
        <f>EH58*(1+EM59)</f>
      </c>
      <c r="EN58" s="312">
        <f>EI58*(1+EN59)</f>
      </c>
      <c r="EO58" s="312">
        <f>EJ58*(1+EO59)</f>
      </c>
      <c r="EP58" s="312">
        <f>EK58*(1+EP59)</f>
      </c>
      <c r="EQ58" s="319">
        <f>SUM(EM58:EP58)</f>
      </c>
      <c r="ER58" s="312">
        <f>EM58*(1+ER59)</f>
      </c>
      <c r="ES58" s="312">
        <f>EN58*(1+ES59)</f>
      </c>
      <c r="ET58" s="312">
        <f>EO58*(1+ET59)</f>
      </c>
      <c r="EU58" s="312">
        <f>EP58*(1+EU59)</f>
      </c>
      <c r="EV58" s="319">
        <f>SUM(ER58:EU58)</f>
      </c>
      <c r="EW58" s="312"/>
      <c r="EX58" s="312"/>
      <c r="EY58" s="312"/>
      <c r="EZ58" s="312"/>
      <c r="FA58" s="313"/>
      <c r="FB58" s="312"/>
      <c r="FC58" s="312"/>
      <c r="FD58" s="312"/>
      <c r="FE58" s="312"/>
      <c r="FF58" s="313"/>
      <c r="FG58" s="312"/>
      <c r="FH58" s="312"/>
      <c r="FI58" s="312"/>
      <c r="FJ58" s="312"/>
      <c r="FK58" s="313"/>
      <c r="FL58" s="312"/>
      <c r="FM58" s="312"/>
      <c r="FN58" s="312"/>
      <c r="FO58" s="312"/>
      <c r="FP58" s="313"/>
      <c r="FQ58" s="312"/>
      <c r="FR58" s="312"/>
      <c r="FS58" s="312"/>
      <c r="FT58" s="312"/>
      <c r="FU58" s="313"/>
      <c r="FV58" s="312"/>
      <c r="FW58" s="312"/>
      <c r="FX58" s="312"/>
      <c r="FY58" s="312"/>
      <c r="FZ58" s="313"/>
      <c r="GA58" s="312"/>
      <c r="GB58" s="312"/>
      <c r="GC58" s="312"/>
      <c r="GD58" s="312"/>
      <c r="GE58" s="313"/>
      <c r="GF58" s="312"/>
      <c r="GG58" s="312"/>
      <c r="GH58" s="312"/>
      <c r="GI58" s="312"/>
      <c r="GJ58" s="313"/>
    </row>
    <row r="59" spans="1:192" ht="12.75" hidden="1" customHeight="1" outlineLevel="1">
      <c r="B59" s="727" t="s">
        <v>34</v>
      </c>
      <c r="C59" s="412"/>
      <c r="D59" s="114"/>
      <c r="E59" s="114"/>
      <c r="F59" s="114"/>
      <c r="G59" s="413"/>
      <c r="H59" s="412"/>
      <c r="I59" s="114"/>
      <c r="J59" s="114"/>
      <c r="K59" s="114"/>
      <c r="L59" s="413"/>
      <c r="M59" s="412"/>
      <c r="N59" s="114"/>
      <c r="O59" s="114"/>
      <c r="P59" s="114"/>
      <c r="Q59" s="413"/>
      <c r="R59" s="412"/>
      <c r="S59" s="114"/>
      <c r="T59" s="114"/>
      <c r="U59" s="114"/>
      <c r="V59" s="413"/>
      <c r="W59" s="412"/>
      <c r="X59" s="114"/>
      <c r="Y59" s="114"/>
      <c r="Z59" s="114"/>
      <c r="AA59" s="413"/>
      <c r="AB59" s="412"/>
      <c r="AC59" s="114"/>
      <c r="AD59" s="114"/>
      <c r="AE59" s="114"/>
      <c r="AF59" s="413"/>
      <c r="AG59" s="412"/>
      <c r="AH59" s="114"/>
      <c r="AI59" s="114"/>
      <c r="AJ59" s="114"/>
      <c r="AK59" s="413"/>
      <c r="AL59" s="412"/>
      <c r="AM59" s="114"/>
      <c r="AN59" s="114"/>
      <c r="AO59" s="114"/>
      <c r="AP59" s="413"/>
      <c r="AQ59" s="412"/>
      <c r="AR59" s="114"/>
      <c r="AS59" s="114"/>
      <c r="AT59" s="114"/>
      <c r="AU59" s="413"/>
      <c r="AV59" s="412"/>
      <c r="AW59" s="114"/>
      <c r="AX59" s="114"/>
      <c r="AY59" s="114"/>
      <c r="AZ59" s="413"/>
      <c r="BA59" s="412"/>
      <c r="BB59" s="114"/>
      <c r="BC59" s="114"/>
      <c r="BD59" s="114"/>
      <c r="BE59" s="413"/>
      <c r="BF59" s="412"/>
      <c r="BG59" s="114"/>
      <c r="BH59" s="114"/>
      <c r="BI59" s="114"/>
      <c r="BJ59" s="413"/>
      <c r="BK59" s="412"/>
      <c r="BL59" s="114"/>
      <c r="BM59" s="114"/>
      <c r="BN59" s="114"/>
      <c r="BO59" s="413"/>
      <c r="BP59" s="412"/>
      <c r="BQ59" s="114"/>
      <c r="BR59" s="114"/>
      <c r="BS59" s="114"/>
      <c r="BT59" s="413"/>
      <c r="BU59" s="412"/>
      <c r="BV59" s="114"/>
      <c r="BW59" s="114"/>
      <c r="BX59" s="114"/>
      <c r="BY59" s="413"/>
      <c r="BZ59" s="412"/>
      <c r="CA59" s="114"/>
      <c r="CB59" s="114"/>
      <c r="CC59" s="114"/>
      <c r="CD59" s="292"/>
      <c r="CE59" s="412"/>
      <c r="CF59" s="114"/>
      <c r="CG59" s="114"/>
      <c r="CH59" s="114"/>
      <c r="CI59" s="292"/>
      <c r="CJ59" s="412"/>
      <c r="CK59" s="114"/>
      <c r="CL59" s="114"/>
      <c r="CM59" s="114"/>
      <c r="CN59" s="292"/>
      <c r="CO59" s="412"/>
      <c r="CP59" s="114"/>
      <c r="CQ59" s="114"/>
      <c r="CR59" s="114"/>
      <c r="CS59" s="292"/>
      <c r="CT59" s="412"/>
      <c r="CU59" s="114"/>
      <c r="CV59" s="114"/>
      <c r="CW59" s="114"/>
      <c r="CX59" s="292"/>
      <c r="CY59" s="412"/>
      <c r="CZ59" s="114"/>
      <c r="DA59" s="114"/>
      <c r="DB59" s="114"/>
      <c r="DC59" s="292"/>
      <c r="DD59" s="412">
        <v>0.08</v>
      </c>
      <c r="DE59" s="114">
        <v>0.04</v>
      </c>
      <c r="DF59" s="114">
        <v>-0.02</v>
      </c>
      <c r="DG59" s="114">
        <v>0.01</v>
      </c>
      <c r="DH59" s="292">
        <f>IFERROR(DH58/DC58-1,"--")</f>
      </c>
      <c r="DI59" s="412">
        <v>0.02</v>
      </c>
      <c r="DJ59" s="114">
        <v>0.02</v>
      </c>
      <c r="DK59" s="114">
        <v>0.06</v>
      </c>
      <c r="DL59" s="114">
        <v>0.08</v>
      </c>
      <c r="DM59" s="292">
        <f>IFERROR(DM58/DH58-1,"--")</f>
      </c>
      <c r="DN59" s="412">
        <v>0.1</v>
      </c>
      <c r="DO59" s="114">
        <v>0.13</v>
      </c>
      <c r="DP59" s="114">
        <v>0.16</v>
      </c>
      <c r="DQ59" s="114">
        <v>0.23</v>
      </c>
      <c r="DR59" s="292">
        <f>IFERROR(DR58/DM58-1,"--")</f>
      </c>
      <c r="DS59" s="412">
        <v>0.28000000000000003</v>
      </c>
      <c r="DT59" s="114">
        <v>0.2</v>
      </c>
      <c r="DU59" s="114">
        <v>0.21</v>
      </c>
      <c r="DV59" s="114">
        <v>0.19</v>
      </c>
      <c r="DW59" s="292">
        <f>IFERROR(DW58/DR58-1,"--")</f>
      </c>
      <c r="DX59" s="412">
        <v>0.27</v>
      </c>
      <c r="DY59" s="114">
        <v>0.28000000000000003</v>
      </c>
      <c r="DZ59" s="114">
        <v>0.3</v>
      </c>
      <c r="EA59" s="114">
        <v>0.19</v>
      </c>
      <c r="EB59" s="292">
        <f>IFERROR(EB58/DW58-1,"--")</f>
      </c>
      <c r="EC59" s="412">
        <v>0.26</v>
      </c>
      <c r="ED59" s="114">
        <v>0.28999999999999998</v>
      </c>
      <c r="EE59" s="114">
        <v>0.27</v>
      </c>
      <c r="EF59" s="114">
        <v>0.32</v>
      </c>
      <c r="EG59" s="292">
        <f>IFERROR(EG58/EB58-1,"--")</f>
      </c>
      <c r="EH59" s="412">
        <v>0.28000000000000003</v>
      </c>
      <c r="EI59" s="114">
        <v>0.21</v>
      </c>
      <c r="EJ59" s="114">
        <v>0.24</v>
      </c>
      <c r="EK59" s="114">
        <v>0.15</v>
      </c>
      <c r="EL59" s="413">
        <v>0.22</v>
      </c>
      <c r="EM59" s="412">
        <v>0.2</v>
      </c>
      <c r="EN59" s="114">
        <v>0.17</v>
      </c>
      <c r="EO59" s="114">
        <v>0.15</v>
      </c>
      <c r="EP59" s="114">
        <v>0.16</v>
      </c>
      <c r="EQ59" s="292">
        <f>IFERROR(EQ58/EL58-1,"--")</f>
      </c>
      <c r="ER59" s="412">
        <v>0.2</v>
      </c>
      <c r="ES59" s="114">
        <v>0.2</v>
      </c>
      <c r="ET59" s="439">
        <v>0.2</v>
      </c>
      <c r="EU59" s="439">
        <v>0.16</v>
      </c>
      <c r="EV59" s="292">
        <f>EV58/EQ58-1</f>
      </c>
      <c r="EW59" s="107"/>
      <c r="EX59" s="107"/>
      <c r="EY59" s="107"/>
      <c r="EZ59" s="107"/>
      <c r="FA59" s="292"/>
      <c r="FB59" s="107"/>
      <c r="FC59" s="107"/>
      <c r="FD59" s="107"/>
      <c r="FE59" s="107"/>
      <c r="FF59" s="292"/>
      <c r="FG59" s="107"/>
      <c r="FH59" s="107"/>
      <c r="FI59" s="107"/>
      <c r="FJ59" s="107"/>
      <c r="FK59" s="292"/>
      <c r="FL59" s="107"/>
      <c r="FM59" s="107"/>
      <c r="FN59" s="107"/>
      <c r="FO59" s="107"/>
      <c r="FP59" s="292"/>
      <c r="FQ59" s="107"/>
      <c r="FR59" s="107"/>
      <c r="FS59" s="107"/>
      <c r="FT59" s="107"/>
      <c r="FU59" s="292"/>
      <c r="FV59" s="291"/>
      <c r="FW59" s="107"/>
      <c r="FX59" s="107"/>
      <c r="FY59" s="107"/>
      <c r="FZ59" s="292"/>
      <c r="GA59" s="291"/>
      <c r="GB59" s="107"/>
      <c r="GC59" s="107"/>
      <c r="GD59" s="107"/>
      <c r="GE59" s="292"/>
      <c r="GF59" s="291"/>
      <c r="GG59" s="107"/>
      <c r="GH59" s="107"/>
      <c r="GI59" s="107"/>
      <c r="GJ59" s="292"/>
    </row>
    <row r="60" spans="1:192" ht="12.75" hidden="1" customHeight="1" outlineLevel="1">
      <c r="B60" s="727" t="s">
        <v>197</v>
      </c>
      <c r="C60" s="412"/>
      <c r="D60" s="114"/>
      <c r="E60" s="114"/>
      <c r="F60" s="114"/>
      <c r="G60" s="413"/>
      <c r="H60" s="412"/>
      <c r="I60" s="114"/>
      <c r="J60" s="114"/>
      <c r="K60" s="114"/>
      <c r="L60" s="413"/>
      <c r="M60" s="412"/>
      <c r="N60" s="114"/>
      <c r="O60" s="114"/>
      <c r="P60" s="114"/>
      <c r="Q60" s="413"/>
      <c r="R60" s="412"/>
      <c r="S60" s="114"/>
      <c r="T60" s="114"/>
      <c r="U60" s="114"/>
      <c r="V60" s="413"/>
      <c r="W60" s="412"/>
      <c r="X60" s="114"/>
      <c r="Y60" s="114"/>
      <c r="Z60" s="114"/>
      <c r="AA60" s="413"/>
      <c r="AB60" s="412"/>
      <c r="AC60" s="114"/>
      <c r="AD60" s="114"/>
      <c r="AE60" s="114"/>
      <c r="AF60" s="413"/>
      <c r="AG60" s="412"/>
      <c r="AH60" s="114"/>
      <c r="AI60" s="114"/>
      <c r="AJ60" s="114"/>
      <c r="AK60" s="413"/>
      <c r="AL60" s="412"/>
      <c r="AM60" s="114"/>
      <c r="AN60" s="114"/>
      <c r="AO60" s="114"/>
      <c r="AP60" s="413"/>
      <c r="AQ60" s="412"/>
      <c r="AR60" s="114"/>
      <c r="AS60" s="114"/>
      <c r="AT60" s="114"/>
      <c r="AU60" s="413"/>
      <c r="AV60" s="412"/>
      <c r="AW60" s="114"/>
      <c r="AX60" s="114"/>
      <c r="AY60" s="114"/>
      <c r="AZ60" s="413"/>
      <c r="BA60" s="412"/>
      <c r="BB60" s="114"/>
      <c r="BC60" s="114"/>
      <c r="BD60" s="114"/>
      <c r="BE60" s="413"/>
      <c r="BF60" s="412"/>
      <c r="BG60" s="114"/>
      <c r="BH60" s="114"/>
      <c r="BI60" s="114"/>
      <c r="BJ60" s="413"/>
      <c r="BK60" s="412"/>
      <c r="BL60" s="114"/>
      <c r="BM60" s="114"/>
      <c r="BN60" s="114"/>
      <c r="BO60" s="413"/>
      <c r="BP60" s="412"/>
      <c r="BQ60" s="114"/>
      <c r="BR60" s="114"/>
      <c r="BS60" s="114"/>
      <c r="BT60" s="413"/>
      <c r="BU60" s="412"/>
      <c r="BV60" s="114"/>
      <c r="BW60" s="114"/>
      <c r="BX60" s="114"/>
      <c r="BY60" s="413"/>
      <c r="BZ60" s="412"/>
      <c r="CA60" s="114"/>
      <c r="CB60" s="114"/>
      <c r="CC60" s="114"/>
      <c r="CD60" s="292"/>
      <c r="CE60" s="412"/>
      <c r="CF60" s="114"/>
      <c r="CG60" s="114"/>
      <c r="CH60" s="114"/>
      <c r="CI60" s="292"/>
      <c r="CJ60" s="412"/>
      <c r="CK60" s="114"/>
      <c r="CL60" s="114"/>
      <c r="CM60" s="114"/>
      <c r="CN60" s="292"/>
      <c r="CO60" s="412"/>
      <c r="CP60" s="114"/>
      <c r="CQ60" s="114"/>
      <c r="CR60" s="114"/>
      <c r="CS60" s="292"/>
      <c r="CT60" s="412"/>
      <c r="CU60" s="114"/>
      <c r="CV60" s="114"/>
      <c r="CW60" s="114"/>
      <c r="CX60" s="292"/>
      <c r="CY60" s="412"/>
      <c r="CZ60" s="114"/>
      <c r="DA60" s="114"/>
      <c r="DB60" s="114"/>
      <c r="DC60" s="292"/>
      <c r="DD60" s="412">
        <v>0.15</v>
      </c>
      <c r="DE60" s="114">
        <v>0.11</v>
      </c>
      <c r="DF60" s="114">
        <v>0.03</v>
      </c>
      <c r="DG60" s="114">
        <v>0.05</v>
      </c>
      <c r="DH60" s="292"/>
      <c r="DI60" s="412">
        <v>0.04</v>
      </c>
      <c r="DJ60" s="114">
        <v>0.04</v>
      </c>
      <c r="DK60" s="114">
        <v>7.0000000000000007E-2</v>
      </c>
      <c r="DL60" s="114">
        <v>0.09</v>
      </c>
      <c r="DM60" s="292"/>
      <c r="DN60" s="412">
        <v>0.1</v>
      </c>
      <c r="DO60" s="114">
        <v>0.13</v>
      </c>
      <c r="DP60" s="114">
        <v>0.14000000000000001</v>
      </c>
      <c r="DQ60" s="114">
        <v>0.2</v>
      </c>
      <c r="DR60" s="292"/>
      <c r="DS60" s="412">
        <v>0.27</v>
      </c>
      <c r="DT60" s="114">
        <v>0.2</v>
      </c>
      <c r="DU60" s="114">
        <v>0.23</v>
      </c>
      <c r="DV60" s="114">
        <v>0.21</v>
      </c>
      <c r="DW60" s="292"/>
      <c r="DX60" s="412">
        <v>0.3</v>
      </c>
      <c r="DY60" s="114">
        <v>0.31</v>
      </c>
      <c r="DZ60" s="114">
        <v>0.32</v>
      </c>
      <c r="EA60" s="114">
        <v>0.21</v>
      </c>
      <c r="EB60" s="292"/>
      <c r="EC60" s="412">
        <v>0.25</v>
      </c>
      <c r="ED60" s="114">
        <v>0.27</v>
      </c>
      <c r="EE60" s="114">
        <v>0.24</v>
      </c>
      <c r="EF60" s="114">
        <v>0.27</v>
      </c>
      <c r="EG60" s="292"/>
      <c r="EH60" s="412">
        <v>0.26</v>
      </c>
      <c r="EI60" s="114">
        <v>0.22</v>
      </c>
      <c r="EJ60" s="114">
        <v>0.27</v>
      </c>
      <c r="EK60" s="114">
        <v>0.19</v>
      </c>
      <c r="EL60" s="292"/>
      <c r="EM60" s="412">
        <v>0.26</v>
      </c>
      <c r="EN60" s="114">
        <v>0.23</v>
      </c>
      <c r="EO60" s="114">
        <v>0.18</v>
      </c>
      <c r="EP60" s="114">
        <v>0.17</v>
      </c>
      <c r="EQ60" s="292"/>
      <c r="ER60" s="412">
        <v>0.19</v>
      </c>
      <c r="ES60" s="114">
        <v>0.18</v>
      </c>
      <c r="ET60" s="439">
        <v>0.2</v>
      </c>
      <c r="EU60" s="439">
        <v>0.16</v>
      </c>
      <c r="EV60" s="292"/>
      <c r="EW60" s="291"/>
      <c r="EX60" s="107"/>
      <c r="EY60" s="107"/>
      <c r="EZ60" s="107"/>
      <c r="FA60" s="292"/>
      <c r="FB60" s="291"/>
      <c r="FC60" s="107"/>
      <c r="FD60" s="107"/>
      <c r="FE60" s="107"/>
      <c r="FF60" s="292"/>
      <c r="FG60" s="291"/>
      <c r="FH60" s="107"/>
      <c r="FI60" s="107"/>
      <c r="FJ60" s="107"/>
      <c r="FK60" s="292"/>
      <c r="FL60" s="291"/>
      <c r="FM60" s="107"/>
      <c r="FN60" s="107"/>
      <c r="FO60" s="107"/>
      <c r="FP60" s="292"/>
      <c r="FQ60" s="291"/>
      <c r="FR60" s="107"/>
      <c r="FS60" s="107"/>
      <c r="FT60" s="107"/>
      <c r="FU60" s="292"/>
      <c r="FV60" s="291"/>
      <c r="FW60" s="107"/>
      <c r="FX60" s="107"/>
      <c r="FY60" s="107"/>
      <c r="FZ60" s="292"/>
      <c r="GA60" s="291"/>
      <c r="GB60" s="107"/>
      <c r="GC60" s="107"/>
      <c r="GD60" s="107"/>
      <c r="GE60" s="292"/>
      <c r="GF60" s="291"/>
      <c r="GG60" s="107"/>
      <c r="GH60" s="107"/>
      <c r="GI60" s="107"/>
      <c r="GJ60" s="292"/>
    </row>
    <row r="61" spans="1:192" ht="12.75" hidden="1" customHeight="1" outlineLevel="1">
      <c r="B61" s="727" t="s">
        <v>36</v>
      </c>
      <c r="C61" s="291"/>
      <c r="D61" s="107"/>
      <c r="E61" s="107"/>
      <c r="F61" s="107"/>
      <c r="G61" s="293"/>
      <c r="H61" s="291"/>
      <c r="I61" s="107"/>
      <c r="J61" s="107"/>
      <c r="K61" s="107"/>
      <c r="L61" s="293"/>
      <c r="M61" s="291"/>
      <c r="N61" s="107"/>
      <c r="O61" s="107"/>
      <c r="P61" s="107"/>
      <c r="Q61" s="293"/>
      <c r="R61" s="291"/>
      <c r="S61" s="107"/>
      <c r="T61" s="107"/>
      <c r="U61" s="107"/>
      <c r="V61" s="293"/>
      <c r="W61" s="291"/>
      <c r="X61" s="107"/>
      <c r="Y61" s="107"/>
      <c r="Z61" s="107"/>
      <c r="AA61" s="293"/>
      <c r="AB61" s="291"/>
      <c r="AC61" s="107"/>
      <c r="AD61" s="107"/>
      <c r="AE61" s="107"/>
      <c r="AF61" s="293"/>
      <c r="AG61" s="291"/>
      <c r="AH61" s="107"/>
      <c r="AI61" s="107"/>
      <c r="AJ61" s="107"/>
      <c r="AK61" s="293"/>
      <c r="AL61" s="291"/>
      <c r="AM61" s="107"/>
      <c r="AN61" s="107"/>
      <c r="AO61" s="107"/>
      <c r="AP61" s="293"/>
      <c r="AQ61" s="291"/>
      <c r="AR61" s="107"/>
      <c r="AS61" s="107"/>
      <c r="AT61" s="107"/>
      <c r="AU61" s="293"/>
      <c r="AV61" s="291"/>
      <c r="AW61" s="107"/>
      <c r="AX61" s="107"/>
      <c r="AY61" s="107"/>
      <c r="AZ61" s="293"/>
      <c r="BA61" s="291"/>
      <c r="BB61" s="107"/>
      <c r="BC61" s="107"/>
      <c r="BD61" s="107"/>
      <c r="BE61" s="293"/>
      <c r="BF61" s="291"/>
      <c r="BG61" s="107"/>
      <c r="BH61" s="107"/>
      <c r="BI61" s="107"/>
      <c r="BJ61" s="293"/>
      <c r="BK61" s="291"/>
      <c r="BL61" s="107"/>
      <c r="BM61" s="107"/>
      <c r="BN61" s="107"/>
      <c r="BO61" s="293"/>
      <c r="BP61" s="291"/>
      <c r="BQ61" s="107"/>
      <c r="BR61" s="107"/>
      <c r="BS61" s="107"/>
      <c r="BT61" s="293"/>
      <c r="BU61" s="291"/>
      <c r="BV61" s="107"/>
      <c r="BW61" s="107"/>
      <c r="BX61" s="107"/>
      <c r="BY61" s="293"/>
      <c r="BZ61" s="291"/>
      <c r="CA61" s="107"/>
      <c r="CB61" s="107"/>
      <c r="CC61" s="107"/>
      <c r="CD61" s="293"/>
      <c r="CE61" s="291"/>
      <c r="CF61" s="107"/>
      <c r="CG61" s="107"/>
      <c r="CH61" s="107"/>
      <c r="CI61" s="293"/>
      <c r="CJ61" s="291"/>
      <c r="CK61" s="107"/>
      <c r="CL61" s="107"/>
      <c r="CM61" s="107"/>
      <c r="CN61" s="293"/>
      <c r="CO61" s="291"/>
      <c r="CP61" s="107"/>
      <c r="CQ61" s="107"/>
      <c r="CR61" s="107"/>
      <c r="CS61" s="293"/>
      <c r="CT61" s="291"/>
      <c r="CU61" s="107"/>
      <c r="CV61" s="107"/>
      <c r="CW61" s="107"/>
      <c r="CX61" s="293"/>
      <c r="CY61" s="291" t="str">
        <f>IFERROR(CY58/CW58-1,"--")</f>
      </c>
      <c r="CZ61" s="107">
        <f>IFERROR(CZ58/CY58-1,"--")</f>
      </c>
      <c r="DA61" s="107">
        <f>IFERROR(DA58/CZ58-1,"--")</f>
      </c>
      <c r="DB61" s="107">
        <f>IFERROR(DB58/DA58-1,"--")</f>
      </c>
      <c r="DC61" s="293"/>
      <c r="DD61" s="291">
        <f>IFERROR(DD58/DB58-1,"--")</f>
      </c>
      <c r="DE61" s="107">
        <f>IFERROR(DE58/DD58-1,"--")</f>
      </c>
      <c r="DF61" s="107">
        <f>IFERROR(DF58/DE58-1,"--")</f>
      </c>
      <c r="DG61" s="107">
        <f>IFERROR(DG58/DF58-1,"--")</f>
      </c>
      <c r="DH61" s="293"/>
      <c r="DI61" s="291">
        <f>IFERROR(DI58/DG58-1,"--")</f>
      </c>
      <c r="DJ61" s="107">
        <f>IFERROR(DJ58/DI58-1,"--")</f>
      </c>
      <c r="DK61" s="107">
        <f>IFERROR(DK58/DJ58-1,"--")</f>
      </c>
      <c r="DL61" s="107">
        <f>IFERROR(DL58/DK58-1,"--")</f>
      </c>
      <c r="DM61" s="293"/>
      <c r="DN61" s="291">
        <f>IFERROR(DN58/DL58-1,"--")</f>
      </c>
      <c r="DO61" s="107">
        <f>IFERROR(DO58/DN58-1,"--")</f>
      </c>
      <c r="DP61" s="107">
        <f>IFERROR(DP58/DO58-1,"--")</f>
      </c>
      <c r="DQ61" s="107">
        <f>IFERROR(DQ58/DP58-1,"--")</f>
      </c>
      <c r="DR61" s="293"/>
      <c r="DS61" s="291">
        <f>IFERROR(DS58/DQ58-1,"--")</f>
      </c>
      <c r="DT61" s="107">
        <f>IFERROR(DT58/DS58-1,"--")</f>
      </c>
      <c r="DU61" s="107">
        <f>IFERROR(DU58/DT58-1,"--")</f>
      </c>
      <c r="DV61" s="107">
        <f>IFERROR(DV58/DU58-1,"--")</f>
      </c>
      <c r="DW61" s="293"/>
      <c r="DX61" s="291">
        <f>IFERROR(DX58/DV58-1,"--")</f>
      </c>
      <c r="DY61" s="107">
        <f>IFERROR(DY58/DX58-1,"--")</f>
      </c>
      <c r="DZ61" s="107">
        <f>IFERROR(DZ58/DY58-1,"--")</f>
      </c>
      <c r="EA61" s="107">
        <f>IFERROR(EA58/DZ58-1,"--")</f>
      </c>
      <c r="EB61" s="293"/>
      <c r="EC61" s="291">
        <f>IFERROR(EC58/EA58-1,"--")</f>
      </c>
      <c r="ED61" s="107">
        <f>IFERROR(ED58/EC58-1,"--")</f>
      </c>
      <c r="EE61" s="107">
        <f>IFERROR(EE58/ED58-1,"--")</f>
      </c>
      <c r="EF61" s="107">
        <f>IFERROR(EF58/EE58-1,"--")</f>
      </c>
      <c r="EG61" s="293"/>
      <c r="EH61" s="291">
        <f>IFERROR(EH58/EF58-1,"--")</f>
      </c>
      <c r="EI61" s="107">
        <f>IFERROR(EI58/EH58-1,"--")</f>
      </c>
      <c r="EJ61" s="107">
        <f>IFERROR(EJ58/EI58-1,"--")</f>
      </c>
      <c r="EK61" s="107">
        <f>IFERROR(EK58/EJ58-1,"--")</f>
      </c>
      <c r="EL61" s="293"/>
      <c r="EM61" s="291">
        <f>IFERROR(EM58/EK58-1,"--")</f>
      </c>
      <c r="EN61" s="107">
        <f>IFERROR(EN58/EM58-1,"--")</f>
      </c>
      <c r="EO61" s="107">
        <f>IFERROR(EO58/EN58-1,"--")</f>
      </c>
      <c r="EP61" s="107">
        <f>IFERROR(EP58/EO58-1,"--")</f>
      </c>
      <c r="EQ61" s="293"/>
      <c r="ER61" s="291">
        <f>IFERROR(ER58/EP58-1,"--")</f>
      </c>
      <c r="ES61" s="107">
        <f>IFERROR(ES58/ER58-1,"--")</f>
      </c>
      <c r="ET61" s="107">
        <f>IFERROR(ET58/ES58-1,"--")</f>
      </c>
      <c r="EU61" s="107">
        <f>IFERROR(EU58/ET58-1,"--")</f>
      </c>
      <c r="EV61" s="293"/>
      <c r="EW61" s="291"/>
      <c r="EX61" s="107"/>
      <c r="EY61" s="107"/>
      <c r="EZ61" s="107"/>
      <c r="FA61" s="293"/>
      <c r="FB61" s="291"/>
      <c r="FC61" s="107"/>
      <c r="FD61" s="107"/>
      <c r="FE61" s="107"/>
      <c r="FF61" s="293"/>
      <c r="FG61" s="291"/>
      <c r="FH61" s="107"/>
      <c r="FI61" s="107"/>
      <c r="FJ61" s="107"/>
      <c r="FK61" s="293"/>
      <c r="FL61" s="291"/>
      <c r="FM61" s="107"/>
      <c r="FN61" s="107"/>
      <c r="FO61" s="107"/>
      <c r="FP61" s="293"/>
      <c r="FQ61" s="291"/>
      <c r="FR61" s="107"/>
      <c r="FS61" s="107"/>
      <c r="FT61" s="107"/>
      <c r="FU61" s="293"/>
      <c r="FV61" s="291"/>
      <c r="FW61" s="107"/>
      <c r="FX61" s="107"/>
      <c r="FY61" s="107"/>
      <c r="FZ61" s="293"/>
      <c r="GA61" s="291"/>
      <c r="GB61" s="107"/>
      <c r="GC61" s="107"/>
      <c r="GD61" s="107"/>
      <c r="GE61" s="293"/>
      <c r="GF61" s="291"/>
      <c r="GG61" s="107"/>
      <c r="GH61" s="107"/>
      <c r="GI61" s="107"/>
      <c r="GJ61" s="293"/>
    </row>
    <row r="62" spans="1:192" ht="12.75" hidden="1" customHeight="1" outlineLevel="1">
      <c r="B62" s="727" t="s">
        <v>265</v>
      </c>
      <c r="C62" s="412"/>
      <c r="D62" s="114"/>
      <c r="E62" s="114"/>
      <c r="F62" s="114"/>
      <c r="G62" s="413"/>
      <c r="H62" s="412"/>
      <c r="I62" s="114"/>
      <c r="J62" s="114"/>
      <c r="K62" s="114"/>
      <c r="L62" s="413"/>
      <c r="M62" s="412"/>
      <c r="N62" s="114"/>
      <c r="O62" s="114"/>
      <c r="P62" s="114"/>
      <c r="Q62" s="413"/>
      <c r="R62" s="412"/>
      <c r="S62" s="114"/>
      <c r="T62" s="114"/>
      <c r="U62" s="114"/>
      <c r="V62" s="413"/>
      <c r="W62" s="412"/>
      <c r="X62" s="114"/>
      <c r="Y62" s="114"/>
      <c r="Z62" s="114"/>
      <c r="AA62" s="413"/>
      <c r="AB62" s="412"/>
      <c r="AC62" s="114"/>
      <c r="AD62" s="114"/>
      <c r="AE62" s="114"/>
      <c r="AF62" s="413"/>
      <c r="AG62" s="412"/>
      <c r="AH62" s="114"/>
      <c r="AI62" s="114"/>
      <c r="AJ62" s="114"/>
      <c r="AK62" s="413"/>
      <c r="AL62" s="412"/>
      <c r="AM62" s="114"/>
      <c r="AN62" s="114"/>
      <c r="AO62" s="114"/>
      <c r="AP62" s="413"/>
      <c r="AQ62" s="412"/>
      <c r="AR62" s="114"/>
      <c r="AS62" s="114"/>
      <c r="AT62" s="114"/>
      <c r="AU62" s="413"/>
      <c r="AV62" s="412"/>
      <c r="AW62" s="114"/>
      <c r="AX62" s="114"/>
      <c r="AY62" s="114"/>
      <c r="AZ62" s="413"/>
      <c r="BA62" s="412"/>
      <c r="BB62" s="114"/>
      <c r="BC62" s="114"/>
      <c r="BD62" s="114"/>
      <c r="BE62" s="413"/>
      <c r="BF62" s="412"/>
      <c r="BG62" s="114"/>
      <c r="BH62" s="114"/>
      <c r="BI62" s="114"/>
      <c r="BJ62" s="413"/>
      <c r="BK62" s="412"/>
      <c r="BL62" s="114"/>
      <c r="BM62" s="114"/>
      <c r="BN62" s="114"/>
      <c r="BO62" s="413"/>
      <c r="BP62" s="412"/>
      <c r="BQ62" s="114"/>
      <c r="BR62" s="114"/>
      <c r="BS62" s="114"/>
      <c r="BT62" s="413"/>
      <c r="BU62" s="412"/>
      <c r="BV62" s="114"/>
      <c r="BW62" s="114"/>
      <c r="BX62" s="114"/>
      <c r="BY62" s="413"/>
      <c r="BZ62" s="412"/>
      <c r="CA62" s="114"/>
      <c r="CB62" s="114"/>
      <c r="CC62" s="114"/>
      <c r="CD62" s="292"/>
      <c r="CE62" s="412"/>
      <c r="CF62" s="114"/>
      <c r="CG62" s="114"/>
      <c r="CH62" s="114"/>
      <c r="CI62" s="292"/>
      <c r="CJ62" s="412"/>
      <c r="CK62" s="114"/>
      <c r="CL62" s="114"/>
      <c r="CM62" s="114"/>
      <c r="CN62" s="292"/>
      <c r="CO62" s="412"/>
      <c r="CP62" s="114"/>
      <c r="CQ62" s="114"/>
      <c r="CR62" s="114"/>
      <c r="CS62" s="292"/>
      <c r="CT62" s="412"/>
      <c r="CU62" s="114"/>
      <c r="CV62" s="114"/>
      <c r="CW62" s="114"/>
      <c r="CX62" s="292"/>
      <c r="CY62" s="447"/>
      <c r="CZ62" s="458"/>
      <c r="DA62" s="458"/>
      <c r="DB62" s="458"/>
      <c r="DC62" s="462"/>
      <c r="DD62" s="447">
        <f t="shared" ref="DD62:EK62" si="56">DD58-CY58</f>
      </c>
      <c r="DE62" s="458">
        <f t="shared" si="56"/>
      </c>
      <c r="DF62" s="458">
        <f t="shared" si="56"/>
      </c>
      <c r="DG62" s="458">
        <f t="shared" si="56"/>
      </c>
      <c r="DH62" s="462">
        <f t="shared" si="56"/>
      </c>
      <c r="DI62" s="447">
        <f t="shared" si="56"/>
      </c>
      <c r="DJ62" s="458">
        <f t="shared" si="56"/>
      </c>
      <c r="DK62" s="458">
        <f t="shared" si="56"/>
      </c>
      <c r="DL62" s="458">
        <f t="shared" si="56"/>
      </c>
      <c r="DM62" s="462">
        <f t="shared" si="56"/>
      </c>
      <c r="DN62" s="447">
        <f t="shared" si="56"/>
      </c>
      <c r="DO62" s="458">
        <f t="shared" si="56"/>
      </c>
      <c r="DP62" s="458">
        <f t="shared" si="56"/>
      </c>
      <c r="DQ62" s="458">
        <f t="shared" si="56"/>
      </c>
      <c r="DR62" s="462">
        <f t="shared" si="56"/>
      </c>
      <c r="DS62" s="447">
        <f t="shared" si="56"/>
      </c>
      <c r="DT62" s="458">
        <f t="shared" si="56"/>
      </c>
      <c r="DU62" s="458">
        <f t="shared" si="56"/>
      </c>
      <c r="DV62" s="458">
        <f t="shared" si="56"/>
      </c>
      <c r="DW62" s="462">
        <f t="shared" si="56"/>
      </c>
      <c r="DX62" s="447">
        <f t="shared" si="56"/>
      </c>
      <c r="DY62" s="458">
        <f t="shared" si="56"/>
      </c>
      <c r="DZ62" s="458">
        <f t="shared" si="56"/>
      </c>
      <c r="EA62" s="458">
        <f t="shared" si="56"/>
      </c>
      <c r="EB62" s="462">
        <f t="shared" si="56"/>
      </c>
      <c r="EC62" s="447">
        <f t="shared" si="56"/>
      </c>
      <c r="ED62" s="458">
        <f t="shared" si="56"/>
      </c>
      <c r="EE62" s="458">
        <f t="shared" si="56"/>
      </c>
      <c r="EF62" s="458">
        <f t="shared" si="56"/>
      </c>
      <c r="EG62" s="462">
        <f t="shared" si="56"/>
      </c>
      <c r="EH62" s="447">
        <f t="shared" si="56"/>
      </c>
      <c r="EI62" s="458">
        <f t="shared" si="56"/>
      </c>
      <c r="EJ62" s="458">
        <f t="shared" si="56"/>
      </c>
      <c r="EK62" s="458">
        <f t="shared" si="56"/>
      </c>
      <c r="EL62" s="494">
        <v>9400</v>
      </c>
      <c r="EM62" s="448">
        <v>2400</v>
      </c>
      <c r="EN62" s="448">
        <v>2200</v>
      </c>
      <c r="EO62" s="448">
        <v>2000</v>
      </c>
      <c r="EP62" s="463">
        <f>EQ62-EO62-EN62-EM62</f>
      </c>
      <c r="EQ62" s="494">
        <v>8900</v>
      </c>
      <c r="ER62" s="448">
        <v>2900</v>
      </c>
      <c r="ES62" s="815">
        <v>3100</v>
      </c>
      <c r="ET62" s="815">
        <v>3100</v>
      </c>
      <c r="EU62" s="463">
        <f>EV62-ET62-ES62-ER62</f>
      </c>
      <c r="EV62" s="494">
        <v>11600</v>
      </c>
      <c r="EW62" s="458"/>
      <c r="EX62" s="458"/>
      <c r="EY62" s="458"/>
      <c r="EZ62" s="458"/>
      <c r="FA62" s="462"/>
      <c r="FB62" s="458"/>
      <c r="FC62" s="458"/>
      <c r="FD62" s="458"/>
      <c r="FE62" s="458"/>
      <c r="FF62" s="462"/>
      <c r="FG62" s="458"/>
      <c r="FH62" s="458"/>
      <c r="FI62" s="458"/>
      <c r="FJ62" s="458"/>
      <c r="FK62" s="462"/>
      <c r="FL62" s="458"/>
      <c r="FM62" s="458"/>
      <c r="FN62" s="458"/>
      <c r="FO62" s="458"/>
      <c r="FP62" s="462"/>
      <c r="FQ62" s="458"/>
      <c r="FR62" s="458"/>
      <c r="FS62" s="458"/>
      <c r="FT62" s="458"/>
      <c r="FU62" s="462"/>
      <c r="FV62" s="447"/>
      <c r="FW62" s="458"/>
      <c r="FX62" s="458"/>
      <c r="FY62" s="458"/>
      <c r="FZ62" s="462"/>
      <c r="GA62" s="447"/>
      <c r="GB62" s="458"/>
      <c r="GC62" s="458"/>
      <c r="GD62" s="458"/>
      <c r="GE62" s="462"/>
      <c r="GF62" s="447"/>
      <c r="GG62" s="458"/>
      <c r="GH62" s="458"/>
      <c r="GI62" s="458"/>
      <c r="GJ62" s="462"/>
    </row>
    <row r="63" spans="1:192" s="1263" customFormat="1" ht="12.75" hidden="1" customHeight="1" outlineLevel="1">
      <c r="A63" s="1260"/>
      <c r="B63" s="1429" t="s">
        <v>259</v>
      </c>
      <c r="C63" s="1430"/>
      <c r="D63" s="1431"/>
      <c r="E63" s="1431"/>
      <c r="F63" s="1431"/>
      <c r="G63" s="1432"/>
      <c r="H63" s="1430"/>
      <c r="I63" s="1431"/>
      <c r="J63" s="1431"/>
      <c r="K63" s="1431"/>
      <c r="L63" s="1432"/>
      <c r="M63" s="1430"/>
      <c r="N63" s="1431"/>
      <c r="O63" s="1431"/>
      <c r="P63" s="1431"/>
      <c r="Q63" s="1432"/>
      <c r="R63" s="1430"/>
      <c r="S63" s="1431"/>
      <c r="T63" s="1431"/>
      <c r="U63" s="1431"/>
      <c r="V63" s="1432"/>
      <c r="W63" s="1430"/>
      <c r="X63" s="1431"/>
      <c r="Y63" s="1431"/>
      <c r="Z63" s="1431"/>
      <c r="AA63" s="1432"/>
      <c r="AB63" s="1430"/>
      <c r="AC63" s="1431"/>
      <c r="AD63" s="1431"/>
      <c r="AE63" s="1431"/>
      <c r="AF63" s="1432"/>
      <c r="AG63" s="1430"/>
      <c r="AH63" s="1431"/>
      <c r="AI63" s="1431"/>
      <c r="AJ63" s="1431"/>
      <c r="AK63" s="1432"/>
      <c r="AL63" s="1430"/>
      <c r="AM63" s="1431"/>
      <c r="AN63" s="1431"/>
      <c r="AO63" s="1431"/>
      <c r="AP63" s="1432"/>
      <c r="AQ63" s="1430"/>
      <c r="AR63" s="1431"/>
      <c r="AS63" s="1431"/>
      <c r="AT63" s="1431"/>
      <c r="AU63" s="1432"/>
      <c r="AV63" s="1430"/>
      <c r="AW63" s="1431"/>
      <c r="AX63" s="1431"/>
      <c r="AY63" s="1431"/>
      <c r="AZ63" s="1432"/>
      <c r="BA63" s="1430"/>
      <c r="BB63" s="1431"/>
      <c r="BC63" s="1431"/>
      <c r="BD63" s="1431"/>
      <c r="BE63" s="1432"/>
      <c r="BF63" s="1430"/>
      <c r="BG63" s="1431"/>
      <c r="BH63" s="1431"/>
      <c r="BI63" s="1431"/>
      <c r="BJ63" s="1432"/>
      <c r="BK63" s="1430"/>
      <c r="BL63" s="1431"/>
      <c r="BM63" s="1431"/>
      <c r="BN63" s="1431"/>
      <c r="BO63" s="1432"/>
      <c r="BP63" s="1430"/>
      <c r="BQ63" s="1431"/>
      <c r="BR63" s="1431"/>
      <c r="BS63" s="1431"/>
      <c r="BT63" s="1432"/>
      <c r="BU63" s="1430"/>
      <c r="BV63" s="1431"/>
      <c r="BW63" s="1431"/>
      <c r="BX63" s="1431"/>
      <c r="BY63" s="1432"/>
      <c r="BZ63" s="1430"/>
      <c r="CA63" s="1431"/>
      <c r="CB63" s="1431"/>
      <c r="CC63" s="1431"/>
      <c r="CD63" s="1262"/>
      <c r="CE63" s="1430"/>
      <c r="CF63" s="1431"/>
      <c r="CG63" s="1431"/>
      <c r="CH63" s="1431"/>
      <c r="CI63" s="1262"/>
      <c r="CJ63" s="1430"/>
      <c r="CK63" s="1431"/>
      <c r="CL63" s="1431"/>
      <c r="CM63" s="1431"/>
      <c r="CN63" s="1262"/>
      <c r="CO63" s="1430"/>
      <c r="CP63" s="1431"/>
      <c r="CQ63" s="1431"/>
      <c r="CR63" s="1431"/>
      <c r="CS63" s="1262"/>
      <c r="CT63" s="1430"/>
      <c r="CU63" s="1431"/>
      <c r="CV63" s="1431"/>
      <c r="CW63" s="1431"/>
      <c r="CX63" s="1262"/>
      <c r="CY63" s="1433">
        <f t="shared" ref="CY63:ED63" si="57">CY58/CY50</f>
      </c>
      <c r="CZ63" s="1261">
        <f t="shared" si="57"/>
      </c>
      <c r="DA63" s="1261">
        <f t="shared" si="57"/>
      </c>
      <c r="DB63" s="1261">
        <f t="shared" si="57"/>
      </c>
      <c r="DC63" s="1262">
        <f t="shared" si="57"/>
      </c>
      <c r="DD63" s="1433">
        <f t="shared" si="57"/>
      </c>
      <c r="DE63" s="1261">
        <f t="shared" si="57"/>
      </c>
      <c r="DF63" s="1261">
        <f t="shared" si="57"/>
      </c>
      <c r="DG63" s="1261">
        <f t="shared" si="57"/>
      </c>
      <c r="DH63" s="1262">
        <f t="shared" si="57"/>
      </c>
      <c r="DI63" s="1433">
        <f t="shared" si="57"/>
      </c>
      <c r="DJ63" s="1261">
        <f t="shared" si="57"/>
      </c>
      <c r="DK63" s="1261">
        <f t="shared" si="57"/>
      </c>
      <c r="DL63" s="1261">
        <f t="shared" si="57"/>
      </c>
      <c r="DM63" s="1262">
        <f t="shared" si="57"/>
      </c>
      <c r="DN63" s="1433">
        <f t="shared" si="57"/>
      </c>
      <c r="DO63" s="1261">
        <f t="shared" si="57"/>
      </c>
      <c r="DP63" s="1261">
        <f t="shared" si="57"/>
      </c>
      <c r="DQ63" s="1261">
        <f t="shared" si="57"/>
      </c>
      <c r="DR63" s="1262">
        <f t="shared" si="57"/>
      </c>
      <c r="DS63" s="1433">
        <f t="shared" si="57"/>
      </c>
      <c r="DT63" s="1261">
        <f t="shared" si="57"/>
      </c>
      <c r="DU63" s="1261">
        <f t="shared" si="57"/>
      </c>
      <c r="DV63" s="1261">
        <f t="shared" si="57"/>
      </c>
      <c r="DW63" s="1262">
        <f t="shared" si="57"/>
      </c>
      <c r="DX63" s="1433">
        <f t="shared" si="57"/>
      </c>
      <c r="DY63" s="1261">
        <f t="shared" si="57"/>
      </c>
      <c r="DZ63" s="1261">
        <f t="shared" si="57"/>
      </c>
      <c r="EA63" s="1261">
        <f t="shared" si="57"/>
      </c>
      <c r="EB63" s="1262">
        <f t="shared" si="57"/>
      </c>
      <c r="EC63" s="1433">
        <f t="shared" si="57"/>
      </c>
      <c r="ED63" s="1261">
        <f t="shared" si="57"/>
      </c>
      <c r="EE63" s="1261">
        <f t="shared" ref="EE63:EV63" si="58">EE58/EE50</f>
      </c>
      <c r="EF63" s="1261">
        <f t="shared" si="58"/>
      </c>
      <c r="EG63" s="1262">
        <f t="shared" si="58"/>
      </c>
      <c r="EH63" s="1433">
        <f t="shared" si="58"/>
      </c>
      <c r="EI63" s="1261">
        <f t="shared" si="58"/>
      </c>
      <c r="EJ63" s="1261">
        <f t="shared" si="58"/>
      </c>
      <c r="EK63" s="1261">
        <f t="shared" si="58"/>
      </c>
      <c r="EL63" s="1262">
        <f t="shared" si="58"/>
      </c>
      <c r="EM63" s="1433">
        <f t="shared" si="58"/>
      </c>
      <c r="EN63" s="1433">
        <f t="shared" si="58"/>
      </c>
      <c r="EO63" s="1433">
        <f t="shared" si="58"/>
      </c>
      <c r="EP63" s="1261">
        <f t="shared" si="58"/>
      </c>
      <c r="EQ63" s="1262">
        <f t="shared" si="58"/>
      </c>
      <c r="ER63" s="1433">
        <f t="shared" si="58"/>
      </c>
      <c r="ES63" s="1261">
        <f t="shared" si="58"/>
      </c>
      <c r="ET63" s="1433">
        <f t="shared" si="58"/>
      </c>
      <c r="EU63" s="1261">
        <f t="shared" si="58"/>
      </c>
      <c r="EV63" s="1262">
        <f t="shared" si="58"/>
      </c>
      <c r="EW63" s="1430"/>
      <c r="EX63" s="1431"/>
      <c r="EY63" s="1431"/>
      <c r="EZ63" s="1431"/>
      <c r="FA63" s="1262"/>
      <c r="FB63" s="1430"/>
      <c r="FC63" s="1430"/>
      <c r="FD63" s="1430"/>
      <c r="FE63" s="1430"/>
      <c r="FF63" s="1262"/>
      <c r="FG63" s="1430"/>
      <c r="FH63" s="1430"/>
      <c r="FI63" s="1430"/>
      <c r="FJ63" s="1430"/>
      <c r="FK63" s="1262"/>
      <c r="FL63" s="1430"/>
      <c r="FM63" s="1430"/>
      <c r="FN63" s="1430"/>
      <c r="FO63" s="1430"/>
      <c r="FP63" s="1262"/>
      <c r="FQ63" s="1430"/>
      <c r="FR63" s="1430"/>
      <c r="FS63" s="1430"/>
      <c r="FT63" s="1430"/>
      <c r="FU63" s="1262"/>
      <c r="FV63" s="1430"/>
      <c r="FW63" s="1430"/>
      <c r="FX63" s="1430"/>
      <c r="FY63" s="1430"/>
      <c r="FZ63" s="1262"/>
      <c r="GA63" s="1430"/>
      <c r="GB63" s="1430"/>
      <c r="GC63" s="1430"/>
      <c r="GD63" s="1430"/>
      <c r="GE63" s="1262"/>
      <c r="GF63" s="1430"/>
      <c r="GG63" s="1430"/>
      <c r="GH63" s="1430"/>
      <c r="GI63" s="1430"/>
      <c r="GJ63" s="1262"/>
    </row>
    <row r="64" spans="1:192" s="1247" customFormat="1" ht="12.75" hidden="1" customHeight="1" outlineLevel="1">
      <c r="A64" s="1561"/>
      <c r="B64" s="753" t="s">
        <v>1854</v>
      </c>
      <c r="C64" s="1243"/>
      <c r="D64" s="1244"/>
      <c r="E64" s="1244"/>
      <c r="F64" s="1244"/>
      <c r="G64" s="1242"/>
      <c r="H64" s="1243"/>
      <c r="I64" s="1244"/>
      <c r="J64" s="1244"/>
      <c r="K64" s="1244"/>
      <c r="L64" s="1242"/>
      <c r="M64" s="1243"/>
      <c r="N64" s="1244"/>
      <c r="O64" s="1244"/>
      <c r="P64" s="1244"/>
      <c r="Q64" s="1242"/>
      <c r="R64" s="1243"/>
      <c r="S64" s="1244"/>
      <c r="T64" s="1244"/>
      <c r="U64" s="1244"/>
      <c r="V64" s="1242"/>
      <c r="W64" s="1243"/>
      <c r="X64" s="1244"/>
      <c r="Y64" s="1244"/>
      <c r="Z64" s="1244"/>
      <c r="AA64" s="1242"/>
      <c r="AB64" s="1243"/>
      <c r="AC64" s="1244"/>
      <c r="AD64" s="1244"/>
      <c r="AE64" s="1244"/>
      <c r="AF64" s="1242"/>
      <c r="AG64" s="1243"/>
      <c r="AH64" s="1244"/>
      <c r="AI64" s="1244"/>
      <c r="AJ64" s="1244"/>
      <c r="AK64" s="1242"/>
      <c r="AL64" s="1243"/>
      <c r="AM64" s="1244"/>
      <c r="AN64" s="1244"/>
      <c r="AO64" s="1244"/>
      <c r="AP64" s="1242"/>
      <c r="AQ64" s="1243"/>
      <c r="AR64" s="1244"/>
      <c r="AS64" s="1244"/>
      <c r="AT64" s="1244"/>
      <c r="AU64" s="1242"/>
      <c r="AV64" s="1243"/>
      <c r="AW64" s="1244"/>
      <c r="AX64" s="1244"/>
      <c r="AY64" s="1244"/>
      <c r="AZ64" s="1242"/>
      <c r="BA64" s="1243"/>
      <c r="BB64" s="1244"/>
      <c r="BC64" s="1244"/>
      <c r="BD64" s="1244"/>
      <c r="BE64" s="1242"/>
      <c r="BF64" s="1243"/>
      <c r="BG64" s="1244"/>
      <c r="BH64" s="1244"/>
      <c r="BI64" s="1244"/>
      <c r="BJ64" s="1242"/>
      <c r="BK64" s="1243"/>
      <c r="BL64" s="1244"/>
      <c r="BM64" s="1244"/>
      <c r="BN64" s="1244"/>
      <c r="BO64" s="1242"/>
      <c r="BP64" s="1243"/>
      <c r="BQ64" s="1244"/>
      <c r="BR64" s="1244"/>
      <c r="BS64" s="1244"/>
      <c r="BT64" s="1242"/>
      <c r="BU64" s="1243"/>
      <c r="BV64" s="1244"/>
      <c r="BW64" s="1244"/>
      <c r="BX64" s="1244"/>
      <c r="BY64" s="1242"/>
      <c r="BZ64" s="1243"/>
      <c r="CA64" s="1244"/>
      <c r="CB64" s="1244"/>
      <c r="CC64" s="1244"/>
      <c r="CD64" s="1242"/>
      <c r="CE64" s="1243"/>
      <c r="CF64" s="1244"/>
      <c r="CG64" s="1244"/>
      <c r="CH64" s="1244"/>
      <c r="CI64" s="1242"/>
      <c r="CJ64" s="1243"/>
      <c r="CK64" s="1244"/>
      <c r="CL64" s="1244"/>
      <c r="CM64" s="1244"/>
      <c r="CN64" s="1242"/>
      <c r="CO64" s="1243"/>
      <c r="CP64" s="1244"/>
      <c r="CQ64" s="1244"/>
      <c r="CR64" s="1244"/>
      <c r="CS64" s="1242"/>
      <c r="CT64" s="1243"/>
      <c r="CU64" s="1244"/>
      <c r="CV64" s="1244"/>
      <c r="CW64" s="1244"/>
      <c r="CX64" s="1242"/>
      <c r="CY64" s="1243"/>
      <c r="CZ64" s="1244"/>
      <c r="DA64" s="1244"/>
      <c r="DB64" s="1244"/>
      <c r="DC64" s="1242"/>
      <c r="DD64" s="1243"/>
      <c r="DE64" s="1244"/>
      <c r="DF64" s="1244"/>
      <c r="DG64" s="1244"/>
      <c r="DH64" s="1245">
        <f t="shared" ref="DH64:EM64" si="59">(DH63-DC63)*10000</f>
      </c>
      <c r="DI64" s="1243">
        <f t="shared" si="59"/>
      </c>
      <c r="DJ64" s="1244">
        <f t="shared" si="59"/>
      </c>
      <c r="DK64" s="1244">
        <f t="shared" si="59"/>
      </c>
      <c r="DL64" s="1244">
        <f t="shared" si="59"/>
      </c>
      <c r="DM64" s="1242">
        <f t="shared" si="59"/>
      </c>
      <c r="DN64" s="1243">
        <f t="shared" si="59"/>
      </c>
      <c r="DO64" s="1244">
        <f t="shared" si="59"/>
      </c>
      <c r="DP64" s="1244">
        <f t="shared" si="59"/>
      </c>
      <c r="DQ64" s="1244">
        <f t="shared" si="59"/>
      </c>
      <c r="DR64" s="1242">
        <f t="shared" si="59"/>
      </c>
      <c r="DS64" s="1243">
        <f t="shared" si="59"/>
      </c>
      <c r="DT64" s="1244">
        <f t="shared" si="59"/>
      </c>
      <c r="DU64" s="1244">
        <f t="shared" si="59"/>
      </c>
      <c r="DV64" s="1244">
        <f t="shared" si="59"/>
      </c>
      <c r="DW64" s="1242">
        <f t="shared" si="59"/>
      </c>
      <c r="DX64" s="1243">
        <f t="shared" si="59"/>
      </c>
      <c r="DY64" s="1244">
        <f t="shared" si="59"/>
      </c>
      <c r="DZ64" s="1244">
        <f t="shared" si="59"/>
      </c>
      <c r="EA64" s="1244">
        <f t="shared" si="59"/>
      </c>
      <c r="EB64" s="1242">
        <f t="shared" si="59"/>
      </c>
      <c r="EC64" s="1243">
        <f t="shared" si="59"/>
      </c>
      <c r="ED64" s="1244">
        <f t="shared" si="59"/>
      </c>
      <c r="EE64" s="1244">
        <f t="shared" si="59"/>
      </c>
      <c r="EF64" s="1244">
        <f t="shared" si="59"/>
      </c>
      <c r="EG64" s="1242">
        <f t="shared" si="59"/>
      </c>
      <c r="EH64" s="1243">
        <f t="shared" si="59"/>
      </c>
      <c r="EI64" s="1244">
        <f t="shared" si="59"/>
      </c>
      <c r="EJ64" s="1244">
        <f t="shared" si="59"/>
      </c>
      <c r="EK64" s="1244">
        <f t="shared" si="59"/>
      </c>
      <c r="EL64" s="1242">
        <f t="shared" si="59"/>
      </c>
      <c r="EM64" s="1243">
        <f t="shared" si="59"/>
      </c>
      <c r="EN64" s="1243">
        <f t="shared" ref="EN64:EV64" si="60">(EN63-EI63)*10000</f>
      </c>
      <c r="EO64" s="1243">
        <f t="shared" si="60"/>
      </c>
      <c r="EP64" s="1244">
        <f t="shared" si="60"/>
      </c>
      <c r="EQ64" s="1242">
        <f t="shared" si="60"/>
      </c>
      <c r="ER64" s="1243">
        <f t="shared" si="60"/>
      </c>
      <c r="ES64" s="1244">
        <f t="shared" si="60"/>
      </c>
      <c r="ET64" s="1243">
        <f t="shared" si="60"/>
      </c>
      <c r="EU64" s="1244">
        <f t="shared" si="60"/>
      </c>
      <c r="EV64" s="1242">
        <f t="shared" si="60"/>
      </c>
      <c r="EW64" s="1243"/>
      <c r="EX64" s="1244"/>
      <c r="EY64" s="1244"/>
      <c r="EZ64" s="1244"/>
      <c r="FA64" s="1242"/>
      <c r="FB64" s="1243"/>
      <c r="FC64" s="1244"/>
      <c r="FD64" s="1244"/>
      <c r="FE64" s="1244"/>
      <c r="FF64" s="1242"/>
      <c r="FG64" s="1243"/>
      <c r="FH64" s="1244"/>
      <c r="FI64" s="1244"/>
      <c r="FJ64" s="1244"/>
      <c r="FK64" s="1242"/>
      <c r="FL64" s="1243"/>
      <c r="FM64" s="1243"/>
      <c r="FN64" s="1243"/>
      <c r="FO64" s="1243"/>
      <c r="FP64" s="1242"/>
      <c r="FQ64" s="1243"/>
      <c r="FR64" s="1243"/>
      <c r="FS64" s="1243"/>
      <c r="FT64" s="1243"/>
      <c r="FU64" s="1242"/>
      <c r="FV64" s="1243"/>
      <c r="FW64" s="1243"/>
      <c r="FX64" s="1243"/>
      <c r="FY64" s="1243"/>
      <c r="FZ64" s="1242"/>
      <c r="GA64" s="1243"/>
      <c r="GB64" s="1243"/>
      <c r="GC64" s="1243"/>
      <c r="GD64" s="1243"/>
      <c r="GE64" s="1242"/>
      <c r="GF64" s="1243"/>
      <c r="GG64" s="1243"/>
      <c r="GH64" s="1243"/>
      <c r="GI64" s="1243"/>
      <c r="GJ64" s="1242"/>
    </row>
    <row r="65" spans="1:192" ht="12.75" hidden="1" customHeight="1" outlineLevel="1">
      <c r="B65" s="727"/>
      <c r="C65" s="412"/>
      <c r="D65" s="114"/>
      <c r="E65" s="114"/>
      <c r="F65" s="114"/>
      <c r="G65" s="413"/>
      <c r="H65" s="412"/>
      <c r="I65" s="114"/>
      <c r="J65" s="114"/>
      <c r="K65" s="114"/>
      <c r="L65" s="413"/>
      <c r="M65" s="412"/>
      <c r="N65" s="114"/>
      <c r="O65" s="114"/>
      <c r="P65" s="114"/>
      <c r="Q65" s="413"/>
      <c r="R65" s="412"/>
      <c r="S65" s="114"/>
      <c r="T65" s="114"/>
      <c r="U65" s="114"/>
      <c r="V65" s="413"/>
      <c r="W65" s="412"/>
      <c r="X65" s="114"/>
      <c r="Y65" s="114"/>
      <c r="Z65" s="114"/>
      <c r="AA65" s="413"/>
      <c r="AB65" s="412"/>
      <c r="AC65" s="114"/>
      <c r="AD65" s="114"/>
      <c r="AE65" s="114"/>
      <c r="AF65" s="413"/>
      <c r="AG65" s="412"/>
      <c r="AH65" s="114"/>
      <c r="AI65" s="114"/>
      <c r="AJ65" s="114"/>
      <c r="AK65" s="413"/>
      <c r="AL65" s="412"/>
      <c r="AM65" s="114"/>
      <c r="AN65" s="114"/>
      <c r="AO65" s="114"/>
      <c r="AP65" s="413"/>
      <c r="AQ65" s="412"/>
      <c r="AR65" s="114"/>
      <c r="AS65" s="114"/>
      <c r="AT65" s="114"/>
      <c r="AU65" s="413"/>
      <c r="AV65" s="412"/>
      <c r="AW65" s="114"/>
      <c r="AX65" s="114"/>
      <c r="AY65" s="114"/>
      <c r="AZ65" s="413"/>
      <c r="BA65" s="412"/>
      <c r="BB65" s="114"/>
      <c r="BC65" s="114"/>
      <c r="BD65" s="114"/>
      <c r="BE65" s="413"/>
      <c r="BF65" s="412"/>
      <c r="BG65" s="114"/>
      <c r="BH65" s="114"/>
      <c r="BI65" s="114"/>
      <c r="BJ65" s="413"/>
      <c r="BK65" s="412"/>
      <c r="BL65" s="114"/>
      <c r="BM65" s="114"/>
      <c r="BN65" s="114"/>
      <c r="BO65" s="413"/>
      <c r="BP65" s="412"/>
      <c r="BQ65" s="114"/>
      <c r="BR65" s="114"/>
      <c r="BS65" s="114"/>
      <c r="BT65" s="413"/>
      <c r="BU65" s="412"/>
      <c r="BV65" s="114"/>
      <c r="BW65" s="114"/>
      <c r="BX65" s="114"/>
      <c r="BY65" s="413"/>
      <c r="BZ65" s="412"/>
      <c r="CA65" s="114"/>
      <c r="CB65" s="114"/>
      <c r="CC65" s="114"/>
      <c r="CD65" s="292"/>
      <c r="CE65" s="412"/>
      <c r="CF65" s="114"/>
      <c r="CG65" s="114"/>
      <c r="CH65" s="114"/>
      <c r="CI65" s="292"/>
      <c r="CJ65" s="412"/>
      <c r="CK65" s="114"/>
      <c r="CL65" s="114"/>
      <c r="CM65" s="114"/>
      <c r="CN65" s="292"/>
      <c r="CO65" s="412"/>
      <c r="CP65" s="114"/>
      <c r="CQ65" s="114"/>
      <c r="CR65" s="114"/>
      <c r="CS65" s="292"/>
      <c r="CT65" s="412"/>
      <c r="CU65" s="114"/>
      <c r="CV65" s="114"/>
      <c r="CW65" s="114"/>
      <c r="CX65" s="292"/>
      <c r="CY65" s="412"/>
      <c r="CZ65" s="114"/>
      <c r="DA65" s="114"/>
      <c r="DB65" s="114"/>
      <c r="DC65" s="292"/>
      <c r="DD65" s="412"/>
      <c r="DE65" s="114"/>
      <c r="DF65" s="114"/>
      <c r="DG65" s="114"/>
      <c r="DH65" s="292"/>
      <c r="DI65" s="412"/>
      <c r="DJ65" s="114"/>
      <c r="DK65" s="114"/>
      <c r="DL65" s="114"/>
      <c r="DM65" s="292"/>
      <c r="DN65" s="412"/>
      <c r="DO65" s="114"/>
      <c r="DP65" s="114"/>
      <c r="DQ65" s="114"/>
      <c r="DR65" s="292"/>
      <c r="DS65" s="412"/>
      <c r="DT65" s="114"/>
      <c r="DU65" s="114"/>
      <c r="DV65" s="114"/>
      <c r="DW65" s="292"/>
      <c r="DX65" s="412"/>
      <c r="DY65" s="114"/>
      <c r="DZ65" s="114"/>
      <c r="EA65" s="114"/>
      <c r="EB65" s="292"/>
      <c r="EC65" s="412"/>
      <c r="ED65" s="114"/>
      <c r="EE65" s="114"/>
      <c r="EF65" s="114"/>
      <c r="EG65" s="292"/>
      <c r="EH65" s="412"/>
      <c r="EI65" s="114"/>
      <c r="EJ65" s="114"/>
      <c r="EK65" s="114"/>
      <c r="EL65" s="292"/>
      <c r="EM65" s="412"/>
      <c r="EN65" s="114"/>
      <c r="EO65" s="114"/>
      <c r="EP65" s="114"/>
      <c r="EQ65" s="292"/>
      <c r="ER65" s="412"/>
      <c r="ES65" s="107"/>
      <c r="ET65" s="107"/>
      <c r="EU65" s="107"/>
      <c r="EV65" s="292"/>
      <c r="EW65" s="291"/>
      <c r="EX65" s="107"/>
      <c r="EY65" s="107"/>
      <c r="EZ65" s="107"/>
      <c r="FA65" s="292"/>
      <c r="FB65" s="291"/>
      <c r="FC65" s="107"/>
      <c r="FD65" s="107"/>
      <c r="FE65" s="107"/>
      <c r="FF65" s="292"/>
      <c r="FG65" s="291"/>
      <c r="FH65" s="107"/>
      <c r="FI65" s="107"/>
      <c r="FJ65" s="107"/>
      <c r="FK65" s="292"/>
      <c r="FL65" s="291"/>
      <c r="FM65" s="107"/>
      <c r="FN65" s="107"/>
      <c r="FO65" s="107"/>
      <c r="FP65" s="292"/>
      <c r="FQ65" s="291"/>
      <c r="FR65" s="107"/>
      <c r="FS65" s="107"/>
      <c r="FT65" s="107"/>
      <c r="FU65" s="292"/>
      <c r="FV65" s="291"/>
      <c r="FW65" s="107"/>
      <c r="FX65" s="107"/>
      <c r="FY65" s="107"/>
      <c r="FZ65" s="292"/>
      <c r="GA65" s="291"/>
      <c r="GB65" s="107"/>
      <c r="GC65" s="107"/>
      <c r="GD65" s="107"/>
      <c r="GE65" s="292"/>
      <c r="GF65" s="291"/>
      <c r="GG65" s="107"/>
      <c r="GH65" s="107"/>
      <c r="GI65" s="107"/>
      <c r="GJ65" s="292"/>
    </row>
    <row r="66" spans="1:192" s="317" customFormat="1" ht="12.75" hidden="1" customHeight="1" outlineLevel="1" collapsed="1">
      <c r="A66" s="280"/>
      <c r="B66" s="730" t="s">
        <v>1998</v>
      </c>
      <c r="C66" s="315"/>
      <c r="D66" s="315"/>
      <c r="E66" s="315"/>
      <c r="F66" s="315"/>
      <c r="G66" s="313"/>
      <c r="H66" s="315"/>
      <c r="I66" s="315"/>
      <c r="J66" s="315"/>
      <c r="K66" s="315"/>
      <c r="L66" s="313"/>
      <c r="M66" s="315"/>
      <c r="N66" s="315"/>
      <c r="O66" s="315"/>
      <c r="P66" s="315"/>
      <c r="Q66" s="313"/>
      <c r="R66" s="315"/>
      <c r="S66" s="315"/>
      <c r="T66" s="315"/>
      <c r="U66" s="315"/>
      <c r="V66" s="313"/>
      <c r="W66" s="315"/>
      <c r="X66" s="315"/>
      <c r="Y66" s="315"/>
      <c r="Z66" s="315"/>
      <c r="AA66" s="313"/>
      <c r="AB66" s="315"/>
      <c r="AC66" s="315"/>
      <c r="AD66" s="315"/>
      <c r="AE66" s="315"/>
      <c r="AF66" s="313"/>
      <c r="AG66" s="315"/>
      <c r="AH66" s="315"/>
      <c r="AI66" s="315"/>
      <c r="AJ66" s="315"/>
      <c r="AK66" s="313"/>
      <c r="AL66" s="315"/>
      <c r="AM66" s="315"/>
      <c r="AN66" s="315"/>
      <c r="AO66" s="315"/>
      <c r="AP66" s="313"/>
      <c r="AQ66" s="315"/>
      <c r="AR66" s="315"/>
      <c r="AS66" s="315"/>
      <c r="AT66" s="315"/>
      <c r="AU66" s="313"/>
      <c r="AV66" s="315"/>
      <c r="AW66" s="315"/>
      <c r="AX66" s="315"/>
      <c r="AY66" s="315"/>
      <c r="AZ66" s="313"/>
      <c r="BA66" s="315"/>
      <c r="BB66" s="315"/>
      <c r="BC66" s="315"/>
      <c r="BD66" s="315"/>
      <c r="BE66" s="313"/>
      <c r="BF66" s="315"/>
      <c r="BG66" s="315"/>
      <c r="BH66" s="315"/>
      <c r="BI66" s="315"/>
      <c r="BJ66" s="313"/>
      <c r="BK66" s="315"/>
      <c r="BL66" s="315"/>
      <c r="BM66" s="315"/>
      <c r="BN66" s="315"/>
      <c r="BO66" s="313"/>
      <c r="BP66" s="315"/>
      <c r="BQ66" s="315"/>
      <c r="BR66" s="315"/>
      <c r="BS66" s="315"/>
      <c r="BT66" s="313"/>
      <c r="BU66" s="315"/>
      <c r="BV66" s="315"/>
      <c r="BW66" s="315"/>
      <c r="BX66" s="315"/>
      <c r="BY66" s="313"/>
      <c r="BZ66" s="315"/>
      <c r="CA66" s="315"/>
      <c r="CB66" s="315"/>
      <c r="CC66" s="315"/>
      <c r="CD66" s="319"/>
      <c r="CE66" s="315"/>
      <c r="CF66" s="315"/>
      <c r="CG66" s="315"/>
      <c r="CH66" s="315"/>
      <c r="CI66" s="319"/>
      <c r="CJ66" s="315"/>
      <c r="CK66" s="315"/>
      <c r="CL66" s="315"/>
      <c r="CM66" s="315"/>
      <c r="CN66" s="319"/>
      <c r="CO66" s="315"/>
      <c r="CP66" s="315"/>
      <c r="CQ66" s="315"/>
      <c r="CR66" s="315"/>
      <c r="CS66" s="319"/>
      <c r="CT66" s="316"/>
      <c r="CU66" s="316"/>
      <c r="CV66" s="316"/>
      <c r="CW66" s="316"/>
      <c r="CX66" s="319"/>
      <c r="CY66" s="312">
        <f>DD66/(1+DD67)</f>
      </c>
      <c r="CZ66" s="312">
        <f>DE66/(1+DE67)</f>
      </c>
      <c r="DA66" s="312">
        <f>DF66/(1+DF67)</f>
      </c>
      <c r="DB66" s="312">
        <f>DG66/(1+DG67)</f>
      </c>
      <c r="DC66" s="319">
        <f>SUM(CY66:DB66)</f>
      </c>
      <c r="DD66" s="312">
        <f>DI66/(1+DI67)</f>
      </c>
      <c r="DE66" s="312">
        <f>DJ66/(1+DJ67)</f>
      </c>
      <c r="DF66" s="312">
        <f>DK66/(1+DK67)</f>
      </c>
      <c r="DG66" s="312">
        <f>DL66/(1+DL67)</f>
      </c>
      <c r="DH66" s="319">
        <f>SUM(DD66:DG66)</f>
      </c>
      <c r="DI66" s="312">
        <f>DN66/(1+DN67)</f>
      </c>
      <c r="DJ66" s="312">
        <f>DO66/(1+DO67)</f>
      </c>
      <c r="DK66" s="312">
        <f>DP66/(1+DP67)</f>
      </c>
      <c r="DL66" s="312">
        <f>DQ66/(1+DQ67)</f>
      </c>
      <c r="DM66" s="319">
        <f>SUM(DI66:DL66)</f>
      </c>
      <c r="DN66" s="312">
        <f>DS66/(1+DS67)</f>
      </c>
      <c r="DO66" s="312">
        <f>DT66/(1+DT67)</f>
      </c>
      <c r="DP66" s="312">
        <f>DU66/(1+DU67)</f>
      </c>
      <c r="DQ66" s="312">
        <f>DV66/(1+DV67)</f>
      </c>
      <c r="DR66" s="319">
        <f>SUM(DN66:DQ66)</f>
      </c>
      <c r="DS66" s="312">
        <f>DX66/(1+DX67)</f>
      </c>
      <c r="DT66" s="312">
        <f>DY66/(1+DY67)</f>
      </c>
      <c r="DU66" s="312">
        <f>DZ66/(1+DZ67)</f>
      </c>
      <c r="DV66" s="312">
        <f>EA66/(1+EA67)</f>
      </c>
      <c r="DW66" s="319">
        <f>SUM(DS66:DV66)</f>
      </c>
      <c r="DX66" s="312">
        <f>EC66/(1+EC67)</f>
      </c>
      <c r="DY66" s="312">
        <f>ED66/(1+ED67)</f>
      </c>
      <c r="DZ66" s="312">
        <f>EE66/(1+EE67)</f>
      </c>
      <c r="EA66" s="312">
        <f>EF66/(1+EF67)</f>
      </c>
      <c r="EB66" s="319">
        <f>SUM(DX66:EA66)</f>
      </c>
      <c r="EC66" s="312">
        <f>EH66/(1+EH67)</f>
      </c>
      <c r="ED66" s="312">
        <f>EI66/(1+EI67)</f>
      </c>
      <c r="EE66" s="312">
        <f>EJ66/(1+EJ67)</f>
      </c>
      <c r="EF66" s="312">
        <f>EK66/(1+EK67)</f>
      </c>
      <c r="EG66" s="319">
        <f>SUM(EC66:EF66)</f>
      </c>
      <c r="EH66" s="312">
        <f>EM70/EM67</f>
      </c>
      <c r="EI66" s="312">
        <f>EN70/EN67</f>
      </c>
      <c r="EJ66" s="312">
        <f>EO70/EO67</f>
      </c>
      <c r="EK66" s="312">
        <f>EP70/EP67</f>
      </c>
      <c r="EL66" s="319">
        <f>SUM(EH66:EK66)</f>
      </c>
      <c r="EM66" s="312">
        <f>EH66*(1+EM67)</f>
      </c>
      <c r="EN66" s="312">
        <f>EI66*(1+EN67)</f>
      </c>
      <c r="EO66" s="312">
        <f>EJ66*(1+EO67)</f>
      </c>
      <c r="EP66" s="312">
        <f>EK66*(1+EP67)</f>
      </c>
      <c r="EQ66" s="319">
        <f>SUM(EM66:EP66)</f>
      </c>
      <c r="ER66" s="312">
        <f>EM66*(1+ER67)</f>
      </c>
      <c r="ES66" s="312">
        <f>EN66*(1+ES67)</f>
      </c>
      <c r="ET66" s="312">
        <f>EO66*(1+ET67)</f>
      </c>
      <c r="EU66" s="312">
        <f>EP66*(1+EU67)</f>
      </c>
      <c r="EV66" s="319">
        <f>SUM(ER66:EU66)</f>
      </c>
      <c r="EW66" s="316"/>
      <c r="EX66" s="316"/>
      <c r="EY66" s="316"/>
      <c r="EZ66" s="316"/>
      <c r="FA66" s="313"/>
      <c r="FB66" s="316"/>
      <c r="FC66" s="316"/>
      <c r="FD66" s="316"/>
      <c r="FE66" s="316"/>
      <c r="FF66" s="313"/>
      <c r="FG66" s="316"/>
      <c r="FH66" s="316"/>
      <c r="FI66" s="316"/>
      <c r="FJ66" s="316"/>
      <c r="FK66" s="313"/>
      <c r="FL66" s="316"/>
      <c r="FM66" s="316"/>
      <c r="FN66" s="316"/>
      <c r="FO66" s="316"/>
      <c r="FP66" s="313"/>
      <c r="FQ66" s="316"/>
      <c r="FR66" s="316"/>
      <c r="FS66" s="316"/>
      <c r="FT66" s="316"/>
      <c r="FU66" s="313"/>
      <c r="FV66" s="316"/>
      <c r="FW66" s="316"/>
      <c r="FX66" s="316"/>
      <c r="FY66" s="316"/>
      <c r="FZ66" s="313"/>
      <c r="GA66" s="316"/>
      <c r="GB66" s="316"/>
      <c r="GC66" s="316"/>
      <c r="GD66" s="316"/>
      <c r="GE66" s="313"/>
      <c r="GF66" s="316"/>
      <c r="GG66" s="316"/>
      <c r="GH66" s="316"/>
      <c r="GI66" s="316"/>
      <c r="GJ66" s="313"/>
    </row>
    <row r="67" spans="1:192" ht="12.75" hidden="1" customHeight="1" outlineLevel="1">
      <c r="B67" s="727" t="s">
        <v>34</v>
      </c>
      <c r="C67" s="412"/>
      <c r="D67" s="114"/>
      <c r="E67" s="114"/>
      <c r="F67" s="114"/>
      <c r="G67" s="413"/>
      <c r="H67" s="412"/>
      <c r="I67" s="114"/>
      <c r="J67" s="114"/>
      <c r="K67" s="114"/>
      <c r="L67" s="413"/>
      <c r="M67" s="412"/>
      <c r="N67" s="114"/>
      <c r="O67" s="114"/>
      <c r="P67" s="114"/>
      <c r="Q67" s="413"/>
      <c r="R67" s="412"/>
      <c r="S67" s="114"/>
      <c r="T67" s="114"/>
      <c r="U67" s="114"/>
      <c r="V67" s="413"/>
      <c r="W67" s="412"/>
      <c r="X67" s="114"/>
      <c r="Y67" s="114"/>
      <c r="Z67" s="114"/>
      <c r="AA67" s="413"/>
      <c r="AB67" s="412"/>
      <c r="AC67" s="114"/>
      <c r="AD67" s="114"/>
      <c r="AE67" s="114"/>
      <c r="AF67" s="413"/>
      <c r="AG67" s="412"/>
      <c r="AH67" s="114"/>
      <c r="AI67" s="114"/>
      <c r="AJ67" s="114"/>
      <c r="AK67" s="413"/>
      <c r="AL67" s="412"/>
      <c r="AM67" s="114"/>
      <c r="AN67" s="114"/>
      <c r="AO67" s="114"/>
      <c r="AP67" s="413"/>
      <c r="AQ67" s="412"/>
      <c r="AR67" s="114"/>
      <c r="AS67" s="114"/>
      <c r="AT67" s="114"/>
      <c r="AU67" s="413"/>
      <c r="AV67" s="412"/>
      <c r="AW67" s="114"/>
      <c r="AX67" s="114"/>
      <c r="AY67" s="114"/>
      <c r="AZ67" s="413"/>
      <c r="BA67" s="412"/>
      <c r="BB67" s="114"/>
      <c r="BC67" s="114"/>
      <c r="BD67" s="114"/>
      <c r="BE67" s="413"/>
      <c r="BF67" s="412"/>
      <c r="BG67" s="114"/>
      <c r="BH67" s="114"/>
      <c r="BI67" s="114"/>
      <c r="BJ67" s="413"/>
      <c r="BK67" s="412"/>
      <c r="BL67" s="114"/>
      <c r="BM67" s="114"/>
      <c r="BN67" s="114"/>
      <c r="BO67" s="413"/>
      <c r="BP67" s="412"/>
      <c r="BQ67" s="114"/>
      <c r="BR67" s="114"/>
      <c r="BS67" s="114"/>
      <c r="BT67" s="413"/>
      <c r="BU67" s="412"/>
      <c r="BV67" s="114"/>
      <c r="BW67" s="114"/>
      <c r="BX67" s="114"/>
      <c r="BY67" s="413"/>
      <c r="BZ67" s="412"/>
      <c r="CA67" s="114"/>
      <c r="CB67" s="114"/>
      <c r="CC67" s="114"/>
      <c r="CD67" s="292"/>
      <c r="CE67" s="412"/>
      <c r="CF67" s="114"/>
      <c r="CG67" s="114"/>
      <c r="CH67" s="114"/>
      <c r="CI67" s="292"/>
      <c r="CJ67" s="412"/>
      <c r="CK67" s="114"/>
      <c r="CL67" s="114"/>
      <c r="CM67" s="114"/>
      <c r="CN67" s="292"/>
      <c r="CO67" s="412"/>
      <c r="CP67" s="114"/>
      <c r="CQ67" s="114"/>
      <c r="CR67" s="114"/>
      <c r="CS67" s="292"/>
      <c r="CT67" s="412"/>
      <c r="CU67" s="114"/>
      <c r="CV67" s="114"/>
      <c r="CW67" s="114"/>
      <c r="CX67" s="292"/>
      <c r="CY67" s="412"/>
      <c r="CZ67" s="114"/>
      <c r="DA67" s="114"/>
      <c r="DB67" s="114"/>
      <c r="DC67" s="292"/>
      <c r="DD67" s="412">
        <v>0.02</v>
      </c>
      <c r="DE67" s="114">
        <v>0.11</v>
      </c>
      <c r="DF67" s="114">
        <v>0.13</v>
      </c>
      <c r="DG67" s="114">
        <v>0.22</v>
      </c>
      <c r="DH67" s="292">
        <f>DH66/DC66-1</f>
      </c>
      <c r="DI67" s="412">
        <v>0.21</v>
      </c>
      <c r="DJ67" s="114">
        <v>0.12</v>
      </c>
      <c r="DK67" s="114">
        <v>0.11</v>
      </c>
      <c r="DL67" s="114">
        <v>0.02</v>
      </c>
      <c r="DM67" s="292">
        <f>DM66/DH66-1</f>
      </c>
      <c r="DN67" s="412">
        <v>0.03</v>
      </c>
      <c r="DO67" s="114">
        <v>0.03</v>
      </c>
      <c r="DP67" s="114">
        <v>0.09</v>
      </c>
      <c r="DQ67" s="114">
        <v>0.11</v>
      </c>
      <c r="DR67" s="292">
        <f>DR66/DM66-1</f>
      </c>
      <c r="DS67" s="412">
        <v>0.19</v>
      </c>
      <c r="DT67" s="114">
        <v>0.26</v>
      </c>
      <c r="DU67" s="114">
        <v>0.22</v>
      </c>
      <c r="DV67" s="114">
        <v>0.23</v>
      </c>
      <c r="DW67" s="292">
        <f>DW66/DR66-1</f>
      </c>
      <c r="DX67" s="412">
        <v>0.22</v>
      </c>
      <c r="DY67" s="114">
        <v>0.18</v>
      </c>
      <c r="DZ67" s="114">
        <v>0.19</v>
      </c>
      <c r="EA67" s="114">
        <v>0.19</v>
      </c>
      <c r="EB67" s="292">
        <f>EB66/DW66-1</f>
      </c>
      <c r="EC67" s="412">
        <v>0.1</v>
      </c>
      <c r="ED67" s="114">
        <v>0.12</v>
      </c>
      <c r="EE67" s="114">
        <v>0.12</v>
      </c>
      <c r="EF67" s="114">
        <v>0.14000000000000001</v>
      </c>
      <c r="EG67" s="292">
        <f>EG66/EB66-1</f>
      </c>
      <c r="EH67" s="412">
        <v>0.13</v>
      </c>
      <c r="EI67" s="114">
        <v>0.14000000000000001</v>
      </c>
      <c r="EJ67" s="114">
        <v>0.17</v>
      </c>
      <c r="EK67" s="114">
        <v>0.2</v>
      </c>
      <c r="EL67" s="413">
        <v>0.16</v>
      </c>
      <c r="EM67" s="412">
        <v>0.25</v>
      </c>
      <c r="EN67" s="114">
        <v>0.34</v>
      </c>
      <c r="EO67" s="114">
        <v>0.19</v>
      </c>
      <c r="EP67" s="114">
        <v>0.1</v>
      </c>
      <c r="EQ67" s="292">
        <f>EQ66/EL66-1</f>
      </c>
      <c r="ER67" s="412">
        <v>0.02</v>
      </c>
      <c r="ES67" s="114">
        <v>-0.08</v>
      </c>
      <c r="ET67" s="439">
        <v>0.01</v>
      </c>
      <c r="EU67" s="439">
        <v>0.05</v>
      </c>
      <c r="EV67" s="292">
        <f>EV66/EQ66-1</f>
      </c>
      <c r="EW67" s="291"/>
      <c r="EX67" s="107"/>
      <c r="EY67" s="107"/>
      <c r="EZ67" s="107"/>
      <c r="FA67" s="292"/>
      <c r="FB67" s="291"/>
      <c r="FC67" s="107"/>
      <c r="FD67" s="107"/>
      <c r="FE67" s="107"/>
      <c r="FF67" s="292"/>
      <c r="FG67" s="291"/>
      <c r="FH67" s="107"/>
      <c r="FI67" s="107"/>
      <c r="FJ67" s="107"/>
      <c r="FK67" s="292"/>
      <c r="FL67" s="291"/>
      <c r="FM67" s="107"/>
      <c r="FN67" s="107"/>
      <c r="FO67" s="107"/>
      <c r="FP67" s="292"/>
      <c r="FQ67" s="291"/>
      <c r="FR67" s="107"/>
      <c r="FS67" s="107"/>
      <c r="FT67" s="107"/>
      <c r="FU67" s="292"/>
      <c r="FV67" s="291"/>
      <c r="FW67" s="107"/>
      <c r="FX67" s="107"/>
      <c r="FY67" s="107"/>
      <c r="FZ67" s="292"/>
      <c r="GA67" s="291"/>
      <c r="GB67" s="107"/>
      <c r="GC67" s="107"/>
      <c r="GD67" s="107"/>
      <c r="GE67" s="292"/>
      <c r="GF67" s="291"/>
      <c r="GG67" s="107"/>
      <c r="GH67" s="107"/>
      <c r="GI67" s="107"/>
      <c r="GJ67" s="292"/>
    </row>
    <row r="68" spans="1:192" ht="12.75" hidden="1" customHeight="1" outlineLevel="1">
      <c r="B68" s="727" t="s">
        <v>197</v>
      </c>
      <c r="C68" s="412"/>
      <c r="D68" s="114"/>
      <c r="E68" s="114"/>
      <c r="F68" s="114"/>
      <c r="G68" s="413"/>
      <c r="H68" s="412"/>
      <c r="I68" s="114"/>
      <c r="J68" s="114"/>
      <c r="K68" s="114"/>
      <c r="L68" s="413"/>
      <c r="M68" s="412"/>
      <c r="N68" s="114"/>
      <c r="O68" s="114"/>
      <c r="P68" s="114"/>
      <c r="Q68" s="413"/>
      <c r="R68" s="412"/>
      <c r="S68" s="114"/>
      <c r="T68" s="114"/>
      <c r="U68" s="114"/>
      <c r="V68" s="413"/>
      <c r="W68" s="412"/>
      <c r="X68" s="114"/>
      <c r="Y68" s="114"/>
      <c r="Z68" s="114"/>
      <c r="AA68" s="413"/>
      <c r="AB68" s="412"/>
      <c r="AC68" s="114"/>
      <c r="AD68" s="114"/>
      <c r="AE68" s="114"/>
      <c r="AF68" s="413"/>
      <c r="AG68" s="412"/>
      <c r="AH68" s="114"/>
      <c r="AI68" s="114"/>
      <c r="AJ68" s="114"/>
      <c r="AK68" s="413"/>
      <c r="AL68" s="412"/>
      <c r="AM68" s="114"/>
      <c r="AN68" s="114"/>
      <c r="AO68" s="114"/>
      <c r="AP68" s="413"/>
      <c r="AQ68" s="412"/>
      <c r="AR68" s="114"/>
      <c r="AS68" s="114"/>
      <c r="AT68" s="114"/>
      <c r="AU68" s="413"/>
      <c r="AV68" s="412"/>
      <c r="AW68" s="114"/>
      <c r="AX68" s="114"/>
      <c r="AY68" s="114"/>
      <c r="AZ68" s="413"/>
      <c r="BA68" s="412"/>
      <c r="BB68" s="114"/>
      <c r="BC68" s="114"/>
      <c r="BD68" s="114"/>
      <c r="BE68" s="413"/>
      <c r="BF68" s="412"/>
      <c r="BG68" s="114"/>
      <c r="BH68" s="114"/>
      <c r="BI68" s="114"/>
      <c r="BJ68" s="413"/>
      <c r="BK68" s="412"/>
      <c r="BL68" s="114"/>
      <c r="BM68" s="114"/>
      <c r="BN68" s="114"/>
      <c r="BO68" s="413"/>
      <c r="BP68" s="412"/>
      <c r="BQ68" s="114"/>
      <c r="BR68" s="114"/>
      <c r="BS68" s="114"/>
      <c r="BT68" s="413"/>
      <c r="BU68" s="412"/>
      <c r="BV68" s="114"/>
      <c r="BW68" s="114"/>
      <c r="BX68" s="114"/>
      <c r="BY68" s="413"/>
      <c r="BZ68" s="412"/>
      <c r="CA68" s="114"/>
      <c r="CB68" s="114"/>
      <c r="CC68" s="114"/>
      <c r="CD68" s="292"/>
      <c r="CE68" s="412"/>
      <c r="CF68" s="114"/>
      <c r="CG68" s="114"/>
      <c r="CH68" s="114"/>
      <c r="CI68" s="292"/>
      <c r="CJ68" s="412"/>
      <c r="CK68" s="114"/>
      <c r="CL68" s="114"/>
      <c r="CM68" s="114"/>
      <c r="CN68" s="292"/>
      <c r="CO68" s="412"/>
      <c r="CP68" s="114"/>
      <c r="CQ68" s="114"/>
      <c r="CR68" s="114"/>
      <c r="CS68" s="292"/>
      <c r="CT68" s="412"/>
      <c r="CU68" s="114"/>
      <c r="CV68" s="114"/>
      <c r="CW68" s="114"/>
      <c r="CX68" s="292"/>
      <c r="CY68" s="412"/>
      <c r="CZ68" s="114"/>
      <c r="DA68" s="114"/>
      <c r="DB68" s="114"/>
      <c r="DC68" s="292"/>
      <c r="DD68" s="412">
        <v>0.02</v>
      </c>
      <c r="DE68" s="114">
        <v>0.11</v>
      </c>
      <c r="DF68" s="114">
        <v>0.13</v>
      </c>
      <c r="DG68" s="114">
        <v>0.22</v>
      </c>
      <c r="DH68" s="292"/>
      <c r="DI68" s="412">
        <v>0.21</v>
      </c>
      <c r="DJ68" s="114">
        <v>0.13</v>
      </c>
      <c r="DK68" s="114">
        <v>0.11</v>
      </c>
      <c r="DL68" s="114">
        <v>0.03</v>
      </c>
      <c r="DM68" s="292"/>
      <c r="DN68" s="412">
        <v>0.02</v>
      </c>
      <c r="DO68" s="114">
        <v>0.02</v>
      </c>
      <c r="DP68" s="114">
        <v>7.0000000000000007E-2</v>
      </c>
      <c r="DQ68" s="114">
        <v>0.11</v>
      </c>
      <c r="DR68" s="292"/>
      <c r="DS68" s="412">
        <v>0.2</v>
      </c>
      <c r="DT68" s="114">
        <v>0.26</v>
      </c>
      <c r="DU68" s="114">
        <v>0.23</v>
      </c>
      <c r="DV68" s="114">
        <v>0.24</v>
      </c>
      <c r="DW68" s="292"/>
      <c r="DX68" s="412">
        <v>0.22</v>
      </c>
      <c r="DY68" s="114">
        <v>0.18</v>
      </c>
      <c r="DZ68" s="114">
        <v>0.19</v>
      </c>
      <c r="EA68" s="114">
        <v>0.19</v>
      </c>
      <c r="EB68" s="292"/>
      <c r="EC68" s="412">
        <v>0.1</v>
      </c>
      <c r="ED68" s="114">
        <v>0.11</v>
      </c>
      <c r="EE68" s="114">
        <v>0.1</v>
      </c>
      <c r="EF68" s="114">
        <v>0.12</v>
      </c>
      <c r="EG68" s="292"/>
      <c r="EH68" s="412">
        <v>0.12</v>
      </c>
      <c r="EI68" s="114">
        <v>0.14000000000000001</v>
      </c>
      <c r="EJ68" s="114">
        <v>0.19</v>
      </c>
      <c r="EK68" s="114">
        <v>0.22</v>
      </c>
      <c r="EL68" s="292"/>
      <c r="EM68" s="412">
        <v>0.28000000000000003</v>
      </c>
      <c r="EN68" s="114">
        <v>0.37</v>
      </c>
      <c r="EO68" s="114">
        <v>0.2</v>
      </c>
      <c r="EP68" s="114">
        <v>0.1</v>
      </c>
      <c r="EQ68" s="292"/>
      <c r="ER68" s="412">
        <v>0.01</v>
      </c>
      <c r="ES68" s="114">
        <v>-0.09</v>
      </c>
      <c r="ET68" s="439">
        <v>0.01</v>
      </c>
      <c r="EU68" s="439">
        <v>0.05</v>
      </c>
      <c r="EV68" s="292"/>
      <c r="EW68" s="291"/>
      <c r="EX68" s="107"/>
      <c r="EY68" s="107"/>
      <c r="EZ68" s="107"/>
      <c r="FA68" s="292"/>
      <c r="FB68" s="291"/>
      <c r="FC68" s="107"/>
      <c r="FD68" s="107"/>
      <c r="FE68" s="107"/>
      <c r="FF68" s="292"/>
      <c r="FG68" s="291"/>
      <c r="FH68" s="107"/>
      <c r="FI68" s="107"/>
      <c r="FJ68" s="107"/>
      <c r="FK68" s="292"/>
      <c r="FL68" s="291"/>
      <c r="FM68" s="107"/>
      <c r="FN68" s="107"/>
      <c r="FO68" s="107"/>
      <c r="FP68" s="292"/>
      <c r="FQ68" s="291"/>
      <c r="FR68" s="107"/>
      <c r="FS68" s="107"/>
      <c r="FT68" s="107"/>
      <c r="FU68" s="292"/>
      <c r="FV68" s="291"/>
      <c r="FW68" s="107"/>
      <c r="FX68" s="107"/>
      <c r="FY68" s="107"/>
      <c r="FZ68" s="292"/>
      <c r="GA68" s="291"/>
      <c r="GB68" s="107"/>
      <c r="GC68" s="107"/>
      <c r="GD68" s="107"/>
      <c r="GE68" s="292"/>
      <c r="GF68" s="291"/>
      <c r="GG68" s="107"/>
      <c r="GH68" s="107"/>
      <c r="GI68" s="107"/>
      <c r="GJ68" s="292"/>
    </row>
    <row r="69" spans="1:192" ht="12.75" hidden="1" customHeight="1" outlineLevel="1">
      <c r="B69" s="727" t="s">
        <v>36</v>
      </c>
      <c r="C69" s="412"/>
      <c r="D69" s="114"/>
      <c r="E69" s="114"/>
      <c r="F69" s="114"/>
      <c r="G69" s="413"/>
      <c r="H69" s="412"/>
      <c r="I69" s="114"/>
      <c r="J69" s="114"/>
      <c r="K69" s="114"/>
      <c r="L69" s="413"/>
      <c r="M69" s="412"/>
      <c r="N69" s="114"/>
      <c r="O69" s="114"/>
      <c r="P69" s="114"/>
      <c r="Q69" s="413"/>
      <c r="R69" s="412"/>
      <c r="S69" s="114"/>
      <c r="T69" s="114"/>
      <c r="U69" s="114"/>
      <c r="V69" s="413"/>
      <c r="W69" s="412"/>
      <c r="X69" s="114"/>
      <c r="Y69" s="114"/>
      <c r="Z69" s="114"/>
      <c r="AA69" s="413"/>
      <c r="AB69" s="412"/>
      <c r="AC69" s="114"/>
      <c r="AD69" s="114"/>
      <c r="AE69" s="114"/>
      <c r="AF69" s="413"/>
      <c r="AG69" s="412"/>
      <c r="AH69" s="114"/>
      <c r="AI69" s="114"/>
      <c r="AJ69" s="114"/>
      <c r="AK69" s="413"/>
      <c r="AL69" s="412"/>
      <c r="AM69" s="114"/>
      <c r="AN69" s="114"/>
      <c r="AO69" s="114"/>
      <c r="AP69" s="413"/>
      <c r="AQ69" s="412"/>
      <c r="AR69" s="114"/>
      <c r="AS69" s="114"/>
      <c r="AT69" s="114"/>
      <c r="AU69" s="413"/>
      <c r="AV69" s="412"/>
      <c r="AW69" s="114"/>
      <c r="AX69" s="114"/>
      <c r="AY69" s="114"/>
      <c r="AZ69" s="413"/>
      <c r="BA69" s="412"/>
      <c r="BB69" s="114"/>
      <c r="BC69" s="114"/>
      <c r="BD69" s="114"/>
      <c r="BE69" s="413"/>
      <c r="BF69" s="412"/>
      <c r="BG69" s="114"/>
      <c r="BH69" s="114"/>
      <c r="BI69" s="114"/>
      <c r="BJ69" s="413"/>
      <c r="BK69" s="412"/>
      <c r="BL69" s="114"/>
      <c r="BM69" s="114"/>
      <c r="BN69" s="114"/>
      <c r="BO69" s="413"/>
      <c r="BP69" s="412"/>
      <c r="BQ69" s="114"/>
      <c r="BR69" s="114"/>
      <c r="BS69" s="114"/>
      <c r="BT69" s="413"/>
      <c r="BU69" s="412"/>
      <c r="BV69" s="114"/>
      <c r="BW69" s="114"/>
      <c r="BX69" s="114"/>
      <c r="BY69" s="413"/>
      <c r="BZ69" s="412"/>
      <c r="CA69" s="114"/>
      <c r="CB69" s="114"/>
      <c r="CC69" s="114"/>
      <c r="CD69" s="292"/>
      <c r="CE69" s="412"/>
      <c r="CF69" s="114"/>
      <c r="CG69" s="114"/>
      <c r="CH69" s="114"/>
      <c r="CI69" s="292"/>
      <c r="CJ69" s="412"/>
      <c r="CK69" s="114"/>
      <c r="CL69" s="114"/>
      <c r="CM69" s="114"/>
      <c r="CN69" s="292"/>
      <c r="CO69" s="412"/>
      <c r="CP69" s="114"/>
      <c r="CQ69" s="114"/>
      <c r="CR69" s="114"/>
      <c r="CS69" s="292"/>
      <c r="CT69" s="412"/>
      <c r="CU69" s="114"/>
      <c r="CV69" s="114"/>
      <c r="CW69" s="114"/>
      <c r="CX69" s="292"/>
      <c r="CY69" s="412"/>
      <c r="CZ69" s="114"/>
      <c r="DA69" s="114"/>
      <c r="DB69" s="114"/>
      <c r="DC69" s="292"/>
      <c r="DD69" s="291">
        <f>DD66/CY66-1</f>
      </c>
      <c r="DE69" s="291">
        <f>DE66/CZ66-1</f>
      </c>
      <c r="DF69" s="291">
        <f>DF66/DA66-1</f>
      </c>
      <c r="DG69" s="291">
        <f>DG66/DB66-1</f>
      </c>
      <c r="DH69" s="292"/>
      <c r="DI69" s="291">
        <f>DI66/DD66-1</f>
      </c>
      <c r="DJ69" s="291">
        <f>DJ66/DE66-1</f>
      </c>
      <c r="DK69" s="291">
        <f>DK66/DF66-1</f>
      </c>
      <c r="DL69" s="291">
        <f>DL66/DG66-1</f>
      </c>
      <c r="DM69" s="292"/>
      <c r="DN69" s="291">
        <f>DN66/DI66-1</f>
      </c>
      <c r="DO69" s="291">
        <f>DO66/DJ66-1</f>
      </c>
      <c r="DP69" s="291">
        <f>DP66/DK66-1</f>
      </c>
      <c r="DQ69" s="291">
        <f>DQ66/DL66-1</f>
      </c>
      <c r="DR69" s="292"/>
      <c r="DS69" s="291">
        <f>DS66/DN66-1</f>
      </c>
      <c r="DT69" s="291">
        <f>DT66/DO66-1</f>
      </c>
      <c r="DU69" s="291">
        <f>DU66/DP66-1</f>
      </c>
      <c r="DV69" s="291">
        <f>DV66/DQ66-1</f>
      </c>
      <c r="DW69" s="292"/>
      <c r="DX69" s="291">
        <f>DX66/DS66-1</f>
      </c>
      <c r="DY69" s="291">
        <f>DY66/DT66-1</f>
      </c>
      <c r="DZ69" s="291">
        <f>DZ66/DU66-1</f>
      </c>
      <c r="EA69" s="291">
        <f>EA66/DV66-1</f>
      </c>
      <c r="EB69" s="292"/>
      <c r="EC69" s="291">
        <f>EC66/DX66-1</f>
      </c>
      <c r="ED69" s="291">
        <f>ED66/DY66-1</f>
      </c>
      <c r="EE69" s="291">
        <f>EE66/DZ66-1</f>
      </c>
      <c r="EF69" s="291">
        <f>EF66/EA66-1</f>
      </c>
      <c r="EG69" s="292"/>
      <c r="EH69" s="291">
        <f>EH66/EC66-1</f>
      </c>
      <c r="EI69" s="291">
        <f>EI66/ED66-1</f>
      </c>
      <c r="EJ69" s="291">
        <f>EJ66/EE66-1</f>
      </c>
      <c r="EK69" s="291">
        <f>EK66/EF66-1</f>
      </c>
      <c r="EL69" s="292"/>
      <c r="EM69" s="291">
        <f>EM66/EH66-1</f>
      </c>
      <c r="EN69" s="291">
        <f>EN66/EI66-1</f>
      </c>
      <c r="EO69" s="291">
        <f>EO66/EJ66-1</f>
      </c>
      <c r="EP69" s="291">
        <f>EP66/EK66-1</f>
      </c>
      <c r="EQ69" s="292"/>
      <c r="ER69" s="291">
        <f>ER66/EM66-1</f>
      </c>
      <c r="ES69" s="291">
        <f>ES66/EN66-1</f>
      </c>
      <c r="ET69" s="291">
        <f>ET66/EO66-1</f>
      </c>
      <c r="EU69" s="349">
        <f>EU66/EP66-1</f>
      </c>
      <c r="EV69" s="292"/>
      <c r="EW69" s="291"/>
      <c r="EX69" s="107"/>
      <c r="EY69" s="107"/>
      <c r="EZ69" s="107"/>
      <c r="FA69" s="292"/>
      <c r="FB69" s="291"/>
      <c r="FC69" s="107"/>
      <c r="FD69" s="107"/>
      <c r="FE69" s="107"/>
      <c r="FF69" s="292"/>
      <c r="FG69" s="291"/>
      <c r="FH69" s="107"/>
      <c r="FI69" s="107"/>
      <c r="FJ69" s="107"/>
      <c r="FK69" s="292"/>
      <c r="FL69" s="291"/>
      <c r="FM69" s="107"/>
      <c r="FN69" s="107"/>
      <c r="FO69" s="107"/>
      <c r="FP69" s="292"/>
      <c r="FQ69" s="291"/>
      <c r="FR69" s="107"/>
      <c r="FS69" s="107"/>
      <c r="FT69" s="107"/>
      <c r="FU69" s="292"/>
      <c r="FV69" s="291"/>
      <c r="FW69" s="107"/>
      <c r="FX69" s="107"/>
      <c r="FY69" s="107"/>
      <c r="FZ69" s="292"/>
      <c r="GA69" s="291"/>
      <c r="GB69" s="107"/>
      <c r="GC69" s="107"/>
      <c r="GD69" s="107"/>
      <c r="GE69" s="292"/>
      <c r="GF69" s="291"/>
      <c r="GG69" s="107"/>
      <c r="GH69" s="107"/>
      <c r="GI69" s="107"/>
      <c r="GJ69" s="292"/>
    </row>
    <row r="70" spans="1:192" s="461" customFormat="1" ht="12.75" hidden="1" customHeight="1" outlineLevel="1">
      <c r="A70" s="370"/>
      <c r="B70" s="727" t="s">
        <v>255</v>
      </c>
      <c r="C70" s="448"/>
      <c r="D70" s="493"/>
      <c r="E70" s="493"/>
      <c r="F70" s="493"/>
      <c r="G70" s="494"/>
      <c r="H70" s="448"/>
      <c r="I70" s="493"/>
      <c r="J70" s="493"/>
      <c r="K70" s="493"/>
      <c r="L70" s="494"/>
      <c r="M70" s="448"/>
      <c r="N70" s="493"/>
      <c r="O70" s="493"/>
      <c r="P70" s="493"/>
      <c r="Q70" s="494"/>
      <c r="R70" s="448"/>
      <c r="S70" s="493"/>
      <c r="T70" s="493"/>
      <c r="U70" s="493"/>
      <c r="V70" s="494"/>
      <c r="W70" s="448"/>
      <c r="X70" s="493"/>
      <c r="Y70" s="493"/>
      <c r="Z70" s="493"/>
      <c r="AA70" s="494"/>
      <c r="AB70" s="448"/>
      <c r="AC70" s="493"/>
      <c r="AD70" s="493"/>
      <c r="AE70" s="493"/>
      <c r="AF70" s="494"/>
      <c r="AG70" s="448"/>
      <c r="AH70" s="493"/>
      <c r="AI70" s="493"/>
      <c r="AJ70" s="493"/>
      <c r="AK70" s="494"/>
      <c r="AL70" s="448"/>
      <c r="AM70" s="493"/>
      <c r="AN70" s="493"/>
      <c r="AO70" s="493"/>
      <c r="AP70" s="494"/>
      <c r="AQ70" s="448"/>
      <c r="AR70" s="493"/>
      <c r="AS70" s="493"/>
      <c r="AT70" s="493"/>
      <c r="AU70" s="494"/>
      <c r="AV70" s="448"/>
      <c r="AW70" s="493"/>
      <c r="AX70" s="493"/>
      <c r="AY70" s="493"/>
      <c r="AZ70" s="494"/>
      <c r="BA70" s="448"/>
      <c r="BB70" s="493"/>
      <c r="BC70" s="493"/>
      <c r="BD70" s="493"/>
      <c r="BE70" s="494"/>
      <c r="BF70" s="448"/>
      <c r="BG70" s="493"/>
      <c r="BH70" s="493"/>
      <c r="BI70" s="493"/>
      <c r="BJ70" s="494"/>
      <c r="BK70" s="448"/>
      <c r="BL70" s="493"/>
      <c r="BM70" s="493"/>
      <c r="BN70" s="493"/>
      <c r="BO70" s="494"/>
      <c r="BP70" s="448"/>
      <c r="BQ70" s="493"/>
      <c r="BR70" s="493"/>
      <c r="BS70" s="493"/>
      <c r="BT70" s="494"/>
      <c r="BU70" s="448"/>
      <c r="BV70" s="493"/>
      <c r="BW70" s="493"/>
      <c r="BX70" s="493"/>
      <c r="BY70" s="494"/>
      <c r="BZ70" s="448"/>
      <c r="CA70" s="493"/>
      <c r="CB70" s="493"/>
      <c r="CC70" s="493"/>
      <c r="CD70" s="462"/>
      <c r="CE70" s="448"/>
      <c r="CF70" s="493"/>
      <c r="CG70" s="493"/>
      <c r="CH70" s="493"/>
      <c r="CI70" s="462"/>
      <c r="CJ70" s="448"/>
      <c r="CK70" s="493"/>
      <c r="CL70" s="493"/>
      <c r="CM70" s="493"/>
      <c r="CN70" s="462"/>
      <c r="CO70" s="448"/>
      <c r="CP70" s="493"/>
      <c r="CQ70" s="493"/>
      <c r="CR70" s="493"/>
      <c r="CS70" s="462"/>
      <c r="CT70" s="448"/>
      <c r="CU70" s="493"/>
      <c r="CV70" s="493"/>
      <c r="CW70" s="493"/>
      <c r="CX70" s="462"/>
      <c r="CY70" s="448"/>
      <c r="CZ70" s="493"/>
      <c r="DA70" s="493"/>
      <c r="DB70" s="493"/>
      <c r="DC70" s="462"/>
      <c r="DD70" s="447">
        <f t="shared" ref="DD70:EK70" si="61">DD66-CY66</f>
      </c>
      <c r="DE70" s="447">
        <f t="shared" si="61"/>
      </c>
      <c r="DF70" s="447">
        <f t="shared" si="61"/>
      </c>
      <c r="DG70" s="447">
        <f t="shared" si="61"/>
      </c>
      <c r="DH70" s="462">
        <f t="shared" si="61"/>
      </c>
      <c r="DI70" s="447">
        <f t="shared" si="61"/>
      </c>
      <c r="DJ70" s="447">
        <f t="shared" si="61"/>
      </c>
      <c r="DK70" s="447">
        <f t="shared" si="61"/>
      </c>
      <c r="DL70" s="447">
        <f t="shared" si="61"/>
      </c>
      <c r="DM70" s="462">
        <f t="shared" si="61"/>
      </c>
      <c r="DN70" s="447">
        <f t="shared" si="61"/>
      </c>
      <c r="DO70" s="447">
        <f t="shared" si="61"/>
      </c>
      <c r="DP70" s="447">
        <f t="shared" si="61"/>
      </c>
      <c r="DQ70" s="447">
        <f t="shared" si="61"/>
      </c>
      <c r="DR70" s="462">
        <f t="shared" si="61"/>
      </c>
      <c r="DS70" s="447">
        <f t="shared" si="61"/>
      </c>
      <c r="DT70" s="447">
        <f t="shared" si="61"/>
      </c>
      <c r="DU70" s="447">
        <f t="shared" si="61"/>
      </c>
      <c r="DV70" s="447">
        <f t="shared" si="61"/>
      </c>
      <c r="DW70" s="462">
        <f t="shared" si="61"/>
      </c>
      <c r="DX70" s="447">
        <f t="shared" si="61"/>
      </c>
      <c r="DY70" s="447">
        <f t="shared" si="61"/>
      </c>
      <c r="DZ70" s="447">
        <f t="shared" si="61"/>
      </c>
      <c r="EA70" s="447">
        <f t="shared" si="61"/>
      </c>
      <c r="EB70" s="462">
        <f t="shared" si="61"/>
      </c>
      <c r="EC70" s="447">
        <f t="shared" si="61"/>
      </c>
      <c r="ED70" s="447">
        <f t="shared" si="61"/>
      </c>
      <c r="EE70" s="447">
        <f t="shared" si="61"/>
      </c>
      <c r="EF70" s="447">
        <f t="shared" si="61"/>
      </c>
      <c r="EG70" s="462">
        <f t="shared" si="61"/>
      </c>
      <c r="EH70" s="447">
        <f t="shared" si="61"/>
      </c>
      <c r="EI70" s="447">
        <f t="shared" si="61"/>
      </c>
      <c r="EJ70" s="447">
        <f t="shared" si="61"/>
      </c>
      <c r="EK70" s="447">
        <f t="shared" si="61"/>
      </c>
      <c r="EL70" s="494">
        <v>2800</v>
      </c>
      <c r="EM70" s="448">
        <v>1100</v>
      </c>
      <c r="EN70" s="448">
        <v>1600</v>
      </c>
      <c r="EO70" s="448">
        <v>937</v>
      </c>
      <c r="EP70" s="458">
        <f>EQ70-EO70-EN70-EM70</f>
      </c>
      <c r="EQ70" s="494">
        <v>4200</v>
      </c>
      <c r="ER70" s="448">
        <v>86</v>
      </c>
      <c r="ES70" s="493">
        <v>-504</v>
      </c>
      <c r="ET70" s="815">
        <v>49</v>
      </c>
      <c r="EU70" s="458"/>
      <c r="EV70" s="494"/>
      <c r="EW70" s="447"/>
      <c r="EX70" s="458"/>
      <c r="EY70" s="458"/>
      <c r="EZ70" s="458"/>
      <c r="FA70" s="462"/>
      <c r="FB70" s="447"/>
      <c r="FC70" s="458"/>
      <c r="FD70" s="458"/>
      <c r="FE70" s="458"/>
      <c r="FF70" s="462"/>
      <c r="FG70" s="447"/>
      <c r="FH70" s="458"/>
      <c r="FI70" s="458"/>
      <c r="FJ70" s="458"/>
      <c r="FK70" s="462"/>
      <c r="FL70" s="447"/>
      <c r="FM70" s="458"/>
      <c r="FN70" s="458"/>
      <c r="FO70" s="458"/>
      <c r="FP70" s="462"/>
      <c r="FQ70" s="447"/>
      <c r="FR70" s="458"/>
      <c r="FS70" s="458"/>
      <c r="FT70" s="458"/>
      <c r="FU70" s="462"/>
      <c r="FV70" s="447"/>
      <c r="FW70" s="458"/>
      <c r="FX70" s="458"/>
      <c r="FY70" s="458"/>
      <c r="FZ70" s="462"/>
      <c r="GA70" s="447"/>
      <c r="GB70" s="458"/>
      <c r="GC70" s="458"/>
      <c r="GD70" s="458"/>
      <c r="GE70" s="462"/>
      <c r="GF70" s="447"/>
      <c r="GG70" s="458"/>
      <c r="GH70" s="458"/>
      <c r="GI70" s="458"/>
      <c r="GJ70" s="462"/>
    </row>
    <row r="71" spans="1:192" s="701" customFormat="1" ht="12.75" hidden="1" customHeight="1" outlineLevel="1">
      <c r="A71" s="850"/>
      <c r="B71" s="729"/>
      <c r="C71" s="495"/>
      <c r="D71" s="503"/>
      <c r="E71" s="503"/>
      <c r="F71" s="503"/>
      <c r="G71" s="916"/>
      <c r="H71" s="495"/>
      <c r="I71" s="503"/>
      <c r="J71" s="503"/>
      <c r="K71" s="503"/>
      <c r="L71" s="916"/>
      <c r="M71" s="495"/>
      <c r="N71" s="503"/>
      <c r="O71" s="503"/>
      <c r="P71" s="503"/>
      <c r="Q71" s="916"/>
      <c r="R71" s="495"/>
      <c r="S71" s="503"/>
      <c r="T71" s="503"/>
      <c r="U71" s="503"/>
      <c r="V71" s="916"/>
      <c r="W71" s="495"/>
      <c r="X71" s="503"/>
      <c r="Y71" s="503"/>
      <c r="Z71" s="503"/>
      <c r="AA71" s="916"/>
      <c r="AB71" s="495"/>
      <c r="AC71" s="503"/>
      <c r="AD71" s="503"/>
      <c r="AE71" s="503"/>
      <c r="AF71" s="916"/>
      <c r="AG71" s="495"/>
      <c r="AH71" s="503"/>
      <c r="AI71" s="503"/>
      <c r="AJ71" s="503"/>
      <c r="AK71" s="916"/>
      <c r="AL71" s="495"/>
      <c r="AM71" s="503"/>
      <c r="AN71" s="503"/>
      <c r="AO71" s="503"/>
      <c r="AP71" s="916"/>
      <c r="AQ71" s="495"/>
      <c r="AR71" s="503"/>
      <c r="AS71" s="503"/>
      <c r="AT71" s="503"/>
      <c r="AU71" s="916"/>
      <c r="AV71" s="495"/>
      <c r="AW71" s="503"/>
      <c r="AX71" s="503"/>
      <c r="AY71" s="503"/>
      <c r="AZ71" s="916"/>
      <c r="BA71" s="495"/>
      <c r="BB71" s="503"/>
      <c r="BC71" s="503"/>
      <c r="BD71" s="503"/>
      <c r="BE71" s="916"/>
      <c r="BF71" s="495"/>
      <c r="BG71" s="503"/>
      <c r="BH71" s="503"/>
      <c r="BI71" s="503"/>
      <c r="BJ71" s="916"/>
      <c r="BK71" s="495"/>
      <c r="BL71" s="503"/>
      <c r="BM71" s="503"/>
      <c r="BN71" s="503"/>
      <c r="BO71" s="916"/>
      <c r="BP71" s="495"/>
      <c r="BQ71" s="503"/>
      <c r="BR71" s="503"/>
      <c r="BS71" s="503"/>
      <c r="BT71" s="916"/>
      <c r="BU71" s="495"/>
      <c r="BV71" s="503"/>
      <c r="BW71" s="503"/>
      <c r="BX71" s="503"/>
      <c r="BY71" s="916"/>
      <c r="BZ71" s="495"/>
      <c r="CA71" s="503"/>
      <c r="CB71" s="503"/>
      <c r="CC71" s="503"/>
      <c r="CD71" s="916"/>
      <c r="CE71" s="495"/>
      <c r="CF71" s="503"/>
      <c r="CG71" s="503"/>
      <c r="CH71" s="503"/>
      <c r="CI71" s="916"/>
      <c r="CJ71" s="495"/>
      <c r="CK71" s="503"/>
      <c r="CL71" s="503"/>
      <c r="CM71" s="503"/>
      <c r="CN71" s="916"/>
      <c r="CO71" s="495"/>
      <c r="CP71" s="503"/>
      <c r="CQ71" s="503"/>
      <c r="CR71" s="503"/>
      <c r="CS71" s="916"/>
      <c r="CT71" s="495"/>
      <c r="CU71" s="503"/>
      <c r="CV71" s="503"/>
      <c r="CW71" s="503"/>
      <c r="CX71" s="916"/>
      <c r="CY71" s="495"/>
      <c r="CZ71" s="503"/>
      <c r="DA71" s="503"/>
      <c r="DB71" s="503"/>
      <c r="DC71" s="916"/>
      <c r="DD71" s="495"/>
      <c r="DE71" s="503"/>
      <c r="DF71" s="503"/>
      <c r="DG71" s="503"/>
      <c r="DH71" s="916"/>
      <c r="DI71" s="495"/>
      <c r="DJ71" s="503"/>
      <c r="DK71" s="503"/>
      <c r="DL71" s="503"/>
      <c r="DM71" s="916"/>
      <c r="DN71" s="495"/>
      <c r="DO71" s="503"/>
      <c r="DP71" s="503"/>
      <c r="DQ71" s="503"/>
      <c r="DR71" s="916"/>
      <c r="DS71" s="495"/>
      <c r="DT71" s="503"/>
      <c r="DU71" s="503"/>
      <c r="DV71" s="503"/>
      <c r="DW71" s="916"/>
      <c r="DX71" s="495"/>
      <c r="DY71" s="503"/>
      <c r="DZ71" s="503"/>
      <c r="EA71" s="503"/>
      <c r="EB71" s="916"/>
      <c r="EC71" s="495"/>
      <c r="ED71" s="503"/>
      <c r="EE71" s="503"/>
      <c r="EF71" s="503"/>
      <c r="EG71" s="916"/>
      <c r="EH71" s="495"/>
      <c r="EI71" s="503"/>
      <c r="EJ71" s="503"/>
      <c r="EK71" s="503"/>
      <c r="EL71" s="916"/>
      <c r="EM71" s="495"/>
      <c r="EN71" s="503"/>
      <c r="EO71" s="503"/>
      <c r="EP71" s="503"/>
      <c r="EQ71" s="916"/>
      <c r="ER71" s="495"/>
      <c r="ES71" s="503"/>
      <c r="ET71" s="503"/>
      <c r="EU71" s="503"/>
      <c r="EV71" s="916"/>
      <c r="EW71" s="495"/>
      <c r="EX71" s="503"/>
      <c r="EY71" s="503"/>
      <c r="EZ71" s="503"/>
      <c r="FA71" s="916"/>
      <c r="FB71" s="495"/>
      <c r="FC71" s="503"/>
      <c r="FD71" s="503"/>
      <c r="FE71" s="503"/>
      <c r="FF71" s="916"/>
      <c r="FG71" s="495"/>
      <c r="FH71" s="503"/>
      <c r="FI71" s="503"/>
      <c r="FJ71" s="503"/>
      <c r="FK71" s="916"/>
      <c r="FL71" s="495"/>
      <c r="FM71" s="503"/>
      <c r="FN71" s="503"/>
      <c r="FO71" s="503"/>
      <c r="FP71" s="916"/>
      <c r="FQ71" s="495"/>
      <c r="FR71" s="503"/>
      <c r="FS71" s="503"/>
      <c r="FT71" s="503"/>
      <c r="FU71" s="916"/>
      <c r="FV71" s="495"/>
      <c r="FW71" s="503"/>
      <c r="FX71" s="503"/>
      <c r="FY71" s="503"/>
      <c r="FZ71" s="916"/>
      <c r="GA71" s="495"/>
      <c r="GB71" s="503"/>
      <c r="GC71" s="503"/>
      <c r="GD71" s="503"/>
      <c r="GE71" s="916"/>
      <c r="GF71" s="495"/>
      <c r="GG71" s="503"/>
      <c r="GH71" s="503"/>
      <c r="GI71" s="503"/>
      <c r="GJ71" s="916"/>
    </row>
    <row r="72" spans="1:192" s="317" customFormat="1" ht="12.75" hidden="1" customHeight="1" outlineLevel="1">
      <c r="A72" s="280"/>
      <c r="B72" s="730" t="s">
        <v>1999</v>
      </c>
      <c r="C72" s="315"/>
      <c r="D72" s="315"/>
      <c r="E72" s="315"/>
      <c r="F72" s="315"/>
      <c r="G72" s="313"/>
      <c r="H72" s="315"/>
      <c r="I72" s="315"/>
      <c r="J72" s="315"/>
      <c r="K72" s="315"/>
      <c r="L72" s="313"/>
      <c r="M72" s="315"/>
      <c r="N72" s="315"/>
      <c r="O72" s="315"/>
      <c r="P72" s="315"/>
      <c r="Q72" s="313"/>
      <c r="R72" s="315"/>
      <c r="S72" s="315"/>
      <c r="T72" s="315"/>
      <c r="U72" s="315"/>
      <c r="V72" s="313"/>
      <c r="W72" s="315"/>
      <c r="X72" s="315"/>
      <c r="Y72" s="315"/>
      <c r="Z72" s="315"/>
      <c r="AA72" s="313"/>
      <c r="AB72" s="315"/>
      <c r="AC72" s="315"/>
      <c r="AD72" s="315"/>
      <c r="AE72" s="315"/>
      <c r="AF72" s="313"/>
      <c r="AG72" s="315"/>
      <c r="AH72" s="315"/>
      <c r="AI72" s="315"/>
      <c r="AJ72" s="315"/>
      <c r="AK72" s="313"/>
      <c r="AL72" s="315"/>
      <c r="AM72" s="315"/>
      <c r="AN72" s="315"/>
      <c r="AO72" s="315"/>
      <c r="AP72" s="313"/>
      <c r="AQ72" s="315"/>
      <c r="AR72" s="315"/>
      <c r="AS72" s="315"/>
      <c r="AT72" s="315"/>
      <c r="AU72" s="313"/>
      <c r="AV72" s="315"/>
      <c r="AW72" s="315"/>
      <c r="AX72" s="315"/>
      <c r="AY72" s="315"/>
      <c r="AZ72" s="313"/>
      <c r="BA72" s="315"/>
      <c r="BB72" s="315"/>
      <c r="BC72" s="315"/>
      <c r="BD72" s="315"/>
      <c r="BE72" s="313"/>
      <c r="BF72" s="315"/>
      <c r="BG72" s="315"/>
      <c r="BH72" s="315"/>
      <c r="BI72" s="315"/>
      <c r="BJ72" s="313"/>
      <c r="BK72" s="315"/>
      <c r="BL72" s="315"/>
      <c r="BM72" s="315"/>
      <c r="BN72" s="315"/>
      <c r="BO72" s="313"/>
      <c r="BP72" s="315"/>
      <c r="BQ72" s="315"/>
      <c r="BR72" s="315"/>
      <c r="BS72" s="315"/>
      <c r="BT72" s="313"/>
      <c r="BU72" s="315"/>
      <c r="BV72" s="315"/>
      <c r="BW72" s="315"/>
      <c r="BX72" s="315"/>
      <c r="BY72" s="313"/>
      <c r="BZ72" s="315"/>
      <c r="CA72" s="315"/>
      <c r="CB72" s="315"/>
      <c r="CC72" s="315"/>
      <c r="CD72" s="313"/>
      <c r="CE72" s="315"/>
      <c r="CF72" s="315"/>
      <c r="CG72" s="315"/>
      <c r="CH72" s="315"/>
      <c r="CI72" s="313"/>
      <c r="CJ72" s="315"/>
      <c r="CK72" s="315"/>
      <c r="CL72" s="315"/>
      <c r="CM72" s="315"/>
      <c r="CN72" s="313"/>
      <c r="CO72" s="315"/>
      <c r="CP72" s="315"/>
      <c r="CQ72" s="315"/>
      <c r="CR72" s="315"/>
      <c r="CS72" s="313"/>
      <c r="CT72" s="316"/>
      <c r="CU72" s="316"/>
      <c r="CV72" s="316"/>
      <c r="CW72" s="316"/>
      <c r="CX72" s="313"/>
      <c r="CY72" s="316">
        <v>2105</v>
      </c>
      <c r="CZ72" s="316">
        <v>2600</v>
      </c>
      <c r="DA72" s="316">
        <v>2533</v>
      </c>
      <c r="DB72" s="316">
        <v>2633</v>
      </c>
      <c r="DC72" s="313">
        <f>SUM(CY72:DB72)</f>
      </c>
      <c r="DD72" s="316">
        <v>2079</v>
      </c>
      <c r="DE72" s="316">
        <v>2580</v>
      </c>
      <c r="DF72" s="316">
        <v>2188</v>
      </c>
      <c r="DG72" s="316">
        <v>2190</v>
      </c>
      <c r="DH72" s="313">
        <f>SUM(DD72:DG72)</f>
      </c>
      <c r="DI72" s="1158">
        <v>1777</v>
      </c>
      <c r="DJ72" s="1158">
        <v>2291</v>
      </c>
      <c r="DK72" s="1158">
        <v>2148</v>
      </c>
      <c r="DL72" s="1158">
        <v>2911</v>
      </c>
      <c r="DM72" s="313">
        <f>SUM(DI72:DL72)</f>
      </c>
      <c r="DN72" s="316">
        <v>2137</v>
      </c>
      <c r="DO72" s="316">
        <v>2832</v>
      </c>
      <c r="DP72" s="316">
        <v>2654</v>
      </c>
      <c r="DQ72" s="316">
        <v>3901</v>
      </c>
      <c r="DR72" s="313">
        <f>SUM(DN72:DQ72)</f>
      </c>
      <c r="DS72" s="316">
        <v>2931</v>
      </c>
      <c r="DT72" s="316">
        <v>3279</v>
      </c>
      <c r="DU72" s="316">
        <v>3208</v>
      </c>
      <c r="DV72" s="316">
        <v>4502</v>
      </c>
      <c r="DW72" s="313">
        <f>SUM(DS72:DV72)</f>
      </c>
      <c r="DX72" s="316">
        <v>3889</v>
      </c>
      <c r="DY72" s="316">
        <v>4531</v>
      </c>
      <c r="DZ72" s="316">
        <v>4560</v>
      </c>
      <c r="EA72" s="316">
        <v>5344</v>
      </c>
      <c r="EB72" s="313">
        <f>SUM(DX72:EA72)</f>
      </c>
      <c r="EC72" s="316">
        <v>5422</v>
      </c>
      <c r="ED72" s="316">
        <v>6492</v>
      </c>
      <c r="EE72" s="316">
        <v>6425</v>
      </c>
      <c r="EF72" s="316">
        <v>7787</v>
      </c>
      <c r="EG72" s="313">
        <f>SUM(EC72:EF72)</f>
      </c>
      <c r="EH72" s="316">
        <v>7681</v>
      </c>
      <c r="EI72" s="1158">
        <v>8323</v>
      </c>
      <c r="EJ72" s="316">
        <v>8391</v>
      </c>
      <c r="EK72" s="316">
        <v>8808</v>
      </c>
      <c r="EL72" s="313">
        <f>SUM(EH72:EK72)</f>
      </c>
      <c r="EM72" s="316">
        <v>8978</v>
      </c>
      <c r="EN72" s="316">
        <v>8904</v>
      </c>
      <c r="EO72" s="316">
        <v>9476</v>
      </c>
      <c r="EP72" s="316">
        <v>10526</v>
      </c>
      <c r="EQ72" s="313">
        <f>SUM(EM72:EP72)</f>
      </c>
      <c r="ER72" s="1158">
        <v>11751</v>
      </c>
      <c r="ES72" s="1158">
        <v>12461</v>
      </c>
      <c r="ET72" s="1158">
        <v>12513</v>
      </c>
      <c r="EU72" s="1158">
        <v>12859</v>
      </c>
      <c r="EV72" s="313">
        <f>SUM(ER72:EU72)</f>
      </c>
      <c r="EW72" s="316"/>
      <c r="EX72" s="316"/>
      <c r="EY72" s="316"/>
      <c r="EZ72" s="316"/>
      <c r="FA72" s="313"/>
      <c r="FB72" s="316"/>
      <c r="FC72" s="316"/>
      <c r="FD72" s="316"/>
      <c r="FE72" s="316"/>
      <c r="FF72" s="313"/>
      <c r="FG72" s="316"/>
      <c r="FH72" s="316"/>
      <c r="FI72" s="316"/>
      <c r="FJ72" s="316"/>
      <c r="FK72" s="313"/>
      <c r="FL72" s="316"/>
      <c r="FM72" s="316"/>
      <c r="FN72" s="316"/>
      <c r="FO72" s="316"/>
      <c r="FP72" s="313"/>
      <c r="FQ72" s="316"/>
      <c r="FR72" s="316"/>
      <c r="FS72" s="316"/>
      <c r="FT72" s="316"/>
      <c r="FU72" s="313"/>
      <c r="FV72" s="316"/>
      <c r="FW72" s="316"/>
      <c r="FX72" s="316"/>
      <c r="FY72" s="316"/>
      <c r="FZ72" s="313"/>
      <c r="GA72" s="316"/>
      <c r="GB72" s="316"/>
      <c r="GC72" s="316"/>
      <c r="GD72" s="316"/>
      <c r="GE72" s="313"/>
      <c r="GF72" s="316"/>
      <c r="GG72" s="316"/>
      <c r="GH72" s="316"/>
      <c r="GI72" s="316"/>
      <c r="GJ72" s="313"/>
    </row>
    <row r="73" spans="1:192" ht="12.75" hidden="1" customHeight="1" outlineLevel="1">
      <c r="B73" s="727" t="s">
        <v>34</v>
      </c>
      <c r="C73" s="291"/>
      <c r="D73" s="107"/>
      <c r="E73" s="107"/>
      <c r="F73" s="107"/>
      <c r="G73" s="292"/>
      <c r="H73" s="291"/>
      <c r="I73" s="107"/>
      <c r="J73" s="107"/>
      <c r="K73" s="107"/>
      <c r="L73" s="292"/>
      <c r="M73" s="291"/>
      <c r="N73" s="107"/>
      <c r="O73" s="107"/>
      <c r="P73" s="107"/>
      <c r="Q73" s="292"/>
      <c r="R73" s="291"/>
      <c r="S73" s="107"/>
      <c r="T73" s="107"/>
      <c r="U73" s="107"/>
      <c r="V73" s="292"/>
      <c r="W73" s="291"/>
      <c r="X73" s="107"/>
      <c r="Y73" s="107"/>
      <c r="Z73" s="107"/>
      <c r="AA73" s="292"/>
      <c r="AB73" s="291"/>
      <c r="AC73" s="107"/>
      <c r="AD73" s="107"/>
      <c r="AE73" s="107"/>
      <c r="AF73" s="292"/>
      <c r="AG73" s="291"/>
      <c r="AH73" s="107"/>
      <c r="AI73" s="107"/>
      <c r="AJ73" s="107"/>
      <c r="AK73" s="292"/>
      <c r="AL73" s="291"/>
      <c r="AM73" s="107"/>
      <c r="AN73" s="107"/>
      <c r="AO73" s="107"/>
      <c r="AP73" s="292"/>
      <c r="AQ73" s="291"/>
      <c r="AR73" s="107"/>
      <c r="AS73" s="107"/>
      <c r="AT73" s="107"/>
      <c r="AU73" s="292"/>
      <c r="AV73" s="291"/>
      <c r="AW73" s="107"/>
      <c r="AX73" s="107"/>
      <c r="AY73" s="107"/>
      <c r="AZ73" s="292"/>
      <c r="BA73" s="291"/>
      <c r="BB73" s="107"/>
      <c r="BC73" s="107"/>
      <c r="BD73" s="107"/>
      <c r="BE73" s="292"/>
      <c r="BF73" s="291"/>
      <c r="BG73" s="107"/>
      <c r="BH73" s="107"/>
      <c r="BI73" s="107"/>
      <c r="BJ73" s="292"/>
      <c r="BK73" s="291"/>
      <c r="BL73" s="107"/>
      <c r="BM73" s="107"/>
      <c r="BN73" s="107"/>
      <c r="BO73" s="292"/>
      <c r="BP73" s="291"/>
      <c r="BQ73" s="107"/>
      <c r="BR73" s="107"/>
      <c r="BS73" s="107"/>
      <c r="BT73" s="292"/>
      <c r="BU73" s="291"/>
      <c r="BV73" s="107"/>
      <c r="BW73" s="107"/>
      <c r="BX73" s="107"/>
      <c r="BY73" s="292"/>
      <c r="BZ73" s="291"/>
      <c r="CA73" s="107"/>
      <c r="CB73" s="107"/>
      <c r="CC73" s="107"/>
      <c r="CD73" s="292"/>
      <c r="CE73" s="291"/>
      <c r="CF73" s="107"/>
      <c r="CG73" s="107"/>
      <c r="CH73" s="107"/>
      <c r="CI73" s="292"/>
      <c r="CJ73" s="291"/>
      <c r="CK73" s="107"/>
      <c r="CL73" s="107"/>
      <c r="CM73" s="107"/>
      <c r="CN73" s="292"/>
      <c r="CO73" s="291"/>
      <c r="CP73" s="107"/>
      <c r="CQ73" s="107"/>
      <c r="CR73" s="107"/>
      <c r="CS73" s="292"/>
      <c r="CT73" s="291"/>
      <c r="CU73" s="107"/>
      <c r="CV73" s="107"/>
      <c r="CW73" s="107"/>
      <c r="CX73" s="292"/>
      <c r="CY73" s="291" t="str">
        <f>IFERROR(CY72/CT72-1,"--")</f>
      </c>
      <c r="CZ73" s="107" t="str">
        <f>IFERROR(CZ72/CU72-1,"--")</f>
      </c>
      <c r="DA73" s="107" t="str">
        <f>IFERROR(DA72/CV72-1,"--")</f>
      </c>
      <c r="DB73" s="107" t="str">
        <f>IFERROR(DB72/CW72-1,"--")</f>
      </c>
      <c r="DC73" s="292" t="str">
        <f>IFERROR(DC72/CX72-1,"--")</f>
      </c>
      <c r="DD73" s="441">
        <v>0.14000000000000001</v>
      </c>
      <c r="DE73" s="439">
        <v>-0.01</v>
      </c>
      <c r="DF73" s="439">
        <v>-0.14000000000000001</v>
      </c>
      <c r="DG73" s="439">
        <v>-0.17</v>
      </c>
      <c r="DH73" s="292">
        <f>IFERROR(DH72/DC72-1,"--")</f>
      </c>
      <c r="DI73" s="441">
        <v>-0.15</v>
      </c>
      <c r="DJ73" s="439">
        <v>-0.08</v>
      </c>
      <c r="DK73" s="439">
        <v>7.0000000000000007E-2</v>
      </c>
      <c r="DL73" s="439">
        <v>0.09</v>
      </c>
      <c r="DM73" s="292">
        <f t="shared" ref="DM73:EL73" si="62">IFERROR(DM72/DH72-1,"--")</f>
      </c>
      <c r="DN73" s="291">
        <f t="shared" si="62"/>
      </c>
      <c r="DO73" s="107">
        <f t="shared" si="62"/>
      </c>
      <c r="DP73" s="107">
        <f t="shared" si="62"/>
      </c>
      <c r="DQ73" s="107">
        <f t="shared" si="62"/>
      </c>
      <c r="DR73" s="292">
        <f t="shared" si="62"/>
      </c>
      <c r="DS73" s="291">
        <f t="shared" si="62"/>
      </c>
      <c r="DT73" s="107">
        <f t="shared" si="62"/>
      </c>
      <c r="DU73" s="107">
        <f t="shared" si="62"/>
      </c>
      <c r="DV73" s="107">
        <f t="shared" si="62"/>
      </c>
      <c r="DW73" s="292">
        <f t="shared" si="62"/>
      </c>
      <c r="DX73" s="291">
        <f t="shared" si="62"/>
      </c>
      <c r="DY73" s="107">
        <f t="shared" si="62"/>
      </c>
      <c r="DZ73" s="107">
        <f t="shared" si="62"/>
      </c>
      <c r="EA73" s="107">
        <f t="shared" si="62"/>
      </c>
      <c r="EB73" s="292">
        <f t="shared" si="62"/>
      </c>
      <c r="EC73" s="291">
        <f t="shared" si="62"/>
      </c>
      <c r="ED73" s="107">
        <f t="shared" si="62"/>
      </c>
      <c r="EE73" s="107">
        <f t="shared" si="62"/>
      </c>
      <c r="EF73" s="107">
        <f t="shared" si="62"/>
      </c>
      <c r="EG73" s="292">
        <f t="shared" si="62"/>
      </c>
      <c r="EH73" s="291">
        <f t="shared" si="62"/>
      </c>
      <c r="EI73" s="107">
        <f t="shared" si="62"/>
      </c>
      <c r="EJ73" s="107">
        <f t="shared" si="62"/>
      </c>
      <c r="EK73" s="107">
        <f t="shared" si="62"/>
      </c>
      <c r="EL73" s="292">
        <f t="shared" si="62"/>
      </c>
      <c r="EM73" s="439">
        <v>0.17</v>
      </c>
      <c r="EN73" s="439">
        <v>7.0000000000000007E-2</v>
      </c>
      <c r="EO73" s="114">
        <v>0.13</v>
      </c>
      <c r="EP73" s="468">
        <f>IFERROR(EP72/EK72-1,"--")</f>
      </c>
      <c r="EQ73" s="292">
        <f>IFERROR(EQ72/EL72-1,"--")</f>
      </c>
      <c r="ER73" s="412">
        <v>0.31</v>
      </c>
      <c r="ES73" s="114">
        <v>0.4</v>
      </c>
      <c r="ET73" s="439">
        <v>0.32</v>
      </c>
      <c r="EU73" s="439">
        <v>0.22</v>
      </c>
      <c r="EV73" s="292">
        <f>IFERROR(EV72/EQ72-1,"--")</f>
      </c>
      <c r="EW73" s="291"/>
      <c r="EX73" s="107"/>
      <c r="EY73" s="107"/>
      <c r="EZ73" s="107"/>
      <c r="FA73" s="292"/>
      <c r="FB73" s="291"/>
      <c r="FC73" s="107"/>
      <c r="FD73" s="107"/>
      <c r="FE73" s="107"/>
      <c r="FF73" s="292"/>
      <c r="FG73" s="291"/>
      <c r="FH73" s="107"/>
      <c r="FI73" s="107"/>
      <c r="FJ73" s="107"/>
      <c r="FK73" s="292"/>
      <c r="FL73" s="291"/>
      <c r="FM73" s="107"/>
      <c r="FN73" s="107"/>
      <c r="FO73" s="107"/>
      <c r="FP73" s="292"/>
      <c r="FQ73" s="291"/>
      <c r="FR73" s="107"/>
      <c r="FS73" s="107"/>
      <c r="FT73" s="107"/>
      <c r="FU73" s="292"/>
      <c r="FV73" s="291"/>
      <c r="FW73" s="107"/>
      <c r="FX73" s="107"/>
      <c r="FY73" s="107"/>
      <c r="FZ73" s="292"/>
      <c r="GA73" s="291"/>
      <c r="GB73" s="107"/>
      <c r="GC73" s="107"/>
      <c r="GD73" s="107"/>
      <c r="GE73" s="292"/>
      <c r="GF73" s="291"/>
      <c r="GG73" s="107"/>
      <c r="GH73" s="107"/>
      <c r="GI73" s="107"/>
      <c r="GJ73" s="292"/>
    </row>
    <row r="74" spans="1:192" ht="12.75" hidden="1" customHeight="1" outlineLevel="1">
      <c r="B74" s="727" t="s">
        <v>197</v>
      </c>
      <c r="C74" s="291"/>
      <c r="D74" s="107"/>
      <c r="E74" s="107"/>
      <c r="F74" s="107"/>
      <c r="G74" s="292"/>
      <c r="H74" s="291"/>
      <c r="I74" s="107"/>
      <c r="J74" s="107"/>
      <c r="K74" s="107"/>
      <c r="L74" s="292"/>
      <c r="M74" s="291"/>
      <c r="N74" s="107"/>
      <c r="O74" s="107"/>
      <c r="P74" s="107"/>
      <c r="Q74" s="292"/>
      <c r="R74" s="291"/>
      <c r="S74" s="107"/>
      <c r="T74" s="107"/>
      <c r="U74" s="107"/>
      <c r="V74" s="292"/>
      <c r="W74" s="291"/>
      <c r="X74" s="107"/>
      <c r="Y74" s="107"/>
      <c r="Z74" s="107"/>
      <c r="AA74" s="292"/>
      <c r="AB74" s="291"/>
      <c r="AC74" s="107"/>
      <c r="AD74" s="107"/>
      <c r="AE74" s="107"/>
      <c r="AF74" s="292"/>
      <c r="AG74" s="291"/>
      <c r="AH74" s="107"/>
      <c r="AI74" s="107"/>
      <c r="AJ74" s="107"/>
      <c r="AK74" s="292"/>
      <c r="AL74" s="291"/>
      <c r="AM74" s="107"/>
      <c r="AN74" s="107"/>
      <c r="AO74" s="107"/>
      <c r="AP74" s="292"/>
      <c r="AQ74" s="291"/>
      <c r="AR74" s="107"/>
      <c r="AS74" s="107"/>
      <c r="AT74" s="107"/>
      <c r="AU74" s="292"/>
      <c r="AV74" s="291"/>
      <c r="AW74" s="107"/>
      <c r="AX74" s="107"/>
      <c r="AY74" s="107"/>
      <c r="AZ74" s="292"/>
      <c r="BA74" s="291"/>
      <c r="BB74" s="107"/>
      <c r="BC74" s="107"/>
      <c r="BD74" s="107"/>
      <c r="BE74" s="292"/>
      <c r="BF74" s="291"/>
      <c r="BG74" s="107"/>
      <c r="BH74" s="107"/>
      <c r="BI74" s="107"/>
      <c r="BJ74" s="292"/>
      <c r="BK74" s="291"/>
      <c r="BL74" s="107"/>
      <c r="BM74" s="107"/>
      <c r="BN74" s="107"/>
      <c r="BO74" s="292"/>
      <c r="BP74" s="291"/>
      <c r="BQ74" s="107"/>
      <c r="BR74" s="107"/>
      <c r="BS74" s="107"/>
      <c r="BT74" s="292"/>
      <c r="BU74" s="291"/>
      <c r="BV74" s="107"/>
      <c r="BW74" s="107"/>
      <c r="BX74" s="107"/>
      <c r="BY74" s="292"/>
      <c r="BZ74" s="291"/>
      <c r="CA74" s="107"/>
      <c r="CB74" s="107"/>
      <c r="CC74" s="107"/>
      <c r="CD74" s="292"/>
      <c r="CE74" s="291"/>
      <c r="CF74" s="107"/>
      <c r="CG74" s="107"/>
      <c r="CH74" s="107"/>
      <c r="CI74" s="292"/>
      <c r="CJ74" s="291"/>
      <c r="CK74" s="107"/>
      <c r="CL74" s="107"/>
      <c r="CM74" s="107"/>
      <c r="CN74" s="292"/>
      <c r="CO74" s="291"/>
      <c r="CP74" s="107"/>
      <c r="CQ74" s="107"/>
      <c r="CR74" s="107"/>
      <c r="CS74" s="292"/>
      <c r="CT74" s="412"/>
      <c r="CU74" s="114"/>
      <c r="CV74" s="114"/>
      <c r="CW74" s="114"/>
      <c r="CX74" s="292"/>
      <c r="CY74" s="412"/>
      <c r="CZ74" s="114"/>
      <c r="DA74" s="114"/>
      <c r="DB74" s="114"/>
      <c r="DC74" s="292"/>
      <c r="DD74" s="412">
        <v>0.14000000000000001</v>
      </c>
      <c r="DE74" s="114">
        <v>-0.01</v>
      </c>
      <c r="DF74" s="114">
        <v>-0.14000000000000001</v>
      </c>
      <c r="DG74" s="114">
        <v>-0.17</v>
      </c>
      <c r="DH74" s="292"/>
      <c r="DI74" s="412">
        <v>-0.11</v>
      </c>
      <c r="DJ74" s="114">
        <v>0.04</v>
      </c>
      <c r="DK74" s="114">
        <v>0.03</v>
      </c>
      <c r="DL74" s="114">
        <v>0.18</v>
      </c>
      <c r="DM74" s="292"/>
      <c r="DN74" s="412">
        <v>0.2</v>
      </c>
      <c r="DO74" s="114">
        <v>0.24</v>
      </c>
      <c r="DP74" s="114">
        <v>0.21</v>
      </c>
      <c r="DQ74" s="114">
        <v>0.3</v>
      </c>
      <c r="DR74" s="292"/>
      <c r="DS74" s="412">
        <v>0.35</v>
      </c>
      <c r="DT74" s="114">
        <v>0.15</v>
      </c>
      <c r="DU74" s="114">
        <v>0.23</v>
      </c>
      <c r="DV74" s="114">
        <v>0.19</v>
      </c>
      <c r="DW74" s="292"/>
      <c r="DX74" s="412">
        <v>0.38</v>
      </c>
      <c r="DY74" s="114">
        <v>0.42</v>
      </c>
      <c r="DZ74" s="114">
        <v>0.46</v>
      </c>
      <c r="EA74" s="114">
        <v>0.22</v>
      </c>
      <c r="EB74" s="292"/>
      <c r="EC74" s="412">
        <v>0.38</v>
      </c>
      <c r="ED74" s="114">
        <v>0.41</v>
      </c>
      <c r="EE74" s="114">
        <v>0.36</v>
      </c>
      <c r="EF74" s="114">
        <v>0.39</v>
      </c>
      <c r="EG74" s="292"/>
      <c r="EH74" s="412">
        <v>0.37</v>
      </c>
      <c r="EI74" s="114">
        <v>0.26</v>
      </c>
      <c r="EJ74" s="114">
        <v>0.33</v>
      </c>
      <c r="EK74" s="114">
        <v>0.18</v>
      </c>
      <c r="EL74" s="413">
        <v>0.28000000000000003</v>
      </c>
      <c r="EM74" s="412">
        <v>0.25</v>
      </c>
      <c r="EN74" s="114">
        <v>0.15</v>
      </c>
      <c r="EO74" s="114">
        <v>0.17</v>
      </c>
      <c r="EP74" s="114">
        <v>0.22</v>
      </c>
      <c r="EQ74" s="292"/>
      <c r="ER74" s="412">
        <v>0.3</v>
      </c>
      <c r="ES74" s="114">
        <v>0.37</v>
      </c>
      <c r="ET74" s="439">
        <v>0.32</v>
      </c>
      <c r="EU74" s="439">
        <v>0.23</v>
      </c>
      <c r="EV74" s="292"/>
      <c r="EW74" s="291"/>
      <c r="EX74" s="107"/>
      <c r="EY74" s="107"/>
      <c r="EZ74" s="107"/>
      <c r="FA74" s="292"/>
      <c r="FB74" s="291"/>
      <c r="FC74" s="107"/>
      <c r="FD74" s="107"/>
      <c r="FE74" s="107"/>
      <c r="FF74" s="292"/>
      <c r="FG74" s="291"/>
      <c r="FH74" s="107"/>
      <c r="FI74" s="107"/>
      <c r="FJ74" s="107"/>
      <c r="FK74" s="292"/>
      <c r="FL74" s="291"/>
      <c r="FM74" s="107"/>
      <c r="FN74" s="107"/>
      <c r="FO74" s="107"/>
      <c r="FP74" s="292"/>
      <c r="FQ74" s="291"/>
      <c r="FR74" s="107"/>
      <c r="FS74" s="107"/>
      <c r="FT74" s="107"/>
      <c r="FU74" s="292"/>
      <c r="FV74" s="291"/>
      <c r="FW74" s="107"/>
      <c r="FX74" s="107"/>
      <c r="FY74" s="107"/>
      <c r="FZ74" s="292"/>
      <c r="GA74" s="291"/>
      <c r="GB74" s="107"/>
      <c r="GC74" s="107"/>
      <c r="GD74" s="107"/>
      <c r="GE74" s="292"/>
      <c r="GF74" s="291"/>
      <c r="GG74" s="107"/>
      <c r="GH74" s="107"/>
      <c r="GI74" s="107"/>
      <c r="GJ74" s="292"/>
    </row>
    <row r="75" spans="1:192" ht="12.75" hidden="1" customHeight="1" outlineLevel="1">
      <c r="B75" s="727" t="s">
        <v>36</v>
      </c>
      <c r="C75" s="291"/>
      <c r="D75" s="107"/>
      <c r="E75" s="107"/>
      <c r="F75" s="107"/>
      <c r="G75" s="293"/>
      <c r="H75" s="291"/>
      <c r="I75" s="107"/>
      <c r="J75" s="107"/>
      <c r="K75" s="107"/>
      <c r="L75" s="293"/>
      <c r="M75" s="291"/>
      <c r="N75" s="107"/>
      <c r="O75" s="107"/>
      <c r="P75" s="107"/>
      <c r="Q75" s="293"/>
      <c r="R75" s="291"/>
      <c r="S75" s="107"/>
      <c r="T75" s="107"/>
      <c r="U75" s="107"/>
      <c r="V75" s="293"/>
      <c r="W75" s="291"/>
      <c r="X75" s="107"/>
      <c r="Y75" s="107"/>
      <c r="Z75" s="107"/>
      <c r="AA75" s="293"/>
      <c r="AB75" s="291"/>
      <c r="AC75" s="107"/>
      <c r="AD75" s="107"/>
      <c r="AE75" s="107"/>
      <c r="AF75" s="293"/>
      <c r="AG75" s="291"/>
      <c r="AH75" s="107"/>
      <c r="AI75" s="107"/>
      <c r="AJ75" s="107"/>
      <c r="AK75" s="293"/>
      <c r="AL75" s="291"/>
      <c r="AM75" s="107"/>
      <c r="AN75" s="107"/>
      <c r="AO75" s="107"/>
      <c r="AP75" s="293"/>
      <c r="AQ75" s="291"/>
      <c r="AR75" s="107"/>
      <c r="AS75" s="107"/>
      <c r="AT75" s="107"/>
      <c r="AU75" s="293"/>
      <c r="AV75" s="291"/>
      <c r="AW75" s="107"/>
      <c r="AX75" s="107"/>
      <c r="AY75" s="107"/>
      <c r="AZ75" s="293"/>
      <c r="BA75" s="291"/>
      <c r="BB75" s="107"/>
      <c r="BC75" s="107"/>
      <c r="BD75" s="107"/>
      <c r="BE75" s="293"/>
      <c r="BF75" s="291"/>
      <c r="BG75" s="107"/>
      <c r="BH75" s="107"/>
      <c r="BI75" s="107"/>
      <c r="BJ75" s="293"/>
      <c r="BK75" s="291"/>
      <c r="BL75" s="107"/>
      <c r="BM75" s="107"/>
      <c r="BN75" s="107"/>
      <c r="BO75" s="293"/>
      <c r="BP75" s="291"/>
      <c r="BQ75" s="107"/>
      <c r="BR75" s="107"/>
      <c r="BS75" s="107"/>
      <c r="BT75" s="293"/>
      <c r="BU75" s="291"/>
      <c r="BV75" s="107"/>
      <c r="BW75" s="107"/>
      <c r="BX75" s="107"/>
      <c r="BY75" s="293"/>
      <c r="BZ75" s="291"/>
      <c r="CA75" s="107"/>
      <c r="CB75" s="107"/>
      <c r="CC75" s="107"/>
      <c r="CD75" s="293"/>
      <c r="CE75" s="291"/>
      <c r="CF75" s="107"/>
      <c r="CG75" s="107"/>
      <c r="CH75" s="107"/>
      <c r="CI75" s="293"/>
      <c r="CJ75" s="291"/>
      <c r="CK75" s="107"/>
      <c r="CL75" s="107"/>
      <c r="CM75" s="107"/>
      <c r="CN75" s="293"/>
      <c r="CO75" s="291"/>
      <c r="CP75" s="107"/>
      <c r="CQ75" s="107"/>
      <c r="CR75" s="107"/>
      <c r="CS75" s="293"/>
      <c r="CT75" s="291"/>
      <c r="CU75" s="107"/>
      <c r="CV75" s="107"/>
      <c r="CW75" s="107"/>
      <c r="CX75" s="293"/>
      <c r="CY75" s="291" t="str">
        <f>IFERROR(CY72/CW72-1,"--")</f>
      </c>
      <c r="CZ75" s="107">
        <f>IFERROR(CZ72/CY72-1,"--")</f>
      </c>
      <c r="DA75" s="107">
        <f>IFERROR(DA72/CZ72-1,"--")</f>
      </c>
      <c r="DB75" s="107">
        <f>IFERROR(DB72/DA72-1,"--")</f>
      </c>
      <c r="DC75" s="293"/>
      <c r="DD75" s="291">
        <f>IFERROR(DD72/DB72-1,"--")</f>
      </c>
      <c r="DE75" s="107">
        <f>IFERROR(DE72/DD72-1,"--")</f>
      </c>
      <c r="DF75" s="107">
        <f>IFERROR(DF72/DE72-1,"--")</f>
      </c>
      <c r="DG75" s="107">
        <f>IFERROR(DG72/DF72-1,"--")</f>
      </c>
      <c r="DH75" s="293"/>
      <c r="DI75" s="291">
        <f>IFERROR(DI72/DG72-1,"--")</f>
      </c>
      <c r="DJ75" s="107">
        <f>IFERROR(DJ72/DI72-1,"--")</f>
      </c>
      <c r="DK75" s="107">
        <f>IFERROR(DK72/DJ72-1,"--")</f>
      </c>
      <c r="DL75" s="107">
        <f>IFERROR(DL72/DK72-1,"--")</f>
      </c>
      <c r="DM75" s="293"/>
      <c r="DN75" s="291">
        <f>IFERROR(DN72/DL72-1,"--")</f>
      </c>
      <c r="DO75" s="107">
        <f>IFERROR(DO72/DN72-1,"--")</f>
      </c>
      <c r="DP75" s="107">
        <f>IFERROR(DP72/DO72-1,"--")</f>
      </c>
      <c r="DQ75" s="107">
        <f>IFERROR(DQ72/DP72-1,"--")</f>
      </c>
      <c r="DR75" s="293"/>
      <c r="DS75" s="291">
        <f>IFERROR(DS72/DQ72-1,"--")</f>
      </c>
      <c r="DT75" s="107">
        <f>IFERROR(DT72/DS72-1,"--")</f>
      </c>
      <c r="DU75" s="107">
        <f>IFERROR(DU72/DT72-1,"--")</f>
      </c>
      <c r="DV75" s="107">
        <f>IFERROR(DV72/DU72-1,"--")</f>
      </c>
      <c r="DW75" s="293"/>
      <c r="DX75" s="291">
        <f>IFERROR(DX72/DV72-1,"--")</f>
      </c>
      <c r="DY75" s="107">
        <f>IFERROR(DY72/DX72-1,"--")</f>
      </c>
      <c r="DZ75" s="107">
        <f>IFERROR(DZ72/DY72-1,"--")</f>
      </c>
      <c r="EA75" s="107">
        <f>IFERROR(EA72/DZ72-1,"--")</f>
      </c>
      <c r="EB75" s="293"/>
      <c r="EC75" s="291">
        <f>IFERROR(EC72/EA72-1,"--")</f>
      </c>
      <c r="ED75" s="107">
        <f>IFERROR(ED72/EC72-1,"--")</f>
      </c>
      <c r="EE75" s="107">
        <f>IFERROR(EE72/ED72-1,"--")</f>
      </c>
      <c r="EF75" s="107">
        <f>IFERROR(EF72/EE72-1,"--")</f>
      </c>
      <c r="EG75" s="293"/>
      <c r="EH75" s="291">
        <f>IFERROR(EH72/EF72-1,"--")</f>
      </c>
      <c r="EI75" s="107">
        <f>IFERROR(EI72/EH72-1,"--")</f>
      </c>
      <c r="EJ75" s="107">
        <f>IFERROR(EJ72/EI72-1,"--")</f>
      </c>
      <c r="EK75" s="107">
        <f>IFERROR(EK72/EJ72-1,"--")</f>
      </c>
      <c r="EL75" s="293"/>
      <c r="EM75" s="291">
        <f>IFERROR(EM72/EK72-1,"--")</f>
      </c>
      <c r="EN75" s="107">
        <f>IFERROR(EN72/EM72-1,"--")</f>
      </c>
      <c r="EO75" s="107">
        <f>IFERROR(EO72/EN72-1,"--")</f>
      </c>
      <c r="EP75" s="107">
        <f>IFERROR(EP72/EO72-1,"--")</f>
      </c>
      <c r="EQ75" s="293"/>
      <c r="ER75" s="291">
        <f>IFERROR(ER72/EP72-1,"--")</f>
      </c>
      <c r="ES75" s="107">
        <f>IFERROR(ES72/ER72-1,"--")</f>
      </c>
      <c r="ET75" s="107">
        <f>IFERROR(ET72/ES72-1,"--")</f>
      </c>
      <c r="EU75" s="468">
        <f>IFERROR(EU72/ET72-1,"--")</f>
      </c>
      <c r="EV75" s="293"/>
      <c r="EW75" s="291"/>
      <c r="EX75" s="107"/>
      <c r="EY75" s="107"/>
      <c r="EZ75" s="107"/>
      <c r="FA75" s="293"/>
      <c r="FB75" s="291"/>
      <c r="FC75" s="107"/>
      <c r="FD75" s="107"/>
      <c r="FE75" s="107"/>
      <c r="FF75" s="293"/>
      <c r="FG75" s="291"/>
      <c r="FH75" s="107"/>
      <c r="FI75" s="107"/>
      <c r="FJ75" s="107"/>
      <c r="FK75" s="293"/>
      <c r="FL75" s="291"/>
      <c r="FM75" s="107"/>
      <c r="FN75" s="107"/>
      <c r="FO75" s="107"/>
      <c r="FP75" s="293"/>
      <c r="FQ75" s="291"/>
      <c r="FR75" s="107"/>
      <c r="FS75" s="107"/>
      <c r="FT75" s="107"/>
      <c r="FU75" s="293"/>
      <c r="FV75" s="291"/>
      <c r="FW75" s="107"/>
      <c r="FX75" s="107"/>
      <c r="FY75" s="107"/>
      <c r="FZ75" s="293"/>
      <c r="GA75" s="291"/>
      <c r="GB75" s="107"/>
      <c r="GC75" s="107"/>
      <c r="GD75" s="107"/>
      <c r="GE75" s="293"/>
      <c r="GF75" s="291"/>
      <c r="GG75" s="107"/>
      <c r="GH75" s="107"/>
      <c r="GI75" s="107"/>
      <c r="GJ75" s="293"/>
    </row>
    <row r="76" spans="1:192" ht="12.75" hidden="1" customHeight="1" outlineLevel="1">
      <c r="B76" s="727" t="s">
        <v>256</v>
      </c>
      <c r="C76" s="291"/>
      <c r="D76" s="107"/>
      <c r="E76" s="107"/>
      <c r="F76" s="107"/>
      <c r="G76" s="293"/>
      <c r="H76" s="291"/>
      <c r="I76" s="107"/>
      <c r="J76" s="107"/>
      <c r="K76" s="107"/>
      <c r="L76" s="293"/>
      <c r="M76" s="291"/>
      <c r="N76" s="107"/>
      <c r="O76" s="107"/>
      <c r="P76" s="107"/>
      <c r="Q76" s="293"/>
      <c r="R76" s="291"/>
      <c r="S76" s="107"/>
      <c r="T76" s="107"/>
      <c r="U76" s="107"/>
      <c r="V76" s="293"/>
      <c r="W76" s="291"/>
      <c r="X76" s="107"/>
      <c r="Y76" s="107"/>
      <c r="Z76" s="107"/>
      <c r="AA76" s="293"/>
      <c r="AB76" s="291"/>
      <c r="AC76" s="107"/>
      <c r="AD76" s="107"/>
      <c r="AE76" s="107"/>
      <c r="AF76" s="293"/>
      <c r="AG76" s="291"/>
      <c r="AH76" s="107"/>
      <c r="AI76" s="107"/>
      <c r="AJ76" s="107"/>
      <c r="AK76" s="293"/>
      <c r="AL76" s="291"/>
      <c r="AM76" s="107"/>
      <c r="AN76" s="107"/>
      <c r="AO76" s="107"/>
      <c r="AP76" s="293"/>
      <c r="AQ76" s="291"/>
      <c r="AR76" s="107"/>
      <c r="AS76" s="107"/>
      <c r="AT76" s="107"/>
      <c r="AU76" s="293"/>
      <c r="AV76" s="291"/>
      <c r="AW76" s="107"/>
      <c r="AX76" s="107"/>
      <c r="AY76" s="107"/>
      <c r="AZ76" s="293"/>
      <c r="BA76" s="291"/>
      <c r="BB76" s="107"/>
      <c r="BC76" s="107"/>
      <c r="BD76" s="107"/>
      <c r="BE76" s="293"/>
      <c r="BF76" s="291"/>
      <c r="BG76" s="107"/>
      <c r="BH76" s="107"/>
      <c r="BI76" s="107"/>
      <c r="BJ76" s="293"/>
      <c r="BK76" s="291"/>
      <c r="BL76" s="107"/>
      <c r="BM76" s="107"/>
      <c r="BN76" s="107"/>
      <c r="BO76" s="293"/>
      <c r="BP76" s="291"/>
      <c r="BQ76" s="107"/>
      <c r="BR76" s="107"/>
      <c r="BS76" s="107"/>
      <c r="BT76" s="293"/>
      <c r="BU76" s="291"/>
      <c r="BV76" s="107"/>
      <c r="BW76" s="107"/>
      <c r="BX76" s="107"/>
      <c r="BY76" s="293"/>
      <c r="BZ76" s="291"/>
      <c r="CA76" s="107"/>
      <c r="CB76" s="107"/>
      <c r="CC76" s="107"/>
      <c r="CD76" s="293"/>
      <c r="CE76" s="291"/>
      <c r="CF76" s="107"/>
      <c r="CG76" s="107"/>
      <c r="CH76" s="107"/>
      <c r="CI76" s="293"/>
      <c r="CJ76" s="291"/>
      <c r="CK76" s="107"/>
      <c r="CL76" s="107"/>
      <c r="CM76" s="107"/>
      <c r="CN76" s="293"/>
      <c r="CO76" s="291"/>
      <c r="CP76" s="107"/>
      <c r="CQ76" s="107"/>
      <c r="CR76" s="107"/>
      <c r="CS76" s="293"/>
      <c r="CT76" s="291"/>
      <c r="CU76" s="107"/>
      <c r="CV76" s="107"/>
      <c r="CW76" s="107"/>
      <c r="CX76" s="293"/>
      <c r="CY76" s="447"/>
      <c r="CZ76" s="447"/>
      <c r="DA76" s="447"/>
      <c r="DB76" s="447"/>
      <c r="DC76" s="459"/>
      <c r="DD76" s="447">
        <f t="shared" ref="DD76:EV76" si="63">DD72-CY72</f>
      </c>
      <c r="DE76" s="447">
        <f t="shared" si="63"/>
      </c>
      <c r="DF76" s="447">
        <f t="shared" si="63"/>
      </c>
      <c r="DG76" s="447">
        <f t="shared" si="63"/>
      </c>
      <c r="DH76" s="459">
        <f t="shared" si="63"/>
      </c>
      <c r="DI76" s="447">
        <f t="shared" si="63"/>
      </c>
      <c r="DJ76" s="447">
        <f t="shared" si="63"/>
      </c>
      <c r="DK76" s="447">
        <f t="shared" si="63"/>
      </c>
      <c r="DL76" s="447">
        <f t="shared" si="63"/>
      </c>
      <c r="DM76" s="459">
        <f t="shared" si="63"/>
      </c>
      <c r="DN76" s="447">
        <f t="shared" si="63"/>
      </c>
      <c r="DO76" s="447">
        <f t="shared" si="63"/>
      </c>
      <c r="DP76" s="447">
        <f t="shared" si="63"/>
      </c>
      <c r="DQ76" s="447">
        <f t="shared" si="63"/>
      </c>
      <c r="DR76" s="459">
        <f t="shared" si="63"/>
      </c>
      <c r="DS76" s="447">
        <f t="shared" si="63"/>
      </c>
      <c r="DT76" s="447">
        <f t="shared" si="63"/>
      </c>
      <c r="DU76" s="447">
        <f t="shared" si="63"/>
      </c>
      <c r="DV76" s="447">
        <f t="shared" si="63"/>
      </c>
      <c r="DW76" s="459">
        <f t="shared" si="63"/>
      </c>
      <c r="DX76" s="447">
        <f t="shared" si="63"/>
      </c>
      <c r="DY76" s="447">
        <f t="shared" si="63"/>
      </c>
      <c r="DZ76" s="447">
        <f t="shared" si="63"/>
      </c>
      <c r="EA76" s="447">
        <f t="shared" si="63"/>
      </c>
      <c r="EB76" s="459">
        <f t="shared" si="63"/>
      </c>
      <c r="EC76" s="447">
        <f t="shared" si="63"/>
      </c>
      <c r="ED76" s="447">
        <f t="shared" si="63"/>
      </c>
      <c r="EE76" s="447">
        <f t="shared" si="63"/>
      </c>
      <c r="EF76" s="447">
        <f t="shared" si="63"/>
      </c>
      <c r="EG76" s="459">
        <f t="shared" si="63"/>
      </c>
      <c r="EH76" s="447">
        <f t="shared" si="63"/>
      </c>
      <c r="EI76" s="447">
        <f t="shared" si="63"/>
      </c>
      <c r="EJ76" s="447">
        <f t="shared" si="63"/>
      </c>
      <c r="EK76" s="447">
        <f t="shared" si="63"/>
      </c>
      <c r="EL76" s="459">
        <f t="shared" si="63"/>
      </c>
      <c r="EM76" s="511">
        <f t="shared" si="63"/>
      </c>
      <c r="EN76" s="511">
        <f t="shared" si="63"/>
      </c>
      <c r="EO76" s="511">
        <f t="shared" si="63"/>
      </c>
      <c r="EP76" s="447">
        <f t="shared" si="63"/>
      </c>
      <c r="EQ76" s="459">
        <f t="shared" si="63"/>
      </c>
      <c r="ER76" s="447">
        <f t="shared" si="63"/>
      </c>
      <c r="ES76" s="679">
        <f t="shared" si="63"/>
      </c>
      <c r="ET76" s="511">
        <f t="shared" si="63"/>
      </c>
      <c r="EU76" s="447">
        <f t="shared" si="63"/>
      </c>
      <c r="EV76" s="459">
        <f t="shared" si="63"/>
      </c>
      <c r="EW76" s="291"/>
      <c r="EX76" s="107"/>
      <c r="EY76" s="107"/>
      <c r="EZ76" s="107"/>
      <c r="FA76" s="293"/>
      <c r="FB76" s="291"/>
      <c r="FC76" s="107"/>
      <c r="FD76" s="107"/>
      <c r="FE76" s="107"/>
      <c r="FF76" s="293"/>
      <c r="FG76" s="291"/>
      <c r="FH76" s="107"/>
      <c r="FI76" s="107"/>
      <c r="FJ76" s="107"/>
      <c r="FK76" s="293"/>
      <c r="FL76" s="291"/>
      <c r="FM76" s="107"/>
      <c r="FN76" s="107"/>
      <c r="FO76" s="107"/>
      <c r="FP76" s="293"/>
      <c r="FQ76" s="291"/>
      <c r="FR76" s="107"/>
      <c r="FS76" s="107"/>
      <c r="FT76" s="107"/>
      <c r="FU76" s="293"/>
      <c r="FV76" s="291"/>
      <c r="FW76" s="107"/>
      <c r="FX76" s="107"/>
      <c r="FY76" s="107"/>
      <c r="FZ76" s="293"/>
      <c r="GA76" s="291"/>
      <c r="GB76" s="107"/>
      <c r="GC76" s="107"/>
      <c r="GD76" s="107"/>
      <c r="GE76" s="293"/>
      <c r="GF76" s="291"/>
      <c r="GG76" s="107"/>
      <c r="GH76" s="107"/>
      <c r="GI76" s="107"/>
      <c r="GJ76" s="293"/>
    </row>
    <row r="77" spans="1:192" ht="12.75" hidden="1" customHeight="1" outlineLevel="1">
      <c r="B77" s="727" t="s">
        <v>263</v>
      </c>
      <c r="C77" s="291"/>
      <c r="D77" s="107"/>
      <c r="E77" s="107"/>
      <c r="F77" s="107"/>
      <c r="G77" s="293"/>
      <c r="H77" s="291"/>
      <c r="I77" s="107"/>
      <c r="J77" s="107"/>
      <c r="K77" s="107"/>
      <c r="L77" s="293"/>
      <c r="M77" s="291"/>
      <c r="N77" s="107"/>
      <c r="O77" s="107"/>
      <c r="P77" s="107"/>
      <c r="Q77" s="293"/>
      <c r="R77" s="291"/>
      <c r="S77" s="107"/>
      <c r="T77" s="107"/>
      <c r="U77" s="107"/>
      <c r="V77" s="293"/>
      <c r="W77" s="291"/>
      <c r="X77" s="107"/>
      <c r="Y77" s="107"/>
      <c r="Z77" s="107"/>
      <c r="AA77" s="293"/>
      <c r="AB77" s="291"/>
      <c r="AC77" s="107"/>
      <c r="AD77" s="107"/>
      <c r="AE77" s="107"/>
      <c r="AF77" s="293"/>
      <c r="AG77" s="291"/>
      <c r="AH77" s="107"/>
      <c r="AI77" s="107"/>
      <c r="AJ77" s="107"/>
      <c r="AK77" s="293"/>
      <c r="AL77" s="291"/>
      <c r="AM77" s="107"/>
      <c r="AN77" s="107"/>
      <c r="AO77" s="107"/>
      <c r="AP77" s="293"/>
      <c r="AQ77" s="291"/>
      <c r="AR77" s="107"/>
      <c r="AS77" s="107"/>
      <c r="AT77" s="107"/>
      <c r="AU77" s="293"/>
      <c r="AV77" s="291"/>
      <c r="AW77" s="107"/>
      <c r="AX77" s="107"/>
      <c r="AY77" s="107"/>
      <c r="AZ77" s="293"/>
      <c r="BA77" s="291"/>
      <c r="BB77" s="107"/>
      <c r="BC77" s="107"/>
      <c r="BD77" s="107"/>
      <c r="BE77" s="293"/>
      <c r="BF77" s="291"/>
      <c r="BG77" s="107"/>
      <c r="BH77" s="107"/>
      <c r="BI77" s="107"/>
      <c r="BJ77" s="293"/>
      <c r="BK77" s="291"/>
      <c r="BL77" s="107"/>
      <c r="BM77" s="107"/>
      <c r="BN77" s="107"/>
      <c r="BO77" s="293"/>
      <c r="BP77" s="291"/>
      <c r="BQ77" s="107"/>
      <c r="BR77" s="107"/>
      <c r="BS77" s="107"/>
      <c r="BT77" s="293"/>
      <c r="BU77" s="291"/>
      <c r="BV77" s="107"/>
      <c r="BW77" s="107"/>
      <c r="BX77" s="107"/>
      <c r="BY77" s="293"/>
      <c r="BZ77" s="291"/>
      <c r="CA77" s="107"/>
      <c r="CB77" s="107"/>
      <c r="CC77" s="107"/>
      <c r="CD77" s="293"/>
      <c r="CE77" s="291"/>
      <c r="CF77" s="107"/>
      <c r="CG77" s="107"/>
      <c r="CH77" s="107"/>
      <c r="CI77" s="293"/>
      <c r="CJ77" s="291"/>
      <c r="CK77" s="107"/>
      <c r="CL77" s="107"/>
      <c r="CM77" s="107"/>
      <c r="CN77" s="293"/>
      <c r="CO77" s="291"/>
      <c r="CP77" s="107"/>
      <c r="CQ77" s="107"/>
      <c r="CR77" s="107"/>
      <c r="CS77" s="293"/>
      <c r="CT77" s="291"/>
      <c r="CU77" s="107"/>
      <c r="CV77" s="107"/>
      <c r="CW77" s="107"/>
      <c r="CX77" s="293"/>
      <c r="CY77" s="465">
        <f t="shared" ref="CY77:ED77" si="64">CY72/CY50</f>
      </c>
      <c r="CZ77" s="465">
        <f t="shared" si="64"/>
      </c>
      <c r="DA77" s="465">
        <f t="shared" si="64"/>
      </c>
      <c r="DB77" s="465">
        <f t="shared" si="64"/>
      </c>
      <c r="DC77" s="524">
        <f t="shared" si="64"/>
      </c>
      <c r="DD77" s="465">
        <f t="shared" si="64"/>
      </c>
      <c r="DE77" s="465">
        <f t="shared" si="64"/>
      </c>
      <c r="DF77" s="465">
        <f t="shared" si="64"/>
      </c>
      <c r="DG77" s="465">
        <f t="shared" si="64"/>
      </c>
      <c r="DH77" s="524">
        <f t="shared" si="64"/>
      </c>
      <c r="DI77" s="465">
        <f t="shared" si="64"/>
      </c>
      <c r="DJ77" s="465">
        <f t="shared" si="64"/>
      </c>
      <c r="DK77" s="465">
        <f t="shared" si="64"/>
      </c>
      <c r="DL77" s="465">
        <f t="shared" si="64"/>
      </c>
      <c r="DM77" s="524">
        <f t="shared" si="64"/>
      </c>
      <c r="DN77" s="465">
        <f t="shared" si="64"/>
      </c>
      <c r="DO77" s="465">
        <f t="shared" si="64"/>
      </c>
      <c r="DP77" s="465">
        <f t="shared" si="64"/>
      </c>
      <c r="DQ77" s="465">
        <f t="shared" si="64"/>
      </c>
      <c r="DR77" s="524">
        <f t="shared" si="64"/>
      </c>
      <c r="DS77" s="465">
        <f t="shared" si="64"/>
      </c>
      <c r="DT77" s="465">
        <f t="shared" si="64"/>
      </c>
      <c r="DU77" s="465">
        <f t="shared" si="64"/>
      </c>
      <c r="DV77" s="465">
        <f t="shared" si="64"/>
      </c>
      <c r="DW77" s="524">
        <f t="shared" si="64"/>
      </c>
      <c r="DX77" s="465">
        <f t="shared" si="64"/>
      </c>
      <c r="DY77" s="465">
        <f t="shared" si="64"/>
      </c>
      <c r="DZ77" s="465">
        <f t="shared" si="64"/>
      </c>
      <c r="EA77" s="465">
        <f t="shared" si="64"/>
      </c>
      <c r="EB77" s="524">
        <f t="shared" si="64"/>
      </c>
      <c r="EC77" s="465">
        <f t="shared" si="64"/>
      </c>
      <c r="ED77" s="465">
        <f t="shared" si="64"/>
      </c>
      <c r="EE77" s="465">
        <f t="shared" ref="EE77:EV77" si="65">EE72/EE50</f>
      </c>
      <c r="EF77" s="465">
        <f t="shared" si="65"/>
      </c>
      <c r="EG77" s="524">
        <f t="shared" si="65"/>
      </c>
      <c r="EH77" s="465">
        <f t="shared" si="65"/>
      </c>
      <c r="EI77" s="465">
        <f t="shared" si="65"/>
      </c>
      <c r="EJ77" s="465">
        <f t="shared" si="65"/>
      </c>
      <c r="EK77" s="465">
        <f t="shared" si="65"/>
      </c>
      <c r="EL77" s="524">
        <f t="shared" si="65"/>
      </c>
      <c r="EM77" s="294">
        <f t="shared" si="65"/>
      </c>
      <c r="EN77" s="295">
        <f t="shared" si="65"/>
      </c>
      <c r="EO77" s="295">
        <f t="shared" si="65"/>
      </c>
      <c r="EP77" s="295">
        <f t="shared" si="65"/>
      </c>
      <c r="EQ77" s="296">
        <f t="shared" si="65"/>
      </c>
      <c r="ER77" s="465">
        <f t="shared" si="65"/>
      </c>
      <c r="ES77" s="107">
        <f t="shared" si="65"/>
      </c>
      <c r="ET77" s="295">
        <f t="shared" si="65"/>
      </c>
      <c r="EU77" s="295">
        <f t="shared" si="65"/>
      </c>
      <c r="EV77" s="296">
        <f t="shared" si="65"/>
      </c>
      <c r="EW77" s="291"/>
      <c r="EX77" s="107"/>
      <c r="EY77" s="107"/>
      <c r="EZ77" s="107"/>
      <c r="FA77" s="293"/>
      <c r="FB77" s="291"/>
      <c r="FC77" s="107"/>
      <c r="FD77" s="107"/>
      <c r="FE77" s="107"/>
      <c r="FF77" s="293"/>
      <c r="FG77" s="291"/>
      <c r="FH77" s="107"/>
      <c r="FI77" s="107"/>
      <c r="FJ77" s="107"/>
      <c r="FK77" s="293"/>
      <c r="FL77" s="291"/>
      <c r="FM77" s="107"/>
      <c r="FN77" s="107"/>
      <c r="FO77" s="107"/>
      <c r="FP77" s="293"/>
      <c r="FQ77" s="291"/>
      <c r="FR77" s="107"/>
      <c r="FS77" s="107"/>
      <c r="FT77" s="107"/>
      <c r="FU77" s="293"/>
      <c r="FV77" s="291"/>
      <c r="FW77" s="107"/>
      <c r="FX77" s="107"/>
      <c r="FY77" s="107"/>
      <c r="FZ77" s="293"/>
      <c r="GA77" s="291"/>
      <c r="GB77" s="107"/>
      <c r="GC77" s="107"/>
      <c r="GD77" s="107"/>
      <c r="GE77" s="293"/>
      <c r="GF77" s="291"/>
      <c r="GG77" s="107"/>
      <c r="GH77" s="107"/>
      <c r="GI77" s="107"/>
      <c r="GJ77" s="293"/>
    </row>
    <row r="78" spans="1:192" s="1247" customFormat="1" ht="12.75" hidden="1" customHeight="1" outlineLevel="1">
      <c r="A78" s="1561"/>
      <c r="B78" s="753" t="s">
        <v>1854</v>
      </c>
      <c r="C78" s="1243"/>
      <c r="D78" s="1244"/>
      <c r="E78" s="1244"/>
      <c r="F78" s="1244"/>
      <c r="G78" s="1242"/>
      <c r="H78" s="1243"/>
      <c r="I78" s="1244"/>
      <c r="J78" s="1244"/>
      <c r="K78" s="1244"/>
      <c r="L78" s="1242"/>
      <c r="M78" s="1243"/>
      <c r="N78" s="1244"/>
      <c r="O78" s="1244"/>
      <c r="P78" s="1244"/>
      <c r="Q78" s="1242"/>
      <c r="R78" s="1243"/>
      <c r="S78" s="1244"/>
      <c r="T78" s="1244"/>
      <c r="U78" s="1244"/>
      <c r="V78" s="1242"/>
      <c r="W78" s="1243"/>
      <c r="X78" s="1244"/>
      <c r="Y78" s="1244"/>
      <c r="Z78" s="1244"/>
      <c r="AA78" s="1242"/>
      <c r="AB78" s="1243"/>
      <c r="AC78" s="1244"/>
      <c r="AD78" s="1244"/>
      <c r="AE78" s="1244"/>
      <c r="AF78" s="1242"/>
      <c r="AG78" s="1243"/>
      <c r="AH78" s="1244"/>
      <c r="AI78" s="1244"/>
      <c r="AJ78" s="1244"/>
      <c r="AK78" s="1242"/>
      <c r="AL78" s="1243"/>
      <c r="AM78" s="1244"/>
      <c r="AN78" s="1244"/>
      <c r="AO78" s="1244"/>
      <c r="AP78" s="1242"/>
      <c r="AQ78" s="1243"/>
      <c r="AR78" s="1244"/>
      <c r="AS78" s="1244"/>
      <c r="AT78" s="1244"/>
      <c r="AU78" s="1242"/>
      <c r="AV78" s="1243"/>
      <c r="AW78" s="1244"/>
      <c r="AX78" s="1244"/>
      <c r="AY78" s="1244"/>
      <c r="AZ78" s="1242"/>
      <c r="BA78" s="1243"/>
      <c r="BB78" s="1244"/>
      <c r="BC78" s="1244"/>
      <c r="BD78" s="1244"/>
      <c r="BE78" s="1242"/>
      <c r="BF78" s="1243"/>
      <c r="BG78" s="1244"/>
      <c r="BH78" s="1244"/>
      <c r="BI78" s="1244"/>
      <c r="BJ78" s="1242"/>
      <c r="BK78" s="1243"/>
      <c r="BL78" s="1244"/>
      <c r="BM78" s="1244"/>
      <c r="BN78" s="1244"/>
      <c r="BO78" s="1242"/>
      <c r="BP78" s="1243"/>
      <c r="BQ78" s="1244"/>
      <c r="BR78" s="1244"/>
      <c r="BS78" s="1244"/>
      <c r="BT78" s="1242"/>
      <c r="BU78" s="1243"/>
      <c r="BV78" s="1244"/>
      <c r="BW78" s="1244"/>
      <c r="BX78" s="1244"/>
      <c r="BY78" s="1242"/>
      <c r="BZ78" s="1243"/>
      <c r="CA78" s="1244"/>
      <c r="CB78" s="1244"/>
      <c r="CC78" s="1244"/>
      <c r="CD78" s="1242"/>
      <c r="CE78" s="1243"/>
      <c r="CF78" s="1244"/>
      <c r="CG78" s="1244"/>
      <c r="CH78" s="1244"/>
      <c r="CI78" s="1242"/>
      <c r="CJ78" s="1243"/>
      <c r="CK78" s="1244"/>
      <c r="CL78" s="1244"/>
      <c r="CM78" s="1244"/>
      <c r="CN78" s="1242"/>
      <c r="CO78" s="1243"/>
      <c r="CP78" s="1244"/>
      <c r="CQ78" s="1244"/>
      <c r="CR78" s="1244"/>
      <c r="CS78" s="1242"/>
      <c r="CT78" s="1243"/>
      <c r="CU78" s="1244"/>
      <c r="CV78" s="1244"/>
      <c r="CW78" s="1244"/>
      <c r="CX78" s="1242"/>
      <c r="CY78" s="1243"/>
      <c r="CZ78" s="1244"/>
      <c r="DA78" s="1244"/>
      <c r="DB78" s="1244"/>
      <c r="DC78" s="1242"/>
      <c r="DD78" s="1243"/>
      <c r="DE78" s="1244"/>
      <c r="DF78" s="1244"/>
      <c r="DG78" s="1244"/>
      <c r="DH78" s="1245">
        <f t="shared" ref="DH78:EV78" si="66">(DH77-DC77)*10000</f>
      </c>
      <c r="DI78" s="1243">
        <f t="shared" si="66"/>
      </c>
      <c r="DJ78" s="1244">
        <f t="shared" si="66"/>
      </c>
      <c r="DK78" s="1244">
        <f t="shared" si="66"/>
      </c>
      <c r="DL78" s="1244">
        <f t="shared" si="66"/>
      </c>
      <c r="DM78" s="1242">
        <f t="shared" si="66"/>
      </c>
      <c r="DN78" s="1243">
        <f t="shared" si="66"/>
      </c>
      <c r="DO78" s="1244">
        <f t="shared" si="66"/>
      </c>
      <c r="DP78" s="1244">
        <f t="shared" si="66"/>
      </c>
      <c r="DQ78" s="1244">
        <f t="shared" si="66"/>
      </c>
      <c r="DR78" s="1242">
        <f t="shared" si="66"/>
      </c>
      <c r="DS78" s="1243">
        <f t="shared" si="66"/>
      </c>
      <c r="DT78" s="1244">
        <f t="shared" si="66"/>
      </c>
      <c r="DU78" s="1244">
        <f t="shared" si="66"/>
      </c>
      <c r="DV78" s="1244">
        <f t="shared" si="66"/>
      </c>
      <c r="DW78" s="1242">
        <f t="shared" si="66"/>
      </c>
      <c r="DX78" s="1243">
        <f t="shared" si="66"/>
      </c>
      <c r="DY78" s="1244">
        <f t="shared" si="66"/>
      </c>
      <c r="DZ78" s="1244">
        <f t="shared" si="66"/>
      </c>
      <c r="EA78" s="1244">
        <f t="shared" si="66"/>
      </c>
      <c r="EB78" s="1242">
        <f t="shared" si="66"/>
      </c>
      <c r="EC78" s="1243">
        <f t="shared" si="66"/>
      </c>
      <c r="ED78" s="1244">
        <f t="shared" si="66"/>
      </c>
      <c r="EE78" s="1244">
        <f t="shared" si="66"/>
      </c>
      <c r="EF78" s="1244">
        <f t="shared" si="66"/>
      </c>
      <c r="EG78" s="1242">
        <f t="shared" si="66"/>
      </c>
      <c r="EH78" s="1243">
        <f t="shared" si="66"/>
      </c>
      <c r="EI78" s="1244">
        <f t="shared" si="66"/>
      </c>
      <c r="EJ78" s="1244">
        <f t="shared" si="66"/>
      </c>
      <c r="EK78" s="1244">
        <f t="shared" si="66"/>
      </c>
      <c r="EL78" s="1242">
        <f t="shared" si="66"/>
      </c>
      <c r="EM78" s="1243">
        <f t="shared" si="66"/>
      </c>
      <c r="EN78" s="1243">
        <f t="shared" si="66"/>
      </c>
      <c r="EO78" s="1243">
        <f t="shared" si="66"/>
      </c>
      <c r="EP78" s="1244">
        <f t="shared" si="66"/>
      </c>
      <c r="EQ78" s="1242">
        <f t="shared" si="66"/>
      </c>
      <c r="ER78" s="1243">
        <f t="shared" si="66"/>
      </c>
      <c r="ES78" s="1244">
        <f t="shared" si="66"/>
      </c>
      <c r="ET78" s="1243">
        <f t="shared" si="66"/>
      </c>
      <c r="EU78" s="1244">
        <f t="shared" si="66"/>
      </c>
      <c r="EV78" s="1242">
        <f t="shared" si="66"/>
      </c>
      <c r="EW78" s="1243"/>
      <c r="EX78" s="1244"/>
      <c r="EY78" s="1244"/>
      <c r="EZ78" s="1244"/>
      <c r="FA78" s="1242"/>
      <c r="FB78" s="1243"/>
      <c r="FC78" s="1244"/>
      <c r="FD78" s="1244"/>
      <c r="FE78" s="1244"/>
      <c r="FF78" s="1242"/>
      <c r="FG78" s="1243"/>
      <c r="FH78" s="1243"/>
      <c r="FI78" s="1243"/>
      <c r="FJ78" s="1243"/>
      <c r="FK78" s="1242"/>
      <c r="FL78" s="1243"/>
      <c r="FM78" s="1243"/>
      <c r="FN78" s="1243"/>
      <c r="FO78" s="1243"/>
      <c r="FP78" s="1242"/>
      <c r="FQ78" s="1243"/>
      <c r="FR78" s="1243"/>
      <c r="FS78" s="1243"/>
      <c r="FT78" s="1243"/>
      <c r="FU78" s="1242"/>
      <c r="FV78" s="1243"/>
      <c r="FW78" s="1243"/>
      <c r="FX78" s="1243"/>
      <c r="FY78" s="1243"/>
      <c r="FZ78" s="1242"/>
      <c r="GA78" s="1243"/>
      <c r="GB78" s="1243"/>
      <c r="GC78" s="1243"/>
      <c r="GD78" s="1243"/>
      <c r="GE78" s="1242"/>
      <c r="GF78" s="1243"/>
      <c r="GG78" s="1243"/>
      <c r="GH78" s="1243"/>
      <c r="GI78" s="1243"/>
      <c r="GJ78" s="1242"/>
    </row>
    <row r="79" spans="1:192" ht="12.75" hidden="1" customHeight="1" outlineLevel="1">
      <c r="C79" s="294"/>
      <c r="D79" s="295"/>
      <c r="E79" s="295"/>
      <c r="F79" s="295"/>
      <c r="G79" s="296"/>
      <c r="H79" s="294"/>
      <c r="I79" s="295"/>
      <c r="J79" s="295"/>
      <c r="K79" s="295"/>
      <c r="L79" s="296"/>
      <c r="M79" s="294"/>
      <c r="N79" s="295"/>
      <c r="O79" s="295"/>
      <c r="P79" s="295"/>
      <c r="Q79" s="296"/>
      <c r="R79" s="294"/>
      <c r="S79" s="295"/>
      <c r="T79" s="295"/>
      <c r="U79" s="295"/>
      <c r="V79" s="296"/>
      <c r="W79" s="294"/>
      <c r="X79" s="295"/>
      <c r="Y79" s="295"/>
      <c r="Z79" s="295"/>
      <c r="AA79" s="296"/>
      <c r="AB79" s="294"/>
      <c r="AC79" s="295"/>
      <c r="AD79" s="295"/>
      <c r="AE79" s="295"/>
      <c r="AF79" s="296"/>
      <c r="AG79" s="294"/>
      <c r="AH79" s="295"/>
      <c r="AI79" s="295"/>
      <c r="AJ79" s="295"/>
      <c r="AK79" s="296"/>
      <c r="AL79" s="294"/>
      <c r="AM79" s="295"/>
      <c r="AN79" s="295"/>
      <c r="AO79" s="295"/>
      <c r="AP79" s="296"/>
      <c r="AQ79" s="294"/>
      <c r="AR79" s="295"/>
      <c r="AS79" s="295"/>
      <c r="AT79" s="295"/>
      <c r="AU79" s="296"/>
      <c r="AV79" s="294"/>
      <c r="AW79" s="295"/>
      <c r="AX79" s="295"/>
      <c r="AY79" s="295"/>
      <c r="AZ79" s="296"/>
      <c r="BA79" s="294"/>
      <c r="BB79" s="295"/>
      <c r="BC79" s="295"/>
      <c r="BD79" s="295"/>
      <c r="BE79" s="296"/>
      <c r="BF79" s="294"/>
      <c r="BG79" s="295"/>
      <c r="BH79" s="295"/>
      <c r="BI79" s="295"/>
      <c r="BJ79" s="296"/>
      <c r="BK79" s="294"/>
      <c r="BL79" s="295"/>
      <c r="BM79" s="295"/>
      <c r="BN79" s="295"/>
      <c r="BO79" s="296"/>
      <c r="BP79" s="294"/>
      <c r="BQ79" s="295"/>
      <c r="BR79" s="295"/>
      <c r="BS79" s="295"/>
      <c r="BT79" s="296"/>
      <c r="BU79" s="294"/>
      <c r="BV79" s="295"/>
      <c r="BW79" s="295"/>
      <c r="BX79" s="295"/>
      <c r="BY79" s="296"/>
      <c r="BZ79" s="294"/>
      <c r="CA79" s="295"/>
      <c r="CB79" s="295"/>
      <c r="CC79" s="295"/>
      <c r="CD79" s="296"/>
      <c r="CE79" s="294"/>
      <c r="CF79" s="295"/>
      <c r="CG79" s="295"/>
      <c r="CH79" s="295"/>
      <c r="CI79" s="296"/>
      <c r="CJ79" s="294"/>
      <c r="CK79" s="295"/>
      <c r="CL79" s="295"/>
      <c r="CM79" s="295"/>
      <c r="CN79" s="296"/>
      <c r="CO79" s="294"/>
      <c r="CP79" s="295"/>
      <c r="CQ79" s="295"/>
      <c r="CR79" s="295"/>
      <c r="CS79" s="296"/>
      <c r="CT79" s="294"/>
      <c r="CU79" s="295"/>
      <c r="CV79" s="295"/>
      <c r="CW79" s="295"/>
      <c r="CX79" s="296"/>
      <c r="CY79" s="294"/>
      <c r="CZ79" s="295"/>
      <c r="DA79" s="295"/>
      <c r="DB79" s="295"/>
      <c r="DC79" s="296"/>
      <c r="DD79" s="294"/>
      <c r="DE79" s="295"/>
      <c r="DF79" s="295"/>
      <c r="DG79" s="295"/>
      <c r="DH79" s="296"/>
      <c r="DI79" s="294"/>
      <c r="DJ79" s="295"/>
      <c r="DK79" s="295"/>
      <c r="DL79" s="295"/>
      <c r="DM79" s="296"/>
      <c r="DN79" s="294"/>
      <c r="DO79" s="295"/>
      <c r="DP79" s="295"/>
      <c r="DQ79" s="295"/>
      <c r="DR79" s="296"/>
      <c r="DS79" s="294"/>
      <c r="DT79" s="295"/>
      <c r="DU79" s="295"/>
      <c r="DV79" s="295"/>
      <c r="DW79" s="296"/>
      <c r="DX79" s="294"/>
      <c r="DY79" s="295"/>
      <c r="DZ79" s="295"/>
      <c r="EA79" s="295"/>
      <c r="EB79" s="296"/>
      <c r="EC79" s="294"/>
      <c r="ED79" s="295"/>
      <c r="EE79" s="295"/>
      <c r="EF79" s="295"/>
      <c r="EG79" s="296"/>
      <c r="EH79" s="294"/>
      <c r="EI79" s="295"/>
      <c r="EJ79" s="295"/>
      <c r="EK79" s="295"/>
      <c r="EL79" s="296"/>
      <c r="EM79" s="294"/>
      <c r="EN79" s="295"/>
      <c r="EO79" s="295"/>
      <c r="EP79" s="295"/>
      <c r="EQ79" s="296"/>
      <c r="ER79" s="294"/>
      <c r="ES79" s="295"/>
      <c r="ET79" s="295"/>
      <c r="EU79" s="295"/>
      <c r="EV79" s="296"/>
      <c r="EW79" s="294"/>
      <c r="EX79" s="295"/>
      <c r="EY79" s="295"/>
      <c r="EZ79" s="295"/>
      <c r="FA79" s="296"/>
      <c r="FB79" s="294"/>
      <c r="FC79" s="295"/>
      <c r="FD79" s="295"/>
      <c r="FE79" s="295"/>
      <c r="FF79" s="296"/>
      <c r="FG79" s="294"/>
      <c r="FH79" s="295"/>
      <c r="FI79" s="295"/>
      <c r="FJ79" s="295"/>
      <c r="FK79" s="296"/>
      <c r="FL79" s="294"/>
      <c r="FM79" s="295"/>
      <c r="FN79" s="295"/>
      <c r="FO79" s="295"/>
      <c r="FP79" s="296"/>
      <c r="FQ79" s="294"/>
      <c r="FR79" s="295"/>
      <c r="FS79" s="295"/>
      <c r="FT79" s="295"/>
      <c r="FU79" s="296"/>
      <c r="FV79" s="294"/>
      <c r="FW79" s="295"/>
      <c r="FX79" s="295"/>
      <c r="FY79" s="295"/>
      <c r="FZ79" s="296"/>
      <c r="GA79" s="294"/>
      <c r="GB79" s="295"/>
      <c r="GC79" s="295"/>
      <c r="GD79" s="295"/>
      <c r="GE79" s="296"/>
      <c r="GF79" s="294"/>
      <c r="GG79" s="295"/>
      <c r="GH79" s="295"/>
      <c r="GI79" s="295"/>
      <c r="GJ79" s="296"/>
    </row>
    <row r="80" spans="1:192" s="317" customFormat="1" ht="12.75" hidden="1" customHeight="1" outlineLevel="1">
      <c r="A80" s="280"/>
      <c r="B80" s="730" t="s">
        <v>2000</v>
      </c>
      <c r="C80" s="316"/>
      <c r="D80" s="316"/>
      <c r="E80" s="316"/>
      <c r="F80" s="316"/>
      <c r="G80" s="313"/>
      <c r="H80" s="316"/>
      <c r="I80" s="316"/>
      <c r="J80" s="316"/>
      <c r="K80" s="316"/>
      <c r="L80" s="313"/>
      <c r="M80" s="316"/>
      <c r="N80" s="316"/>
      <c r="O80" s="316"/>
      <c r="P80" s="316"/>
      <c r="Q80" s="313"/>
      <c r="R80" s="316"/>
      <c r="S80" s="316"/>
      <c r="T80" s="316"/>
      <c r="U80" s="316"/>
      <c r="V80" s="313"/>
      <c r="W80" s="316"/>
      <c r="X80" s="316"/>
      <c r="Y80" s="316"/>
      <c r="Z80" s="316"/>
      <c r="AA80" s="313"/>
      <c r="AB80" s="316"/>
      <c r="AC80" s="316"/>
      <c r="AD80" s="316"/>
      <c r="AE80" s="316"/>
      <c r="AF80" s="313"/>
      <c r="AG80" s="316"/>
      <c r="AH80" s="316"/>
      <c r="AI80" s="316"/>
      <c r="AJ80" s="316"/>
      <c r="AK80" s="313"/>
      <c r="AL80" s="316"/>
      <c r="AM80" s="316"/>
      <c r="AN80" s="316"/>
      <c r="AO80" s="316"/>
      <c r="AP80" s="313"/>
      <c r="AQ80" s="316"/>
      <c r="AR80" s="316"/>
      <c r="AS80" s="316"/>
      <c r="AT80" s="316"/>
      <c r="AU80" s="313"/>
      <c r="AV80" s="316"/>
      <c r="AW80" s="316"/>
      <c r="AX80" s="316"/>
      <c r="AY80" s="316"/>
      <c r="AZ80" s="313"/>
      <c r="BA80" s="316"/>
      <c r="BB80" s="316"/>
      <c r="BC80" s="316"/>
      <c r="BD80" s="316"/>
      <c r="BE80" s="313"/>
      <c r="BF80" s="316"/>
      <c r="BG80" s="316"/>
      <c r="BH80" s="316"/>
      <c r="BI80" s="316"/>
      <c r="BJ80" s="313"/>
      <c r="BK80" s="316"/>
      <c r="BL80" s="316"/>
      <c r="BM80" s="316"/>
      <c r="BN80" s="316"/>
      <c r="BO80" s="313"/>
      <c r="BP80" s="316"/>
      <c r="BQ80" s="316"/>
      <c r="BR80" s="316"/>
      <c r="BS80" s="316"/>
      <c r="BT80" s="313"/>
      <c r="BU80" s="316"/>
      <c r="BV80" s="316"/>
      <c r="BW80" s="316"/>
      <c r="BX80" s="316"/>
      <c r="BY80" s="313"/>
      <c r="BZ80" s="316"/>
      <c r="CA80" s="316"/>
      <c r="CB80" s="316"/>
      <c r="CC80" s="316"/>
      <c r="CD80" s="313"/>
      <c r="CE80" s="316"/>
      <c r="CF80" s="316"/>
      <c r="CG80" s="316"/>
      <c r="CH80" s="316"/>
      <c r="CI80" s="313"/>
      <c r="CJ80" s="316"/>
      <c r="CK80" s="316"/>
      <c r="CL80" s="316"/>
      <c r="CM80" s="316"/>
      <c r="CN80" s="313"/>
      <c r="CO80" s="316"/>
      <c r="CP80" s="316"/>
      <c r="CQ80" s="316"/>
      <c r="CR80" s="316"/>
      <c r="CS80" s="313"/>
      <c r="CT80" s="316"/>
      <c r="CU80" s="316"/>
      <c r="CV80" s="316"/>
      <c r="CW80" s="316"/>
      <c r="CX80" s="313"/>
      <c r="CY80" s="316"/>
      <c r="CZ80" s="316"/>
      <c r="DA80" s="316"/>
      <c r="DB80" s="316"/>
      <c r="DC80" s="313"/>
      <c r="DD80" s="316">
        <v>7107</v>
      </c>
      <c r="DE80" s="316">
        <v>6702</v>
      </c>
      <c r="DF80" s="316">
        <v>6679</v>
      </c>
      <c r="DG80" s="316">
        <v>8913</v>
      </c>
      <c r="DH80" s="313">
        <f>SUM(DD80:DG80)</f>
      </c>
      <c r="DI80" s="316">
        <v>8057</v>
      </c>
      <c r="DJ80" s="316">
        <v>7676</v>
      </c>
      <c r="DK80" s="316">
        <v>7735</v>
      </c>
      <c r="DL80" s="316">
        <v>11152</v>
      </c>
      <c r="DM80" s="313">
        <f>SUM(DI80:DL80)</f>
      </c>
      <c r="DN80" s="316">
        <v>10156</v>
      </c>
      <c r="DO80" s="316">
        <v>9759</v>
      </c>
      <c r="DP80" s="316">
        <v>9987</v>
      </c>
      <c r="DQ80" s="316">
        <v>14706</v>
      </c>
      <c r="DR80" s="313">
        <f>SUM(DN80:DQ80)</f>
      </c>
      <c r="DS80" s="316">
        <v>13298</v>
      </c>
      <c r="DT80" s="316">
        <v>12551</v>
      </c>
      <c r="DU80" s="316">
        <v>12531</v>
      </c>
      <c r="DV80" s="316">
        <v>16988</v>
      </c>
      <c r="DW80" s="313">
        <f>SUM(DS80:DV80)</f>
      </c>
      <c r="DX80" s="316">
        <v>15255</v>
      </c>
      <c r="DY80" s="316">
        <v>13766</v>
      </c>
      <c r="DZ80" s="316">
        <v>12984</v>
      </c>
      <c r="EA80" s="316">
        <v>16620</v>
      </c>
      <c r="EB80" s="313">
        <f>SUM(DX80:EA80)</f>
      </c>
      <c r="EC80" s="316">
        <v>15039</v>
      </c>
      <c r="ED80" s="316">
        <v>13786</v>
      </c>
      <c r="EE80" s="316">
        <v>13098</v>
      </c>
      <c r="EF80" s="316">
        <v>17710</v>
      </c>
      <c r="EG80" s="313">
        <f>SUM(EC80:EF80)</f>
      </c>
      <c r="EH80" s="316">
        <v>16117</v>
      </c>
      <c r="EI80" s="316">
        <v>14549</v>
      </c>
      <c r="EJ80" s="316">
        <v>14524</v>
      </c>
      <c r="EK80" s="316">
        <v>19371</v>
      </c>
      <c r="EL80" s="313">
        <f>SUM(EH80:EK80)</f>
      </c>
      <c r="EM80" s="316">
        <v>17294</v>
      </c>
      <c r="EN80" s="316">
        <v>15822</v>
      </c>
      <c r="EO80" s="316">
        <v>15552</v>
      </c>
      <c r="EP80" s="316">
        <v>21563</v>
      </c>
      <c r="EQ80" s="313">
        <f>SUM(EM80:EP80)</f>
      </c>
      <c r="ER80" s="316">
        <v>19471</v>
      </c>
      <c r="ES80" s="1158">
        <v>17696</v>
      </c>
      <c r="ET80" s="1158">
        <v>16696</v>
      </c>
      <c r="EU80" s="1158">
        <v>21117</v>
      </c>
      <c r="EV80" s="313">
        <f>SUM(ER80:EU80)</f>
      </c>
      <c r="EW80" s="312"/>
      <c r="EX80" s="312"/>
      <c r="EY80" s="312"/>
      <c r="EZ80" s="312"/>
      <c r="FA80" s="313"/>
      <c r="FB80" s="312"/>
      <c r="FC80" s="312"/>
      <c r="FD80" s="312"/>
      <c r="FE80" s="312"/>
      <c r="FF80" s="313"/>
      <c r="FG80" s="312"/>
      <c r="FH80" s="312"/>
      <c r="FI80" s="312"/>
      <c r="FJ80" s="312"/>
      <c r="FK80" s="313"/>
      <c r="FL80" s="312"/>
      <c r="FM80" s="312"/>
      <c r="FN80" s="312"/>
      <c r="FO80" s="312"/>
      <c r="FP80" s="313"/>
      <c r="FQ80" s="312"/>
      <c r="FR80" s="312"/>
      <c r="FS80" s="312"/>
      <c r="FT80" s="312"/>
      <c r="FU80" s="313"/>
      <c r="FV80" s="312"/>
      <c r="FW80" s="312"/>
      <c r="FX80" s="312"/>
      <c r="FY80" s="312"/>
      <c r="FZ80" s="313"/>
      <c r="GA80" s="312"/>
      <c r="GB80" s="312"/>
      <c r="GC80" s="312"/>
      <c r="GD80" s="312"/>
      <c r="GE80" s="313"/>
      <c r="GF80" s="312"/>
      <c r="GG80" s="312"/>
      <c r="GH80" s="312"/>
      <c r="GI80" s="312"/>
      <c r="GJ80" s="313"/>
    </row>
    <row r="81" spans="1:192" ht="12.75" hidden="1" customHeight="1" outlineLevel="1">
      <c r="B81" s="727" t="s">
        <v>34</v>
      </c>
      <c r="C81" s="291"/>
      <c r="D81" s="107"/>
      <c r="E81" s="107"/>
      <c r="F81" s="107"/>
      <c r="G81" s="292"/>
      <c r="H81" s="291"/>
      <c r="I81" s="107"/>
      <c r="J81" s="107"/>
      <c r="K81" s="107"/>
      <c r="L81" s="292"/>
      <c r="M81" s="291"/>
      <c r="N81" s="107"/>
      <c r="O81" s="107"/>
      <c r="P81" s="107"/>
      <c r="Q81" s="292"/>
      <c r="R81" s="291"/>
      <c r="S81" s="107"/>
      <c r="T81" s="107"/>
      <c r="U81" s="107"/>
      <c r="V81" s="292"/>
      <c r="W81" s="291"/>
      <c r="X81" s="107"/>
      <c r="Y81" s="107"/>
      <c r="Z81" s="107"/>
      <c r="AA81" s="292"/>
      <c r="AB81" s="291"/>
      <c r="AC81" s="107"/>
      <c r="AD81" s="107"/>
      <c r="AE81" s="107"/>
      <c r="AF81" s="292"/>
      <c r="AG81" s="291"/>
      <c r="AH81" s="107"/>
      <c r="AI81" s="107"/>
      <c r="AJ81" s="107"/>
      <c r="AK81" s="292"/>
      <c r="AL81" s="291"/>
      <c r="AM81" s="107"/>
      <c r="AN81" s="107"/>
      <c r="AO81" s="107"/>
      <c r="AP81" s="292"/>
      <c r="AQ81" s="291"/>
      <c r="AR81" s="107"/>
      <c r="AS81" s="107"/>
      <c r="AT81" s="107"/>
      <c r="AU81" s="292"/>
      <c r="AV81" s="291"/>
      <c r="AW81" s="107"/>
      <c r="AX81" s="107"/>
      <c r="AY81" s="107"/>
      <c r="AZ81" s="292"/>
      <c r="BA81" s="291"/>
      <c r="BB81" s="107"/>
      <c r="BC81" s="107"/>
      <c r="BD81" s="107"/>
      <c r="BE81" s="292"/>
      <c r="BF81" s="291"/>
      <c r="BG81" s="107"/>
      <c r="BH81" s="107"/>
      <c r="BI81" s="107"/>
      <c r="BJ81" s="292"/>
      <c r="BK81" s="291"/>
      <c r="BL81" s="107"/>
      <c r="BM81" s="107"/>
      <c r="BN81" s="107"/>
      <c r="BO81" s="292"/>
      <c r="BP81" s="291"/>
      <c r="BQ81" s="107"/>
      <c r="BR81" s="107"/>
      <c r="BS81" s="107"/>
      <c r="BT81" s="292"/>
      <c r="BU81" s="291"/>
      <c r="BV81" s="107"/>
      <c r="BW81" s="107"/>
      <c r="BX81" s="107"/>
      <c r="BY81" s="292"/>
      <c r="BZ81" s="291"/>
      <c r="CA81" s="107"/>
      <c r="CB81" s="107"/>
      <c r="CC81" s="107"/>
      <c r="CD81" s="292"/>
      <c r="CE81" s="291"/>
      <c r="CF81" s="107"/>
      <c r="CG81" s="107"/>
      <c r="CH81" s="107"/>
      <c r="CI81" s="292"/>
      <c r="CJ81" s="291"/>
      <c r="CK81" s="107"/>
      <c r="CL81" s="107"/>
      <c r="CM81" s="107"/>
      <c r="CN81" s="292"/>
      <c r="CO81" s="291"/>
      <c r="CP81" s="107"/>
      <c r="CQ81" s="107"/>
      <c r="CR81" s="107"/>
      <c r="CS81" s="292"/>
      <c r="CT81" s="291"/>
      <c r="CU81" s="107"/>
      <c r="CV81" s="107"/>
      <c r="CW81" s="107"/>
      <c r="CX81" s="292"/>
      <c r="CY81" s="291"/>
      <c r="CZ81" s="107"/>
      <c r="DA81" s="107"/>
      <c r="DB81" s="107"/>
      <c r="DC81" s="292"/>
      <c r="DD81" s="291" t="str">
        <f t="shared" ref="DD81:EV81" si="67">IFERROR(DD80/CY80-1,"--")</f>
      </c>
      <c r="DE81" s="107" t="str">
        <f t="shared" si="67"/>
      </c>
      <c r="DF81" s="107" t="str">
        <f t="shared" si="67"/>
      </c>
      <c r="DG81" s="107" t="str">
        <f t="shared" si="67"/>
      </c>
      <c r="DH81" s="292" t="str">
        <f t="shared" si="67"/>
      </c>
      <c r="DI81" s="291">
        <f t="shared" si="67"/>
      </c>
      <c r="DJ81" s="107">
        <f t="shared" si="67"/>
      </c>
      <c r="DK81" s="107">
        <f t="shared" si="67"/>
      </c>
      <c r="DL81" s="107">
        <f t="shared" si="67"/>
      </c>
      <c r="DM81" s="292">
        <f t="shared" si="67"/>
      </c>
      <c r="DN81" s="291">
        <f t="shared" si="67"/>
      </c>
      <c r="DO81" s="107">
        <f t="shared" si="67"/>
      </c>
      <c r="DP81" s="107">
        <f t="shared" si="67"/>
      </c>
      <c r="DQ81" s="107">
        <f t="shared" si="67"/>
      </c>
      <c r="DR81" s="292">
        <f t="shared" si="67"/>
      </c>
      <c r="DS81" s="291">
        <f t="shared" si="67"/>
      </c>
      <c r="DT81" s="107">
        <f t="shared" si="67"/>
      </c>
      <c r="DU81" s="107">
        <f t="shared" si="67"/>
      </c>
      <c r="DV81" s="107">
        <f t="shared" si="67"/>
      </c>
      <c r="DW81" s="292">
        <f t="shared" si="67"/>
      </c>
      <c r="DX81" s="291">
        <f t="shared" si="67"/>
      </c>
      <c r="DY81" s="107">
        <f t="shared" si="67"/>
      </c>
      <c r="DZ81" s="107">
        <f t="shared" si="67"/>
      </c>
      <c r="EA81" s="107">
        <f t="shared" si="67"/>
      </c>
      <c r="EB81" s="292">
        <f t="shared" si="67"/>
      </c>
      <c r="EC81" s="291">
        <f t="shared" si="67"/>
      </c>
      <c r="ED81" s="107">
        <f t="shared" si="67"/>
      </c>
      <c r="EE81" s="107">
        <f t="shared" si="67"/>
      </c>
      <c r="EF81" s="107">
        <f t="shared" si="67"/>
      </c>
      <c r="EG81" s="292">
        <f t="shared" si="67"/>
      </c>
      <c r="EH81" s="291">
        <f t="shared" si="67"/>
      </c>
      <c r="EI81" s="107">
        <f t="shared" si="67"/>
      </c>
      <c r="EJ81" s="107">
        <f t="shared" si="67"/>
      </c>
      <c r="EK81" s="107">
        <f t="shared" si="67"/>
      </c>
      <c r="EL81" s="292">
        <f t="shared" si="67"/>
      </c>
      <c r="EM81" s="291">
        <f t="shared" si="67"/>
      </c>
      <c r="EN81" s="107">
        <f t="shared" si="67"/>
      </c>
      <c r="EO81" s="107">
        <f t="shared" si="67"/>
      </c>
      <c r="EP81" s="107">
        <f t="shared" si="67"/>
      </c>
      <c r="EQ81" s="292">
        <f t="shared" si="67"/>
      </c>
      <c r="ER81" s="291">
        <f t="shared" si="67"/>
      </c>
      <c r="ES81" s="107">
        <f t="shared" si="67"/>
      </c>
      <c r="ET81" s="107">
        <f t="shared" si="67"/>
      </c>
      <c r="EU81" s="107">
        <f t="shared" si="67"/>
      </c>
      <c r="EV81" s="292">
        <f t="shared" si="67"/>
      </c>
      <c r="EW81" s="291"/>
      <c r="EX81" s="107"/>
      <c r="EY81" s="107"/>
      <c r="EZ81" s="107"/>
      <c r="FA81" s="292"/>
      <c r="FB81" s="291"/>
      <c r="FC81" s="107"/>
      <c r="FD81" s="107"/>
      <c r="FE81" s="107"/>
      <c r="FF81" s="292"/>
      <c r="FG81" s="291"/>
      <c r="FH81" s="107"/>
      <c r="FI81" s="107"/>
      <c r="FJ81" s="107"/>
      <c r="FK81" s="292"/>
      <c r="FL81" s="291"/>
      <c r="FM81" s="107"/>
      <c r="FN81" s="107"/>
      <c r="FO81" s="107"/>
      <c r="FP81" s="292"/>
      <c r="FQ81" s="291"/>
      <c r="FR81" s="107"/>
      <c r="FS81" s="107"/>
      <c r="FT81" s="107"/>
      <c r="FU81" s="292"/>
      <c r="FV81" s="291"/>
      <c r="FW81" s="107"/>
      <c r="FX81" s="107"/>
      <c r="FY81" s="107"/>
      <c r="FZ81" s="292"/>
      <c r="GA81" s="291"/>
      <c r="GB81" s="107"/>
      <c r="GC81" s="107"/>
      <c r="GD81" s="107"/>
      <c r="GE81" s="292"/>
      <c r="GF81" s="291"/>
      <c r="GG81" s="107"/>
      <c r="GH81" s="107"/>
      <c r="GI81" s="107"/>
      <c r="GJ81" s="292"/>
    </row>
    <row r="82" spans="1:192" ht="12.75" hidden="1" customHeight="1" outlineLevel="1">
      <c r="B82" s="727" t="s">
        <v>36</v>
      </c>
      <c r="C82" s="291"/>
      <c r="D82" s="107"/>
      <c r="E82" s="107"/>
      <c r="F82" s="107"/>
      <c r="G82" s="293"/>
      <c r="H82" s="291"/>
      <c r="I82" s="107"/>
      <c r="J82" s="107"/>
      <c r="K82" s="107"/>
      <c r="L82" s="293"/>
      <c r="M82" s="291"/>
      <c r="N82" s="107"/>
      <c r="O82" s="107"/>
      <c r="P82" s="107"/>
      <c r="Q82" s="293"/>
      <c r="R82" s="291"/>
      <c r="S82" s="107"/>
      <c r="T82" s="107"/>
      <c r="U82" s="107"/>
      <c r="V82" s="293"/>
      <c r="W82" s="291"/>
      <c r="X82" s="107"/>
      <c r="Y82" s="107"/>
      <c r="Z82" s="107"/>
      <c r="AA82" s="293"/>
      <c r="AB82" s="291"/>
      <c r="AC82" s="107"/>
      <c r="AD82" s="107"/>
      <c r="AE82" s="107"/>
      <c r="AF82" s="293"/>
      <c r="AG82" s="291"/>
      <c r="AH82" s="107"/>
      <c r="AI82" s="107"/>
      <c r="AJ82" s="107"/>
      <c r="AK82" s="293"/>
      <c r="AL82" s="291"/>
      <c r="AM82" s="107"/>
      <c r="AN82" s="107"/>
      <c r="AO82" s="107"/>
      <c r="AP82" s="293"/>
      <c r="AQ82" s="291"/>
      <c r="AR82" s="107"/>
      <c r="AS82" s="107"/>
      <c r="AT82" s="107"/>
      <c r="AU82" s="293"/>
      <c r="AV82" s="291"/>
      <c r="AW82" s="107"/>
      <c r="AX82" s="107"/>
      <c r="AY82" s="107"/>
      <c r="AZ82" s="293"/>
      <c r="BA82" s="291"/>
      <c r="BB82" s="107"/>
      <c r="BC82" s="107"/>
      <c r="BD82" s="107"/>
      <c r="BE82" s="293"/>
      <c r="BF82" s="291"/>
      <c r="BG82" s="107"/>
      <c r="BH82" s="107"/>
      <c r="BI82" s="107"/>
      <c r="BJ82" s="293"/>
      <c r="BK82" s="291"/>
      <c r="BL82" s="107"/>
      <c r="BM82" s="107"/>
      <c r="BN82" s="107"/>
      <c r="BO82" s="293"/>
      <c r="BP82" s="291"/>
      <c r="BQ82" s="107"/>
      <c r="BR82" s="107"/>
      <c r="BS82" s="107"/>
      <c r="BT82" s="293"/>
      <c r="BU82" s="291"/>
      <c r="BV82" s="107"/>
      <c r="BW82" s="107"/>
      <c r="BX82" s="107"/>
      <c r="BY82" s="293"/>
      <c r="BZ82" s="291"/>
      <c r="CA82" s="107"/>
      <c r="CB82" s="107"/>
      <c r="CC82" s="107"/>
      <c r="CD82" s="293"/>
      <c r="CE82" s="291"/>
      <c r="CF82" s="107"/>
      <c r="CG82" s="107"/>
      <c r="CH82" s="107"/>
      <c r="CI82" s="293"/>
      <c r="CJ82" s="291"/>
      <c r="CK82" s="107"/>
      <c r="CL82" s="107"/>
      <c r="CM82" s="107"/>
      <c r="CN82" s="293"/>
      <c r="CO82" s="291"/>
      <c r="CP82" s="107"/>
      <c r="CQ82" s="107"/>
      <c r="CR82" s="107"/>
      <c r="CS82" s="293"/>
      <c r="CT82" s="291"/>
      <c r="CU82" s="107"/>
      <c r="CV82" s="107"/>
      <c r="CW82" s="107"/>
      <c r="CX82" s="293"/>
      <c r="CY82" s="291"/>
      <c r="CZ82" s="107"/>
      <c r="DA82" s="107"/>
      <c r="DB82" s="107"/>
      <c r="DC82" s="293"/>
      <c r="DD82" s="291" t="str">
        <f>IFERROR(DD80/DB80-1,"--")</f>
      </c>
      <c r="DE82" s="107">
        <f>IFERROR(DE80/DD80-1,"--")</f>
      </c>
      <c r="DF82" s="107">
        <f>IFERROR(DF80/DE80-1,"--")</f>
      </c>
      <c r="DG82" s="107">
        <f>IFERROR(DG80/DF80-1,"--")</f>
      </c>
      <c r="DH82" s="293"/>
      <c r="DI82" s="291">
        <f>IFERROR(DI80/DG80-1,"--")</f>
      </c>
      <c r="DJ82" s="107">
        <f>IFERROR(DJ80/DI80-1,"--")</f>
      </c>
      <c r="DK82" s="107">
        <f>IFERROR(DK80/DJ80-1,"--")</f>
      </c>
      <c r="DL82" s="107">
        <f>IFERROR(DL80/DK80-1,"--")</f>
      </c>
      <c r="DM82" s="293"/>
      <c r="DN82" s="291">
        <f>IFERROR(DN80/DL80-1,"--")</f>
      </c>
      <c r="DO82" s="107">
        <f>IFERROR(DO80/DN80-1,"--")</f>
      </c>
      <c r="DP82" s="107">
        <f>IFERROR(DP80/DO80-1,"--")</f>
      </c>
      <c r="DQ82" s="107">
        <f>IFERROR(DQ80/DP80-1,"--")</f>
      </c>
      <c r="DR82" s="293"/>
      <c r="DS82" s="291">
        <f>IFERROR(DS80/DQ80-1,"--")</f>
      </c>
      <c r="DT82" s="107">
        <f>IFERROR(DT80/DS80-1,"--")</f>
      </c>
      <c r="DU82" s="107">
        <f>IFERROR(DU80/DT80-1,"--")</f>
      </c>
      <c r="DV82" s="107">
        <f>IFERROR(DV80/DU80-1,"--")</f>
      </c>
      <c r="DW82" s="293"/>
      <c r="DX82" s="291">
        <f>IFERROR(DX80/DV80-1,"--")</f>
      </c>
      <c r="DY82" s="107">
        <f>IFERROR(DY80/DX80-1,"--")</f>
      </c>
      <c r="DZ82" s="107">
        <f>IFERROR(DZ80/DY80-1,"--")</f>
      </c>
      <c r="EA82" s="107">
        <f>IFERROR(EA80/DZ80-1,"--")</f>
      </c>
      <c r="EB82" s="293"/>
      <c r="EC82" s="291">
        <f>IFERROR(EC80/EA80-1,"--")</f>
      </c>
      <c r="ED82" s="107">
        <f>IFERROR(ED80/EC80-1,"--")</f>
      </c>
      <c r="EE82" s="107">
        <f>IFERROR(EE80/ED80-1,"--")</f>
      </c>
      <c r="EF82" s="107">
        <f>IFERROR(EF80/EE80-1,"--")</f>
      </c>
      <c r="EG82" s="293"/>
      <c r="EH82" s="291">
        <f>IFERROR(EH80/EF80-1,"--")</f>
      </c>
      <c r="EI82" s="107">
        <f>IFERROR(EI80/EH80-1,"--")</f>
      </c>
      <c r="EJ82" s="107">
        <f>IFERROR(EJ80/EI80-1,"--")</f>
      </c>
      <c r="EK82" s="107">
        <f>IFERROR(EK80/EJ80-1,"--")</f>
      </c>
      <c r="EL82" s="293"/>
      <c r="EM82" s="291">
        <f>IFERROR(EM80/EK80-1,"--")</f>
      </c>
      <c r="EN82" s="107">
        <f>IFERROR(EN80/EM80-1,"--")</f>
      </c>
      <c r="EO82" s="107">
        <f>IFERROR(EO80/EN80-1,"--")</f>
      </c>
      <c r="EP82" s="107">
        <f>IFERROR(EP80/EO80-1,"--")</f>
      </c>
      <c r="EQ82" s="293"/>
      <c r="ER82" s="291">
        <f>IFERROR(ER80/EP80-1,"--")</f>
      </c>
      <c r="ES82" s="107">
        <f>IFERROR(ES80/ER80-1,"--")</f>
      </c>
      <c r="ET82" s="107">
        <f>IFERROR(ET80/ES80-1,"--")</f>
      </c>
      <c r="EU82" s="107">
        <f>IFERROR(EU80/ET80-1,"--")</f>
      </c>
      <c r="EV82" s="293"/>
      <c r="EW82" s="291"/>
      <c r="EX82" s="107"/>
      <c r="EY82" s="107"/>
      <c r="EZ82" s="107"/>
      <c r="FA82" s="293"/>
      <c r="FB82" s="291"/>
      <c r="FC82" s="107"/>
      <c r="FD82" s="107"/>
      <c r="FE82" s="107"/>
      <c r="FF82" s="293"/>
      <c r="FG82" s="291"/>
      <c r="FH82" s="107"/>
      <c r="FI82" s="107"/>
      <c r="FJ82" s="107"/>
      <c r="FK82" s="293"/>
      <c r="FL82" s="291"/>
      <c r="FM82" s="107"/>
      <c r="FN82" s="107"/>
      <c r="FO82" s="107"/>
      <c r="FP82" s="293"/>
      <c r="FQ82" s="291"/>
      <c r="FR82" s="107"/>
      <c r="FS82" s="107"/>
      <c r="FT82" s="107"/>
      <c r="FU82" s="293"/>
      <c r="FV82" s="291"/>
      <c r="FW82" s="107"/>
      <c r="FX82" s="107"/>
      <c r="FY82" s="107"/>
      <c r="FZ82" s="293"/>
      <c r="GA82" s="291"/>
      <c r="GB82" s="107"/>
      <c r="GC82" s="107"/>
      <c r="GD82" s="107"/>
      <c r="GE82" s="293"/>
      <c r="GF82" s="291"/>
      <c r="GG82" s="107"/>
      <c r="GH82" s="107"/>
      <c r="GI82" s="107"/>
      <c r="GJ82" s="293"/>
    </row>
    <row r="83" spans="1:192" ht="12.75" hidden="1" customHeight="1" outlineLevel="1">
      <c r="B83" s="727" t="s">
        <v>196</v>
      </c>
      <c r="C83" s="291"/>
      <c r="D83" s="107"/>
      <c r="E83" s="107"/>
      <c r="F83" s="107"/>
      <c r="G83" s="293"/>
      <c r="H83" s="291"/>
      <c r="I83" s="107"/>
      <c r="J83" s="107"/>
      <c r="K83" s="107"/>
      <c r="L83" s="293"/>
      <c r="M83" s="291"/>
      <c r="N83" s="107"/>
      <c r="O83" s="107"/>
      <c r="P83" s="107"/>
      <c r="Q83" s="293"/>
      <c r="R83" s="291"/>
      <c r="S83" s="107"/>
      <c r="T83" s="107"/>
      <c r="U83" s="107"/>
      <c r="V83" s="293"/>
      <c r="W83" s="291"/>
      <c r="X83" s="107"/>
      <c r="Y83" s="107"/>
      <c r="Z83" s="107"/>
      <c r="AA83" s="293"/>
      <c r="AB83" s="291"/>
      <c r="AC83" s="107"/>
      <c r="AD83" s="107"/>
      <c r="AE83" s="107"/>
      <c r="AF83" s="293"/>
      <c r="AG83" s="291"/>
      <c r="AH83" s="107"/>
      <c r="AI83" s="107"/>
      <c r="AJ83" s="107"/>
      <c r="AK83" s="293"/>
      <c r="AL83" s="291"/>
      <c r="AM83" s="107"/>
      <c r="AN83" s="107"/>
      <c r="AO83" s="107"/>
      <c r="AP83" s="293"/>
      <c r="AQ83" s="291"/>
      <c r="AR83" s="107"/>
      <c r="AS83" s="107"/>
      <c r="AT83" s="107"/>
      <c r="AU83" s="293"/>
      <c r="AV83" s="291"/>
      <c r="AW83" s="107"/>
      <c r="AX83" s="107"/>
      <c r="AY83" s="107"/>
      <c r="AZ83" s="293"/>
      <c r="BA83" s="291"/>
      <c r="BB83" s="107"/>
      <c r="BC83" s="107"/>
      <c r="BD83" s="107"/>
      <c r="BE83" s="293"/>
      <c r="BF83" s="291"/>
      <c r="BG83" s="107"/>
      <c r="BH83" s="107"/>
      <c r="BI83" s="107"/>
      <c r="BJ83" s="293"/>
      <c r="BK83" s="291"/>
      <c r="BL83" s="107"/>
      <c r="BM83" s="107"/>
      <c r="BN83" s="107"/>
      <c r="BO83" s="293"/>
      <c r="BP83" s="291"/>
      <c r="BQ83" s="107"/>
      <c r="BR83" s="107"/>
      <c r="BS83" s="107"/>
      <c r="BT83" s="293"/>
      <c r="BU83" s="291"/>
      <c r="BV83" s="107"/>
      <c r="BW83" s="107"/>
      <c r="BX83" s="107"/>
      <c r="BY83" s="293"/>
      <c r="BZ83" s="291"/>
      <c r="CA83" s="107"/>
      <c r="CB83" s="107"/>
      <c r="CC83" s="107"/>
      <c r="CD83" s="293"/>
      <c r="CE83" s="291"/>
      <c r="CF83" s="107"/>
      <c r="CG83" s="107"/>
      <c r="CH83" s="107"/>
      <c r="CI83" s="293"/>
      <c r="CJ83" s="291"/>
      <c r="CK83" s="107"/>
      <c r="CL83" s="107"/>
      <c r="CM83" s="107"/>
      <c r="CN83" s="293"/>
      <c r="CO83" s="291"/>
      <c r="CP83" s="107"/>
      <c r="CQ83" s="107"/>
      <c r="CR83" s="107"/>
      <c r="CS83" s="293"/>
      <c r="CT83" s="291"/>
      <c r="CU83" s="291"/>
      <c r="CV83" s="291"/>
      <c r="CW83" s="291"/>
      <c r="CX83" s="293"/>
      <c r="CY83" s="291"/>
      <c r="CZ83" s="291"/>
      <c r="DA83" s="291"/>
      <c r="DB83" s="291"/>
      <c r="DC83" s="293"/>
      <c r="DD83" s="291">
        <f>DD80/(DD80+Company1738!DD80+PBP!DD80)</f>
      </c>
      <c r="DE83" s="291">
        <f>DE80/(DE80+Company1738!DE80+PBP!DE80)</f>
      </c>
      <c r="DF83" s="291">
        <f>DF80/(DF80+Company1738!DF80+PBP!DF80)</f>
      </c>
      <c r="DG83" s="291">
        <f>DG80/(DG80+Company1738!DG80+PBP!DG80)</f>
      </c>
      <c r="DH83" s="293">
        <f>DH80/(DH80+Company1738!DH80+PBP!DH80)</f>
      </c>
      <c r="DI83" s="291">
        <f>DI80/(DI80+Company1738!DI80+PBP!DI80)</f>
      </c>
      <c r="DJ83" s="291">
        <f>DJ80/(DJ80+Company1738!DJ80+PBP!DJ80)</f>
      </c>
      <c r="DK83" s="291">
        <f>DK80/(DK80+Company1738!DK80+PBP!DK80)</f>
      </c>
      <c r="DL83" s="291">
        <f>DL80/(DL80+Company1738!DL80+PBP!DL80)</f>
      </c>
      <c r="DM83" s="293">
        <f>DM80/(DM80+Company1738!DM80+PBP!DM80)</f>
      </c>
      <c r="DN83" s="291">
        <f>DN80/(DN80+Company1738!DN80+PBP!DN80)</f>
      </c>
      <c r="DO83" s="291">
        <f>DO80/(DO80+Company1738!DO80+PBP!DO80)</f>
      </c>
      <c r="DP83" s="291">
        <f>DP80/(DP80+Company1738!DP80+PBP!DP80)</f>
      </c>
      <c r="DQ83" s="291">
        <f>DQ80/(DQ80+Company1738!DQ80+PBP!DQ80)</f>
      </c>
      <c r="DR83" s="293">
        <f>DR80/(DR80+Company1738!DR80+PBP!DR80)</f>
      </c>
      <c r="DS83" s="291">
        <f>DS80/(DS80+Company1738!DS80+PBP!DS80)</f>
      </c>
      <c r="DT83" s="291">
        <f>DT80/(DT80+Company1738!DT80+PBP!DT80)</f>
      </c>
      <c r="DU83" s="291">
        <f>DU80/(DU80+Company1738!DU80+PBP!DU80)</f>
      </c>
      <c r="DV83" s="291">
        <f>DV80/(DV80+Company1738!DV80+PBP!DV80)</f>
      </c>
      <c r="DW83" s="293">
        <f>DW80/(DW80+Company1738!DW80+PBP!DW80)</f>
      </c>
      <c r="DX83" s="291">
        <f>DX80/(DX80+Company1738!DX80+PBP!DX80)</f>
      </c>
      <c r="DY83" s="291">
        <f>DY80/(DY80+Company1738!DY80+PBP!DY80)</f>
      </c>
      <c r="DZ83" s="291">
        <f>DZ80/(DZ80+Company1738!DZ80+PBP!DZ80)</f>
      </c>
      <c r="EA83" s="291">
        <f>EA80/(EA80+Company1738!EA80+PBP!EA80)</f>
      </c>
      <c r="EB83" s="293">
        <f>EB80/(EB80+Company1738!EB80+PBP!EB80)</f>
      </c>
      <c r="EC83" s="291">
        <f>EC80/(EC80+Company1738!EC80+PBP!EC80)</f>
      </c>
      <c r="ED83" s="291">
        <f>ED80/(ED80+Company1738!ED80+PBP!ED80)</f>
      </c>
      <c r="EE83" s="291">
        <f>EE80/(EE80+Company1738!EE80+PBP!EE80)</f>
      </c>
      <c r="EF83" s="291">
        <f>EF80/(EF80+Company1738!EF80+PBP!EF80)</f>
      </c>
      <c r="EG83" s="293">
        <f>EG80/(EG80+Company1738!EG80+PBP!EG80)</f>
      </c>
      <c r="EH83" s="291">
        <f>EH80/(EH80+Company1738!EH80+PBP!EH80)</f>
      </c>
      <c r="EI83" s="291">
        <f>EI80/(EI80+Company1738!EI80+PBP!EI80)</f>
      </c>
      <c r="EJ83" s="291">
        <f>EJ80/(EJ80+Company1738!EJ80+PBP!EJ80)</f>
      </c>
      <c r="EK83" s="291">
        <f>EK80/(EK80+Company1738!EK80+PBP!EK80)</f>
      </c>
      <c r="EL83" s="293">
        <f>EL80/(EL80+Company1738!EL80+PBP!EL80)</f>
      </c>
      <c r="EM83" s="291">
        <f>EM80/(EM80+Company1738!EM80+PBP!EM80)</f>
      </c>
      <c r="EN83" s="291">
        <f>EN80/(EN80+Company1738!EN80+PBP!EN80)</f>
      </c>
      <c r="EO83" s="291">
        <f>EO80/(EO80+Company1738!EO80+PBP!EO80)</f>
      </c>
      <c r="EP83" s="291">
        <f>EP80/(EP80+Company1738!EP80+PBP!EP80)</f>
      </c>
      <c r="EQ83" s="293">
        <f>EQ80/(EQ80+Company1738!EQ80+PBP!EQ80)</f>
      </c>
      <c r="ER83" s="291">
        <f>ER80/(ER80+Company1738!ER80+PBP!ER80)</f>
      </c>
      <c r="ES83" s="291">
        <f>ES80/(ES80+Company1738!ES80+PBP!ES80)</f>
      </c>
      <c r="ET83" s="291">
        <f>ET80/(ET80+Company1738!ET80+PBP!ET80)</f>
      </c>
      <c r="EU83" s="291">
        <f>EU80/(EU80+Company1738!EU80+PBP!EU80)</f>
      </c>
      <c r="EV83" s="293">
        <f>EV80/(EV80+Company1738!EV80+PBP!EV80)</f>
      </c>
      <c r="EW83" s="291"/>
      <c r="EX83" s="107"/>
      <c r="EY83" s="107"/>
      <c r="EZ83" s="107"/>
      <c r="FA83" s="293"/>
      <c r="FB83" s="291"/>
      <c r="FC83" s="107"/>
      <c r="FD83" s="107"/>
      <c r="FE83" s="107"/>
      <c r="FF83" s="293"/>
      <c r="FG83" s="291"/>
      <c r="FH83" s="107"/>
      <c r="FI83" s="107"/>
      <c r="FJ83" s="107"/>
      <c r="FK83" s="293"/>
      <c r="FL83" s="291"/>
      <c r="FM83" s="107"/>
      <c r="FN83" s="107"/>
      <c r="FO83" s="107"/>
      <c r="FP83" s="293"/>
      <c r="FQ83" s="291"/>
      <c r="FR83" s="107"/>
      <c r="FS83" s="107"/>
      <c r="FT83" s="107"/>
      <c r="FU83" s="293"/>
      <c r="FV83" s="291"/>
      <c r="FW83" s="107"/>
      <c r="FX83" s="107"/>
      <c r="FY83" s="107"/>
      <c r="FZ83" s="293"/>
      <c r="GA83" s="291"/>
      <c r="GB83" s="107"/>
      <c r="GC83" s="107"/>
      <c r="GD83" s="107"/>
      <c r="GE83" s="293"/>
      <c r="GF83" s="291"/>
      <c r="GG83" s="107"/>
      <c r="GH83" s="107"/>
      <c r="GI83" s="107"/>
      <c r="GJ83" s="293"/>
    </row>
    <row r="84" spans="1:192" ht="12.75" customHeight="1" collapsed="1">
      <c r="C84" s="294"/>
      <c r="D84" s="295"/>
      <c r="E84" s="295"/>
      <c r="F84" s="295"/>
      <c r="G84" s="410"/>
      <c r="H84" s="294"/>
      <c r="I84" s="295"/>
      <c r="J84" s="295"/>
      <c r="K84" s="295"/>
      <c r="L84" s="410"/>
      <c r="M84" s="294"/>
      <c r="N84" s="295"/>
      <c r="O84" s="295"/>
      <c r="P84" s="295"/>
      <c r="Q84" s="410"/>
      <c r="R84" s="294"/>
      <c r="S84" s="295"/>
      <c r="T84" s="295"/>
      <c r="U84" s="295"/>
      <c r="V84" s="410"/>
      <c r="W84" s="294"/>
      <c r="X84" s="295"/>
      <c r="Y84" s="295"/>
      <c r="Z84" s="295"/>
      <c r="AA84" s="410"/>
      <c r="AB84" s="294"/>
      <c r="AC84" s="295"/>
      <c r="AD84" s="295"/>
      <c r="AE84" s="295"/>
      <c r="AF84" s="410"/>
      <c r="AG84" s="294"/>
      <c r="AH84" s="295"/>
      <c r="AI84" s="295"/>
      <c r="AJ84" s="295"/>
      <c r="AK84" s="410"/>
      <c r="AL84" s="294"/>
      <c r="AM84" s="295"/>
      <c r="AN84" s="295"/>
      <c r="AO84" s="295"/>
      <c r="AP84" s="410"/>
      <c r="AQ84" s="294"/>
      <c r="AR84" s="295"/>
      <c r="AS84" s="295"/>
      <c r="AT84" s="295"/>
      <c r="AU84" s="410"/>
      <c r="AV84" s="294"/>
      <c r="AW84" s="295"/>
      <c r="AX84" s="295"/>
      <c r="AY84" s="295"/>
      <c r="AZ84" s="410"/>
      <c r="BA84" s="294"/>
      <c r="BB84" s="295"/>
      <c r="BC84" s="295"/>
      <c r="BD84" s="295"/>
      <c r="BE84" s="410"/>
      <c r="BF84" s="294"/>
      <c r="BG84" s="295"/>
      <c r="BH84" s="295"/>
      <c r="BI84" s="295"/>
      <c r="BJ84" s="410"/>
      <c r="BK84" s="294"/>
      <c r="BL84" s="295"/>
      <c r="BM84" s="295"/>
      <c r="BN84" s="295"/>
      <c r="BO84" s="410"/>
      <c r="BP84" s="294"/>
      <c r="BQ84" s="295"/>
      <c r="BR84" s="295"/>
      <c r="BS84" s="295"/>
      <c r="BT84" s="410"/>
      <c r="BU84" s="294"/>
      <c r="BV84" s="295"/>
      <c r="BW84" s="295"/>
      <c r="BX84" s="295"/>
      <c r="BY84" s="410"/>
      <c r="BZ84" s="294"/>
      <c r="CA84" s="295"/>
      <c r="CB84" s="295"/>
      <c r="CC84" s="295"/>
      <c r="CD84" s="410"/>
      <c r="CE84" s="294"/>
      <c r="CF84" s="295"/>
      <c r="CG84" s="295"/>
      <c r="CH84" s="295"/>
      <c r="CI84" s="410"/>
      <c r="CJ84" s="294"/>
      <c r="CK84" s="295"/>
      <c r="CL84" s="295"/>
      <c r="CM84" s="295"/>
      <c r="CN84" s="410"/>
      <c r="CO84" s="294"/>
      <c r="CP84" s="295"/>
      <c r="CQ84" s="295"/>
      <c r="CR84" s="295"/>
      <c r="CS84" s="410"/>
      <c r="CT84" s="294"/>
      <c r="CU84" s="295"/>
      <c r="CV84" s="295"/>
      <c r="CW84" s="295"/>
      <c r="CX84" s="410"/>
      <c r="CY84" s="294"/>
      <c r="CZ84" s="295"/>
      <c r="DA84" s="295"/>
      <c r="DB84" s="295"/>
      <c r="DC84" s="410"/>
      <c r="DD84" s="294"/>
      <c r="DE84" s="295"/>
      <c r="DF84" s="295"/>
      <c r="DG84" s="295"/>
      <c r="DH84" s="410"/>
      <c r="DI84" s="294"/>
      <c r="DJ84" s="295"/>
      <c r="DK84" s="295"/>
      <c r="DL84" s="295"/>
      <c r="DM84" s="410"/>
      <c r="DN84" s="294"/>
      <c r="DO84" s="295"/>
      <c r="DP84" s="295"/>
      <c r="DQ84" s="295"/>
      <c r="DR84" s="410"/>
      <c r="DS84" s="294"/>
      <c r="DT84" s="295"/>
      <c r="DU84" s="295"/>
      <c r="DV84" s="295"/>
      <c r="DW84" s="410"/>
      <c r="DX84" s="294"/>
      <c r="DY84" s="295"/>
      <c r="DZ84" s="295"/>
      <c r="EA84" s="295"/>
      <c r="EB84" s="410"/>
      <c r="EC84" s="294"/>
      <c r="ED84" s="295"/>
      <c r="EE84" s="295"/>
      <c r="EF84" s="295"/>
      <c r="EG84" s="410"/>
      <c r="EH84" s="294"/>
      <c r="EI84" s="295"/>
      <c r="EJ84" s="295"/>
      <c r="EK84" s="295"/>
      <c r="EL84" s="410"/>
      <c r="EM84" s="294"/>
      <c r="EN84" s="295"/>
      <c r="EO84" s="295"/>
      <c r="EP84" s="295"/>
      <c r="EQ84" s="410"/>
      <c r="ER84" s="294"/>
      <c r="ES84" s="295"/>
      <c r="ET84" s="295"/>
      <c r="EU84" s="295"/>
      <c r="EV84" s="410"/>
      <c r="EW84" s="294"/>
      <c r="EX84" s="295"/>
      <c r="EY84" s="295"/>
      <c r="EZ84" s="295"/>
      <c r="FA84" s="410"/>
      <c r="FB84" s="294"/>
      <c r="FC84" s="295"/>
      <c r="FD84" s="295"/>
      <c r="FE84" s="295"/>
      <c r="FF84" s="410"/>
      <c r="FG84" s="294"/>
      <c r="FH84" s="295"/>
      <c r="FI84" s="295"/>
      <c r="FJ84" s="295"/>
      <c r="FK84" s="410"/>
      <c r="FL84" s="294"/>
      <c r="FM84" s="295"/>
      <c r="FN84" s="295"/>
      <c r="FO84" s="295"/>
      <c r="FP84" s="410"/>
      <c r="FQ84" s="294"/>
      <c r="FR84" s="295"/>
      <c r="FS84" s="295"/>
      <c r="FT84" s="295"/>
      <c r="FU84" s="410"/>
      <c r="FV84" s="294"/>
      <c r="FW84" s="295"/>
      <c r="FX84" s="295"/>
      <c r="FY84" s="295"/>
      <c r="FZ84" s="410"/>
      <c r="GA84" s="294"/>
      <c r="GB84" s="295"/>
      <c r="GC84" s="295"/>
      <c r="GD84" s="295"/>
      <c r="GE84" s="410"/>
      <c r="GF84" s="294"/>
      <c r="GG84" s="295"/>
      <c r="GH84" s="295"/>
      <c r="GI84" s="295"/>
      <c r="GJ84" s="410"/>
    </row>
    <row r="86" spans="1:192" ht="12.75" customHeight="1" thickBot="1">
      <c r="EM86" s="502"/>
    </row>
    <row r="87" spans="1:192" ht="12.75" customHeight="1" thickBot="1">
      <c r="B87" s="731" t="s">
        <v>204</v>
      </c>
      <c r="C87" s="396"/>
      <c r="D87" s="397"/>
      <c r="E87" s="397"/>
      <c r="F87" s="397"/>
      <c r="G87" s="397"/>
      <c r="H87" s="396"/>
      <c r="I87" s="397"/>
      <c r="J87" s="397"/>
      <c r="K87" s="397"/>
      <c r="L87" s="397"/>
      <c r="M87" s="396"/>
      <c r="N87" s="397"/>
      <c r="O87" s="397"/>
      <c r="P87" s="397"/>
      <c r="Q87" s="397"/>
      <c r="R87" s="396"/>
      <c r="S87" s="397"/>
      <c r="T87" s="397"/>
      <c r="U87" s="397"/>
      <c r="V87" s="397"/>
      <c r="W87" s="396"/>
      <c r="X87" s="397"/>
      <c r="Y87" s="397"/>
      <c r="Z87" s="397"/>
      <c r="AA87" s="397"/>
      <c r="AB87" s="396"/>
      <c r="AC87" s="397"/>
      <c r="AD87" s="397"/>
      <c r="AE87" s="397"/>
      <c r="AF87" s="397"/>
      <c r="AG87" s="396"/>
      <c r="AH87" s="397"/>
      <c r="AI87" s="397"/>
      <c r="AJ87" s="397"/>
      <c r="AK87" s="397"/>
      <c r="AL87" s="396"/>
      <c r="AM87" s="397"/>
      <c r="AN87" s="397"/>
      <c r="AO87" s="397"/>
      <c r="AP87" s="397"/>
      <c r="AQ87" s="396"/>
      <c r="AR87" s="397"/>
      <c r="AS87" s="397"/>
      <c r="AT87" s="397"/>
      <c r="AU87" s="397"/>
      <c r="AV87" s="396"/>
      <c r="AW87" s="397"/>
      <c r="AX87" s="397"/>
      <c r="AY87" s="397"/>
      <c r="AZ87" s="397"/>
      <c r="BA87" s="396"/>
      <c r="BB87" s="397"/>
      <c r="BC87" s="397"/>
      <c r="BD87" s="397"/>
      <c r="BE87" s="397"/>
      <c r="BF87" s="396"/>
      <c r="BG87" s="397"/>
      <c r="BH87" s="397"/>
      <c r="BI87" s="397"/>
      <c r="BJ87" s="397"/>
      <c r="BK87" s="396"/>
      <c r="BL87" s="397"/>
      <c r="BM87" s="397"/>
      <c r="BN87" s="397"/>
      <c r="BO87" s="397"/>
      <c r="BP87" s="396"/>
      <c r="BQ87" s="397"/>
      <c r="BR87" s="397"/>
      <c r="BS87" s="397"/>
      <c r="BT87" s="397"/>
      <c r="BU87" s="396"/>
      <c r="BV87" s="397"/>
      <c r="BW87" s="397"/>
      <c r="BX87" s="397"/>
      <c r="BY87" s="397"/>
      <c r="BZ87" s="396"/>
      <c r="CA87" s="397"/>
      <c r="CB87" s="397"/>
      <c r="CC87" s="397"/>
      <c r="CD87" s="397"/>
      <c r="CE87" s="396"/>
      <c r="CF87" s="397"/>
      <c r="CG87" s="397"/>
      <c r="CH87" s="397"/>
      <c r="CI87" s="397"/>
      <c r="CJ87" s="396"/>
      <c r="CK87" s="397"/>
      <c r="CL87" s="397"/>
      <c r="CM87" s="397"/>
      <c r="CN87" s="397"/>
      <c r="CO87" s="396"/>
      <c r="CP87" s="397"/>
      <c r="CQ87" s="397"/>
      <c r="CR87" s="397"/>
      <c r="CS87" s="397"/>
      <c r="CT87" s="396"/>
      <c r="CU87" s="397"/>
      <c r="CV87" s="397"/>
      <c r="CW87" s="397"/>
      <c r="CX87" s="397"/>
      <c r="CY87" s="396"/>
      <c r="CZ87" s="397"/>
      <c r="DA87" s="397"/>
      <c r="DB87" s="397"/>
      <c r="DC87" s="397"/>
      <c r="DD87" s="396"/>
      <c r="DE87" s="397"/>
      <c r="DF87" s="397"/>
      <c r="DG87" s="397"/>
      <c r="DH87" s="397"/>
      <c r="DI87" s="396"/>
      <c r="DJ87" s="397"/>
      <c r="DK87" s="397"/>
      <c r="DL87" s="397"/>
      <c r="DM87" s="397"/>
      <c r="DN87" s="396"/>
      <c r="DO87" s="397"/>
      <c r="DP87" s="397"/>
      <c r="DQ87" s="397"/>
      <c r="DR87" s="397"/>
      <c r="DS87" s="396"/>
      <c r="DT87" s="397"/>
      <c r="DU87" s="397"/>
      <c r="DV87" s="397"/>
      <c r="DW87" s="397"/>
      <c r="DX87" s="396"/>
      <c r="DY87" s="397"/>
      <c r="DZ87" s="397"/>
      <c r="EA87" s="397"/>
      <c r="EB87" s="397"/>
      <c r="EC87" s="396"/>
      <c r="ED87" s="397"/>
      <c r="EE87" s="397"/>
      <c r="EF87" s="397"/>
      <c r="EG87" s="397"/>
      <c r="EH87" s="396"/>
      <c r="EI87" s="397"/>
      <c r="EJ87" s="397"/>
      <c r="EK87" s="397"/>
      <c r="EL87" s="397"/>
      <c r="EM87" s="396"/>
      <c r="EN87" s="397"/>
      <c r="EO87" s="397"/>
      <c r="EP87" s="397"/>
      <c r="EQ87" s="397"/>
      <c r="ER87" s="396"/>
      <c r="ES87" s="397"/>
      <c r="ET87" s="397"/>
      <c r="EU87" s="397"/>
      <c r="EV87" s="397"/>
      <c r="EW87" s="396"/>
      <c r="EX87" s="397"/>
      <c r="EY87" s="397"/>
      <c r="EZ87" s="397"/>
      <c r="FA87" s="397"/>
      <c r="FB87" s="396"/>
      <c r="FC87" s="397"/>
      <c r="FD87" s="397"/>
      <c r="FE87" s="397"/>
      <c r="FF87" s="397"/>
      <c r="FG87" s="396"/>
      <c r="FH87" s="397"/>
      <c r="FI87" s="397"/>
      <c r="FJ87" s="397"/>
      <c r="FK87" s="397"/>
      <c r="FL87" s="396"/>
      <c r="FM87" s="397"/>
      <c r="FN87" s="397"/>
      <c r="FO87" s="397"/>
      <c r="FP87" s="397"/>
      <c r="FQ87" s="396"/>
      <c r="FR87" s="397"/>
      <c r="FS87" s="397"/>
      <c r="FT87" s="397"/>
      <c r="FU87" s="397"/>
      <c r="FV87" s="396"/>
      <c r="FW87" s="397"/>
      <c r="FX87" s="397"/>
      <c r="FY87" s="397"/>
      <c r="FZ87" s="397"/>
      <c r="GA87" s="396"/>
      <c r="GB87" s="397"/>
      <c r="GC87" s="397"/>
      <c r="GD87" s="397"/>
      <c r="GE87" s="397"/>
      <c r="GF87" s="396"/>
      <c r="GG87" s="397"/>
      <c r="GH87" s="397"/>
      <c r="GI87" s="397"/>
      <c r="GJ87" s="398"/>
    </row>
    <row r="88" spans="1:192" ht="12.75" customHeight="1">
      <c r="B88" s="733"/>
      <c r="C88" s="291"/>
      <c r="D88" s="107"/>
      <c r="E88" s="107"/>
      <c r="F88" s="107"/>
      <c r="G88" s="293"/>
      <c r="H88" s="291"/>
      <c r="I88" s="107"/>
      <c r="J88" s="107"/>
      <c r="K88" s="107"/>
      <c r="L88" s="293"/>
      <c r="M88" s="291"/>
      <c r="N88" s="107"/>
      <c r="O88" s="107"/>
      <c r="P88" s="107"/>
      <c r="Q88" s="293"/>
      <c r="R88" s="291"/>
      <c r="S88" s="107"/>
      <c r="T88" s="107"/>
      <c r="U88" s="107"/>
      <c r="V88" s="293"/>
      <c r="W88" s="291"/>
      <c r="X88" s="107"/>
      <c r="Y88" s="107"/>
      <c r="Z88" s="107"/>
      <c r="AA88" s="293"/>
      <c r="AB88" s="291"/>
      <c r="AC88" s="107"/>
      <c r="AD88" s="107"/>
      <c r="AE88" s="107"/>
      <c r="AF88" s="293"/>
      <c r="AG88" s="291"/>
      <c r="AH88" s="107"/>
      <c r="AI88" s="107"/>
      <c r="AJ88" s="107"/>
      <c r="AK88" s="293"/>
      <c r="AL88" s="291"/>
      <c r="AM88" s="107"/>
      <c r="AN88" s="107"/>
      <c r="AO88" s="107"/>
      <c r="AP88" s="293"/>
      <c r="AQ88" s="291"/>
      <c r="AR88" s="107"/>
      <c r="AS88" s="107"/>
      <c r="AT88" s="107"/>
      <c r="AU88" s="293"/>
      <c r="AV88" s="291"/>
      <c r="AW88" s="107"/>
      <c r="AX88" s="107"/>
      <c r="AY88" s="107"/>
      <c r="AZ88" s="293"/>
      <c r="BA88" s="291"/>
      <c r="BB88" s="107"/>
      <c r="BC88" s="107"/>
      <c r="BD88" s="107"/>
      <c r="BE88" s="293"/>
      <c r="BF88" s="291"/>
      <c r="BG88" s="107"/>
      <c r="BH88" s="107"/>
      <c r="BI88" s="107"/>
      <c r="BJ88" s="293"/>
      <c r="BK88" s="291"/>
      <c r="BL88" s="107"/>
      <c r="BM88" s="107"/>
      <c r="BN88" s="107"/>
      <c r="BO88" s="293"/>
      <c r="BP88" s="291"/>
      <c r="BQ88" s="107"/>
      <c r="BR88" s="107"/>
      <c r="BS88" s="107"/>
      <c r="BT88" s="293"/>
      <c r="BU88" s="291"/>
      <c r="BV88" s="107"/>
      <c r="BW88" s="107"/>
      <c r="BX88" s="107"/>
      <c r="BY88" s="293"/>
      <c r="BZ88" s="291"/>
      <c r="CA88" s="107"/>
      <c r="CB88" s="107"/>
      <c r="CC88" s="107"/>
      <c r="CD88" s="293"/>
      <c r="CE88" s="291"/>
      <c r="CF88" s="107"/>
      <c r="CG88" s="107"/>
      <c r="CH88" s="107"/>
      <c r="CI88" s="293"/>
      <c r="CJ88" s="291"/>
      <c r="CK88" s="107"/>
      <c r="CL88" s="107"/>
      <c r="CM88" s="107"/>
      <c r="CN88" s="293"/>
      <c r="CO88" s="291"/>
      <c r="CP88" s="107"/>
      <c r="CQ88" s="107"/>
      <c r="CR88" s="107"/>
      <c r="CS88" s="293"/>
      <c r="CT88" s="291"/>
      <c r="CU88" s="107"/>
      <c r="CV88" s="107"/>
      <c r="CW88" s="107"/>
      <c r="CX88" s="293"/>
      <c r="CY88" s="291"/>
      <c r="CZ88" s="107"/>
      <c r="DA88" s="107"/>
      <c r="DB88" s="107"/>
      <c r="DC88" s="293"/>
      <c r="DD88" s="291"/>
      <c r="DE88" s="107"/>
      <c r="DF88" s="107"/>
      <c r="DG88" s="107"/>
      <c r="DH88" s="293"/>
      <c r="DI88" s="291"/>
      <c r="DJ88" s="107"/>
      <c r="DK88" s="107"/>
      <c r="DL88" s="107"/>
      <c r="DM88" s="293"/>
      <c r="DN88" s="291"/>
      <c r="DO88" s="107"/>
      <c r="DP88" s="107"/>
      <c r="DQ88" s="107"/>
      <c r="DR88" s="293"/>
      <c r="DS88" s="291"/>
      <c r="DT88" s="107"/>
      <c r="DU88" s="107"/>
      <c r="DV88" s="107"/>
      <c r="DW88" s="293"/>
      <c r="DX88" s="291"/>
      <c r="DY88" s="107"/>
      <c r="DZ88" s="107"/>
      <c r="EA88" s="107"/>
      <c r="EB88" s="293"/>
      <c r="EC88" s="291"/>
      <c r="ED88" s="107"/>
      <c r="EE88" s="107"/>
      <c r="EF88" s="107"/>
      <c r="EG88" s="293"/>
      <c r="EH88" s="291"/>
      <c r="EI88" s="107"/>
      <c r="EJ88" s="107"/>
      <c r="EK88" s="107"/>
      <c r="EL88" s="293"/>
      <c r="EM88" s="506"/>
      <c r="EN88" s="506"/>
      <c r="EO88" s="506"/>
      <c r="EP88" s="506"/>
      <c r="EQ88" s="293"/>
      <c r="ER88" s="291"/>
      <c r="ES88" s="506"/>
      <c r="ET88" s="107"/>
      <c r="EU88" s="926"/>
      <c r="EV88" s="293"/>
      <c r="EW88" s="291"/>
      <c r="EX88" s="107"/>
      <c r="EY88" s="107"/>
      <c r="EZ88" s="107"/>
      <c r="FA88" s="293"/>
      <c r="FB88" s="291"/>
      <c r="FC88" s="107"/>
      <c r="FD88" s="107"/>
      <c r="FE88" s="107"/>
      <c r="FF88" s="293"/>
      <c r="FG88" s="291"/>
      <c r="FH88" s="107"/>
      <c r="FI88" s="107"/>
      <c r="FJ88" s="107"/>
      <c r="FK88" s="293"/>
      <c r="FL88" s="291"/>
      <c r="FM88" s="107"/>
      <c r="FN88" s="107"/>
      <c r="FO88" s="107"/>
      <c r="FP88" s="293"/>
      <c r="FQ88" s="291"/>
      <c r="FR88" s="107"/>
      <c r="FS88" s="107"/>
      <c r="FT88" s="107"/>
      <c r="FU88" s="293"/>
      <c r="FV88" s="291"/>
      <c r="FW88" s="107"/>
      <c r="FX88" s="107"/>
      <c r="FY88" s="107"/>
      <c r="FZ88" s="293"/>
      <c r="GA88" s="291"/>
      <c r="GB88" s="107"/>
      <c r="GC88" s="107"/>
      <c r="GD88" s="107"/>
      <c r="GE88" s="293"/>
      <c r="GF88" s="291"/>
      <c r="GG88" s="107"/>
      <c r="GH88" s="107"/>
      <c r="GI88" s="107"/>
      <c r="GJ88" s="382"/>
    </row>
    <row r="89" spans="1:192" ht="12.75" customHeight="1">
      <c r="B89" s="740" t="s">
        <v>1963</v>
      </c>
      <c r="C89" s="291"/>
      <c r="D89" s="107"/>
      <c r="E89" s="107"/>
      <c r="F89" s="107"/>
      <c r="G89" s="292"/>
      <c r="H89" s="291"/>
      <c r="I89" s="107"/>
      <c r="J89" s="107"/>
      <c r="K89" s="107"/>
      <c r="L89" s="292"/>
      <c r="M89" s="291"/>
      <c r="N89" s="107"/>
      <c r="O89" s="107"/>
      <c r="P89" s="107"/>
      <c r="Q89" s="292"/>
      <c r="R89" s="291"/>
      <c r="S89" s="107"/>
      <c r="T89" s="107"/>
      <c r="U89" s="107"/>
      <c r="V89" s="292"/>
      <c r="W89" s="291"/>
      <c r="X89" s="107"/>
      <c r="Y89" s="107"/>
      <c r="Z89" s="107"/>
      <c r="AA89" s="292"/>
      <c r="AB89" s="291"/>
      <c r="AC89" s="107"/>
      <c r="AD89" s="107"/>
      <c r="AE89" s="107"/>
      <c r="AF89" s="292"/>
      <c r="AG89" s="291"/>
      <c r="AH89" s="107"/>
      <c r="AI89" s="107"/>
      <c r="AJ89" s="107"/>
      <c r="AK89" s="292"/>
      <c r="AL89" s="291"/>
      <c r="AM89" s="107"/>
      <c r="AN89" s="107"/>
      <c r="AO89" s="107"/>
      <c r="AP89" s="292"/>
      <c r="AQ89" s="291"/>
      <c r="AR89" s="107"/>
      <c r="AS89" s="107"/>
      <c r="AT89" s="107"/>
      <c r="AU89" s="292"/>
      <c r="AV89" s="291"/>
      <c r="AW89" s="107"/>
      <c r="AX89" s="107"/>
      <c r="AY89" s="107"/>
      <c r="AZ89" s="292"/>
      <c r="BA89" s="291"/>
      <c r="BB89" s="107"/>
      <c r="BC89" s="107"/>
      <c r="BD89" s="107"/>
      <c r="BE89" s="292"/>
      <c r="BF89" s="291"/>
      <c r="BG89" s="107"/>
      <c r="BH89" s="107"/>
      <c r="BI89" s="107"/>
      <c r="BJ89" s="292"/>
      <c r="BK89" s="291"/>
      <c r="BL89" s="107"/>
      <c r="BM89" s="107"/>
      <c r="BN89" s="107"/>
      <c r="BO89" s="292"/>
      <c r="BP89" s="291"/>
      <c r="BQ89" s="107"/>
      <c r="BR89" s="107"/>
      <c r="BS89" s="107"/>
      <c r="BT89" s="292"/>
      <c r="BU89" s="291"/>
      <c r="BV89" s="107"/>
      <c r="BW89" s="107"/>
      <c r="BX89" s="107"/>
      <c r="BY89" s="292"/>
      <c r="BZ89" s="291"/>
      <c r="CA89" s="107"/>
      <c r="CB89" s="107"/>
      <c r="CC89" s="107"/>
      <c r="CD89" s="292"/>
      <c r="CE89" s="291"/>
      <c r="CF89" s="107"/>
      <c r="CG89" s="107"/>
      <c r="CH89" s="107"/>
      <c r="CI89" s="292"/>
      <c r="CJ89" s="291"/>
      <c r="CK89" s="107"/>
      <c r="CL89" s="107"/>
      <c r="CM89" s="107"/>
      <c r="CN89" s="292"/>
      <c r="CO89" s="291"/>
      <c r="CP89" s="107"/>
      <c r="CQ89" s="107"/>
      <c r="CR89" s="107"/>
      <c r="CS89" s="292"/>
      <c r="CT89" s="291"/>
      <c r="CU89" s="107"/>
      <c r="CV89" s="107"/>
      <c r="CW89" s="291"/>
      <c r="CX89" s="292"/>
      <c r="CY89" s="291"/>
      <c r="CZ89" s="107"/>
      <c r="DA89" s="107"/>
      <c r="DB89" s="291"/>
      <c r="DC89" s="292"/>
      <c r="DD89" s="291"/>
      <c r="DE89" s="107"/>
      <c r="DF89" s="107"/>
      <c r="DG89" s="291"/>
      <c r="DH89" s="292"/>
      <c r="DI89" s="291"/>
      <c r="DJ89" s="107"/>
      <c r="DK89" s="107"/>
      <c r="DL89" s="291"/>
      <c r="DM89" s="292"/>
      <c r="DN89" s="291"/>
      <c r="DO89" s="107"/>
      <c r="DP89" s="107"/>
      <c r="DQ89" s="291"/>
      <c r="DR89" s="292"/>
      <c r="DS89" s="291"/>
      <c r="DT89" s="107"/>
      <c r="DU89" s="107"/>
      <c r="DV89" s="291"/>
      <c r="DW89" s="292"/>
      <c r="DX89" s="291"/>
      <c r="DY89" s="107"/>
      <c r="DZ89" s="107"/>
      <c r="EA89" s="291"/>
      <c r="EB89" s="292"/>
      <c r="EC89" s="291"/>
      <c r="ED89" s="107"/>
      <c r="EE89" s="107"/>
      <c r="EF89" s="291"/>
      <c r="EG89" s="292"/>
      <c r="EH89" s="291"/>
      <c r="EI89" s="107"/>
      <c r="EJ89" s="107"/>
      <c r="EK89" s="291"/>
      <c r="EL89" s="292"/>
      <c r="EM89" s="291"/>
      <c r="EN89" s="107"/>
      <c r="EO89" s="107"/>
      <c r="EP89" s="291"/>
      <c r="EQ89" s="292"/>
      <c r="ER89" s="291"/>
      <c r="ES89" s="107"/>
      <c r="ET89" s="107"/>
      <c r="EU89" s="291"/>
      <c r="EV89" s="292"/>
      <c r="EW89" s="291"/>
      <c r="EX89" s="107"/>
      <c r="EY89" s="107"/>
      <c r="EZ89" s="291"/>
      <c r="FA89" s="292"/>
      <c r="FB89" s="291"/>
      <c r="FC89" s="107"/>
      <c r="FD89" s="107"/>
      <c r="FE89" s="291"/>
      <c r="FF89" s="292"/>
      <c r="FG89" s="291"/>
      <c r="FH89" s="107"/>
      <c r="FI89" s="107"/>
      <c r="FJ89" s="291"/>
      <c r="FK89" s="292"/>
      <c r="FL89" s="291"/>
      <c r="FM89" s="107"/>
      <c r="FN89" s="107"/>
      <c r="FO89" s="291"/>
      <c r="FP89" s="292"/>
      <c r="FQ89" s="291"/>
      <c r="FR89" s="107"/>
      <c r="FS89" s="107"/>
      <c r="FT89" s="291"/>
      <c r="FU89" s="292"/>
      <c r="FV89" s="291"/>
      <c r="FW89" s="107"/>
      <c r="FX89" s="107"/>
      <c r="FY89" s="107"/>
      <c r="FZ89" s="292"/>
      <c r="GA89" s="291"/>
      <c r="GB89" s="107"/>
      <c r="GC89" s="107"/>
      <c r="GD89" s="107"/>
      <c r="GE89" s="292"/>
      <c r="GF89" s="291"/>
      <c r="GG89" s="107"/>
      <c r="GH89" s="107"/>
      <c r="GI89" s="107"/>
      <c r="GJ89" s="384"/>
    </row>
    <row r="90" spans="1:192" s="406" customFormat="1" ht="12.75" customHeight="1">
      <c r="A90" s="797"/>
      <c r="B90" s="748" t="s">
        <v>204</v>
      </c>
      <c r="C90" s="403"/>
      <c r="D90" s="404"/>
      <c r="E90" s="404"/>
      <c r="F90" s="404"/>
      <c r="G90" s="405"/>
      <c r="H90" s="403"/>
      <c r="I90" s="404"/>
      <c r="J90" s="404"/>
      <c r="K90" s="404"/>
      <c r="L90" s="405"/>
      <c r="M90" s="403"/>
      <c r="N90" s="404"/>
      <c r="O90" s="404"/>
      <c r="P90" s="404"/>
      <c r="Q90" s="405"/>
      <c r="R90" s="403"/>
      <c r="S90" s="404"/>
      <c r="T90" s="404"/>
      <c r="U90" s="404"/>
      <c r="V90" s="405"/>
      <c r="W90" s="403"/>
      <c r="X90" s="404"/>
      <c r="Y90" s="404"/>
      <c r="Z90" s="404"/>
      <c r="AA90" s="405"/>
      <c r="AB90" s="403"/>
      <c r="AC90" s="404"/>
      <c r="AD90" s="404"/>
      <c r="AE90" s="404"/>
      <c r="AF90" s="405"/>
      <c r="AG90" s="403"/>
      <c r="AH90" s="404"/>
      <c r="AI90" s="404"/>
      <c r="AJ90" s="404"/>
      <c r="AK90" s="405"/>
      <c r="AL90" s="403"/>
      <c r="AM90" s="404"/>
      <c r="AN90" s="404"/>
      <c r="AO90" s="404"/>
      <c r="AP90" s="405"/>
      <c r="AQ90" s="403"/>
      <c r="AR90" s="404"/>
      <c r="AS90" s="404"/>
      <c r="AT90" s="404"/>
      <c r="AU90" s="405"/>
      <c r="AV90" s="403"/>
      <c r="AW90" s="404"/>
      <c r="AX90" s="404"/>
      <c r="AY90" s="404"/>
      <c r="AZ90" s="405"/>
      <c r="BA90" s="403"/>
      <c r="BB90" s="404"/>
      <c r="BC90" s="404"/>
      <c r="BD90" s="404"/>
      <c r="BE90" s="405"/>
      <c r="BF90" s="403"/>
      <c r="BG90" s="404"/>
      <c r="BH90" s="404"/>
      <c r="BI90" s="404"/>
      <c r="BJ90" s="405"/>
      <c r="BK90" s="403"/>
      <c r="BL90" s="404"/>
      <c r="BM90" s="404"/>
      <c r="BN90" s="404"/>
      <c r="BO90" s="405"/>
      <c r="BP90" s="403"/>
      <c r="BQ90" s="404"/>
      <c r="BR90" s="404"/>
      <c r="BS90" s="404"/>
      <c r="BT90" s="405"/>
      <c r="BU90" s="403"/>
      <c r="BV90" s="404"/>
      <c r="BW90" s="404"/>
      <c r="BX90" s="404"/>
      <c r="BY90" s="405"/>
      <c r="BZ90" s="403"/>
      <c r="CA90" s="404"/>
      <c r="CB90" s="404"/>
      <c r="CC90" s="404"/>
      <c r="CD90" s="405"/>
      <c r="CE90" s="403"/>
      <c r="CF90" s="404"/>
      <c r="CG90" s="404"/>
      <c r="CH90" s="404"/>
      <c r="CI90" s="405"/>
      <c r="CJ90" s="403"/>
      <c r="CK90" s="404"/>
      <c r="CL90" s="404"/>
      <c r="CM90" s="404"/>
      <c r="CN90" s="405"/>
      <c r="CO90" s="403"/>
      <c r="CP90" s="404"/>
      <c r="CQ90" s="404"/>
      <c r="CR90" s="404"/>
      <c r="CS90" s="405"/>
      <c r="CT90" s="312"/>
      <c r="CU90" s="312"/>
      <c r="CV90" s="312"/>
      <c r="CW90" s="312"/>
      <c r="CX90" s="456"/>
      <c r="CY90" s="312"/>
      <c r="CZ90" s="312"/>
      <c r="DA90" s="312"/>
      <c r="DB90" s="312"/>
      <c r="DC90" s="456"/>
      <c r="DD90" s="312"/>
      <c r="DE90" s="312"/>
      <c r="DF90" s="312"/>
      <c r="DG90" s="312"/>
      <c r="DH90" s="457"/>
      <c r="DI90" s="316"/>
      <c r="DJ90" s="316"/>
      <c r="DK90" s="316"/>
      <c r="DL90" s="312"/>
      <c r="DM90" s="457"/>
      <c r="DN90" s="316"/>
      <c r="DO90" s="316"/>
      <c r="DP90" s="316"/>
      <c r="DQ90" s="312"/>
      <c r="DR90" s="457"/>
      <c r="DS90" s="316"/>
      <c r="DT90" s="316"/>
      <c r="DU90" s="316"/>
      <c r="DV90" s="312"/>
      <c r="DW90" s="457"/>
      <c r="DX90" s="316"/>
      <c r="DY90" s="316"/>
      <c r="DZ90" s="316"/>
      <c r="EA90" s="312"/>
      <c r="EB90" s="457"/>
      <c r="EC90" s="316"/>
      <c r="ED90" s="316"/>
      <c r="EE90" s="316"/>
      <c r="EF90" s="312"/>
      <c r="EG90" s="457"/>
      <c r="EH90" s="316"/>
      <c r="EI90" s="316"/>
      <c r="EJ90" s="316"/>
      <c r="EK90" s="312"/>
      <c r="EL90" s="457"/>
      <c r="EM90" s="316">
        <v>14948</v>
      </c>
      <c r="EN90" s="316">
        <v>16012</v>
      </c>
      <c r="EO90" s="316">
        <v>16187</v>
      </c>
      <c r="EP90" s="316">
        <v>17860</v>
      </c>
      <c r="EQ90" s="456">
        <f>SUM(EM90:EP90)</f>
      </c>
      <c r="ER90" s="316">
        <v>18062</v>
      </c>
      <c r="ES90" s="316">
        <v>19597</v>
      </c>
      <c r="ET90" s="316">
        <v>20266</v>
      </c>
      <c r="EU90" s="316">
        <v>21903</v>
      </c>
      <c r="EV90" s="456">
        <f>SUM(ER90:EU90)</f>
      </c>
      <c r="EW90" s="316">
        <v>22155</v>
      </c>
      <c r="EX90" s="1164">
        <v>23641</v>
      </c>
      <c r="EY90" s="1164">
        <v>24761</v>
      </c>
      <c r="EZ90" s="1724">
        <f>FA90-EY90-EX90-EW90</f>
      </c>
      <c r="FA90" s="457">
        <v>98435</v>
      </c>
      <c r="FB90" s="1165">
        <f t="shared" ref="FB90:GE90" si="68">FB108+FB209</f>
      </c>
      <c r="FC90" s="1165">
        <f t="shared" si="68"/>
      </c>
      <c r="FD90" s="1165">
        <f t="shared" si="68"/>
      </c>
      <c r="FE90" s="1165">
        <f t="shared" si="68"/>
      </c>
      <c r="FF90" s="456">
        <f t="shared" si="68"/>
      </c>
      <c r="FG90" s="1165">
        <f t="shared" si="68"/>
      </c>
      <c r="FH90" s="1165">
        <f t="shared" si="68"/>
      </c>
      <c r="FI90" s="1165">
        <f t="shared" si="68"/>
      </c>
      <c r="FJ90" s="1165">
        <f t="shared" si="68"/>
      </c>
      <c r="FK90" s="456">
        <f t="shared" si="68"/>
      </c>
      <c r="FL90" s="1165">
        <f t="shared" si="68"/>
      </c>
      <c r="FM90" s="1165">
        <f t="shared" si="68"/>
      </c>
      <c r="FN90" s="1165">
        <f t="shared" si="68"/>
      </c>
      <c r="FO90" s="1165">
        <f t="shared" si="68"/>
      </c>
      <c r="FP90" s="456">
        <f t="shared" si="68"/>
      </c>
      <c r="FQ90" s="1165">
        <f t="shared" si="68"/>
      </c>
      <c r="FR90" s="1165">
        <f t="shared" si="68"/>
      </c>
      <c r="FS90" s="1165">
        <f t="shared" si="68"/>
      </c>
      <c r="FT90" s="1165">
        <f t="shared" si="68"/>
      </c>
      <c r="FU90" s="456">
        <f t="shared" si="68"/>
      </c>
      <c r="FV90" s="1165">
        <f t="shared" si="68"/>
      </c>
      <c r="FW90" s="1165">
        <f t="shared" si="68"/>
      </c>
      <c r="FX90" s="1165">
        <f t="shared" si="68"/>
      </c>
      <c r="FY90" s="1165">
        <f t="shared" si="68"/>
      </c>
      <c r="FZ90" s="456">
        <f t="shared" si="68"/>
      </c>
      <c r="GA90" s="1165">
        <f t="shared" si="68"/>
      </c>
      <c r="GB90" s="1165">
        <f t="shared" si="68"/>
      </c>
      <c r="GC90" s="1165">
        <f t="shared" si="68"/>
      </c>
      <c r="GD90" s="1165">
        <f t="shared" si="68"/>
      </c>
      <c r="GE90" s="456">
        <f t="shared" si="68"/>
      </c>
      <c r="GF90" s="1165">
        <f t="shared" ref="GF90:GJ90" si="69">GF108+GF209</f>
      </c>
      <c r="GG90" s="1165">
        <f t="shared" si="69"/>
      </c>
      <c r="GH90" s="1165">
        <f t="shared" si="69"/>
      </c>
      <c r="GI90" s="1165">
        <f t="shared" si="69"/>
      </c>
      <c r="GJ90" s="499">
        <f t="shared" si="69"/>
      </c>
    </row>
    <row r="91" spans="1:192" ht="12.75" customHeight="1">
      <c r="B91" s="735" t="s">
        <v>34</v>
      </c>
      <c r="C91" s="291"/>
      <c r="D91" s="107"/>
      <c r="E91" s="107"/>
      <c r="F91" s="107"/>
      <c r="G91" s="292"/>
      <c r="H91" s="291"/>
      <c r="I91" s="107"/>
      <c r="J91" s="107"/>
      <c r="K91" s="107"/>
      <c r="L91" s="292"/>
      <c r="M91" s="291"/>
      <c r="N91" s="107"/>
      <c r="O91" s="107"/>
      <c r="P91" s="107"/>
      <c r="Q91" s="292"/>
      <c r="R91" s="291"/>
      <c r="S91" s="107"/>
      <c r="T91" s="107"/>
      <c r="U91" s="107"/>
      <c r="V91" s="292"/>
      <c r="W91" s="291"/>
      <c r="X91" s="107"/>
      <c r="Y91" s="107"/>
      <c r="Z91" s="107"/>
      <c r="AA91" s="292"/>
      <c r="AB91" s="291"/>
      <c r="AC91" s="107"/>
      <c r="AD91" s="107"/>
      <c r="AE91" s="107"/>
      <c r="AF91" s="292"/>
      <c r="AG91" s="291"/>
      <c r="AH91" s="107"/>
      <c r="AI91" s="107"/>
      <c r="AJ91" s="107"/>
      <c r="AK91" s="292"/>
      <c r="AL91" s="291"/>
      <c r="AM91" s="107"/>
      <c r="AN91" s="107"/>
      <c r="AO91" s="107"/>
      <c r="AP91" s="292"/>
      <c r="AQ91" s="291"/>
      <c r="AR91" s="107"/>
      <c r="AS91" s="107"/>
      <c r="AT91" s="107"/>
      <c r="AU91" s="292"/>
      <c r="AV91" s="291"/>
      <c r="AW91" s="107"/>
      <c r="AX91" s="107"/>
      <c r="AY91" s="107"/>
      <c r="AZ91" s="292"/>
      <c r="BA91" s="291"/>
      <c r="BB91" s="107"/>
      <c r="BC91" s="107"/>
      <c r="BD91" s="107"/>
      <c r="BE91" s="292"/>
      <c r="BF91" s="291"/>
      <c r="BG91" s="107"/>
      <c r="BH91" s="107"/>
      <c r="BI91" s="107"/>
      <c r="BJ91" s="292"/>
      <c r="BK91" s="291"/>
      <c r="BL91" s="107"/>
      <c r="BM91" s="107"/>
      <c r="BN91" s="107"/>
      <c r="BO91" s="292"/>
      <c r="BP91" s="291"/>
      <c r="BQ91" s="107"/>
      <c r="BR91" s="107"/>
      <c r="BS91" s="107"/>
      <c r="BT91" s="292"/>
      <c r="BU91" s="291"/>
      <c r="BV91" s="107"/>
      <c r="BW91" s="107"/>
      <c r="BX91" s="107"/>
      <c r="BY91" s="292"/>
      <c r="BZ91" s="291"/>
      <c r="CA91" s="107"/>
      <c r="CB91" s="107"/>
      <c r="CC91" s="107"/>
      <c r="CD91" s="292"/>
      <c r="CE91" s="291"/>
      <c r="CF91" s="107"/>
      <c r="CG91" s="107"/>
      <c r="CH91" s="107"/>
      <c r="CI91" s="292"/>
      <c r="CJ91" s="291"/>
      <c r="CK91" s="107"/>
      <c r="CL91" s="107"/>
      <c r="CM91" s="107"/>
      <c r="CN91" s="292"/>
      <c r="CO91" s="291"/>
      <c r="CP91" s="107"/>
      <c r="CQ91" s="107"/>
      <c r="CR91" s="107"/>
      <c r="CS91" s="292"/>
      <c r="CT91" s="291"/>
      <c r="CU91" s="107"/>
      <c r="CV91" s="107"/>
      <c r="CW91" s="107"/>
      <c r="CX91" s="292"/>
      <c r="CY91" s="107"/>
      <c r="CZ91" s="107"/>
      <c r="DA91" s="107"/>
      <c r="DB91" s="107"/>
      <c r="DC91" s="292"/>
      <c r="DD91" s="107"/>
      <c r="DE91" s="107"/>
      <c r="DF91" s="107"/>
      <c r="DG91" s="107"/>
      <c r="DH91" s="292"/>
      <c r="DI91" s="107"/>
      <c r="DJ91" s="107"/>
      <c r="DK91" s="107"/>
      <c r="DL91" s="107"/>
      <c r="DM91" s="292"/>
      <c r="DN91" s="107"/>
      <c r="DO91" s="107"/>
      <c r="DP91" s="107"/>
      <c r="DQ91" s="107"/>
      <c r="DR91" s="292"/>
      <c r="DS91" s="107"/>
      <c r="DT91" s="107"/>
      <c r="DU91" s="107"/>
      <c r="DV91" s="107"/>
      <c r="DW91" s="292"/>
      <c r="DX91" s="107"/>
      <c r="DY91" s="107"/>
      <c r="DZ91" s="107"/>
      <c r="EA91" s="107"/>
      <c r="EB91" s="292"/>
      <c r="EC91" s="107"/>
      <c r="ED91" s="107"/>
      <c r="EE91" s="107"/>
      <c r="EF91" s="107"/>
      <c r="EG91" s="292"/>
      <c r="EH91" s="107"/>
      <c r="EI91" s="107"/>
      <c r="EJ91" s="107"/>
      <c r="EK91" s="107"/>
      <c r="EL91" s="292"/>
      <c r="EM91" s="107"/>
      <c r="EN91" s="107"/>
      <c r="EO91" s="107"/>
      <c r="EP91" s="107"/>
      <c r="EQ91" s="292"/>
      <c r="ER91" s="107">
        <f t="shared" ref="ER91:GE91" si="70">ER90/EM90-1</f>
      </c>
      <c r="ES91" s="107">
        <f t="shared" si="70"/>
      </c>
      <c r="ET91" s="107">
        <f t="shared" si="70"/>
      </c>
      <c r="EU91" s="107">
        <f t="shared" si="70"/>
      </c>
      <c r="EV91" s="292">
        <f t="shared" si="70"/>
      </c>
      <c r="EW91" s="107">
        <f t="shared" si="70"/>
      </c>
      <c r="EX91" s="107">
        <f t="shared" si="70"/>
      </c>
      <c r="EY91" s="107">
        <f t="shared" si="70"/>
      </c>
      <c r="EZ91" s="107">
        <f t="shared" si="70"/>
      </c>
      <c r="FA91" s="292">
        <f t="shared" si="70"/>
      </c>
      <c r="FB91" s="107">
        <f t="shared" si="70"/>
      </c>
      <c r="FC91" s="107">
        <f t="shared" si="70"/>
      </c>
      <c r="FD91" s="107">
        <f t="shared" si="70"/>
      </c>
      <c r="FE91" s="107">
        <f t="shared" si="70"/>
      </c>
      <c r="FF91" s="292">
        <f t="shared" si="70"/>
      </c>
      <c r="FG91" s="107">
        <f t="shared" si="70"/>
      </c>
      <c r="FH91" s="107">
        <f t="shared" si="70"/>
      </c>
      <c r="FI91" s="107">
        <f t="shared" si="70"/>
      </c>
      <c r="FJ91" s="107">
        <f t="shared" si="70"/>
      </c>
      <c r="FK91" s="292">
        <f t="shared" si="70"/>
      </c>
      <c r="FL91" s="107">
        <f t="shared" si="70"/>
      </c>
      <c r="FM91" s="107">
        <f t="shared" si="70"/>
      </c>
      <c r="FN91" s="107">
        <f t="shared" si="70"/>
      </c>
      <c r="FO91" s="107">
        <f t="shared" si="70"/>
      </c>
      <c r="FP91" s="292">
        <f t="shared" si="70"/>
      </c>
      <c r="FQ91" s="107">
        <f t="shared" si="70"/>
      </c>
      <c r="FR91" s="107">
        <f t="shared" si="70"/>
      </c>
      <c r="FS91" s="107">
        <f t="shared" si="70"/>
      </c>
      <c r="FT91" s="107">
        <f t="shared" si="70"/>
      </c>
      <c r="FU91" s="292">
        <f t="shared" si="70"/>
      </c>
      <c r="FV91" s="107">
        <f t="shared" si="70"/>
      </c>
      <c r="FW91" s="107">
        <f t="shared" si="70"/>
      </c>
      <c r="FX91" s="107">
        <f t="shared" si="70"/>
      </c>
      <c r="FY91" s="107">
        <f t="shared" si="70"/>
      </c>
      <c r="FZ91" s="292">
        <f t="shared" si="70"/>
      </c>
      <c r="GA91" s="107">
        <f t="shared" si="70"/>
      </c>
      <c r="GB91" s="107">
        <f t="shared" si="70"/>
      </c>
      <c r="GC91" s="107">
        <f t="shared" si="70"/>
      </c>
      <c r="GD91" s="107">
        <f t="shared" si="70"/>
      </c>
      <c r="GE91" s="292">
        <f t="shared" si="70"/>
      </c>
      <c r="GF91" s="107">
        <f t="shared" ref="GF91" si="71">GF90/GA90-1</f>
      </c>
      <c r="GG91" s="107">
        <f t="shared" ref="GG91" si="72">GG90/GB90-1</f>
      </c>
      <c r="GH91" s="107">
        <f t="shared" ref="GH91" si="73">GH90/GC90-1</f>
      </c>
      <c r="GI91" s="107">
        <f t="shared" ref="GI91" si="74">GI90/GD90-1</f>
      </c>
      <c r="GJ91" s="384">
        <f t="shared" ref="GJ91" si="75">GJ90/GE90-1</f>
      </c>
    </row>
    <row r="92" spans="1:192" ht="12.75" customHeight="1">
      <c r="B92" s="735" t="s">
        <v>36</v>
      </c>
      <c r="C92" s="291"/>
      <c r="D92" s="107"/>
      <c r="E92" s="107"/>
      <c r="F92" s="107"/>
      <c r="G92" s="292"/>
      <c r="H92" s="291"/>
      <c r="I92" s="107"/>
      <c r="J92" s="107"/>
      <c r="K92" s="107"/>
      <c r="L92" s="292"/>
      <c r="M92" s="291"/>
      <c r="N92" s="107"/>
      <c r="O92" s="107"/>
      <c r="P92" s="107"/>
      <c r="Q92" s="292"/>
      <c r="R92" s="291"/>
      <c r="S92" s="107"/>
      <c r="T92" s="107"/>
      <c r="U92" s="107"/>
      <c r="V92" s="292"/>
      <c r="W92" s="291"/>
      <c r="X92" s="107"/>
      <c r="Y92" s="107"/>
      <c r="Z92" s="107"/>
      <c r="AA92" s="292"/>
      <c r="AB92" s="291"/>
      <c r="AC92" s="107"/>
      <c r="AD92" s="107"/>
      <c r="AE92" s="107"/>
      <c r="AF92" s="292"/>
      <c r="AG92" s="291"/>
      <c r="AH92" s="107"/>
      <c r="AI92" s="107"/>
      <c r="AJ92" s="107"/>
      <c r="AK92" s="292"/>
      <c r="AL92" s="291"/>
      <c r="AM92" s="107"/>
      <c r="AN92" s="107"/>
      <c r="AO92" s="107"/>
      <c r="AP92" s="292"/>
      <c r="AQ92" s="291"/>
      <c r="AR92" s="107"/>
      <c r="AS92" s="107"/>
      <c r="AT92" s="107"/>
      <c r="AU92" s="292"/>
      <c r="AV92" s="291"/>
      <c r="AW92" s="107"/>
      <c r="AX92" s="107"/>
      <c r="AY92" s="107"/>
      <c r="AZ92" s="292"/>
      <c r="BA92" s="291"/>
      <c r="BB92" s="107"/>
      <c r="BC92" s="107"/>
      <c r="BD92" s="107"/>
      <c r="BE92" s="292"/>
      <c r="BF92" s="291"/>
      <c r="BG92" s="107"/>
      <c r="BH92" s="107"/>
      <c r="BI92" s="107"/>
      <c r="BJ92" s="292"/>
      <c r="BK92" s="291"/>
      <c r="BL92" s="107"/>
      <c r="BM92" s="107"/>
      <c r="BN92" s="107"/>
      <c r="BO92" s="292"/>
      <c r="BP92" s="291"/>
      <c r="BQ92" s="107"/>
      <c r="BR92" s="107"/>
      <c r="BS92" s="107"/>
      <c r="BT92" s="292"/>
      <c r="BU92" s="291"/>
      <c r="BV92" s="107"/>
      <c r="BW92" s="107"/>
      <c r="BX92" s="107"/>
      <c r="BY92" s="292"/>
      <c r="BZ92" s="291"/>
      <c r="CA92" s="107"/>
      <c r="CB92" s="107"/>
      <c r="CC92" s="107"/>
      <c r="CD92" s="292"/>
      <c r="CE92" s="291"/>
      <c r="CF92" s="107"/>
      <c r="CG92" s="107"/>
      <c r="CH92" s="107"/>
      <c r="CI92" s="292"/>
      <c r="CJ92" s="291"/>
      <c r="CK92" s="107"/>
      <c r="CL92" s="107"/>
      <c r="CM92" s="107"/>
      <c r="CN92" s="292"/>
      <c r="CO92" s="291"/>
      <c r="CP92" s="107"/>
      <c r="CQ92" s="107"/>
      <c r="CR92" s="107"/>
      <c r="CS92" s="292"/>
      <c r="CT92" s="291"/>
      <c r="CU92" s="107"/>
      <c r="CV92" s="107"/>
      <c r="CW92" s="346"/>
      <c r="CX92" s="407"/>
      <c r="CY92" s="291"/>
      <c r="CZ92" s="107"/>
      <c r="DA92" s="107"/>
      <c r="DB92" s="346"/>
      <c r="DC92" s="347"/>
      <c r="DD92" s="291"/>
      <c r="DE92" s="107"/>
      <c r="DF92" s="107"/>
      <c r="DG92" s="346"/>
      <c r="DH92" s="347"/>
      <c r="DI92" s="291"/>
      <c r="DJ92" s="107"/>
      <c r="DK92" s="107"/>
      <c r="DL92" s="346"/>
      <c r="DM92" s="347"/>
      <c r="DN92" s="291"/>
      <c r="DO92" s="107"/>
      <c r="DP92" s="107"/>
      <c r="DQ92" s="346"/>
      <c r="DR92" s="347"/>
      <c r="DS92" s="291"/>
      <c r="DT92" s="107"/>
      <c r="DU92" s="107"/>
      <c r="DV92" s="346"/>
      <c r="DW92" s="347"/>
      <c r="DX92" s="291"/>
      <c r="DY92" s="107"/>
      <c r="DZ92" s="107"/>
      <c r="EA92" s="346"/>
      <c r="EB92" s="347"/>
      <c r="EC92" s="291"/>
      <c r="ED92" s="107"/>
      <c r="EE92" s="107"/>
      <c r="EF92" s="346"/>
      <c r="EG92" s="347"/>
      <c r="EH92" s="291"/>
      <c r="EI92" s="107"/>
      <c r="EJ92" s="107"/>
      <c r="EK92" s="346"/>
      <c r="EL92" s="347"/>
      <c r="EM92" s="291"/>
      <c r="EN92" s="107">
        <f>EN90/EM90-1</f>
      </c>
      <c r="EO92" s="107">
        <f>EO90/EN90-1</f>
      </c>
      <c r="EP92" s="346">
        <f>EP90/EO90-1</f>
      </c>
      <c r="EQ92" s="347"/>
      <c r="ER92" s="291">
        <f>ER90/EP90-1</f>
      </c>
      <c r="ES92" s="107">
        <f>ES90/ER90-1</f>
      </c>
      <c r="ET92" s="107">
        <f>ET90/ES90-1</f>
      </c>
      <c r="EU92" s="346">
        <f>EU90/ET90-1</f>
      </c>
      <c r="EV92" s="347"/>
      <c r="EW92" s="291">
        <f>EW90/EU90-1</f>
      </c>
      <c r="EX92" s="107">
        <f>EX90/EW90-1</f>
      </c>
      <c r="EY92" s="107">
        <f>EY90/EX90-1</f>
      </c>
      <c r="EZ92" s="346">
        <f>EZ90/EY90-1</f>
      </c>
      <c r="FA92" s="347"/>
      <c r="FB92" s="291">
        <f>FB90/EZ90-1</f>
      </c>
      <c r="FC92" s="107">
        <f>FC90/FB90-1</f>
      </c>
      <c r="FD92" s="107">
        <f>FD90/FC90-1</f>
      </c>
      <c r="FE92" s="346">
        <f>FE90/FD90-1</f>
      </c>
      <c r="FF92" s="347"/>
      <c r="FG92" s="291">
        <f>FG90/FE90-1</f>
      </c>
      <c r="FH92" s="107">
        <f>FH90/FG90-1</f>
      </c>
      <c r="FI92" s="107">
        <f>FI90/FH90-1</f>
      </c>
      <c r="FJ92" s="346">
        <f>FJ90/FI90-1</f>
      </c>
      <c r="FK92" s="347"/>
      <c r="FL92" s="291">
        <f>FL90/FJ90-1</f>
      </c>
      <c r="FM92" s="107">
        <f>FM90/FL90-1</f>
      </c>
      <c r="FN92" s="107">
        <f>FN90/FM90-1</f>
      </c>
      <c r="FO92" s="346">
        <f>FO90/FN90-1</f>
      </c>
      <c r="FP92" s="347"/>
      <c r="FQ92" s="291">
        <f>FQ90/FO90-1</f>
      </c>
      <c r="FR92" s="107">
        <f>FR90/FQ90-1</f>
      </c>
      <c r="FS92" s="107">
        <f>FS90/FR90-1</f>
      </c>
      <c r="FT92" s="346">
        <f>FT90/FS90-1</f>
      </c>
      <c r="FU92" s="347"/>
      <c r="FV92" s="291">
        <f>FV90/FT90-1</f>
      </c>
      <c r="FW92" s="107">
        <f>FW90/FV90-1</f>
      </c>
      <c r="FX92" s="107">
        <f>FX90/FW90-1</f>
      </c>
      <c r="FY92" s="346">
        <f>FY90/FX90-1</f>
      </c>
      <c r="FZ92" s="347"/>
      <c r="GA92" s="291">
        <f>GA90/FY90-1</f>
      </c>
      <c r="GB92" s="107">
        <f>GB90/GA90-1</f>
      </c>
      <c r="GC92" s="107">
        <f>GC90/GB90-1</f>
      </c>
      <c r="GD92" s="107">
        <f>GD90/GC90-1</f>
      </c>
      <c r="GE92" s="347"/>
      <c r="GF92" s="291">
        <f>GF90/GD90-1</f>
      </c>
      <c r="GG92" s="107">
        <f>GG90/GF90-1</f>
      </c>
      <c r="GH92" s="107">
        <f>GH90/GG90-1</f>
      </c>
      <c r="GI92" s="107">
        <f>GI90/GH90-1</f>
      </c>
      <c r="GJ92" s="382"/>
    </row>
    <row r="93" spans="1:192" ht="12.75" customHeight="1">
      <c r="B93" s="735" t="s">
        <v>36</v>
      </c>
      <c r="C93" s="291"/>
      <c r="D93" s="107"/>
      <c r="E93" s="107"/>
      <c r="F93" s="107"/>
      <c r="G93" s="292"/>
      <c r="H93" s="291"/>
      <c r="I93" s="107"/>
      <c r="J93" s="107"/>
      <c r="K93" s="107"/>
      <c r="L93" s="292"/>
      <c r="M93" s="291"/>
      <c r="N93" s="107"/>
      <c r="O93" s="107"/>
      <c r="P93" s="107"/>
      <c r="Q93" s="292"/>
      <c r="R93" s="291"/>
      <c r="S93" s="107"/>
      <c r="T93" s="107"/>
      <c r="U93" s="107"/>
      <c r="V93" s="292"/>
      <c r="W93" s="291"/>
      <c r="X93" s="107"/>
      <c r="Y93" s="107"/>
      <c r="Z93" s="107"/>
      <c r="AA93" s="292"/>
      <c r="AB93" s="291"/>
      <c r="AC93" s="107"/>
      <c r="AD93" s="107"/>
      <c r="AE93" s="107"/>
      <c r="AF93" s="292"/>
      <c r="AG93" s="291"/>
      <c r="AH93" s="107"/>
      <c r="AI93" s="107"/>
      <c r="AJ93" s="107"/>
      <c r="AK93" s="292"/>
      <c r="AL93" s="291"/>
      <c r="AM93" s="107"/>
      <c r="AN93" s="107"/>
      <c r="AO93" s="107"/>
      <c r="AP93" s="292"/>
      <c r="AQ93" s="291"/>
      <c r="AR93" s="107"/>
      <c r="AS93" s="107"/>
      <c r="AT93" s="107"/>
      <c r="AU93" s="292"/>
      <c r="AV93" s="291"/>
      <c r="AW93" s="107"/>
      <c r="AX93" s="107"/>
      <c r="AY93" s="107"/>
      <c r="AZ93" s="292"/>
      <c r="BA93" s="291"/>
      <c r="BB93" s="107"/>
      <c r="BC93" s="107"/>
      <c r="BD93" s="107"/>
      <c r="BE93" s="292"/>
      <c r="BF93" s="291"/>
      <c r="BG93" s="107"/>
      <c r="BH93" s="107"/>
      <c r="BI93" s="107"/>
      <c r="BJ93" s="292"/>
      <c r="BK93" s="291"/>
      <c r="BL93" s="107"/>
      <c r="BM93" s="107"/>
      <c r="BN93" s="107"/>
      <c r="BO93" s="292"/>
      <c r="BP93" s="291"/>
      <c r="BQ93" s="107"/>
      <c r="BR93" s="107"/>
      <c r="BS93" s="107"/>
      <c r="BT93" s="292"/>
      <c r="BU93" s="291"/>
      <c r="BV93" s="107"/>
      <c r="BW93" s="107"/>
      <c r="BX93" s="107"/>
      <c r="BY93" s="292"/>
      <c r="BZ93" s="291"/>
      <c r="CA93" s="107"/>
      <c r="CB93" s="107"/>
      <c r="CC93" s="107"/>
      <c r="CD93" s="292"/>
      <c r="CE93" s="291"/>
      <c r="CF93" s="107"/>
      <c r="CG93" s="107"/>
      <c r="CH93" s="107"/>
      <c r="CI93" s="292"/>
      <c r="CJ93" s="291"/>
      <c r="CK93" s="107"/>
      <c r="CL93" s="107"/>
      <c r="CM93" s="107"/>
      <c r="CN93" s="292"/>
      <c r="CO93" s="291"/>
      <c r="CP93" s="107"/>
      <c r="CQ93" s="107"/>
      <c r="CR93" s="107"/>
      <c r="CS93" s="292"/>
      <c r="CT93" s="291"/>
      <c r="CU93" s="107"/>
      <c r="CV93" s="107"/>
      <c r="CW93" s="107"/>
      <c r="CX93" s="293"/>
      <c r="CY93" s="291"/>
      <c r="CZ93" s="107"/>
      <c r="DA93" s="107"/>
      <c r="DB93" s="107"/>
      <c r="DC93" s="293"/>
      <c r="DD93" s="291"/>
      <c r="DE93" s="107"/>
      <c r="DF93" s="107"/>
      <c r="DG93" s="107"/>
      <c r="DH93" s="293"/>
      <c r="DI93" s="291"/>
      <c r="DJ93" s="107"/>
      <c r="DK93" s="107"/>
      <c r="DL93" s="107"/>
      <c r="DM93" s="293"/>
      <c r="DN93" s="291"/>
      <c r="DO93" s="107"/>
      <c r="DP93" s="107"/>
      <c r="DQ93" s="107"/>
      <c r="DR93" s="293"/>
      <c r="DS93" s="291"/>
      <c r="DT93" s="107"/>
      <c r="DU93" s="107"/>
      <c r="DV93" s="107"/>
      <c r="DW93" s="293"/>
      <c r="DX93" s="291"/>
      <c r="DY93" s="107"/>
      <c r="DZ93" s="107"/>
      <c r="EA93" s="107"/>
      <c r="EB93" s="293"/>
      <c r="EC93" s="291"/>
      <c r="ED93" s="107"/>
      <c r="EE93" s="107"/>
      <c r="EF93" s="107"/>
      <c r="EG93" s="293"/>
      <c r="EH93" s="291"/>
      <c r="EI93" s="107"/>
      <c r="EJ93" s="107"/>
      <c r="EK93" s="107"/>
      <c r="EL93" s="293"/>
      <c r="EM93" s="291"/>
      <c r="EN93" s="107">
        <f>EN90/EM90-1</f>
      </c>
      <c r="EO93" s="107">
        <f>EO90/EN90-1</f>
      </c>
      <c r="EP93" s="107">
        <f>EP90/EO90-1</f>
      </c>
      <c r="EQ93" s="293"/>
      <c r="ER93" s="291">
        <f>ER90/EP90-1</f>
      </c>
      <c r="ES93" s="107">
        <f>ES90/ER90-1</f>
      </c>
      <c r="ET93" s="107">
        <f>ET90/ES90-1</f>
      </c>
      <c r="EU93" s="107">
        <f>EU90/ET90-1</f>
      </c>
      <c r="EV93" s="293"/>
      <c r="EW93" s="291">
        <f>EW90/EU90-1</f>
      </c>
      <c r="EX93" s="107">
        <f>EX90/EW90-1</f>
      </c>
      <c r="EY93" s="107">
        <f>EY90/EX90-1</f>
      </c>
      <c r="EZ93" s="107">
        <f>EZ90/EY90-1</f>
      </c>
      <c r="FA93" s="293"/>
      <c r="FB93" s="291">
        <f>FB90/EZ90-1</f>
      </c>
      <c r="FC93" s="107">
        <f>FC90/FB90-1</f>
      </c>
      <c r="FD93" s="107">
        <f>FD90/FC90-1</f>
      </c>
      <c r="FE93" s="107">
        <f>FE90/FD90-1</f>
      </c>
      <c r="FF93" s="293"/>
      <c r="FG93" s="291">
        <f>FG90/FE90-1</f>
      </c>
      <c r="FH93" s="107">
        <f>FH90/FG90-1</f>
      </c>
      <c r="FI93" s="107">
        <f>FI90/FH90-1</f>
      </c>
      <c r="FJ93" s="107">
        <f>FJ90/FI90-1</f>
      </c>
      <c r="FK93" s="293"/>
      <c r="FL93" s="291">
        <f>FL90/FJ90-1</f>
      </c>
      <c r="FM93" s="107">
        <f>FM90/FL90-1</f>
      </c>
      <c r="FN93" s="107">
        <f>FN90/FM90-1</f>
      </c>
      <c r="FO93" s="107">
        <f>FO90/FN90-1</f>
      </c>
      <c r="FP93" s="293"/>
      <c r="FQ93" s="291">
        <f>FQ90/FO90-1</f>
      </c>
      <c r="FR93" s="107">
        <f>FR90/FQ90-1</f>
      </c>
      <c r="FS93" s="107">
        <f>FS90/FR90-1</f>
      </c>
      <c r="FT93" s="107">
        <f>FT90/FS90-1</f>
      </c>
      <c r="FU93" s="293"/>
      <c r="FV93" s="291">
        <f>FV90/FT90-1</f>
      </c>
      <c r="FW93" s="107">
        <f>FW90/FV90-1</f>
      </c>
      <c r="FX93" s="107">
        <f>FX90/FW90-1</f>
      </c>
      <c r="FY93" s="107">
        <f>FY90/FX90-1</f>
      </c>
      <c r="FZ93" s="293"/>
      <c r="GA93" s="291">
        <f>GA90/FY90-1</f>
      </c>
      <c r="GB93" s="107">
        <f>GB90/GA90-1</f>
      </c>
      <c r="GC93" s="107">
        <f>GC90/GB90-1</f>
      </c>
      <c r="GD93" s="107">
        <f>GD90/GC90-1</f>
      </c>
      <c r="GE93" s="293"/>
      <c r="GF93" s="291">
        <f>GF90/GD90-1</f>
      </c>
      <c r="GG93" s="107">
        <f>GG90/GF90-1</f>
      </c>
      <c r="GH93" s="107">
        <f>GH90/GG90-1</f>
      </c>
      <c r="GI93" s="107">
        <f>GI90/GH90-1</f>
      </c>
      <c r="GJ93" s="382"/>
    </row>
    <row r="94" spans="1:192" ht="12.75" customHeight="1">
      <c r="B94" s="735" t="s">
        <v>243</v>
      </c>
      <c r="C94" s="291"/>
      <c r="D94" s="107"/>
      <c r="E94" s="107"/>
      <c r="F94" s="107"/>
      <c r="G94" s="292"/>
      <c r="H94" s="291"/>
      <c r="I94" s="107"/>
      <c r="J94" s="107"/>
      <c r="K94" s="107"/>
      <c r="L94" s="292"/>
      <c r="M94" s="291"/>
      <c r="N94" s="107"/>
      <c r="O94" s="107"/>
      <c r="P94" s="107"/>
      <c r="Q94" s="292"/>
      <c r="R94" s="291"/>
      <c r="S94" s="107"/>
      <c r="T94" s="107"/>
      <c r="U94" s="107"/>
      <c r="V94" s="292"/>
      <c r="W94" s="291"/>
      <c r="X94" s="107"/>
      <c r="Y94" s="107"/>
      <c r="Z94" s="107"/>
      <c r="AA94" s="292"/>
      <c r="AB94" s="291"/>
      <c r="AC94" s="107"/>
      <c r="AD94" s="107"/>
      <c r="AE94" s="107"/>
      <c r="AF94" s="292"/>
      <c r="AG94" s="291"/>
      <c r="AH94" s="107"/>
      <c r="AI94" s="107"/>
      <c r="AJ94" s="107"/>
      <c r="AK94" s="292"/>
      <c r="AL94" s="291"/>
      <c r="AM94" s="107"/>
      <c r="AN94" s="107"/>
      <c r="AO94" s="107"/>
      <c r="AP94" s="292"/>
      <c r="AQ94" s="291"/>
      <c r="AR94" s="107"/>
      <c r="AS94" s="107"/>
      <c r="AT94" s="107"/>
      <c r="AU94" s="292"/>
      <c r="AV94" s="291"/>
      <c r="AW94" s="107"/>
      <c r="AX94" s="107"/>
      <c r="AY94" s="107"/>
      <c r="AZ94" s="292"/>
      <c r="BA94" s="291"/>
      <c r="BB94" s="107"/>
      <c r="BC94" s="107"/>
      <c r="BD94" s="107"/>
      <c r="BE94" s="292"/>
      <c r="BF94" s="291"/>
      <c r="BG94" s="107"/>
      <c r="BH94" s="107"/>
      <c r="BI94" s="107"/>
      <c r="BJ94" s="292"/>
      <c r="BK94" s="291"/>
      <c r="BL94" s="107"/>
      <c r="BM94" s="107"/>
      <c r="BN94" s="107"/>
      <c r="BO94" s="292"/>
      <c r="BP94" s="291"/>
      <c r="BQ94" s="107"/>
      <c r="BR94" s="107"/>
      <c r="BS94" s="107"/>
      <c r="BT94" s="292"/>
      <c r="BU94" s="291"/>
      <c r="BV94" s="107"/>
      <c r="BW94" s="107"/>
      <c r="BX94" s="107"/>
      <c r="BY94" s="292"/>
      <c r="BZ94" s="291"/>
      <c r="CA94" s="107"/>
      <c r="CB94" s="107"/>
      <c r="CC94" s="107"/>
      <c r="CD94" s="292"/>
      <c r="CE94" s="291"/>
      <c r="CF94" s="107"/>
      <c r="CG94" s="107"/>
      <c r="CH94" s="107"/>
      <c r="CI94" s="292"/>
      <c r="CJ94" s="291"/>
      <c r="CK94" s="107"/>
      <c r="CL94" s="107"/>
      <c r="CM94" s="107"/>
      <c r="CN94" s="292"/>
      <c r="CO94" s="291"/>
      <c r="CP94" s="107"/>
      <c r="CQ94" s="107"/>
      <c r="CR94" s="107"/>
      <c r="CS94" s="292"/>
      <c r="CT94" s="447"/>
      <c r="CU94" s="447"/>
      <c r="CV94" s="447"/>
      <c r="CW94" s="447"/>
      <c r="CX94" s="462"/>
      <c r="CY94" s="447"/>
      <c r="CZ94" s="447"/>
      <c r="DA94" s="447"/>
      <c r="DB94" s="447"/>
      <c r="DC94" s="462"/>
      <c r="DD94" s="448"/>
      <c r="DE94" s="447"/>
      <c r="DF94" s="447"/>
      <c r="DG94" s="447"/>
      <c r="DH94" s="462"/>
      <c r="DI94" s="447"/>
      <c r="DJ94" s="447"/>
      <c r="DK94" s="447"/>
      <c r="DL94" s="447"/>
      <c r="DM94" s="462"/>
      <c r="DN94" s="447"/>
      <c r="DO94" s="447"/>
      <c r="DP94" s="447"/>
      <c r="DQ94" s="447"/>
      <c r="DR94" s="462"/>
      <c r="DS94" s="447"/>
      <c r="DT94" s="447"/>
      <c r="DU94" s="447"/>
      <c r="DV94" s="447"/>
      <c r="DW94" s="462"/>
      <c r="DX94" s="447"/>
      <c r="DY94" s="447"/>
      <c r="DZ94" s="447"/>
      <c r="EA94" s="447"/>
      <c r="EB94" s="462"/>
      <c r="EC94" s="447"/>
      <c r="ED94" s="447"/>
      <c r="EE94" s="447"/>
      <c r="EF94" s="447"/>
      <c r="EG94" s="462"/>
      <c r="EH94" s="447"/>
      <c r="EI94" s="447"/>
      <c r="EJ94" s="447"/>
      <c r="EK94" s="447"/>
      <c r="EL94" s="462"/>
      <c r="EM94" s="447"/>
      <c r="EN94" s="447"/>
      <c r="EO94" s="447"/>
      <c r="EP94" s="447"/>
      <c r="EQ94" s="462"/>
      <c r="ER94" s="447">
        <f t="shared" ref="ER94:GE94" si="76">ER90-EM90</f>
      </c>
      <c r="ES94" s="447">
        <f t="shared" si="76"/>
      </c>
      <c r="ET94" s="447">
        <f t="shared" si="76"/>
      </c>
      <c r="EU94" s="447">
        <f t="shared" si="76"/>
      </c>
      <c r="EV94" s="462">
        <f t="shared" si="76"/>
      </c>
      <c r="EW94" s="447">
        <f t="shared" si="76"/>
      </c>
      <c r="EX94" s="447">
        <f t="shared" si="76"/>
      </c>
      <c r="EY94" s="447">
        <f t="shared" si="76"/>
      </c>
      <c r="EZ94" s="447">
        <f t="shared" si="76"/>
      </c>
      <c r="FA94" s="462">
        <f t="shared" si="76"/>
      </c>
      <c r="FB94" s="447">
        <f t="shared" si="76"/>
      </c>
      <c r="FC94" s="447">
        <f t="shared" si="76"/>
      </c>
      <c r="FD94" s="447">
        <f t="shared" si="76"/>
      </c>
      <c r="FE94" s="447">
        <f t="shared" si="76"/>
      </c>
      <c r="FF94" s="462">
        <f t="shared" si="76"/>
      </c>
      <c r="FG94" s="447">
        <f t="shared" si="76"/>
      </c>
      <c r="FH94" s="447">
        <f t="shared" si="76"/>
      </c>
      <c r="FI94" s="447">
        <f t="shared" si="76"/>
      </c>
      <c r="FJ94" s="447">
        <f t="shared" si="76"/>
      </c>
      <c r="FK94" s="462">
        <f t="shared" si="76"/>
      </c>
      <c r="FL94" s="447">
        <f t="shared" si="76"/>
      </c>
      <c r="FM94" s="447">
        <f t="shared" si="76"/>
      </c>
      <c r="FN94" s="447">
        <f t="shared" si="76"/>
      </c>
      <c r="FO94" s="447">
        <f t="shared" si="76"/>
      </c>
      <c r="FP94" s="462">
        <f t="shared" si="76"/>
      </c>
      <c r="FQ94" s="447">
        <f t="shared" si="76"/>
      </c>
      <c r="FR94" s="447">
        <f t="shared" si="76"/>
      </c>
      <c r="FS94" s="447">
        <f t="shared" si="76"/>
      </c>
      <c r="FT94" s="447">
        <f t="shared" si="76"/>
      </c>
      <c r="FU94" s="462">
        <f t="shared" si="76"/>
      </c>
      <c r="FV94" s="447">
        <f t="shared" si="76"/>
      </c>
      <c r="FW94" s="447">
        <f t="shared" si="76"/>
      </c>
      <c r="FX94" s="447">
        <f t="shared" si="76"/>
      </c>
      <c r="FY94" s="447">
        <f t="shared" si="76"/>
      </c>
      <c r="FZ94" s="462">
        <f t="shared" si="76"/>
      </c>
      <c r="GA94" s="447">
        <f t="shared" si="76"/>
      </c>
      <c r="GB94" s="447">
        <f t="shared" si="76"/>
      </c>
      <c r="GC94" s="447">
        <f t="shared" si="76"/>
      </c>
      <c r="GD94" s="447">
        <f t="shared" si="76"/>
      </c>
      <c r="GE94" s="462">
        <f t="shared" si="76"/>
      </c>
      <c r="GF94" s="447">
        <f t="shared" ref="GF94" si="77">GF90-GA90</f>
      </c>
      <c r="GG94" s="447">
        <f t="shared" ref="GG94" si="78">GG90-GB90</f>
      </c>
      <c r="GH94" s="447">
        <f t="shared" ref="GH94" si="79">GH90-GC90</f>
      </c>
      <c r="GI94" s="447">
        <f t="shared" ref="GI94" si="80">GI90-GD90</f>
      </c>
      <c r="GJ94" s="497">
        <f t="shared" ref="GJ94" si="81">GJ90-GE90</f>
      </c>
    </row>
    <row r="95" spans="1:192" ht="12.75" customHeight="1">
      <c r="B95" s="735" t="s">
        <v>244</v>
      </c>
      <c r="C95" s="291"/>
      <c r="D95" s="107"/>
      <c r="E95" s="107"/>
      <c r="F95" s="107"/>
      <c r="G95" s="292"/>
      <c r="H95" s="291"/>
      <c r="I95" s="107"/>
      <c r="J95" s="107"/>
      <c r="K95" s="107"/>
      <c r="L95" s="292"/>
      <c r="M95" s="291"/>
      <c r="N95" s="107"/>
      <c r="O95" s="107"/>
      <c r="P95" s="107"/>
      <c r="Q95" s="292"/>
      <c r="R95" s="291"/>
      <c r="S95" s="107"/>
      <c r="T95" s="107"/>
      <c r="U95" s="107"/>
      <c r="V95" s="292"/>
      <c r="W95" s="291"/>
      <c r="X95" s="107"/>
      <c r="Y95" s="107"/>
      <c r="Z95" s="107"/>
      <c r="AA95" s="292"/>
      <c r="AB95" s="291"/>
      <c r="AC95" s="107"/>
      <c r="AD95" s="107"/>
      <c r="AE95" s="107"/>
      <c r="AF95" s="292"/>
      <c r="AG95" s="291"/>
      <c r="AH95" s="107"/>
      <c r="AI95" s="107"/>
      <c r="AJ95" s="107"/>
      <c r="AK95" s="292"/>
      <c r="AL95" s="291"/>
      <c r="AM95" s="107"/>
      <c r="AN95" s="107"/>
      <c r="AO95" s="107"/>
      <c r="AP95" s="292"/>
      <c r="AQ95" s="291"/>
      <c r="AR95" s="107"/>
      <c r="AS95" s="107"/>
      <c r="AT95" s="107"/>
      <c r="AU95" s="292"/>
      <c r="AV95" s="291"/>
      <c r="AW95" s="107"/>
      <c r="AX95" s="107"/>
      <c r="AY95" s="107"/>
      <c r="AZ95" s="292"/>
      <c r="BA95" s="291"/>
      <c r="BB95" s="107"/>
      <c r="BC95" s="107"/>
      <c r="BD95" s="107"/>
      <c r="BE95" s="292"/>
      <c r="BF95" s="291"/>
      <c r="BG95" s="107"/>
      <c r="BH95" s="107"/>
      <c r="BI95" s="107"/>
      <c r="BJ95" s="292"/>
      <c r="BK95" s="291"/>
      <c r="BL95" s="107"/>
      <c r="BM95" s="107"/>
      <c r="BN95" s="107"/>
      <c r="BO95" s="292"/>
      <c r="BP95" s="291"/>
      <c r="BQ95" s="107"/>
      <c r="BR95" s="107"/>
      <c r="BS95" s="107"/>
      <c r="BT95" s="292"/>
      <c r="BU95" s="291"/>
      <c r="BV95" s="107"/>
      <c r="BW95" s="107"/>
      <c r="BX95" s="107"/>
      <c r="BY95" s="292"/>
      <c r="BZ95" s="291"/>
      <c r="CA95" s="107"/>
      <c r="CB95" s="107"/>
      <c r="CC95" s="107"/>
      <c r="CD95" s="292"/>
      <c r="CE95" s="291"/>
      <c r="CF95" s="107"/>
      <c r="CG95" s="107"/>
      <c r="CH95" s="107"/>
      <c r="CI95" s="292"/>
      <c r="CJ95" s="291"/>
      <c r="CK95" s="107"/>
      <c r="CL95" s="107"/>
      <c r="CM95" s="107"/>
      <c r="CN95" s="292"/>
      <c r="CO95" s="291"/>
      <c r="CP95" s="107"/>
      <c r="CQ95" s="107"/>
      <c r="CR95" s="107"/>
      <c r="CS95" s="292"/>
      <c r="CT95" s="447"/>
      <c r="CU95" s="447"/>
      <c r="CV95" s="447"/>
      <c r="CW95" s="447"/>
      <c r="CX95" s="462"/>
      <c r="CY95" s="447"/>
      <c r="CZ95" s="447"/>
      <c r="DA95" s="447"/>
      <c r="DB95" s="447"/>
      <c r="DC95" s="462"/>
      <c r="DD95" s="447"/>
      <c r="DE95" s="447"/>
      <c r="DF95" s="447"/>
      <c r="DG95" s="447"/>
      <c r="DH95" s="462"/>
      <c r="DI95" s="447"/>
      <c r="DJ95" s="447"/>
      <c r="DK95" s="447"/>
      <c r="DL95" s="447"/>
      <c r="DM95" s="462"/>
      <c r="DN95" s="447"/>
      <c r="DO95" s="447"/>
      <c r="DP95" s="447"/>
      <c r="DQ95" s="447"/>
      <c r="DR95" s="462"/>
      <c r="DS95" s="447"/>
      <c r="DT95" s="447"/>
      <c r="DU95" s="447"/>
      <c r="DV95" s="447"/>
      <c r="DW95" s="462"/>
      <c r="DX95" s="447"/>
      <c r="DY95" s="447"/>
      <c r="DZ95" s="447"/>
      <c r="EA95" s="447"/>
      <c r="EB95" s="462"/>
      <c r="EC95" s="447"/>
      <c r="ED95" s="447"/>
      <c r="EE95" s="447"/>
      <c r="EF95" s="447"/>
      <c r="EG95" s="462"/>
      <c r="EH95" s="447"/>
      <c r="EI95" s="447"/>
      <c r="EJ95" s="447"/>
      <c r="EK95" s="447"/>
      <c r="EL95" s="462"/>
      <c r="EM95" s="447"/>
      <c r="EN95" s="447">
        <f>EN90-EM90</f>
      </c>
      <c r="EO95" s="447">
        <f>EO90-EN90</f>
      </c>
      <c r="EP95" s="447">
        <f>EP90-EO90</f>
      </c>
      <c r="EQ95" s="462"/>
      <c r="ER95" s="447">
        <f>ER90-EP90</f>
      </c>
      <c r="ES95" s="447">
        <f>ES90-ER90</f>
      </c>
      <c r="ET95" s="447">
        <f>ET90-ES90</f>
      </c>
      <c r="EU95" s="447">
        <f>EU90-ET90</f>
      </c>
      <c r="EV95" s="462"/>
      <c r="EW95" s="447">
        <f>EW90-EU90</f>
      </c>
      <c r="EX95" s="447">
        <f>EX90-EW90</f>
      </c>
      <c r="EY95" s="447">
        <f>EY90-EX90</f>
      </c>
      <c r="EZ95" s="447">
        <f>EZ90-EY90</f>
      </c>
      <c r="FA95" s="462"/>
      <c r="FB95" s="447">
        <f>FB90-EZ90</f>
      </c>
      <c r="FC95" s="447">
        <f>FC90-FB90</f>
      </c>
      <c r="FD95" s="447">
        <f>FD90-FC90</f>
      </c>
      <c r="FE95" s="447">
        <f>FE90-FD90</f>
      </c>
      <c r="FF95" s="462"/>
      <c r="FG95" s="447">
        <f>FG90-FE90</f>
      </c>
      <c r="FH95" s="447">
        <f>FH90-FG90</f>
      </c>
      <c r="FI95" s="447">
        <f>FI90-FH90</f>
      </c>
      <c r="FJ95" s="447">
        <f>FJ90-FI90</f>
      </c>
      <c r="FK95" s="462"/>
      <c r="FL95" s="447">
        <f>FL90-FJ90</f>
      </c>
      <c r="FM95" s="447">
        <f>FM90-FL90</f>
      </c>
      <c r="FN95" s="447">
        <f>FN90-FM90</f>
      </c>
      <c r="FO95" s="447">
        <f>FO90-FN90</f>
      </c>
      <c r="FP95" s="462"/>
      <c r="FQ95" s="447">
        <f>FQ90-FO90</f>
      </c>
      <c r="FR95" s="447">
        <f>FR90-FQ90</f>
      </c>
      <c r="FS95" s="447">
        <f>FS90-FR90</f>
      </c>
      <c r="FT95" s="447">
        <f>FT90-FS90</f>
      </c>
      <c r="FU95" s="462"/>
      <c r="FV95" s="447">
        <f>FV90-FT90</f>
      </c>
      <c r="FW95" s="447">
        <f>FW90-FV90</f>
      </c>
      <c r="FX95" s="447">
        <f>FX90-FW90</f>
      </c>
      <c r="FY95" s="447">
        <f>FY90-FX90</f>
      </c>
      <c r="FZ95" s="462"/>
      <c r="GA95" s="447">
        <f>GA90-FY90</f>
      </c>
      <c r="GB95" s="447">
        <f>GB90-GA90</f>
      </c>
      <c r="GC95" s="447">
        <f>GC90-GB90</f>
      </c>
      <c r="GD95" s="447">
        <f>GD90-GC90</f>
      </c>
      <c r="GE95" s="462"/>
      <c r="GF95" s="447">
        <f>GF90-GD90</f>
      </c>
      <c r="GG95" s="447">
        <f>GG90-GF90</f>
      </c>
      <c r="GH95" s="447">
        <f>GH90-GG90</f>
      </c>
      <c r="GI95" s="447">
        <f>GI90-GH90</f>
      </c>
      <c r="GJ95" s="497"/>
    </row>
    <row r="96" spans="1:192" ht="12.75" customHeight="1">
      <c r="B96" s="735" t="s">
        <v>207</v>
      </c>
      <c r="C96" s="291"/>
      <c r="D96" s="107"/>
      <c r="E96" s="107"/>
      <c r="F96" s="107"/>
      <c r="G96" s="292"/>
      <c r="H96" s="291"/>
      <c r="I96" s="107"/>
      <c r="J96" s="107"/>
      <c r="K96" s="107"/>
      <c r="L96" s="292"/>
      <c r="M96" s="291"/>
      <c r="N96" s="107"/>
      <c r="O96" s="107"/>
      <c r="P96" s="107"/>
      <c r="Q96" s="292"/>
      <c r="R96" s="291"/>
      <c r="S96" s="107"/>
      <c r="T96" s="107"/>
      <c r="U96" s="107"/>
      <c r="V96" s="292"/>
      <c r="W96" s="291"/>
      <c r="X96" s="107"/>
      <c r="Y96" s="107"/>
      <c r="Z96" s="107"/>
      <c r="AA96" s="292"/>
      <c r="AB96" s="291"/>
      <c r="AC96" s="107"/>
      <c r="AD96" s="107"/>
      <c r="AE96" s="107"/>
      <c r="AF96" s="292"/>
      <c r="AG96" s="291"/>
      <c r="AH96" s="107"/>
      <c r="AI96" s="107"/>
      <c r="AJ96" s="107"/>
      <c r="AK96" s="292"/>
      <c r="AL96" s="291"/>
      <c r="AM96" s="107"/>
      <c r="AN96" s="107"/>
      <c r="AO96" s="107"/>
      <c r="AP96" s="292"/>
      <c r="AQ96" s="291"/>
      <c r="AR96" s="107"/>
      <c r="AS96" s="107"/>
      <c r="AT96" s="107"/>
      <c r="AU96" s="292"/>
      <c r="AV96" s="291"/>
      <c r="AW96" s="107"/>
      <c r="AX96" s="107"/>
      <c r="AY96" s="107"/>
      <c r="AZ96" s="292"/>
      <c r="BA96" s="291"/>
      <c r="BB96" s="107"/>
      <c r="BC96" s="107"/>
      <c r="BD96" s="107"/>
      <c r="BE96" s="292"/>
      <c r="BF96" s="291"/>
      <c r="BG96" s="107"/>
      <c r="BH96" s="107"/>
      <c r="BI96" s="107"/>
      <c r="BJ96" s="292"/>
      <c r="BK96" s="291"/>
      <c r="BL96" s="107"/>
      <c r="BM96" s="107"/>
      <c r="BN96" s="107"/>
      <c r="BO96" s="292"/>
      <c r="BP96" s="291"/>
      <c r="BQ96" s="107"/>
      <c r="BR96" s="107"/>
      <c r="BS96" s="107"/>
      <c r="BT96" s="292"/>
      <c r="BU96" s="291"/>
      <c r="BV96" s="107"/>
      <c r="BW96" s="107"/>
      <c r="BX96" s="107"/>
      <c r="BY96" s="292"/>
      <c r="BZ96" s="291"/>
      <c r="CA96" s="107"/>
      <c r="CB96" s="107"/>
      <c r="CC96" s="107"/>
      <c r="CD96" s="292"/>
      <c r="CE96" s="291"/>
      <c r="CF96" s="107"/>
      <c r="CG96" s="107"/>
      <c r="CH96" s="107"/>
      <c r="CI96" s="292"/>
      <c r="CJ96" s="291"/>
      <c r="CK96" s="107"/>
      <c r="CL96" s="107"/>
      <c r="CM96" s="107"/>
      <c r="CN96" s="292"/>
      <c r="CO96" s="291"/>
      <c r="CP96" s="107"/>
      <c r="CQ96" s="107"/>
      <c r="CR96" s="107"/>
      <c r="CS96" s="292"/>
      <c r="CT96" s="291"/>
      <c r="CU96" s="107"/>
      <c r="CV96" s="107"/>
      <c r="CW96" s="291"/>
      <c r="CX96" s="292"/>
      <c r="CY96" s="291"/>
      <c r="CZ96" s="107"/>
      <c r="DA96" s="107"/>
      <c r="DB96" s="291"/>
      <c r="DC96" s="292"/>
      <c r="DD96" s="291"/>
      <c r="DE96" s="107"/>
      <c r="DF96" s="107"/>
      <c r="DG96" s="291"/>
      <c r="DH96" s="292"/>
      <c r="DI96" s="291"/>
      <c r="DJ96" s="107"/>
      <c r="DK96" s="107"/>
      <c r="DL96" s="291"/>
      <c r="DM96" s="292"/>
      <c r="DN96" s="291"/>
      <c r="DO96" s="107"/>
      <c r="DP96" s="107"/>
      <c r="DQ96" s="291"/>
      <c r="DR96" s="292"/>
      <c r="DS96" s="291"/>
      <c r="DT96" s="107"/>
      <c r="DU96" s="107"/>
      <c r="DV96" s="291"/>
      <c r="DW96" s="292"/>
      <c r="DX96" s="291"/>
      <c r="DY96" s="107"/>
      <c r="DZ96" s="107"/>
      <c r="EA96" s="291"/>
      <c r="EB96" s="292"/>
      <c r="EC96" s="291"/>
      <c r="ED96" s="107"/>
      <c r="EE96" s="107"/>
      <c r="EF96" s="291"/>
      <c r="EG96" s="292"/>
      <c r="EH96" s="291"/>
      <c r="EI96" s="107"/>
      <c r="EJ96" s="107"/>
      <c r="EK96" s="291"/>
      <c r="EL96" s="292"/>
      <c r="EM96" s="291">
        <f t="shared" ref="EM96:EV96" si="82">EM90/EM$10</f>
      </c>
      <c r="EN96" s="107">
        <f t="shared" si="82"/>
      </c>
      <c r="EO96" s="107">
        <f t="shared" si="82"/>
      </c>
      <c r="EP96" s="291">
        <f t="shared" si="82"/>
      </c>
      <c r="EQ96" s="292">
        <f t="shared" si="82"/>
      </c>
      <c r="ER96" s="291">
        <f t="shared" si="82"/>
      </c>
      <c r="ES96" s="107">
        <f t="shared" si="82"/>
      </c>
      <c r="ET96" s="107">
        <f t="shared" si="82"/>
      </c>
      <c r="EU96" s="291">
        <f t="shared" si="82"/>
      </c>
      <c r="EV96" s="292">
        <f t="shared" si="82"/>
      </c>
      <c r="EW96" s="291">
        <f t="shared" ref="EW96:FA96" si="83">EW90/EW$10</f>
      </c>
      <c r="EX96" s="107">
        <f t="shared" si="83"/>
      </c>
      <c r="EY96" s="107">
        <f t="shared" si="83"/>
      </c>
      <c r="EZ96" s="291">
        <f t="shared" si="83"/>
      </c>
      <c r="FA96" s="292">
        <f t="shared" si="83"/>
      </c>
      <c r="FB96" s="291">
        <f t="shared" ref="FB96:GE96" si="84">FB90/FB$10</f>
      </c>
      <c r="FC96" s="107">
        <f t="shared" si="84"/>
      </c>
      <c r="FD96" s="107">
        <f t="shared" si="84"/>
      </c>
      <c r="FE96" s="291">
        <f t="shared" si="84"/>
      </c>
      <c r="FF96" s="292">
        <f t="shared" si="84"/>
      </c>
      <c r="FG96" s="291">
        <f t="shared" si="84"/>
      </c>
      <c r="FH96" s="107">
        <f t="shared" si="84"/>
      </c>
      <c r="FI96" s="107">
        <f t="shared" si="84"/>
      </c>
      <c r="FJ96" s="291">
        <f t="shared" si="84"/>
      </c>
      <c r="FK96" s="292">
        <f t="shared" si="84"/>
      </c>
      <c r="FL96" s="291">
        <f t="shared" si="84"/>
      </c>
      <c r="FM96" s="107">
        <f t="shared" si="84"/>
      </c>
      <c r="FN96" s="107">
        <f t="shared" si="84"/>
      </c>
      <c r="FO96" s="291">
        <f t="shared" si="84"/>
      </c>
      <c r="FP96" s="292">
        <f t="shared" si="84"/>
      </c>
      <c r="FQ96" s="291">
        <f t="shared" si="84"/>
      </c>
      <c r="FR96" s="107">
        <f t="shared" si="84"/>
      </c>
      <c r="FS96" s="107">
        <f t="shared" si="84"/>
      </c>
      <c r="FT96" s="291">
        <f t="shared" si="84"/>
      </c>
      <c r="FU96" s="292">
        <f t="shared" si="84"/>
      </c>
      <c r="FV96" s="291">
        <f t="shared" si="84"/>
      </c>
      <c r="FW96" s="107">
        <f t="shared" si="84"/>
      </c>
      <c r="FX96" s="107">
        <f t="shared" si="84"/>
      </c>
      <c r="FY96" s="291">
        <f t="shared" si="84"/>
      </c>
      <c r="FZ96" s="292">
        <f t="shared" si="84"/>
      </c>
      <c r="GA96" s="291">
        <f t="shared" si="84"/>
      </c>
      <c r="GB96" s="107">
        <f t="shared" si="84"/>
      </c>
      <c r="GC96" s="107">
        <f t="shared" si="84"/>
      </c>
      <c r="GD96" s="107">
        <f t="shared" si="84"/>
      </c>
      <c r="GE96" s="292">
        <f t="shared" si="84"/>
      </c>
      <c r="GF96" s="291">
        <f t="shared" ref="GF96:GJ96" si="85">GF90/GF$10</f>
      </c>
      <c r="GG96" s="107">
        <f t="shared" si="85"/>
      </c>
      <c r="GH96" s="107">
        <f t="shared" si="85"/>
      </c>
      <c r="GI96" s="107">
        <f t="shared" si="85"/>
      </c>
      <c r="GJ96" s="384">
        <f t="shared" si="85"/>
      </c>
    </row>
    <row r="97" spans="1:192" ht="12.75" customHeight="1">
      <c r="B97" s="735"/>
      <c r="C97" s="291"/>
      <c r="D97" s="107"/>
      <c r="E97" s="107"/>
      <c r="F97" s="107"/>
      <c r="G97" s="292"/>
      <c r="H97" s="291"/>
      <c r="I97" s="107"/>
      <c r="J97" s="107"/>
      <c r="K97" s="107"/>
      <c r="L97" s="292"/>
      <c r="M97" s="291"/>
      <c r="N97" s="107"/>
      <c r="O97" s="107"/>
      <c r="P97" s="107"/>
      <c r="Q97" s="292"/>
      <c r="R97" s="291"/>
      <c r="S97" s="107"/>
      <c r="T97" s="107"/>
      <c r="U97" s="107"/>
      <c r="V97" s="292"/>
      <c r="W97" s="291"/>
      <c r="X97" s="107"/>
      <c r="Y97" s="107"/>
      <c r="Z97" s="107"/>
      <c r="AA97" s="292"/>
      <c r="AB97" s="291"/>
      <c r="AC97" s="107"/>
      <c r="AD97" s="107"/>
      <c r="AE97" s="107"/>
      <c r="AF97" s="292"/>
      <c r="AG97" s="291"/>
      <c r="AH97" s="107"/>
      <c r="AI97" s="107"/>
      <c r="AJ97" s="107"/>
      <c r="AK97" s="292"/>
      <c r="AL97" s="291"/>
      <c r="AM97" s="107"/>
      <c r="AN97" s="107"/>
      <c r="AO97" s="107"/>
      <c r="AP97" s="292"/>
      <c r="AQ97" s="291"/>
      <c r="AR97" s="107"/>
      <c r="AS97" s="107"/>
      <c r="AT97" s="107"/>
      <c r="AU97" s="292"/>
      <c r="AV97" s="291"/>
      <c r="AW97" s="107"/>
      <c r="AX97" s="107"/>
      <c r="AY97" s="107"/>
      <c r="AZ97" s="292"/>
      <c r="BA97" s="291"/>
      <c r="BB97" s="107"/>
      <c r="BC97" s="107"/>
      <c r="BD97" s="107"/>
      <c r="BE97" s="292"/>
      <c r="BF97" s="291"/>
      <c r="BG97" s="107"/>
      <c r="BH97" s="107"/>
      <c r="BI97" s="107"/>
      <c r="BJ97" s="292"/>
      <c r="BK97" s="291"/>
      <c r="BL97" s="107"/>
      <c r="BM97" s="107"/>
      <c r="BN97" s="107"/>
      <c r="BO97" s="292"/>
      <c r="BP97" s="291"/>
      <c r="BQ97" s="107"/>
      <c r="BR97" s="107"/>
      <c r="BS97" s="107"/>
      <c r="BT97" s="292"/>
      <c r="BU97" s="291"/>
      <c r="BV97" s="107"/>
      <c r="BW97" s="107"/>
      <c r="BX97" s="107"/>
      <c r="BY97" s="292"/>
      <c r="BZ97" s="291"/>
      <c r="CA97" s="107"/>
      <c r="CB97" s="107"/>
      <c r="CC97" s="107"/>
      <c r="CD97" s="292"/>
      <c r="CE97" s="291"/>
      <c r="CF97" s="107"/>
      <c r="CG97" s="107"/>
      <c r="CH97" s="107"/>
      <c r="CI97" s="292"/>
      <c r="CJ97" s="291"/>
      <c r="CK97" s="107"/>
      <c r="CL97" s="107"/>
      <c r="CM97" s="107"/>
      <c r="CN97" s="292"/>
      <c r="CO97" s="291"/>
      <c r="CP97" s="107"/>
      <c r="CQ97" s="107"/>
      <c r="CR97" s="107"/>
      <c r="CS97" s="292"/>
      <c r="CT97" s="291"/>
      <c r="CU97" s="107"/>
      <c r="CV97" s="107"/>
      <c r="CW97" s="291"/>
      <c r="CX97" s="292"/>
      <c r="CY97" s="291"/>
      <c r="CZ97" s="107"/>
      <c r="DA97" s="107"/>
      <c r="DB97" s="291"/>
      <c r="DC97" s="292"/>
      <c r="DD97" s="291"/>
      <c r="DE97" s="107"/>
      <c r="DF97" s="107"/>
      <c r="DG97" s="291"/>
      <c r="DH97" s="292"/>
      <c r="DI97" s="291"/>
      <c r="DJ97" s="107"/>
      <c r="DK97" s="107"/>
      <c r="DL97" s="291"/>
      <c r="DM97" s="292"/>
      <c r="DN97" s="291"/>
      <c r="DO97" s="107"/>
      <c r="DP97" s="107"/>
      <c r="DQ97" s="291"/>
      <c r="DR97" s="292"/>
      <c r="DS97" s="291"/>
      <c r="DT97" s="107"/>
      <c r="DU97" s="107"/>
      <c r="DV97" s="291"/>
      <c r="DW97" s="292"/>
      <c r="DX97" s="291"/>
      <c r="DY97" s="107"/>
      <c r="DZ97" s="107"/>
      <c r="EA97" s="291"/>
      <c r="EB97" s="292"/>
      <c r="EC97" s="291"/>
      <c r="ED97" s="107"/>
      <c r="EE97" s="107"/>
      <c r="EF97" s="291"/>
      <c r="EG97" s="292"/>
      <c r="EH97" s="291"/>
      <c r="EI97" s="107"/>
      <c r="EJ97" s="107"/>
      <c r="EK97" s="291"/>
      <c r="EL97" s="292"/>
      <c r="EM97" s="291"/>
      <c r="EN97" s="107"/>
      <c r="EO97" s="107"/>
      <c r="EP97" s="291"/>
      <c r="EQ97" s="292"/>
      <c r="ER97" s="291"/>
      <c r="ES97" s="107"/>
      <c r="ET97" s="107"/>
      <c r="EU97" s="291"/>
      <c r="EV97" s="292"/>
      <c r="EW97" s="291"/>
      <c r="EX97" s="107"/>
      <c r="EY97" s="107"/>
      <c r="EZ97" s="291"/>
      <c r="FA97" s="292"/>
      <c r="FB97" s="291"/>
      <c r="FC97" s="107"/>
      <c r="FD97" s="107"/>
      <c r="FE97" s="291"/>
      <c r="FF97" s="292"/>
      <c r="FG97" s="291"/>
      <c r="FH97" s="107"/>
      <c r="FI97" s="107"/>
      <c r="FJ97" s="291"/>
      <c r="FK97" s="292"/>
      <c r="FL97" s="291"/>
      <c r="FM97" s="107"/>
      <c r="FN97" s="107"/>
      <c r="FO97" s="291"/>
      <c r="FP97" s="292"/>
      <c r="FQ97" s="291"/>
      <c r="FR97" s="107"/>
      <c r="FS97" s="107"/>
      <c r="FT97" s="291"/>
      <c r="FU97" s="292"/>
      <c r="FV97" s="291"/>
      <c r="FW97" s="107"/>
      <c r="FX97" s="107"/>
      <c r="FY97" s="291"/>
      <c r="FZ97" s="292"/>
      <c r="GA97" s="291"/>
      <c r="GB97" s="107"/>
      <c r="GC97" s="107"/>
      <c r="GD97" s="107"/>
      <c r="GE97" s="292"/>
      <c r="GF97" s="291"/>
      <c r="GG97" s="107"/>
      <c r="GH97" s="107"/>
      <c r="GI97" s="107"/>
      <c r="GJ97" s="384"/>
    </row>
    <row r="98" spans="1:192" ht="12.75" customHeight="1">
      <c r="B98" s="740" t="s">
        <v>1951</v>
      </c>
      <c r="C98" s="298"/>
      <c r="D98" s="295"/>
      <c r="E98" s="295"/>
      <c r="F98" s="295"/>
      <c r="G98" s="296"/>
      <c r="H98" s="298"/>
      <c r="I98" s="295"/>
      <c r="J98" s="295"/>
      <c r="K98" s="295"/>
      <c r="L98" s="296"/>
      <c r="M98" s="298"/>
      <c r="N98" s="295"/>
      <c r="O98" s="295"/>
      <c r="P98" s="295"/>
      <c r="Q98" s="296"/>
      <c r="R98" s="298"/>
      <c r="S98" s="295"/>
      <c r="T98" s="295"/>
      <c r="U98" s="295"/>
      <c r="V98" s="296"/>
      <c r="W98" s="298"/>
      <c r="X98" s="295"/>
      <c r="Y98" s="295"/>
      <c r="Z98" s="295"/>
      <c r="AA98" s="296"/>
      <c r="AB98" s="298"/>
      <c r="AC98" s="295"/>
      <c r="AD98" s="295"/>
      <c r="AE98" s="295"/>
      <c r="AF98" s="296"/>
      <c r="AG98" s="298"/>
      <c r="AH98" s="295"/>
      <c r="AI98" s="295"/>
      <c r="AJ98" s="295"/>
      <c r="AK98" s="296"/>
      <c r="AL98" s="298"/>
      <c r="AM98" s="295"/>
      <c r="AN98" s="295"/>
      <c r="AO98" s="295"/>
      <c r="AP98" s="296"/>
      <c r="AQ98" s="298"/>
      <c r="AR98" s="295"/>
      <c r="AS98" s="295"/>
      <c r="AT98" s="295"/>
      <c r="AU98" s="296"/>
      <c r="AV98" s="298"/>
      <c r="AW98" s="295"/>
      <c r="AX98" s="295"/>
      <c r="AY98" s="295"/>
      <c r="AZ98" s="296"/>
      <c r="BA98" s="298"/>
      <c r="BB98" s="295"/>
      <c r="BC98" s="295"/>
      <c r="BD98" s="295"/>
      <c r="BE98" s="296"/>
      <c r="BF98" s="298"/>
      <c r="BG98" s="295"/>
      <c r="BH98" s="295"/>
      <c r="BI98" s="295"/>
      <c r="BJ98" s="296"/>
      <c r="BK98" s="298"/>
      <c r="BL98" s="295"/>
      <c r="BM98" s="295"/>
      <c r="BN98" s="295"/>
      <c r="BO98" s="296"/>
      <c r="BP98" s="298"/>
      <c r="BQ98" s="295"/>
      <c r="BR98" s="295"/>
      <c r="BS98" s="295"/>
      <c r="BT98" s="296"/>
      <c r="BU98" s="298"/>
      <c r="BV98" s="295"/>
      <c r="BW98" s="295"/>
      <c r="BX98" s="295"/>
      <c r="BY98" s="296"/>
      <c r="BZ98" s="298"/>
      <c r="CA98" s="295"/>
      <c r="CB98" s="295"/>
      <c r="CC98" s="295"/>
      <c r="CD98" s="296"/>
      <c r="CE98" s="298"/>
      <c r="CF98" s="295"/>
      <c r="CG98" s="295"/>
      <c r="CH98" s="295"/>
      <c r="CI98" s="296"/>
      <c r="CJ98" s="298"/>
      <c r="CK98" s="295"/>
      <c r="CL98" s="295"/>
      <c r="CM98" s="295"/>
      <c r="CN98" s="296"/>
      <c r="CO98" s="298"/>
      <c r="CP98" s="295"/>
      <c r="CQ98" s="295"/>
      <c r="CR98" s="295"/>
      <c r="CS98" s="296"/>
      <c r="CT98" s="298"/>
      <c r="CU98" s="295"/>
      <c r="CV98" s="295"/>
      <c r="CW98" s="295"/>
      <c r="CX98" s="296"/>
      <c r="CY98" s="298"/>
      <c r="CZ98" s="295"/>
      <c r="DA98" s="295"/>
      <c r="DB98" s="295"/>
      <c r="DC98" s="296"/>
      <c r="DD98" s="298"/>
      <c r="DE98" s="295"/>
      <c r="DF98" s="295"/>
      <c r="DG98" s="295"/>
      <c r="DH98" s="296"/>
      <c r="DI98" s="298"/>
      <c r="DJ98" s="295"/>
      <c r="DK98" s="295"/>
      <c r="DL98" s="295"/>
      <c r="DM98" s="296"/>
      <c r="DN98" s="298"/>
      <c r="DO98" s="295"/>
      <c r="DP98" s="295"/>
      <c r="DQ98" s="295"/>
      <c r="DR98" s="296"/>
      <c r="DS98" s="298"/>
      <c r="DT98" s="295"/>
      <c r="DU98" s="295"/>
      <c r="DV98" s="295"/>
      <c r="DW98" s="296"/>
      <c r="DX98" s="298"/>
      <c r="DY98" s="295"/>
      <c r="DZ98" s="295"/>
      <c r="EA98" s="295"/>
      <c r="EB98" s="296"/>
      <c r="EC98" s="298"/>
      <c r="ED98" s="295"/>
      <c r="EE98" s="295"/>
      <c r="EF98" s="295"/>
      <c r="EG98" s="296"/>
      <c r="EH98" s="298"/>
      <c r="EI98" s="295"/>
      <c r="EJ98" s="295"/>
      <c r="EK98" s="295"/>
      <c r="EL98" s="296"/>
      <c r="EM98" s="298"/>
      <c r="EN98" s="295"/>
      <c r="EO98" s="295"/>
      <c r="EP98" s="295"/>
      <c r="EQ98" s="296"/>
      <c r="ER98" s="298"/>
      <c r="ES98" s="295"/>
      <c r="ET98" s="295"/>
      <c r="EU98" s="295"/>
      <c r="EV98" s="296"/>
      <c r="EW98" s="298"/>
      <c r="EX98" s="295"/>
      <c r="EY98" s="295"/>
      <c r="EZ98" s="295"/>
      <c r="FA98" s="296"/>
      <c r="FB98" s="298"/>
      <c r="FC98" s="295"/>
      <c r="FD98" s="295"/>
      <c r="FE98" s="295"/>
      <c r="FF98" s="296"/>
      <c r="FG98" s="298"/>
      <c r="FH98" s="295"/>
      <c r="FI98" s="295"/>
      <c r="FJ98" s="295"/>
      <c r="FK98" s="296"/>
      <c r="FL98" s="298"/>
      <c r="FM98" s="295"/>
      <c r="FN98" s="295"/>
      <c r="FO98" s="295"/>
      <c r="FP98" s="296"/>
      <c r="FQ98" s="298"/>
      <c r="FR98" s="295"/>
      <c r="FS98" s="295"/>
      <c r="FT98" s="295"/>
      <c r="FU98" s="296"/>
      <c r="FV98" s="298"/>
      <c r="FW98" s="295"/>
      <c r="FX98" s="295"/>
      <c r="FY98" s="295"/>
      <c r="FZ98" s="296"/>
      <c r="GA98" s="298"/>
      <c r="GB98" s="295"/>
      <c r="GC98" s="295"/>
      <c r="GD98" s="295"/>
      <c r="GE98" s="296"/>
      <c r="GF98" s="298"/>
      <c r="GG98" s="295"/>
      <c r="GH98" s="295"/>
      <c r="GI98" s="295"/>
      <c r="GJ98" s="383"/>
    </row>
    <row r="99" spans="1:192" s="406" customFormat="1" ht="12.75" hidden="1" customHeight="1" outlineLevel="1">
      <c r="A99" s="797"/>
      <c r="B99" s="748" t="s">
        <v>1962</v>
      </c>
      <c r="C99" s="403"/>
      <c r="D99" s="404"/>
      <c r="E99" s="404"/>
      <c r="F99" s="404"/>
      <c r="G99" s="405"/>
      <c r="H99" s="403"/>
      <c r="I99" s="404"/>
      <c r="J99" s="404"/>
      <c r="K99" s="404"/>
      <c r="L99" s="405"/>
      <c r="M99" s="403"/>
      <c r="N99" s="404"/>
      <c r="O99" s="404"/>
      <c r="P99" s="404"/>
      <c r="Q99" s="405"/>
      <c r="R99" s="403"/>
      <c r="S99" s="404"/>
      <c r="T99" s="404"/>
      <c r="U99" s="404"/>
      <c r="V99" s="405"/>
      <c r="W99" s="403"/>
      <c r="X99" s="404"/>
      <c r="Y99" s="404"/>
      <c r="Z99" s="404"/>
      <c r="AA99" s="405"/>
      <c r="AB99" s="403"/>
      <c r="AC99" s="404"/>
      <c r="AD99" s="404"/>
      <c r="AE99" s="404"/>
      <c r="AF99" s="405"/>
      <c r="AG99" s="403"/>
      <c r="AH99" s="404"/>
      <c r="AI99" s="404"/>
      <c r="AJ99" s="404"/>
      <c r="AK99" s="405"/>
      <c r="AL99" s="403"/>
      <c r="AM99" s="404"/>
      <c r="AN99" s="404"/>
      <c r="AO99" s="404"/>
      <c r="AP99" s="405"/>
      <c r="AQ99" s="403"/>
      <c r="AR99" s="404"/>
      <c r="AS99" s="404"/>
      <c r="AT99" s="404"/>
      <c r="AU99" s="405"/>
      <c r="AV99" s="403"/>
      <c r="AW99" s="404"/>
      <c r="AX99" s="404"/>
      <c r="AY99" s="404"/>
      <c r="AZ99" s="405"/>
      <c r="BA99" s="403"/>
      <c r="BB99" s="404"/>
      <c r="BC99" s="404"/>
      <c r="BD99" s="404"/>
      <c r="BE99" s="405"/>
      <c r="BF99" s="403"/>
      <c r="BG99" s="404"/>
      <c r="BH99" s="404"/>
      <c r="BI99" s="404"/>
      <c r="BJ99" s="405"/>
      <c r="BK99" s="403"/>
      <c r="BL99" s="404"/>
      <c r="BM99" s="404"/>
      <c r="BN99" s="404"/>
      <c r="BO99" s="405"/>
      <c r="BP99" s="403"/>
      <c r="BQ99" s="404"/>
      <c r="BR99" s="404"/>
      <c r="BS99" s="404"/>
      <c r="BT99" s="405"/>
      <c r="BU99" s="403"/>
      <c r="BV99" s="404"/>
      <c r="BW99" s="404"/>
      <c r="BX99" s="404"/>
      <c r="BY99" s="405"/>
      <c r="BZ99" s="403"/>
      <c r="CA99" s="404"/>
      <c r="CB99" s="404"/>
      <c r="CC99" s="404"/>
      <c r="CD99" s="405"/>
      <c r="CE99" s="403"/>
      <c r="CF99" s="404"/>
      <c r="CG99" s="404"/>
      <c r="CH99" s="404"/>
      <c r="CI99" s="405"/>
      <c r="CJ99" s="403"/>
      <c r="CK99" s="404"/>
      <c r="CL99" s="404"/>
      <c r="CM99" s="404"/>
      <c r="CN99" s="405"/>
      <c r="CO99" s="403"/>
      <c r="CP99" s="404"/>
      <c r="CQ99" s="404"/>
      <c r="CR99" s="404"/>
      <c r="CS99" s="405"/>
      <c r="CT99" s="312">
        <f>CY99/(1+CY100)</f>
      </c>
      <c r="CU99" s="312">
        <f>CZ99/(1+CZ100)</f>
      </c>
      <c r="CV99" s="312">
        <f>DA99/(1+DA100)</f>
      </c>
      <c r="CW99" s="312">
        <f>DB99/(1+DB100)</f>
      </c>
      <c r="CX99" s="456">
        <f>SUM(CT99:CW99)</f>
      </c>
      <c r="CY99" s="312">
        <f>DD99/(1+DD100)</f>
      </c>
      <c r="CZ99" s="312">
        <f>DE99/(1+DE100)</f>
      </c>
      <c r="DA99" s="312">
        <f>DF99/(1+DF100)</f>
      </c>
      <c r="DB99" s="312">
        <f>DG99/(1+DG100)</f>
      </c>
      <c r="DC99" s="456">
        <f>SUM(CY99:DB99)</f>
      </c>
      <c r="DD99" s="312">
        <f>DI99/(1+DI100)</f>
      </c>
      <c r="DE99" s="312">
        <f>DJ99/(1+DJ100)</f>
      </c>
      <c r="DF99" s="312">
        <f>DK99/(1+DK100)</f>
      </c>
      <c r="DG99" s="312">
        <f>DL99/(1+DL100)</f>
      </c>
      <c r="DH99" s="457">
        <v>19062</v>
      </c>
      <c r="DI99" s="316">
        <v>4689</v>
      </c>
      <c r="DJ99" s="316">
        <v>5332</v>
      </c>
      <c r="DK99" s="316">
        <v>5297</v>
      </c>
      <c r="DL99" s="312">
        <f>DM99-DK99-DJ99-DI99</f>
      </c>
      <c r="DM99" s="457">
        <v>21649</v>
      </c>
      <c r="DN99" s="316">
        <v>5496</v>
      </c>
      <c r="DO99" s="316">
        <v>6299</v>
      </c>
      <c r="DP99" s="316">
        <v>6343</v>
      </c>
      <c r="DQ99" s="312">
        <f>DR99-DP99-DO99-DN99</f>
      </c>
      <c r="DR99" s="457">
        <v>26129</v>
      </c>
      <c r="DS99" s="316">
        <v>7058</v>
      </c>
      <c r="DT99" s="316">
        <v>7791</v>
      </c>
      <c r="DU99" s="316">
        <v>8053</v>
      </c>
      <c r="DV99" s="312">
        <f>DW99-DU99-DT99-DS99</f>
      </c>
      <c r="DW99" s="457">
        <v>32622</v>
      </c>
      <c r="DX99" s="316">
        <v>9192</v>
      </c>
      <c r="DY99" s="316">
        <v>10119</v>
      </c>
      <c r="DZ99" s="316">
        <v>10490</v>
      </c>
      <c r="EA99" s="312">
        <f>EB99-DZ99-DY99-DX99</f>
      </c>
      <c r="EB99" s="457">
        <v>41379</v>
      </c>
      <c r="EC99" s="316">
        <v>11195</v>
      </c>
      <c r="ED99" s="316">
        <v>12729</v>
      </c>
      <c r="EE99" s="316">
        <v>13204</v>
      </c>
      <c r="EF99" s="312">
        <f>EG99-EE99-ED99-EC99</f>
      </c>
      <c r="EG99" s="457">
        <v>52589</v>
      </c>
      <c r="EH99" s="316">
        <v>15069</v>
      </c>
      <c r="EI99" s="316">
        <v>16382</v>
      </c>
      <c r="EJ99" s="316">
        <v>17046</v>
      </c>
      <c r="EK99" s="312">
        <f>EL99-EJ99-EI99-EH99</f>
      </c>
      <c r="EL99" s="457">
        <v>67350</v>
      </c>
      <c r="EM99" s="316">
        <v>18388</v>
      </c>
      <c r="EN99" s="316">
        <v>19594</v>
      </c>
      <c r="EO99" s="316">
        <v>20025</v>
      </c>
      <c r="EP99" s="312">
        <f>EQ99-EO99-EN99-EM99</f>
      </c>
      <c r="EQ99" s="457">
        <v>79970</v>
      </c>
      <c r="ER99" s="316">
        <v>22308</v>
      </c>
      <c r="ES99" s="1164">
        <v>23953</v>
      </c>
      <c r="ET99" s="1164">
        <v>24832</v>
      </c>
      <c r="EU99" s="312">
        <f>EV99-ET99-ES99-ER99</f>
      </c>
      <c r="EV99" s="457">
        <v>97726</v>
      </c>
      <c r="EW99" s="1165"/>
      <c r="EX99" s="1165"/>
      <c r="EY99" s="1165"/>
      <c r="EZ99" s="1165"/>
      <c r="FA99" s="456"/>
      <c r="FB99" s="1165"/>
      <c r="FC99" s="1165"/>
      <c r="FD99" s="1165"/>
      <c r="FE99" s="1165"/>
      <c r="FF99" s="456"/>
      <c r="FG99" s="1165"/>
      <c r="FH99" s="1165"/>
      <c r="FI99" s="1165"/>
      <c r="FJ99" s="1165"/>
      <c r="FK99" s="456"/>
      <c r="FL99" s="1165"/>
      <c r="FM99" s="1165"/>
      <c r="FN99" s="1165"/>
      <c r="FO99" s="1165"/>
      <c r="FP99" s="456"/>
      <c r="FQ99" s="1165"/>
      <c r="FR99" s="1165"/>
      <c r="FS99" s="1165"/>
      <c r="FT99" s="1165"/>
      <c r="FU99" s="456"/>
      <c r="FV99" s="1165"/>
      <c r="FW99" s="1165"/>
      <c r="FX99" s="1165"/>
      <c r="FY99" s="1165"/>
      <c r="FZ99" s="456"/>
      <c r="GA99" s="1165"/>
      <c r="GB99" s="1165"/>
      <c r="GC99" s="1165"/>
      <c r="GD99" s="1165"/>
      <c r="GE99" s="456"/>
      <c r="GF99" s="1165"/>
      <c r="GG99" s="1165"/>
      <c r="GH99" s="1165"/>
      <c r="GI99" s="1165"/>
      <c r="GJ99" s="499"/>
    </row>
    <row r="100" spans="1:192" s="1241" customFormat="1" ht="12.75" hidden="1" customHeight="1" outlineLevel="1">
      <c r="A100" s="1237"/>
      <c r="B100" s="735" t="s">
        <v>34</v>
      </c>
      <c r="C100" s="892"/>
      <c r="D100" s="924"/>
      <c r="E100" s="924"/>
      <c r="F100" s="924"/>
      <c r="G100" s="1240"/>
      <c r="H100" s="892"/>
      <c r="I100" s="924"/>
      <c r="J100" s="924"/>
      <c r="K100" s="924"/>
      <c r="L100" s="1240"/>
      <c r="M100" s="892"/>
      <c r="N100" s="924"/>
      <c r="O100" s="924"/>
      <c r="P100" s="924"/>
      <c r="Q100" s="1240"/>
      <c r="R100" s="892"/>
      <c r="S100" s="924"/>
      <c r="T100" s="924"/>
      <c r="U100" s="924"/>
      <c r="V100" s="1240"/>
      <c r="W100" s="892"/>
      <c r="X100" s="924"/>
      <c r="Y100" s="924"/>
      <c r="Z100" s="924"/>
      <c r="AA100" s="1240"/>
      <c r="AB100" s="892"/>
      <c r="AC100" s="924"/>
      <c r="AD100" s="924"/>
      <c r="AE100" s="924"/>
      <c r="AF100" s="1240"/>
      <c r="AG100" s="892"/>
      <c r="AH100" s="924"/>
      <c r="AI100" s="924"/>
      <c r="AJ100" s="924"/>
      <c r="AK100" s="1240"/>
      <c r="AL100" s="892"/>
      <c r="AM100" s="924"/>
      <c r="AN100" s="924"/>
      <c r="AO100" s="924"/>
      <c r="AP100" s="1240"/>
      <c r="AQ100" s="892"/>
      <c r="AR100" s="924"/>
      <c r="AS100" s="924"/>
      <c r="AT100" s="924"/>
      <c r="AU100" s="1240"/>
      <c r="AV100" s="892"/>
      <c r="AW100" s="924"/>
      <c r="AX100" s="924"/>
      <c r="AY100" s="924"/>
      <c r="AZ100" s="1240"/>
      <c r="BA100" s="892"/>
      <c r="BB100" s="924"/>
      <c r="BC100" s="924"/>
      <c r="BD100" s="924"/>
      <c r="BE100" s="1240"/>
      <c r="BF100" s="892"/>
      <c r="BG100" s="924"/>
      <c r="BH100" s="924"/>
      <c r="BI100" s="924"/>
      <c r="BJ100" s="1240"/>
      <c r="BK100" s="892"/>
      <c r="BL100" s="924"/>
      <c r="BM100" s="924"/>
      <c r="BN100" s="924"/>
      <c r="BO100" s="1240"/>
      <c r="BP100" s="892"/>
      <c r="BQ100" s="924"/>
      <c r="BR100" s="924"/>
      <c r="BS100" s="924"/>
      <c r="BT100" s="1240"/>
      <c r="BU100" s="892"/>
      <c r="BV100" s="924"/>
      <c r="BW100" s="924"/>
      <c r="BX100" s="924"/>
      <c r="BY100" s="1240"/>
      <c r="BZ100" s="892"/>
      <c r="CA100" s="924"/>
      <c r="CB100" s="924"/>
      <c r="CC100" s="924"/>
      <c r="CD100" s="1240"/>
      <c r="CE100" s="892"/>
      <c r="CF100" s="924"/>
      <c r="CG100" s="924"/>
      <c r="CH100" s="924"/>
      <c r="CI100" s="1240"/>
      <c r="CJ100" s="892"/>
      <c r="CK100" s="924"/>
      <c r="CL100" s="924"/>
      <c r="CM100" s="924"/>
      <c r="CN100" s="1240"/>
      <c r="CO100" s="892"/>
      <c r="CP100" s="924"/>
      <c r="CQ100" s="924"/>
      <c r="CR100" s="924"/>
      <c r="CS100" s="1240"/>
      <c r="CT100" s="1238"/>
      <c r="CU100" s="1117"/>
      <c r="CV100" s="1117"/>
      <c r="CW100" s="1117"/>
      <c r="CX100" s="1240"/>
      <c r="CY100" s="1238">
        <v>0.13</v>
      </c>
      <c r="CZ100" s="1117">
        <v>0.09</v>
      </c>
      <c r="DA100" s="1117">
        <v>0.12</v>
      </c>
      <c r="DB100" s="1117">
        <v>0.04</v>
      </c>
      <c r="DC100" s="1240">
        <f>DC99/CX99-1</f>
      </c>
      <c r="DD100" s="1238">
        <v>0.06</v>
      </c>
      <c r="DE100" s="1117">
        <v>0.03</v>
      </c>
      <c r="DF100" s="1117">
        <v>0</v>
      </c>
      <c r="DG100" s="1117">
        <v>0.05</v>
      </c>
      <c r="DH100" s="1240">
        <f>DH99/DC99-1</f>
      </c>
      <c r="DI100" s="1328">
        <v>0.13</v>
      </c>
      <c r="DJ100" s="1327">
        <v>0.12</v>
      </c>
      <c r="DK100" s="1327">
        <v>0.18</v>
      </c>
      <c r="DL100" s="1327">
        <v>0.12</v>
      </c>
      <c r="DM100" s="1240">
        <f>DM99/DH99-1</f>
      </c>
      <c r="DN100" s="1238">
        <v>0.17</v>
      </c>
      <c r="DO100" s="1238">
        <v>0.18</v>
      </c>
      <c r="DP100" s="1238">
        <v>0.2</v>
      </c>
      <c r="DQ100" s="1238">
        <v>0.26</v>
      </c>
      <c r="DR100" s="1240">
        <f>DR99/DM99-1</f>
      </c>
      <c r="DS100" s="1238">
        <v>0.28000000000000003</v>
      </c>
      <c r="DT100" s="1238">
        <v>0.24</v>
      </c>
      <c r="DU100" s="1238">
        <v>0.27</v>
      </c>
      <c r="DV100" s="1238">
        <v>0.22</v>
      </c>
      <c r="DW100" s="1240">
        <f>DW99/DR99-1</f>
      </c>
      <c r="DX100" s="1238">
        <v>0.3</v>
      </c>
      <c r="DY100" s="1238">
        <v>0.3</v>
      </c>
      <c r="DZ100" s="1238">
        <v>0.3</v>
      </c>
      <c r="EA100" s="1238">
        <v>0.19</v>
      </c>
      <c r="EB100" s="1240">
        <f>EB99/DW99-1</f>
      </c>
      <c r="EC100" s="1238">
        <v>0.22</v>
      </c>
      <c r="ED100" s="1238">
        <v>0.26</v>
      </c>
      <c r="EE100" s="1238">
        <v>0.26</v>
      </c>
      <c r="EF100" s="1238">
        <v>0.34</v>
      </c>
      <c r="EG100" s="1240">
        <f>EG99/EB99-1</f>
      </c>
      <c r="EH100" s="1238">
        <v>0.35</v>
      </c>
      <c r="EI100" s="1238">
        <v>0.28999999999999998</v>
      </c>
      <c r="EJ100" s="1238">
        <v>0.28999999999999998</v>
      </c>
      <c r="EK100" s="1238">
        <v>0.22</v>
      </c>
      <c r="EL100" s="1239">
        <v>0.28000000000000003</v>
      </c>
      <c r="EM100" s="1238">
        <v>0.22</v>
      </c>
      <c r="EN100" s="1238">
        <v>0.2</v>
      </c>
      <c r="EO100" s="1238">
        <v>0.17</v>
      </c>
      <c r="EP100" s="1117">
        <v>0.17</v>
      </c>
      <c r="EQ100" s="1240">
        <f>EQ99/EL99-1</f>
      </c>
      <c r="ER100" s="1238">
        <v>0.21</v>
      </c>
      <c r="ES100" s="1117">
        <v>0.22</v>
      </c>
      <c r="ET100" s="1327">
        <v>0.24</v>
      </c>
      <c r="EU100" s="1327">
        <v>0.21</v>
      </c>
      <c r="EV100" s="1240">
        <f>EV99/EQ99-1</f>
      </c>
      <c r="EW100" s="924"/>
      <c r="EX100" s="924"/>
      <c r="EY100" s="924"/>
      <c r="EZ100" s="924"/>
      <c r="FA100" s="1240"/>
      <c r="FB100" s="892"/>
      <c r="FC100" s="924"/>
      <c r="FD100" s="924"/>
      <c r="FE100" s="892"/>
      <c r="FF100" s="1240"/>
      <c r="FG100" s="892"/>
      <c r="FH100" s="924"/>
      <c r="FI100" s="924"/>
      <c r="FJ100" s="892"/>
      <c r="FK100" s="1240"/>
      <c r="FL100" s="892"/>
      <c r="FM100" s="924"/>
      <c r="FN100" s="924"/>
      <c r="FO100" s="892"/>
      <c r="FP100" s="1240"/>
      <c r="FQ100" s="892"/>
      <c r="FR100" s="924"/>
      <c r="FS100" s="924"/>
      <c r="FT100" s="892"/>
      <c r="FU100" s="1240"/>
      <c r="FV100" s="892"/>
      <c r="FW100" s="924"/>
      <c r="FX100" s="924"/>
      <c r="FY100" s="924"/>
      <c r="FZ100" s="1240"/>
      <c r="GA100" s="892"/>
      <c r="GB100" s="924"/>
      <c r="GC100" s="924"/>
      <c r="GD100" s="924"/>
      <c r="GE100" s="1240"/>
      <c r="GF100" s="892"/>
      <c r="GG100" s="924"/>
      <c r="GH100" s="924"/>
      <c r="GI100" s="924"/>
      <c r="GJ100" s="1326"/>
    </row>
    <row r="101" spans="1:192" ht="12.75" hidden="1" customHeight="1" outlineLevel="1">
      <c r="B101" s="735" t="s">
        <v>197</v>
      </c>
      <c r="C101" s="291"/>
      <c r="D101" s="107"/>
      <c r="E101" s="107"/>
      <c r="F101" s="107"/>
      <c r="G101" s="292"/>
      <c r="H101" s="291"/>
      <c r="I101" s="107"/>
      <c r="J101" s="107"/>
      <c r="K101" s="107"/>
      <c r="L101" s="292"/>
      <c r="M101" s="291"/>
      <c r="N101" s="107"/>
      <c r="O101" s="107"/>
      <c r="P101" s="107"/>
      <c r="Q101" s="292"/>
      <c r="R101" s="291"/>
      <c r="S101" s="107"/>
      <c r="T101" s="107"/>
      <c r="U101" s="107"/>
      <c r="V101" s="292"/>
      <c r="W101" s="291"/>
      <c r="X101" s="107"/>
      <c r="Y101" s="107"/>
      <c r="Z101" s="107"/>
      <c r="AA101" s="292"/>
      <c r="AB101" s="291"/>
      <c r="AC101" s="107"/>
      <c r="AD101" s="107"/>
      <c r="AE101" s="107"/>
      <c r="AF101" s="292"/>
      <c r="AG101" s="291"/>
      <c r="AH101" s="107"/>
      <c r="AI101" s="107"/>
      <c r="AJ101" s="107"/>
      <c r="AK101" s="292"/>
      <c r="AL101" s="291"/>
      <c r="AM101" s="107"/>
      <c r="AN101" s="107"/>
      <c r="AO101" s="107"/>
      <c r="AP101" s="292"/>
      <c r="AQ101" s="291"/>
      <c r="AR101" s="107"/>
      <c r="AS101" s="107"/>
      <c r="AT101" s="107"/>
      <c r="AU101" s="292"/>
      <c r="AV101" s="291"/>
      <c r="AW101" s="107"/>
      <c r="AX101" s="107"/>
      <c r="AY101" s="107"/>
      <c r="AZ101" s="292"/>
      <c r="BA101" s="291"/>
      <c r="BB101" s="107"/>
      <c r="BC101" s="107"/>
      <c r="BD101" s="107"/>
      <c r="BE101" s="292"/>
      <c r="BF101" s="291"/>
      <c r="BG101" s="107"/>
      <c r="BH101" s="107"/>
      <c r="BI101" s="107"/>
      <c r="BJ101" s="292"/>
      <c r="BK101" s="291"/>
      <c r="BL101" s="107"/>
      <c r="BM101" s="107"/>
      <c r="BN101" s="107"/>
      <c r="BO101" s="292"/>
      <c r="BP101" s="291"/>
      <c r="BQ101" s="107"/>
      <c r="BR101" s="107"/>
      <c r="BS101" s="107"/>
      <c r="BT101" s="292"/>
      <c r="BU101" s="291"/>
      <c r="BV101" s="107"/>
      <c r="BW101" s="107"/>
      <c r="BX101" s="107"/>
      <c r="BY101" s="292"/>
      <c r="BZ101" s="291"/>
      <c r="CA101" s="107"/>
      <c r="CB101" s="107"/>
      <c r="CC101" s="107"/>
      <c r="CD101" s="292"/>
      <c r="CE101" s="291"/>
      <c r="CF101" s="107"/>
      <c r="CG101" s="107"/>
      <c r="CH101" s="107"/>
      <c r="CI101" s="292"/>
      <c r="CJ101" s="291"/>
      <c r="CK101" s="107"/>
      <c r="CL101" s="107"/>
      <c r="CM101" s="107"/>
      <c r="CN101" s="292"/>
      <c r="CO101" s="291"/>
      <c r="CP101" s="107"/>
      <c r="CQ101" s="107"/>
      <c r="CR101" s="107"/>
      <c r="CS101" s="292"/>
      <c r="CT101" s="412"/>
      <c r="CU101" s="114"/>
      <c r="CV101" s="114"/>
      <c r="CW101" s="114"/>
      <c r="CX101" s="292"/>
      <c r="CY101" s="412">
        <v>0.13</v>
      </c>
      <c r="CZ101" s="114">
        <v>0.11</v>
      </c>
      <c r="DA101" s="114">
        <v>0.16</v>
      </c>
      <c r="DB101" s="114">
        <v>0.09</v>
      </c>
      <c r="DC101" s="292"/>
      <c r="DD101" s="412">
        <v>0.13</v>
      </c>
      <c r="DE101" s="114">
        <v>0.1</v>
      </c>
      <c r="DF101" s="114">
        <v>0.05</v>
      </c>
      <c r="DG101" s="114">
        <v>0.08</v>
      </c>
      <c r="DH101" s="292"/>
      <c r="DI101" s="441">
        <v>0.14000000000000001</v>
      </c>
      <c r="DJ101" s="439">
        <v>0.13</v>
      </c>
      <c r="DK101" s="439">
        <v>0.2</v>
      </c>
      <c r="DL101" s="439">
        <v>0.13</v>
      </c>
      <c r="DM101" s="292"/>
      <c r="DN101" s="412">
        <v>0.17</v>
      </c>
      <c r="DO101" s="114">
        <v>0.18</v>
      </c>
      <c r="DP101" s="114">
        <v>0.17</v>
      </c>
      <c r="DQ101" s="114">
        <v>0.24</v>
      </c>
      <c r="DR101" s="292"/>
      <c r="DS101" s="412">
        <v>0.28000000000000003</v>
      </c>
      <c r="DT101" s="114">
        <v>0.24</v>
      </c>
      <c r="DU101" s="114">
        <v>0.28999999999999998</v>
      </c>
      <c r="DV101" s="114">
        <v>0.24</v>
      </c>
      <c r="DW101" s="292"/>
      <c r="DX101" s="412">
        <v>0.33</v>
      </c>
      <c r="DY101" s="114">
        <v>0.32</v>
      </c>
      <c r="DZ101" s="114">
        <v>0.32</v>
      </c>
      <c r="EA101" s="114">
        <v>0.21</v>
      </c>
      <c r="EB101" s="292"/>
      <c r="EC101" s="412">
        <v>0.21</v>
      </c>
      <c r="ED101" s="114">
        <v>0.24</v>
      </c>
      <c r="EE101" s="114">
        <v>0.23</v>
      </c>
      <c r="EF101" s="114">
        <v>0.28999999999999998</v>
      </c>
      <c r="EG101" s="292"/>
      <c r="EH101" s="412">
        <v>0.33</v>
      </c>
      <c r="EI101" s="114">
        <v>0.28999999999999998</v>
      </c>
      <c r="EJ101" s="114">
        <v>0.32</v>
      </c>
      <c r="EK101" s="114">
        <v>0.26</v>
      </c>
      <c r="EL101" s="292"/>
      <c r="EM101" s="412">
        <v>0.28000000000000003</v>
      </c>
      <c r="EN101" s="114">
        <v>0.26</v>
      </c>
      <c r="EO101" s="114">
        <v>0.21</v>
      </c>
      <c r="EP101" s="114">
        <v>0.18</v>
      </c>
      <c r="EQ101" s="292"/>
      <c r="ER101" s="412">
        <v>0.21</v>
      </c>
      <c r="ES101" s="114">
        <v>0.2</v>
      </c>
      <c r="ET101" s="439">
        <v>0.24</v>
      </c>
      <c r="EU101" s="439">
        <v>0.22</v>
      </c>
      <c r="EV101" s="292"/>
      <c r="EW101" s="291"/>
      <c r="EX101" s="107"/>
      <c r="EY101" s="107"/>
      <c r="EZ101" s="107"/>
      <c r="FA101" s="292"/>
      <c r="FB101" s="291"/>
      <c r="FC101" s="107"/>
      <c r="FD101" s="107"/>
      <c r="FE101" s="107"/>
      <c r="FF101" s="292"/>
      <c r="FG101" s="291"/>
      <c r="FH101" s="107"/>
      <c r="FI101" s="107"/>
      <c r="FJ101" s="107"/>
      <c r="FK101" s="292"/>
      <c r="FL101" s="291"/>
      <c r="FM101" s="107"/>
      <c r="FN101" s="107"/>
      <c r="FO101" s="107"/>
      <c r="FP101" s="292"/>
      <c r="FQ101" s="291"/>
      <c r="FR101" s="107"/>
      <c r="FS101" s="107"/>
      <c r="FT101" s="107"/>
      <c r="FU101" s="292"/>
      <c r="FV101" s="291"/>
      <c r="FW101" s="107"/>
      <c r="FX101" s="107"/>
      <c r="FY101" s="107"/>
      <c r="FZ101" s="292"/>
      <c r="GA101" s="291"/>
      <c r="GB101" s="107"/>
      <c r="GC101" s="107"/>
      <c r="GD101" s="107"/>
      <c r="GE101" s="292"/>
      <c r="GF101" s="291"/>
      <c r="GG101" s="107"/>
      <c r="GH101" s="107"/>
      <c r="GI101" s="107"/>
      <c r="GJ101" s="384"/>
    </row>
    <row r="102" spans="1:192" ht="12.75" hidden="1" customHeight="1" outlineLevel="1">
      <c r="B102" s="735" t="s">
        <v>36</v>
      </c>
      <c r="C102" s="291"/>
      <c r="D102" s="107"/>
      <c r="E102" s="107"/>
      <c r="F102" s="107"/>
      <c r="G102" s="292"/>
      <c r="H102" s="291"/>
      <c r="I102" s="107"/>
      <c r="J102" s="107"/>
      <c r="K102" s="107"/>
      <c r="L102" s="292"/>
      <c r="M102" s="291"/>
      <c r="N102" s="107"/>
      <c r="O102" s="107"/>
      <c r="P102" s="107"/>
      <c r="Q102" s="292"/>
      <c r="R102" s="291"/>
      <c r="S102" s="107"/>
      <c r="T102" s="107"/>
      <c r="U102" s="107"/>
      <c r="V102" s="292"/>
      <c r="W102" s="291"/>
      <c r="X102" s="107"/>
      <c r="Y102" s="107"/>
      <c r="Z102" s="107"/>
      <c r="AA102" s="292"/>
      <c r="AB102" s="291"/>
      <c r="AC102" s="107"/>
      <c r="AD102" s="107"/>
      <c r="AE102" s="107"/>
      <c r="AF102" s="292"/>
      <c r="AG102" s="291"/>
      <c r="AH102" s="107"/>
      <c r="AI102" s="107"/>
      <c r="AJ102" s="107"/>
      <c r="AK102" s="292"/>
      <c r="AL102" s="291"/>
      <c r="AM102" s="107"/>
      <c r="AN102" s="107"/>
      <c r="AO102" s="107"/>
      <c r="AP102" s="292"/>
      <c r="AQ102" s="291"/>
      <c r="AR102" s="107"/>
      <c r="AS102" s="107"/>
      <c r="AT102" s="107"/>
      <c r="AU102" s="292"/>
      <c r="AV102" s="291"/>
      <c r="AW102" s="107"/>
      <c r="AX102" s="107"/>
      <c r="AY102" s="107"/>
      <c r="AZ102" s="292"/>
      <c r="BA102" s="291"/>
      <c r="BB102" s="107"/>
      <c r="BC102" s="107"/>
      <c r="BD102" s="107"/>
      <c r="BE102" s="292"/>
      <c r="BF102" s="291"/>
      <c r="BG102" s="107"/>
      <c r="BH102" s="107"/>
      <c r="BI102" s="107"/>
      <c r="BJ102" s="292"/>
      <c r="BK102" s="291"/>
      <c r="BL102" s="107"/>
      <c r="BM102" s="107"/>
      <c r="BN102" s="107"/>
      <c r="BO102" s="292"/>
      <c r="BP102" s="291"/>
      <c r="BQ102" s="107"/>
      <c r="BR102" s="107"/>
      <c r="BS102" s="107"/>
      <c r="BT102" s="292"/>
      <c r="BU102" s="291"/>
      <c r="BV102" s="107"/>
      <c r="BW102" s="107"/>
      <c r="BX102" s="107"/>
      <c r="BY102" s="292"/>
      <c r="BZ102" s="291"/>
      <c r="CA102" s="107"/>
      <c r="CB102" s="107"/>
      <c r="CC102" s="107"/>
      <c r="CD102" s="292"/>
      <c r="CE102" s="291"/>
      <c r="CF102" s="107"/>
      <c r="CG102" s="107"/>
      <c r="CH102" s="107"/>
      <c r="CI102" s="292"/>
      <c r="CJ102" s="291"/>
      <c r="CK102" s="107"/>
      <c r="CL102" s="107"/>
      <c r="CM102" s="107"/>
      <c r="CN102" s="292"/>
      <c r="CO102" s="291"/>
      <c r="CP102" s="107"/>
      <c r="CQ102" s="107"/>
      <c r="CR102" s="107"/>
      <c r="CS102" s="292"/>
      <c r="CT102" s="291"/>
      <c r="CU102" s="107">
        <f>CU99/CT99-1</f>
      </c>
      <c r="CV102" s="107">
        <f>CV99/CU99-1</f>
      </c>
      <c r="CW102" s="107">
        <f>CW99/CV99-1</f>
      </c>
      <c r="CX102" s="293"/>
      <c r="CY102" s="291">
        <f>CY99/CW99-1</f>
      </c>
      <c r="CZ102" s="107">
        <f>CZ99/CY99-1</f>
      </c>
      <c r="DA102" s="107">
        <f>DA99/CZ99-1</f>
      </c>
      <c r="DB102" s="107">
        <f>DB99/DA99-1</f>
      </c>
      <c r="DC102" s="293"/>
      <c r="DD102" s="291">
        <f>DD99/DB99-1</f>
      </c>
      <c r="DE102" s="107">
        <f>DE99/DD99-1</f>
      </c>
      <c r="DF102" s="107">
        <f>DF99/DE99-1</f>
      </c>
      <c r="DG102" s="107">
        <f>DG99/DF99-1</f>
      </c>
      <c r="DH102" s="293"/>
      <c r="DI102" s="291">
        <f>DI99/DG99-1</f>
      </c>
      <c r="DJ102" s="107">
        <f>DJ99/DI99-1</f>
      </c>
      <c r="DK102" s="107">
        <f>DK99/DJ99-1</f>
      </c>
      <c r="DL102" s="107">
        <f>DL99/DK99-1</f>
      </c>
      <c r="DM102" s="293"/>
      <c r="DN102" s="291">
        <f>DN99/DL99-1</f>
      </c>
      <c r="DO102" s="107">
        <f>DO99/DN99-1</f>
      </c>
      <c r="DP102" s="107">
        <f>DP99/DO99-1</f>
      </c>
      <c r="DQ102" s="107">
        <f>DQ99/DP99-1</f>
      </c>
      <c r="DR102" s="293"/>
      <c r="DS102" s="291">
        <f>DS99/DQ99-1</f>
      </c>
      <c r="DT102" s="107">
        <f>DT99/DS99-1</f>
      </c>
      <c r="DU102" s="107">
        <f>DU99/DT99-1</f>
      </c>
      <c r="DV102" s="107">
        <f>DV99/DU99-1</f>
      </c>
      <c r="DW102" s="293"/>
      <c r="DX102" s="291">
        <f>DX99/DV99-1</f>
      </c>
      <c r="DY102" s="107">
        <f>DY99/DX99-1</f>
      </c>
      <c r="DZ102" s="107">
        <f>DZ99/DY99-1</f>
      </c>
      <c r="EA102" s="107">
        <f>EA99/DZ99-1</f>
      </c>
      <c r="EB102" s="293"/>
      <c r="EC102" s="291">
        <f>EC99/EA99-1</f>
      </c>
      <c r="ED102" s="107">
        <f>ED99/EC99-1</f>
      </c>
      <c r="EE102" s="107">
        <f>EE99/ED99-1</f>
      </c>
      <c r="EF102" s="107">
        <f>EF99/EE99-1</f>
      </c>
      <c r="EG102" s="293"/>
      <c r="EH102" s="291">
        <f>EH99/EF99-1</f>
      </c>
      <c r="EI102" s="107">
        <f>EI99/EH99-1</f>
      </c>
      <c r="EJ102" s="107">
        <f>EJ99/EI99-1</f>
      </c>
      <c r="EK102" s="107">
        <f>EK99/EJ99-1</f>
      </c>
      <c r="EL102" s="293"/>
      <c r="EM102" s="291">
        <f>EM99/EK99-1</f>
      </c>
      <c r="EN102" s="107">
        <f>EN99/EM99-1</f>
      </c>
      <c r="EO102" s="107">
        <f>EO99/EN99-1</f>
      </c>
      <c r="EP102" s="107">
        <f>EP99/EO99-1</f>
      </c>
      <c r="EQ102" s="293"/>
      <c r="ER102" s="291">
        <f>ER99/EP99-1</f>
      </c>
      <c r="ES102" s="107">
        <f>ES99/ER99-1</f>
      </c>
      <c r="ET102" s="107">
        <f>ET99/ES99-1</f>
      </c>
      <c r="EU102" s="107">
        <f>EU99/ET99-1</f>
      </c>
      <c r="EV102" s="293"/>
      <c r="EW102" s="291"/>
      <c r="EX102" s="107"/>
      <c r="EY102" s="107"/>
      <c r="EZ102" s="107"/>
      <c r="FA102" s="293"/>
      <c r="FB102" s="291"/>
      <c r="FC102" s="107"/>
      <c r="FD102" s="107"/>
      <c r="FE102" s="107"/>
      <c r="FF102" s="293"/>
      <c r="FG102" s="291"/>
      <c r="FH102" s="107"/>
      <c r="FI102" s="107"/>
      <c r="FJ102" s="107"/>
      <c r="FK102" s="293"/>
      <c r="FL102" s="291"/>
      <c r="FM102" s="107"/>
      <c r="FN102" s="107"/>
      <c r="FO102" s="107"/>
      <c r="FP102" s="293"/>
      <c r="FQ102" s="291"/>
      <c r="FR102" s="107"/>
      <c r="FS102" s="107"/>
      <c r="FT102" s="107"/>
      <c r="FU102" s="293"/>
      <c r="FV102" s="291"/>
      <c r="FW102" s="107"/>
      <c r="FX102" s="107"/>
      <c r="FY102" s="107"/>
      <c r="FZ102" s="293"/>
      <c r="GA102" s="291"/>
      <c r="GB102" s="107"/>
      <c r="GC102" s="107"/>
      <c r="GD102" s="107"/>
      <c r="GE102" s="293"/>
      <c r="GF102" s="291"/>
      <c r="GG102" s="107"/>
      <c r="GH102" s="107"/>
      <c r="GI102" s="107"/>
      <c r="GJ102" s="382"/>
    </row>
    <row r="103" spans="1:192" ht="12.75" hidden="1" customHeight="1" outlineLevel="1">
      <c r="B103" s="735" t="s">
        <v>243</v>
      </c>
      <c r="C103" s="291"/>
      <c r="D103" s="107"/>
      <c r="E103" s="107"/>
      <c r="F103" s="107"/>
      <c r="G103" s="292"/>
      <c r="H103" s="291"/>
      <c r="I103" s="107"/>
      <c r="J103" s="107"/>
      <c r="K103" s="107"/>
      <c r="L103" s="292"/>
      <c r="M103" s="291"/>
      <c r="N103" s="107"/>
      <c r="O103" s="107"/>
      <c r="P103" s="107"/>
      <c r="Q103" s="292"/>
      <c r="R103" s="291"/>
      <c r="S103" s="107"/>
      <c r="T103" s="107"/>
      <c r="U103" s="107"/>
      <c r="V103" s="292"/>
      <c r="W103" s="291"/>
      <c r="X103" s="107"/>
      <c r="Y103" s="107"/>
      <c r="Z103" s="107"/>
      <c r="AA103" s="292"/>
      <c r="AB103" s="291"/>
      <c r="AC103" s="107"/>
      <c r="AD103" s="107"/>
      <c r="AE103" s="107"/>
      <c r="AF103" s="292"/>
      <c r="AG103" s="291"/>
      <c r="AH103" s="107"/>
      <c r="AI103" s="107"/>
      <c r="AJ103" s="107"/>
      <c r="AK103" s="292"/>
      <c r="AL103" s="291"/>
      <c r="AM103" s="107"/>
      <c r="AN103" s="107"/>
      <c r="AO103" s="107"/>
      <c r="AP103" s="292"/>
      <c r="AQ103" s="291"/>
      <c r="AR103" s="107"/>
      <c r="AS103" s="107"/>
      <c r="AT103" s="107"/>
      <c r="AU103" s="292"/>
      <c r="AV103" s="291"/>
      <c r="AW103" s="107"/>
      <c r="AX103" s="107"/>
      <c r="AY103" s="107"/>
      <c r="AZ103" s="292"/>
      <c r="BA103" s="291"/>
      <c r="BB103" s="107"/>
      <c r="BC103" s="107"/>
      <c r="BD103" s="107"/>
      <c r="BE103" s="292"/>
      <c r="BF103" s="291"/>
      <c r="BG103" s="107"/>
      <c r="BH103" s="107"/>
      <c r="BI103" s="107"/>
      <c r="BJ103" s="292"/>
      <c r="BK103" s="291"/>
      <c r="BL103" s="107"/>
      <c r="BM103" s="107"/>
      <c r="BN103" s="107"/>
      <c r="BO103" s="292"/>
      <c r="BP103" s="291"/>
      <c r="BQ103" s="107"/>
      <c r="BR103" s="107"/>
      <c r="BS103" s="107"/>
      <c r="BT103" s="292"/>
      <c r="BU103" s="291"/>
      <c r="BV103" s="107"/>
      <c r="BW103" s="107"/>
      <c r="BX103" s="107"/>
      <c r="BY103" s="292"/>
      <c r="BZ103" s="291"/>
      <c r="CA103" s="107"/>
      <c r="CB103" s="107"/>
      <c r="CC103" s="107"/>
      <c r="CD103" s="292"/>
      <c r="CE103" s="291"/>
      <c r="CF103" s="107"/>
      <c r="CG103" s="107"/>
      <c r="CH103" s="107"/>
      <c r="CI103" s="292"/>
      <c r="CJ103" s="291"/>
      <c r="CK103" s="107"/>
      <c r="CL103" s="107"/>
      <c r="CM103" s="107"/>
      <c r="CN103" s="292"/>
      <c r="CO103" s="291"/>
      <c r="CP103" s="107"/>
      <c r="CQ103" s="107"/>
      <c r="CR103" s="107"/>
      <c r="CS103" s="292"/>
      <c r="CT103" s="447"/>
      <c r="CU103" s="447"/>
      <c r="CV103" s="447"/>
      <c r="CW103" s="447"/>
      <c r="CX103" s="462"/>
      <c r="CY103" s="447">
        <f t="shared" ref="CY103:EQ103" si="86">CY99-CT99</f>
      </c>
      <c r="CZ103" s="447">
        <f t="shared" si="86"/>
      </c>
      <c r="DA103" s="447">
        <f t="shared" si="86"/>
      </c>
      <c r="DB103" s="447">
        <f t="shared" si="86"/>
      </c>
      <c r="DC103" s="462">
        <f t="shared" si="86"/>
      </c>
      <c r="DD103" s="448">
        <v>271</v>
      </c>
      <c r="DE103" s="447">
        <f t="shared" si="86"/>
      </c>
      <c r="DF103" s="447">
        <f t="shared" si="86"/>
      </c>
      <c r="DG103" s="447">
        <f t="shared" si="86"/>
      </c>
      <c r="DH103" s="462">
        <f t="shared" si="86"/>
      </c>
      <c r="DI103" s="447">
        <f t="shared" si="86"/>
      </c>
      <c r="DJ103" s="447">
        <f t="shared" si="86"/>
      </c>
      <c r="DK103" s="447">
        <f t="shared" si="86"/>
      </c>
      <c r="DL103" s="447">
        <f t="shared" si="86"/>
      </c>
      <c r="DM103" s="462">
        <f t="shared" si="86"/>
      </c>
      <c r="DN103" s="447">
        <f t="shared" si="86"/>
      </c>
      <c r="DO103" s="447">
        <f t="shared" si="86"/>
      </c>
      <c r="DP103" s="447">
        <f t="shared" si="86"/>
      </c>
      <c r="DQ103" s="447">
        <f t="shared" si="86"/>
      </c>
      <c r="DR103" s="462">
        <f t="shared" si="86"/>
      </c>
      <c r="DS103" s="447">
        <f t="shared" si="86"/>
      </c>
      <c r="DT103" s="447">
        <f t="shared" si="86"/>
      </c>
      <c r="DU103" s="447">
        <f t="shared" si="86"/>
      </c>
      <c r="DV103" s="447">
        <f t="shared" si="86"/>
      </c>
      <c r="DW103" s="462">
        <f t="shared" si="86"/>
      </c>
      <c r="DX103" s="447">
        <f t="shared" si="86"/>
      </c>
      <c r="DY103" s="447">
        <f t="shared" si="86"/>
      </c>
      <c r="DZ103" s="447">
        <f t="shared" si="86"/>
      </c>
      <c r="EA103" s="447">
        <f t="shared" si="86"/>
      </c>
      <c r="EB103" s="462">
        <f t="shared" si="86"/>
      </c>
      <c r="EC103" s="447">
        <f t="shared" si="86"/>
      </c>
      <c r="ED103" s="447">
        <f t="shared" si="86"/>
      </c>
      <c r="EE103" s="447">
        <f t="shared" si="86"/>
      </c>
      <c r="EF103" s="447">
        <f t="shared" si="86"/>
      </c>
      <c r="EG103" s="462">
        <f t="shared" si="86"/>
      </c>
      <c r="EH103" s="447">
        <f t="shared" si="86"/>
      </c>
      <c r="EI103" s="447">
        <f t="shared" si="86"/>
      </c>
      <c r="EJ103" s="447">
        <f t="shared" si="86"/>
      </c>
      <c r="EK103" s="447">
        <f t="shared" si="86"/>
      </c>
      <c r="EL103" s="462">
        <f t="shared" si="86"/>
      </c>
      <c r="EM103" s="447">
        <f t="shared" si="86"/>
      </c>
      <c r="EN103" s="447">
        <f t="shared" si="86"/>
      </c>
      <c r="EO103" s="447">
        <f t="shared" si="86"/>
      </c>
      <c r="EP103" s="447">
        <f t="shared" si="86"/>
      </c>
      <c r="EQ103" s="462">
        <f t="shared" si="86"/>
      </c>
      <c r="ER103" s="447">
        <f>ER99-EM99</f>
      </c>
      <c r="ES103" s="447">
        <f>ES99-EN99</f>
      </c>
      <c r="ET103" s="447">
        <f>ET99-EO99</f>
      </c>
      <c r="EU103" s="447">
        <f>EU99-EP99</f>
      </c>
      <c r="EV103" s="462">
        <f>EV99-EQ99</f>
      </c>
      <c r="EW103" s="447"/>
      <c r="EX103" s="447"/>
      <c r="EY103" s="447"/>
      <c r="EZ103" s="447"/>
      <c r="FA103" s="462"/>
      <c r="FB103" s="447"/>
      <c r="FC103" s="447"/>
      <c r="FD103" s="447"/>
      <c r="FE103" s="447"/>
      <c r="FF103" s="462"/>
      <c r="FG103" s="447"/>
      <c r="FH103" s="447"/>
      <c r="FI103" s="447"/>
      <c r="FJ103" s="447"/>
      <c r="FK103" s="462"/>
      <c r="FL103" s="447"/>
      <c r="FM103" s="447"/>
      <c r="FN103" s="447"/>
      <c r="FO103" s="447"/>
      <c r="FP103" s="462"/>
      <c r="FQ103" s="447"/>
      <c r="FR103" s="447"/>
      <c r="FS103" s="447"/>
      <c r="FT103" s="447"/>
      <c r="FU103" s="462"/>
      <c r="FV103" s="447"/>
      <c r="FW103" s="447"/>
      <c r="FX103" s="447"/>
      <c r="FY103" s="447"/>
      <c r="FZ103" s="462"/>
      <c r="GA103" s="447"/>
      <c r="GB103" s="447"/>
      <c r="GC103" s="447"/>
      <c r="GD103" s="447"/>
      <c r="GE103" s="462"/>
      <c r="GF103" s="447"/>
      <c r="GG103" s="447"/>
      <c r="GH103" s="447"/>
      <c r="GI103" s="447"/>
      <c r="GJ103" s="497"/>
    </row>
    <row r="104" spans="1:192" ht="12.75" hidden="1" customHeight="1" outlineLevel="1">
      <c r="B104" s="735" t="s">
        <v>244</v>
      </c>
      <c r="C104" s="291"/>
      <c r="D104" s="107"/>
      <c r="E104" s="107"/>
      <c r="F104" s="107"/>
      <c r="G104" s="292"/>
      <c r="H104" s="291"/>
      <c r="I104" s="107"/>
      <c r="J104" s="107"/>
      <c r="K104" s="107"/>
      <c r="L104" s="292"/>
      <c r="M104" s="291"/>
      <c r="N104" s="107"/>
      <c r="O104" s="107"/>
      <c r="P104" s="107"/>
      <c r="Q104" s="292"/>
      <c r="R104" s="291"/>
      <c r="S104" s="107"/>
      <c r="T104" s="107"/>
      <c r="U104" s="107"/>
      <c r="V104" s="292"/>
      <c r="W104" s="291"/>
      <c r="X104" s="107"/>
      <c r="Y104" s="107"/>
      <c r="Z104" s="107"/>
      <c r="AA104" s="292"/>
      <c r="AB104" s="291"/>
      <c r="AC104" s="107"/>
      <c r="AD104" s="107"/>
      <c r="AE104" s="107"/>
      <c r="AF104" s="292"/>
      <c r="AG104" s="291"/>
      <c r="AH104" s="107"/>
      <c r="AI104" s="107"/>
      <c r="AJ104" s="107"/>
      <c r="AK104" s="292"/>
      <c r="AL104" s="291"/>
      <c r="AM104" s="107"/>
      <c r="AN104" s="107"/>
      <c r="AO104" s="107"/>
      <c r="AP104" s="292"/>
      <c r="AQ104" s="291"/>
      <c r="AR104" s="107"/>
      <c r="AS104" s="107"/>
      <c r="AT104" s="107"/>
      <c r="AU104" s="292"/>
      <c r="AV104" s="291"/>
      <c r="AW104" s="107"/>
      <c r="AX104" s="107"/>
      <c r="AY104" s="107"/>
      <c r="AZ104" s="292"/>
      <c r="BA104" s="291"/>
      <c r="BB104" s="107"/>
      <c r="BC104" s="107"/>
      <c r="BD104" s="107"/>
      <c r="BE104" s="292"/>
      <c r="BF104" s="291"/>
      <c r="BG104" s="107"/>
      <c r="BH104" s="107"/>
      <c r="BI104" s="107"/>
      <c r="BJ104" s="292"/>
      <c r="BK104" s="291"/>
      <c r="BL104" s="107"/>
      <c r="BM104" s="107"/>
      <c r="BN104" s="107"/>
      <c r="BO104" s="292"/>
      <c r="BP104" s="291"/>
      <c r="BQ104" s="107"/>
      <c r="BR104" s="107"/>
      <c r="BS104" s="107"/>
      <c r="BT104" s="292"/>
      <c r="BU104" s="291"/>
      <c r="BV104" s="107"/>
      <c r="BW104" s="107"/>
      <c r="BX104" s="107"/>
      <c r="BY104" s="292"/>
      <c r="BZ104" s="291"/>
      <c r="CA104" s="107"/>
      <c r="CB104" s="107"/>
      <c r="CC104" s="107"/>
      <c r="CD104" s="292"/>
      <c r="CE104" s="291"/>
      <c r="CF104" s="107"/>
      <c r="CG104" s="107"/>
      <c r="CH104" s="107"/>
      <c r="CI104" s="292"/>
      <c r="CJ104" s="291"/>
      <c r="CK104" s="107"/>
      <c r="CL104" s="107"/>
      <c r="CM104" s="107"/>
      <c r="CN104" s="292"/>
      <c r="CO104" s="291"/>
      <c r="CP104" s="107"/>
      <c r="CQ104" s="107"/>
      <c r="CR104" s="107"/>
      <c r="CS104" s="292"/>
      <c r="CT104" s="447"/>
      <c r="CU104" s="447">
        <f>CU99-CT99</f>
      </c>
      <c r="CV104" s="447">
        <f>CV99-CU99</f>
      </c>
      <c r="CW104" s="447">
        <f>CW99-CV99</f>
      </c>
      <c r="CX104" s="462"/>
      <c r="CY104" s="447">
        <f>CY99-CW99</f>
      </c>
      <c r="CZ104" s="447">
        <f>CZ99-CY99</f>
      </c>
      <c r="DA104" s="447">
        <f>DA99-CZ99</f>
      </c>
      <c r="DB104" s="447">
        <f>DB99-DA99</f>
      </c>
      <c r="DC104" s="462"/>
      <c r="DD104" s="447">
        <f>DD99-DB99</f>
      </c>
      <c r="DE104" s="447">
        <f>DE99-DD99</f>
      </c>
      <c r="DF104" s="447">
        <f>DF99-DE99</f>
      </c>
      <c r="DG104" s="447">
        <f>DG99-DF99</f>
      </c>
      <c r="DH104" s="462"/>
      <c r="DI104" s="447">
        <f>DI99-DG99</f>
      </c>
      <c r="DJ104" s="447">
        <f>DJ99-DI99</f>
      </c>
      <c r="DK104" s="447">
        <f>DK99-DJ99</f>
      </c>
      <c r="DL104" s="447">
        <f>DL99-DK99</f>
      </c>
      <c r="DM104" s="462"/>
      <c r="DN104" s="447">
        <f>DN99-DL99</f>
      </c>
      <c r="DO104" s="447">
        <f>DO99-DN99</f>
      </c>
      <c r="DP104" s="447">
        <f>DP99-DO99</f>
      </c>
      <c r="DQ104" s="447">
        <f>DQ99-DP99</f>
      </c>
      <c r="DR104" s="462"/>
      <c r="DS104" s="447">
        <f>DS99-DQ99</f>
      </c>
      <c r="DT104" s="447">
        <f>DT99-DS99</f>
      </c>
      <c r="DU104" s="447">
        <f>DU99-DT99</f>
      </c>
      <c r="DV104" s="447">
        <f>DV99-DU99</f>
      </c>
      <c r="DW104" s="462"/>
      <c r="DX104" s="447">
        <f>DX99-DV99</f>
      </c>
      <c r="DY104" s="447">
        <f>DY99-DX99</f>
      </c>
      <c r="DZ104" s="447">
        <f>DZ99-DY99</f>
      </c>
      <c r="EA104" s="447">
        <f>EA99-DZ99</f>
      </c>
      <c r="EB104" s="462"/>
      <c r="EC104" s="447">
        <f>EC99-EA99</f>
      </c>
      <c r="ED104" s="447">
        <f>ED99-EC99</f>
      </c>
      <c r="EE104" s="447">
        <f>EE99-ED99</f>
      </c>
      <c r="EF104" s="447">
        <f>EF99-EE99</f>
      </c>
      <c r="EG104" s="462"/>
      <c r="EH104" s="447">
        <f>EH99-EF99</f>
      </c>
      <c r="EI104" s="447">
        <f>EI99-EH99</f>
      </c>
      <c r="EJ104" s="447">
        <f>EJ99-EI99</f>
      </c>
      <c r="EK104" s="447">
        <f>EK99-EJ99</f>
      </c>
      <c r="EL104" s="462"/>
      <c r="EM104" s="447">
        <f>EM99-EK99</f>
      </c>
      <c r="EN104" s="447">
        <f>EN99-EM99</f>
      </c>
      <c r="EO104" s="447">
        <f>EO99-EN99</f>
      </c>
      <c r="EP104" s="447">
        <f>EP99-EO99</f>
      </c>
      <c r="EQ104" s="462"/>
      <c r="ER104" s="447">
        <f>ER99-EP99</f>
      </c>
      <c r="ES104" s="447">
        <f>ES99-ER99</f>
      </c>
      <c r="ET104" s="447">
        <f>ET99-ES99</f>
      </c>
      <c r="EU104" s="447">
        <f>EU99-ET99</f>
      </c>
      <c r="EV104" s="462"/>
      <c r="EW104" s="447"/>
      <c r="EX104" s="447"/>
      <c r="EY104" s="447"/>
      <c r="EZ104" s="447"/>
      <c r="FA104" s="462"/>
      <c r="FB104" s="447"/>
      <c r="FC104" s="447"/>
      <c r="FD104" s="447"/>
      <c r="FE104" s="447"/>
      <c r="FF104" s="462"/>
      <c r="FG104" s="447"/>
      <c r="FH104" s="447"/>
      <c r="FI104" s="447"/>
      <c r="FJ104" s="447"/>
      <c r="FK104" s="462"/>
      <c r="FL104" s="447"/>
      <c r="FM104" s="447"/>
      <c r="FN104" s="447"/>
      <c r="FO104" s="447"/>
      <c r="FP104" s="462"/>
      <c r="FQ104" s="447"/>
      <c r="FR104" s="447"/>
      <c r="FS104" s="447"/>
      <c r="FT104" s="447"/>
      <c r="FU104" s="462"/>
      <c r="FV104" s="447"/>
      <c r="FW104" s="447"/>
      <c r="FX104" s="447"/>
      <c r="FY104" s="447"/>
      <c r="FZ104" s="462"/>
      <c r="GA104" s="447"/>
      <c r="GB104" s="447"/>
      <c r="GC104" s="447"/>
      <c r="GD104" s="447"/>
      <c r="GE104" s="462"/>
      <c r="GF104" s="447"/>
      <c r="GG104" s="447"/>
      <c r="GH104" s="447"/>
      <c r="GI104" s="447"/>
      <c r="GJ104" s="497"/>
    </row>
    <row r="105" spans="1:192" ht="12.75" hidden="1" customHeight="1" outlineLevel="1">
      <c r="B105" s="735" t="s">
        <v>207</v>
      </c>
      <c r="C105" s="291"/>
      <c r="D105" s="107"/>
      <c r="E105" s="107"/>
      <c r="F105" s="107"/>
      <c r="G105" s="292"/>
      <c r="H105" s="291"/>
      <c r="I105" s="107"/>
      <c r="J105" s="107"/>
      <c r="K105" s="107"/>
      <c r="L105" s="292"/>
      <c r="M105" s="291"/>
      <c r="N105" s="107"/>
      <c r="O105" s="107"/>
      <c r="P105" s="107"/>
      <c r="Q105" s="292"/>
      <c r="R105" s="291"/>
      <c r="S105" s="107"/>
      <c r="T105" s="107"/>
      <c r="U105" s="107"/>
      <c r="V105" s="292"/>
      <c r="W105" s="291"/>
      <c r="X105" s="107"/>
      <c r="Y105" s="107"/>
      <c r="Z105" s="107"/>
      <c r="AA105" s="292"/>
      <c r="AB105" s="291"/>
      <c r="AC105" s="107"/>
      <c r="AD105" s="107"/>
      <c r="AE105" s="107"/>
      <c r="AF105" s="292"/>
      <c r="AG105" s="291"/>
      <c r="AH105" s="107"/>
      <c r="AI105" s="107"/>
      <c r="AJ105" s="107"/>
      <c r="AK105" s="292"/>
      <c r="AL105" s="291"/>
      <c r="AM105" s="107"/>
      <c r="AN105" s="107"/>
      <c r="AO105" s="107"/>
      <c r="AP105" s="292"/>
      <c r="AQ105" s="291"/>
      <c r="AR105" s="107"/>
      <c r="AS105" s="107"/>
      <c r="AT105" s="107"/>
      <c r="AU105" s="292"/>
      <c r="AV105" s="291"/>
      <c r="AW105" s="107"/>
      <c r="AX105" s="107"/>
      <c r="AY105" s="107"/>
      <c r="AZ105" s="292"/>
      <c r="BA105" s="291"/>
      <c r="BB105" s="107"/>
      <c r="BC105" s="107"/>
      <c r="BD105" s="107"/>
      <c r="BE105" s="292"/>
      <c r="BF105" s="291"/>
      <c r="BG105" s="107"/>
      <c r="BH105" s="107"/>
      <c r="BI105" s="107"/>
      <c r="BJ105" s="292"/>
      <c r="BK105" s="291"/>
      <c r="BL105" s="107"/>
      <c r="BM105" s="107"/>
      <c r="BN105" s="107"/>
      <c r="BO105" s="292"/>
      <c r="BP105" s="291"/>
      <c r="BQ105" s="107"/>
      <c r="BR105" s="107"/>
      <c r="BS105" s="107"/>
      <c r="BT105" s="292"/>
      <c r="BU105" s="291"/>
      <c r="BV105" s="107"/>
      <c r="BW105" s="107"/>
      <c r="BX105" s="107"/>
      <c r="BY105" s="292"/>
      <c r="BZ105" s="291"/>
      <c r="CA105" s="107"/>
      <c r="CB105" s="107"/>
      <c r="CC105" s="107"/>
      <c r="CD105" s="292"/>
      <c r="CE105" s="291"/>
      <c r="CF105" s="107"/>
      <c r="CG105" s="107"/>
      <c r="CH105" s="107"/>
      <c r="CI105" s="292"/>
      <c r="CJ105" s="291"/>
      <c r="CK105" s="107"/>
      <c r="CL105" s="107"/>
      <c r="CM105" s="107"/>
      <c r="CN105" s="292"/>
      <c r="CO105" s="291"/>
      <c r="CP105" s="107"/>
      <c r="CQ105" s="107"/>
      <c r="CR105" s="107"/>
      <c r="CS105" s="292"/>
      <c r="CT105" s="291"/>
      <c r="CU105" s="107"/>
      <c r="CV105" s="107"/>
      <c r="CW105" s="291"/>
      <c r="CX105" s="292"/>
      <c r="CY105" s="291">
        <f t="shared" ref="CY105:ED105" si="87">CY99/CY$50</f>
      </c>
      <c r="CZ105" s="107">
        <f t="shared" si="87"/>
      </c>
      <c r="DA105" s="107">
        <f t="shared" si="87"/>
      </c>
      <c r="DB105" s="291">
        <f t="shared" si="87"/>
      </c>
      <c r="DC105" s="292">
        <f t="shared" si="87"/>
      </c>
      <c r="DD105" s="291">
        <f t="shared" si="87"/>
      </c>
      <c r="DE105" s="107">
        <f t="shared" si="87"/>
      </c>
      <c r="DF105" s="107">
        <f t="shared" si="87"/>
      </c>
      <c r="DG105" s="291">
        <f t="shared" si="87"/>
      </c>
      <c r="DH105" s="292">
        <f t="shared" si="87"/>
      </c>
      <c r="DI105" s="291">
        <f t="shared" si="87"/>
      </c>
      <c r="DJ105" s="107">
        <f t="shared" si="87"/>
      </c>
      <c r="DK105" s="107">
        <f t="shared" si="87"/>
      </c>
      <c r="DL105" s="291">
        <f t="shared" si="87"/>
      </c>
      <c r="DM105" s="292">
        <f t="shared" si="87"/>
      </c>
      <c r="DN105" s="291">
        <f t="shared" si="87"/>
      </c>
      <c r="DO105" s="107">
        <f t="shared" si="87"/>
      </c>
      <c r="DP105" s="107">
        <f t="shared" si="87"/>
      </c>
      <c r="DQ105" s="291">
        <f t="shared" si="87"/>
      </c>
      <c r="DR105" s="292">
        <f t="shared" si="87"/>
      </c>
      <c r="DS105" s="291">
        <f t="shared" si="87"/>
      </c>
      <c r="DT105" s="107">
        <f t="shared" si="87"/>
      </c>
      <c r="DU105" s="107">
        <f t="shared" si="87"/>
      </c>
      <c r="DV105" s="291">
        <f t="shared" si="87"/>
      </c>
      <c r="DW105" s="292">
        <f t="shared" si="87"/>
      </c>
      <c r="DX105" s="291">
        <f t="shared" si="87"/>
      </c>
      <c r="DY105" s="107">
        <f t="shared" si="87"/>
      </c>
      <c r="DZ105" s="107">
        <f t="shared" si="87"/>
      </c>
      <c r="EA105" s="291">
        <f t="shared" si="87"/>
      </c>
      <c r="EB105" s="292">
        <f t="shared" si="87"/>
      </c>
      <c r="EC105" s="291">
        <f t="shared" si="87"/>
      </c>
      <c r="ED105" s="107">
        <f t="shared" si="87"/>
      </c>
      <c r="EE105" s="107">
        <f t="shared" ref="EE105:EV105" si="88">EE99/EE$50</f>
      </c>
      <c r="EF105" s="291">
        <f t="shared" si="88"/>
      </c>
      <c r="EG105" s="292">
        <f t="shared" si="88"/>
      </c>
      <c r="EH105" s="291">
        <f t="shared" si="88"/>
      </c>
      <c r="EI105" s="107">
        <f t="shared" si="88"/>
      </c>
      <c r="EJ105" s="107">
        <f t="shared" si="88"/>
      </c>
      <c r="EK105" s="291">
        <f t="shared" si="88"/>
      </c>
      <c r="EL105" s="292">
        <f t="shared" si="88"/>
      </c>
      <c r="EM105" s="291">
        <f t="shared" si="88"/>
      </c>
      <c r="EN105" s="107">
        <f t="shared" si="88"/>
      </c>
      <c r="EO105" s="107">
        <f t="shared" si="88"/>
      </c>
      <c r="EP105" s="291">
        <f t="shared" si="88"/>
      </c>
      <c r="EQ105" s="292">
        <f t="shared" si="88"/>
      </c>
      <c r="ER105" s="291">
        <f t="shared" si="88"/>
      </c>
      <c r="ES105" s="107">
        <f t="shared" si="88"/>
      </c>
      <c r="ET105" s="107">
        <f t="shared" si="88"/>
      </c>
      <c r="EU105" s="291">
        <f t="shared" si="88"/>
      </c>
      <c r="EV105" s="292">
        <f t="shared" si="88"/>
      </c>
      <c r="EW105" s="291"/>
      <c r="EX105" s="107"/>
      <c r="EY105" s="107"/>
      <c r="EZ105" s="291"/>
      <c r="FA105" s="292"/>
      <c r="FB105" s="291"/>
      <c r="FC105" s="107"/>
      <c r="FD105" s="107"/>
      <c r="FE105" s="291"/>
      <c r="FF105" s="292"/>
      <c r="FG105" s="291"/>
      <c r="FH105" s="107"/>
      <c r="FI105" s="107"/>
      <c r="FJ105" s="291"/>
      <c r="FK105" s="292"/>
      <c r="FL105" s="291"/>
      <c r="FM105" s="107"/>
      <c r="FN105" s="107"/>
      <c r="FO105" s="291"/>
      <c r="FP105" s="292"/>
      <c r="FQ105" s="291"/>
      <c r="FR105" s="107"/>
      <c r="FS105" s="107"/>
      <c r="FT105" s="291"/>
      <c r="FU105" s="292"/>
      <c r="FV105" s="291"/>
      <c r="FW105" s="107"/>
      <c r="FX105" s="107"/>
      <c r="FY105" s="107"/>
      <c r="FZ105" s="292"/>
      <c r="GA105" s="291"/>
      <c r="GB105" s="107"/>
      <c r="GC105" s="107"/>
      <c r="GD105" s="107"/>
      <c r="GE105" s="292"/>
      <c r="GF105" s="291"/>
      <c r="GG105" s="107"/>
      <c r="GH105" s="107"/>
      <c r="GI105" s="107"/>
      <c r="GJ105" s="384"/>
    </row>
    <row r="106" spans="1:192" ht="12.75" customHeight="1" collapsed="1">
      <c r="B106" s="732"/>
      <c r="C106" s="294"/>
      <c r="D106" s="295"/>
      <c r="E106" s="295"/>
      <c r="F106" s="295"/>
      <c r="G106" s="296"/>
      <c r="H106" s="294"/>
      <c r="I106" s="295"/>
      <c r="J106" s="295"/>
      <c r="K106" s="295"/>
      <c r="L106" s="296"/>
      <c r="M106" s="294"/>
      <c r="N106" s="295"/>
      <c r="O106" s="295"/>
      <c r="P106" s="295"/>
      <c r="Q106" s="296"/>
      <c r="R106" s="294"/>
      <c r="S106" s="295"/>
      <c r="T106" s="295"/>
      <c r="U106" s="295"/>
      <c r="V106" s="296"/>
      <c r="W106" s="294"/>
      <c r="X106" s="295"/>
      <c r="Y106" s="295"/>
      <c r="Z106" s="295"/>
      <c r="AA106" s="296"/>
      <c r="AB106" s="294"/>
      <c r="AC106" s="295"/>
      <c r="AD106" s="295"/>
      <c r="AE106" s="295"/>
      <c r="AF106" s="296"/>
      <c r="AG106" s="294"/>
      <c r="AH106" s="295"/>
      <c r="AI106" s="295"/>
      <c r="AJ106" s="295"/>
      <c r="AK106" s="296"/>
      <c r="AL106" s="294"/>
      <c r="AM106" s="295"/>
      <c r="AN106" s="295"/>
      <c r="AO106" s="295"/>
      <c r="AP106" s="296"/>
      <c r="AQ106" s="294"/>
      <c r="AR106" s="295"/>
      <c r="AS106" s="295"/>
      <c r="AT106" s="295"/>
      <c r="AU106" s="296"/>
      <c r="AV106" s="294"/>
      <c r="AW106" s="295"/>
      <c r="AX106" s="295"/>
      <c r="AY106" s="295"/>
      <c r="AZ106" s="296"/>
      <c r="BA106" s="294"/>
      <c r="BB106" s="295"/>
      <c r="BC106" s="295"/>
      <c r="BD106" s="295"/>
      <c r="BE106" s="296"/>
      <c r="BF106" s="294"/>
      <c r="BG106" s="295"/>
      <c r="BH106" s="295"/>
      <c r="BI106" s="295"/>
      <c r="BJ106" s="296"/>
      <c r="BK106" s="294"/>
      <c r="BL106" s="295"/>
      <c r="BM106" s="295"/>
      <c r="BN106" s="295"/>
      <c r="BO106" s="296"/>
      <c r="BP106" s="294"/>
      <c r="BQ106" s="295"/>
      <c r="BR106" s="295"/>
      <c r="BS106" s="295"/>
      <c r="BT106" s="296"/>
      <c r="BU106" s="294"/>
      <c r="BV106" s="295"/>
      <c r="BW106" s="295"/>
      <c r="BX106" s="295"/>
      <c r="BY106" s="296"/>
      <c r="BZ106" s="294"/>
      <c r="CA106" s="295"/>
      <c r="CB106" s="295"/>
      <c r="CC106" s="295"/>
      <c r="CD106" s="296"/>
      <c r="CE106" s="294"/>
      <c r="CF106" s="295"/>
      <c r="CG106" s="295"/>
      <c r="CH106" s="295"/>
      <c r="CI106" s="296"/>
      <c r="CJ106" s="294"/>
      <c r="CK106" s="295"/>
      <c r="CL106" s="295"/>
      <c r="CM106" s="295"/>
      <c r="CN106" s="296"/>
      <c r="CO106" s="294"/>
      <c r="CP106" s="295"/>
      <c r="CQ106" s="295"/>
      <c r="CR106" s="295"/>
      <c r="CS106" s="296"/>
      <c r="CT106" s="294"/>
      <c r="CU106" s="295"/>
      <c r="CV106" s="295"/>
      <c r="CW106" s="295"/>
      <c r="CX106" s="296"/>
      <c r="CY106" s="294"/>
      <c r="CZ106" s="295"/>
      <c r="DA106" s="295"/>
      <c r="DB106" s="295"/>
      <c r="DC106" s="296"/>
      <c r="DD106" s="294"/>
      <c r="DE106" s="295"/>
      <c r="DF106" s="295"/>
      <c r="DG106" s="295"/>
      <c r="DH106" s="296"/>
      <c r="DI106" s="294"/>
      <c r="DJ106" s="295"/>
      <c r="DK106" s="295"/>
      <c r="DL106" s="295"/>
      <c r="DM106" s="296"/>
      <c r="DN106" s="294"/>
      <c r="DO106" s="295"/>
      <c r="DP106" s="295"/>
      <c r="DQ106" s="295"/>
      <c r="DR106" s="296"/>
      <c r="DS106" s="294"/>
      <c r="DT106" s="295"/>
      <c r="DU106" s="295"/>
      <c r="DV106" s="295"/>
      <c r="DW106" s="296"/>
      <c r="DX106" s="294"/>
      <c r="DY106" s="295"/>
      <c r="DZ106" s="295"/>
      <c r="EA106" s="295"/>
      <c r="EB106" s="296"/>
      <c r="EC106" s="294"/>
      <c r="ED106" s="295"/>
      <c r="EE106" s="295"/>
      <c r="EF106" s="295"/>
      <c r="EG106" s="296"/>
      <c r="EH106" s="294"/>
      <c r="EI106" s="295"/>
      <c r="EJ106" s="295"/>
      <c r="EK106" s="295"/>
      <c r="EL106" s="296"/>
      <c r="EM106" s="918"/>
      <c r="EN106" s="295"/>
      <c r="EO106" s="295"/>
      <c r="EP106" s="295"/>
      <c r="EQ106" s="296"/>
      <c r="ER106" s="918"/>
      <c r="ES106" s="919"/>
      <c r="ET106" s="920"/>
      <c r="EU106" s="295"/>
      <c r="EV106" s="296"/>
      <c r="EW106" s="295"/>
      <c r="EX106" s="295"/>
      <c r="EY106" s="295"/>
      <c r="EZ106" s="295"/>
      <c r="FA106" s="296"/>
      <c r="FB106" s="294"/>
      <c r="FC106" s="295"/>
      <c r="FD106" s="295"/>
      <c r="FE106" s="295"/>
      <c r="FF106" s="296"/>
      <c r="FG106" s="294"/>
      <c r="FH106" s="295"/>
      <c r="FI106" s="295"/>
      <c r="FJ106" s="295"/>
      <c r="FK106" s="296"/>
      <c r="FL106" s="294"/>
      <c r="FM106" s="295"/>
      <c r="FN106" s="295"/>
      <c r="FO106" s="295"/>
      <c r="FP106" s="296"/>
      <c r="FQ106" s="294"/>
      <c r="FR106" s="295"/>
      <c r="FS106" s="295"/>
      <c r="FT106" s="295"/>
      <c r="FU106" s="296"/>
      <c r="FV106" s="294"/>
      <c r="FW106" s="295"/>
      <c r="FX106" s="295"/>
      <c r="FY106" s="295"/>
      <c r="FZ106" s="296"/>
      <c r="GA106" s="294"/>
      <c r="GB106" s="295"/>
      <c r="GC106" s="295"/>
      <c r="GD106" s="295"/>
      <c r="GE106" s="296"/>
      <c r="GF106" s="294"/>
      <c r="GG106" s="295"/>
      <c r="GH106" s="295"/>
      <c r="GI106" s="295"/>
      <c r="GJ106" s="383"/>
    </row>
    <row r="107" spans="1:192" s="701" customFormat="1" ht="12.75" customHeight="1">
      <c r="A107" s="850"/>
      <c r="B107" s="733" t="s">
        <v>205</v>
      </c>
      <c r="C107" s="495"/>
      <c r="D107" s="503"/>
      <c r="E107" s="503"/>
      <c r="F107" s="503"/>
      <c r="G107" s="916"/>
      <c r="H107" s="495"/>
      <c r="I107" s="503"/>
      <c r="J107" s="503"/>
      <c r="K107" s="503"/>
      <c r="L107" s="916"/>
      <c r="M107" s="495"/>
      <c r="N107" s="503"/>
      <c r="O107" s="503"/>
      <c r="P107" s="503"/>
      <c r="Q107" s="916"/>
      <c r="R107" s="495"/>
      <c r="S107" s="503"/>
      <c r="T107" s="503"/>
      <c r="U107" s="503"/>
      <c r="V107" s="916"/>
      <c r="W107" s="495"/>
      <c r="X107" s="503"/>
      <c r="Y107" s="503"/>
      <c r="Z107" s="503"/>
      <c r="AA107" s="916"/>
      <c r="AB107" s="495"/>
      <c r="AC107" s="503"/>
      <c r="AD107" s="503"/>
      <c r="AE107" s="503"/>
      <c r="AF107" s="916"/>
      <c r="AG107" s="495"/>
      <c r="AH107" s="503"/>
      <c r="AI107" s="503"/>
      <c r="AJ107" s="503"/>
      <c r="AK107" s="916"/>
      <c r="AL107" s="495"/>
      <c r="AM107" s="503"/>
      <c r="AN107" s="503"/>
      <c r="AO107" s="503"/>
      <c r="AP107" s="916"/>
      <c r="AQ107" s="495"/>
      <c r="AR107" s="503"/>
      <c r="AS107" s="503"/>
      <c r="AT107" s="503"/>
      <c r="AU107" s="916"/>
      <c r="AV107" s="495"/>
      <c r="AW107" s="503"/>
      <c r="AX107" s="503"/>
      <c r="AY107" s="503"/>
      <c r="AZ107" s="916"/>
      <c r="BA107" s="495"/>
      <c r="BB107" s="503"/>
      <c r="BC107" s="503"/>
      <c r="BD107" s="503"/>
      <c r="BE107" s="916"/>
      <c r="BF107" s="495"/>
      <c r="BG107" s="503"/>
      <c r="BH107" s="503"/>
      <c r="BI107" s="503"/>
      <c r="BJ107" s="916"/>
      <c r="BK107" s="495"/>
      <c r="BL107" s="503"/>
      <c r="BM107" s="503"/>
      <c r="BN107" s="503"/>
      <c r="BO107" s="916"/>
      <c r="BP107" s="495"/>
      <c r="BQ107" s="503"/>
      <c r="BR107" s="503"/>
      <c r="BS107" s="503"/>
      <c r="BT107" s="916"/>
      <c r="BU107" s="495"/>
      <c r="BV107" s="503"/>
      <c r="BW107" s="503"/>
      <c r="BX107" s="503"/>
      <c r="BY107" s="916"/>
      <c r="BZ107" s="495"/>
      <c r="CA107" s="503"/>
      <c r="CB107" s="503"/>
      <c r="CC107" s="503"/>
      <c r="CD107" s="916"/>
      <c r="CE107" s="495"/>
      <c r="CF107" s="503"/>
      <c r="CG107" s="503"/>
      <c r="CH107" s="503"/>
      <c r="CI107" s="916"/>
      <c r="CJ107" s="495"/>
      <c r="CK107" s="503"/>
      <c r="CL107" s="503"/>
      <c r="CM107" s="503"/>
      <c r="CN107" s="916"/>
      <c r="CO107" s="495"/>
      <c r="CP107" s="503"/>
      <c r="CQ107" s="503"/>
      <c r="CR107" s="503"/>
      <c r="CS107" s="916"/>
      <c r="CT107" s="495"/>
      <c r="CU107" s="503"/>
      <c r="CV107" s="503"/>
      <c r="CW107" s="503"/>
      <c r="CX107" s="916"/>
      <c r="CY107" s="495"/>
      <c r="CZ107" s="503"/>
      <c r="DA107" s="503"/>
      <c r="DB107" s="503"/>
      <c r="DC107" s="916"/>
      <c r="DD107" s="495"/>
      <c r="DE107" s="503"/>
      <c r="DF107" s="503"/>
      <c r="DG107" s="503"/>
      <c r="DH107" s="916"/>
      <c r="DI107" s="495"/>
      <c r="DJ107" s="503"/>
      <c r="DK107" s="503"/>
      <c r="DL107" s="503"/>
      <c r="DM107" s="916"/>
      <c r="DN107" s="495"/>
      <c r="DO107" s="503"/>
      <c r="DP107" s="503"/>
      <c r="DQ107" s="503"/>
      <c r="DR107" s="916"/>
      <c r="DS107" s="495"/>
      <c r="DT107" s="503"/>
      <c r="DU107" s="503"/>
      <c r="DV107" s="503"/>
      <c r="DW107" s="916"/>
      <c r="DX107" s="1470"/>
      <c r="DY107" s="503"/>
      <c r="DZ107" s="503"/>
      <c r="EA107" s="503"/>
      <c r="EB107" s="916"/>
      <c r="EC107" s="1470"/>
      <c r="ED107" s="503"/>
      <c r="EE107" s="503"/>
      <c r="EF107" s="503"/>
      <c r="EG107" s="916"/>
      <c r="EH107" s="1470"/>
      <c r="EI107" s="503"/>
      <c r="EJ107" s="503"/>
      <c r="EK107" s="503"/>
      <c r="EL107" s="916"/>
      <c r="EM107" s="1470"/>
      <c r="EN107" s="1470"/>
      <c r="EO107" s="503"/>
      <c r="EP107" s="503"/>
      <c r="EQ107" s="916"/>
      <c r="ER107" s="1470"/>
      <c r="ES107" s="1470"/>
      <c r="ET107" s="1470"/>
      <c r="EU107" s="1470"/>
      <c r="EV107" s="1454"/>
      <c r="EW107" s="1691"/>
      <c r="EX107" s="1470"/>
      <c r="EY107" s="1691"/>
      <c r="EZ107" s="503"/>
      <c r="FA107" s="916"/>
      <c r="FB107" s="495"/>
      <c r="FC107" s="1470"/>
      <c r="FD107" s="503"/>
      <c r="FE107" s="503"/>
      <c r="FF107" s="916"/>
      <c r="FG107" s="495"/>
      <c r="FH107" s="1470"/>
      <c r="FI107" s="503"/>
      <c r="FJ107" s="503"/>
      <c r="FK107" s="916"/>
      <c r="FL107" s="495"/>
      <c r="FM107" s="1470"/>
      <c r="FN107" s="503"/>
      <c r="FO107" s="503"/>
      <c r="FP107" s="916"/>
      <c r="FQ107" s="495"/>
      <c r="FR107" s="503"/>
      <c r="FS107" s="503"/>
      <c r="FT107" s="503"/>
      <c r="FU107" s="916"/>
      <c r="FV107" s="495"/>
      <c r="FW107" s="503"/>
      <c r="FX107" s="503"/>
      <c r="FY107" s="503"/>
      <c r="FZ107" s="916"/>
      <c r="GA107" s="495"/>
      <c r="GB107" s="503"/>
      <c r="GC107" s="503"/>
      <c r="GD107" s="503"/>
      <c r="GE107" s="916"/>
      <c r="GF107" s="495"/>
      <c r="GG107" s="503"/>
      <c r="GH107" s="503"/>
      <c r="GI107" s="503"/>
      <c r="GJ107" s="917"/>
    </row>
    <row r="108" spans="1:192" s="406" customFormat="1" ht="12.75" customHeight="1">
      <c r="A108" s="797"/>
      <c r="B108" s="748" t="s">
        <v>228</v>
      </c>
      <c r="C108" s="403"/>
      <c r="D108" s="404"/>
      <c r="E108" s="404"/>
      <c r="F108" s="404"/>
      <c r="G108" s="405"/>
      <c r="H108" s="403"/>
      <c r="I108" s="404"/>
      <c r="J108" s="404"/>
      <c r="K108" s="404"/>
      <c r="L108" s="405"/>
      <c r="M108" s="403"/>
      <c r="N108" s="404"/>
      <c r="O108" s="404"/>
      <c r="P108" s="404"/>
      <c r="Q108" s="405"/>
      <c r="R108" s="403"/>
      <c r="S108" s="404"/>
      <c r="T108" s="404"/>
      <c r="U108" s="404"/>
      <c r="V108" s="405"/>
      <c r="W108" s="403"/>
      <c r="X108" s="404"/>
      <c r="Y108" s="404"/>
      <c r="Z108" s="404"/>
      <c r="AA108" s="405"/>
      <c r="AB108" s="403"/>
      <c r="AC108" s="404"/>
      <c r="AD108" s="404"/>
      <c r="AE108" s="404"/>
      <c r="AF108" s="405"/>
      <c r="AG108" s="403"/>
      <c r="AH108" s="404"/>
      <c r="AI108" s="404"/>
      <c r="AJ108" s="404"/>
      <c r="AK108" s="405"/>
      <c r="AL108" s="403"/>
      <c r="AM108" s="404"/>
      <c r="AN108" s="404"/>
      <c r="AO108" s="404"/>
      <c r="AP108" s="405"/>
      <c r="AQ108" s="403"/>
      <c r="AR108" s="404"/>
      <c r="AS108" s="404"/>
      <c r="AT108" s="404"/>
      <c r="AU108" s="405"/>
      <c r="AV108" s="403"/>
      <c r="AW108" s="404"/>
      <c r="AX108" s="404"/>
      <c r="AY108" s="404"/>
      <c r="AZ108" s="405"/>
      <c r="BA108" s="403"/>
      <c r="BB108" s="404"/>
      <c r="BC108" s="404"/>
      <c r="BD108" s="404"/>
      <c r="BE108" s="405"/>
      <c r="BF108" s="403"/>
      <c r="BG108" s="404"/>
      <c r="BH108" s="404"/>
      <c r="BI108" s="404"/>
      <c r="BJ108" s="405"/>
      <c r="BK108" s="403"/>
      <c r="BL108" s="404"/>
      <c r="BM108" s="404"/>
      <c r="BN108" s="404"/>
      <c r="BO108" s="405"/>
      <c r="BP108" s="403"/>
      <c r="BQ108" s="404"/>
      <c r="BR108" s="404"/>
      <c r="BS108" s="404"/>
      <c r="BT108" s="405"/>
      <c r="BU108" s="403"/>
      <c r="BV108" s="404"/>
      <c r="BW108" s="404"/>
      <c r="BX108" s="404"/>
      <c r="BY108" s="405"/>
      <c r="BZ108" s="403"/>
      <c r="CA108" s="404"/>
      <c r="CB108" s="404"/>
      <c r="CC108" s="404"/>
      <c r="CD108" s="405"/>
      <c r="CE108" s="403"/>
      <c r="CF108" s="404"/>
      <c r="CG108" s="404"/>
      <c r="CH108" s="404"/>
      <c r="CI108" s="405"/>
      <c r="CJ108" s="316"/>
      <c r="CK108" s="312"/>
      <c r="CL108" s="312"/>
      <c r="CM108" s="312"/>
      <c r="CN108" s="456"/>
      <c r="CO108" s="312"/>
      <c r="CP108" s="312"/>
      <c r="CQ108" s="312"/>
      <c r="CR108" s="312"/>
      <c r="CS108" s="456"/>
      <c r="CT108" s="312"/>
      <c r="CU108" s="312"/>
      <c r="CV108" s="312"/>
      <c r="CW108" s="312"/>
      <c r="CX108" s="456"/>
      <c r="CY108" s="312"/>
      <c r="CZ108" s="312"/>
      <c r="DA108" s="312"/>
      <c r="DB108" s="312"/>
      <c r="DC108" s="456"/>
      <c r="DD108" s="312"/>
      <c r="DE108" s="312"/>
      <c r="DF108" s="312"/>
      <c r="DG108" s="312"/>
      <c r="DH108" s="456"/>
      <c r="DI108" s="312"/>
      <c r="DJ108" s="312"/>
      <c r="DK108" s="312"/>
      <c r="DL108" s="312"/>
      <c r="DM108" s="456"/>
      <c r="DN108" s="312"/>
      <c r="DO108" s="312"/>
      <c r="DP108" s="312"/>
      <c r="DQ108" s="312"/>
      <c r="DR108" s="456"/>
      <c r="DS108" s="312"/>
      <c r="DT108" s="312"/>
      <c r="DU108" s="312"/>
      <c r="DV108" s="312"/>
      <c r="DW108" s="456"/>
      <c r="DX108" s="312"/>
      <c r="DY108" s="312"/>
      <c r="DZ108" s="312"/>
      <c r="EA108" s="1159"/>
      <c r="EB108" s="456"/>
      <c r="EC108" s="312"/>
      <c r="ED108" s="312"/>
      <c r="EE108" s="312"/>
      <c r="EF108" s="312"/>
      <c r="EG108" s="456"/>
      <c r="EH108" s="312"/>
      <c r="EI108" s="312"/>
      <c r="EJ108" s="312"/>
      <c r="EK108" s="312"/>
      <c r="EL108" s="456"/>
      <c r="EM108" s="312">
        <f>ER108/(1+ER109)</f>
      </c>
      <c r="EN108" s="312">
        <f>ES108/(1+ES109)</f>
      </c>
      <c r="EO108" s="312">
        <f>ET108/(1+ET109)</f>
      </c>
      <c r="EP108" s="312">
        <f>EU108/(1+EU109)</f>
      </c>
      <c r="EQ108" s="456">
        <f>SUM(EM108:EP108)</f>
      </c>
      <c r="ER108" s="312">
        <f>EW108/(1+EW109)</f>
      </c>
      <c r="ES108" s="312">
        <f>ES90-ES209</f>
      </c>
      <c r="ET108" s="312">
        <f>ET90-ET209</f>
      </c>
      <c r="EU108" s="312">
        <f>EU90-EU209</f>
      </c>
      <c r="EV108" s="456">
        <f>SUM(ER108:EU108)</f>
      </c>
      <c r="EW108" s="312">
        <f>EW90-EW209</f>
      </c>
      <c r="EX108" s="312">
        <f>ES108*(1+EX109)</f>
      </c>
      <c r="EY108" s="312">
        <f>ET108*(1+EY109)</f>
      </c>
      <c r="EZ108" s="312">
        <f>EU108*(1+EZ109)</f>
      </c>
      <c r="FA108" s="456">
        <f>SUM(EW108:EZ108)</f>
      </c>
      <c r="FB108" s="312">
        <f>EW108*(1+FB109)</f>
      </c>
      <c r="FC108" s="312">
        <f>EX108*(1+FC109)</f>
      </c>
      <c r="FD108" s="312">
        <f>EY108*(1+FD109)</f>
      </c>
      <c r="FE108" s="312">
        <f>EZ108*(1+FE109)</f>
      </c>
      <c r="FF108" s="456">
        <f>SUM(FB108:FE108)</f>
      </c>
      <c r="FG108" s="312">
        <f>FB108*(1+FG109)</f>
      </c>
      <c r="FH108" s="312">
        <f>FC108*(1+FH109)</f>
      </c>
      <c r="FI108" s="312">
        <f>FD108*(1+FI109)</f>
      </c>
      <c r="FJ108" s="312">
        <f>FE108*(1+FJ109)</f>
      </c>
      <c r="FK108" s="456">
        <f>SUM(FG108:FJ108)</f>
      </c>
      <c r="FL108" s="312">
        <f>FG108*(1+FL109)</f>
      </c>
      <c r="FM108" s="312">
        <f>FH108*(1+FM109)</f>
      </c>
      <c r="FN108" s="312">
        <f>FI108*(1+FN109)</f>
      </c>
      <c r="FO108" s="312">
        <f>FJ108*(1+FO109)</f>
      </c>
      <c r="FP108" s="456">
        <f>SUM(FL108:FO108)</f>
      </c>
      <c r="FQ108" s="312">
        <f>FL108*(1+FQ109)</f>
      </c>
      <c r="FR108" s="312">
        <f>FM108*(1+FR109)</f>
      </c>
      <c r="FS108" s="312">
        <f>FN108*(1+FS109)</f>
      </c>
      <c r="FT108" s="312">
        <f>FO108*(1+FT109)</f>
      </c>
      <c r="FU108" s="1757">
        <f>SUM(FQ108:FT108)</f>
      </c>
      <c r="FV108" s="312">
        <f>FQ108*(1+FV109)</f>
      </c>
      <c r="FW108" s="312">
        <f>FR108*(1+FW109)</f>
      </c>
      <c r="FX108" s="312">
        <f>FS108*(1+FX109)</f>
      </c>
      <c r="FY108" s="312">
        <f>FT108*(1+FY109)</f>
      </c>
      <c r="FZ108" s="456">
        <f>SUM(FV108:FY108)</f>
      </c>
      <c r="GA108" s="312">
        <f>FV108*(1+GA109)</f>
      </c>
      <c r="GB108" s="312">
        <f>FW108*(1+GB109)</f>
      </c>
      <c r="GC108" s="312">
        <f>FX108*(1+GC109)</f>
      </c>
      <c r="GD108" s="312">
        <f>FY108*(1+GD109)</f>
      </c>
      <c r="GE108" s="456">
        <f>SUM(GA108:GD108)</f>
      </c>
      <c r="GF108" s="312">
        <f>GA108*(1+GF109)</f>
      </c>
      <c r="GG108" s="312">
        <f>GB108*(1+GG109)</f>
      </c>
      <c r="GH108" s="312">
        <f>GC108*(1+GH109)</f>
      </c>
      <c r="GI108" s="312">
        <f>GD108*(1+GI109)</f>
      </c>
      <c r="GJ108" s="499">
        <f>SUM(GF108:GI108)</f>
      </c>
    </row>
    <row r="109" spans="1:192" s="479" customFormat="1" ht="12.75" customHeight="1">
      <c r="A109" s="81" t="s">
        <v>337</v>
      </c>
      <c r="B109" s="1744" t="s">
        <v>34</v>
      </c>
      <c r="C109" s="291"/>
      <c r="D109" s="107"/>
      <c r="E109" s="107"/>
      <c r="F109" s="107"/>
      <c r="G109" s="293"/>
      <c r="H109" s="291"/>
      <c r="I109" s="107"/>
      <c r="J109" s="107"/>
      <c r="K109" s="107"/>
      <c r="L109" s="293"/>
      <c r="M109" s="291"/>
      <c r="N109" s="107"/>
      <c r="O109" s="107"/>
      <c r="P109" s="107"/>
      <c r="Q109" s="293"/>
      <c r="R109" s="291"/>
      <c r="S109" s="107"/>
      <c r="T109" s="107"/>
      <c r="U109" s="107"/>
      <c r="V109" s="293"/>
      <c r="W109" s="291"/>
      <c r="X109" s="107"/>
      <c r="Y109" s="107"/>
      <c r="Z109" s="107"/>
      <c r="AA109" s="293"/>
      <c r="AB109" s="291"/>
      <c r="AC109" s="107"/>
      <c r="AD109" s="107"/>
      <c r="AE109" s="107"/>
      <c r="AF109" s="293"/>
      <c r="AG109" s="291"/>
      <c r="AH109" s="107"/>
      <c r="AI109" s="107"/>
      <c r="AJ109" s="107"/>
      <c r="AK109" s="293"/>
      <c r="AL109" s="291"/>
      <c r="AM109" s="107"/>
      <c r="AN109" s="107"/>
      <c r="AO109" s="107"/>
      <c r="AP109" s="293"/>
      <c r="AQ109" s="291"/>
      <c r="AR109" s="107"/>
      <c r="AS109" s="107"/>
      <c r="AT109" s="107"/>
      <c r="AU109" s="293"/>
      <c r="AV109" s="291"/>
      <c r="AW109" s="107"/>
      <c r="AX109" s="107"/>
      <c r="AY109" s="107"/>
      <c r="AZ109" s="293"/>
      <c r="BA109" s="291"/>
      <c r="BB109" s="107"/>
      <c r="BC109" s="107"/>
      <c r="BD109" s="107"/>
      <c r="BE109" s="293"/>
      <c r="BF109" s="291"/>
      <c r="BG109" s="107"/>
      <c r="BH109" s="107"/>
      <c r="BI109" s="107"/>
      <c r="BJ109" s="293"/>
      <c r="BK109" s="291"/>
      <c r="BL109" s="107"/>
      <c r="BM109" s="107"/>
      <c r="BN109" s="107"/>
      <c r="BO109" s="293"/>
      <c r="BP109" s="291"/>
      <c r="BQ109" s="107"/>
      <c r="BR109" s="107"/>
      <c r="BS109" s="107"/>
      <c r="BT109" s="293"/>
      <c r="BU109" s="291"/>
      <c r="BV109" s="107"/>
      <c r="BW109" s="107"/>
      <c r="BX109" s="107"/>
      <c r="BY109" s="293"/>
      <c r="BZ109" s="291"/>
      <c r="CA109" s="107"/>
      <c r="CB109" s="107"/>
      <c r="CC109" s="107"/>
      <c r="CD109" s="293"/>
      <c r="CE109" s="291"/>
      <c r="CF109" s="107"/>
      <c r="CG109" s="107"/>
      <c r="CH109" s="107"/>
      <c r="CI109" s="293"/>
      <c r="CJ109" s="465"/>
      <c r="CK109" s="107"/>
      <c r="CL109" s="107"/>
      <c r="CM109" s="107"/>
      <c r="CN109" s="293"/>
      <c r="CO109" s="441"/>
      <c r="CP109" s="439"/>
      <c r="CQ109" s="439"/>
      <c r="CR109" s="439"/>
      <c r="CS109" s="293"/>
      <c r="CT109" s="441"/>
      <c r="CU109" s="439"/>
      <c r="CV109" s="439"/>
      <c r="CW109" s="439"/>
      <c r="CX109" s="293"/>
      <c r="CY109" s="412"/>
      <c r="CZ109" s="439"/>
      <c r="DA109" s="439"/>
      <c r="DB109" s="439"/>
      <c r="DC109" s="293"/>
      <c r="DD109" s="349"/>
      <c r="DE109" s="468"/>
      <c r="DF109" s="468"/>
      <c r="DG109" s="114"/>
      <c r="DH109" s="293"/>
      <c r="DI109" s="412"/>
      <c r="DJ109" s="114"/>
      <c r="DK109" s="114"/>
      <c r="DL109" s="114"/>
      <c r="DM109" s="293"/>
      <c r="DN109" s="412"/>
      <c r="DO109" s="114"/>
      <c r="DP109" s="114"/>
      <c r="DQ109" s="114"/>
      <c r="DR109" s="293"/>
      <c r="DS109" s="412"/>
      <c r="DT109" s="114"/>
      <c r="DU109" s="114"/>
      <c r="DV109" s="114"/>
      <c r="DW109" s="293"/>
      <c r="DX109" s="412"/>
      <c r="DY109" s="114"/>
      <c r="DZ109" s="114"/>
      <c r="EA109" s="114"/>
      <c r="EB109" s="293"/>
      <c r="EC109" s="412"/>
      <c r="ED109" s="114"/>
      <c r="EE109" s="114"/>
      <c r="EF109" s="114"/>
      <c r="EG109" s="293"/>
      <c r="EH109" s="412"/>
      <c r="EI109" s="114"/>
      <c r="EJ109" s="114"/>
      <c r="EK109" s="114"/>
      <c r="EL109" s="414"/>
      <c r="EM109" s="412"/>
      <c r="EN109" s="114"/>
      <c r="EO109" s="114"/>
      <c r="EP109" s="114"/>
      <c r="EQ109" s="293"/>
      <c r="ER109" s="412">
        <v>0.31</v>
      </c>
      <c r="ES109" s="114">
        <v>0.33</v>
      </c>
      <c r="ET109" s="439">
        <v>0.35</v>
      </c>
      <c r="EU109" s="439">
        <v>0.34</v>
      </c>
      <c r="EV109" s="414">
        <v>0.33</v>
      </c>
      <c r="EW109" s="441">
        <v>0.33</v>
      </c>
      <c r="EX109" s="441">
        <v>0.31</v>
      </c>
      <c r="EY109" s="441">
        <v>0.33</v>
      </c>
      <c r="EZ109" s="441">
        <v>0.39</v>
      </c>
      <c r="FA109" s="293">
        <f>FA108/EV108-1</f>
      </c>
      <c r="FB109" s="349">
        <f>FB123+FB141</f>
      </c>
      <c r="FC109" s="349">
        <f>FC123+FC141</f>
      </c>
      <c r="FD109" s="349">
        <f>FD123+FD141</f>
      </c>
      <c r="FE109" s="349">
        <f>FE123+FE141</f>
      </c>
      <c r="FF109" s="293">
        <f>FF108/FA108-1</f>
      </c>
      <c r="FG109" s="349">
        <f>FG123+FG141</f>
      </c>
      <c r="FH109" s="349">
        <f>FH123+FH141</f>
      </c>
      <c r="FI109" s="349">
        <f>FI123+FI141</f>
      </c>
      <c r="FJ109" s="349">
        <f>FJ123+FJ141</f>
      </c>
      <c r="FK109" s="293">
        <f>FK108/FF108-1</f>
      </c>
      <c r="FL109" s="412">
        <f>FJ110-2%</f>
      </c>
      <c r="FM109" s="412">
        <f t="shared" ref="FM109:FO110" si="89">FL109</f>
      </c>
      <c r="FN109" s="412">
        <f t="shared" si="89"/>
      </c>
      <c r="FO109" s="412">
        <f t="shared" si="89"/>
      </c>
      <c r="FP109" s="293">
        <f>FP108/FK108-1</f>
      </c>
      <c r="FQ109" s="412">
        <f>FL109-2%</f>
      </c>
      <c r="FR109" s="412">
        <f t="shared" ref="FR109:FT110" si="90">FQ109</f>
      </c>
      <c r="FS109" s="412">
        <f t="shared" si="90"/>
      </c>
      <c r="FT109" s="412">
        <f t="shared" si="90"/>
      </c>
      <c r="FU109" s="293">
        <f>FU108/FP108-1</f>
      </c>
      <c r="FV109" s="412">
        <f>FQ109-2%</f>
      </c>
      <c r="FW109" s="412">
        <f t="shared" ref="FW109:FY110" si="91">FV109</f>
      </c>
      <c r="FX109" s="412">
        <f t="shared" si="91"/>
      </c>
      <c r="FY109" s="412">
        <f t="shared" si="91"/>
      </c>
      <c r="FZ109" s="293">
        <f>FZ108/FU108-1</f>
      </c>
      <c r="GA109" s="412">
        <f>FV109-1%</f>
      </c>
      <c r="GB109" s="412">
        <f t="shared" ref="GB109:GD110" si="92">GA109</f>
      </c>
      <c r="GC109" s="412">
        <f t="shared" si="92"/>
      </c>
      <c r="GD109" s="412">
        <f t="shared" si="92"/>
      </c>
      <c r="GE109" s="293">
        <f>GE108/FZ108-1</f>
      </c>
      <c r="GF109" s="412">
        <f>GA109-1%</f>
      </c>
      <c r="GG109" s="412">
        <f t="shared" ref="GG109:GG110" si="93">GF109</f>
      </c>
      <c r="GH109" s="412">
        <f t="shared" ref="GH109:GH110" si="94">GG109</f>
      </c>
      <c r="GI109" s="412">
        <f t="shared" ref="GI109:GI110" si="95">GH109</f>
      </c>
      <c r="GJ109" s="382">
        <f>GJ108/GE108-1</f>
      </c>
    </row>
    <row r="110" spans="1:192" s="476" customFormat="1" ht="12.75" customHeight="1">
      <c r="A110" s="784" t="s">
        <v>336</v>
      </c>
      <c r="B110" s="1744" t="s">
        <v>197</v>
      </c>
      <c r="C110" s="291"/>
      <c r="D110" s="107"/>
      <c r="E110" s="107"/>
      <c r="F110" s="107"/>
      <c r="G110" s="293"/>
      <c r="H110" s="291"/>
      <c r="I110" s="107"/>
      <c r="J110" s="107"/>
      <c r="K110" s="107"/>
      <c r="L110" s="293"/>
      <c r="M110" s="291"/>
      <c r="N110" s="107"/>
      <c r="O110" s="107"/>
      <c r="P110" s="107"/>
      <c r="Q110" s="293"/>
      <c r="R110" s="291"/>
      <c r="S110" s="107"/>
      <c r="T110" s="107"/>
      <c r="U110" s="107"/>
      <c r="V110" s="293"/>
      <c r="W110" s="291"/>
      <c r="X110" s="107"/>
      <c r="Y110" s="107"/>
      <c r="Z110" s="107"/>
      <c r="AA110" s="293"/>
      <c r="AB110" s="291"/>
      <c r="AC110" s="107"/>
      <c r="AD110" s="107"/>
      <c r="AE110" s="107"/>
      <c r="AF110" s="293"/>
      <c r="AG110" s="291"/>
      <c r="AH110" s="107"/>
      <c r="AI110" s="107"/>
      <c r="AJ110" s="107"/>
      <c r="AK110" s="293"/>
      <c r="AL110" s="291"/>
      <c r="AM110" s="107"/>
      <c r="AN110" s="107"/>
      <c r="AO110" s="107"/>
      <c r="AP110" s="293"/>
      <c r="AQ110" s="291"/>
      <c r="AR110" s="107"/>
      <c r="AS110" s="107"/>
      <c r="AT110" s="107"/>
      <c r="AU110" s="293"/>
      <c r="AV110" s="291"/>
      <c r="AW110" s="107"/>
      <c r="AX110" s="107"/>
      <c r="AY110" s="107"/>
      <c r="AZ110" s="293"/>
      <c r="BA110" s="291"/>
      <c r="BB110" s="107"/>
      <c r="BC110" s="107"/>
      <c r="BD110" s="107"/>
      <c r="BE110" s="293"/>
      <c r="BF110" s="291"/>
      <c r="BG110" s="107"/>
      <c r="BH110" s="107"/>
      <c r="BI110" s="107"/>
      <c r="BJ110" s="293"/>
      <c r="BK110" s="291"/>
      <c r="BL110" s="107"/>
      <c r="BM110" s="107"/>
      <c r="BN110" s="107"/>
      <c r="BO110" s="293"/>
      <c r="BP110" s="291"/>
      <c r="BQ110" s="107"/>
      <c r="BR110" s="107"/>
      <c r="BS110" s="107"/>
      <c r="BT110" s="293"/>
      <c r="BU110" s="291"/>
      <c r="BV110" s="107"/>
      <c r="BW110" s="107"/>
      <c r="BX110" s="107"/>
      <c r="BY110" s="293"/>
      <c r="BZ110" s="291"/>
      <c r="CA110" s="107"/>
      <c r="CB110" s="107"/>
      <c r="CC110" s="107"/>
      <c r="CD110" s="293"/>
      <c r="CE110" s="291"/>
      <c r="CF110" s="107"/>
      <c r="CG110" s="107"/>
      <c r="CH110" s="107"/>
      <c r="CI110" s="293"/>
      <c r="CJ110" s="291"/>
      <c r="CK110" s="107"/>
      <c r="CL110" s="107"/>
      <c r="CM110" s="107"/>
      <c r="CN110" s="293"/>
      <c r="CO110" s="291"/>
      <c r="CP110" s="107"/>
      <c r="CQ110" s="107"/>
      <c r="CR110" s="107"/>
      <c r="CS110" s="293"/>
      <c r="CT110" s="412"/>
      <c r="CU110" s="114"/>
      <c r="CV110" s="114"/>
      <c r="CW110" s="114"/>
      <c r="CX110" s="293"/>
      <c r="CY110" s="412"/>
      <c r="CZ110" s="114"/>
      <c r="DA110" s="114"/>
      <c r="DB110" s="114"/>
      <c r="DC110" s="293"/>
      <c r="DD110" s="412"/>
      <c r="DE110" s="114"/>
      <c r="DF110" s="114"/>
      <c r="DG110" s="114"/>
      <c r="DH110" s="293"/>
      <c r="DI110" s="412"/>
      <c r="DJ110" s="114"/>
      <c r="DK110" s="114"/>
      <c r="DL110" s="114"/>
      <c r="DM110" s="293"/>
      <c r="DN110" s="412"/>
      <c r="DO110" s="114"/>
      <c r="DP110" s="114"/>
      <c r="DQ110" s="114"/>
      <c r="DR110" s="293"/>
      <c r="DS110" s="412"/>
      <c r="DT110" s="114"/>
      <c r="DU110" s="114"/>
      <c r="DV110" s="114"/>
      <c r="DW110" s="293"/>
      <c r="DX110" s="412"/>
      <c r="DY110" s="114"/>
      <c r="DZ110" s="114"/>
      <c r="EA110" s="114"/>
      <c r="EB110" s="293"/>
      <c r="EC110" s="441"/>
      <c r="ED110" s="439"/>
      <c r="EE110" s="439"/>
      <c r="EF110" s="439"/>
      <c r="EG110" s="293"/>
      <c r="EH110" s="412"/>
      <c r="EI110" s="114"/>
      <c r="EJ110" s="114"/>
      <c r="EK110" s="114"/>
      <c r="EL110" s="293"/>
      <c r="EM110" s="412"/>
      <c r="EN110" s="114"/>
      <c r="EO110" s="114"/>
      <c r="EP110" s="114"/>
      <c r="EQ110" s="293"/>
      <c r="ER110" s="412">
        <v>0.3</v>
      </c>
      <c r="ES110" s="114">
        <v>0.31</v>
      </c>
      <c r="ET110" s="439">
        <v>0.35</v>
      </c>
      <c r="EU110" s="439">
        <v>0.35</v>
      </c>
      <c r="EV110" s="293"/>
      <c r="EW110" s="441">
        <v>0.34</v>
      </c>
      <c r="EX110" s="441">
        <v>0.31</v>
      </c>
      <c r="EY110" s="441">
        <v>0.35</v>
      </c>
      <c r="EZ110" s="441">
        <v>0.39</v>
      </c>
      <c r="FA110" s="414"/>
      <c r="FB110" s="412">
        <f>FB109-1%</f>
      </c>
      <c r="FC110" s="412">
        <f t="shared" ref="FC110:FE110" si="96">FC109-0.5%</f>
      </c>
      <c r="FD110" s="412">
        <f t="shared" si="96"/>
      </c>
      <c r="FE110" s="412">
        <f t="shared" si="96"/>
      </c>
      <c r="FF110" s="414"/>
      <c r="FG110" s="412">
        <f>FG109</f>
      </c>
      <c r="FH110" s="412">
        <v>0.31</v>
      </c>
      <c r="FI110" s="412">
        <v>0.32</v>
      </c>
      <c r="FJ110" s="412">
        <f t="shared" ref="FJ110" si="97">FI110</f>
      </c>
      <c r="FK110" s="414"/>
      <c r="FL110" s="412">
        <f>FL109</f>
      </c>
      <c r="FM110" s="412">
        <f t="shared" si="89"/>
      </c>
      <c r="FN110" s="412">
        <f t="shared" si="89"/>
      </c>
      <c r="FO110" s="412">
        <f t="shared" si="89"/>
      </c>
      <c r="FP110" s="293"/>
      <c r="FQ110" s="412">
        <f>FQ109</f>
      </c>
      <c r="FR110" s="412">
        <f t="shared" si="90"/>
      </c>
      <c r="FS110" s="412">
        <f t="shared" si="90"/>
      </c>
      <c r="FT110" s="412">
        <f t="shared" si="90"/>
      </c>
      <c r="FU110" s="293"/>
      <c r="FV110" s="412">
        <f>FV109</f>
      </c>
      <c r="FW110" s="412">
        <f t="shared" si="91"/>
      </c>
      <c r="FX110" s="412">
        <f t="shared" si="91"/>
      </c>
      <c r="FY110" s="412">
        <f t="shared" si="91"/>
      </c>
      <c r="FZ110" s="293"/>
      <c r="GA110" s="412">
        <f>GA109</f>
      </c>
      <c r="GB110" s="412">
        <f t="shared" si="92"/>
      </c>
      <c r="GC110" s="412">
        <f t="shared" si="92"/>
      </c>
      <c r="GD110" s="412">
        <f t="shared" si="92"/>
      </c>
      <c r="GE110" s="293"/>
      <c r="GF110" s="412">
        <f>GF109</f>
      </c>
      <c r="GG110" s="412">
        <f t="shared" si="93"/>
      </c>
      <c r="GH110" s="412">
        <f t="shared" si="94"/>
      </c>
      <c r="GI110" s="412">
        <f t="shared" si="95"/>
      </c>
      <c r="GJ110" s="382"/>
    </row>
    <row r="111" spans="1:192" s="479" customFormat="1" ht="12.75" customHeight="1">
      <c r="A111" s="81"/>
      <c r="B111" s="1744" t="s">
        <v>36</v>
      </c>
      <c r="C111" s="291"/>
      <c r="D111" s="107"/>
      <c r="E111" s="107"/>
      <c r="F111" s="107"/>
      <c r="G111" s="293"/>
      <c r="H111" s="291"/>
      <c r="I111" s="107"/>
      <c r="J111" s="107"/>
      <c r="K111" s="107"/>
      <c r="L111" s="293"/>
      <c r="M111" s="291"/>
      <c r="N111" s="107"/>
      <c r="O111" s="107"/>
      <c r="P111" s="107"/>
      <c r="Q111" s="293"/>
      <c r="R111" s="291"/>
      <c r="S111" s="107"/>
      <c r="T111" s="107"/>
      <c r="U111" s="107"/>
      <c r="V111" s="293"/>
      <c r="W111" s="291"/>
      <c r="X111" s="107"/>
      <c r="Y111" s="107"/>
      <c r="Z111" s="107"/>
      <c r="AA111" s="293"/>
      <c r="AB111" s="291"/>
      <c r="AC111" s="107"/>
      <c r="AD111" s="107"/>
      <c r="AE111" s="107"/>
      <c r="AF111" s="293"/>
      <c r="AG111" s="291"/>
      <c r="AH111" s="107"/>
      <c r="AI111" s="107"/>
      <c r="AJ111" s="107"/>
      <c r="AK111" s="293"/>
      <c r="AL111" s="291"/>
      <c r="AM111" s="107"/>
      <c r="AN111" s="107"/>
      <c r="AO111" s="107"/>
      <c r="AP111" s="293"/>
      <c r="AQ111" s="291"/>
      <c r="AR111" s="107"/>
      <c r="AS111" s="107"/>
      <c r="AT111" s="107"/>
      <c r="AU111" s="293"/>
      <c r="AV111" s="291"/>
      <c r="AW111" s="107"/>
      <c r="AX111" s="107"/>
      <c r="AY111" s="107"/>
      <c r="AZ111" s="293"/>
      <c r="BA111" s="291"/>
      <c r="BB111" s="107"/>
      <c r="BC111" s="107"/>
      <c r="BD111" s="107"/>
      <c r="BE111" s="293"/>
      <c r="BF111" s="291"/>
      <c r="BG111" s="107"/>
      <c r="BH111" s="107"/>
      <c r="BI111" s="107"/>
      <c r="BJ111" s="293"/>
      <c r="BK111" s="291"/>
      <c r="BL111" s="107"/>
      <c r="BM111" s="107"/>
      <c r="BN111" s="107"/>
      <c r="BO111" s="293"/>
      <c r="BP111" s="291"/>
      <c r="BQ111" s="107"/>
      <c r="BR111" s="107"/>
      <c r="BS111" s="107"/>
      <c r="BT111" s="293"/>
      <c r="BU111" s="291"/>
      <c r="BV111" s="107"/>
      <c r="BW111" s="107"/>
      <c r="BX111" s="107"/>
      <c r="BY111" s="293"/>
      <c r="BZ111" s="291"/>
      <c r="CA111" s="107"/>
      <c r="CB111" s="107"/>
      <c r="CC111" s="107"/>
      <c r="CD111" s="293"/>
      <c r="CE111" s="291"/>
      <c r="CF111" s="107"/>
      <c r="CG111" s="107"/>
      <c r="CH111" s="107"/>
      <c r="CI111" s="293"/>
      <c r="CJ111" s="291"/>
      <c r="CK111" s="107"/>
      <c r="CL111" s="107"/>
      <c r="CM111" s="107"/>
      <c r="CN111" s="293"/>
      <c r="CO111" s="291"/>
      <c r="CP111" s="107"/>
      <c r="CQ111" s="107"/>
      <c r="CR111" s="107"/>
      <c r="CS111" s="293"/>
      <c r="CT111" s="291"/>
      <c r="CU111" s="107"/>
      <c r="CV111" s="107"/>
      <c r="CW111" s="107"/>
      <c r="CX111" s="293"/>
      <c r="CY111" s="291"/>
      <c r="CZ111" s="107"/>
      <c r="DA111" s="107"/>
      <c r="DB111" s="107"/>
      <c r="DC111" s="293"/>
      <c r="DD111" s="291"/>
      <c r="DE111" s="107"/>
      <c r="DF111" s="107"/>
      <c r="DG111" s="107"/>
      <c r="DH111" s="293"/>
      <c r="DI111" s="291"/>
      <c r="DJ111" s="107"/>
      <c r="DK111" s="107"/>
      <c r="DL111" s="107"/>
      <c r="DM111" s="293"/>
      <c r="DN111" s="291"/>
      <c r="DO111" s="107"/>
      <c r="DP111" s="107"/>
      <c r="DQ111" s="107"/>
      <c r="DR111" s="293"/>
      <c r="DS111" s="291"/>
      <c r="DT111" s="107"/>
      <c r="DU111" s="107"/>
      <c r="DV111" s="107"/>
      <c r="DW111" s="293"/>
      <c r="DX111" s="291"/>
      <c r="DY111" s="107"/>
      <c r="DZ111" s="107"/>
      <c r="EA111" s="107"/>
      <c r="EB111" s="293"/>
      <c r="EC111" s="349"/>
      <c r="ED111" s="468"/>
      <c r="EE111" s="468"/>
      <c r="EF111" s="468"/>
      <c r="EG111" s="293"/>
      <c r="EH111" s="291"/>
      <c r="EI111" s="107"/>
      <c r="EJ111" s="107"/>
      <c r="EK111" s="107"/>
      <c r="EL111" s="293"/>
      <c r="EM111" s="291"/>
      <c r="EN111" s="107">
        <f>EN108/EM108-1</f>
      </c>
      <c r="EO111" s="107">
        <f>EO108/EN108-1</f>
      </c>
      <c r="EP111" s="107">
        <f>EP108/EO108-1</f>
      </c>
      <c r="EQ111" s="293"/>
      <c r="ER111" s="291">
        <f>ER108/EP108-1</f>
      </c>
      <c r="ES111" s="107">
        <f>ES108/ER108-1</f>
      </c>
      <c r="ET111" s="107">
        <f>ET108/ES108-1</f>
      </c>
      <c r="EU111" s="107">
        <f>EU108/ET108-1</f>
      </c>
      <c r="EV111" s="293"/>
      <c r="EW111" s="291">
        <f>EW108/EU108-1</f>
      </c>
      <c r="EX111" s="107">
        <f>EX108/EW108-1</f>
      </c>
      <c r="EY111" s="107">
        <f>EY108/EX108-1</f>
      </c>
      <c r="EZ111" s="107">
        <f>EZ108/EY108-1</f>
      </c>
      <c r="FA111" s="293"/>
      <c r="FB111" s="291">
        <f>FB108/EZ108-1</f>
      </c>
      <c r="FC111" s="107">
        <f>FC108/FB108-1</f>
      </c>
      <c r="FD111" s="107">
        <f>FD108/FC108-1</f>
      </c>
      <c r="FE111" s="107">
        <f>FE108/FD108-1</f>
      </c>
      <c r="FF111" s="293"/>
      <c r="FG111" s="291">
        <f>FG108/FE108-1</f>
      </c>
      <c r="FH111" s="107">
        <f>FH108/FG108-1</f>
      </c>
      <c r="FI111" s="107">
        <f>FI108/FH108-1</f>
      </c>
      <c r="FJ111" s="107">
        <f>FJ108/FI108-1</f>
      </c>
      <c r="FK111" s="293"/>
      <c r="FL111" s="291">
        <f>FL108/FJ108-1</f>
      </c>
      <c r="FM111" s="107">
        <f>FM108/FL108-1</f>
      </c>
      <c r="FN111" s="107">
        <f>FN108/FM108-1</f>
      </c>
      <c r="FO111" s="107">
        <f>FO108/FN108-1</f>
      </c>
      <c r="FP111" s="293"/>
      <c r="FQ111" s="291">
        <f>FQ108/FO108-1</f>
      </c>
      <c r="FR111" s="107">
        <f>FR108/FQ108-1</f>
      </c>
      <c r="FS111" s="107">
        <f>FS108/FR108-1</f>
      </c>
      <c r="FT111" s="107">
        <f>FT108/FS108-1</f>
      </c>
      <c r="FU111" s="293"/>
      <c r="FV111" s="291">
        <f>FV108/FT108-1</f>
      </c>
      <c r="FW111" s="107">
        <f>FW108/FV108-1</f>
      </c>
      <c r="FX111" s="107">
        <f>FX108/FW108-1</f>
      </c>
      <c r="FY111" s="107">
        <f>FY108/FX108-1</f>
      </c>
      <c r="FZ111" s="293"/>
      <c r="GA111" s="291">
        <f>GA108/FY108-1</f>
      </c>
      <c r="GB111" s="107">
        <f>GB108/GA108-1</f>
      </c>
      <c r="GC111" s="107">
        <f>GC108/GB108-1</f>
      </c>
      <c r="GD111" s="107">
        <f>GD108/GC108-1</f>
      </c>
      <c r="GE111" s="293"/>
      <c r="GF111" s="291">
        <f>GF108/GD108-1</f>
      </c>
      <c r="GG111" s="107">
        <f>GG108/GF108-1</f>
      </c>
      <c r="GH111" s="107">
        <f>GH108/GG108-1</f>
      </c>
      <c r="GI111" s="107">
        <f>GI108/GH108-1</f>
      </c>
      <c r="GJ111" s="382"/>
    </row>
    <row r="112" spans="1:192" ht="12.75" customHeight="1">
      <c r="B112" s="735" t="s">
        <v>243</v>
      </c>
      <c r="C112" s="291"/>
      <c r="D112" s="107"/>
      <c r="E112" s="107"/>
      <c r="F112" s="107"/>
      <c r="G112" s="293"/>
      <c r="H112" s="291"/>
      <c r="I112" s="107"/>
      <c r="J112" s="107"/>
      <c r="K112" s="107"/>
      <c r="L112" s="293"/>
      <c r="M112" s="291"/>
      <c r="N112" s="107"/>
      <c r="O112" s="107"/>
      <c r="P112" s="107"/>
      <c r="Q112" s="293"/>
      <c r="R112" s="291"/>
      <c r="S112" s="107"/>
      <c r="T112" s="107"/>
      <c r="U112" s="107"/>
      <c r="V112" s="293"/>
      <c r="W112" s="291"/>
      <c r="X112" s="107"/>
      <c r="Y112" s="107"/>
      <c r="Z112" s="107"/>
      <c r="AA112" s="293"/>
      <c r="AB112" s="291"/>
      <c r="AC112" s="107"/>
      <c r="AD112" s="107"/>
      <c r="AE112" s="107"/>
      <c r="AF112" s="293"/>
      <c r="AG112" s="291"/>
      <c r="AH112" s="107"/>
      <c r="AI112" s="107"/>
      <c r="AJ112" s="107"/>
      <c r="AK112" s="293"/>
      <c r="AL112" s="291"/>
      <c r="AM112" s="107"/>
      <c r="AN112" s="107"/>
      <c r="AO112" s="107"/>
      <c r="AP112" s="293"/>
      <c r="AQ112" s="291"/>
      <c r="AR112" s="107"/>
      <c r="AS112" s="107"/>
      <c r="AT112" s="107"/>
      <c r="AU112" s="293"/>
      <c r="AV112" s="291"/>
      <c r="AW112" s="107"/>
      <c r="AX112" s="107"/>
      <c r="AY112" s="107"/>
      <c r="AZ112" s="293"/>
      <c r="BA112" s="291"/>
      <c r="BB112" s="107"/>
      <c r="BC112" s="107"/>
      <c r="BD112" s="107"/>
      <c r="BE112" s="293"/>
      <c r="BF112" s="291"/>
      <c r="BG112" s="107"/>
      <c r="BH112" s="107"/>
      <c r="BI112" s="107"/>
      <c r="BJ112" s="293"/>
      <c r="BK112" s="291"/>
      <c r="BL112" s="107"/>
      <c r="BM112" s="107"/>
      <c r="BN112" s="107"/>
      <c r="BO112" s="293"/>
      <c r="BP112" s="291"/>
      <c r="BQ112" s="107"/>
      <c r="BR112" s="107"/>
      <c r="BS112" s="107"/>
      <c r="BT112" s="293"/>
      <c r="BU112" s="291"/>
      <c r="BV112" s="107"/>
      <c r="BW112" s="107"/>
      <c r="BX112" s="107"/>
      <c r="BY112" s="293"/>
      <c r="BZ112" s="291"/>
      <c r="CA112" s="107"/>
      <c r="CB112" s="107"/>
      <c r="CC112" s="107"/>
      <c r="CD112" s="293"/>
      <c r="CE112" s="291"/>
      <c r="CF112" s="107"/>
      <c r="CG112" s="107"/>
      <c r="CH112" s="107"/>
      <c r="CI112" s="293"/>
      <c r="CJ112" s="291"/>
      <c r="CK112" s="107"/>
      <c r="CL112" s="107"/>
      <c r="CM112" s="107"/>
      <c r="CN112" s="293"/>
      <c r="CO112" s="447"/>
      <c r="CP112" s="447"/>
      <c r="CQ112" s="447"/>
      <c r="CR112" s="458"/>
      <c r="CS112" s="466"/>
      <c r="CT112" s="447"/>
      <c r="CU112" s="447"/>
      <c r="CV112" s="447"/>
      <c r="CW112" s="458"/>
      <c r="CX112" s="466"/>
      <c r="CY112" s="447"/>
      <c r="CZ112" s="447"/>
      <c r="DA112" s="447"/>
      <c r="DB112" s="458"/>
      <c r="DC112" s="466"/>
      <c r="DD112" s="447"/>
      <c r="DE112" s="447"/>
      <c r="DF112" s="447"/>
      <c r="DG112" s="458"/>
      <c r="DH112" s="466"/>
      <c r="DI112" s="447"/>
      <c r="DJ112" s="447"/>
      <c r="DK112" s="447"/>
      <c r="DL112" s="458"/>
      <c r="DM112" s="466"/>
      <c r="DN112" s="447"/>
      <c r="DO112" s="447"/>
      <c r="DP112" s="447"/>
      <c r="DQ112" s="458"/>
      <c r="DR112" s="466"/>
      <c r="DS112" s="447"/>
      <c r="DT112" s="447"/>
      <c r="DU112" s="447"/>
      <c r="DV112" s="458"/>
      <c r="DW112" s="466"/>
      <c r="DX112" s="447"/>
      <c r="DY112" s="447"/>
      <c r="DZ112" s="447"/>
      <c r="EA112" s="458"/>
      <c r="EB112" s="466"/>
      <c r="EC112" s="511"/>
      <c r="ED112" s="511"/>
      <c r="EE112" s="511"/>
      <c r="EF112" s="679"/>
      <c r="EG112" s="466"/>
      <c r="EH112" s="447"/>
      <c r="EI112" s="447"/>
      <c r="EJ112" s="447"/>
      <c r="EK112" s="458"/>
      <c r="EL112" s="466"/>
      <c r="EM112" s="447"/>
      <c r="EN112" s="447"/>
      <c r="EO112" s="447"/>
      <c r="EP112" s="458"/>
      <c r="EQ112" s="466">
        <f t="shared" ref="EQ112:FA112" si="98">EQ108-EL108</f>
      </c>
      <c r="ER112" s="447">
        <f t="shared" si="98"/>
      </c>
      <c r="ES112" s="447">
        <f t="shared" si="98"/>
      </c>
      <c r="ET112" s="447">
        <f t="shared" si="98"/>
      </c>
      <c r="EU112" s="458">
        <f t="shared" si="98"/>
      </c>
      <c r="EV112" s="466">
        <f t="shared" si="98"/>
      </c>
      <c r="EW112" s="447">
        <f t="shared" si="98"/>
      </c>
      <c r="EX112" s="447">
        <f t="shared" si="98"/>
      </c>
      <c r="EY112" s="447">
        <f t="shared" si="98"/>
      </c>
      <c r="EZ112" s="458">
        <f t="shared" si="98"/>
      </c>
      <c r="FA112" s="466">
        <f t="shared" si="98"/>
      </c>
      <c r="FB112" s="447">
        <f t="shared" ref="FB112:GE112" si="99">FB108-EW108</f>
      </c>
      <c r="FC112" s="447">
        <f t="shared" si="99"/>
      </c>
      <c r="FD112" s="447">
        <f t="shared" si="99"/>
      </c>
      <c r="FE112" s="458">
        <f t="shared" si="99"/>
      </c>
      <c r="FF112" s="466">
        <f t="shared" si="99"/>
      </c>
      <c r="FG112" s="447">
        <f t="shared" si="99"/>
      </c>
      <c r="FH112" s="447">
        <f t="shared" si="99"/>
      </c>
      <c r="FI112" s="447">
        <f t="shared" si="99"/>
      </c>
      <c r="FJ112" s="458">
        <f t="shared" si="99"/>
      </c>
      <c r="FK112" s="466">
        <f t="shared" si="99"/>
      </c>
      <c r="FL112" s="447">
        <f t="shared" si="99"/>
      </c>
      <c r="FM112" s="447">
        <f t="shared" si="99"/>
      </c>
      <c r="FN112" s="447">
        <f t="shared" si="99"/>
      </c>
      <c r="FO112" s="458">
        <f t="shared" si="99"/>
      </c>
      <c r="FP112" s="466">
        <f t="shared" si="99"/>
      </c>
      <c r="FQ112" s="447">
        <f t="shared" si="99"/>
      </c>
      <c r="FR112" s="447">
        <f t="shared" si="99"/>
      </c>
      <c r="FS112" s="447">
        <f t="shared" si="99"/>
      </c>
      <c r="FT112" s="458">
        <f t="shared" si="99"/>
      </c>
      <c r="FU112" s="466">
        <f t="shared" si="99"/>
      </c>
      <c r="FV112" s="447">
        <f t="shared" si="99"/>
      </c>
      <c r="FW112" s="447">
        <f t="shared" si="99"/>
      </c>
      <c r="FX112" s="447">
        <f t="shared" si="99"/>
      </c>
      <c r="FY112" s="458">
        <f t="shared" si="99"/>
      </c>
      <c r="FZ112" s="466">
        <f t="shared" si="99"/>
      </c>
      <c r="GA112" s="447">
        <f t="shared" si="99"/>
      </c>
      <c r="GB112" s="458">
        <f t="shared" si="99"/>
      </c>
      <c r="GC112" s="458">
        <f t="shared" si="99"/>
      </c>
      <c r="GD112" s="458">
        <f t="shared" si="99"/>
      </c>
      <c r="GE112" s="466">
        <f t="shared" si="99"/>
      </c>
      <c r="GF112" s="447">
        <f t="shared" ref="GF112" si="100">GF108-GA108</f>
      </c>
      <c r="GG112" s="458">
        <f t="shared" ref="GG112" si="101">GG108-GB108</f>
      </c>
      <c r="GH112" s="458">
        <f t="shared" ref="GH112" si="102">GH108-GC108</f>
      </c>
      <c r="GI112" s="458">
        <f t="shared" ref="GI112" si="103">GI108-GD108</f>
      </c>
      <c r="GJ112" s="460">
        <f t="shared" ref="GJ112" si="104">GJ108-GE108</f>
      </c>
    </row>
    <row r="113" spans="1:192" ht="12.75" customHeight="1">
      <c r="B113" s="735" t="s">
        <v>244</v>
      </c>
      <c r="C113" s="291"/>
      <c r="D113" s="107"/>
      <c r="E113" s="107"/>
      <c r="F113" s="107"/>
      <c r="G113" s="293"/>
      <c r="H113" s="291"/>
      <c r="I113" s="107"/>
      <c r="J113" s="107"/>
      <c r="K113" s="107"/>
      <c r="L113" s="293"/>
      <c r="M113" s="291"/>
      <c r="N113" s="107"/>
      <c r="O113" s="107"/>
      <c r="P113" s="107"/>
      <c r="Q113" s="293"/>
      <c r="R113" s="291"/>
      <c r="S113" s="107"/>
      <c r="T113" s="107"/>
      <c r="U113" s="107"/>
      <c r="V113" s="293"/>
      <c r="W113" s="291"/>
      <c r="X113" s="107"/>
      <c r="Y113" s="107"/>
      <c r="Z113" s="107"/>
      <c r="AA113" s="293"/>
      <c r="AB113" s="291"/>
      <c r="AC113" s="107"/>
      <c r="AD113" s="107"/>
      <c r="AE113" s="107"/>
      <c r="AF113" s="293"/>
      <c r="AG113" s="291"/>
      <c r="AH113" s="107"/>
      <c r="AI113" s="107"/>
      <c r="AJ113" s="107"/>
      <c r="AK113" s="293"/>
      <c r="AL113" s="291"/>
      <c r="AM113" s="107"/>
      <c r="AN113" s="107"/>
      <c r="AO113" s="107"/>
      <c r="AP113" s="293"/>
      <c r="AQ113" s="291"/>
      <c r="AR113" s="107"/>
      <c r="AS113" s="107"/>
      <c r="AT113" s="107"/>
      <c r="AU113" s="293"/>
      <c r="AV113" s="291"/>
      <c r="AW113" s="107"/>
      <c r="AX113" s="107"/>
      <c r="AY113" s="107"/>
      <c r="AZ113" s="293"/>
      <c r="BA113" s="291"/>
      <c r="BB113" s="107"/>
      <c r="BC113" s="107"/>
      <c r="BD113" s="107"/>
      <c r="BE113" s="293"/>
      <c r="BF113" s="291"/>
      <c r="BG113" s="107"/>
      <c r="BH113" s="107"/>
      <c r="BI113" s="107"/>
      <c r="BJ113" s="293"/>
      <c r="BK113" s="291"/>
      <c r="BL113" s="107"/>
      <c r="BM113" s="107"/>
      <c r="BN113" s="107"/>
      <c r="BO113" s="293"/>
      <c r="BP113" s="291"/>
      <c r="BQ113" s="107"/>
      <c r="BR113" s="107"/>
      <c r="BS113" s="107"/>
      <c r="BT113" s="293"/>
      <c r="BU113" s="291"/>
      <c r="BV113" s="107"/>
      <c r="BW113" s="107"/>
      <c r="BX113" s="107"/>
      <c r="BY113" s="293"/>
      <c r="BZ113" s="291"/>
      <c r="CA113" s="107"/>
      <c r="CB113" s="107"/>
      <c r="CC113" s="107"/>
      <c r="CD113" s="293"/>
      <c r="CE113" s="291"/>
      <c r="CF113" s="107"/>
      <c r="CG113" s="107"/>
      <c r="CH113" s="107"/>
      <c r="CI113" s="293"/>
      <c r="CJ113" s="291"/>
      <c r="CK113" s="107"/>
      <c r="CL113" s="107"/>
      <c r="CM113" s="107"/>
      <c r="CN113" s="293"/>
      <c r="CO113" s="447"/>
      <c r="CP113" s="447"/>
      <c r="CQ113" s="447"/>
      <c r="CR113" s="447"/>
      <c r="CS113" s="293"/>
      <c r="CT113" s="447"/>
      <c r="CU113" s="447"/>
      <c r="CV113" s="447"/>
      <c r="CW113" s="447"/>
      <c r="CX113" s="293"/>
      <c r="CY113" s="447"/>
      <c r="CZ113" s="447"/>
      <c r="DA113" s="447"/>
      <c r="DB113" s="447"/>
      <c r="DC113" s="293"/>
      <c r="DD113" s="447"/>
      <c r="DE113" s="447"/>
      <c r="DF113" s="447"/>
      <c r="DG113" s="447"/>
      <c r="DH113" s="293"/>
      <c r="DI113" s="447"/>
      <c r="DJ113" s="447"/>
      <c r="DK113" s="447"/>
      <c r="DL113" s="447"/>
      <c r="DM113" s="293"/>
      <c r="DN113" s="447"/>
      <c r="DO113" s="447"/>
      <c r="DP113" s="447"/>
      <c r="DQ113" s="447"/>
      <c r="DR113" s="293"/>
      <c r="DS113" s="447"/>
      <c r="DT113" s="447"/>
      <c r="DU113" s="447"/>
      <c r="DV113" s="447"/>
      <c r="DW113" s="293"/>
      <c r="DX113" s="447"/>
      <c r="DY113" s="447"/>
      <c r="DZ113" s="447"/>
      <c r="EA113" s="447"/>
      <c r="EB113" s="293"/>
      <c r="EC113" s="511"/>
      <c r="ED113" s="511"/>
      <c r="EE113" s="511"/>
      <c r="EF113" s="511"/>
      <c r="EG113" s="293"/>
      <c r="EH113" s="447"/>
      <c r="EI113" s="447"/>
      <c r="EJ113" s="447"/>
      <c r="EK113" s="447"/>
      <c r="EL113" s="293"/>
      <c r="EM113" s="447">
        <f>EM108-EK108</f>
      </c>
      <c r="EN113" s="447">
        <f>EN108-EM108</f>
      </c>
      <c r="EO113" s="447">
        <f>EO108-EN108</f>
      </c>
      <c r="EP113" s="447">
        <f>EP108-EO108</f>
      </c>
      <c r="EQ113" s="293"/>
      <c r="ER113" s="447">
        <f>ER108-EP108</f>
      </c>
      <c r="ES113" s="447">
        <f>ES108-ER108</f>
      </c>
      <c r="ET113" s="447">
        <f>ET108-ES108</f>
      </c>
      <c r="EU113" s="447">
        <f>EU108-ET108</f>
      </c>
      <c r="EV113" s="293"/>
      <c r="EW113" s="447">
        <f>EW108-EU108</f>
      </c>
      <c r="EX113" s="447">
        <f>EX108-EW108</f>
      </c>
      <c r="EY113" s="447">
        <f>EY108-EX108</f>
      </c>
      <c r="EZ113" s="447">
        <f>EZ108-EY108</f>
      </c>
      <c r="FA113" s="293"/>
      <c r="FB113" s="447">
        <f>FB108-EZ108</f>
      </c>
      <c r="FC113" s="447">
        <f>FC108-FB108</f>
      </c>
      <c r="FD113" s="447">
        <f>FD108-FC108</f>
      </c>
      <c r="FE113" s="447">
        <f>FE108-FD108</f>
      </c>
      <c r="FF113" s="293"/>
      <c r="FG113" s="447">
        <f>FG108-FE108</f>
      </c>
      <c r="FH113" s="447">
        <f>FH108-FG108</f>
      </c>
      <c r="FI113" s="447">
        <f>FI108-FH108</f>
      </c>
      <c r="FJ113" s="447">
        <f>FJ108-FI108</f>
      </c>
      <c r="FK113" s="293"/>
      <c r="FL113" s="447">
        <f>FL108-FJ108</f>
      </c>
      <c r="FM113" s="447">
        <f>FM108-FL108</f>
      </c>
      <c r="FN113" s="447">
        <f>FN108-FM108</f>
      </c>
      <c r="FO113" s="447">
        <f>FO108-FN108</f>
      </c>
      <c r="FP113" s="293"/>
      <c r="FQ113" s="447">
        <f>FQ108-FO108</f>
      </c>
      <c r="FR113" s="447">
        <f>FR108-FQ108</f>
      </c>
      <c r="FS113" s="447">
        <f>FS108-FR108</f>
      </c>
      <c r="FT113" s="447">
        <f>FT108-FS108</f>
      </c>
      <c r="FU113" s="293"/>
      <c r="FV113" s="447">
        <f>FV108-FT108</f>
      </c>
      <c r="FW113" s="447">
        <f>FW108-FV108</f>
      </c>
      <c r="FX113" s="447">
        <f>FX108-FW108</f>
      </c>
      <c r="FY113" s="447">
        <f>FY108-FX108</f>
      </c>
      <c r="FZ113" s="293"/>
      <c r="GA113" s="447">
        <f>GA108-FY108</f>
      </c>
      <c r="GB113" s="458">
        <f>GB108-GA108</f>
      </c>
      <c r="GC113" s="458">
        <f>GC108-GB108</f>
      </c>
      <c r="GD113" s="458">
        <f>GD108-GC108</f>
      </c>
      <c r="GE113" s="293"/>
      <c r="GF113" s="447">
        <f>GF108-GD108</f>
      </c>
      <c r="GG113" s="458">
        <f>GG108-GF108</f>
      </c>
      <c r="GH113" s="458">
        <f>GH108-GG108</f>
      </c>
      <c r="GI113" s="458">
        <f>GI108-GH108</f>
      </c>
      <c r="GJ113" s="460"/>
    </row>
    <row r="114" spans="1:192" ht="12.75" customHeight="1">
      <c r="B114" s="735" t="s">
        <v>247</v>
      </c>
      <c r="C114" s="291"/>
      <c r="D114" s="107"/>
      <c r="E114" s="107"/>
      <c r="F114" s="107"/>
      <c r="G114" s="293"/>
      <c r="H114" s="291"/>
      <c r="I114" s="107"/>
      <c r="J114" s="107"/>
      <c r="K114" s="107"/>
      <c r="L114" s="293"/>
      <c r="M114" s="291"/>
      <c r="N114" s="107"/>
      <c r="O114" s="107"/>
      <c r="P114" s="107"/>
      <c r="Q114" s="293"/>
      <c r="R114" s="291"/>
      <c r="S114" s="107"/>
      <c r="T114" s="107"/>
      <c r="U114" s="107"/>
      <c r="V114" s="293"/>
      <c r="W114" s="291"/>
      <c r="X114" s="107"/>
      <c r="Y114" s="107"/>
      <c r="Z114" s="107"/>
      <c r="AA114" s="293"/>
      <c r="AB114" s="291"/>
      <c r="AC114" s="107"/>
      <c r="AD114" s="107"/>
      <c r="AE114" s="107"/>
      <c r="AF114" s="293"/>
      <c r="AG114" s="291"/>
      <c r="AH114" s="107"/>
      <c r="AI114" s="107"/>
      <c r="AJ114" s="107"/>
      <c r="AK114" s="293"/>
      <c r="AL114" s="291"/>
      <c r="AM114" s="107"/>
      <c r="AN114" s="107"/>
      <c r="AO114" s="107"/>
      <c r="AP114" s="293"/>
      <c r="AQ114" s="291"/>
      <c r="AR114" s="107"/>
      <c r="AS114" s="107"/>
      <c r="AT114" s="107"/>
      <c r="AU114" s="293"/>
      <c r="AV114" s="291"/>
      <c r="AW114" s="107"/>
      <c r="AX114" s="107"/>
      <c r="AY114" s="107"/>
      <c r="AZ114" s="293"/>
      <c r="BA114" s="291"/>
      <c r="BB114" s="107"/>
      <c r="BC114" s="107"/>
      <c r="BD114" s="107"/>
      <c r="BE114" s="293"/>
      <c r="BF114" s="291"/>
      <c r="BG114" s="107"/>
      <c r="BH114" s="107"/>
      <c r="BI114" s="107"/>
      <c r="BJ114" s="293"/>
      <c r="BK114" s="291"/>
      <c r="BL114" s="107"/>
      <c r="BM114" s="107"/>
      <c r="BN114" s="107"/>
      <c r="BO114" s="293"/>
      <c r="BP114" s="291"/>
      <c r="BQ114" s="107"/>
      <c r="BR114" s="107"/>
      <c r="BS114" s="107"/>
      <c r="BT114" s="293"/>
      <c r="BU114" s="291"/>
      <c r="BV114" s="107"/>
      <c r="BW114" s="107"/>
      <c r="BX114" s="107"/>
      <c r="BY114" s="293"/>
      <c r="BZ114" s="291"/>
      <c r="CA114" s="107"/>
      <c r="CB114" s="107"/>
      <c r="CC114" s="107"/>
      <c r="CD114" s="293"/>
      <c r="CE114" s="291"/>
      <c r="CF114" s="107"/>
      <c r="CG114" s="107"/>
      <c r="CH114" s="107"/>
      <c r="CI114" s="293"/>
      <c r="CJ114" s="291"/>
      <c r="CK114" s="107"/>
      <c r="CL114" s="107"/>
      <c r="CM114" s="107"/>
      <c r="CN114" s="293"/>
      <c r="CO114" s="465"/>
      <c r="CP114" s="465"/>
      <c r="CQ114" s="465"/>
      <c r="CR114" s="465"/>
      <c r="CS114" s="293"/>
      <c r="CT114" s="465"/>
      <c r="CU114" s="465"/>
      <c r="CV114" s="465"/>
      <c r="CW114" s="465"/>
      <c r="CX114" s="293"/>
      <c r="CY114" s="465"/>
      <c r="CZ114" s="465"/>
      <c r="DA114" s="465"/>
      <c r="DB114" s="465"/>
      <c r="DC114" s="293"/>
      <c r="DD114" s="465"/>
      <c r="DE114" s="465"/>
      <c r="DF114" s="465"/>
      <c r="DG114" s="465"/>
      <c r="DH114" s="293"/>
      <c r="DI114" s="465"/>
      <c r="DJ114" s="465"/>
      <c r="DK114" s="465"/>
      <c r="DL114" s="465"/>
      <c r="DM114" s="293"/>
      <c r="DN114" s="465"/>
      <c r="DO114" s="465"/>
      <c r="DP114" s="465"/>
      <c r="DQ114" s="465"/>
      <c r="DR114" s="293"/>
      <c r="DS114" s="465"/>
      <c r="DT114" s="465"/>
      <c r="DU114" s="465"/>
      <c r="DV114" s="465"/>
      <c r="DW114" s="293"/>
      <c r="DX114" s="465"/>
      <c r="DY114" s="465"/>
      <c r="DZ114" s="465"/>
      <c r="EA114" s="465"/>
      <c r="EB114" s="293"/>
      <c r="EC114" s="1507"/>
      <c r="ED114" s="1508"/>
      <c r="EE114" s="1508"/>
      <c r="EF114" s="1507"/>
      <c r="EG114" s="293"/>
      <c r="EH114" s="465"/>
      <c r="EI114" s="465"/>
      <c r="EJ114" s="465"/>
      <c r="EK114" s="465"/>
      <c r="EL114" s="293"/>
      <c r="EM114" s="465">
        <f t="shared" ref="EM114:EV114" si="105">EM108/EM$90</f>
      </c>
      <c r="EN114" s="465">
        <f t="shared" si="105"/>
      </c>
      <c r="EO114" s="465">
        <f t="shared" si="105"/>
      </c>
      <c r="EP114" s="465">
        <f t="shared" si="105"/>
      </c>
      <c r="EQ114" s="293">
        <f t="shared" si="105"/>
      </c>
      <c r="ER114" s="465">
        <f t="shared" si="105"/>
      </c>
      <c r="ES114" s="465">
        <f t="shared" si="105"/>
      </c>
      <c r="ET114" s="465">
        <f t="shared" si="105"/>
      </c>
      <c r="EU114" s="465">
        <f t="shared" si="105"/>
      </c>
      <c r="EV114" s="293">
        <f t="shared" si="105"/>
      </c>
      <c r="EW114" s="465">
        <f t="shared" ref="EW114:FA114" si="106">EW108/EW$90</f>
      </c>
      <c r="EX114" s="465">
        <f t="shared" si="106"/>
      </c>
      <c r="EY114" s="465">
        <f t="shared" si="106"/>
      </c>
      <c r="EZ114" s="465">
        <f t="shared" si="106"/>
      </c>
      <c r="FA114" s="293">
        <f t="shared" si="106"/>
      </c>
      <c r="FB114" s="465">
        <f t="shared" ref="FB114:FF114" si="107">FB108/FB$90</f>
      </c>
      <c r="FC114" s="465">
        <f t="shared" si="107"/>
      </c>
      <c r="FD114" s="465">
        <f t="shared" si="107"/>
      </c>
      <c r="FE114" s="465">
        <f t="shared" si="107"/>
      </c>
      <c r="FF114" s="293">
        <f t="shared" si="107"/>
      </c>
      <c r="FG114" s="465">
        <f t="shared" ref="FG114:GE114" si="108">FG108/FG$90</f>
      </c>
      <c r="FH114" s="465">
        <f t="shared" si="108"/>
      </c>
      <c r="FI114" s="465">
        <f t="shared" si="108"/>
      </c>
      <c r="FJ114" s="465">
        <f t="shared" si="108"/>
      </c>
      <c r="FK114" s="293">
        <f t="shared" si="108"/>
      </c>
      <c r="FL114" s="465">
        <f t="shared" si="108"/>
      </c>
      <c r="FM114" s="465">
        <f t="shared" si="108"/>
      </c>
      <c r="FN114" s="465">
        <f t="shared" si="108"/>
      </c>
      <c r="FO114" s="465">
        <f t="shared" si="108"/>
      </c>
      <c r="FP114" s="293">
        <f t="shared" si="108"/>
      </c>
      <c r="FQ114" s="465">
        <f t="shared" si="108"/>
      </c>
      <c r="FR114" s="465">
        <f t="shared" si="108"/>
      </c>
      <c r="FS114" s="465">
        <f t="shared" si="108"/>
      </c>
      <c r="FT114" s="465">
        <f t="shared" si="108"/>
      </c>
      <c r="FU114" s="293">
        <f t="shared" si="108"/>
      </c>
      <c r="FV114" s="465">
        <f t="shared" si="108"/>
      </c>
      <c r="FW114" s="465">
        <f t="shared" si="108"/>
      </c>
      <c r="FX114" s="465">
        <f t="shared" si="108"/>
      </c>
      <c r="FY114" s="465">
        <f t="shared" si="108"/>
      </c>
      <c r="FZ114" s="293">
        <f t="shared" si="108"/>
      </c>
      <c r="GA114" s="291">
        <f t="shared" si="108"/>
      </c>
      <c r="GB114" s="107">
        <f t="shared" si="108"/>
      </c>
      <c r="GC114" s="107">
        <f t="shared" si="108"/>
      </c>
      <c r="GD114" s="107">
        <f t="shared" si="108"/>
      </c>
      <c r="GE114" s="293">
        <f t="shared" si="108"/>
      </c>
      <c r="GF114" s="291">
        <f t="shared" ref="GF114:GJ114" si="109">GF108/GF$90</f>
      </c>
      <c r="GG114" s="107">
        <f t="shared" si="109"/>
      </c>
      <c r="GH114" s="107">
        <f t="shared" si="109"/>
      </c>
      <c r="GI114" s="107">
        <f t="shared" si="109"/>
      </c>
      <c r="GJ114" s="382">
        <f t="shared" si="109"/>
      </c>
    </row>
    <row r="115" spans="1:192" ht="12.75" customHeight="1">
      <c r="B115" s="735" t="s">
        <v>207</v>
      </c>
      <c r="C115" s="291"/>
      <c r="D115" s="107"/>
      <c r="E115" s="107"/>
      <c r="F115" s="107"/>
      <c r="G115" s="293"/>
      <c r="H115" s="291"/>
      <c r="I115" s="107"/>
      <c r="J115" s="107"/>
      <c r="K115" s="107"/>
      <c r="L115" s="293"/>
      <c r="M115" s="291"/>
      <c r="N115" s="107"/>
      <c r="O115" s="107"/>
      <c r="P115" s="107"/>
      <c r="Q115" s="293"/>
      <c r="R115" s="291"/>
      <c r="S115" s="107"/>
      <c r="T115" s="107"/>
      <c r="U115" s="107"/>
      <c r="V115" s="293"/>
      <c r="W115" s="291"/>
      <c r="X115" s="107"/>
      <c r="Y115" s="107"/>
      <c r="Z115" s="107"/>
      <c r="AA115" s="293"/>
      <c r="AB115" s="291"/>
      <c r="AC115" s="107"/>
      <c r="AD115" s="107"/>
      <c r="AE115" s="107"/>
      <c r="AF115" s="293"/>
      <c r="AG115" s="291"/>
      <c r="AH115" s="107"/>
      <c r="AI115" s="107"/>
      <c r="AJ115" s="107"/>
      <c r="AK115" s="293"/>
      <c r="AL115" s="291"/>
      <c r="AM115" s="107"/>
      <c r="AN115" s="107"/>
      <c r="AO115" s="107"/>
      <c r="AP115" s="293"/>
      <c r="AQ115" s="291"/>
      <c r="AR115" s="107"/>
      <c r="AS115" s="107"/>
      <c r="AT115" s="107"/>
      <c r="AU115" s="293"/>
      <c r="AV115" s="291"/>
      <c r="AW115" s="107"/>
      <c r="AX115" s="107"/>
      <c r="AY115" s="107"/>
      <c r="AZ115" s="293"/>
      <c r="BA115" s="291"/>
      <c r="BB115" s="107"/>
      <c r="BC115" s="107"/>
      <c r="BD115" s="107"/>
      <c r="BE115" s="293"/>
      <c r="BF115" s="291"/>
      <c r="BG115" s="107"/>
      <c r="BH115" s="107"/>
      <c r="BI115" s="107"/>
      <c r="BJ115" s="293"/>
      <c r="BK115" s="291"/>
      <c r="BL115" s="107"/>
      <c r="BM115" s="107"/>
      <c r="BN115" s="107"/>
      <c r="BO115" s="293"/>
      <c r="BP115" s="291"/>
      <c r="BQ115" s="107"/>
      <c r="BR115" s="107"/>
      <c r="BS115" s="107"/>
      <c r="BT115" s="293"/>
      <c r="BU115" s="291"/>
      <c r="BV115" s="107"/>
      <c r="BW115" s="107"/>
      <c r="BX115" s="107"/>
      <c r="BY115" s="293"/>
      <c r="BZ115" s="291"/>
      <c r="CA115" s="107"/>
      <c r="CB115" s="107"/>
      <c r="CC115" s="107"/>
      <c r="CD115" s="293"/>
      <c r="CE115" s="291"/>
      <c r="CF115" s="107"/>
      <c r="CG115" s="107"/>
      <c r="CH115" s="107"/>
      <c r="CI115" s="293"/>
      <c r="CJ115" s="291"/>
      <c r="CK115" s="107"/>
      <c r="CL115" s="107"/>
      <c r="CM115" s="107"/>
      <c r="CN115" s="293"/>
      <c r="CO115" s="107"/>
      <c r="CP115" s="107"/>
      <c r="CQ115" s="107"/>
      <c r="CR115" s="107"/>
      <c r="CS115" s="293"/>
      <c r="CT115" s="107"/>
      <c r="CU115" s="107"/>
      <c r="CV115" s="107"/>
      <c r="CW115" s="107"/>
      <c r="CX115" s="293"/>
      <c r="CY115" s="107"/>
      <c r="CZ115" s="107"/>
      <c r="DA115" s="107"/>
      <c r="DB115" s="107"/>
      <c r="DC115" s="293"/>
      <c r="DD115" s="107"/>
      <c r="DE115" s="107"/>
      <c r="DF115" s="107"/>
      <c r="DG115" s="107"/>
      <c r="DH115" s="293"/>
      <c r="DI115" s="107"/>
      <c r="DJ115" s="107"/>
      <c r="DK115" s="107"/>
      <c r="DL115" s="107"/>
      <c r="DM115" s="293"/>
      <c r="DN115" s="107"/>
      <c r="DO115" s="107"/>
      <c r="DP115" s="107"/>
      <c r="DQ115" s="107"/>
      <c r="DR115" s="293"/>
      <c r="DS115" s="107"/>
      <c r="DT115" s="107"/>
      <c r="DU115" s="107"/>
      <c r="DV115" s="107"/>
      <c r="DW115" s="293"/>
      <c r="DX115" s="107"/>
      <c r="DY115" s="107"/>
      <c r="DZ115" s="107"/>
      <c r="EA115" s="107"/>
      <c r="EB115" s="293"/>
      <c r="EC115" s="468"/>
      <c r="ED115" s="468"/>
      <c r="EE115" s="468"/>
      <c r="EF115" s="468"/>
      <c r="EG115" s="293"/>
      <c r="EH115" s="107"/>
      <c r="EI115" s="107"/>
      <c r="EJ115" s="107"/>
      <c r="EK115" s="107"/>
      <c r="EL115" s="293"/>
      <c r="EM115" s="107">
        <f t="shared" ref="EM115:EV115" si="110">EM108/EM$10</f>
      </c>
      <c r="EN115" s="107">
        <f t="shared" si="110"/>
      </c>
      <c r="EO115" s="107">
        <f t="shared" si="110"/>
      </c>
      <c r="EP115" s="107">
        <f t="shared" si="110"/>
      </c>
      <c r="EQ115" s="293">
        <f t="shared" si="110"/>
      </c>
      <c r="ER115" s="107">
        <f t="shared" si="110"/>
      </c>
      <c r="ES115" s="107">
        <f t="shared" si="110"/>
      </c>
      <c r="ET115" s="107">
        <f t="shared" si="110"/>
      </c>
      <c r="EU115" s="107">
        <f t="shared" si="110"/>
      </c>
      <c r="EV115" s="293">
        <f t="shared" si="110"/>
      </c>
      <c r="EW115" s="107">
        <f t="shared" ref="EW115:FA115" si="111">EW108/EW$10</f>
      </c>
      <c r="EX115" s="107">
        <f t="shared" si="111"/>
      </c>
      <c r="EY115" s="107">
        <f t="shared" si="111"/>
      </c>
      <c r="EZ115" s="107">
        <f t="shared" si="111"/>
      </c>
      <c r="FA115" s="293">
        <f t="shared" si="111"/>
      </c>
      <c r="FB115" s="107">
        <f>FB108/FB$10</f>
      </c>
      <c r="FC115" s="107">
        <f>FC108/FC$10</f>
      </c>
      <c r="FD115" s="107">
        <f>FD108/FD$10</f>
      </c>
      <c r="FE115" s="107">
        <f>FE108/FE$10</f>
      </c>
      <c r="FF115" s="293">
        <f>FF108/FF$10</f>
      </c>
      <c r="FG115" s="107">
        <f t="shared" ref="FG115:GE115" si="112">FG108/FG$10</f>
      </c>
      <c r="FH115" s="107">
        <f t="shared" si="112"/>
      </c>
      <c r="FI115" s="107">
        <f t="shared" si="112"/>
      </c>
      <c r="FJ115" s="107">
        <f t="shared" si="112"/>
      </c>
      <c r="FK115" s="293">
        <f t="shared" si="112"/>
      </c>
      <c r="FL115" s="107">
        <f t="shared" si="112"/>
      </c>
      <c r="FM115" s="107">
        <f t="shared" si="112"/>
      </c>
      <c r="FN115" s="107">
        <f t="shared" si="112"/>
      </c>
      <c r="FO115" s="107">
        <f t="shared" si="112"/>
      </c>
      <c r="FP115" s="293">
        <f t="shared" si="112"/>
      </c>
      <c r="FQ115" s="107">
        <f t="shared" si="112"/>
      </c>
      <c r="FR115" s="107">
        <f t="shared" si="112"/>
      </c>
      <c r="FS115" s="107">
        <f t="shared" si="112"/>
      </c>
      <c r="FT115" s="107">
        <f t="shared" si="112"/>
      </c>
      <c r="FU115" s="293">
        <f t="shared" si="112"/>
      </c>
      <c r="FV115" s="107">
        <f t="shared" si="112"/>
      </c>
      <c r="FW115" s="107">
        <f t="shared" si="112"/>
      </c>
      <c r="FX115" s="107">
        <f t="shared" si="112"/>
      </c>
      <c r="FY115" s="107">
        <f t="shared" si="112"/>
      </c>
      <c r="FZ115" s="293">
        <f t="shared" si="112"/>
      </c>
      <c r="GA115" s="291">
        <f t="shared" si="112"/>
      </c>
      <c r="GB115" s="107">
        <f t="shared" si="112"/>
      </c>
      <c r="GC115" s="107">
        <f t="shared" si="112"/>
      </c>
      <c r="GD115" s="107">
        <f t="shared" si="112"/>
      </c>
      <c r="GE115" s="293">
        <f t="shared" si="112"/>
      </c>
      <c r="GF115" s="291">
        <f t="shared" ref="GF115:GJ115" si="113">GF108/GF$10</f>
      </c>
      <c r="GG115" s="107">
        <f t="shared" si="113"/>
      </c>
      <c r="GH115" s="107">
        <f t="shared" si="113"/>
      </c>
      <c r="GI115" s="107">
        <f t="shared" si="113"/>
      </c>
      <c r="GJ115" s="382">
        <f t="shared" si="113"/>
      </c>
    </row>
    <row r="116" spans="1:192" ht="12.75" customHeight="1">
      <c r="B116" s="735"/>
      <c r="C116" s="291"/>
      <c r="D116" s="107"/>
      <c r="E116" s="107"/>
      <c r="F116" s="107"/>
      <c r="G116" s="293"/>
      <c r="H116" s="291"/>
      <c r="I116" s="107"/>
      <c r="J116" s="107"/>
      <c r="K116" s="107"/>
      <c r="L116" s="293"/>
      <c r="M116" s="291"/>
      <c r="N116" s="107"/>
      <c r="O116" s="107"/>
      <c r="P116" s="107"/>
      <c r="Q116" s="293"/>
      <c r="R116" s="291"/>
      <c r="S116" s="107"/>
      <c r="T116" s="107"/>
      <c r="U116" s="107"/>
      <c r="V116" s="293"/>
      <c r="W116" s="291"/>
      <c r="X116" s="107"/>
      <c r="Y116" s="107"/>
      <c r="Z116" s="107"/>
      <c r="AA116" s="293"/>
      <c r="AB116" s="291"/>
      <c r="AC116" s="107"/>
      <c r="AD116" s="107"/>
      <c r="AE116" s="107"/>
      <c r="AF116" s="293"/>
      <c r="AG116" s="291"/>
      <c r="AH116" s="107"/>
      <c r="AI116" s="107"/>
      <c r="AJ116" s="107"/>
      <c r="AK116" s="293"/>
      <c r="AL116" s="291"/>
      <c r="AM116" s="107"/>
      <c r="AN116" s="107"/>
      <c r="AO116" s="107"/>
      <c r="AP116" s="293"/>
      <c r="AQ116" s="291"/>
      <c r="AR116" s="107"/>
      <c r="AS116" s="107"/>
      <c r="AT116" s="107"/>
      <c r="AU116" s="293"/>
      <c r="AV116" s="291"/>
      <c r="AW116" s="107"/>
      <c r="AX116" s="107"/>
      <c r="AY116" s="107"/>
      <c r="AZ116" s="293"/>
      <c r="BA116" s="291"/>
      <c r="BB116" s="107"/>
      <c r="BC116" s="107"/>
      <c r="BD116" s="107"/>
      <c r="BE116" s="293"/>
      <c r="BF116" s="291"/>
      <c r="BG116" s="107"/>
      <c r="BH116" s="107"/>
      <c r="BI116" s="107"/>
      <c r="BJ116" s="293"/>
      <c r="BK116" s="291"/>
      <c r="BL116" s="107"/>
      <c r="BM116" s="107"/>
      <c r="BN116" s="107"/>
      <c r="BO116" s="293"/>
      <c r="BP116" s="291"/>
      <c r="BQ116" s="107"/>
      <c r="BR116" s="107"/>
      <c r="BS116" s="107"/>
      <c r="BT116" s="293"/>
      <c r="BU116" s="291"/>
      <c r="BV116" s="107"/>
      <c r="BW116" s="107"/>
      <c r="BX116" s="107"/>
      <c r="BY116" s="293"/>
      <c r="BZ116" s="291"/>
      <c r="CA116" s="107"/>
      <c r="CB116" s="107"/>
      <c r="CC116" s="107"/>
      <c r="CD116" s="293"/>
      <c r="CE116" s="291"/>
      <c r="CF116" s="107"/>
      <c r="CG116" s="107"/>
      <c r="CH116" s="107"/>
      <c r="CI116" s="293"/>
      <c r="CJ116" s="291"/>
      <c r="CK116" s="107"/>
      <c r="CL116" s="107"/>
      <c r="CM116" s="107"/>
      <c r="CN116" s="293"/>
      <c r="CO116" s="107"/>
      <c r="CP116" s="107"/>
      <c r="CQ116" s="107"/>
      <c r="CR116" s="107"/>
      <c r="CS116" s="293"/>
      <c r="CT116" s="107"/>
      <c r="CU116" s="107"/>
      <c r="CV116" s="107"/>
      <c r="CW116" s="107"/>
      <c r="CX116" s="293"/>
      <c r="CY116" s="107"/>
      <c r="CZ116" s="107"/>
      <c r="DA116" s="107"/>
      <c r="DB116" s="107"/>
      <c r="DC116" s="293"/>
      <c r="DD116" s="107"/>
      <c r="DE116" s="107"/>
      <c r="DF116" s="107"/>
      <c r="DG116" s="107"/>
      <c r="DH116" s="293"/>
      <c r="DI116" s="107"/>
      <c r="DJ116" s="107"/>
      <c r="DK116" s="107"/>
      <c r="DL116" s="107"/>
      <c r="DM116" s="293"/>
      <c r="DN116" s="107"/>
      <c r="DO116" s="107"/>
      <c r="DP116" s="107"/>
      <c r="DQ116" s="107"/>
      <c r="DR116" s="293"/>
      <c r="DS116" s="107"/>
      <c r="DT116" s="107"/>
      <c r="DU116" s="107"/>
      <c r="DV116" s="107"/>
      <c r="DW116" s="293"/>
      <c r="DX116" s="107"/>
      <c r="DY116" s="107"/>
      <c r="DZ116" s="107"/>
      <c r="EA116" s="107"/>
      <c r="EB116" s="293"/>
      <c r="EC116" s="468"/>
      <c r="ED116" s="468"/>
      <c r="EE116" s="468"/>
      <c r="EF116" s="468"/>
      <c r="EG116" s="293"/>
      <c r="EH116" s="107"/>
      <c r="EI116" s="107"/>
      <c r="EJ116" s="107"/>
      <c r="EK116" s="107"/>
      <c r="EL116" s="293"/>
      <c r="EM116" s="107"/>
      <c r="EN116" s="107"/>
      <c r="EO116" s="107"/>
      <c r="EP116" s="107"/>
      <c r="EQ116" s="293"/>
      <c r="ER116" s="107"/>
      <c r="ES116" s="107"/>
      <c r="ET116" s="107"/>
      <c r="EU116" s="107"/>
      <c r="EV116" s="293"/>
      <c r="EW116" s="107"/>
      <c r="EX116" s="107"/>
      <c r="EY116" s="107"/>
      <c r="EZ116" s="107"/>
      <c r="FA116" s="293"/>
      <c r="FB116" s="107"/>
      <c r="FC116" s="107"/>
      <c r="FD116" s="107"/>
      <c r="FE116" s="107"/>
      <c r="FF116" s="293"/>
      <c r="FG116" s="107"/>
      <c r="FH116" s="107"/>
      <c r="FI116" s="107"/>
      <c r="FJ116" s="107"/>
      <c r="FK116" s="293"/>
      <c r="FL116" s="107"/>
      <c r="FM116" s="107"/>
      <c r="FN116" s="107"/>
      <c r="FO116" s="107"/>
      <c r="FP116" s="293"/>
      <c r="FQ116" s="107"/>
      <c r="FR116" s="107"/>
      <c r="FS116" s="107"/>
      <c r="FT116" s="107"/>
      <c r="FU116" s="293"/>
      <c r="FV116" s="107"/>
      <c r="FW116" s="107"/>
      <c r="FX116" s="107"/>
      <c r="FY116" s="107"/>
      <c r="FZ116" s="293"/>
      <c r="GA116" s="291"/>
      <c r="GB116" s="107"/>
      <c r="GC116" s="107"/>
      <c r="GD116" s="107"/>
      <c r="GE116" s="293"/>
      <c r="GF116" s="291"/>
      <c r="GG116" s="107"/>
      <c r="GH116" s="107"/>
      <c r="GI116" s="107"/>
      <c r="GJ116" s="382"/>
    </row>
    <row r="117" spans="1:192" ht="12.75" customHeight="1">
      <c r="B117" s="735" t="s">
        <v>2060</v>
      </c>
      <c r="C117" s="291"/>
      <c r="D117" s="107"/>
      <c r="E117" s="107"/>
      <c r="F117" s="107"/>
      <c r="G117" s="293"/>
      <c r="H117" s="291"/>
      <c r="I117" s="107"/>
      <c r="J117" s="107"/>
      <c r="K117" s="107"/>
      <c r="L117" s="293"/>
      <c r="M117" s="291"/>
      <c r="N117" s="107"/>
      <c r="O117" s="107"/>
      <c r="P117" s="107"/>
      <c r="Q117" s="293"/>
      <c r="R117" s="291"/>
      <c r="S117" s="107"/>
      <c r="T117" s="107"/>
      <c r="U117" s="107"/>
      <c r="V117" s="293"/>
      <c r="W117" s="291"/>
      <c r="X117" s="107"/>
      <c r="Y117" s="107"/>
      <c r="Z117" s="107"/>
      <c r="AA117" s="293"/>
      <c r="AB117" s="291"/>
      <c r="AC117" s="107"/>
      <c r="AD117" s="107"/>
      <c r="AE117" s="107"/>
      <c r="AF117" s="293"/>
      <c r="AG117" s="291"/>
      <c r="AH117" s="107"/>
      <c r="AI117" s="107"/>
      <c r="AJ117" s="107"/>
      <c r="AK117" s="293"/>
      <c r="AL117" s="291"/>
      <c r="AM117" s="107"/>
      <c r="AN117" s="107"/>
      <c r="AO117" s="107"/>
      <c r="AP117" s="293"/>
      <c r="AQ117" s="291"/>
      <c r="AR117" s="107"/>
      <c r="AS117" s="107"/>
      <c r="AT117" s="107"/>
      <c r="AU117" s="293"/>
      <c r="AV117" s="291"/>
      <c r="AW117" s="107"/>
      <c r="AX117" s="107"/>
      <c r="AY117" s="107"/>
      <c r="AZ117" s="293"/>
      <c r="BA117" s="291"/>
      <c r="BB117" s="107"/>
      <c r="BC117" s="107"/>
      <c r="BD117" s="107"/>
      <c r="BE117" s="293"/>
      <c r="BF117" s="291"/>
      <c r="BG117" s="107"/>
      <c r="BH117" s="107"/>
      <c r="BI117" s="107"/>
      <c r="BJ117" s="293"/>
      <c r="BK117" s="291"/>
      <c r="BL117" s="107"/>
      <c r="BM117" s="107"/>
      <c r="BN117" s="107"/>
      <c r="BO117" s="293"/>
      <c r="BP117" s="291"/>
      <c r="BQ117" s="107"/>
      <c r="BR117" s="107"/>
      <c r="BS117" s="107"/>
      <c r="BT117" s="293"/>
      <c r="BU117" s="291"/>
      <c r="BV117" s="107"/>
      <c r="BW117" s="107"/>
      <c r="BX117" s="107"/>
      <c r="BY117" s="293"/>
      <c r="BZ117" s="291"/>
      <c r="CA117" s="107"/>
      <c r="CB117" s="107"/>
      <c r="CC117" s="107"/>
      <c r="CD117" s="293"/>
      <c r="CE117" s="291"/>
      <c r="CF117" s="107"/>
      <c r="CG117" s="107"/>
      <c r="CH117" s="107"/>
      <c r="CI117" s="293"/>
      <c r="CJ117" s="291"/>
      <c r="CK117" s="107"/>
      <c r="CL117" s="107"/>
      <c r="CM117" s="107"/>
      <c r="CN117" s="293"/>
      <c r="CO117" s="107"/>
      <c r="CP117" s="107"/>
      <c r="CQ117" s="107"/>
      <c r="CR117" s="107"/>
      <c r="CS117" s="293"/>
      <c r="CT117" s="107"/>
      <c r="CU117" s="107"/>
      <c r="CV117" s="107"/>
      <c r="CW117" s="107"/>
      <c r="CX117" s="293"/>
      <c r="CY117" s="107"/>
      <c r="CZ117" s="107"/>
      <c r="DA117" s="107"/>
      <c r="DB117" s="107"/>
      <c r="DC117" s="293"/>
      <c r="DD117" s="107"/>
      <c r="DE117" s="107"/>
      <c r="DF117" s="107"/>
      <c r="DG117" s="107"/>
      <c r="DH117" s="293"/>
      <c r="DI117" s="107"/>
      <c r="DJ117" s="107"/>
      <c r="DK117" s="107"/>
      <c r="DL117" s="107"/>
      <c r="DM117" s="293"/>
      <c r="DN117" s="107"/>
      <c r="DO117" s="107"/>
      <c r="DP117" s="107"/>
      <c r="DQ117" s="107"/>
      <c r="DR117" s="293"/>
      <c r="DS117" s="107"/>
      <c r="DT117" s="107"/>
      <c r="DU117" s="107"/>
      <c r="DV117" s="107"/>
      <c r="DW117" s="293"/>
      <c r="DX117" s="107"/>
      <c r="DY117" s="107"/>
      <c r="DZ117" s="107"/>
      <c r="EA117" s="107"/>
      <c r="EB117" s="293"/>
      <c r="EC117" s="468"/>
      <c r="ED117" s="468"/>
      <c r="EE117" s="468"/>
      <c r="EF117" s="468"/>
      <c r="EG117" s="293"/>
      <c r="EH117" s="107"/>
      <c r="EI117" s="107"/>
      <c r="EJ117" s="107"/>
      <c r="EK117" s="107"/>
      <c r="EL117" s="293"/>
      <c r="EM117" s="107">
        <f>-CF!EM78/IC!EM108</f>
      </c>
      <c r="EN117" s="107">
        <f>-CF!EN78/IC!EN108</f>
      </c>
      <c r="EO117" s="107">
        <f>-CF!EO78/IC!EO108</f>
      </c>
      <c r="EP117" s="107">
        <f>-CF!EP78/IC!EP108</f>
      </c>
      <c r="EQ117" s="293">
        <f>-CF!EQ78/IC!EQ108</f>
      </c>
      <c r="ER117" s="107">
        <f>-CF!ER78/IC!ER108</f>
      </c>
      <c r="ES117" s="107">
        <f>-CF!ES78/IC!ES108</f>
      </c>
      <c r="ET117" s="107">
        <f>-CF!ET78/IC!ET108</f>
      </c>
      <c r="EU117" s="107">
        <f>-CF!EU78/IC!EU108</f>
      </c>
      <c r="EV117" s="293">
        <f>-CF!EV78/IC!EV108</f>
      </c>
      <c r="EW117" s="107">
        <f>-CF!EW78/IC!EW108</f>
      </c>
      <c r="EX117" s="107">
        <f>-CF!EX78/IC!EX108</f>
      </c>
      <c r="EY117" s="107">
        <f>-CF!EY78/IC!EY108</f>
      </c>
      <c r="EZ117" s="107">
        <f>-CF!EZ78/IC!EZ108</f>
      </c>
      <c r="FA117" s="293">
        <f>-CF!FA78/IC!FA108</f>
      </c>
      <c r="FB117" s="107">
        <f>-CF!FB78/IC!FB108</f>
      </c>
      <c r="FC117" s="107">
        <f>-CF!FC78/IC!FC108</f>
      </c>
      <c r="FD117" s="107">
        <f>-CF!FD78/IC!FD108</f>
      </c>
      <c r="FE117" s="107">
        <f>-CF!FE78/IC!FE108</f>
      </c>
      <c r="FF117" s="293">
        <f>-CF!FF78/IC!FF108</f>
      </c>
      <c r="FG117" s="107">
        <f>-CF!FG78/IC!FG108</f>
      </c>
      <c r="FH117" s="107">
        <f>-CF!FH78/IC!FH108</f>
      </c>
      <c r="FI117" s="107">
        <f>-CF!FI78/IC!FI108</f>
      </c>
      <c r="FJ117" s="107">
        <f>-CF!FJ78/IC!FJ108</f>
      </c>
      <c r="FK117" s="293">
        <f>-CF!FK78/IC!FK108</f>
      </c>
      <c r="FL117" s="107">
        <f>-CF!FL78/IC!FL108</f>
      </c>
      <c r="FM117" s="107">
        <f>-CF!FM78/IC!FM108</f>
      </c>
      <c r="FN117" s="107">
        <f>-CF!FN78/IC!FN108</f>
      </c>
      <c r="FO117" s="107">
        <f>-CF!FO78/IC!FO108</f>
      </c>
      <c r="FP117" s="293">
        <f>-CF!FP78/IC!FP108</f>
      </c>
      <c r="FQ117" s="107">
        <f>-CF!FQ78/IC!FQ108</f>
      </c>
      <c r="FR117" s="107">
        <f>-CF!FR78/IC!FR108</f>
      </c>
      <c r="FS117" s="107">
        <f>-CF!FS78/IC!FS108</f>
      </c>
      <c r="FT117" s="107">
        <f>-CF!FT78/IC!FT108</f>
      </c>
      <c r="FU117" s="293">
        <f>-CF!FU78/IC!FU108</f>
      </c>
      <c r="FV117" s="107">
        <f>-CF!FV78/IC!FV108</f>
      </c>
      <c r="FW117" s="107">
        <f>-CF!FW78/IC!FW108</f>
      </c>
      <c r="FX117" s="107">
        <f>-CF!FX78/IC!FX108</f>
      </c>
      <c r="FY117" s="107">
        <f>-CF!FY78/IC!FY108</f>
      </c>
      <c r="FZ117" s="293">
        <f>-CF!FZ78/IC!FZ108</f>
      </c>
      <c r="GA117" s="291">
        <f>-CF!GA78/IC!GA108</f>
      </c>
      <c r="GB117" s="107">
        <f>-CF!GB78/IC!GB108</f>
      </c>
      <c r="GC117" s="107">
        <f>-CF!GC78/IC!GC108</f>
      </c>
      <c r="GD117" s="107">
        <f>-CF!GD78/IC!GD108</f>
      </c>
      <c r="GE117" s="293">
        <f>-CF!GE78/IC!GE108</f>
      </c>
      <c r="GF117" s="291">
        <f>-CF!GF78/IC!GF108</f>
      </c>
      <c r="GG117" s="107">
        <f>-CF!GG78/IC!GG108</f>
      </c>
      <c r="GH117" s="107">
        <f>-CF!GH78/IC!GH108</f>
      </c>
      <c r="GI117" s="107">
        <f>-CF!GI78/IC!GI108</f>
      </c>
      <c r="GJ117" s="382">
        <f>-CF!GJ78/IC!GJ108</f>
      </c>
    </row>
    <row r="118" spans="1:192" ht="12.75" customHeight="1">
      <c r="B118" s="733"/>
      <c r="C118" s="294"/>
      <c r="D118" s="295"/>
      <c r="E118" s="295"/>
      <c r="F118" s="295"/>
      <c r="G118" s="296"/>
      <c r="H118" s="294"/>
      <c r="I118" s="295"/>
      <c r="J118" s="295"/>
      <c r="K118" s="295"/>
      <c r="L118" s="296"/>
      <c r="M118" s="294"/>
      <c r="N118" s="295"/>
      <c r="O118" s="295"/>
      <c r="P118" s="295"/>
      <c r="Q118" s="296"/>
      <c r="R118" s="294"/>
      <c r="S118" s="295"/>
      <c r="T118" s="295"/>
      <c r="U118" s="295"/>
      <c r="V118" s="296"/>
      <c r="W118" s="294"/>
      <c r="X118" s="295"/>
      <c r="Y118" s="295"/>
      <c r="Z118" s="295"/>
      <c r="AA118" s="296"/>
      <c r="AB118" s="294"/>
      <c r="AC118" s="295"/>
      <c r="AD118" s="295"/>
      <c r="AE118" s="295"/>
      <c r="AF118" s="296"/>
      <c r="AG118" s="294"/>
      <c r="AH118" s="295"/>
      <c r="AI118" s="295"/>
      <c r="AJ118" s="295"/>
      <c r="AK118" s="296"/>
      <c r="AL118" s="294"/>
      <c r="AM118" s="295"/>
      <c r="AN118" s="295"/>
      <c r="AO118" s="295"/>
      <c r="AP118" s="296"/>
      <c r="AQ118" s="294"/>
      <c r="AR118" s="295"/>
      <c r="AS118" s="295"/>
      <c r="AT118" s="295"/>
      <c r="AU118" s="296"/>
      <c r="AV118" s="294"/>
      <c r="AW118" s="295"/>
      <c r="AX118" s="295"/>
      <c r="AY118" s="295"/>
      <c r="AZ118" s="296"/>
      <c r="BA118" s="294"/>
      <c r="BB118" s="295"/>
      <c r="BC118" s="295"/>
      <c r="BD118" s="295"/>
      <c r="BE118" s="296"/>
      <c r="BF118" s="294"/>
      <c r="BG118" s="295"/>
      <c r="BH118" s="295"/>
      <c r="BI118" s="295"/>
      <c r="BJ118" s="296"/>
      <c r="BK118" s="294"/>
      <c r="BL118" s="295"/>
      <c r="BM118" s="295"/>
      <c r="BN118" s="295"/>
      <c r="BO118" s="296"/>
      <c r="BP118" s="294"/>
      <c r="BQ118" s="295"/>
      <c r="BR118" s="295"/>
      <c r="BS118" s="295"/>
      <c r="BT118" s="296"/>
      <c r="BU118" s="294"/>
      <c r="BV118" s="295"/>
      <c r="BW118" s="295"/>
      <c r="BX118" s="295"/>
      <c r="BY118" s="296"/>
      <c r="BZ118" s="294"/>
      <c r="CA118" s="295"/>
      <c r="CB118" s="295"/>
      <c r="CC118" s="295"/>
      <c r="CD118" s="296"/>
      <c r="CE118" s="294"/>
      <c r="CF118" s="295"/>
      <c r="CG118" s="295"/>
      <c r="CH118" s="295"/>
      <c r="CI118" s="296"/>
      <c r="CJ118" s="294"/>
      <c r="CK118" s="295"/>
      <c r="CL118" s="295"/>
      <c r="CM118" s="295"/>
      <c r="CN118" s="296"/>
      <c r="CO118" s="294"/>
      <c r="CP118" s="295"/>
      <c r="CQ118" s="295"/>
      <c r="CR118" s="295"/>
      <c r="CS118" s="296"/>
      <c r="CT118" s="294"/>
      <c r="CU118" s="295"/>
      <c r="CV118" s="295"/>
      <c r="CW118" s="295"/>
      <c r="CX118" s="296"/>
      <c r="CY118" s="294"/>
      <c r="CZ118" s="295"/>
      <c r="DA118" s="295"/>
      <c r="DB118" s="295"/>
      <c r="DC118" s="296"/>
      <c r="DD118" s="294"/>
      <c r="DE118" s="295"/>
      <c r="DF118" s="295"/>
      <c r="DG118" s="295"/>
      <c r="DH118" s="296"/>
      <c r="DI118" s="294"/>
      <c r="DJ118" s="295"/>
      <c r="DK118" s="295"/>
      <c r="DL118" s="295"/>
      <c r="DM118" s="296"/>
      <c r="DN118" s="294"/>
      <c r="DO118" s="295"/>
      <c r="DP118" s="295"/>
      <c r="DQ118" s="295"/>
      <c r="DR118" s="296"/>
      <c r="DS118" s="294"/>
      <c r="DT118" s="295"/>
      <c r="DU118" s="295"/>
      <c r="DV118" s="295"/>
      <c r="DW118" s="296"/>
      <c r="DX118" s="294"/>
      <c r="DY118" s="295"/>
      <c r="DZ118" s="295"/>
      <c r="EA118" s="295"/>
      <c r="EB118" s="296"/>
      <c r="EC118" s="294"/>
      <c r="ED118" s="295"/>
      <c r="EE118" s="295"/>
      <c r="EF118" s="295"/>
      <c r="EG118" s="296"/>
      <c r="EH118" s="294"/>
      <c r="EI118" s="295"/>
      <c r="EJ118" s="295"/>
      <c r="EK118" s="295"/>
      <c r="EL118" s="296"/>
      <c r="EM118" s="294"/>
      <c r="EN118" s="295"/>
      <c r="EO118" s="295"/>
      <c r="EP118" s="295"/>
      <c r="EQ118" s="296"/>
      <c r="ER118" s="294"/>
      <c r="ES118" s="295"/>
      <c r="ET118" s="295"/>
      <c r="EU118" s="295"/>
      <c r="EV118" s="296"/>
      <c r="EW118" s="294"/>
      <c r="EX118" s="920">
        <f>(EV108+FA124)/EV108-1</f>
      </c>
      <c r="EY118" s="295"/>
      <c r="EZ118" s="295"/>
      <c r="FA118" s="296"/>
      <c r="FB118" s="294"/>
      <c r="FC118" s="295"/>
      <c r="FD118" s="295"/>
      <c r="FE118" s="295"/>
      <c r="FF118" s="296"/>
      <c r="FG118" s="294"/>
      <c r="FH118" s="295"/>
      <c r="FI118" s="295"/>
      <c r="FJ118" s="295"/>
      <c r="FK118" s="296"/>
      <c r="FL118" s="294"/>
      <c r="FM118" s="295"/>
      <c r="FN118" s="295"/>
      <c r="FO118" s="295"/>
      <c r="FP118" s="296"/>
      <c r="FQ118" s="294"/>
      <c r="FR118" s="295"/>
      <c r="FS118" s="295"/>
      <c r="FT118" s="295"/>
      <c r="FU118" s="296"/>
      <c r="FV118" s="294"/>
      <c r="FW118" s="295"/>
      <c r="FX118" s="295"/>
      <c r="FY118" s="295"/>
      <c r="FZ118" s="296"/>
      <c r="GA118" s="294"/>
      <c r="GB118" s="295"/>
      <c r="GC118" s="295"/>
      <c r="GD118" s="295"/>
      <c r="GE118" s="296"/>
      <c r="GF118" s="294"/>
      <c r="GG118" s="295"/>
      <c r="GH118" s="295"/>
      <c r="GI118" s="295"/>
      <c r="GJ118" s="383"/>
    </row>
    <row r="119" spans="1:192" ht="12.75" customHeight="1">
      <c r="B119" s="745" t="s">
        <v>390</v>
      </c>
      <c r="C119" s="291"/>
      <c r="D119" s="107"/>
      <c r="E119" s="107"/>
      <c r="F119" s="107"/>
      <c r="G119" s="292"/>
      <c r="H119" s="291"/>
      <c r="I119" s="107"/>
      <c r="J119" s="107"/>
      <c r="K119" s="107"/>
      <c r="L119" s="292"/>
      <c r="M119" s="291"/>
      <c r="N119" s="107"/>
      <c r="O119" s="107"/>
      <c r="P119" s="107"/>
      <c r="Q119" s="292"/>
      <c r="R119" s="291"/>
      <c r="S119" s="107"/>
      <c r="T119" s="107"/>
      <c r="U119" s="107"/>
      <c r="V119" s="292"/>
      <c r="W119" s="291"/>
      <c r="X119" s="107"/>
      <c r="Y119" s="107"/>
      <c r="Z119" s="107"/>
      <c r="AA119" s="292"/>
      <c r="AB119" s="291"/>
      <c r="AC119" s="107"/>
      <c r="AD119" s="107"/>
      <c r="AE119" s="107"/>
      <c r="AF119" s="292"/>
      <c r="AG119" s="291"/>
      <c r="AH119" s="107"/>
      <c r="AI119" s="107"/>
      <c r="AJ119" s="107"/>
      <c r="AK119" s="292"/>
      <c r="AL119" s="291"/>
      <c r="AM119" s="107"/>
      <c r="AN119" s="107"/>
      <c r="AO119" s="107"/>
      <c r="AP119" s="292"/>
      <c r="AQ119" s="291"/>
      <c r="AR119" s="107"/>
      <c r="AS119" s="107"/>
      <c r="AT119" s="107"/>
      <c r="AU119" s="292"/>
      <c r="AV119" s="291"/>
      <c r="AW119" s="107"/>
      <c r="AX119" s="107"/>
      <c r="AY119" s="107"/>
      <c r="AZ119" s="292"/>
      <c r="BA119" s="291"/>
      <c r="BB119" s="107"/>
      <c r="BC119" s="107"/>
      <c r="BD119" s="107"/>
      <c r="BE119" s="292"/>
      <c r="BF119" s="291"/>
      <c r="BG119" s="107"/>
      <c r="BH119" s="107"/>
      <c r="BI119" s="107"/>
      <c r="BJ119" s="292"/>
      <c r="BK119" s="291"/>
      <c r="BL119" s="107"/>
      <c r="BM119" s="107"/>
      <c r="BN119" s="107"/>
      <c r="BO119" s="292"/>
      <c r="BP119" s="291"/>
      <c r="BQ119" s="107"/>
      <c r="BR119" s="107"/>
      <c r="BS119" s="107"/>
      <c r="BT119" s="292"/>
      <c r="BU119" s="291"/>
      <c r="BV119" s="107"/>
      <c r="BW119" s="107"/>
      <c r="BX119" s="107"/>
      <c r="BY119" s="292"/>
      <c r="BZ119" s="291"/>
      <c r="CA119" s="107"/>
      <c r="CB119" s="107"/>
      <c r="CC119" s="107"/>
      <c r="CD119" s="292"/>
      <c r="CE119" s="291"/>
      <c r="CF119" s="107"/>
      <c r="CG119" s="107"/>
      <c r="CH119" s="107"/>
      <c r="CI119" s="292"/>
      <c r="CJ119" s="291"/>
      <c r="CK119" s="107"/>
      <c r="CL119" s="107"/>
      <c r="CM119" s="107"/>
      <c r="CN119" s="292"/>
      <c r="CO119" s="467"/>
      <c r="CP119" s="467"/>
      <c r="CQ119" s="467"/>
      <c r="CR119" s="467"/>
      <c r="CS119" s="292"/>
      <c r="CT119" s="467"/>
      <c r="CU119" s="467"/>
      <c r="CV119" s="467"/>
      <c r="CW119" s="467"/>
      <c r="CX119" s="292"/>
      <c r="CY119" s="467"/>
      <c r="CZ119" s="467"/>
      <c r="DA119" s="467"/>
      <c r="DB119" s="467"/>
      <c r="DC119" s="292"/>
      <c r="DD119" s="467"/>
      <c r="DE119" s="467"/>
      <c r="DF119" s="467"/>
      <c r="DG119" s="467"/>
      <c r="DH119" s="292"/>
      <c r="DI119" s="467"/>
      <c r="DJ119" s="467"/>
      <c r="DK119" s="467"/>
      <c r="DL119" s="467"/>
      <c r="DM119" s="292"/>
      <c r="DN119" s="467"/>
      <c r="DO119" s="467"/>
      <c r="DP119" s="467"/>
      <c r="DQ119" s="467"/>
      <c r="DR119" s="1242"/>
      <c r="DS119" s="467"/>
      <c r="DT119" s="467"/>
      <c r="DU119" s="467"/>
      <c r="DV119" s="467"/>
      <c r="DW119" s="1242"/>
      <c r="DX119" s="467"/>
      <c r="DY119" s="467"/>
      <c r="DZ119" s="467"/>
      <c r="EA119" s="467"/>
      <c r="EB119" s="1242"/>
      <c r="EC119" s="467"/>
      <c r="ED119" s="467"/>
      <c r="EE119" s="467"/>
      <c r="EF119" s="467"/>
      <c r="EG119" s="1242"/>
      <c r="EH119" s="467"/>
      <c r="EI119" s="467"/>
      <c r="EJ119" s="467"/>
      <c r="EK119" s="467"/>
      <c r="EL119" s="1242"/>
      <c r="EM119" s="467"/>
      <c r="EN119" s="467"/>
      <c r="EO119" s="467"/>
      <c r="EP119" s="467"/>
      <c r="EQ119" s="1242"/>
      <c r="ER119" s="467"/>
      <c r="ES119" s="467">
        <f t="shared" ref="ES119:EU120" si="114">(ES109-ER109)*10000</f>
      </c>
      <c r="ET119" s="467">
        <f t="shared" si="114"/>
      </c>
      <c r="EU119" s="467">
        <f t="shared" si="114"/>
      </c>
      <c r="EV119" s="1242">
        <f>(EV109-EQ109)*10000</f>
      </c>
      <c r="EW119" s="467">
        <f>(EW109-EU109)*10000</f>
      </c>
      <c r="EX119" s="467">
        <f t="shared" ref="EX119:EZ120" si="115">(EX109-EW109)*10000</f>
      </c>
      <c r="EY119" s="467">
        <f t="shared" si="115"/>
      </c>
      <c r="EZ119" s="467">
        <f t="shared" si="115"/>
      </c>
      <c r="FA119" s="1242">
        <f>(FA109-EV109)*10000</f>
      </c>
      <c r="FB119" s="467">
        <f>(FB109-EZ109)*10000</f>
      </c>
      <c r="FC119" s="467">
        <f t="shared" ref="FC119:FE120" si="116">(FC109-FB109)*10000</f>
      </c>
      <c r="FD119" s="467">
        <f t="shared" si="116"/>
      </c>
      <c r="FE119" s="467">
        <f t="shared" si="116"/>
      </c>
      <c r="FF119" s="1242">
        <f>(FF109-FA109)*10000</f>
      </c>
      <c r="FG119" s="467">
        <f>(FG109-FE109)*10000</f>
      </c>
      <c r="FH119" s="467">
        <f t="shared" ref="FH119:FJ120" si="117">(FH109-FG109)*10000</f>
      </c>
      <c r="FI119" s="467">
        <f t="shared" si="117"/>
      </c>
      <c r="FJ119" s="467">
        <f t="shared" si="117"/>
      </c>
      <c r="FK119" s="1242">
        <f>(FK109-FF109)*10000</f>
      </c>
      <c r="FL119" s="467">
        <f>(FL109-FJ109)*10000</f>
      </c>
      <c r="FM119" s="467">
        <f t="shared" ref="FM119:FO120" si="118">(FM109-FL109)*10000</f>
      </c>
      <c r="FN119" s="467">
        <f t="shared" si="118"/>
      </c>
      <c r="FO119" s="467">
        <f t="shared" si="118"/>
      </c>
      <c r="FP119" s="1242">
        <f>(FP109-FK109)*10000</f>
      </c>
      <c r="FQ119" s="467">
        <f>(FQ109-FO109)*10000</f>
      </c>
      <c r="FR119" s="467">
        <f t="shared" ref="FR119:FT120" si="119">(FR109-FQ109)*10000</f>
      </c>
      <c r="FS119" s="467">
        <f t="shared" si="119"/>
      </c>
      <c r="FT119" s="467">
        <f t="shared" si="119"/>
      </c>
      <c r="FU119" s="1242">
        <f>(FU109-FP109)*10000</f>
      </c>
      <c r="FV119" s="467">
        <f>(FV109-FT109)*10000</f>
      </c>
      <c r="FW119" s="467">
        <f t="shared" ref="FW119:FY120" si="120">(FW109-FV109)*10000</f>
      </c>
      <c r="FX119" s="467">
        <f t="shared" si="120"/>
      </c>
      <c r="FY119" s="467">
        <f t="shared" si="120"/>
      </c>
      <c r="FZ119" s="1242">
        <f>(FZ109-FU109)*10000</f>
      </c>
      <c r="GA119" s="467">
        <f>(GA109-FY109)*10000</f>
      </c>
      <c r="GB119" s="467">
        <f t="shared" ref="GB119:GD120" si="121">(GB109-GA109)*10000</f>
      </c>
      <c r="GC119" s="467">
        <f t="shared" si="121"/>
      </c>
      <c r="GD119" s="467">
        <f t="shared" si="121"/>
      </c>
      <c r="GE119" s="1242">
        <f>(GE109-FZ109)*10000</f>
      </c>
      <c r="GF119" s="467">
        <f>(GF109-GD109)*10000</f>
      </c>
      <c r="GG119" s="467">
        <f t="shared" ref="GG119:GG120" si="122">(GG109-GF109)*10000</f>
      </c>
      <c r="GH119" s="467">
        <f t="shared" ref="GH119:GH120" si="123">(GH109-GG109)*10000</f>
      </c>
      <c r="GI119" s="467">
        <f t="shared" ref="GI119:GI120" si="124">(GI109-GH109)*10000</f>
      </c>
      <c r="GJ119" s="1471">
        <f>(GJ109-GE109)*10000</f>
      </c>
    </row>
    <row r="120" spans="1:192" ht="12.75" customHeight="1">
      <c r="B120" s="745" t="s">
        <v>391</v>
      </c>
      <c r="C120" s="291"/>
      <c r="D120" s="107"/>
      <c r="E120" s="107"/>
      <c r="F120" s="107"/>
      <c r="G120" s="292"/>
      <c r="H120" s="291"/>
      <c r="I120" s="107"/>
      <c r="J120" s="107"/>
      <c r="K120" s="107"/>
      <c r="L120" s="292"/>
      <c r="M120" s="291"/>
      <c r="N120" s="107"/>
      <c r="O120" s="107"/>
      <c r="P120" s="107"/>
      <c r="Q120" s="292"/>
      <c r="R120" s="291"/>
      <c r="S120" s="107"/>
      <c r="T120" s="107"/>
      <c r="U120" s="107"/>
      <c r="V120" s="292"/>
      <c r="W120" s="291"/>
      <c r="X120" s="107"/>
      <c r="Y120" s="107"/>
      <c r="Z120" s="107"/>
      <c r="AA120" s="292"/>
      <c r="AB120" s="291"/>
      <c r="AC120" s="107"/>
      <c r="AD120" s="107"/>
      <c r="AE120" s="107"/>
      <c r="AF120" s="292"/>
      <c r="AG120" s="291"/>
      <c r="AH120" s="107"/>
      <c r="AI120" s="107"/>
      <c r="AJ120" s="107"/>
      <c r="AK120" s="292"/>
      <c r="AL120" s="291"/>
      <c r="AM120" s="107"/>
      <c r="AN120" s="107"/>
      <c r="AO120" s="107"/>
      <c r="AP120" s="292"/>
      <c r="AQ120" s="291"/>
      <c r="AR120" s="107"/>
      <c r="AS120" s="107"/>
      <c r="AT120" s="107"/>
      <c r="AU120" s="292"/>
      <c r="AV120" s="291"/>
      <c r="AW120" s="107"/>
      <c r="AX120" s="107"/>
      <c r="AY120" s="107"/>
      <c r="AZ120" s="292"/>
      <c r="BA120" s="291"/>
      <c r="BB120" s="107"/>
      <c r="BC120" s="107"/>
      <c r="BD120" s="107"/>
      <c r="BE120" s="292"/>
      <c r="BF120" s="291"/>
      <c r="BG120" s="107"/>
      <c r="BH120" s="107"/>
      <c r="BI120" s="107"/>
      <c r="BJ120" s="292"/>
      <c r="BK120" s="291"/>
      <c r="BL120" s="107"/>
      <c r="BM120" s="107"/>
      <c r="BN120" s="107"/>
      <c r="BO120" s="292"/>
      <c r="BP120" s="291"/>
      <c r="BQ120" s="107"/>
      <c r="BR120" s="107"/>
      <c r="BS120" s="107"/>
      <c r="BT120" s="292"/>
      <c r="BU120" s="291"/>
      <c r="BV120" s="107"/>
      <c r="BW120" s="107"/>
      <c r="BX120" s="107"/>
      <c r="BY120" s="292"/>
      <c r="BZ120" s="291"/>
      <c r="CA120" s="107"/>
      <c r="CB120" s="107"/>
      <c r="CC120" s="107"/>
      <c r="CD120" s="292"/>
      <c r="CE120" s="291"/>
      <c r="CF120" s="107"/>
      <c r="CG120" s="107"/>
      <c r="CH120" s="107"/>
      <c r="CI120" s="292"/>
      <c r="CJ120" s="291"/>
      <c r="CK120" s="107"/>
      <c r="CL120" s="107"/>
      <c r="CM120" s="107"/>
      <c r="CN120" s="292"/>
      <c r="CO120" s="467"/>
      <c r="CP120" s="467"/>
      <c r="CQ120" s="467"/>
      <c r="CR120" s="467"/>
      <c r="CS120" s="292"/>
      <c r="CT120" s="467"/>
      <c r="CU120" s="467"/>
      <c r="CV120" s="467"/>
      <c r="CW120" s="467"/>
      <c r="CX120" s="292"/>
      <c r="CY120" s="467"/>
      <c r="CZ120" s="467"/>
      <c r="DA120" s="467"/>
      <c r="DB120" s="467"/>
      <c r="DC120" s="292"/>
      <c r="DD120" s="467"/>
      <c r="DE120" s="467"/>
      <c r="DF120" s="467"/>
      <c r="DG120" s="467"/>
      <c r="DH120" s="292"/>
      <c r="DI120" s="467"/>
      <c r="DJ120" s="467"/>
      <c r="DK120" s="467"/>
      <c r="DL120" s="467"/>
      <c r="DM120" s="292"/>
      <c r="DN120" s="467"/>
      <c r="DO120" s="467"/>
      <c r="DP120" s="467"/>
      <c r="DQ120" s="467"/>
      <c r="DR120" s="292"/>
      <c r="DS120" s="467"/>
      <c r="DT120" s="467"/>
      <c r="DU120" s="467"/>
      <c r="DV120" s="467"/>
      <c r="DW120" s="292"/>
      <c r="DX120" s="467"/>
      <c r="DY120" s="467"/>
      <c r="DZ120" s="467"/>
      <c r="EA120" s="467"/>
      <c r="EB120" s="292"/>
      <c r="EC120" s="467"/>
      <c r="ED120" s="467"/>
      <c r="EE120" s="467"/>
      <c r="EF120" s="467"/>
      <c r="EG120" s="292"/>
      <c r="EH120" s="467"/>
      <c r="EI120" s="467"/>
      <c r="EJ120" s="467"/>
      <c r="EK120" s="467"/>
      <c r="EL120" s="292"/>
      <c r="EM120" s="467"/>
      <c r="EN120" s="467"/>
      <c r="EO120" s="467"/>
      <c r="EP120" s="467"/>
      <c r="EQ120" s="292"/>
      <c r="ER120" s="467"/>
      <c r="ES120" s="467">
        <f t="shared" si="114"/>
      </c>
      <c r="ET120" s="467">
        <f t="shared" si="114"/>
      </c>
      <c r="EU120" s="467">
        <f t="shared" si="114"/>
      </c>
      <c r="EV120" s="1242"/>
      <c r="EW120" s="467">
        <f>(EW110-EU110)*10000</f>
      </c>
      <c r="EX120" s="467">
        <f t="shared" si="115"/>
      </c>
      <c r="EY120" s="467">
        <f t="shared" si="115"/>
      </c>
      <c r="EZ120" s="467">
        <f t="shared" si="115"/>
      </c>
      <c r="FA120" s="292"/>
      <c r="FB120" s="467">
        <f>(FB110-EZ110)*10000</f>
      </c>
      <c r="FC120" s="467">
        <f t="shared" si="116"/>
      </c>
      <c r="FD120" s="467">
        <f t="shared" si="116"/>
      </c>
      <c r="FE120" s="467">
        <f t="shared" si="116"/>
      </c>
      <c r="FF120" s="292"/>
      <c r="FG120" s="467">
        <f>(FG110-FE110)*10000</f>
      </c>
      <c r="FH120" s="467">
        <f t="shared" si="117"/>
      </c>
      <c r="FI120" s="467">
        <f t="shared" si="117"/>
      </c>
      <c r="FJ120" s="467">
        <f t="shared" si="117"/>
      </c>
      <c r="FK120" s="292"/>
      <c r="FL120" s="467">
        <f>(FL110-FJ110)*10000</f>
      </c>
      <c r="FM120" s="467">
        <f t="shared" si="118"/>
      </c>
      <c r="FN120" s="467">
        <f t="shared" si="118"/>
      </c>
      <c r="FO120" s="467">
        <f t="shared" si="118"/>
      </c>
      <c r="FP120" s="292"/>
      <c r="FQ120" s="467">
        <f>(FQ110-FO110)*10000</f>
      </c>
      <c r="FR120" s="467">
        <f t="shared" si="119"/>
      </c>
      <c r="FS120" s="467">
        <f t="shared" si="119"/>
      </c>
      <c r="FT120" s="467">
        <f t="shared" si="119"/>
      </c>
      <c r="FU120" s="292"/>
      <c r="FV120" s="467">
        <f>(FV110-FT110)*10000</f>
      </c>
      <c r="FW120" s="467">
        <f t="shared" si="120"/>
      </c>
      <c r="FX120" s="467">
        <f t="shared" si="120"/>
      </c>
      <c r="FY120" s="467">
        <f t="shared" si="120"/>
      </c>
      <c r="FZ120" s="292"/>
      <c r="GA120" s="467">
        <f>(GA110-FY110)*10000</f>
      </c>
      <c r="GB120" s="467">
        <f t="shared" si="121"/>
      </c>
      <c r="GC120" s="467">
        <f t="shared" si="121"/>
      </c>
      <c r="GD120" s="467">
        <f t="shared" si="121"/>
      </c>
      <c r="GE120" s="292"/>
      <c r="GF120" s="467">
        <f>(GF110-GD110)*10000</f>
      </c>
      <c r="GG120" s="467">
        <f t="shared" si="122"/>
      </c>
      <c r="GH120" s="467">
        <f t="shared" si="123"/>
      </c>
      <c r="GI120" s="467">
        <f t="shared" si="124"/>
      </c>
      <c r="GJ120" s="384"/>
    </row>
    <row r="121" spans="1:192" ht="12.75" customHeight="1">
      <c r="B121" s="736"/>
      <c r="C121" s="291"/>
      <c r="D121" s="107"/>
      <c r="E121" s="107"/>
      <c r="F121" s="107"/>
      <c r="G121" s="293"/>
      <c r="H121" s="291"/>
      <c r="I121" s="107"/>
      <c r="J121" s="107"/>
      <c r="K121" s="107"/>
      <c r="L121" s="293"/>
      <c r="M121" s="291"/>
      <c r="N121" s="107"/>
      <c r="O121" s="107"/>
      <c r="P121" s="107"/>
      <c r="Q121" s="293"/>
      <c r="R121" s="291"/>
      <c r="S121" s="107"/>
      <c r="T121" s="107"/>
      <c r="U121" s="107"/>
      <c r="V121" s="293"/>
      <c r="W121" s="291"/>
      <c r="X121" s="107"/>
      <c r="Y121" s="107"/>
      <c r="Z121" s="107"/>
      <c r="AA121" s="293"/>
      <c r="AB121" s="291"/>
      <c r="AC121" s="107"/>
      <c r="AD121" s="107"/>
      <c r="AE121" s="107"/>
      <c r="AF121" s="293"/>
      <c r="AG121" s="291"/>
      <c r="AH121" s="107"/>
      <c r="AI121" s="107"/>
      <c r="AJ121" s="107"/>
      <c r="AK121" s="293"/>
      <c r="AL121" s="291"/>
      <c r="AM121" s="107"/>
      <c r="AN121" s="107"/>
      <c r="AO121" s="107"/>
      <c r="AP121" s="293"/>
      <c r="AQ121" s="291"/>
      <c r="AR121" s="107"/>
      <c r="AS121" s="107"/>
      <c r="AT121" s="107"/>
      <c r="AU121" s="293"/>
      <c r="AV121" s="291"/>
      <c r="AW121" s="107"/>
      <c r="AX121" s="107"/>
      <c r="AY121" s="107"/>
      <c r="AZ121" s="293"/>
      <c r="BA121" s="291"/>
      <c r="BB121" s="107"/>
      <c r="BC121" s="107"/>
      <c r="BD121" s="107"/>
      <c r="BE121" s="293"/>
      <c r="BF121" s="291"/>
      <c r="BG121" s="107"/>
      <c r="BH121" s="107"/>
      <c r="BI121" s="107"/>
      <c r="BJ121" s="293"/>
      <c r="BK121" s="291"/>
      <c r="BL121" s="107"/>
      <c r="BM121" s="107"/>
      <c r="BN121" s="107"/>
      <c r="BO121" s="293"/>
      <c r="BP121" s="291"/>
      <c r="BQ121" s="107"/>
      <c r="BR121" s="107"/>
      <c r="BS121" s="107"/>
      <c r="BT121" s="293"/>
      <c r="BU121" s="291"/>
      <c r="BV121" s="107"/>
      <c r="BW121" s="107"/>
      <c r="BX121" s="107"/>
      <c r="BY121" s="293"/>
      <c r="BZ121" s="291"/>
      <c r="CA121" s="107"/>
      <c r="CB121" s="107"/>
      <c r="CC121" s="107"/>
      <c r="CD121" s="293"/>
      <c r="CE121" s="291"/>
      <c r="CF121" s="107"/>
      <c r="CG121" s="107"/>
      <c r="CH121" s="107"/>
      <c r="CI121" s="293"/>
      <c r="CJ121" s="291"/>
      <c r="CK121" s="107"/>
      <c r="CL121" s="107"/>
      <c r="CM121" s="107"/>
      <c r="CN121" s="293"/>
      <c r="CO121" s="291"/>
      <c r="CP121" s="107"/>
      <c r="CQ121" s="107"/>
      <c r="CR121" s="107"/>
      <c r="CS121" s="293"/>
      <c r="CT121" s="291"/>
      <c r="CU121" s="107"/>
      <c r="CV121" s="107"/>
      <c r="CW121" s="107"/>
      <c r="CX121" s="293"/>
      <c r="CY121" s="291"/>
      <c r="CZ121" s="107"/>
      <c r="DA121" s="107"/>
      <c r="DB121" s="107"/>
      <c r="DC121" s="293"/>
      <c r="DD121" s="291"/>
      <c r="DE121" s="107"/>
      <c r="DF121" s="107"/>
      <c r="DG121" s="107"/>
      <c r="DH121" s="293"/>
      <c r="DI121" s="291"/>
      <c r="DJ121" s="107"/>
      <c r="DK121" s="107"/>
      <c r="DL121" s="107"/>
      <c r="DM121" s="293"/>
      <c r="DN121" s="291"/>
      <c r="DO121" s="107"/>
      <c r="DP121" s="107"/>
      <c r="DQ121" s="107"/>
      <c r="DR121" s="293"/>
      <c r="DS121" s="291"/>
      <c r="DT121" s="107"/>
      <c r="DU121" s="107"/>
      <c r="DV121" s="107"/>
      <c r="DW121" s="293"/>
      <c r="DX121" s="291"/>
      <c r="DY121" s="107"/>
      <c r="DZ121" s="107"/>
      <c r="EA121" s="107"/>
      <c r="EB121" s="293"/>
      <c r="EC121" s="291"/>
      <c r="ED121" s="107"/>
      <c r="EE121" s="107"/>
      <c r="EF121" s="107"/>
      <c r="EG121" s="293"/>
      <c r="EH121" s="291"/>
      <c r="EI121" s="107"/>
      <c r="EJ121" s="107"/>
      <c r="EK121" s="107"/>
      <c r="EL121" s="293"/>
      <c r="EM121" s="291"/>
      <c r="EN121" s="107"/>
      <c r="EO121" s="107"/>
      <c r="EP121" s="107"/>
      <c r="EQ121" s="293"/>
      <c r="ER121" s="291"/>
      <c r="ES121" s="107"/>
      <c r="ET121" s="107"/>
      <c r="EU121" s="107"/>
      <c r="EV121" s="293"/>
      <c r="EW121" s="291"/>
      <c r="EX121" s="107"/>
      <c r="EY121" s="107"/>
      <c r="EZ121" s="107"/>
      <c r="FA121" s="293"/>
      <c r="FB121" s="291"/>
      <c r="FC121" s="107"/>
      <c r="FD121" s="107"/>
      <c r="FE121" s="107"/>
      <c r="FF121" s="293"/>
      <c r="FG121" s="291"/>
      <c r="FH121" s="107"/>
      <c r="FI121" s="107"/>
      <c r="FJ121" s="107"/>
      <c r="FK121" s="293"/>
      <c r="FL121" s="291"/>
      <c r="FM121" s="107"/>
      <c r="FN121" s="107"/>
      <c r="FO121" s="107"/>
      <c r="FP121" s="293"/>
      <c r="FQ121" s="291"/>
      <c r="FR121" s="107"/>
      <c r="FS121" s="107"/>
      <c r="FT121" s="107"/>
      <c r="FU121" s="293"/>
      <c r="FV121" s="291"/>
      <c r="FW121" s="107"/>
      <c r="FX121" s="107"/>
      <c r="FY121" s="107"/>
      <c r="FZ121" s="293"/>
      <c r="GA121" s="291"/>
      <c r="GB121" s="107"/>
      <c r="GC121" s="107"/>
      <c r="GD121" s="107"/>
      <c r="GE121" s="293"/>
      <c r="GF121" s="291"/>
      <c r="GG121" s="107"/>
      <c r="GH121" s="107"/>
      <c r="GI121" s="107"/>
      <c r="GJ121" s="382"/>
    </row>
    <row r="122" spans="1:192" ht="12.75" customHeight="1">
      <c r="B122" s="740" t="s">
        <v>2048</v>
      </c>
      <c r="C122" s="291"/>
      <c r="D122" s="107"/>
      <c r="E122" s="107"/>
      <c r="F122" s="107"/>
      <c r="G122" s="293"/>
      <c r="H122" s="291"/>
      <c r="I122" s="107"/>
      <c r="J122" s="107"/>
      <c r="K122" s="107"/>
      <c r="L122" s="293"/>
      <c r="M122" s="291"/>
      <c r="N122" s="107"/>
      <c r="O122" s="107"/>
      <c r="P122" s="107"/>
      <c r="Q122" s="293"/>
      <c r="R122" s="291"/>
      <c r="S122" s="107"/>
      <c r="T122" s="107"/>
      <c r="U122" s="107"/>
      <c r="V122" s="293"/>
      <c r="W122" s="291"/>
      <c r="X122" s="107"/>
      <c r="Y122" s="107"/>
      <c r="Z122" s="107"/>
      <c r="AA122" s="293"/>
      <c r="AB122" s="291"/>
      <c r="AC122" s="107"/>
      <c r="AD122" s="107"/>
      <c r="AE122" s="107"/>
      <c r="AF122" s="293"/>
      <c r="AG122" s="291"/>
      <c r="AH122" s="107"/>
      <c r="AI122" s="107"/>
      <c r="AJ122" s="107"/>
      <c r="AK122" s="293"/>
      <c r="AL122" s="291"/>
      <c r="AM122" s="107"/>
      <c r="AN122" s="107"/>
      <c r="AO122" s="107"/>
      <c r="AP122" s="293"/>
      <c r="AQ122" s="291"/>
      <c r="AR122" s="107"/>
      <c r="AS122" s="107"/>
      <c r="AT122" s="107"/>
      <c r="AU122" s="293"/>
      <c r="AV122" s="291"/>
      <c r="AW122" s="107"/>
      <c r="AX122" s="107"/>
      <c r="AY122" s="107"/>
      <c r="AZ122" s="293"/>
      <c r="BA122" s="291"/>
      <c r="BB122" s="107"/>
      <c r="BC122" s="107"/>
      <c r="BD122" s="107"/>
      <c r="BE122" s="293"/>
      <c r="BF122" s="291"/>
      <c r="BG122" s="107"/>
      <c r="BH122" s="107"/>
      <c r="BI122" s="107"/>
      <c r="BJ122" s="293"/>
      <c r="BK122" s="291"/>
      <c r="BL122" s="107"/>
      <c r="BM122" s="107"/>
      <c r="BN122" s="107"/>
      <c r="BO122" s="293"/>
      <c r="BP122" s="291"/>
      <c r="BQ122" s="107"/>
      <c r="BR122" s="107"/>
      <c r="BS122" s="107"/>
      <c r="BT122" s="293"/>
      <c r="BU122" s="291"/>
      <c r="BV122" s="107"/>
      <c r="BW122" s="107"/>
      <c r="BX122" s="107"/>
      <c r="BY122" s="293"/>
      <c r="BZ122" s="291"/>
      <c r="CA122" s="107"/>
      <c r="CB122" s="107"/>
      <c r="CC122" s="107"/>
      <c r="CD122" s="293"/>
      <c r="CE122" s="291"/>
      <c r="CF122" s="107"/>
      <c r="CG122" s="107"/>
      <c r="CH122" s="107"/>
      <c r="CI122" s="293"/>
      <c r="CJ122" s="291"/>
      <c r="CK122" s="107"/>
      <c r="CL122" s="107"/>
      <c r="CM122" s="107"/>
      <c r="CN122" s="293"/>
      <c r="CO122" s="291"/>
      <c r="CP122" s="107"/>
      <c r="CQ122" s="107"/>
      <c r="CR122" s="107"/>
      <c r="CS122" s="293"/>
      <c r="CT122" s="291"/>
      <c r="CU122" s="107"/>
      <c r="CV122" s="107"/>
      <c r="CW122" s="107"/>
      <c r="CX122" s="293"/>
      <c r="CY122" s="291"/>
      <c r="CZ122" s="107"/>
      <c r="DA122" s="107"/>
      <c r="DB122" s="107"/>
      <c r="DC122" s="293"/>
      <c r="DD122" s="291"/>
      <c r="DE122" s="107"/>
      <c r="DF122" s="107"/>
      <c r="DG122" s="107"/>
      <c r="DH122" s="293"/>
      <c r="DI122" s="291"/>
      <c r="DJ122" s="107"/>
      <c r="DK122" s="107"/>
      <c r="DL122" s="107"/>
      <c r="DM122" s="293"/>
      <c r="DN122" s="291"/>
      <c r="DO122" s="107"/>
      <c r="DP122" s="107"/>
      <c r="DQ122" s="107"/>
      <c r="DR122" s="293"/>
      <c r="DS122" s="291"/>
      <c r="DT122" s="107"/>
      <c r="DU122" s="107"/>
      <c r="DV122" s="107"/>
      <c r="DW122" s="293"/>
      <c r="DX122" s="291"/>
      <c r="DY122" s="107"/>
      <c r="DZ122" s="107"/>
      <c r="EA122" s="107"/>
      <c r="EB122" s="293"/>
      <c r="EC122" s="291"/>
      <c r="ED122" s="107"/>
      <c r="EE122" s="107"/>
      <c r="EF122" s="107"/>
      <c r="EG122" s="293"/>
      <c r="EH122" s="291"/>
      <c r="EI122" s="107"/>
      <c r="EJ122" s="107"/>
      <c r="EK122" s="107"/>
      <c r="EL122" s="293"/>
      <c r="EM122" s="291"/>
      <c r="EN122" s="107"/>
      <c r="EO122" s="107"/>
      <c r="EP122" s="107"/>
      <c r="EQ122" s="293"/>
      <c r="ER122" s="291"/>
      <c r="ES122" s="107"/>
      <c r="ET122" s="107"/>
      <c r="EU122" s="107"/>
      <c r="EV122" s="293"/>
      <c r="EW122" s="291"/>
      <c r="EX122" s="107"/>
      <c r="EY122" s="107"/>
      <c r="EZ122" s="107"/>
      <c r="FA122" s="293"/>
      <c r="FB122" s="291"/>
      <c r="FC122" s="107"/>
      <c r="FD122" s="107"/>
      <c r="FE122" s="107"/>
      <c r="FF122" s="293"/>
      <c r="FG122" s="291"/>
      <c r="FH122" s="107"/>
      <c r="FI122" s="107"/>
      <c r="FJ122" s="107"/>
      <c r="FK122" s="293"/>
      <c r="FL122" s="291"/>
      <c r="FM122" s="107"/>
      <c r="FN122" s="107"/>
      <c r="FO122" s="107"/>
      <c r="FP122" s="293"/>
      <c r="FQ122" s="291"/>
      <c r="FR122" s="107"/>
      <c r="FS122" s="107"/>
      <c r="FT122" s="107"/>
      <c r="FU122" s="293"/>
      <c r="FV122" s="291"/>
      <c r="FW122" s="107"/>
      <c r="FX122" s="107"/>
      <c r="FY122" s="107"/>
      <c r="FZ122" s="293"/>
      <c r="GA122" s="291"/>
      <c r="GB122" s="107"/>
      <c r="GC122" s="107"/>
      <c r="GD122" s="107"/>
      <c r="GE122" s="293"/>
      <c r="GF122" s="291"/>
      <c r="GG122" s="107"/>
      <c r="GH122" s="107"/>
      <c r="GI122" s="107"/>
      <c r="GJ122" s="382"/>
    </row>
    <row r="123" spans="1:192" s="1621" customFormat="1" ht="12.75" hidden="1" customHeight="1" outlineLevel="1">
      <c r="A123" s="1620"/>
      <c r="B123" s="1530" t="s">
        <v>392</v>
      </c>
      <c r="C123" s="1433"/>
      <c r="D123" s="1261"/>
      <c r="E123" s="1261"/>
      <c r="F123" s="1261"/>
      <c r="G123" s="1630"/>
      <c r="H123" s="1433"/>
      <c r="I123" s="1261"/>
      <c r="J123" s="1261"/>
      <c r="K123" s="1261"/>
      <c r="L123" s="1630"/>
      <c r="M123" s="1433"/>
      <c r="N123" s="1261"/>
      <c r="O123" s="1261"/>
      <c r="P123" s="1261"/>
      <c r="Q123" s="1630"/>
      <c r="R123" s="1433"/>
      <c r="S123" s="1261"/>
      <c r="T123" s="1261"/>
      <c r="U123" s="1261"/>
      <c r="V123" s="1630"/>
      <c r="W123" s="1433"/>
      <c r="X123" s="1261"/>
      <c r="Y123" s="1261"/>
      <c r="Z123" s="1261"/>
      <c r="AA123" s="1630"/>
      <c r="AB123" s="1433"/>
      <c r="AC123" s="1261"/>
      <c r="AD123" s="1261"/>
      <c r="AE123" s="1261"/>
      <c r="AF123" s="1630"/>
      <c r="AG123" s="1433"/>
      <c r="AH123" s="1261"/>
      <c r="AI123" s="1261"/>
      <c r="AJ123" s="1261"/>
      <c r="AK123" s="1630"/>
      <c r="AL123" s="1433"/>
      <c r="AM123" s="1261"/>
      <c r="AN123" s="1261"/>
      <c r="AO123" s="1261"/>
      <c r="AP123" s="1630"/>
      <c r="AQ123" s="1433"/>
      <c r="AR123" s="1261"/>
      <c r="AS123" s="1261"/>
      <c r="AT123" s="1261"/>
      <c r="AU123" s="1630"/>
      <c r="AV123" s="1433"/>
      <c r="AW123" s="1261"/>
      <c r="AX123" s="1261"/>
      <c r="AY123" s="1261"/>
      <c r="AZ123" s="1630"/>
      <c r="BA123" s="1433"/>
      <c r="BB123" s="1261"/>
      <c r="BC123" s="1261"/>
      <c r="BD123" s="1261"/>
      <c r="BE123" s="1630"/>
      <c r="BF123" s="1433"/>
      <c r="BG123" s="1261"/>
      <c r="BH123" s="1261"/>
      <c r="BI123" s="1261"/>
      <c r="BJ123" s="1630"/>
      <c r="BK123" s="1433"/>
      <c r="BL123" s="1261"/>
      <c r="BM123" s="1261"/>
      <c r="BN123" s="1261"/>
      <c r="BO123" s="1630"/>
      <c r="BP123" s="1433"/>
      <c r="BQ123" s="1261"/>
      <c r="BR123" s="1261"/>
      <c r="BS123" s="1261"/>
      <c r="BT123" s="1630"/>
      <c r="BU123" s="1433"/>
      <c r="BV123" s="1261"/>
      <c r="BW123" s="1261"/>
      <c r="BX123" s="1261"/>
      <c r="BY123" s="1630"/>
      <c r="BZ123" s="1433"/>
      <c r="CA123" s="1261"/>
      <c r="CB123" s="1261"/>
      <c r="CC123" s="1261"/>
      <c r="CD123" s="1630"/>
      <c r="CE123" s="1433"/>
      <c r="CF123" s="1261"/>
      <c r="CG123" s="1261"/>
      <c r="CH123" s="1261"/>
      <c r="CI123" s="1630"/>
      <c r="CJ123" s="1433"/>
      <c r="CK123" s="1261"/>
      <c r="CL123" s="1261"/>
      <c r="CM123" s="1261"/>
      <c r="CN123" s="1630"/>
      <c r="CO123" s="1433"/>
      <c r="CP123" s="1261"/>
      <c r="CQ123" s="1261"/>
      <c r="CR123" s="1261"/>
      <c r="CS123" s="1630"/>
      <c r="CT123" s="1433"/>
      <c r="CU123" s="1261"/>
      <c r="CV123" s="1261"/>
      <c r="CW123" s="1261"/>
      <c r="CX123" s="1630"/>
      <c r="CY123" s="1433"/>
      <c r="CZ123" s="1261"/>
      <c r="DA123" s="1261"/>
      <c r="DB123" s="1261"/>
      <c r="DC123" s="1630"/>
      <c r="DD123" s="1433"/>
      <c r="DE123" s="1261"/>
      <c r="DF123" s="1261"/>
      <c r="DG123" s="1261"/>
      <c r="DH123" s="1630"/>
      <c r="DI123" s="1433"/>
      <c r="DJ123" s="1261"/>
      <c r="DK123" s="1261"/>
      <c r="DL123" s="1261"/>
      <c r="DM123" s="1630"/>
      <c r="DN123" s="1433"/>
      <c r="DO123" s="1261"/>
      <c r="DP123" s="1261"/>
      <c r="DQ123" s="1261"/>
      <c r="DR123" s="1630"/>
      <c r="DS123" s="1433"/>
      <c r="DT123" s="1261"/>
      <c r="DU123" s="1261"/>
      <c r="DV123" s="1261"/>
      <c r="DW123" s="1630"/>
      <c r="DX123" s="1433"/>
      <c r="DY123" s="1261"/>
      <c r="DZ123" s="1261"/>
      <c r="EA123" s="1261"/>
      <c r="EB123" s="1630"/>
      <c r="EC123" s="1433"/>
      <c r="ED123" s="1261"/>
      <c r="EE123" s="1261"/>
      <c r="EF123" s="1261"/>
      <c r="EG123" s="1630"/>
      <c r="EH123" s="1433"/>
      <c r="EI123" s="1261"/>
      <c r="EJ123" s="1261"/>
      <c r="EK123" s="1261"/>
      <c r="EL123" s="1630"/>
      <c r="EM123" s="1433"/>
      <c r="EN123" s="1261"/>
      <c r="EO123" s="1261"/>
      <c r="EP123" s="1629"/>
      <c r="EQ123" s="1630">
        <f>EQ124/EQ108</f>
      </c>
      <c r="ER123" s="1662">
        <v>0.05</v>
      </c>
      <c r="ES123" s="1662">
        <v>0.09</v>
      </c>
      <c r="ET123" s="1662">
        <v>0.1</v>
      </c>
      <c r="EU123" s="1662">
        <v>0.11</v>
      </c>
      <c r="EV123" s="1663">
        <v>0.09</v>
      </c>
      <c r="EW123" s="1662">
        <v>0.12</v>
      </c>
      <c r="EX123" s="1662">
        <v>0.13</v>
      </c>
      <c r="EY123" s="1629">
        <v>0.16</v>
      </c>
      <c r="EZ123" s="1629">
        <v>0.17499999999999999</v>
      </c>
      <c r="FA123" s="1720">
        <f>AVERAGE(EW123:EZ123)</f>
      </c>
      <c r="FB123" s="1662">
        <v>0.185</v>
      </c>
      <c r="FC123" s="1662">
        <f>FB123</f>
      </c>
      <c r="FD123" s="1662">
        <v>0.17499999999999999</v>
      </c>
      <c r="FE123" s="1662">
        <v>0.16500000000000001</v>
      </c>
      <c r="FF123" s="1630">
        <f>AVERAGE(FB123:FE123)</f>
      </c>
      <c r="FG123" s="1662">
        <v>0.17</v>
      </c>
      <c r="FH123" s="1662">
        <f>FG123</f>
      </c>
      <c r="FI123" s="1662">
        <f>FH123</f>
      </c>
      <c r="FJ123" s="1662">
        <f>FI123</f>
      </c>
      <c r="FK123" s="1630">
        <f>AVERAGE(FG123:FJ123)</f>
      </c>
      <c r="FL123" s="1433"/>
      <c r="FM123" s="1261"/>
      <c r="FN123" s="1261"/>
      <c r="FO123" s="1261"/>
      <c r="FP123" s="1630"/>
      <c r="FQ123" s="1433"/>
      <c r="FR123" s="1261"/>
      <c r="FS123" s="1261"/>
      <c r="FT123" s="1261"/>
      <c r="FU123" s="1630"/>
      <c r="FV123" s="1433"/>
      <c r="FW123" s="1261"/>
      <c r="FX123" s="1261"/>
      <c r="FY123" s="1261"/>
      <c r="FZ123" s="1630"/>
      <c r="GA123" s="1433"/>
      <c r="GB123" s="1261"/>
      <c r="GC123" s="1261"/>
      <c r="GD123" s="1261"/>
      <c r="GE123" s="1630"/>
      <c r="GF123" s="1433"/>
      <c r="GG123" s="1261"/>
      <c r="GH123" s="1261"/>
      <c r="GI123" s="1261"/>
      <c r="GJ123" s="1664"/>
    </row>
    <row r="124" spans="1:192" s="461" customFormat="1" ht="12.75" hidden="1" customHeight="1" outlineLevel="1">
      <c r="A124" s="370"/>
      <c r="B124" s="736" t="s">
        <v>1929</v>
      </c>
      <c r="C124" s="447"/>
      <c r="D124" s="458"/>
      <c r="E124" s="458"/>
      <c r="F124" s="458"/>
      <c r="G124" s="459"/>
      <c r="H124" s="447"/>
      <c r="I124" s="458"/>
      <c r="J124" s="458"/>
      <c r="K124" s="458"/>
      <c r="L124" s="459"/>
      <c r="M124" s="447"/>
      <c r="N124" s="458"/>
      <c r="O124" s="458"/>
      <c r="P124" s="458"/>
      <c r="Q124" s="459"/>
      <c r="R124" s="447"/>
      <c r="S124" s="458"/>
      <c r="T124" s="458"/>
      <c r="U124" s="458"/>
      <c r="V124" s="459"/>
      <c r="W124" s="447"/>
      <c r="X124" s="458"/>
      <c r="Y124" s="458"/>
      <c r="Z124" s="458"/>
      <c r="AA124" s="459"/>
      <c r="AB124" s="447"/>
      <c r="AC124" s="458"/>
      <c r="AD124" s="458"/>
      <c r="AE124" s="458"/>
      <c r="AF124" s="459"/>
      <c r="AG124" s="447"/>
      <c r="AH124" s="458"/>
      <c r="AI124" s="458"/>
      <c r="AJ124" s="458"/>
      <c r="AK124" s="459"/>
      <c r="AL124" s="447"/>
      <c r="AM124" s="458"/>
      <c r="AN124" s="458"/>
      <c r="AO124" s="458"/>
      <c r="AP124" s="459"/>
      <c r="AQ124" s="447"/>
      <c r="AR124" s="458"/>
      <c r="AS124" s="458"/>
      <c r="AT124" s="458"/>
      <c r="AU124" s="459"/>
      <c r="AV124" s="447"/>
      <c r="AW124" s="458"/>
      <c r="AX124" s="458"/>
      <c r="AY124" s="458"/>
      <c r="AZ124" s="459"/>
      <c r="BA124" s="447"/>
      <c r="BB124" s="458"/>
      <c r="BC124" s="458"/>
      <c r="BD124" s="458"/>
      <c r="BE124" s="459"/>
      <c r="BF124" s="447"/>
      <c r="BG124" s="458"/>
      <c r="BH124" s="458"/>
      <c r="BI124" s="458"/>
      <c r="BJ124" s="459"/>
      <c r="BK124" s="447"/>
      <c r="BL124" s="458"/>
      <c r="BM124" s="458"/>
      <c r="BN124" s="458"/>
      <c r="BO124" s="459"/>
      <c r="BP124" s="447"/>
      <c r="BQ124" s="458"/>
      <c r="BR124" s="458"/>
      <c r="BS124" s="458"/>
      <c r="BT124" s="459"/>
      <c r="BU124" s="447"/>
      <c r="BV124" s="458"/>
      <c r="BW124" s="458"/>
      <c r="BX124" s="458"/>
      <c r="BY124" s="459"/>
      <c r="BZ124" s="447"/>
      <c r="CA124" s="458"/>
      <c r="CB124" s="458"/>
      <c r="CC124" s="458"/>
      <c r="CD124" s="459"/>
      <c r="CE124" s="447"/>
      <c r="CF124" s="458"/>
      <c r="CG124" s="458"/>
      <c r="CH124" s="458"/>
      <c r="CI124" s="459"/>
      <c r="CJ124" s="447"/>
      <c r="CK124" s="458"/>
      <c r="CL124" s="458"/>
      <c r="CM124" s="458"/>
      <c r="CN124" s="459"/>
      <c r="CO124" s="447"/>
      <c r="CP124" s="458"/>
      <c r="CQ124" s="458"/>
      <c r="CR124" s="458"/>
      <c r="CS124" s="459"/>
      <c r="CT124" s="447"/>
      <c r="CU124" s="458"/>
      <c r="CV124" s="458"/>
      <c r="CW124" s="458"/>
      <c r="CX124" s="459"/>
      <c r="CY124" s="447"/>
      <c r="CZ124" s="458"/>
      <c r="DA124" s="458"/>
      <c r="DB124" s="458"/>
      <c r="DC124" s="459"/>
      <c r="DD124" s="447"/>
      <c r="DE124" s="458"/>
      <c r="DF124" s="458"/>
      <c r="DG124" s="458"/>
      <c r="DH124" s="459"/>
      <c r="DI124" s="447"/>
      <c r="DJ124" s="458"/>
      <c r="DK124" s="458"/>
      <c r="DL124" s="458"/>
      <c r="DM124" s="459"/>
      <c r="DN124" s="447"/>
      <c r="DO124" s="458"/>
      <c r="DP124" s="458"/>
      <c r="DQ124" s="458"/>
      <c r="DR124" s="459"/>
      <c r="DS124" s="447"/>
      <c r="DT124" s="458"/>
      <c r="DU124" s="458"/>
      <c r="DV124" s="458"/>
      <c r="DW124" s="459"/>
      <c r="DX124" s="447"/>
      <c r="DY124" s="458"/>
      <c r="DZ124" s="458"/>
      <c r="EA124" s="458"/>
      <c r="EB124" s="459"/>
      <c r="EC124" s="447"/>
      <c r="ED124" s="458"/>
      <c r="EE124" s="458"/>
      <c r="EF124" s="458"/>
      <c r="EG124" s="459"/>
      <c r="EH124" s="447"/>
      <c r="EI124" s="458"/>
      <c r="EJ124" s="458"/>
      <c r="EK124" s="458"/>
      <c r="EL124" s="459"/>
      <c r="EM124" s="447"/>
      <c r="EN124" s="458"/>
      <c r="EO124" s="458"/>
      <c r="EP124" s="458">
        <f>EP126</f>
      </c>
      <c r="EQ124" s="459">
        <f>SUM(EM124:EP124)</f>
      </c>
      <c r="ER124" s="458">
        <f>ER108-(EM108*(1+(ER110-ER123)))</f>
      </c>
      <c r="ES124" s="458">
        <f>ES108-(EN108*(1+(ES110-ES123)))</f>
      </c>
      <c r="ET124" s="458">
        <f t="shared" ref="ET124:EU124" si="125">ET108-(EO108*(1+(ET110-ET123)))</f>
      </c>
      <c r="EU124" s="458">
        <f t="shared" si="125"/>
      </c>
      <c r="EV124" s="459">
        <f>SUM(ER124:EU124)</f>
      </c>
      <c r="EW124" s="458">
        <f>EW108-(ER108*(1+(EW110-EW123)))</f>
      </c>
      <c r="EX124" s="458">
        <f>EX108-(ES108*(1+(EX110-EX123)))</f>
      </c>
      <c r="EY124" s="458">
        <f>EY108-(ET108*(1+(EY110-EY123)))</f>
      </c>
      <c r="EZ124" s="458">
        <f t="shared" ref="EZ124" si="126">EZ108-(EU108*(1+(EZ110-EZ123)))</f>
      </c>
      <c r="FA124" s="459">
        <f>SUM(EW124:EZ124)</f>
      </c>
      <c r="FB124" s="458">
        <f>FB108-(EW108*(1+(FB110-FB123)))</f>
      </c>
      <c r="FC124" s="458">
        <f>FC108-(EX108*(1+(FC110-FC123)))</f>
      </c>
      <c r="FD124" s="458">
        <f t="shared" ref="FD124" si="127">FD108-(EY108*(1+(FD110-FD123)))</f>
      </c>
      <c r="FE124" s="458">
        <f t="shared" ref="FE124" si="128">FE108-(EZ108*(1+(FE110-FE123)))</f>
      </c>
      <c r="FF124" s="459">
        <f>SUM(FB124:FE124)</f>
      </c>
      <c r="FG124" s="458">
        <f>FG108-(FB108*(1+(FG110-FG123)))</f>
      </c>
      <c r="FH124" s="458">
        <f>FH108-(FC108*(1+(FH110-FH123)))</f>
      </c>
      <c r="FI124" s="458">
        <f t="shared" ref="FI124" si="129">FI108-(FD108*(1+(FI110-FI123)))</f>
      </c>
      <c r="FJ124" s="458">
        <f t="shared" ref="FJ124" si="130">FJ108-(FE108*(1+(FJ110-FJ123)))</f>
      </c>
      <c r="FK124" s="459">
        <f>SUM(FG124:FJ124)</f>
      </c>
      <c r="FL124" s="447"/>
      <c r="FM124" s="458"/>
      <c r="FN124" s="458"/>
      <c r="FO124" s="458"/>
      <c r="FP124" s="459"/>
      <c r="FQ124" s="447"/>
      <c r="FR124" s="458"/>
      <c r="FS124" s="458"/>
      <c r="FT124" s="458"/>
      <c r="FU124" s="459"/>
      <c r="FV124" s="447"/>
      <c r="FW124" s="458"/>
      <c r="FX124" s="458"/>
      <c r="FY124" s="458"/>
      <c r="FZ124" s="459"/>
      <c r="GA124" s="447"/>
      <c r="GB124" s="458"/>
      <c r="GC124" s="458"/>
      <c r="GD124" s="458"/>
      <c r="GE124" s="459"/>
      <c r="GF124" s="447"/>
      <c r="GG124" s="458"/>
      <c r="GH124" s="458"/>
      <c r="GI124" s="458"/>
      <c r="GJ124" s="460"/>
    </row>
    <row r="125" spans="1:192" s="461" customFormat="1" ht="12.75" hidden="1" customHeight="1" outlineLevel="1">
      <c r="A125" s="370"/>
      <c r="B125" s="736"/>
      <c r="C125" s="447"/>
      <c r="D125" s="458"/>
      <c r="E125" s="458"/>
      <c r="F125" s="458"/>
      <c r="G125" s="459"/>
      <c r="H125" s="447"/>
      <c r="I125" s="458"/>
      <c r="J125" s="458"/>
      <c r="K125" s="458"/>
      <c r="L125" s="459"/>
      <c r="M125" s="447"/>
      <c r="N125" s="458"/>
      <c r="O125" s="458"/>
      <c r="P125" s="458"/>
      <c r="Q125" s="459"/>
      <c r="R125" s="447"/>
      <c r="S125" s="458"/>
      <c r="T125" s="458"/>
      <c r="U125" s="458"/>
      <c r="V125" s="459"/>
      <c r="W125" s="447"/>
      <c r="X125" s="458"/>
      <c r="Y125" s="458"/>
      <c r="Z125" s="458"/>
      <c r="AA125" s="459"/>
      <c r="AB125" s="447"/>
      <c r="AC125" s="458"/>
      <c r="AD125" s="458"/>
      <c r="AE125" s="458"/>
      <c r="AF125" s="459"/>
      <c r="AG125" s="447"/>
      <c r="AH125" s="458"/>
      <c r="AI125" s="458"/>
      <c r="AJ125" s="458"/>
      <c r="AK125" s="459"/>
      <c r="AL125" s="447"/>
      <c r="AM125" s="458"/>
      <c r="AN125" s="458"/>
      <c r="AO125" s="458"/>
      <c r="AP125" s="459"/>
      <c r="AQ125" s="447"/>
      <c r="AR125" s="458"/>
      <c r="AS125" s="458"/>
      <c r="AT125" s="458"/>
      <c r="AU125" s="459"/>
      <c r="AV125" s="447"/>
      <c r="AW125" s="458"/>
      <c r="AX125" s="458"/>
      <c r="AY125" s="458"/>
      <c r="AZ125" s="459"/>
      <c r="BA125" s="447"/>
      <c r="BB125" s="458"/>
      <c r="BC125" s="458"/>
      <c r="BD125" s="458"/>
      <c r="BE125" s="459"/>
      <c r="BF125" s="447"/>
      <c r="BG125" s="458"/>
      <c r="BH125" s="458"/>
      <c r="BI125" s="458"/>
      <c r="BJ125" s="459"/>
      <c r="BK125" s="447"/>
      <c r="BL125" s="458"/>
      <c r="BM125" s="458"/>
      <c r="BN125" s="458"/>
      <c r="BO125" s="459"/>
      <c r="BP125" s="447"/>
      <c r="BQ125" s="458"/>
      <c r="BR125" s="458"/>
      <c r="BS125" s="458"/>
      <c r="BT125" s="459"/>
      <c r="BU125" s="447"/>
      <c r="BV125" s="458"/>
      <c r="BW125" s="458"/>
      <c r="BX125" s="458"/>
      <c r="BY125" s="459"/>
      <c r="BZ125" s="447"/>
      <c r="CA125" s="458"/>
      <c r="CB125" s="458"/>
      <c r="CC125" s="458"/>
      <c r="CD125" s="459"/>
      <c r="CE125" s="447"/>
      <c r="CF125" s="458"/>
      <c r="CG125" s="458"/>
      <c r="CH125" s="458"/>
      <c r="CI125" s="459"/>
      <c r="CJ125" s="447"/>
      <c r="CK125" s="458"/>
      <c r="CL125" s="458"/>
      <c r="CM125" s="458"/>
      <c r="CN125" s="459"/>
      <c r="CO125" s="447"/>
      <c r="CP125" s="458"/>
      <c r="CQ125" s="458"/>
      <c r="CR125" s="458"/>
      <c r="CS125" s="459"/>
      <c r="CT125" s="447"/>
      <c r="CU125" s="458"/>
      <c r="CV125" s="458"/>
      <c r="CW125" s="458"/>
      <c r="CX125" s="459"/>
      <c r="CY125" s="447"/>
      <c r="CZ125" s="458"/>
      <c r="DA125" s="458"/>
      <c r="DB125" s="458"/>
      <c r="DC125" s="459"/>
      <c r="DD125" s="447"/>
      <c r="DE125" s="458"/>
      <c r="DF125" s="458"/>
      <c r="DG125" s="458"/>
      <c r="DH125" s="459"/>
      <c r="DI125" s="447"/>
      <c r="DJ125" s="458"/>
      <c r="DK125" s="458"/>
      <c r="DL125" s="458"/>
      <c r="DM125" s="459"/>
      <c r="DN125" s="447"/>
      <c r="DO125" s="458"/>
      <c r="DP125" s="458"/>
      <c r="DQ125" s="458"/>
      <c r="DR125" s="459"/>
      <c r="DS125" s="447"/>
      <c r="DT125" s="458"/>
      <c r="DU125" s="458"/>
      <c r="DV125" s="458"/>
      <c r="DW125" s="459"/>
      <c r="DX125" s="447"/>
      <c r="DY125" s="458"/>
      <c r="DZ125" s="458"/>
      <c r="EA125" s="458"/>
      <c r="EB125" s="459"/>
      <c r="EC125" s="447"/>
      <c r="ED125" s="458"/>
      <c r="EE125" s="458"/>
      <c r="EF125" s="458"/>
      <c r="EG125" s="459"/>
      <c r="EH125" s="447"/>
      <c r="EI125" s="458"/>
      <c r="EJ125" s="458"/>
      <c r="EK125" s="458"/>
      <c r="EL125" s="459"/>
      <c r="EM125" s="447"/>
      <c r="EN125" s="458"/>
      <c r="EO125" s="458"/>
      <c r="EP125" s="458"/>
      <c r="EQ125" s="459"/>
      <c r="ER125" s="458"/>
      <c r="ES125" s="458"/>
      <c r="ET125" s="458"/>
      <c r="EU125" s="458"/>
      <c r="EV125" s="1628"/>
      <c r="EW125" s="458"/>
      <c r="EX125" s="926"/>
      <c r="EY125" s="1322"/>
      <c r="EZ125" s="458"/>
      <c r="FA125" s="1628"/>
      <c r="FB125" s="1322"/>
      <c r="FC125" s="1322"/>
      <c r="FD125" s="458"/>
      <c r="FE125" s="458"/>
      <c r="FF125" s="459"/>
      <c r="FG125" s="1322"/>
      <c r="FH125" s="1322"/>
      <c r="FI125" s="458"/>
      <c r="FJ125" s="458"/>
      <c r="FK125" s="459"/>
      <c r="FL125" s="447"/>
      <c r="FM125" s="458"/>
      <c r="FN125" s="458"/>
      <c r="FO125" s="458"/>
      <c r="FP125" s="459"/>
      <c r="FQ125" s="447"/>
      <c r="FR125" s="458"/>
      <c r="FS125" s="458"/>
      <c r="FT125" s="458"/>
      <c r="FU125" s="459"/>
      <c r="FV125" s="447"/>
      <c r="FW125" s="458"/>
      <c r="FX125" s="458"/>
      <c r="FY125" s="458"/>
      <c r="FZ125" s="459"/>
      <c r="GA125" s="447"/>
      <c r="GB125" s="458"/>
      <c r="GC125" s="458"/>
      <c r="GD125" s="458"/>
      <c r="GE125" s="459"/>
      <c r="GF125" s="447"/>
      <c r="GG125" s="458"/>
      <c r="GH125" s="458"/>
      <c r="GI125" s="458"/>
      <c r="GJ125" s="460"/>
    </row>
    <row r="126" spans="1:192" s="461" customFormat="1" ht="12.75" hidden="1" customHeight="1" outlineLevel="1">
      <c r="A126" s="370"/>
      <c r="B126" s="1678" t="s">
        <v>1918</v>
      </c>
      <c r="C126" s="443"/>
      <c r="D126" s="471"/>
      <c r="E126" s="471"/>
      <c r="F126" s="471"/>
      <c r="G126" s="1065"/>
      <c r="H126" s="443"/>
      <c r="I126" s="471"/>
      <c r="J126" s="471"/>
      <c r="K126" s="471"/>
      <c r="L126" s="1065"/>
      <c r="M126" s="443"/>
      <c r="N126" s="471"/>
      <c r="O126" s="471"/>
      <c r="P126" s="471"/>
      <c r="Q126" s="1065"/>
      <c r="R126" s="443"/>
      <c r="S126" s="471"/>
      <c r="T126" s="471"/>
      <c r="U126" s="471"/>
      <c r="V126" s="1065"/>
      <c r="W126" s="443"/>
      <c r="X126" s="471"/>
      <c r="Y126" s="471"/>
      <c r="Z126" s="471"/>
      <c r="AA126" s="1065"/>
      <c r="AB126" s="443"/>
      <c r="AC126" s="471"/>
      <c r="AD126" s="471"/>
      <c r="AE126" s="471"/>
      <c r="AF126" s="1065"/>
      <c r="AG126" s="443"/>
      <c r="AH126" s="471"/>
      <c r="AI126" s="471"/>
      <c r="AJ126" s="471"/>
      <c r="AK126" s="1065"/>
      <c r="AL126" s="443"/>
      <c r="AM126" s="471"/>
      <c r="AN126" s="471"/>
      <c r="AO126" s="471"/>
      <c r="AP126" s="1065"/>
      <c r="AQ126" s="443"/>
      <c r="AR126" s="471"/>
      <c r="AS126" s="471"/>
      <c r="AT126" s="471"/>
      <c r="AU126" s="1065"/>
      <c r="AV126" s="443"/>
      <c r="AW126" s="471"/>
      <c r="AX126" s="471"/>
      <c r="AY126" s="471"/>
      <c r="AZ126" s="1065"/>
      <c r="BA126" s="443"/>
      <c r="BB126" s="471"/>
      <c r="BC126" s="471"/>
      <c r="BD126" s="471"/>
      <c r="BE126" s="1065"/>
      <c r="BF126" s="443"/>
      <c r="BG126" s="471"/>
      <c r="BH126" s="471"/>
      <c r="BI126" s="471"/>
      <c r="BJ126" s="1065"/>
      <c r="BK126" s="443"/>
      <c r="BL126" s="471"/>
      <c r="BM126" s="471"/>
      <c r="BN126" s="471"/>
      <c r="BO126" s="1065"/>
      <c r="BP126" s="443"/>
      <c r="BQ126" s="471"/>
      <c r="BR126" s="471"/>
      <c r="BS126" s="471"/>
      <c r="BT126" s="1065"/>
      <c r="BU126" s="443"/>
      <c r="BV126" s="471"/>
      <c r="BW126" s="471"/>
      <c r="BX126" s="471"/>
      <c r="BY126" s="1065"/>
      <c r="BZ126" s="443"/>
      <c r="CA126" s="471"/>
      <c r="CB126" s="471"/>
      <c r="CC126" s="471"/>
      <c r="CD126" s="1065"/>
      <c r="CE126" s="443"/>
      <c r="CF126" s="471"/>
      <c r="CG126" s="471"/>
      <c r="CH126" s="471"/>
      <c r="CI126" s="1065"/>
      <c r="CJ126" s="443"/>
      <c r="CK126" s="471"/>
      <c r="CL126" s="471"/>
      <c r="CM126" s="471"/>
      <c r="CN126" s="1065"/>
      <c r="CO126" s="443"/>
      <c r="CP126" s="471"/>
      <c r="CQ126" s="471"/>
      <c r="CR126" s="471"/>
      <c r="CS126" s="1065"/>
      <c r="CT126" s="443"/>
      <c r="CU126" s="471"/>
      <c r="CV126" s="471"/>
      <c r="CW126" s="471"/>
      <c r="CX126" s="1065"/>
      <c r="CY126" s="443"/>
      <c r="CZ126" s="471"/>
      <c r="DA126" s="471"/>
      <c r="DB126" s="471"/>
      <c r="DC126" s="1065"/>
      <c r="DD126" s="443"/>
      <c r="DE126" s="471"/>
      <c r="DF126" s="471"/>
      <c r="DG126" s="471"/>
      <c r="DH126" s="1065"/>
      <c r="DI126" s="443"/>
      <c r="DJ126" s="471"/>
      <c r="DK126" s="471"/>
      <c r="DL126" s="471"/>
      <c r="DM126" s="1065"/>
      <c r="DN126" s="443"/>
      <c r="DO126" s="471"/>
      <c r="DP126" s="471"/>
      <c r="DQ126" s="471"/>
      <c r="DR126" s="1065"/>
      <c r="DS126" s="443"/>
      <c r="DT126" s="471"/>
      <c r="DU126" s="471"/>
      <c r="DV126" s="471"/>
      <c r="DW126" s="1065"/>
      <c r="DX126" s="443"/>
      <c r="DY126" s="471"/>
      <c r="DZ126" s="471"/>
      <c r="EA126" s="471"/>
      <c r="EB126" s="1065"/>
      <c r="EC126" s="443"/>
      <c r="ED126" s="471"/>
      <c r="EE126" s="471"/>
      <c r="EF126" s="471"/>
      <c r="EG126" s="1065"/>
      <c r="EH126" s="443"/>
      <c r="EI126" s="471"/>
      <c r="EJ126" s="471"/>
      <c r="EK126" s="471"/>
      <c r="EL126" s="1065"/>
      <c r="EM126" s="443"/>
      <c r="EN126" s="471"/>
      <c r="EO126" s="471"/>
      <c r="EP126" s="452">
        <v>122.8485880851058</v>
      </c>
      <c r="EQ126" s="1065">
        <f>SUM(EM126:EP126)</f>
      </c>
      <c r="ER126" s="1145">
        <f t="shared" ref="ER126:ES126" si="131">ER124</f>
      </c>
      <c r="ES126" s="471">
        <f t="shared" si="131"/>
      </c>
      <c r="ET126" s="471">
        <f>ET124</f>
      </c>
      <c r="EU126" s="471">
        <f>EU124+EP126</f>
      </c>
      <c r="EV126" s="1065">
        <f>SUM(ER126:EU126)</f>
      </c>
      <c r="EW126" s="471">
        <f t="shared" ref="EW126:FB126" si="132">EW124+ER126</f>
      </c>
      <c r="EX126" s="471">
        <f t="shared" si="132"/>
      </c>
      <c r="EY126" s="471">
        <f t="shared" si="132"/>
      </c>
      <c r="EZ126" s="471">
        <f>EZ124+EU126</f>
      </c>
      <c r="FA126" s="1065">
        <f>SUM(EW126:EZ126)</f>
      </c>
      <c r="FB126" s="471">
        <f t="shared" si="132"/>
      </c>
      <c r="FC126" s="471">
        <f>FC124+EX126</f>
      </c>
      <c r="FD126" s="471">
        <f t="shared" ref="FD126:FE126" si="133">FD124+EY126</f>
      </c>
      <c r="FE126" s="471">
        <f t="shared" si="133"/>
      </c>
      <c r="FF126" s="1065">
        <f>SUM(FB126:FE126)</f>
      </c>
      <c r="FG126" s="471">
        <f t="shared" ref="FG126" si="134">FG124+FB126</f>
      </c>
      <c r="FH126" s="471">
        <f>FH124+FC126</f>
      </c>
      <c r="FI126" s="471">
        <f t="shared" ref="FI126" si="135">FI124+FD126</f>
      </c>
      <c r="FJ126" s="471">
        <f t="shared" ref="FJ126" si="136">FJ124+FE126</f>
      </c>
      <c r="FK126" s="1065">
        <f>SUM(FG126:FJ126)</f>
      </c>
      <c r="FL126" s="443"/>
      <c r="FM126" s="471"/>
      <c r="FN126" s="471"/>
      <c r="FO126" s="471"/>
      <c r="FP126" s="1065"/>
      <c r="FQ126" s="443"/>
      <c r="FR126" s="471"/>
      <c r="FS126" s="471"/>
      <c r="FT126" s="471"/>
      <c r="FU126" s="1065"/>
      <c r="FV126" s="443"/>
      <c r="FW126" s="471"/>
      <c r="FX126" s="471"/>
      <c r="FY126" s="471"/>
      <c r="FZ126" s="1065"/>
      <c r="GA126" s="443"/>
      <c r="GB126" s="471"/>
      <c r="GC126" s="471"/>
      <c r="GD126" s="471"/>
      <c r="GE126" s="1065"/>
      <c r="GF126" s="443"/>
      <c r="GG126" s="471"/>
      <c r="GH126" s="471"/>
      <c r="GI126" s="471"/>
      <c r="GJ126" s="1098"/>
    </row>
    <row r="127" spans="1:192" s="461" customFormat="1" ht="12.75" hidden="1" customHeight="1" outlineLevel="1">
      <c r="A127" s="370"/>
      <c r="B127" s="1300" t="s">
        <v>34</v>
      </c>
      <c r="C127" s="447"/>
      <c r="D127" s="458"/>
      <c r="E127" s="458"/>
      <c r="F127" s="458"/>
      <c r="G127" s="459"/>
      <c r="H127" s="447"/>
      <c r="I127" s="458"/>
      <c r="J127" s="458"/>
      <c r="K127" s="458"/>
      <c r="L127" s="459"/>
      <c r="M127" s="447"/>
      <c r="N127" s="458"/>
      <c r="O127" s="458"/>
      <c r="P127" s="458"/>
      <c r="Q127" s="459"/>
      <c r="R127" s="447"/>
      <c r="S127" s="458"/>
      <c r="T127" s="458"/>
      <c r="U127" s="458"/>
      <c r="V127" s="459"/>
      <c r="W127" s="447"/>
      <c r="X127" s="458"/>
      <c r="Y127" s="458"/>
      <c r="Z127" s="458"/>
      <c r="AA127" s="459"/>
      <c r="AB127" s="447"/>
      <c r="AC127" s="458"/>
      <c r="AD127" s="458"/>
      <c r="AE127" s="458"/>
      <c r="AF127" s="459"/>
      <c r="AG127" s="447"/>
      <c r="AH127" s="458"/>
      <c r="AI127" s="458"/>
      <c r="AJ127" s="458"/>
      <c r="AK127" s="459"/>
      <c r="AL127" s="447"/>
      <c r="AM127" s="458"/>
      <c r="AN127" s="458"/>
      <c r="AO127" s="458"/>
      <c r="AP127" s="459"/>
      <c r="AQ127" s="447"/>
      <c r="AR127" s="458"/>
      <c r="AS127" s="458"/>
      <c r="AT127" s="458"/>
      <c r="AU127" s="459"/>
      <c r="AV127" s="447"/>
      <c r="AW127" s="458"/>
      <c r="AX127" s="458"/>
      <c r="AY127" s="458"/>
      <c r="AZ127" s="459"/>
      <c r="BA127" s="447"/>
      <c r="BB127" s="458"/>
      <c r="BC127" s="458"/>
      <c r="BD127" s="458"/>
      <c r="BE127" s="459"/>
      <c r="BF127" s="447"/>
      <c r="BG127" s="458"/>
      <c r="BH127" s="458"/>
      <c r="BI127" s="458"/>
      <c r="BJ127" s="459"/>
      <c r="BK127" s="447"/>
      <c r="BL127" s="458"/>
      <c r="BM127" s="458"/>
      <c r="BN127" s="458"/>
      <c r="BO127" s="459"/>
      <c r="BP127" s="447"/>
      <c r="BQ127" s="458"/>
      <c r="BR127" s="458"/>
      <c r="BS127" s="458"/>
      <c r="BT127" s="459"/>
      <c r="BU127" s="447"/>
      <c r="BV127" s="458"/>
      <c r="BW127" s="458"/>
      <c r="BX127" s="458"/>
      <c r="BY127" s="459"/>
      <c r="BZ127" s="447"/>
      <c r="CA127" s="458"/>
      <c r="CB127" s="458"/>
      <c r="CC127" s="458"/>
      <c r="CD127" s="459"/>
      <c r="CE127" s="447"/>
      <c r="CF127" s="458"/>
      <c r="CG127" s="458"/>
      <c r="CH127" s="458"/>
      <c r="CI127" s="459"/>
      <c r="CJ127" s="447"/>
      <c r="CK127" s="458"/>
      <c r="CL127" s="458"/>
      <c r="CM127" s="458"/>
      <c r="CN127" s="459"/>
      <c r="CO127" s="447"/>
      <c r="CP127" s="458"/>
      <c r="CQ127" s="458"/>
      <c r="CR127" s="458"/>
      <c r="CS127" s="459"/>
      <c r="CT127" s="447"/>
      <c r="CU127" s="458"/>
      <c r="CV127" s="458"/>
      <c r="CW127" s="458"/>
      <c r="CX127" s="459"/>
      <c r="CY127" s="447"/>
      <c r="CZ127" s="458"/>
      <c r="DA127" s="458"/>
      <c r="DB127" s="458"/>
      <c r="DC127" s="459"/>
      <c r="DD127" s="447"/>
      <c r="DE127" s="458"/>
      <c r="DF127" s="458"/>
      <c r="DG127" s="458"/>
      <c r="DH127" s="459"/>
      <c r="DI127" s="447"/>
      <c r="DJ127" s="458"/>
      <c r="DK127" s="458"/>
      <c r="DL127" s="458"/>
      <c r="DM127" s="459"/>
      <c r="DN127" s="447"/>
      <c r="DO127" s="458"/>
      <c r="DP127" s="458"/>
      <c r="DQ127" s="458"/>
      <c r="DR127" s="459"/>
      <c r="DS127" s="447"/>
      <c r="DT127" s="458"/>
      <c r="DU127" s="458"/>
      <c r="DV127" s="458"/>
      <c r="DW127" s="459"/>
      <c r="DX127" s="447"/>
      <c r="DY127" s="458"/>
      <c r="DZ127" s="458"/>
      <c r="EA127" s="458"/>
      <c r="EB127" s="459"/>
      <c r="EC127" s="447"/>
      <c r="ED127" s="458"/>
      <c r="EE127" s="458"/>
      <c r="EF127" s="458"/>
      <c r="EG127" s="459"/>
      <c r="EH127" s="447"/>
      <c r="EI127" s="458"/>
      <c r="EJ127" s="458"/>
      <c r="EK127" s="458"/>
      <c r="EL127" s="459"/>
      <c r="EM127" s="447"/>
      <c r="EN127" s="458"/>
      <c r="EO127" s="458"/>
      <c r="EP127" s="458"/>
      <c r="EQ127" s="459"/>
      <c r="ER127" s="458"/>
      <c r="ES127" s="458"/>
      <c r="ET127" s="458"/>
      <c r="EU127" s="1449">
        <f t="shared" ref="EU127:FF127" si="137">EU126/EP126-1</f>
      </c>
      <c r="EV127" s="524">
        <f t="shared" si="137"/>
      </c>
      <c r="EW127" s="1449">
        <f t="shared" si="137"/>
      </c>
      <c r="EX127" s="1449">
        <f t="shared" si="137"/>
      </c>
      <c r="EY127" s="1449">
        <f t="shared" si="137"/>
      </c>
      <c r="EZ127" s="1449">
        <f t="shared" si="137"/>
      </c>
      <c r="FA127" s="524">
        <f t="shared" si="137"/>
      </c>
      <c r="FB127" s="1449">
        <f t="shared" si="137"/>
      </c>
      <c r="FC127" s="1449">
        <f t="shared" si="137"/>
      </c>
      <c r="FD127" s="1449">
        <f t="shared" si="137"/>
      </c>
      <c r="FE127" s="1449">
        <f t="shared" si="137"/>
      </c>
      <c r="FF127" s="524">
        <f t="shared" si="137"/>
      </c>
      <c r="FG127" s="1449">
        <f t="shared" ref="FG127" si="138">FG126/FB126-1</f>
      </c>
      <c r="FH127" s="1449">
        <f t="shared" ref="FH127" si="139">FH126/FC126-1</f>
      </c>
      <c r="FI127" s="1449">
        <f t="shared" ref="FI127" si="140">FI126/FD126-1</f>
      </c>
      <c r="FJ127" s="1449">
        <f t="shared" ref="FJ127" si="141">FJ126/FE126-1</f>
      </c>
      <c r="FK127" s="524">
        <f t="shared" ref="FK127" si="142">FK126/FF126-1</f>
      </c>
      <c r="FL127" s="447"/>
      <c r="FM127" s="458"/>
      <c r="FN127" s="458"/>
      <c r="FO127" s="458"/>
      <c r="FP127" s="459"/>
      <c r="FQ127" s="447"/>
      <c r="FR127" s="458"/>
      <c r="FS127" s="458"/>
      <c r="FT127" s="458"/>
      <c r="FU127" s="459"/>
      <c r="FV127" s="447"/>
      <c r="FW127" s="458"/>
      <c r="FX127" s="458"/>
      <c r="FY127" s="458"/>
      <c r="FZ127" s="459"/>
      <c r="GA127" s="447"/>
      <c r="GB127" s="458"/>
      <c r="GC127" s="458"/>
      <c r="GD127" s="458"/>
      <c r="GE127" s="459"/>
      <c r="GF127" s="447"/>
      <c r="GG127" s="458"/>
      <c r="GH127" s="458"/>
      <c r="GI127" s="458"/>
      <c r="GJ127" s="460"/>
    </row>
    <row r="128" spans="1:192" s="461" customFormat="1" ht="12.75" hidden="1" customHeight="1" outlineLevel="1">
      <c r="A128" s="370"/>
      <c r="B128" s="1300" t="s">
        <v>36</v>
      </c>
      <c r="C128" s="447"/>
      <c r="D128" s="458"/>
      <c r="E128" s="458"/>
      <c r="F128" s="458"/>
      <c r="G128" s="459"/>
      <c r="H128" s="447"/>
      <c r="I128" s="458"/>
      <c r="J128" s="458"/>
      <c r="K128" s="458"/>
      <c r="L128" s="459"/>
      <c r="M128" s="447"/>
      <c r="N128" s="458"/>
      <c r="O128" s="458"/>
      <c r="P128" s="458"/>
      <c r="Q128" s="459"/>
      <c r="R128" s="447"/>
      <c r="S128" s="458"/>
      <c r="T128" s="458"/>
      <c r="U128" s="458"/>
      <c r="V128" s="459"/>
      <c r="W128" s="447"/>
      <c r="X128" s="458"/>
      <c r="Y128" s="458"/>
      <c r="Z128" s="458"/>
      <c r="AA128" s="459"/>
      <c r="AB128" s="447"/>
      <c r="AC128" s="458"/>
      <c r="AD128" s="458"/>
      <c r="AE128" s="458"/>
      <c r="AF128" s="459"/>
      <c r="AG128" s="447"/>
      <c r="AH128" s="458"/>
      <c r="AI128" s="458"/>
      <c r="AJ128" s="458"/>
      <c r="AK128" s="459"/>
      <c r="AL128" s="447"/>
      <c r="AM128" s="458"/>
      <c r="AN128" s="458"/>
      <c r="AO128" s="458"/>
      <c r="AP128" s="459"/>
      <c r="AQ128" s="447"/>
      <c r="AR128" s="458"/>
      <c r="AS128" s="458"/>
      <c r="AT128" s="458"/>
      <c r="AU128" s="459"/>
      <c r="AV128" s="447"/>
      <c r="AW128" s="458"/>
      <c r="AX128" s="458"/>
      <c r="AY128" s="458"/>
      <c r="AZ128" s="459"/>
      <c r="BA128" s="447"/>
      <c r="BB128" s="458"/>
      <c r="BC128" s="458"/>
      <c r="BD128" s="458"/>
      <c r="BE128" s="459"/>
      <c r="BF128" s="447"/>
      <c r="BG128" s="458"/>
      <c r="BH128" s="458"/>
      <c r="BI128" s="458"/>
      <c r="BJ128" s="459"/>
      <c r="BK128" s="447"/>
      <c r="BL128" s="458"/>
      <c r="BM128" s="458"/>
      <c r="BN128" s="458"/>
      <c r="BO128" s="459"/>
      <c r="BP128" s="447"/>
      <c r="BQ128" s="458"/>
      <c r="BR128" s="458"/>
      <c r="BS128" s="458"/>
      <c r="BT128" s="459"/>
      <c r="BU128" s="447"/>
      <c r="BV128" s="458"/>
      <c r="BW128" s="458"/>
      <c r="BX128" s="458"/>
      <c r="BY128" s="459"/>
      <c r="BZ128" s="447"/>
      <c r="CA128" s="458"/>
      <c r="CB128" s="458"/>
      <c r="CC128" s="458"/>
      <c r="CD128" s="459"/>
      <c r="CE128" s="447"/>
      <c r="CF128" s="458"/>
      <c r="CG128" s="458"/>
      <c r="CH128" s="458"/>
      <c r="CI128" s="459"/>
      <c r="CJ128" s="447"/>
      <c r="CK128" s="458"/>
      <c r="CL128" s="458"/>
      <c r="CM128" s="458"/>
      <c r="CN128" s="459"/>
      <c r="CO128" s="447"/>
      <c r="CP128" s="458"/>
      <c r="CQ128" s="458"/>
      <c r="CR128" s="458"/>
      <c r="CS128" s="459"/>
      <c r="CT128" s="447"/>
      <c r="CU128" s="458"/>
      <c r="CV128" s="458"/>
      <c r="CW128" s="458"/>
      <c r="CX128" s="459"/>
      <c r="CY128" s="447"/>
      <c r="CZ128" s="458"/>
      <c r="DA128" s="458"/>
      <c r="DB128" s="458"/>
      <c r="DC128" s="459"/>
      <c r="DD128" s="447"/>
      <c r="DE128" s="458"/>
      <c r="DF128" s="458"/>
      <c r="DG128" s="458"/>
      <c r="DH128" s="459"/>
      <c r="DI128" s="447"/>
      <c r="DJ128" s="458"/>
      <c r="DK128" s="458"/>
      <c r="DL128" s="458"/>
      <c r="DM128" s="459"/>
      <c r="DN128" s="447"/>
      <c r="DO128" s="458"/>
      <c r="DP128" s="458"/>
      <c r="DQ128" s="458"/>
      <c r="DR128" s="459"/>
      <c r="DS128" s="447"/>
      <c r="DT128" s="458"/>
      <c r="DU128" s="458"/>
      <c r="DV128" s="458"/>
      <c r="DW128" s="459"/>
      <c r="DX128" s="447"/>
      <c r="DY128" s="458"/>
      <c r="DZ128" s="458"/>
      <c r="EA128" s="458"/>
      <c r="EB128" s="459"/>
      <c r="EC128" s="447"/>
      <c r="ED128" s="458"/>
      <c r="EE128" s="458"/>
      <c r="EF128" s="458"/>
      <c r="EG128" s="459"/>
      <c r="EH128" s="447"/>
      <c r="EI128" s="458"/>
      <c r="EJ128" s="458"/>
      <c r="EK128" s="458"/>
      <c r="EL128" s="459"/>
      <c r="EM128" s="447"/>
      <c r="EN128" s="458"/>
      <c r="EO128" s="458"/>
      <c r="EP128" s="458"/>
      <c r="EQ128" s="459"/>
      <c r="ER128" s="1449">
        <f>ER126/EP126-1</f>
      </c>
      <c r="ES128" s="1449">
        <f>ES126/ER126-1</f>
      </c>
      <c r="ET128" s="1449">
        <f>ET126/ES126-1</f>
      </c>
      <c r="EU128" s="1449">
        <f>EU126/ET126-1</f>
      </c>
      <c r="EV128" s="524"/>
      <c r="EW128" s="1449">
        <f>EW126/EU126-1</f>
      </c>
      <c r="EX128" s="1449">
        <f>EX126/EW126-1</f>
      </c>
      <c r="EY128" s="1449">
        <f>EY126/EX126-1</f>
      </c>
      <c r="EZ128" s="1449">
        <f>EZ126/EY126-1</f>
      </c>
      <c r="FA128" s="524"/>
      <c r="FB128" s="1449">
        <f>FB126/EZ126-1</f>
      </c>
      <c r="FC128" s="1449">
        <f>FC126/FB126-1</f>
      </c>
      <c r="FD128" s="1449">
        <f>FD126/FC126-1</f>
      </c>
      <c r="FE128" s="1449">
        <f>FE126/FD126-1</f>
      </c>
      <c r="FF128" s="459"/>
      <c r="FG128" s="1449">
        <f>FG126/FE126-1</f>
      </c>
      <c r="FH128" s="1449">
        <f>FH126/FG126-1</f>
      </c>
      <c r="FI128" s="1449">
        <f>FI126/FH126-1</f>
      </c>
      <c r="FJ128" s="1449">
        <f>FJ126/FI126-1</f>
      </c>
      <c r="FK128" s="459"/>
      <c r="FL128" s="447"/>
      <c r="FM128" s="458"/>
      <c r="FN128" s="458"/>
      <c r="FO128" s="458"/>
      <c r="FP128" s="459"/>
      <c r="FQ128" s="447"/>
      <c r="FR128" s="458"/>
      <c r="FS128" s="458"/>
      <c r="FT128" s="458"/>
      <c r="FU128" s="459"/>
      <c r="FV128" s="447"/>
      <c r="FW128" s="458"/>
      <c r="FX128" s="458"/>
      <c r="FY128" s="458"/>
      <c r="FZ128" s="459"/>
      <c r="GA128" s="447"/>
      <c r="GB128" s="458"/>
      <c r="GC128" s="458"/>
      <c r="GD128" s="458"/>
      <c r="GE128" s="459"/>
      <c r="GF128" s="447"/>
      <c r="GG128" s="458"/>
      <c r="GH128" s="458"/>
      <c r="GI128" s="458"/>
      <c r="GJ128" s="460"/>
    </row>
    <row r="129" spans="1:192" s="1200" customFormat="1" ht="12.75" hidden="1" customHeight="1" outlineLevel="1">
      <c r="A129" s="1272"/>
      <c r="B129" s="1300" t="s">
        <v>1919</v>
      </c>
      <c r="C129" s="892"/>
      <c r="D129" s="924"/>
      <c r="E129" s="924"/>
      <c r="F129" s="924"/>
      <c r="G129" s="893"/>
      <c r="H129" s="892"/>
      <c r="I129" s="924"/>
      <c r="J129" s="924"/>
      <c r="K129" s="924"/>
      <c r="L129" s="893"/>
      <c r="M129" s="892"/>
      <c r="N129" s="924"/>
      <c r="O129" s="924"/>
      <c r="P129" s="924"/>
      <c r="Q129" s="893"/>
      <c r="R129" s="892"/>
      <c r="S129" s="924"/>
      <c r="T129" s="924"/>
      <c r="U129" s="924"/>
      <c r="V129" s="893"/>
      <c r="W129" s="892"/>
      <c r="X129" s="924"/>
      <c r="Y129" s="924"/>
      <c r="Z129" s="924"/>
      <c r="AA129" s="893"/>
      <c r="AB129" s="892"/>
      <c r="AC129" s="924"/>
      <c r="AD129" s="924"/>
      <c r="AE129" s="924"/>
      <c r="AF129" s="893"/>
      <c r="AG129" s="892"/>
      <c r="AH129" s="924"/>
      <c r="AI129" s="924"/>
      <c r="AJ129" s="924"/>
      <c r="AK129" s="893"/>
      <c r="AL129" s="892"/>
      <c r="AM129" s="924"/>
      <c r="AN129" s="924"/>
      <c r="AO129" s="924"/>
      <c r="AP129" s="893"/>
      <c r="AQ129" s="892"/>
      <c r="AR129" s="924"/>
      <c r="AS129" s="924"/>
      <c r="AT129" s="924"/>
      <c r="AU129" s="893"/>
      <c r="AV129" s="892"/>
      <c r="AW129" s="924"/>
      <c r="AX129" s="924"/>
      <c r="AY129" s="924"/>
      <c r="AZ129" s="893"/>
      <c r="BA129" s="892"/>
      <c r="BB129" s="924"/>
      <c r="BC129" s="924"/>
      <c r="BD129" s="924"/>
      <c r="BE129" s="893"/>
      <c r="BF129" s="892"/>
      <c r="BG129" s="924"/>
      <c r="BH129" s="924"/>
      <c r="BI129" s="924"/>
      <c r="BJ129" s="893"/>
      <c r="BK129" s="892"/>
      <c r="BL129" s="924"/>
      <c r="BM129" s="924"/>
      <c r="BN129" s="924"/>
      <c r="BO129" s="893"/>
      <c r="BP129" s="892"/>
      <c r="BQ129" s="924"/>
      <c r="BR129" s="924"/>
      <c r="BS129" s="924"/>
      <c r="BT129" s="893"/>
      <c r="BU129" s="892"/>
      <c r="BV129" s="924"/>
      <c r="BW129" s="924"/>
      <c r="BX129" s="924"/>
      <c r="BY129" s="893"/>
      <c r="BZ129" s="892"/>
      <c r="CA129" s="924"/>
      <c r="CB129" s="924"/>
      <c r="CC129" s="924"/>
      <c r="CD129" s="893"/>
      <c r="CE129" s="892"/>
      <c r="CF129" s="924"/>
      <c r="CG129" s="924"/>
      <c r="CH129" s="924"/>
      <c r="CI129" s="893"/>
      <c r="CJ129" s="892"/>
      <c r="CK129" s="924"/>
      <c r="CL129" s="924"/>
      <c r="CM129" s="924"/>
      <c r="CN129" s="893"/>
      <c r="CO129" s="892"/>
      <c r="CP129" s="924"/>
      <c r="CQ129" s="924"/>
      <c r="CR129" s="924"/>
      <c r="CS129" s="893"/>
      <c r="CT129" s="892"/>
      <c r="CU129" s="924"/>
      <c r="CV129" s="924"/>
      <c r="CW129" s="924"/>
      <c r="CX129" s="893"/>
      <c r="CY129" s="892"/>
      <c r="CZ129" s="924"/>
      <c r="DA129" s="924"/>
      <c r="DB129" s="924"/>
      <c r="DC129" s="893"/>
      <c r="DD129" s="892"/>
      <c r="DE129" s="924"/>
      <c r="DF129" s="924"/>
      <c r="DG129" s="924"/>
      <c r="DH129" s="893"/>
      <c r="DI129" s="892"/>
      <c r="DJ129" s="924"/>
      <c r="DK129" s="924"/>
      <c r="DL129" s="924"/>
      <c r="DM129" s="893"/>
      <c r="DN129" s="892"/>
      <c r="DO129" s="924"/>
      <c r="DP129" s="924"/>
      <c r="DQ129" s="924"/>
      <c r="DR129" s="893"/>
      <c r="DS129" s="892"/>
      <c r="DT129" s="924"/>
      <c r="DU129" s="924"/>
      <c r="DV129" s="924"/>
      <c r="DW129" s="893"/>
      <c r="DX129" s="892"/>
      <c r="DY129" s="924"/>
      <c r="DZ129" s="924"/>
      <c r="EA129" s="924"/>
      <c r="EB129" s="893"/>
      <c r="EC129" s="892"/>
      <c r="ED129" s="924"/>
      <c r="EE129" s="924"/>
      <c r="EF129" s="924"/>
      <c r="EG129" s="893"/>
      <c r="EH129" s="892"/>
      <c r="EI129" s="924"/>
      <c r="EJ129" s="924"/>
      <c r="EK129" s="924"/>
      <c r="EL129" s="893"/>
      <c r="EM129" s="892"/>
      <c r="EN129" s="924"/>
      <c r="EO129" s="924"/>
      <c r="EP129" s="924">
        <f>EP126/EP108</f>
      </c>
      <c r="EQ129" s="893">
        <f>EQ126/EQ108</f>
      </c>
      <c r="ER129" s="892">
        <f t="shared" ref="ER129:FF129" si="143">ER126/ER$108</f>
      </c>
      <c r="ES129" s="924">
        <f t="shared" si="143"/>
      </c>
      <c r="ET129" s="924">
        <f t="shared" si="143"/>
      </c>
      <c r="EU129" s="924">
        <f t="shared" si="143"/>
      </c>
      <c r="EV129" s="893">
        <f t="shared" si="143"/>
      </c>
      <c r="EW129" s="892">
        <f t="shared" si="143"/>
      </c>
      <c r="EX129" s="924">
        <f t="shared" si="143"/>
      </c>
      <c r="EY129" s="924">
        <f t="shared" si="143"/>
      </c>
      <c r="EZ129" s="924">
        <f t="shared" ref="EZ129:FA129" si="144">EZ126/EZ$108</f>
      </c>
      <c r="FA129" s="893">
        <f t="shared" si="144"/>
      </c>
      <c r="FB129" s="924">
        <f t="shared" si="143"/>
      </c>
      <c r="FC129" s="924">
        <f t="shared" si="143"/>
      </c>
      <c r="FD129" s="924">
        <f t="shared" si="143"/>
      </c>
      <c r="FE129" s="924">
        <f t="shared" si="143"/>
      </c>
      <c r="FF129" s="893">
        <f t="shared" si="143"/>
      </c>
      <c r="FG129" s="924">
        <f t="shared" ref="FG129:FK129" si="145">FG126/FG$108</f>
      </c>
      <c r="FH129" s="924">
        <f t="shared" si="145"/>
      </c>
      <c r="FI129" s="924">
        <f t="shared" si="145"/>
      </c>
      <c r="FJ129" s="924">
        <f t="shared" si="145"/>
      </c>
      <c r="FK129" s="893">
        <f t="shared" si="145"/>
      </c>
      <c r="FL129" s="892"/>
      <c r="FM129" s="924"/>
      <c r="FN129" s="924"/>
      <c r="FO129" s="924"/>
      <c r="FP129" s="893"/>
      <c r="FQ129" s="892"/>
      <c r="FR129" s="924"/>
      <c r="FS129" s="924"/>
      <c r="FT129" s="924"/>
      <c r="FU129" s="893"/>
      <c r="FV129" s="892"/>
      <c r="FW129" s="924"/>
      <c r="FX129" s="924"/>
      <c r="FY129" s="924"/>
      <c r="FZ129" s="893"/>
      <c r="GA129" s="892"/>
      <c r="GB129" s="924"/>
      <c r="GC129" s="924"/>
      <c r="GD129" s="924"/>
      <c r="GE129" s="893"/>
      <c r="GF129" s="892"/>
      <c r="GG129" s="924"/>
      <c r="GH129" s="924"/>
      <c r="GI129" s="924"/>
      <c r="GJ129" s="1199"/>
    </row>
    <row r="130" spans="1:192" s="1200" customFormat="1" ht="12.75" hidden="1" customHeight="1" outlineLevel="1">
      <c r="A130" s="1272"/>
      <c r="B130" s="1300" t="s">
        <v>257</v>
      </c>
      <c r="C130" s="892"/>
      <c r="D130" s="924"/>
      <c r="E130" s="924"/>
      <c r="F130" s="924"/>
      <c r="G130" s="893"/>
      <c r="H130" s="892"/>
      <c r="I130" s="924"/>
      <c r="J130" s="924"/>
      <c r="K130" s="924"/>
      <c r="L130" s="893"/>
      <c r="M130" s="892"/>
      <c r="N130" s="924"/>
      <c r="O130" s="924"/>
      <c r="P130" s="924"/>
      <c r="Q130" s="893"/>
      <c r="R130" s="892"/>
      <c r="S130" s="924"/>
      <c r="T130" s="924"/>
      <c r="U130" s="924"/>
      <c r="V130" s="893"/>
      <c r="W130" s="892"/>
      <c r="X130" s="924"/>
      <c r="Y130" s="924"/>
      <c r="Z130" s="924"/>
      <c r="AA130" s="893"/>
      <c r="AB130" s="892"/>
      <c r="AC130" s="924"/>
      <c r="AD130" s="924"/>
      <c r="AE130" s="924"/>
      <c r="AF130" s="893"/>
      <c r="AG130" s="892"/>
      <c r="AH130" s="924"/>
      <c r="AI130" s="924"/>
      <c r="AJ130" s="924"/>
      <c r="AK130" s="893"/>
      <c r="AL130" s="892"/>
      <c r="AM130" s="924"/>
      <c r="AN130" s="924"/>
      <c r="AO130" s="924"/>
      <c r="AP130" s="893"/>
      <c r="AQ130" s="892"/>
      <c r="AR130" s="924"/>
      <c r="AS130" s="924"/>
      <c r="AT130" s="924"/>
      <c r="AU130" s="893"/>
      <c r="AV130" s="892"/>
      <c r="AW130" s="924"/>
      <c r="AX130" s="924"/>
      <c r="AY130" s="924"/>
      <c r="AZ130" s="893"/>
      <c r="BA130" s="892"/>
      <c r="BB130" s="924"/>
      <c r="BC130" s="924"/>
      <c r="BD130" s="924"/>
      <c r="BE130" s="893"/>
      <c r="BF130" s="892"/>
      <c r="BG130" s="924"/>
      <c r="BH130" s="924"/>
      <c r="BI130" s="924"/>
      <c r="BJ130" s="893"/>
      <c r="BK130" s="892"/>
      <c r="BL130" s="924"/>
      <c r="BM130" s="924"/>
      <c r="BN130" s="924"/>
      <c r="BO130" s="893"/>
      <c r="BP130" s="892"/>
      <c r="BQ130" s="924"/>
      <c r="BR130" s="924"/>
      <c r="BS130" s="924"/>
      <c r="BT130" s="893"/>
      <c r="BU130" s="892"/>
      <c r="BV130" s="924"/>
      <c r="BW130" s="924"/>
      <c r="BX130" s="924"/>
      <c r="BY130" s="893"/>
      <c r="BZ130" s="892"/>
      <c r="CA130" s="924"/>
      <c r="CB130" s="924"/>
      <c r="CC130" s="924"/>
      <c r="CD130" s="893"/>
      <c r="CE130" s="892"/>
      <c r="CF130" s="924"/>
      <c r="CG130" s="924"/>
      <c r="CH130" s="924"/>
      <c r="CI130" s="893"/>
      <c r="CJ130" s="892"/>
      <c r="CK130" s="924"/>
      <c r="CL130" s="924"/>
      <c r="CM130" s="924"/>
      <c r="CN130" s="893"/>
      <c r="CO130" s="892"/>
      <c r="CP130" s="924"/>
      <c r="CQ130" s="924"/>
      <c r="CR130" s="924"/>
      <c r="CS130" s="893"/>
      <c r="CT130" s="892"/>
      <c r="CU130" s="924"/>
      <c r="CV130" s="924"/>
      <c r="CW130" s="924"/>
      <c r="CX130" s="893"/>
      <c r="CY130" s="892"/>
      <c r="CZ130" s="924"/>
      <c r="DA130" s="924"/>
      <c r="DB130" s="924"/>
      <c r="DC130" s="893"/>
      <c r="DD130" s="892"/>
      <c r="DE130" s="924"/>
      <c r="DF130" s="924"/>
      <c r="DG130" s="924"/>
      <c r="DH130" s="893"/>
      <c r="DI130" s="892"/>
      <c r="DJ130" s="924"/>
      <c r="DK130" s="924"/>
      <c r="DL130" s="924"/>
      <c r="DM130" s="893"/>
      <c r="DN130" s="892"/>
      <c r="DO130" s="924"/>
      <c r="DP130" s="924"/>
      <c r="DQ130" s="924"/>
      <c r="DR130" s="893"/>
      <c r="DS130" s="892"/>
      <c r="DT130" s="924"/>
      <c r="DU130" s="924"/>
      <c r="DV130" s="924"/>
      <c r="DW130" s="893"/>
      <c r="DX130" s="892"/>
      <c r="DY130" s="924"/>
      <c r="DZ130" s="924"/>
      <c r="EA130" s="924"/>
      <c r="EB130" s="893"/>
      <c r="EC130" s="892"/>
      <c r="ED130" s="924"/>
      <c r="EE130" s="924"/>
      <c r="EF130" s="924"/>
      <c r="EG130" s="893"/>
      <c r="EH130" s="892"/>
      <c r="EI130" s="924"/>
      <c r="EJ130" s="924"/>
      <c r="EK130" s="924"/>
      <c r="EL130" s="893"/>
      <c r="EM130" s="892"/>
      <c r="EN130" s="924"/>
      <c r="EO130" s="924"/>
      <c r="EP130" s="924"/>
      <c r="EQ130" s="893"/>
      <c r="ER130" s="892">
        <f>ER126/IS!ER$24</f>
      </c>
      <c r="ES130" s="924">
        <f>ES126/IS!ES$24</f>
      </c>
      <c r="ET130" s="924">
        <f>ET126/IS!ET$24</f>
      </c>
      <c r="EU130" s="924">
        <f>EU126/IS!EU$24</f>
      </c>
      <c r="EV130" s="893">
        <f>EV126/IS!EV$24</f>
      </c>
      <c r="EW130" s="892">
        <f>EW126/IS!EW$24</f>
      </c>
      <c r="EX130" s="924">
        <f>EX126/IS!EX$24</f>
      </c>
      <c r="EY130" s="924">
        <f>EY126/IS!EY$24</f>
      </c>
      <c r="EZ130" s="924">
        <f>EZ126/IS!EZ$24</f>
      </c>
      <c r="FA130" s="893">
        <f>FA126/IS!FA$24</f>
      </c>
      <c r="FB130" s="924">
        <f>FB126/IS!FB$24</f>
      </c>
      <c r="FC130" s="924">
        <f>FC126/IS!FC$24</f>
      </c>
      <c r="FD130" s="924">
        <f>FD126/IS!FD$24</f>
      </c>
      <c r="FE130" s="924">
        <f>FE126/IS!FE$24</f>
      </c>
      <c r="FF130" s="893">
        <f>FF126/IS!FF$24</f>
      </c>
      <c r="FG130" s="924">
        <f>FG126/IS!FG$24</f>
      </c>
      <c r="FH130" s="924">
        <f>FH126/IS!FH$24</f>
      </c>
      <c r="FI130" s="924">
        <f>FI126/IS!FI$24</f>
      </c>
      <c r="FJ130" s="924">
        <f>FJ126/IS!FJ$24</f>
      </c>
      <c r="FK130" s="893">
        <f>FK126/IS!FK$24</f>
      </c>
      <c r="FL130" s="892"/>
      <c r="FM130" s="924"/>
      <c r="FN130" s="924"/>
      <c r="FO130" s="924"/>
      <c r="FP130" s="893"/>
      <c r="FQ130" s="892"/>
      <c r="FR130" s="924"/>
      <c r="FS130" s="924"/>
      <c r="FT130" s="924"/>
      <c r="FU130" s="893"/>
      <c r="FV130" s="892"/>
      <c r="FW130" s="924"/>
      <c r="FX130" s="924"/>
      <c r="FY130" s="924"/>
      <c r="FZ130" s="893"/>
      <c r="GA130" s="892"/>
      <c r="GB130" s="924"/>
      <c r="GC130" s="924"/>
      <c r="GD130" s="924"/>
      <c r="GE130" s="893"/>
      <c r="GF130" s="892"/>
      <c r="GG130" s="924"/>
      <c r="GH130" s="924"/>
      <c r="GI130" s="924"/>
      <c r="GJ130" s="1199"/>
    </row>
    <row r="131" spans="1:192" ht="12.75" hidden="1" customHeight="1" outlineLevel="1">
      <c r="B131" s="1672" t="s">
        <v>2031</v>
      </c>
      <c r="C131" s="291"/>
      <c r="D131" s="107"/>
      <c r="E131" s="107"/>
      <c r="F131" s="107"/>
      <c r="G131" s="293"/>
      <c r="H131" s="291"/>
      <c r="I131" s="107"/>
      <c r="J131" s="107"/>
      <c r="K131" s="107"/>
      <c r="L131" s="293"/>
      <c r="M131" s="291"/>
      <c r="N131" s="107"/>
      <c r="O131" s="107"/>
      <c r="P131" s="107"/>
      <c r="Q131" s="293"/>
      <c r="R131" s="291"/>
      <c r="S131" s="107"/>
      <c r="T131" s="107"/>
      <c r="U131" s="107"/>
      <c r="V131" s="293"/>
      <c r="W131" s="291"/>
      <c r="X131" s="107"/>
      <c r="Y131" s="107"/>
      <c r="Z131" s="107"/>
      <c r="AA131" s="293"/>
      <c r="AB131" s="291"/>
      <c r="AC131" s="107"/>
      <c r="AD131" s="107"/>
      <c r="AE131" s="107"/>
      <c r="AF131" s="293"/>
      <c r="AG131" s="291"/>
      <c r="AH131" s="107"/>
      <c r="AI131" s="107"/>
      <c r="AJ131" s="107"/>
      <c r="AK131" s="293"/>
      <c r="AL131" s="291"/>
      <c r="AM131" s="107"/>
      <c r="AN131" s="107"/>
      <c r="AO131" s="107"/>
      <c r="AP131" s="293"/>
      <c r="AQ131" s="291"/>
      <c r="AR131" s="107"/>
      <c r="AS131" s="107"/>
      <c r="AT131" s="107"/>
      <c r="AU131" s="293"/>
      <c r="AV131" s="291"/>
      <c r="AW131" s="107"/>
      <c r="AX131" s="107"/>
      <c r="AY131" s="107"/>
      <c r="AZ131" s="293"/>
      <c r="BA131" s="291"/>
      <c r="BB131" s="107"/>
      <c r="BC131" s="107"/>
      <c r="BD131" s="107"/>
      <c r="BE131" s="293"/>
      <c r="BF131" s="291"/>
      <c r="BG131" s="107"/>
      <c r="BH131" s="107"/>
      <c r="BI131" s="107"/>
      <c r="BJ131" s="293"/>
      <c r="BK131" s="291"/>
      <c r="BL131" s="107"/>
      <c r="BM131" s="107"/>
      <c r="BN131" s="107"/>
      <c r="BO131" s="293"/>
      <c r="BP131" s="291"/>
      <c r="BQ131" s="107"/>
      <c r="BR131" s="107"/>
      <c r="BS131" s="107"/>
      <c r="BT131" s="293"/>
      <c r="BU131" s="291"/>
      <c r="BV131" s="107"/>
      <c r="BW131" s="107"/>
      <c r="BX131" s="107"/>
      <c r="BY131" s="293"/>
      <c r="BZ131" s="291"/>
      <c r="CA131" s="107"/>
      <c r="CB131" s="107"/>
      <c r="CC131" s="107"/>
      <c r="CD131" s="293"/>
      <c r="CE131" s="291"/>
      <c r="CF131" s="107"/>
      <c r="CG131" s="107"/>
      <c r="CH131" s="107"/>
      <c r="CI131" s="293"/>
      <c r="CJ131" s="291"/>
      <c r="CK131" s="107"/>
      <c r="CL131" s="107"/>
      <c r="CM131" s="107"/>
      <c r="CN131" s="293"/>
      <c r="CO131" s="291"/>
      <c r="CP131" s="107"/>
      <c r="CQ131" s="107"/>
      <c r="CR131" s="107"/>
      <c r="CS131" s="293"/>
      <c r="CT131" s="291"/>
      <c r="CU131" s="107"/>
      <c r="CV131" s="107"/>
      <c r="CW131" s="107"/>
      <c r="CX131" s="293"/>
      <c r="CY131" s="291"/>
      <c r="CZ131" s="107"/>
      <c r="DA131" s="107"/>
      <c r="DB131" s="107"/>
      <c r="DC131" s="293"/>
      <c r="DD131" s="291"/>
      <c r="DE131" s="107"/>
      <c r="DF131" s="107"/>
      <c r="DG131" s="107"/>
      <c r="DH131" s="293"/>
      <c r="DI131" s="291"/>
      <c r="DJ131" s="107"/>
      <c r="DK131" s="107"/>
      <c r="DL131" s="107"/>
      <c r="DM131" s="293"/>
      <c r="DN131" s="291"/>
      <c r="DO131" s="107"/>
      <c r="DP131" s="107"/>
      <c r="DQ131" s="107"/>
      <c r="DR131" s="293"/>
      <c r="DS131" s="291"/>
      <c r="DT131" s="107"/>
      <c r="DU131" s="107"/>
      <c r="DV131" s="107"/>
      <c r="DW131" s="293"/>
      <c r="DX131" s="291"/>
      <c r="DY131" s="107"/>
      <c r="DZ131" s="107"/>
      <c r="EA131" s="107"/>
      <c r="EB131" s="293"/>
      <c r="EC131" s="291"/>
      <c r="ED131" s="107"/>
      <c r="EE131" s="107"/>
      <c r="EF131" s="107"/>
      <c r="EG131" s="293"/>
      <c r="EH131" s="291"/>
      <c r="EI131" s="107"/>
      <c r="EJ131" s="107"/>
      <c r="EK131" s="107"/>
      <c r="EL131" s="293"/>
      <c r="EM131" s="291"/>
      <c r="EN131" s="107"/>
      <c r="EO131" s="107"/>
      <c r="EP131" s="107"/>
      <c r="EQ131" s="293"/>
      <c r="ER131" s="291">
        <f>(IS!ER24+IC!ER124)/IS!ER24-1</f>
      </c>
      <c r="ES131" s="107">
        <f>(IS!ES24+IC!ES124)/IS!ES24-1</f>
      </c>
      <c r="ET131" s="107">
        <f>(IS!ET24+IC!ET124)/IS!ET24-1</f>
      </c>
      <c r="EU131" s="107">
        <f>(IS!EU24+IC!EU124)/IS!EU24-1</f>
      </c>
      <c r="EV131" s="293">
        <f>(IS!EV24+IC!EV124)/IS!EV24-1</f>
      </c>
      <c r="EW131" s="291">
        <f>(IS!EW24+IC!EW124)/IS!EW24-1</f>
      </c>
      <c r="EX131" s="107">
        <f>(IS!EX24+IC!EX124)/IS!EX24-1</f>
      </c>
      <c r="EY131" s="107">
        <f>(IS!EY24+IC!EY124)/IS!EY24-1</f>
      </c>
      <c r="EZ131" s="107">
        <f>(IS!EZ24+IC!EZ124)/IS!EZ24-1</f>
      </c>
      <c r="FA131" s="293">
        <f>(IS!FA24+IC!FA124)/IS!FA24-1</f>
      </c>
      <c r="FB131" s="107">
        <f>(IS!FB24+IC!FB124)/IS!FB24-1</f>
      </c>
      <c r="FC131" s="107">
        <f>(IS!FC24+IC!FC124)/IS!FC24-1</f>
      </c>
      <c r="FD131" s="107">
        <f>(IS!FD24+IC!FD124)/IS!FD24-1</f>
      </c>
      <c r="FE131" s="107">
        <f>(IS!FE24+IC!FE124)/IS!FE24-1</f>
      </c>
      <c r="FF131" s="293">
        <f>(IS!FF24+IC!FF124)/IS!FF24-1</f>
      </c>
      <c r="FG131" s="107">
        <f>(IS!FG24+IC!FG124)/IS!FG24-1</f>
      </c>
      <c r="FH131" s="107">
        <f>(IS!FH24+IC!FH124)/IS!FH24-1</f>
      </c>
      <c r="FI131" s="107">
        <f>(IS!FI24+IC!FI124)/IS!FI24-1</f>
      </c>
      <c r="FJ131" s="107">
        <f>(IS!FJ24+IC!FJ124)/IS!FJ24-1</f>
      </c>
      <c r="FK131" s="293">
        <f>(IS!FK24+IC!FK124)/IS!FK24-1</f>
      </c>
      <c r="FL131" s="291"/>
      <c r="FM131" s="107"/>
      <c r="FN131" s="107"/>
      <c r="FO131" s="107"/>
      <c r="FP131" s="293"/>
      <c r="FQ131" s="291"/>
      <c r="FR131" s="107"/>
      <c r="FS131" s="107"/>
      <c r="FT131" s="107"/>
      <c r="FU131" s="293"/>
      <c r="FV131" s="291"/>
      <c r="FW131" s="107"/>
      <c r="FX131" s="107"/>
      <c r="FY131" s="107"/>
      <c r="FZ131" s="293"/>
      <c r="GA131" s="291"/>
      <c r="GB131" s="107"/>
      <c r="GC131" s="107"/>
      <c r="GD131" s="107"/>
      <c r="GE131" s="293"/>
      <c r="GF131" s="291"/>
      <c r="GG131" s="107"/>
      <c r="GH131" s="107"/>
      <c r="GI131" s="107"/>
      <c r="GJ131" s="382"/>
    </row>
    <row r="132" spans="1:192" s="461" customFormat="1" ht="12.75" hidden="1" customHeight="1" outlineLevel="1">
      <c r="A132" s="370"/>
      <c r="B132" s="1300"/>
      <c r="C132" s="447"/>
      <c r="D132" s="458"/>
      <c r="E132" s="458"/>
      <c r="F132" s="458"/>
      <c r="G132" s="459"/>
      <c r="H132" s="447"/>
      <c r="I132" s="458"/>
      <c r="J132" s="458"/>
      <c r="K132" s="458"/>
      <c r="L132" s="459"/>
      <c r="M132" s="447"/>
      <c r="N132" s="458"/>
      <c r="O132" s="458"/>
      <c r="P132" s="458"/>
      <c r="Q132" s="459"/>
      <c r="R132" s="447"/>
      <c r="S132" s="458"/>
      <c r="T132" s="458"/>
      <c r="U132" s="458"/>
      <c r="V132" s="459"/>
      <c r="W132" s="447"/>
      <c r="X132" s="458"/>
      <c r="Y132" s="458"/>
      <c r="Z132" s="458"/>
      <c r="AA132" s="459"/>
      <c r="AB132" s="447"/>
      <c r="AC132" s="458"/>
      <c r="AD132" s="458"/>
      <c r="AE132" s="458"/>
      <c r="AF132" s="459"/>
      <c r="AG132" s="447"/>
      <c r="AH132" s="458"/>
      <c r="AI132" s="458"/>
      <c r="AJ132" s="458"/>
      <c r="AK132" s="459"/>
      <c r="AL132" s="447"/>
      <c r="AM132" s="458"/>
      <c r="AN132" s="458"/>
      <c r="AO132" s="458"/>
      <c r="AP132" s="459"/>
      <c r="AQ132" s="447"/>
      <c r="AR132" s="458"/>
      <c r="AS132" s="458"/>
      <c r="AT132" s="458"/>
      <c r="AU132" s="459"/>
      <c r="AV132" s="447"/>
      <c r="AW132" s="458"/>
      <c r="AX132" s="458"/>
      <c r="AY132" s="458"/>
      <c r="AZ132" s="459"/>
      <c r="BA132" s="447"/>
      <c r="BB132" s="458"/>
      <c r="BC132" s="458"/>
      <c r="BD132" s="458"/>
      <c r="BE132" s="459"/>
      <c r="BF132" s="447"/>
      <c r="BG132" s="458"/>
      <c r="BH132" s="458"/>
      <c r="BI132" s="458"/>
      <c r="BJ132" s="459"/>
      <c r="BK132" s="447"/>
      <c r="BL132" s="458"/>
      <c r="BM132" s="458"/>
      <c r="BN132" s="458"/>
      <c r="BO132" s="459"/>
      <c r="BP132" s="447"/>
      <c r="BQ132" s="458"/>
      <c r="BR132" s="458"/>
      <c r="BS132" s="458"/>
      <c r="BT132" s="459"/>
      <c r="BU132" s="447"/>
      <c r="BV132" s="458"/>
      <c r="BW132" s="458"/>
      <c r="BX132" s="458"/>
      <c r="BY132" s="459"/>
      <c r="BZ132" s="447"/>
      <c r="CA132" s="458"/>
      <c r="CB132" s="458"/>
      <c r="CC132" s="458"/>
      <c r="CD132" s="459"/>
      <c r="CE132" s="447"/>
      <c r="CF132" s="458"/>
      <c r="CG132" s="458"/>
      <c r="CH132" s="458"/>
      <c r="CI132" s="459"/>
      <c r="CJ132" s="447"/>
      <c r="CK132" s="458"/>
      <c r="CL132" s="458"/>
      <c r="CM132" s="458"/>
      <c r="CN132" s="459"/>
      <c r="CO132" s="447"/>
      <c r="CP132" s="458"/>
      <c r="CQ132" s="458"/>
      <c r="CR132" s="458"/>
      <c r="CS132" s="459"/>
      <c r="CT132" s="447"/>
      <c r="CU132" s="458"/>
      <c r="CV132" s="458"/>
      <c r="CW132" s="458"/>
      <c r="CX132" s="459"/>
      <c r="CY132" s="447"/>
      <c r="CZ132" s="458"/>
      <c r="DA132" s="458"/>
      <c r="DB132" s="458"/>
      <c r="DC132" s="459"/>
      <c r="DD132" s="447"/>
      <c r="DE132" s="458"/>
      <c r="DF132" s="458"/>
      <c r="DG132" s="458"/>
      <c r="DH132" s="459"/>
      <c r="DI132" s="447"/>
      <c r="DJ132" s="458"/>
      <c r="DK132" s="458"/>
      <c r="DL132" s="458"/>
      <c r="DM132" s="459"/>
      <c r="DN132" s="447"/>
      <c r="DO132" s="458"/>
      <c r="DP132" s="458"/>
      <c r="DQ132" s="458"/>
      <c r="DR132" s="459"/>
      <c r="DS132" s="447"/>
      <c r="DT132" s="458"/>
      <c r="DU132" s="458"/>
      <c r="DV132" s="458"/>
      <c r="DW132" s="459"/>
      <c r="DX132" s="447"/>
      <c r="DY132" s="458"/>
      <c r="DZ132" s="458"/>
      <c r="EA132" s="458"/>
      <c r="EB132" s="459"/>
      <c r="EC132" s="447"/>
      <c r="ED132" s="458"/>
      <c r="EE132" s="458"/>
      <c r="EF132" s="458"/>
      <c r="EG132" s="459"/>
      <c r="EH132" s="447"/>
      <c r="EI132" s="458"/>
      <c r="EJ132" s="458"/>
      <c r="EK132" s="458"/>
      <c r="EL132" s="459"/>
      <c r="EM132" s="447"/>
      <c r="EN132" s="458"/>
      <c r="EO132" s="458"/>
      <c r="EP132" s="458"/>
      <c r="EQ132" s="459"/>
      <c r="ER132" s="1449"/>
      <c r="ES132" s="1449"/>
      <c r="ET132" s="1449"/>
      <c r="EU132" s="1449"/>
      <c r="EV132" s="524"/>
      <c r="EW132" s="1449"/>
      <c r="EX132" s="1449"/>
      <c r="EY132" s="1449"/>
      <c r="EZ132" s="1449"/>
      <c r="FA132" s="524"/>
      <c r="FB132" s="1449"/>
      <c r="FC132" s="1449"/>
      <c r="FD132" s="1449"/>
      <c r="FE132" s="1449"/>
      <c r="FF132" s="1628"/>
      <c r="FG132" s="1449"/>
      <c r="FH132" s="1449"/>
      <c r="FI132" s="1449"/>
      <c r="FJ132" s="1449"/>
      <c r="FK132" s="1628"/>
      <c r="FL132" s="447"/>
      <c r="FM132" s="458"/>
      <c r="FN132" s="458"/>
      <c r="FO132" s="458"/>
      <c r="FP132" s="459"/>
      <c r="FQ132" s="447"/>
      <c r="FR132" s="458"/>
      <c r="FS132" s="458"/>
      <c r="FT132" s="458"/>
      <c r="FU132" s="459"/>
      <c r="FV132" s="447"/>
      <c r="FW132" s="458"/>
      <c r="FX132" s="458"/>
      <c r="FY132" s="458"/>
      <c r="FZ132" s="459"/>
      <c r="GA132" s="447"/>
      <c r="GB132" s="458"/>
      <c r="GC132" s="458"/>
      <c r="GD132" s="458"/>
      <c r="GE132" s="459"/>
      <c r="GF132" s="447"/>
      <c r="GG132" s="458"/>
      <c r="GH132" s="458"/>
      <c r="GI132" s="458"/>
      <c r="GJ132" s="460"/>
    </row>
    <row r="133" spans="1:192" ht="12.75" hidden="1" customHeight="1" outlineLevel="1">
      <c r="B133" s="1300" t="s">
        <v>2058</v>
      </c>
      <c r="C133" s="291"/>
      <c r="D133" s="107"/>
      <c r="E133" s="107"/>
      <c r="F133" s="107"/>
      <c r="G133" s="293"/>
      <c r="H133" s="291"/>
      <c r="I133" s="107"/>
      <c r="J133" s="107"/>
      <c r="K133" s="107"/>
      <c r="L133" s="293"/>
      <c r="M133" s="291"/>
      <c r="N133" s="107"/>
      <c r="O133" s="107"/>
      <c r="P133" s="107"/>
      <c r="Q133" s="293"/>
      <c r="R133" s="291"/>
      <c r="S133" s="107"/>
      <c r="T133" s="107"/>
      <c r="U133" s="107"/>
      <c r="V133" s="293"/>
      <c r="W133" s="291"/>
      <c r="X133" s="107"/>
      <c r="Y133" s="107"/>
      <c r="Z133" s="107"/>
      <c r="AA133" s="293"/>
      <c r="AB133" s="291"/>
      <c r="AC133" s="107"/>
      <c r="AD133" s="107"/>
      <c r="AE133" s="107"/>
      <c r="AF133" s="293"/>
      <c r="AG133" s="291"/>
      <c r="AH133" s="107"/>
      <c r="AI133" s="107"/>
      <c r="AJ133" s="107"/>
      <c r="AK133" s="293"/>
      <c r="AL133" s="291"/>
      <c r="AM133" s="107"/>
      <c r="AN133" s="107"/>
      <c r="AO133" s="107"/>
      <c r="AP133" s="293"/>
      <c r="AQ133" s="291"/>
      <c r="AR133" s="107"/>
      <c r="AS133" s="107"/>
      <c r="AT133" s="107"/>
      <c r="AU133" s="293"/>
      <c r="AV133" s="291"/>
      <c r="AW133" s="107"/>
      <c r="AX133" s="107"/>
      <c r="AY133" s="107"/>
      <c r="AZ133" s="293"/>
      <c r="BA133" s="291"/>
      <c r="BB133" s="107"/>
      <c r="BC133" s="107"/>
      <c r="BD133" s="107"/>
      <c r="BE133" s="293"/>
      <c r="BF133" s="291"/>
      <c r="BG133" s="107"/>
      <c r="BH133" s="107"/>
      <c r="BI133" s="107"/>
      <c r="BJ133" s="293"/>
      <c r="BK133" s="291"/>
      <c r="BL133" s="107"/>
      <c r="BM133" s="107"/>
      <c r="BN133" s="107"/>
      <c r="BO133" s="293"/>
      <c r="BP133" s="291"/>
      <c r="BQ133" s="107"/>
      <c r="BR133" s="107"/>
      <c r="BS133" s="107"/>
      <c r="BT133" s="293"/>
      <c r="BU133" s="291"/>
      <c r="BV133" s="107"/>
      <c r="BW133" s="107"/>
      <c r="BX133" s="107"/>
      <c r="BY133" s="293"/>
      <c r="BZ133" s="291"/>
      <c r="CA133" s="107"/>
      <c r="CB133" s="107"/>
      <c r="CC133" s="107"/>
      <c r="CD133" s="293"/>
      <c r="CE133" s="291"/>
      <c r="CF133" s="107"/>
      <c r="CG133" s="107"/>
      <c r="CH133" s="107"/>
      <c r="CI133" s="293"/>
      <c r="CJ133" s="291"/>
      <c r="CK133" s="107"/>
      <c r="CL133" s="107"/>
      <c r="CM133" s="107"/>
      <c r="CN133" s="293"/>
      <c r="CO133" s="447"/>
      <c r="CP133" s="447"/>
      <c r="CQ133" s="447"/>
      <c r="CR133" s="458"/>
      <c r="CS133" s="466"/>
      <c r="CT133" s="447"/>
      <c r="CU133" s="447"/>
      <c r="CV133" s="447"/>
      <c r="CW133" s="458"/>
      <c r="CX133" s="466"/>
      <c r="CY133" s="447"/>
      <c r="CZ133" s="447"/>
      <c r="DA133" s="447"/>
      <c r="DB133" s="458"/>
      <c r="DC133" s="466"/>
      <c r="DD133" s="447"/>
      <c r="DE133" s="447"/>
      <c r="DF133" s="447"/>
      <c r="DG133" s="458"/>
      <c r="DH133" s="466"/>
      <c r="DI133" s="447"/>
      <c r="DJ133" s="447"/>
      <c r="DK133" s="447"/>
      <c r="DL133" s="458"/>
      <c r="DM133" s="466"/>
      <c r="DN133" s="447"/>
      <c r="DO133" s="447"/>
      <c r="DP133" s="447"/>
      <c r="DQ133" s="458"/>
      <c r="DR133" s="466"/>
      <c r="DS133" s="447"/>
      <c r="DT133" s="447"/>
      <c r="DU133" s="447"/>
      <c r="DV133" s="458"/>
      <c r="DW133" s="466"/>
      <c r="DX133" s="447"/>
      <c r="DY133" s="447"/>
      <c r="DZ133" s="447"/>
      <c r="EA133" s="458"/>
      <c r="EB133" s="466"/>
      <c r="EC133" s="511"/>
      <c r="ED133" s="511"/>
      <c r="EE133" s="511"/>
      <c r="EF133" s="679"/>
      <c r="EG133" s="466"/>
      <c r="EH133" s="447"/>
      <c r="EI133" s="447"/>
      <c r="EJ133" s="447"/>
      <c r="EK133" s="458"/>
      <c r="EL133" s="466"/>
      <c r="EM133" s="447"/>
      <c r="EN133" s="447"/>
      <c r="EO133" s="447"/>
      <c r="EP133" s="458"/>
      <c r="EQ133" s="466">
        <f t="shared" ref="EQ133:FF133" si="146">EQ126-EL126</f>
      </c>
      <c r="ER133" s="447">
        <f t="shared" si="146"/>
      </c>
      <c r="ES133" s="447">
        <f t="shared" si="146"/>
      </c>
      <c r="ET133" s="447">
        <f t="shared" si="146"/>
      </c>
      <c r="EU133" s="458">
        <f t="shared" si="146"/>
      </c>
      <c r="EV133" s="466">
        <f t="shared" si="146"/>
      </c>
      <c r="EW133" s="447">
        <f t="shared" si="146"/>
      </c>
      <c r="EX133" s="447">
        <f t="shared" si="146"/>
      </c>
      <c r="EY133" s="447">
        <f t="shared" si="146"/>
      </c>
      <c r="EZ133" s="458">
        <f t="shared" si="146"/>
      </c>
      <c r="FA133" s="466">
        <f t="shared" si="146"/>
      </c>
      <c r="FB133" s="447">
        <f t="shared" si="146"/>
      </c>
      <c r="FC133" s="447">
        <f t="shared" si="146"/>
      </c>
      <c r="FD133" s="447">
        <f t="shared" si="146"/>
      </c>
      <c r="FE133" s="458">
        <f t="shared" si="146"/>
      </c>
      <c r="FF133" s="466">
        <f t="shared" si="146"/>
      </c>
      <c r="FG133" s="447">
        <f t="shared" ref="FG133" si="147">FG126-FB126</f>
      </c>
      <c r="FH133" s="447">
        <f t="shared" ref="FH133" si="148">FH126-FC126</f>
      </c>
      <c r="FI133" s="447">
        <f t="shared" ref="FI133" si="149">FI126-FD126</f>
      </c>
      <c r="FJ133" s="458">
        <f t="shared" ref="FJ133" si="150">FJ126-FE126</f>
      </c>
      <c r="FK133" s="466">
        <f t="shared" ref="FK133" si="151">FK126-FF126</f>
      </c>
      <c r="FL133" s="447"/>
      <c r="FM133" s="447"/>
      <c r="FN133" s="447"/>
      <c r="FO133" s="458"/>
      <c r="FP133" s="466"/>
      <c r="FQ133" s="447"/>
      <c r="FR133" s="447"/>
      <c r="FS133" s="447"/>
      <c r="FT133" s="458"/>
      <c r="FU133" s="466"/>
      <c r="FV133" s="447"/>
      <c r="FW133" s="447"/>
      <c r="FX133" s="447"/>
      <c r="FY133" s="458"/>
      <c r="FZ133" s="466"/>
      <c r="GA133" s="447"/>
      <c r="GB133" s="458"/>
      <c r="GC133" s="458"/>
      <c r="GD133" s="458"/>
      <c r="GE133" s="466"/>
      <c r="GF133" s="447"/>
      <c r="GG133" s="458"/>
      <c r="GH133" s="458"/>
      <c r="GI133" s="458"/>
      <c r="GJ133" s="460"/>
    </row>
    <row r="134" spans="1:192" ht="12.75" hidden="1" customHeight="1" outlineLevel="1">
      <c r="B134" s="1672" t="s">
        <v>2056</v>
      </c>
      <c r="C134" s="291"/>
      <c r="D134" s="107"/>
      <c r="E134" s="107"/>
      <c r="F134" s="107"/>
      <c r="G134" s="293"/>
      <c r="H134" s="291"/>
      <c r="I134" s="107"/>
      <c r="J134" s="107"/>
      <c r="K134" s="107"/>
      <c r="L134" s="293"/>
      <c r="M134" s="291"/>
      <c r="N134" s="107"/>
      <c r="O134" s="107"/>
      <c r="P134" s="107"/>
      <c r="Q134" s="293"/>
      <c r="R134" s="291"/>
      <c r="S134" s="107"/>
      <c r="T134" s="107"/>
      <c r="U134" s="107"/>
      <c r="V134" s="293"/>
      <c r="W134" s="291"/>
      <c r="X134" s="107"/>
      <c r="Y134" s="107"/>
      <c r="Z134" s="107"/>
      <c r="AA134" s="293"/>
      <c r="AB134" s="291"/>
      <c r="AC134" s="107"/>
      <c r="AD134" s="107"/>
      <c r="AE134" s="107"/>
      <c r="AF134" s="293"/>
      <c r="AG134" s="291"/>
      <c r="AH134" s="107"/>
      <c r="AI134" s="107"/>
      <c r="AJ134" s="107"/>
      <c r="AK134" s="293"/>
      <c r="AL134" s="291"/>
      <c r="AM134" s="107"/>
      <c r="AN134" s="107"/>
      <c r="AO134" s="107"/>
      <c r="AP134" s="293"/>
      <c r="AQ134" s="291"/>
      <c r="AR134" s="107"/>
      <c r="AS134" s="107"/>
      <c r="AT134" s="107"/>
      <c r="AU134" s="293"/>
      <c r="AV134" s="291"/>
      <c r="AW134" s="107"/>
      <c r="AX134" s="107"/>
      <c r="AY134" s="107"/>
      <c r="AZ134" s="293"/>
      <c r="BA134" s="291"/>
      <c r="BB134" s="107"/>
      <c r="BC134" s="107"/>
      <c r="BD134" s="107"/>
      <c r="BE134" s="293"/>
      <c r="BF134" s="291"/>
      <c r="BG134" s="107"/>
      <c r="BH134" s="107"/>
      <c r="BI134" s="107"/>
      <c r="BJ134" s="293"/>
      <c r="BK134" s="291"/>
      <c r="BL134" s="107"/>
      <c r="BM134" s="107"/>
      <c r="BN134" s="107"/>
      <c r="BO134" s="293"/>
      <c r="BP134" s="291"/>
      <c r="BQ134" s="107"/>
      <c r="BR134" s="107"/>
      <c r="BS134" s="107"/>
      <c r="BT134" s="293"/>
      <c r="BU134" s="291"/>
      <c r="BV134" s="107"/>
      <c r="BW134" s="107"/>
      <c r="BX134" s="107"/>
      <c r="BY134" s="293"/>
      <c r="BZ134" s="291"/>
      <c r="CA134" s="107"/>
      <c r="CB134" s="107"/>
      <c r="CC134" s="107"/>
      <c r="CD134" s="293"/>
      <c r="CE134" s="291"/>
      <c r="CF134" s="107"/>
      <c r="CG134" s="107"/>
      <c r="CH134" s="107"/>
      <c r="CI134" s="293"/>
      <c r="CJ134" s="291"/>
      <c r="CK134" s="107"/>
      <c r="CL134" s="107"/>
      <c r="CM134" s="107"/>
      <c r="CN134" s="293"/>
      <c r="CO134" s="447"/>
      <c r="CP134" s="447"/>
      <c r="CQ134" s="447"/>
      <c r="CR134" s="458"/>
      <c r="CS134" s="466"/>
      <c r="CT134" s="447"/>
      <c r="CU134" s="447"/>
      <c r="CV134" s="447"/>
      <c r="CW134" s="458"/>
      <c r="CX134" s="466"/>
      <c r="CY134" s="447"/>
      <c r="CZ134" s="447"/>
      <c r="DA134" s="447"/>
      <c r="DB134" s="458"/>
      <c r="DC134" s="466"/>
      <c r="DD134" s="447"/>
      <c r="DE134" s="447"/>
      <c r="DF134" s="447"/>
      <c r="DG134" s="458"/>
      <c r="DH134" s="466"/>
      <c r="DI134" s="447"/>
      <c r="DJ134" s="447"/>
      <c r="DK134" s="447"/>
      <c r="DL134" s="458"/>
      <c r="DM134" s="466"/>
      <c r="DN134" s="447"/>
      <c r="DO134" s="447"/>
      <c r="DP134" s="447"/>
      <c r="DQ134" s="458"/>
      <c r="DR134" s="466"/>
      <c r="DS134" s="447"/>
      <c r="DT134" s="447"/>
      <c r="DU134" s="447"/>
      <c r="DV134" s="458"/>
      <c r="DW134" s="466"/>
      <c r="DX134" s="447"/>
      <c r="DY134" s="447"/>
      <c r="DZ134" s="447"/>
      <c r="EA134" s="458"/>
      <c r="EB134" s="466"/>
      <c r="EC134" s="511"/>
      <c r="ED134" s="511"/>
      <c r="EE134" s="511"/>
      <c r="EF134" s="679"/>
      <c r="EG134" s="466"/>
      <c r="EH134" s="447"/>
      <c r="EI134" s="447"/>
      <c r="EJ134" s="447"/>
      <c r="EK134" s="458"/>
      <c r="EL134" s="466"/>
      <c r="EM134" s="447"/>
      <c r="EN134" s="447"/>
      <c r="EO134" s="447"/>
      <c r="EP134" s="458"/>
      <c r="EQ134" s="466"/>
      <c r="ER134" s="107"/>
      <c r="ES134" s="107"/>
      <c r="ET134" s="107"/>
      <c r="EU134" s="107"/>
      <c r="EV134" s="292">
        <f t="shared" ref="EV134" si="152">EV133/EQ133-1</f>
      </c>
      <c r="EW134" s="107">
        <f t="shared" ref="EW134" si="153">EW133/ER133-1</f>
      </c>
      <c r="EX134" s="107">
        <f t="shared" ref="EX134" si="154">EX133/ES133-1</f>
      </c>
      <c r="EY134" s="107">
        <f t="shared" ref="EY134" si="155">EY133/ET133-1</f>
      </c>
      <c r="EZ134" s="107"/>
      <c r="FA134" s="292">
        <f t="shared" ref="FA134" si="156">FA133/EV133-1</f>
      </c>
      <c r="FB134" s="107">
        <f t="shared" ref="FB134" si="157">FB133/EW133-1</f>
      </c>
      <c r="FC134" s="107">
        <f t="shared" ref="FC134" si="158">FC133/EX133-1</f>
      </c>
      <c r="FD134" s="107">
        <f t="shared" ref="FD134" si="159">FD133/EY133-1</f>
      </c>
      <c r="FE134" s="107">
        <f t="shared" ref="FE134" si="160">FE133/EZ133-1</f>
      </c>
      <c r="FF134" s="292">
        <f t="shared" ref="FF134" si="161">FF133/FA133-1</f>
      </c>
      <c r="FG134" s="107">
        <f t="shared" ref="FG134" si="162">FG133/FB133-1</f>
      </c>
      <c r="FH134" s="107">
        <f t="shared" ref="FH134" si="163">FH133/FC133-1</f>
      </c>
      <c r="FI134" s="107">
        <f t="shared" ref="FI134" si="164">FI133/FD133-1</f>
      </c>
      <c r="FJ134" s="107">
        <f t="shared" ref="FJ134" si="165">FJ133/FE133-1</f>
      </c>
      <c r="FK134" s="292">
        <f t="shared" ref="FK134" si="166">FK133/FF133-1</f>
      </c>
      <c r="FL134" s="447"/>
      <c r="FM134" s="447"/>
      <c r="FN134" s="447"/>
      <c r="FO134" s="458"/>
      <c r="FP134" s="466"/>
      <c r="FQ134" s="447"/>
      <c r="FR134" s="447"/>
      <c r="FS134" s="447"/>
      <c r="FT134" s="458"/>
      <c r="FU134" s="466"/>
      <c r="FV134" s="447"/>
      <c r="FW134" s="447"/>
      <c r="FX134" s="447"/>
      <c r="FY134" s="458"/>
      <c r="FZ134" s="466"/>
      <c r="GA134" s="447"/>
      <c r="GB134" s="458"/>
      <c r="GC134" s="458"/>
      <c r="GD134" s="458"/>
      <c r="GE134" s="466"/>
      <c r="GF134" s="447"/>
      <c r="GG134" s="458"/>
      <c r="GH134" s="458"/>
      <c r="GI134" s="458"/>
      <c r="GJ134" s="460"/>
    </row>
    <row r="135" spans="1:192" ht="12.75" hidden="1" customHeight="1" outlineLevel="1">
      <c r="B135" s="1672" t="s">
        <v>2057</v>
      </c>
      <c r="C135" s="291"/>
      <c r="D135" s="107"/>
      <c r="E135" s="107"/>
      <c r="F135" s="107"/>
      <c r="G135" s="293"/>
      <c r="H135" s="291"/>
      <c r="I135" s="107"/>
      <c r="J135" s="107"/>
      <c r="K135" s="107"/>
      <c r="L135" s="293"/>
      <c r="M135" s="291"/>
      <c r="N135" s="107"/>
      <c r="O135" s="107"/>
      <c r="P135" s="107"/>
      <c r="Q135" s="293"/>
      <c r="R135" s="291"/>
      <c r="S135" s="107"/>
      <c r="T135" s="107"/>
      <c r="U135" s="107"/>
      <c r="V135" s="293"/>
      <c r="W135" s="291"/>
      <c r="X135" s="107"/>
      <c r="Y135" s="107"/>
      <c r="Z135" s="107"/>
      <c r="AA135" s="293"/>
      <c r="AB135" s="291"/>
      <c r="AC135" s="107"/>
      <c r="AD135" s="107"/>
      <c r="AE135" s="107"/>
      <c r="AF135" s="293"/>
      <c r="AG135" s="291"/>
      <c r="AH135" s="107"/>
      <c r="AI135" s="107"/>
      <c r="AJ135" s="107"/>
      <c r="AK135" s="293"/>
      <c r="AL135" s="291"/>
      <c r="AM135" s="107"/>
      <c r="AN135" s="107"/>
      <c r="AO135" s="107"/>
      <c r="AP135" s="293"/>
      <c r="AQ135" s="291"/>
      <c r="AR135" s="107"/>
      <c r="AS135" s="107"/>
      <c r="AT135" s="107"/>
      <c r="AU135" s="293"/>
      <c r="AV135" s="291"/>
      <c r="AW135" s="107"/>
      <c r="AX135" s="107"/>
      <c r="AY135" s="107"/>
      <c r="AZ135" s="293"/>
      <c r="BA135" s="291"/>
      <c r="BB135" s="107"/>
      <c r="BC135" s="107"/>
      <c r="BD135" s="107"/>
      <c r="BE135" s="293"/>
      <c r="BF135" s="291"/>
      <c r="BG135" s="107"/>
      <c r="BH135" s="107"/>
      <c r="BI135" s="107"/>
      <c r="BJ135" s="293"/>
      <c r="BK135" s="291"/>
      <c r="BL135" s="107"/>
      <c r="BM135" s="107"/>
      <c r="BN135" s="107"/>
      <c r="BO135" s="293"/>
      <c r="BP135" s="291"/>
      <c r="BQ135" s="107"/>
      <c r="BR135" s="107"/>
      <c r="BS135" s="107"/>
      <c r="BT135" s="293"/>
      <c r="BU135" s="291"/>
      <c r="BV135" s="107"/>
      <c r="BW135" s="107"/>
      <c r="BX135" s="107"/>
      <c r="BY135" s="293"/>
      <c r="BZ135" s="291"/>
      <c r="CA135" s="107"/>
      <c r="CB135" s="107"/>
      <c r="CC135" s="107"/>
      <c r="CD135" s="293"/>
      <c r="CE135" s="291"/>
      <c r="CF135" s="107"/>
      <c r="CG135" s="107"/>
      <c r="CH135" s="107"/>
      <c r="CI135" s="293"/>
      <c r="CJ135" s="291"/>
      <c r="CK135" s="107"/>
      <c r="CL135" s="107"/>
      <c r="CM135" s="107"/>
      <c r="CN135" s="293"/>
      <c r="CO135" s="447"/>
      <c r="CP135" s="447"/>
      <c r="CQ135" s="447"/>
      <c r="CR135" s="458"/>
      <c r="CS135" s="466"/>
      <c r="CT135" s="447"/>
      <c r="CU135" s="447"/>
      <c r="CV135" s="447"/>
      <c r="CW135" s="458"/>
      <c r="CX135" s="466"/>
      <c r="CY135" s="447"/>
      <c r="CZ135" s="447"/>
      <c r="DA135" s="447"/>
      <c r="DB135" s="458"/>
      <c r="DC135" s="466"/>
      <c r="DD135" s="447"/>
      <c r="DE135" s="447"/>
      <c r="DF135" s="447"/>
      <c r="DG135" s="458"/>
      <c r="DH135" s="466"/>
      <c r="DI135" s="447"/>
      <c r="DJ135" s="447"/>
      <c r="DK135" s="447"/>
      <c r="DL135" s="458"/>
      <c r="DM135" s="466"/>
      <c r="DN135" s="447"/>
      <c r="DO135" s="447"/>
      <c r="DP135" s="447"/>
      <c r="DQ135" s="458"/>
      <c r="DR135" s="466"/>
      <c r="DS135" s="447"/>
      <c r="DT135" s="447"/>
      <c r="DU135" s="447"/>
      <c r="DV135" s="458"/>
      <c r="DW135" s="466"/>
      <c r="DX135" s="447"/>
      <c r="DY135" s="447"/>
      <c r="DZ135" s="447"/>
      <c r="EA135" s="458"/>
      <c r="EB135" s="466"/>
      <c r="EC135" s="511"/>
      <c r="ED135" s="511"/>
      <c r="EE135" s="511"/>
      <c r="EF135" s="679"/>
      <c r="EG135" s="466"/>
      <c r="EH135" s="447"/>
      <c r="EI135" s="447"/>
      <c r="EJ135" s="447"/>
      <c r="EK135" s="458"/>
      <c r="EL135" s="466"/>
      <c r="EM135" s="447"/>
      <c r="EN135" s="447"/>
      <c r="EO135" s="447"/>
      <c r="EP135" s="458"/>
      <c r="EQ135" s="466"/>
      <c r="ER135" s="291"/>
      <c r="ES135" s="107">
        <f>ES133/ER133-1</f>
      </c>
      <c r="ET135" s="107">
        <f>ET133/ES133-1</f>
      </c>
      <c r="EU135" s="346">
        <f>EU133/ET133-1</f>
      </c>
      <c r="EV135" s="347"/>
      <c r="EW135" s="291">
        <f>EW133/EU133-1</f>
      </c>
      <c r="EX135" s="107">
        <f>EX133/EW133-1</f>
      </c>
      <c r="EY135" s="107">
        <f>EY133/EX133-1</f>
      </c>
      <c r="EZ135" s="346">
        <f>EZ133/EY133-1</f>
      </c>
      <c r="FA135" s="347"/>
      <c r="FB135" s="291">
        <f>FB133/EZ133-1</f>
      </c>
      <c r="FC135" s="107">
        <f>FC133/FB133-1</f>
      </c>
      <c r="FD135" s="107">
        <f>FD133/FC133-1</f>
      </c>
      <c r="FE135" s="346">
        <f>FE133/FD133-1</f>
      </c>
      <c r="FF135" s="347"/>
      <c r="FG135" s="291">
        <f>FG133/FE133-1</f>
      </c>
      <c r="FH135" s="107">
        <f>FH133/FG133-1</f>
      </c>
      <c r="FI135" s="107">
        <f>FI133/FH133-1</f>
      </c>
      <c r="FJ135" s="346">
        <f>FJ133/FI133-1</f>
      </c>
      <c r="FK135" s="347"/>
      <c r="FL135" s="447"/>
      <c r="FM135" s="447"/>
      <c r="FN135" s="447"/>
      <c r="FO135" s="458"/>
      <c r="FP135" s="466"/>
      <c r="FQ135" s="447"/>
      <c r="FR135" s="447"/>
      <c r="FS135" s="447"/>
      <c r="FT135" s="458"/>
      <c r="FU135" s="466"/>
      <c r="FV135" s="447"/>
      <c r="FW135" s="447"/>
      <c r="FX135" s="447"/>
      <c r="FY135" s="458"/>
      <c r="FZ135" s="466"/>
      <c r="GA135" s="447"/>
      <c r="GB135" s="458"/>
      <c r="GC135" s="458"/>
      <c r="GD135" s="458"/>
      <c r="GE135" s="466"/>
      <c r="GF135" s="447"/>
      <c r="GG135" s="458"/>
      <c r="GH135" s="458"/>
      <c r="GI135" s="458"/>
      <c r="GJ135" s="460"/>
    </row>
    <row r="136" spans="1:192" ht="12.75" hidden="1" customHeight="1" outlineLevel="1">
      <c r="B136" s="1300" t="s">
        <v>2059</v>
      </c>
      <c r="C136" s="291"/>
      <c r="D136" s="107"/>
      <c r="E136" s="107"/>
      <c r="F136" s="107"/>
      <c r="G136" s="293"/>
      <c r="H136" s="291"/>
      <c r="I136" s="107"/>
      <c r="J136" s="107"/>
      <c r="K136" s="107"/>
      <c r="L136" s="293"/>
      <c r="M136" s="291"/>
      <c r="N136" s="107"/>
      <c r="O136" s="107"/>
      <c r="P136" s="107"/>
      <c r="Q136" s="293"/>
      <c r="R136" s="291"/>
      <c r="S136" s="107"/>
      <c r="T136" s="107"/>
      <c r="U136" s="107"/>
      <c r="V136" s="293"/>
      <c r="W136" s="291"/>
      <c r="X136" s="107"/>
      <c r="Y136" s="107"/>
      <c r="Z136" s="107"/>
      <c r="AA136" s="293"/>
      <c r="AB136" s="291"/>
      <c r="AC136" s="107"/>
      <c r="AD136" s="107"/>
      <c r="AE136" s="107"/>
      <c r="AF136" s="293"/>
      <c r="AG136" s="291"/>
      <c r="AH136" s="107"/>
      <c r="AI136" s="107"/>
      <c r="AJ136" s="107"/>
      <c r="AK136" s="293"/>
      <c r="AL136" s="291"/>
      <c r="AM136" s="107"/>
      <c r="AN136" s="107"/>
      <c r="AO136" s="107"/>
      <c r="AP136" s="293"/>
      <c r="AQ136" s="291"/>
      <c r="AR136" s="107"/>
      <c r="AS136" s="107"/>
      <c r="AT136" s="107"/>
      <c r="AU136" s="293"/>
      <c r="AV136" s="291"/>
      <c r="AW136" s="107"/>
      <c r="AX136" s="107"/>
      <c r="AY136" s="107"/>
      <c r="AZ136" s="293"/>
      <c r="BA136" s="291"/>
      <c r="BB136" s="107"/>
      <c r="BC136" s="107"/>
      <c r="BD136" s="107"/>
      <c r="BE136" s="293"/>
      <c r="BF136" s="291"/>
      <c r="BG136" s="107"/>
      <c r="BH136" s="107"/>
      <c r="BI136" s="107"/>
      <c r="BJ136" s="293"/>
      <c r="BK136" s="291"/>
      <c r="BL136" s="107"/>
      <c r="BM136" s="107"/>
      <c r="BN136" s="107"/>
      <c r="BO136" s="293"/>
      <c r="BP136" s="291"/>
      <c r="BQ136" s="107"/>
      <c r="BR136" s="107"/>
      <c r="BS136" s="107"/>
      <c r="BT136" s="293"/>
      <c r="BU136" s="291"/>
      <c r="BV136" s="107"/>
      <c r="BW136" s="107"/>
      <c r="BX136" s="107"/>
      <c r="BY136" s="293"/>
      <c r="BZ136" s="291"/>
      <c r="CA136" s="107"/>
      <c r="CB136" s="107"/>
      <c r="CC136" s="107"/>
      <c r="CD136" s="293"/>
      <c r="CE136" s="291"/>
      <c r="CF136" s="107"/>
      <c r="CG136" s="107"/>
      <c r="CH136" s="107"/>
      <c r="CI136" s="293"/>
      <c r="CJ136" s="291"/>
      <c r="CK136" s="107"/>
      <c r="CL136" s="107"/>
      <c r="CM136" s="107"/>
      <c r="CN136" s="293"/>
      <c r="CO136" s="447"/>
      <c r="CP136" s="447"/>
      <c r="CQ136" s="447"/>
      <c r="CR136" s="447"/>
      <c r="CS136" s="293"/>
      <c r="CT136" s="447"/>
      <c r="CU136" s="447"/>
      <c r="CV136" s="447"/>
      <c r="CW136" s="447"/>
      <c r="CX136" s="293"/>
      <c r="CY136" s="447"/>
      <c r="CZ136" s="447"/>
      <c r="DA136" s="447"/>
      <c r="DB136" s="447"/>
      <c r="DC136" s="293"/>
      <c r="DD136" s="447"/>
      <c r="DE136" s="447"/>
      <c r="DF136" s="447"/>
      <c r="DG136" s="447"/>
      <c r="DH136" s="293"/>
      <c r="DI136" s="447"/>
      <c r="DJ136" s="447"/>
      <c r="DK136" s="447"/>
      <c r="DL136" s="447"/>
      <c r="DM136" s="293"/>
      <c r="DN136" s="447"/>
      <c r="DO136" s="447"/>
      <c r="DP136" s="447"/>
      <c r="DQ136" s="447"/>
      <c r="DR136" s="293"/>
      <c r="DS136" s="447"/>
      <c r="DT136" s="447"/>
      <c r="DU136" s="447"/>
      <c r="DV136" s="447"/>
      <c r="DW136" s="293"/>
      <c r="DX136" s="447"/>
      <c r="DY136" s="447"/>
      <c r="DZ136" s="447"/>
      <c r="EA136" s="447"/>
      <c r="EB136" s="293"/>
      <c r="EC136" s="511"/>
      <c r="ED136" s="511"/>
      <c r="EE136" s="511"/>
      <c r="EF136" s="511"/>
      <c r="EG136" s="293"/>
      <c r="EH136" s="447"/>
      <c r="EI136" s="447"/>
      <c r="EJ136" s="447"/>
      <c r="EK136" s="447"/>
      <c r="EL136" s="293"/>
      <c r="EM136" s="447">
        <f>EM126-EK126</f>
      </c>
      <c r="EN136" s="447">
        <f>EN126-EM126</f>
      </c>
      <c r="EO136" s="447">
        <f>EO126-EN126</f>
      </c>
      <c r="EP136" s="447">
        <f>EP126-EO126</f>
      </c>
      <c r="EQ136" s="293"/>
      <c r="ER136" s="447">
        <f>ER126-EP126</f>
      </c>
      <c r="ES136" s="447">
        <f>ES126-ER126</f>
      </c>
      <c r="ET136" s="447">
        <f>ET126-ES126</f>
      </c>
      <c r="EU136" s="447">
        <f>EU126-ET126</f>
      </c>
      <c r="EV136" s="293"/>
      <c r="EW136" s="447">
        <f>EW126-EU126</f>
      </c>
      <c r="EX136" s="447">
        <f>EX126-EW126</f>
      </c>
      <c r="EY136" s="447">
        <f>EY126-EX126</f>
      </c>
      <c r="EZ136" s="447">
        <f>EZ126-EY126</f>
      </c>
      <c r="FA136" s="293"/>
      <c r="FB136" s="447">
        <f>FB126-EZ126</f>
      </c>
      <c r="FC136" s="447">
        <f>FC126-FB126</f>
      </c>
      <c r="FD136" s="447">
        <f>FD126-FC126</f>
      </c>
      <c r="FE136" s="447">
        <f>FE126-FD126</f>
      </c>
      <c r="FF136" s="293"/>
      <c r="FG136" s="447">
        <f>FG126-FE126</f>
      </c>
      <c r="FH136" s="447">
        <f>FH126-FG126</f>
      </c>
      <c r="FI136" s="447">
        <f>FI126-FH126</f>
      </c>
      <c r="FJ136" s="447">
        <f>FJ126-FI126</f>
      </c>
      <c r="FK136" s="293"/>
      <c r="FL136" s="447"/>
      <c r="FM136" s="447"/>
      <c r="FN136" s="447"/>
      <c r="FO136" s="447"/>
      <c r="FP136" s="293"/>
      <c r="FQ136" s="447"/>
      <c r="FR136" s="447"/>
      <c r="FS136" s="447"/>
      <c r="FT136" s="447"/>
      <c r="FU136" s="293"/>
      <c r="FV136" s="447"/>
      <c r="FW136" s="447"/>
      <c r="FX136" s="447"/>
      <c r="FY136" s="447"/>
      <c r="FZ136" s="293"/>
      <c r="GA136" s="447"/>
      <c r="GB136" s="458"/>
      <c r="GC136" s="458"/>
      <c r="GD136" s="458"/>
      <c r="GE136" s="293"/>
      <c r="GF136" s="447"/>
      <c r="GG136" s="458"/>
      <c r="GH136" s="458"/>
      <c r="GI136" s="458"/>
      <c r="GJ136" s="460"/>
    </row>
    <row r="137" spans="1:192" ht="12.75" hidden="1" customHeight="1" outlineLevel="1">
      <c r="B137" s="1300"/>
      <c r="C137" s="291"/>
      <c r="D137" s="107"/>
      <c r="E137" s="107"/>
      <c r="F137" s="107"/>
      <c r="G137" s="293"/>
      <c r="H137" s="291"/>
      <c r="I137" s="107"/>
      <c r="J137" s="107"/>
      <c r="K137" s="107"/>
      <c r="L137" s="293"/>
      <c r="M137" s="291"/>
      <c r="N137" s="107"/>
      <c r="O137" s="107"/>
      <c r="P137" s="107"/>
      <c r="Q137" s="293"/>
      <c r="R137" s="291"/>
      <c r="S137" s="107"/>
      <c r="T137" s="107"/>
      <c r="U137" s="107"/>
      <c r="V137" s="293"/>
      <c r="W137" s="291"/>
      <c r="X137" s="107"/>
      <c r="Y137" s="107"/>
      <c r="Z137" s="107"/>
      <c r="AA137" s="293"/>
      <c r="AB137" s="291"/>
      <c r="AC137" s="107"/>
      <c r="AD137" s="107"/>
      <c r="AE137" s="107"/>
      <c r="AF137" s="293"/>
      <c r="AG137" s="291"/>
      <c r="AH137" s="107"/>
      <c r="AI137" s="107"/>
      <c r="AJ137" s="107"/>
      <c r="AK137" s="293"/>
      <c r="AL137" s="291"/>
      <c r="AM137" s="107"/>
      <c r="AN137" s="107"/>
      <c r="AO137" s="107"/>
      <c r="AP137" s="293"/>
      <c r="AQ137" s="291"/>
      <c r="AR137" s="107"/>
      <c r="AS137" s="107"/>
      <c r="AT137" s="107"/>
      <c r="AU137" s="293"/>
      <c r="AV137" s="291"/>
      <c r="AW137" s="107"/>
      <c r="AX137" s="107"/>
      <c r="AY137" s="107"/>
      <c r="AZ137" s="293"/>
      <c r="BA137" s="291"/>
      <c r="BB137" s="107"/>
      <c r="BC137" s="107"/>
      <c r="BD137" s="107"/>
      <c r="BE137" s="293"/>
      <c r="BF137" s="291"/>
      <c r="BG137" s="107"/>
      <c r="BH137" s="107"/>
      <c r="BI137" s="107"/>
      <c r="BJ137" s="293"/>
      <c r="BK137" s="291"/>
      <c r="BL137" s="107"/>
      <c r="BM137" s="107"/>
      <c r="BN137" s="107"/>
      <c r="BO137" s="293"/>
      <c r="BP137" s="291"/>
      <c r="BQ137" s="107"/>
      <c r="BR137" s="107"/>
      <c r="BS137" s="107"/>
      <c r="BT137" s="293"/>
      <c r="BU137" s="291"/>
      <c r="BV137" s="107"/>
      <c r="BW137" s="107"/>
      <c r="BX137" s="107"/>
      <c r="BY137" s="293"/>
      <c r="BZ137" s="291"/>
      <c r="CA137" s="107"/>
      <c r="CB137" s="107"/>
      <c r="CC137" s="107"/>
      <c r="CD137" s="293"/>
      <c r="CE137" s="291"/>
      <c r="CF137" s="107"/>
      <c r="CG137" s="107"/>
      <c r="CH137" s="107"/>
      <c r="CI137" s="293"/>
      <c r="CJ137" s="291"/>
      <c r="CK137" s="107"/>
      <c r="CL137" s="107"/>
      <c r="CM137" s="107"/>
      <c r="CN137" s="293"/>
      <c r="CO137" s="447"/>
      <c r="CP137" s="447"/>
      <c r="CQ137" s="447"/>
      <c r="CR137" s="447"/>
      <c r="CS137" s="293"/>
      <c r="CT137" s="447"/>
      <c r="CU137" s="447"/>
      <c r="CV137" s="447"/>
      <c r="CW137" s="447"/>
      <c r="CX137" s="293"/>
      <c r="CY137" s="447"/>
      <c r="CZ137" s="447"/>
      <c r="DA137" s="447"/>
      <c r="DB137" s="447"/>
      <c r="DC137" s="293"/>
      <c r="DD137" s="447"/>
      <c r="DE137" s="447"/>
      <c r="DF137" s="447"/>
      <c r="DG137" s="447"/>
      <c r="DH137" s="293"/>
      <c r="DI137" s="447"/>
      <c r="DJ137" s="447"/>
      <c r="DK137" s="447"/>
      <c r="DL137" s="447"/>
      <c r="DM137" s="293"/>
      <c r="DN137" s="447"/>
      <c r="DO137" s="447"/>
      <c r="DP137" s="447"/>
      <c r="DQ137" s="447"/>
      <c r="DR137" s="293"/>
      <c r="DS137" s="447"/>
      <c r="DT137" s="447"/>
      <c r="DU137" s="447"/>
      <c r="DV137" s="447"/>
      <c r="DW137" s="293"/>
      <c r="DX137" s="447"/>
      <c r="DY137" s="447"/>
      <c r="DZ137" s="447"/>
      <c r="EA137" s="447"/>
      <c r="EB137" s="293"/>
      <c r="EC137" s="511"/>
      <c r="ED137" s="511"/>
      <c r="EE137" s="511"/>
      <c r="EF137" s="511"/>
      <c r="EG137" s="293"/>
      <c r="EH137" s="447"/>
      <c r="EI137" s="447"/>
      <c r="EJ137" s="447"/>
      <c r="EK137" s="447"/>
      <c r="EL137" s="293"/>
      <c r="EM137" s="447"/>
      <c r="EN137" s="447"/>
      <c r="EO137" s="447"/>
      <c r="EP137" s="447"/>
      <c r="EQ137" s="293"/>
      <c r="ER137" s="447"/>
      <c r="ES137" s="447"/>
      <c r="ET137" s="447"/>
      <c r="EU137" s="447"/>
      <c r="EV137" s="293"/>
      <c r="EW137" s="447"/>
      <c r="EX137" s="447"/>
      <c r="EY137" s="447"/>
      <c r="EZ137" s="447"/>
      <c r="FA137" s="293"/>
      <c r="FB137" s="447"/>
      <c r="FC137" s="447"/>
      <c r="FD137" s="447"/>
      <c r="FE137" s="447"/>
      <c r="FF137" s="293"/>
      <c r="FG137" s="447"/>
      <c r="FH137" s="447"/>
      <c r="FI137" s="447"/>
      <c r="FJ137" s="447"/>
      <c r="FK137" s="293"/>
      <c r="FL137" s="447"/>
      <c r="FM137" s="447"/>
      <c r="FN137" s="447"/>
      <c r="FO137" s="447"/>
      <c r="FP137" s="293"/>
      <c r="FQ137" s="447"/>
      <c r="FR137" s="447"/>
      <c r="FS137" s="447"/>
      <c r="FT137" s="447"/>
      <c r="FU137" s="293"/>
      <c r="FV137" s="447"/>
      <c r="FW137" s="447"/>
      <c r="FX137" s="447"/>
      <c r="FY137" s="447"/>
      <c r="FZ137" s="293"/>
      <c r="GA137" s="447"/>
      <c r="GB137" s="458"/>
      <c r="GC137" s="458"/>
      <c r="GD137" s="458"/>
      <c r="GE137" s="293"/>
      <c r="GF137" s="447"/>
      <c r="GG137" s="458"/>
      <c r="GH137" s="458"/>
      <c r="GI137" s="458"/>
      <c r="GJ137" s="460"/>
    </row>
    <row r="138" spans="1:192" s="623" customFormat="1" ht="12.75" hidden="1" customHeight="1" outlineLevel="1">
      <c r="A138" s="1269"/>
      <c r="B138" s="1677" t="s">
        <v>2030</v>
      </c>
      <c r="C138" s="1134"/>
      <c r="D138" s="1135"/>
      <c r="E138" s="1135"/>
      <c r="F138" s="1135"/>
      <c r="G138" s="1660"/>
      <c r="H138" s="1134"/>
      <c r="I138" s="1135"/>
      <c r="J138" s="1135"/>
      <c r="K138" s="1135"/>
      <c r="L138" s="1660"/>
      <c r="M138" s="1134"/>
      <c r="N138" s="1135"/>
      <c r="O138" s="1135"/>
      <c r="P138" s="1135"/>
      <c r="Q138" s="1660"/>
      <c r="R138" s="1134"/>
      <c r="S138" s="1135"/>
      <c r="T138" s="1135"/>
      <c r="U138" s="1135"/>
      <c r="V138" s="1660"/>
      <c r="W138" s="1134"/>
      <c r="X138" s="1135"/>
      <c r="Y138" s="1135"/>
      <c r="Z138" s="1135"/>
      <c r="AA138" s="1660"/>
      <c r="AB138" s="1134"/>
      <c r="AC138" s="1135"/>
      <c r="AD138" s="1135"/>
      <c r="AE138" s="1135"/>
      <c r="AF138" s="1660"/>
      <c r="AG138" s="1134"/>
      <c r="AH138" s="1135"/>
      <c r="AI138" s="1135"/>
      <c r="AJ138" s="1135"/>
      <c r="AK138" s="1660"/>
      <c r="AL138" s="1134"/>
      <c r="AM138" s="1135"/>
      <c r="AN138" s="1135"/>
      <c r="AO138" s="1135"/>
      <c r="AP138" s="1660"/>
      <c r="AQ138" s="1134"/>
      <c r="AR138" s="1135"/>
      <c r="AS138" s="1135"/>
      <c r="AT138" s="1135"/>
      <c r="AU138" s="1660"/>
      <c r="AV138" s="1134"/>
      <c r="AW138" s="1135"/>
      <c r="AX138" s="1135"/>
      <c r="AY138" s="1135"/>
      <c r="AZ138" s="1660"/>
      <c r="BA138" s="1134"/>
      <c r="BB138" s="1135"/>
      <c r="BC138" s="1135"/>
      <c r="BD138" s="1135"/>
      <c r="BE138" s="1660"/>
      <c r="BF138" s="1134"/>
      <c r="BG138" s="1135"/>
      <c r="BH138" s="1135"/>
      <c r="BI138" s="1135"/>
      <c r="BJ138" s="1660"/>
      <c r="BK138" s="1134"/>
      <c r="BL138" s="1135"/>
      <c r="BM138" s="1135"/>
      <c r="BN138" s="1135"/>
      <c r="BO138" s="1660"/>
      <c r="BP138" s="1134"/>
      <c r="BQ138" s="1135"/>
      <c r="BR138" s="1135"/>
      <c r="BS138" s="1135"/>
      <c r="BT138" s="1660"/>
      <c r="BU138" s="1134"/>
      <c r="BV138" s="1135"/>
      <c r="BW138" s="1135"/>
      <c r="BX138" s="1135"/>
      <c r="BY138" s="1660"/>
      <c r="BZ138" s="1134"/>
      <c r="CA138" s="1135"/>
      <c r="CB138" s="1135"/>
      <c r="CC138" s="1135"/>
      <c r="CD138" s="1660"/>
      <c r="CE138" s="1134"/>
      <c r="CF138" s="1135"/>
      <c r="CG138" s="1135"/>
      <c r="CH138" s="1135"/>
      <c r="CI138" s="1660"/>
      <c r="CJ138" s="1134"/>
      <c r="CK138" s="1135"/>
      <c r="CL138" s="1135"/>
      <c r="CM138" s="1135"/>
      <c r="CN138" s="1660"/>
      <c r="CO138" s="1134"/>
      <c r="CP138" s="1135"/>
      <c r="CQ138" s="1135"/>
      <c r="CR138" s="1135"/>
      <c r="CS138" s="1660"/>
      <c r="CT138" s="1134"/>
      <c r="CU138" s="1135"/>
      <c r="CV138" s="1135"/>
      <c r="CW138" s="1135"/>
      <c r="CX138" s="1660"/>
      <c r="CY138" s="1134"/>
      <c r="CZ138" s="1135"/>
      <c r="DA138" s="1135"/>
      <c r="DB138" s="1135"/>
      <c r="DC138" s="1660"/>
      <c r="DD138" s="1134"/>
      <c r="DE138" s="1135"/>
      <c r="DF138" s="1135"/>
      <c r="DG138" s="1135"/>
      <c r="DH138" s="1660"/>
      <c r="DI138" s="1134"/>
      <c r="DJ138" s="1135"/>
      <c r="DK138" s="1135"/>
      <c r="DL138" s="1135"/>
      <c r="DM138" s="1660"/>
      <c r="DN138" s="1134"/>
      <c r="DO138" s="1135"/>
      <c r="DP138" s="1135"/>
      <c r="DQ138" s="1135"/>
      <c r="DR138" s="1660"/>
      <c r="DS138" s="1134"/>
      <c r="DT138" s="1135"/>
      <c r="DU138" s="1135"/>
      <c r="DV138" s="1135"/>
      <c r="DW138" s="1660"/>
      <c r="DX138" s="1134"/>
      <c r="DY138" s="1135"/>
      <c r="DZ138" s="1135"/>
      <c r="EA138" s="1135"/>
      <c r="EB138" s="1660"/>
      <c r="EC138" s="1134"/>
      <c r="ED138" s="1135"/>
      <c r="EE138" s="1135"/>
      <c r="EF138" s="1135"/>
      <c r="EG138" s="1660"/>
      <c r="EH138" s="1134"/>
      <c r="EI138" s="1135"/>
      <c r="EJ138" s="1135"/>
      <c r="EK138" s="1135"/>
      <c r="EL138" s="1660"/>
      <c r="EM138" s="1134"/>
      <c r="EN138" s="1135"/>
      <c r="EO138" s="1135"/>
      <c r="EP138" s="1135">
        <f>EP126*4</f>
      </c>
      <c r="EQ138" s="1660">
        <f>EP138</f>
      </c>
      <c r="ER138" s="1135">
        <f>ER126*4</f>
      </c>
      <c r="ES138" s="1135">
        <f>ES126*4</f>
      </c>
      <c r="ET138" s="1135">
        <f>ET126*4</f>
      </c>
      <c r="EU138" s="1135">
        <f>EU126*4</f>
      </c>
      <c r="EV138" s="1660">
        <f>EU138</f>
      </c>
      <c r="EW138" s="1135">
        <f>EW126*4</f>
      </c>
      <c r="EX138" s="1135">
        <f>EX126*4</f>
      </c>
      <c r="EY138" s="1135">
        <f>EY126*4</f>
      </c>
      <c r="EZ138" s="1135">
        <f>EZ126*4</f>
      </c>
      <c r="FA138" s="1660">
        <f>EZ138</f>
      </c>
      <c r="FB138" s="1135">
        <f>FB126*4</f>
      </c>
      <c r="FC138" s="1135">
        <f>FC126*4</f>
      </c>
      <c r="FD138" s="1135">
        <f>FD126*4</f>
      </c>
      <c r="FE138" s="1135">
        <f>FE126*4</f>
      </c>
      <c r="FF138" s="1660">
        <f>FE138</f>
      </c>
      <c r="FG138" s="1135">
        <f>FG126*4</f>
      </c>
      <c r="FH138" s="1135">
        <f>FH126*4</f>
      </c>
      <c r="FI138" s="1135">
        <f>FI126*4</f>
      </c>
      <c r="FJ138" s="1135">
        <f>FJ126*4</f>
      </c>
      <c r="FK138" s="1660">
        <f>FJ138</f>
      </c>
      <c r="FL138" s="1134"/>
      <c r="FM138" s="1135"/>
      <c r="FN138" s="1135"/>
      <c r="FO138" s="1135"/>
      <c r="FP138" s="1660"/>
      <c r="FQ138" s="1134"/>
      <c r="FR138" s="1135"/>
      <c r="FS138" s="1135"/>
      <c r="FT138" s="1135"/>
      <c r="FU138" s="1660"/>
      <c r="FV138" s="1134"/>
      <c r="FW138" s="1135"/>
      <c r="FX138" s="1135"/>
      <c r="FY138" s="1135"/>
      <c r="FZ138" s="1660"/>
      <c r="GA138" s="1134"/>
      <c r="GB138" s="1135"/>
      <c r="GC138" s="1135"/>
      <c r="GD138" s="1135"/>
      <c r="GE138" s="1660"/>
      <c r="GF138" s="1134"/>
      <c r="GG138" s="1135"/>
      <c r="GH138" s="1135"/>
      <c r="GI138" s="1135"/>
      <c r="GJ138" s="1661"/>
    </row>
    <row r="139" spans="1:192" ht="12.75" customHeight="1" collapsed="1">
      <c r="B139" s="736"/>
      <c r="C139" s="291"/>
      <c r="D139" s="107"/>
      <c r="E139" s="107"/>
      <c r="F139" s="107"/>
      <c r="G139" s="293"/>
      <c r="H139" s="291"/>
      <c r="I139" s="107"/>
      <c r="J139" s="107"/>
      <c r="K139" s="107"/>
      <c r="L139" s="293"/>
      <c r="M139" s="291"/>
      <c r="N139" s="107"/>
      <c r="O139" s="107"/>
      <c r="P139" s="107"/>
      <c r="Q139" s="293"/>
      <c r="R139" s="291"/>
      <c r="S139" s="107"/>
      <c r="T139" s="107"/>
      <c r="U139" s="107"/>
      <c r="V139" s="293"/>
      <c r="W139" s="291"/>
      <c r="X139" s="107"/>
      <c r="Y139" s="107"/>
      <c r="Z139" s="107"/>
      <c r="AA139" s="293"/>
      <c r="AB139" s="291"/>
      <c r="AC139" s="107"/>
      <c r="AD139" s="107"/>
      <c r="AE139" s="107"/>
      <c r="AF139" s="293"/>
      <c r="AG139" s="291"/>
      <c r="AH139" s="107"/>
      <c r="AI139" s="107"/>
      <c r="AJ139" s="107"/>
      <c r="AK139" s="293"/>
      <c r="AL139" s="291"/>
      <c r="AM139" s="107"/>
      <c r="AN139" s="107"/>
      <c r="AO139" s="107"/>
      <c r="AP139" s="293"/>
      <c r="AQ139" s="291"/>
      <c r="AR139" s="107"/>
      <c r="AS139" s="107"/>
      <c r="AT139" s="107"/>
      <c r="AU139" s="293"/>
      <c r="AV139" s="291"/>
      <c r="AW139" s="107"/>
      <c r="AX139" s="107"/>
      <c r="AY139" s="107"/>
      <c r="AZ139" s="293"/>
      <c r="BA139" s="291"/>
      <c r="BB139" s="107"/>
      <c r="BC139" s="107"/>
      <c r="BD139" s="107"/>
      <c r="BE139" s="293"/>
      <c r="BF139" s="291"/>
      <c r="BG139" s="107"/>
      <c r="BH139" s="107"/>
      <c r="BI139" s="107"/>
      <c r="BJ139" s="293"/>
      <c r="BK139" s="291"/>
      <c r="BL139" s="107"/>
      <c r="BM139" s="107"/>
      <c r="BN139" s="107"/>
      <c r="BO139" s="293"/>
      <c r="BP139" s="291"/>
      <c r="BQ139" s="107"/>
      <c r="BR139" s="107"/>
      <c r="BS139" s="107"/>
      <c r="BT139" s="293"/>
      <c r="BU139" s="291"/>
      <c r="BV139" s="107"/>
      <c r="BW139" s="107"/>
      <c r="BX139" s="107"/>
      <c r="BY139" s="293"/>
      <c r="BZ139" s="291"/>
      <c r="CA139" s="107"/>
      <c r="CB139" s="107"/>
      <c r="CC139" s="107"/>
      <c r="CD139" s="293"/>
      <c r="CE139" s="291"/>
      <c r="CF139" s="107"/>
      <c r="CG139" s="107"/>
      <c r="CH139" s="107"/>
      <c r="CI139" s="293"/>
      <c r="CJ139" s="291"/>
      <c r="CK139" s="107"/>
      <c r="CL139" s="107"/>
      <c r="CM139" s="107"/>
      <c r="CN139" s="293"/>
      <c r="CO139" s="291"/>
      <c r="CP139" s="107"/>
      <c r="CQ139" s="107"/>
      <c r="CR139" s="107"/>
      <c r="CS139" s="293"/>
      <c r="CT139" s="291"/>
      <c r="CU139" s="107"/>
      <c r="CV139" s="107"/>
      <c r="CW139" s="107"/>
      <c r="CX139" s="293"/>
      <c r="CY139" s="291"/>
      <c r="CZ139" s="107"/>
      <c r="DA139" s="107"/>
      <c r="DB139" s="107"/>
      <c r="DC139" s="293"/>
      <c r="DD139" s="291"/>
      <c r="DE139" s="107"/>
      <c r="DF139" s="107"/>
      <c r="DG139" s="107"/>
      <c r="DH139" s="293"/>
      <c r="DI139" s="291"/>
      <c r="DJ139" s="107"/>
      <c r="DK139" s="107"/>
      <c r="DL139" s="107"/>
      <c r="DM139" s="293"/>
      <c r="DN139" s="291"/>
      <c r="DO139" s="107"/>
      <c r="DP139" s="107"/>
      <c r="DQ139" s="107"/>
      <c r="DR139" s="293"/>
      <c r="DS139" s="291"/>
      <c r="DT139" s="107"/>
      <c r="DU139" s="107"/>
      <c r="DV139" s="107"/>
      <c r="DW139" s="293"/>
      <c r="DX139" s="291"/>
      <c r="DY139" s="107"/>
      <c r="DZ139" s="107"/>
      <c r="EA139" s="107"/>
      <c r="EB139" s="293"/>
      <c r="EC139" s="291"/>
      <c r="ED139" s="107"/>
      <c r="EE139" s="107"/>
      <c r="EF139" s="107"/>
      <c r="EG139" s="293"/>
      <c r="EH139" s="291"/>
      <c r="EI139" s="107"/>
      <c r="EJ139" s="107"/>
      <c r="EK139" s="107"/>
      <c r="EL139" s="293"/>
      <c r="EM139" s="291"/>
      <c r="EN139" s="107"/>
      <c r="EO139" s="107"/>
      <c r="EP139" s="107"/>
      <c r="EQ139" s="293"/>
      <c r="ER139" s="291"/>
      <c r="ES139" s="463"/>
      <c r="ET139" s="107"/>
      <c r="EU139" s="107"/>
      <c r="EV139" s="293"/>
      <c r="EW139" s="291"/>
      <c r="EX139" s="107"/>
      <c r="EY139" s="107"/>
      <c r="EZ139" s="107"/>
      <c r="FA139" s="293"/>
      <c r="FB139" s="291"/>
      <c r="FC139" s="107"/>
      <c r="FD139" s="107"/>
      <c r="FE139" s="107"/>
      <c r="FF139" s="293"/>
      <c r="FG139" s="291"/>
      <c r="FH139" s="107"/>
      <c r="FI139" s="107"/>
      <c r="FJ139" s="107"/>
      <c r="FK139" s="293"/>
      <c r="FL139" s="291"/>
      <c r="FM139" s="107"/>
      <c r="FN139" s="107"/>
      <c r="FO139" s="107"/>
      <c r="FP139" s="293"/>
      <c r="FQ139" s="291"/>
      <c r="FR139" s="107"/>
      <c r="FS139" s="107"/>
      <c r="FT139" s="107"/>
      <c r="FU139" s="293"/>
      <c r="FV139" s="291"/>
      <c r="FW139" s="107"/>
      <c r="FX139" s="107"/>
      <c r="FY139" s="107"/>
      <c r="FZ139" s="293"/>
      <c r="GA139" s="291"/>
      <c r="GB139" s="107"/>
      <c r="GC139" s="107"/>
      <c r="GD139" s="107"/>
      <c r="GE139" s="293"/>
      <c r="GF139" s="291"/>
      <c r="GG139" s="107"/>
      <c r="GH139" s="107"/>
      <c r="GI139" s="107"/>
      <c r="GJ139" s="382"/>
    </row>
    <row r="140" spans="1:192" ht="12.75" customHeight="1">
      <c r="B140" s="740" t="s">
        <v>2049</v>
      </c>
      <c r="C140" s="291"/>
      <c r="D140" s="107"/>
      <c r="E140" s="107"/>
      <c r="F140" s="107"/>
      <c r="G140" s="293"/>
      <c r="H140" s="291"/>
      <c r="I140" s="107"/>
      <c r="J140" s="107"/>
      <c r="K140" s="107"/>
      <c r="L140" s="293"/>
      <c r="M140" s="291"/>
      <c r="N140" s="107"/>
      <c r="O140" s="107"/>
      <c r="P140" s="107"/>
      <c r="Q140" s="293"/>
      <c r="R140" s="291"/>
      <c r="S140" s="107"/>
      <c r="T140" s="107"/>
      <c r="U140" s="107"/>
      <c r="V140" s="293"/>
      <c r="W140" s="291"/>
      <c r="X140" s="107"/>
      <c r="Y140" s="107"/>
      <c r="Z140" s="107"/>
      <c r="AA140" s="293"/>
      <c r="AB140" s="291"/>
      <c r="AC140" s="107"/>
      <c r="AD140" s="107"/>
      <c r="AE140" s="107"/>
      <c r="AF140" s="293"/>
      <c r="AG140" s="291"/>
      <c r="AH140" s="107"/>
      <c r="AI140" s="107"/>
      <c r="AJ140" s="107"/>
      <c r="AK140" s="293"/>
      <c r="AL140" s="291"/>
      <c r="AM140" s="107"/>
      <c r="AN140" s="107"/>
      <c r="AO140" s="107"/>
      <c r="AP140" s="293"/>
      <c r="AQ140" s="291"/>
      <c r="AR140" s="107"/>
      <c r="AS140" s="107"/>
      <c r="AT140" s="107"/>
      <c r="AU140" s="293"/>
      <c r="AV140" s="291"/>
      <c r="AW140" s="107"/>
      <c r="AX140" s="107"/>
      <c r="AY140" s="107"/>
      <c r="AZ140" s="293"/>
      <c r="BA140" s="291"/>
      <c r="BB140" s="107"/>
      <c r="BC140" s="107"/>
      <c r="BD140" s="107"/>
      <c r="BE140" s="293"/>
      <c r="BF140" s="291"/>
      <c r="BG140" s="107"/>
      <c r="BH140" s="107"/>
      <c r="BI140" s="107"/>
      <c r="BJ140" s="293"/>
      <c r="BK140" s="291"/>
      <c r="BL140" s="107"/>
      <c r="BM140" s="107"/>
      <c r="BN140" s="107"/>
      <c r="BO140" s="293"/>
      <c r="BP140" s="291"/>
      <c r="BQ140" s="107"/>
      <c r="BR140" s="107"/>
      <c r="BS140" s="107"/>
      <c r="BT140" s="293"/>
      <c r="BU140" s="291"/>
      <c r="BV140" s="107"/>
      <c r="BW140" s="107"/>
      <c r="BX140" s="107"/>
      <c r="BY140" s="293"/>
      <c r="BZ140" s="291"/>
      <c r="CA140" s="107"/>
      <c r="CB140" s="107"/>
      <c r="CC140" s="107"/>
      <c r="CD140" s="293"/>
      <c r="CE140" s="291"/>
      <c r="CF140" s="107"/>
      <c r="CG140" s="107"/>
      <c r="CH140" s="107"/>
      <c r="CI140" s="293"/>
      <c r="CJ140" s="291"/>
      <c r="CK140" s="107"/>
      <c r="CL140" s="107"/>
      <c r="CM140" s="107"/>
      <c r="CN140" s="293"/>
      <c r="CO140" s="291"/>
      <c r="CP140" s="107"/>
      <c r="CQ140" s="107"/>
      <c r="CR140" s="107"/>
      <c r="CS140" s="293"/>
      <c r="CT140" s="291"/>
      <c r="CU140" s="107"/>
      <c r="CV140" s="107"/>
      <c r="CW140" s="107"/>
      <c r="CX140" s="293"/>
      <c r="CY140" s="291"/>
      <c r="CZ140" s="107"/>
      <c r="DA140" s="107"/>
      <c r="DB140" s="107"/>
      <c r="DC140" s="293"/>
      <c r="DD140" s="291"/>
      <c r="DE140" s="107"/>
      <c r="DF140" s="107"/>
      <c r="DG140" s="107"/>
      <c r="DH140" s="293"/>
      <c r="DI140" s="291"/>
      <c r="DJ140" s="107"/>
      <c r="DK140" s="107"/>
      <c r="DL140" s="107"/>
      <c r="DM140" s="293"/>
      <c r="DN140" s="291"/>
      <c r="DO140" s="107"/>
      <c r="DP140" s="107"/>
      <c r="DQ140" s="107"/>
      <c r="DR140" s="293"/>
      <c r="DS140" s="291"/>
      <c r="DT140" s="107"/>
      <c r="DU140" s="107"/>
      <c r="DV140" s="107"/>
      <c r="DW140" s="293"/>
      <c r="DX140" s="291"/>
      <c r="DY140" s="107"/>
      <c r="DZ140" s="107"/>
      <c r="EA140" s="107"/>
      <c r="EB140" s="293"/>
      <c r="EC140" s="291"/>
      <c r="ED140" s="107"/>
      <c r="EE140" s="107"/>
      <c r="EF140" s="107"/>
      <c r="EG140" s="293"/>
      <c r="EH140" s="291"/>
      <c r="EI140" s="107"/>
      <c r="EJ140" s="107"/>
      <c r="EK140" s="107"/>
      <c r="EL140" s="293"/>
      <c r="EM140" s="291"/>
      <c r="EN140" s="107"/>
      <c r="EO140" s="107"/>
      <c r="EP140" s="107"/>
      <c r="EQ140" s="293"/>
      <c r="ER140" s="291"/>
      <c r="ES140" s="107"/>
      <c r="ET140" s="107"/>
      <c r="EU140" s="107"/>
      <c r="EV140" s="293"/>
      <c r="EW140" s="291"/>
      <c r="EX140" s="107"/>
      <c r="EY140" s="107"/>
      <c r="EZ140" s="107"/>
      <c r="FA140" s="293"/>
      <c r="FB140" s="291"/>
      <c r="FC140" s="107"/>
      <c r="FD140" s="107"/>
      <c r="FE140" s="107"/>
      <c r="FF140" s="293"/>
      <c r="FG140" s="291"/>
      <c r="FH140" s="107"/>
      <c r="FI140" s="107"/>
      <c r="FJ140" s="107"/>
      <c r="FK140" s="293"/>
      <c r="FL140" s="291"/>
      <c r="FM140" s="107"/>
      <c r="FN140" s="107"/>
      <c r="FO140" s="107"/>
      <c r="FP140" s="293"/>
      <c r="FQ140" s="291"/>
      <c r="FR140" s="107"/>
      <c r="FS140" s="107"/>
      <c r="FT140" s="107"/>
      <c r="FU140" s="293"/>
      <c r="FV140" s="291"/>
      <c r="FW140" s="107"/>
      <c r="FX140" s="107"/>
      <c r="FY140" s="107"/>
      <c r="FZ140" s="293"/>
      <c r="GA140" s="291"/>
      <c r="GB140" s="107"/>
      <c r="GC140" s="107"/>
      <c r="GD140" s="107"/>
      <c r="GE140" s="293"/>
      <c r="GF140" s="291"/>
      <c r="GG140" s="107"/>
      <c r="GH140" s="107"/>
      <c r="GI140" s="107"/>
      <c r="GJ140" s="382"/>
    </row>
    <row r="141" spans="1:192" s="1621" customFormat="1" ht="12.75" hidden="1" customHeight="1" outlineLevel="1">
      <c r="A141" s="1620"/>
      <c r="B141" s="1530" t="s">
        <v>2029</v>
      </c>
      <c r="C141" s="1433"/>
      <c r="D141" s="1261"/>
      <c r="E141" s="1261"/>
      <c r="F141" s="1261"/>
      <c r="G141" s="1630"/>
      <c r="H141" s="1433"/>
      <c r="I141" s="1261"/>
      <c r="J141" s="1261"/>
      <c r="K141" s="1261"/>
      <c r="L141" s="1630"/>
      <c r="M141" s="1433"/>
      <c r="N141" s="1261"/>
      <c r="O141" s="1261"/>
      <c r="P141" s="1261"/>
      <c r="Q141" s="1630"/>
      <c r="R141" s="1433"/>
      <c r="S141" s="1261"/>
      <c r="T141" s="1261"/>
      <c r="U141" s="1261"/>
      <c r="V141" s="1630"/>
      <c r="W141" s="1433"/>
      <c r="X141" s="1261"/>
      <c r="Y141" s="1261"/>
      <c r="Z141" s="1261"/>
      <c r="AA141" s="1630"/>
      <c r="AB141" s="1433"/>
      <c r="AC141" s="1261"/>
      <c r="AD141" s="1261"/>
      <c r="AE141" s="1261"/>
      <c r="AF141" s="1630"/>
      <c r="AG141" s="1433"/>
      <c r="AH141" s="1261"/>
      <c r="AI141" s="1261"/>
      <c r="AJ141" s="1261"/>
      <c r="AK141" s="1630"/>
      <c r="AL141" s="1433"/>
      <c r="AM141" s="1261"/>
      <c r="AN141" s="1261"/>
      <c r="AO141" s="1261"/>
      <c r="AP141" s="1630"/>
      <c r="AQ141" s="1433"/>
      <c r="AR141" s="1261"/>
      <c r="AS141" s="1261"/>
      <c r="AT141" s="1261"/>
      <c r="AU141" s="1630"/>
      <c r="AV141" s="1433"/>
      <c r="AW141" s="1261"/>
      <c r="AX141" s="1261"/>
      <c r="AY141" s="1261"/>
      <c r="AZ141" s="1630"/>
      <c r="BA141" s="1433"/>
      <c r="BB141" s="1261"/>
      <c r="BC141" s="1261"/>
      <c r="BD141" s="1261"/>
      <c r="BE141" s="1630"/>
      <c r="BF141" s="1433"/>
      <c r="BG141" s="1261"/>
      <c r="BH141" s="1261"/>
      <c r="BI141" s="1261"/>
      <c r="BJ141" s="1630"/>
      <c r="BK141" s="1433"/>
      <c r="BL141" s="1261"/>
      <c r="BM141" s="1261"/>
      <c r="BN141" s="1261"/>
      <c r="BO141" s="1630"/>
      <c r="BP141" s="1433"/>
      <c r="BQ141" s="1261"/>
      <c r="BR141" s="1261"/>
      <c r="BS141" s="1261"/>
      <c r="BT141" s="1630"/>
      <c r="BU141" s="1433"/>
      <c r="BV141" s="1261"/>
      <c r="BW141" s="1261"/>
      <c r="BX141" s="1261"/>
      <c r="BY141" s="1630"/>
      <c r="BZ141" s="1433"/>
      <c r="CA141" s="1261"/>
      <c r="CB141" s="1261"/>
      <c r="CC141" s="1261"/>
      <c r="CD141" s="1630"/>
      <c r="CE141" s="1433"/>
      <c r="CF141" s="1261"/>
      <c r="CG141" s="1261"/>
      <c r="CH141" s="1261"/>
      <c r="CI141" s="1630"/>
      <c r="CJ141" s="1433"/>
      <c r="CK141" s="1261"/>
      <c r="CL141" s="1261"/>
      <c r="CM141" s="1261"/>
      <c r="CN141" s="1630"/>
      <c r="CO141" s="1433"/>
      <c r="CP141" s="1261"/>
      <c r="CQ141" s="1261"/>
      <c r="CR141" s="1261"/>
      <c r="CS141" s="1630"/>
      <c r="CT141" s="1433"/>
      <c r="CU141" s="1261"/>
      <c r="CV141" s="1261"/>
      <c r="CW141" s="1261"/>
      <c r="CX141" s="1630"/>
      <c r="CY141" s="1433"/>
      <c r="CZ141" s="1261"/>
      <c r="DA141" s="1261"/>
      <c r="DB141" s="1261"/>
      <c r="DC141" s="1630"/>
      <c r="DD141" s="1433"/>
      <c r="DE141" s="1261"/>
      <c r="DF141" s="1261"/>
      <c r="DG141" s="1261"/>
      <c r="DH141" s="1630"/>
      <c r="DI141" s="1433"/>
      <c r="DJ141" s="1261"/>
      <c r="DK141" s="1261"/>
      <c r="DL141" s="1261"/>
      <c r="DM141" s="1630"/>
      <c r="DN141" s="1433"/>
      <c r="DO141" s="1261"/>
      <c r="DP141" s="1261"/>
      <c r="DQ141" s="1261"/>
      <c r="DR141" s="1630"/>
      <c r="DS141" s="1433"/>
      <c r="DT141" s="1261"/>
      <c r="DU141" s="1261"/>
      <c r="DV141" s="1261"/>
      <c r="DW141" s="1630"/>
      <c r="DX141" s="1433"/>
      <c r="DY141" s="1261"/>
      <c r="DZ141" s="1261"/>
      <c r="EA141" s="1261"/>
      <c r="EB141" s="1630"/>
      <c r="EC141" s="1433"/>
      <c r="ED141" s="1261"/>
      <c r="EE141" s="1261"/>
      <c r="EF141" s="1261"/>
      <c r="EG141" s="1630"/>
      <c r="EH141" s="1433"/>
      <c r="EI141" s="1261"/>
      <c r="EJ141" s="1261"/>
      <c r="EK141" s="1261"/>
      <c r="EL141" s="1630"/>
      <c r="EM141" s="1433"/>
      <c r="EN141" s="1261"/>
      <c r="EO141" s="1261"/>
      <c r="EP141" s="1261"/>
      <c r="EQ141" s="1630"/>
      <c r="ER141" s="1433">
        <f>ER110-ER123</f>
      </c>
      <c r="ES141" s="1261">
        <f>ES110-ES123</f>
      </c>
      <c r="ET141" s="1261">
        <f>ET110-ET123</f>
      </c>
      <c r="EU141" s="1261">
        <f>EU110-EU123</f>
      </c>
      <c r="EV141" s="1630">
        <f>EV109-EV123</f>
      </c>
      <c r="EW141" s="1433">
        <f>EW110-EW123</f>
      </c>
      <c r="EX141" s="1261">
        <f>EX110-EX123</f>
      </c>
      <c r="EY141" s="1261">
        <f>EY110-EY123</f>
      </c>
      <c r="EZ141" s="1261">
        <f>EZ110-EZ123</f>
      </c>
      <c r="FA141" s="1630">
        <f>FA109-FA123</f>
      </c>
      <c r="FB141" s="1431">
        <v>0.20499999999999999</v>
      </c>
      <c r="FC141" s="1431">
        <v>0.18</v>
      </c>
      <c r="FD141" s="1431">
        <v>0.17</v>
      </c>
      <c r="FE141" s="1431">
        <v>0.16531799999999999</v>
      </c>
      <c r="FF141" s="1630">
        <f>FF109-FF123</f>
      </c>
      <c r="FG141" s="1431">
        <v>0.16</v>
      </c>
      <c r="FH141" s="1431">
        <f xml:space="preserve"> FG141</f>
      </c>
      <c r="FI141" s="1431">
        <f xml:space="preserve"> FH141</f>
      </c>
      <c r="FJ141" s="1431">
        <f xml:space="preserve"> FI141</f>
      </c>
      <c r="FK141" s="1630">
        <f>FK109-FK123</f>
      </c>
      <c r="FL141" s="1433"/>
      <c r="FM141" s="1261"/>
      <c r="FN141" s="1261"/>
      <c r="FO141" s="1261"/>
      <c r="FP141" s="1630"/>
      <c r="FQ141" s="1433"/>
      <c r="FR141" s="1261"/>
      <c r="FS141" s="1261"/>
      <c r="FT141" s="1261"/>
      <c r="FU141" s="1630"/>
      <c r="FV141" s="1433"/>
      <c r="FW141" s="1261"/>
      <c r="FX141" s="1261"/>
      <c r="FY141" s="1261"/>
      <c r="FZ141" s="1630"/>
      <c r="GA141" s="1433"/>
      <c r="GB141" s="1261"/>
      <c r="GC141" s="1261"/>
      <c r="GD141" s="1261"/>
      <c r="GE141" s="1630"/>
      <c r="GF141" s="1433"/>
      <c r="GG141" s="1261"/>
      <c r="GH141" s="1261"/>
      <c r="GI141" s="1261"/>
      <c r="GJ141" s="1664"/>
    </row>
    <row r="142" spans="1:192" s="1621" customFormat="1" ht="12.75" hidden="1" customHeight="1" outlineLevel="1">
      <c r="A142" s="1620"/>
      <c r="B142" s="1530"/>
      <c r="C142" s="1433"/>
      <c r="D142" s="1261"/>
      <c r="E142" s="1261"/>
      <c r="F142" s="1261"/>
      <c r="G142" s="1630"/>
      <c r="H142" s="1433"/>
      <c r="I142" s="1261"/>
      <c r="J142" s="1261"/>
      <c r="K142" s="1261"/>
      <c r="L142" s="1630"/>
      <c r="M142" s="1433"/>
      <c r="N142" s="1261"/>
      <c r="O142" s="1261"/>
      <c r="P142" s="1261"/>
      <c r="Q142" s="1630"/>
      <c r="R142" s="1433"/>
      <c r="S142" s="1261"/>
      <c r="T142" s="1261"/>
      <c r="U142" s="1261"/>
      <c r="V142" s="1630"/>
      <c r="W142" s="1433"/>
      <c r="X142" s="1261"/>
      <c r="Y142" s="1261"/>
      <c r="Z142" s="1261"/>
      <c r="AA142" s="1630"/>
      <c r="AB142" s="1433"/>
      <c r="AC142" s="1261"/>
      <c r="AD142" s="1261"/>
      <c r="AE142" s="1261"/>
      <c r="AF142" s="1630"/>
      <c r="AG142" s="1433"/>
      <c r="AH142" s="1261"/>
      <c r="AI142" s="1261"/>
      <c r="AJ142" s="1261"/>
      <c r="AK142" s="1630"/>
      <c r="AL142" s="1433"/>
      <c r="AM142" s="1261"/>
      <c r="AN142" s="1261"/>
      <c r="AO142" s="1261"/>
      <c r="AP142" s="1630"/>
      <c r="AQ142" s="1433"/>
      <c r="AR142" s="1261"/>
      <c r="AS142" s="1261"/>
      <c r="AT142" s="1261"/>
      <c r="AU142" s="1630"/>
      <c r="AV142" s="1433"/>
      <c r="AW142" s="1261"/>
      <c r="AX142" s="1261"/>
      <c r="AY142" s="1261"/>
      <c r="AZ142" s="1630"/>
      <c r="BA142" s="1433"/>
      <c r="BB142" s="1261"/>
      <c r="BC142" s="1261"/>
      <c r="BD142" s="1261"/>
      <c r="BE142" s="1630"/>
      <c r="BF142" s="1433"/>
      <c r="BG142" s="1261"/>
      <c r="BH142" s="1261"/>
      <c r="BI142" s="1261"/>
      <c r="BJ142" s="1630"/>
      <c r="BK142" s="1433"/>
      <c r="BL142" s="1261"/>
      <c r="BM142" s="1261"/>
      <c r="BN142" s="1261"/>
      <c r="BO142" s="1630"/>
      <c r="BP142" s="1433"/>
      <c r="BQ142" s="1261"/>
      <c r="BR142" s="1261"/>
      <c r="BS142" s="1261"/>
      <c r="BT142" s="1630"/>
      <c r="BU142" s="1433"/>
      <c r="BV142" s="1261"/>
      <c r="BW142" s="1261"/>
      <c r="BX142" s="1261"/>
      <c r="BY142" s="1630"/>
      <c r="BZ142" s="1433"/>
      <c r="CA142" s="1261"/>
      <c r="CB142" s="1261"/>
      <c r="CC142" s="1261"/>
      <c r="CD142" s="1630"/>
      <c r="CE142" s="1433"/>
      <c r="CF142" s="1261"/>
      <c r="CG142" s="1261"/>
      <c r="CH142" s="1261"/>
      <c r="CI142" s="1630"/>
      <c r="CJ142" s="1433"/>
      <c r="CK142" s="1261"/>
      <c r="CL142" s="1261"/>
      <c r="CM142" s="1261"/>
      <c r="CN142" s="1630"/>
      <c r="CO142" s="1433"/>
      <c r="CP142" s="1261"/>
      <c r="CQ142" s="1261"/>
      <c r="CR142" s="1261"/>
      <c r="CS142" s="1630"/>
      <c r="CT142" s="1433"/>
      <c r="CU142" s="1261"/>
      <c r="CV142" s="1261"/>
      <c r="CW142" s="1261"/>
      <c r="CX142" s="1630"/>
      <c r="CY142" s="1433"/>
      <c r="CZ142" s="1261"/>
      <c r="DA142" s="1261"/>
      <c r="DB142" s="1261"/>
      <c r="DC142" s="1630"/>
      <c r="DD142" s="1433"/>
      <c r="DE142" s="1261"/>
      <c r="DF142" s="1261"/>
      <c r="DG142" s="1261"/>
      <c r="DH142" s="1630"/>
      <c r="DI142" s="1433"/>
      <c r="DJ142" s="1261"/>
      <c r="DK142" s="1261"/>
      <c r="DL142" s="1261"/>
      <c r="DM142" s="1630"/>
      <c r="DN142" s="1433"/>
      <c r="DO142" s="1261"/>
      <c r="DP142" s="1261"/>
      <c r="DQ142" s="1261"/>
      <c r="DR142" s="1630"/>
      <c r="DS142" s="1433"/>
      <c r="DT142" s="1261"/>
      <c r="DU142" s="1261"/>
      <c r="DV142" s="1261"/>
      <c r="DW142" s="1630"/>
      <c r="DX142" s="1433"/>
      <c r="DY142" s="1261"/>
      <c r="DZ142" s="1261"/>
      <c r="EA142" s="1261"/>
      <c r="EB142" s="1630"/>
      <c r="EC142" s="1433"/>
      <c r="ED142" s="1261"/>
      <c r="EE142" s="1261"/>
      <c r="EF142" s="1261"/>
      <c r="EG142" s="1630"/>
      <c r="EH142" s="1433"/>
      <c r="EI142" s="1261"/>
      <c r="EJ142" s="1261"/>
      <c r="EK142" s="1261"/>
      <c r="EL142" s="1630"/>
      <c r="EM142" s="1433"/>
      <c r="EN142" s="1261"/>
      <c r="EO142" s="1261"/>
      <c r="EP142" s="1261"/>
      <c r="EQ142" s="1630"/>
      <c r="ER142" s="1433"/>
      <c r="ES142" s="1261"/>
      <c r="ET142" s="1261"/>
      <c r="EU142" s="1261"/>
      <c r="EV142" s="1630"/>
      <c r="EW142" s="1433"/>
      <c r="EX142" s="1261"/>
      <c r="EY142" s="1431"/>
      <c r="EZ142" s="1261"/>
      <c r="FA142" s="1630"/>
      <c r="FB142" s="1431"/>
      <c r="FC142" s="1431"/>
      <c r="FD142" s="1431"/>
      <c r="FE142" s="1431"/>
      <c r="FF142" s="1630"/>
      <c r="FG142" s="1431"/>
      <c r="FH142" s="1431"/>
      <c r="FI142" s="1431"/>
      <c r="FJ142" s="1431"/>
      <c r="FK142" s="1630"/>
      <c r="FL142" s="1433"/>
      <c r="FM142" s="1261"/>
      <c r="FN142" s="1261"/>
      <c r="FO142" s="1261"/>
      <c r="FP142" s="1630"/>
      <c r="FQ142" s="1433"/>
      <c r="FR142" s="1261"/>
      <c r="FS142" s="1261"/>
      <c r="FT142" s="1261"/>
      <c r="FU142" s="1630"/>
      <c r="FV142" s="1433"/>
      <c r="FW142" s="1261"/>
      <c r="FX142" s="1261"/>
      <c r="FY142" s="1261"/>
      <c r="FZ142" s="1630"/>
      <c r="GA142" s="1433"/>
      <c r="GB142" s="1261"/>
      <c r="GC142" s="1261"/>
      <c r="GD142" s="1261"/>
      <c r="GE142" s="1630"/>
      <c r="GF142" s="1433"/>
      <c r="GG142" s="1261"/>
      <c r="GH142" s="1261"/>
      <c r="GI142" s="1261"/>
      <c r="GJ142" s="1664"/>
    </row>
    <row r="143" spans="1:192" s="1621" customFormat="1" ht="12.75" hidden="1" customHeight="1" outlineLevel="1">
      <c r="A143" s="1620"/>
      <c r="B143" s="1525" t="s">
        <v>2051</v>
      </c>
      <c r="C143" s="1679"/>
      <c r="D143" s="1680"/>
      <c r="E143" s="1680"/>
      <c r="F143" s="1680"/>
      <c r="G143" s="1681"/>
      <c r="H143" s="1679"/>
      <c r="I143" s="1680"/>
      <c r="J143" s="1680"/>
      <c r="K143" s="1680"/>
      <c r="L143" s="1681"/>
      <c r="M143" s="1679"/>
      <c r="N143" s="1680"/>
      <c r="O143" s="1680"/>
      <c r="P143" s="1680"/>
      <c r="Q143" s="1681"/>
      <c r="R143" s="1679"/>
      <c r="S143" s="1680"/>
      <c r="T143" s="1680"/>
      <c r="U143" s="1680"/>
      <c r="V143" s="1681"/>
      <c r="W143" s="1679"/>
      <c r="X143" s="1680"/>
      <c r="Y143" s="1680"/>
      <c r="Z143" s="1680"/>
      <c r="AA143" s="1681"/>
      <c r="AB143" s="1679"/>
      <c r="AC143" s="1680"/>
      <c r="AD143" s="1680"/>
      <c r="AE143" s="1680"/>
      <c r="AF143" s="1681"/>
      <c r="AG143" s="1679"/>
      <c r="AH143" s="1680"/>
      <c r="AI143" s="1680"/>
      <c r="AJ143" s="1680"/>
      <c r="AK143" s="1681"/>
      <c r="AL143" s="1679"/>
      <c r="AM143" s="1680"/>
      <c r="AN143" s="1680"/>
      <c r="AO143" s="1680"/>
      <c r="AP143" s="1681"/>
      <c r="AQ143" s="1679"/>
      <c r="AR143" s="1680"/>
      <c r="AS143" s="1680"/>
      <c r="AT143" s="1680"/>
      <c r="AU143" s="1681"/>
      <c r="AV143" s="1679"/>
      <c r="AW143" s="1680"/>
      <c r="AX143" s="1680"/>
      <c r="AY143" s="1680"/>
      <c r="AZ143" s="1681"/>
      <c r="BA143" s="1679"/>
      <c r="BB143" s="1680"/>
      <c r="BC143" s="1680"/>
      <c r="BD143" s="1680"/>
      <c r="BE143" s="1681"/>
      <c r="BF143" s="1679"/>
      <c r="BG143" s="1680"/>
      <c r="BH143" s="1680"/>
      <c r="BI143" s="1680"/>
      <c r="BJ143" s="1681"/>
      <c r="BK143" s="1679"/>
      <c r="BL143" s="1680"/>
      <c r="BM143" s="1680"/>
      <c r="BN143" s="1680"/>
      <c r="BO143" s="1681"/>
      <c r="BP143" s="1679"/>
      <c r="BQ143" s="1680"/>
      <c r="BR143" s="1680"/>
      <c r="BS143" s="1680"/>
      <c r="BT143" s="1681"/>
      <c r="BU143" s="1679"/>
      <c r="BV143" s="1680"/>
      <c r="BW143" s="1680"/>
      <c r="BX143" s="1680"/>
      <c r="BY143" s="1681"/>
      <c r="BZ143" s="1679"/>
      <c r="CA143" s="1680"/>
      <c r="CB143" s="1680"/>
      <c r="CC143" s="1680"/>
      <c r="CD143" s="1681"/>
      <c r="CE143" s="1679"/>
      <c r="CF143" s="1680"/>
      <c r="CG143" s="1680"/>
      <c r="CH143" s="1680"/>
      <c r="CI143" s="1681"/>
      <c r="CJ143" s="1679"/>
      <c r="CK143" s="1680"/>
      <c r="CL143" s="1680"/>
      <c r="CM143" s="1680"/>
      <c r="CN143" s="1681"/>
      <c r="CO143" s="1679"/>
      <c r="CP143" s="1680"/>
      <c r="CQ143" s="1680"/>
      <c r="CR143" s="1680"/>
      <c r="CS143" s="1681"/>
      <c r="CT143" s="1679"/>
      <c r="CU143" s="1680"/>
      <c r="CV143" s="1680"/>
      <c r="CW143" s="1680"/>
      <c r="CX143" s="1681"/>
      <c r="CY143" s="1679"/>
      <c r="CZ143" s="1680"/>
      <c r="DA143" s="1680"/>
      <c r="DB143" s="1680"/>
      <c r="DC143" s="1681"/>
      <c r="DD143" s="1679"/>
      <c r="DE143" s="1680"/>
      <c r="DF143" s="1680"/>
      <c r="DG143" s="1680"/>
      <c r="DH143" s="1681"/>
      <c r="DI143" s="1679"/>
      <c r="DJ143" s="1680"/>
      <c r="DK143" s="1680"/>
      <c r="DL143" s="1680"/>
      <c r="DM143" s="1681"/>
      <c r="DN143" s="1679"/>
      <c r="DO143" s="1680"/>
      <c r="DP143" s="1680"/>
      <c r="DQ143" s="1680"/>
      <c r="DR143" s="1681"/>
      <c r="DS143" s="1679"/>
      <c r="DT143" s="1680"/>
      <c r="DU143" s="1680"/>
      <c r="DV143" s="1680"/>
      <c r="DW143" s="1681"/>
      <c r="DX143" s="1679"/>
      <c r="DY143" s="1680"/>
      <c r="DZ143" s="1680"/>
      <c r="EA143" s="1680"/>
      <c r="EB143" s="1681"/>
      <c r="EC143" s="1679"/>
      <c r="ED143" s="1680"/>
      <c r="EE143" s="1680"/>
      <c r="EF143" s="1680"/>
      <c r="EG143" s="1681"/>
      <c r="EH143" s="1679"/>
      <c r="EI143" s="1680"/>
      <c r="EJ143" s="1680"/>
      <c r="EK143" s="1680"/>
      <c r="EL143" s="1681"/>
      <c r="EM143" s="443">
        <f t="shared" ref="EM143:EQ143" si="167">EM108-EM126</f>
      </c>
      <c r="EN143" s="471">
        <f t="shared" si="167"/>
      </c>
      <c r="EO143" s="471">
        <f t="shared" si="167"/>
      </c>
      <c r="EP143" s="471">
        <f t="shared" si="167"/>
      </c>
      <c r="EQ143" s="1065">
        <f t="shared" si="167"/>
      </c>
      <c r="ER143" s="443">
        <f t="shared" ref="ER143:FF143" si="168">ER108-ER126</f>
      </c>
      <c r="ES143" s="471">
        <f t="shared" si="168"/>
      </c>
      <c r="ET143" s="471">
        <f t="shared" si="168"/>
      </c>
      <c r="EU143" s="471">
        <f t="shared" si="168"/>
      </c>
      <c r="EV143" s="1065">
        <f t="shared" si="168"/>
      </c>
      <c r="EW143" s="443">
        <f t="shared" si="168"/>
      </c>
      <c r="EX143" s="471">
        <f t="shared" si="168"/>
      </c>
      <c r="EY143" s="471">
        <f t="shared" si="168"/>
      </c>
      <c r="EZ143" s="471">
        <f t="shared" ref="EZ143:FA143" si="169">EZ108-EZ126</f>
      </c>
      <c r="FA143" s="1065">
        <f t="shared" si="169"/>
      </c>
      <c r="FB143" s="471">
        <f t="shared" si="168"/>
      </c>
      <c r="FC143" s="471">
        <f t="shared" si="168"/>
      </c>
      <c r="FD143" s="471">
        <f t="shared" si="168"/>
      </c>
      <c r="FE143" s="471">
        <f t="shared" si="168"/>
      </c>
      <c r="FF143" s="1065">
        <f t="shared" si="168"/>
      </c>
      <c r="FG143" s="471">
        <f t="shared" ref="FG143:FK143" si="170">FG108-FG126</f>
      </c>
      <c r="FH143" s="471">
        <f t="shared" si="170"/>
      </c>
      <c r="FI143" s="471">
        <f t="shared" si="170"/>
      </c>
      <c r="FJ143" s="471">
        <f t="shared" si="170"/>
      </c>
      <c r="FK143" s="1065">
        <f t="shared" si="170"/>
      </c>
      <c r="FL143" s="1679"/>
      <c r="FM143" s="1680"/>
      <c r="FN143" s="1680"/>
      <c r="FO143" s="1680"/>
      <c r="FP143" s="1681"/>
      <c r="FQ143" s="1679"/>
      <c r="FR143" s="1680"/>
      <c r="FS143" s="1680"/>
      <c r="FT143" s="1680"/>
      <c r="FU143" s="1681"/>
      <c r="FV143" s="1679"/>
      <c r="FW143" s="1680"/>
      <c r="FX143" s="1680"/>
      <c r="FY143" s="1680"/>
      <c r="FZ143" s="1681"/>
      <c r="GA143" s="1679"/>
      <c r="GB143" s="1680"/>
      <c r="GC143" s="1680"/>
      <c r="GD143" s="1680"/>
      <c r="GE143" s="1681"/>
      <c r="GF143" s="1679"/>
      <c r="GG143" s="1680"/>
      <c r="GH143" s="1680"/>
      <c r="GI143" s="1680"/>
      <c r="GJ143" s="1682"/>
    </row>
    <row r="144" spans="1:192" s="461" customFormat="1" ht="12.75" hidden="1" customHeight="1" outlineLevel="1">
      <c r="A144" s="370"/>
      <c r="B144" s="736" t="s">
        <v>34</v>
      </c>
      <c r="C144" s="447"/>
      <c r="D144" s="458"/>
      <c r="E144" s="458"/>
      <c r="F144" s="458"/>
      <c r="G144" s="459"/>
      <c r="H144" s="447"/>
      <c r="I144" s="458"/>
      <c r="J144" s="458"/>
      <c r="K144" s="458"/>
      <c r="L144" s="459"/>
      <c r="M144" s="447"/>
      <c r="N144" s="458"/>
      <c r="O144" s="458"/>
      <c r="P144" s="458"/>
      <c r="Q144" s="459"/>
      <c r="R144" s="447"/>
      <c r="S144" s="458"/>
      <c r="T144" s="458"/>
      <c r="U144" s="458"/>
      <c r="V144" s="459"/>
      <c r="W144" s="447"/>
      <c r="X144" s="458"/>
      <c r="Y144" s="458"/>
      <c r="Z144" s="458"/>
      <c r="AA144" s="459"/>
      <c r="AB144" s="447"/>
      <c r="AC144" s="458"/>
      <c r="AD144" s="458"/>
      <c r="AE144" s="458"/>
      <c r="AF144" s="459"/>
      <c r="AG144" s="447"/>
      <c r="AH144" s="458"/>
      <c r="AI144" s="458"/>
      <c r="AJ144" s="458"/>
      <c r="AK144" s="459"/>
      <c r="AL144" s="447"/>
      <c r="AM144" s="458"/>
      <c r="AN144" s="458"/>
      <c r="AO144" s="458"/>
      <c r="AP144" s="459"/>
      <c r="AQ144" s="447"/>
      <c r="AR144" s="458"/>
      <c r="AS144" s="458"/>
      <c r="AT144" s="458"/>
      <c r="AU144" s="459"/>
      <c r="AV144" s="447"/>
      <c r="AW144" s="458"/>
      <c r="AX144" s="458"/>
      <c r="AY144" s="458"/>
      <c r="AZ144" s="459"/>
      <c r="BA144" s="447"/>
      <c r="BB144" s="458"/>
      <c r="BC144" s="458"/>
      <c r="BD144" s="458"/>
      <c r="BE144" s="459"/>
      <c r="BF144" s="447"/>
      <c r="BG144" s="458"/>
      <c r="BH144" s="458"/>
      <c r="BI144" s="458"/>
      <c r="BJ144" s="459"/>
      <c r="BK144" s="447"/>
      <c r="BL144" s="458"/>
      <c r="BM144" s="458"/>
      <c r="BN144" s="458"/>
      <c r="BO144" s="459"/>
      <c r="BP144" s="447"/>
      <c r="BQ144" s="458"/>
      <c r="BR144" s="458"/>
      <c r="BS144" s="458"/>
      <c r="BT144" s="459"/>
      <c r="BU144" s="447"/>
      <c r="BV144" s="458"/>
      <c r="BW144" s="458"/>
      <c r="BX144" s="458"/>
      <c r="BY144" s="459"/>
      <c r="BZ144" s="447"/>
      <c r="CA144" s="458"/>
      <c r="CB144" s="458"/>
      <c r="CC144" s="458"/>
      <c r="CD144" s="459"/>
      <c r="CE144" s="447"/>
      <c r="CF144" s="458"/>
      <c r="CG144" s="458"/>
      <c r="CH144" s="458"/>
      <c r="CI144" s="459"/>
      <c r="CJ144" s="447"/>
      <c r="CK144" s="458"/>
      <c r="CL144" s="458"/>
      <c r="CM144" s="458"/>
      <c r="CN144" s="459"/>
      <c r="CO144" s="447"/>
      <c r="CP144" s="458"/>
      <c r="CQ144" s="458"/>
      <c r="CR144" s="458"/>
      <c r="CS144" s="459"/>
      <c r="CT144" s="447"/>
      <c r="CU144" s="458"/>
      <c r="CV144" s="458"/>
      <c r="CW144" s="458"/>
      <c r="CX144" s="459"/>
      <c r="CY144" s="447"/>
      <c r="CZ144" s="458"/>
      <c r="DA144" s="458"/>
      <c r="DB144" s="458"/>
      <c r="DC144" s="459"/>
      <c r="DD144" s="447"/>
      <c r="DE144" s="458"/>
      <c r="DF144" s="458"/>
      <c r="DG144" s="458"/>
      <c r="DH144" s="459"/>
      <c r="DI144" s="447"/>
      <c r="DJ144" s="458"/>
      <c r="DK144" s="458"/>
      <c r="DL144" s="458"/>
      <c r="DM144" s="459"/>
      <c r="DN144" s="447"/>
      <c r="DO144" s="458"/>
      <c r="DP144" s="458"/>
      <c r="DQ144" s="458"/>
      <c r="DR144" s="459"/>
      <c r="DS144" s="447"/>
      <c r="DT144" s="458"/>
      <c r="DU144" s="458"/>
      <c r="DV144" s="458"/>
      <c r="DW144" s="459"/>
      <c r="DX144" s="447"/>
      <c r="DY144" s="458"/>
      <c r="DZ144" s="458"/>
      <c r="EA144" s="458"/>
      <c r="EB144" s="459"/>
      <c r="EC144" s="447"/>
      <c r="ED144" s="458"/>
      <c r="EE144" s="458"/>
      <c r="EF144" s="458"/>
      <c r="EG144" s="459"/>
      <c r="EH144" s="447"/>
      <c r="EI144" s="458"/>
      <c r="EJ144" s="458"/>
      <c r="EK144" s="458"/>
      <c r="EL144" s="459"/>
      <c r="EM144" s="1449"/>
      <c r="EN144" s="1449"/>
      <c r="EO144" s="1449"/>
      <c r="EP144" s="1449"/>
      <c r="EQ144" s="524"/>
      <c r="ER144" s="1449">
        <f t="shared" ref="ER144" si="171">ER143/EM143-1</f>
      </c>
      <c r="ES144" s="1449">
        <f t="shared" ref="ES144" si="172">ES143/EN143-1</f>
      </c>
      <c r="ET144" s="1449">
        <f t="shared" ref="ET144" si="173">ET143/EO143-1</f>
      </c>
      <c r="EU144" s="1449">
        <f t="shared" ref="EU144" si="174">EU143/EP143-1</f>
      </c>
      <c r="EV144" s="524">
        <f t="shared" ref="EV144" si="175">EV143/EQ143-1</f>
      </c>
      <c r="EW144" s="1449">
        <f t="shared" ref="EW144:FF144" si="176">EW143/ER143-1</f>
      </c>
      <c r="EX144" s="1449">
        <f t="shared" si="176"/>
      </c>
      <c r="EY144" s="1449">
        <f t="shared" si="176"/>
      </c>
      <c r="EZ144" s="1449">
        <f t="shared" si="176"/>
      </c>
      <c r="FA144" s="524">
        <f t="shared" si="176"/>
      </c>
      <c r="FB144" s="1449">
        <f t="shared" si="176"/>
      </c>
      <c r="FC144" s="1449">
        <f t="shared" si="176"/>
      </c>
      <c r="FD144" s="1449">
        <f t="shared" si="176"/>
      </c>
      <c r="FE144" s="1449">
        <f t="shared" si="176"/>
      </c>
      <c r="FF144" s="524">
        <f t="shared" si="176"/>
      </c>
      <c r="FG144" s="1449">
        <f t="shared" ref="FG144" si="177">FG143/FB143-1</f>
      </c>
      <c r="FH144" s="1449">
        <f t="shared" ref="FH144" si="178">FH143/FC143-1</f>
      </c>
      <c r="FI144" s="1449">
        <f t="shared" ref="FI144" si="179">FI143/FD143-1</f>
      </c>
      <c r="FJ144" s="1449">
        <f t="shared" ref="FJ144" si="180">FJ143/FE143-1</f>
      </c>
      <c r="FK144" s="524">
        <f t="shared" ref="FK144" si="181">FK143/FF143-1</f>
      </c>
      <c r="FL144" s="447"/>
      <c r="FM144" s="458"/>
      <c r="FN144" s="458"/>
      <c r="FO144" s="458"/>
      <c r="FP144" s="459"/>
      <c r="FQ144" s="447"/>
      <c r="FR144" s="458"/>
      <c r="FS144" s="458"/>
      <c r="FT144" s="458"/>
      <c r="FU144" s="459"/>
      <c r="FV144" s="447"/>
      <c r="FW144" s="458"/>
      <c r="FX144" s="458"/>
      <c r="FY144" s="458"/>
      <c r="FZ144" s="459"/>
      <c r="GA144" s="447"/>
      <c r="GB144" s="458"/>
      <c r="GC144" s="458"/>
      <c r="GD144" s="458"/>
      <c r="GE144" s="459"/>
      <c r="GF144" s="447"/>
      <c r="GG144" s="458"/>
      <c r="GH144" s="458"/>
      <c r="GI144" s="458"/>
      <c r="GJ144" s="460"/>
    </row>
    <row r="145" spans="1:192" s="461" customFormat="1" ht="12.75" hidden="1" customHeight="1" outlineLevel="1">
      <c r="A145" s="370"/>
      <c r="B145" s="736" t="s">
        <v>36</v>
      </c>
      <c r="C145" s="447"/>
      <c r="D145" s="458"/>
      <c r="E145" s="458"/>
      <c r="F145" s="458"/>
      <c r="G145" s="459"/>
      <c r="H145" s="447"/>
      <c r="I145" s="458"/>
      <c r="J145" s="458"/>
      <c r="K145" s="458"/>
      <c r="L145" s="459"/>
      <c r="M145" s="447"/>
      <c r="N145" s="458"/>
      <c r="O145" s="458"/>
      <c r="P145" s="458"/>
      <c r="Q145" s="459"/>
      <c r="R145" s="447"/>
      <c r="S145" s="458"/>
      <c r="T145" s="458"/>
      <c r="U145" s="458"/>
      <c r="V145" s="459"/>
      <c r="W145" s="447"/>
      <c r="X145" s="458"/>
      <c r="Y145" s="458"/>
      <c r="Z145" s="458"/>
      <c r="AA145" s="459"/>
      <c r="AB145" s="447"/>
      <c r="AC145" s="458"/>
      <c r="AD145" s="458"/>
      <c r="AE145" s="458"/>
      <c r="AF145" s="459"/>
      <c r="AG145" s="447"/>
      <c r="AH145" s="458"/>
      <c r="AI145" s="458"/>
      <c r="AJ145" s="458"/>
      <c r="AK145" s="459"/>
      <c r="AL145" s="447"/>
      <c r="AM145" s="458"/>
      <c r="AN145" s="458"/>
      <c r="AO145" s="458"/>
      <c r="AP145" s="459"/>
      <c r="AQ145" s="447"/>
      <c r="AR145" s="458"/>
      <c r="AS145" s="458"/>
      <c r="AT145" s="458"/>
      <c r="AU145" s="459"/>
      <c r="AV145" s="447"/>
      <c r="AW145" s="458"/>
      <c r="AX145" s="458"/>
      <c r="AY145" s="458"/>
      <c r="AZ145" s="459"/>
      <c r="BA145" s="447"/>
      <c r="BB145" s="458"/>
      <c r="BC145" s="458"/>
      <c r="BD145" s="458"/>
      <c r="BE145" s="459"/>
      <c r="BF145" s="447"/>
      <c r="BG145" s="458"/>
      <c r="BH145" s="458"/>
      <c r="BI145" s="458"/>
      <c r="BJ145" s="459"/>
      <c r="BK145" s="447"/>
      <c r="BL145" s="458"/>
      <c r="BM145" s="458"/>
      <c r="BN145" s="458"/>
      <c r="BO145" s="459"/>
      <c r="BP145" s="447"/>
      <c r="BQ145" s="458"/>
      <c r="BR145" s="458"/>
      <c r="BS145" s="458"/>
      <c r="BT145" s="459"/>
      <c r="BU145" s="447"/>
      <c r="BV145" s="458"/>
      <c r="BW145" s="458"/>
      <c r="BX145" s="458"/>
      <c r="BY145" s="459"/>
      <c r="BZ145" s="447"/>
      <c r="CA145" s="458"/>
      <c r="CB145" s="458"/>
      <c r="CC145" s="458"/>
      <c r="CD145" s="459"/>
      <c r="CE145" s="447"/>
      <c r="CF145" s="458"/>
      <c r="CG145" s="458"/>
      <c r="CH145" s="458"/>
      <c r="CI145" s="459"/>
      <c r="CJ145" s="447"/>
      <c r="CK145" s="458"/>
      <c r="CL145" s="458"/>
      <c r="CM145" s="458"/>
      <c r="CN145" s="459"/>
      <c r="CO145" s="447"/>
      <c r="CP145" s="458"/>
      <c r="CQ145" s="458"/>
      <c r="CR145" s="458"/>
      <c r="CS145" s="459"/>
      <c r="CT145" s="447"/>
      <c r="CU145" s="458"/>
      <c r="CV145" s="458"/>
      <c r="CW145" s="458"/>
      <c r="CX145" s="459"/>
      <c r="CY145" s="447"/>
      <c r="CZ145" s="458"/>
      <c r="DA145" s="458"/>
      <c r="DB145" s="458"/>
      <c r="DC145" s="459"/>
      <c r="DD145" s="447"/>
      <c r="DE145" s="458"/>
      <c r="DF145" s="458"/>
      <c r="DG145" s="458"/>
      <c r="DH145" s="459"/>
      <c r="DI145" s="447"/>
      <c r="DJ145" s="458"/>
      <c r="DK145" s="458"/>
      <c r="DL145" s="458"/>
      <c r="DM145" s="459"/>
      <c r="DN145" s="447"/>
      <c r="DO145" s="458"/>
      <c r="DP145" s="458"/>
      <c r="DQ145" s="458"/>
      <c r="DR145" s="459"/>
      <c r="DS145" s="447"/>
      <c r="DT145" s="458"/>
      <c r="DU145" s="458"/>
      <c r="DV145" s="458"/>
      <c r="DW145" s="459"/>
      <c r="DX145" s="447"/>
      <c r="DY145" s="458"/>
      <c r="DZ145" s="458"/>
      <c r="EA145" s="458"/>
      <c r="EB145" s="459"/>
      <c r="EC145" s="447"/>
      <c r="ED145" s="458"/>
      <c r="EE145" s="458"/>
      <c r="EF145" s="458"/>
      <c r="EG145" s="459"/>
      <c r="EH145" s="447"/>
      <c r="EI145" s="458"/>
      <c r="EJ145" s="458"/>
      <c r="EK145" s="458"/>
      <c r="EL145" s="459"/>
      <c r="EM145" s="1449"/>
      <c r="EN145" s="1449">
        <f>EN143/EM143-1</f>
      </c>
      <c r="EO145" s="1449">
        <f>EO143/EN143-1</f>
      </c>
      <c r="EP145" s="1449">
        <f>EP143/EO143-1</f>
      </c>
      <c r="EQ145" s="524"/>
      <c r="ER145" s="1449">
        <f>ER143/EP143-1</f>
      </c>
      <c r="ES145" s="1449">
        <f>ES143/ER143-1</f>
      </c>
      <c r="ET145" s="1449">
        <f>ET143/ES143-1</f>
      </c>
      <c r="EU145" s="1449">
        <f>EU143/ET143-1</f>
      </c>
      <c r="EV145" s="524"/>
      <c r="EW145" s="1449">
        <f>EW143/EU143-1</f>
      </c>
      <c r="EX145" s="1449">
        <f>EX143/EW143-1</f>
      </c>
      <c r="EY145" s="1449">
        <f>EY143/EX143-1</f>
      </c>
      <c r="EZ145" s="1449">
        <f>EZ143/EY143-1</f>
      </c>
      <c r="FA145" s="524"/>
      <c r="FB145" s="1449">
        <f>FB143/EZ143-1</f>
      </c>
      <c r="FC145" s="1449">
        <f>FC143/FB143-1</f>
      </c>
      <c r="FD145" s="1449">
        <f>FD143/FC143-1</f>
      </c>
      <c r="FE145" s="1449">
        <f>FE143/FD143-1</f>
      </c>
      <c r="FF145" s="459"/>
      <c r="FG145" s="1449">
        <f>FG143/FE143-1</f>
      </c>
      <c r="FH145" s="1449">
        <f>FH143/FG143-1</f>
      </c>
      <c r="FI145" s="1449">
        <f>FI143/FH143-1</f>
      </c>
      <c r="FJ145" s="1449">
        <f>FJ143/FI143-1</f>
      </c>
      <c r="FK145" s="459"/>
      <c r="FL145" s="447"/>
      <c r="FM145" s="458"/>
      <c r="FN145" s="458"/>
      <c r="FO145" s="458"/>
      <c r="FP145" s="459"/>
      <c r="FQ145" s="447"/>
      <c r="FR145" s="458"/>
      <c r="FS145" s="458"/>
      <c r="FT145" s="458"/>
      <c r="FU145" s="459"/>
      <c r="FV145" s="447"/>
      <c r="FW145" s="458"/>
      <c r="FX145" s="458"/>
      <c r="FY145" s="458"/>
      <c r="FZ145" s="459"/>
      <c r="GA145" s="447"/>
      <c r="GB145" s="458"/>
      <c r="GC145" s="458"/>
      <c r="GD145" s="458"/>
      <c r="GE145" s="459"/>
      <c r="GF145" s="447"/>
      <c r="GG145" s="458"/>
      <c r="GH145" s="458"/>
      <c r="GI145" s="458"/>
      <c r="GJ145" s="460"/>
    </row>
    <row r="146" spans="1:192" ht="12.75" hidden="1" customHeight="1" outlineLevel="1">
      <c r="B146" s="736" t="s">
        <v>243</v>
      </c>
      <c r="C146" s="291"/>
      <c r="D146" s="107"/>
      <c r="E146" s="107"/>
      <c r="F146" s="107"/>
      <c r="G146" s="293"/>
      <c r="H146" s="291"/>
      <c r="I146" s="107"/>
      <c r="J146" s="107"/>
      <c r="K146" s="107"/>
      <c r="L146" s="293"/>
      <c r="M146" s="291"/>
      <c r="N146" s="107"/>
      <c r="O146" s="107"/>
      <c r="P146" s="107"/>
      <c r="Q146" s="293"/>
      <c r="R146" s="291"/>
      <c r="S146" s="107"/>
      <c r="T146" s="107"/>
      <c r="U146" s="107"/>
      <c r="V146" s="293"/>
      <c r="W146" s="291"/>
      <c r="X146" s="107"/>
      <c r="Y146" s="107"/>
      <c r="Z146" s="107"/>
      <c r="AA146" s="293"/>
      <c r="AB146" s="291"/>
      <c r="AC146" s="107"/>
      <c r="AD146" s="107"/>
      <c r="AE146" s="107"/>
      <c r="AF146" s="293"/>
      <c r="AG146" s="291"/>
      <c r="AH146" s="107"/>
      <c r="AI146" s="107"/>
      <c r="AJ146" s="107"/>
      <c r="AK146" s="293"/>
      <c r="AL146" s="291"/>
      <c r="AM146" s="107"/>
      <c r="AN146" s="107"/>
      <c r="AO146" s="107"/>
      <c r="AP146" s="293"/>
      <c r="AQ146" s="291"/>
      <c r="AR146" s="107"/>
      <c r="AS146" s="107"/>
      <c r="AT146" s="107"/>
      <c r="AU146" s="293"/>
      <c r="AV146" s="291"/>
      <c r="AW146" s="107"/>
      <c r="AX146" s="107"/>
      <c r="AY146" s="107"/>
      <c r="AZ146" s="293"/>
      <c r="BA146" s="291"/>
      <c r="BB146" s="107"/>
      <c r="BC146" s="107"/>
      <c r="BD146" s="107"/>
      <c r="BE146" s="293"/>
      <c r="BF146" s="291"/>
      <c r="BG146" s="107"/>
      <c r="BH146" s="107"/>
      <c r="BI146" s="107"/>
      <c r="BJ146" s="293"/>
      <c r="BK146" s="291"/>
      <c r="BL146" s="107"/>
      <c r="BM146" s="107"/>
      <c r="BN146" s="107"/>
      <c r="BO146" s="293"/>
      <c r="BP146" s="291"/>
      <c r="BQ146" s="107"/>
      <c r="BR146" s="107"/>
      <c r="BS146" s="107"/>
      <c r="BT146" s="293"/>
      <c r="BU146" s="291"/>
      <c r="BV146" s="107"/>
      <c r="BW146" s="107"/>
      <c r="BX146" s="107"/>
      <c r="BY146" s="293"/>
      <c r="BZ146" s="291"/>
      <c r="CA146" s="107"/>
      <c r="CB146" s="107"/>
      <c r="CC146" s="107"/>
      <c r="CD146" s="293"/>
      <c r="CE146" s="291"/>
      <c r="CF146" s="107"/>
      <c r="CG146" s="107"/>
      <c r="CH146" s="107"/>
      <c r="CI146" s="293"/>
      <c r="CJ146" s="291"/>
      <c r="CK146" s="107"/>
      <c r="CL146" s="107"/>
      <c r="CM146" s="107"/>
      <c r="CN146" s="293"/>
      <c r="CO146" s="447"/>
      <c r="CP146" s="447"/>
      <c r="CQ146" s="447"/>
      <c r="CR146" s="458"/>
      <c r="CS146" s="466"/>
      <c r="CT146" s="447"/>
      <c r="CU146" s="447"/>
      <c r="CV146" s="447"/>
      <c r="CW146" s="458"/>
      <c r="CX146" s="466"/>
      <c r="CY146" s="447"/>
      <c r="CZ146" s="447"/>
      <c r="DA146" s="447"/>
      <c r="DB146" s="458"/>
      <c r="DC146" s="466"/>
      <c r="DD146" s="447"/>
      <c r="DE146" s="447"/>
      <c r="DF146" s="447"/>
      <c r="DG146" s="458"/>
      <c r="DH146" s="466"/>
      <c r="DI146" s="447"/>
      <c r="DJ146" s="447"/>
      <c r="DK146" s="447"/>
      <c r="DL146" s="458"/>
      <c r="DM146" s="466"/>
      <c r="DN146" s="447"/>
      <c r="DO146" s="447"/>
      <c r="DP146" s="447"/>
      <c r="DQ146" s="458"/>
      <c r="DR146" s="466"/>
      <c r="DS146" s="447"/>
      <c r="DT146" s="447"/>
      <c r="DU146" s="447"/>
      <c r="DV146" s="458"/>
      <c r="DW146" s="466"/>
      <c r="DX146" s="447"/>
      <c r="DY146" s="447"/>
      <c r="DZ146" s="447"/>
      <c r="EA146" s="458"/>
      <c r="EB146" s="466"/>
      <c r="EC146" s="511"/>
      <c r="ED146" s="511"/>
      <c r="EE146" s="511"/>
      <c r="EF146" s="679"/>
      <c r="EG146" s="466"/>
      <c r="EH146" s="447"/>
      <c r="EI146" s="447"/>
      <c r="EJ146" s="447"/>
      <c r="EK146" s="458"/>
      <c r="EL146" s="466"/>
      <c r="EM146" s="447"/>
      <c r="EN146" s="447"/>
      <c r="EO146" s="447"/>
      <c r="EP146" s="458"/>
      <c r="EQ146" s="466"/>
      <c r="ER146" s="447">
        <f t="shared" ref="ER146" si="182">ER143-EM143</f>
      </c>
      <c r="ES146" s="447">
        <f t="shared" ref="ES146" si="183">ES143-EN143</f>
      </c>
      <c r="ET146" s="447">
        <f t="shared" ref="ET146" si="184">ET143-EO143</f>
      </c>
      <c r="EU146" s="458">
        <f t="shared" ref="EU146" si="185">EU143-EP143</f>
      </c>
      <c r="EV146" s="466">
        <f t="shared" ref="EV146" si="186">EV143-EQ143</f>
      </c>
      <c r="EW146" s="447">
        <f t="shared" ref="EW146:FF146" si="187">EW143-ER143</f>
      </c>
      <c r="EX146" s="447">
        <f t="shared" si="187"/>
      </c>
      <c r="EY146" s="447">
        <f t="shared" si="187"/>
      </c>
      <c r="EZ146" s="458">
        <f t="shared" si="187"/>
      </c>
      <c r="FA146" s="466">
        <f t="shared" si="187"/>
      </c>
      <c r="FB146" s="447">
        <f t="shared" si="187"/>
      </c>
      <c r="FC146" s="447">
        <f t="shared" si="187"/>
      </c>
      <c r="FD146" s="447">
        <f t="shared" si="187"/>
      </c>
      <c r="FE146" s="458">
        <f t="shared" si="187"/>
      </c>
      <c r="FF146" s="466">
        <f t="shared" si="187"/>
      </c>
      <c r="FG146" s="447">
        <f t="shared" ref="FG146" si="188">FG143-FB143</f>
      </c>
      <c r="FH146" s="447">
        <f t="shared" ref="FH146" si="189">FH143-FC143</f>
      </c>
      <c r="FI146" s="447">
        <f t="shared" ref="FI146" si="190">FI143-FD143</f>
      </c>
      <c r="FJ146" s="458">
        <f t="shared" ref="FJ146" si="191">FJ143-FE143</f>
      </c>
      <c r="FK146" s="466">
        <f t="shared" ref="FK146" si="192">FK143-FF143</f>
      </c>
      <c r="FL146" s="447"/>
      <c r="FM146" s="447"/>
      <c r="FN146" s="447"/>
      <c r="FO146" s="458"/>
      <c r="FP146" s="466"/>
      <c r="FQ146" s="447"/>
      <c r="FR146" s="447"/>
      <c r="FS146" s="447"/>
      <c r="FT146" s="458"/>
      <c r="FU146" s="466"/>
      <c r="FV146" s="447"/>
      <c r="FW146" s="447"/>
      <c r="FX146" s="447"/>
      <c r="FY146" s="458"/>
      <c r="FZ146" s="466"/>
      <c r="GA146" s="447"/>
      <c r="GB146" s="458"/>
      <c r="GC146" s="458"/>
      <c r="GD146" s="458"/>
      <c r="GE146" s="466"/>
      <c r="GF146" s="447"/>
      <c r="GG146" s="458"/>
      <c r="GH146" s="458"/>
      <c r="GI146" s="458"/>
      <c r="GJ146" s="460"/>
    </row>
    <row r="147" spans="1:192" ht="12.75" hidden="1" customHeight="1" outlineLevel="1">
      <c r="B147" s="736" t="s">
        <v>244</v>
      </c>
      <c r="C147" s="291"/>
      <c r="D147" s="107"/>
      <c r="E147" s="107"/>
      <c r="F147" s="107"/>
      <c r="G147" s="293"/>
      <c r="H147" s="291"/>
      <c r="I147" s="107"/>
      <c r="J147" s="107"/>
      <c r="K147" s="107"/>
      <c r="L147" s="293"/>
      <c r="M147" s="291"/>
      <c r="N147" s="107"/>
      <c r="O147" s="107"/>
      <c r="P147" s="107"/>
      <c r="Q147" s="293"/>
      <c r="R147" s="291"/>
      <c r="S147" s="107"/>
      <c r="T147" s="107"/>
      <c r="U147" s="107"/>
      <c r="V147" s="293"/>
      <c r="W147" s="291"/>
      <c r="X147" s="107"/>
      <c r="Y147" s="107"/>
      <c r="Z147" s="107"/>
      <c r="AA147" s="293"/>
      <c r="AB147" s="291"/>
      <c r="AC147" s="107"/>
      <c r="AD147" s="107"/>
      <c r="AE147" s="107"/>
      <c r="AF147" s="293"/>
      <c r="AG147" s="291"/>
      <c r="AH147" s="107"/>
      <c r="AI147" s="107"/>
      <c r="AJ147" s="107"/>
      <c r="AK147" s="293"/>
      <c r="AL147" s="291"/>
      <c r="AM147" s="107"/>
      <c r="AN147" s="107"/>
      <c r="AO147" s="107"/>
      <c r="AP147" s="293"/>
      <c r="AQ147" s="291"/>
      <c r="AR147" s="107"/>
      <c r="AS147" s="107"/>
      <c r="AT147" s="107"/>
      <c r="AU147" s="293"/>
      <c r="AV147" s="291"/>
      <c r="AW147" s="107"/>
      <c r="AX147" s="107"/>
      <c r="AY147" s="107"/>
      <c r="AZ147" s="293"/>
      <c r="BA147" s="291"/>
      <c r="BB147" s="107"/>
      <c r="BC147" s="107"/>
      <c r="BD147" s="107"/>
      <c r="BE147" s="293"/>
      <c r="BF147" s="291"/>
      <c r="BG147" s="107"/>
      <c r="BH147" s="107"/>
      <c r="BI147" s="107"/>
      <c r="BJ147" s="293"/>
      <c r="BK147" s="291"/>
      <c r="BL147" s="107"/>
      <c r="BM147" s="107"/>
      <c r="BN147" s="107"/>
      <c r="BO147" s="293"/>
      <c r="BP147" s="291"/>
      <c r="BQ147" s="107"/>
      <c r="BR147" s="107"/>
      <c r="BS147" s="107"/>
      <c r="BT147" s="293"/>
      <c r="BU147" s="291"/>
      <c r="BV147" s="107"/>
      <c r="BW147" s="107"/>
      <c r="BX147" s="107"/>
      <c r="BY147" s="293"/>
      <c r="BZ147" s="291"/>
      <c r="CA147" s="107"/>
      <c r="CB147" s="107"/>
      <c r="CC147" s="107"/>
      <c r="CD147" s="293"/>
      <c r="CE147" s="291"/>
      <c r="CF147" s="107"/>
      <c r="CG147" s="107"/>
      <c r="CH147" s="107"/>
      <c r="CI147" s="293"/>
      <c r="CJ147" s="291"/>
      <c r="CK147" s="107"/>
      <c r="CL147" s="107"/>
      <c r="CM147" s="107"/>
      <c r="CN147" s="293"/>
      <c r="CO147" s="447"/>
      <c r="CP147" s="447"/>
      <c r="CQ147" s="447"/>
      <c r="CR147" s="447"/>
      <c r="CS147" s="293"/>
      <c r="CT147" s="447"/>
      <c r="CU147" s="447"/>
      <c r="CV147" s="447"/>
      <c r="CW147" s="447"/>
      <c r="CX147" s="293"/>
      <c r="CY147" s="447"/>
      <c r="CZ147" s="447"/>
      <c r="DA147" s="447"/>
      <c r="DB147" s="447"/>
      <c r="DC147" s="293"/>
      <c r="DD147" s="447"/>
      <c r="DE147" s="447"/>
      <c r="DF147" s="447"/>
      <c r="DG147" s="447"/>
      <c r="DH147" s="293"/>
      <c r="DI147" s="447"/>
      <c r="DJ147" s="447"/>
      <c r="DK147" s="447"/>
      <c r="DL147" s="447"/>
      <c r="DM147" s="293"/>
      <c r="DN147" s="447"/>
      <c r="DO147" s="447"/>
      <c r="DP147" s="447"/>
      <c r="DQ147" s="447"/>
      <c r="DR147" s="293"/>
      <c r="DS147" s="447"/>
      <c r="DT147" s="447"/>
      <c r="DU147" s="447"/>
      <c r="DV147" s="447"/>
      <c r="DW147" s="293"/>
      <c r="DX147" s="447"/>
      <c r="DY147" s="447"/>
      <c r="DZ147" s="447"/>
      <c r="EA147" s="447"/>
      <c r="EB147" s="293"/>
      <c r="EC147" s="511"/>
      <c r="ED147" s="511"/>
      <c r="EE147" s="511"/>
      <c r="EF147" s="511"/>
      <c r="EG147" s="293"/>
      <c r="EH147" s="447"/>
      <c r="EI147" s="447"/>
      <c r="EJ147" s="447"/>
      <c r="EK147" s="447"/>
      <c r="EL147" s="293"/>
      <c r="EM147" s="447"/>
      <c r="EN147" s="447">
        <f>EN143-EM143</f>
      </c>
      <c r="EO147" s="447">
        <f>EO143-EN143</f>
      </c>
      <c r="EP147" s="447">
        <f>EP143-EO143</f>
      </c>
      <c r="EQ147" s="293"/>
      <c r="ER147" s="447">
        <f>ER143-EP143</f>
      </c>
      <c r="ES147" s="447">
        <f>ES143-ER143</f>
      </c>
      <c r="ET147" s="447">
        <f>ET143-ES143</f>
      </c>
      <c r="EU147" s="447">
        <f>EU143-ET143</f>
      </c>
      <c r="EV147" s="293"/>
      <c r="EW147" s="447">
        <f>EW143-EU143</f>
      </c>
      <c r="EX147" s="447">
        <f>EX143-EW143</f>
      </c>
      <c r="EY147" s="447">
        <f>EY143-EX143</f>
      </c>
      <c r="EZ147" s="447">
        <f>EZ143-EY143</f>
      </c>
      <c r="FA147" s="293"/>
      <c r="FB147" s="447">
        <f>FB143-EZ143</f>
      </c>
      <c r="FC147" s="447">
        <f>FC143-FB143</f>
      </c>
      <c r="FD147" s="447">
        <f>FD143-FC143</f>
      </c>
      <c r="FE147" s="447">
        <f>FE143-FD143</f>
      </c>
      <c r="FF147" s="293"/>
      <c r="FG147" s="447">
        <f>FG143-FE143</f>
      </c>
      <c r="FH147" s="447">
        <f>FH143-FG143</f>
      </c>
      <c r="FI147" s="447">
        <f>FI143-FH143</f>
      </c>
      <c r="FJ147" s="447">
        <f>FJ143-FI143</f>
      </c>
      <c r="FK147" s="293"/>
      <c r="FL147" s="447"/>
      <c r="FM147" s="447"/>
      <c r="FN147" s="447"/>
      <c r="FO147" s="447"/>
      <c r="FP147" s="293"/>
      <c r="FQ147" s="447"/>
      <c r="FR147" s="447"/>
      <c r="FS147" s="447"/>
      <c r="FT147" s="447"/>
      <c r="FU147" s="293"/>
      <c r="FV147" s="447"/>
      <c r="FW147" s="447"/>
      <c r="FX147" s="447"/>
      <c r="FY147" s="447"/>
      <c r="FZ147" s="293"/>
      <c r="GA147" s="447"/>
      <c r="GB147" s="458"/>
      <c r="GC147" s="458"/>
      <c r="GD147" s="458"/>
      <c r="GE147" s="293"/>
      <c r="GF147" s="447"/>
      <c r="GG147" s="458"/>
      <c r="GH147" s="458"/>
      <c r="GI147" s="458"/>
      <c r="GJ147" s="460"/>
    </row>
    <row r="148" spans="1:192" s="1200" customFormat="1" ht="12.75" hidden="1" customHeight="1" outlineLevel="1">
      <c r="A148" s="1272"/>
      <c r="B148" s="736" t="s">
        <v>1919</v>
      </c>
      <c r="C148" s="892"/>
      <c r="D148" s="924"/>
      <c r="E148" s="924"/>
      <c r="F148" s="924"/>
      <c r="G148" s="893"/>
      <c r="H148" s="892"/>
      <c r="I148" s="924"/>
      <c r="J148" s="924"/>
      <c r="K148" s="924"/>
      <c r="L148" s="893"/>
      <c r="M148" s="892"/>
      <c r="N148" s="924"/>
      <c r="O148" s="924"/>
      <c r="P148" s="924"/>
      <c r="Q148" s="893"/>
      <c r="R148" s="892"/>
      <c r="S148" s="924"/>
      <c r="T148" s="924"/>
      <c r="U148" s="924"/>
      <c r="V148" s="893"/>
      <c r="W148" s="892"/>
      <c r="X148" s="924"/>
      <c r="Y148" s="924"/>
      <c r="Z148" s="924"/>
      <c r="AA148" s="893"/>
      <c r="AB148" s="892"/>
      <c r="AC148" s="924"/>
      <c r="AD148" s="924"/>
      <c r="AE148" s="924"/>
      <c r="AF148" s="893"/>
      <c r="AG148" s="892"/>
      <c r="AH148" s="924"/>
      <c r="AI148" s="924"/>
      <c r="AJ148" s="924"/>
      <c r="AK148" s="893"/>
      <c r="AL148" s="892"/>
      <c r="AM148" s="924"/>
      <c r="AN148" s="924"/>
      <c r="AO148" s="924"/>
      <c r="AP148" s="893"/>
      <c r="AQ148" s="892"/>
      <c r="AR148" s="924"/>
      <c r="AS148" s="924"/>
      <c r="AT148" s="924"/>
      <c r="AU148" s="893"/>
      <c r="AV148" s="892"/>
      <c r="AW148" s="924"/>
      <c r="AX148" s="924"/>
      <c r="AY148" s="924"/>
      <c r="AZ148" s="893"/>
      <c r="BA148" s="892"/>
      <c r="BB148" s="924"/>
      <c r="BC148" s="924"/>
      <c r="BD148" s="924"/>
      <c r="BE148" s="893"/>
      <c r="BF148" s="892"/>
      <c r="BG148" s="924"/>
      <c r="BH148" s="924"/>
      <c r="BI148" s="924"/>
      <c r="BJ148" s="893"/>
      <c r="BK148" s="892"/>
      <c r="BL148" s="924"/>
      <c r="BM148" s="924"/>
      <c r="BN148" s="924"/>
      <c r="BO148" s="893"/>
      <c r="BP148" s="892"/>
      <c r="BQ148" s="924"/>
      <c r="BR148" s="924"/>
      <c r="BS148" s="924"/>
      <c r="BT148" s="893"/>
      <c r="BU148" s="892"/>
      <c r="BV148" s="924"/>
      <c r="BW148" s="924"/>
      <c r="BX148" s="924"/>
      <c r="BY148" s="893"/>
      <c r="BZ148" s="892"/>
      <c r="CA148" s="924"/>
      <c r="CB148" s="924"/>
      <c r="CC148" s="924"/>
      <c r="CD148" s="893"/>
      <c r="CE148" s="892"/>
      <c r="CF148" s="924"/>
      <c r="CG148" s="924"/>
      <c r="CH148" s="924"/>
      <c r="CI148" s="893"/>
      <c r="CJ148" s="892"/>
      <c r="CK148" s="924"/>
      <c r="CL148" s="924"/>
      <c r="CM148" s="924"/>
      <c r="CN148" s="893"/>
      <c r="CO148" s="892"/>
      <c r="CP148" s="924"/>
      <c r="CQ148" s="924"/>
      <c r="CR148" s="924"/>
      <c r="CS148" s="893"/>
      <c r="CT148" s="892"/>
      <c r="CU148" s="924"/>
      <c r="CV148" s="924"/>
      <c r="CW148" s="924"/>
      <c r="CX148" s="893"/>
      <c r="CY148" s="892"/>
      <c r="CZ148" s="924"/>
      <c r="DA148" s="924"/>
      <c r="DB148" s="924"/>
      <c r="DC148" s="893"/>
      <c r="DD148" s="892"/>
      <c r="DE148" s="924"/>
      <c r="DF148" s="924"/>
      <c r="DG148" s="924"/>
      <c r="DH148" s="893"/>
      <c r="DI148" s="892"/>
      <c r="DJ148" s="924"/>
      <c r="DK148" s="924"/>
      <c r="DL148" s="924"/>
      <c r="DM148" s="893"/>
      <c r="DN148" s="892"/>
      <c r="DO148" s="924"/>
      <c r="DP148" s="924"/>
      <c r="DQ148" s="924"/>
      <c r="DR148" s="893"/>
      <c r="DS148" s="892"/>
      <c r="DT148" s="924"/>
      <c r="DU148" s="924"/>
      <c r="DV148" s="924"/>
      <c r="DW148" s="893"/>
      <c r="DX148" s="892"/>
      <c r="DY148" s="924"/>
      <c r="DZ148" s="924"/>
      <c r="EA148" s="924"/>
      <c r="EB148" s="893"/>
      <c r="EC148" s="892"/>
      <c r="ED148" s="924"/>
      <c r="EE148" s="924"/>
      <c r="EF148" s="924"/>
      <c r="EG148" s="893"/>
      <c r="EH148" s="892"/>
      <c r="EI148" s="924"/>
      <c r="EJ148" s="924"/>
      <c r="EK148" s="924"/>
      <c r="EL148" s="893"/>
      <c r="EM148" s="892"/>
      <c r="EN148" s="924"/>
      <c r="EO148" s="924"/>
      <c r="EP148" s="924">
        <f t="shared" ref="EP148:EQ148" si="193">EP143/EP$108</f>
      </c>
      <c r="EQ148" s="893">
        <f t="shared" si="193"/>
      </c>
      <c r="ER148" s="892">
        <f t="shared" ref="ER148:EV148" si="194">ER143/ER$108</f>
      </c>
      <c r="ES148" s="924">
        <f t="shared" si="194"/>
      </c>
      <c r="ET148" s="924">
        <f t="shared" si="194"/>
      </c>
      <c r="EU148" s="924">
        <f t="shared" si="194"/>
      </c>
      <c r="EV148" s="893">
        <f t="shared" si="194"/>
      </c>
      <c r="EW148" s="892">
        <f t="shared" ref="EW148:FF148" si="195">EW143/EW$108</f>
      </c>
      <c r="EX148" s="924">
        <f t="shared" si="195"/>
      </c>
      <c r="EY148" s="1356">
        <f t="shared" ref="EY148:FA148" si="196">EY143/EY$108</f>
      </c>
      <c r="EZ148" s="924">
        <f t="shared" si="196"/>
      </c>
      <c r="FA148" s="893">
        <f t="shared" si="196"/>
      </c>
      <c r="FB148" s="924">
        <f t="shared" si="195"/>
      </c>
      <c r="FC148" s="924">
        <f t="shared" si="195"/>
      </c>
      <c r="FD148" s="924">
        <f t="shared" si="195"/>
      </c>
      <c r="FE148" s="924">
        <f t="shared" si="195"/>
      </c>
      <c r="FF148" s="893">
        <f t="shared" si="195"/>
      </c>
      <c r="FG148" s="924">
        <f t="shared" ref="FG148:FK148" si="197">FG143/FG$108</f>
      </c>
      <c r="FH148" s="924">
        <f t="shared" si="197"/>
      </c>
      <c r="FI148" s="924">
        <f t="shared" si="197"/>
      </c>
      <c r="FJ148" s="924">
        <f t="shared" si="197"/>
      </c>
      <c r="FK148" s="893">
        <f t="shared" si="197"/>
      </c>
      <c r="FL148" s="892"/>
      <c r="FM148" s="924"/>
      <c r="FN148" s="924"/>
      <c r="FO148" s="924"/>
      <c r="FP148" s="893"/>
      <c r="FQ148" s="892"/>
      <c r="FR148" s="924"/>
      <c r="FS148" s="924"/>
      <c r="FT148" s="924"/>
      <c r="FU148" s="893"/>
      <c r="FV148" s="892"/>
      <c r="FW148" s="924"/>
      <c r="FX148" s="924"/>
      <c r="FY148" s="924"/>
      <c r="FZ148" s="893"/>
      <c r="GA148" s="892"/>
      <c r="GB148" s="924"/>
      <c r="GC148" s="924"/>
      <c r="GD148" s="924"/>
      <c r="GE148" s="893"/>
      <c r="GF148" s="892"/>
      <c r="GG148" s="924"/>
      <c r="GH148" s="924"/>
      <c r="GI148" s="924"/>
      <c r="GJ148" s="1199"/>
    </row>
    <row r="149" spans="1:192" s="1200" customFormat="1" ht="12.75" hidden="1" customHeight="1" outlineLevel="1">
      <c r="A149" s="1272"/>
      <c r="B149" s="736" t="s">
        <v>257</v>
      </c>
      <c r="C149" s="892"/>
      <c r="D149" s="924"/>
      <c r="E149" s="924"/>
      <c r="F149" s="924"/>
      <c r="G149" s="893"/>
      <c r="H149" s="892"/>
      <c r="I149" s="924"/>
      <c r="J149" s="924"/>
      <c r="K149" s="924"/>
      <c r="L149" s="893"/>
      <c r="M149" s="892"/>
      <c r="N149" s="924"/>
      <c r="O149" s="924"/>
      <c r="P149" s="924"/>
      <c r="Q149" s="893"/>
      <c r="R149" s="892"/>
      <c r="S149" s="924"/>
      <c r="T149" s="924"/>
      <c r="U149" s="924"/>
      <c r="V149" s="893"/>
      <c r="W149" s="892"/>
      <c r="X149" s="924"/>
      <c r="Y149" s="924"/>
      <c r="Z149" s="924"/>
      <c r="AA149" s="893"/>
      <c r="AB149" s="892"/>
      <c r="AC149" s="924"/>
      <c r="AD149" s="924"/>
      <c r="AE149" s="924"/>
      <c r="AF149" s="893"/>
      <c r="AG149" s="892"/>
      <c r="AH149" s="924"/>
      <c r="AI149" s="924"/>
      <c r="AJ149" s="924"/>
      <c r="AK149" s="893"/>
      <c r="AL149" s="892"/>
      <c r="AM149" s="924"/>
      <c r="AN149" s="924"/>
      <c r="AO149" s="924"/>
      <c r="AP149" s="893"/>
      <c r="AQ149" s="892"/>
      <c r="AR149" s="924"/>
      <c r="AS149" s="924"/>
      <c r="AT149" s="924"/>
      <c r="AU149" s="893"/>
      <c r="AV149" s="892"/>
      <c r="AW149" s="924"/>
      <c r="AX149" s="924"/>
      <c r="AY149" s="924"/>
      <c r="AZ149" s="893"/>
      <c r="BA149" s="892"/>
      <c r="BB149" s="924"/>
      <c r="BC149" s="924"/>
      <c r="BD149" s="924"/>
      <c r="BE149" s="893"/>
      <c r="BF149" s="892"/>
      <c r="BG149" s="924"/>
      <c r="BH149" s="924"/>
      <c r="BI149" s="924"/>
      <c r="BJ149" s="893"/>
      <c r="BK149" s="892"/>
      <c r="BL149" s="924"/>
      <c r="BM149" s="924"/>
      <c r="BN149" s="924"/>
      <c r="BO149" s="893"/>
      <c r="BP149" s="892"/>
      <c r="BQ149" s="924"/>
      <c r="BR149" s="924"/>
      <c r="BS149" s="924"/>
      <c r="BT149" s="893"/>
      <c r="BU149" s="892"/>
      <c r="BV149" s="924"/>
      <c r="BW149" s="924"/>
      <c r="BX149" s="924"/>
      <c r="BY149" s="893"/>
      <c r="BZ149" s="892"/>
      <c r="CA149" s="924"/>
      <c r="CB149" s="924"/>
      <c r="CC149" s="924"/>
      <c r="CD149" s="893"/>
      <c r="CE149" s="892"/>
      <c r="CF149" s="924"/>
      <c r="CG149" s="924"/>
      <c r="CH149" s="924"/>
      <c r="CI149" s="893"/>
      <c r="CJ149" s="892"/>
      <c r="CK149" s="924"/>
      <c r="CL149" s="924"/>
      <c r="CM149" s="924"/>
      <c r="CN149" s="893"/>
      <c r="CO149" s="892"/>
      <c r="CP149" s="924"/>
      <c r="CQ149" s="924"/>
      <c r="CR149" s="924"/>
      <c r="CS149" s="893"/>
      <c r="CT149" s="892"/>
      <c r="CU149" s="924"/>
      <c r="CV149" s="924"/>
      <c r="CW149" s="924"/>
      <c r="CX149" s="893"/>
      <c r="CY149" s="892"/>
      <c r="CZ149" s="924"/>
      <c r="DA149" s="924"/>
      <c r="DB149" s="924"/>
      <c r="DC149" s="893"/>
      <c r="DD149" s="892"/>
      <c r="DE149" s="924"/>
      <c r="DF149" s="924"/>
      <c r="DG149" s="924"/>
      <c r="DH149" s="893"/>
      <c r="DI149" s="892"/>
      <c r="DJ149" s="924"/>
      <c r="DK149" s="924"/>
      <c r="DL149" s="924"/>
      <c r="DM149" s="893"/>
      <c r="DN149" s="892"/>
      <c r="DO149" s="924"/>
      <c r="DP149" s="924"/>
      <c r="DQ149" s="924"/>
      <c r="DR149" s="893"/>
      <c r="DS149" s="892"/>
      <c r="DT149" s="924"/>
      <c r="DU149" s="924"/>
      <c r="DV149" s="924"/>
      <c r="DW149" s="893"/>
      <c r="DX149" s="892"/>
      <c r="DY149" s="924"/>
      <c r="DZ149" s="924"/>
      <c r="EA149" s="924"/>
      <c r="EB149" s="893"/>
      <c r="EC149" s="892"/>
      <c r="ED149" s="924"/>
      <c r="EE149" s="924"/>
      <c r="EF149" s="924"/>
      <c r="EG149" s="893"/>
      <c r="EH149" s="892"/>
      <c r="EI149" s="924"/>
      <c r="EJ149" s="924"/>
      <c r="EK149" s="924"/>
      <c r="EL149" s="893"/>
      <c r="EM149" s="892">
        <f>EM143/IS!EM$24</f>
      </c>
      <c r="EN149" s="924">
        <f>EN143/IS!EN$24</f>
      </c>
      <c r="EO149" s="924">
        <f>EO143/IS!EO$24</f>
      </c>
      <c r="EP149" s="924">
        <f>EP143/IS!EP$24</f>
      </c>
      <c r="EQ149" s="893">
        <f>EQ143/IS!EQ$24</f>
      </c>
      <c r="ER149" s="892">
        <f>ER143/IS!ER$24</f>
      </c>
      <c r="ES149" s="924">
        <f>ES143/IS!ES$24</f>
      </c>
      <c r="ET149" s="924">
        <f>ET143/IS!ET$24</f>
      </c>
      <c r="EU149" s="924">
        <f>EU143/IS!EU$24</f>
      </c>
      <c r="EV149" s="893">
        <f>EV143/IS!EV$24</f>
      </c>
      <c r="EW149" s="892">
        <f>EW143/IS!EW$24</f>
      </c>
      <c r="EX149" s="924">
        <f>EX143/IS!EX$24</f>
      </c>
      <c r="EY149" s="1356">
        <f>EY143/IS!EY$24</f>
      </c>
      <c r="EZ149" s="924">
        <f>EZ143/IS!EZ$24</f>
      </c>
      <c r="FA149" s="893">
        <f>FA143/IS!FA$24</f>
      </c>
      <c r="FB149" s="924">
        <f>FB143/IS!FB$24</f>
      </c>
      <c r="FC149" s="924">
        <f>FC143/IS!FC$24</f>
      </c>
      <c r="FD149" s="924">
        <f>FD143/IS!FD$24</f>
      </c>
      <c r="FE149" s="924">
        <f>FE143/IS!FE$24</f>
      </c>
      <c r="FF149" s="893">
        <f>FF143/IS!FF$24</f>
      </c>
      <c r="FG149" s="924">
        <f>FG143/IS!FG$24</f>
      </c>
      <c r="FH149" s="924">
        <f>FH143/IS!FH$24</f>
      </c>
      <c r="FI149" s="924">
        <f>FI143/IS!FI$24</f>
      </c>
      <c r="FJ149" s="924">
        <f>FJ143/IS!FJ$24</f>
      </c>
      <c r="FK149" s="893">
        <f>FK143/IS!FK$24</f>
      </c>
      <c r="FL149" s="892"/>
      <c r="FM149" s="924"/>
      <c r="FN149" s="924"/>
      <c r="FO149" s="924"/>
      <c r="FP149" s="893"/>
      <c r="FQ149" s="892"/>
      <c r="FR149" s="924"/>
      <c r="FS149" s="924"/>
      <c r="FT149" s="924"/>
      <c r="FU149" s="893"/>
      <c r="FV149" s="892"/>
      <c r="FW149" s="924"/>
      <c r="FX149" s="924"/>
      <c r="FY149" s="924"/>
      <c r="FZ149" s="893"/>
      <c r="GA149" s="892"/>
      <c r="GB149" s="924"/>
      <c r="GC149" s="924"/>
      <c r="GD149" s="924"/>
      <c r="GE149" s="893"/>
      <c r="GF149" s="892"/>
      <c r="GG149" s="924"/>
      <c r="GH149" s="924"/>
      <c r="GI149" s="924"/>
      <c r="GJ149" s="1199"/>
    </row>
    <row r="150" spans="1:192" ht="12.75" customHeight="1" collapsed="1">
      <c r="B150" s="736"/>
      <c r="C150" s="291"/>
      <c r="D150" s="107"/>
      <c r="E150" s="107"/>
      <c r="F150" s="107"/>
      <c r="G150" s="293"/>
      <c r="H150" s="291"/>
      <c r="I150" s="107"/>
      <c r="J150" s="107"/>
      <c r="K150" s="107"/>
      <c r="L150" s="293"/>
      <c r="M150" s="291"/>
      <c r="N150" s="107"/>
      <c r="O150" s="107"/>
      <c r="P150" s="107"/>
      <c r="Q150" s="293"/>
      <c r="R150" s="291"/>
      <c r="S150" s="107"/>
      <c r="T150" s="107"/>
      <c r="U150" s="107"/>
      <c r="V150" s="293"/>
      <c r="W150" s="291"/>
      <c r="X150" s="107"/>
      <c r="Y150" s="107"/>
      <c r="Z150" s="107"/>
      <c r="AA150" s="293"/>
      <c r="AB150" s="291"/>
      <c r="AC150" s="107"/>
      <c r="AD150" s="107"/>
      <c r="AE150" s="107"/>
      <c r="AF150" s="293"/>
      <c r="AG150" s="291"/>
      <c r="AH150" s="107"/>
      <c r="AI150" s="107"/>
      <c r="AJ150" s="107"/>
      <c r="AK150" s="293"/>
      <c r="AL150" s="291"/>
      <c r="AM150" s="107"/>
      <c r="AN150" s="107"/>
      <c r="AO150" s="107"/>
      <c r="AP150" s="293"/>
      <c r="AQ150" s="291"/>
      <c r="AR150" s="107"/>
      <c r="AS150" s="107"/>
      <c r="AT150" s="107"/>
      <c r="AU150" s="293"/>
      <c r="AV150" s="291"/>
      <c r="AW150" s="107"/>
      <c r="AX150" s="107"/>
      <c r="AY150" s="107"/>
      <c r="AZ150" s="293"/>
      <c r="BA150" s="291"/>
      <c r="BB150" s="107"/>
      <c r="BC150" s="107"/>
      <c r="BD150" s="107"/>
      <c r="BE150" s="293"/>
      <c r="BF150" s="291"/>
      <c r="BG150" s="107"/>
      <c r="BH150" s="107"/>
      <c r="BI150" s="107"/>
      <c r="BJ150" s="293"/>
      <c r="BK150" s="291"/>
      <c r="BL150" s="107"/>
      <c r="BM150" s="107"/>
      <c r="BN150" s="107"/>
      <c r="BO150" s="293"/>
      <c r="BP150" s="291"/>
      <c r="BQ150" s="107"/>
      <c r="BR150" s="107"/>
      <c r="BS150" s="107"/>
      <c r="BT150" s="293"/>
      <c r="BU150" s="291"/>
      <c r="BV150" s="107"/>
      <c r="BW150" s="107"/>
      <c r="BX150" s="107"/>
      <c r="BY150" s="293"/>
      <c r="BZ150" s="291"/>
      <c r="CA150" s="107"/>
      <c r="CB150" s="107"/>
      <c r="CC150" s="107"/>
      <c r="CD150" s="293"/>
      <c r="CE150" s="291"/>
      <c r="CF150" s="107"/>
      <c r="CG150" s="107"/>
      <c r="CH150" s="107"/>
      <c r="CI150" s="293"/>
      <c r="CJ150" s="291"/>
      <c r="CK150" s="107"/>
      <c r="CL150" s="107"/>
      <c r="CM150" s="107"/>
      <c r="CN150" s="293"/>
      <c r="CO150" s="291"/>
      <c r="CP150" s="107"/>
      <c r="CQ150" s="107"/>
      <c r="CR150" s="107"/>
      <c r="CS150" s="293"/>
      <c r="CT150" s="291"/>
      <c r="CU150" s="107"/>
      <c r="CV150" s="107"/>
      <c r="CW150" s="107"/>
      <c r="CX150" s="293"/>
      <c r="CY150" s="291"/>
      <c r="CZ150" s="107"/>
      <c r="DA150" s="107"/>
      <c r="DB150" s="107"/>
      <c r="DC150" s="293"/>
      <c r="DD150" s="291"/>
      <c r="DE150" s="107"/>
      <c r="DF150" s="107"/>
      <c r="DG150" s="107"/>
      <c r="DH150" s="293"/>
      <c r="DI150" s="291"/>
      <c r="DJ150" s="107"/>
      <c r="DK150" s="107"/>
      <c r="DL150" s="107"/>
      <c r="DM150" s="293"/>
      <c r="DN150" s="291"/>
      <c r="DO150" s="107"/>
      <c r="DP150" s="107"/>
      <c r="DQ150" s="107"/>
      <c r="DR150" s="293"/>
      <c r="DS150" s="291"/>
      <c r="DT150" s="107"/>
      <c r="DU150" s="107"/>
      <c r="DV150" s="107"/>
      <c r="DW150" s="293"/>
      <c r="DX150" s="291"/>
      <c r="DY150" s="107"/>
      <c r="DZ150" s="107"/>
      <c r="EA150" s="107"/>
      <c r="EB150" s="293"/>
      <c r="EC150" s="291"/>
      <c r="ED150" s="107"/>
      <c r="EE150" s="107"/>
      <c r="EF150" s="107"/>
      <c r="EG150" s="293"/>
      <c r="EH150" s="291"/>
      <c r="EI150" s="107"/>
      <c r="EJ150" s="107"/>
      <c r="EK150" s="107"/>
      <c r="EL150" s="293"/>
      <c r="EM150" s="291"/>
      <c r="EN150" s="107"/>
      <c r="EO150" s="107"/>
      <c r="EP150" s="107"/>
      <c r="EQ150" s="293"/>
      <c r="ER150" s="291"/>
      <c r="ES150" s="107"/>
      <c r="ET150" s="107"/>
      <c r="EU150" s="107"/>
      <c r="EV150" s="293"/>
      <c r="EW150" s="291"/>
      <c r="EX150" s="107"/>
      <c r="EY150" s="468"/>
      <c r="EZ150" s="468"/>
      <c r="FA150" s="293"/>
      <c r="FB150" s="291"/>
      <c r="FC150" s="107"/>
      <c r="FD150" s="107"/>
      <c r="FE150" s="107"/>
      <c r="FF150" s="293"/>
      <c r="FG150" s="291"/>
      <c r="FH150" s="107"/>
      <c r="FI150" s="107"/>
      <c r="FJ150" s="107"/>
      <c r="FK150" s="293"/>
      <c r="FL150" s="291"/>
      <c r="FM150" s="107"/>
      <c r="FN150" s="107"/>
      <c r="FO150" s="107"/>
      <c r="FP150" s="293"/>
      <c r="FQ150" s="291"/>
      <c r="FR150" s="107"/>
      <c r="FS150" s="107"/>
      <c r="FT150" s="107"/>
      <c r="FU150" s="293"/>
      <c r="FV150" s="291"/>
      <c r="FW150" s="107"/>
      <c r="FX150" s="107"/>
      <c r="FY150" s="107"/>
      <c r="FZ150" s="293"/>
      <c r="GA150" s="291"/>
      <c r="GB150" s="107"/>
      <c r="GC150" s="107"/>
      <c r="GD150" s="107"/>
      <c r="GE150" s="293"/>
      <c r="GF150" s="291"/>
      <c r="GG150" s="107"/>
      <c r="GH150" s="107"/>
      <c r="GI150" s="107"/>
      <c r="GJ150" s="382"/>
    </row>
    <row r="151" spans="1:192" ht="12.75" customHeight="1">
      <c r="B151" s="740" t="s">
        <v>2045</v>
      </c>
      <c r="C151" s="291"/>
      <c r="D151" s="107"/>
      <c r="E151" s="107"/>
      <c r="F151" s="107"/>
      <c r="G151" s="293"/>
      <c r="H151" s="291"/>
      <c r="I151" s="107"/>
      <c r="J151" s="107"/>
      <c r="K151" s="107"/>
      <c r="L151" s="293"/>
      <c r="M151" s="291"/>
      <c r="N151" s="107"/>
      <c r="O151" s="107"/>
      <c r="P151" s="107"/>
      <c r="Q151" s="293"/>
      <c r="R151" s="291"/>
      <c r="S151" s="107"/>
      <c r="T151" s="107"/>
      <c r="U151" s="107"/>
      <c r="V151" s="293"/>
      <c r="W151" s="291"/>
      <c r="X151" s="107"/>
      <c r="Y151" s="107"/>
      <c r="Z151" s="107"/>
      <c r="AA151" s="293"/>
      <c r="AB151" s="291"/>
      <c r="AC151" s="107"/>
      <c r="AD151" s="107"/>
      <c r="AE151" s="107"/>
      <c r="AF151" s="293"/>
      <c r="AG151" s="291"/>
      <c r="AH151" s="107"/>
      <c r="AI151" s="107"/>
      <c r="AJ151" s="107"/>
      <c r="AK151" s="293"/>
      <c r="AL151" s="291"/>
      <c r="AM151" s="107"/>
      <c r="AN151" s="107"/>
      <c r="AO151" s="107"/>
      <c r="AP151" s="293"/>
      <c r="AQ151" s="291"/>
      <c r="AR151" s="107"/>
      <c r="AS151" s="107"/>
      <c r="AT151" s="107"/>
      <c r="AU151" s="293"/>
      <c r="AV151" s="291"/>
      <c r="AW151" s="107"/>
      <c r="AX151" s="107"/>
      <c r="AY151" s="107"/>
      <c r="AZ151" s="293"/>
      <c r="BA151" s="291"/>
      <c r="BB151" s="107"/>
      <c r="BC151" s="107"/>
      <c r="BD151" s="107"/>
      <c r="BE151" s="293"/>
      <c r="BF151" s="291"/>
      <c r="BG151" s="107"/>
      <c r="BH151" s="107"/>
      <c r="BI151" s="107"/>
      <c r="BJ151" s="293"/>
      <c r="BK151" s="291"/>
      <c r="BL151" s="107"/>
      <c r="BM151" s="107"/>
      <c r="BN151" s="107"/>
      <c r="BO151" s="293"/>
      <c r="BP151" s="291"/>
      <c r="BQ151" s="107"/>
      <c r="BR151" s="107"/>
      <c r="BS151" s="107"/>
      <c r="BT151" s="293"/>
      <c r="BU151" s="291"/>
      <c r="BV151" s="107"/>
      <c r="BW151" s="107"/>
      <c r="BX151" s="107"/>
      <c r="BY151" s="293"/>
      <c r="BZ151" s="291"/>
      <c r="CA151" s="107"/>
      <c r="CB151" s="107"/>
      <c r="CC151" s="107"/>
      <c r="CD151" s="293"/>
      <c r="CE151" s="291"/>
      <c r="CF151" s="107"/>
      <c r="CG151" s="107"/>
      <c r="CH151" s="107"/>
      <c r="CI151" s="293"/>
      <c r="CJ151" s="291"/>
      <c r="CK151" s="107"/>
      <c r="CL151" s="107"/>
      <c r="CM151" s="107"/>
      <c r="CN151" s="293"/>
      <c r="CO151" s="291"/>
      <c r="CP151" s="107"/>
      <c r="CQ151" s="107"/>
      <c r="CR151" s="107"/>
      <c r="CS151" s="293"/>
      <c r="CT151" s="291"/>
      <c r="CU151" s="107"/>
      <c r="CV151" s="107"/>
      <c r="CW151" s="107"/>
      <c r="CX151" s="293"/>
      <c r="CY151" s="291"/>
      <c r="CZ151" s="107"/>
      <c r="DA151" s="107"/>
      <c r="DB151" s="107"/>
      <c r="DC151" s="293"/>
      <c r="DD151" s="291"/>
      <c r="DE151" s="107"/>
      <c r="DF151" s="107"/>
      <c r="DG151" s="107"/>
      <c r="DH151" s="293"/>
      <c r="DI151" s="291"/>
      <c r="DJ151" s="107"/>
      <c r="DK151" s="107"/>
      <c r="DL151" s="107"/>
      <c r="DM151" s="293"/>
      <c r="DN151" s="291"/>
      <c r="DO151" s="107"/>
      <c r="DP151" s="107"/>
      <c r="DQ151" s="107"/>
      <c r="DR151" s="293"/>
      <c r="DS151" s="291"/>
      <c r="DT151" s="107"/>
      <c r="DU151" s="107"/>
      <c r="DV151" s="107"/>
      <c r="DW151" s="293"/>
      <c r="DX151" s="291"/>
      <c r="DY151" s="107"/>
      <c r="DZ151" s="107"/>
      <c r="EA151" s="107"/>
      <c r="EB151" s="293"/>
      <c r="EC151" s="291"/>
      <c r="ED151" s="107"/>
      <c r="EE151" s="107"/>
      <c r="EF151" s="107"/>
      <c r="EG151" s="293"/>
      <c r="EH151" s="291"/>
      <c r="EI151" s="107"/>
      <c r="EJ151" s="107"/>
      <c r="EK151" s="107"/>
      <c r="EL151" s="293"/>
      <c r="EM151" s="291"/>
      <c r="EN151" s="107"/>
      <c r="EO151" s="107"/>
      <c r="EP151" s="107"/>
      <c r="EQ151" s="293"/>
      <c r="ER151" s="291"/>
      <c r="ES151" s="107"/>
      <c r="ET151" s="107"/>
      <c r="EU151" s="107"/>
      <c r="EV151" s="293"/>
      <c r="EW151" s="291"/>
      <c r="EX151" s="107"/>
      <c r="EY151" s="468"/>
      <c r="EZ151" s="468"/>
      <c r="FA151" s="293"/>
      <c r="FB151" s="291"/>
      <c r="FC151" s="107"/>
      <c r="FD151" s="107"/>
      <c r="FE151" s="107"/>
      <c r="FF151" s="293"/>
      <c r="FG151" s="291"/>
      <c r="FH151" s="107"/>
      <c r="FI151" s="107"/>
      <c r="FJ151" s="107"/>
      <c r="FK151" s="293"/>
      <c r="FL151" s="291"/>
      <c r="FM151" s="107"/>
      <c r="FN151" s="107"/>
      <c r="FO151" s="107"/>
      <c r="FP151" s="293"/>
      <c r="FQ151" s="291"/>
      <c r="FR151" s="107"/>
      <c r="FS151" s="107"/>
      <c r="FT151" s="107"/>
      <c r="FU151" s="293"/>
      <c r="FV151" s="291"/>
      <c r="FW151" s="107"/>
      <c r="FX151" s="107"/>
      <c r="FY151" s="107"/>
      <c r="FZ151" s="293"/>
      <c r="GA151" s="291"/>
      <c r="GB151" s="107"/>
      <c r="GC151" s="107"/>
      <c r="GD151" s="107"/>
      <c r="GE151" s="293"/>
      <c r="GF151" s="291"/>
      <c r="GG151" s="107"/>
      <c r="GH151" s="107"/>
      <c r="GI151" s="107"/>
      <c r="GJ151" s="382"/>
    </row>
    <row r="152" spans="1:192" s="623" customFormat="1" ht="12.75" hidden="1" customHeight="1" outlineLevel="1">
      <c r="A152" s="1269"/>
      <c r="B152" s="745" t="s">
        <v>1918</v>
      </c>
      <c r="C152" s="1134"/>
      <c r="D152" s="1135"/>
      <c r="E152" s="1135"/>
      <c r="F152" s="1135"/>
      <c r="G152" s="1660"/>
      <c r="H152" s="1134"/>
      <c r="I152" s="1135"/>
      <c r="J152" s="1135"/>
      <c r="K152" s="1135"/>
      <c r="L152" s="1660"/>
      <c r="M152" s="1134"/>
      <c r="N152" s="1135"/>
      <c r="O152" s="1135"/>
      <c r="P152" s="1135"/>
      <c r="Q152" s="1660"/>
      <c r="R152" s="1134"/>
      <c r="S152" s="1135"/>
      <c r="T152" s="1135"/>
      <c r="U152" s="1135"/>
      <c r="V152" s="1660"/>
      <c r="W152" s="1134"/>
      <c r="X152" s="1135"/>
      <c r="Y152" s="1135"/>
      <c r="Z152" s="1135"/>
      <c r="AA152" s="1660"/>
      <c r="AB152" s="1134"/>
      <c r="AC152" s="1135"/>
      <c r="AD152" s="1135"/>
      <c r="AE152" s="1135"/>
      <c r="AF152" s="1660"/>
      <c r="AG152" s="1134"/>
      <c r="AH152" s="1135"/>
      <c r="AI152" s="1135"/>
      <c r="AJ152" s="1135"/>
      <c r="AK152" s="1660"/>
      <c r="AL152" s="1134"/>
      <c r="AM152" s="1135"/>
      <c r="AN152" s="1135"/>
      <c r="AO152" s="1135"/>
      <c r="AP152" s="1660"/>
      <c r="AQ152" s="1134"/>
      <c r="AR152" s="1135"/>
      <c r="AS152" s="1135"/>
      <c r="AT152" s="1135"/>
      <c r="AU152" s="1660"/>
      <c r="AV152" s="1134"/>
      <c r="AW152" s="1135"/>
      <c r="AX152" s="1135"/>
      <c r="AY152" s="1135"/>
      <c r="AZ152" s="1660"/>
      <c r="BA152" s="1134"/>
      <c r="BB152" s="1135"/>
      <c r="BC152" s="1135"/>
      <c r="BD152" s="1135"/>
      <c r="BE152" s="1660"/>
      <c r="BF152" s="1134"/>
      <c r="BG152" s="1135"/>
      <c r="BH152" s="1135"/>
      <c r="BI152" s="1135"/>
      <c r="BJ152" s="1660"/>
      <c r="BK152" s="1134"/>
      <c r="BL152" s="1135"/>
      <c r="BM152" s="1135"/>
      <c r="BN152" s="1135"/>
      <c r="BO152" s="1660"/>
      <c r="BP152" s="1134"/>
      <c r="BQ152" s="1135"/>
      <c r="BR152" s="1135"/>
      <c r="BS152" s="1135"/>
      <c r="BT152" s="1660"/>
      <c r="BU152" s="1134"/>
      <c r="BV152" s="1135"/>
      <c r="BW152" s="1135"/>
      <c r="BX152" s="1135"/>
      <c r="BY152" s="1660"/>
      <c r="BZ152" s="1134"/>
      <c r="CA152" s="1135"/>
      <c r="CB152" s="1135"/>
      <c r="CC152" s="1135"/>
      <c r="CD152" s="1660"/>
      <c r="CE152" s="1134"/>
      <c r="CF152" s="1135"/>
      <c r="CG152" s="1135"/>
      <c r="CH152" s="1135"/>
      <c r="CI152" s="1660"/>
      <c r="CJ152" s="1134"/>
      <c r="CK152" s="1135"/>
      <c r="CL152" s="1135"/>
      <c r="CM152" s="1135"/>
      <c r="CN152" s="1660"/>
      <c r="CO152" s="1134"/>
      <c r="CP152" s="1135"/>
      <c r="CQ152" s="1135"/>
      <c r="CR152" s="1135"/>
      <c r="CS152" s="1660"/>
      <c r="CT152" s="1134"/>
      <c r="CU152" s="1135"/>
      <c r="CV152" s="1135"/>
      <c r="CW152" s="1135"/>
      <c r="CX152" s="1660"/>
      <c r="CY152" s="1134"/>
      <c r="CZ152" s="1135"/>
      <c r="DA152" s="1135"/>
      <c r="DB152" s="1135"/>
      <c r="DC152" s="1660"/>
      <c r="DD152" s="1134"/>
      <c r="DE152" s="1135"/>
      <c r="DF152" s="1135"/>
      <c r="DG152" s="1135"/>
      <c r="DH152" s="1660"/>
      <c r="DI152" s="1134"/>
      <c r="DJ152" s="1135"/>
      <c r="DK152" s="1135"/>
      <c r="DL152" s="1135"/>
      <c r="DM152" s="1660"/>
      <c r="DN152" s="1134"/>
      <c r="DO152" s="1135"/>
      <c r="DP152" s="1135"/>
      <c r="DQ152" s="1135"/>
      <c r="DR152" s="1660"/>
      <c r="DS152" s="1134"/>
      <c r="DT152" s="1135"/>
      <c r="DU152" s="1135"/>
      <c r="DV152" s="1135"/>
      <c r="DW152" s="1660"/>
      <c r="DX152" s="1134"/>
      <c r="DY152" s="1135"/>
      <c r="DZ152" s="1135"/>
      <c r="EA152" s="1135"/>
      <c r="EB152" s="1660"/>
      <c r="EC152" s="1134"/>
      <c r="ED152" s="1135"/>
      <c r="EE152" s="1135"/>
      <c r="EF152" s="1135"/>
      <c r="EG152" s="1660"/>
      <c r="EH152" s="1134"/>
      <c r="EI152" s="1135"/>
      <c r="EJ152" s="1135"/>
      <c r="EK152" s="1135"/>
      <c r="EL152" s="1660"/>
      <c r="EM152" s="1134"/>
      <c r="EN152" s="1135"/>
      <c r="EO152" s="1135"/>
      <c r="EP152" s="1135"/>
      <c r="EQ152" s="1660"/>
      <c r="ER152" s="1134"/>
      <c r="ES152" s="1135">
        <f>+EX152/(1+EX153)</f>
      </c>
      <c r="ET152" s="1135"/>
      <c r="EU152" s="1135"/>
      <c r="EV152" s="1660"/>
      <c r="EW152" s="1134"/>
      <c r="EX152" s="1133">
        <v>13000</v>
      </c>
      <c r="EY152" s="1713"/>
      <c r="EZ152" s="1713"/>
      <c r="FA152" s="1660"/>
      <c r="FB152" s="1134"/>
      <c r="FC152" s="1135"/>
      <c r="FD152" s="1135"/>
      <c r="FE152" s="1135"/>
      <c r="FF152" s="1660"/>
      <c r="FG152" s="1134"/>
      <c r="FH152" s="1135"/>
      <c r="FI152" s="1135"/>
      <c r="FJ152" s="1135"/>
      <c r="FK152" s="1660"/>
      <c r="FL152" s="1134"/>
      <c r="FM152" s="1135"/>
      <c r="FN152" s="1135"/>
      <c r="FO152" s="1135"/>
      <c r="FP152" s="1660"/>
      <c r="FQ152" s="1134"/>
      <c r="FR152" s="1135"/>
      <c r="FS152" s="1135"/>
      <c r="FT152" s="1135"/>
      <c r="FU152" s="1660"/>
      <c r="FV152" s="1134"/>
      <c r="FW152" s="1135"/>
      <c r="FX152" s="1135"/>
      <c r="FY152" s="1135"/>
      <c r="FZ152" s="1660"/>
      <c r="GA152" s="1134"/>
      <c r="GB152" s="1135"/>
      <c r="GC152" s="1135"/>
      <c r="GD152" s="1135"/>
      <c r="GE152" s="1660"/>
      <c r="GF152" s="1134"/>
      <c r="GG152" s="1135"/>
      <c r="GH152" s="1135"/>
      <c r="GI152" s="1135"/>
      <c r="GJ152" s="1661"/>
    </row>
    <row r="153" spans="1:192" s="819" customFormat="1" ht="12.75" hidden="1" customHeight="1" outlineLevel="1">
      <c r="A153" s="818"/>
      <c r="B153" s="1665" t="s">
        <v>34</v>
      </c>
      <c r="C153" s="465"/>
      <c r="D153" s="1449"/>
      <c r="E153" s="1449"/>
      <c r="F153" s="1449"/>
      <c r="G153" s="524"/>
      <c r="H153" s="465"/>
      <c r="I153" s="1449"/>
      <c r="J153" s="1449"/>
      <c r="K153" s="1449"/>
      <c r="L153" s="524"/>
      <c r="M153" s="465"/>
      <c r="N153" s="1449"/>
      <c r="O153" s="1449"/>
      <c r="P153" s="1449"/>
      <c r="Q153" s="524"/>
      <c r="R153" s="465"/>
      <c r="S153" s="1449"/>
      <c r="T153" s="1449"/>
      <c r="U153" s="1449"/>
      <c r="V153" s="524"/>
      <c r="W153" s="465"/>
      <c r="X153" s="1449"/>
      <c r="Y153" s="1449"/>
      <c r="Z153" s="1449"/>
      <c r="AA153" s="524"/>
      <c r="AB153" s="465"/>
      <c r="AC153" s="1449"/>
      <c r="AD153" s="1449"/>
      <c r="AE153" s="1449"/>
      <c r="AF153" s="524"/>
      <c r="AG153" s="465"/>
      <c r="AH153" s="1449"/>
      <c r="AI153" s="1449"/>
      <c r="AJ153" s="1449"/>
      <c r="AK153" s="524"/>
      <c r="AL153" s="465"/>
      <c r="AM153" s="1449"/>
      <c r="AN153" s="1449"/>
      <c r="AO153" s="1449"/>
      <c r="AP153" s="524"/>
      <c r="AQ153" s="465"/>
      <c r="AR153" s="1449"/>
      <c r="AS153" s="1449"/>
      <c r="AT153" s="1449"/>
      <c r="AU153" s="524"/>
      <c r="AV153" s="465"/>
      <c r="AW153" s="1449"/>
      <c r="AX153" s="1449"/>
      <c r="AY153" s="1449"/>
      <c r="AZ153" s="524"/>
      <c r="BA153" s="465"/>
      <c r="BB153" s="1449"/>
      <c r="BC153" s="1449"/>
      <c r="BD153" s="1449"/>
      <c r="BE153" s="524"/>
      <c r="BF153" s="465"/>
      <c r="BG153" s="1449"/>
      <c r="BH153" s="1449"/>
      <c r="BI153" s="1449"/>
      <c r="BJ153" s="524"/>
      <c r="BK153" s="465"/>
      <c r="BL153" s="1449"/>
      <c r="BM153" s="1449"/>
      <c r="BN153" s="1449"/>
      <c r="BO153" s="524"/>
      <c r="BP153" s="465"/>
      <c r="BQ153" s="1449"/>
      <c r="BR153" s="1449"/>
      <c r="BS153" s="1449"/>
      <c r="BT153" s="524"/>
      <c r="BU153" s="465"/>
      <c r="BV153" s="1449"/>
      <c r="BW153" s="1449"/>
      <c r="BX153" s="1449"/>
      <c r="BY153" s="524"/>
      <c r="BZ153" s="465"/>
      <c r="CA153" s="1449"/>
      <c r="CB153" s="1449"/>
      <c r="CC153" s="1449"/>
      <c r="CD153" s="524"/>
      <c r="CE153" s="465"/>
      <c r="CF153" s="1449"/>
      <c r="CG153" s="1449"/>
      <c r="CH153" s="1449"/>
      <c r="CI153" s="524"/>
      <c r="CJ153" s="465"/>
      <c r="CK153" s="1449"/>
      <c r="CL153" s="1449"/>
      <c r="CM153" s="1449"/>
      <c r="CN153" s="524"/>
      <c r="CO153" s="465"/>
      <c r="CP153" s="1449"/>
      <c r="CQ153" s="1449"/>
      <c r="CR153" s="1449"/>
      <c r="CS153" s="524"/>
      <c r="CT153" s="465"/>
      <c r="CU153" s="1449"/>
      <c r="CV153" s="1449"/>
      <c r="CW153" s="1449"/>
      <c r="CX153" s="524"/>
      <c r="CY153" s="465"/>
      <c r="CZ153" s="1449"/>
      <c r="DA153" s="1449"/>
      <c r="DB153" s="1449"/>
      <c r="DC153" s="524"/>
      <c r="DD153" s="465"/>
      <c r="DE153" s="1449"/>
      <c r="DF153" s="1449"/>
      <c r="DG153" s="1449"/>
      <c r="DH153" s="524"/>
      <c r="DI153" s="465"/>
      <c r="DJ153" s="1449"/>
      <c r="DK153" s="1449"/>
      <c r="DL153" s="1449"/>
      <c r="DM153" s="524"/>
      <c r="DN153" s="465"/>
      <c r="DO153" s="1449"/>
      <c r="DP153" s="1449"/>
      <c r="DQ153" s="1449"/>
      <c r="DR153" s="524"/>
      <c r="DS153" s="465"/>
      <c r="DT153" s="1449"/>
      <c r="DU153" s="1449"/>
      <c r="DV153" s="1449"/>
      <c r="DW153" s="524"/>
      <c r="DX153" s="465"/>
      <c r="DY153" s="1449"/>
      <c r="DZ153" s="1449"/>
      <c r="EA153" s="1449"/>
      <c r="EB153" s="524"/>
      <c r="EC153" s="465"/>
      <c r="ED153" s="1449"/>
      <c r="EE153" s="1449"/>
      <c r="EF153" s="1449"/>
      <c r="EG153" s="524"/>
      <c r="EH153" s="465"/>
      <c r="EI153" s="1449"/>
      <c r="EJ153" s="1449"/>
      <c r="EK153" s="1449"/>
      <c r="EL153" s="524"/>
      <c r="EM153" s="465"/>
      <c r="EN153" s="1449"/>
      <c r="EO153" s="1449"/>
      <c r="EP153" s="1449"/>
      <c r="EQ153" s="524"/>
      <c r="ER153" s="465"/>
      <c r="ES153" s="1449"/>
      <c r="ET153" s="1449"/>
      <c r="EU153" s="1449"/>
      <c r="EV153" s="524"/>
      <c r="EW153" s="465"/>
      <c r="EX153" s="1464">
        <v>1.75</v>
      </c>
      <c r="EY153" s="1714"/>
      <c r="EZ153" s="1714"/>
      <c r="FA153" s="524"/>
      <c r="FB153" s="465"/>
      <c r="FC153" s="1449"/>
      <c r="FD153" s="1449"/>
      <c r="FE153" s="1449"/>
      <c r="FF153" s="524"/>
      <c r="FG153" s="465"/>
      <c r="FH153" s="1449"/>
      <c r="FI153" s="1449"/>
      <c r="FJ153" s="1449"/>
      <c r="FK153" s="524"/>
      <c r="FL153" s="465"/>
      <c r="FM153" s="1449"/>
      <c r="FN153" s="1449"/>
      <c r="FO153" s="1449"/>
      <c r="FP153" s="524"/>
      <c r="FQ153" s="465"/>
      <c r="FR153" s="1449"/>
      <c r="FS153" s="1449"/>
      <c r="FT153" s="1449"/>
      <c r="FU153" s="524"/>
      <c r="FV153" s="465"/>
      <c r="FW153" s="1449"/>
      <c r="FX153" s="1449"/>
      <c r="FY153" s="1449"/>
      <c r="FZ153" s="524"/>
      <c r="GA153" s="465"/>
      <c r="GB153" s="1449"/>
      <c r="GC153" s="1449"/>
      <c r="GD153" s="1449"/>
      <c r="GE153" s="524"/>
      <c r="GF153" s="465"/>
      <c r="GG153" s="1449"/>
      <c r="GH153" s="1449"/>
      <c r="GI153" s="1449"/>
      <c r="GJ153" s="816"/>
    </row>
    <row r="154" spans="1:192" s="911" customFormat="1" ht="12.75" hidden="1" customHeight="1" outlineLevel="1">
      <c r="B154" s="1666" t="s">
        <v>2046</v>
      </c>
      <c r="C154" s="465"/>
      <c r="D154" s="1449"/>
      <c r="E154" s="1449"/>
      <c r="F154" s="1449"/>
      <c r="G154" s="524"/>
      <c r="H154" s="465"/>
      <c r="I154" s="1449"/>
      <c r="J154" s="1449"/>
      <c r="K154" s="1449"/>
      <c r="L154" s="524"/>
      <c r="M154" s="465"/>
      <c r="N154" s="1449"/>
      <c r="O154" s="1449"/>
      <c r="P154" s="1449"/>
      <c r="Q154" s="524"/>
      <c r="R154" s="465"/>
      <c r="S154" s="1449"/>
      <c r="T154" s="1449"/>
      <c r="U154" s="1449"/>
      <c r="V154" s="524"/>
      <c r="W154" s="465"/>
      <c r="X154" s="1449"/>
      <c r="Y154" s="1449"/>
      <c r="Z154" s="1449"/>
      <c r="AA154" s="524"/>
      <c r="AB154" s="465"/>
      <c r="AC154" s="1449"/>
      <c r="AD154" s="1449"/>
      <c r="AE154" s="1449"/>
      <c r="AF154" s="524"/>
      <c r="AG154" s="465"/>
      <c r="AH154" s="1449"/>
      <c r="AI154" s="1449"/>
      <c r="AJ154" s="1449"/>
      <c r="AK154" s="524"/>
      <c r="AL154" s="465"/>
      <c r="AM154" s="1449"/>
      <c r="AN154" s="1449"/>
      <c r="AO154" s="1449"/>
      <c r="AP154" s="524"/>
      <c r="AQ154" s="465"/>
      <c r="AR154" s="1449"/>
      <c r="AS154" s="1449"/>
      <c r="AT154" s="1449"/>
      <c r="AU154" s="524"/>
      <c r="AV154" s="465"/>
      <c r="AW154" s="1449"/>
      <c r="AX154" s="1449"/>
      <c r="AY154" s="1449"/>
      <c r="AZ154" s="524"/>
      <c r="BA154" s="465"/>
      <c r="BB154" s="1449"/>
      <c r="BC154" s="1449"/>
      <c r="BD154" s="1449"/>
      <c r="BE154" s="524"/>
      <c r="BF154" s="465"/>
      <c r="BG154" s="1449"/>
      <c r="BH154" s="1449"/>
      <c r="BI154" s="1449"/>
      <c r="BJ154" s="524"/>
      <c r="BK154" s="465"/>
      <c r="BL154" s="1449"/>
      <c r="BM154" s="1449"/>
      <c r="BN154" s="1449"/>
      <c r="BO154" s="524"/>
      <c r="BP154" s="465"/>
      <c r="BQ154" s="1449"/>
      <c r="BR154" s="1449"/>
      <c r="BS154" s="1449"/>
      <c r="BT154" s="524"/>
      <c r="BU154" s="465"/>
      <c r="BV154" s="1449"/>
      <c r="BW154" s="1449"/>
      <c r="BX154" s="1449"/>
      <c r="BY154" s="524"/>
      <c r="BZ154" s="465"/>
      <c r="CA154" s="1449"/>
      <c r="CB154" s="1449"/>
      <c r="CC154" s="1449"/>
      <c r="CD154" s="524"/>
      <c r="CE154" s="465"/>
      <c r="CF154" s="1449"/>
      <c r="CG154" s="1449"/>
      <c r="CH154" s="1449"/>
      <c r="CI154" s="524"/>
      <c r="CJ154" s="465"/>
      <c r="CK154" s="1449"/>
      <c r="CL154" s="1449"/>
      <c r="CM154" s="1449"/>
      <c r="CN154" s="524"/>
      <c r="CO154" s="465"/>
      <c r="CP154" s="1449"/>
      <c r="CQ154" s="1449"/>
      <c r="CR154" s="1449"/>
      <c r="CS154" s="524"/>
      <c r="CT154" s="465"/>
      <c r="CU154" s="1449"/>
      <c r="CV154" s="1449"/>
      <c r="CW154" s="1449"/>
      <c r="CX154" s="524"/>
      <c r="CY154" s="465"/>
      <c r="CZ154" s="1449"/>
      <c r="DA154" s="1449"/>
      <c r="DB154" s="1449"/>
      <c r="DC154" s="524"/>
      <c r="DD154" s="465"/>
      <c r="DE154" s="1449"/>
      <c r="DF154" s="1449"/>
      <c r="DG154" s="1449"/>
      <c r="DH154" s="524"/>
      <c r="DI154" s="465"/>
      <c r="DJ154" s="1449"/>
      <c r="DK154" s="1449"/>
      <c r="DL154" s="1449"/>
      <c r="DM154" s="524"/>
      <c r="DN154" s="465"/>
      <c r="DO154" s="1449"/>
      <c r="DP154" s="1449"/>
      <c r="DQ154" s="1449"/>
      <c r="DR154" s="524"/>
      <c r="DS154" s="465"/>
      <c r="DT154" s="1449"/>
      <c r="DU154" s="1449"/>
      <c r="DV154" s="1449"/>
      <c r="DW154" s="524"/>
      <c r="DX154" s="465"/>
      <c r="DY154" s="1449"/>
      <c r="DZ154" s="1449"/>
      <c r="EA154" s="1449"/>
      <c r="EB154" s="524"/>
      <c r="EC154" s="465"/>
      <c r="ED154" s="1449"/>
      <c r="EE154" s="1449"/>
      <c r="EF154" s="1449"/>
      <c r="EG154" s="524"/>
      <c r="EH154" s="465"/>
      <c r="EI154" s="1449"/>
      <c r="EJ154" s="1449"/>
      <c r="EK154" s="1449"/>
      <c r="EL154" s="524"/>
      <c r="EM154" s="465"/>
      <c r="EN154" s="1449"/>
      <c r="EO154" s="1449"/>
      <c r="EP154" s="1449"/>
      <c r="EQ154" s="524"/>
      <c r="ER154" s="465"/>
      <c r="ES154" s="458">
        <f>ES152-ES138</f>
      </c>
      <c r="ET154" s="1449"/>
      <c r="EU154" s="1449"/>
      <c r="EV154" s="524"/>
      <c r="EW154" s="465"/>
      <c r="EX154" s="458">
        <f>EX152-EX138</f>
      </c>
      <c r="EY154" s="1714"/>
      <c r="EZ154" s="1714"/>
      <c r="FA154" s="524"/>
      <c r="FB154" s="465"/>
      <c r="FC154" s="1449"/>
      <c r="FD154" s="1449"/>
      <c r="FE154" s="1449"/>
      <c r="FF154" s="524"/>
      <c r="FG154" s="465"/>
      <c r="FH154" s="1449"/>
      <c r="FI154" s="1449"/>
      <c r="FJ154" s="1449"/>
      <c r="FK154" s="524"/>
      <c r="FL154" s="465"/>
      <c r="FM154" s="1449"/>
      <c r="FN154" s="1449"/>
      <c r="FO154" s="1449"/>
      <c r="FP154" s="524"/>
      <c r="FQ154" s="465"/>
      <c r="FR154" s="1449"/>
      <c r="FS154" s="1449"/>
      <c r="FT154" s="1449"/>
      <c r="FU154" s="524"/>
      <c r="FV154" s="465"/>
      <c r="FW154" s="1449"/>
      <c r="FX154" s="1449"/>
      <c r="FY154" s="1449"/>
      <c r="FZ154" s="524"/>
      <c r="GA154" s="465"/>
      <c r="GB154" s="1449"/>
      <c r="GC154" s="1449"/>
      <c r="GD154" s="1449"/>
      <c r="GE154" s="524"/>
      <c r="GF154" s="465"/>
      <c r="GG154" s="1449"/>
      <c r="GH154" s="1449"/>
      <c r="GI154" s="1449"/>
      <c r="GJ154" s="816"/>
    </row>
    <row r="155" spans="1:192" s="911" customFormat="1" ht="12.75" hidden="1" customHeight="1" outlineLevel="1">
      <c r="B155" s="1671" t="s">
        <v>34</v>
      </c>
      <c r="C155" s="465"/>
      <c r="D155" s="1449"/>
      <c r="E155" s="1449"/>
      <c r="F155" s="1449"/>
      <c r="G155" s="524"/>
      <c r="H155" s="465"/>
      <c r="I155" s="1449"/>
      <c r="J155" s="1449"/>
      <c r="K155" s="1449"/>
      <c r="L155" s="524"/>
      <c r="M155" s="465"/>
      <c r="N155" s="1449"/>
      <c r="O155" s="1449"/>
      <c r="P155" s="1449"/>
      <c r="Q155" s="524"/>
      <c r="R155" s="465"/>
      <c r="S155" s="1449"/>
      <c r="T155" s="1449"/>
      <c r="U155" s="1449"/>
      <c r="V155" s="524"/>
      <c r="W155" s="465"/>
      <c r="X155" s="1449"/>
      <c r="Y155" s="1449"/>
      <c r="Z155" s="1449"/>
      <c r="AA155" s="524"/>
      <c r="AB155" s="465"/>
      <c r="AC155" s="1449"/>
      <c r="AD155" s="1449"/>
      <c r="AE155" s="1449"/>
      <c r="AF155" s="524"/>
      <c r="AG155" s="465"/>
      <c r="AH155" s="1449"/>
      <c r="AI155" s="1449"/>
      <c r="AJ155" s="1449"/>
      <c r="AK155" s="524"/>
      <c r="AL155" s="465"/>
      <c r="AM155" s="1449"/>
      <c r="AN155" s="1449"/>
      <c r="AO155" s="1449"/>
      <c r="AP155" s="524"/>
      <c r="AQ155" s="465"/>
      <c r="AR155" s="1449"/>
      <c r="AS155" s="1449"/>
      <c r="AT155" s="1449"/>
      <c r="AU155" s="524"/>
      <c r="AV155" s="465"/>
      <c r="AW155" s="1449"/>
      <c r="AX155" s="1449"/>
      <c r="AY155" s="1449"/>
      <c r="AZ155" s="524"/>
      <c r="BA155" s="465"/>
      <c r="BB155" s="1449"/>
      <c r="BC155" s="1449"/>
      <c r="BD155" s="1449"/>
      <c r="BE155" s="524"/>
      <c r="BF155" s="465"/>
      <c r="BG155" s="1449"/>
      <c r="BH155" s="1449"/>
      <c r="BI155" s="1449"/>
      <c r="BJ155" s="524"/>
      <c r="BK155" s="465"/>
      <c r="BL155" s="1449"/>
      <c r="BM155" s="1449"/>
      <c r="BN155" s="1449"/>
      <c r="BO155" s="524"/>
      <c r="BP155" s="465"/>
      <c r="BQ155" s="1449"/>
      <c r="BR155" s="1449"/>
      <c r="BS155" s="1449"/>
      <c r="BT155" s="524"/>
      <c r="BU155" s="465"/>
      <c r="BV155" s="1449"/>
      <c r="BW155" s="1449"/>
      <c r="BX155" s="1449"/>
      <c r="BY155" s="524"/>
      <c r="BZ155" s="465"/>
      <c r="CA155" s="1449"/>
      <c r="CB155" s="1449"/>
      <c r="CC155" s="1449"/>
      <c r="CD155" s="524"/>
      <c r="CE155" s="465"/>
      <c r="CF155" s="1449"/>
      <c r="CG155" s="1449"/>
      <c r="CH155" s="1449"/>
      <c r="CI155" s="524"/>
      <c r="CJ155" s="465"/>
      <c r="CK155" s="1449"/>
      <c r="CL155" s="1449"/>
      <c r="CM155" s="1449"/>
      <c r="CN155" s="524"/>
      <c r="CO155" s="465"/>
      <c r="CP155" s="1449"/>
      <c r="CQ155" s="1449"/>
      <c r="CR155" s="1449"/>
      <c r="CS155" s="524"/>
      <c r="CT155" s="465"/>
      <c r="CU155" s="1449"/>
      <c r="CV155" s="1449"/>
      <c r="CW155" s="1449"/>
      <c r="CX155" s="524"/>
      <c r="CY155" s="465"/>
      <c r="CZ155" s="1449"/>
      <c r="DA155" s="1449"/>
      <c r="DB155" s="1449"/>
      <c r="DC155" s="524"/>
      <c r="DD155" s="465"/>
      <c r="DE155" s="1449"/>
      <c r="DF155" s="1449"/>
      <c r="DG155" s="1449"/>
      <c r="DH155" s="524"/>
      <c r="DI155" s="465"/>
      <c r="DJ155" s="1449"/>
      <c r="DK155" s="1449"/>
      <c r="DL155" s="1449"/>
      <c r="DM155" s="524"/>
      <c r="DN155" s="465"/>
      <c r="DO155" s="1449"/>
      <c r="DP155" s="1449"/>
      <c r="DQ155" s="1449"/>
      <c r="DR155" s="524"/>
      <c r="DS155" s="465"/>
      <c r="DT155" s="1449"/>
      <c r="DU155" s="1449"/>
      <c r="DV155" s="1449"/>
      <c r="DW155" s="524"/>
      <c r="DX155" s="465"/>
      <c r="DY155" s="1449"/>
      <c r="DZ155" s="1449"/>
      <c r="EA155" s="1449"/>
      <c r="EB155" s="524"/>
      <c r="EC155" s="465"/>
      <c r="ED155" s="1449"/>
      <c r="EE155" s="1449"/>
      <c r="EF155" s="1449"/>
      <c r="EG155" s="524"/>
      <c r="EH155" s="465"/>
      <c r="EI155" s="1449"/>
      <c r="EJ155" s="1449"/>
      <c r="EK155" s="1449"/>
      <c r="EL155" s="524"/>
      <c r="EM155" s="465"/>
      <c r="EN155" s="1449"/>
      <c r="EO155" s="1449"/>
      <c r="EP155" s="1449"/>
      <c r="EQ155" s="524"/>
      <c r="ER155" s="465"/>
      <c r="ES155" s="458"/>
      <c r="ET155" s="1449"/>
      <c r="EU155" s="1449"/>
      <c r="EV155" s="524"/>
      <c r="EW155" s="465"/>
      <c r="EX155" s="1449">
        <f>EX154/ES154-1</f>
      </c>
      <c r="EY155" s="1465"/>
      <c r="EZ155" s="1464"/>
      <c r="FA155" s="524"/>
      <c r="FB155" s="465"/>
      <c r="FC155" s="1449"/>
      <c r="FD155" s="1449"/>
      <c r="FE155" s="1449"/>
      <c r="FF155" s="524"/>
      <c r="FG155" s="465"/>
      <c r="FH155" s="1449"/>
      <c r="FI155" s="1449"/>
      <c r="FJ155" s="1449"/>
      <c r="FK155" s="524"/>
      <c r="FL155" s="465"/>
      <c r="FM155" s="1449"/>
      <c r="FN155" s="1449"/>
      <c r="FO155" s="1449"/>
      <c r="FP155" s="524"/>
      <c r="FQ155" s="465"/>
      <c r="FR155" s="1449"/>
      <c r="FS155" s="1449"/>
      <c r="FT155" s="1449"/>
      <c r="FU155" s="524"/>
      <c r="FV155" s="465"/>
      <c r="FW155" s="1449"/>
      <c r="FX155" s="1449"/>
      <c r="FY155" s="1449"/>
      <c r="FZ155" s="524"/>
      <c r="GA155" s="465"/>
      <c r="GB155" s="1449"/>
      <c r="GC155" s="1449"/>
      <c r="GD155" s="1449"/>
      <c r="GE155" s="524"/>
      <c r="GF155" s="465"/>
      <c r="GG155" s="1449"/>
      <c r="GH155" s="1449"/>
      <c r="GI155" s="1449"/>
      <c r="GJ155" s="816"/>
    </row>
    <row r="156" spans="1:192" ht="12.75" customHeight="1" collapsed="1">
      <c r="B156" s="1300"/>
      <c r="C156" s="291"/>
      <c r="D156" s="107"/>
      <c r="E156" s="107"/>
      <c r="F156" s="107"/>
      <c r="G156" s="293"/>
      <c r="H156" s="291"/>
      <c r="I156" s="107"/>
      <c r="J156" s="107"/>
      <c r="K156" s="107"/>
      <c r="L156" s="293"/>
      <c r="M156" s="291"/>
      <c r="N156" s="107"/>
      <c r="O156" s="107"/>
      <c r="P156" s="107"/>
      <c r="Q156" s="293"/>
      <c r="R156" s="291"/>
      <c r="S156" s="107"/>
      <c r="T156" s="107"/>
      <c r="U156" s="107"/>
      <c r="V156" s="293"/>
      <c r="W156" s="291"/>
      <c r="X156" s="107"/>
      <c r="Y156" s="107"/>
      <c r="Z156" s="107"/>
      <c r="AA156" s="293"/>
      <c r="AB156" s="291"/>
      <c r="AC156" s="107"/>
      <c r="AD156" s="107"/>
      <c r="AE156" s="107"/>
      <c r="AF156" s="293"/>
      <c r="AG156" s="291"/>
      <c r="AH156" s="107"/>
      <c r="AI156" s="107"/>
      <c r="AJ156" s="107"/>
      <c r="AK156" s="293"/>
      <c r="AL156" s="291"/>
      <c r="AM156" s="107"/>
      <c r="AN156" s="107"/>
      <c r="AO156" s="107"/>
      <c r="AP156" s="293"/>
      <c r="AQ156" s="291"/>
      <c r="AR156" s="107"/>
      <c r="AS156" s="107"/>
      <c r="AT156" s="107"/>
      <c r="AU156" s="293"/>
      <c r="AV156" s="291"/>
      <c r="AW156" s="107"/>
      <c r="AX156" s="107"/>
      <c r="AY156" s="107"/>
      <c r="AZ156" s="293"/>
      <c r="BA156" s="291"/>
      <c r="BB156" s="107"/>
      <c r="BC156" s="107"/>
      <c r="BD156" s="107"/>
      <c r="BE156" s="293"/>
      <c r="BF156" s="291"/>
      <c r="BG156" s="107"/>
      <c r="BH156" s="107"/>
      <c r="BI156" s="107"/>
      <c r="BJ156" s="293"/>
      <c r="BK156" s="291"/>
      <c r="BL156" s="107"/>
      <c r="BM156" s="107"/>
      <c r="BN156" s="107"/>
      <c r="BO156" s="293"/>
      <c r="BP156" s="291"/>
      <c r="BQ156" s="107"/>
      <c r="BR156" s="107"/>
      <c r="BS156" s="107"/>
      <c r="BT156" s="293"/>
      <c r="BU156" s="291"/>
      <c r="BV156" s="107"/>
      <c r="BW156" s="107"/>
      <c r="BX156" s="107"/>
      <c r="BY156" s="293"/>
      <c r="BZ156" s="291"/>
      <c r="CA156" s="107"/>
      <c r="CB156" s="107"/>
      <c r="CC156" s="107"/>
      <c r="CD156" s="293"/>
      <c r="CE156" s="291"/>
      <c r="CF156" s="107"/>
      <c r="CG156" s="107"/>
      <c r="CH156" s="107"/>
      <c r="CI156" s="293"/>
      <c r="CJ156" s="291"/>
      <c r="CK156" s="107"/>
      <c r="CL156" s="107"/>
      <c r="CM156" s="107"/>
      <c r="CN156" s="293"/>
      <c r="CO156" s="291"/>
      <c r="CP156" s="107"/>
      <c r="CQ156" s="107"/>
      <c r="CR156" s="107"/>
      <c r="CS156" s="293"/>
      <c r="CT156" s="291"/>
      <c r="CU156" s="107"/>
      <c r="CV156" s="107"/>
      <c r="CW156" s="107"/>
      <c r="CX156" s="293"/>
      <c r="CY156" s="291"/>
      <c r="CZ156" s="107"/>
      <c r="DA156" s="107"/>
      <c r="DB156" s="107"/>
      <c r="DC156" s="293"/>
      <c r="DD156" s="291"/>
      <c r="DE156" s="107"/>
      <c r="DF156" s="107"/>
      <c r="DG156" s="107"/>
      <c r="DH156" s="293"/>
      <c r="DI156" s="291"/>
      <c r="DJ156" s="107"/>
      <c r="DK156" s="107"/>
      <c r="DL156" s="107"/>
      <c r="DM156" s="293"/>
      <c r="DN156" s="291"/>
      <c r="DO156" s="107"/>
      <c r="DP156" s="107"/>
      <c r="DQ156" s="107"/>
      <c r="DR156" s="293"/>
      <c r="DS156" s="291"/>
      <c r="DT156" s="107"/>
      <c r="DU156" s="107"/>
      <c r="DV156" s="107"/>
      <c r="DW156" s="293"/>
      <c r="DX156" s="291"/>
      <c r="DY156" s="107"/>
      <c r="DZ156" s="107"/>
      <c r="EA156" s="107"/>
      <c r="EB156" s="293"/>
      <c r="EC156" s="291"/>
      <c r="ED156" s="107"/>
      <c r="EE156" s="107"/>
      <c r="EF156" s="107"/>
      <c r="EG156" s="293"/>
      <c r="EH156" s="291"/>
      <c r="EI156" s="107"/>
      <c r="EJ156" s="107"/>
      <c r="EK156" s="107"/>
      <c r="EL156" s="293"/>
      <c r="EM156" s="291"/>
      <c r="EN156" s="107"/>
      <c r="EO156" s="107"/>
      <c r="EP156" s="107"/>
      <c r="EQ156" s="293"/>
      <c r="ER156" s="291"/>
      <c r="ES156" s="107"/>
      <c r="ET156" s="107"/>
      <c r="EU156" s="107"/>
      <c r="EV156" s="293"/>
      <c r="EW156" s="291"/>
      <c r="EX156" s="107"/>
      <c r="EY156" s="468"/>
      <c r="EZ156" s="114"/>
      <c r="FA156" s="293"/>
      <c r="FB156" s="291"/>
      <c r="FC156" s="107"/>
      <c r="FD156" s="107"/>
      <c r="FE156" s="107"/>
      <c r="FF156" s="293"/>
      <c r="FG156" s="291"/>
      <c r="FH156" s="107"/>
      <c r="FI156" s="107"/>
      <c r="FJ156" s="107"/>
      <c r="FK156" s="293"/>
      <c r="FL156" s="291"/>
      <c r="FM156" s="107"/>
      <c r="FN156" s="107"/>
      <c r="FO156" s="107"/>
      <c r="FP156" s="293"/>
      <c r="FQ156" s="291"/>
      <c r="FR156" s="107"/>
      <c r="FS156" s="107"/>
      <c r="FT156" s="107"/>
      <c r="FU156" s="293"/>
      <c r="FV156" s="291"/>
      <c r="FW156" s="107"/>
      <c r="FX156" s="107"/>
      <c r="FY156" s="107"/>
      <c r="FZ156" s="293"/>
      <c r="GA156" s="291"/>
      <c r="GB156" s="107"/>
      <c r="GC156" s="107"/>
      <c r="GD156" s="107"/>
      <c r="GE156" s="293"/>
      <c r="GF156" s="291"/>
      <c r="GG156" s="107"/>
      <c r="GH156" s="107"/>
      <c r="GI156" s="107"/>
      <c r="GJ156" s="382"/>
    </row>
    <row r="157" spans="1:192" ht="12.75" customHeight="1">
      <c r="B157" s="740" t="s">
        <v>2050</v>
      </c>
      <c r="C157" s="291"/>
      <c r="D157" s="107"/>
      <c r="E157" s="107"/>
      <c r="F157" s="107"/>
      <c r="G157" s="293"/>
      <c r="H157" s="291"/>
      <c r="I157" s="107"/>
      <c r="J157" s="107"/>
      <c r="K157" s="107"/>
      <c r="L157" s="293"/>
      <c r="M157" s="291"/>
      <c r="N157" s="107"/>
      <c r="O157" s="107"/>
      <c r="P157" s="107"/>
      <c r="Q157" s="293"/>
      <c r="R157" s="291"/>
      <c r="S157" s="107"/>
      <c r="T157" s="107"/>
      <c r="U157" s="107"/>
      <c r="V157" s="293"/>
      <c r="W157" s="291"/>
      <c r="X157" s="107"/>
      <c r="Y157" s="107"/>
      <c r="Z157" s="107"/>
      <c r="AA157" s="293"/>
      <c r="AB157" s="291"/>
      <c r="AC157" s="107"/>
      <c r="AD157" s="107"/>
      <c r="AE157" s="107"/>
      <c r="AF157" s="293"/>
      <c r="AG157" s="291"/>
      <c r="AH157" s="107"/>
      <c r="AI157" s="107"/>
      <c r="AJ157" s="107"/>
      <c r="AK157" s="293"/>
      <c r="AL157" s="291"/>
      <c r="AM157" s="107"/>
      <c r="AN157" s="107"/>
      <c r="AO157" s="107"/>
      <c r="AP157" s="293"/>
      <c r="AQ157" s="291"/>
      <c r="AR157" s="107"/>
      <c r="AS157" s="107"/>
      <c r="AT157" s="107"/>
      <c r="AU157" s="293"/>
      <c r="AV157" s="291"/>
      <c r="AW157" s="107"/>
      <c r="AX157" s="107"/>
      <c r="AY157" s="107"/>
      <c r="AZ157" s="293"/>
      <c r="BA157" s="291"/>
      <c r="BB157" s="107"/>
      <c r="BC157" s="107"/>
      <c r="BD157" s="107"/>
      <c r="BE157" s="293"/>
      <c r="BF157" s="291"/>
      <c r="BG157" s="107"/>
      <c r="BH157" s="107"/>
      <c r="BI157" s="107"/>
      <c r="BJ157" s="293"/>
      <c r="BK157" s="291"/>
      <c r="BL157" s="107"/>
      <c r="BM157" s="107"/>
      <c r="BN157" s="107"/>
      <c r="BO157" s="293"/>
      <c r="BP157" s="291"/>
      <c r="BQ157" s="107"/>
      <c r="BR157" s="107"/>
      <c r="BS157" s="107"/>
      <c r="BT157" s="293"/>
      <c r="BU157" s="291"/>
      <c r="BV157" s="107"/>
      <c r="BW157" s="107"/>
      <c r="BX157" s="107"/>
      <c r="BY157" s="293"/>
      <c r="BZ157" s="291"/>
      <c r="CA157" s="107"/>
      <c r="CB157" s="107"/>
      <c r="CC157" s="107"/>
      <c r="CD157" s="293"/>
      <c r="CE157" s="291"/>
      <c r="CF157" s="107"/>
      <c r="CG157" s="107"/>
      <c r="CH157" s="107"/>
      <c r="CI157" s="293"/>
      <c r="CJ157" s="291"/>
      <c r="CK157" s="107"/>
      <c r="CL157" s="107"/>
      <c r="CM157" s="107"/>
      <c r="CN157" s="293"/>
      <c r="CO157" s="291"/>
      <c r="CP157" s="107"/>
      <c r="CQ157" s="107"/>
      <c r="CR157" s="107"/>
      <c r="CS157" s="293"/>
      <c r="CT157" s="291"/>
      <c r="CU157" s="107"/>
      <c r="CV157" s="107"/>
      <c r="CW157" s="107"/>
      <c r="CX157" s="293"/>
      <c r="CY157" s="291"/>
      <c r="CZ157" s="107"/>
      <c r="DA157" s="107"/>
      <c r="DB157" s="107"/>
      <c r="DC157" s="293"/>
      <c r="DD157" s="291"/>
      <c r="DE157" s="107"/>
      <c r="DF157" s="107"/>
      <c r="DG157" s="107"/>
      <c r="DH157" s="293"/>
      <c r="DI157" s="291"/>
      <c r="DJ157" s="107"/>
      <c r="DK157" s="107"/>
      <c r="DL157" s="107"/>
      <c r="DM157" s="293"/>
      <c r="DN157" s="291"/>
      <c r="DO157" s="107"/>
      <c r="DP157" s="107"/>
      <c r="DQ157" s="107"/>
      <c r="DR157" s="293"/>
      <c r="DS157" s="291"/>
      <c r="DT157" s="107"/>
      <c r="DU157" s="107"/>
      <c r="DV157" s="107"/>
      <c r="DW157" s="293"/>
      <c r="DX157" s="291"/>
      <c r="DY157" s="107"/>
      <c r="DZ157" s="107"/>
      <c r="EA157" s="107"/>
      <c r="EB157" s="293"/>
      <c r="EC157" s="291"/>
      <c r="ED157" s="107"/>
      <c r="EE157" s="107"/>
      <c r="EF157" s="107"/>
      <c r="EG157" s="293"/>
      <c r="EH157" s="291"/>
      <c r="EI157" s="107"/>
      <c r="EJ157" s="107"/>
      <c r="EK157" s="107"/>
      <c r="EL157" s="293"/>
      <c r="EM157" s="291"/>
      <c r="EN157" s="107"/>
      <c r="EO157" s="107"/>
      <c r="EP157" s="107"/>
      <c r="EQ157" s="293"/>
      <c r="ER157" s="291"/>
      <c r="ES157" s="107"/>
      <c r="ET157" s="107"/>
      <c r="EU157" s="107"/>
      <c r="EV157" s="293"/>
      <c r="EW157" s="291"/>
      <c r="EX157" s="468"/>
      <c r="EY157" s="439"/>
      <c r="EZ157" s="439"/>
      <c r="FA157" s="293"/>
      <c r="FB157" s="291"/>
      <c r="FC157" s="107"/>
      <c r="FD157" s="107"/>
      <c r="FE157" s="107"/>
      <c r="FF157" s="293"/>
      <c r="FG157" s="291"/>
      <c r="FH157" s="107"/>
      <c r="FI157" s="107"/>
      <c r="FJ157" s="107"/>
      <c r="FK157" s="293"/>
      <c r="FL157" s="291"/>
      <c r="FM157" s="107"/>
      <c r="FN157" s="107"/>
      <c r="FO157" s="107"/>
      <c r="FP157" s="293"/>
      <c r="FQ157" s="291"/>
      <c r="FR157" s="107"/>
      <c r="FS157" s="107"/>
      <c r="FT157" s="107"/>
      <c r="FU157" s="293"/>
      <c r="FV157" s="291"/>
      <c r="FW157" s="107"/>
      <c r="FX157" s="107"/>
      <c r="FY157" s="107"/>
      <c r="FZ157" s="293"/>
      <c r="GA157" s="291"/>
      <c r="GB157" s="107"/>
      <c r="GC157" s="107"/>
      <c r="GD157" s="107"/>
      <c r="GE157" s="293"/>
      <c r="GF157" s="291"/>
      <c r="GG157" s="107"/>
      <c r="GH157" s="107"/>
      <c r="GI157" s="107"/>
      <c r="GJ157" s="382"/>
    </row>
    <row r="158" spans="1:192" s="461" customFormat="1" ht="12.75" hidden="1" customHeight="1" outlineLevel="1">
      <c r="A158" s="370"/>
      <c r="B158" s="745" t="s">
        <v>2062</v>
      </c>
      <c r="C158" s="447"/>
      <c r="D158" s="458"/>
      <c r="E158" s="458"/>
      <c r="F158" s="458"/>
      <c r="G158" s="459"/>
      <c r="H158" s="447"/>
      <c r="I158" s="458"/>
      <c r="J158" s="458"/>
      <c r="K158" s="458"/>
      <c r="L158" s="459"/>
      <c r="M158" s="447"/>
      <c r="N158" s="458"/>
      <c r="O158" s="458"/>
      <c r="P158" s="458"/>
      <c r="Q158" s="459"/>
      <c r="R158" s="447"/>
      <c r="S158" s="458"/>
      <c r="T158" s="458"/>
      <c r="U158" s="458"/>
      <c r="V158" s="459"/>
      <c r="W158" s="447"/>
      <c r="X158" s="458"/>
      <c r="Y158" s="458"/>
      <c r="Z158" s="458"/>
      <c r="AA158" s="459"/>
      <c r="AB158" s="447"/>
      <c r="AC158" s="458"/>
      <c r="AD158" s="458"/>
      <c r="AE158" s="458"/>
      <c r="AF158" s="459"/>
      <c r="AG158" s="447"/>
      <c r="AH158" s="458"/>
      <c r="AI158" s="458"/>
      <c r="AJ158" s="458"/>
      <c r="AK158" s="459"/>
      <c r="AL158" s="447"/>
      <c r="AM158" s="458"/>
      <c r="AN158" s="458"/>
      <c r="AO158" s="458"/>
      <c r="AP158" s="459"/>
      <c r="AQ158" s="447"/>
      <c r="AR158" s="458"/>
      <c r="AS158" s="458"/>
      <c r="AT158" s="458"/>
      <c r="AU158" s="459"/>
      <c r="AV158" s="447"/>
      <c r="AW158" s="458"/>
      <c r="AX158" s="458"/>
      <c r="AY158" s="458"/>
      <c r="AZ158" s="459"/>
      <c r="BA158" s="447"/>
      <c r="BB158" s="458"/>
      <c r="BC158" s="458"/>
      <c r="BD158" s="458"/>
      <c r="BE158" s="459"/>
      <c r="BF158" s="447"/>
      <c r="BG158" s="458"/>
      <c r="BH158" s="458"/>
      <c r="BI158" s="458"/>
      <c r="BJ158" s="459"/>
      <c r="BK158" s="447"/>
      <c r="BL158" s="458"/>
      <c r="BM158" s="458"/>
      <c r="BN158" s="458"/>
      <c r="BO158" s="459"/>
      <c r="BP158" s="447"/>
      <c r="BQ158" s="458"/>
      <c r="BR158" s="458"/>
      <c r="BS158" s="458"/>
      <c r="BT158" s="459"/>
      <c r="BU158" s="447"/>
      <c r="BV158" s="458"/>
      <c r="BW158" s="458"/>
      <c r="BX158" s="458"/>
      <c r="BY158" s="459"/>
      <c r="BZ158" s="447"/>
      <c r="CA158" s="458"/>
      <c r="CB158" s="458"/>
      <c r="CC158" s="458"/>
      <c r="CD158" s="459"/>
      <c r="CE158" s="447"/>
      <c r="CF158" s="458"/>
      <c r="CG158" s="458"/>
      <c r="CH158" s="458"/>
      <c r="CI158" s="459"/>
      <c r="CJ158" s="447"/>
      <c r="CK158" s="458"/>
      <c r="CL158" s="458"/>
      <c r="CM158" s="458"/>
      <c r="CN158" s="459"/>
      <c r="CO158" s="447"/>
      <c r="CP158" s="458"/>
      <c r="CQ158" s="458"/>
      <c r="CR158" s="458"/>
      <c r="CS158" s="459"/>
      <c r="CT158" s="447"/>
      <c r="CU158" s="458"/>
      <c r="CV158" s="458"/>
      <c r="CW158" s="458"/>
      <c r="CX158" s="459"/>
      <c r="CY158" s="447"/>
      <c r="CZ158" s="458"/>
      <c r="DA158" s="458"/>
      <c r="DB158" s="458"/>
      <c r="DC158" s="459"/>
      <c r="DD158" s="447"/>
      <c r="DE158" s="458"/>
      <c r="DF158" s="458"/>
      <c r="DG158" s="458"/>
      <c r="DH158" s="459"/>
      <c r="DI158" s="447"/>
      <c r="DJ158" s="447"/>
      <c r="DK158" s="447"/>
      <c r="DL158" s="447"/>
      <c r="DM158" s="459"/>
      <c r="DN158" s="447"/>
      <c r="DO158" s="447"/>
      <c r="DP158" s="447"/>
      <c r="DQ158" s="447"/>
      <c r="DR158" s="459"/>
      <c r="DS158" s="447"/>
      <c r="DT158" s="447"/>
      <c r="DU158" s="447"/>
      <c r="DV158" s="447"/>
      <c r="DW158" s="459"/>
      <c r="DX158" s="447"/>
      <c r="DY158" s="447"/>
      <c r="DZ158" s="447"/>
      <c r="EA158" s="447"/>
      <c r="EB158" s="459"/>
      <c r="EC158" s="447"/>
      <c r="ED158" s="447"/>
      <c r="EE158" s="447"/>
      <c r="EF158" s="447"/>
      <c r="EG158" s="459"/>
      <c r="EH158" s="447"/>
      <c r="EI158" s="447"/>
      <c r="EJ158" s="447"/>
      <c r="EK158" s="447"/>
      <c r="EL158" s="459"/>
      <c r="EM158" s="447"/>
      <c r="EN158" s="447"/>
      <c r="EO158" s="447"/>
      <c r="EP158" s="447"/>
      <c r="EQ158" s="459"/>
      <c r="ER158" s="1408">
        <f>ES158/(1+ES159)</f>
      </c>
      <c r="ES158" s="1409">
        <v>1.3</v>
      </c>
      <c r="ET158" s="1409">
        <v>1.8</v>
      </c>
      <c r="EU158" s="815"/>
      <c r="EV158" s="459"/>
      <c r="EW158" s="496"/>
      <c r="EX158" s="815"/>
      <c r="EY158" s="815"/>
      <c r="EZ158" s="815"/>
      <c r="FA158" s="459"/>
      <c r="FB158" s="447"/>
      <c r="FC158" s="458"/>
      <c r="FD158" s="458"/>
      <c r="FE158" s="458"/>
      <c r="FF158" s="459"/>
      <c r="FG158" s="447"/>
      <c r="FH158" s="458"/>
      <c r="FI158" s="458"/>
      <c r="FJ158" s="458"/>
      <c r="FK158" s="459"/>
      <c r="FL158" s="447"/>
      <c r="FM158" s="458"/>
      <c r="FN158" s="458"/>
      <c r="FO158" s="458"/>
      <c r="FP158" s="459"/>
      <c r="FQ158" s="447"/>
      <c r="FR158" s="458"/>
      <c r="FS158" s="458"/>
      <c r="FT158" s="458"/>
      <c r="FU158" s="459"/>
      <c r="FV158" s="447"/>
      <c r="FW158" s="458"/>
      <c r="FX158" s="458"/>
      <c r="FY158" s="458"/>
      <c r="FZ158" s="459"/>
      <c r="GA158" s="447"/>
      <c r="GB158" s="458"/>
      <c r="GC158" s="458"/>
      <c r="GD158" s="458"/>
      <c r="GE158" s="459"/>
      <c r="GF158" s="447"/>
      <c r="GG158" s="458"/>
      <c r="GH158" s="458"/>
      <c r="GI158" s="458"/>
      <c r="GJ158" s="460"/>
    </row>
    <row r="159" spans="1:192" s="461" customFormat="1" ht="12.75" hidden="1" customHeight="1" outlineLevel="1">
      <c r="A159" s="370"/>
      <c r="B159" s="736" t="s">
        <v>36</v>
      </c>
      <c r="C159" s="447"/>
      <c r="D159" s="458"/>
      <c r="E159" s="458"/>
      <c r="F159" s="458"/>
      <c r="G159" s="459"/>
      <c r="H159" s="447"/>
      <c r="I159" s="458"/>
      <c r="J159" s="458"/>
      <c r="K159" s="458"/>
      <c r="L159" s="459"/>
      <c r="M159" s="447"/>
      <c r="N159" s="458"/>
      <c r="O159" s="458"/>
      <c r="P159" s="458"/>
      <c r="Q159" s="459"/>
      <c r="R159" s="447"/>
      <c r="S159" s="458"/>
      <c r="T159" s="458"/>
      <c r="U159" s="458"/>
      <c r="V159" s="459"/>
      <c r="W159" s="447"/>
      <c r="X159" s="458"/>
      <c r="Y159" s="458"/>
      <c r="Z159" s="458"/>
      <c r="AA159" s="459"/>
      <c r="AB159" s="447"/>
      <c r="AC159" s="458"/>
      <c r="AD159" s="458"/>
      <c r="AE159" s="458"/>
      <c r="AF159" s="459"/>
      <c r="AG159" s="447"/>
      <c r="AH159" s="458"/>
      <c r="AI159" s="458"/>
      <c r="AJ159" s="458"/>
      <c r="AK159" s="459"/>
      <c r="AL159" s="447"/>
      <c r="AM159" s="458"/>
      <c r="AN159" s="458"/>
      <c r="AO159" s="458"/>
      <c r="AP159" s="459"/>
      <c r="AQ159" s="447"/>
      <c r="AR159" s="458"/>
      <c r="AS159" s="458"/>
      <c r="AT159" s="458"/>
      <c r="AU159" s="459"/>
      <c r="AV159" s="447"/>
      <c r="AW159" s="458"/>
      <c r="AX159" s="458"/>
      <c r="AY159" s="458"/>
      <c r="AZ159" s="459"/>
      <c r="BA159" s="447"/>
      <c r="BB159" s="458"/>
      <c r="BC159" s="458"/>
      <c r="BD159" s="458"/>
      <c r="BE159" s="459"/>
      <c r="BF159" s="447"/>
      <c r="BG159" s="458"/>
      <c r="BH159" s="458"/>
      <c r="BI159" s="458"/>
      <c r="BJ159" s="459"/>
      <c r="BK159" s="447"/>
      <c r="BL159" s="458"/>
      <c r="BM159" s="458"/>
      <c r="BN159" s="458"/>
      <c r="BO159" s="459"/>
      <c r="BP159" s="447"/>
      <c r="BQ159" s="458"/>
      <c r="BR159" s="458"/>
      <c r="BS159" s="458"/>
      <c r="BT159" s="459"/>
      <c r="BU159" s="447"/>
      <c r="BV159" s="458"/>
      <c r="BW159" s="458"/>
      <c r="BX159" s="458"/>
      <c r="BY159" s="459"/>
      <c r="BZ159" s="447"/>
      <c r="CA159" s="458"/>
      <c r="CB159" s="458"/>
      <c r="CC159" s="458"/>
      <c r="CD159" s="459"/>
      <c r="CE159" s="447"/>
      <c r="CF159" s="458"/>
      <c r="CG159" s="458"/>
      <c r="CH159" s="458"/>
      <c r="CI159" s="459"/>
      <c r="CJ159" s="447"/>
      <c r="CK159" s="458"/>
      <c r="CL159" s="458"/>
      <c r="CM159" s="458"/>
      <c r="CN159" s="459"/>
      <c r="CO159" s="447"/>
      <c r="CP159" s="458"/>
      <c r="CQ159" s="458"/>
      <c r="CR159" s="458"/>
      <c r="CS159" s="459"/>
      <c r="CT159" s="447"/>
      <c r="CU159" s="458"/>
      <c r="CV159" s="458"/>
      <c r="CW159" s="458"/>
      <c r="CX159" s="459"/>
      <c r="CY159" s="447"/>
      <c r="CZ159" s="458"/>
      <c r="DA159" s="458"/>
      <c r="DB159" s="458"/>
      <c r="DC159" s="459"/>
      <c r="DD159" s="447"/>
      <c r="DE159" s="458"/>
      <c r="DF159" s="458"/>
      <c r="DG159" s="458"/>
      <c r="DH159" s="459"/>
      <c r="DI159" s="447"/>
      <c r="DJ159" s="447"/>
      <c r="DK159" s="447"/>
      <c r="DL159" s="447"/>
      <c r="DM159" s="459"/>
      <c r="DN159" s="447"/>
      <c r="DO159" s="447"/>
      <c r="DP159" s="447"/>
      <c r="DQ159" s="447"/>
      <c r="DR159" s="459"/>
      <c r="DS159" s="447"/>
      <c r="DT159" s="447"/>
      <c r="DU159" s="447"/>
      <c r="DV159" s="447"/>
      <c r="DW159" s="459"/>
      <c r="DX159" s="447"/>
      <c r="DY159" s="447"/>
      <c r="DZ159" s="447"/>
      <c r="EA159" s="447"/>
      <c r="EB159" s="459"/>
      <c r="EC159" s="447"/>
      <c r="ED159" s="447"/>
      <c r="EE159" s="447"/>
      <c r="EF159" s="447"/>
      <c r="EG159" s="459"/>
      <c r="EH159" s="447"/>
      <c r="EI159" s="447"/>
      <c r="EJ159" s="447"/>
      <c r="EK159" s="447"/>
      <c r="EL159" s="459"/>
      <c r="EM159" s="447"/>
      <c r="EN159" s="447"/>
      <c r="EO159" s="447"/>
      <c r="EP159" s="447"/>
      <c r="EQ159" s="459"/>
      <c r="ER159" s="447"/>
      <c r="ES159" s="1407">
        <v>0.3</v>
      </c>
      <c r="ET159" s="1407">
        <v>0.35</v>
      </c>
      <c r="EU159" s="815"/>
      <c r="EV159" s="459"/>
      <c r="EW159" s="496"/>
      <c r="EX159" s="815"/>
      <c r="EY159" s="1715"/>
      <c r="EZ159" s="815"/>
      <c r="FA159" s="459"/>
      <c r="FB159" s="447"/>
      <c r="FC159" s="458"/>
      <c r="FD159" s="458"/>
      <c r="FE159" s="458"/>
      <c r="FF159" s="459"/>
      <c r="FG159" s="447"/>
      <c r="FH159" s="458"/>
      <c r="FI159" s="458"/>
      <c r="FJ159" s="458"/>
      <c r="FK159" s="459"/>
      <c r="FL159" s="447"/>
      <c r="FM159" s="458"/>
      <c r="FN159" s="458"/>
      <c r="FO159" s="458"/>
      <c r="FP159" s="459"/>
      <c r="FQ159" s="447"/>
      <c r="FR159" s="458"/>
      <c r="FS159" s="458"/>
      <c r="FT159" s="458"/>
      <c r="FU159" s="459"/>
      <c r="FV159" s="447"/>
      <c r="FW159" s="458"/>
      <c r="FX159" s="458"/>
      <c r="FY159" s="458"/>
      <c r="FZ159" s="459"/>
      <c r="GA159" s="447"/>
      <c r="GB159" s="458"/>
      <c r="GC159" s="458"/>
      <c r="GD159" s="458"/>
      <c r="GE159" s="459"/>
      <c r="GF159" s="447"/>
      <c r="GG159" s="458"/>
      <c r="GH159" s="458"/>
      <c r="GI159" s="458"/>
      <c r="GJ159" s="460"/>
    </row>
    <row r="160" spans="1:192" s="461" customFormat="1" ht="12.75" hidden="1" customHeight="1" outlineLevel="1">
      <c r="A160" s="370"/>
      <c r="B160" s="745" t="s">
        <v>2063</v>
      </c>
      <c r="C160" s="447"/>
      <c r="D160" s="458"/>
      <c r="E160" s="458"/>
      <c r="F160" s="458"/>
      <c r="G160" s="459"/>
      <c r="H160" s="447"/>
      <c r="I160" s="458"/>
      <c r="J160" s="458"/>
      <c r="K160" s="458"/>
      <c r="L160" s="459"/>
      <c r="M160" s="447"/>
      <c r="N160" s="458"/>
      <c r="O160" s="458"/>
      <c r="P160" s="458"/>
      <c r="Q160" s="459"/>
      <c r="R160" s="447"/>
      <c r="S160" s="458"/>
      <c r="T160" s="458"/>
      <c r="U160" s="458"/>
      <c r="V160" s="459"/>
      <c r="W160" s="447"/>
      <c r="X160" s="458"/>
      <c r="Y160" s="458"/>
      <c r="Z160" s="458"/>
      <c r="AA160" s="459"/>
      <c r="AB160" s="447"/>
      <c r="AC160" s="458"/>
      <c r="AD160" s="458"/>
      <c r="AE160" s="458"/>
      <c r="AF160" s="459"/>
      <c r="AG160" s="447"/>
      <c r="AH160" s="458"/>
      <c r="AI160" s="458"/>
      <c r="AJ160" s="458"/>
      <c r="AK160" s="459"/>
      <c r="AL160" s="447"/>
      <c r="AM160" s="458"/>
      <c r="AN160" s="458"/>
      <c r="AO160" s="458"/>
      <c r="AP160" s="459"/>
      <c r="AQ160" s="447"/>
      <c r="AR160" s="458"/>
      <c r="AS160" s="458"/>
      <c r="AT160" s="458"/>
      <c r="AU160" s="459"/>
      <c r="AV160" s="447"/>
      <c r="AW160" s="458"/>
      <c r="AX160" s="458"/>
      <c r="AY160" s="458"/>
      <c r="AZ160" s="459"/>
      <c r="BA160" s="447"/>
      <c r="BB160" s="458"/>
      <c r="BC160" s="458"/>
      <c r="BD160" s="458"/>
      <c r="BE160" s="459"/>
      <c r="BF160" s="447"/>
      <c r="BG160" s="458"/>
      <c r="BH160" s="458"/>
      <c r="BI160" s="458"/>
      <c r="BJ160" s="459"/>
      <c r="BK160" s="447"/>
      <c r="BL160" s="458"/>
      <c r="BM160" s="458"/>
      <c r="BN160" s="458"/>
      <c r="BO160" s="459"/>
      <c r="BP160" s="447"/>
      <c r="BQ160" s="458"/>
      <c r="BR160" s="458"/>
      <c r="BS160" s="458"/>
      <c r="BT160" s="459"/>
      <c r="BU160" s="447"/>
      <c r="BV160" s="458"/>
      <c r="BW160" s="458"/>
      <c r="BX160" s="458"/>
      <c r="BY160" s="459"/>
      <c r="BZ160" s="447"/>
      <c r="CA160" s="458"/>
      <c r="CB160" s="458"/>
      <c r="CC160" s="458"/>
      <c r="CD160" s="459"/>
      <c r="CE160" s="447"/>
      <c r="CF160" s="458"/>
      <c r="CG160" s="458"/>
      <c r="CH160" s="458"/>
      <c r="CI160" s="459"/>
      <c r="CJ160" s="447"/>
      <c r="CK160" s="458"/>
      <c r="CL160" s="458"/>
      <c r="CM160" s="458"/>
      <c r="CN160" s="459"/>
      <c r="CO160" s="447"/>
      <c r="CP160" s="458"/>
      <c r="CQ160" s="458"/>
      <c r="CR160" s="458"/>
      <c r="CS160" s="459"/>
      <c r="CT160" s="447"/>
      <c r="CU160" s="458"/>
      <c r="CV160" s="458"/>
      <c r="CW160" s="458"/>
      <c r="CX160" s="459"/>
      <c r="CY160" s="447"/>
      <c r="CZ160" s="458"/>
      <c r="DA160" s="458"/>
      <c r="DB160" s="458"/>
      <c r="DC160" s="459"/>
      <c r="DD160" s="447"/>
      <c r="DE160" s="458"/>
      <c r="DF160" s="458"/>
      <c r="DG160" s="458"/>
      <c r="DH160" s="459"/>
      <c r="DI160" s="447"/>
      <c r="DJ160" s="447"/>
      <c r="DK160" s="447"/>
      <c r="DL160" s="447"/>
      <c r="DM160" s="459"/>
      <c r="DN160" s="447"/>
      <c r="DO160" s="447"/>
      <c r="DP160" s="447"/>
      <c r="DQ160" s="447"/>
      <c r="DR160" s="459"/>
      <c r="DS160" s="447"/>
      <c r="DT160" s="447"/>
      <c r="DU160" s="447"/>
      <c r="DV160" s="447"/>
      <c r="DW160" s="459"/>
      <c r="DX160" s="447"/>
      <c r="DY160" s="447"/>
      <c r="DZ160" s="447"/>
      <c r="EA160" s="447"/>
      <c r="EB160" s="459"/>
      <c r="EC160" s="447"/>
      <c r="ED160" s="447"/>
      <c r="EE160" s="447"/>
      <c r="EF160" s="447"/>
      <c r="EG160" s="459"/>
      <c r="EH160" s="447"/>
      <c r="EI160" s="447"/>
      <c r="EJ160" s="447"/>
      <c r="EK160" s="447"/>
      <c r="EL160" s="459"/>
      <c r="EM160" s="447"/>
      <c r="EN160" s="447"/>
      <c r="EO160" s="447"/>
      <c r="EP160" s="447"/>
      <c r="EQ160" s="459"/>
      <c r="ER160" s="1408"/>
      <c r="ES160" s="1409"/>
      <c r="ET160" s="1409"/>
      <c r="EU160" s="815"/>
      <c r="EV160" s="459"/>
      <c r="EW160" s="496"/>
      <c r="EX160" s="815"/>
      <c r="EY160" s="815">
        <v>15</v>
      </c>
      <c r="EZ160" s="815"/>
      <c r="FA160" s="459"/>
      <c r="FB160" s="447"/>
      <c r="FC160" s="458"/>
      <c r="FD160" s="458"/>
      <c r="FE160" s="458"/>
      <c r="FF160" s="459"/>
      <c r="FG160" s="447"/>
      <c r="FH160" s="458"/>
      <c r="FI160" s="458"/>
      <c r="FJ160" s="458"/>
      <c r="FK160" s="459"/>
      <c r="FL160" s="447"/>
      <c r="FM160" s="458"/>
      <c r="FN160" s="458"/>
      <c r="FO160" s="458"/>
      <c r="FP160" s="459"/>
      <c r="FQ160" s="447"/>
      <c r="FR160" s="458"/>
      <c r="FS160" s="458"/>
      <c r="FT160" s="458"/>
      <c r="FU160" s="459"/>
      <c r="FV160" s="447"/>
      <c r="FW160" s="458"/>
      <c r="FX160" s="458"/>
      <c r="FY160" s="458"/>
      <c r="FZ160" s="459"/>
      <c r="GA160" s="447"/>
      <c r="GB160" s="458"/>
      <c r="GC160" s="458"/>
      <c r="GD160" s="458"/>
      <c r="GE160" s="459"/>
      <c r="GF160" s="447"/>
      <c r="GG160" s="458"/>
      <c r="GH160" s="458"/>
      <c r="GI160" s="458"/>
      <c r="GJ160" s="460"/>
    </row>
    <row r="161" spans="1:192" s="461" customFormat="1" ht="12.75" hidden="1" customHeight="1" outlineLevel="1">
      <c r="A161" s="370"/>
      <c r="B161" s="736" t="s">
        <v>34</v>
      </c>
      <c r="C161" s="447"/>
      <c r="D161" s="458"/>
      <c r="E161" s="458"/>
      <c r="F161" s="458"/>
      <c r="G161" s="459"/>
      <c r="H161" s="447"/>
      <c r="I161" s="458"/>
      <c r="J161" s="458"/>
      <c r="K161" s="458"/>
      <c r="L161" s="459"/>
      <c r="M161" s="447"/>
      <c r="N161" s="458"/>
      <c r="O161" s="458"/>
      <c r="P161" s="458"/>
      <c r="Q161" s="459"/>
      <c r="R161" s="447"/>
      <c r="S161" s="458"/>
      <c r="T161" s="458"/>
      <c r="U161" s="458"/>
      <c r="V161" s="459"/>
      <c r="W161" s="447"/>
      <c r="X161" s="458"/>
      <c r="Y161" s="458"/>
      <c r="Z161" s="458"/>
      <c r="AA161" s="459"/>
      <c r="AB161" s="447"/>
      <c r="AC161" s="458"/>
      <c r="AD161" s="458"/>
      <c r="AE161" s="458"/>
      <c r="AF161" s="459"/>
      <c r="AG161" s="447"/>
      <c r="AH161" s="458"/>
      <c r="AI161" s="458"/>
      <c r="AJ161" s="458"/>
      <c r="AK161" s="459"/>
      <c r="AL161" s="447"/>
      <c r="AM161" s="458"/>
      <c r="AN161" s="458"/>
      <c r="AO161" s="458"/>
      <c r="AP161" s="459"/>
      <c r="AQ161" s="447"/>
      <c r="AR161" s="458"/>
      <c r="AS161" s="458"/>
      <c r="AT161" s="458"/>
      <c r="AU161" s="459"/>
      <c r="AV161" s="447"/>
      <c r="AW161" s="458"/>
      <c r="AX161" s="458"/>
      <c r="AY161" s="458"/>
      <c r="AZ161" s="459"/>
      <c r="BA161" s="447"/>
      <c r="BB161" s="458"/>
      <c r="BC161" s="458"/>
      <c r="BD161" s="458"/>
      <c r="BE161" s="459"/>
      <c r="BF161" s="447"/>
      <c r="BG161" s="458"/>
      <c r="BH161" s="458"/>
      <c r="BI161" s="458"/>
      <c r="BJ161" s="459"/>
      <c r="BK161" s="447"/>
      <c r="BL161" s="458"/>
      <c r="BM161" s="458"/>
      <c r="BN161" s="458"/>
      <c r="BO161" s="459"/>
      <c r="BP161" s="447"/>
      <c r="BQ161" s="458"/>
      <c r="BR161" s="458"/>
      <c r="BS161" s="458"/>
      <c r="BT161" s="459"/>
      <c r="BU161" s="447"/>
      <c r="BV161" s="458"/>
      <c r="BW161" s="458"/>
      <c r="BX161" s="458"/>
      <c r="BY161" s="459"/>
      <c r="BZ161" s="447"/>
      <c r="CA161" s="458"/>
      <c r="CB161" s="458"/>
      <c r="CC161" s="458"/>
      <c r="CD161" s="459"/>
      <c r="CE161" s="447"/>
      <c r="CF161" s="458"/>
      <c r="CG161" s="458"/>
      <c r="CH161" s="458"/>
      <c r="CI161" s="459"/>
      <c r="CJ161" s="447"/>
      <c r="CK161" s="458"/>
      <c r="CL161" s="458"/>
      <c r="CM161" s="458"/>
      <c r="CN161" s="459"/>
      <c r="CO161" s="447"/>
      <c r="CP161" s="458"/>
      <c r="CQ161" s="458"/>
      <c r="CR161" s="458"/>
      <c r="CS161" s="459"/>
      <c r="CT161" s="447"/>
      <c r="CU161" s="458"/>
      <c r="CV161" s="458"/>
      <c r="CW161" s="458"/>
      <c r="CX161" s="459"/>
      <c r="CY161" s="447"/>
      <c r="CZ161" s="458"/>
      <c r="DA161" s="458"/>
      <c r="DB161" s="458"/>
      <c r="DC161" s="459"/>
      <c r="DD161" s="447"/>
      <c r="DE161" s="458"/>
      <c r="DF161" s="458"/>
      <c r="DG161" s="458"/>
      <c r="DH161" s="459"/>
      <c r="DI161" s="447"/>
      <c r="DJ161" s="447"/>
      <c r="DK161" s="447"/>
      <c r="DL161" s="447"/>
      <c r="DM161" s="459"/>
      <c r="DN161" s="447"/>
      <c r="DO161" s="447"/>
      <c r="DP161" s="447"/>
      <c r="DQ161" s="447"/>
      <c r="DR161" s="459"/>
      <c r="DS161" s="447"/>
      <c r="DT161" s="447"/>
      <c r="DU161" s="447"/>
      <c r="DV161" s="447"/>
      <c r="DW161" s="459"/>
      <c r="DX161" s="447"/>
      <c r="DY161" s="447"/>
      <c r="DZ161" s="447"/>
      <c r="EA161" s="447"/>
      <c r="EB161" s="459"/>
      <c r="EC161" s="447"/>
      <c r="ED161" s="447"/>
      <c r="EE161" s="447"/>
      <c r="EF161" s="447"/>
      <c r="EG161" s="459"/>
      <c r="EH161" s="447"/>
      <c r="EI161" s="447"/>
      <c r="EJ161" s="447"/>
      <c r="EK161" s="447"/>
      <c r="EL161" s="459"/>
      <c r="EM161" s="447"/>
      <c r="EN161" s="447"/>
      <c r="EO161" s="447"/>
      <c r="EP161" s="447"/>
      <c r="EQ161" s="459"/>
      <c r="ER161" s="447"/>
      <c r="ES161" s="1407"/>
      <c r="ET161" s="1407"/>
      <c r="EU161" s="815"/>
      <c r="EV161" s="459"/>
      <c r="EW161" s="496"/>
      <c r="EX161" s="815"/>
      <c r="EY161" s="1715">
        <v>4</v>
      </c>
      <c r="EZ161" s="815"/>
      <c r="FA161" s="459"/>
      <c r="FB161" s="447"/>
      <c r="FC161" s="458"/>
      <c r="FD161" s="458"/>
      <c r="FE161" s="458"/>
      <c r="FF161" s="459"/>
      <c r="FG161" s="447"/>
      <c r="FH161" s="458"/>
      <c r="FI161" s="458"/>
      <c r="FJ161" s="458"/>
      <c r="FK161" s="459"/>
      <c r="FL161" s="447"/>
      <c r="FM161" s="458"/>
      <c r="FN161" s="458"/>
      <c r="FO161" s="458"/>
      <c r="FP161" s="459"/>
      <c r="FQ161" s="447"/>
      <c r="FR161" s="458"/>
      <c r="FS161" s="458"/>
      <c r="FT161" s="458"/>
      <c r="FU161" s="459"/>
      <c r="FV161" s="447"/>
      <c r="FW161" s="458"/>
      <c r="FX161" s="458"/>
      <c r="FY161" s="458"/>
      <c r="FZ161" s="459"/>
      <c r="GA161" s="447"/>
      <c r="GB161" s="458"/>
      <c r="GC161" s="458"/>
      <c r="GD161" s="458"/>
      <c r="GE161" s="459"/>
      <c r="GF161" s="447"/>
      <c r="GG161" s="458"/>
      <c r="GH161" s="458"/>
      <c r="GI161" s="458"/>
      <c r="GJ161" s="460"/>
    </row>
    <row r="162" spans="1:192" s="461" customFormat="1" ht="12.75" hidden="1" customHeight="1" outlineLevel="1">
      <c r="A162" s="370"/>
      <c r="B162" s="736"/>
      <c r="C162" s="447"/>
      <c r="D162" s="458"/>
      <c r="E162" s="458"/>
      <c r="F162" s="458"/>
      <c r="G162" s="459"/>
      <c r="H162" s="447"/>
      <c r="I162" s="458"/>
      <c r="J162" s="458"/>
      <c r="K162" s="458"/>
      <c r="L162" s="459"/>
      <c r="M162" s="447"/>
      <c r="N162" s="458"/>
      <c r="O162" s="458"/>
      <c r="P162" s="458"/>
      <c r="Q162" s="459"/>
      <c r="R162" s="447"/>
      <c r="S162" s="458"/>
      <c r="T162" s="458"/>
      <c r="U162" s="458"/>
      <c r="V162" s="459"/>
      <c r="W162" s="447"/>
      <c r="X162" s="458"/>
      <c r="Y162" s="458"/>
      <c r="Z162" s="458"/>
      <c r="AA162" s="459"/>
      <c r="AB162" s="447"/>
      <c r="AC162" s="458"/>
      <c r="AD162" s="458"/>
      <c r="AE162" s="458"/>
      <c r="AF162" s="459"/>
      <c r="AG162" s="447"/>
      <c r="AH162" s="458"/>
      <c r="AI162" s="458"/>
      <c r="AJ162" s="458"/>
      <c r="AK162" s="459"/>
      <c r="AL162" s="447"/>
      <c r="AM162" s="458"/>
      <c r="AN162" s="458"/>
      <c r="AO162" s="458"/>
      <c r="AP162" s="459"/>
      <c r="AQ162" s="447"/>
      <c r="AR162" s="458"/>
      <c r="AS162" s="458"/>
      <c r="AT162" s="458"/>
      <c r="AU162" s="459"/>
      <c r="AV162" s="447"/>
      <c r="AW162" s="458"/>
      <c r="AX162" s="458"/>
      <c r="AY162" s="458"/>
      <c r="AZ162" s="459"/>
      <c r="BA162" s="447"/>
      <c r="BB162" s="458"/>
      <c r="BC162" s="458"/>
      <c r="BD162" s="458"/>
      <c r="BE162" s="459"/>
      <c r="BF162" s="447"/>
      <c r="BG162" s="458"/>
      <c r="BH162" s="458"/>
      <c r="BI162" s="458"/>
      <c r="BJ162" s="459"/>
      <c r="BK162" s="447"/>
      <c r="BL162" s="458"/>
      <c r="BM162" s="458"/>
      <c r="BN162" s="458"/>
      <c r="BO162" s="459"/>
      <c r="BP162" s="447"/>
      <c r="BQ162" s="458"/>
      <c r="BR162" s="458"/>
      <c r="BS162" s="458"/>
      <c r="BT162" s="459"/>
      <c r="BU162" s="447"/>
      <c r="BV162" s="458"/>
      <c r="BW162" s="458"/>
      <c r="BX162" s="458"/>
      <c r="BY162" s="459"/>
      <c r="BZ162" s="447"/>
      <c r="CA162" s="458"/>
      <c r="CB162" s="458"/>
      <c r="CC162" s="458"/>
      <c r="CD162" s="459"/>
      <c r="CE162" s="447"/>
      <c r="CF162" s="458"/>
      <c r="CG162" s="458"/>
      <c r="CH162" s="458"/>
      <c r="CI162" s="459"/>
      <c r="CJ162" s="447"/>
      <c r="CK162" s="458"/>
      <c r="CL162" s="458"/>
      <c r="CM162" s="458"/>
      <c r="CN162" s="459"/>
      <c r="CO162" s="447"/>
      <c r="CP162" s="458"/>
      <c r="CQ162" s="458"/>
      <c r="CR162" s="458"/>
      <c r="CS162" s="459"/>
      <c r="CT162" s="447"/>
      <c r="CU162" s="458"/>
      <c r="CV162" s="458"/>
      <c r="CW162" s="458"/>
      <c r="CX162" s="459"/>
      <c r="CY162" s="447"/>
      <c r="CZ162" s="458"/>
      <c r="DA162" s="458"/>
      <c r="DB162" s="458"/>
      <c r="DC162" s="459"/>
      <c r="DD162" s="447"/>
      <c r="DE162" s="458"/>
      <c r="DF162" s="458"/>
      <c r="DG162" s="458"/>
      <c r="DH162" s="459"/>
      <c r="DI162" s="447"/>
      <c r="DJ162" s="447"/>
      <c r="DK162" s="447"/>
      <c r="DL162" s="447"/>
      <c r="DM162" s="459"/>
      <c r="DN162" s="447"/>
      <c r="DO162" s="447"/>
      <c r="DP162" s="447"/>
      <c r="DQ162" s="447"/>
      <c r="DR162" s="459"/>
      <c r="DS162" s="447"/>
      <c r="DT162" s="447"/>
      <c r="DU162" s="447"/>
      <c r="DV162" s="447"/>
      <c r="DW162" s="459"/>
      <c r="DX162" s="447"/>
      <c r="DY162" s="447"/>
      <c r="DZ162" s="447"/>
      <c r="EA162" s="447"/>
      <c r="EB162" s="459"/>
      <c r="EC162" s="447"/>
      <c r="ED162" s="447"/>
      <c r="EE162" s="447"/>
      <c r="EF162" s="447"/>
      <c r="EG162" s="459"/>
      <c r="EH162" s="447"/>
      <c r="EI162" s="447"/>
      <c r="EJ162" s="447"/>
      <c r="EK162" s="447"/>
      <c r="EL162" s="459"/>
      <c r="EM162" s="447"/>
      <c r="EN162" s="447"/>
      <c r="EO162" s="447"/>
      <c r="EP162" s="447"/>
      <c r="EQ162" s="459"/>
      <c r="ER162" s="447"/>
      <c r="ES162" s="447"/>
      <c r="ET162" s="458"/>
      <c r="EU162" s="679"/>
      <c r="EV162" s="459"/>
      <c r="EW162" s="511"/>
      <c r="EX162" s="679"/>
      <c r="EY162" s="815"/>
      <c r="EZ162" s="815"/>
      <c r="FA162" s="459"/>
      <c r="FB162" s="447"/>
      <c r="FC162" s="458"/>
      <c r="FD162" s="458"/>
      <c r="FE162" s="458"/>
      <c r="FF162" s="459"/>
      <c r="FG162" s="447"/>
      <c r="FH162" s="458"/>
      <c r="FI162" s="458"/>
      <c r="FJ162" s="458"/>
      <c r="FK162" s="459"/>
      <c r="FL162" s="447"/>
      <c r="FM162" s="458"/>
      <c r="FN162" s="458"/>
      <c r="FO162" s="458"/>
      <c r="FP162" s="459"/>
      <c r="FQ162" s="447"/>
      <c r="FR162" s="458"/>
      <c r="FS162" s="458"/>
      <c r="FT162" s="458"/>
      <c r="FU162" s="459"/>
      <c r="FV162" s="447"/>
      <c r="FW162" s="458"/>
      <c r="FX162" s="458"/>
      <c r="FY162" s="458"/>
      <c r="FZ162" s="459"/>
      <c r="GA162" s="447"/>
      <c r="GB162" s="458"/>
      <c r="GC162" s="458"/>
      <c r="GD162" s="458"/>
      <c r="GE162" s="459"/>
      <c r="GF162" s="447"/>
      <c r="GG162" s="458"/>
      <c r="GH162" s="458"/>
      <c r="GI162" s="458"/>
      <c r="GJ162" s="460"/>
    </row>
    <row r="163" spans="1:192" s="419" customFormat="1" ht="12.75" hidden="1" customHeight="1" outlineLevel="1">
      <c r="A163" s="798"/>
      <c r="B163" s="745" t="s">
        <v>489</v>
      </c>
      <c r="C163" s="415"/>
      <c r="D163" s="416"/>
      <c r="E163" s="416"/>
      <c r="F163" s="416"/>
      <c r="G163" s="417"/>
      <c r="H163" s="415"/>
      <c r="I163" s="416"/>
      <c r="J163" s="416"/>
      <c r="K163" s="416"/>
      <c r="L163" s="417"/>
      <c r="M163" s="415"/>
      <c r="N163" s="416"/>
      <c r="O163" s="416"/>
      <c r="P163" s="416"/>
      <c r="Q163" s="417"/>
      <c r="R163" s="415"/>
      <c r="S163" s="416"/>
      <c r="T163" s="416"/>
      <c r="U163" s="416"/>
      <c r="V163" s="417"/>
      <c r="W163" s="415"/>
      <c r="X163" s="416"/>
      <c r="Y163" s="416"/>
      <c r="Z163" s="416"/>
      <c r="AA163" s="417"/>
      <c r="AB163" s="415"/>
      <c r="AC163" s="416"/>
      <c r="AD163" s="416"/>
      <c r="AE163" s="416"/>
      <c r="AF163" s="417"/>
      <c r="AG163" s="415"/>
      <c r="AH163" s="416"/>
      <c r="AI163" s="416"/>
      <c r="AJ163" s="416"/>
      <c r="AK163" s="417"/>
      <c r="AL163" s="415"/>
      <c r="AM163" s="416"/>
      <c r="AN163" s="416"/>
      <c r="AO163" s="416"/>
      <c r="AP163" s="417"/>
      <c r="AQ163" s="415"/>
      <c r="AR163" s="416"/>
      <c r="AS163" s="416"/>
      <c r="AT163" s="416"/>
      <c r="AU163" s="417"/>
      <c r="AV163" s="415"/>
      <c r="AW163" s="416"/>
      <c r="AX163" s="416"/>
      <c r="AY163" s="416"/>
      <c r="AZ163" s="417"/>
      <c r="BA163" s="415"/>
      <c r="BB163" s="416"/>
      <c r="BC163" s="416"/>
      <c r="BD163" s="416"/>
      <c r="BE163" s="417"/>
      <c r="BF163" s="415"/>
      <c r="BG163" s="416"/>
      <c r="BH163" s="416"/>
      <c r="BI163" s="416"/>
      <c r="BJ163" s="417"/>
      <c r="BK163" s="415"/>
      <c r="BL163" s="416"/>
      <c r="BM163" s="416"/>
      <c r="BN163" s="416"/>
      <c r="BO163" s="417"/>
      <c r="BP163" s="415"/>
      <c r="BQ163" s="416"/>
      <c r="BR163" s="416"/>
      <c r="BS163" s="416"/>
      <c r="BT163" s="417"/>
      <c r="BU163" s="415"/>
      <c r="BV163" s="416"/>
      <c r="BW163" s="416"/>
      <c r="BX163" s="416"/>
      <c r="BY163" s="417"/>
      <c r="BZ163" s="415"/>
      <c r="CA163" s="416"/>
      <c r="CB163" s="416"/>
      <c r="CC163" s="416"/>
      <c r="CD163" s="417"/>
      <c r="CE163" s="415"/>
      <c r="CF163" s="416"/>
      <c r="CG163" s="416"/>
      <c r="CH163" s="416"/>
      <c r="CI163" s="417"/>
      <c r="CJ163" s="415"/>
      <c r="CK163" s="416"/>
      <c r="CL163" s="416"/>
      <c r="CM163" s="416"/>
      <c r="CN163" s="417"/>
      <c r="CO163" s="415"/>
      <c r="CP163" s="416"/>
      <c r="CQ163" s="416"/>
      <c r="CR163" s="416"/>
      <c r="CS163" s="417"/>
      <c r="CT163" s="420"/>
      <c r="CU163" s="421"/>
      <c r="CV163" s="421"/>
      <c r="CW163" s="421"/>
      <c r="CX163" s="417"/>
      <c r="CY163" s="420"/>
      <c r="CZ163" s="421"/>
      <c r="DA163" s="421"/>
      <c r="DB163" s="421"/>
      <c r="DC163" s="417"/>
      <c r="DD163" s="420"/>
      <c r="DE163" s="421"/>
      <c r="DF163" s="421"/>
      <c r="DG163" s="421"/>
      <c r="DH163" s="417"/>
      <c r="DI163" s="415"/>
      <c r="DJ163" s="416"/>
      <c r="DK163" s="416"/>
      <c r="DL163" s="421"/>
      <c r="DM163" s="417"/>
      <c r="DN163" s="420"/>
      <c r="DO163" s="421"/>
      <c r="DP163" s="421"/>
      <c r="DQ163" s="421"/>
      <c r="DR163" s="417"/>
      <c r="DS163" s="420"/>
      <c r="DT163" s="421"/>
      <c r="DU163" s="421"/>
      <c r="DV163" s="421"/>
      <c r="DW163" s="417"/>
      <c r="DX163" s="420"/>
      <c r="DY163" s="421"/>
      <c r="DZ163" s="421"/>
      <c r="EA163" s="421"/>
      <c r="EB163" s="417"/>
      <c r="EC163" s="420"/>
      <c r="ED163" s="421">
        <v>1</v>
      </c>
      <c r="EE163" s="421"/>
      <c r="EF163" s="421"/>
      <c r="EG163" s="417"/>
      <c r="EH163" s="416">
        <f>EM163/(1+EM164)</f>
      </c>
      <c r="EI163" s="416">
        <f>EN163/(1+EN164)</f>
      </c>
      <c r="EJ163" s="416">
        <f>EO163/(1+EO164)</f>
      </c>
      <c r="EK163" s="416">
        <f>EP163/(1+EP164)</f>
      </c>
      <c r="EL163" s="417"/>
      <c r="EM163" s="420">
        <v>8.5</v>
      </c>
      <c r="EN163" s="421">
        <v>12</v>
      </c>
      <c r="EO163" s="421">
        <v>15</v>
      </c>
      <c r="EP163" s="421">
        <v>18</v>
      </c>
      <c r="EQ163" s="417">
        <f>EP163</f>
      </c>
      <c r="ER163" s="420">
        <v>21</v>
      </c>
      <c r="ES163" s="421">
        <f>AVERAGE(ET163,ER163)</f>
      </c>
      <c r="ET163" s="493">
        <v>33</v>
      </c>
      <c r="EU163" s="1351">
        <v>36</v>
      </c>
      <c r="EV163" s="417">
        <f>EU163</f>
      </c>
      <c r="EW163" s="442">
        <v>39</v>
      </c>
      <c r="EX163" s="1351"/>
      <c r="EY163" s="1351"/>
      <c r="EZ163" s="1351"/>
      <c r="FA163" s="417"/>
      <c r="FB163" s="415"/>
      <c r="FC163" s="416"/>
      <c r="FD163" s="416"/>
      <c r="FE163" s="416"/>
      <c r="FF163" s="417"/>
      <c r="FG163" s="415"/>
      <c r="FH163" s="416"/>
      <c r="FI163" s="416"/>
      <c r="FJ163" s="416"/>
      <c r="FK163" s="417"/>
      <c r="FL163" s="415"/>
      <c r="FM163" s="416"/>
      <c r="FN163" s="416"/>
      <c r="FO163" s="416"/>
      <c r="FP163" s="417"/>
      <c r="FQ163" s="415"/>
      <c r="FR163" s="416"/>
      <c r="FS163" s="416"/>
      <c r="FT163" s="416"/>
      <c r="FU163" s="417"/>
      <c r="FV163" s="415"/>
      <c r="FW163" s="416"/>
      <c r="FX163" s="416"/>
      <c r="FY163" s="416"/>
      <c r="FZ163" s="417"/>
      <c r="GA163" s="415"/>
      <c r="GB163" s="416"/>
      <c r="GC163" s="416"/>
      <c r="GD163" s="416"/>
      <c r="GE163" s="417"/>
      <c r="GF163" s="415"/>
      <c r="GG163" s="416"/>
      <c r="GH163" s="416"/>
      <c r="GI163" s="416"/>
      <c r="GJ163" s="418"/>
    </row>
    <row r="164" spans="1:192" ht="12.75" hidden="1" customHeight="1" outlineLevel="1">
      <c r="B164" s="736" t="s">
        <v>34</v>
      </c>
      <c r="C164" s="291"/>
      <c r="D164" s="107"/>
      <c r="E164" s="107"/>
      <c r="F164" s="107"/>
      <c r="G164" s="293"/>
      <c r="H164" s="291"/>
      <c r="I164" s="107"/>
      <c r="J164" s="107"/>
      <c r="K164" s="107"/>
      <c r="L164" s="293"/>
      <c r="M164" s="291"/>
      <c r="N164" s="107"/>
      <c r="O164" s="107"/>
      <c r="P164" s="107"/>
      <c r="Q164" s="293"/>
      <c r="R164" s="291"/>
      <c r="S164" s="107"/>
      <c r="T164" s="107"/>
      <c r="U164" s="107"/>
      <c r="V164" s="293"/>
      <c r="W164" s="291"/>
      <c r="X164" s="107"/>
      <c r="Y164" s="107"/>
      <c r="Z164" s="107"/>
      <c r="AA164" s="293"/>
      <c r="AB164" s="291"/>
      <c r="AC164" s="107"/>
      <c r="AD164" s="107"/>
      <c r="AE164" s="107"/>
      <c r="AF164" s="293"/>
      <c r="AG164" s="291"/>
      <c r="AH164" s="107"/>
      <c r="AI164" s="107"/>
      <c r="AJ164" s="107"/>
      <c r="AK164" s="293"/>
      <c r="AL164" s="291"/>
      <c r="AM164" s="107"/>
      <c r="AN164" s="107"/>
      <c r="AO164" s="107"/>
      <c r="AP164" s="293"/>
      <c r="AQ164" s="291"/>
      <c r="AR164" s="107"/>
      <c r="AS164" s="107"/>
      <c r="AT164" s="107"/>
      <c r="AU164" s="293"/>
      <c r="AV164" s="291"/>
      <c r="AW164" s="107"/>
      <c r="AX164" s="107"/>
      <c r="AY164" s="107"/>
      <c r="AZ164" s="293"/>
      <c r="BA164" s="291"/>
      <c r="BB164" s="107"/>
      <c r="BC164" s="107"/>
      <c r="BD164" s="107"/>
      <c r="BE164" s="293"/>
      <c r="BF164" s="291"/>
      <c r="BG164" s="107"/>
      <c r="BH164" s="107"/>
      <c r="BI164" s="107"/>
      <c r="BJ164" s="293"/>
      <c r="BK164" s="291"/>
      <c r="BL164" s="107"/>
      <c r="BM164" s="107"/>
      <c r="BN164" s="107"/>
      <c r="BO164" s="293"/>
      <c r="BP164" s="291"/>
      <c r="BQ164" s="107"/>
      <c r="BR164" s="107"/>
      <c r="BS164" s="107"/>
      <c r="BT164" s="293"/>
      <c r="BU164" s="291"/>
      <c r="BV164" s="107"/>
      <c r="BW164" s="107"/>
      <c r="BX164" s="107"/>
      <c r="BY164" s="293"/>
      <c r="BZ164" s="291"/>
      <c r="CA164" s="107"/>
      <c r="CB164" s="107"/>
      <c r="CC164" s="107"/>
      <c r="CD164" s="293"/>
      <c r="CE164" s="291"/>
      <c r="CF164" s="107"/>
      <c r="CG164" s="107"/>
      <c r="CH164" s="107"/>
      <c r="CI164" s="293"/>
      <c r="CJ164" s="291"/>
      <c r="CK164" s="107"/>
      <c r="CL164" s="107"/>
      <c r="CM164" s="107"/>
      <c r="CN164" s="293"/>
      <c r="CO164" s="291"/>
      <c r="CP164" s="107"/>
      <c r="CQ164" s="107"/>
      <c r="CR164" s="107"/>
      <c r="CS164" s="293"/>
      <c r="CT164" s="412"/>
      <c r="CU164" s="114"/>
      <c r="CV164" s="114"/>
      <c r="CW164" s="114"/>
      <c r="CX164" s="293"/>
      <c r="CY164" s="412"/>
      <c r="CZ164" s="114"/>
      <c r="DA164" s="114"/>
      <c r="DB164" s="114"/>
      <c r="DC164" s="293"/>
      <c r="DD164" s="412"/>
      <c r="DE164" s="114"/>
      <c r="DF164" s="114"/>
      <c r="DG164" s="114"/>
      <c r="DH164" s="293"/>
      <c r="DI164" s="412"/>
      <c r="DJ164" s="114"/>
      <c r="DK164" s="114"/>
      <c r="DL164" s="114"/>
      <c r="DM164" s="293"/>
      <c r="DN164" s="412"/>
      <c r="DO164" s="114"/>
      <c r="DP164" s="114"/>
      <c r="DQ164" s="114"/>
      <c r="DR164" s="293"/>
      <c r="DS164" s="412"/>
      <c r="DT164" s="114"/>
      <c r="DU164" s="114"/>
      <c r="DV164" s="114"/>
      <c r="DW164" s="293"/>
      <c r="DX164" s="412"/>
      <c r="DY164" s="114"/>
      <c r="DZ164" s="114"/>
      <c r="EA164" s="114"/>
      <c r="EB164" s="293"/>
      <c r="EC164" s="412"/>
      <c r="ED164" s="114"/>
      <c r="EE164" s="114"/>
      <c r="EF164" s="114"/>
      <c r="EG164" s="293"/>
      <c r="EH164" s="412"/>
      <c r="EI164" s="114">
        <v>3</v>
      </c>
      <c r="EJ164" s="114"/>
      <c r="EK164" s="114"/>
      <c r="EL164" s="293"/>
      <c r="EM164" s="412">
        <v>2</v>
      </c>
      <c r="EN164" s="114">
        <v>2</v>
      </c>
      <c r="EO164" s="114">
        <v>1.5</v>
      </c>
      <c r="EP164" s="114">
        <v>1.5</v>
      </c>
      <c r="EQ164" s="293"/>
      <c r="ER164" s="412">
        <v>1.4</v>
      </c>
      <c r="ES164" s="107">
        <f>ES163/EN163-1</f>
      </c>
      <c r="ET164" s="291">
        <f>ET163/EO163</f>
      </c>
      <c r="EU164" s="114">
        <v>0.9</v>
      </c>
      <c r="EV164" s="293"/>
      <c r="EW164" s="441">
        <v>0.8</v>
      </c>
      <c r="EX164" s="439"/>
      <c r="EY164" s="439"/>
      <c r="EZ164" s="439"/>
      <c r="FA164" s="293"/>
      <c r="FB164" s="291"/>
      <c r="FC164" s="107"/>
      <c r="FD164" s="107"/>
      <c r="FE164" s="107"/>
      <c r="FF164" s="293"/>
      <c r="FG164" s="291"/>
      <c r="FH164" s="107"/>
      <c r="FI164" s="107"/>
      <c r="FJ164" s="107"/>
      <c r="FK164" s="293"/>
      <c r="FL164" s="291"/>
      <c r="FM164" s="107"/>
      <c r="FN164" s="107"/>
      <c r="FO164" s="107"/>
      <c r="FP164" s="293"/>
      <c r="FQ164" s="291"/>
      <c r="FR164" s="107"/>
      <c r="FS164" s="107"/>
      <c r="FT164" s="107"/>
      <c r="FU164" s="293"/>
      <c r="FV164" s="291"/>
      <c r="FW164" s="107"/>
      <c r="FX164" s="107"/>
      <c r="FY164" s="107"/>
      <c r="FZ164" s="293"/>
      <c r="GA164" s="291"/>
      <c r="GB164" s="107"/>
      <c r="GC164" s="107"/>
      <c r="GD164" s="107"/>
      <c r="GE164" s="293"/>
      <c r="GF164" s="291"/>
      <c r="GG164" s="107"/>
      <c r="GH164" s="107"/>
      <c r="GI164" s="107"/>
      <c r="GJ164" s="382"/>
    </row>
    <row r="165" spans="1:192" ht="12.75" hidden="1" customHeight="1" outlineLevel="1">
      <c r="B165" s="736"/>
      <c r="C165" s="291"/>
      <c r="D165" s="107"/>
      <c r="E165" s="107"/>
      <c r="F165" s="107"/>
      <c r="G165" s="293"/>
      <c r="H165" s="291"/>
      <c r="I165" s="107"/>
      <c r="J165" s="107"/>
      <c r="K165" s="107"/>
      <c r="L165" s="293"/>
      <c r="M165" s="291"/>
      <c r="N165" s="107"/>
      <c r="O165" s="107"/>
      <c r="P165" s="107"/>
      <c r="Q165" s="293"/>
      <c r="R165" s="291"/>
      <c r="S165" s="107"/>
      <c r="T165" s="107"/>
      <c r="U165" s="107"/>
      <c r="V165" s="293"/>
      <c r="W165" s="291"/>
      <c r="X165" s="107"/>
      <c r="Y165" s="107"/>
      <c r="Z165" s="107"/>
      <c r="AA165" s="293"/>
      <c r="AB165" s="291"/>
      <c r="AC165" s="107"/>
      <c r="AD165" s="107"/>
      <c r="AE165" s="107"/>
      <c r="AF165" s="293"/>
      <c r="AG165" s="291"/>
      <c r="AH165" s="107"/>
      <c r="AI165" s="107"/>
      <c r="AJ165" s="107"/>
      <c r="AK165" s="293"/>
      <c r="AL165" s="291"/>
      <c r="AM165" s="107"/>
      <c r="AN165" s="107"/>
      <c r="AO165" s="107"/>
      <c r="AP165" s="293"/>
      <c r="AQ165" s="291"/>
      <c r="AR165" s="107"/>
      <c r="AS165" s="107"/>
      <c r="AT165" s="107"/>
      <c r="AU165" s="293"/>
      <c r="AV165" s="291"/>
      <c r="AW165" s="107"/>
      <c r="AX165" s="107"/>
      <c r="AY165" s="107"/>
      <c r="AZ165" s="293"/>
      <c r="BA165" s="291"/>
      <c r="BB165" s="107"/>
      <c r="BC165" s="107"/>
      <c r="BD165" s="107"/>
      <c r="BE165" s="293"/>
      <c r="BF165" s="291"/>
      <c r="BG165" s="107"/>
      <c r="BH165" s="107"/>
      <c r="BI165" s="107"/>
      <c r="BJ165" s="293"/>
      <c r="BK165" s="291"/>
      <c r="BL165" s="107"/>
      <c r="BM165" s="107"/>
      <c r="BN165" s="107"/>
      <c r="BO165" s="293"/>
      <c r="BP165" s="291"/>
      <c r="BQ165" s="107"/>
      <c r="BR165" s="107"/>
      <c r="BS165" s="107"/>
      <c r="BT165" s="293"/>
      <c r="BU165" s="291"/>
      <c r="BV165" s="107"/>
      <c r="BW165" s="107"/>
      <c r="BX165" s="107"/>
      <c r="BY165" s="293"/>
      <c r="BZ165" s="291"/>
      <c r="CA165" s="107"/>
      <c r="CB165" s="107"/>
      <c r="CC165" s="107"/>
      <c r="CD165" s="293"/>
      <c r="CE165" s="291"/>
      <c r="CF165" s="107"/>
      <c r="CG165" s="107"/>
      <c r="CH165" s="107"/>
      <c r="CI165" s="293"/>
      <c r="CJ165" s="291"/>
      <c r="CK165" s="107"/>
      <c r="CL165" s="107"/>
      <c r="CM165" s="107"/>
      <c r="CN165" s="293"/>
      <c r="CO165" s="291"/>
      <c r="CP165" s="107"/>
      <c r="CQ165" s="107"/>
      <c r="CR165" s="107"/>
      <c r="CS165" s="293"/>
      <c r="CT165" s="412"/>
      <c r="CU165" s="114"/>
      <c r="CV165" s="114"/>
      <c r="CW165" s="114"/>
      <c r="CX165" s="293"/>
      <c r="CY165" s="412"/>
      <c r="CZ165" s="114"/>
      <c r="DA165" s="114"/>
      <c r="DB165" s="114"/>
      <c r="DC165" s="293"/>
      <c r="DD165" s="412"/>
      <c r="DE165" s="114"/>
      <c r="DF165" s="114"/>
      <c r="DG165" s="114"/>
      <c r="DH165" s="293"/>
      <c r="DI165" s="412"/>
      <c r="DJ165" s="114"/>
      <c r="DK165" s="114"/>
      <c r="DL165" s="114"/>
      <c r="DM165" s="293"/>
      <c r="DN165" s="412"/>
      <c r="DO165" s="114"/>
      <c r="DP165" s="114"/>
      <c r="DQ165" s="114"/>
      <c r="DR165" s="293"/>
      <c r="DS165" s="412"/>
      <c r="DT165" s="114"/>
      <c r="DU165" s="114"/>
      <c r="DV165" s="114"/>
      <c r="DW165" s="293"/>
      <c r="DX165" s="412"/>
      <c r="DY165" s="114"/>
      <c r="DZ165" s="114"/>
      <c r="EA165" s="114"/>
      <c r="EB165" s="293"/>
      <c r="EC165" s="412"/>
      <c r="ED165" s="114"/>
      <c r="EE165" s="114"/>
      <c r="EF165" s="114"/>
      <c r="EG165" s="293"/>
      <c r="EH165" s="412"/>
      <c r="EI165" s="114"/>
      <c r="EJ165" s="114"/>
      <c r="EK165" s="114"/>
      <c r="EL165" s="293"/>
      <c r="EM165" s="412"/>
      <c r="EN165" s="114"/>
      <c r="EO165" s="114"/>
      <c r="EP165" s="114"/>
      <c r="EQ165" s="293"/>
      <c r="ER165" s="412"/>
      <c r="ES165" s="114"/>
      <c r="ET165" s="291"/>
      <c r="EU165" s="114"/>
      <c r="EV165" s="293"/>
      <c r="EW165" s="349"/>
      <c r="EX165" s="468"/>
      <c r="EY165" s="439"/>
      <c r="EZ165" s="439"/>
      <c r="FA165" s="293"/>
      <c r="FB165" s="291"/>
      <c r="FC165" s="107"/>
      <c r="FD165" s="107"/>
      <c r="FE165" s="107"/>
      <c r="FF165" s="293"/>
      <c r="FG165" s="291"/>
      <c r="FH165" s="107"/>
      <c r="FI165" s="107"/>
      <c r="FJ165" s="107"/>
      <c r="FK165" s="293"/>
      <c r="FL165" s="291"/>
      <c r="FM165" s="107"/>
      <c r="FN165" s="107"/>
      <c r="FO165" s="107"/>
      <c r="FP165" s="293"/>
      <c r="FQ165" s="291"/>
      <c r="FR165" s="107"/>
      <c r="FS165" s="107"/>
      <c r="FT165" s="107"/>
      <c r="FU165" s="293"/>
      <c r="FV165" s="291"/>
      <c r="FW165" s="107"/>
      <c r="FX165" s="107"/>
      <c r="FY165" s="107"/>
      <c r="FZ165" s="293"/>
      <c r="GA165" s="291"/>
      <c r="GB165" s="107"/>
      <c r="GC165" s="107"/>
      <c r="GD165" s="107"/>
      <c r="GE165" s="293"/>
      <c r="GF165" s="291"/>
      <c r="GG165" s="107"/>
      <c r="GH165" s="107"/>
      <c r="GI165" s="107"/>
      <c r="GJ165" s="382"/>
    </row>
    <row r="166" spans="1:192" s="419" customFormat="1" ht="12.75" hidden="1" customHeight="1" outlineLevel="1">
      <c r="A166" s="798"/>
      <c r="B166" s="745" t="s">
        <v>1938</v>
      </c>
      <c r="C166" s="415"/>
      <c r="D166" s="416"/>
      <c r="E166" s="416"/>
      <c r="F166" s="416"/>
      <c r="G166" s="417"/>
      <c r="H166" s="415"/>
      <c r="I166" s="416"/>
      <c r="J166" s="416"/>
      <c r="K166" s="416"/>
      <c r="L166" s="417"/>
      <c r="M166" s="415"/>
      <c r="N166" s="416"/>
      <c r="O166" s="416"/>
      <c r="P166" s="416"/>
      <c r="Q166" s="417"/>
      <c r="R166" s="415"/>
      <c r="S166" s="416"/>
      <c r="T166" s="416"/>
      <c r="U166" s="416"/>
      <c r="V166" s="417"/>
      <c r="W166" s="415"/>
      <c r="X166" s="416"/>
      <c r="Y166" s="416"/>
      <c r="Z166" s="416"/>
      <c r="AA166" s="417"/>
      <c r="AB166" s="415"/>
      <c r="AC166" s="416"/>
      <c r="AD166" s="416"/>
      <c r="AE166" s="416"/>
      <c r="AF166" s="417"/>
      <c r="AG166" s="415"/>
      <c r="AH166" s="416"/>
      <c r="AI166" s="416"/>
      <c r="AJ166" s="416"/>
      <c r="AK166" s="417"/>
      <c r="AL166" s="415"/>
      <c r="AM166" s="416"/>
      <c r="AN166" s="416"/>
      <c r="AO166" s="416"/>
      <c r="AP166" s="417"/>
      <c r="AQ166" s="415"/>
      <c r="AR166" s="416"/>
      <c r="AS166" s="416"/>
      <c r="AT166" s="416"/>
      <c r="AU166" s="417"/>
      <c r="AV166" s="415"/>
      <c r="AW166" s="416"/>
      <c r="AX166" s="416"/>
      <c r="AY166" s="416"/>
      <c r="AZ166" s="417"/>
      <c r="BA166" s="415"/>
      <c r="BB166" s="416"/>
      <c r="BC166" s="416"/>
      <c r="BD166" s="416"/>
      <c r="BE166" s="417"/>
      <c r="BF166" s="415"/>
      <c r="BG166" s="416"/>
      <c r="BH166" s="416"/>
      <c r="BI166" s="416"/>
      <c r="BJ166" s="417"/>
      <c r="BK166" s="415"/>
      <c r="BL166" s="416"/>
      <c r="BM166" s="416"/>
      <c r="BN166" s="416"/>
      <c r="BO166" s="417"/>
      <c r="BP166" s="415"/>
      <c r="BQ166" s="416"/>
      <c r="BR166" s="416"/>
      <c r="BS166" s="416"/>
      <c r="BT166" s="417"/>
      <c r="BU166" s="415"/>
      <c r="BV166" s="416"/>
      <c r="BW166" s="416"/>
      <c r="BX166" s="416"/>
      <c r="BY166" s="417"/>
      <c r="BZ166" s="415"/>
      <c r="CA166" s="416"/>
      <c r="CB166" s="416"/>
      <c r="CC166" s="416"/>
      <c r="CD166" s="417"/>
      <c r="CE166" s="415"/>
      <c r="CF166" s="416"/>
      <c r="CG166" s="416"/>
      <c r="CH166" s="416"/>
      <c r="CI166" s="417"/>
      <c r="CJ166" s="415"/>
      <c r="CK166" s="416"/>
      <c r="CL166" s="416"/>
      <c r="CM166" s="416"/>
      <c r="CN166" s="417"/>
      <c r="CO166" s="415"/>
      <c r="CP166" s="416"/>
      <c r="CQ166" s="416"/>
      <c r="CR166" s="416"/>
      <c r="CS166" s="417"/>
      <c r="CT166" s="420"/>
      <c r="CU166" s="421"/>
      <c r="CV166" s="421"/>
      <c r="CW166" s="421"/>
      <c r="CX166" s="417"/>
      <c r="CY166" s="420"/>
      <c r="CZ166" s="421"/>
      <c r="DA166" s="421"/>
      <c r="DB166" s="421"/>
      <c r="DC166" s="417"/>
      <c r="DD166" s="420"/>
      <c r="DE166" s="421"/>
      <c r="DF166" s="421"/>
      <c r="DG166" s="421"/>
      <c r="DH166" s="417"/>
      <c r="DI166" s="415"/>
      <c r="DJ166" s="416"/>
      <c r="DK166" s="416"/>
      <c r="DL166" s="421"/>
      <c r="DM166" s="417"/>
      <c r="DN166" s="420"/>
      <c r="DO166" s="421"/>
      <c r="DP166" s="421"/>
      <c r="DQ166" s="421"/>
      <c r="DR166" s="417"/>
      <c r="DS166" s="420"/>
      <c r="DT166" s="421"/>
      <c r="DU166" s="421"/>
      <c r="DV166" s="421"/>
      <c r="DW166" s="417"/>
      <c r="DX166" s="420"/>
      <c r="DY166" s="421"/>
      <c r="DZ166" s="421"/>
      <c r="EA166" s="421"/>
      <c r="EB166" s="417"/>
      <c r="EC166" s="420"/>
      <c r="ED166" s="421"/>
      <c r="EE166" s="421"/>
      <c r="EF166" s="421"/>
      <c r="EG166" s="417"/>
      <c r="EH166" s="416"/>
      <c r="EI166" s="416"/>
      <c r="EJ166" s="416"/>
      <c r="EK166" s="416"/>
      <c r="EL166" s="417"/>
      <c r="EM166" s="420"/>
      <c r="EN166" s="421"/>
      <c r="EO166" s="421"/>
      <c r="EP166" s="421"/>
      <c r="EQ166" s="417"/>
      <c r="ER166" s="420"/>
      <c r="ES166" s="421"/>
      <c r="ET166" s="493">
        <v>11</v>
      </c>
      <c r="EU166" s="1351">
        <v>14</v>
      </c>
      <c r="EV166" s="417"/>
      <c r="EW166" s="442">
        <v>16</v>
      </c>
      <c r="EX166" s="1351">
        <v>19</v>
      </c>
      <c r="EY166" s="1351">
        <v>21</v>
      </c>
      <c r="EZ166" s="1351">
        <v>25</v>
      </c>
      <c r="FA166" s="417"/>
      <c r="FB166" s="415"/>
      <c r="FC166" s="416"/>
      <c r="FD166" s="416"/>
      <c r="FE166" s="416"/>
      <c r="FF166" s="417"/>
      <c r="FG166" s="415"/>
      <c r="FH166" s="416"/>
      <c r="FI166" s="416"/>
      <c r="FJ166" s="416"/>
      <c r="FK166" s="417"/>
      <c r="FL166" s="415"/>
      <c r="FM166" s="416"/>
      <c r="FN166" s="416"/>
      <c r="FO166" s="416"/>
      <c r="FP166" s="417"/>
      <c r="FQ166" s="415"/>
      <c r="FR166" s="416"/>
      <c r="FS166" s="416"/>
      <c r="FT166" s="416"/>
      <c r="FU166" s="417"/>
      <c r="FV166" s="415"/>
      <c r="FW166" s="416"/>
      <c r="FX166" s="416"/>
      <c r="FY166" s="416"/>
      <c r="FZ166" s="417"/>
      <c r="GA166" s="415"/>
      <c r="GB166" s="416"/>
      <c r="GC166" s="416"/>
      <c r="GD166" s="416"/>
      <c r="GE166" s="417"/>
      <c r="GF166" s="415"/>
      <c r="GG166" s="416"/>
      <c r="GH166" s="416"/>
      <c r="GI166" s="416"/>
      <c r="GJ166" s="418"/>
    </row>
    <row r="167" spans="1:192" s="419" customFormat="1" ht="12.75" hidden="1" customHeight="1" outlineLevel="1">
      <c r="A167" s="798"/>
      <c r="B167" s="1665" t="s">
        <v>34</v>
      </c>
      <c r="C167" s="415"/>
      <c r="D167" s="416"/>
      <c r="E167" s="416"/>
      <c r="F167" s="416"/>
      <c r="G167" s="417"/>
      <c r="H167" s="415"/>
      <c r="I167" s="416"/>
      <c r="J167" s="416"/>
      <c r="K167" s="416"/>
      <c r="L167" s="417"/>
      <c r="M167" s="415"/>
      <c r="N167" s="416"/>
      <c r="O167" s="416"/>
      <c r="P167" s="416"/>
      <c r="Q167" s="417"/>
      <c r="R167" s="415"/>
      <c r="S167" s="416"/>
      <c r="T167" s="416"/>
      <c r="U167" s="416"/>
      <c r="V167" s="417"/>
      <c r="W167" s="415"/>
      <c r="X167" s="416"/>
      <c r="Y167" s="416"/>
      <c r="Z167" s="416"/>
      <c r="AA167" s="417"/>
      <c r="AB167" s="415"/>
      <c r="AC167" s="416"/>
      <c r="AD167" s="416"/>
      <c r="AE167" s="416"/>
      <c r="AF167" s="417"/>
      <c r="AG167" s="415"/>
      <c r="AH167" s="416"/>
      <c r="AI167" s="416"/>
      <c r="AJ167" s="416"/>
      <c r="AK167" s="417"/>
      <c r="AL167" s="415"/>
      <c r="AM167" s="416"/>
      <c r="AN167" s="416"/>
      <c r="AO167" s="416"/>
      <c r="AP167" s="417"/>
      <c r="AQ167" s="415"/>
      <c r="AR167" s="416"/>
      <c r="AS167" s="416"/>
      <c r="AT167" s="416"/>
      <c r="AU167" s="417"/>
      <c r="AV167" s="415"/>
      <c r="AW167" s="416"/>
      <c r="AX167" s="416"/>
      <c r="AY167" s="416"/>
      <c r="AZ167" s="417"/>
      <c r="BA167" s="415"/>
      <c r="BB167" s="416"/>
      <c r="BC167" s="416"/>
      <c r="BD167" s="416"/>
      <c r="BE167" s="417"/>
      <c r="BF167" s="415"/>
      <c r="BG167" s="416"/>
      <c r="BH167" s="416"/>
      <c r="BI167" s="416"/>
      <c r="BJ167" s="417"/>
      <c r="BK167" s="415"/>
      <c r="BL167" s="416"/>
      <c r="BM167" s="416"/>
      <c r="BN167" s="416"/>
      <c r="BO167" s="417"/>
      <c r="BP167" s="415"/>
      <c r="BQ167" s="416"/>
      <c r="BR167" s="416"/>
      <c r="BS167" s="416"/>
      <c r="BT167" s="417"/>
      <c r="BU167" s="415"/>
      <c r="BV167" s="416"/>
      <c r="BW167" s="416"/>
      <c r="BX167" s="416"/>
      <c r="BY167" s="417"/>
      <c r="BZ167" s="415"/>
      <c r="CA167" s="416"/>
      <c r="CB167" s="416"/>
      <c r="CC167" s="416"/>
      <c r="CD167" s="417"/>
      <c r="CE167" s="415"/>
      <c r="CF167" s="416"/>
      <c r="CG167" s="416"/>
      <c r="CH167" s="416"/>
      <c r="CI167" s="417"/>
      <c r="CJ167" s="415"/>
      <c r="CK167" s="416"/>
      <c r="CL167" s="416"/>
      <c r="CM167" s="416"/>
      <c r="CN167" s="417"/>
      <c r="CO167" s="415"/>
      <c r="CP167" s="416"/>
      <c r="CQ167" s="416"/>
      <c r="CR167" s="416"/>
      <c r="CS167" s="417"/>
      <c r="CT167" s="420"/>
      <c r="CU167" s="421"/>
      <c r="CV167" s="421"/>
      <c r="CW167" s="421"/>
      <c r="CX167" s="417"/>
      <c r="CY167" s="420"/>
      <c r="CZ167" s="421"/>
      <c r="DA167" s="421"/>
      <c r="DB167" s="421"/>
      <c r="DC167" s="417"/>
      <c r="DD167" s="420"/>
      <c r="DE167" s="421"/>
      <c r="DF167" s="421"/>
      <c r="DG167" s="421"/>
      <c r="DH167" s="417"/>
      <c r="DI167" s="415"/>
      <c r="DJ167" s="416"/>
      <c r="DK167" s="416"/>
      <c r="DL167" s="421"/>
      <c r="DM167" s="417"/>
      <c r="DN167" s="420"/>
      <c r="DO167" s="421"/>
      <c r="DP167" s="421"/>
      <c r="DQ167" s="421"/>
      <c r="DR167" s="417"/>
      <c r="DS167" s="420"/>
      <c r="DT167" s="421"/>
      <c r="DU167" s="421"/>
      <c r="DV167" s="421"/>
      <c r="DW167" s="417"/>
      <c r="DX167" s="420"/>
      <c r="DY167" s="421"/>
      <c r="DZ167" s="421"/>
      <c r="EA167" s="421"/>
      <c r="EB167" s="417"/>
      <c r="EC167" s="420"/>
      <c r="ED167" s="421"/>
      <c r="EE167" s="421"/>
      <c r="EF167" s="421"/>
      <c r="EG167" s="417"/>
      <c r="EH167" s="416"/>
      <c r="EI167" s="416"/>
      <c r="EJ167" s="416"/>
      <c r="EK167" s="416"/>
      <c r="EL167" s="417"/>
      <c r="EM167" s="420"/>
      <c r="EN167" s="421"/>
      <c r="EO167" s="421"/>
      <c r="EP167" s="421"/>
      <c r="EQ167" s="417"/>
      <c r="ER167" s="420"/>
      <c r="ES167" s="421"/>
      <c r="ET167" s="493"/>
      <c r="EU167" s="1351"/>
      <c r="EV167" s="417"/>
      <c r="EW167" s="442"/>
      <c r="EX167" s="1351"/>
      <c r="EY167" s="441">
        <v>0.8</v>
      </c>
      <c r="EZ167" s="1351"/>
      <c r="FA167" s="417"/>
      <c r="FB167" s="415"/>
      <c r="FC167" s="416"/>
      <c r="FD167" s="416"/>
      <c r="FE167" s="416"/>
      <c r="FF167" s="417"/>
      <c r="FG167" s="415"/>
      <c r="FH167" s="416"/>
      <c r="FI167" s="416"/>
      <c r="FJ167" s="416"/>
      <c r="FK167" s="417"/>
      <c r="FL167" s="415"/>
      <c r="FM167" s="416"/>
      <c r="FN167" s="416"/>
      <c r="FO167" s="416"/>
      <c r="FP167" s="417"/>
      <c r="FQ167" s="415"/>
      <c r="FR167" s="416"/>
      <c r="FS167" s="416"/>
      <c r="FT167" s="416"/>
      <c r="FU167" s="417"/>
      <c r="FV167" s="415"/>
      <c r="FW167" s="416"/>
      <c r="FX167" s="416"/>
      <c r="FY167" s="416"/>
      <c r="FZ167" s="417"/>
      <c r="GA167" s="415"/>
      <c r="GB167" s="416"/>
      <c r="GC167" s="416"/>
      <c r="GD167" s="416"/>
      <c r="GE167" s="417"/>
      <c r="GF167" s="415"/>
      <c r="GG167" s="416"/>
      <c r="GH167" s="416"/>
      <c r="GI167" s="416"/>
      <c r="GJ167" s="418"/>
    </row>
    <row r="168" spans="1:192" s="419" customFormat="1" ht="12.75" hidden="1" customHeight="1" outlineLevel="1">
      <c r="A168" s="798"/>
      <c r="B168" s="1665" t="s">
        <v>36</v>
      </c>
      <c r="C168" s="415"/>
      <c r="D168" s="416"/>
      <c r="E168" s="416"/>
      <c r="F168" s="416"/>
      <c r="G168" s="417"/>
      <c r="H168" s="415"/>
      <c r="I168" s="416"/>
      <c r="J168" s="416"/>
      <c r="K168" s="416"/>
      <c r="L168" s="417"/>
      <c r="M168" s="415"/>
      <c r="N168" s="416"/>
      <c r="O168" s="416"/>
      <c r="P168" s="416"/>
      <c r="Q168" s="417"/>
      <c r="R168" s="415"/>
      <c r="S168" s="416"/>
      <c r="T168" s="416"/>
      <c r="U168" s="416"/>
      <c r="V168" s="417"/>
      <c r="W168" s="415"/>
      <c r="X168" s="416"/>
      <c r="Y168" s="416"/>
      <c r="Z168" s="416"/>
      <c r="AA168" s="417"/>
      <c r="AB168" s="415"/>
      <c r="AC168" s="416"/>
      <c r="AD168" s="416"/>
      <c r="AE168" s="416"/>
      <c r="AF168" s="417"/>
      <c r="AG168" s="415"/>
      <c r="AH168" s="416"/>
      <c r="AI168" s="416"/>
      <c r="AJ168" s="416"/>
      <c r="AK168" s="417"/>
      <c r="AL168" s="415"/>
      <c r="AM168" s="416"/>
      <c r="AN168" s="416"/>
      <c r="AO168" s="416"/>
      <c r="AP168" s="417"/>
      <c r="AQ168" s="415"/>
      <c r="AR168" s="416"/>
      <c r="AS168" s="416"/>
      <c r="AT168" s="416"/>
      <c r="AU168" s="417"/>
      <c r="AV168" s="415"/>
      <c r="AW168" s="416"/>
      <c r="AX168" s="416"/>
      <c r="AY168" s="416"/>
      <c r="AZ168" s="417"/>
      <c r="BA168" s="415"/>
      <c r="BB168" s="416"/>
      <c r="BC168" s="416"/>
      <c r="BD168" s="416"/>
      <c r="BE168" s="417"/>
      <c r="BF168" s="415"/>
      <c r="BG168" s="416"/>
      <c r="BH168" s="416"/>
      <c r="BI168" s="416"/>
      <c r="BJ168" s="417"/>
      <c r="BK168" s="415"/>
      <c r="BL168" s="416"/>
      <c r="BM168" s="416"/>
      <c r="BN168" s="416"/>
      <c r="BO168" s="417"/>
      <c r="BP168" s="415"/>
      <c r="BQ168" s="416"/>
      <c r="BR168" s="416"/>
      <c r="BS168" s="416"/>
      <c r="BT168" s="417"/>
      <c r="BU168" s="415"/>
      <c r="BV168" s="416"/>
      <c r="BW168" s="416"/>
      <c r="BX168" s="416"/>
      <c r="BY168" s="417"/>
      <c r="BZ168" s="415"/>
      <c r="CA168" s="416"/>
      <c r="CB168" s="416"/>
      <c r="CC168" s="416"/>
      <c r="CD168" s="417"/>
      <c r="CE168" s="415"/>
      <c r="CF168" s="416"/>
      <c r="CG168" s="416"/>
      <c r="CH168" s="416"/>
      <c r="CI168" s="417"/>
      <c r="CJ168" s="415"/>
      <c r="CK168" s="416"/>
      <c r="CL168" s="416"/>
      <c r="CM168" s="416"/>
      <c r="CN168" s="417"/>
      <c r="CO168" s="415"/>
      <c r="CP168" s="416"/>
      <c r="CQ168" s="416"/>
      <c r="CR168" s="416"/>
      <c r="CS168" s="417"/>
      <c r="CT168" s="420"/>
      <c r="CU168" s="421"/>
      <c r="CV168" s="421"/>
      <c r="CW168" s="421"/>
      <c r="CX168" s="417"/>
      <c r="CY168" s="420"/>
      <c r="CZ168" s="421"/>
      <c r="DA168" s="421"/>
      <c r="DB168" s="421"/>
      <c r="DC168" s="417"/>
      <c r="DD168" s="420"/>
      <c r="DE168" s="421"/>
      <c r="DF168" s="421"/>
      <c r="DG168" s="421"/>
      <c r="DH168" s="417"/>
      <c r="DI168" s="415"/>
      <c r="DJ168" s="416"/>
      <c r="DK168" s="416"/>
      <c r="DL168" s="421"/>
      <c r="DM168" s="417"/>
      <c r="DN168" s="420"/>
      <c r="DO168" s="421"/>
      <c r="DP168" s="421"/>
      <c r="DQ168" s="421"/>
      <c r="DR168" s="417"/>
      <c r="DS168" s="420"/>
      <c r="DT168" s="421"/>
      <c r="DU168" s="421"/>
      <c r="DV168" s="421"/>
      <c r="DW168" s="417"/>
      <c r="DX168" s="420"/>
      <c r="DY168" s="421"/>
      <c r="DZ168" s="421"/>
      <c r="EA168" s="421"/>
      <c r="EB168" s="417"/>
      <c r="EC168" s="420"/>
      <c r="ED168" s="421"/>
      <c r="EE168" s="421"/>
      <c r="EF168" s="421"/>
      <c r="EG168" s="417"/>
      <c r="EH168" s="416"/>
      <c r="EI168" s="416"/>
      <c r="EJ168" s="416"/>
      <c r="EK168" s="416"/>
      <c r="EL168" s="417"/>
      <c r="EM168" s="420"/>
      <c r="EN168" s="421"/>
      <c r="EO168" s="421"/>
      <c r="EP168" s="421"/>
      <c r="EQ168" s="417"/>
      <c r="ER168" s="420"/>
      <c r="ES168" s="421"/>
      <c r="ET168" s="493"/>
      <c r="EU168" s="1449">
        <f>EU166/ET166-1</f>
      </c>
      <c r="EV168" s="417"/>
      <c r="EW168" s="1449">
        <f>EW166/EU166-1</f>
      </c>
      <c r="EX168" s="1449">
        <f>EX166/EW166-1</f>
      </c>
      <c r="EY168" s="1449">
        <f>EY166/EX166-1</f>
      </c>
      <c r="EZ168" s="1351"/>
      <c r="FA168" s="417"/>
      <c r="FB168" s="415"/>
      <c r="FC168" s="416"/>
      <c r="FD168" s="416"/>
      <c r="FE168" s="416"/>
      <c r="FF168" s="417"/>
      <c r="FG168" s="415"/>
      <c r="FH168" s="416"/>
      <c r="FI168" s="416"/>
      <c r="FJ168" s="416"/>
      <c r="FK168" s="417"/>
      <c r="FL168" s="415"/>
      <c r="FM168" s="416"/>
      <c r="FN168" s="416"/>
      <c r="FO168" s="416"/>
      <c r="FP168" s="417"/>
      <c r="FQ168" s="415"/>
      <c r="FR168" s="416"/>
      <c r="FS168" s="416"/>
      <c r="FT168" s="416"/>
      <c r="FU168" s="417"/>
      <c r="FV168" s="415"/>
      <c r="FW168" s="416"/>
      <c r="FX168" s="416"/>
      <c r="FY168" s="416"/>
      <c r="FZ168" s="417"/>
      <c r="GA168" s="415"/>
      <c r="GB168" s="416"/>
      <c r="GC168" s="416"/>
      <c r="GD168" s="416"/>
      <c r="GE168" s="417"/>
      <c r="GF168" s="415"/>
      <c r="GG168" s="416"/>
      <c r="GH168" s="416"/>
      <c r="GI168" s="416"/>
      <c r="GJ168" s="418"/>
    </row>
    <row r="169" spans="1:192" s="419" customFormat="1" ht="12.75" hidden="1" customHeight="1" outlineLevel="1">
      <c r="A169" s="798"/>
      <c r="B169" s="1665" t="s">
        <v>2074</v>
      </c>
      <c r="C169" s="415"/>
      <c r="D169" s="416"/>
      <c r="E169" s="416"/>
      <c r="F169" s="416"/>
      <c r="G169" s="417"/>
      <c r="H169" s="415"/>
      <c r="I169" s="416"/>
      <c r="J169" s="416"/>
      <c r="K169" s="416"/>
      <c r="L169" s="417"/>
      <c r="M169" s="415"/>
      <c r="N169" s="416"/>
      <c r="O169" s="416"/>
      <c r="P169" s="416"/>
      <c r="Q169" s="417"/>
      <c r="R169" s="415"/>
      <c r="S169" s="416"/>
      <c r="T169" s="416"/>
      <c r="U169" s="416"/>
      <c r="V169" s="417"/>
      <c r="W169" s="415"/>
      <c r="X169" s="416"/>
      <c r="Y169" s="416"/>
      <c r="Z169" s="416"/>
      <c r="AA169" s="417"/>
      <c r="AB169" s="415"/>
      <c r="AC169" s="416"/>
      <c r="AD169" s="416"/>
      <c r="AE169" s="416"/>
      <c r="AF169" s="417"/>
      <c r="AG169" s="415"/>
      <c r="AH169" s="416"/>
      <c r="AI169" s="416"/>
      <c r="AJ169" s="416"/>
      <c r="AK169" s="417"/>
      <c r="AL169" s="415"/>
      <c r="AM169" s="416"/>
      <c r="AN169" s="416"/>
      <c r="AO169" s="416"/>
      <c r="AP169" s="417"/>
      <c r="AQ169" s="415"/>
      <c r="AR169" s="416"/>
      <c r="AS169" s="416"/>
      <c r="AT169" s="416"/>
      <c r="AU169" s="417"/>
      <c r="AV169" s="415"/>
      <c r="AW169" s="416"/>
      <c r="AX169" s="416"/>
      <c r="AY169" s="416"/>
      <c r="AZ169" s="417"/>
      <c r="BA169" s="415"/>
      <c r="BB169" s="416"/>
      <c r="BC169" s="416"/>
      <c r="BD169" s="416"/>
      <c r="BE169" s="417"/>
      <c r="BF169" s="415"/>
      <c r="BG169" s="416"/>
      <c r="BH169" s="416"/>
      <c r="BI169" s="416"/>
      <c r="BJ169" s="417"/>
      <c r="BK169" s="415"/>
      <c r="BL169" s="416"/>
      <c r="BM169" s="416"/>
      <c r="BN169" s="416"/>
      <c r="BO169" s="417"/>
      <c r="BP169" s="415"/>
      <c r="BQ169" s="416"/>
      <c r="BR169" s="416"/>
      <c r="BS169" s="416"/>
      <c r="BT169" s="417"/>
      <c r="BU169" s="415"/>
      <c r="BV169" s="416"/>
      <c r="BW169" s="416"/>
      <c r="BX169" s="416"/>
      <c r="BY169" s="417"/>
      <c r="BZ169" s="415"/>
      <c r="CA169" s="416"/>
      <c r="CB169" s="416"/>
      <c r="CC169" s="416"/>
      <c r="CD169" s="417"/>
      <c r="CE169" s="415"/>
      <c r="CF169" s="416"/>
      <c r="CG169" s="416"/>
      <c r="CH169" s="416"/>
      <c r="CI169" s="417"/>
      <c r="CJ169" s="415"/>
      <c r="CK169" s="416"/>
      <c r="CL169" s="416"/>
      <c r="CM169" s="416"/>
      <c r="CN169" s="417"/>
      <c r="CO169" s="415"/>
      <c r="CP169" s="416"/>
      <c r="CQ169" s="416"/>
      <c r="CR169" s="416"/>
      <c r="CS169" s="417"/>
      <c r="CT169" s="420"/>
      <c r="CU169" s="421"/>
      <c r="CV169" s="421"/>
      <c r="CW169" s="421"/>
      <c r="CX169" s="417"/>
      <c r="CY169" s="420"/>
      <c r="CZ169" s="421"/>
      <c r="DA169" s="421"/>
      <c r="DB169" s="421"/>
      <c r="DC169" s="417"/>
      <c r="DD169" s="420"/>
      <c r="DE169" s="421"/>
      <c r="DF169" s="421"/>
      <c r="DG169" s="421"/>
      <c r="DH169" s="417"/>
      <c r="DI169" s="415"/>
      <c r="DJ169" s="416"/>
      <c r="DK169" s="416"/>
      <c r="DL169" s="421"/>
      <c r="DM169" s="417"/>
      <c r="DN169" s="420"/>
      <c r="DO169" s="421"/>
      <c r="DP169" s="421"/>
      <c r="DQ169" s="421"/>
      <c r="DR169" s="417"/>
      <c r="DS169" s="420"/>
      <c r="DT169" s="421"/>
      <c r="DU169" s="421"/>
      <c r="DV169" s="421"/>
      <c r="DW169" s="417"/>
      <c r="DX169" s="420"/>
      <c r="DY169" s="421"/>
      <c r="DZ169" s="421"/>
      <c r="EA169" s="421"/>
      <c r="EB169" s="417"/>
      <c r="EC169" s="420"/>
      <c r="ED169" s="421"/>
      <c r="EE169" s="421"/>
      <c r="EF169" s="421"/>
      <c r="EG169" s="417"/>
      <c r="EH169" s="416"/>
      <c r="EI169" s="416"/>
      <c r="EJ169" s="416"/>
      <c r="EK169" s="416"/>
      <c r="EL169" s="417"/>
      <c r="EM169" s="420"/>
      <c r="EN169" s="421"/>
      <c r="EO169" s="421"/>
      <c r="EP169" s="421"/>
      <c r="EQ169" s="417"/>
      <c r="ER169" s="420"/>
      <c r="ES169" s="421"/>
      <c r="ET169" s="493"/>
      <c r="EU169" s="416">
        <f>EU166-ET166</f>
      </c>
      <c r="EV169" s="417"/>
      <c r="EW169" s="416">
        <f>EW166-EU166</f>
      </c>
      <c r="EX169" s="416">
        <f>EX166-EW166</f>
      </c>
      <c r="EY169" s="416">
        <f>EY166-EX166</f>
      </c>
      <c r="EZ169" s="510">
        <f>EZ166-EY166</f>
      </c>
      <c r="FA169" s="417"/>
      <c r="FB169" s="415"/>
      <c r="FC169" s="416"/>
      <c r="FD169" s="416"/>
      <c r="FE169" s="416"/>
      <c r="FF169" s="417"/>
      <c r="FG169" s="415"/>
      <c r="FH169" s="416"/>
      <c r="FI169" s="416"/>
      <c r="FJ169" s="416"/>
      <c r="FK169" s="417"/>
      <c r="FL169" s="415"/>
      <c r="FM169" s="416"/>
      <c r="FN169" s="416"/>
      <c r="FO169" s="416"/>
      <c r="FP169" s="417"/>
      <c r="FQ169" s="415"/>
      <c r="FR169" s="416"/>
      <c r="FS169" s="416"/>
      <c r="FT169" s="416"/>
      <c r="FU169" s="417"/>
      <c r="FV169" s="415"/>
      <c r="FW169" s="416"/>
      <c r="FX169" s="416"/>
      <c r="FY169" s="416"/>
      <c r="FZ169" s="417"/>
      <c r="GA169" s="415"/>
      <c r="GB169" s="416"/>
      <c r="GC169" s="416"/>
      <c r="GD169" s="416"/>
      <c r="GE169" s="417"/>
      <c r="GF169" s="415"/>
      <c r="GG169" s="416"/>
      <c r="GH169" s="416"/>
      <c r="GI169" s="416"/>
      <c r="GJ169" s="418"/>
    </row>
    <row r="170" spans="1:192" s="419" customFormat="1" ht="12.75" hidden="1" customHeight="1" outlineLevel="1">
      <c r="A170" s="798"/>
      <c r="B170" s="1665" t="s">
        <v>2032</v>
      </c>
      <c r="C170" s="415"/>
      <c r="D170" s="416"/>
      <c r="E170" s="416"/>
      <c r="F170" s="416"/>
      <c r="G170" s="417"/>
      <c r="H170" s="415"/>
      <c r="I170" s="416"/>
      <c r="J170" s="416"/>
      <c r="K170" s="416"/>
      <c r="L170" s="417"/>
      <c r="M170" s="415"/>
      <c r="N170" s="416"/>
      <c r="O170" s="416"/>
      <c r="P170" s="416"/>
      <c r="Q170" s="417"/>
      <c r="R170" s="415"/>
      <c r="S170" s="416"/>
      <c r="T170" s="416"/>
      <c r="U170" s="416"/>
      <c r="V170" s="417"/>
      <c r="W170" s="415"/>
      <c r="X170" s="416"/>
      <c r="Y170" s="416"/>
      <c r="Z170" s="416"/>
      <c r="AA170" s="417"/>
      <c r="AB170" s="415"/>
      <c r="AC170" s="416"/>
      <c r="AD170" s="416"/>
      <c r="AE170" s="416"/>
      <c r="AF170" s="417"/>
      <c r="AG170" s="415"/>
      <c r="AH170" s="416"/>
      <c r="AI170" s="416"/>
      <c r="AJ170" s="416"/>
      <c r="AK170" s="417"/>
      <c r="AL170" s="415"/>
      <c r="AM170" s="416"/>
      <c r="AN170" s="416"/>
      <c r="AO170" s="416"/>
      <c r="AP170" s="417"/>
      <c r="AQ170" s="415"/>
      <c r="AR170" s="416"/>
      <c r="AS170" s="416"/>
      <c r="AT170" s="416"/>
      <c r="AU170" s="417"/>
      <c r="AV170" s="415"/>
      <c r="AW170" s="416"/>
      <c r="AX170" s="416"/>
      <c r="AY170" s="416"/>
      <c r="AZ170" s="417"/>
      <c r="BA170" s="415"/>
      <c r="BB170" s="416"/>
      <c r="BC170" s="416"/>
      <c r="BD170" s="416"/>
      <c r="BE170" s="417"/>
      <c r="BF170" s="415"/>
      <c r="BG170" s="416"/>
      <c r="BH170" s="416"/>
      <c r="BI170" s="416"/>
      <c r="BJ170" s="417"/>
      <c r="BK170" s="415"/>
      <c r="BL170" s="416"/>
      <c r="BM170" s="416"/>
      <c r="BN170" s="416"/>
      <c r="BO170" s="417"/>
      <c r="BP170" s="415"/>
      <c r="BQ170" s="416"/>
      <c r="BR170" s="416"/>
      <c r="BS170" s="416"/>
      <c r="BT170" s="417"/>
      <c r="BU170" s="415"/>
      <c r="BV170" s="416"/>
      <c r="BW170" s="416"/>
      <c r="BX170" s="416"/>
      <c r="BY170" s="417"/>
      <c r="BZ170" s="415"/>
      <c r="CA170" s="416"/>
      <c r="CB170" s="416"/>
      <c r="CC170" s="416"/>
      <c r="CD170" s="417"/>
      <c r="CE170" s="415"/>
      <c r="CF170" s="416"/>
      <c r="CG170" s="416"/>
      <c r="CH170" s="416"/>
      <c r="CI170" s="417"/>
      <c r="CJ170" s="415"/>
      <c r="CK170" s="416"/>
      <c r="CL170" s="416"/>
      <c r="CM170" s="416"/>
      <c r="CN170" s="417"/>
      <c r="CO170" s="415"/>
      <c r="CP170" s="416"/>
      <c r="CQ170" s="416"/>
      <c r="CR170" s="416"/>
      <c r="CS170" s="417"/>
      <c r="CT170" s="420"/>
      <c r="CU170" s="421"/>
      <c r="CV170" s="421"/>
      <c r="CW170" s="421"/>
      <c r="CX170" s="417"/>
      <c r="CY170" s="420"/>
      <c r="CZ170" s="421"/>
      <c r="DA170" s="421"/>
      <c r="DB170" s="421"/>
      <c r="DC170" s="417"/>
      <c r="DD170" s="420"/>
      <c r="DE170" s="421"/>
      <c r="DF170" s="421"/>
      <c r="DG170" s="421"/>
      <c r="DH170" s="417"/>
      <c r="DI170" s="415"/>
      <c r="DJ170" s="416"/>
      <c r="DK170" s="416"/>
      <c r="DL170" s="421"/>
      <c r="DM170" s="417"/>
      <c r="DN170" s="420"/>
      <c r="DO170" s="421"/>
      <c r="DP170" s="421"/>
      <c r="DQ170" s="421"/>
      <c r="DR170" s="417"/>
      <c r="DS170" s="420"/>
      <c r="DT170" s="421"/>
      <c r="DU170" s="421"/>
      <c r="DV170" s="421"/>
      <c r="DW170" s="417"/>
      <c r="DX170" s="420"/>
      <c r="DY170" s="421"/>
      <c r="DZ170" s="421"/>
      <c r="EA170" s="421"/>
      <c r="EB170" s="417"/>
      <c r="EC170" s="420"/>
      <c r="ED170" s="421"/>
      <c r="EE170" s="421"/>
      <c r="EF170" s="421"/>
      <c r="EG170" s="417"/>
      <c r="EH170" s="416"/>
      <c r="EI170" s="416"/>
      <c r="EJ170" s="416"/>
      <c r="EK170" s="416"/>
      <c r="EL170" s="417"/>
      <c r="EM170" s="420"/>
      <c r="EN170" s="421"/>
      <c r="EO170" s="421"/>
      <c r="EP170" s="421"/>
      <c r="EQ170" s="417"/>
      <c r="ER170" s="420"/>
      <c r="ES170" s="421"/>
      <c r="ET170" s="493"/>
      <c r="EU170" s="1351"/>
      <c r="EV170" s="417"/>
      <c r="EW170" s="441">
        <v>0.7</v>
      </c>
      <c r="EX170" s="1351"/>
      <c r="EZ170" s="1351"/>
      <c r="FA170" s="417"/>
      <c r="FB170" s="415"/>
      <c r="FC170" s="416"/>
      <c r="FD170" s="416"/>
      <c r="FE170" s="416"/>
      <c r="FF170" s="417"/>
      <c r="FG170" s="415"/>
      <c r="FH170" s="416"/>
      <c r="FI170" s="416"/>
      <c r="FJ170" s="416"/>
      <c r="FK170" s="417"/>
      <c r="FL170" s="415"/>
      <c r="FM170" s="416"/>
      <c r="FN170" s="416"/>
      <c r="FO170" s="416"/>
      <c r="FP170" s="417"/>
      <c r="FQ170" s="415"/>
      <c r="FR170" s="416"/>
      <c r="FS170" s="416"/>
      <c r="FT170" s="416"/>
      <c r="FU170" s="417"/>
      <c r="FV170" s="415"/>
      <c r="FW170" s="416"/>
      <c r="FX170" s="416"/>
      <c r="FY170" s="416"/>
      <c r="FZ170" s="417"/>
      <c r="GA170" s="415"/>
      <c r="GB170" s="416"/>
      <c r="GC170" s="416"/>
      <c r="GD170" s="416"/>
      <c r="GE170" s="417"/>
      <c r="GF170" s="415"/>
      <c r="GG170" s="416"/>
      <c r="GH170" s="416"/>
      <c r="GI170" s="416"/>
      <c r="GJ170" s="418"/>
    </row>
    <row r="171" spans="1:192" s="419" customFormat="1" ht="12.75" hidden="1" customHeight="1" outlineLevel="1">
      <c r="A171" s="798"/>
      <c r="B171" s="1665" t="s">
        <v>2054</v>
      </c>
      <c r="C171" s="415"/>
      <c r="D171" s="416"/>
      <c r="E171" s="416"/>
      <c r="F171" s="416"/>
      <c r="G171" s="417"/>
      <c r="H171" s="415"/>
      <c r="I171" s="416"/>
      <c r="J171" s="416"/>
      <c r="K171" s="416"/>
      <c r="L171" s="417"/>
      <c r="M171" s="415"/>
      <c r="N171" s="416"/>
      <c r="O171" s="416"/>
      <c r="P171" s="416"/>
      <c r="Q171" s="417"/>
      <c r="R171" s="415"/>
      <c r="S171" s="416"/>
      <c r="T171" s="416"/>
      <c r="U171" s="416"/>
      <c r="V171" s="417"/>
      <c r="W171" s="415"/>
      <c r="X171" s="416"/>
      <c r="Y171" s="416"/>
      <c r="Z171" s="416"/>
      <c r="AA171" s="417"/>
      <c r="AB171" s="415"/>
      <c r="AC171" s="416"/>
      <c r="AD171" s="416"/>
      <c r="AE171" s="416"/>
      <c r="AF171" s="417"/>
      <c r="AG171" s="415"/>
      <c r="AH171" s="416"/>
      <c r="AI171" s="416"/>
      <c r="AJ171" s="416"/>
      <c r="AK171" s="417"/>
      <c r="AL171" s="415"/>
      <c r="AM171" s="416"/>
      <c r="AN171" s="416"/>
      <c r="AO171" s="416"/>
      <c r="AP171" s="417"/>
      <c r="AQ171" s="415"/>
      <c r="AR171" s="416"/>
      <c r="AS171" s="416"/>
      <c r="AT171" s="416"/>
      <c r="AU171" s="417"/>
      <c r="AV171" s="415"/>
      <c r="AW171" s="416"/>
      <c r="AX171" s="416"/>
      <c r="AY171" s="416"/>
      <c r="AZ171" s="417"/>
      <c r="BA171" s="415"/>
      <c r="BB171" s="416"/>
      <c r="BC171" s="416"/>
      <c r="BD171" s="416"/>
      <c r="BE171" s="417"/>
      <c r="BF171" s="415"/>
      <c r="BG171" s="416"/>
      <c r="BH171" s="416"/>
      <c r="BI171" s="416"/>
      <c r="BJ171" s="417"/>
      <c r="BK171" s="415"/>
      <c r="BL171" s="416"/>
      <c r="BM171" s="416"/>
      <c r="BN171" s="416"/>
      <c r="BO171" s="417"/>
      <c r="BP171" s="415"/>
      <c r="BQ171" s="416"/>
      <c r="BR171" s="416"/>
      <c r="BS171" s="416"/>
      <c r="BT171" s="417"/>
      <c r="BU171" s="415"/>
      <c r="BV171" s="416"/>
      <c r="BW171" s="416"/>
      <c r="BX171" s="416"/>
      <c r="BY171" s="417"/>
      <c r="BZ171" s="415"/>
      <c r="CA171" s="416"/>
      <c r="CB171" s="416"/>
      <c r="CC171" s="416"/>
      <c r="CD171" s="417"/>
      <c r="CE171" s="415"/>
      <c r="CF171" s="416"/>
      <c r="CG171" s="416"/>
      <c r="CH171" s="416"/>
      <c r="CI171" s="417"/>
      <c r="CJ171" s="415"/>
      <c r="CK171" s="416"/>
      <c r="CL171" s="416"/>
      <c r="CM171" s="416"/>
      <c r="CN171" s="417"/>
      <c r="CO171" s="415"/>
      <c r="CP171" s="416"/>
      <c r="CQ171" s="416"/>
      <c r="CR171" s="416"/>
      <c r="CS171" s="417"/>
      <c r="CT171" s="420"/>
      <c r="CU171" s="421"/>
      <c r="CV171" s="421"/>
      <c r="CW171" s="421"/>
      <c r="CX171" s="417"/>
      <c r="CY171" s="420"/>
      <c r="CZ171" s="421"/>
      <c r="DA171" s="421"/>
      <c r="DB171" s="421"/>
      <c r="DC171" s="417"/>
      <c r="DD171" s="420"/>
      <c r="DE171" s="421"/>
      <c r="DF171" s="421"/>
      <c r="DG171" s="421"/>
      <c r="DH171" s="417"/>
      <c r="DI171" s="415"/>
      <c r="DJ171" s="416"/>
      <c r="DK171" s="416"/>
      <c r="DL171" s="421"/>
      <c r="DM171" s="417"/>
      <c r="DN171" s="420"/>
      <c r="DO171" s="421"/>
      <c r="DP171" s="421"/>
      <c r="DQ171" s="421"/>
      <c r="DR171" s="417"/>
      <c r="DS171" s="420"/>
      <c r="DT171" s="421"/>
      <c r="DU171" s="421"/>
      <c r="DV171" s="421"/>
      <c r="DW171" s="417"/>
      <c r="DX171" s="420"/>
      <c r="DY171" s="421"/>
      <c r="DZ171" s="421"/>
      <c r="EA171" s="421"/>
      <c r="EB171" s="417"/>
      <c r="EC171" s="420"/>
      <c r="ED171" s="421"/>
      <c r="EE171" s="421"/>
      <c r="EF171" s="421"/>
      <c r="EG171" s="417"/>
      <c r="EH171" s="416"/>
      <c r="EI171" s="416"/>
      <c r="EJ171" s="416"/>
      <c r="EK171" s="416"/>
      <c r="EL171" s="417"/>
      <c r="EM171" s="420"/>
      <c r="EN171" s="421"/>
      <c r="EO171" s="421"/>
      <c r="EP171" s="421"/>
      <c r="EQ171" s="417"/>
      <c r="ER171" s="420"/>
      <c r="ES171" s="421"/>
      <c r="ET171" s="493"/>
      <c r="EU171" s="1351"/>
      <c r="EV171" s="417"/>
      <c r="EW171" s="441"/>
      <c r="EX171" s="1351"/>
      <c r="EY171" s="441" t="s">
        <v>2055</v>
      </c>
      <c r="EZ171" s="1351"/>
      <c r="FA171" s="417"/>
      <c r="FB171" s="415"/>
      <c r="FC171" s="416"/>
      <c r="FD171" s="416"/>
      <c r="FE171" s="416"/>
      <c r="FF171" s="417"/>
      <c r="FG171" s="415"/>
      <c r="FH171" s="416"/>
      <c r="FI171" s="416"/>
      <c r="FJ171" s="416"/>
      <c r="FK171" s="417"/>
      <c r="FL171" s="415"/>
      <c r="FM171" s="416"/>
      <c r="FN171" s="416"/>
      <c r="FO171" s="416"/>
      <c r="FP171" s="417"/>
      <c r="FQ171" s="415"/>
      <c r="FR171" s="416"/>
      <c r="FS171" s="416"/>
      <c r="FT171" s="416"/>
      <c r="FU171" s="417"/>
      <c r="FV171" s="415"/>
      <c r="FW171" s="416"/>
      <c r="FX171" s="416"/>
      <c r="FY171" s="416"/>
      <c r="FZ171" s="417"/>
      <c r="GA171" s="415"/>
      <c r="GB171" s="416"/>
      <c r="GC171" s="416"/>
      <c r="GD171" s="416"/>
      <c r="GE171" s="417"/>
      <c r="GF171" s="415"/>
      <c r="GG171" s="416"/>
      <c r="GH171" s="416"/>
      <c r="GI171" s="416"/>
      <c r="GJ171" s="418"/>
    </row>
    <row r="172" spans="1:192" s="419" customFormat="1" ht="12.75" hidden="1" customHeight="1" outlineLevel="1">
      <c r="A172" s="798"/>
      <c r="B172" s="1665" t="s">
        <v>2053</v>
      </c>
      <c r="C172" s="415"/>
      <c r="D172" s="416"/>
      <c r="E172" s="416"/>
      <c r="F172" s="416"/>
      <c r="G172" s="417"/>
      <c r="H172" s="415"/>
      <c r="I172" s="416"/>
      <c r="J172" s="416"/>
      <c r="K172" s="416"/>
      <c r="L172" s="417"/>
      <c r="M172" s="415"/>
      <c r="N172" s="416"/>
      <c r="O172" s="416"/>
      <c r="P172" s="416"/>
      <c r="Q172" s="417"/>
      <c r="R172" s="415"/>
      <c r="S172" s="416"/>
      <c r="T172" s="416"/>
      <c r="U172" s="416"/>
      <c r="V172" s="417"/>
      <c r="W172" s="415"/>
      <c r="X172" s="416"/>
      <c r="Y172" s="416"/>
      <c r="Z172" s="416"/>
      <c r="AA172" s="417"/>
      <c r="AB172" s="415"/>
      <c r="AC172" s="416"/>
      <c r="AD172" s="416"/>
      <c r="AE172" s="416"/>
      <c r="AF172" s="417"/>
      <c r="AG172" s="415"/>
      <c r="AH172" s="416"/>
      <c r="AI172" s="416"/>
      <c r="AJ172" s="416"/>
      <c r="AK172" s="417"/>
      <c r="AL172" s="415"/>
      <c r="AM172" s="416"/>
      <c r="AN172" s="416"/>
      <c r="AO172" s="416"/>
      <c r="AP172" s="417"/>
      <c r="AQ172" s="415"/>
      <c r="AR172" s="416"/>
      <c r="AS172" s="416"/>
      <c r="AT172" s="416"/>
      <c r="AU172" s="417"/>
      <c r="AV172" s="415"/>
      <c r="AW172" s="416"/>
      <c r="AX172" s="416"/>
      <c r="AY172" s="416"/>
      <c r="AZ172" s="417"/>
      <c r="BA172" s="415"/>
      <c r="BB172" s="416"/>
      <c r="BC172" s="416"/>
      <c r="BD172" s="416"/>
      <c r="BE172" s="417"/>
      <c r="BF172" s="415"/>
      <c r="BG172" s="416"/>
      <c r="BH172" s="416"/>
      <c r="BI172" s="416"/>
      <c r="BJ172" s="417"/>
      <c r="BK172" s="415"/>
      <c r="BL172" s="416"/>
      <c r="BM172" s="416"/>
      <c r="BN172" s="416"/>
      <c r="BO172" s="417"/>
      <c r="BP172" s="415"/>
      <c r="BQ172" s="416"/>
      <c r="BR172" s="416"/>
      <c r="BS172" s="416"/>
      <c r="BT172" s="417"/>
      <c r="BU172" s="415"/>
      <c r="BV172" s="416"/>
      <c r="BW172" s="416"/>
      <c r="BX172" s="416"/>
      <c r="BY172" s="417"/>
      <c r="BZ172" s="415"/>
      <c r="CA172" s="416"/>
      <c r="CB172" s="416"/>
      <c r="CC172" s="416"/>
      <c r="CD172" s="417"/>
      <c r="CE172" s="415"/>
      <c r="CF172" s="416"/>
      <c r="CG172" s="416"/>
      <c r="CH172" s="416"/>
      <c r="CI172" s="417"/>
      <c r="CJ172" s="415"/>
      <c r="CK172" s="416"/>
      <c r="CL172" s="416"/>
      <c r="CM172" s="416"/>
      <c r="CN172" s="417"/>
      <c r="CO172" s="415"/>
      <c r="CP172" s="416"/>
      <c r="CQ172" s="416"/>
      <c r="CR172" s="416"/>
      <c r="CS172" s="417"/>
      <c r="CT172" s="420"/>
      <c r="CU172" s="421"/>
      <c r="CV172" s="421"/>
      <c r="CW172" s="421"/>
      <c r="CX172" s="417"/>
      <c r="CY172" s="420"/>
      <c r="CZ172" s="421"/>
      <c r="DA172" s="421"/>
      <c r="DB172" s="421"/>
      <c r="DC172" s="417"/>
      <c r="DD172" s="420"/>
      <c r="DE172" s="421"/>
      <c r="DF172" s="421"/>
      <c r="DG172" s="421"/>
      <c r="DH172" s="417"/>
      <c r="DI172" s="415"/>
      <c r="DJ172" s="416"/>
      <c r="DK172" s="416"/>
      <c r="DL172" s="421"/>
      <c r="DM172" s="417"/>
      <c r="DN172" s="420"/>
      <c r="DO172" s="421"/>
      <c r="DP172" s="421"/>
      <c r="DQ172" s="421"/>
      <c r="DR172" s="417"/>
      <c r="DS172" s="420"/>
      <c r="DT172" s="421"/>
      <c r="DU172" s="421"/>
      <c r="DV172" s="421"/>
      <c r="DW172" s="417"/>
      <c r="DX172" s="420"/>
      <c r="DY172" s="421"/>
      <c r="DZ172" s="421"/>
      <c r="EA172" s="421"/>
      <c r="EB172" s="417"/>
      <c r="EC172" s="420"/>
      <c r="ED172" s="421"/>
      <c r="EE172" s="421"/>
      <c r="EF172" s="421"/>
      <c r="EG172" s="417"/>
      <c r="EH172" s="416"/>
      <c r="EI172" s="416"/>
      <c r="EJ172" s="416"/>
      <c r="EK172" s="416"/>
      <c r="EL172" s="417"/>
      <c r="EM172" s="420"/>
      <c r="EN172" s="421"/>
      <c r="EO172" s="421"/>
      <c r="EP172" s="421"/>
      <c r="EQ172" s="417"/>
      <c r="ER172" s="420"/>
      <c r="ES172" s="421"/>
      <c r="ET172" s="493"/>
      <c r="EU172" s="1351"/>
      <c r="EV172" s="417"/>
      <c r="EW172" s="441"/>
      <c r="EX172" s="1351"/>
      <c r="EY172" s="441">
        <v>0.4</v>
      </c>
      <c r="EZ172" s="1351"/>
      <c r="FA172" s="417"/>
      <c r="FB172" s="415"/>
      <c r="FC172" s="416"/>
      <c r="FD172" s="416"/>
      <c r="FE172" s="416"/>
      <c r="FF172" s="417"/>
      <c r="FG172" s="415"/>
      <c r="FH172" s="416"/>
      <c r="FI172" s="416"/>
      <c r="FJ172" s="416"/>
      <c r="FK172" s="417"/>
      <c r="FL172" s="415"/>
      <c r="FM172" s="416"/>
      <c r="FN172" s="416"/>
      <c r="FO172" s="416"/>
      <c r="FP172" s="417"/>
      <c r="FQ172" s="415"/>
      <c r="FR172" s="416"/>
      <c r="FS172" s="416"/>
      <c r="FT172" s="416"/>
      <c r="FU172" s="417"/>
      <c r="FV172" s="415"/>
      <c r="FW172" s="416"/>
      <c r="FX172" s="416"/>
      <c r="FY172" s="416"/>
      <c r="FZ172" s="417"/>
      <c r="GA172" s="415"/>
      <c r="GB172" s="416"/>
      <c r="GC172" s="416"/>
      <c r="GD172" s="416"/>
      <c r="GE172" s="417"/>
      <c r="GF172" s="415"/>
      <c r="GG172" s="416"/>
      <c r="GH172" s="416"/>
      <c r="GI172" s="416"/>
      <c r="GJ172" s="418"/>
    </row>
    <row r="173" spans="1:192" s="419" customFormat="1" ht="12.75" hidden="1" customHeight="1" outlineLevel="1">
      <c r="A173" s="798"/>
      <c r="B173" s="1665"/>
      <c r="C173" s="415"/>
      <c r="D173" s="416"/>
      <c r="E173" s="416"/>
      <c r="F173" s="416"/>
      <c r="G173" s="417"/>
      <c r="H173" s="415"/>
      <c r="I173" s="416"/>
      <c r="J173" s="416"/>
      <c r="K173" s="416"/>
      <c r="L173" s="417"/>
      <c r="M173" s="415"/>
      <c r="N173" s="416"/>
      <c r="O173" s="416"/>
      <c r="P173" s="416"/>
      <c r="Q173" s="417"/>
      <c r="R173" s="415"/>
      <c r="S173" s="416"/>
      <c r="T173" s="416"/>
      <c r="U173" s="416"/>
      <c r="V173" s="417"/>
      <c r="W173" s="415"/>
      <c r="X173" s="416"/>
      <c r="Y173" s="416"/>
      <c r="Z173" s="416"/>
      <c r="AA173" s="417"/>
      <c r="AB173" s="415"/>
      <c r="AC173" s="416"/>
      <c r="AD173" s="416"/>
      <c r="AE173" s="416"/>
      <c r="AF173" s="417"/>
      <c r="AG173" s="415"/>
      <c r="AH173" s="416"/>
      <c r="AI173" s="416"/>
      <c r="AJ173" s="416"/>
      <c r="AK173" s="417"/>
      <c r="AL173" s="415"/>
      <c r="AM173" s="416"/>
      <c r="AN173" s="416"/>
      <c r="AO173" s="416"/>
      <c r="AP173" s="417"/>
      <c r="AQ173" s="415"/>
      <c r="AR173" s="416"/>
      <c r="AS173" s="416"/>
      <c r="AT173" s="416"/>
      <c r="AU173" s="417"/>
      <c r="AV173" s="415"/>
      <c r="AW173" s="416"/>
      <c r="AX173" s="416"/>
      <c r="AY173" s="416"/>
      <c r="AZ173" s="417"/>
      <c r="BA173" s="415"/>
      <c r="BB173" s="416"/>
      <c r="BC173" s="416"/>
      <c r="BD173" s="416"/>
      <c r="BE173" s="417"/>
      <c r="BF173" s="415"/>
      <c r="BG173" s="416"/>
      <c r="BH173" s="416"/>
      <c r="BI173" s="416"/>
      <c r="BJ173" s="417"/>
      <c r="BK173" s="415"/>
      <c r="BL173" s="416"/>
      <c r="BM173" s="416"/>
      <c r="BN173" s="416"/>
      <c r="BO173" s="417"/>
      <c r="BP173" s="415"/>
      <c r="BQ173" s="416"/>
      <c r="BR173" s="416"/>
      <c r="BS173" s="416"/>
      <c r="BT173" s="417"/>
      <c r="BU173" s="415"/>
      <c r="BV173" s="416"/>
      <c r="BW173" s="416"/>
      <c r="BX173" s="416"/>
      <c r="BY173" s="417"/>
      <c r="BZ173" s="415"/>
      <c r="CA173" s="416"/>
      <c r="CB173" s="416"/>
      <c r="CC173" s="416"/>
      <c r="CD173" s="417"/>
      <c r="CE173" s="415"/>
      <c r="CF173" s="416"/>
      <c r="CG173" s="416"/>
      <c r="CH173" s="416"/>
      <c r="CI173" s="417"/>
      <c r="CJ173" s="415"/>
      <c r="CK173" s="416"/>
      <c r="CL173" s="416"/>
      <c r="CM173" s="416"/>
      <c r="CN173" s="417"/>
      <c r="CO173" s="415"/>
      <c r="CP173" s="416"/>
      <c r="CQ173" s="416"/>
      <c r="CR173" s="416"/>
      <c r="CS173" s="417"/>
      <c r="CT173" s="420"/>
      <c r="CU173" s="421"/>
      <c r="CV173" s="421"/>
      <c r="CW173" s="421"/>
      <c r="CX173" s="417"/>
      <c r="CY173" s="420"/>
      <c r="CZ173" s="421"/>
      <c r="DA173" s="421"/>
      <c r="DB173" s="421"/>
      <c r="DC173" s="417"/>
      <c r="DD173" s="420"/>
      <c r="DE173" s="421"/>
      <c r="DF173" s="421"/>
      <c r="DG173" s="421"/>
      <c r="DH173" s="417"/>
      <c r="DI173" s="415"/>
      <c r="DJ173" s="416"/>
      <c r="DK173" s="416"/>
      <c r="DL173" s="421"/>
      <c r="DM173" s="417"/>
      <c r="DN173" s="420"/>
      <c r="DO173" s="421"/>
      <c r="DP173" s="421"/>
      <c r="DQ173" s="421"/>
      <c r="DR173" s="417"/>
      <c r="DS173" s="420"/>
      <c r="DT173" s="421"/>
      <c r="DU173" s="421"/>
      <c r="DV173" s="421"/>
      <c r="DW173" s="417"/>
      <c r="DX173" s="420"/>
      <c r="DY173" s="421"/>
      <c r="DZ173" s="421"/>
      <c r="EA173" s="421"/>
      <c r="EB173" s="417"/>
      <c r="EC173" s="420"/>
      <c r="ED173" s="421"/>
      <c r="EE173" s="421"/>
      <c r="EF173" s="421"/>
      <c r="EG173" s="417"/>
      <c r="EH173" s="416"/>
      <c r="EI173" s="416"/>
      <c r="EJ173" s="416"/>
      <c r="EK173" s="416"/>
      <c r="EL173" s="417"/>
      <c r="EM173" s="420"/>
      <c r="EN173" s="421"/>
      <c r="EO173" s="421"/>
      <c r="EP173" s="421"/>
      <c r="EQ173" s="417"/>
      <c r="ER173" s="420"/>
      <c r="ES173" s="421"/>
      <c r="ET173" s="493"/>
      <c r="EU173" s="1351"/>
      <c r="EV173" s="417"/>
      <c r="EW173" s="441"/>
      <c r="EX173" s="1351"/>
      <c r="EY173" s="441"/>
      <c r="EZ173" s="1351"/>
      <c r="FA173" s="417"/>
      <c r="FB173" s="415"/>
      <c r="FC173" s="416"/>
      <c r="FD173" s="416"/>
      <c r="FE173" s="416"/>
      <c r="FF173" s="417"/>
      <c r="FG173" s="415"/>
      <c r="FH173" s="416"/>
      <c r="FI173" s="416"/>
      <c r="FJ173" s="416"/>
      <c r="FK173" s="417"/>
      <c r="FL173" s="415"/>
      <c r="FM173" s="416"/>
      <c r="FN173" s="416"/>
      <c r="FO173" s="416"/>
      <c r="FP173" s="417"/>
      <c r="FQ173" s="415"/>
      <c r="FR173" s="416"/>
      <c r="FS173" s="416"/>
      <c r="FT173" s="416"/>
      <c r="FU173" s="417"/>
      <c r="FV173" s="415"/>
      <c r="FW173" s="416"/>
      <c r="FX173" s="416"/>
      <c r="FY173" s="416"/>
      <c r="FZ173" s="417"/>
      <c r="GA173" s="415"/>
      <c r="GB173" s="416"/>
      <c r="GC173" s="416"/>
      <c r="GD173" s="416"/>
      <c r="GE173" s="417"/>
      <c r="GF173" s="415"/>
      <c r="GG173" s="416"/>
      <c r="GH173" s="416"/>
      <c r="GI173" s="416"/>
      <c r="GJ173" s="418"/>
    </row>
    <row r="174" spans="1:192" s="419" customFormat="1" ht="12.75" hidden="1" customHeight="1" outlineLevel="1">
      <c r="A174" s="798"/>
      <c r="B174" s="745" t="s">
        <v>2061</v>
      </c>
      <c r="C174" s="415"/>
      <c r="D174" s="416"/>
      <c r="E174" s="416"/>
      <c r="F174" s="416"/>
      <c r="G174" s="417"/>
      <c r="H174" s="415"/>
      <c r="I174" s="416"/>
      <c r="J174" s="416"/>
      <c r="K174" s="416"/>
      <c r="L174" s="417"/>
      <c r="M174" s="415"/>
      <c r="N174" s="416"/>
      <c r="O174" s="416"/>
      <c r="P174" s="416"/>
      <c r="Q174" s="417"/>
      <c r="R174" s="415"/>
      <c r="S174" s="416"/>
      <c r="T174" s="416"/>
      <c r="U174" s="416"/>
      <c r="V174" s="417"/>
      <c r="W174" s="415"/>
      <c r="X174" s="416"/>
      <c r="Y174" s="416"/>
      <c r="Z174" s="416"/>
      <c r="AA174" s="417"/>
      <c r="AB174" s="415"/>
      <c r="AC174" s="416"/>
      <c r="AD174" s="416"/>
      <c r="AE174" s="416"/>
      <c r="AF174" s="417"/>
      <c r="AG174" s="415"/>
      <c r="AH174" s="416"/>
      <c r="AI174" s="416"/>
      <c r="AJ174" s="416"/>
      <c r="AK174" s="417"/>
      <c r="AL174" s="415"/>
      <c r="AM174" s="416"/>
      <c r="AN174" s="416"/>
      <c r="AO174" s="416"/>
      <c r="AP174" s="417"/>
      <c r="AQ174" s="415"/>
      <c r="AR174" s="416"/>
      <c r="AS174" s="416"/>
      <c r="AT174" s="416"/>
      <c r="AU174" s="417"/>
      <c r="AV174" s="415"/>
      <c r="AW174" s="416"/>
      <c r="AX174" s="416"/>
      <c r="AY174" s="416"/>
      <c r="AZ174" s="417"/>
      <c r="BA174" s="415"/>
      <c r="BB174" s="416"/>
      <c r="BC174" s="416"/>
      <c r="BD174" s="416"/>
      <c r="BE174" s="417"/>
      <c r="BF174" s="415"/>
      <c r="BG174" s="416"/>
      <c r="BH174" s="416"/>
      <c r="BI174" s="416"/>
      <c r="BJ174" s="417"/>
      <c r="BK174" s="415"/>
      <c r="BL174" s="416"/>
      <c r="BM174" s="416"/>
      <c r="BN174" s="416"/>
      <c r="BO174" s="417"/>
      <c r="BP174" s="415"/>
      <c r="BQ174" s="416"/>
      <c r="BR174" s="416"/>
      <c r="BS174" s="416"/>
      <c r="BT174" s="417"/>
      <c r="BU174" s="415"/>
      <c r="BV174" s="416"/>
      <c r="BW174" s="416"/>
      <c r="BX174" s="416"/>
      <c r="BY174" s="417"/>
      <c r="BZ174" s="415"/>
      <c r="CA174" s="416"/>
      <c r="CB174" s="416"/>
      <c r="CC174" s="416"/>
      <c r="CD174" s="417"/>
      <c r="CE174" s="415"/>
      <c r="CF174" s="416"/>
      <c r="CG174" s="416"/>
      <c r="CH174" s="416"/>
      <c r="CI174" s="417"/>
      <c r="CJ174" s="415"/>
      <c r="CK174" s="416"/>
      <c r="CL174" s="416"/>
      <c r="CM174" s="416"/>
      <c r="CN174" s="417"/>
      <c r="CO174" s="415"/>
      <c r="CP174" s="416"/>
      <c r="CQ174" s="416"/>
      <c r="CR174" s="416"/>
      <c r="CS174" s="417"/>
      <c r="CT174" s="420"/>
      <c r="CU174" s="421"/>
      <c r="CV174" s="421"/>
      <c r="CW174" s="421"/>
      <c r="CX174" s="417"/>
      <c r="CY174" s="420"/>
      <c r="CZ174" s="421"/>
      <c r="DA174" s="421"/>
      <c r="DB174" s="421"/>
      <c r="DC174" s="417"/>
      <c r="DD174" s="420"/>
      <c r="DE174" s="421"/>
      <c r="DF174" s="421"/>
      <c r="DG174" s="421"/>
      <c r="DH174" s="417"/>
      <c r="DI174" s="415"/>
      <c r="DJ174" s="416"/>
      <c r="DK174" s="416"/>
      <c r="DL174" s="421"/>
      <c r="DM174" s="417"/>
      <c r="DN174" s="420"/>
      <c r="DO174" s="421"/>
      <c r="DP174" s="421"/>
      <c r="DQ174" s="421"/>
      <c r="DR174" s="417"/>
      <c r="DS174" s="420"/>
      <c r="DT174" s="421"/>
      <c r="DU174" s="421"/>
      <c r="DV174" s="421"/>
      <c r="DW174" s="417"/>
      <c r="DX174" s="420"/>
      <c r="DY174" s="421"/>
      <c r="DZ174" s="421"/>
      <c r="EA174" s="421"/>
      <c r="EB174" s="417"/>
      <c r="EC174" s="420"/>
      <c r="ED174" s="421"/>
      <c r="EE174" s="421"/>
      <c r="EF174" s="421"/>
      <c r="EG174" s="417"/>
      <c r="EH174" s="416"/>
      <c r="EI174" s="416"/>
      <c r="EJ174" s="416"/>
      <c r="EK174" s="416"/>
      <c r="EL174" s="417"/>
      <c r="EM174" s="420"/>
      <c r="EN174" s="421"/>
      <c r="EO174" s="421"/>
      <c r="EP174" s="421"/>
      <c r="EQ174" s="417"/>
      <c r="ER174" s="420"/>
      <c r="ES174" s="421"/>
      <c r="ET174" s="493"/>
      <c r="EU174" s="1351"/>
      <c r="EV174" s="417"/>
      <c r="EW174" s="442"/>
      <c r="EX174" s="1351"/>
      <c r="EY174" s="1351">
        <v>10</v>
      </c>
      <c r="EZ174" s="1351"/>
      <c r="FA174" s="417"/>
      <c r="FB174" s="415"/>
      <c r="FC174" s="416"/>
      <c r="FD174" s="416"/>
      <c r="FE174" s="416"/>
      <c r="FF174" s="417"/>
      <c r="FG174" s="415"/>
      <c r="FH174" s="416"/>
      <c r="FI174" s="416"/>
      <c r="FJ174" s="416"/>
      <c r="FK174" s="417"/>
      <c r="FL174" s="415"/>
      <c r="FM174" s="416"/>
      <c r="FN174" s="416"/>
      <c r="FO174" s="416"/>
      <c r="FP174" s="417"/>
      <c r="FQ174" s="415"/>
      <c r="FR174" s="416"/>
      <c r="FS174" s="416"/>
      <c r="FT174" s="416"/>
      <c r="FU174" s="417"/>
      <c r="FV174" s="415"/>
      <c r="FW174" s="416"/>
      <c r="FX174" s="416"/>
      <c r="FY174" s="416"/>
      <c r="FZ174" s="417"/>
      <c r="GA174" s="415"/>
      <c r="GB174" s="416"/>
      <c r="GC174" s="416"/>
      <c r="GD174" s="416"/>
      <c r="GE174" s="417"/>
      <c r="GF174" s="415"/>
      <c r="GG174" s="416"/>
      <c r="GH174" s="416"/>
      <c r="GI174" s="416"/>
      <c r="GJ174" s="418"/>
    </row>
    <row r="175" spans="1:192" s="419" customFormat="1" ht="12.75" customHeight="1" collapsed="1">
      <c r="A175" s="798"/>
      <c r="B175" s="749"/>
      <c r="C175" s="415"/>
      <c r="D175" s="416"/>
      <c r="E175" s="416"/>
      <c r="F175" s="416"/>
      <c r="G175" s="417"/>
      <c r="H175" s="415"/>
      <c r="I175" s="416"/>
      <c r="J175" s="416"/>
      <c r="K175" s="416"/>
      <c r="L175" s="417"/>
      <c r="M175" s="415"/>
      <c r="N175" s="416"/>
      <c r="O175" s="416"/>
      <c r="P175" s="416"/>
      <c r="Q175" s="417"/>
      <c r="R175" s="415"/>
      <c r="S175" s="416"/>
      <c r="T175" s="416"/>
      <c r="U175" s="416"/>
      <c r="V175" s="417"/>
      <c r="W175" s="415"/>
      <c r="X175" s="416"/>
      <c r="Y175" s="416"/>
      <c r="Z175" s="416"/>
      <c r="AA175" s="417"/>
      <c r="AB175" s="415"/>
      <c r="AC175" s="416"/>
      <c r="AD175" s="416"/>
      <c r="AE175" s="416"/>
      <c r="AF175" s="417"/>
      <c r="AG175" s="415"/>
      <c r="AH175" s="416"/>
      <c r="AI175" s="416"/>
      <c r="AJ175" s="416"/>
      <c r="AK175" s="417"/>
      <c r="AL175" s="415"/>
      <c r="AM175" s="416"/>
      <c r="AN175" s="416"/>
      <c r="AO175" s="416"/>
      <c r="AP175" s="417"/>
      <c r="AQ175" s="415"/>
      <c r="AR175" s="416"/>
      <c r="AS175" s="416"/>
      <c r="AT175" s="416"/>
      <c r="AU175" s="417"/>
      <c r="AV175" s="415"/>
      <c r="AW175" s="416"/>
      <c r="AX175" s="416"/>
      <c r="AY175" s="416"/>
      <c r="AZ175" s="417"/>
      <c r="BA175" s="415"/>
      <c r="BB175" s="416"/>
      <c r="BC175" s="416"/>
      <c r="BD175" s="416"/>
      <c r="BE175" s="417"/>
      <c r="BF175" s="415"/>
      <c r="BG175" s="416"/>
      <c r="BH175" s="416"/>
      <c r="BI175" s="416"/>
      <c r="BJ175" s="417"/>
      <c r="BK175" s="415"/>
      <c r="BL175" s="416"/>
      <c r="BM175" s="416"/>
      <c r="BN175" s="416"/>
      <c r="BO175" s="417"/>
      <c r="BP175" s="415"/>
      <c r="BQ175" s="416"/>
      <c r="BR175" s="416"/>
      <c r="BS175" s="416"/>
      <c r="BT175" s="417"/>
      <c r="BU175" s="415"/>
      <c r="BV175" s="416"/>
      <c r="BW175" s="416"/>
      <c r="BX175" s="416"/>
      <c r="BY175" s="417"/>
      <c r="BZ175" s="415"/>
      <c r="CA175" s="416"/>
      <c r="CB175" s="416"/>
      <c r="CC175" s="416"/>
      <c r="CD175" s="417"/>
      <c r="CE175" s="415"/>
      <c r="CF175" s="416"/>
      <c r="CG175" s="416"/>
      <c r="CH175" s="416"/>
      <c r="CI175" s="417"/>
      <c r="CJ175" s="415"/>
      <c r="CK175" s="416"/>
      <c r="CL175" s="416"/>
      <c r="CM175" s="416"/>
      <c r="CN175" s="417"/>
      <c r="CO175" s="415"/>
      <c r="CP175" s="416"/>
      <c r="CQ175" s="416"/>
      <c r="CR175" s="416"/>
      <c r="CS175" s="417"/>
      <c r="CT175" s="420"/>
      <c r="CU175" s="421"/>
      <c r="CV175" s="421"/>
      <c r="CW175" s="421"/>
      <c r="CX175" s="417"/>
      <c r="CY175" s="420"/>
      <c r="CZ175" s="421"/>
      <c r="DA175" s="421"/>
      <c r="DB175" s="421"/>
      <c r="DC175" s="417"/>
      <c r="DD175" s="420"/>
      <c r="DE175" s="421"/>
      <c r="DF175" s="421"/>
      <c r="DG175" s="421"/>
      <c r="DH175" s="417"/>
      <c r="DI175" s="415"/>
      <c r="DJ175" s="416"/>
      <c r="DK175" s="416"/>
      <c r="DL175" s="421"/>
      <c r="DM175" s="417"/>
      <c r="DN175" s="420"/>
      <c r="DO175" s="421"/>
      <c r="DP175" s="421"/>
      <c r="DQ175" s="421"/>
      <c r="DR175" s="417"/>
      <c r="DS175" s="420"/>
      <c r="DT175" s="421"/>
      <c r="DU175" s="421"/>
      <c r="DV175" s="421"/>
      <c r="DW175" s="417"/>
      <c r="DX175" s="420"/>
      <c r="DY175" s="421"/>
      <c r="DZ175" s="421"/>
      <c r="EA175" s="421"/>
      <c r="EB175" s="417"/>
      <c r="EC175" s="420"/>
      <c r="ED175" s="421"/>
      <c r="EE175" s="421"/>
      <c r="EF175" s="421"/>
      <c r="EG175" s="417"/>
      <c r="EH175" s="416"/>
      <c r="EI175" s="416"/>
      <c r="EJ175" s="416"/>
      <c r="EK175" s="416"/>
      <c r="EL175" s="417"/>
      <c r="EM175" s="420"/>
      <c r="EN175" s="421"/>
      <c r="EO175" s="421"/>
      <c r="EP175" s="421"/>
      <c r="EQ175" s="417"/>
      <c r="ER175" s="420"/>
      <c r="ES175" s="421"/>
      <c r="ET175" s="493"/>
      <c r="EU175" s="1351"/>
      <c r="EV175" s="417"/>
      <c r="EW175" s="415"/>
      <c r="EX175" s="510"/>
      <c r="EY175" s="421"/>
      <c r="EZ175" s="510"/>
      <c r="FA175" s="417"/>
      <c r="FB175" s="415"/>
      <c r="FC175" s="416"/>
      <c r="FD175" s="416"/>
      <c r="FE175" s="416"/>
      <c r="FF175" s="417"/>
      <c r="FG175" s="415"/>
      <c r="FH175" s="416"/>
      <c r="FI175" s="416"/>
      <c r="FJ175" s="416"/>
      <c r="FK175" s="417"/>
      <c r="FL175" s="415"/>
      <c r="FM175" s="416"/>
      <c r="FN175" s="416"/>
      <c r="FO175" s="416"/>
      <c r="FP175" s="417"/>
      <c r="FQ175" s="415"/>
      <c r="FR175" s="416"/>
      <c r="FS175" s="416"/>
      <c r="FT175" s="416"/>
      <c r="FU175" s="417"/>
      <c r="FV175" s="415"/>
      <c r="FW175" s="416"/>
      <c r="FX175" s="416"/>
      <c r="FY175" s="416"/>
      <c r="FZ175" s="417"/>
      <c r="GA175" s="415"/>
      <c r="GB175" s="416"/>
      <c r="GC175" s="416"/>
      <c r="GD175" s="416"/>
      <c r="GE175" s="417"/>
      <c r="GF175" s="415"/>
      <c r="GG175" s="416"/>
      <c r="GH175" s="416"/>
      <c r="GI175" s="416"/>
      <c r="GJ175" s="418"/>
    </row>
    <row r="176" spans="1:192" s="419" customFormat="1" ht="12.75" customHeight="1">
      <c r="A176" s="798"/>
      <c r="B176" s="740" t="s">
        <v>1950</v>
      </c>
      <c r="C176" s="415"/>
      <c r="D176" s="416"/>
      <c r="E176" s="416"/>
      <c r="F176" s="416"/>
      <c r="G176" s="417"/>
      <c r="H176" s="415"/>
      <c r="I176" s="416"/>
      <c r="J176" s="416"/>
      <c r="K176" s="416"/>
      <c r="L176" s="417"/>
      <c r="M176" s="415"/>
      <c r="N176" s="416"/>
      <c r="O176" s="416"/>
      <c r="P176" s="416"/>
      <c r="Q176" s="417"/>
      <c r="R176" s="415"/>
      <c r="S176" s="416"/>
      <c r="T176" s="416"/>
      <c r="U176" s="416"/>
      <c r="V176" s="417"/>
      <c r="W176" s="415"/>
      <c r="X176" s="416"/>
      <c r="Y176" s="416"/>
      <c r="Z176" s="416"/>
      <c r="AA176" s="417"/>
      <c r="AB176" s="415"/>
      <c r="AC176" s="416"/>
      <c r="AD176" s="416"/>
      <c r="AE176" s="416"/>
      <c r="AF176" s="417"/>
      <c r="AG176" s="415"/>
      <c r="AH176" s="416"/>
      <c r="AI176" s="416"/>
      <c r="AJ176" s="416"/>
      <c r="AK176" s="417"/>
      <c r="AL176" s="415"/>
      <c r="AM176" s="416"/>
      <c r="AN176" s="416"/>
      <c r="AO176" s="416"/>
      <c r="AP176" s="417"/>
      <c r="AQ176" s="415"/>
      <c r="AR176" s="416"/>
      <c r="AS176" s="416"/>
      <c r="AT176" s="416"/>
      <c r="AU176" s="417"/>
      <c r="AV176" s="415"/>
      <c r="AW176" s="416"/>
      <c r="AX176" s="416"/>
      <c r="AY176" s="416"/>
      <c r="AZ176" s="417"/>
      <c r="BA176" s="415"/>
      <c r="BB176" s="416"/>
      <c r="BC176" s="416"/>
      <c r="BD176" s="416"/>
      <c r="BE176" s="417"/>
      <c r="BF176" s="415"/>
      <c r="BG176" s="416"/>
      <c r="BH176" s="416"/>
      <c r="BI176" s="416"/>
      <c r="BJ176" s="417"/>
      <c r="BK176" s="415"/>
      <c r="BL176" s="416"/>
      <c r="BM176" s="416"/>
      <c r="BN176" s="416"/>
      <c r="BO176" s="417"/>
      <c r="BP176" s="415"/>
      <c r="BQ176" s="416"/>
      <c r="BR176" s="416"/>
      <c r="BS176" s="416"/>
      <c r="BT176" s="417"/>
      <c r="BU176" s="415"/>
      <c r="BV176" s="416"/>
      <c r="BW176" s="416"/>
      <c r="BX176" s="416"/>
      <c r="BY176" s="417"/>
      <c r="BZ176" s="415"/>
      <c r="CA176" s="416"/>
      <c r="CB176" s="416"/>
      <c r="CC176" s="416"/>
      <c r="CD176" s="417"/>
      <c r="CE176" s="415"/>
      <c r="CF176" s="416"/>
      <c r="CG176" s="416"/>
      <c r="CH176" s="416"/>
      <c r="CI176" s="417"/>
      <c r="CJ176" s="415"/>
      <c r="CK176" s="416"/>
      <c r="CL176" s="416"/>
      <c r="CM176" s="416"/>
      <c r="CN176" s="417"/>
      <c r="CO176" s="415"/>
      <c r="CP176" s="416"/>
      <c r="CQ176" s="416"/>
      <c r="CR176" s="416"/>
      <c r="CS176" s="417"/>
      <c r="CT176" s="420"/>
      <c r="CU176" s="421"/>
      <c r="CV176" s="421"/>
      <c r="CW176" s="421"/>
      <c r="CX176" s="417"/>
      <c r="CY176" s="420"/>
      <c r="CZ176" s="421"/>
      <c r="DA176" s="421"/>
      <c r="DB176" s="421"/>
      <c r="DC176" s="417"/>
      <c r="DD176" s="420"/>
      <c r="DE176" s="421"/>
      <c r="DF176" s="421"/>
      <c r="DG176" s="421"/>
      <c r="DH176" s="417"/>
      <c r="DI176" s="415"/>
      <c r="DJ176" s="416"/>
      <c r="DK176" s="416"/>
      <c r="DL176" s="421"/>
      <c r="DM176" s="417"/>
      <c r="DN176" s="420"/>
      <c r="DO176" s="421"/>
      <c r="DP176" s="421"/>
      <c r="DQ176" s="421"/>
      <c r="DR176" s="417"/>
      <c r="DS176" s="420"/>
      <c r="DT176" s="421"/>
      <c r="DU176" s="421"/>
      <c r="DV176" s="421"/>
      <c r="DW176" s="417"/>
      <c r="DX176" s="420"/>
      <c r="DY176" s="421"/>
      <c r="DZ176" s="421"/>
      <c r="EA176" s="421"/>
      <c r="EB176" s="417"/>
      <c r="EC176" s="420"/>
      <c r="ED176" s="421"/>
      <c r="EE176" s="421"/>
      <c r="EF176" s="421"/>
      <c r="EG176" s="417"/>
      <c r="EH176" s="416"/>
      <c r="EI176" s="416"/>
      <c r="EJ176" s="416"/>
      <c r="EK176" s="416"/>
      <c r="EL176" s="417"/>
      <c r="EM176" s="420"/>
      <c r="EN176" s="421"/>
      <c r="EO176" s="421"/>
      <c r="EP176" s="421"/>
      <c r="EQ176" s="417"/>
      <c r="ER176" s="420"/>
      <c r="ES176" s="421"/>
      <c r="ET176" s="493"/>
      <c r="EU176" s="1351"/>
      <c r="EV176" s="417"/>
      <c r="EW176" s="415"/>
      <c r="EX176" s="510"/>
      <c r="EY176" s="416"/>
      <c r="EZ176" s="416"/>
      <c r="FA176" s="417"/>
      <c r="FB176" s="415"/>
      <c r="FC176" s="416"/>
      <c r="FD176" s="416"/>
      <c r="FE176" s="416"/>
      <c r="FF176" s="417"/>
      <c r="FG176" s="415"/>
      <c r="FH176" s="416"/>
      <c r="FI176" s="416"/>
      <c r="FJ176" s="416"/>
      <c r="FK176" s="417"/>
      <c r="FL176" s="415"/>
      <c r="FM176" s="416"/>
      <c r="FN176" s="416"/>
      <c r="FO176" s="416"/>
      <c r="FP176" s="417"/>
      <c r="FQ176" s="415"/>
      <c r="FR176" s="416"/>
      <c r="FS176" s="416"/>
      <c r="FT176" s="416"/>
      <c r="FU176" s="417"/>
      <c r="FV176" s="415"/>
      <c r="FW176" s="416"/>
      <c r="FX176" s="416"/>
      <c r="FY176" s="416"/>
      <c r="FZ176" s="417"/>
      <c r="GA176" s="415"/>
      <c r="GB176" s="416"/>
      <c r="GC176" s="416"/>
      <c r="GD176" s="416"/>
      <c r="GE176" s="417"/>
      <c r="GF176" s="415"/>
      <c r="GG176" s="416"/>
      <c r="GH176" s="416"/>
      <c r="GI176" s="416"/>
      <c r="GJ176" s="418"/>
    </row>
    <row r="177" spans="1:192" s="406" customFormat="1" ht="12.75" hidden="1" customHeight="1" outlineLevel="1">
      <c r="A177" s="797"/>
      <c r="B177" s="748" t="s">
        <v>1964</v>
      </c>
      <c r="C177" s="403"/>
      <c r="D177" s="404"/>
      <c r="E177" s="404"/>
      <c r="F177" s="404"/>
      <c r="G177" s="405"/>
      <c r="H177" s="403"/>
      <c r="I177" s="404"/>
      <c r="J177" s="404"/>
      <c r="K177" s="404"/>
      <c r="L177" s="405"/>
      <c r="M177" s="403"/>
      <c r="N177" s="404"/>
      <c r="O177" s="404"/>
      <c r="P177" s="404"/>
      <c r="Q177" s="405"/>
      <c r="R177" s="403"/>
      <c r="S177" s="404"/>
      <c r="T177" s="404"/>
      <c r="U177" s="404"/>
      <c r="V177" s="405"/>
      <c r="W177" s="403"/>
      <c r="X177" s="404"/>
      <c r="Y177" s="404"/>
      <c r="Z177" s="404"/>
      <c r="AA177" s="405"/>
      <c r="AB177" s="403"/>
      <c r="AC177" s="404"/>
      <c r="AD177" s="404"/>
      <c r="AE177" s="404"/>
      <c r="AF177" s="405"/>
      <c r="AG177" s="403"/>
      <c r="AH177" s="404"/>
      <c r="AI177" s="404"/>
      <c r="AJ177" s="404"/>
      <c r="AK177" s="405"/>
      <c r="AL177" s="403"/>
      <c r="AM177" s="404"/>
      <c r="AN177" s="404"/>
      <c r="AO177" s="404"/>
      <c r="AP177" s="405"/>
      <c r="AQ177" s="403"/>
      <c r="AR177" s="404"/>
      <c r="AS177" s="404"/>
      <c r="AT177" s="404"/>
      <c r="AU177" s="405"/>
      <c r="AV177" s="403"/>
      <c r="AW177" s="404"/>
      <c r="AX177" s="404"/>
      <c r="AY177" s="404"/>
      <c r="AZ177" s="405"/>
      <c r="BA177" s="403"/>
      <c r="BB177" s="404"/>
      <c r="BC177" s="404"/>
      <c r="BD177" s="404"/>
      <c r="BE177" s="405"/>
      <c r="BF177" s="403"/>
      <c r="BG177" s="404"/>
      <c r="BH177" s="404"/>
      <c r="BI177" s="404"/>
      <c r="BJ177" s="405"/>
      <c r="BK177" s="403"/>
      <c r="BL177" s="404"/>
      <c r="BM177" s="404"/>
      <c r="BN177" s="404"/>
      <c r="BO177" s="405"/>
      <c r="BP177" s="403"/>
      <c r="BQ177" s="404"/>
      <c r="BR177" s="404"/>
      <c r="BS177" s="404"/>
      <c r="BT177" s="405"/>
      <c r="BU177" s="403"/>
      <c r="BV177" s="404"/>
      <c r="BW177" s="404"/>
      <c r="BX177" s="404"/>
      <c r="BY177" s="405"/>
      <c r="BZ177" s="403"/>
      <c r="CA177" s="404"/>
      <c r="CB177" s="404"/>
      <c r="CC177" s="404"/>
      <c r="CD177" s="405"/>
      <c r="CE177" s="403"/>
      <c r="CF177" s="404"/>
      <c r="CG177" s="404"/>
      <c r="CH177" s="404"/>
      <c r="CI177" s="405"/>
      <c r="CJ177" s="316">
        <v>18</v>
      </c>
      <c r="CK177" s="312">
        <f>CP177/(1+CP178)</f>
      </c>
      <c r="CL177" s="312">
        <f>CQ177/(1+CQ178)</f>
      </c>
      <c r="CM177" s="312">
        <f>CR177/(1+CR178)</f>
      </c>
      <c r="CN177" s="456">
        <f>SUM(CJ177:CM177)</f>
      </c>
      <c r="CO177" s="312">
        <f>CT177/(1+CT178)</f>
      </c>
      <c r="CP177" s="312">
        <f>CU177/(1+CU178)</f>
      </c>
      <c r="CQ177" s="312">
        <f>CV177/(1+CV178)</f>
      </c>
      <c r="CR177" s="312">
        <f>CW177/(1+CW178)</f>
      </c>
      <c r="CS177" s="456">
        <f>SUM(CO177:CR177)</f>
      </c>
      <c r="CT177" s="312">
        <f>CY177/(1+CY178)</f>
      </c>
      <c r="CU177" s="312">
        <f>CZ177/(1+CZ178)</f>
      </c>
      <c r="CV177" s="312">
        <f>DA177/(1+DA178)</f>
      </c>
      <c r="CW177" s="312">
        <f>DB177/(1+DB178)</f>
      </c>
      <c r="CX177" s="456">
        <f>SUM(CT177:CW177)</f>
      </c>
      <c r="CY177" s="312">
        <f>DD177/(1+DD178)</f>
      </c>
      <c r="CZ177" s="312">
        <f>DE177/(1+DE178)</f>
      </c>
      <c r="DA177" s="312">
        <f>DF177/(1+DF178)</f>
      </c>
      <c r="DB177" s="312">
        <f>DG177/(1+DG178)</f>
      </c>
      <c r="DC177" s="456">
        <f>SUM(CY177:DB177)</f>
      </c>
      <c r="DD177" s="312">
        <f>DI177/(1+DI178)</f>
      </c>
      <c r="DE177" s="312">
        <f>DJ177/(1+DJ178)</f>
      </c>
      <c r="DF177" s="312">
        <f>DK177/(1+DK178)</f>
      </c>
      <c r="DG177" s="312">
        <f>DL177/(1+DL178)</f>
      </c>
      <c r="DH177" s="456">
        <f>SUM(DD177:DG177)</f>
      </c>
      <c r="DI177" s="312">
        <f>DN177/(1+DN178)</f>
      </c>
      <c r="DJ177" s="312">
        <f>DO177/(1+DO178)</f>
      </c>
      <c r="DK177" s="312">
        <f>DP177/(1+DP178)</f>
      </c>
      <c r="DL177" s="312">
        <f>DQ177/(1+DQ178)</f>
      </c>
      <c r="DM177" s="456">
        <f>SUM(DI177:DL177)</f>
      </c>
      <c r="DN177" s="312">
        <f>DS177/(1+DS178)</f>
      </c>
      <c r="DO177" s="312">
        <f>DT177/(1+DT178)</f>
      </c>
      <c r="DP177" s="312">
        <f>DU177/(1+DU178)</f>
      </c>
      <c r="DQ177" s="312">
        <f>DV177/(1+DV178)</f>
      </c>
      <c r="DR177" s="456">
        <f>SUM(DN177:DQ177)</f>
      </c>
      <c r="DS177" s="312">
        <f>DX177/(1+DX178)</f>
      </c>
      <c r="DT177" s="312">
        <f>DY177/(1+DY178)</f>
      </c>
      <c r="DU177" s="312">
        <f>DZ177/(1+DZ178)</f>
      </c>
      <c r="DV177" s="312">
        <f>EA103/EA178</f>
      </c>
      <c r="DW177" s="456">
        <f>SUM(DS177:DV177)</f>
      </c>
      <c r="DX177" s="312">
        <f>EC177/(1+EC178)</f>
      </c>
      <c r="DY177" s="312">
        <f>ED177/(1+ED178)</f>
      </c>
      <c r="DZ177" s="312">
        <f>EE177/(1+EE178)</f>
      </c>
      <c r="EA177" s="1384">
        <f>DV177*(1+EA178)</f>
      </c>
      <c r="EB177" s="456">
        <f>SUM(DX177:EA177)</f>
      </c>
      <c r="EC177" s="312">
        <f>EH177/(1+EH178)</f>
      </c>
      <c r="ED177" s="312">
        <f>ED99*ED183</f>
      </c>
      <c r="EE177" s="312">
        <f>EE99*EE183</f>
      </c>
      <c r="EF177" s="312">
        <f>EA177*(1+EF178)</f>
      </c>
      <c r="EG177" s="456">
        <f>SUM(EC177:EF177)</f>
      </c>
      <c r="EH177" s="312">
        <f>EM103/EM178</f>
      </c>
      <c r="EI177" s="312">
        <f>ED177*(1+EI178)</f>
      </c>
      <c r="EJ177" s="312">
        <f>EE177*(1+EJ178)</f>
      </c>
      <c r="EK177" s="312">
        <f>EF177*(1+EK178)</f>
      </c>
      <c r="EL177" s="456">
        <f>SUM(EH177:EK177)</f>
      </c>
      <c r="EM177" s="1384">
        <f>EH177*(1+EM178)</f>
      </c>
      <c r="EN177" s="312">
        <f>EI177*(1+EN178)</f>
      </c>
      <c r="EO177" s="312">
        <f>EJ177*(1+EO178)</f>
      </c>
      <c r="EP177" s="312">
        <f>EK177*(1+EP178)</f>
      </c>
      <c r="EQ177" s="456">
        <f>SUM(EM177:EP177)</f>
      </c>
      <c r="ER177" s="312">
        <f>EM177*(1+ER178)</f>
      </c>
      <c r="ES177" s="312">
        <f>EN177*(1+ES178)</f>
      </c>
      <c r="ET177" s="312">
        <f>EO177*(1+ET178)</f>
      </c>
      <c r="EU177" s="312">
        <f>EP177*(1+EU178)</f>
      </c>
      <c r="EV177" s="456">
        <f>SUM(ER177:EU177)</f>
      </c>
      <c r="EW177" s="1159"/>
      <c r="EX177" s="1159"/>
      <c r="EY177" s="312"/>
      <c r="EZ177" s="312"/>
      <c r="FA177" s="456"/>
      <c r="FB177" s="312"/>
      <c r="FC177" s="312"/>
      <c r="FD177" s="312"/>
      <c r="FE177" s="312"/>
      <c r="FF177" s="456"/>
      <c r="FG177" s="312"/>
      <c r="FH177" s="312"/>
      <c r="FI177" s="312"/>
      <c r="FJ177" s="312"/>
      <c r="FK177" s="456"/>
      <c r="FL177" s="312"/>
      <c r="FM177" s="312"/>
      <c r="FN177" s="312"/>
      <c r="FO177" s="312"/>
      <c r="FP177" s="456"/>
      <c r="FQ177" s="312"/>
      <c r="FR177" s="312"/>
      <c r="FS177" s="312"/>
      <c r="FT177" s="312"/>
      <c r="FU177" s="456"/>
      <c r="FV177" s="312"/>
      <c r="FW177" s="312"/>
      <c r="FX177" s="312"/>
      <c r="FY177" s="312"/>
      <c r="FZ177" s="456"/>
      <c r="GA177" s="312"/>
      <c r="GB177" s="312"/>
      <c r="GC177" s="312"/>
      <c r="GD177" s="312"/>
      <c r="GE177" s="456"/>
      <c r="GF177" s="312"/>
      <c r="GG177" s="312"/>
      <c r="GH177" s="312"/>
      <c r="GI177" s="312"/>
      <c r="GJ177" s="499"/>
    </row>
    <row r="178" spans="1:192" s="1241" customFormat="1" ht="12.75" hidden="1" customHeight="1" outlineLevel="1">
      <c r="A178" s="1237"/>
      <c r="B178" s="735" t="s">
        <v>34</v>
      </c>
      <c r="C178" s="892"/>
      <c r="D178" s="924"/>
      <c r="E178" s="924"/>
      <c r="F178" s="924"/>
      <c r="G178" s="893"/>
      <c r="H178" s="892"/>
      <c r="I178" s="924"/>
      <c r="J178" s="924"/>
      <c r="K178" s="924"/>
      <c r="L178" s="893"/>
      <c r="M178" s="892"/>
      <c r="N178" s="924"/>
      <c r="O178" s="924"/>
      <c r="P178" s="924"/>
      <c r="Q178" s="893"/>
      <c r="R178" s="892"/>
      <c r="S178" s="924"/>
      <c r="T178" s="924"/>
      <c r="U178" s="924"/>
      <c r="V178" s="893"/>
      <c r="W178" s="892"/>
      <c r="X178" s="924"/>
      <c r="Y178" s="924"/>
      <c r="Z178" s="924"/>
      <c r="AA178" s="893"/>
      <c r="AB178" s="892"/>
      <c r="AC178" s="924"/>
      <c r="AD178" s="924"/>
      <c r="AE178" s="924"/>
      <c r="AF178" s="893"/>
      <c r="AG178" s="892"/>
      <c r="AH178" s="924"/>
      <c r="AI178" s="924"/>
      <c r="AJ178" s="924"/>
      <c r="AK178" s="893"/>
      <c r="AL178" s="892"/>
      <c r="AM178" s="924"/>
      <c r="AN178" s="924"/>
      <c r="AO178" s="924"/>
      <c r="AP178" s="893"/>
      <c r="AQ178" s="892"/>
      <c r="AR178" s="924"/>
      <c r="AS178" s="924"/>
      <c r="AT178" s="924"/>
      <c r="AU178" s="893"/>
      <c r="AV178" s="892"/>
      <c r="AW178" s="924"/>
      <c r="AX178" s="924"/>
      <c r="AY178" s="924"/>
      <c r="AZ178" s="893"/>
      <c r="BA178" s="892"/>
      <c r="BB178" s="924"/>
      <c r="BC178" s="924"/>
      <c r="BD178" s="924"/>
      <c r="BE178" s="893"/>
      <c r="BF178" s="892"/>
      <c r="BG178" s="924"/>
      <c r="BH178" s="924"/>
      <c r="BI178" s="924"/>
      <c r="BJ178" s="893"/>
      <c r="BK178" s="892"/>
      <c r="BL178" s="924"/>
      <c r="BM178" s="924"/>
      <c r="BN178" s="924"/>
      <c r="BO178" s="893"/>
      <c r="BP178" s="892"/>
      <c r="BQ178" s="924"/>
      <c r="BR178" s="924"/>
      <c r="BS178" s="924"/>
      <c r="BT178" s="893"/>
      <c r="BU178" s="892"/>
      <c r="BV178" s="924"/>
      <c r="BW178" s="924"/>
      <c r="BX178" s="924"/>
      <c r="BY178" s="893"/>
      <c r="BZ178" s="892"/>
      <c r="CA178" s="924"/>
      <c r="CB178" s="924"/>
      <c r="CC178" s="924"/>
      <c r="CD178" s="893"/>
      <c r="CE178" s="892"/>
      <c r="CF178" s="924"/>
      <c r="CG178" s="924"/>
      <c r="CH178" s="924"/>
      <c r="CI178" s="893"/>
      <c r="CJ178" s="505"/>
      <c r="CK178" s="924"/>
      <c r="CL178" s="924"/>
      <c r="CM178" s="924"/>
      <c r="CN178" s="893"/>
      <c r="CO178" s="1328">
        <v>0.48</v>
      </c>
      <c r="CP178" s="1327">
        <v>1.32</v>
      </c>
      <c r="CQ178" s="1327">
        <v>1.62</v>
      </c>
      <c r="CR178" s="1327">
        <v>2.4</v>
      </c>
      <c r="CS178" s="893">
        <f>CS177/CN177-1</f>
      </c>
      <c r="CT178" s="1328">
        <v>1.92</v>
      </c>
      <c r="CU178" s="1327">
        <v>1.17</v>
      </c>
      <c r="CV178" s="1327">
        <v>1.55</v>
      </c>
      <c r="CW178" s="1327">
        <v>1.0900000000000001</v>
      </c>
      <c r="CX178" s="893">
        <f>CX177/CS177-1</f>
      </c>
      <c r="CY178" s="1238">
        <v>1.21</v>
      </c>
      <c r="CZ178" s="1327">
        <v>0.93</v>
      </c>
      <c r="DA178" s="1327">
        <v>0.95</v>
      </c>
      <c r="DB178" s="1327">
        <v>1.1499999999999999</v>
      </c>
      <c r="DC178" s="893">
        <f>DC177/CX177-1</f>
      </c>
      <c r="DD178" s="349">
        <f>DD179+(DD51-DD52)</f>
      </c>
      <c r="DE178" s="468">
        <f>DE179+(DE51-DE52)</f>
      </c>
      <c r="DF178" s="468">
        <f>DF179+(DF51-DF52)</f>
      </c>
      <c r="DG178" s="1117">
        <v>1.02</v>
      </c>
      <c r="DH178" s="893">
        <f>DH177/DC177-1</f>
      </c>
      <c r="DI178" s="1238">
        <v>1.1599999999999999</v>
      </c>
      <c r="DJ178" s="1117">
        <v>0.93</v>
      </c>
      <c r="DK178" s="1117">
        <v>0.93</v>
      </c>
      <c r="DL178" s="1117">
        <v>0.97</v>
      </c>
      <c r="DM178" s="893">
        <f>DM177/DH177-1</f>
      </c>
      <c r="DN178" s="1238">
        <v>0.9</v>
      </c>
      <c r="DO178" s="1117">
        <v>0.98</v>
      </c>
      <c r="DP178" s="1117">
        <v>0.93</v>
      </c>
      <c r="DQ178" s="1117">
        <v>0.89</v>
      </c>
      <c r="DR178" s="893">
        <f>DR177/DM177-1</f>
      </c>
      <c r="DS178" s="1238">
        <v>0.76</v>
      </c>
      <c r="DT178" s="1117">
        <v>0.76</v>
      </c>
      <c r="DU178" s="1117">
        <v>0.73</v>
      </c>
      <c r="DV178" s="1117">
        <v>0.64</v>
      </c>
      <c r="DW178" s="893">
        <f>DW177/DR177-1</f>
      </c>
      <c r="DX178" s="1238">
        <v>0.59</v>
      </c>
      <c r="DY178" s="1117">
        <v>0.62</v>
      </c>
      <c r="DZ178" s="1117">
        <v>0.59</v>
      </c>
      <c r="EA178" s="1117">
        <v>0.47</v>
      </c>
      <c r="EB178" s="893">
        <f>EB177/DW177-1</f>
      </c>
      <c r="EC178" s="1238">
        <v>0.48</v>
      </c>
      <c r="ED178" s="1117">
        <v>0.5</v>
      </c>
      <c r="EE178" s="1117">
        <v>0.5</v>
      </c>
      <c r="EF178" s="1117">
        <v>0.51</v>
      </c>
      <c r="EG178" s="893">
        <f>EG177/EB177-1</f>
      </c>
      <c r="EH178" s="1238">
        <v>0.5</v>
      </c>
      <c r="EI178" s="1117">
        <v>0.46</v>
      </c>
      <c r="EJ178" s="1117">
        <v>0.46</v>
      </c>
      <c r="EK178" s="1117">
        <v>0.4</v>
      </c>
      <c r="EL178" s="1325">
        <v>0.45</v>
      </c>
      <c r="EM178" s="1238">
        <v>0.35</v>
      </c>
      <c r="EN178" s="1117">
        <v>0.31</v>
      </c>
      <c r="EO178" s="1117">
        <v>0.27</v>
      </c>
      <c r="EP178" s="1117">
        <v>0.26</v>
      </c>
      <c r="EQ178" s="893">
        <f>EQ177/EL177-1</f>
      </c>
      <c r="ER178" s="1238">
        <v>0.28999999999999998</v>
      </c>
      <c r="ES178" s="1117">
        <v>0.3</v>
      </c>
      <c r="ET178" s="1327">
        <v>0.31</v>
      </c>
      <c r="EU178" s="1327">
        <v>0.28999999999999998</v>
      </c>
      <c r="EV178" s="893">
        <f>EV177/EQ177-1</f>
      </c>
      <c r="EW178" s="1328"/>
      <c r="EX178" s="1328"/>
      <c r="EY178" s="1328"/>
      <c r="EZ178" s="1328"/>
      <c r="FA178" s="893"/>
      <c r="FB178" s="1238"/>
      <c r="FC178" s="1238"/>
      <c r="FD178" s="1238"/>
      <c r="FE178" s="1238"/>
      <c r="FF178" s="893"/>
      <c r="FG178" s="1238"/>
      <c r="FH178" s="1238"/>
      <c r="FI178" s="1238"/>
      <c r="FJ178" s="1238"/>
      <c r="FK178" s="893"/>
      <c r="FL178" s="1238"/>
      <c r="FM178" s="1238"/>
      <c r="FN178" s="1238"/>
      <c r="FO178" s="1238"/>
      <c r="FP178" s="893"/>
      <c r="FQ178" s="1238"/>
      <c r="FR178" s="1238"/>
      <c r="FS178" s="1238"/>
      <c r="FT178" s="1238"/>
      <c r="FU178" s="893"/>
      <c r="FV178" s="1238"/>
      <c r="FW178" s="1238"/>
      <c r="FX178" s="1238"/>
      <c r="FY178" s="1238"/>
      <c r="FZ178" s="893"/>
      <c r="GA178" s="1238"/>
      <c r="GB178" s="1238"/>
      <c r="GC178" s="1238"/>
      <c r="GD178" s="1238"/>
      <c r="GE178" s="893"/>
      <c r="GF178" s="1238"/>
      <c r="GG178" s="1238"/>
      <c r="GH178" s="1238"/>
      <c r="GI178" s="1238"/>
      <c r="GJ178" s="1199"/>
    </row>
    <row r="179" spans="1:192" ht="12.75" hidden="1" customHeight="1" outlineLevel="1">
      <c r="B179" s="735" t="s">
        <v>197</v>
      </c>
      <c r="C179" s="291"/>
      <c r="D179" s="107"/>
      <c r="E179" s="107"/>
      <c r="F179" s="107"/>
      <c r="G179" s="293"/>
      <c r="H179" s="291"/>
      <c r="I179" s="107"/>
      <c r="J179" s="107"/>
      <c r="K179" s="107"/>
      <c r="L179" s="293"/>
      <c r="M179" s="291"/>
      <c r="N179" s="107"/>
      <c r="O179" s="107"/>
      <c r="P179" s="107"/>
      <c r="Q179" s="293"/>
      <c r="R179" s="291"/>
      <c r="S179" s="107"/>
      <c r="T179" s="107"/>
      <c r="U179" s="107"/>
      <c r="V179" s="293"/>
      <c r="W179" s="291"/>
      <c r="X179" s="107"/>
      <c r="Y179" s="107"/>
      <c r="Z179" s="107"/>
      <c r="AA179" s="293"/>
      <c r="AB179" s="291"/>
      <c r="AC179" s="107"/>
      <c r="AD179" s="107"/>
      <c r="AE179" s="107"/>
      <c r="AF179" s="293"/>
      <c r="AG179" s="291"/>
      <c r="AH179" s="107"/>
      <c r="AI179" s="107"/>
      <c r="AJ179" s="107"/>
      <c r="AK179" s="293"/>
      <c r="AL179" s="291"/>
      <c r="AM179" s="107"/>
      <c r="AN179" s="107"/>
      <c r="AO179" s="107"/>
      <c r="AP179" s="293"/>
      <c r="AQ179" s="291"/>
      <c r="AR179" s="107"/>
      <c r="AS179" s="107"/>
      <c r="AT179" s="107"/>
      <c r="AU179" s="293"/>
      <c r="AV179" s="291"/>
      <c r="AW179" s="107"/>
      <c r="AX179" s="107"/>
      <c r="AY179" s="107"/>
      <c r="AZ179" s="293"/>
      <c r="BA179" s="291"/>
      <c r="BB179" s="107"/>
      <c r="BC179" s="107"/>
      <c r="BD179" s="107"/>
      <c r="BE179" s="293"/>
      <c r="BF179" s="291"/>
      <c r="BG179" s="107"/>
      <c r="BH179" s="107"/>
      <c r="BI179" s="107"/>
      <c r="BJ179" s="293"/>
      <c r="BK179" s="291"/>
      <c r="BL179" s="107"/>
      <c r="BM179" s="107"/>
      <c r="BN179" s="107"/>
      <c r="BO179" s="293"/>
      <c r="BP179" s="291"/>
      <c r="BQ179" s="107"/>
      <c r="BR179" s="107"/>
      <c r="BS179" s="107"/>
      <c r="BT179" s="293"/>
      <c r="BU179" s="291"/>
      <c r="BV179" s="107"/>
      <c r="BW179" s="107"/>
      <c r="BX179" s="107"/>
      <c r="BY179" s="293"/>
      <c r="BZ179" s="291"/>
      <c r="CA179" s="107"/>
      <c r="CB179" s="107"/>
      <c r="CC179" s="107"/>
      <c r="CD179" s="293"/>
      <c r="CE179" s="291"/>
      <c r="CF179" s="107"/>
      <c r="CG179" s="107"/>
      <c r="CH179" s="107"/>
      <c r="CI179" s="293"/>
      <c r="CJ179" s="291"/>
      <c r="CK179" s="107"/>
      <c r="CL179" s="107"/>
      <c r="CM179" s="107"/>
      <c r="CN179" s="293"/>
      <c r="CO179" s="291"/>
      <c r="CP179" s="107"/>
      <c r="CQ179" s="107"/>
      <c r="CR179" s="107"/>
      <c r="CS179" s="293"/>
      <c r="CT179" s="412"/>
      <c r="CU179" s="114"/>
      <c r="CV179" s="114"/>
      <c r="CW179" s="114"/>
      <c r="CX179" s="293"/>
      <c r="CY179" s="412"/>
      <c r="CZ179" s="114"/>
      <c r="DA179" s="114"/>
      <c r="DB179" s="114"/>
      <c r="DC179" s="293"/>
      <c r="DD179" s="412">
        <v>1.35</v>
      </c>
      <c r="DE179" s="114">
        <v>1.4</v>
      </c>
      <c r="DF179" s="114">
        <v>1.2</v>
      </c>
      <c r="DG179" s="114">
        <v>1.08</v>
      </c>
      <c r="DH179" s="293"/>
      <c r="DI179" s="412">
        <v>1.21</v>
      </c>
      <c r="DJ179" s="114">
        <v>0.95</v>
      </c>
      <c r="DK179" s="114">
        <v>0.94</v>
      </c>
      <c r="DL179" s="114">
        <v>0.98</v>
      </c>
      <c r="DM179" s="293"/>
      <c r="DN179" s="412">
        <v>0.89</v>
      </c>
      <c r="DO179" s="114">
        <v>0.98</v>
      </c>
      <c r="DP179" s="114">
        <v>0.89</v>
      </c>
      <c r="DQ179" s="114">
        <v>0.85</v>
      </c>
      <c r="DR179" s="293"/>
      <c r="DS179" s="412">
        <v>0.76</v>
      </c>
      <c r="DT179" s="114">
        <v>0.76</v>
      </c>
      <c r="DU179" s="114">
        <v>0.75</v>
      </c>
      <c r="DV179" s="114">
        <v>0.68</v>
      </c>
      <c r="DW179" s="293"/>
      <c r="DX179" s="412">
        <v>0.63</v>
      </c>
      <c r="DY179" s="114">
        <v>0.64</v>
      </c>
      <c r="DZ179" s="114">
        <v>0.61</v>
      </c>
      <c r="EA179" s="114">
        <v>0.5</v>
      </c>
      <c r="EB179" s="293"/>
      <c r="EC179" s="412">
        <v>0.47</v>
      </c>
      <c r="ED179" s="114">
        <v>0.48</v>
      </c>
      <c r="EE179" s="114">
        <v>0.46</v>
      </c>
      <c r="EF179" s="114">
        <v>0.45</v>
      </c>
      <c r="EG179" s="293"/>
      <c r="EH179" s="412">
        <v>0.48</v>
      </c>
      <c r="EI179" s="114">
        <v>0.46</v>
      </c>
      <c r="EJ179" s="114">
        <v>0.49</v>
      </c>
      <c r="EK179" s="114">
        <v>0.46</v>
      </c>
      <c r="EL179" s="293"/>
      <c r="EM179" s="412">
        <v>0.42</v>
      </c>
      <c r="EN179" s="114">
        <v>0.38</v>
      </c>
      <c r="EO179" s="114">
        <v>0.31</v>
      </c>
      <c r="EP179" s="114">
        <v>0.27</v>
      </c>
      <c r="EQ179" s="293"/>
      <c r="ER179" s="412">
        <v>0.28000000000000003</v>
      </c>
      <c r="ES179" s="114">
        <v>0.28000000000000003</v>
      </c>
      <c r="ET179" s="439">
        <v>0.31</v>
      </c>
      <c r="EU179" s="439">
        <v>0.3</v>
      </c>
      <c r="EV179" s="293"/>
      <c r="EW179" s="1328"/>
      <c r="EX179" s="1328"/>
      <c r="EY179" s="1238"/>
      <c r="EZ179" s="1238"/>
      <c r="FA179" s="893"/>
      <c r="FB179" s="1238"/>
      <c r="FC179" s="1238"/>
      <c r="FD179" s="1238"/>
      <c r="FE179" s="1238"/>
      <c r="FF179" s="893"/>
      <c r="FG179" s="1238"/>
      <c r="FH179" s="1238"/>
      <c r="FI179" s="1238"/>
      <c r="FJ179" s="1238"/>
      <c r="FK179" s="893"/>
      <c r="FL179" s="1238"/>
      <c r="FM179" s="1238"/>
      <c r="FN179" s="1238"/>
      <c r="FO179" s="1238"/>
      <c r="FP179" s="893"/>
      <c r="FQ179" s="1238"/>
      <c r="FR179" s="1238"/>
      <c r="FS179" s="1238"/>
      <c r="FT179" s="1238"/>
      <c r="FU179" s="893"/>
      <c r="FV179" s="1238"/>
      <c r="FW179" s="1238"/>
      <c r="FX179" s="1238"/>
      <c r="FY179" s="1238"/>
      <c r="FZ179" s="893"/>
      <c r="GA179" s="1238"/>
      <c r="GB179" s="1238"/>
      <c r="GC179" s="1238"/>
      <c r="GD179" s="1238"/>
      <c r="GE179" s="893"/>
      <c r="GF179" s="1238"/>
      <c r="GG179" s="1238"/>
      <c r="GH179" s="1238"/>
      <c r="GI179" s="1238"/>
      <c r="GJ179" s="1199"/>
    </row>
    <row r="180" spans="1:192" s="1241" customFormat="1" ht="12.75" hidden="1" customHeight="1" outlineLevel="1">
      <c r="A180" s="1237"/>
      <c r="B180" s="735" t="s">
        <v>36</v>
      </c>
      <c r="C180" s="892"/>
      <c r="D180" s="924"/>
      <c r="E180" s="924"/>
      <c r="F180" s="924"/>
      <c r="G180" s="893"/>
      <c r="H180" s="892"/>
      <c r="I180" s="924"/>
      <c r="J180" s="924"/>
      <c r="K180" s="924"/>
      <c r="L180" s="893"/>
      <c r="M180" s="892"/>
      <c r="N180" s="924"/>
      <c r="O180" s="924"/>
      <c r="P180" s="924"/>
      <c r="Q180" s="893"/>
      <c r="R180" s="892"/>
      <c r="S180" s="924"/>
      <c r="T180" s="924"/>
      <c r="U180" s="924"/>
      <c r="V180" s="893"/>
      <c r="W180" s="892"/>
      <c r="X180" s="924"/>
      <c r="Y180" s="924"/>
      <c r="Z180" s="924"/>
      <c r="AA180" s="893"/>
      <c r="AB180" s="892"/>
      <c r="AC180" s="924"/>
      <c r="AD180" s="924"/>
      <c r="AE180" s="924"/>
      <c r="AF180" s="893"/>
      <c r="AG180" s="892"/>
      <c r="AH180" s="924"/>
      <c r="AI180" s="924"/>
      <c r="AJ180" s="924"/>
      <c r="AK180" s="893"/>
      <c r="AL180" s="892"/>
      <c r="AM180" s="924"/>
      <c r="AN180" s="924"/>
      <c r="AO180" s="924"/>
      <c r="AP180" s="893"/>
      <c r="AQ180" s="892"/>
      <c r="AR180" s="924"/>
      <c r="AS180" s="924"/>
      <c r="AT180" s="924"/>
      <c r="AU180" s="893"/>
      <c r="AV180" s="892"/>
      <c r="AW180" s="924"/>
      <c r="AX180" s="924"/>
      <c r="AY180" s="924"/>
      <c r="AZ180" s="893"/>
      <c r="BA180" s="892"/>
      <c r="BB180" s="924"/>
      <c r="BC180" s="924"/>
      <c r="BD180" s="924"/>
      <c r="BE180" s="893"/>
      <c r="BF180" s="892"/>
      <c r="BG180" s="924"/>
      <c r="BH180" s="924"/>
      <c r="BI180" s="924"/>
      <c r="BJ180" s="893"/>
      <c r="BK180" s="892"/>
      <c r="BL180" s="924"/>
      <c r="BM180" s="924"/>
      <c r="BN180" s="924"/>
      <c r="BO180" s="893"/>
      <c r="BP180" s="892"/>
      <c r="BQ180" s="924"/>
      <c r="BR180" s="924"/>
      <c r="BS180" s="924"/>
      <c r="BT180" s="893"/>
      <c r="BU180" s="892"/>
      <c r="BV180" s="924"/>
      <c r="BW180" s="924"/>
      <c r="BX180" s="924"/>
      <c r="BY180" s="893"/>
      <c r="BZ180" s="892"/>
      <c r="CA180" s="924"/>
      <c r="CB180" s="924"/>
      <c r="CC180" s="924"/>
      <c r="CD180" s="893"/>
      <c r="CE180" s="892"/>
      <c r="CF180" s="924"/>
      <c r="CG180" s="924"/>
      <c r="CH180" s="924"/>
      <c r="CI180" s="893"/>
      <c r="CJ180" s="892"/>
      <c r="CK180" s="924"/>
      <c r="CL180" s="924"/>
      <c r="CM180" s="924"/>
      <c r="CN180" s="893"/>
      <c r="CO180" s="892">
        <f>CO177/CM177-1</f>
      </c>
      <c r="CP180" s="924">
        <f>CP177/CO177-1</f>
      </c>
      <c r="CQ180" s="924">
        <f>CQ177/CP177-1</f>
      </c>
      <c r="CR180" s="924">
        <f>CR177/CQ177-1</f>
      </c>
      <c r="CS180" s="893"/>
      <c r="CT180" s="892">
        <f>CT177/CR177-1</f>
      </c>
      <c r="CU180" s="924">
        <f>CU177/CT177-1</f>
      </c>
      <c r="CV180" s="924">
        <f>CV177/CU177-1</f>
      </c>
      <c r="CW180" s="924">
        <f>CW177/CV177-1</f>
      </c>
      <c r="CX180" s="893"/>
      <c r="CY180" s="892">
        <f>CY177/CW177-1</f>
      </c>
      <c r="CZ180" s="924">
        <f>CZ177/CY177-1</f>
      </c>
      <c r="DA180" s="924">
        <f>DA177/CZ177-1</f>
      </c>
      <c r="DB180" s="924">
        <f>DB177/DA177-1</f>
      </c>
      <c r="DC180" s="893"/>
      <c r="DD180" s="892">
        <f>DD177/DB177-1</f>
      </c>
      <c r="DE180" s="924">
        <f>DE177/DD177-1</f>
      </c>
      <c r="DF180" s="924">
        <f>DF177/DE177-1</f>
      </c>
      <c r="DG180" s="924">
        <f>DG177/DF177-1</f>
      </c>
      <c r="DH180" s="893"/>
      <c r="DI180" s="892">
        <f>DI177/DG177-1</f>
      </c>
      <c r="DJ180" s="924">
        <f>DJ177/DI177-1</f>
      </c>
      <c r="DK180" s="924">
        <f>DK177/DJ177-1</f>
      </c>
      <c r="DL180" s="924">
        <f>DL177/DK177-1</f>
      </c>
      <c r="DM180" s="893"/>
      <c r="DN180" s="892">
        <f>DN177/DL177-1</f>
      </c>
      <c r="DO180" s="924">
        <f>DO177/DN177-1</f>
      </c>
      <c r="DP180" s="924">
        <f>DP177/DO177-1</f>
      </c>
      <c r="DQ180" s="924">
        <f>DQ177/DP177-1</f>
      </c>
      <c r="DR180" s="893"/>
      <c r="DS180" s="892">
        <f>DS177/DQ177-1</f>
      </c>
      <c r="DT180" s="924">
        <f>DT177/DS177-1</f>
      </c>
      <c r="DU180" s="924">
        <f>DU177/DT177-1</f>
      </c>
      <c r="DV180" s="924">
        <f>DV177/DU177-1</f>
      </c>
      <c r="DW180" s="893"/>
      <c r="DX180" s="892">
        <f>DX177/DV177-1</f>
      </c>
      <c r="DY180" s="924">
        <f>DY177/DX177-1</f>
      </c>
      <c r="DZ180" s="924">
        <f>DZ177/DY177-1</f>
      </c>
      <c r="EA180" s="924">
        <f>EA177/DZ177-1</f>
      </c>
      <c r="EB180" s="893"/>
      <c r="EC180" s="892"/>
      <c r="ED180" s="924"/>
      <c r="EE180" s="924"/>
      <c r="EF180" s="924"/>
      <c r="EG180" s="893"/>
      <c r="EH180" s="892">
        <f>EH177/EF177-1</f>
      </c>
      <c r="EI180" s="924">
        <f>EI177/EH177-1</f>
      </c>
      <c r="EJ180" s="924">
        <f>EJ177/EI177-1</f>
      </c>
      <c r="EK180" s="924">
        <f>EK177/EJ177-1</f>
      </c>
      <c r="EL180" s="893"/>
      <c r="EM180" s="892">
        <f>EM177/EK177-1</f>
      </c>
      <c r="EN180" s="924">
        <f>EN177/EM177-1</f>
      </c>
      <c r="EO180" s="924">
        <f>EO177/EN177-1</f>
      </c>
      <c r="EP180" s="924">
        <f>EP177/EO177-1</f>
      </c>
      <c r="EQ180" s="893"/>
      <c r="ER180" s="892">
        <f>ER177/EP177-1</f>
      </c>
      <c r="ES180" s="924">
        <f>ES177/ER177-1</f>
      </c>
      <c r="ET180" s="924">
        <f>ET177/ES177-1</f>
      </c>
      <c r="EU180" s="924">
        <f>EU177/ET177-1</f>
      </c>
      <c r="EV180" s="893"/>
      <c r="EW180" s="1146"/>
      <c r="EX180" s="1356"/>
      <c r="EY180" s="924"/>
      <c r="EZ180" s="924"/>
      <c r="FA180" s="893"/>
      <c r="FB180" s="892"/>
      <c r="FC180" s="924"/>
      <c r="FD180" s="924"/>
      <c r="FE180" s="924"/>
      <c r="FF180" s="893"/>
      <c r="FG180" s="892"/>
      <c r="FH180" s="924"/>
      <c r="FI180" s="924"/>
      <c r="FJ180" s="924"/>
      <c r="FK180" s="893"/>
      <c r="FL180" s="892"/>
      <c r="FM180" s="924"/>
      <c r="FN180" s="924"/>
      <c r="FO180" s="924"/>
      <c r="FP180" s="893"/>
      <c r="FQ180" s="892"/>
      <c r="FR180" s="924"/>
      <c r="FS180" s="924"/>
      <c r="FT180" s="924"/>
      <c r="FU180" s="893"/>
      <c r="FV180" s="892"/>
      <c r="FW180" s="924"/>
      <c r="FX180" s="924"/>
      <c r="FY180" s="924"/>
      <c r="FZ180" s="893"/>
      <c r="GA180" s="892"/>
      <c r="GB180" s="924"/>
      <c r="GC180" s="924"/>
      <c r="GD180" s="924"/>
      <c r="GE180" s="893"/>
      <c r="GF180" s="892"/>
      <c r="GG180" s="924"/>
      <c r="GH180" s="924"/>
      <c r="GI180" s="924"/>
      <c r="GJ180" s="1199"/>
    </row>
    <row r="181" spans="1:192" ht="12.75" hidden="1" customHeight="1" outlineLevel="1">
      <c r="B181" s="735" t="s">
        <v>243</v>
      </c>
      <c r="C181" s="291"/>
      <c r="D181" s="107"/>
      <c r="E181" s="107"/>
      <c r="F181" s="107"/>
      <c r="G181" s="293"/>
      <c r="H181" s="291"/>
      <c r="I181" s="107"/>
      <c r="J181" s="107"/>
      <c r="K181" s="107"/>
      <c r="L181" s="293"/>
      <c r="M181" s="291"/>
      <c r="N181" s="107"/>
      <c r="O181" s="107"/>
      <c r="P181" s="107"/>
      <c r="Q181" s="293"/>
      <c r="R181" s="291"/>
      <c r="S181" s="107"/>
      <c r="T181" s="107"/>
      <c r="U181" s="107"/>
      <c r="V181" s="293"/>
      <c r="W181" s="291"/>
      <c r="X181" s="107"/>
      <c r="Y181" s="107"/>
      <c r="Z181" s="107"/>
      <c r="AA181" s="293"/>
      <c r="AB181" s="291"/>
      <c r="AC181" s="107"/>
      <c r="AD181" s="107"/>
      <c r="AE181" s="107"/>
      <c r="AF181" s="293"/>
      <c r="AG181" s="291"/>
      <c r="AH181" s="107"/>
      <c r="AI181" s="107"/>
      <c r="AJ181" s="107"/>
      <c r="AK181" s="293"/>
      <c r="AL181" s="291"/>
      <c r="AM181" s="107"/>
      <c r="AN181" s="107"/>
      <c r="AO181" s="107"/>
      <c r="AP181" s="293"/>
      <c r="AQ181" s="291"/>
      <c r="AR181" s="107"/>
      <c r="AS181" s="107"/>
      <c r="AT181" s="107"/>
      <c r="AU181" s="293"/>
      <c r="AV181" s="291"/>
      <c r="AW181" s="107"/>
      <c r="AX181" s="107"/>
      <c r="AY181" s="107"/>
      <c r="AZ181" s="293"/>
      <c r="BA181" s="291"/>
      <c r="BB181" s="107"/>
      <c r="BC181" s="107"/>
      <c r="BD181" s="107"/>
      <c r="BE181" s="293"/>
      <c r="BF181" s="291"/>
      <c r="BG181" s="107"/>
      <c r="BH181" s="107"/>
      <c r="BI181" s="107"/>
      <c r="BJ181" s="293"/>
      <c r="BK181" s="291"/>
      <c r="BL181" s="107"/>
      <c r="BM181" s="107"/>
      <c r="BN181" s="107"/>
      <c r="BO181" s="293"/>
      <c r="BP181" s="291"/>
      <c r="BQ181" s="107"/>
      <c r="BR181" s="107"/>
      <c r="BS181" s="107"/>
      <c r="BT181" s="293"/>
      <c r="BU181" s="291"/>
      <c r="BV181" s="107"/>
      <c r="BW181" s="107"/>
      <c r="BX181" s="107"/>
      <c r="BY181" s="293"/>
      <c r="BZ181" s="291"/>
      <c r="CA181" s="107"/>
      <c r="CB181" s="107"/>
      <c r="CC181" s="107"/>
      <c r="CD181" s="293"/>
      <c r="CE181" s="291"/>
      <c r="CF181" s="107"/>
      <c r="CG181" s="107"/>
      <c r="CH181" s="107"/>
      <c r="CI181" s="293"/>
      <c r="CJ181" s="291"/>
      <c r="CK181" s="107"/>
      <c r="CL181" s="107"/>
      <c r="CM181" s="107"/>
      <c r="CN181" s="293"/>
      <c r="CO181" s="447"/>
      <c r="CP181" s="447"/>
      <c r="CQ181" s="447"/>
      <c r="CR181" s="458">
        <f>CR177-CM177</f>
      </c>
      <c r="CS181" s="466">
        <f>CS177-CN177</f>
      </c>
      <c r="CT181" s="447"/>
      <c r="CU181" s="447"/>
      <c r="CV181" s="447"/>
      <c r="CW181" s="458">
        <f>CW177-CR177</f>
      </c>
      <c r="CX181" s="466">
        <f>CX177-CS177</f>
      </c>
      <c r="CY181" s="447"/>
      <c r="CZ181" s="447"/>
      <c r="DA181" s="447"/>
      <c r="DB181" s="458">
        <f>DB177-CW177</f>
      </c>
      <c r="DC181" s="466">
        <f>DC177-CX177</f>
      </c>
      <c r="DD181" s="447"/>
      <c r="DE181" s="447"/>
      <c r="DF181" s="447"/>
      <c r="DG181" s="458">
        <f t="shared" ref="DG181:EV181" si="198">DG177-DB177</f>
      </c>
      <c r="DH181" s="466">
        <f t="shared" si="198"/>
      </c>
      <c r="DI181" s="447">
        <f t="shared" si="198"/>
      </c>
      <c r="DJ181" s="447">
        <f t="shared" si="198"/>
      </c>
      <c r="DK181" s="447">
        <f t="shared" si="198"/>
      </c>
      <c r="DL181" s="458">
        <f t="shared" si="198"/>
      </c>
      <c r="DM181" s="466">
        <f t="shared" si="198"/>
      </c>
      <c r="DN181" s="447">
        <f t="shared" si="198"/>
      </c>
      <c r="DO181" s="447">
        <f t="shared" si="198"/>
      </c>
      <c r="DP181" s="447">
        <f t="shared" si="198"/>
      </c>
      <c r="DQ181" s="458">
        <f t="shared" si="198"/>
      </c>
      <c r="DR181" s="466">
        <f t="shared" si="198"/>
      </c>
      <c r="DS181" s="447">
        <f t="shared" si="198"/>
      </c>
      <c r="DT181" s="447">
        <f t="shared" si="198"/>
      </c>
      <c r="DU181" s="447">
        <f t="shared" si="198"/>
      </c>
      <c r="DV181" s="458">
        <f t="shared" si="198"/>
      </c>
      <c r="DW181" s="466">
        <f t="shared" si="198"/>
      </c>
      <c r="DX181" s="447">
        <f t="shared" si="198"/>
      </c>
      <c r="DY181" s="447">
        <f t="shared" si="198"/>
      </c>
      <c r="DZ181" s="447">
        <f t="shared" si="198"/>
      </c>
      <c r="EA181" s="458">
        <f t="shared" si="198"/>
      </c>
      <c r="EB181" s="466">
        <f t="shared" si="198"/>
      </c>
      <c r="EC181" s="447">
        <f t="shared" si="198"/>
      </c>
      <c r="ED181" s="447">
        <f t="shared" si="198"/>
      </c>
      <c r="EE181" s="447">
        <f t="shared" si="198"/>
      </c>
      <c r="EF181" s="458">
        <f t="shared" si="198"/>
      </c>
      <c r="EG181" s="466">
        <f t="shared" si="198"/>
      </c>
      <c r="EH181" s="447">
        <f t="shared" si="198"/>
      </c>
      <c r="EI181" s="447">
        <f t="shared" si="198"/>
      </c>
      <c r="EJ181" s="447">
        <f t="shared" si="198"/>
      </c>
      <c r="EK181" s="458">
        <f t="shared" si="198"/>
      </c>
      <c r="EL181" s="466">
        <f t="shared" si="198"/>
      </c>
      <c r="EM181" s="447">
        <f t="shared" si="198"/>
      </c>
      <c r="EN181" s="447">
        <f t="shared" si="198"/>
      </c>
      <c r="EO181" s="447">
        <f t="shared" si="198"/>
      </c>
      <c r="EP181" s="458">
        <f t="shared" si="198"/>
      </c>
      <c r="EQ181" s="466">
        <f t="shared" si="198"/>
      </c>
      <c r="ER181" s="447">
        <f t="shared" si="198"/>
      </c>
      <c r="ES181" s="447">
        <f t="shared" si="198"/>
      </c>
      <c r="ET181" s="447">
        <f t="shared" si="198"/>
      </c>
      <c r="EU181" s="458">
        <f t="shared" si="198"/>
      </c>
      <c r="EV181" s="466">
        <f t="shared" si="198"/>
      </c>
      <c r="EW181" s="511"/>
      <c r="EX181" s="511"/>
      <c r="EY181" s="447"/>
      <c r="EZ181" s="458"/>
      <c r="FA181" s="466"/>
      <c r="FB181" s="447"/>
      <c r="FC181" s="447"/>
      <c r="FD181" s="447"/>
      <c r="FE181" s="458"/>
      <c r="FF181" s="466"/>
      <c r="FG181" s="447"/>
      <c r="FH181" s="447"/>
      <c r="FI181" s="447"/>
      <c r="FJ181" s="458"/>
      <c r="FK181" s="466"/>
      <c r="FL181" s="447"/>
      <c r="FM181" s="447"/>
      <c r="FN181" s="447"/>
      <c r="FO181" s="458"/>
      <c r="FP181" s="466"/>
      <c r="FQ181" s="447"/>
      <c r="FR181" s="447"/>
      <c r="FS181" s="447"/>
      <c r="FT181" s="458"/>
      <c r="FU181" s="466"/>
      <c r="FV181" s="447"/>
      <c r="FW181" s="458"/>
      <c r="FX181" s="458"/>
      <c r="FY181" s="458"/>
      <c r="FZ181" s="459"/>
      <c r="GA181" s="447"/>
      <c r="GB181" s="458"/>
      <c r="GC181" s="458"/>
      <c r="GD181" s="458"/>
      <c r="GE181" s="459"/>
      <c r="GF181" s="447"/>
      <c r="GG181" s="458"/>
      <c r="GH181" s="458"/>
      <c r="GI181" s="458"/>
      <c r="GJ181" s="460"/>
    </row>
    <row r="182" spans="1:192" ht="12.75" hidden="1" customHeight="1" outlineLevel="1">
      <c r="B182" s="735" t="s">
        <v>244</v>
      </c>
      <c r="C182" s="291"/>
      <c r="D182" s="107"/>
      <c r="E182" s="107"/>
      <c r="F182" s="107"/>
      <c r="G182" s="293"/>
      <c r="H182" s="291"/>
      <c r="I182" s="107"/>
      <c r="J182" s="107"/>
      <c r="K182" s="107"/>
      <c r="L182" s="293"/>
      <c r="M182" s="291"/>
      <c r="N182" s="107"/>
      <c r="O182" s="107"/>
      <c r="P182" s="107"/>
      <c r="Q182" s="293"/>
      <c r="R182" s="291"/>
      <c r="S182" s="107"/>
      <c r="T182" s="107"/>
      <c r="U182" s="107"/>
      <c r="V182" s="293"/>
      <c r="W182" s="291"/>
      <c r="X182" s="107"/>
      <c r="Y182" s="107"/>
      <c r="Z182" s="107"/>
      <c r="AA182" s="293"/>
      <c r="AB182" s="291"/>
      <c r="AC182" s="107"/>
      <c r="AD182" s="107"/>
      <c r="AE182" s="107"/>
      <c r="AF182" s="293"/>
      <c r="AG182" s="291"/>
      <c r="AH182" s="107"/>
      <c r="AI182" s="107"/>
      <c r="AJ182" s="107"/>
      <c r="AK182" s="293"/>
      <c r="AL182" s="291"/>
      <c r="AM182" s="107"/>
      <c r="AN182" s="107"/>
      <c r="AO182" s="107"/>
      <c r="AP182" s="293"/>
      <c r="AQ182" s="291"/>
      <c r="AR182" s="107"/>
      <c r="AS182" s="107"/>
      <c r="AT182" s="107"/>
      <c r="AU182" s="293"/>
      <c r="AV182" s="291"/>
      <c r="AW182" s="107"/>
      <c r="AX182" s="107"/>
      <c r="AY182" s="107"/>
      <c r="AZ182" s="293"/>
      <c r="BA182" s="291"/>
      <c r="BB182" s="107"/>
      <c r="BC182" s="107"/>
      <c r="BD182" s="107"/>
      <c r="BE182" s="293"/>
      <c r="BF182" s="291"/>
      <c r="BG182" s="107"/>
      <c r="BH182" s="107"/>
      <c r="BI182" s="107"/>
      <c r="BJ182" s="293"/>
      <c r="BK182" s="291"/>
      <c r="BL182" s="107"/>
      <c r="BM182" s="107"/>
      <c r="BN182" s="107"/>
      <c r="BO182" s="293"/>
      <c r="BP182" s="291"/>
      <c r="BQ182" s="107"/>
      <c r="BR182" s="107"/>
      <c r="BS182" s="107"/>
      <c r="BT182" s="293"/>
      <c r="BU182" s="291"/>
      <c r="BV182" s="107"/>
      <c r="BW182" s="107"/>
      <c r="BX182" s="107"/>
      <c r="BY182" s="293"/>
      <c r="BZ182" s="291"/>
      <c r="CA182" s="107"/>
      <c r="CB182" s="107"/>
      <c r="CC182" s="107"/>
      <c r="CD182" s="293"/>
      <c r="CE182" s="291"/>
      <c r="CF182" s="107"/>
      <c r="CG182" s="107"/>
      <c r="CH182" s="107"/>
      <c r="CI182" s="293"/>
      <c r="CJ182" s="291"/>
      <c r="CK182" s="107"/>
      <c r="CL182" s="107"/>
      <c r="CM182" s="107"/>
      <c r="CN182" s="293"/>
      <c r="CO182" s="447">
        <f>CO177-CM177</f>
      </c>
      <c r="CP182" s="447">
        <f>CP177-CO177</f>
      </c>
      <c r="CQ182" s="447">
        <f>CQ177-CP177</f>
      </c>
      <c r="CR182" s="447">
        <f>CR177-CQ177</f>
      </c>
      <c r="CS182" s="293"/>
      <c r="CT182" s="447">
        <f>CT177-CR177</f>
      </c>
      <c r="CU182" s="447">
        <f>CU177-CT177</f>
      </c>
      <c r="CV182" s="447">
        <f>CV177-CU177</f>
      </c>
      <c r="CW182" s="447">
        <f>CW177-CV177</f>
      </c>
      <c r="CX182" s="293"/>
      <c r="CY182" s="447">
        <f>CY177-CW177</f>
      </c>
      <c r="CZ182" s="447">
        <f>CZ177-CY177</f>
      </c>
      <c r="DA182" s="447">
        <f>DA177-CZ177</f>
      </c>
      <c r="DB182" s="447">
        <f>DB177-DA177</f>
      </c>
      <c r="DC182" s="293"/>
      <c r="DD182" s="447">
        <f>DD177-DB177</f>
      </c>
      <c r="DE182" s="447">
        <f>DE177-DD177</f>
      </c>
      <c r="DF182" s="447">
        <f>DF177-DE177</f>
      </c>
      <c r="DG182" s="447">
        <f>DG177-DF177</f>
      </c>
      <c r="DH182" s="293"/>
      <c r="DI182" s="447">
        <f>DI177-DG177</f>
      </c>
      <c r="DJ182" s="447">
        <f>DJ177-DI177</f>
      </c>
      <c r="DK182" s="447">
        <f>DK177-DJ177</f>
      </c>
      <c r="DL182" s="447">
        <f>DL177-DK177</f>
      </c>
      <c r="DM182" s="293"/>
      <c r="DN182" s="447">
        <f>DN177-DL177</f>
      </c>
      <c r="DO182" s="447">
        <f>DO177-DN177</f>
      </c>
      <c r="DP182" s="447">
        <f>DP177-DO177</f>
      </c>
      <c r="DQ182" s="447">
        <f>DQ177-DP177</f>
      </c>
      <c r="DR182" s="293"/>
      <c r="DS182" s="447">
        <f>DS177-DQ177</f>
      </c>
      <c r="DT182" s="447">
        <f>DT177-DS177</f>
      </c>
      <c r="DU182" s="447">
        <f>DU177-DT177</f>
      </c>
      <c r="DV182" s="447">
        <f>DV177-DU177</f>
      </c>
      <c r="DW182" s="293"/>
      <c r="DX182" s="447">
        <f>DX177-DV177</f>
      </c>
      <c r="DY182" s="447">
        <f>DY177-DX177</f>
      </c>
      <c r="DZ182" s="447">
        <f>DZ177-DY177</f>
      </c>
      <c r="EA182" s="447">
        <f>EA177-DZ177</f>
      </c>
      <c r="EB182" s="293"/>
      <c r="EC182" s="447">
        <f>EC177-EA177</f>
      </c>
      <c r="ED182" s="447">
        <f>ED177-EC177</f>
      </c>
      <c r="EE182" s="447">
        <f>EE177-ED177</f>
      </c>
      <c r="EF182" s="447">
        <f>EF177-EE177</f>
      </c>
      <c r="EG182" s="293"/>
      <c r="EH182" s="447">
        <f>EH177-EF177</f>
      </c>
      <c r="EI182" s="447">
        <f>EI177-EH177</f>
      </c>
      <c r="EJ182" s="447">
        <f>EJ177-EI177</f>
      </c>
      <c r="EK182" s="447">
        <f>EK177-EJ177</f>
      </c>
      <c r="EL182" s="293"/>
      <c r="EM182" s="447">
        <f>EM177-EK177</f>
      </c>
      <c r="EN182" s="447">
        <f>EN177-EM177</f>
      </c>
      <c r="EO182" s="447">
        <f>EO177-EN177</f>
      </c>
      <c r="EP182" s="447">
        <f>EP177-EO177</f>
      </c>
      <c r="EQ182" s="293"/>
      <c r="ER182" s="447">
        <f>ER177-EP177</f>
      </c>
      <c r="ES182" s="447">
        <f>ES177-ER177</f>
      </c>
      <c r="ET182" s="447">
        <f>ET177-ES177</f>
      </c>
      <c r="EU182" s="447">
        <f>EU177-ET177</f>
      </c>
      <c r="EV182" s="293"/>
      <c r="EW182" s="511"/>
      <c r="EX182" s="511"/>
      <c r="EY182" s="447"/>
      <c r="EZ182" s="447"/>
      <c r="FA182" s="293"/>
      <c r="FB182" s="447"/>
      <c r="FC182" s="447"/>
      <c r="FD182" s="447"/>
      <c r="FE182" s="447"/>
      <c r="FF182" s="293"/>
      <c r="FG182" s="447"/>
      <c r="FH182" s="447"/>
      <c r="FI182" s="447"/>
      <c r="FJ182" s="447"/>
      <c r="FK182" s="293"/>
      <c r="FL182" s="447"/>
      <c r="FM182" s="447"/>
      <c r="FN182" s="447"/>
      <c r="FO182" s="447"/>
      <c r="FP182" s="293"/>
      <c r="FQ182" s="447"/>
      <c r="FR182" s="447"/>
      <c r="FS182" s="447"/>
      <c r="FT182" s="447"/>
      <c r="FU182" s="293"/>
      <c r="FV182" s="447"/>
      <c r="FW182" s="458"/>
      <c r="FX182" s="458"/>
      <c r="FY182" s="458"/>
      <c r="FZ182" s="459"/>
      <c r="GA182" s="447"/>
      <c r="GB182" s="458"/>
      <c r="GC182" s="458"/>
      <c r="GD182" s="458"/>
      <c r="GE182" s="459"/>
      <c r="GF182" s="447"/>
      <c r="GG182" s="458"/>
      <c r="GH182" s="458"/>
      <c r="GI182" s="458"/>
      <c r="GJ182" s="460"/>
    </row>
    <row r="183" spans="1:192" ht="12.75" hidden="1" customHeight="1" outlineLevel="1">
      <c r="B183" s="735" t="s">
        <v>247</v>
      </c>
      <c r="C183" s="291"/>
      <c r="D183" s="107"/>
      <c r="E183" s="107"/>
      <c r="F183" s="107"/>
      <c r="G183" s="293"/>
      <c r="H183" s="291"/>
      <c r="I183" s="107"/>
      <c r="J183" s="107"/>
      <c r="K183" s="107"/>
      <c r="L183" s="293"/>
      <c r="M183" s="291"/>
      <c r="N183" s="107"/>
      <c r="O183" s="107"/>
      <c r="P183" s="107"/>
      <c r="Q183" s="293"/>
      <c r="R183" s="291"/>
      <c r="S183" s="107"/>
      <c r="T183" s="107"/>
      <c r="U183" s="107"/>
      <c r="V183" s="293"/>
      <c r="W183" s="291"/>
      <c r="X183" s="107"/>
      <c r="Y183" s="107"/>
      <c r="Z183" s="107"/>
      <c r="AA183" s="293"/>
      <c r="AB183" s="291"/>
      <c r="AC183" s="107"/>
      <c r="AD183" s="107"/>
      <c r="AE183" s="107"/>
      <c r="AF183" s="293"/>
      <c r="AG183" s="291"/>
      <c r="AH183" s="107"/>
      <c r="AI183" s="107"/>
      <c r="AJ183" s="107"/>
      <c r="AK183" s="293"/>
      <c r="AL183" s="291"/>
      <c r="AM183" s="107"/>
      <c r="AN183" s="107"/>
      <c r="AO183" s="107"/>
      <c r="AP183" s="293"/>
      <c r="AQ183" s="291"/>
      <c r="AR183" s="107"/>
      <c r="AS183" s="107"/>
      <c r="AT183" s="107"/>
      <c r="AU183" s="293"/>
      <c r="AV183" s="291"/>
      <c r="AW183" s="107"/>
      <c r="AX183" s="107"/>
      <c r="AY183" s="107"/>
      <c r="AZ183" s="293"/>
      <c r="BA183" s="291"/>
      <c r="BB183" s="107"/>
      <c r="BC183" s="107"/>
      <c r="BD183" s="107"/>
      <c r="BE183" s="293"/>
      <c r="BF183" s="291"/>
      <c r="BG183" s="107"/>
      <c r="BH183" s="107"/>
      <c r="BI183" s="107"/>
      <c r="BJ183" s="293"/>
      <c r="BK183" s="291"/>
      <c r="BL183" s="107"/>
      <c r="BM183" s="107"/>
      <c r="BN183" s="107"/>
      <c r="BO183" s="293"/>
      <c r="BP183" s="291"/>
      <c r="BQ183" s="107"/>
      <c r="BR183" s="107"/>
      <c r="BS183" s="107"/>
      <c r="BT183" s="293"/>
      <c r="BU183" s="291"/>
      <c r="BV183" s="107"/>
      <c r="BW183" s="107"/>
      <c r="BX183" s="107"/>
      <c r="BY183" s="293"/>
      <c r="BZ183" s="291"/>
      <c r="CA183" s="107"/>
      <c r="CB183" s="107"/>
      <c r="CC183" s="107"/>
      <c r="CD183" s="293"/>
      <c r="CE183" s="291"/>
      <c r="CF183" s="107"/>
      <c r="CG183" s="107"/>
      <c r="CH183" s="107"/>
      <c r="CI183" s="293"/>
      <c r="CJ183" s="291"/>
      <c r="CK183" s="107"/>
      <c r="CL183" s="107"/>
      <c r="CM183" s="107"/>
      <c r="CN183" s="293"/>
      <c r="CO183" s="465"/>
      <c r="CP183" s="465"/>
      <c r="CQ183" s="465"/>
      <c r="CR183" s="465"/>
      <c r="CS183" s="293"/>
      <c r="CT183" s="465">
        <f t="shared" ref="CT183:EC183" si="199">CT177/CT99</f>
      </c>
      <c r="CU183" s="465">
        <f t="shared" si="199"/>
      </c>
      <c r="CV183" s="465">
        <f t="shared" si="199"/>
      </c>
      <c r="CW183" s="465">
        <f t="shared" si="199"/>
      </c>
      <c r="CX183" s="293">
        <f t="shared" si="199"/>
      </c>
      <c r="CY183" s="465">
        <f t="shared" si="199"/>
      </c>
      <c r="CZ183" s="465">
        <f t="shared" si="199"/>
      </c>
      <c r="DA183" s="465">
        <f t="shared" si="199"/>
      </c>
      <c r="DB183" s="465">
        <f t="shared" si="199"/>
      </c>
      <c r="DC183" s="293">
        <f t="shared" si="199"/>
      </c>
      <c r="DD183" s="465">
        <f t="shared" si="199"/>
      </c>
      <c r="DE183" s="465">
        <f t="shared" si="199"/>
      </c>
      <c r="DF183" s="465">
        <f t="shared" si="199"/>
      </c>
      <c r="DG183" s="465">
        <f t="shared" si="199"/>
      </c>
      <c r="DH183" s="293">
        <f t="shared" si="199"/>
      </c>
      <c r="DI183" s="465">
        <f t="shared" si="199"/>
      </c>
      <c r="DJ183" s="465">
        <f t="shared" si="199"/>
      </c>
      <c r="DK183" s="465">
        <f t="shared" si="199"/>
      </c>
      <c r="DL183" s="465">
        <f t="shared" si="199"/>
      </c>
      <c r="DM183" s="293">
        <f t="shared" si="199"/>
      </c>
      <c r="DN183" s="465">
        <f t="shared" si="199"/>
      </c>
      <c r="DO183" s="465">
        <f t="shared" si="199"/>
      </c>
      <c r="DP183" s="465">
        <f t="shared" si="199"/>
      </c>
      <c r="DQ183" s="465">
        <f t="shared" si="199"/>
      </c>
      <c r="DR183" s="293">
        <f t="shared" si="199"/>
      </c>
      <c r="DS183" s="465">
        <f t="shared" si="199"/>
      </c>
      <c r="DT183" s="465">
        <f t="shared" si="199"/>
      </c>
      <c r="DU183" s="465">
        <f t="shared" si="199"/>
      </c>
      <c r="DV183" s="465">
        <f t="shared" si="199"/>
      </c>
      <c r="DW183" s="293">
        <f t="shared" si="199"/>
      </c>
      <c r="DX183" s="465">
        <f t="shared" si="199"/>
      </c>
      <c r="DY183" s="465">
        <f t="shared" si="199"/>
      </c>
      <c r="DZ183" s="465">
        <f t="shared" si="199"/>
      </c>
      <c r="EA183" s="465">
        <f t="shared" si="199"/>
      </c>
      <c r="EB183" s="293">
        <f t="shared" si="199"/>
      </c>
      <c r="EC183" s="464">
        <f t="shared" si="199"/>
      </c>
      <c r="ED183" s="1385">
        <v>0.56599999999999995</v>
      </c>
      <c r="EE183" s="1385">
        <v>0.56699999999999995</v>
      </c>
      <c r="EF183" s="464">
        <f t="shared" ref="EF183:EV183" si="200">EF177/EF99</f>
      </c>
      <c r="EG183" s="293">
        <f t="shared" si="200"/>
      </c>
      <c r="EH183" s="465">
        <f t="shared" si="200"/>
      </c>
      <c r="EI183" s="465">
        <f t="shared" si="200"/>
      </c>
      <c r="EJ183" s="465">
        <f t="shared" si="200"/>
      </c>
      <c r="EK183" s="465">
        <f t="shared" si="200"/>
      </c>
      <c r="EL183" s="293">
        <f t="shared" si="200"/>
      </c>
      <c r="EM183" s="465">
        <f t="shared" si="200"/>
      </c>
      <c r="EN183" s="465">
        <f t="shared" si="200"/>
      </c>
      <c r="EO183" s="465">
        <f t="shared" si="200"/>
      </c>
      <c r="EP183" s="465">
        <f t="shared" si="200"/>
      </c>
      <c r="EQ183" s="293">
        <f t="shared" si="200"/>
      </c>
      <c r="ER183" s="465">
        <f t="shared" si="200"/>
      </c>
      <c r="ES183" s="465">
        <f t="shared" si="200"/>
      </c>
      <c r="ET183" s="465">
        <f t="shared" si="200"/>
      </c>
      <c r="EU183" s="465">
        <f t="shared" si="200"/>
      </c>
      <c r="EV183" s="293">
        <f t="shared" si="200"/>
      </c>
      <c r="EW183" s="525"/>
      <c r="EX183" s="525"/>
      <c r="EY183" s="465"/>
      <c r="EZ183" s="465"/>
      <c r="FA183" s="293"/>
      <c r="FB183" s="465"/>
      <c r="FC183" s="465"/>
      <c r="FD183" s="465"/>
      <c r="FE183" s="465"/>
      <c r="FF183" s="293"/>
      <c r="FG183" s="465"/>
      <c r="FH183" s="465"/>
      <c r="FI183" s="465"/>
      <c r="FJ183" s="465"/>
      <c r="FK183" s="293"/>
      <c r="FL183" s="465"/>
      <c r="FM183" s="465"/>
      <c r="FN183" s="465"/>
      <c r="FO183" s="465"/>
      <c r="FP183" s="293"/>
      <c r="FQ183" s="465"/>
      <c r="FR183" s="465"/>
      <c r="FS183" s="465"/>
      <c r="FT183" s="465"/>
      <c r="FU183" s="293"/>
      <c r="FV183" s="291"/>
      <c r="FW183" s="107"/>
      <c r="FX183" s="107"/>
      <c r="FY183" s="107"/>
      <c r="FZ183" s="293"/>
      <c r="GA183" s="291"/>
      <c r="GB183" s="107"/>
      <c r="GC183" s="107"/>
      <c r="GD183" s="107"/>
      <c r="GE183" s="293"/>
      <c r="GF183" s="291"/>
      <c r="GG183" s="107"/>
      <c r="GH183" s="107"/>
      <c r="GI183" s="107"/>
      <c r="GJ183" s="382"/>
    </row>
    <row r="184" spans="1:192" ht="12.75" hidden="1" customHeight="1" outlineLevel="1">
      <c r="B184" s="735" t="s">
        <v>207</v>
      </c>
      <c r="C184" s="291"/>
      <c r="D184" s="107"/>
      <c r="E184" s="107"/>
      <c r="F184" s="107"/>
      <c r="G184" s="293"/>
      <c r="H184" s="291"/>
      <c r="I184" s="107"/>
      <c r="J184" s="107"/>
      <c r="K184" s="107"/>
      <c r="L184" s="293"/>
      <c r="M184" s="291"/>
      <c r="N184" s="107"/>
      <c r="O184" s="107"/>
      <c r="P184" s="107"/>
      <c r="Q184" s="293"/>
      <c r="R184" s="291"/>
      <c r="S184" s="107"/>
      <c r="T184" s="107"/>
      <c r="U184" s="107"/>
      <c r="V184" s="293"/>
      <c r="W184" s="291"/>
      <c r="X184" s="107"/>
      <c r="Y184" s="107"/>
      <c r="Z184" s="107"/>
      <c r="AA184" s="293"/>
      <c r="AB184" s="291"/>
      <c r="AC184" s="107"/>
      <c r="AD184" s="107"/>
      <c r="AE184" s="107"/>
      <c r="AF184" s="293"/>
      <c r="AG184" s="291"/>
      <c r="AH184" s="107"/>
      <c r="AI184" s="107"/>
      <c r="AJ184" s="107"/>
      <c r="AK184" s="293"/>
      <c r="AL184" s="291"/>
      <c r="AM184" s="107"/>
      <c r="AN184" s="107"/>
      <c r="AO184" s="107"/>
      <c r="AP184" s="293"/>
      <c r="AQ184" s="291"/>
      <c r="AR184" s="107"/>
      <c r="AS184" s="107"/>
      <c r="AT184" s="107"/>
      <c r="AU184" s="293"/>
      <c r="AV184" s="291"/>
      <c r="AW184" s="107"/>
      <c r="AX184" s="107"/>
      <c r="AY184" s="107"/>
      <c r="AZ184" s="293"/>
      <c r="BA184" s="291"/>
      <c r="BB184" s="107"/>
      <c r="BC184" s="107"/>
      <c r="BD184" s="107"/>
      <c r="BE184" s="293"/>
      <c r="BF184" s="291"/>
      <c r="BG184" s="107"/>
      <c r="BH184" s="107"/>
      <c r="BI184" s="107"/>
      <c r="BJ184" s="293"/>
      <c r="BK184" s="291"/>
      <c r="BL184" s="107"/>
      <c r="BM184" s="107"/>
      <c r="BN184" s="107"/>
      <c r="BO184" s="293"/>
      <c r="BP184" s="291"/>
      <c r="BQ184" s="107"/>
      <c r="BR184" s="107"/>
      <c r="BS184" s="107"/>
      <c r="BT184" s="293"/>
      <c r="BU184" s="291"/>
      <c r="BV184" s="107"/>
      <c r="BW184" s="107"/>
      <c r="BX184" s="107"/>
      <c r="BY184" s="293"/>
      <c r="BZ184" s="291"/>
      <c r="CA184" s="107"/>
      <c r="CB184" s="107"/>
      <c r="CC184" s="107"/>
      <c r="CD184" s="293"/>
      <c r="CE184" s="291"/>
      <c r="CF184" s="107"/>
      <c r="CG184" s="107"/>
      <c r="CH184" s="107"/>
      <c r="CI184" s="293"/>
      <c r="CJ184" s="291"/>
      <c r="CK184" s="107"/>
      <c r="CL184" s="107"/>
      <c r="CM184" s="107"/>
      <c r="CN184" s="293"/>
      <c r="CO184" s="107"/>
      <c r="CP184" s="107"/>
      <c r="CQ184" s="107"/>
      <c r="CR184" s="107"/>
      <c r="CS184" s="293"/>
      <c r="CT184" s="107"/>
      <c r="CU184" s="107"/>
      <c r="CV184" s="107"/>
      <c r="CW184" s="107"/>
      <c r="CX184" s="293"/>
      <c r="CY184" s="107">
        <f t="shared" ref="CY184:ED184" si="201">CY177/CY50</f>
      </c>
      <c r="CZ184" s="107">
        <f t="shared" si="201"/>
      </c>
      <c r="DA184" s="107">
        <f t="shared" si="201"/>
      </c>
      <c r="DB184" s="107">
        <f t="shared" si="201"/>
      </c>
      <c r="DC184" s="293">
        <f t="shared" si="201"/>
      </c>
      <c r="DD184" s="107">
        <f t="shared" si="201"/>
      </c>
      <c r="DE184" s="107">
        <f t="shared" si="201"/>
      </c>
      <c r="DF184" s="107">
        <f t="shared" si="201"/>
      </c>
      <c r="DG184" s="107">
        <f t="shared" si="201"/>
      </c>
      <c r="DH184" s="293">
        <f t="shared" si="201"/>
      </c>
      <c r="DI184" s="107">
        <f t="shared" si="201"/>
      </c>
      <c r="DJ184" s="107">
        <f t="shared" si="201"/>
      </c>
      <c r="DK184" s="107">
        <f t="shared" si="201"/>
      </c>
      <c r="DL184" s="107">
        <f t="shared" si="201"/>
      </c>
      <c r="DM184" s="293">
        <f t="shared" si="201"/>
      </c>
      <c r="DN184" s="107">
        <f t="shared" si="201"/>
      </c>
      <c r="DO184" s="107">
        <f t="shared" si="201"/>
      </c>
      <c r="DP184" s="107">
        <f t="shared" si="201"/>
      </c>
      <c r="DQ184" s="107">
        <f t="shared" si="201"/>
      </c>
      <c r="DR184" s="293">
        <f t="shared" si="201"/>
      </c>
      <c r="DS184" s="107">
        <f t="shared" si="201"/>
      </c>
      <c r="DT184" s="107">
        <f t="shared" si="201"/>
      </c>
      <c r="DU184" s="107">
        <f t="shared" si="201"/>
      </c>
      <c r="DV184" s="107">
        <f t="shared" si="201"/>
      </c>
      <c r="DW184" s="293">
        <f t="shared" si="201"/>
      </c>
      <c r="DX184" s="107">
        <f t="shared" si="201"/>
      </c>
      <c r="DY184" s="107">
        <f t="shared" si="201"/>
      </c>
      <c r="DZ184" s="107">
        <f t="shared" si="201"/>
      </c>
      <c r="EA184" s="107">
        <f t="shared" si="201"/>
      </c>
      <c r="EB184" s="293">
        <f t="shared" si="201"/>
      </c>
      <c r="EC184" s="107">
        <f t="shared" si="201"/>
      </c>
      <c r="ED184" s="107">
        <f t="shared" si="201"/>
      </c>
      <c r="EE184" s="107">
        <f t="shared" ref="EE184:EV184" si="202">EE177/EE50</f>
      </c>
      <c r="EF184" s="107">
        <f t="shared" si="202"/>
      </c>
      <c r="EG184" s="293">
        <f t="shared" si="202"/>
      </c>
      <c r="EH184" s="107">
        <f t="shared" si="202"/>
      </c>
      <c r="EI184" s="107">
        <f t="shared" si="202"/>
      </c>
      <c r="EJ184" s="107">
        <f t="shared" si="202"/>
      </c>
      <c r="EK184" s="107">
        <f t="shared" si="202"/>
      </c>
      <c r="EL184" s="293">
        <f t="shared" si="202"/>
      </c>
      <c r="EM184" s="107">
        <f t="shared" si="202"/>
      </c>
      <c r="EN184" s="107">
        <f t="shared" si="202"/>
      </c>
      <c r="EO184" s="107">
        <f t="shared" si="202"/>
      </c>
      <c r="EP184" s="107">
        <f t="shared" si="202"/>
      </c>
      <c r="EQ184" s="293">
        <f t="shared" si="202"/>
      </c>
      <c r="ER184" s="107">
        <f t="shared" si="202"/>
      </c>
      <c r="ES184" s="107">
        <f t="shared" si="202"/>
      </c>
      <c r="ET184" s="107">
        <f t="shared" si="202"/>
      </c>
      <c r="EU184" s="107">
        <f t="shared" si="202"/>
      </c>
      <c r="EV184" s="293">
        <f t="shared" si="202"/>
      </c>
      <c r="EW184" s="468"/>
      <c r="EX184" s="468"/>
      <c r="EY184" s="107"/>
      <c r="EZ184" s="107"/>
      <c r="FA184" s="293"/>
      <c r="FB184" s="107"/>
      <c r="FC184" s="107"/>
      <c r="FD184" s="107"/>
      <c r="FE184" s="107"/>
      <c r="FF184" s="293"/>
      <c r="FG184" s="107"/>
      <c r="FH184" s="107"/>
      <c r="FI184" s="107"/>
      <c r="FJ184" s="107"/>
      <c r="FK184" s="293"/>
      <c r="FL184" s="107"/>
      <c r="FM184" s="107"/>
      <c r="FN184" s="107"/>
      <c r="FO184" s="107"/>
      <c r="FP184" s="293"/>
      <c r="FQ184" s="107"/>
      <c r="FR184" s="107"/>
      <c r="FS184" s="107"/>
      <c r="FT184" s="107"/>
      <c r="FU184" s="293"/>
      <c r="FV184" s="291"/>
      <c r="FW184" s="107"/>
      <c r="FX184" s="107"/>
      <c r="FY184" s="107"/>
      <c r="FZ184" s="293"/>
      <c r="GA184" s="291"/>
      <c r="GB184" s="107"/>
      <c r="GC184" s="107"/>
      <c r="GD184" s="107"/>
      <c r="GE184" s="293"/>
      <c r="GF184" s="291"/>
      <c r="GG184" s="107"/>
      <c r="GH184" s="107"/>
      <c r="GI184" s="107"/>
      <c r="GJ184" s="382"/>
    </row>
    <row r="185" spans="1:192" ht="12.75" hidden="1" customHeight="1" outlineLevel="1">
      <c r="B185" s="736"/>
      <c r="C185" s="291"/>
      <c r="D185" s="107"/>
      <c r="E185" s="107"/>
      <c r="F185" s="107"/>
      <c r="G185" s="293"/>
      <c r="H185" s="291"/>
      <c r="I185" s="107"/>
      <c r="J185" s="107"/>
      <c r="K185" s="107"/>
      <c r="L185" s="293"/>
      <c r="M185" s="291"/>
      <c r="N185" s="107"/>
      <c r="O185" s="107"/>
      <c r="P185" s="107"/>
      <c r="Q185" s="293"/>
      <c r="R185" s="291"/>
      <c r="S185" s="107"/>
      <c r="T185" s="107"/>
      <c r="U185" s="107"/>
      <c r="V185" s="293"/>
      <c r="W185" s="291"/>
      <c r="X185" s="107"/>
      <c r="Y185" s="107"/>
      <c r="Z185" s="107"/>
      <c r="AA185" s="293"/>
      <c r="AB185" s="291"/>
      <c r="AC185" s="107"/>
      <c r="AD185" s="107"/>
      <c r="AE185" s="107"/>
      <c r="AF185" s="293"/>
      <c r="AG185" s="291"/>
      <c r="AH185" s="107"/>
      <c r="AI185" s="107"/>
      <c r="AJ185" s="107"/>
      <c r="AK185" s="293"/>
      <c r="AL185" s="291"/>
      <c r="AM185" s="107"/>
      <c r="AN185" s="107"/>
      <c r="AO185" s="107"/>
      <c r="AP185" s="293"/>
      <c r="AQ185" s="291"/>
      <c r="AR185" s="107"/>
      <c r="AS185" s="107"/>
      <c r="AT185" s="107"/>
      <c r="AU185" s="293"/>
      <c r="AV185" s="291"/>
      <c r="AW185" s="107"/>
      <c r="AX185" s="107"/>
      <c r="AY185" s="107"/>
      <c r="AZ185" s="293"/>
      <c r="BA185" s="291"/>
      <c r="BB185" s="107"/>
      <c r="BC185" s="107"/>
      <c r="BD185" s="107"/>
      <c r="BE185" s="293"/>
      <c r="BF185" s="291"/>
      <c r="BG185" s="107"/>
      <c r="BH185" s="107"/>
      <c r="BI185" s="107"/>
      <c r="BJ185" s="293"/>
      <c r="BK185" s="291"/>
      <c r="BL185" s="107"/>
      <c r="BM185" s="107"/>
      <c r="BN185" s="107"/>
      <c r="BO185" s="293"/>
      <c r="BP185" s="291"/>
      <c r="BQ185" s="107"/>
      <c r="BR185" s="107"/>
      <c r="BS185" s="107"/>
      <c r="BT185" s="293"/>
      <c r="BU185" s="291"/>
      <c r="BV185" s="107"/>
      <c r="BW185" s="107"/>
      <c r="BX185" s="107"/>
      <c r="BY185" s="293"/>
      <c r="BZ185" s="291"/>
      <c r="CA185" s="107"/>
      <c r="CB185" s="107"/>
      <c r="CC185" s="107"/>
      <c r="CD185" s="293"/>
      <c r="CE185" s="291"/>
      <c r="CF185" s="107"/>
      <c r="CG185" s="107"/>
      <c r="CH185" s="107"/>
      <c r="CI185" s="293"/>
      <c r="CJ185" s="291"/>
      <c r="CK185" s="107"/>
      <c r="CL185" s="107"/>
      <c r="CM185" s="107"/>
      <c r="CN185" s="293"/>
      <c r="CO185" s="291"/>
      <c r="CP185" s="107"/>
      <c r="CQ185" s="107"/>
      <c r="CR185" s="107"/>
      <c r="CS185" s="293"/>
      <c r="CT185" s="291"/>
      <c r="CU185" s="107"/>
      <c r="CV185" s="107"/>
      <c r="CW185" s="107"/>
      <c r="CX185" s="293"/>
      <c r="CY185" s="291"/>
      <c r="CZ185" s="107"/>
      <c r="DA185" s="107"/>
      <c r="DB185" s="107"/>
      <c r="DC185" s="293"/>
      <c r="DD185" s="291"/>
      <c r="DE185" s="107"/>
      <c r="DF185" s="107"/>
      <c r="DG185" s="107"/>
      <c r="DH185" s="293"/>
      <c r="DI185" s="291"/>
      <c r="DJ185" s="107"/>
      <c r="DK185" s="107"/>
      <c r="DL185" s="107"/>
      <c r="DM185" s="293"/>
      <c r="DN185" s="291"/>
      <c r="DO185" s="107"/>
      <c r="DP185" s="107"/>
      <c r="DQ185" s="107"/>
      <c r="DR185" s="293"/>
      <c r="DS185" s="291"/>
      <c r="DT185" s="107"/>
      <c r="DU185" s="107"/>
      <c r="DV185" s="107"/>
      <c r="DW185" s="293"/>
      <c r="DX185" s="291"/>
      <c r="DY185" s="107"/>
      <c r="DZ185" s="107"/>
      <c r="EA185" s="107"/>
      <c r="EB185" s="293"/>
      <c r="EC185" s="291"/>
      <c r="ED185" s="107"/>
      <c r="EE185" s="107"/>
      <c r="EF185" s="107"/>
      <c r="EG185" s="293"/>
      <c r="EH185" s="291"/>
      <c r="EI185" s="107"/>
      <c r="EJ185" s="107"/>
      <c r="EK185" s="107"/>
      <c r="EL185" s="293"/>
      <c r="EM185" s="291"/>
      <c r="EN185" s="107"/>
      <c r="EO185" s="107"/>
      <c r="EP185" s="107"/>
      <c r="EQ185" s="293"/>
      <c r="ER185" s="291"/>
      <c r="ES185" s="107"/>
      <c r="ET185" s="107"/>
      <c r="EU185" s="107"/>
      <c r="EV185" s="293"/>
      <c r="EW185" s="349"/>
      <c r="EX185" s="468"/>
      <c r="EY185" s="107"/>
      <c r="EZ185" s="107"/>
      <c r="FA185" s="293"/>
      <c r="FB185" s="291"/>
      <c r="FC185" s="107"/>
      <c r="FD185" s="107"/>
      <c r="FE185" s="107"/>
      <c r="FF185" s="293"/>
      <c r="FG185" s="291"/>
      <c r="FH185" s="107"/>
      <c r="FI185" s="107"/>
      <c r="FJ185" s="107"/>
      <c r="FK185" s="293"/>
      <c r="FL185" s="291"/>
      <c r="FM185" s="107"/>
      <c r="FN185" s="107"/>
      <c r="FO185" s="107"/>
      <c r="FP185" s="293"/>
      <c r="FQ185" s="291"/>
      <c r="FR185" s="107"/>
      <c r="FS185" s="107"/>
      <c r="FT185" s="107"/>
      <c r="FU185" s="293"/>
      <c r="FV185" s="291"/>
      <c r="FW185" s="107"/>
      <c r="FX185" s="107"/>
      <c r="FY185" s="107"/>
      <c r="FZ185" s="293"/>
      <c r="GA185" s="291"/>
      <c r="GB185" s="107"/>
      <c r="GC185" s="107"/>
      <c r="GD185" s="107"/>
      <c r="GE185" s="293"/>
      <c r="GF185" s="291"/>
      <c r="GG185" s="107"/>
      <c r="GH185" s="107"/>
      <c r="GI185" s="107"/>
      <c r="GJ185" s="382"/>
    </row>
    <row r="186" spans="1:192" ht="12.75" hidden="1" customHeight="1" outlineLevel="1">
      <c r="B186" s="745" t="s">
        <v>392</v>
      </c>
      <c r="C186" s="291"/>
      <c r="D186" s="107"/>
      <c r="E186" s="107"/>
      <c r="F186" s="107"/>
      <c r="G186" s="293"/>
      <c r="H186" s="291"/>
      <c r="I186" s="107"/>
      <c r="J186" s="107"/>
      <c r="K186" s="107"/>
      <c r="L186" s="293"/>
      <c r="M186" s="291"/>
      <c r="N186" s="107"/>
      <c r="O186" s="107"/>
      <c r="P186" s="107"/>
      <c r="Q186" s="293"/>
      <c r="R186" s="291"/>
      <c r="S186" s="107"/>
      <c r="T186" s="107"/>
      <c r="U186" s="107"/>
      <c r="V186" s="293"/>
      <c r="W186" s="291"/>
      <c r="X186" s="107"/>
      <c r="Y186" s="107"/>
      <c r="Z186" s="107"/>
      <c r="AA186" s="293"/>
      <c r="AB186" s="291"/>
      <c r="AC186" s="107"/>
      <c r="AD186" s="107"/>
      <c r="AE186" s="107"/>
      <c r="AF186" s="293"/>
      <c r="AG186" s="291"/>
      <c r="AH186" s="107"/>
      <c r="AI186" s="107"/>
      <c r="AJ186" s="107"/>
      <c r="AK186" s="293"/>
      <c r="AL186" s="291"/>
      <c r="AM186" s="107"/>
      <c r="AN186" s="107"/>
      <c r="AO186" s="107"/>
      <c r="AP186" s="293"/>
      <c r="AQ186" s="291"/>
      <c r="AR186" s="107"/>
      <c r="AS186" s="107"/>
      <c r="AT186" s="107"/>
      <c r="AU186" s="293"/>
      <c r="AV186" s="291"/>
      <c r="AW186" s="107"/>
      <c r="AX186" s="107"/>
      <c r="AY186" s="107"/>
      <c r="AZ186" s="293"/>
      <c r="BA186" s="291"/>
      <c r="BB186" s="107"/>
      <c r="BC186" s="107"/>
      <c r="BD186" s="107"/>
      <c r="BE186" s="293"/>
      <c r="BF186" s="291"/>
      <c r="BG186" s="107"/>
      <c r="BH186" s="107"/>
      <c r="BI186" s="107"/>
      <c r="BJ186" s="293"/>
      <c r="BK186" s="291"/>
      <c r="BL186" s="107"/>
      <c r="BM186" s="107"/>
      <c r="BN186" s="107"/>
      <c r="BO186" s="293"/>
      <c r="BP186" s="291"/>
      <c r="BQ186" s="107"/>
      <c r="BR186" s="107"/>
      <c r="BS186" s="107"/>
      <c r="BT186" s="293"/>
      <c r="BU186" s="291"/>
      <c r="BV186" s="107"/>
      <c r="BW186" s="107"/>
      <c r="BX186" s="107"/>
      <c r="BY186" s="293"/>
      <c r="BZ186" s="291"/>
      <c r="CA186" s="107"/>
      <c r="CB186" s="107"/>
      <c r="CC186" s="107"/>
      <c r="CD186" s="293"/>
      <c r="CE186" s="291"/>
      <c r="CF186" s="107"/>
      <c r="CG186" s="107"/>
      <c r="CH186" s="107"/>
      <c r="CI186" s="293"/>
      <c r="CJ186" s="291"/>
      <c r="CK186" s="107"/>
      <c r="CL186" s="107"/>
      <c r="CM186" s="107"/>
      <c r="CN186" s="293"/>
      <c r="CO186" s="291"/>
      <c r="CP186" s="107"/>
      <c r="CQ186" s="107"/>
      <c r="CR186" s="107"/>
      <c r="CS186" s="293"/>
      <c r="CT186" s="291"/>
      <c r="CU186" s="107"/>
      <c r="CV186" s="107"/>
      <c r="CW186" s="107"/>
      <c r="CX186" s="293"/>
      <c r="CY186" s="291"/>
      <c r="CZ186" s="107"/>
      <c r="DA186" s="107"/>
      <c r="DB186" s="107"/>
      <c r="DC186" s="293"/>
      <c r="DD186" s="291"/>
      <c r="DE186" s="107"/>
      <c r="DF186" s="107"/>
      <c r="DG186" s="107"/>
      <c r="DH186" s="293"/>
      <c r="DI186" s="291"/>
      <c r="DJ186" s="107"/>
      <c r="DK186" s="107"/>
      <c r="DL186" s="107"/>
      <c r="DM186" s="293"/>
      <c r="DN186" s="291"/>
      <c r="DO186" s="107"/>
      <c r="DP186" s="107"/>
      <c r="DQ186" s="107"/>
      <c r="DR186" s="293"/>
      <c r="DS186" s="291"/>
      <c r="DT186" s="107"/>
      <c r="DU186" s="107"/>
      <c r="DV186" s="107"/>
      <c r="DW186" s="293"/>
      <c r="DX186" s="291"/>
      <c r="DY186" s="107"/>
      <c r="DZ186" s="107"/>
      <c r="EA186" s="107"/>
      <c r="EB186" s="293"/>
      <c r="EC186" s="291"/>
      <c r="ED186" s="107"/>
      <c r="EE186" s="107"/>
      <c r="EF186" s="107"/>
      <c r="EG186" s="293"/>
      <c r="EH186" s="291"/>
      <c r="EI186" s="107"/>
      <c r="EJ186" s="107"/>
      <c r="EK186" s="107"/>
      <c r="EL186" s="293"/>
      <c r="EM186" s="291"/>
      <c r="EN186" s="107"/>
      <c r="EO186" s="114"/>
      <c r="EP186" s="114">
        <v>0.01</v>
      </c>
      <c r="EQ186" s="293">
        <f>EQ187/EQ177</f>
      </c>
      <c r="ER186" s="412">
        <v>0.03</v>
      </c>
      <c r="ES186" s="412">
        <v>0.06</v>
      </c>
      <c r="ET186" s="441">
        <v>7.0000000000000007E-2</v>
      </c>
      <c r="EU186" s="441">
        <v>0.08</v>
      </c>
      <c r="EV186" s="293">
        <f>EV187/EV177</f>
      </c>
      <c r="EW186" s="441"/>
      <c r="EX186" s="439"/>
      <c r="EY186" s="114"/>
      <c r="EZ186" s="114"/>
      <c r="FA186" s="293"/>
      <c r="FB186" s="291"/>
      <c r="FC186" s="107"/>
      <c r="FD186" s="107"/>
      <c r="FE186" s="107"/>
      <c r="FF186" s="293"/>
      <c r="FG186" s="291"/>
      <c r="FH186" s="107"/>
      <c r="FI186" s="107"/>
      <c r="FJ186" s="107"/>
      <c r="FK186" s="293"/>
      <c r="FL186" s="291"/>
      <c r="FM186" s="107"/>
      <c r="FN186" s="107"/>
      <c r="FO186" s="107"/>
      <c r="FP186" s="293"/>
      <c r="FQ186" s="291"/>
      <c r="FR186" s="107"/>
      <c r="FS186" s="107"/>
      <c r="FT186" s="107"/>
      <c r="FU186" s="293"/>
      <c r="FV186" s="291"/>
      <c r="FW186" s="107"/>
      <c r="FX186" s="107"/>
      <c r="FY186" s="107"/>
      <c r="FZ186" s="293"/>
      <c r="GA186" s="291"/>
      <c r="GB186" s="107"/>
      <c r="GC186" s="107"/>
      <c r="GD186" s="107"/>
      <c r="GE186" s="293"/>
      <c r="GF186" s="291"/>
      <c r="GG186" s="107"/>
      <c r="GH186" s="107"/>
      <c r="GI186" s="107"/>
      <c r="GJ186" s="382"/>
    </row>
    <row r="187" spans="1:192" s="461" customFormat="1" ht="12.75" hidden="1" customHeight="1" outlineLevel="1">
      <c r="A187" s="370"/>
      <c r="B187" s="736" t="s">
        <v>1929</v>
      </c>
      <c r="C187" s="447"/>
      <c r="D187" s="458"/>
      <c r="E187" s="458"/>
      <c r="F187" s="458"/>
      <c r="G187" s="459"/>
      <c r="H187" s="447"/>
      <c r="I187" s="458"/>
      <c r="J187" s="458"/>
      <c r="K187" s="458"/>
      <c r="L187" s="459"/>
      <c r="M187" s="447"/>
      <c r="N187" s="458"/>
      <c r="O187" s="458"/>
      <c r="P187" s="458"/>
      <c r="Q187" s="459"/>
      <c r="R187" s="447"/>
      <c r="S187" s="458"/>
      <c r="T187" s="458"/>
      <c r="U187" s="458"/>
      <c r="V187" s="459"/>
      <c r="W187" s="447"/>
      <c r="X187" s="458"/>
      <c r="Y187" s="458"/>
      <c r="Z187" s="458"/>
      <c r="AA187" s="459"/>
      <c r="AB187" s="447"/>
      <c r="AC187" s="458"/>
      <c r="AD187" s="458"/>
      <c r="AE187" s="458"/>
      <c r="AF187" s="459"/>
      <c r="AG187" s="447"/>
      <c r="AH187" s="458"/>
      <c r="AI187" s="458"/>
      <c r="AJ187" s="458"/>
      <c r="AK187" s="459"/>
      <c r="AL187" s="447"/>
      <c r="AM187" s="458"/>
      <c r="AN187" s="458"/>
      <c r="AO187" s="458"/>
      <c r="AP187" s="459"/>
      <c r="AQ187" s="447"/>
      <c r="AR187" s="458"/>
      <c r="AS187" s="458"/>
      <c r="AT187" s="458"/>
      <c r="AU187" s="459"/>
      <c r="AV187" s="447"/>
      <c r="AW187" s="458"/>
      <c r="AX187" s="458"/>
      <c r="AY187" s="458"/>
      <c r="AZ187" s="459"/>
      <c r="BA187" s="447"/>
      <c r="BB187" s="458"/>
      <c r="BC187" s="458"/>
      <c r="BD187" s="458"/>
      <c r="BE187" s="459"/>
      <c r="BF187" s="447"/>
      <c r="BG187" s="458"/>
      <c r="BH187" s="458"/>
      <c r="BI187" s="458"/>
      <c r="BJ187" s="459"/>
      <c r="BK187" s="447"/>
      <c r="BL187" s="458"/>
      <c r="BM187" s="458"/>
      <c r="BN187" s="458"/>
      <c r="BO187" s="459"/>
      <c r="BP187" s="447"/>
      <c r="BQ187" s="458"/>
      <c r="BR187" s="458"/>
      <c r="BS187" s="458"/>
      <c r="BT187" s="459"/>
      <c r="BU187" s="447"/>
      <c r="BV187" s="458"/>
      <c r="BW187" s="458"/>
      <c r="BX187" s="458"/>
      <c r="BY187" s="459"/>
      <c r="BZ187" s="447"/>
      <c r="CA187" s="458"/>
      <c r="CB187" s="458"/>
      <c r="CC187" s="458"/>
      <c r="CD187" s="459"/>
      <c r="CE187" s="447"/>
      <c r="CF187" s="458"/>
      <c r="CG187" s="458"/>
      <c r="CH187" s="458"/>
      <c r="CI187" s="459"/>
      <c r="CJ187" s="447"/>
      <c r="CK187" s="458"/>
      <c r="CL187" s="458"/>
      <c r="CM187" s="458"/>
      <c r="CN187" s="459"/>
      <c r="CO187" s="447"/>
      <c r="CP187" s="458"/>
      <c r="CQ187" s="458"/>
      <c r="CR187" s="458"/>
      <c r="CS187" s="459"/>
      <c r="CT187" s="447"/>
      <c r="CU187" s="458"/>
      <c r="CV187" s="458"/>
      <c r="CW187" s="458"/>
      <c r="CX187" s="459"/>
      <c r="CY187" s="447"/>
      <c r="CZ187" s="458"/>
      <c r="DA187" s="458"/>
      <c r="DB187" s="458"/>
      <c r="DC187" s="459"/>
      <c r="DD187" s="447"/>
      <c r="DE187" s="458"/>
      <c r="DF187" s="458"/>
      <c r="DG187" s="458"/>
      <c r="DH187" s="459"/>
      <c r="DI187" s="447"/>
      <c r="DJ187" s="458"/>
      <c r="DK187" s="458"/>
      <c r="DL187" s="458"/>
      <c r="DM187" s="459"/>
      <c r="DN187" s="447"/>
      <c r="DO187" s="458"/>
      <c r="DP187" s="458"/>
      <c r="DQ187" s="458"/>
      <c r="DR187" s="459"/>
      <c r="DS187" s="447"/>
      <c r="DT187" s="458"/>
      <c r="DU187" s="458"/>
      <c r="DV187" s="458"/>
      <c r="DW187" s="459"/>
      <c r="DX187" s="447"/>
      <c r="DY187" s="458"/>
      <c r="DZ187" s="458"/>
      <c r="EA187" s="458"/>
      <c r="EB187" s="459"/>
      <c r="EC187" s="447"/>
      <c r="ED187" s="458"/>
      <c r="EE187" s="458"/>
      <c r="EF187" s="458"/>
      <c r="EG187" s="459"/>
      <c r="EH187" s="447"/>
      <c r="EI187" s="458"/>
      <c r="EJ187" s="458"/>
      <c r="EK187" s="458"/>
      <c r="EL187" s="459"/>
      <c r="EM187" s="447"/>
      <c r="EN187" s="458"/>
      <c r="EO187" s="458"/>
      <c r="EP187" s="458">
        <f>EP177-(EK177*(1+(EP178-EP186)))</f>
      </c>
      <c r="EQ187" s="459">
        <f>SUM(EM187:EP187)</f>
      </c>
      <c r="ER187" s="458">
        <f>ER177-(EM177*(1+(ER178-ER186)))</f>
      </c>
      <c r="ES187" s="458">
        <f>ES177-(EN177*(1+(ES178-ES186)))</f>
      </c>
      <c r="ET187" s="458">
        <f>ET177-(EO177*(1+(ET178-ET186)))</f>
      </c>
      <c r="EU187" s="458">
        <f>EU177-(EP177*(1+(EU178-EU186)))</f>
      </c>
      <c r="EV187" s="459">
        <f>SUM(ER187:EU187)</f>
      </c>
      <c r="EW187" s="679"/>
      <c r="EX187" s="679"/>
      <c r="EY187" s="458"/>
      <c r="EZ187" s="458"/>
      <c r="FA187" s="459"/>
      <c r="FB187" s="447"/>
      <c r="FC187" s="458"/>
      <c r="FD187" s="458"/>
      <c r="FE187" s="458"/>
      <c r="FF187" s="459"/>
      <c r="FG187" s="447"/>
      <c r="FH187" s="458"/>
      <c r="FI187" s="458"/>
      <c r="FJ187" s="458"/>
      <c r="FK187" s="459"/>
      <c r="FL187" s="447"/>
      <c r="FM187" s="458"/>
      <c r="FN187" s="458"/>
      <c r="FO187" s="458"/>
      <c r="FP187" s="459"/>
      <c r="FQ187" s="447"/>
      <c r="FR187" s="458"/>
      <c r="FS187" s="458"/>
      <c r="FT187" s="458"/>
      <c r="FU187" s="459"/>
      <c r="FV187" s="447"/>
      <c r="FW187" s="458"/>
      <c r="FX187" s="458"/>
      <c r="FY187" s="458"/>
      <c r="FZ187" s="459"/>
      <c r="GA187" s="447"/>
      <c r="GB187" s="458"/>
      <c r="GC187" s="458"/>
      <c r="GD187" s="458"/>
      <c r="GE187" s="459"/>
      <c r="GF187" s="447"/>
      <c r="GG187" s="458"/>
      <c r="GH187" s="458"/>
      <c r="GI187" s="458"/>
      <c r="GJ187" s="460"/>
    </row>
    <row r="188" spans="1:192" s="461" customFormat="1" ht="12.75" hidden="1" customHeight="1" outlineLevel="1">
      <c r="A188" s="370"/>
      <c r="B188" s="736"/>
      <c r="C188" s="447"/>
      <c r="D188" s="458"/>
      <c r="E188" s="458"/>
      <c r="F188" s="458"/>
      <c r="G188" s="459"/>
      <c r="H188" s="447"/>
      <c r="I188" s="458"/>
      <c r="J188" s="458"/>
      <c r="K188" s="458"/>
      <c r="L188" s="459"/>
      <c r="M188" s="447"/>
      <c r="N188" s="458"/>
      <c r="O188" s="458"/>
      <c r="P188" s="458"/>
      <c r="Q188" s="459"/>
      <c r="R188" s="447"/>
      <c r="S188" s="458"/>
      <c r="T188" s="458"/>
      <c r="U188" s="458"/>
      <c r="V188" s="459"/>
      <c r="W188" s="447"/>
      <c r="X188" s="458"/>
      <c r="Y188" s="458"/>
      <c r="Z188" s="458"/>
      <c r="AA188" s="459"/>
      <c r="AB188" s="447"/>
      <c r="AC188" s="458"/>
      <c r="AD188" s="458"/>
      <c r="AE188" s="458"/>
      <c r="AF188" s="459"/>
      <c r="AG188" s="447"/>
      <c r="AH188" s="458"/>
      <c r="AI188" s="458"/>
      <c r="AJ188" s="458"/>
      <c r="AK188" s="459"/>
      <c r="AL188" s="447"/>
      <c r="AM188" s="458"/>
      <c r="AN188" s="458"/>
      <c r="AO188" s="458"/>
      <c r="AP188" s="459"/>
      <c r="AQ188" s="447"/>
      <c r="AR188" s="458"/>
      <c r="AS188" s="458"/>
      <c r="AT188" s="458"/>
      <c r="AU188" s="459"/>
      <c r="AV188" s="447"/>
      <c r="AW188" s="458"/>
      <c r="AX188" s="458"/>
      <c r="AY188" s="458"/>
      <c r="AZ188" s="459"/>
      <c r="BA188" s="447"/>
      <c r="BB188" s="458"/>
      <c r="BC188" s="458"/>
      <c r="BD188" s="458"/>
      <c r="BE188" s="459"/>
      <c r="BF188" s="447"/>
      <c r="BG188" s="458"/>
      <c r="BH188" s="458"/>
      <c r="BI188" s="458"/>
      <c r="BJ188" s="459"/>
      <c r="BK188" s="447"/>
      <c r="BL188" s="458"/>
      <c r="BM188" s="458"/>
      <c r="BN188" s="458"/>
      <c r="BO188" s="459"/>
      <c r="BP188" s="447"/>
      <c r="BQ188" s="458"/>
      <c r="BR188" s="458"/>
      <c r="BS188" s="458"/>
      <c r="BT188" s="459"/>
      <c r="BU188" s="447"/>
      <c r="BV188" s="458"/>
      <c r="BW188" s="458"/>
      <c r="BX188" s="458"/>
      <c r="BY188" s="459"/>
      <c r="BZ188" s="447"/>
      <c r="CA188" s="458"/>
      <c r="CB188" s="458"/>
      <c r="CC188" s="458"/>
      <c r="CD188" s="459"/>
      <c r="CE188" s="447"/>
      <c r="CF188" s="458"/>
      <c r="CG188" s="458"/>
      <c r="CH188" s="458"/>
      <c r="CI188" s="459"/>
      <c r="CJ188" s="447"/>
      <c r="CK188" s="458"/>
      <c r="CL188" s="458"/>
      <c r="CM188" s="458"/>
      <c r="CN188" s="459"/>
      <c r="CO188" s="447"/>
      <c r="CP188" s="458"/>
      <c r="CQ188" s="458"/>
      <c r="CR188" s="458"/>
      <c r="CS188" s="459"/>
      <c r="CT188" s="447"/>
      <c r="CU188" s="458"/>
      <c r="CV188" s="458"/>
      <c r="CW188" s="458"/>
      <c r="CX188" s="459"/>
      <c r="CY188" s="447"/>
      <c r="CZ188" s="458"/>
      <c r="DA188" s="458"/>
      <c r="DB188" s="458"/>
      <c r="DC188" s="459"/>
      <c r="DD188" s="447"/>
      <c r="DE188" s="458"/>
      <c r="DF188" s="458"/>
      <c r="DG188" s="458"/>
      <c r="DH188" s="459"/>
      <c r="DI188" s="447"/>
      <c r="DJ188" s="458"/>
      <c r="DK188" s="458"/>
      <c r="DL188" s="458"/>
      <c r="DM188" s="459"/>
      <c r="DN188" s="447"/>
      <c r="DO188" s="458"/>
      <c r="DP188" s="458"/>
      <c r="DQ188" s="458"/>
      <c r="DR188" s="459"/>
      <c r="DS188" s="447"/>
      <c r="DT188" s="458"/>
      <c r="DU188" s="458"/>
      <c r="DV188" s="458"/>
      <c r="DW188" s="459"/>
      <c r="DX188" s="447"/>
      <c r="DY188" s="458"/>
      <c r="DZ188" s="458"/>
      <c r="EA188" s="458"/>
      <c r="EB188" s="459"/>
      <c r="EC188" s="447"/>
      <c r="ED188" s="458"/>
      <c r="EE188" s="458"/>
      <c r="EF188" s="458"/>
      <c r="EG188" s="459"/>
      <c r="EH188" s="447"/>
      <c r="EI188" s="458"/>
      <c r="EJ188" s="458"/>
      <c r="EK188" s="458"/>
      <c r="EL188" s="459"/>
      <c r="EM188" s="447"/>
      <c r="EN188" s="458"/>
      <c r="EO188" s="458"/>
      <c r="EP188" s="458"/>
      <c r="EQ188" s="459"/>
      <c r="ER188" s="458"/>
      <c r="ES188" s="458"/>
      <c r="ET188" s="458"/>
      <c r="EU188" s="458"/>
      <c r="EV188" s="459"/>
      <c r="EW188" s="679"/>
      <c r="EX188" s="679"/>
      <c r="EY188" s="458"/>
      <c r="EZ188" s="458"/>
      <c r="FA188" s="459"/>
      <c r="FB188" s="447"/>
      <c r="FC188" s="458"/>
      <c r="FD188" s="458"/>
      <c r="FE188" s="458"/>
      <c r="FF188" s="459"/>
      <c r="FG188" s="447"/>
      <c r="FH188" s="458"/>
      <c r="FI188" s="458"/>
      <c r="FJ188" s="458"/>
      <c r="FK188" s="459"/>
      <c r="FL188" s="447"/>
      <c r="FM188" s="458"/>
      <c r="FN188" s="458"/>
      <c r="FO188" s="458"/>
      <c r="FP188" s="459"/>
      <c r="FQ188" s="447"/>
      <c r="FR188" s="458"/>
      <c r="FS188" s="458"/>
      <c r="FT188" s="458"/>
      <c r="FU188" s="459"/>
      <c r="FV188" s="447"/>
      <c r="FW188" s="458"/>
      <c r="FX188" s="458"/>
      <c r="FY188" s="458"/>
      <c r="FZ188" s="459"/>
      <c r="GA188" s="447"/>
      <c r="GB188" s="458"/>
      <c r="GC188" s="458"/>
      <c r="GD188" s="458"/>
      <c r="GE188" s="459"/>
      <c r="GF188" s="447"/>
      <c r="GG188" s="458"/>
      <c r="GH188" s="458"/>
      <c r="GI188" s="458"/>
      <c r="GJ188" s="460"/>
    </row>
    <row r="189" spans="1:192" s="461" customFormat="1" ht="12.75" hidden="1" customHeight="1" outlineLevel="1">
      <c r="A189" s="370"/>
      <c r="B189" s="745" t="s">
        <v>1835</v>
      </c>
      <c r="C189" s="447"/>
      <c r="D189" s="458"/>
      <c r="E189" s="458"/>
      <c r="F189" s="458"/>
      <c r="G189" s="459"/>
      <c r="H189" s="447"/>
      <c r="I189" s="458"/>
      <c r="J189" s="458"/>
      <c r="K189" s="458"/>
      <c r="L189" s="459"/>
      <c r="M189" s="447"/>
      <c r="N189" s="458"/>
      <c r="O189" s="458"/>
      <c r="P189" s="458"/>
      <c r="Q189" s="459"/>
      <c r="R189" s="447"/>
      <c r="S189" s="458"/>
      <c r="T189" s="458"/>
      <c r="U189" s="458"/>
      <c r="V189" s="459"/>
      <c r="W189" s="447"/>
      <c r="X189" s="458"/>
      <c r="Y189" s="458"/>
      <c r="Z189" s="458"/>
      <c r="AA189" s="459"/>
      <c r="AB189" s="447"/>
      <c r="AC189" s="458"/>
      <c r="AD189" s="458"/>
      <c r="AE189" s="458"/>
      <c r="AF189" s="459"/>
      <c r="AG189" s="447"/>
      <c r="AH189" s="458"/>
      <c r="AI189" s="458"/>
      <c r="AJ189" s="458"/>
      <c r="AK189" s="459"/>
      <c r="AL189" s="447"/>
      <c r="AM189" s="458"/>
      <c r="AN189" s="458"/>
      <c r="AO189" s="458"/>
      <c r="AP189" s="459"/>
      <c r="AQ189" s="447"/>
      <c r="AR189" s="458"/>
      <c r="AS189" s="458"/>
      <c r="AT189" s="458"/>
      <c r="AU189" s="459"/>
      <c r="AV189" s="447"/>
      <c r="AW189" s="458"/>
      <c r="AX189" s="458"/>
      <c r="AY189" s="458"/>
      <c r="AZ189" s="459"/>
      <c r="BA189" s="447"/>
      <c r="BB189" s="458"/>
      <c r="BC189" s="458"/>
      <c r="BD189" s="458"/>
      <c r="BE189" s="459"/>
      <c r="BF189" s="447"/>
      <c r="BG189" s="458"/>
      <c r="BH189" s="458"/>
      <c r="BI189" s="458"/>
      <c r="BJ189" s="459"/>
      <c r="BK189" s="447"/>
      <c r="BL189" s="458"/>
      <c r="BM189" s="458"/>
      <c r="BN189" s="458"/>
      <c r="BO189" s="459"/>
      <c r="BP189" s="447"/>
      <c r="BQ189" s="458"/>
      <c r="BR189" s="458"/>
      <c r="BS189" s="458"/>
      <c r="BT189" s="459"/>
      <c r="BU189" s="447"/>
      <c r="BV189" s="458"/>
      <c r="BW189" s="458"/>
      <c r="BX189" s="458"/>
      <c r="BY189" s="459"/>
      <c r="BZ189" s="447"/>
      <c r="CA189" s="458"/>
      <c r="CB189" s="458"/>
      <c r="CC189" s="458"/>
      <c r="CD189" s="459"/>
      <c r="CE189" s="447"/>
      <c r="CF189" s="458"/>
      <c r="CG189" s="458"/>
      <c r="CH189" s="458"/>
      <c r="CI189" s="459"/>
      <c r="CJ189" s="447"/>
      <c r="CK189" s="458"/>
      <c r="CL189" s="458"/>
      <c r="CM189" s="458"/>
      <c r="CN189" s="459"/>
      <c r="CO189" s="447"/>
      <c r="CP189" s="458"/>
      <c r="CQ189" s="458"/>
      <c r="CR189" s="458"/>
      <c r="CS189" s="459"/>
      <c r="CT189" s="447"/>
      <c r="CU189" s="458"/>
      <c r="CV189" s="458"/>
      <c r="CW189" s="458"/>
      <c r="CX189" s="459"/>
      <c r="CY189" s="447"/>
      <c r="CZ189" s="458"/>
      <c r="DA189" s="458"/>
      <c r="DB189" s="458"/>
      <c r="DC189" s="459"/>
      <c r="DD189" s="447"/>
      <c r="DE189" s="458"/>
      <c r="DF189" s="458"/>
      <c r="DG189" s="458"/>
      <c r="DH189" s="459"/>
      <c r="DI189" s="447"/>
      <c r="DJ189" s="458"/>
      <c r="DK189" s="458"/>
      <c r="DL189" s="458"/>
      <c r="DM189" s="459"/>
      <c r="DN189" s="447"/>
      <c r="DO189" s="458"/>
      <c r="DP189" s="458"/>
      <c r="DQ189" s="458"/>
      <c r="DR189" s="459"/>
      <c r="DS189" s="447"/>
      <c r="DT189" s="458"/>
      <c r="DU189" s="458"/>
      <c r="DV189" s="458"/>
      <c r="DW189" s="459"/>
      <c r="DX189" s="447"/>
      <c r="DY189" s="458"/>
      <c r="DZ189" s="458"/>
      <c r="EA189" s="458"/>
      <c r="EB189" s="459"/>
      <c r="EC189" s="447"/>
      <c r="ED189" s="458"/>
      <c r="EE189" s="458"/>
      <c r="EF189" s="458"/>
      <c r="EG189" s="459"/>
      <c r="EH189" s="447"/>
      <c r="EI189" s="458"/>
      <c r="EJ189" s="458"/>
      <c r="EK189" s="458"/>
      <c r="EL189" s="459"/>
      <c r="EM189" s="447"/>
      <c r="EN189" s="458"/>
      <c r="EO189" s="458"/>
      <c r="EP189" s="458">
        <f>EP187+EK187</f>
      </c>
      <c r="EQ189" s="459">
        <f>SUM(EM189:EP189)</f>
      </c>
      <c r="ER189" s="458">
        <f>ER187+EM187</f>
      </c>
      <c r="ES189" s="458">
        <f>ES187+EN187</f>
      </c>
      <c r="ET189" s="458">
        <f>ET187+EO187</f>
      </c>
      <c r="EU189" s="458">
        <f>EU187+EP187</f>
      </c>
      <c r="EV189" s="459">
        <f>SUM(ER189:EU189)</f>
      </c>
      <c r="EW189" s="679"/>
      <c r="EX189" s="679"/>
      <c r="EY189" s="458"/>
      <c r="EZ189" s="458"/>
      <c r="FA189" s="459"/>
      <c r="FB189" s="458"/>
      <c r="FC189" s="458"/>
      <c r="FD189" s="458"/>
      <c r="FE189" s="458"/>
      <c r="FF189" s="459"/>
      <c r="FG189" s="447"/>
      <c r="FH189" s="458"/>
      <c r="FI189" s="458"/>
      <c r="FJ189" s="458"/>
      <c r="FK189" s="459"/>
      <c r="FL189" s="447"/>
      <c r="FM189" s="458"/>
      <c r="FN189" s="458"/>
      <c r="FO189" s="458"/>
      <c r="FP189" s="459"/>
      <c r="FQ189" s="447"/>
      <c r="FR189" s="458"/>
      <c r="FS189" s="458"/>
      <c r="FT189" s="458"/>
      <c r="FU189" s="459"/>
      <c r="FV189" s="447"/>
      <c r="FW189" s="458"/>
      <c r="FX189" s="458"/>
      <c r="FY189" s="458"/>
      <c r="FZ189" s="459"/>
      <c r="GA189" s="447"/>
      <c r="GB189" s="458"/>
      <c r="GC189" s="458"/>
      <c r="GD189" s="458"/>
      <c r="GE189" s="459"/>
      <c r="GF189" s="447"/>
      <c r="GG189" s="458"/>
      <c r="GH189" s="458"/>
      <c r="GI189" s="458"/>
      <c r="GJ189" s="460"/>
    </row>
    <row r="190" spans="1:192" s="461" customFormat="1" ht="12.75" hidden="1" customHeight="1" outlineLevel="1">
      <c r="A190" s="370"/>
      <c r="B190" s="736" t="s">
        <v>34</v>
      </c>
      <c r="C190" s="447"/>
      <c r="D190" s="458"/>
      <c r="E190" s="458"/>
      <c r="F190" s="458"/>
      <c r="G190" s="459"/>
      <c r="H190" s="447"/>
      <c r="I190" s="458"/>
      <c r="J190" s="458"/>
      <c r="K190" s="458"/>
      <c r="L190" s="459"/>
      <c r="M190" s="447"/>
      <c r="N190" s="458"/>
      <c r="O190" s="458"/>
      <c r="P190" s="458"/>
      <c r="Q190" s="459"/>
      <c r="R190" s="447"/>
      <c r="S190" s="458"/>
      <c r="T190" s="458"/>
      <c r="U190" s="458"/>
      <c r="V190" s="459"/>
      <c r="W190" s="447"/>
      <c r="X190" s="458"/>
      <c r="Y190" s="458"/>
      <c r="Z190" s="458"/>
      <c r="AA190" s="459"/>
      <c r="AB190" s="447"/>
      <c r="AC190" s="458"/>
      <c r="AD190" s="458"/>
      <c r="AE190" s="458"/>
      <c r="AF190" s="459"/>
      <c r="AG190" s="447"/>
      <c r="AH190" s="458"/>
      <c r="AI190" s="458"/>
      <c r="AJ190" s="458"/>
      <c r="AK190" s="459"/>
      <c r="AL190" s="447"/>
      <c r="AM190" s="458"/>
      <c r="AN190" s="458"/>
      <c r="AO190" s="458"/>
      <c r="AP190" s="459"/>
      <c r="AQ190" s="447"/>
      <c r="AR190" s="458"/>
      <c r="AS190" s="458"/>
      <c r="AT190" s="458"/>
      <c r="AU190" s="459"/>
      <c r="AV190" s="447"/>
      <c r="AW190" s="458"/>
      <c r="AX190" s="458"/>
      <c r="AY190" s="458"/>
      <c r="AZ190" s="459"/>
      <c r="BA190" s="447"/>
      <c r="BB190" s="458"/>
      <c r="BC190" s="458"/>
      <c r="BD190" s="458"/>
      <c r="BE190" s="459"/>
      <c r="BF190" s="447"/>
      <c r="BG190" s="458"/>
      <c r="BH190" s="458"/>
      <c r="BI190" s="458"/>
      <c r="BJ190" s="459"/>
      <c r="BK190" s="447"/>
      <c r="BL190" s="458"/>
      <c r="BM190" s="458"/>
      <c r="BN190" s="458"/>
      <c r="BO190" s="459"/>
      <c r="BP190" s="447"/>
      <c r="BQ190" s="458"/>
      <c r="BR190" s="458"/>
      <c r="BS190" s="458"/>
      <c r="BT190" s="459"/>
      <c r="BU190" s="447"/>
      <c r="BV190" s="458"/>
      <c r="BW190" s="458"/>
      <c r="BX190" s="458"/>
      <c r="BY190" s="459"/>
      <c r="BZ190" s="447"/>
      <c r="CA190" s="458"/>
      <c r="CB190" s="458"/>
      <c r="CC190" s="458"/>
      <c r="CD190" s="459"/>
      <c r="CE190" s="447"/>
      <c r="CF190" s="458"/>
      <c r="CG190" s="458"/>
      <c r="CH190" s="458"/>
      <c r="CI190" s="459"/>
      <c r="CJ190" s="447"/>
      <c r="CK190" s="458"/>
      <c r="CL190" s="458"/>
      <c r="CM190" s="458"/>
      <c r="CN190" s="459"/>
      <c r="CO190" s="447"/>
      <c r="CP190" s="458"/>
      <c r="CQ190" s="458"/>
      <c r="CR190" s="458"/>
      <c r="CS190" s="459"/>
      <c r="CT190" s="447"/>
      <c r="CU190" s="458"/>
      <c r="CV190" s="458"/>
      <c r="CW190" s="458"/>
      <c r="CX190" s="459"/>
      <c r="CY190" s="447"/>
      <c r="CZ190" s="458"/>
      <c r="DA190" s="458"/>
      <c r="DB190" s="458"/>
      <c r="DC190" s="459"/>
      <c r="DD190" s="447"/>
      <c r="DE190" s="458"/>
      <c r="DF190" s="458"/>
      <c r="DG190" s="458"/>
      <c r="DH190" s="459"/>
      <c r="DI190" s="447"/>
      <c r="DJ190" s="458"/>
      <c r="DK190" s="458"/>
      <c r="DL190" s="458"/>
      <c r="DM190" s="459"/>
      <c r="DN190" s="447"/>
      <c r="DO190" s="458"/>
      <c r="DP190" s="458"/>
      <c r="DQ190" s="458"/>
      <c r="DR190" s="459"/>
      <c r="DS190" s="447"/>
      <c r="DT190" s="458"/>
      <c r="DU190" s="458"/>
      <c r="DV190" s="458"/>
      <c r="DW190" s="459"/>
      <c r="DX190" s="447"/>
      <c r="DY190" s="458"/>
      <c r="DZ190" s="458"/>
      <c r="EA190" s="458"/>
      <c r="EB190" s="459"/>
      <c r="EC190" s="447"/>
      <c r="ED190" s="458"/>
      <c r="EE190" s="458"/>
      <c r="EF190" s="458"/>
      <c r="EG190" s="459"/>
      <c r="EH190" s="447"/>
      <c r="EI190" s="458"/>
      <c r="EJ190" s="458"/>
      <c r="EK190" s="458"/>
      <c r="EL190" s="459"/>
      <c r="EM190" s="447"/>
      <c r="EN190" s="458"/>
      <c r="EO190" s="458"/>
      <c r="EP190" s="458"/>
      <c r="EQ190" s="459"/>
      <c r="ER190" s="458"/>
      <c r="ES190" s="458"/>
      <c r="ET190" s="458"/>
      <c r="EU190" s="1449">
        <f>EU189/EP189-1</f>
      </c>
      <c r="EV190" s="524">
        <f>EV189/EQ189-1</f>
      </c>
      <c r="EW190" s="1444"/>
      <c r="EX190" s="1444"/>
      <c r="EY190" s="1444"/>
      <c r="EZ190" s="1443"/>
      <c r="FA190" s="524"/>
      <c r="FB190" s="1444"/>
      <c r="FC190" s="1444"/>
      <c r="FD190" s="1444"/>
      <c r="FE190" s="1444"/>
      <c r="FF190" s="459"/>
      <c r="FG190" s="447"/>
      <c r="FH190" s="458"/>
      <c r="FI190" s="458"/>
      <c r="FJ190" s="458"/>
      <c r="FK190" s="459"/>
      <c r="FL190" s="447"/>
      <c r="FM190" s="458"/>
      <c r="FN190" s="458"/>
      <c r="FO190" s="458"/>
      <c r="FP190" s="459"/>
      <c r="FQ190" s="447"/>
      <c r="FR190" s="458"/>
      <c r="FS190" s="458"/>
      <c r="FT190" s="458"/>
      <c r="FU190" s="459"/>
      <c r="FV190" s="447"/>
      <c r="FW190" s="458"/>
      <c r="FX190" s="458"/>
      <c r="FY190" s="458"/>
      <c r="FZ190" s="459"/>
      <c r="GA190" s="447"/>
      <c r="GB190" s="458"/>
      <c r="GC190" s="458"/>
      <c r="GD190" s="458"/>
      <c r="GE190" s="459"/>
      <c r="GF190" s="447"/>
      <c r="GG190" s="458"/>
      <c r="GH190" s="458"/>
      <c r="GI190" s="458"/>
      <c r="GJ190" s="460"/>
    </row>
    <row r="191" spans="1:192" s="461" customFormat="1" ht="12.75" hidden="1" customHeight="1" outlineLevel="1">
      <c r="A191" s="370"/>
      <c r="B191" s="736" t="s">
        <v>36</v>
      </c>
      <c r="C191" s="447"/>
      <c r="D191" s="458"/>
      <c r="E191" s="458"/>
      <c r="F191" s="458"/>
      <c r="G191" s="459"/>
      <c r="H191" s="447"/>
      <c r="I191" s="458"/>
      <c r="J191" s="458"/>
      <c r="K191" s="458"/>
      <c r="L191" s="459"/>
      <c r="M191" s="447"/>
      <c r="N191" s="458"/>
      <c r="O191" s="458"/>
      <c r="P191" s="458"/>
      <c r="Q191" s="459"/>
      <c r="R191" s="447"/>
      <c r="S191" s="458"/>
      <c r="T191" s="458"/>
      <c r="U191" s="458"/>
      <c r="V191" s="459"/>
      <c r="W191" s="447"/>
      <c r="X191" s="458"/>
      <c r="Y191" s="458"/>
      <c r="Z191" s="458"/>
      <c r="AA191" s="459"/>
      <c r="AB191" s="447"/>
      <c r="AC191" s="458"/>
      <c r="AD191" s="458"/>
      <c r="AE191" s="458"/>
      <c r="AF191" s="459"/>
      <c r="AG191" s="447"/>
      <c r="AH191" s="458"/>
      <c r="AI191" s="458"/>
      <c r="AJ191" s="458"/>
      <c r="AK191" s="459"/>
      <c r="AL191" s="447"/>
      <c r="AM191" s="458"/>
      <c r="AN191" s="458"/>
      <c r="AO191" s="458"/>
      <c r="AP191" s="459"/>
      <c r="AQ191" s="447"/>
      <c r="AR191" s="458"/>
      <c r="AS191" s="458"/>
      <c r="AT191" s="458"/>
      <c r="AU191" s="459"/>
      <c r="AV191" s="447"/>
      <c r="AW191" s="458"/>
      <c r="AX191" s="458"/>
      <c r="AY191" s="458"/>
      <c r="AZ191" s="459"/>
      <c r="BA191" s="447"/>
      <c r="BB191" s="458"/>
      <c r="BC191" s="458"/>
      <c r="BD191" s="458"/>
      <c r="BE191" s="459"/>
      <c r="BF191" s="447"/>
      <c r="BG191" s="458"/>
      <c r="BH191" s="458"/>
      <c r="BI191" s="458"/>
      <c r="BJ191" s="459"/>
      <c r="BK191" s="447"/>
      <c r="BL191" s="458"/>
      <c r="BM191" s="458"/>
      <c r="BN191" s="458"/>
      <c r="BO191" s="459"/>
      <c r="BP191" s="447"/>
      <c r="BQ191" s="458"/>
      <c r="BR191" s="458"/>
      <c r="BS191" s="458"/>
      <c r="BT191" s="459"/>
      <c r="BU191" s="447"/>
      <c r="BV191" s="458"/>
      <c r="BW191" s="458"/>
      <c r="BX191" s="458"/>
      <c r="BY191" s="459"/>
      <c r="BZ191" s="447"/>
      <c r="CA191" s="458"/>
      <c r="CB191" s="458"/>
      <c r="CC191" s="458"/>
      <c r="CD191" s="459"/>
      <c r="CE191" s="447"/>
      <c r="CF191" s="458"/>
      <c r="CG191" s="458"/>
      <c r="CH191" s="458"/>
      <c r="CI191" s="459"/>
      <c r="CJ191" s="447"/>
      <c r="CK191" s="458"/>
      <c r="CL191" s="458"/>
      <c r="CM191" s="458"/>
      <c r="CN191" s="459"/>
      <c r="CO191" s="447"/>
      <c r="CP191" s="458"/>
      <c r="CQ191" s="458"/>
      <c r="CR191" s="458"/>
      <c r="CS191" s="459"/>
      <c r="CT191" s="447"/>
      <c r="CU191" s="458"/>
      <c r="CV191" s="458"/>
      <c r="CW191" s="458"/>
      <c r="CX191" s="459"/>
      <c r="CY191" s="447"/>
      <c r="CZ191" s="458"/>
      <c r="DA191" s="458"/>
      <c r="DB191" s="458"/>
      <c r="DC191" s="459"/>
      <c r="DD191" s="447"/>
      <c r="DE191" s="458"/>
      <c r="DF191" s="458"/>
      <c r="DG191" s="458"/>
      <c r="DH191" s="459"/>
      <c r="DI191" s="447"/>
      <c r="DJ191" s="458"/>
      <c r="DK191" s="458"/>
      <c r="DL191" s="458"/>
      <c r="DM191" s="459"/>
      <c r="DN191" s="447"/>
      <c r="DO191" s="458"/>
      <c r="DP191" s="458"/>
      <c r="DQ191" s="458"/>
      <c r="DR191" s="459"/>
      <c r="DS191" s="447"/>
      <c r="DT191" s="458"/>
      <c r="DU191" s="458"/>
      <c r="DV191" s="458"/>
      <c r="DW191" s="459"/>
      <c r="DX191" s="447"/>
      <c r="DY191" s="458"/>
      <c r="DZ191" s="458"/>
      <c r="EA191" s="458"/>
      <c r="EB191" s="459"/>
      <c r="EC191" s="447"/>
      <c r="ED191" s="458"/>
      <c r="EE191" s="458"/>
      <c r="EF191" s="458"/>
      <c r="EG191" s="459"/>
      <c r="EH191" s="447"/>
      <c r="EI191" s="458"/>
      <c r="EJ191" s="458"/>
      <c r="EK191" s="458"/>
      <c r="EL191" s="459"/>
      <c r="EM191" s="447"/>
      <c r="EN191" s="458"/>
      <c r="EO191" s="458"/>
      <c r="EP191" s="458"/>
      <c r="EQ191" s="459"/>
      <c r="ER191" s="1449">
        <f>ER189/EP189-1</f>
      </c>
      <c r="ES191" s="1449">
        <f>ES189/ER189-1</f>
      </c>
      <c r="ET191" s="1449">
        <f>ET189/ES189-1</f>
      </c>
      <c r="EU191" s="1449">
        <f>EU189/ET189-1</f>
      </c>
      <c r="EV191" s="524"/>
      <c r="EW191" s="1465"/>
      <c r="EX191" s="1465"/>
      <c r="EY191" s="1449"/>
      <c r="EZ191" s="1449"/>
      <c r="FA191" s="524"/>
      <c r="FB191" s="447"/>
      <c r="FC191" s="458"/>
      <c r="FD191" s="458"/>
      <c r="FE191" s="458"/>
      <c r="FF191" s="459"/>
      <c r="FG191" s="447"/>
      <c r="FH191" s="458"/>
      <c r="FI191" s="458"/>
      <c r="FJ191" s="458"/>
      <c r="FK191" s="459"/>
      <c r="FL191" s="447"/>
      <c r="FM191" s="458"/>
      <c r="FN191" s="458"/>
      <c r="FO191" s="458"/>
      <c r="FP191" s="459"/>
      <c r="FQ191" s="447"/>
      <c r="FR191" s="458"/>
      <c r="FS191" s="458"/>
      <c r="FT191" s="458"/>
      <c r="FU191" s="459"/>
      <c r="FV191" s="447"/>
      <c r="FW191" s="458"/>
      <c r="FX191" s="458"/>
      <c r="FY191" s="458"/>
      <c r="FZ191" s="459"/>
      <c r="GA191" s="447"/>
      <c r="GB191" s="458"/>
      <c r="GC191" s="458"/>
      <c r="GD191" s="458"/>
      <c r="GE191" s="459"/>
      <c r="GF191" s="447"/>
      <c r="GG191" s="458"/>
      <c r="GH191" s="458"/>
      <c r="GI191" s="458"/>
      <c r="GJ191" s="460"/>
    </row>
    <row r="192" spans="1:192" ht="12.75" hidden="1" customHeight="1" outlineLevel="1">
      <c r="B192" s="736" t="s">
        <v>1919</v>
      </c>
      <c r="C192" s="291"/>
      <c r="D192" s="107"/>
      <c r="E192" s="107"/>
      <c r="F192" s="107"/>
      <c r="G192" s="293"/>
      <c r="H192" s="291"/>
      <c r="I192" s="107"/>
      <c r="J192" s="107"/>
      <c r="K192" s="107"/>
      <c r="L192" s="293"/>
      <c r="M192" s="291"/>
      <c r="N192" s="107"/>
      <c r="O192" s="107"/>
      <c r="P192" s="107"/>
      <c r="Q192" s="293"/>
      <c r="R192" s="291"/>
      <c r="S192" s="107"/>
      <c r="T192" s="107"/>
      <c r="U192" s="107"/>
      <c r="V192" s="293"/>
      <c r="W192" s="291"/>
      <c r="X192" s="107"/>
      <c r="Y192" s="107"/>
      <c r="Z192" s="107"/>
      <c r="AA192" s="293"/>
      <c r="AB192" s="291"/>
      <c r="AC192" s="107"/>
      <c r="AD192" s="107"/>
      <c r="AE192" s="107"/>
      <c r="AF192" s="293"/>
      <c r="AG192" s="291"/>
      <c r="AH192" s="107"/>
      <c r="AI192" s="107"/>
      <c r="AJ192" s="107"/>
      <c r="AK192" s="293"/>
      <c r="AL192" s="291"/>
      <c r="AM192" s="107"/>
      <c r="AN192" s="107"/>
      <c r="AO192" s="107"/>
      <c r="AP192" s="293"/>
      <c r="AQ192" s="291"/>
      <c r="AR192" s="107"/>
      <c r="AS192" s="107"/>
      <c r="AT192" s="107"/>
      <c r="AU192" s="293"/>
      <c r="AV192" s="291"/>
      <c r="AW192" s="107"/>
      <c r="AX192" s="107"/>
      <c r="AY192" s="107"/>
      <c r="AZ192" s="293"/>
      <c r="BA192" s="291"/>
      <c r="BB192" s="107"/>
      <c r="BC192" s="107"/>
      <c r="BD192" s="107"/>
      <c r="BE192" s="293"/>
      <c r="BF192" s="291"/>
      <c r="BG192" s="107"/>
      <c r="BH192" s="107"/>
      <c r="BI192" s="107"/>
      <c r="BJ192" s="293"/>
      <c r="BK192" s="291"/>
      <c r="BL192" s="107"/>
      <c r="BM192" s="107"/>
      <c r="BN192" s="107"/>
      <c r="BO192" s="293"/>
      <c r="BP192" s="291"/>
      <c r="BQ192" s="107"/>
      <c r="BR192" s="107"/>
      <c r="BS192" s="107"/>
      <c r="BT192" s="293"/>
      <c r="BU192" s="291"/>
      <c r="BV192" s="107"/>
      <c r="BW192" s="107"/>
      <c r="BX192" s="107"/>
      <c r="BY192" s="293"/>
      <c r="BZ192" s="291"/>
      <c r="CA192" s="107"/>
      <c r="CB192" s="107"/>
      <c r="CC192" s="107"/>
      <c r="CD192" s="293"/>
      <c r="CE192" s="291"/>
      <c r="CF192" s="107"/>
      <c r="CG192" s="107"/>
      <c r="CH192" s="107"/>
      <c r="CI192" s="293"/>
      <c r="CJ192" s="291"/>
      <c r="CK192" s="107"/>
      <c r="CL192" s="107"/>
      <c r="CM192" s="107"/>
      <c r="CN192" s="293"/>
      <c r="CO192" s="291"/>
      <c r="CP192" s="107"/>
      <c r="CQ192" s="107"/>
      <c r="CR192" s="107"/>
      <c r="CS192" s="293"/>
      <c r="CT192" s="291"/>
      <c r="CU192" s="107"/>
      <c r="CV192" s="107"/>
      <c r="CW192" s="107"/>
      <c r="CX192" s="293"/>
      <c r="CY192" s="291"/>
      <c r="CZ192" s="107"/>
      <c r="DA192" s="107"/>
      <c r="DB192" s="107"/>
      <c r="DC192" s="293"/>
      <c r="DD192" s="291"/>
      <c r="DE192" s="107"/>
      <c r="DF192" s="107"/>
      <c r="DG192" s="107"/>
      <c r="DH192" s="293"/>
      <c r="DI192" s="291"/>
      <c r="DJ192" s="107"/>
      <c r="DK192" s="107"/>
      <c r="DL192" s="107"/>
      <c r="DM192" s="293"/>
      <c r="DN192" s="291"/>
      <c r="DO192" s="107"/>
      <c r="DP192" s="107"/>
      <c r="DQ192" s="107"/>
      <c r="DR192" s="293"/>
      <c r="DS192" s="291"/>
      <c r="DT192" s="107"/>
      <c r="DU192" s="107"/>
      <c r="DV192" s="107"/>
      <c r="DW192" s="293"/>
      <c r="DX192" s="291"/>
      <c r="DY192" s="107"/>
      <c r="DZ192" s="107"/>
      <c r="EA192" s="107"/>
      <c r="EB192" s="293"/>
      <c r="EC192" s="291"/>
      <c r="ED192" s="107"/>
      <c r="EE192" s="107"/>
      <c r="EF192" s="107"/>
      <c r="EG192" s="293"/>
      <c r="EH192" s="291"/>
      <c r="EI192" s="107"/>
      <c r="EJ192" s="107"/>
      <c r="EK192" s="107"/>
      <c r="EL192" s="293"/>
      <c r="EM192" s="291"/>
      <c r="EN192" s="107"/>
      <c r="EO192" s="107"/>
      <c r="EP192" s="107">
        <f t="shared" ref="EP192:EV192" si="203">EP189/EP177</f>
      </c>
      <c r="EQ192" s="293">
        <f t="shared" si="203"/>
      </c>
      <c r="ER192" s="291">
        <f t="shared" si="203"/>
      </c>
      <c r="ES192" s="107">
        <f t="shared" si="203"/>
      </c>
      <c r="ET192" s="107">
        <f t="shared" si="203"/>
      </c>
      <c r="EU192" s="107">
        <f t="shared" si="203"/>
      </c>
      <c r="EV192" s="293">
        <f t="shared" si="203"/>
      </c>
      <c r="EW192" s="349"/>
      <c r="EX192" s="468"/>
      <c r="EY192" s="107"/>
      <c r="EZ192" s="107"/>
      <c r="FA192" s="293"/>
      <c r="FB192" s="291"/>
      <c r="FC192" s="107"/>
      <c r="FD192" s="107"/>
      <c r="FE192" s="107"/>
      <c r="FF192" s="293"/>
      <c r="FG192" s="291"/>
      <c r="FH192" s="107"/>
      <c r="FI192" s="107"/>
      <c r="FJ192" s="107"/>
      <c r="FK192" s="293"/>
      <c r="FL192" s="291"/>
      <c r="FM192" s="107"/>
      <c r="FN192" s="107"/>
      <c r="FO192" s="107"/>
      <c r="FP192" s="293"/>
      <c r="FQ192" s="291"/>
      <c r="FR192" s="107"/>
      <c r="FS192" s="107"/>
      <c r="FT192" s="107"/>
      <c r="FU192" s="293"/>
      <c r="FV192" s="291"/>
      <c r="FW192" s="107"/>
      <c r="FX192" s="107"/>
      <c r="FY192" s="107"/>
      <c r="FZ192" s="293"/>
      <c r="GA192" s="291"/>
      <c r="GB192" s="107"/>
      <c r="GC192" s="107"/>
      <c r="GD192" s="107"/>
      <c r="GE192" s="293"/>
      <c r="GF192" s="291"/>
      <c r="GG192" s="107"/>
      <c r="GH192" s="107"/>
      <c r="GI192" s="107"/>
      <c r="GJ192" s="382"/>
    </row>
    <row r="193" spans="1:192" ht="12.75" hidden="1" customHeight="1" outlineLevel="1">
      <c r="B193" s="736"/>
      <c r="C193" s="291"/>
      <c r="D193" s="107"/>
      <c r="E193" s="107"/>
      <c r="F193" s="107"/>
      <c r="G193" s="293"/>
      <c r="H193" s="291"/>
      <c r="I193" s="107"/>
      <c r="J193" s="107"/>
      <c r="K193" s="107"/>
      <c r="L193" s="293"/>
      <c r="M193" s="291"/>
      <c r="N193" s="107"/>
      <c r="O193" s="107"/>
      <c r="P193" s="107"/>
      <c r="Q193" s="293"/>
      <c r="R193" s="291"/>
      <c r="S193" s="107"/>
      <c r="T193" s="107"/>
      <c r="U193" s="107"/>
      <c r="V193" s="293"/>
      <c r="W193" s="291"/>
      <c r="X193" s="107"/>
      <c r="Y193" s="107"/>
      <c r="Z193" s="107"/>
      <c r="AA193" s="293"/>
      <c r="AB193" s="291"/>
      <c r="AC193" s="107"/>
      <c r="AD193" s="107"/>
      <c r="AE193" s="107"/>
      <c r="AF193" s="293"/>
      <c r="AG193" s="291"/>
      <c r="AH193" s="107"/>
      <c r="AI193" s="107"/>
      <c r="AJ193" s="107"/>
      <c r="AK193" s="293"/>
      <c r="AL193" s="291"/>
      <c r="AM193" s="107"/>
      <c r="AN193" s="107"/>
      <c r="AO193" s="107"/>
      <c r="AP193" s="293"/>
      <c r="AQ193" s="291"/>
      <c r="AR193" s="107"/>
      <c r="AS193" s="107"/>
      <c r="AT193" s="107"/>
      <c r="AU193" s="293"/>
      <c r="AV193" s="291"/>
      <c r="AW193" s="107"/>
      <c r="AX193" s="107"/>
      <c r="AY193" s="107"/>
      <c r="AZ193" s="293"/>
      <c r="BA193" s="291"/>
      <c r="BB193" s="107"/>
      <c r="BC193" s="107"/>
      <c r="BD193" s="107"/>
      <c r="BE193" s="293"/>
      <c r="BF193" s="291"/>
      <c r="BG193" s="107"/>
      <c r="BH193" s="107"/>
      <c r="BI193" s="107"/>
      <c r="BJ193" s="293"/>
      <c r="BK193" s="291"/>
      <c r="BL193" s="107"/>
      <c r="BM193" s="107"/>
      <c r="BN193" s="107"/>
      <c r="BO193" s="293"/>
      <c r="BP193" s="291"/>
      <c r="BQ193" s="107"/>
      <c r="BR193" s="107"/>
      <c r="BS193" s="107"/>
      <c r="BT193" s="293"/>
      <c r="BU193" s="291"/>
      <c r="BV193" s="107"/>
      <c r="BW193" s="107"/>
      <c r="BX193" s="107"/>
      <c r="BY193" s="293"/>
      <c r="BZ193" s="291"/>
      <c r="CA193" s="107"/>
      <c r="CB193" s="107"/>
      <c r="CC193" s="107"/>
      <c r="CD193" s="293"/>
      <c r="CE193" s="291"/>
      <c r="CF193" s="107"/>
      <c r="CG193" s="107"/>
      <c r="CH193" s="107"/>
      <c r="CI193" s="293"/>
      <c r="CJ193" s="291"/>
      <c r="CK193" s="107"/>
      <c r="CL193" s="107"/>
      <c r="CM193" s="107"/>
      <c r="CN193" s="293"/>
      <c r="CO193" s="291"/>
      <c r="CP193" s="107"/>
      <c r="CQ193" s="107"/>
      <c r="CR193" s="107"/>
      <c r="CS193" s="293"/>
      <c r="CT193" s="291"/>
      <c r="CU193" s="107"/>
      <c r="CV193" s="107"/>
      <c r="CW193" s="107"/>
      <c r="CX193" s="293"/>
      <c r="CY193" s="291"/>
      <c r="CZ193" s="107"/>
      <c r="DA193" s="107"/>
      <c r="DB193" s="107"/>
      <c r="DC193" s="293"/>
      <c r="DD193" s="291"/>
      <c r="DE193" s="107"/>
      <c r="DF193" s="107"/>
      <c r="DG193" s="107"/>
      <c r="DH193" s="293"/>
      <c r="DI193" s="291"/>
      <c r="DJ193" s="107"/>
      <c r="DK193" s="107"/>
      <c r="DL193" s="107"/>
      <c r="DM193" s="293"/>
      <c r="DN193" s="291"/>
      <c r="DO193" s="107"/>
      <c r="DP193" s="107"/>
      <c r="DQ193" s="107"/>
      <c r="DR193" s="293"/>
      <c r="DS193" s="291"/>
      <c r="DT193" s="107"/>
      <c r="DU193" s="107"/>
      <c r="DV193" s="107"/>
      <c r="DW193" s="293"/>
      <c r="DX193" s="291"/>
      <c r="DY193" s="107"/>
      <c r="DZ193" s="107"/>
      <c r="EA193" s="107"/>
      <c r="EB193" s="293"/>
      <c r="EC193" s="291"/>
      <c r="ED193" s="107"/>
      <c r="EE193" s="107"/>
      <c r="EF193" s="107"/>
      <c r="EG193" s="293"/>
      <c r="EH193" s="291"/>
      <c r="EI193" s="107"/>
      <c r="EJ193" s="107"/>
      <c r="EK193" s="107"/>
      <c r="EL193" s="293"/>
      <c r="EM193" s="291"/>
      <c r="EN193" s="107"/>
      <c r="EO193" s="107"/>
      <c r="EP193" s="107"/>
      <c r="EQ193" s="293"/>
      <c r="ER193" s="291"/>
      <c r="ES193" s="107"/>
      <c r="ET193" s="107"/>
      <c r="EU193" s="107"/>
      <c r="EV193" s="293"/>
      <c r="EW193" s="349"/>
      <c r="EX193" s="468"/>
      <c r="EY193" s="107"/>
      <c r="EZ193" s="107"/>
      <c r="FA193" s="293"/>
      <c r="FB193" s="291"/>
      <c r="FC193" s="107"/>
      <c r="FD193" s="107"/>
      <c r="FE193" s="107"/>
      <c r="FF193" s="293"/>
      <c r="FG193" s="291"/>
      <c r="FH193" s="107"/>
      <c r="FI193" s="107"/>
      <c r="FJ193" s="107"/>
      <c r="FK193" s="293"/>
      <c r="FL193" s="291"/>
      <c r="FM193" s="107"/>
      <c r="FN193" s="107"/>
      <c r="FO193" s="107"/>
      <c r="FP193" s="293"/>
      <c r="FQ193" s="291"/>
      <c r="FR193" s="107"/>
      <c r="FS193" s="107"/>
      <c r="FT193" s="107"/>
      <c r="FU193" s="293"/>
      <c r="FV193" s="291"/>
      <c r="FW193" s="107"/>
      <c r="FX193" s="107"/>
      <c r="FY193" s="107"/>
      <c r="FZ193" s="293"/>
      <c r="GA193" s="291"/>
      <c r="GB193" s="107"/>
      <c r="GC193" s="107"/>
      <c r="GD193" s="107"/>
      <c r="GE193" s="293"/>
      <c r="GF193" s="291"/>
      <c r="GG193" s="107"/>
      <c r="GH193" s="107"/>
      <c r="GI193" s="107"/>
      <c r="GJ193" s="382"/>
    </row>
    <row r="194" spans="1:192" s="419" customFormat="1" ht="12.75" hidden="1" customHeight="1" outlineLevel="1">
      <c r="A194" s="798"/>
      <c r="B194" s="749" t="s">
        <v>237</v>
      </c>
      <c r="C194" s="415"/>
      <c r="D194" s="416"/>
      <c r="E194" s="416"/>
      <c r="F194" s="416"/>
      <c r="G194" s="417"/>
      <c r="H194" s="415"/>
      <c r="I194" s="416"/>
      <c r="J194" s="416"/>
      <c r="K194" s="416"/>
      <c r="L194" s="417"/>
      <c r="M194" s="415"/>
      <c r="N194" s="416"/>
      <c r="O194" s="416"/>
      <c r="P194" s="416"/>
      <c r="Q194" s="417"/>
      <c r="R194" s="415"/>
      <c r="S194" s="416"/>
      <c r="T194" s="416"/>
      <c r="U194" s="416"/>
      <c r="V194" s="417"/>
      <c r="W194" s="415"/>
      <c r="X194" s="416"/>
      <c r="Y194" s="416"/>
      <c r="Z194" s="416"/>
      <c r="AA194" s="417"/>
      <c r="AB194" s="415"/>
      <c r="AC194" s="416"/>
      <c r="AD194" s="416"/>
      <c r="AE194" s="416"/>
      <c r="AF194" s="417"/>
      <c r="AG194" s="415"/>
      <c r="AH194" s="416"/>
      <c r="AI194" s="416"/>
      <c r="AJ194" s="416"/>
      <c r="AK194" s="417"/>
      <c r="AL194" s="415"/>
      <c r="AM194" s="416"/>
      <c r="AN194" s="416"/>
      <c r="AO194" s="416"/>
      <c r="AP194" s="417"/>
      <c r="AQ194" s="415"/>
      <c r="AR194" s="416"/>
      <c r="AS194" s="416"/>
      <c r="AT194" s="416"/>
      <c r="AU194" s="417"/>
      <c r="AV194" s="415"/>
      <c r="AW194" s="416"/>
      <c r="AX194" s="416"/>
      <c r="AY194" s="416"/>
      <c r="AZ194" s="417"/>
      <c r="BA194" s="415"/>
      <c r="BB194" s="416"/>
      <c r="BC194" s="416"/>
      <c r="BD194" s="416"/>
      <c r="BE194" s="417"/>
      <c r="BF194" s="415"/>
      <c r="BG194" s="416"/>
      <c r="BH194" s="416"/>
      <c r="BI194" s="416"/>
      <c r="BJ194" s="417"/>
      <c r="BK194" s="415"/>
      <c r="BL194" s="416"/>
      <c r="BM194" s="416"/>
      <c r="BN194" s="416"/>
      <c r="BO194" s="417"/>
      <c r="BP194" s="415"/>
      <c r="BQ194" s="416"/>
      <c r="BR194" s="416"/>
      <c r="BS194" s="416"/>
      <c r="BT194" s="417"/>
      <c r="BU194" s="415"/>
      <c r="BV194" s="416"/>
      <c r="BW194" s="416"/>
      <c r="BX194" s="416"/>
      <c r="BY194" s="417"/>
      <c r="BZ194" s="415"/>
      <c r="CA194" s="416"/>
      <c r="CB194" s="416"/>
      <c r="CC194" s="416"/>
      <c r="CD194" s="417"/>
      <c r="CE194" s="415"/>
      <c r="CF194" s="416"/>
      <c r="CG194" s="416"/>
      <c r="CH194" s="416"/>
      <c r="CI194" s="417"/>
      <c r="CJ194" s="415"/>
      <c r="CK194" s="416"/>
      <c r="CL194" s="416"/>
      <c r="CM194" s="416"/>
      <c r="CN194" s="417"/>
      <c r="CO194" s="415"/>
      <c r="CP194" s="416"/>
      <c r="CQ194" s="416"/>
      <c r="CR194" s="416"/>
      <c r="CS194" s="417"/>
      <c r="CT194" s="420"/>
      <c r="CU194" s="421"/>
      <c r="CV194" s="421"/>
      <c r="CW194" s="421"/>
      <c r="CX194" s="417"/>
      <c r="CY194" s="420"/>
      <c r="CZ194" s="421"/>
      <c r="DA194" s="421"/>
      <c r="DB194" s="421"/>
      <c r="DC194" s="417"/>
      <c r="DD194" s="420"/>
      <c r="DE194" s="421"/>
      <c r="DF194" s="421"/>
      <c r="DG194" s="421"/>
      <c r="DH194" s="417"/>
      <c r="DI194" s="415">
        <f>DN194/(1+DN195)</f>
      </c>
      <c r="DJ194" s="416">
        <f>DO194/(1+DO195)</f>
      </c>
      <c r="DK194" s="416">
        <f>DP194/(1+DP195)</f>
      </c>
      <c r="DL194" s="421">
        <v>50</v>
      </c>
      <c r="DM194" s="417">
        <f>DL194</f>
      </c>
      <c r="DN194" s="420">
        <v>55</v>
      </c>
      <c r="DO194" s="421">
        <v>60</v>
      </c>
      <c r="DP194" s="421">
        <v>65</v>
      </c>
      <c r="DQ194" s="421">
        <v>82</v>
      </c>
      <c r="DR194" s="417">
        <f>DQ194</f>
      </c>
      <c r="DS194" s="420">
        <v>88</v>
      </c>
      <c r="DT194" s="421">
        <v>94</v>
      </c>
      <c r="DU194" s="421">
        <v>100</v>
      </c>
      <c r="DV194" s="421">
        <v>116</v>
      </c>
      <c r="DW194" s="417">
        <f>DV194</f>
      </c>
      <c r="DX194" s="420">
        <v>120</v>
      </c>
      <c r="DY194" s="421">
        <v>127</v>
      </c>
      <c r="DZ194" s="421">
        <v>134</v>
      </c>
      <c r="EA194" s="421">
        <v>147</v>
      </c>
      <c r="EB194" s="417">
        <f>EA194</f>
      </c>
      <c r="EC194" s="420">
        <v>152</v>
      </c>
      <c r="ED194" s="421">
        <v>163</v>
      </c>
      <c r="EE194" s="421">
        <v>174</v>
      </c>
      <c r="EF194" s="421">
        <v>190</v>
      </c>
      <c r="EG194" s="417">
        <f>EF194</f>
      </c>
      <c r="EH194" s="420">
        <v>196</v>
      </c>
      <c r="EI194" s="421">
        <v>209</v>
      </c>
      <c r="EJ194" s="421">
        <v>218</v>
      </c>
      <c r="EK194" s="421">
        <v>230</v>
      </c>
      <c r="EL194" s="417">
        <f>EK194</f>
      </c>
      <c r="EM194" s="420">
        <v>232</v>
      </c>
      <c r="EN194" s="421">
        <v>241</v>
      </c>
      <c r="EO194" s="421">
        <v>250</v>
      </c>
      <c r="EP194" s="421">
        <v>256</v>
      </c>
      <c r="EQ194" s="417">
        <f>EP194</f>
      </c>
      <c r="ER194" s="420">
        <v>259</v>
      </c>
      <c r="ES194" s="421">
        <v>268</v>
      </c>
      <c r="ET194" s="1351">
        <v>274</v>
      </c>
      <c r="EU194" s="1351">
        <v>281</v>
      </c>
      <c r="EV194" s="417">
        <f>EU194</f>
      </c>
      <c r="EW194" s="442"/>
      <c r="EX194" s="1649"/>
      <c r="EY194" s="352"/>
      <c r="EZ194" s="416"/>
      <c r="FA194" s="417"/>
      <c r="FB194" s="415"/>
      <c r="FC194" s="416"/>
      <c r="FD194" s="416"/>
      <c r="FE194" s="416"/>
      <c r="FF194" s="417"/>
      <c r="FG194" s="415"/>
      <c r="FH194" s="416"/>
      <c r="FI194" s="416"/>
      <c r="FJ194" s="416"/>
      <c r="FK194" s="417"/>
      <c r="FL194" s="415"/>
      <c r="FM194" s="416"/>
      <c r="FN194" s="416"/>
      <c r="FO194" s="416"/>
      <c r="FP194" s="417"/>
      <c r="FQ194" s="415"/>
      <c r="FR194" s="416"/>
      <c r="FS194" s="416"/>
      <c r="FT194" s="416"/>
      <c r="FU194" s="417"/>
      <c r="FV194" s="415"/>
      <c r="FW194" s="416"/>
      <c r="FX194" s="416"/>
      <c r="FY194" s="416"/>
      <c r="FZ194" s="417"/>
      <c r="GA194" s="415"/>
      <c r="GB194" s="416"/>
      <c r="GC194" s="416"/>
      <c r="GD194" s="416"/>
      <c r="GE194" s="417"/>
      <c r="GF194" s="415"/>
      <c r="GG194" s="416"/>
      <c r="GH194" s="416"/>
      <c r="GI194" s="416"/>
      <c r="GJ194" s="418"/>
    </row>
    <row r="195" spans="1:192" ht="12.75" hidden="1" customHeight="1" outlineLevel="1">
      <c r="B195" s="735" t="s">
        <v>34</v>
      </c>
      <c r="C195" s="291"/>
      <c r="D195" s="107"/>
      <c r="E195" s="107"/>
      <c r="F195" s="107"/>
      <c r="G195" s="293"/>
      <c r="H195" s="291"/>
      <c r="I195" s="107"/>
      <c r="J195" s="107"/>
      <c r="K195" s="107"/>
      <c r="L195" s="293"/>
      <c r="M195" s="291"/>
      <c r="N195" s="107"/>
      <c r="O195" s="107"/>
      <c r="P195" s="107"/>
      <c r="Q195" s="293"/>
      <c r="R195" s="291"/>
      <c r="S195" s="107"/>
      <c r="T195" s="107"/>
      <c r="U195" s="107"/>
      <c r="V195" s="293"/>
      <c r="W195" s="291"/>
      <c r="X195" s="107"/>
      <c r="Y195" s="107"/>
      <c r="Z195" s="107"/>
      <c r="AA195" s="293"/>
      <c r="AB195" s="291"/>
      <c r="AC195" s="107"/>
      <c r="AD195" s="107"/>
      <c r="AE195" s="107"/>
      <c r="AF195" s="293"/>
      <c r="AG195" s="291"/>
      <c r="AH195" s="107"/>
      <c r="AI195" s="107"/>
      <c r="AJ195" s="107"/>
      <c r="AK195" s="293"/>
      <c r="AL195" s="291"/>
      <c r="AM195" s="107"/>
      <c r="AN195" s="107"/>
      <c r="AO195" s="107"/>
      <c r="AP195" s="293"/>
      <c r="AQ195" s="291"/>
      <c r="AR195" s="107"/>
      <c r="AS195" s="107"/>
      <c r="AT195" s="107"/>
      <c r="AU195" s="293"/>
      <c r="AV195" s="291"/>
      <c r="AW195" s="107"/>
      <c r="AX195" s="107"/>
      <c r="AY195" s="107"/>
      <c r="AZ195" s="293"/>
      <c r="BA195" s="291"/>
      <c r="BB195" s="107"/>
      <c r="BC195" s="107"/>
      <c r="BD195" s="107"/>
      <c r="BE195" s="293"/>
      <c r="BF195" s="291"/>
      <c r="BG195" s="107"/>
      <c r="BH195" s="107"/>
      <c r="BI195" s="107"/>
      <c r="BJ195" s="293"/>
      <c r="BK195" s="291"/>
      <c r="BL195" s="107"/>
      <c r="BM195" s="107"/>
      <c r="BN195" s="107"/>
      <c r="BO195" s="293"/>
      <c r="BP195" s="291"/>
      <c r="BQ195" s="107"/>
      <c r="BR195" s="107"/>
      <c r="BS195" s="107"/>
      <c r="BT195" s="293"/>
      <c r="BU195" s="291"/>
      <c r="BV195" s="107"/>
      <c r="BW195" s="107"/>
      <c r="BX195" s="107"/>
      <c r="BY195" s="293"/>
      <c r="BZ195" s="291"/>
      <c r="CA195" s="107"/>
      <c r="CB195" s="107"/>
      <c r="CC195" s="107"/>
      <c r="CD195" s="293"/>
      <c r="CE195" s="291"/>
      <c r="CF195" s="107"/>
      <c r="CG195" s="107"/>
      <c r="CH195" s="107"/>
      <c r="CI195" s="293"/>
      <c r="CJ195" s="291"/>
      <c r="CK195" s="107"/>
      <c r="CL195" s="107"/>
      <c r="CM195" s="107"/>
      <c r="CN195" s="293"/>
      <c r="CO195" s="291"/>
      <c r="CP195" s="107"/>
      <c r="CQ195" s="107"/>
      <c r="CR195" s="107"/>
      <c r="CS195" s="293"/>
      <c r="CT195" s="412"/>
      <c r="CU195" s="114"/>
      <c r="CV195" s="114"/>
      <c r="CW195" s="114"/>
      <c r="CX195" s="293"/>
      <c r="CY195" s="412"/>
      <c r="CZ195" s="114"/>
      <c r="DA195" s="114"/>
      <c r="DB195" s="114"/>
      <c r="DC195" s="293"/>
      <c r="DD195" s="412"/>
      <c r="DE195" s="114"/>
      <c r="DF195" s="114"/>
      <c r="DG195" s="114"/>
      <c r="DH195" s="293"/>
      <c r="DI195" s="412"/>
      <c r="DJ195" s="114"/>
      <c r="DK195" s="114"/>
      <c r="DL195" s="114"/>
      <c r="DM195" s="293"/>
      <c r="DN195" s="412">
        <v>0.68</v>
      </c>
      <c r="DO195" s="114">
        <v>0.64</v>
      </c>
      <c r="DP195" s="114">
        <v>0.55000000000000004</v>
      </c>
      <c r="DQ195" s="114">
        <v>0.55000000000000004</v>
      </c>
      <c r="DR195" s="293">
        <f>DR194/DM194-1</f>
      </c>
      <c r="DS195" s="412">
        <v>0.59</v>
      </c>
      <c r="DT195" s="114">
        <v>0.56999999999999995</v>
      </c>
      <c r="DU195" s="114">
        <v>0.53</v>
      </c>
      <c r="DV195" s="114">
        <v>0.41</v>
      </c>
      <c r="DW195" s="293">
        <f>DW194/DR194-1</f>
      </c>
      <c r="DX195" s="412">
        <v>0.36</v>
      </c>
      <c r="DY195" s="114">
        <v>0.35</v>
      </c>
      <c r="DZ195" s="114">
        <v>0.34</v>
      </c>
      <c r="EA195" s="114">
        <v>0.26</v>
      </c>
      <c r="EB195" s="293">
        <f>EB194/DW194-1</f>
      </c>
      <c r="EC195" s="412">
        <v>0.27</v>
      </c>
      <c r="ED195" s="114">
        <v>0.28999999999999998</v>
      </c>
      <c r="EE195" s="114">
        <v>0.3</v>
      </c>
      <c r="EF195" s="114">
        <v>0.28999999999999998</v>
      </c>
      <c r="EG195" s="293">
        <f>EG194/EB194-1</f>
      </c>
      <c r="EH195" s="412">
        <v>0.3</v>
      </c>
      <c r="EI195" s="114">
        <v>0.28000000000000003</v>
      </c>
      <c r="EJ195" s="114">
        <v>0.25</v>
      </c>
      <c r="EK195" s="114">
        <v>0.21</v>
      </c>
      <c r="EL195" s="293">
        <f>EL194/EG194-1</f>
      </c>
      <c r="EM195" s="412">
        <v>0.18</v>
      </c>
      <c r="EN195" s="114">
        <v>0.16</v>
      </c>
      <c r="EO195" s="114">
        <v>0.15</v>
      </c>
      <c r="EP195" s="114">
        <f>EP194/EK194-1</f>
      </c>
      <c r="EQ195" s="293">
        <f>EQ194/EL194-1</f>
      </c>
      <c r="ER195" s="412">
        <v>0.11</v>
      </c>
      <c r="ES195" s="114">
        <v>0.11</v>
      </c>
      <c r="ET195" s="439">
        <v>0.1</v>
      </c>
      <c r="EU195" s="439">
        <v>0.1</v>
      </c>
      <c r="EV195" s="293">
        <f>EV194/EQ194-1</f>
      </c>
      <c r="EW195" s="441"/>
      <c r="EX195" s="468"/>
      <c r="EY195" s="107"/>
      <c r="EZ195" s="107"/>
      <c r="FA195" s="293"/>
      <c r="FB195" s="291"/>
      <c r="FC195" s="107"/>
      <c r="FD195" s="107"/>
      <c r="FE195" s="107"/>
      <c r="FF195" s="293"/>
      <c r="FG195" s="291"/>
      <c r="FH195" s="107"/>
      <c r="FI195" s="107"/>
      <c r="FJ195" s="107"/>
      <c r="FK195" s="293"/>
      <c r="FL195" s="291"/>
      <c r="FM195" s="107"/>
      <c r="FN195" s="107"/>
      <c r="FO195" s="107"/>
      <c r="FP195" s="293"/>
      <c r="FQ195" s="291"/>
      <c r="FR195" s="107"/>
      <c r="FS195" s="107"/>
      <c r="FT195" s="107"/>
      <c r="FU195" s="293"/>
      <c r="FV195" s="291"/>
      <c r="FW195" s="107"/>
      <c r="FX195" s="107"/>
      <c r="FY195" s="107"/>
      <c r="FZ195" s="293"/>
      <c r="GA195" s="291"/>
      <c r="GB195" s="107"/>
      <c r="GC195" s="107"/>
      <c r="GD195" s="107"/>
      <c r="GE195" s="293"/>
      <c r="GF195" s="291"/>
      <c r="GG195" s="107"/>
      <c r="GH195" s="107"/>
      <c r="GI195" s="107"/>
      <c r="GJ195" s="382"/>
    </row>
    <row r="196" spans="1:192" ht="12.75" hidden="1" customHeight="1" outlineLevel="1">
      <c r="B196" s="735" t="s">
        <v>36</v>
      </c>
      <c r="C196" s="291"/>
      <c r="D196" s="107"/>
      <c r="E196" s="107"/>
      <c r="F196" s="107"/>
      <c r="G196" s="293"/>
      <c r="H196" s="291"/>
      <c r="I196" s="107"/>
      <c r="J196" s="107"/>
      <c r="K196" s="107"/>
      <c r="L196" s="293"/>
      <c r="M196" s="291"/>
      <c r="N196" s="107"/>
      <c r="O196" s="107"/>
      <c r="P196" s="107"/>
      <c r="Q196" s="293"/>
      <c r="R196" s="291"/>
      <c r="S196" s="107"/>
      <c r="T196" s="107"/>
      <c r="U196" s="107"/>
      <c r="V196" s="293"/>
      <c r="W196" s="291"/>
      <c r="X196" s="107"/>
      <c r="Y196" s="107"/>
      <c r="Z196" s="107"/>
      <c r="AA196" s="293"/>
      <c r="AB196" s="291"/>
      <c r="AC196" s="107"/>
      <c r="AD196" s="107"/>
      <c r="AE196" s="107"/>
      <c r="AF196" s="293"/>
      <c r="AG196" s="291"/>
      <c r="AH196" s="107"/>
      <c r="AI196" s="107"/>
      <c r="AJ196" s="107"/>
      <c r="AK196" s="293"/>
      <c r="AL196" s="291"/>
      <c r="AM196" s="107"/>
      <c r="AN196" s="107"/>
      <c r="AO196" s="107"/>
      <c r="AP196" s="293"/>
      <c r="AQ196" s="291"/>
      <c r="AR196" s="107"/>
      <c r="AS196" s="107"/>
      <c r="AT196" s="107"/>
      <c r="AU196" s="293"/>
      <c r="AV196" s="291"/>
      <c r="AW196" s="107"/>
      <c r="AX196" s="107"/>
      <c r="AY196" s="107"/>
      <c r="AZ196" s="293"/>
      <c r="BA196" s="291"/>
      <c r="BB196" s="107"/>
      <c r="BC196" s="107"/>
      <c r="BD196" s="107"/>
      <c r="BE196" s="293"/>
      <c r="BF196" s="291"/>
      <c r="BG196" s="107"/>
      <c r="BH196" s="107"/>
      <c r="BI196" s="107"/>
      <c r="BJ196" s="293"/>
      <c r="BK196" s="291"/>
      <c r="BL196" s="107"/>
      <c r="BM196" s="107"/>
      <c r="BN196" s="107"/>
      <c r="BO196" s="293"/>
      <c r="BP196" s="291"/>
      <c r="BQ196" s="107"/>
      <c r="BR196" s="107"/>
      <c r="BS196" s="107"/>
      <c r="BT196" s="293"/>
      <c r="BU196" s="291"/>
      <c r="BV196" s="107"/>
      <c r="BW196" s="107"/>
      <c r="BX196" s="107"/>
      <c r="BY196" s="293"/>
      <c r="BZ196" s="291"/>
      <c r="CA196" s="107"/>
      <c r="CB196" s="107"/>
      <c r="CC196" s="107"/>
      <c r="CD196" s="293"/>
      <c r="CE196" s="291"/>
      <c r="CF196" s="107"/>
      <c r="CG196" s="107"/>
      <c r="CH196" s="107"/>
      <c r="CI196" s="293"/>
      <c r="CJ196" s="291"/>
      <c r="CK196" s="107"/>
      <c r="CL196" s="107"/>
      <c r="CM196" s="107"/>
      <c r="CN196" s="293"/>
      <c r="CO196" s="291"/>
      <c r="CP196" s="107"/>
      <c r="CQ196" s="107"/>
      <c r="CR196" s="107"/>
      <c r="CS196" s="293"/>
      <c r="CT196" s="291"/>
      <c r="CU196" s="107"/>
      <c r="CV196" s="107"/>
      <c r="CW196" s="107"/>
      <c r="CX196" s="293"/>
      <c r="CY196" s="291"/>
      <c r="CZ196" s="107"/>
      <c r="DA196" s="107"/>
      <c r="DB196" s="107"/>
      <c r="DC196" s="293"/>
      <c r="DD196" s="291"/>
      <c r="DE196" s="107"/>
      <c r="DF196" s="107"/>
      <c r="DG196" s="107"/>
      <c r="DH196" s="293"/>
      <c r="DI196" s="291"/>
      <c r="DJ196" s="107">
        <f>DJ194/DI194-1</f>
      </c>
      <c r="DK196" s="107">
        <f>DK194/DJ194-1</f>
      </c>
      <c r="DL196" s="107">
        <f>DL194/DK194-1</f>
      </c>
      <c r="DM196" s="293"/>
      <c r="DN196" s="291">
        <f>DN194/DL194-1</f>
      </c>
      <c r="DO196" s="107">
        <f>DO194/DN194-1</f>
      </c>
      <c r="DP196" s="107">
        <f>DP194/DO194-1</f>
      </c>
      <c r="DQ196" s="107">
        <f>DQ194/DP194-1</f>
      </c>
      <c r="DR196" s="293"/>
      <c r="DS196" s="291">
        <f>DS194/DQ194-1</f>
      </c>
      <c r="DT196" s="107">
        <f>DT194/DS194-1</f>
      </c>
      <c r="DU196" s="107">
        <f>DU194/DT194-1</f>
      </c>
      <c r="DV196" s="107">
        <f>DV194/DU194-1</f>
      </c>
      <c r="DW196" s="293"/>
      <c r="DX196" s="291">
        <f>DX194/DV194-1</f>
      </c>
      <c r="DY196" s="107">
        <f>DY194/DX194-1</f>
      </c>
      <c r="DZ196" s="107">
        <f>DZ194/DY194-1</f>
      </c>
      <c r="EA196" s="107">
        <f>EA194/DZ194-1</f>
      </c>
      <c r="EB196" s="293"/>
      <c r="EC196" s="291">
        <f>EC194/EA194-1</f>
      </c>
      <c r="ED196" s="107">
        <f>ED194/EC194-1</f>
      </c>
      <c r="EE196" s="107">
        <f>EE194/ED194-1</f>
      </c>
      <c r="EF196" s="107">
        <f>EF194/EE194-1</f>
      </c>
      <c r="EG196" s="293"/>
      <c r="EH196" s="291">
        <f>EH194/EF194-1</f>
      </c>
      <c r="EI196" s="107">
        <f>EI194/EH194-1</f>
      </c>
      <c r="EJ196" s="107">
        <f>EJ194/EI194-1</f>
      </c>
      <c r="EK196" s="107">
        <f>EK194/EJ194-1</f>
      </c>
      <c r="EL196" s="293"/>
      <c r="EM196" s="291">
        <f>EM194/EK194-1</f>
      </c>
      <c r="EN196" s="107">
        <f>EN194/EM194-1</f>
      </c>
      <c r="EO196" s="107">
        <f>EO194/EN194-1</f>
      </c>
      <c r="EP196" s="107">
        <f>EP194/EO194-1</f>
      </c>
      <c r="EQ196" s="293"/>
      <c r="ER196" s="291">
        <f>ER194/EP194-1</f>
      </c>
      <c r="ES196" s="107">
        <f>ES194/ER194-1</f>
      </c>
      <c r="ET196" s="107">
        <f>ET194/ES194-1</f>
      </c>
      <c r="EU196" s="107">
        <f>EU194/ET194-1</f>
      </c>
      <c r="EV196" s="293"/>
      <c r="EW196" s="349"/>
      <c r="EX196" s="468"/>
      <c r="EY196" s="107"/>
      <c r="EZ196" s="107"/>
      <c r="FA196" s="293"/>
      <c r="FB196" s="291"/>
      <c r="FC196" s="107"/>
      <c r="FD196" s="107"/>
      <c r="FE196" s="107"/>
      <c r="FF196" s="293"/>
      <c r="FG196" s="291"/>
      <c r="FH196" s="107"/>
      <c r="FI196" s="107"/>
      <c r="FJ196" s="107"/>
      <c r="FK196" s="293"/>
      <c r="FL196" s="291"/>
      <c r="FM196" s="107"/>
      <c r="FN196" s="107"/>
      <c r="FO196" s="107"/>
      <c r="FP196" s="293"/>
      <c r="FQ196" s="291"/>
      <c r="FR196" s="107"/>
      <c r="FS196" s="107"/>
      <c r="FT196" s="107"/>
      <c r="FU196" s="293"/>
      <c r="FV196" s="291"/>
      <c r="FW196" s="107"/>
      <c r="FX196" s="107"/>
      <c r="FY196" s="107"/>
      <c r="FZ196" s="293"/>
      <c r="GA196" s="291"/>
      <c r="GB196" s="107"/>
      <c r="GC196" s="107"/>
      <c r="GD196" s="107"/>
      <c r="GE196" s="293"/>
      <c r="GF196" s="291"/>
      <c r="GG196" s="107"/>
      <c r="GH196" s="107"/>
      <c r="GI196" s="107"/>
      <c r="GJ196" s="382"/>
    </row>
    <row r="197" spans="1:192" s="461" customFormat="1" ht="12.75" hidden="1" customHeight="1" outlineLevel="1">
      <c r="A197" s="370"/>
      <c r="B197" s="735" t="s">
        <v>246</v>
      </c>
      <c r="C197" s="447"/>
      <c r="D197" s="458"/>
      <c r="E197" s="458"/>
      <c r="F197" s="458"/>
      <c r="G197" s="459"/>
      <c r="H197" s="447"/>
      <c r="I197" s="458"/>
      <c r="J197" s="458"/>
      <c r="K197" s="458"/>
      <c r="L197" s="459"/>
      <c r="M197" s="447"/>
      <c r="N197" s="458"/>
      <c r="O197" s="458"/>
      <c r="P197" s="458"/>
      <c r="Q197" s="459"/>
      <c r="R197" s="447"/>
      <c r="S197" s="458"/>
      <c r="T197" s="458"/>
      <c r="U197" s="458"/>
      <c r="V197" s="459"/>
      <c r="W197" s="447"/>
      <c r="X197" s="458"/>
      <c r="Y197" s="458"/>
      <c r="Z197" s="458"/>
      <c r="AA197" s="459"/>
      <c r="AB197" s="447"/>
      <c r="AC197" s="458"/>
      <c r="AD197" s="458"/>
      <c r="AE197" s="458"/>
      <c r="AF197" s="459"/>
      <c r="AG197" s="447"/>
      <c r="AH197" s="458"/>
      <c r="AI197" s="458"/>
      <c r="AJ197" s="458"/>
      <c r="AK197" s="459"/>
      <c r="AL197" s="447"/>
      <c r="AM197" s="458"/>
      <c r="AN197" s="458"/>
      <c r="AO197" s="458"/>
      <c r="AP197" s="459"/>
      <c r="AQ197" s="447"/>
      <c r="AR197" s="458"/>
      <c r="AS197" s="458"/>
      <c r="AT197" s="458"/>
      <c r="AU197" s="459"/>
      <c r="AV197" s="447"/>
      <c r="AW197" s="458"/>
      <c r="AX197" s="458"/>
      <c r="AY197" s="458"/>
      <c r="AZ197" s="459"/>
      <c r="BA197" s="447"/>
      <c r="BB197" s="458"/>
      <c r="BC197" s="458"/>
      <c r="BD197" s="458"/>
      <c r="BE197" s="459"/>
      <c r="BF197" s="447"/>
      <c r="BG197" s="458"/>
      <c r="BH197" s="458"/>
      <c r="BI197" s="458"/>
      <c r="BJ197" s="459"/>
      <c r="BK197" s="447"/>
      <c r="BL197" s="458"/>
      <c r="BM197" s="458"/>
      <c r="BN197" s="458"/>
      <c r="BO197" s="459"/>
      <c r="BP197" s="447"/>
      <c r="BQ197" s="458"/>
      <c r="BR197" s="458"/>
      <c r="BS197" s="458"/>
      <c r="BT197" s="459"/>
      <c r="BU197" s="447"/>
      <c r="BV197" s="458"/>
      <c r="BW197" s="458"/>
      <c r="BX197" s="458"/>
      <c r="BY197" s="459"/>
      <c r="BZ197" s="447"/>
      <c r="CA197" s="458"/>
      <c r="CB197" s="458"/>
      <c r="CC197" s="458"/>
      <c r="CD197" s="459"/>
      <c r="CE197" s="447"/>
      <c r="CF197" s="458"/>
      <c r="CG197" s="458"/>
      <c r="CH197" s="458"/>
      <c r="CI197" s="459"/>
      <c r="CJ197" s="447"/>
      <c r="CK197" s="458"/>
      <c r="CL197" s="458"/>
      <c r="CM197" s="458"/>
      <c r="CN197" s="459"/>
      <c r="CO197" s="447"/>
      <c r="CP197" s="458"/>
      <c r="CQ197" s="458"/>
      <c r="CR197" s="458"/>
      <c r="CS197" s="459"/>
      <c r="CT197" s="447"/>
      <c r="CU197" s="458"/>
      <c r="CV197" s="458"/>
      <c r="CW197" s="458"/>
      <c r="CX197" s="459"/>
      <c r="CY197" s="447"/>
      <c r="CZ197" s="458"/>
      <c r="DA197" s="458"/>
      <c r="DB197" s="458"/>
      <c r="DC197" s="459"/>
      <c r="DD197" s="447"/>
      <c r="DE197" s="458"/>
      <c r="DF197" s="458"/>
      <c r="DG197" s="458"/>
      <c r="DH197" s="459"/>
      <c r="DI197" s="447"/>
      <c r="DJ197" s="447"/>
      <c r="DK197" s="447"/>
      <c r="DL197" s="447"/>
      <c r="DM197" s="459"/>
      <c r="DN197" s="447">
        <f t="shared" ref="DN197:EV197" si="204">DN194-DI194</f>
      </c>
      <c r="DO197" s="447">
        <f t="shared" si="204"/>
      </c>
      <c r="DP197" s="447">
        <f t="shared" si="204"/>
      </c>
      <c r="DQ197" s="447">
        <f t="shared" si="204"/>
      </c>
      <c r="DR197" s="459">
        <f t="shared" si="204"/>
      </c>
      <c r="DS197" s="447">
        <f t="shared" si="204"/>
      </c>
      <c r="DT197" s="447">
        <f t="shared" si="204"/>
      </c>
      <c r="DU197" s="447">
        <f t="shared" si="204"/>
      </c>
      <c r="DV197" s="447">
        <f t="shared" si="204"/>
      </c>
      <c r="DW197" s="459">
        <f t="shared" si="204"/>
      </c>
      <c r="DX197" s="447">
        <f t="shared" si="204"/>
      </c>
      <c r="DY197" s="447">
        <f t="shared" si="204"/>
      </c>
      <c r="DZ197" s="447">
        <f t="shared" si="204"/>
      </c>
      <c r="EA197" s="447">
        <f t="shared" si="204"/>
      </c>
      <c r="EB197" s="459">
        <f t="shared" si="204"/>
      </c>
      <c r="EC197" s="447">
        <f t="shared" si="204"/>
      </c>
      <c r="ED197" s="447">
        <f t="shared" si="204"/>
      </c>
      <c r="EE197" s="447">
        <f t="shared" si="204"/>
      </c>
      <c r="EF197" s="447">
        <f t="shared" si="204"/>
      </c>
      <c r="EG197" s="459">
        <f t="shared" si="204"/>
      </c>
      <c r="EH197" s="447">
        <f t="shared" si="204"/>
      </c>
      <c r="EI197" s="447">
        <f t="shared" si="204"/>
      </c>
      <c r="EJ197" s="447">
        <f t="shared" si="204"/>
      </c>
      <c r="EK197" s="447">
        <f t="shared" si="204"/>
      </c>
      <c r="EL197" s="459">
        <f t="shared" si="204"/>
      </c>
      <c r="EM197" s="447">
        <f t="shared" si="204"/>
      </c>
      <c r="EN197" s="447">
        <f t="shared" si="204"/>
      </c>
      <c r="EO197" s="447">
        <f t="shared" si="204"/>
      </c>
      <c r="EP197" s="447">
        <f t="shared" si="204"/>
      </c>
      <c r="EQ197" s="459">
        <f t="shared" si="204"/>
      </c>
      <c r="ER197" s="447">
        <f t="shared" si="204"/>
      </c>
      <c r="ES197" s="447">
        <f t="shared" si="204"/>
      </c>
      <c r="ET197" s="447">
        <f t="shared" si="204"/>
      </c>
      <c r="EU197" s="447">
        <f t="shared" si="204"/>
      </c>
      <c r="EV197" s="459">
        <f t="shared" si="204"/>
      </c>
      <c r="EW197" s="511"/>
      <c r="EX197" s="679"/>
      <c r="EY197" s="458"/>
      <c r="EZ197" s="458"/>
      <c r="FA197" s="459"/>
      <c r="FB197" s="447"/>
      <c r="FC197" s="458"/>
      <c r="FD197" s="458"/>
      <c r="FE197" s="458"/>
      <c r="FF197" s="459"/>
      <c r="FG197" s="447"/>
      <c r="FH197" s="458"/>
      <c r="FI197" s="458"/>
      <c r="FJ197" s="458"/>
      <c r="FK197" s="459"/>
      <c r="FL197" s="447"/>
      <c r="FM197" s="458"/>
      <c r="FN197" s="458"/>
      <c r="FO197" s="458"/>
      <c r="FP197" s="459"/>
      <c r="FQ197" s="447"/>
      <c r="FR197" s="458"/>
      <c r="FS197" s="458"/>
      <c r="FT197" s="458"/>
      <c r="FU197" s="459"/>
      <c r="FV197" s="447"/>
      <c r="FW197" s="458"/>
      <c r="FX197" s="458"/>
      <c r="FY197" s="458"/>
      <c r="FZ197" s="459"/>
      <c r="GA197" s="447"/>
      <c r="GB197" s="458"/>
      <c r="GC197" s="458"/>
      <c r="GD197" s="458"/>
      <c r="GE197" s="459"/>
      <c r="GF197" s="447"/>
      <c r="GG197" s="458"/>
      <c r="GH197" s="458"/>
      <c r="GI197" s="458"/>
      <c r="GJ197" s="460"/>
    </row>
    <row r="198" spans="1:192" s="461" customFormat="1" ht="12.75" hidden="1" customHeight="1" outlineLevel="1">
      <c r="A198" s="370"/>
      <c r="B198" s="735" t="s">
        <v>245</v>
      </c>
      <c r="C198" s="447"/>
      <c r="D198" s="458"/>
      <c r="E198" s="458"/>
      <c r="F198" s="458"/>
      <c r="G198" s="459"/>
      <c r="H198" s="447"/>
      <c r="I198" s="458"/>
      <c r="J198" s="458"/>
      <c r="K198" s="458"/>
      <c r="L198" s="459"/>
      <c r="M198" s="447"/>
      <c r="N198" s="458"/>
      <c r="O198" s="458"/>
      <c r="P198" s="458"/>
      <c r="Q198" s="459"/>
      <c r="R198" s="447"/>
      <c r="S198" s="458"/>
      <c r="T198" s="458"/>
      <c r="U198" s="458"/>
      <c r="V198" s="459"/>
      <c r="W198" s="447"/>
      <c r="X198" s="458"/>
      <c r="Y198" s="458"/>
      <c r="Z198" s="458"/>
      <c r="AA198" s="459"/>
      <c r="AB198" s="447"/>
      <c r="AC198" s="458"/>
      <c r="AD198" s="458"/>
      <c r="AE198" s="458"/>
      <c r="AF198" s="459"/>
      <c r="AG198" s="447"/>
      <c r="AH198" s="458"/>
      <c r="AI198" s="458"/>
      <c r="AJ198" s="458"/>
      <c r="AK198" s="459"/>
      <c r="AL198" s="447"/>
      <c r="AM198" s="458"/>
      <c r="AN198" s="458"/>
      <c r="AO198" s="458"/>
      <c r="AP198" s="459"/>
      <c r="AQ198" s="447"/>
      <c r="AR198" s="458"/>
      <c r="AS198" s="458"/>
      <c r="AT198" s="458"/>
      <c r="AU198" s="459"/>
      <c r="AV198" s="447"/>
      <c r="AW198" s="458"/>
      <c r="AX198" s="458"/>
      <c r="AY198" s="458"/>
      <c r="AZ198" s="459"/>
      <c r="BA198" s="447"/>
      <c r="BB198" s="458"/>
      <c r="BC198" s="458"/>
      <c r="BD198" s="458"/>
      <c r="BE198" s="459"/>
      <c r="BF198" s="447"/>
      <c r="BG198" s="458"/>
      <c r="BH198" s="458"/>
      <c r="BI198" s="458"/>
      <c r="BJ198" s="459"/>
      <c r="BK198" s="447"/>
      <c r="BL198" s="458"/>
      <c r="BM198" s="458"/>
      <c r="BN198" s="458"/>
      <c r="BO198" s="459"/>
      <c r="BP198" s="447"/>
      <c r="BQ198" s="458"/>
      <c r="BR198" s="458"/>
      <c r="BS198" s="458"/>
      <c r="BT198" s="459"/>
      <c r="BU198" s="447"/>
      <c r="BV198" s="458"/>
      <c r="BW198" s="458"/>
      <c r="BX198" s="458"/>
      <c r="BY198" s="459"/>
      <c r="BZ198" s="447"/>
      <c r="CA198" s="458"/>
      <c r="CB198" s="458"/>
      <c r="CC198" s="458"/>
      <c r="CD198" s="459"/>
      <c r="CE198" s="447"/>
      <c r="CF198" s="458"/>
      <c r="CG198" s="458"/>
      <c r="CH198" s="458"/>
      <c r="CI198" s="459"/>
      <c r="CJ198" s="447"/>
      <c r="CK198" s="458"/>
      <c r="CL198" s="458"/>
      <c r="CM198" s="458"/>
      <c r="CN198" s="459"/>
      <c r="CO198" s="447"/>
      <c r="CP198" s="458"/>
      <c r="CQ198" s="458"/>
      <c r="CR198" s="458"/>
      <c r="CS198" s="459"/>
      <c r="CT198" s="447"/>
      <c r="CU198" s="458"/>
      <c r="CV198" s="458"/>
      <c r="CW198" s="458"/>
      <c r="CX198" s="459"/>
      <c r="CY198" s="447"/>
      <c r="CZ198" s="458"/>
      <c r="DA198" s="458"/>
      <c r="DB198" s="458"/>
      <c r="DC198" s="459"/>
      <c r="DD198" s="447"/>
      <c r="DE198" s="458"/>
      <c r="DF198" s="458"/>
      <c r="DG198" s="458"/>
      <c r="DH198" s="459"/>
      <c r="DI198" s="447"/>
      <c r="DJ198" s="447">
        <f>DJ194-DI194</f>
      </c>
      <c r="DK198" s="447">
        <f>DK194-DJ194</f>
      </c>
      <c r="DL198" s="447">
        <f>DL194-DK194</f>
      </c>
      <c r="DM198" s="459">
        <f>DM194-DH194</f>
      </c>
      <c r="DN198" s="447">
        <f>DN194-DL194</f>
      </c>
      <c r="DO198" s="447">
        <f>DO194-DN194</f>
      </c>
      <c r="DP198" s="447">
        <f>DP194-DO194</f>
      </c>
      <c r="DQ198" s="447">
        <f>DQ194-DP194</f>
      </c>
      <c r="DR198" s="459">
        <f>DR194-DM194</f>
      </c>
      <c r="DS198" s="447">
        <f>DS194-DQ194</f>
      </c>
      <c r="DT198" s="447">
        <f>DT194-DS194</f>
      </c>
      <c r="DU198" s="447">
        <f>DU194-DT194</f>
      </c>
      <c r="DV198" s="447">
        <f>DV194-DU194</f>
      </c>
      <c r="DW198" s="459">
        <f>DW194-DR194</f>
      </c>
      <c r="DX198" s="447">
        <f>DX194-DV194</f>
      </c>
      <c r="DY198" s="447">
        <f>DY194-DX194</f>
      </c>
      <c r="DZ198" s="447">
        <f>DZ194-DY194</f>
      </c>
      <c r="EA198" s="447">
        <f>EA194-DZ194</f>
      </c>
      <c r="EB198" s="459">
        <f>EB194-DW194</f>
      </c>
      <c r="EC198" s="447">
        <f>EC194-EA194</f>
      </c>
      <c r="ED198" s="447">
        <f>ED194-EC194</f>
      </c>
      <c r="EE198" s="447">
        <f>EE194-ED194</f>
      </c>
      <c r="EF198" s="447">
        <f>EF194-EE194</f>
      </c>
      <c r="EG198" s="459">
        <f>EG194-EB194</f>
      </c>
      <c r="EH198" s="447">
        <f>EH194-EF194</f>
      </c>
      <c r="EI198" s="447">
        <f>EI194-EH194</f>
      </c>
      <c r="EJ198" s="447">
        <f>EJ194-EI194</f>
      </c>
      <c r="EK198" s="447">
        <f>EK194-EJ194</f>
      </c>
      <c r="EL198" s="459">
        <f>EL194-EG194</f>
      </c>
      <c r="EM198" s="447">
        <f>EM194-EK194</f>
      </c>
      <c r="EN198" s="447">
        <f>EN194-EM194</f>
      </c>
      <c r="EO198" s="447">
        <f>EO194-EN194</f>
      </c>
      <c r="EP198" s="447">
        <f>EP194-EO194</f>
      </c>
      <c r="EQ198" s="459">
        <f>EQ194-EL194</f>
      </c>
      <c r="ER198" s="447">
        <f>ER194-EP194</f>
      </c>
      <c r="ES198" s="447">
        <f>ES194-ER194</f>
      </c>
      <c r="ET198" s="447">
        <f>ET194-ES194</f>
      </c>
      <c r="EU198" s="447">
        <f>EU194-ET194</f>
      </c>
      <c r="EV198" s="459">
        <f>EV194-EQ194</f>
      </c>
      <c r="EW198" s="511"/>
      <c r="EX198" s="679"/>
      <c r="EY198" s="458"/>
      <c r="EZ198" s="458"/>
      <c r="FA198" s="459"/>
      <c r="FB198" s="447"/>
      <c r="FC198" s="458"/>
      <c r="FD198" s="458"/>
      <c r="FE198" s="458"/>
      <c r="FF198" s="459"/>
      <c r="FG198" s="447"/>
      <c r="FH198" s="458"/>
      <c r="FI198" s="458"/>
      <c r="FJ198" s="458"/>
      <c r="FK198" s="459"/>
      <c r="FL198" s="447"/>
      <c r="FM198" s="458"/>
      <c r="FN198" s="458"/>
      <c r="FO198" s="458"/>
      <c r="FP198" s="459"/>
      <c r="FQ198" s="447"/>
      <c r="FR198" s="458"/>
      <c r="FS198" s="458"/>
      <c r="FT198" s="458"/>
      <c r="FU198" s="459"/>
      <c r="FV198" s="447"/>
      <c r="FW198" s="458"/>
      <c r="FX198" s="458"/>
      <c r="FY198" s="458"/>
      <c r="FZ198" s="459"/>
      <c r="GA198" s="447"/>
      <c r="GB198" s="458"/>
      <c r="GC198" s="458"/>
      <c r="GD198" s="458"/>
      <c r="GE198" s="459"/>
      <c r="GF198" s="447"/>
      <c r="GG198" s="458"/>
      <c r="GH198" s="458"/>
      <c r="GI198" s="458"/>
      <c r="GJ198" s="460"/>
    </row>
    <row r="199" spans="1:192" s="461" customFormat="1" ht="12.75" hidden="1" customHeight="1" outlineLevel="1">
      <c r="A199" s="370"/>
      <c r="B199" s="735"/>
      <c r="C199" s="447"/>
      <c r="D199" s="458"/>
      <c r="E199" s="458"/>
      <c r="F199" s="458"/>
      <c r="G199" s="459"/>
      <c r="H199" s="447"/>
      <c r="I199" s="458"/>
      <c r="J199" s="458"/>
      <c r="K199" s="458"/>
      <c r="L199" s="459"/>
      <c r="M199" s="447"/>
      <c r="N199" s="458"/>
      <c r="O199" s="458"/>
      <c r="P199" s="458"/>
      <c r="Q199" s="459"/>
      <c r="R199" s="447"/>
      <c r="S199" s="458"/>
      <c r="T199" s="458"/>
      <c r="U199" s="458"/>
      <c r="V199" s="459"/>
      <c r="W199" s="447"/>
      <c r="X199" s="458"/>
      <c r="Y199" s="458"/>
      <c r="Z199" s="458"/>
      <c r="AA199" s="459"/>
      <c r="AB199" s="447"/>
      <c r="AC199" s="458"/>
      <c r="AD199" s="458"/>
      <c r="AE199" s="458"/>
      <c r="AF199" s="459"/>
      <c r="AG199" s="447"/>
      <c r="AH199" s="458"/>
      <c r="AI199" s="458"/>
      <c r="AJ199" s="458"/>
      <c r="AK199" s="459"/>
      <c r="AL199" s="447"/>
      <c r="AM199" s="458"/>
      <c r="AN199" s="458"/>
      <c r="AO199" s="458"/>
      <c r="AP199" s="459"/>
      <c r="AQ199" s="447"/>
      <c r="AR199" s="458"/>
      <c r="AS199" s="458"/>
      <c r="AT199" s="458"/>
      <c r="AU199" s="459"/>
      <c r="AV199" s="447"/>
      <c r="AW199" s="458"/>
      <c r="AX199" s="458"/>
      <c r="AY199" s="458"/>
      <c r="AZ199" s="459"/>
      <c r="BA199" s="447"/>
      <c r="BB199" s="458"/>
      <c r="BC199" s="458"/>
      <c r="BD199" s="458"/>
      <c r="BE199" s="459"/>
      <c r="BF199" s="447"/>
      <c r="BG199" s="458"/>
      <c r="BH199" s="458"/>
      <c r="BI199" s="458"/>
      <c r="BJ199" s="459"/>
      <c r="BK199" s="447"/>
      <c r="BL199" s="458"/>
      <c r="BM199" s="458"/>
      <c r="BN199" s="458"/>
      <c r="BO199" s="459"/>
      <c r="BP199" s="447"/>
      <c r="BQ199" s="458"/>
      <c r="BR199" s="458"/>
      <c r="BS199" s="458"/>
      <c r="BT199" s="459"/>
      <c r="BU199" s="447"/>
      <c r="BV199" s="458"/>
      <c r="BW199" s="458"/>
      <c r="BX199" s="458"/>
      <c r="BY199" s="459"/>
      <c r="BZ199" s="447"/>
      <c r="CA199" s="458"/>
      <c r="CB199" s="458"/>
      <c r="CC199" s="458"/>
      <c r="CD199" s="459"/>
      <c r="CE199" s="447"/>
      <c r="CF199" s="458"/>
      <c r="CG199" s="458"/>
      <c r="CH199" s="458"/>
      <c r="CI199" s="459"/>
      <c r="CJ199" s="447"/>
      <c r="CK199" s="458"/>
      <c r="CL199" s="458"/>
      <c r="CM199" s="458"/>
      <c r="CN199" s="459"/>
      <c r="CO199" s="447"/>
      <c r="CP199" s="458"/>
      <c r="CQ199" s="458"/>
      <c r="CR199" s="458"/>
      <c r="CS199" s="459"/>
      <c r="CT199" s="447"/>
      <c r="CU199" s="458"/>
      <c r="CV199" s="458"/>
      <c r="CW199" s="458"/>
      <c r="CX199" s="459"/>
      <c r="CY199" s="447"/>
      <c r="CZ199" s="458"/>
      <c r="DA199" s="458"/>
      <c r="DB199" s="458"/>
      <c r="DC199" s="459"/>
      <c r="DD199" s="447"/>
      <c r="DE199" s="458"/>
      <c r="DF199" s="458"/>
      <c r="DG199" s="458"/>
      <c r="DH199" s="459"/>
      <c r="DI199" s="447"/>
      <c r="DJ199" s="447"/>
      <c r="DK199" s="447"/>
      <c r="DL199" s="447"/>
      <c r="DM199" s="459"/>
      <c r="DN199" s="447"/>
      <c r="DO199" s="447"/>
      <c r="DP199" s="447"/>
      <c r="DQ199" s="447"/>
      <c r="DR199" s="459"/>
      <c r="DS199" s="447"/>
      <c r="DT199" s="447"/>
      <c r="DU199" s="447"/>
      <c r="DV199" s="447"/>
      <c r="DW199" s="459"/>
      <c r="DX199" s="447"/>
      <c r="DY199" s="447"/>
      <c r="DZ199" s="447"/>
      <c r="EA199" s="447"/>
      <c r="EB199" s="459"/>
      <c r="EC199" s="447"/>
      <c r="ED199" s="447"/>
      <c r="EE199" s="447"/>
      <c r="EF199" s="447"/>
      <c r="EG199" s="459"/>
      <c r="EH199" s="447"/>
      <c r="EI199" s="447"/>
      <c r="EJ199" s="447"/>
      <c r="EK199" s="447"/>
      <c r="EL199" s="459"/>
      <c r="EM199" s="447"/>
      <c r="EN199" s="447"/>
      <c r="EO199" s="447"/>
      <c r="EP199" s="447"/>
      <c r="EQ199" s="459"/>
      <c r="ER199" s="447"/>
      <c r="ES199" s="447"/>
      <c r="ET199" s="447"/>
      <c r="EU199" s="447"/>
      <c r="EV199" s="459"/>
      <c r="EW199" s="511"/>
      <c r="EX199" s="679"/>
      <c r="EY199" s="458"/>
      <c r="EZ199" s="458"/>
      <c r="FA199" s="459"/>
      <c r="FB199" s="447"/>
      <c r="FC199" s="458"/>
      <c r="FD199" s="458"/>
      <c r="FE199" s="458"/>
      <c r="FF199" s="459"/>
      <c r="FG199" s="447"/>
      <c r="FH199" s="458"/>
      <c r="FI199" s="458"/>
      <c r="FJ199" s="458"/>
      <c r="FK199" s="459"/>
      <c r="FL199" s="447"/>
      <c r="FM199" s="458"/>
      <c r="FN199" s="458"/>
      <c r="FO199" s="458"/>
      <c r="FP199" s="459"/>
      <c r="FQ199" s="447"/>
      <c r="FR199" s="458"/>
      <c r="FS199" s="458"/>
      <c r="FT199" s="458"/>
      <c r="FU199" s="459"/>
      <c r="FV199" s="447"/>
      <c r="FW199" s="458"/>
      <c r="FX199" s="458"/>
      <c r="FY199" s="458"/>
      <c r="FZ199" s="459"/>
      <c r="GA199" s="447"/>
      <c r="GB199" s="458"/>
      <c r="GC199" s="458"/>
      <c r="GD199" s="458"/>
      <c r="GE199" s="459"/>
      <c r="GF199" s="447"/>
      <c r="GG199" s="458"/>
      <c r="GH199" s="458"/>
      <c r="GI199" s="458"/>
      <c r="GJ199" s="460"/>
    </row>
    <row r="200" spans="1:192" s="419" customFormat="1" ht="12.75" hidden="1" customHeight="1" outlineLevel="1">
      <c r="A200" s="798"/>
      <c r="B200" s="749" t="s">
        <v>1952</v>
      </c>
      <c r="C200" s="415"/>
      <c r="D200" s="416"/>
      <c r="E200" s="416"/>
      <c r="F200" s="416"/>
      <c r="G200" s="417"/>
      <c r="H200" s="415"/>
      <c r="I200" s="416"/>
      <c r="J200" s="416"/>
      <c r="K200" s="416"/>
      <c r="L200" s="417"/>
      <c r="M200" s="415"/>
      <c r="N200" s="416"/>
      <c r="O200" s="416"/>
      <c r="P200" s="416"/>
      <c r="Q200" s="417"/>
      <c r="R200" s="415"/>
      <c r="S200" s="416"/>
      <c r="T200" s="416"/>
      <c r="U200" s="416"/>
      <c r="V200" s="417"/>
      <c r="W200" s="415"/>
      <c r="X200" s="416"/>
      <c r="Y200" s="416"/>
      <c r="Z200" s="416"/>
      <c r="AA200" s="417"/>
      <c r="AB200" s="415"/>
      <c r="AC200" s="416"/>
      <c r="AD200" s="416"/>
      <c r="AE200" s="416"/>
      <c r="AF200" s="417"/>
      <c r="AG200" s="415"/>
      <c r="AH200" s="416"/>
      <c r="AI200" s="416"/>
      <c r="AJ200" s="416"/>
      <c r="AK200" s="417"/>
      <c r="AL200" s="415"/>
      <c r="AM200" s="416"/>
      <c r="AN200" s="416"/>
      <c r="AO200" s="416"/>
      <c r="AP200" s="417"/>
      <c r="AQ200" s="415"/>
      <c r="AR200" s="416"/>
      <c r="AS200" s="416"/>
      <c r="AT200" s="416"/>
      <c r="AU200" s="417"/>
      <c r="AV200" s="415"/>
      <c r="AW200" s="416"/>
      <c r="AX200" s="416"/>
      <c r="AY200" s="416"/>
      <c r="AZ200" s="417"/>
      <c r="BA200" s="415"/>
      <c r="BB200" s="416"/>
      <c r="BC200" s="416"/>
      <c r="BD200" s="416"/>
      <c r="BE200" s="417"/>
      <c r="BF200" s="415"/>
      <c r="BG200" s="416"/>
      <c r="BH200" s="416"/>
      <c r="BI200" s="416"/>
      <c r="BJ200" s="417"/>
      <c r="BK200" s="415"/>
      <c r="BL200" s="416"/>
      <c r="BM200" s="416"/>
      <c r="BN200" s="416"/>
      <c r="BO200" s="417"/>
      <c r="BP200" s="415"/>
      <c r="BQ200" s="416"/>
      <c r="BR200" s="416"/>
      <c r="BS200" s="416"/>
      <c r="BT200" s="417"/>
      <c r="BU200" s="415"/>
      <c r="BV200" s="416"/>
      <c r="BW200" s="416"/>
      <c r="BX200" s="416"/>
      <c r="BY200" s="417"/>
      <c r="BZ200" s="415"/>
      <c r="CA200" s="416"/>
      <c r="CB200" s="416"/>
      <c r="CC200" s="416"/>
      <c r="CD200" s="417"/>
      <c r="CE200" s="415"/>
      <c r="CF200" s="416"/>
      <c r="CG200" s="416"/>
      <c r="CH200" s="416"/>
      <c r="CI200" s="417"/>
      <c r="CJ200" s="415"/>
      <c r="CK200" s="416"/>
      <c r="CL200" s="416"/>
      <c r="CM200" s="416"/>
      <c r="CN200" s="417"/>
      <c r="CO200" s="415"/>
      <c r="CP200" s="416"/>
      <c r="CQ200" s="416"/>
      <c r="CR200" s="416"/>
      <c r="CS200" s="417"/>
      <c r="CT200" s="420"/>
      <c r="CU200" s="421"/>
      <c r="CV200" s="421"/>
      <c r="CW200" s="421"/>
      <c r="CX200" s="417"/>
      <c r="CY200" s="420"/>
      <c r="CZ200" s="421"/>
      <c r="DA200" s="421"/>
      <c r="DB200" s="421"/>
      <c r="DC200" s="417"/>
      <c r="DD200" s="420"/>
      <c r="DE200" s="421"/>
      <c r="DF200" s="421"/>
      <c r="DG200" s="421"/>
      <c r="DH200" s="417"/>
      <c r="DI200" s="415"/>
      <c r="DJ200" s="416"/>
      <c r="DK200" s="416"/>
      <c r="DL200" s="421"/>
      <c r="DM200" s="417"/>
      <c r="DN200" s="420"/>
      <c r="DO200" s="421"/>
      <c r="DP200" s="421"/>
      <c r="DQ200" s="421"/>
      <c r="DR200" s="417"/>
      <c r="DS200" s="420"/>
      <c r="DT200" s="421"/>
      <c r="DU200" s="421"/>
      <c r="DV200" s="421"/>
      <c r="DW200" s="417"/>
      <c r="DX200" s="420"/>
      <c r="DY200" s="421"/>
      <c r="DZ200" s="421"/>
      <c r="EA200" s="421"/>
      <c r="EB200" s="417"/>
      <c r="EC200" s="420"/>
      <c r="ED200" s="421"/>
      <c r="EE200" s="421"/>
      <c r="EF200" s="421"/>
      <c r="EG200" s="417"/>
      <c r="EH200" s="420"/>
      <c r="EI200" s="421"/>
      <c r="EJ200" s="421"/>
      <c r="EK200" s="421"/>
      <c r="EL200" s="417"/>
      <c r="EM200" s="420"/>
      <c r="EN200" s="421"/>
      <c r="EO200" s="421"/>
      <c r="EP200" s="421"/>
      <c r="EQ200" s="417"/>
      <c r="ER200" s="420">
        <v>126</v>
      </c>
      <c r="ES200" s="421">
        <v>230</v>
      </c>
      <c r="ET200" s="1351">
        <v>330</v>
      </c>
      <c r="EU200" s="1351">
        <v>480</v>
      </c>
      <c r="EV200" s="417"/>
      <c r="EW200" s="442"/>
      <c r="EX200" s="510"/>
      <c r="EY200" s="416"/>
      <c r="EZ200" s="416"/>
      <c r="FA200" s="417"/>
      <c r="FB200" s="415"/>
      <c r="FC200" s="416"/>
      <c r="FD200" s="416"/>
      <c r="FE200" s="416"/>
      <c r="FF200" s="417"/>
      <c r="FG200" s="415"/>
      <c r="FH200" s="416"/>
      <c r="FI200" s="416"/>
      <c r="FJ200" s="416"/>
      <c r="FK200" s="417"/>
      <c r="FL200" s="415"/>
      <c r="FM200" s="416"/>
      <c r="FN200" s="416"/>
      <c r="FO200" s="416"/>
      <c r="FP200" s="417"/>
      <c r="FQ200" s="415"/>
      <c r="FR200" s="416"/>
      <c r="FS200" s="416"/>
      <c r="FT200" s="416"/>
      <c r="FU200" s="417"/>
      <c r="FV200" s="415"/>
      <c r="FW200" s="416"/>
      <c r="FX200" s="416"/>
      <c r="FY200" s="416"/>
      <c r="FZ200" s="417"/>
      <c r="GA200" s="415"/>
      <c r="GB200" s="416"/>
      <c r="GC200" s="416"/>
      <c r="GD200" s="416"/>
      <c r="GE200" s="417"/>
      <c r="GF200" s="415"/>
      <c r="GG200" s="416"/>
      <c r="GH200" s="416"/>
      <c r="GI200" s="416"/>
      <c r="GJ200" s="418"/>
    </row>
    <row r="201" spans="1:192" ht="12.75" hidden="1" customHeight="1" outlineLevel="1">
      <c r="B201" s="735" t="s">
        <v>34</v>
      </c>
      <c r="C201" s="291"/>
      <c r="D201" s="107"/>
      <c r="E201" s="107"/>
      <c r="F201" s="107"/>
      <c r="G201" s="293"/>
      <c r="H201" s="291"/>
      <c r="I201" s="107"/>
      <c r="J201" s="107"/>
      <c r="K201" s="107"/>
      <c r="L201" s="293"/>
      <c r="M201" s="291"/>
      <c r="N201" s="107"/>
      <c r="O201" s="107"/>
      <c r="P201" s="107"/>
      <c r="Q201" s="293"/>
      <c r="R201" s="291"/>
      <c r="S201" s="107"/>
      <c r="T201" s="107"/>
      <c r="U201" s="107"/>
      <c r="V201" s="293"/>
      <c r="W201" s="291"/>
      <c r="X201" s="107"/>
      <c r="Y201" s="107"/>
      <c r="Z201" s="107"/>
      <c r="AA201" s="293"/>
      <c r="AB201" s="291"/>
      <c r="AC201" s="107"/>
      <c r="AD201" s="107"/>
      <c r="AE201" s="107"/>
      <c r="AF201" s="293"/>
      <c r="AG201" s="291"/>
      <c r="AH201" s="107"/>
      <c r="AI201" s="107"/>
      <c r="AJ201" s="107"/>
      <c r="AK201" s="293"/>
      <c r="AL201" s="291"/>
      <c r="AM201" s="107"/>
      <c r="AN201" s="107"/>
      <c r="AO201" s="107"/>
      <c r="AP201" s="293"/>
      <c r="AQ201" s="291"/>
      <c r="AR201" s="107"/>
      <c r="AS201" s="107"/>
      <c r="AT201" s="107"/>
      <c r="AU201" s="293"/>
      <c r="AV201" s="291"/>
      <c r="AW201" s="107"/>
      <c r="AX201" s="107"/>
      <c r="AY201" s="107"/>
      <c r="AZ201" s="293"/>
      <c r="BA201" s="291"/>
      <c r="BB201" s="107"/>
      <c r="BC201" s="107"/>
      <c r="BD201" s="107"/>
      <c r="BE201" s="293"/>
      <c r="BF201" s="291"/>
      <c r="BG201" s="107"/>
      <c r="BH201" s="107"/>
      <c r="BI201" s="107"/>
      <c r="BJ201" s="293"/>
      <c r="BK201" s="291"/>
      <c r="BL201" s="107"/>
      <c r="BM201" s="107"/>
      <c r="BN201" s="107"/>
      <c r="BO201" s="293"/>
      <c r="BP201" s="291"/>
      <c r="BQ201" s="107"/>
      <c r="BR201" s="107"/>
      <c r="BS201" s="107"/>
      <c r="BT201" s="293"/>
      <c r="BU201" s="291"/>
      <c r="BV201" s="107"/>
      <c r="BW201" s="107"/>
      <c r="BX201" s="107"/>
      <c r="BY201" s="293"/>
      <c r="BZ201" s="291"/>
      <c r="CA201" s="107"/>
      <c r="CB201" s="107"/>
      <c r="CC201" s="107"/>
      <c r="CD201" s="293"/>
      <c r="CE201" s="291"/>
      <c r="CF201" s="107"/>
      <c r="CG201" s="107"/>
      <c r="CH201" s="107"/>
      <c r="CI201" s="293"/>
      <c r="CJ201" s="291"/>
      <c r="CK201" s="107"/>
      <c r="CL201" s="107"/>
      <c r="CM201" s="107"/>
      <c r="CN201" s="293"/>
      <c r="CO201" s="291"/>
      <c r="CP201" s="107"/>
      <c r="CQ201" s="107"/>
      <c r="CR201" s="107"/>
      <c r="CS201" s="293"/>
      <c r="CT201" s="412"/>
      <c r="CU201" s="114"/>
      <c r="CV201" s="114"/>
      <c r="CW201" s="114"/>
      <c r="CX201" s="293"/>
      <c r="CY201" s="412"/>
      <c r="CZ201" s="114"/>
      <c r="DA201" s="114"/>
      <c r="DB201" s="114"/>
      <c r="DC201" s="293"/>
      <c r="DD201" s="412"/>
      <c r="DE201" s="114"/>
      <c r="DF201" s="114"/>
      <c r="DG201" s="114"/>
      <c r="DH201" s="293"/>
      <c r="DI201" s="412"/>
      <c r="DJ201" s="114"/>
      <c r="DK201" s="114"/>
      <c r="DL201" s="114"/>
      <c r="DM201" s="293"/>
      <c r="DN201" s="412"/>
      <c r="DO201" s="114"/>
      <c r="DP201" s="114"/>
      <c r="DQ201" s="114"/>
      <c r="DR201" s="293"/>
      <c r="DS201" s="412"/>
      <c r="DT201" s="114"/>
      <c r="DU201" s="114"/>
      <c r="DV201" s="114"/>
      <c r="DW201" s="293"/>
      <c r="DX201" s="412"/>
      <c r="DY201" s="114"/>
      <c r="DZ201" s="114"/>
      <c r="EA201" s="114"/>
      <c r="EB201" s="293"/>
      <c r="EC201" s="412"/>
      <c r="ED201" s="114"/>
      <c r="EE201" s="114"/>
      <c r="EF201" s="114"/>
      <c r="EG201" s="293"/>
      <c r="EH201" s="412"/>
      <c r="EI201" s="114"/>
      <c r="EJ201" s="114"/>
      <c r="EK201" s="114"/>
      <c r="EL201" s="293"/>
      <c r="EM201" s="412"/>
      <c r="EN201" s="114"/>
      <c r="EO201" s="114"/>
      <c r="EP201" s="114"/>
      <c r="EQ201" s="293"/>
      <c r="ER201" s="412"/>
      <c r="ES201" s="114"/>
      <c r="ET201" s="439"/>
      <c r="EU201" s="439"/>
      <c r="EV201" s="293"/>
      <c r="EW201" s="349"/>
      <c r="EX201" s="468"/>
      <c r="EY201" s="107"/>
      <c r="EZ201" s="107"/>
      <c r="FA201" s="293"/>
      <c r="FB201" s="291"/>
      <c r="FC201" s="107"/>
      <c r="FD201" s="107"/>
      <c r="FE201" s="107"/>
      <c r="FF201" s="293"/>
      <c r="FG201" s="291"/>
      <c r="FH201" s="107"/>
      <c r="FI201" s="107"/>
      <c r="FJ201" s="107"/>
      <c r="FK201" s="293"/>
      <c r="FL201" s="291"/>
      <c r="FM201" s="107"/>
      <c r="FN201" s="107"/>
      <c r="FO201" s="107"/>
      <c r="FP201" s="293"/>
      <c r="FQ201" s="291"/>
      <c r="FR201" s="107"/>
      <c r="FS201" s="107"/>
      <c r="FT201" s="107"/>
      <c r="FU201" s="293"/>
      <c r="FV201" s="291"/>
      <c r="FW201" s="107"/>
      <c r="FX201" s="107"/>
      <c r="FY201" s="107"/>
      <c r="FZ201" s="293"/>
      <c r="GA201" s="291"/>
      <c r="GB201" s="107"/>
      <c r="GC201" s="107"/>
      <c r="GD201" s="107"/>
      <c r="GE201" s="293"/>
      <c r="GF201" s="291"/>
      <c r="GG201" s="107"/>
      <c r="GH201" s="107"/>
      <c r="GI201" s="107"/>
      <c r="GJ201" s="382"/>
    </row>
    <row r="202" spans="1:192" ht="12.75" hidden="1" customHeight="1" outlineLevel="1">
      <c r="B202" s="735" t="s">
        <v>36</v>
      </c>
      <c r="C202" s="291"/>
      <c r="D202" s="107"/>
      <c r="E202" s="107"/>
      <c r="F202" s="107"/>
      <c r="G202" s="293"/>
      <c r="H202" s="291"/>
      <c r="I202" s="107"/>
      <c r="J202" s="107"/>
      <c r="K202" s="107"/>
      <c r="L202" s="293"/>
      <c r="M202" s="291"/>
      <c r="N202" s="107"/>
      <c r="O202" s="107"/>
      <c r="P202" s="107"/>
      <c r="Q202" s="293"/>
      <c r="R202" s="291"/>
      <c r="S202" s="107"/>
      <c r="T202" s="107"/>
      <c r="U202" s="107"/>
      <c r="V202" s="293"/>
      <c r="W202" s="291"/>
      <c r="X202" s="107"/>
      <c r="Y202" s="107"/>
      <c r="Z202" s="107"/>
      <c r="AA202" s="293"/>
      <c r="AB202" s="291"/>
      <c r="AC202" s="107"/>
      <c r="AD202" s="107"/>
      <c r="AE202" s="107"/>
      <c r="AF202" s="293"/>
      <c r="AG202" s="291"/>
      <c r="AH202" s="107"/>
      <c r="AI202" s="107"/>
      <c r="AJ202" s="107"/>
      <c r="AK202" s="293"/>
      <c r="AL202" s="291"/>
      <c r="AM202" s="107"/>
      <c r="AN202" s="107"/>
      <c r="AO202" s="107"/>
      <c r="AP202" s="293"/>
      <c r="AQ202" s="291"/>
      <c r="AR202" s="107"/>
      <c r="AS202" s="107"/>
      <c r="AT202" s="107"/>
      <c r="AU202" s="293"/>
      <c r="AV202" s="291"/>
      <c r="AW202" s="107"/>
      <c r="AX202" s="107"/>
      <c r="AY202" s="107"/>
      <c r="AZ202" s="293"/>
      <c r="BA202" s="291"/>
      <c r="BB202" s="107"/>
      <c r="BC202" s="107"/>
      <c r="BD202" s="107"/>
      <c r="BE202" s="293"/>
      <c r="BF202" s="291"/>
      <c r="BG202" s="107"/>
      <c r="BH202" s="107"/>
      <c r="BI202" s="107"/>
      <c r="BJ202" s="293"/>
      <c r="BK202" s="291"/>
      <c r="BL202" s="107"/>
      <c r="BM202" s="107"/>
      <c r="BN202" s="107"/>
      <c r="BO202" s="293"/>
      <c r="BP202" s="291"/>
      <c r="BQ202" s="107"/>
      <c r="BR202" s="107"/>
      <c r="BS202" s="107"/>
      <c r="BT202" s="293"/>
      <c r="BU202" s="291"/>
      <c r="BV202" s="107"/>
      <c r="BW202" s="107"/>
      <c r="BX202" s="107"/>
      <c r="BY202" s="293"/>
      <c r="BZ202" s="291"/>
      <c r="CA202" s="107"/>
      <c r="CB202" s="107"/>
      <c r="CC202" s="107"/>
      <c r="CD202" s="293"/>
      <c r="CE202" s="291"/>
      <c r="CF202" s="107"/>
      <c r="CG202" s="107"/>
      <c r="CH202" s="107"/>
      <c r="CI202" s="293"/>
      <c r="CJ202" s="291"/>
      <c r="CK202" s="107"/>
      <c r="CL202" s="107"/>
      <c r="CM202" s="107"/>
      <c r="CN202" s="293"/>
      <c r="CO202" s="291"/>
      <c r="CP202" s="107"/>
      <c r="CQ202" s="107"/>
      <c r="CR202" s="107"/>
      <c r="CS202" s="293"/>
      <c r="CT202" s="291"/>
      <c r="CU202" s="107"/>
      <c r="CV202" s="107"/>
      <c r="CW202" s="107"/>
      <c r="CX202" s="293"/>
      <c r="CY202" s="291"/>
      <c r="CZ202" s="107"/>
      <c r="DA202" s="107"/>
      <c r="DB202" s="107"/>
      <c r="DC202" s="293"/>
      <c r="DD202" s="291"/>
      <c r="DE202" s="107"/>
      <c r="DF202" s="107"/>
      <c r="DG202" s="107"/>
      <c r="DH202" s="293"/>
      <c r="DI202" s="291"/>
      <c r="DJ202" s="107"/>
      <c r="DK202" s="107"/>
      <c r="DL202" s="107"/>
      <c r="DM202" s="293"/>
      <c r="DN202" s="291"/>
      <c r="DO202" s="107"/>
      <c r="DP202" s="107"/>
      <c r="DQ202" s="107"/>
      <c r="DR202" s="293"/>
      <c r="DS202" s="291"/>
      <c r="DT202" s="107"/>
      <c r="DU202" s="107"/>
      <c r="DV202" s="107"/>
      <c r="DW202" s="293"/>
      <c r="DX202" s="291"/>
      <c r="DY202" s="107"/>
      <c r="DZ202" s="107"/>
      <c r="EA202" s="107"/>
      <c r="EB202" s="293"/>
      <c r="EC202" s="291"/>
      <c r="ED202" s="107"/>
      <c r="EE202" s="107"/>
      <c r="EF202" s="107"/>
      <c r="EG202" s="293"/>
      <c r="EH202" s="291"/>
      <c r="EI202" s="107"/>
      <c r="EJ202" s="107"/>
      <c r="EK202" s="107"/>
      <c r="EL202" s="293"/>
      <c r="EM202" s="291"/>
      <c r="EN202" s="107"/>
      <c r="EO202" s="107"/>
      <c r="EP202" s="107"/>
      <c r="EQ202" s="293"/>
      <c r="ER202" s="291"/>
      <c r="ES202" s="114">
        <v>0.8</v>
      </c>
      <c r="ET202" s="107">
        <f>ET200/ES200-1</f>
      </c>
      <c r="EU202" s="114">
        <v>0.45</v>
      </c>
      <c r="EV202" s="293"/>
      <c r="EW202" s="441"/>
      <c r="EX202" s="468"/>
      <c r="EY202" s="107"/>
      <c r="EZ202" s="107"/>
      <c r="FA202" s="293"/>
      <c r="FB202" s="291"/>
      <c r="FC202" s="107"/>
      <c r="FD202" s="107"/>
      <c r="FE202" s="107"/>
      <c r="FF202" s="293"/>
      <c r="FG202" s="291"/>
      <c r="FH202" s="107"/>
      <c r="FI202" s="107"/>
      <c r="FJ202" s="107"/>
      <c r="FK202" s="293"/>
      <c r="FL202" s="291"/>
      <c r="FM202" s="107"/>
      <c r="FN202" s="107"/>
      <c r="FO202" s="107"/>
      <c r="FP202" s="293"/>
      <c r="FQ202" s="291"/>
      <c r="FR202" s="107"/>
      <c r="FS202" s="107"/>
      <c r="FT202" s="107"/>
      <c r="FU202" s="293"/>
      <c r="FV202" s="291"/>
      <c r="FW202" s="107"/>
      <c r="FX202" s="107"/>
      <c r="FY202" s="107"/>
      <c r="FZ202" s="293"/>
      <c r="GA202" s="291"/>
      <c r="GB202" s="107"/>
      <c r="GC202" s="107"/>
      <c r="GD202" s="107"/>
      <c r="GE202" s="293"/>
      <c r="GF202" s="291"/>
      <c r="GG202" s="107"/>
      <c r="GH202" s="107"/>
      <c r="GI202" s="107"/>
      <c r="GJ202" s="382"/>
    </row>
    <row r="203" spans="1:192" ht="12.75" hidden="1" customHeight="1" outlineLevel="1">
      <c r="B203" s="735"/>
      <c r="C203" s="291"/>
      <c r="D203" s="107"/>
      <c r="E203" s="107"/>
      <c r="F203" s="107"/>
      <c r="G203" s="293"/>
      <c r="H203" s="291"/>
      <c r="I203" s="107"/>
      <c r="J203" s="107"/>
      <c r="K203" s="107"/>
      <c r="L203" s="293"/>
      <c r="M203" s="291"/>
      <c r="N203" s="107"/>
      <c r="O203" s="107"/>
      <c r="P203" s="107"/>
      <c r="Q203" s="293"/>
      <c r="R203" s="291"/>
      <c r="S203" s="107"/>
      <c r="T203" s="107"/>
      <c r="U203" s="107"/>
      <c r="V203" s="293"/>
      <c r="W203" s="291"/>
      <c r="X203" s="107"/>
      <c r="Y203" s="107"/>
      <c r="Z203" s="107"/>
      <c r="AA203" s="293"/>
      <c r="AB203" s="291"/>
      <c r="AC203" s="107"/>
      <c r="AD203" s="107"/>
      <c r="AE203" s="107"/>
      <c r="AF203" s="293"/>
      <c r="AG203" s="291"/>
      <c r="AH203" s="107"/>
      <c r="AI203" s="107"/>
      <c r="AJ203" s="107"/>
      <c r="AK203" s="293"/>
      <c r="AL203" s="291"/>
      <c r="AM203" s="107"/>
      <c r="AN203" s="107"/>
      <c r="AO203" s="107"/>
      <c r="AP203" s="293"/>
      <c r="AQ203" s="291"/>
      <c r="AR203" s="107"/>
      <c r="AS203" s="107"/>
      <c r="AT203" s="107"/>
      <c r="AU203" s="293"/>
      <c r="AV203" s="291"/>
      <c r="AW203" s="107"/>
      <c r="AX203" s="107"/>
      <c r="AY203" s="107"/>
      <c r="AZ203" s="293"/>
      <c r="BA203" s="291"/>
      <c r="BB203" s="107"/>
      <c r="BC203" s="107"/>
      <c r="BD203" s="107"/>
      <c r="BE203" s="293"/>
      <c r="BF203" s="291"/>
      <c r="BG203" s="107"/>
      <c r="BH203" s="107"/>
      <c r="BI203" s="107"/>
      <c r="BJ203" s="293"/>
      <c r="BK203" s="291"/>
      <c r="BL203" s="107"/>
      <c r="BM203" s="107"/>
      <c r="BN203" s="107"/>
      <c r="BO203" s="293"/>
      <c r="BP203" s="291"/>
      <c r="BQ203" s="107"/>
      <c r="BR203" s="107"/>
      <c r="BS203" s="107"/>
      <c r="BT203" s="293"/>
      <c r="BU203" s="291"/>
      <c r="BV203" s="107"/>
      <c r="BW203" s="107"/>
      <c r="BX203" s="107"/>
      <c r="BY203" s="293"/>
      <c r="BZ203" s="291"/>
      <c r="CA203" s="107"/>
      <c r="CB203" s="107"/>
      <c r="CC203" s="107"/>
      <c r="CD203" s="293"/>
      <c r="CE203" s="291"/>
      <c r="CF203" s="107"/>
      <c r="CG203" s="107"/>
      <c r="CH203" s="107"/>
      <c r="CI203" s="293"/>
      <c r="CJ203" s="291"/>
      <c r="CK203" s="107"/>
      <c r="CL203" s="107"/>
      <c r="CM203" s="107"/>
      <c r="CN203" s="293"/>
      <c r="CO203" s="291"/>
      <c r="CP203" s="107"/>
      <c r="CQ203" s="107"/>
      <c r="CR203" s="107"/>
      <c r="CS203" s="293"/>
      <c r="CT203" s="291"/>
      <c r="CU203" s="107"/>
      <c r="CV203" s="107"/>
      <c r="CW203" s="107"/>
      <c r="CX203" s="293"/>
      <c r="CY203" s="291"/>
      <c r="CZ203" s="107"/>
      <c r="DA203" s="107"/>
      <c r="DB203" s="107"/>
      <c r="DC203" s="293"/>
      <c r="DD203" s="291"/>
      <c r="DE203" s="107"/>
      <c r="DF203" s="107"/>
      <c r="DG203" s="107"/>
      <c r="DH203" s="293"/>
      <c r="DI203" s="291"/>
      <c r="DJ203" s="107"/>
      <c r="DK203" s="107"/>
      <c r="DL203" s="107"/>
      <c r="DM203" s="293"/>
      <c r="DN203" s="291"/>
      <c r="DO203" s="107"/>
      <c r="DP203" s="107"/>
      <c r="DQ203" s="107"/>
      <c r="DR203" s="293"/>
      <c r="DS203" s="291"/>
      <c r="DT203" s="107"/>
      <c r="DU203" s="107"/>
      <c r="DV203" s="107"/>
      <c r="DW203" s="293"/>
      <c r="DX203" s="291"/>
      <c r="DY203" s="107"/>
      <c r="DZ203" s="107"/>
      <c r="EA203" s="107"/>
      <c r="EB203" s="293"/>
      <c r="EC203" s="291"/>
      <c r="ED203" s="107"/>
      <c r="EE203" s="107"/>
      <c r="EF203" s="107"/>
      <c r="EG203" s="293"/>
      <c r="EH203" s="291"/>
      <c r="EI203" s="107"/>
      <c r="EJ203" s="107"/>
      <c r="EK203" s="107"/>
      <c r="EL203" s="293"/>
      <c r="EM203" s="291"/>
      <c r="EN203" s="107"/>
      <c r="EO203" s="107"/>
      <c r="EP203" s="107"/>
      <c r="EQ203" s="293"/>
      <c r="ER203" s="291"/>
      <c r="ES203" s="107"/>
      <c r="ET203" s="107"/>
      <c r="EU203" s="114"/>
      <c r="EV203" s="293"/>
      <c r="EW203" s="349"/>
      <c r="EX203" s="468"/>
      <c r="EY203" s="107"/>
      <c r="EZ203" s="107"/>
      <c r="FA203" s="293"/>
      <c r="FB203" s="291"/>
      <c r="FC203" s="107"/>
      <c r="FD203" s="107"/>
      <c r="FE203" s="107"/>
      <c r="FF203" s="293"/>
      <c r="FG203" s="291"/>
      <c r="FH203" s="107"/>
      <c r="FI203" s="107"/>
      <c r="FJ203" s="107"/>
      <c r="FK203" s="293"/>
      <c r="FL203" s="291"/>
      <c r="FM203" s="107"/>
      <c r="FN203" s="107"/>
      <c r="FO203" s="107"/>
      <c r="FP203" s="293"/>
      <c r="FQ203" s="291"/>
      <c r="FR203" s="107"/>
      <c r="FS203" s="107"/>
      <c r="FT203" s="107"/>
      <c r="FU203" s="293"/>
      <c r="FV203" s="291"/>
      <c r="FW203" s="107"/>
      <c r="FX203" s="107"/>
      <c r="FY203" s="107"/>
      <c r="FZ203" s="293"/>
      <c r="GA203" s="291"/>
      <c r="GB203" s="107"/>
      <c r="GC203" s="107"/>
      <c r="GD203" s="107"/>
      <c r="GE203" s="293"/>
      <c r="GF203" s="291"/>
      <c r="GG203" s="107"/>
      <c r="GH203" s="107"/>
      <c r="GI203" s="107"/>
      <c r="GJ203" s="382"/>
    </row>
    <row r="204" spans="1:192" s="419" customFormat="1" ht="12.75" hidden="1" customHeight="1" outlineLevel="1">
      <c r="A204" s="798"/>
      <c r="B204" s="749" t="s">
        <v>1953</v>
      </c>
      <c r="C204" s="415"/>
      <c r="D204" s="416"/>
      <c r="E204" s="416"/>
      <c r="F204" s="416"/>
      <c r="G204" s="417"/>
      <c r="H204" s="415"/>
      <c r="I204" s="416"/>
      <c r="J204" s="416"/>
      <c r="K204" s="416"/>
      <c r="L204" s="417"/>
      <c r="M204" s="415"/>
      <c r="N204" s="416"/>
      <c r="O204" s="416"/>
      <c r="P204" s="416"/>
      <c r="Q204" s="417"/>
      <c r="R204" s="415"/>
      <c r="S204" s="416"/>
      <c r="T204" s="416"/>
      <c r="U204" s="416"/>
      <c r="V204" s="417"/>
      <c r="W204" s="415"/>
      <c r="X204" s="416"/>
      <c r="Y204" s="416"/>
      <c r="Z204" s="416"/>
      <c r="AA204" s="417"/>
      <c r="AB204" s="415"/>
      <c r="AC204" s="416"/>
      <c r="AD204" s="416"/>
      <c r="AE204" s="416"/>
      <c r="AF204" s="417"/>
      <c r="AG204" s="415"/>
      <c r="AH204" s="416"/>
      <c r="AI204" s="416"/>
      <c r="AJ204" s="416"/>
      <c r="AK204" s="417"/>
      <c r="AL204" s="415"/>
      <c r="AM204" s="416"/>
      <c r="AN204" s="416"/>
      <c r="AO204" s="416"/>
      <c r="AP204" s="417"/>
      <c r="AQ204" s="415"/>
      <c r="AR204" s="416"/>
      <c r="AS204" s="416"/>
      <c r="AT204" s="416"/>
      <c r="AU204" s="417"/>
      <c r="AV204" s="415"/>
      <c r="AW204" s="416"/>
      <c r="AX204" s="416"/>
      <c r="AY204" s="416"/>
      <c r="AZ204" s="417"/>
      <c r="BA204" s="415"/>
      <c r="BB204" s="416"/>
      <c r="BC204" s="416"/>
      <c r="BD204" s="416"/>
      <c r="BE204" s="417"/>
      <c r="BF204" s="415"/>
      <c r="BG204" s="416"/>
      <c r="BH204" s="416"/>
      <c r="BI204" s="416"/>
      <c r="BJ204" s="417"/>
      <c r="BK204" s="415"/>
      <c r="BL204" s="416"/>
      <c r="BM204" s="416"/>
      <c r="BN204" s="416"/>
      <c r="BO204" s="417"/>
      <c r="BP204" s="415"/>
      <c r="BQ204" s="416"/>
      <c r="BR204" s="416"/>
      <c r="BS204" s="416"/>
      <c r="BT204" s="417"/>
      <c r="BU204" s="415"/>
      <c r="BV204" s="416"/>
      <c r="BW204" s="416"/>
      <c r="BX204" s="416"/>
      <c r="BY204" s="417"/>
      <c r="BZ204" s="415"/>
      <c r="CA204" s="416"/>
      <c r="CB204" s="416"/>
      <c r="CC204" s="416"/>
      <c r="CD204" s="417"/>
      <c r="CE204" s="415"/>
      <c r="CF204" s="416"/>
      <c r="CG204" s="416"/>
      <c r="CH204" s="416"/>
      <c r="CI204" s="417"/>
      <c r="CJ204" s="415"/>
      <c r="CK204" s="416"/>
      <c r="CL204" s="416"/>
      <c r="CM204" s="416"/>
      <c r="CN204" s="417"/>
      <c r="CO204" s="415"/>
      <c r="CP204" s="416"/>
      <c r="CQ204" s="416"/>
      <c r="CR204" s="416"/>
      <c r="CS204" s="417"/>
      <c r="CT204" s="420"/>
      <c r="CU204" s="421"/>
      <c r="CV204" s="421"/>
      <c r="CW204" s="421"/>
      <c r="CX204" s="417"/>
      <c r="CY204" s="420"/>
      <c r="CZ204" s="421"/>
      <c r="DA204" s="421"/>
      <c r="DB204" s="421"/>
      <c r="DC204" s="417"/>
      <c r="DD204" s="420"/>
      <c r="DE204" s="421"/>
      <c r="DF204" s="421"/>
      <c r="DG204" s="421"/>
      <c r="DH204" s="417"/>
      <c r="DI204" s="415"/>
      <c r="DJ204" s="416"/>
      <c r="DK204" s="416"/>
      <c r="DL204" s="421"/>
      <c r="DM204" s="417"/>
      <c r="DN204" s="420"/>
      <c r="DO204" s="421"/>
      <c r="DP204" s="421"/>
      <c r="DQ204" s="421"/>
      <c r="DR204" s="417"/>
      <c r="DS204" s="420"/>
      <c r="DT204" s="421"/>
      <c r="DU204" s="421"/>
      <c r="DV204" s="421"/>
      <c r="DW204" s="417"/>
      <c r="DX204" s="420"/>
      <c r="DY204" s="421"/>
      <c r="DZ204" s="421"/>
      <c r="EA204" s="421"/>
      <c r="EB204" s="417"/>
      <c r="EC204" s="420"/>
      <c r="ED204" s="421"/>
      <c r="EE204" s="421"/>
      <c r="EF204" s="421"/>
      <c r="EG204" s="417"/>
      <c r="EH204" s="420"/>
      <c r="EI204" s="421"/>
      <c r="EJ204" s="421"/>
      <c r="EK204" s="421"/>
      <c r="EL204" s="417"/>
      <c r="EM204" s="420">
        <f>ER204/(1+ER205)</f>
      </c>
      <c r="EN204" s="421"/>
      <c r="EO204" s="421"/>
      <c r="EP204" s="421"/>
      <c r="EQ204" s="417"/>
      <c r="ER204" s="420">
        <v>20</v>
      </c>
      <c r="ES204" s="421"/>
      <c r="ET204" s="510">
        <f>EU204/(1+EU206)</f>
      </c>
      <c r="EU204" s="1351">
        <v>48</v>
      </c>
      <c r="EV204" s="417"/>
      <c r="EW204" s="442"/>
      <c r="EX204" s="510"/>
      <c r="EY204" s="416"/>
      <c r="EZ204" s="416"/>
      <c r="FA204" s="417"/>
      <c r="FB204" s="415"/>
      <c r="FC204" s="416"/>
      <c r="FD204" s="416"/>
      <c r="FE204" s="416"/>
      <c r="FF204" s="417"/>
      <c r="FG204" s="415"/>
      <c r="FH204" s="416"/>
      <c r="FI204" s="416"/>
      <c r="FJ204" s="416"/>
      <c r="FK204" s="417"/>
      <c r="FL204" s="415"/>
      <c r="FM204" s="416"/>
      <c r="FN204" s="416"/>
      <c r="FO204" s="416"/>
      <c r="FP204" s="417"/>
      <c r="FQ204" s="415"/>
      <c r="FR204" s="416"/>
      <c r="FS204" s="416"/>
      <c r="FT204" s="416"/>
      <c r="FU204" s="417"/>
      <c r="FV204" s="415"/>
      <c r="FW204" s="416"/>
      <c r="FX204" s="416"/>
      <c r="FY204" s="416"/>
      <c r="FZ204" s="417"/>
      <c r="GA204" s="415"/>
      <c r="GB204" s="416"/>
      <c r="GC204" s="416"/>
      <c r="GD204" s="416"/>
      <c r="GE204" s="417"/>
      <c r="GF204" s="415"/>
      <c r="GG204" s="416"/>
      <c r="GH204" s="416"/>
      <c r="GI204" s="416"/>
      <c r="GJ204" s="418"/>
    </row>
    <row r="205" spans="1:192" ht="12.75" hidden="1" customHeight="1" outlineLevel="1">
      <c r="B205" s="735" t="s">
        <v>34</v>
      </c>
      <c r="C205" s="291"/>
      <c r="D205" s="107"/>
      <c r="E205" s="107"/>
      <c r="F205" s="107"/>
      <c r="G205" s="293"/>
      <c r="H205" s="291"/>
      <c r="I205" s="107"/>
      <c r="J205" s="107"/>
      <c r="K205" s="107"/>
      <c r="L205" s="293"/>
      <c r="M205" s="291"/>
      <c r="N205" s="107"/>
      <c r="O205" s="107"/>
      <c r="P205" s="107"/>
      <c r="Q205" s="293"/>
      <c r="R205" s="291"/>
      <c r="S205" s="107"/>
      <c r="T205" s="107"/>
      <c r="U205" s="107"/>
      <c r="V205" s="293"/>
      <c r="W205" s="291"/>
      <c r="X205" s="107"/>
      <c r="Y205" s="107"/>
      <c r="Z205" s="107"/>
      <c r="AA205" s="293"/>
      <c r="AB205" s="291"/>
      <c r="AC205" s="107"/>
      <c r="AD205" s="107"/>
      <c r="AE205" s="107"/>
      <c r="AF205" s="293"/>
      <c r="AG205" s="291"/>
      <c r="AH205" s="107"/>
      <c r="AI205" s="107"/>
      <c r="AJ205" s="107"/>
      <c r="AK205" s="293"/>
      <c r="AL205" s="291"/>
      <c r="AM205" s="107"/>
      <c r="AN205" s="107"/>
      <c r="AO205" s="107"/>
      <c r="AP205" s="293"/>
      <c r="AQ205" s="291"/>
      <c r="AR205" s="107"/>
      <c r="AS205" s="107"/>
      <c r="AT205" s="107"/>
      <c r="AU205" s="293"/>
      <c r="AV205" s="291"/>
      <c r="AW205" s="107"/>
      <c r="AX205" s="107"/>
      <c r="AY205" s="107"/>
      <c r="AZ205" s="293"/>
      <c r="BA205" s="291"/>
      <c r="BB205" s="107"/>
      <c r="BC205" s="107"/>
      <c r="BD205" s="107"/>
      <c r="BE205" s="293"/>
      <c r="BF205" s="291"/>
      <c r="BG205" s="107"/>
      <c r="BH205" s="107"/>
      <c r="BI205" s="107"/>
      <c r="BJ205" s="293"/>
      <c r="BK205" s="291"/>
      <c r="BL205" s="107"/>
      <c r="BM205" s="107"/>
      <c r="BN205" s="107"/>
      <c r="BO205" s="293"/>
      <c r="BP205" s="291"/>
      <c r="BQ205" s="107"/>
      <c r="BR205" s="107"/>
      <c r="BS205" s="107"/>
      <c r="BT205" s="293"/>
      <c r="BU205" s="291"/>
      <c r="BV205" s="107"/>
      <c r="BW205" s="107"/>
      <c r="BX205" s="107"/>
      <c r="BY205" s="293"/>
      <c r="BZ205" s="291"/>
      <c r="CA205" s="107"/>
      <c r="CB205" s="107"/>
      <c r="CC205" s="107"/>
      <c r="CD205" s="293"/>
      <c r="CE205" s="291"/>
      <c r="CF205" s="107"/>
      <c r="CG205" s="107"/>
      <c r="CH205" s="107"/>
      <c r="CI205" s="293"/>
      <c r="CJ205" s="291"/>
      <c r="CK205" s="107"/>
      <c r="CL205" s="107"/>
      <c r="CM205" s="107"/>
      <c r="CN205" s="293"/>
      <c r="CO205" s="291"/>
      <c r="CP205" s="107"/>
      <c r="CQ205" s="107"/>
      <c r="CR205" s="107"/>
      <c r="CS205" s="293"/>
      <c r="CT205" s="412"/>
      <c r="CU205" s="114"/>
      <c r="CV205" s="114"/>
      <c r="CW205" s="114"/>
      <c r="CX205" s="293"/>
      <c r="CY205" s="412"/>
      <c r="CZ205" s="114"/>
      <c r="DA205" s="114"/>
      <c r="DB205" s="114"/>
      <c r="DC205" s="293"/>
      <c r="DD205" s="412"/>
      <c r="DE205" s="114"/>
      <c r="DF205" s="114"/>
      <c r="DG205" s="114"/>
      <c r="DH205" s="293"/>
      <c r="DI205" s="412"/>
      <c r="DJ205" s="114"/>
      <c r="DK205" s="114"/>
      <c r="DL205" s="114"/>
      <c r="DM205" s="293"/>
      <c r="DN205" s="412"/>
      <c r="DO205" s="114"/>
      <c r="DP205" s="114"/>
      <c r="DQ205" s="114"/>
      <c r="DR205" s="293"/>
      <c r="DS205" s="412"/>
      <c r="DT205" s="114"/>
      <c r="DU205" s="114"/>
      <c r="DV205" s="114"/>
      <c r="DW205" s="293"/>
      <c r="DX205" s="412"/>
      <c r="DY205" s="114"/>
      <c r="DZ205" s="114"/>
      <c r="EA205" s="114"/>
      <c r="EB205" s="293"/>
      <c r="EC205" s="412"/>
      <c r="ED205" s="114"/>
      <c r="EE205" s="114"/>
      <c r="EF205" s="114"/>
      <c r="EG205" s="293"/>
      <c r="EH205" s="412"/>
      <c r="EI205" s="114"/>
      <c r="EJ205" s="114"/>
      <c r="EK205" s="114"/>
      <c r="EL205" s="293"/>
      <c r="EM205" s="412"/>
      <c r="EN205" s="114"/>
      <c r="EO205" s="114"/>
      <c r="EP205" s="114"/>
      <c r="EQ205" s="293"/>
      <c r="ER205" s="412">
        <v>0.4</v>
      </c>
      <c r="ES205" s="114"/>
      <c r="ET205" s="439"/>
      <c r="EU205" s="439"/>
      <c r="EV205" s="293"/>
      <c r="EW205" s="349"/>
      <c r="EX205" s="468"/>
      <c r="EY205" s="107"/>
      <c r="EZ205" s="107"/>
      <c r="FA205" s="293"/>
      <c r="FB205" s="291"/>
      <c r="FC205" s="107"/>
      <c r="FD205" s="107"/>
      <c r="FE205" s="107"/>
      <c r="FF205" s="293"/>
      <c r="FG205" s="291"/>
      <c r="FH205" s="107"/>
      <c r="FI205" s="107"/>
      <c r="FJ205" s="107"/>
      <c r="FK205" s="293"/>
      <c r="FL205" s="291"/>
      <c r="FM205" s="107"/>
      <c r="FN205" s="107"/>
      <c r="FO205" s="107"/>
      <c r="FP205" s="293"/>
      <c r="FQ205" s="291"/>
      <c r="FR205" s="107"/>
      <c r="FS205" s="107"/>
      <c r="FT205" s="107"/>
      <c r="FU205" s="293"/>
      <c r="FV205" s="291"/>
      <c r="FW205" s="107"/>
      <c r="FX205" s="107"/>
      <c r="FY205" s="107"/>
      <c r="FZ205" s="293"/>
      <c r="GA205" s="291"/>
      <c r="GB205" s="107"/>
      <c r="GC205" s="107"/>
      <c r="GD205" s="107"/>
      <c r="GE205" s="293"/>
      <c r="GF205" s="291"/>
      <c r="GG205" s="107"/>
      <c r="GH205" s="107"/>
      <c r="GI205" s="107"/>
      <c r="GJ205" s="382"/>
    </row>
    <row r="206" spans="1:192" ht="12.75" hidden="1" customHeight="1" outlineLevel="1">
      <c r="B206" s="735" t="s">
        <v>36</v>
      </c>
      <c r="C206" s="291"/>
      <c r="D206" s="107"/>
      <c r="E206" s="107"/>
      <c r="F206" s="107"/>
      <c r="G206" s="293"/>
      <c r="H206" s="291"/>
      <c r="I206" s="107"/>
      <c r="J206" s="107"/>
      <c r="K206" s="107"/>
      <c r="L206" s="293"/>
      <c r="M206" s="291"/>
      <c r="N206" s="107"/>
      <c r="O206" s="107"/>
      <c r="P206" s="107"/>
      <c r="Q206" s="293"/>
      <c r="R206" s="291"/>
      <c r="S206" s="107"/>
      <c r="T206" s="107"/>
      <c r="U206" s="107"/>
      <c r="V206" s="293"/>
      <c r="W206" s="291"/>
      <c r="X206" s="107"/>
      <c r="Y206" s="107"/>
      <c r="Z206" s="107"/>
      <c r="AA206" s="293"/>
      <c r="AB206" s="291"/>
      <c r="AC206" s="107"/>
      <c r="AD206" s="107"/>
      <c r="AE206" s="107"/>
      <c r="AF206" s="293"/>
      <c r="AG206" s="291"/>
      <c r="AH206" s="107"/>
      <c r="AI206" s="107"/>
      <c r="AJ206" s="107"/>
      <c r="AK206" s="293"/>
      <c r="AL206" s="291"/>
      <c r="AM206" s="107"/>
      <c r="AN206" s="107"/>
      <c r="AO206" s="107"/>
      <c r="AP206" s="293"/>
      <c r="AQ206" s="291"/>
      <c r="AR206" s="107"/>
      <c r="AS206" s="107"/>
      <c r="AT206" s="107"/>
      <c r="AU206" s="293"/>
      <c r="AV206" s="291"/>
      <c r="AW206" s="107"/>
      <c r="AX206" s="107"/>
      <c r="AY206" s="107"/>
      <c r="AZ206" s="293"/>
      <c r="BA206" s="291"/>
      <c r="BB206" s="107"/>
      <c r="BC206" s="107"/>
      <c r="BD206" s="107"/>
      <c r="BE206" s="293"/>
      <c r="BF206" s="291"/>
      <c r="BG206" s="107"/>
      <c r="BH206" s="107"/>
      <c r="BI206" s="107"/>
      <c r="BJ206" s="293"/>
      <c r="BK206" s="291"/>
      <c r="BL206" s="107"/>
      <c r="BM206" s="107"/>
      <c r="BN206" s="107"/>
      <c r="BO206" s="293"/>
      <c r="BP206" s="291"/>
      <c r="BQ206" s="107"/>
      <c r="BR206" s="107"/>
      <c r="BS206" s="107"/>
      <c r="BT206" s="293"/>
      <c r="BU206" s="291"/>
      <c r="BV206" s="107"/>
      <c r="BW206" s="107"/>
      <c r="BX206" s="107"/>
      <c r="BY206" s="293"/>
      <c r="BZ206" s="291"/>
      <c r="CA206" s="107"/>
      <c r="CB206" s="107"/>
      <c r="CC206" s="107"/>
      <c r="CD206" s="293"/>
      <c r="CE206" s="291"/>
      <c r="CF206" s="107"/>
      <c r="CG206" s="107"/>
      <c r="CH206" s="107"/>
      <c r="CI206" s="293"/>
      <c r="CJ206" s="291"/>
      <c r="CK206" s="107"/>
      <c r="CL206" s="107"/>
      <c r="CM206" s="107"/>
      <c r="CN206" s="293"/>
      <c r="CO206" s="291"/>
      <c r="CP206" s="107"/>
      <c r="CQ206" s="107"/>
      <c r="CR206" s="107"/>
      <c r="CS206" s="293"/>
      <c r="CT206" s="291"/>
      <c r="CU206" s="107"/>
      <c r="CV206" s="107"/>
      <c r="CW206" s="107"/>
      <c r="CX206" s="293"/>
      <c r="CY206" s="291"/>
      <c r="CZ206" s="107"/>
      <c r="DA206" s="107"/>
      <c r="DB206" s="107"/>
      <c r="DC206" s="293"/>
      <c r="DD206" s="291"/>
      <c r="DE206" s="107"/>
      <c r="DF206" s="107"/>
      <c r="DG206" s="107"/>
      <c r="DH206" s="293"/>
      <c r="DI206" s="291"/>
      <c r="DJ206" s="107"/>
      <c r="DK206" s="107"/>
      <c r="DL206" s="107"/>
      <c r="DM206" s="293"/>
      <c r="DN206" s="291"/>
      <c r="DO206" s="107"/>
      <c r="DP206" s="107"/>
      <c r="DQ206" s="107"/>
      <c r="DR206" s="293"/>
      <c r="DS206" s="291"/>
      <c r="DT206" s="107"/>
      <c r="DU206" s="107"/>
      <c r="DV206" s="107"/>
      <c r="DW206" s="293"/>
      <c r="DX206" s="291"/>
      <c r="DY206" s="107"/>
      <c r="DZ206" s="107"/>
      <c r="EA206" s="107"/>
      <c r="EB206" s="293"/>
      <c r="EC206" s="291"/>
      <c r="ED206" s="107"/>
      <c r="EE206" s="107"/>
      <c r="EF206" s="107"/>
      <c r="EG206" s="293"/>
      <c r="EH206" s="291"/>
      <c r="EI206" s="107"/>
      <c r="EJ206" s="107"/>
      <c r="EK206" s="107"/>
      <c r="EL206" s="293"/>
      <c r="EM206" s="291"/>
      <c r="EN206" s="107"/>
      <c r="EO206" s="107"/>
      <c r="EP206" s="107"/>
      <c r="EQ206" s="293"/>
      <c r="ER206" s="291"/>
      <c r="ES206" s="107"/>
      <c r="ET206" s="107"/>
      <c r="EU206" s="114">
        <v>0.4</v>
      </c>
      <c r="EV206" s="293"/>
      <c r="EW206" s="441"/>
      <c r="EX206" s="468"/>
      <c r="EY206" s="107"/>
      <c r="EZ206" s="107"/>
      <c r="FA206" s="293"/>
      <c r="FB206" s="291"/>
      <c r="FC206" s="107"/>
      <c r="FD206" s="107"/>
      <c r="FE206" s="107"/>
      <c r="FF206" s="293"/>
      <c r="FG206" s="291"/>
      <c r="FH206" s="107"/>
      <c r="FI206" s="107"/>
      <c r="FJ206" s="107"/>
      <c r="FK206" s="293"/>
      <c r="FL206" s="291"/>
      <c r="FM206" s="107"/>
      <c r="FN206" s="107"/>
      <c r="FO206" s="107"/>
      <c r="FP206" s="293"/>
      <c r="FQ206" s="291"/>
      <c r="FR206" s="107"/>
      <c r="FS206" s="107"/>
      <c r="FT206" s="107"/>
      <c r="FU206" s="293"/>
      <c r="FV206" s="291"/>
      <c r="FW206" s="107"/>
      <c r="FX206" s="107"/>
      <c r="FY206" s="107"/>
      <c r="FZ206" s="293"/>
      <c r="GA206" s="291"/>
      <c r="GB206" s="107"/>
      <c r="GC206" s="107"/>
      <c r="GD206" s="107"/>
      <c r="GE206" s="293"/>
      <c r="GF206" s="291"/>
      <c r="GG206" s="107"/>
      <c r="GH206" s="107"/>
      <c r="GI206" s="107"/>
      <c r="GJ206" s="382"/>
    </row>
    <row r="207" spans="1:192" ht="12.75" customHeight="1" collapsed="1">
      <c r="B207" s="735"/>
      <c r="C207" s="291"/>
      <c r="D207" s="107"/>
      <c r="E207" s="107"/>
      <c r="F207" s="107"/>
      <c r="G207" s="292"/>
      <c r="H207" s="291"/>
      <c r="I207" s="107"/>
      <c r="J207" s="107"/>
      <c r="K207" s="107"/>
      <c r="L207" s="292"/>
      <c r="M207" s="291"/>
      <c r="N207" s="107"/>
      <c r="O207" s="107"/>
      <c r="P207" s="107"/>
      <c r="Q207" s="292"/>
      <c r="R207" s="291"/>
      <c r="S207" s="107"/>
      <c r="T207" s="107"/>
      <c r="U207" s="107"/>
      <c r="V207" s="292"/>
      <c r="W207" s="291"/>
      <c r="X207" s="107"/>
      <c r="Y207" s="107"/>
      <c r="Z207" s="107"/>
      <c r="AA207" s="292"/>
      <c r="AB207" s="291"/>
      <c r="AC207" s="107"/>
      <c r="AD207" s="107"/>
      <c r="AE207" s="107"/>
      <c r="AF207" s="292"/>
      <c r="AG207" s="291"/>
      <c r="AH207" s="107"/>
      <c r="AI207" s="107"/>
      <c r="AJ207" s="107"/>
      <c r="AK207" s="292"/>
      <c r="AL207" s="291"/>
      <c r="AM207" s="107"/>
      <c r="AN207" s="107"/>
      <c r="AO207" s="107"/>
      <c r="AP207" s="292"/>
      <c r="AQ207" s="291"/>
      <c r="AR207" s="107"/>
      <c r="AS207" s="107"/>
      <c r="AT207" s="107"/>
      <c r="AU207" s="292"/>
      <c r="AV207" s="291"/>
      <c r="AW207" s="107"/>
      <c r="AX207" s="107"/>
      <c r="AY207" s="107"/>
      <c r="AZ207" s="292"/>
      <c r="BA207" s="291"/>
      <c r="BB207" s="107"/>
      <c r="BC207" s="107"/>
      <c r="BD207" s="107"/>
      <c r="BE207" s="292"/>
      <c r="BF207" s="291"/>
      <c r="BG207" s="107"/>
      <c r="BH207" s="107"/>
      <c r="BI207" s="107"/>
      <c r="BJ207" s="292"/>
      <c r="BK207" s="291"/>
      <c r="BL207" s="107"/>
      <c r="BM207" s="107"/>
      <c r="BN207" s="107"/>
      <c r="BO207" s="292"/>
      <c r="BP207" s="291"/>
      <c r="BQ207" s="107"/>
      <c r="BR207" s="107"/>
      <c r="BS207" s="107"/>
      <c r="BT207" s="292"/>
      <c r="BU207" s="291"/>
      <c r="BV207" s="107"/>
      <c r="BW207" s="107"/>
      <c r="BX207" s="107"/>
      <c r="BY207" s="292"/>
      <c r="BZ207" s="291"/>
      <c r="CA207" s="107"/>
      <c r="CB207" s="107"/>
      <c r="CC207" s="107"/>
      <c r="CD207" s="292"/>
      <c r="CE207" s="291"/>
      <c r="CF207" s="107"/>
      <c r="CG207" s="107"/>
      <c r="CH207" s="107"/>
      <c r="CI207" s="292"/>
      <c r="CJ207" s="291"/>
      <c r="CK207" s="107"/>
      <c r="CL207" s="107"/>
      <c r="CM207" s="107"/>
      <c r="CN207" s="292"/>
      <c r="CO207" s="291"/>
      <c r="CP207" s="107"/>
      <c r="CQ207" s="107"/>
      <c r="CR207" s="107"/>
      <c r="CS207" s="292"/>
      <c r="CT207" s="291"/>
      <c r="CU207" s="107"/>
      <c r="CV207" s="107"/>
      <c r="CW207" s="107"/>
      <c r="CX207" s="292"/>
      <c r="CY207" s="291"/>
      <c r="CZ207" s="107"/>
      <c r="DA207" s="107"/>
      <c r="DB207" s="107"/>
      <c r="DC207" s="292"/>
      <c r="DD207" s="291"/>
      <c r="DE207" s="107"/>
      <c r="DF207" s="107"/>
      <c r="DG207" s="107"/>
      <c r="DH207" s="292"/>
      <c r="DI207" s="291"/>
      <c r="DJ207" s="107"/>
      <c r="DK207" s="107"/>
      <c r="DL207" s="107"/>
      <c r="DM207" s="292"/>
      <c r="DN207" s="291"/>
      <c r="DO207" s="107"/>
      <c r="DP207" s="107"/>
      <c r="DQ207" s="107"/>
      <c r="DR207" s="292"/>
      <c r="DS207" s="291"/>
      <c r="DT207" s="107"/>
      <c r="DU207" s="107"/>
      <c r="DV207" s="107"/>
      <c r="DW207" s="292"/>
      <c r="DX207" s="291"/>
      <c r="DY207" s="107"/>
      <c r="DZ207" s="107"/>
      <c r="EA207" s="107"/>
      <c r="EB207" s="292"/>
      <c r="EC207" s="291"/>
      <c r="ED207" s="107"/>
      <c r="EE207" s="107"/>
      <c r="EF207" s="107"/>
      <c r="EG207" s="292"/>
      <c r="EH207" s="291"/>
      <c r="EI207" s="107"/>
      <c r="EJ207" s="107"/>
      <c r="EK207" s="107"/>
      <c r="EL207" s="292"/>
      <c r="EM207" s="291"/>
      <c r="EN207" s="107"/>
      <c r="EO207" s="107"/>
      <c r="EP207" s="107"/>
      <c r="EQ207" s="292"/>
      <c r="ER207" s="291"/>
      <c r="ES207" s="107"/>
      <c r="ET207" s="107"/>
      <c r="EU207" s="107"/>
      <c r="EV207" s="292"/>
      <c r="EW207" s="349"/>
      <c r="EX207" s="468"/>
      <c r="EY207" s="107"/>
      <c r="EZ207" s="107"/>
      <c r="FA207" s="292"/>
      <c r="FB207" s="291"/>
      <c r="FC207" s="107"/>
      <c r="FD207" s="107"/>
      <c r="FE207" s="107"/>
      <c r="FF207" s="292"/>
      <c r="FG207" s="291"/>
      <c r="FH207" s="107"/>
      <c r="FI207" s="107"/>
      <c r="FJ207" s="107"/>
      <c r="FK207" s="292"/>
      <c r="FL207" s="291"/>
      <c r="FM207" s="107"/>
      <c r="FN207" s="107"/>
      <c r="FO207" s="107"/>
      <c r="FP207" s="292"/>
      <c r="FQ207" s="291"/>
      <c r="FR207" s="107"/>
      <c r="FS207" s="107"/>
      <c r="FT207" s="107"/>
      <c r="FU207" s="292"/>
      <c r="FV207" s="291"/>
      <c r="FW207" s="107"/>
      <c r="FX207" s="107"/>
      <c r="FY207" s="107"/>
      <c r="FZ207" s="292"/>
      <c r="GA207" s="291"/>
      <c r="GB207" s="107"/>
      <c r="GC207" s="107"/>
      <c r="GD207" s="107"/>
      <c r="GE207" s="292"/>
      <c r="GF207" s="291"/>
      <c r="GG207" s="107"/>
      <c r="GH207" s="107"/>
      <c r="GI207" s="107"/>
      <c r="GJ207" s="384"/>
    </row>
    <row r="208" spans="1:192" ht="12.75" customHeight="1">
      <c r="B208" s="740" t="s">
        <v>206</v>
      </c>
      <c r="C208" s="298"/>
      <c r="D208" s="295"/>
      <c r="E208" s="295"/>
      <c r="F208" s="295"/>
      <c r="G208" s="296"/>
      <c r="H208" s="298"/>
      <c r="I208" s="295"/>
      <c r="J208" s="295"/>
      <c r="K208" s="295"/>
      <c r="L208" s="296"/>
      <c r="M208" s="298"/>
      <c r="N208" s="295"/>
      <c r="O208" s="295"/>
      <c r="P208" s="295"/>
      <c r="Q208" s="296"/>
      <c r="R208" s="298"/>
      <c r="S208" s="295"/>
      <c r="T208" s="295"/>
      <c r="U208" s="295"/>
      <c r="V208" s="296"/>
      <c r="W208" s="298"/>
      <c r="X208" s="295"/>
      <c r="Y208" s="295"/>
      <c r="Z208" s="295"/>
      <c r="AA208" s="296"/>
      <c r="AB208" s="298"/>
      <c r="AC208" s="295"/>
      <c r="AD208" s="295"/>
      <c r="AE208" s="295"/>
      <c r="AF208" s="296"/>
      <c r="AG208" s="298"/>
      <c r="AH208" s="295"/>
      <c r="AI208" s="295"/>
      <c r="AJ208" s="295"/>
      <c r="AK208" s="296"/>
      <c r="AL208" s="298"/>
      <c r="AM208" s="295"/>
      <c r="AN208" s="295"/>
      <c r="AO208" s="295"/>
      <c r="AP208" s="296"/>
      <c r="AQ208" s="298"/>
      <c r="AR208" s="295"/>
      <c r="AS208" s="295"/>
      <c r="AT208" s="295"/>
      <c r="AU208" s="296"/>
      <c r="AV208" s="298"/>
      <c r="AW208" s="295"/>
      <c r="AX208" s="295"/>
      <c r="AY208" s="295"/>
      <c r="AZ208" s="296"/>
      <c r="BA208" s="298"/>
      <c r="BB208" s="295"/>
      <c r="BC208" s="295"/>
      <c r="BD208" s="295"/>
      <c r="BE208" s="296"/>
      <c r="BF208" s="298"/>
      <c r="BG208" s="295"/>
      <c r="BH208" s="295"/>
      <c r="BI208" s="295"/>
      <c r="BJ208" s="296"/>
      <c r="BK208" s="298"/>
      <c r="BL208" s="295"/>
      <c r="BM208" s="295"/>
      <c r="BN208" s="295"/>
      <c r="BO208" s="296"/>
      <c r="BP208" s="298"/>
      <c r="BQ208" s="295"/>
      <c r="BR208" s="295"/>
      <c r="BS208" s="295"/>
      <c r="BT208" s="296"/>
      <c r="BU208" s="298"/>
      <c r="BV208" s="295"/>
      <c r="BW208" s="295"/>
      <c r="BX208" s="295"/>
      <c r="BY208" s="296"/>
      <c r="BZ208" s="298"/>
      <c r="CA208" s="295"/>
      <c r="CB208" s="295"/>
      <c r="CC208" s="295"/>
      <c r="CD208" s="296"/>
      <c r="CE208" s="298"/>
      <c r="CF208" s="295"/>
      <c r="CG208" s="295"/>
      <c r="CH208" s="295"/>
      <c r="CI208" s="296"/>
      <c r="CJ208" s="298"/>
      <c r="CK208" s="295"/>
      <c r="CL208" s="295"/>
      <c r="CM208" s="295"/>
      <c r="CN208" s="296"/>
      <c r="CO208" s="298"/>
      <c r="CP208" s="295"/>
      <c r="CQ208" s="295"/>
      <c r="CR208" s="295"/>
      <c r="CS208" s="296"/>
      <c r="CT208" s="298"/>
      <c r="CU208" s="295"/>
      <c r="CV208" s="295"/>
      <c r="CW208" s="295"/>
      <c r="CX208" s="296"/>
      <c r="CY208" s="298"/>
      <c r="CZ208" s="295"/>
      <c r="DA208" s="295"/>
      <c r="DB208" s="295"/>
      <c r="DC208" s="296"/>
      <c r="DD208" s="298"/>
      <c r="DE208" s="295"/>
      <c r="DF208" s="295"/>
      <c r="DG208" s="295"/>
      <c r="DH208" s="296"/>
      <c r="DI208" s="298"/>
      <c r="DJ208" s="295"/>
      <c r="DK208" s="295"/>
      <c r="DL208" s="295"/>
      <c r="DM208" s="296"/>
      <c r="DN208" s="298"/>
      <c r="DO208" s="295"/>
      <c r="DP208" s="295"/>
      <c r="DQ208" s="295"/>
      <c r="DR208" s="296"/>
      <c r="DS208" s="298"/>
      <c r="DT208" s="295"/>
      <c r="DU208" s="295"/>
      <c r="DV208" s="295"/>
      <c r="DW208" s="296"/>
      <c r="DX208" s="298"/>
      <c r="DY208" s="295"/>
      <c r="DZ208" s="295"/>
      <c r="EA208" s="295"/>
      <c r="EB208" s="296"/>
      <c r="EC208" s="974"/>
      <c r="ED208" s="295"/>
      <c r="EE208" s="295"/>
      <c r="EF208" s="295"/>
      <c r="EG208" s="296"/>
      <c r="EH208" s="298"/>
      <c r="EI208" s="295"/>
      <c r="EJ208" s="295"/>
      <c r="EK208" s="295"/>
      <c r="EL208" s="296"/>
      <c r="EM208" s="298"/>
      <c r="EN208" s="295"/>
      <c r="EO208" s="295"/>
      <c r="EP208" s="295"/>
      <c r="EQ208" s="296"/>
      <c r="ER208" s="298"/>
      <c r="ES208" s="503"/>
      <c r="ET208" s="503"/>
      <c r="EU208" s="295"/>
      <c r="EV208" s="296"/>
      <c r="EW208" s="1591"/>
      <c r="EX208" s="469"/>
      <c r="EY208" s="295"/>
      <c r="EZ208" s="295"/>
      <c r="FA208" s="296"/>
      <c r="FB208" s="298"/>
      <c r="FC208" s="295"/>
      <c r="FD208" s="295"/>
      <c r="FE208" s="295"/>
      <c r="FF208" s="296"/>
      <c r="FG208" s="298"/>
      <c r="FH208" s="295"/>
      <c r="FI208" s="295"/>
      <c r="FJ208" s="295"/>
      <c r="FK208" s="296"/>
      <c r="FL208" s="298"/>
      <c r="FM208" s="295"/>
      <c r="FN208" s="295"/>
      <c r="FO208" s="295"/>
      <c r="FP208" s="296"/>
      <c r="FQ208" s="298"/>
      <c r="FR208" s="295"/>
      <c r="FS208" s="295"/>
      <c r="FT208" s="295"/>
      <c r="FU208" s="296"/>
      <c r="FV208" s="298"/>
      <c r="FW208" s="295"/>
      <c r="FX208" s="295"/>
      <c r="FY208" s="295"/>
      <c r="FZ208" s="296"/>
      <c r="GA208" s="298"/>
      <c r="GB208" s="295"/>
      <c r="GC208" s="295"/>
      <c r="GD208" s="295"/>
      <c r="GE208" s="296"/>
      <c r="GF208" s="298"/>
      <c r="GG208" s="295"/>
      <c r="GH208" s="295"/>
      <c r="GI208" s="295"/>
      <c r="GJ208" s="383"/>
    </row>
    <row r="209" spans="1:192" s="406" customFormat="1" ht="12.75" customHeight="1">
      <c r="A209" s="797"/>
      <c r="B209" s="748" t="s">
        <v>206</v>
      </c>
      <c r="C209" s="403"/>
      <c r="D209" s="404"/>
      <c r="E209" s="404"/>
      <c r="F209" s="404"/>
      <c r="G209" s="405"/>
      <c r="H209" s="403"/>
      <c r="I209" s="404"/>
      <c r="J209" s="404"/>
      <c r="K209" s="404"/>
      <c r="L209" s="405"/>
      <c r="M209" s="403"/>
      <c r="N209" s="404"/>
      <c r="O209" s="404"/>
      <c r="P209" s="404"/>
      <c r="Q209" s="405"/>
      <c r="R209" s="403"/>
      <c r="S209" s="404"/>
      <c r="T209" s="404"/>
      <c r="U209" s="404"/>
      <c r="V209" s="405"/>
      <c r="W209" s="403"/>
      <c r="X209" s="404"/>
      <c r="Y209" s="404"/>
      <c r="Z209" s="404"/>
      <c r="AA209" s="405"/>
      <c r="AB209" s="403"/>
      <c r="AC209" s="404"/>
      <c r="AD209" s="404"/>
      <c r="AE209" s="404"/>
      <c r="AF209" s="405"/>
      <c r="AG209" s="403"/>
      <c r="AH209" s="404"/>
      <c r="AI209" s="404"/>
      <c r="AJ209" s="404"/>
      <c r="AK209" s="405"/>
      <c r="AL209" s="403"/>
      <c r="AM209" s="404"/>
      <c r="AN209" s="404"/>
      <c r="AO209" s="404"/>
      <c r="AP209" s="405"/>
      <c r="AQ209" s="403"/>
      <c r="AR209" s="404"/>
      <c r="AS209" s="404"/>
      <c r="AT209" s="404"/>
      <c r="AU209" s="405"/>
      <c r="AV209" s="403"/>
      <c r="AW209" s="404"/>
      <c r="AX209" s="404"/>
      <c r="AY209" s="404"/>
      <c r="AZ209" s="405"/>
      <c r="BA209" s="403"/>
      <c r="BB209" s="404"/>
      <c r="BC209" s="404"/>
      <c r="BD209" s="404"/>
      <c r="BE209" s="405"/>
      <c r="BF209" s="403"/>
      <c r="BG209" s="404"/>
      <c r="BH209" s="404"/>
      <c r="BI209" s="404"/>
      <c r="BJ209" s="405"/>
      <c r="BK209" s="403"/>
      <c r="BL209" s="404"/>
      <c r="BM209" s="404"/>
      <c r="BN209" s="404"/>
      <c r="BO209" s="405"/>
      <c r="BP209" s="403"/>
      <c r="BQ209" s="404"/>
      <c r="BR209" s="404"/>
      <c r="BS209" s="404"/>
      <c r="BT209" s="405"/>
      <c r="BU209" s="403"/>
      <c r="BV209" s="404"/>
      <c r="BW209" s="404"/>
      <c r="BX209" s="404"/>
      <c r="BY209" s="405"/>
      <c r="BZ209" s="403"/>
      <c r="CA209" s="404"/>
      <c r="CB209" s="404"/>
      <c r="CC209" s="404"/>
      <c r="CD209" s="405"/>
      <c r="CE209" s="403"/>
      <c r="CF209" s="404"/>
      <c r="CG209" s="404"/>
      <c r="CH209" s="404"/>
      <c r="CI209" s="405"/>
      <c r="CJ209" s="403"/>
      <c r="CK209" s="404"/>
      <c r="CL209" s="404"/>
      <c r="CM209" s="404"/>
      <c r="CN209" s="405"/>
      <c r="CO209" s="403"/>
      <c r="CP209" s="404"/>
      <c r="CQ209" s="404"/>
      <c r="CR209" s="404"/>
      <c r="CS209" s="405"/>
      <c r="CT209" s="403"/>
      <c r="CU209" s="404"/>
      <c r="CV209" s="404"/>
      <c r="CW209" s="404"/>
      <c r="CX209" s="405"/>
      <c r="CY209" s="403"/>
      <c r="CZ209" s="404"/>
      <c r="DA209" s="404"/>
      <c r="DB209" s="312">
        <f>DB99-DB177</f>
      </c>
      <c r="DC209" s="405"/>
      <c r="DD209" s="312">
        <f>DD99-DD177</f>
      </c>
      <c r="DE209" s="312">
        <f>DE99-DE177</f>
      </c>
      <c r="DF209" s="312">
        <f>DF99-DF177</f>
      </c>
      <c r="DG209" s="312">
        <f>DG99-DG177</f>
      </c>
      <c r="DH209" s="456">
        <f>SUM(DD209:DG209)</f>
      </c>
      <c r="DI209" s="312">
        <f>DI99-DI177</f>
      </c>
      <c r="DJ209" s="312">
        <f>DJ99-DJ177</f>
      </c>
      <c r="DK209" s="312">
        <f>DK99-DK177</f>
      </c>
      <c r="DL209" s="312">
        <f>DL99-DL177</f>
      </c>
      <c r="DM209" s="456">
        <f>SUM(DI209:DL209)</f>
      </c>
      <c r="DN209" s="312">
        <f>DN99-DN177</f>
      </c>
      <c r="DO209" s="312">
        <f>DO99-DO177</f>
      </c>
      <c r="DP209" s="312">
        <f>DP99-DP177</f>
      </c>
      <c r="DQ209" s="312">
        <f>DQ99-DQ177</f>
      </c>
      <c r="DR209" s="456">
        <f>SUM(DN209:DQ209)</f>
      </c>
      <c r="DS209" s="312">
        <f>DS99-DS177</f>
      </c>
      <c r="DT209" s="312">
        <f>DT99-DT177</f>
      </c>
      <c r="DU209" s="312">
        <f>DU99-DU177</f>
      </c>
      <c r="DV209" s="312">
        <f>DV99-DV177</f>
      </c>
      <c r="DW209" s="456">
        <f>SUM(DS209:DV209)</f>
      </c>
      <c r="DX209" s="312">
        <f>DX99-DX177</f>
      </c>
      <c r="DY209" s="312">
        <f>DY99-DY177</f>
      </c>
      <c r="DZ209" s="312">
        <f>DZ99-DZ177</f>
      </c>
      <c r="EA209" s="312">
        <f>EA99-EA177</f>
      </c>
      <c r="EB209" s="456">
        <f>SUM(DX209:EA209)</f>
      </c>
      <c r="EC209" s="312">
        <f>EC99-EC177</f>
      </c>
      <c r="ED209" s="312">
        <f>ED99-ED177</f>
      </c>
      <c r="EE209" s="312">
        <f>EE99-EE177</f>
      </c>
      <c r="EF209" s="312">
        <f>EF99-EF177</f>
      </c>
      <c r="EG209" s="456">
        <f>SUM(EC209:EF209)</f>
      </c>
      <c r="EH209" s="312">
        <f>EH99-EH177</f>
      </c>
      <c r="EI209" s="312">
        <f>EI99-EI177</f>
      </c>
      <c r="EJ209" s="312">
        <f>EJ99-EJ177</f>
      </c>
      <c r="EK209" s="312">
        <f>EK99-EK177</f>
      </c>
      <c r="EL209" s="456">
        <f>SUM(EH209:EK209)</f>
      </c>
      <c r="EM209" s="312">
        <f>EM99-EM177</f>
      </c>
      <c r="EN209" s="312">
        <f>EN99-EN177</f>
      </c>
      <c r="EO209" s="312">
        <f>EO99-EO177</f>
      </c>
      <c r="EP209" s="312">
        <f>EP99-EP177</f>
      </c>
      <c r="EQ209" s="456">
        <f>SUM(EM209:EP209)</f>
      </c>
      <c r="ER209" s="312">
        <f>ER99-ER177</f>
      </c>
      <c r="ES209" s="312">
        <f>ES99-ES177</f>
      </c>
      <c r="ET209" s="312">
        <f>ET99-ET177</f>
      </c>
      <c r="EU209" s="312">
        <f>EU99-EU177</f>
      </c>
      <c r="EV209" s="456">
        <f>SUM(ER209:EU209)</f>
      </c>
      <c r="EW209" s="1397">
        <f>ER209*(1+EW210)</f>
      </c>
      <c r="EX209" s="1397">
        <f>ES209*(1+EX210)</f>
      </c>
      <c r="EY209" s="805">
        <f>ET209*(1+EY210)</f>
      </c>
      <c r="EZ209" s="805">
        <f>EU209*(1+EZ210)</f>
      </c>
      <c r="FA209" s="456">
        <f>SUM(EW209:EZ209)</f>
      </c>
      <c r="FB209" s="805">
        <f>EW209*(1+FB210)</f>
      </c>
      <c r="FC209" s="805">
        <f>EX209*(1+FC210)</f>
      </c>
      <c r="FD209" s="805">
        <f>EY209*(1+FD210)</f>
      </c>
      <c r="FE209" s="805">
        <f>EZ209*(1+FE210)</f>
      </c>
      <c r="FF209" s="456">
        <f>SUM(FB209:FE209)</f>
      </c>
      <c r="FG209" s="805">
        <f>FB209*(1+FG210)</f>
      </c>
      <c r="FH209" s="805">
        <f>FC209*(1+FH210)</f>
      </c>
      <c r="FI209" s="805">
        <f>FD209*(1+FI210)</f>
      </c>
      <c r="FJ209" s="805">
        <f>FE209*(1+FJ210)</f>
      </c>
      <c r="FK209" s="456">
        <f>SUM(FG209:FJ209)</f>
      </c>
      <c r="FL209" s="805">
        <f>FG209*(1+FL210)</f>
      </c>
      <c r="FM209" s="805">
        <f>FH209*(1+FM210)</f>
      </c>
      <c r="FN209" s="805">
        <f>FI209*(1+FN210)</f>
      </c>
      <c r="FO209" s="805">
        <f>FJ209*(1+FO210)</f>
      </c>
      <c r="FP209" s="456">
        <f>SUM(FL209:FO209)</f>
      </c>
      <c r="FQ209" s="805">
        <f>FL209*(1+FQ210)</f>
      </c>
      <c r="FR209" s="805">
        <f>FM209*(1+FR210)</f>
      </c>
      <c r="FS209" s="805">
        <f>FN209*(1+FS210)</f>
      </c>
      <c r="FT209" s="805">
        <f>FO209*(1+FT210)</f>
      </c>
      <c r="FU209" s="456">
        <f>SUM(FQ209:FT209)</f>
      </c>
      <c r="FV209" s="805">
        <f>FQ209*(1+FV210)</f>
      </c>
      <c r="FW209" s="805">
        <f>FR209*(1+FW210)</f>
      </c>
      <c r="FX209" s="805">
        <f>FS209*(1+FX210)</f>
      </c>
      <c r="FY209" s="805">
        <f>FT209*(1+FY210)</f>
      </c>
      <c r="FZ209" s="456">
        <f>SUM(FV209:FY209)</f>
      </c>
      <c r="GA209" s="805">
        <f>FV209*(1+GA210)</f>
      </c>
      <c r="GB209" s="805">
        <f>FW209*(1+GB210)</f>
      </c>
      <c r="GC209" s="805">
        <f>FX209*(1+GC210)</f>
      </c>
      <c r="GD209" s="805">
        <f>FY209*(1+GD210)</f>
      </c>
      <c r="GE209" s="456">
        <f>SUM(GA209:GD209)</f>
      </c>
      <c r="GF209" s="805">
        <f>GA209*(1+GF210)</f>
      </c>
      <c r="GG209" s="805">
        <f>GB209*(1+GG210)</f>
      </c>
      <c r="GH209" s="805">
        <f>GC209*(1+GH210)</f>
      </c>
      <c r="GI209" s="805">
        <f>GD209*(1+GI210)</f>
      </c>
      <c r="GJ209" s="499">
        <f>SUM(GF209:GI209)</f>
      </c>
    </row>
    <row r="210" spans="1:192" s="1241" customFormat="1" ht="12.75" customHeight="1">
      <c r="A210" s="1237"/>
      <c r="B210" s="735" t="s">
        <v>34</v>
      </c>
      <c r="C210" s="892"/>
      <c r="D210" s="924"/>
      <c r="E210" s="924"/>
      <c r="F210" s="924"/>
      <c r="G210" s="1240"/>
      <c r="H210" s="892"/>
      <c r="I210" s="924"/>
      <c r="J210" s="924"/>
      <c r="K210" s="924"/>
      <c r="L210" s="1240"/>
      <c r="M210" s="892"/>
      <c r="N210" s="924"/>
      <c r="O210" s="924"/>
      <c r="P210" s="924"/>
      <c r="Q210" s="1240"/>
      <c r="R210" s="892"/>
      <c r="S210" s="924"/>
      <c r="T210" s="924"/>
      <c r="U210" s="924"/>
      <c r="V210" s="1240"/>
      <c r="W210" s="892"/>
      <c r="X210" s="924"/>
      <c r="Y210" s="924"/>
      <c r="Z210" s="924"/>
      <c r="AA210" s="1240"/>
      <c r="AB210" s="892"/>
      <c r="AC210" s="924"/>
      <c r="AD210" s="924"/>
      <c r="AE210" s="924"/>
      <c r="AF210" s="1240"/>
      <c r="AG210" s="892"/>
      <c r="AH210" s="924"/>
      <c r="AI210" s="924"/>
      <c r="AJ210" s="924"/>
      <c r="AK210" s="1240"/>
      <c r="AL210" s="892"/>
      <c r="AM210" s="924"/>
      <c r="AN210" s="924"/>
      <c r="AO210" s="924"/>
      <c r="AP210" s="1240"/>
      <c r="AQ210" s="892"/>
      <c r="AR210" s="924"/>
      <c r="AS210" s="924"/>
      <c r="AT210" s="924"/>
      <c r="AU210" s="1240"/>
      <c r="AV210" s="892"/>
      <c r="AW210" s="924"/>
      <c r="AX210" s="924"/>
      <c r="AY210" s="924"/>
      <c r="AZ210" s="1240"/>
      <c r="BA210" s="892"/>
      <c r="BB210" s="924"/>
      <c r="BC210" s="924"/>
      <c r="BD210" s="924"/>
      <c r="BE210" s="1240"/>
      <c r="BF210" s="892"/>
      <c r="BG210" s="924"/>
      <c r="BH210" s="924"/>
      <c r="BI210" s="924"/>
      <c r="BJ210" s="1240"/>
      <c r="BK210" s="892"/>
      <c r="BL210" s="924"/>
      <c r="BM210" s="924"/>
      <c r="BN210" s="924"/>
      <c r="BO210" s="1240"/>
      <c r="BP210" s="892"/>
      <c r="BQ210" s="924"/>
      <c r="BR210" s="924"/>
      <c r="BS210" s="924"/>
      <c r="BT210" s="1240"/>
      <c r="BU210" s="892"/>
      <c r="BV210" s="924"/>
      <c r="BW210" s="924"/>
      <c r="BX210" s="924"/>
      <c r="BY210" s="1240"/>
      <c r="BZ210" s="892"/>
      <c r="CA210" s="924"/>
      <c r="CB210" s="924"/>
      <c r="CC210" s="924"/>
      <c r="CD210" s="1240"/>
      <c r="CE210" s="892"/>
      <c r="CF210" s="924"/>
      <c r="CG210" s="924"/>
      <c r="CH210" s="924"/>
      <c r="CI210" s="1240"/>
      <c r="CJ210" s="892"/>
      <c r="CK210" s="924"/>
      <c r="CL210" s="924"/>
      <c r="CM210" s="924"/>
      <c r="CN210" s="1240"/>
      <c r="CO210" s="892"/>
      <c r="CP210" s="924"/>
      <c r="CQ210" s="924"/>
      <c r="CR210" s="924"/>
      <c r="CS210" s="1240"/>
      <c r="CT210" s="1238"/>
      <c r="CU210" s="1117"/>
      <c r="CV210" s="1117"/>
      <c r="CW210" s="1117"/>
      <c r="CX210" s="1240"/>
      <c r="CY210" s="1238">
        <v>0.11</v>
      </c>
      <c r="CZ210" s="1117"/>
      <c r="DA210" s="1238">
        <v>0.1</v>
      </c>
      <c r="DB210" s="1117"/>
      <c r="DC210" s="1240"/>
      <c r="DD210" s="1238"/>
      <c r="DE210" s="1117"/>
      <c r="DF210" s="1117"/>
      <c r="DG210" s="1117">
        <v>0</v>
      </c>
      <c r="DH210" s="893"/>
      <c r="DI210" s="1238">
        <v>0.02</v>
      </c>
      <c r="DJ210" s="1117">
        <v>0.05</v>
      </c>
      <c r="DK210" s="1117">
        <v>0.06</v>
      </c>
      <c r="DL210" s="1327">
        <v>0.08</v>
      </c>
      <c r="DM210" s="893">
        <f>DM209/DH209-1</f>
      </c>
      <c r="DN210" s="1238">
        <v>0.02</v>
      </c>
      <c r="DO210" s="1117">
        <v>0.04</v>
      </c>
      <c r="DP210" s="1117">
        <v>0.03</v>
      </c>
      <c r="DQ210" s="1117">
        <v>0.08</v>
      </c>
      <c r="DR210" s="893">
        <f>DR209/DM209-1</f>
      </c>
      <c r="DS210" s="1238">
        <v>0.1</v>
      </c>
      <c r="DT210" s="1117">
        <v>0.03</v>
      </c>
      <c r="DU210" s="1117">
        <v>7.0000000000000007E-2</v>
      </c>
      <c r="DV210" s="1117">
        <v>0.05</v>
      </c>
      <c r="DW210" s="893">
        <f>DW209/DR209-1</f>
      </c>
      <c r="DX210" s="1238">
        <v>0.12</v>
      </c>
      <c r="DY210" s="1117">
        <v>0.1</v>
      </c>
      <c r="DZ210" s="1117">
        <v>0.11</v>
      </c>
      <c r="EA210" s="1117">
        <v>0</v>
      </c>
      <c r="EB210" s="893">
        <f>EB209/DW209-1</f>
      </c>
      <c r="EC210" s="1238">
        <v>-0.01</v>
      </c>
      <c r="ED210" s="1117">
        <v>0.04</v>
      </c>
      <c r="EE210" s="1117">
        <v>0.03</v>
      </c>
      <c r="EF210" s="1117">
        <v>0.16</v>
      </c>
      <c r="EG210" s="893">
        <f>EG209/EB209-1</f>
      </c>
      <c r="EH210" s="1238">
        <v>0.14000000000000001</v>
      </c>
      <c r="EI210" s="1117">
        <v>0.06</v>
      </c>
      <c r="EJ210" s="1117">
        <v>0.05</v>
      </c>
      <c r="EK210" s="1117">
        <v>-0.02</v>
      </c>
      <c r="EL210" s="1357">
        <v>0.05</v>
      </c>
      <c r="EM210" s="1238">
        <v>0</v>
      </c>
      <c r="EN210" s="1117">
        <v>-0.02</v>
      </c>
      <c r="EO210" s="1117">
        <v>-0.02</v>
      </c>
      <c r="EP210" s="1117">
        <v>-0.01</v>
      </c>
      <c r="EQ210" s="893">
        <f>EQ209/EL209-1</f>
      </c>
      <c r="ER210" s="1238">
        <v>0.02</v>
      </c>
      <c r="ES210" s="1117">
        <v>0.03</v>
      </c>
      <c r="ET210" s="1327">
        <v>0.06</v>
      </c>
      <c r="EU210" s="1327">
        <v>0.02</v>
      </c>
      <c r="EV210" s="893">
        <f>EV209/EQ209-1</f>
      </c>
      <c r="EW210" s="1328">
        <v>-0.01</v>
      </c>
      <c r="EX210" s="1327">
        <v>-0.03</v>
      </c>
      <c r="EY210" s="1327">
        <v>-0.06</v>
      </c>
      <c r="EZ210" s="1327">
        <v>-0.02</v>
      </c>
      <c r="FA210" s="893">
        <f>FA209/EV209-1</f>
      </c>
      <c r="FB210" s="1238">
        <v>-0.03</v>
      </c>
      <c r="FC210" s="1117">
        <f>FB210</f>
      </c>
      <c r="FD210" s="1117">
        <f>FC210</f>
      </c>
      <c r="FE210" s="1117">
        <f>FD210</f>
      </c>
      <c r="FF210" s="893">
        <f>FF209/FA209-1</f>
      </c>
      <c r="FG210" s="1238">
        <f>FB210-1%</f>
      </c>
      <c r="FH210" s="1117">
        <f>FG210</f>
      </c>
      <c r="FI210" s="1117">
        <f>FG210</f>
      </c>
      <c r="FJ210" s="1117">
        <f>FG210</f>
      </c>
      <c r="FK210" s="893">
        <f>FK209/FF209-1</f>
      </c>
      <c r="FL210" s="1238">
        <f>FG210-1%</f>
      </c>
      <c r="FM210" s="1117">
        <f>FL210</f>
      </c>
      <c r="FN210" s="1117">
        <f>FL210</f>
      </c>
      <c r="FO210" s="1117">
        <f>FL210</f>
      </c>
      <c r="FP210" s="893">
        <f>FP209/FK209-1</f>
      </c>
      <c r="FQ210" s="1238">
        <f>FL210-1%</f>
      </c>
      <c r="FR210" s="1117">
        <f>FQ210</f>
      </c>
      <c r="FS210" s="1117">
        <f>FQ210</f>
      </c>
      <c r="FT210" s="1117">
        <f>FQ210</f>
      </c>
      <c r="FU210" s="893">
        <f>FU209/FP209-1</f>
      </c>
      <c r="FV210" s="1238">
        <f>FQ210-1%</f>
      </c>
      <c r="FW210" s="1117">
        <f>FV210</f>
      </c>
      <c r="FX210" s="1117">
        <f>FV210</f>
      </c>
      <c r="FY210" s="1117">
        <f>FV210</f>
      </c>
      <c r="FZ210" s="893">
        <f>FZ209/FU209-1</f>
      </c>
      <c r="GA210" s="1238">
        <f>FV210-1%</f>
      </c>
      <c r="GB210" s="1117">
        <f>GA210</f>
      </c>
      <c r="GC210" s="1117">
        <f>GA210</f>
      </c>
      <c r="GD210" s="1117">
        <f>GA210</f>
      </c>
      <c r="GE210" s="893">
        <f>GE209/FZ209-1</f>
      </c>
      <c r="GF210" s="1238">
        <f>GA210-1%</f>
      </c>
      <c r="GG210" s="1117">
        <f>GF210</f>
      </c>
      <c r="GH210" s="1117">
        <f>GF210</f>
      </c>
      <c r="GI210" s="1117">
        <f>GF210</f>
      </c>
      <c r="GJ210" s="1199">
        <f>GJ209/GE209-1</f>
      </c>
    </row>
    <row r="211" spans="1:192" ht="12.75" customHeight="1">
      <c r="B211" s="735" t="s">
        <v>197</v>
      </c>
      <c r="C211" s="291"/>
      <c r="D211" s="107"/>
      <c r="E211" s="107"/>
      <c r="F211" s="107"/>
      <c r="G211" s="292"/>
      <c r="H211" s="291"/>
      <c r="I211" s="107"/>
      <c r="J211" s="107"/>
      <c r="K211" s="107"/>
      <c r="L211" s="292"/>
      <c r="M211" s="291"/>
      <c r="N211" s="107"/>
      <c r="O211" s="107"/>
      <c r="P211" s="107"/>
      <c r="Q211" s="292"/>
      <c r="R211" s="291"/>
      <c r="S211" s="107"/>
      <c r="T211" s="107"/>
      <c r="U211" s="107"/>
      <c r="V211" s="292"/>
      <c r="W211" s="291"/>
      <c r="X211" s="107"/>
      <c r="Y211" s="107"/>
      <c r="Z211" s="107"/>
      <c r="AA211" s="292"/>
      <c r="AB211" s="291"/>
      <c r="AC211" s="107"/>
      <c r="AD211" s="107"/>
      <c r="AE211" s="107"/>
      <c r="AF211" s="292"/>
      <c r="AG211" s="291"/>
      <c r="AH211" s="107"/>
      <c r="AI211" s="107"/>
      <c r="AJ211" s="107"/>
      <c r="AK211" s="292"/>
      <c r="AL211" s="291"/>
      <c r="AM211" s="107"/>
      <c r="AN211" s="107"/>
      <c r="AO211" s="107"/>
      <c r="AP211" s="292"/>
      <c r="AQ211" s="291"/>
      <c r="AR211" s="107"/>
      <c r="AS211" s="107"/>
      <c r="AT211" s="107"/>
      <c r="AU211" s="292"/>
      <c r="AV211" s="291"/>
      <c r="AW211" s="107"/>
      <c r="AX211" s="107"/>
      <c r="AY211" s="107"/>
      <c r="AZ211" s="292"/>
      <c r="BA211" s="291"/>
      <c r="BB211" s="107"/>
      <c r="BC211" s="107"/>
      <c r="BD211" s="107"/>
      <c r="BE211" s="292"/>
      <c r="BF211" s="291"/>
      <c r="BG211" s="107"/>
      <c r="BH211" s="107"/>
      <c r="BI211" s="107"/>
      <c r="BJ211" s="292"/>
      <c r="BK211" s="291"/>
      <c r="BL211" s="107"/>
      <c r="BM211" s="107"/>
      <c r="BN211" s="107"/>
      <c r="BO211" s="292"/>
      <c r="BP211" s="291"/>
      <c r="BQ211" s="107"/>
      <c r="BR211" s="107"/>
      <c r="BS211" s="107"/>
      <c r="BT211" s="292"/>
      <c r="BU211" s="291"/>
      <c r="BV211" s="107"/>
      <c r="BW211" s="107"/>
      <c r="BX211" s="107"/>
      <c r="BY211" s="292"/>
      <c r="BZ211" s="291"/>
      <c r="CA211" s="107"/>
      <c r="CB211" s="107"/>
      <c r="CC211" s="107"/>
      <c r="CD211" s="292"/>
      <c r="CE211" s="291"/>
      <c r="CF211" s="107"/>
      <c r="CG211" s="107"/>
      <c r="CH211" s="107"/>
      <c r="CI211" s="292"/>
      <c r="CJ211" s="291"/>
      <c r="CK211" s="107"/>
      <c r="CL211" s="107"/>
      <c r="CM211" s="107"/>
      <c r="CN211" s="292"/>
      <c r="CO211" s="291"/>
      <c r="CP211" s="107"/>
      <c r="CQ211" s="107"/>
      <c r="CR211" s="107"/>
      <c r="CS211" s="292"/>
      <c r="CT211" s="412"/>
      <c r="CU211" s="114"/>
      <c r="CV211" s="114"/>
      <c r="CW211" s="114"/>
      <c r="CX211" s="292"/>
      <c r="CY211" s="412"/>
      <c r="CZ211" s="114"/>
      <c r="DA211" s="412"/>
      <c r="DB211" s="114"/>
      <c r="DC211" s="292"/>
      <c r="DD211" s="412">
        <v>0.09</v>
      </c>
      <c r="DE211" s="114">
        <v>0.05</v>
      </c>
      <c r="DF211" s="114">
        <v>0</v>
      </c>
      <c r="DG211" s="114">
        <v>0.03</v>
      </c>
      <c r="DH211" s="292"/>
      <c r="DI211" s="412">
        <v>0.04</v>
      </c>
      <c r="DJ211" s="114">
        <v>7.0000000000000007E-2</v>
      </c>
      <c r="DK211" s="114">
        <v>7.0000000000000007E-2</v>
      </c>
      <c r="DL211" s="439">
        <v>0.06</v>
      </c>
      <c r="DM211" s="292"/>
      <c r="DN211" s="412">
        <v>0.02</v>
      </c>
      <c r="DO211" s="114">
        <v>0.03</v>
      </c>
      <c r="DP211" s="114">
        <v>0.01</v>
      </c>
      <c r="DQ211" s="114">
        <v>0.06</v>
      </c>
      <c r="DR211" s="292"/>
      <c r="DS211" s="412">
        <v>0.09</v>
      </c>
      <c r="DT211" s="114">
        <v>0.04</v>
      </c>
      <c r="DU211" s="114">
        <v>0.09</v>
      </c>
      <c r="DV211" s="114">
        <v>7.0000000000000007E-2</v>
      </c>
      <c r="DW211" s="292"/>
      <c r="DX211" s="412">
        <v>0.14000000000000001</v>
      </c>
      <c r="DY211" s="114">
        <v>0.12</v>
      </c>
      <c r="DZ211" s="114">
        <v>0.12</v>
      </c>
      <c r="EA211" s="114">
        <v>0.01</v>
      </c>
      <c r="EB211" s="292"/>
      <c r="EC211" s="412">
        <v>-0.01</v>
      </c>
      <c r="ED211" s="114">
        <v>0.03</v>
      </c>
      <c r="EE211" s="114">
        <v>0</v>
      </c>
      <c r="EF211" s="114">
        <v>0.12</v>
      </c>
      <c r="EG211" s="292"/>
      <c r="EH211" s="412">
        <v>0.13</v>
      </c>
      <c r="EI211" s="114">
        <v>0.06</v>
      </c>
      <c r="EJ211" s="114">
        <v>7.0000000000000007E-2</v>
      </c>
      <c r="EK211" s="114">
        <v>0.01</v>
      </c>
      <c r="EL211" s="292"/>
      <c r="EM211" s="412">
        <v>0.04</v>
      </c>
      <c r="EN211" s="114">
        <v>0.02</v>
      </c>
      <c r="EO211" s="114">
        <v>0</v>
      </c>
      <c r="EP211" s="114">
        <v>0</v>
      </c>
      <c r="EQ211" s="292"/>
      <c r="ER211" s="412">
        <v>0.02</v>
      </c>
      <c r="ES211" s="114">
        <v>0.02</v>
      </c>
      <c r="ET211" s="439">
        <v>0.06</v>
      </c>
      <c r="EU211" s="439">
        <v>0.03</v>
      </c>
      <c r="EV211" s="292"/>
      <c r="EW211" s="441">
        <v>-0.01</v>
      </c>
      <c r="EX211" s="439">
        <v>-0.03</v>
      </c>
      <c r="EY211" s="439">
        <v>-0.04</v>
      </c>
      <c r="EZ211" s="439">
        <v>-0.03</v>
      </c>
      <c r="FA211" s="292"/>
      <c r="FB211" s="291"/>
      <c r="FC211" s="107"/>
      <c r="FD211" s="107"/>
      <c r="FE211" s="107"/>
      <c r="FF211" s="292"/>
      <c r="FG211" s="291"/>
      <c r="FH211" s="107"/>
      <c r="FI211" s="107"/>
      <c r="FJ211" s="107"/>
      <c r="FK211" s="292"/>
      <c r="FL211" s="291"/>
      <c r="FM211" s="107"/>
      <c r="FN211" s="107"/>
      <c r="FO211" s="107"/>
      <c r="FP211" s="292"/>
      <c r="FQ211" s="291"/>
      <c r="FR211" s="107"/>
      <c r="FS211" s="107"/>
      <c r="FT211" s="107"/>
      <c r="FU211" s="292"/>
      <c r="FV211" s="291"/>
      <c r="FW211" s="107"/>
      <c r="FX211" s="107"/>
      <c r="FY211" s="107"/>
      <c r="FZ211" s="292"/>
      <c r="GA211" s="291"/>
      <c r="GB211" s="107"/>
      <c r="GC211" s="107"/>
      <c r="GD211" s="107"/>
      <c r="GE211" s="292"/>
      <c r="GF211" s="291"/>
      <c r="GG211" s="107"/>
      <c r="GH211" s="107"/>
      <c r="GI211" s="107"/>
      <c r="GJ211" s="384"/>
    </row>
    <row r="212" spans="1:192" ht="12.75" customHeight="1">
      <c r="B212" s="735" t="s">
        <v>36</v>
      </c>
      <c r="C212" s="291"/>
      <c r="D212" s="107"/>
      <c r="E212" s="107"/>
      <c r="F212" s="107"/>
      <c r="G212" s="292"/>
      <c r="H212" s="291"/>
      <c r="I212" s="107"/>
      <c r="J212" s="107"/>
      <c r="K212" s="107"/>
      <c r="L212" s="292"/>
      <c r="M212" s="291"/>
      <c r="N212" s="107"/>
      <c r="O212" s="107"/>
      <c r="P212" s="107"/>
      <c r="Q212" s="292"/>
      <c r="R212" s="291"/>
      <c r="S212" s="107"/>
      <c r="T212" s="107"/>
      <c r="U212" s="107"/>
      <c r="V212" s="292"/>
      <c r="W212" s="291"/>
      <c r="X212" s="107"/>
      <c r="Y212" s="107"/>
      <c r="Z212" s="107"/>
      <c r="AA212" s="292"/>
      <c r="AB212" s="291"/>
      <c r="AC212" s="107"/>
      <c r="AD212" s="107"/>
      <c r="AE212" s="107"/>
      <c r="AF212" s="292"/>
      <c r="AG212" s="291"/>
      <c r="AH212" s="107"/>
      <c r="AI212" s="107"/>
      <c r="AJ212" s="107"/>
      <c r="AK212" s="292"/>
      <c r="AL212" s="291"/>
      <c r="AM212" s="107"/>
      <c r="AN212" s="107"/>
      <c r="AO212" s="107"/>
      <c r="AP212" s="292"/>
      <c r="AQ212" s="291"/>
      <c r="AR212" s="107"/>
      <c r="AS212" s="107"/>
      <c r="AT212" s="107"/>
      <c r="AU212" s="292"/>
      <c r="AV212" s="291"/>
      <c r="AW212" s="107"/>
      <c r="AX212" s="107"/>
      <c r="AY212" s="107"/>
      <c r="AZ212" s="292"/>
      <c r="BA212" s="291"/>
      <c r="BB212" s="107"/>
      <c r="BC212" s="107"/>
      <c r="BD212" s="107"/>
      <c r="BE212" s="292"/>
      <c r="BF212" s="291"/>
      <c r="BG212" s="107"/>
      <c r="BH212" s="107"/>
      <c r="BI212" s="107"/>
      <c r="BJ212" s="292"/>
      <c r="BK212" s="291"/>
      <c r="BL212" s="107"/>
      <c r="BM212" s="107"/>
      <c r="BN212" s="107"/>
      <c r="BO212" s="292"/>
      <c r="BP212" s="291"/>
      <c r="BQ212" s="107"/>
      <c r="BR212" s="107"/>
      <c r="BS212" s="107"/>
      <c r="BT212" s="292"/>
      <c r="BU212" s="291"/>
      <c r="BV212" s="107"/>
      <c r="BW212" s="107"/>
      <c r="BX212" s="107"/>
      <c r="BY212" s="292"/>
      <c r="BZ212" s="291"/>
      <c r="CA212" s="107"/>
      <c r="CB212" s="107"/>
      <c r="CC212" s="107"/>
      <c r="CD212" s="292"/>
      <c r="CE212" s="291"/>
      <c r="CF212" s="107"/>
      <c r="CG212" s="107"/>
      <c r="CH212" s="107"/>
      <c r="CI212" s="292"/>
      <c r="CJ212" s="291"/>
      <c r="CK212" s="107"/>
      <c r="CL212" s="107"/>
      <c r="CM212" s="107"/>
      <c r="CN212" s="292"/>
      <c r="CO212" s="291"/>
      <c r="CP212" s="107"/>
      <c r="CQ212" s="107"/>
      <c r="CR212" s="107"/>
      <c r="CS212" s="292"/>
      <c r="CT212" s="291"/>
      <c r="CU212" s="107"/>
      <c r="CV212" s="107"/>
      <c r="CW212" s="107"/>
      <c r="CX212" s="292"/>
      <c r="CY212" s="505"/>
      <c r="CZ212" s="107"/>
      <c r="DA212" s="505"/>
      <c r="DB212" s="107"/>
      <c r="DC212" s="292"/>
      <c r="DD212" s="291">
        <f>DD209/DB209-1</f>
      </c>
      <c r="DE212" s="107">
        <f>DE209/DD209-1</f>
      </c>
      <c r="DF212" s="107">
        <f>DF209/DE209-1</f>
      </c>
      <c r="DG212" s="107">
        <f>DG209/DF209-1</f>
      </c>
      <c r="DH212" s="292"/>
      <c r="DI212" s="291">
        <f>DI209/DG209-1</f>
      </c>
      <c r="DJ212" s="107">
        <f>DJ209/DI209-1</f>
      </c>
      <c r="DK212" s="107">
        <f>DK209/DJ209-1</f>
      </c>
      <c r="DL212" s="107">
        <f>DL209/DK209-1</f>
      </c>
      <c r="DM212" s="292"/>
      <c r="DN212" s="291">
        <f>DN209/DL209-1</f>
      </c>
      <c r="DO212" s="107">
        <f>DO209/DN209-1</f>
      </c>
      <c r="DP212" s="107">
        <f>DP209/DO209-1</f>
      </c>
      <c r="DQ212" s="107">
        <f>DQ209/DP209-1</f>
      </c>
      <c r="DR212" s="292"/>
      <c r="DS212" s="291">
        <f>DS209/DQ209-1</f>
      </c>
      <c r="DT212" s="107">
        <f>DT209/DS209-1</f>
      </c>
      <c r="DU212" s="107">
        <f>DU209/DT209-1</f>
      </c>
      <c r="DV212" s="107">
        <f>DV209/DU209-1</f>
      </c>
      <c r="DW212" s="292"/>
      <c r="DX212" s="291">
        <f>DX209/DV209-1</f>
      </c>
      <c r="DY212" s="107">
        <f>DY209/DX209-1</f>
      </c>
      <c r="DZ212" s="107">
        <f>DZ209/DY209-1</f>
      </c>
      <c r="EA212" s="107">
        <f>EA209/DZ209-1</f>
      </c>
      <c r="EB212" s="292"/>
      <c r="EC212" s="291">
        <f>EC209/EA209-1</f>
      </c>
      <c r="ED212" s="107">
        <f>ED209/EC209-1</f>
      </c>
      <c r="EE212" s="107">
        <f>EE209/ED209-1</f>
      </c>
      <c r="EF212" s="107">
        <f>EF209/EE209-1</f>
      </c>
      <c r="EG212" s="292"/>
      <c r="EH212" s="291">
        <f>EH209/EF209-1</f>
      </c>
      <c r="EI212" s="107">
        <f>EI209/EH209-1</f>
      </c>
      <c r="EJ212" s="107">
        <f>EJ209/EI209-1</f>
      </c>
      <c r="EK212" s="107">
        <f>EK209/EJ209-1</f>
      </c>
      <c r="EL212" s="292"/>
      <c r="EM212" s="291">
        <f>EM209/EK209-1</f>
      </c>
      <c r="EN212" s="107">
        <f>EN209/EM209-1</f>
      </c>
      <c r="EO212" s="107">
        <f>EO209/EN209-1</f>
      </c>
      <c r="EP212" s="107">
        <f>EP209/EO209-1</f>
      </c>
      <c r="EQ212" s="292"/>
      <c r="ER212" s="291">
        <f>ER209/EP209-1</f>
      </c>
      <c r="ES212" s="107">
        <f>ES209/ER209-1</f>
      </c>
      <c r="ET212" s="107">
        <f>ET209/ES209-1</f>
      </c>
      <c r="EU212" s="468">
        <f>EU209/ET209-1</f>
      </c>
      <c r="EV212" s="292"/>
      <c r="EW212" s="291">
        <f>EW209/EU209-1</f>
      </c>
      <c r="EX212" s="107">
        <f>EX209/EW209-1</f>
      </c>
      <c r="EY212" s="107">
        <f>EY209/EX209-1</f>
      </c>
      <c r="EZ212" s="468">
        <f>EZ209/EY209-1</f>
      </c>
      <c r="FA212" s="292"/>
      <c r="FB212" s="291">
        <f>FB209/EZ209-1</f>
      </c>
      <c r="FC212" s="107">
        <f>FC209/FB209-1</f>
      </c>
      <c r="FD212" s="107">
        <f>FD209/FC209-1</f>
      </c>
      <c r="FE212" s="107">
        <f>FE209/FD209-1</f>
      </c>
      <c r="FF212" s="292"/>
      <c r="FG212" s="291">
        <f>FG209/FE209-1</f>
      </c>
      <c r="FH212" s="107">
        <f>FH209/FG209-1</f>
      </c>
      <c r="FI212" s="107">
        <f>FI209/FH209-1</f>
      </c>
      <c r="FJ212" s="107">
        <f>FJ209/FI209-1</f>
      </c>
      <c r="FK212" s="292"/>
      <c r="FL212" s="291">
        <f>FL209/FJ209-1</f>
      </c>
      <c r="FM212" s="107">
        <f>FM209/FL209-1</f>
      </c>
      <c r="FN212" s="107">
        <f>FN209/FM209-1</f>
      </c>
      <c r="FO212" s="107">
        <f>FO209/FN209-1</f>
      </c>
      <c r="FP212" s="292"/>
      <c r="FQ212" s="291">
        <f>FQ209/FO209-1</f>
      </c>
      <c r="FR212" s="107">
        <f>FR209/FQ209-1</f>
      </c>
      <c r="FS212" s="107">
        <f>FS209/FR209-1</f>
      </c>
      <c r="FT212" s="107">
        <f>FT209/FS209-1</f>
      </c>
      <c r="FU212" s="292"/>
      <c r="FV212" s="291">
        <f>FV209/FT209-1</f>
      </c>
      <c r="FW212" s="107">
        <f>FW209/FV209-1</f>
      </c>
      <c r="FX212" s="107">
        <f>FX209/FW209-1</f>
      </c>
      <c r="FY212" s="107">
        <f>FY209/FX209-1</f>
      </c>
      <c r="FZ212" s="292"/>
      <c r="GA212" s="291">
        <f>GA209/FY209-1</f>
      </c>
      <c r="GB212" s="107">
        <f>GB209/GA209-1</f>
      </c>
      <c r="GC212" s="107">
        <f>GC209/GB209-1</f>
      </c>
      <c r="GD212" s="107">
        <f>GD209/GC209-1</f>
      </c>
      <c r="GE212" s="292"/>
      <c r="GF212" s="291">
        <f>GF209/GD209-1</f>
      </c>
      <c r="GG212" s="107">
        <f>GG209/GF209-1</f>
      </c>
      <c r="GH212" s="107">
        <f>GH209/GG209-1</f>
      </c>
      <c r="GI212" s="107">
        <f>GI209/GH209-1</f>
      </c>
      <c r="GJ212" s="384"/>
    </row>
    <row r="213" spans="1:192" ht="12.75" customHeight="1">
      <c r="B213" s="735" t="s">
        <v>243</v>
      </c>
      <c r="C213" s="291"/>
      <c r="D213" s="107"/>
      <c r="E213" s="107"/>
      <c r="F213" s="107"/>
      <c r="G213" s="292"/>
      <c r="H213" s="291"/>
      <c r="I213" s="107"/>
      <c r="J213" s="107"/>
      <c r="K213" s="107"/>
      <c r="L213" s="292"/>
      <c r="M213" s="291"/>
      <c r="N213" s="107"/>
      <c r="O213" s="107"/>
      <c r="P213" s="107"/>
      <c r="Q213" s="292"/>
      <c r="R213" s="291"/>
      <c r="S213" s="107"/>
      <c r="T213" s="107"/>
      <c r="U213" s="107"/>
      <c r="V213" s="292"/>
      <c r="W213" s="291"/>
      <c r="X213" s="107"/>
      <c r="Y213" s="107"/>
      <c r="Z213" s="107"/>
      <c r="AA213" s="292"/>
      <c r="AB213" s="291"/>
      <c r="AC213" s="107"/>
      <c r="AD213" s="107"/>
      <c r="AE213" s="107"/>
      <c r="AF213" s="292"/>
      <c r="AG213" s="291"/>
      <c r="AH213" s="107"/>
      <c r="AI213" s="107"/>
      <c r="AJ213" s="107"/>
      <c r="AK213" s="292"/>
      <c r="AL213" s="291"/>
      <c r="AM213" s="107"/>
      <c r="AN213" s="107"/>
      <c r="AO213" s="107"/>
      <c r="AP213" s="292"/>
      <c r="AQ213" s="291"/>
      <c r="AR213" s="107"/>
      <c r="AS213" s="107"/>
      <c r="AT213" s="107"/>
      <c r="AU213" s="292"/>
      <c r="AV213" s="291"/>
      <c r="AW213" s="107"/>
      <c r="AX213" s="107"/>
      <c r="AY213" s="107"/>
      <c r="AZ213" s="292"/>
      <c r="BA213" s="291"/>
      <c r="BB213" s="107"/>
      <c r="BC213" s="107"/>
      <c r="BD213" s="107"/>
      <c r="BE213" s="292"/>
      <c r="BF213" s="291"/>
      <c r="BG213" s="107"/>
      <c r="BH213" s="107"/>
      <c r="BI213" s="107"/>
      <c r="BJ213" s="292"/>
      <c r="BK213" s="291"/>
      <c r="BL213" s="107"/>
      <c r="BM213" s="107"/>
      <c r="BN213" s="107"/>
      <c r="BO213" s="292"/>
      <c r="BP213" s="291"/>
      <c r="BQ213" s="107"/>
      <c r="BR213" s="107"/>
      <c r="BS213" s="107"/>
      <c r="BT213" s="292"/>
      <c r="BU213" s="291"/>
      <c r="BV213" s="107"/>
      <c r="BW213" s="107"/>
      <c r="BX213" s="107"/>
      <c r="BY213" s="292"/>
      <c r="BZ213" s="291"/>
      <c r="CA213" s="107"/>
      <c r="CB213" s="107"/>
      <c r="CC213" s="107"/>
      <c r="CD213" s="292"/>
      <c r="CE213" s="291"/>
      <c r="CF213" s="107"/>
      <c r="CG213" s="107"/>
      <c r="CH213" s="107"/>
      <c r="CI213" s="292"/>
      <c r="CJ213" s="291"/>
      <c r="CK213" s="107"/>
      <c r="CL213" s="107"/>
      <c r="CM213" s="107"/>
      <c r="CN213" s="292"/>
      <c r="CO213" s="291"/>
      <c r="CP213" s="107"/>
      <c r="CQ213" s="107"/>
      <c r="CR213" s="107"/>
      <c r="CS213" s="292"/>
      <c r="CT213" s="291"/>
      <c r="CU213" s="107"/>
      <c r="CV213" s="107"/>
      <c r="CW213" s="107"/>
      <c r="CX213" s="292"/>
      <c r="CY213" s="448">
        <v>406</v>
      </c>
      <c r="CZ213" s="107"/>
      <c r="DA213" s="448">
        <v>389</v>
      </c>
      <c r="DB213" s="107"/>
      <c r="DC213" s="292"/>
      <c r="DD213" s="447"/>
      <c r="DE213" s="447"/>
      <c r="DF213" s="447"/>
      <c r="DG213" s="447">
        <f t="shared" ref="DG213:EL213" si="205">DG209-DB209</f>
      </c>
      <c r="DH213" s="462">
        <f t="shared" si="205"/>
      </c>
      <c r="DI213" s="447">
        <f t="shared" si="205"/>
      </c>
      <c r="DJ213" s="447">
        <f t="shared" si="205"/>
      </c>
      <c r="DK213" s="447">
        <f t="shared" si="205"/>
      </c>
      <c r="DL213" s="447">
        <f t="shared" si="205"/>
      </c>
      <c r="DM213" s="462">
        <f t="shared" si="205"/>
      </c>
      <c r="DN213" s="447">
        <f t="shared" si="205"/>
      </c>
      <c r="DO213" s="447">
        <f t="shared" si="205"/>
      </c>
      <c r="DP213" s="447">
        <f t="shared" si="205"/>
      </c>
      <c r="DQ213" s="447">
        <f t="shared" si="205"/>
      </c>
      <c r="DR213" s="462">
        <f t="shared" si="205"/>
      </c>
      <c r="DS213" s="447">
        <f t="shared" si="205"/>
      </c>
      <c r="DT213" s="447">
        <f t="shared" si="205"/>
      </c>
      <c r="DU213" s="447">
        <f t="shared" si="205"/>
      </c>
      <c r="DV213" s="447">
        <f t="shared" si="205"/>
      </c>
      <c r="DW213" s="462">
        <f t="shared" si="205"/>
      </c>
      <c r="DX213" s="447">
        <f t="shared" si="205"/>
      </c>
      <c r="DY213" s="447">
        <f t="shared" si="205"/>
      </c>
      <c r="DZ213" s="447">
        <f t="shared" si="205"/>
      </c>
      <c r="EA213" s="447">
        <f t="shared" si="205"/>
      </c>
      <c r="EB213" s="462">
        <f t="shared" si="205"/>
      </c>
      <c r="EC213" s="447">
        <f t="shared" si="205"/>
      </c>
      <c r="ED213" s="447">
        <f t="shared" si="205"/>
      </c>
      <c r="EE213" s="447">
        <f t="shared" si="205"/>
      </c>
      <c r="EF213" s="447">
        <f t="shared" si="205"/>
      </c>
      <c r="EG213" s="462">
        <f t="shared" si="205"/>
      </c>
      <c r="EH213" s="447">
        <f t="shared" si="205"/>
      </c>
      <c r="EI213" s="447">
        <f t="shared" si="205"/>
      </c>
      <c r="EJ213" s="447">
        <f t="shared" si="205"/>
      </c>
      <c r="EK213" s="447">
        <f t="shared" si="205"/>
      </c>
      <c r="EL213" s="462">
        <f t="shared" si="205"/>
      </c>
      <c r="EM213" s="447">
        <f t="shared" ref="EM213:FR213" si="206">EM209-EH209</f>
      </c>
      <c r="EN213" s="447">
        <f t="shared" si="206"/>
      </c>
      <c r="EO213" s="447">
        <f t="shared" si="206"/>
      </c>
      <c r="EP213" s="447">
        <f t="shared" si="206"/>
      </c>
      <c r="EQ213" s="462">
        <f t="shared" si="206"/>
      </c>
      <c r="ER213" s="447">
        <f t="shared" si="206"/>
      </c>
      <c r="ES213" s="447">
        <f t="shared" si="206"/>
      </c>
      <c r="ET213" s="447">
        <f t="shared" si="206"/>
      </c>
      <c r="EU213" s="447">
        <f>EU209-EP209</f>
      </c>
      <c r="EV213" s="462">
        <f>EV209-EQ209</f>
      </c>
      <c r="EW213" s="447">
        <f t="shared" si="206"/>
      </c>
      <c r="EX213" s="447">
        <f t="shared" si="206"/>
      </c>
      <c r="EY213" s="447">
        <f t="shared" si="206"/>
      </c>
      <c r="EZ213" s="447">
        <f>EZ209-EU209</f>
      </c>
      <c r="FA213" s="462">
        <f>FA209-EV209</f>
      </c>
      <c r="FB213" s="447">
        <f t="shared" si="206"/>
      </c>
      <c r="FC213" s="447">
        <f>FC209-EX209</f>
      </c>
      <c r="FD213" s="447">
        <f t="shared" si="206"/>
      </c>
      <c r="FE213" s="447">
        <f t="shared" si="206"/>
      </c>
      <c r="FF213" s="462">
        <f t="shared" si="206"/>
      </c>
      <c r="FG213" s="447">
        <f t="shared" si="206"/>
      </c>
      <c r="FH213" s="447">
        <f t="shared" si="206"/>
      </c>
      <c r="FI213" s="447">
        <f t="shared" si="206"/>
      </c>
      <c r="FJ213" s="447">
        <f t="shared" si="206"/>
      </c>
      <c r="FK213" s="462">
        <f t="shared" si="206"/>
      </c>
      <c r="FL213" s="447">
        <f t="shared" si="206"/>
      </c>
      <c r="FM213" s="447">
        <f t="shared" si="206"/>
      </c>
      <c r="FN213" s="447">
        <f t="shared" si="206"/>
      </c>
      <c r="FO213" s="447">
        <f t="shared" si="206"/>
      </c>
      <c r="FP213" s="462">
        <f t="shared" si="206"/>
      </c>
      <c r="FQ213" s="447">
        <f t="shared" si="206"/>
      </c>
      <c r="FR213" s="447">
        <f t="shared" si="206"/>
      </c>
      <c r="FS213" s="447">
        <f t="shared" ref="FS213:FZ213" si="207">FS209-FN209</f>
      </c>
      <c r="FT213" s="447">
        <f t="shared" si="207"/>
      </c>
      <c r="FU213" s="462">
        <f t="shared" si="207"/>
      </c>
      <c r="FV213" s="447">
        <f t="shared" si="207"/>
      </c>
      <c r="FW213" s="458">
        <f t="shared" si="207"/>
      </c>
      <c r="FX213" s="458">
        <f t="shared" si="207"/>
      </c>
      <c r="FY213" s="458">
        <f t="shared" si="207"/>
      </c>
      <c r="FZ213" s="462">
        <f t="shared" si="207"/>
      </c>
      <c r="GA213" s="447">
        <f t="shared" ref="GA213:GJ213" si="208">GA209-FV209</f>
      </c>
      <c r="GB213" s="458">
        <f t="shared" si="208"/>
      </c>
      <c r="GC213" s="458">
        <f t="shared" si="208"/>
      </c>
      <c r="GD213" s="458">
        <f t="shared" si="208"/>
      </c>
      <c r="GE213" s="462">
        <f t="shared" si="208"/>
      </c>
      <c r="GF213" s="447">
        <f t="shared" si="208"/>
      </c>
      <c r="GG213" s="458">
        <f t="shared" si="208"/>
      </c>
      <c r="GH213" s="458">
        <f t="shared" si="208"/>
      </c>
      <c r="GI213" s="458">
        <f t="shared" si="208"/>
      </c>
      <c r="GJ213" s="497">
        <f t="shared" si="208"/>
      </c>
    </row>
    <row r="214" spans="1:192" ht="12.75" customHeight="1">
      <c r="B214" s="735" t="s">
        <v>244</v>
      </c>
      <c r="C214" s="291"/>
      <c r="D214" s="107"/>
      <c r="E214" s="107"/>
      <c r="F214" s="107"/>
      <c r="G214" s="292"/>
      <c r="H214" s="291"/>
      <c r="I214" s="107"/>
      <c r="J214" s="107"/>
      <c r="K214" s="107"/>
      <c r="L214" s="292"/>
      <c r="M214" s="291"/>
      <c r="N214" s="107"/>
      <c r="O214" s="107"/>
      <c r="P214" s="107"/>
      <c r="Q214" s="292"/>
      <c r="R214" s="291"/>
      <c r="S214" s="107"/>
      <c r="T214" s="107"/>
      <c r="U214" s="107"/>
      <c r="V214" s="292"/>
      <c r="W214" s="291"/>
      <c r="X214" s="107"/>
      <c r="Y214" s="107"/>
      <c r="Z214" s="107"/>
      <c r="AA214" s="292"/>
      <c r="AB214" s="291"/>
      <c r="AC214" s="107"/>
      <c r="AD214" s="107"/>
      <c r="AE214" s="107"/>
      <c r="AF214" s="292"/>
      <c r="AG214" s="291"/>
      <c r="AH214" s="107"/>
      <c r="AI214" s="107"/>
      <c r="AJ214" s="107"/>
      <c r="AK214" s="292"/>
      <c r="AL214" s="291"/>
      <c r="AM214" s="107"/>
      <c r="AN214" s="107"/>
      <c r="AO214" s="107"/>
      <c r="AP214" s="292"/>
      <c r="AQ214" s="291"/>
      <c r="AR214" s="107"/>
      <c r="AS214" s="107"/>
      <c r="AT214" s="107"/>
      <c r="AU214" s="292"/>
      <c r="AV214" s="291"/>
      <c r="AW214" s="107"/>
      <c r="AX214" s="107"/>
      <c r="AY214" s="107"/>
      <c r="AZ214" s="292"/>
      <c r="BA214" s="291"/>
      <c r="BB214" s="107"/>
      <c r="BC214" s="107"/>
      <c r="BD214" s="107"/>
      <c r="BE214" s="292"/>
      <c r="BF214" s="291"/>
      <c r="BG214" s="107"/>
      <c r="BH214" s="107"/>
      <c r="BI214" s="107"/>
      <c r="BJ214" s="292"/>
      <c r="BK214" s="291"/>
      <c r="BL214" s="107"/>
      <c r="BM214" s="107"/>
      <c r="BN214" s="107"/>
      <c r="BO214" s="292"/>
      <c r="BP214" s="291"/>
      <c r="BQ214" s="107"/>
      <c r="BR214" s="107"/>
      <c r="BS214" s="107"/>
      <c r="BT214" s="292"/>
      <c r="BU214" s="291"/>
      <c r="BV214" s="107"/>
      <c r="BW214" s="107"/>
      <c r="BX214" s="107"/>
      <c r="BY214" s="292"/>
      <c r="BZ214" s="291"/>
      <c r="CA214" s="107"/>
      <c r="CB214" s="107"/>
      <c r="CC214" s="107"/>
      <c r="CD214" s="292"/>
      <c r="CE214" s="291"/>
      <c r="CF214" s="107"/>
      <c r="CG214" s="107"/>
      <c r="CH214" s="107"/>
      <c r="CI214" s="292"/>
      <c r="CJ214" s="291"/>
      <c r="CK214" s="107"/>
      <c r="CL214" s="107"/>
      <c r="CM214" s="107"/>
      <c r="CN214" s="292"/>
      <c r="CO214" s="291"/>
      <c r="CP214" s="107"/>
      <c r="CQ214" s="107"/>
      <c r="CR214" s="107"/>
      <c r="CS214" s="292"/>
      <c r="CT214" s="291"/>
      <c r="CU214" s="107"/>
      <c r="CV214" s="107"/>
      <c r="CW214" s="107"/>
      <c r="CX214" s="292"/>
      <c r="CY214" s="291"/>
      <c r="CZ214" s="107"/>
      <c r="DA214" s="107"/>
      <c r="DB214" s="107"/>
      <c r="DC214" s="292"/>
      <c r="DD214" s="447">
        <f>DD209-DB209</f>
      </c>
      <c r="DE214" s="447">
        <f>DE209-DD209</f>
      </c>
      <c r="DF214" s="447">
        <f>DF209-DE209</f>
      </c>
      <c r="DG214" s="447">
        <f>DG209-DF209</f>
      </c>
      <c r="DH214" s="462"/>
      <c r="DI214" s="447">
        <f>DI209-DG209</f>
      </c>
      <c r="DJ214" s="447">
        <f>DJ209-DI209</f>
      </c>
      <c r="DK214" s="447">
        <f>DK209-DJ209</f>
      </c>
      <c r="DL214" s="447">
        <f>DL209-DK209</f>
      </c>
      <c r="DM214" s="462"/>
      <c r="DN214" s="447">
        <f>DN209-DL209</f>
      </c>
      <c r="DO214" s="447">
        <f>DO209-DN209</f>
      </c>
      <c r="DP214" s="447">
        <f>DP209-DO209</f>
      </c>
      <c r="DQ214" s="447">
        <f>DQ209-DP209</f>
      </c>
      <c r="DR214" s="462"/>
      <c r="DS214" s="447">
        <f>DS209-DQ209</f>
      </c>
      <c r="DT214" s="447">
        <f>DT209-DS209</f>
      </c>
      <c r="DU214" s="447">
        <f>DU209-DT209</f>
      </c>
      <c r="DV214" s="447">
        <f>DV209-DU209</f>
      </c>
      <c r="DW214" s="462"/>
      <c r="DX214" s="447">
        <f>DX209-DV209</f>
      </c>
      <c r="DY214" s="447">
        <f>DY209-DX209</f>
      </c>
      <c r="DZ214" s="447">
        <f>DZ209-DY209</f>
      </c>
      <c r="EA214" s="447">
        <f>EA209-DZ209</f>
      </c>
      <c r="EB214" s="462"/>
      <c r="EC214" s="447">
        <f>EC209-EA209</f>
      </c>
      <c r="ED214" s="447">
        <f>ED209-EC209</f>
      </c>
      <c r="EE214" s="447">
        <f>EE209-ED209</f>
      </c>
      <c r="EF214" s="447">
        <f>EF209-EE209</f>
      </c>
      <c r="EG214" s="462"/>
      <c r="EH214" s="447">
        <f>EH209-EF209</f>
      </c>
      <c r="EI214" s="447">
        <f>EI209-EH209</f>
      </c>
      <c r="EJ214" s="447">
        <f>EJ209-EI209</f>
      </c>
      <c r="EK214" s="447">
        <f>EK209-EJ209</f>
      </c>
      <c r="EL214" s="462"/>
      <c r="EM214" s="447">
        <f>EM209-EK209</f>
      </c>
      <c r="EN214" s="447">
        <f>EN209-EM209</f>
      </c>
      <c r="EO214" s="447">
        <f>EO209-EN209</f>
      </c>
      <c r="EP214" s="447">
        <f>EP209-EO209</f>
      </c>
      <c r="EQ214" s="462"/>
      <c r="ER214" s="447">
        <f>ER209-EP209</f>
      </c>
      <c r="ES214" s="447">
        <f>ES209-ER209</f>
      </c>
      <c r="ET214" s="447">
        <f>ET209-ES209</f>
      </c>
      <c r="EU214" s="447">
        <f>EU209-ET209</f>
      </c>
      <c r="EV214" s="462"/>
      <c r="EW214" s="447">
        <f>EW209-EU209</f>
      </c>
      <c r="EX214" s="447">
        <f>EX209-EW209</f>
      </c>
      <c r="EY214" s="447">
        <f>EY209-EX209</f>
      </c>
      <c r="EZ214" s="447">
        <f>EZ209-EY209</f>
      </c>
      <c r="FA214" s="462"/>
      <c r="FB214" s="447">
        <f>FB209-EZ209</f>
      </c>
      <c r="FC214" s="447">
        <f>FC209-FB209</f>
      </c>
      <c r="FD214" s="447">
        <f>FD209-FC209</f>
      </c>
      <c r="FE214" s="447">
        <f>FE209-FD209</f>
      </c>
      <c r="FF214" s="462"/>
      <c r="FG214" s="447">
        <f>FG209-FE209</f>
      </c>
      <c r="FH214" s="447">
        <f>FH209-FG209</f>
      </c>
      <c r="FI214" s="447">
        <f>FI209-FH209</f>
      </c>
      <c r="FJ214" s="447">
        <f>FJ209-FI209</f>
      </c>
      <c r="FK214" s="462"/>
      <c r="FL214" s="447">
        <f>FL209-FJ209</f>
      </c>
      <c r="FM214" s="447">
        <f>FM209-FL209</f>
      </c>
      <c r="FN214" s="447">
        <f>FN209-FM209</f>
      </c>
      <c r="FO214" s="447">
        <f>FO209-FN209</f>
      </c>
      <c r="FP214" s="462"/>
      <c r="FQ214" s="447">
        <f>FQ209-FO209</f>
      </c>
      <c r="FR214" s="447">
        <f>FR209-FQ209</f>
      </c>
      <c r="FS214" s="447">
        <f>FS209-FR209</f>
      </c>
      <c r="FT214" s="447">
        <f>FT209-FS209</f>
      </c>
      <c r="FU214" s="462"/>
      <c r="FV214" s="447">
        <f>FV209-FT209</f>
      </c>
      <c r="FW214" s="458">
        <f>FW209-FV209</f>
      </c>
      <c r="FX214" s="458">
        <f>FX209-FW209</f>
      </c>
      <c r="FY214" s="458">
        <f>FY209-FX209</f>
      </c>
      <c r="FZ214" s="462"/>
      <c r="GA214" s="447">
        <f>GA209-FY209</f>
      </c>
      <c r="GB214" s="458">
        <f>GB209-GA209</f>
      </c>
      <c r="GC214" s="458">
        <f>GC209-GB209</f>
      </c>
      <c r="GD214" s="458">
        <f>GD209-GC209</f>
      </c>
      <c r="GE214" s="462"/>
      <c r="GF214" s="447">
        <f>GF209-GD209</f>
      </c>
      <c r="GG214" s="458">
        <f>GG209-GF209</f>
      </c>
      <c r="GH214" s="458">
        <f>GH209-GG209</f>
      </c>
      <c r="GI214" s="458">
        <f>GI209-GH209</f>
      </c>
      <c r="GJ214" s="497"/>
    </row>
    <row r="215" spans="1:192" ht="12.75" customHeight="1">
      <c r="B215" s="735" t="s">
        <v>247</v>
      </c>
      <c r="C215" s="291"/>
      <c r="D215" s="107"/>
      <c r="E215" s="107"/>
      <c r="F215" s="107"/>
      <c r="G215" s="293"/>
      <c r="H215" s="291"/>
      <c r="I215" s="107"/>
      <c r="J215" s="107"/>
      <c r="K215" s="107"/>
      <c r="L215" s="293"/>
      <c r="M215" s="291"/>
      <c r="N215" s="107"/>
      <c r="O215" s="107"/>
      <c r="P215" s="107"/>
      <c r="Q215" s="293"/>
      <c r="R215" s="291"/>
      <c r="S215" s="107"/>
      <c r="T215" s="107"/>
      <c r="U215" s="107"/>
      <c r="V215" s="293"/>
      <c r="W215" s="291"/>
      <c r="X215" s="107"/>
      <c r="Y215" s="107"/>
      <c r="Z215" s="107"/>
      <c r="AA215" s="293"/>
      <c r="AB215" s="291"/>
      <c r="AC215" s="107"/>
      <c r="AD215" s="107"/>
      <c r="AE215" s="107"/>
      <c r="AF215" s="293"/>
      <c r="AG215" s="291"/>
      <c r="AH215" s="107"/>
      <c r="AI215" s="107"/>
      <c r="AJ215" s="107"/>
      <c r="AK215" s="293"/>
      <c r="AL215" s="291"/>
      <c r="AM215" s="107"/>
      <c r="AN215" s="107"/>
      <c r="AO215" s="107"/>
      <c r="AP215" s="293"/>
      <c r="AQ215" s="291"/>
      <c r="AR215" s="107"/>
      <c r="AS215" s="107"/>
      <c r="AT215" s="107"/>
      <c r="AU215" s="293"/>
      <c r="AV215" s="291"/>
      <c r="AW215" s="107"/>
      <c r="AX215" s="107"/>
      <c r="AY215" s="107"/>
      <c r="AZ215" s="293"/>
      <c r="BA215" s="291"/>
      <c r="BB215" s="107"/>
      <c r="BC215" s="107"/>
      <c r="BD215" s="107"/>
      <c r="BE215" s="293"/>
      <c r="BF215" s="291"/>
      <c r="BG215" s="107"/>
      <c r="BH215" s="107"/>
      <c r="BI215" s="107"/>
      <c r="BJ215" s="293"/>
      <c r="BK215" s="291"/>
      <c r="BL215" s="107"/>
      <c r="BM215" s="107"/>
      <c r="BN215" s="107"/>
      <c r="BO215" s="293"/>
      <c r="BP215" s="291"/>
      <c r="BQ215" s="107"/>
      <c r="BR215" s="107"/>
      <c r="BS215" s="107"/>
      <c r="BT215" s="293"/>
      <c r="BU215" s="291"/>
      <c r="BV215" s="107"/>
      <c r="BW215" s="107"/>
      <c r="BX215" s="107"/>
      <c r="BY215" s="293"/>
      <c r="BZ215" s="291"/>
      <c r="CA215" s="107"/>
      <c r="CB215" s="107"/>
      <c r="CC215" s="107"/>
      <c r="CD215" s="293"/>
      <c r="CE215" s="291"/>
      <c r="CF215" s="107"/>
      <c r="CG215" s="107"/>
      <c r="CH215" s="107"/>
      <c r="CI215" s="293"/>
      <c r="CJ215" s="291"/>
      <c r="CK215" s="107"/>
      <c r="CL215" s="107"/>
      <c r="CM215" s="107"/>
      <c r="CN215" s="293"/>
      <c r="CO215" s="465"/>
      <c r="CP215" s="465"/>
      <c r="CQ215" s="465"/>
      <c r="CR215" s="465"/>
      <c r="CS215" s="293"/>
      <c r="CT215" s="465"/>
      <c r="CU215" s="465"/>
      <c r="CV215" s="465"/>
      <c r="CW215" s="465"/>
      <c r="CX215" s="293"/>
      <c r="CY215" s="465"/>
      <c r="CZ215" s="465"/>
      <c r="DA215" s="465"/>
      <c r="DB215" s="465"/>
      <c r="DC215" s="293"/>
      <c r="DD215" s="465"/>
      <c r="DE215" s="465"/>
      <c r="DF215" s="465"/>
      <c r="DG215" s="465"/>
      <c r="DH215" s="293"/>
      <c r="DI215" s="465"/>
      <c r="DJ215" s="465"/>
      <c r="DK215" s="465"/>
      <c r="DL215" s="465"/>
      <c r="DM215" s="293"/>
      <c r="DN215" s="465"/>
      <c r="DO215" s="465"/>
      <c r="DP215" s="465"/>
      <c r="DQ215" s="465"/>
      <c r="DR215" s="293"/>
      <c r="DS215" s="465"/>
      <c r="DT215" s="465"/>
      <c r="DU215" s="465"/>
      <c r="DV215" s="465"/>
      <c r="DW215" s="293"/>
      <c r="DX215" s="465"/>
      <c r="DY215" s="465"/>
      <c r="DZ215" s="465"/>
      <c r="EA215" s="465"/>
      <c r="EB215" s="293"/>
      <c r="EC215" s="1507"/>
      <c r="ED215" s="1508"/>
      <c r="EE215" s="1508"/>
      <c r="EF215" s="1507"/>
      <c r="EG215" s="293"/>
      <c r="EH215" s="465"/>
      <c r="EI215" s="465"/>
      <c r="EJ215" s="465"/>
      <c r="EK215" s="465"/>
      <c r="EL215" s="293"/>
      <c r="EM215" s="465">
        <f t="shared" ref="EM215:GE215" si="209">EM209/EM$90</f>
      </c>
      <c r="EN215" s="465">
        <f t="shared" si="209"/>
      </c>
      <c r="EO215" s="465">
        <f t="shared" si="209"/>
      </c>
      <c r="EP215" s="465">
        <f t="shared" si="209"/>
      </c>
      <c r="EQ215" s="293">
        <f t="shared" si="209"/>
      </c>
      <c r="ER215" s="465">
        <f t="shared" si="209"/>
      </c>
      <c r="ES215" s="465">
        <f t="shared" si="209"/>
      </c>
      <c r="ET215" s="465">
        <f t="shared" si="209"/>
      </c>
      <c r="EU215" s="465">
        <f t="shared" si="209"/>
      </c>
      <c r="EV215" s="293">
        <f t="shared" si="209"/>
      </c>
      <c r="EW215" s="465">
        <f t="shared" si="209"/>
      </c>
      <c r="EX215" s="465">
        <f t="shared" ref="EX215:FA215" si="210">EX209/EX$90</f>
      </c>
      <c r="EY215" s="465">
        <f t="shared" si="210"/>
      </c>
      <c r="EZ215" s="465">
        <f t="shared" si="210"/>
      </c>
      <c r="FA215" s="293">
        <f t="shared" si="210"/>
      </c>
      <c r="FB215" s="465">
        <f t="shared" si="209"/>
      </c>
      <c r="FC215" s="465">
        <f t="shared" si="209"/>
      </c>
      <c r="FD215" s="465">
        <f t="shared" si="209"/>
      </c>
      <c r="FE215" s="465">
        <f t="shared" si="209"/>
      </c>
      <c r="FF215" s="293">
        <f t="shared" si="209"/>
      </c>
      <c r="FG215" s="465">
        <f t="shared" si="209"/>
      </c>
      <c r="FH215" s="465">
        <f t="shared" si="209"/>
      </c>
      <c r="FI215" s="465">
        <f t="shared" si="209"/>
      </c>
      <c r="FJ215" s="465">
        <f t="shared" si="209"/>
      </c>
      <c r="FK215" s="293">
        <f t="shared" si="209"/>
      </c>
      <c r="FL215" s="465">
        <f t="shared" si="209"/>
      </c>
      <c r="FM215" s="465">
        <f t="shared" si="209"/>
      </c>
      <c r="FN215" s="465">
        <f t="shared" si="209"/>
      </c>
      <c r="FO215" s="465">
        <f t="shared" si="209"/>
      </c>
      <c r="FP215" s="293">
        <f t="shared" si="209"/>
      </c>
      <c r="FQ215" s="465">
        <f t="shared" si="209"/>
      </c>
      <c r="FR215" s="465">
        <f t="shared" si="209"/>
      </c>
      <c r="FS215" s="465">
        <f t="shared" si="209"/>
      </c>
      <c r="FT215" s="465">
        <f t="shared" si="209"/>
      </c>
      <c r="FU215" s="293">
        <f t="shared" si="209"/>
      </c>
      <c r="FV215" s="465">
        <f t="shared" si="209"/>
      </c>
      <c r="FW215" s="465">
        <f t="shared" si="209"/>
      </c>
      <c r="FX215" s="465">
        <f t="shared" si="209"/>
      </c>
      <c r="FY215" s="465">
        <f t="shared" si="209"/>
      </c>
      <c r="FZ215" s="293">
        <f t="shared" si="209"/>
      </c>
      <c r="GA215" s="291">
        <f t="shared" si="209"/>
      </c>
      <c r="GB215" s="107">
        <f t="shared" si="209"/>
      </c>
      <c r="GC215" s="107">
        <f t="shared" si="209"/>
      </c>
      <c r="GD215" s="107">
        <f t="shared" si="209"/>
      </c>
      <c r="GE215" s="293">
        <f t="shared" si="209"/>
      </c>
      <c r="GF215" s="291">
        <f t="shared" ref="GF215:GJ215" si="211">GF209/GF$90</f>
      </c>
      <c r="GG215" s="107">
        <f t="shared" si="211"/>
      </c>
      <c r="GH215" s="107">
        <f t="shared" si="211"/>
      </c>
      <c r="GI215" s="107">
        <f t="shared" si="211"/>
      </c>
      <c r="GJ215" s="382">
        <f t="shared" si="211"/>
      </c>
    </row>
    <row r="216" spans="1:192" ht="12.75" customHeight="1">
      <c r="B216" s="735"/>
      <c r="C216" s="291"/>
      <c r="D216" s="107"/>
      <c r="E216" s="107"/>
      <c r="F216" s="107"/>
      <c r="G216" s="292"/>
      <c r="H216" s="291"/>
      <c r="I216" s="107"/>
      <c r="J216" s="107"/>
      <c r="K216" s="107"/>
      <c r="L216" s="292"/>
      <c r="M216" s="291"/>
      <c r="N216" s="107"/>
      <c r="O216" s="107"/>
      <c r="P216" s="107"/>
      <c r="Q216" s="292"/>
      <c r="R216" s="291"/>
      <c r="S216" s="107"/>
      <c r="T216" s="107"/>
      <c r="U216" s="107"/>
      <c r="V216" s="292"/>
      <c r="W216" s="291"/>
      <c r="X216" s="107"/>
      <c r="Y216" s="107"/>
      <c r="Z216" s="107"/>
      <c r="AA216" s="292"/>
      <c r="AB216" s="291"/>
      <c r="AC216" s="107"/>
      <c r="AD216" s="107"/>
      <c r="AE216" s="107"/>
      <c r="AF216" s="292"/>
      <c r="AG216" s="291"/>
      <c r="AH216" s="107"/>
      <c r="AI216" s="107"/>
      <c r="AJ216" s="107"/>
      <c r="AK216" s="292"/>
      <c r="AL216" s="291"/>
      <c r="AM216" s="107"/>
      <c r="AN216" s="107"/>
      <c r="AO216" s="107"/>
      <c r="AP216" s="292"/>
      <c r="AQ216" s="291"/>
      <c r="AR216" s="107"/>
      <c r="AS216" s="107"/>
      <c r="AT216" s="107"/>
      <c r="AU216" s="292"/>
      <c r="AV216" s="291"/>
      <c r="AW216" s="107"/>
      <c r="AX216" s="107"/>
      <c r="AY216" s="107"/>
      <c r="AZ216" s="292"/>
      <c r="BA216" s="291"/>
      <c r="BB216" s="107"/>
      <c r="BC216" s="107"/>
      <c r="BD216" s="107"/>
      <c r="BE216" s="292"/>
      <c r="BF216" s="291"/>
      <c r="BG216" s="107"/>
      <c r="BH216" s="107"/>
      <c r="BI216" s="107"/>
      <c r="BJ216" s="292"/>
      <c r="BK216" s="291"/>
      <c r="BL216" s="107"/>
      <c r="BM216" s="107"/>
      <c r="BN216" s="107"/>
      <c r="BO216" s="292"/>
      <c r="BP216" s="291"/>
      <c r="BQ216" s="107"/>
      <c r="BR216" s="107"/>
      <c r="BS216" s="107"/>
      <c r="BT216" s="292"/>
      <c r="BU216" s="291"/>
      <c r="BV216" s="107"/>
      <c r="BW216" s="107"/>
      <c r="BX216" s="107"/>
      <c r="BY216" s="292"/>
      <c r="BZ216" s="291"/>
      <c r="CA216" s="107"/>
      <c r="CB216" s="107"/>
      <c r="CC216" s="107"/>
      <c r="CD216" s="292"/>
      <c r="CE216" s="291"/>
      <c r="CF216" s="107"/>
      <c r="CG216" s="107"/>
      <c r="CH216" s="107"/>
      <c r="CI216" s="292"/>
      <c r="CJ216" s="291"/>
      <c r="CK216" s="107"/>
      <c r="CL216" s="107"/>
      <c r="CM216" s="107"/>
      <c r="CN216" s="292"/>
      <c r="CO216" s="291"/>
      <c r="CP216" s="107"/>
      <c r="CQ216" s="107"/>
      <c r="CR216" s="107"/>
      <c r="CS216" s="292"/>
      <c r="CT216" s="291"/>
      <c r="CU216" s="107"/>
      <c r="CV216" s="107"/>
      <c r="CW216" s="107"/>
      <c r="CX216" s="292"/>
      <c r="CY216" s="291"/>
      <c r="CZ216" s="107"/>
      <c r="DA216" s="107"/>
      <c r="DB216" s="291"/>
      <c r="DC216" s="292"/>
      <c r="DD216" s="291"/>
      <c r="DE216" s="291"/>
      <c r="DF216" s="291"/>
      <c r="DG216" s="291"/>
      <c r="DH216" s="292"/>
      <c r="DI216" s="291"/>
      <c r="DJ216" s="291"/>
      <c r="DK216" s="291"/>
      <c r="DL216" s="291"/>
      <c r="DM216" s="292"/>
      <c r="DN216" s="291"/>
      <c r="DO216" s="291"/>
      <c r="DP216" s="291"/>
      <c r="DQ216" s="291"/>
      <c r="DR216" s="292"/>
      <c r="DS216" s="291"/>
      <c r="DT216" s="291"/>
      <c r="DU216" s="291"/>
      <c r="DV216" s="291"/>
      <c r="DW216" s="292"/>
      <c r="DX216" s="291"/>
      <c r="DY216" s="291"/>
      <c r="DZ216" s="291"/>
      <c r="EA216" s="291"/>
      <c r="EB216" s="292"/>
      <c r="EC216" s="291"/>
      <c r="ED216" s="291"/>
      <c r="EE216" s="291"/>
      <c r="EF216" s="291"/>
      <c r="EG216" s="292"/>
      <c r="EH216" s="291"/>
      <c r="EI216" s="291"/>
      <c r="EJ216" s="291"/>
      <c r="EK216" s="291"/>
      <c r="EL216" s="292"/>
      <c r="EM216" s="291"/>
      <c r="EN216" s="291"/>
      <c r="EO216" s="291"/>
      <c r="EP216" s="291"/>
      <c r="EQ216" s="292"/>
      <c r="ER216" s="291"/>
      <c r="ES216" s="291"/>
      <c r="ET216" s="291"/>
      <c r="EU216" s="291"/>
      <c r="EV216" s="292"/>
      <c r="EW216" s="291"/>
      <c r="EX216" s="291"/>
      <c r="EY216" s="291"/>
      <c r="EZ216" s="291"/>
      <c r="FA216" s="292"/>
      <c r="FB216" s="291"/>
      <c r="FC216" s="291"/>
      <c r="FD216" s="291"/>
      <c r="FE216" s="291"/>
      <c r="FF216" s="292"/>
      <c r="FG216" s="291"/>
      <c r="FH216" s="291"/>
      <c r="FI216" s="291"/>
      <c r="FJ216" s="291"/>
      <c r="FK216" s="292"/>
      <c r="FL216" s="291"/>
      <c r="FM216" s="291"/>
      <c r="FN216" s="291"/>
      <c r="FO216" s="291"/>
      <c r="FP216" s="292"/>
      <c r="FQ216" s="291"/>
      <c r="FR216" s="291"/>
      <c r="FS216" s="291"/>
      <c r="FT216" s="291"/>
      <c r="FU216" s="292"/>
      <c r="FV216" s="291"/>
      <c r="FW216" s="107"/>
      <c r="FX216" s="107"/>
      <c r="FY216" s="107"/>
      <c r="FZ216" s="292"/>
      <c r="GA216" s="291"/>
      <c r="GB216" s="107"/>
      <c r="GC216" s="107"/>
      <c r="GD216" s="107"/>
      <c r="GE216" s="292"/>
      <c r="GF216" s="291"/>
      <c r="GG216" s="107"/>
      <c r="GH216" s="107"/>
      <c r="GI216" s="107"/>
      <c r="GJ216" s="384"/>
    </row>
    <row r="217" spans="1:192" ht="12.75" customHeight="1">
      <c r="B217" s="745" t="s">
        <v>390</v>
      </c>
      <c r="C217" s="291"/>
      <c r="D217" s="107"/>
      <c r="E217" s="107"/>
      <c r="F217" s="107"/>
      <c r="G217" s="292"/>
      <c r="H217" s="291"/>
      <c r="I217" s="107"/>
      <c r="J217" s="107"/>
      <c r="K217" s="107"/>
      <c r="L217" s="292"/>
      <c r="M217" s="291"/>
      <c r="N217" s="107"/>
      <c r="O217" s="107"/>
      <c r="P217" s="107"/>
      <c r="Q217" s="292"/>
      <c r="R217" s="291"/>
      <c r="S217" s="107"/>
      <c r="T217" s="107"/>
      <c r="U217" s="107"/>
      <c r="V217" s="292"/>
      <c r="W217" s="291"/>
      <c r="X217" s="107"/>
      <c r="Y217" s="107"/>
      <c r="Z217" s="107"/>
      <c r="AA217" s="292"/>
      <c r="AB217" s="291"/>
      <c r="AC217" s="107"/>
      <c r="AD217" s="107"/>
      <c r="AE217" s="107"/>
      <c r="AF217" s="292"/>
      <c r="AG217" s="291"/>
      <c r="AH217" s="107"/>
      <c r="AI217" s="107"/>
      <c r="AJ217" s="107"/>
      <c r="AK217" s="292"/>
      <c r="AL217" s="291"/>
      <c r="AM217" s="107"/>
      <c r="AN217" s="107"/>
      <c r="AO217" s="107"/>
      <c r="AP217" s="292"/>
      <c r="AQ217" s="291"/>
      <c r="AR217" s="107"/>
      <c r="AS217" s="107"/>
      <c r="AT217" s="107"/>
      <c r="AU217" s="292"/>
      <c r="AV217" s="291"/>
      <c r="AW217" s="107"/>
      <c r="AX217" s="107"/>
      <c r="AY217" s="107"/>
      <c r="AZ217" s="292"/>
      <c r="BA217" s="291"/>
      <c r="BB217" s="107"/>
      <c r="BC217" s="107"/>
      <c r="BD217" s="107"/>
      <c r="BE217" s="292"/>
      <c r="BF217" s="291"/>
      <c r="BG217" s="107"/>
      <c r="BH217" s="107"/>
      <c r="BI217" s="107"/>
      <c r="BJ217" s="292"/>
      <c r="BK217" s="291"/>
      <c r="BL217" s="107"/>
      <c r="BM217" s="107"/>
      <c r="BN217" s="107"/>
      <c r="BO217" s="292"/>
      <c r="BP217" s="291"/>
      <c r="BQ217" s="107"/>
      <c r="BR217" s="107"/>
      <c r="BS217" s="107"/>
      <c r="BT217" s="292"/>
      <c r="BU217" s="291"/>
      <c r="BV217" s="107"/>
      <c r="BW217" s="107"/>
      <c r="BX217" s="107"/>
      <c r="BY217" s="292"/>
      <c r="BZ217" s="291"/>
      <c r="CA217" s="107"/>
      <c r="CB217" s="107"/>
      <c r="CC217" s="107"/>
      <c r="CD217" s="292"/>
      <c r="CE217" s="291"/>
      <c r="CF217" s="107"/>
      <c r="CG217" s="107"/>
      <c r="CH217" s="107"/>
      <c r="CI217" s="292"/>
      <c r="CJ217" s="291"/>
      <c r="CK217" s="107"/>
      <c r="CL217" s="107"/>
      <c r="CM217" s="107"/>
      <c r="CN217" s="292"/>
      <c r="CO217" s="291"/>
      <c r="CP217" s="107"/>
      <c r="CQ217" s="107"/>
      <c r="CR217" s="107"/>
      <c r="CS217" s="292"/>
      <c r="CT217" s="291"/>
      <c r="CU217" s="107"/>
      <c r="CV217" s="107"/>
      <c r="CW217" s="107"/>
      <c r="CX217" s="292"/>
      <c r="CY217" s="291"/>
      <c r="CZ217" s="107"/>
      <c r="DA217" s="107"/>
      <c r="DB217" s="107"/>
      <c r="DC217" s="292"/>
      <c r="DD217" s="467"/>
      <c r="DE217" s="467"/>
      <c r="DF217" s="467"/>
      <c r="DG217" s="467"/>
      <c r="DH217" s="292"/>
      <c r="DI217" s="467">
        <f>(DI210-DG210)*10000</f>
      </c>
      <c r="DJ217" s="467">
        <f>(DJ210-DI210)*10000</f>
      </c>
      <c r="DK217" s="467">
        <f>(DK210-DJ210)*10000</f>
      </c>
      <c r="DL217" s="467">
        <f>(DL210-DK210)*10000</f>
      </c>
      <c r="DM217" s="292"/>
      <c r="DN217" s="467">
        <f>(DN210-DL210)*10000</f>
      </c>
      <c r="DO217" s="467">
        <f>(DO210-DN210)*10000</f>
      </c>
      <c r="DP217" s="467">
        <f>(DP210-DO210)*10000</f>
      </c>
      <c r="DQ217" s="467">
        <f>(DQ210-DP210)*10000</f>
      </c>
      <c r="DR217" s="1242">
        <f>(DR210-DM210)*10000</f>
      </c>
      <c r="DS217" s="467">
        <f>(DS210-DQ210)*10000</f>
      </c>
      <c r="DT217" s="467">
        <f>(DT210-DS210)*10000</f>
      </c>
      <c r="DU217" s="467">
        <f>(DU210-DT210)*10000</f>
      </c>
      <c r="DV217" s="467">
        <f>(DV210-DU210)*10000</f>
      </c>
      <c r="DW217" s="1242">
        <f>(DW210-DR210)*10000</f>
      </c>
      <c r="DX217" s="467">
        <f>(DX210-DV210)*10000</f>
      </c>
      <c r="DY217" s="467">
        <f>(DY210-DX210)*10000</f>
      </c>
      <c r="DZ217" s="467">
        <f>(DZ210-DY210)*10000</f>
      </c>
      <c r="EA217" s="467">
        <f>(EA210-DZ210)*10000</f>
      </c>
      <c r="EB217" s="1242">
        <f>(EB210-DW210)*10000</f>
      </c>
      <c r="EC217" s="467">
        <f>(EC210-EA210)*10000</f>
      </c>
      <c r="ED217" s="467">
        <f>(ED210-EC210)*10000</f>
      </c>
      <c r="EE217" s="467">
        <f>(EE210-ED210)*10000</f>
      </c>
      <c r="EF217" s="467">
        <f>(EF210-EE210)*10000</f>
      </c>
      <c r="EG217" s="1242">
        <f>(EG210-EB210)*10000</f>
      </c>
      <c r="EH217" s="467">
        <f>(EH210-EF210)*10000</f>
      </c>
      <c r="EI217" s="467">
        <f>(EI210-EH210)*10000</f>
      </c>
      <c r="EJ217" s="467">
        <f>(EJ210-EI210)*10000</f>
      </c>
      <c r="EK217" s="467">
        <f>(EK210-EJ210)*10000</f>
      </c>
      <c r="EL217" s="1242">
        <f>(EL210-EG210)*10000</f>
      </c>
      <c r="EM217" s="467">
        <f>(EM210-EK210)*10000</f>
      </c>
      <c r="EN217" s="467">
        <f>(EN210-EM210)*10000</f>
      </c>
      <c r="EO217" s="467">
        <f>(EO210-EN210)*10000</f>
      </c>
      <c r="EP217" s="467">
        <f>(EP210-EO210)*10000</f>
      </c>
      <c r="EQ217" s="1242">
        <f>(EQ210-EL210)*10000</f>
      </c>
      <c r="ER217" s="467">
        <f>(ER210-EP210)*10000</f>
      </c>
      <c r="ES217" s="467">
        <f>(ES210-ER210)*10000</f>
      </c>
      <c r="ET217" s="467">
        <f>(ET210-ES210)*10000</f>
      </c>
      <c r="EU217" s="467">
        <f>(EU210-ET210)*10000</f>
      </c>
      <c r="EV217" s="1242">
        <f>(EV210-EQ210)*10000</f>
      </c>
      <c r="EW217" s="467">
        <f>(EW210-EU210)*10000</f>
      </c>
      <c r="EX217" s="467">
        <f>(EX210-EW210)*10000</f>
      </c>
      <c r="EY217" s="467">
        <f>(EY210-EX210)*10000</f>
      </c>
      <c r="EZ217" s="467">
        <f>(EZ210-EY210)*10000</f>
      </c>
      <c r="FA217" s="1242">
        <f>(FA210-EV210)*10000</f>
      </c>
      <c r="FB217" s="467">
        <f>(FB210-EZ210)*10000</f>
      </c>
      <c r="FC217" s="467">
        <f>(FC210-FB210)*10000</f>
      </c>
      <c r="FD217" s="467">
        <f>(FD210-FC210)*10000</f>
      </c>
      <c r="FE217" s="467">
        <f>(FE210-FD210)*10000</f>
      </c>
      <c r="FF217" s="1242">
        <f>(FF210-FA210)*10000</f>
      </c>
      <c r="FG217" s="467">
        <f>(FG210-FE210)*10000</f>
      </c>
      <c r="FH217" s="467">
        <f>(FH210-FG210)*10000</f>
      </c>
      <c r="FI217" s="467">
        <f>(FI210-FH210)*10000</f>
      </c>
      <c r="FJ217" s="467">
        <f>(FJ210-FI210)*10000</f>
      </c>
      <c r="FK217" s="1242">
        <f>(FK210-FF210)*10000</f>
      </c>
      <c r="FL217" s="467">
        <f>(FL210-FJ210)*10000</f>
      </c>
      <c r="FM217" s="467">
        <f>(FM210-FL210)*10000</f>
      </c>
      <c r="FN217" s="467">
        <f>(FN210-FM210)*10000</f>
      </c>
      <c r="FO217" s="467">
        <f>(FO210-FN210)*10000</f>
      </c>
      <c r="FP217" s="1242">
        <f>(FP210-FK210)*10000</f>
      </c>
      <c r="FQ217" s="467">
        <f>(FQ210-FO210)*10000</f>
      </c>
      <c r="FR217" s="467">
        <f>(FR210-FQ210)*10000</f>
      </c>
      <c r="FS217" s="467">
        <f>(FS210-FR210)*10000</f>
      </c>
      <c r="FT217" s="467">
        <f>(FT210-FS210)*10000</f>
      </c>
      <c r="FU217" s="1242">
        <f>(FU210-FP210)*10000</f>
      </c>
      <c r="FV217" s="291">
        <f>(FV210-FT210)*10000</f>
      </c>
      <c r="FW217" s="107">
        <f>(FW210-FV210)*10000</f>
      </c>
      <c r="FX217" s="107">
        <f>(FX210-FW210)*10000</f>
      </c>
      <c r="FY217" s="107">
        <f>(FY210-FX210)*10000</f>
      </c>
      <c r="FZ217" s="1242">
        <f>(FZ210-FU210)*10000</f>
      </c>
      <c r="GA217" s="291">
        <f>(GA210-FY210)*10000</f>
      </c>
      <c r="GB217" s="107">
        <f>(GB210-GA210)*10000</f>
      </c>
      <c r="GC217" s="107">
        <f>(GC210-GB210)*10000</f>
      </c>
      <c r="GD217" s="107">
        <f>(GD210-GC210)*10000</f>
      </c>
      <c r="GE217" s="1242">
        <f>(GE210-FZ210)*10000</f>
      </c>
      <c r="GF217" s="291">
        <f>(GF210-GD210)*10000</f>
      </c>
      <c r="GG217" s="107">
        <f>(GG210-GF210)*10000</f>
      </c>
      <c r="GH217" s="107">
        <f>(GH210-GG210)*10000</f>
      </c>
      <c r="GI217" s="107">
        <f>(GI210-GH210)*10000</f>
      </c>
      <c r="GJ217" s="1471">
        <f>(GJ210-GE210)*10000</f>
      </c>
    </row>
    <row r="218" spans="1:192" ht="12.75" customHeight="1">
      <c r="B218" s="745"/>
      <c r="C218" s="291"/>
      <c r="D218" s="107"/>
      <c r="E218" s="107"/>
      <c r="F218" s="107"/>
      <c r="G218" s="292"/>
      <c r="H218" s="291"/>
      <c r="I218" s="107"/>
      <c r="J218" s="107"/>
      <c r="K218" s="107"/>
      <c r="L218" s="292"/>
      <c r="M218" s="291"/>
      <c r="N218" s="107"/>
      <c r="O218" s="107"/>
      <c r="P218" s="107"/>
      <c r="Q218" s="292"/>
      <c r="R218" s="291"/>
      <c r="S218" s="107"/>
      <c r="T218" s="107"/>
      <c r="U218" s="107"/>
      <c r="V218" s="292"/>
      <c r="W218" s="291"/>
      <c r="X218" s="107"/>
      <c r="Y218" s="107"/>
      <c r="Z218" s="107"/>
      <c r="AA218" s="292"/>
      <c r="AB218" s="291"/>
      <c r="AC218" s="107"/>
      <c r="AD218" s="107"/>
      <c r="AE218" s="107"/>
      <c r="AF218" s="292"/>
      <c r="AG218" s="291"/>
      <c r="AH218" s="107"/>
      <c r="AI218" s="107"/>
      <c r="AJ218" s="107"/>
      <c r="AK218" s="292"/>
      <c r="AL218" s="291"/>
      <c r="AM218" s="107"/>
      <c r="AN218" s="107"/>
      <c r="AO218" s="107"/>
      <c r="AP218" s="292"/>
      <c r="AQ218" s="291"/>
      <c r="AR218" s="107"/>
      <c r="AS218" s="107"/>
      <c r="AT218" s="107"/>
      <c r="AU218" s="292"/>
      <c r="AV218" s="291"/>
      <c r="AW218" s="107"/>
      <c r="AX218" s="107"/>
      <c r="AY218" s="107"/>
      <c r="AZ218" s="292"/>
      <c r="BA218" s="291"/>
      <c r="BB218" s="107"/>
      <c r="BC218" s="107"/>
      <c r="BD218" s="107"/>
      <c r="BE218" s="292"/>
      <c r="BF218" s="291"/>
      <c r="BG218" s="107"/>
      <c r="BH218" s="107"/>
      <c r="BI218" s="107"/>
      <c r="BJ218" s="292"/>
      <c r="BK218" s="291"/>
      <c r="BL218" s="107"/>
      <c r="BM218" s="107"/>
      <c r="BN218" s="107"/>
      <c r="BO218" s="292"/>
      <c r="BP218" s="291"/>
      <c r="BQ218" s="107"/>
      <c r="BR218" s="107"/>
      <c r="BS218" s="107"/>
      <c r="BT218" s="292"/>
      <c r="BU218" s="291"/>
      <c r="BV218" s="107"/>
      <c r="BW218" s="107"/>
      <c r="BX218" s="107"/>
      <c r="BY218" s="292"/>
      <c r="BZ218" s="291"/>
      <c r="CA218" s="107"/>
      <c r="CB218" s="107"/>
      <c r="CC218" s="107"/>
      <c r="CD218" s="292"/>
      <c r="CE218" s="291"/>
      <c r="CF218" s="107"/>
      <c r="CG218" s="107"/>
      <c r="CH218" s="107"/>
      <c r="CI218" s="292"/>
      <c r="CJ218" s="291"/>
      <c r="CK218" s="107"/>
      <c r="CL218" s="107"/>
      <c r="CM218" s="107"/>
      <c r="CN218" s="292"/>
      <c r="CO218" s="291"/>
      <c r="CP218" s="107"/>
      <c r="CQ218" s="107"/>
      <c r="CR218" s="107"/>
      <c r="CS218" s="292"/>
      <c r="CT218" s="291"/>
      <c r="CU218" s="107"/>
      <c r="CV218" s="107"/>
      <c r="CW218" s="107"/>
      <c r="CX218" s="292"/>
      <c r="CY218" s="291"/>
      <c r="CZ218" s="107"/>
      <c r="DA218" s="107"/>
      <c r="DB218" s="107"/>
      <c r="DC218" s="292"/>
      <c r="DD218" s="467"/>
      <c r="DE218" s="467"/>
      <c r="DF218" s="467"/>
      <c r="DG218" s="467"/>
      <c r="DH218" s="292"/>
      <c r="DI218" s="467"/>
      <c r="DJ218" s="467"/>
      <c r="DK218" s="467"/>
      <c r="DL218" s="467"/>
      <c r="DM218" s="292"/>
      <c r="DN218" s="467"/>
      <c r="DO218" s="467"/>
      <c r="DP218" s="467"/>
      <c r="DQ218" s="467"/>
      <c r="DR218" s="1242"/>
      <c r="DS218" s="467"/>
      <c r="DT218" s="467"/>
      <c r="DU218" s="467"/>
      <c r="DV218" s="467"/>
      <c r="DW218" s="1242"/>
      <c r="DX218" s="467"/>
      <c r="DY218" s="467"/>
      <c r="DZ218" s="467"/>
      <c r="EA218" s="467"/>
      <c r="EB218" s="1242"/>
      <c r="EC218" s="467"/>
      <c r="ED218" s="467"/>
      <c r="EE218" s="467"/>
      <c r="EF218" s="467"/>
      <c r="EG218" s="1242"/>
      <c r="EH218" s="467"/>
      <c r="EI218" s="467"/>
      <c r="EJ218" s="467"/>
      <c r="EK218" s="467"/>
      <c r="EL218" s="1242"/>
      <c r="EM218" s="467"/>
      <c r="EN218" s="467"/>
      <c r="EO218" s="467"/>
      <c r="EP218" s="467"/>
      <c r="EQ218" s="1242"/>
      <c r="ER218" s="467"/>
      <c r="ES218" s="467"/>
      <c r="ET218" s="467"/>
      <c r="EU218" s="467"/>
      <c r="EV218" s="1242"/>
      <c r="EW218" s="467"/>
      <c r="EX218" s="467"/>
      <c r="EY218" s="467"/>
      <c r="EZ218" s="467"/>
      <c r="FA218" s="1242"/>
      <c r="FB218" s="467"/>
      <c r="FC218" s="467"/>
      <c r="FD218" s="467"/>
      <c r="FE218" s="467"/>
      <c r="FF218" s="1242"/>
      <c r="FG218" s="467"/>
      <c r="FH218" s="467"/>
      <c r="FI218" s="467"/>
      <c r="FJ218" s="467"/>
      <c r="FK218" s="1242"/>
      <c r="FL218" s="467"/>
      <c r="FM218" s="467"/>
      <c r="FN218" s="467"/>
      <c r="FO218" s="467"/>
      <c r="FP218" s="1242"/>
      <c r="FQ218" s="467"/>
      <c r="FR218" s="467"/>
      <c r="FS218" s="467"/>
      <c r="FT218" s="467"/>
      <c r="FU218" s="1242"/>
      <c r="FV218" s="291"/>
      <c r="FW218" s="107"/>
      <c r="FX218" s="107"/>
      <c r="FY218" s="107"/>
      <c r="FZ218" s="1242"/>
      <c r="GA218" s="291"/>
      <c r="GB218" s="107"/>
      <c r="GC218" s="107"/>
      <c r="GD218" s="107"/>
      <c r="GE218" s="1242"/>
      <c r="GF218" s="291"/>
      <c r="GG218" s="107"/>
      <c r="GH218" s="107"/>
      <c r="GI218" s="107"/>
      <c r="GJ218" s="1471"/>
    </row>
    <row r="219" spans="1:192" ht="12.75" customHeight="1" thickBot="1">
      <c r="B219" s="743"/>
      <c r="C219" s="393"/>
      <c r="D219" s="388"/>
      <c r="E219" s="388"/>
      <c r="F219" s="389"/>
      <c r="G219" s="390"/>
      <c r="H219" s="393"/>
      <c r="I219" s="388"/>
      <c r="J219" s="388"/>
      <c r="K219" s="389"/>
      <c r="L219" s="390"/>
      <c r="M219" s="393"/>
      <c r="N219" s="388"/>
      <c r="O219" s="388"/>
      <c r="P219" s="389"/>
      <c r="Q219" s="390"/>
      <c r="R219" s="393"/>
      <c r="S219" s="388"/>
      <c r="T219" s="388"/>
      <c r="U219" s="389"/>
      <c r="V219" s="390"/>
      <c r="W219" s="393"/>
      <c r="X219" s="388"/>
      <c r="Y219" s="388"/>
      <c r="Z219" s="389"/>
      <c r="AA219" s="390"/>
      <c r="AB219" s="393"/>
      <c r="AC219" s="388"/>
      <c r="AD219" s="388"/>
      <c r="AE219" s="389"/>
      <c r="AF219" s="390"/>
      <c r="AG219" s="393"/>
      <c r="AH219" s="388"/>
      <c r="AI219" s="388"/>
      <c r="AJ219" s="389"/>
      <c r="AK219" s="390"/>
      <c r="AL219" s="393"/>
      <c r="AM219" s="388"/>
      <c r="AN219" s="388"/>
      <c r="AO219" s="389"/>
      <c r="AP219" s="390"/>
      <c r="AQ219" s="393"/>
      <c r="AR219" s="388"/>
      <c r="AS219" s="388"/>
      <c r="AT219" s="389"/>
      <c r="AU219" s="390"/>
      <c r="AV219" s="393"/>
      <c r="AW219" s="388"/>
      <c r="AX219" s="388"/>
      <c r="AY219" s="389"/>
      <c r="AZ219" s="390"/>
      <c r="BA219" s="393"/>
      <c r="BB219" s="388"/>
      <c r="BC219" s="388"/>
      <c r="BD219" s="389"/>
      <c r="BE219" s="390"/>
      <c r="BF219" s="393"/>
      <c r="BG219" s="388"/>
      <c r="BH219" s="388"/>
      <c r="BI219" s="389"/>
      <c r="BJ219" s="390"/>
      <c r="BK219" s="393"/>
      <c r="BL219" s="388"/>
      <c r="BM219" s="388"/>
      <c r="BN219" s="389"/>
      <c r="BO219" s="390"/>
      <c r="BP219" s="393"/>
      <c r="BQ219" s="388"/>
      <c r="BR219" s="388"/>
      <c r="BS219" s="389"/>
      <c r="BT219" s="390"/>
      <c r="BU219" s="393"/>
      <c r="BV219" s="388"/>
      <c r="BW219" s="388"/>
      <c r="BX219" s="389"/>
      <c r="BY219" s="390"/>
      <c r="BZ219" s="393"/>
      <c r="CA219" s="388"/>
      <c r="CB219" s="388"/>
      <c r="CC219" s="389"/>
      <c r="CD219" s="390"/>
      <c r="CE219" s="393"/>
      <c r="CF219" s="388"/>
      <c r="CG219" s="388"/>
      <c r="CH219" s="389"/>
      <c r="CI219" s="390"/>
      <c r="CJ219" s="393"/>
      <c r="CK219" s="388"/>
      <c r="CL219" s="388"/>
      <c r="CM219" s="389"/>
      <c r="CN219" s="390"/>
      <c r="CO219" s="393"/>
      <c r="CP219" s="388"/>
      <c r="CQ219" s="388"/>
      <c r="CR219" s="389"/>
      <c r="CS219" s="390"/>
      <c r="CT219" s="393"/>
      <c r="CU219" s="388"/>
      <c r="CV219" s="388"/>
      <c r="CW219" s="389"/>
      <c r="CX219" s="390"/>
      <c r="CY219" s="393"/>
      <c r="CZ219" s="388"/>
      <c r="DA219" s="388"/>
      <c r="DB219" s="389"/>
      <c r="DC219" s="390"/>
      <c r="DD219" s="393"/>
      <c r="DE219" s="388"/>
      <c r="DF219" s="388"/>
      <c r="DG219" s="389"/>
      <c r="DH219" s="390"/>
      <c r="DI219" s="393"/>
      <c r="DJ219" s="388"/>
      <c r="DK219" s="388"/>
      <c r="DL219" s="389"/>
      <c r="DM219" s="390"/>
      <c r="DN219" s="393"/>
      <c r="DO219" s="388"/>
      <c r="DP219" s="388"/>
      <c r="DQ219" s="389"/>
      <c r="DR219" s="390"/>
      <c r="DS219" s="393"/>
      <c r="DT219" s="388"/>
      <c r="DU219" s="388"/>
      <c r="DV219" s="389"/>
      <c r="DW219" s="390"/>
      <c r="DX219" s="393"/>
      <c r="DY219" s="388"/>
      <c r="DZ219" s="388"/>
      <c r="EA219" s="389"/>
      <c r="EB219" s="390"/>
      <c r="EC219" s="393"/>
      <c r="ED219" s="388"/>
      <c r="EE219" s="388"/>
      <c r="EF219" s="389"/>
      <c r="EG219" s="390"/>
      <c r="EH219" s="393"/>
      <c r="EI219" s="388"/>
      <c r="EJ219" s="388"/>
      <c r="EK219" s="389"/>
      <c r="EL219" s="390"/>
      <c r="EM219" s="393"/>
      <c r="EN219" s="388"/>
      <c r="EO219" s="388"/>
      <c r="EP219" s="389"/>
      <c r="EQ219" s="390"/>
      <c r="ER219" s="393"/>
      <c r="ES219" s="388"/>
      <c r="ET219" s="388"/>
      <c r="EU219" s="389"/>
      <c r="EV219" s="390"/>
      <c r="EW219" s="393"/>
      <c r="EX219" s="388"/>
      <c r="EY219" s="388"/>
      <c r="EZ219" s="389"/>
      <c r="FA219" s="390"/>
      <c r="FB219" s="393"/>
      <c r="FC219" s="388"/>
      <c r="FD219" s="388"/>
      <c r="FE219" s="389"/>
      <c r="FF219" s="390"/>
      <c r="FG219" s="393"/>
      <c r="FH219" s="388"/>
      <c r="FI219" s="388"/>
      <c r="FJ219" s="389"/>
      <c r="FK219" s="390"/>
      <c r="FL219" s="393"/>
      <c r="FM219" s="388"/>
      <c r="FN219" s="388"/>
      <c r="FO219" s="389"/>
      <c r="FP219" s="390"/>
      <c r="FQ219" s="393"/>
      <c r="FR219" s="388"/>
      <c r="FS219" s="388"/>
      <c r="FT219" s="389"/>
      <c r="FU219" s="390"/>
      <c r="FV219" s="393"/>
      <c r="FW219" s="388"/>
      <c r="FX219" s="388"/>
      <c r="FY219" s="389"/>
      <c r="FZ219" s="1469"/>
      <c r="GA219" s="393"/>
      <c r="GB219" s="388"/>
      <c r="GC219" s="388"/>
      <c r="GD219" s="389"/>
      <c r="GE219" s="1469"/>
      <c r="GF219" s="393"/>
      <c r="GG219" s="388"/>
      <c r="GH219" s="388"/>
      <c r="GI219" s="389"/>
      <c r="GJ219" s="411"/>
    </row>
    <row r="220" spans="1:192" ht="12.75" customHeight="1">
      <c r="B220" s="754"/>
      <c r="DN220" s="502"/>
      <c r="EL220" s="288"/>
      <c r="EQ220" s="288"/>
    </row>
    <row r="221" spans="1:192" ht="12.75" customHeight="1" thickBot="1">
      <c r="EL221" s="288"/>
      <c r="EQ221" s="288"/>
    </row>
    <row r="222" spans="1:192" ht="12.75" customHeight="1" thickBot="1">
      <c r="B222" s="731" t="s">
        <v>215</v>
      </c>
      <c r="C222" s="396"/>
      <c r="D222" s="397"/>
      <c r="E222" s="397"/>
      <c r="F222" s="397"/>
      <c r="G222" s="397"/>
      <c r="H222" s="396"/>
      <c r="I222" s="397"/>
      <c r="J222" s="397"/>
      <c r="K222" s="397"/>
      <c r="L222" s="397"/>
      <c r="M222" s="396"/>
      <c r="N222" s="397"/>
      <c r="O222" s="397"/>
      <c r="P222" s="397"/>
      <c r="Q222" s="397"/>
      <c r="R222" s="396"/>
      <c r="S222" s="397"/>
      <c r="T222" s="397"/>
      <c r="U222" s="397"/>
      <c r="V222" s="397"/>
      <c r="W222" s="396"/>
      <c r="X222" s="397"/>
      <c r="Y222" s="397"/>
      <c r="Z222" s="397"/>
      <c r="AA222" s="397"/>
      <c r="AB222" s="396"/>
      <c r="AC222" s="397"/>
      <c r="AD222" s="397"/>
      <c r="AE222" s="397"/>
      <c r="AF222" s="397"/>
      <c r="AG222" s="396"/>
      <c r="AH222" s="397"/>
      <c r="AI222" s="397"/>
      <c r="AJ222" s="397"/>
      <c r="AK222" s="397"/>
      <c r="AL222" s="396"/>
      <c r="AM222" s="397"/>
      <c r="AN222" s="397"/>
      <c r="AO222" s="397"/>
      <c r="AP222" s="397"/>
      <c r="AQ222" s="396"/>
      <c r="AR222" s="397"/>
      <c r="AS222" s="397"/>
      <c r="AT222" s="397"/>
      <c r="AU222" s="397"/>
      <c r="AV222" s="396"/>
      <c r="AW222" s="397"/>
      <c r="AX222" s="397"/>
      <c r="AY222" s="397"/>
      <c r="AZ222" s="397"/>
      <c r="BA222" s="396"/>
      <c r="BB222" s="397"/>
      <c r="BC222" s="397"/>
      <c r="BD222" s="397"/>
      <c r="BE222" s="397"/>
      <c r="BF222" s="396"/>
      <c r="BG222" s="397"/>
      <c r="BH222" s="397"/>
      <c r="BI222" s="397"/>
      <c r="BJ222" s="397"/>
      <c r="BK222" s="396"/>
      <c r="BL222" s="397"/>
      <c r="BM222" s="397"/>
      <c r="BN222" s="397"/>
      <c r="BO222" s="397"/>
      <c r="BP222" s="396"/>
      <c r="BQ222" s="397"/>
      <c r="BR222" s="397"/>
      <c r="BS222" s="397"/>
      <c r="BT222" s="397"/>
      <c r="BU222" s="396"/>
      <c r="BV222" s="397"/>
      <c r="BW222" s="397"/>
      <c r="BX222" s="397"/>
      <c r="BY222" s="397"/>
      <c r="BZ222" s="396"/>
      <c r="CA222" s="397"/>
      <c r="CB222" s="397"/>
      <c r="CC222" s="397"/>
      <c r="CD222" s="397"/>
      <c r="CE222" s="396"/>
      <c r="CF222" s="397"/>
      <c r="CG222" s="397"/>
      <c r="CH222" s="397"/>
      <c r="CI222" s="397"/>
      <c r="CJ222" s="396"/>
      <c r="CK222" s="397"/>
      <c r="CL222" s="397"/>
      <c r="CM222" s="397"/>
      <c r="CN222" s="397"/>
      <c r="CO222" s="396"/>
      <c r="CP222" s="397"/>
      <c r="CQ222" s="397"/>
      <c r="CR222" s="397"/>
      <c r="CS222" s="397"/>
      <c r="CT222" s="396"/>
      <c r="CU222" s="397"/>
      <c r="CV222" s="397"/>
      <c r="CW222" s="397"/>
      <c r="CX222" s="397"/>
      <c r="CY222" s="396"/>
      <c r="CZ222" s="397"/>
      <c r="DA222" s="397"/>
      <c r="DB222" s="397"/>
      <c r="DC222" s="397"/>
      <c r="DD222" s="396"/>
      <c r="DE222" s="397"/>
      <c r="DF222" s="397"/>
      <c r="DG222" s="397"/>
      <c r="DH222" s="397"/>
      <c r="DI222" s="396"/>
      <c r="DJ222" s="397"/>
      <c r="DK222" s="397"/>
      <c r="DL222" s="397"/>
      <c r="DM222" s="397"/>
      <c r="DN222" s="396"/>
      <c r="DO222" s="397"/>
      <c r="DP222" s="397"/>
      <c r="DQ222" s="397"/>
      <c r="DR222" s="397"/>
      <c r="DS222" s="396"/>
      <c r="DT222" s="397"/>
      <c r="DU222" s="397"/>
      <c r="DV222" s="397"/>
      <c r="DW222" s="397"/>
      <c r="DX222" s="396"/>
      <c r="DY222" s="397"/>
      <c r="DZ222" s="397"/>
      <c r="EA222" s="397"/>
      <c r="EB222" s="397"/>
      <c r="EC222" s="396"/>
      <c r="ED222" s="397"/>
      <c r="EE222" s="397"/>
      <c r="EF222" s="397"/>
      <c r="EG222" s="397"/>
      <c r="EH222" s="396"/>
      <c r="EI222" s="397"/>
      <c r="EJ222" s="397"/>
      <c r="EK222" s="397"/>
      <c r="EL222" s="397"/>
      <c r="EM222" s="396"/>
      <c r="EN222" s="397"/>
      <c r="EO222" s="397"/>
      <c r="EP222" s="397"/>
      <c r="EQ222" s="397"/>
      <c r="ER222" s="396"/>
      <c r="ES222" s="397"/>
      <c r="ET222" s="397"/>
      <c r="EU222" s="397"/>
      <c r="EV222" s="397"/>
      <c r="EW222" s="396"/>
      <c r="EX222" s="397"/>
      <c r="EY222" s="397"/>
      <c r="EZ222" s="397"/>
      <c r="FA222" s="397"/>
      <c r="FB222" s="396"/>
      <c r="FC222" s="397"/>
      <c r="FD222" s="397"/>
      <c r="FE222" s="397"/>
      <c r="FF222" s="397"/>
      <c r="FG222" s="396"/>
      <c r="FH222" s="397"/>
      <c r="FI222" s="397"/>
      <c r="FJ222" s="397"/>
      <c r="FK222" s="397"/>
      <c r="FL222" s="396"/>
      <c r="FM222" s="397"/>
      <c r="FN222" s="397"/>
      <c r="FO222" s="397"/>
      <c r="FP222" s="397"/>
      <c r="FQ222" s="396"/>
      <c r="FR222" s="397"/>
      <c r="FS222" s="397"/>
      <c r="FT222" s="397"/>
      <c r="FU222" s="397"/>
      <c r="FV222" s="396"/>
      <c r="FW222" s="397"/>
      <c r="FX222" s="397"/>
      <c r="FY222" s="397"/>
      <c r="FZ222" s="397"/>
      <c r="GA222" s="396"/>
      <c r="GB222" s="397"/>
      <c r="GC222" s="397"/>
      <c r="GD222" s="397"/>
      <c r="GE222" s="397"/>
      <c r="GF222" s="396"/>
      <c r="GG222" s="397"/>
      <c r="GH222" s="397"/>
      <c r="GI222" s="397"/>
      <c r="GJ222" s="398"/>
    </row>
    <row r="223" spans="1:192" ht="12.75" customHeight="1">
      <c r="B223" s="740"/>
      <c r="C223" s="294"/>
      <c r="D223" s="295"/>
      <c r="E223" s="295"/>
      <c r="F223" s="295"/>
      <c r="G223" s="296"/>
      <c r="H223" s="294"/>
      <c r="I223" s="295"/>
      <c r="J223" s="295"/>
      <c r="K223" s="295"/>
      <c r="L223" s="296"/>
      <c r="M223" s="294"/>
      <c r="N223" s="295"/>
      <c r="O223" s="295"/>
      <c r="P223" s="295"/>
      <c r="Q223" s="296"/>
      <c r="R223" s="294"/>
      <c r="S223" s="295"/>
      <c r="T223" s="295"/>
      <c r="U223" s="295"/>
      <c r="V223" s="296"/>
      <c r="W223" s="294"/>
      <c r="X223" s="295"/>
      <c r="Y223" s="295"/>
      <c r="Z223" s="295"/>
      <c r="AA223" s="296"/>
      <c r="AB223" s="294"/>
      <c r="AC223" s="295"/>
      <c r="AD223" s="295"/>
      <c r="AE223" s="295"/>
      <c r="AF223" s="296"/>
      <c r="AG223" s="294"/>
      <c r="AH223" s="295"/>
      <c r="AI223" s="295"/>
      <c r="AJ223" s="295"/>
      <c r="AK223" s="296"/>
      <c r="AL223" s="294"/>
      <c r="AM223" s="295"/>
      <c r="AN223" s="295"/>
      <c r="AO223" s="295"/>
      <c r="AP223" s="296"/>
      <c r="AQ223" s="294"/>
      <c r="AR223" s="295"/>
      <c r="AS223" s="295"/>
      <c r="AT223" s="295"/>
      <c r="AU223" s="296"/>
      <c r="AV223" s="294"/>
      <c r="AW223" s="295"/>
      <c r="AX223" s="295"/>
      <c r="AY223" s="295"/>
      <c r="AZ223" s="296"/>
      <c r="BA223" s="294"/>
      <c r="BB223" s="295"/>
      <c r="BC223" s="295"/>
      <c r="BD223" s="295"/>
      <c r="BE223" s="296"/>
      <c r="BF223" s="294"/>
      <c r="BG223" s="295"/>
      <c r="BH223" s="295"/>
      <c r="BI223" s="295"/>
      <c r="BJ223" s="296"/>
      <c r="BK223" s="294"/>
      <c r="BL223" s="295"/>
      <c r="BM223" s="295"/>
      <c r="BN223" s="295"/>
      <c r="BO223" s="296"/>
      <c r="BP223" s="294"/>
      <c r="BQ223" s="295"/>
      <c r="BR223" s="295"/>
      <c r="BS223" s="295"/>
      <c r="BT223" s="296"/>
      <c r="BU223" s="294"/>
      <c r="BV223" s="295"/>
      <c r="BW223" s="295"/>
      <c r="BX223" s="295"/>
      <c r="BY223" s="296"/>
      <c r="BZ223" s="294"/>
      <c r="CA223" s="295"/>
      <c r="CB223" s="295"/>
      <c r="CC223" s="295"/>
      <c r="CD223" s="296"/>
      <c r="CE223" s="294"/>
      <c r="CF223" s="295"/>
      <c r="CG223" s="295"/>
      <c r="CH223" s="295"/>
      <c r="CI223" s="296"/>
      <c r="CJ223" s="294"/>
      <c r="CK223" s="295"/>
      <c r="CL223" s="295"/>
      <c r="CM223" s="295"/>
      <c r="CN223" s="296"/>
      <c r="CO223" s="294"/>
      <c r="CP223" s="295"/>
      <c r="CQ223" s="295"/>
      <c r="CR223" s="295"/>
      <c r="CS223" s="296"/>
      <c r="CT223" s="294"/>
      <c r="CU223" s="295"/>
      <c r="CV223" s="295"/>
      <c r="CW223" s="295"/>
      <c r="CX223" s="296"/>
      <c r="CY223" s="294"/>
      <c r="CZ223" s="295"/>
      <c r="DA223" s="295"/>
      <c r="DB223" s="295"/>
      <c r="DC223" s="296"/>
      <c r="DD223" s="294"/>
      <c r="DE223" s="295"/>
      <c r="DF223" s="295"/>
      <c r="DG223" s="295"/>
      <c r="DH223" s="296"/>
      <c r="DI223" s="294"/>
      <c r="DJ223" s="295"/>
      <c r="DK223" s="295"/>
      <c r="DL223" s="295"/>
      <c r="DM223" s="296"/>
      <c r="DN223" s="294"/>
      <c r="DO223" s="295"/>
      <c r="DP223" s="295"/>
      <c r="DQ223" s="295"/>
      <c r="DR223" s="296"/>
      <c r="DS223" s="294"/>
      <c r="DT223" s="295"/>
      <c r="DU223" s="295"/>
      <c r="DV223" s="295"/>
      <c r="DW223" s="296"/>
      <c r="DX223" s="294"/>
      <c r="DY223" s="295"/>
      <c r="DZ223" s="295"/>
      <c r="EA223" s="295"/>
      <c r="EB223" s="296"/>
      <c r="EC223" s="294"/>
      <c r="ED223" s="295"/>
      <c r="EE223" s="295"/>
      <c r="EF223" s="295"/>
      <c r="EG223" s="296"/>
      <c r="EH223" s="294"/>
      <c r="EI223" s="295"/>
      <c r="EJ223" s="295"/>
      <c r="EK223" s="295"/>
      <c r="EL223" s="296"/>
      <c r="EM223" s="495"/>
      <c r="EN223" s="295"/>
      <c r="EO223" s="295"/>
      <c r="EP223" s="295"/>
      <c r="EQ223" s="296"/>
      <c r="ER223" s="294"/>
      <c r="ES223" s="295"/>
      <c r="ET223" s="295"/>
      <c r="EU223" s="295"/>
      <c r="EV223" s="296"/>
      <c r="EW223" s="294"/>
      <c r="EX223" s="295"/>
      <c r="EY223" s="295"/>
      <c r="EZ223" s="295"/>
      <c r="FA223" s="296"/>
      <c r="FB223" s="294"/>
      <c r="FC223" s="295"/>
      <c r="FD223" s="295"/>
      <c r="FE223" s="295"/>
      <c r="FF223" s="296"/>
      <c r="FG223" s="294"/>
      <c r="FH223" s="295"/>
      <c r="FI223" s="295"/>
      <c r="FJ223" s="295"/>
      <c r="FK223" s="296"/>
      <c r="FL223" s="294"/>
      <c r="FM223" s="295"/>
      <c r="FN223" s="295"/>
      <c r="FO223" s="295"/>
      <c r="FP223" s="296"/>
      <c r="FQ223" s="294"/>
      <c r="FR223" s="295"/>
      <c r="FS223" s="295"/>
      <c r="FT223" s="295"/>
      <c r="FU223" s="296"/>
      <c r="FV223" s="294"/>
      <c r="FW223" s="295"/>
      <c r="FX223" s="295"/>
      <c r="FY223" s="295"/>
      <c r="FZ223" s="1468"/>
      <c r="GA223" s="294"/>
      <c r="GB223" s="295"/>
      <c r="GC223" s="295"/>
      <c r="GD223" s="295"/>
      <c r="GE223" s="1468"/>
      <c r="GF223" s="294"/>
      <c r="GG223" s="295"/>
      <c r="GH223" s="295"/>
      <c r="GI223" s="295"/>
      <c r="GJ223" s="383"/>
    </row>
    <row r="224" spans="1:192" s="406" customFormat="1" ht="12.75" customHeight="1">
      <c r="A224" s="797"/>
      <c r="B224" s="748" t="s">
        <v>242</v>
      </c>
      <c r="C224" s="403"/>
      <c r="D224" s="404"/>
      <c r="E224" s="404"/>
      <c r="F224" s="404"/>
      <c r="G224" s="405"/>
      <c r="H224" s="403"/>
      <c r="I224" s="404"/>
      <c r="J224" s="404"/>
      <c r="K224" s="404"/>
      <c r="L224" s="405"/>
      <c r="M224" s="403"/>
      <c r="N224" s="404"/>
      <c r="O224" s="404"/>
      <c r="P224" s="404"/>
      <c r="Q224" s="405"/>
      <c r="R224" s="403"/>
      <c r="S224" s="404"/>
      <c r="T224" s="404"/>
      <c r="U224" s="404"/>
      <c r="V224" s="405"/>
      <c r="W224" s="403"/>
      <c r="X224" s="404"/>
      <c r="Y224" s="404"/>
      <c r="Z224" s="404"/>
      <c r="AA224" s="405"/>
      <c r="AB224" s="403"/>
      <c r="AC224" s="404"/>
      <c r="AD224" s="404"/>
      <c r="AE224" s="404"/>
      <c r="AF224" s="405"/>
      <c r="AG224" s="403"/>
      <c r="AH224" s="404"/>
      <c r="AI224" s="404"/>
      <c r="AJ224" s="404"/>
      <c r="AK224" s="405"/>
      <c r="AL224" s="403"/>
      <c r="AM224" s="404"/>
      <c r="AN224" s="404"/>
      <c r="AO224" s="404"/>
      <c r="AP224" s="405"/>
      <c r="AQ224" s="403"/>
      <c r="AR224" s="404"/>
      <c r="AS224" s="404"/>
      <c r="AT224" s="404"/>
      <c r="AU224" s="405"/>
      <c r="AV224" s="403"/>
      <c r="AW224" s="404"/>
      <c r="AX224" s="404"/>
      <c r="AY224" s="404"/>
      <c r="AZ224" s="405"/>
      <c r="BA224" s="403"/>
      <c r="BB224" s="404"/>
      <c r="BC224" s="404"/>
      <c r="BD224" s="404"/>
      <c r="BE224" s="405"/>
      <c r="BF224" s="403"/>
      <c r="BG224" s="404"/>
      <c r="BH224" s="404"/>
      <c r="BI224" s="404"/>
      <c r="BJ224" s="405"/>
      <c r="BK224" s="403"/>
      <c r="BL224" s="404"/>
      <c r="BM224" s="404"/>
      <c r="BN224" s="404"/>
      <c r="BO224" s="405"/>
      <c r="BP224" s="403"/>
      <c r="BQ224" s="404"/>
      <c r="BR224" s="404"/>
      <c r="BS224" s="404"/>
      <c r="BT224" s="405"/>
      <c r="BU224" s="403"/>
      <c r="BV224" s="404"/>
      <c r="BW224" s="404"/>
      <c r="BX224" s="404"/>
      <c r="BY224" s="405"/>
      <c r="BZ224" s="403"/>
      <c r="CA224" s="404"/>
      <c r="CB224" s="404"/>
      <c r="CC224" s="404"/>
      <c r="CD224" s="405"/>
      <c r="CE224" s="403"/>
      <c r="CF224" s="404"/>
      <c r="CG224" s="404"/>
      <c r="CH224" s="404"/>
      <c r="CI224" s="405"/>
      <c r="CJ224" s="403"/>
      <c r="CK224" s="404"/>
      <c r="CL224" s="404"/>
      <c r="CM224" s="404"/>
      <c r="CN224" s="405"/>
      <c r="CO224" s="403"/>
      <c r="CP224" s="404"/>
      <c r="CQ224" s="404"/>
      <c r="CR224" s="404"/>
      <c r="CS224" s="405"/>
      <c r="CT224" s="312">
        <f>CY224/(1+CY225)</f>
      </c>
      <c r="CU224" s="312">
        <f>CZ224/(1+CZ225)</f>
      </c>
      <c r="CV224" s="312">
        <f>DA224/(1+DA225)</f>
      </c>
      <c r="CW224" s="312">
        <f>DB224/(1+DB225)</f>
      </c>
      <c r="CX224" s="456">
        <f>SUM(CT224:CW224)</f>
      </c>
      <c r="CY224" s="312">
        <f>DD224/(1+DD225)</f>
      </c>
      <c r="CZ224" s="312">
        <f>DE224/(1+DE225)</f>
      </c>
      <c r="DA224" s="312">
        <f>DF224/(1+DF225)</f>
      </c>
      <c r="DB224" s="312">
        <f>DG224/(1+DG225)</f>
      </c>
      <c r="DC224" s="456">
        <f>SUM(CY224:DB224)</f>
      </c>
      <c r="DD224" s="312">
        <f>DI224/(1+DI225)</f>
      </c>
      <c r="DE224" s="312">
        <f>DJ224/(1+DJ225)</f>
      </c>
      <c r="DF224" s="312">
        <f>DK224/(1+DK225)</f>
      </c>
      <c r="DG224" s="312">
        <f>DL224/(1+DL225)</f>
      </c>
      <c r="DH224" s="457">
        <v>5659</v>
      </c>
      <c r="DI224" s="316">
        <v>1355</v>
      </c>
      <c r="DJ224" s="316">
        <v>1371</v>
      </c>
      <c r="DK224" s="316">
        <v>1383</v>
      </c>
      <c r="DL224" s="1159">
        <f>DM224-DK224-DJ224-DI224</f>
      </c>
      <c r="DM224" s="457">
        <v>5542</v>
      </c>
      <c r="DN224" s="316">
        <v>1371</v>
      </c>
      <c r="DO224" s="316">
        <v>1435</v>
      </c>
      <c r="DP224" s="316">
        <v>1489</v>
      </c>
      <c r="DQ224" s="312">
        <f>DR224-DP224-DO224-DN224</f>
      </c>
      <c r="DR224" s="457">
        <v>5846</v>
      </c>
      <c r="DS224" s="316">
        <v>1450</v>
      </c>
      <c r="DT224" s="316">
        <v>1521</v>
      </c>
      <c r="DU224" s="316">
        <v>1542</v>
      </c>
      <c r="DV224" s="312">
        <f>DW224-DU224-DT224-DS224</f>
      </c>
      <c r="DW224" s="457">
        <v>6124</v>
      </c>
      <c r="DX224" s="316">
        <v>1545</v>
      </c>
      <c r="DY224" s="316">
        <v>1612</v>
      </c>
      <c r="DZ224" s="316">
        <v>1633</v>
      </c>
      <c r="EA224" s="312">
        <f>EB224-DZ224-DY224-DX224</f>
      </c>
      <c r="EB224" s="457">
        <v>6409</v>
      </c>
      <c r="EC224" s="316">
        <v>1637</v>
      </c>
      <c r="ED224" s="316">
        <v>1695</v>
      </c>
      <c r="EE224" s="316">
        <v>1803</v>
      </c>
      <c r="EF224" s="312">
        <f>EG224-EE224-ED224-EC224</f>
      </c>
      <c r="EG224" s="457">
        <v>6943</v>
      </c>
      <c r="EH224" s="316">
        <v>1791</v>
      </c>
      <c r="EI224" s="316">
        <v>1823</v>
      </c>
      <c r="EJ224" s="316">
        <v>1891</v>
      </c>
      <c r="EK224" s="312">
        <f>EL224-EJ224-EI224-EH224</f>
      </c>
      <c r="EL224" s="457">
        <v>7407</v>
      </c>
      <c r="EM224" s="1158">
        <v>1929</v>
      </c>
      <c r="EN224" s="316">
        <v>1907</v>
      </c>
      <c r="EO224" s="316">
        <v>2047</v>
      </c>
      <c r="EP224" s="312">
        <f>EQ224-EO224-EN224-EM224</f>
      </c>
      <c r="EQ224" s="457">
        <v>7900</v>
      </c>
      <c r="ER224" s="316">
        <v>1944</v>
      </c>
      <c r="ES224" s="1166">
        <v>1917</v>
      </c>
      <c r="ET224" s="1166">
        <v>1861</v>
      </c>
      <c r="EU224" s="312">
        <f>EV224-ET224-ES224-ER224</f>
      </c>
      <c r="EV224" s="457">
        <v>7594</v>
      </c>
      <c r="EW224" s="1387">
        <v>1928</v>
      </c>
      <c r="EX224" s="1166">
        <v>1892</v>
      </c>
      <c r="EY224" s="1166">
        <v>1946</v>
      </c>
      <c r="EZ224" s="1397">
        <f>FA224-EY224-EX224-EW224</f>
      </c>
      <c r="FA224" s="1396">
        <v>7760</v>
      </c>
      <c r="FB224" s="800">
        <f>EW224*(1+FB225)</f>
      </c>
      <c r="FC224" s="805">
        <f>EX224*(1+FC225)</f>
      </c>
      <c r="FD224" s="805">
        <f>EY224*(1+FD225)</f>
      </c>
      <c r="FE224" s="805">
        <f>EZ224*(1+FE225)</f>
      </c>
      <c r="FF224" s="456">
        <f>SUM(FB224:FE224)</f>
      </c>
      <c r="FG224" s="800">
        <f>FB224*(1+FG225)</f>
      </c>
      <c r="FH224" s="805">
        <f>FC224*(1+FH225)</f>
      </c>
      <c r="FI224" s="805">
        <f>FD224*(1+FI225)</f>
      </c>
      <c r="FJ224" s="805">
        <f>FE224*(1+FJ225)</f>
      </c>
      <c r="FK224" s="456">
        <f>SUM(FG224:FJ224)</f>
      </c>
      <c r="FL224" s="800">
        <f>FG224*(1+FL225)</f>
      </c>
      <c r="FM224" s="805">
        <f>FH224*(1+FM225)</f>
      </c>
      <c r="FN224" s="805">
        <f>FI224*(1+FN225)</f>
      </c>
      <c r="FO224" s="805">
        <f>FJ224*(1+FO225)</f>
      </c>
      <c r="FP224" s="456">
        <f>SUM(FL224:FO224)</f>
      </c>
      <c r="FQ224" s="800">
        <f>FL224*(1+FQ225)</f>
      </c>
      <c r="FR224" s="805">
        <f>FM224*(1+FR225)</f>
      </c>
      <c r="FS224" s="805">
        <f>FN224*(1+FS225)</f>
      </c>
      <c r="FT224" s="805">
        <f>FO224*(1+FT225)</f>
      </c>
      <c r="FU224" s="456">
        <f>SUM(FQ224:FT224)</f>
      </c>
      <c r="FV224" s="800">
        <f>FQ224*(1+FV225)</f>
      </c>
      <c r="FW224" s="805">
        <f>FR224*(1+FW225)</f>
      </c>
      <c r="FX224" s="805">
        <f>FS224*(1+FX225)</f>
      </c>
      <c r="FY224" s="805">
        <f>FT224*(1+FY225)</f>
      </c>
      <c r="FZ224" s="456">
        <f>SUM(FV224:FY224)</f>
      </c>
      <c r="GA224" s="800">
        <f>FV224*(1+GA225)</f>
      </c>
      <c r="GB224" s="805">
        <f>FW224*(1+GB225)</f>
      </c>
      <c r="GC224" s="805">
        <f>FX224*(1+GC225)</f>
      </c>
      <c r="GD224" s="805">
        <f>FY224*(1+GD225)</f>
      </c>
      <c r="GE224" s="456">
        <f>SUM(GA224:GD224)</f>
      </c>
      <c r="GF224" s="800">
        <f>GA224*(1+GF225)</f>
      </c>
      <c r="GG224" s="805">
        <f>GB224*(1+GG225)</f>
      </c>
      <c r="GH224" s="805">
        <f>GC224*(1+GH225)</f>
      </c>
      <c r="GI224" s="805">
        <f>GD224*(1+GI225)</f>
      </c>
      <c r="GJ224" s="499">
        <f>SUM(GF224:GI224)</f>
      </c>
    </row>
    <row r="225" spans="1:192" s="479" customFormat="1" ht="12.75" customHeight="1">
      <c r="A225" s="789"/>
      <c r="B225" s="735" t="s">
        <v>34</v>
      </c>
      <c r="C225" s="291"/>
      <c r="D225" s="107"/>
      <c r="E225" s="107"/>
      <c r="F225" s="107"/>
      <c r="G225" s="292"/>
      <c r="H225" s="291"/>
      <c r="I225" s="107"/>
      <c r="J225" s="107"/>
      <c r="K225" s="107"/>
      <c r="L225" s="292"/>
      <c r="M225" s="291"/>
      <c r="N225" s="107"/>
      <c r="O225" s="107"/>
      <c r="P225" s="107"/>
      <c r="Q225" s="292"/>
      <c r="R225" s="291"/>
      <c r="S225" s="107"/>
      <c r="T225" s="107"/>
      <c r="U225" s="107"/>
      <c r="V225" s="292"/>
      <c r="W225" s="291"/>
      <c r="X225" s="107"/>
      <c r="Y225" s="107"/>
      <c r="Z225" s="107"/>
      <c r="AA225" s="292"/>
      <c r="AB225" s="291"/>
      <c r="AC225" s="107"/>
      <c r="AD225" s="107"/>
      <c r="AE225" s="107"/>
      <c r="AF225" s="292"/>
      <c r="AG225" s="291"/>
      <c r="AH225" s="107"/>
      <c r="AI225" s="107"/>
      <c r="AJ225" s="107"/>
      <c r="AK225" s="292"/>
      <c r="AL225" s="291"/>
      <c r="AM225" s="107"/>
      <c r="AN225" s="107"/>
      <c r="AO225" s="107"/>
      <c r="AP225" s="292"/>
      <c r="AQ225" s="291"/>
      <c r="AR225" s="107"/>
      <c r="AS225" s="107"/>
      <c r="AT225" s="107"/>
      <c r="AU225" s="292"/>
      <c r="AV225" s="291"/>
      <c r="AW225" s="107"/>
      <c r="AX225" s="107"/>
      <c r="AY225" s="107"/>
      <c r="AZ225" s="292"/>
      <c r="BA225" s="291"/>
      <c r="BB225" s="107"/>
      <c r="BC225" s="107"/>
      <c r="BD225" s="107"/>
      <c r="BE225" s="292"/>
      <c r="BF225" s="291"/>
      <c r="BG225" s="107"/>
      <c r="BH225" s="107"/>
      <c r="BI225" s="107"/>
      <c r="BJ225" s="292"/>
      <c r="BK225" s="291"/>
      <c r="BL225" s="107"/>
      <c r="BM225" s="107"/>
      <c r="BN225" s="107"/>
      <c r="BO225" s="292"/>
      <c r="BP225" s="291"/>
      <c r="BQ225" s="107"/>
      <c r="BR225" s="107"/>
      <c r="BS225" s="107"/>
      <c r="BT225" s="292"/>
      <c r="BU225" s="291"/>
      <c r="BV225" s="107"/>
      <c r="BW225" s="107"/>
      <c r="BX225" s="107"/>
      <c r="BY225" s="292"/>
      <c r="BZ225" s="291"/>
      <c r="CA225" s="107"/>
      <c r="CB225" s="107"/>
      <c r="CC225" s="107"/>
      <c r="CD225" s="292"/>
      <c r="CE225" s="291"/>
      <c r="CF225" s="107"/>
      <c r="CG225" s="107"/>
      <c r="CH225" s="107"/>
      <c r="CI225" s="292"/>
      <c r="CJ225" s="291"/>
      <c r="CK225" s="107"/>
      <c r="CL225" s="107"/>
      <c r="CM225" s="107"/>
      <c r="CN225" s="292"/>
      <c r="CO225" s="291"/>
      <c r="CP225" s="107"/>
      <c r="CQ225" s="107"/>
      <c r="CR225" s="107"/>
      <c r="CS225" s="292"/>
      <c r="CT225" s="412"/>
      <c r="CU225" s="412"/>
      <c r="CV225" s="412"/>
      <c r="CW225" s="412"/>
      <c r="CX225" s="292"/>
      <c r="CY225" s="412">
        <v>0.13</v>
      </c>
      <c r="CZ225" s="412">
        <v>0.1</v>
      </c>
      <c r="DA225" s="412">
        <v>7.0000000000000007E-2</v>
      </c>
      <c r="DB225" s="412">
        <v>-0.01</v>
      </c>
      <c r="DC225" s="292">
        <f>DC224/CX224-1</f>
      </c>
      <c r="DD225" s="412">
        <v>0.09</v>
      </c>
      <c r="DE225" s="412">
        <v>0.1</v>
      </c>
      <c r="DF225" s="412">
        <v>0.11</v>
      </c>
      <c r="DG225" s="412">
        <v>0.12</v>
      </c>
      <c r="DH225" s="292">
        <f>DH224/DC224-1</f>
      </c>
      <c r="DI225" s="441">
        <v>0.01</v>
      </c>
      <c r="DJ225" s="441">
        <v>-0.04</v>
      </c>
      <c r="DK225" s="441">
        <v>-0.01</v>
      </c>
      <c r="DL225" s="441">
        <v>-0.03</v>
      </c>
      <c r="DM225" s="292">
        <f>DM224/DH224-1</f>
      </c>
      <c r="DN225" s="291">
        <f>DN224/DI224-1</f>
      </c>
      <c r="DO225" s="291">
        <f>DO224/DJ224-1</f>
      </c>
      <c r="DP225" s="291">
        <f>DP224/DK224-1</f>
      </c>
      <c r="DQ225" s="412">
        <v>0.08</v>
      </c>
      <c r="DR225" s="292">
        <f t="shared" ref="DR225:EK225" si="212">DR224/DM224-1</f>
      </c>
      <c r="DS225" s="291">
        <f t="shared" si="212"/>
      </c>
      <c r="DT225" s="291">
        <f t="shared" si="212"/>
      </c>
      <c r="DU225" s="291">
        <f t="shared" si="212"/>
      </c>
      <c r="DV225" s="291">
        <f t="shared" si="212"/>
      </c>
      <c r="DW225" s="292">
        <f t="shared" si="212"/>
      </c>
      <c r="DX225" s="291">
        <f t="shared" si="212"/>
      </c>
      <c r="DY225" s="291">
        <f t="shared" si="212"/>
      </c>
      <c r="DZ225" s="291">
        <f t="shared" si="212"/>
      </c>
      <c r="EA225" s="291">
        <f t="shared" si="212"/>
      </c>
      <c r="EB225" s="292">
        <f t="shared" si="212"/>
      </c>
      <c r="EC225" s="291">
        <f t="shared" si="212"/>
      </c>
      <c r="ED225" s="291">
        <f t="shared" si="212"/>
      </c>
      <c r="EE225" s="291">
        <f t="shared" si="212"/>
      </c>
      <c r="EF225" s="291">
        <f t="shared" si="212"/>
      </c>
      <c r="EG225" s="292">
        <f t="shared" si="212"/>
      </c>
      <c r="EH225" s="291">
        <f t="shared" si="212"/>
      </c>
      <c r="EI225" s="291">
        <f t="shared" si="212"/>
      </c>
      <c r="EJ225" s="291">
        <f t="shared" si="212"/>
      </c>
      <c r="EK225" s="291">
        <f t="shared" si="212"/>
      </c>
      <c r="EL225" s="413">
        <v>7.0000000000000007E-2</v>
      </c>
      <c r="EM225" s="412">
        <v>0.05</v>
      </c>
      <c r="EN225" s="291">
        <f>EN224/EI224-1</f>
      </c>
      <c r="EO225" s="291">
        <f>EO224/EJ224-1</f>
      </c>
      <c r="EP225" s="412">
        <v>0.04</v>
      </c>
      <c r="EQ225" s="292">
        <f>EQ224/EL224-1</f>
      </c>
      <c r="ER225" s="439">
        <v>0.01</v>
      </c>
      <c r="ES225" s="439">
        <v>0.01</v>
      </c>
      <c r="ET225" s="439">
        <v>-0.09</v>
      </c>
      <c r="EU225" s="439">
        <v>-7.0000000000000007E-2</v>
      </c>
      <c r="EV225" s="292">
        <f>EV224/EQ224-1</f>
      </c>
      <c r="EW225" s="441">
        <v>-0.01</v>
      </c>
      <c r="EX225" s="439">
        <v>-0.01</v>
      </c>
      <c r="EY225" s="439">
        <v>0.05</v>
      </c>
      <c r="EZ225" s="439">
        <v>7.0000000000000007E-2</v>
      </c>
      <c r="FA225" s="292">
        <f>FA224/EV224-1</f>
      </c>
      <c r="FB225" s="412">
        <v>0.03</v>
      </c>
      <c r="FC225" s="114">
        <f>FB225</f>
      </c>
      <c r="FD225" s="114">
        <f>FB225</f>
      </c>
      <c r="FE225" s="114">
        <f>FB225</f>
      </c>
      <c r="FF225" s="292">
        <f>FF224/FA224-1</f>
      </c>
      <c r="FG225" s="412">
        <v>0.03</v>
      </c>
      <c r="FH225" s="114">
        <f>FG225</f>
      </c>
      <c r="FI225" s="114">
        <f>FG225</f>
      </c>
      <c r="FJ225" s="114">
        <f>FG225</f>
      </c>
      <c r="FK225" s="292">
        <f>FK224/FF224-1</f>
      </c>
      <c r="FL225" s="412">
        <v>0.03</v>
      </c>
      <c r="FM225" s="114">
        <f>FL225</f>
      </c>
      <c r="FN225" s="114">
        <f>FL225</f>
      </c>
      <c r="FO225" s="114">
        <f>FL225</f>
      </c>
      <c r="FP225" s="292">
        <f>FP224/FK224-1</f>
      </c>
      <c r="FQ225" s="412">
        <v>0.03</v>
      </c>
      <c r="FR225" s="114">
        <f>FQ225</f>
      </c>
      <c r="FS225" s="114">
        <f>FQ225</f>
      </c>
      <c r="FT225" s="114">
        <f>FQ225</f>
      </c>
      <c r="FU225" s="292">
        <f>FU224/FP224-1</f>
      </c>
      <c r="FV225" s="412">
        <v>0.03</v>
      </c>
      <c r="FW225" s="114">
        <f>FV225</f>
      </c>
      <c r="FX225" s="114">
        <f>FV225</f>
      </c>
      <c r="FY225" s="114">
        <f>FV225</f>
      </c>
      <c r="FZ225" s="1353">
        <f>FZ224/FU224-1</f>
      </c>
      <c r="GA225" s="412">
        <v>0.03</v>
      </c>
      <c r="GB225" s="114">
        <f>GA225</f>
      </c>
      <c r="GC225" s="114">
        <f>GA225</f>
      </c>
      <c r="GD225" s="114">
        <f>GA225</f>
      </c>
      <c r="GE225" s="1353">
        <f>GE224/FZ224-1</f>
      </c>
      <c r="GF225" s="412">
        <v>0.03</v>
      </c>
      <c r="GG225" s="114">
        <f>GF225</f>
      </c>
      <c r="GH225" s="114">
        <f>GF225</f>
      </c>
      <c r="GI225" s="114">
        <f>GF225</f>
      </c>
      <c r="GJ225" s="1386">
        <f>GJ224/GE224-1</f>
      </c>
    </row>
    <row r="226" spans="1:192" ht="12.75" customHeight="1">
      <c r="B226" s="735" t="s">
        <v>197</v>
      </c>
      <c r="C226" s="291"/>
      <c r="D226" s="107"/>
      <c r="E226" s="107"/>
      <c r="F226" s="107"/>
      <c r="G226" s="293"/>
      <c r="H226" s="291"/>
      <c r="I226" s="107"/>
      <c r="J226" s="107"/>
      <c r="K226" s="107"/>
      <c r="L226" s="293"/>
      <c r="M226" s="291"/>
      <c r="N226" s="107"/>
      <c r="O226" s="107"/>
      <c r="P226" s="107"/>
      <c r="Q226" s="293"/>
      <c r="R226" s="291"/>
      <c r="S226" s="107"/>
      <c r="T226" s="107"/>
      <c r="U226" s="107"/>
      <c r="V226" s="293"/>
      <c r="W226" s="291"/>
      <c r="X226" s="107"/>
      <c r="Y226" s="107"/>
      <c r="Z226" s="107"/>
      <c r="AA226" s="293"/>
      <c r="AB226" s="291"/>
      <c r="AC226" s="107"/>
      <c r="AD226" s="107"/>
      <c r="AE226" s="107"/>
      <c r="AF226" s="293"/>
      <c r="AG226" s="291"/>
      <c r="AH226" s="107"/>
      <c r="AI226" s="107"/>
      <c r="AJ226" s="107"/>
      <c r="AK226" s="293"/>
      <c r="AL226" s="291"/>
      <c r="AM226" s="107"/>
      <c r="AN226" s="107"/>
      <c r="AO226" s="107"/>
      <c r="AP226" s="293"/>
      <c r="AQ226" s="291"/>
      <c r="AR226" s="107"/>
      <c r="AS226" s="107"/>
      <c r="AT226" s="107"/>
      <c r="AU226" s="293"/>
      <c r="AV226" s="291"/>
      <c r="AW226" s="107"/>
      <c r="AX226" s="107"/>
      <c r="AY226" s="107"/>
      <c r="AZ226" s="293"/>
      <c r="BA226" s="291"/>
      <c r="BB226" s="107"/>
      <c r="BC226" s="107"/>
      <c r="BD226" s="107"/>
      <c r="BE226" s="293"/>
      <c r="BF226" s="291"/>
      <c r="BG226" s="107"/>
      <c r="BH226" s="107"/>
      <c r="BI226" s="107"/>
      <c r="BJ226" s="293"/>
      <c r="BK226" s="291"/>
      <c r="BL226" s="107"/>
      <c r="BM226" s="107"/>
      <c r="BN226" s="107"/>
      <c r="BO226" s="293"/>
      <c r="BP226" s="291"/>
      <c r="BQ226" s="107"/>
      <c r="BR226" s="107"/>
      <c r="BS226" s="107"/>
      <c r="BT226" s="293"/>
      <c r="BU226" s="291"/>
      <c r="BV226" s="107"/>
      <c r="BW226" s="107"/>
      <c r="BX226" s="107"/>
      <c r="BY226" s="293"/>
      <c r="BZ226" s="291"/>
      <c r="CA226" s="107"/>
      <c r="CB226" s="107"/>
      <c r="CC226" s="107"/>
      <c r="CD226" s="293"/>
      <c r="CE226" s="291"/>
      <c r="CF226" s="107"/>
      <c r="CG226" s="107"/>
      <c r="CH226" s="107"/>
      <c r="CI226" s="293"/>
      <c r="CJ226" s="291"/>
      <c r="CK226" s="107"/>
      <c r="CL226" s="107"/>
      <c r="CM226" s="107"/>
      <c r="CN226" s="293"/>
      <c r="CO226" s="291"/>
      <c r="CP226" s="107"/>
      <c r="CQ226" s="107"/>
      <c r="CR226" s="107"/>
      <c r="CS226" s="293"/>
      <c r="CT226" s="412"/>
      <c r="CU226" s="412"/>
      <c r="CV226" s="412"/>
      <c r="CW226" s="412"/>
      <c r="CX226" s="293"/>
      <c r="CY226" s="412">
        <v>0.13</v>
      </c>
      <c r="CZ226" s="412">
        <v>0.12</v>
      </c>
      <c r="DA226" s="412">
        <v>0.13</v>
      </c>
      <c r="DB226" s="412">
        <v>0.05</v>
      </c>
      <c r="DC226" s="293"/>
      <c r="DD226" s="412">
        <v>0.16</v>
      </c>
      <c r="DE226" s="412">
        <v>0.16</v>
      </c>
      <c r="DF226" s="412">
        <v>0.15</v>
      </c>
      <c r="DG226" s="412">
        <v>0.14000000000000001</v>
      </c>
      <c r="DH226" s="293"/>
      <c r="DI226" s="441">
        <v>0.02</v>
      </c>
      <c r="DJ226" s="441">
        <v>-0.02</v>
      </c>
      <c r="DK226" s="441">
        <v>0</v>
      </c>
      <c r="DL226" s="441">
        <v>-0.01</v>
      </c>
      <c r="DM226" s="293"/>
      <c r="DN226" s="412">
        <v>0</v>
      </c>
      <c r="DO226" s="412">
        <v>0.03</v>
      </c>
      <c r="DP226" s="412">
        <v>0.05</v>
      </c>
      <c r="DQ226" s="412">
        <v>7.0000000000000007E-2</v>
      </c>
      <c r="DR226" s="293"/>
      <c r="DS226" s="412">
        <v>0.06</v>
      </c>
      <c r="DT226" s="412">
        <v>7.0000000000000007E-2</v>
      </c>
      <c r="DU226" s="412">
        <v>0.05</v>
      </c>
      <c r="DV226" s="412">
        <v>0.06</v>
      </c>
      <c r="DW226" s="293"/>
      <c r="DX226" s="412">
        <v>0.08</v>
      </c>
      <c r="DY226" s="412">
        <v>7.0000000000000007E-2</v>
      </c>
      <c r="DZ226" s="412">
        <v>7.0000000000000007E-2</v>
      </c>
      <c r="EA226" s="412">
        <v>0.02</v>
      </c>
      <c r="EB226" s="293"/>
      <c r="EC226" s="412">
        <v>0.05</v>
      </c>
      <c r="ED226" s="412">
        <v>0.04</v>
      </c>
      <c r="EE226" s="412">
        <v>0.08</v>
      </c>
      <c r="EF226" s="412">
        <v>0.09</v>
      </c>
      <c r="EG226" s="293"/>
      <c r="EH226" s="412">
        <v>0.08</v>
      </c>
      <c r="EI226" s="412">
        <v>7.0000000000000007E-2</v>
      </c>
      <c r="EJ226" s="412">
        <v>0.06</v>
      </c>
      <c r="EK226" s="412">
        <v>0.08</v>
      </c>
      <c r="EL226" s="293"/>
      <c r="EM226" s="412">
        <v>0.1</v>
      </c>
      <c r="EN226" s="412">
        <v>7.0000000000000007E-2</v>
      </c>
      <c r="EO226" s="412">
        <v>0.09</v>
      </c>
      <c r="EP226" s="412">
        <v>0.05</v>
      </c>
      <c r="EQ226" s="293"/>
      <c r="ER226" s="412">
        <v>0</v>
      </c>
      <c r="ES226" s="114">
        <v>0</v>
      </c>
      <c r="ET226" s="439">
        <v>-0.09</v>
      </c>
      <c r="EU226" s="439">
        <v>-7.0000000000000007E-2</v>
      </c>
      <c r="EV226" s="293"/>
      <c r="EW226" s="441">
        <v>0</v>
      </c>
      <c r="EX226" s="439">
        <v>-0.01</v>
      </c>
      <c r="EY226" s="439">
        <v>0.06</v>
      </c>
      <c r="EZ226" s="439">
        <v>0.06</v>
      </c>
      <c r="FA226" s="293"/>
      <c r="FB226" s="291"/>
      <c r="FC226" s="107"/>
      <c r="FD226" s="107"/>
      <c r="FE226" s="107"/>
      <c r="FF226" s="293"/>
      <c r="FG226" s="291"/>
      <c r="FH226" s="107"/>
      <c r="FI226" s="107"/>
      <c r="FJ226" s="107"/>
      <c r="FK226" s="293"/>
      <c r="FL226" s="291"/>
      <c r="FM226" s="107"/>
      <c r="FN226" s="107"/>
      <c r="FO226" s="107"/>
      <c r="FP226" s="293"/>
      <c r="FQ226" s="291"/>
      <c r="FR226" s="107"/>
      <c r="FS226" s="107"/>
      <c r="FT226" s="107"/>
      <c r="FU226" s="293"/>
      <c r="FV226" s="291"/>
      <c r="FW226" s="107"/>
      <c r="FX226" s="107"/>
      <c r="FY226" s="107"/>
      <c r="FZ226" s="293"/>
      <c r="GA226" s="291"/>
      <c r="GB226" s="107"/>
      <c r="GC226" s="107"/>
      <c r="GD226" s="107"/>
      <c r="GE226" s="293"/>
      <c r="GF226" s="291"/>
      <c r="GG226" s="107"/>
      <c r="GH226" s="107"/>
      <c r="GI226" s="107"/>
      <c r="GJ226" s="382"/>
    </row>
    <row r="227" spans="1:192" ht="12.75" customHeight="1">
      <c r="B227" s="735" t="s">
        <v>36</v>
      </c>
      <c r="C227" s="291"/>
      <c r="D227" s="107"/>
      <c r="E227" s="107"/>
      <c r="F227" s="107"/>
      <c r="G227" s="293"/>
      <c r="H227" s="291"/>
      <c r="I227" s="107"/>
      <c r="J227" s="107"/>
      <c r="K227" s="107"/>
      <c r="L227" s="293"/>
      <c r="M227" s="291"/>
      <c r="N227" s="107"/>
      <c r="O227" s="107"/>
      <c r="P227" s="107"/>
      <c r="Q227" s="293"/>
      <c r="R227" s="291"/>
      <c r="S227" s="107"/>
      <c r="T227" s="107"/>
      <c r="U227" s="107"/>
      <c r="V227" s="293"/>
      <c r="W227" s="291"/>
      <c r="X227" s="107"/>
      <c r="Y227" s="107"/>
      <c r="Z227" s="107"/>
      <c r="AA227" s="293"/>
      <c r="AB227" s="291"/>
      <c r="AC227" s="107"/>
      <c r="AD227" s="107"/>
      <c r="AE227" s="107"/>
      <c r="AF227" s="293"/>
      <c r="AG227" s="291"/>
      <c r="AH227" s="107"/>
      <c r="AI227" s="107"/>
      <c r="AJ227" s="107"/>
      <c r="AK227" s="293"/>
      <c r="AL227" s="291"/>
      <c r="AM227" s="107"/>
      <c r="AN227" s="107"/>
      <c r="AO227" s="107"/>
      <c r="AP227" s="293"/>
      <c r="AQ227" s="291"/>
      <c r="AR227" s="107"/>
      <c r="AS227" s="107"/>
      <c r="AT227" s="107"/>
      <c r="AU227" s="293"/>
      <c r="AV227" s="291"/>
      <c r="AW227" s="107"/>
      <c r="AX227" s="107"/>
      <c r="AY227" s="107"/>
      <c r="AZ227" s="293"/>
      <c r="BA227" s="291"/>
      <c r="BB227" s="107"/>
      <c r="BC227" s="107"/>
      <c r="BD227" s="107"/>
      <c r="BE227" s="293"/>
      <c r="BF227" s="291"/>
      <c r="BG227" s="107"/>
      <c r="BH227" s="107"/>
      <c r="BI227" s="107"/>
      <c r="BJ227" s="293"/>
      <c r="BK227" s="291"/>
      <c r="BL227" s="107"/>
      <c r="BM227" s="107"/>
      <c r="BN227" s="107"/>
      <c r="BO227" s="293"/>
      <c r="BP227" s="291"/>
      <c r="BQ227" s="107"/>
      <c r="BR227" s="107"/>
      <c r="BS227" s="107"/>
      <c r="BT227" s="293"/>
      <c r="BU227" s="291"/>
      <c r="BV227" s="107"/>
      <c r="BW227" s="107"/>
      <c r="BX227" s="107"/>
      <c r="BY227" s="293"/>
      <c r="BZ227" s="291"/>
      <c r="CA227" s="107"/>
      <c r="CB227" s="107"/>
      <c r="CC227" s="107"/>
      <c r="CD227" s="293"/>
      <c r="CE227" s="291"/>
      <c r="CF227" s="107"/>
      <c r="CG227" s="107"/>
      <c r="CH227" s="107"/>
      <c r="CI227" s="293"/>
      <c r="CJ227" s="291"/>
      <c r="CK227" s="107"/>
      <c r="CL227" s="107"/>
      <c r="CM227" s="107"/>
      <c r="CN227" s="293"/>
      <c r="CO227" s="291"/>
      <c r="CP227" s="107"/>
      <c r="CQ227" s="107"/>
      <c r="CR227" s="107"/>
      <c r="CS227" s="293"/>
      <c r="CT227" s="291"/>
      <c r="CU227" s="107">
        <f>CU224/CT224-1</f>
      </c>
      <c r="CV227" s="107">
        <f>CV224/CU224-1</f>
      </c>
      <c r="CW227" s="107">
        <f>CW224/CV224-1</f>
      </c>
      <c r="CX227" s="292"/>
      <c r="CY227" s="291">
        <f>CY224/CW224-1</f>
      </c>
      <c r="CZ227" s="107">
        <f>CZ224/CY224-1</f>
      </c>
      <c r="DA227" s="107">
        <f>DA224/CZ224-1</f>
      </c>
      <c r="DB227" s="107">
        <f>DB224/DA224-1</f>
      </c>
      <c r="DC227" s="292"/>
      <c r="DD227" s="291">
        <f>DD224/DB224-1</f>
      </c>
      <c r="DE227" s="107">
        <f>DE224/DD224-1</f>
      </c>
      <c r="DF227" s="107">
        <f>DF224/DE224-1</f>
      </c>
      <c r="DG227" s="107">
        <f>DG224/DF224-1</f>
      </c>
      <c r="DH227" s="293"/>
      <c r="DI227" s="291">
        <f>DI224/DG224-1</f>
      </c>
      <c r="DJ227" s="107">
        <f>DJ224/DI224-1</f>
      </c>
      <c r="DK227" s="107">
        <f>DK224/DJ224-1</f>
      </c>
      <c r="DL227" s="107">
        <f>DL224/DK224-1</f>
      </c>
      <c r="DM227" s="293"/>
      <c r="DN227" s="291">
        <f>DN224/DL224-1</f>
      </c>
      <c r="DO227" s="107">
        <f>DO224/DN224-1</f>
      </c>
      <c r="DP227" s="107">
        <f>DP224/DO224-1</f>
      </c>
      <c r="DQ227" s="107">
        <f>DQ224/DP224-1</f>
      </c>
      <c r="DR227" s="293"/>
      <c r="DS227" s="291">
        <f>DS224/DQ224-1</f>
      </c>
      <c r="DT227" s="107">
        <f>DT224/DS224-1</f>
      </c>
      <c r="DU227" s="107">
        <f>DU224/DT224-1</f>
      </c>
      <c r="DV227" s="107">
        <f>DV224/DU224-1</f>
      </c>
      <c r="DW227" s="293"/>
      <c r="DX227" s="291">
        <f>DX224/DV224-1</f>
      </c>
      <c r="DY227" s="107">
        <f>DY224/DX224-1</f>
      </c>
      <c r="DZ227" s="107">
        <f>DZ224/DY224-1</f>
      </c>
      <c r="EA227" s="107">
        <f>EA224/DZ224-1</f>
      </c>
      <c r="EB227" s="293"/>
      <c r="EC227" s="291">
        <f>EC224/EA224-1</f>
      </c>
      <c r="ED227" s="107">
        <f>ED224/EC224-1</f>
      </c>
      <c r="EE227" s="107">
        <f>EE224/ED224-1</f>
      </c>
      <c r="EF227" s="107">
        <f>EF224/EE224-1</f>
      </c>
      <c r="EG227" s="293"/>
      <c r="EH227" s="291">
        <f>EH224/EF224-1</f>
      </c>
      <c r="EI227" s="107">
        <f>EI224/EH224-1</f>
      </c>
      <c r="EJ227" s="107">
        <f>EJ224/EI224-1</f>
      </c>
      <c r="EK227" s="107">
        <f>EK224/EJ224-1</f>
      </c>
      <c r="EL227" s="293"/>
      <c r="EM227" s="291">
        <f>EM224/EK224-1</f>
      </c>
      <c r="EN227" s="107">
        <f>EN224/EM224-1</f>
      </c>
      <c r="EO227" s="107">
        <f>EO224/EN224-1</f>
      </c>
      <c r="EP227" s="107">
        <f>EP224/EO224-1</f>
      </c>
      <c r="EQ227" s="293"/>
      <c r="ER227" s="291">
        <f>ER224/EP224-1</f>
      </c>
      <c r="ES227" s="107">
        <f>ES224/ER224-1</f>
      </c>
      <c r="ET227" s="107">
        <f>ET224/ES224-1</f>
      </c>
      <c r="EU227" s="468">
        <f>EU224/ET224-1</f>
      </c>
      <c r="EV227" s="293"/>
      <c r="EW227" s="291">
        <f>EW224/EU224-1</f>
      </c>
      <c r="EX227" s="468">
        <f>EX224/EW224-1</f>
      </c>
      <c r="EY227" s="107">
        <f>EY224/EX224-1</f>
      </c>
      <c r="EZ227" s="468">
        <f>EZ224/EY224-1</f>
      </c>
      <c r="FA227" s="293"/>
      <c r="FB227" s="291">
        <f>FB224/EZ224-1</f>
      </c>
      <c r="FC227" s="107">
        <f>FC224/FB224-1</f>
      </c>
      <c r="FD227" s="107">
        <f>FD224/FC224-1</f>
      </c>
      <c r="FE227" s="107">
        <f>FE224/FD224-1</f>
      </c>
      <c r="FF227" s="293"/>
      <c r="FG227" s="291">
        <f>FG224/FE224-1</f>
      </c>
      <c r="FH227" s="107">
        <f>FH224/FG224-1</f>
      </c>
      <c r="FI227" s="107">
        <f>FI224/FH224-1</f>
      </c>
      <c r="FJ227" s="107">
        <f>FJ224/FI224-1</f>
      </c>
      <c r="FK227" s="293"/>
      <c r="FL227" s="291">
        <f>FL224/FJ224-1</f>
      </c>
      <c r="FM227" s="107">
        <f>FM224/FL224-1</f>
      </c>
      <c r="FN227" s="107">
        <f>FN224/FM224-1</f>
      </c>
      <c r="FO227" s="107">
        <f>FO224/FN224-1</f>
      </c>
      <c r="FP227" s="293"/>
      <c r="FQ227" s="291">
        <f>FQ224/FO224-1</f>
      </c>
      <c r="FR227" s="107">
        <f>FR224/FQ224-1</f>
      </c>
      <c r="FS227" s="107">
        <f>FS224/FR224-1</f>
      </c>
      <c r="FT227" s="107">
        <f>FT224/FS224-1</f>
      </c>
      <c r="FU227" s="293"/>
      <c r="FV227" s="291">
        <f>FV224/FT224-1</f>
      </c>
      <c r="FW227" s="107">
        <f>FW224/FV224-1</f>
      </c>
      <c r="FX227" s="107">
        <f>FX224/FW224-1</f>
      </c>
      <c r="FY227" s="107">
        <f>FY224/FX224-1</f>
      </c>
      <c r="FZ227" s="293"/>
      <c r="GA227" s="291">
        <f>GA224/FY224-1</f>
      </c>
      <c r="GB227" s="107">
        <f>GB224/GA224-1</f>
      </c>
      <c r="GC227" s="107">
        <f>GC224/GB224-1</f>
      </c>
      <c r="GD227" s="107">
        <f>GD224/GC224-1</f>
      </c>
      <c r="GE227" s="293"/>
      <c r="GF227" s="291">
        <f>GF224/GD224-1</f>
      </c>
      <c r="GG227" s="107">
        <f>GG224/GF224-1</f>
      </c>
      <c r="GH227" s="107">
        <f>GH224/GG224-1</f>
      </c>
      <c r="GI227" s="107">
        <f>GI224/GH224-1</f>
      </c>
      <c r="GJ227" s="382"/>
    </row>
    <row r="228" spans="1:192" ht="12.75" customHeight="1">
      <c r="B228" s="735" t="s">
        <v>243</v>
      </c>
      <c r="C228" s="291"/>
      <c r="D228" s="107"/>
      <c r="E228" s="107"/>
      <c r="F228" s="107"/>
      <c r="G228" s="292"/>
      <c r="H228" s="291"/>
      <c r="I228" s="107"/>
      <c r="J228" s="107"/>
      <c r="K228" s="107"/>
      <c r="L228" s="292"/>
      <c r="M228" s="291"/>
      <c r="N228" s="107"/>
      <c r="O228" s="107"/>
      <c r="P228" s="107"/>
      <c r="Q228" s="292"/>
      <c r="R228" s="291"/>
      <c r="S228" s="107"/>
      <c r="T228" s="107"/>
      <c r="U228" s="107"/>
      <c r="V228" s="292"/>
      <c r="W228" s="291"/>
      <c r="X228" s="107"/>
      <c r="Y228" s="107"/>
      <c r="Z228" s="107"/>
      <c r="AA228" s="292"/>
      <c r="AB228" s="291"/>
      <c r="AC228" s="107"/>
      <c r="AD228" s="107"/>
      <c r="AE228" s="107"/>
      <c r="AF228" s="292"/>
      <c r="AG228" s="291"/>
      <c r="AH228" s="107"/>
      <c r="AI228" s="107"/>
      <c r="AJ228" s="107"/>
      <c r="AK228" s="292"/>
      <c r="AL228" s="291"/>
      <c r="AM228" s="107"/>
      <c r="AN228" s="107"/>
      <c r="AO228" s="107"/>
      <c r="AP228" s="292"/>
      <c r="AQ228" s="291"/>
      <c r="AR228" s="107"/>
      <c r="AS228" s="107"/>
      <c r="AT228" s="107"/>
      <c r="AU228" s="292"/>
      <c r="AV228" s="291"/>
      <c r="AW228" s="107"/>
      <c r="AX228" s="107"/>
      <c r="AY228" s="107"/>
      <c r="AZ228" s="292"/>
      <c r="BA228" s="291"/>
      <c r="BB228" s="107"/>
      <c r="BC228" s="107"/>
      <c r="BD228" s="107"/>
      <c r="BE228" s="292"/>
      <c r="BF228" s="291"/>
      <c r="BG228" s="107"/>
      <c r="BH228" s="107"/>
      <c r="BI228" s="107"/>
      <c r="BJ228" s="292"/>
      <c r="BK228" s="291"/>
      <c r="BL228" s="107"/>
      <c r="BM228" s="107"/>
      <c r="BN228" s="107"/>
      <c r="BO228" s="292"/>
      <c r="BP228" s="291"/>
      <c r="BQ228" s="107"/>
      <c r="BR228" s="107"/>
      <c r="BS228" s="107"/>
      <c r="BT228" s="292"/>
      <c r="BU228" s="291"/>
      <c r="BV228" s="107"/>
      <c r="BW228" s="107"/>
      <c r="BX228" s="107"/>
      <c r="BY228" s="292"/>
      <c r="BZ228" s="291"/>
      <c r="CA228" s="107"/>
      <c r="CB228" s="107"/>
      <c r="CC228" s="107"/>
      <c r="CD228" s="292"/>
      <c r="CE228" s="291"/>
      <c r="CF228" s="107"/>
      <c r="CG228" s="107"/>
      <c r="CH228" s="107"/>
      <c r="CI228" s="292"/>
      <c r="CJ228" s="291"/>
      <c r="CK228" s="107"/>
      <c r="CL228" s="107"/>
      <c r="CM228" s="107"/>
      <c r="CN228" s="292"/>
      <c r="CO228" s="291"/>
      <c r="CP228" s="107"/>
      <c r="CQ228" s="107"/>
      <c r="CR228" s="107"/>
      <c r="CS228" s="292"/>
      <c r="CT228" s="447"/>
      <c r="CU228" s="447"/>
      <c r="CV228" s="447"/>
      <c r="CW228" s="447"/>
      <c r="CX228" s="462"/>
      <c r="CY228" s="448">
        <v>142</v>
      </c>
      <c r="CZ228" s="448">
        <v>117</v>
      </c>
      <c r="DA228" s="448">
        <v>86</v>
      </c>
      <c r="DB228" s="447">
        <f t="shared" ref="DB228:ER228" si="213">DB224-CW224</f>
      </c>
      <c r="DC228" s="462">
        <f t="shared" si="213"/>
      </c>
      <c r="DD228" s="448">
        <v>116</v>
      </c>
      <c r="DE228" s="447">
        <f t="shared" si="213"/>
      </c>
      <c r="DF228" s="447">
        <f t="shared" si="213"/>
      </c>
      <c r="DG228" s="447">
        <f t="shared" si="213"/>
      </c>
      <c r="DH228" s="462">
        <f t="shared" si="213"/>
      </c>
      <c r="DI228" s="447">
        <f t="shared" si="213"/>
      </c>
      <c r="DJ228" s="447">
        <f t="shared" si="213"/>
      </c>
      <c r="DK228" s="447">
        <f t="shared" si="213"/>
      </c>
      <c r="DL228" s="447">
        <f t="shared" si="213"/>
      </c>
      <c r="DM228" s="462">
        <f t="shared" si="213"/>
      </c>
      <c r="DN228" s="447">
        <f t="shared" si="213"/>
      </c>
      <c r="DO228" s="447">
        <f t="shared" si="213"/>
      </c>
      <c r="DP228" s="447">
        <f t="shared" si="213"/>
      </c>
      <c r="DQ228" s="447">
        <f t="shared" si="213"/>
      </c>
      <c r="DR228" s="462">
        <f t="shared" si="213"/>
      </c>
      <c r="DS228" s="447">
        <f t="shared" si="213"/>
      </c>
      <c r="DT228" s="447">
        <f t="shared" si="213"/>
      </c>
      <c r="DU228" s="447">
        <f t="shared" si="213"/>
      </c>
      <c r="DV228" s="447">
        <f t="shared" si="213"/>
      </c>
      <c r="DW228" s="462">
        <f t="shared" si="213"/>
      </c>
      <c r="DX228" s="447">
        <f t="shared" si="213"/>
      </c>
      <c r="DY228" s="447">
        <f t="shared" si="213"/>
      </c>
      <c r="DZ228" s="447">
        <f t="shared" si="213"/>
      </c>
      <c r="EA228" s="447">
        <f t="shared" si="213"/>
      </c>
      <c r="EB228" s="462">
        <f t="shared" si="213"/>
      </c>
      <c r="EC228" s="447">
        <f t="shared" si="213"/>
      </c>
      <c r="ED228" s="447">
        <f t="shared" si="213"/>
      </c>
      <c r="EE228" s="447">
        <f t="shared" si="213"/>
      </c>
      <c r="EF228" s="447">
        <f t="shared" si="213"/>
      </c>
      <c r="EG228" s="462">
        <f t="shared" si="213"/>
      </c>
      <c r="EH228" s="447">
        <f t="shared" si="213"/>
      </c>
      <c r="EI228" s="447">
        <f t="shared" si="213"/>
      </c>
      <c r="EJ228" s="447">
        <f t="shared" si="213"/>
      </c>
      <c r="EK228" s="447">
        <f t="shared" si="213"/>
      </c>
      <c r="EL228" s="462">
        <f t="shared" si="213"/>
      </c>
      <c r="EM228" s="447">
        <f t="shared" si="213"/>
      </c>
      <c r="EN228" s="447">
        <f t="shared" si="213"/>
      </c>
      <c r="EO228" s="447">
        <f t="shared" si="213"/>
      </c>
      <c r="EP228" s="447">
        <f t="shared" si="213"/>
      </c>
      <c r="EQ228" s="462">
        <f t="shared" si="213"/>
      </c>
      <c r="ER228" s="447">
        <f t="shared" si="213"/>
      </c>
      <c r="ES228" s="447">
        <f t="shared" ref="ES228:FZ228" si="214">ES224-EN224</f>
      </c>
      <c r="ET228" s="448">
        <v>-186</v>
      </c>
      <c r="EU228" s="447">
        <f t="shared" si="214"/>
      </c>
      <c r="EV228" s="462">
        <f t="shared" si="214"/>
      </c>
      <c r="EW228" s="447">
        <f t="shared" si="214"/>
      </c>
      <c r="EX228" s="447">
        <f t="shared" si="214"/>
      </c>
      <c r="EY228" s="447">
        <f t="shared" si="214"/>
      </c>
      <c r="EZ228" s="447">
        <f t="shared" si="214"/>
      </c>
      <c r="FA228" s="462">
        <f t="shared" si="214"/>
      </c>
      <c r="FB228" s="447">
        <f t="shared" si="214"/>
      </c>
      <c r="FC228" s="447">
        <f>FC224-EX224</f>
      </c>
      <c r="FD228" s="447">
        <f t="shared" si="214"/>
      </c>
      <c r="FE228" s="447">
        <f t="shared" si="214"/>
      </c>
      <c r="FF228" s="462">
        <f t="shared" si="214"/>
      </c>
      <c r="FG228" s="447">
        <f t="shared" si="214"/>
      </c>
      <c r="FH228" s="447">
        <f t="shared" si="214"/>
      </c>
      <c r="FI228" s="447">
        <f t="shared" si="214"/>
      </c>
      <c r="FJ228" s="447">
        <f t="shared" si="214"/>
      </c>
      <c r="FK228" s="462">
        <f t="shared" si="214"/>
      </c>
      <c r="FL228" s="447">
        <f t="shared" si="214"/>
      </c>
      <c r="FM228" s="447">
        <f t="shared" si="214"/>
      </c>
      <c r="FN228" s="447">
        <f t="shared" si="214"/>
      </c>
      <c r="FO228" s="447">
        <f t="shared" si="214"/>
      </c>
      <c r="FP228" s="462">
        <f t="shared" si="214"/>
      </c>
      <c r="FQ228" s="447">
        <f t="shared" si="214"/>
      </c>
      <c r="FR228" s="447">
        <f t="shared" si="214"/>
      </c>
      <c r="FS228" s="447">
        <f t="shared" si="214"/>
      </c>
      <c r="FT228" s="447">
        <f t="shared" si="214"/>
      </c>
      <c r="FU228" s="462">
        <f t="shared" si="214"/>
      </c>
      <c r="FV228" s="447">
        <f t="shared" si="214"/>
      </c>
      <c r="FW228" s="447">
        <f t="shared" si="214"/>
      </c>
      <c r="FX228" s="447">
        <f t="shared" si="214"/>
      </c>
      <c r="FY228" s="447">
        <f t="shared" si="214"/>
      </c>
      <c r="FZ228" s="462">
        <f t="shared" si="214"/>
      </c>
      <c r="GA228" s="447">
        <f t="shared" ref="GA228:GJ228" si="215">GA224-FV224</f>
      </c>
      <c r="GB228" s="447">
        <f t="shared" si="215"/>
      </c>
      <c r="GC228" s="447">
        <f t="shared" si="215"/>
      </c>
      <c r="GD228" s="447">
        <f t="shared" si="215"/>
      </c>
      <c r="GE228" s="462">
        <f t="shared" si="215"/>
      </c>
      <c r="GF228" s="447">
        <f t="shared" si="215"/>
      </c>
      <c r="GG228" s="447">
        <f t="shared" si="215"/>
      </c>
      <c r="GH228" s="447">
        <f t="shared" si="215"/>
      </c>
      <c r="GI228" s="447">
        <f t="shared" si="215"/>
      </c>
      <c r="GJ228" s="497">
        <f t="shared" si="215"/>
      </c>
    </row>
    <row r="229" spans="1:192" ht="12.75" customHeight="1">
      <c r="B229" s="735" t="s">
        <v>244</v>
      </c>
      <c r="C229" s="291"/>
      <c r="D229" s="107"/>
      <c r="E229" s="107"/>
      <c r="F229" s="107"/>
      <c r="G229" s="292"/>
      <c r="H229" s="291"/>
      <c r="I229" s="107"/>
      <c r="J229" s="107"/>
      <c r="K229" s="107"/>
      <c r="L229" s="292"/>
      <c r="M229" s="291"/>
      <c r="N229" s="107"/>
      <c r="O229" s="107"/>
      <c r="P229" s="107"/>
      <c r="Q229" s="292"/>
      <c r="R229" s="291"/>
      <c r="S229" s="107"/>
      <c r="T229" s="107"/>
      <c r="U229" s="107"/>
      <c r="V229" s="292"/>
      <c r="W229" s="291"/>
      <c r="X229" s="107"/>
      <c r="Y229" s="107"/>
      <c r="Z229" s="107"/>
      <c r="AA229" s="292"/>
      <c r="AB229" s="291"/>
      <c r="AC229" s="107"/>
      <c r="AD229" s="107"/>
      <c r="AE229" s="107"/>
      <c r="AF229" s="292"/>
      <c r="AG229" s="291"/>
      <c r="AH229" s="107"/>
      <c r="AI229" s="107"/>
      <c r="AJ229" s="107"/>
      <c r="AK229" s="292"/>
      <c r="AL229" s="291"/>
      <c r="AM229" s="107"/>
      <c r="AN229" s="107"/>
      <c r="AO229" s="107"/>
      <c r="AP229" s="292"/>
      <c r="AQ229" s="291"/>
      <c r="AR229" s="107"/>
      <c r="AS229" s="107"/>
      <c r="AT229" s="107"/>
      <c r="AU229" s="292"/>
      <c r="AV229" s="291"/>
      <c r="AW229" s="107"/>
      <c r="AX229" s="107"/>
      <c r="AY229" s="107"/>
      <c r="AZ229" s="292"/>
      <c r="BA229" s="291"/>
      <c r="BB229" s="107"/>
      <c r="BC229" s="107"/>
      <c r="BD229" s="107"/>
      <c r="BE229" s="292"/>
      <c r="BF229" s="291"/>
      <c r="BG229" s="107"/>
      <c r="BH229" s="107"/>
      <c r="BI229" s="107"/>
      <c r="BJ229" s="292"/>
      <c r="BK229" s="291"/>
      <c r="BL229" s="107"/>
      <c r="BM229" s="107"/>
      <c r="BN229" s="107"/>
      <c r="BO229" s="292"/>
      <c r="BP229" s="291"/>
      <c r="BQ229" s="107"/>
      <c r="BR229" s="107"/>
      <c r="BS229" s="107"/>
      <c r="BT229" s="292"/>
      <c r="BU229" s="291"/>
      <c r="BV229" s="107"/>
      <c r="BW229" s="107"/>
      <c r="BX229" s="107"/>
      <c r="BY229" s="292"/>
      <c r="BZ229" s="291"/>
      <c r="CA229" s="107"/>
      <c r="CB229" s="107"/>
      <c r="CC229" s="107"/>
      <c r="CD229" s="292"/>
      <c r="CE229" s="291"/>
      <c r="CF229" s="107"/>
      <c r="CG229" s="107"/>
      <c r="CH229" s="107"/>
      <c r="CI229" s="292"/>
      <c r="CJ229" s="291"/>
      <c r="CK229" s="107"/>
      <c r="CL229" s="107"/>
      <c r="CM229" s="107"/>
      <c r="CN229" s="292"/>
      <c r="CO229" s="291"/>
      <c r="CP229" s="107"/>
      <c r="CQ229" s="107"/>
      <c r="CR229" s="107"/>
      <c r="CS229" s="292"/>
      <c r="CT229" s="447"/>
      <c r="CU229" s="447">
        <f>CU224-CT224</f>
      </c>
      <c r="CV229" s="447">
        <f>CV224-CU224</f>
      </c>
      <c r="CW229" s="447">
        <f>CW224-CV224</f>
      </c>
      <c r="CX229" s="462"/>
      <c r="CY229" s="447">
        <f>CY224-CW224</f>
      </c>
      <c r="CZ229" s="447">
        <f>CZ224-CY224</f>
      </c>
      <c r="DA229" s="447">
        <f>DA224-CZ224</f>
      </c>
      <c r="DB229" s="447">
        <f>DB224-DA224</f>
      </c>
      <c r="DC229" s="462"/>
      <c r="DD229" s="447">
        <f>DD224-DB224</f>
      </c>
      <c r="DE229" s="447">
        <f>DE224-DD224</f>
      </c>
      <c r="DF229" s="447">
        <f>DF224-DE224</f>
      </c>
      <c r="DG229" s="447">
        <f>DG224-DF224</f>
      </c>
      <c r="DH229" s="462"/>
      <c r="DI229" s="447">
        <f>DI224-DG224</f>
      </c>
      <c r="DJ229" s="447">
        <f>DJ224-DI224</f>
      </c>
      <c r="DK229" s="447">
        <f>DK224-DJ224</f>
      </c>
      <c r="DL229" s="447">
        <f>DL224-DK224</f>
      </c>
      <c r="DM229" s="462"/>
      <c r="DN229" s="447">
        <f>DN224-DL224</f>
      </c>
      <c r="DO229" s="447">
        <f>DO224-DN224</f>
      </c>
      <c r="DP229" s="447">
        <f>DP224-DO224</f>
      </c>
      <c r="DQ229" s="447">
        <f>DQ224-DP224</f>
      </c>
      <c r="DR229" s="462"/>
      <c r="DS229" s="447">
        <f>DS224-DQ224</f>
      </c>
      <c r="DT229" s="447">
        <f>DT224-DS224</f>
      </c>
      <c r="DU229" s="447">
        <f>DU224-DT224</f>
      </c>
      <c r="DV229" s="447">
        <f>DV224-DU224</f>
      </c>
      <c r="DW229" s="462"/>
      <c r="DX229" s="447">
        <f>DX224-DV224</f>
      </c>
      <c r="DY229" s="447">
        <f>DY224-DX224</f>
      </c>
      <c r="DZ229" s="447">
        <f>DZ224-DY224</f>
      </c>
      <c r="EA229" s="447">
        <f>EA224-DZ224</f>
      </c>
      <c r="EB229" s="462"/>
      <c r="EC229" s="447">
        <f>EC224-EA224</f>
      </c>
      <c r="ED229" s="447">
        <f>ED224-EC224</f>
      </c>
      <c r="EE229" s="447">
        <f>EE224-ED224</f>
      </c>
      <c r="EF229" s="447">
        <f>EF224-EE224</f>
      </c>
      <c r="EG229" s="462"/>
      <c r="EH229" s="447">
        <f>EH224-EF224</f>
      </c>
      <c r="EI229" s="447">
        <f>EI224-EH224</f>
      </c>
      <c r="EJ229" s="447">
        <f>EJ224-EI224</f>
      </c>
      <c r="EK229" s="447">
        <f>EK224-EJ224</f>
      </c>
      <c r="EL229" s="462"/>
      <c r="EM229" s="447">
        <f>EM224-EK224</f>
      </c>
      <c r="EN229" s="447">
        <f>EN224-EM224</f>
      </c>
      <c r="EO229" s="447">
        <f>EO224-EN224</f>
      </c>
      <c r="EP229" s="447">
        <f>EP224-EO224</f>
      </c>
      <c r="EQ229" s="462"/>
      <c r="ER229" s="447">
        <f>ER224-EP224</f>
      </c>
      <c r="ES229" s="447">
        <f>ES224-ER224</f>
      </c>
      <c r="ET229" s="447">
        <f>ET224-ES224</f>
      </c>
      <c r="EU229" s="447">
        <f>EU224-ET224</f>
      </c>
      <c r="EV229" s="462"/>
      <c r="EW229" s="447">
        <f>EW224-EU224</f>
      </c>
      <c r="EX229" s="447">
        <f>EX224-EW224</f>
      </c>
      <c r="EY229" s="447">
        <f>EY224-EX224</f>
      </c>
      <c r="EZ229" s="447">
        <f>EZ224-EY224</f>
      </c>
      <c r="FA229" s="462"/>
      <c r="FB229" s="447">
        <f>FB224-EZ224</f>
      </c>
      <c r="FC229" s="447">
        <f>FC224-FB224</f>
      </c>
      <c r="FD229" s="447">
        <f>FD224-FC224</f>
      </c>
      <c r="FE229" s="447">
        <f>FE224-FD224</f>
      </c>
      <c r="FF229" s="462"/>
      <c r="FG229" s="447">
        <f>FG224-FE224</f>
      </c>
      <c r="FH229" s="447">
        <f>FH224-FG224</f>
      </c>
      <c r="FI229" s="447">
        <f>FI224-FH224</f>
      </c>
      <c r="FJ229" s="447">
        <f>FJ224-FI224</f>
      </c>
      <c r="FK229" s="462"/>
      <c r="FL229" s="447">
        <f>FL224-FJ224</f>
      </c>
      <c r="FM229" s="447">
        <f>FM224-FL224</f>
      </c>
      <c r="FN229" s="447">
        <f>FN224-FM224</f>
      </c>
      <c r="FO229" s="447">
        <f>FO224-FN224</f>
      </c>
      <c r="FP229" s="462"/>
      <c r="FQ229" s="447">
        <f>FQ224-FO224</f>
      </c>
      <c r="FR229" s="447">
        <f>FR224-FQ224</f>
      </c>
      <c r="FS229" s="447">
        <f>FS224-FR224</f>
      </c>
      <c r="FT229" s="447">
        <f>FT224-FS224</f>
      </c>
      <c r="FU229" s="462"/>
      <c r="FV229" s="447">
        <f>FV224-FT224</f>
      </c>
      <c r="FW229" s="447">
        <f>FW224-FV224</f>
      </c>
      <c r="FX229" s="447">
        <f>FX224-FW224</f>
      </c>
      <c r="FY229" s="447">
        <f>FY224-FX224</f>
      </c>
      <c r="FZ229" s="462"/>
      <c r="GA229" s="447">
        <f>GA224-FY224</f>
      </c>
      <c r="GB229" s="447">
        <f>GB224-GA224</f>
      </c>
      <c r="GC229" s="447">
        <f>GC224-GB224</f>
      </c>
      <c r="GD229" s="447">
        <f>GD224-GC224</f>
      </c>
      <c r="GE229" s="462"/>
      <c r="GF229" s="447">
        <f>GF224-GD224</f>
      </c>
      <c r="GG229" s="447">
        <f>GG224-GF224</f>
      </c>
      <c r="GH229" s="447">
        <f>GH224-GG224</f>
      </c>
      <c r="GI229" s="447">
        <f>GI224-GH224</f>
      </c>
      <c r="GJ229" s="497"/>
    </row>
    <row r="230" spans="1:192" ht="12.75" customHeight="1">
      <c r="B230" s="735" t="s">
        <v>207</v>
      </c>
      <c r="C230" s="291"/>
      <c r="D230" s="107"/>
      <c r="E230" s="107"/>
      <c r="F230" s="107"/>
      <c r="G230" s="292"/>
      <c r="H230" s="291"/>
      <c r="I230" s="107"/>
      <c r="J230" s="107"/>
      <c r="K230" s="107"/>
      <c r="L230" s="292"/>
      <c r="M230" s="291"/>
      <c r="N230" s="107"/>
      <c r="O230" s="107"/>
      <c r="P230" s="107"/>
      <c r="Q230" s="292"/>
      <c r="R230" s="291"/>
      <c r="S230" s="107"/>
      <c r="T230" s="107"/>
      <c r="U230" s="107"/>
      <c r="V230" s="292"/>
      <c r="W230" s="291"/>
      <c r="X230" s="107"/>
      <c r="Y230" s="107"/>
      <c r="Z230" s="107"/>
      <c r="AA230" s="292"/>
      <c r="AB230" s="291"/>
      <c r="AC230" s="107"/>
      <c r="AD230" s="107"/>
      <c r="AE230" s="107"/>
      <c r="AF230" s="292"/>
      <c r="AG230" s="291"/>
      <c r="AH230" s="107"/>
      <c r="AI230" s="107"/>
      <c r="AJ230" s="107"/>
      <c r="AK230" s="292"/>
      <c r="AL230" s="291"/>
      <c r="AM230" s="107"/>
      <c r="AN230" s="107"/>
      <c r="AO230" s="107"/>
      <c r="AP230" s="292"/>
      <c r="AQ230" s="291"/>
      <c r="AR230" s="107"/>
      <c r="AS230" s="107"/>
      <c r="AT230" s="107"/>
      <c r="AU230" s="292"/>
      <c r="AV230" s="291"/>
      <c r="AW230" s="107"/>
      <c r="AX230" s="107"/>
      <c r="AY230" s="107"/>
      <c r="AZ230" s="292"/>
      <c r="BA230" s="291"/>
      <c r="BB230" s="107"/>
      <c r="BC230" s="107"/>
      <c r="BD230" s="107"/>
      <c r="BE230" s="292"/>
      <c r="BF230" s="291"/>
      <c r="BG230" s="107"/>
      <c r="BH230" s="107"/>
      <c r="BI230" s="107"/>
      <c r="BJ230" s="292"/>
      <c r="BK230" s="291"/>
      <c r="BL230" s="107"/>
      <c r="BM230" s="107"/>
      <c r="BN230" s="107"/>
      <c r="BO230" s="292"/>
      <c r="BP230" s="291"/>
      <c r="BQ230" s="107"/>
      <c r="BR230" s="107"/>
      <c r="BS230" s="107"/>
      <c r="BT230" s="292"/>
      <c r="BU230" s="291"/>
      <c r="BV230" s="107"/>
      <c r="BW230" s="107"/>
      <c r="BX230" s="107"/>
      <c r="BY230" s="292"/>
      <c r="BZ230" s="291"/>
      <c r="CA230" s="107"/>
      <c r="CB230" s="107"/>
      <c r="CC230" s="107"/>
      <c r="CD230" s="292"/>
      <c r="CE230" s="291"/>
      <c r="CF230" s="107"/>
      <c r="CG230" s="107"/>
      <c r="CH230" s="107"/>
      <c r="CI230" s="292"/>
      <c r="CJ230" s="291"/>
      <c r="CK230" s="107"/>
      <c r="CL230" s="107"/>
      <c r="CM230" s="107"/>
      <c r="CN230" s="292"/>
      <c r="CO230" s="291"/>
      <c r="CP230" s="107"/>
      <c r="CQ230" s="107"/>
      <c r="CR230" s="107"/>
      <c r="CS230" s="292"/>
      <c r="CT230" s="291"/>
      <c r="CU230" s="107"/>
      <c r="CV230" s="107"/>
      <c r="CW230" s="291"/>
      <c r="CX230" s="292"/>
      <c r="CY230" s="291"/>
      <c r="CZ230" s="107"/>
      <c r="DA230" s="107"/>
      <c r="DB230" s="291"/>
      <c r="DC230" s="292"/>
      <c r="DD230" s="291"/>
      <c r="DE230" s="107"/>
      <c r="DF230" s="107"/>
      <c r="DG230" s="291"/>
      <c r="DH230" s="292"/>
      <c r="DI230" s="291"/>
      <c r="DJ230" s="107"/>
      <c r="DK230" s="107"/>
      <c r="DL230" s="291"/>
      <c r="DM230" s="292"/>
      <c r="DN230" s="291"/>
      <c r="DO230" s="107"/>
      <c r="DP230" s="107"/>
      <c r="DQ230" s="291"/>
      <c r="DR230" s="292"/>
      <c r="DS230" s="291"/>
      <c r="DT230" s="107"/>
      <c r="DU230" s="107"/>
      <c r="DV230" s="291"/>
      <c r="DW230" s="292"/>
      <c r="DX230" s="291"/>
      <c r="DY230" s="107"/>
      <c r="DZ230" s="107"/>
      <c r="EA230" s="291"/>
      <c r="EB230" s="292"/>
      <c r="EC230" s="291"/>
      <c r="ED230" s="107"/>
      <c r="EE230" s="107"/>
      <c r="EF230" s="291"/>
      <c r="EG230" s="292"/>
      <c r="EH230" s="291"/>
      <c r="EI230" s="107"/>
      <c r="EJ230" s="107"/>
      <c r="EK230" s="291"/>
      <c r="EL230" s="292"/>
      <c r="EM230" s="291">
        <f t="shared" ref="EM230:GE230" si="216">EM224/EM$10</f>
      </c>
      <c r="EN230" s="107">
        <f t="shared" si="216"/>
      </c>
      <c r="EO230" s="107">
        <f t="shared" si="216"/>
      </c>
      <c r="EP230" s="291">
        <f t="shared" si="216"/>
      </c>
      <c r="EQ230" s="292">
        <f t="shared" si="216"/>
      </c>
      <c r="ER230" s="291">
        <f t="shared" si="216"/>
      </c>
      <c r="ES230" s="107">
        <f t="shared" si="216"/>
      </c>
      <c r="ET230" s="107">
        <f t="shared" si="216"/>
      </c>
      <c r="EU230" s="291">
        <f t="shared" si="216"/>
      </c>
      <c r="EV230" s="292">
        <f t="shared" si="216"/>
      </c>
      <c r="EW230" s="291">
        <f t="shared" ref="EW230:EX230" si="217">EW224/EW$10</f>
      </c>
      <c r="EX230" s="107">
        <f t="shared" si="217"/>
      </c>
      <c r="EY230" s="107">
        <f t="shared" ref="EY230:FA230" si="218">EY224/EY$10</f>
      </c>
      <c r="EZ230" s="291">
        <f t="shared" si="218"/>
      </c>
      <c r="FA230" s="292">
        <f t="shared" si="218"/>
      </c>
      <c r="FB230" s="291">
        <f t="shared" si="216"/>
      </c>
      <c r="FC230" s="107">
        <f t="shared" si="216"/>
      </c>
      <c r="FD230" s="107">
        <f t="shared" si="216"/>
      </c>
      <c r="FE230" s="291">
        <f t="shared" si="216"/>
      </c>
      <c r="FF230" s="292">
        <f t="shared" si="216"/>
      </c>
      <c r="FG230" s="291">
        <f t="shared" si="216"/>
      </c>
      <c r="FH230" s="107">
        <f t="shared" si="216"/>
      </c>
      <c r="FI230" s="107">
        <f t="shared" si="216"/>
      </c>
      <c r="FJ230" s="291">
        <f t="shared" si="216"/>
      </c>
      <c r="FK230" s="292">
        <f t="shared" si="216"/>
      </c>
      <c r="FL230" s="291">
        <f t="shared" si="216"/>
      </c>
      <c r="FM230" s="107">
        <f t="shared" si="216"/>
      </c>
      <c r="FN230" s="107">
        <f t="shared" si="216"/>
      </c>
      <c r="FO230" s="291">
        <f t="shared" si="216"/>
      </c>
      <c r="FP230" s="292">
        <f t="shared" si="216"/>
      </c>
      <c r="FQ230" s="291">
        <f t="shared" si="216"/>
      </c>
      <c r="FR230" s="107">
        <f t="shared" si="216"/>
      </c>
      <c r="FS230" s="107">
        <f t="shared" si="216"/>
      </c>
      <c r="FT230" s="291">
        <f t="shared" si="216"/>
      </c>
      <c r="FU230" s="292">
        <f t="shared" si="216"/>
      </c>
      <c r="FV230" s="291">
        <f t="shared" si="216"/>
      </c>
      <c r="FW230" s="107">
        <f t="shared" si="216"/>
      </c>
      <c r="FX230" s="107">
        <f t="shared" si="216"/>
      </c>
      <c r="FY230" s="291">
        <f t="shared" si="216"/>
      </c>
      <c r="FZ230" s="292">
        <f t="shared" si="216"/>
      </c>
      <c r="GA230" s="291">
        <f t="shared" si="216"/>
      </c>
      <c r="GB230" s="107">
        <f t="shared" si="216"/>
      </c>
      <c r="GC230" s="107">
        <f t="shared" si="216"/>
      </c>
      <c r="GD230" s="107">
        <f t="shared" si="216"/>
      </c>
      <c r="GE230" s="292">
        <f t="shared" si="216"/>
      </c>
      <c r="GF230" s="291">
        <f t="shared" ref="GF230:GJ230" si="219">GF224/GF$10</f>
      </c>
      <c r="GG230" s="107">
        <f t="shared" si="219"/>
      </c>
      <c r="GH230" s="107">
        <f t="shared" si="219"/>
      </c>
      <c r="GI230" s="107">
        <f t="shared" si="219"/>
      </c>
      <c r="GJ230" s="384">
        <f t="shared" si="219"/>
      </c>
    </row>
    <row r="231" spans="1:192" ht="12.75" customHeight="1">
      <c r="B231" s="736"/>
      <c r="C231" s="291"/>
      <c r="D231" s="107"/>
      <c r="E231" s="107"/>
      <c r="F231" s="107"/>
      <c r="G231" s="293"/>
      <c r="H231" s="291"/>
      <c r="I231" s="107"/>
      <c r="J231" s="107"/>
      <c r="K231" s="107"/>
      <c r="L231" s="293"/>
      <c r="M231" s="291"/>
      <c r="N231" s="107"/>
      <c r="O231" s="107"/>
      <c r="P231" s="107"/>
      <c r="Q231" s="293"/>
      <c r="R231" s="291"/>
      <c r="S231" s="107"/>
      <c r="T231" s="107"/>
      <c r="U231" s="107"/>
      <c r="V231" s="293"/>
      <c r="W231" s="291"/>
      <c r="X231" s="107"/>
      <c r="Y231" s="107"/>
      <c r="Z231" s="107"/>
      <c r="AA231" s="293"/>
      <c r="AB231" s="291"/>
      <c r="AC231" s="107"/>
      <c r="AD231" s="107"/>
      <c r="AE231" s="107"/>
      <c r="AF231" s="293"/>
      <c r="AG231" s="291"/>
      <c r="AH231" s="107"/>
      <c r="AI231" s="107"/>
      <c r="AJ231" s="107"/>
      <c r="AK231" s="293"/>
      <c r="AL231" s="291"/>
      <c r="AM231" s="107"/>
      <c r="AN231" s="107"/>
      <c r="AO231" s="107"/>
      <c r="AP231" s="293"/>
      <c r="AQ231" s="291"/>
      <c r="AR231" s="107"/>
      <c r="AS231" s="107"/>
      <c r="AT231" s="107"/>
      <c r="AU231" s="293"/>
      <c r="AV231" s="291"/>
      <c r="AW231" s="107"/>
      <c r="AX231" s="107"/>
      <c r="AY231" s="107"/>
      <c r="AZ231" s="293"/>
      <c r="BA231" s="291"/>
      <c r="BB231" s="107"/>
      <c r="BC231" s="107"/>
      <c r="BD231" s="107"/>
      <c r="BE231" s="293"/>
      <c r="BF231" s="291"/>
      <c r="BG231" s="107"/>
      <c r="BH231" s="107"/>
      <c r="BI231" s="107"/>
      <c r="BJ231" s="293"/>
      <c r="BK231" s="291"/>
      <c r="BL231" s="107"/>
      <c r="BM231" s="107"/>
      <c r="BN231" s="107"/>
      <c r="BO231" s="293"/>
      <c r="BP231" s="291"/>
      <c r="BQ231" s="107"/>
      <c r="BR231" s="107"/>
      <c r="BS231" s="107"/>
      <c r="BT231" s="293"/>
      <c r="BU231" s="291"/>
      <c r="BV231" s="107"/>
      <c r="BW231" s="107"/>
      <c r="BX231" s="107"/>
      <c r="BY231" s="293"/>
      <c r="BZ231" s="291"/>
      <c r="CA231" s="107"/>
      <c r="CB231" s="107"/>
      <c r="CC231" s="107"/>
      <c r="CD231" s="293"/>
      <c r="CE231" s="291"/>
      <c r="CF231" s="107"/>
      <c r="CG231" s="107"/>
      <c r="CH231" s="107"/>
      <c r="CI231" s="293"/>
      <c r="CJ231" s="291"/>
      <c r="CK231" s="107"/>
      <c r="CL231" s="107"/>
      <c r="CM231" s="107"/>
      <c r="CN231" s="293"/>
      <c r="CO231" s="291"/>
      <c r="CP231" s="107"/>
      <c r="CQ231" s="107"/>
      <c r="CR231" s="107"/>
      <c r="CS231" s="293"/>
      <c r="CT231" s="291"/>
      <c r="CU231" s="107"/>
      <c r="CV231" s="107"/>
      <c r="CW231" s="107"/>
      <c r="CX231" s="293"/>
      <c r="CY231" s="291"/>
      <c r="CZ231" s="107"/>
      <c r="DA231" s="107"/>
      <c r="DB231" s="107"/>
      <c r="DC231" s="293"/>
      <c r="DD231" s="291"/>
      <c r="DE231" s="107"/>
      <c r="DF231" s="107"/>
      <c r="DG231" s="107"/>
      <c r="DH231" s="293"/>
      <c r="DI231" s="291"/>
      <c r="DJ231" s="107"/>
      <c r="DK231" s="107"/>
      <c r="DL231" s="107"/>
      <c r="DM231" s="293"/>
      <c r="DN231" s="291"/>
      <c r="DO231" s="107"/>
      <c r="DP231" s="107"/>
      <c r="DQ231" s="107"/>
      <c r="DR231" s="293"/>
      <c r="DS231" s="291"/>
      <c r="DT231" s="107"/>
      <c r="DU231" s="107"/>
      <c r="DV231" s="107"/>
      <c r="DW231" s="293"/>
      <c r="DX231" s="291"/>
      <c r="DY231" s="107"/>
      <c r="DZ231" s="107"/>
      <c r="EA231" s="107"/>
      <c r="EB231" s="293"/>
      <c r="EC231" s="291"/>
      <c r="ED231" s="107"/>
      <c r="EE231" s="107"/>
      <c r="EF231" s="107"/>
      <c r="EG231" s="293"/>
      <c r="EH231" s="291"/>
      <c r="EI231" s="107"/>
      <c r="EJ231" s="107"/>
      <c r="EK231" s="107"/>
      <c r="EL231" s="293"/>
      <c r="EM231" s="291"/>
      <c r="EN231" s="107"/>
      <c r="EO231" s="107"/>
      <c r="EP231" s="107"/>
      <c r="EQ231" s="293"/>
      <c r="ER231" s="291"/>
      <c r="ES231" s="107"/>
      <c r="ET231" s="107"/>
      <c r="EU231" s="107"/>
      <c r="EV231" s="293"/>
      <c r="EW231" s="291"/>
      <c r="EX231" s="107"/>
      <c r="EY231" s="107"/>
      <c r="EZ231" s="107"/>
      <c r="FA231" s="293"/>
      <c r="FB231" s="291"/>
      <c r="FC231" s="107"/>
      <c r="FD231" s="107"/>
      <c r="FE231" s="107"/>
      <c r="FF231" s="293"/>
      <c r="FG231" s="291"/>
      <c r="FH231" s="107"/>
      <c r="FI231" s="107"/>
      <c r="FJ231" s="107"/>
      <c r="FK231" s="293"/>
      <c r="FL231" s="291"/>
      <c r="FM231" s="107"/>
      <c r="FN231" s="107"/>
      <c r="FO231" s="107"/>
      <c r="FP231" s="293"/>
      <c r="FQ231" s="291"/>
      <c r="FR231" s="107"/>
      <c r="FS231" s="107"/>
      <c r="FT231" s="107"/>
      <c r="FU231" s="293"/>
      <c r="FV231" s="291"/>
      <c r="FW231" s="107"/>
      <c r="FX231" s="107"/>
      <c r="FY231" s="107"/>
      <c r="FZ231" s="293"/>
      <c r="GA231" s="291"/>
      <c r="GB231" s="107"/>
      <c r="GC231" s="107"/>
      <c r="GD231" s="107"/>
      <c r="GE231" s="293"/>
      <c r="GF231" s="291"/>
      <c r="GG231" s="107"/>
      <c r="GH231" s="107"/>
      <c r="GI231" s="107"/>
      <c r="GJ231" s="382"/>
    </row>
    <row r="232" spans="1:192" s="317" customFormat="1" ht="12.75" customHeight="1">
      <c r="A232" s="280"/>
      <c r="B232" s="857" t="s">
        <v>202</v>
      </c>
      <c r="C232" s="312"/>
      <c r="D232" s="312"/>
      <c r="E232" s="312"/>
      <c r="F232" s="312"/>
      <c r="G232" s="313"/>
      <c r="H232" s="312"/>
      <c r="I232" s="312"/>
      <c r="J232" s="312"/>
      <c r="K232" s="312"/>
      <c r="L232" s="313"/>
      <c r="M232" s="312"/>
      <c r="N232" s="312"/>
      <c r="O232" s="312"/>
      <c r="P232" s="312"/>
      <c r="Q232" s="313"/>
      <c r="R232" s="312"/>
      <c r="S232" s="312"/>
      <c r="T232" s="312"/>
      <c r="U232" s="312"/>
      <c r="V232" s="313"/>
      <c r="W232" s="312"/>
      <c r="X232" s="312"/>
      <c r="Y232" s="312"/>
      <c r="Z232" s="312"/>
      <c r="AA232" s="313"/>
      <c r="AB232" s="312"/>
      <c r="AC232" s="312"/>
      <c r="AD232" s="312"/>
      <c r="AE232" s="312"/>
      <c r="AF232" s="313"/>
      <c r="AG232" s="312"/>
      <c r="AH232" s="312"/>
      <c r="AI232" s="312"/>
      <c r="AJ232" s="312"/>
      <c r="AK232" s="313"/>
      <c r="AL232" s="312"/>
      <c r="AM232" s="312"/>
      <c r="AN232" s="312"/>
      <c r="AO232" s="312"/>
      <c r="AP232" s="313"/>
      <c r="AQ232" s="312"/>
      <c r="AR232" s="312"/>
      <c r="AS232" s="312"/>
      <c r="AT232" s="312"/>
      <c r="AU232" s="313"/>
      <c r="AV232" s="312"/>
      <c r="AW232" s="312"/>
      <c r="AX232" s="312"/>
      <c r="AY232" s="312"/>
      <c r="AZ232" s="313"/>
      <c r="BA232" s="312"/>
      <c r="BB232" s="312"/>
      <c r="BC232" s="312"/>
      <c r="BD232" s="312"/>
      <c r="BE232" s="313"/>
      <c r="BF232" s="312"/>
      <c r="BG232" s="312"/>
      <c r="BH232" s="312"/>
      <c r="BI232" s="312"/>
      <c r="BJ232" s="313"/>
      <c r="BK232" s="312"/>
      <c r="BL232" s="312"/>
      <c r="BM232" s="312"/>
      <c r="BN232" s="312"/>
      <c r="BO232" s="313"/>
      <c r="BP232" s="312"/>
      <c r="BQ232" s="312"/>
      <c r="BR232" s="312"/>
      <c r="BS232" s="312"/>
      <c r="BT232" s="313"/>
      <c r="BU232" s="312"/>
      <c r="BV232" s="312"/>
      <c r="BW232" s="312"/>
      <c r="BX232" s="312"/>
      <c r="BY232" s="313"/>
      <c r="BZ232" s="312"/>
      <c r="CA232" s="312"/>
      <c r="CB232" s="312"/>
      <c r="CC232" s="312"/>
      <c r="CD232" s="313"/>
      <c r="CE232" s="312"/>
      <c r="CF232" s="312"/>
      <c r="CG232" s="312"/>
      <c r="CH232" s="312"/>
      <c r="CI232" s="313"/>
      <c r="CJ232" s="312"/>
      <c r="CK232" s="312"/>
      <c r="CL232" s="312"/>
      <c r="CM232" s="312"/>
      <c r="CN232" s="313"/>
      <c r="CO232" s="312"/>
      <c r="CP232" s="312"/>
      <c r="CQ232" s="312"/>
      <c r="CR232" s="312"/>
      <c r="CS232" s="313"/>
      <c r="CT232" s="312"/>
      <c r="CU232" s="312"/>
      <c r="CV232" s="312"/>
      <c r="CW232" s="312"/>
      <c r="CX232" s="313"/>
      <c r="CY232" s="312"/>
      <c r="CZ232" s="312"/>
      <c r="DA232" s="312"/>
      <c r="DB232" s="316"/>
      <c r="DC232" s="313"/>
      <c r="DD232" s="312"/>
      <c r="DE232" s="312"/>
      <c r="DF232" s="312"/>
      <c r="DG232" s="316"/>
      <c r="DH232" s="313"/>
      <c r="DI232" s="312"/>
      <c r="DJ232" s="312"/>
      <c r="DK232" s="312"/>
      <c r="DL232" s="312"/>
      <c r="DM232" s="313"/>
      <c r="DN232" s="312"/>
      <c r="DO232" s="312"/>
      <c r="DP232" s="312"/>
      <c r="DQ232" s="312"/>
      <c r="DR232" s="313"/>
      <c r="DS232" s="312"/>
      <c r="DT232" s="312"/>
      <c r="DU232" s="312"/>
      <c r="DV232" s="312"/>
      <c r="DW232" s="313"/>
      <c r="DX232" s="312"/>
      <c r="DY232" s="312"/>
      <c r="DZ232" s="312"/>
      <c r="EA232" s="312"/>
      <c r="EB232" s="313"/>
      <c r="EC232" s="312"/>
      <c r="ED232" s="312"/>
      <c r="EE232" s="312"/>
      <c r="EF232" s="312"/>
      <c r="EG232" s="313"/>
      <c r="EH232" s="312"/>
      <c r="EI232" s="312"/>
      <c r="EJ232" s="312"/>
      <c r="EK232" s="312"/>
      <c r="EL232" s="313"/>
      <c r="EM232" s="312">
        <f>EM10-EM224-EM90</f>
      </c>
      <c r="EN232" s="312">
        <f>EN10-EN224-EN90</f>
      </c>
      <c r="EO232" s="312">
        <f>EO10-EO224-EO90</f>
      </c>
      <c r="EP232" s="312">
        <f>EP10-EP224-EP90</f>
      </c>
      <c r="EQ232" s="313">
        <f>EQ50-EQ224-EQ99</f>
      </c>
      <c r="ER232" s="312">
        <f>ER10-ER224-ER90</f>
      </c>
      <c r="ES232" s="312">
        <f>ES10-ES224-ES90</f>
      </c>
      <c r="ET232" s="312">
        <f>ET10-ET224-ET90</f>
      </c>
      <c r="EU232" s="312">
        <f>EU10-EU224-EU90</f>
      </c>
      <c r="EV232" s="313">
        <f>EV50-EV224-EV99</f>
      </c>
      <c r="EW232" s="312">
        <f>EW10-EW224-EW90</f>
      </c>
      <c r="EX232" s="312">
        <f>EX10-EX224-EX90</f>
      </c>
      <c r="EY232" s="312">
        <f>EY10-EY224-EY90</f>
      </c>
      <c r="EZ232" s="312">
        <f>EZ10-EZ224-EZ90</f>
      </c>
      <c r="FA232" s="313">
        <f>FA10-FA224-FA90</f>
      </c>
      <c r="FB232" s="316">
        <v>0</v>
      </c>
      <c r="FC232" s="316">
        <v>0</v>
      </c>
      <c r="FD232" s="316">
        <v>0</v>
      </c>
      <c r="FE232" s="316">
        <v>0</v>
      </c>
      <c r="FF232" s="313">
        <f>SUM(FB232:FE232)</f>
      </c>
      <c r="FG232" s="316">
        <v>0</v>
      </c>
      <c r="FH232" s="316">
        <v>0</v>
      </c>
      <c r="FI232" s="316">
        <v>0</v>
      </c>
      <c r="FJ232" s="316">
        <v>0</v>
      </c>
      <c r="FK232" s="313">
        <f>SUM(FG232:FJ232)</f>
      </c>
      <c r="FL232" s="316">
        <v>0</v>
      </c>
      <c r="FM232" s="316">
        <v>0</v>
      </c>
      <c r="FN232" s="316">
        <v>0</v>
      </c>
      <c r="FO232" s="316">
        <v>0</v>
      </c>
      <c r="FP232" s="313">
        <f>SUM(FL232:FO232)</f>
      </c>
      <c r="FQ232" s="316">
        <v>0</v>
      </c>
      <c r="FR232" s="316">
        <v>0</v>
      </c>
      <c r="FS232" s="316">
        <v>0</v>
      </c>
      <c r="FT232" s="316">
        <v>0</v>
      </c>
      <c r="FU232" s="313">
        <f>SUM(FQ232:FT232)</f>
      </c>
      <c r="FV232" s="316">
        <v>0</v>
      </c>
      <c r="FW232" s="316">
        <v>0</v>
      </c>
      <c r="FX232" s="316">
        <v>0</v>
      </c>
      <c r="FY232" s="316">
        <v>0</v>
      </c>
      <c r="FZ232" s="313">
        <f>SUM(FV232:FY232)</f>
      </c>
      <c r="GA232" s="316">
        <v>0</v>
      </c>
      <c r="GB232" s="316">
        <v>0</v>
      </c>
      <c r="GC232" s="316">
        <v>0</v>
      </c>
      <c r="GD232" s="316">
        <v>0</v>
      </c>
      <c r="GE232" s="313">
        <f>SUM(GA232:GD232)</f>
      </c>
      <c r="GF232" s="316">
        <v>0</v>
      </c>
      <c r="GG232" s="316">
        <v>0</v>
      </c>
      <c r="GH232" s="316">
        <v>0</v>
      </c>
      <c r="GI232" s="316">
        <v>0</v>
      </c>
      <c r="GJ232" s="385">
        <f>SUM(GF232:GI232)</f>
      </c>
    </row>
    <row r="233" spans="1:192" ht="12.75" customHeight="1">
      <c r="B233" s="735" t="s">
        <v>34</v>
      </c>
      <c r="C233" s="291"/>
      <c r="D233" s="107"/>
      <c r="E233" s="107"/>
      <c r="F233" s="107"/>
      <c r="G233" s="292"/>
      <c r="H233" s="291"/>
      <c r="I233" s="107"/>
      <c r="J233" s="107"/>
      <c r="K233" s="107"/>
      <c r="L233" s="292"/>
      <c r="M233" s="291"/>
      <c r="N233" s="107"/>
      <c r="O233" s="107"/>
      <c r="P233" s="107"/>
      <c r="Q233" s="292"/>
      <c r="R233" s="291"/>
      <c r="S233" s="107"/>
      <c r="T233" s="107"/>
      <c r="U233" s="107"/>
      <c r="V233" s="292"/>
      <c r="W233" s="291"/>
      <c r="X233" s="107"/>
      <c r="Y233" s="107"/>
      <c r="Z233" s="107"/>
      <c r="AA233" s="292"/>
      <c r="AB233" s="291"/>
      <c r="AC233" s="107"/>
      <c r="AD233" s="107"/>
      <c r="AE233" s="107"/>
      <c r="AF233" s="292"/>
      <c r="AG233" s="291"/>
      <c r="AH233" s="107"/>
      <c r="AI233" s="107"/>
      <c r="AJ233" s="107"/>
      <c r="AK233" s="292"/>
      <c r="AL233" s="291"/>
      <c r="AM233" s="107"/>
      <c r="AN233" s="107"/>
      <c r="AO233" s="107"/>
      <c r="AP233" s="292"/>
      <c r="AQ233" s="291"/>
      <c r="AR233" s="107"/>
      <c r="AS233" s="107"/>
      <c r="AT233" s="107"/>
      <c r="AU233" s="292"/>
      <c r="AV233" s="291"/>
      <c r="AW233" s="107"/>
      <c r="AX233" s="107"/>
      <c r="AY233" s="107"/>
      <c r="AZ233" s="292"/>
      <c r="BA233" s="291"/>
      <c r="BB233" s="107"/>
      <c r="BC233" s="107"/>
      <c r="BD233" s="107"/>
      <c r="BE233" s="292"/>
      <c r="BF233" s="291"/>
      <c r="BG233" s="107"/>
      <c r="BH233" s="107"/>
      <c r="BI233" s="107"/>
      <c r="BJ233" s="292"/>
      <c r="BK233" s="291"/>
      <c r="BL233" s="107"/>
      <c r="BM233" s="107"/>
      <c r="BN233" s="107"/>
      <c r="BO233" s="292"/>
      <c r="BP233" s="291"/>
      <c r="BQ233" s="107"/>
      <c r="BR233" s="107"/>
      <c r="BS233" s="107"/>
      <c r="BT233" s="292"/>
      <c r="BU233" s="291"/>
      <c r="BV233" s="107"/>
      <c r="BW233" s="107"/>
      <c r="BX233" s="107"/>
      <c r="BY233" s="292"/>
      <c r="BZ233" s="291"/>
      <c r="CA233" s="107"/>
      <c r="CB233" s="107"/>
      <c r="CC233" s="107"/>
      <c r="CD233" s="292"/>
      <c r="CE233" s="291"/>
      <c r="CF233" s="107"/>
      <c r="CG233" s="107"/>
      <c r="CH233" s="107"/>
      <c r="CI233" s="292"/>
      <c r="CJ233" s="291"/>
      <c r="CK233" s="107"/>
      <c r="CL233" s="107"/>
      <c r="CM233" s="107"/>
      <c r="CN233" s="292"/>
      <c r="CO233" s="291"/>
      <c r="CP233" s="107"/>
      <c r="CQ233" s="107"/>
      <c r="CR233" s="107"/>
      <c r="CS233" s="292"/>
      <c r="CT233" s="291"/>
      <c r="CU233" s="107"/>
      <c r="CV233" s="107"/>
      <c r="CW233" s="107"/>
      <c r="CX233" s="292"/>
      <c r="CY233" s="107"/>
      <c r="CZ233" s="107"/>
      <c r="DA233" s="107"/>
      <c r="DB233" s="107"/>
      <c r="DC233" s="292"/>
      <c r="DD233" s="107"/>
      <c r="DE233" s="107"/>
      <c r="DF233" s="107"/>
      <c r="DG233" s="107"/>
      <c r="DH233" s="292"/>
      <c r="DI233" s="107"/>
      <c r="DJ233" s="107"/>
      <c r="DK233" s="107"/>
      <c r="DL233" s="107"/>
      <c r="DM233" s="292"/>
      <c r="DN233" s="107"/>
      <c r="DO233" s="107"/>
      <c r="DP233" s="107"/>
      <c r="DQ233" s="107"/>
      <c r="DR233" s="292"/>
      <c r="DS233" s="107"/>
      <c r="DT233" s="107"/>
      <c r="DU233" s="107"/>
      <c r="DV233" s="107"/>
      <c r="DW233" s="292"/>
      <c r="DX233" s="107"/>
      <c r="DY233" s="107"/>
      <c r="DZ233" s="107"/>
      <c r="EA233" s="107"/>
      <c r="EB233" s="292"/>
      <c r="EC233" s="107"/>
      <c r="ED233" s="107"/>
      <c r="EE233" s="107"/>
      <c r="EF233" s="107"/>
      <c r="EG233" s="292"/>
      <c r="EH233" s="107"/>
      <c r="EI233" s="107"/>
      <c r="EJ233" s="107"/>
      <c r="EK233" s="107"/>
      <c r="EL233" s="292"/>
      <c r="EM233" s="107" t="str">
        <f t="shared" ref="EM233:GE233" si="220">IFERROR(EM232/EH232-1,"")</f>
      </c>
      <c r="EN233" s="107" t="str">
        <f t="shared" si="220"/>
      </c>
      <c r="EO233" s="107" t="str">
        <f t="shared" si="220"/>
      </c>
      <c r="EP233" s="107" t="str">
        <f t="shared" si="220"/>
      </c>
      <c r="EQ233" s="292" t="str">
        <f t="shared" si="220"/>
      </c>
      <c r="ER233" s="107">
        <f t="shared" si="220"/>
      </c>
      <c r="ES233" s="107">
        <f t="shared" si="220"/>
      </c>
      <c r="ET233" s="107">
        <f t="shared" si="220"/>
      </c>
      <c r="EU233" s="107">
        <f t="shared" si="220"/>
      </c>
      <c r="EV233" s="292">
        <f t="shared" si="220"/>
      </c>
      <c r="EW233" s="107">
        <f t="shared" si="220"/>
      </c>
      <c r="EX233" s="107">
        <f t="shared" si="220"/>
      </c>
      <c r="EY233" s="107">
        <f t="shared" si="220"/>
      </c>
      <c r="EZ233" s="107">
        <f t="shared" si="220"/>
      </c>
      <c r="FA233" s="292">
        <f t="shared" si="220"/>
      </c>
      <c r="FB233" s="107">
        <f t="shared" si="220"/>
      </c>
      <c r="FC233" s="107">
        <f t="shared" si="220"/>
      </c>
      <c r="FD233" s="107">
        <f t="shared" si="220"/>
      </c>
      <c r="FE233" s="107">
        <f t="shared" si="220"/>
      </c>
      <c r="FF233" s="292">
        <f t="shared" si="220"/>
      </c>
      <c r="FG233" s="107" t="str">
        <f t="shared" si="220"/>
      </c>
      <c r="FH233" s="107" t="str">
        <f t="shared" si="220"/>
      </c>
      <c r="FI233" s="107" t="str">
        <f t="shared" si="220"/>
      </c>
      <c r="FJ233" s="107" t="str">
        <f t="shared" si="220"/>
      </c>
      <c r="FK233" s="292" t="str">
        <f t="shared" si="220"/>
      </c>
      <c r="FL233" s="107" t="str">
        <f t="shared" si="220"/>
      </c>
      <c r="FM233" s="107" t="str">
        <f t="shared" si="220"/>
      </c>
      <c r="FN233" s="107" t="str">
        <f t="shared" si="220"/>
      </c>
      <c r="FO233" s="107" t="str">
        <f t="shared" si="220"/>
      </c>
      <c r="FP233" s="292" t="str">
        <f t="shared" si="220"/>
      </c>
      <c r="FQ233" s="107" t="str">
        <f t="shared" si="220"/>
      </c>
      <c r="FR233" s="107" t="str">
        <f t="shared" si="220"/>
      </c>
      <c r="FS233" s="107" t="str">
        <f t="shared" si="220"/>
      </c>
      <c r="FT233" s="107" t="str">
        <f t="shared" si="220"/>
      </c>
      <c r="FU233" s="292" t="str">
        <f t="shared" si="220"/>
      </c>
      <c r="FV233" s="107" t="str">
        <f t="shared" si="220"/>
      </c>
      <c r="FW233" s="107" t="str">
        <f t="shared" si="220"/>
      </c>
      <c r="FX233" s="107" t="str">
        <f t="shared" si="220"/>
      </c>
      <c r="FY233" s="107" t="str">
        <f t="shared" si="220"/>
      </c>
      <c r="FZ233" s="292" t="str">
        <f t="shared" si="220"/>
      </c>
      <c r="GA233" s="107" t="str">
        <f t="shared" si="220"/>
      </c>
      <c r="GB233" s="107" t="str">
        <f t="shared" si="220"/>
      </c>
      <c r="GC233" s="107" t="str">
        <f t="shared" si="220"/>
      </c>
      <c r="GD233" s="107" t="str">
        <f t="shared" si="220"/>
      </c>
      <c r="GE233" s="292" t="str">
        <f t="shared" si="220"/>
      </c>
      <c r="GF233" s="107" t="str">
        <f t="shared" ref="GF233" si="221">IFERROR(GF232/GA232-1,"")</f>
      </c>
      <c r="GG233" s="107" t="str">
        <f t="shared" ref="GG233" si="222">IFERROR(GG232/GB232-1,"")</f>
      </c>
      <c r="GH233" s="107" t="str">
        <f t="shared" ref="GH233" si="223">IFERROR(GH232/GC232-1,"")</f>
      </c>
      <c r="GI233" s="107" t="str">
        <f t="shared" ref="GI233" si="224">IFERROR(GI232/GD232-1,"")</f>
      </c>
      <c r="GJ233" s="384" t="str">
        <f t="shared" ref="GJ233" si="225">IFERROR(GJ232/GE232-1,"")</f>
      </c>
    </row>
    <row r="234" spans="1:192" ht="12.75" customHeight="1">
      <c r="B234" s="735" t="s">
        <v>36</v>
      </c>
      <c r="C234" s="291"/>
      <c r="D234" s="107"/>
      <c r="E234" s="107"/>
      <c r="F234" s="107"/>
      <c r="G234" s="292"/>
      <c r="H234" s="291"/>
      <c r="I234" s="107"/>
      <c r="J234" s="107"/>
      <c r="K234" s="107"/>
      <c r="L234" s="292"/>
      <c r="M234" s="291"/>
      <c r="N234" s="107"/>
      <c r="O234" s="107"/>
      <c r="P234" s="107"/>
      <c r="Q234" s="292"/>
      <c r="R234" s="291"/>
      <c r="S234" s="107"/>
      <c r="T234" s="107"/>
      <c r="U234" s="107"/>
      <c r="V234" s="292"/>
      <c r="W234" s="291"/>
      <c r="X234" s="107"/>
      <c r="Y234" s="107"/>
      <c r="Z234" s="107"/>
      <c r="AA234" s="292"/>
      <c r="AB234" s="291"/>
      <c r="AC234" s="107"/>
      <c r="AD234" s="107"/>
      <c r="AE234" s="107"/>
      <c r="AF234" s="292"/>
      <c r="AG234" s="291"/>
      <c r="AH234" s="107"/>
      <c r="AI234" s="107"/>
      <c r="AJ234" s="107"/>
      <c r="AK234" s="292"/>
      <c r="AL234" s="291"/>
      <c r="AM234" s="107"/>
      <c r="AN234" s="107"/>
      <c r="AO234" s="107"/>
      <c r="AP234" s="292"/>
      <c r="AQ234" s="291"/>
      <c r="AR234" s="107"/>
      <c r="AS234" s="107"/>
      <c r="AT234" s="107"/>
      <c r="AU234" s="292"/>
      <c r="AV234" s="291"/>
      <c r="AW234" s="107"/>
      <c r="AX234" s="107"/>
      <c r="AY234" s="107"/>
      <c r="AZ234" s="292"/>
      <c r="BA234" s="291"/>
      <c r="BB234" s="107"/>
      <c r="BC234" s="107"/>
      <c r="BD234" s="107"/>
      <c r="BE234" s="292"/>
      <c r="BF234" s="291"/>
      <c r="BG234" s="107"/>
      <c r="BH234" s="107"/>
      <c r="BI234" s="107"/>
      <c r="BJ234" s="292"/>
      <c r="BK234" s="291"/>
      <c r="BL234" s="107"/>
      <c r="BM234" s="107"/>
      <c r="BN234" s="107"/>
      <c r="BO234" s="292"/>
      <c r="BP234" s="291"/>
      <c r="BQ234" s="107"/>
      <c r="BR234" s="107"/>
      <c r="BS234" s="107"/>
      <c r="BT234" s="292"/>
      <c r="BU234" s="291"/>
      <c r="BV234" s="107"/>
      <c r="BW234" s="107"/>
      <c r="BX234" s="107"/>
      <c r="BY234" s="292"/>
      <c r="BZ234" s="291"/>
      <c r="CA234" s="107"/>
      <c r="CB234" s="107"/>
      <c r="CC234" s="107"/>
      <c r="CD234" s="292"/>
      <c r="CE234" s="291"/>
      <c r="CF234" s="107"/>
      <c r="CG234" s="107"/>
      <c r="CH234" s="107"/>
      <c r="CI234" s="292"/>
      <c r="CJ234" s="291"/>
      <c r="CK234" s="107"/>
      <c r="CL234" s="107"/>
      <c r="CM234" s="107"/>
      <c r="CN234" s="292"/>
      <c r="CO234" s="291"/>
      <c r="CP234" s="107"/>
      <c r="CQ234" s="107"/>
      <c r="CR234" s="107"/>
      <c r="CS234" s="292"/>
      <c r="CT234" s="291"/>
      <c r="CU234" s="107"/>
      <c r="CV234" s="107"/>
      <c r="CW234" s="346"/>
      <c r="CX234" s="407"/>
      <c r="CY234" s="291"/>
      <c r="CZ234" s="107"/>
      <c r="DA234" s="107"/>
      <c r="DB234" s="346"/>
      <c r="DC234" s="347"/>
      <c r="DD234" s="291"/>
      <c r="DE234" s="107"/>
      <c r="DF234" s="107"/>
      <c r="DG234" s="346"/>
      <c r="DH234" s="347"/>
      <c r="DI234" s="291"/>
      <c r="DJ234" s="107"/>
      <c r="DK234" s="107"/>
      <c r="DL234" s="346"/>
      <c r="DM234" s="347"/>
      <c r="DN234" s="291"/>
      <c r="DO234" s="107"/>
      <c r="DP234" s="107"/>
      <c r="DQ234" s="346"/>
      <c r="DR234" s="347"/>
      <c r="DS234" s="291"/>
      <c r="DT234" s="107"/>
      <c r="DU234" s="107"/>
      <c r="DV234" s="346"/>
      <c r="DW234" s="347"/>
      <c r="DX234" s="291"/>
      <c r="DY234" s="107"/>
      <c r="DZ234" s="107"/>
      <c r="EA234" s="346"/>
      <c r="EB234" s="347"/>
      <c r="EC234" s="291"/>
      <c r="ED234" s="107"/>
      <c r="EE234" s="107"/>
      <c r="EF234" s="346"/>
      <c r="EG234" s="347"/>
      <c r="EH234" s="291"/>
      <c r="EI234" s="107"/>
      <c r="EJ234" s="107"/>
      <c r="EK234" s="346"/>
      <c r="EL234" s="347"/>
      <c r="EM234" s="291"/>
      <c r="EN234" s="107">
        <f>EN232/EM232-1</f>
      </c>
      <c r="EO234" s="107">
        <f>EO232/EN232-1</f>
      </c>
      <c r="EP234" s="346">
        <f>EP232/EO232-1</f>
      </c>
      <c r="EQ234" s="347"/>
      <c r="ER234" s="291">
        <f>ER232/EP232-1</f>
      </c>
      <c r="ES234" s="107">
        <f>ES232/ER232-1</f>
      </c>
      <c r="ET234" s="107">
        <f>ET232/ES232-1</f>
      </c>
      <c r="EU234" s="346">
        <f>EU232/ET232-1</f>
      </c>
      <c r="EV234" s="347"/>
      <c r="EW234" s="291">
        <f>EW232/EU232-1</f>
      </c>
      <c r="EX234" s="107">
        <f>EX232/EW232-1</f>
      </c>
      <c r="EY234" s="107">
        <f>EY232/EX232-1</f>
      </c>
      <c r="EZ234" s="346">
        <f>EZ232/EY232-1</f>
      </c>
      <c r="FA234" s="347"/>
      <c r="FB234" s="291">
        <f>IFERROR(FB232/EZ232-1,"")</f>
      </c>
      <c r="FC234" s="107" t="str">
        <f>IFERROR(FC232/FB232-1,"")</f>
      </c>
      <c r="FD234" s="107" t="str">
        <f>IFERROR(FD232/FC232-1,"")</f>
      </c>
      <c r="FE234" s="346" t="str">
        <f>IFERROR(FE232/FD232-1,"")</f>
      </c>
      <c r="FF234" s="347"/>
      <c r="FG234" s="291" t="str">
        <f>IFERROR(FG232/FE232-1,"")</f>
      </c>
      <c r="FH234" s="107" t="str">
        <f>IFERROR(FH232/FG232-1,"")</f>
      </c>
      <c r="FI234" s="107" t="str">
        <f>IFERROR(FI232/FH232-1,"")</f>
      </c>
      <c r="FJ234" s="346" t="str">
        <f>IFERROR(FJ232/FI232-1,"")</f>
      </c>
      <c r="FK234" s="347"/>
      <c r="FL234" s="291" t="str">
        <f>IFERROR(FL232/FJ232-1,"")</f>
      </c>
      <c r="FM234" s="107" t="str">
        <f>IFERROR(FM232/FL232-1,"")</f>
      </c>
      <c r="FN234" s="107" t="str">
        <f>IFERROR(FN232/FM232-1,"")</f>
      </c>
      <c r="FO234" s="346" t="str">
        <f>IFERROR(FO232/FN232-1,"")</f>
      </c>
      <c r="FP234" s="347"/>
      <c r="FQ234" s="291" t="str">
        <f>IFERROR(FQ232/FO232-1,"")</f>
      </c>
      <c r="FR234" s="107" t="str">
        <f>IFERROR(FR232/FQ232-1,"")</f>
      </c>
      <c r="FS234" s="107" t="str">
        <f>IFERROR(FS232/FR232-1,"")</f>
      </c>
      <c r="FT234" s="346" t="str">
        <f>IFERROR(FT232/FS232-1,"")</f>
      </c>
      <c r="FU234" s="347"/>
      <c r="FV234" s="291" t="str">
        <f>IFERROR(FV232/FT232-1,"")</f>
      </c>
      <c r="FW234" s="107" t="str">
        <f>IFERROR(FW232/FV232-1,"")</f>
      </c>
      <c r="FX234" s="107" t="str">
        <f>IFERROR(FX232/FW232-1,"")</f>
      </c>
      <c r="FY234" s="107" t="str">
        <f>IFERROR(FY232/FX232-1,"")</f>
      </c>
      <c r="FZ234" s="293"/>
      <c r="GA234" s="291" t="str">
        <f>IFERROR(GA232/FY232-1,"")</f>
      </c>
      <c r="GB234" s="107" t="str">
        <f>IFERROR(GB232/GA232-1,"")</f>
      </c>
      <c r="GC234" s="107" t="str">
        <f>IFERROR(GC232/GB232-1,"")</f>
      </c>
      <c r="GD234" s="107" t="str">
        <f>IFERROR(GD232/GC232-1,"")</f>
      </c>
      <c r="GE234" s="293"/>
      <c r="GF234" s="291" t="str">
        <f>IFERROR(GF232/GD232-1,"")</f>
      </c>
      <c r="GG234" s="107" t="str">
        <f>IFERROR(GG232/GF232-1,"")</f>
      </c>
      <c r="GH234" s="107" t="str">
        <f>IFERROR(GH232/GG232-1,"")</f>
      </c>
      <c r="GI234" s="107" t="str">
        <f>IFERROR(GI232/GH232-1,"")</f>
      </c>
      <c r="GJ234" s="382"/>
    </row>
    <row r="235" spans="1:192" ht="12.75" customHeight="1">
      <c r="B235" s="735"/>
      <c r="C235" s="291"/>
      <c r="D235" s="107"/>
      <c r="E235" s="107"/>
      <c r="F235" s="107"/>
      <c r="G235" s="292"/>
      <c r="H235" s="291"/>
      <c r="I235" s="107"/>
      <c r="J235" s="107"/>
      <c r="K235" s="107"/>
      <c r="L235" s="292"/>
      <c r="M235" s="291"/>
      <c r="N235" s="107"/>
      <c r="O235" s="107"/>
      <c r="P235" s="107"/>
      <c r="Q235" s="292"/>
      <c r="R235" s="291"/>
      <c r="S235" s="107"/>
      <c r="T235" s="107"/>
      <c r="U235" s="107"/>
      <c r="V235" s="407"/>
      <c r="W235" s="291"/>
      <c r="X235" s="107"/>
      <c r="Y235" s="107"/>
      <c r="Z235" s="107"/>
      <c r="AA235" s="292"/>
      <c r="AB235" s="291"/>
      <c r="AC235" s="107"/>
      <c r="AD235" s="107"/>
      <c r="AE235" s="107"/>
      <c r="AF235" s="292"/>
      <c r="AG235" s="291"/>
      <c r="AH235" s="107"/>
      <c r="AI235" s="107"/>
      <c r="AJ235" s="107"/>
      <c r="AK235" s="292"/>
      <c r="AL235" s="291"/>
      <c r="AM235" s="107"/>
      <c r="AN235" s="107"/>
      <c r="AO235" s="107"/>
      <c r="AP235" s="292"/>
      <c r="AQ235" s="291"/>
      <c r="AR235" s="107"/>
      <c r="AS235" s="107"/>
      <c r="AT235" s="107"/>
      <c r="AU235" s="292"/>
      <c r="AV235" s="291"/>
      <c r="AW235" s="107"/>
      <c r="AX235" s="107"/>
      <c r="AY235" s="107"/>
      <c r="AZ235" s="292"/>
      <c r="BA235" s="291"/>
      <c r="BB235" s="107"/>
      <c r="BC235" s="107"/>
      <c r="BD235" s="107"/>
      <c r="BE235" s="292"/>
      <c r="BF235" s="291"/>
      <c r="BG235" s="107"/>
      <c r="BH235" s="107"/>
      <c r="BI235" s="107"/>
      <c r="BJ235" s="292"/>
      <c r="BK235" s="291"/>
      <c r="BL235" s="107"/>
      <c r="BM235" s="107"/>
      <c r="BN235" s="107"/>
      <c r="BO235" s="292"/>
      <c r="BP235" s="291"/>
      <c r="BQ235" s="107"/>
      <c r="BR235" s="107"/>
      <c r="BS235" s="107"/>
      <c r="BT235" s="292"/>
      <c r="BU235" s="291"/>
      <c r="BV235" s="107"/>
      <c r="BW235" s="107"/>
      <c r="BX235" s="107"/>
      <c r="BY235" s="292"/>
      <c r="BZ235" s="291"/>
      <c r="CA235" s="107"/>
      <c r="CB235" s="107"/>
      <c r="CC235" s="107"/>
      <c r="CD235" s="292"/>
      <c r="CE235" s="291"/>
      <c r="CF235" s="107"/>
      <c r="CG235" s="107"/>
      <c r="CH235" s="107"/>
      <c r="CI235" s="292"/>
      <c r="CJ235" s="291"/>
      <c r="CK235" s="107"/>
      <c r="CL235" s="107"/>
      <c r="CM235" s="107"/>
      <c r="CN235" s="292"/>
      <c r="CO235" s="291"/>
      <c r="CP235" s="107"/>
      <c r="CQ235" s="107"/>
      <c r="CR235" s="107"/>
      <c r="CS235" s="292"/>
      <c r="CT235" s="291"/>
      <c r="CU235" s="107"/>
      <c r="CV235" s="107"/>
      <c r="CW235" s="346"/>
      <c r="CX235" s="292"/>
      <c r="CY235" s="291"/>
      <c r="CZ235" s="107"/>
      <c r="DA235" s="107"/>
      <c r="DB235" s="346"/>
      <c r="DC235" s="347"/>
      <c r="DD235" s="291"/>
      <c r="DE235" s="107"/>
      <c r="DF235" s="107"/>
      <c r="DG235" s="346"/>
      <c r="DH235" s="347"/>
      <c r="DI235" s="291"/>
      <c r="DJ235" s="107"/>
      <c r="DK235" s="107"/>
      <c r="DL235" s="346"/>
      <c r="DM235" s="347"/>
      <c r="DN235" s="291"/>
      <c r="DO235" s="107"/>
      <c r="DP235" s="107"/>
      <c r="DQ235" s="346"/>
      <c r="DR235" s="347"/>
      <c r="DS235" s="291"/>
      <c r="DT235" s="107"/>
      <c r="DU235" s="107"/>
      <c r="DV235" s="346"/>
      <c r="DW235" s="347"/>
      <c r="DX235" s="291"/>
      <c r="DY235" s="107"/>
      <c r="DZ235" s="107"/>
      <c r="EA235" s="346"/>
      <c r="EB235" s="347"/>
      <c r="EC235" s="291"/>
      <c r="ED235" s="107"/>
      <c r="EE235" s="107"/>
      <c r="EF235" s="346"/>
      <c r="EG235" s="347"/>
      <c r="EH235" s="291"/>
      <c r="EI235" s="107"/>
      <c r="EJ235" s="107"/>
      <c r="EK235" s="346"/>
      <c r="EL235" s="347"/>
      <c r="EM235" s="291"/>
      <c r="EN235" s="107"/>
      <c r="EO235" s="107"/>
      <c r="EP235" s="501"/>
      <c r="EQ235" s="293"/>
      <c r="ER235" s="501"/>
      <c r="ES235" s="107"/>
      <c r="ET235" s="107"/>
      <c r="EU235" s="107"/>
      <c r="EV235" s="292"/>
      <c r="EW235" s="291"/>
      <c r="EX235" s="107"/>
      <c r="EY235" s="107"/>
      <c r="EZ235" s="107"/>
      <c r="FA235" s="292"/>
      <c r="FB235" s="291"/>
      <c r="FC235" s="107"/>
      <c r="FD235" s="107"/>
      <c r="FE235" s="107"/>
      <c r="FF235" s="292"/>
      <c r="FG235" s="291"/>
      <c r="FH235" s="107"/>
      <c r="FI235" s="107"/>
      <c r="FJ235" s="107"/>
      <c r="FK235" s="292"/>
      <c r="FL235" s="291"/>
      <c r="FM235" s="107"/>
      <c r="FN235" s="107"/>
      <c r="FO235" s="107"/>
      <c r="FP235" s="292"/>
      <c r="FQ235" s="291"/>
      <c r="FR235" s="107"/>
      <c r="FS235" s="107"/>
      <c r="FT235" s="107"/>
      <c r="FU235" s="292"/>
      <c r="FV235" s="291"/>
      <c r="FW235" s="107"/>
      <c r="FX235" s="107"/>
      <c r="FY235" s="107"/>
      <c r="FZ235" s="292"/>
      <c r="GA235" s="291"/>
      <c r="GB235" s="107"/>
      <c r="GC235" s="107"/>
      <c r="GD235" s="107"/>
      <c r="GE235" s="292"/>
      <c r="GF235" s="291"/>
      <c r="GG235" s="107"/>
      <c r="GH235" s="107"/>
      <c r="GI235" s="107"/>
      <c r="GJ235" s="384"/>
    </row>
    <row r="236" spans="1:192" ht="12.75" customHeight="1" thickBot="1">
      <c r="B236" s="743"/>
      <c r="C236" s="393"/>
      <c r="D236" s="388"/>
      <c r="E236" s="388"/>
      <c r="F236" s="389"/>
      <c r="G236" s="390"/>
      <c r="H236" s="393"/>
      <c r="I236" s="388"/>
      <c r="J236" s="388"/>
      <c r="K236" s="389"/>
      <c r="L236" s="390"/>
      <c r="M236" s="393"/>
      <c r="N236" s="388"/>
      <c r="O236" s="388"/>
      <c r="P236" s="389"/>
      <c r="Q236" s="390"/>
      <c r="R236" s="393"/>
      <c r="S236" s="388"/>
      <c r="T236" s="388"/>
      <c r="U236" s="389"/>
      <c r="V236" s="390"/>
      <c r="W236" s="393"/>
      <c r="X236" s="388"/>
      <c r="Y236" s="388"/>
      <c r="Z236" s="389"/>
      <c r="AA236" s="390"/>
      <c r="AB236" s="393"/>
      <c r="AC236" s="388"/>
      <c r="AD236" s="388"/>
      <c r="AE236" s="389"/>
      <c r="AF236" s="390"/>
      <c r="AG236" s="393"/>
      <c r="AH236" s="388"/>
      <c r="AI236" s="388"/>
      <c r="AJ236" s="389"/>
      <c r="AK236" s="390"/>
      <c r="AL236" s="393"/>
      <c r="AM236" s="388"/>
      <c r="AN236" s="388"/>
      <c r="AO236" s="389"/>
      <c r="AP236" s="390"/>
      <c r="AQ236" s="393"/>
      <c r="AR236" s="388"/>
      <c r="AS236" s="388"/>
      <c r="AT236" s="389"/>
      <c r="AU236" s="390"/>
      <c r="AV236" s="393"/>
      <c r="AW236" s="388"/>
      <c r="AX236" s="388"/>
      <c r="AY236" s="389"/>
      <c r="AZ236" s="390"/>
      <c r="BA236" s="393"/>
      <c r="BB236" s="388"/>
      <c r="BC236" s="388"/>
      <c r="BD236" s="389"/>
      <c r="BE236" s="390"/>
      <c r="BF236" s="393"/>
      <c r="BG236" s="388"/>
      <c r="BH236" s="388"/>
      <c r="BI236" s="389"/>
      <c r="BJ236" s="390"/>
      <c r="BK236" s="393"/>
      <c r="BL236" s="388"/>
      <c r="BM236" s="388"/>
      <c r="BN236" s="389"/>
      <c r="BO236" s="390"/>
      <c r="BP236" s="393"/>
      <c r="BQ236" s="388"/>
      <c r="BR236" s="388"/>
      <c r="BS236" s="389"/>
      <c r="BT236" s="390"/>
      <c r="BU236" s="393"/>
      <c r="BV236" s="388"/>
      <c r="BW236" s="388"/>
      <c r="BX236" s="389"/>
      <c r="BY236" s="390"/>
      <c r="BZ236" s="393"/>
      <c r="CA236" s="388"/>
      <c r="CB236" s="388"/>
      <c r="CC236" s="389"/>
      <c r="CD236" s="390"/>
      <c r="CE236" s="393"/>
      <c r="CF236" s="388"/>
      <c r="CG236" s="388"/>
      <c r="CH236" s="389"/>
      <c r="CI236" s="390"/>
      <c r="CJ236" s="393"/>
      <c r="CK236" s="388"/>
      <c r="CL236" s="388"/>
      <c r="CM236" s="389"/>
      <c r="CN236" s="390"/>
      <c r="CO236" s="393"/>
      <c r="CP236" s="388"/>
      <c r="CQ236" s="388"/>
      <c r="CR236" s="389"/>
      <c r="CS236" s="390"/>
      <c r="CT236" s="393"/>
      <c r="CU236" s="388"/>
      <c r="CV236" s="388"/>
      <c r="CW236" s="389"/>
      <c r="CX236" s="390"/>
      <c r="CY236" s="393"/>
      <c r="CZ236" s="388"/>
      <c r="DA236" s="388"/>
      <c r="DB236" s="389"/>
      <c r="DC236" s="390"/>
      <c r="DD236" s="393"/>
      <c r="DE236" s="388"/>
      <c r="DF236" s="388"/>
      <c r="DG236" s="389"/>
      <c r="DH236" s="390"/>
      <c r="DI236" s="393"/>
      <c r="DJ236" s="388"/>
      <c r="DK236" s="388"/>
      <c r="DL236" s="389"/>
      <c r="DM236" s="390"/>
      <c r="DN236" s="393"/>
      <c r="DO236" s="388"/>
      <c r="DP236" s="388"/>
      <c r="DQ236" s="389"/>
      <c r="DR236" s="390"/>
      <c r="DS236" s="393"/>
      <c r="DT236" s="388"/>
      <c r="DU236" s="388"/>
      <c r="DV236" s="389"/>
      <c r="DW236" s="390"/>
      <c r="DX236" s="393"/>
      <c r="DY236" s="388"/>
      <c r="DZ236" s="388"/>
      <c r="EA236" s="389"/>
      <c r="EB236" s="390"/>
      <c r="EC236" s="393"/>
      <c r="ED236" s="388"/>
      <c r="EE236" s="388"/>
      <c r="EF236" s="389"/>
      <c r="EG236" s="390"/>
      <c r="EH236" s="393"/>
      <c r="EI236" s="388"/>
      <c r="EJ236" s="388"/>
      <c r="EK236" s="389"/>
      <c r="EL236" s="390"/>
      <c r="EM236" s="393"/>
      <c r="EN236" s="388"/>
      <c r="EO236" s="388"/>
      <c r="EP236" s="389"/>
      <c r="EQ236" s="390"/>
      <c r="ER236" s="393"/>
      <c r="ES236" s="388"/>
      <c r="ET236" s="388"/>
      <c r="EU236" s="389"/>
      <c r="EV236" s="390"/>
      <c r="EW236" s="393"/>
      <c r="EX236" s="388"/>
      <c r="EY236" s="388"/>
      <c r="EZ236" s="389"/>
      <c r="FA236" s="390"/>
      <c r="FB236" s="393"/>
      <c r="FC236" s="388"/>
      <c r="FD236" s="388"/>
      <c r="FE236" s="389"/>
      <c r="FF236" s="390"/>
      <c r="FG236" s="393"/>
      <c r="FH236" s="388"/>
      <c r="FI236" s="388"/>
      <c r="FJ236" s="389"/>
      <c r="FK236" s="390"/>
      <c r="FL236" s="393"/>
      <c r="FM236" s="388"/>
      <c r="FN236" s="388"/>
      <c r="FO236" s="389"/>
      <c r="FP236" s="390"/>
      <c r="FQ236" s="393"/>
      <c r="FR236" s="388"/>
      <c r="FS236" s="388"/>
      <c r="FT236" s="389"/>
      <c r="FU236" s="390"/>
      <c r="FV236" s="393"/>
      <c r="FW236" s="388"/>
      <c r="FX236" s="388"/>
      <c r="FY236" s="389"/>
      <c r="FZ236" s="1469"/>
      <c r="GA236" s="393"/>
      <c r="GB236" s="388"/>
      <c r="GC236" s="388"/>
      <c r="GD236" s="389"/>
      <c r="GE236" s="1469"/>
      <c r="GF236" s="393"/>
      <c r="GG236" s="388"/>
      <c r="GH236" s="388"/>
      <c r="GI236" s="389"/>
      <c r="GJ236" s="411"/>
    </row>
    <row r="237" spans="1:192" ht="12.75" customHeight="1">
      <c r="EL237" s="288"/>
      <c r="EQ237" s="288"/>
    </row>
  </sheetData>
  <conditionalFormatting sqref="A232:XFD232">
    <cfRule type="cellIs" dxfId="2" priority="1" operator="lessThan">
      <formula>0</formula>
    </cfRule>
  </conditionalFormatting>
  <pageMargins left="0.7" right="0.7" top="0.75" bottom="0.75" header="0.3" footer="0.3"/>
  <pageSetup orientation="portrait" r:id="rId1"/>
  <customProperties>
    <customPr name="Qube.Worksheet.Visibility" r:id="rId2"/>
  </customPropertie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5C5B78-1388-43A0-8DF8-7C84B2BFDDBA}">
  <sheetPr>
    <tabColor theme="4"/>
  </sheetPr>
  <dimension ref="A1:GJ250"/>
  <sheetViews>
    <sheetView showGridLines="0" zoomScaleNormal="100" workbookViewId="0">
      <pane xSplit="2" ySplit="8" topLeftCell="EW9" activePane="bottomRight" state="frozen"/>
      <selection activeCell="DD115" sqref="DD115"/>
      <selection pane="topRight" activeCell="DD115" sqref="DD115"/>
      <selection pane="bottomLeft" activeCell="DD115" sqref="DD115"/>
      <selection pane="bottomRight"/>
    </sheetView>
  </sheetViews>
  <sheetFormatPr defaultColWidth="9.109375" defaultRowHeight="12.75" customHeight="1" outlineLevelRow="1" outlineLevelCol="1"/>
  <cols>
    <col min="1" max="1" width="3.5546875" style="850" customWidth="1"/>
    <col min="2" max="2" width="60.109375" style="701" customWidth="1"/>
    <col min="3" max="3" width="11.109375" style="284" hidden="1" customWidth="1" outlineLevel="1"/>
    <col min="4" max="6" width="11.109375" style="288" hidden="1" customWidth="1" outlineLevel="1"/>
    <col min="7" max="7" width="11.44140625" style="288" bestFit="1" customWidth="1" collapsed="1"/>
    <col min="8" max="8" width="11.109375" style="284" hidden="1" customWidth="1" outlineLevel="1"/>
    <col min="9" max="11" width="11.109375" style="288" hidden="1" customWidth="1" outlineLevel="1"/>
    <col min="12" max="12" width="11.44140625" style="288" bestFit="1" customWidth="1" collapsed="1"/>
    <col min="13" max="13" width="11.109375" style="284" hidden="1" customWidth="1" outlineLevel="1"/>
    <col min="14" max="16" width="11.109375" style="288" hidden="1" customWidth="1" outlineLevel="1"/>
    <col min="17" max="17" width="11.44140625" style="288" bestFit="1" customWidth="1" collapsed="1"/>
    <col min="18" max="18" width="11.109375" style="284" hidden="1" customWidth="1" outlineLevel="1"/>
    <col min="19" max="21" width="11.109375" style="288" hidden="1" customWidth="1" outlineLevel="1"/>
    <col min="22" max="22" width="11.44140625" style="288" bestFit="1" customWidth="1" collapsed="1"/>
    <col min="23" max="23" width="11.109375" style="284" hidden="1" customWidth="1" outlineLevel="1"/>
    <col min="24" max="26" width="11.109375" style="288" hidden="1" customWidth="1" outlineLevel="1"/>
    <col min="27" max="27" width="11.44140625" style="288" bestFit="1" customWidth="1" collapsed="1"/>
    <col min="28" max="28" width="11.109375" style="284" hidden="1" customWidth="1" outlineLevel="1"/>
    <col min="29" max="31" width="11.109375" style="288" hidden="1" customWidth="1" outlineLevel="1"/>
    <col min="32" max="32" width="11.44140625" style="288" bestFit="1" customWidth="1" collapsed="1"/>
    <col min="33" max="33" width="11.109375" style="284" hidden="1" customWidth="1" outlineLevel="1"/>
    <col min="34" max="36" width="11.109375" style="288" hidden="1" customWidth="1" outlineLevel="1"/>
    <col min="37" max="37" width="11.44140625" style="288" bestFit="1" customWidth="1" collapsed="1"/>
    <col min="38" max="38" width="11.109375" style="284" hidden="1" customWidth="1" outlineLevel="1"/>
    <col min="39" max="41" width="11.109375" style="288" hidden="1" customWidth="1" outlineLevel="1"/>
    <col min="42" max="42" width="11.109375" style="288" customWidth="1" collapsed="1"/>
    <col min="43" max="43" width="11.109375" style="284" hidden="1" customWidth="1" outlineLevel="1"/>
    <col min="44" max="46" width="11.109375" style="288" hidden="1" customWidth="1" outlineLevel="1"/>
    <col min="47" max="47" width="11.109375" style="288" customWidth="1" collapsed="1"/>
    <col min="48" max="48" width="11.109375" style="284" hidden="1" customWidth="1" outlineLevel="1"/>
    <col min="49" max="51" width="11.109375" style="288" hidden="1" customWidth="1" outlineLevel="1"/>
    <col min="52" max="52" width="11.44140625" style="288" bestFit="1" customWidth="1" collapsed="1"/>
    <col min="53" max="53" width="11.109375" style="284" hidden="1" customWidth="1" outlineLevel="1"/>
    <col min="54" max="56" width="11.109375" style="288" hidden="1" customWidth="1" outlineLevel="1"/>
    <col min="57" max="57" width="11.44140625" style="288" bestFit="1" customWidth="1" collapsed="1"/>
    <col min="58" max="58" width="11.109375" style="284" hidden="1" customWidth="1" outlineLevel="1"/>
    <col min="59" max="61" width="11.109375" style="288" hidden="1" customWidth="1" outlineLevel="1"/>
    <col min="62" max="62" width="11.44140625" style="288" bestFit="1" customWidth="1" collapsed="1"/>
    <col min="63" max="63" width="11.109375" style="284" hidden="1" customWidth="1" outlineLevel="1"/>
    <col min="64" max="66" width="11.109375" style="288" hidden="1" customWidth="1" outlineLevel="1"/>
    <col min="67" max="67" width="11.44140625" style="288" bestFit="1" customWidth="1" collapsed="1"/>
    <col min="68" max="68" width="11.109375" style="284" hidden="1" customWidth="1" outlineLevel="1"/>
    <col min="69" max="71" width="11.109375" style="288" hidden="1" customWidth="1" outlineLevel="1"/>
    <col min="72" max="72" width="11.44140625" style="288" bestFit="1" customWidth="1" collapsed="1"/>
    <col min="73" max="73" width="11.109375" style="284" hidden="1" customWidth="1" outlineLevel="1"/>
    <col min="74" max="76" width="11.109375" style="288" hidden="1" customWidth="1" outlineLevel="1"/>
    <col min="77" max="77" width="11.44140625" style="288" bestFit="1" customWidth="1" collapsed="1"/>
    <col min="78" max="78" width="11.109375" style="284" hidden="1" customWidth="1" outlineLevel="1"/>
    <col min="79" max="81" width="11.109375" style="288" hidden="1" customWidth="1" outlineLevel="1"/>
    <col min="82" max="82" width="11.44140625" style="288" bestFit="1" customWidth="1" collapsed="1"/>
    <col min="83" max="83" width="11.109375" style="284" hidden="1" customWidth="1" outlineLevel="1"/>
    <col min="84" max="86" width="11.109375" style="288" hidden="1" customWidth="1" outlineLevel="1"/>
    <col min="87" max="87" width="11.109375" style="288" customWidth="1" collapsed="1"/>
    <col min="88" max="88" width="11.109375" style="284" hidden="1" customWidth="1" outlineLevel="1"/>
    <col min="89" max="91" width="11.109375" style="288" hidden="1" customWidth="1" outlineLevel="1"/>
    <col min="92" max="92" width="11.109375" style="288" customWidth="1" collapsed="1"/>
    <col min="93" max="93" width="11.109375" style="284" hidden="1" customWidth="1" outlineLevel="1"/>
    <col min="94" max="96" width="11.109375" style="288" hidden="1" customWidth="1" outlineLevel="1"/>
    <col min="97" max="97" width="11.44140625" style="288" bestFit="1" customWidth="1" collapsed="1"/>
    <col min="98" max="98" width="11.109375" style="284" hidden="1" customWidth="1" outlineLevel="1"/>
    <col min="99" max="101" width="11.109375" style="288" hidden="1" customWidth="1" outlineLevel="1"/>
    <col min="102" max="102" width="11.44140625" style="288" bestFit="1" customWidth="1" collapsed="1"/>
    <col min="103" max="103" width="11.109375" style="284" hidden="1" customWidth="1" outlineLevel="1"/>
    <col min="104" max="106" width="11.109375" style="288" hidden="1" customWidth="1" outlineLevel="1"/>
    <col min="107" max="107" width="11.44140625" style="288" bestFit="1" customWidth="1" collapsed="1"/>
    <col min="108" max="108" width="11.109375" style="284" hidden="1" customWidth="1" outlineLevel="1"/>
    <col min="109" max="111" width="11.109375" style="288" hidden="1" customWidth="1" outlineLevel="1"/>
    <col min="112" max="112" width="11.44140625" style="288" bestFit="1" customWidth="1" collapsed="1"/>
    <col min="113" max="113" width="11.109375" style="284" hidden="1" customWidth="1" outlineLevel="1"/>
    <col min="114" max="116" width="11.109375" style="288" hidden="1" customWidth="1" outlineLevel="1"/>
    <col min="117" max="117" width="11.44140625" style="288" bestFit="1" customWidth="1" collapsed="1"/>
    <col min="118" max="118" width="11.109375" style="284" hidden="1" customWidth="1" outlineLevel="1"/>
    <col min="119" max="121" width="11.109375" style="288" hidden="1" customWidth="1" outlineLevel="1"/>
    <col min="122" max="122" width="11.44140625" style="288" bestFit="1" customWidth="1" collapsed="1"/>
    <col min="123" max="123" width="11.109375" style="284" hidden="1" customWidth="1" outlineLevel="1"/>
    <col min="124" max="126" width="9.44140625" style="288" hidden="1" customWidth="1" outlineLevel="1"/>
    <col min="127" max="127" width="11.44140625" style="288" bestFit="1" customWidth="1" collapsed="1"/>
    <col min="128" max="128" width="11.109375" style="284" hidden="1" customWidth="1" outlineLevel="1"/>
    <col min="129" max="131" width="11.109375" style="288" hidden="1" customWidth="1" outlineLevel="1"/>
    <col min="132" max="132" width="11.109375" style="288" customWidth="1" collapsed="1"/>
    <col min="133" max="133" width="11.109375" style="284" hidden="1" customWidth="1" outlineLevel="1"/>
    <col min="134" max="136" width="11.109375" style="288" hidden="1" customWidth="1" outlineLevel="1"/>
    <col min="137" max="137" width="11.109375" style="288" customWidth="1" collapsed="1"/>
    <col min="138" max="138" width="12.5546875" style="284" hidden="1" customWidth="1" outlineLevel="1"/>
    <col min="139" max="141" width="11.44140625" style="288" hidden="1" customWidth="1" outlineLevel="1"/>
    <col min="142" max="142" width="12.5546875" style="142" bestFit="1" customWidth="1" collapsed="1"/>
    <col min="143" max="143" width="11.44140625" style="284" hidden="1" customWidth="1" outlineLevel="1"/>
    <col min="144" max="146" width="11.44140625" style="288" hidden="1" customWidth="1" outlineLevel="1"/>
    <col min="147" max="147" width="11.44140625" style="142" bestFit="1" customWidth="1" collapsed="1"/>
    <col min="148" max="148" width="11.109375" style="284" hidden="1" customWidth="1" outlineLevel="1"/>
    <col min="149" max="151" width="11.109375" style="288" hidden="1" customWidth="1" outlineLevel="1"/>
    <col min="152" max="152" width="11.44140625" style="288" bestFit="1" customWidth="1" collapsed="1"/>
    <col min="153" max="153" width="11.109375" style="284" customWidth="1" outlineLevel="1"/>
    <col min="154" max="156" width="11.109375" style="288" customWidth="1" outlineLevel="1"/>
    <col min="157" max="157" width="11.44140625" style="288" bestFit="1" customWidth="1"/>
    <col min="158" max="158" width="11.109375" style="284" customWidth="1" outlineLevel="1"/>
    <col min="159" max="161" width="11.109375" style="288" customWidth="1" outlineLevel="1"/>
    <col min="162" max="162" width="11.44140625" style="288" bestFit="1" customWidth="1"/>
    <col min="163" max="163" width="11.109375" style="284" customWidth="1" outlineLevel="1"/>
    <col min="164" max="166" width="11.109375" style="288" customWidth="1" outlineLevel="1"/>
    <col min="167" max="167" width="11.44140625" style="288" bestFit="1" customWidth="1"/>
    <col min="168" max="168" width="11.109375" style="284" hidden="1" customWidth="1" outlineLevel="1"/>
    <col min="169" max="171" width="11.109375" style="288" hidden="1" customWidth="1" outlineLevel="1"/>
    <col min="172" max="172" width="11.44140625" style="288" bestFit="1" customWidth="1" collapsed="1"/>
    <col min="173" max="173" width="11.109375" style="284" hidden="1" customWidth="1" outlineLevel="1"/>
    <col min="174" max="176" width="11.109375" style="288" hidden="1" customWidth="1" outlineLevel="1"/>
    <col min="177" max="177" width="11.44140625" style="288" bestFit="1" customWidth="1" collapsed="1"/>
    <col min="178" max="178" width="11.109375" style="284" hidden="1" customWidth="1" outlineLevel="1"/>
    <col min="179" max="181" width="9.44140625" style="288" hidden="1" customWidth="1" outlineLevel="1"/>
    <col min="182" max="182" width="11.44140625" style="288" bestFit="1" customWidth="1" collapsed="1"/>
    <col min="183" max="183" width="11.109375" style="284" hidden="1" customWidth="1" outlineLevel="1"/>
    <col min="184" max="186" width="9.44140625" style="288" hidden="1" customWidth="1" outlineLevel="1"/>
    <col min="187" max="187" width="11.44140625" style="288" bestFit="1" customWidth="1" collapsed="1"/>
    <col min="188" max="188" width="11.109375" style="284" hidden="1" customWidth="1" outlineLevel="1"/>
    <col min="189" max="191" width="9.44140625" style="288" hidden="1" customWidth="1" outlineLevel="1"/>
    <col min="192" max="192" width="11.44140625" style="288" bestFit="1" customWidth="1" collapsed="1"/>
    <col min="193" max="16384" width="9.109375" style="283"/>
  </cols>
  <sheetData>
    <row r="1" spans="1:192" ht="12.75" customHeight="1">
      <c r="D1" s="285"/>
      <c r="E1" s="285"/>
      <c r="F1" s="285"/>
      <c r="G1" s="285"/>
      <c r="I1" s="285"/>
      <c r="J1" s="285"/>
      <c r="K1" s="285"/>
      <c r="L1" s="285"/>
      <c r="N1" s="285"/>
      <c r="O1" s="285"/>
      <c r="P1" s="285"/>
      <c r="Q1" s="285"/>
      <c r="S1" s="285"/>
      <c r="T1" s="285"/>
      <c r="U1" s="285"/>
      <c r="V1" s="285"/>
      <c r="X1" s="285"/>
      <c r="Y1" s="285"/>
      <c r="Z1" s="285"/>
      <c r="AA1" s="285"/>
      <c r="AC1" s="285"/>
      <c r="AD1" s="285"/>
      <c r="AE1" s="285"/>
      <c r="AF1" s="285"/>
      <c r="AH1" s="285"/>
      <c r="AI1" s="285"/>
      <c r="AJ1" s="285"/>
      <c r="AK1" s="285"/>
      <c r="AM1" s="285"/>
      <c r="AN1" s="285"/>
      <c r="AO1" s="285"/>
      <c r="AP1" s="285"/>
      <c r="AR1" s="285"/>
      <c r="AS1" s="285"/>
      <c r="AT1" s="285"/>
      <c r="AU1" s="285"/>
      <c r="AW1" s="285"/>
      <c r="AX1" s="285"/>
      <c r="AY1" s="285"/>
      <c r="AZ1" s="285"/>
      <c r="BB1" s="285"/>
      <c r="BC1" s="285"/>
      <c r="BD1" s="285"/>
      <c r="BE1" s="285"/>
      <c r="BG1" s="285"/>
      <c r="BH1" s="285"/>
      <c r="BI1" s="285"/>
      <c r="BJ1" s="285"/>
      <c r="BL1" s="285"/>
      <c r="BM1" s="285"/>
      <c r="BN1" s="285"/>
      <c r="BO1" s="285"/>
      <c r="BQ1" s="285"/>
      <c r="BR1" s="285"/>
      <c r="BS1" s="285"/>
      <c r="BT1" s="285"/>
      <c r="BV1" s="285"/>
      <c r="BW1" s="285"/>
      <c r="BX1" s="285"/>
      <c r="BY1" s="285"/>
      <c r="CA1" s="285"/>
      <c r="CB1" s="285"/>
      <c r="CC1" s="285"/>
      <c r="CD1" s="285"/>
      <c r="CF1" s="285"/>
      <c r="CG1" s="285"/>
      <c r="CH1" s="285"/>
      <c r="CI1" s="285"/>
      <c r="CK1" s="285"/>
      <c r="CL1" s="285"/>
      <c r="CM1" s="285"/>
      <c r="CN1" s="285"/>
      <c r="CP1" s="285"/>
      <c r="CQ1" s="285"/>
      <c r="CR1" s="285"/>
      <c r="CS1" s="285"/>
      <c r="CU1" s="285"/>
      <c r="CV1" s="285"/>
      <c r="CW1" s="285"/>
      <c r="CX1" s="285"/>
      <c r="CZ1" s="285"/>
      <c r="DA1" s="285"/>
      <c r="DB1" s="285"/>
      <c r="DC1" s="285"/>
      <c r="DE1" s="285"/>
      <c r="DF1" s="285"/>
      <c r="DG1" s="285"/>
      <c r="DH1" s="285"/>
      <c r="DJ1" s="285"/>
      <c r="DK1" s="285"/>
      <c r="DL1" s="285"/>
      <c r="DM1" s="285"/>
      <c r="DO1" s="285"/>
      <c r="DP1" s="285"/>
      <c r="DQ1" s="285"/>
      <c r="DR1" s="285"/>
      <c r="DT1" s="285"/>
      <c r="DU1" s="285"/>
      <c r="DV1" s="285"/>
      <c r="DW1" s="285"/>
      <c r="DY1" s="285"/>
      <c r="DZ1" s="285"/>
      <c r="EA1" s="285"/>
      <c r="EB1" s="285"/>
      <c r="ED1" s="285"/>
      <c r="EE1" s="285"/>
      <c r="EF1" s="285"/>
      <c r="EG1" s="285"/>
      <c r="EI1" s="285"/>
      <c r="EJ1" s="285"/>
      <c r="EK1" s="285"/>
      <c r="EL1" s="285"/>
      <c r="EN1" s="285"/>
      <c r="EO1" s="285"/>
      <c r="EP1" s="285"/>
      <c r="EQ1" s="285"/>
      <c r="ES1" s="285"/>
      <c r="ET1" s="285"/>
      <c r="EU1" s="285"/>
      <c r="EV1" s="285"/>
      <c r="EX1" s="285"/>
      <c r="EY1" s="285"/>
      <c r="EZ1" s="285"/>
      <c r="FA1" s="285"/>
      <c r="FC1" s="285"/>
      <c r="FD1" s="285"/>
      <c r="FE1" s="285"/>
      <c r="FF1" s="285"/>
      <c r="FH1" s="285"/>
      <c r="FI1" s="285"/>
      <c r="FJ1" s="285"/>
      <c r="FK1" s="285"/>
      <c r="FM1" s="285"/>
      <c r="FN1" s="285"/>
      <c r="FO1" s="285"/>
      <c r="FP1" s="285"/>
      <c r="FR1" s="285"/>
      <c r="FS1" s="285"/>
      <c r="FT1" s="285"/>
      <c r="FU1" s="285"/>
      <c r="FW1" s="285"/>
      <c r="FX1" s="285"/>
      <c r="FY1" s="285"/>
      <c r="FZ1" s="285"/>
      <c r="GB1" s="285"/>
      <c r="GC1" s="285"/>
      <c r="GD1" s="285"/>
      <c r="GE1" s="285"/>
      <c r="GG1" s="285"/>
      <c r="GH1" s="285"/>
      <c r="GI1" s="285"/>
      <c r="GJ1" s="285"/>
    </row>
    <row r="2" spans="1:192" ht="12.75" customHeight="1">
      <c r="B2" s="1434" t="s">
        <v>63</v>
      </c>
      <c r="D2" s="285"/>
      <c r="E2" s="285"/>
      <c r="F2" s="285"/>
      <c r="G2" s="285"/>
      <c r="I2" s="285"/>
      <c r="J2" s="285"/>
      <c r="K2" s="285"/>
      <c r="L2" s="285"/>
      <c r="N2" s="285"/>
      <c r="O2" s="285"/>
      <c r="P2" s="285"/>
      <c r="Q2" s="285"/>
      <c r="S2" s="285"/>
      <c r="T2" s="285"/>
      <c r="U2" s="285"/>
      <c r="V2" s="285"/>
      <c r="X2" s="285"/>
      <c r="Y2" s="285"/>
      <c r="Z2" s="285"/>
      <c r="AA2" s="285"/>
      <c r="AC2" s="285"/>
      <c r="AD2" s="285"/>
      <c r="AE2" s="285"/>
      <c r="AF2" s="285"/>
      <c r="AH2" s="285"/>
      <c r="AI2" s="285"/>
      <c r="AJ2" s="285"/>
      <c r="AK2" s="285"/>
      <c r="AM2" s="285"/>
      <c r="AN2" s="285"/>
      <c r="AO2" s="285"/>
      <c r="AP2" s="285"/>
      <c r="AR2" s="285"/>
      <c r="AS2" s="285"/>
      <c r="AT2" s="285"/>
      <c r="AU2" s="285"/>
      <c r="AW2" s="285"/>
      <c r="AX2" s="285"/>
      <c r="AY2" s="285"/>
      <c r="AZ2" s="285"/>
      <c r="BB2" s="285"/>
      <c r="BC2" s="285"/>
      <c r="BD2" s="285"/>
      <c r="BE2" s="285"/>
      <c r="BG2" s="285"/>
      <c r="BH2" s="285"/>
      <c r="BI2" s="285"/>
      <c r="BJ2" s="285"/>
      <c r="BL2" s="285"/>
      <c r="BM2" s="285"/>
      <c r="BN2" s="285"/>
      <c r="BO2" s="285"/>
      <c r="BQ2" s="285"/>
      <c r="BR2" s="285"/>
      <c r="BS2" s="285"/>
      <c r="BT2" s="285"/>
      <c r="BV2" s="285"/>
      <c r="BW2" s="285"/>
      <c r="BX2" s="285"/>
      <c r="BY2" s="285"/>
      <c r="CA2" s="285"/>
      <c r="CB2" s="285"/>
      <c r="CC2" s="285"/>
      <c r="CD2" s="285"/>
      <c r="CF2" s="285"/>
      <c r="CG2" s="285"/>
      <c r="CH2" s="285"/>
      <c r="CI2" s="285"/>
      <c r="CK2" s="285"/>
      <c r="CL2" s="285"/>
      <c r="CM2" s="285"/>
      <c r="CN2" s="285"/>
      <c r="CP2" s="285"/>
      <c r="CQ2" s="285"/>
      <c r="CR2" s="285"/>
      <c r="CS2" s="285"/>
      <c r="CU2" s="285"/>
      <c r="CV2" s="285"/>
      <c r="CW2" s="285"/>
      <c r="CX2" s="285"/>
      <c r="CZ2" s="285"/>
      <c r="DA2" s="285"/>
      <c r="DB2" s="285"/>
      <c r="DC2" s="285"/>
      <c r="DE2" s="285"/>
      <c r="DF2" s="285"/>
      <c r="DG2" s="285"/>
      <c r="DH2" s="285"/>
      <c r="DJ2" s="285"/>
      <c r="DK2" s="285"/>
      <c r="DL2" s="285"/>
      <c r="DM2" s="285"/>
      <c r="DO2" s="285"/>
      <c r="DP2" s="285"/>
      <c r="DQ2" s="285"/>
      <c r="DR2" s="285"/>
      <c r="DT2" s="285"/>
      <c r="DU2" s="285"/>
      <c r="DV2" s="285"/>
      <c r="DW2" s="285"/>
      <c r="DY2" s="285"/>
      <c r="DZ2" s="285"/>
      <c r="EA2" s="285"/>
      <c r="EB2" s="285"/>
      <c r="ED2" s="285"/>
      <c r="EE2" s="285"/>
      <c r="EF2" s="285"/>
      <c r="EG2" s="285"/>
      <c r="EI2" s="285"/>
      <c r="EJ2" s="285"/>
      <c r="EK2" s="285"/>
      <c r="EL2" s="285"/>
      <c r="EN2" s="285"/>
      <c r="EO2" s="285"/>
      <c r="EP2" s="285"/>
      <c r="EQ2" s="285"/>
      <c r="ES2" s="285"/>
      <c r="ET2" s="285"/>
      <c r="EU2" s="285"/>
      <c r="EV2" s="285"/>
      <c r="EX2" s="285"/>
      <c r="EY2" s="285"/>
      <c r="EZ2" s="285"/>
      <c r="FA2" s="285"/>
      <c r="FC2" s="285"/>
      <c r="FD2" s="285"/>
      <c r="FE2" s="285"/>
      <c r="FF2" s="285"/>
      <c r="FH2" s="285"/>
      <c r="FI2" s="285"/>
      <c r="FJ2" s="285"/>
      <c r="FK2" s="285"/>
      <c r="FM2" s="285"/>
      <c r="FN2" s="285"/>
      <c r="FO2" s="285"/>
      <c r="FP2" s="285"/>
      <c r="FR2" s="285"/>
      <c r="FS2" s="285"/>
      <c r="FT2" s="285"/>
      <c r="FU2" s="285"/>
      <c r="FW2" s="285"/>
      <c r="FX2" s="285"/>
      <c r="FY2" s="285"/>
      <c r="FZ2" s="285"/>
      <c r="GB2" s="285"/>
      <c r="GC2" s="285"/>
      <c r="GD2" s="285"/>
      <c r="GE2" s="285"/>
      <c r="GG2" s="285"/>
      <c r="GH2" s="285"/>
      <c r="GI2" s="285"/>
      <c r="GJ2" s="285"/>
    </row>
    <row r="3" spans="1:192" ht="12.75" customHeight="1">
      <c r="B3" s="1434" t="s">
        <v>64</v>
      </c>
      <c r="D3" s="285"/>
      <c r="E3" s="285"/>
      <c r="F3" s="285"/>
      <c r="G3" s="285"/>
      <c r="I3" s="285"/>
      <c r="J3" s="285"/>
      <c r="K3" s="285"/>
      <c r="L3" s="285"/>
      <c r="N3" s="285"/>
      <c r="O3" s="285"/>
      <c r="P3" s="285"/>
      <c r="Q3" s="285"/>
      <c r="S3" s="285"/>
      <c r="T3" s="285"/>
      <c r="U3" s="285"/>
      <c r="V3" s="285"/>
      <c r="X3" s="285"/>
      <c r="Y3" s="285"/>
      <c r="Z3" s="285"/>
      <c r="AA3" s="285"/>
      <c r="AC3" s="285"/>
      <c r="AD3" s="285"/>
      <c r="AE3" s="285"/>
      <c r="AF3" s="285"/>
      <c r="AH3" s="285"/>
      <c r="AI3" s="285"/>
      <c r="AJ3" s="285"/>
      <c r="AK3" s="285"/>
      <c r="AM3" s="285"/>
      <c r="AN3" s="285"/>
      <c r="AO3" s="285"/>
      <c r="AP3" s="285"/>
      <c r="AR3" s="285"/>
      <c r="AS3" s="285"/>
      <c r="AT3" s="285"/>
      <c r="AU3" s="285"/>
      <c r="AW3" s="285"/>
      <c r="AX3" s="285"/>
      <c r="AY3" s="285"/>
      <c r="AZ3" s="285"/>
      <c r="BB3" s="285"/>
      <c r="BC3" s="285"/>
      <c r="BD3" s="285"/>
      <c r="BE3" s="285"/>
      <c r="BG3" s="285"/>
      <c r="BH3" s="285"/>
      <c r="BI3" s="285"/>
      <c r="BJ3" s="285"/>
      <c r="BL3" s="285"/>
      <c r="BM3" s="285"/>
      <c r="BN3" s="285"/>
      <c r="BO3" s="285"/>
      <c r="BQ3" s="285"/>
      <c r="BR3" s="285"/>
      <c r="BS3" s="285"/>
      <c r="BT3" s="285"/>
      <c r="BV3" s="285"/>
      <c r="BW3" s="285"/>
      <c r="BX3" s="285"/>
      <c r="BY3" s="285"/>
      <c r="CA3" s="285"/>
      <c r="CB3" s="285"/>
      <c r="CC3" s="285"/>
      <c r="CD3" s="285"/>
      <c r="CF3" s="285"/>
      <c r="CG3" s="285"/>
      <c r="CH3" s="285"/>
      <c r="CI3" s="285"/>
      <c r="CK3" s="285"/>
      <c r="CL3" s="285"/>
      <c r="CM3" s="285"/>
      <c r="CN3" s="285"/>
      <c r="CP3" s="285"/>
      <c r="CQ3" s="285"/>
      <c r="CR3" s="285"/>
      <c r="CS3" s="285"/>
      <c r="CU3" s="285"/>
      <c r="CV3" s="285"/>
      <c r="CW3" s="285"/>
      <c r="CX3" s="285"/>
      <c r="CZ3" s="285"/>
      <c r="DA3" s="285"/>
      <c r="DB3" s="285"/>
      <c r="DC3" s="285"/>
      <c r="DE3" s="285"/>
      <c r="DF3" s="285"/>
      <c r="DG3" s="285"/>
      <c r="DH3" s="285"/>
      <c r="DJ3" s="285"/>
      <c r="DK3" s="285"/>
      <c r="DL3" s="285"/>
      <c r="DM3" s="285"/>
      <c r="DO3" s="285"/>
      <c r="DP3" s="285"/>
      <c r="DQ3" s="285"/>
      <c r="DR3" s="285"/>
      <c r="DT3" s="285"/>
      <c r="DU3" s="285"/>
      <c r="DV3" s="285"/>
      <c r="DW3" s="285"/>
      <c r="DY3" s="285"/>
      <c r="DZ3" s="285"/>
      <c r="EA3" s="285"/>
      <c r="EB3" s="285"/>
      <c r="ED3" s="285"/>
      <c r="EE3" s="285"/>
      <c r="EF3" s="285"/>
      <c r="EG3" s="285"/>
      <c r="EI3" s="285"/>
      <c r="EJ3" s="285"/>
      <c r="EK3" s="285"/>
      <c r="EL3" s="285"/>
      <c r="EN3" s="285"/>
      <c r="EO3" s="285"/>
      <c r="EP3" s="285"/>
      <c r="EQ3" s="285"/>
      <c r="ES3" s="285"/>
      <c r="ET3" s="285"/>
      <c r="EU3" s="285"/>
      <c r="EV3" s="285"/>
      <c r="EX3" s="285"/>
      <c r="EY3" s="285"/>
      <c r="EZ3" s="285"/>
      <c r="FA3" s="285"/>
      <c r="FC3" s="285"/>
      <c r="FD3" s="285"/>
      <c r="FE3" s="285"/>
      <c r="FF3" s="285"/>
      <c r="FH3" s="285"/>
      <c r="FI3" s="285"/>
      <c r="FJ3" s="285"/>
      <c r="FK3" s="285"/>
      <c r="FM3" s="285"/>
      <c r="FN3" s="285"/>
      <c r="FO3" s="285"/>
      <c r="FP3" s="285"/>
      <c r="FR3" s="285"/>
      <c r="FS3" s="285"/>
      <c r="FT3" s="285"/>
      <c r="FU3" s="285"/>
      <c r="FW3" s="285"/>
      <c r="FX3" s="285"/>
      <c r="FY3" s="285"/>
      <c r="FZ3" s="285"/>
      <c r="GB3" s="285"/>
      <c r="GC3" s="285"/>
      <c r="GD3" s="285"/>
      <c r="GE3" s="285"/>
      <c r="GG3" s="285"/>
      <c r="GH3" s="285"/>
      <c r="GI3" s="285"/>
      <c r="GJ3" s="285"/>
    </row>
    <row r="4" spans="1:192" ht="12.75" customHeight="1">
      <c r="B4" s="1434" t="s">
        <v>27</v>
      </c>
      <c r="D4" s="285"/>
      <c r="E4" s="285"/>
      <c r="F4" s="285"/>
      <c r="G4" s="285"/>
      <c r="I4" s="285"/>
      <c r="J4" s="285"/>
      <c r="K4" s="285"/>
      <c r="L4" s="285"/>
      <c r="N4" s="285"/>
      <c r="O4" s="285"/>
      <c r="P4" s="285"/>
      <c r="Q4" s="285"/>
      <c r="S4" s="285"/>
      <c r="T4" s="285"/>
      <c r="U4" s="285"/>
      <c r="V4" s="285"/>
      <c r="X4" s="285"/>
      <c r="Y4" s="285"/>
      <c r="Z4" s="285"/>
      <c r="AA4" s="285"/>
      <c r="AC4" s="285"/>
      <c r="AD4" s="285"/>
      <c r="AE4" s="285"/>
      <c r="AF4" s="285"/>
      <c r="AH4" s="285"/>
      <c r="AI4" s="285"/>
      <c r="AJ4" s="285"/>
      <c r="AK4" s="285"/>
      <c r="AM4" s="285"/>
      <c r="AN4" s="285"/>
      <c r="AO4" s="285"/>
      <c r="AP4" s="285"/>
      <c r="AR4" s="285"/>
      <c r="AS4" s="285"/>
      <c r="AT4" s="285"/>
      <c r="AU4" s="285"/>
      <c r="AW4" s="285"/>
      <c r="AX4" s="285"/>
      <c r="AY4" s="285"/>
      <c r="AZ4" s="285"/>
      <c r="BB4" s="285"/>
      <c r="BC4" s="285"/>
      <c r="BD4" s="285"/>
      <c r="BE4" s="285"/>
      <c r="BG4" s="285"/>
      <c r="BH4" s="285"/>
      <c r="BI4" s="285"/>
      <c r="BJ4" s="285"/>
      <c r="BL4" s="285"/>
      <c r="BM4" s="285"/>
      <c r="BN4" s="285"/>
      <c r="BO4" s="285"/>
      <c r="BQ4" s="285"/>
      <c r="BR4" s="285"/>
      <c r="BS4" s="285"/>
      <c r="BT4" s="285"/>
      <c r="BV4" s="285"/>
      <c r="BW4" s="285"/>
      <c r="BX4" s="285"/>
      <c r="BY4" s="285"/>
      <c r="CA4" s="285"/>
      <c r="CB4" s="285"/>
      <c r="CC4" s="285"/>
      <c r="CD4" s="285"/>
      <c r="CF4" s="285"/>
      <c r="CG4" s="285"/>
      <c r="CH4" s="285"/>
      <c r="CI4" s="285"/>
      <c r="CK4" s="285"/>
      <c r="CL4" s="285"/>
      <c r="CM4" s="285"/>
      <c r="CN4" s="285"/>
      <c r="CP4" s="285"/>
      <c r="CQ4" s="285"/>
      <c r="CR4" s="285"/>
      <c r="CS4" s="285"/>
      <c r="CU4" s="285"/>
      <c r="CV4" s="285"/>
      <c r="CW4" s="285"/>
      <c r="CX4" s="285"/>
      <c r="CZ4" s="285"/>
      <c r="DA4" s="285"/>
      <c r="DB4" s="285"/>
      <c r="DC4" s="285"/>
      <c r="DE4" s="285"/>
      <c r="DF4" s="285"/>
      <c r="DG4" s="285"/>
      <c r="DH4" s="285"/>
      <c r="DI4" s="968"/>
      <c r="DJ4" s="969"/>
      <c r="DK4" s="970" t="s">
        <v>419</v>
      </c>
      <c r="DL4" s="969"/>
      <c r="DM4" s="969"/>
      <c r="DO4" s="285"/>
      <c r="DP4" s="285"/>
      <c r="DQ4" s="285"/>
      <c r="DR4" s="285"/>
      <c r="DT4" s="285"/>
      <c r="DU4" s="285"/>
      <c r="DV4" s="285"/>
      <c r="DW4" s="285"/>
      <c r="DY4" s="285"/>
      <c r="DZ4" s="285"/>
      <c r="EA4" s="285"/>
      <c r="EB4" s="285"/>
      <c r="ED4" s="285"/>
      <c r="EE4" s="285"/>
      <c r="EF4" s="285"/>
      <c r="EG4" s="285"/>
      <c r="EI4" s="285"/>
      <c r="EJ4" s="285"/>
      <c r="EK4" s="285"/>
      <c r="EL4" s="285"/>
      <c r="EN4" s="285"/>
      <c r="EO4" s="285"/>
      <c r="EP4" s="285"/>
      <c r="EQ4" s="285"/>
      <c r="ES4" s="285"/>
      <c r="ET4" s="285"/>
      <c r="EU4" s="285"/>
      <c r="EV4" s="285"/>
      <c r="EX4" s="285"/>
      <c r="EY4" s="285"/>
      <c r="EZ4" s="285"/>
      <c r="FA4" s="285"/>
      <c r="FC4" s="285"/>
      <c r="FD4" s="285"/>
      <c r="FE4" s="285"/>
      <c r="FF4" s="285"/>
      <c r="FH4" s="285"/>
      <c r="FI4" s="285"/>
      <c r="FJ4" s="285"/>
      <c r="FK4" s="285"/>
      <c r="FM4" s="285"/>
      <c r="FN4" s="285"/>
      <c r="FO4" s="285"/>
      <c r="FP4" s="285"/>
      <c r="FR4" s="285"/>
      <c r="FS4" s="285"/>
      <c r="FT4" s="285"/>
      <c r="FU4" s="285"/>
      <c r="FW4" s="285"/>
      <c r="FX4" s="285"/>
      <c r="FY4" s="285"/>
      <c r="FZ4" s="285"/>
      <c r="GB4" s="285"/>
      <c r="GC4" s="285"/>
      <c r="GD4" s="285"/>
      <c r="GE4" s="285"/>
      <c r="GG4" s="285"/>
      <c r="GH4" s="285"/>
      <c r="GI4" s="285"/>
      <c r="GJ4" s="285"/>
    </row>
    <row r="5" spans="1:192" ht="12.75" customHeight="1">
      <c r="C5" s="286"/>
      <c r="D5" s="287"/>
      <c r="E5" s="287"/>
      <c r="G5" s="287"/>
      <c r="H5" s="286"/>
      <c r="I5" s="287"/>
      <c r="J5" s="287"/>
      <c r="L5" s="285"/>
      <c r="M5" s="286"/>
      <c r="N5" s="287"/>
      <c r="O5" s="287"/>
      <c r="Q5" s="285"/>
      <c r="R5" s="286"/>
      <c r="S5" s="287"/>
      <c r="T5" s="287"/>
      <c r="V5" s="285"/>
      <c r="W5" s="286"/>
      <c r="X5" s="287"/>
      <c r="Y5" s="287"/>
      <c r="AA5" s="285"/>
      <c r="AB5" s="286"/>
      <c r="AC5" s="287"/>
      <c r="AD5" s="287"/>
      <c r="AF5" s="285"/>
      <c r="AG5" s="286"/>
      <c r="AH5" s="287"/>
      <c r="AI5" s="287"/>
      <c r="AK5" s="285"/>
      <c r="AL5" s="286"/>
      <c r="AM5" s="287"/>
      <c r="AN5" s="287"/>
      <c r="AP5" s="285"/>
      <c r="AQ5" s="286"/>
      <c r="AR5" s="287"/>
      <c r="AS5" s="287"/>
      <c r="AU5" s="285"/>
      <c r="AV5" s="286"/>
      <c r="AW5" s="287"/>
      <c r="AX5" s="287"/>
      <c r="AZ5" s="287"/>
      <c r="BA5" s="286"/>
      <c r="BB5" s="287"/>
      <c r="BC5" s="287"/>
      <c r="BE5" s="285"/>
      <c r="BF5" s="286"/>
      <c r="BG5" s="287"/>
      <c r="BH5" s="287"/>
      <c r="BJ5" s="285"/>
      <c r="BK5" s="286"/>
      <c r="BL5" s="287"/>
      <c r="BM5" s="287"/>
      <c r="BO5" s="285"/>
      <c r="BP5" s="286"/>
      <c r="BQ5" s="287"/>
      <c r="BR5" s="287"/>
      <c r="BT5" s="285"/>
      <c r="BU5" s="286"/>
      <c r="BV5" s="287"/>
      <c r="BW5" s="287"/>
      <c r="BY5" s="285"/>
      <c r="BZ5" s="286"/>
      <c r="CA5" s="287"/>
      <c r="CB5" s="287"/>
      <c r="CD5" s="285"/>
      <c r="CE5" s="286"/>
      <c r="CF5" s="287"/>
      <c r="CG5" s="287"/>
      <c r="CI5" s="285"/>
      <c r="CJ5" s="286"/>
      <c r="CK5" s="287"/>
      <c r="CL5" s="287"/>
      <c r="CN5" s="285"/>
      <c r="CO5" s="286"/>
      <c r="CP5" s="287"/>
      <c r="CQ5" s="287"/>
      <c r="CS5" s="287"/>
      <c r="CT5" s="350"/>
      <c r="CU5" s="351"/>
      <c r="CV5" s="351"/>
      <c r="CW5" s="351"/>
      <c r="CX5" s="285"/>
      <c r="CY5" s="286"/>
      <c r="CZ5" s="287"/>
      <c r="DA5" s="287"/>
      <c r="DC5" s="285"/>
      <c r="DD5" s="350"/>
      <c r="DE5" s="351"/>
      <c r="DF5" s="351"/>
      <c r="DG5" s="351"/>
      <c r="DH5" s="375"/>
      <c r="DI5" s="350"/>
      <c r="DJ5" s="351"/>
      <c r="DK5" s="351"/>
      <c r="DL5" s="351"/>
      <c r="DM5" s="285"/>
      <c r="DO5" s="285"/>
      <c r="DP5" s="285"/>
      <c r="DQ5" s="285"/>
      <c r="DR5" s="285"/>
      <c r="DT5" s="285"/>
      <c r="DU5" s="285"/>
      <c r="DV5" s="285"/>
      <c r="DW5" s="285"/>
      <c r="DY5" s="285"/>
      <c r="DZ5" s="285"/>
      <c r="EA5" s="285"/>
      <c r="EB5" s="285"/>
      <c r="ED5" s="285"/>
      <c r="EE5" s="285"/>
      <c r="EF5" s="285"/>
      <c r="EG5" s="285"/>
      <c r="EH5" s="286"/>
      <c r="EI5" s="287"/>
      <c r="EJ5" s="287"/>
      <c r="EL5" s="285"/>
      <c r="EM5" s="286"/>
      <c r="EN5" s="287"/>
      <c r="EO5" s="287"/>
      <c r="EQ5" s="285"/>
      <c r="ER5" s="286"/>
      <c r="ES5" s="287"/>
      <c r="ET5" s="287"/>
      <c r="EV5" s="285"/>
      <c r="EW5" s="286"/>
      <c r="EX5" s="287"/>
      <c r="EY5" s="287"/>
      <c r="EZ5" s="285"/>
      <c r="FA5" s="285"/>
      <c r="FC5" s="285"/>
      <c r="FD5" s="285"/>
      <c r="FE5" s="285"/>
      <c r="FF5" s="285"/>
      <c r="FH5" s="285"/>
      <c r="FI5" s="285"/>
      <c r="FJ5" s="285"/>
      <c r="FK5" s="285"/>
      <c r="FM5" s="285"/>
      <c r="FN5" s="285"/>
      <c r="FO5" s="285"/>
      <c r="FP5" s="285"/>
      <c r="FR5" s="285"/>
      <c r="FS5" s="285"/>
      <c r="FT5" s="285"/>
      <c r="FU5" s="285"/>
      <c r="FW5" s="285"/>
      <c r="FX5" s="285"/>
      <c r="FY5" s="285"/>
      <c r="FZ5" s="285"/>
      <c r="GB5" s="285"/>
      <c r="GC5" s="285"/>
      <c r="GD5" s="285"/>
      <c r="GE5" s="285"/>
      <c r="GG5" s="285"/>
      <c r="GH5" s="285"/>
      <c r="GI5" s="285"/>
      <c r="GJ5" s="285"/>
    </row>
    <row r="6" spans="1:192" ht="12.75" customHeight="1">
      <c r="C6" s="47" t="str">
        <f>Dates!C3</f>
      </c>
      <c r="D6" s="47"/>
      <c r="E6" s="47"/>
      <c r="F6" s="47"/>
      <c r="G6" s="93"/>
      <c r="H6" s="47" t="str">
        <f>Dates!H3</f>
      </c>
      <c r="I6" s="47"/>
      <c r="J6" s="47"/>
      <c r="K6" s="47"/>
      <c r="L6" s="93"/>
      <c r="M6" s="47" t="str">
        <f>Dates!M3</f>
      </c>
      <c r="N6" s="47"/>
      <c r="O6" s="47"/>
      <c r="P6" s="47"/>
      <c r="Q6" s="93"/>
      <c r="R6" s="47" t="str">
        <f>Dates!R3</f>
      </c>
      <c r="S6" s="47"/>
      <c r="T6" s="47"/>
      <c r="U6" s="47"/>
      <c r="V6" s="93"/>
      <c r="W6" s="47" t="str">
        <f>Dates!W3</f>
      </c>
      <c r="X6" s="47"/>
      <c r="Y6" s="47"/>
      <c r="Z6" s="47"/>
      <c r="AA6" s="93"/>
      <c r="AB6" s="47" t="str">
        <f>Dates!AB3</f>
      </c>
      <c r="AC6" s="47"/>
      <c r="AD6" s="47"/>
      <c r="AE6" s="47"/>
      <c r="AF6" s="93"/>
      <c r="AG6" s="47" t="str">
        <f>Dates!AG3</f>
      </c>
      <c r="AH6" s="47"/>
      <c r="AI6" s="47"/>
      <c r="AJ6" s="47"/>
      <c r="AK6" s="93"/>
      <c r="AL6" s="47" t="str">
        <f>Dates!AL3</f>
      </c>
      <c r="AM6" s="47"/>
      <c r="AN6" s="47"/>
      <c r="AO6" s="47"/>
      <c r="AP6" s="93"/>
      <c r="AQ6" s="47" t="str">
        <f>Dates!AQ3</f>
      </c>
      <c r="AR6" s="47"/>
      <c r="AS6" s="47"/>
      <c r="AT6" s="47"/>
      <c r="AU6" s="93"/>
      <c r="AV6" s="47" t="str">
        <f>Dates!AV3</f>
      </c>
      <c r="AW6" s="47"/>
      <c r="AX6" s="47"/>
      <c r="AY6" s="47"/>
      <c r="AZ6" s="93"/>
      <c r="BA6" s="47" t="str">
        <f>Dates!BA3</f>
      </c>
      <c r="BB6" s="47"/>
      <c r="BC6" s="47"/>
      <c r="BD6" s="47"/>
      <c r="BE6" s="93"/>
      <c r="BF6" s="47" t="str">
        <f>Dates!BF3</f>
      </c>
      <c r="BG6" s="47"/>
      <c r="BH6" s="47"/>
      <c r="BI6" s="47"/>
      <c r="BJ6" s="93"/>
      <c r="BK6" s="47" t="str">
        <f>Dates!BK3</f>
      </c>
      <c r="BL6" s="47"/>
      <c r="BM6" s="47"/>
      <c r="BN6" s="47"/>
      <c r="BO6" s="93"/>
      <c r="BP6" s="47" t="str">
        <f>Dates!BP3</f>
      </c>
      <c r="BQ6" s="47"/>
      <c r="BR6" s="47"/>
      <c r="BS6" s="47"/>
      <c r="BT6" s="93"/>
      <c r="BU6" s="47" t="str">
        <f>Dates!BU3</f>
      </c>
      <c r="BV6" s="47"/>
      <c r="BW6" s="47"/>
      <c r="BX6" s="47"/>
      <c r="BY6" s="93"/>
      <c r="BZ6" s="47" t="str">
        <f>Dates!BZ3</f>
      </c>
      <c r="CA6" s="47"/>
      <c r="CB6" s="47"/>
      <c r="CC6" s="47"/>
      <c r="CD6" s="93"/>
      <c r="CE6" s="47" t="str">
        <f>Dates!CE3</f>
      </c>
      <c r="CF6" s="47"/>
      <c r="CG6" s="47"/>
      <c r="CH6" s="47"/>
      <c r="CI6" s="93"/>
      <c r="CJ6" s="47" t="str">
        <f>Dates!CJ3</f>
      </c>
      <c r="CK6" s="47"/>
      <c r="CL6" s="47"/>
      <c r="CM6" s="47"/>
      <c r="CN6" s="93"/>
      <c r="CO6" s="47" t="str">
        <f>Dates!CO3</f>
      </c>
      <c r="CP6" s="47"/>
      <c r="CQ6" s="47"/>
      <c r="CR6" s="47"/>
      <c r="CS6" s="93"/>
      <c r="CT6" s="47" t="str">
        <f>Dates!CT3</f>
      </c>
      <c r="CU6" s="47"/>
      <c r="CV6" s="47"/>
      <c r="CW6" s="47"/>
      <c r="CX6" s="93"/>
      <c r="CY6" s="47" t="str">
        <f>Dates!CY3</f>
      </c>
      <c r="CZ6" s="47"/>
      <c r="DA6" s="47"/>
      <c r="DB6" s="47"/>
      <c r="DC6" s="93"/>
      <c r="DD6" s="47" t="str">
        <f>Dates!DD3</f>
      </c>
      <c r="DE6" s="47"/>
      <c r="DF6" s="47"/>
      <c r="DG6" s="47"/>
      <c r="DH6" s="93"/>
      <c r="DI6" s="47" t="str">
        <f>Dates!DI3</f>
      </c>
      <c r="DJ6" s="47"/>
      <c r="DK6" s="47"/>
      <c r="DL6" s="47"/>
      <c r="DM6" s="93"/>
      <c r="DN6" s="47" t="str">
        <f>Dates!DN3</f>
      </c>
      <c r="DO6" s="47"/>
      <c r="DP6" s="47"/>
      <c r="DQ6" s="47"/>
      <c r="DR6" s="93"/>
      <c r="DS6" s="47" t="str">
        <f>Dates!DS3</f>
      </c>
      <c r="DT6" s="47"/>
      <c r="DU6" s="47"/>
      <c r="DV6" s="47"/>
      <c r="DW6" s="93"/>
      <c r="DX6" s="47" t="str">
        <f>Dates!DX3</f>
      </c>
      <c r="DY6" s="47"/>
      <c r="DZ6" s="47"/>
      <c r="EA6" s="47"/>
      <c r="EB6" s="93"/>
      <c r="EC6" s="47" t="str">
        <f>Dates!EC3</f>
      </c>
      <c r="ED6" s="47"/>
      <c r="EE6" s="47"/>
      <c r="EF6" s="47"/>
      <c r="EG6" s="93"/>
      <c r="EH6" s="47" t="str">
        <f>Dates!EH3</f>
      </c>
      <c r="EI6" s="47"/>
      <c r="EJ6" s="47"/>
      <c r="EK6" s="47"/>
      <c r="EL6" s="93"/>
      <c r="EM6" s="47" t="str">
        <f>Dates!EM3</f>
      </c>
      <c r="EN6" s="47"/>
      <c r="EO6" s="47"/>
      <c r="EP6" s="47"/>
      <c r="EQ6" s="93"/>
      <c r="ER6" s="47" t="str">
        <f>Dates!ER3</f>
      </c>
      <c r="ES6" s="47"/>
      <c r="ET6" s="47"/>
      <c r="EU6" s="47"/>
      <c r="EV6" s="93"/>
      <c r="EW6" s="47" t="str">
        <f>Dates!EW3</f>
      </c>
      <c r="EX6" s="47"/>
      <c r="EY6" s="47"/>
      <c r="EZ6" s="47"/>
      <c r="FA6" s="93"/>
      <c r="FB6" s="47" t="str">
        <f>Dates!FB3</f>
      </c>
      <c r="FC6" s="47"/>
      <c r="FD6" s="47"/>
      <c r="FE6" s="47"/>
      <c r="FF6" s="93"/>
      <c r="FG6" s="47" t="str">
        <f>Dates!FG3</f>
      </c>
      <c r="FH6" s="47"/>
      <c r="FI6" s="47"/>
      <c r="FJ6" s="47"/>
      <c r="FK6" s="93"/>
      <c r="FL6" s="47" t="str">
        <f>Dates!FL3</f>
      </c>
      <c r="FM6" s="47"/>
      <c r="FN6" s="47"/>
      <c r="FO6" s="47"/>
      <c r="FP6" s="93"/>
      <c r="FQ6" s="47" t="str">
        <f>Dates!FQ3</f>
      </c>
      <c r="FR6" s="47"/>
      <c r="FS6" s="47"/>
      <c r="FT6" s="47"/>
      <c r="FU6" s="93"/>
      <c r="FV6" s="47" t="str">
        <f>Dates!FV3</f>
      </c>
      <c r="FW6" s="47"/>
      <c r="FX6" s="47"/>
      <c r="FY6" s="47"/>
      <c r="FZ6" s="93"/>
      <c r="GA6" s="47" t="str">
        <f>Dates!GA3</f>
      </c>
      <c r="GB6" s="47"/>
      <c r="GC6" s="47"/>
      <c r="GD6" s="47"/>
      <c r="GE6" s="93"/>
      <c r="GF6" s="47" t="str">
        <f>Dates!GF3</f>
      </c>
      <c r="GG6" s="47"/>
      <c r="GH6" s="47"/>
      <c r="GI6" s="47"/>
      <c r="GJ6" s="93"/>
    </row>
    <row r="7" spans="1:192" ht="12.75" customHeight="1">
      <c r="C7" s="96" t="str">
        <f>Dates!C4</f>
      </c>
      <c r="D7" s="96" t="str">
        <f>Dates!D4</f>
      </c>
      <c r="E7" s="96" t="str">
        <f>Dates!E4</f>
      </c>
      <c r="F7" s="96" t="str">
        <f>Dates!F4</f>
      </c>
      <c r="G7" s="97" t="str">
        <f>Dates!G4</f>
      </c>
      <c r="H7" s="96" t="str">
        <f>Dates!H4</f>
      </c>
      <c r="I7" s="96" t="str">
        <f>Dates!I4</f>
      </c>
      <c r="J7" s="96" t="str">
        <f>Dates!J4</f>
      </c>
      <c r="K7" s="96" t="str">
        <f>Dates!K4</f>
      </c>
      <c r="L7" s="97" t="str">
        <f>Dates!L4</f>
      </c>
      <c r="M7" s="96" t="str">
        <f>Dates!M4</f>
      </c>
      <c r="N7" s="96" t="str">
        <f>Dates!N4</f>
      </c>
      <c r="O7" s="96" t="str">
        <f>Dates!O4</f>
      </c>
      <c r="P7" s="96" t="str">
        <f>Dates!P4</f>
      </c>
      <c r="Q7" s="97" t="str">
        <f>Dates!Q4</f>
      </c>
      <c r="R7" s="96" t="str">
        <f>Dates!R4</f>
      </c>
      <c r="S7" s="96" t="str">
        <f>Dates!S4</f>
      </c>
      <c r="T7" s="96" t="str">
        <f>Dates!T4</f>
      </c>
      <c r="U7" s="96" t="str">
        <f>Dates!U4</f>
      </c>
      <c r="V7" s="97" t="str">
        <f>Dates!V4</f>
      </c>
      <c r="W7" s="96" t="str">
        <f>Dates!W4</f>
      </c>
      <c r="X7" s="96" t="str">
        <f>Dates!X4</f>
      </c>
      <c r="Y7" s="96" t="str">
        <f>Dates!Y4</f>
      </c>
      <c r="Z7" s="96" t="str">
        <f>Dates!Z4</f>
      </c>
      <c r="AA7" s="97" t="str">
        <f>Dates!AA4</f>
      </c>
      <c r="AB7" s="96" t="str">
        <f>Dates!AB4</f>
      </c>
      <c r="AC7" s="96" t="str">
        <f>Dates!AC4</f>
      </c>
      <c r="AD7" s="96" t="str">
        <f>Dates!AD4</f>
      </c>
      <c r="AE7" s="96" t="str">
        <f>Dates!AE4</f>
      </c>
      <c r="AF7" s="97" t="str">
        <f>Dates!AF4</f>
      </c>
      <c r="AG7" s="96" t="str">
        <f>Dates!AG4</f>
      </c>
      <c r="AH7" s="96" t="str">
        <f>Dates!AH4</f>
      </c>
      <c r="AI7" s="96" t="str">
        <f>Dates!AI4</f>
      </c>
      <c r="AJ7" s="96" t="str">
        <f>Dates!AJ4</f>
      </c>
      <c r="AK7" s="97" t="str">
        <f>Dates!AK4</f>
      </c>
      <c r="AL7" s="96" t="str">
        <f>Dates!AL4</f>
      </c>
      <c r="AM7" s="96" t="str">
        <f>Dates!AM4</f>
      </c>
      <c r="AN7" s="96" t="str">
        <f>Dates!AN4</f>
      </c>
      <c r="AO7" s="96" t="str">
        <f>Dates!AO4</f>
      </c>
      <c r="AP7" s="97" t="str">
        <f>Dates!AP4</f>
      </c>
      <c r="AQ7" s="96" t="str">
        <f>Dates!AQ4</f>
      </c>
      <c r="AR7" s="96" t="str">
        <f>Dates!AR4</f>
      </c>
      <c r="AS7" s="96" t="str">
        <f>Dates!AS4</f>
      </c>
      <c r="AT7" s="96" t="str">
        <f>Dates!AT4</f>
      </c>
      <c r="AU7" s="97" t="str">
        <f>Dates!AU4</f>
      </c>
      <c r="AV7" s="96" t="str">
        <f>Dates!AV4</f>
      </c>
      <c r="AW7" s="96" t="str">
        <f>Dates!AW4</f>
      </c>
      <c r="AX7" s="96" t="str">
        <f>Dates!AX4</f>
      </c>
      <c r="AY7" s="96" t="str">
        <f>Dates!AY4</f>
      </c>
      <c r="AZ7" s="97" t="str">
        <f>Dates!AZ4</f>
      </c>
      <c r="BA7" s="96" t="str">
        <f>Dates!BA4</f>
      </c>
      <c r="BB7" s="96" t="str">
        <f>Dates!BB4</f>
      </c>
      <c r="BC7" s="96" t="str">
        <f>Dates!BC4</f>
      </c>
      <c r="BD7" s="96" t="str">
        <f>Dates!BD4</f>
      </c>
      <c r="BE7" s="97" t="str">
        <f>Dates!BE4</f>
      </c>
      <c r="BF7" s="96" t="str">
        <f>Dates!BF4</f>
      </c>
      <c r="BG7" s="96" t="str">
        <f>Dates!BG4</f>
      </c>
      <c r="BH7" s="96" t="str">
        <f>Dates!BH4</f>
      </c>
      <c r="BI7" s="96" t="str">
        <f>Dates!BI4</f>
      </c>
      <c r="BJ7" s="97" t="str">
        <f>Dates!BJ4</f>
      </c>
      <c r="BK7" s="96" t="str">
        <f>Dates!BK4</f>
      </c>
      <c r="BL7" s="96" t="str">
        <f>Dates!BL4</f>
      </c>
      <c r="BM7" s="96" t="str">
        <f>Dates!BM4</f>
      </c>
      <c r="BN7" s="96" t="str">
        <f>Dates!BN4</f>
      </c>
      <c r="BO7" s="97" t="str">
        <f>Dates!BO4</f>
      </c>
      <c r="BP7" s="96" t="str">
        <f>Dates!BP4</f>
      </c>
      <c r="BQ7" s="96" t="str">
        <f>Dates!BQ4</f>
      </c>
      <c r="BR7" s="96" t="str">
        <f>Dates!BR4</f>
      </c>
      <c r="BS7" s="96" t="str">
        <f>Dates!BS4</f>
      </c>
      <c r="BT7" s="97" t="str">
        <f>Dates!BT4</f>
      </c>
      <c r="BU7" s="96" t="str">
        <f>Dates!BU4</f>
      </c>
      <c r="BV7" s="96" t="str">
        <f>Dates!BV4</f>
      </c>
      <c r="BW7" s="96" t="str">
        <f>Dates!BW4</f>
      </c>
      <c r="BX7" s="96" t="str">
        <f>Dates!BX4</f>
      </c>
      <c r="BY7" s="97" t="str">
        <f>Dates!BY4</f>
      </c>
      <c r="BZ7" s="96" t="str">
        <f>Dates!BZ4</f>
      </c>
      <c r="CA7" s="96" t="str">
        <f>Dates!CA4</f>
      </c>
      <c r="CB7" s="96" t="str">
        <f>Dates!CB4</f>
      </c>
      <c r="CC7" s="96" t="str">
        <f>Dates!CC4</f>
      </c>
      <c r="CD7" s="97" t="str">
        <f>Dates!CD4</f>
      </c>
      <c r="CE7" s="96" t="str">
        <f>Dates!CE4</f>
      </c>
      <c r="CF7" s="96" t="str">
        <f>Dates!CF4</f>
      </c>
      <c r="CG7" s="96" t="str">
        <f>Dates!CG4</f>
      </c>
      <c r="CH7" s="96" t="str">
        <f>Dates!CH4</f>
      </c>
      <c r="CI7" s="97" t="str">
        <f>Dates!CI4</f>
      </c>
      <c r="CJ7" s="96" t="str">
        <f>Dates!CJ4</f>
      </c>
      <c r="CK7" s="96" t="str">
        <f>Dates!CK4</f>
      </c>
      <c r="CL7" s="96" t="str">
        <f>Dates!CL4</f>
      </c>
      <c r="CM7" s="96" t="str">
        <f>Dates!CM4</f>
      </c>
      <c r="CN7" s="97" t="str">
        <f>Dates!CN4</f>
      </c>
      <c r="CO7" s="96" t="str">
        <f>Dates!CO4</f>
      </c>
      <c r="CP7" s="96" t="str">
        <f>Dates!CP4</f>
      </c>
      <c r="CQ7" s="96" t="str">
        <f>Dates!CQ4</f>
      </c>
      <c r="CR7" s="96" t="str">
        <f>Dates!CR4</f>
      </c>
      <c r="CS7" s="97" t="str">
        <f>Dates!CS4</f>
      </c>
      <c r="CT7" s="96" t="str">
        <f>Dates!CT4</f>
      </c>
      <c r="CU7" s="96" t="str">
        <f>Dates!CU4</f>
      </c>
      <c r="CV7" s="96" t="str">
        <f>Dates!CV4</f>
      </c>
      <c r="CW7" s="96" t="str">
        <f>Dates!CW4</f>
      </c>
      <c r="CX7" s="97" t="str">
        <f>Dates!CX4</f>
      </c>
      <c r="CY7" s="96" t="str">
        <f>Dates!CY4</f>
      </c>
      <c r="CZ7" s="96" t="str">
        <f>Dates!CZ4</f>
      </c>
      <c r="DA7" s="96" t="str">
        <f>Dates!DA4</f>
      </c>
      <c r="DB7" s="96" t="str">
        <f>Dates!DB4</f>
      </c>
      <c r="DC7" s="97" t="str">
        <f>Dates!DC4</f>
      </c>
      <c r="DD7" s="96" t="str">
        <f>Dates!DD4</f>
      </c>
      <c r="DE7" s="96" t="str">
        <f>Dates!DE4</f>
      </c>
      <c r="DF7" s="96" t="str">
        <f>Dates!DF4</f>
      </c>
      <c r="DG7" s="96" t="str">
        <f>Dates!DG4</f>
      </c>
      <c r="DH7" s="97" t="str">
        <f>Dates!DH4</f>
      </c>
      <c r="DI7" s="96" t="str">
        <f>Dates!DI4</f>
      </c>
      <c r="DJ7" s="96" t="str">
        <f>Dates!DJ4</f>
      </c>
      <c r="DK7" s="96" t="str">
        <f>Dates!DK4</f>
      </c>
      <c r="DL7" s="96" t="str">
        <f>Dates!DL4</f>
      </c>
      <c r="DM7" s="97" t="str">
        <f>Dates!DM4</f>
      </c>
      <c r="DN7" s="96" t="str">
        <f>Dates!DN4</f>
      </c>
      <c r="DO7" s="96" t="str">
        <f>Dates!DO4</f>
      </c>
      <c r="DP7" s="96" t="str">
        <f>Dates!DP4</f>
      </c>
      <c r="DQ7" s="96" t="str">
        <f>Dates!DQ4</f>
      </c>
      <c r="DR7" s="97" t="str">
        <f>Dates!DR4</f>
      </c>
      <c r="DS7" s="96" t="str">
        <f>Dates!DS4</f>
      </c>
      <c r="DT7" s="96" t="str">
        <f>Dates!DT4</f>
      </c>
      <c r="DU7" s="96" t="str">
        <f>Dates!DU4</f>
      </c>
      <c r="DV7" s="96" t="str">
        <f>Dates!DV4</f>
      </c>
      <c r="DW7" s="97" t="str">
        <f>Dates!DW4</f>
      </c>
      <c r="DX7" s="96" t="str">
        <f>Dates!DX4</f>
      </c>
      <c r="DY7" s="96" t="str">
        <f>Dates!DY4</f>
      </c>
      <c r="DZ7" s="96" t="str">
        <f>Dates!DZ4</f>
      </c>
      <c r="EA7" s="96" t="str">
        <f>Dates!EA4</f>
      </c>
      <c r="EB7" s="97" t="str">
        <f>Dates!EB4</f>
      </c>
      <c r="EC7" s="96" t="str">
        <f>Dates!EC4</f>
      </c>
      <c r="ED7" s="96" t="str">
        <f>Dates!ED4</f>
      </c>
      <c r="EE7" s="96" t="str">
        <f>Dates!EE4</f>
      </c>
      <c r="EF7" s="96" t="str">
        <f>Dates!EF4</f>
      </c>
      <c r="EG7" s="97" t="str">
        <f>Dates!EG4</f>
      </c>
      <c r="EH7" s="96" t="str">
        <f>Dates!EH4</f>
      </c>
      <c r="EI7" s="96" t="str">
        <f>Dates!EI4</f>
      </c>
      <c r="EJ7" s="96" t="str">
        <f>Dates!EJ4</f>
      </c>
      <c r="EK7" s="96" t="str">
        <f>Dates!EK4</f>
      </c>
      <c r="EL7" s="97" t="str">
        <f>Dates!EL4</f>
      </c>
      <c r="EM7" s="96" t="str">
        <f>Dates!EM4</f>
      </c>
      <c r="EN7" s="96" t="str">
        <f>Dates!EN4</f>
      </c>
      <c r="EO7" s="96" t="str">
        <f>Dates!EO4</f>
      </c>
      <c r="EP7" s="96" t="str">
        <f>Dates!EP4</f>
      </c>
      <c r="EQ7" s="97" t="str">
        <f>Dates!EQ4</f>
      </c>
      <c r="ER7" s="96" t="str">
        <f>Dates!ER4</f>
      </c>
      <c r="ES7" s="96" t="str">
        <f>Dates!ES4</f>
      </c>
      <c r="ET7" s="96" t="str">
        <f>Dates!ET4</f>
      </c>
      <c r="EU7" s="96" t="str">
        <f>Dates!EU4</f>
      </c>
      <c r="EV7" s="97" t="str">
        <f>Dates!EV4</f>
      </c>
      <c r="EW7" s="96" t="str">
        <f>Dates!EW4</f>
      </c>
      <c r="EX7" s="96" t="str">
        <f>Dates!EX4</f>
      </c>
      <c r="EY7" s="96" t="str">
        <f>Dates!EY4</f>
      </c>
      <c r="EZ7" s="96" t="str">
        <f>Dates!EZ4</f>
      </c>
      <c r="FA7" s="97" t="str">
        <f>Dates!FA4</f>
      </c>
      <c r="FB7" s="96" t="str">
        <f>Dates!FB4</f>
      </c>
      <c r="FC7" s="96" t="str">
        <f>Dates!FC4</f>
      </c>
      <c r="FD7" s="96" t="str">
        <f>Dates!FD4</f>
      </c>
      <c r="FE7" s="96" t="str">
        <f>Dates!FE4</f>
      </c>
      <c r="FF7" s="97" t="str">
        <f>Dates!FF4</f>
      </c>
      <c r="FG7" s="96" t="str">
        <f>Dates!FG4</f>
      </c>
      <c r="FH7" s="96" t="str">
        <f>Dates!FH4</f>
      </c>
      <c r="FI7" s="96" t="str">
        <f>Dates!FI4</f>
      </c>
      <c r="FJ7" s="96" t="str">
        <f>Dates!FJ4</f>
      </c>
      <c r="FK7" s="97" t="str">
        <f>Dates!FK4</f>
      </c>
      <c r="FL7" s="96" t="str">
        <f>Dates!FL4</f>
      </c>
      <c r="FM7" s="96" t="str">
        <f>Dates!FM4</f>
      </c>
      <c r="FN7" s="96" t="str">
        <f>Dates!FN4</f>
      </c>
      <c r="FO7" s="96" t="str">
        <f>Dates!FO4</f>
      </c>
      <c r="FP7" s="97" t="str">
        <f>Dates!FP4</f>
      </c>
      <c r="FQ7" s="96" t="str">
        <f>Dates!FQ4</f>
      </c>
      <c r="FR7" s="96" t="str">
        <f>Dates!FR4</f>
      </c>
      <c r="FS7" s="96" t="str">
        <f>Dates!FS4</f>
      </c>
      <c r="FT7" s="96" t="str">
        <f>Dates!FT4</f>
      </c>
      <c r="FU7" s="97" t="str">
        <f>Dates!FU4</f>
      </c>
      <c r="FV7" s="96" t="str">
        <f>Dates!FV4</f>
      </c>
      <c r="FW7" s="96" t="str">
        <f>Dates!FW4</f>
      </c>
      <c r="FX7" s="96" t="str">
        <f>Dates!FX4</f>
      </c>
      <c r="FY7" s="96" t="str">
        <f>Dates!FY4</f>
      </c>
      <c r="FZ7" s="97" t="str">
        <f>Dates!FZ4</f>
      </c>
      <c r="GA7" s="96" t="str">
        <f>Dates!GA4</f>
      </c>
      <c r="GB7" s="96" t="str">
        <f>Dates!GB4</f>
      </c>
      <c r="GC7" s="96" t="str">
        <f>Dates!GC4</f>
      </c>
      <c r="GD7" s="96" t="str">
        <f>Dates!GD4</f>
      </c>
      <c r="GE7" s="97" t="str">
        <f>Dates!GE4</f>
      </c>
      <c r="GF7" s="96" t="str">
        <f>Dates!GF4</f>
      </c>
      <c r="GG7" s="96" t="str">
        <f>Dates!GG4</f>
      </c>
      <c r="GH7" s="96" t="str">
        <f>Dates!GH4</f>
      </c>
      <c r="GI7" s="96" t="str">
        <f>Dates!GI4</f>
      </c>
      <c r="GJ7" s="97" t="str">
        <f>Dates!GJ4</f>
      </c>
    </row>
    <row r="8" spans="1:192" ht="12.75" customHeight="1">
      <c r="C8" s="98">
        <f>Dates!C5</f>
      </c>
      <c r="D8" s="98">
        <f>Dates!D5</f>
      </c>
      <c r="E8" s="98">
        <f>Dates!E5</f>
      </c>
      <c r="F8" s="98">
        <f>Dates!F5</f>
      </c>
      <c r="G8" s="99">
        <f>Dates!G5</f>
      </c>
      <c r="H8" s="98">
        <f>Dates!H5</f>
      </c>
      <c r="I8" s="98">
        <f>Dates!I5</f>
      </c>
      <c r="J8" s="98">
        <f>Dates!J5</f>
      </c>
      <c r="K8" s="98">
        <f>Dates!K5</f>
      </c>
      <c r="L8" s="99">
        <f>Dates!L5</f>
      </c>
      <c r="M8" s="98">
        <f>Dates!M5</f>
      </c>
      <c r="N8" s="98">
        <f>Dates!N5</f>
      </c>
      <c r="O8" s="98">
        <f>Dates!O5</f>
      </c>
      <c r="P8" s="98">
        <f>Dates!P5</f>
      </c>
      <c r="Q8" s="99">
        <f>Dates!Q5</f>
      </c>
      <c r="R8" s="98">
        <f>Dates!R5</f>
      </c>
      <c r="S8" s="98">
        <f>Dates!S5</f>
      </c>
      <c r="T8" s="98">
        <f>Dates!T5</f>
      </c>
      <c r="U8" s="98">
        <f>Dates!U5</f>
      </c>
      <c r="V8" s="99">
        <f>Dates!V5</f>
      </c>
      <c r="W8" s="98">
        <f>Dates!W5</f>
      </c>
      <c r="X8" s="98">
        <f>Dates!X5</f>
      </c>
      <c r="Y8" s="98">
        <f>Dates!Y5</f>
      </c>
      <c r="Z8" s="98">
        <f>Dates!Z5</f>
      </c>
      <c r="AA8" s="99">
        <f>Dates!AA5</f>
      </c>
      <c r="AB8" s="98">
        <f>Dates!AB5</f>
      </c>
      <c r="AC8" s="98">
        <f>Dates!AC5</f>
      </c>
      <c r="AD8" s="98">
        <f>Dates!AD5</f>
      </c>
      <c r="AE8" s="98">
        <f>Dates!AE5</f>
      </c>
      <c r="AF8" s="99">
        <f>Dates!AF5</f>
      </c>
      <c r="AG8" s="98">
        <f>Dates!AG5</f>
      </c>
      <c r="AH8" s="98">
        <f>Dates!AH5</f>
      </c>
      <c r="AI8" s="98">
        <f>Dates!AI5</f>
      </c>
      <c r="AJ8" s="98">
        <f>Dates!AJ5</f>
      </c>
      <c r="AK8" s="99">
        <f>Dates!AK5</f>
      </c>
      <c r="AL8" s="98">
        <f>Dates!AL5</f>
      </c>
      <c r="AM8" s="98">
        <f>Dates!AM5</f>
      </c>
      <c r="AN8" s="98">
        <f>Dates!AN5</f>
      </c>
      <c r="AO8" s="98">
        <f>Dates!AO5</f>
      </c>
      <c r="AP8" s="99">
        <f>Dates!AP5</f>
      </c>
      <c r="AQ8" s="98">
        <f>Dates!AQ5</f>
      </c>
      <c r="AR8" s="98">
        <f>Dates!AR5</f>
      </c>
      <c r="AS8" s="98">
        <f>Dates!AS5</f>
      </c>
      <c r="AT8" s="98">
        <f>Dates!AT5</f>
      </c>
      <c r="AU8" s="99">
        <f>Dates!AU5</f>
      </c>
      <c r="AV8" s="98">
        <f>Dates!AV5</f>
      </c>
      <c r="AW8" s="98">
        <f>Dates!AW5</f>
      </c>
      <c r="AX8" s="98">
        <f>Dates!AX5</f>
      </c>
      <c r="AY8" s="98">
        <f>Dates!AY5</f>
      </c>
      <c r="AZ8" s="99">
        <f>Dates!AZ5</f>
      </c>
      <c r="BA8" s="98">
        <f>Dates!BA5</f>
      </c>
      <c r="BB8" s="98">
        <f>Dates!BB5</f>
      </c>
      <c r="BC8" s="98">
        <f>Dates!BC5</f>
      </c>
      <c r="BD8" s="98">
        <f>Dates!BD5</f>
      </c>
      <c r="BE8" s="99">
        <f>Dates!BE5</f>
      </c>
      <c r="BF8" s="98">
        <f>Dates!BF5</f>
      </c>
      <c r="BG8" s="98">
        <f>Dates!BG5</f>
      </c>
      <c r="BH8" s="98">
        <f>Dates!BH5</f>
      </c>
      <c r="BI8" s="98">
        <f>Dates!BI5</f>
      </c>
      <c r="BJ8" s="99">
        <f>Dates!BJ5</f>
      </c>
      <c r="BK8" s="98">
        <f>Dates!BK5</f>
      </c>
      <c r="BL8" s="98">
        <f>Dates!BL5</f>
      </c>
      <c r="BM8" s="98">
        <f>Dates!BM5</f>
      </c>
      <c r="BN8" s="98">
        <f>Dates!BN5</f>
      </c>
      <c r="BO8" s="99">
        <f>Dates!BO5</f>
      </c>
      <c r="BP8" s="98">
        <f>Dates!BP5</f>
      </c>
      <c r="BQ8" s="98">
        <f>Dates!BQ5</f>
      </c>
      <c r="BR8" s="98">
        <f>Dates!BR5</f>
      </c>
      <c r="BS8" s="98">
        <f>Dates!BS5</f>
      </c>
      <c r="BT8" s="99">
        <f>Dates!BT5</f>
      </c>
      <c r="BU8" s="98">
        <f>Dates!BU5</f>
      </c>
      <c r="BV8" s="98">
        <f>Dates!BV5</f>
      </c>
      <c r="BW8" s="98">
        <f>Dates!BW5</f>
      </c>
      <c r="BX8" s="98">
        <f>Dates!BX5</f>
      </c>
      <c r="BY8" s="99">
        <f>Dates!BY5</f>
      </c>
      <c r="BZ8" s="98">
        <f>Dates!BZ5</f>
      </c>
      <c r="CA8" s="98">
        <f>Dates!CA5</f>
      </c>
      <c r="CB8" s="98">
        <f>Dates!CB5</f>
      </c>
      <c r="CC8" s="98">
        <f>Dates!CC5</f>
      </c>
      <c r="CD8" s="99">
        <f>Dates!CD5</f>
      </c>
      <c r="CE8" s="98">
        <f>Dates!CE5</f>
      </c>
      <c r="CF8" s="98">
        <f>Dates!CF5</f>
      </c>
      <c r="CG8" s="98">
        <f>Dates!CG5</f>
      </c>
      <c r="CH8" s="98">
        <f>Dates!CH5</f>
      </c>
      <c r="CI8" s="99">
        <f>Dates!CI5</f>
      </c>
      <c r="CJ8" s="98">
        <f>Dates!CJ5</f>
      </c>
      <c r="CK8" s="98">
        <f>Dates!CK5</f>
      </c>
      <c r="CL8" s="98">
        <f>Dates!CL5</f>
      </c>
      <c r="CM8" s="98">
        <f>Dates!CM5</f>
      </c>
      <c r="CN8" s="99">
        <f>Dates!CN5</f>
      </c>
      <c r="CO8" s="98">
        <f>Dates!CO5</f>
      </c>
      <c r="CP8" s="98">
        <f>Dates!CP5</f>
      </c>
      <c r="CQ8" s="98">
        <f>Dates!CQ5</f>
      </c>
      <c r="CR8" s="98">
        <f>Dates!CR5</f>
      </c>
      <c r="CS8" s="99">
        <f>Dates!CS5</f>
      </c>
      <c r="CT8" s="98">
        <f>Dates!CT5</f>
      </c>
      <c r="CU8" s="98">
        <f>Dates!CU5</f>
      </c>
      <c r="CV8" s="98">
        <f>Dates!CV5</f>
      </c>
      <c r="CW8" s="98">
        <f>Dates!CW5</f>
      </c>
      <c r="CX8" s="99">
        <f>Dates!CX5</f>
      </c>
      <c r="CY8" s="98">
        <f>Dates!CY5</f>
      </c>
      <c r="CZ8" s="98">
        <f>Dates!CZ5</f>
      </c>
      <c r="DA8" s="98">
        <f>Dates!DA5</f>
      </c>
      <c r="DB8" s="98">
        <f>Dates!DB5</f>
      </c>
      <c r="DC8" s="99">
        <f>Dates!DC5</f>
      </c>
      <c r="DD8" s="98">
        <f>Dates!DD5</f>
      </c>
      <c r="DE8" s="98">
        <f>Dates!DE5</f>
      </c>
      <c r="DF8" s="98">
        <f>Dates!DF5</f>
      </c>
      <c r="DG8" s="98">
        <f>Dates!DG5</f>
      </c>
      <c r="DH8" s="99">
        <f>Dates!DH5</f>
      </c>
      <c r="DI8" s="98">
        <f>Dates!DI5</f>
      </c>
      <c r="DJ8" s="98">
        <f>Dates!DJ5</f>
      </c>
      <c r="DK8" s="98">
        <f>Dates!DK5</f>
      </c>
      <c r="DL8" s="98">
        <f>Dates!DL5</f>
      </c>
      <c r="DM8" s="99">
        <f>Dates!DM5</f>
      </c>
      <c r="DN8" s="98">
        <f>Dates!DN5</f>
      </c>
      <c r="DO8" s="98">
        <f>Dates!DO5</f>
      </c>
      <c r="DP8" s="98">
        <f>Dates!DP5</f>
      </c>
      <c r="DQ8" s="98">
        <f>Dates!DQ5</f>
      </c>
      <c r="DR8" s="99">
        <f>Dates!DR5</f>
      </c>
      <c r="DS8" s="98">
        <f>Dates!DS5</f>
      </c>
      <c r="DT8" s="98">
        <f>Dates!DT5</f>
      </c>
      <c r="DU8" s="98">
        <f>Dates!DU5</f>
      </c>
      <c r="DV8" s="98">
        <f>Dates!DV5</f>
      </c>
      <c r="DW8" s="99">
        <f>Dates!DW5</f>
      </c>
      <c r="DX8" s="98">
        <f>Dates!DX5</f>
      </c>
      <c r="DY8" s="98">
        <f>Dates!DY5</f>
      </c>
      <c r="DZ8" s="98">
        <f>Dates!DZ5</f>
      </c>
      <c r="EA8" s="98">
        <f>Dates!EA5</f>
      </c>
      <c r="EB8" s="99">
        <f>Dates!EB5</f>
      </c>
      <c r="EC8" s="98">
        <f>Dates!EC5</f>
      </c>
      <c r="ED8" s="98">
        <f>Dates!ED5</f>
      </c>
      <c r="EE8" s="98">
        <f>Dates!EE5</f>
      </c>
      <c r="EF8" s="98">
        <f>Dates!EF5</f>
      </c>
      <c r="EG8" s="99">
        <f>Dates!EG5</f>
      </c>
      <c r="EH8" s="98">
        <f>Dates!EH5</f>
      </c>
      <c r="EI8" s="98">
        <f>Dates!EI5</f>
      </c>
      <c r="EJ8" s="98">
        <f>Dates!EJ5</f>
      </c>
      <c r="EK8" s="98">
        <f>Dates!EK5</f>
      </c>
      <c r="EL8" s="99">
        <f>Dates!EL5</f>
      </c>
      <c r="EM8" s="98">
        <f>Dates!EM5</f>
      </c>
      <c r="EN8" s="98">
        <f>Dates!EN5</f>
      </c>
      <c r="EO8" s="98">
        <f>Dates!EO5</f>
      </c>
      <c r="EP8" s="98">
        <f>Dates!EP5</f>
      </c>
      <c r="EQ8" s="99">
        <f>Dates!EQ5</f>
      </c>
      <c r="ER8" s="98">
        <f>Dates!ER5</f>
      </c>
      <c r="ES8" s="98">
        <f>Dates!ES5</f>
      </c>
      <c r="ET8" s="98">
        <f>Dates!ET5</f>
      </c>
      <c r="EU8" s="98">
        <f>Dates!EU5</f>
      </c>
      <c r="EV8" s="99">
        <f>Dates!EV5</f>
      </c>
      <c r="EW8" s="98">
        <f>Dates!EW5</f>
      </c>
      <c r="EX8" s="98">
        <f>Dates!EX5</f>
      </c>
      <c r="EY8" s="98">
        <f>Dates!EY5</f>
      </c>
      <c r="EZ8" s="98">
        <f>Dates!EZ5</f>
      </c>
      <c r="FA8" s="99">
        <f>Dates!FA5</f>
      </c>
      <c r="FB8" s="98">
        <f>Dates!FB5</f>
      </c>
      <c r="FC8" s="98">
        <f>Dates!FC5</f>
      </c>
      <c r="FD8" s="98">
        <f>Dates!FD5</f>
      </c>
      <c r="FE8" s="98">
        <f>Dates!FE5</f>
      </c>
      <c r="FF8" s="99">
        <f>Dates!FF5</f>
      </c>
      <c r="FG8" s="98">
        <f>Dates!FG5</f>
      </c>
      <c r="FH8" s="98">
        <f>Dates!FH5</f>
      </c>
      <c r="FI8" s="98">
        <f>Dates!FI5</f>
      </c>
      <c r="FJ8" s="98">
        <f>Dates!FJ5</f>
      </c>
      <c r="FK8" s="99">
        <f>Dates!FK5</f>
      </c>
      <c r="FL8" s="98">
        <f>Dates!FL5</f>
      </c>
      <c r="FM8" s="98">
        <f>Dates!FM5</f>
      </c>
      <c r="FN8" s="98">
        <f>Dates!FN5</f>
      </c>
      <c r="FO8" s="98">
        <f>Dates!FO5</f>
      </c>
      <c r="FP8" s="99">
        <f>Dates!FP5</f>
      </c>
      <c r="FQ8" s="98">
        <f>Dates!FQ5</f>
      </c>
      <c r="FR8" s="98">
        <f>Dates!FR5</f>
      </c>
      <c r="FS8" s="98">
        <f>Dates!FS5</f>
      </c>
      <c r="FT8" s="98">
        <f>Dates!FT5</f>
      </c>
      <c r="FU8" s="99">
        <f>Dates!FU5</f>
      </c>
      <c r="FV8" s="98">
        <f>Dates!FV5</f>
      </c>
      <c r="FW8" s="98">
        <f>Dates!FW5</f>
      </c>
      <c r="FX8" s="98">
        <f>Dates!FX5</f>
      </c>
      <c r="FY8" s="98">
        <f>Dates!FY5</f>
      </c>
      <c r="FZ8" s="99">
        <f>Dates!FZ5</f>
      </c>
      <c r="GA8" s="98">
        <f>Dates!GA5</f>
      </c>
      <c r="GB8" s="98">
        <f>Dates!GB5</f>
      </c>
      <c r="GC8" s="98">
        <f>Dates!GC5</f>
      </c>
      <c r="GD8" s="98">
        <f>Dates!GD5</f>
      </c>
      <c r="GE8" s="99">
        <f>Dates!GE5</f>
      </c>
      <c r="GF8" s="98">
        <f>Dates!GF5</f>
      </c>
      <c r="GG8" s="98">
        <f>Dates!GG5</f>
      </c>
      <c r="GH8" s="98">
        <f>Dates!GH5</f>
      </c>
      <c r="GI8" s="98">
        <f>Dates!GI5</f>
      </c>
      <c r="GJ8" s="99">
        <f>Dates!GJ5</f>
      </c>
    </row>
    <row r="9" spans="1:192" ht="12.75" customHeight="1">
      <c r="C9" s="289"/>
      <c r="D9" s="289"/>
      <c r="E9" s="289"/>
      <c r="F9" s="289"/>
      <c r="G9" s="290"/>
      <c r="H9" s="289"/>
      <c r="I9" s="289"/>
      <c r="J9" s="289"/>
      <c r="K9" s="289"/>
      <c r="L9" s="290"/>
      <c r="M9" s="289"/>
      <c r="N9" s="289"/>
      <c r="O9" s="289"/>
      <c r="P9" s="289"/>
      <c r="Q9" s="290"/>
      <c r="R9" s="289"/>
      <c r="S9" s="289"/>
      <c r="T9" s="289"/>
      <c r="U9" s="289"/>
      <c r="V9" s="290"/>
      <c r="W9" s="289"/>
      <c r="X9" s="289"/>
      <c r="Y9" s="289"/>
      <c r="Z9" s="289"/>
      <c r="AA9" s="290"/>
      <c r="AB9" s="289"/>
      <c r="AC9" s="289"/>
      <c r="AD9" s="289"/>
      <c r="AE9" s="289"/>
      <c r="AF9" s="290"/>
      <c r="AG9" s="289"/>
      <c r="AH9" s="289"/>
      <c r="AI9" s="289"/>
      <c r="AJ9" s="289"/>
      <c r="AK9" s="290"/>
      <c r="AL9" s="289"/>
      <c r="AM9" s="289"/>
      <c r="AN9" s="289"/>
      <c r="AO9" s="289"/>
      <c r="AP9" s="290"/>
      <c r="AQ9" s="289"/>
      <c r="AR9" s="289"/>
      <c r="AS9" s="289"/>
      <c r="AT9" s="289"/>
      <c r="AU9" s="290"/>
      <c r="AV9" s="289"/>
      <c r="AW9" s="289"/>
      <c r="AX9" s="289"/>
      <c r="AY9" s="289"/>
      <c r="AZ9" s="290"/>
      <c r="BA9" s="289"/>
      <c r="BB9" s="289"/>
      <c r="BC9" s="289"/>
      <c r="BD9" s="289"/>
      <c r="BE9" s="290"/>
      <c r="BF9" s="289"/>
      <c r="BG9" s="289"/>
      <c r="BH9" s="289"/>
      <c r="BI9" s="289"/>
      <c r="BJ9" s="290"/>
      <c r="BK9" s="289"/>
      <c r="BL9" s="289"/>
      <c r="BM9" s="289"/>
      <c r="BN9" s="289"/>
      <c r="BO9" s="290"/>
      <c r="BP9" s="289"/>
      <c r="BQ9" s="289"/>
      <c r="BR9" s="289"/>
      <c r="BS9" s="289"/>
      <c r="BT9" s="290"/>
      <c r="BU9" s="289"/>
      <c r="BV9" s="289"/>
      <c r="BW9" s="289"/>
      <c r="BX9" s="289"/>
      <c r="BY9" s="290"/>
      <c r="BZ9" s="289"/>
      <c r="CA9" s="289"/>
      <c r="CB9" s="289"/>
      <c r="CC9" s="289"/>
      <c r="CD9" s="290"/>
      <c r="CE9" s="289"/>
      <c r="CF9" s="289"/>
      <c r="CG9" s="289"/>
      <c r="CH9" s="289"/>
      <c r="CI9" s="290"/>
      <c r="CJ9" s="289"/>
      <c r="CK9" s="289"/>
      <c r="CL9" s="289"/>
      <c r="CM9" s="289"/>
      <c r="CN9" s="290"/>
      <c r="CO9" s="289"/>
      <c r="CP9" s="289"/>
      <c r="CQ9" s="289"/>
      <c r="CR9" s="289"/>
      <c r="CS9" s="290"/>
      <c r="CT9" s="289"/>
      <c r="CU9" s="289"/>
      <c r="CV9" s="289"/>
      <c r="CW9" s="289"/>
      <c r="CX9" s="290"/>
      <c r="CY9" s="289"/>
      <c r="CZ9" s="289"/>
      <c r="DA9" s="289"/>
      <c r="DB9" s="289"/>
      <c r="DC9" s="290"/>
      <c r="DD9" s="289"/>
      <c r="DE9" s="289"/>
      <c r="DF9" s="289"/>
      <c r="DG9" s="289"/>
      <c r="DH9" s="290"/>
      <c r="DI9" s="289"/>
      <c r="DJ9" s="289"/>
      <c r="DK9" s="289"/>
      <c r="DL9" s="289"/>
      <c r="DM9" s="290"/>
      <c r="DN9" s="289"/>
      <c r="DO9" s="289"/>
      <c r="DP9" s="289"/>
      <c r="DQ9" s="289"/>
      <c r="DR9" s="290"/>
      <c r="DS9" s="289"/>
      <c r="DT9" s="289"/>
      <c r="DU9" s="289"/>
      <c r="DV9" s="289"/>
      <c r="DW9" s="290"/>
      <c r="DX9" s="289"/>
      <c r="DY9" s="289"/>
      <c r="DZ9" s="289"/>
      <c r="EA9" s="289"/>
      <c r="EB9" s="290"/>
      <c r="EC9" s="289"/>
      <c r="ED9" s="289"/>
      <c r="EE9" s="289"/>
      <c r="EF9" s="289"/>
      <c r="EG9" s="290"/>
      <c r="EH9" s="289"/>
      <c r="EI9" s="289"/>
      <c r="EJ9" s="289"/>
      <c r="EK9" s="289"/>
      <c r="EL9" s="290"/>
      <c r="EM9" s="412"/>
      <c r="EN9" s="114"/>
      <c r="EO9" s="412"/>
      <c r="EP9" s="412"/>
      <c r="EQ9" s="292"/>
      <c r="ER9" s="412"/>
      <c r="ES9" s="114"/>
      <c r="ET9" s="439"/>
      <c r="EU9" s="439"/>
      <c r="EV9" s="292"/>
      <c r="EW9" s="439"/>
      <c r="EX9" s="289"/>
      <c r="EY9" s="289"/>
      <c r="EZ9" s="289"/>
      <c r="FA9" s="290"/>
      <c r="FB9" s="289"/>
      <c r="FC9" s="289"/>
      <c r="FD9" s="289"/>
      <c r="FE9" s="289"/>
      <c r="FF9" s="290"/>
      <c r="FG9" s="289"/>
      <c r="FH9" s="289"/>
      <c r="FI9" s="289"/>
      <c r="FJ9" s="289"/>
      <c r="FK9" s="290"/>
      <c r="FL9" s="289"/>
      <c r="FM9" s="289"/>
      <c r="FN9" s="289"/>
      <c r="FO9" s="289"/>
      <c r="FP9" s="290"/>
      <c r="FQ9" s="289"/>
      <c r="FR9" s="289"/>
      <c r="FS9" s="289"/>
      <c r="FT9" s="289"/>
      <c r="FU9" s="290"/>
      <c r="FV9" s="289"/>
      <c r="FW9" s="289"/>
      <c r="FX9" s="289"/>
      <c r="FY9" s="289"/>
      <c r="FZ9" s="290"/>
      <c r="GA9" s="289"/>
      <c r="GB9" s="289"/>
      <c r="GC9" s="289"/>
      <c r="GD9" s="289"/>
      <c r="GE9" s="290"/>
      <c r="GF9" s="289"/>
      <c r="GG9" s="289"/>
      <c r="GH9" s="289"/>
      <c r="GI9" s="289"/>
      <c r="GJ9" s="290"/>
    </row>
    <row r="10" spans="1:192" s="317" customFormat="1" ht="12.75" customHeight="1">
      <c r="A10" s="1641" t="s">
        <v>327</v>
      </c>
      <c r="B10" s="730" t="s">
        <v>190</v>
      </c>
      <c r="C10" s="315"/>
      <c r="D10" s="315"/>
      <c r="E10" s="315"/>
      <c r="F10" s="315"/>
      <c r="G10" s="313"/>
      <c r="H10" s="315"/>
      <c r="I10" s="315"/>
      <c r="J10" s="315"/>
      <c r="K10" s="315"/>
      <c r="L10" s="313"/>
      <c r="M10" s="315"/>
      <c r="N10" s="315"/>
      <c r="O10" s="315"/>
      <c r="P10" s="315"/>
      <c r="Q10" s="313"/>
      <c r="R10" s="315"/>
      <c r="S10" s="315"/>
      <c r="T10" s="315"/>
      <c r="U10" s="315"/>
      <c r="V10" s="313"/>
      <c r="W10" s="315"/>
      <c r="X10" s="315"/>
      <c r="Y10" s="315"/>
      <c r="Z10" s="315"/>
      <c r="AA10" s="313"/>
      <c r="AB10" s="315"/>
      <c r="AC10" s="315"/>
      <c r="AD10" s="315"/>
      <c r="AE10" s="315"/>
      <c r="AF10" s="313"/>
      <c r="AG10" s="315"/>
      <c r="AH10" s="315"/>
      <c r="AI10" s="315"/>
      <c r="AJ10" s="315"/>
      <c r="AK10" s="313"/>
      <c r="AL10" s="315"/>
      <c r="AM10" s="315"/>
      <c r="AN10" s="315"/>
      <c r="AO10" s="315"/>
      <c r="AP10" s="313"/>
      <c r="AQ10" s="315"/>
      <c r="AR10" s="315"/>
      <c r="AS10" s="315"/>
      <c r="AT10" s="315"/>
      <c r="AU10" s="313"/>
      <c r="AV10" s="315"/>
      <c r="AW10" s="315"/>
      <c r="AX10" s="315"/>
      <c r="AY10" s="315"/>
      <c r="AZ10" s="313"/>
      <c r="BA10" s="315"/>
      <c r="BB10" s="315"/>
      <c r="BC10" s="315"/>
      <c r="BD10" s="315"/>
      <c r="BE10" s="313"/>
      <c r="BF10" s="315"/>
      <c r="BG10" s="315"/>
      <c r="BH10" s="315"/>
      <c r="BI10" s="315"/>
      <c r="BJ10" s="313"/>
      <c r="BK10" s="315"/>
      <c r="BL10" s="315"/>
      <c r="BM10" s="315"/>
      <c r="BN10" s="315"/>
      <c r="BO10" s="313"/>
      <c r="BP10" s="315"/>
      <c r="BQ10" s="315"/>
      <c r="BR10" s="315"/>
      <c r="BS10" s="315"/>
      <c r="BT10" s="313"/>
      <c r="BU10" s="315"/>
      <c r="BV10" s="315"/>
      <c r="BW10" s="315"/>
      <c r="BX10" s="315"/>
      <c r="BY10" s="313"/>
      <c r="BZ10" s="315"/>
      <c r="CA10" s="315"/>
      <c r="CB10" s="315"/>
      <c r="CC10" s="315"/>
      <c r="CD10" s="313"/>
      <c r="CE10" s="315"/>
      <c r="CF10" s="315"/>
      <c r="CG10" s="315"/>
      <c r="CH10" s="315"/>
      <c r="CI10" s="313"/>
      <c r="CJ10" s="315"/>
      <c r="CK10" s="315"/>
      <c r="CL10" s="315"/>
      <c r="CM10" s="315"/>
      <c r="CN10" s="313"/>
      <c r="CO10" s="315"/>
      <c r="CP10" s="315"/>
      <c r="CQ10" s="315"/>
      <c r="CR10" s="315"/>
      <c r="CS10" s="313"/>
      <c r="CT10" s="315"/>
      <c r="CU10" s="315"/>
      <c r="CV10" s="315"/>
      <c r="CW10" s="315"/>
      <c r="CX10" s="313"/>
      <c r="CY10" s="316"/>
      <c r="CZ10" s="316"/>
      <c r="DA10" s="316"/>
      <c r="DB10" s="316"/>
      <c r="DC10" s="313"/>
      <c r="DD10" s="316"/>
      <c r="DE10" s="316"/>
      <c r="DF10" s="316"/>
      <c r="DG10" s="316"/>
      <c r="DH10" s="313"/>
      <c r="DI10" s="1158"/>
      <c r="DJ10" s="1158"/>
      <c r="DK10" s="1158"/>
      <c r="DL10" s="1158"/>
      <c r="DM10" s="313"/>
      <c r="DN10" s="316"/>
      <c r="DO10" s="316"/>
      <c r="DP10" s="316"/>
      <c r="DQ10" s="316"/>
      <c r="DR10" s="313"/>
      <c r="DS10" s="316"/>
      <c r="DT10" s="316"/>
      <c r="DU10" s="1158"/>
      <c r="DV10" s="316"/>
      <c r="DW10" s="313"/>
      <c r="DX10" s="316"/>
      <c r="DY10" s="316"/>
      <c r="DZ10" s="316"/>
      <c r="EA10" s="316"/>
      <c r="EB10" s="313"/>
      <c r="EC10" s="316"/>
      <c r="ED10" s="316"/>
      <c r="EE10" s="316"/>
      <c r="EF10" s="316"/>
      <c r="EG10" s="313"/>
      <c r="EH10" s="316"/>
      <c r="EI10" s="316"/>
      <c r="EJ10" s="1158"/>
      <c r="EK10" s="316"/>
      <c r="EL10" s="313"/>
      <c r="EM10" s="316">
        <v>11163</v>
      </c>
      <c r="EN10" s="316">
        <v>12219</v>
      </c>
      <c r="EO10" s="316">
        <v>10687</v>
      </c>
      <c r="EP10" s="316">
        <v>10751</v>
      </c>
      <c r="EQ10" s="319">
        <f>SUM(EM10:EP10)</f>
      </c>
      <c r="ER10" s="316">
        <v>11278</v>
      </c>
      <c r="ES10" s="316">
        <v>14641</v>
      </c>
      <c r="ET10" s="1158">
        <v>12604</v>
      </c>
      <c r="EU10" s="1158">
        <v>12315</v>
      </c>
      <c r="EV10" s="319">
        <f>SUM(ER10:EU10)</f>
      </c>
      <c r="EW10" s="1158">
        <v>13176</v>
      </c>
      <c r="EX10" s="1158">
        <v>14651</v>
      </c>
      <c r="EY10" s="1158">
        <v>13371</v>
      </c>
      <c r="EZ10" s="1158">
        <v>13451</v>
      </c>
      <c r="FA10" s="319">
        <f>SUM(EW10:EZ10)</f>
      </c>
      <c r="FB10" s="312">
        <f>FB89+FB126+FB221</f>
      </c>
      <c r="FC10" s="312">
        <f>FC89+FC126+FC221</f>
      </c>
      <c r="FD10" s="1159">
        <f>FD89+FD126+FD221</f>
      </c>
      <c r="FE10" s="1159">
        <f>FE89+FE126+FE221</f>
      </c>
      <c r="FF10" s="319">
        <f>SUM(FB10:FE10)</f>
      </c>
      <c r="FG10" s="312">
        <f>FG89+FG126+FG221</f>
      </c>
      <c r="FH10" s="312">
        <f>FH89+FH126+FH221</f>
      </c>
      <c r="FI10" s="1159">
        <f>FI89+FI126+FI221</f>
      </c>
      <c r="FJ10" s="1159">
        <f>FJ89+FJ126+FJ221</f>
      </c>
      <c r="FK10" s="319">
        <f>SUM(FG10:FJ10)</f>
      </c>
      <c r="FL10" s="312">
        <f>FL89+FL126+FL221</f>
      </c>
      <c r="FM10" s="312">
        <f>FM89+FM126+FM221</f>
      </c>
      <c r="FN10" s="1159">
        <f>FN89+FN126+FN221</f>
      </c>
      <c r="FO10" s="1159">
        <f>FO89+FO126+FO221</f>
      </c>
      <c r="FP10" s="319">
        <f>SUM(FL10:FO10)</f>
      </c>
      <c r="FQ10" s="312">
        <f>FQ89+FQ126+FQ221</f>
      </c>
      <c r="FR10" s="312">
        <f>FR89+FR126+FR221</f>
      </c>
      <c r="FS10" s="1159">
        <f>FS89+FS126+FS221</f>
      </c>
      <c r="FT10" s="1159">
        <f>FT89+FT126+FT221</f>
      </c>
      <c r="FU10" s="319">
        <f>SUM(FQ10:FT10)</f>
      </c>
      <c r="FV10" s="312">
        <f>FV89+FV126+FV221</f>
      </c>
      <c r="FW10" s="312">
        <f>FW89+FW126+FW221</f>
      </c>
      <c r="FX10" s="1159">
        <f>FX89+FX126+FX221</f>
      </c>
      <c r="FY10" s="1159">
        <f>FY89+FY126+FY221</f>
      </c>
      <c r="FZ10" s="319">
        <f>SUM(FV10:FY10)</f>
      </c>
      <c r="GA10" s="312">
        <f>GA89+GA126+GA221</f>
      </c>
      <c r="GB10" s="312">
        <f>GB89+GB126+GB221</f>
      </c>
      <c r="GC10" s="312">
        <f>GC89+GC126+GC221</f>
      </c>
      <c r="GD10" s="312">
        <f>GD89+GD126+GD221</f>
      </c>
      <c r="GE10" s="319">
        <f>SUM(GA10:GD10)</f>
      </c>
      <c r="GF10" s="312">
        <f>GF89+GF126+GF221</f>
      </c>
      <c r="GG10" s="312">
        <f>GG89+GG126+GG221</f>
      </c>
      <c r="GH10" s="312">
        <f>GH89+GH126+GH221</f>
      </c>
      <c r="GI10" s="312">
        <f>GI89+GI126+GI221</f>
      </c>
      <c r="GJ10" s="319">
        <f>SUM(GF10:GI10)</f>
      </c>
    </row>
    <row r="11" spans="1:192" ht="12.75" customHeight="1">
      <c r="A11" s="850" t="s">
        <v>328</v>
      </c>
      <c r="B11" s="727" t="s">
        <v>34</v>
      </c>
      <c r="C11" s="291"/>
      <c r="D11" s="107"/>
      <c r="E11" s="107"/>
      <c r="F11" s="107"/>
      <c r="G11" s="292"/>
      <c r="H11" s="291"/>
      <c r="I11" s="107"/>
      <c r="J11" s="107"/>
      <c r="K11" s="107"/>
      <c r="L11" s="292"/>
      <c r="M11" s="291"/>
      <c r="N11" s="107"/>
      <c r="O11" s="107"/>
      <c r="P11" s="107"/>
      <c r="Q11" s="292"/>
      <c r="R11" s="291"/>
      <c r="S11" s="107"/>
      <c r="T11" s="107"/>
      <c r="U11" s="107"/>
      <c r="V11" s="292"/>
      <c r="W11" s="291"/>
      <c r="X11" s="107"/>
      <c r="Y11" s="107"/>
      <c r="Z11" s="107"/>
      <c r="AA11" s="292"/>
      <c r="AB11" s="291"/>
      <c r="AC11" s="107"/>
      <c r="AD11" s="107"/>
      <c r="AE11" s="107"/>
      <c r="AF11" s="292"/>
      <c r="AG11" s="291"/>
      <c r="AH11" s="107"/>
      <c r="AI11" s="107"/>
      <c r="AJ11" s="107"/>
      <c r="AK11" s="292"/>
      <c r="AL11" s="291"/>
      <c r="AM11" s="107"/>
      <c r="AN11" s="107"/>
      <c r="AO11" s="107"/>
      <c r="AP11" s="292"/>
      <c r="AQ11" s="291"/>
      <c r="AR11" s="107"/>
      <c r="AS11" s="107"/>
      <c r="AT11" s="107"/>
      <c r="AU11" s="292"/>
      <c r="AV11" s="291"/>
      <c r="AW11" s="107"/>
      <c r="AX11" s="107"/>
      <c r="AY11" s="107"/>
      <c r="AZ11" s="292"/>
      <c r="BA11" s="291"/>
      <c r="BB11" s="107"/>
      <c r="BC11" s="107"/>
      <c r="BD11" s="107"/>
      <c r="BE11" s="292"/>
      <c r="BF11" s="291"/>
      <c r="BG11" s="107"/>
      <c r="BH11" s="107"/>
      <c r="BI11" s="107"/>
      <c r="BJ11" s="292"/>
      <c r="BK11" s="291"/>
      <c r="BL11" s="107"/>
      <c r="BM11" s="107"/>
      <c r="BN11" s="107"/>
      <c r="BO11" s="292"/>
      <c r="BP11" s="291"/>
      <c r="BQ11" s="107"/>
      <c r="BR11" s="107"/>
      <c r="BS11" s="107"/>
      <c r="BT11" s="292"/>
      <c r="BU11" s="291"/>
      <c r="BV11" s="107"/>
      <c r="BW11" s="107"/>
      <c r="BX11" s="107"/>
      <c r="BY11" s="292"/>
      <c r="BZ11" s="291"/>
      <c r="CA11" s="107"/>
      <c r="CB11" s="107"/>
      <c r="CC11" s="107"/>
      <c r="CD11" s="292"/>
      <c r="CE11" s="291"/>
      <c r="CF11" s="107"/>
      <c r="CG11" s="107"/>
      <c r="CH11" s="107"/>
      <c r="CI11" s="292"/>
      <c r="CJ11" s="291"/>
      <c r="CK11" s="107"/>
      <c r="CL11" s="107"/>
      <c r="CM11" s="107"/>
      <c r="CN11" s="292"/>
      <c r="CO11" s="291"/>
      <c r="CP11" s="107"/>
      <c r="CQ11" s="107"/>
      <c r="CR11" s="107"/>
      <c r="CS11" s="292"/>
      <c r="CT11" s="291"/>
      <c r="CU11" s="107"/>
      <c r="CV11" s="107"/>
      <c r="CW11" s="107"/>
      <c r="CX11" s="292"/>
      <c r="CY11" s="412"/>
      <c r="CZ11" s="114"/>
      <c r="DA11" s="114"/>
      <c r="DB11" s="114"/>
      <c r="DC11" s="292"/>
      <c r="DD11" s="412"/>
      <c r="DE11" s="114"/>
      <c r="DF11" s="114"/>
      <c r="DG11" s="114"/>
      <c r="DH11" s="292"/>
      <c r="DI11" s="412"/>
      <c r="DJ11" s="114"/>
      <c r="DK11" s="114"/>
      <c r="DL11" s="114"/>
      <c r="DM11" s="292"/>
      <c r="DN11" s="412"/>
      <c r="DO11" s="114"/>
      <c r="DP11" s="114"/>
      <c r="DQ11" s="114"/>
      <c r="DR11" s="292"/>
      <c r="DS11" s="412"/>
      <c r="DT11" s="114"/>
      <c r="DU11" s="439"/>
      <c r="DV11" s="114"/>
      <c r="DW11" s="292"/>
      <c r="DX11" s="412"/>
      <c r="DY11" s="114"/>
      <c r="DZ11" s="114"/>
      <c r="EA11" s="114"/>
      <c r="EB11" s="292"/>
      <c r="EC11" s="412"/>
      <c r="ED11" s="114"/>
      <c r="EE11" s="114"/>
      <c r="EF11" s="114"/>
      <c r="EG11" s="292"/>
      <c r="EH11" s="412"/>
      <c r="EI11" s="114"/>
      <c r="EJ11" s="114"/>
      <c r="EK11" s="439"/>
      <c r="EL11" s="292"/>
      <c r="EM11" s="412"/>
      <c r="EN11" s="114"/>
      <c r="EO11" s="412"/>
      <c r="EP11" s="412"/>
      <c r="EQ11" s="292"/>
      <c r="ER11" s="107">
        <f t="shared" ref="ER11:GE11" si="0">IFERROR(ER10/EM10-1,"")</f>
      </c>
      <c r="ES11" s="107">
        <f t="shared" si="0"/>
      </c>
      <c r="ET11" s="107">
        <f t="shared" si="0"/>
      </c>
      <c r="EU11" s="107">
        <f t="shared" si="0"/>
      </c>
      <c r="EV11" s="292">
        <f t="shared" si="0"/>
      </c>
      <c r="EW11" s="107">
        <f t="shared" si="0"/>
      </c>
      <c r="EX11" s="107">
        <f t="shared" si="0"/>
      </c>
      <c r="EY11" s="107">
        <f t="shared" si="0"/>
      </c>
      <c r="EZ11" s="107">
        <f t="shared" si="0"/>
      </c>
      <c r="FA11" s="292">
        <f t="shared" si="0"/>
      </c>
      <c r="FB11" s="107">
        <f t="shared" si="0"/>
      </c>
      <c r="FC11" s="107">
        <f t="shared" si="0"/>
      </c>
      <c r="FD11" s="107">
        <f t="shared" si="0"/>
      </c>
      <c r="FE11" s="107">
        <f t="shared" si="0"/>
      </c>
      <c r="FF11" s="292">
        <f t="shared" si="0"/>
      </c>
      <c r="FG11" s="107">
        <f t="shared" si="0"/>
      </c>
      <c r="FH11" s="107">
        <f t="shared" si="0"/>
      </c>
      <c r="FI11" s="107">
        <f t="shared" si="0"/>
      </c>
      <c r="FJ11" s="107">
        <f t="shared" si="0"/>
      </c>
      <c r="FK11" s="292">
        <f t="shared" si="0"/>
      </c>
      <c r="FL11" s="107">
        <f t="shared" si="0"/>
      </c>
      <c r="FM11" s="107">
        <f t="shared" si="0"/>
      </c>
      <c r="FN11" s="107">
        <f t="shared" si="0"/>
      </c>
      <c r="FO11" s="107">
        <f t="shared" si="0"/>
      </c>
      <c r="FP11" s="292">
        <f t="shared" si="0"/>
      </c>
      <c r="FQ11" s="107">
        <f t="shared" si="0"/>
      </c>
      <c r="FR11" s="107">
        <f t="shared" si="0"/>
      </c>
      <c r="FS11" s="107">
        <f t="shared" si="0"/>
      </c>
      <c r="FT11" s="107">
        <f t="shared" si="0"/>
      </c>
      <c r="FU11" s="292">
        <f t="shared" si="0"/>
      </c>
      <c r="FV11" s="291">
        <f t="shared" si="0"/>
      </c>
      <c r="FW11" s="107">
        <f t="shared" si="0"/>
      </c>
      <c r="FX11" s="107">
        <f t="shared" si="0"/>
      </c>
      <c r="FY11" s="107">
        <f t="shared" si="0"/>
      </c>
      <c r="FZ11" s="292">
        <f t="shared" si="0"/>
      </c>
      <c r="GA11" s="291">
        <f t="shared" si="0"/>
      </c>
      <c r="GB11" s="107">
        <f t="shared" si="0"/>
      </c>
      <c r="GC11" s="107">
        <f t="shared" si="0"/>
      </c>
      <c r="GD11" s="107">
        <f t="shared" si="0"/>
      </c>
      <c r="GE11" s="292">
        <f t="shared" si="0"/>
      </c>
      <c r="GF11" s="291">
        <f t="shared" ref="GF11" si="1">IFERROR(GF10/GA10-1,"")</f>
      </c>
      <c r="GG11" s="107">
        <f t="shared" ref="GG11" si="2">IFERROR(GG10/GB10-1,"")</f>
      </c>
      <c r="GH11" s="107">
        <f t="shared" ref="GH11" si="3">IFERROR(GH10/GC10-1,"")</f>
      </c>
      <c r="GI11" s="107">
        <f t="shared" ref="GI11" si="4">IFERROR(GI10/GD10-1,"")</f>
      </c>
      <c r="GJ11" s="292">
        <f t="shared" ref="GJ11" si="5">IFERROR(GJ10/GE10-1,"")</f>
      </c>
    </row>
    <row r="12" spans="1:192" ht="12.75" customHeight="1">
      <c r="A12" s="850" t="s">
        <v>330</v>
      </c>
      <c r="B12" s="727" t="s">
        <v>197</v>
      </c>
      <c r="C12" s="291"/>
      <c r="D12" s="107"/>
      <c r="E12" s="107"/>
      <c r="F12" s="107"/>
      <c r="G12" s="292"/>
      <c r="H12" s="291"/>
      <c r="I12" s="107"/>
      <c r="J12" s="107"/>
      <c r="K12" s="107"/>
      <c r="L12" s="292"/>
      <c r="M12" s="291"/>
      <c r="N12" s="107"/>
      <c r="O12" s="107"/>
      <c r="P12" s="107"/>
      <c r="Q12" s="292"/>
      <c r="R12" s="291"/>
      <c r="S12" s="107"/>
      <c r="T12" s="107"/>
      <c r="U12" s="107"/>
      <c r="V12" s="292"/>
      <c r="W12" s="291"/>
      <c r="X12" s="107"/>
      <c r="Y12" s="107"/>
      <c r="Z12" s="107"/>
      <c r="AA12" s="292"/>
      <c r="AB12" s="291"/>
      <c r="AC12" s="107"/>
      <c r="AD12" s="107"/>
      <c r="AE12" s="107"/>
      <c r="AF12" s="292"/>
      <c r="AG12" s="291"/>
      <c r="AH12" s="107"/>
      <c r="AI12" s="107"/>
      <c r="AJ12" s="107"/>
      <c r="AK12" s="292"/>
      <c r="AL12" s="291"/>
      <c r="AM12" s="107"/>
      <c r="AN12" s="107"/>
      <c r="AO12" s="107"/>
      <c r="AP12" s="292"/>
      <c r="AQ12" s="291"/>
      <c r="AR12" s="107"/>
      <c r="AS12" s="107"/>
      <c r="AT12" s="107"/>
      <c r="AU12" s="292"/>
      <c r="AV12" s="291"/>
      <c r="AW12" s="107"/>
      <c r="AX12" s="107"/>
      <c r="AY12" s="107"/>
      <c r="AZ12" s="292"/>
      <c r="BA12" s="291"/>
      <c r="BB12" s="107"/>
      <c r="BC12" s="107"/>
      <c r="BD12" s="107"/>
      <c r="BE12" s="292"/>
      <c r="BF12" s="291"/>
      <c r="BG12" s="107"/>
      <c r="BH12" s="107"/>
      <c r="BI12" s="107"/>
      <c r="BJ12" s="292"/>
      <c r="BK12" s="291"/>
      <c r="BL12" s="107"/>
      <c r="BM12" s="107"/>
      <c r="BN12" s="107"/>
      <c r="BO12" s="292"/>
      <c r="BP12" s="291"/>
      <c r="BQ12" s="107"/>
      <c r="BR12" s="107"/>
      <c r="BS12" s="107"/>
      <c r="BT12" s="292"/>
      <c r="BU12" s="291"/>
      <c r="BV12" s="107"/>
      <c r="BW12" s="107"/>
      <c r="BX12" s="107"/>
      <c r="BY12" s="292"/>
      <c r="BZ12" s="291"/>
      <c r="CA12" s="107"/>
      <c r="CB12" s="107"/>
      <c r="CC12" s="107"/>
      <c r="CD12" s="292"/>
      <c r="CE12" s="291"/>
      <c r="CF12" s="107"/>
      <c r="CG12" s="107"/>
      <c r="CH12" s="107"/>
      <c r="CI12" s="292"/>
      <c r="CJ12" s="291"/>
      <c r="CK12" s="107"/>
      <c r="CL12" s="107"/>
      <c r="CM12" s="107"/>
      <c r="CN12" s="292"/>
      <c r="CO12" s="291"/>
      <c r="CP12" s="107"/>
      <c r="CQ12" s="107"/>
      <c r="CR12" s="107"/>
      <c r="CS12" s="292"/>
      <c r="CT12" s="291"/>
      <c r="CU12" s="107"/>
      <c r="CV12" s="107"/>
      <c r="CW12" s="107"/>
      <c r="CX12" s="292"/>
      <c r="CY12" s="412"/>
      <c r="CZ12" s="114"/>
      <c r="DA12" s="114"/>
      <c r="DB12" s="114"/>
      <c r="DC12" s="292"/>
      <c r="DD12" s="412"/>
      <c r="DE12" s="114"/>
      <c r="DF12" s="114"/>
      <c r="DG12" s="114"/>
      <c r="DH12" s="292"/>
      <c r="DI12" s="412"/>
      <c r="DJ12" s="114"/>
      <c r="DK12" s="114"/>
      <c r="DL12" s="114"/>
      <c r="DM12" s="292"/>
      <c r="DN12" s="412"/>
      <c r="DO12" s="114"/>
      <c r="DP12" s="114"/>
      <c r="DQ12" s="114"/>
      <c r="DR12" s="292"/>
      <c r="DS12" s="412"/>
      <c r="DT12" s="114"/>
      <c r="DU12" s="439"/>
      <c r="DV12" s="114"/>
      <c r="DW12" s="292"/>
      <c r="DX12" s="412"/>
      <c r="DY12" s="114"/>
      <c r="DZ12" s="114"/>
      <c r="EA12" s="114"/>
      <c r="EB12" s="292"/>
      <c r="EC12" s="412"/>
      <c r="ED12" s="114"/>
      <c r="EE12" s="114"/>
      <c r="EF12" s="114"/>
      <c r="EG12" s="292"/>
      <c r="EH12" s="412"/>
      <c r="EI12" s="114"/>
      <c r="EJ12" s="114"/>
      <c r="EK12" s="114"/>
      <c r="EL12" s="292"/>
      <c r="EM12" s="412"/>
      <c r="EN12" s="114"/>
      <c r="EO12" s="114"/>
      <c r="EP12" s="114"/>
      <c r="EQ12" s="292"/>
      <c r="ER12" s="412"/>
      <c r="ES12" s="114"/>
      <c r="ET12" s="439"/>
      <c r="EU12" s="439"/>
      <c r="EV12" s="292"/>
      <c r="EW12" s="441">
        <v>0.17</v>
      </c>
      <c r="EX12" s="439">
        <v>0</v>
      </c>
      <c r="EY12" s="439">
        <v>7.0000000000000007E-2</v>
      </c>
      <c r="EZ12" s="439">
        <v>0.09</v>
      </c>
      <c r="FA12" s="292"/>
      <c r="FB12" s="412"/>
      <c r="FC12" s="114"/>
      <c r="FD12" s="439"/>
      <c r="FE12" s="439"/>
      <c r="FF12" s="292"/>
      <c r="FG12" s="412"/>
      <c r="FH12" s="114"/>
      <c r="FI12" s="439"/>
      <c r="FJ12" s="439"/>
      <c r="FK12" s="292"/>
      <c r="FL12" s="412"/>
      <c r="FM12" s="114"/>
      <c r="FN12" s="439"/>
      <c r="FO12" s="439"/>
      <c r="FP12" s="292"/>
      <c r="FQ12" s="412"/>
      <c r="FR12" s="114"/>
      <c r="FS12" s="439"/>
      <c r="FT12" s="439"/>
      <c r="FU12" s="292"/>
      <c r="FV12" s="412"/>
      <c r="FW12" s="114"/>
      <c r="FX12" s="439"/>
      <c r="FY12" s="439"/>
      <c r="FZ12" s="292"/>
      <c r="GA12" s="777"/>
      <c r="GB12" s="107"/>
      <c r="GC12" s="107"/>
      <c r="GD12" s="107"/>
      <c r="GE12" s="292"/>
      <c r="GF12" s="777"/>
      <c r="GG12" s="107"/>
      <c r="GH12" s="107"/>
      <c r="GI12" s="107"/>
      <c r="GJ12" s="292"/>
    </row>
    <row r="13" spans="1:192" ht="12.75" customHeight="1">
      <c r="A13" s="850" t="s">
        <v>329</v>
      </c>
      <c r="B13" s="727" t="s">
        <v>36</v>
      </c>
      <c r="C13" s="291"/>
      <c r="D13" s="107"/>
      <c r="E13" s="107"/>
      <c r="F13" s="107"/>
      <c r="G13" s="292"/>
      <c r="H13" s="291"/>
      <c r="I13" s="107"/>
      <c r="J13" s="107"/>
      <c r="K13" s="107"/>
      <c r="L13" s="292"/>
      <c r="M13" s="291"/>
      <c r="N13" s="107"/>
      <c r="O13" s="107"/>
      <c r="P13" s="107"/>
      <c r="Q13" s="292"/>
      <c r="R13" s="291"/>
      <c r="S13" s="107"/>
      <c r="T13" s="107"/>
      <c r="U13" s="107"/>
      <c r="V13" s="292"/>
      <c r="W13" s="291"/>
      <c r="X13" s="107"/>
      <c r="Y13" s="107"/>
      <c r="Z13" s="107"/>
      <c r="AA13" s="292"/>
      <c r="AB13" s="291"/>
      <c r="AC13" s="107"/>
      <c r="AD13" s="107"/>
      <c r="AE13" s="107"/>
      <c r="AF13" s="292"/>
      <c r="AG13" s="291"/>
      <c r="AH13" s="107"/>
      <c r="AI13" s="107"/>
      <c r="AJ13" s="107"/>
      <c r="AK13" s="292"/>
      <c r="AL13" s="291"/>
      <c r="AM13" s="107"/>
      <c r="AN13" s="107"/>
      <c r="AO13" s="107"/>
      <c r="AP13" s="292"/>
      <c r="AQ13" s="291"/>
      <c r="AR13" s="107"/>
      <c r="AS13" s="107"/>
      <c r="AT13" s="107"/>
      <c r="AU13" s="292"/>
      <c r="AV13" s="291"/>
      <c r="AW13" s="107"/>
      <c r="AX13" s="107"/>
      <c r="AY13" s="107"/>
      <c r="AZ13" s="292"/>
      <c r="BA13" s="291"/>
      <c r="BB13" s="107"/>
      <c r="BC13" s="107"/>
      <c r="BD13" s="107"/>
      <c r="BE13" s="292"/>
      <c r="BF13" s="291"/>
      <c r="BG13" s="107"/>
      <c r="BH13" s="107"/>
      <c r="BI13" s="107"/>
      <c r="BJ13" s="292"/>
      <c r="BK13" s="291"/>
      <c r="BL13" s="107"/>
      <c r="BM13" s="107"/>
      <c r="BN13" s="107"/>
      <c r="BO13" s="292"/>
      <c r="BP13" s="291"/>
      <c r="BQ13" s="107"/>
      <c r="BR13" s="107"/>
      <c r="BS13" s="107"/>
      <c r="BT13" s="292"/>
      <c r="BU13" s="291"/>
      <c r="BV13" s="107"/>
      <c r="BW13" s="107"/>
      <c r="BX13" s="107"/>
      <c r="BY13" s="292"/>
      <c r="BZ13" s="291"/>
      <c r="CA13" s="107"/>
      <c r="CB13" s="107"/>
      <c r="CC13" s="107"/>
      <c r="CD13" s="292"/>
      <c r="CE13" s="291"/>
      <c r="CF13" s="107"/>
      <c r="CG13" s="107"/>
      <c r="CH13" s="107"/>
      <c r="CI13" s="292"/>
      <c r="CJ13" s="291"/>
      <c r="CK13" s="107"/>
      <c r="CL13" s="107"/>
      <c r="CM13" s="107"/>
      <c r="CN13" s="292"/>
      <c r="CO13" s="291"/>
      <c r="CP13" s="107"/>
      <c r="CQ13" s="107"/>
      <c r="CR13" s="107"/>
      <c r="CS13" s="292"/>
      <c r="CT13" s="291"/>
      <c r="CU13" s="107"/>
      <c r="CV13" s="107"/>
      <c r="CW13" s="107"/>
      <c r="CX13" s="292"/>
      <c r="CY13" s="291"/>
      <c r="CZ13" s="107"/>
      <c r="DA13" s="107"/>
      <c r="DB13" s="107"/>
      <c r="DC13" s="292"/>
      <c r="DD13" s="291"/>
      <c r="DE13" s="107"/>
      <c r="DF13" s="107"/>
      <c r="DG13" s="107"/>
      <c r="DH13" s="292"/>
      <c r="DI13" s="291"/>
      <c r="DJ13" s="107"/>
      <c r="DK13" s="107"/>
      <c r="DL13" s="107"/>
      <c r="DM13" s="292"/>
      <c r="DN13" s="291"/>
      <c r="DO13" s="107"/>
      <c r="DP13" s="107"/>
      <c r="DQ13" s="107"/>
      <c r="DR13" s="292"/>
      <c r="DS13" s="291"/>
      <c r="DT13" s="107"/>
      <c r="DU13" s="107"/>
      <c r="DV13" s="107"/>
      <c r="DW13" s="292"/>
      <c r="DX13" s="291"/>
      <c r="DY13" s="107"/>
      <c r="DZ13" s="107"/>
      <c r="EA13" s="107"/>
      <c r="EB13" s="292"/>
      <c r="EC13" s="291"/>
      <c r="ED13" s="107"/>
      <c r="EE13" s="107"/>
      <c r="EF13" s="107"/>
      <c r="EG13" s="292"/>
      <c r="EH13" s="291"/>
      <c r="EI13" s="107"/>
      <c r="EJ13" s="107"/>
      <c r="EK13" s="468"/>
      <c r="EL13" s="292"/>
      <c r="EM13" s="291"/>
      <c r="EN13" s="107"/>
      <c r="EO13" s="107"/>
      <c r="EP13" s="107"/>
      <c r="EQ13" s="292"/>
      <c r="ER13" s="291">
        <f>IFERROR(ER10/EP10-1,"")</f>
      </c>
      <c r="ES13" s="107">
        <f>IFERROR(ES10/ER10-1,"")</f>
      </c>
      <c r="ET13" s="107">
        <f>IFERROR(ET10/ES10-1,"")</f>
      </c>
      <c r="EU13" s="107">
        <f>IFERROR(EU10/ET10-1,"")</f>
      </c>
      <c r="EV13" s="292"/>
      <c r="EW13" s="291">
        <f>IFERROR(EW10/EU10-1,"")</f>
      </c>
      <c r="EX13" s="107">
        <f>IFERROR(EX10/EW10-1,"")</f>
      </c>
      <c r="EY13" s="107">
        <f>IFERROR(EY10/EX10-1,"")</f>
      </c>
      <c r="EZ13" s="107">
        <f>IFERROR(EZ10/EY10-1,"")</f>
      </c>
      <c r="FA13" s="292"/>
      <c r="FB13" s="291">
        <f>IFERROR(FB10/EZ10-1,"")</f>
      </c>
      <c r="FC13" s="107">
        <f>IFERROR(FC10/FB10-1,"")</f>
      </c>
      <c r="FD13" s="107">
        <f>IFERROR(FD10/FC10-1,"")</f>
      </c>
      <c r="FE13" s="107">
        <f>IFERROR(FE10/FD10-1,"")</f>
      </c>
      <c r="FF13" s="292"/>
      <c r="FG13" s="291">
        <f>IFERROR(FG10/FE10-1,"")</f>
      </c>
      <c r="FH13" s="107">
        <f>IFERROR(FH10/FG10-1,"")</f>
      </c>
      <c r="FI13" s="107">
        <f>IFERROR(FI10/FH10-1,"")</f>
      </c>
      <c r="FJ13" s="107">
        <f>IFERROR(FJ10/FI10-1,"")</f>
      </c>
      <c r="FK13" s="292"/>
      <c r="FL13" s="291">
        <f>IFERROR(FL10/FJ10-1,"")</f>
      </c>
      <c r="FM13" s="107">
        <f>IFERROR(FM10/FL10-1,"")</f>
      </c>
      <c r="FN13" s="107">
        <f>IFERROR(FN10/FM10-1,"")</f>
      </c>
      <c r="FO13" s="107">
        <f>IFERROR(FO10/FN10-1,"")</f>
      </c>
      <c r="FP13" s="292"/>
      <c r="FQ13" s="291">
        <f>IFERROR(FQ10/FO10-1,"")</f>
      </c>
      <c r="FR13" s="107">
        <f>IFERROR(FR10/FQ10-1,"")</f>
      </c>
      <c r="FS13" s="107">
        <f>IFERROR(FS10/FR10-1,"")</f>
      </c>
      <c r="FT13" s="107">
        <f>IFERROR(FT10/FS10-1,"")</f>
      </c>
      <c r="FU13" s="292"/>
      <c r="FV13" s="291">
        <f>IFERROR(FV10/FT10-1,"")</f>
      </c>
      <c r="FW13" s="107">
        <f>IFERROR(FW10/FV10-1,"")</f>
      </c>
      <c r="FX13" s="107">
        <f>IFERROR(FX10/FW10-1,"")</f>
      </c>
      <c r="FY13" s="107">
        <f>IFERROR(FY10/FX10-1,"")</f>
      </c>
      <c r="FZ13" s="292"/>
      <c r="GA13" s="291">
        <f>IFERROR(GA10/FY10-1,"")</f>
      </c>
      <c r="GB13" s="107">
        <f>IFERROR(GB10/GA10-1,"")</f>
      </c>
      <c r="GC13" s="107">
        <f>IFERROR(GC10/GB10-1,"")</f>
      </c>
      <c r="GD13" s="107">
        <f>IFERROR(GD10/GC10-1,"")</f>
      </c>
      <c r="GE13" s="292"/>
      <c r="GF13" s="291">
        <f>IFERROR(GF10/GD10-1,"")</f>
      </c>
      <c r="GG13" s="107">
        <f>IFERROR(GG10/GF10-1,"")</f>
      </c>
      <c r="GH13" s="107">
        <f>IFERROR(GH10/GG10-1,"")</f>
      </c>
      <c r="GI13" s="107">
        <f>IFERROR(GI10/GH10-1,"")</f>
      </c>
      <c r="GJ13" s="292"/>
    </row>
    <row r="14" spans="1:192" ht="12.75" customHeight="1">
      <c r="B14" s="727" t="s">
        <v>243</v>
      </c>
      <c r="C14" s="291"/>
      <c r="D14" s="107"/>
      <c r="E14" s="107"/>
      <c r="F14" s="107"/>
      <c r="G14" s="292"/>
      <c r="H14" s="291"/>
      <c r="I14" s="107"/>
      <c r="J14" s="107"/>
      <c r="K14" s="107"/>
      <c r="L14" s="292"/>
      <c r="M14" s="291"/>
      <c r="N14" s="107"/>
      <c r="O14" s="107"/>
      <c r="P14" s="107"/>
      <c r="Q14" s="292"/>
      <c r="R14" s="291"/>
      <c r="S14" s="107"/>
      <c r="T14" s="107"/>
      <c r="U14" s="107"/>
      <c r="V14" s="292"/>
      <c r="W14" s="291"/>
      <c r="X14" s="107"/>
      <c r="Y14" s="107"/>
      <c r="Z14" s="107"/>
      <c r="AA14" s="292"/>
      <c r="AB14" s="291"/>
      <c r="AC14" s="107"/>
      <c r="AD14" s="107"/>
      <c r="AE14" s="107"/>
      <c r="AF14" s="292"/>
      <c r="AG14" s="291"/>
      <c r="AH14" s="107"/>
      <c r="AI14" s="107"/>
      <c r="AJ14" s="107"/>
      <c r="AK14" s="292"/>
      <c r="AL14" s="291"/>
      <c r="AM14" s="107"/>
      <c r="AN14" s="107"/>
      <c r="AO14" s="107"/>
      <c r="AP14" s="292"/>
      <c r="AQ14" s="291"/>
      <c r="AR14" s="107"/>
      <c r="AS14" s="107"/>
      <c r="AT14" s="107"/>
      <c r="AU14" s="292"/>
      <c r="AV14" s="291"/>
      <c r="AW14" s="107"/>
      <c r="AX14" s="107"/>
      <c r="AY14" s="107"/>
      <c r="AZ14" s="292"/>
      <c r="BA14" s="291"/>
      <c r="BB14" s="107"/>
      <c r="BC14" s="107"/>
      <c r="BD14" s="107"/>
      <c r="BE14" s="292"/>
      <c r="BF14" s="291"/>
      <c r="BG14" s="107"/>
      <c r="BH14" s="107"/>
      <c r="BI14" s="107"/>
      <c r="BJ14" s="292"/>
      <c r="BK14" s="291"/>
      <c r="BL14" s="107"/>
      <c r="BM14" s="107"/>
      <c r="BN14" s="107"/>
      <c r="BO14" s="292"/>
      <c r="BP14" s="291"/>
      <c r="BQ14" s="107"/>
      <c r="BR14" s="107"/>
      <c r="BS14" s="107"/>
      <c r="BT14" s="292"/>
      <c r="BU14" s="291"/>
      <c r="BV14" s="107"/>
      <c r="BW14" s="107"/>
      <c r="BX14" s="107"/>
      <c r="BY14" s="292"/>
      <c r="BZ14" s="291"/>
      <c r="CA14" s="107"/>
      <c r="CB14" s="107"/>
      <c r="CC14" s="107"/>
      <c r="CD14" s="292"/>
      <c r="CE14" s="291"/>
      <c r="CF14" s="107"/>
      <c r="CG14" s="107"/>
      <c r="CH14" s="107"/>
      <c r="CI14" s="292"/>
      <c r="CJ14" s="291"/>
      <c r="CK14" s="107"/>
      <c r="CL14" s="107"/>
      <c r="CM14" s="107"/>
      <c r="CN14" s="292"/>
      <c r="CO14" s="291"/>
      <c r="CP14" s="107"/>
      <c r="CQ14" s="107"/>
      <c r="CR14" s="107"/>
      <c r="CS14" s="292"/>
      <c r="CT14" s="291"/>
      <c r="CU14" s="107"/>
      <c r="CV14" s="107"/>
      <c r="CW14" s="107"/>
      <c r="CX14" s="292"/>
      <c r="CY14" s="470"/>
      <c r="CZ14" s="470"/>
      <c r="DA14" s="470"/>
      <c r="DB14" s="470"/>
      <c r="DC14" s="462"/>
      <c r="DD14" s="470"/>
      <c r="DE14" s="470"/>
      <c r="DF14" s="470"/>
      <c r="DG14" s="470"/>
      <c r="DH14" s="462"/>
      <c r="DI14" s="470"/>
      <c r="DJ14" s="470"/>
      <c r="DK14" s="470"/>
      <c r="DL14" s="470"/>
      <c r="DM14" s="462"/>
      <c r="DN14" s="470"/>
      <c r="DO14" s="470"/>
      <c r="DP14" s="470"/>
      <c r="DQ14" s="470"/>
      <c r="DR14" s="462"/>
      <c r="DS14" s="470"/>
      <c r="DT14" s="470"/>
      <c r="DU14" s="470"/>
      <c r="DV14" s="470"/>
      <c r="DW14" s="462"/>
      <c r="DX14" s="470"/>
      <c r="DY14" s="470"/>
      <c r="DZ14" s="470"/>
      <c r="EA14" s="470"/>
      <c r="EB14" s="462"/>
      <c r="EC14" s="470"/>
      <c r="ED14" s="470"/>
      <c r="EE14" s="470"/>
      <c r="EF14" s="470"/>
      <c r="EG14" s="462"/>
      <c r="EH14" s="470"/>
      <c r="EI14" s="470"/>
      <c r="EJ14" s="470"/>
      <c r="EK14" s="470"/>
      <c r="EL14" s="462"/>
      <c r="EM14" s="470"/>
      <c r="EN14" s="470"/>
      <c r="EO14" s="470"/>
      <c r="EP14" s="470"/>
      <c r="EQ14" s="462"/>
      <c r="ER14" s="447">
        <f t="shared" ref="ER14:GE14" si="6">ER10-EM10</f>
      </c>
      <c r="ES14" s="458">
        <f t="shared" si="6"/>
      </c>
      <c r="ET14" s="511">
        <f t="shared" si="6"/>
      </c>
      <c r="EU14" s="458">
        <f t="shared" si="6"/>
      </c>
      <c r="EV14" s="459">
        <f t="shared" si="6"/>
      </c>
      <c r="EW14" s="447">
        <f t="shared" si="6"/>
      </c>
      <c r="EX14" s="458">
        <f t="shared" si="6"/>
      </c>
      <c r="EY14" s="458">
        <f t="shared" si="6"/>
      </c>
      <c r="EZ14" s="458">
        <f t="shared" si="6"/>
      </c>
      <c r="FA14" s="459">
        <f t="shared" si="6"/>
      </c>
      <c r="FB14" s="447">
        <f t="shared" si="6"/>
      </c>
      <c r="FC14" s="458">
        <f t="shared" si="6"/>
      </c>
      <c r="FD14" s="511">
        <f t="shared" si="6"/>
      </c>
      <c r="FE14" s="458">
        <f t="shared" si="6"/>
      </c>
      <c r="FF14" s="459">
        <f t="shared" si="6"/>
      </c>
      <c r="FG14" s="447">
        <f t="shared" si="6"/>
      </c>
      <c r="FH14" s="458">
        <f t="shared" si="6"/>
      </c>
      <c r="FI14" s="511">
        <f t="shared" si="6"/>
      </c>
      <c r="FJ14" s="458">
        <f t="shared" si="6"/>
      </c>
      <c r="FK14" s="459">
        <f t="shared" si="6"/>
      </c>
      <c r="FL14" s="447">
        <f t="shared" si="6"/>
      </c>
      <c r="FM14" s="458">
        <f t="shared" si="6"/>
      </c>
      <c r="FN14" s="511">
        <f t="shared" si="6"/>
      </c>
      <c r="FO14" s="458">
        <f t="shared" si="6"/>
      </c>
      <c r="FP14" s="459">
        <f t="shared" si="6"/>
      </c>
      <c r="FQ14" s="447">
        <f t="shared" si="6"/>
      </c>
      <c r="FR14" s="458">
        <f t="shared" si="6"/>
      </c>
      <c r="FS14" s="511">
        <f t="shared" si="6"/>
      </c>
      <c r="FT14" s="458">
        <f t="shared" si="6"/>
      </c>
      <c r="FU14" s="459">
        <f t="shared" si="6"/>
      </c>
      <c r="FV14" s="447">
        <f t="shared" si="6"/>
      </c>
      <c r="FW14" s="458">
        <f t="shared" si="6"/>
      </c>
      <c r="FX14" s="511">
        <f t="shared" si="6"/>
      </c>
      <c r="FY14" s="458">
        <f t="shared" si="6"/>
      </c>
      <c r="FZ14" s="459">
        <f t="shared" si="6"/>
      </c>
      <c r="GA14" s="447">
        <f t="shared" si="6"/>
      </c>
      <c r="GB14" s="458">
        <f t="shared" si="6"/>
      </c>
      <c r="GC14" s="458">
        <f t="shared" si="6"/>
      </c>
      <c r="GD14" s="458">
        <f t="shared" si="6"/>
      </c>
      <c r="GE14" s="459">
        <f t="shared" si="6"/>
      </c>
      <c r="GF14" s="447">
        <f t="shared" ref="GF14" si="7">GF10-GA10</f>
      </c>
      <c r="GG14" s="458">
        <f t="shared" ref="GG14" si="8">GG10-GB10</f>
      </c>
      <c r="GH14" s="458">
        <f t="shared" ref="GH14" si="9">GH10-GC10</f>
      </c>
      <c r="GI14" s="458">
        <f t="shared" ref="GI14" si="10">GI10-GD10</f>
      </c>
      <c r="GJ14" s="462">
        <f t="shared" ref="GJ14" si="11">GJ10-GE10</f>
      </c>
    </row>
    <row r="15" spans="1:192" ht="12.75" customHeight="1">
      <c r="B15" s="727" t="s">
        <v>244</v>
      </c>
      <c r="C15" s="291"/>
      <c r="D15" s="107"/>
      <c r="E15" s="107"/>
      <c r="F15" s="107"/>
      <c r="G15" s="292"/>
      <c r="H15" s="291"/>
      <c r="I15" s="107"/>
      <c r="J15" s="107"/>
      <c r="K15" s="107"/>
      <c r="L15" s="292"/>
      <c r="M15" s="291"/>
      <c r="N15" s="107"/>
      <c r="O15" s="107"/>
      <c r="P15" s="107"/>
      <c r="Q15" s="292"/>
      <c r="R15" s="291"/>
      <c r="S15" s="107"/>
      <c r="T15" s="107"/>
      <c r="U15" s="107"/>
      <c r="V15" s="292"/>
      <c r="W15" s="291"/>
      <c r="X15" s="107"/>
      <c r="Y15" s="107"/>
      <c r="Z15" s="107"/>
      <c r="AA15" s="292"/>
      <c r="AB15" s="291"/>
      <c r="AC15" s="107"/>
      <c r="AD15" s="107"/>
      <c r="AE15" s="107"/>
      <c r="AF15" s="292"/>
      <c r="AG15" s="291"/>
      <c r="AH15" s="107"/>
      <c r="AI15" s="107"/>
      <c r="AJ15" s="107"/>
      <c r="AK15" s="292"/>
      <c r="AL15" s="291"/>
      <c r="AM15" s="107"/>
      <c r="AN15" s="107"/>
      <c r="AO15" s="107"/>
      <c r="AP15" s="292"/>
      <c r="AQ15" s="291"/>
      <c r="AR15" s="107"/>
      <c r="AS15" s="107"/>
      <c r="AT15" s="107"/>
      <c r="AU15" s="292"/>
      <c r="AV15" s="291"/>
      <c r="AW15" s="107"/>
      <c r="AX15" s="107"/>
      <c r="AY15" s="107"/>
      <c r="AZ15" s="292"/>
      <c r="BA15" s="291"/>
      <c r="BB15" s="107"/>
      <c r="BC15" s="107"/>
      <c r="BD15" s="107"/>
      <c r="BE15" s="292"/>
      <c r="BF15" s="291"/>
      <c r="BG15" s="107"/>
      <c r="BH15" s="107"/>
      <c r="BI15" s="107"/>
      <c r="BJ15" s="292"/>
      <c r="BK15" s="291"/>
      <c r="BL15" s="107"/>
      <c r="BM15" s="107"/>
      <c r="BN15" s="107"/>
      <c r="BO15" s="292"/>
      <c r="BP15" s="291"/>
      <c r="BQ15" s="107"/>
      <c r="BR15" s="107"/>
      <c r="BS15" s="107"/>
      <c r="BT15" s="292"/>
      <c r="BU15" s="291"/>
      <c r="BV15" s="107"/>
      <c r="BW15" s="107"/>
      <c r="BX15" s="107"/>
      <c r="BY15" s="292"/>
      <c r="BZ15" s="291"/>
      <c r="CA15" s="107"/>
      <c r="CB15" s="107"/>
      <c r="CC15" s="107"/>
      <c r="CD15" s="292"/>
      <c r="CE15" s="291"/>
      <c r="CF15" s="107"/>
      <c r="CG15" s="107"/>
      <c r="CH15" s="107"/>
      <c r="CI15" s="292"/>
      <c r="CJ15" s="291"/>
      <c r="CK15" s="107"/>
      <c r="CL15" s="107"/>
      <c r="CM15" s="107"/>
      <c r="CN15" s="292"/>
      <c r="CO15" s="291"/>
      <c r="CP15" s="107"/>
      <c r="CQ15" s="107"/>
      <c r="CR15" s="107"/>
      <c r="CS15" s="292"/>
      <c r="CT15" s="291"/>
      <c r="CU15" s="107"/>
      <c r="CV15" s="107"/>
      <c r="CW15" s="107"/>
      <c r="CX15" s="292"/>
      <c r="CY15" s="470"/>
      <c r="CZ15" s="463"/>
      <c r="DA15" s="463"/>
      <c r="DB15" s="463"/>
      <c r="DC15" s="292"/>
      <c r="DD15" s="470"/>
      <c r="DE15" s="463"/>
      <c r="DF15" s="463"/>
      <c r="DG15" s="463"/>
      <c r="DH15" s="292"/>
      <c r="DI15" s="470"/>
      <c r="DJ15" s="463"/>
      <c r="DK15" s="463"/>
      <c r="DL15" s="463"/>
      <c r="DM15" s="292"/>
      <c r="DN15" s="470"/>
      <c r="DO15" s="463"/>
      <c r="DP15" s="463"/>
      <c r="DQ15" s="463"/>
      <c r="DR15" s="292"/>
      <c r="DS15" s="470"/>
      <c r="DT15" s="463"/>
      <c r="DU15" s="463"/>
      <c r="DV15" s="463"/>
      <c r="DW15" s="292"/>
      <c r="DX15" s="470"/>
      <c r="DY15" s="463"/>
      <c r="DZ15" s="463"/>
      <c r="EA15" s="463"/>
      <c r="EB15" s="292"/>
      <c r="EC15" s="470"/>
      <c r="ED15" s="463"/>
      <c r="EE15" s="463"/>
      <c r="EF15" s="463"/>
      <c r="EG15" s="292"/>
      <c r="EH15" s="470"/>
      <c r="EI15" s="463"/>
      <c r="EJ15" s="463"/>
      <c r="EK15" s="463"/>
      <c r="EL15" s="292"/>
      <c r="EM15" s="470"/>
      <c r="EN15" s="463"/>
      <c r="EO15" s="463"/>
      <c r="EP15" s="463"/>
      <c r="EQ15" s="292"/>
      <c r="ER15" s="447">
        <f>ER10-EP10</f>
      </c>
      <c r="ES15" s="458">
        <f>ES10-ER10</f>
      </c>
      <c r="ET15" s="447">
        <f>ET10-ES10</f>
      </c>
      <c r="EU15" s="447">
        <f>EU10-ET10</f>
      </c>
      <c r="EV15" s="459"/>
      <c r="EW15" s="447">
        <f>EW10-EU10</f>
      </c>
      <c r="EX15" s="458">
        <f>EX10-EW10</f>
      </c>
      <c r="EY15" s="458">
        <f>EY10-EX10</f>
      </c>
      <c r="EZ15" s="447">
        <f>EZ10-EY10</f>
      </c>
      <c r="FA15" s="459"/>
      <c r="FB15" s="447">
        <f>FB10-EZ10</f>
      </c>
      <c r="FC15" s="458">
        <f>FC10-FB10</f>
      </c>
      <c r="FD15" s="447">
        <f>FD10-FC10</f>
      </c>
      <c r="FE15" s="447">
        <f>FE10-FD10</f>
      </c>
      <c r="FF15" s="459"/>
      <c r="FG15" s="447">
        <f>FG10-FE10</f>
      </c>
      <c r="FH15" s="458">
        <f>FH10-FG10</f>
      </c>
      <c r="FI15" s="447">
        <f>FI10-FH10</f>
      </c>
      <c r="FJ15" s="447">
        <f>FJ10-FI10</f>
      </c>
      <c r="FK15" s="459"/>
      <c r="FL15" s="447">
        <f>FL10-FJ10</f>
      </c>
      <c r="FM15" s="458">
        <f>FM10-FL10</f>
      </c>
      <c r="FN15" s="447">
        <f>FN10-FM10</f>
      </c>
      <c r="FO15" s="447">
        <f>FO10-FN10</f>
      </c>
      <c r="FP15" s="459"/>
      <c r="FQ15" s="447">
        <f>FQ10-FO10</f>
      </c>
      <c r="FR15" s="458">
        <f>FR10-FQ10</f>
      </c>
      <c r="FS15" s="447">
        <f>FS10-FR10</f>
      </c>
      <c r="FT15" s="447">
        <f>FT10-FS10</f>
      </c>
      <c r="FU15" s="459"/>
      <c r="FV15" s="447">
        <f>FV10-FT10</f>
      </c>
      <c r="FW15" s="458">
        <f>FW10-FV10</f>
      </c>
      <c r="FX15" s="447">
        <f>FX10-FW10</f>
      </c>
      <c r="FY15" s="447">
        <f>FY10-FX10</f>
      </c>
      <c r="FZ15" s="459"/>
      <c r="GA15" s="447">
        <f>GA10-FY10</f>
      </c>
      <c r="GB15" s="458">
        <f>GB10-GA10</f>
      </c>
      <c r="GC15" s="458">
        <f>GC10-GB10</f>
      </c>
      <c r="GD15" s="458">
        <f>GD10-GC10</f>
      </c>
      <c r="GE15" s="459"/>
      <c r="GF15" s="447">
        <f>GF10-GD10</f>
      </c>
      <c r="GG15" s="458">
        <f>GG10-GF10</f>
      </c>
      <c r="GH15" s="458">
        <f>GH10-GG10</f>
      </c>
      <c r="GI15" s="458">
        <f>GI10-GH10</f>
      </c>
      <c r="GJ15" s="462"/>
    </row>
    <row r="16" spans="1:192" ht="12.75" customHeight="1">
      <c r="B16" s="727" t="s">
        <v>257</v>
      </c>
      <c r="C16" s="291"/>
      <c r="D16" s="107"/>
      <c r="E16" s="107"/>
      <c r="F16" s="107"/>
      <c r="G16" s="293"/>
      <c r="H16" s="291"/>
      <c r="I16" s="107"/>
      <c r="J16" s="107"/>
      <c r="K16" s="107"/>
      <c r="L16" s="293"/>
      <c r="M16" s="291"/>
      <c r="N16" s="107"/>
      <c r="O16" s="107"/>
      <c r="P16" s="107"/>
      <c r="Q16" s="293"/>
      <c r="R16" s="291"/>
      <c r="S16" s="107"/>
      <c r="T16" s="107"/>
      <c r="U16" s="107"/>
      <c r="V16" s="293"/>
      <c r="W16" s="291"/>
      <c r="X16" s="107"/>
      <c r="Y16" s="107"/>
      <c r="Z16" s="107"/>
      <c r="AA16" s="293"/>
      <c r="AB16" s="291"/>
      <c r="AC16" s="107"/>
      <c r="AD16" s="107"/>
      <c r="AE16" s="107"/>
      <c r="AF16" s="293"/>
      <c r="AG16" s="291"/>
      <c r="AH16" s="107"/>
      <c r="AI16" s="107"/>
      <c r="AJ16" s="107"/>
      <c r="AK16" s="293"/>
      <c r="AL16" s="291"/>
      <c r="AM16" s="107"/>
      <c r="AN16" s="107"/>
      <c r="AO16" s="107"/>
      <c r="AP16" s="293"/>
      <c r="AQ16" s="291"/>
      <c r="AR16" s="107"/>
      <c r="AS16" s="107"/>
      <c r="AT16" s="107"/>
      <c r="AU16" s="293"/>
      <c r="AV16" s="291"/>
      <c r="AW16" s="107"/>
      <c r="AX16" s="107"/>
      <c r="AY16" s="107"/>
      <c r="AZ16" s="293"/>
      <c r="BA16" s="291"/>
      <c r="BB16" s="107"/>
      <c r="BC16" s="107"/>
      <c r="BD16" s="107"/>
      <c r="BE16" s="293"/>
      <c r="BF16" s="291"/>
      <c r="BG16" s="107"/>
      <c r="BH16" s="107"/>
      <c r="BI16" s="107"/>
      <c r="BJ16" s="293"/>
      <c r="BK16" s="291"/>
      <c r="BL16" s="107"/>
      <c r="BM16" s="107"/>
      <c r="BN16" s="107"/>
      <c r="BO16" s="293"/>
      <c r="BP16" s="291"/>
      <c r="BQ16" s="107"/>
      <c r="BR16" s="107"/>
      <c r="BS16" s="107"/>
      <c r="BT16" s="293"/>
      <c r="BU16" s="291"/>
      <c r="BV16" s="107"/>
      <c r="BW16" s="107"/>
      <c r="BX16" s="107"/>
      <c r="BY16" s="293"/>
      <c r="BZ16" s="291"/>
      <c r="CA16" s="107"/>
      <c r="CB16" s="107"/>
      <c r="CC16" s="107"/>
      <c r="CD16" s="293"/>
      <c r="CE16" s="291"/>
      <c r="CF16" s="107"/>
      <c r="CG16" s="107"/>
      <c r="CH16" s="107"/>
      <c r="CI16" s="293"/>
      <c r="CJ16" s="291"/>
      <c r="CK16" s="107"/>
      <c r="CL16" s="107"/>
      <c r="CM16" s="107"/>
      <c r="CN16" s="293"/>
      <c r="CO16" s="291"/>
      <c r="CP16" s="107"/>
      <c r="CQ16" s="107"/>
      <c r="CR16" s="107"/>
      <c r="CS16" s="293"/>
      <c r="CT16" s="291"/>
      <c r="CU16" s="107"/>
      <c r="CV16" s="107"/>
      <c r="CW16" s="107"/>
      <c r="CX16" s="293"/>
      <c r="CY16" s="291"/>
      <c r="CZ16" s="107"/>
      <c r="DA16" s="468"/>
      <c r="DB16" s="107"/>
      <c r="DC16" s="293"/>
      <c r="DD16" s="291"/>
      <c r="DE16" s="107"/>
      <c r="DF16" s="468"/>
      <c r="DG16" s="107"/>
      <c r="DH16" s="293"/>
      <c r="DI16" s="291"/>
      <c r="DJ16" s="107"/>
      <c r="DK16" s="468"/>
      <c r="DL16" s="107"/>
      <c r="DM16" s="293"/>
      <c r="DN16" s="291"/>
      <c r="DO16" s="107"/>
      <c r="DP16" s="468"/>
      <c r="DQ16" s="107"/>
      <c r="DR16" s="293"/>
      <c r="DS16" s="291"/>
      <c r="DT16" s="107"/>
      <c r="DU16" s="468"/>
      <c r="DV16" s="107"/>
      <c r="DW16" s="293"/>
      <c r="DX16" s="291"/>
      <c r="DY16" s="107"/>
      <c r="DZ16" s="107"/>
      <c r="EA16" s="107"/>
      <c r="EB16" s="293"/>
      <c r="EC16" s="291"/>
      <c r="ED16" s="107"/>
      <c r="EE16" s="107"/>
      <c r="EF16" s="107"/>
      <c r="EG16" s="293"/>
      <c r="EH16" s="291"/>
      <c r="EI16" s="107"/>
      <c r="EJ16" s="107"/>
      <c r="EK16" s="107"/>
      <c r="EL16" s="293"/>
      <c r="EM16" s="291"/>
      <c r="EN16" s="107"/>
      <c r="EO16" s="107"/>
      <c r="EP16" s="107"/>
      <c r="EQ16" s="292"/>
      <c r="ER16" s="291">
        <f>ER10/IS!ER$24</f>
      </c>
      <c r="ES16" s="291">
        <f>ES10/IS!ES$24</f>
      </c>
      <c r="ET16" s="291">
        <f>ET10/IS!ET$24</f>
      </c>
      <c r="EU16" s="291">
        <f>EU10/IS!EU$24</f>
      </c>
      <c r="EV16" s="293">
        <f>EV10/IS!EV$24</f>
      </c>
      <c r="EW16" s="291">
        <f>EW10/IS!EW$24</f>
      </c>
      <c r="EX16" s="291">
        <f>EX10/IS!EX$24</f>
      </c>
      <c r="EY16" s="291">
        <f>EY10/IS!EY$24</f>
      </c>
      <c r="EZ16" s="291">
        <f>EZ10/IS!EZ$24</f>
      </c>
      <c r="FA16" s="293">
        <f>FA10/IS!FA$24</f>
      </c>
      <c r="FB16" s="291">
        <f>FB10/IS!FB$24</f>
      </c>
      <c r="FC16" s="291">
        <f>FC10/IS!FC$24</f>
      </c>
      <c r="FD16" s="291">
        <f>FD10/IS!FD$24</f>
      </c>
      <c r="FE16" s="291">
        <f>FE10/IS!FE$24</f>
      </c>
      <c r="FF16" s="293">
        <f>FF10/IS!FF$24</f>
      </c>
      <c r="FG16" s="291">
        <f>FG10/IS!FG$24</f>
      </c>
      <c r="FH16" s="291">
        <f>FH10/IS!FH$24</f>
      </c>
      <c r="FI16" s="291">
        <f>FI10/IS!FI$24</f>
      </c>
      <c r="FJ16" s="291">
        <f>FJ10/IS!FJ$24</f>
      </c>
      <c r="FK16" s="293">
        <f>FK10/IS!FK$24</f>
      </c>
      <c r="FL16" s="291">
        <f>FL10/IS!FL$24</f>
      </c>
      <c r="FM16" s="291">
        <f>FM10/IS!FM$24</f>
      </c>
      <c r="FN16" s="291">
        <f>FN10/IS!FN$24</f>
      </c>
      <c r="FO16" s="291">
        <f>FO10/IS!FO$24</f>
      </c>
      <c r="FP16" s="293">
        <f>FP10/IS!FP$24</f>
      </c>
      <c r="FQ16" s="291">
        <f>FQ10/IS!FQ$24</f>
      </c>
      <c r="FR16" s="291">
        <f>FR10/IS!FR$24</f>
      </c>
      <c r="FS16" s="291">
        <f>FS10/IS!FS$24</f>
      </c>
      <c r="FT16" s="291">
        <f>FT10/IS!FT$24</f>
      </c>
      <c r="FU16" s="293">
        <f>FU10/IS!FU$24</f>
      </c>
      <c r="FV16" s="291">
        <f>FV10/IS!FV$24</f>
      </c>
      <c r="FW16" s="291">
        <f>FW10/IS!FW$24</f>
      </c>
      <c r="FX16" s="291">
        <f>FX10/IS!FX$24</f>
      </c>
      <c r="FY16" s="291">
        <f>FY10/IS!FY$24</f>
      </c>
      <c r="FZ16" s="293">
        <f>FZ10/IS!FZ$24</f>
      </c>
      <c r="GA16" s="291">
        <f>GA10/IS!GA$24</f>
      </c>
      <c r="GB16" s="107">
        <f>GB10/IS!GB$24</f>
      </c>
      <c r="GC16" s="107">
        <f>GC10/IS!GC$24</f>
      </c>
      <c r="GD16" s="107">
        <f>GD10/IS!GD$24</f>
      </c>
      <c r="GE16" s="293">
        <f>GE10/IS!GE$24</f>
      </c>
      <c r="GF16" s="291">
        <f>GF10/IS!GF$24</f>
      </c>
      <c r="GG16" s="107">
        <f>GG10/IS!GG$24</f>
      </c>
      <c r="GH16" s="107">
        <f>GH10/IS!GH$24</f>
      </c>
      <c r="GI16" s="107">
        <f>GI10/IS!GI$24</f>
      </c>
      <c r="GJ16" s="293">
        <f>GJ10/IS!GJ$24</f>
      </c>
    </row>
    <row r="17" spans="1:192" ht="12.75" customHeight="1">
      <c r="B17" s="729"/>
      <c r="C17" s="294"/>
      <c r="D17" s="295"/>
      <c r="E17" s="295"/>
      <c r="F17" s="295"/>
      <c r="G17" s="296"/>
      <c r="H17" s="294"/>
      <c r="I17" s="295"/>
      <c r="J17" s="295"/>
      <c r="K17" s="295"/>
      <c r="L17" s="296"/>
      <c r="M17" s="294"/>
      <c r="N17" s="295"/>
      <c r="O17" s="295"/>
      <c r="P17" s="295"/>
      <c r="Q17" s="296"/>
      <c r="R17" s="294"/>
      <c r="S17" s="295"/>
      <c r="T17" s="295"/>
      <c r="U17" s="295"/>
      <c r="V17" s="296"/>
      <c r="W17" s="294"/>
      <c r="X17" s="295"/>
      <c r="Y17" s="295"/>
      <c r="Z17" s="295"/>
      <c r="AA17" s="296"/>
      <c r="AB17" s="294"/>
      <c r="AC17" s="295"/>
      <c r="AD17" s="295"/>
      <c r="AE17" s="295"/>
      <c r="AF17" s="296"/>
      <c r="AG17" s="294"/>
      <c r="AH17" s="295"/>
      <c r="AI17" s="295"/>
      <c r="AJ17" s="295"/>
      <c r="AK17" s="296"/>
      <c r="AL17" s="294"/>
      <c r="AM17" s="295"/>
      <c r="AN17" s="295"/>
      <c r="AO17" s="295"/>
      <c r="AP17" s="296"/>
      <c r="AQ17" s="294"/>
      <c r="AR17" s="295"/>
      <c r="AS17" s="295"/>
      <c r="AT17" s="295"/>
      <c r="AU17" s="296"/>
      <c r="AV17" s="294"/>
      <c r="AW17" s="295"/>
      <c r="AX17" s="295"/>
      <c r="AY17" s="295"/>
      <c r="AZ17" s="296"/>
      <c r="BA17" s="294"/>
      <c r="BB17" s="295"/>
      <c r="BC17" s="295"/>
      <c r="BD17" s="295"/>
      <c r="BE17" s="296"/>
      <c r="BF17" s="294"/>
      <c r="BG17" s="295"/>
      <c r="BH17" s="295"/>
      <c r="BI17" s="295"/>
      <c r="BJ17" s="296"/>
      <c r="BK17" s="294"/>
      <c r="BL17" s="295"/>
      <c r="BM17" s="295"/>
      <c r="BN17" s="295"/>
      <c r="BO17" s="296"/>
      <c r="BP17" s="294"/>
      <c r="BQ17" s="295"/>
      <c r="BR17" s="295"/>
      <c r="BS17" s="295"/>
      <c r="BT17" s="296"/>
      <c r="BU17" s="294"/>
      <c r="BV17" s="295"/>
      <c r="BW17" s="295"/>
      <c r="BX17" s="295"/>
      <c r="BY17" s="296"/>
      <c r="BZ17" s="294"/>
      <c r="CA17" s="295"/>
      <c r="CB17" s="295"/>
      <c r="CC17" s="295"/>
      <c r="CD17" s="296"/>
      <c r="CE17" s="294"/>
      <c r="CF17" s="295"/>
      <c r="CG17" s="295"/>
      <c r="CH17" s="295"/>
      <c r="CI17" s="296"/>
      <c r="CJ17" s="294"/>
      <c r="CK17" s="295"/>
      <c r="CL17" s="295"/>
      <c r="CM17" s="295"/>
      <c r="CN17" s="296"/>
      <c r="CO17" s="294"/>
      <c r="CP17" s="295"/>
      <c r="CQ17" s="295"/>
      <c r="CR17" s="295"/>
      <c r="CS17" s="296"/>
      <c r="CT17" s="294"/>
      <c r="CU17" s="295"/>
      <c r="CV17" s="295"/>
      <c r="CW17" s="295"/>
      <c r="CX17" s="296"/>
      <c r="CY17" s="294"/>
      <c r="CZ17" s="295"/>
      <c r="DA17" s="295"/>
      <c r="DB17" s="295"/>
      <c r="DC17" s="296"/>
      <c r="DD17" s="294"/>
      <c r="DE17" s="295"/>
      <c r="DF17" s="295"/>
      <c r="DG17" s="295"/>
      <c r="DH17" s="296"/>
      <c r="DI17" s="294"/>
      <c r="DJ17" s="295"/>
      <c r="DK17" s="295"/>
      <c r="DL17" s="295"/>
      <c r="DM17" s="296"/>
      <c r="DN17" s="294"/>
      <c r="DO17" s="295"/>
      <c r="DP17" s="295"/>
      <c r="DQ17" s="295"/>
      <c r="DR17" s="296"/>
      <c r="DS17" s="294"/>
      <c r="DT17" s="295"/>
      <c r="DU17" s="469"/>
      <c r="DV17" s="295"/>
      <c r="DW17" s="296"/>
      <c r="DX17" s="294"/>
      <c r="DY17" s="295"/>
      <c r="DZ17" s="295"/>
      <c r="EA17" s="295"/>
      <c r="EB17" s="296"/>
      <c r="EC17" s="294"/>
      <c r="ED17" s="295"/>
      <c r="EE17" s="295"/>
      <c r="EF17" s="295"/>
      <c r="EG17" s="296"/>
      <c r="EH17" s="294"/>
      <c r="EI17" s="295"/>
      <c r="EJ17" s="295"/>
      <c r="EK17" s="295"/>
      <c r="EL17" s="296"/>
      <c r="EM17" s="294"/>
      <c r="EN17" s="295"/>
      <c r="EO17" s="295"/>
      <c r="EP17" s="295"/>
      <c r="EQ17" s="296"/>
      <c r="ER17" s="294"/>
      <c r="ES17" s="295"/>
      <c r="ET17" s="295"/>
      <c r="EU17" s="295"/>
      <c r="EV17" s="296"/>
      <c r="EW17" s="294"/>
      <c r="EX17" s="295"/>
      <c r="EY17" s="295"/>
      <c r="EZ17" s="295"/>
      <c r="FA17" s="296"/>
      <c r="FB17" s="294"/>
      <c r="FC17" s="295"/>
      <c r="FD17" s="295"/>
      <c r="FE17" s="295"/>
      <c r="FF17" s="296"/>
      <c r="FG17" s="294"/>
      <c r="FH17" s="295"/>
      <c r="FI17" s="295"/>
      <c r="FJ17" s="295"/>
      <c r="FK17" s="296"/>
      <c r="FL17" s="294"/>
      <c r="FM17" s="295"/>
      <c r="FN17" s="295"/>
      <c r="FO17" s="295"/>
      <c r="FP17" s="296"/>
      <c r="FQ17" s="294"/>
      <c r="FR17" s="295"/>
      <c r="FS17" s="295"/>
      <c r="FT17" s="295"/>
      <c r="FU17" s="296"/>
      <c r="FV17" s="294"/>
      <c r="FW17" s="295"/>
      <c r="FX17" s="295"/>
      <c r="FY17" s="295"/>
      <c r="FZ17" s="296"/>
      <c r="GA17" s="294"/>
      <c r="GB17" s="295"/>
      <c r="GC17" s="295"/>
      <c r="GD17" s="295"/>
      <c r="GE17" s="296"/>
      <c r="GF17" s="294"/>
      <c r="GG17" s="295"/>
      <c r="GH17" s="295"/>
      <c r="GI17" s="295"/>
      <c r="GJ17" s="296"/>
    </row>
    <row r="18" spans="1:192" s="1717" customFormat="1" ht="12.75" customHeight="1">
      <c r="A18" s="280"/>
      <c r="B18" s="730" t="s">
        <v>2085</v>
      </c>
      <c r="C18" s="316"/>
      <c r="D18" s="316"/>
      <c r="E18" s="316"/>
      <c r="F18" s="316"/>
      <c r="G18" s="453"/>
      <c r="H18" s="316"/>
      <c r="I18" s="316"/>
      <c r="J18" s="316"/>
      <c r="K18" s="316"/>
      <c r="L18" s="453"/>
      <c r="M18" s="316"/>
      <c r="N18" s="316"/>
      <c r="O18" s="316"/>
      <c r="P18" s="316"/>
      <c r="Q18" s="453"/>
      <c r="R18" s="316"/>
      <c r="S18" s="316"/>
      <c r="T18" s="316"/>
      <c r="U18" s="316"/>
      <c r="V18" s="453"/>
      <c r="W18" s="316"/>
      <c r="X18" s="316"/>
      <c r="Y18" s="316"/>
      <c r="Z18" s="316"/>
      <c r="AA18" s="453"/>
      <c r="AB18" s="316"/>
      <c r="AC18" s="316"/>
      <c r="AD18" s="316"/>
      <c r="AE18" s="316"/>
      <c r="AF18" s="453"/>
      <c r="AG18" s="316"/>
      <c r="AH18" s="316"/>
      <c r="AI18" s="316"/>
      <c r="AJ18" s="316"/>
      <c r="AK18" s="453"/>
      <c r="AL18" s="316"/>
      <c r="AM18" s="316"/>
      <c r="AN18" s="316"/>
      <c r="AO18" s="316"/>
      <c r="AP18" s="453"/>
      <c r="AQ18" s="316"/>
      <c r="AR18" s="316"/>
      <c r="AS18" s="316"/>
      <c r="AT18" s="316"/>
      <c r="AU18" s="453"/>
      <c r="AV18" s="316"/>
      <c r="AW18" s="316"/>
      <c r="AX18" s="316"/>
      <c r="AY18" s="316"/>
      <c r="AZ18" s="453"/>
      <c r="BA18" s="316"/>
      <c r="BB18" s="316"/>
      <c r="BC18" s="316"/>
      <c r="BD18" s="316"/>
      <c r="BE18" s="453"/>
      <c r="BF18" s="316"/>
      <c r="BG18" s="316"/>
      <c r="BH18" s="316"/>
      <c r="BI18" s="316"/>
      <c r="BJ18" s="453"/>
      <c r="BK18" s="316"/>
      <c r="BL18" s="316"/>
      <c r="BM18" s="316"/>
      <c r="BN18" s="316"/>
      <c r="BO18" s="453"/>
      <c r="BP18" s="316"/>
      <c r="BQ18" s="316"/>
      <c r="BR18" s="316"/>
      <c r="BS18" s="316"/>
      <c r="BT18" s="453"/>
      <c r="BU18" s="316"/>
      <c r="BV18" s="316"/>
      <c r="BW18" s="316"/>
      <c r="BX18" s="316"/>
      <c r="BY18" s="453"/>
      <c r="BZ18" s="316"/>
      <c r="CA18" s="316"/>
      <c r="CB18" s="316"/>
      <c r="CC18" s="316"/>
      <c r="CD18" s="453"/>
      <c r="CE18" s="316"/>
      <c r="CF18" s="316"/>
      <c r="CG18" s="316"/>
      <c r="CH18" s="316"/>
      <c r="CI18" s="453"/>
      <c r="CJ18" s="316"/>
      <c r="CK18" s="316"/>
      <c r="CL18" s="316"/>
      <c r="CM18" s="316"/>
      <c r="CN18" s="453"/>
      <c r="CO18" s="316"/>
      <c r="CP18" s="316"/>
      <c r="CQ18" s="316"/>
      <c r="CR18" s="316"/>
      <c r="CS18" s="453"/>
      <c r="CT18" s="316"/>
      <c r="CU18" s="316"/>
      <c r="CV18" s="316"/>
      <c r="CW18" s="316"/>
      <c r="CX18" s="453"/>
      <c r="CY18" s="316"/>
      <c r="CZ18" s="316"/>
      <c r="DA18" s="316"/>
      <c r="DB18" s="316"/>
      <c r="DC18" s="453"/>
      <c r="DD18" s="316"/>
      <c r="DE18" s="316"/>
      <c r="DF18" s="316"/>
      <c r="DG18" s="316"/>
      <c r="DH18" s="453"/>
      <c r="DI18" s="316"/>
      <c r="DJ18" s="316"/>
      <c r="DK18" s="316"/>
      <c r="DL18" s="316"/>
      <c r="DM18" s="453"/>
      <c r="DN18" s="316"/>
      <c r="DO18" s="316"/>
      <c r="DP18" s="316"/>
      <c r="DQ18" s="316"/>
      <c r="DR18" s="453"/>
      <c r="DS18" s="316"/>
      <c r="DT18" s="316"/>
      <c r="DU18" s="316"/>
      <c r="DV18" s="316"/>
      <c r="DW18" s="453"/>
      <c r="DX18" s="316"/>
      <c r="DY18" s="316"/>
      <c r="DZ18" s="316"/>
      <c r="EA18" s="316"/>
      <c r="EB18" s="453"/>
      <c r="EC18" s="316"/>
      <c r="ED18" s="316"/>
      <c r="EE18" s="316"/>
      <c r="EF18" s="316"/>
      <c r="EG18" s="453"/>
      <c r="EH18" s="316"/>
      <c r="EI18" s="316"/>
      <c r="EJ18" s="316"/>
      <c r="EK18" s="316"/>
      <c r="EL18" s="453"/>
      <c r="EM18" s="316"/>
      <c r="EN18" s="316"/>
      <c r="EO18" s="316"/>
      <c r="EP18" s="316"/>
      <c r="EQ18" s="453"/>
      <c r="ER18" s="316"/>
      <c r="ES18" s="316"/>
      <c r="ET18" s="316"/>
      <c r="EU18" s="316"/>
      <c r="EV18" s="453">
        <v>24892</v>
      </c>
      <c r="EW18" s="316"/>
      <c r="EX18" s="316"/>
      <c r="EY18" s="316"/>
      <c r="EZ18" s="316"/>
      <c r="FA18" s="453">
        <v>25238</v>
      </c>
      <c r="FB18" s="316"/>
      <c r="FC18" s="316"/>
      <c r="FD18" s="316"/>
      <c r="FE18" s="316"/>
      <c r="FF18" s="453"/>
      <c r="FG18" s="316"/>
      <c r="FH18" s="316"/>
      <c r="FI18" s="316"/>
      <c r="FJ18" s="316"/>
      <c r="FK18" s="453"/>
      <c r="FL18" s="316"/>
      <c r="FM18" s="316"/>
      <c r="FN18" s="316"/>
      <c r="FO18" s="316"/>
      <c r="FP18" s="453"/>
      <c r="FQ18" s="316"/>
      <c r="FR18" s="316"/>
      <c r="FS18" s="316"/>
      <c r="FT18" s="316"/>
      <c r="FU18" s="453"/>
      <c r="FV18" s="316"/>
      <c r="FW18" s="316"/>
      <c r="FX18" s="316"/>
      <c r="FY18" s="316"/>
      <c r="FZ18" s="453"/>
      <c r="GA18" s="316"/>
      <c r="GB18" s="316"/>
      <c r="GC18" s="316"/>
      <c r="GD18" s="316"/>
      <c r="GE18" s="453"/>
      <c r="GF18" s="316"/>
      <c r="GG18" s="316"/>
      <c r="GH18" s="316"/>
      <c r="GI18" s="316"/>
      <c r="GJ18" s="453"/>
    </row>
    <row r="19" spans="1:192" ht="12.75" customHeight="1">
      <c r="A19" s="68"/>
      <c r="B19" s="727" t="s">
        <v>34</v>
      </c>
      <c r="C19" s="291"/>
      <c r="D19" s="107"/>
      <c r="E19" s="107"/>
      <c r="F19" s="107"/>
      <c r="G19" s="292"/>
      <c r="H19" s="291"/>
      <c r="I19" s="107"/>
      <c r="J19" s="107"/>
      <c r="K19" s="107"/>
      <c r="L19" s="292"/>
      <c r="M19" s="291"/>
      <c r="N19" s="107"/>
      <c r="O19" s="107"/>
      <c r="P19" s="107"/>
      <c r="Q19" s="292"/>
      <c r="R19" s="291"/>
      <c r="S19" s="107"/>
      <c r="T19" s="107"/>
      <c r="U19" s="107"/>
      <c r="V19" s="292"/>
      <c r="W19" s="291"/>
      <c r="X19" s="107"/>
      <c r="Y19" s="107"/>
      <c r="Z19" s="107"/>
      <c r="AA19" s="292"/>
      <c r="AB19" s="291"/>
      <c r="AC19" s="107"/>
      <c r="AD19" s="107"/>
      <c r="AE19" s="107"/>
      <c r="AF19" s="292"/>
      <c r="AG19" s="291"/>
      <c r="AH19" s="107"/>
      <c r="AI19" s="107"/>
      <c r="AJ19" s="107"/>
      <c r="AK19" s="292"/>
      <c r="AL19" s="291"/>
      <c r="AM19" s="107"/>
      <c r="AN19" s="107"/>
      <c r="AO19" s="107"/>
      <c r="AP19" s="292"/>
      <c r="AQ19" s="291"/>
      <c r="AR19" s="107"/>
      <c r="AS19" s="107"/>
      <c r="AT19" s="107"/>
      <c r="AU19" s="292"/>
      <c r="AV19" s="291"/>
      <c r="AW19" s="107"/>
      <c r="AX19" s="107"/>
      <c r="AY19" s="107"/>
      <c r="AZ19" s="292"/>
      <c r="BA19" s="291"/>
      <c r="BB19" s="107"/>
      <c r="BC19" s="107"/>
      <c r="BD19" s="107"/>
      <c r="BE19" s="292"/>
      <c r="BF19" s="291"/>
      <c r="BG19" s="107"/>
      <c r="BH19" s="107"/>
      <c r="BI19" s="107"/>
      <c r="BJ19" s="292"/>
      <c r="BK19" s="291"/>
      <c r="BL19" s="107"/>
      <c r="BM19" s="107"/>
      <c r="BN19" s="107"/>
      <c r="BO19" s="292"/>
      <c r="BP19" s="291"/>
      <c r="BQ19" s="107"/>
      <c r="BR19" s="107"/>
      <c r="BS19" s="107"/>
      <c r="BT19" s="292"/>
      <c r="BU19" s="291"/>
      <c r="BV19" s="107"/>
      <c r="BW19" s="107"/>
      <c r="BX19" s="107"/>
      <c r="BY19" s="292"/>
      <c r="BZ19" s="291"/>
      <c r="CA19" s="107"/>
      <c r="CB19" s="107"/>
      <c r="CC19" s="107"/>
      <c r="CD19" s="292"/>
      <c r="CE19" s="291"/>
      <c r="CF19" s="107"/>
      <c r="CG19" s="107"/>
      <c r="CH19" s="107"/>
      <c r="CI19" s="292"/>
      <c r="CJ19" s="291"/>
      <c r="CK19" s="107"/>
      <c r="CL19" s="107"/>
      <c r="CM19" s="107"/>
      <c r="CN19" s="292"/>
      <c r="CO19" s="291"/>
      <c r="CP19" s="107"/>
      <c r="CQ19" s="107"/>
      <c r="CR19" s="107"/>
      <c r="CS19" s="292"/>
      <c r="CT19" s="291"/>
      <c r="CU19" s="107"/>
      <c r="CV19" s="107"/>
      <c r="CW19" s="107"/>
      <c r="CX19" s="292"/>
      <c r="CY19" s="291"/>
      <c r="CZ19" s="107"/>
      <c r="DA19" s="107"/>
      <c r="DB19" s="107"/>
      <c r="DC19" s="292"/>
      <c r="DD19" s="412"/>
      <c r="DE19" s="114"/>
      <c r="DF19" s="114"/>
      <c r="DG19" s="114"/>
      <c r="DH19" s="292"/>
      <c r="DI19" s="412"/>
      <c r="DJ19" s="114"/>
      <c r="DK19" s="114"/>
      <c r="DL19" s="114"/>
      <c r="DM19" s="292"/>
      <c r="DN19" s="412"/>
      <c r="DO19" s="114"/>
      <c r="DP19" s="114"/>
      <c r="DQ19" s="114"/>
      <c r="DR19" s="292"/>
      <c r="DS19" s="412"/>
      <c r="DT19" s="114"/>
      <c r="DU19" s="114"/>
      <c r="DV19" s="114"/>
      <c r="DW19" s="292"/>
      <c r="DX19" s="412"/>
      <c r="DY19" s="114"/>
      <c r="DZ19" s="114"/>
      <c r="EA19" s="114"/>
      <c r="EB19" s="292"/>
      <c r="EC19" s="412"/>
      <c r="ED19" s="114"/>
      <c r="EE19" s="114"/>
      <c r="EF19" s="114"/>
      <c r="EG19" s="292"/>
      <c r="EH19" s="412"/>
      <c r="EI19" s="114"/>
      <c r="EJ19" s="114"/>
      <c r="EK19" s="114"/>
      <c r="EL19" s="413"/>
      <c r="EM19" s="412"/>
      <c r="EN19" s="114"/>
      <c r="EO19" s="114"/>
      <c r="EP19" s="114"/>
      <c r="EQ19" s="292"/>
      <c r="ER19" s="412"/>
      <c r="ES19" s="114"/>
      <c r="ET19" s="439"/>
      <c r="EU19" s="439"/>
      <c r="EV19" s="292"/>
      <c r="EW19" s="441"/>
      <c r="EX19" s="439"/>
      <c r="EY19" s="439"/>
      <c r="EZ19" s="439"/>
      <c r="FA19" s="292">
        <f>FA18/EV18-1</f>
      </c>
      <c r="FB19" s="291"/>
      <c r="FC19" s="107"/>
      <c r="FD19" s="107"/>
      <c r="FE19" s="107"/>
      <c r="FF19" s="292"/>
      <c r="FG19" s="291"/>
      <c r="FH19" s="107"/>
      <c r="FI19" s="107"/>
      <c r="FJ19" s="107"/>
      <c r="FK19" s="292"/>
      <c r="FL19" s="291"/>
      <c r="FM19" s="107"/>
      <c r="FN19" s="107"/>
      <c r="FO19" s="107"/>
      <c r="FP19" s="292"/>
      <c r="FQ19" s="291"/>
      <c r="FR19" s="107"/>
      <c r="FS19" s="107"/>
      <c r="FT19" s="107"/>
      <c r="FU19" s="292"/>
      <c r="FV19" s="291"/>
      <c r="FW19" s="107"/>
      <c r="FX19" s="107"/>
      <c r="FY19" s="107"/>
      <c r="FZ19" s="292"/>
      <c r="GA19" s="291"/>
      <c r="GB19" s="107"/>
      <c r="GC19" s="107"/>
      <c r="GD19" s="107"/>
      <c r="GE19" s="292"/>
      <c r="GF19" s="291"/>
      <c r="GG19" s="107"/>
      <c r="GH19" s="107"/>
      <c r="GI19" s="107"/>
      <c r="GJ19" s="292"/>
    </row>
    <row r="20" spans="1:192" ht="12.75" customHeight="1">
      <c r="A20" s="68"/>
      <c r="B20" s="727" t="s">
        <v>36</v>
      </c>
      <c r="C20" s="291"/>
      <c r="D20" s="107"/>
      <c r="E20" s="107"/>
      <c r="F20" s="107"/>
      <c r="G20" s="293"/>
      <c r="H20" s="291"/>
      <c r="I20" s="107"/>
      <c r="J20" s="107"/>
      <c r="K20" s="107"/>
      <c r="L20" s="293"/>
      <c r="M20" s="291"/>
      <c r="N20" s="107"/>
      <c r="O20" s="107"/>
      <c r="P20" s="107"/>
      <c r="Q20" s="293"/>
      <c r="R20" s="291"/>
      <c r="S20" s="107"/>
      <c r="T20" s="107"/>
      <c r="U20" s="107"/>
      <c r="V20" s="293"/>
      <c r="W20" s="291"/>
      <c r="X20" s="107"/>
      <c r="Y20" s="107"/>
      <c r="Z20" s="107"/>
      <c r="AA20" s="293"/>
      <c r="AB20" s="291"/>
      <c r="AC20" s="107"/>
      <c r="AD20" s="107"/>
      <c r="AE20" s="107"/>
      <c r="AF20" s="293"/>
      <c r="AG20" s="291"/>
      <c r="AH20" s="107"/>
      <c r="AI20" s="107"/>
      <c r="AJ20" s="107"/>
      <c r="AK20" s="293"/>
      <c r="AL20" s="291"/>
      <c r="AM20" s="107"/>
      <c r="AN20" s="107"/>
      <c r="AO20" s="107"/>
      <c r="AP20" s="293"/>
      <c r="AQ20" s="291"/>
      <c r="AR20" s="107"/>
      <c r="AS20" s="107"/>
      <c r="AT20" s="107"/>
      <c r="AU20" s="293"/>
      <c r="AV20" s="291"/>
      <c r="AW20" s="107"/>
      <c r="AX20" s="107"/>
      <c r="AY20" s="107"/>
      <c r="AZ20" s="293"/>
      <c r="BA20" s="291"/>
      <c r="BB20" s="107"/>
      <c r="BC20" s="107"/>
      <c r="BD20" s="107"/>
      <c r="BE20" s="293"/>
      <c r="BF20" s="291"/>
      <c r="BG20" s="107"/>
      <c r="BH20" s="107"/>
      <c r="BI20" s="107"/>
      <c r="BJ20" s="293"/>
      <c r="BK20" s="291"/>
      <c r="BL20" s="107"/>
      <c r="BM20" s="107"/>
      <c r="BN20" s="107"/>
      <c r="BO20" s="293"/>
      <c r="BP20" s="291"/>
      <c r="BQ20" s="107"/>
      <c r="BR20" s="107"/>
      <c r="BS20" s="107"/>
      <c r="BT20" s="293"/>
      <c r="BU20" s="291"/>
      <c r="BV20" s="107"/>
      <c r="BW20" s="107"/>
      <c r="BX20" s="107"/>
      <c r="BY20" s="293"/>
      <c r="BZ20" s="291"/>
      <c r="CA20" s="107"/>
      <c r="CB20" s="107"/>
      <c r="CC20" s="107"/>
      <c r="CD20" s="293"/>
      <c r="CE20" s="291"/>
      <c r="CF20" s="107"/>
      <c r="CG20" s="107"/>
      <c r="CH20" s="107"/>
      <c r="CI20" s="293"/>
      <c r="CJ20" s="291"/>
      <c r="CK20" s="107"/>
      <c r="CL20" s="107"/>
      <c r="CM20" s="107"/>
      <c r="CN20" s="293"/>
      <c r="CO20" s="291"/>
      <c r="CP20" s="107"/>
      <c r="CQ20" s="107"/>
      <c r="CR20" s="107"/>
      <c r="CS20" s="293"/>
      <c r="CT20" s="291"/>
      <c r="CU20" s="107"/>
      <c r="CV20" s="107"/>
      <c r="CW20" s="107"/>
      <c r="CX20" s="293"/>
      <c r="CY20" s="291"/>
      <c r="CZ20" s="107"/>
      <c r="DA20" s="107"/>
      <c r="DB20" s="107"/>
      <c r="DC20" s="293"/>
      <c r="DD20" s="291"/>
      <c r="DE20" s="107"/>
      <c r="DF20" s="107"/>
      <c r="DG20" s="107"/>
      <c r="DH20" s="293"/>
      <c r="DI20" s="291"/>
      <c r="DJ20" s="107"/>
      <c r="DK20" s="107"/>
      <c r="DL20" s="107"/>
      <c r="DM20" s="293"/>
      <c r="DN20" s="291"/>
      <c r="DO20" s="107"/>
      <c r="DP20" s="107"/>
      <c r="DQ20" s="107"/>
      <c r="DR20" s="293"/>
      <c r="DS20" s="291"/>
      <c r="DT20" s="107"/>
      <c r="DU20" s="107"/>
      <c r="DV20" s="107"/>
      <c r="DW20" s="293"/>
      <c r="DX20" s="291"/>
      <c r="DY20" s="107"/>
      <c r="DZ20" s="107"/>
      <c r="EA20" s="107"/>
      <c r="EB20" s="293"/>
      <c r="EC20" s="291"/>
      <c r="ED20" s="107"/>
      <c r="EE20" s="107"/>
      <c r="EF20" s="107"/>
      <c r="EG20" s="293"/>
      <c r="EH20" s="291"/>
      <c r="EI20" s="107"/>
      <c r="EJ20" s="107"/>
      <c r="EK20" s="107"/>
      <c r="EL20" s="293"/>
      <c r="EM20" s="291"/>
      <c r="EN20" s="107"/>
      <c r="EO20" s="107"/>
      <c r="EP20" s="107"/>
      <c r="EQ20" s="293"/>
      <c r="ER20" s="291"/>
      <c r="ES20" s="107"/>
      <c r="ET20" s="107"/>
      <c r="EU20" s="468"/>
      <c r="EV20" s="293"/>
      <c r="EW20" s="291"/>
      <c r="EX20" s="107"/>
      <c r="EY20" s="114"/>
      <c r="EZ20" s="107"/>
      <c r="FA20" s="293"/>
      <c r="FB20" s="291"/>
      <c r="FC20" s="107"/>
      <c r="FD20" s="107"/>
      <c r="FE20" s="107"/>
      <c r="FF20" s="293"/>
      <c r="FG20" s="291"/>
      <c r="FH20" s="107"/>
      <c r="FI20" s="107"/>
      <c r="FJ20" s="107"/>
      <c r="FK20" s="293"/>
      <c r="FL20" s="291"/>
      <c r="FM20" s="107"/>
      <c r="FN20" s="107"/>
      <c r="FO20" s="107"/>
      <c r="FP20" s="293"/>
      <c r="FQ20" s="291"/>
      <c r="FR20" s="107"/>
      <c r="FS20" s="107"/>
      <c r="FT20" s="107"/>
      <c r="FU20" s="293"/>
      <c r="FV20" s="291"/>
      <c r="FW20" s="107"/>
      <c r="FX20" s="107"/>
      <c r="FY20" s="107"/>
      <c r="FZ20" s="293"/>
      <c r="GA20" s="291"/>
      <c r="GB20" s="107"/>
      <c r="GC20" s="107"/>
      <c r="GD20" s="107"/>
      <c r="GE20" s="293"/>
      <c r="GF20" s="291"/>
      <c r="GG20" s="107"/>
      <c r="GH20" s="107"/>
      <c r="GI20" s="107"/>
      <c r="GJ20" s="293"/>
    </row>
    <row r="21" spans="1:192" s="461" customFormat="1" ht="12.75" customHeight="1">
      <c r="A21" s="370"/>
      <c r="B21" s="1718" t="s">
        <v>2083</v>
      </c>
      <c r="C21" s="447"/>
      <c r="D21" s="458"/>
      <c r="E21" s="458"/>
      <c r="F21" s="458"/>
      <c r="G21" s="459"/>
      <c r="H21" s="447"/>
      <c r="I21" s="458"/>
      <c r="J21" s="458"/>
      <c r="K21" s="458"/>
      <c r="L21" s="459"/>
      <c r="M21" s="447"/>
      <c r="N21" s="458"/>
      <c r="O21" s="458"/>
      <c r="P21" s="458"/>
      <c r="Q21" s="459"/>
      <c r="R21" s="447"/>
      <c r="S21" s="458"/>
      <c r="T21" s="458"/>
      <c r="U21" s="458"/>
      <c r="V21" s="459"/>
      <c r="W21" s="447"/>
      <c r="X21" s="458"/>
      <c r="Y21" s="458"/>
      <c r="Z21" s="458"/>
      <c r="AA21" s="459"/>
      <c r="AB21" s="447"/>
      <c r="AC21" s="458"/>
      <c r="AD21" s="458"/>
      <c r="AE21" s="458"/>
      <c r="AF21" s="459"/>
      <c r="AG21" s="447"/>
      <c r="AH21" s="458"/>
      <c r="AI21" s="458"/>
      <c r="AJ21" s="458"/>
      <c r="AK21" s="459"/>
      <c r="AL21" s="447"/>
      <c r="AM21" s="458"/>
      <c r="AN21" s="458"/>
      <c r="AO21" s="458"/>
      <c r="AP21" s="459"/>
      <c r="AQ21" s="447"/>
      <c r="AR21" s="458"/>
      <c r="AS21" s="458"/>
      <c r="AT21" s="458"/>
      <c r="AU21" s="459"/>
      <c r="AV21" s="447"/>
      <c r="AW21" s="458"/>
      <c r="AX21" s="458"/>
      <c r="AY21" s="458"/>
      <c r="AZ21" s="459"/>
      <c r="BA21" s="447"/>
      <c r="BB21" s="458"/>
      <c r="BC21" s="458"/>
      <c r="BD21" s="458"/>
      <c r="BE21" s="459"/>
      <c r="BF21" s="447"/>
      <c r="BG21" s="458"/>
      <c r="BH21" s="458"/>
      <c r="BI21" s="458"/>
      <c r="BJ21" s="459"/>
      <c r="BK21" s="447"/>
      <c r="BL21" s="458"/>
      <c r="BM21" s="458"/>
      <c r="BN21" s="458"/>
      <c r="BO21" s="459"/>
      <c r="BP21" s="447"/>
      <c r="BQ21" s="458"/>
      <c r="BR21" s="458"/>
      <c r="BS21" s="458"/>
      <c r="BT21" s="459"/>
      <c r="BU21" s="447"/>
      <c r="BV21" s="458"/>
      <c r="BW21" s="458"/>
      <c r="BX21" s="458"/>
      <c r="BY21" s="459"/>
      <c r="BZ21" s="447"/>
      <c r="CA21" s="458"/>
      <c r="CB21" s="458"/>
      <c r="CC21" s="458"/>
      <c r="CD21" s="459"/>
      <c r="CE21" s="447"/>
      <c r="CF21" s="458"/>
      <c r="CG21" s="458"/>
      <c r="CH21" s="458"/>
      <c r="CI21" s="459"/>
      <c r="CJ21" s="447"/>
      <c r="CK21" s="458"/>
      <c r="CL21" s="458"/>
      <c r="CM21" s="458"/>
      <c r="CN21" s="459"/>
      <c r="CO21" s="447"/>
      <c r="CP21" s="458"/>
      <c r="CQ21" s="458"/>
      <c r="CR21" s="458"/>
      <c r="CS21" s="459"/>
      <c r="CT21" s="447"/>
      <c r="CU21" s="458"/>
      <c r="CV21" s="458"/>
      <c r="CW21" s="458"/>
      <c r="CX21" s="459"/>
      <c r="CY21" s="447"/>
      <c r="CZ21" s="447"/>
      <c r="DA21" s="447"/>
      <c r="DB21" s="447"/>
      <c r="DC21" s="462"/>
      <c r="DD21" s="447"/>
      <c r="DE21" s="447"/>
      <c r="DF21" s="447"/>
      <c r="DG21" s="447"/>
      <c r="DH21" s="462"/>
      <c r="DI21" s="447"/>
      <c r="DJ21" s="447"/>
      <c r="DK21" s="447"/>
      <c r="DL21" s="447"/>
      <c r="DM21" s="462"/>
      <c r="DN21" s="447"/>
      <c r="DO21" s="447"/>
      <c r="DP21" s="447"/>
      <c r="DQ21" s="447"/>
      <c r="DR21" s="462"/>
      <c r="DS21" s="447"/>
      <c r="DT21" s="447"/>
      <c r="DU21" s="447"/>
      <c r="DV21" s="447"/>
      <c r="DW21" s="462"/>
      <c r="DX21" s="447"/>
      <c r="DY21" s="447"/>
      <c r="DZ21" s="447"/>
      <c r="EA21" s="447"/>
      <c r="EB21" s="462"/>
      <c r="EC21" s="447"/>
      <c r="ED21" s="447"/>
      <c r="EE21" s="447"/>
      <c r="EF21" s="447"/>
      <c r="EG21" s="462"/>
      <c r="EH21" s="447"/>
      <c r="EI21" s="447"/>
      <c r="EJ21" s="447"/>
      <c r="EK21" s="447"/>
      <c r="EL21" s="494"/>
      <c r="EM21" s="448"/>
      <c r="EN21" s="448"/>
      <c r="EO21" s="448"/>
      <c r="EP21" s="458"/>
      <c r="EQ21" s="494"/>
      <c r="ER21" s="448"/>
      <c r="ES21" s="496"/>
      <c r="ET21" s="815"/>
      <c r="EU21" s="458"/>
      <c r="EV21" s="494"/>
      <c r="EW21" s="496"/>
      <c r="EX21" s="496"/>
      <c r="EY21" s="496"/>
      <c r="EZ21" s="815"/>
      <c r="FA21" s="459">
        <f>FA18-EV18</f>
      </c>
      <c r="FB21" s="447"/>
      <c r="FC21" s="458"/>
      <c r="FD21" s="458"/>
      <c r="FE21" s="458"/>
      <c r="FF21" s="459"/>
      <c r="FG21" s="447"/>
      <c r="FH21" s="458"/>
      <c r="FI21" s="458"/>
      <c r="FJ21" s="458"/>
      <c r="FK21" s="459"/>
      <c r="FL21" s="447"/>
      <c r="FM21" s="458"/>
      <c r="FN21" s="458"/>
      <c r="FO21" s="458"/>
      <c r="FP21" s="459"/>
      <c r="FQ21" s="447"/>
      <c r="FR21" s="458"/>
      <c r="FS21" s="458"/>
      <c r="FT21" s="458"/>
      <c r="FU21" s="459"/>
      <c r="FV21" s="447"/>
      <c r="FW21" s="458"/>
      <c r="FX21" s="458"/>
      <c r="FY21" s="458"/>
      <c r="FZ21" s="459"/>
      <c r="GA21" s="447"/>
      <c r="GB21" s="458"/>
      <c r="GC21" s="458"/>
      <c r="GD21" s="458"/>
      <c r="GE21" s="459"/>
      <c r="GF21" s="447"/>
      <c r="GG21" s="458"/>
      <c r="GH21" s="458"/>
      <c r="GI21" s="458"/>
      <c r="GJ21" s="459"/>
    </row>
    <row r="22" spans="1:192" ht="12.75" customHeight="1">
      <c r="A22" s="68"/>
      <c r="B22" s="727"/>
      <c r="C22" s="291"/>
      <c r="D22" s="107"/>
      <c r="E22" s="107"/>
      <c r="F22" s="107"/>
      <c r="G22" s="293"/>
      <c r="H22" s="291"/>
      <c r="I22" s="107"/>
      <c r="J22" s="107"/>
      <c r="K22" s="107"/>
      <c r="L22" s="293"/>
      <c r="M22" s="291"/>
      <c r="N22" s="107"/>
      <c r="O22" s="107"/>
      <c r="P22" s="107"/>
      <c r="Q22" s="293"/>
      <c r="R22" s="291"/>
      <c r="S22" s="107"/>
      <c r="T22" s="107"/>
      <c r="U22" s="107"/>
      <c r="V22" s="293"/>
      <c r="W22" s="291"/>
      <c r="X22" s="107"/>
      <c r="Y22" s="107"/>
      <c r="Z22" s="107"/>
      <c r="AA22" s="293"/>
      <c r="AB22" s="291"/>
      <c r="AC22" s="107"/>
      <c r="AD22" s="107"/>
      <c r="AE22" s="107"/>
      <c r="AF22" s="293"/>
      <c r="AG22" s="291"/>
      <c r="AH22" s="107"/>
      <c r="AI22" s="107"/>
      <c r="AJ22" s="107"/>
      <c r="AK22" s="293"/>
      <c r="AL22" s="291"/>
      <c r="AM22" s="107"/>
      <c r="AN22" s="107"/>
      <c r="AO22" s="107"/>
      <c r="AP22" s="293"/>
      <c r="AQ22" s="291"/>
      <c r="AR22" s="107"/>
      <c r="AS22" s="107"/>
      <c r="AT22" s="107"/>
      <c r="AU22" s="293"/>
      <c r="AV22" s="291"/>
      <c r="AW22" s="107"/>
      <c r="AX22" s="107"/>
      <c r="AY22" s="107"/>
      <c r="AZ22" s="293"/>
      <c r="BA22" s="291"/>
      <c r="BB22" s="107"/>
      <c r="BC22" s="107"/>
      <c r="BD22" s="107"/>
      <c r="BE22" s="293"/>
      <c r="BF22" s="291"/>
      <c r="BG22" s="107"/>
      <c r="BH22" s="107"/>
      <c r="BI22" s="107"/>
      <c r="BJ22" s="293"/>
      <c r="BK22" s="291"/>
      <c r="BL22" s="107"/>
      <c r="BM22" s="107"/>
      <c r="BN22" s="107"/>
      <c r="BO22" s="293"/>
      <c r="BP22" s="291"/>
      <c r="BQ22" s="107"/>
      <c r="BR22" s="107"/>
      <c r="BS22" s="107"/>
      <c r="BT22" s="293"/>
      <c r="BU22" s="291"/>
      <c r="BV22" s="107"/>
      <c r="BW22" s="107"/>
      <c r="BX22" s="107"/>
      <c r="BY22" s="293"/>
      <c r="BZ22" s="291"/>
      <c r="CA22" s="107"/>
      <c r="CB22" s="107"/>
      <c r="CC22" s="107"/>
      <c r="CD22" s="293"/>
      <c r="CE22" s="291"/>
      <c r="CF22" s="107"/>
      <c r="CG22" s="107"/>
      <c r="CH22" s="107"/>
      <c r="CI22" s="293"/>
      <c r="CJ22" s="291"/>
      <c r="CK22" s="107"/>
      <c r="CL22" s="107"/>
      <c r="CM22" s="107"/>
      <c r="CN22" s="293"/>
      <c r="CO22" s="291"/>
      <c r="CP22" s="107"/>
      <c r="CQ22" s="107"/>
      <c r="CR22" s="107"/>
      <c r="CS22" s="293"/>
      <c r="CT22" s="291"/>
      <c r="CU22" s="107"/>
      <c r="CV22" s="107"/>
      <c r="CW22" s="107"/>
      <c r="CX22" s="293"/>
      <c r="CY22" s="291"/>
      <c r="CZ22" s="107"/>
      <c r="DA22" s="107"/>
      <c r="DB22" s="107"/>
      <c r="DC22" s="293"/>
      <c r="DD22" s="291"/>
      <c r="DE22" s="107"/>
      <c r="DF22" s="107"/>
      <c r="DG22" s="107"/>
      <c r="DH22" s="293"/>
      <c r="DI22" s="291"/>
      <c r="DJ22" s="107"/>
      <c r="DK22" s="107"/>
      <c r="DL22" s="107"/>
      <c r="DM22" s="293"/>
      <c r="DN22" s="291"/>
      <c r="DO22" s="107"/>
      <c r="DP22" s="107"/>
      <c r="DQ22" s="107"/>
      <c r="DR22" s="293"/>
      <c r="DS22" s="291"/>
      <c r="DT22" s="107"/>
      <c r="DU22" s="107"/>
      <c r="DV22" s="107"/>
      <c r="DW22" s="293"/>
      <c r="DX22" s="291"/>
      <c r="DY22" s="107"/>
      <c r="DZ22" s="107"/>
      <c r="EA22" s="107"/>
      <c r="EB22" s="293"/>
      <c r="EC22" s="291"/>
      <c r="ED22" s="107"/>
      <c r="EE22" s="107"/>
      <c r="EF22" s="107"/>
      <c r="EG22" s="293"/>
      <c r="EH22" s="291"/>
      <c r="EI22" s="107"/>
      <c r="EJ22" s="107"/>
      <c r="EK22" s="107"/>
      <c r="EL22" s="293"/>
      <c r="EM22" s="294"/>
      <c r="EN22" s="295"/>
      <c r="EO22" s="295"/>
      <c r="EP22" s="469"/>
      <c r="EQ22" s="293"/>
      <c r="ER22" s="446"/>
      <c r="ES22" s="295"/>
      <c r="ET22" s="295"/>
      <c r="EU22" s="295"/>
      <c r="EV22" s="296"/>
      <c r="EW22" s="289"/>
      <c r="EX22" s="107"/>
      <c r="EY22" s="506"/>
      <c r="EZ22" s="107"/>
      <c r="FA22" s="293"/>
      <c r="FB22" s="291"/>
      <c r="FC22" s="107"/>
      <c r="FD22" s="107"/>
      <c r="FE22" s="107"/>
      <c r="FF22" s="293"/>
      <c r="FG22" s="291"/>
      <c r="FH22" s="107"/>
      <c r="FI22" s="107"/>
      <c r="FJ22" s="107"/>
      <c r="FK22" s="293"/>
      <c r="FL22" s="291"/>
      <c r="FM22" s="107"/>
      <c r="FN22" s="107"/>
      <c r="FO22" s="107"/>
      <c r="FP22" s="293"/>
      <c r="FQ22" s="291"/>
      <c r="FR22" s="107"/>
      <c r="FS22" s="107"/>
      <c r="FT22" s="107"/>
      <c r="FU22" s="293"/>
      <c r="FV22" s="291"/>
      <c r="FW22" s="107"/>
      <c r="FX22" s="107"/>
      <c r="FY22" s="107"/>
      <c r="FZ22" s="293"/>
      <c r="GA22" s="291"/>
      <c r="GB22" s="107"/>
      <c r="GC22" s="107"/>
      <c r="GD22" s="107"/>
      <c r="GE22" s="293"/>
      <c r="GF22" s="291"/>
      <c r="GG22" s="107"/>
      <c r="GH22" s="107"/>
      <c r="GI22" s="107"/>
      <c r="GJ22" s="293"/>
    </row>
    <row r="23" spans="1:192" s="317" customFormat="1" ht="12.75" customHeight="1">
      <c r="A23" s="1641"/>
      <c r="B23" s="730" t="s">
        <v>266</v>
      </c>
      <c r="C23" s="315"/>
      <c r="D23" s="315"/>
      <c r="E23" s="315"/>
      <c r="F23" s="315"/>
      <c r="G23" s="313"/>
      <c r="H23" s="315"/>
      <c r="I23" s="315"/>
      <c r="J23" s="315"/>
      <c r="K23" s="315"/>
      <c r="L23" s="313"/>
      <c r="M23" s="315"/>
      <c r="N23" s="315"/>
      <c r="O23" s="315"/>
      <c r="P23" s="315"/>
      <c r="Q23" s="313"/>
      <c r="R23" s="315"/>
      <c r="S23" s="315"/>
      <c r="T23" s="315"/>
      <c r="U23" s="315"/>
      <c r="V23" s="313"/>
      <c r="W23" s="315"/>
      <c r="X23" s="315"/>
      <c r="Y23" s="315"/>
      <c r="Z23" s="315"/>
      <c r="AA23" s="313"/>
      <c r="AB23" s="315"/>
      <c r="AC23" s="315"/>
      <c r="AD23" s="315"/>
      <c r="AE23" s="315"/>
      <c r="AF23" s="313"/>
      <c r="AG23" s="315"/>
      <c r="AH23" s="315"/>
      <c r="AI23" s="315"/>
      <c r="AJ23" s="315"/>
      <c r="AK23" s="313"/>
      <c r="AL23" s="315"/>
      <c r="AM23" s="315"/>
      <c r="AN23" s="315"/>
      <c r="AO23" s="315"/>
      <c r="AP23" s="313"/>
      <c r="AQ23" s="315"/>
      <c r="AR23" s="315"/>
      <c r="AS23" s="315"/>
      <c r="AT23" s="315"/>
      <c r="AU23" s="313"/>
      <c r="AV23" s="315"/>
      <c r="AW23" s="315"/>
      <c r="AX23" s="315"/>
      <c r="AY23" s="315"/>
      <c r="AZ23" s="313"/>
      <c r="BA23" s="315"/>
      <c r="BB23" s="315"/>
      <c r="BC23" s="315"/>
      <c r="BD23" s="315"/>
      <c r="BE23" s="313"/>
      <c r="BF23" s="315"/>
      <c r="BG23" s="315"/>
      <c r="BH23" s="315"/>
      <c r="BI23" s="315"/>
      <c r="BJ23" s="313"/>
      <c r="BK23" s="315"/>
      <c r="BL23" s="315"/>
      <c r="BM23" s="315"/>
      <c r="BN23" s="315"/>
      <c r="BO23" s="313"/>
      <c r="BP23" s="315"/>
      <c r="BQ23" s="315"/>
      <c r="BR23" s="315"/>
      <c r="BS23" s="315"/>
      <c r="BT23" s="313"/>
      <c r="BU23" s="315"/>
      <c r="BV23" s="315"/>
      <c r="BW23" s="315"/>
      <c r="BX23" s="315"/>
      <c r="BY23" s="313"/>
      <c r="BZ23" s="315"/>
      <c r="CA23" s="315"/>
      <c r="CB23" s="315"/>
      <c r="CC23" s="315"/>
      <c r="CD23" s="313"/>
      <c r="CE23" s="315"/>
      <c r="CF23" s="315"/>
      <c r="CG23" s="315"/>
      <c r="CH23" s="315"/>
      <c r="CI23" s="313"/>
      <c r="CJ23" s="315"/>
      <c r="CK23" s="315"/>
      <c r="CL23" s="315"/>
      <c r="CM23" s="315"/>
      <c r="CN23" s="313"/>
      <c r="CO23" s="315"/>
      <c r="CP23" s="315"/>
      <c r="CQ23" s="315"/>
      <c r="CR23" s="315"/>
      <c r="CS23" s="313"/>
      <c r="CT23" s="315"/>
      <c r="CU23" s="315"/>
      <c r="CV23" s="315"/>
      <c r="CW23" s="315"/>
      <c r="CX23" s="313"/>
      <c r="CY23" s="312"/>
      <c r="CZ23" s="312"/>
      <c r="DA23" s="312"/>
      <c r="DB23" s="312"/>
      <c r="DC23" s="313"/>
      <c r="DD23" s="312"/>
      <c r="DE23" s="312"/>
      <c r="DF23" s="312"/>
      <c r="DG23" s="312"/>
      <c r="DH23" s="313"/>
      <c r="DI23" s="312"/>
      <c r="DJ23" s="312"/>
      <c r="DK23" s="312"/>
      <c r="DL23" s="312"/>
      <c r="DM23" s="313"/>
      <c r="DN23" s="312"/>
      <c r="DO23" s="312"/>
      <c r="DP23" s="312"/>
      <c r="DQ23" s="312"/>
      <c r="DR23" s="313"/>
      <c r="DS23" s="312"/>
      <c r="DT23" s="312"/>
      <c r="DU23" s="312"/>
      <c r="DV23" s="312"/>
      <c r="DW23" s="313"/>
      <c r="DX23" s="312"/>
      <c r="DY23" s="312"/>
      <c r="DZ23" s="312"/>
      <c r="EA23" s="312"/>
      <c r="EB23" s="313"/>
      <c r="EC23" s="312"/>
      <c r="ED23" s="312"/>
      <c r="EE23" s="312"/>
      <c r="EF23" s="312"/>
      <c r="EG23" s="313"/>
      <c r="EH23" s="312"/>
      <c r="EI23" s="312"/>
      <c r="EJ23" s="312"/>
      <c r="EK23" s="1159"/>
      <c r="EL23" s="313"/>
      <c r="EM23" s="312"/>
      <c r="EN23" s="312"/>
      <c r="EO23" s="312"/>
      <c r="EP23" s="312"/>
      <c r="EQ23" s="313"/>
      <c r="ER23" s="312">
        <f>EW27/EW24</f>
      </c>
      <c r="ES23" s="312">
        <f>EX27/EX24</f>
      </c>
      <c r="ET23" s="312">
        <f>EY27/EY24</f>
      </c>
      <c r="EU23" s="312">
        <f>EZ27/EZ24</f>
      </c>
      <c r="EV23" s="313">
        <f>EV10-EV18</f>
      </c>
      <c r="EW23" s="312">
        <f>ER23*(1+EW24)</f>
      </c>
      <c r="EX23" s="312">
        <f>ES23*(1+EX24)</f>
      </c>
      <c r="EY23" s="312">
        <f>ET23*(1+EY24)</f>
      </c>
      <c r="EZ23" s="312">
        <f>EU23*(1+EZ24)</f>
      </c>
      <c r="FA23" s="313">
        <f>FA10-FA18</f>
      </c>
      <c r="FB23" s="312">
        <f>FB10*FB28</f>
      </c>
      <c r="FC23" s="312">
        <f>FC10*FC28</f>
      </c>
      <c r="FD23" s="312">
        <f>FD10*FD28</f>
      </c>
      <c r="FE23" s="312">
        <f>FE10*FE28</f>
      </c>
      <c r="FF23" s="313">
        <f>SUM(FB23:FE23)</f>
      </c>
      <c r="FG23" s="312">
        <f>FG10*FG28</f>
      </c>
      <c r="FH23" s="312">
        <f>FH10*FH28</f>
      </c>
      <c r="FI23" s="312">
        <f>FI10*FI28</f>
      </c>
      <c r="FJ23" s="312">
        <f>FJ10*FJ28</f>
      </c>
      <c r="FK23" s="313">
        <f>SUM(FG23:FJ23)</f>
      </c>
      <c r="FL23" s="312">
        <f>FL10*FL28</f>
      </c>
      <c r="FM23" s="312">
        <f>FM10*FM28</f>
      </c>
      <c r="FN23" s="312">
        <f>FN10*FN28</f>
      </c>
      <c r="FO23" s="312">
        <f>FO10*FO28</f>
      </c>
      <c r="FP23" s="313">
        <f>SUM(FL23:FO23)</f>
      </c>
      <c r="FQ23" s="312">
        <f>FQ10*FQ28</f>
      </c>
      <c r="FR23" s="312">
        <f>FR10*FR28</f>
      </c>
      <c r="FS23" s="312">
        <f>FS10*FS28</f>
      </c>
      <c r="FT23" s="312">
        <f>FT10*FT28</f>
      </c>
      <c r="FU23" s="313">
        <f>SUM(FQ23:FT23)</f>
      </c>
      <c r="FV23" s="312">
        <f>FV10*FV28</f>
      </c>
      <c r="FW23" s="312">
        <f>FW10*FW28</f>
      </c>
      <c r="FX23" s="312">
        <f>FX10*FX28</f>
      </c>
      <c r="FY23" s="312">
        <f>FY10*FY28</f>
      </c>
      <c r="FZ23" s="313">
        <f>SUM(FV23:FY23)</f>
      </c>
      <c r="GA23" s="312">
        <f>GA10*GA28</f>
      </c>
      <c r="GB23" s="312">
        <f>GB10*GB28</f>
      </c>
      <c r="GC23" s="312">
        <f>GC10*GC28</f>
      </c>
      <c r="GD23" s="312">
        <f>GD10*GD28</f>
      </c>
      <c r="GE23" s="313">
        <f>SUM(GA23:GD23)</f>
      </c>
      <c r="GF23" s="312">
        <f>GF10*GF28</f>
      </c>
      <c r="GG23" s="312">
        <f>GG10*GG28</f>
      </c>
      <c r="GH23" s="312">
        <f>GH10*GH28</f>
      </c>
      <c r="GI23" s="312">
        <f>GI10*GI28</f>
      </c>
      <c r="GJ23" s="313">
        <f>SUM(GF23:GI23)</f>
      </c>
    </row>
    <row r="24" spans="1:192" ht="12.75" customHeight="1">
      <c r="B24" s="727" t="s">
        <v>34</v>
      </c>
      <c r="C24" s="291"/>
      <c r="D24" s="107"/>
      <c r="E24" s="107"/>
      <c r="F24" s="107"/>
      <c r="G24" s="292"/>
      <c r="H24" s="291"/>
      <c r="I24" s="107"/>
      <c r="J24" s="107"/>
      <c r="K24" s="107"/>
      <c r="L24" s="292"/>
      <c r="M24" s="291"/>
      <c r="N24" s="107"/>
      <c r="O24" s="107"/>
      <c r="P24" s="107"/>
      <c r="Q24" s="292"/>
      <c r="R24" s="291"/>
      <c r="S24" s="107"/>
      <c r="T24" s="107"/>
      <c r="U24" s="107"/>
      <c r="V24" s="292"/>
      <c r="W24" s="291"/>
      <c r="X24" s="107"/>
      <c r="Y24" s="107"/>
      <c r="Z24" s="107"/>
      <c r="AA24" s="292"/>
      <c r="AB24" s="291"/>
      <c r="AC24" s="107"/>
      <c r="AD24" s="107"/>
      <c r="AE24" s="107"/>
      <c r="AF24" s="292"/>
      <c r="AG24" s="291"/>
      <c r="AH24" s="107"/>
      <c r="AI24" s="107"/>
      <c r="AJ24" s="107"/>
      <c r="AK24" s="292"/>
      <c r="AL24" s="291"/>
      <c r="AM24" s="107"/>
      <c r="AN24" s="107"/>
      <c r="AO24" s="107"/>
      <c r="AP24" s="292"/>
      <c r="AQ24" s="291"/>
      <c r="AR24" s="107"/>
      <c r="AS24" s="107"/>
      <c r="AT24" s="107"/>
      <c r="AU24" s="292"/>
      <c r="AV24" s="291"/>
      <c r="AW24" s="107"/>
      <c r="AX24" s="107"/>
      <c r="AY24" s="107"/>
      <c r="AZ24" s="292"/>
      <c r="BA24" s="291"/>
      <c r="BB24" s="107"/>
      <c r="BC24" s="107"/>
      <c r="BD24" s="107"/>
      <c r="BE24" s="292"/>
      <c r="BF24" s="291"/>
      <c r="BG24" s="107"/>
      <c r="BH24" s="107"/>
      <c r="BI24" s="107"/>
      <c r="BJ24" s="292"/>
      <c r="BK24" s="291"/>
      <c r="BL24" s="107"/>
      <c r="BM24" s="107"/>
      <c r="BN24" s="107"/>
      <c r="BO24" s="292"/>
      <c r="BP24" s="291"/>
      <c r="BQ24" s="107"/>
      <c r="BR24" s="107"/>
      <c r="BS24" s="107"/>
      <c r="BT24" s="292"/>
      <c r="BU24" s="291"/>
      <c r="BV24" s="107"/>
      <c r="BW24" s="107"/>
      <c r="BX24" s="107"/>
      <c r="BY24" s="292"/>
      <c r="BZ24" s="291"/>
      <c r="CA24" s="107"/>
      <c r="CB24" s="107"/>
      <c r="CC24" s="107"/>
      <c r="CD24" s="292"/>
      <c r="CE24" s="291"/>
      <c r="CF24" s="107"/>
      <c r="CG24" s="107"/>
      <c r="CH24" s="107"/>
      <c r="CI24" s="292"/>
      <c r="CJ24" s="291"/>
      <c r="CK24" s="107"/>
      <c r="CL24" s="107"/>
      <c r="CM24" s="107"/>
      <c r="CN24" s="292"/>
      <c r="CO24" s="291"/>
      <c r="CP24" s="107"/>
      <c r="CQ24" s="107"/>
      <c r="CR24" s="107"/>
      <c r="CS24" s="292"/>
      <c r="CT24" s="291"/>
      <c r="CU24" s="107"/>
      <c r="CV24" s="107"/>
      <c r="CW24" s="107"/>
      <c r="CX24" s="292"/>
      <c r="CY24" s="412"/>
      <c r="CZ24" s="114"/>
      <c r="DA24" s="114"/>
      <c r="DB24" s="114"/>
      <c r="DC24" s="292"/>
      <c r="DD24" s="412"/>
      <c r="DE24" s="114"/>
      <c r="DF24" s="114"/>
      <c r="DG24" s="114"/>
      <c r="DH24" s="292"/>
      <c r="DI24" s="412"/>
      <c r="DJ24" s="114"/>
      <c r="DK24" s="114"/>
      <c r="DL24" s="114"/>
      <c r="DM24" s="292"/>
      <c r="DN24" s="412"/>
      <c r="DO24" s="114"/>
      <c r="DP24" s="114"/>
      <c r="DQ24" s="114"/>
      <c r="DR24" s="292"/>
      <c r="DS24" s="412"/>
      <c r="DT24" s="114"/>
      <c r="DU24" s="439"/>
      <c r="DV24" s="114"/>
      <c r="DW24" s="292"/>
      <c r="DX24" s="412"/>
      <c r="DY24" s="114"/>
      <c r="DZ24" s="114"/>
      <c r="EA24" s="114"/>
      <c r="EB24" s="292"/>
      <c r="EC24" s="412"/>
      <c r="ED24" s="114"/>
      <c r="EE24" s="114"/>
      <c r="EF24" s="114"/>
      <c r="EG24" s="292"/>
      <c r="EH24" s="412"/>
      <c r="EI24" s="114"/>
      <c r="EJ24" s="114"/>
      <c r="EK24" s="439"/>
      <c r="EL24" s="292"/>
      <c r="EM24" s="412"/>
      <c r="EN24" s="114"/>
      <c r="EO24" s="412"/>
      <c r="EP24" s="412"/>
      <c r="EQ24" s="292"/>
      <c r="ER24" s="412"/>
      <c r="ES24" s="114"/>
      <c r="ET24" s="439"/>
      <c r="EU24" s="439"/>
      <c r="EV24" s="292"/>
      <c r="EW24" s="439">
        <v>0.16</v>
      </c>
      <c r="EX24" s="439">
        <v>0.13</v>
      </c>
      <c r="EY24" s="439">
        <v>0.09</v>
      </c>
      <c r="EZ24" s="439">
        <v>0.15</v>
      </c>
      <c r="FA24" s="292">
        <f>FA23/EV23-1</f>
      </c>
      <c r="FB24" s="107">
        <f t="shared" ref="FB24:GE24" si="12">IFERROR(FB23/EW23-1,"")</f>
      </c>
      <c r="FC24" s="107">
        <f t="shared" si="12"/>
      </c>
      <c r="FD24" s="107">
        <f t="shared" si="12"/>
      </c>
      <c r="FE24" s="107">
        <f t="shared" si="12"/>
      </c>
      <c r="FF24" s="292">
        <f t="shared" si="12"/>
      </c>
      <c r="FG24" s="107">
        <f t="shared" si="12"/>
      </c>
      <c r="FH24" s="107">
        <f t="shared" si="12"/>
      </c>
      <c r="FI24" s="107">
        <f t="shared" si="12"/>
      </c>
      <c r="FJ24" s="107">
        <f t="shared" si="12"/>
      </c>
      <c r="FK24" s="292">
        <f t="shared" si="12"/>
      </c>
      <c r="FL24" s="107">
        <f t="shared" si="12"/>
      </c>
      <c r="FM24" s="107">
        <f t="shared" si="12"/>
      </c>
      <c r="FN24" s="107">
        <f t="shared" si="12"/>
      </c>
      <c r="FO24" s="107">
        <f t="shared" si="12"/>
      </c>
      <c r="FP24" s="292">
        <f t="shared" si="12"/>
      </c>
      <c r="FQ24" s="107">
        <f t="shared" si="12"/>
      </c>
      <c r="FR24" s="107">
        <f t="shared" si="12"/>
      </c>
      <c r="FS24" s="107">
        <f t="shared" si="12"/>
      </c>
      <c r="FT24" s="107">
        <f t="shared" si="12"/>
      </c>
      <c r="FU24" s="292">
        <f t="shared" si="12"/>
      </c>
      <c r="FV24" s="291">
        <f t="shared" si="12"/>
      </c>
      <c r="FW24" s="107">
        <f t="shared" si="12"/>
      </c>
      <c r="FX24" s="107">
        <f t="shared" si="12"/>
      </c>
      <c r="FY24" s="107">
        <f t="shared" si="12"/>
      </c>
      <c r="FZ24" s="292">
        <f t="shared" si="12"/>
      </c>
      <c r="GA24" s="291">
        <f t="shared" si="12"/>
      </c>
      <c r="GB24" s="107">
        <f t="shared" si="12"/>
      </c>
      <c r="GC24" s="107">
        <f t="shared" si="12"/>
      </c>
      <c r="GD24" s="107">
        <f t="shared" si="12"/>
      </c>
      <c r="GE24" s="292">
        <f t="shared" si="12"/>
      </c>
      <c r="GF24" s="291">
        <f t="shared" ref="GF24" si="13">IFERROR(GF23/GA23-1,"")</f>
      </c>
      <c r="GG24" s="107">
        <f t="shared" ref="GG24" si="14">IFERROR(GG23/GB23-1,"")</f>
      </c>
      <c r="GH24" s="107">
        <f t="shared" ref="GH24" si="15">IFERROR(GH23/GC23-1,"")</f>
      </c>
      <c r="GI24" s="107">
        <f t="shared" ref="GI24" si="16">IFERROR(GI23/GD23-1,"")</f>
      </c>
      <c r="GJ24" s="292">
        <f t="shared" ref="GJ24" si="17">IFERROR(GJ23/GE23-1,"")</f>
      </c>
    </row>
    <row r="25" spans="1:192" ht="12.75" customHeight="1">
      <c r="B25" s="727" t="s">
        <v>197</v>
      </c>
      <c r="C25" s="291"/>
      <c r="D25" s="107"/>
      <c r="E25" s="107"/>
      <c r="F25" s="107"/>
      <c r="G25" s="292"/>
      <c r="H25" s="291"/>
      <c r="I25" s="107"/>
      <c r="J25" s="107"/>
      <c r="K25" s="107"/>
      <c r="L25" s="292"/>
      <c r="M25" s="291"/>
      <c r="N25" s="107"/>
      <c r="O25" s="107"/>
      <c r="P25" s="107"/>
      <c r="Q25" s="292"/>
      <c r="R25" s="291"/>
      <c r="S25" s="107"/>
      <c r="T25" s="107"/>
      <c r="U25" s="107"/>
      <c r="V25" s="292"/>
      <c r="W25" s="291"/>
      <c r="X25" s="107"/>
      <c r="Y25" s="107"/>
      <c r="Z25" s="107"/>
      <c r="AA25" s="292"/>
      <c r="AB25" s="291"/>
      <c r="AC25" s="107"/>
      <c r="AD25" s="107"/>
      <c r="AE25" s="107"/>
      <c r="AF25" s="292"/>
      <c r="AG25" s="291"/>
      <c r="AH25" s="107"/>
      <c r="AI25" s="107"/>
      <c r="AJ25" s="107"/>
      <c r="AK25" s="292"/>
      <c r="AL25" s="291"/>
      <c r="AM25" s="107"/>
      <c r="AN25" s="107"/>
      <c r="AO25" s="107"/>
      <c r="AP25" s="292"/>
      <c r="AQ25" s="291"/>
      <c r="AR25" s="107"/>
      <c r="AS25" s="107"/>
      <c r="AT25" s="107"/>
      <c r="AU25" s="292"/>
      <c r="AV25" s="291"/>
      <c r="AW25" s="107"/>
      <c r="AX25" s="107"/>
      <c r="AY25" s="107"/>
      <c r="AZ25" s="292"/>
      <c r="BA25" s="291"/>
      <c r="BB25" s="107"/>
      <c r="BC25" s="107"/>
      <c r="BD25" s="107"/>
      <c r="BE25" s="292"/>
      <c r="BF25" s="291"/>
      <c r="BG25" s="107"/>
      <c r="BH25" s="107"/>
      <c r="BI25" s="107"/>
      <c r="BJ25" s="292"/>
      <c r="BK25" s="291"/>
      <c r="BL25" s="107"/>
      <c r="BM25" s="107"/>
      <c r="BN25" s="107"/>
      <c r="BO25" s="292"/>
      <c r="BP25" s="291"/>
      <c r="BQ25" s="107"/>
      <c r="BR25" s="107"/>
      <c r="BS25" s="107"/>
      <c r="BT25" s="292"/>
      <c r="BU25" s="291"/>
      <c r="BV25" s="107"/>
      <c r="BW25" s="107"/>
      <c r="BX25" s="107"/>
      <c r="BY25" s="292"/>
      <c r="BZ25" s="291"/>
      <c r="CA25" s="107"/>
      <c r="CB25" s="107"/>
      <c r="CC25" s="107"/>
      <c r="CD25" s="292"/>
      <c r="CE25" s="291"/>
      <c r="CF25" s="107"/>
      <c r="CG25" s="107"/>
      <c r="CH25" s="107"/>
      <c r="CI25" s="292"/>
      <c r="CJ25" s="291"/>
      <c r="CK25" s="107"/>
      <c r="CL25" s="107"/>
      <c r="CM25" s="107"/>
      <c r="CN25" s="292"/>
      <c r="CO25" s="291"/>
      <c r="CP25" s="107"/>
      <c r="CQ25" s="107"/>
      <c r="CR25" s="107"/>
      <c r="CS25" s="292"/>
      <c r="CT25" s="291"/>
      <c r="CU25" s="107"/>
      <c r="CV25" s="107"/>
      <c r="CW25" s="107"/>
      <c r="CX25" s="292"/>
      <c r="CY25" s="412"/>
      <c r="CZ25" s="114"/>
      <c r="DA25" s="114"/>
      <c r="DB25" s="114"/>
      <c r="DC25" s="292"/>
      <c r="DD25" s="412"/>
      <c r="DE25" s="114"/>
      <c r="DF25" s="114"/>
      <c r="DG25" s="114"/>
      <c r="DH25" s="292"/>
      <c r="DI25" s="412"/>
      <c r="DJ25" s="114"/>
      <c r="DK25" s="114"/>
      <c r="DL25" s="114"/>
      <c r="DM25" s="292"/>
      <c r="DN25" s="412"/>
      <c r="DO25" s="114"/>
      <c r="DP25" s="114"/>
      <c r="DQ25" s="114"/>
      <c r="DR25" s="292"/>
      <c r="DS25" s="412"/>
      <c r="DT25" s="114"/>
      <c r="DU25" s="439"/>
      <c r="DV25" s="114"/>
      <c r="DW25" s="292"/>
      <c r="DX25" s="412"/>
      <c r="DY25" s="114"/>
      <c r="DZ25" s="114"/>
      <c r="EA25" s="114"/>
      <c r="EB25" s="292"/>
      <c r="EC25" s="412"/>
      <c r="ED25" s="114"/>
      <c r="EE25" s="114"/>
      <c r="EF25" s="114"/>
      <c r="EG25" s="292"/>
      <c r="EH25" s="412"/>
      <c r="EI25" s="114"/>
      <c r="EJ25" s="114"/>
      <c r="EK25" s="439"/>
      <c r="EL25" s="292"/>
      <c r="EM25" s="412"/>
      <c r="EN25" s="114"/>
      <c r="EO25" s="412"/>
      <c r="EP25" s="412"/>
      <c r="EQ25" s="292"/>
      <c r="ER25" s="412"/>
      <c r="ES25" s="114"/>
      <c r="ET25" s="439"/>
      <c r="EU25" s="439"/>
      <c r="EV25" s="292"/>
      <c r="EW25" s="441">
        <v>0.17</v>
      </c>
      <c r="EX25" s="439">
        <v>0.12</v>
      </c>
      <c r="EY25" s="439">
        <v>0.11</v>
      </c>
      <c r="EZ25" s="439">
        <v>0.15</v>
      </c>
      <c r="FA25" s="292"/>
      <c r="FB25" s="291"/>
      <c r="FC25" s="107"/>
      <c r="FD25" s="107"/>
      <c r="FE25" s="107"/>
      <c r="FF25" s="292"/>
      <c r="FG25" s="291"/>
      <c r="FH25" s="107"/>
      <c r="FI25" s="107"/>
      <c r="FJ25" s="107"/>
      <c r="FK25" s="292"/>
      <c r="FL25" s="291"/>
      <c r="FM25" s="107"/>
      <c r="FN25" s="107"/>
      <c r="FO25" s="107"/>
      <c r="FP25" s="292"/>
      <c r="FQ25" s="291"/>
      <c r="FR25" s="107"/>
      <c r="FS25" s="107"/>
      <c r="FT25" s="107"/>
      <c r="FU25" s="292"/>
      <c r="FV25" s="291"/>
      <c r="FW25" s="107"/>
      <c r="FX25" s="107"/>
      <c r="FY25" s="107"/>
      <c r="FZ25" s="292"/>
      <c r="GA25" s="291"/>
      <c r="GB25" s="107"/>
      <c r="GC25" s="107"/>
      <c r="GD25" s="107"/>
      <c r="GE25" s="292"/>
      <c r="GF25" s="291"/>
      <c r="GG25" s="107"/>
      <c r="GH25" s="107"/>
      <c r="GI25" s="107"/>
      <c r="GJ25" s="292"/>
    </row>
    <row r="26" spans="1:192" ht="12.75" customHeight="1">
      <c r="B26" s="727" t="s">
        <v>36</v>
      </c>
      <c r="C26" s="291"/>
      <c r="D26" s="107"/>
      <c r="E26" s="107"/>
      <c r="F26" s="107"/>
      <c r="G26" s="292"/>
      <c r="H26" s="291"/>
      <c r="I26" s="107"/>
      <c r="J26" s="107"/>
      <c r="K26" s="107"/>
      <c r="L26" s="292"/>
      <c r="M26" s="291"/>
      <c r="N26" s="107"/>
      <c r="O26" s="107"/>
      <c r="P26" s="107"/>
      <c r="Q26" s="292"/>
      <c r="R26" s="291"/>
      <c r="S26" s="107"/>
      <c r="T26" s="107"/>
      <c r="U26" s="107"/>
      <c r="V26" s="292"/>
      <c r="W26" s="291"/>
      <c r="X26" s="107"/>
      <c r="Y26" s="107"/>
      <c r="Z26" s="107"/>
      <c r="AA26" s="292"/>
      <c r="AB26" s="291"/>
      <c r="AC26" s="107"/>
      <c r="AD26" s="107"/>
      <c r="AE26" s="107"/>
      <c r="AF26" s="292"/>
      <c r="AG26" s="291"/>
      <c r="AH26" s="107"/>
      <c r="AI26" s="107"/>
      <c r="AJ26" s="107"/>
      <c r="AK26" s="292"/>
      <c r="AL26" s="291"/>
      <c r="AM26" s="107"/>
      <c r="AN26" s="107"/>
      <c r="AO26" s="107"/>
      <c r="AP26" s="292"/>
      <c r="AQ26" s="291"/>
      <c r="AR26" s="107"/>
      <c r="AS26" s="107"/>
      <c r="AT26" s="107"/>
      <c r="AU26" s="292"/>
      <c r="AV26" s="291"/>
      <c r="AW26" s="107"/>
      <c r="AX26" s="107"/>
      <c r="AY26" s="107"/>
      <c r="AZ26" s="292"/>
      <c r="BA26" s="291"/>
      <c r="BB26" s="107"/>
      <c r="BC26" s="107"/>
      <c r="BD26" s="107"/>
      <c r="BE26" s="292"/>
      <c r="BF26" s="291"/>
      <c r="BG26" s="107"/>
      <c r="BH26" s="107"/>
      <c r="BI26" s="107"/>
      <c r="BJ26" s="292"/>
      <c r="BK26" s="291"/>
      <c r="BL26" s="107"/>
      <c r="BM26" s="107"/>
      <c r="BN26" s="107"/>
      <c r="BO26" s="292"/>
      <c r="BP26" s="291"/>
      <c r="BQ26" s="107"/>
      <c r="BR26" s="107"/>
      <c r="BS26" s="107"/>
      <c r="BT26" s="292"/>
      <c r="BU26" s="291"/>
      <c r="BV26" s="107"/>
      <c r="BW26" s="107"/>
      <c r="BX26" s="107"/>
      <c r="BY26" s="292"/>
      <c r="BZ26" s="291"/>
      <c r="CA26" s="107"/>
      <c r="CB26" s="107"/>
      <c r="CC26" s="107"/>
      <c r="CD26" s="292"/>
      <c r="CE26" s="291"/>
      <c r="CF26" s="107"/>
      <c r="CG26" s="107"/>
      <c r="CH26" s="107"/>
      <c r="CI26" s="292"/>
      <c r="CJ26" s="291"/>
      <c r="CK26" s="107"/>
      <c r="CL26" s="107"/>
      <c r="CM26" s="107"/>
      <c r="CN26" s="292"/>
      <c r="CO26" s="291"/>
      <c r="CP26" s="107"/>
      <c r="CQ26" s="107"/>
      <c r="CR26" s="107"/>
      <c r="CS26" s="292"/>
      <c r="CT26" s="291"/>
      <c r="CU26" s="107"/>
      <c r="CV26" s="107"/>
      <c r="CW26" s="107"/>
      <c r="CX26" s="292"/>
      <c r="CY26" s="291"/>
      <c r="CZ26" s="107"/>
      <c r="DA26" s="107"/>
      <c r="DB26" s="107"/>
      <c r="DC26" s="292"/>
      <c r="DD26" s="291"/>
      <c r="DE26" s="107"/>
      <c r="DF26" s="107"/>
      <c r="DG26" s="107"/>
      <c r="DH26" s="292"/>
      <c r="DI26" s="291"/>
      <c r="DJ26" s="107"/>
      <c r="DK26" s="107"/>
      <c r="DL26" s="107"/>
      <c r="DM26" s="292"/>
      <c r="DN26" s="291"/>
      <c r="DO26" s="107"/>
      <c r="DP26" s="107"/>
      <c r="DQ26" s="107"/>
      <c r="DR26" s="292"/>
      <c r="DS26" s="291"/>
      <c r="DT26" s="107"/>
      <c r="DU26" s="107"/>
      <c r="DV26" s="107"/>
      <c r="DW26" s="292"/>
      <c r="DX26" s="291"/>
      <c r="DY26" s="107"/>
      <c r="DZ26" s="107"/>
      <c r="EA26" s="107"/>
      <c r="EB26" s="292"/>
      <c r="EC26" s="291"/>
      <c r="ED26" s="107"/>
      <c r="EE26" s="107"/>
      <c r="EF26" s="107"/>
      <c r="EG26" s="292"/>
      <c r="EH26" s="291"/>
      <c r="EI26" s="107"/>
      <c r="EJ26" s="107"/>
      <c r="EK26" s="468"/>
      <c r="EL26" s="292"/>
      <c r="EM26" s="291"/>
      <c r="EN26" s="107"/>
      <c r="EO26" s="107"/>
      <c r="EP26" s="107"/>
      <c r="EQ26" s="292"/>
      <c r="ER26" s="291"/>
      <c r="ES26" s="107">
        <f>IFERROR(ES23/ER23-1,"--")</f>
      </c>
      <c r="ET26" s="107">
        <f>IFERROR(ET23/ES23-1,"--")</f>
      </c>
      <c r="EU26" s="468">
        <f>IFERROR(EU23/ET23-1,"--")</f>
      </c>
      <c r="EV26" s="293"/>
      <c r="EW26" s="291">
        <f>IFERROR(EW23/EU23-1,"--")</f>
      </c>
      <c r="EX26" s="107">
        <f>IFERROR(EX23/EW23-1,"--")</f>
      </c>
      <c r="EY26" s="107">
        <f>IFERROR(EY23/EX23-1,"--")</f>
      </c>
      <c r="EZ26" s="468">
        <f>IFERROR(EZ23/EY23-1,"--")</f>
      </c>
      <c r="FA26" s="292"/>
      <c r="FB26" s="291">
        <f>IFERROR(FB23/EZ23-1,"")</f>
      </c>
      <c r="FC26" s="107">
        <f>IFERROR(FC23/FB23-1,"")</f>
      </c>
      <c r="FD26" s="107">
        <f>IFERROR(FD23/FC23-1,"")</f>
      </c>
      <c r="FE26" s="107">
        <f>IFERROR(FE23/FD23-1,"")</f>
      </c>
      <c r="FF26" s="292"/>
      <c r="FG26" s="291">
        <f>IFERROR(FG23/FE23-1,"")</f>
      </c>
      <c r="FH26" s="107">
        <f>IFERROR(FH23/FG23-1,"")</f>
      </c>
      <c r="FI26" s="107">
        <f>IFERROR(FI23/FH23-1,"")</f>
      </c>
      <c r="FJ26" s="107">
        <f>IFERROR(FJ23/FI23-1,"")</f>
      </c>
      <c r="FK26" s="292"/>
      <c r="FL26" s="291">
        <f>IFERROR(FL23/FJ23-1,"")</f>
      </c>
      <c r="FM26" s="107">
        <f>IFERROR(FM23/FL23-1,"")</f>
      </c>
      <c r="FN26" s="107">
        <f>IFERROR(FN23/FM23-1,"")</f>
      </c>
      <c r="FO26" s="107">
        <f>IFERROR(FO23/FN23-1,"")</f>
      </c>
      <c r="FP26" s="292"/>
      <c r="FQ26" s="291">
        <f>IFERROR(FQ23/FO23-1,"")</f>
      </c>
      <c r="FR26" s="107">
        <f>IFERROR(FR23/FQ23-1,"")</f>
      </c>
      <c r="FS26" s="107">
        <f>IFERROR(FS23/FR23-1,"")</f>
      </c>
      <c r="FT26" s="107">
        <f>IFERROR(FT23/FS23-1,"")</f>
      </c>
      <c r="FU26" s="292"/>
      <c r="FV26" s="291">
        <f>IFERROR(FV23/FT23-1,"")</f>
      </c>
      <c r="FW26" s="107">
        <f>IFERROR(FW23/FV23-1,"")</f>
      </c>
      <c r="FX26" s="107">
        <f>IFERROR(FX23/FW23-1,"")</f>
      </c>
      <c r="FY26" s="107">
        <f>IFERROR(FY23/FX23-1,"")</f>
      </c>
      <c r="FZ26" s="292"/>
      <c r="GA26" s="291">
        <f>IFERROR(GA23/FY23-1,"")</f>
      </c>
      <c r="GB26" s="107">
        <f>IFERROR(GB23/GA23-1,"")</f>
      </c>
      <c r="GC26" s="107">
        <f>IFERROR(GC23/GB23-1,"")</f>
      </c>
      <c r="GD26" s="107">
        <f>IFERROR(GD23/GC23-1,"")</f>
      </c>
      <c r="GE26" s="292"/>
      <c r="GF26" s="291">
        <f>IFERROR(GF23/GD23-1,"")</f>
      </c>
      <c r="GG26" s="107">
        <f>IFERROR(GG23/GF23-1,"")</f>
      </c>
      <c r="GH26" s="107">
        <f>IFERROR(GH23/GG23-1,"")</f>
      </c>
      <c r="GI26" s="107">
        <f>IFERROR(GI23/GH23-1,"")</f>
      </c>
      <c r="GJ26" s="292"/>
    </row>
    <row r="27" spans="1:192" ht="12.75" customHeight="1">
      <c r="B27" s="727" t="s">
        <v>265</v>
      </c>
      <c r="C27" s="291"/>
      <c r="D27" s="107"/>
      <c r="E27" s="107"/>
      <c r="F27" s="107"/>
      <c r="G27" s="292"/>
      <c r="H27" s="291"/>
      <c r="I27" s="107"/>
      <c r="J27" s="107"/>
      <c r="K27" s="107"/>
      <c r="L27" s="292"/>
      <c r="M27" s="291"/>
      <c r="N27" s="107"/>
      <c r="O27" s="107"/>
      <c r="P27" s="107"/>
      <c r="Q27" s="292"/>
      <c r="R27" s="291"/>
      <c r="S27" s="107"/>
      <c r="T27" s="107"/>
      <c r="U27" s="107"/>
      <c r="V27" s="292"/>
      <c r="W27" s="291"/>
      <c r="X27" s="107"/>
      <c r="Y27" s="107"/>
      <c r="Z27" s="107"/>
      <c r="AA27" s="292"/>
      <c r="AB27" s="291"/>
      <c r="AC27" s="107"/>
      <c r="AD27" s="107"/>
      <c r="AE27" s="107"/>
      <c r="AF27" s="292"/>
      <c r="AG27" s="291"/>
      <c r="AH27" s="107"/>
      <c r="AI27" s="107"/>
      <c r="AJ27" s="107"/>
      <c r="AK27" s="292"/>
      <c r="AL27" s="291"/>
      <c r="AM27" s="107"/>
      <c r="AN27" s="107"/>
      <c r="AO27" s="107"/>
      <c r="AP27" s="292"/>
      <c r="AQ27" s="291"/>
      <c r="AR27" s="107"/>
      <c r="AS27" s="107"/>
      <c r="AT27" s="107"/>
      <c r="AU27" s="292"/>
      <c r="AV27" s="291"/>
      <c r="AW27" s="107"/>
      <c r="AX27" s="107"/>
      <c r="AY27" s="107"/>
      <c r="AZ27" s="292"/>
      <c r="BA27" s="291"/>
      <c r="BB27" s="107"/>
      <c r="BC27" s="107"/>
      <c r="BD27" s="107"/>
      <c r="BE27" s="292"/>
      <c r="BF27" s="291"/>
      <c r="BG27" s="107"/>
      <c r="BH27" s="107"/>
      <c r="BI27" s="107"/>
      <c r="BJ27" s="292"/>
      <c r="BK27" s="291"/>
      <c r="BL27" s="107"/>
      <c r="BM27" s="107"/>
      <c r="BN27" s="107"/>
      <c r="BO27" s="292"/>
      <c r="BP27" s="291"/>
      <c r="BQ27" s="107"/>
      <c r="BR27" s="107"/>
      <c r="BS27" s="107"/>
      <c r="BT27" s="292"/>
      <c r="BU27" s="291"/>
      <c r="BV27" s="107"/>
      <c r="BW27" s="107"/>
      <c r="BX27" s="107"/>
      <c r="BY27" s="292"/>
      <c r="BZ27" s="291"/>
      <c r="CA27" s="107"/>
      <c r="CB27" s="107"/>
      <c r="CC27" s="107"/>
      <c r="CD27" s="292"/>
      <c r="CE27" s="291"/>
      <c r="CF27" s="107"/>
      <c r="CG27" s="107"/>
      <c r="CH27" s="107"/>
      <c r="CI27" s="292"/>
      <c r="CJ27" s="291"/>
      <c r="CK27" s="107"/>
      <c r="CL27" s="107"/>
      <c r="CM27" s="107"/>
      <c r="CN27" s="292"/>
      <c r="CO27" s="291"/>
      <c r="CP27" s="107"/>
      <c r="CQ27" s="107"/>
      <c r="CR27" s="107"/>
      <c r="CS27" s="292"/>
      <c r="CT27" s="291"/>
      <c r="CU27" s="107"/>
      <c r="CV27" s="107"/>
      <c r="CW27" s="107"/>
      <c r="CX27" s="292"/>
      <c r="CY27" s="291"/>
      <c r="CZ27" s="107"/>
      <c r="DA27" s="107"/>
      <c r="DB27" s="107"/>
      <c r="DC27" s="292"/>
      <c r="DD27" s="447"/>
      <c r="DE27" s="447"/>
      <c r="DF27" s="447"/>
      <c r="DG27" s="447"/>
      <c r="DH27" s="462"/>
      <c r="DI27" s="447"/>
      <c r="DJ27" s="447"/>
      <c r="DK27" s="447"/>
      <c r="DL27" s="447"/>
      <c r="DM27" s="462"/>
      <c r="DN27" s="447"/>
      <c r="DO27" s="447"/>
      <c r="DP27" s="447"/>
      <c r="DQ27" s="447"/>
      <c r="DR27" s="462"/>
      <c r="DS27" s="447"/>
      <c r="DT27" s="447"/>
      <c r="DU27" s="447"/>
      <c r="DV27" s="447"/>
      <c r="DW27" s="462"/>
      <c r="DX27" s="447"/>
      <c r="DY27" s="447"/>
      <c r="DZ27" s="447"/>
      <c r="EA27" s="447"/>
      <c r="EB27" s="462"/>
      <c r="EC27" s="447"/>
      <c r="ED27" s="447"/>
      <c r="EE27" s="447"/>
      <c r="EF27" s="447"/>
      <c r="EG27" s="494"/>
      <c r="EH27" s="447"/>
      <c r="EI27" s="447"/>
      <c r="EJ27" s="447"/>
      <c r="EK27" s="511"/>
      <c r="EL27" s="462"/>
      <c r="EM27" s="448"/>
      <c r="EN27" s="448"/>
      <c r="EO27" s="448"/>
      <c r="EP27" s="463"/>
      <c r="EQ27" s="494"/>
      <c r="ER27" s="448"/>
      <c r="ES27" s="815"/>
      <c r="ET27" s="815"/>
      <c r="EU27" s="463"/>
      <c r="EV27" s="494"/>
      <c r="EW27" s="815">
        <v>984</v>
      </c>
      <c r="EX27" s="815">
        <v>898</v>
      </c>
      <c r="EY27" s="815">
        <v>623</v>
      </c>
      <c r="EZ27" s="679">
        <f>FA27-EY27-EX27-EW27</f>
      </c>
      <c r="FA27" s="462">
        <f t="shared" ref="FA27:GD27" si="18">FA23-EV23</f>
      </c>
      <c r="FB27" s="458">
        <f t="shared" si="18"/>
      </c>
      <c r="FC27" s="458">
        <f t="shared" si="18"/>
      </c>
      <c r="FD27" s="458">
        <f t="shared" si="18"/>
      </c>
      <c r="FE27" s="458">
        <f t="shared" si="18"/>
      </c>
      <c r="FF27" s="462">
        <f t="shared" si="18"/>
      </c>
      <c r="FG27" s="458">
        <f t="shared" si="18"/>
      </c>
      <c r="FH27" s="458">
        <f t="shared" si="18"/>
      </c>
      <c r="FI27" s="458">
        <f t="shared" si="18"/>
      </c>
      <c r="FJ27" s="458">
        <f t="shared" si="18"/>
      </c>
      <c r="FK27" s="462">
        <f t="shared" si="18"/>
      </c>
      <c r="FL27" s="458">
        <f t="shared" si="18"/>
      </c>
      <c r="FM27" s="458">
        <f t="shared" si="18"/>
      </c>
      <c r="FN27" s="458">
        <f t="shared" si="18"/>
      </c>
      <c r="FO27" s="458">
        <f t="shared" si="18"/>
      </c>
      <c r="FP27" s="462">
        <f t="shared" si="18"/>
      </c>
      <c r="FQ27" s="458">
        <f t="shared" si="18"/>
      </c>
      <c r="FR27" s="458">
        <f t="shared" si="18"/>
      </c>
      <c r="FS27" s="458">
        <f t="shared" si="18"/>
      </c>
      <c r="FT27" s="458">
        <f t="shared" si="18"/>
      </c>
      <c r="FU27" s="462">
        <f t="shared" si="18"/>
      </c>
      <c r="FV27" s="447">
        <f t="shared" si="18"/>
      </c>
      <c r="FW27" s="458">
        <f t="shared" si="18"/>
      </c>
      <c r="FX27" s="458">
        <f t="shared" si="18"/>
      </c>
      <c r="FY27" s="458">
        <f t="shared" si="18"/>
      </c>
      <c r="FZ27" s="462">
        <f t="shared" si="18"/>
      </c>
      <c r="GA27" s="447">
        <f t="shared" si="18"/>
      </c>
      <c r="GB27" s="458">
        <f t="shared" si="18"/>
      </c>
      <c r="GC27" s="458">
        <f t="shared" si="18"/>
      </c>
      <c r="GD27" s="458">
        <f t="shared" si="18"/>
      </c>
      <c r="GE27" s="462">
        <f>GE23-FZ23</f>
      </c>
      <c r="GF27" s="447">
        <f t="shared" ref="GF27" si="19">GF23-GA23</f>
      </c>
      <c r="GG27" s="458">
        <f t="shared" ref="GG27" si="20">GG23-GB23</f>
      </c>
      <c r="GH27" s="458">
        <f t="shared" ref="GH27" si="21">GH23-GC23</f>
      </c>
      <c r="GI27" s="458">
        <f t="shared" ref="GI27" si="22">GI23-GD23</f>
      </c>
      <c r="GJ27" s="462">
        <f>GJ23-GE23</f>
      </c>
    </row>
    <row r="28" spans="1:192" s="1241" customFormat="1" ht="12.75" customHeight="1">
      <c r="A28" s="850"/>
      <c r="B28" s="727" t="s">
        <v>259</v>
      </c>
      <c r="C28" s="892"/>
      <c r="D28" s="924"/>
      <c r="E28" s="924"/>
      <c r="F28" s="924"/>
      <c r="G28" s="1240"/>
      <c r="H28" s="892"/>
      <c r="I28" s="924"/>
      <c r="J28" s="924"/>
      <c r="K28" s="924"/>
      <c r="L28" s="1240"/>
      <c r="M28" s="892"/>
      <c r="N28" s="924"/>
      <c r="O28" s="924"/>
      <c r="P28" s="924"/>
      <c r="Q28" s="1240"/>
      <c r="R28" s="892"/>
      <c r="S28" s="924"/>
      <c r="T28" s="924"/>
      <c r="U28" s="924"/>
      <c r="V28" s="1240"/>
      <c r="W28" s="892"/>
      <c r="X28" s="924"/>
      <c r="Y28" s="924"/>
      <c r="Z28" s="924"/>
      <c r="AA28" s="1240"/>
      <c r="AB28" s="892"/>
      <c r="AC28" s="924"/>
      <c r="AD28" s="924"/>
      <c r="AE28" s="924"/>
      <c r="AF28" s="1240"/>
      <c r="AG28" s="892"/>
      <c r="AH28" s="924"/>
      <c r="AI28" s="924"/>
      <c r="AJ28" s="924"/>
      <c r="AK28" s="1240"/>
      <c r="AL28" s="892"/>
      <c r="AM28" s="924"/>
      <c r="AN28" s="924"/>
      <c r="AO28" s="924"/>
      <c r="AP28" s="1240"/>
      <c r="AQ28" s="892"/>
      <c r="AR28" s="924"/>
      <c r="AS28" s="924"/>
      <c r="AT28" s="924"/>
      <c r="AU28" s="1240"/>
      <c r="AV28" s="892"/>
      <c r="AW28" s="924"/>
      <c r="AX28" s="924"/>
      <c r="AY28" s="924"/>
      <c r="AZ28" s="1240"/>
      <c r="BA28" s="892"/>
      <c r="BB28" s="924"/>
      <c r="BC28" s="924"/>
      <c r="BD28" s="924"/>
      <c r="BE28" s="1240"/>
      <c r="BF28" s="892"/>
      <c r="BG28" s="924"/>
      <c r="BH28" s="924"/>
      <c r="BI28" s="924"/>
      <c r="BJ28" s="1240"/>
      <c r="BK28" s="892"/>
      <c r="BL28" s="924"/>
      <c r="BM28" s="924"/>
      <c r="BN28" s="924"/>
      <c r="BO28" s="1240"/>
      <c r="BP28" s="892"/>
      <c r="BQ28" s="924"/>
      <c r="BR28" s="924"/>
      <c r="BS28" s="924"/>
      <c r="BT28" s="1240"/>
      <c r="BU28" s="892"/>
      <c r="BV28" s="924"/>
      <c r="BW28" s="924"/>
      <c r="BX28" s="924"/>
      <c r="BY28" s="1240"/>
      <c r="BZ28" s="892"/>
      <c r="CA28" s="924"/>
      <c r="CB28" s="924"/>
      <c r="CC28" s="924"/>
      <c r="CD28" s="1240"/>
      <c r="CE28" s="892"/>
      <c r="CF28" s="924"/>
      <c r="CG28" s="924"/>
      <c r="CH28" s="924"/>
      <c r="CI28" s="1240"/>
      <c r="CJ28" s="892"/>
      <c r="CK28" s="924"/>
      <c r="CL28" s="924"/>
      <c r="CM28" s="924"/>
      <c r="CN28" s="1240"/>
      <c r="CO28" s="892"/>
      <c r="CP28" s="924"/>
      <c r="CQ28" s="924"/>
      <c r="CR28" s="924"/>
      <c r="CS28" s="1240"/>
      <c r="CT28" s="892"/>
      <c r="CU28" s="924"/>
      <c r="CV28" s="924"/>
      <c r="CW28" s="924"/>
      <c r="CX28" s="1240"/>
      <c r="CY28" s="892"/>
      <c r="CZ28" s="924"/>
      <c r="DA28" s="924"/>
      <c r="DB28" s="924"/>
      <c r="DC28" s="1240"/>
      <c r="DD28" s="892"/>
      <c r="DE28" s="892"/>
      <c r="DF28" s="892"/>
      <c r="DG28" s="892"/>
      <c r="DH28" s="1240"/>
      <c r="DI28" s="892"/>
      <c r="DJ28" s="892"/>
      <c r="DK28" s="892"/>
      <c r="DL28" s="892"/>
      <c r="DM28" s="1240"/>
      <c r="DN28" s="892"/>
      <c r="DO28" s="892"/>
      <c r="DP28" s="892"/>
      <c r="DQ28" s="892"/>
      <c r="DR28" s="1240"/>
      <c r="DS28" s="892"/>
      <c r="DT28" s="892"/>
      <c r="DU28" s="892"/>
      <c r="DV28" s="892"/>
      <c r="DW28" s="1240"/>
      <c r="DX28" s="892"/>
      <c r="DY28" s="892"/>
      <c r="DZ28" s="892"/>
      <c r="EA28" s="892"/>
      <c r="EB28" s="1240"/>
      <c r="EC28" s="892"/>
      <c r="ED28" s="892"/>
      <c r="EE28" s="892"/>
      <c r="EF28" s="892"/>
      <c r="EG28" s="1240"/>
      <c r="EH28" s="892"/>
      <c r="EI28" s="892"/>
      <c r="EJ28" s="892"/>
      <c r="EK28" s="892"/>
      <c r="EL28" s="1240"/>
      <c r="EM28" s="892"/>
      <c r="EN28" s="892"/>
      <c r="EO28" s="892"/>
      <c r="EP28" s="924"/>
      <c r="EQ28" s="1240"/>
      <c r="ER28" s="892">
        <f>ER23/ER10</f>
      </c>
      <c r="ES28" s="892">
        <f>ES23/ES10</f>
      </c>
      <c r="ET28" s="892">
        <f>ET23/ET10</f>
      </c>
      <c r="EU28" s="892">
        <f>EU23/EU10</f>
      </c>
      <c r="EV28" s="1240"/>
      <c r="EW28" s="892">
        <f>EW23/EW10</f>
      </c>
      <c r="EX28" s="892">
        <f>EX23/EX10</f>
      </c>
      <c r="EY28" s="892">
        <f>EY23/EY10</f>
      </c>
      <c r="EZ28" s="892">
        <f>EZ23/EZ10</f>
      </c>
      <c r="FA28" s="1240">
        <f>FA23/FA10</f>
      </c>
      <c r="FB28" s="1238">
        <v>0.54500000000000004</v>
      </c>
      <c r="FC28" s="1117">
        <f>FB28</f>
      </c>
      <c r="FD28" s="1117">
        <f>FC28</f>
      </c>
      <c r="FE28" s="1117">
        <f>FD28</f>
      </c>
      <c r="FF28" s="1240">
        <f>FF23/FF10</f>
      </c>
      <c r="FG28" s="1238">
        <f>FB28</f>
      </c>
      <c r="FH28" s="1117">
        <f>FG28</f>
      </c>
      <c r="FI28" s="1117">
        <f>FH28</f>
      </c>
      <c r="FJ28" s="1117">
        <f>FI28</f>
      </c>
      <c r="FK28" s="1240">
        <f>FK23/FK10</f>
      </c>
      <c r="FL28" s="1238">
        <f>FG28</f>
      </c>
      <c r="FM28" s="1117">
        <f>FL28</f>
      </c>
      <c r="FN28" s="1117">
        <f>FM28</f>
      </c>
      <c r="FO28" s="1117">
        <f>FN28</f>
      </c>
      <c r="FP28" s="1240">
        <f>FP23/FP10</f>
      </c>
      <c r="FQ28" s="1238">
        <f>FL28</f>
      </c>
      <c r="FR28" s="1117">
        <f>FQ28</f>
      </c>
      <c r="FS28" s="1117">
        <f>FR28</f>
      </c>
      <c r="FT28" s="1117">
        <f>FS28</f>
      </c>
      <c r="FU28" s="1240">
        <f>FU23/FU10</f>
      </c>
      <c r="FV28" s="1238">
        <f>FQ28</f>
      </c>
      <c r="FW28" s="1117">
        <f>FV28</f>
      </c>
      <c r="FX28" s="1117">
        <f>FW28</f>
      </c>
      <c r="FY28" s="1117">
        <f>FX28</f>
      </c>
      <c r="FZ28" s="1240">
        <f>FZ23/FZ10</f>
      </c>
      <c r="GA28" s="1238">
        <f>FV28</f>
      </c>
      <c r="GB28" s="1117">
        <f>GA28</f>
      </c>
      <c r="GC28" s="1117">
        <f>GB28</f>
      </c>
      <c r="GD28" s="1117">
        <f>GC28</f>
      </c>
      <c r="GE28" s="1240">
        <f>GE23/GE10</f>
      </c>
      <c r="GF28" s="1238">
        <f>GA28</f>
      </c>
      <c r="GG28" s="1117">
        <f>GF28</f>
      </c>
      <c r="GH28" s="1117">
        <f>GG28</f>
      </c>
      <c r="GI28" s="1117">
        <f>GH28</f>
      </c>
      <c r="GJ28" s="1240">
        <f>GJ23/GJ10</f>
      </c>
    </row>
    <row r="29" spans="1:192" s="1247" customFormat="1" ht="12.75" customHeight="1">
      <c r="A29" s="850"/>
      <c r="B29" s="753" t="s">
        <v>1854</v>
      </c>
      <c r="C29" s="1243"/>
      <c r="D29" s="1244"/>
      <c r="E29" s="1244"/>
      <c r="F29" s="1244"/>
      <c r="G29" s="1242"/>
      <c r="H29" s="1243"/>
      <c r="I29" s="1244"/>
      <c r="J29" s="1244"/>
      <c r="K29" s="1244"/>
      <c r="L29" s="1242"/>
      <c r="M29" s="1243"/>
      <c r="N29" s="1244"/>
      <c r="O29" s="1244"/>
      <c r="P29" s="1244"/>
      <c r="Q29" s="1242"/>
      <c r="R29" s="1243"/>
      <c r="S29" s="1244"/>
      <c r="T29" s="1244"/>
      <c r="U29" s="1244"/>
      <c r="V29" s="1242"/>
      <c r="W29" s="1243"/>
      <c r="X29" s="1244"/>
      <c r="Y29" s="1244"/>
      <c r="Z29" s="1244"/>
      <c r="AA29" s="1242"/>
      <c r="AB29" s="1243"/>
      <c r="AC29" s="1244"/>
      <c r="AD29" s="1244"/>
      <c r="AE29" s="1244"/>
      <c r="AF29" s="1242"/>
      <c r="AG29" s="1243"/>
      <c r="AH29" s="1244"/>
      <c r="AI29" s="1244"/>
      <c r="AJ29" s="1244"/>
      <c r="AK29" s="1242"/>
      <c r="AL29" s="1243"/>
      <c r="AM29" s="1244"/>
      <c r="AN29" s="1244"/>
      <c r="AO29" s="1244"/>
      <c r="AP29" s="1242"/>
      <c r="AQ29" s="1243"/>
      <c r="AR29" s="1244"/>
      <c r="AS29" s="1244"/>
      <c r="AT29" s="1244"/>
      <c r="AU29" s="1242"/>
      <c r="AV29" s="1243"/>
      <c r="AW29" s="1244"/>
      <c r="AX29" s="1244"/>
      <c r="AY29" s="1244"/>
      <c r="AZ29" s="1242"/>
      <c r="BA29" s="1243"/>
      <c r="BB29" s="1244"/>
      <c r="BC29" s="1244"/>
      <c r="BD29" s="1244"/>
      <c r="BE29" s="1242"/>
      <c r="BF29" s="1243"/>
      <c r="BG29" s="1244"/>
      <c r="BH29" s="1244"/>
      <c r="BI29" s="1244"/>
      <c r="BJ29" s="1242"/>
      <c r="BK29" s="1243"/>
      <c r="BL29" s="1244"/>
      <c r="BM29" s="1244"/>
      <c r="BN29" s="1244"/>
      <c r="BO29" s="1242"/>
      <c r="BP29" s="1243"/>
      <c r="BQ29" s="1244"/>
      <c r="BR29" s="1244"/>
      <c r="BS29" s="1244"/>
      <c r="BT29" s="1242"/>
      <c r="BU29" s="1243"/>
      <c r="BV29" s="1244"/>
      <c r="BW29" s="1244"/>
      <c r="BX29" s="1244"/>
      <c r="BY29" s="1242"/>
      <c r="BZ29" s="1243"/>
      <c r="CA29" s="1244"/>
      <c r="CB29" s="1244"/>
      <c r="CC29" s="1244"/>
      <c r="CD29" s="1242"/>
      <c r="CE29" s="1243"/>
      <c r="CF29" s="1244"/>
      <c r="CG29" s="1244"/>
      <c r="CH29" s="1244"/>
      <c r="CI29" s="1242"/>
      <c r="CJ29" s="1243"/>
      <c r="CK29" s="1244"/>
      <c r="CL29" s="1244"/>
      <c r="CM29" s="1244"/>
      <c r="CN29" s="1242"/>
      <c r="CO29" s="1243"/>
      <c r="CP29" s="1244"/>
      <c r="CQ29" s="1244"/>
      <c r="CR29" s="1244"/>
      <c r="CS29" s="1242"/>
      <c r="CT29" s="1243"/>
      <c r="CU29" s="1244"/>
      <c r="CV29" s="1244"/>
      <c r="CW29" s="1244"/>
      <c r="CX29" s="1242"/>
      <c r="CY29" s="1243"/>
      <c r="CZ29" s="1244"/>
      <c r="DA29" s="1244"/>
      <c r="DB29" s="1244"/>
      <c r="DC29" s="1242"/>
      <c r="DD29" s="1243"/>
      <c r="DE29" s="1244"/>
      <c r="DF29" s="1244"/>
      <c r="DG29" s="1244"/>
      <c r="DH29" s="1245"/>
      <c r="DI29" s="1243"/>
      <c r="DJ29" s="1244"/>
      <c r="DK29" s="1244"/>
      <c r="DL29" s="1244"/>
      <c r="DM29" s="1242"/>
      <c r="DN29" s="1243"/>
      <c r="DO29" s="1244"/>
      <c r="DP29" s="1244"/>
      <c r="DQ29" s="1244"/>
      <c r="DR29" s="1242"/>
      <c r="DS29" s="1243"/>
      <c r="DT29" s="1244"/>
      <c r="DU29" s="1244"/>
      <c r="DV29" s="1244"/>
      <c r="DW29" s="1242"/>
      <c r="DX29" s="1243"/>
      <c r="DY29" s="1244"/>
      <c r="DZ29" s="1244"/>
      <c r="EA29" s="1244"/>
      <c r="EB29" s="1242"/>
      <c r="EC29" s="1243"/>
      <c r="ED29" s="1244"/>
      <c r="EE29" s="1244"/>
      <c r="EF29" s="1244"/>
      <c r="EG29" s="1242"/>
      <c r="EH29" s="1243"/>
      <c r="EI29" s="1244"/>
      <c r="EJ29" s="1244"/>
      <c r="EK29" s="1244"/>
      <c r="EL29" s="1242"/>
      <c r="EM29" s="1243"/>
      <c r="EN29" s="1243"/>
      <c r="EO29" s="1243"/>
      <c r="EP29" s="1244"/>
      <c r="EQ29" s="1242"/>
      <c r="ER29" s="1243"/>
      <c r="ES29" s="1244"/>
      <c r="ET29" s="1244"/>
      <c r="EU29" s="1244"/>
      <c r="EV29" s="1242"/>
      <c r="EW29" s="1243">
        <f t="shared" ref="EW29:GD29" si="23">(EW28-ER28)*10000</f>
      </c>
      <c r="EX29" s="1244">
        <f t="shared" si="23"/>
      </c>
      <c r="EY29" s="1244">
        <f t="shared" si="23"/>
      </c>
      <c r="EZ29" s="1244">
        <f t="shared" si="23"/>
      </c>
      <c r="FA29" s="1242"/>
      <c r="FB29" s="1243">
        <f t="shared" si="23"/>
      </c>
      <c r="FC29" s="1244">
        <f t="shared" si="23"/>
      </c>
      <c r="FD29" s="1244">
        <f t="shared" si="23"/>
      </c>
      <c r="FE29" s="1244">
        <f t="shared" si="23"/>
      </c>
      <c r="FF29" s="1242">
        <f t="shared" si="23"/>
      </c>
      <c r="FG29" s="1243">
        <f t="shared" si="23"/>
      </c>
      <c r="FH29" s="1243">
        <f t="shared" si="23"/>
      </c>
      <c r="FI29" s="1243">
        <f t="shared" si="23"/>
      </c>
      <c r="FJ29" s="1243">
        <f t="shared" si="23"/>
      </c>
      <c r="FK29" s="1242">
        <f t="shared" si="23"/>
      </c>
      <c r="FL29" s="1243">
        <f t="shared" si="23"/>
      </c>
      <c r="FM29" s="1243">
        <f t="shared" si="23"/>
      </c>
      <c r="FN29" s="1243">
        <f t="shared" si="23"/>
      </c>
      <c r="FO29" s="1243">
        <f t="shared" si="23"/>
      </c>
      <c r="FP29" s="1242">
        <f t="shared" si="23"/>
      </c>
      <c r="FQ29" s="1243">
        <f t="shared" si="23"/>
      </c>
      <c r="FR29" s="1243">
        <f t="shared" si="23"/>
      </c>
      <c r="FS29" s="1243">
        <f t="shared" si="23"/>
      </c>
      <c r="FT29" s="1243">
        <f t="shared" si="23"/>
      </c>
      <c r="FU29" s="1242">
        <f t="shared" si="23"/>
      </c>
      <c r="FV29" s="1243">
        <f t="shared" si="23"/>
      </c>
      <c r="FW29" s="1243">
        <f t="shared" si="23"/>
      </c>
      <c r="FX29" s="1243">
        <f t="shared" si="23"/>
      </c>
      <c r="FY29" s="1243">
        <f t="shared" si="23"/>
      </c>
      <c r="FZ29" s="1242">
        <f t="shared" si="23"/>
      </c>
      <c r="GA29" s="1243">
        <f t="shared" si="23"/>
      </c>
      <c r="GB29" s="1243">
        <f t="shared" si="23"/>
      </c>
      <c r="GC29" s="1243">
        <f t="shared" si="23"/>
      </c>
      <c r="GD29" s="1243">
        <f t="shared" si="23"/>
      </c>
      <c r="GE29" s="1242">
        <f>(GE28-FZ28)*10000</f>
      </c>
      <c r="GF29" s="1243">
        <f t="shared" ref="GF29" si="24">(GF28-GA28)*10000</f>
      </c>
      <c r="GG29" s="1243">
        <f t="shared" ref="GG29" si="25">(GG28-GB28)*10000</f>
      </c>
      <c r="GH29" s="1243">
        <f t="shared" ref="GH29" si="26">(GH28-GC28)*10000</f>
      </c>
      <c r="GI29" s="1243">
        <f t="shared" ref="GI29" si="27">(GI28-GD28)*10000</f>
      </c>
      <c r="GJ29" s="1242">
        <f>(GJ28-GE28)*10000</f>
      </c>
    </row>
    <row r="30" spans="1:192" ht="12.75" customHeight="1">
      <c r="B30" s="727"/>
      <c r="C30" s="291"/>
      <c r="D30" s="107"/>
      <c r="E30" s="107"/>
      <c r="F30" s="107"/>
      <c r="G30" s="293"/>
      <c r="H30" s="291"/>
      <c r="I30" s="107"/>
      <c r="J30" s="107"/>
      <c r="K30" s="107"/>
      <c r="L30" s="293"/>
      <c r="M30" s="291"/>
      <c r="N30" s="107"/>
      <c r="O30" s="107"/>
      <c r="P30" s="107"/>
      <c r="Q30" s="293"/>
      <c r="R30" s="291"/>
      <c r="S30" s="107"/>
      <c r="T30" s="107"/>
      <c r="U30" s="107"/>
      <c r="V30" s="293"/>
      <c r="W30" s="291"/>
      <c r="X30" s="107"/>
      <c r="Y30" s="107"/>
      <c r="Z30" s="107"/>
      <c r="AA30" s="293"/>
      <c r="AB30" s="291"/>
      <c r="AC30" s="107"/>
      <c r="AD30" s="107"/>
      <c r="AE30" s="107"/>
      <c r="AF30" s="293"/>
      <c r="AG30" s="291"/>
      <c r="AH30" s="107"/>
      <c r="AI30" s="107"/>
      <c r="AJ30" s="107"/>
      <c r="AK30" s="293"/>
      <c r="AL30" s="291"/>
      <c r="AM30" s="107"/>
      <c r="AN30" s="107"/>
      <c r="AO30" s="107"/>
      <c r="AP30" s="293"/>
      <c r="AQ30" s="291"/>
      <c r="AR30" s="107"/>
      <c r="AS30" s="107"/>
      <c r="AT30" s="107"/>
      <c r="AU30" s="293"/>
      <c r="AV30" s="291"/>
      <c r="AW30" s="107"/>
      <c r="AX30" s="107"/>
      <c r="AY30" s="107"/>
      <c r="AZ30" s="293"/>
      <c r="BA30" s="291"/>
      <c r="BB30" s="107"/>
      <c r="BC30" s="107"/>
      <c r="BD30" s="107"/>
      <c r="BE30" s="293"/>
      <c r="BF30" s="291"/>
      <c r="BG30" s="107"/>
      <c r="BH30" s="107"/>
      <c r="BI30" s="107"/>
      <c r="BJ30" s="293"/>
      <c r="BK30" s="291"/>
      <c r="BL30" s="107"/>
      <c r="BM30" s="107"/>
      <c r="BN30" s="107"/>
      <c r="BO30" s="293"/>
      <c r="BP30" s="291"/>
      <c r="BQ30" s="107"/>
      <c r="BR30" s="107"/>
      <c r="BS30" s="107"/>
      <c r="BT30" s="293"/>
      <c r="BU30" s="291"/>
      <c r="BV30" s="107"/>
      <c r="BW30" s="107"/>
      <c r="BX30" s="107"/>
      <c r="BY30" s="293"/>
      <c r="BZ30" s="291"/>
      <c r="CA30" s="107"/>
      <c r="CB30" s="107"/>
      <c r="CC30" s="107"/>
      <c r="CD30" s="293"/>
      <c r="CE30" s="291"/>
      <c r="CF30" s="107"/>
      <c r="CG30" s="107"/>
      <c r="CH30" s="107"/>
      <c r="CI30" s="293"/>
      <c r="CJ30" s="291"/>
      <c r="CK30" s="107"/>
      <c r="CL30" s="107"/>
      <c r="CM30" s="107"/>
      <c r="CN30" s="293"/>
      <c r="CO30" s="291"/>
      <c r="CP30" s="107"/>
      <c r="CQ30" s="107"/>
      <c r="CR30" s="107"/>
      <c r="CS30" s="293"/>
      <c r="CT30" s="291"/>
      <c r="CU30" s="107"/>
      <c r="CV30" s="107"/>
      <c r="CW30" s="107"/>
      <c r="CX30" s="293"/>
      <c r="CY30" s="291"/>
      <c r="CZ30" s="107"/>
      <c r="DA30" s="107"/>
      <c r="DB30" s="107"/>
      <c r="DC30" s="293"/>
      <c r="DD30" s="291"/>
      <c r="DE30" s="107"/>
      <c r="DF30" s="107"/>
      <c r="DG30" s="107"/>
      <c r="DH30" s="293"/>
      <c r="DI30" s="291"/>
      <c r="DJ30" s="107"/>
      <c r="DK30" s="107"/>
      <c r="DL30" s="107"/>
      <c r="DM30" s="293"/>
      <c r="DN30" s="291"/>
      <c r="DO30" s="107"/>
      <c r="DP30" s="107"/>
      <c r="DQ30" s="107"/>
      <c r="DR30" s="293"/>
      <c r="DS30" s="291"/>
      <c r="DT30" s="107"/>
      <c r="DU30" s="468"/>
      <c r="DV30" s="107"/>
      <c r="DW30" s="293"/>
      <c r="DX30" s="291"/>
      <c r="DY30" s="107"/>
      <c r="DZ30" s="107"/>
      <c r="EA30" s="107"/>
      <c r="EB30" s="293"/>
      <c r="EC30" s="291"/>
      <c r="ED30" s="107"/>
      <c r="EE30" s="107"/>
      <c r="EF30" s="107"/>
      <c r="EG30" s="293"/>
      <c r="EH30" s="291"/>
      <c r="EI30" s="107"/>
      <c r="EJ30" s="107"/>
      <c r="EK30" s="107"/>
      <c r="EL30" s="293"/>
      <c r="EM30" s="291"/>
      <c r="EN30" s="107"/>
      <c r="EO30" s="107"/>
      <c r="EP30" s="107"/>
      <c r="EQ30" s="292"/>
      <c r="ER30" s="291"/>
      <c r="ES30" s="107"/>
      <c r="ET30" s="107"/>
      <c r="EU30" s="107"/>
      <c r="EV30" s="293"/>
      <c r="EW30" s="291"/>
      <c r="EX30" s="107"/>
      <c r="EY30" s="107"/>
      <c r="EZ30" s="107"/>
      <c r="FA30" s="293"/>
      <c r="FB30" s="291"/>
      <c r="FC30" s="107"/>
      <c r="FD30" s="107"/>
      <c r="FE30" s="107"/>
      <c r="FF30" s="293"/>
      <c r="FG30" s="291"/>
      <c r="FH30" s="107"/>
      <c r="FI30" s="107"/>
      <c r="FJ30" s="107"/>
      <c r="FK30" s="293"/>
      <c r="FL30" s="291"/>
      <c r="FM30" s="107"/>
      <c r="FN30" s="107"/>
      <c r="FO30" s="107"/>
      <c r="FP30" s="293"/>
      <c r="FQ30" s="291"/>
      <c r="FR30" s="107"/>
      <c r="FS30" s="107"/>
      <c r="FT30" s="107"/>
      <c r="FU30" s="293"/>
      <c r="FV30" s="291"/>
      <c r="FW30" s="107"/>
      <c r="FX30" s="107"/>
      <c r="FY30" s="107"/>
      <c r="FZ30" s="293"/>
      <c r="GA30" s="291"/>
      <c r="GB30" s="107"/>
      <c r="GC30" s="107"/>
      <c r="GD30" s="107"/>
      <c r="GE30" s="293"/>
      <c r="GF30" s="291"/>
      <c r="GG30" s="107"/>
      <c r="GH30" s="107"/>
      <c r="GI30" s="107"/>
      <c r="GJ30" s="293"/>
    </row>
    <row r="31" spans="1:192" s="317" customFormat="1" ht="12.75" customHeight="1">
      <c r="A31" s="1641"/>
      <c r="B31" s="730" t="s">
        <v>234</v>
      </c>
      <c r="C31" s="315"/>
      <c r="D31" s="315"/>
      <c r="E31" s="315"/>
      <c r="F31" s="315"/>
      <c r="G31" s="313"/>
      <c r="H31" s="315"/>
      <c r="I31" s="315"/>
      <c r="J31" s="315"/>
      <c r="K31" s="315"/>
      <c r="L31" s="313"/>
      <c r="M31" s="315"/>
      <c r="N31" s="315"/>
      <c r="O31" s="315"/>
      <c r="P31" s="315"/>
      <c r="Q31" s="313"/>
      <c r="R31" s="315"/>
      <c r="S31" s="315"/>
      <c r="T31" s="315"/>
      <c r="U31" s="315"/>
      <c r="V31" s="313"/>
      <c r="W31" s="315"/>
      <c r="X31" s="315"/>
      <c r="Y31" s="315"/>
      <c r="Z31" s="315"/>
      <c r="AA31" s="313"/>
      <c r="AB31" s="315"/>
      <c r="AC31" s="315"/>
      <c r="AD31" s="315"/>
      <c r="AE31" s="315"/>
      <c r="AF31" s="313"/>
      <c r="AG31" s="315"/>
      <c r="AH31" s="315"/>
      <c r="AI31" s="315"/>
      <c r="AJ31" s="315"/>
      <c r="AK31" s="313"/>
      <c r="AL31" s="315"/>
      <c r="AM31" s="315"/>
      <c r="AN31" s="315"/>
      <c r="AO31" s="315"/>
      <c r="AP31" s="313"/>
      <c r="AQ31" s="315"/>
      <c r="AR31" s="315"/>
      <c r="AS31" s="315"/>
      <c r="AT31" s="315"/>
      <c r="AU31" s="313"/>
      <c r="AV31" s="315"/>
      <c r="AW31" s="315"/>
      <c r="AX31" s="315"/>
      <c r="AY31" s="315"/>
      <c r="AZ31" s="313"/>
      <c r="BA31" s="315"/>
      <c r="BB31" s="315"/>
      <c r="BC31" s="315"/>
      <c r="BD31" s="315"/>
      <c r="BE31" s="313"/>
      <c r="BF31" s="315"/>
      <c r="BG31" s="315"/>
      <c r="BH31" s="315"/>
      <c r="BI31" s="315"/>
      <c r="BJ31" s="313"/>
      <c r="BK31" s="315"/>
      <c r="BL31" s="315"/>
      <c r="BM31" s="315"/>
      <c r="BN31" s="315"/>
      <c r="BO31" s="313"/>
      <c r="BP31" s="315"/>
      <c r="BQ31" s="315"/>
      <c r="BR31" s="315"/>
      <c r="BS31" s="315"/>
      <c r="BT31" s="313"/>
      <c r="BU31" s="315"/>
      <c r="BV31" s="315"/>
      <c r="BW31" s="315"/>
      <c r="BX31" s="315"/>
      <c r="BY31" s="313"/>
      <c r="BZ31" s="315"/>
      <c r="CA31" s="315"/>
      <c r="CB31" s="315"/>
      <c r="CC31" s="315"/>
      <c r="CD31" s="313"/>
      <c r="CE31" s="315"/>
      <c r="CF31" s="315"/>
      <c r="CG31" s="315"/>
      <c r="CH31" s="315"/>
      <c r="CI31" s="313"/>
      <c r="CJ31" s="315"/>
      <c r="CK31" s="315"/>
      <c r="CL31" s="315"/>
      <c r="CM31" s="315"/>
      <c r="CN31" s="313"/>
      <c r="CO31" s="315"/>
      <c r="CP31" s="315"/>
      <c r="CQ31" s="315"/>
      <c r="CR31" s="315"/>
      <c r="CS31" s="313"/>
      <c r="CT31" s="315"/>
      <c r="CU31" s="315"/>
      <c r="CV31" s="315"/>
      <c r="CW31" s="315"/>
      <c r="CX31" s="313"/>
      <c r="CY31" s="312"/>
      <c r="CZ31" s="312"/>
      <c r="DA31" s="312"/>
      <c r="DB31" s="312"/>
      <c r="DC31" s="313"/>
      <c r="DD31" s="312"/>
      <c r="DE31" s="312"/>
      <c r="DF31" s="312"/>
      <c r="DG31" s="312"/>
      <c r="DH31" s="313"/>
      <c r="DI31" s="312"/>
      <c r="DJ31" s="312"/>
      <c r="DK31" s="312"/>
      <c r="DL31" s="312"/>
      <c r="DM31" s="313"/>
      <c r="DN31" s="312"/>
      <c r="DO31" s="312"/>
      <c r="DP31" s="312"/>
      <c r="DQ31" s="312"/>
      <c r="DR31" s="313"/>
      <c r="DS31" s="312"/>
      <c r="DT31" s="312"/>
      <c r="DU31" s="312"/>
      <c r="DV31" s="312"/>
      <c r="DW31" s="313"/>
      <c r="DX31" s="312"/>
      <c r="DY31" s="312"/>
      <c r="DZ31" s="312"/>
      <c r="EA31" s="312"/>
      <c r="EB31" s="313"/>
      <c r="EC31" s="312"/>
      <c r="ED31" s="312"/>
      <c r="EE31" s="312"/>
      <c r="EF31" s="312"/>
      <c r="EG31" s="313"/>
      <c r="EH31" s="312"/>
      <c r="EI31" s="312"/>
      <c r="EJ31" s="312"/>
      <c r="EK31" s="312"/>
      <c r="EL31" s="313"/>
      <c r="EM31" s="312"/>
      <c r="EN31" s="312"/>
      <c r="EO31" s="312"/>
      <c r="EP31" s="312"/>
      <c r="EQ31" s="313"/>
      <c r="ER31" s="312">
        <f>EW35/EW32</f>
      </c>
      <c r="ES31" s="312">
        <f>EX35/EX32</f>
      </c>
      <c r="ET31" s="312">
        <f>EY35/EY32</f>
      </c>
      <c r="EU31" s="312">
        <f>EZ35/EZ32</f>
      </c>
      <c r="EV31" s="453">
        <v>13987</v>
      </c>
      <c r="EW31" s="312">
        <f>ER31*(1+EW32)</f>
      </c>
      <c r="EX31" s="312">
        <f>ES31*(1+EX32)</f>
      </c>
      <c r="EY31" s="312">
        <f>ET31*(1+EY32)</f>
      </c>
      <c r="EZ31" s="312">
        <f>EU31*(1+EZ32)</f>
      </c>
      <c r="FA31" s="453">
        <v>15245</v>
      </c>
      <c r="FB31" s="316"/>
      <c r="FC31" s="316"/>
      <c r="FD31" s="316"/>
      <c r="FE31" s="316"/>
      <c r="FF31" s="313"/>
      <c r="FG31" s="316"/>
      <c r="FH31" s="316"/>
      <c r="FI31" s="316"/>
      <c r="FJ31" s="316"/>
      <c r="FK31" s="313"/>
      <c r="FL31" s="316"/>
      <c r="FM31" s="316"/>
      <c r="FN31" s="316"/>
      <c r="FO31" s="316"/>
      <c r="FP31" s="313"/>
      <c r="FQ31" s="316"/>
      <c r="FR31" s="316"/>
      <c r="FS31" s="316"/>
      <c r="FT31" s="316"/>
      <c r="FU31" s="313"/>
      <c r="FV31" s="316"/>
      <c r="FW31" s="316"/>
      <c r="FX31" s="316"/>
      <c r="FY31" s="316"/>
      <c r="FZ31" s="313"/>
      <c r="GA31" s="316"/>
      <c r="GB31" s="316"/>
      <c r="GC31" s="316"/>
      <c r="GD31" s="316"/>
      <c r="GE31" s="313"/>
      <c r="GF31" s="316"/>
      <c r="GG31" s="316"/>
      <c r="GH31" s="316"/>
      <c r="GI31" s="316"/>
      <c r="GJ31" s="313"/>
    </row>
    <row r="32" spans="1:192" ht="12.75" customHeight="1">
      <c r="B32" s="727" t="s">
        <v>34</v>
      </c>
      <c r="C32" s="291"/>
      <c r="D32" s="107"/>
      <c r="E32" s="107"/>
      <c r="F32" s="107"/>
      <c r="G32" s="292"/>
      <c r="H32" s="291"/>
      <c r="I32" s="107"/>
      <c r="J32" s="107"/>
      <c r="K32" s="107"/>
      <c r="L32" s="292"/>
      <c r="M32" s="291"/>
      <c r="N32" s="107"/>
      <c r="O32" s="107"/>
      <c r="P32" s="107"/>
      <c r="Q32" s="292"/>
      <c r="R32" s="291"/>
      <c r="S32" s="107"/>
      <c r="T32" s="107"/>
      <c r="U32" s="107"/>
      <c r="V32" s="292"/>
      <c r="W32" s="291"/>
      <c r="X32" s="107"/>
      <c r="Y32" s="107"/>
      <c r="Z32" s="107"/>
      <c r="AA32" s="292"/>
      <c r="AB32" s="291"/>
      <c r="AC32" s="107"/>
      <c r="AD32" s="107"/>
      <c r="AE32" s="107"/>
      <c r="AF32" s="292"/>
      <c r="AG32" s="291"/>
      <c r="AH32" s="107"/>
      <c r="AI32" s="107"/>
      <c r="AJ32" s="107"/>
      <c r="AK32" s="292"/>
      <c r="AL32" s="291"/>
      <c r="AM32" s="107"/>
      <c r="AN32" s="107"/>
      <c r="AO32" s="107"/>
      <c r="AP32" s="292"/>
      <c r="AQ32" s="291"/>
      <c r="AR32" s="107"/>
      <c r="AS32" s="107"/>
      <c r="AT32" s="107"/>
      <c r="AU32" s="292"/>
      <c r="AV32" s="291"/>
      <c r="AW32" s="107"/>
      <c r="AX32" s="107"/>
      <c r="AY32" s="107"/>
      <c r="AZ32" s="292"/>
      <c r="BA32" s="291"/>
      <c r="BB32" s="107"/>
      <c r="BC32" s="107"/>
      <c r="BD32" s="107"/>
      <c r="BE32" s="292"/>
      <c r="BF32" s="291"/>
      <c r="BG32" s="107"/>
      <c r="BH32" s="107"/>
      <c r="BI32" s="107"/>
      <c r="BJ32" s="292"/>
      <c r="BK32" s="291"/>
      <c r="BL32" s="107"/>
      <c r="BM32" s="107"/>
      <c r="BN32" s="107"/>
      <c r="BO32" s="292"/>
      <c r="BP32" s="291"/>
      <c r="BQ32" s="107"/>
      <c r="BR32" s="107"/>
      <c r="BS32" s="107"/>
      <c r="BT32" s="292"/>
      <c r="BU32" s="291"/>
      <c r="BV32" s="107"/>
      <c r="BW32" s="107"/>
      <c r="BX32" s="107"/>
      <c r="BY32" s="292"/>
      <c r="BZ32" s="291"/>
      <c r="CA32" s="107"/>
      <c r="CB32" s="107"/>
      <c r="CC32" s="107"/>
      <c r="CD32" s="292"/>
      <c r="CE32" s="291"/>
      <c r="CF32" s="107"/>
      <c r="CG32" s="107"/>
      <c r="CH32" s="107"/>
      <c r="CI32" s="292"/>
      <c r="CJ32" s="291"/>
      <c r="CK32" s="107"/>
      <c r="CL32" s="107"/>
      <c r="CM32" s="107"/>
      <c r="CN32" s="292"/>
      <c r="CO32" s="291"/>
      <c r="CP32" s="107"/>
      <c r="CQ32" s="107"/>
      <c r="CR32" s="107"/>
      <c r="CS32" s="292"/>
      <c r="CT32" s="291"/>
      <c r="CU32" s="107"/>
      <c r="CV32" s="107"/>
      <c r="CW32" s="107"/>
      <c r="CX32" s="292"/>
      <c r="CY32" s="412"/>
      <c r="CZ32" s="114"/>
      <c r="DA32" s="114"/>
      <c r="DB32" s="114"/>
      <c r="DC32" s="292"/>
      <c r="DD32" s="412"/>
      <c r="DE32" s="114"/>
      <c r="DF32" s="114"/>
      <c r="DG32" s="114"/>
      <c r="DH32" s="292"/>
      <c r="DI32" s="412"/>
      <c r="DJ32" s="114"/>
      <c r="DK32" s="114"/>
      <c r="DL32" s="114"/>
      <c r="DM32" s="292"/>
      <c r="DN32" s="412"/>
      <c r="DO32" s="114"/>
      <c r="DP32" s="114"/>
      <c r="DQ32" s="114"/>
      <c r="DR32" s="292"/>
      <c r="DS32" s="412"/>
      <c r="DT32" s="114"/>
      <c r="DU32" s="439"/>
      <c r="DV32" s="114"/>
      <c r="DW32" s="292"/>
      <c r="DX32" s="412"/>
      <c r="DY32" s="114"/>
      <c r="DZ32" s="114"/>
      <c r="EA32" s="114"/>
      <c r="EB32" s="292"/>
      <c r="EC32" s="412"/>
      <c r="ED32" s="114"/>
      <c r="EE32" s="114"/>
      <c r="EF32" s="114"/>
      <c r="EG32" s="292"/>
      <c r="EH32" s="412"/>
      <c r="EI32" s="114"/>
      <c r="EJ32" s="114"/>
      <c r="EK32" s="114"/>
      <c r="EL32" s="292"/>
      <c r="EM32" s="412"/>
      <c r="EN32" s="114"/>
      <c r="EO32" s="412"/>
      <c r="EP32" s="412"/>
      <c r="EQ32" s="292"/>
      <c r="ER32" s="412"/>
      <c r="ES32" s="114"/>
      <c r="ET32" s="439"/>
      <c r="EU32" s="439"/>
      <c r="EV32" s="292"/>
      <c r="EW32" s="439">
        <v>0.49</v>
      </c>
      <c r="EX32" s="439">
        <v>-0.01</v>
      </c>
      <c r="EY32" s="439">
        <v>0.01</v>
      </c>
      <c r="EZ32" s="439">
        <v>0.04</v>
      </c>
      <c r="FA32" s="292">
        <f>IFERROR(FA31/EV31-1,"--")</f>
      </c>
      <c r="FB32" s="107"/>
      <c r="FC32" s="107"/>
      <c r="FD32" s="107"/>
      <c r="FE32" s="107"/>
      <c r="FF32" s="292"/>
      <c r="FG32" s="107"/>
      <c r="FH32" s="107"/>
      <c r="FI32" s="107"/>
      <c r="FJ32" s="107"/>
      <c r="FK32" s="292"/>
      <c r="FL32" s="107"/>
      <c r="FM32" s="107"/>
      <c r="FN32" s="107"/>
      <c r="FO32" s="107"/>
      <c r="FP32" s="292"/>
      <c r="FQ32" s="107"/>
      <c r="FR32" s="107"/>
      <c r="FS32" s="107"/>
      <c r="FT32" s="107"/>
      <c r="FU32" s="292"/>
      <c r="FV32" s="107"/>
      <c r="FW32" s="107"/>
      <c r="FX32" s="107"/>
      <c r="FY32" s="107"/>
      <c r="FZ32" s="292"/>
      <c r="GA32" s="107"/>
      <c r="GB32" s="107"/>
      <c r="GC32" s="107"/>
      <c r="GD32" s="107"/>
      <c r="GE32" s="292"/>
      <c r="GF32" s="107"/>
      <c r="GG32" s="107"/>
      <c r="GH32" s="107"/>
      <c r="GI32" s="107"/>
      <c r="GJ32" s="292"/>
    </row>
    <row r="33" spans="1:192" ht="12.75" customHeight="1">
      <c r="B33" s="727" t="s">
        <v>197</v>
      </c>
      <c r="C33" s="291"/>
      <c r="D33" s="107"/>
      <c r="E33" s="107"/>
      <c r="F33" s="107"/>
      <c r="G33" s="292"/>
      <c r="H33" s="291"/>
      <c r="I33" s="107"/>
      <c r="J33" s="107"/>
      <c r="K33" s="107"/>
      <c r="L33" s="292"/>
      <c r="M33" s="291"/>
      <c r="N33" s="107"/>
      <c r="O33" s="107"/>
      <c r="P33" s="107"/>
      <c r="Q33" s="292"/>
      <c r="R33" s="291"/>
      <c r="S33" s="107"/>
      <c r="T33" s="107"/>
      <c r="U33" s="107"/>
      <c r="V33" s="292"/>
      <c r="W33" s="291"/>
      <c r="X33" s="107"/>
      <c r="Y33" s="107"/>
      <c r="Z33" s="107"/>
      <c r="AA33" s="292"/>
      <c r="AB33" s="291"/>
      <c r="AC33" s="107"/>
      <c r="AD33" s="107"/>
      <c r="AE33" s="107"/>
      <c r="AF33" s="292"/>
      <c r="AG33" s="291"/>
      <c r="AH33" s="107"/>
      <c r="AI33" s="107"/>
      <c r="AJ33" s="107"/>
      <c r="AK33" s="292"/>
      <c r="AL33" s="291"/>
      <c r="AM33" s="107"/>
      <c r="AN33" s="107"/>
      <c r="AO33" s="107"/>
      <c r="AP33" s="292"/>
      <c r="AQ33" s="291"/>
      <c r="AR33" s="107"/>
      <c r="AS33" s="107"/>
      <c r="AT33" s="107"/>
      <c r="AU33" s="292"/>
      <c r="AV33" s="291"/>
      <c r="AW33" s="107"/>
      <c r="AX33" s="107"/>
      <c r="AY33" s="107"/>
      <c r="AZ33" s="292"/>
      <c r="BA33" s="291"/>
      <c r="BB33" s="107"/>
      <c r="BC33" s="107"/>
      <c r="BD33" s="107"/>
      <c r="BE33" s="292"/>
      <c r="BF33" s="291"/>
      <c r="BG33" s="107"/>
      <c r="BH33" s="107"/>
      <c r="BI33" s="107"/>
      <c r="BJ33" s="292"/>
      <c r="BK33" s="291"/>
      <c r="BL33" s="107"/>
      <c r="BM33" s="107"/>
      <c r="BN33" s="107"/>
      <c r="BO33" s="292"/>
      <c r="BP33" s="291"/>
      <c r="BQ33" s="107"/>
      <c r="BR33" s="107"/>
      <c r="BS33" s="107"/>
      <c r="BT33" s="292"/>
      <c r="BU33" s="291"/>
      <c r="BV33" s="107"/>
      <c r="BW33" s="107"/>
      <c r="BX33" s="107"/>
      <c r="BY33" s="292"/>
      <c r="BZ33" s="291"/>
      <c r="CA33" s="107"/>
      <c r="CB33" s="107"/>
      <c r="CC33" s="107"/>
      <c r="CD33" s="292"/>
      <c r="CE33" s="291"/>
      <c r="CF33" s="107"/>
      <c r="CG33" s="107"/>
      <c r="CH33" s="107"/>
      <c r="CI33" s="292"/>
      <c r="CJ33" s="291"/>
      <c r="CK33" s="107"/>
      <c r="CL33" s="107"/>
      <c r="CM33" s="107"/>
      <c r="CN33" s="292"/>
      <c r="CO33" s="291"/>
      <c r="CP33" s="107"/>
      <c r="CQ33" s="107"/>
      <c r="CR33" s="107"/>
      <c r="CS33" s="292"/>
      <c r="CT33" s="291"/>
      <c r="CU33" s="107"/>
      <c r="CV33" s="107"/>
      <c r="CW33" s="107"/>
      <c r="CX33" s="292"/>
      <c r="CY33" s="412"/>
      <c r="CZ33" s="114"/>
      <c r="DA33" s="114"/>
      <c r="DB33" s="114"/>
      <c r="DC33" s="292"/>
      <c r="DD33" s="412"/>
      <c r="DE33" s="114"/>
      <c r="DF33" s="114"/>
      <c r="DG33" s="114"/>
      <c r="DH33" s="292"/>
      <c r="DI33" s="412"/>
      <c r="DJ33" s="114"/>
      <c r="DK33" s="114"/>
      <c r="DL33" s="114"/>
      <c r="DM33" s="292"/>
      <c r="DN33" s="412"/>
      <c r="DO33" s="114"/>
      <c r="DP33" s="114"/>
      <c r="DQ33" s="114"/>
      <c r="DR33" s="292"/>
      <c r="DS33" s="412"/>
      <c r="DT33" s="114"/>
      <c r="DU33" s="439"/>
      <c r="DV33" s="114"/>
      <c r="DW33" s="292"/>
      <c r="DX33" s="412"/>
      <c r="DY33" s="114"/>
      <c r="DZ33" s="114"/>
      <c r="EA33" s="114"/>
      <c r="EB33" s="292"/>
      <c r="EC33" s="412"/>
      <c r="ED33" s="114"/>
      <c r="EE33" s="114"/>
      <c r="EF33" s="114"/>
      <c r="EG33" s="292"/>
      <c r="EH33" s="412"/>
      <c r="EI33" s="114"/>
      <c r="EJ33" s="114"/>
      <c r="EK33" s="114"/>
      <c r="EL33" s="292"/>
      <c r="EM33" s="412"/>
      <c r="EN33" s="114"/>
      <c r="EO33" s="412"/>
      <c r="EP33" s="412"/>
      <c r="EQ33" s="292"/>
      <c r="ER33" s="412"/>
      <c r="ES33" s="107"/>
      <c r="ET33" s="114"/>
      <c r="EU33" s="439"/>
      <c r="EV33" s="292"/>
      <c r="EW33" s="439">
        <v>0.49</v>
      </c>
      <c r="EX33" s="439">
        <v>-0.01</v>
      </c>
      <c r="EY33" s="439">
        <v>0.01</v>
      </c>
      <c r="EZ33" s="439">
        <v>0.03</v>
      </c>
      <c r="FA33" s="292"/>
      <c r="FB33" s="107"/>
      <c r="FC33" s="107"/>
      <c r="FD33" s="107"/>
      <c r="FE33" s="107"/>
      <c r="FF33" s="292"/>
      <c r="FG33" s="107"/>
      <c r="FH33" s="107"/>
      <c r="FI33" s="107"/>
      <c r="FJ33" s="107"/>
      <c r="FK33" s="292"/>
      <c r="FL33" s="107"/>
      <c r="FM33" s="107"/>
      <c r="FN33" s="107"/>
      <c r="FO33" s="107"/>
      <c r="FP33" s="292"/>
      <c r="FQ33" s="107"/>
      <c r="FR33" s="107"/>
      <c r="FS33" s="107"/>
      <c r="FT33" s="107"/>
      <c r="FU33" s="292"/>
      <c r="FV33" s="107"/>
      <c r="FW33" s="107"/>
      <c r="FX33" s="107"/>
      <c r="FY33" s="107"/>
      <c r="FZ33" s="292"/>
      <c r="GA33" s="107"/>
      <c r="GB33" s="107"/>
      <c r="GC33" s="107"/>
      <c r="GD33" s="107"/>
      <c r="GE33" s="292"/>
      <c r="GF33" s="107"/>
      <c r="GG33" s="107"/>
      <c r="GH33" s="107"/>
      <c r="GI33" s="107"/>
      <c r="GJ33" s="292"/>
    </row>
    <row r="34" spans="1:192" ht="12.75" customHeight="1">
      <c r="B34" s="727" t="s">
        <v>36</v>
      </c>
      <c r="C34" s="291"/>
      <c r="D34" s="107"/>
      <c r="E34" s="107"/>
      <c r="F34" s="107"/>
      <c r="G34" s="292"/>
      <c r="H34" s="291"/>
      <c r="I34" s="107"/>
      <c r="J34" s="107"/>
      <c r="K34" s="107"/>
      <c r="L34" s="292"/>
      <c r="M34" s="291"/>
      <c r="N34" s="107"/>
      <c r="O34" s="107"/>
      <c r="P34" s="107"/>
      <c r="Q34" s="292"/>
      <c r="R34" s="291"/>
      <c r="S34" s="107"/>
      <c r="T34" s="107"/>
      <c r="U34" s="107"/>
      <c r="V34" s="292"/>
      <c r="W34" s="291"/>
      <c r="X34" s="107"/>
      <c r="Y34" s="107"/>
      <c r="Z34" s="107"/>
      <c r="AA34" s="292"/>
      <c r="AB34" s="291"/>
      <c r="AC34" s="107"/>
      <c r="AD34" s="107"/>
      <c r="AE34" s="107"/>
      <c r="AF34" s="292"/>
      <c r="AG34" s="291"/>
      <c r="AH34" s="107"/>
      <c r="AI34" s="107"/>
      <c r="AJ34" s="107"/>
      <c r="AK34" s="292"/>
      <c r="AL34" s="291"/>
      <c r="AM34" s="107"/>
      <c r="AN34" s="107"/>
      <c r="AO34" s="107"/>
      <c r="AP34" s="292"/>
      <c r="AQ34" s="291"/>
      <c r="AR34" s="107"/>
      <c r="AS34" s="107"/>
      <c r="AT34" s="107"/>
      <c r="AU34" s="292"/>
      <c r="AV34" s="291"/>
      <c r="AW34" s="107"/>
      <c r="AX34" s="107"/>
      <c r="AY34" s="107"/>
      <c r="AZ34" s="292"/>
      <c r="BA34" s="291"/>
      <c r="BB34" s="107"/>
      <c r="BC34" s="107"/>
      <c r="BD34" s="107"/>
      <c r="BE34" s="292"/>
      <c r="BF34" s="291"/>
      <c r="BG34" s="107"/>
      <c r="BH34" s="107"/>
      <c r="BI34" s="107"/>
      <c r="BJ34" s="292"/>
      <c r="BK34" s="291"/>
      <c r="BL34" s="107"/>
      <c r="BM34" s="107"/>
      <c r="BN34" s="107"/>
      <c r="BO34" s="292"/>
      <c r="BP34" s="291"/>
      <c r="BQ34" s="107"/>
      <c r="BR34" s="107"/>
      <c r="BS34" s="107"/>
      <c r="BT34" s="292"/>
      <c r="BU34" s="291"/>
      <c r="BV34" s="107"/>
      <c r="BW34" s="107"/>
      <c r="BX34" s="107"/>
      <c r="BY34" s="292"/>
      <c r="BZ34" s="291"/>
      <c r="CA34" s="107"/>
      <c r="CB34" s="107"/>
      <c r="CC34" s="107"/>
      <c r="CD34" s="292"/>
      <c r="CE34" s="291"/>
      <c r="CF34" s="107"/>
      <c r="CG34" s="107"/>
      <c r="CH34" s="107"/>
      <c r="CI34" s="292"/>
      <c r="CJ34" s="291"/>
      <c r="CK34" s="107"/>
      <c r="CL34" s="107"/>
      <c r="CM34" s="107"/>
      <c r="CN34" s="292"/>
      <c r="CO34" s="291"/>
      <c r="CP34" s="107"/>
      <c r="CQ34" s="107"/>
      <c r="CR34" s="107"/>
      <c r="CS34" s="292"/>
      <c r="CT34" s="291"/>
      <c r="CU34" s="107"/>
      <c r="CV34" s="107"/>
      <c r="CW34" s="107"/>
      <c r="CX34" s="292"/>
      <c r="CY34" s="291"/>
      <c r="CZ34" s="107"/>
      <c r="DA34" s="107"/>
      <c r="DB34" s="107"/>
      <c r="DC34" s="292"/>
      <c r="DD34" s="291"/>
      <c r="DE34" s="107"/>
      <c r="DF34" s="107"/>
      <c r="DG34" s="107"/>
      <c r="DH34" s="292"/>
      <c r="DI34" s="291"/>
      <c r="DJ34" s="107"/>
      <c r="DK34" s="107"/>
      <c r="DL34" s="107"/>
      <c r="DM34" s="292"/>
      <c r="DN34" s="291"/>
      <c r="DO34" s="107"/>
      <c r="DP34" s="107"/>
      <c r="DQ34" s="107"/>
      <c r="DR34" s="292"/>
      <c r="DS34" s="291"/>
      <c r="DT34" s="107"/>
      <c r="DU34" s="107"/>
      <c r="DV34" s="107"/>
      <c r="DW34" s="292"/>
      <c r="DX34" s="291"/>
      <c r="DY34" s="107"/>
      <c r="DZ34" s="107"/>
      <c r="EA34" s="107"/>
      <c r="EB34" s="292"/>
      <c r="EC34" s="291"/>
      <c r="ED34" s="107"/>
      <c r="EE34" s="107"/>
      <c r="EF34" s="107"/>
      <c r="EG34" s="292"/>
      <c r="EH34" s="291"/>
      <c r="EI34" s="107"/>
      <c r="EJ34" s="107"/>
      <c r="EK34" s="107"/>
      <c r="EL34" s="292"/>
      <c r="EM34" s="291"/>
      <c r="EN34" s="107"/>
      <c r="EO34" s="107"/>
      <c r="EP34" s="107"/>
      <c r="EQ34" s="292"/>
      <c r="ER34" s="291"/>
      <c r="ES34" s="107">
        <f>IFERROR(ES31/ER31-1,"--")</f>
      </c>
      <c r="ET34" s="107">
        <f>IFERROR(ET31/ES31-1,"--")</f>
      </c>
      <c r="EU34" s="468">
        <f>IFERROR(EU31/ET31-1,"--")</f>
      </c>
      <c r="EV34" s="293"/>
      <c r="EW34" s="291">
        <f>IFERROR(EW31/EU31-1,"--")</f>
      </c>
      <c r="EX34" s="107">
        <f>IFERROR(EX31/EW31-1,"--")</f>
      </c>
      <c r="EY34" s="107">
        <f>IFERROR(EY31/EX31-1,"--")</f>
      </c>
      <c r="EZ34" s="468">
        <f>IFERROR(EZ31/EY31-1,"--")</f>
      </c>
      <c r="FA34" s="292"/>
      <c r="FB34" s="107"/>
      <c r="FC34" s="107"/>
      <c r="FD34" s="107"/>
      <c r="FE34" s="107"/>
      <c r="FF34" s="292"/>
      <c r="FG34" s="107"/>
      <c r="FH34" s="107"/>
      <c r="FI34" s="107"/>
      <c r="FJ34" s="107"/>
      <c r="FK34" s="292"/>
      <c r="FL34" s="107"/>
      <c r="FM34" s="107"/>
      <c r="FN34" s="107"/>
      <c r="FO34" s="107"/>
      <c r="FP34" s="292"/>
      <c r="FQ34" s="107"/>
      <c r="FR34" s="107"/>
      <c r="FS34" s="107"/>
      <c r="FT34" s="107"/>
      <c r="FU34" s="292"/>
      <c r="FV34" s="107"/>
      <c r="FW34" s="107"/>
      <c r="FX34" s="107"/>
      <c r="FY34" s="107"/>
      <c r="FZ34" s="292"/>
      <c r="GA34" s="107"/>
      <c r="GB34" s="107"/>
      <c r="GC34" s="107"/>
      <c r="GD34" s="107"/>
      <c r="GE34" s="292"/>
      <c r="GF34" s="107"/>
      <c r="GG34" s="107"/>
      <c r="GH34" s="107"/>
      <c r="GI34" s="107"/>
      <c r="GJ34" s="292"/>
    </row>
    <row r="35" spans="1:192" s="461" customFormat="1" ht="12.75" customHeight="1">
      <c r="A35" s="850"/>
      <c r="B35" s="727" t="s">
        <v>255</v>
      </c>
      <c r="C35" s="447"/>
      <c r="D35" s="458"/>
      <c r="E35" s="458"/>
      <c r="F35" s="458"/>
      <c r="G35" s="462"/>
      <c r="H35" s="447"/>
      <c r="I35" s="458"/>
      <c r="J35" s="458"/>
      <c r="K35" s="458"/>
      <c r="L35" s="462"/>
      <c r="M35" s="447"/>
      <c r="N35" s="458"/>
      <c r="O35" s="458"/>
      <c r="P35" s="458"/>
      <c r="Q35" s="462"/>
      <c r="R35" s="447"/>
      <c r="S35" s="458"/>
      <c r="T35" s="458"/>
      <c r="U35" s="458"/>
      <c r="V35" s="462"/>
      <c r="W35" s="447"/>
      <c r="X35" s="458"/>
      <c r="Y35" s="458"/>
      <c r="Z35" s="458"/>
      <c r="AA35" s="462"/>
      <c r="AB35" s="447"/>
      <c r="AC35" s="458"/>
      <c r="AD35" s="458"/>
      <c r="AE35" s="458"/>
      <c r="AF35" s="462"/>
      <c r="AG35" s="447"/>
      <c r="AH35" s="458"/>
      <c r="AI35" s="458"/>
      <c r="AJ35" s="458"/>
      <c r="AK35" s="462"/>
      <c r="AL35" s="447"/>
      <c r="AM35" s="458"/>
      <c r="AN35" s="458"/>
      <c r="AO35" s="458"/>
      <c r="AP35" s="462"/>
      <c r="AQ35" s="447"/>
      <c r="AR35" s="458"/>
      <c r="AS35" s="458"/>
      <c r="AT35" s="458"/>
      <c r="AU35" s="462"/>
      <c r="AV35" s="447"/>
      <c r="AW35" s="458"/>
      <c r="AX35" s="458"/>
      <c r="AY35" s="458"/>
      <c r="AZ35" s="462"/>
      <c r="BA35" s="447"/>
      <c r="BB35" s="458"/>
      <c r="BC35" s="458"/>
      <c r="BD35" s="458"/>
      <c r="BE35" s="462"/>
      <c r="BF35" s="447"/>
      <c r="BG35" s="458"/>
      <c r="BH35" s="458"/>
      <c r="BI35" s="458"/>
      <c r="BJ35" s="462"/>
      <c r="BK35" s="447"/>
      <c r="BL35" s="458"/>
      <c r="BM35" s="458"/>
      <c r="BN35" s="458"/>
      <c r="BO35" s="462"/>
      <c r="BP35" s="447"/>
      <c r="BQ35" s="458"/>
      <c r="BR35" s="458"/>
      <c r="BS35" s="458"/>
      <c r="BT35" s="462"/>
      <c r="BU35" s="447"/>
      <c r="BV35" s="458"/>
      <c r="BW35" s="458"/>
      <c r="BX35" s="458"/>
      <c r="BY35" s="462"/>
      <c r="BZ35" s="447"/>
      <c r="CA35" s="458"/>
      <c r="CB35" s="458"/>
      <c r="CC35" s="458"/>
      <c r="CD35" s="462"/>
      <c r="CE35" s="447"/>
      <c r="CF35" s="458"/>
      <c r="CG35" s="458"/>
      <c r="CH35" s="458"/>
      <c r="CI35" s="462"/>
      <c r="CJ35" s="447"/>
      <c r="CK35" s="458"/>
      <c r="CL35" s="458"/>
      <c r="CM35" s="458"/>
      <c r="CN35" s="462"/>
      <c r="CO35" s="447"/>
      <c r="CP35" s="458"/>
      <c r="CQ35" s="458"/>
      <c r="CR35" s="458"/>
      <c r="CS35" s="462"/>
      <c r="CT35" s="447"/>
      <c r="CU35" s="458"/>
      <c r="CV35" s="458"/>
      <c r="CW35" s="458"/>
      <c r="CX35" s="462"/>
      <c r="CY35" s="447"/>
      <c r="CZ35" s="458"/>
      <c r="DA35" s="458"/>
      <c r="DB35" s="458"/>
      <c r="DC35" s="462"/>
      <c r="DD35" s="447"/>
      <c r="DE35" s="447"/>
      <c r="DF35" s="447"/>
      <c r="DG35" s="447"/>
      <c r="DH35" s="462"/>
      <c r="DI35" s="447"/>
      <c r="DJ35" s="447"/>
      <c r="DK35" s="447"/>
      <c r="DL35" s="447"/>
      <c r="DM35" s="462"/>
      <c r="DN35" s="447"/>
      <c r="DO35" s="447"/>
      <c r="DP35" s="447"/>
      <c r="DQ35" s="447"/>
      <c r="DR35" s="462"/>
      <c r="DS35" s="447"/>
      <c r="DT35" s="447"/>
      <c r="DU35" s="447"/>
      <c r="DV35" s="447"/>
      <c r="DW35" s="462"/>
      <c r="DX35" s="447"/>
      <c r="DY35" s="447"/>
      <c r="DZ35" s="447"/>
      <c r="EA35" s="447"/>
      <c r="EB35" s="462"/>
      <c r="EC35" s="447"/>
      <c r="ED35" s="447"/>
      <c r="EE35" s="447"/>
      <c r="EF35" s="447"/>
      <c r="EG35" s="462"/>
      <c r="EH35" s="447"/>
      <c r="EI35" s="447"/>
      <c r="EJ35" s="447"/>
      <c r="EK35" s="447"/>
      <c r="EL35" s="462"/>
      <c r="EM35" s="448"/>
      <c r="EN35" s="448"/>
      <c r="EO35" s="448"/>
      <c r="EP35" s="458"/>
      <c r="EQ35" s="494"/>
      <c r="ER35" s="448"/>
      <c r="ES35" s="815"/>
      <c r="ET35" s="815"/>
      <c r="EU35" s="458"/>
      <c r="EV35" s="494"/>
      <c r="EW35" s="815">
        <v>1100</v>
      </c>
      <c r="EX35" s="815">
        <v>-57</v>
      </c>
      <c r="EY35" s="815">
        <v>20</v>
      </c>
      <c r="EZ35" s="679">
        <f>FA35-EY35-EX35-EW35</f>
      </c>
      <c r="FA35" s="462">
        <f t="shared" ref="FA35" si="28">FA31-EV31</f>
      </c>
      <c r="FB35" s="458"/>
      <c r="FC35" s="458"/>
      <c r="FD35" s="458"/>
      <c r="FE35" s="458"/>
      <c r="FF35" s="462"/>
      <c r="FG35" s="458"/>
      <c r="FH35" s="458"/>
      <c r="FI35" s="458"/>
      <c r="FJ35" s="458"/>
      <c r="FK35" s="462"/>
      <c r="FL35" s="458"/>
      <c r="FM35" s="458"/>
      <c r="FN35" s="458"/>
      <c r="FO35" s="458"/>
      <c r="FP35" s="462"/>
      <c r="FQ35" s="458"/>
      <c r="FR35" s="458"/>
      <c r="FS35" s="458"/>
      <c r="FT35" s="458"/>
      <c r="FU35" s="462"/>
      <c r="FV35" s="458"/>
      <c r="FW35" s="458"/>
      <c r="FX35" s="458"/>
      <c r="FY35" s="458"/>
      <c r="FZ35" s="462"/>
      <c r="GA35" s="458"/>
      <c r="GB35" s="458"/>
      <c r="GC35" s="458"/>
      <c r="GD35" s="458"/>
      <c r="GE35" s="462"/>
      <c r="GF35" s="458"/>
      <c r="GG35" s="458"/>
      <c r="GH35" s="458"/>
      <c r="GI35" s="458"/>
      <c r="GJ35" s="462"/>
    </row>
    <row r="36" spans="1:192" ht="12.75" customHeight="1">
      <c r="B36" s="727"/>
      <c r="C36" s="291"/>
      <c r="D36" s="107"/>
      <c r="E36" s="107"/>
      <c r="F36" s="107"/>
      <c r="G36" s="293"/>
      <c r="H36" s="291"/>
      <c r="I36" s="107"/>
      <c r="J36" s="107"/>
      <c r="K36" s="107"/>
      <c r="L36" s="293"/>
      <c r="M36" s="291"/>
      <c r="N36" s="107"/>
      <c r="O36" s="107"/>
      <c r="P36" s="107"/>
      <c r="Q36" s="293"/>
      <c r="R36" s="291"/>
      <c r="S36" s="107"/>
      <c r="T36" s="107"/>
      <c r="U36" s="107"/>
      <c r="V36" s="293"/>
      <c r="W36" s="291"/>
      <c r="X36" s="107"/>
      <c r="Y36" s="107"/>
      <c r="Z36" s="107"/>
      <c r="AA36" s="293"/>
      <c r="AB36" s="291"/>
      <c r="AC36" s="107"/>
      <c r="AD36" s="107"/>
      <c r="AE36" s="107"/>
      <c r="AF36" s="293"/>
      <c r="AG36" s="291"/>
      <c r="AH36" s="107"/>
      <c r="AI36" s="107"/>
      <c r="AJ36" s="107"/>
      <c r="AK36" s="293"/>
      <c r="AL36" s="291"/>
      <c r="AM36" s="107"/>
      <c r="AN36" s="107"/>
      <c r="AO36" s="107"/>
      <c r="AP36" s="293"/>
      <c r="AQ36" s="291"/>
      <c r="AR36" s="107"/>
      <c r="AS36" s="107"/>
      <c r="AT36" s="107"/>
      <c r="AU36" s="293"/>
      <c r="AV36" s="291"/>
      <c r="AW36" s="107"/>
      <c r="AX36" s="107"/>
      <c r="AY36" s="107"/>
      <c r="AZ36" s="293"/>
      <c r="BA36" s="291"/>
      <c r="BB36" s="107"/>
      <c r="BC36" s="107"/>
      <c r="BD36" s="107"/>
      <c r="BE36" s="293"/>
      <c r="BF36" s="291"/>
      <c r="BG36" s="107"/>
      <c r="BH36" s="107"/>
      <c r="BI36" s="107"/>
      <c r="BJ36" s="293"/>
      <c r="BK36" s="291"/>
      <c r="BL36" s="107"/>
      <c r="BM36" s="107"/>
      <c r="BN36" s="107"/>
      <c r="BO36" s="293"/>
      <c r="BP36" s="291"/>
      <c r="BQ36" s="107"/>
      <c r="BR36" s="107"/>
      <c r="BS36" s="107"/>
      <c r="BT36" s="293"/>
      <c r="BU36" s="291"/>
      <c r="BV36" s="107"/>
      <c r="BW36" s="107"/>
      <c r="BX36" s="107"/>
      <c r="BY36" s="293"/>
      <c r="BZ36" s="291"/>
      <c r="CA36" s="107"/>
      <c r="CB36" s="107"/>
      <c r="CC36" s="107"/>
      <c r="CD36" s="293"/>
      <c r="CE36" s="291"/>
      <c r="CF36" s="107"/>
      <c r="CG36" s="107"/>
      <c r="CH36" s="107"/>
      <c r="CI36" s="293"/>
      <c r="CJ36" s="291"/>
      <c r="CK36" s="107"/>
      <c r="CL36" s="107"/>
      <c r="CM36" s="107"/>
      <c r="CN36" s="293"/>
      <c r="CO36" s="291"/>
      <c r="CP36" s="107"/>
      <c r="CQ36" s="107"/>
      <c r="CR36" s="107"/>
      <c r="CS36" s="293"/>
      <c r="CT36" s="291"/>
      <c r="CU36" s="107"/>
      <c r="CV36" s="107"/>
      <c r="CW36" s="107"/>
      <c r="CX36" s="293"/>
      <c r="CY36" s="291"/>
      <c r="CZ36" s="107"/>
      <c r="DA36" s="107"/>
      <c r="DB36" s="107"/>
      <c r="DC36" s="293"/>
      <c r="DD36" s="291"/>
      <c r="DE36" s="107"/>
      <c r="DF36" s="107"/>
      <c r="DG36" s="107"/>
      <c r="DH36" s="293"/>
      <c r="DI36" s="291"/>
      <c r="DJ36" s="107"/>
      <c r="DK36" s="107"/>
      <c r="DL36" s="107"/>
      <c r="DM36" s="293"/>
      <c r="DN36" s="291"/>
      <c r="DO36" s="107"/>
      <c r="DP36" s="107"/>
      <c r="DQ36" s="107"/>
      <c r="DR36" s="293"/>
      <c r="DS36" s="291"/>
      <c r="DT36" s="107"/>
      <c r="DU36" s="468"/>
      <c r="DV36" s="107"/>
      <c r="DW36" s="293"/>
      <c r="DX36" s="291"/>
      <c r="DY36" s="107"/>
      <c r="DZ36" s="107"/>
      <c r="EA36" s="107"/>
      <c r="EB36" s="293"/>
      <c r="EC36" s="291"/>
      <c r="ED36" s="107"/>
      <c r="EE36" s="107"/>
      <c r="EF36" s="107"/>
      <c r="EG36" s="293"/>
      <c r="EH36" s="291"/>
      <c r="EI36" s="107"/>
      <c r="EJ36" s="107"/>
      <c r="EK36" s="107"/>
      <c r="EL36" s="293"/>
      <c r="EM36" s="441"/>
      <c r="EN36" s="439"/>
      <c r="EO36" s="439"/>
      <c r="EP36" s="468"/>
      <c r="EQ36" s="292"/>
      <c r="ER36" s="291"/>
      <c r="ES36" s="107"/>
      <c r="ET36" s="439"/>
      <c r="EU36" s="439"/>
      <c r="EV36" s="292"/>
      <c r="EW36" s="107"/>
      <c r="EX36" s="107"/>
      <c r="EY36" s="107"/>
      <c r="EZ36" s="107"/>
      <c r="FA36" s="293"/>
      <c r="FB36" s="107"/>
      <c r="FC36" s="107"/>
      <c r="FD36" s="107"/>
      <c r="FE36" s="107"/>
      <c r="FF36" s="293"/>
      <c r="FG36" s="107"/>
      <c r="FH36" s="107"/>
      <c r="FI36" s="107"/>
      <c r="FJ36" s="107"/>
      <c r="FK36" s="293"/>
      <c r="FL36" s="107"/>
      <c r="FM36" s="107"/>
      <c r="FN36" s="107"/>
      <c r="FO36" s="107"/>
      <c r="FP36" s="293"/>
      <c r="FQ36" s="107"/>
      <c r="FR36" s="107"/>
      <c r="FS36" s="107"/>
      <c r="FT36" s="107"/>
      <c r="FU36" s="293"/>
      <c r="FV36" s="107"/>
      <c r="FW36" s="107"/>
      <c r="FX36" s="107"/>
      <c r="FY36" s="107"/>
      <c r="FZ36" s="293"/>
      <c r="GA36" s="107"/>
      <c r="GB36" s="107"/>
      <c r="GC36" s="107"/>
      <c r="GD36" s="107"/>
      <c r="GE36" s="293"/>
      <c r="GF36" s="107"/>
      <c r="GG36" s="107"/>
      <c r="GH36" s="107"/>
      <c r="GI36" s="107"/>
      <c r="GJ36" s="293"/>
    </row>
    <row r="37" spans="1:192" s="317" customFormat="1" ht="12.75" customHeight="1">
      <c r="A37" s="1641"/>
      <c r="B37" s="730" t="s">
        <v>191</v>
      </c>
      <c r="C37" s="315"/>
      <c r="D37" s="315"/>
      <c r="E37" s="315"/>
      <c r="F37" s="315"/>
      <c r="G37" s="313"/>
      <c r="H37" s="315"/>
      <c r="I37" s="315"/>
      <c r="J37" s="315"/>
      <c r="K37" s="315"/>
      <c r="L37" s="313"/>
      <c r="M37" s="315"/>
      <c r="N37" s="315"/>
      <c r="O37" s="315"/>
      <c r="P37" s="315"/>
      <c r="Q37" s="313"/>
      <c r="R37" s="315"/>
      <c r="S37" s="315"/>
      <c r="T37" s="315"/>
      <c r="U37" s="315"/>
      <c r="V37" s="313"/>
      <c r="W37" s="315"/>
      <c r="X37" s="315"/>
      <c r="Y37" s="315"/>
      <c r="Z37" s="315"/>
      <c r="AA37" s="313"/>
      <c r="AB37" s="315"/>
      <c r="AC37" s="315"/>
      <c r="AD37" s="315"/>
      <c r="AE37" s="315"/>
      <c r="AF37" s="313"/>
      <c r="AG37" s="315"/>
      <c r="AH37" s="315"/>
      <c r="AI37" s="315"/>
      <c r="AJ37" s="315"/>
      <c r="AK37" s="313"/>
      <c r="AL37" s="315"/>
      <c r="AM37" s="315"/>
      <c r="AN37" s="315"/>
      <c r="AO37" s="315"/>
      <c r="AP37" s="313"/>
      <c r="AQ37" s="315"/>
      <c r="AR37" s="315"/>
      <c r="AS37" s="315"/>
      <c r="AT37" s="315"/>
      <c r="AU37" s="313"/>
      <c r="AV37" s="315"/>
      <c r="AW37" s="315"/>
      <c r="AX37" s="315"/>
      <c r="AY37" s="315"/>
      <c r="AZ37" s="313"/>
      <c r="BA37" s="315"/>
      <c r="BB37" s="315"/>
      <c r="BC37" s="315"/>
      <c r="BD37" s="315"/>
      <c r="BE37" s="313"/>
      <c r="BF37" s="315"/>
      <c r="BG37" s="315"/>
      <c r="BH37" s="315"/>
      <c r="BI37" s="315"/>
      <c r="BJ37" s="313"/>
      <c r="BK37" s="315"/>
      <c r="BL37" s="315"/>
      <c r="BM37" s="315"/>
      <c r="BN37" s="315"/>
      <c r="BO37" s="313"/>
      <c r="BP37" s="315"/>
      <c r="BQ37" s="315"/>
      <c r="BR37" s="315"/>
      <c r="BS37" s="315"/>
      <c r="BT37" s="313"/>
      <c r="BU37" s="315"/>
      <c r="BV37" s="315"/>
      <c r="BW37" s="315"/>
      <c r="BX37" s="315"/>
      <c r="BY37" s="313"/>
      <c r="BZ37" s="315"/>
      <c r="CA37" s="315"/>
      <c r="CB37" s="315"/>
      <c r="CC37" s="315"/>
      <c r="CD37" s="313"/>
      <c r="CE37" s="315"/>
      <c r="CF37" s="315"/>
      <c r="CG37" s="315"/>
      <c r="CH37" s="315"/>
      <c r="CI37" s="313"/>
      <c r="CJ37" s="315"/>
      <c r="CK37" s="315"/>
      <c r="CL37" s="315"/>
      <c r="CM37" s="315"/>
      <c r="CN37" s="313"/>
      <c r="CO37" s="315"/>
      <c r="CP37" s="315"/>
      <c r="CQ37" s="315"/>
      <c r="CR37" s="315"/>
      <c r="CS37" s="313"/>
      <c r="CT37" s="315"/>
      <c r="CU37" s="315"/>
      <c r="CV37" s="315"/>
      <c r="CW37" s="315"/>
      <c r="CX37" s="313"/>
      <c r="CY37" s="316"/>
      <c r="CZ37" s="316"/>
      <c r="DA37" s="316"/>
      <c r="DB37" s="316"/>
      <c r="DC37" s="313"/>
      <c r="DD37" s="316"/>
      <c r="DE37" s="316"/>
      <c r="DF37" s="316"/>
      <c r="DG37" s="316"/>
      <c r="DH37" s="313"/>
      <c r="DI37" s="1158"/>
      <c r="DJ37" s="1158"/>
      <c r="DK37" s="1158"/>
      <c r="DL37" s="1158"/>
      <c r="DM37" s="313"/>
      <c r="DN37" s="316"/>
      <c r="DO37" s="316"/>
      <c r="DP37" s="316"/>
      <c r="DQ37" s="316"/>
      <c r="DR37" s="313"/>
      <c r="DS37" s="316"/>
      <c r="DT37" s="316"/>
      <c r="DU37" s="1158"/>
      <c r="DV37" s="316"/>
      <c r="DW37" s="313"/>
      <c r="DX37" s="316"/>
      <c r="DY37" s="316"/>
      <c r="DZ37" s="316"/>
      <c r="EA37" s="316"/>
      <c r="EB37" s="313"/>
      <c r="EC37" s="316"/>
      <c r="ED37" s="316"/>
      <c r="EE37" s="316"/>
      <c r="EF37" s="316"/>
      <c r="EG37" s="313"/>
      <c r="EH37" s="316"/>
      <c r="EI37" s="316"/>
      <c r="EJ37" s="316"/>
      <c r="EK37" s="316"/>
      <c r="EL37" s="313"/>
      <c r="EM37" s="316">
        <v>2828</v>
      </c>
      <c r="EN37" s="316">
        <v>2189</v>
      </c>
      <c r="EO37" s="316">
        <v>2559</v>
      </c>
      <c r="EP37" s="316">
        <v>2462</v>
      </c>
      <c r="EQ37" s="319">
        <f>SUM(EM37:EP37)</f>
      </c>
      <c r="ER37" s="316">
        <v>3690</v>
      </c>
      <c r="ES37" s="316">
        <v>2962</v>
      </c>
      <c r="ET37" s="316">
        <v>2923</v>
      </c>
      <c r="EU37" s="316">
        <v>2384</v>
      </c>
      <c r="EV37" s="319">
        <f>SUM(ER37:EU37)</f>
      </c>
      <c r="EW37" s="316">
        <v>3533</v>
      </c>
      <c r="EX37" s="1158">
        <v>3917</v>
      </c>
      <c r="EY37" s="1158">
        <v>3526</v>
      </c>
      <c r="EZ37" s="1158">
        <v>3190</v>
      </c>
      <c r="FA37" s="319">
        <f>SUM(EW37:EZ37)</f>
      </c>
      <c r="FB37" s="316"/>
      <c r="FC37" s="316"/>
      <c r="FD37" s="316"/>
      <c r="FE37" s="316"/>
      <c r="FF37" s="313"/>
      <c r="FG37" s="316"/>
      <c r="FH37" s="316"/>
      <c r="FI37" s="316"/>
      <c r="FJ37" s="316"/>
      <c r="FK37" s="313"/>
      <c r="FL37" s="316"/>
      <c r="FM37" s="316"/>
      <c r="FN37" s="316"/>
      <c r="FO37" s="316"/>
      <c r="FP37" s="313"/>
      <c r="FQ37" s="316"/>
      <c r="FR37" s="316"/>
      <c r="FS37" s="316"/>
      <c r="FT37" s="316"/>
      <c r="FU37" s="313"/>
      <c r="FV37" s="316"/>
      <c r="FW37" s="316"/>
      <c r="FX37" s="316"/>
      <c r="FY37" s="316"/>
      <c r="FZ37" s="313"/>
      <c r="GA37" s="316"/>
      <c r="GB37" s="316"/>
      <c r="GC37" s="316"/>
      <c r="GD37" s="316"/>
      <c r="GE37" s="313"/>
      <c r="GF37" s="316"/>
      <c r="GG37" s="316"/>
      <c r="GH37" s="316"/>
      <c r="GI37" s="316"/>
      <c r="GJ37" s="313"/>
    </row>
    <row r="38" spans="1:192" ht="12.75" customHeight="1">
      <c r="B38" s="727" t="s">
        <v>34</v>
      </c>
      <c r="C38" s="291"/>
      <c r="D38" s="107"/>
      <c r="E38" s="107"/>
      <c r="F38" s="107"/>
      <c r="G38" s="292"/>
      <c r="H38" s="291"/>
      <c r="I38" s="107"/>
      <c r="J38" s="107"/>
      <c r="K38" s="107"/>
      <c r="L38" s="292"/>
      <c r="M38" s="291"/>
      <c r="N38" s="107"/>
      <c r="O38" s="107"/>
      <c r="P38" s="107"/>
      <c r="Q38" s="292"/>
      <c r="R38" s="291"/>
      <c r="S38" s="107"/>
      <c r="T38" s="107"/>
      <c r="U38" s="107"/>
      <c r="V38" s="292"/>
      <c r="W38" s="291"/>
      <c r="X38" s="107"/>
      <c r="Y38" s="107"/>
      <c r="Z38" s="107"/>
      <c r="AA38" s="292"/>
      <c r="AB38" s="291"/>
      <c r="AC38" s="107"/>
      <c r="AD38" s="107"/>
      <c r="AE38" s="107"/>
      <c r="AF38" s="292"/>
      <c r="AG38" s="291"/>
      <c r="AH38" s="107"/>
      <c r="AI38" s="107"/>
      <c r="AJ38" s="107"/>
      <c r="AK38" s="292"/>
      <c r="AL38" s="291"/>
      <c r="AM38" s="107"/>
      <c r="AN38" s="107"/>
      <c r="AO38" s="107"/>
      <c r="AP38" s="292"/>
      <c r="AQ38" s="291"/>
      <c r="AR38" s="107"/>
      <c r="AS38" s="107"/>
      <c r="AT38" s="107"/>
      <c r="AU38" s="292"/>
      <c r="AV38" s="291"/>
      <c r="AW38" s="107"/>
      <c r="AX38" s="107"/>
      <c r="AY38" s="107"/>
      <c r="AZ38" s="292"/>
      <c r="BA38" s="291"/>
      <c r="BB38" s="107"/>
      <c r="BC38" s="107"/>
      <c r="BD38" s="107"/>
      <c r="BE38" s="292"/>
      <c r="BF38" s="291"/>
      <c r="BG38" s="107"/>
      <c r="BH38" s="107"/>
      <c r="BI38" s="107"/>
      <c r="BJ38" s="292"/>
      <c r="BK38" s="291"/>
      <c r="BL38" s="107"/>
      <c r="BM38" s="107"/>
      <c r="BN38" s="107"/>
      <c r="BO38" s="292"/>
      <c r="BP38" s="291"/>
      <c r="BQ38" s="107"/>
      <c r="BR38" s="107"/>
      <c r="BS38" s="107"/>
      <c r="BT38" s="292"/>
      <c r="BU38" s="291"/>
      <c r="BV38" s="107"/>
      <c r="BW38" s="107"/>
      <c r="BX38" s="107"/>
      <c r="BY38" s="292"/>
      <c r="BZ38" s="291"/>
      <c r="CA38" s="107"/>
      <c r="CB38" s="107"/>
      <c r="CC38" s="107"/>
      <c r="CD38" s="292"/>
      <c r="CE38" s="291"/>
      <c r="CF38" s="107"/>
      <c r="CG38" s="107"/>
      <c r="CH38" s="107"/>
      <c r="CI38" s="292"/>
      <c r="CJ38" s="291"/>
      <c r="CK38" s="107"/>
      <c r="CL38" s="107"/>
      <c r="CM38" s="107"/>
      <c r="CN38" s="292"/>
      <c r="CO38" s="291"/>
      <c r="CP38" s="107"/>
      <c r="CQ38" s="107"/>
      <c r="CR38" s="107"/>
      <c r="CS38" s="292"/>
      <c r="CT38" s="291"/>
      <c r="CU38" s="107"/>
      <c r="CV38" s="107"/>
      <c r="CW38" s="107"/>
      <c r="CX38" s="292"/>
      <c r="CY38" s="291"/>
      <c r="CZ38" s="107"/>
      <c r="DA38" s="107"/>
      <c r="DB38" s="107"/>
      <c r="DC38" s="292"/>
      <c r="DD38" s="291"/>
      <c r="DE38" s="468"/>
      <c r="DF38" s="468"/>
      <c r="DG38" s="468"/>
      <c r="DH38" s="292"/>
      <c r="DI38" s="441"/>
      <c r="DJ38" s="439"/>
      <c r="DK38" s="439"/>
      <c r="DL38" s="439"/>
      <c r="DM38" s="292"/>
      <c r="DN38" s="291"/>
      <c r="DO38" s="107"/>
      <c r="DP38" s="107"/>
      <c r="DQ38" s="107"/>
      <c r="DR38" s="292"/>
      <c r="DS38" s="291"/>
      <c r="DT38" s="107"/>
      <c r="DU38" s="468"/>
      <c r="DV38" s="107"/>
      <c r="DW38" s="292"/>
      <c r="DX38" s="291"/>
      <c r="DY38" s="107"/>
      <c r="DZ38" s="107"/>
      <c r="EA38" s="107"/>
      <c r="EB38" s="292"/>
      <c r="EC38" s="291"/>
      <c r="ED38" s="107"/>
      <c r="EE38" s="107"/>
      <c r="EF38" s="107"/>
      <c r="EG38" s="292"/>
      <c r="EH38" s="291"/>
      <c r="EI38" s="107"/>
      <c r="EJ38" s="107"/>
      <c r="EK38" s="107"/>
      <c r="EL38" s="292"/>
      <c r="EM38" s="441"/>
      <c r="EN38" s="439"/>
      <c r="EO38" s="439"/>
      <c r="EP38" s="468"/>
      <c r="EQ38" s="292"/>
      <c r="ER38" s="291">
        <f t="shared" ref="ER38" si="29">IFERROR(ER37/EM37-1,"--")</f>
      </c>
      <c r="ES38" s="107">
        <f t="shared" ref="ES38" si="30">IFERROR(ES37/EN37-1,"--")</f>
      </c>
      <c r="ET38" s="291">
        <f t="shared" ref="ET38" si="31">IFERROR(ET37/EO37-1,"--")</f>
      </c>
      <c r="EU38" s="107">
        <f t="shared" ref="EU38" si="32">IFERROR(EU37/EP37-1,"--")</f>
      </c>
      <c r="EV38" s="292">
        <f>IFERROR(EV37/EQ37-1,"--")</f>
      </c>
      <c r="EW38" s="291">
        <f t="shared" ref="EW38:EY38" si="33">IFERROR(EW37/ER37-1,"--")</f>
      </c>
      <c r="EX38" s="291">
        <f t="shared" si="33"/>
      </c>
      <c r="EY38" s="291">
        <f t="shared" si="33"/>
      </c>
      <c r="EZ38" s="107">
        <f t="shared" ref="EZ38" si="34">IFERROR(EZ37/EU37-1,"")</f>
      </c>
      <c r="FA38" s="292">
        <f>IFERROR(FA37/EV37-1,"--")</f>
      </c>
      <c r="FB38" s="291"/>
      <c r="FC38" s="107"/>
      <c r="FD38" s="107"/>
      <c r="FE38" s="107"/>
      <c r="FF38" s="292"/>
      <c r="FG38" s="291"/>
      <c r="FH38" s="107"/>
      <c r="FI38" s="107"/>
      <c r="FJ38" s="107"/>
      <c r="FK38" s="292"/>
      <c r="FL38" s="291"/>
      <c r="FM38" s="107"/>
      <c r="FN38" s="107"/>
      <c r="FO38" s="107"/>
      <c r="FP38" s="292"/>
      <c r="FQ38" s="291"/>
      <c r="FR38" s="107"/>
      <c r="FS38" s="107"/>
      <c r="FT38" s="107"/>
      <c r="FU38" s="292"/>
      <c r="FV38" s="291"/>
      <c r="FW38" s="107"/>
      <c r="FX38" s="107"/>
      <c r="FY38" s="107"/>
      <c r="FZ38" s="292"/>
      <c r="GA38" s="291"/>
      <c r="GB38" s="107"/>
      <c r="GC38" s="107"/>
      <c r="GD38" s="107"/>
      <c r="GE38" s="292"/>
      <c r="GF38" s="291"/>
      <c r="GG38" s="107"/>
      <c r="GH38" s="107"/>
      <c r="GI38" s="107"/>
      <c r="GJ38" s="292"/>
    </row>
    <row r="39" spans="1:192" ht="12.75" customHeight="1">
      <c r="B39" s="727" t="s">
        <v>197</v>
      </c>
      <c r="C39" s="291"/>
      <c r="D39" s="107"/>
      <c r="E39" s="107"/>
      <c r="F39" s="107"/>
      <c r="G39" s="292"/>
      <c r="H39" s="291"/>
      <c r="I39" s="107"/>
      <c r="J39" s="107"/>
      <c r="K39" s="107"/>
      <c r="L39" s="292"/>
      <c r="M39" s="291"/>
      <c r="N39" s="107"/>
      <c r="O39" s="107"/>
      <c r="P39" s="107"/>
      <c r="Q39" s="292"/>
      <c r="R39" s="291"/>
      <c r="S39" s="107"/>
      <c r="T39" s="107"/>
      <c r="U39" s="107"/>
      <c r="V39" s="292"/>
      <c r="W39" s="291"/>
      <c r="X39" s="107"/>
      <c r="Y39" s="107"/>
      <c r="Z39" s="107"/>
      <c r="AA39" s="292"/>
      <c r="AB39" s="291"/>
      <c r="AC39" s="107"/>
      <c r="AD39" s="107"/>
      <c r="AE39" s="107"/>
      <c r="AF39" s="292"/>
      <c r="AG39" s="291"/>
      <c r="AH39" s="107"/>
      <c r="AI39" s="107"/>
      <c r="AJ39" s="107"/>
      <c r="AK39" s="292"/>
      <c r="AL39" s="291"/>
      <c r="AM39" s="107"/>
      <c r="AN39" s="107"/>
      <c r="AO39" s="107"/>
      <c r="AP39" s="292"/>
      <c r="AQ39" s="291"/>
      <c r="AR39" s="107"/>
      <c r="AS39" s="107"/>
      <c r="AT39" s="107"/>
      <c r="AU39" s="292"/>
      <c r="AV39" s="291"/>
      <c r="AW39" s="107"/>
      <c r="AX39" s="107"/>
      <c r="AY39" s="107"/>
      <c r="AZ39" s="292"/>
      <c r="BA39" s="291"/>
      <c r="BB39" s="107"/>
      <c r="BC39" s="107"/>
      <c r="BD39" s="107"/>
      <c r="BE39" s="292"/>
      <c r="BF39" s="291"/>
      <c r="BG39" s="107"/>
      <c r="BH39" s="107"/>
      <c r="BI39" s="107"/>
      <c r="BJ39" s="292"/>
      <c r="BK39" s="291"/>
      <c r="BL39" s="107"/>
      <c r="BM39" s="107"/>
      <c r="BN39" s="107"/>
      <c r="BO39" s="292"/>
      <c r="BP39" s="291"/>
      <c r="BQ39" s="107"/>
      <c r="BR39" s="107"/>
      <c r="BS39" s="107"/>
      <c r="BT39" s="292"/>
      <c r="BU39" s="291"/>
      <c r="BV39" s="107"/>
      <c r="BW39" s="107"/>
      <c r="BX39" s="107"/>
      <c r="BY39" s="292"/>
      <c r="BZ39" s="291"/>
      <c r="CA39" s="107"/>
      <c r="CB39" s="107"/>
      <c r="CC39" s="107"/>
      <c r="CD39" s="292"/>
      <c r="CE39" s="291"/>
      <c r="CF39" s="107"/>
      <c r="CG39" s="107"/>
      <c r="CH39" s="107"/>
      <c r="CI39" s="292"/>
      <c r="CJ39" s="291"/>
      <c r="CK39" s="107"/>
      <c r="CL39" s="107"/>
      <c r="CM39" s="107"/>
      <c r="CN39" s="292"/>
      <c r="CO39" s="291"/>
      <c r="CP39" s="107"/>
      <c r="CQ39" s="107"/>
      <c r="CR39" s="107"/>
      <c r="CS39" s="292"/>
      <c r="CT39" s="291"/>
      <c r="CU39" s="107"/>
      <c r="CV39" s="107"/>
      <c r="CW39" s="107"/>
      <c r="CX39" s="292"/>
      <c r="CY39" s="412"/>
      <c r="CZ39" s="114"/>
      <c r="DA39" s="114"/>
      <c r="DB39" s="114"/>
      <c r="DC39" s="292"/>
      <c r="DD39" s="412"/>
      <c r="DE39" s="114"/>
      <c r="DF39" s="114"/>
      <c r="DG39" s="114"/>
      <c r="DH39" s="292"/>
      <c r="DI39" s="412"/>
      <c r="DJ39" s="114"/>
      <c r="DK39" s="114"/>
      <c r="DL39" s="114"/>
      <c r="DM39" s="292"/>
      <c r="DN39" s="412"/>
      <c r="DO39" s="114"/>
      <c r="DP39" s="114"/>
      <c r="DQ39" s="114"/>
      <c r="DR39" s="292"/>
      <c r="DS39" s="412"/>
      <c r="DT39" s="114"/>
      <c r="DU39" s="439"/>
      <c r="DV39" s="114"/>
      <c r="DW39" s="292"/>
      <c r="DX39" s="412"/>
      <c r="DY39" s="114"/>
      <c r="DZ39" s="114"/>
      <c r="EA39" s="114"/>
      <c r="EB39" s="292"/>
      <c r="EC39" s="412"/>
      <c r="ED39" s="114"/>
      <c r="EE39" s="114"/>
      <c r="EF39" s="114"/>
      <c r="EG39" s="292"/>
      <c r="EH39" s="412"/>
      <c r="EI39" s="114"/>
      <c r="EJ39" s="114"/>
      <c r="EK39" s="114"/>
      <c r="EL39" s="292"/>
      <c r="EM39" s="412"/>
      <c r="EN39" s="114"/>
      <c r="EO39" s="114"/>
      <c r="EP39" s="412"/>
      <c r="EQ39" s="292"/>
      <c r="ER39" s="412"/>
      <c r="ES39" s="114"/>
      <c r="ET39" s="439"/>
      <c r="EU39" s="439"/>
      <c r="EV39" s="292"/>
      <c r="EW39" s="441">
        <v>-0.04</v>
      </c>
      <c r="EX39" s="439">
        <v>0.3</v>
      </c>
      <c r="EY39" s="439">
        <v>0.23</v>
      </c>
      <c r="EZ39" s="439">
        <v>0.33</v>
      </c>
      <c r="FA39" s="292"/>
      <c r="FB39" s="291"/>
      <c r="FC39" s="107"/>
      <c r="FD39" s="107"/>
      <c r="FE39" s="107"/>
      <c r="FF39" s="292"/>
      <c r="FG39" s="291"/>
      <c r="FH39" s="107"/>
      <c r="FI39" s="107"/>
      <c r="FJ39" s="107"/>
      <c r="FK39" s="292"/>
      <c r="FL39" s="291"/>
      <c r="FM39" s="107"/>
      <c r="FN39" s="107"/>
      <c r="FO39" s="107"/>
      <c r="FP39" s="292"/>
      <c r="FQ39" s="291"/>
      <c r="FR39" s="107"/>
      <c r="FS39" s="107"/>
      <c r="FT39" s="107"/>
      <c r="FU39" s="292"/>
      <c r="FV39" s="291"/>
      <c r="FW39" s="107"/>
      <c r="FX39" s="107"/>
      <c r="FY39" s="107"/>
      <c r="FZ39" s="292"/>
      <c r="GA39" s="291"/>
      <c r="GB39" s="107"/>
      <c r="GC39" s="107"/>
      <c r="GD39" s="107"/>
      <c r="GE39" s="292"/>
      <c r="GF39" s="291"/>
      <c r="GG39" s="107"/>
      <c r="GH39" s="107"/>
      <c r="GI39" s="107"/>
      <c r="GJ39" s="292"/>
    </row>
    <row r="40" spans="1:192" ht="12.75" customHeight="1">
      <c r="B40" s="727" t="s">
        <v>36</v>
      </c>
      <c r="C40" s="291"/>
      <c r="D40" s="107"/>
      <c r="E40" s="107"/>
      <c r="F40" s="107"/>
      <c r="G40" s="293"/>
      <c r="H40" s="291"/>
      <c r="I40" s="107"/>
      <c r="J40" s="107"/>
      <c r="K40" s="107"/>
      <c r="L40" s="293"/>
      <c r="M40" s="291"/>
      <c r="N40" s="107"/>
      <c r="O40" s="107"/>
      <c r="P40" s="107"/>
      <c r="Q40" s="293"/>
      <c r="R40" s="291"/>
      <c r="S40" s="107"/>
      <c r="T40" s="107"/>
      <c r="U40" s="107"/>
      <c r="V40" s="293"/>
      <c r="W40" s="291"/>
      <c r="X40" s="107"/>
      <c r="Y40" s="107"/>
      <c r="Z40" s="107"/>
      <c r="AA40" s="293"/>
      <c r="AB40" s="291"/>
      <c r="AC40" s="107"/>
      <c r="AD40" s="107"/>
      <c r="AE40" s="107"/>
      <c r="AF40" s="293"/>
      <c r="AG40" s="291"/>
      <c r="AH40" s="107"/>
      <c r="AI40" s="107"/>
      <c r="AJ40" s="107"/>
      <c r="AK40" s="293"/>
      <c r="AL40" s="291"/>
      <c r="AM40" s="107"/>
      <c r="AN40" s="107"/>
      <c r="AO40" s="107"/>
      <c r="AP40" s="293"/>
      <c r="AQ40" s="291"/>
      <c r="AR40" s="107"/>
      <c r="AS40" s="107"/>
      <c r="AT40" s="107"/>
      <c r="AU40" s="293"/>
      <c r="AV40" s="291"/>
      <c r="AW40" s="107"/>
      <c r="AX40" s="107"/>
      <c r="AY40" s="107"/>
      <c r="AZ40" s="293"/>
      <c r="BA40" s="291"/>
      <c r="BB40" s="107"/>
      <c r="BC40" s="107"/>
      <c r="BD40" s="107"/>
      <c r="BE40" s="293"/>
      <c r="BF40" s="291"/>
      <c r="BG40" s="107"/>
      <c r="BH40" s="107"/>
      <c r="BI40" s="107"/>
      <c r="BJ40" s="293"/>
      <c r="BK40" s="291"/>
      <c r="BL40" s="107"/>
      <c r="BM40" s="107"/>
      <c r="BN40" s="107"/>
      <c r="BO40" s="293"/>
      <c r="BP40" s="291"/>
      <c r="BQ40" s="107"/>
      <c r="BR40" s="107"/>
      <c r="BS40" s="107"/>
      <c r="BT40" s="293"/>
      <c r="BU40" s="291"/>
      <c r="BV40" s="107"/>
      <c r="BW40" s="107"/>
      <c r="BX40" s="107"/>
      <c r="BY40" s="293"/>
      <c r="BZ40" s="291"/>
      <c r="CA40" s="107"/>
      <c r="CB40" s="107"/>
      <c r="CC40" s="107"/>
      <c r="CD40" s="293"/>
      <c r="CE40" s="291"/>
      <c r="CF40" s="107"/>
      <c r="CG40" s="107"/>
      <c r="CH40" s="107"/>
      <c r="CI40" s="293"/>
      <c r="CJ40" s="291"/>
      <c r="CK40" s="107"/>
      <c r="CL40" s="107"/>
      <c r="CM40" s="107"/>
      <c r="CN40" s="293"/>
      <c r="CO40" s="291"/>
      <c r="CP40" s="107"/>
      <c r="CQ40" s="107"/>
      <c r="CR40" s="107"/>
      <c r="CS40" s="293"/>
      <c r="CT40" s="291"/>
      <c r="CU40" s="107"/>
      <c r="CV40" s="107"/>
      <c r="CW40" s="107"/>
      <c r="CX40" s="293"/>
      <c r="CY40" s="291"/>
      <c r="CZ40" s="107"/>
      <c r="DA40" s="107"/>
      <c r="DB40" s="107"/>
      <c r="DC40" s="293"/>
      <c r="DD40" s="291"/>
      <c r="DE40" s="107"/>
      <c r="DF40" s="107"/>
      <c r="DG40" s="107"/>
      <c r="DH40" s="293"/>
      <c r="DI40" s="291"/>
      <c r="DJ40" s="107"/>
      <c r="DK40" s="107"/>
      <c r="DL40" s="107"/>
      <c r="DM40" s="293"/>
      <c r="DN40" s="291"/>
      <c r="DO40" s="107"/>
      <c r="DP40" s="107"/>
      <c r="DQ40" s="107"/>
      <c r="DR40" s="293"/>
      <c r="DS40" s="291"/>
      <c r="DT40" s="107"/>
      <c r="DU40" s="468"/>
      <c r="DV40" s="107"/>
      <c r="DW40" s="293"/>
      <c r="DX40" s="291"/>
      <c r="DY40" s="107"/>
      <c r="DZ40" s="107"/>
      <c r="EA40" s="107"/>
      <c r="EB40" s="293"/>
      <c r="EC40" s="291"/>
      <c r="ED40" s="107"/>
      <c r="EE40" s="107"/>
      <c r="EF40" s="107"/>
      <c r="EG40" s="293"/>
      <c r="EH40" s="291"/>
      <c r="EI40" s="107"/>
      <c r="EJ40" s="107"/>
      <c r="EK40" s="107"/>
      <c r="EL40" s="293"/>
      <c r="EM40" s="291"/>
      <c r="EN40" s="107"/>
      <c r="EO40" s="107"/>
      <c r="EP40" s="107"/>
      <c r="EQ40" s="293"/>
      <c r="ER40" s="291">
        <f>IFERROR(ER37/EP37-1,"--")</f>
      </c>
      <c r="ES40" s="107">
        <f>IFERROR(ES37/ER37-1,"--")</f>
      </c>
      <c r="ET40" s="107">
        <f>IFERROR(ET37/ES37-1,"--")</f>
      </c>
      <c r="EU40" s="468">
        <f>IFERROR(EU37/ET37-1,"--")</f>
      </c>
      <c r="EV40" s="293"/>
      <c r="EW40" s="291">
        <f>IFERROR(EW37/EU37-1,"--")</f>
      </c>
      <c r="EX40" s="107">
        <f>IFERROR(EX37/EW37-1,"--")</f>
      </c>
      <c r="EY40" s="107">
        <f>IFERROR(EY37/EX37-1,"--")</f>
      </c>
      <c r="EZ40" s="468">
        <f>IFERROR(EZ37/EY37-1,"--")</f>
      </c>
      <c r="FA40" s="293"/>
      <c r="FB40" s="291"/>
      <c r="FC40" s="107"/>
      <c r="FD40" s="107"/>
      <c r="FE40" s="107"/>
      <c r="FF40" s="293"/>
      <c r="FG40" s="291"/>
      <c r="FH40" s="107"/>
      <c r="FI40" s="107"/>
      <c r="FJ40" s="107"/>
      <c r="FK40" s="293"/>
      <c r="FL40" s="291"/>
      <c r="FM40" s="107"/>
      <c r="FN40" s="107"/>
      <c r="FO40" s="107"/>
      <c r="FP40" s="293"/>
      <c r="FQ40" s="291"/>
      <c r="FR40" s="107"/>
      <c r="FS40" s="107"/>
      <c r="FT40" s="107"/>
      <c r="FU40" s="293"/>
      <c r="FV40" s="291"/>
      <c r="FW40" s="107"/>
      <c r="FX40" s="107"/>
      <c r="FY40" s="107"/>
      <c r="FZ40" s="293"/>
      <c r="GA40" s="291"/>
      <c r="GB40" s="107"/>
      <c r="GC40" s="107"/>
      <c r="GD40" s="107"/>
      <c r="GE40" s="293"/>
      <c r="GF40" s="291"/>
      <c r="GG40" s="107"/>
      <c r="GH40" s="107"/>
      <c r="GI40" s="107"/>
      <c r="GJ40" s="293"/>
    </row>
    <row r="41" spans="1:192" s="461" customFormat="1" ht="12.75" customHeight="1">
      <c r="A41" s="850"/>
      <c r="B41" s="727" t="s">
        <v>256</v>
      </c>
      <c r="C41" s="447"/>
      <c r="D41" s="458"/>
      <c r="E41" s="458"/>
      <c r="F41" s="458"/>
      <c r="G41" s="459"/>
      <c r="H41" s="447"/>
      <c r="I41" s="458"/>
      <c r="J41" s="458"/>
      <c r="K41" s="458"/>
      <c r="L41" s="459"/>
      <c r="M41" s="447"/>
      <c r="N41" s="458"/>
      <c r="O41" s="458"/>
      <c r="P41" s="458"/>
      <c r="Q41" s="459"/>
      <c r="R41" s="447"/>
      <c r="S41" s="458"/>
      <c r="T41" s="458"/>
      <c r="U41" s="458"/>
      <c r="V41" s="459"/>
      <c r="W41" s="447"/>
      <c r="X41" s="458"/>
      <c r="Y41" s="458"/>
      <c r="Z41" s="458"/>
      <c r="AA41" s="459"/>
      <c r="AB41" s="447"/>
      <c r="AC41" s="458"/>
      <c r="AD41" s="458"/>
      <c r="AE41" s="458"/>
      <c r="AF41" s="459"/>
      <c r="AG41" s="447"/>
      <c r="AH41" s="458"/>
      <c r="AI41" s="458"/>
      <c r="AJ41" s="458"/>
      <c r="AK41" s="459"/>
      <c r="AL41" s="447"/>
      <c r="AM41" s="458"/>
      <c r="AN41" s="458"/>
      <c r="AO41" s="458"/>
      <c r="AP41" s="459"/>
      <c r="AQ41" s="447"/>
      <c r="AR41" s="458"/>
      <c r="AS41" s="458"/>
      <c r="AT41" s="458"/>
      <c r="AU41" s="459"/>
      <c r="AV41" s="447"/>
      <c r="AW41" s="458"/>
      <c r="AX41" s="458"/>
      <c r="AY41" s="458"/>
      <c r="AZ41" s="459"/>
      <c r="BA41" s="447"/>
      <c r="BB41" s="458"/>
      <c r="BC41" s="458"/>
      <c r="BD41" s="458"/>
      <c r="BE41" s="459"/>
      <c r="BF41" s="447"/>
      <c r="BG41" s="458"/>
      <c r="BH41" s="458"/>
      <c r="BI41" s="458"/>
      <c r="BJ41" s="459"/>
      <c r="BK41" s="447"/>
      <c r="BL41" s="458"/>
      <c r="BM41" s="458"/>
      <c r="BN41" s="458"/>
      <c r="BO41" s="459"/>
      <c r="BP41" s="447"/>
      <c r="BQ41" s="458"/>
      <c r="BR41" s="458"/>
      <c r="BS41" s="458"/>
      <c r="BT41" s="459"/>
      <c r="BU41" s="447"/>
      <c r="BV41" s="458"/>
      <c r="BW41" s="458"/>
      <c r="BX41" s="458"/>
      <c r="BY41" s="459"/>
      <c r="BZ41" s="447"/>
      <c r="CA41" s="458"/>
      <c r="CB41" s="458"/>
      <c r="CC41" s="458"/>
      <c r="CD41" s="459"/>
      <c r="CE41" s="447"/>
      <c r="CF41" s="458"/>
      <c r="CG41" s="458"/>
      <c r="CH41" s="458"/>
      <c r="CI41" s="459"/>
      <c r="CJ41" s="447"/>
      <c r="CK41" s="458"/>
      <c r="CL41" s="458"/>
      <c r="CM41" s="458"/>
      <c r="CN41" s="459"/>
      <c r="CO41" s="447"/>
      <c r="CP41" s="458"/>
      <c r="CQ41" s="458"/>
      <c r="CR41" s="458"/>
      <c r="CS41" s="459"/>
      <c r="CT41" s="447"/>
      <c r="CU41" s="458"/>
      <c r="CV41" s="458"/>
      <c r="CW41" s="458"/>
      <c r="CX41" s="459"/>
      <c r="CY41" s="447"/>
      <c r="CZ41" s="447"/>
      <c r="DA41" s="447"/>
      <c r="DB41" s="447"/>
      <c r="DC41" s="459"/>
      <c r="DD41" s="447"/>
      <c r="DE41" s="447"/>
      <c r="DF41" s="447"/>
      <c r="DG41" s="447"/>
      <c r="DH41" s="459"/>
      <c r="DI41" s="447"/>
      <c r="DJ41" s="447"/>
      <c r="DK41" s="447"/>
      <c r="DL41" s="447"/>
      <c r="DM41" s="459"/>
      <c r="DN41" s="447"/>
      <c r="DO41" s="447"/>
      <c r="DP41" s="447"/>
      <c r="DQ41" s="447"/>
      <c r="DR41" s="459"/>
      <c r="DS41" s="447"/>
      <c r="DT41" s="447"/>
      <c r="DU41" s="447"/>
      <c r="DV41" s="447"/>
      <c r="DW41" s="459"/>
      <c r="DX41" s="447"/>
      <c r="DY41" s="447"/>
      <c r="DZ41" s="447"/>
      <c r="EA41" s="447"/>
      <c r="EB41" s="459"/>
      <c r="EC41" s="447"/>
      <c r="ED41" s="447"/>
      <c r="EE41" s="447"/>
      <c r="EF41" s="447"/>
      <c r="EG41" s="459"/>
      <c r="EH41" s="447"/>
      <c r="EI41" s="447"/>
      <c r="EJ41" s="447"/>
      <c r="EK41" s="447"/>
      <c r="EL41" s="459"/>
      <c r="EM41" s="447"/>
      <c r="EN41" s="511"/>
      <c r="EO41" s="447"/>
      <c r="EP41" s="447"/>
      <c r="EQ41" s="459"/>
      <c r="ER41" s="447">
        <f t="shared" ref="ER41" si="35">ER37-EM37</f>
      </c>
      <c r="ES41" s="447">
        <f t="shared" ref="ES41" si="36">ES37-EN37</f>
      </c>
      <c r="ET41" s="458">
        <f t="shared" ref="ET41" si="37">ET37-EO37</f>
      </c>
      <c r="EU41" s="447">
        <f t="shared" ref="EU41" si="38">EU37-EP37</f>
      </c>
      <c r="EV41" s="459">
        <f t="shared" ref="EV41:FA41" si="39">EV37-EQ37</f>
      </c>
      <c r="EW41" s="447">
        <f t="shared" si="39"/>
      </c>
      <c r="EX41" s="447">
        <f t="shared" si="39"/>
      </c>
      <c r="EY41" s="447">
        <f t="shared" si="39"/>
      </c>
      <c r="EZ41" s="447">
        <f t="shared" si="39"/>
      </c>
      <c r="FA41" s="459">
        <f t="shared" si="39"/>
      </c>
      <c r="FB41" s="447"/>
      <c r="FC41" s="458"/>
      <c r="FD41" s="458"/>
      <c r="FE41" s="458"/>
      <c r="FF41" s="459"/>
      <c r="FG41" s="447"/>
      <c r="FH41" s="458"/>
      <c r="FI41" s="458"/>
      <c r="FJ41" s="458"/>
      <c r="FK41" s="459"/>
      <c r="FL41" s="447"/>
      <c r="FM41" s="458"/>
      <c r="FN41" s="458"/>
      <c r="FO41" s="458"/>
      <c r="FP41" s="459"/>
      <c r="FQ41" s="447"/>
      <c r="FR41" s="458"/>
      <c r="FS41" s="458"/>
      <c r="FT41" s="458"/>
      <c r="FU41" s="459"/>
      <c r="FV41" s="447"/>
      <c r="FW41" s="458"/>
      <c r="FX41" s="458"/>
      <c r="FY41" s="458"/>
      <c r="FZ41" s="459"/>
      <c r="GA41" s="447"/>
      <c r="GB41" s="458"/>
      <c r="GC41" s="458"/>
      <c r="GD41" s="458"/>
      <c r="GE41" s="459"/>
      <c r="GF41" s="447"/>
      <c r="GG41" s="458"/>
      <c r="GH41" s="458"/>
      <c r="GI41" s="458"/>
      <c r="GJ41" s="459"/>
    </row>
    <row r="42" spans="1:192" ht="12.75" customHeight="1">
      <c r="B42" s="727" t="s">
        <v>263</v>
      </c>
      <c r="C42" s="291"/>
      <c r="D42" s="107"/>
      <c r="E42" s="107"/>
      <c r="F42" s="107"/>
      <c r="G42" s="293"/>
      <c r="H42" s="291"/>
      <c r="I42" s="107"/>
      <c r="J42" s="107"/>
      <c r="K42" s="107"/>
      <c r="L42" s="293"/>
      <c r="M42" s="291"/>
      <c r="N42" s="107"/>
      <c r="O42" s="107"/>
      <c r="P42" s="107"/>
      <c r="Q42" s="293"/>
      <c r="R42" s="291"/>
      <c r="S42" s="107"/>
      <c r="T42" s="107"/>
      <c r="U42" s="107"/>
      <c r="V42" s="293"/>
      <c r="W42" s="291"/>
      <c r="X42" s="107"/>
      <c r="Y42" s="107"/>
      <c r="Z42" s="107"/>
      <c r="AA42" s="293"/>
      <c r="AB42" s="291"/>
      <c r="AC42" s="107"/>
      <c r="AD42" s="107"/>
      <c r="AE42" s="107"/>
      <c r="AF42" s="293"/>
      <c r="AG42" s="291"/>
      <c r="AH42" s="107"/>
      <c r="AI42" s="107"/>
      <c r="AJ42" s="107"/>
      <c r="AK42" s="293"/>
      <c r="AL42" s="291"/>
      <c r="AM42" s="107"/>
      <c r="AN42" s="107"/>
      <c r="AO42" s="107"/>
      <c r="AP42" s="293"/>
      <c r="AQ42" s="291"/>
      <c r="AR42" s="107"/>
      <c r="AS42" s="107"/>
      <c r="AT42" s="107"/>
      <c r="AU42" s="293"/>
      <c r="AV42" s="291"/>
      <c r="AW42" s="107"/>
      <c r="AX42" s="107"/>
      <c r="AY42" s="107"/>
      <c r="AZ42" s="293"/>
      <c r="BA42" s="291"/>
      <c r="BB42" s="107"/>
      <c r="BC42" s="107"/>
      <c r="BD42" s="107"/>
      <c r="BE42" s="293"/>
      <c r="BF42" s="291"/>
      <c r="BG42" s="107"/>
      <c r="BH42" s="107"/>
      <c r="BI42" s="107"/>
      <c r="BJ42" s="293"/>
      <c r="BK42" s="291"/>
      <c r="BL42" s="107"/>
      <c r="BM42" s="107"/>
      <c r="BN42" s="107"/>
      <c r="BO42" s="293"/>
      <c r="BP42" s="291"/>
      <c r="BQ42" s="107"/>
      <c r="BR42" s="107"/>
      <c r="BS42" s="107"/>
      <c r="BT42" s="293"/>
      <c r="BU42" s="291"/>
      <c r="BV42" s="107"/>
      <c r="BW42" s="107"/>
      <c r="BX42" s="107"/>
      <c r="BY42" s="293"/>
      <c r="BZ42" s="291"/>
      <c r="CA42" s="107"/>
      <c r="CB42" s="107"/>
      <c r="CC42" s="107"/>
      <c r="CD42" s="293"/>
      <c r="CE42" s="291"/>
      <c r="CF42" s="107"/>
      <c r="CG42" s="107"/>
      <c r="CH42" s="107"/>
      <c r="CI42" s="293"/>
      <c r="CJ42" s="291"/>
      <c r="CK42" s="107"/>
      <c r="CL42" s="107"/>
      <c r="CM42" s="107"/>
      <c r="CN42" s="293"/>
      <c r="CO42" s="291"/>
      <c r="CP42" s="107"/>
      <c r="CQ42" s="107"/>
      <c r="CR42" s="107"/>
      <c r="CS42" s="293"/>
      <c r="CT42" s="291"/>
      <c r="CU42" s="107"/>
      <c r="CV42" s="107"/>
      <c r="CW42" s="107"/>
      <c r="CX42" s="293"/>
      <c r="CY42" s="465"/>
      <c r="CZ42" s="465"/>
      <c r="DA42" s="465"/>
      <c r="DB42" s="465"/>
      <c r="DC42" s="524"/>
      <c r="DD42" s="465"/>
      <c r="DE42" s="465"/>
      <c r="DF42" s="465"/>
      <c r="DG42" s="465"/>
      <c r="DH42" s="524"/>
      <c r="DI42" s="465"/>
      <c r="DJ42" s="465"/>
      <c r="DK42" s="465"/>
      <c r="DL42" s="465"/>
      <c r="DM42" s="524"/>
      <c r="DN42" s="465"/>
      <c r="DO42" s="465"/>
      <c r="DP42" s="465"/>
      <c r="DQ42" s="465"/>
      <c r="DR42" s="524"/>
      <c r="DS42" s="465"/>
      <c r="DT42" s="465"/>
      <c r="DU42" s="465"/>
      <c r="DV42" s="465"/>
      <c r="DW42" s="524"/>
      <c r="DX42" s="465"/>
      <c r="DY42" s="465"/>
      <c r="DZ42" s="465"/>
      <c r="EA42" s="465"/>
      <c r="EB42" s="524"/>
      <c r="EC42" s="465"/>
      <c r="ED42" s="465"/>
      <c r="EE42" s="465"/>
      <c r="EF42" s="465"/>
      <c r="EG42" s="524"/>
      <c r="EH42" s="465"/>
      <c r="EI42" s="465"/>
      <c r="EJ42" s="465"/>
      <c r="EK42" s="465"/>
      <c r="EL42" s="524"/>
      <c r="EM42" s="465"/>
      <c r="EN42" s="525"/>
      <c r="EO42" s="465"/>
      <c r="EP42" s="465"/>
      <c r="EQ42" s="524"/>
      <c r="ER42" s="465">
        <f t="shared" ref="ER42:EW42" si="40">ER37/ER10</f>
      </c>
      <c r="ES42" s="107">
        <f t="shared" si="40"/>
      </c>
      <c r="ET42" s="107">
        <f t="shared" si="40"/>
      </c>
      <c r="EU42" s="465">
        <f t="shared" si="40"/>
      </c>
      <c r="EV42" s="293">
        <f t="shared" si="40"/>
      </c>
      <c r="EW42" s="465">
        <f t="shared" si="40"/>
      </c>
      <c r="EX42" s="107">
        <f t="shared" ref="EX42:FA42" si="41">EX37/EX10</f>
      </c>
      <c r="EY42" s="107">
        <f t="shared" si="41"/>
      </c>
      <c r="EZ42" s="465">
        <f t="shared" si="41"/>
      </c>
      <c r="FA42" s="293">
        <f t="shared" si="41"/>
      </c>
      <c r="FB42" s="291"/>
      <c r="FC42" s="107"/>
      <c r="FD42" s="107"/>
      <c r="FE42" s="107"/>
      <c r="FF42" s="293"/>
      <c r="FG42" s="291"/>
      <c r="FH42" s="107"/>
      <c r="FI42" s="107"/>
      <c r="FJ42" s="107"/>
      <c r="FK42" s="293"/>
      <c r="FL42" s="291"/>
      <c r="FM42" s="107"/>
      <c r="FN42" s="107"/>
      <c r="FO42" s="107"/>
      <c r="FP42" s="293"/>
      <c r="FQ42" s="291"/>
      <c r="FR42" s="107"/>
      <c r="FS42" s="107"/>
      <c r="FT42" s="107"/>
      <c r="FU42" s="293"/>
      <c r="FV42" s="291"/>
      <c r="FW42" s="107"/>
      <c r="FX42" s="107"/>
      <c r="FY42" s="107"/>
      <c r="FZ42" s="293"/>
      <c r="GA42" s="291"/>
      <c r="GB42" s="107"/>
      <c r="GC42" s="107"/>
      <c r="GD42" s="107"/>
      <c r="GE42" s="293"/>
      <c r="GF42" s="291"/>
      <c r="GG42" s="107"/>
      <c r="GH42" s="107"/>
      <c r="GI42" s="107"/>
      <c r="GJ42" s="293"/>
    </row>
    <row r="43" spans="1:192" s="1247" customFormat="1" ht="12.75" customHeight="1">
      <c r="A43" s="850"/>
      <c r="B43" s="753" t="s">
        <v>1854</v>
      </c>
      <c r="C43" s="1243"/>
      <c r="D43" s="1244"/>
      <c r="E43" s="1244"/>
      <c r="F43" s="1244"/>
      <c r="G43" s="1242"/>
      <c r="H43" s="1243"/>
      <c r="I43" s="1244"/>
      <c r="J43" s="1244"/>
      <c r="K43" s="1244"/>
      <c r="L43" s="1242"/>
      <c r="M43" s="1243"/>
      <c r="N43" s="1244"/>
      <c r="O43" s="1244"/>
      <c r="P43" s="1244"/>
      <c r="Q43" s="1242"/>
      <c r="R43" s="1243"/>
      <c r="S43" s="1244"/>
      <c r="T43" s="1244"/>
      <c r="U43" s="1244"/>
      <c r="V43" s="1242"/>
      <c r="W43" s="1243"/>
      <c r="X43" s="1244"/>
      <c r="Y43" s="1244"/>
      <c r="Z43" s="1244"/>
      <c r="AA43" s="1242"/>
      <c r="AB43" s="1243"/>
      <c r="AC43" s="1244"/>
      <c r="AD43" s="1244"/>
      <c r="AE43" s="1244"/>
      <c r="AF43" s="1242"/>
      <c r="AG43" s="1243"/>
      <c r="AH43" s="1244"/>
      <c r="AI43" s="1244"/>
      <c r="AJ43" s="1244"/>
      <c r="AK43" s="1242"/>
      <c r="AL43" s="1243"/>
      <c r="AM43" s="1244"/>
      <c r="AN43" s="1244"/>
      <c r="AO43" s="1244"/>
      <c r="AP43" s="1242"/>
      <c r="AQ43" s="1243"/>
      <c r="AR43" s="1244"/>
      <c r="AS43" s="1244"/>
      <c r="AT43" s="1244"/>
      <c r="AU43" s="1242"/>
      <c r="AV43" s="1243"/>
      <c r="AW43" s="1244"/>
      <c r="AX43" s="1244"/>
      <c r="AY43" s="1244"/>
      <c r="AZ43" s="1242"/>
      <c r="BA43" s="1243"/>
      <c r="BB43" s="1244"/>
      <c r="BC43" s="1244"/>
      <c r="BD43" s="1244"/>
      <c r="BE43" s="1242"/>
      <c r="BF43" s="1243"/>
      <c r="BG43" s="1244"/>
      <c r="BH43" s="1244"/>
      <c r="BI43" s="1244"/>
      <c r="BJ43" s="1242"/>
      <c r="BK43" s="1243"/>
      <c r="BL43" s="1244"/>
      <c r="BM43" s="1244"/>
      <c r="BN43" s="1244"/>
      <c r="BO43" s="1242"/>
      <c r="BP43" s="1243"/>
      <c r="BQ43" s="1244"/>
      <c r="BR43" s="1244"/>
      <c r="BS43" s="1244"/>
      <c r="BT43" s="1242"/>
      <c r="BU43" s="1243"/>
      <c r="BV43" s="1244"/>
      <c r="BW43" s="1244"/>
      <c r="BX43" s="1244"/>
      <c r="BY43" s="1242"/>
      <c r="BZ43" s="1243"/>
      <c r="CA43" s="1244"/>
      <c r="CB43" s="1244"/>
      <c r="CC43" s="1244"/>
      <c r="CD43" s="1242"/>
      <c r="CE43" s="1243"/>
      <c r="CF43" s="1244"/>
      <c r="CG43" s="1244"/>
      <c r="CH43" s="1244"/>
      <c r="CI43" s="1242"/>
      <c r="CJ43" s="1243"/>
      <c r="CK43" s="1244"/>
      <c r="CL43" s="1244"/>
      <c r="CM43" s="1244"/>
      <c r="CN43" s="1242"/>
      <c r="CO43" s="1243"/>
      <c r="CP43" s="1244"/>
      <c r="CQ43" s="1244"/>
      <c r="CR43" s="1244"/>
      <c r="CS43" s="1242"/>
      <c r="CT43" s="1243"/>
      <c r="CU43" s="1244"/>
      <c r="CV43" s="1244"/>
      <c r="CW43" s="1244"/>
      <c r="CX43" s="1242"/>
      <c r="CY43" s="1243"/>
      <c r="CZ43" s="1244"/>
      <c r="DA43" s="1244"/>
      <c r="DB43" s="1244"/>
      <c r="DC43" s="1242"/>
      <c r="DD43" s="1243"/>
      <c r="DE43" s="1244"/>
      <c r="DF43" s="1244"/>
      <c r="DG43" s="1244"/>
      <c r="DH43" s="1245"/>
      <c r="DI43" s="1243"/>
      <c r="DJ43" s="1244"/>
      <c r="DK43" s="1244"/>
      <c r="DL43" s="1244"/>
      <c r="DM43" s="1242"/>
      <c r="DN43" s="1243"/>
      <c r="DO43" s="1244"/>
      <c r="DP43" s="1244"/>
      <c r="DQ43" s="1244"/>
      <c r="DR43" s="1242"/>
      <c r="DS43" s="1243"/>
      <c r="DT43" s="1244"/>
      <c r="DU43" s="1244"/>
      <c r="DV43" s="1244"/>
      <c r="DW43" s="1242"/>
      <c r="DX43" s="1243"/>
      <c r="DY43" s="1244"/>
      <c r="DZ43" s="1244"/>
      <c r="EA43" s="1244"/>
      <c r="EB43" s="1242"/>
      <c r="EC43" s="1243"/>
      <c r="ED43" s="1244"/>
      <c r="EE43" s="1244"/>
      <c r="EF43" s="1244"/>
      <c r="EG43" s="1242"/>
      <c r="EH43" s="1243"/>
      <c r="EI43" s="1244"/>
      <c r="EJ43" s="1244"/>
      <c r="EK43" s="1244"/>
      <c r="EL43" s="1242"/>
      <c r="EM43" s="1243"/>
      <c r="EN43" s="1243"/>
      <c r="EO43" s="1243"/>
      <c r="EP43" s="1244"/>
      <c r="EQ43" s="1242"/>
      <c r="ER43" s="1243"/>
      <c r="ES43" s="1244"/>
      <c r="ET43" s="1244"/>
      <c r="EU43" s="1244"/>
      <c r="EV43" s="1242"/>
      <c r="EW43" s="1243">
        <f t="shared" ref="EW43:FA43" si="42">(EW42-ER42)*10000</f>
      </c>
      <c r="EX43" s="1244">
        <f t="shared" si="42"/>
      </c>
      <c r="EY43" s="1244">
        <f t="shared" si="42"/>
      </c>
      <c r="EZ43" s="1244">
        <f t="shared" si="42"/>
      </c>
      <c r="FA43" s="1242">
        <f t="shared" si="42"/>
      </c>
      <c r="FB43" s="1243"/>
      <c r="FC43" s="1244"/>
      <c r="FD43" s="1244"/>
      <c r="FE43" s="1244"/>
      <c r="FF43" s="1242"/>
      <c r="FG43" s="1243"/>
      <c r="FH43" s="1243"/>
      <c r="FI43" s="1243"/>
      <c r="FJ43" s="1243"/>
      <c r="FK43" s="1242"/>
      <c r="FL43" s="1243"/>
      <c r="FM43" s="1243"/>
      <c r="FN43" s="1243"/>
      <c r="FO43" s="1243"/>
      <c r="FP43" s="1242"/>
      <c r="FQ43" s="1243"/>
      <c r="FR43" s="1243"/>
      <c r="FS43" s="1243"/>
      <c r="FT43" s="1243"/>
      <c r="FU43" s="1242"/>
      <c r="FV43" s="1243"/>
      <c r="FW43" s="1243"/>
      <c r="FX43" s="1243"/>
      <c r="FY43" s="1243"/>
      <c r="FZ43" s="1242"/>
      <c r="GA43" s="1243"/>
      <c r="GB43" s="1243"/>
      <c r="GC43" s="1243"/>
      <c r="GD43" s="1243"/>
      <c r="GE43" s="1242"/>
      <c r="GF43" s="1243"/>
      <c r="GG43" s="1243"/>
      <c r="GH43" s="1243"/>
      <c r="GI43" s="1243"/>
      <c r="GJ43" s="1242"/>
    </row>
    <row r="44" spans="1:192" ht="12.75" customHeight="1">
      <c r="C44" s="294"/>
      <c r="D44" s="295"/>
      <c r="E44" s="295"/>
      <c r="F44" s="295"/>
      <c r="G44" s="296"/>
      <c r="H44" s="294"/>
      <c r="I44" s="295"/>
      <c r="J44" s="295"/>
      <c r="K44" s="295"/>
      <c r="L44" s="296"/>
      <c r="M44" s="294"/>
      <c r="N44" s="295"/>
      <c r="O44" s="295"/>
      <c r="P44" s="295"/>
      <c r="Q44" s="296"/>
      <c r="R44" s="294"/>
      <c r="S44" s="295"/>
      <c r="T44" s="295"/>
      <c r="U44" s="295"/>
      <c r="V44" s="296"/>
      <c r="W44" s="294"/>
      <c r="X44" s="295"/>
      <c r="Y44" s="295"/>
      <c r="Z44" s="295"/>
      <c r="AA44" s="296"/>
      <c r="AB44" s="294"/>
      <c r="AC44" s="295"/>
      <c r="AD44" s="295"/>
      <c r="AE44" s="295"/>
      <c r="AF44" s="296"/>
      <c r="AG44" s="294"/>
      <c r="AH44" s="295"/>
      <c r="AI44" s="295"/>
      <c r="AJ44" s="295"/>
      <c r="AK44" s="296"/>
      <c r="AL44" s="294"/>
      <c r="AM44" s="295"/>
      <c r="AN44" s="295"/>
      <c r="AO44" s="295"/>
      <c r="AP44" s="296"/>
      <c r="AQ44" s="294"/>
      <c r="AR44" s="295"/>
      <c r="AS44" s="295"/>
      <c r="AT44" s="295"/>
      <c r="AU44" s="296"/>
      <c r="AV44" s="294"/>
      <c r="AW44" s="295"/>
      <c r="AX44" s="295"/>
      <c r="AY44" s="295"/>
      <c r="AZ44" s="296"/>
      <c r="BA44" s="294"/>
      <c r="BB44" s="295"/>
      <c r="BC44" s="295"/>
      <c r="BD44" s="295"/>
      <c r="BE44" s="296"/>
      <c r="BF44" s="294"/>
      <c r="BG44" s="295"/>
      <c r="BH44" s="295"/>
      <c r="BI44" s="295"/>
      <c r="BJ44" s="296"/>
      <c r="BK44" s="294"/>
      <c r="BL44" s="295"/>
      <c r="BM44" s="295"/>
      <c r="BN44" s="295"/>
      <c r="BO44" s="296"/>
      <c r="BP44" s="294"/>
      <c r="BQ44" s="295"/>
      <c r="BR44" s="295"/>
      <c r="BS44" s="295"/>
      <c r="BT44" s="296"/>
      <c r="BU44" s="294"/>
      <c r="BV44" s="295"/>
      <c r="BW44" s="295"/>
      <c r="BX44" s="295"/>
      <c r="BY44" s="296"/>
      <c r="BZ44" s="294"/>
      <c r="CA44" s="295"/>
      <c r="CB44" s="295"/>
      <c r="CC44" s="295"/>
      <c r="CD44" s="296"/>
      <c r="CE44" s="294"/>
      <c r="CF44" s="295"/>
      <c r="CG44" s="295"/>
      <c r="CH44" s="295"/>
      <c r="CI44" s="296"/>
      <c r="CJ44" s="294"/>
      <c r="CK44" s="295"/>
      <c r="CL44" s="295"/>
      <c r="CM44" s="295"/>
      <c r="CN44" s="296"/>
      <c r="CO44" s="294"/>
      <c r="CP44" s="295"/>
      <c r="CQ44" s="295"/>
      <c r="CR44" s="295"/>
      <c r="CS44" s="296"/>
      <c r="CT44" s="294"/>
      <c r="CU44" s="295"/>
      <c r="CV44" s="295"/>
      <c r="CW44" s="295"/>
      <c r="CX44" s="296"/>
      <c r="CY44" s="294"/>
      <c r="CZ44" s="295"/>
      <c r="DA44" s="295"/>
      <c r="DB44" s="295"/>
      <c r="DC44" s="296"/>
      <c r="DD44" s="294"/>
      <c r="DE44" s="295"/>
      <c r="DF44" s="295"/>
      <c r="DG44" s="295"/>
      <c r="DH44" s="296"/>
      <c r="DI44" s="294"/>
      <c r="DJ44" s="295"/>
      <c r="DK44" s="295"/>
      <c r="DL44" s="295"/>
      <c r="DM44" s="296"/>
      <c r="DN44" s="294"/>
      <c r="DO44" s="295"/>
      <c r="DP44" s="295"/>
      <c r="DQ44" s="295"/>
      <c r="DR44" s="296"/>
      <c r="DS44" s="294"/>
      <c r="DT44" s="295"/>
      <c r="DU44" s="295"/>
      <c r="DV44" s="295"/>
      <c r="DW44" s="296"/>
      <c r="DX44" s="294"/>
      <c r="DY44" s="295"/>
      <c r="DZ44" s="295"/>
      <c r="EA44" s="295"/>
      <c r="EB44" s="296"/>
      <c r="EC44" s="294"/>
      <c r="ED44" s="295"/>
      <c r="EE44" s="295"/>
      <c r="EF44" s="295"/>
      <c r="EG44" s="296"/>
      <c r="EH44" s="294"/>
      <c r="EI44" s="295"/>
      <c r="EJ44" s="295"/>
      <c r="EK44" s="295"/>
      <c r="EL44" s="296"/>
      <c r="EM44" s="294"/>
      <c r="EN44" s="295"/>
      <c r="EO44" s="295"/>
      <c r="EP44" s="295"/>
      <c r="EQ44" s="296"/>
      <c r="ER44" s="294"/>
      <c r="ES44" s="295"/>
      <c r="ET44" s="295"/>
      <c r="EU44" s="295"/>
      <c r="EV44" s="296"/>
      <c r="EW44" s="294"/>
      <c r="EX44" s="295"/>
      <c r="EY44" s="295"/>
      <c r="EZ44" s="295"/>
      <c r="FA44" s="296"/>
      <c r="FB44" s="294"/>
      <c r="FC44" s="295"/>
      <c r="FD44" s="295"/>
      <c r="FE44" s="295"/>
      <c r="FF44" s="296"/>
      <c r="FG44" s="294"/>
      <c r="FH44" s="295"/>
      <c r="FI44" s="295"/>
      <c r="FJ44" s="295"/>
      <c r="FK44" s="296"/>
      <c r="FL44" s="294"/>
      <c r="FM44" s="295"/>
      <c r="FN44" s="295"/>
      <c r="FO44" s="295"/>
      <c r="FP44" s="296"/>
      <c r="FQ44" s="294"/>
      <c r="FR44" s="295"/>
      <c r="FS44" s="295"/>
      <c r="FT44" s="295"/>
      <c r="FU44" s="296"/>
      <c r="FV44" s="294"/>
      <c r="FW44" s="295"/>
      <c r="FX44" s="295"/>
      <c r="FY44" s="295"/>
      <c r="FZ44" s="296"/>
      <c r="GA44" s="294"/>
      <c r="GB44" s="295"/>
      <c r="GC44" s="295"/>
      <c r="GD44" s="295"/>
      <c r="GE44" s="296"/>
      <c r="GF44" s="294"/>
      <c r="GG44" s="295"/>
      <c r="GH44" s="295"/>
      <c r="GI44" s="295"/>
      <c r="GJ44" s="296"/>
    </row>
    <row r="45" spans="1:192" s="317" customFormat="1" ht="12.75" customHeight="1">
      <c r="A45" s="1641"/>
      <c r="B45" s="730" t="s">
        <v>195</v>
      </c>
      <c r="C45" s="316"/>
      <c r="D45" s="316"/>
      <c r="E45" s="316"/>
      <c r="F45" s="316"/>
      <c r="G45" s="313"/>
      <c r="H45" s="316"/>
      <c r="I45" s="316"/>
      <c r="J45" s="316"/>
      <c r="K45" s="316"/>
      <c r="L45" s="313"/>
      <c r="M45" s="316"/>
      <c r="N45" s="316"/>
      <c r="O45" s="316"/>
      <c r="P45" s="316"/>
      <c r="Q45" s="313"/>
      <c r="R45" s="316"/>
      <c r="S45" s="316"/>
      <c r="T45" s="316"/>
      <c r="U45" s="316"/>
      <c r="V45" s="313"/>
      <c r="W45" s="316"/>
      <c r="X45" s="316"/>
      <c r="Y45" s="316"/>
      <c r="Z45" s="316"/>
      <c r="AA45" s="313"/>
      <c r="AB45" s="316"/>
      <c r="AC45" s="316"/>
      <c r="AD45" s="316"/>
      <c r="AE45" s="316"/>
      <c r="AF45" s="313"/>
      <c r="AG45" s="316"/>
      <c r="AH45" s="316"/>
      <c r="AI45" s="316"/>
      <c r="AJ45" s="316"/>
      <c r="AK45" s="313"/>
      <c r="AL45" s="316"/>
      <c r="AM45" s="316"/>
      <c r="AN45" s="316"/>
      <c r="AO45" s="316"/>
      <c r="AP45" s="313"/>
      <c r="AQ45" s="316"/>
      <c r="AR45" s="316"/>
      <c r="AS45" s="316"/>
      <c r="AT45" s="316"/>
      <c r="AU45" s="313"/>
      <c r="AV45" s="316"/>
      <c r="AW45" s="316"/>
      <c r="AX45" s="316"/>
      <c r="AY45" s="316"/>
      <c r="AZ45" s="313"/>
      <c r="BA45" s="316"/>
      <c r="BB45" s="316"/>
      <c r="BC45" s="316"/>
      <c r="BD45" s="316"/>
      <c r="BE45" s="313"/>
      <c r="BF45" s="316"/>
      <c r="BG45" s="316"/>
      <c r="BH45" s="316"/>
      <c r="BI45" s="316"/>
      <c r="BJ45" s="313"/>
      <c r="BK45" s="316"/>
      <c r="BL45" s="316"/>
      <c r="BM45" s="316"/>
      <c r="BN45" s="316"/>
      <c r="BO45" s="313"/>
      <c r="BP45" s="316"/>
      <c r="BQ45" s="316"/>
      <c r="BR45" s="316"/>
      <c r="BS45" s="316"/>
      <c r="BT45" s="313"/>
      <c r="BU45" s="316"/>
      <c r="BV45" s="316"/>
      <c r="BW45" s="316"/>
      <c r="BX45" s="316"/>
      <c r="BY45" s="313"/>
      <c r="BZ45" s="316"/>
      <c r="CA45" s="316"/>
      <c r="CB45" s="316"/>
      <c r="CC45" s="316"/>
      <c r="CD45" s="313"/>
      <c r="CE45" s="316"/>
      <c r="CF45" s="316"/>
      <c r="CG45" s="316"/>
      <c r="CH45" s="316"/>
      <c r="CI45" s="313"/>
      <c r="CJ45" s="316"/>
      <c r="CK45" s="316"/>
      <c r="CL45" s="316"/>
      <c r="CM45" s="316"/>
      <c r="CN45" s="313"/>
      <c r="CO45" s="316"/>
      <c r="CP45" s="316"/>
      <c r="CQ45" s="316"/>
      <c r="CR45" s="316"/>
      <c r="CS45" s="313"/>
      <c r="CT45" s="316"/>
      <c r="CU45" s="316"/>
      <c r="CV45" s="316"/>
      <c r="CW45" s="316"/>
      <c r="CX45" s="313"/>
      <c r="CY45" s="316"/>
      <c r="CZ45" s="316"/>
      <c r="DA45" s="316"/>
      <c r="DB45" s="316"/>
      <c r="DC45" s="313"/>
      <c r="DD45" s="316"/>
      <c r="DE45" s="316"/>
      <c r="DF45" s="316"/>
      <c r="DG45" s="316"/>
      <c r="DH45" s="313"/>
      <c r="DI45" s="316"/>
      <c r="DJ45" s="316"/>
      <c r="DK45" s="316"/>
      <c r="DL45" s="316"/>
      <c r="DM45" s="313"/>
      <c r="DN45" s="316"/>
      <c r="DO45" s="316"/>
      <c r="DP45" s="316"/>
      <c r="DQ45" s="316"/>
      <c r="DR45" s="313"/>
      <c r="DS45" s="316"/>
      <c r="DT45" s="316"/>
      <c r="DU45" s="316"/>
      <c r="DV45" s="316"/>
      <c r="DW45" s="313"/>
      <c r="DX45" s="316"/>
      <c r="DY45" s="316"/>
      <c r="DZ45" s="316"/>
      <c r="EA45" s="316"/>
      <c r="EB45" s="313"/>
      <c r="EC45" s="316"/>
      <c r="ED45" s="316"/>
      <c r="EE45" s="316"/>
      <c r="EF45" s="316"/>
      <c r="EG45" s="313"/>
      <c r="EH45" s="316"/>
      <c r="EI45" s="316"/>
      <c r="EJ45" s="316"/>
      <c r="EK45" s="316"/>
      <c r="EL45" s="313"/>
      <c r="EM45" s="316"/>
      <c r="EN45" s="316"/>
      <c r="EO45" s="316"/>
      <c r="EP45" s="316"/>
      <c r="EQ45" s="313"/>
      <c r="ER45" s="316"/>
      <c r="ES45" s="1158"/>
      <c r="ET45" s="1158"/>
      <c r="EU45" s="1158">
        <v>2863</v>
      </c>
      <c r="EV45" s="313">
        <f>EU45</f>
      </c>
      <c r="EW45" s="1158">
        <v>2902</v>
      </c>
      <c r="EX45" s="1158">
        <v>3484</v>
      </c>
      <c r="EY45" s="1158">
        <v>2992</v>
      </c>
      <c r="EZ45" s="1158">
        <v>2676</v>
      </c>
      <c r="FA45" s="313">
        <f>EZ45</f>
      </c>
      <c r="FB45" s="312"/>
      <c r="FC45" s="312"/>
      <c r="FD45" s="312"/>
      <c r="FE45" s="312"/>
      <c r="FF45" s="313"/>
      <c r="FG45" s="312"/>
      <c r="FH45" s="312"/>
      <c r="FI45" s="312"/>
      <c r="FJ45" s="312"/>
      <c r="FK45" s="313"/>
      <c r="FL45" s="312"/>
      <c r="FM45" s="312"/>
      <c r="FN45" s="312"/>
      <c r="FO45" s="312"/>
      <c r="FP45" s="313"/>
      <c r="FQ45" s="312"/>
      <c r="FR45" s="312"/>
      <c r="FS45" s="312"/>
      <c r="FT45" s="312"/>
      <c r="FU45" s="313"/>
      <c r="FV45" s="312"/>
      <c r="FW45" s="312"/>
      <c r="FX45" s="312"/>
      <c r="FY45" s="312"/>
      <c r="FZ45" s="313"/>
      <c r="GA45" s="312"/>
      <c r="GB45" s="312"/>
      <c r="GC45" s="312"/>
      <c r="GD45" s="312"/>
      <c r="GE45" s="313"/>
      <c r="GF45" s="312"/>
      <c r="GG45" s="312"/>
      <c r="GH45" s="312"/>
      <c r="GI45" s="312"/>
      <c r="GJ45" s="313"/>
    </row>
    <row r="46" spans="1:192" ht="12.75" customHeight="1">
      <c r="B46" s="727" t="s">
        <v>34</v>
      </c>
      <c r="C46" s="291"/>
      <c r="D46" s="107"/>
      <c r="E46" s="107"/>
      <c r="F46" s="107"/>
      <c r="G46" s="292"/>
      <c r="H46" s="291"/>
      <c r="I46" s="107"/>
      <c r="J46" s="107"/>
      <c r="K46" s="107"/>
      <c r="L46" s="292"/>
      <c r="M46" s="291"/>
      <c r="N46" s="107"/>
      <c r="O46" s="107"/>
      <c r="P46" s="107"/>
      <c r="Q46" s="292"/>
      <c r="R46" s="291"/>
      <c r="S46" s="107"/>
      <c r="T46" s="107"/>
      <c r="U46" s="107"/>
      <c r="V46" s="292"/>
      <c r="W46" s="291"/>
      <c r="X46" s="107"/>
      <c r="Y46" s="107"/>
      <c r="Z46" s="107"/>
      <c r="AA46" s="292"/>
      <c r="AB46" s="291"/>
      <c r="AC46" s="107"/>
      <c r="AD46" s="107"/>
      <c r="AE46" s="107"/>
      <c r="AF46" s="292"/>
      <c r="AG46" s="291"/>
      <c r="AH46" s="107"/>
      <c r="AI46" s="107"/>
      <c r="AJ46" s="107"/>
      <c r="AK46" s="292"/>
      <c r="AL46" s="291"/>
      <c r="AM46" s="107"/>
      <c r="AN46" s="107"/>
      <c r="AO46" s="107"/>
      <c r="AP46" s="292"/>
      <c r="AQ46" s="291"/>
      <c r="AR46" s="107"/>
      <c r="AS46" s="107"/>
      <c r="AT46" s="107"/>
      <c r="AU46" s="292"/>
      <c r="AV46" s="291"/>
      <c r="AW46" s="107"/>
      <c r="AX46" s="107"/>
      <c r="AY46" s="107"/>
      <c r="AZ46" s="292"/>
      <c r="BA46" s="291"/>
      <c r="BB46" s="107"/>
      <c r="BC46" s="107"/>
      <c r="BD46" s="107"/>
      <c r="BE46" s="292"/>
      <c r="BF46" s="291"/>
      <c r="BG46" s="107"/>
      <c r="BH46" s="107"/>
      <c r="BI46" s="107"/>
      <c r="BJ46" s="292"/>
      <c r="BK46" s="291"/>
      <c r="BL46" s="107"/>
      <c r="BM46" s="107"/>
      <c r="BN46" s="107"/>
      <c r="BO46" s="292"/>
      <c r="BP46" s="291"/>
      <c r="BQ46" s="107"/>
      <c r="BR46" s="107"/>
      <c r="BS46" s="107"/>
      <c r="BT46" s="292"/>
      <c r="BU46" s="291"/>
      <c r="BV46" s="107"/>
      <c r="BW46" s="107"/>
      <c r="BX46" s="107"/>
      <c r="BY46" s="292"/>
      <c r="BZ46" s="291"/>
      <c r="CA46" s="107"/>
      <c r="CB46" s="107"/>
      <c r="CC46" s="107"/>
      <c r="CD46" s="292"/>
      <c r="CE46" s="291"/>
      <c r="CF46" s="107"/>
      <c r="CG46" s="107"/>
      <c r="CH46" s="107"/>
      <c r="CI46" s="292"/>
      <c r="CJ46" s="291"/>
      <c r="CK46" s="107"/>
      <c r="CL46" s="107"/>
      <c r="CM46" s="107"/>
      <c r="CN46" s="292"/>
      <c r="CO46" s="291"/>
      <c r="CP46" s="107"/>
      <c r="CQ46" s="107"/>
      <c r="CR46" s="107"/>
      <c r="CS46" s="292"/>
      <c r="CT46" s="291"/>
      <c r="CU46" s="107"/>
      <c r="CV46" s="107"/>
      <c r="CW46" s="107"/>
      <c r="CX46" s="292"/>
      <c r="CY46" s="291"/>
      <c r="CZ46" s="107"/>
      <c r="DA46" s="107"/>
      <c r="DB46" s="107"/>
      <c r="DC46" s="292"/>
      <c r="DD46" s="291"/>
      <c r="DE46" s="107"/>
      <c r="DF46" s="107"/>
      <c r="DG46" s="107"/>
      <c r="DH46" s="292"/>
      <c r="DI46" s="291"/>
      <c r="DJ46" s="107"/>
      <c r="DK46" s="107"/>
      <c r="DL46" s="107"/>
      <c r="DM46" s="292"/>
      <c r="DN46" s="291"/>
      <c r="DO46" s="107"/>
      <c r="DP46" s="107"/>
      <c r="DQ46" s="107"/>
      <c r="DR46" s="292"/>
      <c r="DS46" s="291"/>
      <c r="DT46" s="107"/>
      <c r="DU46" s="107"/>
      <c r="DV46" s="107"/>
      <c r="DW46" s="292"/>
      <c r="DX46" s="291"/>
      <c r="DY46" s="107"/>
      <c r="DZ46" s="107"/>
      <c r="EA46" s="107"/>
      <c r="EB46" s="292"/>
      <c r="EC46" s="291"/>
      <c r="ED46" s="107"/>
      <c r="EE46" s="107"/>
      <c r="EF46" s="107"/>
      <c r="EG46" s="292"/>
      <c r="EH46" s="291"/>
      <c r="EI46" s="107"/>
      <c r="EJ46" s="107"/>
      <c r="EK46" s="107"/>
      <c r="EL46" s="292"/>
      <c r="EM46" s="291"/>
      <c r="EN46" s="107"/>
      <c r="EO46" s="107"/>
      <c r="EP46" s="107"/>
      <c r="EQ46" s="292"/>
      <c r="ER46" s="291"/>
      <c r="ES46" s="107"/>
      <c r="ET46" s="107"/>
      <c r="EU46" s="107"/>
      <c r="EV46" s="292"/>
      <c r="EW46" s="291"/>
      <c r="EX46" s="107"/>
      <c r="EY46" s="107"/>
      <c r="EZ46" s="107">
        <f t="shared" ref="EZ46" si="43">IFERROR(EZ45/EU45-1,"")</f>
      </c>
      <c r="FA46" s="292">
        <f t="shared" ref="FA46" si="44">IFERROR(FA45/EV45-1,"")</f>
      </c>
      <c r="FB46" s="291"/>
      <c r="FC46" s="107"/>
      <c r="FD46" s="107"/>
      <c r="FE46" s="107"/>
      <c r="FF46" s="292"/>
      <c r="FG46" s="291"/>
      <c r="FH46" s="107"/>
      <c r="FI46" s="107"/>
      <c r="FJ46" s="107"/>
      <c r="FK46" s="292"/>
      <c r="FL46" s="291"/>
      <c r="FM46" s="107"/>
      <c r="FN46" s="107"/>
      <c r="FO46" s="107"/>
      <c r="FP46" s="292"/>
      <c r="FQ46" s="291"/>
      <c r="FR46" s="107"/>
      <c r="FS46" s="107"/>
      <c r="FT46" s="107"/>
      <c r="FU46" s="292"/>
      <c r="FV46" s="291"/>
      <c r="FW46" s="107"/>
      <c r="FX46" s="107"/>
      <c r="FY46" s="107"/>
      <c r="FZ46" s="292"/>
      <c r="GA46" s="291"/>
      <c r="GB46" s="107"/>
      <c r="GC46" s="107"/>
      <c r="GD46" s="107"/>
      <c r="GE46" s="292"/>
      <c r="GF46" s="291"/>
      <c r="GG46" s="107"/>
      <c r="GH46" s="107"/>
      <c r="GI46" s="107"/>
      <c r="GJ46" s="292"/>
    </row>
    <row r="47" spans="1:192" ht="12.75" customHeight="1">
      <c r="B47" s="727" t="s">
        <v>36</v>
      </c>
      <c r="C47" s="291"/>
      <c r="D47" s="107"/>
      <c r="E47" s="107"/>
      <c r="F47" s="107"/>
      <c r="G47" s="293"/>
      <c r="H47" s="291"/>
      <c r="I47" s="107"/>
      <c r="J47" s="107"/>
      <c r="K47" s="107"/>
      <c r="L47" s="293"/>
      <c r="M47" s="291"/>
      <c r="N47" s="107"/>
      <c r="O47" s="107"/>
      <c r="P47" s="107"/>
      <c r="Q47" s="293"/>
      <c r="R47" s="291"/>
      <c r="S47" s="107"/>
      <c r="T47" s="107"/>
      <c r="U47" s="107"/>
      <c r="V47" s="293"/>
      <c r="W47" s="291"/>
      <c r="X47" s="107"/>
      <c r="Y47" s="107"/>
      <c r="Z47" s="107"/>
      <c r="AA47" s="293"/>
      <c r="AB47" s="291"/>
      <c r="AC47" s="107"/>
      <c r="AD47" s="107"/>
      <c r="AE47" s="107"/>
      <c r="AF47" s="293"/>
      <c r="AG47" s="291"/>
      <c r="AH47" s="107"/>
      <c r="AI47" s="107"/>
      <c r="AJ47" s="107"/>
      <c r="AK47" s="293"/>
      <c r="AL47" s="291"/>
      <c r="AM47" s="107"/>
      <c r="AN47" s="107"/>
      <c r="AO47" s="107"/>
      <c r="AP47" s="293"/>
      <c r="AQ47" s="291"/>
      <c r="AR47" s="107"/>
      <c r="AS47" s="107"/>
      <c r="AT47" s="107"/>
      <c r="AU47" s="293"/>
      <c r="AV47" s="291"/>
      <c r="AW47" s="107"/>
      <c r="AX47" s="107"/>
      <c r="AY47" s="107"/>
      <c r="AZ47" s="293"/>
      <c r="BA47" s="291"/>
      <c r="BB47" s="107"/>
      <c r="BC47" s="107"/>
      <c r="BD47" s="107"/>
      <c r="BE47" s="293"/>
      <c r="BF47" s="291"/>
      <c r="BG47" s="107"/>
      <c r="BH47" s="107"/>
      <c r="BI47" s="107"/>
      <c r="BJ47" s="293"/>
      <c r="BK47" s="291"/>
      <c r="BL47" s="107"/>
      <c r="BM47" s="107"/>
      <c r="BN47" s="107"/>
      <c r="BO47" s="293"/>
      <c r="BP47" s="291"/>
      <c r="BQ47" s="107"/>
      <c r="BR47" s="107"/>
      <c r="BS47" s="107"/>
      <c r="BT47" s="293"/>
      <c r="BU47" s="291"/>
      <c r="BV47" s="107"/>
      <c r="BW47" s="107"/>
      <c r="BX47" s="107"/>
      <c r="BY47" s="293"/>
      <c r="BZ47" s="291"/>
      <c r="CA47" s="107"/>
      <c r="CB47" s="107"/>
      <c r="CC47" s="107"/>
      <c r="CD47" s="293"/>
      <c r="CE47" s="291"/>
      <c r="CF47" s="107"/>
      <c r="CG47" s="107"/>
      <c r="CH47" s="107"/>
      <c r="CI47" s="293"/>
      <c r="CJ47" s="291"/>
      <c r="CK47" s="107"/>
      <c r="CL47" s="107"/>
      <c r="CM47" s="107"/>
      <c r="CN47" s="293"/>
      <c r="CO47" s="291"/>
      <c r="CP47" s="107"/>
      <c r="CQ47" s="107"/>
      <c r="CR47" s="107"/>
      <c r="CS47" s="293"/>
      <c r="CT47" s="291"/>
      <c r="CU47" s="107"/>
      <c r="CV47" s="107"/>
      <c r="CW47" s="107"/>
      <c r="CX47" s="293"/>
      <c r="CY47" s="291"/>
      <c r="CZ47" s="107"/>
      <c r="DA47" s="107"/>
      <c r="DB47" s="107"/>
      <c r="DC47" s="293"/>
      <c r="DD47" s="291"/>
      <c r="DE47" s="107"/>
      <c r="DF47" s="107"/>
      <c r="DG47" s="107"/>
      <c r="DH47" s="293"/>
      <c r="DI47" s="291"/>
      <c r="DJ47" s="107"/>
      <c r="DK47" s="107"/>
      <c r="DL47" s="107"/>
      <c r="DM47" s="293"/>
      <c r="DN47" s="291"/>
      <c r="DO47" s="107"/>
      <c r="DP47" s="107"/>
      <c r="DQ47" s="107"/>
      <c r="DR47" s="293"/>
      <c r="DS47" s="291"/>
      <c r="DT47" s="107"/>
      <c r="DU47" s="107"/>
      <c r="DV47" s="107"/>
      <c r="DW47" s="293"/>
      <c r="DX47" s="291"/>
      <c r="DY47" s="107"/>
      <c r="DZ47" s="107"/>
      <c r="EA47" s="107"/>
      <c r="EB47" s="293"/>
      <c r="EC47" s="291"/>
      <c r="ED47" s="107"/>
      <c r="EE47" s="107"/>
      <c r="EF47" s="107"/>
      <c r="EG47" s="293"/>
      <c r="EH47" s="291"/>
      <c r="EI47" s="107"/>
      <c r="EJ47" s="107"/>
      <c r="EK47" s="107"/>
      <c r="EL47" s="293"/>
      <c r="EM47" s="291"/>
      <c r="EN47" s="107"/>
      <c r="EO47" s="107"/>
      <c r="EP47" s="107"/>
      <c r="EQ47" s="293"/>
      <c r="ER47" s="291"/>
      <c r="ES47" s="107"/>
      <c r="ET47" s="107"/>
      <c r="EU47" s="107"/>
      <c r="EV47" s="293"/>
      <c r="EW47" s="291"/>
      <c r="EX47" s="107"/>
      <c r="EY47" s="107"/>
      <c r="EZ47" s="107"/>
      <c r="FA47" s="293"/>
      <c r="FB47" s="291"/>
      <c r="FC47" s="107"/>
      <c r="FD47" s="107"/>
      <c r="FE47" s="107"/>
      <c r="FF47" s="293"/>
      <c r="FG47" s="291"/>
      <c r="FH47" s="107"/>
      <c r="FI47" s="107"/>
      <c r="FJ47" s="107"/>
      <c r="FK47" s="293"/>
      <c r="FL47" s="291"/>
      <c r="FM47" s="107"/>
      <c r="FN47" s="107"/>
      <c r="FO47" s="107"/>
      <c r="FP47" s="293"/>
      <c r="FQ47" s="291"/>
      <c r="FR47" s="107"/>
      <c r="FS47" s="107"/>
      <c r="FT47" s="107"/>
      <c r="FU47" s="293"/>
      <c r="FV47" s="291"/>
      <c r="FW47" s="107"/>
      <c r="FX47" s="107"/>
      <c r="FY47" s="107"/>
      <c r="FZ47" s="293"/>
      <c r="GA47" s="291"/>
      <c r="GB47" s="107"/>
      <c r="GC47" s="107"/>
      <c r="GD47" s="107"/>
      <c r="GE47" s="293"/>
      <c r="GF47" s="291"/>
      <c r="GG47" s="107"/>
      <c r="GH47" s="107"/>
      <c r="GI47" s="107"/>
      <c r="GJ47" s="293"/>
    </row>
    <row r="48" spans="1:192" ht="12.75" customHeight="1">
      <c r="B48" s="727"/>
      <c r="C48" s="291"/>
      <c r="D48" s="107"/>
      <c r="E48" s="107"/>
      <c r="F48" s="107"/>
      <c r="G48" s="293"/>
      <c r="H48" s="291"/>
      <c r="I48" s="107"/>
      <c r="J48" s="107"/>
      <c r="K48" s="107"/>
      <c r="L48" s="293"/>
      <c r="M48" s="291"/>
      <c r="N48" s="107"/>
      <c r="O48" s="107"/>
      <c r="P48" s="107"/>
      <c r="Q48" s="293"/>
      <c r="R48" s="291"/>
      <c r="S48" s="107"/>
      <c r="T48" s="107"/>
      <c r="U48" s="107"/>
      <c r="V48" s="293"/>
      <c r="W48" s="291"/>
      <c r="X48" s="107"/>
      <c r="Y48" s="107"/>
      <c r="Z48" s="107"/>
      <c r="AA48" s="293"/>
      <c r="AB48" s="291"/>
      <c r="AC48" s="107"/>
      <c r="AD48" s="107"/>
      <c r="AE48" s="107"/>
      <c r="AF48" s="293"/>
      <c r="AG48" s="291"/>
      <c r="AH48" s="107"/>
      <c r="AI48" s="107"/>
      <c r="AJ48" s="107"/>
      <c r="AK48" s="293"/>
      <c r="AL48" s="291"/>
      <c r="AM48" s="107"/>
      <c r="AN48" s="107"/>
      <c r="AO48" s="107"/>
      <c r="AP48" s="293"/>
      <c r="AQ48" s="291"/>
      <c r="AR48" s="107"/>
      <c r="AS48" s="107"/>
      <c r="AT48" s="107"/>
      <c r="AU48" s="293"/>
      <c r="AV48" s="291"/>
      <c r="AW48" s="107"/>
      <c r="AX48" s="107"/>
      <c r="AY48" s="107"/>
      <c r="AZ48" s="293"/>
      <c r="BA48" s="291"/>
      <c r="BB48" s="107"/>
      <c r="BC48" s="107"/>
      <c r="BD48" s="107"/>
      <c r="BE48" s="293"/>
      <c r="BF48" s="291"/>
      <c r="BG48" s="107"/>
      <c r="BH48" s="107"/>
      <c r="BI48" s="107"/>
      <c r="BJ48" s="293"/>
      <c r="BK48" s="291"/>
      <c r="BL48" s="107"/>
      <c r="BM48" s="107"/>
      <c r="BN48" s="107"/>
      <c r="BO48" s="293"/>
      <c r="BP48" s="291"/>
      <c r="BQ48" s="107"/>
      <c r="BR48" s="107"/>
      <c r="BS48" s="107"/>
      <c r="BT48" s="293"/>
      <c r="BU48" s="291"/>
      <c r="BV48" s="107"/>
      <c r="BW48" s="107"/>
      <c r="BX48" s="107"/>
      <c r="BY48" s="293"/>
      <c r="BZ48" s="291"/>
      <c r="CA48" s="107"/>
      <c r="CB48" s="107"/>
      <c r="CC48" s="107"/>
      <c r="CD48" s="293"/>
      <c r="CE48" s="291"/>
      <c r="CF48" s="107"/>
      <c r="CG48" s="107"/>
      <c r="CH48" s="107"/>
      <c r="CI48" s="293"/>
      <c r="CJ48" s="291"/>
      <c r="CK48" s="107"/>
      <c r="CL48" s="107"/>
      <c r="CM48" s="107"/>
      <c r="CN48" s="293"/>
      <c r="CO48" s="291"/>
      <c r="CP48" s="107"/>
      <c r="CQ48" s="107"/>
      <c r="CR48" s="107"/>
      <c r="CS48" s="293"/>
      <c r="CT48" s="291"/>
      <c r="CU48" s="107"/>
      <c r="CV48" s="107"/>
      <c r="CW48" s="107"/>
      <c r="CX48" s="293"/>
      <c r="CY48" s="291"/>
      <c r="CZ48" s="291"/>
      <c r="DA48" s="291"/>
      <c r="DB48" s="291"/>
      <c r="DC48" s="293"/>
      <c r="DD48" s="291"/>
      <c r="DE48" s="291"/>
      <c r="DF48" s="291"/>
      <c r="DG48" s="291"/>
      <c r="DH48" s="293"/>
      <c r="DI48" s="291"/>
      <c r="DJ48" s="291"/>
      <c r="DK48" s="291"/>
      <c r="DL48" s="291"/>
      <c r="DM48" s="293"/>
      <c r="DN48" s="291"/>
      <c r="DO48" s="291"/>
      <c r="DP48" s="291"/>
      <c r="DQ48" s="291"/>
      <c r="DR48" s="293"/>
      <c r="DS48" s="291"/>
      <c r="DT48" s="291"/>
      <c r="DU48" s="291"/>
      <c r="DV48" s="291"/>
      <c r="DW48" s="293"/>
      <c r="DX48" s="291"/>
      <c r="DY48" s="291"/>
      <c r="DZ48" s="291"/>
      <c r="EA48" s="291"/>
      <c r="EB48" s="293"/>
      <c r="EC48" s="291"/>
      <c r="ED48" s="291"/>
      <c r="EE48" s="291"/>
      <c r="EF48" s="291"/>
      <c r="EG48" s="293"/>
      <c r="EH48" s="291"/>
      <c r="EI48" s="291"/>
      <c r="EJ48" s="291"/>
      <c r="EK48" s="291"/>
      <c r="EL48" s="293"/>
      <c r="EM48" s="291"/>
      <c r="EN48" s="291"/>
      <c r="EO48" s="291"/>
      <c r="EP48" s="291"/>
      <c r="EQ48" s="293"/>
      <c r="ER48" s="291"/>
      <c r="ES48" s="291"/>
      <c r="ET48" s="291"/>
      <c r="EU48" s="291"/>
      <c r="EV48" s="293"/>
      <c r="EW48" s="291"/>
      <c r="EX48" s="107"/>
      <c r="EY48" s="107"/>
      <c r="EZ48" s="107"/>
      <c r="FA48" s="293"/>
      <c r="FB48" s="291"/>
      <c r="FC48" s="107"/>
      <c r="FD48" s="107"/>
      <c r="FE48" s="107"/>
      <c r="FF48" s="293"/>
      <c r="FG48" s="291"/>
      <c r="FH48" s="107"/>
      <c r="FI48" s="107"/>
      <c r="FJ48" s="107"/>
      <c r="FK48" s="293"/>
      <c r="FL48" s="291"/>
      <c r="FM48" s="107"/>
      <c r="FN48" s="107"/>
      <c r="FO48" s="107"/>
      <c r="FP48" s="293"/>
      <c r="FQ48" s="291"/>
      <c r="FR48" s="107"/>
      <c r="FS48" s="107"/>
      <c r="FT48" s="107"/>
      <c r="FU48" s="293"/>
      <c r="FV48" s="291"/>
      <c r="FW48" s="107"/>
      <c r="FX48" s="107"/>
      <c r="FY48" s="107"/>
      <c r="FZ48" s="293"/>
      <c r="GA48" s="291"/>
      <c r="GB48" s="107"/>
      <c r="GC48" s="107"/>
      <c r="GD48" s="107"/>
      <c r="GE48" s="293"/>
      <c r="GF48" s="291"/>
      <c r="GG48" s="107"/>
      <c r="GH48" s="107"/>
      <c r="GI48" s="107"/>
      <c r="GJ48" s="293"/>
    </row>
    <row r="49" spans="1:192" ht="12.75" customHeight="1">
      <c r="B49" s="1516" t="s">
        <v>2003</v>
      </c>
      <c r="C49" s="291"/>
      <c r="D49" s="107"/>
      <c r="E49" s="107"/>
      <c r="F49" s="107"/>
      <c r="G49" s="293"/>
      <c r="H49" s="291"/>
      <c r="I49" s="107"/>
      <c r="J49" s="107"/>
      <c r="K49" s="107"/>
      <c r="L49" s="293"/>
      <c r="M49" s="291"/>
      <c r="N49" s="107"/>
      <c r="O49" s="107"/>
      <c r="P49" s="107"/>
      <c r="Q49" s="293"/>
      <c r="R49" s="291"/>
      <c r="S49" s="107"/>
      <c r="T49" s="107"/>
      <c r="U49" s="107"/>
      <c r="V49" s="293"/>
      <c r="W49" s="291"/>
      <c r="X49" s="107"/>
      <c r="Y49" s="107"/>
      <c r="Z49" s="107"/>
      <c r="AA49" s="293"/>
      <c r="AB49" s="291"/>
      <c r="AC49" s="107"/>
      <c r="AD49" s="107"/>
      <c r="AE49" s="107"/>
      <c r="AF49" s="293"/>
      <c r="AG49" s="291"/>
      <c r="AH49" s="107"/>
      <c r="AI49" s="107"/>
      <c r="AJ49" s="107"/>
      <c r="AK49" s="293"/>
      <c r="AL49" s="291"/>
      <c r="AM49" s="107"/>
      <c r="AN49" s="107"/>
      <c r="AO49" s="107"/>
      <c r="AP49" s="293"/>
      <c r="AQ49" s="291"/>
      <c r="AR49" s="107"/>
      <c r="AS49" s="107"/>
      <c r="AT49" s="107"/>
      <c r="AU49" s="293"/>
      <c r="AV49" s="291"/>
      <c r="AW49" s="107"/>
      <c r="AX49" s="107"/>
      <c r="AY49" s="107"/>
      <c r="AZ49" s="293"/>
      <c r="BA49" s="291"/>
      <c r="BB49" s="107"/>
      <c r="BC49" s="107"/>
      <c r="BD49" s="107"/>
      <c r="BE49" s="293"/>
      <c r="BF49" s="291"/>
      <c r="BG49" s="107"/>
      <c r="BH49" s="107"/>
      <c r="BI49" s="107"/>
      <c r="BJ49" s="293"/>
      <c r="BK49" s="291"/>
      <c r="BL49" s="107"/>
      <c r="BM49" s="107"/>
      <c r="BN49" s="107"/>
      <c r="BO49" s="293"/>
      <c r="BP49" s="291"/>
      <c r="BQ49" s="107"/>
      <c r="BR49" s="107"/>
      <c r="BS49" s="107"/>
      <c r="BT49" s="293"/>
      <c r="BU49" s="291"/>
      <c r="BV49" s="107"/>
      <c r="BW49" s="107"/>
      <c r="BX49" s="107"/>
      <c r="BY49" s="293"/>
      <c r="BZ49" s="291"/>
      <c r="CA49" s="107"/>
      <c r="CB49" s="107"/>
      <c r="CC49" s="107"/>
      <c r="CD49" s="293"/>
      <c r="CE49" s="291"/>
      <c r="CF49" s="107"/>
      <c r="CG49" s="107"/>
      <c r="CH49" s="107"/>
      <c r="CI49" s="293"/>
      <c r="CJ49" s="291"/>
      <c r="CK49" s="107"/>
      <c r="CL49" s="107"/>
      <c r="CM49" s="107"/>
      <c r="CN49" s="293"/>
      <c r="CO49" s="291"/>
      <c r="CP49" s="107"/>
      <c r="CQ49" s="107"/>
      <c r="CR49" s="107"/>
      <c r="CS49" s="293"/>
      <c r="CT49" s="291"/>
      <c r="CU49" s="107"/>
      <c r="CV49" s="107"/>
      <c r="CW49" s="107"/>
      <c r="CX49" s="293"/>
      <c r="CY49" s="291"/>
      <c r="CZ49" s="291"/>
      <c r="DA49" s="291"/>
      <c r="DB49" s="291"/>
      <c r="DC49" s="293"/>
      <c r="DD49" s="291"/>
      <c r="DE49" s="291"/>
      <c r="DF49" s="291"/>
      <c r="DG49" s="291"/>
      <c r="DH49" s="293"/>
      <c r="DI49" s="291"/>
      <c r="DJ49" s="291"/>
      <c r="DK49" s="291"/>
      <c r="DL49" s="291"/>
      <c r="DM49" s="293"/>
      <c r="DN49" s="291"/>
      <c r="DO49" s="291"/>
      <c r="DP49" s="291"/>
      <c r="DQ49" s="291"/>
      <c r="DR49" s="293"/>
      <c r="DS49" s="291"/>
      <c r="DT49" s="291"/>
      <c r="DU49" s="291"/>
      <c r="DV49" s="291"/>
      <c r="DW49" s="293"/>
      <c r="DX49" s="291"/>
      <c r="DY49" s="291"/>
      <c r="DZ49" s="291"/>
      <c r="EA49" s="291"/>
      <c r="EB49" s="293"/>
      <c r="EC49" s="291"/>
      <c r="ED49" s="291"/>
      <c r="EE49" s="291"/>
      <c r="EF49" s="291"/>
      <c r="EG49" s="293"/>
      <c r="EH49" s="291"/>
      <c r="EI49" s="291"/>
      <c r="EJ49" s="291"/>
      <c r="EK49" s="291"/>
      <c r="EL49" s="293"/>
      <c r="EM49" s="291"/>
      <c r="EN49" s="291"/>
      <c r="EO49" s="291"/>
      <c r="EP49" s="291"/>
      <c r="EQ49" s="293"/>
      <c r="ER49" s="291"/>
      <c r="ES49" s="291"/>
      <c r="ET49" s="291"/>
      <c r="EU49" s="291"/>
      <c r="EV49" s="293"/>
      <c r="EW49" s="291"/>
      <c r="EX49" s="107"/>
      <c r="EY49" s="107"/>
      <c r="EZ49" s="107"/>
      <c r="FA49" s="293"/>
      <c r="FB49" s="291"/>
      <c r="FC49" s="107"/>
      <c r="FD49" s="107"/>
      <c r="FE49" s="107"/>
      <c r="FF49" s="293"/>
      <c r="FG49" s="291"/>
      <c r="FH49" s="107"/>
      <c r="FI49" s="107"/>
      <c r="FJ49" s="107"/>
      <c r="FK49" s="293"/>
      <c r="FL49" s="291"/>
      <c r="FM49" s="107"/>
      <c r="FN49" s="107"/>
      <c r="FO49" s="107"/>
      <c r="FP49" s="293"/>
      <c r="FQ49" s="291"/>
      <c r="FR49" s="107"/>
      <c r="FS49" s="107"/>
      <c r="FT49" s="107"/>
      <c r="FU49" s="293"/>
      <c r="FV49" s="291"/>
      <c r="FW49" s="107"/>
      <c r="FX49" s="107"/>
      <c r="FY49" s="107"/>
      <c r="FZ49" s="293"/>
      <c r="GA49" s="291"/>
      <c r="GB49" s="107"/>
      <c r="GC49" s="107"/>
      <c r="GD49" s="107"/>
      <c r="GE49" s="293"/>
      <c r="GF49" s="291"/>
      <c r="GG49" s="107"/>
      <c r="GH49" s="107"/>
      <c r="GI49" s="107"/>
      <c r="GJ49" s="293"/>
    </row>
    <row r="50" spans="1:192" s="317" customFormat="1" ht="12.75" hidden="1" customHeight="1" outlineLevel="1">
      <c r="A50" s="1641"/>
      <c r="B50" s="730" t="s">
        <v>2004</v>
      </c>
      <c r="C50" s="315"/>
      <c r="D50" s="315"/>
      <c r="E50" s="315"/>
      <c r="F50" s="315"/>
      <c r="G50" s="313"/>
      <c r="H50" s="315"/>
      <c r="I50" s="315"/>
      <c r="J50" s="315"/>
      <c r="K50" s="315"/>
      <c r="L50" s="313"/>
      <c r="M50" s="315"/>
      <c r="N50" s="315"/>
      <c r="O50" s="315"/>
      <c r="P50" s="315"/>
      <c r="Q50" s="313"/>
      <c r="R50" s="315"/>
      <c r="S50" s="315"/>
      <c r="T50" s="315"/>
      <c r="U50" s="315"/>
      <c r="V50" s="313"/>
      <c r="W50" s="315"/>
      <c r="X50" s="315"/>
      <c r="Y50" s="315"/>
      <c r="Z50" s="315"/>
      <c r="AA50" s="313"/>
      <c r="AB50" s="315"/>
      <c r="AC50" s="315"/>
      <c r="AD50" s="315"/>
      <c r="AE50" s="315"/>
      <c r="AF50" s="313"/>
      <c r="AG50" s="315"/>
      <c r="AH50" s="315"/>
      <c r="AI50" s="315"/>
      <c r="AJ50" s="315"/>
      <c r="AK50" s="313"/>
      <c r="AL50" s="315"/>
      <c r="AM50" s="315"/>
      <c r="AN50" s="315"/>
      <c r="AO50" s="315"/>
      <c r="AP50" s="313"/>
      <c r="AQ50" s="315"/>
      <c r="AR50" s="315"/>
      <c r="AS50" s="315"/>
      <c r="AT50" s="315"/>
      <c r="AU50" s="313"/>
      <c r="AV50" s="315"/>
      <c r="AW50" s="315"/>
      <c r="AX50" s="315"/>
      <c r="AY50" s="315"/>
      <c r="AZ50" s="313"/>
      <c r="BA50" s="315"/>
      <c r="BB50" s="315"/>
      <c r="BC50" s="315"/>
      <c r="BD50" s="315"/>
      <c r="BE50" s="313"/>
      <c r="BF50" s="315"/>
      <c r="BG50" s="315"/>
      <c r="BH50" s="315"/>
      <c r="BI50" s="315"/>
      <c r="BJ50" s="313"/>
      <c r="BK50" s="315"/>
      <c r="BL50" s="315"/>
      <c r="BM50" s="315"/>
      <c r="BN50" s="315"/>
      <c r="BO50" s="313"/>
      <c r="BP50" s="315"/>
      <c r="BQ50" s="315"/>
      <c r="BR50" s="315"/>
      <c r="BS50" s="315"/>
      <c r="BT50" s="313"/>
      <c r="BU50" s="315"/>
      <c r="BV50" s="315"/>
      <c r="BW50" s="315"/>
      <c r="BX50" s="315"/>
      <c r="BY50" s="313"/>
      <c r="BZ50" s="315"/>
      <c r="CA50" s="315"/>
      <c r="CB50" s="315"/>
      <c r="CC50" s="315"/>
      <c r="CD50" s="313"/>
      <c r="CE50" s="315"/>
      <c r="CF50" s="315"/>
      <c r="CG50" s="315"/>
      <c r="CH50" s="315"/>
      <c r="CI50" s="313"/>
      <c r="CJ50" s="315"/>
      <c r="CK50" s="315"/>
      <c r="CL50" s="315"/>
      <c r="CM50" s="315"/>
      <c r="CN50" s="313"/>
      <c r="CO50" s="315"/>
      <c r="CP50" s="315"/>
      <c r="CQ50" s="315"/>
      <c r="CR50" s="315"/>
      <c r="CS50" s="313"/>
      <c r="CT50" s="315"/>
      <c r="CU50" s="315"/>
      <c r="CV50" s="315"/>
      <c r="CW50" s="315"/>
      <c r="CX50" s="313"/>
      <c r="CY50" s="316">
        <v>11265</v>
      </c>
      <c r="CZ50" s="316">
        <v>13282</v>
      </c>
      <c r="DA50" s="316">
        <v>9370</v>
      </c>
      <c r="DB50" s="316">
        <v>9243</v>
      </c>
      <c r="DC50" s="313">
        <f>SUM(CY50:DB50)</f>
      </c>
      <c r="DD50" s="316">
        <v>9329</v>
      </c>
      <c r="DE50" s="316">
        <v>12513</v>
      </c>
      <c r="DF50" s="316">
        <v>9387</v>
      </c>
      <c r="DG50" s="316">
        <v>9181</v>
      </c>
      <c r="DH50" s="313">
        <f>SUM(DD50:DG50)</f>
      </c>
      <c r="DI50" s="1158">
        <v>9395</v>
      </c>
      <c r="DJ50" s="1158">
        <v>11889</v>
      </c>
      <c r="DK50" s="1158">
        <v>8775</v>
      </c>
      <c r="DL50" s="1158">
        <v>9235</v>
      </c>
      <c r="DM50" s="313">
        <f>SUM(DI50:DL50)</f>
      </c>
      <c r="DN50" s="316">
        <v>9378</v>
      </c>
      <c r="DO50" s="316">
        <v>12170</v>
      </c>
      <c r="DP50" s="316">
        <v>9917</v>
      </c>
      <c r="DQ50" s="316">
        <v>10811</v>
      </c>
      <c r="DR50" s="313">
        <f>SUM(DN50:DQ50)</f>
      </c>
      <c r="DS50" s="316">
        <v>10746</v>
      </c>
      <c r="DT50" s="316">
        <v>12993</v>
      </c>
      <c r="DU50" s="1158">
        <v>10680</v>
      </c>
      <c r="DV50" s="316">
        <v>11279</v>
      </c>
      <c r="DW50" s="313">
        <f>SUM(DS50:DV50)</f>
      </c>
      <c r="DX50" s="316">
        <v>11133</v>
      </c>
      <c r="DY50" s="316">
        <v>13211</v>
      </c>
      <c r="DZ50" s="316">
        <v>10997</v>
      </c>
      <c r="EA50" s="316">
        <v>12910</v>
      </c>
      <c r="EB50" s="313">
        <f>SUM(DX50:EA50)</f>
      </c>
      <c r="EC50" s="316">
        <v>11849</v>
      </c>
      <c r="ED50" s="316">
        <v>15122</v>
      </c>
      <c r="EE50" s="316">
        <v>13036</v>
      </c>
      <c r="EF50" s="316">
        <v>14086</v>
      </c>
      <c r="EG50" s="313">
        <f>SUM(EC50:EF50)</f>
      </c>
      <c r="EH50" s="316">
        <v>13314</v>
      </c>
      <c r="EI50" s="316">
        <v>17465</v>
      </c>
      <c r="EJ50" s="1158">
        <v>14520</v>
      </c>
      <c r="EK50" s="316">
        <v>14356</v>
      </c>
      <c r="EL50" s="313">
        <f>SUM(EH50:EK50)</f>
      </c>
      <c r="EM50" s="316">
        <v>13332</v>
      </c>
      <c r="EN50" s="316">
        <v>14237</v>
      </c>
      <c r="EO50" s="316">
        <v>13260</v>
      </c>
      <c r="EP50" s="316">
        <v>13905</v>
      </c>
      <c r="EQ50" s="313">
        <f>SUM(EM50:EP50)</f>
      </c>
      <c r="ER50" s="316">
        <v>13666</v>
      </c>
      <c r="ES50" s="316">
        <v>16891</v>
      </c>
      <c r="ET50" s="1158">
        <v>15580</v>
      </c>
      <c r="EU50" s="1158">
        <v>15895</v>
      </c>
      <c r="EV50" s="319">
        <f>SUM(ER50:EU50)</f>
      </c>
      <c r="EW50" s="312"/>
      <c r="EX50" s="312"/>
      <c r="EY50" s="312"/>
      <c r="EZ50" s="312"/>
      <c r="FA50" s="319"/>
      <c r="FB50" s="312"/>
      <c r="FC50" s="312"/>
      <c r="FD50" s="312"/>
      <c r="FE50" s="312"/>
      <c r="FF50" s="319"/>
      <c r="FG50" s="312"/>
      <c r="FH50" s="312"/>
      <c r="FI50" s="312"/>
      <c r="FJ50" s="312"/>
      <c r="FK50" s="319"/>
      <c r="FL50" s="312"/>
      <c r="FM50" s="312"/>
      <c r="FN50" s="312"/>
      <c r="FO50" s="312"/>
      <c r="FP50" s="319"/>
      <c r="FQ50" s="312"/>
      <c r="FR50" s="312"/>
      <c r="FS50" s="312"/>
      <c r="FT50" s="312"/>
      <c r="FU50" s="319"/>
      <c r="FV50" s="312"/>
      <c r="FW50" s="312"/>
      <c r="FX50" s="312"/>
      <c r="FY50" s="312"/>
      <c r="FZ50" s="319"/>
      <c r="GA50" s="312"/>
      <c r="GB50" s="312"/>
      <c r="GC50" s="312"/>
      <c r="GD50" s="312"/>
      <c r="GE50" s="319"/>
      <c r="GF50" s="312"/>
      <c r="GG50" s="312"/>
      <c r="GH50" s="312"/>
      <c r="GI50" s="312"/>
      <c r="GJ50" s="319"/>
    </row>
    <row r="51" spans="1:192" ht="12.75" hidden="1" customHeight="1" outlineLevel="1">
      <c r="B51" s="727" t="s">
        <v>34</v>
      </c>
      <c r="C51" s="291"/>
      <c r="D51" s="107"/>
      <c r="E51" s="107"/>
      <c r="F51" s="107"/>
      <c r="G51" s="292"/>
      <c r="H51" s="291"/>
      <c r="I51" s="107"/>
      <c r="J51" s="107"/>
      <c r="K51" s="107"/>
      <c r="L51" s="292"/>
      <c r="M51" s="291"/>
      <c r="N51" s="107"/>
      <c r="O51" s="107"/>
      <c r="P51" s="107"/>
      <c r="Q51" s="292"/>
      <c r="R51" s="291"/>
      <c r="S51" s="107"/>
      <c r="T51" s="107"/>
      <c r="U51" s="107"/>
      <c r="V51" s="292"/>
      <c r="W51" s="291"/>
      <c r="X51" s="107"/>
      <c r="Y51" s="107"/>
      <c r="Z51" s="107"/>
      <c r="AA51" s="292"/>
      <c r="AB51" s="291"/>
      <c r="AC51" s="107"/>
      <c r="AD51" s="107"/>
      <c r="AE51" s="107"/>
      <c r="AF51" s="292"/>
      <c r="AG51" s="291"/>
      <c r="AH51" s="107"/>
      <c r="AI51" s="107"/>
      <c r="AJ51" s="107"/>
      <c r="AK51" s="292"/>
      <c r="AL51" s="291"/>
      <c r="AM51" s="107"/>
      <c r="AN51" s="107"/>
      <c r="AO51" s="107"/>
      <c r="AP51" s="292"/>
      <c r="AQ51" s="291"/>
      <c r="AR51" s="107"/>
      <c r="AS51" s="107"/>
      <c r="AT51" s="107"/>
      <c r="AU51" s="292"/>
      <c r="AV51" s="291"/>
      <c r="AW51" s="107"/>
      <c r="AX51" s="107"/>
      <c r="AY51" s="107"/>
      <c r="AZ51" s="292"/>
      <c r="BA51" s="291"/>
      <c r="BB51" s="107"/>
      <c r="BC51" s="107"/>
      <c r="BD51" s="107"/>
      <c r="BE51" s="292"/>
      <c r="BF51" s="291"/>
      <c r="BG51" s="107"/>
      <c r="BH51" s="107"/>
      <c r="BI51" s="107"/>
      <c r="BJ51" s="292"/>
      <c r="BK51" s="291"/>
      <c r="BL51" s="107"/>
      <c r="BM51" s="107"/>
      <c r="BN51" s="107"/>
      <c r="BO51" s="292"/>
      <c r="BP51" s="291"/>
      <c r="BQ51" s="107"/>
      <c r="BR51" s="107"/>
      <c r="BS51" s="107"/>
      <c r="BT51" s="292"/>
      <c r="BU51" s="291"/>
      <c r="BV51" s="107"/>
      <c r="BW51" s="107"/>
      <c r="BX51" s="107"/>
      <c r="BY51" s="292"/>
      <c r="BZ51" s="291"/>
      <c r="CA51" s="107"/>
      <c r="CB51" s="107"/>
      <c r="CC51" s="107"/>
      <c r="CD51" s="292"/>
      <c r="CE51" s="291"/>
      <c r="CF51" s="107"/>
      <c r="CG51" s="107"/>
      <c r="CH51" s="107"/>
      <c r="CI51" s="292"/>
      <c r="CJ51" s="291"/>
      <c r="CK51" s="107"/>
      <c r="CL51" s="107"/>
      <c r="CM51" s="107"/>
      <c r="CN51" s="292"/>
      <c r="CO51" s="291"/>
      <c r="CP51" s="107"/>
      <c r="CQ51" s="107"/>
      <c r="CR51" s="107"/>
      <c r="CS51" s="292"/>
      <c r="CT51" s="291"/>
      <c r="CU51" s="107"/>
      <c r="CV51" s="107"/>
      <c r="CW51" s="107"/>
      <c r="CX51" s="292"/>
      <c r="CY51" s="291" t="str">
        <f t="shared" ref="CY51:ES51" si="45">IFERROR(CY50/CT50-1,"--")</f>
      </c>
      <c r="CZ51" s="107" t="str">
        <f t="shared" si="45"/>
      </c>
      <c r="DA51" s="107" t="str">
        <f t="shared" si="45"/>
      </c>
      <c r="DB51" s="107" t="str">
        <f t="shared" si="45"/>
      </c>
      <c r="DC51" s="292" t="str">
        <f t="shared" si="45"/>
      </c>
      <c r="DD51" s="291">
        <f t="shared" si="45"/>
      </c>
      <c r="DE51" s="468">
        <f t="shared" si="45"/>
      </c>
      <c r="DF51" s="468">
        <f t="shared" si="45"/>
      </c>
      <c r="DG51" s="468">
        <f t="shared" si="45"/>
      </c>
      <c r="DH51" s="292">
        <f t="shared" si="45"/>
      </c>
      <c r="DI51" s="441">
        <v>0.01</v>
      </c>
      <c r="DJ51" s="439">
        <v>-0.05</v>
      </c>
      <c r="DK51" s="439">
        <v>-7.0000000000000007E-2</v>
      </c>
      <c r="DL51" s="439">
        <v>0.01</v>
      </c>
      <c r="DM51" s="292">
        <f t="shared" si="45"/>
      </c>
      <c r="DN51" s="291">
        <f t="shared" si="45"/>
      </c>
      <c r="DO51" s="107">
        <f t="shared" si="45"/>
      </c>
      <c r="DP51" s="107">
        <f t="shared" si="45"/>
      </c>
      <c r="DQ51" s="468">
        <f t="shared" si="45"/>
      </c>
      <c r="DR51" s="292">
        <f t="shared" si="45"/>
      </c>
      <c r="DS51" s="291">
        <f t="shared" si="45"/>
      </c>
      <c r="DT51" s="107">
        <f t="shared" si="45"/>
      </c>
      <c r="DU51" s="468">
        <f t="shared" si="45"/>
      </c>
      <c r="DV51" s="107">
        <f t="shared" si="45"/>
      </c>
      <c r="DW51" s="292">
        <f t="shared" si="45"/>
      </c>
      <c r="DX51" s="291">
        <f t="shared" si="45"/>
      </c>
      <c r="DY51" s="107">
        <f t="shared" si="45"/>
      </c>
      <c r="DZ51" s="107">
        <f t="shared" si="45"/>
      </c>
      <c r="EA51" s="107">
        <f t="shared" si="45"/>
      </c>
      <c r="EB51" s="292">
        <f t="shared" si="45"/>
      </c>
      <c r="EC51" s="291">
        <f t="shared" si="45"/>
      </c>
      <c r="ED51" s="107">
        <f t="shared" si="45"/>
      </c>
      <c r="EE51" s="107">
        <f t="shared" si="45"/>
      </c>
      <c r="EF51" s="107">
        <f t="shared" si="45"/>
      </c>
      <c r="EG51" s="292">
        <f t="shared" si="45"/>
      </c>
      <c r="EH51" s="291">
        <f t="shared" si="45"/>
      </c>
      <c r="EI51" s="107">
        <f t="shared" si="45"/>
      </c>
      <c r="EJ51" s="107">
        <f t="shared" si="45"/>
      </c>
      <c r="EK51" s="107">
        <f t="shared" si="45"/>
      </c>
      <c r="EL51" s="413">
        <v>0.1</v>
      </c>
      <c r="EM51" s="291">
        <f t="shared" si="45"/>
      </c>
      <c r="EN51" s="439">
        <v>-0.19</v>
      </c>
      <c r="EO51" s="107">
        <f t="shared" si="45"/>
      </c>
      <c r="EP51" s="468">
        <f t="shared" si="45"/>
      </c>
      <c r="EQ51" s="292">
        <f t="shared" si="45"/>
      </c>
      <c r="ER51" s="291">
        <f t="shared" si="45"/>
      </c>
      <c r="ES51" s="107">
        <f t="shared" si="45"/>
      </c>
      <c r="ET51" s="107">
        <f>ET50/EO50-1</f>
      </c>
      <c r="EU51" s="107">
        <f>EU50/EP50-1</f>
      </c>
      <c r="EV51" s="292">
        <f>IFERROR(EV50/EQ50-1,"--")</f>
      </c>
      <c r="EW51" s="107"/>
      <c r="EX51" s="107"/>
      <c r="EY51" s="107"/>
      <c r="EZ51" s="107"/>
      <c r="FA51" s="292"/>
      <c r="FB51" s="107"/>
      <c r="FC51" s="107"/>
      <c r="FD51" s="107"/>
      <c r="FE51" s="107"/>
      <c r="FF51" s="292"/>
      <c r="FG51" s="107"/>
      <c r="FH51" s="107"/>
      <c r="FI51" s="107"/>
      <c r="FJ51" s="107"/>
      <c r="FK51" s="292"/>
      <c r="FL51" s="107"/>
      <c r="FM51" s="107"/>
      <c r="FN51" s="107"/>
      <c r="FO51" s="107"/>
      <c r="FP51" s="292"/>
      <c r="FQ51" s="107"/>
      <c r="FR51" s="107"/>
      <c r="FS51" s="107"/>
      <c r="FT51" s="107"/>
      <c r="FU51" s="292"/>
      <c r="FV51" s="107"/>
      <c r="FW51" s="107"/>
      <c r="FX51" s="107"/>
      <c r="FY51" s="107"/>
      <c r="FZ51" s="292"/>
      <c r="GA51" s="107"/>
      <c r="GB51" s="107"/>
      <c r="GC51" s="107"/>
      <c r="GD51" s="107"/>
      <c r="GE51" s="292"/>
      <c r="GF51" s="107"/>
      <c r="GG51" s="107"/>
      <c r="GH51" s="107"/>
      <c r="GI51" s="107"/>
      <c r="GJ51" s="292"/>
    </row>
    <row r="52" spans="1:192" ht="12.75" hidden="1" customHeight="1" outlineLevel="1">
      <c r="B52" s="727" t="s">
        <v>197</v>
      </c>
      <c r="C52" s="291"/>
      <c r="D52" s="107"/>
      <c r="E52" s="107"/>
      <c r="F52" s="107"/>
      <c r="G52" s="292"/>
      <c r="H52" s="291"/>
      <c r="I52" s="107"/>
      <c r="J52" s="107"/>
      <c r="K52" s="107"/>
      <c r="L52" s="292"/>
      <c r="M52" s="291"/>
      <c r="N52" s="107"/>
      <c r="O52" s="107"/>
      <c r="P52" s="107"/>
      <c r="Q52" s="292"/>
      <c r="R52" s="291"/>
      <c r="S52" s="107"/>
      <c r="T52" s="107"/>
      <c r="U52" s="107"/>
      <c r="V52" s="292"/>
      <c r="W52" s="291"/>
      <c r="X52" s="107"/>
      <c r="Y52" s="107"/>
      <c r="Z52" s="107"/>
      <c r="AA52" s="292"/>
      <c r="AB52" s="291"/>
      <c r="AC52" s="107"/>
      <c r="AD52" s="107"/>
      <c r="AE52" s="107"/>
      <c r="AF52" s="292"/>
      <c r="AG52" s="291"/>
      <c r="AH52" s="107"/>
      <c r="AI52" s="107"/>
      <c r="AJ52" s="107"/>
      <c r="AK52" s="292"/>
      <c r="AL52" s="291"/>
      <c r="AM52" s="107"/>
      <c r="AN52" s="107"/>
      <c r="AO52" s="107"/>
      <c r="AP52" s="292"/>
      <c r="AQ52" s="291"/>
      <c r="AR52" s="107"/>
      <c r="AS52" s="107"/>
      <c r="AT52" s="107"/>
      <c r="AU52" s="292"/>
      <c r="AV52" s="291"/>
      <c r="AW52" s="107"/>
      <c r="AX52" s="107"/>
      <c r="AY52" s="107"/>
      <c r="AZ52" s="292"/>
      <c r="BA52" s="291"/>
      <c r="BB52" s="107"/>
      <c r="BC52" s="107"/>
      <c r="BD52" s="107"/>
      <c r="BE52" s="292"/>
      <c r="BF52" s="291"/>
      <c r="BG52" s="107"/>
      <c r="BH52" s="107"/>
      <c r="BI52" s="107"/>
      <c r="BJ52" s="292"/>
      <c r="BK52" s="291"/>
      <c r="BL52" s="107"/>
      <c r="BM52" s="107"/>
      <c r="BN52" s="107"/>
      <c r="BO52" s="292"/>
      <c r="BP52" s="291"/>
      <c r="BQ52" s="107"/>
      <c r="BR52" s="107"/>
      <c r="BS52" s="107"/>
      <c r="BT52" s="292"/>
      <c r="BU52" s="291"/>
      <c r="BV52" s="107"/>
      <c r="BW52" s="107"/>
      <c r="BX52" s="107"/>
      <c r="BY52" s="292"/>
      <c r="BZ52" s="291"/>
      <c r="CA52" s="107"/>
      <c r="CB52" s="107"/>
      <c r="CC52" s="107"/>
      <c r="CD52" s="292"/>
      <c r="CE52" s="291"/>
      <c r="CF52" s="107"/>
      <c r="CG52" s="107"/>
      <c r="CH52" s="107"/>
      <c r="CI52" s="292"/>
      <c r="CJ52" s="291"/>
      <c r="CK52" s="107"/>
      <c r="CL52" s="107"/>
      <c r="CM52" s="107"/>
      <c r="CN52" s="292"/>
      <c r="CO52" s="291"/>
      <c r="CP52" s="107"/>
      <c r="CQ52" s="107"/>
      <c r="CR52" s="107"/>
      <c r="CS52" s="292"/>
      <c r="CT52" s="291"/>
      <c r="CU52" s="107"/>
      <c r="CV52" s="107"/>
      <c r="CW52" s="107"/>
      <c r="CX52" s="292"/>
      <c r="CY52" s="412"/>
      <c r="CZ52" s="114"/>
      <c r="DA52" s="114"/>
      <c r="DB52" s="114"/>
      <c r="DC52" s="292"/>
      <c r="DD52" s="412">
        <v>0.13</v>
      </c>
      <c r="DE52" s="114">
        <v>-0.02</v>
      </c>
      <c r="DF52" s="114">
        <v>0.03</v>
      </c>
      <c r="DG52" s="114">
        <v>0.02</v>
      </c>
      <c r="DH52" s="292"/>
      <c r="DI52" s="412">
        <v>-0.01</v>
      </c>
      <c r="DJ52" s="114">
        <v>-0.04</v>
      </c>
      <c r="DK52" s="114">
        <v>-7.0000000000000007E-2</v>
      </c>
      <c r="DL52" s="114">
        <v>0.01</v>
      </c>
      <c r="DM52" s="292"/>
      <c r="DN52" s="412">
        <v>-0.01</v>
      </c>
      <c r="DO52" s="114">
        <v>0.02</v>
      </c>
      <c r="DP52" s="114">
        <v>0.11</v>
      </c>
      <c r="DQ52" s="114">
        <v>0.16</v>
      </c>
      <c r="DR52" s="292"/>
      <c r="DS52" s="412">
        <v>0.15</v>
      </c>
      <c r="DT52" s="114">
        <v>7.0000000000000007E-2</v>
      </c>
      <c r="DU52" s="439">
        <v>0.09</v>
      </c>
      <c r="DV52" s="114">
        <v>0.06</v>
      </c>
      <c r="DW52" s="292"/>
      <c r="DX52" s="412">
        <v>0.05</v>
      </c>
      <c r="DY52" s="114">
        <v>0.03</v>
      </c>
      <c r="DZ52" s="114">
        <v>0.04</v>
      </c>
      <c r="EA52" s="114">
        <v>0.16</v>
      </c>
      <c r="EB52" s="292"/>
      <c r="EC52" s="412">
        <v>0.06</v>
      </c>
      <c r="ED52" s="114">
        <v>0.13</v>
      </c>
      <c r="EE52" s="114">
        <v>0.16</v>
      </c>
      <c r="EF52" s="114">
        <v>0.06</v>
      </c>
      <c r="EG52" s="292"/>
      <c r="EH52" s="412">
        <v>0.11</v>
      </c>
      <c r="EI52" s="114">
        <v>0.15</v>
      </c>
      <c r="EJ52" s="114">
        <v>0.13</v>
      </c>
      <c r="EK52" s="114">
        <v>0.05</v>
      </c>
      <c r="EL52" s="292"/>
      <c r="EM52" s="412">
        <v>0.03</v>
      </c>
      <c r="EN52" s="114">
        <v>0.16</v>
      </c>
      <c r="EO52" s="114">
        <v>-7.0000000000000007E-2</v>
      </c>
      <c r="EP52" s="114">
        <v>-0.03</v>
      </c>
      <c r="EQ52" s="292"/>
      <c r="ER52" s="412">
        <v>0.02</v>
      </c>
      <c r="ES52" s="114">
        <v>0.18</v>
      </c>
      <c r="ET52" s="439">
        <v>0.17</v>
      </c>
      <c r="EU52" s="439">
        <v>0.15</v>
      </c>
      <c r="EV52" s="292"/>
      <c r="EW52" s="777"/>
      <c r="EX52" s="107"/>
      <c r="EY52" s="107"/>
      <c r="EZ52" s="107"/>
      <c r="FA52" s="292"/>
      <c r="FB52" s="777"/>
      <c r="FC52" s="107"/>
      <c r="FD52" s="107"/>
      <c r="FE52" s="107"/>
      <c r="FF52" s="292"/>
      <c r="FG52" s="777"/>
      <c r="FH52" s="107"/>
      <c r="FI52" s="107"/>
      <c r="FJ52" s="107"/>
      <c r="FK52" s="292"/>
      <c r="FL52" s="777"/>
      <c r="FM52" s="107"/>
      <c r="FN52" s="107"/>
      <c r="FO52" s="107"/>
      <c r="FP52" s="292"/>
      <c r="FQ52" s="777"/>
      <c r="FR52" s="107"/>
      <c r="FS52" s="107"/>
      <c r="FT52" s="107"/>
      <c r="FU52" s="292"/>
      <c r="FV52" s="777"/>
      <c r="FW52" s="107"/>
      <c r="FX52" s="107"/>
      <c r="FY52" s="107"/>
      <c r="FZ52" s="292"/>
      <c r="GA52" s="777"/>
      <c r="GB52" s="107"/>
      <c r="GC52" s="107"/>
      <c r="GD52" s="107"/>
      <c r="GE52" s="292"/>
      <c r="GF52" s="777"/>
      <c r="GG52" s="107"/>
      <c r="GH52" s="107"/>
      <c r="GI52" s="107"/>
      <c r="GJ52" s="292"/>
    </row>
    <row r="53" spans="1:192" ht="12.75" hidden="1" customHeight="1" outlineLevel="1">
      <c r="B53" s="727" t="s">
        <v>36</v>
      </c>
      <c r="C53" s="291"/>
      <c r="D53" s="107"/>
      <c r="E53" s="107"/>
      <c r="F53" s="107"/>
      <c r="G53" s="293"/>
      <c r="H53" s="291"/>
      <c r="I53" s="107"/>
      <c r="J53" s="107"/>
      <c r="K53" s="107"/>
      <c r="L53" s="293"/>
      <c r="M53" s="291"/>
      <c r="N53" s="107"/>
      <c r="O53" s="107"/>
      <c r="P53" s="107"/>
      <c r="Q53" s="293"/>
      <c r="R53" s="291"/>
      <c r="S53" s="107"/>
      <c r="T53" s="107"/>
      <c r="U53" s="107"/>
      <c r="V53" s="293"/>
      <c r="W53" s="291"/>
      <c r="X53" s="107"/>
      <c r="Y53" s="107"/>
      <c r="Z53" s="107"/>
      <c r="AA53" s="293"/>
      <c r="AB53" s="291"/>
      <c r="AC53" s="107"/>
      <c r="AD53" s="107"/>
      <c r="AE53" s="107"/>
      <c r="AF53" s="293"/>
      <c r="AG53" s="291"/>
      <c r="AH53" s="107"/>
      <c r="AI53" s="107"/>
      <c r="AJ53" s="107"/>
      <c r="AK53" s="293"/>
      <c r="AL53" s="291"/>
      <c r="AM53" s="107"/>
      <c r="AN53" s="107"/>
      <c r="AO53" s="107"/>
      <c r="AP53" s="293"/>
      <c r="AQ53" s="291"/>
      <c r="AR53" s="107"/>
      <c r="AS53" s="107"/>
      <c r="AT53" s="107"/>
      <c r="AU53" s="293"/>
      <c r="AV53" s="291"/>
      <c r="AW53" s="107"/>
      <c r="AX53" s="107"/>
      <c r="AY53" s="107"/>
      <c r="AZ53" s="293"/>
      <c r="BA53" s="291"/>
      <c r="BB53" s="107"/>
      <c r="BC53" s="107"/>
      <c r="BD53" s="107"/>
      <c r="BE53" s="293"/>
      <c r="BF53" s="291"/>
      <c r="BG53" s="107"/>
      <c r="BH53" s="107"/>
      <c r="BI53" s="107"/>
      <c r="BJ53" s="293"/>
      <c r="BK53" s="291"/>
      <c r="BL53" s="107"/>
      <c r="BM53" s="107"/>
      <c r="BN53" s="107"/>
      <c r="BO53" s="293"/>
      <c r="BP53" s="291"/>
      <c r="BQ53" s="107"/>
      <c r="BR53" s="107"/>
      <c r="BS53" s="107"/>
      <c r="BT53" s="293"/>
      <c r="BU53" s="291"/>
      <c r="BV53" s="107"/>
      <c r="BW53" s="107"/>
      <c r="BX53" s="107"/>
      <c r="BY53" s="293"/>
      <c r="BZ53" s="291"/>
      <c r="CA53" s="107"/>
      <c r="CB53" s="107"/>
      <c r="CC53" s="107"/>
      <c r="CD53" s="293"/>
      <c r="CE53" s="291"/>
      <c r="CF53" s="107"/>
      <c r="CG53" s="107"/>
      <c r="CH53" s="107"/>
      <c r="CI53" s="293"/>
      <c r="CJ53" s="291"/>
      <c r="CK53" s="107"/>
      <c r="CL53" s="107"/>
      <c r="CM53" s="107"/>
      <c r="CN53" s="293"/>
      <c r="CO53" s="291"/>
      <c r="CP53" s="107"/>
      <c r="CQ53" s="107"/>
      <c r="CR53" s="107"/>
      <c r="CS53" s="293"/>
      <c r="CT53" s="291"/>
      <c r="CU53" s="107"/>
      <c r="CV53" s="107"/>
      <c r="CW53" s="107"/>
      <c r="CX53" s="293"/>
      <c r="CY53" s="291" t="str">
        <f>IFERROR(CY50/CW50-1,"--")</f>
      </c>
      <c r="CZ53" s="107">
        <f>IFERROR(CZ50/CY50-1,"--")</f>
      </c>
      <c r="DA53" s="107">
        <f>IFERROR(DA50/CZ50-1,"--")</f>
      </c>
      <c r="DB53" s="107">
        <f>IFERROR(DB50/DA50-1,"--")</f>
      </c>
      <c r="DC53" s="293"/>
      <c r="DD53" s="291">
        <f>IFERROR(DD50/DB50-1,"--")</f>
      </c>
      <c r="DE53" s="107">
        <f>IFERROR(DE50/DD50-1,"--")</f>
      </c>
      <c r="DF53" s="107">
        <f>IFERROR(DF50/DE50-1,"--")</f>
      </c>
      <c r="DG53" s="107">
        <f>IFERROR(DG50/DF50-1,"--")</f>
      </c>
      <c r="DH53" s="293"/>
      <c r="DI53" s="291">
        <f>IFERROR(DI50/DG50-1,"--")</f>
      </c>
      <c r="DJ53" s="107">
        <f>IFERROR(DJ50/DI50-1,"--")</f>
      </c>
      <c r="DK53" s="107">
        <f>IFERROR(DK50/DJ50-1,"--")</f>
      </c>
      <c r="DL53" s="107">
        <f>IFERROR(DL50/DK50-1,"--")</f>
      </c>
      <c r="DM53" s="293"/>
      <c r="DN53" s="291">
        <f>IFERROR(DN50/DL50-1,"--")</f>
      </c>
      <c r="DO53" s="107">
        <f>IFERROR(DO50/DN50-1,"--")</f>
      </c>
      <c r="DP53" s="107">
        <f>IFERROR(DP50/DO50-1,"--")</f>
      </c>
      <c r="DQ53" s="107">
        <f>IFERROR(DQ50/DP50-1,"--")</f>
      </c>
      <c r="DR53" s="293"/>
      <c r="DS53" s="291">
        <f>IFERROR(DS50/DQ50-1,"--")</f>
      </c>
      <c r="DT53" s="107">
        <f>IFERROR(DT50/DS50-1,"--")</f>
      </c>
      <c r="DU53" s="468">
        <f>IFERROR(DU50/DT50-1,"--")</f>
      </c>
      <c r="DV53" s="107">
        <f>IFERROR(DV50/DU50-1,"--")</f>
      </c>
      <c r="DW53" s="293"/>
      <c r="DX53" s="291">
        <f>IFERROR(DX50/DV50-1,"--")</f>
      </c>
      <c r="DY53" s="107">
        <f>IFERROR(DY50/DX50-1,"--")</f>
      </c>
      <c r="DZ53" s="107">
        <f>IFERROR(DZ50/DY50-1,"--")</f>
      </c>
      <c r="EA53" s="107">
        <f>IFERROR(EA50/DZ50-1,"--")</f>
      </c>
      <c r="EB53" s="293"/>
      <c r="EC53" s="291">
        <f>IFERROR(EC50/EA50-1,"--")</f>
      </c>
      <c r="ED53" s="107">
        <f>IFERROR(ED50/EC50-1,"--")</f>
      </c>
      <c r="EE53" s="107">
        <f>IFERROR(EE50/ED50-1,"--")</f>
      </c>
      <c r="EF53" s="107">
        <f>IFERROR(EF50/EE50-1,"--")</f>
      </c>
      <c r="EG53" s="293"/>
      <c r="EH53" s="291">
        <f>IFERROR(EH50/EF50-1,"--")</f>
      </c>
      <c r="EI53" s="107">
        <f>IFERROR(EI50/EH50-1,"--")</f>
      </c>
      <c r="EJ53" s="107">
        <f>IFERROR(EJ50/EI50-1,"--")</f>
      </c>
      <c r="EK53" s="107">
        <f>IFERROR(EK50/EJ50-1,"--")</f>
      </c>
      <c r="EL53" s="293"/>
      <c r="EM53" s="291">
        <f>IFERROR(EM50/EK50-1,"--")</f>
      </c>
      <c r="EN53" s="107">
        <f>IFERROR(EN50/EM50-1,"--")</f>
      </c>
      <c r="EO53" s="107">
        <f>IFERROR(EO50/EN50-1,"--")</f>
      </c>
      <c r="EP53" s="107">
        <f>IFERROR(EP50/EO50-1,"--")</f>
      </c>
      <c r="EQ53" s="292"/>
      <c r="ER53" s="291">
        <f>IFERROR(ER50/EP50-1,"--")</f>
      </c>
      <c r="ES53" s="107">
        <f>IFERROR(ES50/ER50-1,"--")</f>
      </c>
      <c r="ET53" s="107">
        <f>IFERROR(ET50/ES50-1,"--")</f>
      </c>
      <c r="EU53" s="107">
        <f>IFERROR(EU50/ET50-1,"--")</f>
      </c>
      <c r="EV53" s="293"/>
      <c r="EW53" s="291"/>
      <c r="EX53" s="107"/>
      <c r="EY53" s="107"/>
      <c r="EZ53" s="107"/>
      <c r="FA53" s="293"/>
      <c r="FB53" s="291"/>
      <c r="FC53" s="107"/>
      <c r="FD53" s="107"/>
      <c r="FE53" s="107"/>
      <c r="FF53" s="293"/>
      <c r="FG53" s="291"/>
      <c r="FH53" s="107"/>
      <c r="FI53" s="107"/>
      <c r="FJ53" s="107"/>
      <c r="FK53" s="293"/>
      <c r="FL53" s="291"/>
      <c r="FM53" s="107"/>
      <c r="FN53" s="107"/>
      <c r="FO53" s="107"/>
      <c r="FP53" s="293"/>
      <c r="FQ53" s="291"/>
      <c r="FR53" s="107"/>
      <c r="FS53" s="107"/>
      <c r="FT53" s="107"/>
      <c r="FU53" s="293"/>
      <c r="FV53" s="291"/>
      <c r="FW53" s="107"/>
      <c r="FX53" s="107"/>
      <c r="FY53" s="107"/>
      <c r="FZ53" s="293"/>
      <c r="GA53" s="291"/>
      <c r="GB53" s="107"/>
      <c r="GC53" s="107"/>
      <c r="GD53" s="107"/>
      <c r="GE53" s="293"/>
      <c r="GF53" s="291"/>
      <c r="GG53" s="107"/>
      <c r="GH53" s="107"/>
      <c r="GI53" s="107"/>
      <c r="GJ53" s="293"/>
    </row>
    <row r="54" spans="1:192" ht="12.75" hidden="1" customHeight="1" outlineLevel="1">
      <c r="B54" s="727" t="s">
        <v>243</v>
      </c>
      <c r="C54" s="291"/>
      <c r="D54" s="107"/>
      <c r="E54" s="107"/>
      <c r="F54" s="107"/>
      <c r="G54" s="292"/>
      <c r="H54" s="291"/>
      <c r="I54" s="107"/>
      <c r="J54" s="107"/>
      <c r="K54" s="107"/>
      <c r="L54" s="292"/>
      <c r="M54" s="291"/>
      <c r="N54" s="107"/>
      <c r="O54" s="107"/>
      <c r="P54" s="107"/>
      <c r="Q54" s="292"/>
      <c r="R54" s="291"/>
      <c r="S54" s="107"/>
      <c r="T54" s="107"/>
      <c r="U54" s="107"/>
      <c r="V54" s="292"/>
      <c r="W54" s="291"/>
      <c r="X54" s="107"/>
      <c r="Y54" s="107"/>
      <c r="Z54" s="107"/>
      <c r="AA54" s="292"/>
      <c r="AB54" s="291"/>
      <c r="AC54" s="107"/>
      <c r="AD54" s="107"/>
      <c r="AE54" s="107"/>
      <c r="AF54" s="292"/>
      <c r="AG54" s="291"/>
      <c r="AH54" s="107"/>
      <c r="AI54" s="107"/>
      <c r="AJ54" s="107"/>
      <c r="AK54" s="292"/>
      <c r="AL54" s="291"/>
      <c r="AM54" s="107"/>
      <c r="AN54" s="107"/>
      <c r="AO54" s="107"/>
      <c r="AP54" s="292"/>
      <c r="AQ54" s="291"/>
      <c r="AR54" s="107"/>
      <c r="AS54" s="107"/>
      <c r="AT54" s="107"/>
      <c r="AU54" s="292"/>
      <c r="AV54" s="291"/>
      <c r="AW54" s="107"/>
      <c r="AX54" s="107"/>
      <c r="AY54" s="107"/>
      <c r="AZ54" s="292"/>
      <c r="BA54" s="291"/>
      <c r="BB54" s="107"/>
      <c r="BC54" s="107"/>
      <c r="BD54" s="107"/>
      <c r="BE54" s="292"/>
      <c r="BF54" s="291"/>
      <c r="BG54" s="107"/>
      <c r="BH54" s="107"/>
      <c r="BI54" s="107"/>
      <c r="BJ54" s="292"/>
      <c r="BK54" s="291"/>
      <c r="BL54" s="107"/>
      <c r="BM54" s="107"/>
      <c r="BN54" s="107"/>
      <c r="BO54" s="292"/>
      <c r="BP54" s="291"/>
      <c r="BQ54" s="107"/>
      <c r="BR54" s="107"/>
      <c r="BS54" s="107"/>
      <c r="BT54" s="292"/>
      <c r="BU54" s="291"/>
      <c r="BV54" s="107"/>
      <c r="BW54" s="107"/>
      <c r="BX54" s="107"/>
      <c r="BY54" s="292"/>
      <c r="BZ54" s="291"/>
      <c r="CA54" s="107"/>
      <c r="CB54" s="107"/>
      <c r="CC54" s="107"/>
      <c r="CD54" s="292"/>
      <c r="CE54" s="291"/>
      <c r="CF54" s="107"/>
      <c r="CG54" s="107"/>
      <c r="CH54" s="107"/>
      <c r="CI54" s="292"/>
      <c r="CJ54" s="291"/>
      <c r="CK54" s="107"/>
      <c r="CL54" s="107"/>
      <c r="CM54" s="107"/>
      <c r="CN54" s="292"/>
      <c r="CO54" s="291"/>
      <c r="CP54" s="107"/>
      <c r="CQ54" s="107"/>
      <c r="CR54" s="107"/>
      <c r="CS54" s="292"/>
      <c r="CT54" s="291"/>
      <c r="CU54" s="107"/>
      <c r="CV54" s="107"/>
      <c r="CW54" s="107"/>
      <c r="CX54" s="292"/>
      <c r="CY54" s="470"/>
      <c r="CZ54" s="470"/>
      <c r="DA54" s="470"/>
      <c r="DB54" s="470"/>
      <c r="DC54" s="462"/>
      <c r="DD54" s="470">
        <f t="shared" ref="DD54:DR54" si="46">DD50-CY50</f>
      </c>
      <c r="DE54" s="470">
        <f t="shared" si="46"/>
      </c>
      <c r="DF54" s="470">
        <f t="shared" si="46"/>
      </c>
      <c r="DG54" s="470">
        <f t="shared" si="46"/>
      </c>
      <c r="DH54" s="462">
        <f t="shared" si="46"/>
      </c>
      <c r="DI54" s="470">
        <f t="shared" si="46"/>
      </c>
      <c r="DJ54" s="470">
        <f t="shared" si="46"/>
      </c>
      <c r="DK54" s="470">
        <f t="shared" si="46"/>
      </c>
      <c r="DL54" s="470">
        <f t="shared" si="46"/>
      </c>
      <c r="DM54" s="462">
        <f t="shared" si="46"/>
      </c>
      <c r="DN54" s="470">
        <f t="shared" si="46"/>
      </c>
      <c r="DO54" s="470">
        <f t="shared" si="46"/>
      </c>
      <c r="DP54" s="470">
        <f t="shared" si="46"/>
      </c>
      <c r="DQ54" s="470">
        <f t="shared" si="46"/>
      </c>
      <c r="DR54" s="462">
        <f t="shared" si="46"/>
      </c>
      <c r="DS54" s="470">
        <f t="shared" ref="DS54:ES54" si="47">DS50-DN50</f>
      </c>
      <c r="DT54" s="470">
        <f t="shared" si="47"/>
      </c>
      <c r="DU54" s="470">
        <f t="shared" si="47"/>
      </c>
      <c r="DV54" s="470">
        <f t="shared" si="47"/>
      </c>
      <c r="DW54" s="462">
        <f t="shared" si="47"/>
      </c>
      <c r="DX54" s="470">
        <f t="shared" si="47"/>
      </c>
      <c r="DY54" s="470">
        <f t="shared" si="47"/>
      </c>
      <c r="DZ54" s="470">
        <f t="shared" si="47"/>
      </c>
      <c r="EA54" s="470">
        <f t="shared" si="47"/>
      </c>
      <c r="EB54" s="462">
        <f t="shared" si="47"/>
      </c>
      <c r="EC54" s="470">
        <f t="shared" si="47"/>
      </c>
      <c r="ED54" s="470">
        <f t="shared" si="47"/>
      </c>
      <c r="EE54" s="470">
        <f t="shared" si="47"/>
      </c>
      <c r="EF54" s="470">
        <f t="shared" si="47"/>
      </c>
      <c r="EG54" s="462">
        <f t="shared" si="47"/>
      </c>
      <c r="EH54" s="470">
        <f t="shared" si="47"/>
      </c>
      <c r="EI54" s="470">
        <f t="shared" si="47"/>
      </c>
      <c r="EJ54" s="470">
        <f t="shared" si="47"/>
      </c>
      <c r="EK54" s="470">
        <f t="shared" si="47"/>
      </c>
      <c r="EL54" s="462">
        <f t="shared" si="47"/>
      </c>
      <c r="EM54" s="470">
        <f t="shared" si="47"/>
      </c>
      <c r="EN54" s="470">
        <f t="shared" si="47"/>
      </c>
      <c r="EO54" s="470">
        <f t="shared" si="47"/>
      </c>
      <c r="EP54" s="470">
        <f t="shared" si="47"/>
      </c>
      <c r="EQ54" s="462">
        <f t="shared" si="47"/>
      </c>
      <c r="ER54" s="447">
        <f t="shared" ref="ER54:ET54" si="48">ER50-EM50</f>
      </c>
      <c r="ES54" s="458">
        <f t="shared" si="47"/>
      </c>
      <c r="ET54" s="458">
        <f t="shared" si="48"/>
      </c>
      <c r="EU54" s="458">
        <f>EU50-EP50</f>
      </c>
      <c r="EV54" s="462">
        <f>EV50-EQ50</f>
      </c>
      <c r="EW54" s="447"/>
      <c r="EX54" s="458"/>
      <c r="EY54" s="458"/>
      <c r="EZ54" s="458"/>
      <c r="FA54" s="462"/>
      <c r="FB54" s="447"/>
      <c r="FC54" s="458"/>
      <c r="FD54" s="458"/>
      <c r="FE54" s="458"/>
      <c r="FF54" s="462"/>
      <c r="FG54" s="447"/>
      <c r="FH54" s="458"/>
      <c r="FI54" s="458"/>
      <c r="FJ54" s="458"/>
      <c r="FK54" s="462"/>
      <c r="FL54" s="447"/>
      <c r="FM54" s="458"/>
      <c r="FN54" s="458"/>
      <c r="FO54" s="458"/>
      <c r="FP54" s="462"/>
      <c r="FQ54" s="447"/>
      <c r="FR54" s="458"/>
      <c r="FS54" s="458"/>
      <c r="FT54" s="458"/>
      <c r="FU54" s="462"/>
      <c r="FV54" s="447"/>
      <c r="FW54" s="458"/>
      <c r="FX54" s="458"/>
      <c r="FY54" s="458"/>
      <c r="FZ54" s="462"/>
      <c r="GA54" s="447"/>
      <c r="GB54" s="458"/>
      <c r="GC54" s="458"/>
      <c r="GD54" s="458"/>
      <c r="GE54" s="462"/>
      <c r="GF54" s="447"/>
      <c r="GG54" s="458"/>
      <c r="GH54" s="458"/>
      <c r="GI54" s="458"/>
      <c r="GJ54" s="462"/>
    </row>
    <row r="55" spans="1:192" ht="12.75" hidden="1" customHeight="1" outlineLevel="1">
      <c r="B55" s="727" t="s">
        <v>244</v>
      </c>
      <c r="C55" s="291"/>
      <c r="D55" s="107"/>
      <c r="E55" s="107"/>
      <c r="F55" s="107"/>
      <c r="G55" s="292"/>
      <c r="H55" s="291"/>
      <c r="I55" s="107"/>
      <c r="J55" s="107"/>
      <c r="K55" s="107"/>
      <c r="L55" s="292"/>
      <c r="M55" s="291"/>
      <c r="N55" s="107"/>
      <c r="O55" s="107"/>
      <c r="P55" s="107"/>
      <c r="Q55" s="292"/>
      <c r="R55" s="291"/>
      <c r="S55" s="107"/>
      <c r="T55" s="107"/>
      <c r="U55" s="107"/>
      <c r="V55" s="292"/>
      <c r="W55" s="291"/>
      <c r="X55" s="107"/>
      <c r="Y55" s="107"/>
      <c r="Z55" s="107"/>
      <c r="AA55" s="292"/>
      <c r="AB55" s="291"/>
      <c r="AC55" s="107"/>
      <c r="AD55" s="107"/>
      <c r="AE55" s="107"/>
      <c r="AF55" s="292"/>
      <c r="AG55" s="291"/>
      <c r="AH55" s="107"/>
      <c r="AI55" s="107"/>
      <c r="AJ55" s="107"/>
      <c r="AK55" s="292"/>
      <c r="AL55" s="291"/>
      <c r="AM55" s="107"/>
      <c r="AN55" s="107"/>
      <c r="AO55" s="107"/>
      <c r="AP55" s="292"/>
      <c r="AQ55" s="291"/>
      <c r="AR55" s="107"/>
      <c r="AS55" s="107"/>
      <c r="AT55" s="107"/>
      <c r="AU55" s="292"/>
      <c r="AV55" s="291"/>
      <c r="AW55" s="107"/>
      <c r="AX55" s="107"/>
      <c r="AY55" s="107"/>
      <c r="AZ55" s="292"/>
      <c r="BA55" s="291"/>
      <c r="BB55" s="107"/>
      <c r="BC55" s="107"/>
      <c r="BD55" s="107"/>
      <c r="BE55" s="292"/>
      <c r="BF55" s="291"/>
      <c r="BG55" s="107"/>
      <c r="BH55" s="107"/>
      <c r="BI55" s="107"/>
      <c r="BJ55" s="292"/>
      <c r="BK55" s="291"/>
      <c r="BL55" s="107"/>
      <c r="BM55" s="107"/>
      <c r="BN55" s="107"/>
      <c r="BO55" s="292"/>
      <c r="BP55" s="291"/>
      <c r="BQ55" s="107"/>
      <c r="BR55" s="107"/>
      <c r="BS55" s="107"/>
      <c r="BT55" s="292"/>
      <c r="BU55" s="291"/>
      <c r="BV55" s="107"/>
      <c r="BW55" s="107"/>
      <c r="BX55" s="107"/>
      <c r="BY55" s="292"/>
      <c r="BZ55" s="291"/>
      <c r="CA55" s="107"/>
      <c r="CB55" s="107"/>
      <c r="CC55" s="107"/>
      <c r="CD55" s="292"/>
      <c r="CE55" s="291"/>
      <c r="CF55" s="107"/>
      <c r="CG55" s="107"/>
      <c r="CH55" s="107"/>
      <c r="CI55" s="292"/>
      <c r="CJ55" s="291"/>
      <c r="CK55" s="107"/>
      <c r="CL55" s="107"/>
      <c r="CM55" s="107"/>
      <c r="CN55" s="292"/>
      <c r="CO55" s="291"/>
      <c r="CP55" s="107"/>
      <c r="CQ55" s="107"/>
      <c r="CR55" s="107"/>
      <c r="CS55" s="292"/>
      <c r="CT55" s="291"/>
      <c r="CU55" s="107"/>
      <c r="CV55" s="107"/>
      <c r="CW55" s="107"/>
      <c r="CX55" s="292"/>
      <c r="CY55" s="470"/>
      <c r="CZ55" s="463">
        <f>CZ50-CY50</f>
      </c>
      <c r="DA55" s="463">
        <f>DA50-CZ50</f>
      </c>
      <c r="DB55" s="463">
        <f>DB50-DA50</f>
      </c>
      <c r="DC55" s="292"/>
      <c r="DD55" s="470">
        <f>DD50-DB50</f>
      </c>
      <c r="DE55" s="463">
        <f>DE50-DD50</f>
      </c>
      <c r="DF55" s="463">
        <f>DF50-DE50</f>
      </c>
      <c r="DG55" s="463">
        <f>DG50-DF50</f>
      </c>
      <c r="DH55" s="292"/>
      <c r="DI55" s="470">
        <f>DI50-DG50</f>
      </c>
      <c r="DJ55" s="463">
        <f>DJ50-DI50</f>
      </c>
      <c r="DK55" s="463">
        <f>DK50-DJ50</f>
      </c>
      <c r="DL55" s="463">
        <f>DL50-DK50</f>
      </c>
      <c r="DM55" s="292"/>
      <c r="DN55" s="470">
        <f>DN50-DL50</f>
      </c>
      <c r="DO55" s="463">
        <f>DO50-DN50</f>
      </c>
      <c r="DP55" s="463">
        <f>DP50-DO50</f>
      </c>
      <c r="DQ55" s="463">
        <f>DQ50-DP50</f>
      </c>
      <c r="DR55" s="292"/>
      <c r="DS55" s="470">
        <f>DS50-DQ50</f>
      </c>
      <c r="DT55" s="463">
        <f>DT50-DS50</f>
      </c>
      <c r="DU55" s="463">
        <f>DU50-DT50</f>
      </c>
      <c r="DV55" s="463">
        <f>DV50-DU50</f>
      </c>
      <c r="DW55" s="292"/>
      <c r="DX55" s="470">
        <f>DX50-DV50</f>
      </c>
      <c r="DY55" s="463">
        <f>DY50-DX50</f>
      </c>
      <c r="DZ55" s="463">
        <f>DZ50-DY50</f>
      </c>
      <c r="EA55" s="463">
        <f>EA50-DZ50</f>
      </c>
      <c r="EB55" s="292"/>
      <c r="EC55" s="470">
        <f>EC50-EA50</f>
      </c>
      <c r="ED55" s="463">
        <f>ED50-EC50</f>
      </c>
      <c r="EE55" s="463">
        <f>EE50-ED50</f>
      </c>
      <c r="EF55" s="463">
        <f>EF50-EE50</f>
      </c>
      <c r="EG55" s="292"/>
      <c r="EH55" s="470">
        <f>EH50-EF50</f>
      </c>
      <c r="EI55" s="463">
        <f>EI50-EH50</f>
      </c>
      <c r="EJ55" s="463">
        <f>EJ50-EI50</f>
      </c>
      <c r="EK55" s="463">
        <f>EK50-EJ50</f>
      </c>
      <c r="EL55" s="292"/>
      <c r="EM55" s="470">
        <f>EM50-EK50</f>
      </c>
      <c r="EN55" s="463">
        <f>EN50-EM50</f>
      </c>
      <c r="EO55" s="463">
        <f>EO50-EN50</f>
      </c>
      <c r="EP55" s="463">
        <f>EP50-EO50</f>
      </c>
      <c r="EQ55" s="292"/>
      <c r="ER55" s="447">
        <f>ER50-EP50</f>
      </c>
      <c r="ES55" s="458">
        <f>ES50-ER50</f>
      </c>
      <c r="ET55" s="458">
        <f>ET50-ES50</f>
      </c>
      <c r="EU55" s="458">
        <f>EU50-ET50</f>
      </c>
      <c r="EV55" s="462"/>
      <c r="EW55" s="447"/>
      <c r="EX55" s="458"/>
      <c r="EY55" s="458"/>
      <c r="EZ55" s="458"/>
      <c r="FA55" s="462"/>
      <c r="FB55" s="447"/>
      <c r="FC55" s="458"/>
      <c r="FD55" s="458"/>
      <c r="FE55" s="458"/>
      <c r="FF55" s="462"/>
      <c r="FG55" s="447"/>
      <c r="FH55" s="458"/>
      <c r="FI55" s="458"/>
      <c r="FJ55" s="458"/>
      <c r="FK55" s="462"/>
      <c r="FL55" s="447"/>
      <c r="FM55" s="458"/>
      <c r="FN55" s="458"/>
      <c r="FO55" s="458"/>
      <c r="FP55" s="462"/>
      <c r="FQ55" s="447"/>
      <c r="FR55" s="458"/>
      <c r="FS55" s="458"/>
      <c r="FT55" s="458"/>
      <c r="FU55" s="462"/>
      <c r="FV55" s="447"/>
      <c r="FW55" s="458"/>
      <c r="FX55" s="458"/>
      <c r="FY55" s="458"/>
      <c r="FZ55" s="462"/>
      <c r="GA55" s="447"/>
      <c r="GB55" s="458"/>
      <c r="GC55" s="458"/>
      <c r="GD55" s="458"/>
      <c r="GE55" s="462"/>
      <c r="GF55" s="447"/>
      <c r="GG55" s="458"/>
      <c r="GH55" s="458"/>
      <c r="GI55" s="458"/>
      <c r="GJ55" s="462"/>
    </row>
    <row r="56" spans="1:192" ht="12.75" hidden="1" customHeight="1" outlineLevel="1">
      <c r="B56" s="727" t="s">
        <v>257</v>
      </c>
      <c r="C56" s="291"/>
      <c r="D56" s="107"/>
      <c r="E56" s="107"/>
      <c r="F56" s="107"/>
      <c r="G56" s="293"/>
      <c r="H56" s="291"/>
      <c r="I56" s="107"/>
      <c r="J56" s="107"/>
      <c r="K56" s="107"/>
      <c r="L56" s="293"/>
      <c r="M56" s="291"/>
      <c r="N56" s="107"/>
      <c r="O56" s="107"/>
      <c r="P56" s="107"/>
      <c r="Q56" s="293"/>
      <c r="R56" s="291"/>
      <c r="S56" s="107"/>
      <c r="T56" s="107"/>
      <c r="U56" s="107"/>
      <c r="V56" s="293"/>
      <c r="W56" s="291"/>
      <c r="X56" s="107"/>
      <c r="Y56" s="107"/>
      <c r="Z56" s="107"/>
      <c r="AA56" s="293"/>
      <c r="AB56" s="291"/>
      <c r="AC56" s="107"/>
      <c r="AD56" s="107"/>
      <c r="AE56" s="107"/>
      <c r="AF56" s="293"/>
      <c r="AG56" s="291"/>
      <c r="AH56" s="107"/>
      <c r="AI56" s="107"/>
      <c r="AJ56" s="107"/>
      <c r="AK56" s="293"/>
      <c r="AL56" s="291"/>
      <c r="AM56" s="107"/>
      <c r="AN56" s="107"/>
      <c r="AO56" s="107"/>
      <c r="AP56" s="293"/>
      <c r="AQ56" s="291"/>
      <c r="AR56" s="107"/>
      <c r="AS56" s="107"/>
      <c r="AT56" s="107"/>
      <c r="AU56" s="293"/>
      <c r="AV56" s="291"/>
      <c r="AW56" s="107"/>
      <c r="AX56" s="107"/>
      <c r="AY56" s="107"/>
      <c r="AZ56" s="293"/>
      <c r="BA56" s="291"/>
      <c r="BB56" s="107"/>
      <c r="BC56" s="107"/>
      <c r="BD56" s="107"/>
      <c r="BE56" s="293"/>
      <c r="BF56" s="291"/>
      <c r="BG56" s="107"/>
      <c r="BH56" s="107"/>
      <c r="BI56" s="107"/>
      <c r="BJ56" s="293"/>
      <c r="BK56" s="291"/>
      <c r="BL56" s="107"/>
      <c r="BM56" s="107"/>
      <c r="BN56" s="107"/>
      <c r="BO56" s="293"/>
      <c r="BP56" s="291"/>
      <c r="BQ56" s="107"/>
      <c r="BR56" s="107"/>
      <c r="BS56" s="107"/>
      <c r="BT56" s="293"/>
      <c r="BU56" s="291"/>
      <c r="BV56" s="107"/>
      <c r="BW56" s="107"/>
      <c r="BX56" s="107"/>
      <c r="BY56" s="293"/>
      <c r="BZ56" s="291"/>
      <c r="CA56" s="107"/>
      <c r="CB56" s="107"/>
      <c r="CC56" s="107"/>
      <c r="CD56" s="293"/>
      <c r="CE56" s="291"/>
      <c r="CF56" s="107"/>
      <c r="CG56" s="107"/>
      <c r="CH56" s="107"/>
      <c r="CI56" s="293"/>
      <c r="CJ56" s="291"/>
      <c r="CK56" s="107"/>
      <c r="CL56" s="107"/>
      <c r="CM56" s="107"/>
      <c r="CN56" s="293"/>
      <c r="CO56" s="291"/>
      <c r="CP56" s="107"/>
      <c r="CQ56" s="107"/>
      <c r="CR56" s="107"/>
      <c r="CS56" s="293"/>
      <c r="CT56" s="291"/>
      <c r="CU56" s="107"/>
      <c r="CV56" s="107"/>
      <c r="CW56" s="107"/>
      <c r="CX56" s="293"/>
      <c r="CY56" s="291">
        <f>CY50/IS!CY24</f>
      </c>
      <c r="CZ56" s="107">
        <f>CZ50/IS!CZ24</f>
      </c>
      <c r="DA56" s="468">
        <f>DA50/IS!DA24</f>
      </c>
      <c r="DB56" s="107">
        <f>DB50/IS!DB24</f>
      </c>
      <c r="DC56" s="293">
        <f>DC50/IS!DC24</f>
      </c>
      <c r="DD56" s="291">
        <f>DD50/IS!DD24</f>
      </c>
      <c r="DE56" s="107">
        <f>DE50/IS!DE24</f>
      </c>
      <c r="DF56" s="468">
        <f>DF50/IS!DF24</f>
      </c>
      <c r="DG56" s="107">
        <f>DG50/IS!DG24</f>
      </c>
      <c r="DH56" s="293">
        <f>DH50/IS!DH24</f>
      </c>
      <c r="DI56" s="291">
        <f>DI50/IS!DI24</f>
      </c>
      <c r="DJ56" s="107">
        <f>DJ50/IS!DJ24</f>
      </c>
      <c r="DK56" s="468">
        <f>DK50/IS!DK24</f>
      </c>
      <c r="DL56" s="107">
        <f>DL50/IS!DL24</f>
      </c>
      <c r="DM56" s="293">
        <f>DM50/IS!DM24</f>
      </c>
      <c r="DN56" s="291">
        <f>DN50/IS!DN24</f>
      </c>
      <c r="DO56" s="107">
        <f>DO50/IS!DO24</f>
      </c>
      <c r="DP56" s="468">
        <f>DP50/IS!DP24</f>
      </c>
      <c r="DQ56" s="107">
        <f>DQ50/IS!DQ24</f>
      </c>
      <c r="DR56" s="293">
        <f>DR50/IS!DR24</f>
      </c>
      <c r="DS56" s="291">
        <f>DS50/IS!DS24</f>
      </c>
      <c r="DT56" s="107">
        <f>DT50/IS!DT24</f>
      </c>
      <c r="DU56" s="468">
        <f>DU50/IS!DU24</f>
      </c>
      <c r="DV56" s="107">
        <f>DV50/IS!DV24</f>
      </c>
      <c r="DW56" s="293">
        <f>DW50/IS!DW24</f>
      </c>
      <c r="DX56" s="291">
        <f>DX50/IS!DX24</f>
      </c>
      <c r="DY56" s="107">
        <f>DY50/IS!DY24</f>
      </c>
      <c r="DZ56" s="107">
        <f>DZ50/IS!DZ24</f>
      </c>
      <c r="EA56" s="107">
        <f>EA50/IS!EA24</f>
      </c>
      <c r="EB56" s="293">
        <f>EB50/IS!EB24</f>
      </c>
      <c r="EC56" s="291">
        <f>EC50/IS!EC24</f>
      </c>
      <c r="ED56" s="107">
        <f>ED50/IS!ED24</f>
      </c>
      <c r="EE56" s="107">
        <f>EE50/IS!EE24</f>
      </c>
      <c r="EF56" s="107">
        <f>EF50/IS!EF24</f>
      </c>
      <c r="EG56" s="293">
        <f>EG50/IS!EG24</f>
      </c>
      <c r="EH56" s="291">
        <f>EH50/IS!EH24</f>
      </c>
      <c r="EI56" s="107">
        <f>EI50/IS!EI24</f>
      </c>
      <c r="EJ56" s="107">
        <f>EJ50/IS!EJ24</f>
      </c>
      <c r="EK56" s="107">
        <f>EK50/IS!EK24</f>
      </c>
      <c r="EL56" s="293">
        <f>EL50/IS!EL24</f>
      </c>
      <c r="EM56" s="291">
        <f>EM50/IS!EM24</f>
      </c>
      <c r="EN56" s="107">
        <f>EN50/IS!EN24</f>
      </c>
      <c r="EO56" s="107">
        <f>EO50/IS!EO24</f>
      </c>
      <c r="EP56" s="107">
        <f>EP50/IS!EP24</f>
      </c>
      <c r="EQ56" s="292">
        <f>EQ50/IS!EQ24</f>
      </c>
      <c r="ER56" s="291">
        <f>ER50/IS!ER24</f>
      </c>
      <c r="ES56" s="107">
        <f>ES50/IS!ES24</f>
      </c>
      <c r="ET56" s="107">
        <f>ET50/IS!ET24</f>
      </c>
      <c r="EU56" s="107">
        <f>EU50/IS!EU24</f>
      </c>
      <c r="EV56" s="293">
        <f>EV50/IS!EV24</f>
      </c>
      <c r="EW56" s="291"/>
      <c r="EX56" s="107"/>
      <c r="EY56" s="107"/>
      <c r="EZ56" s="107"/>
      <c r="FA56" s="293"/>
      <c r="FB56" s="291"/>
      <c r="FC56" s="107"/>
      <c r="FD56" s="107"/>
      <c r="FE56" s="107"/>
      <c r="FF56" s="293"/>
      <c r="FG56" s="291"/>
      <c r="FH56" s="107"/>
      <c r="FI56" s="107"/>
      <c r="FJ56" s="107"/>
      <c r="FK56" s="293"/>
      <c r="FL56" s="291"/>
      <c r="FM56" s="107"/>
      <c r="FN56" s="107"/>
      <c r="FO56" s="107"/>
      <c r="FP56" s="293"/>
      <c r="FQ56" s="291"/>
      <c r="FR56" s="107"/>
      <c r="FS56" s="107"/>
      <c r="FT56" s="107"/>
      <c r="FU56" s="293"/>
      <c r="FV56" s="291"/>
      <c r="FW56" s="107"/>
      <c r="FX56" s="107"/>
      <c r="FY56" s="107"/>
      <c r="FZ56" s="293"/>
      <c r="GA56" s="291"/>
      <c r="GB56" s="107"/>
      <c r="GC56" s="107"/>
      <c r="GD56" s="107"/>
      <c r="GE56" s="293"/>
      <c r="GF56" s="291"/>
      <c r="GG56" s="107"/>
      <c r="GH56" s="107"/>
      <c r="GI56" s="107"/>
      <c r="GJ56" s="293"/>
    </row>
    <row r="57" spans="1:192" ht="12.75" hidden="1" customHeight="1" outlineLevel="1">
      <c r="B57" s="729"/>
      <c r="C57" s="294"/>
      <c r="D57" s="295"/>
      <c r="E57" s="295"/>
      <c r="F57" s="295"/>
      <c r="G57" s="296"/>
      <c r="H57" s="294"/>
      <c r="I57" s="295"/>
      <c r="J57" s="295"/>
      <c r="K57" s="295"/>
      <c r="L57" s="296"/>
      <c r="M57" s="294"/>
      <c r="N57" s="295"/>
      <c r="O57" s="295"/>
      <c r="P57" s="295"/>
      <c r="Q57" s="296"/>
      <c r="R57" s="294"/>
      <c r="S57" s="295"/>
      <c r="T57" s="295"/>
      <c r="U57" s="295"/>
      <c r="V57" s="296"/>
      <c r="W57" s="294"/>
      <c r="X57" s="295"/>
      <c r="Y57" s="295"/>
      <c r="Z57" s="295"/>
      <c r="AA57" s="296"/>
      <c r="AB57" s="294"/>
      <c r="AC57" s="295"/>
      <c r="AD57" s="295"/>
      <c r="AE57" s="295"/>
      <c r="AF57" s="296"/>
      <c r="AG57" s="294"/>
      <c r="AH57" s="295"/>
      <c r="AI57" s="295"/>
      <c r="AJ57" s="295"/>
      <c r="AK57" s="296"/>
      <c r="AL57" s="294"/>
      <c r="AM57" s="295"/>
      <c r="AN57" s="295"/>
      <c r="AO57" s="295"/>
      <c r="AP57" s="296"/>
      <c r="AQ57" s="294"/>
      <c r="AR57" s="295"/>
      <c r="AS57" s="295"/>
      <c r="AT57" s="295"/>
      <c r="AU57" s="296"/>
      <c r="AV57" s="294"/>
      <c r="AW57" s="295"/>
      <c r="AX57" s="295"/>
      <c r="AY57" s="295"/>
      <c r="AZ57" s="296"/>
      <c r="BA57" s="294"/>
      <c r="BB57" s="295"/>
      <c r="BC57" s="295"/>
      <c r="BD57" s="295"/>
      <c r="BE57" s="296"/>
      <c r="BF57" s="294"/>
      <c r="BG57" s="295"/>
      <c r="BH57" s="295"/>
      <c r="BI57" s="295"/>
      <c r="BJ57" s="296"/>
      <c r="BK57" s="294"/>
      <c r="BL57" s="295"/>
      <c r="BM57" s="295"/>
      <c r="BN57" s="295"/>
      <c r="BO57" s="296"/>
      <c r="BP57" s="294"/>
      <c r="BQ57" s="295"/>
      <c r="BR57" s="295"/>
      <c r="BS57" s="295"/>
      <c r="BT57" s="296"/>
      <c r="BU57" s="294"/>
      <c r="BV57" s="295"/>
      <c r="BW57" s="295"/>
      <c r="BX57" s="295"/>
      <c r="BY57" s="296"/>
      <c r="BZ57" s="294"/>
      <c r="CA57" s="295"/>
      <c r="CB57" s="295"/>
      <c r="CC57" s="295"/>
      <c r="CD57" s="296"/>
      <c r="CE57" s="294"/>
      <c r="CF57" s="295"/>
      <c r="CG57" s="295"/>
      <c r="CH57" s="295"/>
      <c r="CI57" s="296"/>
      <c r="CJ57" s="294"/>
      <c r="CK57" s="295"/>
      <c r="CL57" s="295"/>
      <c r="CM57" s="295"/>
      <c r="CN57" s="296"/>
      <c r="CO57" s="294"/>
      <c r="CP57" s="295"/>
      <c r="CQ57" s="295"/>
      <c r="CR57" s="295"/>
      <c r="CS57" s="296"/>
      <c r="CT57" s="294"/>
      <c r="CU57" s="295"/>
      <c r="CV57" s="295"/>
      <c r="CW57" s="295"/>
      <c r="CX57" s="296"/>
      <c r="CY57" s="294"/>
      <c r="CZ57" s="295"/>
      <c r="DA57" s="295"/>
      <c r="DB57" s="295"/>
      <c r="DC57" s="296"/>
      <c r="DD57" s="294"/>
      <c r="DE57" s="295"/>
      <c r="DF57" s="295"/>
      <c r="DG57" s="295"/>
      <c r="DH57" s="296"/>
      <c r="DI57" s="294"/>
      <c r="DJ57" s="295"/>
      <c r="DK57" s="295"/>
      <c r="DL57" s="295"/>
      <c r="DM57" s="296"/>
      <c r="DN57" s="294"/>
      <c r="DO57" s="295"/>
      <c r="DP57" s="295"/>
      <c r="DQ57" s="295"/>
      <c r="DR57" s="296"/>
      <c r="DS57" s="294"/>
      <c r="DT57" s="295"/>
      <c r="DU57" s="469"/>
      <c r="DV57" s="295"/>
      <c r="DW57" s="296"/>
      <c r="DX57" s="294"/>
      <c r="DY57" s="295"/>
      <c r="DZ57" s="295"/>
      <c r="EA57" s="295"/>
      <c r="EB57" s="296"/>
      <c r="EC57" s="294"/>
      <c r="ED57" s="295"/>
      <c r="EE57" s="295"/>
      <c r="EF57" s="295"/>
      <c r="EG57" s="296"/>
      <c r="EH57" s="294"/>
      <c r="EI57" s="295"/>
      <c r="EJ57" s="295"/>
      <c r="EK57" s="295"/>
      <c r="EL57" s="296"/>
      <c r="EM57" s="294"/>
      <c r="EN57" s="295"/>
      <c r="EO57" s="295"/>
      <c r="EP57" s="295"/>
      <c r="EQ57" s="296"/>
      <c r="ER57" s="294"/>
      <c r="ES57" s="295"/>
      <c r="ET57" s="295"/>
      <c r="EU57" s="295"/>
      <c r="EV57" s="296"/>
      <c r="EW57" s="294"/>
      <c r="EX57" s="295"/>
      <c r="EY57" s="295"/>
      <c r="EZ57" s="295"/>
      <c r="FA57" s="296"/>
      <c r="FB57" s="294"/>
      <c r="FC57" s="295"/>
      <c r="FD57" s="295"/>
      <c r="FE57" s="295"/>
      <c r="FF57" s="296"/>
      <c r="FG57" s="294"/>
      <c r="FH57" s="295"/>
      <c r="FI57" s="295"/>
      <c r="FJ57" s="295"/>
      <c r="FK57" s="296"/>
      <c r="FL57" s="294"/>
      <c r="FM57" s="295"/>
      <c r="FN57" s="295"/>
      <c r="FO57" s="295"/>
      <c r="FP57" s="296"/>
      <c r="FQ57" s="294"/>
      <c r="FR57" s="295"/>
      <c r="FS57" s="295"/>
      <c r="FT57" s="295"/>
      <c r="FU57" s="296"/>
      <c r="FV57" s="294"/>
      <c r="FW57" s="295"/>
      <c r="FX57" s="295"/>
      <c r="FY57" s="295"/>
      <c r="FZ57" s="296"/>
      <c r="GA57" s="294"/>
      <c r="GB57" s="295"/>
      <c r="GC57" s="295"/>
      <c r="GD57" s="295"/>
      <c r="GE57" s="296"/>
      <c r="GF57" s="294"/>
      <c r="GG57" s="295"/>
      <c r="GH57" s="295"/>
      <c r="GI57" s="295"/>
      <c r="GJ57" s="296"/>
    </row>
    <row r="58" spans="1:192" s="317" customFormat="1" ht="12.75" hidden="1" customHeight="1" outlineLevel="1">
      <c r="A58" s="1641"/>
      <c r="B58" s="730" t="s">
        <v>2005</v>
      </c>
      <c r="C58" s="315"/>
      <c r="D58" s="315"/>
      <c r="E58" s="315"/>
      <c r="F58" s="315"/>
      <c r="G58" s="313"/>
      <c r="H58" s="315"/>
      <c r="I58" s="315"/>
      <c r="J58" s="315"/>
      <c r="K58" s="315"/>
      <c r="L58" s="313"/>
      <c r="M58" s="315"/>
      <c r="N58" s="315"/>
      <c r="O58" s="315"/>
      <c r="P58" s="315"/>
      <c r="Q58" s="313"/>
      <c r="R58" s="315"/>
      <c r="S58" s="315"/>
      <c r="T58" s="315"/>
      <c r="U58" s="315"/>
      <c r="V58" s="313"/>
      <c r="W58" s="315"/>
      <c r="X58" s="315"/>
      <c r="Y58" s="315"/>
      <c r="Z58" s="315"/>
      <c r="AA58" s="313"/>
      <c r="AB58" s="315"/>
      <c r="AC58" s="315"/>
      <c r="AD58" s="315"/>
      <c r="AE58" s="315"/>
      <c r="AF58" s="313"/>
      <c r="AG58" s="315"/>
      <c r="AH58" s="315"/>
      <c r="AI58" s="315"/>
      <c r="AJ58" s="315"/>
      <c r="AK58" s="313"/>
      <c r="AL58" s="315"/>
      <c r="AM58" s="315"/>
      <c r="AN58" s="315"/>
      <c r="AO58" s="315"/>
      <c r="AP58" s="313"/>
      <c r="AQ58" s="315"/>
      <c r="AR58" s="315"/>
      <c r="AS58" s="315"/>
      <c r="AT58" s="315"/>
      <c r="AU58" s="313"/>
      <c r="AV58" s="315"/>
      <c r="AW58" s="315"/>
      <c r="AX58" s="315"/>
      <c r="AY58" s="315"/>
      <c r="AZ58" s="313"/>
      <c r="BA58" s="315"/>
      <c r="BB58" s="315"/>
      <c r="BC58" s="315"/>
      <c r="BD58" s="315"/>
      <c r="BE58" s="313"/>
      <c r="BF58" s="315"/>
      <c r="BG58" s="315"/>
      <c r="BH58" s="315"/>
      <c r="BI58" s="315"/>
      <c r="BJ58" s="313"/>
      <c r="BK58" s="315"/>
      <c r="BL58" s="315"/>
      <c r="BM58" s="315"/>
      <c r="BN58" s="315"/>
      <c r="BO58" s="313"/>
      <c r="BP58" s="315"/>
      <c r="BQ58" s="315"/>
      <c r="BR58" s="315"/>
      <c r="BS58" s="315"/>
      <c r="BT58" s="313"/>
      <c r="BU58" s="315"/>
      <c r="BV58" s="315"/>
      <c r="BW58" s="315"/>
      <c r="BX58" s="315"/>
      <c r="BY58" s="313"/>
      <c r="BZ58" s="315"/>
      <c r="CA58" s="315"/>
      <c r="CB58" s="315"/>
      <c r="CC58" s="315"/>
      <c r="CD58" s="313"/>
      <c r="CE58" s="315"/>
      <c r="CF58" s="315"/>
      <c r="CG58" s="315"/>
      <c r="CH58" s="315"/>
      <c r="CI58" s="313"/>
      <c r="CJ58" s="315"/>
      <c r="CK58" s="315"/>
      <c r="CL58" s="315"/>
      <c r="CM58" s="315"/>
      <c r="CN58" s="313"/>
      <c r="CO58" s="315"/>
      <c r="CP58" s="315"/>
      <c r="CQ58" s="315"/>
      <c r="CR58" s="315"/>
      <c r="CS58" s="313"/>
      <c r="CT58" s="315"/>
      <c r="CU58" s="315"/>
      <c r="CV58" s="315"/>
      <c r="CW58" s="315"/>
      <c r="CX58" s="313"/>
      <c r="CY58" s="312">
        <f>DD58/(1+DD59)</f>
      </c>
      <c r="CZ58" s="312">
        <f>DE58/(1+DE59)</f>
      </c>
      <c r="DA58" s="312">
        <f>DF58/(1+DF59)</f>
      </c>
      <c r="DB58" s="312">
        <f>DG58/(1+DG59)</f>
      </c>
      <c r="DC58" s="313">
        <f>SUM(CY58:DB58)</f>
      </c>
      <c r="DD58" s="312">
        <f>DI58/(1+DI59)</f>
      </c>
      <c r="DE58" s="312">
        <f>DJ58/(1+DJ59)</f>
      </c>
      <c r="DF58" s="312">
        <f>DK58/(1+DK59)</f>
      </c>
      <c r="DG58" s="312">
        <f>DL58/(1+DL59)</f>
      </c>
      <c r="DH58" s="313">
        <f>SUM(DD58:DG58)</f>
      </c>
      <c r="DI58" s="312">
        <f>DN58/(1+DN59)</f>
      </c>
      <c r="DJ58" s="312">
        <f>DO58/(1+DO59)</f>
      </c>
      <c r="DK58" s="312">
        <f>DP58/(1+DP59)</f>
      </c>
      <c r="DL58" s="312">
        <f>DQ58/(1+DQ59)</f>
      </c>
      <c r="DM58" s="313">
        <f>SUM(DI58:DL58)</f>
      </c>
      <c r="DN58" s="312">
        <f>DS58/(1+DS59)</f>
      </c>
      <c r="DO58" s="312">
        <f>DT58/(1+DT59)</f>
      </c>
      <c r="DP58" s="312">
        <f>DU58/(1+DU59)</f>
      </c>
      <c r="DQ58" s="312">
        <f>DV58/(1+DV59)</f>
      </c>
      <c r="DR58" s="313">
        <f>SUM(DN58:DQ58)</f>
      </c>
      <c r="DS58" s="312">
        <f>DX58/(1+DX59)</f>
      </c>
      <c r="DT58" s="312">
        <f>DY58/(1+DY59)</f>
      </c>
      <c r="DU58" s="312">
        <f>DZ58/(1+DZ59)</f>
      </c>
      <c r="DV58" s="312">
        <f>EA58/(1+EA59)</f>
      </c>
      <c r="DW58" s="313">
        <f>SUM(DS58:DV58)</f>
      </c>
      <c r="DX58" s="312">
        <f>EC58/(1+EC59)</f>
      </c>
      <c r="DY58" s="312">
        <f>ED58/(1+ED59)</f>
      </c>
      <c r="DZ58" s="312">
        <f>EE58/(1+EE59)</f>
      </c>
      <c r="EA58" s="312">
        <f>EF62/EF59</f>
      </c>
      <c r="EB58" s="313">
        <f>SUM(DX58:EA58)</f>
      </c>
      <c r="EC58" s="312">
        <f>EH58/(1+EH59)</f>
      </c>
      <c r="ED58" s="312">
        <f>EI58/(1+EI59)</f>
      </c>
      <c r="EE58" s="312">
        <f>EJ58/(1+EJ59)</f>
      </c>
      <c r="EF58" s="312">
        <f>EA58/(1+EF59)</f>
      </c>
      <c r="EG58" s="313">
        <f>SUM(EC58:EF58)</f>
      </c>
      <c r="EH58" s="312">
        <f>EM58/(1+EM59)</f>
      </c>
      <c r="EI58" s="312">
        <f>EN62/EN59</f>
      </c>
      <c r="EJ58" s="312">
        <f>EO62/EO59</f>
      </c>
      <c r="EK58" s="1159">
        <f>EF58/(1+EK59)</f>
      </c>
      <c r="EL58" s="313">
        <f>SUM(EH58:EK58)</f>
      </c>
      <c r="EM58" s="312">
        <f>ER62/ER59</f>
      </c>
      <c r="EN58" s="312">
        <f>EI58*(1+EN59)</f>
      </c>
      <c r="EO58" s="312">
        <f>EJ58*(1+EO59)</f>
      </c>
      <c r="EP58" s="312">
        <f>EK58*(1+EP59)</f>
      </c>
      <c r="EQ58" s="313">
        <f>SUM(EM58:EP58)</f>
      </c>
      <c r="ER58" s="312">
        <f>EM58*(1+ER59)</f>
      </c>
      <c r="ES58" s="312">
        <f>EN58*(1+ES59)</f>
      </c>
      <c r="ET58" s="312">
        <f>EO58*(1+ET59)</f>
      </c>
      <c r="EU58" s="312">
        <f>EP58*(1+EU59)</f>
      </c>
      <c r="EV58" s="313">
        <f>SUM(ER58:EU58)</f>
      </c>
      <c r="EW58" s="312"/>
      <c r="EX58" s="312"/>
      <c r="EY58" s="312"/>
      <c r="EZ58" s="312"/>
      <c r="FA58" s="313"/>
      <c r="FB58" s="312"/>
      <c r="FC58" s="312"/>
      <c r="FD58" s="312"/>
      <c r="FE58" s="312"/>
      <c r="FF58" s="313"/>
      <c r="FG58" s="312"/>
      <c r="FH58" s="312"/>
      <c r="FI58" s="312"/>
      <c r="FJ58" s="312"/>
      <c r="FK58" s="313"/>
      <c r="FL58" s="312"/>
      <c r="FM58" s="312"/>
      <c r="FN58" s="312"/>
      <c r="FO58" s="312"/>
      <c r="FP58" s="313"/>
      <c r="FQ58" s="312"/>
      <c r="FR58" s="312"/>
      <c r="FS58" s="312"/>
      <c r="FT58" s="312"/>
      <c r="FU58" s="313"/>
      <c r="FV58" s="312"/>
      <c r="FW58" s="312"/>
      <c r="FX58" s="312"/>
      <c r="FY58" s="312"/>
      <c r="FZ58" s="313"/>
      <c r="GA58" s="312"/>
      <c r="GB58" s="312"/>
      <c r="GC58" s="312"/>
      <c r="GD58" s="312"/>
      <c r="GE58" s="313"/>
      <c r="GF58" s="312"/>
      <c r="GG58" s="312"/>
      <c r="GH58" s="312"/>
      <c r="GI58" s="312"/>
      <c r="GJ58" s="313"/>
    </row>
    <row r="59" spans="1:192" ht="12.75" hidden="1" customHeight="1" outlineLevel="1">
      <c r="B59" s="727" t="s">
        <v>34</v>
      </c>
      <c r="C59" s="291"/>
      <c r="D59" s="107"/>
      <c r="E59" s="107"/>
      <c r="F59" s="107"/>
      <c r="G59" s="292"/>
      <c r="H59" s="291"/>
      <c r="I59" s="107"/>
      <c r="J59" s="107"/>
      <c r="K59" s="107"/>
      <c r="L59" s="292"/>
      <c r="M59" s="291"/>
      <c r="N59" s="107"/>
      <c r="O59" s="107"/>
      <c r="P59" s="107"/>
      <c r="Q59" s="292"/>
      <c r="R59" s="291"/>
      <c r="S59" s="107"/>
      <c r="T59" s="107"/>
      <c r="U59" s="107"/>
      <c r="V59" s="292"/>
      <c r="W59" s="291"/>
      <c r="X59" s="107"/>
      <c r="Y59" s="107"/>
      <c r="Z59" s="107"/>
      <c r="AA59" s="292"/>
      <c r="AB59" s="291"/>
      <c r="AC59" s="107"/>
      <c r="AD59" s="107"/>
      <c r="AE59" s="107"/>
      <c r="AF59" s="292"/>
      <c r="AG59" s="291"/>
      <c r="AH59" s="107"/>
      <c r="AI59" s="107"/>
      <c r="AJ59" s="107"/>
      <c r="AK59" s="292"/>
      <c r="AL59" s="291"/>
      <c r="AM59" s="107"/>
      <c r="AN59" s="107"/>
      <c r="AO59" s="107"/>
      <c r="AP59" s="292"/>
      <c r="AQ59" s="291"/>
      <c r="AR59" s="107"/>
      <c r="AS59" s="107"/>
      <c r="AT59" s="107"/>
      <c r="AU59" s="292"/>
      <c r="AV59" s="291"/>
      <c r="AW59" s="107"/>
      <c r="AX59" s="107"/>
      <c r="AY59" s="107"/>
      <c r="AZ59" s="292"/>
      <c r="BA59" s="291"/>
      <c r="BB59" s="107"/>
      <c r="BC59" s="107"/>
      <c r="BD59" s="107"/>
      <c r="BE59" s="292"/>
      <c r="BF59" s="291"/>
      <c r="BG59" s="107"/>
      <c r="BH59" s="107"/>
      <c r="BI59" s="107"/>
      <c r="BJ59" s="292"/>
      <c r="BK59" s="291"/>
      <c r="BL59" s="107"/>
      <c r="BM59" s="107"/>
      <c r="BN59" s="107"/>
      <c r="BO59" s="292"/>
      <c r="BP59" s="291"/>
      <c r="BQ59" s="107"/>
      <c r="BR59" s="107"/>
      <c r="BS59" s="107"/>
      <c r="BT59" s="292"/>
      <c r="BU59" s="291"/>
      <c r="BV59" s="107"/>
      <c r="BW59" s="107"/>
      <c r="BX59" s="107"/>
      <c r="BY59" s="292"/>
      <c r="BZ59" s="291"/>
      <c r="CA59" s="107"/>
      <c r="CB59" s="107"/>
      <c r="CC59" s="107"/>
      <c r="CD59" s="292"/>
      <c r="CE59" s="291"/>
      <c r="CF59" s="107"/>
      <c r="CG59" s="107"/>
      <c r="CH59" s="107"/>
      <c r="CI59" s="292"/>
      <c r="CJ59" s="291"/>
      <c r="CK59" s="107"/>
      <c r="CL59" s="107"/>
      <c r="CM59" s="107"/>
      <c r="CN59" s="292"/>
      <c r="CO59" s="291"/>
      <c r="CP59" s="107"/>
      <c r="CQ59" s="107"/>
      <c r="CR59" s="107"/>
      <c r="CS59" s="292"/>
      <c r="CT59" s="291"/>
      <c r="CU59" s="107"/>
      <c r="CV59" s="107"/>
      <c r="CW59" s="107"/>
      <c r="CX59" s="292"/>
      <c r="CY59" s="412"/>
      <c r="CZ59" s="114"/>
      <c r="DA59" s="114"/>
      <c r="DB59" s="114"/>
      <c r="DC59" s="292"/>
      <c r="DD59" s="412">
        <v>-0.1</v>
      </c>
      <c r="DE59" s="114">
        <v>-0.01</v>
      </c>
      <c r="DF59" s="114">
        <v>0.02</v>
      </c>
      <c r="DG59" s="114">
        <v>-0.03</v>
      </c>
      <c r="DH59" s="292">
        <f>DH58/DC58-1</f>
      </c>
      <c r="DI59" s="412">
        <v>-0.01</v>
      </c>
      <c r="DJ59" s="114">
        <v>0.03</v>
      </c>
      <c r="DK59" s="114">
        <v>0</v>
      </c>
      <c r="DL59" s="114">
        <v>0.09</v>
      </c>
      <c r="DM59" s="292">
        <f>DM58/DH58-1</f>
      </c>
      <c r="DN59" s="412">
        <v>0.1</v>
      </c>
      <c r="DO59" s="114">
        <v>0</v>
      </c>
      <c r="DP59" s="114">
        <v>0.13</v>
      </c>
      <c r="DQ59" s="114">
        <v>0.21</v>
      </c>
      <c r="DR59" s="292">
        <f>DR58/DM58-1</f>
      </c>
      <c r="DS59" s="412">
        <v>0.1</v>
      </c>
      <c r="DT59" s="114">
        <v>0.06</v>
      </c>
      <c r="DU59" s="439">
        <v>0.13</v>
      </c>
      <c r="DV59" s="114">
        <v>0.08</v>
      </c>
      <c r="DW59" s="292">
        <f>DW58/DR58-1</f>
      </c>
      <c r="DX59" s="412">
        <v>0.12</v>
      </c>
      <c r="DY59" s="114">
        <v>0.18</v>
      </c>
      <c r="DZ59" s="114">
        <v>0.06</v>
      </c>
      <c r="EA59" s="114">
        <v>0.12</v>
      </c>
      <c r="EB59" s="292">
        <f>EB58/DW58-1</f>
      </c>
      <c r="EC59" s="412">
        <v>0.08</v>
      </c>
      <c r="ED59" s="114">
        <v>0.11</v>
      </c>
      <c r="EE59" s="114">
        <v>0.14000000000000001</v>
      </c>
      <c r="EF59" s="114">
        <v>0.08</v>
      </c>
      <c r="EG59" s="292">
        <f>EG58/EB58-1</f>
      </c>
      <c r="EH59" s="412">
        <v>0.1</v>
      </c>
      <c r="EI59" s="114">
        <v>0.2</v>
      </c>
      <c r="EJ59" s="114">
        <v>0.1</v>
      </c>
      <c r="EK59" s="439">
        <v>0</v>
      </c>
      <c r="EL59" s="292">
        <f>EL58/EG58-1</f>
      </c>
      <c r="EM59" s="412">
        <v>-0.09</v>
      </c>
      <c r="EN59" s="114">
        <v>-0.28999999999999998</v>
      </c>
      <c r="EO59" s="412">
        <v>-0.09</v>
      </c>
      <c r="EP59" s="412">
        <v>-0.02</v>
      </c>
      <c r="EQ59" s="292">
        <f>EQ58/EL58-1</f>
      </c>
      <c r="ER59" s="412">
        <v>0.13</v>
      </c>
      <c r="ES59" s="114">
        <v>0.34</v>
      </c>
      <c r="ET59" s="439">
        <v>0.27</v>
      </c>
      <c r="EU59" s="439">
        <v>0.21</v>
      </c>
      <c r="EV59" s="292">
        <f t="shared" ref="EV59" si="49">EV58/EQ58-1</f>
      </c>
      <c r="EW59" s="107"/>
      <c r="EX59" s="107"/>
      <c r="EY59" s="107"/>
      <c r="EZ59" s="107"/>
      <c r="FA59" s="292"/>
      <c r="FB59" s="107"/>
      <c r="FC59" s="107"/>
      <c r="FD59" s="107"/>
      <c r="FE59" s="107"/>
      <c r="FF59" s="292"/>
      <c r="FG59" s="107"/>
      <c r="FH59" s="107"/>
      <c r="FI59" s="107"/>
      <c r="FJ59" s="107"/>
      <c r="FK59" s="292"/>
      <c r="FL59" s="107"/>
      <c r="FM59" s="107"/>
      <c r="FN59" s="107"/>
      <c r="FO59" s="107"/>
      <c r="FP59" s="292"/>
      <c r="FQ59" s="107"/>
      <c r="FR59" s="107"/>
      <c r="FS59" s="107"/>
      <c r="FT59" s="107"/>
      <c r="FU59" s="292"/>
      <c r="FV59" s="291"/>
      <c r="FW59" s="107"/>
      <c r="FX59" s="107"/>
      <c r="FY59" s="107"/>
      <c r="FZ59" s="292"/>
      <c r="GA59" s="291"/>
      <c r="GB59" s="107"/>
      <c r="GC59" s="107"/>
      <c r="GD59" s="107"/>
      <c r="GE59" s="292"/>
      <c r="GF59" s="291"/>
      <c r="GG59" s="107"/>
      <c r="GH59" s="107"/>
      <c r="GI59" s="107"/>
      <c r="GJ59" s="292"/>
    </row>
    <row r="60" spans="1:192" ht="12.75" hidden="1" customHeight="1" outlineLevel="1">
      <c r="B60" s="727" t="s">
        <v>197</v>
      </c>
      <c r="C60" s="291"/>
      <c r="D60" s="107"/>
      <c r="E60" s="107"/>
      <c r="F60" s="107"/>
      <c r="G60" s="292"/>
      <c r="H60" s="291"/>
      <c r="I60" s="107"/>
      <c r="J60" s="107"/>
      <c r="K60" s="107"/>
      <c r="L60" s="292"/>
      <c r="M60" s="291"/>
      <c r="N60" s="107"/>
      <c r="O60" s="107"/>
      <c r="P60" s="107"/>
      <c r="Q60" s="292"/>
      <c r="R60" s="291"/>
      <c r="S60" s="107"/>
      <c r="T60" s="107"/>
      <c r="U60" s="107"/>
      <c r="V60" s="292"/>
      <c r="W60" s="291"/>
      <c r="X60" s="107"/>
      <c r="Y60" s="107"/>
      <c r="Z60" s="107"/>
      <c r="AA60" s="292"/>
      <c r="AB60" s="291"/>
      <c r="AC60" s="107"/>
      <c r="AD60" s="107"/>
      <c r="AE60" s="107"/>
      <c r="AF60" s="292"/>
      <c r="AG60" s="291"/>
      <c r="AH60" s="107"/>
      <c r="AI60" s="107"/>
      <c r="AJ60" s="107"/>
      <c r="AK60" s="292"/>
      <c r="AL60" s="291"/>
      <c r="AM60" s="107"/>
      <c r="AN60" s="107"/>
      <c r="AO60" s="107"/>
      <c r="AP60" s="292"/>
      <c r="AQ60" s="291"/>
      <c r="AR60" s="107"/>
      <c r="AS60" s="107"/>
      <c r="AT60" s="107"/>
      <c r="AU60" s="292"/>
      <c r="AV60" s="291"/>
      <c r="AW60" s="107"/>
      <c r="AX60" s="107"/>
      <c r="AY60" s="107"/>
      <c r="AZ60" s="292"/>
      <c r="BA60" s="291"/>
      <c r="BB60" s="107"/>
      <c r="BC60" s="107"/>
      <c r="BD60" s="107"/>
      <c r="BE60" s="292"/>
      <c r="BF60" s="291"/>
      <c r="BG60" s="107"/>
      <c r="BH60" s="107"/>
      <c r="BI60" s="107"/>
      <c r="BJ60" s="292"/>
      <c r="BK60" s="291"/>
      <c r="BL60" s="107"/>
      <c r="BM60" s="107"/>
      <c r="BN60" s="107"/>
      <c r="BO60" s="292"/>
      <c r="BP60" s="291"/>
      <c r="BQ60" s="107"/>
      <c r="BR60" s="107"/>
      <c r="BS60" s="107"/>
      <c r="BT60" s="292"/>
      <c r="BU60" s="291"/>
      <c r="BV60" s="107"/>
      <c r="BW60" s="107"/>
      <c r="BX60" s="107"/>
      <c r="BY60" s="292"/>
      <c r="BZ60" s="291"/>
      <c r="CA60" s="107"/>
      <c r="CB60" s="107"/>
      <c r="CC60" s="107"/>
      <c r="CD60" s="292"/>
      <c r="CE60" s="291"/>
      <c r="CF60" s="107"/>
      <c r="CG60" s="107"/>
      <c r="CH60" s="107"/>
      <c r="CI60" s="292"/>
      <c r="CJ60" s="291"/>
      <c r="CK60" s="107"/>
      <c r="CL60" s="107"/>
      <c r="CM60" s="107"/>
      <c r="CN60" s="292"/>
      <c r="CO60" s="291"/>
      <c r="CP60" s="107"/>
      <c r="CQ60" s="107"/>
      <c r="CR60" s="107"/>
      <c r="CS60" s="292"/>
      <c r="CT60" s="291"/>
      <c r="CU60" s="107"/>
      <c r="CV60" s="107"/>
      <c r="CW60" s="107"/>
      <c r="CX60" s="292"/>
      <c r="CY60" s="412"/>
      <c r="CZ60" s="114"/>
      <c r="DA60" s="114"/>
      <c r="DB60" s="114"/>
      <c r="DC60" s="292"/>
      <c r="DD60" s="412">
        <v>-0.04</v>
      </c>
      <c r="DE60" s="114">
        <v>0.05</v>
      </c>
      <c r="DF60" s="114">
        <v>0.06</v>
      </c>
      <c r="DG60" s="114">
        <v>0</v>
      </c>
      <c r="DH60" s="292"/>
      <c r="DI60" s="412">
        <v>0.01</v>
      </c>
      <c r="DJ60" s="114">
        <v>0.05</v>
      </c>
      <c r="DK60" s="114">
        <v>0.02</v>
      </c>
      <c r="DL60" s="114">
        <v>0.1</v>
      </c>
      <c r="DM60" s="292"/>
      <c r="DN60" s="412">
        <v>0.1</v>
      </c>
      <c r="DO60" s="114">
        <v>0</v>
      </c>
      <c r="DP60" s="114">
        <v>0.11</v>
      </c>
      <c r="DQ60" s="114">
        <v>0.18</v>
      </c>
      <c r="DR60" s="292"/>
      <c r="DS60" s="412">
        <v>0.1</v>
      </c>
      <c r="DT60" s="114">
        <v>7.0000000000000007E-2</v>
      </c>
      <c r="DU60" s="439">
        <v>0.15</v>
      </c>
      <c r="DV60" s="114">
        <v>0.1</v>
      </c>
      <c r="DW60" s="292"/>
      <c r="DX60" s="412">
        <v>0.13</v>
      </c>
      <c r="DY60" s="114">
        <v>0.2</v>
      </c>
      <c r="DZ60" s="114">
        <v>0.08</v>
      </c>
      <c r="EA60" s="114">
        <v>0.15</v>
      </c>
      <c r="EB60" s="292"/>
      <c r="EC60" s="412">
        <v>0.08</v>
      </c>
      <c r="ED60" s="114">
        <v>0.09</v>
      </c>
      <c r="EE60" s="114">
        <v>0.11</v>
      </c>
      <c r="EF60" s="114">
        <v>0.04</v>
      </c>
      <c r="EG60" s="292"/>
      <c r="EH60" s="412">
        <v>0.08</v>
      </c>
      <c r="EI60" s="114">
        <v>0.2</v>
      </c>
      <c r="EJ60" s="114">
        <v>0.13</v>
      </c>
      <c r="EK60" s="439">
        <v>0.04</v>
      </c>
      <c r="EL60" s="292"/>
      <c r="EM60" s="412">
        <v>-0.04</v>
      </c>
      <c r="EN60" s="114">
        <v>-0.24</v>
      </c>
      <c r="EO60" s="412">
        <v>-0.05</v>
      </c>
      <c r="EP60" s="412">
        <v>0</v>
      </c>
      <c r="EQ60" s="292"/>
      <c r="ER60" s="412">
        <v>0.12</v>
      </c>
      <c r="ES60" s="114">
        <v>0.32</v>
      </c>
      <c r="ET60" s="439">
        <v>0.26</v>
      </c>
      <c r="EU60" s="439">
        <v>0.21</v>
      </c>
      <c r="EV60" s="292"/>
      <c r="EW60" s="291"/>
      <c r="EX60" s="107"/>
      <c r="EY60" s="107"/>
      <c r="EZ60" s="107"/>
      <c r="FA60" s="292"/>
      <c r="FB60" s="291"/>
      <c r="FC60" s="107"/>
      <c r="FD60" s="107"/>
      <c r="FE60" s="107"/>
      <c r="FF60" s="292"/>
      <c r="FG60" s="291"/>
      <c r="FH60" s="107"/>
      <c r="FI60" s="107"/>
      <c r="FJ60" s="107"/>
      <c r="FK60" s="292"/>
      <c r="FL60" s="291"/>
      <c r="FM60" s="107"/>
      <c r="FN60" s="107"/>
      <c r="FO60" s="107"/>
      <c r="FP60" s="292"/>
      <c r="FQ60" s="291"/>
      <c r="FR60" s="107"/>
      <c r="FS60" s="107"/>
      <c r="FT60" s="107"/>
      <c r="FU60" s="292"/>
      <c r="FV60" s="291"/>
      <c r="FW60" s="107"/>
      <c r="FX60" s="107"/>
      <c r="FY60" s="107"/>
      <c r="FZ60" s="292"/>
      <c r="GA60" s="291"/>
      <c r="GB60" s="107"/>
      <c r="GC60" s="107"/>
      <c r="GD60" s="107"/>
      <c r="GE60" s="292"/>
      <c r="GF60" s="291"/>
      <c r="GG60" s="107"/>
      <c r="GH60" s="107"/>
      <c r="GI60" s="107"/>
      <c r="GJ60" s="292"/>
    </row>
    <row r="61" spans="1:192" ht="12.75" hidden="1" customHeight="1" outlineLevel="1">
      <c r="B61" s="727" t="s">
        <v>36</v>
      </c>
      <c r="C61" s="291"/>
      <c r="D61" s="107"/>
      <c r="E61" s="107"/>
      <c r="F61" s="107"/>
      <c r="G61" s="292"/>
      <c r="H61" s="291"/>
      <c r="I61" s="107"/>
      <c r="J61" s="107"/>
      <c r="K61" s="107"/>
      <c r="L61" s="292"/>
      <c r="M61" s="291"/>
      <c r="N61" s="107"/>
      <c r="O61" s="107"/>
      <c r="P61" s="107"/>
      <c r="Q61" s="292"/>
      <c r="R61" s="291"/>
      <c r="S61" s="107"/>
      <c r="T61" s="107"/>
      <c r="U61" s="107"/>
      <c r="V61" s="292"/>
      <c r="W61" s="291"/>
      <c r="X61" s="107"/>
      <c r="Y61" s="107"/>
      <c r="Z61" s="107"/>
      <c r="AA61" s="292"/>
      <c r="AB61" s="291"/>
      <c r="AC61" s="107"/>
      <c r="AD61" s="107"/>
      <c r="AE61" s="107"/>
      <c r="AF61" s="292"/>
      <c r="AG61" s="291"/>
      <c r="AH61" s="107"/>
      <c r="AI61" s="107"/>
      <c r="AJ61" s="107"/>
      <c r="AK61" s="292"/>
      <c r="AL61" s="291"/>
      <c r="AM61" s="107"/>
      <c r="AN61" s="107"/>
      <c r="AO61" s="107"/>
      <c r="AP61" s="292"/>
      <c r="AQ61" s="291"/>
      <c r="AR61" s="107"/>
      <c r="AS61" s="107"/>
      <c r="AT61" s="107"/>
      <c r="AU61" s="292"/>
      <c r="AV61" s="291"/>
      <c r="AW61" s="107"/>
      <c r="AX61" s="107"/>
      <c r="AY61" s="107"/>
      <c r="AZ61" s="292"/>
      <c r="BA61" s="291"/>
      <c r="BB61" s="107"/>
      <c r="BC61" s="107"/>
      <c r="BD61" s="107"/>
      <c r="BE61" s="292"/>
      <c r="BF61" s="291"/>
      <c r="BG61" s="107"/>
      <c r="BH61" s="107"/>
      <c r="BI61" s="107"/>
      <c r="BJ61" s="292"/>
      <c r="BK61" s="291"/>
      <c r="BL61" s="107"/>
      <c r="BM61" s="107"/>
      <c r="BN61" s="107"/>
      <c r="BO61" s="292"/>
      <c r="BP61" s="291"/>
      <c r="BQ61" s="107"/>
      <c r="BR61" s="107"/>
      <c r="BS61" s="107"/>
      <c r="BT61" s="292"/>
      <c r="BU61" s="291"/>
      <c r="BV61" s="107"/>
      <c r="BW61" s="107"/>
      <c r="BX61" s="107"/>
      <c r="BY61" s="292"/>
      <c r="BZ61" s="291"/>
      <c r="CA61" s="107"/>
      <c r="CB61" s="107"/>
      <c r="CC61" s="107"/>
      <c r="CD61" s="292"/>
      <c r="CE61" s="291"/>
      <c r="CF61" s="107"/>
      <c r="CG61" s="107"/>
      <c r="CH61" s="107"/>
      <c r="CI61" s="292"/>
      <c r="CJ61" s="291"/>
      <c r="CK61" s="107"/>
      <c r="CL61" s="107"/>
      <c r="CM61" s="107"/>
      <c r="CN61" s="292"/>
      <c r="CO61" s="291"/>
      <c r="CP61" s="107"/>
      <c r="CQ61" s="107"/>
      <c r="CR61" s="107"/>
      <c r="CS61" s="292"/>
      <c r="CT61" s="291"/>
      <c r="CU61" s="107"/>
      <c r="CV61" s="107"/>
      <c r="CW61" s="107"/>
      <c r="CX61" s="292"/>
      <c r="CY61" s="291"/>
      <c r="CZ61" s="107">
        <f>CZ58/CY58-1</f>
      </c>
      <c r="DA61" s="107">
        <f>DA58/CZ58-1</f>
      </c>
      <c r="DB61" s="107">
        <f>DB58/DA58-1</f>
      </c>
      <c r="DC61" s="292"/>
      <c r="DD61" s="291">
        <f>DD58/DB58-1</f>
      </c>
      <c r="DE61" s="107">
        <f>DE58/DD58-1</f>
      </c>
      <c r="DF61" s="107">
        <f>DF58/DE58-1</f>
      </c>
      <c r="DG61" s="107">
        <f>DG58/DF58-1</f>
      </c>
      <c r="DH61" s="292"/>
      <c r="DI61" s="291">
        <f>DI58/DG58-1</f>
      </c>
      <c r="DJ61" s="107">
        <f>DJ58/DI58-1</f>
      </c>
      <c r="DK61" s="107">
        <f>DK58/DJ58-1</f>
      </c>
      <c r="DL61" s="107">
        <f>DL58/DK58-1</f>
      </c>
      <c r="DM61" s="292"/>
      <c r="DN61" s="291">
        <f>DN58/DL58-1</f>
      </c>
      <c r="DO61" s="107">
        <f>DO58/DN58-1</f>
      </c>
      <c r="DP61" s="107">
        <f>DP58/DO58-1</f>
      </c>
      <c r="DQ61" s="107">
        <f>DQ58/DP58-1</f>
      </c>
      <c r="DR61" s="292"/>
      <c r="DS61" s="291">
        <f>DS58/DQ58-1</f>
      </c>
      <c r="DT61" s="107">
        <f>DT58/DS58-1</f>
      </c>
      <c r="DU61" s="107">
        <f>DU58/DT58-1</f>
      </c>
      <c r="DV61" s="107">
        <f>DV58/DU58-1</f>
      </c>
      <c r="DW61" s="292"/>
      <c r="DX61" s="291">
        <f>DX58/DV58-1</f>
      </c>
      <c r="DY61" s="107">
        <f>DY58/DX58-1</f>
      </c>
      <c r="DZ61" s="107">
        <f>DZ58/DY58-1</f>
      </c>
      <c r="EA61" s="107">
        <f>EA58/DZ58-1</f>
      </c>
      <c r="EB61" s="292"/>
      <c r="EC61" s="291">
        <f>EC58/EA58-1</f>
      </c>
      <c r="ED61" s="107">
        <f>ED58/EC58-1</f>
      </c>
      <c r="EE61" s="107">
        <f>EE58/ED58-1</f>
      </c>
      <c r="EF61" s="107">
        <f>EF58/EE58-1</f>
      </c>
      <c r="EG61" s="292"/>
      <c r="EH61" s="291">
        <f>EH58/EF58-1</f>
      </c>
      <c r="EI61" s="107">
        <f>EI58/EH58-1</f>
      </c>
      <c r="EJ61" s="107">
        <f>EJ58/EI58-1</f>
      </c>
      <c r="EK61" s="468">
        <f>EK58/EJ58-1</f>
      </c>
      <c r="EL61" s="292"/>
      <c r="EM61" s="291">
        <f>EM58/EK58-1</f>
      </c>
      <c r="EN61" s="107">
        <f>EN58/EM58-1</f>
      </c>
      <c r="EO61" s="107">
        <f>EO58/EN58-1</f>
      </c>
      <c r="EP61" s="107">
        <f>EP58/EO58-1</f>
      </c>
      <c r="EQ61" s="292"/>
      <c r="ER61" s="291">
        <f>ER58/EP58-1</f>
      </c>
      <c r="ES61" s="107">
        <f>ES58/ER58-1</f>
      </c>
      <c r="ET61" s="107">
        <f>ET58/ES58-1</f>
      </c>
      <c r="EU61" s="468">
        <f>EU58/ET58-1</f>
      </c>
      <c r="EV61" s="292"/>
      <c r="EW61" s="291"/>
      <c r="EX61" s="107"/>
      <c r="EY61" s="107"/>
      <c r="EZ61" s="107"/>
      <c r="FA61" s="292"/>
      <c r="FB61" s="291"/>
      <c r="FC61" s="107"/>
      <c r="FD61" s="107"/>
      <c r="FE61" s="107"/>
      <c r="FF61" s="292"/>
      <c r="FG61" s="291"/>
      <c r="FH61" s="107"/>
      <c r="FI61" s="107"/>
      <c r="FJ61" s="107"/>
      <c r="FK61" s="292"/>
      <c r="FL61" s="291"/>
      <c r="FM61" s="107"/>
      <c r="FN61" s="107"/>
      <c r="FO61" s="107"/>
      <c r="FP61" s="292"/>
      <c r="FQ61" s="291"/>
      <c r="FR61" s="107"/>
      <c r="FS61" s="107"/>
      <c r="FT61" s="107"/>
      <c r="FU61" s="292"/>
      <c r="FV61" s="291"/>
      <c r="FW61" s="107"/>
      <c r="FX61" s="107"/>
      <c r="FY61" s="107"/>
      <c r="FZ61" s="292"/>
      <c r="GA61" s="291"/>
      <c r="GB61" s="107"/>
      <c r="GC61" s="107"/>
      <c r="GD61" s="107"/>
      <c r="GE61" s="292"/>
      <c r="GF61" s="291"/>
      <c r="GG61" s="107"/>
      <c r="GH61" s="107"/>
      <c r="GI61" s="107"/>
      <c r="GJ61" s="292"/>
    </row>
    <row r="62" spans="1:192" ht="12.75" hidden="1" customHeight="1" outlineLevel="1">
      <c r="B62" s="727" t="s">
        <v>265</v>
      </c>
      <c r="C62" s="291"/>
      <c r="D62" s="107"/>
      <c r="E62" s="107"/>
      <c r="F62" s="107"/>
      <c r="G62" s="292"/>
      <c r="H62" s="291"/>
      <c r="I62" s="107"/>
      <c r="J62" s="107"/>
      <c r="K62" s="107"/>
      <c r="L62" s="292"/>
      <c r="M62" s="291"/>
      <c r="N62" s="107"/>
      <c r="O62" s="107"/>
      <c r="P62" s="107"/>
      <c r="Q62" s="292"/>
      <c r="R62" s="291"/>
      <c r="S62" s="107"/>
      <c r="T62" s="107"/>
      <c r="U62" s="107"/>
      <c r="V62" s="292"/>
      <c r="W62" s="291"/>
      <c r="X62" s="107"/>
      <c r="Y62" s="107"/>
      <c r="Z62" s="107"/>
      <c r="AA62" s="292"/>
      <c r="AB62" s="291"/>
      <c r="AC62" s="107"/>
      <c r="AD62" s="107"/>
      <c r="AE62" s="107"/>
      <c r="AF62" s="292"/>
      <c r="AG62" s="291"/>
      <c r="AH62" s="107"/>
      <c r="AI62" s="107"/>
      <c r="AJ62" s="107"/>
      <c r="AK62" s="292"/>
      <c r="AL62" s="291"/>
      <c r="AM62" s="107"/>
      <c r="AN62" s="107"/>
      <c r="AO62" s="107"/>
      <c r="AP62" s="292"/>
      <c r="AQ62" s="291"/>
      <c r="AR62" s="107"/>
      <c r="AS62" s="107"/>
      <c r="AT62" s="107"/>
      <c r="AU62" s="292"/>
      <c r="AV62" s="291"/>
      <c r="AW62" s="107"/>
      <c r="AX62" s="107"/>
      <c r="AY62" s="107"/>
      <c r="AZ62" s="292"/>
      <c r="BA62" s="291"/>
      <c r="BB62" s="107"/>
      <c r="BC62" s="107"/>
      <c r="BD62" s="107"/>
      <c r="BE62" s="292"/>
      <c r="BF62" s="291"/>
      <c r="BG62" s="107"/>
      <c r="BH62" s="107"/>
      <c r="BI62" s="107"/>
      <c r="BJ62" s="292"/>
      <c r="BK62" s="291"/>
      <c r="BL62" s="107"/>
      <c r="BM62" s="107"/>
      <c r="BN62" s="107"/>
      <c r="BO62" s="292"/>
      <c r="BP62" s="291"/>
      <c r="BQ62" s="107"/>
      <c r="BR62" s="107"/>
      <c r="BS62" s="107"/>
      <c r="BT62" s="292"/>
      <c r="BU62" s="291"/>
      <c r="BV62" s="107"/>
      <c r="BW62" s="107"/>
      <c r="BX62" s="107"/>
      <c r="BY62" s="292"/>
      <c r="BZ62" s="291"/>
      <c r="CA62" s="107"/>
      <c r="CB62" s="107"/>
      <c r="CC62" s="107"/>
      <c r="CD62" s="292"/>
      <c r="CE62" s="291"/>
      <c r="CF62" s="107"/>
      <c r="CG62" s="107"/>
      <c r="CH62" s="107"/>
      <c r="CI62" s="292"/>
      <c r="CJ62" s="291"/>
      <c r="CK62" s="107"/>
      <c r="CL62" s="107"/>
      <c r="CM62" s="107"/>
      <c r="CN62" s="292"/>
      <c r="CO62" s="291"/>
      <c r="CP62" s="107"/>
      <c r="CQ62" s="107"/>
      <c r="CR62" s="107"/>
      <c r="CS62" s="292"/>
      <c r="CT62" s="291"/>
      <c r="CU62" s="107"/>
      <c r="CV62" s="107"/>
      <c r="CW62" s="107"/>
      <c r="CX62" s="292"/>
      <c r="CY62" s="291"/>
      <c r="CZ62" s="107"/>
      <c r="DA62" s="107"/>
      <c r="DB62" s="107"/>
      <c r="DC62" s="292"/>
      <c r="DD62" s="447">
        <f t="shared" ref="DD62:EE62" si="50">DD58-CY58</f>
      </c>
      <c r="DE62" s="447">
        <f t="shared" si="50"/>
      </c>
      <c r="DF62" s="447">
        <f t="shared" si="50"/>
      </c>
      <c r="DG62" s="447">
        <f t="shared" si="50"/>
      </c>
      <c r="DH62" s="462">
        <f t="shared" si="50"/>
      </c>
      <c r="DI62" s="447">
        <f t="shared" si="50"/>
      </c>
      <c r="DJ62" s="447">
        <f t="shared" si="50"/>
      </c>
      <c r="DK62" s="447">
        <f t="shared" si="50"/>
      </c>
      <c r="DL62" s="447">
        <f t="shared" si="50"/>
      </c>
      <c r="DM62" s="462">
        <f t="shared" si="50"/>
      </c>
      <c r="DN62" s="447">
        <f t="shared" si="50"/>
      </c>
      <c r="DO62" s="447">
        <f t="shared" si="50"/>
      </c>
      <c r="DP62" s="447">
        <f t="shared" si="50"/>
      </c>
      <c r="DQ62" s="447">
        <f t="shared" si="50"/>
      </c>
      <c r="DR62" s="462">
        <f t="shared" si="50"/>
      </c>
      <c r="DS62" s="447">
        <f t="shared" si="50"/>
      </c>
      <c r="DT62" s="447">
        <f t="shared" si="50"/>
      </c>
      <c r="DU62" s="447">
        <f t="shared" si="50"/>
      </c>
      <c r="DV62" s="447">
        <f t="shared" si="50"/>
      </c>
      <c r="DW62" s="462">
        <f t="shared" si="50"/>
      </c>
      <c r="DX62" s="447">
        <f t="shared" si="50"/>
      </c>
      <c r="DY62" s="447">
        <f t="shared" si="50"/>
      </c>
      <c r="DZ62" s="447">
        <f t="shared" si="50"/>
      </c>
      <c r="EA62" s="447">
        <f t="shared" si="50"/>
      </c>
      <c r="EB62" s="462">
        <f t="shared" si="50"/>
      </c>
      <c r="EC62" s="447">
        <f t="shared" si="50"/>
      </c>
      <c r="ED62" s="447">
        <f t="shared" si="50"/>
      </c>
      <c r="EE62" s="447">
        <f t="shared" si="50"/>
      </c>
      <c r="EF62" s="447">
        <f>EG62-EE62-ED62-EC62</f>
      </c>
      <c r="EG62" s="494">
        <v>2800</v>
      </c>
      <c r="EH62" s="447">
        <f>EH58-EC58</f>
      </c>
      <c r="EI62" s="447">
        <f>EI58-ED58</f>
      </c>
      <c r="EJ62" s="447">
        <f>EJ58-EE58</f>
      </c>
      <c r="EK62" s="511">
        <f>EK58-EF58</f>
      </c>
      <c r="EL62" s="462">
        <f>EL58-EG58</f>
      </c>
      <c r="EM62" s="448">
        <v>688</v>
      </c>
      <c r="EN62" s="448">
        <v>-2700</v>
      </c>
      <c r="EO62" s="448">
        <v>-705</v>
      </c>
      <c r="EP62" s="463">
        <f>EQ62-EO62-EN62-EM62</f>
      </c>
      <c r="EQ62" s="494">
        <v>-4200</v>
      </c>
      <c r="ER62" s="448">
        <v>920</v>
      </c>
      <c r="ES62" s="815">
        <v>2200</v>
      </c>
      <c r="ET62" s="815">
        <v>2000</v>
      </c>
      <c r="EU62" s="463">
        <f>EV62-ET62-ES62-ER62</f>
      </c>
      <c r="EV62" s="494">
        <v>6800</v>
      </c>
      <c r="EW62" s="458"/>
      <c r="EX62" s="458"/>
      <c r="EY62" s="458"/>
      <c r="EZ62" s="458"/>
      <c r="FA62" s="462"/>
      <c r="FB62" s="458"/>
      <c r="FC62" s="458"/>
      <c r="FD62" s="458"/>
      <c r="FE62" s="458"/>
      <c r="FF62" s="462"/>
      <c r="FG62" s="458"/>
      <c r="FH62" s="458"/>
      <c r="FI62" s="458"/>
      <c r="FJ62" s="458"/>
      <c r="FK62" s="462"/>
      <c r="FL62" s="458"/>
      <c r="FM62" s="458"/>
      <c r="FN62" s="458"/>
      <c r="FO62" s="458"/>
      <c r="FP62" s="462"/>
      <c r="FQ62" s="458"/>
      <c r="FR62" s="458"/>
      <c r="FS62" s="458"/>
      <c r="FT62" s="458"/>
      <c r="FU62" s="462"/>
      <c r="FV62" s="447"/>
      <c r="FW62" s="458"/>
      <c r="FX62" s="458"/>
      <c r="FY62" s="458"/>
      <c r="FZ62" s="462"/>
      <c r="GA62" s="447"/>
      <c r="GB62" s="458"/>
      <c r="GC62" s="458"/>
      <c r="GD62" s="458"/>
      <c r="GE62" s="462"/>
      <c r="GF62" s="447"/>
      <c r="GG62" s="458"/>
      <c r="GH62" s="458"/>
      <c r="GI62" s="458"/>
      <c r="GJ62" s="462"/>
    </row>
    <row r="63" spans="1:192" s="1241" customFormat="1" ht="12.75" hidden="1" customHeight="1" outlineLevel="1">
      <c r="A63" s="850"/>
      <c r="B63" s="727" t="s">
        <v>259</v>
      </c>
      <c r="C63" s="892"/>
      <c r="D63" s="924"/>
      <c r="E63" s="924"/>
      <c r="F63" s="924"/>
      <c r="G63" s="1240"/>
      <c r="H63" s="892"/>
      <c r="I63" s="924"/>
      <c r="J63" s="924"/>
      <c r="K63" s="924"/>
      <c r="L63" s="1240"/>
      <c r="M63" s="892"/>
      <c r="N63" s="924"/>
      <c r="O63" s="924"/>
      <c r="P63" s="924"/>
      <c r="Q63" s="1240"/>
      <c r="R63" s="892"/>
      <c r="S63" s="924"/>
      <c r="T63" s="924"/>
      <c r="U63" s="924"/>
      <c r="V63" s="1240"/>
      <c r="W63" s="892"/>
      <c r="X63" s="924"/>
      <c r="Y63" s="924"/>
      <c r="Z63" s="924"/>
      <c r="AA63" s="1240"/>
      <c r="AB63" s="892"/>
      <c r="AC63" s="924"/>
      <c r="AD63" s="924"/>
      <c r="AE63" s="924"/>
      <c r="AF63" s="1240"/>
      <c r="AG63" s="892"/>
      <c r="AH63" s="924"/>
      <c r="AI63" s="924"/>
      <c r="AJ63" s="924"/>
      <c r="AK63" s="1240"/>
      <c r="AL63" s="892"/>
      <c r="AM63" s="924"/>
      <c r="AN63" s="924"/>
      <c r="AO63" s="924"/>
      <c r="AP63" s="1240"/>
      <c r="AQ63" s="892"/>
      <c r="AR63" s="924"/>
      <c r="AS63" s="924"/>
      <c r="AT63" s="924"/>
      <c r="AU63" s="1240"/>
      <c r="AV63" s="892"/>
      <c r="AW63" s="924"/>
      <c r="AX63" s="924"/>
      <c r="AY63" s="924"/>
      <c r="AZ63" s="1240"/>
      <c r="BA63" s="892"/>
      <c r="BB63" s="924"/>
      <c r="BC63" s="924"/>
      <c r="BD63" s="924"/>
      <c r="BE63" s="1240"/>
      <c r="BF63" s="892"/>
      <c r="BG63" s="924"/>
      <c r="BH63" s="924"/>
      <c r="BI63" s="924"/>
      <c r="BJ63" s="1240"/>
      <c r="BK63" s="892"/>
      <c r="BL63" s="924"/>
      <c r="BM63" s="924"/>
      <c r="BN63" s="924"/>
      <c r="BO63" s="1240"/>
      <c r="BP63" s="892"/>
      <c r="BQ63" s="924"/>
      <c r="BR63" s="924"/>
      <c r="BS63" s="924"/>
      <c r="BT63" s="1240"/>
      <c r="BU63" s="892"/>
      <c r="BV63" s="924"/>
      <c r="BW63" s="924"/>
      <c r="BX63" s="924"/>
      <c r="BY63" s="1240"/>
      <c r="BZ63" s="892"/>
      <c r="CA63" s="924"/>
      <c r="CB63" s="924"/>
      <c r="CC63" s="924"/>
      <c r="CD63" s="1240"/>
      <c r="CE63" s="892"/>
      <c r="CF63" s="924"/>
      <c r="CG63" s="924"/>
      <c r="CH63" s="924"/>
      <c r="CI63" s="1240"/>
      <c r="CJ63" s="892"/>
      <c r="CK63" s="924"/>
      <c r="CL63" s="924"/>
      <c r="CM63" s="924"/>
      <c r="CN63" s="1240"/>
      <c r="CO63" s="892"/>
      <c r="CP63" s="924"/>
      <c r="CQ63" s="924"/>
      <c r="CR63" s="924"/>
      <c r="CS63" s="1240"/>
      <c r="CT63" s="892"/>
      <c r="CU63" s="924"/>
      <c r="CV63" s="924"/>
      <c r="CW63" s="924"/>
      <c r="CX63" s="1240"/>
      <c r="CY63" s="892">
        <f t="shared" ref="CY63:ET63" si="51">CY58/CY50</f>
      </c>
      <c r="CZ63" s="924">
        <f t="shared" si="51"/>
      </c>
      <c r="DA63" s="924">
        <f t="shared" si="51"/>
      </c>
      <c r="DB63" s="924">
        <f t="shared" si="51"/>
      </c>
      <c r="DC63" s="1240">
        <f t="shared" si="51"/>
      </c>
      <c r="DD63" s="892">
        <f t="shared" si="51"/>
      </c>
      <c r="DE63" s="892">
        <f t="shared" si="51"/>
      </c>
      <c r="DF63" s="892">
        <f t="shared" si="51"/>
      </c>
      <c r="DG63" s="892">
        <f t="shared" si="51"/>
      </c>
      <c r="DH63" s="1240">
        <f t="shared" si="51"/>
      </c>
      <c r="DI63" s="892">
        <f t="shared" si="51"/>
      </c>
      <c r="DJ63" s="892">
        <f t="shared" si="51"/>
      </c>
      <c r="DK63" s="892">
        <f t="shared" si="51"/>
      </c>
      <c r="DL63" s="892">
        <f t="shared" si="51"/>
      </c>
      <c r="DM63" s="1240">
        <f t="shared" si="51"/>
      </c>
      <c r="DN63" s="892">
        <f t="shared" si="51"/>
      </c>
      <c r="DO63" s="892">
        <f t="shared" si="51"/>
      </c>
      <c r="DP63" s="892">
        <f t="shared" si="51"/>
      </c>
      <c r="DQ63" s="892">
        <f t="shared" si="51"/>
      </c>
      <c r="DR63" s="1240">
        <f t="shared" si="51"/>
      </c>
      <c r="DS63" s="892">
        <f t="shared" si="51"/>
      </c>
      <c r="DT63" s="892">
        <f t="shared" si="51"/>
      </c>
      <c r="DU63" s="892">
        <f t="shared" si="51"/>
      </c>
      <c r="DV63" s="892">
        <f t="shared" si="51"/>
      </c>
      <c r="DW63" s="1240">
        <f t="shared" si="51"/>
      </c>
      <c r="DX63" s="892">
        <f t="shared" si="51"/>
      </c>
      <c r="DY63" s="892">
        <f t="shared" si="51"/>
      </c>
      <c r="DZ63" s="892">
        <f t="shared" si="51"/>
      </c>
      <c r="EA63" s="892">
        <f t="shared" si="51"/>
      </c>
      <c r="EB63" s="1240">
        <f t="shared" si="51"/>
      </c>
      <c r="EC63" s="892">
        <f t="shared" si="51"/>
      </c>
      <c r="ED63" s="892">
        <f t="shared" si="51"/>
      </c>
      <c r="EE63" s="892">
        <f t="shared" si="51"/>
      </c>
      <c r="EF63" s="892">
        <f t="shared" si="51"/>
      </c>
      <c r="EG63" s="1240">
        <f t="shared" si="51"/>
      </c>
      <c r="EH63" s="892">
        <f t="shared" si="51"/>
      </c>
      <c r="EI63" s="892">
        <f t="shared" si="51"/>
      </c>
      <c r="EJ63" s="892">
        <f t="shared" si="51"/>
      </c>
      <c r="EK63" s="892">
        <f t="shared" si="51"/>
      </c>
      <c r="EL63" s="1240">
        <f t="shared" si="51"/>
      </c>
      <c r="EM63" s="892">
        <f t="shared" si="51"/>
      </c>
      <c r="EN63" s="892">
        <f t="shared" si="51"/>
      </c>
      <c r="EO63" s="892">
        <f t="shared" si="51"/>
      </c>
      <c r="EP63" s="924">
        <f t="shared" si="51"/>
      </c>
      <c r="EQ63" s="1240">
        <f t="shared" si="51"/>
      </c>
      <c r="ER63" s="892">
        <f>ER58/ER50</f>
      </c>
      <c r="ES63" s="892">
        <f t="shared" si="51"/>
      </c>
      <c r="ET63" s="892">
        <f t="shared" si="51"/>
      </c>
      <c r="EU63" s="924">
        <f>EU58/EU50</f>
      </c>
      <c r="EV63" s="1240">
        <f>EV58/EV50</f>
      </c>
      <c r="EW63" s="1238"/>
      <c r="EX63" s="1117"/>
      <c r="EY63" s="1117"/>
      <c r="EZ63" s="1117"/>
      <c r="FA63" s="1240"/>
      <c r="FB63" s="1238"/>
      <c r="FC63" s="1117"/>
      <c r="FD63" s="1117"/>
      <c r="FE63" s="1117"/>
      <c r="FF63" s="1240"/>
      <c r="FG63" s="1238"/>
      <c r="FH63" s="1117"/>
      <c r="FI63" s="1117"/>
      <c r="FJ63" s="1117"/>
      <c r="FK63" s="1240"/>
      <c r="FL63" s="1238"/>
      <c r="FM63" s="1117"/>
      <c r="FN63" s="1117"/>
      <c r="FO63" s="1117"/>
      <c r="FP63" s="1240"/>
      <c r="FQ63" s="1238"/>
      <c r="FR63" s="1117"/>
      <c r="FS63" s="1117"/>
      <c r="FT63" s="1117"/>
      <c r="FU63" s="1240"/>
      <c r="FV63" s="1238"/>
      <c r="FW63" s="1117"/>
      <c r="FX63" s="1117"/>
      <c r="FY63" s="1117"/>
      <c r="FZ63" s="1240"/>
      <c r="GA63" s="1238"/>
      <c r="GB63" s="1117"/>
      <c r="GC63" s="1117"/>
      <c r="GD63" s="1117"/>
      <c r="GE63" s="1240"/>
      <c r="GF63" s="1238"/>
      <c r="GG63" s="1117"/>
      <c r="GH63" s="1117"/>
      <c r="GI63" s="1117"/>
      <c r="GJ63" s="1240"/>
    </row>
    <row r="64" spans="1:192" s="1247" customFormat="1" ht="12.75" hidden="1" customHeight="1" outlineLevel="1">
      <c r="A64" s="850"/>
      <c r="B64" s="753" t="s">
        <v>1854</v>
      </c>
      <c r="C64" s="1243"/>
      <c r="D64" s="1244"/>
      <c r="E64" s="1244"/>
      <c r="F64" s="1244"/>
      <c r="G64" s="1242"/>
      <c r="H64" s="1243"/>
      <c r="I64" s="1244"/>
      <c r="J64" s="1244"/>
      <c r="K64" s="1244"/>
      <c r="L64" s="1242"/>
      <c r="M64" s="1243"/>
      <c r="N64" s="1244"/>
      <c r="O64" s="1244"/>
      <c r="P64" s="1244"/>
      <c r="Q64" s="1242"/>
      <c r="R64" s="1243"/>
      <c r="S64" s="1244"/>
      <c r="T64" s="1244"/>
      <c r="U64" s="1244"/>
      <c r="V64" s="1242"/>
      <c r="W64" s="1243"/>
      <c r="X64" s="1244"/>
      <c r="Y64" s="1244"/>
      <c r="Z64" s="1244"/>
      <c r="AA64" s="1242"/>
      <c r="AB64" s="1243"/>
      <c r="AC64" s="1244"/>
      <c r="AD64" s="1244"/>
      <c r="AE64" s="1244"/>
      <c r="AF64" s="1242"/>
      <c r="AG64" s="1243"/>
      <c r="AH64" s="1244"/>
      <c r="AI64" s="1244"/>
      <c r="AJ64" s="1244"/>
      <c r="AK64" s="1242"/>
      <c r="AL64" s="1243"/>
      <c r="AM64" s="1244"/>
      <c r="AN64" s="1244"/>
      <c r="AO64" s="1244"/>
      <c r="AP64" s="1242"/>
      <c r="AQ64" s="1243"/>
      <c r="AR64" s="1244"/>
      <c r="AS64" s="1244"/>
      <c r="AT64" s="1244"/>
      <c r="AU64" s="1242"/>
      <c r="AV64" s="1243"/>
      <c r="AW64" s="1244"/>
      <c r="AX64" s="1244"/>
      <c r="AY64" s="1244"/>
      <c r="AZ64" s="1242"/>
      <c r="BA64" s="1243"/>
      <c r="BB64" s="1244"/>
      <c r="BC64" s="1244"/>
      <c r="BD64" s="1244"/>
      <c r="BE64" s="1242"/>
      <c r="BF64" s="1243"/>
      <c r="BG64" s="1244"/>
      <c r="BH64" s="1244"/>
      <c r="BI64" s="1244"/>
      <c r="BJ64" s="1242"/>
      <c r="BK64" s="1243"/>
      <c r="BL64" s="1244"/>
      <c r="BM64" s="1244"/>
      <c r="BN64" s="1244"/>
      <c r="BO64" s="1242"/>
      <c r="BP64" s="1243"/>
      <c r="BQ64" s="1244"/>
      <c r="BR64" s="1244"/>
      <c r="BS64" s="1244"/>
      <c r="BT64" s="1242"/>
      <c r="BU64" s="1243"/>
      <c r="BV64" s="1244"/>
      <c r="BW64" s="1244"/>
      <c r="BX64" s="1244"/>
      <c r="BY64" s="1242"/>
      <c r="BZ64" s="1243"/>
      <c r="CA64" s="1244"/>
      <c r="CB64" s="1244"/>
      <c r="CC64" s="1244"/>
      <c r="CD64" s="1242"/>
      <c r="CE64" s="1243"/>
      <c r="CF64" s="1244"/>
      <c r="CG64" s="1244"/>
      <c r="CH64" s="1244"/>
      <c r="CI64" s="1242"/>
      <c r="CJ64" s="1243"/>
      <c r="CK64" s="1244"/>
      <c r="CL64" s="1244"/>
      <c r="CM64" s="1244"/>
      <c r="CN64" s="1242"/>
      <c r="CO64" s="1243"/>
      <c r="CP64" s="1244"/>
      <c r="CQ64" s="1244"/>
      <c r="CR64" s="1244"/>
      <c r="CS64" s="1242"/>
      <c r="CT64" s="1243"/>
      <c r="CU64" s="1244"/>
      <c r="CV64" s="1244"/>
      <c r="CW64" s="1244"/>
      <c r="CX64" s="1242"/>
      <c r="CY64" s="1243"/>
      <c r="CZ64" s="1244"/>
      <c r="DA64" s="1244"/>
      <c r="DB64" s="1244"/>
      <c r="DC64" s="1242"/>
      <c r="DD64" s="1243"/>
      <c r="DE64" s="1244"/>
      <c r="DF64" s="1244"/>
      <c r="DG64" s="1244"/>
      <c r="DH64" s="1245">
        <f>(DH63-DC63)*10000</f>
      </c>
      <c r="DI64" s="1243">
        <f t="shared" ref="DI64:ET64" si="52">(DI63-DD63)*10000</f>
      </c>
      <c r="DJ64" s="1244">
        <f t="shared" si="52"/>
      </c>
      <c r="DK64" s="1244">
        <f t="shared" si="52"/>
      </c>
      <c r="DL64" s="1244">
        <f t="shared" si="52"/>
      </c>
      <c r="DM64" s="1242">
        <f t="shared" si="52"/>
      </c>
      <c r="DN64" s="1243">
        <f t="shared" si="52"/>
      </c>
      <c r="DO64" s="1244">
        <f t="shared" si="52"/>
      </c>
      <c r="DP64" s="1244">
        <f t="shared" si="52"/>
      </c>
      <c r="DQ64" s="1244">
        <f t="shared" si="52"/>
      </c>
      <c r="DR64" s="1242">
        <f t="shared" si="52"/>
      </c>
      <c r="DS64" s="1243">
        <f t="shared" si="52"/>
      </c>
      <c r="DT64" s="1244">
        <f t="shared" si="52"/>
      </c>
      <c r="DU64" s="1244">
        <f t="shared" si="52"/>
      </c>
      <c r="DV64" s="1244">
        <f t="shared" si="52"/>
      </c>
      <c r="DW64" s="1242">
        <f t="shared" si="52"/>
      </c>
      <c r="DX64" s="1243">
        <f t="shared" si="52"/>
      </c>
      <c r="DY64" s="1244">
        <f t="shared" si="52"/>
      </c>
      <c r="DZ64" s="1244">
        <f t="shared" si="52"/>
      </c>
      <c r="EA64" s="1244">
        <f t="shared" si="52"/>
      </c>
      <c r="EB64" s="1242">
        <f t="shared" si="52"/>
      </c>
      <c r="EC64" s="1243">
        <f t="shared" si="52"/>
      </c>
      <c r="ED64" s="1244">
        <f t="shared" si="52"/>
      </c>
      <c r="EE64" s="1244">
        <f t="shared" si="52"/>
      </c>
      <c r="EF64" s="1244">
        <f t="shared" si="52"/>
      </c>
      <c r="EG64" s="1242">
        <f t="shared" si="52"/>
      </c>
      <c r="EH64" s="1243">
        <f t="shared" si="52"/>
      </c>
      <c r="EI64" s="1244">
        <f t="shared" si="52"/>
      </c>
      <c r="EJ64" s="1244">
        <f t="shared" si="52"/>
      </c>
      <c r="EK64" s="1244">
        <f t="shared" si="52"/>
      </c>
      <c r="EL64" s="1242">
        <f t="shared" si="52"/>
      </c>
      <c r="EM64" s="1243">
        <f t="shared" si="52"/>
      </c>
      <c r="EN64" s="1243">
        <f t="shared" si="52"/>
      </c>
      <c r="EO64" s="1243">
        <f t="shared" si="52"/>
      </c>
      <c r="EP64" s="1244">
        <f t="shared" si="52"/>
      </c>
      <c r="EQ64" s="1242">
        <f t="shared" si="52"/>
      </c>
      <c r="ER64" s="1243">
        <f t="shared" si="52"/>
      </c>
      <c r="ES64" s="1244">
        <f t="shared" si="52"/>
      </c>
      <c r="ET64" s="1244">
        <f t="shared" si="52"/>
      </c>
      <c r="EU64" s="1244">
        <f>(EU63-EP63)*10000</f>
      </c>
      <c r="EV64" s="1242">
        <f>(EV63-EQ63)*10000</f>
      </c>
      <c r="EW64" s="1243"/>
      <c r="EX64" s="1244"/>
      <c r="EY64" s="1244"/>
      <c r="EZ64" s="1244"/>
      <c r="FA64" s="1242"/>
      <c r="FB64" s="1243"/>
      <c r="FC64" s="1244"/>
      <c r="FD64" s="1244"/>
      <c r="FE64" s="1244"/>
      <c r="FF64" s="1242"/>
      <c r="FG64" s="1243"/>
      <c r="FH64" s="1243"/>
      <c r="FI64" s="1243"/>
      <c r="FJ64" s="1243"/>
      <c r="FK64" s="1242"/>
      <c r="FL64" s="1243"/>
      <c r="FM64" s="1243"/>
      <c r="FN64" s="1243"/>
      <c r="FO64" s="1243"/>
      <c r="FP64" s="1242"/>
      <c r="FQ64" s="1243"/>
      <c r="FR64" s="1243"/>
      <c r="FS64" s="1243"/>
      <c r="FT64" s="1243"/>
      <c r="FU64" s="1242"/>
      <c r="FV64" s="1243"/>
      <c r="FW64" s="1243"/>
      <c r="FX64" s="1243"/>
      <c r="FY64" s="1243"/>
      <c r="FZ64" s="1242"/>
      <c r="GA64" s="1243"/>
      <c r="GB64" s="1243"/>
      <c r="GC64" s="1243"/>
      <c r="GD64" s="1243"/>
      <c r="GE64" s="1242"/>
      <c r="GF64" s="1243"/>
      <c r="GG64" s="1243"/>
      <c r="GH64" s="1243"/>
      <c r="GI64" s="1243"/>
      <c r="GJ64" s="1242"/>
    </row>
    <row r="65" spans="1:192" ht="12.75" hidden="1" customHeight="1" outlineLevel="1">
      <c r="B65" s="727"/>
      <c r="C65" s="291"/>
      <c r="D65" s="107"/>
      <c r="E65" s="107"/>
      <c r="F65" s="107"/>
      <c r="G65" s="293"/>
      <c r="H65" s="291"/>
      <c r="I65" s="107"/>
      <c r="J65" s="107"/>
      <c r="K65" s="107"/>
      <c r="L65" s="293"/>
      <c r="M65" s="291"/>
      <c r="N65" s="107"/>
      <c r="O65" s="107"/>
      <c r="P65" s="107"/>
      <c r="Q65" s="293"/>
      <c r="R65" s="291"/>
      <c r="S65" s="107"/>
      <c r="T65" s="107"/>
      <c r="U65" s="107"/>
      <c r="V65" s="293"/>
      <c r="W65" s="291"/>
      <c r="X65" s="107"/>
      <c r="Y65" s="107"/>
      <c r="Z65" s="107"/>
      <c r="AA65" s="293"/>
      <c r="AB65" s="291"/>
      <c r="AC65" s="107"/>
      <c r="AD65" s="107"/>
      <c r="AE65" s="107"/>
      <c r="AF65" s="293"/>
      <c r="AG65" s="291"/>
      <c r="AH65" s="107"/>
      <c r="AI65" s="107"/>
      <c r="AJ65" s="107"/>
      <c r="AK65" s="293"/>
      <c r="AL65" s="291"/>
      <c r="AM65" s="107"/>
      <c r="AN65" s="107"/>
      <c r="AO65" s="107"/>
      <c r="AP65" s="293"/>
      <c r="AQ65" s="291"/>
      <c r="AR65" s="107"/>
      <c r="AS65" s="107"/>
      <c r="AT65" s="107"/>
      <c r="AU65" s="293"/>
      <c r="AV65" s="291"/>
      <c r="AW65" s="107"/>
      <c r="AX65" s="107"/>
      <c r="AY65" s="107"/>
      <c r="AZ65" s="293"/>
      <c r="BA65" s="291"/>
      <c r="BB65" s="107"/>
      <c r="BC65" s="107"/>
      <c r="BD65" s="107"/>
      <c r="BE65" s="293"/>
      <c r="BF65" s="291"/>
      <c r="BG65" s="107"/>
      <c r="BH65" s="107"/>
      <c r="BI65" s="107"/>
      <c r="BJ65" s="293"/>
      <c r="BK65" s="291"/>
      <c r="BL65" s="107"/>
      <c r="BM65" s="107"/>
      <c r="BN65" s="107"/>
      <c r="BO65" s="293"/>
      <c r="BP65" s="291"/>
      <c r="BQ65" s="107"/>
      <c r="BR65" s="107"/>
      <c r="BS65" s="107"/>
      <c r="BT65" s="293"/>
      <c r="BU65" s="291"/>
      <c r="BV65" s="107"/>
      <c r="BW65" s="107"/>
      <c r="BX65" s="107"/>
      <c r="BY65" s="293"/>
      <c r="BZ65" s="291"/>
      <c r="CA65" s="107"/>
      <c r="CB65" s="107"/>
      <c r="CC65" s="107"/>
      <c r="CD65" s="293"/>
      <c r="CE65" s="291"/>
      <c r="CF65" s="107"/>
      <c r="CG65" s="107"/>
      <c r="CH65" s="107"/>
      <c r="CI65" s="293"/>
      <c r="CJ65" s="291"/>
      <c r="CK65" s="107"/>
      <c r="CL65" s="107"/>
      <c r="CM65" s="107"/>
      <c r="CN65" s="293"/>
      <c r="CO65" s="291"/>
      <c r="CP65" s="107"/>
      <c r="CQ65" s="107"/>
      <c r="CR65" s="107"/>
      <c r="CS65" s="293"/>
      <c r="CT65" s="291"/>
      <c r="CU65" s="107"/>
      <c r="CV65" s="107"/>
      <c r="CW65" s="107"/>
      <c r="CX65" s="293"/>
      <c r="CY65" s="291"/>
      <c r="CZ65" s="107"/>
      <c r="DA65" s="107"/>
      <c r="DB65" s="107"/>
      <c r="DC65" s="293"/>
      <c r="DD65" s="291"/>
      <c r="DE65" s="107"/>
      <c r="DF65" s="107"/>
      <c r="DG65" s="107"/>
      <c r="DH65" s="293"/>
      <c r="DI65" s="291"/>
      <c r="DJ65" s="107"/>
      <c r="DK65" s="107"/>
      <c r="DL65" s="107"/>
      <c r="DM65" s="293"/>
      <c r="DN65" s="291"/>
      <c r="DO65" s="107"/>
      <c r="DP65" s="107"/>
      <c r="DQ65" s="107"/>
      <c r="DR65" s="293"/>
      <c r="DS65" s="291"/>
      <c r="DT65" s="107"/>
      <c r="DU65" s="468"/>
      <c r="DV65" s="107"/>
      <c r="DW65" s="293"/>
      <c r="DX65" s="291"/>
      <c r="DY65" s="107"/>
      <c r="DZ65" s="107"/>
      <c r="EA65" s="107"/>
      <c r="EB65" s="293"/>
      <c r="EC65" s="291"/>
      <c r="ED65" s="107"/>
      <c r="EE65" s="107"/>
      <c r="EF65" s="107"/>
      <c r="EG65" s="293"/>
      <c r="EH65" s="291"/>
      <c r="EI65" s="107"/>
      <c r="EJ65" s="107"/>
      <c r="EK65" s="107"/>
      <c r="EL65" s="293"/>
      <c r="EM65" s="291"/>
      <c r="EN65" s="107"/>
      <c r="EO65" s="107"/>
      <c r="EP65" s="107"/>
      <c r="EQ65" s="292"/>
      <c r="ER65" s="291"/>
      <c r="ES65" s="107"/>
      <c r="ET65" s="107"/>
      <c r="EU65" s="107"/>
      <c r="EV65" s="293"/>
      <c r="EW65" s="291"/>
      <c r="EX65" s="107"/>
      <c r="EY65" s="107"/>
      <c r="EZ65" s="107"/>
      <c r="FA65" s="293"/>
      <c r="FB65" s="291"/>
      <c r="FC65" s="107"/>
      <c r="FD65" s="107"/>
      <c r="FE65" s="107"/>
      <c r="FF65" s="293"/>
      <c r="FG65" s="291"/>
      <c r="FH65" s="107"/>
      <c r="FI65" s="107"/>
      <c r="FJ65" s="107"/>
      <c r="FK65" s="293"/>
      <c r="FL65" s="291"/>
      <c r="FM65" s="107"/>
      <c r="FN65" s="107"/>
      <c r="FO65" s="107"/>
      <c r="FP65" s="293"/>
      <c r="FQ65" s="291"/>
      <c r="FR65" s="107"/>
      <c r="FS65" s="107"/>
      <c r="FT65" s="107"/>
      <c r="FU65" s="293"/>
      <c r="FV65" s="291"/>
      <c r="FW65" s="107"/>
      <c r="FX65" s="107"/>
      <c r="FY65" s="107"/>
      <c r="FZ65" s="293"/>
      <c r="GA65" s="291"/>
      <c r="GB65" s="107"/>
      <c r="GC65" s="107"/>
      <c r="GD65" s="107"/>
      <c r="GE65" s="293"/>
      <c r="GF65" s="291"/>
      <c r="GG65" s="107"/>
      <c r="GH65" s="107"/>
      <c r="GI65" s="107"/>
      <c r="GJ65" s="293"/>
    </row>
    <row r="66" spans="1:192" s="317" customFormat="1" ht="12.75" hidden="1" customHeight="1" outlineLevel="1">
      <c r="A66" s="1641"/>
      <c r="B66" s="730" t="s">
        <v>2006</v>
      </c>
      <c r="C66" s="315"/>
      <c r="D66" s="315"/>
      <c r="E66" s="315"/>
      <c r="F66" s="315"/>
      <c r="G66" s="313"/>
      <c r="H66" s="315"/>
      <c r="I66" s="315"/>
      <c r="J66" s="315"/>
      <c r="K66" s="315"/>
      <c r="L66" s="313"/>
      <c r="M66" s="315"/>
      <c r="N66" s="315"/>
      <c r="O66" s="315"/>
      <c r="P66" s="315"/>
      <c r="Q66" s="313"/>
      <c r="R66" s="315"/>
      <c r="S66" s="315"/>
      <c r="T66" s="315"/>
      <c r="U66" s="315"/>
      <c r="V66" s="313"/>
      <c r="W66" s="315"/>
      <c r="X66" s="315"/>
      <c r="Y66" s="315"/>
      <c r="Z66" s="315"/>
      <c r="AA66" s="313"/>
      <c r="AB66" s="315"/>
      <c r="AC66" s="315"/>
      <c r="AD66" s="315"/>
      <c r="AE66" s="315"/>
      <c r="AF66" s="313"/>
      <c r="AG66" s="315"/>
      <c r="AH66" s="315"/>
      <c r="AI66" s="315"/>
      <c r="AJ66" s="315"/>
      <c r="AK66" s="313"/>
      <c r="AL66" s="315"/>
      <c r="AM66" s="315"/>
      <c r="AN66" s="315"/>
      <c r="AO66" s="315"/>
      <c r="AP66" s="313"/>
      <c r="AQ66" s="315"/>
      <c r="AR66" s="315"/>
      <c r="AS66" s="315"/>
      <c r="AT66" s="315"/>
      <c r="AU66" s="313"/>
      <c r="AV66" s="315"/>
      <c r="AW66" s="315"/>
      <c r="AX66" s="315"/>
      <c r="AY66" s="315"/>
      <c r="AZ66" s="313"/>
      <c r="BA66" s="315"/>
      <c r="BB66" s="315"/>
      <c r="BC66" s="315"/>
      <c r="BD66" s="315"/>
      <c r="BE66" s="313"/>
      <c r="BF66" s="315"/>
      <c r="BG66" s="315"/>
      <c r="BH66" s="315"/>
      <c r="BI66" s="315"/>
      <c r="BJ66" s="313"/>
      <c r="BK66" s="315"/>
      <c r="BL66" s="315"/>
      <c r="BM66" s="315"/>
      <c r="BN66" s="315"/>
      <c r="BO66" s="313"/>
      <c r="BP66" s="315"/>
      <c r="BQ66" s="315"/>
      <c r="BR66" s="315"/>
      <c r="BS66" s="315"/>
      <c r="BT66" s="313"/>
      <c r="BU66" s="315"/>
      <c r="BV66" s="315"/>
      <c r="BW66" s="315"/>
      <c r="BX66" s="315"/>
      <c r="BY66" s="313"/>
      <c r="BZ66" s="315"/>
      <c r="CA66" s="315"/>
      <c r="CB66" s="315"/>
      <c r="CC66" s="315"/>
      <c r="CD66" s="313"/>
      <c r="CE66" s="315"/>
      <c r="CF66" s="315"/>
      <c r="CG66" s="315"/>
      <c r="CH66" s="315"/>
      <c r="CI66" s="313"/>
      <c r="CJ66" s="315"/>
      <c r="CK66" s="315"/>
      <c r="CL66" s="315"/>
      <c r="CM66" s="315"/>
      <c r="CN66" s="313"/>
      <c r="CO66" s="315"/>
      <c r="CP66" s="315"/>
      <c r="CQ66" s="315"/>
      <c r="CR66" s="315"/>
      <c r="CS66" s="313"/>
      <c r="CT66" s="315"/>
      <c r="CU66" s="315"/>
      <c r="CV66" s="315"/>
      <c r="CW66" s="315"/>
      <c r="CX66" s="313"/>
      <c r="CY66" s="312">
        <f>DD66/(1+DD67)</f>
      </c>
      <c r="CZ66" s="312">
        <f>DE66/(1+DE67)</f>
      </c>
      <c r="DA66" s="312">
        <f>DF66/(1+DF67)</f>
      </c>
      <c r="DB66" s="312">
        <f>DG66/(1+DG67)</f>
      </c>
      <c r="DC66" s="313">
        <f>SUM(CY66:DB66)</f>
      </c>
      <c r="DD66" s="312">
        <f>DI66/(1+DI67)</f>
      </c>
      <c r="DE66" s="312">
        <f>DJ66/(1+DJ67)</f>
      </c>
      <c r="DF66" s="312">
        <f>DK66/(1+DK67)</f>
      </c>
      <c r="DG66" s="312">
        <f>DL66/(1+DL67)</f>
      </c>
      <c r="DH66" s="313">
        <f>SUM(DD66:DG66)</f>
      </c>
      <c r="DI66" s="312">
        <f>DN66/(1+DN67)</f>
      </c>
      <c r="DJ66" s="312">
        <f>DO66/(1+DO67)</f>
      </c>
      <c r="DK66" s="312">
        <f>DP66/(1+DP67)</f>
      </c>
      <c r="DL66" s="312">
        <f>DQ66/(1+DQ67)</f>
      </c>
      <c r="DM66" s="313">
        <f>SUM(DI66:DL66)</f>
      </c>
      <c r="DN66" s="312">
        <f>DS66/(1+DS67)</f>
      </c>
      <c r="DO66" s="312">
        <f>DT66/(1+DT67)</f>
      </c>
      <c r="DP66" s="312">
        <f>DU66/(1+DU67)</f>
      </c>
      <c r="DQ66" s="312">
        <f>DV66/(1+DV67)</f>
      </c>
      <c r="DR66" s="313">
        <f>SUM(DN66:DQ66)</f>
      </c>
      <c r="DS66" s="312">
        <f>DX66/(1+DX67)</f>
      </c>
      <c r="DT66" s="312">
        <f>DY66/(1+DY67)</f>
      </c>
      <c r="DU66" s="312">
        <f>DZ66/(1+DZ67)</f>
      </c>
      <c r="DV66" s="312">
        <f>EA66/(1+EA67)</f>
      </c>
      <c r="DW66" s="313">
        <f>SUM(DS66:DV66)</f>
      </c>
      <c r="DX66" s="312">
        <f>EC66/(1+EC67)</f>
      </c>
      <c r="DY66" s="312">
        <f>ED66/(1+ED67)</f>
      </c>
      <c r="DZ66" s="312">
        <f>EE66/(1+EE67)</f>
      </c>
      <c r="EA66" s="312">
        <f>EF66/(1+EF67)</f>
      </c>
      <c r="EB66" s="313">
        <f>SUM(DX66:EA66)</f>
      </c>
      <c r="EC66" s="312">
        <f>EH66/(1+EH67)</f>
      </c>
      <c r="ED66" s="312">
        <f>EI66/(1+EI67)</f>
      </c>
      <c r="EE66" s="312">
        <f>EJ66/(1+EJ67)</f>
      </c>
      <c r="EF66" s="312">
        <f>EK66/(1+EK67)</f>
      </c>
      <c r="EG66" s="313">
        <f>SUM(EC66:EF66)</f>
      </c>
      <c r="EH66" s="312">
        <f>EM70/EM67</f>
      </c>
      <c r="EI66" s="312">
        <f>EN70/EN67</f>
      </c>
      <c r="EJ66" s="312">
        <f>EO70/EO67</f>
      </c>
      <c r="EK66" s="312">
        <f>EP70/EP67</f>
      </c>
      <c r="EL66" s="313">
        <f>SUM(EH66:EK66)</f>
      </c>
      <c r="EM66" s="312">
        <f>EH66/(1+EM67)</f>
      </c>
      <c r="EN66" s="312">
        <f>EI66/(1+EN67)</f>
      </c>
      <c r="EO66" s="312">
        <f>EJ66/(1+EO67)</f>
      </c>
      <c r="EP66" s="312">
        <f>EK66/(1+EP67)</f>
      </c>
      <c r="EQ66" s="313">
        <f>SUM(EM66:EP66)</f>
      </c>
      <c r="ER66" s="312">
        <f>EM66/(1+ER67)</f>
      </c>
      <c r="ES66" s="312">
        <f>EN66/(1+ES67)</f>
      </c>
      <c r="ET66" s="312">
        <f>EO66/(1+ET67)</f>
      </c>
      <c r="EU66" s="312">
        <f>EP66/(1+EU67)</f>
      </c>
      <c r="EV66" s="313">
        <f>SUM(ER66:EU66)</f>
      </c>
      <c r="EW66" s="316"/>
      <c r="EX66" s="316"/>
      <c r="EY66" s="316"/>
      <c r="EZ66" s="316"/>
      <c r="FA66" s="313"/>
      <c r="FB66" s="316"/>
      <c r="FC66" s="316"/>
      <c r="FD66" s="316"/>
      <c r="FE66" s="316"/>
      <c r="FF66" s="313"/>
      <c r="FG66" s="316"/>
      <c r="FH66" s="316"/>
      <c r="FI66" s="316"/>
      <c r="FJ66" s="316"/>
      <c r="FK66" s="313"/>
      <c r="FL66" s="316"/>
      <c r="FM66" s="316"/>
      <c r="FN66" s="316"/>
      <c r="FO66" s="316"/>
      <c r="FP66" s="313"/>
      <c r="FQ66" s="316"/>
      <c r="FR66" s="316"/>
      <c r="FS66" s="316"/>
      <c r="FT66" s="316"/>
      <c r="FU66" s="313"/>
      <c r="FV66" s="316"/>
      <c r="FW66" s="316"/>
      <c r="FX66" s="316"/>
      <c r="FY66" s="316"/>
      <c r="FZ66" s="313"/>
      <c r="GA66" s="316"/>
      <c r="GB66" s="316"/>
      <c r="GC66" s="316"/>
      <c r="GD66" s="316"/>
      <c r="GE66" s="313"/>
      <c r="GF66" s="316"/>
      <c r="GG66" s="316"/>
      <c r="GH66" s="316"/>
      <c r="GI66" s="316"/>
      <c r="GJ66" s="313"/>
    </row>
    <row r="67" spans="1:192" ht="12.75" hidden="1" customHeight="1" outlineLevel="1">
      <c r="B67" s="727" t="s">
        <v>34</v>
      </c>
      <c r="C67" s="291"/>
      <c r="D67" s="107"/>
      <c r="E67" s="107"/>
      <c r="F67" s="107"/>
      <c r="G67" s="292"/>
      <c r="H67" s="291"/>
      <c r="I67" s="107"/>
      <c r="J67" s="107"/>
      <c r="K67" s="107"/>
      <c r="L67" s="292"/>
      <c r="M67" s="291"/>
      <c r="N67" s="107"/>
      <c r="O67" s="107"/>
      <c r="P67" s="107"/>
      <c r="Q67" s="292"/>
      <c r="R67" s="291"/>
      <c r="S67" s="107"/>
      <c r="T67" s="107"/>
      <c r="U67" s="107"/>
      <c r="V67" s="292"/>
      <c r="W67" s="291"/>
      <c r="X67" s="107"/>
      <c r="Y67" s="107"/>
      <c r="Z67" s="107"/>
      <c r="AA67" s="292"/>
      <c r="AB67" s="291"/>
      <c r="AC67" s="107"/>
      <c r="AD67" s="107"/>
      <c r="AE67" s="107"/>
      <c r="AF67" s="292"/>
      <c r="AG67" s="291"/>
      <c r="AH67" s="107"/>
      <c r="AI67" s="107"/>
      <c r="AJ67" s="107"/>
      <c r="AK67" s="292"/>
      <c r="AL67" s="291"/>
      <c r="AM67" s="107"/>
      <c r="AN67" s="107"/>
      <c r="AO67" s="107"/>
      <c r="AP67" s="292"/>
      <c r="AQ67" s="291"/>
      <c r="AR67" s="107"/>
      <c r="AS67" s="107"/>
      <c r="AT67" s="107"/>
      <c r="AU67" s="292"/>
      <c r="AV67" s="291"/>
      <c r="AW67" s="107"/>
      <c r="AX67" s="107"/>
      <c r="AY67" s="107"/>
      <c r="AZ67" s="292"/>
      <c r="BA67" s="291"/>
      <c r="BB67" s="107"/>
      <c r="BC67" s="107"/>
      <c r="BD67" s="107"/>
      <c r="BE67" s="292"/>
      <c r="BF67" s="291"/>
      <c r="BG67" s="107"/>
      <c r="BH67" s="107"/>
      <c r="BI67" s="107"/>
      <c r="BJ67" s="292"/>
      <c r="BK67" s="291"/>
      <c r="BL67" s="107"/>
      <c r="BM67" s="107"/>
      <c r="BN67" s="107"/>
      <c r="BO67" s="292"/>
      <c r="BP67" s="291"/>
      <c r="BQ67" s="107"/>
      <c r="BR67" s="107"/>
      <c r="BS67" s="107"/>
      <c r="BT67" s="292"/>
      <c r="BU67" s="291"/>
      <c r="BV67" s="107"/>
      <c r="BW67" s="107"/>
      <c r="BX67" s="107"/>
      <c r="BY67" s="292"/>
      <c r="BZ67" s="291"/>
      <c r="CA67" s="107"/>
      <c r="CB67" s="107"/>
      <c r="CC67" s="107"/>
      <c r="CD67" s="292"/>
      <c r="CE67" s="291"/>
      <c r="CF67" s="107"/>
      <c r="CG67" s="107"/>
      <c r="CH67" s="107"/>
      <c r="CI67" s="292"/>
      <c r="CJ67" s="291"/>
      <c r="CK67" s="107"/>
      <c r="CL67" s="107"/>
      <c r="CM67" s="107"/>
      <c r="CN67" s="292"/>
      <c r="CO67" s="291"/>
      <c r="CP67" s="107"/>
      <c r="CQ67" s="107"/>
      <c r="CR67" s="107"/>
      <c r="CS67" s="292"/>
      <c r="CT67" s="291"/>
      <c r="CU67" s="107"/>
      <c r="CV67" s="107"/>
      <c r="CW67" s="107"/>
      <c r="CX67" s="292"/>
      <c r="CY67" s="412"/>
      <c r="CZ67" s="114"/>
      <c r="DA67" s="114"/>
      <c r="DB67" s="114"/>
      <c r="DC67" s="292"/>
      <c r="DD67" s="412">
        <v>-0.13</v>
      </c>
      <c r="DE67" s="114">
        <v>-0.14000000000000001</v>
      </c>
      <c r="DF67" s="114">
        <v>-0.14000000000000001</v>
      </c>
      <c r="DG67" s="114">
        <v>-0.13</v>
      </c>
      <c r="DH67" s="292">
        <f>DH66/DC66-1</f>
      </c>
      <c r="DI67" s="412">
        <v>-0.13</v>
      </c>
      <c r="DJ67" s="114">
        <v>-0.12</v>
      </c>
      <c r="DK67" s="114">
        <v>-0.11</v>
      </c>
      <c r="DL67" s="114">
        <v>-0.1</v>
      </c>
      <c r="DM67" s="292">
        <f>DM66/DH66-1</f>
      </c>
      <c r="DN67" s="412">
        <v>-0.01</v>
      </c>
      <c r="DO67" s="114">
        <v>0.02</v>
      </c>
      <c r="DP67" s="114">
        <v>0.05</v>
      </c>
      <c r="DQ67" s="114">
        <v>0.09</v>
      </c>
      <c r="DR67" s="292">
        <f>DR66/DM66-1</f>
      </c>
      <c r="DS67" s="412">
        <v>-0.01</v>
      </c>
      <c r="DT67" s="114">
        <v>-0.04</v>
      </c>
      <c r="DU67" s="439">
        <v>0.01</v>
      </c>
      <c r="DV67" s="114">
        <v>-0.02</v>
      </c>
      <c r="DW67" s="292">
        <f>DW66/DR66-1</f>
      </c>
      <c r="DX67" s="412">
        <v>-7.0000000000000007E-2</v>
      </c>
      <c r="DY67" s="114">
        <v>-0.05</v>
      </c>
      <c r="DZ67" s="114">
        <v>-0.03</v>
      </c>
      <c r="EA67" s="114">
        <v>0.1</v>
      </c>
      <c r="EB67" s="292">
        <f>EB66/DW66-1</f>
      </c>
      <c r="EC67" s="412">
        <v>-0.08</v>
      </c>
      <c r="ED67" s="114">
        <v>0.1</v>
      </c>
      <c r="EE67" s="114">
        <v>-0.03</v>
      </c>
      <c r="EF67" s="114">
        <v>-0.06</v>
      </c>
      <c r="EG67" s="292">
        <f>EG66/EB66-1</f>
      </c>
      <c r="EH67" s="412">
        <v>0.15</v>
      </c>
      <c r="EI67" s="114">
        <v>0.17</v>
      </c>
      <c r="EJ67" s="114">
        <v>0.17</v>
      </c>
      <c r="EK67" s="114">
        <v>0.08</v>
      </c>
      <c r="EL67" s="292">
        <f>EL66/EG66-1</f>
      </c>
      <c r="EM67" s="412">
        <v>0.02</v>
      </c>
      <c r="EN67" s="114">
        <v>0.06</v>
      </c>
      <c r="EO67" s="412">
        <v>-0.05</v>
      </c>
      <c r="EP67" s="412">
        <v>-0.09</v>
      </c>
      <c r="EQ67" s="292">
        <f>EQ66/EL66-1</f>
      </c>
      <c r="ER67" s="412">
        <v>-0.01</v>
      </c>
      <c r="ES67" s="114">
        <v>0.38</v>
      </c>
      <c r="ET67" s="439">
        <v>0.41</v>
      </c>
      <c r="EU67" s="439">
        <v>0.43</v>
      </c>
      <c r="EV67" s="292">
        <f>EV66/EQ66-1</f>
      </c>
      <c r="EW67" s="107"/>
      <c r="EX67" s="107"/>
      <c r="EY67" s="107"/>
      <c r="EZ67" s="107"/>
      <c r="FA67" s="292"/>
      <c r="FB67" s="107"/>
      <c r="FC67" s="107"/>
      <c r="FD67" s="107"/>
      <c r="FE67" s="107"/>
      <c r="FF67" s="292"/>
      <c r="FG67" s="107"/>
      <c r="FH67" s="107"/>
      <c r="FI67" s="107"/>
      <c r="FJ67" s="107"/>
      <c r="FK67" s="292"/>
      <c r="FL67" s="107"/>
      <c r="FM67" s="107"/>
      <c r="FN67" s="107"/>
      <c r="FO67" s="107"/>
      <c r="FP67" s="292"/>
      <c r="FQ67" s="107"/>
      <c r="FR67" s="107"/>
      <c r="FS67" s="107"/>
      <c r="FT67" s="107"/>
      <c r="FU67" s="292"/>
      <c r="FV67" s="107"/>
      <c r="FW67" s="107"/>
      <c r="FX67" s="107"/>
      <c r="FY67" s="107"/>
      <c r="FZ67" s="292"/>
      <c r="GA67" s="107"/>
      <c r="GB67" s="107"/>
      <c r="GC67" s="107"/>
      <c r="GD67" s="107"/>
      <c r="GE67" s="292"/>
      <c r="GF67" s="107"/>
      <c r="GG67" s="107"/>
      <c r="GH67" s="107"/>
      <c r="GI67" s="107"/>
      <c r="GJ67" s="292"/>
    </row>
    <row r="68" spans="1:192" ht="12.75" hidden="1" customHeight="1" outlineLevel="1">
      <c r="B68" s="727" t="s">
        <v>197</v>
      </c>
      <c r="C68" s="291"/>
      <c r="D68" s="107"/>
      <c r="E68" s="107"/>
      <c r="F68" s="107"/>
      <c r="G68" s="292"/>
      <c r="H68" s="291"/>
      <c r="I68" s="107"/>
      <c r="J68" s="107"/>
      <c r="K68" s="107"/>
      <c r="L68" s="292"/>
      <c r="M68" s="291"/>
      <c r="N68" s="107"/>
      <c r="O68" s="107"/>
      <c r="P68" s="107"/>
      <c r="Q68" s="292"/>
      <c r="R68" s="291"/>
      <c r="S68" s="107"/>
      <c r="T68" s="107"/>
      <c r="U68" s="107"/>
      <c r="V68" s="292"/>
      <c r="W68" s="291"/>
      <c r="X68" s="107"/>
      <c r="Y68" s="107"/>
      <c r="Z68" s="107"/>
      <c r="AA68" s="292"/>
      <c r="AB68" s="291"/>
      <c r="AC68" s="107"/>
      <c r="AD68" s="107"/>
      <c r="AE68" s="107"/>
      <c r="AF68" s="292"/>
      <c r="AG68" s="291"/>
      <c r="AH68" s="107"/>
      <c r="AI68" s="107"/>
      <c r="AJ68" s="107"/>
      <c r="AK68" s="292"/>
      <c r="AL68" s="291"/>
      <c r="AM68" s="107"/>
      <c r="AN68" s="107"/>
      <c r="AO68" s="107"/>
      <c r="AP68" s="292"/>
      <c r="AQ68" s="291"/>
      <c r="AR68" s="107"/>
      <c r="AS68" s="107"/>
      <c r="AT68" s="107"/>
      <c r="AU68" s="292"/>
      <c r="AV68" s="291"/>
      <c r="AW68" s="107"/>
      <c r="AX68" s="107"/>
      <c r="AY68" s="107"/>
      <c r="AZ68" s="292"/>
      <c r="BA68" s="291"/>
      <c r="BB68" s="107"/>
      <c r="BC68" s="107"/>
      <c r="BD68" s="107"/>
      <c r="BE68" s="292"/>
      <c r="BF68" s="291"/>
      <c r="BG68" s="107"/>
      <c r="BH68" s="107"/>
      <c r="BI68" s="107"/>
      <c r="BJ68" s="292"/>
      <c r="BK68" s="291"/>
      <c r="BL68" s="107"/>
      <c r="BM68" s="107"/>
      <c r="BN68" s="107"/>
      <c r="BO68" s="292"/>
      <c r="BP68" s="291"/>
      <c r="BQ68" s="107"/>
      <c r="BR68" s="107"/>
      <c r="BS68" s="107"/>
      <c r="BT68" s="292"/>
      <c r="BU68" s="291"/>
      <c r="BV68" s="107"/>
      <c r="BW68" s="107"/>
      <c r="BX68" s="107"/>
      <c r="BY68" s="292"/>
      <c r="BZ68" s="291"/>
      <c r="CA68" s="107"/>
      <c r="CB68" s="107"/>
      <c r="CC68" s="107"/>
      <c r="CD68" s="292"/>
      <c r="CE68" s="291"/>
      <c r="CF68" s="107"/>
      <c r="CG68" s="107"/>
      <c r="CH68" s="107"/>
      <c r="CI68" s="292"/>
      <c r="CJ68" s="291"/>
      <c r="CK68" s="107"/>
      <c r="CL68" s="107"/>
      <c r="CM68" s="107"/>
      <c r="CN68" s="292"/>
      <c r="CO68" s="291"/>
      <c r="CP68" s="107"/>
      <c r="CQ68" s="107"/>
      <c r="CR68" s="107"/>
      <c r="CS68" s="292"/>
      <c r="CT68" s="291"/>
      <c r="CU68" s="107"/>
      <c r="CV68" s="107"/>
      <c r="CW68" s="107"/>
      <c r="CX68" s="292"/>
      <c r="CY68" s="412"/>
      <c r="CZ68" s="114"/>
      <c r="DA68" s="114"/>
      <c r="DB68" s="114"/>
      <c r="DC68" s="292"/>
      <c r="DD68" s="412">
        <v>-0.13</v>
      </c>
      <c r="DE68" s="114">
        <v>-0.14000000000000001</v>
      </c>
      <c r="DF68" s="114">
        <v>-0.14000000000000001</v>
      </c>
      <c r="DG68" s="114">
        <v>-0.13</v>
      </c>
      <c r="DH68" s="292"/>
      <c r="DI68" s="412">
        <v>-0.13</v>
      </c>
      <c r="DJ68" s="114">
        <v>-0.12</v>
      </c>
      <c r="DK68" s="114">
        <v>-0.1</v>
      </c>
      <c r="DL68" s="114">
        <v>-0.09</v>
      </c>
      <c r="DM68" s="292"/>
      <c r="DN68" s="412">
        <v>-0.02</v>
      </c>
      <c r="DO68" s="114">
        <v>0.01</v>
      </c>
      <c r="DP68" s="114">
        <v>0.03</v>
      </c>
      <c r="DQ68" s="114">
        <v>0.08</v>
      </c>
      <c r="DR68" s="292"/>
      <c r="DS68" s="412">
        <v>-0.01</v>
      </c>
      <c r="DT68" s="114">
        <v>-0.04</v>
      </c>
      <c r="DU68" s="439">
        <v>0.02</v>
      </c>
      <c r="DV68" s="114">
        <v>-0.01</v>
      </c>
      <c r="DW68" s="292"/>
      <c r="DX68" s="412">
        <v>-0.06</v>
      </c>
      <c r="DY68" s="114">
        <v>-0.05</v>
      </c>
      <c r="DZ68" s="114">
        <v>-0.03</v>
      </c>
      <c r="EA68" s="114">
        <v>0.1</v>
      </c>
      <c r="EB68" s="292"/>
      <c r="EC68" s="412">
        <v>-0.08</v>
      </c>
      <c r="ED68" s="114">
        <v>0.1</v>
      </c>
      <c r="EE68" s="114">
        <v>-0.04</v>
      </c>
      <c r="EF68" s="114">
        <v>-7.0000000000000007E-2</v>
      </c>
      <c r="EG68" s="292"/>
      <c r="EH68" s="412">
        <v>0.15</v>
      </c>
      <c r="EI68" s="114">
        <v>0.17</v>
      </c>
      <c r="EJ68" s="114">
        <v>0.18</v>
      </c>
      <c r="EK68" s="114">
        <v>0.1</v>
      </c>
      <c r="EL68" s="292"/>
      <c r="EM68" s="412">
        <v>0.05</v>
      </c>
      <c r="EN68" s="114">
        <v>0.09</v>
      </c>
      <c r="EO68" s="412">
        <v>-0.03</v>
      </c>
      <c r="EP68" s="412">
        <v>-0.08</v>
      </c>
      <c r="EQ68" s="292"/>
      <c r="ER68" s="412">
        <v>-0.01</v>
      </c>
      <c r="ES68" s="107"/>
      <c r="ET68" s="114">
        <v>0.41</v>
      </c>
      <c r="EU68" s="439">
        <v>0.43</v>
      </c>
      <c r="EV68" s="292"/>
      <c r="EW68" s="107"/>
      <c r="EX68" s="107"/>
      <c r="EY68" s="107"/>
      <c r="EZ68" s="107"/>
      <c r="FA68" s="292"/>
      <c r="FB68" s="107"/>
      <c r="FC68" s="107"/>
      <c r="FD68" s="107"/>
      <c r="FE68" s="107"/>
      <c r="FF68" s="292"/>
      <c r="FG68" s="107"/>
      <c r="FH68" s="107"/>
      <c r="FI68" s="107"/>
      <c r="FJ68" s="107"/>
      <c r="FK68" s="292"/>
      <c r="FL68" s="107"/>
      <c r="FM68" s="107"/>
      <c r="FN68" s="107"/>
      <c r="FO68" s="107"/>
      <c r="FP68" s="292"/>
      <c r="FQ68" s="107"/>
      <c r="FR68" s="107"/>
      <c r="FS68" s="107"/>
      <c r="FT68" s="107"/>
      <c r="FU68" s="292"/>
      <c r="FV68" s="107"/>
      <c r="FW68" s="107"/>
      <c r="FX68" s="107"/>
      <c r="FY68" s="107"/>
      <c r="FZ68" s="292"/>
      <c r="GA68" s="107"/>
      <c r="GB68" s="107"/>
      <c r="GC68" s="107"/>
      <c r="GD68" s="107"/>
      <c r="GE68" s="292"/>
      <c r="GF68" s="107"/>
      <c r="GG68" s="107"/>
      <c r="GH68" s="107"/>
      <c r="GI68" s="107"/>
      <c r="GJ68" s="292"/>
    </row>
    <row r="69" spans="1:192" ht="12.75" hidden="1" customHeight="1" outlineLevel="1">
      <c r="B69" s="727" t="s">
        <v>36</v>
      </c>
      <c r="C69" s="291"/>
      <c r="D69" s="107"/>
      <c r="E69" s="107"/>
      <c r="F69" s="107"/>
      <c r="G69" s="292"/>
      <c r="H69" s="291"/>
      <c r="I69" s="107"/>
      <c r="J69" s="107"/>
      <c r="K69" s="107"/>
      <c r="L69" s="292"/>
      <c r="M69" s="291"/>
      <c r="N69" s="107"/>
      <c r="O69" s="107"/>
      <c r="P69" s="107"/>
      <c r="Q69" s="292"/>
      <c r="R69" s="291"/>
      <c r="S69" s="107"/>
      <c r="T69" s="107"/>
      <c r="U69" s="107"/>
      <c r="V69" s="292"/>
      <c r="W69" s="291"/>
      <c r="X69" s="107"/>
      <c r="Y69" s="107"/>
      <c r="Z69" s="107"/>
      <c r="AA69" s="292"/>
      <c r="AB69" s="291"/>
      <c r="AC69" s="107"/>
      <c r="AD69" s="107"/>
      <c r="AE69" s="107"/>
      <c r="AF69" s="292"/>
      <c r="AG69" s="291"/>
      <c r="AH69" s="107"/>
      <c r="AI69" s="107"/>
      <c r="AJ69" s="107"/>
      <c r="AK69" s="292"/>
      <c r="AL69" s="291"/>
      <c r="AM69" s="107"/>
      <c r="AN69" s="107"/>
      <c r="AO69" s="107"/>
      <c r="AP69" s="292"/>
      <c r="AQ69" s="291"/>
      <c r="AR69" s="107"/>
      <c r="AS69" s="107"/>
      <c r="AT69" s="107"/>
      <c r="AU69" s="292"/>
      <c r="AV69" s="291"/>
      <c r="AW69" s="107"/>
      <c r="AX69" s="107"/>
      <c r="AY69" s="107"/>
      <c r="AZ69" s="292"/>
      <c r="BA69" s="291"/>
      <c r="BB69" s="107"/>
      <c r="BC69" s="107"/>
      <c r="BD69" s="107"/>
      <c r="BE69" s="292"/>
      <c r="BF69" s="291"/>
      <c r="BG69" s="107"/>
      <c r="BH69" s="107"/>
      <c r="BI69" s="107"/>
      <c r="BJ69" s="292"/>
      <c r="BK69" s="291"/>
      <c r="BL69" s="107"/>
      <c r="BM69" s="107"/>
      <c r="BN69" s="107"/>
      <c r="BO69" s="292"/>
      <c r="BP69" s="291"/>
      <c r="BQ69" s="107"/>
      <c r="BR69" s="107"/>
      <c r="BS69" s="107"/>
      <c r="BT69" s="292"/>
      <c r="BU69" s="291"/>
      <c r="BV69" s="107"/>
      <c r="BW69" s="107"/>
      <c r="BX69" s="107"/>
      <c r="BY69" s="292"/>
      <c r="BZ69" s="291"/>
      <c r="CA69" s="107"/>
      <c r="CB69" s="107"/>
      <c r="CC69" s="107"/>
      <c r="CD69" s="292"/>
      <c r="CE69" s="291"/>
      <c r="CF69" s="107"/>
      <c r="CG69" s="107"/>
      <c r="CH69" s="107"/>
      <c r="CI69" s="292"/>
      <c r="CJ69" s="291"/>
      <c r="CK69" s="107"/>
      <c r="CL69" s="107"/>
      <c r="CM69" s="107"/>
      <c r="CN69" s="292"/>
      <c r="CO69" s="291"/>
      <c r="CP69" s="107"/>
      <c r="CQ69" s="107"/>
      <c r="CR69" s="107"/>
      <c r="CS69" s="292"/>
      <c r="CT69" s="291"/>
      <c r="CU69" s="107"/>
      <c r="CV69" s="107"/>
      <c r="CW69" s="107"/>
      <c r="CX69" s="292"/>
      <c r="CY69" s="291"/>
      <c r="CZ69" s="107">
        <f>CZ66/CY66-1</f>
      </c>
      <c r="DA69" s="107">
        <f>DA66/CZ66-1</f>
      </c>
      <c r="DB69" s="107">
        <f>DB66/DA66-1</f>
      </c>
      <c r="DC69" s="292"/>
      <c r="DD69" s="291">
        <f>DD66/DB66-1</f>
      </c>
      <c r="DE69" s="107">
        <f>DE66/DD66-1</f>
      </c>
      <c r="DF69" s="107">
        <f>DF66/DE66-1</f>
      </c>
      <c r="DG69" s="107">
        <f>DG66/DF66-1</f>
      </c>
      <c r="DH69" s="292"/>
      <c r="DI69" s="291">
        <f>DI66/DG66-1</f>
      </c>
      <c r="DJ69" s="107">
        <f>DJ66/DI66-1</f>
      </c>
      <c r="DK69" s="107">
        <f>DK66/DJ66-1</f>
      </c>
      <c r="DL69" s="107">
        <f>DL66/DK66-1</f>
      </c>
      <c r="DM69" s="292"/>
      <c r="DN69" s="291">
        <f>DN66/DL66-1</f>
      </c>
      <c r="DO69" s="107">
        <f>DO66/DN66-1</f>
      </c>
      <c r="DP69" s="107">
        <f>DP66/DO66-1</f>
      </c>
      <c r="DQ69" s="107">
        <f>DQ66/DP66-1</f>
      </c>
      <c r="DR69" s="292"/>
      <c r="DS69" s="291">
        <f>DS66/DQ66-1</f>
      </c>
      <c r="DT69" s="107">
        <f>DT66/DS66-1</f>
      </c>
      <c r="DU69" s="107">
        <f>DU66/DT66-1</f>
      </c>
      <c r="DV69" s="107">
        <f>DV66/DU66-1</f>
      </c>
      <c r="DW69" s="292"/>
      <c r="DX69" s="291">
        <f>DX66/DV66-1</f>
      </c>
      <c r="DY69" s="107">
        <f>DY66/DX66-1</f>
      </c>
      <c r="DZ69" s="107">
        <f>DZ66/DY66-1</f>
      </c>
      <c r="EA69" s="107">
        <f>EA66/DZ66-1</f>
      </c>
      <c r="EB69" s="292"/>
      <c r="EC69" s="291">
        <f>EC66/EA66-1</f>
      </c>
      <c r="ED69" s="107">
        <f>ED66/EC66-1</f>
      </c>
      <c r="EE69" s="107">
        <f>EE66/ED66-1</f>
      </c>
      <c r="EF69" s="107">
        <f>EF66/EE66-1</f>
      </c>
      <c r="EG69" s="292"/>
      <c r="EH69" s="291">
        <f>EH66/EF66-1</f>
      </c>
      <c r="EI69" s="107">
        <f>EI66/EH66-1</f>
      </c>
      <c r="EJ69" s="107">
        <f>EJ66/EI66-1</f>
      </c>
      <c r="EK69" s="107">
        <f>EK66/EJ66-1</f>
      </c>
      <c r="EL69" s="292"/>
      <c r="EM69" s="291">
        <f>EM66/EK66-1</f>
      </c>
      <c r="EN69" s="107">
        <f>EN66/EM66-1</f>
      </c>
      <c r="EO69" s="107">
        <f>EO66/EN66-1</f>
      </c>
      <c r="EP69" s="107">
        <f>EP66/EO66-1</f>
      </c>
      <c r="EQ69" s="292"/>
      <c r="ER69" s="291">
        <f>ER66/EP66-1</f>
      </c>
      <c r="ES69" s="107">
        <f>ES66/ER66-1</f>
      </c>
      <c r="ET69" s="107">
        <f>ET66/ES66-1</f>
      </c>
      <c r="EU69" s="468"/>
      <c r="EV69" s="292"/>
      <c r="EW69" s="107"/>
      <c r="EX69" s="107"/>
      <c r="EY69" s="107"/>
      <c r="EZ69" s="107"/>
      <c r="FA69" s="292"/>
      <c r="FB69" s="107"/>
      <c r="FC69" s="107"/>
      <c r="FD69" s="107"/>
      <c r="FE69" s="107"/>
      <c r="FF69" s="292"/>
      <c r="FG69" s="107"/>
      <c r="FH69" s="107"/>
      <c r="FI69" s="107"/>
      <c r="FJ69" s="107"/>
      <c r="FK69" s="292"/>
      <c r="FL69" s="107"/>
      <c r="FM69" s="107"/>
      <c r="FN69" s="107"/>
      <c r="FO69" s="107"/>
      <c r="FP69" s="292"/>
      <c r="FQ69" s="107"/>
      <c r="FR69" s="107"/>
      <c r="FS69" s="107"/>
      <c r="FT69" s="107"/>
      <c r="FU69" s="292"/>
      <c r="FV69" s="107"/>
      <c r="FW69" s="107"/>
      <c r="FX69" s="107"/>
      <c r="FY69" s="107"/>
      <c r="FZ69" s="292"/>
      <c r="GA69" s="107"/>
      <c r="GB69" s="107"/>
      <c r="GC69" s="107"/>
      <c r="GD69" s="107"/>
      <c r="GE69" s="292"/>
      <c r="GF69" s="107"/>
      <c r="GG69" s="107"/>
      <c r="GH69" s="107"/>
      <c r="GI69" s="107"/>
      <c r="GJ69" s="292"/>
    </row>
    <row r="70" spans="1:192" s="461" customFormat="1" ht="12.75" hidden="1" customHeight="1" outlineLevel="1">
      <c r="A70" s="850"/>
      <c r="B70" s="727" t="s">
        <v>255</v>
      </c>
      <c r="C70" s="447"/>
      <c r="D70" s="458"/>
      <c r="E70" s="458"/>
      <c r="F70" s="458"/>
      <c r="G70" s="462"/>
      <c r="H70" s="447"/>
      <c r="I70" s="458"/>
      <c r="J70" s="458"/>
      <c r="K70" s="458"/>
      <c r="L70" s="462"/>
      <c r="M70" s="447"/>
      <c r="N70" s="458"/>
      <c r="O70" s="458"/>
      <c r="P70" s="458"/>
      <c r="Q70" s="462"/>
      <c r="R70" s="447"/>
      <c r="S70" s="458"/>
      <c r="T70" s="458"/>
      <c r="U70" s="458"/>
      <c r="V70" s="462"/>
      <c r="W70" s="447"/>
      <c r="X70" s="458"/>
      <c r="Y70" s="458"/>
      <c r="Z70" s="458"/>
      <c r="AA70" s="462"/>
      <c r="AB70" s="447"/>
      <c r="AC70" s="458"/>
      <c r="AD70" s="458"/>
      <c r="AE70" s="458"/>
      <c r="AF70" s="462"/>
      <c r="AG70" s="447"/>
      <c r="AH70" s="458"/>
      <c r="AI70" s="458"/>
      <c r="AJ70" s="458"/>
      <c r="AK70" s="462"/>
      <c r="AL70" s="447"/>
      <c r="AM70" s="458"/>
      <c r="AN70" s="458"/>
      <c r="AO70" s="458"/>
      <c r="AP70" s="462"/>
      <c r="AQ70" s="447"/>
      <c r="AR70" s="458"/>
      <c r="AS70" s="458"/>
      <c r="AT70" s="458"/>
      <c r="AU70" s="462"/>
      <c r="AV70" s="447"/>
      <c r="AW70" s="458"/>
      <c r="AX70" s="458"/>
      <c r="AY70" s="458"/>
      <c r="AZ70" s="462"/>
      <c r="BA70" s="447"/>
      <c r="BB70" s="458"/>
      <c r="BC70" s="458"/>
      <c r="BD70" s="458"/>
      <c r="BE70" s="462"/>
      <c r="BF70" s="447"/>
      <c r="BG70" s="458"/>
      <c r="BH70" s="458"/>
      <c r="BI70" s="458"/>
      <c r="BJ70" s="462"/>
      <c r="BK70" s="447"/>
      <c r="BL70" s="458"/>
      <c r="BM70" s="458"/>
      <c r="BN70" s="458"/>
      <c r="BO70" s="462"/>
      <c r="BP70" s="447"/>
      <c r="BQ70" s="458"/>
      <c r="BR70" s="458"/>
      <c r="BS70" s="458"/>
      <c r="BT70" s="462"/>
      <c r="BU70" s="447"/>
      <c r="BV70" s="458"/>
      <c r="BW70" s="458"/>
      <c r="BX70" s="458"/>
      <c r="BY70" s="462"/>
      <c r="BZ70" s="447"/>
      <c r="CA70" s="458"/>
      <c r="CB70" s="458"/>
      <c r="CC70" s="458"/>
      <c r="CD70" s="462"/>
      <c r="CE70" s="447"/>
      <c r="CF70" s="458"/>
      <c r="CG70" s="458"/>
      <c r="CH70" s="458"/>
      <c r="CI70" s="462"/>
      <c r="CJ70" s="447"/>
      <c r="CK70" s="458"/>
      <c r="CL70" s="458"/>
      <c r="CM70" s="458"/>
      <c r="CN70" s="462"/>
      <c r="CO70" s="447"/>
      <c r="CP70" s="458"/>
      <c r="CQ70" s="458"/>
      <c r="CR70" s="458"/>
      <c r="CS70" s="462"/>
      <c r="CT70" s="447"/>
      <c r="CU70" s="458"/>
      <c r="CV70" s="458"/>
      <c r="CW70" s="458"/>
      <c r="CX70" s="462"/>
      <c r="CY70" s="447"/>
      <c r="CZ70" s="458"/>
      <c r="DA70" s="458"/>
      <c r="DB70" s="458"/>
      <c r="DC70" s="462"/>
      <c r="DD70" s="447">
        <f t="shared" ref="DD70:EL70" si="53">DD66-CY66</f>
      </c>
      <c r="DE70" s="447">
        <f t="shared" si="53"/>
      </c>
      <c r="DF70" s="447">
        <f t="shared" si="53"/>
      </c>
      <c r="DG70" s="447">
        <f t="shared" si="53"/>
      </c>
      <c r="DH70" s="462">
        <f t="shared" si="53"/>
      </c>
      <c r="DI70" s="447">
        <f t="shared" si="53"/>
      </c>
      <c r="DJ70" s="447">
        <f t="shared" si="53"/>
      </c>
      <c r="DK70" s="447">
        <f t="shared" si="53"/>
      </c>
      <c r="DL70" s="447">
        <f t="shared" si="53"/>
      </c>
      <c r="DM70" s="462">
        <f t="shared" si="53"/>
      </c>
      <c r="DN70" s="447">
        <f t="shared" si="53"/>
      </c>
      <c r="DO70" s="447">
        <f t="shared" si="53"/>
      </c>
      <c r="DP70" s="447">
        <f t="shared" si="53"/>
      </c>
      <c r="DQ70" s="447">
        <f t="shared" si="53"/>
      </c>
      <c r="DR70" s="462">
        <f t="shared" si="53"/>
      </c>
      <c r="DS70" s="447">
        <f t="shared" si="53"/>
      </c>
      <c r="DT70" s="447">
        <f t="shared" si="53"/>
      </c>
      <c r="DU70" s="447">
        <f t="shared" si="53"/>
      </c>
      <c r="DV70" s="447">
        <f t="shared" si="53"/>
      </c>
      <c r="DW70" s="462">
        <f t="shared" si="53"/>
      </c>
      <c r="DX70" s="447">
        <f t="shared" si="53"/>
      </c>
      <c r="DY70" s="447">
        <f t="shared" si="53"/>
      </c>
      <c r="DZ70" s="447">
        <f t="shared" si="53"/>
      </c>
      <c r="EA70" s="447">
        <f t="shared" si="53"/>
      </c>
      <c r="EB70" s="462">
        <f t="shared" si="53"/>
      </c>
      <c r="EC70" s="447">
        <f t="shared" si="53"/>
      </c>
      <c r="ED70" s="447">
        <f t="shared" si="53"/>
      </c>
      <c r="EE70" s="447">
        <f t="shared" si="53"/>
      </c>
      <c r="EF70" s="447">
        <f t="shared" si="53"/>
      </c>
      <c r="EG70" s="462">
        <f t="shared" si="53"/>
      </c>
      <c r="EH70" s="447">
        <f t="shared" si="53"/>
      </c>
      <c r="EI70" s="447">
        <f t="shared" si="53"/>
      </c>
      <c r="EJ70" s="447">
        <f t="shared" si="53"/>
      </c>
      <c r="EK70" s="447">
        <f t="shared" si="53"/>
      </c>
      <c r="EL70" s="462">
        <f t="shared" si="53"/>
      </c>
      <c r="EM70" s="448">
        <v>71</v>
      </c>
      <c r="EN70" s="448">
        <v>198</v>
      </c>
      <c r="EO70" s="448">
        <v>-154</v>
      </c>
      <c r="EP70" s="458">
        <f>EQ70-EO70-EN70-EM70</f>
      </c>
      <c r="EQ70" s="494">
        <v>-195</v>
      </c>
      <c r="ER70" s="448">
        <v>37</v>
      </c>
      <c r="ES70" s="815">
        <v>1300</v>
      </c>
      <c r="ET70" s="815">
        <v>1300</v>
      </c>
      <c r="EU70" s="458">
        <f>EV70-ET70-ES70-ER70</f>
      </c>
      <c r="EV70" s="494">
        <v>3900</v>
      </c>
      <c r="EW70" s="458"/>
      <c r="EX70" s="458"/>
      <c r="EY70" s="458"/>
      <c r="EZ70" s="458"/>
      <c r="FA70" s="462"/>
      <c r="FB70" s="458"/>
      <c r="FC70" s="458"/>
      <c r="FD70" s="458"/>
      <c r="FE70" s="458"/>
      <c r="FF70" s="462"/>
      <c r="FG70" s="458"/>
      <c r="FH70" s="458"/>
      <c r="FI70" s="458"/>
      <c r="FJ70" s="458"/>
      <c r="FK70" s="462"/>
      <c r="FL70" s="458"/>
      <c r="FM70" s="458"/>
      <c r="FN70" s="458"/>
      <c r="FO70" s="458"/>
      <c r="FP70" s="462"/>
      <c r="FQ70" s="458"/>
      <c r="FR70" s="458"/>
      <c r="FS70" s="458"/>
      <c r="FT70" s="458"/>
      <c r="FU70" s="462"/>
      <c r="FV70" s="458"/>
      <c r="FW70" s="458"/>
      <c r="FX70" s="458"/>
      <c r="FY70" s="458"/>
      <c r="FZ70" s="462"/>
      <c r="GA70" s="458"/>
      <c r="GB70" s="458"/>
      <c r="GC70" s="458"/>
      <c r="GD70" s="458"/>
      <c r="GE70" s="462"/>
      <c r="GF70" s="458"/>
      <c r="GG70" s="458"/>
      <c r="GH70" s="458"/>
      <c r="GI70" s="458"/>
      <c r="GJ70" s="462"/>
    </row>
    <row r="71" spans="1:192" ht="12.75" hidden="1" customHeight="1" outlineLevel="1">
      <c r="B71" s="727"/>
      <c r="C71" s="291"/>
      <c r="D71" s="107"/>
      <c r="E71" s="107"/>
      <c r="F71" s="107"/>
      <c r="G71" s="293"/>
      <c r="H71" s="291"/>
      <c r="I71" s="107"/>
      <c r="J71" s="107"/>
      <c r="K71" s="107"/>
      <c r="L71" s="293"/>
      <c r="M71" s="291"/>
      <c r="N71" s="107"/>
      <c r="O71" s="107"/>
      <c r="P71" s="107"/>
      <c r="Q71" s="293"/>
      <c r="R71" s="291"/>
      <c r="S71" s="107"/>
      <c r="T71" s="107"/>
      <c r="U71" s="107"/>
      <c r="V71" s="293"/>
      <c r="W71" s="291"/>
      <c r="X71" s="107"/>
      <c r="Y71" s="107"/>
      <c r="Z71" s="107"/>
      <c r="AA71" s="293"/>
      <c r="AB71" s="291"/>
      <c r="AC71" s="107"/>
      <c r="AD71" s="107"/>
      <c r="AE71" s="107"/>
      <c r="AF71" s="293"/>
      <c r="AG71" s="291"/>
      <c r="AH71" s="107"/>
      <c r="AI71" s="107"/>
      <c r="AJ71" s="107"/>
      <c r="AK71" s="293"/>
      <c r="AL71" s="291"/>
      <c r="AM71" s="107"/>
      <c r="AN71" s="107"/>
      <c r="AO71" s="107"/>
      <c r="AP71" s="293"/>
      <c r="AQ71" s="291"/>
      <c r="AR71" s="107"/>
      <c r="AS71" s="107"/>
      <c r="AT71" s="107"/>
      <c r="AU71" s="293"/>
      <c r="AV71" s="291"/>
      <c r="AW71" s="107"/>
      <c r="AX71" s="107"/>
      <c r="AY71" s="107"/>
      <c r="AZ71" s="293"/>
      <c r="BA71" s="291"/>
      <c r="BB71" s="107"/>
      <c r="BC71" s="107"/>
      <c r="BD71" s="107"/>
      <c r="BE71" s="293"/>
      <c r="BF71" s="291"/>
      <c r="BG71" s="107"/>
      <c r="BH71" s="107"/>
      <c r="BI71" s="107"/>
      <c r="BJ71" s="293"/>
      <c r="BK71" s="291"/>
      <c r="BL71" s="107"/>
      <c r="BM71" s="107"/>
      <c r="BN71" s="107"/>
      <c r="BO71" s="293"/>
      <c r="BP71" s="291"/>
      <c r="BQ71" s="107"/>
      <c r="BR71" s="107"/>
      <c r="BS71" s="107"/>
      <c r="BT71" s="293"/>
      <c r="BU71" s="291"/>
      <c r="BV71" s="107"/>
      <c r="BW71" s="107"/>
      <c r="BX71" s="107"/>
      <c r="BY71" s="293"/>
      <c r="BZ71" s="291"/>
      <c r="CA71" s="107"/>
      <c r="CB71" s="107"/>
      <c r="CC71" s="107"/>
      <c r="CD71" s="293"/>
      <c r="CE71" s="291"/>
      <c r="CF71" s="107"/>
      <c r="CG71" s="107"/>
      <c r="CH71" s="107"/>
      <c r="CI71" s="293"/>
      <c r="CJ71" s="291"/>
      <c r="CK71" s="107"/>
      <c r="CL71" s="107"/>
      <c r="CM71" s="107"/>
      <c r="CN71" s="293"/>
      <c r="CO71" s="291"/>
      <c r="CP71" s="107"/>
      <c r="CQ71" s="107"/>
      <c r="CR71" s="107"/>
      <c r="CS71" s="293"/>
      <c r="CT71" s="291"/>
      <c r="CU71" s="107"/>
      <c r="CV71" s="107"/>
      <c r="CW71" s="107"/>
      <c r="CX71" s="293"/>
      <c r="CY71" s="291"/>
      <c r="CZ71" s="107"/>
      <c r="DA71" s="107"/>
      <c r="DB71" s="107"/>
      <c r="DC71" s="293"/>
      <c r="DD71" s="291"/>
      <c r="DE71" s="107"/>
      <c r="DF71" s="107"/>
      <c r="DG71" s="107"/>
      <c r="DH71" s="293"/>
      <c r="DI71" s="291"/>
      <c r="DJ71" s="107"/>
      <c r="DK71" s="107"/>
      <c r="DL71" s="107"/>
      <c r="DM71" s="293"/>
      <c r="DN71" s="291"/>
      <c r="DO71" s="107"/>
      <c r="DP71" s="107"/>
      <c r="DQ71" s="107"/>
      <c r="DR71" s="293"/>
      <c r="DS71" s="291"/>
      <c r="DT71" s="107"/>
      <c r="DU71" s="468"/>
      <c r="DV71" s="107"/>
      <c r="DW71" s="293"/>
      <c r="DX71" s="291"/>
      <c r="DY71" s="107"/>
      <c r="DZ71" s="107"/>
      <c r="EA71" s="107"/>
      <c r="EB71" s="293"/>
      <c r="EC71" s="291"/>
      <c r="ED71" s="107"/>
      <c r="EE71" s="107"/>
      <c r="EF71" s="107"/>
      <c r="EG71" s="293"/>
      <c r="EH71" s="291"/>
      <c r="EI71" s="107"/>
      <c r="EJ71" s="107"/>
      <c r="EK71" s="107"/>
      <c r="EL71" s="293"/>
      <c r="EM71" s="291"/>
      <c r="EN71" s="107"/>
      <c r="EO71" s="107"/>
      <c r="EP71" s="107"/>
      <c r="EQ71" s="292"/>
      <c r="ER71" s="291"/>
      <c r="ES71" s="107"/>
      <c r="ET71" s="107"/>
      <c r="EU71" s="107"/>
      <c r="EV71" s="293"/>
      <c r="EW71" s="107"/>
      <c r="EX71" s="107"/>
      <c r="EY71" s="107"/>
      <c r="EZ71" s="107"/>
      <c r="FA71" s="293"/>
      <c r="FB71" s="107"/>
      <c r="FC71" s="107"/>
      <c r="FD71" s="107"/>
      <c r="FE71" s="107"/>
      <c r="FF71" s="293"/>
      <c r="FG71" s="107"/>
      <c r="FH71" s="107"/>
      <c r="FI71" s="107"/>
      <c r="FJ71" s="107"/>
      <c r="FK71" s="293"/>
      <c r="FL71" s="107"/>
      <c r="FM71" s="107"/>
      <c r="FN71" s="107"/>
      <c r="FO71" s="107"/>
      <c r="FP71" s="293"/>
      <c r="FQ71" s="107"/>
      <c r="FR71" s="107"/>
      <c r="FS71" s="107"/>
      <c r="FT71" s="107"/>
      <c r="FU71" s="293"/>
      <c r="FV71" s="107"/>
      <c r="FW71" s="107"/>
      <c r="FX71" s="107"/>
      <c r="FY71" s="107"/>
      <c r="FZ71" s="293"/>
      <c r="GA71" s="107"/>
      <c r="GB71" s="107"/>
      <c r="GC71" s="107"/>
      <c r="GD71" s="107"/>
      <c r="GE71" s="293"/>
      <c r="GF71" s="107"/>
      <c r="GG71" s="107"/>
      <c r="GH71" s="107"/>
      <c r="GI71" s="107"/>
      <c r="GJ71" s="293"/>
    </row>
    <row r="72" spans="1:192" s="317" customFormat="1" ht="12.75" hidden="1" customHeight="1" outlineLevel="1">
      <c r="A72" s="1641"/>
      <c r="B72" s="730" t="s">
        <v>2007</v>
      </c>
      <c r="C72" s="315"/>
      <c r="D72" s="315"/>
      <c r="E72" s="315"/>
      <c r="F72" s="315"/>
      <c r="G72" s="313"/>
      <c r="H72" s="315"/>
      <c r="I72" s="315"/>
      <c r="J72" s="315"/>
      <c r="K72" s="315"/>
      <c r="L72" s="313"/>
      <c r="M72" s="315"/>
      <c r="N72" s="315"/>
      <c r="O72" s="315"/>
      <c r="P72" s="315"/>
      <c r="Q72" s="313"/>
      <c r="R72" s="315"/>
      <c r="S72" s="315"/>
      <c r="T72" s="315"/>
      <c r="U72" s="315"/>
      <c r="V72" s="313"/>
      <c r="W72" s="315"/>
      <c r="X72" s="315"/>
      <c r="Y72" s="315"/>
      <c r="Z72" s="315"/>
      <c r="AA72" s="313"/>
      <c r="AB72" s="315"/>
      <c r="AC72" s="315"/>
      <c r="AD72" s="315"/>
      <c r="AE72" s="315"/>
      <c r="AF72" s="313"/>
      <c r="AG72" s="315"/>
      <c r="AH72" s="315"/>
      <c r="AI72" s="315"/>
      <c r="AJ72" s="315"/>
      <c r="AK72" s="313"/>
      <c r="AL72" s="315"/>
      <c r="AM72" s="315"/>
      <c r="AN72" s="315"/>
      <c r="AO72" s="315"/>
      <c r="AP72" s="313"/>
      <c r="AQ72" s="315"/>
      <c r="AR72" s="315"/>
      <c r="AS72" s="315"/>
      <c r="AT72" s="315"/>
      <c r="AU72" s="313"/>
      <c r="AV72" s="315"/>
      <c r="AW72" s="315"/>
      <c r="AX72" s="315"/>
      <c r="AY72" s="315"/>
      <c r="AZ72" s="313"/>
      <c r="BA72" s="315"/>
      <c r="BB72" s="315"/>
      <c r="BC72" s="315"/>
      <c r="BD72" s="315"/>
      <c r="BE72" s="313"/>
      <c r="BF72" s="315"/>
      <c r="BG72" s="315"/>
      <c r="BH72" s="315"/>
      <c r="BI72" s="315"/>
      <c r="BJ72" s="313"/>
      <c r="BK72" s="315"/>
      <c r="BL72" s="315"/>
      <c r="BM72" s="315"/>
      <c r="BN72" s="315"/>
      <c r="BO72" s="313"/>
      <c r="BP72" s="315"/>
      <c r="BQ72" s="315"/>
      <c r="BR72" s="315"/>
      <c r="BS72" s="315"/>
      <c r="BT72" s="313"/>
      <c r="BU72" s="315"/>
      <c r="BV72" s="315"/>
      <c r="BW72" s="315"/>
      <c r="BX72" s="315"/>
      <c r="BY72" s="313"/>
      <c r="BZ72" s="315"/>
      <c r="CA72" s="315"/>
      <c r="CB72" s="315"/>
      <c r="CC72" s="315"/>
      <c r="CD72" s="313"/>
      <c r="CE72" s="315"/>
      <c r="CF72" s="315"/>
      <c r="CG72" s="315"/>
      <c r="CH72" s="315"/>
      <c r="CI72" s="313"/>
      <c r="CJ72" s="315"/>
      <c r="CK72" s="315"/>
      <c r="CL72" s="315"/>
      <c r="CM72" s="315"/>
      <c r="CN72" s="313"/>
      <c r="CO72" s="315"/>
      <c r="CP72" s="315"/>
      <c r="CQ72" s="315"/>
      <c r="CR72" s="315"/>
      <c r="CS72" s="313"/>
      <c r="CT72" s="315"/>
      <c r="CU72" s="315"/>
      <c r="CV72" s="315"/>
      <c r="CW72" s="315"/>
      <c r="CX72" s="313"/>
      <c r="CY72" s="316">
        <v>1507</v>
      </c>
      <c r="CZ72" s="316">
        <v>1507</v>
      </c>
      <c r="DA72" s="316">
        <v>1048</v>
      </c>
      <c r="DB72" s="316">
        <v>605</v>
      </c>
      <c r="DC72" s="313">
        <f>SUM(CY72:DB72)</f>
      </c>
      <c r="DD72" s="316">
        <v>1393</v>
      </c>
      <c r="DE72" s="316">
        <v>1915</v>
      </c>
      <c r="DF72" s="316">
        <v>1600</v>
      </c>
      <c r="DG72" s="316">
        <v>1275</v>
      </c>
      <c r="DH72" s="313">
        <f>SUM(DD72:DG72)</f>
      </c>
      <c r="DI72" s="1158">
        <v>2033</v>
      </c>
      <c r="DJ72" s="1158">
        <v>2561</v>
      </c>
      <c r="DK72" s="1158">
        <v>2035</v>
      </c>
      <c r="DL72" s="1158">
        <v>2186</v>
      </c>
      <c r="DM72" s="313">
        <f>SUM(DI72:DL72)</f>
      </c>
      <c r="DN72" s="316">
        <v>2565</v>
      </c>
      <c r="DO72" s="316">
        <v>2510</v>
      </c>
      <c r="DP72" s="316">
        <v>2523</v>
      </c>
      <c r="DQ72" s="316">
        <v>3012</v>
      </c>
      <c r="DR72" s="313">
        <f>SUM(DN72:DQ72)</f>
      </c>
      <c r="DS72" s="316">
        <v>3143</v>
      </c>
      <c r="DT72" s="316">
        <v>2964</v>
      </c>
      <c r="DU72" s="1158">
        <v>3154</v>
      </c>
      <c r="DV72" s="316">
        <v>3559</v>
      </c>
      <c r="DW72" s="313">
        <f>SUM(DS72:DV72)</f>
      </c>
      <c r="DX72" s="316">
        <v>4015</v>
      </c>
      <c r="DY72" s="316">
        <v>4178</v>
      </c>
      <c r="DZ72" s="316">
        <v>3627</v>
      </c>
      <c r="EA72" s="316">
        <v>4091</v>
      </c>
      <c r="EB72" s="313">
        <f>SUM(DX72:EA72)</f>
      </c>
      <c r="EC72" s="316">
        <v>4748</v>
      </c>
      <c r="ED72" s="316">
        <v>5224</v>
      </c>
      <c r="EE72" s="316">
        <v>4594</v>
      </c>
      <c r="EF72" s="316">
        <v>4873</v>
      </c>
      <c r="EG72" s="313">
        <f>SUM(EC72:EF72)</f>
      </c>
      <c r="EH72" s="316">
        <v>5095</v>
      </c>
      <c r="EI72" s="316">
        <v>6362</v>
      </c>
      <c r="EJ72" s="316">
        <v>4899</v>
      </c>
      <c r="EK72" s="316">
        <v>4619</v>
      </c>
      <c r="EL72" s="313">
        <f>SUM(EH72:EK72)</f>
      </c>
      <c r="EM72" s="316">
        <v>4217</v>
      </c>
      <c r="EN72" s="316">
        <v>3320</v>
      </c>
      <c r="EO72" s="316">
        <v>4237</v>
      </c>
      <c r="EP72" s="316">
        <v>4676</v>
      </c>
      <c r="EQ72" s="313">
        <f>SUM(EM72:EP72)</f>
      </c>
      <c r="ER72" s="1158">
        <v>5174</v>
      </c>
      <c r="ES72" s="1158">
        <v>4287</v>
      </c>
      <c r="ET72" s="1158">
        <v>4925</v>
      </c>
      <c r="EU72" s="1158">
        <v>4923</v>
      </c>
      <c r="EV72" s="313">
        <f>SUM(ER72:EU72)</f>
      </c>
      <c r="EW72" s="316"/>
      <c r="EX72" s="316"/>
      <c r="EY72" s="316"/>
      <c r="EZ72" s="316"/>
      <c r="FA72" s="313"/>
      <c r="FB72" s="316"/>
      <c r="FC72" s="316"/>
      <c r="FD72" s="316"/>
      <c r="FE72" s="316"/>
      <c r="FF72" s="313"/>
      <c r="FG72" s="316"/>
      <c r="FH72" s="316"/>
      <c r="FI72" s="316"/>
      <c r="FJ72" s="316"/>
      <c r="FK72" s="313"/>
      <c r="FL72" s="316"/>
      <c r="FM72" s="316"/>
      <c r="FN72" s="316"/>
      <c r="FO72" s="316"/>
      <c r="FP72" s="313"/>
      <c r="FQ72" s="316"/>
      <c r="FR72" s="316"/>
      <c r="FS72" s="316"/>
      <c r="FT72" s="316"/>
      <c r="FU72" s="313"/>
      <c r="FV72" s="316"/>
      <c r="FW72" s="316"/>
      <c r="FX72" s="316"/>
      <c r="FY72" s="316"/>
      <c r="FZ72" s="313"/>
      <c r="GA72" s="316"/>
      <c r="GB72" s="316"/>
      <c r="GC72" s="316"/>
      <c r="GD72" s="316"/>
      <c r="GE72" s="313"/>
      <c r="GF72" s="316"/>
      <c r="GG72" s="316"/>
      <c r="GH72" s="316"/>
      <c r="GI72" s="316"/>
      <c r="GJ72" s="313"/>
    </row>
    <row r="73" spans="1:192" ht="12.75" hidden="1" customHeight="1" outlineLevel="1">
      <c r="B73" s="727" t="s">
        <v>34</v>
      </c>
      <c r="C73" s="291"/>
      <c r="D73" s="107"/>
      <c r="E73" s="107"/>
      <c r="F73" s="107"/>
      <c r="G73" s="292"/>
      <c r="H73" s="291"/>
      <c r="I73" s="107"/>
      <c r="J73" s="107"/>
      <c r="K73" s="107"/>
      <c r="L73" s="292"/>
      <c r="M73" s="291"/>
      <c r="N73" s="107"/>
      <c r="O73" s="107"/>
      <c r="P73" s="107"/>
      <c r="Q73" s="292"/>
      <c r="R73" s="291"/>
      <c r="S73" s="107"/>
      <c r="T73" s="107"/>
      <c r="U73" s="107"/>
      <c r="V73" s="292"/>
      <c r="W73" s="291"/>
      <c r="X73" s="107"/>
      <c r="Y73" s="107"/>
      <c r="Z73" s="107"/>
      <c r="AA73" s="292"/>
      <c r="AB73" s="291"/>
      <c r="AC73" s="107"/>
      <c r="AD73" s="107"/>
      <c r="AE73" s="107"/>
      <c r="AF73" s="292"/>
      <c r="AG73" s="291"/>
      <c r="AH73" s="107"/>
      <c r="AI73" s="107"/>
      <c r="AJ73" s="107"/>
      <c r="AK73" s="292"/>
      <c r="AL73" s="291"/>
      <c r="AM73" s="107"/>
      <c r="AN73" s="107"/>
      <c r="AO73" s="107"/>
      <c r="AP73" s="292"/>
      <c r="AQ73" s="291"/>
      <c r="AR73" s="107"/>
      <c r="AS73" s="107"/>
      <c r="AT73" s="107"/>
      <c r="AU73" s="292"/>
      <c r="AV73" s="291"/>
      <c r="AW73" s="107"/>
      <c r="AX73" s="107"/>
      <c r="AY73" s="107"/>
      <c r="AZ73" s="292"/>
      <c r="BA73" s="291"/>
      <c r="BB73" s="107"/>
      <c r="BC73" s="107"/>
      <c r="BD73" s="107"/>
      <c r="BE73" s="292"/>
      <c r="BF73" s="291"/>
      <c r="BG73" s="107"/>
      <c r="BH73" s="107"/>
      <c r="BI73" s="107"/>
      <c r="BJ73" s="292"/>
      <c r="BK73" s="291"/>
      <c r="BL73" s="107"/>
      <c r="BM73" s="107"/>
      <c r="BN73" s="107"/>
      <c r="BO73" s="292"/>
      <c r="BP73" s="291"/>
      <c r="BQ73" s="107"/>
      <c r="BR73" s="107"/>
      <c r="BS73" s="107"/>
      <c r="BT73" s="292"/>
      <c r="BU73" s="291"/>
      <c r="BV73" s="107"/>
      <c r="BW73" s="107"/>
      <c r="BX73" s="107"/>
      <c r="BY73" s="292"/>
      <c r="BZ73" s="291"/>
      <c r="CA73" s="107"/>
      <c r="CB73" s="107"/>
      <c r="CC73" s="107"/>
      <c r="CD73" s="292"/>
      <c r="CE73" s="291"/>
      <c r="CF73" s="107"/>
      <c r="CG73" s="107"/>
      <c r="CH73" s="107"/>
      <c r="CI73" s="292"/>
      <c r="CJ73" s="291"/>
      <c r="CK73" s="107"/>
      <c r="CL73" s="107"/>
      <c r="CM73" s="107"/>
      <c r="CN73" s="292"/>
      <c r="CO73" s="291"/>
      <c r="CP73" s="107"/>
      <c r="CQ73" s="107"/>
      <c r="CR73" s="107"/>
      <c r="CS73" s="292"/>
      <c r="CT73" s="291"/>
      <c r="CU73" s="107"/>
      <c r="CV73" s="107"/>
      <c r="CW73" s="107"/>
      <c r="CX73" s="292"/>
      <c r="CY73" s="291" t="str">
        <f t="shared" ref="CY73:ES73" si="54">IFERROR(CY72/CT72-1,"--")</f>
      </c>
      <c r="CZ73" s="107" t="str">
        <f t="shared" si="54"/>
      </c>
      <c r="DA73" s="107" t="str">
        <f t="shared" si="54"/>
      </c>
      <c r="DB73" s="107" t="str">
        <f t="shared" si="54"/>
      </c>
      <c r="DC73" s="292" t="str">
        <f t="shared" si="54"/>
      </c>
      <c r="DD73" s="291">
        <f t="shared" si="54"/>
      </c>
      <c r="DE73" s="468">
        <f t="shared" si="54"/>
      </c>
      <c r="DF73" s="468">
        <f t="shared" si="54"/>
      </c>
      <c r="DG73" s="468">
        <f t="shared" si="54"/>
      </c>
      <c r="DH73" s="292">
        <f t="shared" si="54"/>
      </c>
      <c r="DI73" s="441">
        <v>0.46</v>
      </c>
      <c r="DJ73" s="439">
        <v>0.34</v>
      </c>
      <c r="DK73" s="439">
        <v>0.37</v>
      </c>
      <c r="DL73" s="439">
        <v>0.71</v>
      </c>
      <c r="DM73" s="292">
        <f t="shared" si="54"/>
      </c>
      <c r="DN73" s="291">
        <f t="shared" si="54"/>
      </c>
      <c r="DO73" s="107">
        <f t="shared" si="54"/>
      </c>
      <c r="DP73" s="107">
        <f t="shared" si="54"/>
      </c>
      <c r="DQ73" s="107">
        <f t="shared" si="54"/>
      </c>
      <c r="DR73" s="292">
        <f t="shared" si="54"/>
      </c>
      <c r="DS73" s="291">
        <f t="shared" si="54"/>
      </c>
      <c r="DT73" s="107">
        <f t="shared" si="54"/>
      </c>
      <c r="DU73" s="468">
        <f t="shared" si="54"/>
      </c>
      <c r="DV73" s="107">
        <f t="shared" si="54"/>
      </c>
      <c r="DW73" s="292">
        <f t="shared" si="54"/>
      </c>
      <c r="DX73" s="291">
        <f t="shared" si="54"/>
      </c>
      <c r="DY73" s="107">
        <f t="shared" si="54"/>
      </c>
      <c r="DZ73" s="107">
        <f t="shared" si="54"/>
      </c>
      <c r="EA73" s="107">
        <f t="shared" si="54"/>
      </c>
      <c r="EB73" s="292">
        <f t="shared" si="54"/>
      </c>
      <c r="EC73" s="291">
        <f t="shared" si="54"/>
      </c>
      <c r="ED73" s="107">
        <f t="shared" si="54"/>
      </c>
      <c r="EE73" s="107">
        <f t="shared" si="54"/>
      </c>
      <c r="EF73" s="107">
        <f t="shared" si="54"/>
      </c>
      <c r="EG73" s="292">
        <f t="shared" si="54"/>
      </c>
      <c r="EH73" s="291">
        <f t="shared" si="54"/>
      </c>
      <c r="EI73" s="107">
        <f t="shared" si="54"/>
      </c>
      <c r="EJ73" s="107">
        <f t="shared" si="54"/>
      </c>
      <c r="EK73" s="107">
        <f t="shared" si="54"/>
      </c>
      <c r="EL73" s="292">
        <f t="shared" si="54"/>
      </c>
      <c r="EM73" s="441">
        <v>-0.15</v>
      </c>
      <c r="EN73" s="439">
        <v>-0.47</v>
      </c>
      <c r="EO73" s="439">
        <v>-0.12</v>
      </c>
      <c r="EP73" s="468">
        <f t="shared" si="54"/>
      </c>
      <c r="EQ73" s="292">
        <f t="shared" si="54"/>
      </c>
      <c r="ER73" s="291">
        <f t="shared" si="54"/>
      </c>
      <c r="ES73" s="107">
        <f t="shared" si="54"/>
      </c>
      <c r="ET73" s="439">
        <v>0.16</v>
      </c>
      <c r="EU73" s="439">
        <v>0.05</v>
      </c>
      <c r="EV73" s="292">
        <f>IFERROR(EV72/EQ72-1,"--")</f>
      </c>
      <c r="EW73" s="291"/>
      <c r="EX73" s="107"/>
      <c r="EY73" s="107"/>
      <c r="EZ73" s="107"/>
      <c r="FA73" s="292"/>
      <c r="FB73" s="291"/>
      <c r="FC73" s="107"/>
      <c r="FD73" s="107"/>
      <c r="FE73" s="107"/>
      <c r="FF73" s="292"/>
      <c r="FG73" s="291"/>
      <c r="FH73" s="107"/>
      <c r="FI73" s="107"/>
      <c r="FJ73" s="107"/>
      <c r="FK73" s="292"/>
      <c r="FL73" s="291"/>
      <c r="FM73" s="107"/>
      <c r="FN73" s="107"/>
      <c r="FO73" s="107"/>
      <c r="FP73" s="292"/>
      <c r="FQ73" s="291"/>
      <c r="FR73" s="107"/>
      <c r="FS73" s="107"/>
      <c r="FT73" s="107"/>
      <c r="FU73" s="292"/>
      <c r="FV73" s="291"/>
      <c r="FW73" s="107"/>
      <c r="FX73" s="107"/>
      <c r="FY73" s="107"/>
      <c r="FZ73" s="292"/>
      <c r="GA73" s="291"/>
      <c r="GB73" s="107"/>
      <c r="GC73" s="107"/>
      <c r="GD73" s="107"/>
      <c r="GE73" s="292"/>
      <c r="GF73" s="291"/>
      <c r="GG73" s="107"/>
      <c r="GH73" s="107"/>
      <c r="GI73" s="107"/>
      <c r="GJ73" s="292"/>
    </row>
    <row r="74" spans="1:192" ht="12.75" hidden="1" customHeight="1" outlineLevel="1">
      <c r="B74" s="727" t="s">
        <v>197</v>
      </c>
      <c r="C74" s="291"/>
      <c r="D74" s="107"/>
      <c r="E74" s="107"/>
      <c r="F74" s="107"/>
      <c r="G74" s="292"/>
      <c r="H74" s="291"/>
      <c r="I74" s="107"/>
      <c r="J74" s="107"/>
      <c r="K74" s="107"/>
      <c r="L74" s="292"/>
      <c r="M74" s="291"/>
      <c r="N74" s="107"/>
      <c r="O74" s="107"/>
      <c r="P74" s="107"/>
      <c r="Q74" s="292"/>
      <c r="R74" s="291"/>
      <c r="S74" s="107"/>
      <c r="T74" s="107"/>
      <c r="U74" s="107"/>
      <c r="V74" s="292"/>
      <c r="W74" s="291"/>
      <c r="X74" s="107"/>
      <c r="Y74" s="107"/>
      <c r="Z74" s="107"/>
      <c r="AA74" s="292"/>
      <c r="AB74" s="291"/>
      <c r="AC74" s="107"/>
      <c r="AD74" s="107"/>
      <c r="AE74" s="107"/>
      <c r="AF74" s="292"/>
      <c r="AG74" s="291"/>
      <c r="AH74" s="107"/>
      <c r="AI74" s="107"/>
      <c r="AJ74" s="107"/>
      <c r="AK74" s="292"/>
      <c r="AL74" s="291"/>
      <c r="AM74" s="107"/>
      <c r="AN74" s="107"/>
      <c r="AO74" s="107"/>
      <c r="AP74" s="292"/>
      <c r="AQ74" s="291"/>
      <c r="AR74" s="107"/>
      <c r="AS74" s="107"/>
      <c r="AT74" s="107"/>
      <c r="AU74" s="292"/>
      <c r="AV74" s="291"/>
      <c r="AW74" s="107"/>
      <c r="AX74" s="107"/>
      <c r="AY74" s="107"/>
      <c r="AZ74" s="292"/>
      <c r="BA74" s="291"/>
      <c r="BB74" s="107"/>
      <c r="BC74" s="107"/>
      <c r="BD74" s="107"/>
      <c r="BE74" s="292"/>
      <c r="BF74" s="291"/>
      <c r="BG74" s="107"/>
      <c r="BH74" s="107"/>
      <c r="BI74" s="107"/>
      <c r="BJ74" s="292"/>
      <c r="BK74" s="291"/>
      <c r="BL74" s="107"/>
      <c r="BM74" s="107"/>
      <c r="BN74" s="107"/>
      <c r="BO74" s="292"/>
      <c r="BP74" s="291"/>
      <c r="BQ74" s="107"/>
      <c r="BR74" s="107"/>
      <c r="BS74" s="107"/>
      <c r="BT74" s="292"/>
      <c r="BU74" s="291"/>
      <c r="BV74" s="107"/>
      <c r="BW74" s="107"/>
      <c r="BX74" s="107"/>
      <c r="BY74" s="292"/>
      <c r="BZ74" s="291"/>
      <c r="CA74" s="107"/>
      <c r="CB74" s="107"/>
      <c r="CC74" s="107"/>
      <c r="CD74" s="292"/>
      <c r="CE74" s="291"/>
      <c r="CF74" s="107"/>
      <c r="CG74" s="107"/>
      <c r="CH74" s="107"/>
      <c r="CI74" s="292"/>
      <c r="CJ74" s="291"/>
      <c r="CK74" s="107"/>
      <c r="CL74" s="107"/>
      <c r="CM74" s="107"/>
      <c r="CN74" s="292"/>
      <c r="CO74" s="291"/>
      <c r="CP74" s="107"/>
      <c r="CQ74" s="107"/>
      <c r="CR74" s="107"/>
      <c r="CS74" s="292"/>
      <c r="CT74" s="291"/>
      <c r="CU74" s="107"/>
      <c r="CV74" s="107"/>
      <c r="CW74" s="107"/>
      <c r="CX74" s="292"/>
      <c r="CY74" s="412"/>
      <c r="CZ74" s="114"/>
      <c r="DA74" s="114"/>
      <c r="DB74" s="114"/>
      <c r="DC74" s="292"/>
      <c r="DD74" s="412">
        <v>-0.04</v>
      </c>
      <c r="DE74" s="114">
        <v>0.35</v>
      </c>
      <c r="DF74" s="114">
        <v>0.56999999999999995</v>
      </c>
      <c r="DG74" s="114">
        <v>0.59</v>
      </c>
      <c r="DH74" s="292"/>
      <c r="DI74" s="412">
        <v>0.31</v>
      </c>
      <c r="DJ74" s="114">
        <v>0.37</v>
      </c>
      <c r="DK74" s="114">
        <v>0.23</v>
      </c>
      <c r="DL74" s="114">
        <v>0.72</v>
      </c>
      <c r="DM74" s="292"/>
      <c r="DN74" s="412">
        <v>0.26</v>
      </c>
      <c r="DO74" s="114">
        <v>-0.02</v>
      </c>
      <c r="DP74" s="114">
        <v>0.2</v>
      </c>
      <c r="DQ74" s="114">
        <v>0.32</v>
      </c>
      <c r="DR74" s="292"/>
      <c r="DS74" s="412">
        <v>0.23</v>
      </c>
      <c r="DT74" s="114">
        <v>0.19</v>
      </c>
      <c r="DU74" s="439">
        <v>0.28000000000000003</v>
      </c>
      <c r="DV74" s="114">
        <v>0.22</v>
      </c>
      <c r="DW74" s="292"/>
      <c r="DX74" s="412">
        <v>0.31</v>
      </c>
      <c r="DY74" s="114">
        <v>0.45</v>
      </c>
      <c r="DZ74" s="114">
        <v>0.17</v>
      </c>
      <c r="EA74" s="114">
        <v>0.19</v>
      </c>
      <c r="EB74" s="292"/>
      <c r="EC74" s="412">
        <v>0.18</v>
      </c>
      <c r="ED74" s="114">
        <v>0.22</v>
      </c>
      <c r="EE74" s="114">
        <v>0.22</v>
      </c>
      <c r="EF74" s="114">
        <v>0.13</v>
      </c>
      <c r="EG74" s="292"/>
      <c r="EH74" s="412">
        <v>0.05</v>
      </c>
      <c r="EI74" s="114">
        <v>0.21</v>
      </c>
      <c r="EJ74" s="114">
        <v>0.1</v>
      </c>
      <c r="EK74" s="114">
        <v>0</v>
      </c>
      <c r="EL74" s="292"/>
      <c r="EM74" s="412">
        <v>-0.09</v>
      </c>
      <c r="EN74" s="114">
        <v>-0.4</v>
      </c>
      <c r="EO74" s="114">
        <v>-7.0000000000000007E-2</v>
      </c>
      <c r="EP74" s="412">
        <v>0.06</v>
      </c>
      <c r="EQ74" s="292"/>
      <c r="ER74" s="412">
        <v>0.22</v>
      </c>
      <c r="ES74" s="114">
        <v>0.26</v>
      </c>
      <c r="ET74" s="439">
        <v>0.15</v>
      </c>
      <c r="EU74" s="439">
        <v>0.06</v>
      </c>
      <c r="EV74" s="292"/>
      <c r="EW74" s="291"/>
      <c r="EX74" s="107"/>
      <c r="EY74" s="107"/>
      <c r="EZ74" s="107"/>
      <c r="FA74" s="292"/>
      <c r="FB74" s="291"/>
      <c r="FC74" s="107"/>
      <c r="FD74" s="107"/>
      <c r="FE74" s="107"/>
      <c r="FF74" s="292"/>
      <c r="FG74" s="291"/>
      <c r="FH74" s="107"/>
      <c r="FI74" s="107"/>
      <c r="FJ74" s="107"/>
      <c r="FK74" s="292"/>
      <c r="FL74" s="291"/>
      <c r="FM74" s="107"/>
      <c r="FN74" s="107"/>
      <c r="FO74" s="107"/>
      <c r="FP74" s="292"/>
      <c r="FQ74" s="291"/>
      <c r="FR74" s="107"/>
      <c r="FS74" s="107"/>
      <c r="FT74" s="107"/>
      <c r="FU74" s="292"/>
      <c r="FV74" s="291"/>
      <c r="FW74" s="107"/>
      <c r="FX74" s="107"/>
      <c r="FY74" s="107"/>
      <c r="FZ74" s="292"/>
      <c r="GA74" s="291"/>
      <c r="GB74" s="107"/>
      <c r="GC74" s="107"/>
      <c r="GD74" s="107"/>
      <c r="GE74" s="292"/>
      <c r="GF74" s="291"/>
      <c r="GG74" s="107"/>
      <c r="GH74" s="107"/>
      <c r="GI74" s="107"/>
      <c r="GJ74" s="292"/>
    </row>
    <row r="75" spans="1:192" ht="12.75" hidden="1" customHeight="1" outlineLevel="1">
      <c r="B75" s="727" t="s">
        <v>36</v>
      </c>
      <c r="C75" s="291"/>
      <c r="D75" s="107"/>
      <c r="E75" s="107"/>
      <c r="F75" s="107"/>
      <c r="G75" s="293"/>
      <c r="H75" s="291"/>
      <c r="I75" s="107"/>
      <c r="J75" s="107"/>
      <c r="K75" s="107"/>
      <c r="L75" s="293"/>
      <c r="M75" s="291"/>
      <c r="N75" s="107"/>
      <c r="O75" s="107"/>
      <c r="P75" s="107"/>
      <c r="Q75" s="293"/>
      <c r="R75" s="291"/>
      <c r="S75" s="107"/>
      <c r="T75" s="107"/>
      <c r="U75" s="107"/>
      <c r="V75" s="293"/>
      <c r="W75" s="291"/>
      <c r="X75" s="107"/>
      <c r="Y75" s="107"/>
      <c r="Z75" s="107"/>
      <c r="AA75" s="293"/>
      <c r="AB75" s="291"/>
      <c r="AC75" s="107"/>
      <c r="AD75" s="107"/>
      <c r="AE75" s="107"/>
      <c r="AF75" s="293"/>
      <c r="AG75" s="291"/>
      <c r="AH75" s="107"/>
      <c r="AI75" s="107"/>
      <c r="AJ75" s="107"/>
      <c r="AK75" s="293"/>
      <c r="AL75" s="291"/>
      <c r="AM75" s="107"/>
      <c r="AN75" s="107"/>
      <c r="AO75" s="107"/>
      <c r="AP75" s="293"/>
      <c r="AQ75" s="291"/>
      <c r="AR75" s="107"/>
      <c r="AS75" s="107"/>
      <c r="AT75" s="107"/>
      <c r="AU75" s="293"/>
      <c r="AV75" s="291"/>
      <c r="AW75" s="107"/>
      <c r="AX75" s="107"/>
      <c r="AY75" s="107"/>
      <c r="AZ75" s="293"/>
      <c r="BA75" s="291"/>
      <c r="BB75" s="107"/>
      <c r="BC75" s="107"/>
      <c r="BD75" s="107"/>
      <c r="BE75" s="293"/>
      <c r="BF75" s="291"/>
      <c r="BG75" s="107"/>
      <c r="BH75" s="107"/>
      <c r="BI75" s="107"/>
      <c r="BJ75" s="293"/>
      <c r="BK75" s="291"/>
      <c r="BL75" s="107"/>
      <c r="BM75" s="107"/>
      <c r="BN75" s="107"/>
      <c r="BO75" s="293"/>
      <c r="BP75" s="291"/>
      <c r="BQ75" s="107"/>
      <c r="BR75" s="107"/>
      <c r="BS75" s="107"/>
      <c r="BT75" s="293"/>
      <c r="BU75" s="291"/>
      <c r="BV75" s="107"/>
      <c r="BW75" s="107"/>
      <c r="BX75" s="107"/>
      <c r="BY75" s="293"/>
      <c r="BZ75" s="291"/>
      <c r="CA75" s="107"/>
      <c r="CB75" s="107"/>
      <c r="CC75" s="107"/>
      <c r="CD75" s="293"/>
      <c r="CE75" s="291"/>
      <c r="CF75" s="107"/>
      <c r="CG75" s="107"/>
      <c r="CH75" s="107"/>
      <c r="CI75" s="293"/>
      <c r="CJ75" s="291"/>
      <c r="CK75" s="107"/>
      <c r="CL75" s="107"/>
      <c r="CM75" s="107"/>
      <c r="CN75" s="293"/>
      <c r="CO75" s="291"/>
      <c r="CP75" s="107"/>
      <c r="CQ75" s="107"/>
      <c r="CR75" s="107"/>
      <c r="CS75" s="293"/>
      <c r="CT75" s="291"/>
      <c r="CU75" s="107"/>
      <c r="CV75" s="107"/>
      <c r="CW75" s="107"/>
      <c r="CX75" s="293"/>
      <c r="CY75" s="291" t="str">
        <f>IFERROR(CY72/CW72-1,"--")</f>
      </c>
      <c r="CZ75" s="107">
        <f>IFERROR(CZ72/CY72-1,"--")</f>
      </c>
      <c r="DA75" s="107">
        <f>IFERROR(DA72/CZ72-1,"--")</f>
      </c>
      <c r="DB75" s="107">
        <f>IFERROR(DB72/DA72-1,"--")</f>
      </c>
      <c r="DC75" s="293"/>
      <c r="DD75" s="291">
        <f>IFERROR(DD72/DB72-1,"--")</f>
      </c>
      <c r="DE75" s="107">
        <f>IFERROR(DE72/DD72-1,"--")</f>
      </c>
      <c r="DF75" s="107">
        <f>IFERROR(DF72/DE72-1,"--")</f>
      </c>
      <c r="DG75" s="107">
        <f>IFERROR(DG72/DF72-1,"--")</f>
      </c>
      <c r="DH75" s="293"/>
      <c r="DI75" s="291">
        <f>IFERROR(DI72/DG72-1,"--")</f>
      </c>
      <c r="DJ75" s="107">
        <f>IFERROR(DJ72/DI72-1,"--")</f>
      </c>
      <c r="DK75" s="107">
        <f>IFERROR(DK72/DJ72-1,"--")</f>
      </c>
      <c r="DL75" s="107">
        <f>IFERROR(DL72/DK72-1,"--")</f>
      </c>
      <c r="DM75" s="293"/>
      <c r="DN75" s="291">
        <f>IFERROR(DN72/DL72-1,"--")</f>
      </c>
      <c r="DO75" s="107">
        <f>IFERROR(DO72/DN72-1,"--")</f>
      </c>
      <c r="DP75" s="107">
        <f>IFERROR(DP72/DO72-1,"--")</f>
      </c>
      <c r="DQ75" s="107">
        <f>IFERROR(DQ72/DP72-1,"--")</f>
      </c>
      <c r="DR75" s="293"/>
      <c r="DS75" s="291">
        <f>IFERROR(DS72/DQ72-1,"--")</f>
      </c>
      <c r="DT75" s="107">
        <f>IFERROR(DT72/DS72-1,"--")</f>
      </c>
      <c r="DU75" s="468">
        <f>IFERROR(DU72/DT72-1,"--")</f>
      </c>
      <c r="DV75" s="107">
        <f>IFERROR(DV72/DU72-1,"--")</f>
      </c>
      <c r="DW75" s="293"/>
      <c r="DX75" s="291">
        <f>IFERROR(DX72/DV72-1,"--")</f>
      </c>
      <c r="DY75" s="107">
        <f>IFERROR(DY72/DX72-1,"--")</f>
      </c>
      <c r="DZ75" s="107">
        <f>IFERROR(DZ72/DY72-1,"--")</f>
      </c>
      <c r="EA75" s="107">
        <f>IFERROR(EA72/DZ72-1,"--")</f>
      </c>
      <c r="EB75" s="293"/>
      <c r="EC75" s="291">
        <f>IFERROR(EC72/EA72-1,"--")</f>
      </c>
      <c r="ED75" s="107">
        <f>IFERROR(ED72/EC72-1,"--")</f>
      </c>
      <c r="EE75" s="107">
        <f>IFERROR(EE72/ED72-1,"--")</f>
      </c>
      <c r="EF75" s="107">
        <f>IFERROR(EF72/EE72-1,"--")</f>
      </c>
      <c r="EG75" s="293"/>
      <c r="EH75" s="291">
        <f>IFERROR(EH72/EF72-1,"--")</f>
      </c>
      <c r="EI75" s="107">
        <f>IFERROR(EI72/EH72-1,"--")</f>
      </c>
      <c r="EJ75" s="107">
        <f>IFERROR(EJ72/EI72-1,"--")</f>
      </c>
      <c r="EK75" s="107">
        <f>IFERROR(EK72/EJ72-1,"--")</f>
      </c>
      <c r="EL75" s="293"/>
      <c r="EM75" s="291">
        <f>IFERROR(EM72/EK72-1,"--")</f>
      </c>
      <c r="EN75" s="107">
        <f>IFERROR(EN72/EM72-1,"--")</f>
      </c>
      <c r="EO75" s="107">
        <f>IFERROR(EO72/EN72-1,"--")</f>
      </c>
      <c r="EP75" s="107">
        <f>IFERROR(EP72/EO72-1,"--")</f>
      </c>
      <c r="EQ75" s="293"/>
      <c r="ER75" s="291">
        <f>IFERROR(ER72/EP72-1,"--")</f>
      </c>
      <c r="ES75" s="107">
        <f>IFERROR(ES72/ER72-1,"--")</f>
      </c>
      <c r="ET75" s="107">
        <f>IFERROR(ET72/ES72-1,"--")</f>
      </c>
      <c r="EU75" s="468">
        <f>IFERROR(EU72/ET72-1,"--")</f>
      </c>
      <c r="EV75" s="293"/>
      <c r="EW75" s="291"/>
      <c r="EX75" s="107"/>
      <c r="EY75" s="107"/>
      <c r="EZ75" s="107"/>
      <c r="FA75" s="293"/>
      <c r="FB75" s="291"/>
      <c r="FC75" s="107"/>
      <c r="FD75" s="107"/>
      <c r="FE75" s="107"/>
      <c r="FF75" s="293"/>
      <c r="FG75" s="291"/>
      <c r="FH75" s="107"/>
      <c r="FI75" s="107"/>
      <c r="FJ75" s="107"/>
      <c r="FK75" s="293"/>
      <c r="FL75" s="291"/>
      <c r="FM75" s="107"/>
      <c r="FN75" s="107"/>
      <c r="FO75" s="107"/>
      <c r="FP75" s="293"/>
      <c r="FQ75" s="291"/>
      <c r="FR75" s="107"/>
      <c r="FS75" s="107"/>
      <c r="FT75" s="107"/>
      <c r="FU75" s="293"/>
      <c r="FV75" s="291"/>
      <c r="FW75" s="107"/>
      <c r="FX75" s="107"/>
      <c r="FY75" s="107"/>
      <c r="FZ75" s="293"/>
      <c r="GA75" s="291"/>
      <c r="GB75" s="107"/>
      <c r="GC75" s="107"/>
      <c r="GD75" s="107"/>
      <c r="GE75" s="293"/>
      <c r="GF75" s="291"/>
      <c r="GG75" s="107"/>
      <c r="GH75" s="107"/>
      <c r="GI75" s="107"/>
      <c r="GJ75" s="293"/>
    </row>
    <row r="76" spans="1:192" s="461" customFormat="1" ht="12.75" hidden="1" customHeight="1" outlineLevel="1">
      <c r="A76" s="850"/>
      <c r="B76" s="727" t="s">
        <v>256</v>
      </c>
      <c r="C76" s="447"/>
      <c r="D76" s="458"/>
      <c r="E76" s="458"/>
      <c r="F76" s="458"/>
      <c r="G76" s="459"/>
      <c r="H76" s="447"/>
      <c r="I76" s="458"/>
      <c r="J76" s="458"/>
      <c r="K76" s="458"/>
      <c r="L76" s="459"/>
      <c r="M76" s="447"/>
      <c r="N76" s="458"/>
      <c r="O76" s="458"/>
      <c r="P76" s="458"/>
      <c r="Q76" s="459"/>
      <c r="R76" s="447"/>
      <c r="S76" s="458"/>
      <c r="T76" s="458"/>
      <c r="U76" s="458"/>
      <c r="V76" s="459"/>
      <c r="W76" s="447"/>
      <c r="X76" s="458"/>
      <c r="Y76" s="458"/>
      <c r="Z76" s="458"/>
      <c r="AA76" s="459"/>
      <c r="AB76" s="447"/>
      <c r="AC76" s="458"/>
      <c r="AD76" s="458"/>
      <c r="AE76" s="458"/>
      <c r="AF76" s="459"/>
      <c r="AG76" s="447"/>
      <c r="AH76" s="458"/>
      <c r="AI76" s="458"/>
      <c r="AJ76" s="458"/>
      <c r="AK76" s="459"/>
      <c r="AL76" s="447"/>
      <c r="AM76" s="458"/>
      <c r="AN76" s="458"/>
      <c r="AO76" s="458"/>
      <c r="AP76" s="459"/>
      <c r="AQ76" s="447"/>
      <c r="AR76" s="458"/>
      <c r="AS76" s="458"/>
      <c r="AT76" s="458"/>
      <c r="AU76" s="459"/>
      <c r="AV76" s="447"/>
      <c r="AW76" s="458"/>
      <c r="AX76" s="458"/>
      <c r="AY76" s="458"/>
      <c r="AZ76" s="459"/>
      <c r="BA76" s="447"/>
      <c r="BB76" s="458"/>
      <c r="BC76" s="458"/>
      <c r="BD76" s="458"/>
      <c r="BE76" s="459"/>
      <c r="BF76" s="447"/>
      <c r="BG76" s="458"/>
      <c r="BH76" s="458"/>
      <c r="BI76" s="458"/>
      <c r="BJ76" s="459"/>
      <c r="BK76" s="447"/>
      <c r="BL76" s="458"/>
      <c r="BM76" s="458"/>
      <c r="BN76" s="458"/>
      <c r="BO76" s="459"/>
      <c r="BP76" s="447"/>
      <c r="BQ76" s="458"/>
      <c r="BR76" s="458"/>
      <c r="BS76" s="458"/>
      <c r="BT76" s="459"/>
      <c r="BU76" s="447"/>
      <c r="BV76" s="458"/>
      <c r="BW76" s="458"/>
      <c r="BX76" s="458"/>
      <c r="BY76" s="459"/>
      <c r="BZ76" s="447"/>
      <c r="CA76" s="458"/>
      <c r="CB76" s="458"/>
      <c r="CC76" s="458"/>
      <c r="CD76" s="459"/>
      <c r="CE76" s="447"/>
      <c r="CF76" s="458"/>
      <c r="CG76" s="458"/>
      <c r="CH76" s="458"/>
      <c r="CI76" s="459"/>
      <c r="CJ76" s="447"/>
      <c r="CK76" s="458"/>
      <c r="CL76" s="458"/>
      <c r="CM76" s="458"/>
      <c r="CN76" s="459"/>
      <c r="CO76" s="447"/>
      <c r="CP76" s="458"/>
      <c r="CQ76" s="458"/>
      <c r="CR76" s="458"/>
      <c r="CS76" s="459"/>
      <c r="CT76" s="447"/>
      <c r="CU76" s="458"/>
      <c r="CV76" s="458"/>
      <c r="CW76" s="458"/>
      <c r="CX76" s="459"/>
      <c r="CY76" s="447"/>
      <c r="CZ76" s="447"/>
      <c r="DA76" s="447"/>
      <c r="DB76" s="447"/>
      <c r="DC76" s="459"/>
      <c r="DD76" s="447">
        <f t="shared" ref="DD76:EV76" si="55">DD72-CY72</f>
      </c>
      <c r="DE76" s="447">
        <f t="shared" si="55"/>
      </c>
      <c r="DF76" s="447">
        <f t="shared" si="55"/>
      </c>
      <c r="DG76" s="447">
        <f t="shared" si="55"/>
      </c>
      <c r="DH76" s="459">
        <f t="shared" si="55"/>
      </c>
      <c r="DI76" s="447">
        <f t="shared" si="55"/>
      </c>
      <c r="DJ76" s="447">
        <f t="shared" si="55"/>
      </c>
      <c r="DK76" s="447">
        <f t="shared" si="55"/>
      </c>
      <c r="DL76" s="447">
        <f t="shared" si="55"/>
      </c>
      <c r="DM76" s="459">
        <f t="shared" si="55"/>
      </c>
      <c r="DN76" s="447">
        <f t="shared" si="55"/>
      </c>
      <c r="DO76" s="447">
        <f t="shared" si="55"/>
      </c>
      <c r="DP76" s="447">
        <f t="shared" si="55"/>
      </c>
      <c r="DQ76" s="447">
        <f t="shared" si="55"/>
      </c>
      <c r="DR76" s="459">
        <f t="shared" si="55"/>
      </c>
      <c r="DS76" s="447">
        <f t="shared" si="55"/>
      </c>
      <c r="DT76" s="447">
        <f t="shared" si="55"/>
      </c>
      <c r="DU76" s="447">
        <f t="shared" si="55"/>
      </c>
      <c r="DV76" s="447">
        <f t="shared" si="55"/>
      </c>
      <c r="DW76" s="459">
        <f t="shared" si="55"/>
      </c>
      <c r="DX76" s="447">
        <f t="shared" si="55"/>
      </c>
      <c r="DY76" s="447">
        <f t="shared" si="55"/>
      </c>
      <c r="DZ76" s="447">
        <f t="shared" si="55"/>
      </c>
      <c r="EA76" s="447">
        <f t="shared" si="55"/>
      </c>
      <c r="EB76" s="459">
        <f t="shared" si="55"/>
      </c>
      <c r="EC76" s="447">
        <f t="shared" si="55"/>
      </c>
      <c r="ED76" s="447">
        <f t="shared" si="55"/>
      </c>
      <c r="EE76" s="447">
        <f t="shared" si="55"/>
      </c>
      <c r="EF76" s="447">
        <f t="shared" si="55"/>
      </c>
      <c r="EG76" s="459">
        <f t="shared" si="55"/>
      </c>
      <c r="EH76" s="447">
        <f t="shared" si="55"/>
      </c>
      <c r="EI76" s="447">
        <f t="shared" si="55"/>
      </c>
      <c r="EJ76" s="447">
        <f t="shared" si="55"/>
      </c>
      <c r="EK76" s="447">
        <f t="shared" si="55"/>
      </c>
      <c r="EL76" s="459">
        <f t="shared" si="55"/>
      </c>
      <c r="EM76" s="447">
        <f t="shared" si="55"/>
      </c>
      <c r="EN76" s="511">
        <f t="shared" si="55"/>
      </c>
      <c r="EO76" s="447">
        <f t="shared" si="55"/>
      </c>
      <c r="EP76" s="447">
        <f t="shared" si="55"/>
      </c>
      <c r="EQ76" s="459">
        <f t="shared" si="55"/>
      </c>
      <c r="ER76" s="447">
        <f t="shared" si="55"/>
      </c>
      <c r="ES76" s="447">
        <f t="shared" si="55"/>
      </c>
      <c r="ET76" s="458">
        <f t="shared" si="55"/>
      </c>
      <c r="EU76" s="447">
        <f t="shared" si="55"/>
      </c>
      <c r="EV76" s="459">
        <f t="shared" si="55"/>
      </c>
      <c r="EW76" s="447"/>
      <c r="EX76" s="458"/>
      <c r="EY76" s="458"/>
      <c r="EZ76" s="458"/>
      <c r="FA76" s="459"/>
      <c r="FB76" s="447"/>
      <c r="FC76" s="458"/>
      <c r="FD76" s="458"/>
      <c r="FE76" s="458"/>
      <c r="FF76" s="459"/>
      <c r="FG76" s="447"/>
      <c r="FH76" s="458"/>
      <c r="FI76" s="458"/>
      <c r="FJ76" s="458"/>
      <c r="FK76" s="459"/>
      <c r="FL76" s="447"/>
      <c r="FM76" s="458"/>
      <c r="FN76" s="458"/>
      <c r="FO76" s="458"/>
      <c r="FP76" s="459"/>
      <c r="FQ76" s="447"/>
      <c r="FR76" s="458"/>
      <c r="FS76" s="458"/>
      <c r="FT76" s="458"/>
      <c r="FU76" s="459"/>
      <c r="FV76" s="447"/>
      <c r="FW76" s="458"/>
      <c r="FX76" s="458"/>
      <c r="FY76" s="458"/>
      <c r="FZ76" s="459"/>
      <c r="GA76" s="447"/>
      <c r="GB76" s="458"/>
      <c r="GC76" s="458"/>
      <c r="GD76" s="458"/>
      <c r="GE76" s="459"/>
      <c r="GF76" s="447"/>
      <c r="GG76" s="458"/>
      <c r="GH76" s="458"/>
      <c r="GI76" s="458"/>
      <c r="GJ76" s="459"/>
    </row>
    <row r="77" spans="1:192" ht="12.75" hidden="1" customHeight="1" outlineLevel="1">
      <c r="B77" s="727" t="s">
        <v>263</v>
      </c>
      <c r="C77" s="291"/>
      <c r="D77" s="107"/>
      <c r="E77" s="107"/>
      <c r="F77" s="107"/>
      <c r="G77" s="293"/>
      <c r="H77" s="291"/>
      <c r="I77" s="107"/>
      <c r="J77" s="107"/>
      <c r="K77" s="107"/>
      <c r="L77" s="293"/>
      <c r="M77" s="291"/>
      <c r="N77" s="107"/>
      <c r="O77" s="107"/>
      <c r="P77" s="107"/>
      <c r="Q77" s="293"/>
      <c r="R77" s="291"/>
      <c r="S77" s="107"/>
      <c r="T77" s="107"/>
      <c r="U77" s="107"/>
      <c r="V77" s="293"/>
      <c r="W77" s="291"/>
      <c r="X77" s="107"/>
      <c r="Y77" s="107"/>
      <c r="Z77" s="107"/>
      <c r="AA77" s="293"/>
      <c r="AB77" s="291"/>
      <c r="AC77" s="107"/>
      <c r="AD77" s="107"/>
      <c r="AE77" s="107"/>
      <c r="AF77" s="293"/>
      <c r="AG77" s="291"/>
      <c r="AH77" s="107"/>
      <c r="AI77" s="107"/>
      <c r="AJ77" s="107"/>
      <c r="AK77" s="293"/>
      <c r="AL77" s="291"/>
      <c r="AM77" s="107"/>
      <c r="AN77" s="107"/>
      <c r="AO77" s="107"/>
      <c r="AP77" s="293"/>
      <c r="AQ77" s="291"/>
      <c r="AR77" s="107"/>
      <c r="AS77" s="107"/>
      <c r="AT77" s="107"/>
      <c r="AU77" s="293"/>
      <c r="AV77" s="291"/>
      <c r="AW77" s="107"/>
      <c r="AX77" s="107"/>
      <c r="AY77" s="107"/>
      <c r="AZ77" s="293"/>
      <c r="BA77" s="291"/>
      <c r="BB77" s="107"/>
      <c r="BC77" s="107"/>
      <c r="BD77" s="107"/>
      <c r="BE77" s="293"/>
      <c r="BF77" s="291"/>
      <c r="BG77" s="107"/>
      <c r="BH77" s="107"/>
      <c r="BI77" s="107"/>
      <c r="BJ77" s="293"/>
      <c r="BK77" s="291"/>
      <c r="BL77" s="107"/>
      <c r="BM77" s="107"/>
      <c r="BN77" s="107"/>
      <c r="BO77" s="293"/>
      <c r="BP77" s="291"/>
      <c r="BQ77" s="107"/>
      <c r="BR77" s="107"/>
      <c r="BS77" s="107"/>
      <c r="BT77" s="293"/>
      <c r="BU77" s="291"/>
      <c r="BV77" s="107"/>
      <c r="BW77" s="107"/>
      <c r="BX77" s="107"/>
      <c r="BY77" s="293"/>
      <c r="BZ77" s="291"/>
      <c r="CA77" s="107"/>
      <c r="CB77" s="107"/>
      <c r="CC77" s="107"/>
      <c r="CD77" s="293"/>
      <c r="CE77" s="291"/>
      <c r="CF77" s="107"/>
      <c r="CG77" s="107"/>
      <c r="CH77" s="107"/>
      <c r="CI77" s="293"/>
      <c r="CJ77" s="291"/>
      <c r="CK77" s="107"/>
      <c r="CL77" s="107"/>
      <c r="CM77" s="107"/>
      <c r="CN77" s="293"/>
      <c r="CO77" s="291"/>
      <c r="CP77" s="107"/>
      <c r="CQ77" s="107"/>
      <c r="CR77" s="107"/>
      <c r="CS77" s="293"/>
      <c r="CT77" s="291"/>
      <c r="CU77" s="107"/>
      <c r="CV77" s="107"/>
      <c r="CW77" s="107"/>
      <c r="CX77" s="293"/>
      <c r="CY77" s="465">
        <f t="shared" ref="CY77:EQ77" si="56">CY72/CY50</f>
      </c>
      <c r="CZ77" s="465">
        <f t="shared" si="56"/>
      </c>
      <c r="DA77" s="465">
        <f t="shared" si="56"/>
      </c>
      <c r="DB77" s="465">
        <f t="shared" si="56"/>
      </c>
      <c r="DC77" s="524">
        <f t="shared" si="56"/>
      </c>
      <c r="DD77" s="465">
        <f t="shared" si="56"/>
      </c>
      <c r="DE77" s="465">
        <f t="shared" si="56"/>
      </c>
      <c r="DF77" s="465">
        <f t="shared" si="56"/>
      </c>
      <c r="DG77" s="465">
        <f t="shared" si="56"/>
      </c>
      <c r="DH77" s="524">
        <f t="shared" si="56"/>
      </c>
      <c r="DI77" s="465">
        <f t="shared" si="56"/>
      </c>
      <c r="DJ77" s="465">
        <f t="shared" si="56"/>
      </c>
      <c r="DK77" s="465">
        <f t="shared" si="56"/>
      </c>
      <c r="DL77" s="465">
        <f t="shared" si="56"/>
      </c>
      <c r="DM77" s="524">
        <f t="shared" si="56"/>
      </c>
      <c r="DN77" s="465">
        <f t="shared" si="56"/>
      </c>
      <c r="DO77" s="465">
        <f t="shared" si="56"/>
      </c>
      <c r="DP77" s="465">
        <f t="shared" si="56"/>
      </c>
      <c r="DQ77" s="465">
        <f t="shared" si="56"/>
      </c>
      <c r="DR77" s="524">
        <f t="shared" si="56"/>
      </c>
      <c r="DS77" s="465">
        <f t="shared" si="56"/>
      </c>
      <c r="DT77" s="465">
        <f t="shared" si="56"/>
      </c>
      <c r="DU77" s="465">
        <f t="shared" si="56"/>
      </c>
      <c r="DV77" s="465">
        <f t="shared" si="56"/>
      </c>
      <c r="DW77" s="524">
        <f t="shared" si="56"/>
      </c>
      <c r="DX77" s="465">
        <f t="shared" si="56"/>
      </c>
      <c r="DY77" s="465">
        <f t="shared" si="56"/>
      </c>
      <c r="DZ77" s="465">
        <f t="shared" si="56"/>
      </c>
      <c r="EA77" s="465">
        <f t="shared" si="56"/>
      </c>
      <c r="EB77" s="524">
        <f t="shared" si="56"/>
      </c>
      <c r="EC77" s="465">
        <f t="shared" si="56"/>
      </c>
      <c r="ED77" s="465">
        <f t="shared" si="56"/>
      </c>
      <c r="EE77" s="465">
        <f t="shared" si="56"/>
      </c>
      <c r="EF77" s="465">
        <f t="shared" si="56"/>
      </c>
      <c r="EG77" s="524">
        <f t="shared" si="56"/>
      </c>
      <c r="EH77" s="465">
        <f t="shared" si="56"/>
      </c>
      <c r="EI77" s="465">
        <f t="shared" si="56"/>
      </c>
      <c r="EJ77" s="465">
        <f t="shared" si="56"/>
      </c>
      <c r="EK77" s="465">
        <f t="shared" si="56"/>
      </c>
      <c r="EL77" s="524">
        <f t="shared" si="56"/>
      </c>
      <c r="EM77" s="465">
        <f t="shared" si="56"/>
      </c>
      <c r="EN77" s="525">
        <f t="shared" si="56"/>
      </c>
      <c r="EO77" s="465">
        <f t="shared" si="56"/>
      </c>
      <c r="EP77" s="465">
        <f t="shared" si="56"/>
      </c>
      <c r="EQ77" s="524">
        <f t="shared" si="56"/>
      </c>
      <c r="ER77" s="465">
        <f>ER72/ER50</f>
      </c>
      <c r="ES77" s="107">
        <f>ES72/ES50</f>
      </c>
      <c r="ET77" s="107">
        <f>ET72/ET50</f>
      </c>
      <c r="EU77" s="465">
        <f>EU72/EU50</f>
      </c>
      <c r="EV77" s="293">
        <f>EV72/EV50</f>
      </c>
      <c r="EW77" s="291"/>
      <c r="EX77" s="107"/>
      <c r="EY77" s="107"/>
      <c r="EZ77" s="107"/>
      <c r="FA77" s="293"/>
      <c r="FB77" s="291"/>
      <c r="FC77" s="107"/>
      <c r="FD77" s="107"/>
      <c r="FE77" s="107"/>
      <c r="FF77" s="293"/>
      <c r="FG77" s="291"/>
      <c r="FH77" s="107"/>
      <c r="FI77" s="107"/>
      <c r="FJ77" s="107"/>
      <c r="FK77" s="293"/>
      <c r="FL77" s="291"/>
      <c r="FM77" s="107"/>
      <c r="FN77" s="107"/>
      <c r="FO77" s="107"/>
      <c r="FP77" s="293"/>
      <c r="FQ77" s="291"/>
      <c r="FR77" s="107"/>
      <c r="FS77" s="107"/>
      <c r="FT77" s="107"/>
      <c r="FU77" s="293"/>
      <c r="FV77" s="291"/>
      <c r="FW77" s="107"/>
      <c r="FX77" s="107"/>
      <c r="FY77" s="107"/>
      <c r="FZ77" s="293"/>
      <c r="GA77" s="291"/>
      <c r="GB77" s="107"/>
      <c r="GC77" s="107"/>
      <c r="GD77" s="107"/>
      <c r="GE77" s="293"/>
      <c r="GF77" s="291"/>
      <c r="GG77" s="107"/>
      <c r="GH77" s="107"/>
      <c r="GI77" s="107"/>
      <c r="GJ77" s="293"/>
    </row>
    <row r="78" spans="1:192" s="1247" customFormat="1" ht="12.75" hidden="1" customHeight="1" outlineLevel="1">
      <c r="A78" s="850"/>
      <c r="B78" s="753" t="s">
        <v>1854</v>
      </c>
      <c r="C78" s="1243"/>
      <c r="D78" s="1244"/>
      <c r="E78" s="1244"/>
      <c r="F78" s="1244"/>
      <c r="G78" s="1242"/>
      <c r="H78" s="1243"/>
      <c r="I78" s="1244"/>
      <c r="J78" s="1244"/>
      <c r="K78" s="1244"/>
      <c r="L78" s="1242"/>
      <c r="M78" s="1243"/>
      <c r="N78" s="1244"/>
      <c r="O78" s="1244"/>
      <c r="P78" s="1244"/>
      <c r="Q78" s="1242"/>
      <c r="R78" s="1243"/>
      <c r="S78" s="1244"/>
      <c r="T78" s="1244"/>
      <c r="U78" s="1244"/>
      <c r="V78" s="1242"/>
      <c r="W78" s="1243"/>
      <c r="X78" s="1244"/>
      <c r="Y78" s="1244"/>
      <c r="Z78" s="1244"/>
      <c r="AA78" s="1242"/>
      <c r="AB78" s="1243"/>
      <c r="AC78" s="1244"/>
      <c r="AD78" s="1244"/>
      <c r="AE78" s="1244"/>
      <c r="AF78" s="1242"/>
      <c r="AG78" s="1243"/>
      <c r="AH78" s="1244"/>
      <c r="AI78" s="1244"/>
      <c r="AJ78" s="1244"/>
      <c r="AK78" s="1242"/>
      <c r="AL78" s="1243"/>
      <c r="AM78" s="1244"/>
      <c r="AN78" s="1244"/>
      <c r="AO78" s="1244"/>
      <c r="AP78" s="1242"/>
      <c r="AQ78" s="1243"/>
      <c r="AR78" s="1244"/>
      <c r="AS78" s="1244"/>
      <c r="AT78" s="1244"/>
      <c r="AU78" s="1242"/>
      <c r="AV78" s="1243"/>
      <c r="AW78" s="1244"/>
      <c r="AX78" s="1244"/>
      <c r="AY78" s="1244"/>
      <c r="AZ78" s="1242"/>
      <c r="BA78" s="1243"/>
      <c r="BB78" s="1244"/>
      <c r="BC78" s="1244"/>
      <c r="BD78" s="1244"/>
      <c r="BE78" s="1242"/>
      <c r="BF78" s="1243"/>
      <c r="BG78" s="1244"/>
      <c r="BH78" s="1244"/>
      <c r="BI78" s="1244"/>
      <c r="BJ78" s="1242"/>
      <c r="BK78" s="1243"/>
      <c r="BL78" s="1244"/>
      <c r="BM78" s="1244"/>
      <c r="BN78" s="1244"/>
      <c r="BO78" s="1242"/>
      <c r="BP78" s="1243"/>
      <c r="BQ78" s="1244"/>
      <c r="BR78" s="1244"/>
      <c r="BS78" s="1244"/>
      <c r="BT78" s="1242"/>
      <c r="BU78" s="1243"/>
      <c r="BV78" s="1244"/>
      <c r="BW78" s="1244"/>
      <c r="BX78" s="1244"/>
      <c r="BY78" s="1242"/>
      <c r="BZ78" s="1243"/>
      <c r="CA78" s="1244"/>
      <c r="CB78" s="1244"/>
      <c r="CC78" s="1244"/>
      <c r="CD78" s="1242"/>
      <c r="CE78" s="1243"/>
      <c r="CF78" s="1244"/>
      <c r="CG78" s="1244"/>
      <c r="CH78" s="1244"/>
      <c r="CI78" s="1242"/>
      <c r="CJ78" s="1243"/>
      <c r="CK78" s="1244"/>
      <c r="CL78" s="1244"/>
      <c r="CM78" s="1244"/>
      <c r="CN78" s="1242"/>
      <c r="CO78" s="1243"/>
      <c r="CP78" s="1244"/>
      <c r="CQ78" s="1244"/>
      <c r="CR78" s="1244"/>
      <c r="CS78" s="1242"/>
      <c r="CT78" s="1243"/>
      <c r="CU78" s="1244"/>
      <c r="CV78" s="1244"/>
      <c r="CW78" s="1244"/>
      <c r="CX78" s="1242"/>
      <c r="CY78" s="1243"/>
      <c r="CZ78" s="1244"/>
      <c r="DA78" s="1244"/>
      <c r="DB78" s="1244"/>
      <c r="DC78" s="1242"/>
      <c r="DD78" s="1243"/>
      <c r="DE78" s="1244"/>
      <c r="DF78" s="1244"/>
      <c r="DG78" s="1244"/>
      <c r="DH78" s="1245">
        <f>(DH77-DC77)*10000</f>
      </c>
      <c r="DI78" s="1243">
        <f t="shared" ref="DI78:EV78" si="57">(DI77-DD77)*10000</f>
      </c>
      <c r="DJ78" s="1244">
        <f t="shared" si="57"/>
      </c>
      <c r="DK78" s="1244">
        <f t="shared" si="57"/>
      </c>
      <c r="DL78" s="1244">
        <f t="shared" si="57"/>
      </c>
      <c r="DM78" s="1242">
        <f t="shared" si="57"/>
      </c>
      <c r="DN78" s="1243">
        <f t="shared" si="57"/>
      </c>
      <c r="DO78" s="1244">
        <f t="shared" si="57"/>
      </c>
      <c r="DP78" s="1244">
        <f t="shared" si="57"/>
      </c>
      <c r="DQ78" s="1244">
        <f t="shared" si="57"/>
      </c>
      <c r="DR78" s="1242">
        <f t="shared" si="57"/>
      </c>
      <c r="DS78" s="1243">
        <f t="shared" si="57"/>
      </c>
      <c r="DT78" s="1244">
        <f t="shared" si="57"/>
      </c>
      <c r="DU78" s="1244">
        <f t="shared" si="57"/>
      </c>
      <c r="DV78" s="1244">
        <f t="shared" si="57"/>
      </c>
      <c r="DW78" s="1242">
        <f t="shared" si="57"/>
      </c>
      <c r="DX78" s="1243">
        <f t="shared" si="57"/>
      </c>
      <c r="DY78" s="1244">
        <f t="shared" si="57"/>
      </c>
      <c r="DZ78" s="1244">
        <f t="shared" si="57"/>
      </c>
      <c r="EA78" s="1244">
        <f t="shared" si="57"/>
      </c>
      <c r="EB78" s="1242">
        <f t="shared" si="57"/>
      </c>
      <c r="EC78" s="1243">
        <f t="shared" si="57"/>
      </c>
      <c r="ED78" s="1244">
        <f t="shared" si="57"/>
      </c>
      <c r="EE78" s="1244">
        <f t="shared" si="57"/>
      </c>
      <c r="EF78" s="1244">
        <f t="shared" si="57"/>
      </c>
      <c r="EG78" s="1242">
        <f t="shared" si="57"/>
      </c>
      <c r="EH78" s="1243">
        <f t="shared" si="57"/>
      </c>
      <c r="EI78" s="1244">
        <f t="shared" si="57"/>
      </c>
      <c r="EJ78" s="1244">
        <f t="shared" si="57"/>
      </c>
      <c r="EK78" s="1244">
        <f t="shared" si="57"/>
      </c>
      <c r="EL78" s="1242">
        <f t="shared" si="57"/>
      </c>
      <c r="EM78" s="1243">
        <f t="shared" si="57"/>
      </c>
      <c r="EN78" s="1243">
        <f t="shared" si="57"/>
      </c>
      <c r="EO78" s="1243">
        <f t="shared" si="57"/>
      </c>
      <c r="EP78" s="1244">
        <f t="shared" si="57"/>
      </c>
      <c r="EQ78" s="1242">
        <f t="shared" si="57"/>
      </c>
      <c r="ER78" s="1243">
        <f t="shared" si="57"/>
      </c>
      <c r="ES78" s="1244">
        <f t="shared" si="57"/>
      </c>
      <c r="ET78" s="1244">
        <f t="shared" si="57"/>
      </c>
      <c r="EU78" s="1244">
        <f t="shared" si="57"/>
      </c>
      <c r="EV78" s="1242">
        <f t="shared" si="57"/>
      </c>
      <c r="EW78" s="1243"/>
      <c r="EX78" s="1244"/>
      <c r="EY78" s="1244"/>
      <c r="EZ78" s="1244"/>
      <c r="FA78" s="1242"/>
      <c r="FB78" s="1243"/>
      <c r="FC78" s="1244"/>
      <c r="FD78" s="1244"/>
      <c r="FE78" s="1244"/>
      <c r="FF78" s="1242"/>
      <c r="FG78" s="1243"/>
      <c r="FH78" s="1243"/>
      <c r="FI78" s="1243"/>
      <c r="FJ78" s="1243"/>
      <c r="FK78" s="1242"/>
      <c r="FL78" s="1243"/>
      <c r="FM78" s="1243"/>
      <c r="FN78" s="1243"/>
      <c r="FO78" s="1243"/>
      <c r="FP78" s="1242"/>
      <c r="FQ78" s="1243"/>
      <c r="FR78" s="1243"/>
      <c r="FS78" s="1243"/>
      <c r="FT78" s="1243"/>
      <c r="FU78" s="1242"/>
      <c r="FV78" s="1243"/>
      <c r="FW78" s="1243"/>
      <c r="FX78" s="1243"/>
      <c r="FY78" s="1243"/>
      <c r="FZ78" s="1242"/>
      <c r="GA78" s="1243"/>
      <c r="GB78" s="1243"/>
      <c r="GC78" s="1243"/>
      <c r="GD78" s="1243"/>
      <c r="GE78" s="1242"/>
      <c r="GF78" s="1243"/>
      <c r="GG78" s="1243"/>
      <c r="GH78" s="1243"/>
      <c r="GI78" s="1243"/>
      <c r="GJ78" s="1242"/>
    </row>
    <row r="79" spans="1:192" ht="12.75" hidden="1" customHeight="1" outlineLevel="1">
      <c r="C79" s="294"/>
      <c r="D79" s="295"/>
      <c r="E79" s="295"/>
      <c r="F79" s="295"/>
      <c r="G79" s="296"/>
      <c r="H79" s="294"/>
      <c r="I79" s="295"/>
      <c r="J79" s="295"/>
      <c r="K79" s="295"/>
      <c r="L79" s="296"/>
      <c r="M79" s="294"/>
      <c r="N79" s="295"/>
      <c r="O79" s="295"/>
      <c r="P79" s="295"/>
      <c r="Q79" s="296"/>
      <c r="R79" s="294"/>
      <c r="S79" s="295"/>
      <c r="T79" s="295"/>
      <c r="U79" s="295"/>
      <c r="V79" s="296"/>
      <c r="W79" s="294"/>
      <c r="X79" s="295"/>
      <c r="Y79" s="295"/>
      <c r="Z79" s="295"/>
      <c r="AA79" s="296"/>
      <c r="AB79" s="294"/>
      <c r="AC79" s="295"/>
      <c r="AD79" s="295"/>
      <c r="AE79" s="295"/>
      <c r="AF79" s="296"/>
      <c r="AG79" s="294"/>
      <c r="AH79" s="295"/>
      <c r="AI79" s="295"/>
      <c r="AJ79" s="295"/>
      <c r="AK79" s="296"/>
      <c r="AL79" s="294"/>
      <c r="AM79" s="295"/>
      <c r="AN79" s="295"/>
      <c r="AO79" s="295"/>
      <c r="AP79" s="296"/>
      <c r="AQ79" s="294"/>
      <c r="AR79" s="295"/>
      <c r="AS79" s="295"/>
      <c r="AT79" s="295"/>
      <c r="AU79" s="296"/>
      <c r="AV79" s="294"/>
      <c r="AW79" s="295"/>
      <c r="AX79" s="295"/>
      <c r="AY79" s="295"/>
      <c r="AZ79" s="296"/>
      <c r="BA79" s="294"/>
      <c r="BB79" s="295"/>
      <c r="BC79" s="295"/>
      <c r="BD79" s="295"/>
      <c r="BE79" s="296"/>
      <c r="BF79" s="294"/>
      <c r="BG79" s="295"/>
      <c r="BH79" s="295"/>
      <c r="BI79" s="295"/>
      <c r="BJ79" s="296"/>
      <c r="BK79" s="294"/>
      <c r="BL79" s="295"/>
      <c r="BM79" s="295"/>
      <c r="BN79" s="295"/>
      <c r="BO79" s="296"/>
      <c r="BP79" s="294"/>
      <c r="BQ79" s="295"/>
      <c r="BR79" s="295"/>
      <c r="BS79" s="295"/>
      <c r="BT79" s="296"/>
      <c r="BU79" s="294"/>
      <c r="BV79" s="295"/>
      <c r="BW79" s="295"/>
      <c r="BX79" s="295"/>
      <c r="BY79" s="296"/>
      <c r="BZ79" s="294"/>
      <c r="CA79" s="295"/>
      <c r="CB79" s="295"/>
      <c r="CC79" s="295"/>
      <c r="CD79" s="296"/>
      <c r="CE79" s="294"/>
      <c r="CF79" s="295"/>
      <c r="CG79" s="295"/>
      <c r="CH79" s="295"/>
      <c r="CI79" s="296"/>
      <c r="CJ79" s="294"/>
      <c r="CK79" s="295"/>
      <c r="CL79" s="295"/>
      <c r="CM79" s="295"/>
      <c r="CN79" s="296"/>
      <c r="CO79" s="294"/>
      <c r="CP79" s="295"/>
      <c r="CQ79" s="295"/>
      <c r="CR79" s="295"/>
      <c r="CS79" s="296"/>
      <c r="CT79" s="294"/>
      <c r="CU79" s="295"/>
      <c r="CV79" s="295"/>
      <c r="CW79" s="295"/>
      <c r="CX79" s="296"/>
      <c r="CY79" s="294"/>
      <c r="CZ79" s="295"/>
      <c r="DA79" s="295"/>
      <c r="DB79" s="295"/>
      <c r="DC79" s="296"/>
      <c r="DD79" s="294"/>
      <c r="DE79" s="295"/>
      <c r="DF79" s="295"/>
      <c r="DG79" s="295"/>
      <c r="DH79" s="296"/>
      <c r="DI79" s="294"/>
      <c r="DJ79" s="295"/>
      <c r="DK79" s="295"/>
      <c r="DL79" s="295"/>
      <c r="DM79" s="296"/>
      <c r="DN79" s="294"/>
      <c r="DO79" s="295"/>
      <c r="DP79" s="295"/>
      <c r="DQ79" s="295"/>
      <c r="DR79" s="296"/>
      <c r="DS79" s="294"/>
      <c r="DT79" s="295"/>
      <c r="DU79" s="295"/>
      <c r="DV79" s="295"/>
      <c r="DW79" s="296"/>
      <c r="DX79" s="294"/>
      <c r="DY79" s="295"/>
      <c r="DZ79" s="295"/>
      <c r="EA79" s="295"/>
      <c r="EB79" s="296"/>
      <c r="EC79" s="294"/>
      <c r="ED79" s="295"/>
      <c r="EE79" s="295"/>
      <c r="EF79" s="295"/>
      <c r="EG79" s="296"/>
      <c r="EH79" s="294"/>
      <c r="EI79" s="295"/>
      <c r="EJ79" s="295"/>
      <c r="EK79" s="295"/>
      <c r="EL79" s="296"/>
      <c r="EM79" s="294"/>
      <c r="EN79" s="295"/>
      <c r="EO79" s="295"/>
      <c r="EP79" s="295"/>
      <c r="EQ79" s="296"/>
      <c r="ER79" s="294"/>
      <c r="ES79" s="295"/>
      <c r="ET79" s="295"/>
      <c r="EU79" s="295"/>
      <c r="EV79" s="296"/>
      <c r="EW79" s="294"/>
      <c r="EX79" s="295"/>
      <c r="EY79" s="295"/>
      <c r="EZ79" s="295"/>
      <c r="FA79" s="296"/>
      <c r="FB79" s="294"/>
      <c r="FC79" s="295"/>
      <c r="FD79" s="295"/>
      <c r="FE79" s="295"/>
      <c r="FF79" s="296"/>
      <c r="FG79" s="294"/>
      <c r="FH79" s="295"/>
      <c r="FI79" s="295"/>
      <c r="FJ79" s="295"/>
      <c r="FK79" s="296"/>
      <c r="FL79" s="294"/>
      <c r="FM79" s="295"/>
      <c r="FN79" s="295"/>
      <c r="FO79" s="295"/>
      <c r="FP79" s="296"/>
      <c r="FQ79" s="294"/>
      <c r="FR79" s="295"/>
      <c r="FS79" s="295"/>
      <c r="FT79" s="295"/>
      <c r="FU79" s="296"/>
      <c r="FV79" s="294"/>
      <c r="FW79" s="295"/>
      <c r="FX79" s="295"/>
      <c r="FY79" s="295"/>
      <c r="FZ79" s="296"/>
      <c r="GA79" s="294"/>
      <c r="GB79" s="295"/>
      <c r="GC79" s="295"/>
      <c r="GD79" s="295"/>
      <c r="GE79" s="296"/>
      <c r="GF79" s="294"/>
      <c r="GG79" s="295"/>
      <c r="GH79" s="295"/>
      <c r="GI79" s="295"/>
      <c r="GJ79" s="296"/>
    </row>
    <row r="80" spans="1:192" s="317" customFormat="1" ht="12.75" hidden="1" customHeight="1" outlineLevel="1">
      <c r="A80" s="1641"/>
      <c r="B80" s="730" t="s">
        <v>2008</v>
      </c>
      <c r="C80" s="316"/>
      <c r="D80" s="316"/>
      <c r="E80" s="316"/>
      <c r="F80" s="316"/>
      <c r="G80" s="313"/>
      <c r="H80" s="316"/>
      <c r="I80" s="316"/>
      <c r="J80" s="316"/>
      <c r="K80" s="316"/>
      <c r="L80" s="313"/>
      <c r="M80" s="316"/>
      <c r="N80" s="316"/>
      <c r="O80" s="316"/>
      <c r="P80" s="316"/>
      <c r="Q80" s="313"/>
      <c r="R80" s="316"/>
      <c r="S80" s="316"/>
      <c r="T80" s="316"/>
      <c r="U80" s="316"/>
      <c r="V80" s="313"/>
      <c r="W80" s="316"/>
      <c r="X80" s="316"/>
      <c r="Y80" s="316"/>
      <c r="Z80" s="316"/>
      <c r="AA80" s="313"/>
      <c r="AB80" s="316"/>
      <c r="AC80" s="316"/>
      <c r="AD80" s="316"/>
      <c r="AE80" s="316"/>
      <c r="AF80" s="313"/>
      <c r="AG80" s="316"/>
      <c r="AH80" s="316"/>
      <c r="AI80" s="316"/>
      <c r="AJ80" s="316"/>
      <c r="AK80" s="313"/>
      <c r="AL80" s="316"/>
      <c r="AM80" s="316"/>
      <c r="AN80" s="316"/>
      <c r="AO80" s="316"/>
      <c r="AP80" s="313"/>
      <c r="AQ80" s="316"/>
      <c r="AR80" s="316"/>
      <c r="AS80" s="316"/>
      <c r="AT80" s="316"/>
      <c r="AU80" s="313"/>
      <c r="AV80" s="316"/>
      <c r="AW80" s="316"/>
      <c r="AX80" s="316"/>
      <c r="AY80" s="316"/>
      <c r="AZ80" s="313"/>
      <c r="BA80" s="316"/>
      <c r="BB80" s="316"/>
      <c r="BC80" s="316"/>
      <c r="BD80" s="316"/>
      <c r="BE80" s="313"/>
      <c r="BF80" s="316"/>
      <c r="BG80" s="316"/>
      <c r="BH80" s="316"/>
      <c r="BI80" s="316"/>
      <c r="BJ80" s="313"/>
      <c r="BK80" s="316"/>
      <c r="BL80" s="316"/>
      <c r="BM80" s="316"/>
      <c r="BN80" s="316"/>
      <c r="BO80" s="313"/>
      <c r="BP80" s="316"/>
      <c r="BQ80" s="316"/>
      <c r="BR80" s="316"/>
      <c r="BS80" s="316"/>
      <c r="BT80" s="313"/>
      <c r="BU80" s="316"/>
      <c r="BV80" s="316"/>
      <c r="BW80" s="316"/>
      <c r="BX80" s="316"/>
      <c r="BY80" s="313"/>
      <c r="BZ80" s="316"/>
      <c r="CA80" s="316"/>
      <c r="CB80" s="316"/>
      <c r="CC80" s="316"/>
      <c r="CD80" s="313"/>
      <c r="CE80" s="316"/>
      <c r="CF80" s="316"/>
      <c r="CG80" s="316"/>
      <c r="CH80" s="316"/>
      <c r="CI80" s="313"/>
      <c r="CJ80" s="316"/>
      <c r="CK80" s="316"/>
      <c r="CL80" s="316"/>
      <c r="CM80" s="316"/>
      <c r="CN80" s="313"/>
      <c r="CO80" s="316"/>
      <c r="CP80" s="316"/>
      <c r="CQ80" s="316"/>
      <c r="CR80" s="316"/>
      <c r="CS80" s="313"/>
      <c r="CT80" s="316"/>
      <c r="CU80" s="316"/>
      <c r="CV80" s="316"/>
      <c r="CW80" s="316"/>
      <c r="CX80" s="313"/>
      <c r="CY80" s="316"/>
      <c r="CZ80" s="316"/>
      <c r="DA80" s="316"/>
      <c r="DB80" s="316"/>
      <c r="DC80" s="313"/>
      <c r="DD80" s="316">
        <v>2366</v>
      </c>
      <c r="DE80" s="316">
        <v>2393</v>
      </c>
      <c r="DF80" s="316">
        <v>2427</v>
      </c>
      <c r="DG80" s="316">
        <v>2607</v>
      </c>
      <c r="DH80" s="313">
        <f>SUM(DD80:DG80)</f>
      </c>
      <c r="DI80" s="316">
        <v>2657</v>
      </c>
      <c r="DJ80" s="316">
        <v>2476</v>
      </c>
      <c r="DK80" s="316">
        <v>2472</v>
      </c>
      <c r="DL80" s="316">
        <v>2812</v>
      </c>
      <c r="DM80" s="313">
        <f>SUM(DI80:DL80)</f>
      </c>
      <c r="DN80" s="316">
        <v>2940</v>
      </c>
      <c r="DO80" s="316">
        <v>2760</v>
      </c>
      <c r="DP80" s="316">
        <v>2783</v>
      </c>
      <c r="DQ80" s="316">
        <v>3150</v>
      </c>
      <c r="DR80" s="313">
        <f>SUM(DN80:DQ80)</f>
      </c>
      <c r="DS80" s="316">
        <v>3191</v>
      </c>
      <c r="DT80" s="316">
        <v>2898</v>
      </c>
      <c r="DU80" s="316">
        <v>2925</v>
      </c>
      <c r="DV80" s="316">
        <v>3387</v>
      </c>
      <c r="DW80" s="313">
        <f>SUM(DS80:DV80)</f>
      </c>
      <c r="DX80" s="316">
        <v>3211</v>
      </c>
      <c r="DY80" s="316">
        <v>3189</v>
      </c>
      <c r="DZ80" s="316">
        <v>3336</v>
      </c>
      <c r="EA80" s="316">
        <v>3917</v>
      </c>
      <c r="EB80" s="313">
        <f>SUM(DX80:EA80)</f>
      </c>
      <c r="EC80" s="316">
        <v>3591</v>
      </c>
      <c r="ED80" s="316">
        <v>3376</v>
      </c>
      <c r="EE80" s="316">
        <v>3447</v>
      </c>
      <c r="EF80" s="316">
        <v>4311</v>
      </c>
      <c r="EG80" s="313">
        <f>SUM(EC80:EF80)</f>
      </c>
      <c r="EH80" s="316">
        <v>4333</v>
      </c>
      <c r="EI80" s="316">
        <v>3726</v>
      </c>
      <c r="EJ80" s="316">
        <v>3694</v>
      </c>
      <c r="EK80" s="316">
        <v>4479</v>
      </c>
      <c r="EL80" s="313">
        <f>SUM(EH80:EK80)</f>
      </c>
      <c r="EM80" s="316">
        <v>4190</v>
      </c>
      <c r="EN80" s="316">
        <v>3684</v>
      </c>
      <c r="EO80" s="316">
        <v>3545</v>
      </c>
      <c r="EP80" s="316">
        <v>4678</v>
      </c>
      <c r="EQ80" s="313">
        <f>SUM(EM80:EP80)</f>
      </c>
      <c r="ER80" s="316">
        <v>4401</v>
      </c>
      <c r="ES80" s="1158">
        <v>5747</v>
      </c>
      <c r="ET80" s="1158">
        <v>5208</v>
      </c>
      <c r="EU80" s="1158">
        <v>6188</v>
      </c>
      <c r="EV80" s="313">
        <f>SUM(ER80:EU80)</f>
      </c>
      <c r="EW80" s="312"/>
      <c r="EX80" s="312"/>
      <c r="EY80" s="312"/>
      <c r="EZ80" s="312"/>
      <c r="FA80" s="313"/>
      <c r="FB80" s="312"/>
      <c r="FC80" s="312"/>
      <c r="FD80" s="312"/>
      <c r="FE80" s="312"/>
      <c r="FF80" s="313"/>
      <c r="FG80" s="312"/>
      <c r="FH80" s="312"/>
      <c r="FI80" s="312"/>
      <c r="FJ80" s="312"/>
      <c r="FK80" s="313"/>
      <c r="FL80" s="312"/>
      <c r="FM80" s="312"/>
      <c r="FN80" s="312"/>
      <c r="FO80" s="312"/>
      <c r="FP80" s="313"/>
      <c r="FQ80" s="312"/>
      <c r="FR80" s="312"/>
      <c r="FS80" s="312"/>
      <c r="FT80" s="312"/>
      <c r="FU80" s="313"/>
      <c r="FV80" s="312"/>
      <c r="FW80" s="312"/>
      <c r="FX80" s="312"/>
      <c r="FY80" s="312"/>
      <c r="FZ80" s="313"/>
      <c r="GA80" s="312"/>
      <c r="GB80" s="312"/>
      <c r="GC80" s="312"/>
      <c r="GD80" s="312"/>
      <c r="GE80" s="313"/>
      <c r="GF80" s="312"/>
      <c r="GG80" s="312"/>
      <c r="GH80" s="312"/>
      <c r="GI80" s="312"/>
      <c r="GJ80" s="313"/>
    </row>
    <row r="81" spans="1:192" ht="12.75" hidden="1" customHeight="1" outlineLevel="1">
      <c r="B81" s="727" t="s">
        <v>34</v>
      </c>
      <c r="C81" s="291"/>
      <c r="D81" s="107"/>
      <c r="E81" s="107"/>
      <c r="F81" s="107"/>
      <c r="G81" s="292"/>
      <c r="H81" s="291"/>
      <c r="I81" s="107"/>
      <c r="J81" s="107"/>
      <c r="K81" s="107"/>
      <c r="L81" s="292"/>
      <c r="M81" s="291"/>
      <c r="N81" s="107"/>
      <c r="O81" s="107"/>
      <c r="P81" s="107"/>
      <c r="Q81" s="292"/>
      <c r="R81" s="291"/>
      <c r="S81" s="107"/>
      <c r="T81" s="107"/>
      <c r="U81" s="107"/>
      <c r="V81" s="292"/>
      <c r="W81" s="291"/>
      <c r="X81" s="107"/>
      <c r="Y81" s="107"/>
      <c r="Z81" s="107"/>
      <c r="AA81" s="292"/>
      <c r="AB81" s="291"/>
      <c r="AC81" s="107"/>
      <c r="AD81" s="107"/>
      <c r="AE81" s="107"/>
      <c r="AF81" s="292"/>
      <c r="AG81" s="291"/>
      <c r="AH81" s="107"/>
      <c r="AI81" s="107"/>
      <c r="AJ81" s="107"/>
      <c r="AK81" s="292"/>
      <c r="AL81" s="291"/>
      <c r="AM81" s="107"/>
      <c r="AN81" s="107"/>
      <c r="AO81" s="107"/>
      <c r="AP81" s="292"/>
      <c r="AQ81" s="291"/>
      <c r="AR81" s="107"/>
      <c r="AS81" s="107"/>
      <c r="AT81" s="107"/>
      <c r="AU81" s="292"/>
      <c r="AV81" s="291"/>
      <c r="AW81" s="107"/>
      <c r="AX81" s="107"/>
      <c r="AY81" s="107"/>
      <c r="AZ81" s="292"/>
      <c r="BA81" s="291"/>
      <c r="BB81" s="107"/>
      <c r="BC81" s="107"/>
      <c r="BD81" s="107"/>
      <c r="BE81" s="292"/>
      <c r="BF81" s="291"/>
      <c r="BG81" s="107"/>
      <c r="BH81" s="107"/>
      <c r="BI81" s="107"/>
      <c r="BJ81" s="292"/>
      <c r="BK81" s="291"/>
      <c r="BL81" s="107"/>
      <c r="BM81" s="107"/>
      <c r="BN81" s="107"/>
      <c r="BO81" s="292"/>
      <c r="BP81" s="291"/>
      <c r="BQ81" s="107"/>
      <c r="BR81" s="107"/>
      <c r="BS81" s="107"/>
      <c r="BT81" s="292"/>
      <c r="BU81" s="291"/>
      <c r="BV81" s="107"/>
      <c r="BW81" s="107"/>
      <c r="BX81" s="107"/>
      <c r="BY81" s="292"/>
      <c r="BZ81" s="291"/>
      <c r="CA81" s="107"/>
      <c r="CB81" s="107"/>
      <c r="CC81" s="107"/>
      <c r="CD81" s="292"/>
      <c r="CE81" s="291"/>
      <c r="CF81" s="107"/>
      <c r="CG81" s="107"/>
      <c r="CH81" s="107"/>
      <c r="CI81" s="292"/>
      <c r="CJ81" s="291"/>
      <c r="CK81" s="107"/>
      <c r="CL81" s="107"/>
      <c r="CM81" s="107"/>
      <c r="CN81" s="292"/>
      <c r="CO81" s="291"/>
      <c r="CP81" s="107"/>
      <c r="CQ81" s="107"/>
      <c r="CR81" s="107"/>
      <c r="CS81" s="292"/>
      <c r="CT81" s="291"/>
      <c r="CU81" s="107"/>
      <c r="CV81" s="107"/>
      <c r="CW81" s="107"/>
      <c r="CX81" s="292"/>
      <c r="CY81" s="291"/>
      <c r="CZ81" s="107"/>
      <c r="DA81" s="107"/>
      <c r="DB81" s="107"/>
      <c r="DC81" s="292"/>
      <c r="DD81" s="291" t="str">
        <f t="shared" ref="DD81:EV81" si="58">IFERROR(DD80/CY80-1,"--")</f>
      </c>
      <c r="DE81" s="107" t="str">
        <f t="shared" si="58"/>
      </c>
      <c r="DF81" s="107" t="str">
        <f t="shared" si="58"/>
      </c>
      <c r="DG81" s="107" t="str">
        <f t="shared" si="58"/>
      </c>
      <c r="DH81" s="292" t="str">
        <f t="shared" si="58"/>
      </c>
      <c r="DI81" s="291">
        <f t="shared" si="58"/>
      </c>
      <c r="DJ81" s="107">
        <f t="shared" si="58"/>
      </c>
      <c r="DK81" s="107">
        <f t="shared" si="58"/>
      </c>
      <c r="DL81" s="107">
        <f t="shared" si="58"/>
      </c>
      <c r="DM81" s="292">
        <f t="shared" si="58"/>
      </c>
      <c r="DN81" s="291">
        <f t="shared" si="58"/>
      </c>
      <c r="DO81" s="107">
        <f t="shared" si="58"/>
      </c>
      <c r="DP81" s="107">
        <f t="shared" si="58"/>
      </c>
      <c r="DQ81" s="107">
        <f t="shared" si="58"/>
      </c>
      <c r="DR81" s="292">
        <f t="shared" si="58"/>
      </c>
      <c r="DS81" s="291">
        <f t="shared" si="58"/>
      </c>
      <c r="DT81" s="107">
        <f t="shared" si="58"/>
      </c>
      <c r="DU81" s="107">
        <f t="shared" si="58"/>
      </c>
      <c r="DV81" s="107">
        <f t="shared" si="58"/>
      </c>
      <c r="DW81" s="292">
        <f t="shared" si="58"/>
      </c>
      <c r="DX81" s="291">
        <f t="shared" si="58"/>
      </c>
      <c r="DY81" s="107">
        <f t="shared" si="58"/>
      </c>
      <c r="DZ81" s="107">
        <f t="shared" si="58"/>
      </c>
      <c r="EA81" s="107">
        <f t="shared" si="58"/>
      </c>
      <c r="EB81" s="292">
        <f t="shared" si="58"/>
      </c>
      <c r="EC81" s="291">
        <f t="shared" si="58"/>
      </c>
      <c r="ED81" s="107">
        <f t="shared" si="58"/>
      </c>
      <c r="EE81" s="107">
        <f t="shared" si="58"/>
      </c>
      <c r="EF81" s="107">
        <f t="shared" si="58"/>
      </c>
      <c r="EG81" s="292">
        <f t="shared" si="58"/>
      </c>
      <c r="EH81" s="291">
        <f t="shared" si="58"/>
      </c>
      <c r="EI81" s="107">
        <f t="shared" si="58"/>
      </c>
      <c r="EJ81" s="107">
        <f t="shared" si="58"/>
      </c>
      <c r="EK81" s="107">
        <f t="shared" si="58"/>
      </c>
      <c r="EL81" s="292">
        <f t="shared" si="58"/>
      </c>
      <c r="EM81" s="291">
        <f t="shared" si="58"/>
      </c>
      <c r="EN81" s="107">
        <f t="shared" si="58"/>
      </c>
      <c r="EO81" s="107">
        <f t="shared" si="58"/>
      </c>
      <c r="EP81" s="107">
        <f t="shared" si="58"/>
      </c>
      <c r="EQ81" s="292">
        <f t="shared" si="58"/>
      </c>
      <c r="ER81" s="291">
        <f t="shared" si="58"/>
      </c>
      <c r="ES81" s="107">
        <f t="shared" si="58"/>
      </c>
      <c r="ET81" s="107">
        <f t="shared" si="58"/>
      </c>
      <c r="EU81" s="107">
        <f t="shared" si="58"/>
      </c>
      <c r="EV81" s="292">
        <f t="shared" si="58"/>
      </c>
      <c r="EW81" s="291"/>
      <c r="EX81" s="107"/>
      <c r="EY81" s="107"/>
      <c r="EZ81" s="107"/>
      <c r="FA81" s="292"/>
      <c r="FB81" s="291"/>
      <c r="FC81" s="107"/>
      <c r="FD81" s="107"/>
      <c r="FE81" s="107"/>
      <c r="FF81" s="292"/>
      <c r="FG81" s="291"/>
      <c r="FH81" s="107"/>
      <c r="FI81" s="107"/>
      <c r="FJ81" s="107"/>
      <c r="FK81" s="292"/>
      <c r="FL81" s="291"/>
      <c r="FM81" s="107"/>
      <c r="FN81" s="107"/>
      <c r="FO81" s="107"/>
      <c r="FP81" s="292"/>
      <c r="FQ81" s="291"/>
      <c r="FR81" s="107"/>
      <c r="FS81" s="107"/>
      <c r="FT81" s="107"/>
      <c r="FU81" s="292"/>
      <c r="FV81" s="291"/>
      <c r="FW81" s="107"/>
      <c r="FX81" s="107"/>
      <c r="FY81" s="107"/>
      <c r="FZ81" s="292"/>
      <c r="GA81" s="291"/>
      <c r="GB81" s="107"/>
      <c r="GC81" s="107"/>
      <c r="GD81" s="107"/>
      <c r="GE81" s="292"/>
      <c r="GF81" s="291"/>
      <c r="GG81" s="107"/>
      <c r="GH81" s="107"/>
      <c r="GI81" s="107"/>
      <c r="GJ81" s="292"/>
    </row>
    <row r="82" spans="1:192" ht="12.75" hidden="1" customHeight="1" outlineLevel="1">
      <c r="B82" s="727" t="s">
        <v>36</v>
      </c>
      <c r="C82" s="291"/>
      <c r="D82" s="107"/>
      <c r="E82" s="107"/>
      <c r="F82" s="107"/>
      <c r="G82" s="293"/>
      <c r="H82" s="291"/>
      <c r="I82" s="107"/>
      <c r="J82" s="107"/>
      <c r="K82" s="107"/>
      <c r="L82" s="293"/>
      <c r="M82" s="291"/>
      <c r="N82" s="107"/>
      <c r="O82" s="107"/>
      <c r="P82" s="107"/>
      <c r="Q82" s="293"/>
      <c r="R82" s="291"/>
      <c r="S82" s="107"/>
      <c r="T82" s="107"/>
      <c r="U82" s="107"/>
      <c r="V82" s="293"/>
      <c r="W82" s="291"/>
      <c r="X82" s="107"/>
      <c r="Y82" s="107"/>
      <c r="Z82" s="107"/>
      <c r="AA82" s="293"/>
      <c r="AB82" s="291"/>
      <c r="AC82" s="107"/>
      <c r="AD82" s="107"/>
      <c r="AE82" s="107"/>
      <c r="AF82" s="293"/>
      <c r="AG82" s="291"/>
      <c r="AH82" s="107"/>
      <c r="AI82" s="107"/>
      <c r="AJ82" s="107"/>
      <c r="AK82" s="293"/>
      <c r="AL82" s="291"/>
      <c r="AM82" s="107"/>
      <c r="AN82" s="107"/>
      <c r="AO82" s="107"/>
      <c r="AP82" s="293"/>
      <c r="AQ82" s="291"/>
      <c r="AR82" s="107"/>
      <c r="AS82" s="107"/>
      <c r="AT82" s="107"/>
      <c r="AU82" s="293"/>
      <c r="AV82" s="291"/>
      <c r="AW82" s="107"/>
      <c r="AX82" s="107"/>
      <c r="AY82" s="107"/>
      <c r="AZ82" s="293"/>
      <c r="BA82" s="291"/>
      <c r="BB82" s="107"/>
      <c r="BC82" s="107"/>
      <c r="BD82" s="107"/>
      <c r="BE82" s="293"/>
      <c r="BF82" s="291"/>
      <c r="BG82" s="107"/>
      <c r="BH82" s="107"/>
      <c r="BI82" s="107"/>
      <c r="BJ82" s="293"/>
      <c r="BK82" s="291"/>
      <c r="BL82" s="107"/>
      <c r="BM82" s="107"/>
      <c r="BN82" s="107"/>
      <c r="BO82" s="293"/>
      <c r="BP82" s="291"/>
      <c r="BQ82" s="107"/>
      <c r="BR82" s="107"/>
      <c r="BS82" s="107"/>
      <c r="BT82" s="293"/>
      <c r="BU82" s="291"/>
      <c r="BV82" s="107"/>
      <c r="BW82" s="107"/>
      <c r="BX82" s="107"/>
      <c r="BY82" s="293"/>
      <c r="BZ82" s="291"/>
      <c r="CA82" s="107"/>
      <c r="CB82" s="107"/>
      <c r="CC82" s="107"/>
      <c r="CD82" s="293"/>
      <c r="CE82" s="291"/>
      <c r="CF82" s="107"/>
      <c r="CG82" s="107"/>
      <c r="CH82" s="107"/>
      <c r="CI82" s="293"/>
      <c r="CJ82" s="291"/>
      <c r="CK82" s="107"/>
      <c r="CL82" s="107"/>
      <c r="CM82" s="107"/>
      <c r="CN82" s="293"/>
      <c r="CO82" s="291"/>
      <c r="CP82" s="107"/>
      <c r="CQ82" s="107"/>
      <c r="CR82" s="107"/>
      <c r="CS82" s="293"/>
      <c r="CT82" s="291"/>
      <c r="CU82" s="107"/>
      <c r="CV82" s="107"/>
      <c r="CW82" s="107"/>
      <c r="CX82" s="293"/>
      <c r="CY82" s="291"/>
      <c r="CZ82" s="107"/>
      <c r="DA82" s="107"/>
      <c r="DB82" s="107"/>
      <c r="DC82" s="293"/>
      <c r="DD82" s="291" t="str">
        <f>IFERROR(DD80/DB80-1,"--")</f>
      </c>
      <c r="DE82" s="107">
        <f>IFERROR(DE80/DD80-1,"--")</f>
      </c>
      <c r="DF82" s="107">
        <f>IFERROR(DF80/DE80-1,"--")</f>
      </c>
      <c r="DG82" s="107">
        <f>IFERROR(DG80/DF80-1,"--")</f>
      </c>
      <c r="DH82" s="293"/>
      <c r="DI82" s="291">
        <f>IFERROR(DI80/DG80-1,"--")</f>
      </c>
      <c r="DJ82" s="107">
        <f>IFERROR(DJ80/DI80-1,"--")</f>
      </c>
      <c r="DK82" s="107">
        <f>IFERROR(DK80/DJ80-1,"--")</f>
      </c>
      <c r="DL82" s="107">
        <f>IFERROR(DL80/DK80-1,"--")</f>
      </c>
      <c r="DM82" s="293"/>
      <c r="DN82" s="291">
        <f>IFERROR(DN80/DL80-1,"--")</f>
      </c>
      <c r="DO82" s="107">
        <f>IFERROR(DO80/DN80-1,"--")</f>
      </c>
      <c r="DP82" s="107">
        <f>IFERROR(DP80/DO80-1,"--")</f>
      </c>
      <c r="DQ82" s="107">
        <f>IFERROR(DQ80/DP80-1,"--")</f>
      </c>
      <c r="DR82" s="293"/>
      <c r="DS82" s="291">
        <f>IFERROR(DS80/DQ80-1,"--")</f>
      </c>
      <c r="DT82" s="107">
        <f>IFERROR(DT80/DS80-1,"--")</f>
      </c>
      <c r="DU82" s="107">
        <f>IFERROR(DU80/DT80-1,"--")</f>
      </c>
      <c r="DV82" s="107">
        <f>IFERROR(DV80/DU80-1,"--")</f>
      </c>
      <c r="DW82" s="293"/>
      <c r="DX82" s="291">
        <f>IFERROR(DX80/DV80-1,"--")</f>
      </c>
      <c r="DY82" s="107">
        <f>IFERROR(DY80/DX80-1,"--")</f>
      </c>
      <c r="DZ82" s="107">
        <f>IFERROR(DZ80/DY80-1,"--")</f>
      </c>
      <c r="EA82" s="107">
        <f>IFERROR(EA80/DZ80-1,"--")</f>
      </c>
      <c r="EB82" s="293"/>
      <c r="EC82" s="291">
        <f>IFERROR(EC80/EA80-1,"--")</f>
      </c>
      <c r="ED82" s="107">
        <f>IFERROR(ED80/EC80-1,"--")</f>
      </c>
      <c r="EE82" s="107">
        <f>IFERROR(EE80/ED80-1,"--")</f>
      </c>
      <c r="EF82" s="107">
        <f>IFERROR(EF80/EE80-1,"--")</f>
      </c>
      <c r="EG82" s="293"/>
      <c r="EH82" s="291">
        <f>IFERROR(EH80/EF80-1,"--")</f>
      </c>
      <c r="EI82" s="107">
        <f>IFERROR(EI80/EH80-1,"--")</f>
      </c>
      <c r="EJ82" s="107">
        <f>IFERROR(EJ80/EI80-1,"--")</f>
      </c>
      <c r="EK82" s="107">
        <f>IFERROR(EK80/EJ80-1,"--")</f>
      </c>
      <c r="EL82" s="293"/>
      <c r="EM82" s="291">
        <f>IFERROR(EM80/EK80-1,"--")</f>
      </c>
      <c r="EN82" s="107">
        <f>IFERROR(EN80/EM80-1,"--")</f>
      </c>
      <c r="EO82" s="107">
        <f>IFERROR(EO80/EN80-1,"--")</f>
      </c>
      <c r="EP82" s="107">
        <f>IFERROR(EP80/EO80-1,"--")</f>
      </c>
      <c r="EQ82" s="293"/>
      <c r="ER82" s="291">
        <f>IFERROR(ER80/EP80-1,"--")</f>
      </c>
      <c r="ES82" s="107">
        <f>IFERROR(ES80/ER80-1,"--")</f>
      </c>
      <c r="ET82" s="107">
        <f>IFERROR(ET80/ES80-1,"--")</f>
      </c>
      <c r="EU82" s="107">
        <f>IFERROR(EU80/ET80-1,"--")</f>
      </c>
      <c r="EV82" s="293"/>
      <c r="EW82" s="291"/>
      <c r="EX82" s="107"/>
      <c r="EY82" s="107"/>
      <c r="EZ82" s="107"/>
      <c r="FA82" s="293"/>
      <c r="FB82" s="291"/>
      <c r="FC82" s="107"/>
      <c r="FD82" s="107"/>
      <c r="FE82" s="107"/>
      <c r="FF82" s="293"/>
      <c r="FG82" s="291"/>
      <c r="FH82" s="107"/>
      <c r="FI82" s="107"/>
      <c r="FJ82" s="107"/>
      <c r="FK82" s="293"/>
      <c r="FL82" s="291"/>
      <c r="FM82" s="107"/>
      <c r="FN82" s="107"/>
      <c r="FO82" s="107"/>
      <c r="FP82" s="293"/>
      <c r="FQ82" s="291"/>
      <c r="FR82" s="107"/>
      <c r="FS82" s="107"/>
      <c r="FT82" s="107"/>
      <c r="FU82" s="293"/>
      <c r="FV82" s="291"/>
      <c r="FW82" s="107"/>
      <c r="FX82" s="107"/>
      <c r="FY82" s="107"/>
      <c r="FZ82" s="293"/>
      <c r="GA82" s="291"/>
      <c r="GB82" s="107"/>
      <c r="GC82" s="107"/>
      <c r="GD82" s="107"/>
      <c r="GE82" s="293"/>
      <c r="GF82" s="291"/>
      <c r="GG82" s="107"/>
      <c r="GH82" s="107"/>
      <c r="GI82" s="107"/>
      <c r="GJ82" s="293"/>
    </row>
    <row r="83" spans="1:192" ht="12.75" hidden="1" customHeight="1" outlineLevel="1">
      <c r="B83" s="727" t="s">
        <v>196</v>
      </c>
      <c r="C83" s="291"/>
      <c r="D83" s="107"/>
      <c r="E83" s="107"/>
      <c r="F83" s="107"/>
      <c r="G83" s="293"/>
      <c r="H83" s="291"/>
      <c r="I83" s="107"/>
      <c r="J83" s="107"/>
      <c r="K83" s="107"/>
      <c r="L83" s="293"/>
      <c r="M83" s="291"/>
      <c r="N83" s="107"/>
      <c r="O83" s="107"/>
      <c r="P83" s="107"/>
      <c r="Q83" s="293"/>
      <c r="R83" s="291"/>
      <c r="S83" s="107"/>
      <c r="T83" s="107"/>
      <c r="U83" s="107"/>
      <c r="V83" s="293"/>
      <c r="W83" s="291"/>
      <c r="X83" s="107"/>
      <c r="Y83" s="107"/>
      <c r="Z83" s="107"/>
      <c r="AA83" s="293"/>
      <c r="AB83" s="291"/>
      <c r="AC83" s="107"/>
      <c r="AD83" s="107"/>
      <c r="AE83" s="107"/>
      <c r="AF83" s="293"/>
      <c r="AG83" s="291"/>
      <c r="AH83" s="107"/>
      <c r="AI83" s="107"/>
      <c r="AJ83" s="107"/>
      <c r="AK83" s="293"/>
      <c r="AL83" s="291"/>
      <c r="AM83" s="107"/>
      <c r="AN83" s="107"/>
      <c r="AO83" s="107"/>
      <c r="AP83" s="293"/>
      <c r="AQ83" s="291"/>
      <c r="AR83" s="107"/>
      <c r="AS83" s="107"/>
      <c r="AT83" s="107"/>
      <c r="AU83" s="293"/>
      <c r="AV83" s="291"/>
      <c r="AW83" s="107"/>
      <c r="AX83" s="107"/>
      <c r="AY83" s="107"/>
      <c r="AZ83" s="293"/>
      <c r="BA83" s="291"/>
      <c r="BB83" s="107"/>
      <c r="BC83" s="107"/>
      <c r="BD83" s="107"/>
      <c r="BE83" s="293"/>
      <c r="BF83" s="291"/>
      <c r="BG83" s="107"/>
      <c r="BH83" s="107"/>
      <c r="BI83" s="107"/>
      <c r="BJ83" s="293"/>
      <c r="BK83" s="291"/>
      <c r="BL83" s="107"/>
      <c r="BM83" s="107"/>
      <c r="BN83" s="107"/>
      <c r="BO83" s="293"/>
      <c r="BP83" s="291"/>
      <c r="BQ83" s="107"/>
      <c r="BR83" s="107"/>
      <c r="BS83" s="107"/>
      <c r="BT83" s="293"/>
      <c r="BU83" s="291"/>
      <c r="BV83" s="107"/>
      <c r="BW83" s="107"/>
      <c r="BX83" s="107"/>
      <c r="BY83" s="293"/>
      <c r="BZ83" s="291"/>
      <c r="CA83" s="107"/>
      <c r="CB83" s="107"/>
      <c r="CC83" s="107"/>
      <c r="CD83" s="293"/>
      <c r="CE83" s="291"/>
      <c r="CF83" s="107"/>
      <c r="CG83" s="107"/>
      <c r="CH83" s="107"/>
      <c r="CI83" s="293"/>
      <c r="CJ83" s="291"/>
      <c r="CK83" s="107"/>
      <c r="CL83" s="107"/>
      <c r="CM83" s="107"/>
      <c r="CN83" s="293"/>
      <c r="CO83" s="291"/>
      <c r="CP83" s="107"/>
      <c r="CQ83" s="107"/>
      <c r="CR83" s="107"/>
      <c r="CS83" s="293"/>
      <c r="CT83" s="291"/>
      <c r="CU83" s="107"/>
      <c r="CV83" s="107"/>
      <c r="CW83" s="107"/>
      <c r="CX83" s="293"/>
      <c r="CY83" s="291"/>
      <c r="CZ83" s="291"/>
      <c r="DA83" s="291"/>
      <c r="DB83" s="291"/>
      <c r="DC83" s="293"/>
      <c r="DD83" s="291">
        <f>DD80/(DD80+IC!DD80+PBP!DD80)</f>
      </c>
      <c r="DE83" s="291">
        <f>DE80/(DE80+IC!DE80+PBP!DE80)</f>
      </c>
      <c r="DF83" s="291">
        <f>DF80/(DF80+IC!DF80+PBP!DF80)</f>
      </c>
      <c r="DG83" s="291">
        <f>DG80/(DG80+IC!DG80+PBP!DG80)</f>
      </c>
      <c r="DH83" s="293">
        <f>DH80/(DH80+IC!DH80+PBP!DH80)</f>
      </c>
      <c r="DI83" s="291">
        <f>DI80/(DI80+IC!DI80+PBP!DI80)</f>
      </c>
      <c r="DJ83" s="291">
        <f>DJ80/(DJ80+IC!DJ80+PBP!DJ80)</f>
      </c>
      <c r="DK83" s="291">
        <f>DK80/(DK80+IC!DK80+PBP!DK80)</f>
      </c>
      <c r="DL83" s="291">
        <f>DL80/(DL80+IC!DL80+PBP!DL80)</f>
      </c>
      <c r="DM83" s="293">
        <f>DM80/(DM80+IC!DM80+PBP!DM80)</f>
      </c>
      <c r="DN83" s="291">
        <f>DN80/(DN80+IC!DN80+PBP!DN80)</f>
      </c>
      <c r="DO83" s="291">
        <f>DO80/(DO80+IC!DO80+PBP!DO80)</f>
      </c>
      <c r="DP83" s="291">
        <f>DP80/(DP80+IC!DP80+PBP!DP80)</f>
      </c>
      <c r="DQ83" s="291">
        <f>DQ80/(DQ80+IC!DQ80+PBP!DQ80)</f>
      </c>
      <c r="DR83" s="293">
        <f>DR80/(DR80+IC!DR80+PBP!DR80)</f>
      </c>
      <c r="DS83" s="291">
        <f>DS80/(DS80+IC!DS80+PBP!DS80)</f>
      </c>
      <c r="DT83" s="291">
        <f>DT80/(DT80+IC!DT80+PBP!DT80)</f>
      </c>
      <c r="DU83" s="291">
        <f>DU80/(DU80+IC!DU80+PBP!DU80)</f>
      </c>
      <c r="DV83" s="291">
        <f>DV80/(DV80+IC!DV80+PBP!DV80)</f>
      </c>
      <c r="DW83" s="293">
        <f>DW80/(DW80+IC!DW80+PBP!DW80)</f>
      </c>
      <c r="DX83" s="291">
        <f>DX80/(DX80+IC!DX80+PBP!DX80)</f>
      </c>
      <c r="DY83" s="291">
        <f>DY80/(DY80+IC!DY80+PBP!DY80)</f>
      </c>
      <c r="DZ83" s="291">
        <f>DZ80/(DZ80+IC!DZ80+PBP!DZ80)</f>
      </c>
      <c r="EA83" s="291">
        <f>EA80/(EA80+IC!EA80+PBP!EA80)</f>
      </c>
      <c r="EB83" s="293">
        <f>EB80/(EB80+IC!EB80+PBP!EB80)</f>
      </c>
      <c r="EC83" s="291">
        <f>EC80/(EC80+IC!EC80+PBP!EC80)</f>
      </c>
      <c r="ED83" s="291">
        <f>ED80/(ED80+IC!ED80+PBP!ED80)</f>
      </c>
      <c r="EE83" s="291">
        <f>EE80/(EE80+IC!EE80+PBP!EE80)</f>
      </c>
      <c r="EF83" s="291">
        <f>EF80/(EF80+IC!EF80+PBP!EF80)</f>
      </c>
      <c r="EG83" s="293">
        <f>EG80/(EG80+IC!EG80+PBP!EG80)</f>
      </c>
      <c r="EH83" s="291">
        <f>EH80/(EH80+IC!EH80+PBP!EH80)</f>
      </c>
      <c r="EI83" s="291">
        <f>EI80/(EI80+IC!EI80+PBP!EI80)</f>
      </c>
      <c r="EJ83" s="291">
        <f>EJ80/(EJ80+IC!EJ80+PBP!EJ80)</f>
      </c>
      <c r="EK83" s="291">
        <f>EK80/(EK80+IC!EK80+PBP!EK80)</f>
      </c>
      <c r="EL83" s="293">
        <f>EL80/(EL80+IC!EL80+PBP!EL80)</f>
      </c>
      <c r="EM83" s="291">
        <f>EM80/(EM80+IC!EM80+PBP!EM80)</f>
      </c>
      <c r="EN83" s="291">
        <f>EN80/(EN80+IC!EN80+PBP!EN80)</f>
      </c>
      <c r="EO83" s="291">
        <f>EO80/(EO80+IC!EO80+PBP!EO80)</f>
      </c>
      <c r="EP83" s="291">
        <f>EP80/(EP80+IC!EP80+PBP!EP80)</f>
      </c>
      <c r="EQ83" s="293">
        <f>EQ80/(EQ80+IC!EQ80+PBP!EQ80)</f>
      </c>
      <c r="ER83" s="291">
        <f>ER80/(ER80+IC!ER80+PBP!ER80)</f>
      </c>
      <c r="ES83" s="291">
        <f>ES80/(ES80+IC!ES80+PBP!ES80)</f>
      </c>
      <c r="ET83" s="291">
        <f>ET80/(ET80+IC!ET80+PBP!ET80)</f>
      </c>
      <c r="EU83" s="291">
        <f>EU80/(EU80+IC!EU80+PBP!EU80)</f>
      </c>
      <c r="EV83" s="293">
        <f>EV80/(EV80+IC!EV80+PBP!EV80)</f>
      </c>
      <c r="EW83" s="291"/>
      <c r="EX83" s="107"/>
      <c r="EY83" s="107"/>
      <c r="EZ83" s="107"/>
      <c r="FA83" s="293"/>
      <c r="FB83" s="291"/>
      <c r="FC83" s="107"/>
      <c r="FD83" s="107"/>
      <c r="FE83" s="107"/>
      <c r="FF83" s="293"/>
      <c r="FG83" s="291"/>
      <c r="FH83" s="107"/>
      <c r="FI83" s="107"/>
      <c r="FJ83" s="107"/>
      <c r="FK83" s="293"/>
      <c r="FL83" s="291"/>
      <c r="FM83" s="107"/>
      <c r="FN83" s="107"/>
      <c r="FO83" s="107"/>
      <c r="FP83" s="293"/>
      <c r="FQ83" s="291"/>
      <c r="FR83" s="107"/>
      <c r="FS83" s="107"/>
      <c r="FT83" s="107"/>
      <c r="FU83" s="293"/>
      <c r="FV83" s="291"/>
      <c r="FW83" s="107"/>
      <c r="FX83" s="107"/>
      <c r="FY83" s="107"/>
      <c r="FZ83" s="293"/>
      <c r="GA83" s="291"/>
      <c r="GB83" s="107"/>
      <c r="GC83" s="107"/>
      <c r="GD83" s="107"/>
      <c r="GE83" s="293"/>
      <c r="GF83" s="291"/>
      <c r="GG83" s="107"/>
      <c r="GH83" s="107"/>
      <c r="GI83" s="107"/>
      <c r="GJ83" s="293"/>
    </row>
    <row r="84" spans="1:192" ht="12.75" customHeight="1" collapsed="1">
      <c r="C84" s="294"/>
      <c r="D84" s="295"/>
      <c r="E84" s="295"/>
      <c r="F84" s="295"/>
      <c r="G84" s="410"/>
      <c r="H84" s="294"/>
      <c r="I84" s="295"/>
      <c r="J84" s="295"/>
      <c r="K84" s="295"/>
      <c r="L84" s="410"/>
      <c r="M84" s="294"/>
      <c r="N84" s="295"/>
      <c r="O84" s="295"/>
      <c r="P84" s="295"/>
      <c r="Q84" s="410"/>
      <c r="R84" s="294"/>
      <c r="S84" s="295"/>
      <c r="T84" s="295"/>
      <c r="U84" s="295"/>
      <c r="V84" s="410"/>
      <c r="W84" s="294"/>
      <c r="X84" s="295"/>
      <c r="Y84" s="295"/>
      <c r="Z84" s="295"/>
      <c r="AA84" s="410"/>
      <c r="AB84" s="294"/>
      <c r="AC84" s="295"/>
      <c r="AD84" s="295"/>
      <c r="AE84" s="295"/>
      <c r="AF84" s="410"/>
      <c r="AG84" s="294"/>
      <c r="AH84" s="295"/>
      <c r="AI84" s="295"/>
      <c r="AJ84" s="295"/>
      <c r="AK84" s="410"/>
      <c r="AL84" s="294"/>
      <c r="AM84" s="295"/>
      <c r="AN84" s="295"/>
      <c r="AO84" s="295"/>
      <c r="AP84" s="410"/>
      <c r="AQ84" s="294"/>
      <c r="AR84" s="295"/>
      <c r="AS84" s="295"/>
      <c r="AT84" s="295"/>
      <c r="AU84" s="410"/>
      <c r="AV84" s="294"/>
      <c r="AW84" s="295"/>
      <c r="AX84" s="295"/>
      <c r="AY84" s="295"/>
      <c r="AZ84" s="410"/>
      <c r="BA84" s="294"/>
      <c r="BB84" s="295"/>
      <c r="BC84" s="295"/>
      <c r="BD84" s="295"/>
      <c r="BE84" s="410"/>
      <c r="BF84" s="294"/>
      <c r="BG84" s="295"/>
      <c r="BH84" s="295"/>
      <c r="BI84" s="295"/>
      <c r="BJ84" s="410"/>
      <c r="BK84" s="294"/>
      <c r="BL84" s="295"/>
      <c r="BM84" s="295"/>
      <c r="BN84" s="295"/>
      <c r="BO84" s="410"/>
      <c r="BP84" s="294"/>
      <c r="BQ84" s="295"/>
      <c r="BR84" s="295"/>
      <c r="BS84" s="295"/>
      <c r="BT84" s="410"/>
      <c r="BU84" s="294"/>
      <c r="BV84" s="295"/>
      <c r="BW84" s="295"/>
      <c r="BX84" s="295"/>
      <c r="BY84" s="410"/>
      <c r="BZ84" s="294"/>
      <c r="CA84" s="295"/>
      <c r="CB84" s="295"/>
      <c r="CC84" s="295"/>
      <c r="CD84" s="410"/>
      <c r="CE84" s="294"/>
      <c r="CF84" s="295"/>
      <c r="CG84" s="295"/>
      <c r="CH84" s="295"/>
      <c r="CI84" s="410"/>
      <c r="CJ84" s="294"/>
      <c r="CK84" s="295"/>
      <c r="CL84" s="295"/>
      <c r="CM84" s="295"/>
      <c r="CN84" s="410"/>
      <c r="CO84" s="294"/>
      <c r="CP84" s="295"/>
      <c r="CQ84" s="295"/>
      <c r="CR84" s="295"/>
      <c r="CS84" s="410"/>
      <c r="CT84" s="294"/>
      <c r="CU84" s="295"/>
      <c r="CV84" s="295"/>
      <c r="CW84" s="295"/>
      <c r="CX84" s="410"/>
      <c r="CY84" s="294"/>
      <c r="CZ84" s="295"/>
      <c r="DA84" s="295"/>
      <c r="DB84" s="295"/>
      <c r="DC84" s="410"/>
      <c r="DD84" s="294"/>
      <c r="DE84" s="295"/>
      <c r="DF84" s="295"/>
      <c r="DG84" s="295"/>
      <c r="DH84" s="410"/>
      <c r="DI84" s="294"/>
      <c r="DJ84" s="295"/>
      <c r="DK84" s="295"/>
      <c r="DL84" s="295"/>
      <c r="DM84" s="410"/>
      <c r="DN84" s="294"/>
      <c r="DO84" s="295"/>
      <c r="DP84" s="295"/>
      <c r="DQ84" s="295"/>
      <c r="DR84" s="410"/>
      <c r="DS84" s="294"/>
      <c r="DT84" s="295"/>
      <c r="DU84" s="295"/>
      <c r="DV84" s="295"/>
      <c r="DW84" s="410"/>
      <c r="DX84" s="294"/>
      <c r="DY84" s="295"/>
      <c r="DZ84" s="295"/>
      <c r="EA84" s="295"/>
      <c r="EB84" s="410"/>
      <c r="EC84" s="294"/>
      <c r="ED84" s="295"/>
      <c r="EE84" s="295"/>
      <c r="EF84" s="295"/>
      <c r="EG84" s="410"/>
      <c r="EH84" s="294"/>
      <c r="EI84" s="295"/>
      <c r="EJ84" s="295"/>
      <c r="EK84" s="295"/>
      <c r="EL84" s="410"/>
      <c r="EM84" s="294"/>
      <c r="EN84" s="295"/>
      <c r="EO84" s="295"/>
      <c r="EP84" s="295"/>
      <c r="EQ84" s="410"/>
      <c r="ER84" s="294"/>
      <c r="ES84" s="295"/>
      <c r="ET84" s="295"/>
      <c r="EU84" s="295"/>
      <c r="EV84" s="410"/>
      <c r="EW84" s="294"/>
      <c r="EX84" s="295"/>
      <c r="EY84" s="295"/>
      <c r="EZ84" s="295"/>
      <c r="FA84" s="410"/>
      <c r="FB84" s="294"/>
      <c r="FC84" s="295"/>
      <c r="FD84" s="295"/>
      <c r="FE84" s="295"/>
      <c r="FF84" s="410"/>
      <c r="FG84" s="294"/>
      <c r="FH84" s="295"/>
      <c r="FI84" s="295"/>
      <c r="FJ84" s="295"/>
      <c r="FK84" s="410"/>
      <c r="FL84" s="294"/>
      <c r="FM84" s="295"/>
      <c r="FN84" s="295"/>
      <c r="FO84" s="295"/>
      <c r="FP84" s="410"/>
      <c r="FQ84" s="294"/>
      <c r="FR84" s="295"/>
      <c r="FS84" s="295"/>
      <c r="FT84" s="295"/>
      <c r="FU84" s="410"/>
      <c r="FV84" s="294"/>
      <c r="FW84" s="295"/>
      <c r="FX84" s="295"/>
      <c r="FY84" s="295"/>
      <c r="FZ84" s="410"/>
      <c r="GA84" s="294"/>
      <c r="GB84" s="295"/>
      <c r="GC84" s="295"/>
      <c r="GD84" s="295"/>
      <c r="GE84" s="410"/>
      <c r="GF84" s="294"/>
      <c r="GG84" s="295"/>
      <c r="GH84" s="295"/>
      <c r="GI84" s="295"/>
      <c r="GJ84" s="410"/>
    </row>
    <row r="85" spans="1:192" ht="12.75" customHeight="1">
      <c r="DC85" s="142"/>
      <c r="DH85" s="142"/>
      <c r="DM85" s="142"/>
      <c r="DR85" s="142"/>
      <c r="DW85" s="142"/>
      <c r="EB85" s="142"/>
      <c r="EG85" s="142"/>
    </row>
    <row r="86" spans="1:192" ht="12.75" customHeight="1" thickBot="1">
      <c r="DV86" s="475"/>
      <c r="EL86" s="288"/>
      <c r="EQ86" s="288"/>
    </row>
    <row r="87" spans="1:192" ht="12.75" customHeight="1" thickBot="1">
      <c r="B87" s="731" t="s">
        <v>209</v>
      </c>
      <c r="C87" s="396"/>
      <c r="D87" s="397"/>
      <c r="E87" s="397"/>
      <c r="F87" s="397"/>
      <c r="G87" s="397"/>
      <c r="H87" s="396"/>
      <c r="I87" s="397"/>
      <c r="J87" s="397"/>
      <c r="K87" s="397"/>
      <c r="L87" s="397"/>
      <c r="M87" s="396"/>
      <c r="N87" s="397"/>
      <c r="O87" s="397"/>
      <c r="P87" s="397"/>
      <c r="Q87" s="397"/>
      <c r="R87" s="396"/>
      <c r="S87" s="397"/>
      <c r="T87" s="397"/>
      <c r="U87" s="397"/>
      <c r="V87" s="397"/>
      <c r="W87" s="396"/>
      <c r="X87" s="397"/>
      <c r="Y87" s="397"/>
      <c r="Z87" s="397"/>
      <c r="AA87" s="397"/>
      <c r="AB87" s="396"/>
      <c r="AC87" s="397"/>
      <c r="AD87" s="397"/>
      <c r="AE87" s="397"/>
      <c r="AF87" s="397"/>
      <c r="AG87" s="396"/>
      <c r="AH87" s="397"/>
      <c r="AI87" s="397"/>
      <c r="AJ87" s="397"/>
      <c r="AK87" s="397"/>
      <c r="AL87" s="396"/>
      <c r="AM87" s="397"/>
      <c r="AN87" s="397"/>
      <c r="AO87" s="397"/>
      <c r="AP87" s="397"/>
      <c r="AQ87" s="396"/>
      <c r="AR87" s="397"/>
      <c r="AS87" s="397"/>
      <c r="AT87" s="397"/>
      <c r="AU87" s="397"/>
      <c r="AV87" s="396"/>
      <c r="AW87" s="397"/>
      <c r="AX87" s="397"/>
      <c r="AY87" s="397"/>
      <c r="AZ87" s="397"/>
      <c r="BA87" s="396"/>
      <c r="BB87" s="397"/>
      <c r="BC87" s="397"/>
      <c r="BD87" s="397"/>
      <c r="BE87" s="397"/>
      <c r="BF87" s="396"/>
      <c r="BG87" s="397"/>
      <c r="BH87" s="397"/>
      <c r="BI87" s="397"/>
      <c r="BJ87" s="397"/>
      <c r="BK87" s="396"/>
      <c r="BL87" s="397"/>
      <c r="BM87" s="397"/>
      <c r="BN87" s="397"/>
      <c r="BO87" s="397"/>
      <c r="BP87" s="396"/>
      <c r="BQ87" s="397"/>
      <c r="BR87" s="397"/>
      <c r="BS87" s="397"/>
      <c r="BT87" s="397"/>
      <c r="BU87" s="396"/>
      <c r="BV87" s="397"/>
      <c r="BW87" s="397"/>
      <c r="BX87" s="397"/>
      <c r="BY87" s="397"/>
      <c r="BZ87" s="396"/>
      <c r="CA87" s="397"/>
      <c r="CB87" s="397"/>
      <c r="CC87" s="397"/>
      <c r="CD87" s="397"/>
      <c r="CE87" s="396"/>
      <c r="CF87" s="397"/>
      <c r="CG87" s="397"/>
      <c r="CH87" s="397"/>
      <c r="CI87" s="397"/>
      <c r="CJ87" s="396"/>
      <c r="CK87" s="397"/>
      <c r="CL87" s="397"/>
      <c r="CM87" s="397"/>
      <c r="CN87" s="397"/>
      <c r="CO87" s="396"/>
      <c r="CP87" s="397"/>
      <c r="CQ87" s="397"/>
      <c r="CR87" s="397"/>
      <c r="CS87" s="397"/>
      <c r="CT87" s="396"/>
      <c r="CU87" s="397"/>
      <c r="CV87" s="397"/>
      <c r="CW87" s="397"/>
      <c r="CX87" s="397"/>
      <c r="CY87" s="396"/>
      <c r="CZ87" s="397"/>
      <c r="DA87" s="397"/>
      <c r="DB87" s="397"/>
      <c r="DC87" s="397"/>
      <c r="DD87" s="396"/>
      <c r="DE87" s="397"/>
      <c r="DF87" s="397"/>
      <c r="DG87" s="397"/>
      <c r="DH87" s="397"/>
      <c r="DI87" s="396"/>
      <c r="DJ87" s="397"/>
      <c r="DK87" s="397"/>
      <c r="DL87" s="397"/>
      <c r="DM87" s="397"/>
      <c r="DN87" s="396"/>
      <c r="DO87" s="397"/>
      <c r="DP87" s="397"/>
      <c r="DQ87" s="397"/>
      <c r="DR87" s="397"/>
      <c r="DS87" s="396"/>
      <c r="DT87" s="397"/>
      <c r="DU87" s="397"/>
      <c r="DV87" s="397"/>
      <c r="DW87" s="397"/>
      <c r="DX87" s="396"/>
      <c r="DY87" s="397"/>
      <c r="DZ87" s="397"/>
      <c r="EA87" s="397"/>
      <c r="EB87" s="397"/>
      <c r="EC87" s="396"/>
      <c r="ED87" s="397"/>
      <c r="EE87" s="397"/>
      <c r="EF87" s="397"/>
      <c r="EG87" s="397"/>
      <c r="EH87" s="396"/>
      <c r="EI87" s="397"/>
      <c r="EJ87" s="397"/>
      <c r="EK87" s="397"/>
      <c r="EL87" s="397"/>
      <c r="EM87" s="396"/>
      <c r="EN87" s="397"/>
      <c r="EO87" s="397"/>
      <c r="EP87" s="397"/>
      <c r="EQ87" s="397"/>
      <c r="ER87" s="396"/>
      <c r="ES87" s="397"/>
      <c r="ET87" s="397"/>
      <c r="EU87" s="397"/>
      <c r="EV87" s="397"/>
      <c r="EW87" s="396"/>
      <c r="EX87" s="397"/>
      <c r="EY87" s="397"/>
      <c r="EZ87" s="397"/>
      <c r="FA87" s="397"/>
      <c r="FB87" s="396"/>
      <c r="FC87" s="397"/>
      <c r="FD87" s="397"/>
      <c r="FE87" s="397"/>
      <c r="FF87" s="397"/>
      <c r="FG87" s="396"/>
      <c r="FH87" s="397"/>
      <c r="FI87" s="397"/>
      <c r="FJ87" s="397"/>
      <c r="FK87" s="397"/>
      <c r="FL87" s="396"/>
      <c r="FM87" s="397"/>
      <c r="FN87" s="397"/>
      <c r="FO87" s="397"/>
      <c r="FP87" s="397"/>
      <c r="FQ87" s="396"/>
      <c r="FR87" s="397"/>
      <c r="FS87" s="397"/>
      <c r="FT87" s="397"/>
      <c r="FU87" s="397"/>
      <c r="FV87" s="396"/>
      <c r="FW87" s="397"/>
      <c r="FX87" s="397"/>
      <c r="FY87" s="397"/>
      <c r="FZ87" s="397"/>
      <c r="GA87" s="396"/>
      <c r="GB87" s="397"/>
      <c r="GC87" s="397"/>
      <c r="GD87" s="397"/>
      <c r="GE87" s="397"/>
      <c r="GF87" s="396"/>
      <c r="GG87" s="397"/>
      <c r="GH87" s="397"/>
      <c r="GI87" s="397"/>
      <c r="GJ87" s="398"/>
    </row>
    <row r="88" spans="1:192" ht="12.75" customHeight="1">
      <c r="B88" s="740"/>
      <c r="C88" s="294"/>
      <c r="D88" s="295"/>
      <c r="E88" s="295"/>
      <c r="F88" s="295"/>
      <c r="G88" s="296"/>
      <c r="H88" s="294"/>
      <c r="I88" s="295"/>
      <c r="J88" s="295"/>
      <c r="K88" s="295"/>
      <c r="L88" s="296"/>
      <c r="M88" s="294"/>
      <c r="N88" s="295"/>
      <c r="O88" s="295"/>
      <c r="P88" s="295"/>
      <c r="Q88" s="296"/>
      <c r="R88" s="294"/>
      <c r="S88" s="295"/>
      <c r="T88" s="295"/>
      <c r="U88" s="295"/>
      <c r="V88" s="296"/>
      <c r="W88" s="294"/>
      <c r="X88" s="295"/>
      <c r="Y88" s="295"/>
      <c r="Z88" s="295"/>
      <c r="AA88" s="296"/>
      <c r="AB88" s="294"/>
      <c r="AC88" s="295"/>
      <c r="AD88" s="295"/>
      <c r="AE88" s="295"/>
      <c r="AF88" s="296"/>
      <c r="AG88" s="294"/>
      <c r="AH88" s="295"/>
      <c r="AI88" s="295"/>
      <c r="AJ88" s="295"/>
      <c r="AK88" s="296"/>
      <c r="AL88" s="294"/>
      <c r="AM88" s="295"/>
      <c r="AN88" s="295"/>
      <c r="AO88" s="295"/>
      <c r="AP88" s="296"/>
      <c r="AQ88" s="294"/>
      <c r="AR88" s="295"/>
      <c r="AS88" s="295"/>
      <c r="AT88" s="295"/>
      <c r="AU88" s="296"/>
      <c r="AV88" s="294"/>
      <c r="AW88" s="295"/>
      <c r="AX88" s="295"/>
      <c r="AY88" s="295"/>
      <c r="AZ88" s="296"/>
      <c r="BA88" s="294"/>
      <c r="BB88" s="295"/>
      <c r="BC88" s="295"/>
      <c r="BD88" s="295"/>
      <c r="BE88" s="296"/>
      <c r="BF88" s="294"/>
      <c r="BG88" s="295"/>
      <c r="BH88" s="295"/>
      <c r="BI88" s="295"/>
      <c r="BJ88" s="296"/>
      <c r="BK88" s="294"/>
      <c r="BL88" s="295"/>
      <c r="BM88" s="295"/>
      <c r="BN88" s="295"/>
      <c r="BO88" s="296"/>
      <c r="BP88" s="294"/>
      <c r="BQ88" s="295"/>
      <c r="BR88" s="295"/>
      <c r="BS88" s="295"/>
      <c r="BT88" s="296"/>
      <c r="BU88" s="294"/>
      <c r="BV88" s="295"/>
      <c r="BW88" s="295"/>
      <c r="BX88" s="295"/>
      <c r="BY88" s="296"/>
      <c r="BZ88" s="294"/>
      <c r="CA88" s="295"/>
      <c r="CB88" s="295"/>
      <c r="CC88" s="295"/>
      <c r="CD88" s="296"/>
      <c r="CE88" s="294"/>
      <c r="CF88" s="295"/>
      <c r="CG88" s="295"/>
      <c r="CH88" s="295"/>
      <c r="CI88" s="296"/>
      <c r="CJ88" s="294"/>
      <c r="CK88" s="295"/>
      <c r="CL88" s="295"/>
      <c r="CM88" s="295"/>
      <c r="CN88" s="296"/>
      <c r="CO88" s="294"/>
      <c r="CP88" s="295"/>
      <c r="CQ88" s="295"/>
      <c r="CR88" s="295"/>
      <c r="CS88" s="296"/>
      <c r="CT88" s="294"/>
      <c r="CU88" s="295"/>
      <c r="CV88" s="295"/>
      <c r="CW88" s="295"/>
      <c r="CX88" s="296"/>
      <c r="CY88" s="294"/>
      <c r="CZ88" s="295"/>
      <c r="DA88" s="295"/>
      <c r="DB88" s="295"/>
      <c r="DC88" s="296"/>
      <c r="DD88" s="294"/>
      <c r="DE88" s="295"/>
      <c r="DF88" s="295"/>
      <c r="DG88" s="295"/>
      <c r="DH88" s="296"/>
      <c r="DI88" s="294"/>
      <c r="DJ88" s="295"/>
      <c r="DK88" s="295"/>
      <c r="DL88" s="295"/>
      <c r="DM88" s="296"/>
      <c r="DN88" s="294"/>
      <c r="DO88" s="295"/>
      <c r="DP88" s="295"/>
      <c r="DQ88" s="295"/>
      <c r="DR88" s="296"/>
      <c r="DS88" s="294"/>
      <c r="DT88" s="295"/>
      <c r="DU88" s="295"/>
      <c r="DV88" s="295"/>
      <c r="DW88" s="296"/>
      <c r="DX88" s="294"/>
      <c r="DY88" s="295"/>
      <c r="DZ88" s="295"/>
      <c r="EA88" s="925"/>
      <c r="EB88" s="296"/>
      <c r="EC88" s="294"/>
      <c r="ED88" s="295"/>
      <c r="EE88" s="295"/>
      <c r="EF88" s="814"/>
      <c r="EG88" s="296"/>
      <c r="EH88" s="294"/>
      <c r="EI88" s="295"/>
      <c r="EJ88" s="295"/>
      <c r="EK88" s="295"/>
      <c r="EL88" s="296"/>
      <c r="EM88" s="294"/>
      <c r="EN88" s="295"/>
      <c r="EO88" s="295"/>
      <c r="EP88" s="295"/>
      <c r="EQ88" s="296"/>
      <c r="ER88" s="294"/>
      <c r="ES88" s="295"/>
      <c r="ET88" s="295"/>
      <c r="EU88" s="295"/>
      <c r="EV88" s="296"/>
      <c r="EW88" s="294"/>
      <c r="EX88" s="295"/>
      <c r="EY88" s="295"/>
      <c r="EZ88" s="295"/>
      <c r="FA88" s="296"/>
      <c r="FB88" s="294"/>
      <c r="FC88" s="295"/>
      <c r="FD88" s="295"/>
      <c r="FE88" s="295"/>
      <c r="FF88" s="296"/>
      <c r="FG88" s="294"/>
      <c r="FH88" s="295"/>
      <c r="FI88" s="295"/>
      <c r="FJ88" s="295"/>
      <c r="FK88" s="296"/>
      <c r="FL88" s="294"/>
      <c r="FM88" s="295"/>
      <c r="FN88" s="295"/>
      <c r="FO88" s="295"/>
      <c r="FP88" s="296"/>
      <c r="FQ88" s="294"/>
      <c r="FR88" s="295"/>
      <c r="FS88" s="295"/>
      <c r="FT88" s="295"/>
      <c r="FU88" s="296"/>
      <c r="FV88" s="294"/>
      <c r="FW88" s="295"/>
      <c r="FX88" s="295"/>
      <c r="FY88" s="295"/>
      <c r="FZ88" s="1468"/>
      <c r="GA88" s="294"/>
      <c r="GB88" s="295"/>
      <c r="GC88" s="295"/>
      <c r="GD88" s="295"/>
      <c r="GE88" s="1468"/>
      <c r="GF88" s="294"/>
      <c r="GG88" s="295"/>
      <c r="GH88" s="295"/>
      <c r="GI88" s="295"/>
      <c r="GJ88" s="383"/>
    </row>
    <row r="89" spans="1:192" s="406" customFormat="1" ht="12.75" customHeight="1">
      <c r="A89" s="1642"/>
      <c r="B89" s="1639" t="s">
        <v>214</v>
      </c>
      <c r="C89" s="403"/>
      <c r="D89" s="404"/>
      <c r="E89" s="404"/>
      <c r="F89" s="404"/>
      <c r="G89" s="405"/>
      <c r="H89" s="403"/>
      <c r="I89" s="404"/>
      <c r="J89" s="404"/>
      <c r="K89" s="404"/>
      <c r="L89" s="405"/>
      <c r="M89" s="403"/>
      <c r="N89" s="404"/>
      <c r="O89" s="404"/>
      <c r="P89" s="404"/>
      <c r="Q89" s="405"/>
      <c r="R89" s="403"/>
      <c r="S89" s="404"/>
      <c r="T89" s="404"/>
      <c r="U89" s="404"/>
      <c r="V89" s="405"/>
      <c r="W89" s="403"/>
      <c r="X89" s="404"/>
      <c r="Y89" s="404"/>
      <c r="Z89" s="404"/>
      <c r="AA89" s="405"/>
      <c r="AB89" s="403"/>
      <c r="AC89" s="404"/>
      <c r="AD89" s="404"/>
      <c r="AE89" s="404"/>
      <c r="AF89" s="405"/>
      <c r="AG89" s="403"/>
      <c r="AH89" s="404"/>
      <c r="AI89" s="404"/>
      <c r="AJ89" s="404"/>
      <c r="AK89" s="405"/>
      <c r="AL89" s="403"/>
      <c r="AM89" s="404"/>
      <c r="AN89" s="404"/>
      <c r="AO89" s="404"/>
      <c r="AP89" s="405"/>
      <c r="AQ89" s="403"/>
      <c r="AR89" s="404"/>
      <c r="AS89" s="404"/>
      <c r="AT89" s="404"/>
      <c r="AU89" s="405"/>
      <c r="AV89" s="403"/>
      <c r="AW89" s="404"/>
      <c r="AX89" s="404"/>
      <c r="AY89" s="404"/>
      <c r="AZ89" s="405"/>
      <c r="BA89" s="403"/>
      <c r="BB89" s="404"/>
      <c r="BC89" s="404"/>
      <c r="BD89" s="404"/>
      <c r="BE89" s="405"/>
      <c r="BF89" s="403"/>
      <c r="BG89" s="404"/>
      <c r="BH89" s="404"/>
      <c r="BI89" s="404"/>
      <c r="BJ89" s="405"/>
      <c r="BK89" s="403"/>
      <c r="BL89" s="404"/>
      <c r="BM89" s="404"/>
      <c r="BN89" s="404"/>
      <c r="BO89" s="405"/>
      <c r="BP89" s="403"/>
      <c r="BQ89" s="404"/>
      <c r="BR89" s="404"/>
      <c r="BS89" s="404"/>
      <c r="BT89" s="405"/>
      <c r="BU89" s="1167"/>
      <c r="BV89" s="1167"/>
      <c r="BW89" s="1167"/>
      <c r="BX89" s="800"/>
      <c r="BY89" s="457"/>
      <c r="BZ89" s="1167"/>
      <c r="CA89" s="1167"/>
      <c r="CB89" s="1167"/>
      <c r="CC89" s="800"/>
      <c r="CD89" s="457"/>
      <c r="CE89" s="1167"/>
      <c r="CF89" s="1167"/>
      <c r="CG89" s="1167"/>
      <c r="CH89" s="800"/>
      <c r="CI89" s="457"/>
      <c r="CJ89" s="1167"/>
      <c r="CK89" s="1167"/>
      <c r="CL89" s="1167"/>
      <c r="CM89" s="800"/>
      <c r="CN89" s="457"/>
      <c r="CO89" s="1167"/>
      <c r="CP89" s="1167"/>
      <c r="CQ89" s="1167"/>
      <c r="CR89" s="800"/>
      <c r="CS89" s="457"/>
      <c r="CT89" s="1167"/>
      <c r="CU89" s="1167"/>
      <c r="CV89" s="1167"/>
      <c r="CW89" s="800"/>
      <c r="CX89" s="457"/>
      <c r="CY89" s="1167"/>
      <c r="CZ89" s="1167"/>
      <c r="DA89" s="1167"/>
      <c r="DB89" s="800"/>
      <c r="DC89" s="457"/>
      <c r="DD89" s="1167"/>
      <c r="DE89" s="1167"/>
      <c r="DF89" s="1167"/>
      <c r="DG89" s="800">
        <f>DL89/(1+DL90)</f>
      </c>
      <c r="DH89" s="457"/>
      <c r="DI89" s="1387">
        <v>1895</v>
      </c>
      <c r="DJ89" s="1387">
        <v>3617</v>
      </c>
      <c r="DK89" s="1387">
        <v>1906</v>
      </c>
      <c r="DL89" s="1387">
        <v>1643</v>
      </c>
      <c r="DM89" s="456">
        <f>SUM(DI89:DL89)</f>
      </c>
      <c r="DN89" s="1167">
        <v>1896</v>
      </c>
      <c r="DO89" s="1167">
        <v>3920</v>
      </c>
      <c r="DP89" s="1167">
        <v>2251</v>
      </c>
      <c r="DQ89" s="1167">
        <v>2286</v>
      </c>
      <c r="DR89" s="456">
        <f>SUM(DN89:DQ89)</f>
      </c>
      <c r="DS89" s="1167">
        <v>2738</v>
      </c>
      <c r="DT89" s="1167">
        <v>4232</v>
      </c>
      <c r="DU89" s="1167">
        <v>2363</v>
      </c>
      <c r="DV89" s="1167">
        <v>2053</v>
      </c>
      <c r="DW89" s="456">
        <f>SUM(DS89:DV89)</f>
      </c>
      <c r="DX89" s="1167">
        <v>2542</v>
      </c>
      <c r="DY89" s="1167">
        <v>3327</v>
      </c>
      <c r="DZ89" s="1167">
        <v>2349</v>
      </c>
      <c r="EA89" s="800">
        <f>EB89-DZ89-DY89-DX89</f>
      </c>
      <c r="EB89" s="457">
        <v>11575</v>
      </c>
      <c r="EC89" s="1167">
        <v>3092</v>
      </c>
      <c r="ED89" s="1167">
        <v>5031</v>
      </c>
      <c r="EE89" s="1167">
        <v>3533</v>
      </c>
      <c r="EF89" s="800">
        <f>EG89-EE89-ED89-EC89</f>
      </c>
      <c r="EG89" s="457">
        <v>15370</v>
      </c>
      <c r="EH89" s="1167">
        <v>3593</v>
      </c>
      <c r="EI89" s="1167">
        <v>5442</v>
      </c>
      <c r="EJ89" s="1167">
        <v>3740</v>
      </c>
      <c r="EK89" s="800">
        <f>EL89-EJ89-EI89-EH89</f>
      </c>
      <c r="EL89" s="457">
        <v>16230</v>
      </c>
      <c r="EM89" s="1167">
        <v>3610</v>
      </c>
      <c r="EN89" s="1167">
        <v>4758</v>
      </c>
      <c r="EO89" s="1167">
        <v>3607</v>
      </c>
      <c r="EP89" s="800">
        <f>EQ89-EO89-EN89-EM89</f>
      </c>
      <c r="EQ89" s="457">
        <v>15466</v>
      </c>
      <c r="ER89" s="1167">
        <v>3919</v>
      </c>
      <c r="ES89" s="1166">
        <v>7111</v>
      </c>
      <c r="ET89" s="1166">
        <v>5451</v>
      </c>
      <c r="EU89" s="1397">
        <f>EV89-ET89-ES89-ER89</f>
      </c>
      <c r="EV89" s="457">
        <v>21503</v>
      </c>
      <c r="EW89" s="1166">
        <v>5621</v>
      </c>
      <c r="EX89" s="1166">
        <v>6581</v>
      </c>
      <c r="EY89" s="1166">
        <v>5721</v>
      </c>
      <c r="EZ89" s="1397">
        <f>FA89-EY89-EX89-EW89</f>
      </c>
      <c r="FA89" s="1725">
        <v>23455</v>
      </c>
      <c r="FB89" s="805">
        <f>FB106+FB114</f>
      </c>
      <c r="FC89" s="805">
        <f>FC106+FC114</f>
      </c>
      <c r="FD89" s="805">
        <f>FD106+FD114</f>
      </c>
      <c r="FE89" s="805">
        <f>FE106+FE114</f>
      </c>
      <c r="FF89" s="472">
        <f>SUM(FB89:FE89)</f>
      </c>
      <c r="FG89" s="805">
        <f>FG106+FG114</f>
      </c>
      <c r="FH89" s="805">
        <f>FH106+FH114</f>
      </c>
      <c r="FI89" s="805">
        <f>FI106+FI114</f>
      </c>
      <c r="FJ89" s="805">
        <f>FJ106+FJ114</f>
      </c>
      <c r="FK89" s="472">
        <f>SUM(FG89:FJ89)</f>
      </c>
      <c r="FL89" s="805">
        <f>FL106+FL114</f>
      </c>
      <c r="FM89" s="805">
        <f>FM106+FM114</f>
      </c>
      <c r="FN89" s="805">
        <f>FN106+FN114</f>
      </c>
      <c r="FO89" s="805">
        <f>FO106+FO114</f>
      </c>
      <c r="FP89" s="472">
        <f>SUM(FL89:FO89)</f>
      </c>
      <c r="FQ89" s="805">
        <f>FQ106+FQ114</f>
      </c>
      <c r="FR89" s="805">
        <f>FR106+FR114</f>
      </c>
      <c r="FS89" s="805">
        <f>FS106+FS114</f>
      </c>
      <c r="FT89" s="805">
        <f>FT106+FT114</f>
      </c>
      <c r="FU89" s="472">
        <f>SUM(FQ89:FT89)</f>
      </c>
      <c r="FV89" s="805">
        <f>FV106+FV114</f>
      </c>
      <c r="FW89" s="805">
        <f>FW106+FW114</f>
      </c>
      <c r="FX89" s="805">
        <f>FX106+FX114</f>
      </c>
      <c r="FY89" s="805">
        <f>FY106+FY114</f>
      </c>
      <c r="FZ89" s="472">
        <f>SUM(FV89:FY89)</f>
      </c>
      <c r="GA89" s="805">
        <f>GA106+GA114</f>
      </c>
      <c r="GB89" s="805">
        <f>GB106+GB114</f>
      </c>
      <c r="GC89" s="805">
        <f>GC106+GC114</f>
      </c>
      <c r="GD89" s="805">
        <f>GD106+GD114</f>
      </c>
      <c r="GE89" s="472">
        <f>SUM(GA89:GD89)</f>
      </c>
      <c r="GF89" s="805">
        <f>GF106+GF114</f>
      </c>
      <c r="GG89" s="805">
        <f>GG106+GG114</f>
      </c>
      <c r="GH89" s="805">
        <f>GH106+GH114</f>
      </c>
      <c r="GI89" s="805">
        <f>GI106+GI114</f>
      </c>
      <c r="GJ89" s="810">
        <f>SUM(GF89:GI89)</f>
      </c>
    </row>
    <row r="90" spans="1:192" ht="12.75" customHeight="1">
      <c r="B90" s="735" t="s">
        <v>34</v>
      </c>
      <c r="C90" s="291"/>
      <c r="D90" s="107"/>
      <c r="E90" s="107"/>
      <c r="F90" s="107"/>
      <c r="G90" s="292"/>
      <c r="H90" s="291"/>
      <c r="I90" s="107"/>
      <c r="J90" s="107"/>
      <c r="K90" s="107"/>
      <c r="L90" s="292"/>
      <c r="M90" s="291"/>
      <c r="N90" s="107"/>
      <c r="O90" s="107"/>
      <c r="P90" s="107"/>
      <c r="Q90" s="292"/>
      <c r="R90" s="291"/>
      <c r="S90" s="107"/>
      <c r="T90" s="107"/>
      <c r="U90" s="107"/>
      <c r="V90" s="292"/>
      <c r="W90" s="291"/>
      <c r="X90" s="107"/>
      <c r="Y90" s="107"/>
      <c r="Z90" s="107"/>
      <c r="AA90" s="292"/>
      <c r="AB90" s="291"/>
      <c r="AC90" s="107"/>
      <c r="AD90" s="107"/>
      <c r="AE90" s="107"/>
      <c r="AF90" s="292"/>
      <c r="AG90" s="291"/>
      <c r="AH90" s="107"/>
      <c r="AI90" s="107"/>
      <c r="AJ90" s="107"/>
      <c r="AK90" s="292"/>
      <c r="AL90" s="291"/>
      <c r="AM90" s="107"/>
      <c r="AN90" s="107"/>
      <c r="AO90" s="107"/>
      <c r="AP90" s="292"/>
      <c r="AQ90" s="291"/>
      <c r="AR90" s="107"/>
      <c r="AS90" s="107"/>
      <c r="AT90" s="107"/>
      <c r="AU90" s="292"/>
      <c r="AV90" s="291"/>
      <c r="AW90" s="107"/>
      <c r="AX90" s="107"/>
      <c r="AY90" s="107"/>
      <c r="AZ90" s="292"/>
      <c r="BA90" s="291"/>
      <c r="BB90" s="107"/>
      <c r="BC90" s="107"/>
      <c r="BD90" s="107"/>
      <c r="BE90" s="292"/>
      <c r="BF90" s="291"/>
      <c r="BG90" s="107"/>
      <c r="BH90" s="107"/>
      <c r="BI90" s="107"/>
      <c r="BJ90" s="292"/>
      <c r="BK90" s="291"/>
      <c r="BL90" s="107"/>
      <c r="BM90" s="107"/>
      <c r="BN90" s="107"/>
      <c r="BO90" s="292"/>
      <c r="BP90" s="291"/>
      <c r="BQ90" s="107"/>
      <c r="BR90" s="107"/>
      <c r="BS90" s="107"/>
      <c r="BT90" s="292"/>
      <c r="BU90" s="107"/>
      <c r="BV90" s="107"/>
      <c r="BW90" s="412"/>
      <c r="BX90" s="412"/>
      <c r="BY90" s="292"/>
      <c r="BZ90" s="107"/>
      <c r="CA90" s="107"/>
      <c r="CB90" s="412"/>
      <c r="CC90" s="412"/>
      <c r="CD90" s="292"/>
      <c r="CE90" s="107"/>
      <c r="CF90" s="107"/>
      <c r="CG90" s="412"/>
      <c r="CH90" s="412"/>
      <c r="CI90" s="292"/>
      <c r="CJ90" s="107"/>
      <c r="CK90" s="107"/>
      <c r="CL90" s="412"/>
      <c r="CM90" s="412"/>
      <c r="CN90" s="292"/>
      <c r="CO90" s="107"/>
      <c r="CP90" s="107"/>
      <c r="CQ90" s="412"/>
      <c r="CR90" s="412"/>
      <c r="CS90" s="292"/>
      <c r="CT90" s="107"/>
      <c r="CU90" s="107"/>
      <c r="CV90" s="412"/>
      <c r="CW90" s="412"/>
      <c r="CX90" s="292"/>
      <c r="CY90" s="114"/>
      <c r="CZ90" s="114"/>
      <c r="DA90" s="412"/>
      <c r="DB90" s="412"/>
      <c r="DC90" s="292"/>
      <c r="DD90" s="114"/>
      <c r="DE90" s="114"/>
      <c r="DF90" s="412">
        <v>0.04</v>
      </c>
      <c r="DG90" s="412">
        <v>-0.09</v>
      </c>
      <c r="DH90" s="292"/>
      <c r="DI90" s="114">
        <v>-0.05</v>
      </c>
      <c r="DJ90" s="114">
        <v>-0.03</v>
      </c>
      <c r="DK90" s="412">
        <v>0.04</v>
      </c>
      <c r="DL90" s="412">
        <v>0.03</v>
      </c>
      <c r="DM90" s="292"/>
      <c r="DN90" s="114">
        <v>0.01</v>
      </c>
      <c r="DO90" s="439">
        <v>0.08</v>
      </c>
      <c r="DP90" s="412">
        <v>0.18</v>
      </c>
      <c r="DQ90" s="412">
        <v>0.39</v>
      </c>
      <c r="DR90" s="292">
        <f>DR89/DM89-1</f>
      </c>
      <c r="DS90" s="114">
        <v>0.44</v>
      </c>
      <c r="DT90" s="114">
        <v>0.08</v>
      </c>
      <c r="DU90" s="412">
        <v>0.05</v>
      </c>
      <c r="DV90" s="412">
        <v>-0.1</v>
      </c>
      <c r="DW90" s="292">
        <f>DW89/DR89-1</f>
      </c>
      <c r="DX90" s="114">
        <v>-7.0000000000000007E-2</v>
      </c>
      <c r="DY90" s="114">
        <v>-0.21</v>
      </c>
      <c r="DZ90" s="412">
        <v>0.01</v>
      </c>
      <c r="EA90" s="412">
        <v>0.64</v>
      </c>
      <c r="EB90" s="292">
        <f>EB89/DW89-1</f>
      </c>
      <c r="EC90" s="114">
        <v>0.22</v>
      </c>
      <c r="ED90" s="114">
        <v>0.51</v>
      </c>
      <c r="EE90" s="412">
        <v>0.5</v>
      </c>
      <c r="EF90" s="412">
        <v>0.11</v>
      </c>
      <c r="EG90" s="292">
        <f>EG89/EB89-1</f>
      </c>
      <c r="EH90" s="114">
        <v>0.16</v>
      </c>
      <c r="EI90" s="114">
        <v>0.08</v>
      </c>
      <c r="EJ90" s="412">
        <v>0.06</v>
      </c>
      <c r="EK90" s="412">
        <v>-7.0000000000000007E-2</v>
      </c>
      <c r="EL90" s="292">
        <f>EL89/EG89-1</f>
      </c>
      <c r="EM90" s="114">
        <v>0</v>
      </c>
      <c r="EN90" s="114">
        <v>0.13</v>
      </c>
      <c r="EO90" s="412">
        <v>-0.04</v>
      </c>
      <c r="EP90" s="412">
        <v>0.01</v>
      </c>
      <c r="EQ90" s="292">
        <f>EQ89/EL89-1</f>
      </c>
      <c r="ER90" s="412">
        <v>0.09</v>
      </c>
      <c r="ES90" s="114">
        <v>0.49</v>
      </c>
      <c r="ET90" s="439">
        <v>0.51</v>
      </c>
      <c r="EU90" s="439">
        <v>0.44</v>
      </c>
      <c r="EV90" s="292">
        <f t="shared" ref="EV90:GE90" si="59">EV89/EQ89-1</f>
      </c>
      <c r="EW90" s="107">
        <f t="shared" si="59"/>
      </c>
      <c r="EX90" s="107">
        <f t="shared" si="59"/>
      </c>
      <c r="EY90" s="107">
        <f t="shared" si="59"/>
      </c>
      <c r="EZ90" s="107">
        <f t="shared" si="59"/>
      </c>
      <c r="FA90" s="292">
        <f t="shared" si="59"/>
      </c>
      <c r="FB90" s="107">
        <f t="shared" si="59"/>
      </c>
      <c r="FC90" s="107">
        <f t="shared" si="59"/>
      </c>
      <c r="FD90" s="107">
        <f t="shared" si="59"/>
      </c>
      <c r="FE90" s="107">
        <f t="shared" si="59"/>
      </c>
      <c r="FF90" s="292">
        <f t="shared" si="59"/>
      </c>
      <c r="FG90" s="107">
        <f t="shared" si="59"/>
      </c>
      <c r="FH90" s="107">
        <f t="shared" si="59"/>
      </c>
      <c r="FI90" s="107">
        <f t="shared" si="59"/>
      </c>
      <c r="FJ90" s="107">
        <f t="shared" si="59"/>
      </c>
      <c r="FK90" s="292">
        <f t="shared" si="59"/>
      </c>
      <c r="FL90" s="107">
        <f t="shared" si="59"/>
      </c>
      <c r="FM90" s="107">
        <f t="shared" si="59"/>
      </c>
      <c r="FN90" s="107">
        <f t="shared" si="59"/>
      </c>
      <c r="FO90" s="107">
        <f t="shared" si="59"/>
      </c>
      <c r="FP90" s="292">
        <f t="shared" si="59"/>
      </c>
      <c r="FQ90" s="107">
        <f t="shared" si="59"/>
      </c>
      <c r="FR90" s="107">
        <f t="shared" si="59"/>
      </c>
      <c r="FS90" s="107">
        <f t="shared" si="59"/>
      </c>
      <c r="FT90" s="107">
        <f t="shared" si="59"/>
      </c>
      <c r="FU90" s="292">
        <f t="shared" si="59"/>
      </c>
      <c r="FV90" s="107">
        <f t="shared" si="59"/>
      </c>
      <c r="FW90" s="107">
        <f t="shared" si="59"/>
      </c>
      <c r="FX90" s="107">
        <f t="shared" si="59"/>
      </c>
      <c r="FY90" s="107">
        <f t="shared" si="59"/>
      </c>
      <c r="FZ90" s="292">
        <f t="shared" si="59"/>
      </c>
      <c r="GA90" s="107">
        <f t="shared" si="59"/>
      </c>
      <c r="GB90" s="107">
        <f t="shared" si="59"/>
      </c>
      <c r="GC90" s="107">
        <f t="shared" si="59"/>
      </c>
      <c r="GD90" s="107">
        <f t="shared" si="59"/>
      </c>
      <c r="GE90" s="292">
        <f t="shared" si="59"/>
      </c>
      <c r="GF90" s="107">
        <f t="shared" ref="GF90" si="60">GF89/GA89-1</f>
      </c>
      <c r="GG90" s="107">
        <f t="shared" ref="GG90" si="61">GG89/GB89-1</f>
      </c>
      <c r="GH90" s="107">
        <f t="shared" ref="GH90" si="62">GH89/GC89-1</f>
      </c>
      <c r="GI90" s="107">
        <f t="shared" ref="GI90" si="63">GI89/GD89-1</f>
      </c>
      <c r="GJ90" s="384">
        <f t="shared" ref="GJ90" si="64">GJ89/GE89-1</f>
      </c>
    </row>
    <row r="91" spans="1:192" ht="12.75" customHeight="1">
      <c r="B91" s="735" t="s">
        <v>197</v>
      </c>
      <c r="C91" s="291"/>
      <c r="D91" s="107"/>
      <c r="E91" s="107"/>
      <c r="F91" s="107"/>
      <c r="G91" s="292"/>
      <c r="H91" s="291"/>
      <c r="I91" s="107"/>
      <c r="J91" s="107"/>
      <c r="K91" s="107"/>
      <c r="L91" s="292"/>
      <c r="M91" s="291"/>
      <c r="N91" s="107"/>
      <c r="O91" s="107"/>
      <c r="P91" s="107"/>
      <c r="Q91" s="292"/>
      <c r="R91" s="291"/>
      <c r="S91" s="107"/>
      <c r="T91" s="107"/>
      <c r="U91" s="107"/>
      <c r="V91" s="292"/>
      <c r="W91" s="291"/>
      <c r="X91" s="107"/>
      <c r="Y91" s="107"/>
      <c r="Z91" s="107"/>
      <c r="AA91" s="292"/>
      <c r="AB91" s="291"/>
      <c r="AC91" s="107"/>
      <c r="AD91" s="107"/>
      <c r="AE91" s="107"/>
      <c r="AF91" s="292"/>
      <c r="AG91" s="291"/>
      <c r="AH91" s="107"/>
      <c r="AI91" s="107"/>
      <c r="AJ91" s="107"/>
      <c r="AK91" s="292"/>
      <c r="AL91" s="291"/>
      <c r="AM91" s="107"/>
      <c r="AN91" s="107"/>
      <c r="AO91" s="107"/>
      <c r="AP91" s="292"/>
      <c r="AQ91" s="291"/>
      <c r="AR91" s="107"/>
      <c r="AS91" s="107"/>
      <c r="AT91" s="107"/>
      <c r="AU91" s="292"/>
      <c r="AV91" s="291"/>
      <c r="AW91" s="107"/>
      <c r="AX91" s="107"/>
      <c r="AY91" s="107"/>
      <c r="AZ91" s="292"/>
      <c r="BA91" s="291"/>
      <c r="BB91" s="107"/>
      <c r="BC91" s="107"/>
      <c r="BD91" s="107"/>
      <c r="BE91" s="292"/>
      <c r="BF91" s="291"/>
      <c r="BG91" s="107"/>
      <c r="BH91" s="107"/>
      <c r="BI91" s="107"/>
      <c r="BJ91" s="292"/>
      <c r="BK91" s="291"/>
      <c r="BL91" s="107"/>
      <c r="BM91" s="107"/>
      <c r="BN91" s="107"/>
      <c r="BO91" s="292"/>
      <c r="BP91" s="291"/>
      <c r="BQ91" s="107"/>
      <c r="BR91" s="107"/>
      <c r="BS91" s="107"/>
      <c r="BT91" s="292"/>
      <c r="BU91" s="291"/>
      <c r="BV91" s="107"/>
      <c r="BW91" s="412"/>
      <c r="BX91" s="412"/>
      <c r="BY91" s="292"/>
      <c r="BZ91" s="291"/>
      <c r="CA91" s="107"/>
      <c r="CB91" s="412"/>
      <c r="CC91" s="412"/>
      <c r="CD91" s="292"/>
      <c r="CE91" s="291"/>
      <c r="CF91" s="107"/>
      <c r="CG91" s="412"/>
      <c r="CH91" s="412"/>
      <c r="CI91" s="292"/>
      <c r="CJ91" s="291"/>
      <c r="CK91" s="107"/>
      <c r="CL91" s="412"/>
      <c r="CM91" s="412"/>
      <c r="CN91" s="292"/>
      <c r="CO91" s="291"/>
      <c r="CP91" s="107"/>
      <c r="CQ91" s="412"/>
      <c r="CR91" s="412"/>
      <c r="CS91" s="292"/>
      <c r="CT91" s="291"/>
      <c r="CU91" s="107"/>
      <c r="CV91" s="412"/>
      <c r="CW91" s="412"/>
      <c r="CX91" s="292"/>
      <c r="CY91" s="412"/>
      <c r="CZ91" s="114"/>
      <c r="DA91" s="412"/>
      <c r="DB91" s="412"/>
      <c r="DC91" s="292"/>
      <c r="DD91" s="412">
        <v>0.06</v>
      </c>
      <c r="DE91" s="114">
        <v>0.09</v>
      </c>
      <c r="DF91" s="412">
        <v>0.06</v>
      </c>
      <c r="DG91" s="412">
        <v>-0.08</v>
      </c>
      <c r="DH91" s="292"/>
      <c r="DI91" s="412">
        <v>-0.04</v>
      </c>
      <c r="DJ91" s="114">
        <v>0.01</v>
      </c>
      <c r="DK91" s="412">
        <v>0.06</v>
      </c>
      <c r="DL91" s="412">
        <v>0.04</v>
      </c>
      <c r="DM91" s="292"/>
      <c r="DN91" s="412">
        <v>0</v>
      </c>
      <c r="DO91" s="114">
        <v>0.08</v>
      </c>
      <c r="DP91" s="412">
        <v>0.16</v>
      </c>
      <c r="DQ91" s="412">
        <v>0.38</v>
      </c>
      <c r="DR91" s="292"/>
      <c r="DS91" s="412">
        <v>0.45</v>
      </c>
      <c r="DT91" s="114">
        <v>0.09</v>
      </c>
      <c r="DU91" s="412">
        <v>7.0000000000000007E-2</v>
      </c>
      <c r="DV91" s="412">
        <v>-0.08</v>
      </c>
      <c r="DW91" s="292"/>
      <c r="DX91" s="412">
        <v>-0.06</v>
      </c>
      <c r="DY91" s="114">
        <v>0.2</v>
      </c>
      <c r="DZ91" s="412">
        <v>0</v>
      </c>
      <c r="EA91" s="412">
        <v>0.66</v>
      </c>
      <c r="EB91" s="292"/>
      <c r="EC91" s="412">
        <v>0.21</v>
      </c>
      <c r="ED91" s="114">
        <v>0.5</v>
      </c>
      <c r="EE91" s="412">
        <v>0.48</v>
      </c>
      <c r="EF91" s="412">
        <v>7.0000000000000007E-2</v>
      </c>
      <c r="EG91" s="292"/>
      <c r="EH91" s="412">
        <v>0.14000000000000001</v>
      </c>
      <c r="EI91" s="114">
        <v>0.08</v>
      </c>
      <c r="EJ91" s="412">
        <v>0.08</v>
      </c>
      <c r="EK91" s="412">
        <v>-0.05</v>
      </c>
      <c r="EL91" s="292"/>
      <c r="EM91" s="412">
        <v>0.04</v>
      </c>
      <c r="EN91" s="114">
        <v>-0.09</v>
      </c>
      <c r="EO91" s="412">
        <v>-0.01</v>
      </c>
      <c r="EP91" s="412">
        <v>0.02</v>
      </c>
      <c r="EQ91" s="292"/>
      <c r="ER91" s="412">
        <v>0.08</v>
      </c>
      <c r="ES91" s="114">
        <v>0.48</v>
      </c>
      <c r="ET91" s="439">
        <v>0.5</v>
      </c>
      <c r="EU91" s="439">
        <v>0.44</v>
      </c>
      <c r="EV91" s="292"/>
      <c r="EW91" s="441">
        <v>0.44</v>
      </c>
      <c r="EX91" s="439">
        <v>-0.08</v>
      </c>
      <c r="EY91" s="439">
        <v>0.06</v>
      </c>
      <c r="EZ91" s="439">
        <v>0.1</v>
      </c>
      <c r="FA91" s="292"/>
      <c r="FB91" s="291"/>
      <c r="FC91" s="107"/>
      <c r="FD91" s="107"/>
      <c r="FE91" s="107"/>
      <c r="FF91" s="292"/>
      <c r="FG91" s="291"/>
      <c r="FH91" s="107"/>
      <c r="FI91" s="107"/>
      <c r="FJ91" s="107"/>
      <c r="FK91" s="292"/>
      <c r="FL91" s="291"/>
      <c r="FM91" s="107"/>
      <c r="FN91" s="107"/>
      <c r="FO91" s="107"/>
      <c r="FP91" s="292"/>
      <c r="FQ91" s="291"/>
      <c r="FR91" s="107"/>
      <c r="FS91" s="107"/>
      <c r="FT91" s="107"/>
      <c r="FU91" s="292"/>
      <c r="FV91" s="291"/>
      <c r="FW91" s="107"/>
      <c r="FX91" s="107"/>
      <c r="FY91" s="107"/>
      <c r="FZ91" s="292"/>
      <c r="GA91" s="291"/>
      <c r="GB91" s="107"/>
      <c r="GC91" s="107"/>
      <c r="GD91" s="107"/>
      <c r="GE91" s="292"/>
      <c r="GF91" s="291"/>
      <c r="GG91" s="107"/>
      <c r="GH91" s="107"/>
      <c r="GI91" s="107"/>
      <c r="GJ91" s="384"/>
    </row>
    <row r="92" spans="1:192" ht="12.75" customHeight="1">
      <c r="B92" s="735" t="s">
        <v>36</v>
      </c>
      <c r="C92" s="291"/>
      <c r="D92" s="107"/>
      <c r="E92" s="107"/>
      <c r="F92" s="107"/>
      <c r="G92" s="292"/>
      <c r="H92" s="291"/>
      <c r="I92" s="107"/>
      <c r="J92" s="107"/>
      <c r="K92" s="107"/>
      <c r="L92" s="292"/>
      <c r="M92" s="291"/>
      <c r="N92" s="107"/>
      <c r="O92" s="107"/>
      <c r="P92" s="107"/>
      <c r="Q92" s="292"/>
      <c r="R92" s="291"/>
      <c r="S92" s="107"/>
      <c r="T92" s="107"/>
      <c r="U92" s="107"/>
      <c r="V92" s="292"/>
      <c r="W92" s="291"/>
      <c r="X92" s="107"/>
      <c r="Y92" s="107"/>
      <c r="Z92" s="107"/>
      <c r="AA92" s="292"/>
      <c r="AB92" s="291"/>
      <c r="AC92" s="107"/>
      <c r="AD92" s="107"/>
      <c r="AE92" s="107"/>
      <c r="AF92" s="292"/>
      <c r="AG92" s="291"/>
      <c r="AH92" s="107"/>
      <c r="AI92" s="107"/>
      <c r="AJ92" s="107"/>
      <c r="AK92" s="292"/>
      <c r="AL92" s="291"/>
      <c r="AM92" s="107"/>
      <c r="AN92" s="107"/>
      <c r="AO92" s="107"/>
      <c r="AP92" s="292"/>
      <c r="AQ92" s="291"/>
      <c r="AR92" s="107"/>
      <c r="AS92" s="107"/>
      <c r="AT92" s="107"/>
      <c r="AU92" s="292"/>
      <c r="AV92" s="291"/>
      <c r="AW92" s="107"/>
      <c r="AX92" s="107"/>
      <c r="AY92" s="107"/>
      <c r="AZ92" s="292"/>
      <c r="BA92" s="291"/>
      <c r="BB92" s="107"/>
      <c r="BC92" s="107"/>
      <c r="BD92" s="107"/>
      <c r="BE92" s="292"/>
      <c r="BF92" s="291"/>
      <c r="BG92" s="107"/>
      <c r="BH92" s="107"/>
      <c r="BI92" s="107"/>
      <c r="BJ92" s="292"/>
      <c r="BK92" s="291"/>
      <c r="BL92" s="107"/>
      <c r="BM92" s="107"/>
      <c r="BN92" s="107"/>
      <c r="BO92" s="292"/>
      <c r="BP92" s="291"/>
      <c r="BQ92" s="107"/>
      <c r="BR92" s="107"/>
      <c r="BS92" s="107"/>
      <c r="BT92" s="292"/>
      <c r="BU92" s="291"/>
      <c r="BV92" s="107"/>
      <c r="BW92" s="107"/>
      <c r="BX92" s="107"/>
      <c r="BY92" s="293"/>
      <c r="BZ92" s="291"/>
      <c r="CA92" s="107"/>
      <c r="CB92" s="107"/>
      <c r="CC92" s="107"/>
      <c r="CD92" s="293"/>
      <c r="CE92" s="291"/>
      <c r="CF92" s="107"/>
      <c r="CG92" s="107"/>
      <c r="CH92" s="107"/>
      <c r="CI92" s="293"/>
      <c r="CJ92" s="291"/>
      <c r="CK92" s="107"/>
      <c r="CL92" s="107"/>
      <c r="CM92" s="107"/>
      <c r="CN92" s="293"/>
      <c r="CO92" s="291"/>
      <c r="CP92" s="107"/>
      <c r="CQ92" s="107"/>
      <c r="CR92" s="107"/>
      <c r="CS92" s="293"/>
      <c r="CT92" s="291"/>
      <c r="CU92" s="107"/>
      <c r="CV92" s="107"/>
      <c r="CW92" s="107"/>
      <c r="CX92" s="293"/>
      <c r="CY92" s="291"/>
      <c r="CZ92" s="107"/>
      <c r="DA92" s="107"/>
      <c r="DB92" s="107"/>
      <c r="DC92" s="293"/>
      <c r="DD92" s="291"/>
      <c r="DE92" s="107"/>
      <c r="DF92" s="107"/>
      <c r="DG92" s="107"/>
      <c r="DH92" s="293"/>
      <c r="DI92" s="291">
        <f>DI89/DG89-1</f>
      </c>
      <c r="DJ92" s="107">
        <f>DJ89/DI89-1</f>
      </c>
      <c r="DK92" s="107">
        <f>DK89/DJ89-1</f>
      </c>
      <c r="DL92" s="107">
        <f>DL89/DK89-1</f>
      </c>
      <c r="DM92" s="293"/>
      <c r="DN92" s="291">
        <f>DN89/DL89-1</f>
      </c>
      <c r="DO92" s="107">
        <f>DO89/DN89-1</f>
      </c>
      <c r="DP92" s="107">
        <f>DP89/DO89-1</f>
      </c>
      <c r="DQ92" s="107">
        <f>DQ89/DP89-1</f>
      </c>
      <c r="DR92" s="293"/>
      <c r="DS92" s="291">
        <f>DS89/DQ89-1</f>
      </c>
      <c r="DT92" s="107">
        <f>DT89/DS89-1</f>
      </c>
      <c r="DU92" s="107">
        <f>DU89/DT89-1</f>
      </c>
      <c r="DV92" s="107">
        <f>DV89/DU89-1</f>
      </c>
      <c r="DW92" s="293"/>
      <c r="DX92" s="291">
        <f>DX89/DV89-1</f>
      </c>
      <c r="DY92" s="107">
        <f>DY89/DX89-1</f>
      </c>
      <c r="DZ92" s="107">
        <f>DZ89/DY89-1</f>
      </c>
      <c r="EA92" s="107">
        <f>EA89/DZ89-1</f>
      </c>
      <c r="EB92" s="293"/>
      <c r="EC92" s="291">
        <f>EC89/EA89-1</f>
      </c>
      <c r="ED92" s="107">
        <f>ED89/EC89-1</f>
      </c>
      <c r="EE92" s="107">
        <f>EE89/ED89-1</f>
      </c>
      <c r="EF92" s="107">
        <f>EF89/EE89-1</f>
      </c>
      <c r="EG92" s="293"/>
      <c r="EH92" s="291">
        <f>EH89/EF89-1</f>
      </c>
      <c r="EI92" s="107">
        <f>EI89/EH89-1</f>
      </c>
      <c r="EJ92" s="107">
        <f>EJ89/EI89-1</f>
      </c>
      <c r="EK92" s="107">
        <f>EK89/EJ89-1</f>
      </c>
      <c r="EL92" s="293"/>
      <c r="EM92" s="291">
        <f>EM89/EK89-1</f>
      </c>
      <c r="EN92" s="107">
        <f>EN89/EM89-1</f>
      </c>
      <c r="EO92" s="107">
        <f>EO89/EN89-1</f>
      </c>
      <c r="EP92" s="107">
        <f>EP89/EO89-1</f>
      </c>
      <c r="EQ92" s="293"/>
      <c r="ER92" s="291">
        <f>ER89/EP89-1</f>
      </c>
      <c r="ES92" s="107">
        <f>ES89/ER89-1</f>
      </c>
      <c r="ET92" s="107">
        <f>ET89/ES89-1</f>
      </c>
      <c r="EU92" s="107">
        <f>EU89/ET89-1</f>
      </c>
      <c r="EV92" s="293"/>
      <c r="EW92" s="291">
        <f>EW89/EU89-1</f>
      </c>
      <c r="EX92" s="107">
        <f>EX89/EW89-1</f>
      </c>
      <c r="EY92" s="107">
        <f>EY89/EX89-1</f>
      </c>
      <c r="EZ92" s="107">
        <f>EZ89/EY89-1</f>
      </c>
      <c r="FA92" s="293"/>
      <c r="FB92" s="291">
        <f>FB89/EZ89-1</f>
      </c>
      <c r="FC92" s="107">
        <f>FC89/FB89-1</f>
      </c>
      <c r="FD92" s="107">
        <f>FD89/FC89-1</f>
      </c>
      <c r="FE92" s="107">
        <f>FE89/FD89-1</f>
      </c>
      <c r="FF92" s="293"/>
      <c r="FG92" s="291">
        <f>FG89/FE89-1</f>
      </c>
      <c r="FH92" s="107">
        <f>FH89/FG89-1</f>
      </c>
      <c r="FI92" s="107">
        <f>FI89/FH89-1</f>
      </c>
      <c r="FJ92" s="107">
        <f>FJ89/FI89-1</f>
      </c>
      <c r="FK92" s="293"/>
      <c r="FL92" s="291">
        <f>FL89/FJ89-1</f>
      </c>
      <c r="FM92" s="107">
        <f>FM89/FL89-1</f>
      </c>
      <c r="FN92" s="107">
        <f>FN89/FM89-1</f>
      </c>
      <c r="FO92" s="107">
        <f>FO89/FN89-1</f>
      </c>
      <c r="FP92" s="293"/>
      <c r="FQ92" s="291">
        <f>FQ89/FO89-1</f>
      </c>
      <c r="FR92" s="107">
        <f>FR89/FQ89-1</f>
      </c>
      <c r="FS92" s="107">
        <f>FS89/FR89-1</f>
      </c>
      <c r="FT92" s="107">
        <f>FT89/FS89-1</f>
      </c>
      <c r="FU92" s="293"/>
      <c r="FV92" s="291">
        <f>FV89/FT89-1</f>
      </c>
      <c r="FW92" s="107">
        <f>FW89/FV89-1</f>
      </c>
      <c r="FX92" s="107">
        <f>FX89/FW89-1</f>
      </c>
      <c r="FY92" s="107">
        <f>FY89/FX89-1</f>
      </c>
      <c r="FZ92" s="292"/>
      <c r="GA92" s="291">
        <f>GA89/FY89-1</f>
      </c>
      <c r="GB92" s="107">
        <f>GB89/GA89-1</f>
      </c>
      <c r="GC92" s="107">
        <f>GC89/GB89-1</f>
      </c>
      <c r="GD92" s="107">
        <f>GD89/GC89-1</f>
      </c>
      <c r="GE92" s="292"/>
      <c r="GF92" s="291">
        <f>GF89/GD89-1</f>
      </c>
      <c r="GG92" s="107">
        <f>GG89/GF89-1</f>
      </c>
      <c r="GH92" s="107">
        <f>GH89/GG89-1</f>
      </c>
      <c r="GI92" s="107">
        <f>GI89/GH89-1</f>
      </c>
      <c r="GJ92" s="384"/>
    </row>
    <row r="93" spans="1:192" ht="12.75" customHeight="1">
      <c r="B93" s="735" t="s">
        <v>243</v>
      </c>
      <c r="C93" s="291"/>
      <c r="D93" s="107"/>
      <c r="E93" s="107"/>
      <c r="F93" s="107"/>
      <c r="G93" s="292"/>
      <c r="H93" s="291"/>
      <c r="I93" s="107"/>
      <c r="J93" s="107"/>
      <c r="K93" s="107"/>
      <c r="L93" s="292"/>
      <c r="M93" s="291"/>
      <c r="N93" s="107"/>
      <c r="O93" s="107"/>
      <c r="P93" s="107"/>
      <c r="Q93" s="292"/>
      <c r="R93" s="291"/>
      <c r="S93" s="107"/>
      <c r="T93" s="107"/>
      <c r="U93" s="107"/>
      <c r="V93" s="292"/>
      <c r="W93" s="291"/>
      <c r="X93" s="107"/>
      <c r="Y93" s="107"/>
      <c r="Z93" s="107"/>
      <c r="AA93" s="292"/>
      <c r="AB93" s="291"/>
      <c r="AC93" s="107"/>
      <c r="AD93" s="107"/>
      <c r="AE93" s="107"/>
      <c r="AF93" s="292"/>
      <c r="AG93" s="291"/>
      <c r="AH93" s="107"/>
      <c r="AI93" s="107"/>
      <c r="AJ93" s="107"/>
      <c r="AK93" s="292"/>
      <c r="AL93" s="291"/>
      <c r="AM93" s="107"/>
      <c r="AN93" s="107"/>
      <c r="AO93" s="107"/>
      <c r="AP93" s="292"/>
      <c r="AQ93" s="291"/>
      <c r="AR93" s="107"/>
      <c r="AS93" s="107"/>
      <c r="AT93" s="107"/>
      <c r="AU93" s="292"/>
      <c r="AV93" s="291"/>
      <c r="AW93" s="107"/>
      <c r="AX93" s="107"/>
      <c r="AY93" s="107"/>
      <c r="AZ93" s="292"/>
      <c r="BA93" s="291"/>
      <c r="BB93" s="107"/>
      <c r="BC93" s="107"/>
      <c r="BD93" s="107"/>
      <c r="BE93" s="292"/>
      <c r="BF93" s="291"/>
      <c r="BG93" s="107"/>
      <c r="BH93" s="107"/>
      <c r="BI93" s="107"/>
      <c r="BJ93" s="292"/>
      <c r="BK93" s="291"/>
      <c r="BL93" s="107"/>
      <c r="BM93" s="107"/>
      <c r="BN93" s="107"/>
      <c r="BO93" s="292"/>
      <c r="BP93" s="291"/>
      <c r="BQ93" s="107"/>
      <c r="BR93" s="107"/>
      <c r="BS93" s="107"/>
      <c r="BT93" s="292"/>
      <c r="BU93" s="291"/>
      <c r="BV93" s="107"/>
      <c r="BW93" s="107"/>
      <c r="BX93" s="107"/>
      <c r="BY93" s="293"/>
      <c r="BZ93" s="291"/>
      <c r="CA93" s="107"/>
      <c r="CB93" s="107"/>
      <c r="CC93" s="107"/>
      <c r="CD93" s="293"/>
      <c r="CE93" s="291"/>
      <c r="CF93" s="107"/>
      <c r="CG93" s="107"/>
      <c r="CH93" s="107"/>
      <c r="CI93" s="293"/>
      <c r="CJ93" s="291"/>
      <c r="CK93" s="107"/>
      <c r="CL93" s="107"/>
      <c r="CM93" s="107"/>
      <c r="CN93" s="293"/>
      <c r="CO93" s="291"/>
      <c r="CP93" s="107"/>
      <c r="CQ93" s="107"/>
      <c r="CR93" s="107"/>
      <c r="CS93" s="293"/>
      <c r="CT93" s="291"/>
      <c r="CU93" s="107"/>
      <c r="CV93" s="107"/>
      <c r="CW93" s="107"/>
      <c r="CX93" s="293"/>
      <c r="CY93" s="291"/>
      <c r="CZ93" s="107"/>
      <c r="DA93" s="107"/>
      <c r="DB93" s="107"/>
      <c r="DC93" s="293"/>
      <c r="DD93" s="291"/>
      <c r="DE93" s="107"/>
      <c r="DF93" s="493">
        <v>284</v>
      </c>
      <c r="DG93" s="107"/>
      <c r="DH93" s="293"/>
      <c r="DI93" s="813">
        <v>-110</v>
      </c>
      <c r="DJ93" s="813">
        <v>-214</v>
      </c>
      <c r="DK93" s="470"/>
      <c r="DL93" s="470">
        <f>DQ89-DL89</f>
      </c>
      <c r="DM93" s="466"/>
      <c r="DN93" s="470">
        <f t="shared" ref="DN93:EQ93" si="65">DN89-DI89</f>
      </c>
      <c r="DO93" s="470">
        <f t="shared" si="65"/>
      </c>
      <c r="DP93" s="470">
        <f>DP89-DK89</f>
      </c>
      <c r="DQ93" s="470">
        <f>DQ89-DL89</f>
      </c>
      <c r="DR93" s="466">
        <f t="shared" si="65"/>
      </c>
      <c r="DS93" s="470">
        <f t="shared" si="65"/>
      </c>
      <c r="DT93" s="470">
        <f t="shared" si="65"/>
      </c>
      <c r="DU93" s="470">
        <f t="shared" si="65"/>
      </c>
      <c r="DV93" s="470">
        <f t="shared" si="65"/>
      </c>
      <c r="DW93" s="466">
        <f t="shared" si="65"/>
      </c>
      <c r="DX93" s="470">
        <f t="shared" si="65"/>
      </c>
      <c r="DY93" s="470">
        <f t="shared" si="65"/>
      </c>
      <c r="DZ93" s="470">
        <f t="shared" si="65"/>
      </c>
      <c r="EA93" s="470">
        <f t="shared" si="65"/>
      </c>
      <c r="EB93" s="466">
        <f t="shared" si="65"/>
      </c>
      <c r="EC93" s="470">
        <f t="shared" si="65"/>
      </c>
      <c r="ED93" s="470">
        <f t="shared" si="65"/>
      </c>
      <c r="EE93" s="470">
        <f t="shared" si="65"/>
      </c>
      <c r="EF93" s="470">
        <f t="shared" si="65"/>
      </c>
      <c r="EG93" s="466">
        <f t="shared" si="65"/>
      </c>
      <c r="EH93" s="470">
        <f t="shared" si="65"/>
      </c>
      <c r="EI93" s="470">
        <f t="shared" si="65"/>
      </c>
      <c r="EJ93" s="470">
        <f t="shared" si="65"/>
      </c>
      <c r="EK93" s="470">
        <f t="shared" si="65"/>
      </c>
      <c r="EL93" s="466">
        <f t="shared" si="65"/>
      </c>
      <c r="EM93" s="470">
        <f t="shared" si="65"/>
      </c>
      <c r="EN93" s="470">
        <f t="shared" si="65"/>
      </c>
      <c r="EO93" s="470">
        <f t="shared" si="65"/>
      </c>
      <c r="EP93" s="470">
        <f t="shared" si="65"/>
      </c>
      <c r="EQ93" s="466">
        <f t="shared" si="65"/>
      </c>
      <c r="ER93" s="470">
        <f t="shared" ref="ER93:FZ93" si="66">ER89-EM89</f>
      </c>
      <c r="ES93" s="470">
        <f t="shared" si="66"/>
      </c>
      <c r="ET93" s="470">
        <f t="shared" si="66"/>
      </c>
      <c r="EU93" s="470">
        <f t="shared" si="66"/>
      </c>
      <c r="EV93" s="466">
        <f t="shared" si="66"/>
      </c>
      <c r="EW93" s="470">
        <f t="shared" si="66"/>
      </c>
      <c r="EX93" s="470">
        <f t="shared" si="66"/>
      </c>
      <c r="EY93" s="470">
        <f t="shared" si="66"/>
      </c>
      <c r="EZ93" s="470">
        <f t="shared" si="66"/>
      </c>
      <c r="FA93" s="466">
        <f t="shared" si="66"/>
      </c>
      <c r="FB93" s="470">
        <f t="shared" si="66"/>
      </c>
      <c r="FC93" s="470">
        <f t="shared" si="66"/>
      </c>
      <c r="FD93" s="470">
        <f t="shared" si="66"/>
      </c>
      <c r="FE93" s="470">
        <f t="shared" si="66"/>
      </c>
      <c r="FF93" s="466">
        <f t="shared" si="66"/>
      </c>
      <c r="FG93" s="470">
        <f t="shared" si="66"/>
      </c>
      <c r="FH93" s="470">
        <f t="shared" si="66"/>
      </c>
      <c r="FI93" s="470">
        <f t="shared" si="66"/>
      </c>
      <c r="FJ93" s="470">
        <f t="shared" si="66"/>
      </c>
      <c r="FK93" s="466">
        <f t="shared" si="66"/>
      </c>
      <c r="FL93" s="470">
        <f t="shared" si="66"/>
      </c>
      <c r="FM93" s="470">
        <f t="shared" si="66"/>
      </c>
      <c r="FN93" s="470">
        <f t="shared" si="66"/>
      </c>
      <c r="FO93" s="470">
        <f t="shared" si="66"/>
      </c>
      <c r="FP93" s="466">
        <f t="shared" si="66"/>
      </c>
      <c r="FQ93" s="470">
        <f t="shared" si="66"/>
      </c>
      <c r="FR93" s="470">
        <f t="shared" si="66"/>
      </c>
      <c r="FS93" s="470">
        <f t="shared" si="66"/>
      </c>
      <c r="FT93" s="470">
        <f t="shared" si="66"/>
      </c>
      <c r="FU93" s="466">
        <f t="shared" si="66"/>
      </c>
      <c r="FV93" s="447">
        <f t="shared" si="66"/>
      </c>
      <c r="FW93" s="458">
        <f t="shared" si="66"/>
      </c>
      <c r="FX93" s="458">
        <f t="shared" si="66"/>
      </c>
      <c r="FY93" s="458">
        <f t="shared" si="66"/>
      </c>
      <c r="FZ93" s="462">
        <f t="shared" si="66"/>
      </c>
      <c r="GA93" s="447">
        <f t="shared" ref="GA93:GJ93" si="67">GA89-FV89</f>
      </c>
      <c r="GB93" s="458">
        <f t="shared" si="67"/>
      </c>
      <c r="GC93" s="458">
        <f t="shared" si="67"/>
      </c>
      <c r="GD93" s="458">
        <f t="shared" si="67"/>
      </c>
      <c r="GE93" s="462">
        <f t="shared" si="67"/>
      </c>
      <c r="GF93" s="447">
        <f t="shared" si="67"/>
      </c>
      <c r="GG93" s="458">
        <f t="shared" si="67"/>
      </c>
      <c r="GH93" s="458">
        <f t="shared" si="67"/>
      </c>
      <c r="GI93" s="458">
        <f t="shared" si="67"/>
      </c>
      <c r="GJ93" s="497">
        <f t="shared" si="67"/>
      </c>
    </row>
    <row r="94" spans="1:192" ht="12.75" customHeight="1">
      <c r="B94" s="735" t="s">
        <v>244</v>
      </c>
      <c r="C94" s="291"/>
      <c r="D94" s="107"/>
      <c r="E94" s="107"/>
      <c r="F94" s="107"/>
      <c r="G94" s="292"/>
      <c r="H94" s="291"/>
      <c r="I94" s="107"/>
      <c r="J94" s="107"/>
      <c r="K94" s="107"/>
      <c r="L94" s="292"/>
      <c r="M94" s="291"/>
      <c r="N94" s="107"/>
      <c r="O94" s="107"/>
      <c r="P94" s="107"/>
      <c r="Q94" s="292"/>
      <c r="R94" s="291"/>
      <c r="S94" s="107"/>
      <c r="T94" s="107"/>
      <c r="U94" s="107"/>
      <c r="V94" s="292"/>
      <c r="W94" s="291"/>
      <c r="X94" s="107"/>
      <c r="Y94" s="107"/>
      <c r="Z94" s="107"/>
      <c r="AA94" s="292"/>
      <c r="AB94" s="291"/>
      <c r="AC94" s="107"/>
      <c r="AD94" s="107"/>
      <c r="AE94" s="107"/>
      <c r="AF94" s="292"/>
      <c r="AG94" s="291"/>
      <c r="AH94" s="107"/>
      <c r="AI94" s="107"/>
      <c r="AJ94" s="107"/>
      <c r="AK94" s="292"/>
      <c r="AL94" s="291"/>
      <c r="AM94" s="107"/>
      <c r="AN94" s="107"/>
      <c r="AO94" s="107"/>
      <c r="AP94" s="292"/>
      <c r="AQ94" s="291"/>
      <c r="AR94" s="107"/>
      <c r="AS94" s="107"/>
      <c r="AT94" s="107"/>
      <c r="AU94" s="292"/>
      <c r="AV94" s="291"/>
      <c r="AW94" s="107"/>
      <c r="AX94" s="107"/>
      <c r="AY94" s="107"/>
      <c r="AZ94" s="292"/>
      <c r="BA94" s="291"/>
      <c r="BB94" s="107"/>
      <c r="BC94" s="107"/>
      <c r="BD94" s="107"/>
      <c r="BE94" s="292"/>
      <c r="BF94" s="291"/>
      <c r="BG94" s="107"/>
      <c r="BH94" s="107"/>
      <c r="BI94" s="107"/>
      <c r="BJ94" s="292"/>
      <c r="BK94" s="291"/>
      <c r="BL94" s="107"/>
      <c r="BM94" s="107"/>
      <c r="BN94" s="107"/>
      <c r="BO94" s="292"/>
      <c r="BP94" s="291"/>
      <c r="BQ94" s="107"/>
      <c r="BR94" s="107"/>
      <c r="BS94" s="107"/>
      <c r="BT94" s="292"/>
      <c r="BU94" s="291"/>
      <c r="BV94" s="107"/>
      <c r="BW94" s="107"/>
      <c r="BX94" s="107"/>
      <c r="BY94" s="293"/>
      <c r="BZ94" s="291"/>
      <c r="CA94" s="107"/>
      <c r="CB94" s="107"/>
      <c r="CC94" s="107"/>
      <c r="CD94" s="293"/>
      <c r="CE94" s="291"/>
      <c r="CF94" s="107"/>
      <c r="CG94" s="107"/>
      <c r="CH94" s="107"/>
      <c r="CI94" s="293"/>
      <c r="CJ94" s="291"/>
      <c r="CK94" s="107"/>
      <c r="CL94" s="107"/>
      <c r="CM94" s="107"/>
      <c r="CN94" s="293"/>
      <c r="CO94" s="291"/>
      <c r="CP94" s="107"/>
      <c r="CQ94" s="107"/>
      <c r="CR94" s="107"/>
      <c r="CS94" s="293"/>
      <c r="CT94" s="291"/>
      <c r="CU94" s="107"/>
      <c r="CV94" s="107"/>
      <c r="CW94" s="107"/>
      <c r="CX94" s="293"/>
      <c r="CY94" s="291"/>
      <c r="CZ94" s="107"/>
      <c r="DA94" s="107"/>
      <c r="DB94" s="107"/>
      <c r="DC94" s="293"/>
      <c r="DD94" s="291"/>
      <c r="DE94" s="107"/>
      <c r="DF94" s="107"/>
      <c r="DG94" s="107"/>
      <c r="DH94" s="293"/>
      <c r="DI94" s="470">
        <f>DI89-DG89</f>
      </c>
      <c r="DJ94" s="463">
        <f>DJ89-DI89</f>
      </c>
      <c r="DK94" s="463">
        <f>DK89-DJ89</f>
      </c>
      <c r="DL94" s="463">
        <f>DL89-DK89</f>
      </c>
      <c r="DM94" s="459"/>
      <c r="DN94" s="470">
        <f>DN89-DL89</f>
      </c>
      <c r="DO94" s="463">
        <f>DO89-DN89</f>
      </c>
      <c r="DP94" s="463">
        <f>DP89-DO89</f>
      </c>
      <c r="DQ94" s="463">
        <f>DQ89-DP89</f>
      </c>
      <c r="DR94" s="459"/>
      <c r="DS94" s="470">
        <f>DS89-DQ89</f>
      </c>
      <c r="DT94" s="463">
        <f>DT89-DS89</f>
      </c>
      <c r="DU94" s="463">
        <f>DU89-DT89</f>
      </c>
      <c r="DV94" s="463">
        <f>DV89-DU89</f>
      </c>
      <c r="DW94" s="459"/>
      <c r="DX94" s="470">
        <f>DX89-DV89</f>
      </c>
      <c r="DY94" s="463">
        <f>DY89-DX89</f>
      </c>
      <c r="DZ94" s="463">
        <f>DZ89-DY89</f>
      </c>
      <c r="EA94" s="463">
        <f>EA89-DZ89</f>
      </c>
      <c r="EB94" s="459"/>
      <c r="EC94" s="470">
        <f>EC89-EA89</f>
      </c>
      <c r="ED94" s="463">
        <f>ED89-EC89</f>
      </c>
      <c r="EE94" s="463">
        <f>EE89-ED89</f>
      </c>
      <c r="EF94" s="463">
        <f>EF89-EE89</f>
      </c>
      <c r="EG94" s="459"/>
      <c r="EH94" s="470">
        <f>EH89-EF89</f>
      </c>
      <c r="EI94" s="463">
        <f>EI89-EH89</f>
      </c>
      <c r="EJ94" s="463">
        <f>EJ89-EI89</f>
      </c>
      <c r="EK94" s="463">
        <f>EK89-EJ89</f>
      </c>
      <c r="EL94" s="459"/>
      <c r="EM94" s="470">
        <f>EM89-EK89</f>
      </c>
      <c r="EN94" s="463">
        <f>EN89-EM89</f>
      </c>
      <c r="EO94" s="463">
        <f>EO89-EN89</f>
      </c>
      <c r="EP94" s="463">
        <f>EP89-EO89</f>
      </c>
      <c r="EQ94" s="459"/>
      <c r="ER94" s="470">
        <f>ER89-EP89</f>
      </c>
      <c r="ES94" s="463">
        <f>ES89-ER89</f>
      </c>
      <c r="ET94" s="463">
        <f>ET89-ES89</f>
      </c>
      <c r="EU94" s="463">
        <f>EU89-ET89</f>
      </c>
      <c r="EV94" s="459"/>
      <c r="EW94" s="470">
        <f>EW89-EU89</f>
      </c>
      <c r="EX94" s="463">
        <f>EX89-EW89</f>
      </c>
      <c r="EY94" s="463">
        <f>EY89-EX89</f>
      </c>
      <c r="EZ94" s="463">
        <f>EZ89-EY89</f>
      </c>
      <c r="FA94" s="459"/>
      <c r="FB94" s="470">
        <f>FB89-EZ89</f>
      </c>
      <c r="FC94" s="463">
        <f>FC89-FB89</f>
      </c>
      <c r="FD94" s="463">
        <f>FD89-FC89</f>
      </c>
      <c r="FE94" s="463">
        <f>FE89-FD89</f>
      </c>
      <c r="FF94" s="459"/>
      <c r="FG94" s="470">
        <f>FG89-FE89</f>
      </c>
      <c r="FH94" s="463">
        <f>FH89-FG89</f>
      </c>
      <c r="FI94" s="463">
        <f>FI89-FH89</f>
      </c>
      <c r="FJ94" s="463">
        <f>FJ89-FI89</f>
      </c>
      <c r="FK94" s="459"/>
      <c r="FL94" s="470">
        <f>FL89-FJ89</f>
      </c>
      <c r="FM94" s="463">
        <f>FM89-FL89</f>
      </c>
      <c r="FN94" s="463">
        <f>FN89-FM89</f>
      </c>
      <c r="FO94" s="463">
        <f>FO89-FN89</f>
      </c>
      <c r="FP94" s="459"/>
      <c r="FQ94" s="470">
        <f>FQ89-FO89</f>
      </c>
      <c r="FR94" s="463">
        <f>FR89-FQ89</f>
      </c>
      <c r="FS94" s="463">
        <f>FS89-FR89</f>
      </c>
      <c r="FT94" s="463">
        <f>FT89-FS89</f>
      </c>
      <c r="FU94" s="459"/>
      <c r="FV94" s="447">
        <f>FV89-FT89</f>
      </c>
      <c r="FW94" s="458">
        <f>FW89-FV89</f>
      </c>
      <c r="FX94" s="458">
        <f>FX89-FW89</f>
      </c>
      <c r="FY94" s="458">
        <f>FY89-FX89</f>
      </c>
      <c r="FZ94" s="462"/>
      <c r="GA94" s="447">
        <f>GA89-FY89</f>
      </c>
      <c r="GB94" s="458">
        <f>GB89-GA89</f>
      </c>
      <c r="GC94" s="458">
        <f>GC89-GB89</f>
      </c>
      <c r="GD94" s="458">
        <f>GD89-GC89</f>
      </c>
      <c r="GE94" s="462"/>
      <c r="GF94" s="447">
        <f>GF89-GD89</f>
      </c>
      <c r="GG94" s="458">
        <f>GG89-GF89</f>
      </c>
      <c r="GH94" s="458">
        <f>GH89-GG89</f>
      </c>
      <c r="GI94" s="458">
        <f>GI89-GH89</f>
      </c>
      <c r="GJ94" s="497"/>
    </row>
    <row r="95" spans="1:192" ht="12.75" customHeight="1">
      <c r="B95" s="735" t="s">
        <v>213</v>
      </c>
      <c r="C95" s="291"/>
      <c r="D95" s="107"/>
      <c r="E95" s="107"/>
      <c r="F95" s="107"/>
      <c r="G95" s="293"/>
      <c r="H95" s="291"/>
      <c r="I95" s="107"/>
      <c r="J95" s="107"/>
      <c r="K95" s="107"/>
      <c r="L95" s="293"/>
      <c r="M95" s="291"/>
      <c r="N95" s="107"/>
      <c r="O95" s="107"/>
      <c r="P95" s="107"/>
      <c r="Q95" s="293"/>
      <c r="R95" s="291"/>
      <c r="S95" s="107"/>
      <c r="T95" s="107"/>
      <c r="U95" s="107"/>
      <c r="V95" s="293"/>
      <c r="W95" s="291"/>
      <c r="X95" s="107"/>
      <c r="Y95" s="107"/>
      <c r="Z95" s="107"/>
      <c r="AA95" s="293"/>
      <c r="AB95" s="291"/>
      <c r="AC95" s="107"/>
      <c r="AD95" s="107"/>
      <c r="AE95" s="107"/>
      <c r="AF95" s="293"/>
      <c r="AG95" s="291"/>
      <c r="AH95" s="107"/>
      <c r="AI95" s="107"/>
      <c r="AJ95" s="107"/>
      <c r="AK95" s="293"/>
      <c r="AL95" s="291"/>
      <c r="AM95" s="107"/>
      <c r="AN95" s="107"/>
      <c r="AO95" s="107"/>
      <c r="AP95" s="293"/>
      <c r="AQ95" s="291"/>
      <c r="AR95" s="107"/>
      <c r="AS95" s="107"/>
      <c r="AT95" s="107"/>
      <c r="AU95" s="293"/>
      <c r="AV95" s="291"/>
      <c r="AW95" s="107"/>
      <c r="AX95" s="107"/>
      <c r="AY95" s="107"/>
      <c r="AZ95" s="293"/>
      <c r="BA95" s="291"/>
      <c r="BB95" s="107"/>
      <c r="BC95" s="107"/>
      <c r="BD95" s="107"/>
      <c r="BE95" s="293"/>
      <c r="BF95" s="291"/>
      <c r="BG95" s="107"/>
      <c r="BH95" s="107"/>
      <c r="BI95" s="107"/>
      <c r="BJ95" s="293"/>
      <c r="BK95" s="291"/>
      <c r="BL95" s="107"/>
      <c r="BM95" s="107"/>
      <c r="BN95" s="107"/>
      <c r="BO95" s="293"/>
      <c r="BP95" s="291"/>
      <c r="BQ95" s="107"/>
      <c r="BR95" s="107"/>
      <c r="BS95" s="107"/>
      <c r="BT95" s="293"/>
      <c r="BU95" s="291"/>
      <c r="BV95" s="107"/>
      <c r="BW95" s="107"/>
      <c r="BX95" s="107"/>
      <c r="BY95" s="293"/>
      <c r="BZ95" s="291"/>
      <c r="CA95" s="107"/>
      <c r="CB95" s="107"/>
      <c r="CC95" s="107"/>
      <c r="CD95" s="293"/>
      <c r="CE95" s="291"/>
      <c r="CF95" s="107"/>
      <c r="CG95" s="107"/>
      <c r="CH95" s="107"/>
      <c r="CI95" s="293"/>
      <c r="CJ95" s="291"/>
      <c r="CK95" s="107"/>
      <c r="CL95" s="107"/>
      <c r="CM95" s="107"/>
      <c r="CN95" s="293"/>
      <c r="CO95" s="291"/>
      <c r="CP95" s="107"/>
      <c r="CQ95" s="107"/>
      <c r="CR95" s="107"/>
      <c r="CS95" s="293"/>
      <c r="CT95" s="291"/>
      <c r="CU95" s="107"/>
      <c r="CV95" s="107"/>
      <c r="CW95" s="107"/>
      <c r="CX95" s="293"/>
      <c r="CY95" s="291"/>
      <c r="CZ95" s="107"/>
      <c r="DA95" s="107"/>
      <c r="DB95" s="107"/>
      <c r="DC95" s="293"/>
      <c r="DD95" s="291"/>
      <c r="DE95" s="107"/>
      <c r="DF95" s="107"/>
      <c r="DG95" s="107"/>
      <c r="DH95" s="293"/>
      <c r="DI95" s="291"/>
      <c r="DJ95" s="107"/>
      <c r="DK95" s="107"/>
      <c r="DL95" s="107"/>
      <c r="DM95" s="293"/>
      <c r="DN95" s="291"/>
      <c r="DO95" s="107"/>
      <c r="DP95" s="107"/>
      <c r="DQ95" s="107"/>
      <c r="DR95" s="293"/>
      <c r="DS95" s="291"/>
      <c r="DT95" s="107"/>
      <c r="DU95" s="107"/>
      <c r="DV95" s="107"/>
      <c r="DW95" s="293"/>
      <c r="DX95" s="291"/>
      <c r="DY95" s="107"/>
      <c r="DZ95" s="107"/>
      <c r="EA95" s="107"/>
      <c r="EB95" s="293"/>
      <c r="EC95" s="291"/>
      <c r="ED95" s="107"/>
      <c r="EE95" s="107"/>
      <c r="EF95" s="107"/>
      <c r="EG95" s="293"/>
      <c r="EH95" s="291"/>
      <c r="EI95" s="107"/>
      <c r="EJ95" s="107"/>
      <c r="EK95" s="107"/>
      <c r="EL95" s="293"/>
      <c r="EM95" s="291"/>
      <c r="EN95" s="107"/>
      <c r="EO95" s="107"/>
      <c r="EP95" s="107"/>
      <c r="EQ95" s="293"/>
      <c r="ER95" s="291">
        <f t="shared" ref="ER95:GE95" si="68">ER89/ER$10</f>
      </c>
      <c r="ES95" s="107">
        <f t="shared" si="68"/>
      </c>
      <c r="ET95" s="107">
        <f t="shared" si="68"/>
      </c>
      <c r="EU95" s="107">
        <f t="shared" si="68"/>
      </c>
      <c r="EV95" s="293">
        <f t="shared" si="68"/>
      </c>
      <c r="EW95" s="291">
        <f t="shared" si="68"/>
      </c>
      <c r="EX95" s="107">
        <f t="shared" si="68"/>
      </c>
      <c r="EY95" s="107">
        <f t="shared" ref="EY95:EZ95" si="69">EY89/EY$10</f>
      </c>
      <c r="EZ95" s="107">
        <f t="shared" si="69"/>
      </c>
      <c r="FA95" s="293">
        <f t="shared" si="68"/>
      </c>
      <c r="FB95" s="291">
        <f t="shared" si="68"/>
      </c>
      <c r="FC95" s="107">
        <f t="shared" si="68"/>
      </c>
      <c r="FD95" s="107">
        <f t="shared" si="68"/>
      </c>
      <c r="FE95" s="107">
        <f t="shared" si="68"/>
      </c>
      <c r="FF95" s="293">
        <f t="shared" si="68"/>
      </c>
      <c r="FG95" s="291">
        <f t="shared" si="68"/>
      </c>
      <c r="FH95" s="107">
        <f t="shared" si="68"/>
      </c>
      <c r="FI95" s="107">
        <f t="shared" si="68"/>
      </c>
      <c r="FJ95" s="107">
        <f t="shared" si="68"/>
      </c>
      <c r="FK95" s="293">
        <f t="shared" si="68"/>
      </c>
      <c r="FL95" s="291">
        <f t="shared" si="68"/>
      </c>
      <c r="FM95" s="107">
        <f t="shared" si="68"/>
      </c>
      <c r="FN95" s="107">
        <f t="shared" si="68"/>
      </c>
      <c r="FO95" s="107">
        <f t="shared" si="68"/>
      </c>
      <c r="FP95" s="293">
        <f t="shared" si="68"/>
      </c>
      <c r="FQ95" s="291">
        <f t="shared" si="68"/>
      </c>
      <c r="FR95" s="107">
        <f t="shared" si="68"/>
      </c>
      <c r="FS95" s="107">
        <f t="shared" si="68"/>
      </c>
      <c r="FT95" s="107">
        <f t="shared" si="68"/>
      </c>
      <c r="FU95" s="293">
        <f t="shared" si="68"/>
      </c>
      <c r="FV95" s="291">
        <f t="shared" si="68"/>
      </c>
      <c r="FW95" s="107">
        <f t="shared" si="68"/>
      </c>
      <c r="FX95" s="107">
        <f t="shared" si="68"/>
      </c>
      <c r="FY95" s="107">
        <f t="shared" si="68"/>
      </c>
      <c r="FZ95" s="293">
        <f t="shared" si="68"/>
      </c>
      <c r="GA95" s="291">
        <f t="shared" si="68"/>
      </c>
      <c r="GB95" s="107">
        <f t="shared" si="68"/>
      </c>
      <c r="GC95" s="107">
        <f t="shared" si="68"/>
      </c>
      <c r="GD95" s="107">
        <f t="shared" si="68"/>
      </c>
      <c r="GE95" s="293">
        <f t="shared" si="68"/>
      </c>
      <c r="GF95" s="291">
        <f t="shared" ref="GF95:GJ95" si="70">GF89/GF$10</f>
      </c>
      <c r="GG95" s="107">
        <f t="shared" si="70"/>
      </c>
      <c r="GH95" s="107">
        <f t="shared" si="70"/>
      </c>
      <c r="GI95" s="107">
        <f t="shared" si="70"/>
      </c>
      <c r="GJ95" s="382">
        <f t="shared" si="70"/>
      </c>
    </row>
    <row r="96" spans="1:192" s="1200" customFormat="1" ht="12.75" customHeight="1">
      <c r="A96" s="850"/>
      <c r="B96" s="735"/>
      <c r="C96" s="892"/>
      <c r="D96" s="924"/>
      <c r="E96" s="924"/>
      <c r="F96" s="924"/>
      <c r="G96" s="893"/>
      <c r="H96" s="892"/>
      <c r="I96" s="924"/>
      <c r="J96" s="924"/>
      <c r="K96" s="924"/>
      <c r="L96" s="893"/>
      <c r="M96" s="892"/>
      <c r="N96" s="924"/>
      <c r="O96" s="924"/>
      <c r="P96" s="924"/>
      <c r="Q96" s="893"/>
      <c r="R96" s="892"/>
      <c r="S96" s="924"/>
      <c r="T96" s="924"/>
      <c r="U96" s="924"/>
      <c r="V96" s="893"/>
      <c r="W96" s="892"/>
      <c r="X96" s="924"/>
      <c r="Y96" s="924"/>
      <c r="Z96" s="924"/>
      <c r="AA96" s="893"/>
      <c r="AB96" s="892"/>
      <c r="AC96" s="924"/>
      <c r="AD96" s="924"/>
      <c r="AE96" s="924"/>
      <c r="AF96" s="893"/>
      <c r="AG96" s="892"/>
      <c r="AH96" s="924"/>
      <c r="AI96" s="924"/>
      <c r="AJ96" s="924"/>
      <c r="AK96" s="893"/>
      <c r="AL96" s="892"/>
      <c r="AM96" s="924"/>
      <c r="AN96" s="924"/>
      <c r="AO96" s="924"/>
      <c r="AP96" s="893"/>
      <c r="AQ96" s="892"/>
      <c r="AR96" s="924"/>
      <c r="AS96" s="924"/>
      <c r="AT96" s="924"/>
      <c r="AU96" s="893"/>
      <c r="AV96" s="892"/>
      <c r="AW96" s="924"/>
      <c r="AX96" s="924"/>
      <c r="AY96" s="924"/>
      <c r="AZ96" s="893"/>
      <c r="BA96" s="892"/>
      <c r="BB96" s="924"/>
      <c r="BC96" s="924"/>
      <c r="BD96" s="924"/>
      <c r="BE96" s="893"/>
      <c r="BF96" s="892"/>
      <c r="BG96" s="924"/>
      <c r="BH96" s="924"/>
      <c r="BI96" s="924"/>
      <c r="BJ96" s="893"/>
      <c r="BK96" s="892"/>
      <c r="BL96" s="924"/>
      <c r="BM96" s="924"/>
      <c r="BN96" s="924"/>
      <c r="BO96" s="893"/>
      <c r="BP96" s="892"/>
      <c r="BQ96" s="924"/>
      <c r="BR96" s="924"/>
      <c r="BS96" s="924"/>
      <c r="BT96" s="893"/>
      <c r="BU96" s="892"/>
      <c r="BV96" s="924"/>
      <c r="BW96" s="924"/>
      <c r="BX96" s="924"/>
      <c r="BY96" s="893"/>
      <c r="BZ96" s="892"/>
      <c r="CA96" s="924"/>
      <c r="CB96" s="924"/>
      <c r="CC96" s="924"/>
      <c r="CD96" s="893"/>
      <c r="CE96" s="892"/>
      <c r="CF96" s="924"/>
      <c r="CG96" s="924"/>
      <c r="CH96" s="924"/>
      <c r="CI96" s="893"/>
      <c r="CJ96" s="892"/>
      <c r="CK96" s="924"/>
      <c r="CL96" s="924"/>
      <c r="CM96" s="924"/>
      <c r="CN96" s="893"/>
      <c r="CO96" s="892"/>
      <c r="CP96" s="924"/>
      <c r="CQ96" s="924"/>
      <c r="CR96" s="924"/>
      <c r="CS96" s="893"/>
      <c r="CT96" s="892"/>
      <c r="CU96" s="924"/>
      <c r="CV96" s="924"/>
      <c r="CW96" s="924"/>
      <c r="CX96" s="893"/>
      <c r="CY96" s="892"/>
      <c r="CZ96" s="924"/>
      <c r="DA96" s="924"/>
      <c r="DB96" s="924"/>
      <c r="DC96" s="893"/>
      <c r="DD96" s="892"/>
      <c r="DE96" s="924"/>
      <c r="DF96" s="924"/>
      <c r="DG96" s="924"/>
      <c r="DH96" s="893"/>
      <c r="DI96" s="892"/>
      <c r="DJ96" s="924"/>
      <c r="DK96" s="924"/>
      <c r="DL96" s="924"/>
      <c r="DM96" s="893"/>
      <c r="DN96" s="892"/>
      <c r="DO96" s="924"/>
      <c r="DP96" s="924"/>
      <c r="DQ96" s="924"/>
      <c r="DR96" s="893"/>
      <c r="DS96" s="892"/>
      <c r="DT96" s="924"/>
      <c r="DU96" s="924"/>
      <c r="DV96" s="924"/>
      <c r="DW96" s="893"/>
      <c r="DX96" s="892"/>
      <c r="DY96" s="924"/>
      <c r="DZ96" s="924"/>
      <c r="EA96" s="924"/>
      <c r="EB96" s="893"/>
      <c r="EC96" s="892"/>
      <c r="ED96" s="924"/>
      <c r="EE96" s="924"/>
      <c r="EF96" s="924"/>
      <c r="EG96" s="893"/>
      <c r="EH96" s="892"/>
      <c r="EI96" s="924"/>
      <c r="EJ96" s="924"/>
      <c r="EK96" s="924"/>
      <c r="EL96" s="893"/>
      <c r="EM96" s="892"/>
      <c r="EN96" s="924"/>
      <c r="EO96" s="924"/>
      <c r="EP96" s="924"/>
      <c r="EQ96" s="893"/>
      <c r="ER96" s="892"/>
      <c r="ES96" s="924"/>
      <c r="ET96" s="924"/>
      <c r="EU96" s="924"/>
      <c r="EV96" s="893"/>
      <c r="EW96" s="892"/>
      <c r="EX96" s="924"/>
      <c r="EY96" s="924"/>
      <c r="EZ96" s="924"/>
      <c r="FA96" s="893"/>
      <c r="FB96" s="892"/>
      <c r="FC96" s="924"/>
      <c r="FD96" s="924"/>
      <c r="FE96" s="924"/>
      <c r="FF96" s="893"/>
      <c r="FG96" s="892"/>
      <c r="FH96" s="924"/>
      <c r="FI96" s="924"/>
      <c r="FJ96" s="924"/>
      <c r="FK96" s="893"/>
      <c r="FL96" s="892"/>
      <c r="FM96" s="924"/>
      <c r="FN96" s="924"/>
      <c r="FO96" s="924"/>
      <c r="FP96" s="893"/>
      <c r="FQ96" s="892"/>
      <c r="FR96" s="924"/>
      <c r="FS96" s="924"/>
      <c r="FT96" s="924"/>
      <c r="FU96" s="893"/>
      <c r="FV96" s="892"/>
      <c r="FW96" s="924"/>
      <c r="FX96" s="924"/>
      <c r="FY96" s="924"/>
      <c r="FZ96" s="893"/>
      <c r="GA96" s="892"/>
      <c r="GB96" s="924"/>
      <c r="GC96" s="924"/>
      <c r="GD96" s="924"/>
      <c r="GE96" s="893"/>
      <c r="GF96" s="892"/>
      <c r="GG96" s="924"/>
      <c r="GH96" s="924"/>
      <c r="GI96" s="924"/>
      <c r="GJ96" s="1199"/>
    </row>
    <row r="97" spans="1:192" s="1200" customFormat="1" ht="12.75" customHeight="1">
      <c r="A97" s="850"/>
      <c r="B97" s="740" t="s">
        <v>2076</v>
      </c>
      <c r="C97" s="892"/>
      <c r="D97" s="924"/>
      <c r="E97" s="924"/>
      <c r="F97" s="924"/>
      <c r="G97" s="893"/>
      <c r="H97" s="892"/>
      <c r="I97" s="924"/>
      <c r="J97" s="924"/>
      <c r="K97" s="924"/>
      <c r="L97" s="893"/>
      <c r="M97" s="892"/>
      <c r="N97" s="924"/>
      <c r="O97" s="924"/>
      <c r="P97" s="924"/>
      <c r="Q97" s="893"/>
      <c r="R97" s="892"/>
      <c r="S97" s="924"/>
      <c r="T97" s="924"/>
      <c r="U97" s="924"/>
      <c r="V97" s="893"/>
      <c r="W97" s="892"/>
      <c r="X97" s="924"/>
      <c r="Y97" s="924"/>
      <c r="Z97" s="924"/>
      <c r="AA97" s="893"/>
      <c r="AB97" s="892"/>
      <c r="AC97" s="924"/>
      <c r="AD97" s="924"/>
      <c r="AE97" s="924"/>
      <c r="AF97" s="893"/>
      <c r="AG97" s="892"/>
      <c r="AH97" s="924"/>
      <c r="AI97" s="924"/>
      <c r="AJ97" s="924"/>
      <c r="AK97" s="893"/>
      <c r="AL97" s="892"/>
      <c r="AM97" s="924"/>
      <c r="AN97" s="924"/>
      <c r="AO97" s="924"/>
      <c r="AP97" s="893"/>
      <c r="AQ97" s="892"/>
      <c r="AR97" s="924"/>
      <c r="AS97" s="924"/>
      <c r="AT97" s="924"/>
      <c r="AU97" s="893"/>
      <c r="AV97" s="892"/>
      <c r="AW97" s="924"/>
      <c r="AX97" s="924"/>
      <c r="AY97" s="924"/>
      <c r="AZ97" s="893"/>
      <c r="BA97" s="892"/>
      <c r="BB97" s="924"/>
      <c r="BC97" s="924"/>
      <c r="BD97" s="924"/>
      <c r="BE97" s="893"/>
      <c r="BF97" s="892"/>
      <c r="BG97" s="924"/>
      <c r="BH97" s="924"/>
      <c r="BI97" s="924"/>
      <c r="BJ97" s="893"/>
      <c r="BK97" s="892"/>
      <c r="BL97" s="924"/>
      <c r="BM97" s="924"/>
      <c r="BN97" s="924"/>
      <c r="BO97" s="893"/>
      <c r="BP97" s="892"/>
      <c r="BQ97" s="924"/>
      <c r="BR97" s="924"/>
      <c r="BS97" s="924"/>
      <c r="BT97" s="893"/>
      <c r="BU97" s="892"/>
      <c r="BV97" s="924"/>
      <c r="BW97" s="924"/>
      <c r="BX97" s="924"/>
      <c r="BY97" s="893"/>
      <c r="BZ97" s="892"/>
      <c r="CA97" s="924"/>
      <c r="CB97" s="924"/>
      <c r="CC97" s="924"/>
      <c r="CD97" s="893"/>
      <c r="CE97" s="892"/>
      <c r="CF97" s="924"/>
      <c r="CG97" s="924"/>
      <c r="CH97" s="924"/>
      <c r="CI97" s="893"/>
      <c r="CJ97" s="892"/>
      <c r="CK97" s="924"/>
      <c r="CL97" s="924"/>
      <c r="CM97" s="924"/>
      <c r="CN97" s="893"/>
      <c r="CO97" s="892"/>
      <c r="CP97" s="924"/>
      <c r="CQ97" s="924"/>
      <c r="CR97" s="924"/>
      <c r="CS97" s="893"/>
      <c r="CT97" s="892"/>
      <c r="CU97" s="924"/>
      <c r="CV97" s="924"/>
      <c r="CW97" s="924"/>
      <c r="CX97" s="893"/>
      <c r="CY97" s="892"/>
      <c r="CZ97" s="924"/>
      <c r="DA97" s="924"/>
      <c r="DB97" s="924"/>
      <c r="DC97" s="893"/>
      <c r="DD97" s="892"/>
      <c r="DE97" s="924"/>
      <c r="DF97" s="924"/>
      <c r="DG97" s="924"/>
      <c r="DH97" s="893"/>
      <c r="DI97" s="892"/>
      <c r="DJ97" s="924"/>
      <c r="DK97" s="924"/>
      <c r="DL97" s="924"/>
      <c r="DM97" s="893"/>
      <c r="DN97" s="892"/>
      <c r="DO97" s="924"/>
      <c r="DP97" s="924"/>
      <c r="DQ97" s="924"/>
      <c r="DR97" s="893"/>
      <c r="DS97" s="892"/>
      <c r="DT97" s="924"/>
      <c r="DU97" s="924"/>
      <c r="DV97" s="924"/>
      <c r="DW97" s="893"/>
      <c r="DX97" s="892"/>
      <c r="DY97" s="924"/>
      <c r="DZ97" s="924"/>
      <c r="EA97" s="924"/>
      <c r="EB97" s="893"/>
      <c r="EC97" s="892"/>
      <c r="ED97" s="924"/>
      <c r="EE97" s="924"/>
      <c r="EF97" s="924"/>
      <c r="EG97" s="893"/>
      <c r="EH97" s="892"/>
      <c r="EI97" s="924"/>
      <c r="EJ97" s="924"/>
      <c r="EK97" s="924"/>
      <c r="EL97" s="893"/>
      <c r="EM97" s="892"/>
      <c r="EN97" s="924"/>
      <c r="EO97" s="924"/>
      <c r="EP97" s="924"/>
      <c r="EQ97" s="893"/>
      <c r="ER97" s="892"/>
      <c r="ES97" s="924"/>
      <c r="ET97" s="924"/>
      <c r="EU97" s="924"/>
      <c r="EV97" s="893"/>
      <c r="EW97" s="892"/>
      <c r="EX97" s="924"/>
      <c r="EY97" s="924"/>
      <c r="EZ97" s="924"/>
      <c r="FA97" s="893"/>
      <c r="FB97" s="892"/>
      <c r="FC97" s="924"/>
      <c r="FD97" s="924"/>
      <c r="FE97" s="924"/>
      <c r="FF97" s="893"/>
      <c r="FG97" s="892"/>
      <c r="FH97" s="924"/>
      <c r="FI97" s="924"/>
      <c r="FJ97" s="924"/>
      <c r="FK97" s="893"/>
      <c r="FL97" s="892"/>
      <c r="FM97" s="924"/>
      <c r="FN97" s="924"/>
      <c r="FO97" s="924"/>
      <c r="FP97" s="893"/>
      <c r="FQ97" s="892"/>
      <c r="FR97" s="924"/>
      <c r="FS97" s="924"/>
      <c r="FT97" s="924"/>
      <c r="FU97" s="893"/>
      <c r="FV97" s="892"/>
      <c r="FW97" s="924"/>
      <c r="FX97" s="924"/>
      <c r="FY97" s="924"/>
      <c r="FZ97" s="893"/>
      <c r="GA97" s="892"/>
      <c r="GB97" s="924"/>
      <c r="GC97" s="924"/>
      <c r="GD97" s="924"/>
      <c r="GE97" s="893"/>
      <c r="GF97" s="892"/>
      <c r="GG97" s="924"/>
      <c r="GH97" s="924"/>
      <c r="GI97" s="924"/>
      <c r="GJ97" s="1199"/>
    </row>
    <row r="98" spans="1:192" s="461" customFormat="1" ht="12.75" hidden="1" customHeight="1" outlineLevel="1">
      <c r="A98" s="1643"/>
      <c r="B98" s="1676" t="s">
        <v>231</v>
      </c>
      <c r="C98" s="443"/>
      <c r="D98" s="471"/>
      <c r="E98" s="471"/>
      <c r="F98" s="471"/>
      <c r="G98" s="516"/>
      <c r="H98" s="443"/>
      <c r="I98" s="471"/>
      <c r="J98" s="471"/>
      <c r="K98" s="471"/>
      <c r="L98" s="516"/>
      <c r="M98" s="443"/>
      <c r="N98" s="471"/>
      <c r="O98" s="471"/>
      <c r="P98" s="471"/>
      <c r="Q98" s="516"/>
      <c r="R98" s="443"/>
      <c r="S98" s="471"/>
      <c r="T98" s="471"/>
      <c r="U98" s="471"/>
      <c r="V98" s="516"/>
      <c r="W98" s="443"/>
      <c r="X98" s="471"/>
      <c r="Y98" s="471"/>
      <c r="Z98" s="471"/>
      <c r="AA98" s="516"/>
      <c r="AB98" s="443"/>
      <c r="AC98" s="471"/>
      <c r="AD98" s="471"/>
      <c r="AE98" s="471"/>
      <c r="AF98" s="516"/>
      <c r="AG98" s="443"/>
      <c r="AH98" s="471"/>
      <c r="AI98" s="471"/>
      <c r="AJ98" s="471"/>
      <c r="AK98" s="516"/>
      <c r="AL98" s="443"/>
      <c r="AM98" s="471"/>
      <c r="AN98" s="471"/>
      <c r="AO98" s="471"/>
      <c r="AP98" s="516"/>
      <c r="AQ98" s="443"/>
      <c r="AR98" s="471"/>
      <c r="AS98" s="471"/>
      <c r="AT98" s="471"/>
      <c r="AU98" s="516"/>
      <c r="AV98" s="443"/>
      <c r="AW98" s="471"/>
      <c r="AX98" s="471"/>
      <c r="AY98" s="471"/>
      <c r="AZ98" s="516"/>
      <c r="BA98" s="443"/>
      <c r="BB98" s="471"/>
      <c r="BC98" s="471"/>
      <c r="BD98" s="471"/>
      <c r="BE98" s="516"/>
      <c r="BF98" s="443"/>
      <c r="BG98" s="471"/>
      <c r="BH98" s="471"/>
      <c r="BI98" s="471"/>
      <c r="BJ98" s="516"/>
      <c r="BK98" s="443"/>
      <c r="BL98" s="471"/>
      <c r="BM98" s="471"/>
      <c r="BN98" s="471"/>
      <c r="BO98" s="516"/>
      <c r="BP98" s="443"/>
      <c r="BQ98" s="471"/>
      <c r="BR98" s="471"/>
      <c r="BS98" s="471"/>
      <c r="BT98" s="516"/>
      <c r="BU98" s="443"/>
      <c r="BV98" s="471"/>
      <c r="BW98" s="471"/>
      <c r="BX98" s="471"/>
      <c r="BY98" s="516"/>
      <c r="BZ98" s="443"/>
      <c r="CA98" s="471"/>
      <c r="CB98" s="471"/>
      <c r="CC98" s="471"/>
      <c r="CD98" s="516"/>
      <c r="CE98" s="443"/>
      <c r="CF98" s="471"/>
      <c r="CG98" s="471"/>
      <c r="CH98" s="471"/>
      <c r="CI98" s="516"/>
      <c r="CJ98" s="443"/>
      <c r="CK98" s="471"/>
      <c r="CL98" s="471"/>
      <c r="CM98" s="471"/>
      <c r="CN98" s="516"/>
      <c r="CO98" s="443"/>
      <c r="CP98" s="471"/>
      <c r="CQ98" s="471"/>
      <c r="CR98" s="471"/>
      <c r="CS98" s="516"/>
      <c r="CT98" s="443"/>
      <c r="CU98" s="471"/>
      <c r="CV98" s="471"/>
      <c r="CW98" s="471"/>
      <c r="CX98" s="516"/>
      <c r="CY98" s="443"/>
      <c r="CZ98" s="1145"/>
      <c r="DA98" s="471"/>
      <c r="DB98" s="471"/>
      <c r="DC98" s="516"/>
      <c r="DD98" s="443"/>
      <c r="DE98" s="471"/>
      <c r="DF98" s="471"/>
      <c r="DG98" s="471"/>
      <c r="DH98" s="516"/>
      <c r="DI98" s="443"/>
      <c r="DJ98" s="471"/>
      <c r="DK98" s="471"/>
      <c r="DL98" s="471"/>
      <c r="DM98" s="516"/>
      <c r="DN98" s="443"/>
      <c r="DO98" s="471"/>
      <c r="DP98" s="471"/>
      <c r="DQ98" s="471"/>
      <c r="DR98" s="516"/>
      <c r="DS98" s="443"/>
      <c r="DT98" s="471"/>
      <c r="DU98" s="471"/>
      <c r="DV98" s="471"/>
      <c r="DW98" s="516"/>
      <c r="DX98" s="443"/>
      <c r="DY98" s="471"/>
      <c r="DZ98" s="471"/>
      <c r="EA98" s="471"/>
      <c r="EB98" s="516"/>
      <c r="EC98" s="443"/>
      <c r="ED98" s="471"/>
      <c r="EE98" s="471"/>
      <c r="EF98" s="471"/>
      <c r="EG98" s="516"/>
      <c r="EH98" s="443"/>
      <c r="EI98" s="471"/>
      <c r="EJ98" s="471"/>
      <c r="EK98" s="471"/>
      <c r="EL98" s="516"/>
      <c r="EM98" s="443"/>
      <c r="EN98" s="471"/>
      <c r="EO98" s="471"/>
      <c r="EP98" s="471"/>
      <c r="EQ98" s="516"/>
      <c r="ER98" s="443"/>
      <c r="ES98" s="471">
        <f>ES89-(EN89*0.05+EN89)</f>
      </c>
      <c r="ET98" s="906">
        <v>1970</v>
      </c>
      <c r="EU98" s="906">
        <v>1970</v>
      </c>
      <c r="EV98" s="1527">
        <f>SUM(ER98:EU98)</f>
      </c>
      <c r="EW98" s="452">
        <f>EU98</f>
      </c>
      <c r="EX98" s="906"/>
      <c r="EY98" s="906"/>
      <c r="EZ98" s="471"/>
      <c r="FA98" s="516"/>
      <c r="FB98" s="443"/>
      <c r="FC98" s="471"/>
      <c r="FD98" s="471"/>
      <c r="FE98" s="471"/>
      <c r="FF98" s="516"/>
      <c r="FG98" s="443"/>
      <c r="FH98" s="471"/>
      <c r="FI98" s="471"/>
      <c r="FJ98" s="471"/>
      <c r="FK98" s="516"/>
      <c r="FL98" s="443"/>
      <c r="FM98" s="471"/>
      <c r="FN98" s="471"/>
      <c r="FO98" s="471"/>
      <c r="FP98" s="516"/>
      <c r="FQ98" s="443"/>
      <c r="FR98" s="471"/>
      <c r="FS98" s="471"/>
      <c r="FT98" s="471"/>
      <c r="FU98" s="516"/>
      <c r="FV98" s="443"/>
      <c r="FW98" s="471"/>
      <c r="FX98" s="471"/>
      <c r="FY98" s="471"/>
      <c r="FZ98" s="516"/>
      <c r="GA98" s="443"/>
      <c r="GB98" s="471"/>
      <c r="GC98" s="471"/>
      <c r="GD98" s="471"/>
      <c r="GE98" s="516"/>
      <c r="GF98" s="443"/>
      <c r="GG98" s="471"/>
      <c r="GH98" s="471"/>
      <c r="GI98" s="471"/>
      <c r="GJ98" s="808"/>
    </row>
    <row r="99" spans="1:192" ht="12.75" hidden="1" customHeight="1" outlineLevel="1">
      <c r="A99" s="1643"/>
      <c r="B99" s="1526" t="s">
        <v>34</v>
      </c>
      <c r="C99" s="291"/>
      <c r="D99" s="107"/>
      <c r="E99" s="107"/>
      <c r="F99" s="107"/>
      <c r="G99" s="292"/>
      <c r="H99" s="291"/>
      <c r="I99" s="107"/>
      <c r="J99" s="107"/>
      <c r="K99" s="107"/>
      <c r="L99" s="292"/>
      <c r="M99" s="291"/>
      <c r="N99" s="107"/>
      <c r="O99" s="107"/>
      <c r="P99" s="107"/>
      <c r="Q99" s="292"/>
      <c r="R99" s="291"/>
      <c r="S99" s="107"/>
      <c r="T99" s="107"/>
      <c r="U99" s="107"/>
      <c r="V99" s="292"/>
      <c r="W99" s="291"/>
      <c r="X99" s="107"/>
      <c r="Y99" s="107"/>
      <c r="Z99" s="107"/>
      <c r="AA99" s="292"/>
      <c r="AB99" s="291"/>
      <c r="AC99" s="107"/>
      <c r="AD99" s="107"/>
      <c r="AE99" s="107"/>
      <c r="AF99" s="292"/>
      <c r="AG99" s="291"/>
      <c r="AH99" s="107"/>
      <c r="AI99" s="107"/>
      <c r="AJ99" s="107"/>
      <c r="AK99" s="292"/>
      <c r="AL99" s="291"/>
      <c r="AM99" s="107"/>
      <c r="AN99" s="107"/>
      <c r="AO99" s="107"/>
      <c r="AP99" s="292"/>
      <c r="AQ99" s="291"/>
      <c r="AR99" s="107"/>
      <c r="AS99" s="107"/>
      <c r="AT99" s="107"/>
      <c r="AU99" s="292"/>
      <c r="AV99" s="291"/>
      <c r="AW99" s="107"/>
      <c r="AX99" s="107"/>
      <c r="AY99" s="107"/>
      <c r="AZ99" s="292"/>
      <c r="BA99" s="291"/>
      <c r="BB99" s="107"/>
      <c r="BC99" s="107"/>
      <c r="BD99" s="107"/>
      <c r="BE99" s="292"/>
      <c r="BF99" s="291"/>
      <c r="BG99" s="107"/>
      <c r="BH99" s="107"/>
      <c r="BI99" s="107"/>
      <c r="BJ99" s="292"/>
      <c r="BK99" s="291"/>
      <c r="BL99" s="107"/>
      <c r="BM99" s="107"/>
      <c r="BN99" s="107"/>
      <c r="BO99" s="292"/>
      <c r="BP99" s="291"/>
      <c r="BQ99" s="107"/>
      <c r="BR99" s="107"/>
      <c r="BS99" s="107"/>
      <c r="BT99" s="292"/>
      <c r="BU99" s="291"/>
      <c r="BV99" s="107"/>
      <c r="BW99" s="107"/>
      <c r="BX99" s="107"/>
      <c r="BY99" s="292"/>
      <c r="BZ99" s="291"/>
      <c r="CA99" s="107"/>
      <c r="CB99" s="107"/>
      <c r="CC99" s="107"/>
      <c r="CD99" s="292"/>
      <c r="CE99" s="291"/>
      <c r="CF99" s="107"/>
      <c r="CG99" s="107"/>
      <c r="CH99" s="107"/>
      <c r="CI99" s="292"/>
      <c r="CJ99" s="291"/>
      <c r="CK99" s="107"/>
      <c r="CL99" s="107"/>
      <c r="CM99" s="107"/>
      <c r="CN99" s="292"/>
      <c r="CO99" s="291"/>
      <c r="CP99" s="107"/>
      <c r="CQ99" s="107"/>
      <c r="CR99" s="107"/>
      <c r="CS99" s="292"/>
      <c r="CT99" s="291"/>
      <c r="CU99" s="107"/>
      <c r="CV99" s="107"/>
      <c r="CW99" s="107"/>
      <c r="CX99" s="292"/>
      <c r="CY99" s="291"/>
      <c r="CZ99" s="107"/>
      <c r="DA99" s="107"/>
      <c r="DB99" s="107"/>
      <c r="DC99" s="292"/>
      <c r="DD99" s="291"/>
      <c r="DE99" s="107"/>
      <c r="DF99" s="107"/>
      <c r="DG99" s="107"/>
      <c r="DH99" s="292"/>
      <c r="DI99" s="291"/>
      <c r="DJ99" s="107"/>
      <c r="DK99" s="107"/>
      <c r="DL99" s="107"/>
      <c r="DM99" s="292"/>
      <c r="DN99" s="291"/>
      <c r="DO99" s="107"/>
      <c r="DP99" s="107"/>
      <c r="DQ99" s="107"/>
      <c r="DR99" s="292"/>
      <c r="DS99" s="291"/>
      <c r="DT99" s="107"/>
      <c r="DU99" s="107"/>
      <c r="DV99" s="107"/>
      <c r="DW99" s="292"/>
      <c r="DX99" s="291"/>
      <c r="DY99" s="107"/>
      <c r="DZ99" s="107"/>
      <c r="EA99" s="107"/>
      <c r="EB99" s="292"/>
      <c r="EC99" s="291"/>
      <c r="ED99" s="107"/>
      <c r="EE99" s="107"/>
      <c r="EF99" s="107"/>
      <c r="EG99" s="292"/>
      <c r="EH99" s="291"/>
      <c r="EI99" s="107"/>
      <c r="EJ99" s="107"/>
      <c r="EK99" s="107"/>
      <c r="EL99" s="292"/>
      <c r="EM99" s="291"/>
      <c r="EN99" s="107"/>
      <c r="EO99" s="107"/>
      <c r="EP99" s="107"/>
      <c r="EQ99" s="292"/>
      <c r="ER99" s="291"/>
      <c r="ES99" s="1533">
        <f>(ES98+ES102)/EN89-1</f>
      </c>
      <c r="ET99" s="107"/>
      <c r="EU99" s="107"/>
      <c r="EV99" s="292"/>
      <c r="EW99" s="291"/>
      <c r="EX99" s="107"/>
      <c r="EY99" s="468"/>
      <c r="EZ99" s="107"/>
      <c r="FA99" s="292"/>
      <c r="FB99" s="291"/>
      <c r="FC99" s="107"/>
      <c r="FD99" s="107"/>
      <c r="FE99" s="107"/>
      <c r="FF99" s="292"/>
      <c r="FG99" s="291"/>
      <c r="FH99" s="107"/>
      <c r="FI99" s="107"/>
      <c r="FJ99" s="107"/>
      <c r="FK99" s="292"/>
      <c r="FL99" s="291"/>
      <c r="FM99" s="107"/>
      <c r="FN99" s="107"/>
      <c r="FO99" s="107"/>
      <c r="FP99" s="292"/>
      <c r="FQ99" s="291"/>
      <c r="FR99" s="107"/>
      <c r="FS99" s="107"/>
      <c r="FT99" s="107"/>
      <c r="FU99" s="292"/>
      <c r="FV99" s="291"/>
      <c r="FW99" s="107"/>
      <c r="FX99" s="107"/>
      <c r="FY99" s="107"/>
      <c r="FZ99" s="292"/>
      <c r="GA99" s="291"/>
      <c r="GB99" s="107"/>
      <c r="GC99" s="107"/>
      <c r="GD99" s="107"/>
      <c r="GE99" s="292"/>
      <c r="GF99" s="291"/>
      <c r="GG99" s="107"/>
      <c r="GH99" s="107"/>
      <c r="GI99" s="107"/>
      <c r="GJ99" s="384"/>
    </row>
    <row r="100" spans="1:192" ht="12.75" hidden="1" customHeight="1" outlineLevel="1">
      <c r="B100" s="736" t="s">
        <v>36</v>
      </c>
      <c r="C100" s="291"/>
      <c r="D100" s="107"/>
      <c r="E100" s="107"/>
      <c r="F100" s="107"/>
      <c r="G100" s="293"/>
      <c r="H100" s="291"/>
      <c r="I100" s="107"/>
      <c r="J100" s="107"/>
      <c r="K100" s="107"/>
      <c r="L100" s="293"/>
      <c r="M100" s="291"/>
      <c r="N100" s="107"/>
      <c r="O100" s="107"/>
      <c r="P100" s="107"/>
      <c r="Q100" s="293"/>
      <c r="R100" s="291"/>
      <c r="S100" s="107"/>
      <c r="T100" s="107"/>
      <c r="U100" s="107"/>
      <c r="V100" s="293"/>
      <c r="W100" s="291"/>
      <c r="X100" s="107"/>
      <c r="Y100" s="107"/>
      <c r="Z100" s="107"/>
      <c r="AA100" s="293"/>
      <c r="AB100" s="291"/>
      <c r="AC100" s="107"/>
      <c r="AD100" s="107"/>
      <c r="AE100" s="107"/>
      <c r="AF100" s="293"/>
      <c r="AG100" s="291"/>
      <c r="AH100" s="107"/>
      <c r="AI100" s="107"/>
      <c r="AJ100" s="107"/>
      <c r="AK100" s="293"/>
      <c r="AL100" s="291"/>
      <c r="AM100" s="107"/>
      <c r="AN100" s="107"/>
      <c r="AO100" s="107"/>
      <c r="AP100" s="293"/>
      <c r="AQ100" s="291"/>
      <c r="AR100" s="107"/>
      <c r="AS100" s="107"/>
      <c r="AT100" s="107"/>
      <c r="AU100" s="293"/>
      <c r="AV100" s="291"/>
      <c r="AW100" s="107"/>
      <c r="AX100" s="107"/>
      <c r="AY100" s="107"/>
      <c r="AZ100" s="293"/>
      <c r="BA100" s="291"/>
      <c r="BB100" s="107"/>
      <c r="BC100" s="107"/>
      <c r="BD100" s="107"/>
      <c r="BE100" s="293"/>
      <c r="BF100" s="291"/>
      <c r="BG100" s="107"/>
      <c r="BH100" s="107"/>
      <c r="BI100" s="107"/>
      <c r="BJ100" s="293"/>
      <c r="BK100" s="291"/>
      <c r="BL100" s="107"/>
      <c r="BM100" s="107"/>
      <c r="BN100" s="107"/>
      <c r="BO100" s="293"/>
      <c r="BP100" s="291"/>
      <c r="BQ100" s="107"/>
      <c r="BR100" s="107"/>
      <c r="BS100" s="107"/>
      <c r="BT100" s="293"/>
      <c r="BU100" s="291"/>
      <c r="BV100" s="107"/>
      <c r="BW100" s="107"/>
      <c r="BX100" s="107"/>
      <c r="BY100" s="293"/>
      <c r="BZ100" s="291"/>
      <c r="CA100" s="107"/>
      <c r="CB100" s="107"/>
      <c r="CC100" s="107"/>
      <c r="CD100" s="293"/>
      <c r="CE100" s="291"/>
      <c r="CF100" s="107"/>
      <c r="CG100" s="107"/>
      <c r="CH100" s="107"/>
      <c r="CI100" s="293"/>
      <c r="CJ100" s="291"/>
      <c r="CK100" s="107"/>
      <c r="CL100" s="107"/>
      <c r="CM100" s="107"/>
      <c r="CN100" s="293"/>
      <c r="CO100" s="291"/>
      <c r="CP100" s="107"/>
      <c r="CQ100" s="107"/>
      <c r="CR100" s="107"/>
      <c r="CS100" s="293"/>
      <c r="CT100" s="291"/>
      <c r="CU100" s="107"/>
      <c r="CV100" s="107"/>
      <c r="CW100" s="107"/>
      <c r="CX100" s="293"/>
      <c r="CY100" s="291"/>
      <c r="CZ100" s="107"/>
      <c r="DA100" s="107"/>
      <c r="DB100" s="107"/>
      <c r="DC100" s="293"/>
      <c r="DD100" s="291"/>
      <c r="DE100" s="107"/>
      <c r="DF100" s="107"/>
      <c r="DG100" s="107"/>
      <c r="DH100" s="293"/>
      <c r="DI100" s="291"/>
      <c r="DJ100" s="107"/>
      <c r="DK100" s="107"/>
      <c r="DL100" s="107"/>
      <c r="DM100" s="293"/>
      <c r="DN100" s="291"/>
      <c r="DO100" s="107"/>
      <c r="DP100" s="107"/>
      <c r="DQ100" s="107"/>
      <c r="DR100" s="293"/>
      <c r="DS100" s="291"/>
      <c r="DT100" s="107"/>
      <c r="DU100" s="107"/>
      <c r="DV100" s="107"/>
      <c r="DW100" s="293"/>
      <c r="DX100" s="291"/>
      <c r="DY100" s="107"/>
      <c r="DZ100" s="107"/>
      <c r="EA100" s="107"/>
      <c r="EB100" s="293"/>
      <c r="EC100" s="291"/>
      <c r="ED100" s="107"/>
      <c r="EE100" s="107"/>
      <c r="EF100" s="107"/>
      <c r="EG100" s="293"/>
      <c r="EH100" s="291"/>
      <c r="EI100" s="107"/>
      <c r="EJ100" s="107"/>
      <c r="EK100" s="107"/>
      <c r="EL100" s="293"/>
      <c r="EM100" s="291"/>
      <c r="EN100" s="107"/>
      <c r="EO100" s="107"/>
      <c r="EP100" s="107"/>
      <c r="EQ100" s="293"/>
      <c r="ER100" s="291"/>
      <c r="ES100" s="107"/>
      <c r="ET100" s="107"/>
      <c r="EU100" s="107"/>
      <c r="EV100" s="293"/>
      <c r="EW100" s="291"/>
      <c r="EX100" s="107"/>
      <c r="EY100" s="107"/>
      <c r="EZ100" s="107"/>
      <c r="FA100" s="293"/>
      <c r="FB100" s="291"/>
      <c r="FC100" s="107"/>
      <c r="FD100" s="107"/>
      <c r="FE100" s="107"/>
      <c r="FF100" s="293"/>
      <c r="FG100" s="291"/>
      <c r="FH100" s="107"/>
      <c r="FI100" s="107"/>
      <c r="FJ100" s="107"/>
      <c r="FK100" s="293"/>
      <c r="FL100" s="291"/>
      <c r="FM100" s="107"/>
      <c r="FN100" s="107"/>
      <c r="FO100" s="107"/>
      <c r="FP100" s="293"/>
      <c r="FQ100" s="291"/>
      <c r="FR100" s="107"/>
      <c r="FS100" s="107"/>
      <c r="FT100" s="107"/>
      <c r="FU100" s="293"/>
      <c r="FV100" s="291"/>
      <c r="FW100" s="107"/>
      <c r="FX100" s="107"/>
      <c r="FY100" s="107"/>
      <c r="FZ100" s="293"/>
      <c r="GA100" s="291"/>
      <c r="GB100" s="107"/>
      <c r="GC100" s="107"/>
      <c r="GD100" s="107"/>
      <c r="GE100" s="293"/>
      <c r="GF100" s="291"/>
      <c r="GG100" s="107"/>
      <c r="GH100" s="107"/>
      <c r="GI100" s="107"/>
      <c r="GJ100" s="382"/>
    </row>
    <row r="101" spans="1:192" ht="12.75" hidden="1" customHeight="1" outlineLevel="1">
      <c r="A101" s="1644"/>
      <c r="B101" s="751"/>
      <c r="C101" s="107"/>
      <c r="D101" s="107"/>
      <c r="E101" s="107"/>
      <c r="F101" s="107"/>
      <c r="G101" s="292"/>
      <c r="H101" s="107"/>
      <c r="I101" s="107"/>
      <c r="J101" s="107"/>
      <c r="K101" s="107"/>
      <c r="L101" s="292"/>
      <c r="M101" s="107"/>
      <c r="N101" s="107"/>
      <c r="O101" s="107"/>
      <c r="P101" s="107"/>
      <c r="Q101" s="292"/>
      <c r="R101" s="107"/>
      <c r="S101" s="107"/>
      <c r="T101" s="107"/>
      <c r="U101" s="107"/>
      <c r="V101" s="292"/>
      <c r="W101" s="107"/>
      <c r="X101" s="107"/>
      <c r="Y101" s="107"/>
      <c r="Z101" s="107"/>
      <c r="AA101" s="292"/>
      <c r="AB101" s="107"/>
      <c r="AC101" s="107"/>
      <c r="AD101" s="107"/>
      <c r="AE101" s="107"/>
      <c r="AF101" s="292"/>
      <c r="AG101" s="107"/>
      <c r="AH101" s="107"/>
      <c r="AI101" s="107"/>
      <c r="AJ101" s="107"/>
      <c r="AK101" s="292"/>
      <c r="AL101" s="107"/>
      <c r="AM101" s="107"/>
      <c r="AN101" s="107"/>
      <c r="AO101" s="107"/>
      <c r="AP101" s="292"/>
      <c r="AQ101" s="107"/>
      <c r="AR101" s="107"/>
      <c r="AS101" s="107"/>
      <c r="AT101" s="107"/>
      <c r="AU101" s="292"/>
      <c r="AV101" s="107"/>
      <c r="AW101" s="107"/>
      <c r="AX101" s="107"/>
      <c r="AY101" s="107"/>
      <c r="AZ101" s="292"/>
      <c r="BA101" s="107"/>
      <c r="BB101" s="107"/>
      <c r="BC101" s="107"/>
      <c r="BD101" s="107"/>
      <c r="BE101" s="292"/>
      <c r="BF101" s="107"/>
      <c r="BG101" s="107"/>
      <c r="BH101" s="107"/>
      <c r="BI101" s="107"/>
      <c r="BJ101" s="292"/>
      <c r="BK101" s="107"/>
      <c r="BL101" s="107"/>
      <c r="BM101" s="107"/>
      <c r="BN101" s="107"/>
      <c r="BO101" s="292"/>
      <c r="BP101" s="107"/>
      <c r="BQ101" s="107"/>
      <c r="BR101" s="107"/>
      <c r="BS101" s="107"/>
      <c r="BT101" s="292"/>
      <c r="BU101" s="107"/>
      <c r="BV101" s="107"/>
      <c r="BW101" s="107"/>
      <c r="BX101" s="107"/>
      <c r="BY101" s="292"/>
      <c r="BZ101" s="107"/>
      <c r="CA101" s="107"/>
      <c r="CB101" s="107"/>
      <c r="CC101" s="107"/>
      <c r="CD101" s="292"/>
      <c r="CE101" s="107"/>
      <c r="CF101" s="107"/>
      <c r="CG101" s="107"/>
      <c r="CH101" s="107"/>
      <c r="CI101" s="292"/>
      <c r="CJ101" s="107"/>
      <c r="CK101" s="107"/>
      <c r="CL101" s="107"/>
      <c r="CM101" s="107"/>
      <c r="CN101" s="292"/>
      <c r="CO101" s="107"/>
      <c r="CP101" s="107"/>
      <c r="CQ101" s="107"/>
      <c r="CR101" s="107"/>
      <c r="CS101" s="292"/>
      <c r="CT101" s="107"/>
      <c r="CU101" s="107"/>
      <c r="CV101" s="107"/>
      <c r="CW101" s="107"/>
      <c r="CX101" s="292"/>
      <c r="CY101" s="107"/>
      <c r="CZ101" s="107"/>
      <c r="DA101" s="107"/>
      <c r="DB101" s="107"/>
      <c r="DC101" s="292"/>
      <c r="DD101" s="107"/>
      <c r="DE101" s="107"/>
      <c r="DF101" s="107"/>
      <c r="DG101" s="107"/>
      <c r="DH101" s="292"/>
      <c r="DI101" s="107"/>
      <c r="DJ101" s="107"/>
      <c r="DK101" s="107"/>
      <c r="DL101" s="107"/>
      <c r="DM101" s="292"/>
      <c r="DN101" s="107"/>
      <c r="DO101" s="107"/>
      <c r="DP101" s="107"/>
      <c r="DQ101" s="107"/>
      <c r="DR101" s="292"/>
      <c r="DS101" s="107"/>
      <c r="DT101" s="107"/>
      <c r="DU101" s="107"/>
      <c r="DV101" s="107"/>
      <c r="DW101" s="292"/>
      <c r="DX101" s="107"/>
      <c r="DY101" s="107"/>
      <c r="DZ101" s="107"/>
      <c r="EA101" s="107"/>
      <c r="EB101" s="292"/>
      <c r="EC101" s="107"/>
      <c r="ED101" s="107"/>
      <c r="EE101" s="107"/>
      <c r="EF101" s="107"/>
      <c r="EG101" s="292"/>
      <c r="EH101" s="107"/>
      <c r="EI101" s="107"/>
      <c r="EJ101" s="107"/>
      <c r="EK101" s="107"/>
      <c r="EL101" s="292"/>
      <c r="EM101" s="107"/>
      <c r="EN101" s="107"/>
      <c r="EO101" s="107"/>
      <c r="EP101" s="107"/>
      <c r="EQ101" s="292"/>
      <c r="ER101" s="107"/>
      <c r="ES101" s="107"/>
      <c r="ET101" s="107"/>
      <c r="EU101" s="107"/>
      <c r="EV101" s="292"/>
      <c r="EW101" s="107"/>
      <c r="EX101" s="107"/>
      <c r="EY101" s="107"/>
      <c r="EZ101" s="107"/>
      <c r="FA101" s="292"/>
      <c r="FB101" s="107"/>
      <c r="FC101" s="107"/>
      <c r="FD101" s="107"/>
      <c r="FE101" s="107"/>
      <c r="FF101" s="292"/>
      <c r="FG101" s="107"/>
      <c r="FH101" s="107"/>
      <c r="FI101" s="107"/>
      <c r="FJ101" s="107"/>
      <c r="FK101" s="292"/>
      <c r="FL101" s="107"/>
      <c r="FM101" s="107"/>
      <c r="FN101" s="107"/>
      <c r="FO101" s="107"/>
      <c r="FP101" s="292"/>
      <c r="FQ101" s="107"/>
      <c r="FR101" s="107"/>
      <c r="FS101" s="107"/>
      <c r="FT101" s="107"/>
      <c r="FU101" s="292"/>
      <c r="FV101" s="107"/>
      <c r="FW101" s="107"/>
      <c r="FX101" s="107"/>
      <c r="FY101" s="107"/>
      <c r="FZ101" s="292"/>
      <c r="GA101" s="107"/>
      <c r="GB101" s="107"/>
      <c r="GC101" s="107"/>
      <c r="GD101" s="107"/>
      <c r="GE101" s="292"/>
      <c r="GF101" s="107"/>
      <c r="GG101" s="107"/>
      <c r="GH101" s="107"/>
      <c r="GI101" s="107"/>
      <c r="GJ101" s="384"/>
    </row>
    <row r="102" spans="1:192" ht="12.75" hidden="1" customHeight="1" outlineLevel="1">
      <c r="A102" s="1643"/>
      <c r="B102" s="1525" t="s">
        <v>232</v>
      </c>
      <c r="C102" s="399"/>
      <c r="D102" s="129"/>
      <c r="E102" s="129"/>
      <c r="F102" s="129"/>
      <c r="G102" s="400"/>
      <c r="H102" s="399"/>
      <c r="I102" s="129"/>
      <c r="J102" s="129"/>
      <c r="K102" s="129"/>
      <c r="L102" s="400"/>
      <c r="M102" s="399"/>
      <c r="N102" s="129"/>
      <c r="O102" s="129"/>
      <c r="P102" s="129"/>
      <c r="Q102" s="400"/>
      <c r="R102" s="399"/>
      <c r="S102" s="129"/>
      <c r="T102" s="129"/>
      <c r="U102" s="129"/>
      <c r="V102" s="400"/>
      <c r="W102" s="399"/>
      <c r="X102" s="129"/>
      <c r="Y102" s="129"/>
      <c r="Z102" s="129"/>
      <c r="AA102" s="400"/>
      <c r="AB102" s="399"/>
      <c r="AC102" s="129"/>
      <c r="AD102" s="129"/>
      <c r="AE102" s="129"/>
      <c r="AF102" s="400"/>
      <c r="AG102" s="399"/>
      <c r="AH102" s="129"/>
      <c r="AI102" s="129"/>
      <c r="AJ102" s="129"/>
      <c r="AK102" s="400"/>
      <c r="AL102" s="399"/>
      <c r="AM102" s="129"/>
      <c r="AN102" s="129"/>
      <c r="AO102" s="129"/>
      <c r="AP102" s="400"/>
      <c r="AQ102" s="399"/>
      <c r="AR102" s="129"/>
      <c r="AS102" s="129"/>
      <c r="AT102" s="129"/>
      <c r="AU102" s="400"/>
      <c r="AV102" s="399"/>
      <c r="AW102" s="129"/>
      <c r="AX102" s="129"/>
      <c r="AY102" s="129"/>
      <c r="AZ102" s="400"/>
      <c r="BA102" s="399"/>
      <c r="BB102" s="129"/>
      <c r="BC102" s="129"/>
      <c r="BD102" s="129"/>
      <c r="BE102" s="400"/>
      <c r="BF102" s="399"/>
      <c r="BG102" s="129"/>
      <c r="BH102" s="129"/>
      <c r="BI102" s="129"/>
      <c r="BJ102" s="400"/>
      <c r="BK102" s="399"/>
      <c r="BL102" s="129"/>
      <c r="BM102" s="129"/>
      <c r="BN102" s="129"/>
      <c r="BO102" s="400"/>
      <c r="BP102" s="399"/>
      <c r="BQ102" s="129"/>
      <c r="BR102" s="129"/>
      <c r="BS102" s="129"/>
      <c r="BT102" s="400"/>
      <c r="BU102" s="399"/>
      <c r="BV102" s="129"/>
      <c r="BW102" s="129"/>
      <c r="BX102" s="129"/>
      <c r="BY102" s="400"/>
      <c r="BZ102" s="399"/>
      <c r="CA102" s="129"/>
      <c r="CB102" s="129"/>
      <c r="CC102" s="129"/>
      <c r="CD102" s="400"/>
      <c r="CE102" s="399"/>
      <c r="CF102" s="129"/>
      <c r="CG102" s="129"/>
      <c r="CH102" s="129"/>
      <c r="CI102" s="400"/>
      <c r="CJ102" s="399"/>
      <c r="CK102" s="129"/>
      <c r="CL102" s="129"/>
      <c r="CM102" s="129"/>
      <c r="CN102" s="400"/>
      <c r="CO102" s="399"/>
      <c r="CP102" s="129"/>
      <c r="CQ102" s="129"/>
      <c r="CR102" s="129"/>
      <c r="CS102" s="400"/>
      <c r="CT102" s="399"/>
      <c r="CU102" s="129"/>
      <c r="CV102" s="129"/>
      <c r="CW102" s="129"/>
      <c r="CX102" s="400"/>
      <c r="CY102" s="399"/>
      <c r="CZ102" s="129"/>
      <c r="DA102" s="129"/>
      <c r="DB102" s="129"/>
      <c r="DC102" s="400"/>
      <c r="DD102" s="399"/>
      <c r="DE102" s="129"/>
      <c r="DF102" s="129"/>
      <c r="DG102" s="129"/>
      <c r="DH102" s="400"/>
      <c r="DI102" s="399"/>
      <c r="DJ102" s="129"/>
      <c r="DK102" s="129"/>
      <c r="DL102" s="129"/>
      <c r="DM102" s="400"/>
      <c r="DN102" s="399"/>
      <c r="DO102" s="129"/>
      <c r="DP102" s="129"/>
      <c r="DQ102" s="129"/>
      <c r="DR102" s="400"/>
      <c r="DS102" s="399"/>
      <c r="DT102" s="129"/>
      <c r="DU102" s="129"/>
      <c r="DV102" s="129"/>
      <c r="DW102" s="400"/>
      <c r="DX102" s="399"/>
      <c r="DY102" s="129"/>
      <c r="DZ102" s="129"/>
      <c r="EA102" s="129"/>
      <c r="EB102" s="400"/>
      <c r="EC102" s="399"/>
      <c r="ED102" s="129"/>
      <c r="EE102" s="129"/>
      <c r="EF102" s="129"/>
      <c r="EG102" s="400"/>
      <c r="EH102" s="399"/>
      <c r="EI102" s="129"/>
      <c r="EJ102" s="129"/>
      <c r="EK102" s="129"/>
      <c r="EL102" s="400"/>
      <c r="EM102" s="500">
        <f>EM89-EM98</f>
      </c>
      <c r="EN102" s="500">
        <f>EN89-EN98</f>
      </c>
      <c r="EO102" s="500">
        <f>EO89-EO98</f>
      </c>
      <c r="EP102" s="500">
        <f>EP89-EP98</f>
      </c>
      <c r="EQ102" s="1527">
        <f>SUM(EM102:EP102)</f>
      </c>
      <c r="ER102" s="500">
        <f>ER89-ER98</f>
      </c>
      <c r="ES102" s="500">
        <f>ES89-ES98</f>
      </c>
      <c r="ET102" s="500">
        <f>ET89-ET98</f>
      </c>
      <c r="EU102" s="500">
        <f>EU89-EU98</f>
      </c>
      <c r="EV102" s="1527">
        <f>SUM(ER102:EU102)</f>
      </c>
      <c r="EW102" s="500">
        <f>EW89-EW98</f>
      </c>
      <c r="EX102" s="500">
        <f>EX89-EX98</f>
      </c>
      <c r="EY102" s="500">
        <f>EY89-EY98</f>
      </c>
      <c r="EZ102" s="500">
        <f>EZ89-EZ98</f>
      </c>
      <c r="FA102" s="1527">
        <f>SUM(EW102:EZ102)</f>
      </c>
      <c r="FB102" s="399"/>
      <c r="FC102" s="129"/>
      <c r="FD102" s="129"/>
      <c r="FE102" s="129"/>
      <c r="FF102" s="400"/>
      <c r="FG102" s="399"/>
      <c r="FH102" s="129"/>
      <c r="FI102" s="129"/>
      <c r="FJ102" s="129"/>
      <c r="FK102" s="400"/>
      <c r="FL102" s="399"/>
      <c r="FM102" s="129"/>
      <c r="FN102" s="129"/>
      <c r="FO102" s="129"/>
      <c r="FP102" s="400"/>
      <c r="FQ102" s="399"/>
      <c r="FR102" s="129"/>
      <c r="FS102" s="129"/>
      <c r="FT102" s="129"/>
      <c r="FU102" s="400"/>
      <c r="FV102" s="399"/>
      <c r="FW102" s="129"/>
      <c r="FX102" s="129"/>
      <c r="FY102" s="129"/>
      <c r="FZ102" s="400"/>
      <c r="GA102" s="399"/>
      <c r="GB102" s="129"/>
      <c r="GC102" s="129"/>
      <c r="GD102" s="129"/>
      <c r="GE102" s="400"/>
      <c r="GF102" s="399"/>
      <c r="GG102" s="129"/>
      <c r="GH102" s="129"/>
      <c r="GI102" s="129"/>
      <c r="GJ102" s="401"/>
    </row>
    <row r="103" spans="1:192" ht="12.75" hidden="1" customHeight="1" outlineLevel="1">
      <c r="A103" s="1643"/>
      <c r="B103" s="1526" t="s">
        <v>34</v>
      </c>
      <c r="C103" s="291"/>
      <c r="D103" s="107"/>
      <c r="E103" s="107"/>
      <c r="F103" s="107"/>
      <c r="G103" s="292"/>
      <c r="H103" s="291"/>
      <c r="I103" s="107"/>
      <c r="J103" s="107"/>
      <c r="K103" s="107"/>
      <c r="L103" s="292"/>
      <c r="M103" s="291"/>
      <c r="N103" s="107"/>
      <c r="O103" s="107"/>
      <c r="P103" s="107"/>
      <c r="Q103" s="292"/>
      <c r="R103" s="291"/>
      <c r="S103" s="107"/>
      <c r="T103" s="107"/>
      <c r="U103" s="107"/>
      <c r="V103" s="292"/>
      <c r="W103" s="291"/>
      <c r="X103" s="107"/>
      <c r="Y103" s="107"/>
      <c r="Z103" s="107"/>
      <c r="AA103" s="292"/>
      <c r="AB103" s="291"/>
      <c r="AC103" s="107"/>
      <c r="AD103" s="107"/>
      <c r="AE103" s="107"/>
      <c r="AF103" s="292"/>
      <c r="AG103" s="291"/>
      <c r="AH103" s="107"/>
      <c r="AI103" s="107"/>
      <c r="AJ103" s="107"/>
      <c r="AK103" s="292"/>
      <c r="AL103" s="291"/>
      <c r="AM103" s="107"/>
      <c r="AN103" s="107"/>
      <c r="AO103" s="107"/>
      <c r="AP103" s="292"/>
      <c r="AQ103" s="291"/>
      <c r="AR103" s="107"/>
      <c r="AS103" s="107"/>
      <c r="AT103" s="107"/>
      <c r="AU103" s="292"/>
      <c r="AV103" s="291"/>
      <c r="AW103" s="107"/>
      <c r="AX103" s="107"/>
      <c r="AY103" s="107"/>
      <c r="AZ103" s="292"/>
      <c r="BA103" s="291"/>
      <c r="BB103" s="107"/>
      <c r="BC103" s="107"/>
      <c r="BD103" s="107"/>
      <c r="BE103" s="292"/>
      <c r="BF103" s="291"/>
      <c r="BG103" s="107"/>
      <c r="BH103" s="107"/>
      <c r="BI103" s="107"/>
      <c r="BJ103" s="292"/>
      <c r="BK103" s="291"/>
      <c r="BL103" s="107"/>
      <c r="BM103" s="107"/>
      <c r="BN103" s="107"/>
      <c r="BO103" s="292"/>
      <c r="BP103" s="291"/>
      <c r="BQ103" s="107"/>
      <c r="BR103" s="107"/>
      <c r="BS103" s="107"/>
      <c r="BT103" s="292"/>
      <c r="BU103" s="291"/>
      <c r="BV103" s="107"/>
      <c r="BW103" s="107"/>
      <c r="BX103" s="107"/>
      <c r="BY103" s="292"/>
      <c r="BZ103" s="291"/>
      <c r="CA103" s="107"/>
      <c r="CB103" s="107"/>
      <c r="CC103" s="107"/>
      <c r="CD103" s="292"/>
      <c r="CE103" s="291"/>
      <c r="CF103" s="107"/>
      <c r="CG103" s="107"/>
      <c r="CH103" s="107"/>
      <c r="CI103" s="292"/>
      <c r="CJ103" s="291"/>
      <c r="CK103" s="107"/>
      <c r="CL103" s="107"/>
      <c r="CM103" s="107"/>
      <c r="CN103" s="292"/>
      <c r="CO103" s="291"/>
      <c r="CP103" s="107"/>
      <c r="CQ103" s="107"/>
      <c r="CR103" s="107"/>
      <c r="CS103" s="292"/>
      <c r="CT103" s="291"/>
      <c r="CU103" s="107"/>
      <c r="CV103" s="107"/>
      <c r="CW103" s="107"/>
      <c r="CX103" s="292"/>
      <c r="CY103" s="291"/>
      <c r="CZ103" s="107"/>
      <c r="DA103" s="107"/>
      <c r="DB103" s="107"/>
      <c r="DC103" s="292"/>
      <c r="DD103" s="291"/>
      <c r="DE103" s="107"/>
      <c r="DF103" s="107"/>
      <c r="DG103" s="107"/>
      <c r="DH103" s="292"/>
      <c r="DI103" s="291"/>
      <c r="DJ103" s="107"/>
      <c r="DK103" s="107"/>
      <c r="DL103" s="107"/>
      <c r="DM103" s="292"/>
      <c r="DN103" s="291"/>
      <c r="DO103" s="107"/>
      <c r="DP103" s="107"/>
      <c r="DQ103" s="107"/>
      <c r="DR103" s="292"/>
      <c r="DS103" s="291"/>
      <c r="DT103" s="107"/>
      <c r="DU103" s="107"/>
      <c r="DV103" s="107"/>
      <c r="DW103" s="292"/>
      <c r="DX103" s="291"/>
      <c r="DY103" s="107"/>
      <c r="DZ103" s="107"/>
      <c r="EA103" s="107"/>
      <c r="EB103" s="292"/>
      <c r="EC103" s="291"/>
      <c r="ED103" s="107"/>
      <c r="EE103" s="107"/>
      <c r="EF103" s="107"/>
      <c r="EG103" s="292"/>
      <c r="EH103" s="291"/>
      <c r="EI103" s="107"/>
      <c r="EJ103" s="107"/>
      <c r="EK103" s="107"/>
      <c r="EL103" s="292"/>
      <c r="EM103" s="291"/>
      <c r="EN103" s="107"/>
      <c r="EO103" s="107"/>
      <c r="EP103" s="107"/>
      <c r="EQ103" s="292"/>
      <c r="ER103" s="107">
        <f t="shared" ref="ER103:EY103" si="71">ER102/EM102-1</f>
      </c>
      <c r="ES103" s="107">
        <f t="shared" si="71"/>
      </c>
      <c r="ET103" s="107">
        <f t="shared" si="71"/>
      </c>
      <c r="EU103" s="107">
        <f t="shared" si="71"/>
      </c>
      <c r="EV103" s="292">
        <f t="shared" si="71"/>
      </c>
      <c r="EW103" s="107">
        <f t="shared" si="71"/>
      </c>
      <c r="EX103" s="107">
        <f t="shared" si="71"/>
      </c>
      <c r="EY103" s="107">
        <f t="shared" si="71"/>
      </c>
      <c r="EZ103" s="107">
        <f>EZ90</f>
      </c>
      <c r="FA103" s="292">
        <f>FA102/EV89-1</f>
      </c>
      <c r="FB103" s="291"/>
      <c r="FC103" s="107"/>
      <c r="FD103" s="107"/>
      <c r="FE103" s="107"/>
      <c r="FF103" s="292"/>
      <c r="FG103" s="291"/>
      <c r="FH103" s="107"/>
      <c r="FI103" s="107"/>
      <c r="FJ103" s="107"/>
      <c r="FK103" s="292"/>
      <c r="FL103" s="291"/>
      <c r="FM103" s="107"/>
      <c r="FN103" s="107"/>
      <c r="FO103" s="107"/>
      <c r="FP103" s="292"/>
      <c r="FQ103" s="291"/>
      <c r="FR103" s="107"/>
      <c r="FS103" s="107"/>
      <c r="FT103" s="107"/>
      <c r="FU103" s="292"/>
      <c r="FV103" s="291"/>
      <c r="FW103" s="107"/>
      <c r="FX103" s="107"/>
      <c r="FY103" s="107"/>
      <c r="FZ103" s="292"/>
      <c r="GA103" s="291"/>
      <c r="GB103" s="107"/>
      <c r="GC103" s="107"/>
      <c r="GD103" s="107"/>
      <c r="GE103" s="292"/>
      <c r="GF103" s="291"/>
      <c r="GG103" s="107"/>
      <c r="GH103" s="107"/>
      <c r="GI103" s="107"/>
      <c r="GJ103" s="384"/>
    </row>
    <row r="104" spans="1:192" ht="12.75" hidden="1" customHeight="1" outlineLevel="1">
      <c r="B104" s="736" t="s">
        <v>36</v>
      </c>
      <c r="C104" s="291"/>
      <c r="D104" s="107"/>
      <c r="E104" s="107"/>
      <c r="F104" s="107"/>
      <c r="G104" s="293"/>
      <c r="H104" s="291"/>
      <c r="I104" s="107"/>
      <c r="J104" s="107"/>
      <c r="K104" s="107"/>
      <c r="L104" s="293"/>
      <c r="M104" s="291"/>
      <c r="N104" s="107"/>
      <c r="O104" s="107"/>
      <c r="P104" s="107"/>
      <c r="Q104" s="293"/>
      <c r="R104" s="291"/>
      <c r="S104" s="107"/>
      <c r="T104" s="107"/>
      <c r="U104" s="107"/>
      <c r="V104" s="293"/>
      <c r="W104" s="291"/>
      <c r="X104" s="107"/>
      <c r="Y104" s="107"/>
      <c r="Z104" s="107"/>
      <c r="AA104" s="293"/>
      <c r="AB104" s="291"/>
      <c r="AC104" s="107"/>
      <c r="AD104" s="107"/>
      <c r="AE104" s="107"/>
      <c r="AF104" s="293"/>
      <c r="AG104" s="291"/>
      <c r="AH104" s="107"/>
      <c r="AI104" s="107"/>
      <c r="AJ104" s="107"/>
      <c r="AK104" s="293"/>
      <c r="AL104" s="291"/>
      <c r="AM104" s="107"/>
      <c r="AN104" s="107"/>
      <c r="AO104" s="107"/>
      <c r="AP104" s="293"/>
      <c r="AQ104" s="291"/>
      <c r="AR104" s="107"/>
      <c r="AS104" s="107"/>
      <c r="AT104" s="107"/>
      <c r="AU104" s="293"/>
      <c r="AV104" s="291"/>
      <c r="AW104" s="107"/>
      <c r="AX104" s="107"/>
      <c r="AY104" s="107"/>
      <c r="AZ104" s="293"/>
      <c r="BA104" s="291"/>
      <c r="BB104" s="107"/>
      <c r="BC104" s="107"/>
      <c r="BD104" s="107"/>
      <c r="BE104" s="293"/>
      <c r="BF104" s="291"/>
      <c r="BG104" s="107"/>
      <c r="BH104" s="107"/>
      <c r="BI104" s="107"/>
      <c r="BJ104" s="293"/>
      <c r="BK104" s="291"/>
      <c r="BL104" s="107"/>
      <c r="BM104" s="107"/>
      <c r="BN104" s="107"/>
      <c r="BO104" s="293"/>
      <c r="BP104" s="291"/>
      <c r="BQ104" s="107"/>
      <c r="BR104" s="107"/>
      <c r="BS104" s="107"/>
      <c r="BT104" s="293"/>
      <c r="BU104" s="291"/>
      <c r="BV104" s="107"/>
      <c r="BW104" s="107"/>
      <c r="BX104" s="107"/>
      <c r="BY104" s="293"/>
      <c r="BZ104" s="291"/>
      <c r="CA104" s="107"/>
      <c r="CB104" s="107"/>
      <c r="CC104" s="107"/>
      <c r="CD104" s="293"/>
      <c r="CE104" s="291"/>
      <c r="CF104" s="107"/>
      <c r="CG104" s="107"/>
      <c r="CH104" s="107"/>
      <c r="CI104" s="293"/>
      <c r="CJ104" s="291"/>
      <c r="CK104" s="107"/>
      <c r="CL104" s="107"/>
      <c r="CM104" s="107"/>
      <c r="CN104" s="293"/>
      <c r="CO104" s="291"/>
      <c r="CP104" s="107"/>
      <c r="CQ104" s="107"/>
      <c r="CR104" s="107"/>
      <c r="CS104" s="293"/>
      <c r="CT104" s="291"/>
      <c r="CU104" s="107"/>
      <c r="CV104" s="107"/>
      <c r="CW104" s="107"/>
      <c r="CX104" s="293"/>
      <c r="CY104" s="291"/>
      <c r="CZ104" s="107"/>
      <c r="DA104" s="107"/>
      <c r="DB104" s="107"/>
      <c r="DC104" s="293"/>
      <c r="DD104" s="291"/>
      <c r="DE104" s="107"/>
      <c r="DF104" s="107"/>
      <c r="DG104" s="107"/>
      <c r="DH104" s="293"/>
      <c r="DI104" s="291"/>
      <c r="DJ104" s="107"/>
      <c r="DK104" s="107"/>
      <c r="DL104" s="107"/>
      <c r="DM104" s="293"/>
      <c r="DN104" s="291"/>
      <c r="DO104" s="107"/>
      <c r="DP104" s="107"/>
      <c r="DQ104" s="107"/>
      <c r="DR104" s="293"/>
      <c r="DS104" s="291"/>
      <c r="DT104" s="107"/>
      <c r="DU104" s="107"/>
      <c r="DV104" s="107"/>
      <c r="DW104" s="293"/>
      <c r="DX104" s="291"/>
      <c r="DY104" s="107"/>
      <c r="DZ104" s="107"/>
      <c r="EA104" s="107"/>
      <c r="EB104" s="293"/>
      <c r="EC104" s="291"/>
      <c r="ED104" s="107"/>
      <c r="EE104" s="107"/>
      <c r="EF104" s="107"/>
      <c r="EG104" s="293"/>
      <c r="EH104" s="291"/>
      <c r="EI104" s="107"/>
      <c r="EJ104" s="107"/>
      <c r="EK104" s="107"/>
      <c r="EL104" s="293"/>
      <c r="EM104" s="291"/>
      <c r="EN104" s="107"/>
      <c r="EO104" s="107"/>
      <c r="EP104" s="107"/>
      <c r="EQ104" s="293"/>
      <c r="ER104" s="291">
        <f>ER102/EP102-1</f>
      </c>
      <c r="ES104" s="107">
        <f>ES102/ER102-1</f>
      </c>
      <c r="ET104" s="291">
        <f>ET102/ES102-1</f>
      </c>
      <c r="EU104" s="107">
        <f>EU102/ET102-1</f>
      </c>
      <c r="EV104" s="293"/>
      <c r="EW104" s="291">
        <f>EW102/EU102-1</f>
      </c>
      <c r="EX104" s="107">
        <f>EX102/EW102-1</f>
      </c>
      <c r="EY104" s="107">
        <f>EY102/EX102-1</f>
      </c>
      <c r="EZ104" s="107">
        <f>EZ102/EY102-1</f>
      </c>
      <c r="FA104" s="293"/>
      <c r="FB104" s="291"/>
      <c r="FC104" s="107"/>
      <c r="FD104" s="107"/>
      <c r="FE104" s="107"/>
      <c r="FF104" s="293"/>
      <c r="FG104" s="291"/>
      <c r="FH104" s="107"/>
      <c r="FI104" s="107"/>
      <c r="FJ104" s="107"/>
      <c r="FK104" s="293"/>
      <c r="FL104" s="291"/>
      <c r="FM104" s="107"/>
      <c r="FN104" s="107"/>
      <c r="FO104" s="107"/>
      <c r="FP104" s="293"/>
      <c r="FQ104" s="291"/>
      <c r="FR104" s="107"/>
      <c r="FS104" s="107"/>
      <c r="FT104" s="107"/>
      <c r="FU104" s="293"/>
      <c r="FV104" s="291"/>
      <c r="FW104" s="107"/>
      <c r="FX104" s="107"/>
      <c r="FY104" s="107"/>
      <c r="FZ104" s="293"/>
      <c r="GA104" s="291"/>
      <c r="GB104" s="107"/>
      <c r="GC104" s="107"/>
      <c r="GD104" s="107"/>
      <c r="GE104" s="293"/>
      <c r="GF104" s="291"/>
      <c r="GG104" s="107"/>
      <c r="GH104" s="107"/>
      <c r="GI104" s="107"/>
      <c r="GJ104" s="382"/>
    </row>
    <row r="105" spans="1:192" s="335" customFormat="1" ht="12.75" hidden="1" customHeight="1" outlineLevel="1">
      <c r="A105" s="1645"/>
      <c r="B105" s="742"/>
      <c r="C105" s="106"/>
      <c r="D105" s="107"/>
      <c r="E105" s="107"/>
      <c r="F105" s="346"/>
      <c r="G105" s="347"/>
      <c r="H105" s="106"/>
      <c r="I105" s="107"/>
      <c r="J105" s="107"/>
      <c r="K105" s="346"/>
      <c r="L105" s="347"/>
      <c r="M105" s="106"/>
      <c r="N105" s="107"/>
      <c r="O105" s="107"/>
      <c r="P105" s="346"/>
      <c r="Q105" s="347"/>
      <c r="R105" s="106"/>
      <c r="S105" s="107"/>
      <c r="T105" s="107"/>
      <c r="U105" s="346"/>
      <c r="V105" s="347"/>
      <c r="W105" s="106"/>
      <c r="X105" s="107"/>
      <c r="Y105" s="107"/>
      <c r="Z105" s="346"/>
      <c r="AA105" s="347"/>
      <c r="AB105" s="106"/>
      <c r="AC105" s="107"/>
      <c r="AD105" s="107"/>
      <c r="AE105" s="346"/>
      <c r="AF105" s="347"/>
      <c r="AG105" s="106"/>
      <c r="AH105" s="107"/>
      <c r="AI105" s="107"/>
      <c r="AJ105" s="346"/>
      <c r="AK105" s="347"/>
      <c r="AL105" s="106"/>
      <c r="AM105" s="107"/>
      <c r="AN105" s="107"/>
      <c r="AO105" s="346"/>
      <c r="AP105" s="347"/>
      <c r="AQ105" s="106"/>
      <c r="AR105" s="107"/>
      <c r="AS105" s="107"/>
      <c r="AT105" s="346"/>
      <c r="AU105" s="347"/>
      <c r="AV105" s="106"/>
      <c r="AW105" s="107"/>
      <c r="AX105" s="107"/>
      <c r="AY105" s="346"/>
      <c r="AZ105" s="347"/>
      <c r="BA105" s="106"/>
      <c r="BB105" s="107"/>
      <c r="BC105" s="107"/>
      <c r="BD105" s="346"/>
      <c r="BE105" s="347"/>
      <c r="BF105" s="106"/>
      <c r="BG105" s="107"/>
      <c r="BH105" s="107"/>
      <c r="BI105" s="346"/>
      <c r="BJ105" s="347"/>
      <c r="BK105" s="106"/>
      <c r="BL105" s="107"/>
      <c r="BM105" s="107"/>
      <c r="BN105" s="346"/>
      <c r="BO105" s="347"/>
      <c r="BP105" s="106"/>
      <c r="BQ105" s="107"/>
      <c r="BR105" s="107"/>
      <c r="BS105" s="346"/>
      <c r="BT105" s="347"/>
      <c r="BU105" s="106"/>
      <c r="BV105" s="107"/>
      <c r="BW105" s="107"/>
      <c r="BX105" s="346"/>
      <c r="BY105" s="347"/>
      <c r="BZ105" s="106"/>
      <c r="CA105" s="107"/>
      <c r="CB105" s="107"/>
      <c r="CC105" s="346"/>
      <c r="CD105" s="347"/>
      <c r="CE105" s="106"/>
      <c r="CF105" s="107"/>
      <c r="CG105" s="107"/>
      <c r="CH105" s="346"/>
      <c r="CI105" s="347"/>
      <c r="CJ105" s="106"/>
      <c r="CK105" s="107"/>
      <c r="CL105" s="107"/>
      <c r="CM105" s="346"/>
      <c r="CN105" s="347"/>
      <c r="CO105" s="106"/>
      <c r="CP105" s="107"/>
      <c r="CQ105" s="107"/>
      <c r="CR105" s="346"/>
      <c r="CS105" s="347"/>
      <c r="CT105" s="106"/>
      <c r="CU105" s="107"/>
      <c r="CV105" s="107"/>
      <c r="CW105" s="346"/>
      <c r="CX105" s="347"/>
      <c r="CY105" s="106"/>
      <c r="CZ105" s="107"/>
      <c r="DA105" s="107"/>
      <c r="DB105" s="346"/>
      <c r="DC105" s="347"/>
      <c r="DD105" s="106"/>
      <c r="DE105" s="107"/>
      <c r="DF105" s="107"/>
      <c r="DG105" s="346"/>
      <c r="DH105" s="347"/>
      <c r="DI105" s="106"/>
      <c r="DJ105" s="107"/>
      <c r="DK105" s="107"/>
      <c r="DL105" s="346"/>
      <c r="DM105" s="347"/>
      <c r="DN105" s="106"/>
      <c r="DO105" s="107"/>
      <c r="DP105" s="107"/>
      <c r="DQ105" s="346"/>
      <c r="DR105" s="347"/>
      <c r="DS105" s="106"/>
      <c r="DT105" s="107"/>
      <c r="DU105" s="107"/>
      <c r="DV105" s="346"/>
      <c r="DW105" s="347"/>
      <c r="DX105" s="106"/>
      <c r="DY105" s="107"/>
      <c r="DZ105" s="107"/>
      <c r="EA105" s="346"/>
      <c r="EB105" s="347"/>
      <c r="EC105" s="106"/>
      <c r="ED105" s="107"/>
      <c r="EE105" s="107"/>
      <c r="EF105" s="346"/>
      <c r="EG105" s="347"/>
      <c r="EH105" s="106"/>
      <c r="EI105" s="107"/>
      <c r="EJ105" s="107"/>
      <c r="EK105" s="346"/>
      <c r="EL105" s="347"/>
      <c r="EM105" s="106"/>
      <c r="EN105" s="107"/>
      <c r="EO105" s="107"/>
      <c r="EP105" s="346"/>
      <c r="EQ105" s="347"/>
      <c r="ER105" s="106"/>
      <c r="ES105" s="107"/>
      <c r="ET105" s="107"/>
      <c r="EU105" s="346"/>
      <c r="EV105" s="347"/>
      <c r="EW105" s="106"/>
      <c r="EX105" s="107"/>
      <c r="EY105" s="107"/>
      <c r="EZ105" s="346"/>
      <c r="FA105" s="347"/>
      <c r="FB105" s="106"/>
      <c r="FC105" s="107"/>
      <c r="FD105" s="107"/>
      <c r="FE105" s="346"/>
      <c r="FF105" s="347"/>
      <c r="FG105" s="106"/>
      <c r="FH105" s="107"/>
      <c r="FI105" s="107"/>
      <c r="FJ105" s="346"/>
      <c r="FK105" s="347"/>
      <c r="FL105" s="106"/>
      <c r="FM105" s="107"/>
      <c r="FN105" s="107"/>
      <c r="FO105" s="346"/>
      <c r="FP105" s="347"/>
      <c r="FQ105" s="106"/>
      <c r="FR105" s="107"/>
      <c r="FS105" s="107"/>
      <c r="FT105" s="346"/>
      <c r="FU105" s="347"/>
      <c r="FV105" s="106"/>
      <c r="FW105" s="107"/>
      <c r="FX105" s="107"/>
      <c r="FY105" s="346"/>
      <c r="FZ105" s="293"/>
      <c r="GA105" s="106"/>
      <c r="GB105" s="107"/>
      <c r="GC105" s="107"/>
      <c r="GD105" s="346"/>
      <c r="GE105" s="293"/>
      <c r="GF105" s="106"/>
      <c r="GG105" s="107"/>
      <c r="GH105" s="107"/>
      <c r="GI105" s="346"/>
      <c r="GJ105" s="392"/>
    </row>
    <row r="106" spans="1:192" s="461" customFormat="1" ht="12.75" customHeight="1" collapsed="1">
      <c r="A106" s="1643"/>
      <c r="B106" s="734" t="s">
        <v>399</v>
      </c>
      <c r="C106" s="443"/>
      <c r="D106" s="471"/>
      <c r="E106" s="471"/>
      <c r="F106" s="471"/>
      <c r="G106" s="516"/>
      <c r="H106" s="443"/>
      <c r="I106" s="471"/>
      <c r="J106" s="471"/>
      <c r="K106" s="471"/>
      <c r="L106" s="516"/>
      <c r="M106" s="443"/>
      <c r="N106" s="471"/>
      <c r="O106" s="471"/>
      <c r="P106" s="471"/>
      <c r="Q106" s="516"/>
      <c r="R106" s="443"/>
      <c r="S106" s="471"/>
      <c r="T106" s="471"/>
      <c r="U106" s="471"/>
      <c r="V106" s="516"/>
      <c r="W106" s="443"/>
      <c r="X106" s="471"/>
      <c r="Y106" s="471"/>
      <c r="Z106" s="471"/>
      <c r="AA106" s="516"/>
      <c r="AB106" s="443"/>
      <c r="AC106" s="471"/>
      <c r="AD106" s="471"/>
      <c r="AE106" s="471"/>
      <c r="AF106" s="516"/>
      <c r="AG106" s="443"/>
      <c r="AH106" s="471"/>
      <c r="AI106" s="471"/>
      <c r="AJ106" s="471"/>
      <c r="AK106" s="516"/>
      <c r="AL106" s="443"/>
      <c r="AM106" s="471"/>
      <c r="AN106" s="471"/>
      <c r="AO106" s="471"/>
      <c r="AP106" s="516"/>
      <c r="AQ106" s="443"/>
      <c r="AR106" s="471"/>
      <c r="AS106" s="471"/>
      <c r="AT106" s="471"/>
      <c r="AU106" s="516"/>
      <c r="AV106" s="443"/>
      <c r="AW106" s="471"/>
      <c r="AX106" s="471"/>
      <c r="AY106" s="471"/>
      <c r="AZ106" s="516"/>
      <c r="BA106" s="443"/>
      <c r="BB106" s="471"/>
      <c r="BC106" s="471"/>
      <c r="BD106" s="471"/>
      <c r="BE106" s="516"/>
      <c r="BF106" s="443"/>
      <c r="BG106" s="471"/>
      <c r="BH106" s="471"/>
      <c r="BI106" s="471"/>
      <c r="BJ106" s="516"/>
      <c r="BK106" s="443"/>
      <c r="BL106" s="471"/>
      <c r="BM106" s="471"/>
      <c r="BN106" s="471"/>
      <c r="BO106" s="516"/>
      <c r="BP106" s="443"/>
      <c r="BQ106" s="471"/>
      <c r="BR106" s="471"/>
      <c r="BS106" s="471"/>
      <c r="BT106" s="516"/>
      <c r="BU106" s="443"/>
      <c r="BV106" s="471"/>
      <c r="BW106" s="471"/>
      <c r="BX106" s="471"/>
      <c r="BY106" s="516"/>
      <c r="BZ106" s="443"/>
      <c r="CA106" s="471"/>
      <c r="CB106" s="471"/>
      <c r="CC106" s="471"/>
      <c r="CD106" s="516"/>
      <c r="CE106" s="443"/>
      <c r="CF106" s="471"/>
      <c r="CG106" s="471"/>
      <c r="CH106" s="471"/>
      <c r="CI106" s="516"/>
      <c r="CJ106" s="443"/>
      <c r="CK106" s="471"/>
      <c r="CL106" s="471"/>
      <c r="CM106" s="471"/>
      <c r="CN106" s="516"/>
      <c r="CO106" s="443"/>
      <c r="CP106" s="471"/>
      <c r="CQ106" s="471"/>
      <c r="CR106" s="471"/>
      <c r="CS106" s="516"/>
      <c r="CT106" s="443"/>
      <c r="CU106" s="471"/>
      <c r="CV106" s="471"/>
      <c r="CW106" s="471"/>
      <c r="CX106" s="516"/>
      <c r="CY106" s="443"/>
      <c r="CZ106" s="471"/>
      <c r="DA106" s="471"/>
      <c r="DB106" s="471"/>
      <c r="DC106" s="516"/>
      <c r="DD106" s="443">
        <f>DI106/(1+DI107)</f>
      </c>
      <c r="DE106" s="443">
        <f>DJ106/(1+DJ107)</f>
      </c>
      <c r="DF106" s="443">
        <f>DK106/(1+DK107)</f>
      </c>
      <c r="DG106" s="443">
        <f>DL106/(1+DL107)</f>
      </c>
      <c r="DH106" s="516">
        <f>SUM(DD106:DG106)</f>
      </c>
      <c r="DI106" s="443">
        <f>DN106/(1+DN107)</f>
      </c>
      <c r="DJ106" s="443">
        <f>DO106/(1+DO107)</f>
      </c>
      <c r="DK106" s="443">
        <f>DP106/(1+DP107)</f>
      </c>
      <c r="DL106" s="443">
        <f>DQ106/(1+DQ107)</f>
      </c>
      <c r="DM106" s="516">
        <f>SUM(DI106:DL106)</f>
      </c>
      <c r="DN106" s="443">
        <f>DS106/(1+DS107)</f>
      </c>
      <c r="DO106" s="443">
        <f>DT106/(1+DT107)</f>
      </c>
      <c r="DP106" s="443">
        <f>DU106/(1+DU107)</f>
      </c>
      <c r="DQ106" s="443">
        <f>DV106/(1+DV107)</f>
      </c>
      <c r="DR106" s="516">
        <f>SUM(DN106:DQ106)</f>
      </c>
      <c r="DS106" s="443">
        <f>DX106/(1+DX107)</f>
      </c>
      <c r="DT106" s="443">
        <f>DY106/(1+DY107)</f>
      </c>
      <c r="DU106" s="443">
        <f>DZ106/(1+DZ107)</f>
      </c>
      <c r="DV106" s="443">
        <f>EA106/(1+EA107)</f>
      </c>
      <c r="DW106" s="516">
        <f>EB110/EB107</f>
      </c>
      <c r="DX106" s="443">
        <f>EC110/EC107</f>
      </c>
      <c r="DY106" s="443">
        <f>ED110/ED107</f>
      </c>
      <c r="DZ106" s="443">
        <f>EE110/EE107</f>
      </c>
      <c r="EA106" s="443">
        <f>EB106-DZ106-DY106-DX106</f>
      </c>
      <c r="EB106" s="516">
        <f>DW106*(1+EB107)</f>
      </c>
      <c r="EC106" s="443">
        <f>DX106*(1+EC107)</f>
      </c>
      <c r="ED106" s="443">
        <f>DY106*(1+ED107)</f>
      </c>
      <c r="EE106" s="443">
        <f>DZ106*(1+EE107)</f>
      </c>
      <c r="EF106" s="443">
        <f>EA106*(1+EF107)</f>
      </c>
      <c r="EG106" s="516">
        <f>SUM(EC106:EF106)</f>
      </c>
      <c r="EH106" s="443">
        <f>EC106*(1+EH107)</f>
      </c>
      <c r="EI106" s="443">
        <f>ED106*(1+EI107)</f>
      </c>
      <c r="EJ106" s="443">
        <f>EE106*(1+EJ107)</f>
      </c>
      <c r="EK106" s="443">
        <f>EF106*(1+EK107)</f>
      </c>
      <c r="EL106" s="516">
        <f>SUM(EH106:EK106)</f>
      </c>
      <c r="EM106" s="443">
        <f>EH106*(1+EM107)</f>
      </c>
      <c r="EN106" s="443">
        <f>EI106*(1+EN107)</f>
      </c>
      <c r="EO106" s="443">
        <f>EJ106*(1+EO107)</f>
      </c>
      <c r="EP106" s="443">
        <f>EK106*(1+EP107)</f>
      </c>
      <c r="EQ106" s="516">
        <f>SUM(EM106:EP106)</f>
      </c>
      <c r="ER106" s="443">
        <f>EM106*(1+ER107)</f>
      </c>
      <c r="ES106" s="443">
        <f>EN106*(1+ES107)</f>
      </c>
      <c r="ET106" s="443">
        <f>EO106*(1+ET107)</f>
      </c>
      <c r="EU106" s="443">
        <f>EP106*(1+EU107)</f>
      </c>
      <c r="EV106" s="516">
        <f>SUM(ER106:EU106)</f>
      </c>
      <c r="EW106" s="471">
        <f>ER106*(1+EW107)</f>
      </c>
      <c r="EX106" s="443">
        <f>ES106*(1+EX107)</f>
      </c>
      <c r="EY106" s="443">
        <f>ET106*(1+EY107)</f>
      </c>
      <c r="EZ106" s="471">
        <f>EU106*(1+EZ107)</f>
      </c>
      <c r="FA106" s="516">
        <f>SUM(EW106:EZ106)</f>
      </c>
      <c r="FB106" s="471">
        <f>EW106*(1+FB107)</f>
      </c>
      <c r="FC106" s="471">
        <f>EX106*(1+FC107)</f>
      </c>
      <c r="FD106" s="471">
        <f>EY106*(1+FD107)</f>
      </c>
      <c r="FE106" s="471">
        <f>EZ106*(1+FE107)</f>
      </c>
      <c r="FF106" s="516">
        <f>SUM(FB106:FE106)</f>
      </c>
      <c r="FG106" s="471">
        <f>FB106*(1+FG107)</f>
      </c>
      <c r="FH106" s="471">
        <f>FC106*(1+FH107)</f>
      </c>
      <c r="FI106" s="471">
        <f>FD106*(1+FI107)</f>
      </c>
      <c r="FJ106" s="471">
        <f>FE106*(1+FJ107)</f>
      </c>
      <c r="FK106" s="516">
        <f>SUM(FG106:FJ106)</f>
      </c>
      <c r="FL106" s="471">
        <f>FG106*(1+FL107)</f>
      </c>
      <c r="FM106" s="471">
        <f>FH106*(1+FM107)</f>
      </c>
      <c r="FN106" s="471">
        <f>FI106*(1+FN107)</f>
      </c>
      <c r="FO106" s="471">
        <f>FJ106*(1+FO107)</f>
      </c>
      <c r="FP106" s="516">
        <f>SUM(FL106:FO106)</f>
      </c>
      <c r="FQ106" s="471">
        <f>FL106*(1+FQ107)</f>
      </c>
      <c r="FR106" s="471">
        <f>FM106*(1+FR107)</f>
      </c>
      <c r="FS106" s="471">
        <f>FN106*(1+FS107)</f>
      </c>
      <c r="FT106" s="471">
        <f>FO106*(1+FT107)</f>
      </c>
      <c r="FU106" s="516">
        <f>SUM(FQ106:FT106)</f>
      </c>
      <c r="FV106" s="471">
        <f>FQ106*(1+FV107)</f>
      </c>
      <c r="FW106" s="471">
        <f>FR106*(1+FW107)</f>
      </c>
      <c r="FX106" s="471">
        <f>FS106*(1+FX107)</f>
      </c>
      <c r="FY106" s="471">
        <f>FT106*(1+FY107)</f>
      </c>
      <c r="FZ106" s="516">
        <f>SUM(FV106:FY106)</f>
      </c>
      <c r="GA106" s="471">
        <f>FV106*(1+GA107)</f>
      </c>
      <c r="GB106" s="471">
        <f>FW106*(1+GB107)</f>
      </c>
      <c r="GC106" s="471">
        <f>FX106*(1+GC107)</f>
      </c>
      <c r="GD106" s="471">
        <f>FY106*(1+GD107)</f>
      </c>
      <c r="GE106" s="516">
        <f>SUM(GA106:GD106)</f>
      </c>
      <c r="GF106" s="471">
        <f>GA106*(1+GF107)</f>
      </c>
      <c r="GG106" s="471">
        <f>GB106*(1+GG107)</f>
      </c>
      <c r="GH106" s="471">
        <f>GC106*(1+GH107)</f>
      </c>
      <c r="GI106" s="471">
        <f>GD106*(1+GI107)</f>
      </c>
      <c r="GJ106" s="808">
        <f>SUM(GF106:GI106)</f>
      </c>
    </row>
    <row r="107" spans="1:192" ht="12.75" customHeight="1">
      <c r="A107" s="1643"/>
      <c r="B107" s="750" t="s">
        <v>34</v>
      </c>
      <c r="C107" s="291"/>
      <c r="D107" s="107"/>
      <c r="E107" s="107"/>
      <c r="F107" s="107"/>
      <c r="G107" s="292"/>
      <c r="H107" s="291"/>
      <c r="I107" s="107"/>
      <c r="J107" s="107"/>
      <c r="K107" s="107"/>
      <c r="L107" s="292"/>
      <c r="M107" s="291"/>
      <c r="N107" s="107"/>
      <c r="O107" s="107"/>
      <c r="P107" s="107"/>
      <c r="Q107" s="292"/>
      <c r="R107" s="291"/>
      <c r="S107" s="107"/>
      <c r="T107" s="107"/>
      <c r="U107" s="107"/>
      <c r="V107" s="292"/>
      <c r="W107" s="291"/>
      <c r="X107" s="107"/>
      <c r="Y107" s="107"/>
      <c r="Z107" s="107"/>
      <c r="AA107" s="292"/>
      <c r="AB107" s="291"/>
      <c r="AC107" s="107"/>
      <c r="AD107" s="107"/>
      <c r="AE107" s="107"/>
      <c r="AF107" s="292"/>
      <c r="AG107" s="291"/>
      <c r="AH107" s="107"/>
      <c r="AI107" s="107"/>
      <c r="AJ107" s="107"/>
      <c r="AK107" s="292"/>
      <c r="AL107" s="291"/>
      <c r="AM107" s="107"/>
      <c r="AN107" s="107"/>
      <c r="AO107" s="107"/>
      <c r="AP107" s="292"/>
      <c r="AQ107" s="291"/>
      <c r="AR107" s="107"/>
      <c r="AS107" s="107"/>
      <c r="AT107" s="107"/>
      <c r="AU107" s="292"/>
      <c r="AV107" s="291"/>
      <c r="AW107" s="107"/>
      <c r="AX107" s="107"/>
      <c r="AY107" s="107"/>
      <c r="AZ107" s="292"/>
      <c r="BA107" s="291"/>
      <c r="BB107" s="107"/>
      <c r="BC107" s="107"/>
      <c r="BD107" s="107"/>
      <c r="BE107" s="292"/>
      <c r="BF107" s="291"/>
      <c r="BG107" s="107"/>
      <c r="BH107" s="107"/>
      <c r="BI107" s="107"/>
      <c r="BJ107" s="292"/>
      <c r="BK107" s="291"/>
      <c r="BL107" s="107"/>
      <c r="BM107" s="107"/>
      <c r="BN107" s="107"/>
      <c r="BO107" s="292"/>
      <c r="BP107" s="291"/>
      <c r="BQ107" s="107"/>
      <c r="BR107" s="107"/>
      <c r="BS107" s="107"/>
      <c r="BT107" s="292"/>
      <c r="BU107" s="412"/>
      <c r="BV107" s="114"/>
      <c r="BW107" s="114"/>
      <c r="BX107" s="114"/>
      <c r="BY107" s="292"/>
      <c r="BZ107" s="412"/>
      <c r="CA107" s="114"/>
      <c r="CB107" s="114"/>
      <c r="CC107" s="114"/>
      <c r="CD107" s="292"/>
      <c r="CE107" s="412"/>
      <c r="CF107" s="114"/>
      <c r="CG107" s="114"/>
      <c r="CH107" s="114"/>
      <c r="CI107" s="292"/>
      <c r="CJ107" s="412"/>
      <c r="CK107" s="114"/>
      <c r="CL107" s="114"/>
      <c r="CM107" s="114"/>
      <c r="CN107" s="292"/>
      <c r="CO107" s="412"/>
      <c r="CP107" s="114"/>
      <c r="CQ107" s="114"/>
      <c r="CR107" s="114"/>
      <c r="CS107" s="292"/>
      <c r="CT107" s="412"/>
      <c r="CU107" s="114"/>
      <c r="CV107" s="114"/>
      <c r="CW107" s="114"/>
      <c r="CX107" s="292"/>
      <c r="CY107" s="412"/>
      <c r="CZ107" s="114"/>
      <c r="DA107" s="114"/>
      <c r="DB107" s="114"/>
      <c r="DC107" s="292"/>
      <c r="DD107" s="412"/>
      <c r="DE107" s="114"/>
      <c r="DF107" s="114"/>
      <c r="DG107" s="114"/>
      <c r="DH107" s="292"/>
      <c r="DI107" s="412">
        <v>0.06</v>
      </c>
      <c r="DJ107" s="114">
        <v>0.18</v>
      </c>
      <c r="DK107" s="439">
        <v>0.11</v>
      </c>
      <c r="DL107" s="114">
        <v>0.11</v>
      </c>
      <c r="DM107" s="292">
        <f>DM106/DH106-1</f>
      </c>
      <c r="DN107" s="412">
        <v>0.21</v>
      </c>
      <c r="DO107" s="439">
        <v>0.04</v>
      </c>
      <c r="DP107" s="114">
        <v>0.24</v>
      </c>
      <c r="DQ107" s="114">
        <v>0.36</v>
      </c>
      <c r="DR107" s="292">
        <f>DR106/DM106-1</f>
      </c>
      <c r="DS107" s="412">
        <v>0.36</v>
      </c>
      <c r="DT107" s="114">
        <v>0.31</v>
      </c>
      <c r="DU107" s="114">
        <v>0.12</v>
      </c>
      <c r="DV107" s="114">
        <v>-0.03</v>
      </c>
      <c r="DW107" s="292">
        <f>DW106/DR106-1</f>
      </c>
      <c r="DX107" s="412">
        <v>0</v>
      </c>
      <c r="DY107" s="114">
        <v>-0.11</v>
      </c>
      <c r="DZ107" s="114">
        <v>0.02</v>
      </c>
      <c r="EA107" s="114">
        <v>0.65</v>
      </c>
      <c r="EB107" s="413">
        <v>0.11</v>
      </c>
      <c r="EC107" s="412">
        <v>0.3</v>
      </c>
      <c r="ED107" s="439">
        <v>0.4</v>
      </c>
      <c r="EE107" s="114">
        <v>0.34</v>
      </c>
      <c r="EF107" s="114">
        <v>-0.04</v>
      </c>
      <c r="EG107" s="413">
        <v>0.23</v>
      </c>
      <c r="EH107" s="412">
        <v>0.02</v>
      </c>
      <c r="EI107" s="114">
        <v>0.1</v>
      </c>
      <c r="EJ107" s="114">
        <v>0.04</v>
      </c>
      <c r="EK107" s="114">
        <v>-0.06</v>
      </c>
      <c r="EL107" s="292">
        <f>EL106/EG106-1</f>
      </c>
      <c r="EM107" s="412">
        <v>-0.03</v>
      </c>
      <c r="EN107" s="114">
        <v>-0.12</v>
      </c>
      <c r="EO107" s="114">
        <v>0.03</v>
      </c>
      <c r="EP107" s="114">
        <v>0.05</v>
      </c>
      <c r="EQ107" s="292">
        <f>EQ106/EL106-1</f>
      </c>
      <c r="ER107" s="412">
        <v>0.13</v>
      </c>
      <c r="ES107" s="114">
        <v>0.61</v>
      </c>
      <c r="ET107" s="441">
        <v>0.62</v>
      </c>
      <c r="EU107" s="441">
        <v>0.61</v>
      </c>
      <c r="EV107" s="292">
        <f>EV106/EQ106-1</f>
      </c>
      <c r="EW107" s="441">
        <v>0.61</v>
      </c>
      <c r="EX107" s="441">
        <v>0.02</v>
      </c>
      <c r="EY107" s="441">
        <v>0.08</v>
      </c>
      <c r="EZ107" s="441">
        <v>0.13</v>
      </c>
      <c r="FA107" s="292">
        <f>FA106/EV106-1</f>
      </c>
      <c r="FB107" s="412">
        <v>-0.05</v>
      </c>
      <c r="FC107" s="412">
        <v>0.03</v>
      </c>
      <c r="FD107" s="412">
        <v>0.03</v>
      </c>
      <c r="FE107" s="412">
        <f>FD107</f>
      </c>
      <c r="FF107" s="292">
        <f>FF106/FA106-1</f>
      </c>
      <c r="FG107" s="412">
        <v>0.05</v>
      </c>
      <c r="FH107" s="412">
        <f>FG107</f>
      </c>
      <c r="FI107" s="412">
        <f>FH107</f>
      </c>
      <c r="FJ107" s="412">
        <f>FI107</f>
      </c>
      <c r="FK107" s="292">
        <f>FK106/FF106-1</f>
      </c>
      <c r="FL107" s="412">
        <v>0.05</v>
      </c>
      <c r="FM107" s="412">
        <f>FL107</f>
      </c>
      <c r="FN107" s="412">
        <f>FM107</f>
      </c>
      <c r="FO107" s="412">
        <f>FN107</f>
      </c>
      <c r="FP107" s="292">
        <f>FP106/FK106-1</f>
      </c>
      <c r="FQ107" s="412">
        <f>FL107-0.5%</f>
      </c>
      <c r="FR107" s="412">
        <f>FQ107</f>
      </c>
      <c r="FS107" s="412">
        <f>FR107</f>
      </c>
      <c r="FT107" s="412">
        <f>FS107</f>
      </c>
      <c r="FU107" s="292">
        <f>FU106/FP106-1</f>
      </c>
      <c r="FV107" s="412">
        <f>FQ107-0.5%</f>
      </c>
      <c r="FW107" s="412">
        <f>FV107</f>
      </c>
      <c r="FX107" s="412">
        <f>FW107</f>
      </c>
      <c r="FY107" s="412">
        <f>FX107</f>
      </c>
      <c r="FZ107" s="292">
        <f>FZ106/FU106-1</f>
      </c>
      <c r="GA107" s="412">
        <f>FV107-0.5%</f>
      </c>
      <c r="GB107" s="412">
        <f>GA107</f>
      </c>
      <c r="GC107" s="412">
        <f>GB107</f>
      </c>
      <c r="GD107" s="412">
        <f>GC107</f>
      </c>
      <c r="GE107" s="292">
        <f>GE106/FZ106-1</f>
      </c>
      <c r="GF107" s="412">
        <f>GA107-0.5%</f>
      </c>
      <c r="GG107" s="412">
        <f>GF107</f>
      </c>
      <c r="GH107" s="412">
        <f>GG107</f>
      </c>
      <c r="GI107" s="412">
        <f>GH107</f>
      </c>
      <c r="GJ107" s="384">
        <f>GJ106/GE106-1</f>
      </c>
    </row>
    <row r="108" spans="1:192" ht="12.75" customHeight="1">
      <c r="B108" s="735" t="s">
        <v>197</v>
      </c>
      <c r="C108" s="291"/>
      <c r="D108" s="107"/>
      <c r="E108" s="107"/>
      <c r="F108" s="107"/>
      <c r="G108" s="293"/>
      <c r="H108" s="291"/>
      <c r="I108" s="107"/>
      <c r="J108" s="107"/>
      <c r="K108" s="107"/>
      <c r="L108" s="293"/>
      <c r="M108" s="291"/>
      <c r="N108" s="107"/>
      <c r="O108" s="107"/>
      <c r="P108" s="107"/>
      <c r="Q108" s="293"/>
      <c r="R108" s="291"/>
      <c r="S108" s="107"/>
      <c r="T108" s="107"/>
      <c r="U108" s="107"/>
      <c r="V108" s="293"/>
      <c r="W108" s="291"/>
      <c r="X108" s="107"/>
      <c r="Y108" s="107"/>
      <c r="Z108" s="107"/>
      <c r="AA108" s="293"/>
      <c r="AB108" s="291"/>
      <c r="AC108" s="107"/>
      <c r="AD108" s="107"/>
      <c r="AE108" s="107"/>
      <c r="AF108" s="293"/>
      <c r="AG108" s="291"/>
      <c r="AH108" s="107"/>
      <c r="AI108" s="107"/>
      <c r="AJ108" s="107"/>
      <c r="AK108" s="293"/>
      <c r="AL108" s="291"/>
      <c r="AM108" s="107"/>
      <c r="AN108" s="107"/>
      <c r="AO108" s="107"/>
      <c r="AP108" s="293"/>
      <c r="AQ108" s="291"/>
      <c r="AR108" s="107"/>
      <c r="AS108" s="107"/>
      <c r="AT108" s="107"/>
      <c r="AU108" s="293"/>
      <c r="AV108" s="291"/>
      <c r="AW108" s="107"/>
      <c r="AX108" s="107"/>
      <c r="AY108" s="107"/>
      <c r="AZ108" s="293"/>
      <c r="BA108" s="291"/>
      <c r="BB108" s="107"/>
      <c r="BC108" s="107"/>
      <c r="BD108" s="107"/>
      <c r="BE108" s="293"/>
      <c r="BF108" s="291"/>
      <c r="BG108" s="107"/>
      <c r="BH108" s="107"/>
      <c r="BI108" s="107"/>
      <c r="BJ108" s="293"/>
      <c r="BK108" s="291"/>
      <c r="BL108" s="107"/>
      <c r="BM108" s="107"/>
      <c r="BN108" s="107"/>
      <c r="BO108" s="293"/>
      <c r="BP108" s="291"/>
      <c r="BQ108" s="107"/>
      <c r="BR108" s="107"/>
      <c r="BS108" s="107"/>
      <c r="BT108" s="293"/>
      <c r="BU108" s="412"/>
      <c r="BV108" s="114"/>
      <c r="BW108" s="114"/>
      <c r="BX108" s="114"/>
      <c r="BY108" s="293"/>
      <c r="BZ108" s="412"/>
      <c r="CA108" s="114"/>
      <c r="CB108" s="114"/>
      <c r="CC108" s="114"/>
      <c r="CD108" s="293"/>
      <c r="CE108" s="412"/>
      <c r="CF108" s="114"/>
      <c r="CG108" s="114"/>
      <c r="CH108" s="114"/>
      <c r="CI108" s="293"/>
      <c r="CJ108" s="412"/>
      <c r="CK108" s="114"/>
      <c r="CL108" s="114"/>
      <c r="CM108" s="114"/>
      <c r="CN108" s="293"/>
      <c r="CO108" s="412"/>
      <c r="CP108" s="114"/>
      <c r="CQ108" s="114"/>
      <c r="CR108" s="114"/>
      <c r="CS108" s="293"/>
      <c r="CT108" s="412"/>
      <c r="CU108" s="114"/>
      <c r="CV108" s="114"/>
      <c r="CW108" s="114"/>
      <c r="CX108" s="293"/>
      <c r="CY108" s="412"/>
      <c r="CZ108" s="114"/>
      <c r="DA108" s="114"/>
      <c r="DB108" s="114"/>
      <c r="DC108" s="293"/>
      <c r="DD108" s="412"/>
      <c r="DE108" s="114"/>
      <c r="DF108" s="114"/>
      <c r="DG108" s="114"/>
      <c r="DH108" s="293"/>
      <c r="DI108" s="412">
        <v>0.08</v>
      </c>
      <c r="DJ108" s="114">
        <v>0.21</v>
      </c>
      <c r="DK108" s="114">
        <v>0.08</v>
      </c>
      <c r="DL108" s="114">
        <v>0.13</v>
      </c>
      <c r="DM108" s="293"/>
      <c r="DN108" s="412">
        <v>0.2</v>
      </c>
      <c r="DO108" s="114">
        <v>0.04</v>
      </c>
      <c r="DP108" s="114">
        <v>0.21</v>
      </c>
      <c r="DQ108" s="114">
        <v>0.35</v>
      </c>
      <c r="DR108" s="293"/>
      <c r="DS108" s="412">
        <v>0.36</v>
      </c>
      <c r="DT108" s="114">
        <v>0.32</v>
      </c>
      <c r="DU108" s="114">
        <v>0.15</v>
      </c>
      <c r="DV108" s="114">
        <v>-0.01</v>
      </c>
      <c r="DW108" s="293"/>
      <c r="DX108" s="412">
        <v>0.01</v>
      </c>
      <c r="DY108" s="114">
        <v>-0.09</v>
      </c>
      <c r="DZ108" s="114">
        <v>0.02</v>
      </c>
      <c r="EA108" s="114">
        <v>0.68</v>
      </c>
      <c r="EB108" s="293"/>
      <c r="EC108" s="412">
        <v>0.3</v>
      </c>
      <c r="ED108" s="114">
        <v>0.38</v>
      </c>
      <c r="EE108" s="114">
        <v>0.32</v>
      </c>
      <c r="EF108" s="114">
        <v>-7.0000000000000007E-2</v>
      </c>
      <c r="EG108" s="293"/>
      <c r="EH108" s="412">
        <v>0</v>
      </c>
      <c r="EI108" s="114">
        <v>0.1</v>
      </c>
      <c r="EJ108" s="114">
        <v>0.06</v>
      </c>
      <c r="EK108" s="114">
        <v>-0.04</v>
      </c>
      <c r="EL108" s="293"/>
      <c r="EM108" s="412">
        <v>0.01</v>
      </c>
      <c r="EN108" s="114">
        <v>-0.08</v>
      </c>
      <c r="EO108" s="114">
        <v>0.05</v>
      </c>
      <c r="EP108" s="114">
        <v>0.06</v>
      </c>
      <c r="EQ108" s="293"/>
      <c r="ER108" s="412">
        <v>0.12</v>
      </c>
      <c r="ES108" s="114">
        <v>0.6</v>
      </c>
      <c r="ET108" s="439">
        <v>0.61</v>
      </c>
      <c r="EU108" s="439">
        <v>0.61</v>
      </c>
      <c r="EV108" s="293"/>
      <c r="EW108" s="441">
        <v>0.61</v>
      </c>
      <c r="EX108" s="439">
        <v>0.02</v>
      </c>
      <c r="EY108" s="439">
        <v>0.09</v>
      </c>
      <c r="EZ108" s="439">
        <v>0.12</v>
      </c>
      <c r="FA108" s="293"/>
      <c r="FB108" s="291"/>
      <c r="FC108" s="107"/>
      <c r="FD108" s="107"/>
      <c r="FE108" s="107"/>
      <c r="FF108" s="293"/>
      <c r="FG108" s="291"/>
      <c r="FH108" s="107"/>
      <c r="FI108" s="107"/>
      <c r="FJ108" s="107"/>
      <c r="FK108" s="293"/>
      <c r="FL108" s="291"/>
      <c r="FM108" s="107"/>
      <c r="FN108" s="107"/>
      <c r="FO108" s="107"/>
      <c r="FP108" s="293"/>
      <c r="FQ108" s="291"/>
      <c r="FR108" s="107"/>
      <c r="FS108" s="107"/>
      <c r="FT108" s="107"/>
      <c r="FU108" s="293"/>
      <c r="FV108" s="291"/>
      <c r="FW108" s="107"/>
      <c r="FX108" s="107"/>
      <c r="FY108" s="107"/>
      <c r="FZ108" s="293"/>
      <c r="GA108" s="291"/>
      <c r="GB108" s="107"/>
      <c r="GC108" s="107"/>
      <c r="GD108" s="107"/>
      <c r="GE108" s="293"/>
      <c r="GF108" s="291"/>
      <c r="GG108" s="107"/>
      <c r="GH108" s="107"/>
      <c r="GI108" s="107"/>
      <c r="GJ108" s="382"/>
    </row>
    <row r="109" spans="1:192" ht="12.75" customHeight="1">
      <c r="B109" s="735" t="s">
        <v>36</v>
      </c>
      <c r="C109" s="291"/>
      <c r="D109" s="107"/>
      <c r="E109" s="107"/>
      <c r="F109" s="107"/>
      <c r="G109" s="293"/>
      <c r="H109" s="291"/>
      <c r="I109" s="107"/>
      <c r="J109" s="107"/>
      <c r="K109" s="107"/>
      <c r="L109" s="293"/>
      <c r="M109" s="291"/>
      <c r="N109" s="107"/>
      <c r="O109" s="107"/>
      <c r="P109" s="107"/>
      <c r="Q109" s="293"/>
      <c r="R109" s="291"/>
      <c r="S109" s="107"/>
      <c r="T109" s="107"/>
      <c r="U109" s="107"/>
      <c r="V109" s="293"/>
      <c r="W109" s="291"/>
      <c r="X109" s="107"/>
      <c r="Y109" s="107"/>
      <c r="Z109" s="107"/>
      <c r="AA109" s="293"/>
      <c r="AB109" s="291"/>
      <c r="AC109" s="107"/>
      <c r="AD109" s="107"/>
      <c r="AE109" s="107"/>
      <c r="AF109" s="293"/>
      <c r="AG109" s="291"/>
      <c r="AH109" s="107"/>
      <c r="AI109" s="107"/>
      <c r="AJ109" s="107"/>
      <c r="AK109" s="293"/>
      <c r="AL109" s="291"/>
      <c r="AM109" s="107"/>
      <c r="AN109" s="107"/>
      <c r="AO109" s="107"/>
      <c r="AP109" s="293"/>
      <c r="AQ109" s="291"/>
      <c r="AR109" s="107"/>
      <c r="AS109" s="107"/>
      <c r="AT109" s="107"/>
      <c r="AU109" s="293"/>
      <c r="AV109" s="291"/>
      <c r="AW109" s="107"/>
      <c r="AX109" s="107"/>
      <c r="AY109" s="107"/>
      <c r="AZ109" s="293"/>
      <c r="BA109" s="291"/>
      <c r="BB109" s="107"/>
      <c r="BC109" s="107"/>
      <c r="BD109" s="107"/>
      <c r="BE109" s="293"/>
      <c r="BF109" s="291"/>
      <c r="BG109" s="107"/>
      <c r="BH109" s="107"/>
      <c r="BI109" s="107"/>
      <c r="BJ109" s="293"/>
      <c r="BK109" s="291"/>
      <c r="BL109" s="107"/>
      <c r="BM109" s="107"/>
      <c r="BN109" s="107"/>
      <c r="BO109" s="293"/>
      <c r="BP109" s="291"/>
      <c r="BQ109" s="107"/>
      <c r="BR109" s="107"/>
      <c r="BS109" s="107"/>
      <c r="BT109" s="293"/>
      <c r="BU109" s="291"/>
      <c r="BV109" s="107"/>
      <c r="BW109" s="107"/>
      <c r="BX109" s="107"/>
      <c r="BY109" s="293"/>
      <c r="BZ109" s="291"/>
      <c r="CA109" s="107"/>
      <c r="CB109" s="107"/>
      <c r="CC109" s="107"/>
      <c r="CD109" s="293"/>
      <c r="CE109" s="291"/>
      <c r="CF109" s="107"/>
      <c r="CG109" s="107"/>
      <c r="CH109" s="107"/>
      <c r="CI109" s="293"/>
      <c r="CJ109" s="291"/>
      <c r="CK109" s="107"/>
      <c r="CL109" s="107"/>
      <c r="CM109" s="107"/>
      <c r="CN109" s="293"/>
      <c r="CO109" s="291"/>
      <c r="CP109" s="107"/>
      <c r="CQ109" s="107"/>
      <c r="CR109" s="107"/>
      <c r="CS109" s="293"/>
      <c r="CT109" s="291"/>
      <c r="CU109" s="107"/>
      <c r="CV109" s="107"/>
      <c r="CW109" s="107"/>
      <c r="CX109" s="293"/>
      <c r="CY109" s="291"/>
      <c r="CZ109" s="107"/>
      <c r="DA109" s="107"/>
      <c r="DB109" s="107"/>
      <c r="DC109" s="293"/>
      <c r="DD109" s="291"/>
      <c r="DE109" s="107">
        <f>IFERROR(DE106/DD106-1,"--")</f>
      </c>
      <c r="DF109" s="107">
        <f>IFERROR(DF106/DE106-1,"--")</f>
      </c>
      <c r="DG109" s="107">
        <f>IFERROR(DG106/DF106-1,"--")</f>
      </c>
      <c r="DH109" s="293"/>
      <c r="DI109" s="291">
        <f>IFERROR(DI106/DG106-1,"--")</f>
      </c>
      <c r="DJ109" s="107">
        <f>IFERROR(DJ106/DI106-1,"--")</f>
      </c>
      <c r="DK109" s="107">
        <f>IFERROR(DK106/DJ106-1,"--")</f>
      </c>
      <c r="DL109" s="107">
        <f>IFERROR(DL106/DK106-1,"--")</f>
      </c>
      <c r="DM109" s="293"/>
      <c r="DN109" s="291">
        <f>IFERROR(DN106/DL106-1,"--")</f>
      </c>
      <c r="DO109" s="107">
        <f>IFERROR(DO106/DN106-1,"--")</f>
      </c>
      <c r="DP109" s="107">
        <f>IFERROR(DP106/DO106-1,"--")</f>
      </c>
      <c r="DQ109" s="107">
        <f>IFERROR(DQ106/DP106-1,"--")</f>
      </c>
      <c r="DR109" s="293"/>
      <c r="DS109" s="291">
        <f>IFERROR(DS106/DQ106-1,"--")</f>
      </c>
      <c r="DT109" s="107">
        <f>IFERROR(DT106/DS106-1,"--")</f>
      </c>
      <c r="DU109" s="107">
        <f>IFERROR(DU106/DT106-1,"--")</f>
      </c>
      <c r="DV109" s="107">
        <f>IFERROR(DV106/DU106-1,"--")</f>
      </c>
      <c r="DW109" s="293"/>
      <c r="DX109" s="291">
        <f>IFERROR(DX106/DV106-1,"--")</f>
      </c>
      <c r="DY109" s="107">
        <f>IFERROR(DY106/DX106-1,"--")</f>
      </c>
      <c r="DZ109" s="107">
        <f>IFERROR(DZ106/DY106-1,"--")</f>
      </c>
      <c r="EA109" s="107">
        <f>IFERROR(EA106/DZ106-1,"--")</f>
      </c>
      <c r="EB109" s="293"/>
      <c r="EC109" s="291">
        <f>IFERROR(EC106/EA106-1,"--")</f>
      </c>
      <c r="ED109" s="107">
        <f>IFERROR(ED106/EC106-1,"--")</f>
      </c>
      <c r="EE109" s="107">
        <f>IFERROR(EE106/ED106-1,"--")</f>
      </c>
      <c r="EF109" s="107">
        <f>IFERROR(EF106/EE106-1,"--")</f>
      </c>
      <c r="EG109" s="293"/>
      <c r="EH109" s="291">
        <f>IFERROR(EH106/EF106-1,"--")</f>
      </c>
      <c r="EI109" s="107">
        <f>IFERROR(EI106/EH106-1,"--")</f>
      </c>
      <c r="EJ109" s="107">
        <f>IFERROR(EJ106/EI106-1,"--")</f>
      </c>
      <c r="EK109" s="107">
        <f>IFERROR(EK106/EJ106-1,"--")</f>
      </c>
      <c r="EL109" s="293"/>
      <c r="EM109" s="291">
        <f>IFERROR(EM106/EK106-1,"--")</f>
      </c>
      <c r="EN109" s="107">
        <f>IFERROR(EN106/EM106-1,"--")</f>
      </c>
      <c r="EO109" s="107">
        <f>IFERROR(EO106/EN106-1,"--")</f>
      </c>
      <c r="EP109" s="107">
        <f>IFERROR(EP106/EO106-1,"--")</f>
      </c>
      <c r="EQ109" s="293"/>
      <c r="ER109" s="291">
        <f>IFERROR(ER106/EP106-1,"--")</f>
      </c>
      <c r="ES109" s="107">
        <f>IFERROR(ES106/ER106-1,"--")</f>
      </c>
      <c r="ET109" s="107">
        <f>IFERROR(ET106/ES106-1,"--")</f>
      </c>
      <c r="EU109" s="468">
        <f>IFERROR(EU106/ET106-1,"--")</f>
      </c>
      <c r="EV109" s="293"/>
      <c r="EW109" s="291">
        <f>IFERROR(EW106/EU106-1,"--")</f>
      </c>
      <c r="EX109" s="107">
        <f>IFERROR(EX106/EW106-1,"--")</f>
      </c>
      <c r="EY109" s="107">
        <f>IFERROR(EY106/EX106-1,"--")</f>
      </c>
      <c r="EZ109" s="468">
        <f>IFERROR(EZ106/EY106-1,"--")</f>
      </c>
      <c r="FA109" s="293"/>
      <c r="FB109" s="291">
        <f>IFERROR(FB106/EZ106-1,"--")</f>
      </c>
      <c r="FC109" s="107">
        <f>IFERROR(FC106/FB106-1,"--")</f>
      </c>
      <c r="FD109" s="107">
        <f>IFERROR(FD106/FC106-1,"--")</f>
      </c>
      <c r="FE109" s="107">
        <f>IFERROR(FE106/FD106-1,"--")</f>
      </c>
      <c r="FF109" s="293"/>
      <c r="FG109" s="291">
        <f>IFERROR(FG106/FE106-1,"--")</f>
      </c>
      <c r="FH109" s="107">
        <f>IFERROR(FH106/FG106-1,"--")</f>
      </c>
      <c r="FI109" s="107">
        <f>IFERROR(FI106/FH106-1,"--")</f>
      </c>
      <c r="FJ109" s="107">
        <f>IFERROR(FJ106/FI106-1,"--")</f>
      </c>
      <c r="FK109" s="293"/>
      <c r="FL109" s="291">
        <f>IFERROR(FL106/FJ106-1,"--")</f>
      </c>
      <c r="FM109" s="107">
        <f>IFERROR(FM106/FL106-1,"--")</f>
      </c>
      <c r="FN109" s="107">
        <f>IFERROR(FN106/FM106-1,"--")</f>
      </c>
      <c r="FO109" s="107">
        <f>IFERROR(FO106/FN106-1,"--")</f>
      </c>
      <c r="FP109" s="293"/>
      <c r="FQ109" s="291">
        <f>IFERROR(FQ106/FO106-1,"--")</f>
      </c>
      <c r="FR109" s="107">
        <f>IFERROR(FR106/FQ106-1,"--")</f>
      </c>
      <c r="FS109" s="107">
        <f>IFERROR(FS106/FR106-1,"--")</f>
      </c>
      <c r="FT109" s="107">
        <f>IFERROR(FT106/FS106-1,"--")</f>
      </c>
      <c r="FU109" s="293"/>
      <c r="FV109" s="291">
        <f>IFERROR(FV106/FT106-1,"--")</f>
      </c>
      <c r="FW109" s="107">
        <f>IFERROR(FW106/FV106-1,"--")</f>
      </c>
      <c r="FX109" s="107">
        <f>IFERROR(FX106/FW106-1,"--")</f>
      </c>
      <c r="FY109" s="107">
        <f>IFERROR(FY106/FX106-1,"--")</f>
      </c>
      <c r="FZ109" s="293"/>
      <c r="GA109" s="291">
        <f>IFERROR(GA106/FY106-1,"--")</f>
      </c>
      <c r="GB109" s="107">
        <f>IFERROR(GB106/GA106-1,"--")</f>
      </c>
      <c r="GC109" s="107">
        <f>IFERROR(GC106/GB106-1,"--")</f>
      </c>
      <c r="GD109" s="107">
        <f>IFERROR(GD106/GC106-1,"--")</f>
      </c>
      <c r="GE109" s="293"/>
      <c r="GF109" s="291">
        <f>IFERROR(GF106/GD106-1,"--")</f>
      </c>
      <c r="GG109" s="107">
        <f>IFERROR(GG106/GF106-1,"--")</f>
      </c>
      <c r="GH109" s="107">
        <f>IFERROR(GH106/GG106-1,"--")</f>
      </c>
      <c r="GI109" s="107">
        <f>IFERROR(GI106/GH106-1,"--")</f>
      </c>
      <c r="GJ109" s="382"/>
    </row>
    <row r="110" spans="1:192" s="461" customFormat="1" ht="12.75" customHeight="1">
      <c r="A110" s="850"/>
      <c r="B110" s="735" t="s">
        <v>243</v>
      </c>
      <c r="C110" s="447"/>
      <c r="D110" s="458"/>
      <c r="E110" s="458"/>
      <c r="F110" s="458"/>
      <c r="G110" s="459"/>
      <c r="H110" s="447"/>
      <c r="I110" s="458"/>
      <c r="J110" s="458"/>
      <c r="K110" s="458"/>
      <c r="L110" s="459"/>
      <c r="M110" s="447"/>
      <c r="N110" s="458"/>
      <c r="O110" s="458"/>
      <c r="P110" s="458"/>
      <c r="Q110" s="459"/>
      <c r="R110" s="447"/>
      <c r="S110" s="458"/>
      <c r="T110" s="458"/>
      <c r="U110" s="458"/>
      <c r="V110" s="459"/>
      <c r="W110" s="447"/>
      <c r="X110" s="458"/>
      <c r="Y110" s="458"/>
      <c r="Z110" s="458"/>
      <c r="AA110" s="459"/>
      <c r="AB110" s="447"/>
      <c r="AC110" s="458"/>
      <c r="AD110" s="458"/>
      <c r="AE110" s="458"/>
      <c r="AF110" s="459"/>
      <c r="AG110" s="447"/>
      <c r="AH110" s="458"/>
      <c r="AI110" s="458"/>
      <c r="AJ110" s="458"/>
      <c r="AK110" s="459"/>
      <c r="AL110" s="447"/>
      <c r="AM110" s="458"/>
      <c r="AN110" s="458"/>
      <c r="AO110" s="458"/>
      <c r="AP110" s="459"/>
      <c r="AQ110" s="447"/>
      <c r="AR110" s="458"/>
      <c r="AS110" s="458"/>
      <c r="AT110" s="458"/>
      <c r="AU110" s="459"/>
      <c r="AV110" s="447"/>
      <c r="AW110" s="458"/>
      <c r="AX110" s="458"/>
      <c r="AY110" s="458"/>
      <c r="AZ110" s="459"/>
      <c r="BA110" s="447"/>
      <c r="BB110" s="458"/>
      <c r="BC110" s="458"/>
      <c r="BD110" s="458"/>
      <c r="BE110" s="459"/>
      <c r="BF110" s="447"/>
      <c r="BG110" s="458"/>
      <c r="BH110" s="458"/>
      <c r="BI110" s="458"/>
      <c r="BJ110" s="459"/>
      <c r="BK110" s="447"/>
      <c r="BL110" s="458"/>
      <c r="BM110" s="458"/>
      <c r="BN110" s="458"/>
      <c r="BO110" s="459"/>
      <c r="BP110" s="447"/>
      <c r="BQ110" s="458"/>
      <c r="BR110" s="458"/>
      <c r="BS110" s="458"/>
      <c r="BT110" s="459"/>
      <c r="BU110" s="447"/>
      <c r="BV110" s="458"/>
      <c r="BW110" s="458"/>
      <c r="BX110" s="458"/>
      <c r="BY110" s="459"/>
      <c r="BZ110" s="447"/>
      <c r="CA110" s="458"/>
      <c r="CB110" s="458"/>
      <c r="CC110" s="458"/>
      <c r="CD110" s="459"/>
      <c r="CE110" s="447"/>
      <c r="CF110" s="458"/>
      <c r="CG110" s="458"/>
      <c r="CH110" s="458"/>
      <c r="CI110" s="459"/>
      <c r="CJ110" s="447"/>
      <c r="CK110" s="458"/>
      <c r="CL110" s="458"/>
      <c r="CM110" s="458"/>
      <c r="CN110" s="459"/>
      <c r="CO110" s="447"/>
      <c r="CP110" s="458"/>
      <c r="CQ110" s="458"/>
      <c r="CR110" s="458"/>
      <c r="CS110" s="459"/>
      <c r="CT110" s="447"/>
      <c r="CU110" s="458"/>
      <c r="CV110" s="458"/>
      <c r="CW110" s="458"/>
      <c r="CX110" s="459"/>
      <c r="CY110" s="447"/>
      <c r="CZ110" s="458"/>
      <c r="DA110" s="458"/>
      <c r="DB110" s="458"/>
      <c r="DC110" s="459"/>
      <c r="DD110" s="447"/>
      <c r="DE110" s="458"/>
      <c r="DF110" s="458"/>
      <c r="DG110" s="458"/>
      <c r="DH110" s="459"/>
      <c r="DI110" s="447">
        <f t="shared" ref="DI110:DX110" si="72">DI106-DD106</f>
      </c>
      <c r="DJ110" s="447">
        <f t="shared" si="72"/>
      </c>
      <c r="DK110" s="447">
        <f t="shared" si="72"/>
      </c>
      <c r="DL110" s="447">
        <f t="shared" si="72"/>
      </c>
      <c r="DM110" s="459">
        <f t="shared" si="72"/>
      </c>
      <c r="DN110" s="447">
        <f t="shared" si="72"/>
      </c>
      <c r="DO110" s="447">
        <f t="shared" si="72"/>
      </c>
      <c r="DP110" s="447">
        <f t="shared" si="72"/>
      </c>
      <c r="DQ110" s="447">
        <f t="shared" si="72"/>
      </c>
      <c r="DR110" s="459">
        <f t="shared" si="72"/>
      </c>
      <c r="DS110" s="447">
        <f t="shared" si="72"/>
      </c>
      <c r="DT110" s="447">
        <f t="shared" si="72"/>
      </c>
      <c r="DU110" s="447">
        <f t="shared" si="72"/>
      </c>
      <c r="DV110" s="447">
        <f t="shared" si="72"/>
      </c>
      <c r="DW110" s="459">
        <f t="shared" si="72"/>
      </c>
      <c r="DX110" s="447">
        <f t="shared" si="72"/>
      </c>
      <c r="DY110" s="493">
        <v>-302</v>
      </c>
      <c r="DZ110" s="815">
        <v>33</v>
      </c>
      <c r="EA110" s="447">
        <f>EA106-DV106</f>
      </c>
      <c r="EB110" s="812">
        <v>943</v>
      </c>
      <c r="EC110" s="448">
        <v>649</v>
      </c>
      <c r="ED110" s="493">
        <v>998</v>
      </c>
      <c r="EE110" s="493">
        <v>739</v>
      </c>
      <c r="EF110" s="458">
        <f>EG110-EE110-ED110-EC110</f>
      </c>
      <c r="EG110" s="812">
        <v>2300</v>
      </c>
      <c r="EH110" s="447">
        <f t="shared" ref="EH110:FZ110" si="73">EH106-EC106</f>
      </c>
      <c r="EI110" s="447">
        <f t="shared" si="73"/>
      </c>
      <c r="EJ110" s="447">
        <f t="shared" si="73"/>
      </c>
      <c r="EK110" s="447">
        <f t="shared" si="73"/>
      </c>
      <c r="EL110" s="459">
        <f t="shared" si="73"/>
      </c>
      <c r="EM110" s="447">
        <f t="shared" si="73"/>
      </c>
      <c r="EN110" s="447">
        <f t="shared" si="73"/>
      </c>
      <c r="EO110" s="447">
        <f t="shared" si="73"/>
      </c>
      <c r="EP110" s="447">
        <f t="shared" si="73"/>
      </c>
      <c r="EQ110" s="459">
        <f t="shared" si="73"/>
      </c>
      <c r="ER110" s="447">
        <f t="shared" si="73"/>
      </c>
      <c r="ES110" s="447">
        <f t="shared" si="73"/>
      </c>
      <c r="ET110" s="447">
        <f t="shared" si="73"/>
      </c>
      <c r="EU110" s="447">
        <f>EU106-EP106</f>
      </c>
      <c r="EV110" s="459">
        <f>EV106-EQ106</f>
      </c>
      <c r="EW110" s="447">
        <f t="shared" si="73"/>
      </c>
      <c r="EX110" s="447">
        <f t="shared" si="73"/>
      </c>
      <c r="EY110" s="447">
        <f t="shared" si="73"/>
      </c>
      <c r="EZ110" s="447">
        <f>EZ106-EU106</f>
      </c>
      <c r="FA110" s="459">
        <f t="shared" si="73"/>
      </c>
      <c r="FB110" s="447">
        <f t="shared" si="73"/>
      </c>
      <c r="FC110" s="447">
        <f t="shared" si="73"/>
      </c>
      <c r="FD110" s="447">
        <f t="shared" si="73"/>
      </c>
      <c r="FE110" s="447">
        <f t="shared" si="73"/>
      </c>
      <c r="FF110" s="459">
        <f t="shared" si="73"/>
      </c>
      <c r="FG110" s="447">
        <f t="shared" si="73"/>
      </c>
      <c r="FH110" s="447">
        <f t="shared" si="73"/>
      </c>
      <c r="FI110" s="447">
        <f t="shared" si="73"/>
      </c>
      <c r="FJ110" s="447">
        <f t="shared" si="73"/>
      </c>
      <c r="FK110" s="459">
        <f t="shared" si="73"/>
      </c>
      <c r="FL110" s="447">
        <f t="shared" si="73"/>
      </c>
      <c r="FM110" s="447">
        <f t="shared" si="73"/>
      </c>
      <c r="FN110" s="447">
        <f t="shared" si="73"/>
      </c>
      <c r="FO110" s="447">
        <f t="shared" si="73"/>
      </c>
      <c r="FP110" s="459">
        <f t="shared" si="73"/>
      </c>
      <c r="FQ110" s="447">
        <f t="shared" si="73"/>
      </c>
      <c r="FR110" s="447">
        <f t="shared" si="73"/>
      </c>
      <c r="FS110" s="447">
        <f t="shared" si="73"/>
      </c>
      <c r="FT110" s="447">
        <f t="shared" si="73"/>
      </c>
      <c r="FU110" s="459">
        <f t="shared" si="73"/>
      </c>
      <c r="FV110" s="447">
        <f t="shared" si="73"/>
      </c>
      <c r="FW110" s="458">
        <f t="shared" si="73"/>
      </c>
      <c r="FX110" s="458">
        <f t="shared" si="73"/>
      </c>
      <c r="FY110" s="458">
        <f t="shared" si="73"/>
      </c>
      <c r="FZ110" s="459">
        <f t="shared" si="73"/>
      </c>
      <c r="GA110" s="447">
        <f t="shared" ref="GA110:GJ110" si="74">GA106-FV106</f>
      </c>
      <c r="GB110" s="458">
        <f t="shared" si="74"/>
      </c>
      <c r="GC110" s="458">
        <f t="shared" si="74"/>
      </c>
      <c r="GD110" s="458">
        <f t="shared" si="74"/>
      </c>
      <c r="GE110" s="459">
        <f t="shared" si="74"/>
      </c>
      <c r="GF110" s="447">
        <f t="shared" si="74"/>
      </c>
      <c r="GG110" s="458">
        <f t="shared" si="74"/>
      </c>
      <c r="GH110" s="458">
        <f t="shared" si="74"/>
      </c>
      <c r="GI110" s="458">
        <f t="shared" si="74"/>
      </c>
      <c r="GJ110" s="460">
        <f t="shared" si="74"/>
      </c>
    </row>
    <row r="111" spans="1:192" s="461" customFormat="1" ht="12.75" customHeight="1">
      <c r="A111" s="850"/>
      <c r="B111" s="735" t="s">
        <v>244</v>
      </c>
      <c r="C111" s="447"/>
      <c r="D111" s="458"/>
      <c r="E111" s="458"/>
      <c r="F111" s="458"/>
      <c r="G111" s="459"/>
      <c r="H111" s="447"/>
      <c r="I111" s="458"/>
      <c r="J111" s="458"/>
      <c r="K111" s="458"/>
      <c r="L111" s="459"/>
      <c r="M111" s="447"/>
      <c r="N111" s="458"/>
      <c r="O111" s="458"/>
      <c r="P111" s="458"/>
      <c r="Q111" s="459"/>
      <c r="R111" s="447"/>
      <c r="S111" s="458"/>
      <c r="T111" s="458"/>
      <c r="U111" s="458"/>
      <c r="V111" s="459"/>
      <c r="W111" s="447"/>
      <c r="X111" s="458"/>
      <c r="Y111" s="458"/>
      <c r="Z111" s="458"/>
      <c r="AA111" s="459"/>
      <c r="AB111" s="447"/>
      <c r="AC111" s="458"/>
      <c r="AD111" s="458"/>
      <c r="AE111" s="458"/>
      <c r="AF111" s="459"/>
      <c r="AG111" s="447"/>
      <c r="AH111" s="458"/>
      <c r="AI111" s="458"/>
      <c r="AJ111" s="458"/>
      <c r="AK111" s="459"/>
      <c r="AL111" s="447"/>
      <c r="AM111" s="458"/>
      <c r="AN111" s="458"/>
      <c r="AO111" s="458"/>
      <c r="AP111" s="459"/>
      <c r="AQ111" s="447"/>
      <c r="AR111" s="458"/>
      <c r="AS111" s="458"/>
      <c r="AT111" s="458"/>
      <c r="AU111" s="459"/>
      <c r="AV111" s="447"/>
      <c r="AW111" s="458"/>
      <c r="AX111" s="458"/>
      <c r="AY111" s="458"/>
      <c r="AZ111" s="459"/>
      <c r="BA111" s="447"/>
      <c r="BB111" s="458"/>
      <c r="BC111" s="458"/>
      <c r="BD111" s="458"/>
      <c r="BE111" s="459"/>
      <c r="BF111" s="447"/>
      <c r="BG111" s="458"/>
      <c r="BH111" s="458"/>
      <c r="BI111" s="458"/>
      <c r="BJ111" s="459"/>
      <c r="BK111" s="447"/>
      <c r="BL111" s="458"/>
      <c r="BM111" s="458"/>
      <c r="BN111" s="458"/>
      <c r="BO111" s="459"/>
      <c r="BP111" s="447"/>
      <c r="BQ111" s="458"/>
      <c r="BR111" s="458"/>
      <c r="BS111" s="458"/>
      <c r="BT111" s="459"/>
      <c r="BU111" s="447"/>
      <c r="BV111" s="458"/>
      <c r="BW111" s="458"/>
      <c r="BX111" s="458"/>
      <c r="BY111" s="459"/>
      <c r="BZ111" s="447"/>
      <c r="CA111" s="458"/>
      <c r="CB111" s="458"/>
      <c r="CC111" s="458"/>
      <c r="CD111" s="459"/>
      <c r="CE111" s="447"/>
      <c r="CF111" s="458"/>
      <c r="CG111" s="458"/>
      <c r="CH111" s="458"/>
      <c r="CI111" s="459"/>
      <c r="CJ111" s="447"/>
      <c r="CK111" s="458"/>
      <c r="CL111" s="458"/>
      <c r="CM111" s="458"/>
      <c r="CN111" s="459"/>
      <c r="CO111" s="447"/>
      <c r="CP111" s="458"/>
      <c r="CQ111" s="458"/>
      <c r="CR111" s="458"/>
      <c r="CS111" s="459"/>
      <c r="CT111" s="447"/>
      <c r="CU111" s="458"/>
      <c r="CV111" s="458"/>
      <c r="CW111" s="458"/>
      <c r="CX111" s="459"/>
      <c r="CY111" s="447"/>
      <c r="CZ111" s="458"/>
      <c r="DA111" s="458"/>
      <c r="DB111" s="458"/>
      <c r="DC111" s="459"/>
      <c r="DD111" s="447"/>
      <c r="DE111" s="447">
        <f>DE106-DD106</f>
      </c>
      <c r="DF111" s="447">
        <f>DF106-DE106</f>
      </c>
      <c r="DG111" s="447">
        <f>DG106-DF106</f>
      </c>
      <c r="DH111" s="459"/>
      <c r="DI111" s="447">
        <f>DI106-DG106</f>
      </c>
      <c r="DJ111" s="447">
        <f>DJ106-DI106</f>
      </c>
      <c r="DK111" s="447">
        <f>DK106-DJ106</f>
      </c>
      <c r="DL111" s="447">
        <f>DL106-DK106</f>
      </c>
      <c r="DM111" s="459"/>
      <c r="DN111" s="447">
        <f>DN106-DL106</f>
      </c>
      <c r="DO111" s="447">
        <f>DO106-DN106</f>
      </c>
      <c r="DP111" s="447">
        <f>DP106-DO106</f>
      </c>
      <c r="DQ111" s="447">
        <f>DQ106-DP106</f>
      </c>
      <c r="DR111" s="459"/>
      <c r="DS111" s="447">
        <f>DS106-DQ106</f>
      </c>
      <c r="DT111" s="447">
        <f>DT106-DS106</f>
      </c>
      <c r="DU111" s="447">
        <f>DU106-DT106</f>
      </c>
      <c r="DV111" s="447">
        <f>DV106-DU106</f>
      </c>
      <c r="DW111" s="459"/>
      <c r="DX111" s="447">
        <f>DX106-DV106</f>
      </c>
      <c r="DY111" s="447">
        <f>DY106-DX106</f>
      </c>
      <c r="DZ111" s="447">
        <f>DZ106-DY106</f>
      </c>
      <c r="EA111" s="447">
        <f>EA106-DZ106</f>
      </c>
      <c r="EB111" s="459"/>
      <c r="EC111" s="447">
        <f>EC106-EA106</f>
      </c>
      <c r="ED111" s="447">
        <f>ED106-EC106</f>
      </c>
      <c r="EE111" s="447">
        <f>EE106-ED106</f>
      </c>
      <c r="EF111" s="447">
        <f>EF106-EE106</f>
      </c>
      <c r="EG111" s="459"/>
      <c r="EH111" s="447">
        <f>EH106-EF106</f>
      </c>
      <c r="EI111" s="447">
        <f>EI106-EH106</f>
      </c>
      <c r="EJ111" s="447">
        <f>EJ106-EI106</f>
      </c>
      <c r="EK111" s="447">
        <f>EK106-EJ106</f>
      </c>
      <c r="EL111" s="459"/>
      <c r="EM111" s="447">
        <f>EM106-EK106</f>
      </c>
      <c r="EN111" s="447">
        <f>EN106-EM106</f>
      </c>
      <c r="EO111" s="447">
        <f>EO106-EN106</f>
      </c>
      <c r="EP111" s="447">
        <f>EP106-EO106</f>
      </c>
      <c r="EQ111" s="459"/>
      <c r="ER111" s="447">
        <f>ER106-EP106</f>
      </c>
      <c r="ES111" s="447">
        <f>ES106-ER106</f>
      </c>
      <c r="ET111" s="447">
        <f>ET106-ES106</f>
      </c>
      <c r="EU111" s="447">
        <f>EU106-ET106</f>
      </c>
      <c r="EV111" s="459"/>
      <c r="EW111" s="447">
        <f>EW106-EU106</f>
      </c>
      <c r="EX111" s="447">
        <f>EX106-EW106</f>
      </c>
      <c r="EY111" s="447">
        <f>EY106-EX106</f>
      </c>
      <c r="EZ111" s="447">
        <f>EZ106-EY106</f>
      </c>
      <c r="FA111" s="459"/>
      <c r="FB111" s="447">
        <f>FB106-EZ106</f>
      </c>
      <c r="FC111" s="447">
        <f>FC106-FB106</f>
      </c>
      <c r="FD111" s="447">
        <f>FD106-FC106</f>
      </c>
      <c r="FE111" s="447">
        <f>FE106-FD106</f>
      </c>
      <c r="FF111" s="459"/>
      <c r="FG111" s="447">
        <f>FG106-FE106</f>
      </c>
      <c r="FH111" s="447">
        <f>FH106-FG106</f>
      </c>
      <c r="FI111" s="447">
        <f>FI106-FH106</f>
      </c>
      <c r="FJ111" s="447">
        <f>FJ106-FI106</f>
      </c>
      <c r="FK111" s="459"/>
      <c r="FL111" s="447">
        <f>FL106-FJ106</f>
      </c>
      <c r="FM111" s="447">
        <f>FM106-FL106</f>
      </c>
      <c r="FN111" s="447">
        <f>FN106-FM106</f>
      </c>
      <c r="FO111" s="447">
        <f>FO106-FN106</f>
      </c>
      <c r="FP111" s="459"/>
      <c r="FQ111" s="447">
        <f>FQ106-FO106</f>
      </c>
      <c r="FR111" s="447">
        <f>FR106-FQ106</f>
      </c>
      <c r="FS111" s="447">
        <f>FS106-FR106</f>
      </c>
      <c r="FT111" s="447">
        <f>FT106-FS106</f>
      </c>
      <c r="FU111" s="459"/>
      <c r="FV111" s="447">
        <f>FV106-FT106</f>
      </c>
      <c r="FW111" s="458">
        <f>FW106-FV106</f>
      </c>
      <c r="FX111" s="458">
        <f>FX106-FW106</f>
      </c>
      <c r="FY111" s="458">
        <f>FY106-FX106</f>
      </c>
      <c r="FZ111" s="459"/>
      <c r="GA111" s="447">
        <f>GA106-FY106</f>
      </c>
      <c r="GB111" s="458">
        <f>GB106-GA106</f>
      </c>
      <c r="GC111" s="458">
        <f>GC106-GB106</f>
      </c>
      <c r="GD111" s="458">
        <f>GD106-GC106</f>
      </c>
      <c r="GE111" s="459"/>
      <c r="GF111" s="447">
        <f>GF106-GD106</f>
      </c>
      <c r="GG111" s="458">
        <f>GG106-GF106</f>
      </c>
      <c r="GH111" s="458">
        <f>GH106-GG106</f>
      </c>
      <c r="GI111" s="458">
        <f>GI106-GH106</f>
      </c>
      <c r="GJ111" s="460"/>
    </row>
    <row r="112" spans="1:192" ht="12.75" customHeight="1">
      <c r="B112" s="735" t="s">
        <v>249</v>
      </c>
      <c r="C112" s="291"/>
      <c r="D112" s="107"/>
      <c r="E112" s="107"/>
      <c r="F112" s="107"/>
      <c r="G112" s="293"/>
      <c r="H112" s="291"/>
      <c r="I112" s="107"/>
      <c r="J112" s="107"/>
      <c r="K112" s="107"/>
      <c r="L112" s="293"/>
      <c r="M112" s="291"/>
      <c r="N112" s="107"/>
      <c r="O112" s="107"/>
      <c r="P112" s="107"/>
      <c r="Q112" s="293"/>
      <c r="R112" s="291"/>
      <c r="S112" s="107"/>
      <c r="T112" s="107"/>
      <c r="U112" s="107"/>
      <c r="V112" s="293"/>
      <c r="W112" s="291"/>
      <c r="X112" s="107"/>
      <c r="Y112" s="107"/>
      <c r="Z112" s="107"/>
      <c r="AA112" s="293"/>
      <c r="AB112" s="291"/>
      <c r="AC112" s="107"/>
      <c r="AD112" s="107"/>
      <c r="AE112" s="107"/>
      <c r="AF112" s="293"/>
      <c r="AG112" s="291"/>
      <c r="AH112" s="107"/>
      <c r="AI112" s="107"/>
      <c r="AJ112" s="107"/>
      <c r="AK112" s="293"/>
      <c r="AL112" s="291"/>
      <c r="AM112" s="107"/>
      <c r="AN112" s="107"/>
      <c r="AO112" s="107"/>
      <c r="AP112" s="293"/>
      <c r="AQ112" s="291"/>
      <c r="AR112" s="107"/>
      <c r="AS112" s="107"/>
      <c r="AT112" s="107"/>
      <c r="AU112" s="293"/>
      <c r="AV112" s="291"/>
      <c r="AW112" s="107"/>
      <c r="AX112" s="107"/>
      <c r="AY112" s="107"/>
      <c r="AZ112" s="293"/>
      <c r="BA112" s="291"/>
      <c r="BB112" s="107"/>
      <c r="BC112" s="107"/>
      <c r="BD112" s="107"/>
      <c r="BE112" s="293"/>
      <c r="BF112" s="291"/>
      <c r="BG112" s="107"/>
      <c r="BH112" s="107"/>
      <c r="BI112" s="107"/>
      <c r="BJ112" s="293"/>
      <c r="BK112" s="291"/>
      <c r="BL112" s="107"/>
      <c r="BM112" s="107"/>
      <c r="BN112" s="107"/>
      <c r="BO112" s="293"/>
      <c r="BP112" s="291"/>
      <c r="BQ112" s="107"/>
      <c r="BR112" s="107"/>
      <c r="BS112" s="107"/>
      <c r="BT112" s="293"/>
      <c r="BU112" s="291"/>
      <c r="BV112" s="107"/>
      <c r="BW112" s="107"/>
      <c r="BX112" s="107"/>
      <c r="BY112" s="293"/>
      <c r="BZ112" s="291"/>
      <c r="CA112" s="107"/>
      <c r="CB112" s="107"/>
      <c r="CC112" s="107"/>
      <c r="CD112" s="293"/>
      <c r="CE112" s="291"/>
      <c r="CF112" s="107"/>
      <c r="CG112" s="107"/>
      <c r="CH112" s="107"/>
      <c r="CI112" s="293"/>
      <c r="CJ112" s="291"/>
      <c r="CK112" s="107"/>
      <c r="CL112" s="107"/>
      <c r="CM112" s="107"/>
      <c r="CN112" s="293"/>
      <c r="CO112" s="291"/>
      <c r="CP112" s="107"/>
      <c r="CQ112" s="107"/>
      <c r="CR112" s="107"/>
      <c r="CS112" s="293"/>
      <c r="CT112" s="291"/>
      <c r="CU112" s="107"/>
      <c r="CV112" s="107"/>
      <c r="CW112" s="107"/>
      <c r="CX112" s="293"/>
      <c r="CY112" s="291"/>
      <c r="CZ112" s="107"/>
      <c r="DA112" s="107"/>
      <c r="DB112" s="107"/>
      <c r="DC112" s="293"/>
      <c r="DD112" s="291"/>
      <c r="DE112" s="107"/>
      <c r="DF112" s="107"/>
      <c r="DG112" s="107">
        <f>DG106/DG89</f>
      </c>
      <c r="DH112" s="293"/>
      <c r="DI112" s="291">
        <f t="shared" ref="DI112:EN112" si="75">DI106/DI89</f>
      </c>
      <c r="DJ112" s="107">
        <f t="shared" si="75"/>
      </c>
      <c r="DK112" s="107">
        <f t="shared" si="75"/>
      </c>
      <c r="DL112" s="107">
        <f t="shared" si="75"/>
      </c>
      <c r="DM112" s="293">
        <f t="shared" si="75"/>
      </c>
      <c r="DN112" s="291">
        <f t="shared" si="75"/>
      </c>
      <c r="DO112" s="107">
        <f t="shared" si="75"/>
      </c>
      <c r="DP112" s="107">
        <f t="shared" si="75"/>
      </c>
      <c r="DQ112" s="107">
        <f t="shared" si="75"/>
      </c>
      <c r="DR112" s="293">
        <f t="shared" si="75"/>
      </c>
      <c r="DS112" s="291">
        <f t="shared" si="75"/>
      </c>
      <c r="DT112" s="107">
        <f t="shared" si="75"/>
      </c>
      <c r="DU112" s="107">
        <f t="shared" si="75"/>
      </c>
      <c r="DV112" s="107">
        <f t="shared" si="75"/>
      </c>
      <c r="DW112" s="293">
        <f t="shared" si="75"/>
      </c>
      <c r="DX112" s="291">
        <f t="shared" si="75"/>
      </c>
      <c r="DY112" s="107">
        <f t="shared" si="75"/>
      </c>
      <c r="DZ112" s="107">
        <f t="shared" si="75"/>
      </c>
      <c r="EA112" s="107">
        <f t="shared" si="75"/>
      </c>
      <c r="EB112" s="293">
        <f t="shared" si="75"/>
      </c>
      <c r="EC112" s="291">
        <f t="shared" si="75"/>
      </c>
      <c r="ED112" s="107">
        <f t="shared" si="75"/>
      </c>
      <c r="EE112" s="107">
        <f t="shared" si="75"/>
      </c>
      <c r="EF112" s="107">
        <f t="shared" si="75"/>
      </c>
      <c r="EG112" s="293">
        <f t="shared" si="75"/>
      </c>
      <c r="EH112" s="291">
        <f t="shared" si="75"/>
      </c>
      <c r="EI112" s="107">
        <f t="shared" si="75"/>
      </c>
      <c r="EJ112" s="107">
        <f t="shared" si="75"/>
      </c>
      <c r="EK112" s="107">
        <f t="shared" si="75"/>
      </c>
      <c r="EL112" s="293">
        <f t="shared" si="75"/>
      </c>
      <c r="EM112" s="291">
        <f t="shared" si="75"/>
      </c>
      <c r="EN112" s="107">
        <f t="shared" si="75"/>
      </c>
      <c r="EO112" s="107">
        <f t="shared" ref="EO112:FT112" si="76">EO106/EO89</f>
      </c>
      <c r="EP112" s="107">
        <f t="shared" si="76"/>
      </c>
      <c r="EQ112" s="293">
        <f t="shared" si="76"/>
      </c>
      <c r="ER112" s="291">
        <f t="shared" si="76"/>
      </c>
      <c r="ES112" s="107">
        <f t="shared" si="76"/>
      </c>
      <c r="ET112" s="107">
        <f t="shared" si="76"/>
      </c>
      <c r="EU112" s="107">
        <f t="shared" si="76"/>
      </c>
      <c r="EV112" s="293">
        <f t="shared" si="76"/>
      </c>
      <c r="EW112" s="291">
        <f t="shared" si="76"/>
      </c>
      <c r="EX112" s="107">
        <f t="shared" ref="EX112:EZ112" si="77">EX106/EX89</f>
      </c>
      <c r="EY112" s="107">
        <f t="shared" si="77"/>
      </c>
      <c r="EZ112" s="107">
        <f t="shared" si="77"/>
      </c>
      <c r="FA112" s="293">
        <f t="shared" si="76"/>
      </c>
      <c r="FB112" s="291">
        <f t="shared" si="76"/>
      </c>
      <c r="FC112" s="107">
        <f t="shared" si="76"/>
      </c>
      <c r="FD112" s="107">
        <f t="shared" si="76"/>
      </c>
      <c r="FE112" s="107">
        <f t="shared" si="76"/>
      </c>
      <c r="FF112" s="293">
        <f t="shared" si="76"/>
      </c>
      <c r="FG112" s="291">
        <f t="shared" si="76"/>
      </c>
      <c r="FH112" s="107">
        <f t="shared" si="76"/>
      </c>
      <c r="FI112" s="107">
        <f t="shared" si="76"/>
      </c>
      <c r="FJ112" s="107">
        <f t="shared" si="76"/>
      </c>
      <c r="FK112" s="293">
        <f t="shared" si="76"/>
      </c>
      <c r="FL112" s="291">
        <f t="shared" si="76"/>
      </c>
      <c r="FM112" s="107">
        <f t="shared" si="76"/>
      </c>
      <c r="FN112" s="107">
        <f t="shared" si="76"/>
      </c>
      <c r="FO112" s="107">
        <f t="shared" si="76"/>
      </c>
      <c r="FP112" s="293">
        <f t="shared" si="76"/>
      </c>
      <c r="FQ112" s="291">
        <f t="shared" si="76"/>
      </c>
      <c r="FR112" s="107">
        <f t="shared" si="76"/>
      </c>
      <c r="FS112" s="107">
        <f t="shared" si="76"/>
      </c>
      <c r="FT112" s="107">
        <f t="shared" si="76"/>
      </c>
      <c r="FU112" s="293">
        <f t="shared" ref="FU112:GE112" si="78">FU106/FU89</f>
      </c>
      <c r="FV112" s="291">
        <f t="shared" si="78"/>
      </c>
      <c r="FW112" s="107">
        <f t="shared" si="78"/>
      </c>
      <c r="FX112" s="107">
        <f t="shared" si="78"/>
      </c>
      <c r="FY112" s="107">
        <f t="shared" si="78"/>
      </c>
      <c r="FZ112" s="293">
        <f t="shared" si="78"/>
      </c>
      <c r="GA112" s="291">
        <f t="shared" si="78"/>
      </c>
      <c r="GB112" s="107">
        <f t="shared" si="78"/>
      </c>
      <c r="GC112" s="107">
        <f t="shared" si="78"/>
      </c>
      <c r="GD112" s="107">
        <f t="shared" si="78"/>
      </c>
      <c r="GE112" s="293">
        <f t="shared" si="78"/>
      </c>
      <c r="GF112" s="291">
        <f t="shared" ref="GF112:GJ112" si="79">GF106/GF89</f>
      </c>
      <c r="GG112" s="107">
        <f t="shared" si="79"/>
      </c>
      <c r="GH112" s="107">
        <f t="shared" si="79"/>
      </c>
      <c r="GI112" s="107">
        <f t="shared" si="79"/>
      </c>
      <c r="GJ112" s="382">
        <f t="shared" si="79"/>
      </c>
    </row>
    <row r="113" spans="1:192" ht="12.75" customHeight="1">
      <c r="A113" s="1644"/>
      <c r="B113" s="751"/>
      <c r="C113" s="107"/>
      <c r="D113" s="107"/>
      <c r="E113" s="107"/>
      <c r="F113" s="107"/>
      <c r="G113" s="292"/>
      <c r="H113" s="107"/>
      <c r="I113" s="107"/>
      <c r="J113" s="107"/>
      <c r="K113" s="107"/>
      <c r="L113" s="292"/>
      <c r="M113" s="107"/>
      <c r="N113" s="107"/>
      <c r="O113" s="107"/>
      <c r="P113" s="107"/>
      <c r="Q113" s="292"/>
      <c r="R113" s="107"/>
      <c r="S113" s="107"/>
      <c r="T113" s="107"/>
      <c r="U113" s="107"/>
      <c r="V113" s="292"/>
      <c r="W113" s="107"/>
      <c r="X113" s="107"/>
      <c r="Y113" s="107"/>
      <c r="Z113" s="107"/>
      <c r="AA113" s="292"/>
      <c r="AB113" s="107"/>
      <c r="AC113" s="107"/>
      <c r="AD113" s="107"/>
      <c r="AE113" s="107"/>
      <c r="AF113" s="292"/>
      <c r="AG113" s="107"/>
      <c r="AH113" s="107"/>
      <c r="AI113" s="107"/>
      <c r="AJ113" s="107"/>
      <c r="AK113" s="292"/>
      <c r="AL113" s="107"/>
      <c r="AM113" s="107"/>
      <c r="AN113" s="107"/>
      <c r="AO113" s="107"/>
      <c r="AP113" s="292"/>
      <c r="AQ113" s="107"/>
      <c r="AR113" s="107"/>
      <c r="AS113" s="107"/>
      <c r="AT113" s="107"/>
      <c r="AU113" s="292"/>
      <c r="AV113" s="107"/>
      <c r="AW113" s="107"/>
      <c r="AX113" s="107"/>
      <c r="AY113" s="107"/>
      <c r="AZ113" s="292"/>
      <c r="BA113" s="107"/>
      <c r="BB113" s="107"/>
      <c r="BC113" s="107"/>
      <c r="BD113" s="107"/>
      <c r="BE113" s="292"/>
      <c r="BF113" s="107"/>
      <c r="BG113" s="107"/>
      <c r="BH113" s="107"/>
      <c r="BI113" s="107"/>
      <c r="BJ113" s="292"/>
      <c r="BK113" s="107"/>
      <c r="BL113" s="107"/>
      <c r="BM113" s="107"/>
      <c r="BN113" s="107"/>
      <c r="BO113" s="292"/>
      <c r="BP113" s="107"/>
      <c r="BQ113" s="107"/>
      <c r="BR113" s="107"/>
      <c r="BS113" s="107"/>
      <c r="BT113" s="292"/>
      <c r="BU113" s="107"/>
      <c r="BV113" s="107"/>
      <c r="BW113" s="107"/>
      <c r="BX113" s="107"/>
      <c r="BY113" s="292"/>
      <c r="BZ113" s="107"/>
      <c r="CA113" s="107"/>
      <c r="CB113" s="107"/>
      <c r="CC113" s="107"/>
      <c r="CD113" s="292"/>
      <c r="CE113" s="107"/>
      <c r="CF113" s="107"/>
      <c r="CG113" s="107"/>
      <c r="CH113" s="107"/>
      <c r="CI113" s="292"/>
      <c r="CJ113" s="107"/>
      <c r="CK113" s="107"/>
      <c r="CL113" s="107"/>
      <c r="CM113" s="107"/>
      <c r="CN113" s="292"/>
      <c r="CO113" s="107"/>
      <c r="CP113" s="107"/>
      <c r="CQ113" s="107"/>
      <c r="CR113" s="107"/>
      <c r="CS113" s="292"/>
      <c r="CT113" s="107"/>
      <c r="CU113" s="107"/>
      <c r="CV113" s="107"/>
      <c r="CW113" s="107"/>
      <c r="CX113" s="292"/>
      <c r="CY113" s="107"/>
      <c r="CZ113" s="107"/>
      <c r="DA113" s="107"/>
      <c r="DB113" s="107"/>
      <c r="DC113" s="292"/>
      <c r="DD113" s="107"/>
      <c r="DE113" s="107"/>
      <c r="DF113" s="107"/>
      <c r="DG113" s="107"/>
      <c r="DH113" s="292"/>
      <c r="DI113" s="107"/>
      <c r="DJ113" s="107"/>
      <c r="DK113" s="107"/>
      <c r="DL113" s="107"/>
      <c r="DM113" s="292"/>
      <c r="DN113" s="107"/>
      <c r="DO113" s="107"/>
      <c r="DP113" s="107"/>
      <c r="DQ113" s="107"/>
      <c r="DR113" s="292"/>
      <c r="DS113" s="107"/>
      <c r="DT113" s="107"/>
      <c r="DU113" s="107"/>
      <c r="DV113" s="107"/>
      <c r="DW113" s="292"/>
      <c r="DX113" s="107"/>
      <c r="DY113" s="107"/>
      <c r="DZ113" s="107"/>
      <c r="EA113" s="107"/>
      <c r="EB113" s="292"/>
      <c r="EC113" s="107"/>
      <c r="ED113" s="107"/>
      <c r="EE113" s="107"/>
      <c r="EF113" s="107"/>
      <c r="EG113" s="292"/>
      <c r="EH113" s="107"/>
      <c r="EI113" s="107"/>
      <c r="EJ113" s="107"/>
      <c r="EK113" s="107"/>
      <c r="EL113" s="292"/>
      <c r="EM113" s="107"/>
      <c r="EN113" s="107"/>
      <c r="EO113" s="107"/>
      <c r="EP113" s="107"/>
      <c r="EQ113" s="292"/>
      <c r="ER113" s="463"/>
      <c r="ES113" s="463"/>
      <c r="ET113" s="107"/>
      <c r="EU113" s="107"/>
      <c r="EV113" s="292"/>
      <c r="EW113" s="107"/>
      <c r="EX113" s="463"/>
      <c r="EY113" s="463"/>
      <c r="EZ113" s="107"/>
      <c r="FA113" s="292"/>
      <c r="FB113" s="107"/>
      <c r="FC113" s="107"/>
      <c r="FD113" s="107"/>
      <c r="FE113" s="107"/>
      <c r="FF113" s="292"/>
      <c r="FG113" s="107"/>
      <c r="FH113" s="107"/>
      <c r="FI113" s="107"/>
      <c r="FJ113" s="107"/>
      <c r="FK113" s="292"/>
      <c r="FL113" s="107"/>
      <c r="FM113" s="107"/>
      <c r="FN113" s="107"/>
      <c r="FO113" s="107"/>
      <c r="FP113" s="292"/>
      <c r="FQ113" s="107"/>
      <c r="FR113" s="107"/>
      <c r="FS113" s="107"/>
      <c r="FT113" s="107"/>
      <c r="FU113" s="292"/>
      <c r="FV113" s="107"/>
      <c r="FW113" s="107"/>
      <c r="FX113" s="107"/>
      <c r="FY113" s="107"/>
      <c r="FZ113" s="292"/>
      <c r="GA113" s="107"/>
      <c r="GB113" s="107"/>
      <c r="GC113" s="107"/>
      <c r="GD113" s="107"/>
      <c r="GE113" s="292"/>
      <c r="GF113" s="107"/>
      <c r="GG113" s="107"/>
      <c r="GH113" s="107"/>
      <c r="GI113" s="107"/>
      <c r="GJ113" s="384"/>
    </row>
    <row r="114" spans="1:192" s="461" customFormat="1" ht="12.75" customHeight="1">
      <c r="A114" s="1643"/>
      <c r="B114" s="734" t="s">
        <v>400</v>
      </c>
      <c r="C114" s="443"/>
      <c r="D114" s="471"/>
      <c r="E114" s="471"/>
      <c r="F114" s="471"/>
      <c r="G114" s="516"/>
      <c r="H114" s="443"/>
      <c r="I114" s="471"/>
      <c r="J114" s="471"/>
      <c r="K114" s="471"/>
      <c r="L114" s="516"/>
      <c r="M114" s="443"/>
      <c r="N114" s="471"/>
      <c r="O114" s="471"/>
      <c r="P114" s="471"/>
      <c r="Q114" s="516"/>
      <c r="R114" s="443"/>
      <c r="S114" s="471"/>
      <c r="T114" s="471"/>
      <c r="U114" s="471"/>
      <c r="V114" s="516"/>
      <c r="W114" s="443"/>
      <c r="X114" s="471"/>
      <c r="Y114" s="471"/>
      <c r="Z114" s="471"/>
      <c r="AA114" s="516"/>
      <c r="AB114" s="443"/>
      <c r="AC114" s="471"/>
      <c r="AD114" s="471"/>
      <c r="AE114" s="471"/>
      <c r="AF114" s="516"/>
      <c r="AG114" s="443"/>
      <c r="AH114" s="471"/>
      <c r="AI114" s="471"/>
      <c r="AJ114" s="471"/>
      <c r="AK114" s="516"/>
      <c r="AL114" s="443"/>
      <c r="AM114" s="471"/>
      <c r="AN114" s="471"/>
      <c r="AO114" s="471"/>
      <c r="AP114" s="516"/>
      <c r="AQ114" s="443"/>
      <c r="AR114" s="471"/>
      <c r="AS114" s="471"/>
      <c r="AT114" s="471"/>
      <c r="AU114" s="516"/>
      <c r="AV114" s="443"/>
      <c r="AW114" s="471"/>
      <c r="AX114" s="471"/>
      <c r="AY114" s="471"/>
      <c r="AZ114" s="516"/>
      <c r="BA114" s="443"/>
      <c r="BB114" s="471"/>
      <c r="BC114" s="471"/>
      <c r="BD114" s="471"/>
      <c r="BE114" s="516"/>
      <c r="BF114" s="443"/>
      <c r="BG114" s="471"/>
      <c r="BH114" s="471"/>
      <c r="BI114" s="471"/>
      <c r="BJ114" s="516"/>
      <c r="BK114" s="443"/>
      <c r="BL114" s="471"/>
      <c r="BM114" s="471"/>
      <c r="BN114" s="471"/>
      <c r="BO114" s="516"/>
      <c r="BP114" s="443"/>
      <c r="BQ114" s="471"/>
      <c r="BR114" s="471"/>
      <c r="BS114" s="471"/>
      <c r="BT114" s="516"/>
      <c r="BU114" s="443"/>
      <c r="BV114" s="471"/>
      <c r="BW114" s="471"/>
      <c r="BX114" s="471"/>
      <c r="BY114" s="516"/>
      <c r="BZ114" s="443"/>
      <c r="CA114" s="471"/>
      <c r="CB114" s="471"/>
      <c r="CC114" s="471"/>
      <c r="CD114" s="516"/>
      <c r="CE114" s="443"/>
      <c r="CF114" s="471"/>
      <c r="CG114" s="471"/>
      <c r="CH114" s="471"/>
      <c r="CI114" s="516"/>
      <c r="CJ114" s="443"/>
      <c r="CK114" s="471"/>
      <c r="CL114" s="471"/>
      <c r="CM114" s="471"/>
      <c r="CN114" s="516"/>
      <c r="CO114" s="443"/>
      <c r="CP114" s="471"/>
      <c r="CQ114" s="471"/>
      <c r="CR114" s="471"/>
      <c r="CS114" s="516"/>
      <c r="CT114" s="471">
        <f>CY118/CY115</f>
      </c>
      <c r="CU114" s="471">
        <f>CZ118/CZ115</f>
      </c>
      <c r="CV114" s="471">
        <f>DA118/DA115</f>
      </c>
      <c r="CW114" s="471">
        <f>CX114-CV114-CU114-CT114</f>
      </c>
      <c r="CX114" s="516">
        <f>DC118/DC115</f>
      </c>
      <c r="CY114" s="471">
        <f>CT114*(1+CY115)</f>
      </c>
      <c r="CZ114" s="471">
        <f>CU114*(1+CZ115)</f>
      </c>
      <c r="DA114" s="471">
        <f>CV114*(1+DA115)</f>
      </c>
      <c r="DB114" s="471">
        <f>DC114-DA114-CZ114-CY114</f>
      </c>
      <c r="DC114" s="516">
        <f>CX114*(1+DC115)</f>
      </c>
      <c r="DD114" s="471">
        <f>DI114/(1+DI115)</f>
      </c>
      <c r="DE114" s="471">
        <f>DJ114/(1+DJ115)</f>
      </c>
      <c r="DF114" s="471">
        <f>DK114/(1+DK115)</f>
      </c>
      <c r="DG114" s="471">
        <f>DG89-DG106</f>
      </c>
      <c r="DH114" s="516">
        <f>SUM(DD114:DG114)</f>
      </c>
      <c r="DI114" s="471">
        <f>DI89-DI106</f>
      </c>
      <c r="DJ114" s="471">
        <f>DJ89-DJ106</f>
      </c>
      <c r="DK114" s="471">
        <f>DK89-DK106</f>
      </c>
      <c r="DL114" s="471">
        <f>DL89-DL106</f>
      </c>
      <c r="DM114" s="516">
        <f>SUM(DI114:DL114)</f>
      </c>
      <c r="DN114" s="471">
        <f>DN89-DN106</f>
      </c>
      <c r="DO114" s="471">
        <f>DO89-DO106</f>
      </c>
      <c r="DP114" s="471">
        <f>DP89-DP106</f>
      </c>
      <c r="DQ114" s="471">
        <f>DQ89-DQ106</f>
      </c>
      <c r="DR114" s="516">
        <f>SUM(DN114:DQ114)</f>
      </c>
      <c r="DS114" s="471">
        <f>DS89-DS106</f>
      </c>
      <c r="DT114" s="471">
        <f>DT89-DT106</f>
      </c>
      <c r="DU114" s="471">
        <f>DU89-DU106</f>
      </c>
      <c r="DV114" s="471">
        <f>DV89-DV106</f>
      </c>
      <c r="DW114" s="516">
        <f>SUM(DS114:DV114)</f>
      </c>
      <c r="DX114" s="471">
        <f>DX89-DX106</f>
      </c>
      <c r="DY114" s="471">
        <f>DY89-DY106</f>
      </c>
      <c r="DZ114" s="471">
        <f>DZ89-DZ106</f>
      </c>
      <c r="EA114" s="471">
        <f>EA89-EA106</f>
      </c>
      <c r="EB114" s="516">
        <f>SUM(DX114:EA114)</f>
      </c>
      <c r="EC114" s="471">
        <f>EC89-EC106</f>
      </c>
      <c r="ED114" s="471">
        <f>ED89-ED106</f>
      </c>
      <c r="EE114" s="471">
        <f>EE89-EE106</f>
      </c>
      <c r="EF114" s="471">
        <f>EF89-EF106</f>
      </c>
      <c r="EG114" s="516">
        <f>SUM(EC114:EF114)</f>
      </c>
      <c r="EH114" s="471">
        <f>EH89-EH106</f>
      </c>
      <c r="EI114" s="471">
        <f>EI89-EI106</f>
      </c>
      <c r="EJ114" s="471">
        <f>EJ89-EJ106</f>
      </c>
      <c r="EK114" s="471">
        <f>EK89-EK106</f>
      </c>
      <c r="EL114" s="516">
        <f>SUM(EH114:EK114)</f>
      </c>
      <c r="EM114" s="471">
        <f>EM89-EM106</f>
      </c>
      <c r="EN114" s="471">
        <f>EN89-EN106</f>
      </c>
      <c r="EO114" s="471">
        <f>EO89-EO106</f>
      </c>
      <c r="EP114" s="471">
        <f>EP89-EP106</f>
      </c>
      <c r="EQ114" s="516">
        <f>SUM(EM114:EP114)</f>
      </c>
      <c r="ER114" s="471">
        <f>ER89-ER106</f>
      </c>
      <c r="ES114" s="471">
        <f>ES89-ES106</f>
      </c>
      <c r="ET114" s="471">
        <f>ET89-ET106</f>
      </c>
      <c r="EU114" s="471">
        <f>EU89-EU106</f>
      </c>
      <c r="EV114" s="516">
        <f>SUM(ER114:EU114)</f>
      </c>
      <c r="EW114" s="471">
        <f>EW89-EW106</f>
      </c>
      <c r="EX114" s="471">
        <f>EX89-EX106</f>
      </c>
      <c r="EY114" s="471">
        <f>EY89-EY106</f>
      </c>
      <c r="EZ114" s="471">
        <f>EZ89-EZ106</f>
      </c>
      <c r="FA114" s="516">
        <f>SUM(EW114:EZ114)</f>
      </c>
      <c r="FB114" s="471">
        <f>EW114*(1+FB115)</f>
      </c>
      <c r="FC114" s="471">
        <f>EX114*(1+FC115)</f>
      </c>
      <c r="FD114" s="471">
        <f>EY114*(1+FD115)</f>
      </c>
      <c r="FE114" s="471">
        <f>EZ114*(1+FE115)</f>
      </c>
      <c r="FF114" s="516">
        <f>SUM(FB114:FE114)</f>
      </c>
      <c r="FG114" s="471">
        <f>FB114*(1+FG115)</f>
      </c>
      <c r="FH114" s="471">
        <f>FC114*(1+FH115)</f>
      </c>
      <c r="FI114" s="471">
        <f>FD114*(1+FI115)</f>
      </c>
      <c r="FJ114" s="471">
        <f>FE114*(1+FJ115)</f>
      </c>
      <c r="FK114" s="516">
        <f>SUM(FG114:FJ114)</f>
      </c>
      <c r="FL114" s="471">
        <f>FG114*(1+FL115)</f>
      </c>
      <c r="FM114" s="471">
        <f>FH114*(1+FM115)</f>
      </c>
      <c r="FN114" s="471">
        <f>FI114*(1+FN115)</f>
      </c>
      <c r="FO114" s="471">
        <f>FJ114*(1+FO115)</f>
      </c>
      <c r="FP114" s="516">
        <f>SUM(FL114:FO114)</f>
      </c>
      <c r="FQ114" s="471">
        <f>FL114*(1+FQ115)</f>
      </c>
      <c r="FR114" s="471">
        <f>FM114*(1+FR115)</f>
      </c>
      <c r="FS114" s="471">
        <f>FN114*(1+FS115)</f>
      </c>
      <c r="FT114" s="471">
        <f>FO114*(1+FT115)</f>
      </c>
      <c r="FU114" s="516">
        <f>SUM(FQ114:FT114)</f>
      </c>
      <c r="FV114" s="471">
        <f>FQ114*(1+FV115)</f>
      </c>
      <c r="FW114" s="471">
        <f>FR114*(1+FW115)</f>
      </c>
      <c r="FX114" s="471">
        <f>FS114*(1+FX115)</f>
      </c>
      <c r="FY114" s="471">
        <f>FT114*(1+FY115)</f>
      </c>
      <c r="FZ114" s="516">
        <f>SUM(FV114:FY114)</f>
      </c>
      <c r="GA114" s="471">
        <f>FV114*(1+GA115)</f>
      </c>
      <c r="GB114" s="471">
        <f>FW114*(1+GB115)</f>
      </c>
      <c r="GC114" s="471">
        <f>FX114*(1+GC115)</f>
      </c>
      <c r="GD114" s="471">
        <f>FY114*(1+GD115)</f>
      </c>
      <c r="GE114" s="516">
        <f>SUM(GA114:GD114)</f>
      </c>
      <c r="GF114" s="471">
        <f>GA114*(1+GF115)</f>
      </c>
      <c r="GG114" s="471">
        <f>GB114*(1+GG115)</f>
      </c>
      <c r="GH114" s="471">
        <f>GC114*(1+GH115)</f>
      </c>
      <c r="GI114" s="471">
        <f>GD114*(1+GI115)</f>
      </c>
      <c r="GJ114" s="808">
        <f>SUM(GF114:GI114)</f>
      </c>
    </row>
    <row r="115" spans="1:192" ht="12.75" customHeight="1">
      <c r="A115" s="1643"/>
      <c r="B115" s="750" t="s">
        <v>34</v>
      </c>
      <c r="C115" s="291"/>
      <c r="D115" s="107"/>
      <c r="E115" s="107"/>
      <c r="F115" s="107"/>
      <c r="G115" s="292"/>
      <c r="H115" s="291"/>
      <c r="I115" s="107"/>
      <c r="J115" s="107"/>
      <c r="K115" s="107"/>
      <c r="L115" s="292"/>
      <c r="M115" s="291"/>
      <c r="N115" s="107"/>
      <c r="O115" s="107"/>
      <c r="P115" s="107"/>
      <c r="Q115" s="292"/>
      <c r="R115" s="291"/>
      <c r="S115" s="107"/>
      <c r="T115" s="107"/>
      <c r="U115" s="107"/>
      <c r="V115" s="292"/>
      <c r="W115" s="291"/>
      <c r="X115" s="107"/>
      <c r="Y115" s="107"/>
      <c r="Z115" s="107"/>
      <c r="AA115" s="292"/>
      <c r="AB115" s="291"/>
      <c r="AC115" s="107"/>
      <c r="AD115" s="107"/>
      <c r="AE115" s="107"/>
      <c r="AF115" s="292"/>
      <c r="AG115" s="291"/>
      <c r="AH115" s="107"/>
      <c r="AI115" s="107"/>
      <c r="AJ115" s="107"/>
      <c r="AK115" s="292"/>
      <c r="AL115" s="291"/>
      <c r="AM115" s="107"/>
      <c r="AN115" s="107"/>
      <c r="AO115" s="107"/>
      <c r="AP115" s="292"/>
      <c r="AQ115" s="291"/>
      <c r="AR115" s="107"/>
      <c r="AS115" s="107"/>
      <c r="AT115" s="107"/>
      <c r="AU115" s="292"/>
      <c r="AV115" s="291"/>
      <c r="AW115" s="107"/>
      <c r="AX115" s="107"/>
      <c r="AY115" s="107"/>
      <c r="AZ115" s="292"/>
      <c r="BA115" s="291"/>
      <c r="BB115" s="107"/>
      <c r="BC115" s="107"/>
      <c r="BD115" s="107"/>
      <c r="BE115" s="292"/>
      <c r="BF115" s="291"/>
      <c r="BG115" s="107"/>
      <c r="BH115" s="107"/>
      <c r="BI115" s="107"/>
      <c r="BJ115" s="292"/>
      <c r="BK115" s="291"/>
      <c r="BL115" s="107"/>
      <c r="BM115" s="107"/>
      <c r="BN115" s="107"/>
      <c r="BO115" s="292"/>
      <c r="BP115" s="291"/>
      <c r="BQ115" s="107"/>
      <c r="BR115" s="107"/>
      <c r="BS115" s="107"/>
      <c r="BT115" s="292"/>
      <c r="BU115" s="412"/>
      <c r="BV115" s="114"/>
      <c r="BW115" s="114"/>
      <c r="BX115" s="114"/>
      <c r="BY115" s="292"/>
      <c r="BZ115" s="412"/>
      <c r="CA115" s="114"/>
      <c r="CB115" s="114"/>
      <c r="CC115" s="114"/>
      <c r="CD115" s="292"/>
      <c r="CE115" s="412"/>
      <c r="CF115" s="114"/>
      <c r="CG115" s="114"/>
      <c r="CH115" s="114"/>
      <c r="CI115" s="292"/>
      <c r="CJ115" s="412"/>
      <c r="CK115" s="114"/>
      <c r="CL115" s="114"/>
      <c r="CM115" s="114"/>
      <c r="CN115" s="292"/>
      <c r="CO115" s="412"/>
      <c r="CP115" s="114"/>
      <c r="CQ115" s="114"/>
      <c r="CR115" s="114"/>
      <c r="CS115" s="292"/>
      <c r="CT115" s="412"/>
      <c r="CU115" s="114"/>
      <c r="CV115" s="114"/>
      <c r="CW115" s="114"/>
      <c r="CX115" s="292"/>
      <c r="CY115" s="412">
        <v>0.57999999999999996</v>
      </c>
      <c r="CZ115" s="114">
        <v>-0.2</v>
      </c>
      <c r="DA115" s="114">
        <v>-0.24</v>
      </c>
      <c r="DB115" s="107">
        <f>DB114/CW114-1</f>
      </c>
      <c r="DC115" s="413">
        <v>-0.06</v>
      </c>
      <c r="DD115" s="412">
        <v>-0.17</v>
      </c>
      <c r="DE115" s="114">
        <v>-0.11</v>
      </c>
      <c r="DF115" s="114">
        <v>-0.14000000000000001</v>
      </c>
      <c r="DG115" s="107">
        <f>DG114/DB114-1</f>
      </c>
      <c r="DH115" s="413">
        <v>-0.16</v>
      </c>
      <c r="DI115" s="412">
        <v>-0.26</v>
      </c>
      <c r="DJ115" s="114">
        <v>-0.23</v>
      </c>
      <c r="DK115" s="114">
        <v>-0.2</v>
      </c>
      <c r="DL115" s="107">
        <f>DL114/DG114-1</f>
      </c>
      <c r="DM115" s="413">
        <v>-0.21</v>
      </c>
      <c r="DN115" s="412">
        <v>-0.48</v>
      </c>
      <c r="DO115" s="439">
        <v>0.14000000000000001</v>
      </c>
      <c r="DP115" s="107">
        <f>DP114/DK114-1</f>
      </c>
      <c r="DQ115" s="107">
        <f>DQ114/DL114-1</f>
      </c>
      <c r="DR115" s="292">
        <f>DR114/DM114-1</f>
      </c>
      <c r="DS115" s="412">
        <v>0.94</v>
      </c>
      <c r="DT115" s="114">
        <v>-0.19</v>
      </c>
      <c r="DU115" s="114">
        <v>-0.33</v>
      </c>
      <c r="DV115" s="114">
        <v>-0.48</v>
      </c>
      <c r="DW115" s="413">
        <v>-0.13</v>
      </c>
      <c r="DX115" s="412">
        <v>-0.34</v>
      </c>
      <c r="DY115" s="114">
        <v>-0.43</v>
      </c>
      <c r="DZ115" s="114">
        <v>-0.2</v>
      </c>
      <c r="EA115" s="107">
        <f>EA114/DV114-1</f>
      </c>
      <c r="EB115" s="413">
        <v>-0.31</v>
      </c>
      <c r="EC115" s="412">
        <v>-0.27</v>
      </c>
      <c r="ED115" s="114">
        <v>0.86</v>
      </c>
      <c r="EE115" s="114">
        <v>2.3199999999999998</v>
      </c>
      <c r="EF115" s="114">
        <v>1.72</v>
      </c>
      <c r="EG115" s="413">
        <v>0.92</v>
      </c>
      <c r="EH115" s="412">
        <v>1.66</v>
      </c>
      <c r="EI115" s="114">
        <v>0.04</v>
      </c>
      <c r="EJ115" s="114">
        <v>0.14000000000000001</v>
      </c>
      <c r="EK115" s="114">
        <v>-0.11</v>
      </c>
      <c r="EL115" s="292">
        <f>EL114/EG114-1</f>
      </c>
      <c r="EM115" s="412">
        <v>0.13</v>
      </c>
      <c r="EN115" s="114">
        <v>-0.13</v>
      </c>
      <c r="EO115" s="114">
        <v>-0.3</v>
      </c>
      <c r="EP115" s="114">
        <v>-0.13</v>
      </c>
      <c r="EQ115" s="292">
        <f>EQ114/EL114-1</f>
      </c>
      <c r="ER115" s="412">
        <v>-7.0000000000000007E-2</v>
      </c>
      <c r="ES115" s="114">
        <v>0.03</v>
      </c>
      <c r="ET115" s="439">
        <v>-0.31</v>
      </c>
      <c r="EU115" s="439">
        <v>-0.42</v>
      </c>
      <c r="EV115" s="292">
        <f>EV114/EQ114-1</f>
      </c>
      <c r="EW115" s="441">
        <v>-0.28999999999999998</v>
      </c>
      <c r="EX115" s="441">
        <v>-0.28999999999999998</v>
      </c>
      <c r="EY115" s="441">
        <v>-0.06</v>
      </c>
      <c r="EZ115" s="441">
        <v>-0.22</v>
      </c>
      <c r="FA115" s="292">
        <f>FA114/EV114-1</f>
      </c>
      <c r="FB115" s="412">
        <v>0</v>
      </c>
      <c r="FC115" s="412">
        <f>FB115</f>
      </c>
      <c r="FD115" s="412">
        <f>FC115</f>
      </c>
      <c r="FE115" s="412">
        <f>FD115</f>
      </c>
      <c r="FF115" s="292">
        <f>FF114/FA114-1</f>
      </c>
      <c r="FG115" s="412">
        <f>FE115</f>
      </c>
      <c r="FH115" s="412">
        <f>FG115</f>
      </c>
      <c r="FI115" s="412">
        <f>FH115</f>
      </c>
      <c r="FJ115" s="412">
        <f>FI115</f>
      </c>
      <c r="FK115" s="292">
        <f>FK114/FF114-1</f>
      </c>
      <c r="FL115" s="412">
        <f>FJ115</f>
      </c>
      <c r="FM115" s="412">
        <f>FL115</f>
      </c>
      <c r="FN115" s="412">
        <f>FM115</f>
      </c>
      <c r="FO115" s="412">
        <f>FN115</f>
      </c>
      <c r="FP115" s="292">
        <f>FP114/FK114-1</f>
      </c>
      <c r="FQ115" s="412">
        <f>FO115</f>
      </c>
      <c r="FR115" s="412">
        <f>FQ115</f>
      </c>
      <c r="FS115" s="412">
        <f>FR115</f>
      </c>
      <c r="FT115" s="412">
        <f>FS115</f>
      </c>
      <c r="FU115" s="292">
        <f>FU114/FP114-1</f>
      </c>
      <c r="FV115" s="412">
        <f>FT115</f>
      </c>
      <c r="FW115" s="412">
        <f>FV115</f>
      </c>
      <c r="FX115" s="412">
        <f>FW115</f>
      </c>
      <c r="FY115" s="412">
        <f>FX115</f>
      </c>
      <c r="FZ115" s="292">
        <f>FZ114/FU114-1</f>
      </c>
      <c r="GA115" s="412">
        <f>FY115</f>
      </c>
      <c r="GB115" s="412">
        <f>GA115</f>
      </c>
      <c r="GC115" s="412">
        <f>GB115</f>
      </c>
      <c r="GD115" s="412">
        <f>GC115</f>
      </c>
      <c r="GE115" s="292">
        <f>GE114/FZ114-1</f>
      </c>
      <c r="GF115" s="412">
        <f>GD115</f>
      </c>
      <c r="GG115" s="412">
        <f>GF115</f>
      </c>
      <c r="GH115" s="412">
        <f>GG115</f>
      </c>
      <c r="GI115" s="412">
        <f>GH115</f>
      </c>
      <c r="GJ115" s="384">
        <f>GJ114/GE114-1</f>
      </c>
    </row>
    <row r="116" spans="1:192" ht="12.75" customHeight="1">
      <c r="B116" s="735" t="s">
        <v>197</v>
      </c>
      <c r="C116" s="291"/>
      <c r="D116" s="107"/>
      <c r="E116" s="107"/>
      <c r="F116" s="107"/>
      <c r="G116" s="293"/>
      <c r="H116" s="291"/>
      <c r="I116" s="107"/>
      <c r="J116" s="107"/>
      <c r="K116" s="107"/>
      <c r="L116" s="293"/>
      <c r="M116" s="291"/>
      <c r="N116" s="107"/>
      <c r="O116" s="107"/>
      <c r="P116" s="107"/>
      <c r="Q116" s="293"/>
      <c r="R116" s="291"/>
      <c r="S116" s="107"/>
      <c r="T116" s="107"/>
      <c r="U116" s="107"/>
      <c r="V116" s="293"/>
      <c r="W116" s="291"/>
      <c r="X116" s="107"/>
      <c r="Y116" s="107"/>
      <c r="Z116" s="107"/>
      <c r="AA116" s="293"/>
      <c r="AB116" s="291"/>
      <c r="AC116" s="107"/>
      <c r="AD116" s="107"/>
      <c r="AE116" s="107"/>
      <c r="AF116" s="293"/>
      <c r="AG116" s="291"/>
      <c r="AH116" s="107"/>
      <c r="AI116" s="107"/>
      <c r="AJ116" s="107"/>
      <c r="AK116" s="293"/>
      <c r="AL116" s="291"/>
      <c r="AM116" s="107"/>
      <c r="AN116" s="107"/>
      <c r="AO116" s="107"/>
      <c r="AP116" s="293"/>
      <c r="AQ116" s="291"/>
      <c r="AR116" s="107"/>
      <c r="AS116" s="107"/>
      <c r="AT116" s="107"/>
      <c r="AU116" s="293"/>
      <c r="AV116" s="291"/>
      <c r="AW116" s="107"/>
      <c r="AX116" s="107"/>
      <c r="AY116" s="107"/>
      <c r="AZ116" s="293"/>
      <c r="BA116" s="291"/>
      <c r="BB116" s="107"/>
      <c r="BC116" s="107"/>
      <c r="BD116" s="107"/>
      <c r="BE116" s="293"/>
      <c r="BF116" s="291"/>
      <c r="BG116" s="107"/>
      <c r="BH116" s="107"/>
      <c r="BI116" s="107"/>
      <c r="BJ116" s="293"/>
      <c r="BK116" s="291"/>
      <c r="BL116" s="107"/>
      <c r="BM116" s="107"/>
      <c r="BN116" s="107"/>
      <c r="BO116" s="293"/>
      <c r="BP116" s="291"/>
      <c r="BQ116" s="107"/>
      <c r="BR116" s="107"/>
      <c r="BS116" s="107"/>
      <c r="BT116" s="293"/>
      <c r="BU116" s="412"/>
      <c r="BV116" s="114"/>
      <c r="BW116" s="114"/>
      <c r="BX116" s="114"/>
      <c r="BY116" s="293"/>
      <c r="BZ116" s="412"/>
      <c r="CA116" s="114"/>
      <c r="CB116" s="114"/>
      <c r="CC116" s="114"/>
      <c r="CD116" s="293"/>
      <c r="CE116" s="412"/>
      <c r="CF116" s="114"/>
      <c r="CG116" s="114"/>
      <c r="CH116" s="114"/>
      <c r="CI116" s="293"/>
      <c r="CJ116" s="412"/>
      <c r="CK116" s="114"/>
      <c r="CL116" s="114"/>
      <c r="CM116" s="114"/>
      <c r="CN116" s="293"/>
      <c r="CO116" s="412"/>
      <c r="CP116" s="114"/>
      <c r="CQ116" s="114"/>
      <c r="CR116" s="114"/>
      <c r="CS116" s="293"/>
      <c r="CT116" s="412"/>
      <c r="CU116" s="114"/>
      <c r="CV116" s="114"/>
      <c r="CW116" s="114"/>
      <c r="CX116" s="293"/>
      <c r="CY116" s="412"/>
      <c r="CZ116" s="114"/>
      <c r="DA116" s="114"/>
      <c r="DB116" s="114"/>
      <c r="DC116" s="293"/>
      <c r="DD116" s="412"/>
      <c r="DE116" s="114"/>
      <c r="DF116" s="114"/>
      <c r="DG116" s="114"/>
      <c r="DH116" s="293"/>
      <c r="DI116" s="412"/>
      <c r="DJ116" s="114"/>
      <c r="DK116" s="114"/>
      <c r="DL116" s="114"/>
      <c r="DM116" s="293"/>
      <c r="DN116" s="412"/>
      <c r="DO116" s="114">
        <v>0.13</v>
      </c>
      <c r="DP116" s="114"/>
      <c r="DQ116" s="114"/>
      <c r="DR116" s="293"/>
      <c r="DS116" s="412">
        <v>0.96</v>
      </c>
      <c r="DT116" s="114">
        <v>-0.19</v>
      </c>
      <c r="DU116" s="114"/>
      <c r="DV116" s="114">
        <v>-0.47</v>
      </c>
      <c r="DW116" s="293"/>
      <c r="DX116" s="412"/>
      <c r="DY116" s="114"/>
      <c r="DZ116" s="114"/>
      <c r="EA116" s="114"/>
      <c r="EB116" s="293"/>
      <c r="EC116" s="412"/>
      <c r="ED116" s="114">
        <v>0.86</v>
      </c>
      <c r="EE116" s="114">
        <v>2.23</v>
      </c>
      <c r="EF116" s="114">
        <v>1.63</v>
      </c>
      <c r="EG116" s="293"/>
      <c r="EH116" s="412">
        <v>1.62</v>
      </c>
      <c r="EI116" s="114">
        <v>0.03</v>
      </c>
      <c r="EJ116" s="114">
        <v>0.16</v>
      </c>
      <c r="EK116" s="114">
        <v>-0.08</v>
      </c>
      <c r="EL116" s="293"/>
      <c r="EM116" s="412">
        <v>0.19</v>
      </c>
      <c r="EN116" s="114">
        <v>-0.09</v>
      </c>
      <c r="EO116" s="114">
        <v>-0.28000000000000003</v>
      </c>
      <c r="EP116" s="114">
        <v>-0.13</v>
      </c>
      <c r="EQ116" s="293"/>
      <c r="ER116" s="412">
        <v>-0.08</v>
      </c>
      <c r="ES116" s="114">
        <v>0.01</v>
      </c>
      <c r="ET116" s="439">
        <v>-0.3</v>
      </c>
      <c r="EU116" s="439">
        <v>-0.41</v>
      </c>
      <c r="EV116" s="293"/>
      <c r="EW116" s="441">
        <v>-0.28999999999999998</v>
      </c>
      <c r="EX116" s="441">
        <v>-0.28999999999999998</v>
      </c>
      <c r="EY116" s="439">
        <v>-0.05</v>
      </c>
      <c r="EZ116" s="439">
        <v>-0.22</v>
      </c>
      <c r="FA116" s="293"/>
      <c r="FB116" s="291"/>
      <c r="FC116" s="107"/>
      <c r="FD116" s="107"/>
      <c r="FE116" s="107"/>
      <c r="FF116" s="293"/>
      <c r="FG116" s="291"/>
      <c r="FH116" s="107"/>
      <c r="FI116" s="107"/>
      <c r="FJ116" s="107"/>
      <c r="FK116" s="293"/>
      <c r="FL116" s="291"/>
      <c r="FM116" s="107"/>
      <c r="FN116" s="107"/>
      <c r="FO116" s="107"/>
      <c r="FP116" s="293"/>
      <c r="FQ116" s="291"/>
      <c r="FR116" s="107"/>
      <c r="FS116" s="107"/>
      <c r="FT116" s="107"/>
      <c r="FU116" s="293"/>
      <c r="FV116" s="291"/>
      <c r="FW116" s="107"/>
      <c r="FX116" s="107"/>
      <c r="FY116" s="107"/>
      <c r="FZ116" s="293"/>
      <c r="GA116" s="291"/>
      <c r="GB116" s="107"/>
      <c r="GC116" s="107"/>
      <c r="GD116" s="107"/>
      <c r="GE116" s="293"/>
      <c r="GF116" s="291"/>
      <c r="GG116" s="107"/>
      <c r="GH116" s="107"/>
      <c r="GI116" s="107"/>
      <c r="GJ116" s="382"/>
    </row>
    <row r="117" spans="1:192" ht="12.75" customHeight="1">
      <c r="B117" s="735" t="s">
        <v>36</v>
      </c>
      <c r="C117" s="291"/>
      <c r="D117" s="107"/>
      <c r="E117" s="107"/>
      <c r="F117" s="107"/>
      <c r="G117" s="293"/>
      <c r="H117" s="291"/>
      <c r="I117" s="107"/>
      <c r="J117" s="107"/>
      <c r="K117" s="107"/>
      <c r="L117" s="293"/>
      <c r="M117" s="291"/>
      <c r="N117" s="107"/>
      <c r="O117" s="107"/>
      <c r="P117" s="107"/>
      <c r="Q117" s="293"/>
      <c r="R117" s="291"/>
      <c r="S117" s="107"/>
      <c r="T117" s="107"/>
      <c r="U117" s="107"/>
      <c r="V117" s="293"/>
      <c r="W117" s="291"/>
      <c r="X117" s="107"/>
      <c r="Y117" s="107"/>
      <c r="Z117" s="107"/>
      <c r="AA117" s="293"/>
      <c r="AB117" s="291"/>
      <c r="AC117" s="107"/>
      <c r="AD117" s="107"/>
      <c r="AE117" s="107"/>
      <c r="AF117" s="293"/>
      <c r="AG117" s="291"/>
      <c r="AH117" s="107"/>
      <c r="AI117" s="107"/>
      <c r="AJ117" s="107"/>
      <c r="AK117" s="293"/>
      <c r="AL117" s="291"/>
      <c r="AM117" s="107"/>
      <c r="AN117" s="107"/>
      <c r="AO117" s="107"/>
      <c r="AP117" s="293"/>
      <c r="AQ117" s="291"/>
      <c r="AR117" s="107"/>
      <c r="AS117" s="107"/>
      <c r="AT117" s="107"/>
      <c r="AU117" s="293"/>
      <c r="AV117" s="291"/>
      <c r="AW117" s="107"/>
      <c r="AX117" s="107"/>
      <c r="AY117" s="107"/>
      <c r="AZ117" s="293"/>
      <c r="BA117" s="291"/>
      <c r="BB117" s="107"/>
      <c r="BC117" s="107"/>
      <c r="BD117" s="107"/>
      <c r="BE117" s="293"/>
      <c r="BF117" s="291"/>
      <c r="BG117" s="107"/>
      <c r="BH117" s="107"/>
      <c r="BI117" s="107"/>
      <c r="BJ117" s="293"/>
      <c r="BK117" s="291"/>
      <c r="BL117" s="107"/>
      <c r="BM117" s="107"/>
      <c r="BN117" s="107"/>
      <c r="BO117" s="293"/>
      <c r="BP117" s="291"/>
      <c r="BQ117" s="107"/>
      <c r="BR117" s="107"/>
      <c r="BS117" s="107"/>
      <c r="BT117" s="293"/>
      <c r="BU117" s="291"/>
      <c r="BV117" s="107"/>
      <c r="BW117" s="107"/>
      <c r="BX117" s="107"/>
      <c r="BY117" s="293"/>
      <c r="BZ117" s="291"/>
      <c r="CA117" s="107"/>
      <c r="CB117" s="107"/>
      <c r="CC117" s="107"/>
      <c r="CD117" s="293"/>
      <c r="CE117" s="291"/>
      <c r="CF117" s="107"/>
      <c r="CG117" s="107"/>
      <c r="CH117" s="107"/>
      <c r="CI117" s="293"/>
      <c r="CJ117" s="291"/>
      <c r="CK117" s="107"/>
      <c r="CL117" s="107"/>
      <c r="CM117" s="107"/>
      <c r="CN117" s="293"/>
      <c r="CO117" s="291"/>
      <c r="CP117" s="107"/>
      <c r="CQ117" s="107"/>
      <c r="CR117" s="107"/>
      <c r="CS117" s="293"/>
      <c r="CT117" s="291"/>
      <c r="CU117" s="107"/>
      <c r="CV117" s="107"/>
      <c r="CW117" s="107"/>
      <c r="CX117" s="293"/>
      <c r="CY117" s="291"/>
      <c r="CZ117" s="107"/>
      <c r="DA117" s="107"/>
      <c r="DB117" s="107"/>
      <c r="DC117" s="293"/>
      <c r="DD117" s="291">
        <f>IFERROR(DD114/DB114-1,"--")</f>
      </c>
      <c r="DE117" s="107">
        <f>IFERROR(DE114/DD114-1,"--")</f>
      </c>
      <c r="DF117" s="107">
        <f>IFERROR(DF114/DE114-1,"--")</f>
      </c>
      <c r="DG117" s="107">
        <f>IFERROR(DG114/DF114-1,"--")</f>
      </c>
      <c r="DH117" s="293"/>
      <c r="DI117" s="291">
        <f>IFERROR(DI114/DG114-1,"--")</f>
      </c>
      <c r="DJ117" s="107">
        <f>IFERROR(DJ114/DI114-1,"--")</f>
      </c>
      <c r="DK117" s="107">
        <f>IFERROR(DK114/DJ114-1,"--")</f>
      </c>
      <c r="DL117" s="107">
        <f>IFERROR(DL114/DK114-1,"--")</f>
      </c>
      <c r="DM117" s="293"/>
      <c r="DN117" s="291">
        <f>IFERROR(DN114/DL114-1,"--")</f>
      </c>
      <c r="DO117" s="107">
        <f>IFERROR(DO114/DN114-1,"--")</f>
      </c>
      <c r="DP117" s="107">
        <f>IFERROR(DP114/DO114-1,"--")</f>
      </c>
      <c r="DQ117" s="107">
        <f>IFERROR(DQ114/DP114-1,"--")</f>
      </c>
      <c r="DR117" s="293"/>
      <c r="DS117" s="291">
        <f>IFERROR(DS114/DQ114-1,"--")</f>
      </c>
      <c r="DT117" s="107">
        <f>IFERROR(DT114/DS114-1,"--")</f>
      </c>
      <c r="DU117" s="107">
        <f>IFERROR(DU114/DT114-1,"--")</f>
      </c>
      <c r="DV117" s="107">
        <f>IFERROR(DV114/DU114-1,"--")</f>
      </c>
      <c r="DW117" s="293"/>
      <c r="DX117" s="291">
        <f>IFERROR(DX114/DV114-1,"--")</f>
      </c>
      <c r="DY117" s="107">
        <f>IFERROR(DY114/DX114-1,"--")</f>
      </c>
      <c r="DZ117" s="107">
        <f>IFERROR(DZ114/DY114-1,"--")</f>
      </c>
      <c r="EA117" s="107">
        <f>IFERROR(EA114/DZ114-1,"--")</f>
      </c>
      <c r="EB117" s="293"/>
      <c r="EC117" s="291">
        <f>IFERROR(EC114/EA114-1,"--")</f>
      </c>
      <c r="ED117" s="107">
        <f>IFERROR(ED114/EC114-1,"--")</f>
      </c>
      <c r="EE117" s="107">
        <f>IFERROR(EE114/ED114-1,"--")</f>
      </c>
      <c r="EF117" s="107">
        <f>IFERROR(EF114/EE114-1,"--")</f>
      </c>
      <c r="EG117" s="293"/>
      <c r="EH117" s="291">
        <f>IFERROR(EH114/EF114-1,"--")</f>
      </c>
      <c r="EI117" s="107">
        <f>IFERROR(EI114/EH114-1,"--")</f>
      </c>
      <c r="EJ117" s="107">
        <f>IFERROR(EJ114/EI114-1,"--")</f>
      </c>
      <c r="EK117" s="107">
        <f>IFERROR(EK114/EJ114-1,"--")</f>
      </c>
      <c r="EL117" s="293"/>
      <c r="EM117" s="291">
        <f>IFERROR(EM114/EK114-1,"--")</f>
      </c>
      <c r="EN117" s="107">
        <f>IFERROR(EN114/EM114-1,"--")</f>
      </c>
      <c r="EO117" s="107">
        <f>IFERROR(EO114/EN114-1,"--")</f>
      </c>
      <c r="EP117" s="107">
        <f>IFERROR(EP114/EO114-1,"--")</f>
      </c>
      <c r="EQ117" s="293"/>
      <c r="ER117" s="291">
        <f>IFERROR(ER114/EP114-1,"--")</f>
      </c>
      <c r="ES117" s="107">
        <f>IFERROR(ES114/ER114-1,"--")</f>
      </c>
      <c r="ET117" s="107">
        <f>IFERROR(ET114/ES114-1,"--")</f>
      </c>
      <c r="EU117" s="468">
        <f>IFERROR(EU114/ET114-1,"--")</f>
      </c>
      <c r="EV117" s="293"/>
      <c r="EW117" s="291">
        <f>IFERROR(EW114/EU114-1,"--")</f>
      </c>
      <c r="EX117" s="107">
        <f>IFERROR(EX114/EW114-1,"--")</f>
      </c>
      <c r="EY117" s="107">
        <f>IFERROR(EY114/EX114-1,"--")</f>
      </c>
      <c r="EZ117" s="468">
        <f>IFERROR(EZ114/EY114-1,"--")</f>
      </c>
      <c r="FA117" s="293"/>
      <c r="FB117" s="291">
        <f>IFERROR(FB114/EZ114-1,"--")</f>
      </c>
      <c r="FC117" s="107">
        <f>IFERROR(FC114/FB114-1,"--")</f>
      </c>
      <c r="FD117" s="107">
        <f>IFERROR(FD114/FC114-1,"--")</f>
      </c>
      <c r="FE117" s="107">
        <f>IFERROR(FE114/FD114-1,"--")</f>
      </c>
      <c r="FF117" s="293"/>
      <c r="FG117" s="291">
        <f>IFERROR(FG114/FE114-1,"--")</f>
      </c>
      <c r="FH117" s="107">
        <f>IFERROR(FH114/FG114-1,"--")</f>
      </c>
      <c r="FI117" s="107">
        <f>IFERROR(FI114/FH114-1,"--")</f>
      </c>
      <c r="FJ117" s="107">
        <f>IFERROR(FJ114/FI114-1,"--")</f>
      </c>
      <c r="FK117" s="293"/>
      <c r="FL117" s="291">
        <f>IFERROR(FL114/FJ114-1,"--")</f>
      </c>
      <c r="FM117" s="107">
        <f>IFERROR(FM114/FL114-1,"--")</f>
      </c>
      <c r="FN117" s="107">
        <f>IFERROR(FN114/FM114-1,"--")</f>
      </c>
      <c r="FO117" s="107">
        <f>IFERROR(FO114/FN114-1,"--")</f>
      </c>
      <c r="FP117" s="293"/>
      <c r="FQ117" s="291">
        <f>IFERROR(FQ114/FO114-1,"--")</f>
      </c>
      <c r="FR117" s="107">
        <f>IFERROR(FR114/FQ114-1,"--")</f>
      </c>
      <c r="FS117" s="107">
        <f>IFERROR(FS114/FR114-1,"--")</f>
      </c>
      <c r="FT117" s="107">
        <f>IFERROR(FT114/FS114-1,"--")</f>
      </c>
      <c r="FU117" s="293"/>
      <c r="FV117" s="291">
        <f>IFERROR(FV114/FT114-1,"--")</f>
      </c>
      <c r="FW117" s="107">
        <f>IFERROR(FW114/FV114-1,"--")</f>
      </c>
      <c r="FX117" s="107">
        <f>IFERROR(FX114/FW114-1,"--")</f>
      </c>
      <c r="FY117" s="107">
        <f>IFERROR(FY114/FX114-1,"--")</f>
      </c>
      <c r="FZ117" s="293"/>
      <c r="GA117" s="291">
        <f>IFERROR(GA114/FY114-1,"--")</f>
      </c>
      <c r="GB117" s="107">
        <f>IFERROR(GB114/GA114-1,"--")</f>
      </c>
      <c r="GC117" s="107">
        <f>IFERROR(GC114/GB114-1,"--")</f>
      </c>
      <c r="GD117" s="107">
        <f>IFERROR(GD114/GC114-1,"--")</f>
      </c>
      <c r="GE117" s="293"/>
      <c r="GF117" s="291">
        <f>IFERROR(GF114/GD114-1,"--")</f>
      </c>
      <c r="GG117" s="107">
        <f>IFERROR(GG114/GF114-1,"--")</f>
      </c>
      <c r="GH117" s="107">
        <f>IFERROR(GH114/GG114-1,"--")</f>
      </c>
      <c r="GI117" s="107">
        <f>IFERROR(GI114/GH114-1,"--")</f>
      </c>
      <c r="GJ117" s="382"/>
    </row>
    <row r="118" spans="1:192" s="461" customFormat="1" ht="12.75" customHeight="1">
      <c r="A118" s="850"/>
      <c r="B118" s="735" t="s">
        <v>243</v>
      </c>
      <c r="C118" s="447"/>
      <c r="D118" s="458"/>
      <c r="E118" s="458"/>
      <c r="F118" s="458"/>
      <c r="G118" s="459"/>
      <c r="H118" s="447"/>
      <c r="I118" s="458"/>
      <c r="J118" s="458"/>
      <c r="K118" s="458"/>
      <c r="L118" s="459"/>
      <c r="M118" s="447"/>
      <c r="N118" s="458"/>
      <c r="O118" s="458"/>
      <c r="P118" s="458"/>
      <c r="Q118" s="459"/>
      <c r="R118" s="447"/>
      <c r="S118" s="458"/>
      <c r="T118" s="458"/>
      <c r="U118" s="458"/>
      <c r="V118" s="459"/>
      <c r="W118" s="447"/>
      <c r="X118" s="458"/>
      <c r="Y118" s="458"/>
      <c r="Z118" s="458"/>
      <c r="AA118" s="459"/>
      <c r="AB118" s="447"/>
      <c r="AC118" s="458"/>
      <c r="AD118" s="458"/>
      <c r="AE118" s="458"/>
      <c r="AF118" s="459"/>
      <c r="AG118" s="447"/>
      <c r="AH118" s="458"/>
      <c r="AI118" s="458"/>
      <c r="AJ118" s="458"/>
      <c r="AK118" s="459"/>
      <c r="AL118" s="447"/>
      <c r="AM118" s="458"/>
      <c r="AN118" s="458"/>
      <c r="AO118" s="458"/>
      <c r="AP118" s="459"/>
      <c r="AQ118" s="447"/>
      <c r="AR118" s="458"/>
      <c r="AS118" s="458"/>
      <c r="AT118" s="458"/>
      <c r="AU118" s="459"/>
      <c r="AV118" s="447"/>
      <c r="AW118" s="458"/>
      <c r="AX118" s="458"/>
      <c r="AY118" s="458"/>
      <c r="AZ118" s="459"/>
      <c r="BA118" s="447"/>
      <c r="BB118" s="458"/>
      <c r="BC118" s="458"/>
      <c r="BD118" s="458"/>
      <c r="BE118" s="459"/>
      <c r="BF118" s="447"/>
      <c r="BG118" s="458"/>
      <c r="BH118" s="458"/>
      <c r="BI118" s="458"/>
      <c r="BJ118" s="459"/>
      <c r="BK118" s="447"/>
      <c r="BL118" s="458"/>
      <c r="BM118" s="458"/>
      <c r="BN118" s="458"/>
      <c r="BO118" s="459"/>
      <c r="BP118" s="447"/>
      <c r="BQ118" s="458"/>
      <c r="BR118" s="458"/>
      <c r="BS118" s="458"/>
      <c r="BT118" s="459"/>
      <c r="BU118" s="447"/>
      <c r="BV118" s="458"/>
      <c r="BW118" s="458"/>
      <c r="BX118" s="458"/>
      <c r="BY118" s="459"/>
      <c r="BZ118" s="447"/>
      <c r="CA118" s="458"/>
      <c r="CB118" s="458"/>
      <c r="CC118" s="458"/>
      <c r="CD118" s="459"/>
      <c r="CE118" s="447"/>
      <c r="CF118" s="458"/>
      <c r="CG118" s="458"/>
      <c r="CH118" s="458"/>
      <c r="CI118" s="459"/>
      <c r="CJ118" s="447"/>
      <c r="CK118" s="458"/>
      <c r="CL118" s="458"/>
      <c r="CM118" s="458"/>
      <c r="CN118" s="459"/>
      <c r="CO118" s="447"/>
      <c r="CP118" s="458"/>
      <c r="CQ118" s="458"/>
      <c r="CR118" s="458"/>
      <c r="CS118" s="459"/>
      <c r="CT118" s="447"/>
      <c r="CU118" s="458"/>
      <c r="CV118" s="458"/>
      <c r="CW118" s="458"/>
      <c r="CX118" s="459"/>
      <c r="CY118" s="448">
        <v>538</v>
      </c>
      <c r="CZ118" s="493">
        <v>-703</v>
      </c>
      <c r="DA118" s="493">
        <v>-306</v>
      </c>
      <c r="DB118" s="458">
        <f>DB114-CW114</f>
      </c>
      <c r="DC118" s="812">
        <v>-385</v>
      </c>
      <c r="DD118" s="447">
        <f t="shared" ref="DD118:EI118" si="80">DD114-CY114</f>
      </c>
      <c r="DE118" s="447">
        <f t="shared" si="80"/>
      </c>
      <c r="DF118" s="447">
        <f t="shared" si="80"/>
      </c>
      <c r="DG118" s="447">
        <f t="shared" si="80"/>
      </c>
      <c r="DH118" s="459">
        <f t="shared" si="80"/>
      </c>
      <c r="DI118" s="447">
        <f t="shared" si="80"/>
      </c>
      <c r="DJ118" s="447">
        <f t="shared" si="80"/>
      </c>
      <c r="DK118" s="447">
        <f t="shared" si="80"/>
      </c>
      <c r="DL118" s="447">
        <f t="shared" si="80"/>
      </c>
      <c r="DM118" s="459">
        <f t="shared" si="80"/>
      </c>
      <c r="DN118" s="447">
        <f t="shared" si="80"/>
      </c>
      <c r="DO118" s="447">
        <f t="shared" si="80"/>
      </c>
      <c r="DP118" s="447">
        <f t="shared" si="80"/>
      </c>
      <c r="DQ118" s="447">
        <f t="shared" si="80"/>
      </c>
      <c r="DR118" s="459">
        <f t="shared" si="80"/>
      </c>
      <c r="DS118" s="447">
        <f t="shared" si="80"/>
      </c>
      <c r="DT118" s="447">
        <f t="shared" si="80"/>
      </c>
      <c r="DU118" s="447">
        <f t="shared" si="80"/>
      </c>
      <c r="DV118" s="447">
        <f t="shared" si="80"/>
      </c>
      <c r="DW118" s="459">
        <f t="shared" si="80"/>
      </c>
      <c r="DX118" s="447">
        <f t="shared" si="80"/>
      </c>
      <c r="DY118" s="447">
        <f t="shared" si="80"/>
      </c>
      <c r="DZ118" s="447">
        <f t="shared" si="80"/>
      </c>
      <c r="EA118" s="447">
        <f t="shared" si="80"/>
      </c>
      <c r="EB118" s="459">
        <f t="shared" si="80"/>
      </c>
      <c r="EC118" s="447">
        <f t="shared" si="80"/>
      </c>
      <c r="ED118" s="447">
        <f t="shared" si="80"/>
      </c>
      <c r="EE118" s="447">
        <f t="shared" si="80"/>
      </c>
      <c r="EF118" s="447">
        <f t="shared" si="80"/>
      </c>
      <c r="EG118" s="459">
        <f t="shared" si="80"/>
      </c>
      <c r="EH118" s="447">
        <f t="shared" si="80"/>
      </c>
      <c r="EI118" s="447">
        <f t="shared" si="80"/>
      </c>
      <c r="EJ118" s="447">
        <f t="shared" ref="EJ118:FO118" si="81">EJ114-EE114</f>
      </c>
      <c r="EK118" s="447">
        <f t="shared" si="81"/>
      </c>
      <c r="EL118" s="459">
        <f t="shared" si="81"/>
      </c>
      <c r="EM118" s="447">
        <f t="shared" si="81"/>
      </c>
      <c r="EN118" s="447">
        <f t="shared" si="81"/>
      </c>
      <c r="EO118" s="447">
        <f t="shared" si="81"/>
      </c>
      <c r="EP118" s="447">
        <f t="shared" si="81"/>
      </c>
      <c r="EQ118" s="459">
        <f t="shared" si="81"/>
      </c>
      <c r="ER118" s="447">
        <f t="shared" si="81"/>
      </c>
      <c r="ES118" s="447">
        <f t="shared" si="81"/>
      </c>
      <c r="ET118" s="447">
        <f t="shared" si="81"/>
      </c>
      <c r="EU118" s="447">
        <f>EU114-EP114</f>
      </c>
      <c r="EV118" s="459">
        <f>EV114-EQ114</f>
      </c>
      <c r="EW118" s="447">
        <f t="shared" si="81"/>
      </c>
      <c r="EX118" s="447">
        <f t="shared" si="81"/>
      </c>
      <c r="EY118" s="447">
        <f t="shared" si="81"/>
      </c>
      <c r="EZ118" s="447">
        <f>EZ114-EU114</f>
      </c>
      <c r="FA118" s="459">
        <f t="shared" si="81"/>
      </c>
      <c r="FB118" s="447">
        <f t="shared" si="81"/>
      </c>
      <c r="FC118" s="447">
        <f t="shared" si="81"/>
      </c>
      <c r="FD118" s="447">
        <f t="shared" si="81"/>
      </c>
      <c r="FE118" s="447">
        <f t="shared" si="81"/>
      </c>
      <c r="FF118" s="459">
        <f t="shared" si="81"/>
      </c>
      <c r="FG118" s="447">
        <f t="shared" si="81"/>
      </c>
      <c r="FH118" s="447">
        <f t="shared" si="81"/>
      </c>
      <c r="FI118" s="447">
        <f t="shared" si="81"/>
      </c>
      <c r="FJ118" s="447">
        <f t="shared" si="81"/>
      </c>
      <c r="FK118" s="459">
        <f t="shared" si="81"/>
      </c>
      <c r="FL118" s="447">
        <f t="shared" si="81"/>
      </c>
      <c r="FM118" s="447">
        <f t="shared" si="81"/>
      </c>
      <c r="FN118" s="447">
        <f t="shared" si="81"/>
      </c>
      <c r="FO118" s="447">
        <f t="shared" si="81"/>
      </c>
      <c r="FP118" s="459">
        <f t="shared" ref="FP118:FZ118" si="82">FP114-FK114</f>
      </c>
      <c r="FQ118" s="447">
        <f t="shared" si="82"/>
      </c>
      <c r="FR118" s="447">
        <f t="shared" si="82"/>
      </c>
      <c r="FS118" s="447">
        <f t="shared" si="82"/>
      </c>
      <c r="FT118" s="447">
        <f t="shared" si="82"/>
      </c>
      <c r="FU118" s="459">
        <f t="shared" si="82"/>
      </c>
      <c r="FV118" s="447">
        <f t="shared" si="82"/>
      </c>
      <c r="FW118" s="458">
        <f t="shared" si="82"/>
      </c>
      <c r="FX118" s="458">
        <f t="shared" si="82"/>
      </c>
      <c r="FY118" s="458">
        <f t="shared" si="82"/>
      </c>
      <c r="FZ118" s="459">
        <f t="shared" si="82"/>
      </c>
      <c r="GA118" s="447">
        <f t="shared" ref="GA118:GJ118" si="83">GA114-FV114</f>
      </c>
      <c r="GB118" s="458">
        <f t="shared" si="83"/>
      </c>
      <c r="GC118" s="458">
        <f t="shared" si="83"/>
      </c>
      <c r="GD118" s="458">
        <f t="shared" si="83"/>
      </c>
      <c r="GE118" s="459">
        <f t="shared" si="83"/>
      </c>
      <c r="GF118" s="447">
        <f t="shared" si="83"/>
      </c>
      <c r="GG118" s="458">
        <f t="shared" si="83"/>
      </c>
      <c r="GH118" s="458">
        <f t="shared" si="83"/>
      </c>
      <c r="GI118" s="458">
        <f t="shared" si="83"/>
      </c>
      <c r="GJ118" s="460">
        <f t="shared" si="83"/>
      </c>
    </row>
    <row r="119" spans="1:192" s="461" customFormat="1" ht="12.75" customHeight="1">
      <c r="A119" s="850"/>
      <c r="B119" s="735" t="s">
        <v>244</v>
      </c>
      <c r="C119" s="447"/>
      <c r="D119" s="458"/>
      <c r="E119" s="458"/>
      <c r="F119" s="458"/>
      <c r="G119" s="459"/>
      <c r="H119" s="447"/>
      <c r="I119" s="458"/>
      <c r="J119" s="458"/>
      <c r="K119" s="458"/>
      <c r="L119" s="459"/>
      <c r="M119" s="447"/>
      <c r="N119" s="458"/>
      <c r="O119" s="458"/>
      <c r="P119" s="458"/>
      <c r="Q119" s="459"/>
      <c r="R119" s="447"/>
      <c r="S119" s="458"/>
      <c r="T119" s="458"/>
      <c r="U119" s="458"/>
      <c r="V119" s="459"/>
      <c r="W119" s="447"/>
      <c r="X119" s="458"/>
      <c r="Y119" s="458"/>
      <c r="Z119" s="458"/>
      <c r="AA119" s="459"/>
      <c r="AB119" s="447"/>
      <c r="AC119" s="458"/>
      <c r="AD119" s="458"/>
      <c r="AE119" s="458"/>
      <c r="AF119" s="459"/>
      <c r="AG119" s="447"/>
      <c r="AH119" s="458"/>
      <c r="AI119" s="458"/>
      <c r="AJ119" s="458"/>
      <c r="AK119" s="459"/>
      <c r="AL119" s="447"/>
      <c r="AM119" s="458"/>
      <c r="AN119" s="458"/>
      <c r="AO119" s="458"/>
      <c r="AP119" s="459"/>
      <c r="AQ119" s="447"/>
      <c r="AR119" s="458"/>
      <c r="AS119" s="458"/>
      <c r="AT119" s="458"/>
      <c r="AU119" s="459"/>
      <c r="AV119" s="447"/>
      <c r="AW119" s="458"/>
      <c r="AX119" s="458"/>
      <c r="AY119" s="458"/>
      <c r="AZ119" s="459"/>
      <c r="BA119" s="447"/>
      <c r="BB119" s="458"/>
      <c r="BC119" s="458"/>
      <c r="BD119" s="458"/>
      <c r="BE119" s="459"/>
      <c r="BF119" s="447"/>
      <c r="BG119" s="458"/>
      <c r="BH119" s="458"/>
      <c r="BI119" s="458"/>
      <c r="BJ119" s="459"/>
      <c r="BK119" s="447"/>
      <c r="BL119" s="458"/>
      <c r="BM119" s="458"/>
      <c r="BN119" s="458"/>
      <c r="BO119" s="459"/>
      <c r="BP119" s="447"/>
      <c r="BQ119" s="458"/>
      <c r="BR119" s="458"/>
      <c r="BS119" s="458"/>
      <c r="BT119" s="459"/>
      <c r="BU119" s="447"/>
      <c r="BV119" s="458"/>
      <c r="BW119" s="458"/>
      <c r="BX119" s="458"/>
      <c r="BY119" s="459"/>
      <c r="BZ119" s="447"/>
      <c r="CA119" s="458"/>
      <c r="CB119" s="458"/>
      <c r="CC119" s="458"/>
      <c r="CD119" s="459"/>
      <c r="CE119" s="447"/>
      <c r="CF119" s="458"/>
      <c r="CG119" s="458"/>
      <c r="CH119" s="458"/>
      <c r="CI119" s="459"/>
      <c r="CJ119" s="447"/>
      <c r="CK119" s="458"/>
      <c r="CL119" s="458"/>
      <c r="CM119" s="458"/>
      <c r="CN119" s="459"/>
      <c r="CO119" s="447"/>
      <c r="CP119" s="458"/>
      <c r="CQ119" s="458"/>
      <c r="CR119" s="458"/>
      <c r="CS119" s="459"/>
      <c r="CT119" s="447"/>
      <c r="CU119" s="458"/>
      <c r="CV119" s="458"/>
      <c r="CW119" s="458"/>
      <c r="CX119" s="459"/>
      <c r="CY119" s="448"/>
      <c r="CZ119" s="493"/>
      <c r="DA119" s="493"/>
      <c r="DB119" s="458"/>
      <c r="DC119" s="812"/>
      <c r="DD119" s="447">
        <f>DD114-DB114</f>
      </c>
      <c r="DE119" s="447">
        <f>DE114-DD114</f>
      </c>
      <c r="DF119" s="447">
        <f>DF114-DE114</f>
      </c>
      <c r="DG119" s="447">
        <f>DG114-DF114</f>
      </c>
      <c r="DH119" s="459"/>
      <c r="DI119" s="447">
        <f>DI114-DG114</f>
      </c>
      <c r="DJ119" s="447">
        <f>DJ114-DI114</f>
      </c>
      <c r="DK119" s="447">
        <f>DK114-DJ114</f>
      </c>
      <c r="DL119" s="447">
        <f>DL114-DK114</f>
      </c>
      <c r="DM119" s="459"/>
      <c r="DN119" s="447">
        <f>DN114-DL114</f>
      </c>
      <c r="DO119" s="447">
        <f>DO114-DN114</f>
      </c>
      <c r="DP119" s="447">
        <f>DP114-DO114</f>
      </c>
      <c r="DQ119" s="447">
        <f>DQ114-DP114</f>
      </c>
      <c r="DR119" s="459"/>
      <c r="DS119" s="447">
        <f>DS114-DQ114</f>
      </c>
      <c r="DT119" s="447">
        <f>DT114-DS114</f>
      </c>
      <c r="DU119" s="447">
        <f>DU114-DT114</f>
      </c>
      <c r="DV119" s="447">
        <f>DV114-DU114</f>
      </c>
      <c r="DW119" s="459"/>
      <c r="DX119" s="447">
        <f>DX114-DV114</f>
      </c>
      <c r="DY119" s="447">
        <f>DY114-DX114</f>
      </c>
      <c r="DZ119" s="447">
        <f>DZ114-DY114</f>
      </c>
      <c r="EA119" s="447">
        <f>EA114-DZ114</f>
      </c>
      <c r="EB119" s="459"/>
      <c r="EC119" s="447">
        <f>EC114-EA114</f>
      </c>
      <c r="ED119" s="447">
        <f>ED114-EC114</f>
      </c>
      <c r="EE119" s="447">
        <f>EE114-ED114</f>
      </c>
      <c r="EF119" s="447">
        <f>EF114-EE114</f>
      </c>
      <c r="EG119" s="459"/>
      <c r="EH119" s="447">
        <f>EH114-EF114</f>
      </c>
      <c r="EI119" s="447">
        <f>EI114-EH114</f>
      </c>
      <c r="EJ119" s="447">
        <f>EJ114-EI114</f>
      </c>
      <c r="EK119" s="447">
        <f>EK114-EJ114</f>
      </c>
      <c r="EL119" s="459"/>
      <c r="EM119" s="447">
        <f>EM114-EK114</f>
      </c>
      <c r="EN119" s="447">
        <f>EN114-EM114</f>
      </c>
      <c r="EO119" s="447">
        <f>EO114-EN114</f>
      </c>
      <c r="EP119" s="447">
        <f>EP114-EO114</f>
      </c>
      <c r="EQ119" s="459"/>
      <c r="ER119" s="447">
        <f>ER114-EP114</f>
      </c>
      <c r="ES119" s="447">
        <f>ES114-ER114</f>
      </c>
      <c r="ET119" s="447">
        <f>ET114-ES114</f>
      </c>
      <c r="EU119" s="447">
        <f>EU114-ET114</f>
      </c>
      <c r="EV119" s="459"/>
      <c r="EW119" s="447">
        <f>EW114-EU114</f>
      </c>
      <c r="EX119" s="447">
        <f>EX114-EW114</f>
      </c>
      <c r="EY119" s="447">
        <f>EY114-EX114</f>
      </c>
      <c r="EZ119" s="447">
        <f>EZ114-EY114</f>
      </c>
      <c r="FA119" s="459"/>
      <c r="FB119" s="447">
        <f>FB114-EZ114</f>
      </c>
      <c r="FC119" s="447">
        <f>FC114-FB114</f>
      </c>
      <c r="FD119" s="447">
        <f>FD114-FC114</f>
      </c>
      <c r="FE119" s="447">
        <f>FE114-FD114</f>
      </c>
      <c r="FF119" s="459"/>
      <c r="FG119" s="447">
        <f>FG114-FE114</f>
      </c>
      <c r="FH119" s="447">
        <f>FH114-FG114</f>
      </c>
      <c r="FI119" s="447">
        <f>FI114-FH114</f>
      </c>
      <c r="FJ119" s="447">
        <f>FJ114-FI114</f>
      </c>
      <c r="FK119" s="459"/>
      <c r="FL119" s="447">
        <f>FL114-FJ114</f>
      </c>
      <c r="FM119" s="447">
        <f>FM114-FL114</f>
      </c>
      <c r="FN119" s="447">
        <f>FN114-FM114</f>
      </c>
      <c r="FO119" s="447">
        <f>FO114-FN114</f>
      </c>
      <c r="FP119" s="459"/>
      <c r="FQ119" s="447">
        <f>FQ114-FO114</f>
      </c>
      <c r="FR119" s="447">
        <f>FR114-FQ114</f>
      </c>
      <c r="FS119" s="447">
        <f>FS114-FR114</f>
      </c>
      <c r="FT119" s="447">
        <f>FT114-FS114</f>
      </c>
      <c r="FU119" s="459"/>
      <c r="FV119" s="447">
        <f>FV114-FT114</f>
      </c>
      <c r="FW119" s="458">
        <f>FW114-FV114</f>
      </c>
      <c r="FX119" s="458">
        <f>FX114-FW114</f>
      </c>
      <c r="FY119" s="458">
        <f>FY114-FX114</f>
      </c>
      <c r="FZ119" s="459"/>
      <c r="GA119" s="447">
        <f>GA114-FY114</f>
      </c>
      <c r="GB119" s="458">
        <f>GB114-GA114</f>
      </c>
      <c r="GC119" s="458">
        <f>GC114-GB114</f>
      </c>
      <c r="GD119" s="458">
        <f>GD114-GC114</f>
      </c>
      <c r="GE119" s="459"/>
      <c r="GF119" s="447">
        <f>GF114-GD114</f>
      </c>
      <c r="GG119" s="458">
        <f>GG114-GF114</f>
      </c>
      <c r="GH119" s="458">
        <f>GH114-GG114</f>
      </c>
      <c r="GI119" s="458">
        <f>GI114-GH114</f>
      </c>
      <c r="GJ119" s="460"/>
    </row>
    <row r="120" spans="1:192" ht="12.75" customHeight="1">
      <c r="B120" s="735" t="s">
        <v>249</v>
      </c>
      <c r="C120" s="291"/>
      <c r="D120" s="107"/>
      <c r="E120" s="107"/>
      <c r="F120" s="107"/>
      <c r="G120" s="293"/>
      <c r="H120" s="291"/>
      <c r="I120" s="107"/>
      <c r="J120" s="107"/>
      <c r="K120" s="107"/>
      <c r="L120" s="293"/>
      <c r="M120" s="291"/>
      <c r="N120" s="107"/>
      <c r="O120" s="107"/>
      <c r="P120" s="107"/>
      <c r="Q120" s="293"/>
      <c r="R120" s="291"/>
      <c r="S120" s="107"/>
      <c r="T120" s="107"/>
      <c r="U120" s="107"/>
      <c r="V120" s="293"/>
      <c r="W120" s="291"/>
      <c r="X120" s="107"/>
      <c r="Y120" s="107"/>
      <c r="Z120" s="107"/>
      <c r="AA120" s="293"/>
      <c r="AB120" s="291"/>
      <c r="AC120" s="107"/>
      <c r="AD120" s="107"/>
      <c r="AE120" s="107"/>
      <c r="AF120" s="293"/>
      <c r="AG120" s="291"/>
      <c r="AH120" s="107"/>
      <c r="AI120" s="107"/>
      <c r="AJ120" s="107"/>
      <c r="AK120" s="293"/>
      <c r="AL120" s="291"/>
      <c r="AM120" s="107"/>
      <c r="AN120" s="107"/>
      <c r="AO120" s="107"/>
      <c r="AP120" s="293"/>
      <c r="AQ120" s="291"/>
      <c r="AR120" s="107"/>
      <c r="AS120" s="107"/>
      <c r="AT120" s="107"/>
      <c r="AU120" s="293"/>
      <c r="AV120" s="291"/>
      <c r="AW120" s="107"/>
      <c r="AX120" s="107"/>
      <c r="AY120" s="107"/>
      <c r="AZ120" s="293"/>
      <c r="BA120" s="291"/>
      <c r="BB120" s="107"/>
      <c r="BC120" s="107"/>
      <c r="BD120" s="107"/>
      <c r="BE120" s="293"/>
      <c r="BF120" s="291"/>
      <c r="BG120" s="107"/>
      <c r="BH120" s="107"/>
      <c r="BI120" s="107"/>
      <c r="BJ120" s="293"/>
      <c r="BK120" s="291"/>
      <c r="BL120" s="107"/>
      <c r="BM120" s="107"/>
      <c r="BN120" s="107"/>
      <c r="BO120" s="293"/>
      <c r="BP120" s="291"/>
      <c r="BQ120" s="107"/>
      <c r="BR120" s="107"/>
      <c r="BS120" s="107"/>
      <c r="BT120" s="293"/>
      <c r="BU120" s="291"/>
      <c r="BV120" s="107"/>
      <c r="BW120" s="107"/>
      <c r="BX120" s="107"/>
      <c r="BY120" s="293"/>
      <c r="BZ120" s="291"/>
      <c r="CA120" s="107"/>
      <c r="CB120" s="107"/>
      <c r="CC120" s="107"/>
      <c r="CD120" s="293"/>
      <c r="CE120" s="291"/>
      <c r="CF120" s="107"/>
      <c r="CG120" s="107"/>
      <c r="CH120" s="107"/>
      <c r="CI120" s="293"/>
      <c r="CJ120" s="291"/>
      <c r="CK120" s="107"/>
      <c r="CL120" s="107"/>
      <c r="CM120" s="107"/>
      <c r="CN120" s="293"/>
      <c r="CO120" s="291"/>
      <c r="CP120" s="107"/>
      <c r="CQ120" s="107"/>
      <c r="CR120" s="107"/>
      <c r="CS120" s="293"/>
      <c r="CT120" s="291"/>
      <c r="CU120" s="107"/>
      <c r="CV120" s="107"/>
      <c r="CW120" s="107"/>
      <c r="CX120" s="293"/>
      <c r="CY120" s="291"/>
      <c r="CZ120" s="107"/>
      <c r="DA120" s="107"/>
      <c r="DB120" s="107"/>
      <c r="DC120" s="293"/>
      <c r="DD120" s="465" t="str">
        <f t="shared" ref="DD120:EV120" si="84">IFERROR(DD114/DD89,"")</f>
      </c>
      <c r="DE120" s="465" t="str">
        <f t="shared" si="84"/>
      </c>
      <c r="DF120" s="465" t="str">
        <f t="shared" si="84"/>
      </c>
      <c r="DG120" s="465">
        <f t="shared" si="84"/>
      </c>
      <c r="DH120" s="524" t="str">
        <f t="shared" si="84"/>
      </c>
      <c r="DI120" s="465">
        <f t="shared" si="84"/>
      </c>
      <c r="DJ120" s="465">
        <f t="shared" si="84"/>
      </c>
      <c r="DK120" s="465">
        <f t="shared" si="84"/>
      </c>
      <c r="DL120" s="465">
        <f t="shared" si="84"/>
      </c>
      <c r="DM120" s="524">
        <f t="shared" si="84"/>
      </c>
      <c r="DN120" s="465">
        <f t="shared" si="84"/>
      </c>
      <c r="DO120" s="465">
        <f t="shared" si="84"/>
      </c>
      <c r="DP120" s="465">
        <f t="shared" si="84"/>
      </c>
      <c r="DQ120" s="465">
        <f t="shared" si="84"/>
      </c>
      <c r="DR120" s="524">
        <f t="shared" si="84"/>
      </c>
      <c r="DS120" s="465">
        <f t="shared" si="84"/>
      </c>
      <c r="DT120" s="465">
        <f t="shared" si="84"/>
      </c>
      <c r="DU120" s="465">
        <f t="shared" si="84"/>
      </c>
      <c r="DV120" s="465">
        <f t="shared" si="84"/>
      </c>
      <c r="DW120" s="524">
        <f t="shared" si="84"/>
      </c>
      <c r="DX120" s="465">
        <f t="shared" si="84"/>
      </c>
      <c r="DY120" s="465">
        <f t="shared" si="84"/>
      </c>
      <c r="DZ120" s="465">
        <f t="shared" si="84"/>
      </c>
      <c r="EA120" s="465">
        <f t="shared" si="84"/>
      </c>
      <c r="EB120" s="524">
        <f t="shared" si="84"/>
      </c>
      <c r="EC120" s="465">
        <f t="shared" si="84"/>
      </c>
      <c r="ED120" s="465">
        <f t="shared" si="84"/>
      </c>
      <c r="EE120" s="465">
        <f t="shared" si="84"/>
      </c>
      <c r="EF120" s="465">
        <f t="shared" si="84"/>
      </c>
      <c r="EG120" s="524">
        <f t="shared" si="84"/>
      </c>
      <c r="EH120" s="465">
        <f t="shared" si="84"/>
      </c>
      <c r="EI120" s="465">
        <f t="shared" si="84"/>
      </c>
      <c r="EJ120" s="465">
        <f t="shared" si="84"/>
      </c>
      <c r="EK120" s="465">
        <f t="shared" si="84"/>
      </c>
      <c r="EL120" s="524">
        <f t="shared" si="84"/>
      </c>
      <c r="EM120" s="465">
        <f t="shared" si="84"/>
      </c>
      <c r="EN120" s="465">
        <f t="shared" si="84"/>
      </c>
      <c r="EO120" s="465">
        <f t="shared" si="84"/>
      </c>
      <c r="EP120" s="465">
        <f t="shared" si="84"/>
      </c>
      <c r="EQ120" s="524">
        <f t="shared" si="84"/>
      </c>
      <c r="ER120" s="465">
        <f t="shared" si="84"/>
      </c>
      <c r="ES120" s="465">
        <f t="shared" si="84"/>
      </c>
      <c r="ET120" s="465">
        <f t="shared" si="84"/>
      </c>
      <c r="EU120" s="465">
        <f t="shared" si="84"/>
      </c>
      <c r="EV120" s="524">
        <f t="shared" si="84"/>
      </c>
      <c r="EW120" s="465">
        <f>100%-EW112</f>
      </c>
      <c r="EX120" s="465">
        <f t="shared" ref="EX120:EZ120" si="85">IFERROR(EX114/EX89,"")</f>
      </c>
      <c r="EY120" s="465">
        <f t="shared" si="85"/>
      </c>
      <c r="EZ120" s="465">
        <f t="shared" si="85"/>
      </c>
      <c r="FA120" s="524">
        <f>IFERROR(FA114/FA89,"")</f>
      </c>
      <c r="FB120" s="465">
        <f>100%-FB112</f>
      </c>
      <c r="FC120" s="465">
        <f>100%-FC112</f>
      </c>
      <c r="FD120" s="465">
        <f>100%-FD112</f>
      </c>
      <c r="FE120" s="465">
        <f>100%-FE112</f>
      </c>
      <c r="FF120" s="524">
        <f>IFERROR(FF114/FF89,"")</f>
      </c>
      <c r="FG120" s="465">
        <f>100%-FG112</f>
      </c>
      <c r="FH120" s="465">
        <f>100%-FH112</f>
      </c>
      <c r="FI120" s="465">
        <f>100%-FI112</f>
      </c>
      <c r="FJ120" s="465">
        <f>100%-FJ112</f>
      </c>
      <c r="FK120" s="524">
        <f>IFERROR(FK114/FK89,"")</f>
      </c>
      <c r="FL120" s="465">
        <f>100%-FL112</f>
      </c>
      <c r="FM120" s="465">
        <f>100%-FM112</f>
      </c>
      <c r="FN120" s="465">
        <f>100%-FN112</f>
      </c>
      <c r="FO120" s="465">
        <f>100%-FO112</f>
      </c>
      <c r="FP120" s="524">
        <f>IFERROR(FP114/FP89,"")</f>
      </c>
      <c r="FQ120" s="465">
        <f>100%-FQ112</f>
      </c>
      <c r="FR120" s="465">
        <f>100%-FR112</f>
      </c>
      <c r="FS120" s="465">
        <f>100%-FS112</f>
      </c>
      <c r="FT120" s="465">
        <f>100%-FT112</f>
      </c>
      <c r="FU120" s="524">
        <f>IFERROR(FU114/FU89,"")</f>
      </c>
      <c r="FV120" s="465">
        <f>100%-FV112</f>
      </c>
      <c r="FW120" s="465">
        <f>100%-FW112</f>
      </c>
      <c r="FX120" s="465">
        <f>100%-FX112</f>
      </c>
      <c r="FY120" s="465">
        <f>100%-FY112</f>
      </c>
      <c r="FZ120" s="524">
        <f>IFERROR(FZ114/FZ89,"")</f>
      </c>
      <c r="GA120" s="465">
        <f>100%-GA112</f>
      </c>
      <c r="GB120" s="465">
        <f>100%-GB112</f>
      </c>
      <c r="GC120" s="465">
        <f>100%-GC112</f>
      </c>
      <c r="GD120" s="465">
        <f>100%-GD112</f>
      </c>
      <c r="GE120" s="524">
        <f>IFERROR(GE114/GE89,"")</f>
      </c>
      <c r="GF120" s="465">
        <f>100%-GF112</f>
      </c>
      <c r="GG120" s="465">
        <f>100%-GG112</f>
      </c>
      <c r="GH120" s="465">
        <f>100%-GH112</f>
      </c>
      <c r="GI120" s="465">
        <f>100%-GI112</f>
      </c>
      <c r="GJ120" s="816">
        <f>IFERROR(GJ114/GJ89,"")</f>
      </c>
    </row>
    <row r="121" spans="1:192" ht="12.75" customHeight="1" thickBot="1">
      <c r="B121" s="743"/>
      <c r="C121" s="393"/>
      <c r="D121" s="388"/>
      <c r="E121" s="388"/>
      <c r="F121" s="389"/>
      <c r="G121" s="390"/>
      <c r="H121" s="393"/>
      <c r="I121" s="388"/>
      <c r="J121" s="388"/>
      <c r="K121" s="389"/>
      <c r="L121" s="390"/>
      <c r="M121" s="393"/>
      <c r="N121" s="388"/>
      <c r="O121" s="388"/>
      <c r="P121" s="389"/>
      <c r="Q121" s="390"/>
      <c r="R121" s="393"/>
      <c r="S121" s="388"/>
      <c r="T121" s="388"/>
      <c r="U121" s="389"/>
      <c r="V121" s="390"/>
      <c r="W121" s="393"/>
      <c r="X121" s="388"/>
      <c r="Y121" s="388"/>
      <c r="Z121" s="389"/>
      <c r="AA121" s="390"/>
      <c r="AB121" s="393"/>
      <c r="AC121" s="388"/>
      <c r="AD121" s="388"/>
      <c r="AE121" s="389"/>
      <c r="AF121" s="390"/>
      <c r="AG121" s="393"/>
      <c r="AH121" s="388"/>
      <c r="AI121" s="388"/>
      <c r="AJ121" s="389"/>
      <c r="AK121" s="390"/>
      <c r="AL121" s="393"/>
      <c r="AM121" s="388"/>
      <c r="AN121" s="388"/>
      <c r="AO121" s="389"/>
      <c r="AP121" s="390"/>
      <c r="AQ121" s="393"/>
      <c r="AR121" s="388"/>
      <c r="AS121" s="388"/>
      <c r="AT121" s="389"/>
      <c r="AU121" s="390"/>
      <c r="AV121" s="393"/>
      <c r="AW121" s="388"/>
      <c r="AX121" s="388"/>
      <c r="AY121" s="389"/>
      <c r="AZ121" s="390"/>
      <c r="BA121" s="393"/>
      <c r="BB121" s="388"/>
      <c r="BC121" s="388"/>
      <c r="BD121" s="389"/>
      <c r="BE121" s="390"/>
      <c r="BF121" s="393"/>
      <c r="BG121" s="388"/>
      <c r="BH121" s="388"/>
      <c r="BI121" s="389"/>
      <c r="BJ121" s="390"/>
      <c r="BK121" s="393"/>
      <c r="BL121" s="388"/>
      <c r="BM121" s="388"/>
      <c r="BN121" s="389"/>
      <c r="BO121" s="390"/>
      <c r="BP121" s="393"/>
      <c r="BQ121" s="388"/>
      <c r="BR121" s="388"/>
      <c r="BS121" s="389"/>
      <c r="BT121" s="390"/>
      <c r="BU121" s="393"/>
      <c r="BV121" s="388"/>
      <c r="BW121" s="388"/>
      <c r="BX121" s="389"/>
      <c r="BY121" s="390"/>
      <c r="BZ121" s="393"/>
      <c r="CA121" s="388"/>
      <c r="CB121" s="388"/>
      <c r="CC121" s="389"/>
      <c r="CD121" s="390"/>
      <c r="CE121" s="393"/>
      <c r="CF121" s="388"/>
      <c r="CG121" s="388"/>
      <c r="CH121" s="389"/>
      <c r="CI121" s="390"/>
      <c r="CJ121" s="393"/>
      <c r="CK121" s="388"/>
      <c r="CL121" s="388"/>
      <c r="CM121" s="389"/>
      <c r="CN121" s="390"/>
      <c r="CO121" s="393"/>
      <c r="CP121" s="388"/>
      <c r="CQ121" s="388"/>
      <c r="CR121" s="389"/>
      <c r="CS121" s="390"/>
      <c r="CT121" s="393"/>
      <c r="CU121" s="388"/>
      <c r="CV121" s="388"/>
      <c r="CW121" s="389"/>
      <c r="CX121" s="390"/>
      <c r="CY121" s="393"/>
      <c r="CZ121" s="388"/>
      <c r="DA121" s="388"/>
      <c r="DB121" s="389"/>
      <c r="DC121" s="390"/>
      <c r="DD121" s="393"/>
      <c r="DE121" s="388"/>
      <c r="DF121" s="388"/>
      <c r="DG121" s="389"/>
      <c r="DH121" s="390"/>
      <c r="DI121" s="393"/>
      <c r="DJ121" s="388"/>
      <c r="DK121" s="388"/>
      <c r="DL121" s="389"/>
      <c r="DM121" s="390"/>
      <c r="DN121" s="393"/>
      <c r="DO121" s="388"/>
      <c r="DP121" s="388"/>
      <c r="DQ121" s="389"/>
      <c r="DR121" s="390"/>
      <c r="DS121" s="393"/>
      <c r="DT121" s="388"/>
      <c r="DU121" s="388"/>
      <c r="DV121" s="389"/>
      <c r="DW121" s="390"/>
      <c r="DX121" s="393"/>
      <c r="DY121" s="388"/>
      <c r="DZ121" s="388"/>
      <c r="EA121" s="389"/>
      <c r="EB121" s="390"/>
      <c r="EC121" s="393"/>
      <c r="ED121" s="388"/>
      <c r="EE121" s="388"/>
      <c r="EF121" s="389"/>
      <c r="EG121" s="390"/>
      <c r="EH121" s="393"/>
      <c r="EI121" s="388"/>
      <c r="EJ121" s="388"/>
      <c r="EK121" s="389"/>
      <c r="EL121" s="390"/>
      <c r="EM121" s="393"/>
      <c r="EN121" s="388"/>
      <c r="EO121" s="388"/>
      <c r="EP121" s="389"/>
      <c r="EQ121" s="390"/>
      <c r="ER121" s="393"/>
      <c r="ES121" s="388"/>
      <c r="ET121" s="388"/>
      <c r="EU121" s="389"/>
      <c r="EV121" s="390"/>
      <c r="EW121" s="393"/>
      <c r="EX121" s="388"/>
      <c r="EY121" s="388"/>
      <c r="EZ121" s="389"/>
      <c r="FA121" s="390"/>
      <c r="FB121" s="393"/>
      <c r="FC121" s="388"/>
      <c r="FD121" s="388"/>
      <c r="FE121" s="389"/>
      <c r="FF121" s="390"/>
      <c r="FG121" s="393"/>
      <c r="FH121" s="388"/>
      <c r="FI121" s="388"/>
      <c r="FJ121" s="389"/>
      <c r="FK121" s="390"/>
      <c r="FL121" s="393"/>
      <c r="FM121" s="388"/>
      <c r="FN121" s="388"/>
      <c r="FO121" s="389"/>
      <c r="FP121" s="390"/>
      <c r="FQ121" s="393"/>
      <c r="FR121" s="388"/>
      <c r="FS121" s="388"/>
      <c r="FT121" s="389"/>
      <c r="FU121" s="390"/>
      <c r="FV121" s="393"/>
      <c r="FW121" s="388"/>
      <c r="FX121" s="388"/>
      <c r="FY121" s="389"/>
      <c r="FZ121" s="1469"/>
      <c r="GA121" s="393"/>
      <c r="GB121" s="388"/>
      <c r="GC121" s="388"/>
      <c r="GD121" s="389"/>
      <c r="GE121" s="1469"/>
      <c r="GF121" s="393"/>
      <c r="GG121" s="388"/>
      <c r="GH121" s="388"/>
      <c r="GI121" s="389"/>
      <c r="GJ121" s="411"/>
    </row>
    <row r="122" spans="1:192" ht="12.75" customHeight="1">
      <c r="EL122" s="288"/>
      <c r="EQ122" s="288"/>
    </row>
    <row r="123" spans="1:192" ht="12.75" customHeight="1" thickBot="1">
      <c r="DC123" s="142"/>
      <c r="DH123" s="142"/>
      <c r="DM123" s="142"/>
      <c r="DR123" s="142"/>
      <c r="DW123" s="142"/>
      <c r="EB123" s="142"/>
      <c r="EG123" s="142"/>
    </row>
    <row r="124" spans="1:192" ht="12.75" customHeight="1" thickBot="1">
      <c r="B124" s="731" t="s">
        <v>208</v>
      </c>
      <c r="C124" s="396"/>
      <c r="D124" s="397"/>
      <c r="E124" s="397"/>
      <c r="F124" s="397"/>
      <c r="G124" s="397"/>
      <c r="H124" s="396"/>
      <c r="I124" s="397"/>
      <c r="J124" s="397"/>
      <c r="K124" s="397"/>
      <c r="L124" s="397"/>
      <c r="M124" s="396"/>
      <c r="N124" s="397"/>
      <c r="O124" s="397"/>
      <c r="P124" s="397"/>
      <c r="Q124" s="397"/>
      <c r="R124" s="396"/>
      <c r="S124" s="397"/>
      <c r="T124" s="397"/>
      <c r="U124" s="397"/>
      <c r="V124" s="397"/>
      <c r="W124" s="396"/>
      <c r="X124" s="397"/>
      <c r="Y124" s="397"/>
      <c r="Z124" s="397"/>
      <c r="AA124" s="397"/>
      <c r="AB124" s="396"/>
      <c r="AC124" s="397"/>
      <c r="AD124" s="397"/>
      <c r="AE124" s="397"/>
      <c r="AF124" s="397"/>
      <c r="AG124" s="396"/>
      <c r="AH124" s="397"/>
      <c r="AI124" s="397"/>
      <c r="AJ124" s="397"/>
      <c r="AK124" s="397"/>
      <c r="AL124" s="396"/>
      <c r="AM124" s="397"/>
      <c r="AN124" s="397"/>
      <c r="AO124" s="397"/>
      <c r="AP124" s="397"/>
      <c r="AQ124" s="396"/>
      <c r="AR124" s="397"/>
      <c r="AS124" s="397"/>
      <c r="AT124" s="397"/>
      <c r="AU124" s="397"/>
      <c r="AV124" s="396"/>
      <c r="AW124" s="397"/>
      <c r="AX124" s="397"/>
      <c r="AY124" s="397"/>
      <c r="AZ124" s="397"/>
      <c r="BA124" s="396"/>
      <c r="BB124" s="397"/>
      <c r="BC124" s="397"/>
      <c r="BD124" s="397"/>
      <c r="BE124" s="397"/>
      <c r="BF124" s="396"/>
      <c r="BG124" s="397"/>
      <c r="BH124" s="397"/>
      <c r="BI124" s="397"/>
      <c r="BJ124" s="397"/>
      <c r="BK124" s="396"/>
      <c r="BL124" s="397"/>
      <c r="BM124" s="397"/>
      <c r="BN124" s="397"/>
      <c r="BO124" s="397"/>
      <c r="BP124" s="396"/>
      <c r="BQ124" s="397"/>
      <c r="BR124" s="397"/>
      <c r="BS124" s="397"/>
      <c r="BT124" s="397"/>
      <c r="BU124" s="396"/>
      <c r="BV124" s="397"/>
      <c r="BW124" s="397"/>
      <c r="BX124" s="397"/>
      <c r="BY124" s="397"/>
      <c r="BZ124" s="396"/>
      <c r="CA124" s="397"/>
      <c r="CB124" s="397"/>
      <c r="CC124" s="397"/>
      <c r="CD124" s="397"/>
      <c r="CE124" s="396"/>
      <c r="CF124" s="397"/>
      <c r="CG124" s="397"/>
      <c r="CH124" s="397"/>
      <c r="CI124" s="397"/>
      <c r="CJ124" s="396"/>
      <c r="CK124" s="397"/>
      <c r="CL124" s="397"/>
      <c r="CM124" s="397"/>
      <c r="CN124" s="397"/>
      <c r="CO124" s="396"/>
      <c r="CP124" s="397"/>
      <c r="CQ124" s="397"/>
      <c r="CR124" s="397"/>
      <c r="CS124" s="397"/>
      <c r="CT124" s="396"/>
      <c r="CU124" s="397"/>
      <c r="CV124" s="397"/>
      <c r="CW124" s="397"/>
      <c r="CX124" s="397"/>
      <c r="CY124" s="396"/>
      <c r="CZ124" s="397"/>
      <c r="DA124" s="397"/>
      <c r="DB124" s="397"/>
      <c r="DC124" s="397"/>
      <c r="DD124" s="396"/>
      <c r="DE124" s="397"/>
      <c r="DF124" s="397"/>
      <c r="DG124" s="397"/>
      <c r="DH124" s="397"/>
      <c r="DI124" s="396"/>
      <c r="DJ124" s="397"/>
      <c r="DK124" s="397"/>
      <c r="DL124" s="397"/>
      <c r="DM124" s="397"/>
      <c r="DN124" s="396"/>
      <c r="DO124" s="397"/>
      <c r="DP124" s="397"/>
      <c r="DQ124" s="397"/>
      <c r="DR124" s="397"/>
      <c r="DS124" s="396"/>
      <c r="DT124" s="397"/>
      <c r="DU124" s="397"/>
      <c r="DV124" s="397"/>
      <c r="DW124" s="397"/>
      <c r="DX124" s="396"/>
      <c r="DY124" s="397"/>
      <c r="DZ124" s="397"/>
      <c r="EA124" s="397"/>
      <c r="EB124" s="397"/>
      <c r="EC124" s="396"/>
      <c r="ED124" s="397"/>
      <c r="EE124" s="397"/>
      <c r="EF124" s="397"/>
      <c r="EG124" s="397"/>
      <c r="EH124" s="396"/>
      <c r="EI124" s="397"/>
      <c r="EJ124" s="397"/>
      <c r="EK124" s="397"/>
      <c r="EL124" s="397"/>
      <c r="EM124" s="396"/>
      <c r="EN124" s="397"/>
      <c r="EO124" s="397"/>
      <c r="EP124" s="397"/>
      <c r="EQ124" s="397"/>
      <c r="ER124" s="396"/>
      <c r="ES124" s="397"/>
      <c r="ET124" s="397"/>
      <c r="EU124" s="397"/>
      <c r="EV124" s="397"/>
      <c r="EW124" s="396"/>
      <c r="EX124" s="397"/>
      <c r="EY124" s="397"/>
      <c r="EZ124" s="397"/>
      <c r="FA124" s="397"/>
      <c r="FB124" s="396"/>
      <c r="FC124" s="397"/>
      <c r="FD124" s="397"/>
      <c r="FE124" s="397"/>
      <c r="FF124" s="397"/>
      <c r="FG124" s="396"/>
      <c r="FH124" s="397"/>
      <c r="FI124" s="397"/>
      <c r="FJ124" s="397"/>
      <c r="FK124" s="397"/>
      <c r="FL124" s="396"/>
      <c r="FM124" s="397"/>
      <c r="FN124" s="397"/>
      <c r="FO124" s="397"/>
      <c r="FP124" s="397"/>
      <c r="FQ124" s="396"/>
      <c r="FR124" s="397"/>
      <c r="FS124" s="397"/>
      <c r="FT124" s="397"/>
      <c r="FU124" s="397"/>
      <c r="FV124" s="396"/>
      <c r="FW124" s="397"/>
      <c r="FX124" s="397"/>
      <c r="FY124" s="397"/>
      <c r="FZ124" s="397"/>
      <c r="GA124" s="396"/>
      <c r="GB124" s="397"/>
      <c r="GC124" s="397"/>
      <c r="GD124" s="397"/>
      <c r="GE124" s="397"/>
      <c r="GF124" s="396"/>
      <c r="GG124" s="397"/>
      <c r="GH124" s="397"/>
      <c r="GI124" s="397"/>
      <c r="GJ124" s="398"/>
    </row>
    <row r="125" spans="1:192" ht="12.75" customHeight="1">
      <c r="B125" s="732"/>
      <c r="C125" s="294"/>
      <c r="D125" s="295"/>
      <c r="E125" s="295"/>
      <c r="F125" s="295"/>
      <c r="G125" s="296"/>
      <c r="H125" s="294"/>
      <c r="I125" s="295"/>
      <c r="J125" s="295"/>
      <c r="K125" s="295"/>
      <c r="L125" s="296"/>
      <c r="M125" s="294"/>
      <c r="N125" s="295"/>
      <c r="O125" s="295"/>
      <c r="P125" s="295"/>
      <c r="Q125" s="296"/>
      <c r="R125" s="294"/>
      <c r="S125" s="295"/>
      <c r="T125" s="295"/>
      <c r="U125" s="295"/>
      <c r="V125" s="296"/>
      <c r="W125" s="294"/>
      <c r="X125" s="295"/>
      <c r="Y125" s="295"/>
      <c r="Z125" s="295"/>
      <c r="AA125" s="296"/>
      <c r="AB125" s="294"/>
      <c r="AC125" s="295"/>
      <c r="AD125" s="295"/>
      <c r="AE125" s="295"/>
      <c r="AF125" s="296"/>
      <c r="AG125" s="294"/>
      <c r="AH125" s="295"/>
      <c r="AI125" s="295"/>
      <c r="AJ125" s="295"/>
      <c r="AK125" s="296"/>
      <c r="AL125" s="294"/>
      <c r="AM125" s="295"/>
      <c r="AN125" s="295"/>
      <c r="AO125" s="295"/>
      <c r="AP125" s="296"/>
      <c r="AQ125" s="294"/>
      <c r="AR125" s="295"/>
      <c r="AS125" s="295"/>
      <c r="AT125" s="295"/>
      <c r="AU125" s="296"/>
      <c r="AV125" s="294"/>
      <c r="AW125" s="295"/>
      <c r="AX125" s="295"/>
      <c r="AY125" s="295"/>
      <c r="AZ125" s="296"/>
      <c r="BA125" s="294"/>
      <c r="BB125" s="295"/>
      <c r="BC125" s="295"/>
      <c r="BD125" s="295"/>
      <c r="BE125" s="296"/>
      <c r="BF125" s="294"/>
      <c r="BG125" s="295"/>
      <c r="BH125" s="295"/>
      <c r="BI125" s="295"/>
      <c r="BJ125" s="296"/>
      <c r="BK125" s="294"/>
      <c r="BL125" s="295"/>
      <c r="BM125" s="295"/>
      <c r="BN125" s="295"/>
      <c r="BO125" s="296"/>
      <c r="BP125" s="294"/>
      <c r="BQ125" s="295"/>
      <c r="BR125" s="295"/>
      <c r="BS125" s="295"/>
      <c r="BT125" s="296"/>
      <c r="BU125" s="294"/>
      <c r="BV125" s="295"/>
      <c r="BW125" s="295"/>
      <c r="BX125" s="295"/>
      <c r="BY125" s="296"/>
      <c r="BZ125" s="294"/>
      <c r="CA125" s="295"/>
      <c r="CB125" s="295"/>
      <c r="CC125" s="295"/>
      <c r="CD125" s="296"/>
      <c r="CE125" s="294"/>
      <c r="CF125" s="295"/>
      <c r="CG125" s="295"/>
      <c r="CH125" s="295"/>
      <c r="CI125" s="296"/>
      <c r="CJ125" s="294"/>
      <c r="CK125" s="295"/>
      <c r="CL125" s="295"/>
      <c r="CM125" s="295"/>
      <c r="CN125" s="296"/>
      <c r="CO125" s="294"/>
      <c r="CP125" s="295"/>
      <c r="CQ125" s="295"/>
      <c r="CR125" s="295"/>
      <c r="CS125" s="296"/>
      <c r="CT125" s="294"/>
      <c r="CU125" s="295"/>
      <c r="CV125" s="295"/>
      <c r="CW125" s="295"/>
      <c r="CX125" s="296"/>
      <c r="CY125" s="294"/>
      <c r="CZ125" s="295"/>
      <c r="DA125" s="295"/>
      <c r="DB125" s="295"/>
      <c r="DC125" s="296"/>
      <c r="DD125" s="294"/>
      <c r="DE125" s="295"/>
      <c r="DF125" s="295"/>
      <c r="DG125" s="295"/>
      <c r="DH125" s="296"/>
      <c r="DI125" s="294"/>
      <c r="DJ125" s="295"/>
      <c r="DK125" s="295"/>
      <c r="DL125" s="295"/>
      <c r="DM125" s="296"/>
      <c r="DN125" s="294"/>
      <c r="DO125" s="295"/>
      <c r="DP125" s="295"/>
      <c r="DQ125" s="295"/>
      <c r="DR125" s="296"/>
      <c r="DS125" s="294"/>
      <c r="DT125" s="295"/>
      <c r="DU125" s="295"/>
      <c r="DV125" s="295"/>
      <c r="DW125" s="296"/>
      <c r="DX125" s="294"/>
      <c r="DY125" s="295"/>
      <c r="DZ125" s="295"/>
      <c r="EA125" s="295"/>
      <c r="EB125" s="296"/>
      <c r="EC125" s="294"/>
      <c r="ED125" s="469"/>
      <c r="EE125" s="469"/>
      <c r="EF125" s="469"/>
      <c r="EG125" s="296"/>
      <c r="EH125" s="294"/>
      <c r="EI125" s="295"/>
      <c r="EJ125" s="295"/>
      <c r="EK125" s="295"/>
      <c r="EL125" s="296"/>
      <c r="EM125" s="294"/>
      <c r="EN125" s="295"/>
      <c r="EO125" s="295"/>
      <c r="EP125" s="295"/>
      <c r="EQ125" s="296"/>
      <c r="ER125" s="294"/>
      <c r="ES125" s="295"/>
      <c r="ET125" s="295"/>
      <c r="EU125" s="295"/>
      <c r="EV125" s="296"/>
      <c r="EW125" s="294"/>
      <c r="EX125" s="295"/>
      <c r="EY125" s="295"/>
      <c r="EZ125" s="295"/>
      <c r="FA125" s="296"/>
      <c r="FB125" s="294"/>
      <c r="FC125" s="295"/>
      <c r="FD125" s="295"/>
      <c r="FE125" s="295"/>
      <c r="FF125" s="296"/>
      <c r="FG125" s="294"/>
      <c r="FH125" s="295"/>
      <c r="FI125" s="295"/>
      <c r="FJ125" s="295"/>
      <c r="FK125" s="296"/>
      <c r="FL125" s="294"/>
      <c r="FM125" s="295"/>
      <c r="FN125" s="295"/>
      <c r="FO125" s="295"/>
      <c r="FP125" s="296"/>
      <c r="FQ125" s="294"/>
      <c r="FR125" s="295"/>
      <c r="FS125" s="295"/>
      <c r="FT125" s="295"/>
      <c r="FU125" s="296"/>
      <c r="FV125" s="294"/>
      <c r="FW125" s="295"/>
      <c r="FX125" s="295"/>
      <c r="FY125" s="295"/>
      <c r="FZ125" s="296"/>
      <c r="GA125" s="294"/>
      <c r="GB125" s="295"/>
      <c r="GC125" s="295"/>
      <c r="GD125" s="295"/>
      <c r="GE125" s="296"/>
      <c r="GF125" s="294"/>
      <c r="GG125" s="295"/>
      <c r="GH125" s="295"/>
      <c r="GI125" s="295"/>
      <c r="GJ125" s="383"/>
    </row>
    <row r="126" spans="1:192" s="623" customFormat="1" ht="12.75" customHeight="1">
      <c r="A126" s="1642"/>
      <c r="B126" s="748" t="s">
        <v>2042</v>
      </c>
      <c r="C126" s="800"/>
      <c r="D126" s="805"/>
      <c r="E126" s="805"/>
      <c r="F126" s="805"/>
      <c r="G126" s="456"/>
      <c r="H126" s="800"/>
      <c r="I126" s="805"/>
      <c r="J126" s="805"/>
      <c r="K126" s="805"/>
      <c r="L126" s="456"/>
      <c r="M126" s="800"/>
      <c r="N126" s="805"/>
      <c r="O126" s="805"/>
      <c r="P126" s="805"/>
      <c r="Q126" s="456"/>
      <c r="R126" s="800"/>
      <c r="S126" s="805"/>
      <c r="T126" s="805"/>
      <c r="U126" s="805"/>
      <c r="V126" s="456"/>
      <c r="W126" s="800"/>
      <c r="X126" s="805"/>
      <c r="Y126" s="805"/>
      <c r="Z126" s="805"/>
      <c r="AA126" s="456"/>
      <c r="AB126" s="800"/>
      <c r="AC126" s="805"/>
      <c r="AD126" s="805"/>
      <c r="AE126" s="805"/>
      <c r="AF126" s="456"/>
      <c r="AG126" s="800"/>
      <c r="AH126" s="805"/>
      <c r="AI126" s="805"/>
      <c r="AJ126" s="805"/>
      <c r="AK126" s="456"/>
      <c r="AL126" s="800"/>
      <c r="AM126" s="805"/>
      <c r="AN126" s="805"/>
      <c r="AO126" s="805"/>
      <c r="AP126" s="456"/>
      <c r="AQ126" s="800"/>
      <c r="AR126" s="805"/>
      <c r="AS126" s="805"/>
      <c r="AT126" s="805"/>
      <c r="AU126" s="456"/>
      <c r="AV126" s="800"/>
      <c r="AW126" s="805"/>
      <c r="AX126" s="805"/>
      <c r="AY126" s="805"/>
      <c r="AZ126" s="456"/>
      <c r="BA126" s="800"/>
      <c r="BB126" s="805"/>
      <c r="BC126" s="805"/>
      <c r="BD126" s="805"/>
      <c r="BE126" s="456"/>
      <c r="BF126" s="800"/>
      <c r="BG126" s="805"/>
      <c r="BH126" s="805"/>
      <c r="BI126" s="805"/>
      <c r="BJ126" s="456"/>
      <c r="BK126" s="800"/>
      <c r="BL126" s="805"/>
      <c r="BM126" s="805"/>
      <c r="BN126" s="805"/>
      <c r="BO126" s="456"/>
      <c r="BP126" s="800"/>
      <c r="BQ126" s="805"/>
      <c r="BR126" s="805"/>
      <c r="BS126" s="805"/>
      <c r="BT126" s="456"/>
      <c r="BU126" s="1167"/>
      <c r="BV126" s="1168"/>
      <c r="BW126" s="1168"/>
      <c r="BX126" s="1168"/>
      <c r="BY126" s="456"/>
      <c r="BZ126" s="1167"/>
      <c r="CA126" s="1168"/>
      <c r="CB126" s="1168"/>
      <c r="CC126" s="1168"/>
      <c r="CD126" s="456"/>
      <c r="CE126" s="1167"/>
      <c r="CF126" s="1168"/>
      <c r="CG126" s="1168"/>
      <c r="CH126" s="1168"/>
      <c r="CI126" s="456"/>
      <c r="CJ126" s="1167"/>
      <c r="CK126" s="1168"/>
      <c r="CL126" s="1168"/>
      <c r="CM126" s="1168"/>
      <c r="CN126" s="456"/>
      <c r="CO126" s="1167"/>
      <c r="CP126" s="1168"/>
      <c r="CQ126" s="1168"/>
      <c r="CR126" s="1168"/>
      <c r="CS126" s="456"/>
      <c r="CT126" s="1167"/>
      <c r="CU126" s="1168"/>
      <c r="CV126" s="1168"/>
      <c r="CW126" s="1168"/>
      <c r="CX126" s="456"/>
      <c r="CY126" s="1167"/>
      <c r="CZ126" s="1168"/>
      <c r="DA126" s="1168"/>
      <c r="DB126" s="1168"/>
      <c r="DC126" s="457"/>
      <c r="DD126" s="1167"/>
      <c r="DE126" s="1168"/>
      <c r="DF126" s="1168"/>
      <c r="DG126" s="1168"/>
      <c r="DH126" s="457"/>
      <c r="DI126" s="1167"/>
      <c r="DJ126" s="1168"/>
      <c r="DK126" s="1168"/>
      <c r="DL126" s="1168"/>
      <c r="DM126" s="456"/>
      <c r="DN126" s="800"/>
      <c r="DO126" s="805"/>
      <c r="DP126" s="805"/>
      <c r="DQ126" s="800"/>
      <c r="DR126" s="456"/>
      <c r="DS126" s="800"/>
      <c r="DT126" s="805"/>
      <c r="DU126" s="805"/>
      <c r="DV126" s="800"/>
      <c r="DW126" s="456"/>
      <c r="DX126" s="800"/>
      <c r="DY126" s="805"/>
      <c r="DZ126" s="805"/>
      <c r="EA126" s="800"/>
      <c r="EB126" s="456"/>
      <c r="EC126" s="800"/>
      <c r="ED126" s="805"/>
      <c r="EE126" s="805"/>
      <c r="EF126" s="800"/>
      <c r="EG126" s="456"/>
      <c r="EH126" s="800"/>
      <c r="EI126" s="805"/>
      <c r="EJ126" s="805"/>
      <c r="EK126" s="800"/>
      <c r="EL126" s="456"/>
      <c r="EM126" s="1167">
        <v>4593</v>
      </c>
      <c r="EN126" s="1168">
        <v>4219</v>
      </c>
      <c r="EO126" s="1168">
        <v>4040</v>
      </c>
      <c r="EP126" s="1167">
        <v>4295</v>
      </c>
      <c r="EQ126" s="456">
        <f>SUM(EM126:EP126)</f>
      </c>
      <c r="ER126" s="1167">
        <v>4340</v>
      </c>
      <c r="ES126" s="1166">
        <v>4363</v>
      </c>
      <c r="ET126" s="1166">
        <v>4098</v>
      </c>
      <c r="EU126" s="1167">
        <v>4225</v>
      </c>
      <c r="EV126" s="456">
        <f>SUM(ER126:EU126)</f>
      </c>
      <c r="EW126" s="1166">
        <v>4329</v>
      </c>
      <c r="EX126" s="1166">
        <v>4512</v>
      </c>
      <c r="EY126" s="1166">
        <v>4144</v>
      </c>
      <c r="EZ126" s="1397">
        <f>FA126-EY126-EX126-EW126</f>
      </c>
      <c r="FA126" s="457">
        <v>17314</v>
      </c>
      <c r="FB126" s="805">
        <f t="shared" ref="FB126:GE126" si="86">FB143+FB151</f>
      </c>
      <c r="FC126" s="805">
        <f t="shared" si="86"/>
      </c>
      <c r="FD126" s="805">
        <f t="shared" si="86"/>
      </c>
      <c r="FE126" s="805">
        <f t="shared" si="86"/>
      </c>
      <c r="FF126" s="456">
        <f t="shared" si="86"/>
      </c>
      <c r="FG126" s="805">
        <f t="shared" si="86"/>
      </c>
      <c r="FH126" s="805">
        <f t="shared" si="86"/>
      </c>
      <c r="FI126" s="805">
        <f t="shared" si="86"/>
      </c>
      <c r="FJ126" s="805">
        <f t="shared" si="86"/>
      </c>
      <c r="FK126" s="456">
        <f t="shared" si="86"/>
      </c>
      <c r="FL126" s="805">
        <f t="shared" si="86"/>
      </c>
      <c r="FM126" s="805">
        <f t="shared" si="86"/>
      </c>
      <c r="FN126" s="805">
        <f t="shared" si="86"/>
      </c>
      <c r="FO126" s="805">
        <f t="shared" si="86"/>
      </c>
      <c r="FP126" s="456">
        <f t="shared" si="86"/>
      </c>
      <c r="FQ126" s="805">
        <f t="shared" si="86"/>
      </c>
      <c r="FR126" s="805">
        <f t="shared" si="86"/>
      </c>
      <c r="FS126" s="805">
        <f t="shared" si="86"/>
      </c>
      <c r="FT126" s="805">
        <f t="shared" si="86"/>
      </c>
      <c r="FU126" s="456">
        <f t="shared" si="86"/>
      </c>
      <c r="FV126" s="800">
        <f t="shared" si="86"/>
      </c>
      <c r="FW126" s="805">
        <f t="shared" si="86"/>
      </c>
      <c r="FX126" s="805">
        <f t="shared" si="86"/>
      </c>
      <c r="FY126" s="805">
        <f t="shared" si="86"/>
      </c>
      <c r="FZ126" s="456">
        <f t="shared" si="86"/>
      </c>
      <c r="GA126" s="800">
        <f t="shared" si="86"/>
      </c>
      <c r="GB126" s="805">
        <f t="shared" si="86"/>
      </c>
      <c r="GC126" s="805">
        <f t="shared" si="86"/>
      </c>
      <c r="GD126" s="805">
        <f t="shared" si="86"/>
      </c>
      <c r="GE126" s="456">
        <f t="shared" si="86"/>
      </c>
      <c r="GF126" s="800">
        <f t="shared" ref="GF126:GJ126" si="87">GF143+GF151</f>
      </c>
      <c r="GG126" s="805">
        <f t="shared" si="87"/>
      </c>
      <c r="GH126" s="805">
        <f t="shared" si="87"/>
      </c>
      <c r="GI126" s="805">
        <f t="shared" si="87"/>
      </c>
      <c r="GJ126" s="499">
        <f t="shared" si="87"/>
      </c>
    </row>
    <row r="127" spans="1:192" ht="12.75" customHeight="1">
      <c r="B127" s="735" t="s">
        <v>34</v>
      </c>
      <c r="C127" s="291"/>
      <c r="D127" s="107"/>
      <c r="E127" s="107"/>
      <c r="F127" s="107"/>
      <c r="G127" s="292"/>
      <c r="H127" s="291"/>
      <c r="I127" s="107"/>
      <c r="J127" s="107"/>
      <c r="K127" s="107"/>
      <c r="L127" s="292"/>
      <c r="M127" s="291"/>
      <c r="N127" s="107"/>
      <c r="O127" s="107"/>
      <c r="P127" s="107"/>
      <c r="Q127" s="292"/>
      <c r="R127" s="291"/>
      <c r="S127" s="107"/>
      <c r="T127" s="107"/>
      <c r="U127" s="107"/>
      <c r="V127" s="292"/>
      <c r="W127" s="291"/>
      <c r="X127" s="107"/>
      <c r="Y127" s="107"/>
      <c r="Z127" s="107"/>
      <c r="AA127" s="292"/>
      <c r="AB127" s="291"/>
      <c r="AC127" s="107"/>
      <c r="AD127" s="107"/>
      <c r="AE127" s="107"/>
      <c r="AF127" s="292"/>
      <c r="AG127" s="291"/>
      <c r="AH127" s="107"/>
      <c r="AI127" s="107"/>
      <c r="AJ127" s="107"/>
      <c r="AK127" s="292"/>
      <c r="AL127" s="291"/>
      <c r="AM127" s="107"/>
      <c r="AN127" s="107"/>
      <c r="AO127" s="107"/>
      <c r="AP127" s="292"/>
      <c r="AQ127" s="291"/>
      <c r="AR127" s="107"/>
      <c r="AS127" s="107"/>
      <c r="AT127" s="107"/>
      <c r="AU127" s="292"/>
      <c r="AV127" s="291"/>
      <c r="AW127" s="107"/>
      <c r="AX127" s="107"/>
      <c r="AY127" s="107"/>
      <c r="AZ127" s="292"/>
      <c r="BA127" s="291"/>
      <c r="BB127" s="107"/>
      <c r="BC127" s="107"/>
      <c r="BD127" s="107"/>
      <c r="BE127" s="292"/>
      <c r="BF127" s="291"/>
      <c r="BG127" s="107"/>
      <c r="BH127" s="107"/>
      <c r="BI127" s="107"/>
      <c r="BJ127" s="292"/>
      <c r="BK127" s="291"/>
      <c r="BL127" s="107"/>
      <c r="BM127" s="107"/>
      <c r="BN127" s="107"/>
      <c r="BO127" s="292"/>
      <c r="BP127" s="291"/>
      <c r="BQ127" s="107"/>
      <c r="BR127" s="107"/>
      <c r="BS127" s="107"/>
      <c r="BT127" s="292"/>
      <c r="BU127" s="291"/>
      <c r="BV127" s="107"/>
      <c r="BW127" s="107"/>
      <c r="BX127" s="107"/>
      <c r="BY127" s="292"/>
      <c r="BZ127" s="291"/>
      <c r="CA127" s="107"/>
      <c r="CB127" s="107"/>
      <c r="CC127" s="107"/>
      <c r="CD127" s="292"/>
      <c r="CE127" s="291"/>
      <c r="CF127" s="107"/>
      <c r="CG127" s="107"/>
      <c r="CH127" s="107"/>
      <c r="CI127" s="292"/>
      <c r="CJ127" s="291"/>
      <c r="CK127" s="107"/>
      <c r="CL127" s="107"/>
      <c r="CM127" s="107"/>
      <c r="CN127" s="292"/>
      <c r="CO127" s="291"/>
      <c r="CP127" s="107"/>
      <c r="CQ127" s="107"/>
      <c r="CR127" s="107"/>
      <c r="CS127" s="292"/>
      <c r="CT127" s="291"/>
      <c r="CU127" s="107"/>
      <c r="CV127" s="107"/>
      <c r="CW127" s="107"/>
      <c r="CX127" s="292"/>
      <c r="CY127" s="291"/>
      <c r="CZ127" s="107"/>
      <c r="DA127" s="107"/>
      <c r="DB127" s="107"/>
      <c r="DC127" s="413"/>
      <c r="DD127" s="291"/>
      <c r="DE127" s="107"/>
      <c r="DF127" s="107"/>
      <c r="DG127" s="107"/>
      <c r="DH127" s="413"/>
      <c r="DI127" s="291"/>
      <c r="DJ127" s="114"/>
      <c r="DK127" s="107"/>
      <c r="DL127" s="107"/>
      <c r="DM127" s="292"/>
      <c r="DN127" s="107"/>
      <c r="DO127" s="107"/>
      <c r="DP127" s="107"/>
      <c r="DQ127" s="107"/>
      <c r="DR127" s="292"/>
      <c r="DS127" s="107"/>
      <c r="DT127" s="107"/>
      <c r="DU127" s="107"/>
      <c r="DV127" s="107"/>
      <c r="DW127" s="292"/>
      <c r="DX127" s="107"/>
      <c r="DY127" s="107"/>
      <c r="DZ127" s="107"/>
      <c r="EA127" s="107"/>
      <c r="EB127" s="292"/>
      <c r="EC127" s="107"/>
      <c r="ED127" s="107"/>
      <c r="EE127" s="107"/>
      <c r="EF127" s="107"/>
      <c r="EG127" s="292"/>
      <c r="EH127" s="107"/>
      <c r="EI127" s="107"/>
      <c r="EJ127" s="107"/>
      <c r="EK127" s="107"/>
      <c r="EL127" s="292"/>
      <c r="EM127" s="107"/>
      <c r="EN127" s="107"/>
      <c r="EO127" s="107"/>
      <c r="EP127" s="107"/>
      <c r="EQ127" s="292"/>
      <c r="ER127" s="107">
        <f t="shared" ref="ER127" si="88">ER126/EM126-1</f>
      </c>
      <c r="ES127" s="107">
        <f t="shared" ref="ES127" si="89">ES126/EN126-1</f>
      </c>
      <c r="ET127" s="107">
        <f t="shared" ref="ET127" si="90">ET126/EO126-1</f>
      </c>
      <c r="EU127" s="107">
        <f t="shared" ref="EU127" si="91">EU126/EP126-1</f>
      </c>
      <c r="EV127" s="292">
        <f t="shared" ref="EV127:GE127" si="92">EV126/EQ126-1</f>
      </c>
      <c r="EW127" s="924">
        <f t="shared" si="92"/>
      </c>
      <c r="EX127" s="107">
        <f t="shared" si="92"/>
      </c>
      <c r="EY127" s="107">
        <f t="shared" si="92"/>
      </c>
      <c r="EZ127" s="107">
        <f t="shared" si="92"/>
      </c>
      <c r="FA127" s="292">
        <f t="shared" si="92"/>
      </c>
      <c r="FB127" s="107">
        <f t="shared" si="92"/>
      </c>
      <c r="FC127" s="107">
        <f t="shared" si="92"/>
      </c>
      <c r="FD127" s="107">
        <f t="shared" si="92"/>
      </c>
      <c r="FE127" s="107">
        <f t="shared" si="92"/>
      </c>
      <c r="FF127" s="292">
        <f t="shared" si="92"/>
      </c>
      <c r="FG127" s="107">
        <f t="shared" si="92"/>
      </c>
      <c r="FH127" s="107">
        <f t="shared" si="92"/>
      </c>
      <c r="FI127" s="107">
        <f t="shared" si="92"/>
      </c>
      <c r="FJ127" s="107">
        <f t="shared" si="92"/>
      </c>
      <c r="FK127" s="292">
        <f t="shared" si="92"/>
      </c>
      <c r="FL127" s="107">
        <f t="shared" si="92"/>
      </c>
      <c r="FM127" s="107">
        <f t="shared" si="92"/>
      </c>
      <c r="FN127" s="107">
        <f t="shared" si="92"/>
      </c>
      <c r="FO127" s="107">
        <f t="shared" si="92"/>
      </c>
      <c r="FP127" s="292">
        <f t="shared" si="92"/>
      </c>
      <c r="FQ127" s="107">
        <f t="shared" si="92"/>
      </c>
      <c r="FR127" s="107">
        <f t="shared" si="92"/>
      </c>
      <c r="FS127" s="107">
        <f t="shared" si="92"/>
      </c>
      <c r="FT127" s="107">
        <f t="shared" si="92"/>
      </c>
      <c r="FU127" s="292">
        <f t="shared" si="92"/>
      </c>
      <c r="FV127" s="107">
        <f t="shared" si="92"/>
      </c>
      <c r="FW127" s="107">
        <f t="shared" si="92"/>
      </c>
      <c r="FX127" s="107">
        <f t="shared" si="92"/>
      </c>
      <c r="FY127" s="107">
        <f t="shared" si="92"/>
      </c>
      <c r="FZ127" s="292">
        <f t="shared" si="92"/>
      </c>
      <c r="GA127" s="291">
        <f t="shared" si="92"/>
      </c>
      <c r="GB127" s="107">
        <f t="shared" si="92"/>
      </c>
      <c r="GC127" s="107">
        <f t="shared" si="92"/>
      </c>
      <c r="GD127" s="107">
        <f t="shared" si="92"/>
      </c>
      <c r="GE127" s="292">
        <f t="shared" si="92"/>
      </c>
      <c r="GF127" s="291">
        <f t="shared" ref="GF127" si="93">GF126/GA126-1</f>
      </c>
      <c r="GG127" s="107">
        <f t="shared" ref="GG127" si="94">GG126/GB126-1</f>
      </c>
      <c r="GH127" s="107">
        <f t="shared" ref="GH127" si="95">GH126/GC126-1</f>
      </c>
      <c r="GI127" s="107">
        <f t="shared" ref="GI127" si="96">GI126/GD126-1</f>
      </c>
      <c r="GJ127" s="384">
        <f t="shared" ref="GJ127" si="97">GJ126/GE126-1</f>
      </c>
    </row>
    <row r="128" spans="1:192" ht="12.75" customHeight="1">
      <c r="B128" s="735" t="s">
        <v>197</v>
      </c>
      <c r="C128" s="291"/>
      <c r="D128" s="107"/>
      <c r="E128" s="107"/>
      <c r="F128" s="107"/>
      <c r="G128" s="292"/>
      <c r="H128" s="291"/>
      <c r="I128" s="107"/>
      <c r="J128" s="107"/>
      <c r="K128" s="107"/>
      <c r="L128" s="292"/>
      <c r="M128" s="291"/>
      <c r="N128" s="107"/>
      <c r="O128" s="107"/>
      <c r="P128" s="107"/>
      <c r="Q128" s="292"/>
      <c r="R128" s="291"/>
      <c r="S128" s="107"/>
      <c r="T128" s="107"/>
      <c r="U128" s="107"/>
      <c r="V128" s="292"/>
      <c r="W128" s="291"/>
      <c r="X128" s="107"/>
      <c r="Y128" s="107"/>
      <c r="Z128" s="107"/>
      <c r="AA128" s="292"/>
      <c r="AB128" s="291"/>
      <c r="AC128" s="107"/>
      <c r="AD128" s="107"/>
      <c r="AE128" s="107"/>
      <c r="AF128" s="292"/>
      <c r="AG128" s="291"/>
      <c r="AH128" s="107"/>
      <c r="AI128" s="107"/>
      <c r="AJ128" s="107"/>
      <c r="AK128" s="292"/>
      <c r="AL128" s="291"/>
      <c r="AM128" s="107"/>
      <c r="AN128" s="107"/>
      <c r="AO128" s="107"/>
      <c r="AP128" s="292"/>
      <c r="AQ128" s="291"/>
      <c r="AR128" s="107"/>
      <c r="AS128" s="107"/>
      <c r="AT128" s="107"/>
      <c r="AU128" s="292"/>
      <c r="AV128" s="291"/>
      <c r="AW128" s="107"/>
      <c r="AX128" s="107"/>
      <c r="AY128" s="107"/>
      <c r="AZ128" s="292"/>
      <c r="BA128" s="291"/>
      <c r="BB128" s="107"/>
      <c r="BC128" s="107"/>
      <c r="BD128" s="107"/>
      <c r="BE128" s="292"/>
      <c r="BF128" s="291"/>
      <c r="BG128" s="107"/>
      <c r="BH128" s="107"/>
      <c r="BI128" s="107"/>
      <c r="BJ128" s="292"/>
      <c r="BK128" s="291"/>
      <c r="BL128" s="107"/>
      <c r="BM128" s="107"/>
      <c r="BN128" s="107"/>
      <c r="BO128" s="292"/>
      <c r="BP128" s="291"/>
      <c r="BQ128" s="107"/>
      <c r="BR128" s="107"/>
      <c r="BS128" s="107"/>
      <c r="BT128" s="292"/>
      <c r="BU128" s="291"/>
      <c r="BV128" s="107"/>
      <c r="BW128" s="107"/>
      <c r="BX128" s="107"/>
      <c r="BY128" s="292"/>
      <c r="BZ128" s="291"/>
      <c r="CA128" s="107"/>
      <c r="CB128" s="107"/>
      <c r="CC128" s="107"/>
      <c r="CD128" s="292"/>
      <c r="CE128" s="291"/>
      <c r="CF128" s="107"/>
      <c r="CG128" s="107"/>
      <c r="CH128" s="107"/>
      <c r="CI128" s="292"/>
      <c r="CJ128" s="291"/>
      <c r="CK128" s="107"/>
      <c r="CL128" s="107"/>
      <c r="CM128" s="107"/>
      <c r="CN128" s="292"/>
      <c r="CO128" s="291"/>
      <c r="CP128" s="107"/>
      <c r="CQ128" s="107"/>
      <c r="CR128" s="107"/>
      <c r="CS128" s="292"/>
      <c r="CT128" s="291"/>
      <c r="CU128" s="107"/>
      <c r="CV128" s="107"/>
      <c r="CW128" s="107"/>
      <c r="CX128" s="292"/>
      <c r="CY128" s="291"/>
      <c r="CZ128" s="107"/>
      <c r="DA128" s="107"/>
      <c r="DB128" s="107"/>
      <c r="DC128" s="292"/>
      <c r="DD128" s="291"/>
      <c r="DE128" s="107"/>
      <c r="DF128" s="107"/>
      <c r="DG128" s="107"/>
      <c r="DH128" s="292"/>
      <c r="DI128" s="291"/>
      <c r="DJ128" s="107"/>
      <c r="DK128" s="107"/>
      <c r="DL128" s="107"/>
      <c r="DM128" s="292"/>
      <c r="DN128" s="291"/>
      <c r="DO128" s="107"/>
      <c r="DP128" s="107"/>
      <c r="DQ128" s="107"/>
      <c r="DR128" s="292"/>
      <c r="DS128" s="291"/>
      <c r="DT128" s="107"/>
      <c r="DU128" s="107"/>
      <c r="DV128" s="107"/>
      <c r="DW128" s="292"/>
      <c r="DX128" s="291"/>
      <c r="DY128" s="107"/>
      <c r="DZ128" s="107"/>
      <c r="EA128" s="107"/>
      <c r="EB128" s="292"/>
      <c r="EC128" s="291"/>
      <c r="ED128" s="107"/>
      <c r="EE128" s="107"/>
      <c r="EF128" s="107"/>
      <c r="EG128" s="292"/>
      <c r="EH128" s="291"/>
      <c r="EI128" s="107"/>
      <c r="EJ128" s="107"/>
      <c r="EK128" s="107"/>
      <c r="EL128" s="292"/>
      <c r="EM128" s="291"/>
      <c r="EN128" s="107"/>
      <c r="EO128" s="107"/>
      <c r="EP128" s="107"/>
      <c r="EQ128" s="292"/>
      <c r="ER128" s="412">
        <v>0.05</v>
      </c>
      <c r="ES128" s="114">
        <v>0.09</v>
      </c>
      <c r="ET128" s="439">
        <v>0.11</v>
      </c>
      <c r="EU128" s="439">
        <v>0.08</v>
      </c>
      <c r="EV128" s="292"/>
      <c r="EW128" s="441"/>
      <c r="EX128" s="439"/>
      <c r="EY128" s="107"/>
      <c r="EZ128" s="107"/>
      <c r="FA128" s="292"/>
      <c r="FB128" s="291"/>
      <c r="FC128" s="107"/>
      <c r="FD128" s="107"/>
      <c r="FE128" s="107"/>
      <c r="FF128" s="292"/>
      <c r="FG128" s="291"/>
      <c r="FH128" s="107"/>
      <c r="FI128" s="107"/>
      <c r="FJ128" s="107"/>
      <c r="FK128" s="292"/>
      <c r="FL128" s="291"/>
      <c r="FM128" s="107"/>
      <c r="FN128" s="107"/>
      <c r="FO128" s="107"/>
      <c r="FP128" s="292"/>
      <c r="FQ128" s="291"/>
      <c r="FR128" s="107"/>
      <c r="FS128" s="107"/>
      <c r="FT128" s="107"/>
      <c r="FU128" s="292"/>
      <c r="FV128" s="291"/>
      <c r="FW128" s="107"/>
      <c r="FX128" s="107"/>
      <c r="FY128" s="107"/>
      <c r="FZ128" s="292"/>
      <c r="GA128" s="291"/>
      <c r="GB128" s="107"/>
      <c r="GC128" s="107"/>
      <c r="GD128" s="107"/>
      <c r="GE128" s="292"/>
      <c r="GF128" s="291"/>
      <c r="GG128" s="107"/>
      <c r="GH128" s="107"/>
      <c r="GI128" s="107"/>
      <c r="GJ128" s="384"/>
    </row>
    <row r="129" spans="1:192" ht="12.75" customHeight="1">
      <c r="B129" s="735" t="s">
        <v>36</v>
      </c>
      <c r="C129" s="291"/>
      <c r="D129" s="107"/>
      <c r="E129" s="107"/>
      <c r="F129" s="107"/>
      <c r="G129" s="292"/>
      <c r="H129" s="291"/>
      <c r="I129" s="107"/>
      <c r="J129" s="107"/>
      <c r="K129" s="107"/>
      <c r="L129" s="292"/>
      <c r="M129" s="291"/>
      <c r="N129" s="107"/>
      <c r="O129" s="107"/>
      <c r="P129" s="107"/>
      <c r="Q129" s="292"/>
      <c r="R129" s="291"/>
      <c r="S129" s="107"/>
      <c r="T129" s="107"/>
      <c r="U129" s="107"/>
      <c r="V129" s="292"/>
      <c r="W129" s="291"/>
      <c r="X129" s="107"/>
      <c r="Y129" s="107"/>
      <c r="Z129" s="107"/>
      <c r="AA129" s="292"/>
      <c r="AB129" s="291"/>
      <c r="AC129" s="107"/>
      <c r="AD129" s="107"/>
      <c r="AE129" s="107"/>
      <c r="AF129" s="292"/>
      <c r="AG129" s="291"/>
      <c r="AH129" s="107"/>
      <c r="AI129" s="107"/>
      <c r="AJ129" s="107"/>
      <c r="AK129" s="292"/>
      <c r="AL129" s="291"/>
      <c r="AM129" s="107"/>
      <c r="AN129" s="107"/>
      <c r="AO129" s="107"/>
      <c r="AP129" s="292"/>
      <c r="AQ129" s="291"/>
      <c r="AR129" s="107"/>
      <c r="AS129" s="107"/>
      <c r="AT129" s="107"/>
      <c r="AU129" s="292"/>
      <c r="AV129" s="291"/>
      <c r="AW129" s="107"/>
      <c r="AX129" s="107"/>
      <c r="AY129" s="107"/>
      <c r="AZ129" s="292"/>
      <c r="BA129" s="291"/>
      <c r="BB129" s="107"/>
      <c r="BC129" s="107"/>
      <c r="BD129" s="107"/>
      <c r="BE129" s="292"/>
      <c r="BF129" s="291"/>
      <c r="BG129" s="107"/>
      <c r="BH129" s="107"/>
      <c r="BI129" s="107"/>
      <c r="BJ129" s="292"/>
      <c r="BK129" s="291"/>
      <c r="BL129" s="107"/>
      <c r="BM129" s="107"/>
      <c r="BN129" s="107"/>
      <c r="BO129" s="292"/>
      <c r="BP129" s="291"/>
      <c r="BQ129" s="107"/>
      <c r="BR129" s="107"/>
      <c r="BS129" s="107"/>
      <c r="BT129" s="292"/>
      <c r="BU129" s="291"/>
      <c r="BV129" s="107"/>
      <c r="BW129" s="107"/>
      <c r="BX129" s="107"/>
      <c r="BY129" s="292"/>
      <c r="BZ129" s="291"/>
      <c r="CA129" s="107"/>
      <c r="CB129" s="107"/>
      <c r="CC129" s="107"/>
      <c r="CD129" s="292"/>
      <c r="CE129" s="291"/>
      <c r="CF129" s="107"/>
      <c r="CG129" s="107"/>
      <c r="CH129" s="107"/>
      <c r="CI129" s="292"/>
      <c r="CJ129" s="291"/>
      <c r="CK129" s="107"/>
      <c r="CL129" s="107"/>
      <c r="CM129" s="107"/>
      <c r="CN129" s="292"/>
      <c r="CO129" s="291"/>
      <c r="CP129" s="107"/>
      <c r="CQ129" s="107"/>
      <c r="CR129" s="107"/>
      <c r="CS129" s="292"/>
      <c r="CT129" s="291"/>
      <c r="CU129" s="107"/>
      <c r="CV129" s="107"/>
      <c r="CW129" s="107"/>
      <c r="CX129" s="292"/>
      <c r="CY129" s="291"/>
      <c r="CZ129" s="107"/>
      <c r="DA129" s="107"/>
      <c r="DB129" s="107"/>
      <c r="DC129" s="292"/>
      <c r="DD129" s="291"/>
      <c r="DE129" s="107"/>
      <c r="DF129" s="107"/>
      <c r="DG129" s="107"/>
      <c r="DH129" s="292"/>
      <c r="DI129" s="291"/>
      <c r="DJ129" s="107"/>
      <c r="DK129" s="107"/>
      <c r="DL129" s="107"/>
      <c r="DM129" s="292"/>
      <c r="DN129" s="291"/>
      <c r="DO129" s="107"/>
      <c r="DP129" s="107"/>
      <c r="DQ129" s="107"/>
      <c r="DR129" s="292"/>
      <c r="DS129" s="291"/>
      <c r="DT129" s="107"/>
      <c r="DU129" s="107"/>
      <c r="DV129" s="107"/>
      <c r="DW129" s="292"/>
      <c r="DX129" s="291"/>
      <c r="DY129" s="107"/>
      <c r="DZ129" s="107"/>
      <c r="EA129" s="107"/>
      <c r="EB129" s="292"/>
      <c r="EC129" s="291"/>
      <c r="ED129" s="107"/>
      <c r="EE129" s="107"/>
      <c r="EF129" s="107"/>
      <c r="EG129" s="292"/>
      <c r="EH129" s="291"/>
      <c r="EI129" s="107"/>
      <c r="EJ129" s="107"/>
      <c r="EK129" s="107"/>
      <c r="EL129" s="292"/>
      <c r="EM129" s="291"/>
      <c r="EN129" s="107">
        <f>EN126/EM126-1</f>
      </c>
      <c r="EO129" s="107">
        <f>EO126/EN126-1</f>
      </c>
      <c r="EP129" s="107">
        <f>EP126/EO126-1</f>
      </c>
      <c r="EQ129" s="292"/>
      <c r="ER129" s="291">
        <f>ER126/EP126-1</f>
      </c>
      <c r="ES129" s="107">
        <f>ES126/ER126-1</f>
      </c>
      <c r="ET129" s="107">
        <f>ET126/ES126-1</f>
      </c>
      <c r="EU129" s="107">
        <f>EU126/ET126-1</f>
      </c>
      <c r="EV129" s="292"/>
      <c r="EW129" s="291">
        <f>EW126/EU126-1</f>
      </c>
      <c r="EX129" s="107">
        <f>EX126/EW126-1</f>
      </c>
      <c r="EY129" s="107">
        <f>EY126/EX126-1</f>
      </c>
      <c r="EZ129" s="107">
        <f>EZ126/EY126-1</f>
      </c>
      <c r="FA129" s="292"/>
      <c r="FB129" s="291">
        <f>FB126/EZ126-1</f>
      </c>
      <c r="FC129" s="107">
        <f>FC126/FB126-1</f>
      </c>
      <c r="FD129" s="107">
        <f>FD126/FC126-1</f>
      </c>
      <c r="FE129" s="107">
        <f>FE126/FD126-1</f>
      </c>
      <c r="FF129" s="292"/>
      <c r="FG129" s="291">
        <f>FG126/FE126-1</f>
      </c>
      <c r="FH129" s="107">
        <f>FH126/FG126-1</f>
      </c>
      <c r="FI129" s="107">
        <f>FI126/FH126-1</f>
      </c>
      <c r="FJ129" s="107">
        <f>FJ126/FI126-1</f>
      </c>
      <c r="FK129" s="292"/>
      <c r="FL129" s="291">
        <f>FL126/FJ126-1</f>
      </c>
      <c r="FM129" s="107">
        <f>FM126/FL126-1</f>
      </c>
      <c r="FN129" s="107">
        <f>FN126/FM126-1</f>
      </c>
      <c r="FO129" s="107">
        <f>FO126/FN126-1</f>
      </c>
      <c r="FP129" s="292"/>
      <c r="FQ129" s="291">
        <f>FQ126/FO126-1</f>
      </c>
      <c r="FR129" s="107">
        <f>FR126/FQ126-1</f>
      </c>
      <c r="FS129" s="107">
        <f>FS126/FR126-1</f>
      </c>
      <c r="FT129" s="107">
        <f>FT126/FS126-1</f>
      </c>
      <c r="FU129" s="292"/>
      <c r="FV129" s="291">
        <f>FV126/FT126-1</f>
      </c>
      <c r="FW129" s="107">
        <f>FW126/FV126-1</f>
      </c>
      <c r="FX129" s="107">
        <f>FX126/FW126-1</f>
      </c>
      <c r="FY129" s="107">
        <f>FY126/FX126-1</f>
      </c>
      <c r="FZ129" s="292"/>
      <c r="GA129" s="291">
        <f>GA126/FY126-1</f>
      </c>
      <c r="GB129" s="107">
        <f>GB126/GA126-1</f>
      </c>
      <c r="GC129" s="107">
        <f>GC126/GB126-1</f>
      </c>
      <c r="GD129" s="107">
        <f>GD126/GC126-1</f>
      </c>
      <c r="GE129" s="292"/>
      <c r="GF129" s="291">
        <f>GF126/GD126-1</f>
      </c>
      <c r="GG129" s="107">
        <f>GG126/GF126-1</f>
      </c>
      <c r="GH129" s="107">
        <f>GH126/GG126-1</f>
      </c>
      <c r="GI129" s="107">
        <f>GI126/GH126-1</f>
      </c>
      <c r="GJ129" s="384"/>
    </row>
    <row r="130" spans="1:192" s="461" customFormat="1" ht="12.75" customHeight="1">
      <c r="A130" s="850"/>
      <c r="B130" s="735" t="s">
        <v>243</v>
      </c>
      <c r="C130" s="447"/>
      <c r="D130" s="458"/>
      <c r="E130" s="458"/>
      <c r="F130" s="458"/>
      <c r="G130" s="462"/>
      <c r="H130" s="447"/>
      <c r="I130" s="458"/>
      <c r="J130" s="458"/>
      <c r="K130" s="458"/>
      <c r="L130" s="462"/>
      <c r="M130" s="447"/>
      <c r="N130" s="458"/>
      <c r="O130" s="458"/>
      <c r="P130" s="458"/>
      <c r="Q130" s="462"/>
      <c r="R130" s="447"/>
      <c r="S130" s="458"/>
      <c r="T130" s="458"/>
      <c r="U130" s="458"/>
      <c r="V130" s="462"/>
      <c r="W130" s="447"/>
      <c r="X130" s="458"/>
      <c r="Y130" s="458"/>
      <c r="Z130" s="458"/>
      <c r="AA130" s="462"/>
      <c r="AB130" s="447"/>
      <c r="AC130" s="458"/>
      <c r="AD130" s="458"/>
      <c r="AE130" s="458"/>
      <c r="AF130" s="462"/>
      <c r="AG130" s="447"/>
      <c r="AH130" s="458"/>
      <c r="AI130" s="458"/>
      <c r="AJ130" s="458"/>
      <c r="AK130" s="462"/>
      <c r="AL130" s="447"/>
      <c r="AM130" s="458"/>
      <c r="AN130" s="458"/>
      <c r="AO130" s="458"/>
      <c r="AP130" s="462"/>
      <c r="AQ130" s="447"/>
      <c r="AR130" s="458"/>
      <c r="AS130" s="458"/>
      <c r="AT130" s="458"/>
      <c r="AU130" s="462"/>
      <c r="AV130" s="447"/>
      <c r="AW130" s="458"/>
      <c r="AX130" s="458"/>
      <c r="AY130" s="458"/>
      <c r="AZ130" s="462"/>
      <c r="BA130" s="447"/>
      <c r="BB130" s="458"/>
      <c r="BC130" s="458"/>
      <c r="BD130" s="458"/>
      <c r="BE130" s="462"/>
      <c r="BF130" s="447"/>
      <c r="BG130" s="458"/>
      <c r="BH130" s="458"/>
      <c r="BI130" s="458"/>
      <c r="BJ130" s="462"/>
      <c r="BK130" s="447"/>
      <c r="BL130" s="458"/>
      <c r="BM130" s="458"/>
      <c r="BN130" s="458"/>
      <c r="BO130" s="462"/>
      <c r="BP130" s="447"/>
      <c r="BQ130" s="458"/>
      <c r="BR130" s="458"/>
      <c r="BS130" s="458"/>
      <c r="BT130" s="462"/>
      <c r="BU130" s="447"/>
      <c r="BV130" s="458"/>
      <c r="BW130" s="458"/>
      <c r="BX130" s="458"/>
      <c r="BY130" s="462"/>
      <c r="BZ130" s="447"/>
      <c r="CA130" s="458"/>
      <c r="CB130" s="458"/>
      <c r="CC130" s="458"/>
      <c r="CD130" s="462"/>
      <c r="CE130" s="447"/>
      <c r="CF130" s="458"/>
      <c r="CG130" s="458"/>
      <c r="CH130" s="458"/>
      <c r="CI130" s="462"/>
      <c r="CJ130" s="447"/>
      <c r="CK130" s="458"/>
      <c r="CL130" s="458"/>
      <c r="CM130" s="458"/>
      <c r="CN130" s="462"/>
      <c r="CO130" s="447"/>
      <c r="CP130" s="458"/>
      <c r="CQ130" s="458"/>
      <c r="CR130" s="458"/>
      <c r="CS130" s="462"/>
      <c r="CT130" s="447"/>
      <c r="CU130" s="458"/>
      <c r="CV130" s="458"/>
      <c r="CW130" s="458"/>
      <c r="CX130" s="462"/>
      <c r="CY130" s="447"/>
      <c r="CZ130" s="458"/>
      <c r="DA130" s="458"/>
      <c r="DB130" s="458"/>
      <c r="DC130" s="494"/>
      <c r="DD130" s="447"/>
      <c r="DE130" s="458"/>
      <c r="DF130" s="458"/>
      <c r="DG130" s="458"/>
      <c r="DH130" s="494"/>
      <c r="DI130" s="447"/>
      <c r="DJ130" s="493"/>
      <c r="DK130" s="458"/>
      <c r="DL130" s="458"/>
      <c r="DM130" s="462"/>
      <c r="DN130" s="447"/>
      <c r="DO130" s="447"/>
      <c r="DP130" s="447"/>
      <c r="DQ130" s="447"/>
      <c r="DR130" s="462"/>
      <c r="DS130" s="447"/>
      <c r="DT130" s="447"/>
      <c r="DU130" s="447"/>
      <c r="DV130" s="447"/>
      <c r="DW130" s="462"/>
      <c r="DX130" s="447"/>
      <c r="DY130" s="447"/>
      <c r="DZ130" s="447"/>
      <c r="EA130" s="447"/>
      <c r="EB130" s="462"/>
      <c r="EC130" s="447"/>
      <c r="ED130" s="447"/>
      <c r="EE130" s="447"/>
      <c r="EF130" s="447"/>
      <c r="EG130" s="462"/>
      <c r="EH130" s="447"/>
      <c r="EI130" s="447"/>
      <c r="EJ130" s="447"/>
      <c r="EK130" s="447"/>
      <c r="EL130" s="462"/>
      <c r="EM130" s="447">
        <f t="shared" ref="EM130:ES130" si="98">EM126-EH126</f>
      </c>
      <c r="EN130" s="447">
        <f t="shared" si="98"/>
      </c>
      <c r="EO130" s="447">
        <f t="shared" si="98"/>
      </c>
      <c r="EP130" s="447">
        <f t="shared" si="98"/>
      </c>
      <c r="EQ130" s="462">
        <f t="shared" si="98"/>
      </c>
      <c r="ER130" s="447">
        <f t="shared" si="98"/>
      </c>
      <c r="ES130" s="447">
        <f t="shared" si="98"/>
      </c>
      <c r="ET130" s="448">
        <v>601</v>
      </c>
      <c r="EU130" s="447">
        <f t="shared" ref="EU130:GE130" si="99">EU126-EP126</f>
      </c>
      <c r="EV130" s="462">
        <f t="shared" si="99"/>
      </c>
      <c r="EW130" s="447">
        <f t="shared" si="99"/>
      </c>
      <c r="EX130" s="447">
        <f t="shared" si="99"/>
      </c>
      <c r="EY130" s="447">
        <f t="shared" si="99"/>
      </c>
      <c r="EZ130" s="447">
        <f t="shared" si="99"/>
      </c>
      <c r="FA130" s="462">
        <f t="shared" si="99"/>
      </c>
      <c r="FB130" s="447">
        <f t="shared" si="99"/>
      </c>
      <c r="FC130" s="447">
        <f t="shared" si="99"/>
      </c>
      <c r="FD130" s="447">
        <f t="shared" si="99"/>
      </c>
      <c r="FE130" s="447">
        <f t="shared" si="99"/>
      </c>
      <c r="FF130" s="462">
        <f t="shared" si="99"/>
      </c>
      <c r="FG130" s="447">
        <f t="shared" si="99"/>
      </c>
      <c r="FH130" s="447">
        <f t="shared" si="99"/>
      </c>
      <c r="FI130" s="447">
        <f t="shared" si="99"/>
      </c>
      <c r="FJ130" s="447">
        <f t="shared" si="99"/>
      </c>
      <c r="FK130" s="462">
        <f t="shared" si="99"/>
      </c>
      <c r="FL130" s="447">
        <f t="shared" si="99"/>
      </c>
      <c r="FM130" s="447">
        <f t="shared" si="99"/>
      </c>
      <c r="FN130" s="447">
        <f t="shared" si="99"/>
      </c>
      <c r="FO130" s="447">
        <f t="shared" si="99"/>
      </c>
      <c r="FP130" s="462">
        <f t="shared" si="99"/>
      </c>
      <c r="FQ130" s="447">
        <f t="shared" si="99"/>
      </c>
      <c r="FR130" s="447">
        <f t="shared" si="99"/>
      </c>
      <c r="FS130" s="447">
        <f t="shared" si="99"/>
      </c>
      <c r="FT130" s="447">
        <f t="shared" si="99"/>
      </c>
      <c r="FU130" s="462">
        <f t="shared" si="99"/>
      </c>
      <c r="FV130" s="447">
        <f t="shared" si="99"/>
      </c>
      <c r="FW130" s="447">
        <f t="shared" si="99"/>
      </c>
      <c r="FX130" s="447">
        <f t="shared" si="99"/>
      </c>
      <c r="FY130" s="447">
        <f t="shared" si="99"/>
      </c>
      <c r="FZ130" s="462">
        <f t="shared" si="99"/>
      </c>
      <c r="GA130" s="447">
        <f t="shared" si="99"/>
      </c>
      <c r="GB130" s="458">
        <f t="shared" si="99"/>
      </c>
      <c r="GC130" s="458">
        <f t="shared" si="99"/>
      </c>
      <c r="GD130" s="458">
        <f t="shared" si="99"/>
      </c>
      <c r="GE130" s="462">
        <f t="shared" si="99"/>
      </c>
      <c r="GF130" s="447">
        <f t="shared" ref="GF130" si="100">GF126-GA126</f>
      </c>
      <c r="GG130" s="458">
        <f t="shared" ref="GG130" si="101">GG126-GB126</f>
      </c>
      <c r="GH130" s="458">
        <f t="shared" ref="GH130" si="102">GH126-GC126</f>
      </c>
      <c r="GI130" s="458">
        <f t="shared" ref="GI130" si="103">GI126-GD126</f>
      </c>
      <c r="GJ130" s="497">
        <f t="shared" ref="GJ130" si="104">GJ126-GE126</f>
      </c>
    </row>
    <row r="131" spans="1:192" s="461" customFormat="1" ht="12.75" customHeight="1">
      <c r="A131" s="850"/>
      <c r="B131" s="735" t="s">
        <v>244</v>
      </c>
      <c r="C131" s="447"/>
      <c r="D131" s="458"/>
      <c r="E131" s="458"/>
      <c r="F131" s="458"/>
      <c r="G131" s="462"/>
      <c r="H131" s="447"/>
      <c r="I131" s="458"/>
      <c r="J131" s="458"/>
      <c r="K131" s="458"/>
      <c r="L131" s="462"/>
      <c r="M131" s="447"/>
      <c r="N131" s="458"/>
      <c r="O131" s="458"/>
      <c r="P131" s="458"/>
      <c r="Q131" s="462"/>
      <c r="R131" s="447"/>
      <c r="S131" s="458"/>
      <c r="T131" s="458"/>
      <c r="U131" s="458"/>
      <c r="V131" s="462"/>
      <c r="W131" s="447"/>
      <c r="X131" s="458"/>
      <c r="Y131" s="458"/>
      <c r="Z131" s="458"/>
      <c r="AA131" s="462"/>
      <c r="AB131" s="447"/>
      <c r="AC131" s="458"/>
      <c r="AD131" s="458"/>
      <c r="AE131" s="458"/>
      <c r="AF131" s="462"/>
      <c r="AG131" s="447"/>
      <c r="AH131" s="458"/>
      <c r="AI131" s="458"/>
      <c r="AJ131" s="458"/>
      <c r="AK131" s="462"/>
      <c r="AL131" s="447"/>
      <c r="AM131" s="458"/>
      <c r="AN131" s="458"/>
      <c r="AO131" s="458"/>
      <c r="AP131" s="462"/>
      <c r="AQ131" s="447"/>
      <c r="AR131" s="458"/>
      <c r="AS131" s="458"/>
      <c r="AT131" s="458"/>
      <c r="AU131" s="462"/>
      <c r="AV131" s="447"/>
      <c r="AW131" s="458"/>
      <c r="AX131" s="458"/>
      <c r="AY131" s="458"/>
      <c r="AZ131" s="462"/>
      <c r="BA131" s="447"/>
      <c r="BB131" s="458"/>
      <c r="BC131" s="458"/>
      <c r="BD131" s="458"/>
      <c r="BE131" s="462"/>
      <c r="BF131" s="447"/>
      <c r="BG131" s="458"/>
      <c r="BH131" s="458"/>
      <c r="BI131" s="458"/>
      <c r="BJ131" s="462"/>
      <c r="BK131" s="447"/>
      <c r="BL131" s="458"/>
      <c r="BM131" s="458"/>
      <c r="BN131" s="458"/>
      <c r="BO131" s="462"/>
      <c r="BP131" s="447"/>
      <c r="BQ131" s="458"/>
      <c r="BR131" s="458"/>
      <c r="BS131" s="458"/>
      <c r="BT131" s="462"/>
      <c r="BU131" s="447"/>
      <c r="BV131" s="458"/>
      <c r="BW131" s="458"/>
      <c r="BX131" s="458"/>
      <c r="BY131" s="462"/>
      <c r="BZ131" s="447"/>
      <c r="CA131" s="458"/>
      <c r="CB131" s="458"/>
      <c r="CC131" s="458"/>
      <c r="CD131" s="462"/>
      <c r="CE131" s="447"/>
      <c r="CF131" s="458"/>
      <c r="CG131" s="458"/>
      <c r="CH131" s="458"/>
      <c r="CI131" s="462"/>
      <c r="CJ131" s="447"/>
      <c r="CK131" s="458"/>
      <c r="CL131" s="458"/>
      <c r="CM131" s="458"/>
      <c r="CN131" s="462"/>
      <c r="CO131" s="447"/>
      <c r="CP131" s="458"/>
      <c r="CQ131" s="458"/>
      <c r="CR131" s="458"/>
      <c r="CS131" s="462"/>
      <c r="CT131" s="447"/>
      <c r="CU131" s="458"/>
      <c r="CV131" s="458"/>
      <c r="CW131" s="458"/>
      <c r="CX131" s="462"/>
      <c r="CY131" s="447"/>
      <c r="CZ131" s="458"/>
      <c r="DA131" s="458"/>
      <c r="DB131" s="458"/>
      <c r="DC131" s="462"/>
      <c r="DD131" s="447"/>
      <c r="DE131" s="458"/>
      <c r="DF131" s="458"/>
      <c r="DG131" s="458"/>
      <c r="DH131" s="462"/>
      <c r="DI131" s="447"/>
      <c r="DJ131" s="458"/>
      <c r="DK131" s="458"/>
      <c r="DL131" s="458"/>
      <c r="DM131" s="462"/>
      <c r="DN131" s="447"/>
      <c r="DO131" s="458"/>
      <c r="DP131" s="458"/>
      <c r="DQ131" s="458"/>
      <c r="DR131" s="462"/>
      <c r="DS131" s="447"/>
      <c r="DT131" s="458"/>
      <c r="DU131" s="458"/>
      <c r="DV131" s="458"/>
      <c r="DW131" s="462"/>
      <c r="DX131" s="447"/>
      <c r="DY131" s="458"/>
      <c r="DZ131" s="458"/>
      <c r="EA131" s="458"/>
      <c r="EB131" s="462"/>
      <c r="EC131" s="447"/>
      <c r="ED131" s="458"/>
      <c r="EE131" s="458"/>
      <c r="EF131" s="458"/>
      <c r="EG131" s="462"/>
      <c r="EH131" s="447"/>
      <c r="EI131" s="458"/>
      <c r="EJ131" s="458"/>
      <c r="EK131" s="458"/>
      <c r="EL131" s="462"/>
      <c r="EM131" s="447">
        <f>EM126-EK126</f>
      </c>
      <c r="EN131" s="458">
        <f>EN126-EM126</f>
      </c>
      <c r="EO131" s="458">
        <f>EO126-EN126</f>
      </c>
      <c r="EP131" s="458">
        <f>EP126-EO126</f>
      </c>
      <c r="EQ131" s="462"/>
      <c r="ER131" s="447">
        <f>ER126-EP126</f>
      </c>
      <c r="ES131" s="458">
        <f>ES126-ER126</f>
      </c>
      <c r="ET131" s="458">
        <f>ET126-ES126</f>
      </c>
      <c r="EU131" s="458">
        <f>EU126-ET126</f>
      </c>
      <c r="EV131" s="462"/>
      <c r="EW131" s="447">
        <f>EW126-EU126</f>
      </c>
      <c r="EX131" s="458">
        <f>EX126-EW126</f>
      </c>
      <c r="EY131" s="458">
        <f>EY126-EX126</f>
      </c>
      <c r="EZ131" s="458">
        <f>EZ126-EY126</f>
      </c>
      <c r="FA131" s="462"/>
      <c r="FB131" s="447">
        <f>FB126-EZ126</f>
      </c>
      <c r="FC131" s="458">
        <f>FC126-FB126</f>
      </c>
      <c r="FD131" s="458">
        <f>FD126-FC126</f>
      </c>
      <c r="FE131" s="458">
        <f>FE126-FD126</f>
      </c>
      <c r="FF131" s="462"/>
      <c r="FG131" s="447">
        <f>FG126-FE126</f>
      </c>
      <c r="FH131" s="458">
        <f>FH126-FG126</f>
      </c>
      <c r="FI131" s="458">
        <f>FI126-FH126</f>
      </c>
      <c r="FJ131" s="458">
        <f>FJ126-FI126</f>
      </c>
      <c r="FK131" s="462"/>
      <c r="FL131" s="447">
        <f>FL126-FJ126</f>
      </c>
      <c r="FM131" s="458">
        <f>FM126-FL126</f>
      </c>
      <c r="FN131" s="458">
        <f>FN126-FM126</f>
      </c>
      <c r="FO131" s="458">
        <f>FO126-FN126</f>
      </c>
      <c r="FP131" s="462"/>
      <c r="FQ131" s="447">
        <f>FQ126-FO126</f>
      </c>
      <c r="FR131" s="458">
        <f>FR126-FQ126</f>
      </c>
      <c r="FS131" s="458">
        <f>FS126-FR126</f>
      </c>
      <c r="FT131" s="458">
        <f>FT126-FS126</f>
      </c>
      <c r="FU131" s="462"/>
      <c r="FV131" s="447">
        <f>FV126-FT126</f>
      </c>
      <c r="FW131" s="458">
        <f>FW126-FV126</f>
      </c>
      <c r="FX131" s="458">
        <f>FX126-FW126</f>
      </c>
      <c r="FY131" s="458">
        <f>FY126-FX126</f>
      </c>
      <c r="FZ131" s="462"/>
      <c r="GA131" s="447">
        <f>GA126-FY126</f>
      </c>
      <c r="GB131" s="458">
        <f>GB126-GA126</f>
      </c>
      <c r="GC131" s="458">
        <f>GC126-GB126</f>
      </c>
      <c r="GD131" s="458">
        <f>GD126-GC126</f>
      </c>
      <c r="GE131" s="462"/>
      <c r="GF131" s="447">
        <f>GF126-GD126</f>
      </c>
      <c r="GG131" s="458">
        <f>GG126-GF126</f>
      </c>
      <c r="GH131" s="458">
        <f>GH126-GG126</f>
      </c>
      <c r="GI131" s="458">
        <f>GI126-GH126</f>
      </c>
      <c r="GJ131" s="497"/>
    </row>
    <row r="132" spans="1:192" ht="12.75" customHeight="1">
      <c r="B132" s="735" t="s">
        <v>213</v>
      </c>
      <c r="C132" s="291"/>
      <c r="D132" s="107"/>
      <c r="E132" s="107"/>
      <c r="F132" s="107"/>
      <c r="G132" s="293"/>
      <c r="H132" s="291"/>
      <c r="I132" s="107"/>
      <c r="J132" s="107"/>
      <c r="K132" s="107"/>
      <c r="L132" s="293"/>
      <c r="M132" s="291"/>
      <c r="N132" s="107"/>
      <c r="O132" s="107"/>
      <c r="P132" s="107"/>
      <c r="Q132" s="293"/>
      <c r="R132" s="291"/>
      <c r="S132" s="107"/>
      <c r="T132" s="107"/>
      <c r="U132" s="107"/>
      <c r="V132" s="293"/>
      <c r="W132" s="291"/>
      <c r="X132" s="107"/>
      <c r="Y132" s="107"/>
      <c r="Z132" s="107"/>
      <c r="AA132" s="293"/>
      <c r="AB132" s="291"/>
      <c r="AC132" s="107"/>
      <c r="AD132" s="107"/>
      <c r="AE132" s="107"/>
      <c r="AF132" s="293"/>
      <c r="AG132" s="291"/>
      <c r="AH132" s="107"/>
      <c r="AI132" s="107"/>
      <c r="AJ132" s="107"/>
      <c r="AK132" s="293"/>
      <c r="AL132" s="291"/>
      <c r="AM132" s="107"/>
      <c r="AN132" s="107"/>
      <c r="AO132" s="107"/>
      <c r="AP132" s="293"/>
      <c r="AQ132" s="291"/>
      <c r="AR132" s="107"/>
      <c r="AS132" s="107"/>
      <c r="AT132" s="107"/>
      <c r="AU132" s="293"/>
      <c r="AV132" s="291"/>
      <c r="AW132" s="107"/>
      <c r="AX132" s="107"/>
      <c r="AY132" s="107"/>
      <c r="AZ132" s="293"/>
      <c r="BA132" s="291"/>
      <c r="BB132" s="107"/>
      <c r="BC132" s="107"/>
      <c r="BD132" s="107"/>
      <c r="BE132" s="293"/>
      <c r="BF132" s="291"/>
      <c r="BG132" s="107"/>
      <c r="BH132" s="107"/>
      <c r="BI132" s="107"/>
      <c r="BJ132" s="293"/>
      <c r="BK132" s="291"/>
      <c r="BL132" s="107"/>
      <c r="BM132" s="107"/>
      <c r="BN132" s="107"/>
      <c r="BO132" s="293"/>
      <c r="BP132" s="291"/>
      <c r="BQ132" s="107"/>
      <c r="BR132" s="107"/>
      <c r="BS132" s="107"/>
      <c r="BT132" s="293"/>
      <c r="BU132" s="291"/>
      <c r="BV132" s="107"/>
      <c r="BW132" s="107"/>
      <c r="BX132" s="107"/>
      <c r="BY132" s="293"/>
      <c r="BZ132" s="291"/>
      <c r="CA132" s="107"/>
      <c r="CB132" s="107"/>
      <c r="CC132" s="107"/>
      <c r="CD132" s="293"/>
      <c r="CE132" s="291"/>
      <c r="CF132" s="107"/>
      <c r="CG132" s="107"/>
      <c r="CH132" s="107"/>
      <c r="CI132" s="293"/>
      <c r="CJ132" s="291"/>
      <c r="CK132" s="107"/>
      <c r="CL132" s="107"/>
      <c r="CM132" s="107"/>
      <c r="CN132" s="293"/>
      <c r="CO132" s="291"/>
      <c r="CP132" s="107"/>
      <c r="CQ132" s="107"/>
      <c r="CR132" s="107"/>
      <c r="CS132" s="293"/>
      <c r="CT132" s="291"/>
      <c r="CU132" s="107"/>
      <c r="CV132" s="107"/>
      <c r="CW132" s="107"/>
      <c r="CX132" s="293"/>
      <c r="CY132" s="291"/>
      <c r="CZ132" s="107"/>
      <c r="DA132" s="107"/>
      <c r="DB132" s="107"/>
      <c r="DC132" s="293"/>
      <c r="DD132" s="291"/>
      <c r="DE132" s="107"/>
      <c r="DF132" s="107"/>
      <c r="DG132" s="107"/>
      <c r="DH132" s="293"/>
      <c r="DI132" s="291"/>
      <c r="DJ132" s="107"/>
      <c r="DK132" s="107"/>
      <c r="DL132" s="107"/>
      <c r="DM132" s="293"/>
      <c r="DN132" s="291"/>
      <c r="DO132" s="107"/>
      <c r="DP132" s="107"/>
      <c r="DQ132" s="107"/>
      <c r="DR132" s="293"/>
      <c r="DS132" s="291"/>
      <c r="DT132" s="107"/>
      <c r="DU132" s="107"/>
      <c r="DV132" s="107"/>
      <c r="DW132" s="293"/>
      <c r="DX132" s="291"/>
      <c r="DY132" s="107"/>
      <c r="DZ132" s="107"/>
      <c r="EA132" s="107"/>
      <c r="EB132" s="293"/>
      <c r="EC132" s="291"/>
      <c r="ED132" s="107"/>
      <c r="EE132" s="107"/>
      <c r="EF132" s="107"/>
      <c r="EG132" s="293"/>
      <c r="EH132" s="291"/>
      <c r="EI132" s="107"/>
      <c r="EJ132" s="107"/>
      <c r="EK132" s="107"/>
      <c r="EL132" s="293"/>
      <c r="EM132" s="291"/>
      <c r="EN132" s="107"/>
      <c r="EO132" s="107"/>
      <c r="EP132" s="107"/>
      <c r="EQ132" s="293"/>
      <c r="ER132" s="291">
        <f t="shared" ref="ER132:GE132" si="105">ER126/ER$10</f>
      </c>
      <c r="ES132" s="107">
        <f t="shared" si="105"/>
      </c>
      <c r="ET132" s="107">
        <f t="shared" si="105"/>
      </c>
      <c r="EU132" s="107">
        <f t="shared" si="105"/>
      </c>
      <c r="EV132" s="293">
        <f t="shared" si="105"/>
      </c>
      <c r="EW132" s="291">
        <f t="shared" si="105"/>
      </c>
      <c r="EX132" s="107">
        <f t="shared" ref="EX132:EZ132" si="106">EX126/EX$10</f>
      </c>
      <c r="EY132" s="107">
        <f t="shared" si="106"/>
      </c>
      <c r="EZ132" s="107">
        <f t="shared" si="106"/>
      </c>
      <c r="FA132" s="293">
        <f t="shared" si="105"/>
      </c>
      <c r="FB132" s="291">
        <f t="shared" si="105"/>
      </c>
      <c r="FC132" s="107">
        <f t="shared" si="105"/>
      </c>
      <c r="FD132" s="107">
        <f t="shared" si="105"/>
      </c>
      <c r="FE132" s="107">
        <f t="shared" si="105"/>
      </c>
      <c r="FF132" s="293">
        <f t="shared" si="105"/>
      </c>
      <c r="FG132" s="291">
        <f t="shared" si="105"/>
      </c>
      <c r="FH132" s="107">
        <f t="shared" si="105"/>
      </c>
      <c r="FI132" s="107">
        <f t="shared" si="105"/>
      </c>
      <c r="FJ132" s="107">
        <f t="shared" si="105"/>
      </c>
      <c r="FK132" s="293">
        <f t="shared" si="105"/>
      </c>
      <c r="FL132" s="291">
        <f t="shared" si="105"/>
      </c>
      <c r="FM132" s="107">
        <f t="shared" si="105"/>
      </c>
      <c r="FN132" s="107">
        <f t="shared" si="105"/>
      </c>
      <c r="FO132" s="107">
        <f t="shared" si="105"/>
      </c>
      <c r="FP132" s="293">
        <f t="shared" si="105"/>
      </c>
      <c r="FQ132" s="291">
        <f t="shared" si="105"/>
      </c>
      <c r="FR132" s="107">
        <f t="shared" si="105"/>
      </c>
      <c r="FS132" s="107">
        <f t="shared" si="105"/>
      </c>
      <c r="FT132" s="107">
        <f t="shared" si="105"/>
      </c>
      <c r="FU132" s="293">
        <f t="shared" si="105"/>
      </c>
      <c r="FV132" s="291">
        <f t="shared" si="105"/>
      </c>
      <c r="FW132" s="107">
        <f t="shared" si="105"/>
      </c>
      <c r="FX132" s="107">
        <f t="shared" si="105"/>
      </c>
      <c r="FY132" s="107">
        <f t="shared" si="105"/>
      </c>
      <c r="FZ132" s="293">
        <f t="shared" si="105"/>
      </c>
      <c r="GA132" s="291">
        <f t="shared" si="105"/>
      </c>
      <c r="GB132" s="107">
        <f t="shared" si="105"/>
      </c>
      <c r="GC132" s="107">
        <f t="shared" si="105"/>
      </c>
      <c r="GD132" s="107">
        <f t="shared" si="105"/>
      </c>
      <c r="GE132" s="293">
        <f t="shared" si="105"/>
      </c>
      <c r="GF132" s="291">
        <f t="shared" ref="GF132:GJ132" si="107">GF126/GF$10</f>
      </c>
      <c r="GG132" s="107">
        <f t="shared" si="107"/>
      </c>
      <c r="GH132" s="107">
        <f t="shared" si="107"/>
      </c>
      <c r="GI132" s="107">
        <f t="shared" si="107"/>
      </c>
      <c r="GJ132" s="382">
        <f t="shared" si="107"/>
      </c>
    </row>
    <row r="133" spans="1:192" ht="12.75" customHeight="1">
      <c r="B133" s="735"/>
      <c r="C133" s="291"/>
      <c r="D133" s="107"/>
      <c r="E133" s="107"/>
      <c r="F133" s="107"/>
      <c r="G133" s="292"/>
      <c r="H133" s="291"/>
      <c r="I133" s="107"/>
      <c r="J133" s="107"/>
      <c r="K133" s="107"/>
      <c r="L133" s="292"/>
      <c r="M133" s="291"/>
      <c r="N133" s="107"/>
      <c r="O133" s="107"/>
      <c r="P133" s="107"/>
      <c r="Q133" s="292"/>
      <c r="R133" s="291"/>
      <c r="S133" s="107"/>
      <c r="T133" s="107"/>
      <c r="U133" s="107"/>
      <c r="V133" s="292"/>
      <c r="W133" s="291"/>
      <c r="X133" s="107"/>
      <c r="Y133" s="107"/>
      <c r="Z133" s="107"/>
      <c r="AA133" s="292"/>
      <c r="AB133" s="291"/>
      <c r="AC133" s="107"/>
      <c r="AD133" s="107"/>
      <c r="AE133" s="107"/>
      <c r="AF133" s="292"/>
      <c r="AG133" s="291"/>
      <c r="AH133" s="107"/>
      <c r="AI133" s="107"/>
      <c r="AJ133" s="107"/>
      <c r="AK133" s="292"/>
      <c r="AL133" s="291"/>
      <c r="AM133" s="107"/>
      <c r="AN133" s="107"/>
      <c r="AO133" s="107"/>
      <c r="AP133" s="292"/>
      <c r="AQ133" s="291"/>
      <c r="AR133" s="107"/>
      <c r="AS133" s="107"/>
      <c r="AT133" s="107"/>
      <c r="AU133" s="292"/>
      <c r="AV133" s="291"/>
      <c r="AW133" s="107"/>
      <c r="AX133" s="107"/>
      <c r="AY133" s="107"/>
      <c r="AZ133" s="292"/>
      <c r="BA133" s="291"/>
      <c r="BB133" s="107"/>
      <c r="BC133" s="107"/>
      <c r="BD133" s="107"/>
      <c r="BE133" s="292"/>
      <c r="BF133" s="291"/>
      <c r="BG133" s="107"/>
      <c r="BH133" s="107"/>
      <c r="BI133" s="107"/>
      <c r="BJ133" s="292"/>
      <c r="BK133" s="291"/>
      <c r="BL133" s="107"/>
      <c r="BM133" s="107"/>
      <c r="BN133" s="107"/>
      <c r="BO133" s="292"/>
      <c r="BP133" s="291"/>
      <c r="BQ133" s="107"/>
      <c r="BR133" s="107"/>
      <c r="BS133" s="107"/>
      <c r="BT133" s="292"/>
      <c r="BU133" s="291"/>
      <c r="BV133" s="107"/>
      <c r="BW133" s="107"/>
      <c r="BX133" s="107"/>
      <c r="BY133" s="292"/>
      <c r="BZ133" s="291"/>
      <c r="CA133" s="107"/>
      <c r="CB133" s="107"/>
      <c r="CC133" s="107"/>
      <c r="CD133" s="292"/>
      <c r="CE133" s="291"/>
      <c r="CF133" s="107"/>
      <c r="CG133" s="107"/>
      <c r="CH133" s="107"/>
      <c r="CI133" s="292"/>
      <c r="CJ133" s="291"/>
      <c r="CK133" s="107"/>
      <c r="CL133" s="107"/>
      <c r="CM133" s="107"/>
      <c r="CN133" s="292"/>
      <c r="CO133" s="291"/>
      <c r="CP133" s="107"/>
      <c r="CQ133" s="107"/>
      <c r="CR133" s="107"/>
      <c r="CS133" s="292"/>
      <c r="CT133" s="291"/>
      <c r="CU133" s="107"/>
      <c r="CV133" s="107"/>
      <c r="CW133" s="107"/>
      <c r="CX133" s="292"/>
      <c r="CY133" s="291"/>
      <c r="CZ133" s="107"/>
      <c r="DA133" s="107"/>
      <c r="DB133" s="107"/>
      <c r="DC133" s="292"/>
      <c r="DD133" s="291"/>
      <c r="DE133" s="107"/>
      <c r="DF133" s="107"/>
      <c r="DG133" s="107"/>
      <c r="DH133" s="292"/>
      <c r="DI133" s="291"/>
      <c r="DJ133" s="107"/>
      <c r="DK133" s="107"/>
      <c r="DL133" s="107"/>
      <c r="DM133" s="292"/>
      <c r="DN133" s="291"/>
      <c r="DO133" s="107"/>
      <c r="DP133" s="107"/>
      <c r="DQ133" s="107"/>
      <c r="DR133" s="292"/>
      <c r="DS133" s="291"/>
      <c r="DT133" s="107"/>
      <c r="DU133" s="107"/>
      <c r="DV133" s="107"/>
      <c r="DW133" s="292"/>
      <c r="DX133" s="291"/>
      <c r="DY133" s="107"/>
      <c r="DZ133" s="107"/>
      <c r="EA133" s="107"/>
      <c r="EB133" s="292"/>
      <c r="EC133" s="291"/>
      <c r="ED133" s="107"/>
      <c r="EE133" s="107"/>
      <c r="EF133" s="107"/>
      <c r="EG133" s="292"/>
      <c r="EH133" s="291"/>
      <c r="EI133" s="107"/>
      <c r="EJ133" s="107"/>
      <c r="EK133" s="107"/>
      <c r="EL133" s="292"/>
      <c r="EM133" s="291"/>
      <c r="EN133" s="107"/>
      <c r="EO133" s="107"/>
      <c r="EP133" s="107"/>
      <c r="EQ133" s="292"/>
      <c r="ER133" s="291"/>
      <c r="ES133" s="107"/>
      <c r="ET133" s="107"/>
      <c r="EU133" s="107"/>
      <c r="EV133" s="292"/>
      <c r="EW133" s="291"/>
      <c r="EX133" s="107"/>
      <c r="EY133" s="107"/>
      <c r="EZ133" s="107"/>
      <c r="FA133" s="292"/>
      <c r="FB133" s="291"/>
      <c r="FC133" s="107"/>
      <c r="FD133" s="107"/>
      <c r="FE133" s="107"/>
      <c r="FF133" s="292"/>
      <c r="FG133" s="291"/>
      <c r="FH133" s="107"/>
      <c r="FI133" s="107"/>
      <c r="FJ133" s="107"/>
      <c r="FK133" s="292"/>
      <c r="FL133" s="291"/>
      <c r="FM133" s="107"/>
      <c r="FN133" s="107"/>
      <c r="FO133" s="107"/>
      <c r="FP133" s="292"/>
      <c r="FQ133" s="291"/>
      <c r="FR133" s="107"/>
      <c r="FS133" s="107"/>
      <c r="FT133" s="107"/>
      <c r="FU133" s="292"/>
      <c r="FV133" s="291"/>
      <c r="FW133" s="107"/>
      <c r="FX133" s="107"/>
      <c r="FY133" s="107"/>
      <c r="FZ133" s="292"/>
      <c r="GA133" s="291"/>
      <c r="GB133" s="107"/>
      <c r="GC133" s="107"/>
      <c r="GD133" s="107"/>
      <c r="GE133" s="292"/>
      <c r="GF133" s="291"/>
      <c r="GG133" s="107"/>
      <c r="GH133" s="107"/>
      <c r="GI133" s="107"/>
      <c r="GJ133" s="384"/>
    </row>
    <row r="134" spans="1:192" ht="12.75" customHeight="1">
      <c r="B134" s="740" t="s">
        <v>1948</v>
      </c>
      <c r="C134" s="298"/>
      <c r="D134" s="295"/>
      <c r="E134" s="295"/>
      <c r="F134" s="295"/>
      <c r="G134" s="296"/>
      <c r="H134" s="298"/>
      <c r="I134" s="295"/>
      <c r="J134" s="295"/>
      <c r="K134" s="295"/>
      <c r="L134" s="296"/>
      <c r="M134" s="298"/>
      <c r="N134" s="295"/>
      <c r="O134" s="295"/>
      <c r="P134" s="295"/>
      <c r="Q134" s="296"/>
      <c r="R134" s="298"/>
      <c r="S134" s="295"/>
      <c r="T134" s="295"/>
      <c r="U134" s="295"/>
      <c r="V134" s="296"/>
      <c r="W134" s="298"/>
      <c r="X134" s="295"/>
      <c r="Y134" s="295"/>
      <c r="Z134" s="295"/>
      <c r="AA134" s="296"/>
      <c r="AB134" s="298"/>
      <c r="AC134" s="295"/>
      <c r="AD134" s="295"/>
      <c r="AE134" s="295"/>
      <c r="AF134" s="296"/>
      <c r="AG134" s="298"/>
      <c r="AH134" s="295"/>
      <c r="AI134" s="295"/>
      <c r="AJ134" s="295"/>
      <c r="AK134" s="296"/>
      <c r="AL134" s="298"/>
      <c r="AM134" s="295"/>
      <c r="AN134" s="295"/>
      <c r="AO134" s="295"/>
      <c r="AP134" s="296"/>
      <c r="AQ134" s="298"/>
      <c r="AR134" s="295"/>
      <c r="AS134" s="295"/>
      <c r="AT134" s="295"/>
      <c r="AU134" s="296"/>
      <c r="AV134" s="298"/>
      <c r="AW134" s="295"/>
      <c r="AX134" s="295"/>
      <c r="AY134" s="295"/>
      <c r="AZ134" s="296"/>
      <c r="BA134" s="298"/>
      <c r="BB134" s="295"/>
      <c r="BC134" s="295"/>
      <c r="BD134" s="295"/>
      <c r="BE134" s="296"/>
      <c r="BF134" s="298"/>
      <c r="BG134" s="295"/>
      <c r="BH134" s="295"/>
      <c r="BI134" s="295"/>
      <c r="BJ134" s="296"/>
      <c r="BK134" s="298"/>
      <c r="BL134" s="295"/>
      <c r="BM134" s="295"/>
      <c r="BN134" s="295"/>
      <c r="BO134" s="296"/>
      <c r="BP134" s="298"/>
      <c r="BQ134" s="295"/>
      <c r="BR134" s="295"/>
      <c r="BS134" s="295"/>
      <c r="BT134" s="296"/>
      <c r="BU134" s="298"/>
      <c r="BV134" s="295"/>
      <c r="BW134" s="295"/>
      <c r="BX134" s="295"/>
      <c r="BY134" s="296"/>
      <c r="BZ134" s="298"/>
      <c r="CA134" s="295"/>
      <c r="CB134" s="295"/>
      <c r="CC134" s="295"/>
      <c r="CD134" s="296"/>
      <c r="CE134" s="298"/>
      <c r="CF134" s="295"/>
      <c r="CG134" s="295"/>
      <c r="CH134" s="295"/>
      <c r="CI134" s="296"/>
      <c r="CJ134" s="298"/>
      <c r="CK134" s="295"/>
      <c r="CL134" s="295"/>
      <c r="CM134" s="295"/>
      <c r="CN134" s="296"/>
      <c r="CO134" s="298"/>
      <c r="CP134" s="295"/>
      <c r="CQ134" s="295"/>
      <c r="CR134" s="295"/>
      <c r="CS134" s="296"/>
      <c r="CT134" s="298"/>
      <c r="CU134" s="295"/>
      <c r="CV134" s="295"/>
      <c r="CW134" s="295"/>
      <c r="CX134" s="296"/>
      <c r="CY134" s="298"/>
      <c r="CZ134" s="295"/>
      <c r="DA134" s="295"/>
      <c r="DB134" s="295"/>
      <c r="DC134" s="296"/>
      <c r="DD134" s="298"/>
      <c r="DE134" s="295"/>
      <c r="DF134" s="295"/>
      <c r="DG134" s="295"/>
      <c r="DH134" s="296"/>
      <c r="DI134" s="298"/>
      <c r="DJ134" s="295"/>
      <c r="DK134" s="295"/>
      <c r="DL134" s="295"/>
      <c r="DM134" s="296"/>
      <c r="DN134" s="298"/>
      <c r="DO134" s="295"/>
      <c r="DP134" s="295"/>
      <c r="DQ134" s="295"/>
      <c r="DR134" s="296"/>
      <c r="DS134" s="298"/>
      <c r="DT134" s="295"/>
      <c r="DU134" s="295"/>
      <c r="DV134" s="295"/>
      <c r="DW134" s="296"/>
      <c r="DX134" s="298"/>
      <c r="DY134" s="295"/>
      <c r="DZ134" s="295"/>
      <c r="EA134" s="295"/>
      <c r="EB134" s="296"/>
      <c r="EC134" s="298"/>
      <c r="ED134" s="295"/>
      <c r="EE134" s="295"/>
      <c r="EF134" s="295"/>
      <c r="EG134" s="296"/>
      <c r="EH134" s="298"/>
      <c r="EI134" s="295"/>
      <c r="EJ134" s="295"/>
      <c r="EK134" s="295"/>
      <c r="EL134" s="296"/>
      <c r="EM134" s="298"/>
      <c r="EN134" s="295"/>
      <c r="EO134" s="295"/>
      <c r="EP134" s="295"/>
      <c r="EQ134" s="296"/>
      <c r="ER134" s="298"/>
      <c r="ES134" s="295"/>
      <c r="ET134" s="295"/>
      <c r="EU134" s="295"/>
      <c r="EV134" s="296"/>
      <c r="EW134" s="298"/>
      <c r="EX134" s="295"/>
      <c r="EY134" s="295"/>
      <c r="EZ134" s="295"/>
      <c r="FA134" s="296"/>
      <c r="FB134" s="298"/>
      <c r="FC134" s="295"/>
      <c r="FD134" s="295"/>
      <c r="FE134" s="295"/>
      <c r="FF134" s="296"/>
      <c r="FG134" s="298"/>
      <c r="FH134" s="295"/>
      <c r="FI134" s="295"/>
      <c r="FJ134" s="295"/>
      <c r="FK134" s="296"/>
      <c r="FL134" s="298"/>
      <c r="FM134" s="295"/>
      <c r="FN134" s="295"/>
      <c r="FO134" s="295"/>
      <c r="FP134" s="296"/>
      <c r="FQ134" s="298"/>
      <c r="FR134" s="295"/>
      <c r="FS134" s="295"/>
      <c r="FT134" s="295"/>
      <c r="FU134" s="296"/>
      <c r="FV134" s="298"/>
      <c r="FW134" s="295"/>
      <c r="FX134" s="295"/>
      <c r="FY134" s="295"/>
      <c r="FZ134" s="296"/>
      <c r="GA134" s="298"/>
      <c r="GB134" s="295"/>
      <c r="GC134" s="295"/>
      <c r="GD134" s="295"/>
      <c r="GE134" s="296"/>
      <c r="GF134" s="298"/>
      <c r="GG134" s="295"/>
      <c r="GH134" s="295"/>
      <c r="GI134" s="295"/>
      <c r="GJ134" s="383"/>
    </row>
    <row r="135" spans="1:192" s="623" customFormat="1" ht="12.75" hidden="1" customHeight="1" outlineLevel="1">
      <c r="A135" s="1642"/>
      <c r="B135" s="748" t="s">
        <v>211</v>
      </c>
      <c r="C135" s="800"/>
      <c r="D135" s="805"/>
      <c r="E135" s="805"/>
      <c r="F135" s="805"/>
      <c r="G135" s="456"/>
      <c r="H135" s="800"/>
      <c r="I135" s="805"/>
      <c r="J135" s="805"/>
      <c r="K135" s="805"/>
      <c r="L135" s="456"/>
      <c r="M135" s="800"/>
      <c r="N135" s="805"/>
      <c r="O135" s="805"/>
      <c r="P135" s="805"/>
      <c r="Q135" s="456"/>
      <c r="R135" s="800"/>
      <c r="S135" s="805"/>
      <c r="T135" s="805"/>
      <c r="U135" s="805"/>
      <c r="V135" s="456"/>
      <c r="W135" s="800"/>
      <c r="X135" s="805"/>
      <c r="Y135" s="805"/>
      <c r="Z135" s="805"/>
      <c r="AA135" s="456"/>
      <c r="AB135" s="800"/>
      <c r="AC135" s="805"/>
      <c r="AD135" s="805"/>
      <c r="AE135" s="805"/>
      <c r="AF135" s="456"/>
      <c r="AG135" s="800"/>
      <c r="AH135" s="805"/>
      <c r="AI135" s="805"/>
      <c r="AJ135" s="805"/>
      <c r="AK135" s="456"/>
      <c r="AL135" s="800"/>
      <c r="AM135" s="805"/>
      <c r="AN135" s="805"/>
      <c r="AO135" s="805"/>
      <c r="AP135" s="456"/>
      <c r="AQ135" s="800"/>
      <c r="AR135" s="805"/>
      <c r="AS135" s="805"/>
      <c r="AT135" s="805"/>
      <c r="AU135" s="456"/>
      <c r="AV135" s="800"/>
      <c r="AW135" s="805"/>
      <c r="AX135" s="805"/>
      <c r="AY135" s="805"/>
      <c r="AZ135" s="456"/>
      <c r="BA135" s="800"/>
      <c r="BB135" s="805"/>
      <c r="BC135" s="805"/>
      <c r="BD135" s="805"/>
      <c r="BE135" s="456"/>
      <c r="BF135" s="800"/>
      <c r="BG135" s="805"/>
      <c r="BH135" s="805"/>
      <c r="BI135" s="805"/>
      <c r="BJ135" s="456"/>
      <c r="BK135" s="800"/>
      <c r="BL135" s="805"/>
      <c r="BM135" s="805"/>
      <c r="BN135" s="805"/>
      <c r="BO135" s="456"/>
      <c r="BP135" s="800"/>
      <c r="BQ135" s="805"/>
      <c r="BR135" s="805"/>
      <c r="BS135" s="805"/>
      <c r="BT135" s="456"/>
      <c r="BU135" s="1167"/>
      <c r="BV135" s="1168"/>
      <c r="BW135" s="1168"/>
      <c r="BX135" s="1168"/>
      <c r="BY135" s="456"/>
      <c r="BZ135" s="1167"/>
      <c r="CA135" s="1168"/>
      <c r="CB135" s="1168"/>
      <c r="CC135" s="1168"/>
      <c r="CD135" s="456"/>
      <c r="CE135" s="1167"/>
      <c r="CF135" s="1168"/>
      <c r="CG135" s="1168"/>
      <c r="CH135" s="1168"/>
      <c r="CI135" s="456"/>
      <c r="CJ135" s="1167"/>
      <c r="CK135" s="1168"/>
      <c r="CL135" s="1168"/>
      <c r="CM135" s="1168"/>
      <c r="CN135" s="456"/>
      <c r="CO135" s="1167"/>
      <c r="CP135" s="1168"/>
      <c r="CQ135" s="1168"/>
      <c r="CR135" s="1168"/>
      <c r="CS135" s="456"/>
      <c r="CT135" s="1167"/>
      <c r="CU135" s="1168"/>
      <c r="CV135" s="1168"/>
      <c r="CW135" s="1168"/>
      <c r="CX135" s="456"/>
      <c r="CY135" s="1167"/>
      <c r="CZ135" s="1168"/>
      <c r="DA135" s="1168"/>
      <c r="DB135" s="1168"/>
      <c r="DC135" s="457"/>
      <c r="DD135" s="1167"/>
      <c r="DE135" s="1168"/>
      <c r="DF135" s="1168"/>
      <c r="DG135" s="1168"/>
      <c r="DH135" s="457"/>
      <c r="DI135" s="1167"/>
      <c r="DJ135" s="1168"/>
      <c r="DK135" s="1168"/>
      <c r="DL135" s="1168"/>
      <c r="DM135" s="457">
        <v>18593</v>
      </c>
      <c r="DN135" s="1167">
        <v>4643</v>
      </c>
      <c r="DO135" s="1168">
        <v>4839</v>
      </c>
      <c r="DP135" s="1168">
        <v>4612</v>
      </c>
      <c r="DQ135" s="800">
        <f>DR135-DP135-DO135-DN135</f>
      </c>
      <c r="DR135" s="457">
        <v>19518</v>
      </c>
      <c r="DS135" s="1167">
        <v>4901</v>
      </c>
      <c r="DT135" s="1168">
        <v>4758</v>
      </c>
      <c r="DU135" s="1168">
        <v>4944</v>
      </c>
      <c r="DV135" s="800">
        <f>DW135-DU135-DT135-DS135</f>
      </c>
      <c r="DW135" s="457">
        <v>20395</v>
      </c>
      <c r="DX135" s="1167">
        <v>5353</v>
      </c>
      <c r="DY135" s="1168">
        <v>5593</v>
      </c>
      <c r="DZ135" s="1168">
        <v>5220</v>
      </c>
      <c r="EA135" s="800">
        <f>EB135-DZ135-DY135-DX135</f>
      </c>
      <c r="EB135" s="457">
        <v>21510</v>
      </c>
      <c r="EC135" s="1167">
        <v>5305</v>
      </c>
      <c r="ED135" s="1168">
        <v>5716</v>
      </c>
      <c r="EE135" s="1168">
        <v>5646</v>
      </c>
      <c r="EF135" s="800">
        <f>EG135-EE135-ED135-EC135</f>
      </c>
      <c r="EG135" s="457">
        <v>22488</v>
      </c>
      <c r="EH135" s="1167">
        <v>5674</v>
      </c>
      <c r="EI135" s="1168">
        <v>6594</v>
      </c>
      <c r="EJ135" s="1168">
        <v>6069</v>
      </c>
      <c r="EK135" s="800">
        <f>EL135-EJ135-EI135-EH135</f>
      </c>
      <c r="EL135" s="457">
        <v>24761</v>
      </c>
      <c r="EM135" s="1167">
        <v>5313</v>
      </c>
      <c r="EN135" s="1168">
        <v>4808</v>
      </c>
      <c r="EO135" s="1168">
        <v>5328</v>
      </c>
      <c r="EP135" s="800">
        <f>EQ135-EO135-EN135-EM135</f>
      </c>
      <c r="EQ135" s="457">
        <v>21507</v>
      </c>
      <c r="ER135" s="1167">
        <v>5567</v>
      </c>
      <c r="ES135" s="1166">
        <v>5262</v>
      </c>
      <c r="ET135" s="1166">
        <v>5929</v>
      </c>
      <c r="EU135" s="800">
        <f>EV135-ET135-ES135-ER135</f>
      </c>
      <c r="EV135" s="457">
        <v>23244</v>
      </c>
      <c r="EW135" s="805"/>
      <c r="EX135" s="805"/>
      <c r="EY135" s="805"/>
      <c r="EZ135" s="805"/>
      <c r="FA135" s="456"/>
      <c r="FB135" s="805"/>
      <c r="FC135" s="805"/>
      <c r="FD135" s="805"/>
      <c r="FE135" s="805"/>
      <c r="FF135" s="456"/>
      <c r="FG135" s="805"/>
      <c r="FH135" s="805"/>
      <c r="FI135" s="805"/>
      <c r="FJ135" s="805"/>
      <c r="FK135" s="456"/>
      <c r="FL135" s="805"/>
      <c r="FM135" s="805"/>
      <c r="FN135" s="805"/>
      <c r="FO135" s="805"/>
      <c r="FP135" s="456"/>
      <c r="FQ135" s="805"/>
      <c r="FR135" s="805"/>
      <c r="FS135" s="805"/>
      <c r="FT135" s="805"/>
      <c r="FU135" s="456"/>
      <c r="FV135" s="800"/>
      <c r="FW135" s="805"/>
      <c r="FX135" s="805"/>
      <c r="FY135" s="805"/>
      <c r="FZ135" s="456"/>
      <c r="GA135" s="800"/>
      <c r="GB135" s="805"/>
      <c r="GC135" s="805"/>
      <c r="GD135" s="805"/>
      <c r="GE135" s="456"/>
      <c r="GF135" s="800"/>
      <c r="GG135" s="805"/>
      <c r="GH135" s="805"/>
      <c r="GI135" s="805"/>
      <c r="GJ135" s="499"/>
    </row>
    <row r="136" spans="1:192" ht="12.75" hidden="1" customHeight="1" outlineLevel="1">
      <c r="B136" s="735" t="s">
        <v>34</v>
      </c>
      <c r="C136" s="291"/>
      <c r="D136" s="107"/>
      <c r="E136" s="107"/>
      <c r="F136" s="107"/>
      <c r="G136" s="292"/>
      <c r="H136" s="291"/>
      <c r="I136" s="107"/>
      <c r="J136" s="107"/>
      <c r="K136" s="107"/>
      <c r="L136" s="292"/>
      <c r="M136" s="291"/>
      <c r="N136" s="107"/>
      <c r="O136" s="107"/>
      <c r="P136" s="107"/>
      <c r="Q136" s="292"/>
      <c r="R136" s="291"/>
      <c r="S136" s="107"/>
      <c r="T136" s="107"/>
      <c r="U136" s="107"/>
      <c r="V136" s="292"/>
      <c r="W136" s="291"/>
      <c r="X136" s="107"/>
      <c r="Y136" s="107"/>
      <c r="Z136" s="107"/>
      <c r="AA136" s="292"/>
      <c r="AB136" s="291"/>
      <c r="AC136" s="107"/>
      <c r="AD136" s="107"/>
      <c r="AE136" s="107"/>
      <c r="AF136" s="292"/>
      <c r="AG136" s="291"/>
      <c r="AH136" s="107"/>
      <c r="AI136" s="107"/>
      <c r="AJ136" s="107"/>
      <c r="AK136" s="292"/>
      <c r="AL136" s="291"/>
      <c r="AM136" s="107"/>
      <c r="AN136" s="107"/>
      <c r="AO136" s="107"/>
      <c r="AP136" s="292"/>
      <c r="AQ136" s="291"/>
      <c r="AR136" s="107"/>
      <c r="AS136" s="107"/>
      <c r="AT136" s="107"/>
      <c r="AU136" s="292"/>
      <c r="AV136" s="291"/>
      <c r="AW136" s="107"/>
      <c r="AX136" s="107"/>
      <c r="AY136" s="107"/>
      <c r="AZ136" s="292"/>
      <c r="BA136" s="291"/>
      <c r="BB136" s="107"/>
      <c r="BC136" s="107"/>
      <c r="BD136" s="107"/>
      <c r="BE136" s="292"/>
      <c r="BF136" s="291"/>
      <c r="BG136" s="107"/>
      <c r="BH136" s="107"/>
      <c r="BI136" s="107"/>
      <c r="BJ136" s="292"/>
      <c r="BK136" s="291"/>
      <c r="BL136" s="107"/>
      <c r="BM136" s="107"/>
      <c r="BN136" s="107"/>
      <c r="BO136" s="292"/>
      <c r="BP136" s="291"/>
      <c r="BQ136" s="107"/>
      <c r="BR136" s="107"/>
      <c r="BS136" s="107"/>
      <c r="BT136" s="292"/>
      <c r="BU136" s="291"/>
      <c r="BV136" s="107"/>
      <c r="BW136" s="107"/>
      <c r="BX136" s="107"/>
      <c r="BY136" s="292"/>
      <c r="BZ136" s="291"/>
      <c r="CA136" s="107"/>
      <c r="CB136" s="107"/>
      <c r="CC136" s="107"/>
      <c r="CD136" s="292"/>
      <c r="CE136" s="291"/>
      <c r="CF136" s="107"/>
      <c r="CG136" s="107"/>
      <c r="CH136" s="107"/>
      <c r="CI136" s="292"/>
      <c r="CJ136" s="291"/>
      <c r="CK136" s="107"/>
      <c r="CL136" s="107"/>
      <c r="CM136" s="107"/>
      <c r="CN136" s="292"/>
      <c r="CO136" s="291"/>
      <c r="CP136" s="107"/>
      <c r="CQ136" s="107"/>
      <c r="CR136" s="107"/>
      <c r="CS136" s="292"/>
      <c r="CT136" s="291"/>
      <c r="CU136" s="107"/>
      <c r="CV136" s="107"/>
      <c r="CW136" s="107"/>
      <c r="CX136" s="292"/>
      <c r="CY136" s="291"/>
      <c r="CZ136" s="107"/>
      <c r="DA136" s="107"/>
      <c r="DB136" s="107"/>
      <c r="DC136" s="413">
        <v>-0.16</v>
      </c>
      <c r="DD136" s="291"/>
      <c r="DE136" s="107"/>
      <c r="DF136" s="107"/>
      <c r="DG136" s="107"/>
      <c r="DH136" s="413">
        <v>-0.05</v>
      </c>
      <c r="DI136" s="291"/>
      <c r="DJ136" s="114">
        <v>0.03</v>
      </c>
      <c r="DK136" s="107"/>
      <c r="DL136" s="107"/>
      <c r="DM136" s="292"/>
      <c r="DN136" s="107"/>
      <c r="DO136" s="107"/>
      <c r="DP136" s="107"/>
      <c r="DQ136" s="107"/>
      <c r="DR136" s="292">
        <f t="shared" ref="DR136:EQ136" si="108">DR135/DM135-1</f>
      </c>
      <c r="DS136" s="107">
        <f t="shared" si="108"/>
      </c>
      <c r="DT136" s="107">
        <f t="shared" si="108"/>
      </c>
      <c r="DU136" s="107">
        <f t="shared" si="108"/>
      </c>
      <c r="DV136" s="107">
        <f t="shared" si="108"/>
      </c>
      <c r="DW136" s="292">
        <f t="shared" si="108"/>
      </c>
      <c r="DX136" s="107">
        <f t="shared" si="108"/>
      </c>
      <c r="DY136" s="107">
        <f t="shared" si="108"/>
      </c>
      <c r="DZ136" s="107">
        <f t="shared" si="108"/>
      </c>
      <c r="EA136" s="107">
        <f t="shared" si="108"/>
      </c>
      <c r="EB136" s="292">
        <f t="shared" si="108"/>
      </c>
      <c r="EC136" s="107">
        <f t="shared" si="108"/>
      </c>
      <c r="ED136" s="107">
        <f t="shared" si="108"/>
      </c>
      <c r="EE136" s="107">
        <f t="shared" si="108"/>
      </c>
      <c r="EF136" s="107">
        <f t="shared" si="108"/>
      </c>
      <c r="EG136" s="292">
        <f t="shared" si="108"/>
      </c>
      <c r="EH136" s="107">
        <f t="shared" si="108"/>
      </c>
      <c r="EI136" s="107">
        <f t="shared" si="108"/>
      </c>
      <c r="EJ136" s="107">
        <f t="shared" si="108"/>
      </c>
      <c r="EK136" s="107">
        <f t="shared" si="108"/>
      </c>
      <c r="EL136" s="413">
        <v>0.1</v>
      </c>
      <c r="EM136" s="107">
        <f t="shared" si="108"/>
      </c>
      <c r="EN136" s="107">
        <f t="shared" si="108"/>
      </c>
      <c r="EO136" s="107">
        <f t="shared" si="108"/>
      </c>
      <c r="EP136" s="107">
        <f t="shared" si="108"/>
      </c>
      <c r="EQ136" s="292">
        <f t="shared" si="108"/>
      </c>
      <c r="ER136" s="412">
        <v>0.05</v>
      </c>
      <c r="ES136" s="114">
        <v>0.09</v>
      </c>
      <c r="ET136" s="439">
        <v>0.11</v>
      </c>
      <c r="EU136" s="107">
        <f>EU135/EP135-1</f>
      </c>
      <c r="EV136" s="292">
        <f>EV135/EQ135-1</f>
      </c>
      <c r="EW136" s="107"/>
      <c r="EX136" s="107"/>
      <c r="EY136" s="107"/>
      <c r="EZ136" s="107"/>
      <c r="FA136" s="292"/>
      <c r="FB136" s="107"/>
      <c r="FC136" s="107"/>
      <c r="FD136" s="107"/>
      <c r="FE136" s="107"/>
      <c r="FF136" s="292"/>
      <c r="FG136" s="107"/>
      <c r="FH136" s="107"/>
      <c r="FI136" s="107"/>
      <c r="FJ136" s="107"/>
      <c r="FK136" s="292"/>
      <c r="FL136" s="107"/>
      <c r="FM136" s="107"/>
      <c r="FN136" s="107"/>
      <c r="FO136" s="107"/>
      <c r="FP136" s="292"/>
      <c r="FQ136" s="107"/>
      <c r="FR136" s="107"/>
      <c r="FS136" s="107"/>
      <c r="FT136" s="107"/>
      <c r="FU136" s="292"/>
      <c r="FV136" s="291"/>
      <c r="FW136" s="107"/>
      <c r="FX136" s="107"/>
      <c r="FY136" s="107"/>
      <c r="FZ136" s="292"/>
      <c r="GA136" s="291"/>
      <c r="GB136" s="107"/>
      <c r="GC136" s="107"/>
      <c r="GD136" s="107"/>
      <c r="GE136" s="292"/>
      <c r="GF136" s="291"/>
      <c r="GG136" s="107"/>
      <c r="GH136" s="107"/>
      <c r="GI136" s="107"/>
      <c r="GJ136" s="384"/>
    </row>
    <row r="137" spans="1:192" ht="12.75" hidden="1" customHeight="1" outlineLevel="1">
      <c r="B137" s="735" t="s">
        <v>197</v>
      </c>
      <c r="C137" s="291"/>
      <c r="D137" s="107"/>
      <c r="E137" s="107"/>
      <c r="F137" s="107"/>
      <c r="G137" s="292"/>
      <c r="H137" s="291"/>
      <c r="I137" s="107"/>
      <c r="J137" s="107"/>
      <c r="K137" s="107"/>
      <c r="L137" s="292"/>
      <c r="M137" s="291"/>
      <c r="N137" s="107"/>
      <c r="O137" s="107"/>
      <c r="P137" s="107"/>
      <c r="Q137" s="292"/>
      <c r="R137" s="291"/>
      <c r="S137" s="107"/>
      <c r="T137" s="107"/>
      <c r="U137" s="107"/>
      <c r="V137" s="292"/>
      <c r="W137" s="291"/>
      <c r="X137" s="107"/>
      <c r="Y137" s="107"/>
      <c r="Z137" s="107"/>
      <c r="AA137" s="292"/>
      <c r="AB137" s="291"/>
      <c r="AC137" s="107"/>
      <c r="AD137" s="107"/>
      <c r="AE137" s="107"/>
      <c r="AF137" s="292"/>
      <c r="AG137" s="291"/>
      <c r="AH137" s="107"/>
      <c r="AI137" s="107"/>
      <c r="AJ137" s="107"/>
      <c r="AK137" s="292"/>
      <c r="AL137" s="291"/>
      <c r="AM137" s="107"/>
      <c r="AN137" s="107"/>
      <c r="AO137" s="107"/>
      <c r="AP137" s="292"/>
      <c r="AQ137" s="291"/>
      <c r="AR137" s="107"/>
      <c r="AS137" s="107"/>
      <c r="AT137" s="107"/>
      <c r="AU137" s="292"/>
      <c r="AV137" s="291"/>
      <c r="AW137" s="107"/>
      <c r="AX137" s="107"/>
      <c r="AY137" s="107"/>
      <c r="AZ137" s="292"/>
      <c r="BA137" s="291"/>
      <c r="BB137" s="107"/>
      <c r="BC137" s="107"/>
      <c r="BD137" s="107"/>
      <c r="BE137" s="292"/>
      <c r="BF137" s="291"/>
      <c r="BG137" s="107"/>
      <c r="BH137" s="107"/>
      <c r="BI137" s="107"/>
      <c r="BJ137" s="292"/>
      <c r="BK137" s="291"/>
      <c r="BL137" s="107"/>
      <c r="BM137" s="107"/>
      <c r="BN137" s="107"/>
      <c r="BO137" s="292"/>
      <c r="BP137" s="291"/>
      <c r="BQ137" s="107"/>
      <c r="BR137" s="107"/>
      <c r="BS137" s="107"/>
      <c r="BT137" s="292"/>
      <c r="BU137" s="291"/>
      <c r="BV137" s="107"/>
      <c r="BW137" s="107"/>
      <c r="BX137" s="107"/>
      <c r="BY137" s="292"/>
      <c r="BZ137" s="291"/>
      <c r="CA137" s="107"/>
      <c r="CB137" s="107"/>
      <c r="CC137" s="107"/>
      <c r="CD137" s="292"/>
      <c r="CE137" s="291"/>
      <c r="CF137" s="107"/>
      <c r="CG137" s="107"/>
      <c r="CH137" s="107"/>
      <c r="CI137" s="292"/>
      <c r="CJ137" s="291"/>
      <c r="CK137" s="107"/>
      <c r="CL137" s="107"/>
      <c r="CM137" s="107"/>
      <c r="CN137" s="292"/>
      <c r="CO137" s="291"/>
      <c r="CP137" s="107"/>
      <c r="CQ137" s="107"/>
      <c r="CR137" s="107"/>
      <c r="CS137" s="292"/>
      <c r="CT137" s="291"/>
      <c r="CU137" s="107"/>
      <c r="CV137" s="107"/>
      <c r="CW137" s="107"/>
      <c r="CX137" s="292"/>
      <c r="CY137" s="291"/>
      <c r="CZ137" s="107"/>
      <c r="DA137" s="107"/>
      <c r="DB137" s="107"/>
      <c r="DC137" s="292"/>
      <c r="DD137" s="291"/>
      <c r="DE137" s="107"/>
      <c r="DF137" s="107"/>
      <c r="DG137" s="107"/>
      <c r="DH137" s="292"/>
      <c r="DI137" s="291"/>
      <c r="DJ137" s="107"/>
      <c r="DK137" s="107"/>
      <c r="DL137" s="107"/>
      <c r="DM137" s="292"/>
      <c r="DN137" s="291"/>
      <c r="DO137" s="107"/>
      <c r="DP137" s="107"/>
      <c r="DQ137" s="107"/>
      <c r="DR137" s="292"/>
      <c r="DS137" s="291"/>
      <c r="DT137" s="107"/>
      <c r="DU137" s="107"/>
      <c r="DV137" s="107"/>
      <c r="DW137" s="292"/>
      <c r="DX137" s="291"/>
      <c r="DY137" s="107"/>
      <c r="DZ137" s="107"/>
      <c r="EA137" s="107"/>
      <c r="EB137" s="292"/>
      <c r="EC137" s="291"/>
      <c r="ED137" s="107"/>
      <c r="EE137" s="107"/>
      <c r="EF137" s="107"/>
      <c r="EG137" s="292"/>
      <c r="EH137" s="291"/>
      <c r="EI137" s="107"/>
      <c r="EJ137" s="107"/>
      <c r="EK137" s="107"/>
      <c r="EL137" s="292"/>
      <c r="EM137" s="291"/>
      <c r="EN137" s="107"/>
      <c r="EO137" s="107"/>
      <c r="EP137" s="107"/>
      <c r="EQ137" s="292"/>
      <c r="ER137" s="412">
        <v>0.05</v>
      </c>
      <c r="ES137" s="114">
        <v>0.09</v>
      </c>
      <c r="ET137" s="439">
        <v>0.11</v>
      </c>
      <c r="EU137" s="439">
        <v>0.08</v>
      </c>
      <c r="EV137" s="292"/>
      <c r="EW137" s="291"/>
      <c r="EX137" s="107"/>
      <c r="EY137" s="107"/>
      <c r="EZ137" s="107"/>
      <c r="FA137" s="292"/>
      <c r="FB137" s="291"/>
      <c r="FC137" s="107"/>
      <c r="FD137" s="107"/>
      <c r="FE137" s="107"/>
      <c r="FF137" s="292"/>
      <c r="FG137" s="291"/>
      <c r="FH137" s="107"/>
      <c r="FI137" s="107"/>
      <c r="FJ137" s="107"/>
      <c r="FK137" s="292"/>
      <c r="FL137" s="291"/>
      <c r="FM137" s="107"/>
      <c r="FN137" s="107"/>
      <c r="FO137" s="107"/>
      <c r="FP137" s="292"/>
      <c r="FQ137" s="291"/>
      <c r="FR137" s="107"/>
      <c r="FS137" s="107"/>
      <c r="FT137" s="107"/>
      <c r="FU137" s="292"/>
      <c r="FV137" s="291"/>
      <c r="FW137" s="107"/>
      <c r="FX137" s="107"/>
      <c r="FY137" s="107"/>
      <c r="FZ137" s="292"/>
      <c r="GA137" s="291"/>
      <c r="GB137" s="107"/>
      <c r="GC137" s="107"/>
      <c r="GD137" s="107"/>
      <c r="GE137" s="292"/>
      <c r="GF137" s="291"/>
      <c r="GG137" s="107"/>
      <c r="GH137" s="107"/>
      <c r="GI137" s="107"/>
      <c r="GJ137" s="384"/>
    </row>
    <row r="138" spans="1:192" ht="12.75" hidden="1" customHeight="1" outlineLevel="1">
      <c r="B138" s="735" t="s">
        <v>36</v>
      </c>
      <c r="C138" s="291"/>
      <c r="D138" s="107"/>
      <c r="E138" s="107"/>
      <c r="F138" s="107"/>
      <c r="G138" s="292"/>
      <c r="H138" s="291"/>
      <c r="I138" s="107"/>
      <c r="J138" s="107"/>
      <c r="K138" s="107"/>
      <c r="L138" s="292"/>
      <c r="M138" s="291"/>
      <c r="N138" s="107"/>
      <c r="O138" s="107"/>
      <c r="P138" s="107"/>
      <c r="Q138" s="292"/>
      <c r="R138" s="291"/>
      <c r="S138" s="107"/>
      <c r="T138" s="107"/>
      <c r="U138" s="107"/>
      <c r="V138" s="292"/>
      <c r="W138" s="291"/>
      <c r="X138" s="107"/>
      <c r="Y138" s="107"/>
      <c r="Z138" s="107"/>
      <c r="AA138" s="292"/>
      <c r="AB138" s="291"/>
      <c r="AC138" s="107"/>
      <c r="AD138" s="107"/>
      <c r="AE138" s="107"/>
      <c r="AF138" s="292"/>
      <c r="AG138" s="291"/>
      <c r="AH138" s="107"/>
      <c r="AI138" s="107"/>
      <c r="AJ138" s="107"/>
      <c r="AK138" s="292"/>
      <c r="AL138" s="291"/>
      <c r="AM138" s="107"/>
      <c r="AN138" s="107"/>
      <c r="AO138" s="107"/>
      <c r="AP138" s="292"/>
      <c r="AQ138" s="291"/>
      <c r="AR138" s="107"/>
      <c r="AS138" s="107"/>
      <c r="AT138" s="107"/>
      <c r="AU138" s="292"/>
      <c r="AV138" s="291"/>
      <c r="AW138" s="107"/>
      <c r="AX138" s="107"/>
      <c r="AY138" s="107"/>
      <c r="AZ138" s="292"/>
      <c r="BA138" s="291"/>
      <c r="BB138" s="107"/>
      <c r="BC138" s="107"/>
      <c r="BD138" s="107"/>
      <c r="BE138" s="292"/>
      <c r="BF138" s="291"/>
      <c r="BG138" s="107"/>
      <c r="BH138" s="107"/>
      <c r="BI138" s="107"/>
      <c r="BJ138" s="292"/>
      <c r="BK138" s="291"/>
      <c r="BL138" s="107"/>
      <c r="BM138" s="107"/>
      <c r="BN138" s="107"/>
      <c r="BO138" s="292"/>
      <c r="BP138" s="291"/>
      <c r="BQ138" s="107"/>
      <c r="BR138" s="107"/>
      <c r="BS138" s="107"/>
      <c r="BT138" s="292"/>
      <c r="BU138" s="291"/>
      <c r="BV138" s="107"/>
      <c r="BW138" s="107"/>
      <c r="BX138" s="107"/>
      <c r="BY138" s="292"/>
      <c r="BZ138" s="291"/>
      <c r="CA138" s="107"/>
      <c r="CB138" s="107"/>
      <c r="CC138" s="107"/>
      <c r="CD138" s="292"/>
      <c r="CE138" s="291"/>
      <c r="CF138" s="107"/>
      <c r="CG138" s="107"/>
      <c r="CH138" s="107"/>
      <c r="CI138" s="292"/>
      <c r="CJ138" s="291"/>
      <c r="CK138" s="107"/>
      <c r="CL138" s="107"/>
      <c r="CM138" s="107"/>
      <c r="CN138" s="292"/>
      <c r="CO138" s="291"/>
      <c r="CP138" s="107"/>
      <c r="CQ138" s="107"/>
      <c r="CR138" s="107"/>
      <c r="CS138" s="292"/>
      <c r="CT138" s="291"/>
      <c r="CU138" s="107"/>
      <c r="CV138" s="107"/>
      <c r="CW138" s="107"/>
      <c r="CX138" s="292"/>
      <c r="CY138" s="291"/>
      <c r="CZ138" s="107"/>
      <c r="DA138" s="107"/>
      <c r="DB138" s="107"/>
      <c r="DC138" s="292"/>
      <c r="DD138" s="291"/>
      <c r="DE138" s="107"/>
      <c r="DF138" s="107"/>
      <c r="DG138" s="107"/>
      <c r="DH138" s="292"/>
      <c r="DI138" s="291"/>
      <c r="DJ138" s="107"/>
      <c r="DK138" s="107"/>
      <c r="DL138" s="107"/>
      <c r="DM138" s="292"/>
      <c r="DN138" s="291"/>
      <c r="DO138" s="107">
        <f>DO135/DN135-1</f>
      </c>
      <c r="DP138" s="107">
        <f>DP135/DO135-1</f>
      </c>
      <c r="DQ138" s="107">
        <f>DQ135/DP135-1</f>
      </c>
      <c r="DR138" s="292"/>
      <c r="DS138" s="291">
        <f>DS135/DQ135-1</f>
      </c>
      <c r="DT138" s="107">
        <f>DT135/DS135-1</f>
      </c>
      <c r="DU138" s="107">
        <f>DU135/DT135-1</f>
      </c>
      <c r="DV138" s="107">
        <f>DV135/DU135-1</f>
      </c>
      <c r="DW138" s="292"/>
      <c r="DX138" s="291">
        <f>DX135/DV135-1</f>
      </c>
      <c r="DY138" s="107">
        <f>DY135/DX135-1</f>
      </c>
      <c r="DZ138" s="107">
        <f>DZ135/DY135-1</f>
      </c>
      <c r="EA138" s="107">
        <f>EA135/DZ135-1</f>
      </c>
      <c r="EB138" s="292"/>
      <c r="EC138" s="291">
        <f>EC135/EA135-1</f>
      </c>
      <c r="ED138" s="107">
        <f>ED135/EC135-1</f>
      </c>
      <c r="EE138" s="107">
        <f>EE135/ED135-1</f>
      </c>
      <c r="EF138" s="107">
        <f>EF135/EE135-1</f>
      </c>
      <c r="EG138" s="292"/>
      <c r="EH138" s="291">
        <f>EH135/EF135-1</f>
      </c>
      <c r="EI138" s="107">
        <f>EI135/EH135-1</f>
      </c>
      <c r="EJ138" s="107">
        <f>EJ135/EI135-1</f>
      </c>
      <c r="EK138" s="107">
        <f>EK135/EJ135-1</f>
      </c>
      <c r="EL138" s="292"/>
      <c r="EM138" s="291">
        <f>EM135/EK135-1</f>
      </c>
      <c r="EN138" s="107">
        <f>EN135/EM135-1</f>
      </c>
      <c r="EO138" s="107">
        <f>EO135/EN135-1</f>
      </c>
      <c r="EP138" s="107">
        <f>EP135/EO135-1</f>
      </c>
      <c r="EQ138" s="292"/>
      <c r="ER138" s="291">
        <f>ER135/EP135-1</f>
      </c>
      <c r="ES138" s="107">
        <f>ES135/ER135-1</f>
      </c>
      <c r="ET138" s="107">
        <f>ET135/ES135-1</f>
      </c>
      <c r="EU138" s="107">
        <f>EU135/ET135-1</f>
      </c>
      <c r="EV138" s="292"/>
      <c r="EW138" s="291"/>
      <c r="EX138" s="107"/>
      <c r="EY138" s="107"/>
      <c r="EZ138" s="107"/>
      <c r="FA138" s="292"/>
      <c r="FB138" s="291"/>
      <c r="FC138" s="107"/>
      <c r="FD138" s="107"/>
      <c r="FE138" s="107"/>
      <c r="FF138" s="292"/>
      <c r="FG138" s="291"/>
      <c r="FH138" s="107"/>
      <c r="FI138" s="107"/>
      <c r="FJ138" s="107"/>
      <c r="FK138" s="292"/>
      <c r="FL138" s="291"/>
      <c r="FM138" s="107"/>
      <c r="FN138" s="107"/>
      <c r="FO138" s="107"/>
      <c r="FP138" s="292"/>
      <c r="FQ138" s="291"/>
      <c r="FR138" s="107"/>
      <c r="FS138" s="107"/>
      <c r="FT138" s="107"/>
      <c r="FU138" s="292"/>
      <c r="FV138" s="291"/>
      <c r="FW138" s="107"/>
      <c r="FX138" s="107"/>
      <c r="FY138" s="107"/>
      <c r="FZ138" s="292"/>
      <c r="GA138" s="291"/>
      <c r="GB138" s="107"/>
      <c r="GC138" s="107"/>
      <c r="GD138" s="107"/>
      <c r="GE138" s="292"/>
      <c r="GF138" s="291"/>
      <c r="GG138" s="107"/>
      <c r="GH138" s="107"/>
      <c r="GI138" s="107"/>
      <c r="GJ138" s="384"/>
    </row>
    <row r="139" spans="1:192" s="461" customFormat="1" ht="12.75" hidden="1" customHeight="1" outlineLevel="1">
      <c r="A139" s="850"/>
      <c r="B139" s="735" t="s">
        <v>243</v>
      </c>
      <c r="C139" s="447"/>
      <c r="D139" s="458"/>
      <c r="E139" s="458"/>
      <c r="F139" s="458"/>
      <c r="G139" s="462"/>
      <c r="H139" s="447"/>
      <c r="I139" s="458"/>
      <c r="J139" s="458"/>
      <c r="K139" s="458"/>
      <c r="L139" s="462"/>
      <c r="M139" s="447"/>
      <c r="N139" s="458"/>
      <c r="O139" s="458"/>
      <c r="P139" s="458"/>
      <c r="Q139" s="462"/>
      <c r="R139" s="447"/>
      <c r="S139" s="458"/>
      <c r="T139" s="458"/>
      <c r="U139" s="458"/>
      <c r="V139" s="462"/>
      <c r="W139" s="447"/>
      <c r="X139" s="458"/>
      <c r="Y139" s="458"/>
      <c r="Z139" s="458"/>
      <c r="AA139" s="462"/>
      <c r="AB139" s="447"/>
      <c r="AC139" s="458"/>
      <c r="AD139" s="458"/>
      <c r="AE139" s="458"/>
      <c r="AF139" s="462"/>
      <c r="AG139" s="447"/>
      <c r="AH139" s="458"/>
      <c r="AI139" s="458"/>
      <c r="AJ139" s="458"/>
      <c r="AK139" s="462"/>
      <c r="AL139" s="447"/>
      <c r="AM139" s="458"/>
      <c r="AN139" s="458"/>
      <c r="AO139" s="458"/>
      <c r="AP139" s="462"/>
      <c r="AQ139" s="447"/>
      <c r="AR139" s="458"/>
      <c r="AS139" s="458"/>
      <c r="AT139" s="458"/>
      <c r="AU139" s="462"/>
      <c r="AV139" s="447"/>
      <c r="AW139" s="458"/>
      <c r="AX139" s="458"/>
      <c r="AY139" s="458"/>
      <c r="AZ139" s="462"/>
      <c r="BA139" s="447"/>
      <c r="BB139" s="458"/>
      <c r="BC139" s="458"/>
      <c r="BD139" s="458"/>
      <c r="BE139" s="462"/>
      <c r="BF139" s="447"/>
      <c r="BG139" s="458"/>
      <c r="BH139" s="458"/>
      <c r="BI139" s="458"/>
      <c r="BJ139" s="462"/>
      <c r="BK139" s="447"/>
      <c r="BL139" s="458"/>
      <c r="BM139" s="458"/>
      <c r="BN139" s="458"/>
      <c r="BO139" s="462"/>
      <c r="BP139" s="447"/>
      <c r="BQ139" s="458"/>
      <c r="BR139" s="458"/>
      <c r="BS139" s="458"/>
      <c r="BT139" s="462"/>
      <c r="BU139" s="447"/>
      <c r="BV139" s="458"/>
      <c r="BW139" s="458"/>
      <c r="BX139" s="458"/>
      <c r="BY139" s="462"/>
      <c r="BZ139" s="447"/>
      <c r="CA139" s="458"/>
      <c r="CB139" s="458"/>
      <c r="CC139" s="458"/>
      <c r="CD139" s="462"/>
      <c r="CE139" s="447"/>
      <c r="CF139" s="458"/>
      <c r="CG139" s="458"/>
      <c r="CH139" s="458"/>
      <c r="CI139" s="462"/>
      <c r="CJ139" s="447"/>
      <c r="CK139" s="458"/>
      <c r="CL139" s="458"/>
      <c r="CM139" s="458"/>
      <c r="CN139" s="462"/>
      <c r="CO139" s="447"/>
      <c r="CP139" s="458"/>
      <c r="CQ139" s="458"/>
      <c r="CR139" s="458"/>
      <c r="CS139" s="462"/>
      <c r="CT139" s="447"/>
      <c r="CU139" s="458"/>
      <c r="CV139" s="458"/>
      <c r="CW139" s="458"/>
      <c r="CX139" s="462"/>
      <c r="CY139" s="447"/>
      <c r="CZ139" s="458"/>
      <c r="DA139" s="458"/>
      <c r="DB139" s="458"/>
      <c r="DC139" s="494">
        <v>3600</v>
      </c>
      <c r="DD139" s="447"/>
      <c r="DE139" s="458"/>
      <c r="DF139" s="458"/>
      <c r="DG139" s="458"/>
      <c r="DH139" s="494">
        <v>-871</v>
      </c>
      <c r="DI139" s="447"/>
      <c r="DJ139" s="493">
        <v>149</v>
      </c>
      <c r="DK139" s="458"/>
      <c r="DL139" s="458"/>
      <c r="DM139" s="462"/>
      <c r="DN139" s="447"/>
      <c r="DO139" s="447"/>
      <c r="DP139" s="447"/>
      <c r="DQ139" s="447"/>
      <c r="DR139" s="462">
        <f t="shared" ref="DR139:EQ139" si="109">DR135-DM135</f>
      </c>
      <c r="DS139" s="447">
        <f t="shared" si="109"/>
      </c>
      <c r="DT139" s="447">
        <f t="shared" si="109"/>
      </c>
      <c r="DU139" s="447">
        <f t="shared" si="109"/>
      </c>
      <c r="DV139" s="447">
        <f t="shared" si="109"/>
      </c>
      <c r="DW139" s="462">
        <f t="shared" si="109"/>
      </c>
      <c r="DX139" s="447">
        <f t="shared" si="109"/>
      </c>
      <c r="DY139" s="447">
        <f t="shared" si="109"/>
      </c>
      <c r="DZ139" s="447">
        <f t="shared" si="109"/>
      </c>
      <c r="EA139" s="447">
        <f t="shared" si="109"/>
      </c>
      <c r="EB139" s="462">
        <f t="shared" si="109"/>
      </c>
      <c r="EC139" s="447">
        <f t="shared" si="109"/>
      </c>
      <c r="ED139" s="447">
        <f t="shared" si="109"/>
      </c>
      <c r="EE139" s="447">
        <f t="shared" si="109"/>
      </c>
      <c r="EF139" s="447">
        <f t="shared" si="109"/>
      </c>
      <c r="EG139" s="462">
        <f t="shared" si="109"/>
      </c>
      <c r="EH139" s="447">
        <f t="shared" si="109"/>
      </c>
      <c r="EI139" s="447">
        <f t="shared" si="109"/>
      </c>
      <c r="EJ139" s="447">
        <f t="shared" si="109"/>
      </c>
      <c r="EK139" s="447">
        <f t="shared" si="109"/>
      </c>
      <c r="EL139" s="462">
        <f t="shared" si="109"/>
      </c>
      <c r="EM139" s="447">
        <f t="shared" si="109"/>
      </c>
      <c r="EN139" s="447">
        <f t="shared" si="109"/>
      </c>
      <c r="EO139" s="447">
        <f t="shared" si="109"/>
      </c>
      <c r="EP139" s="447">
        <f t="shared" si="109"/>
      </c>
      <c r="EQ139" s="462">
        <f t="shared" si="109"/>
      </c>
      <c r="ER139" s="447">
        <f>ER135-EM135</f>
      </c>
      <c r="ES139" s="447">
        <f>ES135-EN135</f>
      </c>
      <c r="ET139" s="448">
        <v>601</v>
      </c>
      <c r="EU139" s="447">
        <f>EU135-EP135</f>
      </c>
      <c r="EV139" s="462">
        <f>EV135-EQ135</f>
      </c>
      <c r="EW139" s="447"/>
      <c r="EX139" s="447"/>
      <c r="EY139" s="447"/>
      <c r="EZ139" s="447"/>
      <c r="FA139" s="462"/>
      <c r="FB139" s="447"/>
      <c r="FC139" s="447"/>
      <c r="FD139" s="447"/>
      <c r="FE139" s="447"/>
      <c r="FF139" s="462"/>
      <c r="FG139" s="447"/>
      <c r="FH139" s="447"/>
      <c r="FI139" s="447"/>
      <c r="FJ139" s="447"/>
      <c r="FK139" s="462"/>
      <c r="FL139" s="447"/>
      <c r="FM139" s="447"/>
      <c r="FN139" s="447"/>
      <c r="FO139" s="447"/>
      <c r="FP139" s="462"/>
      <c r="FQ139" s="447"/>
      <c r="FR139" s="447"/>
      <c r="FS139" s="447"/>
      <c r="FT139" s="447"/>
      <c r="FU139" s="462"/>
      <c r="FV139" s="447"/>
      <c r="FW139" s="458"/>
      <c r="FX139" s="458"/>
      <c r="FY139" s="458"/>
      <c r="FZ139" s="462"/>
      <c r="GA139" s="447"/>
      <c r="GB139" s="458"/>
      <c r="GC139" s="458"/>
      <c r="GD139" s="458"/>
      <c r="GE139" s="462"/>
      <c r="GF139" s="447"/>
      <c r="GG139" s="458"/>
      <c r="GH139" s="458"/>
      <c r="GI139" s="458"/>
      <c r="GJ139" s="497"/>
    </row>
    <row r="140" spans="1:192" s="461" customFormat="1" ht="12.75" hidden="1" customHeight="1" outlineLevel="1">
      <c r="A140" s="850"/>
      <c r="B140" s="735" t="s">
        <v>244</v>
      </c>
      <c r="C140" s="447"/>
      <c r="D140" s="458"/>
      <c r="E140" s="458"/>
      <c r="F140" s="458"/>
      <c r="G140" s="462"/>
      <c r="H140" s="447"/>
      <c r="I140" s="458"/>
      <c r="J140" s="458"/>
      <c r="K140" s="458"/>
      <c r="L140" s="462"/>
      <c r="M140" s="447"/>
      <c r="N140" s="458"/>
      <c r="O140" s="458"/>
      <c r="P140" s="458"/>
      <c r="Q140" s="462"/>
      <c r="R140" s="447"/>
      <c r="S140" s="458"/>
      <c r="T140" s="458"/>
      <c r="U140" s="458"/>
      <c r="V140" s="462"/>
      <c r="W140" s="447"/>
      <c r="X140" s="458"/>
      <c r="Y140" s="458"/>
      <c r="Z140" s="458"/>
      <c r="AA140" s="462"/>
      <c r="AB140" s="447"/>
      <c r="AC140" s="458"/>
      <c r="AD140" s="458"/>
      <c r="AE140" s="458"/>
      <c r="AF140" s="462"/>
      <c r="AG140" s="447"/>
      <c r="AH140" s="458"/>
      <c r="AI140" s="458"/>
      <c r="AJ140" s="458"/>
      <c r="AK140" s="462"/>
      <c r="AL140" s="447"/>
      <c r="AM140" s="458"/>
      <c r="AN140" s="458"/>
      <c r="AO140" s="458"/>
      <c r="AP140" s="462"/>
      <c r="AQ140" s="447"/>
      <c r="AR140" s="458"/>
      <c r="AS140" s="458"/>
      <c r="AT140" s="458"/>
      <c r="AU140" s="462"/>
      <c r="AV140" s="447"/>
      <c r="AW140" s="458"/>
      <c r="AX140" s="458"/>
      <c r="AY140" s="458"/>
      <c r="AZ140" s="462"/>
      <c r="BA140" s="447"/>
      <c r="BB140" s="458"/>
      <c r="BC140" s="458"/>
      <c r="BD140" s="458"/>
      <c r="BE140" s="462"/>
      <c r="BF140" s="447"/>
      <c r="BG140" s="458"/>
      <c r="BH140" s="458"/>
      <c r="BI140" s="458"/>
      <c r="BJ140" s="462"/>
      <c r="BK140" s="447"/>
      <c r="BL140" s="458"/>
      <c r="BM140" s="458"/>
      <c r="BN140" s="458"/>
      <c r="BO140" s="462"/>
      <c r="BP140" s="447"/>
      <c r="BQ140" s="458"/>
      <c r="BR140" s="458"/>
      <c r="BS140" s="458"/>
      <c r="BT140" s="462"/>
      <c r="BU140" s="447"/>
      <c r="BV140" s="458"/>
      <c r="BW140" s="458"/>
      <c r="BX140" s="458"/>
      <c r="BY140" s="462"/>
      <c r="BZ140" s="447"/>
      <c r="CA140" s="458"/>
      <c r="CB140" s="458"/>
      <c r="CC140" s="458"/>
      <c r="CD140" s="462"/>
      <c r="CE140" s="447"/>
      <c r="CF140" s="458"/>
      <c r="CG140" s="458"/>
      <c r="CH140" s="458"/>
      <c r="CI140" s="462"/>
      <c r="CJ140" s="447"/>
      <c r="CK140" s="458"/>
      <c r="CL140" s="458"/>
      <c r="CM140" s="458"/>
      <c r="CN140" s="462"/>
      <c r="CO140" s="447"/>
      <c r="CP140" s="458"/>
      <c r="CQ140" s="458"/>
      <c r="CR140" s="458"/>
      <c r="CS140" s="462"/>
      <c r="CT140" s="447"/>
      <c r="CU140" s="458"/>
      <c r="CV140" s="458"/>
      <c r="CW140" s="458"/>
      <c r="CX140" s="462"/>
      <c r="CY140" s="447"/>
      <c r="CZ140" s="458"/>
      <c r="DA140" s="458"/>
      <c r="DB140" s="458"/>
      <c r="DC140" s="462"/>
      <c r="DD140" s="447"/>
      <c r="DE140" s="458"/>
      <c r="DF140" s="458"/>
      <c r="DG140" s="458"/>
      <c r="DH140" s="462"/>
      <c r="DI140" s="447"/>
      <c r="DJ140" s="458"/>
      <c r="DK140" s="458"/>
      <c r="DL140" s="458"/>
      <c r="DM140" s="462"/>
      <c r="DN140" s="447"/>
      <c r="DO140" s="458">
        <f>DO135-DN135</f>
      </c>
      <c r="DP140" s="458">
        <f>DP135-DO135</f>
      </c>
      <c r="DQ140" s="458">
        <f>DQ135-DP135</f>
      </c>
      <c r="DR140" s="462"/>
      <c r="DS140" s="447">
        <f>DS135-DQ135</f>
      </c>
      <c r="DT140" s="458">
        <f>DT135-DS135</f>
      </c>
      <c r="DU140" s="458">
        <f>DU135-DT135</f>
      </c>
      <c r="DV140" s="458">
        <f>DV135-DU135</f>
      </c>
      <c r="DW140" s="462"/>
      <c r="DX140" s="447">
        <f>DX135-DV135</f>
      </c>
      <c r="DY140" s="458">
        <f>DY135-DX135</f>
      </c>
      <c r="DZ140" s="458">
        <f>DZ135-DY135</f>
      </c>
      <c r="EA140" s="458">
        <f>EA135-DZ135</f>
      </c>
      <c r="EB140" s="462"/>
      <c r="EC140" s="447">
        <f>EC135-EA135</f>
      </c>
      <c r="ED140" s="458">
        <f>ED135-EC135</f>
      </c>
      <c r="EE140" s="458">
        <f>EE135-ED135</f>
      </c>
      <c r="EF140" s="458">
        <f>EF135-EE135</f>
      </c>
      <c r="EG140" s="462"/>
      <c r="EH140" s="447">
        <f>EH135-EF135</f>
      </c>
      <c r="EI140" s="458">
        <f>EI135-EH135</f>
      </c>
      <c r="EJ140" s="458">
        <f>EJ135-EI135</f>
      </c>
      <c r="EK140" s="458">
        <f>EK135-EJ135</f>
      </c>
      <c r="EL140" s="462"/>
      <c r="EM140" s="447">
        <f>EM135-EK135</f>
      </c>
      <c r="EN140" s="458">
        <f>EN135-EM135</f>
      </c>
      <c r="EO140" s="458">
        <f>EO135-EN135</f>
      </c>
      <c r="EP140" s="458">
        <f>EP135-EO135</f>
      </c>
      <c r="EQ140" s="462"/>
      <c r="ER140" s="447">
        <f>ER135-EP135</f>
      </c>
      <c r="ES140" s="458">
        <f>ES135-ER135</f>
      </c>
      <c r="ET140" s="458">
        <f>ET135-ES135</f>
      </c>
      <c r="EU140" s="458">
        <f>EU135-ET135</f>
      </c>
      <c r="EV140" s="462"/>
      <c r="EW140" s="447"/>
      <c r="EX140" s="458"/>
      <c r="EY140" s="458"/>
      <c r="EZ140" s="458"/>
      <c r="FA140" s="462"/>
      <c r="FB140" s="447"/>
      <c r="FC140" s="458"/>
      <c r="FD140" s="458"/>
      <c r="FE140" s="458"/>
      <c r="FF140" s="462"/>
      <c r="FG140" s="447"/>
      <c r="FH140" s="458"/>
      <c r="FI140" s="458"/>
      <c r="FJ140" s="458"/>
      <c r="FK140" s="462"/>
      <c r="FL140" s="447"/>
      <c r="FM140" s="458"/>
      <c r="FN140" s="458"/>
      <c r="FO140" s="458"/>
      <c r="FP140" s="462"/>
      <c r="FQ140" s="447"/>
      <c r="FR140" s="458"/>
      <c r="FS140" s="458"/>
      <c r="FT140" s="458"/>
      <c r="FU140" s="462"/>
      <c r="FV140" s="447"/>
      <c r="FW140" s="458"/>
      <c r="FX140" s="458"/>
      <c r="FY140" s="458"/>
      <c r="FZ140" s="462"/>
      <c r="GA140" s="447"/>
      <c r="GB140" s="458"/>
      <c r="GC140" s="458"/>
      <c r="GD140" s="458"/>
      <c r="GE140" s="462"/>
      <c r="GF140" s="447"/>
      <c r="GG140" s="458"/>
      <c r="GH140" s="458"/>
      <c r="GI140" s="458"/>
      <c r="GJ140" s="497"/>
    </row>
    <row r="141" spans="1:192" ht="12.75" hidden="1" customHeight="1" outlineLevel="1">
      <c r="B141" s="735" t="s">
        <v>213</v>
      </c>
      <c r="C141" s="291"/>
      <c r="D141" s="107"/>
      <c r="E141" s="107"/>
      <c r="F141" s="107"/>
      <c r="G141" s="293"/>
      <c r="H141" s="291"/>
      <c r="I141" s="107"/>
      <c r="J141" s="107"/>
      <c r="K141" s="107"/>
      <c r="L141" s="293"/>
      <c r="M141" s="291"/>
      <c r="N141" s="107"/>
      <c r="O141" s="107"/>
      <c r="P141" s="107"/>
      <c r="Q141" s="293"/>
      <c r="R141" s="291"/>
      <c r="S141" s="107"/>
      <c r="T141" s="107"/>
      <c r="U141" s="107"/>
      <c r="V141" s="293"/>
      <c r="W141" s="291"/>
      <c r="X141" s="107"/>
      <c r="Y141" s="107"/>
      <c r="Z141" s="107"/>
      <c r="AA141" s="293"/>
      <c r="AB141" s="291"/>
      <c r="AC141" s="107"/>
      <c r="AD141" s="107"/>
      <c r="AE141" s="107"/>
      <c r="AF141" s="293"/>
      <c r="AG141" s="291"/>
      <c r="AH141" s="107"/>
      <c r="AI141" s="107"/>
      <c r="AJ141" s="107"/>
      <c r="AK141" s="293"/>
      <c r="AL141" s="291"/>
      <c r="AM141" s="107"/>
      <c r="AN141" s="107"/>
      <c r="AO141" s="107"/>
      <c r="AP141" s="293"/>
      <c r="AQ141" s="291"/>
      <c r="AR141" s="107"/>
      <c r="AS141" s="107"/>
      <c r="AT141" s="107"/>
      <c r="AU141" s="293"/>
      <c r="AV141" s="291"/>
      <c r="AW141" s="107"/>
      <c r="AX141" s="107"/>
      <c r="AY141" s="107"/>
      <c r="AZ141" s="293"/>
      <c r="BA141" s="291"/>
      <c r="BB141" s="107"/>
      <c r="BC141" s="107"/>
      <c r="BD141" s="107"/>
      <c r="BE141" s="293"/>
      <c r="BF141" s="291"/>
      <c r="BG141" s="107"/>
      <c r="BH141" s="107"/>
      <c r="BI141" s="107"/>
      <c r="BJ141" s="293"/>
      <c r="BK141" s="291"/>
      <c r="BL141" s="107"/>
      <c r="BM141" s="107"/>
      <c r="BN141" s="107"/>
      <c r="BO141" s="293"/>
      <c r="BP141" s="291"/>
      <c r="BQ141" s="107"/>
      <c r="BR141" s="107"/>
      <c r="BS141" s="107"/>
      <c r="BT141" s="293"/>
      <c r="BU141" s="291"/>
      <c r="BV141" s="107"/>
      <c r="BW141" s="107"/>
      <c r="BX141" s="107"/>
      <c r="BY141" s="293"/>
      <c r="BZ141" s="291"/>
      <c r="CA141" s="107"/>
      <c r="CB141" s="107"/>
      <c r="CC141" s="107"/>
      <c r="CD141" s="293"/>
      <c r="CE141" s="291"/>
      <c r="CF141" s="107"/>
      <c r="CG141" s="107"/>
      <c r="CH141" s="107"/>
      <c r="CI141" s="293"/>
      <c r="CJ141" s="291"/>
      <c r="CK141" s="107"/>
      <c r="CL141" s="107"/>
      <c r="CM141" s="107"/>
      <c r="CN141" s="293"/>
      <c r="CO141" s="291"/>
      <c r="CP141" s="107"/>
      <c r="CQ141" s="107"/>
      <c r="CR141" s="107"/>
      <c r="CS141" s="293"/>
      <c r="CT141" s="291"/>
      <c r="CU141" s="107"/>
      <c r="CV141" s="107"/>
      <c r="CW141" s="107"/>
      <c r="CX141" s="293"/>
      <c r="CY141" s="291"/>
      <c r="CZ141" s="107"/>
      <c r="DA141" s="107"/>
      <c r="DB141" s="107"/>
      <c r="DC141" s="293"/>
      <c r="DD141" s="291"/>
      <c r="DE141" s="107"/>
      <c r="DF141" s="107"/>
      <c r="DG141" s="107"/>
      <c r="DH141" s="293"/>
      <c r="DI141" s="291"/>
      <c r="DJ141" s="107"/>
      <c r="DK141" s="107"/>
      <c r="DL141" s="107"/>
      <c r="DM141" s="293">
        <f t="shared" ref="DM141:EV141" si="110">DM135/DM50</f>
      </c>
      <c r="DN141" s="291">
        <f t="shared" si="110"/>
      </c>
      <c r="DO141" s="107">
        <f t="shared" si="110"/>
      </c>
      <c r="DP141" s="107">
        <f t="shared" si="110"/>
      </c>
      <c r="DQ141" s="107">
        <f t="shared" si="110"/>
      </c>
      <c r="DR141" s="293">
        <f t="shared" si="110"/>
      </c>
      <c r="DS141" s="291">
        <f t="shared" si="110"/>
      </c>
      <c r="DT141" s="107">
        <f t="shared" si="110"/>
      </c>
      <c r="DU141" s="107">
        <f t="shared" si="110"/>
      </c>
      <c r="DV141" s="107">
        <f t="shared" si="110"/>
      </c>
      <c r="DW141" s="293">
        <f t="shared" si="110"/>
      </c>
      <c r="DX141" s="291">
        <f t="shared" si="110"/>
      </c>
      <c r="DY141" s="107">
        <f t="shared" si="110"/>
      </c>
      <c r="DZ141" s="107">
        <f t="shared" si="110"/>
      </c>
      <c r="EA141" s="107">
        <f t="shared" si="110"/>
      </c>
      <c r="EB141" s="293">
        <f t="shared" si="110"/>
      </c>
      <c r="EC141" s="291">
        <f t="shared" si="110"/>
      </c>
      <c r="ED141" s="107">
        <f t="shared" si="110"/>
      </c>
      <c r="EE141" s="107">
        <f t="shared" si="110"/>
      </c>
      <c r="EF141" s="107">
        <f t="shared" si="110"/>
      </c>
      <c r="EG141" s="293">
        <f t="shared" si="110"/>
      </c>
      <c r="EH141" s="291">
        <f t="shared" si="110"/>
      </c>
      <c r="EI141" s="107">
        <f t="shared" si="110"/>
      </c>
      <c r="EJ141" s="107">
        <f t="shared" si="110"/>
      </c>
      <c r="EK141" s="107">
        <f t="shared" si="110"/>
      </c>
      <c r="EL141" s="293">
        <f t="shared" si="110"/>
      </c>
      <c r="EM141" s="291">
        <f t="shared" si="110"/>
      </c>
      <c r="EN141" s="107">
        <f t="shared" si="110"/>
      </c>
      <c r="EO141" s="107">
        <f t="shared" si="110"/>
      </c>
      <c r="EP141" s="107">
        <f t="shared" si="110"/>
      </c>
      <c r="EQ141" s="293">
        <f t="shared" si="110"/>
      </c>
      <c r="ER141" s="291">
        <f t="shared" si="110"/>
      </c>
      <c r="ES141" s="107">
        <f t="shared" si="110"/>
      </c>
      <c r="ET141" s="107">
        <f t="shared" si="110"/>
      </c>
      <c r="EU141" s="107">
        <f t="shared" si="110"/>
      </c>
      <c r="EV141" s="293">
        <f t="shared" si="110"/>
      </c>
      <c r="EW141" s="107"/>
      <c r="EX141" s="107"/>
      <c r="EY141" s="107"/>
      <c r="EZ141" s="107"/>
      <c r="FA141" s="293"/>
      <c r="FB141" s="107"/>
      <c r="FC141" s="107"/>
      <c r="FD141" s="107"/>
      <c r="FE141" s="107"/>
      <c r="FF141" s="293"/>
      <c r="FG141" s="107"/>
      <c r="FH141" s="107"/>
      <c r="FI141" s="107"/>
      <c r="FJ141" s="107"/>
      <c r="FK141" s="293"/>
      <c r="FL141" s="107"/>
      <c r="FM141" s="107"/>
      <c r="FN141" s="107"/>
      <c r="FO141" s="107"/>
      <c r="FP141" s="293"/>
      <c r="FQ141" s="107"/>
      <c r="FR141" s="107"/>
      <c r="FS141" s="107"/>
      <c r="FT141" s="107"/>
      <c r="FU141" s="293"/>
      <c r="FV141" s="291"/>
      <c r="FW141" s="107"/>
      <c r="FX141" s="107"/>
      <c r="FY141" s="107"/>
      <c r="FZ141" s="293"/>
      <c r="GA141" s="291"/>
      <c r="GB141" s="107"/>
      <c r="GC141" s="107"/>
      <c r="GD141" s="107"/>
      <c r="GE141" s="293"/>
      <c r="GF141" s="291"/>
      <c r="GG141" s="107"/>
      <c r="GH141" s="107"/>
      <c r="GI141" s="107"/>
      <c r="GJ141" s="382"/>
    </row>
    <row r="142" spans="1:192" ht="12.75" customHeight="1" collapsed="1">
      <c r="B142" s="735"/>
      <c r="C142" s="291"/>
      <c r="D142" s="107"/>
      <c r="E142" s="107"/>
      <c r="F142" s="107"/>
      <c r="G142" s="293"/>
      <c r="H142" s="291"/>
      <c r="I142" s="107"/>
      <c r="J142" s="107"/>
      <c r="K142" s="107"/>
      <c r="L142" s="293"/>
      <c r="M142" s="291"/>
      <c r="N142" s="107"/>
      <c r="O142" s="107"/>
      <c r="P142" s="107"/>
      <c r="Q142" s="293"/>
      <c r="R142" s="291"/>
      <c r="S142" s="107"/>
      <c r="T142" s="107"/>
      <c r="U142" s="107"/>
      <c r="V142" s="293"/>
      <c r="W142" s="291"/>
      <c r="X142" s="107"/>
      <c r="Y142" s="107"/>
      <c r="Z142" s="107"/>
      <c r="AA142" s="293"/>
      <c r="AB142" s="291"/>
      <c r="AC142" s="107"/>
      <c r="AD142" s="107"/>
      <c r="AE142" s="107"/>
      <c r="AF142" s="293"/>
      <c r="AG142" s="291"/>
      <c r="AH142" s="107"/>
      <c r="AI142" s="107"/>
      <c r="AJ142" s="107"/>
      <c r="AK142" s="293"/>
      <c r="AL142" s="291"/>
      <c r="AM142" s="107"/>
      <c r="AN142" s="107"/>
      <c r="AO142" s="107"/>
      <c r="AP142" s="293"/>
      <c r="AQ142" s="291"/>
      <c r="AR142" s="107"/>
      <c r="AS142" s="107"/>
      <c r="AT142" s="107"/>
      <c r="AU142" s="293"/>
      <c r="AV142" s="291"/>
      <c r="AW142" s="107"/>
      <c r="AX142" s="107"/>
      <c r="AY142" s="107"/>
      <c r="AZ142" s="293"/>
      <c r="BA142" s="291"/>
      <c r="BB142" s="107"/>
      <c r="BC142" s="107"/>
      <c r="BD142" s="107"/>
      <c r="BE142" s="293"/>
      <c r="BF142" s="291"/>
      <c r="BG142" s="107"/>
      <c r="BH142" s="107"/>
      <c r="BI142" s="107"/>
      <c r="BJ142" s="293"/>
      <c r="BK142" s="291"/>
      <c r="BL142" s="107"/>
      <c r="BM142" s="107"/>
      <c r="BN142" s="107"/>
      <c r="BO142" s="293"/>
      <c r="BP142" s="291"/>
      <c r="BQ142" s="107"/>
      <c r="BR142" s="107"/>
      <c r="BS142" s="107"/>
      <c r="BT142" s="293"/>
      <c r="BU142" s="291"/>
      <c r="BV142" s="107"/>
      <c r="BW142" s="107"/>
      <c r="BX142" s="107"/>
      <c r="BY142" s="293"/>
      <c r="BZ142" s="291"/>
      <c r="CA142" s="107"/>
      <c r="CB142" s="107"/>
      <c r="CC142" s="107"/>
      <c r="CD142" s="293"/>
      <c r="CE142" s="291"/>
      <c r="CF142" s="107"/>
      <c r="CG142" s="107"/>
      <c r="CH142" s="107"/>
      <c r="CI142" s="293"/>
      <c r="CJ142" s="291"/>
      <c r="CK142" s="107"/>
      <c r="CL142" s="107"/>
      <c r="CM142" s="107"/>
      <c r="CN142" s="293"/>
      <c r="CO142" s="291"/>
      <c r="CP142" s="107"/>
      <c r="CQ142" s="107"/>
      <c r="CR142" s="107"/>
      <c r="CS142" s="293"/>
      <c r="CT142" s="291"/>
      <c r="CU142" s="107"/>
      <c r="CV142" s="107"/>
      <c r="CW142" s="107"/>
      <c r="CX142" s="293"/>
      <c r="CY142" s="291"/>
      <c r="CZ142" s="107"/>
      <c r="DA142" s="107"/>
      <c r="DB142" s="107"/>
      <c r="DC142" s="293"/>
      <c r="DD142" s="291"/>
      <c r="DE142" s="107"/>
      <c r="DF142" s="107"/>
      <c r="DG142" s="107"/>
      <c r="DH142" s="293"/>
      <c r="DI142" s="291"/>
      <c r="DJ142" s="107"/>
      <c r="DK142" s="107"/>
      <c r="DL142" s="107"/>
      <c r="DM142" s="293"/>
      <c r="DN142" s="291"/>
      <c r="DO142" s="107"/>
      <c r="DP142" s="107"/>
      <c r="DQ142" s="107"/>
      <c r="DR142" s="293"/>
      <c r="DS142" s="291"/>
      <c r="DT142" s="107"/>
      <c r="DU142" s="107"/>
      <c r="DV142" s="107"/>
      <c r="DW142" s="293"/>
      <c r="DX142" s="291"/>
      <c r="DY142" s="107"/>
      <c r="DZ142" s="107"/>
      <c r="EA142" s="107"/>
      <c r="EB142" s="293"/>
      <c r="EC142" s="291"/>
      <c r="ED142" s="107"/>
      <c r="EE142" s="107"/>
      <c r="EF142" s="107"/>
      <c r="EG142" s="293"/>
      <c r="EH142" s="291"/>
      <c r="EI142" s="107"/>
      <c r="EJ142" s="107"/>
      <c r="EK142" s="107"/>
      <c r="EL142" s="293"/>
      <c r="EM142" s="291"/>
      <c r="EN142" s="107"/>
      <c r="EO142" s="107"/>
      <c r="EP142" s="107"/>
      <c r="EQ142" s="293"/>
      <c r="ER142" s="291"/>
      <c r="ES142" s="107"/>
      <c r="ET142" s="107"/>
      <c r="EU142" s="107"/>
      <c r="EV142" s="293"/>
      <c r="EW142" s="107"/>
      <c r="EX142" s="107"/>
      <c r="EY142" s="107"/>
      <c r="EZ142" s="107"/>
      <c r="FA142" s="293"/>
      <c r="FB142" s="107"/>
      <c r="FC142" s="107"/>
      <c r="FD142" s="107"/>
      <c r="FE142" s="107"/>
      <c r="FF142" s="293"/>
      <c r="FG142" s="107"/>
      <c r="FH142" s="107"/>
      <c r="FI142" s="107"/>
      <c r="FJ142" s="107"/>
      <c r="FK142" s="293"/>
      <c r="FL142" s="107"/>
      <c r="FM142" s="107"/>
      <c r="FN142" s="107"/>
      <c r="FO142" s="107"/>
      <c r="FP142" s="293"/>
      <c r="FQ142" s="107"/>
      <c r="FR142" s="107"/>
      <c r="FS142" s="107"/>
      <c r="FT142" s="107"/>
      <c r="FU142" s="293"/>
      <c r="FV142" s="291"/>
      <c r="FW142" s="107"/>
      <c r="FX142" s="107"/>
      <c r="FY142" s="107"/>
      <c r="FZ142" s="293"/>
      <c r="GA142" s="291"/>
      <c r="GB142" s="107"/>
      <c r="GC142" s="107"/>
      <c r="GD142" s="107"/>
      <c r="GE142" s="293"/>
      <c r="GF142" s="291"/>
      <c r="GG142" s="107"/>
      <c r="GH142" s="107"/>
      <c r="GI142" s="107"/>
      <c r="GJ142" s="382"/>
    </row>
    <row r="143" spans="1:192" ht="12.75" customHeight="1">
      <c r="A143" s="1643"/>
      <c r="B143" s="734" t="s">
        <v>1944</v>
      </c>
      <c r="C143" s="399"/>
      <c r="D143" s="129"/>
      <c r="E143" s="129"/>
      <c r="F143" s="129"/>
      <c r="G143" s="400"/>
      <c r="H143" s="399"/>
      <c r="I143" s="129"/>
      <c r="J143" s="129"/>
      <c r="K143" s="129"/>
      <c r="L143" s="400"/>
      <c r="M143" s="399"/>
      <c r="N143" s="129"/>
      <c r="O143" s="129"/>
      <c r="P143" s="129"/>
      <c r="Q143" s="400"/>
      <c r="R143" s="399"/>
      <c r="S143" s="129"/>
      <c r="T143" s="129"/>
      <c r="U143" s="129"/>
      <c r="V143" s="400"/>
      <c r="W143" s="399"/>
      <c r="X143" s="129"/>
      <c r="Y143" s="129"/>
      <c r="Z143" s="129"/>
      <c r="AA143" s="400"/>
      <c r="AB143" s="399"/>
      <c r="AC143" s="129"/>
      <c r="AD143" s="129"/>
      <c r="AE143" s="129"/>
      <c r="AF143" s="400"/>
      <c r="AG143" s="399"/>
      <c r="AH143" s="129"/>
      <c r="AI143" s="129"/>
      <c r="AJ143" s="129"/>
      <c r="AK143" s="400"/>
      <c r="AL143" s="399"/>
      <c r="AM143" s="129"/>
      <c r="AN143" s="129"/>
      <c r="AO143" s="129"/>
      <c r="AP143" s="400"/>
      <c r="AQ143" s="399"/>
      <c r="AR143" s="129"/>
      <c r="AS143" s="129"/>
      <c r="AT143" s="129"/>
      <c r="AU143" s="400"/>
      <c r="AV143" s="399"/>
      <c r="AW143" s="129"/>
      <c r="AX143" s="129"/>
      <c r="AY143" s="129"/>
      <c r="AZ143" s="400"/>
      <c r="BA143" s="399"/>
      <c r="BB143" s="129"/>
      <c r="BC143" s="129"/>
      <c r="BD143" s="129"/>
      <c r="BE143" s="400"/>
      <c r="BF143" s="399"/>
      <c r="BG143" s="129"/>
      <c r="BH143" s="129"/>
      <c r="BI143" s="129"/>
      <c r="BJ143" s="400"/>
      <c r="BK143" s="399"/>
      <c r="BL143" s="129"/>
      <c r="BM143" s="129"/>
      <c r="BN143" s="129"/>
      <c r="BO143" s="400"/>
      <c r="BP143" s="399"/>
      <c r="BQ143" s="129"/>
      <c r="BR143" s="129"/>
      <c r="BS143" s="129"/>
      <c r="BT143" s="400"/>
      <c r="BU143" s="399"/>
      <c r="BV143" s="129"/>
      <c r="BW143" s="129"/>
      <c r="BX143" s="129"/>
      <c r="BY143" s="400"/>
      <c r="BZ143" s="399"/>
      <c r="CA143" s="129"/>
      <c r="CB143" s="129"/>
      <c r="CC143" s="129"/>
      <c r="CD143" s="400"/>
      <c r="CE143" s="399"/>
      <c r="CF143" s="129"/>
      <c r="CG143" s="129"/>
      <c r="CH143" s="129"/>
      <c r="CI143" s="400"/>
      <c r="CJ143" s="399"/>
      <c r="CK143" s="129"/>
      <c r="CL143" s="129"/>
      <c r="CM143" s="129"/>
      <c r="CN143" s="400"/>
      <c r="CO143" s="399"/>
      <c r="CP143" s="129"/>
      <c r="CQ143" s="129"/>
      <c r="CR143" s="129"/>
      <c r="CS143" s="400"/>
      <c r="CT143" s="399"/>
      <c r="CU143" s="129"/>
      <c r="CV143" s="129"/>
      <c r="CW143" s="129"/>
      <c r="CX143" s="400"/>
      <c r="CY143" s="471">
        <f t="shared" ref="CY143:ED143" si="111">CY159+CY192</f>
      </c>
      <c r="CZ143" s="500">
        <f t="shared" si="111"/>
      </c>
      <c r="DA143" s="500">
        <f t="shared" si="111"/>
      </c>
      <c r="DB143" s="500">
        <f t="shared" si="111"/>
      </c>
      <c r="DC143" s="1527">
        <f t="shared" si="111"/>
      </c>
      <c r="DD143" s="471">
        <f t="shared" si="111"/>
      </c>
      <c r="DE143" s="471">
        <f t="shared" si="111"/>
      </c>
      <c r="DF143" s="471">
        <f t="shared" si="111"/>
      </c>
      <c r="DG143" s="471">
        <f t="shared" si="111"/>
      </c>
      <c r="DH143" s="1527">
        <f t="shared" si="111"/>
      </c>
      <c r="DI143" s="471">
        <f t="shared" si="111"/>
      </c>
      <c r="DJ143" s="471">
        <f t="shared" si="111"/>
      </c>
      <c r="DK143" s="471">
        <f t="shared" si="111"/>
      </c>
      <c r="DL143" s="471">
        <f t="shared" si="111"/>
      </c>
      <c r="DM143" s="1527">
        <f t="shared" si="111"/>
      </c>
      <c r="DN143" s="471">
        <f t="shared" si="111"/>
      </c>
      <c r="DO143" s="471">
        <f t="shared" si="111"/>
      </c>
      <c r="DP143" s="471">
        <f t="shared" si="111"/>
      </c>
      <c r="DQ143" s="471">
        <f t="shared" si="111"/>
      </c>
      <c r="DR143" s="1527">
        <f t="shared" si="111"/>
      </c>
      <c r="DS143" s="471">
        <f t="shared" si="111"/>
      </c>
      <c r="DT143" s="1145">
        <f t="shared" si="111"/>
      </c>
      <c r="DU143" s="1145">
        <f t="shared" si="111"/>
      </c>
      <c r="DV143" s="471">
        <f t="shared" si="111"/>
      </c>
      <c r="DW143" s="1527">
        <f t="shared" si="111"/>
      </c>
      <c r="DX143" s="471">
        <f t="shared" si="111"/>
      </c>
      <c r="DY143" s="471">
        <f t="shared" si="111"/>
      </c>
      <c r="DZ143" s="1145">
        <f t="shared" si="111"/>
      </c>
      <c r="EA143" s="471">
        <f t="shared" si="111"/>
      </c>
      <c r="EB143" s="1527">
        <f t="shared" si="111"/>
      </c>
      <c r="EC143" s="471">
        <f t="shared" si="111"/>
      </c>
      <c r="ED143" s="471">
        <f t="shared" si="111"/>
      </c>
      <c r="EE143" s="471">
        <f t="shared" ref="EE143:EV143" si="112">EE159+EE192</f>
      </c>
      <c r="EF143" s="471">
        <f t="shared" si="112"/>
      </c>
      <c r="EG143" s="1527">
        <f t="shared" si="112"/>
      </c>
      <c r="EH143" s="471">
        <f t="shared" si="112"/>
      </c>
      <c r="EI143" s="471">
        <f t="shared" si="112"/>
      </c>
      <c r="EJ143" s="471">
        <f t="shared" si="112"/>
      </c>
      <c r="EK143" s="471">
        <f t="shared" si="112"/>
      </c>
      <c r="EL143" s="1527">
        <f t="shared" si="112"/>
      </c>
      <c r="EM143" s="471">
        <f t="shared" si="112"/>
      </c>
      <c r="EN143" s="471">
        <f t="shared" si="112"/>
      </c>
      <c r="EO143" s="471">
        <f t="shared" si="112"/>
      </c>
      <c r="EP143" s="471">
        <f t="shared" si="112"/>
      </c>
      <c r="EQ143" s="1527">
        <f t="shared" si="112"/>
      </c>
      <c r="ER143" s="471">
        <f t="shared" si="112"/>
      </c>
      <c r="ES143" s="471">
        <f t="shared" si="112"/>
      </c>
      <c r="ET143" s="471">
        <f t="shared" si="112"/>
      </c>
      <c r="EU143" s="471">
        <f t="shared" si="112"/>
      </c>
      <c r="EV143" s="1527">
        <f t="shared" si="112"/>
      </c>
      <c r="EW143" s="471">
        <f>ER143*(1+EW144)</f>
      </c>
      <c r="EX143" s="471">
        <f>ES143*(1+EX144)</f>
      </c>
      <c r="EY143" s="471">
        <f>ET143*(1+EY144)</f>
      </c>
      <c r="EZ143" s="471">
        <f>EU143*(1+EZ144)</f>
      </c>
      <c r="FA143" s="1527">
        <f>SUM(EW143:EZ143)</f>
      </c>
      <c r="FB143" s="471">
        <f>EW143*(1+FB144)</f>
      </c>
      <c r="FC143" s="471">
        <f>EX143*(1+FC144)</f>
      </c>
      <c r="FD143" s="471">
        <f>EY143*(1+FD144)</f>
      </c>
      <c r="FE143" s="471">
        <f>EZ143*(1+FE144)</f>
      </c>
      <c r="FF143" s="1527">
        <f>SUM(FB143:FE143)</f>
      </c>
      <c r="FG143" s="471">
        <f>FB143*(1+FG144)</f>
      </c>
      <c r="FH143" s="471">
        <f>FC143*(1+FH144)</f>
      </c>
      <c r="FI143" s="471">
        <f>FD143*(1+FI144)</f>
      </c>
      <c r="FJ143" s="471">
        <f>FE143*(1+FJ144)</f>
      </c>
      <c r="FK143" s="1527">
        <f>SUM(FG143:FJ143)</f>
      </c>
      <c r="FL143" s="471">
        <f>FG143*(1+FL144)</f>
      </c>
      <c r="FM143" s="471">
        <f>FH143*(1+FM144)</f>
      </c>
      <c r="FN143" s="471">
        <f>FI143*(1+FN144)</f>
      </c>
      <c r="FO143" s="471">
        <f>FJ143*(1+FO144)</f>
      </c>
      <c r="FP143" s="1527">
        <f>SUM(FL143:FO143)</f>
      </c>
      <c r="FQ143" s="471">
        <f>FL143*(1+FQ144)</f>
      </c>
      <c r="FR143" s="471">
        <f>FM143*(1+FR144)</f>
      </c>
      <c r="FS143" s="471">
        <f>FN143*(1+FS144)</f>
      </c>
      <c r="FT143" s="471">
        <f>FO143*(1+FT144)</f>
      </c>
      <c r="FU143" s="1527">
        <f>SUM(FQ143:FT143)</f>
      </c>
      <c r="FV143" s="471">
        <f>FQ143*(1+FV144)</f>
      </c>
      <c r="FW143" s="471">
        <f>FR143*(1+FW144)</f>
      </c>
      <c r="FX143" s="471">
        <f>FS143*(1+FX144)</f>
      </c>
      <c r="FY143" s="471">
        <f>FT143*(1+FY144)</f>
      </c>
      <c r="FZ143" s="1527">
        <f>SUM(FV143:FY143)</f>
      </c>
      <c r="GA143" s="471">
        <f>FV143*(1+GA144)</f>
      </c>
      <c r="GB143" s="471">
        <f>FW143*(1+GB144)</f>
      </c>
      <c r="GC143" s="471">
        <f>FX143*(1+GC144)</f>
      </c>
      <c r="GD143" s="471">
        <f>FY143*(1+GD144)</f>
      </c>
      <c r="GE143" s="1527">
        <f>SUM(GA143:GD143)</f>
      </c>
      <c r="GF143" s="471">
        <f>GA143*(1+GF144)</f>
      </c>
      <c r="GG143" s="471">
        <f>GB143*(1+GG144)</f>
      </c>
      <c r="GH143" s="471">
        <f>GC143*(1+GH144)</f>
      </c>
      <c r="GI143" s="471">
        <f>GD143*(1+GI144)</f>
      </c>
      <c r="GJ143" s="1529">
        <f>SUM(GF143:GI143)</f>
      </c>
    </row>
    <row r="144" spans="1:192" ht="12.75" customHeight="1">
      <c r="B144" s="735" t="s">
        <v>34</v>
      </c>
      <c r="C144" s="291"/>
      <c r="D144" s="107"/>
      <c r="E144" s="107"/>
      <c r="F144" s="107"/>
      <c r="G144" s="292"/>
      <c r="H144" s="291"/>
      <c r="I144" s="107"/>
      <c r="J144" s="107"/>
      <c r="K144" s="107"/>
      <c r="L144" s="292"/>
      <c r="M144" s="291"/>
      <c r="N144" s="107"/>
      <c r="O144" s="107"/>
      <c r="P144" s="107"/>
      <c r="Q144" s="292"/>
      <c r="R144" s="291"/>
      <c r="S144" s="107"/>
      <c r="T144" s="107"/>
      <c r="U144" s="107"/>
      <c r="V144" s="292"/>
      <c r="W144" s="291"/>
      <c r="X144" s="107"/>
      <c r="Y144" s="107"/>
      <c r="Z144" s="107"/>
      <c r="AA144" s="292"/>
      <c r="AB144" s="291"/>
      <c r="AC144" s="107"/>
      <c r="AD144" s="107"/>
      <c r="AE144" s="107"/>
      <c r="AF144" s="292"/>
      <c r="AG144" s="291"/>
      <c r="AH144" s="107"/>
      <c r="AI144" s="107"/>
      <c r="AJ144" s="107"/>
      <c r="AK144" s="292"/>
      <c r="AL144" s="291"/>
      <c r="AM144" s="107"/>
      <c r="AN144" s="107"/>
      <c r="AO144" s="107"/>
      <c r="AP144" s="292"/>
      <c r="AQ144" s="291"/>
      <c r="AR144" s="107"/>
      <c r="AS144" s="107"/>
      <c r="AT144" s="107"/>
      <c r="AU144" s="292"/>
      <c r="AV144" s="291"/>
      <c r="AW144" s="107"/>
      <c r="AX144" s="107"/>
      <c r="AY144" s="107"/>
      <c r="AZ144" s="292"/>
      <c r="BA144" s="291"/>
      <c r="BB144" s="107"/>
      <c r="BC144" s="107"/>
      <c r="BD144" s="107"/>
      <c r="BE144" s="292"/>
      <c r="BF144" s="291"/>
      <c r="BG144" s="107"/>
      <c r="BH144" s="107"/>
      <c r="BI144" s="107"/>
      <c r="BJ144" s="292"/>
      <c r="BK144" s="291"/>
      <c r="BL144" s="107"/>
      <c r="BM144" s="107"/>
      <c r="BN144" s="107"/>
      <c r="BO144" s="292"/>
      <c r="BP144" s="291"/>
      <c r="BQ144" s="107"/>
      <c r="BR144" s="107"/>
      <c r="BS144" s="107"/>
      <c r="BT144" s="292"/>
      <c r="BU144" s="412"/>
      <c r="BV144" s="114"/>
      <c r="BW144" s="114"/>
      <c r="BX144" s="114"/>
      <c r="BY144" s="292"/>
      <c r="BZ144" s="412"/>
      <c r="CA144" s="114"/>
      <c r="CB144" s="114"/>
      <c r="CC144" s="114"/>
      <c r="CD144" s="292"/>
      <c r="CE144" s="412"/>
      <c r="CF144" s="114"/>
      <c r="CG144" s="114"/>
      <c r="CH144" s="114"/>
      <c r="CI144" s="292"/>
      <c r="CJ144" s="412"/>
      <c r="CK144" s="114"/>
      <c r="CL144" s="114"/>
      <c r="CM144" s="114"/>
      <c r="CN144" s="292"/>
      <c r="CO144" s="412"/>
      <c r="CP144" s="114"/>
      <c r="CQ144" s="114"/>
      <c r="CR144" s="114"/>
      <c r="CS144" s="292"/>
      <c r="CT144" s="412"/>
      <c r="CU144" s="114"/>
      <c r="CV144" s="114"/>
      <c r="CW144" s="114"/>
      <c r="CX144" s="292"/>
      <c r="CY144" s="291"/>
      <c r="CZ144" s="291"/>
      <c r="DA144" s="291"/>
      <c r="DB144" s="291"/>
      <c r="DC144" s="292"/>
      <c r="DD144" s="291">
        <f t="shared" ref="DD144:EQ144" si="113">DD143/CY143-1</f>
      </c>
      <c r="DE144" s="291">
        <f t="shared" si="113"/>
      </c>
      <c r="DF144" s="291">
        <f t="shared" si="113"/>
      </c>
      <c r="DG144" s="291">
        <f t="shared" si="113"/>
      </c>
      <c r="DH144" s="292">
        <f t="shared" si="113"/>
      </c>
      <c r="DI144" s="291">
        <f t="shared" si="113"/>
      </c>
      <c r="DJ144" s="291">
        <f t="shared" si="113"/>
      </c>
      <c r="DK144" s="291">
        <f t="shared" si="113"/>
      </c>
      <c r="DL144" s="291">
        <f t="shared" si="113"/>
      </c>
      <c r="DM144" s="292">
        <f t="shared" si="113"/>
      </c>
      <c r="DN144" s="291">
        <f t="shared" si="113"/>
      </c>
      <c r="DO144" s="291">
        <f t="shared" si="113"/>
      </c>
      <c r="DP144" s="291">
        <f t="shared" si="113"/>
      </c>
      <c r="DQ144" s="291">
        <f t="shared" si="113"/>
      </c>
      <c r="DR144" s="292">
        <f t="shared" si="113"/>
      </c>
      <c r="DS144" s="291">
        <f t="shared" si="113"/>
      </c>
      <c r="DT144" s="291">
        <f t="shared" si="113"/>
      </c>
      <c r="DU144" s="291">
        <f t="shared" si="113"/>
      </c>
      <c r="DV144" s="291">
        <f t="shared" si="113"/>
      </c>
      <c r="DW144" s="292">
        <f t="shared" si="113"/>
      </c>
      <c r="DX144" s="291">
        <f t="shared" si="113"/>
      </c>
      <c r="DY144" s="291">
        <f t="shared" si="113"/>
      </c>
      <c r="DZ144" s="291">
        <f t="shared" si="113"/>
      </c>
      <c r="EA144" s="291">
        <f t="shared" si="113"/>
      </c>
      <c r="EB144" s="292">
        <f t="shared" si="113"/>
      </c>
      <c r="EC144" s="291">
        <f t="shared" si="113"/>
      </c>
      <c r="ED144" s="291">
        <f t="shared" si="113"/>
      </c>
      <c r="EE144" s="291">
        <f t="shared" si="113"/>
      </c>
      <c r="EF144" s="291">
        <f t="shared" si="113"/>
      </c>
      <c r="EG144" s="292">
        <f t="shared" si="113"/>
      </c>
      <c r="EH144" s="291">
        <f t="shared" si="113"/>
      </c>
      <c r="EI144" s="291">
        <f t="shared" si="113"/>
      </c>
      <c r="EJ144" s="291">
        <f t="shared" si="113"/>
      </c>
      <c r="EK144" s="291">
        <f t="shared" si="113"/>
      </c>
      <c r="EL144" s="292">
        <f t="shared" si="113"/>
      </c>
      <c r="EM144" s="291">
        <f t="shared" si="113"/>
      </c>
      <c r="EN144" s="291">
        <f t="shared" si="113"/>
      </c>
      <c r="EO144" s="291">
        <f t="shared" si="113"/>
      </c>
      <c r="EP144" s="291">
        <f t="shared" si="113"/>
      </c>
      <c r="EQ144" s="292">
        <f t="shared" si="113"/>
      </c>
      <c r="ER144" s="412">
        <v>-0.05</v>
      </c>
      <c r="ES144" s="114">
        <v>0.04</v>
      </c>
      <c r="ET144" s="439">
        <v>0.02</v>
      </c>
      <c r="EU144" s="439">
        <v>-0.01</v>
      </c>
      <c r="EV144" s="413">
        <v>0</v>
      </c>
      <c r="EW144" s="441">
        <v>0.02</v>
      </c>
      <c r="EX144" s="439">
        <v>0.04</v>
      </c>
      <c r="EY144" s="439">
        <v>0.03</v>
      </c>
      <c r="EZ144" s="439">
        <v>0.03</v>
      </c>
      <c r="FA144" s="292">
        <f>FA143/EV143-1</f>
      </c>
      <c r="FB144" s="412">
        <v>-0.08</v>
      </c>
      <c r="FC144" s="412">
        <v>-0.02</v>
      </c>
      <c r="FD144" s="412">
        <v>0.01</v>
      </c>
      <c r="FE144" s="412">
        <v>0.01</v>
      </c>
      <c r="FF144" s="292">
        <f>FF143/FA143-1</f>
      </c>
      <c r="FG144" s="412">
        <v>0</v>
      </c>
      <c r="FH144" s="412">
        <f>FG144</f>
      </c>
      <c r="FI144" s="412">
        <f>FH144</f>
      </c>
      <c r="FJ144" s="412">
        <f>FI144</f>
      </c>
      <c r="FK144" s="292">
        <f>FK143/FF143-1</f>
      </c>
      <c r="FL144" s="412">
        <v>-0.01</v>
      </c>
      <c r="FM144" s="412">
        <f>FL144</f>
      </c>
      <c r="FN144" s="412">
        <f>FM144</f>
      </c>
      <c r="FO144" s="412">
        <f>FN144</f>
      </c>
      <c r="FP144" s="292">
        <f>FP143/FK143-1</f>
      </c>
      <c r="FQ144" s="412">
        <v>-0.01</v>
      </c>
      <c r="FR144" s="412">
        <f>FQ144</f>
      </c>
      <c r="FS144" s="412">
        <f>FR144</f>
      </c>
      <c r="FT144" s="412">
        <f>FS144</f>
      </c>
      <c r="FU144" s="292">
        <f>FU143/FP143-1</f>
      </c>
      <c r="FV144" s="412">
        <v>-0.01</v>
      </c>
      <c r="FW144" s="412">
        <f>FV144</f>
      </c>
      <c r="FX144" s="412">
        <f>FW144</f>
      </c>
      <c r="FY144" s="412">
        <f>FX144</f>
      </c>
      <c r="FZ144" s="292">
        <f>FZ143/FU143-1</f>
      </c>
      <c r="GA144" s="412">
        <v>-0.01</v>
      </c>
      <c r="GB144" s="412">
        <f>GA144</f>
      </c>
      <c r="GC144" s="412">
        <f>GB144</f>
      </c>
      <c r="GD144" s="412">
        <f>GC144</f>
      </c>
      <c r="GE144" s="292">
        <f>GE143/FZ143-1</f>
      </c>
      <c r="GF144" s="412">
        <v>-0.01</v>
      </c>
      <c r="GG144" s="412">
        <f>GF144</f>
      </c>
      <c r="GH144" s="412">
        <f>GG144</f>
      </c>
      <c r="GI144" s="412">
        <f>GH144</f>
      </c>
      <c r="GJ144" s="384">
        <f>GJ143/GE143-1</f>
      </c>
    </row>
    <row r="145" spans="1:192" ht="12.75" customHeight="1">
      <c r="B145" s="735" t="s">
        <v>197</v>
      </c>
      <c r="C145" s="291"/>
      <c r="D145" s="107"/>
      <c r="E145" s="107"/>
      <c r="F145" s="107"/>
      <c r="G145" s="292"/>
      <c r="H145" s="291"/>
      <c r="I145" s="107"/>
      <c r="J145" s="107"/>
      <c r="K145" s="107"/>
      <c r="L145" s="292"/>
      <c r="M145" s="291"/>
      <c r="N145" s="107"/>
      <c r="O145" s="107"/>
      <c r="P145" s="107"/>
      <c r="Q145" s="292"/>
      <c r="R145" s="291"/>
      <c r="S145" s="107"/>
      <c r="T145" s="107"/>
      <c r="U145" s="107"/>
      <c r="V145" s="292"/>
      <c r="W145" s="291"/>
      <c r="X145" s="107"/>
      <c r="Y145" s="107"/>
      <c r="Z145" s="107"/>
      <c r="AA145" s="292"/>
      <c r="AB145" s="291"/>
      <c r="AC145" s="107"/>
      <c r="AD145" s="107"/>
      <c r="AE145" s="107"/>
      <c r="AF145" s="292"/>
      <c r="AG145" s="291"/>
      <c r="AH145" s="107"/>
      <c r="AI145" s="107"/>
      <c r="AJ145" s="107"/>
      <c r="AK145" s="292"/>
      <c r="AL145" s="291"/>
      <c r="AM145" s="107"/>
      <c r="AN145" s="107"/>
      <c r="AO145" s="107"/>
      <c r="AP145" s="292"/>
      <c r="AQ145" s="291"/>
      <c r="AR145" s="107"/>
      <c r="AS145" s="107"/>
      <c r="AT145" s="107"/>
      <c r="AU145" s="292"/>
      <c r="AV145" s="291"/>
      <c r="AW145" s="107"/>
      <c r="AX145" s="107"/>
      <c r="AY145" s="107"/>
      <c r="AZ145" s="292"/>
      <c r="BA145" s="291"/>
      <c r="BB145" s="107"/>
      <c r="BC145" s="107"/>
      <c r="BD145" s="107"/>
      <c r="BE145" s="292"/>
      <c r="BF145" s="291"/>
      <c r="BG145" s="107"/>
      <c r="BH145" s="107"/>
      <c r="BI145" s="107"/>
      <c r="BJ145" s="292"/>
      <c r="BK145" s="291"/>
      <c r="BL145" s="107"/>
      <c r="BM145" s="107"/>
      <c r="BN145" s="107"/>
      <c r="BO145" s="292"/>
      <c r="BP145" s="291"/>
      <c r="BQ145" s="107"/>
      <c r="BR145" s="107"/>
      <c r="BS145" s="107"/>
      <c r="BT145" s="292"/>
      <c r="BU145" s="412"/>
      <c r="BV145" s="114"/>
      <c r="BW145" s="114"/>
      <c r="BX145" s="114"/>
      <c r="BY145" s="292"/>
      <c r="BZ145" s="412"/>
      <c r="CA145" s="114"/>
      <c r="CB145" s="114"/>
      <c r="CC145" s="114"/>
      <c r="CD145" s="292"/>
      <c r="CE145" s="412"/>
      <c r="CF145" s="114"/>
      <c r="CG145" s="114"/>
      <c r="CH145" s="114"/>
      <c r="CI145" s="292"/>
      <c r="CJ145" s="412"/>
      <c r="CK145" s="114"/>
      <c r="CL145" s="114"/>
      <c r="CM145" s="114"/>
      <c r="CN145" s="292"/>
      <c r="CO145" s="412"/>
      <c r="CP145" s="114"/>
      <c r="CQ145" s="114"/>
      <c r="CR145" s="114"/>
      <c r="CS145" s="292"/>
      <c r="CT145" s="412"/>
      <c r="CU145" s="114"/>
      <c r="CV145" s="114"/>
      <c r="CW145" s="114"/>
      <c r="CX145" s="292"/>
      <c r="CY145" s="412"/>
      <c r="CZ145" s="114"/>
      <c r="DA145" s="114"/>
      <c r="DB145" s="114"/>
      <c r="DC145" s="292"/>
      <c r="DD145" s="412"/>
      <c r="DE145" s="114"/>
      <c r="DF145" s="114"/>
      <c r="DG145" s="114"/>
      <c r="DH145" s="292"/>
      <c r="DI145" s="441"/>
      <c r="DJ145" s="439"/>
      <c r="DK145" s="439"/>
      <c r="DL145" s="439"/>
      <c r="DM145" s="292"/>
      <c r="DN145" s="412"/>
      <c r="DO145" s="114"/>
      <c r="DP145" s="114"/>
      <c r="DQ145" s="114"/>
      <c r="DR145" s="292"/>
      <c r="DS145" s="412"/>
      <c r="DT145" s="114"/>
      <c r="DU145" s="114"/>
      <c r="DV145" s="114"/>
      <c r="DW145" s="292"/>
      <c r="DX145" s="412"/>
      <c r="DY145" s="114"/>
      <c r="DZ145" s="114"/>
      <c r="EA145" s="114"/>
      <c r="EB145" s="292"/>
      <c r="EC145" s="412"/>
      <c r="ED145" s="114"/>
      <c r="EE145" s="114"/>
      <c r="EF145" s="114"/>
      <c r="EG145" s="292"/>
      <c r="EH145" s="412"/>
      <c r="EI145" s="114"/>
      <c r="EJ145" s="114"/>
      <c r="EK145" s="114"/>
      <c r="EL145" s="292"/>
      <c r="EM145" s="412"/>
      <c r="EN145" s="114"/>
      <c r="EO145" s="114"/>
      <c r="EP145" s="114"/>
      <c r="EQ145" s="292"/>
      <c r="ER145" s="412">
        <v>-0.05</v>
      </c>
      <c r="ES145" s="114">
        <v>0.04</v>
      </c>
      <c r="ET145" s="439">
        <v>0.02</v>
      </c>
      <c r="EU145" s="439">
        <v>0</v>
      </c>
      <c r="EV145" s="413">
        <v>0</v>
      </c>
      <c r="EW145" s="441">
        <v>0.02</v>
      </c>
      <c r="EX145" s="439">
        <v>0.04</v>
      </c>
      <c r="EY145" s="439">
        <v>0.03</v>
      </c>
      <c r="EZ145" s="439">
        <v>0.03</v>
      </c>
      <c r="FA145" s="292"/>
      <c r="FB145" s="291"/>
      <c r="FC145" s="107"/>
      <c r="FD145" s="107"/>
      <c r="FE145" s="107"/>
      <c r="FF145" s="292"/>
      <c r="FG145" s="291"/>
      <c r="FH145" s="107"/>
      <c r="FI145" s="107"/>
      <c r="FJ145" s="107"/>
      <c r="FK145" s="292"/>
      <c r="FL145" s="291"/>
      <c r="FM145" s="107"/>
      <c r="FN145" s="107"/>
      <c r="FO145" s="107"/>
      <c r="FP145" s="292"/>
      <c r="FQ145" s="291"/>
      <c r="FR145" s="107"/>
      <c r="FS145" s="107"/>
      <c r="FT145" s="107"/>
      <c r="FU145" s="292"/>
      <c r="FV145" s="291"/>
      <c r="FW145" s="107"/>
      <c r="FX145" s="107"/>
      <c r="FY145" s="107"/>
      <c r="FZ145" s="292"/>
      <c r="GA145" s="291"/>
      <c r="GB145" s="107"/>
      <c r="GC145" s="107"/>
      <c r="GD145" s="107"/>
      <c r="GE145" s="292"/>
      <c r="GF145" s="291"/>
      <c r="GG145" s="107"/>
      <c r="GH145" s="107"/>
      <c r="GI145" s="107"/>
      <c r="GJ145" s="384"/>
    </row>
    <row r="146" spans="1:192" ht="12.75" customHeight="1">
      <c r="B146" s="735" t="s">
        <v>36</v>
      </c>
      <c r="C146" s="291"/>
      <c r="D146" s="107"/>
      <c r="E146" s="107"/>
      <c r="F146" s="107"/>
      <c r="G146" s="292"/>
      <c r="H146" s="291"/>
      <c r="I146" s="107"/>
      <c r="J146" s="107"/>
      <c r="K146" s="107"/>
      <c r="L146" s="292"/>
      <c r="M146" s="291"/>
      <c r="N146" s="107"/>
      <c r="O146" s="107"/>
      <c r="P146" s="107"/>
      <c r="Q146" s="292"/>
      <c r="R146" s="291"/>
      <c r="S146" s="107"/>
      <c r="T146" s="107"/>
      <c r="U146" s="107"/>
      <c r="V146" s="292"/>
      <c r="W146" s="291"/>
      <c r="X146" s="107"/>
      <c r="Y146" s="107"/>
      <c r="Z146" s="107"/>
      <c r="AA146" s="292"/>
      <c r="AB146" s="291"/>
      <c r="AC146" s="107"/>
      <c r="AD146" s="107"/>
      <c r="AE146" s="107"/>
      <c r="AF146" s="292"/>
      <c r="AG146" s="291"/>
      <c r="AH146" s="107"/>
      <c r="AI146" s="107"/>
      <c r="AJ146" s="107"/>
      <c r="AK146" s="292"/>
      <c r="AL146" s="291"/>
      <c r="AM146" s="107"/>
      <c r="AN146" s="107"/>
      <c r="AO146" s="107"/>
      <c r="AP146" s="292"/>
      <c r="AQ146" s="291"/>
      <c r="AR146" s="107"/>
      <c r="AS146" s="107"/>
      <c r="AT146" s="107"/>
      <c r="AU146" s="292"/>
      <c r="AV146" s="291"/>
      <c r="AW146" s="107"/>
      <c r="AX146" s="107"/>
      <c r="AY146" s="107"/>
      <c r="AZ146" s="292"/>
      <c r="BA146" s="291"/>
      <c r="BB146" s="107"/>
      <c r="BC146" s="107"/>
      <c r="BD146" s="107"/>
      <c r="BE146" s="292"/>
      <c r="BF146" s="291"/>
      <c r="BG146" s="107"/>
      <c r="BH146" s="107"/>
      <c r="BI146" s="107"/>
      <c r="BJ146" s="292"/>
      <c r="BK146" s="291"/>
      <c r="BL146" s="107"/>
      <c r="BM146" s="107"/>
      <c r="BN146" s="107"/>
      <c r="BO146" s="292"/>
      <c r="BP146" s="291"/>
      <c r="BQ146" s="107"/>
      <c r="BR146" s="107"/>
      <c r="BS146" s="107"/>
      <c r="BT146" s="292"/>
      <c r="BU146" s="291"/>
      <c r="BV146" s="107"/>
      <c r="BW146" s="107"/>
      <c r="BX146" s="107"/>
      <c r="BY146" s="292"/>
      <c r="BZ146" s="291"/>
      <c r="CA146" s="107"/>
      <c r="CB146" s="107"/>
      <c r="CC146" s="107"/>
      <c r="CD146" s="292"/>
      <c r="CE146" s="291"/>
      <c r="CF146" s="107"/>
      <c r="CG146" s="107"/>
      <c r="CH146" s="107"/>
      <c r="CI146" s="292"/>
      <c r="CJ146" s="291"/>
      <c r="CK146" s="107"/>
      <c r="CL146" s="107"/>
      <c r="CM146" s="107"/>
      <c r="CN146" s="292"/>
      <c r="CO146" s="291"/>
      <c r="CP146" s="107"/>
      <c r="CQ146" s="107"/>
      <c r="CR146" s="107"/>
      <c r="CS146" s="292"/>
      <c r="CT146" s="291"/>
      <c r="CU146" s="107"/>
      <c r="CV146" s="107"/>
      <c r="CW146" s="107"/>
      <c r="CX146" s="292"/>
      <c r="CY146" s="291"/>
      <c r="CZ146" s="107"/>
      <c r="DA146" s="107"/>
      <c r="DB146" s="107"/>
      <c r="DC146" s="292"/>
      <c r="DD146" s="291"/>
      <c r="DE146" s="107">
        <f>DE143/DD143-1</f>
      </c>
      <c r="DF146" s="107">
        <f>DF143/DE143-1</f>
      </c>
      <c r="DG146" s="107">
        <f>DG143/DF143-1</f>
      </c>
      <c r="DH146" s="292"/>
      <c r="DI146" s="291">
        <f>DI143/DG143-1</f>
      </c>
      <c r="DJ146" s="107">
        <f>DJ143/DI143-1</f>
      </c>
      <c r="DK146" s="107">
        <f>DK143/DJ143-1</f>
      </c>
      <c r="DL146" s="107">
        <f>DL143/DK143-1</f>
      </c>
      <c r="DM146" s="292"/>
      <c r="DN146" s="291">
        <f>DN143/DL143-1</f>
      </c>
      <c r="DO146" s="107">
        <f>DO143/DN143-1</f>
      </c>
      <c r="DP146" s="107">
        <f>DP143/DO143-1</f>
      </c>
      <c r="DQ146" s="107">
        <f>DQ143/DP143-1</f>
      </c>
      <c r="DR146" s="292"/>
      <c r="DS146" s="291">
        <f>DS143/DQ143-1</f>
      </c>
      <c r="DT146" s="107">
        <f>DT143/DS143-1</f>
      </c>
      <c r="DU146" s="107">
        <f>DU143/DT143-1</f>
      </c>
      <c r="DV146" s="107">
        <f>DV143/DU143-1</f>
      </c>
      <c r="DW146" s="292"/>
      <c r="DX146" s="291">
        <f>DX143/DV143-1</f>
      </c>
      <c r="DY146" s="107">
        <f>DY143/DX143-1</f>
      </c>
      <c r="DZ146" s="107">
        <f>DZ143/DY143-1</f>
      </c>
      <c r="EA146" s="107">
        <f>EA143/DZ143-1</f>
      </c>
      <c r="EB146" s="292"/>
      <c r="EC146" s="291">
        <f>EC143/EA143-1</f>
      </c>
      <c r="ED146" s="107">
        <f>ED143/EC143-1</f>
      </c>
      <c r="EE146" s="107">
        <f>EE143/ED143-1</f>
      </c>
      <c r="EF146" s="107">
        <f>EF143/EE143-1</f>
      </c>
      <c r="EG146" s="292"/>
      <c r="EH146" s="291">
        <f>EH143/EF143-1</f>
      </c>
      <c r="EI146" s="107">
        <f>EI143/EH143-1</f>
      </c>
      <c r="EJ146" s="107">
        <f>EJ143/EI143-1</f>
      </c>
      <c r="EK146" s="107">
        <f>EK143/EJ143-1</f>
      </c>
      <c r="EL146" s="292"/>
      <c r="EM146" s="291">
        <f>EM143/EK143-1</f>
      </c>
      <c r="EN146" s="107">
        <f>EN143/EM143-1</f>
      </c>
      <c r="EO146" s="107">
        <f>EO143/EN143-1</f>
      </c>
      <c r="EP146" s="107">
        <f>EP143/EO143-1</f>
      </c>
      <c r="EQ146" s="292"/>
      <c r="ER146" s="291">
        <f>ER143/EP143-1</f>
      </c>
      <c r="ES146" s="107">
        <f>ES143/ER143-1</f>
      </c>
      <c r="ET146" s="107">
        <f>ET143/ES143-1</f>
      </c>
      <c r="EU146" s="468">
        <f>EU143/ET143-1</f>
      </c>
      <c r="EV146" s="292"/>
      <c r="EW146" s="291">
        <f>EW143/EU143-1</f>
      </c>
      <c r="EX146" s="107">
        <f>EX143/EW143-1</f>
      </c>
      <c r="EY146" s="107">
        <f>EY143/EX143-1</f>
      </c>
      <c r="EZ146" s="107">
        <f>EZ143/EY143-1</f>
      </c>
      <c r="FA146" s="292"/>
      <c r="FB146" s="291">
        <f>FB143/EZ143-1</f>
      </c>
      <c r="FC146" s="107">
        <f>FC143/FB143-1</f>
      </c>
      <c r="FD146" s="107">
        <f>FD143/FC143-1</f>
      </c>
      <c r="FE146" s="107">
        <f>FE143/FD143-1</f>
      </c>
      <c r="FF146" s="292"/>
      <c r="FG146" s="291">
        <f>FG143/FE143-1</f>
      </c>
      <c r="FH146" s="107">
        <f>FH143/FG143-1</f>
      </c>
      <c r="FI146" s="107">
        <f>FI143/FH143-1</f>
      </c>
      <c r="FJ146" s="107">
        <f>FJ143/FI143-1</f>
      </c>
      <c r="FK146" s="292"/>
      <c r="FL146" s="291">
        <f>FL143/FJ143-1</f>
      </c>
      <c r="FM146" s="107">
        <f>FM143/FL143-1</f>
      </c>
      <c r="FN146" s="107">
        <f>FN143/FM143-1</f>
      </c>
      <c r="FO146" s="107">
        <f>FO143/FN143-1</f>
      </c>
      <c r="FP146" s="292"/>
      <c r="FQ146" s="291">
        <f>FQ143/FO143-1</f>
      </c>
      <c r="FR146" s="107">
        <f>FR143/FQ143-1</f>
      </c>
      <c r="FS146" s="107">
        <f>FS143/FR143-1</f>
      </c>
      <c r="FT146" s="107">
        <f>FT143/FS143-1</f>
      </c>
      <c r="FU146" s="292"/>
      <c r="FV146" s="291">
        <f>FV143/FT143-1</f>
      </c>
      <c r="FW146" s="107">
        <f>FW143/FV143-1</f>
      </c>
      <c r="FX146" s="107">
        <f>FX143/FW143-1</f>
      </c>
      <c r="FY146" s="107">
        <f>FY143/FX143-1</f>
      </c>
      <c r="FZ146" s="292"/>
      <c r="GA146" s="291">
        <f>GA143/FY143-1</f>
      </c>
      <c r="GB146" s="107">
        <f>GB143/GA143-1</f>
      </c>
      <c r="GC146" s="107">
        <f>GC143/GB143-1</f>
      </c>
      <c r="GD146" s="107">
        <f>GD143/GC143-1</f>
      </c>
      <c r="GE146" s="292"/>
      <c r="GF146" s="291">
        <f>GF143/GD143-1</f>
      </c>
      <c r="GG146" s="107">
        <f>GG143/GF143-1</f>
      </c>
      <c r="GH146" s="107">
        <f>GH143/GG143-1</f>
      </c>
      <c r="GI146" s="107">
        <f>GI143/GH143-1</f>
      </c>
      <c r="GJ146" s="384"/>
    </row>
    <row r="147" spans="1:192" ht="12.75" customHeight="1">
      <c r="B147" s="735" t="s">
        <v>243</v>
      </c>
      <c r="C147" s="291"/>
      <c r="D147" s="107"/>
      <c r="E147" s="107"/>
      <c r="F147" s="107"/>
      <c r="G147" s="292"/>
      <c r="H147" s="291"/>
      <c r="I147" s="107"/>
      <c r="J147" s="107"/>
      <c r="K147" s="107"/>
      <c r="L147" s="292"/>
      <c r="M147" s="291"/>
      <c r="N147" s="107"/>
      <c r="O147" s="107"/>
      <c r="P147" s="107"/>
      <c r="Q147" s="292"/>
      <c r="R147" s="291"/>
      <c r="S147" s="107"/>
      <c r="T147" s="107"/>
      <c r="U147" s="107"/>
      <c r="V147" s="292"/>
      <c r="W147" s="291"/>
      <c r="X147" s="107"/>
      <c r="Y147" s="107"/>
      <c r="Z147" s="107"/>
      <c r="AA147" s="292"/>
      <c r="AB147" s="291"/>
      <c r="AC147" s="107"/>
      <c r="AD147" s="107"/>
      <c r="AE147" s="107"/>
      <c r="AF147" s="292"/>
      <c r="AG147" s="291"/>
      <c r="AH147" s="107"/>
      <c r="AI147" s="107"/>
      <c r="AJ147" s="107"/>
      <c r="AK147" s="292"/>
      <c r="AL147" s="291"/>
      <c r="AM147" s="107"/>
      <c r="AN147" s="107"/>
      <c r="AO147" s="107"/>
      <c r="AP147" s="292"/>
      <c r="AQ147" s="291"/>
      <c r="AR147" s="107"/>
      <c r="AS147" s="107"/>
      <c r="AT147" s="107"/>
      <c r="AU147" s="292"/>
      <c r="AV147" s="291"/>
      <c r="AW147" s="107"/>
      <c r="AX147" s="107"/>
      <c r="AY147" s="107"/>
      <c r="AZ147" s="292"/>
      <c r="BA147" s="291"/>
      <c r="BB147" s="107"/>
      <c r="BC147" s="107"/>
      <c r="BD147" s="107"/>
      <c r="BE147" s="292"/>
      <c r="BF147" s="291"/>
      <c r="BG147" s="107"/>
      <c r="BH147" s="107"/>
      <c r="BI147" s="107"/>
      <c r="BJ147" s="292"/>
      <c r="BK147" s="291"/>
      <c r="BL147" s="107"/>
      <c r="BM147" s="107"/>
      <c r="BN147" s="107"/>
      <c r="BO147" s="292"/>
      <c r="BP147" s="291"/>
      <c r="BQ147" s="107"/>
      <c r="BR147" s="107"/>
      <c r="BS147" s="107"/>
      <c r="BT147" s="292"/>
      <c r="BU147" s="291"/>
      <c r="BV147" s="107"/>
      <c r="BW147" s="107"/>
      <c r="BX147" s="107"/>
      <c r="BY147" s="292"/>
      <c r="BZ147" s="291"/>
      <c r="CA147" s="107"/>
      <c r="CB147" s="107"/>
      <c r="CC147" s="107"/>
      <c r="CD147" s="292"/>
      <c r="CE147" s="291"/>
      <c r="CF147" s="107"/>
      <c r="CG147" s="107"/>
      <c r="CH147" s="107"/>
      <c r="CI147" s="292"/>
      <c r="CJ147" s="291"/>
      <c r="CK147" s="107"/>
      <c r="CL147" s="107"/>
      <c r="CM147" s="107"/>
      <c r="CN147" s="292"/>
      <c r="CO147" s="291"/>
      <c r="CP147" s="107"/>
      <c r="CQ147" s="107"/>
      <c r="CR147" s="107"/>
      <c r="CS147" s="292"/>
      <c r="CT147" s="448"/>
      <c r="CU147" s="107"/>
      <c r="CV147" s="107"/>
      <c r="CW147" s="107"/>
      <c r="CX147" s="292"/>
      <c r="CY147" s="448"/>
      <c r="CZ147" s="107"/>
      <c r="DA147" s="107"/>
      <c r="DB147" s="107"/>
      <c r="DC147" s="292"/>
      <c r="DD147" s="458"/>
      <c r="DE147" s="458"/>
      <c r="DF147" s="458"/>
      <c r="DG147" s="458"/>
      <c r="DH147" s="292"/>
      <c r="DI147" s="458">
        <f t="shared" ref="DI147:EN147" si="114">DI143-DD143</f>
      </c>
      <c r="DJ147" s="458">
        <f t="shared" si="114"/>
      </c>
      <c r="DK147" s="458">
        <f t="shared" si="114"/>
      </c>
      <c r="DL147" s="458">
        <f t="shared" si="114"/>
      </c>
      <c r="DM147" s="459">
        <f t="shared" si="114"/>
      </c>
      <c r="DN147" s="458">
        <f t="shared" si="114"/>
      </c>
      <c r="DO147" s="458">
        <f t="shared" si="114"/>
      </c>
      <c r="DP147" s="458">
        <f t="shared" si="114"/>
      </c>
      <c r="DQ147" s="458">
        <f t="shared" si="114"/>
      </c>
      <c r="DR147" s="459">
        <f t="shared" si="114"/>
      </c>
      <c r="DS147" s="458">
        <f t="shared" si="114"/>
      </c>
      <c r="DT147" s="458">
        <f t="shared" si="114"/>
      </c>
      <c r="DU147" s="458">
        <f t="shared" si="114"/>
      </c>
      <c r="DV147" s="458">
        <f t="shared" si="114"/>
      </c>
      <c r="DW147" s="459">
        <f t="shared" si="114"/>
      </c>
      <c r="DX147" s="458">
        <f t="shared" si="114"/>
      </c>
      <c r="DY147" s="458">
        <f t="shared" si="114"/>
      </c>
      <c r="DZ147" s="458">
        <f t="shared" si="114"/>
      </c>
      <c r="EA147" s="458">
        <f t="shared" si="114"/>
      </c>
      <c r="EB147" s="459">
        <f t="shared" si="114"/>
      </c>
      <c r="EC147" s="458">
        <f t="shared" si="114"/>
      </c>
      <c r="ED147" s="458">
        <f t="shared" si="114"/>
      </c>
      <c r="EE147" s="458">
        <f t="shared" si="114"/>
      </c>
      <c r="EF147" s="458">
        <f t="shared" si="114"/>
      </c>
      <c r="EG147" s="459">
        <f t="shared" si="114"/>
      </c>
      <c r="EH147" s="458">
        <f t="shared" si="114"/>
      </c>
      <c r="EI147" s="458">
        <f t="shared" si="114"/>
      </c>
      <c r="EJ147" s="458">
        <f t="shared" si="114"/>
      </c>
      <c r="EK147" s="458">
        <f t="shared" si="114"/>
      </c>
      <c r="EL147" s="459">
        <f t="shared" si="114"/>
      </c>
      <c r="EM147" s="458">
        <f t="shared" si="114"/>
      </c>
      <c r="EN147" s="458">
        <f t="shared" si="114"/>
      </c>
      <c r="EO147" s="458">
        <f t="shared" ref="EO147:FT147" si="115">EO143-EJ143</f>
      </c>
      <c r="EP147" s="458">
        <f t="shared" si="115"/>
      </c>
      <c r="EQ147" s="459">
        <f t="shared" si="115"/>
      </c>
      <c r="ER147" s="458">
        <f t="shared" si="115"/>
      </c>
      <c r="ES147" s="458">
        <f t="shared" si="115"/>
      </c>
      <c r="ET147" s="458">
        <f t="shared" si="115"/>
      </c>
      <c r="EU147" s="458">
        <f t="shared" si="115"/>
      </c>
      <c r="EV147" s="459">
        <f t="shared" si="115"/>
      </c>
      <c r="EW147" s="458">
        <f t="shared" si="115"/>
      </c>
      <c r="EX147" s="458">
        <f t="shared" si="115"/>
      </c>
      <c r="EY147" s="458">
        <f t="shared" si="115"/>
      </c>
      <c r="EZ147" s="458">
        <f t="shared" si="115"/>
      </c>
      <c r="FA147" s="809">
        <f t="shared" si="115"/>
      </c>
      <c r="FB147" s="458">
        <f t="shared" si="115"/>
      </c>
      <c r="FC147" s="458">
        <f t="shared" si="115"/>
      </c>
      <c r="FD147" s="458">
        <f t="shared" si="115"/>
      </c>
      <c r="FE147" s="458">
        <f t="shared" si="115"/>
      </c>
      <c r="FF147" s="809">
        <f t="shared" si="115"/>
      </c>
      <c r="FG147" s="458">
        <f t="shared" si="115"/>
      </c>
      <c r="FH147" s="458">
        <f t="shared" si="115"/>
      </c>
      <c r="FI147" s="458">
        <f t="shared" si="115"/>
      </c>
      <c r="FJ147" s="458">
        <f t="shared" si="115"/>
      </c>
      <c r="FK147" s="809">
        <f t="shared" si="115"/>
      </c>
      <c r="FL147" s="458">
        <f t="shared" si="115"/>
      </c>
      <c r="FM147" s="458">
        <f t="shared" si="115"/>
      </c>
      <c r="FN147" s="458">
        <f t="shared" si="115"/>
      </c>
      <c r="FO147" s="458">
        <f t="shared" si="115"/>
      </c>
      <c r="FP147" s="809">
        <f t="shared" si="115"/>
      </c>
      <c r="FQ147" s="458">
        <f t="shared" si="115"/>
      </c>
      <c r="FR147" s="458">
        <f t="shared" si="115"/>
      </c>
      <c r="FS147" s="458">
        <f t="shared" si="115"/>
      </c>
      <c r="FT147" s="458">
        <f t="shared" si="115"/>
      </c>
      <c r="FU147" s="809">
        <f t="shared" ref="FU147:GE147" si="116">FU143-FP143</f>
      </c>
      <c r="FV147" s="458">
        <f t="shared" si="116"/>
      </c>
      <c r="FW147" s="458">
        <f t="shared" si="116"/>
      </c>
      <c r="FX147" s="458">
        <f t="shared" si="116"/>
      </c>
      <c r="FY147" s="458">
        <f t="shared" si="116"/>
      </c>
      <c r="FZ147" s="809">
        <f t="shared" si="116"/>
      </c>
      <c r="GA147" s="458">
        <f t="shared" si="116"/>
      </c>
      <c r="GB147" s="458">
        <f t="shared" si="116"/>
      </c>
      <c r="GC147" s="458">
        <f t="shared" si="116"/>
      </c>
      <c r="GD147" s="458">
        <f t="shared" si="116"/>
      </c>
      <c r="GE147" s="809">
        <f t="shared" si="116"/>
      </c>
      <c r="GF147" s="458">
        <f t="shared" ref="GF147" si="117">GF143-GA143</f>
      </c>
      <c r="GG147" s="458">
        <f t="shared" ref="GG147" si="118">GG143-GB143</f>
      </c>
      <c r="GH147" s="458">
        <f t="shared" ref="GH147" si="119">GH143-GC143</f>
      </c>
      <c r="GI147" s="458">
        <f t="shared" ref="GI147" si="120">GI143-GD143</f>
      </c>
      <c r="GJ147" s="811">
        <f t="shared" ref="GJ147" si="121">GJ143-GE143</f>
      </c>
    </row>
    <row r="148" spans="1:192" ht="12.75" customHeight="1">
      <c r="B148" s="735" t="s">
        <v>244</v>
      </c>
      <c r="C148" s="291"/>
      <c r="D148" s="107"/>
      <c r="E148" s="107"/>
      <c r="F148" s="107"/>
      <c r="G148" s="292"/>
      <c r="H148" s="291"/>
      <c r="I148" s="107"/>
      <c r="J148" s="107"/>
      <c r="K148" s="107"/>
      <c r="L148" s="292"/>
      <c r="M148" s="291"/>
      <c r="N148" s="107"/>
      <c r="O148" s="107"/>
      <c r="P148" s="107"/>
      <c r="Q148" s="292"/>
      <c r="R148" s="291"/>
      <c r="S148" s="107"/>
      <c r="T148" s="107"/>
      <c r="U148" s="107"/>
      <c r="V148" s="292"/>
      <c r="W148" s="291"/>
      <c r="X148" s="107"/>
      <c r="Y148" s="107"/>
      <c r="Z148" s="107"/>
      <c r="AA148" s="292"/>
      <c r="AB148" s="291"/>
      <c r="AC148" s="107"/>
      <c r="AD148" s="107"/>
      <c r="AE148" s="107"/>
      <c r="AF148" s="292"/>
      <c r="AG148" s="291"/>
      <c r="AH148" s="107"/>
      <c r="AI148" s="107"/>
      <c r="AJ148" s="107"/>
      <c r="AK148" s="292"/>
      <c r="AL148" s="291"/>
      <c r="AM148" s="107"/>
      <c r="AN148" s="107"/>
      <c r="AO148" s="107"/>
      <c r="AP148" s="292"/>
      <c r="AQ148" s="291"/>
      <c r="AR148" s="107"/>
      <c r="AS148" s="107"/>
      <c r="AT148" s="107"/>
      <c r="AU148" s="292"/>
      <c r="AV148" s="291"/>
      <c r="AW148" s="107"/>
      <c r="AX148" s="107"/>
      <c r="AY148" s="107"/>
      <c r="AZ148" s="292"/>
      <c r="BA148" s="291"/>
      <c r="BB148" s="107"/>
      <c r="BC148" s="107"/>
      <c r="BD148" s="107"/>
      <c r="BE148" s="292"/>
      <c r="BF148" s="291"/>
      <c r="BG148" s="107"/>
      <c r="BH148" s="107"/>
      <c r="BI148" s="107"/>
      <c r="BJ148" s="292"/>
      <c r="BK148" s="291"/>
      <c r="BL148" s="107"/>
      <c r="BM148" s="107"/>
      <c r="BN148" s="107"/>
      <c r="BO148" s="292"/>
      <c r="BP148" s="291"/>
      <c r="BQ148" s="107"/>
      <c r="BR148" s="107"/>
      <c r="BS148" s="107"/>
      <c r="BT148" s="292"/>
      <c r="BU148" s="291"/>
      <c r="BV148" s="107"/>
      <c r="BW148" s="107"/>
      <c r="BX148" s="107"/>
      <c r="BY148" s="292"/>
      <c r="BZ148" s="291"/>
      <c r="CA148" s="107"/>
      <c r="CB148" s="107"/>
      <c r="CC148" s="107"/>
      <c r="CD148" s="292"/>
      <c r="CE148" s="291"/>
      <c r="CF148" s="107"/>
      <c r="CG148" s="107"/>
      <c r="CH148" s="107"/>
      <c r="CI148" s="292"/>
      <c r="CJ148" s="291"/>
      <c r="CK148" s="107"/>
      <c r="CL148" s="107"/>
      <c r="CM148" s="107"/>
      <c r="CN148" s="292"/>
      <c r="CO148" s="291"/>
      <c r="CP148" s="107"/>
      <c r="CQ148" s="107"/>
      <c r="CR148" s="107"/>
      <c r="CS148" s="292"/>
      <c r="CT148" s="291"/>
      <c r="CU148" s="107"/>
      <c r="CV148" s="107"/>
      <c r="CW148" s="107"/>
      <c r="CX148" s="292"/>
      <c r="CY148" s="291"/>
      <c r="CZ148" s="107"/>
      <c r="DA148" s="107"/>
      <c r="DB148" s="107"/>
      <c r="DC148" s="292"/>
      <c r="DD148" s="470"/>
      <c r="DE148" s="463">
        <f>DE143-DD143</f>
      </c>
      <c r="DF148" s="463">
        <f>DF143-DE143</f>
      </c>
      <c r="DG148" s="463">
        <f>DG143-DF143</f>
      </c>
      <c r="DH148" s="292"/>
      <c r="DI148" s="470">
        <f>DI143-DG143</f>
      </c>
      <c r="DJ148" s="463">
        <f>DJ143-DI143</f>
      </c>
      <c r="DK148" s="463">
        <f>DK143-DJ143</f>
      </c>
      <c r="DL148" s="463">
        <f>DL143-DK143</f>
      </c>
      <c r="DM148" s="293"/>
      <c r="DN148" s="470">
        <f>DN143-DL143</f>
      </c>
      <c r="DO148" s="463">
        <f>DO143-DN143</f>
      </c>
      <c r="DP148" s="463">
        <f>DP143-DO143</f>
      </c>
      <c r="DQ148" s="463">
        <f>DQ143-DP143</f>
      </c>
      <c r="DR148" s="293"/>
      <c r="DS148" s="470">
        <f>DS143-DQ143</f>
      </c>
      <c r="DT148" s="463">
        <f>DT143-DS143</f>
      </c>
      <c r="DU148" s="463">
        <f>DU143-DT143</f>
      </c>
      <c r="DV148" s="463">
        <f>DV143-DU143</f>
      </c>
      <c r="DW148" s="293"/>
      <c r="DX148" s="470">
        <f>DX143-DV143</f>
      </c>
      <c r="DY148" s="463">
        <f>DY143-DX143</f>
      </c>
      <c r="DZ148" s="463">
        <f>DZ143-DY143</f>
      </c>
      <c r="EA148" s="463">
        <f>EA143-DZ143</f>
      </c>
      <c r="EB148" s="293"/>
      <c r="EC148" s="470">
        <f>EC143-EA143</f>
      </c>
      <c r="ED148" s="463">
        <f>ED143-EC143</f>
      </c>
      <c r="EE148" s="463">
        <f>EE143-ED143</f>
      </c>
      <c r="EF148" s="463">
        <f>EF143-EE143</f>
      </c>
      <c r="EG148" s="293"/>
      <c r="EH148" s="470">
        <f>EH143-EF143</f>
      </c>
      <c r="EI148" s="463">
        <f>EI143-EH143</f>
      </c>
      <c r="EJ148" s="463">
        <f>EJ143-EI143</f>
      </c>
      <c r="EK148" s="463">
        <f>EK143-EJ143</f>
      </c>
      <c r="EL148" s="293"/>
      <c r="EM148" s="470">
        <f>EM143-EK143</f>
      </c>
      <c r="EN148" s="463">
        <f>EN143-EM143</f>
      </c>
      <c r="EO148" s="463">
        <f>EO143-EN143</f>
      </c>
      <c r="EP148" s="463">
        <f>EP143-EO143</f>
      </c>
      <c r="EQ148" s="293"/>
      <c r="ER148" s="470">
        <f>ER143-EP143</f>
      </c>
      <c r="ES148" s="463">
        <f>ES143-ER143</f>
      </c>
      <c r="ET148" s="463">
        <f>ET143-ES143</f>
      </c>
      <c r="EU148" s="463">
        <f>EU143-ET143</f>
      </c>
      <c r="EV148" s="293"/>
      <c r="EW148" s="470">
        <f>EW143-EU143</f>
      </c>
      <c r="EX148" s="463">
        <f>EX143-EW143</f>
      </c>
      <c r="EY148" s="463">
        <f>EY143-EX143</f>
      </c>
      <c r="EZ148" s="463">
        <f>EZ143-EY143</f>
      </c>
      <c r="FA148" s="292"/>
      <c r="FB148" s="470">
        <f>FB143-EZ143</f>
      </c>
      <c r="FC148" s="463">
        <f>FC143-FB143</f>
      </c>
      <c r="FD148" s="463">
        <f>FD143-FC143</f>
      </c>
      <c r="FE148" s="463">
        <f>FE143-FD143</f>
      </c>
      <c r="FF148" s="292"/>
      <c r="FG148" s="470">
        <f>FG143-FE143</f>
      </c>
      <c r="FH148" s="463">
        <f>FH143-FG143</f>
      </c>
      <c r="FI148" s="463">
        <f>FI143-FH143</f>
      </c>
      <c r="FJ148" s="463">
        <f>FJ143-FI143</f>
      </c>
      <c r="FK148" s="292"/>
      <c r="FL148" s="470">
        <f>FL143-FJ143</f>
      </c>
      <c r="FM148" s="463">
        <f>FM143-FL143</f>
      </c>
      <c r="FN148" s="463">
        <f>FN143-FM143</f>
      </c>
      <c r="FO148" s="463">
        <f>FO143-FN143</f>
      </c>
      <c r="FP148" s="292"/>
      <c r="FQ148" s="470">
        <f>FQ143-FO143</f>
      </c>
      <c r="FR148" s="463">
        <f>FR143-FQ143</f>
      </c>
      <c r="FS148" s="463">
        <f>FS143-FR143</f>
      </c>
      <c r="FT148" s="463">
        <f>FT143-FS143</f>
      </c>
      <c r="FU148" s="292"/>
      <c r="FV148" s="470">
        <f>FV143-FT143</f>
      </c>
      <c r="FW148" s="463">
        <f>FW143-FV143</f>
      </c>
      <c r="FX148" s="463">
        <f>FX143-FW143</f>
      </c>
      <c r="FY148" s="463">
        <f>FY143-FX143</f>
      </c>
      <c r="FZ148" s="292"/>
      <c r="GA148" s="470">
        <f>GA143-FY143</f>
      </c>
      <c r="GB148" s="463">
        <f>GB143-GA143</f>
      </c>
      <c r="GC148" s="463">
        <f>GC143-GB143</f>
      </c>
      <c r="GD148" s="463">
        <f>GD143-GC143</f>
      </c>
      <c r="GE148" s="292"/>
      <c r="GF148" s="470">
        <f>GF143-GD143</f>
      </c>
      <c r="GG148" s="463">
        <f>GG143-GF143</f>
      </c>
      <c r="GH148" s="463">
        <f>GH143-GG143</f>
      </c>
      <c r="GI148" s="463">
        <f>GI143-GH143</f>
      </c>
      <c r="GJ148" s="384"/>
    </row>
    <row r="149" spans="1:192" s="476" customFormat="1" ht="12.75" customHeight="1">
      <c r="A149" s="850"/>
      <c r="B149" s="735" t="s">
        <v>212</v>
      </c>
      <c r="C149" s="291"/>
      <c r="D149" s="107"/>
      <c r="E149" s="107"/>
      <c r="F149" s="107"/>
      <c r="G149" s="292"/>
      <c r="H149" s="291"/>
      <c r="I149" s="107"/>
      <c r="J149" s="107"/>
      <c r="K149" s="107"/>
      <c r="L149" s="292"/>
      <c r="M149" s="291"/>
      <c r="N149" s="107"/>
      <c r="O149" s="107"/>
      <c r="P149" s="107"/>
      <c r="Q149" s="292"/>
      <c r="R149" s="291"/>
      <c r="S149" s="107"/>
      <c r="T149" s="107"/>
      <c r="U149" s="107"/>
      <c r="V149" s="292"/>
      <c r="W149" s="291"/>
      <c r="X149" s="107"/>
      <c r="Y149" s="107"/>
      <c r="Z149" s="107"/>
      <c r="AA149" s="292"/>
      <c r="AB149" s="291"/>
      <c r="AC149" s="107"/>
      <c r="AD149" s="107"/>
      <c r="AE149" s="107"/>
      <c r="AF149" s="292"/>
      <c r="AG149" s="291"/>
      <c r="AH149" s="107"/>
      <c r="AI149" s="107"/>
      <c r="AJ149" s="107"/>
      <c r="AK149" s="292"/>
      <c r="AL149" s="291"/>
      <c r="AM149" s="107"/>
      <c r="AN149" s="107"/>
      <c r="AO149" s="107"/>
      <c r="AP149" s="292"/>
      <c r="AQ149" s="291"/>
      <c r="AR149" s="107"/>
      <c r="AS149" s="107"/>
      <c r="AT149" s="107"/>
      <c r="AU149" s="292"/>
      <c r="AV149" s="291"/>
      <c r="AW149" s="107"/>
      <c r="AX149" s="107"/>
      <c r="AY149" s="107"/>
      <c r="AZ149" s="292"/>
      <c r="BA149" s="291"/>
      <c r="BB149" s="107"/>
      <c r="BC149" s="107"/>
      <c r="BD149" s="107"/>
      <c r="BE149" s="292"/>
      <c r="BF149" s="291"/>
      <c r="BG149" s="107"/>
      <c r="BH149" s="107"/>
      <c r="BI149" s="107"/>
      <c r="BJ149" s="292"/>
      <c r="BK149" s="291"/>
      <c r="BL149" s="107"/>
      <c r="BM149" s="107"/>
      <c r="BN149" s="107"/>
      <c r="BO149" s="292"/>
      <c r="BP149" s="291"/>
      <c r="BQ149" s="107"/>
      <c r="BR149" s="107"/>
      <c r="BS149" s="107"/>
      <c r="BT149" s="292"/>
      <c r="BU149" s="291"/>
      <c r="BV149" s="107"/>
      <c r="BW149" s="107"/>
      <c r="BX149" s="107"/>
      <c r="BY149" s="292"/>
      <c r="BZ149" s="291"/>
      <c r="CA149" s="107"/>
      <c r="CB149" s="107"/>
      <c r="CC149" s="107"/>
      <c r="CD149" s="292"/>
      <c r="CE149" s="291"/>
      <c r="CF149" s="107"/>
      <c r="CG149" s="107"/>
      <c r="CH149" s="107"/>
      <c r="CI149" s="292"/>
      <c r="CJ149" s="291"/>
      <c r="CK149" s="107"/>
      <c r="CL149" s="107"/>
      <c r="CM149" s="107"/>
      <c r="CN149" s="292"/>
      <c r="CO149" s="291"/>
      <c r="CP149" s="107"/>
      <c r="CQ149" s="107"/>
      <c r="CR149" s="107"/>
      <c r="CS149" s="292"/>
      <c r="CT149" s="291"/>
      <c r="CU149" s="107"/>
      <c r="CV149" s="107"/>
      <c r="CW149" s="107"/>
      <c r="CX149" s="292"/>
      <c r="CY149" s="291"/>
      <c r="CZ149" s="107"/>
      <c r="DA149" s="107"/>
      <c r="DB149" s="107"/>
      <c r="DC149" s="292"/>
      <c r="DD149" s="291"/>
      <c r="DE149" s="107"/>
      <c r="DF149" s="107"/>
      <c r="DG149" s="107"/>
      <c r="DH149" s="292"/>
      <c r="DI149" s="291"/>
      <c r="DJ149" s="291"/>
      <c r="DK149" s="291"/>
      <c r="DL149" s="291"/>
      <c r="DM149" s="292"/>
      <c r="DN149" s="291"/>
      <c r="DO149" s="291"/>
      <c r="DP149" s="291"/>
      <c r="DQ149" s="291"/>
      <c r="DR149" s="292"/>
      <c r="DS149" s="291"/>
      <c r="DT149" s="291"/>
      <c r="DU149" s="291"/>
      <c r="DV149" s="291"/>
      <c r="DW149" s="292"/>
      <c r="DX149" s="291"/>
      <c r="DY149" s="291"/>
      <c r="DZ149" s="291"/>
      <c r="EA149" s="349"/>
      <c r="EB149" s="292"/>
      <c r="EC149" s="291"/>
      <c r="ED149" s="291"/>
      <c r="EE149" s="291"/>
      <c r="EF149" s="349"/>
      <c r="EG149" s="292"/>
      <c r="EH149" s="291"/>
      <c r="EI149" s="291"/>
      <c r="EJ149" s="291"/>
      <c r="EK149" s="291"/>
      <c r="EL149" s="292"/>
      <c r="EM149" s="291">
        <f t="shared" ref="EM149:ER149" si="122">EM143/EM$126</f>
      </c>
      <c r="EN149" s="291">
        <f t="shared" si="122"/>
      </c>
      <c r="EO149" s="291">
        <f t="shared" si="122"/>
      </c>
      <c r="EP149" s="291">
        <f t="shared" si="122"/>
      </c>
      <c r="EQ149" s="292">
        <f t="shared" si="122"/>
      </c>
      <c r="ER149" s="291">
        <f t="shared" si="122"/>
      </c>
      <c r="ES149" s="291">
        <f>ES143/ES$126</f>
      </c>
      <c r="ET149" s="291">
        <f>ET143/ET$126</f>
      </c>
      <c r="EU149" s="291">
        <f>EU143/EU$126</f>
      </c>
      <c r="EV149" s="292">
        <f>EV143/EV$126</f>
      </c>
      <c r="EW149" s="291">
        <f>EW143/EW$126</f>
      </c>
      <c r="EX149" s="291">
        <f t="shared" ref="EX149" si="123">EX143/EX$126</f>
      </c>
      <c r="EY149" s="291">
        <f>EY143/EY$126</f>
      </c>
      <c r="EZ149" s="291">
        <f>EZ143/EZ$126</f>
      </c>
      <c r="FA149" s="292">
        <f t="shared" ref="FA149:FX149" si="124">FA143/FA$126</f>
      </c>
      <c r="FB149" s="291">
        <f t="shared" si="124"/>
      </c>
      <c r="FC149" s="291">
        <f t="shared" si="124"/>
      </c>
      <c r="FD149" s="291">
        <f t="shared" si="124"/>
      </c>
      <c r="FE149" s="291">
        <f t="shared" si="124"/>
      </c>
      <c r="FF149" s="292">
        <f t="shared" si="124"/>
      </c>
      <c r="FG149" s="291">
        <f t="shared" si="124"/>
      </c>
      <c r="FH149" s="291">
        <f t="shared" si="124"/>
      </c>
      <c r="FI149" s="291">
        <f t="shared" si="124"/>
      </c>
      <c r="FJ149" s="291">
        <f t="shared" si="124"/>
      </c>
      <c r="FK149" s="292">
        <f t="shared" si="124"/>
      </c>
      <c r="FL149" s="291">
        <f t="shared" si="124"/>
      </c>
      <c r="FM149" s="291">
        <f t="shared" si="124"/>
      </c>
      <c r="FN149" s="291">
        <f t="shared" si="124"/>
      </c>
      <c r="FO149" s="291">
        <f t="shared" si="124"/>
      </c>
      <c r="FP149" s="292">
        <f t="shared" si="124"/>
      </c>
      <c r="FQ149" s="291">
        <f t="shared" si="124"/>
      </c>
      <c r="FR149" s="291">
        <f t="shared" si="124"/>
      </c>
      <c r="FS149" s="291">
        <f t="shared" si="124"/>
      </c>
      <c r="FT149" s="291">
        <f t="shared" si="124"/>
      </c>
      <c r="FU149" s="292">
        <f t="shared" si="124"/>
      </c>
      <c r="FV149" s="291">
        <f t="shared" si="124"/>
      </c>
      <c r="FW149" s="291">
        <f t="shared" si="124"/>
      </c>
      <c r="FX149" s="291">
        <f t="shared" si="124"/>
      </c>
      <c r="FY149" s="291">
        <f t="shared" ref="FY149:GE149" si="125">FY143/FY$126</f>
      </c>
      <c r="FZ149" s="292">
        <f t="shared" si="125"/>
      </c>
      <c r="GA149" s="291">
        <f t="shared" si="125"/>
      </c>
      <c r="GB149" s="291">
        <f t="shared" si="125"/>
      </c>
      <c r="GC149" s="291">
        <f t="shared" si="125"/>
      </c>
      <c r="GD149" s="291">
        <f t="shared" si="125"/>
      </c>
      <c r="GE149" s="292">
        <f t="shared" si="125"/>
      </c>
      <c r="GF149" s="291">
        <f t="shared" ref="GF149:GJ149" si="126">GF143/GF$126</f>
      </c>
      <c r="GG149" s="291">
        <f t="shared" si="126"/>
      </c>
      <c r="GH149" s="291">
        <f t="shared" si="126"/>
      </c>
      <c r="GI149" s="291">
        <f t="shared" si="126"/>
      </c>
      <c r="GJ149" s="384">
        <f t="shared" si="126"/>
      </c>
    </row>
    <row r="150" spans="1:192" ht="12.75" customHeight="1">
      <c r="B150" s="735"/>
      <c r="C150" s="291"/>
      <c r="D150" s="107"/>
      <c r="E150" s="107"/>
      <c r="F150" s="107"/>
      <c r="G150" s="292"/>
      <c r="H150" s="291"/>
      <c r="I150" s="107"/>
      <c r="J150" s="107"/>
      <c r="K150" s="107"/>
      <c r="L150" s="292"/>
      <c r="M150" s="291"/>
      <c r="N150" s="107"/>
      <c r="O150" s="107"/>
      <c r="P150" s="107"/>
      <c r="Q150" s="292"/>
      <c r="R150" s="291"/>
      <c r="S150" s="107"/>
      <c r="T150" s="107"/>
      <c r="U150" s="107"/>
      <c r="V150" s="292"/>
      <c r="W150" s="291"/>
      <c r="X150" s="107"/>
      <c r="Y150" s="107"/>
      <c r="Z150" s="107"/>
      <c r="AA150" s="292"/>
      <c r="AB150" s="291"/>
      <c r="AC150" s="107"/>
      <c r="AD150" s="107"/>
      <c r="AE150" s="107"/>
      <c r="AF150" s="292"/>
      <c r="AG150" s="291"/>
      <c r="AH150" s="107"/>
      <c r="AI150" s="107"/>
      <c r="AJ150" s="107"/>
      <c r="AK150" s="292"/>
      <c r="AL150" s="291"/>
      <c r="AM150" s="107"/>
      <c r="AN150" s="107"/>
      <c r="AO150" s="107"/>
      <c r="AP150" s="292"/>
      <c r="AQ150" s="291"/>
      <c r="AR150" s="107"/>
      <c r="AS150" s="107"/>
      <c r="AT150" s="107"/>
      <c r="AU150" s="292"/>
      <c r="AV150" s="291"/>
      <c r="AW150" s="107"/>
      <c r="AX150" s="107"/>
      <c r="AY150" s="107"/>
      <c r="AZ150" s="292"/>
      <c r="BA150" s="291"/>
      <c r="BB150" s="107"/>
      <c r="BC150" s="107"/>
      <c r="BD150" s="107"/>
      <c r="BE150" s="292"/>
      <c r="BF150" s="291"/>
      <c r="BG150" s="107"/>
      <c r="BH150" s="107"/>
      <c r="BI150" s="107"/>
      <c r="BJ150" s="292"/>
      <c r="BK150" s="291"/>
      <c r="BL150" s="107"/>
      <c r="BM150" s="107"/>
      <c r="BN150" s="107"/>
      <c r="BO150" s="292"/>
      <c r="BP150" s="291"/>
      <c r="BQ150" s="107"/>
      <c r="BR150" s="107"/>
      <c r="BS150" s="107"/>
      <c r="BT150" s="292"/>
      <c r="BU150" s="291"/>
      <c r="BV150" s="107"/>
      <c r="BW150" s="107"/>
      <c r="BX150" s="107"/>
      <c r="BY150" s="292"/>
      <c r="BZ150" s="291"/>
      <c r="CA150" s="107"/>
      <c r="CB150" s="107"/>
      <c r="CC150" s="107"/>
      <c r="CD150" s="292"/>
      <c r="CE150" s="291"/>
      <c r="CF150" s="107"/>
      <c r="CG150" s="107"/>
      <c r="CH150" s="107"/>
      <c r="CI150" s="292"/>
      <c r="CJ150" s="291"/>
      <c r="CK150" s="107"/>
      <c r="CL150" s="107"/>
      <c r="CM150" s="107"/>
      <c r="CN150" s="292"/>
      <c r="CO150" s="291"/>
      <c r="CP150" s="107"/>
      <c r="CQ150" s="107"/>
      <c r="CR150" s="107"/>
      <c r="CS150" s="292"/>
      <c r="CT150" s="291"/>
      <c r="CU150" s="107"/>
      <c r="CV150" s="107"/>
      <c r="CW150" s="107"/>
      <c r="CX150" s="292"/>
      <c r="CY150" s="291"/>
      <c r="CZ150" s="107"/>
      <c r="DA150" s="107"/>
      <c r="DB150" s="107"/>
      <c r="DC150" s="292"/>
      <c r="DD150" s="291"/>
      <c r="DE150" s="107"/>
      <c r="DF150" s="107"/>
      <c r="DG150" s="107"/>
      <c r="DH150" s="292"/>
      <c r="DI150" s="291"/>
      <c r="DJ150" s="107"/>
      <c r="DK150" s="107"/>
      <c r="DL150" s="107"/>
      <c r="DM150" s="292"/>
      <c r="DN150" s="291"/>
      <c r="DO150" s="107"/>
      <c r="DP150" s="107"/>
      <c r="DQ150" s="107"/>
      <c r="DR150" s="292"/>
      <c r="DS150" s="291"/>
      <c r="DT150" s="107"/>
      <c r="DU150" s="107"/>
      <c r="DV150" s="107"/>
      <c r="DW150" s="292"/>
      <c r="DX150" s="291"/>
      <c r="DY150" s="107"/>
      <c r="DZ150" s="107"/>
      <c r="EA150" s="107"/>
      <c r="EB150" s="292"/>
      <c r="EC150" s="291"/>
      <c r="ED150" s="107"/>
      <c r="EE150" s="107"/>
      <c r="EF150" s="107"/>
      <c r="EG150" s="292"/>
      <c r="EH150" s="291"/>
      <c r="EI150" s="107"/>
      <c r="EJ150" s="107"/>
      <c r="EK150" s="107"/>
      <c r="EL150" s="292"/>
      <c r="EM150" s="291"/>
      <c r="EN150" s="107"/>
      <c r="EO150" s="107"/>
      <c r="EP150" s="107"/>
      <c r="EQ150" s="292"/>
      <c r="ER150" s="470"/>
      <c r="ES150" s="463"/>
      <c r="ET150" s="463"/>
      <c r="EU150" s="463"/>
      <c r="EV150" s="292"/>
      <c r="EW150" s="291"/>
      <c r="EX150" s="463"/>
      <c r="EY150" s="463"/>
      <c r="EZ150" s="463"/>
      <c r="FA150" s="292"/>
      <c r="FB150" s="291"/>
      <c r="FC150" s="107"/>
      <c r="FD150" s="107"/>
      <c r="FE150" s="107"/>
      <c r="FF150" s="292"/>
      <c r="FG150" s="291"/>
      <c r="FH150" s="107"/>
      <c r="FI150" s="107"/>
      <c r="FJ150" s="107"/>
      <c r="FK150" s="292"/>
      <c r="FL150" s="291"/>
      <c r="FM150" s="107"/>
      <c r="FN150" s="107"/>
      <c r="FO150" s="107"/>
      <c r="FP150" s="292"/>
      <c r="FQ150" s="291"/>
      <c r="FR150" s="107"/>
      <c r="FS150" s="107"/>
      <c r="FT150" s="107"/>
      <c r="FU150" s="292"/>
      <c r="FV150" s="291"/>
      <c r="FW150" s="107"/>
      <c r="FX150" s="107"/>
      <c r="FY150" s="107"/>
      <c r="FZ150" s="292"/>
      <c r="GA150" s="291"/>
      <c r="GB150" s="107"/>
      <c r="GC150" s="107"/>
      <c r="GD150" s="107"/>
      <c r="GE150" s="292"/>
      <c r="GF150" s="291"/>
      <c r="GG150" s="107"/>
      <c r="GH150" s="107"/>
      <c r="GI150" s="107"/>
      <c r="GJ150" s="384"/>
    </row>
    <row r="151" spans="1:192" s="461" customFormat="1" ht="12.75" customHeight="1">
      <c r="A151" s="1643"/>
      <c r="B151" s="734" t="s">
        <v>1945</v>
      </c>
      <c r="C151" s="443"/>
      <c r="D151" s="471"/>
      <c r="E151" s="471"/>
      <c r="F151" s="471"/>
      <c r="G151" s="516"/>
      <c r="H151" s="443"/>
      <c r="I151" s="471"/>
      <c r="J151" s="471"/>
      <c r="K151" s="471"/>
      <c r="L151" s="516"/>
      <c r="M151" s="443"/>
      <c r="N151" s="471"/>
      <c r="O151" s="471"/>
      <c r="P151" s="471"/>
      <c r="Q151" s="516"/>
      <c r="R151" s="443"/>
      <c r="S151" s="471"/>
      <c r="T151" s="471"/>
      <c r="U151" s="471"/>
      <c r="V151" s="516"/>
      <c r="W151" s="443"/>
      <c r="X151" s="471"/>
      <c r="Y151" s="471"/>
      <c r="Z151" s="471"/>
      <c r="AA151" s="516"/>
      <c r="AB151" s="443"/>
      <c r="AC151" s="471"/>
      <c r="AD151" s="471"/>
      <c r="AE151" s="471"/>
      <c r="AF151" s="516"/>
      <c r="AG151" s="443"/>
      <c r="AH151" s="471"/>
      <c r="AI151" s="471"/>
      <c r="AJ151" s="471"/>
      <c r="AK151" s="516"/>
      <c r="AL151" s="443"/>
      <c r="AM151" s="471"/>
      <c r="AN151" s="471"/>
      <c r="AO151" s="471"/>
      <c r="AP151" s="516"/>
      <c r="AQ151" s="443"/>
      <c r="AR151" s="471"/>
      <c r="AS151" s="471"/>
      <c r="AT151" s="471"/>
      <c r="AU151" s="516"/>
      <c r="AV151" s="443"/>
      <c r="AW151" s="471"/>
      <c r="AX151" s="471"/>
      <c r="AY151" s="471"/>
      <c r="AZ151" s="516"/>
      <c r="BA151" s="443"/>
      <c r="BB151" s="471"/>
      <c r="BC151" s="471"/>
      <c r="BD151" s="471"/>
      <c r="BE151" s="516"/>
      <c r="BF151" s="443"/>
      <c r="BG151" s="471"/>
      <c r="BH151" s="471"/>
      <c r="BI151" s="471"/>
      <c r="BJ151" s="516"/>
      <c r="BK151" s="443"/>
      <c r="BL151" s="471"/>
      <c r="BM151" s="471"/>
      <c r="BN151" s="471"/>
      <c r="BO151" s="516"/>
      <c r="BP151" s="443"/>
      <c r="BQ151" s="471"/>
      <c r="BR151" s="471"/>
      <c r="BS151" s="471"/>
      <c r="BT151" s="516"/>
      <c r="BU151" s="443"/>
      <c r="BV151" s="471"/>
      <c r="BW151" s="471"/>
      <c r="BX151" s="471"/>
      <c r="BY151" s="516"/>
      <c r="BZ151" s="443"/>
      <c r="CA151" s="471"/>
      <c r="CB151" s="471"/>
      <c r="CC151" s="471"/>
      <c r="CD151" s="516"/>
      <c r="CE151" s="443"/>
      <c r="CF151" s="471"/>
      <c r="CG151" s="471"/>
      <c r="CH151" s="471"/>
      <c r="CI151" s="516"/>
      <c r="CJ151" s="443"/>
      <c r="CK151" s="471"/>
      <c r="CL151" s="471"/>
      <c r="CM151" s="471"/>
      <c r="CN151" s="516"/>
      <c r="CO151" s="443"/>
      <c r="CP151" s="471"/>
      <c r="CQ151" s="471"/>
      <c r="CR151" s="471"/>
      <c r="CS151" s="516"/>
      <c r="CT151" s="443"/>
      <c r="CU151" s="471"/>
      <c r="CV151" s="471"/>
      <c r="CW151" s="471"/>
      <c r="CX151" s="516"/>
      <c r="CY151" s="443"/>
      <c r="CZ151" s="471"/>
      <c r="DA151" s="471"/>
      <c r="DB151" s="471"/>
      <c r="DC151" s="516"/>
      <c r="DD151" s="443"/>
      <c r="DE151" s="471"/>
      <c r="DF151" s="471"/>
      <c r="DG151" s="471"/>
      <c r="DH151" s="516"/>
      <c r="DI151" s="443"/>
      <c r="DJ151" s="443"/>
      <c r="DK151" s="471"/>
      <c r="DL151" s="471"/>
      <c r="DM151" s="516"/>
      <c r="DN151" s="443"/>
      <c r="DO151" s="443"/>
      <c r="DP151" s="471"/>
      <c r="DQ151" s="471"/>
      <c r="DR151" s="516"/>
      <c r="DS151" s="443"/>
      <c r="DT151" s="443"/>
      <c r="DU151" s="471"/>
      <c r="DV151" s="471"/>
      <c r="DW151" s="516"/>
      <c r="DX151" s="443"/>
      <c r="DY151" s="443"/>
      <c r="DZ151" s="471"/>
      <c r="EA151" s="471"/>
      <c r="EB151" s="516"/>
      <c r="EC151" s="443"/>
      <c r="ED151" s="443"/>
      <c r="EE151" s="471"/>
      <c r="EF151" s="471"/>
      <c r="EG151" s="516"/>
      <c r="EH151" s="443"/>
      <c r="EI151" s="443"/>
      <c r="EJ151" s="471"/>
      <c r="EK151" s="471"/>
      <c r="EL151" s="516"/>
      <c r="EM151" s="443">
        <f t="shared" ref="EM151:EP151" si="127">EM126-EM143</f>
      </c>
      <c r="EN151" s="443">
        <f t="shared" si="127"/>
      </c>
      <c r="EO151" s="443">
        <f t="shared" si="127"/>
      </c>
      <c r="EP151" s="443">
        <f t="shared" si="127"/>
      </c>
      <c r="EQ151" s="516">
        <f>SUM(EM151:EP151)</f>
      </c>
      <c r="ER151" s="443">
        <f t="shared" ref="ER151:EU151" si="128">ER126-ER143</f>
      </c>
      <c r="ES151" s="443">
        <f t="shared" si="128"/>
      </c>
      <c r="ET151" s="443">
        <f t="shared" si="128"/>
      </c>
      <c r="EU151" s="443">
        <f t="shared" si="128"/>
      </c>
      <c r="EV151" s="516">
        <f>SUM(ER151:EU151)</f>
      </c>
      <c r="EW151" s="443">
        <f t="shared" ref="EW151:EZ151" si="129">EW126-EW143</f>
      </c>
      <c r="EX151" s="443">
        <f t="shared" si="129"/>
      </c>
      <c r="EY151" s="443">
        <f t="shared" si="129"/>
      </c>
      <c r="EZ151" s="443">
        <f t="shared" si="129"/>
      </c>
      <c r="FA151" s="516">
        <f>SUM(EW151:EZ151)</f>
      </c>
      <c r="FB151" s="443">
        <f>EW151*(1+FB152)</f>
      </c>
      <c r="FC151" s="443">
        <f>EX151*(1+FC152)</f>
      </c>
      <c r="FD151" s="443">
        <f>EY151*(1+FD152)</f>
      </c>
      <c r="FE151" s="443">
        <f>EZ151*(1+FE152)</f>
      </c>
      <c r="FF151" s="516">
        <f>SUM(FB151:FE151)</f>
      </c>
      <c r="FG151" s="443">
        <f>FB151*(1+FG152)</f>
      </c>
      <c r="FH151" s="443">
        <f>FC151*(1+FH152)</f>
      </c>
      <c r="FI151" s="443">
        <f>FD151*(1+FI152)</f>
      </c>
      <c r="FJ151" s="443">
        <f>FE151*(1+FJ152)</f>
      </c>
      <c r="FK151" s="516">
        <f>SUM(FG151:FJ151)</f>
      </c>
      <c r="FL151" s="443">
        <f>FG151*(1+FL152)</f>
      </c>
      <c r="FM151" s="443">
        <f>FH151*(1+FM152)</f>
      </c>
      <c r="FN151" s="443">
        <f>FI151*(1+FN152)</f>
      </c>
      <c r="FO151" s="443">
        <f>FJ151*(1+FO152)</f>
      </c>
      <c r="FP151" s="516">
        <f>SUM(FL151:FO151)</f>
      </c>
      <c r="FQ151" s="443">
        <f>FL151*(1+FQ152)</f>
      </c>
      <c r="FR151" s="443">
        <f>FM151*(1+FR152)</f>
      </c>
      <c r="FS151" s="443">
        <f>FN151*(1+FS152)</f>
      </c>
      <c r="FT151" s="443">
        <f>FO151*(1+FT152)</f>
      </c>
      <c r="FU151" s="516">
        <f>SUM(FQ151:FT151)</f>
      </c>
      <c r="FV151" s="443">
        <f>FQ151*(1+FV152)</f>
      </c>
      <c r="FW151" s="443">
        <f>FR151*(1+FW152)</f>
      </c>
      <c r="FX151" s="443">
        <f>FS151*(1+FX152)</f>
      </c>
      <c r="FY151" s="443">
        <f>FT151*(1+FY152)</f>
      </c>
      <c r="FZ151" s="516">
        <f>SUM(FV151:FY151)</f>
      </c>
      <c r="GA151" s="443">
        <f>FV151*(1+GA152)</f>
      </c>
      <c r="GB151" s="471">
        <f>FW151*(1+GB152)</f>
      </c>
      <c r="GC151" s="471">
        <f>FX151*(1+GC152)</f>
      </c>
      <c r="GD151" s="471">
        <f>FY151*(1+GD152)</f>
      </c>
      <c r="GE151" s="516">
        <f>SUM(GA151:GD151)</f>
      </c>
      <c r="GF151" s="443">
        <f>GA151*(1+GF152)</f>
      </c>
      <c r="GG151" s="471">
        <f>GB151*(1+GG152)</f>
      </c>
      <c r="GH151" s="471">
        <f>GC151*(1+GH152)</f>
      </c>
      <c r="GI151" s="471">
        <f>GD151*(1+GI152)</f>
      </c>
      <c r="GJ151" s="1529">
        <f>SUM(GF151:GI151)</f>
      </c>
    </row>
    <row r="152" spans="1:192" ht="12.75" customHeight="1">
      <c r="B152" s="735" t="s">
        <v>34</v>
      </c>
      <c r="C152" s="291"/>
      <c r="D152" s="107"/>
      <c r="E152" s="107"/>
      <c r="F152" s="107"/>
      <c r="G152" s="292"/>
      <c r="H152" s="291"/>
      <c r="I152" s="107"/>
      <c r="J152" s="107"/>
      <c r="K152" s="107"/>
      <c r="L152" s="292"/>
      <c r="M152" s="291"/>
      <c r="N152" s="107"/>
      <c r="O152" s="107"/>
      <c r="P152" s="107"/>
      <c r="Q152" s="292"/>
      <c r="R152" s="291"/>
      <c r="S152" s="107"/>
      <c r="T152" s="107"/>
      <c r="U152" s="107"/>
      <c r="V152" s="292"/>
      <c r="W152" s="291"/>
      <c r="X152" s="107"/>
      <c r="Y152" s="107"/>
      <c r="Z152" s="107"/>
      <c r="AA152" s="292"/>
      <c r="AB152" s="291"/>
      <c r="AC152" s="107"/>
      <c r="AD152" s="107"/>
      <c r="AE152" s="107"/>
      <c r="AF152" s="292"/>
      <c r="AG152" s="291"/>
      <c r="AH152" s="107"/>
      <c r="AI152" s="107"/>
      <c r="AJ152" s="107"/>
      <c r="AK152" s="292"/>
      <c r="AL152" s="291"/>
      <c r="AM152" s="107"/>
      <c r="AN152" s="107"/>
      <c r="AO152" s="107"/>
      <c r="AP152" s="292"/>
      <c r="AQ152" s="291"/>
      <c r="AR152" s="107"/>
      <c r="AS152" s="107"/>
      <c r="AT152" s="107"/>
      <c r="AU152" s="292"/>
      <c r="AV152" s="291"/>
      <c r="AW152" s="107"/>
      <c r="AX152" s="107"/>
      <c r="AY152" s="107"/>
      <c r="AZ152" s="292"/>
      <c r="BA152" s="291"/>
      <c r="BB152" s="107"/>
      <c r="BC152" s="107"/>
      <c r="BD152" s="107"/>
      <c r="BE152" s="292"/>
      <c r="BF152" s="291"/>
      <c r="BG152" s="107"/>
      <c r="BH152" s="107"/>
      <c r="BI152" s="107"/>
      <c r="BJ152" s="292"/>
      <c r="BK152" s="291"/>
      <c r="BL152" s="107"/>
      <c r="BM152" s="107"/>
      <c r="BN152" s="107"/>
      <c r="BO152" s="292"/>
      <c r="BP152" s="291"/>
      <c r="BQ152" s="107"/>
      <c r="BR152" s="107"/>
      <c r="BS152" s="107"/>
      <c r="BT152" s="292"/>
      <c r="BU152" s="291"/>
      <c r="BV152" s="107"/>
      <c r="BW152" s="107"/>
      <c r="BX152" s="107"/>
      <c r="BY152" s="292"/>
      <c r="BZ152" s="291"/>
      <c r="CA152" s="107"/>
      <c r="CB152" s="107"/>
      <c r="CC152" s="107"/>
      <c r="CD152" s="292"/>
      <c r="CE152" s="291"/>
      <c r="CF152" s="107"/>
      <c r="CG152" s="107"/>
      <c r="CH152" s="107"/>
      <c r="CI152" s="292"/>
      <c r="CJ152" s="291"/>
      <c r="CK152" s="107"/>
      <c r="CL152" s="107"/>
      <c r="CM152" s="107"/>
      <c r="CN152" s="292"/>
      <c r="CO152" s="291"/>
      <c r="CP152" s="107"/>
      <c r="CQ152" s="107"/>
      <c r="CR152" s="107"/>
      <c r="CS152" s="292"/>
      <c r="CT152" s="291"/>
      <c r="CU152" s="107"/>
      <c r="CV152" s="107"/>
      <c r="CW152" s="107"/>
      <c r="CX152" s="292"/>
      <c r="CY152" s="291"/>
      <c r="CZ152" s="107"/>
      <c r="DA152" s="107"/>
      <c r="DB152" s="107"/>
      <c r="DC152" s="292"/>
      <c r="DD152" s="291"/>
      <c r="DE152" s="107"/>
      <c r="DF152" s="107"/>
      <c r="DG152" s="107"/>
      <c r="DH152" s="292"/>
      <c r="DI152" s="291"/>
      <c r="DJ152" s="107"/>
      <c r="DK152" s="107"/>
      <c r="DL152" s="107"/>
      <c r="DM152" s="292"/>
      <c r="DN152" s="107"/>
      <c r="DO152" s="107"/>
      <c r="DP152" s="107"/>
      <c r="DQ152" s="107"/>
      <c r="DR152" s="292"/>
      <c r="DS152" s="107"/>
      <c r="DT152" s="107"/>
      <c r="DU152" s="107"/>
      <c r="DV152" s="107"/>
      <c r="DW152" s="292"/>
      <c r="DX152" s="107"/>
      <c r="DY152" s="107"/>
      <c r="DZ152" s="107"/>
      <c r="EA152" s="107"/>
      <c r="EB152" s="292"/>
      <c r="EC152" s="107"/>
      <c r="ED152" s="107"/>
      <c r="EE152" s="107"/>
      <c r="EF152" s="107"/>
      <c r="EG152" s="292"/>
      <c r="EH152" s="107"/>
      <c r="EI152" s="107"/>
      <c r="EJ152" s="107"/>
      <c r="EK152" s="107"/>
      <c r="EL152" s="292"/>
      <c r="EM152" s="107"/>
      <c r="EN152" s="107"/>
      <c r="EO152" s="107"/>
      <c r="EP152" s="107"/>
      <c r="EQ152" s="292"/>
      <c r="ER152" s="107">
        <f t="shared" ref="ER152:EZ152" si="130">ER151/EM151-1</f>
      </c>
      <c r="ES152" s="107">
        <f t="shared" si="130"/>
      </c>
      <c r="ET152" s="107">
        <f t="shared" si="130"/>
      </c>
      <c r="EU152" s="107">
        <f t="shared" si="130"/>
      </c>
      <c r="EV152" s="292">
        <f t="shared" si="130"/>
      </c>
      <c r="EW152" s="107">
        <f t="shared" si="130"/>
      </c>
      <c r="EX152" s="107">
        <f t="shared" si="130"/>
      </c>
      <c r="EY152" s="107">
        <f t="shared" si="130"/>
      </c>
      <c r="EZ152" s="107">
        <f t="shared" si="130"/>
      </c>
      <c r="FA152" s="292">
        <f>FA151/EV151-1</f>
      </c>
      <c r="FB152" s="114">
        <v>-0.02</v>
      </c>
      <c r="FC152" s="114">
        <f>FB152</f>
      </c>
      <c r="FD152" s="114">
        <f>FC152</f>
      </c>
      <c r="FE152" s="114">
        <f>FD152</f>
      </c>
      <c r="FF152" s="292">
        <f>FF151/FA151-1</f>
      </c>
      <c r="FG152" s="114">
        <v>-0.02</v>
      </c>
      <c r="FH152" s="114">
        <f>FG152</f>
      </c>
      <c r="FI152" s="114">
        <f>FH152</f>
      </c>
      <c r="FJ152" s="114">
        <f>FI152</f>
      </c>
      <c r="FK152" s="292">
        <f>FK151/FF151-1</f>
      </c>
      <c r="FL152" s="114">
        <v>-0.02</v>
      </c>
      <c r="FM152" s="114">
        <f>FL152</f>
      </c>
      <c r="FN152" s="114">
        <f>FM152</f>
      </c>
      <c r="FO152" s="114">
        <f>FN152</f>
      </c>
      <c r="FP152" s="292">
        <f>FP151/FK151-1</f>
      </c>
      <c r="FQ152" s="114">
        <v>-0.02</v>
      </c>
      <c r="FR152" s="114">
        <f>FQ152</f>
      </c>
      <c r="FS152" s="114">
        <f>FR152</f>
      </c>
      <c r="FT152" s="114">
        <f>FS152</f>
      </c>
      <c r="FU152" s="292">
        <f>FU151/FP151-1</f>
      </c>
      <c r="FV152" s="114">
        <v>-0.02</v>
      </c>
      <c r="FW152" s="114">
        <f>FV152</f>
      </c>
      <c r="FX152" s="114">
        <f>FW152</f>
      </c>
      <c r="FY152" s="114">
        <f>FX152</f>
      </c>
      <c r="FZ152" s="292">
        <f>FZ151/FU151-1</f>
      </c>
      <c r="GA152" s="114">
        <v>-0.02</v>
      </c>
      <c r="GB152" s="114">
        <f>GA152</f>
      </c>
      <c r="GC152" s="114">
        <f>GB152</f>
      </c>
      <c r="GD152" s="114">
        <f>GC152</f>
      </c>
      <c r="GE152" s="292">
        <f>GE151/FZ151-1</f>
      </c>
      <c r="GF152" s="114">
        <v>-0.02</v>
      </c>
      <c r="GG152" s="114">
        <f>GF152</f>
      </c>
      <c r="GH152" s="114">
        <f>GG152</f>
      </c>
      <c r="GI152" s="114">
        <f>GH152</f>
      </c>
      <c r="GJ152" s="384">
        <f>GJ151/GE151-1</f>
      </c>
    </row>
    <row r="153" spans="1:192" ht="12.75" customHeight="1">
      <c r="B153" s="735" t="s">
        <v>36</v>
      </c>
      <c r="C153" s="291"/>
      <c r="D153" s="107"/>
      <c r="E153" s="107"/>
      <c r="F153" s="107"/>
      <c r="G153" s="292"/>
      <c r="H153" s="291"/>
      <c r="I153" s="107"/>
      <c r="J153" s="107"/>
      <c r="K153" s="107"/>
      <c r="L153" s="292"/>
      <c r="M153" s="291"/>
      <c r="N153" s="107"/>
      <c r="O153" s="107"/>
      <c r="P153" s="107"/>
      <c r="Q153" s="292"/>
      <c r="R153" s="291"/>
      <c r="S153" s="107"/>
      <c r="T153" s="107"/>
      <c r="U153" s="107"/>
      <c r="V153" s="292"/>
      <c r="W153" s="291"/>
      <c r="X153" s="107"/>
      <c r="Y153" s="107"/>
      <c r="Z153" s="107"/>
      <c r="AA153" s="292"/>
      <c r="AB153" s="291"/>
      <c r="AC153" s="107"/>
      <c r="AD153" s="107"/>
      <c r="AE153" s="107"/>
      <c r="AF153" s="292"/>
      <c r="AG153" s="291"/>
      <c r="AH153" s="107"/>
      <c r="AI153" s="107"/>
      <c r="AJ153" s="107"/>
      <c r="AK153" s="292"/>
      <c r="AL153" s="291"/>
      <c r="AM153" s="107"/>
      <c r="AN153" s="107"/>
      <c r="AO153" s="107"/>
      <c r="AP153" s="292"/>
      <c r="AQ153" s="291"/>
      <c r="AR153" s="107"/>
      <c r="AS153" s="107"/>
      <c r="AT153" s="107"/>
      <c r="AU153" s="292"/>
      <c r="AV153" s="291"/>
      <c r="AW153" s="107"/>
      <c r="AX153" s="107"/>
      <c r="AY153" s="107"/>
      <c r="AZ153" s="292"/>
      <c r="BA153" s="291"/>
      <c r="BB153" s="107"/>
      <c r="BC153" s="107"/>
      <c r="BD153" s="107"/>
      <c r="BE153" s="292"/>
      <c r="BF153" s="291"/>
      <c r="BG153" s="107"/>
      <c r="BH153" s="107"/>
      <c r="BI153" s="107"/>
      <c r="BJ153" s="292"/>
      <c r="BK153" s="291"/>
      <c r="BL153" s="107"/>
      <c r="BM153" s="107"/>
      <c r="BN153" s="107"/>
      <c r="BO153" s="292"/>
      <c r="BP153" s="291"/>
      <c r="BQ153" s="107"/>
      <c r="BR153" s="107"/>
      <c r="BS153" s="107"/>
      <c r="BT153" s="292"/>
      <c r="BU153" s="291"/>
      <c r="BV153" s="107"/>
      <c r="BW153" s="107"/>
      <c r="BX153" s="107"/>
      <c r="BY153" s="292"/>
      <c r="BZ153" s="291"/>
      <c r="CA153" s="107"/>
      <c r="CB153" s="107"/>
      <c r="CC153" s="107"/>
      <c r="CD153" s="292"/>
      <c r="CE153" s="291"/>
      <c r="CF153" s="107"/>
      <c r="CG153" s="107"/>
      <c r="CH153" s="107"/>
      <c r="CI153" s="292"/>
      <c r="CJ153" s="291"/>
      <c r="CK153" s="107"/>
      <c r="CL153" s="107"/>
      <c r="CM153" s="107"/>
      <c r="CN153" s="292"/>
      <c r="CO153" s="291"/>
      <c r="CP153" s="107"/>
      <c r="CQ153" s="107"/>
      <c r="CR153" s="107"/>
      <c r="CS153" s="292"/>
      <c r="CT153" s="291"/>
      <c r="CU153" s="107"/>
      <c r="CV153" s="107"/>
      <c r="CW153" s="107"/>
      <c r="CX153" s="292"/>
      <c r="CY153" s="291"/>
      <c r="CZ153" s="107"/>
      <c r="DA153" s="107"/>
      <c r="DB153" s="107"/>
      <c r="DC153" s="292"/>
      <c r="DD153" s="291"/>
      <c r="DE153" s="107"/>
      <c r="DF153" s="107"/>
      <c r="DG153" s="107"/>
      <c r="DH153" s="292"/>
      <c r="DI153" s="291"/>
      <c r="DJ153" s="107"/>
      <c r="DK153" s="107"/>
      <c r="DL153" s="107"/>
      <c r="DM153" s="292"/>
      <c r="DN153" s="470"/>
      <c r="DO153" s="107"/>
      <c r="DP153" s="107"/>
      <c r="DQ153" s="107"/>
      <c r="DR153" s="292"/>
      <c r="DS153" s="470"/>
      <c r="DT153" s="107"/>
      <c r="DU153" s="107"/>
      <c r="DV153" s="107"/>
      <c r="DW153" s="292"/>
      <c r="DX153" s="470"/>
      <c r="DY153" s="107"/>
      <c r="DZ153" s="107"/>
      <c r="EA153" s="107"/>
      <c r="EB153" s="292"/>
      <c r="EC153" s="470"/>
      <c r="ED153" s="107"/>
      <c r="EE153" s="107"/>
      <c r="EF153" s="107"/>
      <c r="EG153" s="292"/>
      <c r="EH153" s="470"/>
      <c r="EI153" s="107"/>
      <c r="EJ153" s="107"/>
      <c r="EK153" s="107"/>
      <c r="EL153" s="292"/>
      <c r="EM153" s="470">
        <f>EM151-EK151-1</f>
      </c>
      <c r="EN153" s="107">
        <f>EN151/EM151-1</f>
      </c>
      <c r="EO153" s="107">
        <f>EO151/EN151-1</f>
      </c>
      <c r="EP153" s="107">
        <f>EP151/EO151-1</f>
      </c>
      <c r="EQ153" s="292"/>
      <c r="ER153" s="470">
        <f>ER151-EP151-1</f>
      </c>
      <c r="ES153" s="107">
        <f>ES151/ER151-1</f>
      </c>
      <c r="ET153" s="107">
        <f>ET151/ES151-1</f>
      </c>
      <c r="EU153" s="107">
        <f>EU151/ET151-1</f>
      </c>
      <c r="EV153" s="292"/>
      <c r="EW153" s="470">
        <f>EW151-EU151-1</f>
      </c>
      <c r="EX153" s="107">
        <f>EX151/EW151-1</f>
      </c>
      <c r="EY153" s="107">
        <f>EY151/EX151-1</f>
      </c>
      <c r="EZ153" s="107">
        <f>EZ151/EY151-1</f>
      </c>
      <c r="FA153" s="292"/>
      <c r="FB153" s="291">
        <f>FB151/EZ151-1</f>
      </c>
      <c r="FC153" s="107">
        <f>FC151/FB151-1</f>
      </c>
      <c r="FD153" s="107">
        <f>FD151/FC151-1</f>
      </c>
      <c r="FE153" s="107">
        <f>FE151/FD151-1</f>
      </c>
      <c r="FF153" s="292"/>
      <c r="FG153" s="291">
        <f>FG151/FE151-1</f>
      </c>
      <c r="FH153" s="107">
        <f>FH151/FG151-1</f>
      </c>
      <c r="FI153" s="107">
        <f>FI151/FH151-1</f>
      </c>
      <c r="FJ153" s="107">
        <f>FJ151/FI151-1</f>
      </c>
      <c r="FK153" s="292"/>
      <c r="FL153" s="291">
        <f>FL151/FJ151-1</f>
      </c>
      <c r="FM153" s="107">
        <f>FM151/FL151-1</f>
      </c>
      <c r="FN153" s="107">
        <f>FN151/FM151-1</f>
      </c>
      <c r="FO153" s="107">
        <f>FO151/FN151-1</f>
      </c>
      <c r="FP153" s="292"/>
      <c r="FQ153" s="291">
        <f>FQ151/FJ151-1</f>
      </c>
      <c r="FR153" s="107">
        <f>FR151/FQ151-1</f>
      </c>
      <c r="FS153" s="107">
        <f>FS151/FR151-1</f>
      </c>
      <c r="FT153" s="107">
        <f>FT151/FS151-1</f>
      </c>
      <c r="FU153" s="292"/>
      <c r="FV153" s="291">
        <f>FV151/FJ151-1</f>
      </c>
      <c r="FW153" s="107">
        <f>FW151/FV151-1</f>
      </c>
      <c r="FX153" s="107">
        <f>FX151/FW151-1</f>
      </c>
      <c r="FY153" s="107">
        <f>FY151/FX151-1</f>
      </c>
      <c r="FZ153" s="292"/>
      <c r="GA153" s="291">
        <f>GA151/FO151-1</f>
      </c>
      <c r="GB153" s="107">
        <f>GB151/GA151-1</f>
      </c>
      <c r="GC153" s="107">
        <f>GC151/GB151-1</f>
      </c>
      <c r="GD153" s="107">
        <f>GD151/GC151-1</f>
      </c>
      <c r="GE153" s="292"/>
      <c r="GF153" s="291">
        <f>GF151/FT151-1</f>
      </c>
      <c r="GG153" s="107">
        <f>GG151/GF151-1</f>
      </c>
      <c r="GH153" s="107">
        <f>GH151/GG151-1</f>
      </c>
      <c r="GI153" s="107">
        <f>GI151/GH151-1</f>
      </c>
      <c r="GJ153" s="384"/>
    </row>
    <row r="154" spans="1:192" s="461" customFormat="1" ht="12.75" customHeight="1">
      <c r="A154" s="850"/>
      <c r="B154" s="735" t="s">
        <v>243</v>
      </c>
      <c r="C154" s="447"/>
      <c r="D154" s="458"/>
      <c r="E154" s="458"/>
      <c r="F154" s="458"/>
      <c r="G154" s="462"/>
      <c r="H154" s="447"/>
      <c r="I154" s="458"/>
      <c r="J154" s="458"/>
      <c r="K154" s="458"/>
      <c r="L154" s="462"/>
      <c r="M154" s="447"/>
      <c r="N154" s="458"/>
      <c r="O154" s="458"/>
      <c r="P154" s="458"/>
      <c r="Q154" s="462"/>
      <c r="R154" s="447"/>
      <c r="S154" s="458"/>
      <c r="T154" s="458"/>
      <c r="U154" s="458"/>
      <c r="V154" s="462"/>
      <c r="W154" s="447"/>
      <c r="X154" s="458"/>
      <c r="Y154" s="458"/>
      <c r="Z154" s="458"/>
      <c r="AA154" s="462"/>
      <c r="AB154" s="447"/>
      <c r="AC154" s="458"/>
      <c r="AD154" s="458"/>
      <c r="AE154" s="458"/>
      <c r="AF154" s="462"/>
      <c r="AG154" s="447"/>
      <c r="AH154" s="458"/>
      <c r="AI154" s="458"/>
      <c r="AJ154" s="458"/>
      <c r="AK154" s="462"/>
      <c r="AL154" s="447"/>
      <c r="AM154" s="458"/>
      <c r="AN154" s="458"/>
      <c r="AO154" s="458"/>
      <c r="AP154" s="462"/>
      <c r="AQ154" s="447"/>
      <c r="AR154" s="458"/>
      <c r="AS154" s="458"/>
      <c r="AT154" s="458"/>
      <c r="AU154" s="462"/>
      <c r="AV154" s="447"/>
      <c r="AW154" s="458"/>
      <c r="AX154" s="458"/>
      <c r="AY154" s="458"/>
      <c r="AZ154" s="462"/>
      <c r="BA154" s="447"/>
      <c r="BB154" s="458"/>
      <c r="BC154" s="458"/>
      <c r="BD154" s="458"/>
      <c r="BE154" s="462"/>
      <c r="BF154" s="447"/>
      <c r="BG154" s="458"/>
      <c r="BH154" s="458"/>
      <c r="BI154" s="458"/>
      <c r="BJ154" s="462"/>
      <c r="BK154" s="447"/>
      <c r="BL154" s="458"/>
      <c r="BM154" s="458"/>
      <c r="BN154" s="458"/>
      <c r="BO154" s="462"/>
      <c r="BP154" s="447"/>
      <c r="BQ154" s="458"/>
      <c r="BR154" s="458"/>
      <c r="BS154" s="458"/>
      <c r="BT154" s="462"/>
      <c r="BU154" s="447"/>
      <c r="BV154" s="458"/>
      <c r="BW154" s="458"/>
      <c r="BX154" s="458"/>
      <c r="BY154" s="462"/>
      <c r="BZ154" s="447"/>
      <c r="CA154" s="458"/>
      <c r="CB154" s="458"/>
      <c r="CC154" s="458"/>
      <c r="CD154" s="462"/>
      <c r="CE154" s="447"/>
      <c r="CF154" s="458"/>
      <c r="CG154" s="458"/>
      <c r="CH154" s="458"/>
      <c r="CI154" s="462"/>
      <c r="CJ154" s="447"/>
      <c r="CK154" s="458"/>
      <c r="CL154" s="458"/>
      <c r="CM154" s="458"/>
      <c r="CN154" s="462"/>
      <c r="CO154" s="447"/>
      <c r="CP154" s="458"/>
      <c r="CQ154" s="458"/>
      <c r="CR154" s="458"/>
      <c r="CS154" s="462"/>
      <c r="CT154" s="447"/>
      <c r="CU154" s="458"/>
      <c r="CV154" s="458"/>
      <c r="CW154" s="458"/>
      <c r="CX154" s="462"/>
      <c r="CY154" s="447"/>
      <c r="CZ154" s="458"/>
      <c r="DA154" s="458"/>
      <c r="DB154" s="458"/>
      <c r="DC154" s="462"/>
      <c r="DD154" s="447"/>
      <c r="DE154" s="458"/>
      <c r="DF154" s="458"/>
      <c r="DG154" s="458"/>
      <c r="DH154" s="462"/>
      <c r="DI154" s="447"/>
      <c r="DJ154" s="458"/>
      <c r="DK154" s="458"/>
      <c r="DL154" s="458"/>
      <c r="DM154" s="462"/>
      <c r="DN154" s="458"/>
      <c r="DO154" s="458"/>
      <c r="DP154" s="458"/>
      <c r="DQ154" s="458"/>
      <c r="DR154" s="462"/>
      <c r="DS154" s="458"/>
      <c r="DT154" s="458"/>
      <c r="DU154" s="458"/>
      <c r="DV154" s="458"/>
      <c r="DW154" s="462"/>
      <c r="DX154" s="458"/>
      <c r="DY154" s="458"/>
      <c r="DZ154" s="458"/>
      <c r="EA154" s="458"/>
      <c r="EB154" s="462"/>
      <c r="EC154" s="458"/>
      <c r="ED154" s="458"/>
      <c r="EE154" s="458"/>
      <c r="EF154" s="458"/>
      <c r="EG154" s="462"/>
      <c r="EH154" s="458"/>
      <c r="EI154" s="458"/>
      <c r="EJ154" s="458"/>
      <c r="EK154" s="458"/>
      <c r="EL154" s="462"/>
      <c r="EM154" s="458">
        <f t="shared" ref="EM154:EZ154" si="131">EM151-EH151</f>
      </c>
      <c r="EN154" s="458">
        <f t="shared" si="131"/>
      </c>
      <c r="EO154" s="458">
        <f t="shared" si="131"/>
      </c>
      <c r="EP154" s="458">
        <f t="shared" si="131"/>
      </c>
      <c r="EQ154" s="462">
        <f t="shared" si="131"/>
      </c>
      <c r="ER154" s="458">
        <f t="shared" si="131"/>
      </c>
      <c r="ES154" s="458">
        <f t="shared" si="131"/>
      </c>
      <c r="ET154" s="458">
        <f t="shared" si="131"/>
      </c>
      <c r="EU154" s="458">
        <f t="shared" si="131"/>
      </c>
      <c r="EV154" s="462">
        <f t="shared" si="131"/>
      </c>
      <c r="EW154" s="458">
        <f t="shared" si="131"/>
      </c>
      <c r="EX154" s="458">
        <f t="shared" si="131"/>
      </c>
      <c r="EY154" s="458">
        <f t="shared" si="131"/>
      </c>
      <c r="EZ154" s="458">
        <f t="shared" si="131"/>
      </c>
      <c r="FA154" s="462">
        <f t="shared" ref="FA154:FP154" si="132">FA151-EV151</f>
      </c>
      <c r="FB154" s="458">
        <f t="shared" si="132"/>
      </c>
      <c r="FC154" s="458">
        <f t="shared" si="132"/>
      </c>
      <c r="FD154" s="458">
        <f t="shared" si="132"/>
      </c>
      <c r="FE154" s="458">
        <f t="shared" si="132"/>
      </c>
      <c r="FF154" s="462">
        <f t="shared" si="132"/>
      </c>
      <c r="FG154" s="458">
        <f t="shared" si="132"/>
      </c>
      <c r="FH154" s="458">
        <f t="shared" si="132"/>
      </c>
      <c r="FI154" s="458">
        <f t="shared" si="132"/>
      </c>
      <c r="FJ154" s="458">
        <f t="shared" si="132"/>
      </c>
      <c r="FK154" s="462">
        <f t="shared" si="132"/>
      </c>
      <c r="FL154" s="458">
        <f t="shared" si="132"/>
      </c>
      <c r="FM154" s="458">
        <f t="shared" si="132"/>
      </c>
      <c r="FN154" s="458">
        <f t="shared" si="132"/>
      </c>
      <c r="FO154" s="458">
        <f t="shared" si="132"/>
      </c>
      <c r="FP154" s="462">
        <f t="shared" si="132"/>
      </c>
      <c r="FQ154" s="458">
        <f>FQ151-FG151</f>
      </c>
      <c r="FR154" s="458">
        <f>FR151-FH151</f>
      </c>
      <c r="FS154" s="458">
        <f>FS151-FI151</f>
      </c>
      <c r="FT154" s="458">
        <f>FT151-FJ151</f>
      </c>
      <c r="FU154" s="462">
        <f>FU151-FK151</f>
      </c>
      <c r="FV154" s="447">
        <f t="shared" ref="FV154:GE154" si="133">FV151-FG151</f>
      </c>
      <c r="FW154" s="458">
        <f t="shared" si="133"/>
      </c>
      <c r="FX154" s="458">
        <f t="shared" si="133"/>
      </c>
      <c r="FY154" s="458">
        <f t="shared" si="133"/>
      </c>
      <c r="FZ154" s="462">
        <f t="shared" si="133"/>
      </c>
      <c r="GA154" s="447">
        <f t="shared" si="133"/>
      </c>
      <c r="GB154" s="458">
        <f t="shared" si="133"/>
      </c>
      <c r="GC154" s="458">
        <f t="shared" si="133"/>
      </c>
      <c r="GD154" s="458">
        <f t="shared" si="133"/>
      </c>
      <c r="GE154" s="462">
        <f t="shared" si="133"/>
      </c>
      <c r="GF154" s="447">
        <f t="shared" ref="GF154" si="134">GF151-FQ151</f>
      </c>
      <c r="GG154" s="458">
        <f t="shared" ref="GG154" si="135">GG151-FR151</f>
      </c>
      <c r="GH154" s="458">
        <f t="shared" ref="GH154" si="136">GH151-FS151</f>
      </c>
      <c r="GI154" s="458">
        <f t="shared" ref="GI154" si="137">GI151-FT151</f>
      </c>
      <c r="GJ154" s="497">
        <f t="shared" ref="GJ154" si="138">GJ151-FU151</f>
      </c>
    </row>
    <row r="155" spans="1:192" s="461" customFormat="1" ht="12.75" customHeight="1">
      <c r="A155" s="850"/>
      <c r="B155" s="735" t="s">
        <v>244</v>
      </c>
      <c r="C155" s="447"/>
      <c r="D155" s="458"/>
      <c r="E155" s="458"/>
      <c r="F155" s="458"/>
      <c r="G155" s="462"/>
      <c r="H155" s="447"/>
      <c r="I155" s="458"/>
      <c r="J155" s="458"/>
      <c r="K155" s="458"/>
      <c r="L155" s="462"/>
      <c r="M155" s="447"/>
      <c r="N155" s="458"/>
      <c r="O155" s="458"/>
      <c r="P155" s="458"/>
      <c r="Q155" s="462"/>
      <c r="R155" s="447"/>
      <c r="S155" s="458"/>
      <c r="T155" s="458"/>
      <c r="U155" s="458"/>
      <c r="V155" s="462"/>
      <c r="W155" s="447"/>
      <c r="X155" s="458"/>
      <c r="Y155" s="458"/>
      <c r="Z155" s="458"/>
      <c r="AA155" s="462"/>
      <c r="AB155" s="447"/>
      <c r="AC155" s="458"/>
      <c r="AD155" s="458"/>
      <c r="AE155" s="458"/>
      <c r="AF155" s="462"/>
      <c r="AG155" s="447"/>
      <c r="AH155" s="458"/>
      <c r="AI155" s="458"/>
      <c r="AJ155" s="458"/>
      <c r="AK155" s="462"/>
      <c r="AL155" s="447"/>
      <c r="AM155" s="458"/>
      <c r="AN155" s="458"/>
      <c r="AO155" s="458"/>
      <c r="AP155" s="462"/>
      <c r="AQ155" s="447"/>
      <c r="AR155" s="458"/>
      <c r="AS155" s="458"/>
      <c r="AT155" s="458"/>
      <c r="AU155" s="462"/>
      <c r="AV155" s="447"/>
      <c r="AW155" s="458"/>
      <c r="AX155" s="458"/>
      <c r="AY155" s="458"/>
      <c r="AZ155" s="462"/>
      <c r="BA155" s="447"/>
      <c r="BB155" s="458"/>
      <c r="BC155" s="458"/>
      <c r="BD155" s="458"/>
      <c r="BE155" s="462"/>
      <c r="BF155" s="447"/>
      <c r="BG155" s="458"/>
      <c r="BH155" s="458"/>
      <c r="BI155" s="458"/>
      <c r="BJ155" s="462"/>
      <c r="BK155" s="447"/>
      <c r="BL155" s="458"/>
      <c r="BM155" s="458"/>
      <c r="BN155" s="458"/>
      <c r="BO155" s="462"/>
      <c r="BP155" s="447"/>
      <c r="BQ155" s="458"/>
      <c r="BR155" s="458"/>
      <c r="BS155" s="458"/>
      <c r="BT155" s="462"/>
      <c r="BU155" s="447"/>
      <c r="BV155" s="458"/>
      <c r="BW155" s="458"/>
      <c r="BX155" s="458"/>
      <c r="BY155" s="462"/>
      <c r="BZ155" s="447"/>
      <c r="CA155" s="458"/>
      <c r="CB155" s="458"/>
      <c r="CC155" s="458"/>
      <c r="CD155" s="462"/>
      <c r="CE155" s="447"/>
      <c r="CF155" s="458"/>
      <c r="CG155" s="458"/>
      <c r="CH155" s="458"/>
      <c r="CI155" s="462"/>
      <c r="CJ155" s="447"/>
      <c r="CK155" s="458"/>
      <c r="CL155" s="458"/>
      <c r="CM155" s="458"/>
      <c r="CN155" s="462"/>
      <c r="CO155" s="447"/>
      <c r="CP155" s="458"/>
      <c r="CQ155" s="458"/>
      <c r="CR155" s="458"/>
      <c r="CS155" s="462"/>
      <c r="CT155" s="447"/>
      <c r="CU155" s="458"/>
      <c r="CV155" s="458"/>
      <c r="CW155" s="458"/>
      <c r="CX155" s="462"/>
      <c r="CY155" s="447"/>
      <c r="CZ155" s="458"/>
      <c r="DA155" s="458"/>
      <c r="DB155" s="458"/>
      <c r="DC155" s="462"/>
      <c r="DD155" s="447"/>
      <c r="DE155" s="458"/>
      <c r="DF155" s="458"/>
      <c r="DG155" s="458"/>
      <c r="DH155" s="462"/>
      <c r="DI155" s="447"/>
      <c r="DJ155" s="458"/>
      <c r="DK155" s="458"/>
      <c r="DL155" s="458"/>
      <c r="DM155" s="462"/>
      <c r="DN155" s="447"/>
      <c r="DO155" s="458"/>
      <c r="DP155" s="458"/>
      <c r="DQ155" s="458"/>
      <c r="DR155" s="462"/>
      <c r="DS155" s="447"/>
      <c r="DT155" s="458"/>
      <c r="DU155" s="458"/>
      <c r="DV155" s="458"/>
      <c r="DW155" s="462"/>
      <c r="DX155" s="447"/>
      <c r="DY155" s="458"/>
      <c r="DZ155" s="458"/>
      <c r="EA155" s="458"/>
      <c r="EB155" s="462"/>
      <c r="EC155" s="447"/>
      <c r="ED155" s="458"/>
      <c r="EE155" s="458"/>
      <c r="EF155" s="458"/>
      <c r="EG155" s="462"/>
      <c r="EH155" s="447"/>
      <c r="EI155" s="458"/>
      <c r="EJ155" s="458"/>
      <c r="EK155" s="458"/>
      <c r="EL155" s="462"/>
      <c r="EM155" s="447">
        <f>EM151-EK151</f>
      </c>
      <c r="EN155" s="458">
        <f>EN151-EM151</f>
      </c>
      <c r="EO155" s="458">
        <f>EO151-EN151</f>
      </c>
      <c r="EP155" s="458">
        <f>EP151-EO151</f>
      </c>
      <c r="EQ155" s="462"/>
      <c r="ER155" s="447">
        <f>ER151-EP151</f>
      </c>
      <c r="ES155" s="458">
        <f>ES151-ER151</f>
      </c>
      <c r="ET155" s="458">
        <f>ET151-ES151</f>
      </c>
      <c r="EU155" s="458">
        <f>EU151-ET151</f>
      </c>
      <c r="EV155" s="462"/>
      <c r="EW155" s="447">
        <f>EW151-EU151</f>
      </c>
      <c r="EX155" s="458">
        <f>EX151-EW151</f>
      </c>
      <c r="EY155" s="458">
        <f>EY151-EX151</f>
      </c>
      <c r="EZ155" s="458">
        <f>EZ151-EY151</f>
      </c>
      <c r="FA155" s="462"/>
      <c r="FB155" s="447">
        <f>FB151-EZ151</f>
      </c>
      <c r="FC155" s="458">
        <f>FC151-FB151</f>
      </c>
      <c r="FD155" s="458">
        <f>FD151-FC151</f>
      </c>
      <c r="FE155" s="458">
        <f>FE151-FD151</f>
      </c>
      <c r="FF155" s="462"/>
      <c r="FG155" s="447">
        <f>FG151-FE151</f>
      </c>
      <c r="FH155" s="458">
        <f>FH151-FG151</f>
      </c>
      <c r="FI155" s="458">
        <f>FI151-FH151</f>
      </c>
      <c r="FJ155" s="458">
        <f>FJ151-FI151</f>
      </c>
      <c r="FK155" s="462"/>
      <c r="FL155" s="447">
        <f>FL151-FJ151</f>
      </c>
      <c r="FM155" s="458">
        <f>FM151-FL151</f>
      </c>
      <c r="FN155" s="458">
        <f>FN151-FM151</f>
      </c>
      <c r="FO155" s="458">
        <f>FO151-FN151</f>
      </c>
      <c r="FP155" s="462"/>
      <c r="FQ155" s="447">
        <f>FQ151-FJ151</f>
      </c>
      <c r="FR155" s="458">
        <f>FR151-FQ151</f>
      </c>
      <c r="FS155" s="458">
        <f>FS151-FR151</f>
      </c>
      <c r="FT155" s="458">
        <f>FT151-FS151</f>
      </c>
      <c r="FU155" s="462"/>
      <c r="FV155" s="447">
        <f>FV151-FJ151</f>
      </c>
      <c r="FW155" s="458">
        <f>FW151-FV151</f>
      </c>
      <c r="FX155" s="458">
        <f>FX151-FW151</f>
      </c>
      <c r="FY155" s="458">
        <f>FY151-FX151</f>
      </c>
      <c r="FZ155" s="462"/>
      <c r="GA155" s="447">
        <f>GA151-FO151</f>
      </c>
      <c r="GB155" s="458">
        <f>GB151-GA151</f>
      </c>
      <c r="GC155" s="458">
        <f>GC151-GB151</f>
      </c>
      <c r="GD155" s="458">
        <f>GD151-GC151</f>
      </c>
      <c r="GE155" s="462"/>
      <c r="GF155" s="447">
        <f>GF151-FT151</f>
      </c>
      <c r="GG155" s="458">
        <f>GG151-GF151</f>
      </c>
      <c r="GH155" s="458">
        <f>GH151-GG151</f>
      </c>
      <c r="GI155" s="458">
        <f>GI151-GH151</f>
      </c>
      <c r="GJ155" s="497"/>
    </row>
    <row r="156" spans="1:192" s="476" customFormat="1" ht="12.75" customHeight="1">
      <c r="A156" s="850"/>
      <c r="B156" s="735" t="s">
        <v>212</v>
      </c>
      <c r="C156" s="291"/>
      <c r="D156" s="107"/>
      <c r="E156" s="107"/>
      <c r="F156" s="107"/>
      <c r="G156" s="292"/>
      <c r="H156" s="291"/>
      <c r="I156" s="107"/>
      <c r="J156" s="107"/>
      <c r="K156" s="107"/>
      <c r="L156" s="292"/>
      <c r="M156" s="291"/>
      <c r="N156" s="107"/>
      <c r="O156" s="107"/>
      <c r="P156" s="107"/>
      <c r="Q156" s="292"/>
      <c r="R156" s="291"/>
      <c r="S156" s="107"/>
      <c r="T156" s="107"/>
      <c r="U156" s="107"/>
      <c r="V156" s="292"/>
      <c r="W156" s="291"/>
      <c r="X156" s="107"/>
      <c r="Y156" s="107"/>
      <c r="Z156" s="107"/>
      <c r="AA156" s="292"/>
      <c r="AB156" s="291"/>
      <c r="AC156" s="107"/>
      <c r="AD156" s="107"/>
      <c r="AE156" s="107"/>
      <c r="AF156" s="292"/>
      <c r="AG156" s="291"/>
      <c r="AH156" s="107"/>
      <c r="AI156" s="107"/>
      <c r="AJ156" s="107"/>
      <c r="AK156" s="292"/>
      <c r="AL156" s="291"/>
      <c r="AM156" s="107"/>
      <c r="AN156" s="107"/>
      <c r="AO156" s="107"/>
      <c r="AP156" s="292"/>
      <c r="AQ156" s="291"/>
      <c r="AR156" s="107"/>
      <c r="AS156" s="107"/>
      <c r="AT156" s="107"/>
      <c r="AU156" s="292"/>
      <c r="AV156" s="291"/>
      <c r="AW156" s="107"/>
      <c r="AX156" s="107"/>
      <c r="AY156" s="107"/>
      <c r="AZ156" s="292"/>
      <c r="BA156" s="291"/>
      <c r="BB156" s="107"/>
      <c r="BC156" s="107"/>
      <c r="BD156" s="107"/>
      <c r="BE156" s="292"/>
      <c r="BF156" s="291"/>
      <c r="BG156" s="107"/>
      <c r="BH156" s="107"/>
      <c r="BI156" s="107"/>
      <c r="BJ156" s="292"/>
      <c r="BK156" s="291"/>
      <c r="BL156" s="107"/>
      <c r="BM156" s="107"/>
      <c r="BN156" s="107"/>
      <c r="BO156" s="292"/>
      <c r="BP156" s="291"/>
      <c r="BQ156" s="107"/>
      <c r="BR156" s="107"/>
      <c r="BS156" s="107"/>
      <c r="BT156" s="292"/>
      <c r="BU156" s="291"/>
      <c r="BV156" s="107"/>
      <c r="BW156" s="107"/>
      <c r="BX156" s="107"/>
      <c r="BY156" s="292"/>
      <c r="BZ156" s="291"/>
      <c r="CA156" s="107"/>
      <c r="CB156" s="107"/>
      <c r="CC156" s="107"/>
      <c r="CD156" s="292"/>
      <c r="CE156" s="291"/>
      <c r="CF156" s="107"/>
      <c r="CG156" s="107"/>
      <c r="CH156" s="107"/>
      <c r="CI156" s="292"/>
      <c r="CJ156" s="291"/>
      <c r="CK156" s="107"/>
      <c r="CL156" s="107"/>
      <c r="CM156" s="107"/>
      <c r="CN156" s="292"/>
      <c r="CO156" s="291"/>
      <c r="CP156" s="107"/>
      <c r="CQ156" s="107"/>
      <c r="CR156" s="107"/>
      <c r="CS156" s="292"/>
      <c r="CT156" s="291"/>
      <c r="CU156" s="107"/>
      <c r="CV156" s="107"/>
      <c r="CW156" s="107"/>
      <c r="CX156" s="292"/>
      <c r="CY156" s="291"/>
      <c r="CZ156" s="107"/>
      <c r="DA156" s="107"/>
      <c r="DB156" s="107"/>
      <c r="DC156" s="292"/>
      <c r="DD156" s="291"/>
      <c r="DE156" s="107"/>
      <c r="DF156" s="107"/>
      <c r="DG156" s="107"/>
      <c r="DH156" s="292"/>
      <c r="DI156" s="291"/>
      <c r="DJ156" s="291"/>
      <c r="DK156" s="291"/>
      <c r="DL156" s="291"/>
      <c r="DM156" s="292"/>
      <c r="DN156" s="291"/>
      <c r="DO156" s="291"/>
      <c r="DP156" s="291"/>
      <c r="DQ156" s="291"/>
      <c r="DR156" s="292"/>
      <c r="DS156" s="291"/>
      <c r="DT156" s="291"/>
      <c r="DU156" s="291"/>
      <c r="DV156" s="291"/>
      <c r="DW156" s="292"/>
      <c r="DX156" s="291"/>
      <c r="DY156" s="291"/>
      <c r="DZ156" s="291"/>
      <c r="EA156" s="349"/>
      <c r="EB156" s="292"/>
      <c r="EC156" s="291"/>
      <c r="ED156" s="291"/>
      <c r="EE156" s="291"/>
      <c r="EF156" s="349"/>
      <c r="EG156" s="292"/>
      <c r="EH156" s="291"/>
      <c r="EI156" s="291"/>
      <c r="EJ156" s="291"/>
      <c r="EK156" s="291"/>
      <c r="EL156" s="292"/>
      <c r="EM156" s="291">
        <f t="shared" ref="EM156:ER156" si="139">EM151/EM$126</f>
      </c>
      <c r="EN156" s="291">
        <f t="shared" si="139"/>
      </c>
      <c r="EO156" s="291">
        <f t="shared" si="139"/>
      </c>
      <c r="EP156" s="291">
        <f t="shared" si="139"/>
      </c>
      <c r="EQ156" s="292">
        <f t="shared" si="139"/>
      </c>
      <c r="ER156" s="291">
        <f t="shared" si="139"/>
      </c>
      <c r="ES156" s="291">
        <f>ES151/ES$126</f>
      </c>
      <c r="ET156" s="291">
        <f>ET151/ET$126</f>
      </c>
      <c r="EU156" s="291">
        <f>EU151/EU$126</f>
      </c>
      <c r="EV156" s="292">
        <f>EV151/EV$126</f>
      </c>
      <c r="EW156" s="291">
        <f>EW151/EW$126</f>
      </c>
      <c r="EX156" s="291">
        <f t="shared" ref="EX156" si="140">EX151/EX$126</f>
      </c>
      <c r="EY156" s="291">
        <f>EY151/EY$126</f>
      </c>
      <c r="EZ156" s="291">
        <f>EZ151/EZ$126</f>
      </c>
      <c r="FA156" s="292">
        <f t="shared" ref="FA156:FX156" si="141">FA151/FA$126</f>
      </c>
      <c r="FB156" s="291">
        <f t="shared" si="141"/>
      </c>
      <c r="FC156" s="291">
        <f t="shared" si="141"/>
      </c>
      <c r="FD156" s="291">
        <f t="shared" si="141"/>
      </c>
      <c r="FE156" s="291">
        <f t="shared" si="141"/>
      </c>
      <c r="FF156" s="292">
        <f t="shared" si="141"/>
      </c>
      <c r="FG156" s="291">
        <f t="shared" si="141"/>
      </c>
      <c r="FH156" s="291">
        <f t="shared" si="141"/>
      </c>
      <c r="FI156" s="291">
        <f t="shared" si="141"/>
      </c>
      <c r="FJ156" s="291">
        <f t="shared" si="141"/>
      </c>
      <c r="FK156" s="292">
        <f t="shared" si="141"/>
      </c>
      <c r="FL156" s="291">
        <f t="shared" si="141"/>
      </c>
      <c r="FM156" s="291">
        <f t="shared" si="141"/>
      </c>
      <c r="FN156" s="291">
        <f t="shared" si="141"/>
      </c>
      <c r="FO156" s="291">
        <f t="shared" si="141"/>
      </c>
      <c r="FP156" s="292">
        <f t="shared" si="141"/>
      </c>
      <c r="FQ156" s="291">
        <f t="shared" si="141"/>
      </c>
      <c r="FR156" s="291">
        <f t="shared" si="141"/>
      </c>
      <c r="FS156" s="291">
        <f t="shared" si="141"/>
      </c>
      <c r="FT156" s="291">
        <f t="shared" si="141"/>
      </c>
      <c r="FU156" s="292">
        <f t="shared" si="141"/>
      </c>
      <c r="FV156" s="291">
        <f t="shared" si="141"/>
      </c>
      <c r="FW156" s="291">
        <f t="shared" si="141"/>
      </c>
      <c r="FX156" s="291">
        <f t="shared" si="141"/>
      </c>
      <c r="FY156" s="291">
        <f t="shared" ref="FY156:GE156" si="142">FY151/FY$126</f>
      </c>
      <c r="FZ156" s="292">
        <f t="shared" si="142"/>
      </c>
      <c r="GA156" s="291">
        <f t="shared" si="142"/>
      </c>
      <c r="GB156" s="291">
        <f t="shared" si="142"/>
      </c>
      <c r="GC156" s="291">
        <f t="shared" si="142"/>
      </c>
      <c r="GD156" s="291">
        <f t="shared" si="142"/>
      </c>
      <c r="GE156" s="292">
        <f t="shared" si="142"/>
      </c>
      <c r="GF156" s="291">
        <f t="shared" ref="GF156:GJ156" si="143">GF151/GF$126</f>
      </c>
      <c r="GG156" s="291">
        <f t="shared" si="143"/>
      </c>
      <c r="GH156" s="291">
        <f t="shared" si="143"/>
      </c>
      <c r="GI156" s="291">
        <f t="shared" si="143"/>
      </c>
      <c r="GJ156" s="384">
        <f t="shared" si="143"/>
      </c>
    </row>
    <row r="157" spans="1:192" s="476" customFormat="1" ht="12.75" customHeight="1">
      <c r="A157" s="850"/>
      <c r="B157" s="735"/>
      <c r="C157" s="291"/>
      <c r="D157" s="107"/>
      <c r="E157" s="107"/>
      <c r="F157" s="107"/>
      <c r="G157" s="292"/>
      <c r="H157" s="291"/>
      <c r="I157" s="107"/>
      <c r="J157" s="107"/>
      <c r="K157" s="107"/>
      <c r="L157" s="292"/>
      <c r="M157" s="291"/>
      <c r="N157" s="107"/>
      <c r="O157" s="107"/>
      <c r="P157" s="107"/>
      <c r="Q157" s="292"/>
      <c r="R157" s="291"/>
      <c r="S157" s="107"/>
      <c r="T157" s="107"/>
      <c r="U157" s="107"/>
      <c r="V157" s="292"/>
      <c r="W157" s="291"/>
      <c r="X157" s="107"/>
      <c r="Y157" s="107"/>
      <c r="Z157" s="107"/>
      <c r="AA157" s="292"/>
      <c r="AB157" s="291"/>
      <c r="AC157" s="107"/>
      <c r="AD157" s="107"/>
      <c r="AE157" s="107"/>
      <c r="AF157" s="292"/>
      <c r="AG157" s="291"/>
      <c r="AH157" s="107"/>
      <c r="AI157" s="107"/>
      <c r="AJ157" s="107"/>
      <c r="AK157" s="292"/>
      <c r="AL157" s="291"/>
      <c r="AM157" s="107"/>
      <c r="AN157" s="107"/>
      <c r="AO157" s="107"/>
      <c r="AP157" s="292"/>
      <c r="AQ157" s="291"/>
      <c r="AR157" s="107"/>
      <c r="AS157" s="107"/>
      <c r="AT157" s="107"/>
      <c r="AU157" s="292"/>
      <c r="AV157" s="291"/>
      <c r="AW157" s="107"/>
      <c r="AX157" s="107"/>
      <c r="AY157" s="107"/>
      <c r="AZ157" s="292"/>
      <c r="BA157" s="291"/>
      <c r="BB157" s="107"/>
      <c r="BC157" s="107"/>
      <c r="BD157" s="107"/>
      <c r="BE157" s="292"/>
      <c r="BF157" s="291"/>
      <c r="BG157" s="107"/>
      <c r="BH157" s="107"/>
      <c r="BI157" s="107"/>
      <c r="BJ157" s="292"/>
      <c r="BK157" s="291"/>
      <c r="BL157" s="107"/>
      <c r="BM157" s="107"/>
      <c r="BN157" s="107"/>
      <c r="BO157" s="292"/>
      <c r="BP157" s="291"/>
      <c r="BQ157" s="107"/>
      <c r="BR157" s="107"/>
      <c r="BS157" s="107"/>
      <c r="BT157" s="292"/>
      <c r="BU157" s="291"/>
      <c r="BV157" s="107"/>
      <c r="BW157" s="107"/>
      <c r="BX157" s="107"/>
      <c r="BY157" s="292"/>
      <c r="BZ157" s="291"/>
      <c r="CA157" s="107"/>
      <c r="CB157" s="107"/>
      <c r="CC157" s="107"/>
      <c r="CD157" s="292"/>
      <c r="CE157" s="291"/>
      <c r="CF157" s="107"/>
      <c r="CG157" s="107"/>
      <c r="CH157" s="107"/>
      <c r="CI157" s="292"/>
      <c r="CJ157" s="291"/>
      <c r="CK157" s="107"/>
      <c r="CL157" s="107"/>
      <c r="CM157" s="107"/>
      <c r="CN157" s="292"/>
      <c r="CO157" s="291"/>
      <c r="CP157" s="107"/>
      <c r="CQ157" s="107"/>
      <c r="CR157" s="107"/>
      <c r="CS157" s="292"/>
      <c r="CT157" s="291"/>
      <c r="CU157" s="107"/>
      <c r="CV157" s="107"/>
      <c r="CW157" s="107"/>
      <c r="CX157" s="292"/>
      <c r="CY157" s="291"/>
      <c r="CZ157" s="107"/>
      <c r="DA157" s="107"/>
      <c r="DB157" s="107"/>
      <c r="DC157" s="292"/>
      <c r="DD157" s="291"/>
      <c r="DE157" s="107"/>
      <c r="DF157" s="107"/>
      <c r="DG157" s="107"/>
      <c r="DH157" s="292"/>
      <c r="DI157" s="291"/>
      <c r="DJ157" s="107"/>
      <c r="DK157" s="107"/>
      <c r="DL157" s="107"/>
      <c r="DM157" s="292"/>
      <c r="DN157" s="107"/>
      <c r="DO157" s="107"/>
      <c r="DP157" s="107"/>
      <c r="DQ157" s="107"/>
      <c r="DR157" s="292"/>
      <c r="DS157" s="107"/>
      <c r="DT157" s="439"/>
      <c r="DU157" s="107"/>
      <c r="DV157" s="107"/>
      <c r="DW157" s="292"/>
      <c r="DX157" s="107"/>
      <c r="DY157" s="107"/>
      <c r="DZ157" s="107"/>
      <c r="EA157" s="107"/>
      <c r="EB157" s="292"/>
      <c r="EC157" s="107"/>
      <c r="ED157" s="107"/>
      <c r="EE157" s="107"/>
      <c r="EF157" s="107"/>
      <c r="EG157" s="292"/>
      <c r="EH157" s="107"/>
      <c r="EI157" s="107"/>
      <c r="EJ157" s="107"/>
      <c r="EK157" s="107"/>
      <c r="EL157" s="292"/>
      <c r="EM157" s="107"/>
      <c r="EN157" s="107"/>
      <c r="EO157" s="107"/>
      <c r="EP157" s="107"/>
      <c r="EQ157" s="292"/>
      <c r="ER157" s="107"/>
      <c r="ES157" s="107"/>
      <c r="ET157" s="107"/>
      <c r="EU157" s="107"/>
      <c r="EV157" s="292"/>
      <c r="EW157" s="291"/>
      <c r="EX157" s="107"/>
      <c r="EY157" s="107"/>
      <c r="EZ157" s="107"/>
      <c r="FA157" s="292"/>
      <c r="FB157" s="291"/>
      <c r="FC157" s="107"/>
      <c r="FD157" s="107"/>
      <c r="FE157" s="107"/>
      <c r="FF157" s="292"/>
      <c r="FG157" s="291"/>
      <c r="FH157" s="107"/>
      <c r="FI157" s="107"/>
      <c r="FJ157" s="107"/>
      <c r="FK157" s="292"/>
      <c r="FL157" s="291"/>
      <c r="FM157" s="107"/>
      <c r="FN157" s="107"/>
      <c r="FO157" s="107"/>
      <c r="FP157" s="292"/>
      <c r="FQ157" s="291"/>
      <c r="FR157" s="107"/>
      <c r="FS157" s="107"/>
      <c r="FT157" s="107"/>
      <c r="FU157" s="292"/>
      <c r="FV157" s="291"/>
      <c r="FW157" s="107"/>
      <c r="FX157" s="107"/>
      <c r="FY157" s="107"/>
      <c r="FZ157" s="292"/>
      <c r="GA157" s="291"/>
      <c r="GB157" s="107"/>
      <c r="GC157" s="107"/>
      <c r="GD157" s="107"/>
      <c r="GE157" s="292"/>
      <c r="GF157" s="291"/>
      <c r="GG157" s="107"/>
      <c r="GH157" s="107"/>
      <c r="GI157" s="107"/>
      <c r="GJ157" s="384"/>
    </row>
    <row r="158" spans="1:192" ht="12.75" customHeight="1">
      <c r="B158" s="732" t="s">
        <v>1947</v>
      </c>
      <c r="C158" s="294"/>
      <c r="D158" s="295"/>
      <c r="E158" s="295"/>
      <c r="F158" s="295"/>
      <c r="G158" s="296"/>
      <c r="H158" s="294"/>
      <c r="I158" s="295"/>
      <c r="J158" s="295"/>
      <c r="K158" s="295"/>
      <c r="L158" s="296"/>
      <c r="M158" s="294"/>
      <c r="N158" s="295"/>
      <c r="O158" s="295"/>
      <c r="P158" s="295"/>
      <c r="Q158" s="296"/>
      <c r="R158" s="294"/>
      <c r="S158" s="295"/>
      <c r="T158" s="295"/>
      <c r="U158" s="295"/>
      <c r="V158" s="296"/>
      <c r="W158" s="294"/>
      <c r="X158" s="295"/>
      <c r="Y158" s="295"/>
      <c r="Z158" s="295"/>
      <c r="AA158" s="296"/>
      <c r="AB158" s="294"/>
      <c r="AC158" s="295"/>
      <c r="AD158" s="295"/>
      <c r="AE158" s="295"/>
      <c r="AF158" s="296"/>
      <c r="AG158" s="294"/>
      <c r="AH158" s="295"/>
      <c r="AI158" s="295"/>
      <c r="AJ158" s="295"/>
      <c r="AK158" s="296"/>
      <c r="AL158" s="294"/>
      <c r="AM158" s="295"/>
      <c r="AN158" s="295"/>
      <c r="AO158" s="295"/>
      <c r="AP158" s="296"/>
      <c r="AQ158" s="294"/>
      <c r="AR158" s="295"/>
      <c r="AS158" s="295"/>
      <c r="AT158" s="295"/>
      <c r="AU158" s="296"/>
      <c r="AV158" s="294"/>
      <c r="AW158" s="295"/>
      <c r="AX158" s="295"/>
      <c r="AY158" s="295"/>
      <c r="AZ158" s="296"/>
      <c r="BA158" s="294"/>
      <c r="BB158" s="295"/>
      <c r="BC158" s="295"/>
      <c r="BD158" s="295"/>
      <c r="BE158" s="296"/>
      <c r="BF158" s="294"/>
      <c r="BG158" s="295"/>
      <c r="BH158" s="295"/>
      <c r="BI158" s="295"/>
      <c r="BJ158" s="296"/>
      <c r="BK158" s="294"/>
      <c r="BL158" s="295"/>
      <c r="BM158" s="295"/>
      <c r="BN158" s="295"/>
      <c r="BO158" s="296"/>
      <c r="BP158" s="294"/>
      <c r="BQ158" s="295"/>
      <c r="BR158" s="295"/>
      <c r="BS158" s="295"/>
      <c r="BT158" s="296"/>
      <c r="BU158" s="294"/>
      <c r="BV158" s="295"/>
      <c r="BW158" s="295"/>
      <c r="BX158" s="295"/>
      <c r="BY158" s="296"/>
      <c r="BZ158" s="294"/>
      <c r="CA158" s="295"/>
      <c r="CB158" s="295"/>
      <c r="CC158" s="295"/>
      <c r="CD158" s="296"/>
      <c r="CE158" s="294"/>
      <c r="CF158" s="295"/>
      <c r="CG158" s="295"/>
      <c r="CH158" s="295"/>
      <c r="CI158" s="296"/>
      <c r="CJ158" s="294"/>
      <c r="CK158" s="295"/>
      <c r="CL158" s="295"/>
      <c r="CM158" s="295"/>
      <c r="CN158" s="296"/>
      <c r="CO158" s="294"/>
      <c r="CP158" s="295"/>
      <c r="CQ158" s="295"/>
      <c r="CR158" s="295"/>
      <c r="CS158" s="296"/>
      <c r="CT158" s="294"/>
      <c r="CU158" s="295"/>
      <c r="CV158" s="295"/>
      <c r="CW158" s="295"/>
      <c r="CX158" s="296"/>
      <c r="CY158" s="294"/>
      <c r="CZ158" s="295"/>
      <c r="DA158" s="295"/>
      <c r="DB158" s="295"/>
      <c r="DC158" s="296"/>
      <c r="DD158" s="294"/>
      <c r="DE158" s="295"/>
      <c r="DF158" s="295"/>
      <c r="DG158" s="295"/>
      <c r="DH158" s="296"/>
      <c r="DI158" s="294"/>
      <c r="DJ158" s="295"/>
      <c r="DK158" s="295"/>
      <c r="DL158" s="295"/>
      <c r="DM158" s="296"/>
      <c r="DN158" s="294"/>
      <c r="DO158" s="295"/>
      <c r="DP158" s="295"/>
      <c r="DQ158" s="295"/>
      <c r="DR158" s="296"/>
      <c r="DS158" s="294"/>
      <c r="DT158" s="469"/>
      <c r="DU158" s="295"/>
      <c r="DV158" s="295"/>
      <c r="DW158" s="296"/>
      <c r="DX158" s="294"/>
      <c r="DY158" s="295"/>
      <c r="DZ158" s="295"/>
      <c r="EA158" s="295"/>
      <c r="EB158" s="296"/>
      <c r="EC158" s="294"/>
      <c r="ED158" s="469"/>
      <c r="EE158" s="469"/>
      <c r="EF158" s="469"/>
      <c r="EG158" s="296"/>
      <c r="EH158" s="294"/>
      <c r="EI158" s="295"/>
      <c r="EJ158" s="295"/>
      <c r="EK158" s="295"/>
      <c r="EL158" s="296"/>
      <c r="EM158" s="294"/>
      <c r="EN158" s="295"/>
      <c r="EO158" s="295"/>
      <c r="EP158" s="295"/>
      <c r="EQ158" s="296"/>
      <c r="ER158" s="294"/>
      <c r="ES158" s="814"/>
      <c r="ET158" s="295"/>
      <c r="EU158" s="295"/>
      <c r="EV158" s="296"/>
      <c r="EW158" s="294"/>
      <c r="EX158" s="814"/>
      <c r="EY158" s="920"/>
      <c r="EZ158" s="295"/>
      <c r="FA158" s="296"/>
      <c r="FB158" s="294"/>
      <c r="FC158" s="295"/>
      <c r="FD158" s="295"/>
      <c r="FE158" s="295"/>
      <c r="FF158" s="296"/>
      <c r="FG158" s="294"/>
      <c r="FH158" s="295"/>
      <c r="FI158" s="295"/>
      <c r="FJ158" s="295"/>
      <c r="FK158" s="296"/>
      <c r="FL158" s="294"/>
      <c r="FM158" s="295"/>
      <c r="FN158" s="295"/>
      <c r="FO158" s="295"/>
      <c r="FP158" s="296"/>
      <c r="FQ158" s="294"/>
      <c r="FR158" s="295"/>
      <c r="FS158" s="295"/>
      <c r="FT158" s="295"/>
      <c r="FU158" s="296"/>
      <c r="FV158" s="294"/>
      <c r="FW158" s="295"/>
      <c r="FX158" s="295"/>
      <c r="FY158" s="295"/>
      <c r="FZ158" s="296"/>
      <c r="GA158" s="294"/>
      <c r="GB158" s="295"/>
      <c r="GC158" s="295"/>
      <c r="GD158" s="295"/>
      <c r="GE158" s="296"/>
      <c r="GF158" s="294"/>
      <c r="GG158" s="295"/>
      <c r="GH158" s="295"/>
      <c r="GI158" s="295"/>
      <c r="GJ158" s="383"/>
    </row>
    <row r="159" spans="1:192" s="623" customFormat="1" ht="12.75" hidden="1" customHeight="1" outlineLevel="1">
      <c r="A159" s="1642"/>
      <c r="B159" s="748" t="s">
        <v>216</v>
      </c>
      <c r="C159" s="800"/>
      <c r="D159" s="805"/>
      <c r="E159" s="805"/>
      <c r="F159" s="805"/>
      <c r="G159" s="456"/>
      <c r="H159" s="800"/>
      <c r="I159" s="805"/>
      <c r="J159" s="805"/>
      <c r="K159" s="805"/>
      <c r="L159" s="456"/>
      <c r="M159" s="800"/>
      <c r="N159" s="805"/>
      <c r="O159" s="805"/>
      <c r="P159" s="805"/>
      <c r="Q159" s="456"/>
      <c r="R159" s="800"/>
      <c r="S159" s="805"/>
      <c r="T159" s="805"/>
      <c r="U159" s="805"/>
      <c r="V159" s="456"/>
      <c r="W159" s="800"/>
      <c r="X159" s="805"/>
      <c r="Y159" s="805"/>
      <c r="Z159" s="805"/>
      <c r="AA159" s="456"/>
      <c r="AB159" s="800"/>
      <c r="AC159" s="805"/>
      <c r="AD159" s="805"/>
      <c r="AE159" s="805"/>
      <c r="AF159" s="456"/>
      <c r="AG159" s="800"/>
      <c r="AH159" s="805"/>
      <c r="AI159" s="805"/>
      <c r="AJ159" s="805"/>
      <c r="AK159" s="456"/>
      <c r="AL159" s="800"/>
      <c r="AM159" s="805"/>
      <c r="AN159" s="805"/>
      <c r="AO159" s="805"/>
      <c r="AP159" s="456"/>
      <c r="AQ159" s="800"/>
      <c r="AR159" s="805"/>
      <c r="AS159" s="805"/>
      <c r="AT159" s="805"/>
      <c r="AU159" s="456"/>
      <c r="AV159" s="800"/>
      <c r="AW159" s="805"/>
      <c r="AX159" s="805"/>
      <c r="AY159" s="805"/>
      <c r="AZ159" s="456"/>
      <c r="BA159" s="800"/>
      <c r="BB159" s="805"/>
      <c r="BC159" s="805"/>
      <c r="BD159" s="805"/>
      <c r="BE159" s="456"/>
      <c r="BF159" s="800"/>
      <c r="BG159" s="805"/>
      <c r="BH159" s="805"/>
      <c r="BI159" s="805"/>
      <c r="BJ159" s="456"/>
      <c r="BK159" s="800"/>
      <c r="BL159" s="805"/>
      <c r="BM159" s="805"/>
      <c r="BN159" s="805"/>
      <c r="BO159" s="456"/>
      <c r="BP159" s="800"/>
      <c r="BQ159" s="805"/>
      <c r="BR159" s="805"/>
      <c r="BS159" s="805"/>
      <c r="BT159" s="456"/>
      <c r="BU159" s="800"/>
      <c r="BV159" s="805"/>
      <c r="BW159" s="805"/>
      <c r="BX159" s="805"/>
      <c r="BY159" s="456"/>
      <c r="BZ159" s="800"/>
      <c r="CA159" s="805"/>
      <c r="CB159" s="805"/>
      <c r="CC159" s="805"/>
      <c r="CD159" s="456"/>
      <c r="CE159" s="800"/>
      <c r="CF159" s="805"/>
      <c r="CG159" s="805"/>
      <c r="CH159" s="805"/>
      <c r="CI159" s="456"/>
      <c r="CJ159" s="800">
        <f>CO159/(1+CO160)</f>
      </c>
      <c r="CK159" s="805"/>
      <c r="CL159" s="805"/>
      <c r="CM159" s="805"/>
      <c r="CN159" s="456">
        <f>CS159/(1+CS160)</f>
      </c>
      <c r="CO159" s="800">
        <f>CT163/CT160</f>
      </c>
      <c r="CP159" s="805">
        <f>CP209+CP201</f>
      </c>
      <c r="CQ159" s="805">
        <f>CQ209+CQ201</f>
      </c>
      <c r="CR159" s="805">
        <f>CR209+CR201</f>
      </c>
      <c r="CS159" s="456">
        <f>19239*0.65</f>
      </c>
      <c r="CT159" s="800">
        <f>CO159*(1+CT160)</f>
      </c>
      <c r="CU159" s="805">
        <f>CU209+CU201</f>
      </c>
      <c r="CV159" s="805">
        <f>DA163/DA160</f>
      </c>
      <c r="CW159" s="805">
        <f>CW209+CW201</f>
      </c>
      <c r="CX159" s="456">
        <f>DC163/DC160</f>
      </c>
      <c r="CY159" s="805">
        <f>DD163/DD160</f>
      </c>
      <c r="CZ159" s="805">
        <f>DE163/DE160</f>
      </c>
      <c r="DA159" s="805">
        <f>CV159*(1+DA160)</f>
      </c>
      <c r="DB159" s="805">
        <f>DC159-DA159-CZ159-CY159</f>
      </c>
      <c r="DC159" s="456">
        <f>CX159*(1+DC160)</f>
      </c>
      <c r="DD159" s="800">
        <f>CY159*(1+DD160)</f>
      </c>
      <c r="DE159" s="805">
        <f>CZ159*(1+DE160)</f>
      </c>
      <c r="DF159" s="805">
        <f>DA159*(1+DF160)</f>
      </c>
      <c r="DG159" s="805">
        <f>DH159-DF159-DE159-DD159</f>
      </c>
      <c r="DH159" s="456">
        <f>DC159*(1+DH160)</f>
      </c>
      <c r="DI159" s="800">
        <f>DD159*(1+DI160)</f>
      </c>
      <c r="DJ159" s="800">
        <f>DE159*(1+DJ160)</f>
      </c>
      <c r="DK159" s="805">
        <f>DF159*(1+DK160)</f>
      </c>
      <c r="DL159" s="805">
        <f>DG159*(1+DL160)</f>
      </c>
      <c r="DM159" s="456">
        <f>SUM(DI159:DL159)</f>
      </c>
      <c r="DN159" s="800">
        <f>DI159*(1+DN160)</f>
      </c>
      <c r="DO159" s="800">
        <f>DJ159*(1+DO160)</f>
      </c>
      <c r="DP159" s="805">
        <f>DK159*(1+DP160)</f>
      </c>
      <c r="DQ159" s="805">
        <f>DL159*(1+DQ160)</f>
      </c>
      <c r="DR159" s="456">
        <f>SUM(DN159:DQ159)</f>
      </c>
      <c r="DS159" s="800">
        <f>DN159*(1+DS160)</f>
      </c>
      <c r="DT159" s="1528">
        <f>DO159*(1+DT160)</f>
      </c>
      <c r="DU159" s="805">
        <f>DP159*(1+DU160)</f>
      </c>
      <c r="DV159" s="805">
        <f>DQ159*(1+DV160)</f>
      </c>
      <c r="DW159" s="456">
        <f>SUM(DS159:DV159)</f>
      </c>
      <c r="DX159" s="800">
        <f>DS159*(1+DX160)</f>
      </c>
      <c r="DY159" s="800">
        <f>DT159*(1+DY160)</f>
      </c>
      <c r="DZ159" s="1389">
        <f>DU159*(1+DZ160)</f>
      </c>
      <c r="EA159" s="805">
        <f>DV159*(1+EA160)</f>
      </c>
      <c r="EB159" s="456">
        <f>SUM(DX159:EA159)</f>
      </c>
      <c r="EC159" s="800">
        <f>DX159*(1+EC160)</f>
      </c>
      <c r="ED159" s="800">
        <f>DY159*(1+ED160)</f>
      </c>
      <c r="EE159" s="805">
        <f>DZ159*(1+EE160)</f>
      </c>
      <c r="EF159" s="805">
        <f>EA159*(1+EF160)</f>
      </c>
      <c r="EG159" s="456">
        <f>SUM(EC159:EF159)</f>
      </c>
      <c r="EH159" s="800">
        <f>EC159*(1+EH160)</f>
      </c>
      <c r="EI159" s="800">
        <f>ED159*(1+EI160)</f>
      </c>
      <c r="EJ159" s="805">
        <f>EE159*(1+EJ160)</f>
      </c>
      <c r="EK159" s="805">
        <f>EF159*(1+EK160)</f>
      </c>
      <c r="EL159" s="456">
        <f>SUM(EH159:EK159)</f>
      </c>
      <c r="EM159" s="800">
        <f>EH159*(1+EM160)</f>
      </c>
      <c r="EN159" s="800">
        <f>EI159*(1+EN160)</f>
      </c>
      <c r="EO159" s="805">
        <f>EJ159*(1+EO160)</f>
      </c>
      <c r="EP159" s="805">
        <f>EK159*(1+EP160)</f>
      </c>
      <c r="EQ159" s="456">
        <f>SUM(EM159:EP159)</f>
      </c>
      <c r="ER159" s="800">
        <f>EM159*(1+ER160)</f>
      </c>
      <c r="ES159" s="800">
        <f>EN159*(1+ES160)</f>
      </c>
      <c r="ET159" s="805">
        <f>EO159*(1+ET160)</f>
      </c>
      <c r="EU159" s="805">
        <f>EP159*(1+EU160)</f>
      </c>
      <c r="EV159" s="456">
        <f>SUM(ER159:EU159)</f>
      </c>
      <c r="EW159" s="800"/>
      <c r="EX159" s="800"/>
      <c r="EY159" s="805"/>
      <c r="EZ159" s="805"/>
      <c r="FA159" s="456"/>
      <c r="FB159" s="800"/>
      <c r="FC159" s="800"/>
      <c r="FD159" s="805"/>
      <c r="FE159" s="805"/>
      <c r="FF159" s="456"/>
      <c r="FG159" s="800"/>
      <c r="FH159" s="800"/>
      <c r="FI159" s="805"/>
      <c r="FJ159" s="805"/>
      <c r="FK159" s="456"/>
      <c r="FL159" s="800"/>
      <c r="FM159" s="800"/>
      <c r="FN159" s="805"/>
      <c r="FO159" s="805"/>
      <c r="FP159" s="456"/>
      <c r="FQ159" s="800"/>
      <c r="FR159" s="800"/>
      <c r="FS159" s="805"/>
      <c r="FT159" s="805"/>
      <c r="FU159" s="456"/>
      <c r="FV159" s="800"/>
      <c r="FW159" s="805"/>
      <c r="FX159" s="805"/>
      <c r="FY159" s="805"/>
      <c r="FZ159" s="456"/>
      <c r="GA159" s="800"/>
      <c r="GB159" s="805"/>
      <c r="GC159" s="805"/>
      <c r="GD159" s="805"/>
      <c r="GE159" s="456"/>
      <c r="GF159" s="800"/>
      <c r="GG159" s="805"/>
      <c r="GH159" s="805"/>
      <c r="GI159" s="805"/>
      <c r="GJ159" s="499"/>
    </row>
    <row r="160" spans="1:192" ht="12.75" hidden="1" customHeight="1" outlineLevel="1">
      <c r="B160" s="735" t="s">
        <v>34</v>
      </c>
      <c r="C160" s="291"/>
      <c r="D160" s="107"/>
      <c r="E160" s="107"/>
      <c r="F160" s="107"/>
      <c r="G160" s="293"/>
      <c r="H160" s="291"/>
      <c r="I160" s="107"/>
      <c r="J160" s="107"/>
      <c r="K160" s="107"/>
      <c r="L160" s="293"/>
      <c r="M160" s="291"/>
      <c r="N160" s="107"/>
      <c r="O160" s="107"/>
      <c r="P160" s="107"/>
      <c r="Q160" s="293"/>
      <c r="R160" s="291"/>
      <c r="S160" s="107"/>
      <c r="T160" s="107"/>
      <c r="U160" s="107"/>
      <c r="V160" s="293"/>
      <c r="W160" s="291"/>
      <c r="X160" s="107"/>
      <c r="Y160" s="107"/>
      <c r="Z160" s="107"/>
      <c r="AA160" s="293"/>
      <c r="AB160" s="291"/>
      <c r="AC160" s="107"/>
      <c r="AD160" s="107"/>
      <c r="AE160" s="107"/>
      <c r="AF160" s="293"/>
      <c r="AG160" s="291"/>
      <c r="AH160" s="107"/>
      <c r="AI160" s="107"/>
      <c r="AJ160" s="107"/>
      <c r="AK160" s="293"/>
      <c r="AL160" s="291"/>
      <c r="AM160" s="107"/>
      <c r="AN160" s="107"/>
      <c r="AO160" s="107"/>
      <c r="AP160" s="293"/>
      <c r="AQ160" s="291"/>
      <c r="AR160" s="107"/>
      <c r="AS160" s="107"/>
      <c r="AT160" s="107"/>
      <c r="AU160" s="293"/>
      <c r="AV160" s="291"/>
      <c r="AW160" s="107"/>
      <c r="AX160" s="107"/>
      <c r="AY160" s="107"/>
      <c r="AZ160" s="293"/>
      <c r="BA160" s="291"/>
      <c r="BB160" s="107"/>
      <c r="BC160" s="107"/>
      <c r="BD160" s="107"/>
      <c r="BE160" s="293"/>
      <c r="BF160" s="291"/>
      <c r="BG160" s="107"/>
      <c r="BH160" s="107"/>
      <c r="BI160" s="107"/>
      <c r="BJ160" s="293"/>
      <c r="BK160" s="291"/>
      <c r="BL160" s="107"/>
      <c r="BM160" s="107"/>
      <c r="BN160" s="107"/>
      <c r="BO160" s="293"/>
      <c r="BP160" s="291"/>
      <c r="BQ160" s="107"/>
      <c r="BR160" s="107"/>
      <c r="BS160" s="107"/>
      <c r="BT160" s="293"/>
      <c r="BU160" s="412"/>
      <c r="BV160" s="114"/>
      <c r="BW160" s="114"/>
      <c r="BX160" s="114"/>
      <c r="BY160" s="293"/>
      <c r="BZ160" s="412"/>
      <c r="CA160" s="114"/>
      <c r="CB160" s="114"/>
      <c r="CC160" s="114"/>
      <c r="CD160" s="293"/>
      <c r="CE160" s="412"/>
      <c r="CF160" s="114"/>
      <c r="CG160" s="114"/>
      <c r="CH160" s="114"/>
      <c r="CI160" s="293"/>
      <c r="CJ160" s="412"/>
      <c r="CK160" s="114"/>
      <c r="CL160" s="114"/>
      <c r="CM160" s="114"/>
      <c r="CN160" s="293"/>
      <c r="CO160" s="412">
        <v>-0.1</v>
      </c>
      <c r="CP160" s="801"/>
      <c r="CQ160" s="114"/>
      <c r="CR160" s="114"/>
      <c r="CS160" s="414">
        <v>-0.03</v>
      </c>
      <c r="CT160" s="412">
        <v>-7.0000000000000007E-2</v>
      </c>
      <c r="CU160" s="107">
        <f>CU159/CP159-1</f>
      </c>
      <c r="CV160" s="107">
        <f>CV159/CQ159-1</f>
      </c>
      <c r="CW160" s="107">
        <f>CW159/CR159-1</f>
      </c>
      <c r="CX160" s="293">
        <f>CX159/CS159-1</f>
      </c>
      <c r="CY160" s="412">
        <v>-0.02</v>
      </c>
      <c r="CZ160" s="114">
        <v>-0.13</v>
      </c>
      <c r="DA160" s="114">
        <v>-0.22</v>
      </c>
      <c r="DB160" s="107">
        <f>DB159/CW159-1</f>
      </c>
      <c r="DC160" s="414">
        <v>-0.15</v>
      </c>
      <c r="DD160" s="412">
        <v>-0.06</v>
      </c>
      <c r="DE160" s="114">
        <v>-4.8000000000000001E-2</v>
      </c>
      <c r="DF160" s="114">
        <v>-0.02</v>
      </c>
      <c r="DG160" s="107">
        <f>DG159/DB159-1</f>
      </c>
      <c r="DH160" s="414">
        <v>-0.01</v>
      </c>
      <c r="DI160" s="412">
        <v>0</v>
      </c>
      <c r="DJ160" s="114">
        <v>0.05</v>
      </c>
      <c r="DK160" s="114">
        <v>0.05</v>
      </c>
      <c r="DL160" s="114">
        <v>0.01</v>
      </c>
      <c r="DM160" s="293">
        <f>DM159/DH159-1</f>
      </c>
      <c r="DN160" s="412">
        <v>0.04</v>
      </c>
      <c r="DO160" s="114">
        <v>0.04</v>
      </c>
      <c r="DP160" s="114">
        <v>0.04</v>
      </c>
      <c r="DQ160" s="114">
        <v>7.0000000000000007E-2</v>
      </c>
      <c r="DR160" s="293">
        <f>DR159/DM159-1</f>
      </c>
      <c r="DS160" s="412">
        <v>0.03</v>
      </c>
      <c r="DT160" s="439">
        <v>-0.05</v>
      </c>
      <c r="DU160" s="114">
        <v>0.09</v>
      </c>
      <c r="DV160" s="114">
        <v>0.09</v>
      </c>
      <c r="DW160" s="293">
        <f>DW159/DR159-1</f>
      </c>
      <c r="DX160" s="412">
        <v>0.09</v>
      </c>
      <c r="DY160" s="114">
        <v>0.182</v>
      </c>
      <c r="DZ160" s="114">
        <v>0</v>
      </c>
      <c r="EA160" s="114">
        <v>-0.04</v>
      </c>
      <c r="EB160" s="293">
        <f>EB159/DW159-1</f>
      </c>
      <c r="EC160" s="412">
        <v>-0.22</v>
      </c>
      <c r="ED160" s="114">
        <v>0.01</v>
      </c>
      <c r="EE160" s="114">
        <v>0.1</v>
      </c>
      <c r="EF160" s="114">
        <v>-0.03</v>
      </c>
      <c r="EG160" s="293">
        <f>EG159/EB159-1</f>
      </c>
      <c r="EH160" s="412">
        <v>0.1</v>
      </c>
      <c r="EI160" s="114">
        <v>0.25</v>
      </c>
      <c r="EJ160" s="114">
        <v>0.11</v>
      </c>
      <c r="EK160" s="114">
        <v>-0.02</v>
      </c>
      <c r="EL160" s="414">
        <v>0.11</v>
      </c>
      <c r="EM160" s="412">
        <v>-0.15</v>
      </c>
      <c r="EN160" s="114">
        <v>-0.39</v>
      </c>
      <c r="EO160" s="114">
        <v>-0.28000000000000003</v>
      </c>
      <c r="EP160" s="114">
        <v>-0.12</v>
      </c>
      <c r="EQ160" s="293">
        <f>EQ159/EL159-1</f>
      </c>
      <c r="ER160" s="412">
        <v>0.04</v>
      </c>
      <c r="ES160" s="114">
        <v>0.11</v>
      </c>
      <c r="ET160" s="439">
        <v>0.11</v>
      </c>
      <c r="EU160" s="439">
        <v>0.04</v>
      </c>
      <c r="EV160" s="293">
        <f>EV159/EQ159-1</f>
      </c>
      <c r="EW160" s="412"/>
      <c r="EX160" s="114"/>
      <c r="EY160" s="114"/>
      <c r="EZ160" s="114"/>
      <c r="FA160" s="293"/>
      <c r="FB160" s="412"/>
      <c r="FC160" s="114"/>
      <c r="FD160" s="114"/>
      <c r="FE160" s="114"/>
      <c r="FF160" s="293"/>
      <c r="FG160" s="412"/>
      <c r="FH160" s="114"/>
      <c r="FI160" s="114"/>
      <c r="FJ160" s="114"/>
      <c r="FK160" s="293"/>
      <c r="FL160" s="412"/>
      <c r="FM160" s="114"/>
      <c r="FN160" s="114"/>
      <c r="FO160" s="114"/>
      <c r="FP160" s="293"/>
      <c r="FQ160" s="412"/>
      <c r="FR160" s="114"/>
      <c r="FS160" s="114"/>
      <c r="FT160" s="114"/>
      <c r="FU160" s="293"/>
      <c r="FV160" s="412"/>
      <c r="FW160" s="114"/>
      <c r="FX160" s="114"/>
      <c r="FY160" s="114"/>
      <c r="FZ160" s="293"/>
      <c r="GA160" s="412"/>
      <c r="GB160" s="114"/>
      <c r="GC160" s="114"/>
      <c r="GD160" s="114"/>
      <c r="GE160" s="293"/>
      <c r="GF160" s="412"/>
      <c r="GG160" s="114"/>
      <c r="GH160" s="114"/>
      <c r="GI160" s="114"/>
      <c r="GJ160" s="382"/>
    </row>
    <row r="161" spans="1:192" ht="12.75" hidden="1" customHeight="1" outlineLevel="1">
      <c r="B161" s="735" t="s">
        <v>197</v>
      </c>
      <c r="C161" s="291"/>
      <c r="D161" s="107"/>
      <c r="E161" s="107"/>
      <c r="F161" s="107"/>
      <c r="G161" s="293"/>
      <c r="H161" s="291"/>
      <c r="I161" s="107"/>
      <c r="J161" s="107"/>
      <c r="K161" s="107"/>
      <c r="L161" s="293"/>
      <c r="M161" s="291"/>
      <c r="N161" s="107"/>
      <c r="O161" s="107"/>
      <c r="P161" s="107"/>
      <c r="Q161" s="293"/>
      <c r="R161" s="291"/>
      <c r="S161" s="107"/>
      <c r="T161" s="107"/>
      <c r="U161" s="107"/>
      <c r="V161" s="293"/>
      <c r="W161" s="291"/>
      <c r="X161" s="107"/>
      <c r="Y161" s="107"/>
      <c r="Z161" s="107"/>
      <c r="AA161" s="293"/>
      <c r="AB161" s="291"/>
      <c r="AC161" s="107"/>
      <c r="AD161" s="107"/>
      <c r="AE161" s="107"/>
      <c r="AF161" s="293"/>
      <c r="AG161" s="291"/>
      <c r="AH161" s="107"/>
      <c r="AI161" s="107"/>
      <c r="AJ161" s="107"/>
      <c r="AK161" s="293"/>
      <c r="AL161" s="291"/>
      <c r="AM161" s="107"/>
      <c r="AN161" s="107"/>
      <c r="AO161" s="107"/>
      <c r="AP161" s="293"/>
      <c r="AQ161" s="291"/>
      <c r="AR161" s="107"/>
      <c r="AS161" s="107"/>
      <c r="AT161" s="107"/>
      <c r="AU161" s="293"/>
      <c r="AV161" s="291"/>
      <c r="AW161" s="107"/>
      <c r="AX161" s="107"/>
      <c r="AY161" s="107"/>
      <c r="AZ161" s="293"/>
      <c r="BA161" s="291"/>
      <c r="BB161" s="107"/>
      <c r="BC161" s="107"/>
      <c r="BD161" s="107"/>
      <c r="BE161" s="293"/>
      <c r="BF161" s="291"/>
      <c r="BG161" s="107"/>
      <c r="BH161" s="107"/>
      <c r="BI161" s="107"/>
      <c r="BJ161" s="293"/>
      <c r="BK161" s="291"/>
      <c r="BL161" s="107"/>
      <c r="BM161" s="107"/>
      <c r="BN161" s="107"/>
      <c r="BO161" s="293"/>
      <c r="BP161" s="291"/>
      <c r="BQ161" s="107"/>
      <c r="BR161" s="107"/>
      <c r="BS161" s="107"/>
      <c r="BT161" s="293"/>
      <c r="BU161" s="412"/>
      <c r="BV161" s="114"/>
      <c r="BW161" s="114"/>
      <c r="BX161" s="114"/>
      <c r="BY161" s="293"/>
      <c r="BZ161" s="412"/>
      <c r="CA161" s="114"/>
      <c r="CB161" s="114"/>
      <c r="CC161" s="114"/>
      <c r="CD161" s="293"/>
      <c r="CE161" s="412"/>
      <c r="CF161" s="114"/>
      <c r="CG161" s="114"/>
      <c r="CH161" s="114"/>
      <c r="CI161" s="293"/>
      <c r="CJ161" s="412"/>
      <c r="CK161" s="114"/>
      <c r="CL161" s="114"/>
      <c r="CM161" s="114"/>
      <c r="CN161" s="293"/>
      <c r="CO161" s="412"/>
      <c r="CP161" s="802"/>
      <c r="CQ161" s="114"/>
      <c r="CR161" s="114"/>
      <c r="CS161" s="293"/>
      <c r="CT161" s="412"/>
      <c r="CU161" s="114"/>
      <c r="CV161" s="114"/>
      <c r="CW161" s="114"/>
      <c r="CX161" s="293"/>
      <c r="CY161" s="412"/>
      <c r="CZ161" s="114"/>
      <c r="DA161" s="114"/>
      <c r="DB161" s="114"/>
      <c r="DC161" s="414"/>
      <c r="DD161" s="412"/>
      <c r="DE161" s="114"/>
      <c r="DF161" s="114"/>
      <c r="DG161" s="114"/>
      <c r="DH161" s="293"/>
      <c r="DI161" s="412"/>
      <c r="DJ161" s="114"/>
      <c r="DK161" s="114">
        <v>0.05</v>
      </c>
      <c r="DL161" s="114">
        <v>0.01</v>
      </c>
      <c r="DM161" s="293"/>
      <c r="DN161" s="412">
        <v>0.04</v>
      </c>
      <c r="DO161" s="114">
        <v>0.04</v>
      </c>
      <c r="DP161" s="114">
        <v>0.04</v>
      </c>
      <c r="DQ161" s="114">
        <v>7.0000000000000007E-2</v>
      </c>
      <c r="DR161" s="293"/>
      <c r="DS161" s="412">
        <v>0.03</v>
      </c>
      <c r="DT161" s="439">
        <v>-0.05</v>
      </c>
      <c r="DU161" s="114">
        <v>0.09</v>
      </c>
      <c r="DV161" s="114">
        <v>0.09</v>
      </c>
      <c r="DW161" s="293"/>
      <c r="DX161" s="412">
        <v>0.09</v>
      </c>
      <c r="DY161" s="114">
        <v>0.18</v>
      </c>
      <c r="DZ161" s="114">
        <v>0</v>
      </c>
      <c r="EA161" s="114">
        <v>-0.04</v>
      </c>
      <c r="EB161" s="293"/>
      <c r="EC161" s="412">
        <v>-0.22</v>
      </c>
      <c r="ED161" s="114">
        <v>0.01</v>
      </c>
      <c r="EE161" s="114">
        <v>0.1</v>
      </c>
      <c r="EF161" s="114">
        <v>-0.03</v>
      </c>
      <c r="EG161" s="293"/>
      <c r="EH161" s="412">
        <v>0.1</v>
      </c>
      <c r="EI161" s="114">
        <v>0.25</v>
      </c>
      <c r="EJ161" s="114">
        <v>0.11</v>
      </c>
      <c r="EK161" s="114">
        <v>-0.02</v>
      </c>
      <c r="EL161" s="293"/>
      <c r="EM161" s="412">
        <v>-0.15</v>
      </c>
      <c r="EN161" s="114">
        <v>-0.39</v>
      </c>
      <c r="EO161" s="114">
        <v>-0.28000000000000003</v>
      </c>
      <c r="EP161" s="114">
        <v>-0.12</v>
      </c>
      <c r="EQ161" s="293"/>
      <c r="ER161" s="412">
        <v>0.04</v>
      </c>
      <c r="ES161" s="412">
        <v>0.11</v>
      </c>
      <c r="ET161" s="439">
        <v>0.11</v>
      </c>
      <c r="EU161" s="439">
        <v>0.04</v>
      </c>
      <c r="EV161" s="293"/>
      <c r="EW161" s="291"/>
      <c r="EX161" s="107"/>
      <c r="EY161" s="107"/>
      <c r="EZ161" s="107"/>
      <c r="FA161" s="293"/>
      <c r="FB161" s="291"/>
      <c r="FC161" s="107"/>
      <c r="FD161" s="107"/>
      <c r="FE161" s="107"/>
      <c r="FF161" s="293"/>
      <c r="FG161" s="291"/>
      <c r="FH161" s="107"/>
      <c r="FI161" s="107"/>
      <c r="FJ161" s="107"/>
      <c r="FK161" s="293"/>
      <c r="FL161" s="291"/>
      <c r="FM161" s="107"/>
      <c r="FN161" s="107"/>
      <c r="FO161" s="107"/>
      <c r="FP161" s="293"/>
      <c r="FQ161" s="291"/>
      <c r="FR161" s="107"/>
      <c r="FS161" s="107"/>
      <c r="FT161" s="107"/>
      <c r="FU161" s="293"/>
      <c r="FV161" s="291"/>
      <c r="FW161" s="107"/>
      <c r="FX161" s="107"/>
      <c r="FY161" s="107"/>
      <c r="FZ161" s="293"/>
      <c r="GA161" s="291"/>
      <c r="GB161" s="107"/>
      <c r="GC161" s="107"/>
      <c r="GD161" s="107"/>
      <c r="GE161" s="293"/>
      <c r="GF161" s="291"/>
      <c r="GG161" s="107"/>
      <c r="GH161" s="107"/>
      <c r="GI161" s="107"/>
      <c r="GJ161" s="382"/>
    </row>
    <row r="162" spans="1:192" ht="12.75" hidden="1" customHeight="1" outlineLevel="1">
      <c r="B162" s="735" t="s">
        <v>36</v>
      </c>
      <c r="C162" s="291"/>
      <c r="D162" s="107"/>
      <c r="E162" s="107"/>
      <c r="F162" s="107"/>
      <c r="G162" s="293"/>
      <c r="H162" s="291"/>
      <c r="I162" s="107"/>
      <c r="J162" s="107"/>
      <c r="K162" s="107"/>
      <c r="L162" s="293"/>
      <c r="M162" s="291"/>
      <c r="N162" s="107"/>
      <c r="O162" s="107"/>
      <c r="P162" s="107"/>
      <c r="Q162" s="293"/>
      <c r="R162" s="291"/>
      <c r="S162" s="107"/>
      <c r="T162" s="107"/>
      <c r="U162" s="107"/>
      <c r="V162" s="293"/>
      <c r="W162" s="291"/>
      <c r="X162" s="107"/>
      <c r="Y162" s="107"/>
      <c r="Z162" s="107"/>
      <c r="AA162" s="293"/>
      <c r="AB162" s="291"/>
      <c r="AC162" s="107"/>
      <c r="AD162" s="107"/>
      <c r="AE162" s="107"/>
      <c r="AF162" s="293"/>
      <c r="AG162" s="291"/>
      <c r="AH162" s="107"/>
      <c r="AI162" s="107"/>
      <c r="AJ162" s="107"/>
      <c r="AK162" s="293"/>
      <c r="AL162" s="291"/>
      <c r="AM162" s="107"/>
      <c r="AN162" s="107"/>
      <c r="AO162" s="107"/>
      <c r="AP162" s="293"/>
      <c r="AQ162" s="291"/>
      <c r="AR162" s="107"/>
      <c r="AS162" s="107"/>
      <c r="AT162" s="107"/>
      <c r="AU162" s="293"/>
      <c r="AV162" s="291"/>
      <c r="AW162" s="107"/>
      <c r="AX162" s="107"/>
      <c r="AY162" s="107"/>
      <c r="AZ162" s="293"/>
      <c r="BA162" s="291"/>
      <c r="BB162" s="107"/>
      <c r="BC162" s="107"/>
      <c r="BD162" s="107"/>
      <c r="BE162" s="293"/>
      <c r="BF162" s="291"/>
      <c r="BG162" s="107"/>
      <c r="BH162" s="107"/>
      <c r="BI162" s="107"/>
      <c r="BJ162" s="293"/>
      <c r="BK162" s="291"/>
      <c r="BL162" s="107"/>
      <c r="BM162" s="107"/>
      <c r="BN162" s="107"/>
      <c r="BO162" s="293"/>
      <c r="BP162" s="291"/>
      <c r="BQ162" s="107"/>
      <c r="BR162" s="107"/>
      <c r="BS162" s="107"/>
      <c r="BT162" s="293"/>
      <c r="BU162" s="291"/>
      <c r="BV162" s="107"/>
      <c r="BW162" s="107"/>
      <c r="BX162" s="107"/>
      <c r="BY162" s="293"/>
      <c r="BZ162" s="291"/>
      <c r="CA162" s="107"/>
      <c r="CB162" s="107"/>
      <c r="CC162" s="107"/>
      <c r="CD162" s="293"/>
      <c r="CE162" s="291"/>
      <c r="CF162" s="107"/>
      <c r="CG162" s="107"/>
      <c r="CH162" s="107"/>
      <c r="CI162" s="293"/>
      <c r="CJ162" s="291"/>
      <c r="CK162" s="107"/>
      <c r="CL162" s="107"/>
      <c r="CM162" s="107"/>
      <c r="CN162" s="293"/>
      <c r="CO162" s="291"/>
      <c r="CP162" s="107"/>
      <c r="CQ162" s="107"/>
      <c r="CR162" s="107"/>
      <c r="CS162" s="293"/>
      <c r="CT162" s="291"/>
      <c r="CU162" s="107"/>
      <c r="CV162" s="107"/>
      <c r="CW162" s="107"/>
      <c r="CX162" s="293"/>
      <c r="CY162" s="291"/>
      <c r="CZ162" s="107">
        <f>CZ159/CY159-1</f>
      </c>
      <c r="DA162" s="107">
        <f>DA159/CZ159-1</f>
      </c>
      <c r="DB162" s="107">
        <f>DB159/DA159-1</f>
      </c>
      <c r="DC162" s="414"/>
      <c r="DD162" s="291">
        <f>DD159/DB159-1</f>
      </c>
      <c r="DE162" s="107">
        <f>DE159/DD159-1</f>
      </c>
      <c r="DF162" s="107">
        <f>DF159/DE159-1</f>
      </c>
      <c r="DG162" s="107">
        <f>DG159/DF159-1</f>
      </c>
      <c r="DH162" s="293"/>
      <c r="DI162" s="291">
        <f>DI159/DG159-1</f>
      </c>
      <c r="DJ162" s="107">
        <f>DJ159/DI159-1</f>
      </c>
      <c r="DK162" s="107">
        <f>DK159/DJ159-1</f>
      </c>
      <c r="DL162" s="107">
        <f>DL159/DK159-1</f>
      </c>
      <c r="DM162" s="292"/>
      <c r="DN162" s="291">
        <f>DN159/DL159-1</f>
      </c>
      <c r="DO162" s="107">
        <f>DO159/DN159-1</f>
      </c>
      <c r="DP162" s="107">
        <f>DP159/DO159-1</f>
      </c>
      <c r="DQ162" s="107">
        <f>DQ159/DP159-1</f>
      </c>
      <c r="DR162" s="292"/>
      <c r="DS162" s="291">
        <f>DS159/DQ159-1</f>
      </c>
      <c r="DT162" s="468">
        <f>DT159/DS159-1</f>
      </c>
      <c r="DU162" s="107">
        <f>DU159/DT159-1</f>
      </c>
      <c r="DV162" s="107">
        <f>DV159/DU159-1</f>
      </c>
      <c r="DW162" s="292"/>
      <c r="DX162" s="291">
        <f>DX159/DV159-1</f>
      </c>
      <c r="DY162" s="107">
        <f>DY159/DX159-1</f>
      </c>
      <c r="DZ162" s="107">
        <f>DZ159/DY159-1</f>
      </c>
      <c r="EA162" s="107">
        <f>EA159/DZ159-1</f>
      </c>
      <c r="EB162" s="292"/>
      <c r="EC162" s="291">
        <f>EC159/EA159-1</f>
      </c>
      <c r="ED162" s="107">
        <f>ED159/EC159-1</f>
      </c>
      <c r="EE162" s="107">
        <f>EE159/ED159-1</f>
      </c>
      <c r="EF162" s="107">
        <f>EF159/EE159-1</f>
      </c>
      <c r="EG162" s="292"/>
      <c r="EH162" s="291">
        <f>EH159/EF159-1</f>
      </c>
      <c r="EI162" s="107">
        <f>EI159/EH159-1</f>
      </c>
      <c r="EJ162" s="107">
        <f>EJ159/EI159-1</f>
      </c>
      <c r="EK162" s="107">
        <f>EK159/EJ159-1</f>
      </c>
      <c r="EL162" s="292"/>
      <c r="EM162" s="291">
        <f>EM159/EK159-1</f>
      </c>
      <c r="EN162" s="107">
        <f>EN159/EM159-1</f>
      </c>
      <c r="EO162" s="107">
        <f>EO159/EN159-1</f>
      </c>
      <c r="EP162" s="107">
        <f>EP159/EO159-1</f>
      </c>
      <c r="EQ162" s="292"/>
      <c r="ER162" s="291">
        <f>ER159/EP159-1</f>
      </c>
      <c r="ES162" s="107">
        <f>ES159/ER159-1</f>
      </c>
      <c r="ET162" s="107">
        <f>ET159/ES159-1</f>
      </c>
      <c r="EU162" s="468">
        <f>EU159/ET159-1</f>
      </c>
      <c r="EV162" s="292"/>
      <c r="EW162" s="291"/>
      <c r="EX162" s="107"/>
      <c r="EY162" s="107"/>
      <c r="EZ162" s="107"/>
      <c r="FA162" s="292"/>
      <c r="FB162" s="291"/>
      <c r="FC162" s="107"/>
      <c r="FD162" s="107"/>
      <c r="FE162" s="107"/>
      <c r="FF162" s="292"/>
      <c r="FG162" s="291"/>
      <c r="FH162" s="107"/>
      <c r="FI162" s="107"/>
      <c r="FJ162" s="107"/>
      <c r="FK162" s="292"/>
      <c r="FL162" s="291"/>
      <c r="FM162" s="107"/>
      <c r="FN162" s="107"/>
      <c r="FO162" s="107"/>
      <c r="FP162" s="292"/>
      <c r="FQ162" s="291"/>
      <c r="FR162" s="107"/>
      <c r="FS162" s="107"/>
      <c r="FT162" s="107"/>
      <c r="FU162" s="292"/>
      <c r="FV162" s="291"/>
      <c r="FW162" s="107"/>
      <c r="FX162" s="107"/>
      <c r="FY162" s="107"/>
      <c r="FZ162" s="293"/>
      <c r="GA162" s="291"/>
      <c r="GB162" s="107"/>
      <c r="GC162" s="107"/>
      <c r="GD162" s="107"/>
      <c r="GE162" s="293"/>
      <c r="GF162" s="291"/>
      <c r="GG162" s="107"/>
      <c r="GH162" s="107"/>
      <c r="GI162" s="107"/>
      <c r="GJ162" s="382"/>
    </row>
    <row r="163" spans="1:192" s="461" customFormat="1" ht="12.75" hidden="1" customHeight="1" outlineLevel="1">
      <c r="A163" s="850"/>
      <c r="B163" s="735" t="s">
        <v>243</v>
      </c>
      <c r="C163" s="447"/>
      <c r="D163" s="458"/>
      <c r="E163" s="458"/>
      <c r="F163" s="458"/>
      <c r="G163" s="459"/>
      <c r="H163" s="447"/>
      <c r="I163" s="458"/>
      <c r="J163" s="458"/>
      <c r="K163" s="458"/>
      <c r="L163" s="459"/>
      <c r="M163" s="447"/>
      <c r="N163" s="458"/>
      <c r="O163" s="458"/>
      <c r="P163" s="458"/>
      <c r="Q163" s="459"/>
      <c r="R163" s="447"/>
      <c r="S163" s="458"/>
      <c r="T163" s="458"/>
      <c r="U163" s="458"/>
      <c r="V163" s="459"/>
      <c r="W163" s="447"/>
      <c r="X163" s="458"/>
      <c r="Y163" s="458"/>
      <c r="Z163" s="458"/>
      <c r="AA163" s="459"/>
      <c r="AB163" s="447"/>
      <c r="AC163" s="458"/>
      <c r="AD163" s="458"/>
      <c r="AE163" s="458"/>
      <c r="AF163" s="459"/>
      <c r="AG163" s="447"/>
      <c r="AH163" s="458"/>
      <c r="AI163" s="458"/>
      <c r="AJ163" s="458"/>
      <c r="AK163" s="459"/>
      <c r="AL163" s="447"/>
      <c r="AM163" s="458"/>
      <c r="AN163" s="458"/>
      <c r="AO163" s="458"/>
      <c r="AP163" s="459"/>
      <c r="AQ163" s="447"/>
      <c r="AR163" s="458"/>
      <c r="AS163" s="458"/>
      <c r="AT163" s="458"/>
      <c r="AU163" s="459"/>
      <c r="AV163" s="447"/>
      <c r="AW163" s="458"/>
      <c r="AX163" s="458"/>
      <c r="AY163" s="458"/>
      <c r="AZ163" s="459"/>
      <c r="BA163" s="447"/>
      <c r="BB163" s="458"/>
      <c r="BC163" s="458"/>
      <c r="BD163" s="458"/>
      <c r="BE163" s="459"/>
      <c r="BF163" s="447"/>
      <c r="BG163" s="458"/>
      <c r="BH163" s="458"/>
      <c r="BI163" s="458"/>
      <c r="BJ163" s="459"/>
      <c r="BK163" s="447"/>
      <c r="BL163" s="458"/>
      <c r="BM163" s="458"/>
      <c r="BN163" s="458"/>
      <c r="BO163" s="459"/>
      <c r="BP163" s="447"/>
      <c r="BQ163" s="458"/>
      <c r="BR163" s="458"/>
      <c r="BS163" s="458"/>
      <c r="BT163" s="459"/>
      <c r="BU163" s="447"/>
      <c r="BV163" s="458"/>
      <c r="BW163" s="458"/>
      <c r="BX163" s="458"/>
      <c r="BY163" s="459"/>
      <c r="BZ163" s="447"/>
      <c r="CA163" s="458"/>
      <c r="CB163" s="458"/>
      <c r="CC163" s="458"/>
      <c r="CD163" s="459"/>
      <c r="CE163" s="447"/>
      <c r="CF163" s="458"/>
      <c r="CG163" s="458"/>
      <c r="CH163" s="458"/>
      <c r="CI163" s="459"/>
      <c r="CJ163" s="447"/>
      <c r="CK163" s="458"/>
      <c r="CL163" s="458"/>
      <c r="CM163" s="458"/>
      <c r="CN163" s="459"/>
      <c r="CO163" s="447"/>
      <c r="CP163" s="458"/>
      <c r="CQ163" s="458"/>
      <c r="CR163" s="458"/>
      <c r="CS163" s="459"/>
      <c r="CT163" s="448">
        <v>-237</v>
      </c>
      <c r="CU163" s="458"/>
      <c r="CV163" s="458"/>
      <c r="CW163" s="458"/>
      <c r="CX163" s="459"/>
      <c r="CY163" s="447"/>
      <c r="CZ163" s="1376">
        <v>-455</v>
      </c>
      <c r="DA163" s="1376">
        <v>-698</v>
      </c>
      <c r="DB163" s="458"/>
      <c r="DC163" s="812">
        <v>-1900</v>
      </c>
      <c r="DD163" s="1377">
        <v>-189</v>
      </c>
      <c r="DE163" s="1376">
        <v>-138</v>
      </c>
      <c r="DF163" s="458">
        <f>DF159-DA159</f>
      </c>
      <c r="DG163" s="458">
        <f>DG159-DB159</f>
      </c>
      <c r="DH163" s="459"/>
      <c r="DI163" s="458">
        <f t="shared" ref="DI163:EN163" si="144">DI159-DD159</f>
      </c>
      <c r="DJ163" s="458">
        <f t="shared" si="144"/>
      </c>
      <c r="DK163" s="458">
        <f t="shared" si="144"/>
      </c>
      <c r="DL163" s="458">
        <f t="shared" si="144"/>
      </c>
      <c r="DM163" s="459">
        <f t="shared" si="144"/>
      </c>
      <c r="DN163" s="458">
        <f t="shared" si="144"/>
      </c>
      <c r="DO163" s="458">
        <f t="shared" si="144"/>
      </c>
      <c r="DP163" s="458">
        <f t="shared" si="144"/>
      </c>
      <c r="DQ163" s="458">
        <f t="shared" si="144"/>
      </c>
      <c r="DR163" s="459">
        <f t="shared" si="144"/>
      </c>
      <c r="DS163" s="458">
        <f t="shared" si="144"/>
      </c>
      <c r="DT163" s="679">
        <f t="shared" si="144"/>
      </c>
      <c r="DU163" s="458">
        <f t="shared" si="144"/>
      </c>
      <c r="DV163" s="458">
        <f t="shared" si="144"/>
      </c>
      <c r="DW163" s="459">
        <f t="shared" si="144"/>
      </c>
      <c r="DX163" s="458">
        <f t="shared" si="144"/>
      </c>
      <c r="DY163" s="458">
        <f t="shared" si="144"/>
      </c>
      <c r="DZ163" s="458">
        <f t="shared" si="144"/>
      </c>
      <c r="EA163" s="458">
        <f t="shared" si="144"/>
      </c>
      <c r="EB163" s="459">
        <f t="shared" si="144"/>
      </c>
      <c r="EC163" s="458">
        <f t="shared" si="144"/>
      </c>
      <c r="ED163" s="458">
        <f t="shared" si="144"/>
      </c>
      <c r="EE163" s="458">
        <f t="shared" si="144"/>
      </c>
      <c r="EF163" s="458">
        <f t="shared" si="144"/>
      </c>
      <c r="EG163" s="459">
        <f t="shared" si="144"/>
      </c>
      <c r="EH163" s="458">
        <f t="shared" si="144"/>
      </c>
      <c r="EI163" s="458">
        <f t="shared" si="144"/>
      </c>
      <c r="EJ163" s="458">
        <f t="shared" si="144"/>
      </c>
      <c r="EK163" s="458">
        <f t="shared" si="144"/>
      </c>
      <c r="EL163" s="459">
        <f t="shared" si="144"/>
      </c>
      <c r="EM163" s="458">
        <f t="shared" si="144"/>
      </c>
      <c r="EN163" s="458">
        <f t="shared" si="144"/>
      </c>
      <c r="EO163" s="458">
        <f t="shared" ref="EO163:ET163" si="145">EO159-EJ159</f>
      </c>
      <c r="EP163" s="458">
        <f t="shared" si="145"/>
      </c>
      <c r="EQ163" s="459">
        <f t="shared" si="145"/>
      </c>
      <c r="ER163" s="458">
        <f t="shared" si="145"/>
      </c>
      <c r="ES163" s="458">
        <f t="shared" si="145"/>
      </c>
      <c r="ET163" s="458">
        <f t="shared" si="145"/>
      </c>
      <c r="EU163" s="458">
        <f>EU159-EP159</f>
      </c>
      <c r="EV163" s="459">
        <f>EV159-EQ159</f>
      </c>
      <c r="EW163" s="458"/>
      <c r="EX163" s="458"/>
      <c r="EY163" s="458"/>
      <c r="EZ163" s="458"/>
      <c r="FA163" s="459"/>
      <c r="FB163" s="458"/>
      <c r="FC163" s="458"/>
      <c r="FD163" s="458"/>
      <c r="FE163" s="458"/>
      <c r="FF163" s="459"/>
      <c r="FG163" s="458"/>
      <c r="FH163" s="458"/>
      <c r="FI163" s="458"/>
      <c r="FJ163" s="458"/>
      <c r="FK163" s="459"/>
      <c r="FL163" s="458"/>
      <c r="FM163" s="458"/>
      <c r="FN163" s="458"/>
      <c r="FO163" s="458"/>
      <c r="FP163" s="459"/>
      <c r="FQ163" s="458"/>
      <c r="FR163" s="458"/>
      <c r="FS163" s="458"/>
      <c r="FT163" s="458"/>
      <c r="FU163" s="459"/>
      <c r="FV163" s="447"/>
      <c r="FW163" s="458"/>
      <c r="FX163" s="458"/>
      <c r="FY163" s="458"/>
      <c r="FZ163" s="459"/>
      <c r="GA163" s="447"/>
      <c r="GB163" s="458"/>
      <c r="GC163" s="458"/>
      <c r="GD163" s="458"/>
      <c r="GE163" s="459"/>
      <c r="GF163" s="447"/>
      <c r="GG163" s="458"/>
      <c r="GH163" s="458"/>
      <c r="GI163" s="458"/>
      <c r="GJ163" s="460"/>
    </row>
    <row r="164" spans="1:192" s="461" customFormat="1" ht="12.75" hidden="1" customHeight="1" outlineLevel="1">
      <c r="A164" s="850"/>
      <c r="B164" s="735" t="s">
        <v>244</v>
      </c>
      <c r="C164" s="447"/>
      <c r="D164" s="458"/>
      <c r="E164" s="458"/>
      <c r="F164" s="458"/>
      <c r="G164" s="459"/>
      <c r="H164" s="447"/>
      <c r="I164" s="458"/>
      <c r="J164" s="458"/>
      <c r="K164" s="458"/>
      <c r="L164" s="459"/>
      <c r="M164" s="447"/>
      <c r="N164" s="458"/>
      <c r="O164" s="458"/>
      <c r="P164" s="458"/>
      <c r="Q164" s="459"/>
      <c r="R164" s="447"/>
      <c r="S164" s="458"/>
      <c r="T164" s="458"/>
      <c r="U164" s="458"/>
      <c r="V164" s="459"/>
      <c r="W164" s="447"/>
      <c r="X164" s="458"/>
      <c r="Y164" s="458"/>
      <c r="Z164" s="458"/>
      <c r="AA164" s="459"/>
      <c r="AB164" s="447"/>
      <c r="AC164" s="458"/>
      <c r="AD164" s="458"/>
      <c r="AE164" s="458"/>
      <c r="AF164" s="459"/>
      <c r="AG164" s="447"/>
      <c r="AH164" s="458"/>
      <c r="AI164" s="458"/>
      <c r="AJ164" s="458"/>
      <c r="AK164" s="459"/>
      <c r="AL164" s="447"/>
      <c r="AM164" s="458"/>
      <c r="AN164" s="458"/>
      <c r="AO164" s="458"/>
      <c r="AP164" s="459"/>
      <c r="AQ164" s="447"/>
      <c r="AR164" s="458"/>
      <c r="AS164" s="458"/>
      <c r="AT164" s="458"/>
      <c r="AU164" s="459"/>
      <c r="AV164" s="447"/>
      <c r="AW164" s="458"/>
      <c r="AX164" s="458"/>
      <c r="AY164" s="458"/>
      <c r="AZ164" s="459"/>
      <c r="BA164" s="447"/>
      <c r="BB164" s="458"/>
      <c r="BC164" s="458"/>
      <c r="BD164" s="458"/>
      <c r="BE164" s="459"/>
      <c r="BF164" s="447"/>
      <c r="BG164" s="458"/>
      <c r="BH164" s="458"/>
      <c r="BI164" s="458"/>
      <c r="BJ164" s="459"/>
      <c r="BK164" s="447"/>
      <c r="BL164" s="458"/>
      <c r="BM164" s="458"/>
      <c r="BN164" s="458"/>
      <c r="BO164" s="459"/>
      <c r="BP164" s="447"/>
      <c r="BQ164" s="458"/>
      <c r="BR164" s="458"/>
      <c r="BS164" s="458"/>
      <c r="BT164" s="459"/>
      <c r="BU164" s="447"/>
      <c r="BV164" s="458"/>
      <c r="BW164" s="458"/>
      <c r="BX164" s="458"/>
      <c r="BY164" s="459"/>
      <c r="BZ164" s="447"/>
      <c r="CA164" s="458"/>
      <c r="CB164" s="458"/>
      <c r="CC164" s="458"/>
      <c r="CD164" s="459"/>
      <c r="CE164" s="447"/>
      <c r="CF164" s="458"/>
      <c r="CG164" s="458"/>
      <c r="CH164" s="458"/>
      <c r="CI164" s="459"/>
      <c r="CJ164" s="447"/>
      <c r="CK164" s="458"/>
      <c r="CL164" s="458"/>
      <c r="CM164" s="458"/>
      <c r="CN164" s="459"/>
      <c r="CO164" s="447"/>
      <c r="CP164" s="458"/>
      <c r="CQ164" s="458"/>
      <c r="CR164" s="458"/>
      <c r="CS164" s="459"/>
      <c r="CT164" s="447"/>
      <c r="CU164" s="458"/>
      <c r="CV164" s="458"/>
      <c r="CW164" s="458"/>
      <c r="CX164" s="459"/>
      <c r="CY164" s="447"/>
      <c r="CZ164" s="458">
        <f>CZ159-CY159</f>
      </c>
      <c r="DA164" s="458">
        <f>DA159-CZ159</f>
      </c>
      <c r="DB164" s="458">
        <f>DB159-DA159</f>
      </c>
      <c r="DC164" s="812"/>
      <c r="DD164" s="447">
        <f>DD159-DB159</f>
      </c>
      <c r="DE164" s="458">
        <f>DE159-DD159</f>
      </c>
      <c r="DF164" s="458">
        <f>DF159-DE159</f>
      </c>
      <c r="DG164" s="458">
        <f>DG159-DF159</f>
      </c>
      <c r="DH164" s="459"/>
      <c r="DI164" s="447">
        <f>DI159-DG159</f>
      </c>
      <c r="DJ164" s="458">
        <f>DJ159-DI159</f>
      </c>
      <c r="DK164" s="458">
        <f>DK159-DJ159</f>
      </c>
      <c r="DL164" s="458">
        <f>DL159-DK159</f>
      </c>
      <c r="DM164" s="459"/>
      <c r="DN164" s="447">
        <f>DN159-DL159</f>
      </c>
      <c r="DO164" s="458">
        <f>DO159-DN159</f>
      </c>
      <c r="DP164" s="458">
        <f>DP159-DO159</f>
      </c>
      <c r="DQ164" s="458">
        <f>DQ159-DP159</f>
      </c>
      <c r="DR164" s="459"/>
      <c r="DS164" s="447">
        <f>DS159-DQ159</f>
      </c>
      <c r="DT164" s="679">
        <f>DT159-DS159</f>
      </c>
      <c r="DU164" s="458">
        <f>DU159-DT159</f>
      </c>
      <c r="DV164" s="458">
        <f>DV159-DU159</f>
      </c>
      <c r="DW164" s="459"/>
      <c r="DX164" s="447">
        <f>DX159-DV159</f>
      </c>
      <c r="DY164" s="458">
        <f>DY159-DX159</f>
      </c>
      <c r="DZ164" s="458">
        <f>DZ159-DY159</f>
      </c>
      <c r="EA164" s="458">
        <f>EA159-DZ159</f>
      </c>
      <c r="EB164" s="459"/>
      <c r="EC164" s="447">
        <f>EC159-EA159</f>
      </c>
      <c r="ED164" s="458">
        <f>ED159-EC159</f>
      </c>
      <c r="EE164" s="458">
        <f>EE159-ED159</f>
      </c>
      <c r="EF164" s="458">
        <f>EF159-EE159</f>
      </c>
      <c r="EG164" s="459"/>
      <c r="EH164" s="447">
        <f>EH159-EF159</f>
      </c>
      <c r="EI164" s="458">
        <f>EI159-EH159</f>
      </c>
      <c r="EJ164" s="458">
        <f>EJ159-EI159</f>
      </c>
      <c r="EK164" s="458">
        <f>EK159-EJ159</f>
      </c>
      <c r="EL164" s="459"/>
      <c r="EM164" s="447">
        <f>EM159-EK159</f>
      </c>
      <c r="EN164" s="458">
        <f>EN159-EM159</f>
      </c>
      <c r="EO164" s="458">
        <f>EO159-EN159</f>
      </c>
      <c r="EP164" s="458">
        <f>EP159-EO159</f>
      </c>
      <c r="EQ164" s="459"/>
      <c r="ER164" s="447">
        <f>ER159-EP159</f>
      </c>
      <c r="ES164" s="458">
        <f>ES159-ER159</f>
      </c>
      <c r="ET164" s="458">
        <f>ET159-ES159</f>
      </c>
      <c r="EU164" s="458">
        <f>EU159-ET159</f>
      </c>
      <c r="EV164" s="459"/>
      <c r="EW164" s="447"/>
      <c r="EX164" s="458"/>
      <c r="EY164" s="458"/>
      <c r="EZ164" s="458"/>
      <c r="FA164" s="459"/>
      <c r="FB164" s="447"/>
      <c r="FC164" s="458"/>
      <c r="FD164" s="458"/>
      <c r="FE164" s="458"/>
      <c r="FF164" s="459"/>
      <c r="FG164" s="447"/>
      <c r="FH164" s="458"/>
      <c r="FI164" s="458"/>
      <c r="FJ164" s="458"/>
      <c r="FK164" s="459"/>
      <c r="FL164" s="447"/>
      <c r="FM164" s="458"/>
      <c r="FN164" s="458"/>
      <c r="FO164" s="458"/>
      <c r="FP164" s="459"/>
      <c r="FQ164" s="447"/>
      <c r="FR164" s="458"/>
      <c r="FS164" s="458"/>
      <c r="FT164" s="458"/>
      <c r="FU164" s="459"/>
      <c r="FV164" s="447"/>
      <c r="FW164" s="458"/>
      <c r="FX164" s="458"/>
      <c r="FY164" s="458"/>
      <c r="FZ164" s="459"/>
      <c r="GA164" s="447"/>
      <c r="GB164" s="458"/>
      <c r="GC164" s="458"/>
      <c r="GD164" s="458"/>
      <c r="GE164" s="459"/>
      <c r="GF164" s="447"/>
      <c r="GG164" s="458"/>
      <c r="GH164" s="458"/>
      <c r="GI164" s="458"/>
      <c r="GJ164" s="460"/>
    </row>
    <row r="165" spans="1:192" s="476" customFormat="1" ht="12.75" hidden="1" customHeight="1" outlineLevel="1">
      <c r="A165" s="850"/>
      <c r="B165" s="735" t="s">
        <v>212</v>
      </c>
      <c r="C165" s="294"/>
      <c r="D165" s="295"/>
      <c r="E165" s="295"/>
      <c r="F165" s="295"/>
      <c r="G165" s="296"/>
      <c r="H165" s="294"/>
      <c r="I165" s="295"/>
      <c r="J165" s="295"/>
      <c r="K165" s="295"/>
      <c r="L165" s="296"/>
      <c r="M165" s="294"/>
      <c r="N165" s="295"/>
      <c r="O165" s="295"/>
      <c r="P165" s="295"/>
      <c r="Q165" s="296"/>
      <c r="R165" s="294"/>
      <c r="S165" s="295"/>
      <c r="T165" s="295"/>
      <c r="U165" s="295"/>
      <c r="V165" s="296"/>
      <c r="W165" s="294"/>
      <c r="X165" s="295"/>
      <c r="Y165" s="295"/>
      <c r="Z165" s="295"/>
      <c r="AA165" s="296"/>
      <c r="AB165" s="294"/>
      <c r="AC165" s="295"/>
      <c r="AD165" s="295"/>
      <c r="AE165" s="295"/>
      <c r="AF165" s="296"/>
      <c r="AG165" s="294"/>
      <c r="AH165" s="295"/>
      <c r="AI165" s="295"/>
      <c r="AJ165" s="295"/>
      <c r="AK165" s="296"/>
      <c r="AL165" s="294"/>
      <c r="AM165" s="295"/>
      <c r="AN165" s="295"/>
      <c r="AO165" s="295"/>
      <c r="AP165" s="296"/>
      <c r="AQ165" s="294"/>
      <c r="AR165" s="295"/>
      <c r="AS165" s="295"/>
      <c r="AT165" s="295"/>
      <c r="AU165" s="296"/>
      <c r="AV165" s="294"/>
      <c r="AW165" s="295"/>
      <c r="AX165" s="295"/>
      <c r="AY165" s="295"/>
      <c r="AZ165" s="296"/>
      <c r="BA165" s="294"/>
      <c r="BB165" s="295"/>
      <c r="BC165" s="295"/>
      <c r="BD165" s="295"/>
      <c r="BE165" s="296"/>
      <c r="BF165" s="294"/>
      <c r="BG165" s="295"/>
      <c r="BH165" s="295"/>
      <c r="BI165" s="295"/>
      <c r="BJ165" s="296"/>
      <c r="BK165" s="294"/>
      <c r="BL165" s="295"/>
      <c r="BM165" s="295"/>
      <c r="BN165" s="295"/>
      <c r="BO165" s="296"/>
      <c r="BP165" s="294"/>
      <c r="BQ165" s="295"/>
      <c r="BR165" s="295"/>
      <c r="BS165" s="295"/>
      <c r="BT165" s="296"/>
      <c r="BU165" s="294"/>
      <c r="BV165" s="295"/>
      <c r="BW165" s="295"/>
      <c r="BX165" s="295"/>
      <c r="BY165" s="296"/>
      <c r="BZ165" s="294"/>
      <c r="CA165" s="295"/>
      <c r="CB165" s="295"/>
      <c r="CC165" s="295"/>
      <c r="CD165" s="296"/>
      <c r="CE165" s="294"/>
      <c r="CF165" s="295"/>
      <c r="CG165" s="295"/>
      <c r="CH165" s="295"/>
      <c r="CI165" s="296"/>
      <c r="CJ165" s="294"/>
      <c r="CK165" s="295"/>
      <c r="CL165" s="295"/>
      <c r="CM165" s="295"/>
      <c r="CN165" s="296"/>
      <c r="CO165" s="294"/>
      <c r="CP165" s="295"/>
      <c r="CQ165" s="295"/>
      <c r="CR165" s="295"/>
      <c r="CS165" s="414">
        <v>0.65</v>
      </c>
      <c r="CT165" s="294"/>
      <c r="CU165" s="295"/>
      <c r="CV165" s="295"/>
      <c r="CW165" s="295"/>
      <c r="CX165" s="296"/>
      <c r="CY165" s="294"/>
      <c r="CZ165" s="295"/>
      <c r="DA165" s="295"/>
      <c r="DB165" s="295"/>
      <c r="DC165" s="296"/>
      <c r="DD165" s="294"/>
      <c r="DE165" s="295"/>
      <c r="DF165" s="295"/>
      <c r="DG165" s="295"/>
      <c r="DH165" s="296"/>
      <c r="DI165" s="295"/>
      <c r="DJ165" s="295"/>
      <c r="DK165" s="295"/>
      <c r="DL165" s="295"/>
      <c r="DM165" s="296">
        <f t="shared" ref="DM165:EV165" si="146">DM159/DM135</f>
      </c>
      <c r="DN165" s="295">
        <f t="shared" si="146"/>
      </c>
      <c r="DO165" s="295">
        <f t="shared" si="146"/>
      </c>
      <c r="DP165" s="295">
        <f t="shared" si="146"/>
      </c>
      <c r="DQ165" s="295">
        <f t="shared" si="146"/>
      </c>
      <c r="DR165" s="296">
        <f t="shared" si="146"/>
      </c>
      <c r="DS165" s="295">
        <f t="shared" si="146"/>
      </c>
      <c r="DT165" s="469">
        <f t="shared" si="146"/>
      </c>
      <c r="DU165" s="295">
        <f t="shared" si="146"/>
      </c>
      <c r="DV165" s="295">
        <f t="shared" si="146"/>
      </c>
      <c r="DW165" s="296">
        <f t="shared" si="146"/>
      </c>
      <c r="DX165" s="295">
        <f t="shared" si="146"/>
      </c>
      <c r="DY165" s="295">
        <f t="shared" si="146"/>
      </c>
      <c r="DZ165" s="295">
        <f t="shared" si="146"/>
      </c>
      <c r="EA165" s="295">
        <f t="shared" si="146"/>
      </c>
      <c r="EB165" s="296">
        <f t="shared" si="146"/>
      </c>
      <c r="EC165" s="295">
        <f t="shared" si="146"/>
      </c>
      <c r="ED165" s="295">
        <f t="shared" si="146"/>
      </c>
      <c r="EE165" s="295">
        <f t="shared" si="146"/>
      </c>
      <c r="EF165" s="295">
        <f t="shared" si="146"/>
      </c>
      <c r="EG165" s="296">
        <f t="shared" si="146"/>
      </c>
      <c r="EH165" s="295">
        <f t="shared" si="146"/>
      </c>
      <c r="EI165" s="295">
        <f t="shared" si="146"/>
      </c>
      <c r="EJ165" s="295">
        <f t="shared" si="146"/>
      </c>
      <c r="EK165" s="295">
        <f t="shared" si="146"/>
      </c>
      <c r="EL165" s="296">
        <f t="shared" si="146"/>
      </c>
      <c r="EM165" s="295">
        <f t="shared" si="146"/>
      </c>
      <c r="EN165" s="295">
        <f t="shared" si="146"/>
      </c>
      <c r="EO165" s="295">
        <f t="shared" si="146"/>
      </c>
      <c r="EP165" s="295">
        <f t="shared" si="146"/>
      </c>
      <c r="EQ165" s="296">
        <f t="shared" si="146"/>
      </c>
      <c r="ER165" s="295">
        <f t="shared" si="146"/>
      </c>
      <c r="ES165" s="295">
        <f t="shared" si="146"/>
      </c>
      <c r="ET165" s="295">
        <f t="shared" si="146"/>
      </c>
      <c r="EU165" s="295">
        <f t="shared" si="146"/>
      </c>
      <c r="EV165" s="296">
        <f t="shared" si="146"/>
      </c>
      <c r="EW165" s="295"/>
      <c r="EX165" s="295"/>
      <c r="EY165" s="295"/>
      <c r="EZ165" s="295"/>
      <c r="FA165" s="296"/>
      <c r="FB165" s="295"/>
      <c r="FC165" s="295"/>
      <c r="FD165" s="295"/>
      <c r="FE165" s="295"/>
      <c r="FF165" s="296"/>
      <c r="FG165" s="295"/>
      <c r="FH165" s="295"/>
      <c r="FI165" s="295"/>
      <c r="FJ165" s="295"/>
      <c r="FK165" s="296"/>
      <c r="FL165" s="295"/>
      <c r="FM165" s="295"/>
      <c r="FN165" s="295"/>
      <c r="FO165" s="295"/>
      <c r="FP165" s="296"/>
      <c r="FQ165" s="295"/>
      <c r="FR165" s="295"/>
      <c r="FS165" s="295"/>
      <c r="FT165" s="295"/>
      <c r="FU165" s="296"/>
      <c r="FV165" s="298"/>
      <c r="FW165" s="295"/>
      <c r="FX165" s="295"/>
      <c r="FY165" s="295"/>
      <c r="FZ165" s="296"/>
      <c r="GA165" s="298"/>
      <c r="GB165" s="295"/>
      <c r="GC165" s="295"/>
      <c r="GD165" s="295"/>
      <c r="GE165" s="296"/>
      <c r="GF165" s="298"/>
      <c r="GG165" s="295"/>
      <c r="GH165" s="295"/>
      <c r="GI165" s="295"/>
      <c r="GJ165" s="383"/>
    </row>
    <row r="166" spans="1:192" s="476" customFormat="1" ht="12.75" hidden="1" customHeight="1" outlineLevel="1">
      <c r="A166" s="850"/>
      <c r="B166" s="735"/>
      <c r="C166" s="294"/>
      <c r="D166" s="295"/>
      <c r="E166" s="295"/>
      <c r="F166" s="295"/>
      <c r="G166" s="296"/>
      <c r="H166" s="294"/>
      <c r="I166" s="295"/>
      <c r="J166" s="295"/>
      <c r="K166" s="295"/>
      <c r="L166" s="296"/>
      <c r="M166" s="294"/>
      <c r="N166" s="295"/>
      <c r="O166" s="295"/>
      <c r="P166" s="295"/>
      <c r="Q166" s="296"/>
      <c r="R166" s="294"/>
      <c r="S166" s="295"/>
      <c r="T166" s="295"/>
      <c r="U166" s="295"/>
      <c r="V166" s="296"/>
      <c r="W166" s="294"/>
      <c r="X166" s="295"/>
      <c r="Y166" s="295"/>
      <c r="Z166" s="295"/>
      <c r="AA166" s="296"/>
      <c r="AB166" s="294"/>
      <c r="AC166" s="295"/>
      <c r="AD166" s="295"/>
      <c r="AE166" s="295"/>
      <c r="AF166" s="296"/>
      <c r="AG166" s="294"/>
      <c r="AH166" s="295"/>
      <c r="AI166" s="295"/>
      <c r="AJ166" s="295"/>
      <c r="AK166" s="296"/>
      <c r="AL166" s="294"/>
      <c r="AM166" s="295"/>
      <c r="AN166" s="295"/>
      <c r="AO166" s="295"/>
      <c r="AP166" s="296"/>
      <c r="AQ166" s="294"/>
      <c r="AR166" s="295"/>
      <c r="AS166" s="295"/>
      <c r="AT166" s="295"/>
      <c r="AU166" s="296"/>
      <c r="AV166" s="294"/>
      <c r="AW166" s="295"/>
      <c r="AX166" s="295"/>
      <c r="AY166" s="295"/>
      <c r="AZ166" s="296"/>
      <c r="BA166" s="294"/>
      <c r="BB166" s="295"/>
      <c r="BC166" s="295"/>
      <c r="BD166" s="295"/>
      <c r="BE166" s="296"/>
      <c r="BF166" s="294"/>
      <c r="BG166" s="295"/>
      <c r="BH166" s="295"/>
      <c r="BI166" s="295"/>
      <c r="BJ166" s="296"/>
      <c r="BK166" s="294"/>
      <c r="BL166" s="295"/>
      <c r="BM166" s="295"/>
      <c r="BN166" s="295"/>
      <c r="BO166" s="296"/>
      <c r="BP166" s="294"/>
      <c r="BQ166" s="295"/>
      <c r="BR166" s="295"/>
      <c r="BS166" s="295"/>
      <c r="BT166" s="296"/>
      <c r="BU166" s="294"/>
      <c r="BV166" s="295"/>
      <c r="BW166" s="295"/>
      <c r="BX166" s="295"/>
      <c r="BY166" s="296"/>
      <c r="BZ166" s="294"/>
      <c r="CA166" s="295"/>
      <c r="CB166" s="295"/>
      <c r="CC166" s="295"/>
      <c r="CD166" s="296"/>
      <c r="CE166" s="294"/>
      <c r="CF166" s="295"/>
      <c r="CG166" s="295"/>
      <c r="CH166" s="295"/>
      <c r="CI166" s="296"/>
      <c r="CJ166" s="294"/>
      <c r="CK166" s="295"/>
      <c r="CL166" s="295"/>
      <c r="CM166" s="295"/>
      <c r="CN166" s="296"/>
      <c r="CO166" s="294"/>
      <c r="CP166" s="295"/>
      <c r="CQ166" s="295"/>
      <c r="CR166" s="295"/>
      <c r="CS166" s="414"/>
      <c r="CT166" s="294"/>
      <c r="CU166" s="295"/>
      <c r="CV166" s="295"/>
      <c r="CW166" s="295"/>
      <c r="CX166" s="296"/>
      <c r="CY166" s="294"/>
      <c r="CZ166" s="295"/>
      <c r="DA166" s="295"/>
      <c r="DB166" s="295"/>
      <c r="DC166" s="296"/>
      <c r="DD166" s="294"/>
      <c r="DE166" s="295"/>
      <c r="DF166" s="295"/>
      <c r="DG166" s="295"/>
      <c r="DH166" s="296"/>
      <c r="DI166" s="295"/>
      <c r="DJ166" s="295"/>
      <c r="DK166" s="295"/>
      <c r="DL166" s="295"/>
      <c r="DM166" s="296"/>
      <c r="DN166" s="295"/>
      <c r="DO166" s="295"/>
      <c r="DP166" s="295"/>
      <c r="DQ166" s="295"/>
      <c r="DR166" s="296"/>
      <c r="DS166" s="295"/>
      <c r="DT166" s="469"/>
      <c r="DU166" s="295"/>
      <c r="DV166" s="295"/>
      <c r="DW166" s="296"/>
      <c r="DX166" s="295"/>
      <c r="DY166" s="295"/>
      <c r="DZ166" s="295"/>
      <c r="EA166" s="295"/>
      <c r="EB166" s="296"/>
      <c r="EC166" s="295"/>
      <c r="ED166" s="295"/>
      <c r="EE166" s="295"/>
      <c r="EF166" s="295"/>
      <c r="EG166" s="296"/>
      <c r="EH166" s="295"/>
      <c r="EI166" s="295"/>
      <c r="EJ166" s="295"/>
      <c r="EK166" s="295"/>
      <c r="EL166" s="296"/>
      <c r="EM166" s="295"/>
      <c r="EN166" s="295"/>
      <c r="EO166" s="295"/>
      <c r="EP166" s="295"/>
      <c r="EQ166" s="296"/>
      <c r="ER166" s="295"/>
      <c r="ES166" s="295"/>
      <c r="ET166" s="295"/>
      <c r="EU166" s="295"/>
      <c r="EV166" s="296"/>
      <c r="EW166" s="295"/>
      <c r="EX166" s="295"/>
      <c r="EY166" s="295"/>
      <c r="EZ166" s="295"/>
      <c r="FA166" s="296"/>
      <c r="FB166" s="295"/>
      <c r="FC166" s="295"/>
      <c r="FD166" s="295"/>
      <c r="FE166" s="295"/>
      <c r="FF166" s="296"/>
      <c r="FG166" s="295"/>
      <c r="FH166" s="295"/>
      <c r="FI166" s="295"/>
      <c r="FJ166" s="295"/>
      <c r="FK166" s="296"/>
      <c r="FL166" s="295"/>
      <c r="FM166" s="295"/>
      <c r="FN166" s="295"/>
      <c r="FO166" s="295"/>
      <c r="FP166" s="296"/>
      <c r="FQ166" s="295"/>
      <c r="FR166" s="295"/>
      <c r="FS166" s="295"/>
      <c r="FT166" s="295"/>
      <c r="FU166" s="296"/>
      <c r="FV166" s="298"/>
      <c r="FW166" s="295"/>
      <c r="FX166" s="295"/>
      <c r="FY166" s="295"/>
      <c r="FZ166" s="296"/>
      <c r="GA166" s="298"/>
      <c r="GB166" s="295"/>
      <c r="GC166" s="295"/>
      <c r="GD166" s="295"/>
      <c r="GE166" s="296"/>
      <c r="GF166" s="298"/>
      <c r="GG166" s="295"/>
      <c r="GH166" s="295"/>
      <c r="GI166" s="295"/>
      <c r="GJ166" s="383"/>
    </row>
    <row r="167" spans="1:192" ht="12.75" hidden="1" customHeight="1" outlineLevel="1">
      <c r="B167" s="735"/>
      <c r="C167" s="291"/>
      <c r="D167" s="107"/>
      <c r="E167" s="107"/>
      <c r="F167" s="107"/>
      <c r="G167" s="292"/>
      <c r="H167" s="291"/>
      <c r="I167" s="107"/>
      <c r="J167" s="107"/>
      <c r="K167" s="107"/>
      <c r="L167" s="292"/>
      <c r="M167" s="291"/>
      <c r="N167" s="107"/>
      <c r="O167" s="107"/>
      <c r="P167" s="107"/>
      <c r="Q167" s="292"/>
      <c r="R167" s="291"/>
      <c r="S167" s="107"/>
      <c r="T167" s="107"/>
      <c r="U167" s="107"/>
      <c r="V167" s="292"/>
      <c r="W167" s="291"/>
      <c r="X167" s="107"/>
      <c r="Y167" s="107"/>
      <c r="Z167" s="107"/>
      <c r="AA167" s="292"/>
      <c r="AB167" s="291"/>
      <c r="AC167" s="107"/>
      <c r="AD167" s="107"/>
      <c r="AE167" s="107"/>
      <c r="AF167" s="292"/>
      <c r="AG167" s="291"/>
      <c r="AH167" s="107"/>
      <c r="AI167" s="107"/>
      <c r="AJ167" s="107"/>
      <c r="AK167" s="292"/>
      <c r="AL167" s="291"/>
      <c r="AM167" s="107"/>
      <c r="AN167" s="107"/>
      <c r="AO167" s="107"/>
      <c r="AP167" s="292"/>
      <c r="AQ167" s="291"/>
      <c r="AR167" s="107"/>
      <c r="AS167" s="107"/>
      <c r="AT167" s="107"/>
      <c r="AU167" s="292"/>
      <c r="AV167" s="291"/>
      <c r="AW167" s="107"/>
      <c r="AX167" s="107"/>
      <c r="AY167" s="107"/>
      <c r="AZ167" s="292"/>
      <c r="BA167" s="291"/>
      <c r="BB167" s="107"/>
      <c r="BC167" s="107"/>
      <c r="BD167" s="107"/>
      <c r="BE167" s="292"/>
      <c r="BF167" s="291"/>
      <c r="BG167" s="107"/>
      <c r="BH167" s="107"/>
      <c r="BI167" s="107"/>
      <c r="BJ167" s="292"/>
      <c r="BK167" s="291"/>
      <c r="BL167" s="107"/>
      <c r="BM167" s="107"/>
      <c r="BN167" s="107"/>
      <c r="BO167" s="292"/>
      <c r="BP167" s="291"/>
      <c r="BQ167" s="107"/>
      <c r="BR167" s="107"/>
      <c r="BS167" s="107"/>
      <c r="BT167" s="292"/>
      <c r="BU167" s="291"/>
      <c r="BV167" s="107"/>
      <c r="BW167" s="107"/>
      <c r="BX167" s="107"/>
      <c r="BY167" s="292"/>
      <c r="BZ167" s="291"/>
      <c r="CA167" s="107"/>
      <c r="CB167" s="107"/>
      <c r="CC167" s="107"/>
      <c r="CD167" s="292"/>
      <c r="CE167" s="291"/>
      <c r="CF167" s="107"/>
      <c r="CG167" s="107"/>
      <c r="CH167" s="107"/>
      <c r="CI167" s="292"/>
      <c r="CJ167" s="291"/>
      <c r="CK167" s="107"/>
      <c r="CL167" s="107"/>
      <c r="CM167" s="107"/>
      <c r="CN167" s="292"/>
      <c r="CO167" s="291"/>
      <c r="CP167" s="107"/>
      <c r="CQ167" s="107"/>
      <c r="CR167" s="107"/>
      <c r="CS167" s="292"/>
      <c r="CT167" s="291"/>
      <c r="CU167" s="107"/>
      <c r="CV167" s="107"/>
      <c r="CW167" s="107"/>
      <c r="CX167" s="292"/>
      <c r="CY167" s="291"/>
      <c r="CZ167" s="107"/>
      <c r="DA167" s="107"/>
      <c r="DB167" s="107"/>
      <c r="DC167" s="292"/>
      <c r="DD167" s="291"/>
      <c r="DE167" s="107"/>
      <c r="DF167" s="107"/>
      <c r="DG167" s="107"/>
      <c r="DH167" s="292"/>
      <c r="DI167" s="291"/>
      <c r="DJ167" s="107"/>
      <c r="DK167" s="107"/>
      <c r="DL167" s="107"/>
      <c r="DM167" s="292"/>
      <c r="DN167" s="291"/>
      <c r="DO167" s="107"/>
      <c r="DP167" s="107"/>
      <c r="DQ167" s="107"/>
      <c r="DR167" s="292"/>
      <c r="DS167" s="291"/>
      <c r="DT167" s="468"/>
      <c r="DU167" s="107"/>
      <c r="DV167" s="107"/>
      <c r="DW167" s="292"/>
      <c r="DX167" s="291"/>
      <c r="DY167" s="107"/>
      <c r="DZ167" s="107"/>
      <c r="EA167" s="107"/>
      <c r="EB167" s="292"/>
      <c r="EC167" s="291"/>
      <c r="ED167" s="107"/>
      <c r="EE167" s="107"/>
      <c r="EF167" s="107"/>
      <c r="EG167" s="292"/>
      <c r="EH167" s="291"/>
      <c r="EI167" s="107"/>
      <c r="EJ167" s="107"/>
      <c r="EK167" s="107"/>
      <c r="EL167" s="292"/>
      <c r="EM167" s="291"/>
      <c r="EN167" s="107"/>
      <c r="EO167" s="107"/>
      <c r="EP167" s="107"/>
      <c r="EQ167" s="292"/>
      <c r="ER167" s="291"/>
      <c r="ES167" s="107"/>
      <c r="ET167" s="107"/>
      <c r="EU167" s="107"/>
      <c r="EV167" s="292"/>
      <c r="EW167" s="291"/>
      <c r="EX167" s="107"/>
      <c r="EY167" s="107"/>
      <c r="EZ167" s="107"/>
      <c r="FA167" s="292"/>
      <c r="FB167" s="291"/>
      <c r="FC167" s="107"/>
      <c r="FD167" s="107"/>
      <c r="FE167" s="107"/>
      <c r="FF167" s="292"/>
      <c r="FG167" s="291"/>
      <c r="FH167" s="107"/>
      <c r="FI167" s="107"/>
      <c r="FJ167" s="107"/>
      <c r="FK167" s="292"/>
      <c r="FL167" s="291"/>
      <c r="FM167" s="107"/>
      <c r="FN167" s="107"/>
      <c r="FO167" s="107"/>
      <c r="FP167" s="292"/>
      <c r="FQ167" s="291"/>
      <c r="FR167" s="107"/>
      <c r="FS167" s="107"/>
      <c r="FT167" s="107"/>
      <c r="FU167" s="292"/>
      <c r="FV167" s="291"/>
      <c r="FW167" s="107"/>
      <c r="FX167" s="107"/>
      <c r="FY167" s="107"/>
      <c r="FZ167" s="292"/>
      <c r="GA167" s="291"/>
      <c r="GB167" s="107"/>
      <c r="GC167" s="107"/>
      <c r="GD167" s="107"/>
      <c r="GE167" s="292"/>
      <c r="GF167" s="291"/>
      <c r="GG167" s="107"/>
      <c r="GH167" s="107"/>
      <c r="GI167" s="107"/>
      <c r="GJ167" s="384"/>
    </row>
    <row r="168" spans="1:192" s="406" customFormat="1" ht="12.75" hidden="1" customHeight="1" outlineLevel="1">
      <c r="A168" s="1642"/>
      <c r="B168" s="748" t="s">
        <v>230</v>
      </c>
      <c r="C168" s="403"/>
      <c r="D168" s="404"/>
      <c r="E168" s="404"/>
      <c r="F168" s="404"/>
      <c r="G168" s="405"/>
      <c r="H168" s="403"/>
      <c r="I168" s="404"/>
      <c r="J168" s="404"/>
      <c r="K168" s="404"/>
      <c r="L168" s="405"/>
      <c r="M168" s="403"/>
      <c r="N168" s="404"/>
      <c r="O168" s="404"/>
      <c r="P168" s="404"/>
      <c r="Q168" s="405"/>
      <c r="R168" s="403"/>
      <c r="S168" s="404"/>
      <c r="T168" s="404"/>
      <c r="U168" s="404"/>
      <c r="V168" s="405"/>
      <c r="W168" s="403"/>
      <c r="X168" s="404"/>
      <c r="Y168" s="404"/>
      <c r="Z168" s="404"/>
      <c r="AA168" s="405"/>
      <c r="AB168" s="403"/>
      <c r="AC168" s="404"/>
      <c r="AD168" s="404"/>
      <c r="AE168" s="404"/>
      <c r="AF168" s="405"/>
      <c r="AG168" s="403"/>
      <c r="AH168" s="404"/>
      <c r="AI168" s="404"/>
      <c r="AJ168" s="404"/>
      <c r="AK168" s="405"/>
      <c r="AL168" s="403"/>
      <c r="AM168" s="404"/>
      <c r="AN168" s="404"/>
      <c r="AO168" s="404"/>
      <c r="AP168" s="405"/>
      <c r="AQ168" s="403"/>
      <c r="AR168" s="404"/>
      <c r="AS168" s="404"/>
      <c r="AT168" s="404"/>
      <c r="AU168" s="405"/>
      <c r="AV168" s="403"/>
      <c r="AW168" s="404"/>
      <c r="AX168" s="404"/>
      <c r="AY168" s="404"/>
      <c r="AZ168" s="405"/>
      <c r="BA168" s="403"/>
      <c r="BB168" s="404"/>
      <c r="BC168" s="404"/>
      <c r="BD168" s="404"/>
      <c r="BE168" s="405"/>
      <c r="BF168" s="403"/>
      <c r="BG168" s="404"/>
      <c r="BH168" s="404"/>
      <c r="BI168" s="404"/>
      <c r="BJ168" s="405"/>
      <c r="BK168" s="403"/>
      <c r="BL168" s="404"/>
      <c r="BM168" s="404"/>
      <c r="BN168" s="404"/>
      <c r="BO168" s="405"/>
      <c r="BP168" s="403"/>
      <c r="BQ168" s="404"/>
      <c r="BR168" s="404"/>
      <c r="BS168" s="404"/>
      <c r="BT168" s="405"/>
      <c r="BU168" s="403"/>
      <c r="BV168" s="404"/>
      <c r="BW168" s="404"/>
      <c r="BX168" s="404"/>
      <c r="BY168" s="405"/>
      <c r="BZ168" s="403"/>
      <c r="CA168" s="404"/>
      <c r="CB168" s="404"/>
      <c r="CC168" s="404"/>
      <c r="CD168" s="405"/>
      <c r="CE168" s="403"/>
      <c r="CF168" s="404"/>
      <c r="CG168" s="404"/>
      <c r="CH168" s="404"/>
      <c r="CI168" s="405"/>
      <c r="CJ168" s="403"/>
      <c r="CK168" s="404"/>
      <c r="CL168" s="404"/>
      <c r="CM168" s="404"/>
      <c r="CN168" s="405"/>
      <c r="CO168" s="403"/>
      <c r="CP168" s="404"/>
      <c r="CQ168" s="404"/>
      <c r="CR168" s="404"/>
      <c r="CS168" s="405"/>
      <c r="CT168" s="403"/>
      <c r="CU168" s="404"/>
      <c r="CV168" s="404"/>
      <c r="CW168" s="404"/>
      <c r="CX168" s="405"/>
      <c r="CY168" s="403"/>
      <c r="CZ168" s="404"/>
      <c r="DA168" s="404"/>
      <c r="DB168" s="404"/>
      <c r="DC168" s="405"/>
      <c r="DD168" s="805">
        <f>DI168/(1+DI169)</f>
      </c>
      <c r="DE168" s="805">
        <f>DJ168/(1+DJ169)</f>
      </c>
      <c r="DF168" s="805">
        <f>DK168/(1+DK169)</f>
      </c>
      <c r="DG168" s="805">
        <f>DL168/(1+DL169)</f>
      </c>
      <c r="DH168" s="472">
        <f>SUM(DD168:DG168)</f>
      </c>
      <c r="DI168" s="805">
        <f>DN168/(1+DN169)</f>
      </c>
      <c r="DJ168" s="805">
        <f>DO168/(1+DO169)</f>
      </c>
      <c r="DK168" s="805">
        <f>DP168/(1+DP169)</f>
      </c>
      <c r="DL168" s="805">
        <f>DQ168/(1+DQ169)</f>
      </c>
      <c r="DM168" s="472">
        <f>SUM(DI168:DL168)</f>
      </c>
      <c r="DN168" s="805">
        <f>DS168/(1+DS169)</f>
      </c>
      <c r="DO168" s="805">
        <f>DT168/(1+DT169)</f>
      </c>
      <c r="DP168" s="805">
        <f>DU168/(1+DU169)</f>
      </c>
      <c r="DQ168" s="805">
        <f>DV168/(1+DV169)</f>
      </c>
      <c r="DR168" s="472">
        <f>SUM(DN168:DQ168)</f>
      </c>
      <c r="DS168" s="805">
        <f>DX168/(1+DX169)</f>
      </c>
      <c r="DT168" s="1397">
        <f>DT135-DT159-DT176</f>
      </c>
      <c r="DU168" s="1389">
        <f>DZ139/DZ169-100</f>
      </c>
      <c r="DV168" s="805">
        <f>EA168/(1+EA169)</f>
      </c>
      <c r="DW168" s="472">
        <f>SUM(DS168:DV168)</f>
      </c>
      <c r="DX168" s="805">
        <f>EC168/(1+EC169)</f>
      </c>
      <c r="DY168" s="805">
        <f>DT168*(1+DY169)</f>
      </c>
      <c r="DZ168" s="1397">
        <f>DU168*(1+DZ169)</f>
      </c>
      <c r="EA168" s="805">
        <f>EA135*EA174</f>
      </c>
      <c r="EB168" s="472">
        <f>SUM(DX168:EA168)</f>
      </c>
      <c r="EC168" s="805">
        <f>EC135*EC174</f>
      </c>
      <c r="ED168" s="805">
        <f>ED135*ED174</f>
      </c>
      <c r="EE168" s="805">
        <f>DZ168*(1+EE169)</f>
      </c>
      <c r="EF168" s="805">
        <f>EA168*(1+EF169)</f>
      </c>
      <c r="EG168" s="472">
        <f>SUM(EC168:EF168)</f>
      </c>
      <c r="EH168" s="805">
        <f>EC168*(1+EH169)</f>
      </c>
      <c r="EI168" s="805">
        <f>ED168*(1+EI169)</f>
      </c>
      <c r="EJ168" s="805">
        <f>EE168*(1+EJ169)</f>
      </c>
      <c r="EK168" s="805">
        <f>EF168*(1+EK169)</f>
      </c>
      <c r="EL168" s="472">
        <f>SUM(EH168:EK168)</f>
      </c>
      <c r="EM168" s="805">
        <f>EH168*(1+EM169)</f>
      </c>
      <c r="EN168" s="805">
        <f>EI168*(1+EN169)</f>
      </c>
      <c r="EO168" s="805">
        <f>EJ168*(1+EO169)</f>
      </c>
      <c r="EP168" s="805">
        <f>EK168*(1+EP169)</f>
      </c>
      <c r="EQ168" s="472">
        <f>SUM(EM168:EP168)</f>
      </c>
      <c r="ER168" s="805">
        <f>EM168*(1+ER169)</f>
      </c>
      <c r="ES168" s="805">
        <f>EN168*(1+ES169)</f>
      </c>
      <c r="ET168" s="805">
        <f>EO168*(1+ET169)</f>
      </c>
      <c r="EU168" s="805">
        <f>EP168*(1+EU169)</f>
      </c>
      <c r="EV168" s="472">
        <f>SUM(ER168:EU168)</f>
      </c>
      <c r="EW168" s="805"/>
      <c r="EX168" s="805"/>
      <c r="EY168" s="805"/>
      <c r="EZ168" s="805"/>
      <c r="FA168" s="472"/>
      <c r="FB168" s="805"/>
      <c r="FC168" s="805"/>
      <c r="FD168" s="805"/>
      <c r="FE168" s="805"/>
      <c r="FF168" s="472"/>
      <c r="FG168" s="805"/>
      <c r="FH168" s="805"/>
      <c r="FI168" s="805"/>
      <c r="FJ168" s="805"/>
      <c r="FK168" s="472"/>
      <c r="FL168" s="805"/>
      <c r="FM168" s="805"/>
      <c r="FN168" s="805"/>
      <c r="FO168" s="805"/>
      <c r="FP168" s="472"/>
      <c r="FQ168" s="805"/>
      <c r="FR168" s="805"/>
      <c r="FS168" s="805"/>
      <c r="FT168" s="805"/>
      <c r="FU168" s="472"/>
      <c r="FV168" s="805"/>
      <c r="FW168" s="805"/>
      <c r="FX168" s="805"/>
      <c r="FY168" s="805"/>
      <c r="FZ168" s="472"/>
      <c r="GA168" s="805"/>
      <c r="GB168" s="805"/>
      <c r="GC168" s="805"/>
      <c r="GD168" s="805"/>
      <c r="GE168" s="472"/>
      <c r="GF168" s="805"/>
      <c r="GG168" s="805"/>
      <c r="GH168" s="805"/>
      <c r="GI168" s="805"/>
      <c r="GJ168" s="810"/>
    </row>
    <row r="169" spans="1:192" ht="12.75" hidden="1" customHeight="1" outlineLevel="1">
      <c r="B169" s="735" t="s">
        <v>34</v>
      </c>
      <c r="C169" s="291"/>
      <c r="D169" s="107"/>
      <c r="E169" s="107"/>
      <c r="F169" s="107"/>
      <c r="G169" s="292"/>
      <c r="H169" s="291"/>
      <c r="I169" s="107"/>
      <c r="J169" s="107"/>
      <c r="K169" s="107"/>
      <c r="L169" s="292"/>
      <c r="M169" s="291"/>
      <c r="N169" s="107"/>
      <c r="O169" s="107"/>
      <c r="P169" s="107"/>
      <c r="Q169" s="292"/>
      <c r="R169" s="291"/>
      <c r="S169" s="107"/>
      <c r="T169" s="107"/>
      <c r="U169" s="107"/>
      <c r="V169" s="292"/>
      <c r="W169" s="291"/>
      <c r="X169" s="107"/>
      <c r="Y169" s="107"/>
      <c r="Z169" s="107"/>
      <c r="AA169" s="292"/>
      <c r="AB169" s="291"/>
      <c r="AC169" s="107"/>
      <c r="AD169" s="107"/>
      <c r="AE169" s="107"/>
      <c r="AF169" s="292"/>
      <c r="AG169" s="291"/>
      <c r="AH169" s="107"/>
      <c r="AI169" s="107"/>
      <c r="AJ169" s="107"/>
      <c r="AK169" s="292"/>
      <c r="AL169" s="291"/>
      <c r="AM169" s="107"/>
      <c r="AN169" s="107"/>
      <c r="AO169" s="107"/>
      <c r="AP169" s="292"/>
      <c r="AQ169" s="291"/>
      <c r="AR169" s="107"/>
      <c r="AS169" s="107"/>
      <c r="AT169" s="107"/>
      <c r="AU169" s="292"/>
      <c r="AV169" s="291"/>
      <c r="AW169" s="107"/>
      <c r="AX169" s="107"/>
      <c r="AY169" s="107"/>
      <c r="AZ169" s="292"/>
      <c r="BA169" s="291"/>
      <c r="BB169" s="107"/>
      <c r="BC169" s="107"/>
      <c r="BD169" s="107"/>
      <c r="BE169" s="292"/>
      <c r="BF169" s="291"/>
      <c r="BG169" s="107"/>
      <c r="BH169" s="107"/>
      <c r="BI169" s="107"/>
      <c r="BJ169" s="292"/>
      <c r="BK169" s="291"/>
      <c r="BL169" s="107"/>
      <c r="BM169" s="107"/>
      <c r="BN169" s="107"/>
      <c r="BO169" s="292"/>
      <c r="BP169" s="291"/>
      <c r="BQ169" s="107"/>
      <c r="BR169" s="107"/>
      <c r="BS169" s="107"/>
      <c r="BT169" s="292"/>
      <c r="BU169" s="412"/>
      <c r="BV169" s="114"/>
      <c r="BW169" s="114"/>
      <c r="BX169" s="114"/>
      <c r="BY169" s="292"/>
      <c r="BZ169" s="412"/>
      <c r="CA169" s="114"/>
      <c r="CB169" s="114"/>
      <c r="CC169" s="114"/>
      <c r="CD169" s="292"/>
      <c r="CE169" s="412"/>
      <c r="CF169" s="114"/>
      <c r="CG169" s="114"/>
      <c r="CH169" s="114"/>
      <c r="CI169" s="292"/>
      <c r="CJ169" s="412"/>
      <c r="CK169" s="114"/>
      <c r="CL169" s="114"/>
      <c r="CM169" s="114"/>
      <c r="CN169" s="292"/>
      <c r="CO169" s="412"/>
      <c r="CP169" s="114"/>
      <c r="CQ169" s="114"/>
      <c r="CR169" s="114"/>
      <c r="CS169" s="292"/>
      <c r="CT169" s="412"/>
      <c r="CU169" s="114"/>
      <c r="CV169" s="114"/>
      <c r="CW169" s="114"/>
      <c r="CX169" s="292"/>
      <c r="CY169" s="412">
        <v>0.1</v>
      </c>
      <c r="CZ169" s="114"/>
      <c r="DA169" s="114"/>
      <c r="DB169" s="114"/>
      <c r="DC169" s="292"/>
      <c r="DD169" s="412"/>
      <c r="DE169" s="114"/>
      <c r="DF169" s="114"/>
      <c r="DG169" s="114"/>
      <c r="DH169" s="292"/>
      <c r="DI169" s="441">
        <v>0.11</v>
      </c>
      <c r="DJ169" s="439">
        <v>0.2</v>
      </c>
      <c r="DK169" s="439">
        <v>0.08</v>
      </c>
      <c r="DL169" s="439">
        <v>0.16</v>
      </c>
      <c r="DM169" s="292">
        <f>DM168/DH168-1</f>
      </c>
      <c r="DN169" s="412">
        <v>7.0000000000000007E-2</v>
      </c>
      <c r="DO169" s="114">
        <v>-0.04</v>
      </c>
      <c r="DP169" s="114">
        <v>0.21</v>
      </c>
      <c r="DQ169" s="114">
        <v>0.23</v>
      </c>
      <c r="DR169" s="292">
        <f>DR168/DM168-1</f>
      </c>
      <c r="DS169" s="412">
        <v>0.12</v>
      </c>
      <c r="DT169" s="439">
        <v>0.13</v>
      </c>
      <c r="DU169" s="114">
        <v>0.18</v>
      </c>
      <c r="DV169" s="114">
        <v>0.13</v>
      </c>
      <c r="DW169" s="292">
        <f>DW168/DR168-1</f>
      </c>
      <c r="DX169" s="412">
        <v>0.26</v>
      </c>
      <c r="DY169" s="114">
        <v>0.25</v>
      </c>
      <c r="DZ169" s="114">
        <v>0.17</v>
      </c>
      <c r="EA169" s="114">
        <v>0.09</v>
      </c>
      <c r="EB169" s="292">
        <f>EB168/DW168-1</f>
      </c>
      <c r="EC169" s="412">
        <v>0.13</v>
      </c>
      <c r="ED169" s="114">
        <v>0.1</v>
      </c>
      <c r="EE169" s="114">
        <v>0.1</v>
      </c>
      <c r="EF169" s="114">
        <v>0.2</v>
      </c>
      <c r="EG169" s="292">
        <f>EG168/EB168-1</f>
      </c>
      <c r="EH169" s="412">
        <v>0.12</v>
      </c>
      <c r="EI169" s="114">
        <v>0.13</v>
      </c>
      <c r="EJ169" s="114">
        <v>0.14000000000000001</v>
      </c>
      <c r="EK169" s="114">
        <v>0.06</v>
      </c>
      <c r="EL169" s="413">
        <v>0.11</v>
      </c>
      <c r="EM169" s="412">
        <v>0.08</v>
      </c>
      <c r="EN169" s="114">
        <v>-0.03</v>
      </c>
      <c r="EO169" s="114">
        <v>0.14000000000000001</v>
      </c>
      <c r="EP169" s="114">
        <v>0.02</v>
      </c>
      <c r="EQ169" s="292">
        <f>EQ168/EL168-1</f>
      </c>
      <c r="ER169" s="412">
        <v>0.08</v>
      </c>
      <c r="ES169" s="114">
        <v>0.09</v>
      </c>
      <c r="ET169" s="439">
        <v>0.13</v>
      </c>
      <c r="EU169" s="439">
        <v>0.11</v>
      </c>
      <c r="EV169" s="292">
        <f>EV168/EQ168-1</f>
      </c>
      <c r="EW169" s="412"/>
      <c r="EX169" s="114"/>
      <c r="EY169" s="114"/>
      <c r="EZ169" s="114"/>
      <c r="FA169" s="292"/>
      <c r="FB169" s="412"/>
      <c r="FC169" s="412"/>
      <c r="FD169" s="412"/>
      <c r="FE169" s="412"/>
      <c r="FF169" s="292"/>
      <c r="FG169" s="412"/>
      <c r="FH169" s="412"/>
      <c r="FI169" s="412"/>
      <c r="FJ169" s="412"/>
      <c r="FK169" s="292"/>
      <c r="FL169" s="412"/>
      <c r="FM169" s="412"/>
      <c r="FN169" s="412"/>
      <c r="FO169" s="412"/>
      <c r="FP169" s="292"/>
      <c r="FQ169" s="412"/>
      <c r="FR169" s="412"/>
      <c r="FS169" s="412"/>
      <c r="FT169" s="412"/>
      <c r="FU169" s="292"/>
      <c r="FV169" s="412"/>
      <c r="FW169" s="412"/>
      <c r="FX169" s="412"/>
      <c r="FY169" s="412"/>
      <c r="FZ169" s="292"/>
      <c r="GA169" s="412"/>
      <c r="GB169" s="412"/>
      <c r="GC169" s="412"/>
      <c r="GD169" s="412"/>
      <c r="GE169" s="292"/>
      <c r="GF169" s="412"/>
      <c r="GG169" s="412"/>
      <c r="GH169" s="412"/>
      <c r="GI169" s="412"/>
      <c r="GJ169" s="384"/>
    </row>
    <row r="170" spans="1:192" ht="12.75" hidden="1" customHeight="1" outlineLevel="1">
      <c r="B170" s="735" t="s">
        <v>197</v>
      </c>
      <c r="C170" s="291"/>
      <c r="D170" s="107"/>
      <c r="E170" s="107"/>
      <c r="F170" s="107"/>
      <c r="G170" s="292"/>
      <c r="H170" s="291"/>
      <c r="I170" s="107"/>
      <c r="J170" s="107"/>
      <c r="K170" s="107"/>
      <c r="L170" s="292"/>
      <c r="M170" s="291"/>
      <c r="N170" s="107"/>
      <c r="O170" s="107"/>
      <c r="P170" s="107"/>
      <c r="Q170" s="292"/>
      <c r="R170" s="291"/>
      <c r="S170" s="107"/>
      <c r="T170" s="107"/>
      <c r="U170" s="107"/>
      <c r="V170" s="292"/>
      <c r="W170" s="291"/>
      <c r="X170" s="107"/>
      <c r="Y170" s="107"/>
      <c r="Z170" s="107"/>
      <c r="AA170" s="292"/>
      <c r="AB170" s="291"/>
      <c r="AC170" s="107"/>
      <c r="AD170" s="107"/>
      <c r="AE170" s="107"/>
      <c r="AF170" s="292"/>
      <c r="AG170" s="291"/>
      <c r="AH170" s="107"/>
      <c r="AI170" s="107"/>
      <c r="AJ170" s="107"/>
      <c r="AK170" s="292"/>
      <c r="AL170" s="291"/>
      <c r="AM170" s="107"/>
      <c r="AN170" s="107"/>
      <c r="AO170" s="107"/>
      <c r="AP170" s="292"/>
      <c r="AQ170" s="291"/>
      <c r="AR170" s="107"/>
      <c r="AS170" s="107"/>
      <c r="AT170" s="107"/>
      <c r="AU170" s="292"/>
      <c r="AV170" s="291"/>
      <c r="AW170" s="107"/>
      <c r="AX170" s="107"/>
      <c r="AY170" s="107"/>
      <c r="AZ170" s="292"/>
      <c r="BA170" s="291"/>
      <c r="BB170" s="107"/>
      <c r="BC170" s="107"/>
      <c r="BD170" s="107"/>
      <c r="BE170" s="292"/>
      <c r="BF170" s="291"/>
      <c r="BG170" s="107"/>
      <c r="BH170" s="107"/>
      <c r="BI170" s="107"/>
      <c r="BJ170" s="292"/>
      <c r="BK170" s="291"/>
      <c r="BL170" s="107"/>
      <c r="BM170" s="107"/>
      <c r="BN170" s="107"/>
      <c r="BO170" s="292"/>
      <c r="BP170" s="291"/>
      <c r="BQ170" s="107"/>
      <c r="BR170" s="107"/>
      <c r="BS170" s="107"/>
      <c r="BT170" s="292"/>
      <c r="BU170" s="412"/>
      <c r="BV170" s="114"/>
      <c r="BW170" s="114"/>
      <c r="BX170" s="114"/>
      <c r="BY170" s="292"/>
      <c r="BZ170" s="412"/>
      <c r="CA170" s="114"/>
      <c r="CB170" s="114"/>
      <c r="CC170" s="114"/>
      <c r="CD170" s="292"/>
      <c r="CE170" s="412"/>
      <c r="CF170" s="114"/>
      <c r="CG170" s="114"/>
      <c r="CH170" s="114"/>
      <c r="CI170" s="292"/>
      <c r="CJ170" s="412"/>
      <c r="CK170" s="114"/>
      <c r="CL170" s="114"/>
      <c r="CM170" s="114"/>
      <c r="CN170" s="292"/>
      <c r="CO170" s="412"/>
      <c r="CP170" s="114"/>
      <c r="CQ170" s="114"/>
      <c r="CR170" s="114"/>
      <c r="CS170" s="292"/>
      <c r="CT170" s="412"/>
      <c r="CU170" s="114"/>
      <c r="CV170" s="114"/>
      <c r="CW170" s="114"/>
      <c r="CX170" s="292"/>
      <c r="CY170" s="412"/>
      <c r="CZ170" s="114"/>
      <c r="DA170" s="114"/>
      <c r="DB170" s="114"/>
      <c r="DC170" s="292"/>
      <c r="DD170" s="412"/>
      <c r="DE170" s="114"/>
      <c r="DF170" s="114"/>
      <c r="DG170" s="114"/>
      <c r="DH170" s="292"/>
      <c r="DI170" s="441">
        <v>0.13</v>
      </c>
      <c r="DJ170" s="439">
        <v>0.22</v>
      </c>
      <c r="DK170" s="439">
        <v>0.08</v>
      </c>
      <c r="DL170" s="439">
        <v>0.16</v>
      </c>
      <c r="DM170" s="292"/>
      <c r="DN170" s="412">
        <v>0.06</v>
      </c>
      <c r="DO170" s="114">
        <v>-0.05</v>
      </c>
      <c r="DP170" s="114">
        <v>0.17</v>
      </c>
      <c r="DQ170" s="114">
        <v>0.19</v>
      </c>
      <c r="DR170" s="292"/>
      <c r="DS170" s="412">
        <v>0.12</v>
      </c>
      <c r="DT170" s="439">
        <v>0.14000000000000001</v>
      </c>
      <c r="DU170" s="114">
        <v>0.2</v>
      </c>
      <c r="DV170" s="114">
        <v>0.16</v>
      </c>
      <c r="DW170" s="292"/>
      <c r="DX170" s="412">
        <v>0.28999999999999998</v>
      </c>
      <c r="DY170" s="114">
        <v>0.27</v>
      </c>
      <c r="DZ170" s="114">
        <v>0.18</v>
      </c>
      <c r="EA170" s="114">
        <v>0.11</v>
      </c>
      <c r="EB170" s="292"/>
      <c r="EC170" s="412">
        <v>0.12</v>
      </c>
      <c r="ED170" s="114">
        <v>0.08</v>
      </c>
      <c r="EE170" s="114">
        <v>7.0000000000000007E-2</v>
      </c>
      <c r="EF170" s="114">
        <v>0.14000000000000001</v>
      </c>
      <c r="EG170" s="292"/>
      <c r="EH170" s="412">
        <v>0.1</v>
      </c>
      <c r="EI170" s="114">
        <v>0.14000000000000001</v>
      </c>
      <c r="EJ170" s="114">
        <v>0.19</v>
      </c>
      <c r="EK170" s="114">
        <v>0.12</v>
      </c>
      <c r="EL170" s="292"/>
      <c r="EM170" s="412">
        <v>0.15</v>
      </c>
      <c r="EN170" s="114">
        <v>0.03</v>
      </c>
      <c r="EO170" s="114">
        <v>0.18</v>
      </c>
      <c r="EP170" s="114">
        <v>0.03</v>
      </c>
      <c r="EQ170" s="292"/>
      <c r="ER170" s="412">
        <v>0.08</v>
      </c>
      <c r="ES170" s="114">
        <v>7.0000000000000007E-2</v>
      </c>
      <c r="ET170" s="439">
        <v>0.12</v>
      </c>
      <c r="EU170" s="439">
        <v>0.12</v>
      </c>
      <c r="EV170" s="292"/>
      <c r="EW170" s="291"/>
      <c r="EX170" s="107"/>
      <c r="EY170" s="107"/>
      <c r="EZ170" s="107"/>
      <c r="FA170" s="292"/>
      <c r="FB170" s="291"/>
      <c r="FC170" s="107"/>
      <c r="FD170" s="107"/>
      <c r="FE170" s="107"/>
      <c r="FF170" s="292"/>
      <c r="FG170" s="291"/>
      <c r="FH170" s="107"/>
      <c r="FI170" s="107"/>
      <c r="FJ170" s="107"/>
      <c r="FK170" s="292"/>
      <c r="FL170" s="291"/>
      <c r="FM170" s="107"/>
      <c r="FN170" s="107"/>
      <c r="FO170" s="107"/>
      <c r="FP170" s="292"/>
      <c r="FQ170" s="291"/>
      <c r="FR170" s="107"/>
      <c r="FS170" s="107"/>
      <c r="FT170" s="107"/>
      <c r="FU170" s="292"/>
      <c r="FV170" s="291"/>
      <c r="FW170" s="107"/>
      <c r="FX170" s="107"/>
      <c r="FY170" s="107"/>
      <c r="FZ170" s="292"/>
      <c r="GA170" s="291"/>
      <c r="GB170" s="107"/>
      <c r="GC170" s="107"/>
      <c r="GD170" s="107"/>
      <c r="GE170" s="292"/>
      <c r="GF170" s="291"/>
      <c r="GG170" s="107"/>
      <c r="GH170" s="107"/>
      <c r="GI170" s="107"/>
      <c r="GJ170" s="384"/>
    </row>
    <row r="171" spans="1:192" ht="12.75" hidden="1" customHeight="1" outlineLevel="1">
      <c r="B171" s="735" t="s">
        <v>36</v>
      </c>
      <c r="C171" s="291"/>
      <c r="D171" s="107"/>
      <c r="E171" s="107"/>
      <c r="F171" s="107"/>
      <c r="G171" s="292"/>
      <c r="H171" s="291"/>
      <c r="I171" s="107"/>
      <c r="J171" s="107"/>
      <c r="K171" s="107"/>
      <c r="L171" s="292"/>
      <c r="M171" s="291"/>
      <c r="N171" s="107"/>
      <c r="O171" s="107"/>
      <c r="P171" s="107"/>
      <c r="Q171" s="292"/>
      <c r="R171" s="291"/>
      <c r="S171" s="107"/>
      <c r="T171" s="107"/>
      <c r="U171" s="107"/>
      <c r="V171" s="292"/>
      <c r="W171" s="291"/>
      <c r="X171" s="107"/>
      <c r="Y171" s="107"/>
      <c r="Z171" s="107"/>
      <c r="AA171" s="292"/>
      <c r="AB171" s="291"/>
      <c r="AC171" s="107"/>
      <c r="AD171" s="107"/>
      <c r="AE171" s="107"/>
      <c r="AF171" s="292"/>
      <c r="AG171" s="291"/>
      <c r="AH171" s="107"/>
      <c r="AI171" s="107"/>
      <c r="AJ171" s="107"/>
      <c r="AK171" s="292"/>
      <c r="AL171" s="291"/>
      <c r="AM171" s="107"/>
      <c r="AN171" s="107"/>
      <c r="AO171" s="107"/>
      <c r="AP171" s="292"/>
      <c r="AQ171" s="291"/>
      <c r="AR171" s="107"/>
      <c r="AS171" s="107"/>
      <c r="AT171" s="107"/>
      <c r="AU171" s="292"/>
      <c r="AV171" s="291"/>
      <c r="AW171" s="107"/>
      <c r="AX171" s="107"/>
      <c r="AY171" s="107"/>
      <c r="AZ171" s="292"/>
      <c r="BA171" s="291"/>
      <c r="BB171" s="107"/>
      <c r="BC171" s="107"/>
      <c r="BD171" s="107"/>
      <c r="BE171" s="292"/>
      <c r="BF171" s="291"/>
      <c r="BG171" s="107"/>
      <c r="BH171" s="107"/>
      <c r="BI171" s="107"/>
      <c r="BJ171" s="292"/>
      <c r="BK171" s="291"/>
      <c r="BL171" s="107"/>
      <c r="BM171" s="107"/>
      <c r="BN171" s="107"/>
      <c r="BO171" s="292"/>
      <c r="BP171" s="291"/>
      <c r="BQ171" s="107"/>
      <c r="BR171" s="107"/>
      <c r="BS171" s="107"/>
      <c r="BT171" s="292"/>
      <c r="BU171" s="291"/>
      <c r="BV171" s="107"/>
      <c r="BW171" s="107"/>
      <c r="BX171" s="107"/>
      <c r="BY171" s="292"/>
      <c r="BZ171" s="291"/>
      <c r="CA171" s="107"/>
      <c r="CB171" s="107"/>
      <c r="CC171" s="107"/>
      <c r="CD171" s="292"/>
      <c r="CE171" s="291"/>
      <c r="CF171" s="107"/>
      <c r="CG171" s="107"/>
      <c r="CH171" s="107"/>
      <c r="CI171" s="292"/>
      <c r="CJ171" s="291"/>
      <c r="CK171" s="107"/>
      <c r="CL171" s="107"/>
      <c r="CM171" s="107"/>
      <c r="CN171" s="292"/>
      <c r="CO171" s="291"/>
      <c r="CP171" s="107"/>
      <c r="CQ171" s="107"/>
      <c r="CR171" s="107"/>
      <c r="CS171" s="292"/>
      <c r="CT171" s="291"/>
      <c r="CU171" s="107"/>
      <c r="CV171" s="107"/>
      <c r="CW171" s="107"/>
      <c r="CX171" s="292"/>
      <c r="CY171" s="291"/>
      <c r="CZ171" s="107"/>
      <c r="DA171" s="107"/>
      <c r="DB171" s="107"/>
      <c r="DC171" s="292"/>
      <c r="DD171" s="291"/>
      <c r="DE171" s="107">
        <f>DE168/DD168-1</f>
      </c>
      <c r="DF171" s="107">
        <f>DF168/DE168-1</f>
      </c>
      <c r="DG171" s="107">
        <f>DG168/DF168-1</f>
      </c>
      <c r="DH171" s="292"/>
      <c r="DI171" s="291">
        <f>DI168/DG168-1</f>
      </c>
      <c r="DJ171" s="107">
        <f>DJ168/DI168-1</f>
      </c>
      <c r="DK171" s="107">
        <f>DK168/DJ168-1</f>
      </c>
      <c r="DL171" s="107">
        <f>DL168/DK168-1</f>
      </c>
      <c r="DM171" s="292"/>
      <c r="DN171" s="291">
        <f>DN168/DL168-1</f>
      </c>
      <c r="DO171" s="107">
        <f>DO168/DN168-1</f>
      </c>
      <c r="DP171" s="107">
        <f>DP168/DO168-1</f>
      </c>
      <c r="DQ171" s="107">
        <f>DQ168/DP168-1</f>
      </c>
      <c r="DR171" s="292"/>
      <c r="DS171" s="291">
        <f>DS168/DQ168-1</f>
      </c>
      <c r="DT171" s="468">
        <f>DT168/DS168-1</f>
      </c>
      <c r="DU171" s="107">
        <f>DU168/DT168-1</f>
      </c>
      <c r="DV171" s="107">
        <f>DV168/DU168-1</f>
      </c>
      <c r="DW171" s="292"/>
      <c r="DX171" s="291">
        <f>DX168/DV168-1</f>
      </c>
      <c r="DY171" s="107">
        <f>DY168/DX168-1</f>
      </c>
      <c r="DZ171" s="107">
        <f>DZ168/DY168-1</f>
      </c>
      <c r="EA171" s="107">
        <f>EA168/DZ168-1</f>
      </c>
      <c r="EB171" s="292"/>
      <c r="EC171" s="291">
        <f>EC168/EA168-1</f>
      </c>
      <c r="ED171" s="107">
        <f>ED168/EC168-1</f>
      </c>
      <c r="EE171" s="107">
        <f>EE168/ED168-1</f>
      </c>
      <c r="EF171" s="107">
        <f>EF168/EE168-1</f>
      </c>
      <c r="EG171" s="292"/>
      <c r="EH171" s="291">
        <f>EH168/EF168-1</f>
      </c>
      <c r="EI171" s="107">
        <f>EI168/EH168-1</f>
      </c>
      <c r="EJ171" s="107">
        <f>EJ168/EI168-1</f>
      </c>
      <c r="EK171" s="107">
        <f>EK168/EJ168-1</f>
      </c>
      <c r="EL171" s="292"/>
      <c r="EM171" s="291">
        <f>EM168/EK168-1</f>
      </c>
      <c r="EN171" s="107">
        <f>EN168/EM168-1</f>
      </c>
      <c r="EO171" s="107">
        <f>EO168/EN168-1</f>
      </c>
      <c r="EP171" s="107">
        <f>EP168/EO168-1</f>
      </c>
      <c r="EQ171" s="292"/>
      <c r="ER171" s="291">
        <f>ER168/EP168-1</f>
      </c>
      <c r="ES171" s="107">
        <f>ES168/ER168-1</f>
      </c>
      <c r="ET171" s="107">
        <f>ET168/ES168-1</f>
      </c>
      <c r="EU171" s="468">
        <f>EU168/ET168-1</f>
      </c>
      <c r="EV171" s="292"/>
      <c r="EW171" s="291"/>
      <c r="EX171" s="107"/>
      <c r="EY171" s="107"/>
      <c r="EZ171" s="107"/>
      <c r="FA171" s="292"/>
      <c r="FB171" s="291"/>
      <c r="FC171" s="107"/>
      <c r="FD171" s="107"/>
      <c r="FE171" s="107"/>
      <c r="FF171" s="292"/>
      <c r="FG171" s="291"/>
      <c r="FH171" s="107"/>
      <c r="FI171" s="107"/>
      <c r="FJ171" s="107"/>
      <c r="FK171" s="292"/>
      <c r="FL171" s="291"/>
      <c r="FM171" s="107"/>
      <c r="FN171" s="107"/>
      <c r="FO171" s="107"/>
      <c r="FP171" s="292"/>
      <c r="FQ171" s="291"/>
      <c r="FR171" s="107"/>
      <c r="FS171" s="107"/>
      <c r="FT171" s="107"/>
      <c r="FU171" s="292"/>
      <c r="FV171" s="291"/>
      <c r="FW171" s="107"/>
      <c r="FX171" s="107"/>
      <c r="FY171" s="107"/>
      <c r="FZ171" s="292"/>
      <c r="GA171" s="291"/>
      <c r="GB171" s="107"/>
      <c r="GC171" s="107"/>
      <c r="GD171" s="107"/>
      <c r="GE171" s="292"/>
      <c r="GF171" s="291"/>
      <c r="GG171" s="107"/>
      <c r="GH171" s="107"/>
      <c r="GI171" s="107"/>
      <c r="GJ171" s="384"/>
    </row>
    <row r="172" spans="1:192" ht="12.75" hidden="1" customHeight="1" outlineLevel="1">
      <c r="B172" s="735" t="s">
        <v>243</v>
      </c>
      <c r="C172" s="291"/>
      <c r="D172" s="107"/>
      <c r="E172" s="107"/>
      <c r="F172" s="107"/>
      <c r="G172" s="292"/>
      <c r="H172" s="291"/>
      <c r="I172" s="107"/>
      <c r="J172" s="107"/>
      <c r="K172" s="107"/>
      <c r="L172" s="292"/>
      <c r="M172" s="291"/>
      <c r="N172" s="107"/>
      <c r="O172" s="107"/>
      <c r="P172" s="107"/>
      <c r="Q172" s="292"/>
      <c r="R172" s="291"/>
      <c r="S172" s="107"/>
      <c r="T172" s="107"/>
      <c r="U172" s="107"/>
      <c r="V172" s="292"/>
      <c r="W172" s="291"/>
      <c r="X172" s="107"/>
      <c r="Y172" s="107"/>
      <c r="Z172" s="107"/>
      <c r="AA172" s="292"/>
      <c r="AB172" s="291"/>
      <c r="AC172" s="107"/>
      <c r="AD172" s="107"/>
      <c r="AE172" s="107"/>
      <c r="AF172" s="292"/>
      <c r="AG172" s="291"/>
      <c r="AH172" s="107"/>
      <c r="AI172" s="107"/>
      <c r="AJ172" s="107"/>
      <c r="AK172" s="292"/>
      <c r="AL172" s="291"/>
      <c r="AM172" s="107"/>
      <c r="AN172" s="107"/>
      <c r="AO172" s="107"/>
      <c r="AP172" s="292"/>
      <c r="AQ172" s="291"/>
      <c r="AR172" s="107"/>
      <c r="AS172" s="107"/>
      <c r="AT172" s="107"/>
      <c r="AU172" s="292"/>
      <c r="AV172" s="291"/>
      <c r="AW172" s="107"/>
      <c r="AX172" s="107"/>
      <c r="AY172" s="107"/>
      <c r="AZ172" s="292"/>
      <c r="BA172" s="291"/>
      <c r="BB172" s="107"/>
      <c r="BC172" s="107"/>
      <c r="BD172" s="107"/>
      <c r="BE172" s="292"/>
      <c r="BF172" s="291"/>
      <c r="BG172" s="107"/>
      <c r="BH172" s="107"/>
      <c r="BI172" s="107"/>
      <c r="BJ172" s="292"/>
      <c r="BK172" s="291"/>
      <c r="BL172" s="107"/>
      <c r="BM172" s="107"/>
      <c r="BN172" s="107"/>
      <c r="BO172" s="292"/>
      <c r="BP172" s="291"/>
      <c r="BQ172" s="107"/>
      <c r="BR172" s="107"/>
      <c r="BS172" s="107"/>
      <c r="BT172" s="292"/>
      <c r="BU172" s="291"/>
      <c r="BV172" s="107"/>
      <c r="BW172" s="107"/>
      <c r="BX172" s="107"/>
      <c r="BY172" s="292"/>
      <c r="BZ172" s="291"/>
      <c r="CA172" s="107"/>
      <c r="CB172" s="107"/>
      <c r="CC172" s="107"/>
      <c r="CD172" s="292"/>
      <c r="CE172" s="291"/>
      <c r="CF172" s="107"/>
      <c r="CG172" s="107"/>
      <c r="CH172" s="107"/>
      <c r="CI172" s="292"/>
      <c r="CJ172" s="291"/>
      <c r="CK172" s="107"/>
      <c r="CL172" s="107"/>
      <c r="CM172" s="107"/>
      <c r="CN172" s="292"/>
      <c r="CO172" s="291"/>
      <c r="CP172" s="107"/>
      <c r="CQ172" s="107"/>
      <c r="CR172" s="107"/>
      <c r="CS172" s="292"/>
      <c r="CT172" s="448"/>
      <c r="CU172" s="107"/>
      <c r="CV172" s="107"/>
      <c r="CW172" s="107"/>
      <c r="CX172" s="292"/>
      <c r="CY172" s="448">
        <v>80</v>
      </c>
      <c r="CZ172" s="107"/>
      <c r="DA172" s="107"/>
      <c r="DB172" s="107"/>
      <c r="DC172" s="292"/>
      <c r="DD172" s="458"/>
      <c r="DE172" s="458"/>
      <c r="DF172" s="458"/>
      <c r="DG172" s="458"/>
      <c r="DH172" s="292"/>
      <c r="DI172" s="458">
        <f t="shared" ref="DI172:EN172" si="147">DI168-DD168</f>
      </c>
      <c r="DJ172" s="458">
        <f t="shared" si="147"/>
      </c>
      <c r="DK172" s="458">
        <f t="shared" si="147"/>
      </c>
      <c r="DL172" s="458">
        <f t="shared" si="147"/>
      </c>
      <c r="DM172" s="459">
        <f t="shared" si="147"/>
      </c>
      <c r="DN172" s="458">
        <f t="shared" si="147"/>
      </c>
      <c r="DO172" s="458">
        <f t="shared" si="147"/>
      </c>
      <c r="DP172" s="458">
        <f t="shared" si="147"/>
      </c>
      <c r="DQ172" s="458">
        <f t="shared" si="147"/>
      </c>
      <c r="DR172" s="459">
        <f t="shared" si="147"/>
      </c>
      <c r="DS172" s="458">
        <f t="shared" si="147"/>
      </c>
      <c r="DT172" s="679">
        <f t="shared" si="147"/>
      </c>
      <c r="DU172" s="458">
        <f t="shared" si="147"/>
      </c>
      <c r="DV172" s="458">
        <f t="shared" si="147"/>
      </c>
      <c r="DW172" s="459">
        <f t="shared" si="147"/>
      </c>
      <c r="DX172" s="458">
        <f t="shared" si="147"/>
      </c>
      <c r="DY172" s="458">
        <f t="shared" si="147"/>
      </c>
      <c r="DZ172" s="458">
        <f t="shared" si="147"/>
      </c>
      <c r="EA172" s="458">
        <f t="shared" si="147"/>
      </c>
      <c r="EB172" s="459">
        <f t="shared" si="147"/>
      </c>
      <c r="EC172" s="458">
        <f t="shared" si="147"/>
      </c>
      <c r="ED172" s="458">
        <f t="shared" si="147"/>
      </c>
      <c r="EE172" s="458">
        <f t="shared" si="147"/>
      </c>
      <c r="EF172" s="458">
        <f t="shared" si="147"/>
      </c>
      <c r="EG172" s="459">
        <f t="shared" si="147"/>
      </c>
      <c r="EH172" s="458">
        <f t="shared" si="147"/>
      </c>
      <c r="EI172" s="458">
        <f t="shared" si="147"/>
      </c>
      <c r="EJ172" s="458">
        <f t="shared" si="147"/>
      </c>
      <c r="EK172" s="458">
        <f t="shared" si="147"/>
      </c>
      <c r="EL172" s="459">
        <f t="shared" si="147"/>
      </c>
      <c r="EM172" s="458">
        <f t="shared" si="147"/>
      </c>
      <c r="EN172" s="458">
        <f t="shared" si="147"/>
      </c>
      <c r="EO172" s="458">
        <f t="shared" ref="EO172:ET172" si="148">EO168-EJ168</f>
      </c>
      <c r="EP172" s="458">
        <f t="shared" si="148"/>
      </c>
      <c r="EQ172" s="459">
        <f t="shared" si="148"/>
      </c>
      <c r="ER172" s="458">
        <f t="shared" si="148"/>
      </c>
      <c r="ES172" s="458">
        <f t="shared" si="148"/>
      </c>
      <c r="ET172" s="458">
        <f t="shared" si="148"/>
      </c>
      <c r="EU172" s="458">
        <f>EU168-EP168</f>
      </c>
      <c r="EV172" s="459">
        <f>EV168-EQ168</f>
      </c>
      <c r="EW172" s="458"/>
      <c r="EX172" s="458"/>
      <c r="EY172" s="458"/>
      <c r="EZ172" s="458"/>
      <c r="FA172" s="809"/>
      <c r="FB172" s="458"/>
      <c r="FC172" s="458"/>
      <c r="FD172" s="458"/>
      <c r="FE172" s="458"/>
      <c r="FF172" s="809"/>
      <c r="FG172" s="458"/>
      <c r="FH172" s="458"/>
      <c r="FI172" s="458"/>
      <c r="FJ172" s="458"/>
      <c r="FK172" s="809"/>
      <c r="FL172" s="458"/>
      <c r="FM172" s="458"/>
      <c r="FN172" s="458"/>
      <c r="FO172" s="458"/>
      <c r="FP172" s="809"/>
      <c r="FQ172" s="458"/>
      <c r="FR172" s="458"/>
      <c r="FS172" s="458"/>
      <c r="FT172" s="458"/>
      <c r="FU172" s="809"/>
      <c r="FV172" s="458"/>
      <c r="FW172" s="458"/>
      <c r="FX172" s="458"/>
      <c r="FY172" s="458"/>
      <c r="FZ172" s="809"/>
      <c r="GA172" s="458"/>
      <c r="GB172" s="458"/>
      <c r="GC172" s="458"/>
      <c r="GD172" s="458"/>
      <c r="GE172" s="809"/>
      <c r="GF172" s="458"/>
      <c r="GG172" s="458"/>
      <c r="GH172" s="458"/>
      <c r="GI172" s="458"/>
      <c r="GJ172" s="811"/>
    </row>
    <row r="173" spans="1:192" ht="12.75" hidden="1" customHeight="1" outlineLevel="1">
      <c r="B173" s="735" t="s">
        <v>244</v>
      </c>
      <c r="C173" s="291"/>
      <c r="D173" s="107"/>
      <c r="E173" s="107"/>
      <c r="F173" s="107"/>
      <c r="G173" s="292"/>
      <c r="H173" s="291"/>
      <c r="I173" s="107"/>
      <c r="J173" s="107"/>
      <c r="K173" s="107"/>
      <c r="L173" s="292"/>
      <c r="M173" s="291"/>
      <c r="N173" s="107"/>
      <c r="O173" s="107"/>
      <c r="P173" s="107"/>
      <c r="Q173" s="292"/>
      <c r="R173" s="291"/>
      <c r="S173" s="107"/>
      <c r="T173" s="107"/>
      <c r="U173" s="107"/>
      <c r="V173" s="292"/>
      <c r="W173" s="291"/>
      <c r="X173" s="107"/>
      <c r="Y173" s="107"/>
      <c r="Z173" s="107"/>
      <c r="AA173" s="292"/>
      <c r="AB173" s="291"/>
      <c r="AC173" s="107"/>
      <c r="AD173" s="107"/>
      <c r="AE173" s="107"/>
      <c r="AF173" s="292"/>
      <c r="AG173" s="291"/>
      <c r="AH173" s="107"/>
      <c r="AI173" s="107"/>
      <c r="AJ173" s="107"/>
      <c r="AK173" s="292"/>
      <c r="AL173" s="291"/>
      <c r="AM173" s="107"/>
      <c r="AN173" s="107"/>
      <c r="AO173" s="107"/>
      <c r="AP173" s="292"/>
      <c r="AQ173" s="291"/>
      <c r="AR173" s="107"/>
      <c r="AS173" s="107"/>
      <c r="AT173" s="107"/>
      <c r="AU173" s="292"/>
      <c r="AV173" s="291"/>
      <c r="AW173" s="107"/>
      <c r="AX173" s="107"/>
      <c r="AY173" s="107"/>
      <c r="AZ173" s="292"/>
      <c r="BA173" s="291"/>
      <c r="BB173" s="107"/>
      <c r="BC173" s="107"/>
      <c r="BD173" s="107"/>
      <c r="BE173" s="292"/>
      <c r="BF173" s="291"/>
      <c r="BG173" s="107"/>
      <c r="BH173" s="107"/>
      <c r="BI173" s="107"/>
      <c r="BJ173" s="292"/>
      <c r="BK173" s="291"/>
      <c r="BL173" s="107"/>
      <c r="BM173" s="107"/>
      <c r="BN173" s="107"/>
      <c r="BO173" s="292"/>
      <c r="BP173" s="291"/>
      <c r="BQ173" s="107"/>
      <c r="BR173" s="107"/>
      <c r="BS173" s="107"/>
      <c r="BT173" s="292"/>
      <c r="BU173" s="291"/>
      <c r="BV173" s="107"/>
      <c r="BW173" s="107"/>
      <c r="BX173" s="107"/>
      <c r="BY173" s="292"/>
      <c r="BZ173" s="291"/>
      <c r="CA173" s="107"/>
      <c r="CB173" s="107"/>
      <c r="CC173" s="107"/>
      <c r="CD173" s="292"/>
      <c r="CE173" s="291"/>
      <c r="CF173" s="107"/>
      <c r="CG173" s="107"/>
      <c r="CH173" s="107"/>
      <c r="CI173" s="292"/>
      <c r="CJ173" s="291"/>
      <c r="CK173" s="107"/>
      <c r="CL173" s="107"/>
      <c r="CM173" s="107"/>
      <c r="CN173" s="292"/>
      <c r="CO173" s="291"/>
      <c r="CP173" s="107"/>
      <c r="CQ173" s="107"/>
      <c r="CR173" s="107"/>
      <c r="CS173" s="292"/>
      <c r="CT173" s="291"/>
      <c r="CU173" s="107"/>
      <c r="CV173" s="107"/>
      <c r="CW173" s="107"/>
      <c r="CX173" s="292"/>
      <c r="CY173" s="291"/>
      <c r="CZ173" s="107"/>
      <c r="DA173" s="107"/>
      <c r="DB173" s="107"/>
      <c r="DC173" s="292"/>
      <c r="DD173" s="470"/>
      <c r="DE173" s="463">
        <f>DE168-DD168</f>
      </c>
      <c r="DF173" s="463">
        <f>DF168-DE168</f>
      </c>
      <c r="DG173" s="463">
        <f>DG168-DF168</f>
      </c>
      <c r="DH173" s="292"/>
      <c r="DI173" s="470">
        <f>DI168-DG168</f>
      </c>
      <c r="DJ173" s="463">
        <f>DJ168-DI168</f>
      </c>
      <c r="DK173" s="463">
        <f>DK168-DJ168</f>
      </c>
      <c r="DL173" s="463">
        <f>DL168-DK168</f>
      </c>
      <c r="DM173" s="293"/>
      <c r="DN173" s="470">
        <f>DN168-DL168</f>
      </c>
      <c r="DO173" s="463">
        <f>DO168-DN168</f>
      </c>
      <c r="DP173" s="463">
        <f>DP168-DO168</f>
      </c>
      <c r="DQ173" s="463">
        <f>DQ168-DP168</f>
      </c>
      <c r="DR173" s="293"/>
      <c r="DS173" s="470">
        <f>DS168-DQ168</f>
      </c>
      <c r="DT173" s="1399">
        <f>DT168-DS168</f>
      </c>
      <c r="DU173" s="463">
        <f>DU168-DT168</f>
      </c>
      <c r="DV173" s="463">
        <f>DV168-DU168</f>
      </c>
      <c r="DW173" s="293"/>
      <c r="DX173" s="470">
        <f>DX168-DV168</f>
      </c>
      <c r="DY173" s="463">
        <f>DY168-DX168</f>
      </c>
      <c r="DZ173" s="463">
        <f>DZ168-DY168</f>
      </c>
      <c r="EA173" s="463">
        <f>EA168-DZ168</f>
      </c>
      <c r="EB173" s="293"/>
      <c r="EC173" s="470">
        <f>EC168-EA168</f>
      </c>
      <c r="ED173" s="463">
        <f>ED168-EC168</f>
      </c>
      <c r="EE173" s="463">
        <f>EE168-ED168</f>
      </c>
      <c r="EF173" s="463">
        <f>EF168-EE168</f>
      </c>
      <c r="EG173" s="293"/>
      <c r="EH173" s="470">
        <f>EH168-EF168</f>
      </c>
      <c r="EI173" s="463">
        <f>EI168-EH168</f>
      </c>
      <c r="EJ173" s="463">
        <f>EJ168-EI168</f>
      </c>
      <c r="EK173" s="463">
        <f>EK168-EJ168</f>
      </c>
      <c r="EL173" s="293"/>
      <c r="EM173" s="470">
        <f>EM168-EK168</f>
      </c>
      <c r="EN173" s="463">
        <f>EN168-EM168</f>
      </c>
      <c r="EO173" s="463">
        <f>EO168-EN168</f>
      </c>
      <c r="EP173" s="463">
        <f>EP168-EO168</f>
      </c>
      <c r="EQ173" s="293"/>
      <c r="ER173" s="470">
        <f>ER168-EP168</f>
      </c>
      <c r="ES173" s="463">
        <f>ES168-ER168</f>
      </c>
      <c r="ET173" s="463">
        <f>ET168-ES168</f>
      </c>
      <c r="EU173" s="463">
        <f>EU168-ET168</f>
      </c>
      <c r="EV173" s="293"/>
      <c r="EW173" s="470"/>
      <c r="EX173" s="463"/>
      <c r="EY173" s="463"/>
      <c r="EZ173" s="463"/>
      <c r="FA173" s="292"/>
      <c r="FB173" s="470"/>
      <c r="FC173" s="463"/>
      <c r="FD173" s="463"/>
      <c r="FE173" s="463"/>
      <c r="FF173" s="292"/>
      <c r="FG173" s="470"/>
      <c r="FH173" s="463"/>
      <c r="FI173" s="463"/>
      <c r="FJ173" s="463"/>
      <c r="FK173" s="292"/>
      <c r="FL173" s="470"/>
      <c r="FM173" s="463"/>
      <c r="FN173" s="463"/>
      <c r="FO173" s="463"/>
      <c r="FP173" s="292"/>
      <c r="FQ173" s="470"/>
      <c r="FR173" s="463"/>
      <c r="FS173" s="463"/>
      <c r="FT173" s="463"/>
      <c r="FU173" s="292"/>
      <c r="FV173" s="470"/>
      <c r="FW173" s="463"/>
      <c r="FX173" s="463"/>
      <c r="FY173" s="463"/>
      <c r="FZ173" s="292"/>
      <c r="GA173" s="470"/>
      <c r="GB173" s="463"/>
      <c r="GC173" s="463"/>
      <c r="GD173" s="463"/>
      <c r="GE173" s="292"/>
      <c r="GF173" s="470"/>
      <c r="GG173" s="463"/>
      <c r="GH173" s="463"/>
      <c r="GI173" s="463"/>
      <c r="GJ173" s="384"/>
    </row>
    <row r="174" spans="1:192" s="476" customFormat="1" ht="12.75" hidden="1" customHeight="1" outlineLevel="1">
      <c r="A174" s="850"/>
      <c r="B174" s="735" t="s">
        <v>212</v>
      </c>
      <c r="C174" s="291"/>
      <c r="D174" s="107"/>
      <c r="E174" s="107"/>
      <c r="F174" s="107"/>
      <c r="G174" s="292"/>
      <c r="H174" s="291"/>
      <c r="I174" s="107"/>
      <c r="J174" s="107"/>
      <c r="K174" s="107"/>
      <c r="L174" s="292"/>
      <c r="M174" s="291"/>
      <c r="N174" s="107"/>
      <c r="O174" s="107"/>
      <c r="P174" s="107"/>
      <c r="Q174" s="292"/>
      <c r="R174" s="291"/>
      <c r="S174" s="107"/>
      <c r="T174" s="107"/>
      <c r="U174" s="107"/>
      <c r="V174" s="292"/>
      <c r="W174" s="291"/>
      <c r="X174" s="107"/>
      <c r="Y174" s="107"/>
      <c r="Z174" s="107"/>
      <c r="AA174" s="292"/>
      <c r="AB174" s="291"/>
      <c r="AC174" s="107"/>
      <c r="AD174" s="107"/>
      <c r="AE174" s="107"/>
      <c r="AF174" s="292"/>
      <c r="AG174" s="291"/>
      <c r="AH174" s="107"/>
      <c r="AI174" s="107"/>
      <c r="AJ174" s="107"/>
      <c r="AK174" s="292"/>
      <c r="AL174" s="291"/>
      <c r="AM174" s="107"/>
      <c r="AN174" s="107"/>
      <c r="AO174" s="107"/>
      <c r="AP174" s="292"/>
      <c r="AQ174" s="291"/>
      <c r="AR174" s="107"/>
      <c r="AS174" s="107"/>
      <c r="AT174" s="107"/>
      <c r="AU174" s="292"/>
      <c r="AV174" s="291"/>
      <c r="AW174" s="107"/>
      <c r="AX174" s="107"/>
      <c r="AY174" s="107"/>
      <c r="AZ174" s="292"/>
      <c r="BA174" s="291"/>
      <c r="BB174" s="107"/>
      <c r="BC174" s="107"/>
      <c r="BD174" s="107"/>
      <c r="BE174" s="292"/>
      <c r="BF174" s="291"/>
      <c r="BG174" s="107"/>
      <c r="BH174" s="107"/>
      <c r="BI174" s="107"/>
      <c r="BJ174" s="292"/>
      <c r="BK174" s="291"/>
      <c r="BL174" s="107"/>
      <c r="BM174" s="107"/>
      <c r="BN174" s="107"/>
      <c r="BO174" s="292"/>
      <c r="BP174" s="291"/>
      <c r="BQ174" s="107"/>
      <c r="BR174" s="107"/>
      <c r="BS174" s="107"/>
      <c r="BT174" s="292"/>
      <c r="BU174" s="291"/>
      <c r="BV174" s="107"/>
      <c r="BW174" s="107"/>
      <c r="BX174" s="107"/>
      <c r="BY174" s="292"/>
      <c r="BZ174" s="291"/>
      <c r="CA174" s="107"/>
      <c r="CB174" s="107"/>
      <c r="CC174" s="107"/>
      <c r="CD174" s="292"/>
      <c r="CE174" s="291"/>
      <c r="CF174" s="107"/>
      <c r="CG174" s="107"/>
      <c r="CH174" s="107"/>
      <c r="CI174" s="292"/>
      <c r="CJ174" s="291"/>
      <c r="CK174" s="107"/>
      <c r="CL174" s="107"/>
      <c r="CM174" s="107"/>
      <c r="CN174" s="292"/>
      <c r="CO174" s="291"/>
      <c r="CP174" s="107"/>
      <c r="CQ174" s="107"/>
      <c r="CR174" s="107"/>
      <c r="CS174" s="292"/>
      <c r="CT174" s="291"/>
      <c r="CU174" s="107"/>
      <c r="CV174" s="107"/>
      <c r="CW174" s="107"/>
      <c r="CX174" s="292"/>
      <c r="CY174" s="291"/>
      <c r="CZ174" s="107"/>
      <c r="DA174" s="107"/>
      <c r="DB174" s="107"/>
      <c r="DC174" s="292"/>
      <c r="DD174" s="291"/>
      <c r="DE174" s="107"/>
      <c r="DF174" s="107"/>
      <c r="DG174" s="107"/>
      <c r="DH174" s="292"/>
      <c r="DI174" s="291"/>
      <c r="DJ174" s="291"/>
      <c r="DK174" s="291"/>
      <c r="DL174" s="291"/>
      <c r="DM174" s="292">
        <f t="shared" ref="DM174:DZ174" si="149">DM168/DM135</f>
      </c>
      <c r="DN174" s="291">
        <f t="shared" si="149"/>
      </c>
      <c r="DO174" s="291">
        <f t="shared" si="149"/>
      </c>
      <c r="DP174" s="291">
        <f t="shared" si="149"/>
      </c>
      <c r="DQ174" s="291">
        <f t="shared" si="149"/>
      </c>
      <c r="DR174" s="292">
        <f t="shared" si="149"/>
      </c>
      <c r="DS174" s="291">
        <f t="shared" si="149"/>
      </c>
      <c r="DT174" s="349">
        <f t="shared" si="149"/>
      </c>
      <c r="DU174" s="291">
        <f t="shared" si="149"/>
      </c>
      <c r="DV174" s="291">
        <f t="shared" si="149"/>
      </c>
      <c r="DW174" s="292">
        <f t="shared" si="149"/>
      </c>
      <c r="DX174" s="291">
        <f t="shared" si="149"/>
      </c>
      <c r="DY174" s="291">
        <f t="shared" si="149"/>
      </c>
      <c r="DZ174" s="291">
        <f t="shared" si="149"/>
      </c>
      <c r="EA174" s="1388">
        <f>AVERAGE(DZ174,EC174)</f>
      </c>
      <c r="EB174" s="292">
        <f>EB168/EB135</f>
      </c>
      <c r="EC174" s="1388">
        <f>AVERAGE(DZ174,EE174)</f>
      </c>
      <c r="ED174" s="1388">
        <f>AVERAGE(EC174,EE174)</f>
      </c>
      <c r="EE174" s="291">
        <f t="shared" ref="EE174:EV174" si="150">EE168/EE135</f>
      </c>
      <c r="EF174" s="291">
        <f t="shared" si="150"/>
      </c>
      <c r="EG174" s="292">
        <f t="shared" si="150"/>
      </c>
      <c r="EH174" s="291">
        <f t="shared" si="150"/>
      </c>
      <c r="EI174" s="291">
        <f t="shared" si="150"/>
      </c>
      <c r="EJ174" s="291">
        <f t="shared" si="150"/>
      </c>
      <c r="EK174" s="291">
        <f t="shared" si="150"/>
      </c>
      <c r="EL174" s="292">
        <f t="shared" si="150"/>
      </c>
      <c r="EM174" s="291">
        <f t="shared" si="150"/>
      </c>
      <c r="EN174" s="291">
        <f t="shared" si="150"/>
      </c>
      <c r="EO174" s="291">
        <f t="shared" si="150"/>
      </c>
      <c r="EP174" s="291">
        <f t="shared" si="150"/>
      </c>
      <c r="EQ174" s="292">
        <f t="shared" si="150"/>
      </c>
      <c r="ER174" s="291">
        <f t="shared" si="150"/>
      </c>
      <c r="ES174" s="291">
        <f t="shared" si="150"/>
      </c>
      <c r="ET174" s="291">
        <f t="shared" si="150"/>
      </c>
      <c r="EU174" s="291">
        <f t="shared" si="150"/>
      </c>
      <c r="EV174" s="292">
        <f t="shared" si="150"/>
      </c>
      <c r="EW174" s="291"/>
      <c r="EX174" s="291"/>
      <c r="EY174" s="291"/>
      <c r="EZ174" s="291"/>
      <c r="FA174" s="292"/>
      <c r="FB174" s="291"/>
      <c r="FC174" s="291"/>
      <c r="FD174" s="291"/>
      <c r="FE174" s="291"/>
      <c r="FF174" s="292"/>
      <c r="FG174" s="291"/>
      <c r="FH174" s="291"/>
      <c r="FI174" s="291"/>
      <c r="FJ174" s="291"/>
      <c r="FK174" s="292"/>
      <c r="FL174" s="291"/>
      <c r="FM174" s="291"/>
      <c r="FN174" s="291"/>
      <c r="FO174" s="291"/>
      <c r="FP174" s="292"/>
      <c r="FQ174" s="291"/>
      <c r="FR174" s="291"/>
      <c r="FS174" s="291"/>
      <c r="FT174" s="291"/>
      <c r="FU174" s="292"/>
      <c r="FV174" s="291"/>
      <c r="FW174" s="291"/>
      <c r="FX174" s="291"/>
      <c r="FY174" s="291"/>
      <c r="FZ174" s="292"/>
      <c r="GA174" s="291"/>
      <c r="GB174" s="291"/>
      <c r="GC174" s="291"/>
      <c r="GD174" s="291"/>
      <c r="GE174" s="292"/>
      <c r="GF174" s="291"/>
      <c r="GG174" s="291"/>
      <c r="GH174" s="291"/>
      <c r="GI174" s="291"/>
      <c r="GJ174" s="384"/>
    </row>
    <row r="175" spans="1:192" ht="12.75" hidden="1" customHeight="1" outlineLevel="1">
      <c r="B175" s="735"/>
      <c r="C175" s="291"/>
      <c r="D175" s="107"/>
      <c r="E175" s="107"/>
      <c r="F175" s="107"/>
      <c r="G175" s="292"/>
      <c r="H175" s="291"/>
      <c r="I175" s="107"/>
      <c r="J175" s="107"/>
      <c r="K175" s="107"/>
      <c r="L175" s="292"/>
      <c r="M175" s="291"/>
      <c r="N175" s="107"/>
      <c r="O175" s="107"/>
      <c r="P175" s="107"/>
      <c r="Q175" s="292"/>
      <c r="R175" s="291"/>
      <c r="S175" s="107"/>
      <c r="T175" s="107"/>
      <c r="U175" s="107"/>
      <c r="V175" s="292"/>
      <c r="W175" s="291"/>
      <c r="X175" s="107"/>
      <c r="Y175" s="107"/>
      <c r="Z175" s="107"/>
      <c r="AA175" s="292"/>
      <c r="AB175" s="291"/>
      <c r="AC175" s="107"/>
      <c r="AD175" s="107"/>
      <c r="AE175" s="107"/>
      <c r="AF175" s="292"/>
      <c r="AG175" s="291"/>
      <c r="AH175" s="107"/>
      <c r="AI175" s="107"/>
      <c r="AJ175" s="107"/>
      <c r="AK175" s="292"/>
      <c r="AL175" s="291"/>
      <c r="AM175" s="107"/>
      <c r="AN175" s="107"/>
      <c r="AO175" s="107"/>
      <c r="AP175" s="292"/>
      <c r="AQ175" s="291"/>
      <c r="AR175" s="107"/>
      <c r="AS175" s="107"/>
      <c r="AT175" s="107"/>
      <c r="AU175" s="292"/>
      <c r="AV175" s="291"/>
      <c r="AW175" s="107"/>
      <c r="AX175" s="107"/>
      <c r="AY175" s="107"/>
      <c r="AZ175" s="292"/>
      <c r="BA175" s="291"/>
      <c r="BB175" s="107"/>
      <c r="BC175" s="107"/>
      <c r="BD175" s="107"/>
      <c r="BE175" s="292"/>
      <c r="BF175" s="291"/>
      <c r="BG175" s="107"/>
      <c r="BH175" s="107"/>
      <c r="BI175" s="107"/>
      <c r="BJ175" s="292"/>
      <c r="BK175" s="291"/>
      <c r="BL175" s="107"/>
      <c r="BM175" s="107"/>
      <c r="BN175" s="107"/>
      <c r="BO175" s="292"/>
      <c r="BP175" s="291"/>
      <c r="BQ175" s="107"/>
      <c r="BR175" s="107"/>
      <c r="BS175" s="107"/>
      <c r="BT175" s="292"/>
      <c r="BU175" s="291"/>
      <c r="BV175" s="107"/>
      <c r="BW175" s="107"/>
      <c r="BX175" s="107"/>
      <c r="BY175" s="292"/>
      <c r="BZ175" s="291"/>
      <c r="CA175" s="107"/>
      <c r="CB175" s="107"/>
      <c r="CC175" s="107"/>
      <c r="CD175" s="292"/>
      <c r="CE175" s="291"/>
      <c r="CF175" s="107"/>
      <c r="CG175" s="107"/>
      <c r="CH175" s="107"/>
      <c r="CI175" s="292"/>
      <c r="CJ175" s="291"/>
      <c r="CK175" s="107"/>
      <c r="CL175" s="107"/>
      <c r="CM175" s="107"/>
      <c r="CN175" s="292"/>
      <c r="CO175" s="291"/>
      <c r="CP175" s="107"/>
      <c r="CQ175" s="107"/>
      <c r="CR175" s="107"/>
      <c r="CS175" s="292"/>
      <c r="CT175" s="291"/>
      <c r="CU175" s="107"/>
      <c r="CV175" s="107"/>
      <c r="CW175" s="107"/>
      <c r="CX175" s="292"/>
      <c r="CY175" s="291"/>
      <c r="CZ175" s="107"/>
      <c r="DA175" s="107"/>
      <c r="DB175" s="107"/>
      <c r="DC175" s="292"/>
      <c r="DD175" s="291"/>
      <c r="DE175" s="107"/>
      <c r="DF175" s="107"/>
      <c r="DG175" s="107"/>
      <c r="DH175" s="292"/>
      <c r="DI175" s="291"/>
      <c r="DJ175" s="107"/>
      <c r="DK175" s="107"/>
      <c r="DL175" s="107"/>
      <c r="DM175" s="292"/>
      <c r="DN175" s="291"/>
      <c r="DO175" s="107"/>
      <c r="DP175" s="107"/>
      <c r="DQ175" s="107"/>
      <c r="DR175" s="292"/>
      <c r="DS175" s="291"/>
      <c r="DT175" s="468"/>
      <c r="DU175" s="107"/>
      <c r="DV175" s="107"/>
      <c r="DW175" s="292"/>
      <c r="DX175" s="291"/>
      <c r="DY175" s="107"/>
      <c r="DZ175" s="107"/>
      <c r="EA175" s="107"/>
      <c r="EB175" s="292"/>
      <c r="EC175" s="291"/>
      <c r="ED175" s="107"/>
      <c r="EE175" s="107"/>
      <c r="EF175" s="107"/>
      <c r="EG175" s="292"/>
      <c r="EH175" s="291"/>
      <c r="EI175" s="107"/>
      <c r="EJ175" s="107"/>
      <c r="EK175" s="107"/>
      <c r="EL175" s="292"/>
      <c r="EM175" s="291"/>
      <c r="EN175" s="107"/>
      <c r="EO175" s="107"/>
      <c r="EP175" s="107"/>
      <c r="EQ175" s="292"/>
      <c r="ER175" s="291"/>
      <c r="ES175" s="107"/>
      <c r="ET175" s="107"/>
      <c r="EU175" s="107"/>
      <c r="EV175" s="292"/>
      <c r="EW175" s="291"/>
      <c r="EX175" s="107"/>
      <c r="EY175" s="107"/>
      <c r="EZ175" s="107"/>
      <c r="FA175" s="292"/>
      <c r="FB175" s="291"/>
      <c r="FC175" s="107"/>
      <c r="FD175" s="107"/>
      <c r="FE175" s="107"/>
      <c r="FF175" s="292"/>
      <c r="FG175" s="291"/>
      <c r="FH175" s="107"/>
      <c r="FI175" s="107"/>
      <c r="FJ175" s="107"/>
      <c r="FK175" s="292"/>
      <c r="FL175" s="291"/>
      <c r="FM175" s="107"/>
      <c r="FN175" s="107"/>
      <c r="FO175" s="107"/>
      <c r="FP175" s="292"/>
      <c r="FQ175" s="291"/>
      <c r="FR175" s="107"/>
      <c r="FS175" s="107"/>
      <c r="FT175" s="107"/>
      <c r="FU175" s="292"/>
      <c r="FV175" s="291"/>
      <c r="FW175" s="107"/>
      <c r="FX175" s="107"/>
      <c r="FY175" s="107"/>
      <c r="FZ175" s="292"/>
      <c r="GA175" s="291"/>
      <c r="GB175" s="107"/>
      <c r="GC175" s="107"/>
      <c r="GD175" s="107"/>
      <c r="GE175" s="292"/>
      <c r="GF175" s="291"/>
      <c r="GG175" s="107"/>
      <c r="GH175" s="107"/>
      <c r="GI175" s="107"/>
      <c r="GJ175" s="384"/>
    </row>
    <row r="176" spans="1:192" s="623" customFormat="1" ht="12.75" hidden="1" customHeight="1" outlineLevel="1">
      <c r="A176" s="1642"/>
      <c r="B176" s="748" t="s">
        <v>260</v>
      </c>
      <c r="C176" s="800"/>
      <c r="D176" s="805"/>
      <c r="E176" s="805"/>
      <c r="F176" s="805"/>
      <c r="G176" s="456"/>
      <c r="H176" s="800"/>
      <c r="I176" s="805"/>
      <c r="J176" s="805"/>
      <c r="K176" s="805"/>
      <c r="L176" s="456"/>
      <c r="M176" s="800"/>
      <c r="N176" s="805"/>
      <c r="O176" s="805"/>
      <c r="P176" s="805"/>
      <c r="Q176" s="456"/>
      <c r="R176" s="800"/>
      <c r="S176" s="805"/>
      <c r="T176" s="805"/>
      <c r="U176" s="805"/>
      <c r="V176" s="456"/>
      <c r="W176" s="800"/>
      <c r="X176" s="805"/>
      <c r="Y176" s="805"/>
      <c r="Z176" s="805"/>
      <c r="AA176" s="456"/>
      <c r="AB176" s="800"/>
      <c r="AC176" s="805"/>
      <c r="AD176" s="805"/>
      <c r="AE176" s="805"/>
      <c r="AF176" s="456"/>
      <c r="AG176" s="800"/>
      <c r="AH176" s="805"/>
      <c r="AI176" s="805"/>
      <c r="AJ176" s="805"/>
      <c r="AK176" s="456"/>
      <c r="AL176" s="800"/>
      <c r="AM176" s="805"/>
      <c r="AN176" s="805"/>
      <c r="AO176" s="805"/>
      <c r="AP176" s="456"/>
      <c r="AQ176" s="800"/>
      <c r="AR176" s="805"/>
      <c r="AS176" s="805"/>
      <c r="AT176" s="805"/>
      <c r="AU176" s="456"/>
      <c r="AV176" s="800"/>
      <c r="AW176" s="805"/>
      <c r="AX176" s="805"/>
      <c r="AY176" s="805"/>
      <c r="AZ176" s="456"/>
      <c r="BA176" s="800"/>
      <c r="BB176" s="805"/>
      <c r="BC176" s="805"/>
      <c r="BD176" s="805"/>
      <c r="BE176" s="456"/>
      <c r="BF176" s="800"/>
      <c r="BG176" s="805"/>
      <c r="BH176" s="805"/>
      <c r="BI176" s="805"/>
      <c r="BJ176" s="456"/>
      <c r="BK176" s="800"/>
      <c r="BL176" s="805"/>
      <c r="BM176" s="805"/>
      <c r="BN176" s="805"/>
      <c r="BO176" s="456"/>
      <c r="BP176" s="800"/>
      <c r="BQ176" s="805"/>
      <c r="BR176" s="805"/>
      <c r="BS176" s="805"/>
      <c r="BT176" s="456"/>
      <c r="BU176" s="800"/>
      <c r="BV176" s="805"/>
      <c r="BW176" s="805"/>
      <c r="BX176" s="805"/>
      <c r="BY176" s="456"/>
      <c r="BZ176" s="800"/>
      <c r="CA176" s="805"/>
      <c r="CB176" s="805"/>
      <c r="CC176" s="805"/>
      <c r="CD176" s="456"/>
      <c r="CE176" s="800"/>
      <c r="CF176" s="805"/>
      <c r="CG176" s="805"/>
      <c r="CH176" s="805"/>
      <c r="CI176" s="456"/>
      <c r="CJ176" s="800"/>
      <c r="CK176" s="805"/>
      <c r="CL176" s="805"/>
      <c r="CM176" s="805"/>
      <c r="CN176" s="456"/>
      <c r="CO176" s="800"/>
      <c r="CP176" s="805"/>
      <c r="CQ176" s="805"/>
      <c r="CR176" s="805"/>
      <c r="CS176" s="456"/>
      <c r="CT176" s="800"/>
      <c r="CU176" s="805"/>
      <c r="CV176" s="805"/>
      <c r="CW176" s="805"/>
      <c r="CX176" s="456"/>
      <c r="CY176" s="800"/>
      <c r="CZ176" s="805"/>
      <c r="DA176" s="805"/>
      <c r="DB176" s="805"/>
      <c r="DC176" s="456"/>
      <c r="DD176" s="800"/>
      <c r="DE176" s="805"/>
      <c r="DF176" s="805"/>
      <c r="DG176" s="805"/>
      <c r="DH176" s="456"/>
      <c r="DI176" s="800"/>
      <c r="DJ176" s="800"/>
      <c r="DK176" s="805"/>
      <c r="DL176" s="805"/>
      <c r="DM176" s="456">
        <f t="shared" ref="DM176:DS176" si="151">IFERROR(DM135-DM168-DM159,"")</f>
      </c>
      <c r="DN176" s="800">
        <f t="shared" si="151"/>
      </c>
      <c r="DO176" s="800">
        <f t="shared" si="151"/>
      </c>
      <c r="DP176" s="805">
        <f t="shared" si="151"/>
      </c>
      <c r="DQ176" s="805">
        <f t="shared" si="151"/>
      </c>
      <c r="DR176" s="456">
        <f t="shared" si="151"/>
      </c>
      <c r="DS176" s="800">
        <f t="shared" si="151"/>
      </c>
      <c r="DT176" s="1528">
        <f>DT135*DT181</f>
      </c>
      <c r="DU176" s="805">
        <f t="shared" ref="DU176:EU176" si="152">IFERROR(DU135-DU168-DU159,"")</f>
      </c>
      <c r="DV176" s="805">
        <f t="shared" si="152"/>
      </c>
      <c r="DW176" s="456">
        <f t="shared" si="152"/>
      </c>
      <c r="DX176" s="800">
        <f t="shared" si="152"/>
      </c>
      <c r="DY176" s="800">
        <f t="shared" si="152"/>
      </c>
      <c r="DZ176" s="805">
        <f t="shared" si="152"/>
      </c>
      <c r="EA176" s="805">
        <f t="shared" si="152"/>
      </c>
      <c r="EB176" s="456">
        <f t="shared" si="152"/>
      </c>
      <c r="EC176" s="800">
        <f t="shared" si="152"/>
      </c>
      <c r="ED176" s="800">
        <f t="shared" si="152"/>
      </c>
      <c r="EE176" s="805">
        <f t="shared" si="152"/>
      </c>
      <c r="EF176" s="805">
        <f t="shared" si="152"/>
      </c>
      <c r="EG176" s="456">
        <f t="shared" si="152"/>
      </c>
      <c r="EH176" s="800">
        <f t="shared" si="152"/>
      </c>
      <c r="EI176" s="800">
        <f t="shared" si="152"/>
      </c>
      <c r="EJ176" s="805">
        <f t="shared" si="152"/>
      </c>
      <c r="EK176" s="805">
        <f t="shared" si="152"/>
      </c>
      <c r="EL176" s="456">
        <f t="shared" si="152"/>
      </c>
      <c r="EM176" s="800">
        <f t="shared" si="152"/>
      </c>
      <c r="EN176" s="800">
        <f t="shared" si="152"/>
      </c>
      <c r="EO176" s="800">
        <f t="shared" si="152"/>
      </c>
      <c r="EP176" s="800">
        <f t="shared" si="152"/>
      </c>
      <c r="EQ176" s="456">
        <f t="shared" si="152"/>
      </c>
      <c r="ER176" s="800">
        <f t="shared" si="152"/>
      </c>
      <c r="ES176" s="800">
        <f t="shared" si="152"/>
      </c>
      <c r="ET176" s="800">
        <f t="shared" si="152"/>
      </c>
      <c r="EU176" s="800">
        <f t="shared" si="152"/>
      </c>
      <c r="EV176" s="456">
        <f>SUM(ER176:EU176)</f>
      </c>
      <c r="EW176" s="800"/>
      <c r="EX176" s="805"/>
      <c r="EY176" s="805"/>
      <c r="EZ176" s="805"/>
      <c r="FA176" s="456"/>
      <c r="FB176" s="800"/>
      <c r="FC176" s="805"/>
      <c r="FD176" s="805"/>
      <c r="FE176" s="805"/>
      <c r="FF176" s="456"/>
      <c r="FG176" s="800"/>
      <c r="FH176" s="805"/>
      <c r="FI176" s="805"/>
      <c r="FJ176" s="805"/>
      <c r="FK176" s="456"/>
      <c r="FL176" s="800"/>
      <c r="FM176" s="805"/>
      <c r="FN176" s="805"/>
      <c r="FO176" s="805"/>
      <c r="FP176" s="456"/>
      <c r="FQ176" s="800"/>
      <c r="FR176" s="805"/>
      <c r="FS176" s="805"/>
      <c r="FT176" s="805"/>
      <c r="FU176" s="456"/>
      <c r="FV176" s="800"/>
      <c r="FW176" s="805"/>
      <c r="FX176" s="805"/>
      <c r="FY176" s="805"/>
      <c r="FZ176" s="472"/>
      <c r="GA176" s="800"/>
      <c r="GB176" s="805"/>
      <c r="GC176" s="805"/>
      <c r="GD176" s="805"/>
      <c r="GE176" s="472"/>
      <c r="GF176" s="800"/>
      <c r="GG176" s="805"/>
      <c r="GH176" s="805"/>
      <c r="GI176" s="805"/>
      <c r="GJ176" s="810"/>
    </row>
    <row r="177" spans="1:192" ht="12.75" hidden="1" customHeight="1" outlineLevel="1">
      <c r="B177" s="735" t="s">
        <v>34</v>
      </c>
      <c r="C177" s="291"/>
      <c r="D177" s="107"/>
      <c r="E177" s="107"/>
      <c r="F177" s="107"/>
      <c r="G177" s="292"/>
      <c r="H177" s="291"/>
      <c r="I177" s="107"/>
      <c r="J177" s="107"/>
      <c r="K177" s="107"/>
      <c r="L177" s="292"/>
      <c r="M177" s="291"/>
      <c r="N177" s="107"/>
      <c r="O177" s="107"/>
      <c r="P177" s="107"/>
      <c r="Q177" s="292"/>
      <c r="R177" s="291"/>
      <c r="S177" s="107"/>
      <c r="T177" s="107"/>
      <c r="U177" s="107"/>
      <c r="V177" s="292"/>
      <c r="W177" s="291"/>
      <c r="X177" s="107"/>
      <c r="Y177" s="107"/>
      <c r="Z177" s="107"/>
      <c r="AA177" s="292"/>
      <c r="AB177" s="291"/>
      <c r="AC177" s="107"/>
      <c r="AD177" s="107"/>
      <c r="AE177" s="107"/>
      <c r="AF177" s="292"/>
      <c r="AG177" s="291"/>
      <c r="AH177" s="107"/>
      <c r="AI177" s="107"/>
      <c r="AJ177" s="107"/>
      <c r="AK177" s="292"/>
      <c r="AL177" s="291"/>
      <c r="AM177" s="107"/>
      <c r="AN177" s="107"/>
      <c r="AO177" s="107"/>
      <c r="AP177" s="292"/>
      <c r="AQ177" s="291"/>
      <c r="AR177" s="107"/>
      <c r="AS177" s="107"/>
      <c r="AT177" s="107"/>
      <c r="AU177" s="292"/>
      <c r="AV177" s="291"/>
      <c r="AW177" s="107"/>
      <c r="AX177" s="107"/>
      <c r="AY177" s="107"/>
      <c r="AZ177" s="292"/>
      <c r="BA177" s="291"/>
      <c r="BB177" s="107"/>
      <c r="BC177" s="107"/>
      <c r="BD177" s="107"/>
      <c r="BE177" s="292"/>
      <c r="BF177" s="291"/>
      <c r="BG177" s="107"/>
      <c r="BH177" s="107"/>
      <c r="BI177" s="107"/>
      <c r="BJ177" s="292"/>
      <c r="BK177" s="291"/>
      <c r="BL177" s="107"/>
      <c r="BM177" s="107"/>
      <c r="BN177" s="107"/>
      <c r="BO177" s="292"/>
      <c r="BP177" s="291"/>
      <c r="BQ177" s="107"/>
      <c r="BR177" s="107"/>
      <c r="BS177" s="107"/>
      <c r="BT177" s="292"/>
      <c r="BU177" s="291"/>
      <c r="BV177" s="107"/>
      <c r="BW177" s="107"/>
      <c r="BX177" s="107"/>
      <c r="BY177" s="292"/>
      <c r="BZ177" s="291"/>
      <c r="CA177" s="107"/>
      <c r="CB177" s="107"/>
      <c r="CC177" s="107"/>
      <c r="CD177" s="292"/>
      <c r="CE177" s="291"/>
      <c r="CF177" s="107"/>
      <c r="CG177" s="107"/>
      <c r="CH177" s="107"/>
      <c r="CI177" s="292"/>
      <c r="CJ177" s="291"/>
      <c r="CK177" s="107"/>
      <c r="CL177" s="107"/>
      <c r="CM177" s="107"/>
      <c r="CN177" s="292"/>
      <c r="CO177" s="291"/>
      <c r="CP177" s="107"/>
      <c r="CQ177" s="107"/>
      <c r="CR177" s="107"/>
      <c r="CS177" s="292"/>
      <c r="CT177" s="291"/>
      <c r="CU177" s="107"/>
      <c r="CV177" s="107"/>
      <c r="CW177" s="107"/>
      <c r="CX177" s="292"/>
      <c r="CY177" s="291"/>
      <c r="CZ177" s="107"/>
      <c r="DA177" s="107"/>
      <c r="DB177" s="107"/>
      <c r="DC177" s="292"/>
      <c r="DD177" s="291"/>
      <c r="DE177" s="107"/>
      <c r="DF177" s="107"/>
      <c r="DG177" s="107"/>
      <c r="DH177" s="292"/>
      <c r="DI177" s="291"/>
      <c r="DJ177" s="107"/>
      <c r="DK177" s="107"/>
      <c r="DL177" s="107"/>
      <c r="DM177" s="292"/>
      <c r="DN177" s="107"/>
      <c r="DO177" s="107"/>
      <c r="DP177" s="107"/>
      <c r="DQ177" s="107"/>
      <c r="DR177" s="292">
        <f t="shared" ref="DR177:ET177" si="153">DR176/DM176-1</f>
      </c>
      <c r="DS177" s="107">
        <f t="shared" si="153"/>
      </c>
      <c r="DT177" s="468">
        <f t="shared" si="153"/>
      </c>
      <c r="DU177" s="107">
        <f t="shared" si="153"/>
      </c>
      <c r="DV177" s="107">
        <f t="shared" si="153"/>
      </c>
      <c r="DW177" s="292">
        <f t="shared" si="153"/>
      </c>
      <c r="DX177" s="107">
        <f t="shared" si="153"/>
      </c>
      <c r="DY177" s="107">
        <f t="shared" si="153"/>
      </c>
      <c r="DZ177" s="107">
        <f t="shared" si="153"/>
      </c>
      <c r="EA177" s="107">
        <f t="shared" si="153"/>
      </c>
      <c r="EB177" s="292">
        <f t="shared" si="153"/>
      </c>
      <c r="EC177" s="107">
        <f t="shared" si="153"/>
      </c>
      <c r="ED177" s="107">
        <f t="shared" si="153"/>
      </c>
      <c r="EE177" s="107">
        <f t="shared" si="153"/>
      </c>
      <c r="EF177" s="107">
        <f t="shared" si="153"/>
      </c>
      <c r="EG177" s="292">
        <f t="shared" si="153"/>
      </c>
      <c r="EH177" s="107">
        <f t="shared" si="153"/>
      </c>
      <c r="EI177" s="107">
        <f t="shared" si="153"/>
      </c>
      <c r="EJ177" s="107">
        <f t="shared" si="153"/>
      </c>
      <c r="EK177" s="107">
        <f t="shared" si="153"/>
      </c>
      <c r="EL177" s="292">
        <f t="shared" si="153"/>
      </c>
      <c r="EM177" s="107">
        <f t="shared" si="153"/>
      </c>
      <c r="EN177" s="107">
        <f t="shared" si="153"/>
      </c>
      <c r="EO177" s="107">
        <f t="shared" si="153"/>
      </c>
      <c r="EP177" s="107">
        <f t="shared" si="153"/>
      </c>
      <c r="EQ177" s="292">
        <f t="shared" si="153"/>
      </c>
      <c r="ER177" s="107">
        <f t="shared" si="153"/>
      </c>
      <c r="ES177" s="107">
        <f t="shared" si="153"/>
      </c>
      <c r="ET177" s="107">
        <f t="shared" si="153"/>
      </c>
      <c r="EU177" s="107">
        <f>EU176/EP176-1</f>
      </c>
      <c r="EV177" s="292">
        <f>EV176/EQ176-1</f>
      </c>
      <c r="EW177" s="114"/>
      <c r="EX177" s="114"/>
      <c r="EY177" s="114"/>
      <c r="EZ177" s="114"/>
      <c r="FA177" s="292"/>
      <c r="FB177" s="114"/>
      <c r="FC177" s="114"/>
      <c r="FD177" s="114"/>
      <c r="FE177" s="114"/>
      <c r="FF177" s="292"/>
      <c r="FG177" s="114"/>
      <c r="FH177" s="114"/>
      <c r="FI177" s="114"/>
      <c r="FJ177" s="114"/>
      <c r="FK177" s="292"/>
      <c r="FL177" s="114"/>
      <c r="FM177" s="114"/>
      <c r="FN177" s="114"/>
      <c r="FO177" s="114"/>
      <c r="FP177" s="292"/>
      <c r="FQ177" s="114"/>
      <c r="FR177" s="114"/>
      <c r="FS177" s="114"/>
      <c r="FT177" s="114"/>
      <c r="FU177" s="292"/>
      <c r="FV177" s="114"/>
      <c r="FW177" s="114"/>
      <c r="FX177" s="114"/>
      <c r="FY177" s="114"/>
      <c r="FZ177" s="292"/>
      <c r="GA177" s="114"/>
      <c r="GB177" s="114"/>
      <c r="GC177" s="114"/>
      <c r="GD177" s="114"/>
      <c r="GE177" s="292"/>
      <c r="GF177" s="114"/>
      <c r="GG177" s="114"/>
      <c r="GH177" s="114"/>
      <c r="GI177" s="114"/>
      <c r="GJ177" s="384"/>
    </row>
    <row r="178" spans="1:192" ht="12.75" hidden="1" customHeight="1" outlineLevel="1">
      <c r="B178" s="735" t="s">
        <v>36</v>
      </c>
      <c r="C178" s="291"/>
      <c r="D178" s="107"/>
      <c r="E178" s="107"/>
      <c r="F178" s="107"/>
      <c r="G178" s="292"/>
      <c r="H178" s="291"/>
      <c r="I178" s="107"/>
      <c r="J178" s="107"/>
      <c r="K178" s="107"/>
      <c r="L178" s="292"/>
      <c r="M178" s="291"/>
      <c r="N178" s="107"/>
      <c r="O178" s="107"/>
      <c r="P178" s="107"/>
      <c r="Q178" s="292"/>
      <c r="R178" s="291"/>
      <c r="S178" s="107"/>
      <c r="T178" s="107"/>
      <c r="U178" s="107"/>
      <c r="V178" s="292"/>
      <c r="W178" s="291"/>
      <c r="X178" s="107"/>
      <c r="Y178" s="107"/>
      <c r="Z178" s="107"/>
      <c r="AA178" s="292"/>
      <c r="AB178" s="291"/>
      <c r="AC178" s="107"/>
      <c r="AD178" s="107"/>
      <c r="AE178" s="107"/>
      <c r="AF178" s="292"/>
      <c r="AG178" s="291"/>
      <c r="AH178" s="107"/>
      <c r="AI178" s="107"/>
      <c r="AJ178" s="107"/>
      <c r="AK178" s="292"/>
      <c r="AL178" s="291"/>
      <c r="AM178" s="107"/>
      <c r="AN178" s="107"/>
      <c r="AO178" s="107"/>
      <c r="AP178" s="292"/>
      <c r="AQ178" s="291"/>
      <c r="AR178" s="107"/>
      <c r="AS178" s="107"/>
      <c r="AT178" s="107"/>
      <c r="AU178" s="292"/>
      <c r="AV178" s="291"/>
      <c r="AW178" s="107"/>
      <c r="AX178" s="107"/>
      <c r="AY178" s="107"/>
      <c r="AZ178" s="292"/>
      <c r="BA178" s="291"/>
      <c r="BB178" s="107"/>
      <c r="BC178" s="107"/>
      <c r="BD178" s="107"/>
      <c r="BE178" s="292"/>
      <c r="BF178" s="291"/>
      <c r="BG178" s="107"/>
      <c r="BH178" s="107"/>
      <c r="BI178" s="107"/>
      <c r="BJ178" s="292"/>
      <c r="BK178" s="291"/>
      <c r="BL178" s="107"/>
      <c r="BM178" s="107"/>
      <c r="BN178" s="107"/>
      <c r="BO178" s="292"/>
      <c r="BP178" s="291"/>
      <c r="BQ178" s="107"/>
      <c r="BR178" s="107"/>
      <c r="BS178" s="107"/>
      <c r="BT178" s="292"/>
      <c r="BU178" s="291"/>
      <c r="BV178" s="107"/>
      <c r="BW178" s="107"/>
      <c r="BX178" s="107"/>
      <c r="BY178" s="292"/>
      <c r="BZ178" s="291"/>
      <c r="CA178" s="107"/>
      <c r="CB178" s="107"/>
      <c r="CC178" s="107"/>
      <c r="CD178" s="292"/>
      <c r="CE178" s="291"/>
      <c r="CF178" s="107"/>
      <c r="CG178" s="107"/>
      <c r="CH178" s="107"/>
      <c r="CI178" s="292"/>
      <c r="CJ178" s="291"/>
      <c r="CK178" s="107"/>
      <c r="CL178" s="107"/>
      <c r="CM178" s="107"/>
      <c r="CN178" s="292"/>
      <c r="CO178" s="291"/>
      <c r="CP178" s="107"/>
      <c r="CQ178" s="107"/>
      <c r="CR178" s="107"/>
      <c r="CS178" s="292"/>
      <c r="CT178" s="291"/>
      <c r="CU178" s="107"/>
      <c r="CV178" s="107"/>
      <c r="CW178" s="107"/>
      <c r="CX178" s="292"/>
      <c r="CY178" s="291"/>
      <c r="CZ178" s="107"/>
      <c r="DA178" s="107"/>
      <c r="DB178" s="107"/>
      <c r="DC178" s="292"/>
      <c r="DD178" s="291"/>
      <c r="DE178" s="107"/>
      <c r="DF178" s="107"/>
      <c r="DG178" s="107"/>
      <c r="DH178" s="292"/>
      <c r="DI178" s="291"/>
      <c r="DJ178" s="107"/>
      <c r="DK178" s="107"/>
      <c r="DL178" s="107"/>
      <c r="DM178" s="292"/>
      <c r="DN178" s="470"/>
      <c r="DO178" s="107">
        <f>DO176/DN176-1</f>
      </c>
      <c r="DP178" s="107">
        <f>DP176/DO176-1</f>
      </c>
      <c r="DQ178" s="107">
        <f>DQ176/DP176-1</f>
      </c>
      <c r="DR178" s="292"/>
      <c r="DS178" s="470">
        <f>DS176-DQ176-1</f>
      </c>
      <c r="DT178" s="468">
        <f>DT176/DS176-1</f>
      </c>
      <c r="DU178" s="107">
        <f>DU176/DT176-1</f>
      </c>
      <c r="DV178" s="107">
        <f>DV176/DU176-1</f>
      </c>
      <c r="DW178" s="292"/>
      <c r="DX178" s="470">
        <f>DX176-DV176-1</f>
      </c>
      <c r="DY178" s="107">
        <f>DY176/DX176-1</f>
      </c>
      <c r="DZ178" s="107">
        <f>DZ176/DY176-1</f>
      </c>
      <c r="EA178" s="107">
        <f>EA176/DZ176-1</f>
      </c>
      <c r="EB178" s="292"/>
      <c r="EC178" s="470">
        <f>EC176-EA176-1</f>
      </c>
      <c r="ED178" s="107">
        <f>ED176/EC176-1</f>
      </c>
      <c r="EE178" s="107">
        <f>EE176/ED176-1</f>
      </c>
      <c r="EF178" s="107">
        <f>EF176/EE176-1</f>
      </c>
      <c r="EG178" s="292"/>
      <c r="EH178" s="470">
        <f>EH176-EF176-1</f>
      </c>
      <c r="EI178" s="107">
        <f>EI176/EH176-1</f>
      </c>
      <c r="EJ178" s="107">
        <f>EJ176/EI176-1</f>
      </c>
      <c r="EK178" s="107">
        <f>EK176/EJ176-1</f>
      </c>
      <c r="EL178" s="292"/>
      <c r="EM178" s="470">
        <f>EM176-EK176-1</f>
      </c>
      <c r="EN178" s="107">
        <f>EN176/EM176-1</f>
      </c>
      <c r="EO178" s="107">
        <f>EO176/EN176-1</f>
      </c>
      <c r="EP178" s="107">
        <f>EP176/EO176-1</f>
      </c>
      <c r="EQ178" s="292"/>
      <c r="ER178" s="470">
        <f>ER176-EP176-1</f>
      </c>
      <c r="ES178" s="107">
        <f>ES176/ER176-1</f>
      </c>
      <c r="ET178" s="107">
        <f>ET176/ES176-1</f>
      </c>
      <c r="EU178" s="107">
        <f>EU176/ET176-1</f>
      </c>
      <c r="EV178" s="292"/>
      <c r="EW178" s="291"/>
      <c r="EX178" s="107"/>
      <c r="EY178" s="107"/>
      <c r="EZ178" s="107"/>
      <c r="FA178" s="292"/>
      <c r="FB178" s="291"/>
      <c r="FC178" s="107"/>
      <c r="FD178" s="107"/>
      <c r="FE178" s="107"/>
      <c r="FF178" s="292"/>
      <c r="FG178" s="291"/>
      <c r="FH178" s="107"/>
      <c r="FI178" s="107"/>
      <c r="FJ178" s="107"/>
      <c r="FK178" s="292"/>
      <c r="FL178" s="291"/>
      <c r="FM178" s="107"/>
      <c r="FN178" s="107"/>
      <c r="FO178" s="107"/>
      <c r="FP178" s="292"/>
      <c r="FQ178" s="291"/>
      <c r="FR178" s="107"/>
      <c r="FS178" s="107"/>
      <c r="FT178" s="107"/>
      <c r="FU178" s="292"/>
      <c r="FV178" s="291"/>
      <c r="FW178" s="107"/>
      <c r="FX178" s="107"/>
      <c r="FY178" s="107"/>
      <c r="FZ178" s="292"/>
      <c r="GA178" s="291"/>
      <c r="GB178" s="107"/>
      <c r="GC178" s="107"/>
      <c r="GD178" s="107"/>
      <c r="GE178" s="292"/>
      <c r="GF178" s="291"/>
      <c r="GG178" s="107"/>
      <c r="GH178" s="107"/>
      <c r="GI178" s="107"/>
      <c r="GJ178" s="384"/>
    </row>
    <row r="179" spans="1:192" s="461" customFormat="1" ht="12.75" hidden="1" customHeight="1" outlineLevel="1">
      <c r="A179" s="850"/>
      <c r="B179" s="735" t="s">
        <v>243</v>
      </c>
      <c r="C179" s="447"/>
      <c r="D179" s="458"/>
      <c r="E179" s="458"/>
      <c r="F179" s="458"/>
      <c r="G179" s="462"/>
      <c r="H179" s="447"/>
      <c r="I179" s="458"/>
      <c r="J179" s="458"/>
      <c r="K179" s="458"/>
      <c r="L179" s="462"/>
      <c r="M179" s="447"/>
      <c r="N179" s="458"/>
      <c r="O179" s="458"/>
      <c r="P179" s="458"/>
      <c r="Q179" s="462"/>
      <c r="R179" s="447"/>
      <c r="S179" s="458"/>
      <c r="T179" s="458"/>
      <c r="U179" s="458"/>
      <c r="V179" s="462"/>
      <c r="W179" s="447"/>
      <c r="X179" s="458"/>
      <c r="Y179" s="458"/>
      <c r="Z179" s="458"/>
      <c r="AA179" s="462"/>
      <c r="AB179" s="447"/>
      <c r="AC179" s="458"/>
      <c r="AD179" s="458"/>
      <c r="AE179" s="458"/>
      <c r="AF179" s="462"/>
      <c r="AG179" s="447"/>
      <c r="AH179" s="458"/>
      <c r="AI179" s="458"/>
      <c r="AJ179" s="458"/>
      <c r="AK179" s="462"/>
      <c r="AL179" s="447"/>
      <c r="AM179" s="458"/>
      <c r="AN179" s="458"/>
      <c r="AO179" s="458"/>
      <c r="AP179" s="462"/>
      <c r="AQ179" s="447"/>
      <c r="AR179" s="458"/>
      <c r="AS179" s="458"/>
      <c r="AT179" s="458"/>
      <c r="AU179" s="462"/>
      <c r="AV179" s="447"/>
      <c r="AW179" s="458"/>
      <c r="AX179" s="458"/>
      <c r="AY179" s="458"/>
      <c r="AZ179" s="462"/>
      <c r="BA179" s="447"/>
      <c r="BB179" s="458"/>
      <c r="BC179" s="458"/>
      <c r="BD179" s="458"/>
      <c r="BE179" s="462"/>
      <c r="BF179" s="447"/>
      <c r="BG179" s="458"/>
      <c r="BH179" s="458"/>
      <c r="BI179" s="458"/>
      <c r="BJ179" s="462"/>
      <c r="BK179" s="447"/>
      <c r="BL179" s="458"/>
      <c r="BM179" s="458"/>
      <c r="BN179" s="458"/>
      <c r="BO179" s="462"/>
      <c r="BP179" s="447"/>
      <c r="BQ179" s="458"/>
      <c r="BR179" s="458"/>
      <c r="BS179" s="458"/>
      <c r="BT179" s="462"/>
      <c r="BU179" s="447"/>
      <c r="BV179" s="458"/>
      <c r="BW179" s="458"/>
      <c r="BX179" s="458"/>
      <c r="BY179" s="462"/>
      <c r="BZ179" s="447"/>
      <c r="CA179" s="458"/>
      <c r="CB179" s="458"/>
      <c r="CC179" s="458"/>
      <c r="CD179" s="462"/>
      <c r="CE179" s="447"/>
      <c r="CF179" s="458"/>
      <c r="CG179" s="458"/>
      <c r="CH179" s="458"/>
      <c r="CI179" s="462"/>
      <c r="CJ179" s="447"/>
      <c r="CK179" s="458"/>
      <c r="CL179" s="458"/>
      <c r="CM179" s="458"/>
      <c r="CN179" s="462"/>
      <c r="CO179" s="447"/>
      <c r="CP179" s="458"/>
      <c r="CQ179" s="458"/>
      <c r="CR179" s="458"/>
      <c r="CS179" s="462"/>
      <c r="CT179" s="447"/>
      <c r="CU179" s="458"/>
      <c r="CV179" s="458"/>
      <c r="CW179" s="458"/>
      <c r="CX179" s="462"/>
      <c r="CY179" s="447"/>
      <c r="CZ179" s="458"/>
      <c r="DA179" s="458"/>
      <c r="DB179" s="458"/>
      <c r="DC179" s="462"/>
      <c r="DD179" s="447"/>
      <c r="DE179" s="458"/>
      <c r="DF179" s="458"/>
      <c r="DG179" s="458"/>
      <c r="DH179" s="462"/>
      <c r="DI179" s="447"/>
      <c r="DJ179" s="458"/>
      <c r="DK179" s="458"/>
      <c r="DL179" s="458"/>
      <c r="DM179" s="462"/>
      <c r="DN179" s="458"/>
      <c r="DO179" s="458"/>
      <c r="DP179" s="458"/>
      <c r="DQ179" s="458"/>
      <c r="DR179" s="462">
        <f t="shared" ref="DR179:ET179" si="154">DR176-DM176</f>
      </c>
      <c r="DS179" s="458">
        <f t="shared" si="154"/>
      </c>
      <c r="DT179" s="679">
        <f t="shared" si="154"/>
      </c>
      <c r="DU179" s="458">
        <f t="shared" si="154"/>
      </c>
      <c r="DV179" s="458">
        <f t="shared" si="154"/>
      </c>
      <c r="DW179" s="462">
        <f t="shared" si="154"/>
      </c>
      <c r="DX179" s="458">
        <f t="shared" si="154"/>
      </c>
      <c r="DY179" s="458">
        <f t="shared" si="154"/>
      </c>
      <c r="DZ179" s="458">
        <f t="shared" si="154"/>
      </c>
      <c r="EA179" s="458">
        <f t="shared" si="154"/>
      </c>
      <c r="EB179" s="462">
        <f t="shared" si="154"/>
      </c>
      <c r="EC179" s="458">
        <f t="shared" si="154"/>
      </c>
      <c r="ED179" s="458">
        <f t="shared" si="154"/>
      </c>
      <c r="EE179" s="458">
        <f t="shared" si="154"/>
      </c>
      <c r="EF179" s="458">
        <f t="shared" si="154"/>
      </c>
      <c r="EG179" s="462">
        <f t="shared" si="154"/>
      </c>
      <c r="EH179" s="458">
        <f t="shared" si="154"/>
      </c>
      <c r="EI179" s="458">
        <f t="shared" si="154"/>
      </c>
      <c r="EJ179" s="458">
        <f t="shared" si="154"/>
      </c>
      <c r="EK179" s="458">
        <f t="shared" si="154"/>
      </c>
      <c r="EL179" s="462">
        <f t="shared" si="154"/>
      </c>
      <c r="EM179" s="458">
        <f t="shared" si="154"/>
      </c>
      <c r="EN179" s="458">
        <f t="shared" si="154"/>
      </c>
      <c r="EO179" s="458">
        <f t="shared" si="154"/>
      </c>
      <c r="EP179" s="458">
        <f t="shared" si="154"/>
      </c>
      <c r="EQ179" s="462">
        <f t="shared" si="154"/>
      </c>
      <c r="ER179" s="458">
        <f t="shared" si="154"/>
      </c>
      <c r="ES179" s="458">
        <f t="shared" si="154"/>
      </c>
      <c r="ET179" s="458">
        <f t="shared" si="154"/>
      </c>
      <c r="EU179" s="458">
        <f>EU176-EP176</f>
      </c>
      <c r="EV179" s="462">
        <f>EV176-EQ176</f>
      </c>
      <c r="EW179" s="458"/>
      <c r="EX179" s="458"/>
      <c r="EY179" s="458"/>
      <c r="EZ179" s="458"/>
      <c r="FA179" s="462"/>
      <c r="FB179" s="458"/>
      <c r="FC179" s="458"/>
      <c r="FD179" s="458"/>
      <c r="FE179" s="458"/>
      <c r="FF179" s="462"/>
      <c r="FG179" s="458"/>
      <c r="FH179" s="458"/>
      <c r="FI179" s="458"/>
      <c r="FJ179" s="458"/>
      <c r="FK179" s="462"/>
      <c r="FL179" s="458"/>
      <c r="FM179" s="458"/>
      <c r="FN179" s="458"/>
      <c r="FO179" s="458"/>
      <c r="FP179" s="462"/>
      <c r="FQ179" s="458"/>
      <c r="FR179" s="458"/>
      <c r="FS179" s="458"/>
      <c r="FT179" s="458"/>
      <c r="FU179" s="462"/>
      <c r="FV179" s="447"/>
      <c r="FW179" s="458"/>
      <c r="FX179" s="458"/>
      <c r="FY179" s="458"/>
      <c r="FZ179" s="462"/>
      <c r="GA179" s="447"/>
      <c r="GB179" s="458"/>
      <c r="GC179" s="458"/>
      <c r="GD179" s="458"/>
      <c r="GE179" s="462"/>
      <c r="GF179" s="447"/>
      <c r="GG179" s="458"/>
      <c r="GH179" s="458"/>
      <c r="GI179" s="458"/>
      <c r="GJ179" s="497"/>
    </row>
    <row r="180" spans="1:192" s="461" customFormat="1" ht="12.75" hidden="1" customHeight="1" outlineLevel="1">
      <c r="A180" s="850"/>
      <c r="B180" s="735" t="s">
        <v>244</v>
      </c>
      <c r="C180" s="447"/>
      <c r="D180" s="458"/>
      <c r="E180" s="458"/>
      <c r="F180" s="458"/>
      <c r="G180" s="462"/>
      <c r="H180" s="447"/>
      <c r="I180" s="458"/>
      <c r="J180" s="458"/>
      <c r="K180" s="458"/>
      <c r="L180" s="462"/>
      <c r="M180" s="447"/>
      <c r="N180" s="458"/>
      <c r="O180" s="458"/>
      <c r="P180" s="458"/>
      <c r="Q180" s="462"/>
      <c r="R180" s="447"/>
      <c r="S180" s="458"/>
      <c r="T180" s="458"/>
      <c r="U180" s="458"/>
      <c r="V180" s="462"/>
      <c r="W180" s="447"/>
      <c r="X180" s="458"/>
      <c r="Y180" s="458"/>
      <c r="Z180" s="458"/>
      <c r="AA180" s="462"/>
      <c r="AB180" s="447"/>
      <c r="AC180" s="458"/>
      <c r="AD180" s="458"/>
      <c r="AE180" s="458"/>
      <c r="AF180" s="462"/>
      <c r="AG180" s="447"/>
      <c r="AH180" s="458"/>
      <c r="AI180" s="458"/>
      <c r="AJ180" s="458"/>
      <c r="AK180" s="462"/>
      <c r="AL180" s="447"/>
      <c r="AM180" s="458"/>
      <c r="AN180" s="458"/>
      <c r="AO180" s="458"/>
      <c r="AP180" s="462"/>
      <c r="AQ180" s="447"/>
      <c r="AR180" s="458"/>
      <c r="AS180" s="458"/>
      <c r="AT180" s="458"/>
      <c r="AU180" s="462"/>
      <c r="AV180" s="447"/>
      <c r="AW180" s="458"/>
      <c r="AX180" s="458"/>
      <c r="AY180" s="458"/>
      <c r="AZ180" s="462"/>
      <c r="BA180" s="447"/>
      <c r="BB180" s="458"/>
      <c r="BC180" s="458"/>
      <c r="BD180" s="458"/>
      <c r="BE180" s="462"/>
      <c r="BF180" s="447"/>
      <c r="BG180" s="458"/>
      <c r="BH180" s="458"/>
      <c r="BI180" s="458"/>
      <c r="BJ180" s="462"/>
      <c r="BK180" s="447"/>
      <c r="BL180" s="458"/>
      <c r="BM180" s="458"/>
      <c r="BN180" s="458"/>
      <c r="BO180" s="462"/>
      <c r="BP180" s="447"/>
      <c r="BQ180" s="458"/>
      <c r="BR180" s="458"/>
      <c r="BS180" s="458"/>
      <c r="BT180" s="462"/>
      <c r="BU180" s="447"/>
      <c r="BV180" s="458"/>
      <c r="BW180" s="458"/>
      <c r="BX180" s="458"/>
      <c r="BY180" s="462"/>
      <c r="BZ180" s="447"/>
      <c r="CA180" s="458"/>
      <c r="CB180" s="458"/>
      <c r="CC180" s="458"/>
      <c r="CD180" s="462"/>
      <c r="CE180" s="447"/>
      <c r="CF180" s="458"/>
      <c r="CG180" s="458"/>
      <c r="CH180" s="458"/>
      <c r="CI180" s="462"/>
      <c r="CJ180" s="447"/>
      <c r="CK180" s="458"/>
      <c r="CL180" s="458"/>
      <c r="CM180" s="458"/>
      <c r="CN180" s="462"/>
      <c r="CO180" s="447"/>
      <c r="CP180" s="458"/>
      <c r="CQ180" s="458"/>
      <c r="CR180" s="458"/>
      <c r="CS180" s="462"/>
      <c r="CT180" s="447"/>
      <c r="CU180" s="458"/>
      <c r="CV180" s="458"/>
      <c r="CW180" s="458"/>
      <c r="CX180" s="462"/>
      <c r="CY180" s="447"/>
      <c r="CZ180" s="458"/>
      <c r="DA180" s="458"/>
      <c r="DB180" s="458"/>
      <c r="DC180" s="462"/>
      <c r="DD180" s="447"/>
      <c r="DE180" s="458"/>
      <c r="DF180" s="458"/>
      <c r="DG180" s="458"/>
      <c r="DH180" s="462"/>
      <c r="DI180" s="447"/>
      <c r="DJ180" s="458"/>
      <c r="DK180" s="458"/>
      <c r="DL180" s="458"/>
      <c r="DM180" s="462"/>
      <c r="DN180" s="447"/>
      <c r="DO180" s="458">
        <f>DO176-DN176</f>
      </c>
      <c r="DP180" s="458">
        <f>DP176-DO176</f>
      </c>
      <c r="DQ180" s="458">
        <f>DQ176-DP176</f>
      </c>
      <c r="DR180" s="462"/>
      <c r="DS180" s="447">
        <f>DS176-DQ176</f>
      </c>
      <c r="DT180" s="679">
        <f>DT176-DS176</f>
      </c>
      <c r="DU180" s="458">
        <f>DU176-DT176</f>
      </c>
      <c r="DV180" s="458">
        <f>DV176-DU176</f>
      </c>
      <c r="DW180" s="462"/>
      <c r="DX180" s="447">
        <f>DX176-DV176</f>
      </c>
      <c r="DY180" s="458">
        <f>DY176-DX176</f>
      </c>
      <c r="DZ180" s="458">
        <f>DZ176-DY176</f>
      </c>
      <c r="EA180" s="458">
        <f>EA176-DZ176</f>
      </c>
      <c r="EB180" s="462"/>
      <c r="EC180" s="447">
        <f>EC176-EA176</f>
      </c>
      <c r="ED180" s="458">
        <f>ED176-EC176</f>
      </c>
      <c r="EE180" s="458">
        <f>EE176-ED176</f>
      </c>
      <c r="EF180" s="458">
        <f>EF176-EE176</f>
      </c>
      <c r="EG180" s="462"/>
      <c r="EH180" s="447">
        <f>EH176-EF176</f>
      </c>
      <c r="EI180" s="458">
        <f>EI176-EH176</f>
      </c>
      <c r="EJ180" s="458">
        <f>EJ176-EI176</f>
      </c>
      <c r="EK180" s="458">
        <f>EK176-EJ176</f>
      </c>
      <c r="EL180" s="462"/>
      <c r="EM180" s="447">
        <f>EM176-EK176</f>
      </c>
      <c r="EN180" s="458">
        <f>EN176-EM176</f>
      </c>
      <c r="EO180" s="458">
        <f>EO176-EN176</f>
      </c>
      <c r="EP180" s="458">
        <f>EP176-EO176</f>
      </c>
      <c r="EQ180" s="462"/>
      <c r="ER180" s="447">
        <f>ER176-EP176</f>
      </c>
      <c r="ES180" s="458">
        <f>ES176-ER176</f>
      </c>
      <c r="ET180" s="458">
        <f>ET176-ES176</f>
      </c>
      <c r="EU180" s="458">
        <f>EU176-ET176</f>
      </c>
      <c r="EV180" s="462"/>
      <c r="EW180" s="447"/>
      <c r="EX180" s="458"/>
      <c r="EY180" s="458"/>
      <c r="EZ180" s="458"/>
      <c r="FA180" s="462"/>
      <c r="FB180" s="447"/>
      <c r="FC180" s="458"/>
      <c r="FD180" s="458"/>
      <c r="FE180" s="458"/>
      <c r="FF180" s="462"/>
      <c r="FG180" s="447"/>
      <c r="FH180" s="458"/>
      <c r="FI180" s="458"/>
      <c r="FJ180" s="458"/>
      <c r="FK180" s="462"/>
      <c r="FL180" s="447"/>
      <c r="FM180" s="458"/>
      <c r="FN180" s="458"/>
      <c r="FO180" s="458"/>
      <c r="FP180" s="462"/>
      <c r="FQ180" s="447"/>
      <c r="FR180" s="458"/>
      <c r="FS180" s="458"/>
      <c r="FT180" s="458"/>
      <c r="FU180" s="462"/>
      <c r="FV180" s="447"/>
      <c r="FW180" s="458"/>
      <c r="FX180" s="458"/>
      <c r="FY180" s="458"/>
      <c r="FZ180" s="462"/>
      <c r="GA180" s="447"/>
      <c r="GB180" s="458"/>
      <c r="GC180" s="458"/>
      <c r="GD180" s="458"/>
      <c r="GE180" s="462"/>
      <c r="GF180" s="447"/>
      <c r="GG180" s="458"/>
      <c r="GH180" s="458"/>
      <c r="GI180" s="458"/>
      <c r="GJ180" s="497"/>
    </row>
    <row r="181" spans="1:192" s="476" customFormat="1" ht="12.75" hidden="1" customHeight="1" outlineLevel="1">
      <c r="A181" s="850"/>
      <c r="B181" s="735" t="s">
        <v>212</v>
      </c>
      <c r="C181" s="291"/>
      <c r="D181" s="107"/>
      <c r="E181" s="107"/>
      <c r="F181" s="107"/>
      <c r="G181" s="292"/>
      <c r="H181" s="291"/>
      <c r="I181" s="107"/>
      <c r="J181" s="107"/>
      <c r="K181" s="107"/>
      <c r="L181" s="292"/>
      <c r="M181" s="291"/>
      <c r="N181" s="107"/>
      <c r="O181" s="107"/>
      <c r="P181" s="107"/>
      <c r="Q181" s="292"/>
      <c r="R181" s="291"/>
      <c r="S181" s="107"/>
      <c r="T181" s="107"/>
      <c r="U181" s="107"/>
      <c r="V181" s="292"/>
      <c r="W181" s="291"/>
      <c r="X181" s="107"/>
      <c r="Y181" s="107"/>
      <c r="Z181" s="107"/>
      <c r="AA181" s="292"/>
      <c r="AB181" s="291"/>
      <c r="AC181" s="107"/>
      <c r="AD181" s="107"/>
      <c r="AE181" s="107"/>
      <c r="AF181" s="292"/>
      <c r="AG181" s="291"/>
      <c r="AH181" s="107"/>
      <c r="AI181" s="107"/>
      <c r="AJ181" s="107"/>
      <c r="AK181" s="292"/>
      <c r="AL181" s="291"/>
      <c r="AM181" s="107"/>
      <c r="AN181" s="107"/>
      <c r="AO181" s="107"/>
      <c r="AP181" s="292"/>
      <c r="AQ181" s="291"/>
      <c r="AR181" s="107"/>
      <c r="AS181" s="107"/>
      <c r="AT181" s="107"/>
      <c r="AU181" s="292"/>
      <c r="AV181" s="291"/>
      <c r="AW181" s="107"/>
      <c r="AX181" s="107"/>
      <c r="AY181" s="107"/>
      <c r="AZ181" s="292"/>
      <c r="BA181" s="291"/>
      <c r="BB181" s="107"/>
      <c r="BC181" s="107"/>
      <c r="BD181" s="107"/>
      <c r="BE181" s="292"/>
      <c r="BF181" s="291"/>
      <c r="BG181" s="107"/>
      <c r="BH181" s="107"/>
      <c r="BI181" s="107"/>
      <c r="BJ181" s="292"/>
      <c r="BK181" s="291"/>
      <c r="BL181" s="107"/>
      <c r="BM181" s="107"/>
      <c r="BN181" s="107"/>
      <c r="BO181" s="292"/>
      <c r="BP181" s="291"/>
      <c r="BQ181" s="107"/>
      <c r="BR181" s="107"/>
      <c r="BS181" s="107"/>
      <c r="BT181" s="292"/>
      <c r="BU181" s="291"/>
      <c r="BV181" s="107"/>
      <c r="BW181" s="107"/>
      <c r="BX181" s="107"/>
      <c r="BY181" s="292"/>
      <c r="BZ181" s="291"/>
      <c r="CA181" s="107"/>
      <c r="CB181" s="107"/>
      <c r="CC181" s="107"/>
      <c r="CD181" s="292"/>
      <c r="CE181" s="291"/>
      <c r="CF181" s="107"/>
      <c r="CG181" s="107"/>
      <c r="CH181" s="107"/>
      <c r="CI181" s="292"/>
      <c r="CJ181" s="291"/>
      <c r="CK181" s="107"/>
      <c r="CL181" s="107"/>
      <c r="CM181" s="107"/>
      <c r="CN181" s="292"/>
      <c r="CO181" s="291"/>
      <c r="CP181" s="107"/>
      <c r="CQ181" s="107"/>
      <c r="CR181" s="107"/>
      <c r="CS181" s="292"/>
      <c r="CT181" s="291"/>
      <c r="CU181" s="107"/>
      <c r="CV181" s="107"/>
      <c r="CW181" s="107"/>
      <c r="CX181" s="292"/>
      <c r="CY181" s="291"/>
      <c r="CZ181" s="107"/>
      <c r="DA181" s="107"/>
      <c r="DB181" s="107"/>
      <c r="DC181" s="292"/>
      <c r="DD181" s="291"/>
      <c r="DE181" s="107"/>
      <c r="DF181" s="107"/>
      <c r="DG181" s="107"/>
      <c r="DH181" s="292"/>
      <c r="DI181" s="291"/>
      <c r="DJ181" s="107"/>
      <c r="DK181" s="107"/>
      <c r="DL181" s="107"/>
      <c r="DM181" s="292">
        <f t="shared" ref="DM181:DS181" si="155">DM176/DM135</f>
      </c>
      <c r="DN181" s="107">
        <f t="shared" si="155"/>
      </c>
      <c r="DO181" s="107">
        <f t="shared" si="155"/>
      </c>
      <c r="DP181" s="107">
        <f t="shared" si="155"/>
      </c>
      <c r="DQ181" s="107">
        <f t="shared" si="155"/>
      </c>
      <c r="DR181" s="292">
        <f t="shared" si="155"/>
      </c>
      <c r="DS181" s="107">
        <f t="shared" si="155"/>
      </c>
      <c r="DT181" s="439">
        <v>0.1</v>
      </c>
      <c r="DU181" s="107">
        <f t="shared" ref="DU181:EV181" si="156">DU176/DU135</f>
      </c>
      <c r="DV181" s="107">
        <f t="shared" si="156"/>
      </c>
      <c r="DW181" s="292">
        <f t="shared" si="156"/>
      </c>
      <c r="DX181" s="107">
        <f t="shared" si="156"/>
      </c>
      <c r="DY181" s="107">
        <f t="shared" si="156"/>
      </c>
      <c r="DZ181" s="107">
        <f t="shared" si="156"/>
      </c>
      <c r="EA181" s="107">
        <f t="shared" si="156"/>
      </c>
      <c r="EB181" s="292">
        <f t="shared" si="156"/>
      </c>
      <c r="EC181" s="107">
        <f t="shared" si="156"/>
      </c>
      <c r="ED181" s="107">
        <f t="shared" si="156"/>
      </c>
      <c r="EE181" s="107">
        <f t="shared" si="156"/>
      </c>
      <c r="EF181" s="107">
        <f t="shared" si="156"/>
      </c>
      <c r="EG181" s="292">
        <f t="shared" si="156"/>
      </c>
      <c r="EH181" s="107">
        <f t="shared" si="156"/>
      </c>
      <c r="EI181" s="107">
        <f t="shared" si="156"/>
      </c>
      <c r="EJ181" s="107">
        <f t="shared" si="156"/>
      </c>
      <c r="EK181" s="107">
        <f t="shared" si="156"/>
      </c>
      <c r="EL181" s="292">
        <f t="shared" si="156"/>
      </c>
      <c r="EM181" s="107">
        <f t="shared" si="156"/>
      </c>
      <c r="EN181" s="107">
        <f t="shared" si="156"/>
      </c>
      <c r="EO181" s="107">
        <f t="shared" si="156"/>
      </c>
      <c r="EP181" s="107">
        <f t="shared" si="156"/>
      </c>
      <c r="EQ181" s="292">
        <f t="shared" si="156"/>
      </c>
      <c r="ER181" s="107">
        <f t="shared" si="156"/>
      </c>
      <c r="ES181" s="107">
        <f t="shared" si="156"/>
      </c>
      <c r="ET181" s="107">
        <f t="shared" si="156"/>
      </c>
      <c r="EU181" s="107">
        <f t="shared" si="156"/>
      </c>
      <c r="EV181" s="292">
        <f t="shared" si="156"/>
      </c>
      <c r="EW181" s="291"/>
      <c r="EX181" s="107"/>
      <c r="EY181" s="107"/>
      <c r="EZ181" s="107"/>
      <c r="FA181" s="292"/>
      <c r="FB181" s="291"/>
      <c r="FC181" s="107"/>
      <c r="FD181" s="107"/>
      <c r="FE181" s="107"/>
      <c r="FF181" s="292"/>
      <c r="FG181" s="291"/>
      <c r="FH181" s="107"/>
      <c r="FI181" s="107"/>
      <c r="FJ181" s="107"/>
      <c r="FK181" s="292"/>
      <c r="FL181" s="291"/>
      <c r="FM181" s="107"/>
      <c r="FN181" s="107"/>
      <c r="FO181" s="107"/>
      <c r="FP181" s="292"/>
      <c r="FQ181" s="291"/>
      <c r="FR181" s="107"/>
      <c r="FS181" s="107"/>
      <c r="FT181" s="107"/>
      <c r="FU181" s="292"/>
      <c r="FV181" s="291"/>
      <c r="FW181" s="107"/>
      <c r="FX181" s="107"/>
      <c r="FY181" s="107"/>
      <c r="FZ181" s="292"/>
      <c r="GA181" s="291"/>
      <c r="GB181" s="107"/>
      <c r="GC181" s="107"/>
      <c r="GD181" s="107"/>
      <c r="GE181" s="292"/>
      <c r="GF181" s="291"/>
      <c r="GG181" s="107"/>
      <c r="GH181" s="107"/>
      <c r="GI181" s="107"/>
      <c r="GJ181" s="384"/>
    </row>
    <row r="182" spans="1:192" s="476" customFormat="1" ht="12.75" customHeight="1" collapsed="1">
      <c r="A182" s="850"/>
      <c r="B182" s="735"/>
      <c r="C182" s="291"/>
      <c r="D182" s="107"/>
      <c r="E182" s="107"/>
      <c r="F182" s="107"/>
      <c r="G182" s="292"/>
      <c r="H182" s="291"/>
      <c r="I182" s="107"/>
      <c r="J182" s="107"/>
      <c r="K182" s="107"/>
      <c r="L182" s="292"/>
      <c r="M182" s="291"/>
      <c r="N182" s="107"/>
      <c r="O182" s="107"/>
      <c r="P182" s="107"/>
      <c r="Q182" s="292"/>
      <c r="R182" s="291"/>
      <c r="S182" s="107"/>
      <c r="T182" s="107"/>
      <c r="U182" s="107"/>
      <c r="V182" s="292"/>
      <c r="W182" s="291"/>
      <c r="X182" s="107"/>
      <c r="Y182" s="107"/>
      <c r="Z182" s="107"/>
      <c r="AA182" s="292"/>
      <c r="AB182" s="291"/>
      <c r="AC182" s="107"/>
      <c r="AD182" s="107"/>
      <c r="AE182" s="107"/>
      <c r="AF182" s="292"/>
      <c r="AG182" s="291"/>
      <c r="AH182" s="107"/>
      <c r="AI182" s="107"/>
      <c r="AJ182" s="107"/>
      <c r="AK182" s="292"/>
      <c r="AL182" s="291"/>
      <c r="AM182" s="107"/>
      <c r="AN182" s="107"/>
      <c r="AO182" s="107"/>
      <c r="AP182" s="292"/>
      <c r="AQ182" s="291"/>
      <c r="AR182" s="107"/>
      <c r="AS182" s="107"/>
      <c r="AT182" s="107"/>
      <c r="AU182" s="292"/>
      <c r="AV182" s="291"/>
      <c r="AW182" s="107"/>
      <c r="AX182" s="107"/>
      <c r="AY182" s="107"/>
      <c r="AZ182" s="292"/>
      <c r="BA182" s="291"/>
      <c r="BB182" s="107"/>
      <c r="BC182" s="107"/>
      <c r="BD182" s="107"/>
      <c r="BE182" s="292"/>
      <c r="BF182" s="291"/>
      <c r="BG182" s="107"/>
      <c r="BH182" s="107"/>
      <c r="BI182" s="107"/>
      <c r="BJ182" s="292"/>
      <c r="BK182" s="291"/>
      <c r="BL182" s="107"/>
      <c r="BM182" s="107"/>
      <c r="BN182" s="107"/>
      <c r="BO182" s="292"/>
      <c r="BP182" s="291"/>
      <c r="BQ182" s="107"/>
      <c r="BR182" s="107"/>
      <c r="BS182" s="107"/>
      <c r="BT182" s="292"/>
      <c r="BU182" s="291"/>
      <c r="BV182" s="107"/>
      <c r="BW182" s="107"/>
      <c r="BX182" s="107"/>
      <c r="BY182" s="292"/>
      <c r="BZ182" s="291"/>
      <c r="CA182" s="107"/>
      <c r="CB182" s="107"/>
      <c r="CC182" s="107"/>
      <c r="CD182" s="292"/>
      <c r="CE182" s="291"/>
      <c r="CF182" s="107"/>
      <c r="CG182" s="107"/>
      <c r="CH182" s="107"/>
      <c r="CI182" s="292"/>
      <c r="CJ182" s="291"/>
      <c r="CK182" s="107"/>
      <c r="CL182" s="107"/>
      <c r="CM182" s="107"/>
      <c r="CN182" s="292"/>
      <c r="CO182" s="291"/>
      <c r="CP182" s="107"/>
      <c r="CQ182" s="107"/>
      <c r="CR182" s="107"/>
      <c r="CS182" s="292"/>
      <c r="CT182" s="291"/>
      <c r="CU182" s="107"/>
      <c r="CV182" s="107"/>
      <c r="CW182" s="107"/>
      <c r="CX182" s="292"/>
      <c r="CY182" s="291"/>
      <c r="CZ182" s="107"/>
      <c r="DA182" s="107"/>
      <c r="DB182" s="107"/>
      <c r="DC182" s="292"/>
      <c r="DD182" s="291"/>
      <c r="DE182" s="107"/>
      <c r="DF182" s="107"/>
      <c r="DG182" s="107"/>
      <c r="DH182" s="292"/>
      <c r="DI182" s="291"/>
      <c r="DJ182" s="107"/>
      <c r="DK182" s="107"/>
      <c r="DL182" s="107"/>
      <c r="DM182" s="292"/>
      <c r="DN182" s="107"/>
      <c r="DO182" s="107"/>
      <c r="DP182" s="107"/>
      <c r="DQ182" s="107"/>
      <c r="DR182" s="292"/>
      <c r="DS182" s="107"/>
      <c r="DT182" s="439"/>
      <c r="DU182" s="107"/>
      <c r="DV182" s="107"/>
      <c r="DW182" s="292"/>
      <c r="DX182" s="107"/>
      <c r="DY182" s="107"/>
      <c r="DZ182" s="107"/>
      <c r="EA182" s="107"/>
      <c r="EB182" s="292"/>
      <c r="EC182" s="107"/>
      <c r="ED182" s="107"/>
      <c r="EE182" s="107"/>
      <c r="EF182" s="107"/>
      <c r="EG182" s="292"/>
      <c r="EH182" s="107"/>
      <c r="EI182" s="107"/>
      <c r="EJ182" s="107"/>
      <c r="EK182" s="107"/>
      <c r="EL182" s="292"/>
      <c r="EM182" s="107"/>
      <c r="EN182" s="107"/>
      <c r="EO182" s="107"/>
      <c r="EP182" s="107"/>
      <c r="EQ182" s="292"/>
      <c r="ER182" s="107"/>
      <c r="ES182" s="107"/>
      <c r="ET182" s="107"/>
      <c r="EU182" s="107"/>
      <c r="EV182" s="292"/>
      <c r="EW182" s="291"/>
      <c r="EX182" s="107"/>
      <c r="EY182" s="107"/>
      <c r="EZ182" s="107"/>
      <c r="FA182" s="292"/>
      <c r="FB182" s="291"/>
      <c r="FC182" s="107"/>
      <c r="FD182" s="107"/>
      <c r="FE182" s="107"/>
      <c r="FF182" s="292"/>
      <c r="FG182" s="291"/>
      <c r="FH182" s="107"/>
      <c r="FI182" s="107"/>
      <c r="FJ182" s="107"/>
      <c r="FK182" s="292"/>
      <c r="FL182" s="291"/>
      <c r="FM182" s="107"/>
      <c r="FN182" s="107"/>
      <c r="FO182" s="107"/>
      <c r="FP182" s="292"/>
      <c r="FQ182" s="291"/>
      <c r="FR182" s="107"/>
      <c r="FS182" s="107"/>
      <c r="FT182" s="107"/>
      <c r="FU182" s="292"/>
      <c r="FV182" s="291"/>
      <c r="FW182" s="107"/>
      <c r="FX182" s="107"/>
      <c r="FY182" s="107"/>
      <c r="FZ182" s="292"/>
      <c r="GA182" s="291"/>
      <c r="GB182" s="107"/>
      <c r="GC182" s="107"/>
      <c r="GD182" s="107"/>
      <c r="GE182" s="292"/>
      <c r="GF182" s="291"/>
      <c r="GG182" s="107"/>
      <c r="GH182" s="107"/>
      <c r="GI182" s="107"/>
      <c r="GJ182" s="384"/>
    </row>
    <row r="183" spans="1:192" s="476" customFormat="1" ht="12.75" customHeight="1">
      <c r="A183" s="850"/>
      <c r="B183" s="732" t="s">
        <v>2002</v>
      </c>
      <c r="C183" s="291"/>
      <c r="D183" s="107"/>
      <c r="E183" s="107"/>
      <c r="F183" s="107"/>
      <c r="G183" s="292"/>
      <c r="H183" s="291"/>
      <c r="I183" s="107"/>
      <c r="J183" s="107"/>
      <c r="K183" s="107"/>
      <c r="L183" s="292"/>
      <c r="M183" s="291"/>
      <c r="N183" s="107"/>
      <c r="O183" s="107"/>
      <c r="P183" s="107"/>
      <c r="Q183" s="292"/>
      <c r="R183" s="291"/>
      <c r="S183" s="107"/>
      <c r="T183" s="107"/>
      <c r="U183" s="107"/>
      <c r="V183" s="292"/>
      <c r="W183" s="291"/>
      <c r="X183" s="107"/>
      <c r="Y183" s="107"/>
      <c r="Z183" s="107"/>
      <c r="AA183" s="292"/>
      <c r="AB183" s="291"/>
      <c r="AC183" s="107"/>
      <c r="AD183" s="107"/>
      <c r="AE183" s="107"/>
      <c r="AF183" s="292"/>
      <c r="AG183" s="291"/>
      <c r="AH183" s="107"/>
      <c r="AI183" s="107"/>
      <c r="AJ183" s="107"/>
      <c r="AK183" s="292"/>
      <c r="AL183" s="291"/>
      <c r="AM183" s="107"/>
      <c r="AN183" s="107"/>
      <c r="AO183" s="107"/>
      <c r="AP183" s="292"/>
      <c r="AQ183" s="291"/>
      <c r="AR183" s="107"/>
      <c r="AS183" s="107"/>
      <c r="AT183" s="107"/>
      <c r="AU183" s="292"/>
      <c r="AV183" s="291"/>
      <c r="AW183" s="107"/>
      <c r="AX183" s="107"/>
      <c r="AY183" s="107"/>
      <c r="AZ183" s="292"/>
      <c r="BA183" s="291"/>
      <c r="BB183" s="107"/>
      <c r="BC183" s="107"/>
      <c r="BD183" s="107"/>
      <c r="BE183" s="292"/>
      <c r="BF183" s="291"/>
      <c r="BG183" s="107"/>
      <c r="BH183" s="107"/>
      <c r="BI183" s="107"/>
      <c r="BJ183" s="292"/>
      <c r="BK183" s="291"/>
      <c r="BL183" s="107"/>
      <c r="BM183" s="107"/>
      <c r="BN183" s="107"/>
      <c r="BO183" s="292"/>
      <c r="BP183" s="291"/>
      <c r="BQ183" s="107"/>
      <c r="BR183" s="107"/>
      <c r="BS183" s="107"/>
      <c r="BT183" s="292"/>
      <c r="BU183" s="291"/>
      <c r="BV183" s="107"/>
      <c r="BW183" s="107"/>
      <c r="BX183" s="107"/>
      <c r="BY183" s="292"/>
      <c r="BZ183" s="291"/>
      <c r="CA183" s="107"/>
      <c r="CB183" s="107"/>
      <c r="CC183" s="107"/>
      <c r="CD183" s="292"/>
      <c r="CE183" s="291"/>
      <c r="CF183" s="107"/>
      <c r="CG183" s="107"/>
      <c r="CH183" s="107"/>
      <c r="CI183" s="292"/>
      <c r="CJ183" s="291"/>
      <c r="CK183" s="107"/>
      <c r="CL183" s="107"/>
      <c r="CM183" s="107"/>
      <c r="CN183" s="292"/>
      <c r="CO183" s="291"/>
      <c r="CP183" s="107"/>
      <c r="CQ183" s="107"/>
      <c r="CR183" s="107"/>
      <c r="CS183" s="292"/>
      <c r="CT183" s="291"/>
      <c r="CU183" s="107"/>
      <c r="CV183" s="107"/>
      <c r="CW183" s="107"/>
      <c r="CX183" s="292"/>
      <c r="CY183" s="291"/>
      <c r="CZ183" s="107"/>
      <c r="DA183" s="107"/>
      <c r="DB183" s="107"/>
      <c r="DC183" s="292"/>
      <c r="DD183" s="291"/>
      <c r="DE183" s="107"/>
      <c r="DF183" s="107"/>
      <c r="DG183" s="107"/>
      <c r="DH183" s="292"/>
      <c r="DI183" s="291"/>
      <c r="DJ183" s="107"/>
      <c r="DK183" s="107"/>
      <c r="DL183" s="107"/>
      <c r="DM183" s="292"/>
      <c r="DN183" s="107"/>
      <c r="DO183" s="107"/>
      <c r="DP183" s="107"/>
      <c r="DQ183" s="107"/>
      <c r="DR183" s="292"/>
      <c r="DS183" s="107"/>
      <c r="DT183" s="439"/>
      <c r="DU183" s="107"/>
      <c r="DV183" s="107"/>
      <c r="DW183" s="292"/>
      <c r="DX183" s="107"/>
      <c r="DY183" s="107"/>
      <c r="DZ183" s="107"/>
      <c r="EA183" s="107"/>
      <c r="EB183" s="292"/>
      <c r="EC183" s="107"/>
      <c r="ED183" s="107"/>
      <c r="EE183" s="107"/>
      <c r="EF183" s="107"/>
      <c r="EG183" s="292"/>
      <c r="EH183" s="107"/>
      <c r="EI183" s="107"/>
      <c r="EJ183" s="107"/>
      <c r="EK183" s="107"/>
      <c r="EL183" s="292"/>
      <c r="EM183" s="107"/>
      <c r="EN183" s="107"/>
      <c r="EO183" s="107"/>
      <c r="EP183" s="107"/>
      <c r="EQ183" s="292"/>
      <c r="ER183" s="107"/>
      <c r="ES183" s="107"/>
      <c r="ET183" s="107"/>
      <c r="EU183" s="107"/>
      <c r="EV183" s="292"/>
      <c r="EW183" s="291"/>
      <c r="EX183" s="107"/>
      <c r="EY183" s="107"/>
      <c r="EZ183" s="107"/>
      <c r="FA183" s="292"/>
      <c r="FB183" s="291"/>
      <c r="FC183" s="107"/>
      <c r="FD183" s="107"/>
      <c r="FE183" s="107"/>
      <c r="FF183" s="292"/>
      <c r="FG183" s="291"/>
      <c r="FH183" s="107"/>
      <c r="FI183" s="107"/>
      <c r="FJ183" s="107"/>
      <c r="FK183" s="292"/>
      <c r="FL183" s="291"/>
      <c r="FM183" s="107"/>
      <c r="FN183" s="107"/>
      <c r="FO183" s="107"/>
      <c r="FP183" s="292"/>
      <c r="FQ183" s="291"/>
      <c r="FR183" s="107"/>
      <c r="FS183" s="107"/>
      <c r="FT183" s="107"/>
      <c r="FU183" s="292"/>
      <c r="FV183" s="291"/>
      <c r="FW183" s="107"/>
      <c r="FX183" s="107"/>
      <c r="FY183" s="107"/>
      <c r="FZ183" s="292"/>
      <c r="GA183" s="291"/>
      <c r="GB183" s="107"/>
      <c r="GC183" s="107"/>
      <c r="GD183" s="107"/>
      <c r="GE183" s="292"/>
      <c r="GF183" s="291"/>
      <c r="GG183" s="107"/>
      <c r="GH183" s="107"/>
      <c r="GI183" s="107"/>
      <c r="GJ183" s="384"/>
    </row>
    <row r="184" spans="1:192" s="461" customFormat="1" ht="12.75" hidden="1" customHeight="1" outlineLevel="1">
      <c r="A184" s="1643"/>
      <c r="B184" s="734" t="s">
        <v>1905</v>
      </c>
      <c r="C184" s="443"/>
      <c r="D184" s="471"/>
      <c r="E184" s="471"/>
      <c r="F184" s="471"/>
      <c r="G184" s="516"/>
      <c r="H184" s="443"/>
      <c r="I184" s="471"/>
      <c r="J184" s="471"/>
      <c r="K184" s="471"/>
      <c r="L184" s="516"/>
      <c r="M184" s="443"/>
      <c r="N184" s="471"/>
      <c r="O184" s="471"/>
      <c r="P184" s="471"/>
      <c r="Q184" s="516"/>
      <c r="R184" s="443"/>
      <c r="S184" s="471"/>
      <c r="T184" s="471"/>
      <c r="U184" s="471"/>
      <c r="V184" s="516"/>
      <c r="W184" s="443"/>
      <c r="X184" s="471"/>
      <c r="Y184" s="471"/>
      <c r="Z184" s="471"/>
      <c r="AA184" s="516"/>
      <c r="AB184" s="443"/>
      <c r="AC184" s="471"/>
      <c r="AD184" s="471"/>
      <c r="AE184" s="471"/>
      <c r="AF184" s="516"/>
      <c r="AG184" s="443"/>
      <c r="AH184" s="471"/>
      <c r="AI184" s="471"/>
      <c r="AJ184" s="471"/>
      <c r="AK184" s="516"/>
      <c r="AL184" s="443"/>
      <c r="AM184" s="471"/>
      <c r="AN184" s="471"/>
      <c r="AO184" s="471"/>
      <c r="AP184" s="516"/>
      <c r="AQ184" s="443"/>
      <c r="AR184" s="471"/>
      <c r="AS184" s="471"/>
      <c r="AT184" s="471"/>
      <c r="AU184" s="516"/>
      <c r="AV184" s="443"/>
      <c r="AW184" s="471"/>
      <c r="AX184" s="471"/>
      <c r="AY184" s="471"/>
      <c r="AZ184" s="516"/>
      <c r="BA184" s="443"/>
      <c r="BB184" s="471"/>
      <c r="BC184" s="471"/>
      <c r="BD184" s="471"/>
      <c r="BE184" s="516"/>
      <c r="BF184" s="443"/>
      <c r="BG184" s="471"/>
      <c r="BH184" s="471"/>
      <c r="BI184" s="471"/>
      <c r="BJ184" s="516"/>
      <c r="BK184" s="443"/>
      <c r="BL184" s="471"/>
      <c r="BM184" s="471"/>
      <c r="BN184" s="471"/>
      <c r="BO184" s="516"/>
      <c r="BP184" s="443"/>
      <c r="BQ184" s="471"/>
      <c r="BR184" s="471"/>
      <c r="BS184" s="471"/>
      <c r="BT184" s="516"/>
      <c r="BU184" s="443"/>
      <c r="BV184" s="471"/>
      <c r="BW184" s="471"/>
      <c r="BX184" s="471"/>
      <c r="BY184" s="516"/>
      <c r="BZ184" s="443"/>
      <c r="CA184" s="471"/>
      <c r="CB184" s="471"/>
      <c r="CC184" s="471"/>
      <c r="CD184" s="516"/>
      <c r="CE184" s="443"/>
      <c r="CF184" s="471"/>
      <c r="CG184" s="471"/>
      <c r="CH184" s="471"/>
      <c r="CI184" s="516"/>
      <c r="CJ184" s="443"/>
      <c r="CK184" s="471"/>
      <c r="CL184" s="471"/>
      <c r="CM184" s="471"/>
      <c r="CN184" s="516"/>
      <c r="CO184" s="471"/>
      <c r="CP184" s="471"/>
      <c r="CQ184" s="471"/>
      <c r="CR184" s="471"/>
      <c r="CS184" s="516"/>
      <c r="CT184" s="471"/>
      <c r="CU184" s="471"/>
      <c r="CV184" s="471"/>
      <c r="CW184" s="471"/>
      <c r="CX184" s="1420">
        <v>853</v>
      </c>
      <c r="CY184" s="452">
        <v>400</v>
      </c>
      <c r="CZ184" s="452">
        <v>893</v>
      </c>
      <c r="DA184" s="452">
        <v>494</v>
      </c>
      <c r="DB184" s="452">
        <v>409</v>
      </c>
      <c r="DC184" s="1420">
        <v>2196</v>
      </c>
      <c r="DD184" s="452">
        <v>908</v>
      </c>
      <c r="DE184" s="452">
        <v>1104</v>
      </c>
      <c r="DF184" s="452">
        <v>713</v>
      </c>
      <c r="DG184" s="452">
        <v>888</v>
      </c>
      <c r="DH184" s="1420">
        <v>3613</v>
      </c>
      <c r="DI184" s="452">
        <v>672</v>
      </c>
      <c r="DJ184" s="452">
        <v>1352</v>
      </c>
      <c r="DK184" s="452">
        <v>1111</v>
      </c>
      <c r="DL184" s="452">
        <v>965</v>
      </c>
      <c r="DM184" s="1420">
        <v>4100</v>
      </c>
      <c r="DN184" s="452">
        <v>926</v>
      </c>
      <c r="DO184" s="452">
        <v>1321</v>
      </c>
      <c r="DP184" s="452">
        <v>831</v>
      </c>
      <c r="DQ184" s="452">
        <v>948</v>
      </c>
      <c r="DR184" s="1420">
        <v>4026</v>
      </c>
      <c r="DS184" s="452">
        <v>1037</v>
      </c>
      <c r="DT184" s="906">
        <v>1335</v>
      </c>
      <c r="DU184" s="452">
        <v>1094</v>
      </c>
      <c r="DV184" s="452">
        <v>1185</v>
      </c>
      <c r="DW184" s="1420">
        <v>4651</v>
      </c>
      <c r="DX184" s="452">
        <v>1180</v>
      </c>
      <c r="DY184" s="452">
        <v>1860</v>
      </c>
      <c r="DZ184" s="452">
        <v>1329</v>
      </c>
      <c r="EA184" s="452">
        <v>1350</v>
      </c>
      <c r="EB184" s="1420">
        <v>5719</v>
      </c>
      <c r="EC184" s="452">
        <v>1136</v>
      </c>
      <c r="ED184" s="452">
        <v>1976</v>
      </c>
      <c r="EE184" s="452">
        <v>1340</v>
      </c>
      <c r="EF184" s="452">
        <v>1724</v>
      </c>
      <c r="EG184" s="1420">
        <v>6176</v>
      </c>
      <c r="EH184" s="443">
        <f>EC184*(1+EH185)</f>
      </c>
      <c r="EI184" s="443">
        <f>ED184*(1+EI185)</f>
      </c>
      <c r="EJ184" s="443">
        <f>EE184*(1+EJ185)</f>
      </c>
      <c r="EK184" s="443">
        <f>EF184*(1+EK185)</f>
      </c>
      <c r="EL184" s="516">
        <f>SUM(EH184:EK184)</f>
      </c>
      <c r="EM184" s="443"/>
      <c r="EN184" s="471"/>
      <c r="EO184" s="471"/>
      <c r="EP184" s="471"/>
      <c r="EQ184" s="516"/>
      <c r="ER184" s="443"/>
      <c r="ES184" s="471"/>
      <c r="ET184" s="471"/>
      <c r="EU184" s="471"/>
      <c r="EV184" s="516"/>
      <c r="EW184" s="443"/>
      <c r="EX184" s="471"/>
      <c r="EY184" s="471"/>
      <c r="EZ184" s="471"/>
      <c r="FA184" s="516"/>
      <c r="FB184" s="443"/>
      <c r="FC184" s="471"/>
      <c r="FD184" s="471"/>
      <c r="FE184" s="471"/>
      <c r="FF184" s="516"/>
      <c r="FG184" s="443"/>
      <c r="FH184" s="471"/>
      <c r="FI184" s="471"/>
      <c r="FJ184" s="471"/>
      <c r="FK184" s="516"/>
      <c r="FL184" s="443"/>
      <c r="FM184" s="471"/>
      <c r="FN184" s="471"/>
      <c r="FO184" s="471"/>
      <c r="FP184" s="516"/>
      <c r="FQ184" s="443"/>
      <c r="FR184" s="471"/>
      <c r="FS184" s="471"/>
      <c r="FT184" s="471"/>
      <c r="FU184" s="516"/>
      <c r="FV184" s="443"/>
      <c r="FW184" s="471"/>
      <c r="FX184" s="471"/>
      <c r="FY184" s="471"/>
      <c r="FZ184" s="516"/>
      <c r="GA184" s="443"/>
      <c r="GB184" s="471"/>
      <c r="GC184" s="471"/>
      <c r="GD184" s="471"/>
      <c r="GE184" s="516"/>
      <c r="GF184" s="443"/>
      <c r="GG184" s="471"/>
      <c r="GH184" s="471"/>
      <c r="GI184" s="471"/>
      <c r="GJ184" s="808"/>
    </row>
    <row r="185" spans="1:192" ht="12.75" hidden="1" customHeight="1" outlineLevel="1">
      <c r="B185" s="735" t="s">
        <v>34</v>
      </c>
      <c r="C185" s="291"/>
      <c r="D185" s="107"/>
      <c r="E185" s="107"/>
      <c r="F185" s="107"/>
      <c r="G185" s="293"/>
      <c r="H185" s="291"/>
      <c r="I185" s="107"/>
      <c r="J185" s="107"/>
      <c r="K185" s="107"/>
      <c r="L185" s="293"/>
      <c r="M185" s="291"/>
      <c r="N185" s="107"/>
      <c r="O185" s="107"/>
      <c r="P185" s="107"/>
      <c r="Q185" s="293"/>
      <c r="R185" s="291"/>
      <c r="S185" s="107"/>
      <c r="T185" s="107"/>
      <c r="U185" s="107"/>
      <c r="V185" s="293"/>
      <c r="W185" s="291"/>
      <c r="X185" s="107"/>
      <c r="Y185" s="107"/>
      <c r="Z185" s="107"/>
      <c r="AA185" s="293"/>
      <c r="AB185" s="291"/>
      <c r="AC185" s="107"/>
      <c r="AD185" s="107"/>
      <c r="AE185" s="107"/>
      <c r="AF185" s="293"/>
      <c r="AG185" s="291"/>
      <c r="AH185" s="107"/>
      <c r="AI185" s="107"/>
      <c r="AJ185" s="107"/>
      <c r="AK185" s="293"/>
      <c r="AL185" s="291"/>
      <c r="AM185" s="107"/>
      <c r="AN185" s="107"/>
      <c r="AO185" s="107"/>
      <c r="AP185" s="293"/>
      <c r="AQ185" s="291"/>
      <c r="AR185" s="107"/>
      <c r="AS185" s="107"/>
      <c r="AT185" s="107"/>
      <c r="AU185" s="293"/>
      <c r="AV185" s="291"/>
      <c r="AW185" s="107"/>
      <c r="AX185" s="107"/>
      <c r="AY185" s="107"/>
      <c r="AZ185" s="293"/>
      <c r="BA185" s="291"/>
      <c r="BB185" s="107"/>
      <c r="BC185" s="107"/>
      <c r="BD185" s="107"/>
      <c r="BE185" s="293"/>
      <c r="BF185" s="291"/>
      <c r="BG185" s="107"/>
      <c r="BH185" s="107"/>
      <c r="BI185" s="107"/>
      <c r="BJ185" s="293"/>
      <c r="BK185" s="291"/>
      <c r="BL185" s="107"/>
      <c r="BM185" s="107"/>
      <c r="BN185" s="107"/>
      <c r="BO185" s="293"/>
      <c r="BP185" s="291"/>
      <c r="BQ185" s="107"/>
      <c r="BR185" s="107"/>
      <c r="BS185" s="107"/>
      <c r="BT185" s="293"/>
      <c r="BU185" s="412"/>
      <c r="BV185" s="114"/>
      <c r="BW185" s="114"/>
      <c r="BX185" s="114"/>
      <c r="BY185" s="293"/>
      <c r="BZ185" s="412"/>
      <c r="CA185" s="114"/>
      <c r="CB185" s="114"/>
      <c r="CC185" s="114"/>
      <c r="CD185" s="293"/>
      <c r="CE185" s="412"/>
      <c r="CF185" s="114"/>
      <c r="CG185" s="114"/>
      <c r="CH185" s="114"/>
      <c r="CI185" s="293"/>
      <c r="CJ185" s="412"/>
      <c r="CK185" s="114"/>
      <c r="CL185" s="114"/>
      <c r="CM185" s="114"/>
      <c r="CN185" s="293"/>
      <c r="CO185" s="412"/>
      <c r="CP185" s="801"/>
      <c r="CQ185" s="114"/>
      <c r="CR185" s="114"/>
      <c r="CS185" s="293"/>
      <c r="CT185" s="412"/>
      <c r="CU185" s="114"/>
      <c r="CV185" s="114"/>
      <c r="CW185" s="114"/>
      <c r="CX185" s="414"/>
      <c r="CY185" s="291"/>
      <c r="CZ185" s="291"/>
      <c r="DA185" s="291"/>
      <c r="DB185" s="291"/>
      <c r="DC185" s="293">
        <f t="shared" ref="DC185:EE185" si="157">DC184/CX184-1</f>
      </c>
      <c r="DD185" s="291">
        <f t="shared" si="157"/>
      </c>
      <c r="DE185" s="291">
        <f t="shared" si="157"/>
      </c>
      <c r="DF185" s="291">
        <f t="shared" si="157"/>
      </c>
      <c r="DG185" s="291">
        <f t="shared" si="157"/>
      </c>
      <c r="DH185" s="293">
        <f t="shared" si="157"/>
      </c>
      <c r="DI185" s="291">
        <f t="shared" si="157"/>
      </c>
      <c r="DJ185" s="291">
        <f t="shared" si="157"/>
      </c>
      <c r="DK185" s="291">
        <f t="shared" si="157"/>
      </c>
      <c r="DL185" s="291">
        <f t="shared" si="157"/>
      </c>
      <c r="DM185" s="293">
        <f t="shared" si="157"/>
      </c>
      <c r="DN185" s="291">
        <f t="shared" si="157"/>
      </c>
      <c r="DO185" s="291">
        <f t="shared" si="157"/>
      </c>
      <c r="DP185" s="291">
        <f t="shared" si="157"/>
      </c>
      <c r="DQ185" s="291">
        <f t="shared" si="157"/>
      </c>
      <c r="DR185" s="293">
        <f t="shared" si="157"/>
      </c>
      <c r="DS185" s="291">
        <f t="shared" si="157"/>
      </c>
      <c r="DT185" s="349">
        <f t="shared" si="157"/>
      </c>
      <c r="DU185" s="291">
        <f t="shared" si="157"/>
      </c>
      <c r="DV185" s="291">
        <f t="shared" si="157"/>
      </c>
      <c r="DW185" s="293">
        <f t="shared" si="157"/>
      </c>
      <c r="DX185" s="291">
        <f t="shared" si="157"/>
      </c>
      <c r="DY185" s="291">
        <f t="shared" si="157"/>
      </c>
      <c r="DZ185" s="291">
        <f t="shared" si="157"/>
      </c>
      <c r="EA185" s="291">
        <f t="shared" si="157"/>
      </c>
      <c r="EB185" s="293">
        <f t="shared" si="157"/>
      </c>
      <c r="EC185" s="291">
        <f t="shared" si="157"/>
      </c>
      <c r="ED185" s="291">
        <f t="shared" si="157"/>
      </c>
      <c r="EE185" s="291">
        <f t="shared" si="157"/>
      </c>
      <c r="EF185" s="114">
        <v>-0.2</v>
      </c>
      <c r="EG185" s="414">
        <v>0.05</v>
      </c>
      <c r="EH185" s="412">
        <v>-0.17</v>
      </c>
      <c r="EI185" s="114">
        <v>0.08</v>
      </c>
      <c r="EJ185" s="114">
        <v>0.13</v>
      </c>
      <c r="EK185" s="114">
        <v>0.1</v>
      </c>
      <c r="EL185" s="414">
        <v>0.03</v>
      </c>
      <c r="EM185" s="412"/>
      <c r="EN185" s="114"/>
      <c r="EO185" s="114"/>
      <c r="EP185" s="114"/>
      <c r="EQ185" s="293"/>
      <c r="ER185" s="412"/>
      <c r="ES185" s="107"/>
      <c r="ET185" s="114"/>
      <c r="EU185" s="114"/>
      <c r="EV185" s="293"/>
      <c r="EW185" s="291"/>
      <c r="EX185" s="107"/>
      <c r="EY185" s="107"/>
      <c r="EZ185" s="107"/>
      <c r="FA185" s="293"/>
      <c r="FB185" s="291"/>
      <c r="FC185" s="107"/>
      <c r="FD185" s="107"/>
      <c r="FE185" s="107"/>
      <c r="FF185" s="293"/>
      <c r="FG185" s="291"/>
      <c r="FH185" s="107"/>
      <c r="FI185" s="107"/>
      <c r="FJ185" s="107"/>
      <c r="FK185" s="293"/>
      <c r="FL185" s="291"/>
      <c r="FM185" s="107"/>
      <c r="FN185" s="107"/>
      <c r="FO185" s="107"/>
      <c r="FP185" s="293"/>
      <c r="FQ185" s="291"/>
      <c r="FR185" s="107"/>
      <c r="FS185" s="107"/>
      <c r="FT185" s="107"/>
      <c r="FU185" s="293"/>
      <c r="FV185" s="291"/>
      <c r="FW185" s="107"/>
      <c r="FX185" s="107"/>
      <c r="FY185" s="107"/>
      <c r="FZ185" s="293"/>
      <c r="GA185" s="291"/>
      <c r="GB185" s="107"/>
      <c r="GC185" s="107"/>
      <c r="GD185" s="107"/>
      <c r="GE185" s="293"/>
      <c r="GF185" s="291"/>
      <c r="GG185" s="107"/>
      <c r="GH185" s="107"/>
      <c r="GI185" s="107"/>
      <c r="GJ185" s="382"/>
    </row>
    <row r="186" spans="1:192" ht="12.75" hidden="1" customHeight="1" outlineLevel="1">
      <c r="B186" s="735" t="s">
        <v>197</v>
      </c>
      <c r="C186" s="291"/>
      <c r="D186" s="107"/>
      <c r="E186" s="107"/>
      <c r="F186" s="107"/>
      <c r="G186" s="293"/>
      <c r="H186" s="291"/>
      <c r="I186" s="107"/>
      <c r="J186" s="107"/>
      <c r="K186" s="107"/>
      <c r="L186" s="293"/>
      <c r="M186" s="291"/>
      <c r="N186" s="107"/>
      <c r="O186" s="107"/>
      <c r="P186" s="107"/>
      <c r="Q186" s="293"/>
      <c r="R186" s="291"/>
      <c r="S186" s="107"/>
      <c r="T186" s="107"/>
      <c r="U186" s="107"/>
      <c r="V186" s="293"/>
      <c r="W186" s="291"/>
      <c r="X186" s="107"/>
      <c r="Y186" s="107"/>
      <c r="Z186" s="107"/>
      <c r="AA186" s="293"/>
      <c r="AB186" s="291"/>
      <c r="AC186" s="107"/>
      <c r="AD186" s="107"/>
      <c r="AE186" s="107"/>
      <c r="AF186" s="293"/>
      <c r="AG186" s="291"/>
      <c r="AH186" s="107"/>
      <c r="AI186" s="107"/>
      <c r="AJ186" s="107"/>
      <c r="AK186" s="293"/>
      <c r="AL186" s="291"/>
      <c r="AM186" s="107"/>
      <c r="AN186" s="107"/>
      <c r="AO186" s="107"/>
      <c r="AP186" s="293"/>
      <c r="AQ186" s="291"/>
      <c r="AR186" s="107"/>
      <c r="AS186" s="107"/>
      <c r="AT186" s="107"/>
      <c r="AU186" s="293"/>
      <c r="AV186" s="291"/>
      <c r="AW186" s="107"/>
      <c r="AX186" s="107"/>
      <c r="AY186" s="107"/>
      <c r="AZ186" s="293"/>
      <c r="BA186" s="291"/>
      <c r="BB186" s="107"/>
      <c r="BC186" s="107"/>
      <c r="BD186" s="107"/>
      <c r="BE186" s="293"/>
      <c r="BF186" s="291"/>
      <c r="BG186" s="107"/>
      <c r="BH186" s="107"/>
      <c r="BI186" s="107"/>
      <c r="BJ186" s="293"/>
      <c r="BK186" s="291"/>
      <c r="BL186" s="107"/>
      <c r="BM186" s="107"/>
      <c r="BN186" s="107"/>
      <c r="BO186" s="293"/>
      <c r="BP186" s="291"/>
      <c r="BQ186" s="107"/>
      <c r="BR186" s="107"/>
      <c r="BS186" s="107"/>
      <c r="BT186" s="293"/>
      <c r="BU186" s="412"/>
      <c r="BV186" s="114"/>
      <c r="BW186" s="114"/>
      <c r="BX186" s="114"/>
      <c r="BY186" s="293"/>
      <c r="BZ186" s="412"/>
      <c r="CA186" s="114"/>
      <c r="CB186" s="114"/>
      <c r="CC186" s="114"/>
      <c r="CD186" s="293"/>
      <c r="CE186" s="412"/>
      <c r="CF186" s="114"/>
      <c r="CG186" s="114"/>
      <c r="CH186" s="114"/>
      <c r="CI186" s="293"/>
      <c r="CJ186" s="412"/>
      <c r="CK186" s="114"/>
      <c r="CL186" s="114"/>
      <c r="CM186" s="114"/>
      <c r="CN186" s="293"/>
      <c r="CO186" s="412"/>
      <c r="CP186" s="801"/>
      <c r="CQ186" s="114"/>
      <c r="CR186" s="114"/>
      <c r="CS186" s="293"/>
      <c r="CT186" s="412"/>
      <c r="CU186" s="114"/>
      <c r="CV186" s="114"/>
      <c r="CW186" s="114"/>
      <c r="CX186" s="414"/>
      <c r="CY186" s="412"/>
      <c r="CZ186" s="114"/>
      <c r="DA186" s="114"/>
      <c r="DB186" s="114"/>
      <c r="DC186" s="414"/>
      <c r="DD186" s="412"/>
      <c r="DE186" s="114"/>
      <c r="DF186" s="114"/>
      <c r="DG186" s="114"/>
      <c r="DH186" s="414"/>
      <c r="DI186" s="441"/>
      <c r="DJ186" s="439"/>
      <c r="DK186" s="439"/>
      <c r="DL186" s="439"/>
      <c r="DM186" s="414"/>
      <c r="DN186" s="412"/>
      <c r="DO186" s="114"/>
      <c r="DP186" s="114"/>
      <c r="DQ186" s="114"/>
      <c r="DR186" s="414"/>
      <c r="DS186" s="412"/>
      <c r="DT186" s="439"/>
      <c r="DU186" s="114"/>
      <c r="DV186" s="114"/>
      <c r="DW186" s="414"/>
      <c r="DX186" s="412"/>
      <c r="DY186" s="114"/>
      <c r="DZ186" s="114"/>
      <c r="EA186" s="114"/>
      <c r="EB186" s="414"/>
      <c r="EC186" s="412"/>
      <c r="ED186" s="114"/>
      <c r="EE186" s="114"/>
      <c r="EF186" s="114">
        <v>-0.23</v>
      </c>
      <c r="EG186" s="414"/>
      <c r="EH186" s="412">
        <v>-0.19</v>
      </c>
      <c r="EI186" s="114">
        <v>0.08</v>
      </c>
      <c r="EJ186" s="114">
        <v>0.18</v>
      </c>
      <c r="EK186" s="114">
        <v>0.15</v>
      </c>
      <c r="EL186" s="293"/>
      <c r="EM186" s="412"/>
      <c r="EN186" s="114"/>
      <c r="EO186" s="114"/>
      <c r="EP186" s="114"/>
      <c r="EQ186" s="293"/>
      <c r="ER186" s="412"/>
      <c r="ES186" s="107"/>
      <c r="ET186" s="114"/>
      <c r="EU186" s="114"/>
      <c r="EV186" s="293"/>
      <c r="EW186" s="291"/>
      <c r="EX186" s="107"/>
      <c r="EY186" s="107"/>
      <c r="EZ186" s="107"/>
      <c r="FA186" s="293"/>
      <c r="FB186" s="291"/>
      <c r="FC186" s="107"/>
      <c r="FD186" s="107"/>
      <c r="FE186" s="107"/>
      <c r="FF186" s="293"/>
      <c r="FG186" s="291"/>
      <c r="FH186" s="107"/>
      <c r="FI186" s="107"/>
      <c r="FJ186" s="107"/>
      <c r="FK186" s="293"/>
      <c r="FL186" s="291"/>
      <c r="FM186" s="107"/>
      <c r="FN186" s="107"/>
      <c r="FO186" s="107"/>
      <c r="FP186" s="293"/>
      <c r="FQ186" s="291"/>
      <c r="FR186" s="107"/>
      <c r="FS186" s="107"/>
      <c r="FT186" s="107"/>
      <c r="FU186" s="293"/>
      <c r="FV186" s="291"/>
      <c r="FW186" s="107"/>
      <c r="FX186" s="107"/>
      <c r="FY186" s="107"/>
      <c r="FZ186" s="293"/>
      <c r="GA186" s="291"/>
      <c r="GB186" s="107"/>
      <c r="GC186" s="107"/>
      <c r="GD186" s="107"/>
      <c r="GE186" s="293"/>
      <c r="GF186" s="291"/>
      <c r="GG186" s="107"/>
      <c r="GH186" s="107"/>
      <c r="GI186" s="107"/>
      <c r="GJ186" s="382"/>
    </row>
    <row r="187" spans="1:192" ht="12.75" hidden="1" customHeight="1" outlineLevel="1">
      <c r="B187" s="735" t="s">
        <v>36</v>
      </c>
      <c r="C187" s="291"/>
      <c r="D187" s="107"/>
      <c r="E187" s="107"/>
      <c r="F187" s="107"/>
      <c r="G187" s="293"/>
      <c r="H187" s="291"/>
      <c r="I187" s="107"/>
      <c r="J187" s="107"/>
      <c r="K187" s="107"/>
      <c r="L187" s="293"/>
      <c r="M187" s="291"/>
      <c r="N187" s="107"/>
      <c r="O187" s="107"/>
      <c r="P187" s="107"/>
      <c r="Q187" s="293"/>
      <c r="R187" s="291"/>
      <c r="S187" s="107"/>
      <c r="T187" s="107"/>
      <c r="U187" s="107"/>
      <c r="V187" s="293"/>
      <c r="W187" s="291"/>
      <c r="X187" s="107"/>
      <c r="Y187" s="107"/>
      <c r="Z187" s="107"/>
      <c r="AA187" s="293"/>
      <c r="AB187" s="291"/>
      <c r="AC187" s="107"/>
      <c r="AD187" s="107"/>
      <c r="AE187" s="107"/>
      <c r="AF187" s="293"/>
      <c r="AG187" s="291"/>
      <c r="AH187" s="107"/>
      <c r="AI187" s="107"/>
      <c r="AJ187" s="107"/>
      <c r="AK187" s="293"/>
      <c r="AL187" s="291"/>
      <c r="AM187" s="107"/>
      <c r="AN187" s="107"/>
      <c r="AO187" s="107"/>
      <c r="AP187" s="293"/>
      <c r="AQ187" s="291"/>
      <c r="AR187" s="107"/>
      <c r="AS187" s="107"/>
      <c r="AT187" s="107"/>
      <c r="AU187" s="293"/>
      <c r="AV187" s="291"/>
      <c r="AW187" s="107"/>
      <c r="AX187" s="107"/>
      <c r="AY187" s="107"/>
      <c r="AZ187" s="293"/>
      <c r="BA187" s="291"/>
      <c r="BB187" s="107"/>
      <c r="BC187" s="107"/>
      <c r="BD187" s="107"/>
      <c r="BE187" s="293"/>
      <c r="BF187" s="291"/>
      <c r="BG187" s="107"/>
      <c r="BH187" s="107"/>
      <c r="BI187" s="107"/>
      <c r="BJ187" s="293"/>
      <c r="BK187" s="291"/>
      <c r="BL187" s="107"/>
      <c r="BM187" s="107"/>
      <c r="BN187" s="107"/>
      <c r="BO187" s="293"/>
      <c r="BP187" s="291"/>
      <c r="BQ187" s="107"/>
      <c r="BR187" s="107"/>
      <c r="BS187" s="107"/>
      <c r="BT187" s="293"/>
      <c r="BU187" s="291"/>
      <c r="BV187" s="107"/>
      <c r="BW187" s="107"/>
      <c r="BX187" s="107"/>
      <c r="BY187" s="293"/>
      <c r="BZ187" s="291"/>
      <c r="CA187" s="107"/>
      <c r="CB187" s="107"/>
      <c r="CC187" s="107"/>
      <c r="CD187" s="293"/>
      <c r="CE187" s="291"/>
      <c r="CF187" s="107"/>
      <c r="CG187" s="107"/>
      <c r="CH187" s="107"/>
      <c r="CI187" s="293"/>
      <c r="CJ187" s="291"/>
      <c r="CK187" s="107"/>
      <c r="CL187" s="107"/>
      <c r="CM187" s="107"/>
      <c r="CN187" s="293"/>
      <c r="CO187" s="291"/>
      <c r="CP187" s="107"/>
      <c r="CQ187" s="107"/>
      <c r="CR187" s="107"/>
      <c r="CS187" s="292"/>
      <c r="CT187" s="291"/>
      <c r="CU187" s="107"/>
      <c r="CV187" s="107"/>
      <c r="CW187" s="107"/>
      <c r="CX187" s="292"/>
      <c r="CY187" s="291"/>
      <c r="CZ187" s="107"/>
      <c r="DA187" s="107"/>
      <c r="DB187" s="107"/>
      <c r="DC187" s="292"/>
      <c r="DD187" s="291">
        <f>DD184/DB184-1</f>
      </c>
      <c r="DE187" s="107">
        <f>DE184/DD184-1</f>
      </c>
      <c r="DF187" s="107">
        <f>DF184/DE184-1</f>
      </c>
      <c r="DG187" s="107">
        <f>DG184/DF184-1</f>
      </c>
      <c r="DH187" s="292"/>
      <c r="DI187" s="291">
        <f>DI184/DG184-1</f>
      </c>
      <c r="DJ187" s="107">
        <f>DJ184/DI184-1</f>
      </c>
      <c r="DK187" s="107">
        <f>DK184/DJ184-1</f>
      </c>
      <c r="DL187" s="107">
        <f>DL184/DK184-1</f>
      </c>
      <c r="DM187" s="292"/>
      <c r="DN187" s="291">
        <f>DN184/DL184-1</f>
      </c>
      <c r="DO187" s="107">
        <f>DO184/DN184-1</f>
      </c>
      <c r="DP187" s="107">
        <f>DP184/DO184-1</f>
      </c>
      <c r="DQ187" s="107">
        <f>DQ184/DP184-1</f>
      </c>
      <c r="DR187" s="292"/>
      <c r="DS187" s="291">
        <f>DS184/DQ184-1</f>
      </c>
      <c r="DT187" s="468">
        <f>DT184/DS184-1</f>
      </c>
      <c r="DU187" s="107">
        <f>DU184/DT184-1</f>
      </c>
      <c r="DV187" s="107">
        <f>DV184/DU184-1</f>
      </c>
      <c r="DW187" s="292"/>
      <c r="DX187" s="291">
        <f>DX184/DV184-1</f>
      </c>
      <c r="DY187" s="107">
        <f>DY184/DX184-1</f>
      </c>
      <c r="DZ187" s="107">
        <f>DZ184/DY184-1</f>
      </c>
      <c r="EA187" s="107">
        <f>EA184/DZ184-1</f>
      </c>
      <c r="EB187" s="292"/>
      <c r="EC187" s="291">
        <f>EC184/EA184-1</f>
      </c>
      <c r="ED187" s="107">
        <f>ED184/EC184-1</f>
      </c>
      <c r="EE187" s="107">
        <f>EE184/ED184-1</f>
      </c>
      <c r="EF187" s="107">
        <f>EF184/EE184-1</f>
      </c>
      <c r="EG187" s="292"/>
      <c r="EH187" s="291">
        <f>EH184/EF184-1</f>
      </c>
      <c r="EI187" s="107">
        <f>EI184/EH184-1</f>
      </c>
      <c r="EJ187" s="107">
        <f>EJ184/EI184-1</f>
      </c>
      <c r="EK187" s="107">
        <f>EK184/EJ184-1</f>
      </c>
      <c r="EL187" s="292"/>
      <c r="EM187" s="291"/>
      <c r="EN187" s="107"/>
      <c r="EO187" s="107"/>
      <c r="EP187" s="107"/>
      <c r="EQ187" s="292"/>
      <c r="ER187" s="291"/>
      <c r="ES187" s="107"/>
      <c r="ET187" s="107"/>
      <c r="EU187" s="107"/>
      <c r="EV187" s="292"/>
      <c r="EW187" s="291"/>
      <c r="EX187" s="107"/>
      <c r="EY187" s="107"/>
      <c r="EZ187" s="107"/>
      <c r="FA187" s="292"/>
      <c r="FB187" s="291"/>
      <c r="FC187" s="107"/>
      <c r="FD187" s="107"/>
      <c r="FE187" s="107"/>
      <c r="FF187" s="292"/>
      <c r="FG187" s="291"/>
      <c r="FH187" s="107"/>
      <c r="FI187" s="107"/>
      <c r="FJ187" s="107"/>
      <c r="FK187" s="292"/>
      <c r="FL187" s="291"/>
      <c r="FM187" s="107"/>
      <c r="FN187" s="107"/>
      <c r="FO187" s="107"/>
      <c r="FP187" s="292"/>
      <c r="FQ187" s="291"/>
      <c r="FR187" s="107"/>
      <c r="FS187" s="107"/>
      <c r="FT187" s="107"/>
      <c r="FU187" s="292"/>
      <c r="FV187" s="291"/>
      <c r="FW187" s="107"/>
      <c r="FX187" s="107"/>
      <c r="FY187" s="107"/>
      <c r="FZ187" s="293"/>
      <c r="GA187" s="291"/>
      <c r="GB187" s="107"/>
      <c r="GC187" s="107"/>
      <c r="GD187" s="107"/>
      <c r="GE187" s="293"/>
      <c r="GF187" s="291"/>
      <c r="GG187" s="107"/>
      <c r="GH187" s="107"/>
      <c r="GI187" s="107"/>
      <c r="GJ187" s="382"/>
    </row>
    <row r="188" spans="1:192" s="461" customFormat="1" ht="12.75" hidden="1" customHeight="1" outlineLevel="1">
      <c r="A188" s="850"/>
      <c r="B188" s="735" t="s">
        <v>243</v>
      </c>
      <c r="C188" s="447"/>
      <c r="D188" s="458"/>
      <c r="E188" s="458"/>
      <c r="F188" s="458"/>
      <c r="G188" s="459"/>
      <c r="H188" s="447"/>
      <c r="I188" s="458"/>
      <c r="J188" s="458"/>
      <c r="K188" s="458"/>
      <c r="L188" s="459"/>
      <c r="M188" s="447"/>
      <c r="N188" s="458"/>
      <c r="O188" s="458"/>
      <c r="P188" s="458"/>
      <c r="Q188" s="459"/>
      <c r="R188" s="447"/>
      <c r="S188" s="458"/>
      <c r="T188" s="458"/>
      <c r="U188" s="458"/>
      <c r="V188" s="459"/>
      <c r="W188" s="447"/>
      <c r="X188" s="458"/>
      <c r="Y188" s="458"/>
      <c r="Z188" s="458"/>
      <c r="AA188" s="459"/>
      <c r="AB188" s="447"/>
      <c r="AC188" s="458"/>
      <c r="AD188" s="458"/>
      <c r="AE188" s="458"/>
      <c r="AF188" s="459"/>
      <c r="AG188" s="447"/>
      <c r="AH188" s="458"/>
      <c r="AI188" s="458"/>
      <c r="AJ188" s="458"/>
      <c r="AK188" s="459"/>
      <c r="AL188" s="447"/>
      <c r="AM188" s="458"/>
      <c r="AN188" s="458"/>
      <c r="AO188" s="458"/>
      <c r="AP188" s="459"/>
      <c r="AQ188" s="447"/>
      <c r="AR188" s="458"/>
      <c r="AS188" s="458"/>
      <c r="AT188" s="458"/>
      <c r="AU188" s="459"/>
      <c r="AV188" s="447"/>
      <c r="AW188" s="458"/>
      <c r="AX188" s="458"/>
      <c r="AY188" s="458"/>
      <c r="AZ188" s="459"/>
      <c r="BA188" s="447"/>
      <c r="BB188" s="458"/>
      <c r="BC188" s="458"/>
      <c r="BD188" s="458"/>
      <c r="BE188" s="459"/>
      <c r="BF188" s="447"/>
      <c r="BG188" s="458"/>
      <c r="BH188" s="458"/>
      <c r="BI188" s="458"/>
      <c r="BJ188" s="459"/>
      <c r="BK188" s="447"/>
      <c r="BL188" s="458"/>
      <c r="BM188" s="458"/>
      <c r="BN188" s="458"/>
      <c r="BO188" s="459"/>
      <c r="BP188" s="447"/>
      <c r="BQ188" s="458"/>
      <c r="BR188" s="458"/>
      <c r="BS188" s="458"/>
      <c r="BT188" s="459"/>
      <c r="BU188" s="447"/>
      <c r="BV188" s="458"/>
      <c r="BW188" s="458"/>
      <c r="BX188" s="458"/>
      <c r="BY188" s="459"/>
      <c r="BZ188" s="447"/>
      <c r="CA188" s="458"/>
      <c r="CB188" s="458"/>
      <c r="CC188" s="458"/>
      <c r="CD188" s="459"/>
      <c r="CE188" s="447"/>
      <c r="CF188" s="458"/>
      <c r="CG188" s="458"/>
      <c r="CH188" s="458"/>
      <c r="CI188" s="459"/>
      <c r="CJ188" s="447"/>
      <c r="CK188" s="458"/>
      <c r="CL188" s="458"/>
      <c r="CM188" s="458"/>
      <c r="CN188" s="459"/>
      <c r="CO188" s="458"/>
      <c r="CP188" s="458"/>
      <c r="CQ188" s="458"/>
      <c r="CR188" s="458"/>
      <c r="CS188" s="459"/>
      <c r="CT188" s="458"/>
      <c r="CU188" s="458"/>
      <c r="CV188" s="458"/>
      <c r="CW188" s="458"/>
      <c r="CX188" s="459"/>
      <c r="CY188" s="458"/>
      <c r="CZ188" s="458"/>
      <c r="DA188" s="458"/>
      <c r="DB188" s="458"/>
      <c r="DC188" s="459">
        <f t="shared" ref="DC188:EL188" si="158">DC184-CX184</f>
      </c>
      <c r="DD188" s="458">
        <f t="shared" si="158"/>
      </c>
      <c r="DE188" s="458">
        <f t="shared" si="158"/>
      </c>
      <c r="DF188" s="458">
        <f t="shared" si="158"/>
      </c>
      <c r="DG188" s="458">
        <f t="shared" si="158"/>
      </c>
      <c r="DH188" s="459">
        <f t="shared" si="158"/>
      </c>
      <c r="DI188" s="458">
        <f t="shared" si="158"/>
      </c>
      <c r="DJ188" s="458">
        <f t="shared" si="158"/>
      </c>
      <c r="DK188" s="458">
        <f t="shared" si="158"/>
      </c>
      <c r="DL188" s="458">
        <f t="shared" si="158"/>
      </c>
      <c r="DM188" s="459">
        <f t="shared" si="158"/>
      </c>
      <c r="DN188" s="458">
        <f t="shared" si="158"/>
      </c>
      <c r="DO188" s="458">
        <f t="shared" si="158"/>
      </c>
      <c r="DP188" s="458">
        <f t="shared" si="158"/>
      </c>
      <c r="DQ188" s="458">
        <f t="shared" si="158"/>
      </c>
      <c r="DR188" s="459">
        <f t="shared" si="158"/>
      </c>
      <c r="DS188" s="458">
        <f t="shared" si="158"/>
      </c>
      <c r="DT188" s="679">
        <f t="shared" si="158"/>
      </c>
      <c r="DU188" s="458">
        <f t="shared" si="158"/>
      </c>
      <c r="DV188" s="458">
        <f t="shared" si="158"/>
      </c>
      <c r="DW188" s="459">
        <f t="shared" si="158"/>
      </c>
      <c r="DX188" s="458">
        <f t="shared" si="158"/>
      </c>
      <c r="DY188" s="458">
        <f t="shared" si="158"/>
      </c>
      <c r="DZ188" s="458">
        <f t="shared" si="158"/>
      </c>
      <c r="EA188" s="458">
        <f t="shared" si="158"/>
      </c>
      <c r="EB188" s="459">
        <f t="shared" si="158"/>
      </c>
      <c r="EC188" s="458">
        <f t="shared" si="158"/>
      </c>
      <c r="ED188" s="458">
        <f t="shared" si="158"/>
      </c>
      <c r="EE188" s="458">
        <f t="shared" si="158"/>
      </c>
      <c r="EF188" s="458">
        <f t="shared" si="158"/>
      </c>
      <c r="EG188" s="459">
        <f t="shared" si="158"/>
      </c>
      <c r="EH188" s="458">
        <f t="shared" si="158"/>
      </c>
      <c r="EI188" s="458">
        <f t="shared" si="158"/>
      </c>
      <c r="EJ188" s="458">
        <f t="shared" si="158"/>
      </c>
      <c r="EK188" s="458">
        <f t="shared" si="158"/>
      </c>
      <c r="EL188" s="459">
        <f t="shared" si="158"/>
      </c>
      <c r="EM188" s="458"/>
      <c r="EN188" s="458"/>
      <c r="EO188" s="458"/>
      <c r="EP188" s="458"/>
      <c r="EQ188" s="459"/>
      <c r="ER188" s="458"/>
      <c r="ES188" s="458"/>
      <c r="ET188" s="458"/>
      <c r="EU188" s="458"/>
      <c r="EV188" s="459"/>
      <c r="EW188" s="458"/>
      <c r="EX188" s="458"/>
      <c r="EY188" s="458"/>
      <c r="EZ188" s="458"/>
      <c r="FA188" s="459"/>
      <c r="FB188" s="458"/>
      <c r="FC188" s="458"/>
      <c r="FD188" s="458"/>
      <c r="FE188" s="458"/>
      <c r="FF188" s="459"/>
      <c r="FG188" s="458"/>
      <c r="FH188" s="458"/>
      <c r="FI188" s="458"/>
      <c r="FJ188" s="458"/>
      <c r="FK188" s="459"/>
      <c r="FL188" s="458"/>
      <c r="FM188" s="458"/>
      <c r="FN188" s="458"/>
      <c r="FO188" s="458"/>
      <c r="FP188" s="459"/>
      <c r="FQ188" s="458"/>
      <c r="FR188" s="458"/>
      <c r="FS188" s="458"/>
      <c r="FT188" s="458"/>
      <c r="FU188" s="459"/>
      <c r="FV188" s="447"/>
      <c r="FW188" s="458"/>
      <c r="FX188" s="458"/>
      <c r="FY188" s="458"/>
      <c r="FZ188" s="459"/>
      <c r="GA188" s="447"/>
      <c r="GB188" s="458"/>
      <c r="GC188" s="458"/>
      <c r="GD188" s="458"/>
      <c r="GE188" s="459"/>
      <c r="GF188" s="447"/>
      <c r="GG188" s="458"/>
      <c r="GH188" s="458"/>
      <c r="GI188" s="458"/>
      <c r="GJ188" s="460"/>
    </row>
    <row r="189" spans="1:192" s="461" customFormat="1" ht="12.75" hidden="1" customHeight="1" outlineLevel="1">
      <c r="A189" s="850"/>
      <c r="B189" s="735" t="s">
        <v>244</v>
      </c>
      <c r="C189" s="447"/>
      <c r="D189" s="458"/>
      <c r="E189" s="458"/>
      <c r="F189" s="458"/>
      <c r="G189" s="459"/>
      <c r="H189" s="447"/>
      <c r="I189" s="458"/>
      <c r="J189" s="458"/>
      <c r="K189" s="458"/>
      <c r="L189" s="459"/>
      <c r="M189" s="447"/>
      <c r="N189" s="458"/>
      <c r="O189" s="458"/>
      <c r="P189" s="458"/>
      <c r="Q189" s="459"/>
      <c r="R189" s="447"/>
      <c r="S189" s="458"/>
      <c r="T189" s="458"/>
      <c r="U189" s="458"/>
      <c r="V189" s="459"/>
      <c r="W189" s="447"/>
      <c r="X189" s="458"/>
      <c r="Y189" s="458"/>
      <c r="Z189" s="458"/>
      <c r="AA189" s="459"/>
      <c r="AB189" s="447"/>
      <c r="AC189" s="458"/>
      <c r="AD189" s="458"/>
      <c r="AE189" s="458"/>
      <c r="AF189" s="459"/>
      <c r="AG189" s="447"/>
      <c r="AH189" s="458"/>
      <c r="AI189" s="458"/>
      <c r="AJ189" s="458"/>
      <c r="AK189" s="459"/>
      <c r="AL189" s="447"/>
      <c r="AM189" s="458"/>
      <c r="AN189" s="458"/>
      <c r="AO189" s="458"/>
      <c r="AP189" s="459"/>
      <c r="AQ189" s="447"/>
      <c r="AR189" s="458"/>
      <c r="AS189" s="458"/>
      <c r="AT189" s="458"/>
      <c r="AU189" s="459"/>
      <c r="AV189" s="447"/>
      <c r="AW189" s="458"/>
      <c r="AX189" s="458"/>
      <c r="AY189" s="458"/>
      <c r="AZ189" s="459"/>
      <c r="BA189" s="447"/>
      <c r="BB189" s="458"/>
      <c r="BC189" s="458"/>
      <c r="BD189" s="458"/>
      <c r="BE189" s="459"/>
      <c r="BF189" s="447"/>
      <c r="BG189" s="458"/>
      <c r="BH189" s="458"/>
      <c r="BI189" s="458"/>
      <c r="BJ189" s="459"/>
      <c r="BK189" s="447"/>
      <c r="BL189" s="458"/>
      <c r="BM189" s="458"/>
      <c r="BN189" s="458"/>
      <c r="BO189" s="459"/>
      <c r="BP189" s="447"/>
      <c r="BQ189" s="458"/>
      <c r="BR189" s="458"/>
      <c r="BS189" s="458"/>
      <c r="BT189" s="459"/>
      <c r="BU189" s="447"/>
      <c r="BV189" s="458"/>
      <c r="BW189" s="458"/>
      <c r="BX189" s="458"/>
      <c r="BY189" s="459"/>
      <c r="BZ189" s="447"/>
      <c r="CA189" s="458"/>
      <c r="CB189" s="458"/>
      <c r="CC189" s="458"/>
      <c r="CD189" s="459"/>
      <c r="CE189" s="447"/>
      <c r="CF189" s="458"/>
      <c r="CG189" s="458"/>
      <c r="CH189" s="458"/>
      <c r="CI189" s="459"/>
      <c r="CJ189" s="447"/>
      <c r="CK189" s="458"/>
      <c r="CL189" s="458"/>
      <c r="CM189" s="458"/>
      <c r="CN189" s="459"/>
      <c r="CO189" s="447"/>
      <c r="CP189" s="458"/>
      <c r="CQ189" s="458"/>
      <c r="CR189" s="458"/>
      <c r="CS189" s="459"/>
      <c r="CT189" s="447"/>
      <c r="CU189" s="458"/>
      <c r="CV189" s="458"/>
      <c r="CW189" s="458"/>
      <c r="CX189" s="459"/>
      <c r="CY189" s="447"/>
      <c r="CZ189" s="458"/>
      <c r="DA189" s="458"/>
      <c r="DB189" s="458"/>
      <c r="DC189" s="459"/>
      <c r="DD189" s="447">
        <f>DD184-DB184</f>
      </c>
      <c r="DE189" s="458">
        <f>DE184-DD184</f>
      </c>
      <c r="DF189" s="458">
        <f>DF184-DE184</f>
      </c>
      <c r="DG189" s="458">
        <f>DG184-DF184</f>
      </c>
      <c r="DH189" s="459"/>
      <c r="DI189" s="447">
        <f>DI184-DG184</f>
      </c>
      <c r="DJ189" s="458">
        <f>DJ184-DI184</f>
      </c>
      <c r="DK189" s="458">
        <f>DK184-DJ184</f>
      </c>
      <c r="DL189" s="458">
        <f>DL184-DK184</f>
      </c>
      <c r="DM189" s="459"/>
      <c r="DN189" s="447">
        <f>DN184-DL184</f>
      </c>
      <c r="DO189" s="458">
        <f>DO184-DN184</f>
      </c>
      <c r="DP189" s="458">
        <f>DP184-DO184</f>
      </c>
      <c r="DQ189" s="458">
        <f>DQ184-DP184</f>
      </c>
      <c r="DR189" s="459"/>
      <c r="DS189" s="447">
        <f>DS184-DQ184</f>
      </c>
      <c r="DT189" s="679">
        <f>DT184-DS184</f>
      </c>
      <c r="DU189" s="458">
        <f>DU184-DT184</f>
      </c>
      <c r="DV189" s="458">
        <f>DV184-DU184</f>
      </c>
      <c r="DW189" s="459"/>
      <c r="DX189" s="447">
        <f>DX184-DV184</f>
      </c>
      <c r="DY189" s="458">
        <f>DY184-DX184</f>
      </c>
      <c r="DZ189" s="458">
        <f>DZ184-DY184</f>
      </c>
      <c r="EA189" s="458">
        <f>EA184-DZ184</f>
      </c>
      <c r="EB189" s="459"/>
      <c r="EC189" s="447">
        <f>EC184-EA184</f>
      </c>
      <c r="ED189" s="458">
        <f>ED184-EC184</f>
      </c>
      <c r="EE189" s="458">
        <f>EE184-ED184</f>
      </c>
      <c r="EF189" s="458">
        <f>EF184-EE184</f>
      </c>
      <c r="EG189" s="459"/>
      <c r="EH189" s="447">
        <f>EH184-EF184</f>
      </c>
      <c r="EI189" s="458">
        <f>EI184-EH184</f>
      </c>
      <c r="EJ189" s="458">
        <f>EJ184-EI184</f>
      </c>
      <c r="EK189" s="458">
        <f>EK184-EJ184</f>
      </c>
      <c r="EL189" s="459"/>
      <c r="EM189" s="447"/>
      <c r="EN189" s="458"/>
      <c r="EO189" s="458"/>
      <c r="EP189" s="458"/>
      <c r="EQ189" s="459"/>
      <c r="ER189" s="447"/>
      <c r="ES189" s="458"/>
      <c r="ET189" s="458"/>
      <c r="EU189" s="458"/>
      <c r="EV189" s="459"/>
      <c r="EW189" s="447"/>
      <c r="EX189" s="458"/>
      <c r="EY189" s="458"/>
      <c r="EZ189" s="458"/>
      <c r="FA189" s="459"/>
      <c r="FB189" s="447"/>
      <c r="FC189" s="458"/>
      <c r="FD189" s="458"/>
      <c r="FE189" s="458"/>
      <c r="FF189" s="459"/>
      <c r="FG189" s="447"/>
      <c r="FH189" s="458"/>
      <c r="FI189" s="458"/>
      <c r="FJ189" s="458"/>
      <c r="FK189" s="459"/>
      <c r="FL189" s="447"/>
      <c r="FM189" s="458"/>
      <c r="FN189" s="458"/>
      <c r="FO189" s="458"/>
      <c r="FP189" s="459"/>
      <c r="FQ189" s="447"/>
      <c r="FR189" s="458"/>
      <c r="FS189" s="458"/>
      <c r="FT189" s="458"/>
      <c r="FU189" s="459"/>
      <c r="FV189" s="447"/>
      <c r="FW189" s="458"/>
      <c r="FX189" s="458"/>
      <c r="FY189" s="458"/>
      <c r="FZ189" s="459"/>
      <c r="GA189" s="447"/>
      <c r="GB189" s="458"/>
      <c r="GC189" s="458"/>
      <c r="GD189" s="458"/>
      <c r="GE189" s="459"/>
      <c r="GF189" s="447"/>
      <c r="GG189" s="458"/>
      <c r="GH189" s="458"/>
      <c r="GI189" s="458"/>
      <c r="GJ189" s="460"/>
    </row>
    <row r="190" spans="1:192" ht="12.75" hidden="1" customHeight="1" outlineLevel="1">
      <c r="B190" s="735" t="s">
        <v>1906</v>
      </c>
      <c r="C190" s="294"/>
      <c r="D190" s="295"/>
      <c r="E190" s="295"/>
      <c r="F190" s="295"/>
      <c r="G190" s="296"/>
      <c r="H190" s="294"/>
      <c r="I190" s="295"/>
      <c r="J190" s="295"/>
      <c r="K190" s="295"/>
      <c r="L190" s="296"/>
      <c r="M190" s="294"/>
      <c r="N190" s="295"/>
      <c r="O190" s="295"/>
      <c r="P190" s="295"/>
      <c r="Q190" s="296"/>
      <c r="R190" s="294"/>
      <c r="S190" s="295"/>
      <c r="T190" s="295"/>
      <c r="U190" s="295"/>
      <c r="V190" s="296"/>
      <c r="W190" s="294"/>
      <c r="X190" s="295"/>
      <c r="Y190" s="295"/>
      <c r="Z190" s="295"/>
      <c r="AA190" s="296"/>
      <c r="AB190" s="294"/>
      <c r="AC190" s="295"/>
      <c r="AD190" s="295"/>
      <c r="AE190" s="295"/>
      <c r="AF190" s="296"/>
      <c r="AG190" s="294"/>
      <c r="AH190" s="295"/>
      <c r="AI190" s="295"/>
      <c r="AJ190" s="295"/>
      <c r="AK190" s="296"/>
      <c r="AL190" s="294"/>
      <c r="AM190" s="295"/>
      <c r="AN190" s="295"/>
      <c r="AO190" s="295"/>
      <c r="AP190" s="296"/>
      <c r="AQ190" s="294"/>
      <c r="AR190" s="295"/>
      <c r="AS190" s="295"/>
      <c r="AT190" s="295"/>
      <c r="AU190" s="296"/>
      <c r="AV190" s="294"/>
      <c r="AW190" s="295"/>
      <c r="AX190" s="295"/>
      <c r="AY190" s="295"/>
      <c r="AZ190" s="296"/>
      <c r="BA190" s="294"/>
      <c r="BB190" s="295"/>
      <c r="BC190" s="295"/>
      <c r="BD190" s="295"/>
      <c r="BE190" s="296"/>
      <c r="BF190" s="294"/>
      <c r="BG190" s="295"/>
      <c r="BH190" s="295"/>
      <c r="BI190" s="295"/>
      <c r="BJ190" s="296"/>
      <c r="BK190" s="294"/>
      <c r="BL190" s="295"/>
      <c r="BM190" s="295"/>
      <c r="BN190" s="295"/>
      <c r="BO190" s="296"/>
      <c r="BP190" s="294"/>
      <c r="BQ190" s="295"/>
      <c r="BR190" s="295"/>
      <c r="BS190" s="295"/>
      <c r="BT190" s="296"/>
      <c r="BU190" s="294"/>
      <c r="BV190" s="295"/>
      <c r="BW190" s="295"/>
      <c r="BX190" s="295"/>
      <c r="BY190" s="296"/>
      <c r="BZ190" s="294"/>
      <c r="CA190" s="295"/>
      <c r="CB190" s="295"/>
      <c r="CC190" s="295"/>
      <c r="CD190" s="296"/>
      <c r="CE190" s="294"/>
      <c r="CF190" s="295"/>
      <c r="CG190" s="295"/>
      <c r="CH190" s="295"/>
      <c r="CI190" s="296"/>
      <c r="CJ190" s="294"/>
      <c r="CK190" s="295"/>
      <c r="CL190" s="295"/>
      <c r="CM190" s="295"/>
      <c r="CN190" s="296"/>
      <c r="CO190" s="295"/>
      <c r="CP190" s="295"/>
      <c r="CQ190" s="295"/>
      <c r="CR190" s="295"/>
      <c r="CS190" s="296"/>
      <c r="CT190" s="295"/>
      <c r="CU190" s="295"/>
      <c r="CV190" s="295"/>
      <c r="CW190" s="295"/>
      <c r="CX190" s="296"/>
      <c r="CY190" s="295"/>
      <c r="CZ190" s="295"/>
      <c r="DA190" s="295"/>
      <c r="DB190" s="295"/>
      <c r="DC190" s="296">
        <f>DC184/DC$192</f>
      </c>
      <c r="DD190" s="295"/>
      <c r="DE190" s="295"/>
      <c r="DF190" s="295"/>
      <c r="DG190" s="295"/>
      <c r="DH190" s="296">
        <f>DH184/DH$192</f>
      </c>
      <c r="DI190" s="295"/>
      <c r="DJ190" s="295"/>
      <c r="DK190" s="295"/>
      <c r="DL190" s="295"/>
      <c r="DM190" s="296">
        <f t="shared" ref="DM190:EL190" si="159">DM184/DM$192</f>
      </c>
      <c r="DN190" s="295">
        <f t="shared" si="159"/>
      </c>
      <c r="DO190" s="295">
        <f t="shared" si="159"/>
      </c>
      <c r="DP190" s="295">
        <f t="shared" si="159"/>
      </c>
      <c r="DQ190" s="295">
        <f t="shared" si="159"/>
      </c>
      <c r="DR190" s="296">
        <f t="shared" si="159"/>
      </c>
      <c r="DS190" s="295">
        <f t="shared" si="159"/>
      </c>
      <c r="DT190" s="469">
        <f t="shared" si="159"/>
      </c>
      <c r="DU190" s="295">
        <f t="shared" si="159"/>
      </c>
      <c r="DV190" s="295">
        <f t="shared" si="159"/>
      </c>
      <c r="DW190" s="296">
        <f t="shared" si="159"/>
      </c>
      <c r="DX190" s="295">
        <f t="shared" si="159"/>
      </c>
      <c r="DY190" s="295">
        <f t="shared" si="159"/>
      </c>
      <c r="DZ190" s="295">
        <f t="shared" si="159"/>
      </c>
      <c r="EA190" s="295">
        <f t="shared" si="159"/>
      </c>
      <c r="EB190" s="296">
        <f t="shared" si="159"/>
      </c>
      <c r="EC190" s="295">
        <f t="shared" si="159"/>
      </c>
      <c r="ED190" s="295">
        <f t="shared" si="159"/>
      </c>
      <c r="EE190" s="295">
        <f t="shared" si="159"/>
      </c>
      <c r="EF190" s="295">
        <f t="shared" si="159"/>
      </c>
      <c r="EG190" s="296">
        <f t="shared" si="159"/>
      </c>
      <c r="EH190" s="295">
        <f t="shared" si="159"/>
      </c>
      <c r="EI190" s="295">
        <f t="shared" si="159"/>
      </c>
      <c r="EJ190" s="295">
        <f t="shared" si="159"/>
      </c>
      <c r="EK190" s="295">
        <f t="shared" si="159"/>
      </c>
      <c r="EL190" s="296">
        <f t="shared" si="159"/>
      </c>
      <c r="EM190" s="294"/>
      <c r="EN190" s="295"/>
      <c r="EO190" s="295"/>
      <c r="EP190" s="295"/>
      <c r="EQ190" s="296"/>
      <c r="ER190" s="294"/>
      <c r="ES190" s="295"/>
      <c r="ET190" s="295"/>
      <c r="EU190" s="295"/>
      <c r="EV190" s="296"/>
      <c r="EW190" s="294"/>
      <c r="EX190" s="295"/>
      <c r="EY190" s="295"/>
      <c r="EZ190" s="295"/>
      <c r="FA190" s="296"/>
      <c r="FB190" s="294"/>
      <c r="FC190" s="295"/>
      <c r="FD190" s="295"/>
      <c r="FE190" s="295"/>
      <c r="FF190" s="296"/>
      <c r="FG190" s="294"/>
      <c r="FH190" s="295"/>
      <c r="FI190" s="295"/>
      <c r="FJ190" s="295"/>
      <c r="FK190" s="296"/>
      <c r="FL190" s="294"/>
      <c r="FM190" s="295"/>
      <c r="FN190" s="295"/>
      <c r="FO190" s="295"/>
      <c r="FP190" s="296"/>
      <c r="FQ190" s="294"/>
      <c r="FR190" s="295"/>
      <c r="FS190" s="295"/>
      <c r="FT190" s="295"/>
      <c r="FU190" s="296"/>
      <c r="FV190" s="294"/>
      <c r="FW190" s="295"/>
      <c r="FX190" s="295"/>
      <c r="FY190" s="295"/>
      <c r="FZ190" s="296"/>
      <c r="GA190" s="294"/>
      <c r="GB190" s="295"/>
      <c r="GC190" s="295"/>
      <c r="GD190" s="295"/>
      <c r="GE190" s="296"/>
      <c r="GF190" s="294"/>
      <c r="GG190" s="295"/>
      <c r="GH190" s="295"/>
      <c r="GI190" s="295"/>
      <c r="GJ190" s="383"/>
    </row>
    <row r="191" spans="1:192" ht="12.75" hidden="1" customHeight="1" outlineLevel="1">
      <c r="B191" s="740"/>
      <c r="C191" s="294"/>
      <c r="D191" s="295"/>
      <c r="E191" s="295"/>
      <c r="F191" s="295"/>
      <c r="G191" s="296"/>
      <c r="H191" s="294"/>
      <c r="I191" s="295"/>
      <c r="J191" s="295"/>
      <c r="K191" s="295"/>
      <c r="L191" s="296"/>
      <c r="M191" s="294"/>
      <c r="N191" s="295"/>
      <c r="O191" s="295"/>
      <c r="P191" s="295"/>
      <c r="Q191" s="296"/>
      <c r="R191" s="294"/>
      <c r="S191" s="295"/>
      <c r="T191" s="295"/>
      <c r="U191" s="295"/>
      <c r="V191" s="296"/>
      <c r="W191" s="294"/>
      <c r="X191" s="295"/>
      <c r="Y191" s="295"/>
      <c r="Z191" s="295"/>
      <c r="AA191" s="296"/>
      <c r="AB191" s="294"/>
      <c r="AC191" s="295"/>
      <c r="AD191" s="295"/>
      <c r="AE191" s="295"/>
      <c r="AF191" s="296"/>
      <c r="AG191" s="294"/>
      <c r="AH191" s="295"/>
      <c r="AI191" s="295"/>
      <c r="AJ191" s="295"/>
      <c r="AK191" s="296"/>
      <c r="AL191" s="294"/>
      <c r="AM191" s="295"/>
      <c r="AN191" s="295"/>
      <c r="AO191" s="295"/>
      <c r="AP191" s="296"/>
      <c r="AQ191" s="294"/>
      <c r="AR191" s="295"/>
      <c r="AS191" s="295"/>
      <c r="AT191" s="295"/>
      <c r="AU191" s="296"/>
      <c r="AV191" s="294"/>
      <c r="AW191" s="295"/>
      <c r="AX191" s="295"/>
      <c r="AY191" s="295"/>
      <c r="AZ191" s="296"/>
      <c r="BA191" s="294"/>
      <c r="BB191" s="295"/>
      <c r="BC191" s="295"/>
      <c r="BD191" s="295"/>
      <c r="BE191" s="296"/>
      <c r="BF191" s="294"/>
      <c r="BG191" s="295"/>
      <c r="BH191" s="295"/>
      <c r="BI191" s="295"/>
      <c r="BJ191" s="296"/>
      <c r="BK191" s="294"/>
      <c r="BL191" s="295"/>
      <c r="BM191" s="295"/>
      <c r="BN191" s="295"/>
      <c r="BO191" s="296"/>
      <c r="BP191" s="294"/>
      <c r="BQ191" s="295"/>
      <c r="BR191" s="295"/>
      <c r="BS191" s="295"/>
      <c r="BT191" s="296"/>
      <c r="BU191" s="294"/>
      <c r="BV191" s="295"/>
      <c r="BW191" s="295"/>
      <c r="BX191" s="295"/>
      <c r="BY191" s="296"/>
      <c r="BZ191" s="294"/>
      <c r="CA191" s="295"/>
      <c r="CB191" s="295"/>
      <c r="CC191" s="295"/>
      <c r="CD191" s="296"/>
      <c r="CE191" s="294"/>
      <c r="CF191" s="295"/>
      <c r="CG191" s="295"/>
      <c r="CH191" s="295"/>
      <c r="CI191" s="296"/>
      <c r="CJ191" s="294"/>
      <c r="CK191" s="295"/>
      <c r="CL191" s="295"/>
      <c r="CM191" s="295"/>
      <c r="CN191" s="296"/>
      <c r="CO191" s="294"/>
      <c r="CP191" s="295"/>
      <c r="CQ191" s="295"/>
      <c r="CR191" s="295"/>
      <c r="CS191" s="296"/>
      <c r="CT191" s="294"/>
      <c r="CU191" s="295"/>
      <c r="CV191" s="295"/>
      <c r="CW191" s="295"/>
      <c r="CX191" s="296"/>
      <c r="CY191" s="294"/>
      <c r="CZ191" s="295"/>
      <c r="DA191" s="295"/>
      <c r="DB191" s="295"/>
      <c r="DC191" s="296"/>
      <c r="DD191" s="294"/>
      <c r="DE191" s="295"/>
      <c r="DF191" s="295"/>
      <c r="DG191" s="295"/>
      <c r="DH191" s="296"/>
      <c r="DI191" s="294"/>
      <c r="DJ191" s="295"/>
      <c r="DK191" s="295"/>
      <c r="DL191" s="295"/>
      <c r="DM191" s="296"/>
      <c r="DN191" s="294"/>
      <c r="DO191" s="295"/>
      <c r="DP191" s="295"/>
      <c r="DQ191" s="295"/>
      <c r="DR191" s="296"/>
      <c r="DS191" s="294"/>
      <c r="DT191" s="469"/>
      <c r="DU191" s="295"/>
      <c r="DV191" s="295"/>
      <c r="DW191" s="296"/>
      <c r="DX191" s="294"/>
      <c r="DY191" s="295"/>
      <c r="DZ191" s="295"/>
      <c r="EA191" s="295"/>
      <c r="EB191" s="296"/>
      <c r="EC191" s="294"/>
      <c r="ED191" s="295"/>
      <c r="EE191" s="295"/>
      <c r="EF191" s="295"/>
      <c r="EG191" s="296"/>
      <c r="EH191" s="294"/>
      <c r="EI191" s="295"/>
      <c r="EJ191" s="295"/>
      <c r="EK191" s="295"/>
      <c r="EL191" s="296"/>
      <c r="EM191" s="294"/>
      <c r="EN191" s="295"/>
      <c r="EO191" s="295"/>
      <c r="EP191" s="295"/>
      <c r="EQ191" s="296"/>
      <c r="ER191" s="294"/>
      <c r="ES191" s="295"/>
      <c r="ET191" s="295"/>
      <c r="EU191" s="295"/>
      <c r="EV191" s="296"/>
      <c r="EW191" s="294"/>
      <c r="EX191" s="295"/>
      <c r="EY191" s="295"/>
      <c r="EZ191" s="295"/>
      <c r="FA191" s="296"/>
      <c r="FB191" s="294"/>
      <c r="FC191" s="295"/>
      <c r="FD191" s="295"/>
      <c r="FE191" s="295"/>
      <c r="FF191" s="296"/>
      <c r="FG191" s="294"/>
      <c r="FH191" s="295"/>
      <c r="FI191" s="295"/>
      <c r="FJ191" s="295"/>
      <c r="FK191" s="296"/>
      <c r="FL191" s="294"/>
      <c r="FM191" s="295"/>
      <c r="FN191" s="295"/>
      <c r="FO191" s="295"/>
      <c r="FP191" s="296"/>
      <c r="FQ191" s="294"/>
      <c r="FR191" s="295"/>
      <c r="FS191" s="295"/>
      <c r="FT191" s="295"/>
      <c r="FU191" s="296"/>
      <c r="FV191" s="294"/>
      <c r="FW191" s="295"/>
      <c r="FX191" s="295"/>
      <c r="FY191" s="295"/>
      <c r="FZ191" s="296"/>
      <c r="GA191" s="294"/>
      <c r="GB191" s="295"/>
      <c r="GC191" s="295"/>
      <c r="GD191" s="295"/>
      <c r="GE191" s="296"/>
      <c r="GF191" s="294"/>
      <c r="GG191" s="295"/>
      <c r="GH191" s="295"/>
      <c r="GI191" s="295"/>
      <c r="GJ191" s="383"/>
    </row>
    <row r="192" spans="1:192" s="623" customFormat="1" ht="12.75" hidden="1" customHeight="1" outlineLevel="1">
      <c r="A192" s="1642"/>
      <c r="B192" s="748" t="s">
        <v>248</v>
      </c>
      <c r="C192" s="800"/>
      <c r="D192" s="805"/>
      <c r="E192" s="805"/>
      <c r="F192" s="805"/>
      <c r="G192" s="456"/>
      <c r="H192" s="800"/>
      <c r="I192" s="805"/>
      <c r="J192" s="805"/>
      <c r="K192" s="805"/>
      <c r="L192" s="456"/>
      <c r="M192" s="800"/>
      <c r="N192" s="805"/>
      <c r="O192" s="805"/>
      <c r="P192" s="805"/>
      <c r="Q192" s="456"/>
      <c r="R192" s="800"/>
      <c r="S192" s="805"/>
      <c r="T192" s="805"/>
      <c r="U192" s="805"/>
      <c r="V192" s="456"/>
      <c r="W192" s="800"/>
      <c r="X192" s="805"/>
      <c r="Y192" s="805"/>
      <c r="Z192" s="805"/>
      <c r="AA192" s="456"/>
      <c r="AB192" s="800"/>
      <c r="AC192" s="805"/>
      <c r="AD192" s="805"/>
      <c r="AE192" s="805"/>
      <c r="AF192" s="456"/>
      <c r="AG192" s="800"/>
      <c r="AH192" s="805"/>
      <c r="AI192" s="805"/>
      <c r="AJ192" s="805"/>
      <c r="AK192" s="456"/>
      <c r="AL192" s="800"/>
      <c r="AM192" s="805"/>
      <c r="AN192" s="805"/>
      <c r="AO192" s="805"/>
      <c r="AP192" s="456"/>
      <c r="AQ192" s="800"/>
      <c r="AR192" s="805"/>
      <c r="AS192" s="805"/>
      <c r="AT192" s="805"/>
      <c r="AU192" s="456"/>
      <c r="AV192" s="800"/>
      <c r="AW192" s="805"/>
      <c r="AX192" s="805"/>
      <c r="AY192" s="805"/>
      <c r="AZ192" s="456"/>
      <c r="BA192" s="800"/>
      <c r="BB192" s="805"/>
      <c r="BC192" s="805"/>
      <c r="BD192" s="805"/>
      <c r="BE192" s="456"/>
      <c r="BF192" s="800"/>
      <c r="BG192" s="805"/>
      <c r="BH192" s="805"/>
      <c r="BI192" s="805"/>
      <c r="BJ192" s="456"/>
      <c r="BK192" s="800"/>
      <c r="BL192" s="805"/>
      <c r="BM192" s="805"/>
      <c r="BN192" s="805"/>
      <c r="BO192" s="456"/>
      <c r="BP192" s="800"/>
      <c r="BQ192" s="805"/>
      <c r="BR192" s="805"/>
      <c r="BS192" s="805"/>
      <c r="BT192" s="456"/>
      <c r="BU192" s="1167"/>
      <c r="BV192" s="1167"/>
      <c r="BW192" s="1167"/>
      <c r="BX192" s="800"/>
      <c r="BY192" s="457"/>
      <c r="BZ192" s="1167"/>
      <c r="CA192" s="1167"/>
      <c r="CB192" s="1167"/>
      <c r="CC192" s="800"/>
      <c r="CD192" s="457"/>
      <c r="CE192" s="1167"/>
      <c r="CF192" s="1167"/>
      <c r="CG192" s="1167"/>
      <c r="CH192" s="800"/>
      <c r="CI192" s="457"/>
      <c r="CJ192" s="1167"/>
      <c r="CK192" s="1167"/>
      <c r="CL192" s="1167"/>
      <c r="CM192" s="800"/>
      <c r="CN192" s="457"/>
      <c r="CO192" s="1167"/>
      <c r="CP192" s="1167"/>
      <c r="CQ192" s="1167"/>
      <c r="CR192" s="800"/>
      <c r="CS192" s="457"/>
      <c r="CT192" s="1167"/>
      <c r="CU192" s="1167"/>
      <c r="CV192" s="1167"/>
      <c r="CW192" s="800"/>
      <c r="CX192" s="457"/>
      <c r="CY192" s="1167"/>
      <c r="CZ192" s="1167"/>
      <c r="DA192" s="1167"/>
      <c r="DB192" s="800"/>
      <c r="DC192" s="457">
        <v>11602</v>
      </c>
      <c r="DD192" s="1167"/>
      <c r="DE192" s="1167"/>
      <c r="DF192" s="1167"/>
      <c r="DG192" s="800"/>
      <c r="DH192" s="457">
        <v>7466</v>
      </c>
      <c r="DI192" s="1167"/>
      <c r="DJ192" s="1167"/>
      <c r="DK192" s="1167"/>
      <c r="DL192" s="800"/>
      <c r="DM192" s="1396">
        <v>4557</v>
      </c>
      <c r="DN192" s="1167">
        <v>1154</v>
      </c>
      <c r="DO192" s="1167">
        <v>1478</v>
      </c>
      <c r="DP192" s="1167">
        <v>1219</v>
      </c>
      <c r="DQ192" s="800">
        <f>DR192-DP192-DO192-DN192</f>
      </c>
      <c r="DR192" s="457">
        <v>5134</v>
      </c>
      <c r="DS192" s="1167">
        <v>1261</v>
      </c>
      <c r="DT192" s="1387">
        <v>1948</v>
      </c>
      <c r="DU192" s="1167">
        <v>1423</v>
      </c>
      <c r="DV192" s="800">
        <f>DW192-DU192-DT192-DS192</f>
      </c>
      <c r="DW192" s="457">
        <v>6095</v>
      </c>
      <c r="DX192" s="1167">
        <v>1202</v>
      </c>
      <c r="DY192" s="1167">
        <v>2048</v>
      </c>
      <c r="DZ192" s="1167">
        <v>1412</v>
      </c>
      <c r="EA192" s="800">
        <f>EB192-DZ192-DY192-DX192</f>
      </c>
      <c r="EB192" s="457">
        <v>6457</v>
      </c>
      <c r="EC192" s="1167">
        <v>1620</v>
      </c>
      <c r="ED192" s="1167">
        <v>2120</v>
      </c>
      <c r="EE192" s="1167">
        <v>1599</v>
      </c>
      <c r="EF192" s="800">
        <f>EG192-EE192-ED192-EC192</f>
      </c>
      <c r="EG192" s="457">
        <v>6791</v>
      </c>
      <c r="EH192" s="1167">
        <v>1414</v>
      </c>
      <c r="EI192" s="1167">
        <v>2357</v>
      </c>
      <c r="EJ192" s="1167">
        <v>1835</v>
      </c>
      <c r="EK192" s="800">
        <f>EL192-EJ192-EI192-EH192</f>
      </c>
      <c r="EL192" s="457">
        <v>7306</v>
      </c>
      <c r="EM192" s="1167">
        <v>1448</v>
      </c>
      <c r="EN192" s="1167">
        <v>1430</v>
      </c>
      <c r="EO192" s="1167">
        <v>1282</v>
      </c>
      <c r="EP192" s="800">
        <f>EQ192-EO192-EN192-EM192</f>
      </c>
      <c r="EQ192" s="457">
        <v>5521</v>
      </c>
      <c r="ER192" s="1167">
        <v>1125</v>
      </c>
      <c r="ES192" s="1166">
        <v>1298</v>
      </c>
      <c r="ET192" s="1166">
        <v>1067</v>
      </c>
      <c r="EU192" s="800">
        <f>EV192-ET192-ES192-ER192</f>
      </c>
      <c r="EV192" s="457">
        <v>4706</v>
      </c>
      <c r="EW192" s="805"/>
      <c r="EX192" s="805"/>
      <c r="EY192" s="805"/>
      <c r="EZ192" s="805"/>
      <c r="FA192" s="456"/>
      <c r="FB192" s="805"/>
      <c r="FC192" s="805"/>
      <c r="FD192" s="805"/>
      <c r="FE192" s="805"/>
      <c r="FF192" s="456"/>
      <c r="FG192" s="805"/>
      <c r="FH192" s="805"/>
      <c r="FI192" s="805"/>
      <c r="FJ192" s="805"/>
      <c r="FK192" s="456"/>
      <c r="FL192" s="805"/>
      <c r="FM192" s="805"/>
      <c r="FN192" s="805"/>
      <c r="FO192" s="805"/>
      <c r="FP192" s="456"/>
      <c r="FQ192" s="805"/>
      <c r="FR192" s="805"/>
      <c r="FS192" s="805"/>
      <c r="FT192" s="805"/>
      <c r="FU192" s="456"/>
      <c r="FV192" s="800"/>
      <c r="FW192" s="805"/>
      <c r="FX192" s="805"/>
      <c r="FY192" s="805"/>
      <c r="FZ192" s="456"/>
      <c r="GA192" s="800"/>
      <c r="GB192" s="805"/>
      <c r="GC192" s="805"/>
      <c r="GD192" s="805"/>
      <c r="GE192" s="456"/>
      <c r="GF192" s="800"/>
      <c r="GG192" s="805"/>
      <c r="GH192" s="805"/>
      <c r="GI192" s="805"/>
      <c r="GJ192" s="499"/>
    </row>
    <row r="193" spans="1:192" ht="12.75" hidden="1" customHeight="1" outlineLevel="1">
      <c r="A193" s="1643"/>
      <c r="B193" s="750" t="s">
        <v>34</v>
      </c>
      <c r="C193" s="291"/>
      <c r="D193" s="107"/>
      <c r="E193" s="107"/>
      <c r="F193" s="107"/>
      <c r="G193" s="292"/>
      <c r="H193" s="291"/>
      <c r="I193" s="107"/>
      <c r="J193" s="107"/>
      <c r="K193" s="107"/>
      <c r="L193" s="292"/>
      <c r="M193" s="291"/>
      <c r="N193" s="107"/>
      <c r="O193" s="107"/>
      <c r="P193" s="107"/>
      <c r="Q193" s="292"/>
      <c r="R193" s="291"/>
      <c r="S193" s="107"/>
      <c r="T193" s="107"/>
      <c r="U193" s="107"/>
      <c r="V193" s="292"/>
      <c r="W193" s="291"/>
      <c r="X193" s="107"/>
      <c r="Y193" s="107"/>
      <c r="Z193" s="107"/>
      <c r="AA193" s="292"/>
      <c r="AB193" s="291"/>
      <c r="AC193" s="107"/>
      <c r="AD193" s="107"/>
      <c r="AE193" s="107"/>
      <c r="AF193" s="292"/>
      <c r="AG193" s="291"/>
      <c r="AH193" s="107"/>
      <c r="AI193" s="107"/>
      <c r="AJ193" s="107"/>
      <c r="AK193" s="292"/>
      <c r="AL193" s="291"/>
      <c r="AM193" s="107"/>
      <c r="AN193" s="107"/>
      <c r="AO193" s="107"/>
      <c r="AP193" s="292"/>
      <c r="AQ193" s="291"/>
      <c r="AR193" s="107"/>
      <c r="AS193" s="107"/>
      <c r="AT193" s="107"/>
      <c r="AU193" s="292"/>
      <c r="AV193" s="291"/>
      <c r="AW193" s="107"/>
      <c r="AX193" s="107"/>
      <c r="AY193" s="107"/>
      <c r="AZ193" s="292"/>
      <c r="BA193" s="291"/>
      <c r="BB193" s="107"/>
      <c r="BC193" s="107"/>
      <c r="BD193" s="107"/>
      <c r="BE193" s="292"/>
      <c r="BF193" s="291"/>
      <c r="BG193" s="107"/>
      <c r="BH193" s="107"/>
      <c r="BI193" s="107"/>
      <c r="BJ193" s="292"/>
      <c r="BK193" s="291"/>
      <c r="BL193" s="107"/>
      <c r="BM193" s="107"/>
      <c r="BN193" s="107"/>
      <c r="BO193" s="292"/>
      <c r="BP193" s="291"/>
      <c r="BQ193" s="107"/>
      <c r="BR193" s="107"/>
      <c r="BS193" s="107"/>
      <c r="BT193" s="292"/>
      <c r="BU193" s="412"/>
      <c r="BV193" s="114"/>
      <c r="BW193" s="114"/>
      <c r="BX193" s="114"/>
      <c r="BY193" s="292"/>
      <c r="BZ193" s="412"/>
      <c r="CA193" s="114"/>
      <c r="CB193" s="114"/>
      <c r="CC193" s="114"/>
      <c r="CD193" s="292"/>
      <c r="CE193" s="412"/>
      <c r="CF193" s="114"/>
      <c r="CG193" s="114"/>
      <c r="CH193" s="114"/>
      <c r="CI193" s="292"/>
      <c r="CJ193" s="412"/>
      <c r="CK193" s="114"/>
      <c r="CL193" s="114"/>
      <c r="CM193" s="114"/>
      <c r="CN193" s="292"/>
      <c r="CO193" s="412"/>
      <c r="CP193" s="114"/>
      <c r="CQ193" s="114"/>
      <c r="CR193" s="114"/>
      <c r="CS193" s="292"/>
      <c r="CT193" s="412"/>
      <c r="CU193" s="114"/>
      <c r="CV193" s="114"/>
      <c r="CW193" s="114"/>
      <c r="CX193" s="292"/>
      <c r="CY193" s="412"/>
      <c r="CZ193" s="114"/>
      <c r="DA193" s="114"/>
      <c r="DB193" s="114"/>
      <c r="DC193" s="292"/>
      <c r="DD193" s="412">
        <v>0.49</v>
      </c>
      <c r="DE193" s="114"/>
      <c r="DF193" s="114"/>
      <c r="DG193" s="114"/>
      <c r="DH193" s="292"/>
      <c r="DI193" s="412">
        <v>-0.27</v>
      </c>
      <c r="DJ193" s="114"/>
      <c r="DK193" s="114"/>
      <c r="DL193" s="114"/>
      <c r="DM193" s="292"/>
      <c r="DN193" s="107"/>
      <c r="DO193" s="107"/>
      <c r="DP193" s="107"/>
      <c r="DQ193" s="107"/>
      <c r="DR193" s="292">
        <f t="shared" ref="DR193:EJ193" si="160">DR192/DM192-1</f>
      </c>
      <c r="DS193" s="107">
        <f t="shared" si="160"/>
      </c>
      <c r="DT193" s="468">
        <f t="shared" si="160"/>
      </c>
      <c r="DU193" s="107">
        <f t="shared" si="160"/>
      </c>
      <c r="DV193" s="107">
        <f t="shared" si="160"/>
      </c>
      <c r="DW193" s="292">
        <f t="shared" si="160"/>
      </c>
      <c r="DX193" s="107">
        <f t="shared" si="160"/>
      </c>
      <c r="DY193" s="107">
        <f t="shared" si="160"/>
      </c>
      <c r="DZ193" s="107">
        <f t="shared" si="160"/>
      </c>
      <c r="EA193" s="107">
        <f t="shared" si="160"/>
      </c>
      <c r="EB193" s="292">
        <f t="shared" si="160"/>
      </c>
      <c r="EC193" s="107">
        <f t="shared" si="160"/>
      </c>
      <c r="ED193" s="107">
        <f t="shared" si="160"/>
      </c>
      <c r="EE193" s="107">
        <f t="shared" si="160"/>
      </c>
      <c r="EF193" s="107">
        <f t="shared" si="160"/>
      </c>
      <c r="EG193" s="292">
        <f t="shared" si="160"/>
      </c>
      <c r="EH193" s="107">
        <f t="shared" si="160"/>
      </c>
      <c r="EI193" s="107">
        <f t="shared" si="160"/>
      </c>
      <c r="EJ193" s="107">
        <f t="shared" si="160"/>
      </c>
      <c r="EK193" s="114">
        <v>0.12</v>
      </c>
      <c r="EL193" s="292">
        <f>EL192/EG192-1</f>
      </c>
      <c r="EM193" s="412">
        <v>0.02</v>
      </c>
      <c r="EN193" s="114">
        <v>-0.39</v>
      </c>
      <c r="EO193" s="114">
        <v>-0.3</v>
      </c>
      <c r="EP193" s="114">
        <v>-0.2</v>
      </c>
      <c r="EQ193" s="292">
        <f>EQ192/EL192-1</f>
      </c>
      <c r="ER193" s="412">
        <v>-0.22</v>
      </c>
      <c r="ES193" s="114">
        <v>-0.09</v>
      </c>
      <c r="ET193" s="439">
        <v>-0.17</v>
      </c>
      <c r="EU193" s="439">
        <v>-0.11</v>
      </c>
      <c r="EV193" s="292">
        <f>EV192/EQ192-1</f>
      </c>
      <c r="EW193" s="412"/>
      <c r="EX193" s="114"/>
      <c r="EY193" s="114"/>
      <c r="EZ193" s="114"/>
      <c r="FA193" s="292"/>
      <c r="FB193" s="412"/>
      <c r="FC193" s="114"/>
      <c r="FD193" s="114"/>
      <c r="FE193" s="114"/>
      <c r="FF193" s="292"/>
      <c r="FG193" s="412"/>
      <c r="FH193" s="114"/>
      <c r="FI193" s="114"/>
      <c r="FJ193" s="114"/>
      <c r="FK193" s="292"/>
      <c r="FL193" s="412"/>
      <c r="FM193" s="114"/>
      <c r="FN193" s="114"/>
      <c r="FO193" s="114"/>
      <c r="FP193" s="292"/>
      <c r="FQ193" s="412"/>
      <c r="FR193" s="114"/>
      <c r="FS193" s="114"/>
      <c r="FT193" s="114"/>
      <c r="FU193" s="292"/>
      <c r="FV193" s="412"/>
      <c r="FW193" s="114"/>
      <c r="FX193" s="114"/>
      <c r="FY193" s="114"/>
      <c r="FZ193" s="292"/>
      <c r="GA193" s="412"/>
      <c r="GB193" s="114"/>
      <c r="GC193" s="114"/>
      <c r="GD193" s="114"/>
      <c r="GE193" s="292"/>
      <c r="GF193" s="412"/>
      <c r="GG193" s="114"/>
      <c r="GH193" s="114"/>
      <c r="GI193" s="114"/>
      <c r="GJ193" s="384"/>
    </row>
    <row r="194" spans="1:192" ht="12.75" hidden="1" customHeight="1" outlineLevel="1">
      <c r="B194" s="735" t="s">
        <v>197</v>
      </c>
      <c r="C194" s="291"/>
      <c r="D194" s="107"/>
      <c r="E194" s="107"/>
      <c r="F194" s="107"/>
      <c r="G194" s="293"/>
      <c r="H194" s="291"/>
      <c r="I194" s="107"/>
      <c r="J194" s="107"/>
      <c r="K194" s="107"/>
      <c r="L194" s="293"/>
      <c r="M194" s="291"/>
      <c r="N194" s="107"/>
      <c r="O194" s="107"/>
      <c r="P194" s="107"/>
      <c r="Q194" s="293"/>
      <c r="R194" s="291"/>
      <c r="S194" s="107"/>
      <c r="T194" s="107"/>
      <c r="U194" s="107"/>
      <c r="V194" s="293"/>
      <c r="W194" s="291"/>
      <c r="X194" s="107"/>
      <c r="Y194" s="107"/>
      <c r="Z194" s="107"/>
      <c r="AA194" s="293"/>
      <c r="AB194" s="291"/>
      <c r="AC194" s="107"/>
      <c r="AD194" s="107"/>
      <c r="AE194" s="107"/>
      <c r="AF194" s="293"/>
      <c r="AG194" s="291"/>
      <c r="AH194" s="107"/>
      <c r="AI194" s="107"/>
      <c r="AJ194" s="107"/>
      <c r="AK194" s="293"/>
      <c r="AL194" s="291"/>
      <c r="AM194" s="107"/>
      <c r="AN194" s="107"/>
      <c r="AO194" s="107"/>
      <c r="AP194" s="293"/>
      <c r="AQ194" s="291"/>
      <c r="AR194" s="107"/>
      <c r="AS194" s="107"/>
      <c r="AT194" s="107"/>
      <c r="AU194" s="293"/>
      <c r="AV194" s="291"/>
      <c r="AW194" s="107"/>
      <c r="AX194" s="107"/>
      <c r="AY194" s="107"/>
      <c r="AZ194" s="293"/>
      <c r="BA194" s="291"/>
      <c r="BB194" s="107"/>
      <c r="BC194" s="107"/>
      <c r="BD194" s="107"/>
      <c r="BE194" s="293"/>
      <c r="BF194" s="291"/>
      <c r="BG194" s="107"/>
      <c r="BH194" s="107"/>
      <c r="BI194" s="107"/>
      <c r="BJ194" s="293"/>
      <c r="BK194" s="291"/>
      <c r="BL194" s="107"/>
      <c r="BM194" s="107"/>
      <c r="BN194" s="107"/>
      <c r="BO194" s="293"/>
      <c r="BP194" s="291"/>
      <c r="BQ194" s="107"/>
      <c r="BR194" s="107"/>
      <c r="BS194" s="107"/>
      <c r="BT194" s="293"/>
      <c r="BU194" s="412"/>
      <c r="BV194" s="114"/>
      <c r="BW194" s="114"/>
      <c r="BX194" s="114"/>
      <c r="BY194" s="293"/>
      <c r="BZ194" s="412"/>
      <c r="CA194" s="114"/>
      <c r="CB194" s="114"/>
      <c r="CC194" s="114"/>
      <c r="CD194" s="293"/>
      <c r="CE194" s="412"/>
      <c r="CF194" s="114"/>
      <c r="CG194" s="114"/>
      <c r="CH194" s="114"/>
      <c r="CI194" s="293"/>
      <c r="CJ194" s="412"/>
      <c r="CK194" s="114"/>
      <c r="CL194" s="114"/>
      <c r="CM194" s="114"/>
      <c r="CN194" s="293"/>
      <c r="CO194" s="412"/>
      <c r="CP194" s="114"/>
      <c r="CQ194" s="114"/>
      <c r="CR194" s="114"/>
      <c r="CS194" s="293"/>
      <c r="CT194" s="412"/>
      <c r="CU194" s="114"/>
      <c r="CV194" s="114"/>
      <c r="CW194" s="114"/>
      <c r="CX194" s="293"/>
      <c r="CY194" s="412"/>
      <c r="CZ194" s="114"/>
      <c r="DA194" s="114"/>
      <c r="DB194" s="114"/>
      <c r="DC194" s="293"/>
      <c r="DD194" s="412">
        <v>-0.45</v>
      </c>
      <c r="DE194" s="114">
        <v>-0.22</v>
      </c>
      <c r="DF194" s="114">
        <v>-0.09</v>
      </c>
      <c r="DG194" s="114">
        <v>-0.35</v>
      </c>
      <c r="DH194" s="293"/>
      <c r="DI194" s="412">
        <v>-0.25</v>
      </c>
      <c r="DJ194" s="114"/>
      <c r="DK194" s="114"/>
      <c r="DL194" s="114"/>
      <c r="DM194" s="293"/>
      <c r="DN194" s="412"/>
      <c r="DO194" s="114"/>
      <c r="DP194" s="114"/>
      <c r="DQ194" s="114"/>
      <c r="DR194" s="293"/>
      <c r="DS194" s="412"/>
      <c r="DT194" s="439"/>
      <c r="DU194" s="114"/>
      <c r="DV194" s="114"/>
      <c r="DW194" s="293"/>
      <c r="DX194" s="412"/>
      <c r="DY194" s="114"/>
      <c r="DZ194" s="114"/>
      <c r="EA194" s="114"/>
      <c r="EB194" s="293"/>
      <c r="EC194" s="412"/>
      <c r="ED194" s="114"/>
      <c r="EE194" s="114"/>
      <c r="EF194" s="114"/>
      <c r="EG194" s="293"/>
      <c r="EH194" s="412"/>
      <c r="EI194" s="114"/>
      <c r="EJ194" s="114"/>
      <c r="EK194" s="114">
        <v>0.18</v>
      </c>
      <c r="EL194" s="293"/>
      <c r="EM194" s="412">
        <v>0.08</v>
      </c>
      <c r="EN194" s="114">
        <v>-0.34</v>
      </c>
      <c r="EO194" s="114">
        <v>-0.26</v>
      </c>
      <c r="EP194" s="114">
        <v>-0.18</v>
      </c>
      <c r="EQ194" s="293"/>
      <c r="ER194" s="412">
        <v>-0.22</v>
      </c>
      <c r="ES194" s="114">
        <v>-0.1</v>
      </c>
      <c r="ET194" s="439">
        <v>-0.16</v>
      </c>
      <c r="EU194" s="439">
        <v>-0.09</v>
      </c>
      <c r="EV194" s="293"/>
      <c r="EW194" s="291"/>
      <c r="EX194" s="107"/>
      <c r="EY194" s="107"/>
      <c r="EZ194" s="107"/>
      <c r="FA194" s="293"/>
      <c r="FB194" s="291"/>
      <c r="FC194" s="107"/>
      <c r="FD194" s="107"/>
      <c r="FE194" s="107"/>
      <c r="FF194" s="293"/>
      <c r="FG194" s="291"/>
      <c r="FH194" s="107"/>
      <c r="FI194" s="107"/>
      <c r="FJ194" s="107"/>
      <c r="FK194" s="293"/>
      <c r="FL194" s="291"/>
      <c r="FM194" s="107"/>
      <c r="FN194" s="107"/>
      <c r="FO194" s="107"/>
      <c r="FP194" s="293"/>
      <c r="FQ194" s="291"/>
      <c r="FR194" s="107"/>
      <c r="FS194" s="107"/>
      <c r="FT194" s="107"/>
      <c r="FU194" s="293"/>
      <c r="FV194" s="291"/>
      <c r="FW194" s="107"/>
      <c r="FX194" s="107"/>
      <c r="FY194" s="107"/>
      <c r="FZ194" s="293"/>
      <c r="GA194" s="291"/>
      <c r="GB194" s="107"/>
      <c r="GC194" s="107"/>
      <c r="GD194" s="107"/>
      <c r="GE194" s="293"/>
      <c r="GF194" s="291"/>
      <c r="GG194" s="107"/>
      <c r="GH194" s="107"/>
      <c r="GI194" s="107"/>
      <c r="GJ194" s="382"/>
    </row>
    <row r="195" spans="1:192" ht="12.75" hidden="1" customHeight="1" outlineLevel="1">
      <c r="B195" s="735" t="s">
        <v>36</v>
      </c>
      <c r="C195" s="291"/>
      <c r="D195" s="107"/>
      <c r="E195" s="107"/>
      <c r="F195" s="107"/>
      <c r="G195" s="293"/>
      <c r="H195" s="291"/>
      <c r="I195" s="107"/>
      <c r="J195" s="107"/>
      <c r="K195" s="107"/>
      <c r="L195" s="293"/>
      <c r="M195" s="291"/>
      <c r="N195" s="107"/>
      <c r="O195" s="107"/>
      <c r="P195" s="107"/>
      <c r="Q195" s="293"/>
      <c r="R195" s="291"/>
      <c r="S195" s="107"/>
      <c r="T195" s="107"/>
      <c r="U195" s="107"/>
      <c r="V195" s="293"/>
      <c r="W195" s="291"/>
      <c r="X195" s="107"/>
      <c r="Y195" s="107"/>
      <c r="Z195" s="107"/>
      <c r="AA195" s="293"/>
      <c r="AB195" s="291"/>
      <c r="AC195" s="107"/>
      <c r="AD195" s="107"/>
      <c r="AE195" s="107"/>
      <c r="AF195" s="293"/>
      <c r="AG195" s="291"/>
      <c r="AH195" s="107"/>
      <c r="AI195" s="107"/>
      <c r="AJ195" s="107"/>
      <c r="AK195" s="293"/>
      <c r="AL195" s="291"/>
      <c r="AM195" s="107"/>
      <c r="AN195" s="107"/>
      <c r="AO195" s="107"/>
      <c r="AP195" s="293"/>
      <c r="AQ195" s="291"/>
      <c r="AR195" s="107"/>
      <c r="AS195" s="107"/>
      <c r="AT195" s="107"/>
      <c r="AU195" s="293"/>
      <c r="AV195" s="291"/>
      <c r="AW195" s="107"/>
      <c r="AX195" s="107"/>
      <c r="AY195" s="107"/>
      <c r="AZ195" s="293"/>
      <c r="BA195" s="291"/>
      <c r="BB195" s="107"/>
      <c r="BC195" s="107"/>
      <c r="BD195" s="107"/>
      <c r="BE195" s="293"/>
      <c r="BF195" s="291"/>
      <c r="BG195" s="107"/>
      <c r="BH195" s="107"/>
      <c r="BI195" s="107"/>
      <c r="BJ195" s="293"/>
      <c r="BK195" s="291"/>
      <c r="BL195" s="107"/>
      <c r="BM195" s="107"/>
      <c r="BN195" s="107"/>
      <c r="BO195" s="293"/>
      <c r="BP195" s="291"/>
      <c r="BQ195" s="107"/>
      <c r="BR195" s="107"/>
      <c r="BS195" s="107"/>
      <c r="BT195" s="293"/>
      <c r="BU195" s="291"/>
      <c r="BV195" s="107"/>
      <c r="BW195" s="107"/>
      <c r="BX195" s="107"/>
      <c r="BY195" s="293"/>
      <c r="BZ195" s="291"/>
      <c r="CA195" s="107"/>
      <c r="CB195" s="107"/>
      <c r="CC195" s="107"/>
      <c r="CD195" s="293"/>
      <c r="CE195" s="291"/>
      <c r="CF195" s="107"/>
      <c r="CG195" s="107"/>
      <c r="CH195" s="107"/>
      <c r="CI195" s="293"/>
      <c r="CJ195" s="291"/>
      <c r="CK195" s="107"/>
      <c r="CL195" s="107"/>
      <c r="CM195" s="107"/>
      <c r="CN195" s="293"/>
      <c r="CO195" s="291"/>
      <c r="CP195" s="107"/>
      <c r="CQ195" s="107"/>
      <c r="CR195" s="107"/>
      <c r="CS195" s="293"/>
      <c r="CT195" s="291"/>
      <c r="CU195" s="107"/>
      <c r="CV195" s="107"/>
      <c r="CW195" s="107"/>
      <c r="CX195" s="293"/>
      <c r="CY195" s="291"/>
      <c r="CZ195" s="107"/>
      <c r="DA195" s="107"/>
      <c r="DB195" s="107"/>
      <c r="DC195" s="293"/>
      <c r="DD195" s="291"/>
      <c r="DE195" s="107"/>
      <c r="DF195" s="107"/>
      <c r="DG195" s="107"/>
      <c r="DH195" s="293"/>
      <c r="DI195" s="291"/>
      <c r="DJ195" s="107"/>
      <c r="DK195" s="107"/>
      <c r="DL195" s="107"/>
      <c r="DM195" s="293"/>
      <c r="DN195" s="291"/>
      <c r="DO195" s="107">
        <f>DO192/DN192-1</f>
      </c>
      <c r="DP195" s="107">
        <f>DP192/DO192-1</f>
      </c>
      <c r="DQ195" s="107">
        <f>DQ192/DP192-1</f>
      </c>
      <c r="DR195" s="293"/>
      <c r="DS195" s="291">
        <f>DS192/DQ192-1</f>
      </c>
      <c r="DT195" s="468">
        <f>DT192/DS192-1</f>
      </c>
      <c r="DU195" s="107">
        <f>DU192/DT192-1</f>
      </c>
      <c r="DV195" s="107">
        <f>DV192/DU192-1</f>
      </c>
      <c r="DW195" s="293"/>
      <c r="DX195" s="291">
        <f>DX192/DV192-1</f>
      </c>
      <c r="DY195" s="107">
        <f>DY192/DX192-1</f>
      </c>
      <c r="DZ195" s="107">
        <f>DZ192/DY192-1</f>
      </c>
      <c r="EA195" s="107">
        <f>EA192/DZ192-1</f>
      </c>
      <c r="EB195" s="293"/>
      <c r="EC195" s="291">
        <f>EC192/EA192-1</f>
      </c>
      <c r="ED195" s="107">
        <f>ED192/EC192-1</f>
      </c>
      <c r="EE195" s="107">
        <f>EE192/ED192-1</f>
      </c>
      <c r="EF195" s="107">
        <f>EF192/EE192-1</f>
      </c>
      <c r="EG195" s="293"/>
      <c r="EH195" s="291">
        <f>EH192/EF192-1</f>
      </c>
      <c r="EI195" s="107">
        <f>EI192/EH192-1</f>
      </c>
      <c r="EJ195" s="107">
        <f>EJ192/EI192-1</f>
      </c>
      <c r="EK195" s="107">
        <f>EK192/EJ192-1</f>
      </c>
      <c r="EL195" s="293"/>
      <c r="EM195" s="291">
        <f>EM192/EK192-1</f>
      </c>
      <c r="EN195" s="107">
        <f>EN192/EM192-1</f>
      </c>
      <c r="EO195" s="107">
        <f>EO192/EN192-1</f>
      </c>
      <c r="EP195" s="107">
        <f>EP192/EO192-1</f>
      </c>
      <c r="EQ195" s="293"/>
      <c r="ER195" s="291">
        <f>ER192/EP192-1</f>
      </c>
      <c r="ES195" s="107">
        <f>ES192/ER192-1</f>
      </c>
      <c r="ET195" s="107">
        <f>ET192/ES192-1</f>
      </c>
      <c r="EU195" s="468">
        <f>EU192/ET192-1</f>
      </c>
      <c r="EV195" s="293"/>
      <c r="EW195" s="291"/>
      <c r="EX195" s="107"/>
      <c r="EY195" s="107"/>
      <c r="EZ195" s="107"/>
      <c r="FA195" s="293"/>
      <c r="FB195" s="291"/>
      <c r="FC195" s="107"/>
      <c r="FD195" s="107"/>
      <c r="FE195" s="107"/>
      <c r="FF195" s="293"/>
      <c r="FG195" s="291"/>
      <c r="FH195" s="107"/>
      <c r="FI195" s="107"/>
      <c r="FJ195" s="107"/>
      <c r="FK195" s="293"/>
      <c r="FL195" s="291"/>
      <c r="FM195" s="107"/>
      <c r="FN195" s="107"/>
      <c r="FO195" s="107"/>
      <c r="FP195" s="293"/>
      <c r="FQ195" s="291"/>
      <c r="FR195" s="107"/>
      <c r="FS195" s="107"/>
      <c r="FT195" s="107"/>
      <c r="FU195" s="293"/>
      <c r="FV195" s="291"/>
      <c r="FW195" s="107"/>
      <c r="FX195" s="107"/>
      <c r="FY195" s="107"/>
      <c r="FZ195" s="293"/>
      <c r="GA195" s="291"/>
      <c r="GB195" s="107"/>
      <c r="GC195" s="107"/>
      <c r="GD195" s="107"/>
      <c r="GE195" s="293"/>
      <c r="GF195" s="291"/>
      <c r="GG195" s="107"/>
      <c r="GH195" s="107"/>
      <c r="GI195" s="107"/>
      <c r="GJ195" s="382"/>
    </row>
    <row r="196" spans="1:192" s="461" customFormat="1" ht="12.75" hidden="1" customHeight="1" outlineLevel="1">
      <c r="A196" s="850"/>
      <c r="B196" s="735" t="s">
        <v>243</v>
      </c>
      <c r="C196" s="447"/>
      <c r="D196" s="458"/>
      <c r="E196" s="458"/>
      <c r="F196" s="458"/>
      <c r="G196" s="462"/>
      <c r="H196" s="447"/>
      <c r="I196" s="458"/>
      <c r="J196" s="458"/>
      <c r="K196" s="458"/>
      <c r="L196" s="462"/>
      <c r="M196" s="447"/>
      <c r="N196" s="458"/>
      <c r="O196" s="458"/>
      <c r="P196" s="458"/>
      <c r="Q196" s="462"/>
      <c r="R196" s="447"/>
      <c r="S196" s="458"/>
      <c r="T196" s="458"/>
      <c r="U196" s="458"/>
      <c r="V196" s="462"/>
      <c r="W196" s="447"/>
      <c r="X196" s="458"/>
      <c r="Y196" s="458"/>
      <c r="Z196" s="458"/>
      <c r="AA196" s="462"/>
      <c r="AB196" s="447"/>
      <c r="AC196" s="458"/>
      <c r="AD196" s="458"/>
      <c r="AE196" s="458"/>
      <c r="AF196" s="462"/>
      <c r="AG196" s="447"/>
      <c r="AH196" s="458"/>
      <c r="AI196" s="458"/>
      <c r="AJ196" s="458"/>
      <c r="AK196" s="462"/>
      <c r="AL196" s="447"/>
      <c r="AM196" s="458"/>
      <c r="AN196" s="458"/>
      <c r="AO196" s="458"/>
      <c r="AP196" s="462"/>
      <c r="AQ196" s="447"/>
      <c r="AR196" s="458"/>
      <c r="AS196" s="458"/>
      <c r="AT196" s="458"/>
      <c r="AU196" s="462"/>
      <c r="AV196" s="447"/>
      <c r="AW196" s="458"/>
      <c r="AX196" s="458"/>
      <c r="AY196" s="458"/>
      <c r="AZ196" s="462"/>
      <c r="BA196" s="447"/>
      <c r="BB196" s="458"/>
      <c r="BC196" s="458"/>
      <c r="BD196" s="458"/>
      <c r="BE196" s="462"/>
      <c r="BF196" s="447"/>
      <c r="BG196" s="458"/>
      <c r="BH196" s="458"/>
      <c r="BI196" s="458"/>
      <c r="BJ196" s="462"/>
      <c r="BK196" s="447"/>
      <c r="BL196" s="458"/>
      <c r="BM196" s="458"/>
      <c r="BN196" s="458"/>
      <c r="BO196" s="462"/>
      <c r="BP196" s="447"/>
      <c r="BQ196" s="458"/>
      <c r="BR196" s="458"/>
      <c r="BS196" s="458"/>
      <c r="BT196" s="462"/>
      <c r="BU196" s="447"/>
      <c r="BV196" s="458"/>
      <c r="BW196" s="458"/>
      <c r="BX196" s="458"/>
      <c r="BY196" s="462"/>
      <c r="BZ196" s="447"/>
      <c r="CA196" s="458"/>
      <c r="CB196" s="458"/>
      <c r="CC196" s="458"/>
      <c r="CD196" s="462"/>
      <c r="CE196" s="447"/>
      <c r="CF196" s="458"/>
      <c r="CG196" s="458"/>
      <c r="CH196" s="458"/>
      <c r="CI196" s="462"/>
      <c r="CJ196" s="447"/>
      <c r="CK196" s="458"/>
      <c r="CL196" s="458"/>
      <c r="CM196" s="458"/>
      <c r="CN196" s="462"/>
      <c r="CO196" s="447"/>
      <c r="CP196" s="458"/>
      <c r="CQ196" s="458"/>
      <c r="CR196" s="458"/>
      <c r="CS196" s="462"/>
      <c r="CT196" s="447"/>
      <c r="CU196" s="458"/>
      <c r="CV196" s="458"/>
      <c r="CW196" s="458"/>
      <c r="CX196" s="462"/>
      <c r="CY196" s="447"/>
      <c r="CZ196" s="458"/>
      <c r="DA196" s="458"/>
      <c r="DB196" s="458"/>
      <c r="DC196" s="462"/>
      <c r="DD196" s="447"/>
      <c r="DE196" s="458"/>
      <c r="DF196" s="458"/>
      <c r="DG196" s="458"/>
      <c r="DH196" s="462"/>
      <c r="DI196" s="447"/>
      <c r="DJ196" s="458"/>
      <c r="DK196" s="458"/>
      <c r="DL196" s="458"/>
      <c r="DM196" s="462"/>
      <c r="DN196" s="447"/>
      <c r="DO196" s="447"/>
      <c r="DP196" s="447"/>
      <c r="DQ196" s="447"/>
      <c r="DR196" s="462">
        <f t="shared" ref="DR196:EQ196" si="161">DR192-DM192</f>
      </c>
      <c r="DS196" s="447">
        <f t="shared" si="161"/>
      </c>
      <c r="DT196" s="511">
        <f t="shared" si="161"/>
      </c>
      <c r="DU196" s="447">
        <f t="shared" si="161"/>
      </c>
      <c r="DV196" s="447">
        <f t="shared" si="161"/>
      </c>
      <c r="DW196" s="462">
        <f t="shared" si="161"/>
      </c>
      <c r="DX196" s="447">
        <f t="shared" si="161"/>
      </c>
      <c r="DY196" s="447">
        <f t="shared" si="161"/>
      </c>
      <c r="DZ196" s="447">
        <f t="shared" si="161"/>
      </c>
      <c r="EA196" s="447">
        <f t="shared" si="161"/>
      </c>
      <c r="EB196" s="462">
        <f t="shared" si="161"/>
      </c>
      <c r="EC196" s="447">
        <f t="shared" si="161"/>
      </c>
      <c r="ED196" s="447">
        <f t="shared" si="161"/>
      </c>
      <c r="EE196" s="447">
        <f t="shared" si="161"/>
      </c>
      <c r="EF196" s="447">
        <f t="shared" si="161"/>
      </c>
      <c r="EG196" s="462">
        <f t="shared" si="161"/>
      </c>
      <c r="EH196" s="447">
        <f t="shared" si="161"/>
      </c>
      <c r="EI196" s="447">
        <f t="shared" si="161"/>
      </c>
      <c r="EJ196" s="447">
        <f t="shared" si="161"/>
      </c>
      <c r="EK196" s="447">
        <f t="shared" si="161"/>
      </c>
      <c r="EL196" s="462">
        <f t="shared" si="161"/>
      </c>
      <c r="EM196" s="447">
        <f t="shared" si="161"/>
      </c>
      <c r="EN196" s="447">
        <f t="shared" si="161"/>
      </c>
      <c r="EO196" s="447">
        <f t="shared" si="161"/>
      </c>
      <c r="EP196" s="447">
        <f t="shared" si="161"/>
      </c>
      <c r="EQ196" s="462">
        <f t="shared" si="161"/>
      </c>
      <c r="ER196" s="447">
        <f t="shared" ref="ER196:EV196" si="162">ER192-EM192</f>
      </c>
      <c r="ES196" s="447">
        <f t="shared" si="162"/>
      </c>
      <c r="ET196" s="448">
        <v>-215</v>
      </c>
      <c r="EU196" s="447">
        <f t="shared" si="162"/>
      </c>
      <c r="EV196" s="462">
        <f t="shared" si="162"/>
      </c>
      <c r="EW196" s="447"/>
      <c r="EX196" s="447"/>
      <c r="EY196" s="447"/>
      <c r="EZ196" s="447"/>
      <c r="FA196" s="462"/>
      <c r="FB196" s="447"/>
      <c r="FC196" s="447"/>
      <c r="FD196" s="447"/>
      <c r="FE196" s="447"/>
      <c r="FF196" s="462"/>
      <c r="FG196" s="447"/>
      <c r="FH196" s="447"/>
      <c r="FI196" s="447"/>
      <c r="FJ196" s="447"/>
      <c r="FK196" s="462"/>
      <c r="FL196" s="447"/>
      <c r="FM196" s="447"/>
      <c r="FN196" s="447"/>
      <c r="FO196" s="447"/>
      <c r="FP196" s="462"/>
      <c r="FQ196" s="447"/>
      <c r="FR196" s="447"/>
      <c r="FS196" s="447"/>
      <c r="FT196" s="447"/>
      <c r="FU196" s="462"/>
      <c r="FV196" s="447"/>
      <c r="FW196" s="458"/>
      <c r="FX196" s="458"/>
      <c r="FY196" s="458"/>
      <c r="FZ196" s="462"/>
      <c r="GA196" s="447"/>
      <c r="GB196" s="458"/>
      <c r="GC196" s="458"/>
      <c r="GD196" s="458"/>
      <c r="GE196" s="462"/>
      <c r="GF196" s="447"/>
      <c r="GG196" s="458"/>
      <c r="GH196" s="458"/>
      <c r="GI196" s="458"/>
      <c r="GJ196" s="497"/>
    </row>
    <row r="197" spans="1:192" s="461" customFormat="1" ht="12.75" hidden="1" customHeight="1" outlineLevel="1">
      <c r="A197" s="850"/>
      <c r="B197" s="735" t="s">
        <v>244</v>
      </c>
      <c r="C197" s="447"/>
      <c r="D197" s="458"/>
      <c r="E197" s="458"/>
      <c r="F197" s="458"/>
      <c r="G197" s="462"/>
      <c r="H197" s="447"/>
      <c r="I197" s="458"/>
      <c r="J197" s="458"/>
      <c r="K197" s="458"/>
      <c r="L197" s="462"/>
      <c r="M197" s="447"/>
      <c r="N197" s="458"/>
      <c r="O197" s="458"/>
      <c r="P197" s="458"/>
      <c r="Q197" s="462"/>
      <c r="R197" s="447"/>
      <c r="S197" s="458"/>
      <c r="T197" s="458"/>
      <c r="U197" s="458"/>
      <c r="V197" s="462"/>
      <c r="W197" s="447"/>
      <c r="X197" s="458"/>
      <c r="Y197" s="458"/>
      <c r="Z197" s="458"/>
      <c r="AA197" s="462"/>
      <c r="AB197" s="447"/>
      <c r="AC197" s="458"/>
      <c r="AD197" s="458"/>
      <c r="AE197" s="458"/>
      <c r="AF197" s="462"/>
      <c r="AG197" s="447"/>
      <c r="AH197" s="458"/>
      <c r="AI197" s="458"/>
      <c r="AJ197" s="458"/>
      <c r="AK197" s="462"/>
      <c r="AL197" s="447"/>
      <c r="AM197" s="458"/>
      <c r="AN197" s="458"/>
      <c r="AO197" s="458"/>
      <c r="AP197" s="462"/>
      <c r="AQ197" s="447"/>
      <c r="AR197" s="458"/>
      <c r="AS197" s="458"/>
      <c r="AT197" s="458"/>
      <c r="AU197" s="462"/>
      <c r="AV197" s="447"/>
      <c r="AW197" s="458"/>
      <c r="AX197" s="458"/>
      <c r="AY197" s="458"/>
      <c r="AZ197" s="462"/>
      <c r="BA197" s="447"/>
      <c r="BB197" s="458"/>
      <c r="BC197" s="458"/>
      <c r="BD197" s="458"/>
      <c r="BE197" s="462"/>
      <c r="BF197" s="447"/>
      <c r="BG197" s="458"/>
      <c r="BH197" s="458"/>
      <c r="BI197" s="458"/>
      <c r="BJ197" s="462"/>
      <c r="BK197" s="447"/>
      <c r="BL197" s="458"/>
      <c r="BM197" s="458"/>
      <c r="BN197" s="458"/>
      <c r="BO197" s="462"/>
      <c r="BP197" s="447"/>
      <c r="BQ197" s="458"/>
      <c r="BR197" s="458"/>
      <c r="BS197" s="458"/>
      <c r="BT197" s="462"/>
      <c r="BU197" s="447"/>
      <c r="BV197" s="458"/>
      <c r="BW197" s="458"/>
      <c r="BX197" s="458"/>
      <c r="BY197" s="462"/>
      <c r="BZ197" s="447"/>
      <c r="CA197" s="458"/>
      <c r="CB197" s="458"/>
      <c r="CC197" s="458"/>
      <c r="CD197" s="462"/>
      <c r="CE197" s="447"/>
      <c r="CF197" s="458"/>
      <c r="CG197" s="458"/>
      <c r="CH197" s="458"/>
      <c r="CI197" s="462"/>
      <c r="CJ197" s="447"/>
      <c r="CK197" s="458"/>
      <c r="CL197" s="458"/>
      <c r="CM197" s="458"/>
      <c r="CN197" s="462"/>
      <c r="CO197" s="447"/>
      <c r="CP197" s="458"/>
      <c r="CQ197" s="458"/>
      <c r="CR197" s="458"/>
      <c r="CS197" s="462"/>
      <c r="CT197" s="447"/>
      <c r="CU197" s="458"/>
      <c r="CV197" s="458"/>
      <c r="CW197" s="458"/>
      <c r="CX197" s="462"/>
      <c r="CY197" s="447"/>
      <c r="CZ197" s="458"/>
      <c r="DA197" s="458"/>
      <c r="DB197" s="458"/>
      <c r="DC197" s="462"/>
      <c r="DD197" s="447"/>
      <c r="DE197" s="458"/>
      <c r="DF197" s="458"/>
      <c r="DG197" s="458"/>
      <c r="DH197" s="462"/>
      <c r="DI197" s="447"/>
      <c r="DJ197" s="458"/>
      <c r="DK197" s="458"/>
      <c r="DL197" s="458"/>
      <c r="DM197" s="462"/>
      <c r="DN197" s="447"/>
      <c r="DO197" s="458">
        <f>DO192-DN192</f>
      </c>
      <c r="DP197" s="458">
        <f>DP192-DO192</f>
      </c>
      <c r="DQ197" s="458">
        <f>DQ192-DP192</f>
      </c>
      <c r="DR197" s="462"/>
      <c r="DS197" s="447">
        <f>DS192-DQ192</f>
      </c>
      <c r="DT197" s="679">
        <f>DT192-DS192</f>
      </c>
      <c r="DU197" s="458">
        <f>DU192-DT192</f>
      </c>
      <c r="DV197" s="458">
        <f>DV192-DU192</f>
      </c>
      <c r="DW197" s="462"/>
      <c r="DX197" s="447">
        <f>DX192-DV192</f>
      </c>
      <c r="DY197" s="458">
        <f>DY192-DX192</f>
      </c>
      <c r="DZ197" s="458">
        <f>DZ192-DY192</f>
      </c>
      <c r="EA197" s="458">
        <f>EA192-DZ192</f>
      </c>
      <c r="EB197" s="462"/>
      <c r="EC197" s="447">
        <f>EC192-EA192</f>
      </c>
      <c r="ED197" s="458">
        <f>ED192-EC192</f>
      </c>
      <c r="EE197" s="458">
        <f>EE192-ED192</f>
      </c>
      <c r="EF197" s="458">
        <f>EF192-EE192</f>
      </c>
      <c r="EG197" s="462"/>
      <c r="EH197" s="447">
        <f>EH192-EF192</f>
      </c>
      <c r="EI197" s="458">
        <f>EI192-EH192</f>
      </c>
      <c r="EJ197" s="458">
        <f>EJ192-EI192</f>
      </c>
      <c r="EK197" s="458">
        <f>EK192-EJ192</f>
      </c>
      <c r="EL197" s="462"/>
      <c r="EM197" s="447">
        <f>EM192-EK192</f>
      </c>
      <c r="EN197" s="458">
        <f>EN192-EM192</f>
      </c>
      <c r="EO197" s="458">
        <f>EO192-EN192</f>
      </c>
      <c r="EP197" s="458">
        <f>EP192-EO192</f>
      </c>
      <c r="EQ197" s="462"/>
      <c r="ER197" s="447">
        <f>ER192-EP192</f>
      </c>
      <c r="ES197" s="458">
        <f>ES192-ER192</f>
      </c>
      <c r="ET197" s="458">
        <f>ET192-ES192</f>
      </c>
      <c r="EU197" s="458">
        <f>EU192-ET192</f>
      </c>
      <c r="EV197" s="462"/>
      <c r="EW197" s="447"/>
      <c r="EX197" s="458"/>
      <c r="EY197" s="458"/>
      <c r="EZ197" s="458"/>
      <c r="FA197" s="462"/>
      <c r="FB197" s="447"/>
      <c r="FC197" s="458"/>
      <c r="FD197" s="458"/>
      <c r="FE197" s="458"/>
      <c r="FF197" s="462"/>
      <c r="FG197" s="447"/>
      <c r="FH197" s="458"/>
      <c r="FI197" s="458"/>
      <c r="FJ197" s="458"/>
      <c r="FK197" s="462"/>
      <c r="FL197" s="447"/>
      <c r="FM197" s="458"/>
      <c r="FN197" s="458"/>
      <c r="FO197" s="458"/>
      <c r="FP197" s="462"/>
      <c r="FQ197" s="447"/>
      <c r="FR197" s="458"/>
      <c r="FS197" s="458"/>
      <c r="FT197" s="458"/>
      <c r="FU197" s="462"/>
      <c r="FV197" s="447"/>
      <c r="FW197" s="458"/>
      <c r="FX197" s="458"/>
      <c r="FY197" s="458"/>
      <c r="FZ197" s="462"/>
      <c r="GA197" s="447"/>
      <c r="GB197" s="458"/>
      <c r="GC197" s="458"/>
      <c r="GD197" s="458"/>
      <c r="GE197" s="462"/>
      <c r="GF197" s="447"/>
      <c r="GG197" s="458"/>
      <c r="GH197" s="458"/>
      <c r="GI197" s="458"/>
      <c r="GJ197" s="497"/>
    </row>
    <row r="198" spans="1:192" ht="12.75" hidden="1" customHeight="1" outlineLevel="1">
      <c r="B198" s="735" t="s">
        <v>213</v>
      </c>
      <c r="C198" s="291"/>
      <c r="D198" s="107"/>
      <c r="E198" s="107"/>
      <c r="F198" s="107"/>
      <c r="G198" s="293"/>
      <c r="H198" s="291"/>
      <c r="I198" s="107"/>
      <c r="J198" s="107"/>
      <c r="K198" s="107"/>
      <c r="L198" s="293"/>
      <c r="M198" s="291"/>
      <c r="N198" s="107"/>
      <c r="O198" s="107"/>
      <c r="P198" s="107"/>
      <c r="Q198" s="293"/>
      <c r="R198" s="291"/>
      <c r="S198" s="107"/>
      <c r="T198" s="107"/>
      <c r="U198" s="107"/>
      <c r="V198" s="293"/>
      <c r="W198" s="291"/>
      <c r="X198" s="107"/>
      <c r="Y198" s="107"/>
      <c r="Z198" s="107"/>
      <c r="AA198" s="293"/>
      <c r="AB198" s="291"/>
      <c r="AC198" s="107"/>
      <c r="AD198" s="107"/>
      <c r="AE198" s="107"/>
      <c r="AF198" s="293"/>
      <c r="AG198" s="291"/>
      <c r="AH198" s="107"/>
      <c r="AI198" s="107"/>
      <c r="AJ198" s="107"/>
      <c r="AK198" s="293"/>
      <c r="AL198" s="291"/>
      <c r="AM198" s="107"/>
      <c r="AN198" s="107"/>
      <c r="AO198" s="107"/>
      <c r="AP198" s="293"/>
      <c r="AQ198" s="291"/>
      <c r="AR198" s="107"/>
      <c r="AS198" s="107"/>
      <c r="AT198" s="107"/>
      <c r="AU198" s="293"/>
      <c r="AV198" s="291"/>
      <c r="AW198" s="107"/>
      <c r="AX198" s="107"/>
      <c r="AY198" s="107"/>
      <c r="AZ198" s="293"/>
      <c r="BA198" s="291"/>
      <c r="BB198" s="107"/>
      <c r="BC198" s="107"/>
      <c r="BD198" s="107"/>
      <c r="BE198" s="293"/>
      <c r="BF198" s="291"/>
      <c r="BG198" s="107"/>
      <c r="BH198" s="107"/>
      <c r="BI198" s="107"/>
      <c r="BJ198" s="293"/>
      <c r="BK198" s="291"/>
      <c r="BL198" s="107"/>
      <c r="BM198" s="107"/>
      <c r="BN198" s="107"/>
      <c r="BO198" s="293"/>
      <c r="BP198" s="291"/>
      <c r="BQ198" s="107"/>
      <c r="BR198" s="107"/>
      <c r="BS198" s="107"/>
      <c r="BT198" s="293"/>
      <c r="BU198" s="291"/>
      <c r="BV198" s="107"/>
      <c r="BW198" s="107"/>
      <c r="BX198" s="107"/>
      <c r="BY198" s="293"/>
      <c r="BZ198" s="291"/>
      <c r="CA198" s="107"/>
      <c r="CB198" s="107"/>
      <c r="CC198" s="107"/>
      <c r="CD198" s="293"/>
      <c r="CE198" s="291"/>
      <c r="CF198" s="107"/>
      <c r="CG198" s="107"/>
      <c r="CH198" s="107"/>
      <c r="CI198" s="293"/>
      <c r="CJ198" s="291"/>
      <c r="CK198" s="107"/>
      <c r="CL198" s="107"/>
      <c r="CM198" s="107"/>
      <c r="CN198" s="293"/>
      <c r="CO198" s="291"/>
      <c r="CP198" s="107"/>
      <c r="CQ198" s="107"/>
      <c r="CR198" s="107"/>
      <c r="CS198" s="293"/>
      <c r="CT198" s="291"/>
      <c r="CU198" s="107"/>
      <c r="CV198" s="107"/>
      <c r="CW198" s="107"/>
      <c r="CX198" s="293"/>
      <c r="CY198" s="291"/>
      <c r="CZ198" s="107"/>
      <c r="DA198" s="107"/>
      <c r="DB198" s="107"/>
      <c r="DC198" s="293"/>
      <c r="DD198" s="291"/>
      <c r="DE198" s="107"/>
      <c r="DF198" s="107"/>
      <c r="DG198" s="107"/>
      <c r="DH198" s="293"/>
      <c r="DI198" s="291"/>
      <c r="DJ198" s="107"/>
      <c r="DK198" s="107"/>
      <c r="DL198" s="107"/>
      <c r="DM198" s="293">
        <f t="shared" ref="DM198:ER198" si="163">DM192/DM50</f>
      </c>
      <c r="DN198" s="291">
        <f t="shared" si="163"/>
      </c>
      <c r="DO198" s="107">
        <f t="shared" si="163"/>
      </c>
      <c r="DP198" s="107">
        <f t="shared" si="163"/>
      </c>
      <c r="DQ198" s="107">
        <f t="shared" si="163"/>
      </c>
      <c r="DR198" s="293">
        <f t="shared" si="163"/>
      </c>
      <c r="DS198" s="291">
        <f t="shared" si="163"/>
      </c>
      <c r="DT198" s="468">
        <f t="shared" si="163"/>
      </c>
      <c r="DU198" s="107">
        <f t="shared" si="163"/>
      </c>
      <c r="DV198" s="107">
        <f t="shared" si="163"/>
      </c>
      <c r="DW198" s="293">
        <f t="shared" si="163"/>
      </c>
      <c r="DX198" s="291">
        <f t="shared" si="163"/>
      </c>
      <c r="DY198" s="107">
        <f t="shared" si="163"/>
      </c>
      <c r="DZ198" s="107">
        <f t="shared" si="163"/>
      </c>
      <c r="EA198" s="107">
        <f t="shared" si="163"/>
      </c>
      <c r="EB198" s="293">
        <f t="shared" si="163"/>
      </c>
      <c r="EC198" s="291">
        <f t="shared" si="163"/>
      </c>
      <c r="ED198" s="107">
        <f t="shared" si="163"/>
      </c>
      <c r="EE198" s="107">
        <f t="shared" si="163"/>
      </c>
      <c r="EF198" s="107">
        <f t="shared" si="163"/>
      </c>
      <c r="EG198" s="293">
        <f t="shared" si="163"/>
      </c>
      <c r="EH198" s="291">
        <f t="shared" si="163"/>
      </c>
      <c r="EI198" s="107">
        <f t="shared" si="163"/>
      </c>
      <c r="EJ198" s="107">
        <f t="shared" si="163"/>
      </c>
      <c r="EK198" s="107">
        <f t="shared" si="163"/>
      </c>
      <c r="EL198" s="293">
        <f t="shared" si="163"/>
      </c>
      <c r="EM198" s="291">
        <f t="shared" si="163"/>
      </c>
      <c r="EN198" s="107">
        <f t="shared" si="163"/>
      </c>
      <c r="EO198" s="107">
        <f t="shared" si="163"/>
      </c>
      <c r="EP198" s="107">
        <f t="shared" si="163"/>
      </c>
      <c r="EQ198" s="293">
        <f t="shared" si="163"/>
      </c>
      <c r="ER198" s="291">
        <f t="shared" si="163"/>
      </c>
      <c r="ES198" s="107">
        <f t="shared" ref="ES198:EV198" si="164">ES192/ES50</f>
      </c>
      <c r="ET198" s="107">
        <f t="shared" si="164"/>
      </c>
      <c r="EU198" s="107">
        <f t="shared" si="164"/>
      </c>
      <c r="EV198" s="293">
        <f t="shared" si="164"/>
      </c>
      <c r="EW198" s="291"/>
      <c r="EX198" s="107"/>
      <c r="EY198" s="107"/>
      <c r="EZ198" s="107"/>
      <c r="FA198" s="293"/>
      <c r="FB198" s="291"/>
      <c r="FC198" s="107"/>
      <c r="FD198" s="107"/>
      <c r="FE198" s="107"/>
      <c r="FF198" s="293"/>
      <c r="FG198" s="291"/>
      <c r="FH198" s="107"/>
      <c r="FI198" s="107"/>
      <c r="FJ198" s="107"/>
      <c r="FK198" s="293"/>
      <c r="FL198" s="291"/>
      <c r="FM198" s="107"/>
      <c r="FN198" s="107"/>
      <c r="FO198" s="107"/>
      <c r="FP198" s="293"/>
      <c r="FQ198" s="291"/>
      <c r="FR198" s="107"/>
      <c r="FS198" s="107"/>
      <c r="FT198" s="107"/>
      <c r="FU198" s="293"/>
      <c r="FV198" s="291"/>
      <c r="FW198" s="107"/>
      <c r="FX198" s="107"/>
      <c r="FY198" s="107"/>
      <c r="FZ198" s="293"/>
      <c r="GA198" s="291"/>
      <c r="GB198" s="107"/>
      <c r="GC198" s="107"/>
      <c r="GD198" s="107"/>
      <c r="GE198" s="293"/>
      <c r="GF198" s="291"/>
      <c r="GG198" s="107"/>
      <c r="GH198" s="107"/>
      <c r="GI198" s="107"/>
      <c r="GJ198" s="382"/>
    </row>
    <row r="199" spans="1:192" ht="12.75" customHeight="1" collapsed="1">
      <c r="B199" s="735"/>
      <c r="C199" s="291"/>
      <c r="D199" s="107"/>
      <c r="E199" s="107"/>
      <c r="F199" s="107"/>
      <c r="G199" s="293"/>
      <c r="H199" s="291"/>
      <c r="I199" s="107"/>
      <c r="J199" s="107"/>
      <c r="K199" s="107"/>
      <c r="L199" s="293"/>
      <c r="M199" s="291"/>
      <c r="N199" s="107"/>
      <c r="O199" s="107"/>
      <c r="P199" s="107"/>
      <c r="Q199" s="293"/>
      <c r="R199" s="291"/>
      <c r="S199" s="107"/>
      <c r="T199" s="107"/>
      <c r="U199" s="107"/>
      <c r="V199" s="293"/>
      <c r="W199" s="291"/>
      <c r="X199" s="107"/>
      <c r="Y199" s="107"/>
      <c r="Z199" s="107"/>
      <c r="AA199" s="293"/>
      <c r="AB199" s="291"/>
      <c r="AC199" s="107"/>
      <c r="AD199" s="107"/>
      <c r="AE199" s="107"/>
      <c r="AF199" s="293"/>
      <c r="AG199" s="291"/>
      <c r="AH199" s="107"/>
      <c r="AI199" s="107"/>
      <c r="AJ199" s="107"/>
      <c r="AK199" s="293"/>
      <c r="AL199" s="291"/>
      <c r="AM199" s="107"/>
      <c r="AN199" s="107"/>
      <c r="AO199" s="107"/>
      <c r="AP199" s="293"/>
      <c r="AQ199" s="291"/>
      <c r="AR199" s="107"/>
      <c r="AS199" s="107"/>
      <c r="AT199" s="107"/>
      <c r="AU199" s="293"/>
      <c r="AV199" s="291"/>
      <c r="AW199" s="107"/>
      <c r="AX199" s="107"/>
      <c r="AY199" s="107"/>
      <c r="AZ199" s="293"/>
      <c r="BA199" s="291"/>
      <c r="BB199" s="107"/>
      <c r="BC199" s="107"/>
      <c r="BD199" s="107"/>
      <c r="BE199" s="293"/>
      <c r="BF199" s="291"/>
      <c r="BG199" s="107"/>
      <c r="BH199" s="107"/>
      <c r="BI199" s="107"/>
      <c r="BJ199" s="293"/>
      <c r="BK199" s="291"/>
      <c r="BL199" s="107"/>
      <c r="BM199" s="107"/>
      <c r="BN199" s="107"/>
      <c r="BO199" s="293"/>
      <c r="BP199" s="291"/>
      <c r="BQ199" s="107"/>
      <c r="BR199" s="107"/>
      <c r="BS199" s="107"/>
      <c r="BT199" s="293"/>
      <c r="BU199" s="291"/>
      <c r="BV199" s="107"/>
      <c r="BW199" s="107"/>
      <c r="BX199" s="107"/>
      <c r="BY199" s="293"/>
      <c r="BZ199" s="291"/>
      <c r="CA199" s="107"/>
      <c r="CB199" s="107"/>
      <c r="CC199" s="107"/>
      <c r="CD199" s="293"/>
      <c r="CE199" s="291"/>
      <c r="CF199" s="107"/>
      <c r="CG199" s="107"/>
      <c r="CH199" s="107"/>
      <c r="CI199" s="293"/>
      <c r="CJ199" s="291"/>
      <c r="CK199" s="107"/>
      <c r="CL199" s="107"/>
      <c r="CM199" s="107"/>
      <c r="CN199" s="293"/>
      <c r="CO199" s="291"/>
      <c r="CP199" s="107"/>
      <c r="CQ199" s="107"/>
      <c r="CR199" s="107"/>
      <c r="CS199" s="293"/>
      <c r="CT199" s="291"/>
      <c r="CU199" s="107"/>
      <c r="CV199" s="107"/>
      <c r="CW199" s="107"/>
      <c r="CX199" s="293"/>
      <c r="CY199" s="291"/>
      <c r="CZ199" s="107"/>
      <c r="DA199" s="107"/>
      <c r="DB199" s="107"/>
      <c r="DC199" s="293"/>
      <c r="DD199" s="291"/>
      <c r="DE199" s="107"/>
      <c r="DF199" s="107"/>
      <c r="DG199" s="107"/>
      <c r="DH199" s="293"/>
      <c r="DI199" s="291"/>
      <c r="DJ199" s="107"/>
      <c r="DK199" s="107"/>
      <c r="DL199" s="107"/>
      <c r="DM199" s="293"/>
      <c r="DN199" s="291"/>
      <c r="DO199" s="107"/>
      <c r="DP199" s="107"/>
      <c r="DQ199" s="107"/>
      <c r="DR199" s="293"/>
      <c r="DS199" s="291"/>
      <c r="DT199" s="468"/>
      <c r="DU199" s="107"/>
      <c r="DV199" s="107"/>
      <c r="DW199" s="293"/>
      <c r="DX199" s="291"/>
      <c r="DY199" s="107"/>
      <c r="DZ199" s="107"/>
      <c r="EA199" s="107"/>
      <c r="EB199" s="293"/>
      <c r="EC199" s="291"/>
      <c r="ED199" s="107"/>
      <c r="EE199" s="107"/>
      <c r="EF199" s="107"/>
      <c r="EG199" s="293"/>
      <c r="EH199" s="291"/>
      <c r="EI199" s="107"/>
      <c r="EJ199" s="107"/>
      <c r="EK199" s="107"/>
      <c r="EL199" s="293"/>
      <c r="EM199" s="291"/>
      <c r="EN199" s="107"/>
      <c r="EO199" s="107"/>
      <c r="EP199" s="107"/>
      <c r="EQ199" s="293"/>
      <c r="ER199" s="291"/>
      <c r="ES199" s="107"/>
      <c r="ET199" s="107"/>
      <c r="EU199" s="107"/>
      <c r="EV199" s="293"/>
      <c r="EW199" s="291"/>
      <c r="EX199" s="107"/>
      <c r="EY199" s="107"/>
      <c r="EZ199" s="107"/>
      <c r="FA199" s="293"/>
      <c r="FB199" s="505"/>
      <c r="FC199" s="107"/>
      <c r="FD199" s="107"/>
      <c r="FE199" s="107"/>
      <c r="FF199" s="293"/>
      <c r="FG199" s="291"/>
      <c r="FH199" s="107"/>
      <c r="FI199" s="107"/>
      <c r="FJ199" s="107"/>
      <c r="FK199" s="293"/>
      <c r="FL199" s="291"/>
      <c r="FM199" s="107"/>
      <c r="FN199" s="107"/>
      <c r="FO199" s="107"/>
      <c r="FP199" s="293"/>
      <c r="FQ199" s="291"/>
      <c r="FR199" s="107"/>
      <c r="FS199" s="107"/>
      <c r="FT199" s="107"/>
      <c r="FU199" s="293"/>
      <c r="FV199" s="291"/>
      <c r="FW199" s="107"/>
      <c r="FX199" s="107"/>
      <c r="FY199" s="107"/>
      <c r="FZ199" s="293"/>
      <c r="GA199" s="291"/>
      <c r="GB199" s="107"/>
      <c r="GC199" s="107"/>
      <c r="GD199" s="107"/>
      <c r="GE199" s="293"/>
      <c r="GF199" s="291"/>
      <c r="GG199" s="107"/>
      <c r="GH199" s="107"/>
      <c r="GI199" s="107"/>
      <c r="GJ199" s="382"/>
    </row>
    <row r="200" spans="1:192" ht="12.75" customHeight="1">
      <c r="B200" s="732" t="s">
        <v>1946</v>
      </c>
      <c r="C200" s="294"/>
      <c r="D200" s="295"/>
      <c r="E200" s="295"/>
      <c r="F200" s="295"/>
      <c r="G200" s="296"/>
      <c r="H200" s="294"/>
      <c r="I200" s="295"/>
      <c r="J200" s="295"/>
      <c r="K200" s="295"/>
      <c r="L200" s="296"/>
      <c r="M200" s="294"/>
      <c r="N200" s="295"/>
      <c r="O200" s="295"/>
      <c r="P200" s="295"/>
      <c r="Q200" s="296"/>
      <c r="R200" s="294"/>
      <c r="S200" s="295"/>
      <c r="T200" s="295"/>
      <c r="U200" s="295"/>
      <c r="V200" s="296"/>
      <c r="W200" s="294"/>
      <c r="X200" s="295"/>
      <c r="Y200" s="295"/>
      <c r="Z200" s="295"/>
      <c r="AA200" s="296"/>
      <c r="AB200" s="294"/>
      <c r="AC200" s="295"/>
      <c r="AD200" s="295"/>
      <c r="AE200" s="295"/>
      <c r="AF200" s="296"/>
      <c r="AG200" s="294"/>
      <c r="AH200" s="295"/>
      <c r="AI200" s="295"/>
      <c r="AJ200" s="295"/>
      <c r="AK200" s="296"/>
      <c r="AL200" s="294"/>
      <c r="AM200" s="295"/>
      <c r="AN200" s="295"/>
      <c r="AO200" s="295"/>
      <c r="AP200" s="296"/>
      <c r="AQ200" s="294"/>
      <c r="AR200" s="295"/>
      <c r="AS200" s="295"/>
      <c r="AT200" s="295"/>
      <c r="AU200" s="296"/>
      <c r="AV200" s="294"/>
      <c r="AW200" s="295"/>
      <c r="AX200" s="295"/>
      <c r="AY200" s="295"/>
      <c r="AZ200" s="296"/>
      <c r="BA200" s="294"/>
      <c r="BB200" s="295"/>
      <c r="BC200" s="295"/>
      <c r="BD200" s="295"/>
      <c r="BE200" s="296"/>
      <c r="BF200" s="294"/>
      <c r="BG200" s="295"/>
      <c r="BH200" s="295"/>
      <c r="BI200" s="295"/>
      <c r="BJ200" s="296"/>
      <c r="BK200" s="294"/>
      <c r="BL200" s="295"/>
      <c r="BM200" s="295"/>
      <c r="BN200" s="295"/>
      <c r="BO200" s="296"/>
      <c r="BP200" s="294"/>
      <c r="BQ200" s="295"/>
      <c r="BR200" s="295"/>
      <c r="BS200" s="295"/>
      <c r="BT200" s="296"/>
      <c r="BU200" s="294"/>
      <c r="BV200" s="295"/>
      <c r="BW200" s="295"/>
      <c r="BX200" s="295"/>
      <c r="BY200" s="296"/>
      <c r="BZ200" s="294"/>
      <c r="CA200" s="295"/>
      <c r="CB200" s="295"/>
      <c r="CC200" s="295"/>
      <c r="CD200" s="296"/>
      <c r="CE200" s="294"/>
      <c r="CF200" s="295"/>
      <c r="CG200" s="295"/>
      <c r="CH200" s="295"/>
      <c r="CI200" s="296"/>
      <c r="CJ200" s="294"/>
      <c r="CK200" s="295"/>
      <c r="CL200" s="295"/>
      <c r="CM200" s="295"/>
      <c r="CN200" s="296"/>
      <c r="CO200" s="294"/>
      <c r="CP200" s="295"/>
      <c r="CQ200" s="295"/>
      <c r="CR200" s="295"/>
      <c r="CS200" s="296"/>
      <c r="CT200" s="294"/>
      <c r="CU200" s="295"/>
      <c r="CV200" s="295"/>
      <c r="CW200" s="295"/>
      <c r="CX200" s="296"/>
      <c r="CY200" s="294"/>
      <c r="CZ200" s="295"/>
      <c r="DA200" s="295"/>
      <c r="DB200" s="295"/>
      <c r="DC200" s="296"/>
      <c r="DD200" s="294"/>
      <c r="DE200" s="295"/>
      <c r="DF200" s="295"/>
      <c r="DG200" s="295"/>
      <c r="DH200" s="296"/>
      <c r="DI200" s="294"/>
      <c r="DJ200" s="295"/>
      <c r="DK200" s="295"/>
      <c r="DL200" s="295"/>
      <c r="DM200" s="296"/>
      <c r="DN200" s="294"/>
      <c r="DO200" s="295"/>
      <c r="DP200" s="295"/>
      <c r="DQ200" s="295"/>
      <c r="DR200" s="296"/>
      <c r="DS200" s="294"/>
      <c r="DT200" s="295"/>
      <c r="DU200" s="295"/>
      <c r="DV200" s="295"/>
      <c r="DW200" s="296"/>
      <c r="DX200" s="294"/>
      <c r="DY200" s="295"/>
      <c r="DZ200" s="295"/>
      <c r="EA200" s="295"/>
      <c r="EB200" s="296"/>
      <c r="EC200" s="294"/>
      <c r="ED200" s="469"/>
      <c r="EE200" s="469"/>
      <c r="EF200" s="469"/>
      <c r="EG200" s="296"/>
      <c r="EH200" s="294"/>
      <c r="EI200" s="295"/>
      <c r="EJ200" s="295"/>
      <c r="EK200" s="295"/>
      <c r="EL200" s="296"/>
      <c r="EM200" s="294"/>
      <c r="EN200" s="295"/>
      <c r="EO200" s="295"/>
      <c r="EP200" s="295"/>
      <c r="EQ200" s="296"/>
      <c r="ER200" s="294"/>
      <c r="ES200" s="295"/>
      <c r="ET200" s="295"/>
      <c r="EU200" s="295"/>
      <c r="EV200" s="296"/>
      <c r="EW200" s="294"/>
      <c r="EX200" s="295"/>
      <c r="EY200" s="295"/>
      <c r="EZ200" s="295"/>
      <c r="FA200" s="296"/>
      <c r="FB200" s="294"/>
      <c r="FC200" s="295"/>
      <c r="FD200" s="295"/>
      <c r="FE200" s="295"/>
      <c r="FF200" s="296"/>
      <c r="FG200" s="294"/>
      <c r="FH200" s="295"/>
      <c r="FI200" s="295"/>
      <c r="FJ200" s="295"/>
      <c r="FK200" s="296"/>
      <c r="FL200" s="294"/>
      <c r="FM200" s="295"/>
      <c r="FN200" s="295"/>
      <c r="FO200" s="295"/>
      <c r="FP200" s="296"/>
      <c r="FQ200" s="294"/>
      <c r="FR200" s="295"/>
      <c r="FS200" s="295"/>
      <c r="FT200" s="295"/>
      <c r="FU200" s="296"/>
      <c r="FV200" s="294"/>
      <c r="FW200" s="295"/>
      <c r="FX200" s="295"/>
      <c r="FY200" s="295"/>
      <c r="FZ200" s="296"/>
      <c r="GA200" s="294"/>
      <c r="GB200" s="295"/>
      <c r="GC200" s="295"/>
      <c r="GD200" s="295"/>
      <c r="GE200" s="296"/>
      <c r="GF200" s="294"/>
      <c r="GG200" s="295"/>
      <c r="GH200" s="295"/>
      <c r="GI200" s="295"/>
      <c r="GJ200" s="383"/>
    </row>
    <row r="201" spans="1:192" s="461" customFormat="1" ht="12.75" hidden="1" customHeight="1" outlineLevel="1">
      <c r="A201" s="1643"/>
      <c r="B201" s="734" t="s">
        <v>387</v>
      </c>
      <c r="C201" s="443"/>
      <c r="D201" s="471"/>
      <c r="E201" s="471"/>
      <c r="F201" s="471"/>
      <c r="G201" s="516"/>
      <c r="H201" s="443"/>
      <c r="I201" s="471"/>
      <c r="J201" s="471"/>
      <c r="K201" s="471"/>
      <c r="L201" s="516"/>
      <c r="M201" s="443"/>
      <c r="N201" s="471"/>
      <c r="O201" s="471"/>
      <c r="P201" s="471"/>
      <c r="Q201" s="516"/>
      <c r="R201" s="443"/>
      <c r="S201" s="471"/>
      <c r="T201" s="471"/>
      <c r="U201" s="471"/>
      <c r="V201" s="516"/>
      <c r="W201" s="443"/>
      <c r="X201" s="471"/>
      <c r="Y201" s="471"/>
      <c r="Z201" s="471"/>
      <c r="AA201" s="516"/>
      <c r="AB201" s="443"/>
      <c r="AC201" s="471"/>
      <c r="AD201" s="471"/>
      <c r="AE201" s="471"/>
      <c r="AF201" s="516"/>
      <c r="AG201" s="443"/>
      <c r="AH201" s="471"/>
      <c r="AI201" s="471"/>
      <c r="AJ201" s="471"/>
      <c r="AK201" s="516"/>
      <c r="AL201" s="443"/>
      <c r="AM201" s="471"/>
      <c r="AN201" s="471"/>
      <c r="AO201" s="471"/>
      <c r="AP201" s="516"/>
      <c r="AQ201" s="443"/>
      <c r="AR201" s="471"/>
      <c r="AS201" s="471"/>
      <c r="AT201" s="471"/>
      <c r="AU201" s="516"/>
      <c r="AV201" s="443"/>
      <c r="AW201" s="471"/>
      <c r="AX201" s="471"/>
      <c r="AY201" s="471"/>
      <c r="AZ201" s="516"/>
      <c r="BA201" s="443"/>
      <c r="BB201" s="471"/>
      <c r="BC201" s="471"/>
      <c r="BD201" s="471"/>
      <c r="BE201" s="516"/>
      <c r="BF201" s="443"/>
      <c r="BG201" s="471"/>
      <c r="BH201" s="471"/>
      <c r="BI201" s="471"/>
      <c r="BJ201" s="516"/>
      <c r="BK201" s="443"/>
      <c r="BL201" s="471"/>
      <c r="BM201" s="471"/>
      <c r="BN201" s="471"/>
      <c r="BO201" s="516"/>
      <c r="BP201" s="443"/>
      <c r="BQ201" s="471"/>
      <c r="BR201" s="471"/>
      <c r="BS201" s="471"/>
      <c r="BT201" s="516"/>
      <c r="BU201" s="443"/>
      <c r="BV201" s="471"/>
      <c r="BW201" s="471"/>
      <c r="BX201" s="471"/>
      <c r="BY201" s="516"/>
      <c r="BZ201" s="443"/>
      <c r="CA201" s="471"/>
      <c r="CB201" s="471"/>
      <c r="CC201" s="471"/>
      <c r="CD201" s="516"/>
      <c r="CE201" s="443"/>
      <c r="CF201" s="471"/>
      <c r="CG201" s="471"/>
      <c r="CH201" s="471"/>
      <c r="CI201" s="516"/>
      <c r="CJ201" s="443"/>
      <c r="CK201" s="471"/>
      <c r="CL201" s="471"/>
      <c r="CM201" s="471"/>
      <c r="CN201" s="516"/>
      <c r="CO201" s="471">
        <f>CT201/(1+CT202)</f>
      </c>
      <c r="CP201" s="471">
        <f>CU201/(1+CU202)</f>
      </c>
      <c r="CQ201" s="471">
        <f>CV201/(1+CV202)</f>
      </c>
      <c r="CR201" s="471">
        <f>CW201/(1+CW202)</f>
      </c>
      <c r="CS201" s="516">
        <f>SUM(CO201:CR201)</f>
      </c>
      <c r="CT201" s="471">
        <f>CY201/(1+CY202)</f>
      </c>
      <c r="CU201" s="471">
        <f>CZ201/(1+CZ202)</f>
      </c>
      <c r="CV201" s="471">
        <f>DA201/(1+DA202)</f>
      </c>
      <c r="CW201" s="471">
        <f>DB201/(1+DB202)</f>
      </c>
      <c r="CX201" s="516">
        <f>SUM(CT201:CW201)</f>
      </c>
      <c r="CY201" s="471">
        <f>DD201/(1+DD202)</f>
      </c>
      <c r="CZ201" s="471">
        <f>DE201/(1+DE202)</f>
      </c>
      <c r="DA201" s="471">
        <f>DF201/(1+DF202)</f>
      </c>
      <c r="DB201" s="471">
        <f>DG201/(1+DG202)</f>
      </c>
      <c r="DC201" s="516">
        <f>SUM(CY201:DB201)</f>
      </c>
      <c r="DD201" s="471">
        <f>DI201/(1+DI202)</f>
      </c>
      <c r="DE201" s="471">
        <f>DJ201/(1+DJ202)</f>
      </c>
      <c r="DF201" s="471">
        <f>DK201/(1+DK202)</f>
      </c>
      <c r="DG201" s="471">
        <f>DL201/(1+DL202)</f>
      </c>
      <c r="DH201" s="516">
        <f>SUM(DD201:DG201)</f>
      </c>
      <c r="DI201" s="471">
        <f>DN201/(1+DN202)</f>
      </c>
      <c r="DJ201" s="471">
        <f>DO201/(1+DO202)</f>
      </c>
      <c r="DK201" s="471">
        <f>DP201/(1+DP202)</f>
      </c>
      <c r="DL201" s="471">
        <f>DQ201/(1+DQ202)</f>
      </c>
      <c r="DM201" s="516">
        <f>SUM(DI201:DL201)</f>
      </c>
      <c r="DN201" s="471">
        <f>DS201/(1+DS202)</f>
      </c>
      <c r="DO201" s="471">
        <f>DT201/(1+DT202)</f>
      </c>
      <c r="DP201" s="471">
        <f>DP206*DP$159</f>
      </c>
      <c r="DQ201" s="471">
        <f>DQ206*DQ$159</f>
      </c>
      <c r="DR201" s="516">
        <f>SUM(DN201:DQ201)</f>
      </c>
      <c r="DS201" s="471">
        <f>DS206*DS$159</f>
      </c>
      <c r="DT201" s="471">
        <f>DY201/(1+DY202)</f>
      </c>
      <c r="DU201" s="471">
        <f>DP201*(1+DU202)</f>
      </c>
      <c r="DV201" s="471">
        <f>DQ201*(1+DV202)</f>
      </c>
      <c r="DW201" s="516">
        <f>SUM(DS201:DV201)</f>
      </c>
      <c r="DX201" s="471">
        <f>DS201*(1+DX202)</f>
      </c>
      <c r="DY201" s="471">
        <f>DY206*DY159</f>
      </c>
      <c r="DZ201" s="471">
        <f>DU201*(1+DZ202)</f>
      </c>
      <c r="EA201" s="471">
        <f>DV201*(1+EA202)</f>
      </c>
      <c r="EB201" s="516">
        <f>SUM(DX201:EA201)</f>
      </c>
      <c r="EC201" s="471">
        <f>DX201*(1+EC202)</f>
      </c>
      <c r="ED201" s="471">
        <f>DY201*(1+ED202)</f>
      </c>
      <c r="EE201" s="471">
        <f>DZ201*(1+EE202)</f>
      </c>
      <c r="EF201" s="471">
        <f>EA201*(1+EF202)</f>
      </c>
      <c r="EG201" s="516">
        <f>SUM(EC201:EF201)</f>
      </c>
      <c r="EH201" s="443"/>
      <c r="EI201" s="471"/>
      <c r="EJ201" s="471"/>
      <c r="EK201" s="471"/>
      <c r="EL201" s="516"/>
      <c r="EM201" s="443"/>
      <c r="EN201" s="471"/>
      <c r="EO201" s="471"/>
      <c r="EP201" s="471"/>
      <c r="EQ201" s="516"/>
      <c r="ER201" s="443"/>
      <c r="ES201" s="471"/>
      <c r="ET201" s="471"/>
      <c r="EU201" s="471"/>
      <c r="EV201" s="516"/>
      <c r="EW201" s="443"/>
      <c r="EX201" s="471"/>
      <c r="EY201" s="471"/>
      <c r="EZ201" s="471"/>
      <c r="FA201" s="516"/>
      <c r="FB201" s="443"/>
      <c r="FC201" s="471"/>
      <c r="FD201" s="471"/>
      <c r="FE201" s="471"/>
      <c r="FF201" s="516"/>
      <c r="FG201" s="443"/>
      <c r="FH201" s="471"/>
      <c r="FI201" s="471"/>
      <c r="FJ201" s="471"/>
      <c r="FK201" s="516"/>
      <c r="FL201" s="443"/>
      <c r="FM201" s="471"/>
      <c r="FN201" s="471"/>
      <c r="FO201" s="471"/>
      <c r="FP201" s="516"/>
      <c r="FQ201" s="443"/>
      <c r="FR201" s="471"/>
      <c r="FS201" s="471"/>
      <c r="FT201" s="471"/>
      <c r="FU201" s="516"/>
      <c r="FV201" s="443"/>
      <c r="FW201" s="471"/>
      <c r="FX201" s="471"/>
      <c r="FY201" s="471"/>
      <c r="FZ201" s="516"/>
      <c r="GA201" s="443"/>
      <c r="GB201" s="471"/>
      <c r="GC201" s="471"/>
      <c r="GD201" s="471"/>
      <c r="GE201" s="516"/>
      <c r="GF201" s="443"/>
      <c r="GG201" s="471"/>
      <c r="GH201" s="471"/>
      <c r="GI201" s="471"/>
      <c r="GJ201" s="808"/>
    </row>
    <row r="202" spans="1:192" ht="12.75" hidden="1" customHeight="1" outlineLevel="1">
      <c r="B202" s="735" t="s">
        <v>34</v>
      </c>
      <c r="C202" s="291"/>
      <c r="D202" s="107"/>
      <c r="E202" s="107"/>
      <c r="F202" s="107"/>
      <c r="G202" s="293"/>
      <c r="H202" s="291"/>
      <c r="I202" s="107"/>
      <c r="J202" s="107"/>
      <c r="K202" s="107"/>
      <c r="L202" s="293"/>
      <c r="M202" s="291"/>
      <c r="N202" s="107"/>
      <c r="O202" s="107"/>
      <c r="P202" s="107"/>
      <c r="Q202" s="293"/>
      <c r="R202" s="291"/>
      <c r="S202" s="107"/>
      <c r="T202" s="107"/>
      <c r="U202" s="107"/>
      <c r="V202" s="293"/>
      <c r="W202" s="291"/>
      <c r="X202" s="107"/>
      <c r="Y202" s="107"/>
      <c r="Z202" s="107"/>
      <c r="AA202" s="293"/>
      <c r="AB202" s="291"/>
      <c r="AC202" s="107"/>
      <c r="AD202" s="107"/>
      <c r="AE202" s="107"/>
      <c r="AF202" s="293"/>
      <c r="AG202" s="291"/>
      <c r="AH202" s="107"/>
      <c r="AI202" s="107"/>
      <c r="AJ202" s="107"/>
      <c r="AK202" s="293"/>
      <c r="AL202" s="291"/>
      <c r="AM202" s="107"/>
      <c r="AN202" s="107"/>
      <c r="AO202" s="107"/>
      <c r="AP202" s="293"/>
      <c r="AQ202" s="291"/>
      <c r="AR202" s="107"/>
      <c r="AS202" s="107"/>
      <c r="AT202" s="107"/>
      <c r="AU202" s="293"/>
      <c r="AV202" s="291"/>
      <c r="AW202" s="107"/>
      <c r="AX202" s="107"/>
      <c r="AY202" s="107"/>
      <c r="AZ202" s="293"/>
      <c r="BA202" s="291"/>
      <c r="BB202" s="107"/>
      <c r="BC202" s="107"/>
      <c r="BD202" s="107"/>
      <c r="BE202" s="293"/>
      <c r="BF202" s="291"/>
      <c r="BG202" s="107"/>
      <c r="BH202" s="107"/>
      <c r="BI202" s="107"/>
      <c r="BJ202" s="293"/>
      <c r="BK202" s="291"/>
      <c r="BL202" s="107"/>
      <c r="BM202" s="107"/>
      <c r="BN202" s="107"/>
      <c r="BO202" s="293"/>
      <c r="BP202" s="291"/>
      <c r="BQ202" s="107"/>
      <c r="BR202" s="107"/>
      <c r="BS202" s="107"/>
      <c r="BT202" s="293"/>
      <c r="BU202" s="412"/>
      <c r="BV202" s="114"/>
      <c r="BW202" s="114"/>
      <c r="BX202" s="114"/>
      <c r="BY202" s="293"/>
      <c r="BZ202" s="412"/>
      <c r="CA202" s="114"/>
      <c r="CB202" s="114"/>
      <c r="CC202" s="114"/>
      <c r="CD202" s="293"/>
      <c r="CE202" s="412"/>
      <c r="CF202" s="114"/>
      <c r="CG202" s="114"/>
      <c r="CH202" s="114"/>
      <c r="CI202" s="293"/>
      <c r="CJ202" s="412"/>
      <c r="CK202" s="114"/>
      <c r="CL202" s="114"/>
      <c r="CM202" s="114"/>
      <c r="CN202" s="293"/>
      <c r="CO202" s="412"/>
      <c r="CP202" s="801"/>
      <c r="CQ202" s="114"/>
      <c r="CR202" s="114"/>
      <c r="CS202" s="293"/>
      <c r="CT202" s="412">
        <v>0.06</v>
      </c>
      <c r="CU202" s="114">
        <v>0.12</v>
      </c>
      <c r="CV202" s="114">
        <v>0.19</v>
      </c>
      <c r="CW202" s="114">
        <v>0.11</v>
      </c>
      <c r="CX202" s="414">
        <v>0.12</v>
      </c>
      <c r="CY202" s="412">
        <v>-0.04</v>
      </c>
      <c r="CZ202" s="114">
        <v>-0.13</v>
      </c>
      <c r="DA202" s="114">
        <v>-0.19</v>
      </c>
      <c r="DB202" s="114">
        <v>-0.21</v>
      </c>
      <c r="DC202" s="414">
        <v>-0.15</v>
      </c>
      <c r="DD202" s="412">
        <v>-7.0000000000000007E-2</v>
      </c>
      <c r="DE202" s="114">
        <v>0.06</v>
      </c>
      <c r="DF202" s="114">
        <v>-0.11</v>
      </c>
      <c r="DG202" s="114">
        <v>0.02</v>
      </c>
      <c r="DH202" s="414">
        <v>-0.06</v>
      </c>
      <c r="DI202" s="441">
        <v>-0.02</v>
      </c>
      <c r="DJ202" s="439">
        <v>0.04</v>
      </c>
      <c r="DK202" s="439">
        <v>0.09</v>
      </c>
      <c r="DL202" s="439">
        <v>0.04</v>
      </c>
      <c r="DM202" s="414">
        <v>0.04</v>
      </c>
      <c r="DN202" s="412">
        <v>7.0000000000000007E-2</v>
      </c>
      <c r="DO202" s="114">
        <v>0.11</v>
      </c>
      <c r="DP202" s="114">
        <v>0.11</v>
      </c>
      <c r="DQ202" s="114">
        <v>0.14000000000000001</v>
      </c>
      <c r="DR202" s="414">
        <v>0.11</v>
      </c>
      <c r="DS202" s="412">
        <v>0.08</v>
      </c>
      <c r="DT202" s="114">
        <v>-0.02</v>
      </c>
      <c r="DU202" s="114">
        <v>0.15</v>
      </c>
      <c r="DV202" s="114">
        <v>0.18</v>
      </c>
      <c r="DW202" s="414">
        <v>0.1</v>
      </c>
      <c r="DX202" s="412">
        <v>0.19</v>
      </c>
      <c r="DY202" s="114">
        <v>0.26</v>
      </c>
      <c r="DZ202" s="114">
        <v>0.05</v>
      </c>
      <c r="EA202" s="114">
        <v>-0.04</v>
      </c>
      <c r="EB202" s="414">
        <v>0.11</v>
      </c>
      <c r="EC202" s="412">
        <v>-0.22</v>
      </c>
      <c r="ED202" s="114">
        <v>-0.09</v>
      </c>
      <c r="EE202" s="114">
        <v>-0.02</v>
      </c>
      <c r="EF202" s="114">
        <v>-0.02</v>
      </c>
      <c r="EG202" s="414">
        <v>-0.09</v>
      </c>
      <c r="EH202" s="412"/>
      <c r="EI202" s="114"/>
      <c r="EJ202" s="114"/>
      <c r="EK202" s="114"/>
      <c r="EL202" s="293"/>
      <c r="EM202" s="412"/>
      <c r="EN202" s="114"/>
      <c r="EO202" s="114"/>
      <c r="EP202" s="114"/>
      <c r="EQ202" s="293"/>
      <c r="ER202" s="412"/>
      <c r="ES202" s="107"/>
      <c r="ET202" s="114"/>
      <c r="EU202" s="107"/>
      <c r="EV202" s="293"/>
      <c r="EW202" s="291"/>
      <c r="EX202" s="107"/>
      <c r="EY202" s="107"/>
      <c r="EZ202" s="107"/>
      <c r="FA202" s="293"/>
      <c r="FB202" s="291"/>
      <c r="FC202" s="107"/>
      <c r="FD202" s="107"/>
      <c r="FE202" s="107"/>
      <c r="FF202" s="293"/>
      <c r="FG202" s="291"/>
      <c r="FH202" s="107"/>
      <c r="FI202" s="107"/>
      <c r="FJ202" s="107"/>
      <c r="FK202" s="293"/>
      <c r="FL202" s="291"/>
      <c r="FM202" s="107"/>
      <c r="FN202" s="107"/>
      <c r="FO202" s="107"/>
      <c r="FP202" s="293"/>
      <c r="FQ202" s="291"/>
      <c r="FR202" s="107"/>
      <c r="FS202" s="107"/>
      <c r="FT202" s="107"/>
      <c r="FU202" s="293"/>
      <c r="FV202" s="291"/>
      <c r="FW202" s="107"/>
      <c r="FX202" s="107"/>
      <c r="FY202" s="107"/>
      <c r="FZ202" s="293"/>
      <c r="GA202" s="291"/>
      <c r="GB202" s="107"/>
      <c r="GC202" s="107"/>
      <c r="GD202" s="107"/>
      <c r="GE202" s="293"/>
      <c r="GF202" s="291"/>
      <c r="GG202" s="107"/>
      <c r="GH202" s="107"/>
      <c r="GI202" s="107"/>
      <c r="GJ202" s="382"/>
    </row>
    <row r="203" spans="1:192" ht="12.75" hidden="1" customHeight="1" outlineLevel="1">
      <c r="B203" s="735" t="s">
        <v>36</v>
      </c>
      <c r="C203" s="291"/>
      <c r="D203" s="107"/>
      <c r="E203" s="107"/>
      <c r="F203" s="107"/>
      <c r="G203" s="293"/>
      <c r="H203" s="291"/>
      <c r="I203" s="107"/>
      <c r="J203" s="107"/>
      <c r="K203" s="107"/>
      <c r="L203" s="293"/>
      <c r="M203" s="291"/>
      <c r="N203" s="107"/>
      <c r="O203" s="107"/>
      <c r="P203" s="107"/>
      <c r="Q203" s="293"/>
      <c r="R203" s="291"/>
      <c r="S203" s="107"/>
      <c r="T203" s="107"/>
      <c r="U203" s="107"/>
      <c r="V203" s="293"/>
      <c r="W203" s="291"/>
      <c r="X203" s="107"/>
      <c r="Y203" s="107"/>
      <c r="Z203" s="107"/>
      <c r="AA203" s="293"/>
      <c r="AB203" s="291"/>
      <c r="AC203" s="107"/>
      <c r="AD203" s="107"/>
      <c r="AE203" s="107"/>
      <c r="AF203" s="293"/>
      <c r="AG203" s="291"/>
      <c r="AH203" s="107"/>
      <c r="AI203" s="107"/>
      <c r="AJ203" s="107"/>
      <c r="AK203" s="293"/>
      <c r="AL203" s="291"/>
      <c r="AM203" s="107"/>
      <c r="AN203" s="107"/>
      <c r="AO203" s="107"/>
      <c r="AP203" s="293"/>
      <c r="AQ203" s="291"/>
      <c r="AR203" s="107"/>
      <c r="AS203" s="107"/>
      <c r="AT203" s="107"/>
      <c r="AU203" s="293"/>
      <c r="AV203" s="291"/>
      <c r="AW203" s="107"/>
      <c r="AX203" s="107"/>
      <c r="AY203" s="107"/>
      <c r="AZ203" s="293"/>
      <c r="BA203" s="291"/>
      <c r="BB203" s="107"/>
      <c r="BC203" s="107"/>
      <c r="BD203" s="107"/>
      <c r="BE203" s="293"/>
      <c r="BF203" s="291"/>
      <c r="BG203" s="107"/>
      <c r="BH203" s="107"/>
      <c r="BI203" s="107"/>
      <c r="BJ203" s="293"/>
      <c r="BK203" s="291"/>
      <c r="BL203" s="107"/>
      <c r="BM203" s="107"/>
      <c r="BN203" s="107"/>
      <c r="BO203" s="293"/>
      <c r="BP203" s="291"/>
      <c r="BQ203" s="107"/>
      <c r="BR203" s="107"/>
      <c r="BS203" s="107"/>
      <c r="BT203" s="293"/>
      <c r="BU203" s="291"/>
      <c r="BV203" s="107"/>
      <c r="BW203" s="107"/>
      <c r="BX203" s="107"/>
      <c r="BY203" s="293"/>
      <c r="BZ203" s="291"/>
      <c r="CA203" s="107"/>
      <c r="CB203" s="107"/>
      <c r="CC203" s="107"/>
      <c r="CD203" s="293"/>
      <c r="CE203" s="291"/>
      <c r="CF203" s="107"/>
      <c r="CG203" s="107"/>
      <c r="CH203" s="107"/>
      <c r="CI203" s="293"/>
      <c r="CJ203" s="291"/>
      <c r="CK203" s="107"/>
      <c r="CL203" s="107"/>
      <c r="CM203" s="107"/>
      <c r="CN203" s="293"/>
      <c r="CO203" s="291"/>
      <c r="CP203" s="107">
        <f>CP201/CO201-1</f>
      </c>
      <c r="CQ203" s="107">
        <f>CQ201/CP201-1</f>
      </c>
      <c r="CR203" s="107">
        <f>CR201/CQ201-1</f>
      </c>
      <c r="CS203" s="292"/>
      <c r="CT203" s="291">
        <f>CT201/CR201-1</f>
      </c>
      <c r="CU203" s="107">
        <f>CU201/CT201-1</f>
      </c>
      <c r="CV203" s="107">
        <f>CV201/CU201-1</f>
      </c>
      <c r="CW203" s="107">
        <f>CW201/CV201-1</f>
      </c>
      <c r="CX203" s="292"/>
      <c r="CY203" s="291">
        <f>CY201/CW201-1</f>
      </c>
      <c r="CZ203" s="107">
        <f>CZ201/CY201-1</f>
      </c>
      <c r="DA203" s="107">
        <f>DA201/CZ201-1</f>
      </c>
      <c r="DB203" s="107">
        <f>DB201/DA201-1</f>
      </c>
      <c r="DC203" s="292"/>
      <c r="DD203" s="291">
        <f>DD201/DB201-1</f>
      </c>
      <c r="DE203" s="107">
        <f>DE201/DD201-1</f>
      </c>
      <c r="DF203" s="107">
        <f>DF201/DE201-1</f>
      </c>
      <c r="DG203" s="107">
        <f>DG201/DF201-1</f>
      </c>
      <c r="DH203" s="292"/>
      <c r="DI203" s="291">
        <f>DI201/DG201-1</f>
      </c>
      <c r="DJ203" s="107">
        <f>DJ201/DI201-1</f>
      </c>
      <c r="DK203" s="107">
        <f>DK201/DJ201-1</f>
      </c>
      <c r="DL203" s="107">
        <f>DL201/DK201-1</f>
      </c>
      <c r="DM203" s="292"/>
      <c r="DN203" s="291">
        <f>DN201/DL201-1</f>
      </c>
      <c r="DO203" s="107">
        <f>DO201/DN201-1</f>
      </c>
      <c r="DP203" s="107">
        <f>DP201/DO201-1</f>
      </c>
      <c r="DQ203" s="107">
        <f>DQ201/DP201-1</f>
      </c>
      <c r="DR203" s="292"/>
      <c r="DS203" s="291">
        <f>DS201/DQ201-1</f>
      </c>
      <c r="DT203" s="107">
        <f>DT201/DS201-1</f>
      </c>
      <c r="DU203" s="107">
        <f>DU201/DT201-1</f>
      </c>
      <c r="DV203" s="107">
        <f>DV201/DU201-1</f>
      </c>
      <c r="DW203" s="292"/>
      <c r="DX203" s="291">
        <f>DX201/DV201-1</f>
      </c>
      <c r="DY203" s="107">
        <f>DY201/DX201-1</f>
      </c>
      <c r="DZ203" s="107">
        <f>DZ201/DY201-1</f>
      </c>
      <c r="EA203" s="107">
        <f>EA201/DZ201-1</f>
      </c>
      <c r="EB203" s="292"/>
      <c r="EC203" s="291">
        <f>EC201/EA201-1</f>
      </c>
      <c r="ED203" s="107">
        <f>ED201/EC201-1</f>
      </c>
      <c r="EE203" s="107">
        <f>EE201/ED201-1</f>
      </c>
      <c r="EF203" s="107">
        <f>EF201/EE201-1</f>
      </c>
      <c r="EG203" s="292"/>
      <c r="EH203" s="291"/>
      <c r="EI203" s="107"/>
      <c r="EJ203" s="107"/>
      <c r="EK203" s="107"/>
      <c r="EL203" s="292"/>
      <c r="EM203" s="291"/>
      <c r="EN203" s="107"/>
      <c r="EO203" s="107"/>
      <c r="EP203" s="107"/>
      <c r="EQ203" s="292"/>
      <c r="ER203" s="291"/>
      <c r="ES203" s="107"/>
      <c r="ET203" s="107"/>
      <c r="EU203" s="107"/>
      <c r="EV203" s="292"/>
      <c r="EW203" s="291"/>
      <c r="EX203" s="107"/>
      <c r="EY203" s="107"/>
      <c r="EZ203" s="107"/>
      <c r="FA203" s="292"/>
      <c r="FB203" s="291"/>
      <c r="FC203" s="107"/>
      <c r="FD203" s="107"/>
      <c r="FE203" s="107"/>
      <c r="FF203" s="292"/>
      <c r="FG203" s="291"/>
      <c r="FH203" s="107"/>
      <c r="FI203" s="107"/>
      <c r="FJ203" s="107"/>
      <c r="FK203" s="292"/>
      <c r="FL203" s="291"/>
      <c r="FM203" s="107"/>
      <c r="FN203" s="107"/>
      <c r="FO203" s="107"/>
      <c r="FP203" s="292"/>
      <c r="FQ203" s="291"/>
      <c r="FR203" s="107"/>
      <c r="FS203" s="107"/>
      <c r="FT203" s="107"/>
      <c r="FU203" s="292"/>
      <c r="FV203" s="291"/>
      <c r="FW203" s="107"/>
      <c r="FX203" s="107"/>
      <c r="FY203" s="107"/>
      <c r="FZ203" s="292"/>
      <c r="GA203" s="291"/>
      <c r="GB203" s="107"/>
      <c r="GC203" s="107"/>
      <c r="GD203" s="107"/>
      <c r="GE203" s="292"/>
      <c r="GF203" s="291"/>
      <c r="GG203" s="107"/>
      <c r="GH203" s="107"/>
      <c r="GI203" s="107"/>
      <c r="GJ203" s="382"/>
    </row>
    <row r="204" spans="1:192" s="461" customFormat="1" ht="12.75" hidden="1" customHeight="1" outlineLevel="1">
      <c r="A204" s="850"/>
      <c r="B204" s="735" t="s">
        <v>243</v>
      </c>
      <c r="C204" s="447"/>
      <c r="D204" s="458"/>
      <c r="E204" s="458"/>
      <c r="F204" s="458"/>
      <c r="G204" s="459"/>
      <c r="H204" s="447"/>
      <c r="I204" s="458"/>
      <c r="J204" s="458"/>
      <c r="K204" s="458"/>
      <c r="L204" s="459"/>
      <c r="M204" s="447"/>
      <c r="N204" s="458"/>
      <c r="O204" s="458"/>
      <c r="P204" s="458"/>
      <c r="Q204" s="459"/>
      <c r="R204" s="447"/>
      <c r="S204" s="458"/>
      <c r="T204" s="458"/>
      <c r="U204" s="458"/>
      <c r="V204" s="459"/>
      <c r="W204" s="447"/>
      <c r="X204" s="458"/>
      <c r="Y204" s="458"/>
      <c r="Z204" s="458"/>
      <c r="AA204" s="459"/>
      <c r="AB204" s="447"/>
      <c r="AC204" s="458"/>
      <c r="AD204" s="458"/>
      <c r="AE204" s="458"/>
      <c r="AF204" s="459"/>
      <c r="AG204" s="447"/>
      <c r="AH204" s="458"/>
      <c r="AI204" s="458"/>
      <c r="AJ204" s="458"/>
      <c r="AK204" s="459"/>
      <c r="AL204" s="447"/>
      <c r="AM204" s="458"/>
      <c r="AN204" s="458"/>
      <c r="AO204" s="458"/>
      <c r="AP204" s="459"/>
      <c r="AQ204" s="447"/>
      <c r="AR204" s="458"/>
      <c r="AS204" s="458"/>
      <c r="AT204" s="458"/>
      <c r="AU204" s="459"/>
      <c r="AV204" s="447"/>
      <c r="AW204" s="458"/>
      <c r="AX204" s="458"/>
      <c r="AY204" s="458"/>
      <c r="AZ204" s="459"/>
      <c r="BA204" s="447"/>
      <c r="BB204" s="458"/>
      <c r="BC204" s="458"/>
      <c r="BD204" s="458"/>
      <c r="BE204" s="459"/>
      <c r="BF204" s="447"/>
      <c r="BG204" s="458"/>
      <c r="BH204" s="458"/>
      <c r="BI204" s="458"/>
      <c r="BJ204" s="459"/>
      <c r="BK204" s="447"/>
      <c r="BL204" s="458"/>
      <c r="BM204" s="458"/>
      <c r="BN204" s="458"/>
      <c r="BO204" s="459"/>
      <c r="BP204" s="447"/>
      <c r="BQ204" s="458"/>
      <c r="BR204" s="458"/>
      <c r="BS204" s="458"/>
      <c r="BT204" s="459"/>
      <c r="BU204" s="447"/>
      <c r="BV204" s="458"/>
      <c r="BW204" s="458"/>
      <c r="BX204" s="458"/>
      <c r="BY204" s="459"/>
      <c r="BZ204" s="447"/>
      <c r="CA204" s="458"/>
      <c r="CB204" s="458"/>
      <c r="CC204" s="458"/>
      <c r="CD204" s="459"/>
      <c r="CE204" s="447"/>
      <c r="CF204" s="458"/>
      <c r="CG204" s="458"/>
      <c r="CH204" s="458"/>
      <c r="CI204" s="459"/>
      <c r="CJ204" s="447"/>
      <c r="CK204" s="458"/>
      <c r="CL204" s="458"/>
      <c r="CM204" s="458"/>
      <c r="CN204" s="459"/>
      <c r="CO204" s="458"/>
      <c r="CP204" s="458"/>
      <c r="CQ204" s="458"/>
      <c r="CR204" s="458"/>
      <c r="CS204" s="459"/>
      <c r="CT204" s="458">
        <f t="shared" ref="CT204:EG204" si="165">CT201-CO201</f>
      </c>
      <c r="CU204" s="458">
        <f t="shared" si="165"/>
      </c>
      <c r="CV204" s="458">
        <f t="shared" si="165"/>
      </c>
      <c r="CW204" s="458">
        <f t="shared" si="165"/>
      </c>
      <c r="CX204" s="459">
        <f t="shared" si="165"/>
      </c>
      <c r="CY204" s="458">
        <f t="shared" si="165"/>
      </c>
      <c r="CZ204" s="458">
        <f t="shared" si="165"/>
      </c>
      <c r="DA204" s="458">
        <f t="shared" si="165"/>
      </c>
      <c r="DB204" s="458">
        <f t="shared" si="165"/>
      </c>
      <c r="DC204" s="459">
        <f t="shared" si="165"/>
      </c>
      <c r="DD204" s="458">
        <f t="shared" si="165"/>
      </c>
      <c r="DE204" s="458">
        <f t="shared" si="165"/>
      </c>
      <c r="DF204" s="458">
        <f t="shared" si="165"/>
      </c>
      <c r="DG204" s="458">
        <f t="shared" si="165"/>
      </c>
      <c r="DH204" s="459">
        <f t="shared" si="165"/>
      </c>
      <c r="DI204" s="458">
        <f t="shared" si="165"/>
      </c>
      <c r="DJ204" s="458">
        <f t="shared" si="165"/>
      </c>
      <c r="DK204" s="458">
        <f t="shared" si="165"/>
      </c>
      <c r="DL204" s="458">
        <f t="shared" si="165"/>
      </c>
      <c r="DM204" s="459">
        <f t="shared" si="165"/>
      </c>
      <c r="DN204" s="458">
        <f t="shared" si="165"/>
      </c>
      <c r="DO204" s="458">
        <f t="shared" si="165"/>
      </c>
      <c r="DP204" s="458">
        <f t="shared" si="165"/>
      </c>
      <c r="DQ204" s="458">
        <f t="shared" si="165"/>
      </c>
      <c r="DR204" s="459">
        <f t="shared" si="165"/>
      </c>
      <c r="DS204" s="458">
        <f t="shared" si="165"/>
      </c>
      <c r="DT204" s="458">
        <f t="shared" si="165"/>
      </c>
      <c r="DU204" s="458">
        <f t="shared" si="165"/>
      </c>
      <c r="DV204" s="458">
        <f t="shared" si="165"/>
      </c>
      <c r="DW204" s="459">
        <f t="shared" si="165"/>
      </c>
      <c r="DX204" s="458">
        <f t="shared" si="165"/>
      </c>
      <c r="DY204" s="458">
        <f t="shared" si="165"/>
      </c>
      <c r="DZ204" s="458">
        <f t="shared" si="165"/>
      </c>
      <c r="EA204" s="458">
        <f t="shared" si="165"/>
      </c>
      <c r="EB204" s="459">
        <f t="shared" si="165"/>
      </c>
      <c r="EC204" s="458">
        <f t="shared" si="165"/>
      </c>
      <c r="ED204" s="458">
        <f t="shared" si="165"/>
      </c>
      <c r="EE204" s="458">
        <f t="shared" si="165"/>
      </c>
      <c r="EF204" s="458">
        <f t="shared" si="165"/>
      </c>
      <c r="EG204" s="459">
        <f t="shared" si="165"/>
      </c>
      <c r="EH204" s="458"/>
      <c r="EI204" s="458"/>
      <c r="EJ204" s="458"/>
      <c r="EK204" s="458"/>
      <c r="EL204" s="459"/>
      <c r="EM204" s="458"/>
      <c r="EN204" s="458"/>
      <c r="EO204" s="458"/>
      <c r="EP204" s="458"/>
      <c r="EQ204" s="459"/>
      <c r="ER204" s="458"/>
      <c r="ES204" s="458"/>
      <c r="ET204" s="458"/>
      <c r="EU204" s="458"/>
      <c r="EV204" s="459"/>
      <c r="EW204" s="458"/>
      <c r="EX204" s="458"/>
      <c r="EY204" s="458"/>
      <c r="EZ204" s="458"/>
      <c r="FA204" s="459"/>
      <c r="FB204" s="458"/>
      <c r="FC204" s="458"/>
      <c r="FD204" s="458"/>
      <c r="FE204" s="458"/>
      <c r="FF204" s="459"/>
      <c r="FG204" s="458"/>
      <c r="FH204" s="458"/>
      <c r="FI204" s="458"/>
      <c r="FJ204" s="458"/>
      <c r="FK204" s="459"/>
      <c r="FL204" s="458"/>
      <c r="FM204" s="458"/>
      <c r="FN204" s="458"/>
      <c r="FO204" s="458"/>
      <c r="FP204" s="459"/>
      <c r="FQ204" s="458"/>
      <c r="FR204" s="458"/>
      <c r="FS204" s="458"/>
      <c r="FT204" s="458"/>
      <c r="FU204" s="459"/>
      <c r="FV204" s="447"/>
      <c r="FW204" s="458"/>
      <c r="FX204" s="458"/>
      <c r="FY204" s="458"/>
      <c r="FZ204" s="459"/>
      <c r="GA204" s="447"/>
      <c r="GB204" s="458"/>
      <c r="GC204" s="458"/>
      <c r="GD204" s="458"/>
      <c r="GE204" s="459"/>
      <c r="GF204" s="447"/>
      <c r="GG204" s="458"/>
      <c r="GH204" s="458"/>
      <c r="GI204" s="458"/>
      <c r="GJ204" s="460"/>
    </row>
    <row r="205" spans="1:192" s="461" customFormat="1" ht="12.75" hidden="1" customHeight="1" outlineLevel="1">
      <c r="A205" s="850"/>
      <c r="B205" s="735" t="s">
        <v>244</v>
      </c>
      <c r="C205" s="447"/>
      <c r="D205" s="458"/>
      <c r="E205" s="458"/>
      <c r="F205" s="458"/>
      <c r="G205" s="459"/>
      <c r="H205" s="447"/>
      <c r="I205" s="458"/>
      <c r="J205" s="458"/>
      <c r="K205" s="458"/>
      <c r="L205" s="459"/>
      <c r="M205" s="447"/>
      <c r="N205" s="458"/>
      <c r="O205" s="458"/>
      <c r="P205" s="458"/>
      <c r="Q205" s="459"/>
      <c r="R205" s="447"/>
      <c r="S205" s="458"/>
      <c r="T205" s="458"/>
      <c r="U205" s="458"/>
      <c r="V205" s="459"/>
      <c r="W205" s="447"/>
      <c r="X205" s="458"/>
      <c r="Y205" s="458"/>
      <c r="Z205" s="458"/>
      <c r="AA205" s="459"/>
      <c r="AB205" s="447"/>
      <c r="AC205" s="458"/>
      <c r="AD205" s="458"/>
      <c r="AE205" s="458"/>
      <c r="AF205" s="459"/>
      <c r="AG205" s="447"/>
      <c r="AH205" s="458"/>
      <c r="AI205" s="458"/>
      <c r="AJ205" s="458"/>
      <c r="AK205" s="459"/>
      <c r="AL205" s="447"/>
      <c r="AM205" s="458"/>
      <c r="AN205" s="458"/>
      <c r="AO205" s="458"/>
      <c r="AP205" s="459"/>
      <c r="AQ205" s="447"/>
      <c r="AR205" s="458"/>
      <c r="AS205" s="458"/>
      <c r="AT205" s="458"/>
      <c r="AU205" s="459"/>
      <c r="AV205" s="447"/>
      <c r="AW205" s="458"/>
      <c r="AX205" s="458"/>
      <c r="AY205" s="458"/>
      <c r="AZ205" s="459"/>
      <c r="BA205" s="447"/>
      <c r="BB205" s="458"/>
      <c r="BC205" s="458"/>
      <c r="BD205" s="458"/>
      <c r="BE205" s="459"/>
      <c r="BF205" s="447"/>
      <c r="BG205" s="458"/>
      <c r="BH205" s="458"/>
      <c r="BI205" s="458"/>
      <c r="BJ205" s="459"/>
      <c r="BK205" s="447"/>
      <c r="BL205" s="458"/>
      <c r="BM205" s="458"/>
      <c r="BN205" s="458"/>
      <c r="BO205" s="459"/>
      <c r="BP205" s="447"/>
      <c r="BQ205" s="458"/>
      <c r="BR205" s="458"/>
      <c r="BS205" s="458"/>
      <c r="BT205" s="459"/>
      <c r="BU205" s="447"/>
      <c r="BV205" s="458"/>
      <c r="BW205" s="458"/>
      <c r="BX205" s="458"/>
      <c r="BY205" s="459"/>
      <c r="BZ205" s="447"/>
      <c r="CA205" s="458"/>
      <c r="CB205" s="458"/>
      <c r="CC205" s="458"/>
      <c r="CD205" s="459"/>
      <c r="CE205" s="447"/>
      <c r="CF205" s="458"/>
      <c r="CG205" s="458"/>
      <c r="CH205" s="458"/>
      <c r="CI205" s="459"/>
      <c r="CJ205" s="447"/>
      <c r="CK205" s="458"/>
      <c r="CL205" s="458"/>
      <c r="CM205" s="458"/>
      <c r="CN205" s="459"/>
      <c r="CO205" s="447"/>
      <c r="CP205" s="458">
        <f>CP201-CO201</f>
      </c>
      <c r="CQ205" s="458">
        <f>CQ201-CP201</f>
      </c>
      <c r="CR205" s="458">
        <f>CR201-CQ201</f>
      </c>
      <c r="CS205" s="459"/>
      <c r="CT205" s="447">
        <f>CT201-CR201</f>
      </c>
      <c r="CU205" s="458">
        <f>CU201-CT201</f>
      </c>
      <c r="CV205" s="458">
        <f>CV201-CU201</f>
      </c>
      <c r="CW205" s="458">
        <f>CW201-CV201</f>
      </c>
      <c r="CX205" s="459"/>
      <c r="CY205" s="447">
        <f>CY201-CW201</f>
      </c>
      <c r="CZ205" s="458">
        <f>CZ201-CY201</f>
      </c>
      <c r="DA205" s="458">
        <f>DA201-CZ201</f>
      </c>
      <c r="DB205" s="458">
        <f>DB201-DA201</f>
      </c>
      <c r="DC205" s="459"/>
      <c r="DD205" s="447">
        <f>DD201-DB201</f>
      </c>
      <c r="DE205" s="458">
        <f>DE201-DD201</f>
      </c>
      <c r="DF205" s="458">
        <f>DF201-DE201</f>
      </c>
      <c r="DG205" s="458">
        <f>DG201-DF201</f>
      </c>
      <c r="DH205" s="459"/>
      <c r="DI205" s="447">
        <f>DI201-DG201</f>
      </c>
      <c r="DJ205" s="458">
        <f>DJ201-DI201</f>
      </c>
      <c r="DK205" s="458">
        <f>DK201-DJ201</f>
      </c>
      <c r="DL205" s="458">
        <f>DL201-DK201</f>
      </c>
      <c r="DM205" s="459"/>
      <c r="DN205" s="447">
        <f>DN201-DL201</f>
      </c>
      <c r="DO205" s="458">
        <f>DO201-DN201</f>
      </c>
      <c r="DP205" s="458">
        <f>DP201-DO201</f>
      </c>
      <c r="DQ205" s="458">
        <f>DQ201-DP201</f>
      </c>
      <c r="DR205" s="459"/>
      <c r="DS205" s="447">
        <f>DS201-DQ201</f>
      </c>
      <c r="DT205" s="458">
        <f>DT201-DS201</f>
      </c>
      <c r="DU205" s="458">
        <f>DU201-DT201</f>
      </c>
      <c r="DV205" s="458">
        <f>DV201-DU201</f>
      </c>
      <c r="DW205" s="459"/>
      <c r="DX205" s="447">
        <f>DX201-DV201</f>
      </c>
      <c r="DY205" s="458">
        <f>DY201-DX201</f>
      </c>
      <c r="DZ205" s="458">
        <f>DZ201-DY201</f>
      </c>
      <c r="EA205" s="458">
        <f>EA201-DZ201</f>
      </c>
      <c r="EB205" s="459"/>
      <c r="EC205" s="447">
        <f>EC201-EA201</f>
      </c>
      <c r="ED205" s="458">
        <f>ED201-EC201</f>
      </c>
      <c r="EE205" s="458">
        <f>EE201-ED201</f>
      </c>
      <c r="EF205" s="458">
        <f>EF201-EE201</f>
      </c>
      <c r="EG205" s="459"/>
      <c r="EH205" s="447"/>
      <c r="EI205" s="458"/>
      <c r="EJ205" s="458"/>
      <c r="EK205" s="458"/>
      <c r="EL205" s="459"/>
      <c r="EM205" s="447"/>
      <c r="EN205" s="458"/>
      <c r="EO205" s="458"/>
      <c r="EP205" s="458"/>
      <c r="EQ205" s="459"/>
      <c r="ER205" s="447"/>
      <c r="ES205" s="458"/>
      <c r="ET205" s="458"/>
      <c r="EU205" s="458"/>
      <c r="EV205" s="459"/>
      <c r="EW205" s="447"/>
      <c r="EX205" s="458"/>
      <c r="EY205" s="458"/>
      <c r="EZ205" s="458"/>
      <c r="FA205" s="459"/>
      <c r="FB205" s="447"/>
      <c r="FC205" s="458"/>
      <c r="FD205" s="458"/>
      <c r="FE205" s="458"/>
      <c r="FF205" s="459"/>
      <c r="FG205" s="447"/>
      <c r="FH205" s="458"/>
      <c r="FI205" s="458"/>
      <c r="FJ205" s="458"/>
      <c r="FK205" s="459"/>
      <c r="FL205" s="447"/>
      <c r="FM205" s="458"/>
      <c r="FN205" s="458"/>
      <c r="FO205" s="458"/>
      <c r="FP205" s="459"/>
      <c r="FQ205" s="447"/>
      <c r="FR205" s="458"/>
      <c r="FS205" s="458"/>
      <c r="FT205" s="458"/>
      <c r="FU205" s="459"/>
      <c r="FV205" s="447"/>
      <c r="FW205" s="458"/>
      <c r="FX205" s="458"/>
      <c r="FY205" s="458"/>
      <c r="FZ205" s="459"/>
      <c r="GA205" s="447"/>
      <c r="GB205" s="458"/>
      <c r="GC205" s="458"/>
      <c r="GD205" s="458"/>
      <c r="GE205" s="459"/>
      <c r="GF205" s="447"/>
      <c r="GG205" s="458"/>
      <c r="GH205" s="458"/>
      <c r="GI205" s="458"/>
      <c r="GJ205" s="460"/>
    </row>
    <row r="206" spans="1:192" ht="12.75" hidden="1" customHeight="1" outlineLevel="1">
      <c r="B206" s="735" t="s">
        <v>388</v>
      </c>
      <c r="C206" s="294"/>
      <c r="D206" s="295"/>
      <c r="E206" s="295"/>
      <c r="F206" s="295"/>
      <c r="G206" s="296"/>
      <c r="H206" s="294"/>
      <c r="I206" s="295"/>
      <c r="J206" s="295"/>
      <c r="K206" s="295"/>
      <c r="L206" s="296"/>
      <c r="M206" s="294"/>
      <c r="N206" s="295"/>
      <c r="O206" s="295"/>
      <c r="P206" s="295"/>
      <c r="Q206" s="296"/>
      <c r="R206" s="294"/>
      <c r="S206" s="295"/>
      <c r="T206" s="295"/>
      <c r="U206" s="295"/>
      <c r="V206" s="296"/>
      <c r="W206" s="294"/>
      <c r="X206" s="295"/>
      <c r="Y206" s="295"/>
      <c r="Z206" s="295"/>
      <c r="AA206" s="296"/>
      <c r="AB206" s="294"/>
      <c r="AC206" s="295"/>
      <c r="AD206" s="295"/>
      <c r="AE206" s="295"/>
      <c r="AF206" s="296"/>
      <c r="AG206" s="294"/>
      <c r="AH206" s="295"/>
      <c r="AI206" s="295"/>
      <c r="AJ206" s="295"/>
      <c r="AK206" s="296"/>
      <c r="AL206" s="294"/>
      <c r="AM206" s="295"/>
      <c r="AN206" s="295"/>
      <c r="AO206" s="295"/>
      <c r="AP206" s="296"/>
      <c r="AQ206" s="294"/>
      <c r="AR206" s="295"/>
      <c r="AS206" s="295"/>
      <c r="AT206" s="295"/>
      <c r="AU206" s="296"/>
      <c r="AV206" s="294"/>
      <c r="AW206" s="295"/>
      <c r="AX206" s="295"/>
      <c r="AY206" s="295"/>
      <c r="AZ206" s="296"/>
      <c r="BA206" s="294"/>
      <c r="BB206" s="295"/>
      <c r="BC206" s="295"/>
      <c r="BD206" s="295"/>
      <c r="BE206" s="296"/>
      <c r="BF206" s="294"/>
      <c r="BG206" s="295"/>
      <c r="BH206" s="295"/>
      <c r="BI206" s="295"/>
      <c r="BJ206" s="296"/>
      <c r="BK206" s="294"/>
      <c r="BL206" s="295"/>
      <c r="BM206" s="295"/>
      <c r="BN206" s="295"/>
      <c r="BO206" s="296"/>
      <c r="BP206" s="294"/>
      <c r="BQ206" s="295"/>
      <c r="BR206" s="295"/>
      <c r="BS206" s="295"/>
      <c r="BT206" s="296"/>
      <c r="BU206" s="294"/>
      <c r="BV206" s="295"/>
      <c r="BW206" s="295"/>
      <c r="BX206" s="295"/>
      <c r="BY206" s="296"/>
      <c r="BZ206" s="294"/>
      <c r="CA206" s="295"/>
      <c r="CB206" s="295"/>
      <c r="CC206" s="295"/>
      <c r="CD206" s="296"/>
      <c r="CE206" s="294"/>
      <c r="CF206" s="295"/>
      <c r="CG206" s="295"/>
      <c r="CH206" s="295"/>
      <c r="CI206" s="296"/>
      <c r="CJ206" s="294"/>
      <c r="CK206" s="295"/>
      <c r="CL206" s="295"/>
      <c r="CM206" s="295"/>
      <c r="CN206" s="296"/>
      <c r="CO206" s="295">
        <f t="shared" ref="CO206:DO206" si="166">CO201/CO$159</f>
      </c>
      <c r="CP206" s="295">
        <f t="shared" si="166"/>
      </c>
      <c r="CQ206" s="295">
        <f t="shared" si="166"/>
      </c>
      <c r="CR206" s="295">
        <f t="shared" si="166"/>
      </c>
      <c r="CS206" s="296">
        <f t="shared" si="166"/>
      </c>
      <c r="CT206" s="295">
        <f t="shared" si="166"/>
      </c>
      <c r="CU206" s="295">
        <f t="shared" si="166"/>
      </c>
      <c r="CV206" s="295">
        <f t="shared" si="166"/>
      </c>
      <c r="CW206" s="295">
        <f t="shared" si="166"/>
      </c>
      <c r="CX206" s="296">
        <f t="shared" si="166"/>
      </c>
      <c r="CY206" s="295">
        <f t="shared" si="166"/>
      </c>
      <c r="CZ206" s="295">
        <f t="shared" si="166"/>
      </c>
      <c r="DA206" s="295">
        <f t="shared" si="166"/>
      </c>
      <c r="DB206" s="295">
        <f t="shared" si="166"/>
      </c>
      <c r="DC206" s="296">
        <f t="shared" si="166"/>
      </c>
      <c r="DD206" s="295">
        <f t="shared" si="166"/>
      </c>
      <c r="DE206" s="295">
        <f t="shared" si="166"/>
      </c>
      <c r="DF206" s="295">
        <f t="shared" si="166"/>
      </c>
      <c r="DG206" s="295">
        <f t="shared" si="166"/>
      </c>
      <c r="DH206" s="296">
        <f t="shared" si="166"/>
      </c>
      <c r="DI206" s="295">
        <f t="shared" si="166"/>
      </c>
      <c r="DJ206" s="295">
        <f t="shared" si="166"/>
      </c>
      <c r="DK206" s="295">
        <f t="shared" si="166"/>
      </c>
      <c r="DL206" s="295">
        <f t="shared" si="166"/>
      </c>
      <c r="DM206" s="296">
        <f t="shared" si="166"/>
      </c>
      <c r="DN206" s="295">
        <f t="shared" si="166"/>
      </c>
      <c r="DO206" s="295">
        <f t="shared" si="166"/>
      </c>
      <c r="DP206" s="1398">
        <f>AVERAGE(DO206,DQ206)</f>
      </c>
      <c r="DQ206" s="1398">
        <f>AVERAGE(DO206,DT206)</f>
      </c>
      <c r="DR206" s="296">
        <f>DR201/DR$159</f>
      </c>
      <c r="DS206" s="1419">
        <f>AVERAGE(DQ206,DT206)</f>
      </c>
      <c r="DT206" s="295">
        <f>DT201/DT$159</f>
      </c>
      <c r="DU206" s="295">
        <f>DU201/DU$159</f>
      </c>
      <c r="DV206" s="295">
        <f>DV201/DV$159</f>
      </c>
      <c r="DW206" s="296">
        <f>DW201/DW$159</f>
      </c>
      <c r="DX206" s="295">
        <f>DX201/DX$159</f>
      </c>
      <c r="DY206" s="114">
        <f>4/6</f>
      </c>
      <c r="DZ206" s="295">
        <f t="shared" ref="DZ206:EG206" si="167">DZ201/DZ$159</f>
      </c>
      <c r="EA206" s="295">
        <f t="shared" si="167"/>
      </c>
      <c r="EB206" s="296">
        <f t="shared" si="167"/>
      </c>
      <c r="EC206" s="295">
        <f t="shared" si="167"/>
      </c>
      <c r="ED206" s="295">
        <f t="shared" si="167"/>
      </c>
      <c r="EE206" s="295">
        <f t="shared" si="167"/>
      </c>
      <c r="EF206" s="295">
        <f t="shared" si="167"/>
      </c>
      <c r="EG206" s="296">
        <f t="shared" si="167"/>
      </c>
      <c r="EH206" s="294"/>
      <c r="EI206" s="295"/>
      <c r="EJ206" s="295"/>
      <c r="EK206" s="295"/>
      <c r="EL206" s="296"/>
      <c r="EM206" s="294"/>
      <c r="EN206" s="295"/>
      <c r="EO206" s="295"/>
      <c r="EP206" s="295"/>
      <c r="EQ206" s="296"/>
      <c r="ER206" s="294"/>
      <c r="ES206" s="295"/>
      <c r="ET206" s="295"/>
      <c r="EU206" s="295"/>
      <c r="EV206" s="296"/>
      <c r="EW206" s="294"/>
      <c r="EX206" s="295"/>
      <c r="EY206" s="295"/>
      <c r="EZ206" s="295"/>
      <c r="FA206" s="296"/>
      <c r="FB206" s="294"/>
      <c r="FC206" s="295"/>
      <c r="FD206" s="295"/>
      <c r="FE206" s="295"/>
      <c r="FF206" s="296"/>
      <c r="FG206" s="294"/>
      <c r="FH206" s="295"/>
      <c r="FI206" s="295"/>
      <c r="FJ206" s="295"/>
      <c r="FK206" s="296"/>
      <c r="FL206" s="294"/>
      <c r="FM206" s="295"/>
      <c r="FN206" s="295"/>
      <c r="FO206" s="295"/>
      <c r="FP206" s="296"/>
      <c r="FQ206" s="294"/>
      <c r="FR206" s="295"/>
      <c r="FS206" s="295"/>
      <c r="FT206" s="295"/>
      <c r="FU206" s="296"/>
      <c r="FV206" s="294"/>
      <c r="FW206" s="295"/>
      <c r="FX206" s="295"/>
      <c r="FY206" s="295"/>
      <c r="FZ206" s="296"/>
      <c r="GA206" s="294"/>
      <c r="GB206" s="295"/>
      <c r="GC206" s="295"/>
      <c r="GD206" s="295"/>
      <c r="GE206" s="296"/>
      <c r="GF206" s="294"/>
      <c r="GG206" s="295"/>
      <c r="GH206" s="295"/>
      <c r="GI206" s="295"/>
      <c r="GJ206" s="383"/>
    </row>
    <row r="207" spans="1:192" ht="12.75" hidden="1" customHeight="1" outlineLevel="1">
      <c r="B207" s="735" t="s">
        <v>490</v>
      </c>
      <c r="C207" s="294"/>
      <c r="D207" s="295"/>
      <c r="E207" s="295"/>
      <c r="F207" s="295"/>
      <c r="G207" s="296"/>
      <c r="H207" s="294"/>
      <c r="I207" s="295"/>
      <c r="J207" s="295"/>
      <c r="K207" s="295"/>
      <c r="L207" s="296"/>
      <c r="M207" s="294"/>
      <c r="N207" s="295"/>
      <c r="O207" s="295"/>
      <c r="P207" s="295"/>
      <c r="Q207" s="296"/>
      <c r="R207" s="294"/>
      <c r="S207" s="295"/>
      <c r="T207" s="295"/>
      <c r="U207" s="295"/>
      <c r="V207" s="296"/>
      <c r="W207" s="294"/>
      <c r="X207" s="295"/>
      <c r="Y207" s="295"/>
      <c r="Z207" s="295"/>
      <c r="AA207" s="296"/>
      <c r="AB207" s="294"/>
      <c r="AC207" s="295"/>
      <c r="AD207" s="295"/>
      <c r="AE207" s="295"/>
      <c r="AF207" s="296"/>
      <c r="AG207" s="294"/>
      <c r="AH207" s="295"/>
      <c r="AI207" s="295"/>
      <c r="AJ207" s="295"/>
      <c r="AK207" s="296"/>
      <c r="AL207" s="294"/>
      <c r="AM207" s="295"/>
      <c r="AN207" s="295"/>
      <c r="AO207" s="295"/>
      <c r="AP207" s="296"/>
      <c r="AQ207" s="294"/>
      <c r="AR207" s="295"/>
      <c r="AS207" s="295"/>
      <c r="AT207" s="295"/>
      <c r="AU207" s="296"/>
      <c r="AV207" s="294"/>
      <c r="AW207" s="295"/>
      <c r="AX207" s="295"/>
      <c r="AY207" s="295"/>
      <c r="AZ207" s="296"/>
      <c r="BA207" s="294"/>
      <c r="BB207" s="295"/>
      <c r="BC207" s="295"/>
      <c r="BD207" s="295"/>
      <c r="BE207" s="296"/>
      <c r="BF207" s="294"/>
      <c r="BG207" s="295"/>
      <c r="BH207" s="295"/>
      <c r="BI207" s="295"/>
      <c r="BJ207" s="296"/>
      <c r="BK207" s="294"/>
      <c r="BL207" s="295"/>
      <c r="BM207" s="295"/>
      <c r="BN207" s="295"/>
      <c r="BO207" s="296"/>
      <c r="BP207" s="294"/>
      <c r="BQ207" s="295"/>
      <c r="BR207" s="295"/>
      <c r="BS207" s="295"/>
      <c r="BT207" s="296"/>
      <c r="BU207" s="294"/>
      <c r="BV207" s="295"/>
      <c r="BW207" s="295"/>
      <c r="BX207" s="295"/>
      <c r="BY207" s="296"/>
      <c r="BZ207" s="294"/>
      <c r="CA207" s="295"/>
      <c r="CB207" s="295"/>
      <c r="CC207" s="295"/>
      <c r="CD207" s="296"/>
      <c r="CE207" s="294"/>
      <c r="CF207" s="295"/>
      <c r="CG207" s="295"/>
      <c r="CH207" s="295"/>
      <c r="CI207" s="296"/>
      <c r="CJ207" s="294"/>
      <c r="CK207" s="295"/>
      <c r="CL207" s="295"/>
      <c r="CM207" s="295"/>
      <c r="CN207" s="296"/>
      <c r="CO207" s="294"/>
      <c r="CP207" s="295"/>
      <c r="CQ207" s="295"/>
      <c r="CR207" s="295"/>
      <c r="CS207" s="296"/>
      <c r="CT207" s="294"/>
      <c r="CU207" s="295"/>
      <c r="CV207" s="295"/>
      <c r="CW207" s="295"/>
      <c r="CX207" s="296"/>
      <c r="CY207" s="294"/>
      <c r="CZ207" s="295"/>
      <c r="DA207" s="295"/>
      <c r="DB207" s="295"/>
      <c r="DC207" s="296"/>
      <c r="DD207" s="294"/>
      <c r="DE207" s="295"/>
      <c r="DF207" s="295"/>
      <c r="DG207" s="295"/>
      <c r="DH207" s="296"/>
      <c r="DI207" s="295"/>
      <c r="DJ207" s="295"/>
      <c r="DK207" s="295"/>
      <c r="DL207" s="295"/>
      <c r="DM207" s="296">
        <f t="shared" ref="DM207:DX207" si="168">DM201/DM$135</f>
      </c>
      <c r="DN207" s="295">
        <f t="shared" si="168"/>
      </c>
      <c r="DO207" s="295">
        <f t="shared" si="168"/>
      </c>
      <c r="DP207" s="295">
        <f t="shared" si="168"/>
      </c>
      <c r="DQ207" s="295">
        <f t="shared" si="168"/>
      </c>
      <c r="DR207" s="296">
        <f t="shared" si="168"/>
      </c>
      <c r="DS207" s="295">
        <f t="shared" si="168"/>
      </c>
      <c r="DT207" s="295">
        <f t="shared" si="168"/>
      </c>
      <c r="DU207" s="295">
        <f t="shared" si="168"/>
      </c>
      <c r="DV207" s="295">
        <f t="shared" si="168"/>
      </c>
      <c r="DW207" s="296">
        <f t="shared" si="168"/>
      </c>
      <c r="DX207" s="295">
        <f t="shared" si="168"/>
      </c>
      <c r="DY207" s="114">
        <v>0.4</v>
      </c>
      <c r="DZ207" s="295">
        <f t="shared" ref="DZ207:EG207" si="169">DZ201/DZ$135</f>
      </c>
      <c r="EA207" s="295">
        <f t="shared" si="169"/>
      </c>
      <c r="EB207" s="296">
        <f t="shared" si="169"/>
      </c>
      <c r="EC207" s="295">
        <f t="shared" si="169"/>
      </c>
      <c r="ED207" s="295">
        <f t="shared" si="169"/>
      </c>
      <c r="EE207" s="295">
        <f t="shared" si="169"/>
      </c>
      <c r="EF207" s="295">
        <f t="shared" si="169"/>
      </c>
      <c r="EG207" s="296">
        <f t="shared" si="169"/>
      </c>
      <c r="EH207" s="294"/>
      <c r="EI207" s="295"/>
      <c r="EJ207" s="295"/>
      <c r="EK207" s="295"/>
      <c r="EL207" s="296"/>
      <c r="EM207" s="294"/>
      <c r="EN207" s="295"/>
      <c r="EO207" s="295"/>
      <c r="EP207" s="295"/>
      <c r="EQ207" s="296"/>
      <c r="ER207" s="294"/>
      <c r="ES207" s="295"/>
      <c r="ET207" s="295"/>
      <c r="EU207" s="295"/>
      <c r="EV207" s="296"/>
      <c r="EW207" s="294"/>
      <c r="EX207" s="295"/>
      <c r="EY207" s="295"/>
      <c r="EZ207" s="295"/>
      <c r="FA207" s="296"/>
      <c r="FB207" s="294"/>
      <c r="FC207" s="295"/>
      <c r="FD207" s="295"/>
      <c r="FE207" s="295"/>
      <c r="FF207" s="296"/>
      <c r="FG207" s="294"/>
      <c r="FH207" s="295"/>
      <c r="FI207" s="295"/>
      <c r="FJ207" s="295"/>
      <c r="FK207" s="296"/>
      <c r="FL207" s="294"/>
      <c r="FM207" s="295"/>
      <c r="FN207" s="295"/>
      <c r="FO207" s="295"/>
      <c r="FP207" s="296"/>
      <c r="FQ207" s="294"/>
      <c r="FR207" s="295"/>
      <c r="FS207" s="295"/>
      <c r="FT207" s="295"/>
      <c r="FU207" s="296"/>
      <c r="FV207" s="294"/>
      <c r="FW207" s="295"/>
      <c r="FX207" s="295"/>
      <c r="FY207" s="295"/>
      <c r="FZ207" s="296"/>
      <c r="GA207" s="294"/>
      <c r="GB207" s="295"/>
      <c r="GC207" s="295"/>
      <c r="GD207" s="295"/>
      <c r="GE207" s="296"/>
      <c r="GF207" s="294"/>
      <c r="GG207" s="295"/>
      <c r="GH207" s="295"/>
      <c r="GI207" s="295"/>
      <c r="GJ207" s="383"/>
    </row>
    <row r="208" spans="1:192" ht="12.75" hidden="1" customHeight="1" outlineLevel="1">
      <c r="B208" s="732"/>
      <c r="C208" s="294"/>
      <c r="D208" s="295"/>
      <c r="E208" s="295"/>
      <c r="F208" s="295"/>
      <c r="G208" s="296"/>
      <c r="H208" s="294"/>
      <c r="I208" s="295"/>
      <c r="J208" s="295"/>
      <c r="K208" s="295"/>
      <c r="L208" s="296"/>
      <c r="M208" s="294"/>
      <c r="N208" s="295"/>
      <c r="O208" s="295"/>
      <c r="P208" s="295"/>
      <c r="Q208" s="296"/>
      <c r="R208" s="294"/>
      <c r="S208" s="295"/>
      <c r="T208" s="295"/>
      <c r="U208" s="295"/>
      <c r="V208" s="296"/>
      <c r="W208" s="294"/>
      <c r="X208" s="295"/>
      <c r="Y208" s="295"/>
      <c r="Z208" s="295"/>
      <c r="AA208" s="296"/>
      <c r="AB208" s="294"/>
      <c r="AC208" s="295"/>
      <c r="AD208" s="295"/>
      <c r="AE208" s="295"/>
      <c r="AF208" s="296"/>
      <c r="AG208" s="294"/>
      <c r="AH208" s="295"/>
      <c r="AI208" s="295"/>
      <c r="AJ208" s="295"/>
      <c r="AK208" s="296"/>
      <c r="AL208" s="294"/>
      <c r="AM208" s="295"/>
      <c r="AN208" s="295"/>
      <c r="AO208" s="295"/>
      <c r="AP208" s="296"/>
      <c r="AQ208" s="294"/>
      <c r="AR208" s="295"/>
      <c r="AS208" s="295"/>
      <c r="AT208" s="295"/>
      <c r="AU208" s="296"/>
      <c r="AV208" s="294"/>
      <c r="AW208" s="295"/>
      <c r="AX208" s="295"/>
      <c r="AY208" s="295"/>
      <c r="AZ208" s="296"/>
      <c r="BA208" s="294"/>
      <c r="BB208" s="295"/>
      <c r="BC208" s="295"/>
      <c r="BD208" s="295"/>
      <c r="BE208" s="296"/>
      <c r="BF208" s="294"/>
      <c r="BG208" s="295"/>
      <c r="BH208" s="295"/>
      <c r="BI208" s="295"/>
      <c r="BJ208" s="296"/>
      <c r="BK208" s="294"/>
      <c r="BL208" s="295"/>
      <c r="BM208" s="295"/>
      <c r="BN208" s="295"/>
      <c r="BO208" s="296"/>
      <c r="BP208" s="294"/>
      <c r="BQ208" s="295"/>
      <c r="BR208" s="295"/>
      <c r="BS208" s="295"/>
      <c r="BT208" s="296"/>
      <c r="BU208" s="294"/>
      <c r="BV208" s="295"/>
      <c r="BW208" s="295"/>
      <c r="BX208" s="295"/>
      <c r="BY208" s="296"/>
      <c r="BZ208" s="294"/>
      <c r="CA208" s="295"/>
      <c r="CB208" s="295"/>
      <c r="CC208" s="295"/>
      <c r="CD208" s="296"/>
      <c r="CE208" s="294"/>
      <c r="CF208" s="295"/>
      <c r="CG208" s="295"/>
      <c r="CH208" s="295"/>
      <c r="CI208" s="296"/>
      <c r="CJ208" s="294"/>
      <c r="CK208" s="295"/>
      <c r="CL208" s="295"/>
      <c r="CM208" s="295"/>
      <c r="CN208" s="296"/>
      <c r="CO208" s="294"/>
      <c r="CP208" s="295"/>
      <c r="CQ208" s="295"/>
      <c r="CR208" s="295"/>
      <c r="CS208" s="296"/>
      <c r="CT208" s="294"/>
      <c r="CU208" s="295"/>
      <c r="CV208" s="295"/>
      <c r="CW208" s="295"/>
      <c r="CX208" s="296"/>
      <c r="CY208" s="294"/>
      <c r="CZ208" s="295"/>
      <c r="DA208" s="295"/>
      <c r="DB208" s="295"/>
      <c r="DC208" s="296"/>
      <c r="DD208" s="294"/>
      <c r="DE208" s="295"/>
      <c r="DF208" s="295"/>
      <c r="DG208" s="295"/>
      <c r="DH208" s="296"/>
      <c r="DI208" s="294"/>
      <c r="DJ208" s="295"/>
      <c r="DK208" s="295"/>
      <c r="DL208" s="295"/>
      <c r="DM208" s="296"/>
      <c r="DN208" s="294"/>
      <c r="DO208" s="295"/>
      <c r="DP208" s="295"/>
      <c r="DQ208" s="295"/>
      <c r="DR208" s="296"/>
      <c r="DS208" s="294"/>
      <c r="DT208" s="295"/>
      <c r="DU208" s="295"/>
      <c r="DV208" s="295"/>
      <c r="DW208" s="296"/>
      <c r="DX208" s="294"/>
      <c r="DY208" s="295"/>
      <c r="DZ208" s="295"/>
      <c r="EA208" s="295"/>
      <c r="EB208" s="296"/>
      <c r="EC208" s="294"/>
      <c r="ED208" s="469"/>
      <c r="EE208" s="469"/>
      <c r="EF208" s="469"/>
      <c r="EG208" s="296"/>
      <c r="EH208" s="294"/>
      <c r="EI208" s="295"/>
      <c r="EJ208" s="295"/>
      <c r="EK208" s="295"/>
      <c r="EL208" s="296"/>
      <c r="EM208" s="294"/>
      <c r="EN208" s="295"/>
      <c r="EO208" s="295"/>
      <c r="EP208" s="295"/>
      <c r="EQ208" s="296"/>
      <c r="ER208" s="294"/>
      <c r="ES208" s="295"/>
      <c r="ET208" s="295"/>
      <c r="EU208" s="295"/>
      <c r="EV208" s="296"/>
      <c r="EW208" s="294"/>
      <c r="EX208" s="295"/>
      <c r="EY208" s="295"/>
      <c r="EZ208" s="295"/>
      <c r="FA208" s="296"/>
      <c r="FB208" s="294"/>
      <c r="FC208" s="295"/>
      <c r="FD208" s="295"/>
      <c r="FE208" s="295"/>
      <c r="FF208" s="296"/>
      <c r="FG208" s="294"/>
      <c r="FH208" s="295"/>
      <c r="FI208" s="295"/>
      <c r="FJ208" s="295"/>
      <c r="FK208" s="296"/>
      <c r="FL208" s="294"/>
      <c r="FM208" s="295"/>
      <c r="FN208" s="295"/>
      <c r="FO208" s="295"/>
      <c r="FP208" s="296"/>
      <c r="FQ208" s="294"/>
      <c r="FR208" s="295"/>
      <c r="FS208" s="295"/>
      <c r="FT208" s="295"/>
      <c r="FU208" s="296"/>
      <c r="FV208" s="294"/>
      <c r="FW208" s="295"/>
      <c r="FX208" s="295"/>
      <c r="FY208" s="295"/>
      <c r="FZ208" s="296"/>
      <c r="GA208" s="294"/>
      <c r="GB208" s="295"/>
      <c r="GC208" s="295"/>
      <c r="GD208" s="295"/>
      <c r="GE208" s="296"/>
      <c r="GF208" s="294"/>
      <c r="GG208" s="295"/>
      <c r="GH208" s="295"/>
      <c r="GI208" s="295"/>
      <c r="GJ208" s="383"/>
    </row>
    <row r="209" spans="1:192" s="461" customFormat="1" ht="12.75" hidden="1" customHeight="1" outlineLevel="1">
      <c r="A209" s="1643"/>
      <c r="B209" s="734" t="s">
        <v>389</v>
      </c>
      <c r="C209" s="443"/>
      <c r="D209" s="471"/>
      <c r="E209" s="471"/>
      <c r="F209" s="471"/>
      <c r="G209" s="516"/>
      <c r="H209" s="443"/>
      <c r="I209" s="471"/>
      <c r="J209" s="471"/>
      <c r="K209" s="471"/>
      <c r="L209" s="516"/>
      <c r="M209" s="443"/>
      <c r="N209" s="471"/>
      <c r="O209" s="471"/>
      <c r="P209" s="471"/>
      <c r="Q209" s="516"/>
      <c r="R209" s="443"/>
      <c r="S209" s="471"/>
      <c r="T209" s="471"/>
      <c r="U209" s="471"/>
      <c r="V209" s="516"/>
      <c r="W209" s="443"/>
      <c r="X209" s="471"/>
      <c r="Y209" s="471"/>
      <c r="Z209" s="471"/>
      <c r="AA209" s="516"/>
      <c r="AB209" s="443"/>
      <c r="AC209" s="471"/>
      <c r="AD209" s="471"/>
      <c r="AE209" s="471"/>
      <c r="AF209" s="516"/>
      <c r="AG209" s="443"/>
      <c r="AH209" s="471"/>
      <c r="AI209" s="471"/>
      <c r="AJ209" s="471"/>
      <c r="AK209" s="516"/>
      <c r="AL209" s="443"/>
      <c r="AM209" s="471"/>
      <c r="AN209" s="471"/>
      <c r="AO209" s="471"/>
      <c r="AP209" s="516"/>
      <c r="AQ209" s="443"/>
      <c r="AR209" s="471"/>
      <c r="AS209" s="471"/>
      <c r="AT209" s="471"/>
      <c r="AU209" s="516"/>
      <c r="AV209" s="443"/>
      <c r="AW209" s="471"/>
      <c r="AX209" s="471"/>
      <c r="AY209" s="471"/>
      <c r="AZ209" s="516"/>
      <c r="BA209" s="443"/>
      <c r="BB209" s="471"/>
      <c r="BC209" s="471"/>
      <c r="BD209" s="471"/>
      <c r="BE209" s="516"/>
      <c r="BF209" s="443"/>
      <c r="BG209" s="471"/>
      <c r="BH209" s="471"/>
      <c r="BI209" s="471"/>
      <c r="BJ209" s="516"/>
      <c r="BK209" s="443"/>
      <c r="BL209" s="471"/>
      <c r="BM209" s="471"/>
      <c r="BN209" s="471"/>
      <c r="BO209" s="516"/>
      <c r="BP209" s="443"/>
      <c r="BQ209" s="471"/>
      <c r="BR209" s="471"/>
      <c r="BS209" s="471"/>
      <c r="BT209" s="516"/>
      <c r="BU209" s="443"/>
      <c r="BV209" s="471"/>
      <c r="BW209" s="471"/>
      <c r="BX209" s="471"/>
      <c r="BY209" s="516"/>
      <c r="BZ209" s="443"/>
      <c r="CA209" s="471"/>
      <c r="CB209" s="471"/>
      <c r="CC209" s="471"/>
      <c r="CD209" s="516"/>
      <c r="CE209" s="443"/>
      <c r="CF209" s="471"/>
      <c r="CG209" s="471"/>
      <c r="CH209" s="471"/>
      <c r="CI209" s="516"/>
      <c r="CJ209" s="443"/>
      <c r="CK209" s="471"/>
      <c r="CL209" s="471"/>
      <c r="CM209" s="471"/>
      <c r="CN209" s="516"/>
      <c r="CO209" s="471">
        <f>CT209/(1+CT210)</f>
      </c>
      <c r="CP209" s="471">
        <f>CU209/(1+CU210)</f>
      </c>
      <c r="CQ209" s="471">
        <f>CV209/(1+CV210)</f>
      </c>
      <c r="CR209" s="471">
        <f>CW209/(1+CW210)</f>
      </c>
      <c r="CS209" s="516">
        <f>SUM(CO209:CR209)</f>
      </c>
      <c r="CT209" s="471">
        <f>CY209/(1+CY210)</f>
      </c>
      <c r="CU209" s="471">
        <f>CZ209/(1+CZ210)</f>
      </c>
      <c r="CV209" s="471">
        <f>DA209/(1+DA210)</f>
      </c>
      <c r="CW209" s="471">
        <f>DB209/(1+DB210)</f>
      </c>
      <c r="CX209" s="516">
        <f>SUM(CT209:CW209)</f>
      </c>
      <c r="CY209" s="471">
        <f>CY159-CY201</f>
      </c>
      <c r="CZ209" s="471">
        <f>CZ159-CZ201</f>
      </c>
      <c r="DA209" s="471">
        <f>DA159-DA201</f>
      </c>
      <c r="DB209" s="471">
        <f>DB159-DB201</f>
      </c>
      <c r="DC209" s="516">
        <f>SUM(CY209:DB209)</f>
      </c>
      <c r="DD209" s="471">
        <f>DD159-DD201</f>
      </c>
      <c r="DE209" s="471">
        <f>DE159-DE201</f>
      </c>
      <c r="DF209" s="471">
        <f>DF159-DF201</f>
      </c>
      <c r="DG209" s="471">
        <f>DG159-DG201</f>
      </c>
      <c r="DH209" s="516">
        <f>SUM(DD209:DG209)</f>
      </c>
      <c r="DI209" s="471">
        <f>DI159-DI201</f>
      </c>
      <c r="DJ209" s="471">
        <f>DJ159-DJ201</f>
      </c>
      <c r="DK209" s="471">
        <f>DK159-DK201</f>
      </c>
      <c r="DL209" s="471">
        <f>DL159-DL201</f>
      </c>
      <c r="DM209" s="516">
        <f>SUM(DI209:DL209)</f>
      </c>
      <c r="DN209" s="471">
        <f>DN159-DN201</f>
      </c>
      <c r="DO209" s="471">
        <f>DO159-DO201</f>
      </c>
      <c r="DP209" s="471">
        <f>DP159-DP201</f>
      </c>
      <c r="DQ209" s="471">
        <f>DQ159-DQ201</f>
      </c>
      <c r="DR209" s="516">
        <f>SUM(DN209:DQ209)</f>
      </c>
      <c r="DS209" s="471">
        <f>DS159-DS201</f>
      </c>
      <c r="DT209" s="471">
        <f>DT159-DT201</f>
      </c>
      <c r="DU209" s="471">
        <f>DU159-DU201</f>
      </c>
      <c r="DV209" s="471">
        <f>DV159-DV201</f>
      </c>
      <c r="DW209" s="516">
        <f>SUM(DS209:DV209)</f>
      </c>
      <c r="DX209" s="471">
        <f>DX159-DX201</f>
      </c>
      <c r="DY209" s="471">
        <f>DY159-DY201</f>
      </c>
      <c r="DZ209" s="471">
        <f>DZ159-DZ201</f>
      </c>
      <c r="EA209" s="471">
        <f>EA159-EA201</f>
      </c>
      <c r="EB209" s="516">
        <f>SUM(DX209:EA209)</f>
      </c>
      <c r="EC209" s="471">
        <f>EC159-EC201</f>
      </c>
      <c r="ED209" s="471">
        <f>ED159-ED201</f>
      </c>
      <c r="EE209" s="471">
        <f>EE159-EE201</f>
      </c>
      <c r="EF209" s="471">
        <f>EF159-EF201</f>
      </c>
      <c r="EG209" s="516">
        <f>SUM(EC209:EF209)</f>
      </c>
      <c r="EH209" s="443"/>
      <c r="EI209" s="471"/>
      <c r="EJ209" s="471"/>
      <c r="EK209" s="471"/>
      <c r="EL209" s="516"/>
      <c r="EM209" s="443"/>
      <c r="EN209" s="471"/>
      <c r="EO209" s="471"/>
      <c r="EP209" s="471"/>
      <c r="EQ209" s="516"/>
      <c r="ER209" s="443"/>
      <c r="ES209" s="471"/>
      <c r="ET209" s="471"/>
      <c r="EU209" s="471"/>
      <c r="EV209" s="516"/>
      <c r="EW209" s="443"/>
      <c r="EX209" s="471"/>
      <c r="EY209" s="471"/>
      <c r="EZ209" s="471"/>
      <c r="FA209" s="516"/>
      <c r="FB209" s="443"/>
      <c r="FC209" s="471"/>
      <c r="FD209" s="471"/>
      <c r="FE209" s="471"/>
      <c r="FF209" s="516"/>
      <c r="FG209" s="443"/>
      <c r="FH209" s="471"/>
      <c r="FI209" s="471"/>
      <c r="FJ209" s="471"/>
      <c r="FK209" s="516"/>
      <c r="FL209" s="443"/>
      <c r="FM209" s="471"/>
      <c r="FN209" s="471"/>
      <c r="FO209" s="471"/>
      <c r="FP209" s="516"/>
      <c r="FQ209" s="443"/>
      <c r="FR209" s="471"/>
      <c r="FS209" s="471"/>
      <c r="FT209" s="471"/>
      <c r="FU209" s="516"/>
      <c r="FV209" s="443"/>
      <c r="FW209" s="471"/>
      <c r="FX209" s="471"/>
      <c r="FY209" s="471"/>
      <c r="FZ209" s="516"/>
      <c r="GA209" s="443"/>
      <c r="GB209" s="471"/>
      <c r="GC209" s="471"/>
      <c r="GD209" s="471"/>
      <c r="GE209" s="516"/>
      <c r="GF209" s="443"/>
      <c r="GG209" s="471"/>
      <c r="GH209" s="471"/>
      <c r="GI209" s="471"/>
      <c r="GJ209" s="808"/>
    </row>
    <row r="210" spans="1:192" ht="12.75" hidden="1" customHeight="1" outlineLevel="1">
      <c r="B210" s="735" t="s">
        <v>34</v>
      </c>
      <c r="C210" s="291"/>
      <c r="D210" s="107"/>
      <c r="E210" s="107"/>
      <c r="F210" s="107"/>
      <c r="G210" s="293"/>
      <c r="H210" s="291"/>
      <c r="I210" s="107"/>
      <c r="J210" s="107"/>
      <c r="K210" s="107"/>
      <c r="L210" s="293"/>
      <c r="M210" s="291"/>
      <c r="N210" s="107"/>
      <c r="O210" s="107"/>
      <c r="P210" s="107"/>
      <c r="Q210" s="293"/>
      <c r="R210" s="291"/>
      <c r="S210" s="107"/>
      <c r="T210" s="107"/>
      <c r="U210" s="107"/>
      <c r="V210" s="293"/>
      <c r="W210" s="291"/>
      <c r="X210" s="107"/>
      <c r="Y210" s="107"/>
      <c r="Z210" s="107"/>
      <c r="AA210" s="293"/>
      <c r="AB210" s="291"/>
      <c r="AC210" s="107"/>
      <c r="AD210" s="107"/>
      <c r="AE210" s="107"/>
      <c r="AF210" s="293"/>
      <c r="AG210" s="291"/>
      <c r="AH210" s="107"/>
      <c r="AI210" s="107"/>
      <c r="AJ210" s="107"/>
      <c r="AK210" s="293"/>
      <c r="AL210" s="291"/>
      <c r="AM210" s="107"/>
      <c r="AN210" s="107"/>
      <c r="AO210" s="107"/>
      <c r="AP210" s="293"/>
      <c r="AQ210" s="291"/>
      <c r="AR210" s="107"/>
      <c r="AS210" s="107"/>
      <c r="AT210" s="107"/>
      <c r="AU210" s="293"/>
      <c r="AV210" s="291"/>
      <c r="AW210" s="107"/>
      <c r="AX210" s="107"/>
      <c r="AY210" s="107"/>
      <c r="AZ210" s="293"/>
      <c r="BA210" s="291"/>
      <c r="BB210" s="107"/>
      <c r="BC210" s="107"/>
      <c r="BD210" s="107"/>
      <c r="BE210" s="293"/>
      <c r="BF210" s="291"/>
      <c r="BG210" s="107"/>
      <c r="BH210" s="107"/>
      <c r="BI210" s="107"/>
      <c r="BJ210" s="293"/>
      <c r="BK210" s="291"/>
      <c r="BL210" s="107"/>
      <c r="BM210" s="107"/>
      <c r="BN210" s="107"/>
      <c r="BO210" s="293"/>
      <c r="BP210" s="291"/>
      <c r="BQ210" s="107"/>
      <c r="BR210" s="107"/>
      <c r="BS210" s="107"/>
      <c r="BT210" s="293"/>
      <c r="BU210" s="412"/>
      <c r="BV210" s="114"/>
      <c r="BW210" s="114"/>
      <c r="BX210" s="114"/>
      <c r="BY210" s="293"/>
      <c r="BZ210" s="412"/>
      <c r="CA210" s="114"/>
      <c r="CB210" s="114"/>
      <c r="CC210" s="114"/>
      <c r="CD210" s="293"/>
      <c r="CE210" s="412"/>
      <c r="CF210" s="114"/>
      <c r="CG210" s="114"/>
      <c r="CH210" s="114"/>
      <c r="CI210" s="293"/>
      <c r="CJ210" s="412"/>
      <c r="CK210" s="114"/>
      <c r="CL210" s="114"/>
      <c r="CM210" s="114"/>
      <c r="CN210" s="293"/>
      <c r="CO210" s="412"/>
      <c r="CP210" s="801"/>
      <c r="CQ210" s="114"/>
      <c r="CR210" s="114"/>
      <c r="CS210" s="293"/>
      <c r="CT210" s="412">
        <v>-0.22</v>
      </c>
      <c r="CU210" s="114">
        <v>-0.2</v>
      </c>
      <c r="CV210" s="114">
        <v>-0.15</v>
      </c>
      <c r="CW210" s="114">
        <v>-0.09</v>
      </c>
      <c r="CX210" s="414">
        <v>-0.17</v>
      </c>
      <c r="CY210" s="412">
        <v>-0.01</v>
      </c>
      <c r="CZ210" s="114">
        <v>-0.13</v>
      </c>
      <c r="DA210" s="114">
        <v>-0.26</v>
      </c>
      <c r="DB210" s="114">
        <v>-0.27</v>
      </c>
      <c r="DC210" s="414">
        <v>-0.16</v>
      </c>
      <c r="DD210" s="412">
        <v>-0.04</v>
      </c>
      <c r="DE210" s="114">
        <v>-0.03</v>
      </c>
      <c r="DF210" s="114">
        <v>0.15</v>
      </c>
      <c r="DG210" s="114">
        <v>0.27</v>
      </c>
      <c r="DH210" s="414">
        <v>7.0000000000000007E-2</v>
      </c>
      <c r="DI210" s="441">
        <v>0</v>
      </c>
      <c r="DJ210" s="439">
        <v>0.08</v>
      </c>
      <c r="DK210" s="439">
        <v>0.01</v>
      </c>
      <c r="DL210" s="439">
        <v>0.02</v>
      </c>
      <c r="DM210" s="414">
        <v>0.03</v>
      </c>
      <c r="DN210" s="412">
        <v>-0.01</v>
      </c>
      <c r="DO210" s="114">
        <v>-0.05</v>
      </c>
      <c r="DP210" s="114">
        <v>-0.08</v>
      </c>
      <c r="DQ210" s="114">
        <v>-0.03</v>
      </c>
      <c r="DR210" s="414">
        <v>-0.04</v>
      </c>
      <c r="DS210" s="412">
        <v>-0.05</v>
      </c>
      <c r="DT210" s="114">
        <v>-0.11</v>
      </c>
      <c r="DU210" s="114">
        <v>-0.01</v>
      </c>
      <c r="DV210" s="114">
        <v>-0.08</v>
      </c>
      <c r="DW210" s="414">
        <v>-7.0000000000000007E-2</v>
      </c>
      <c r="DX210" s="412">
        <v>-7.0000000000000007E-2</v>
      </c>
      <c r="DY210" s="114">
        <v>0.04</v>
      </c>
      <c r="DZ210" s="114">
        <v>-0.1</v>
      </c>
      <c r="EA210" s="114">
        <v>0.34</v>
      </c>
      <c r="EB210" s="414">
        <v>0.05</v>
      </c>
      <c r="EC210" s="412">
        <v>0.31</v>
      </c>
      <c r="ED210" s="439">
        <v>0.24</v>
      </c>
      <c r="EE210" s="439">
        <v>0.44</v>
      </c>
      <c r="EF210" s="439">
        <v>-0.04</v>
      </c>
      <c r="EG210" s="414">
        <v>0.21</v>
      </c>
      <c r="EH210" s="412"/>
      <c r="EI210" s="114"/>
      <c r="EJ210" s="114"/>
      <c r="EK210" s="114"/>
      <c r="EL210" s="293"/>
      <c r="EM210" s="412"/>
      <c r="EN210" s="114"/>
      <c r="EO210" s="114"/>
      <c r="EP210" s="114"/>
      <c r="EQ210" s="293"/>
      <c r="ER210" s="412"/>
      <c r="ES210" s="107"/>
      <c r="ET210" s="114"/>
      <c r="EU210" s="107"/>
      <c r="EV210" s="293"/>
      <c r="EW210" s="291"/>
      <c r="EX210" s="107"/>
      <c r="EY210" s="107"/>
      <c r="EZ210" s="107"/>
      <c r="FA210" s="293"/>
      <c r="FB210" s="291"/>
      <c r="FC210" s="107"/>
      <c r="FD210" s="107"/>
      <c r="FE210" s="107"/>
      <c r="FF210" s="293"/>
      <c r="FG210" s="291"/>
      <c r="FH210" s="107"/>
      <c r="FI210" s="107"/>
      <c r="FJ210" s="107"/>
      <c r="FK210" s="293"/>
      <c r="FL210" s="291"/>
      <c r="FM210" s="107"/>
      <c r="FN210" s="107"/>
      <c r="FO210" s="107"/>
      <c r="FP210" s="293"/>
      <c r="FQ210" s="291"/>
      <c r="FR210" s="107"/>
      <c r="FS210" s="107"/>
      <c r="FT210" s="107"/>
      <c r="FU210" s="293"/>
      <c r="FV210" s="291"/>
      <c r="FW210" s="107"/>
      <c r="FX210" s="107"/>
      <c r="FY210" s="107"/>
      <c r="FZ210" s="293"/>
      <c r="GA210" s="291"/>
      <c r="GB210" s="107"/>
      <c r="GC210" s="107"/>
      <c r="GD210" s="107"/>
      <c r="GE210" s="293"/>
      <c r="GF210" s="291"/>
      <c r="GG210" s="107"/>
      <c r="GH210" s="107"/>
      <c r="GI210" s="107"/>
      <c r="GJ210" s="382"/>
    </row>
    <row r="211" spans="1:192" ht="12.75" hidden="1" customHeight="1" outlineLevel="1">
      <c r="B211" s="735" t="s">
        <v>36</v>
      </c>
      <c r="C211" s="291"/>
      <c r="D211" s="107"/>
      <c r="E211" s="107"/>
      <c r="F211" s="107"/>
      <c r="G211" s="293"/>
      <c r="H211" s="291"/>
      <c r="I211" s="107"/>
      <c r="J211" s="107"/>
      <c r="K211" s="107"/>
      <c r="L211" s="293"/>
      <c r="M211" s="291"/>
      <c r="N211" s="107"/>
      <c r="O211" s="107"/>
      <c r="P211" s="107"/>
      <c r="Q211" s="293"/>
      <c r="R211" s="291"/>
      <c r="S211" s="107"/>
      <c r="T211" s="107"/>
      <c r="U211" s="107"/>
      <c r="V211" s="293"/>
      <c r="W211" s="291"/>
      <c r="X211" s="107"/>
      <c r="Y211" s="107"/>
      <c r="Z211" s="107"/>
      <c r="AA211" s="293"/>
      <c r="AB211" s="291"/>
      <c r="AC211" s="107"/>
      <c r="AD211" s="107"/>
      <c r="AE211" s="107"/>
      <c r="AF211" s="293"/>
      <c r="AG211" s="291"/>
      <c r="AH211" s="107"/>
      <c r="AI211" s="107"/>
      <c r="AJ211" s="107"/>
      <c r="AK211" s="293"/>
      <c r="AL211" s="291"/>
      <c r="AM211" s="107"/>
      <c r="AN211" s="107"/>
      <c r="AO211" s="107"/>
      <c r="AP211" s="293"/>
      <c r="AQ211" s="291"/>
      <c r="AR211" s="107"/>
      <c r="AS211" s="107"/>
      <c r="AT211" s="107"/>
      <c r="AU211" s="293"/>
      <c r="AV211" s="291"/>
      <c r="AW211" s="107"/>
      <c r="AX211" s="107"/>
      <c r="AY211" s="107"/>
      <c r="AZ211" s="293"/>
      <c r="BA211" s="291"/>
      <c r="BB211" s="107"/>
      <c r="BC211" s="107"/>
      <c r="BD211" s="107"/>
      <c r="BE211" s="293"/>
      <c r="BF211" s="291"/>
      <c r="BG211" s="107"/>
      <c r="BH211" s="107"/>
      <c r="BI211" s="107"/>
      <c r="BJ211" s="293"/>
      <c r="BK211" s="291"/>
      <c r="BL211" s="107"/>
      <c r="BM211" s="107"/>
      <c r="BN211" s="107"/>
      <c r="BO211" s="293"/>
      <c r="BP211" s="291"/>
      <c r="BQ211" s="107"/>
      <c r="BR211" s="107"/>
      <c r="BS211" s="107"/>
      <c r="BT211" s="293"/>
      <c r="BU211" s="291"/>
      <c r="BV211" s="107"/>
      <c r="BW211" s="107"/>
      <c r="BX211" s="107"/>
      <c r="BY211" s="293"/>
      <c r="BZ211" s="291"/>
      <c r="CA211" s="107"/>
      <c r="CB211" s="107"/>
      <c r="CC211" s="107"/>
      <c r="CD211" s="293"/>
      <c r="CE211" s="291"/>
      <c r="CF211" s="107"/>
      <c r="CG211" s="107"/>
      <c r="CH211" s="107"/>
      <c r="CI211" s="293"/>
      <c r="CJ211" s="291"/>
      <c r="CK211" s="107"/>
      <c r="CL211" s="107"/>
      <c r="CM211" s="107"/>
      <c r="CN211" s="293"/>
      <c r="CO211" s="291"/>
      <c r="CP211" s="107">
        <f>CP209/CO209-1</f>
      </c>
      <c r="CQ211" s="107">
        <f>CQ209/CP209-1</f>
      </c>
      <c r="CR211" s="107">
        <f>CR209/CQ209-1</f>
      </c>
      <c r="CS211" s="292"/>
      <c r="CT211" s="291">
        <f>CT209/CR209-1</f>
      </c>
      <c r="CU211" s="107">
        <f>CU209/CT209-1</f>
      </c>
      <c r="CV211" s="107">
        <f>CV209/CU209-1</f>
      </c>
      <c r="CW211" s="107">
        <f>CW209/CV209-1</f>
      </c>
      <c r="CX211" s="292"/>
      <c r="CY211" s="291">
        <f>CY209/CW209-1</f>
      </c>
      <c r="CZ211" s="107">
        <f>CZ209/CY209-1</f>
      </c>
      <c r="DA211" s="107">
        <f>DA209/CZ209-1</f>
      </c>
      <c r="DB211" s="107">
        <f>DB209/DA209-1</f>
      </c>
      <c r="DC211" s="292"/>
      <c r="DD211" s="291">
        <f>DD209/DB209-1</f>
      </c>
      <c r="DE211" s="107">
        <f>DE209/DD209-1</f>
      </c>
      <c r="DF211" s="107">
        <f>DF209/DE209-1</f>
      </c>
      <c r="DG211" s="107">
        <f>DG209/DF209-1</f>
      </c>
      <c r="DH211" s="292"/>
      <c r="DI211" s="291">
        <f>DI209/DG209-1</f>
      </c>
      <c r="DJ211" s="107">
        <f>DJ209/DI209-1</f>
      </c>
      <c r="DK211" s="107">
        <f>DK209/DJ209-1</f>
      </c>
      <c r="DL211" s="107">
        <f>DL209/DK209-1</f>
      </c>
      <c r="DM211" s="292"/>
      <c r="DN211" s="291">
        <f>DN209/DL209-1</f>
      </c>
      <c r="DO211" s="107">
        <f>DO209/DN209-1</f>
      </c>
      <c r="DP211" s="107">
        <f>DP209/DO209-1</f>
      </c>
      <c r="DQ211" s="107">
        <f>DQ209/DP209-1</f>
      </c>
      <c r="DR211" s="292"/>
      <c r="DS211" s="291">
        <f>DS209/DQ209-1</f>
      </c>
      <c r="DT211" s="107">
        <f>DT209/DS209-1</f>
      </c>
      <c r="DU211" s="107">
        <f>DU209/DT209-1</f>
      </c>
      <c r="DV211" s="107">
        <f>DV209/DU209-1</f>
      </c>
      <c r="DW211" s="292"/>
      <c r="DX211" s="291">
        <f>DX209/DV209-1</f>
      </c>
      <c r="DY211" s="107">
        <f>DY209/DX209-1</f>
      </c>
      <c r="DZ211" s="107">
        <f>DZ209/DY209-1</f>
      </c>
      <c r="EA211" s="107">
        <f>EA209/DZ209-1</f>
      </c>
      <c r="EB211" s="292"/>
      <c r="EC211" s="291">
        <f>EC209/EA209-1</f>
      </c>
      <c r="ED211" s="107">
        <f>ED209/EC209-1</f>
      </c>
      <c r="EE211" s="107">
        <f>EE209/ED209-1</f>
      </c>
      <c r="EF211" s="107">
        <f>EF209/EE209-1</f>
      </c>
      <c r="EG211" s="292"/>
      <c r="EH211" s="291"/>
      <c r="EI211" s="107"/>
      <c r="EJ211" s="107"/>
      <c r="EK211" s="107"/>
      <c r="EL211" s="292"/>
      <c r="EM211" s="291"/>
      <c r="EN211" s="107"/>
      <c r="EO211" s="107"/>
      <c r="EP211" s="107"/>
      <c r="EQ211" s="292"/>
      <c r="ER211" s="291"/>
      <c r="ES211" s="107"/>
      <c r="ET211" s="107"/>
      <c r="EU211" s="107"/>
      <c r="EV211" s="292"/>
      <c r="EW211" s="291"/>
      <c r="EX211" s="107"/>
      <c r="EY211" s="107"/>
      <c r="EZ211" s="107"/>
      <c r="FA211" s="292"/>
      <c r="FB211" s="291"/>
      <c r="FC211" s="107"/>
      <c r="FD211" s="107"/>
      <c r="FE211" s="107"/>
      <c r="FF211" s="292"/>
      <c r="FG211" s="291"/>
      <c r="FH211" s="107"/>
      <c r="FI211" s="107"/>
      <c r="FJ211" s="107"/>
      <c r="FK211" s="292"/>
      <c r="FL211" s="291"/>
      <c r="FM211" s="107"/>
      <c r="FN211" s="107"/>
      <c r="FO211" s="107"/>
      <c r="FP211" s="292"/>
      <c r="FQ211" s="291"/>
      <c r="FR211" s="107"/>
      <c r="FS211" s="107"/>
      <c r="FT211" s="107"/>
      <c r="FU211" s="292"/>
      <c r="FV211" s="291"/>
      <c r="FW211" s="107"/>
      <c r="FX211" s="107"/>
      <c r="FY211" s="107"/>
      <c r="FZ211" s="292"/>
      <c r="GA211" s="291"/>
      <c r="GB211" s="107"/>
      <c r="GC211" s="107"/>
      <c r="GD211" s="107"/>
      <c r="GE211" s="292"/>
      <c r="GF211" s="291"/>
      <c r="GG211" s="107"/>
      <c r="GH211" s="107"/>
      <c r="GI211" s="107"/>
      <c r="GJ211" s="382"/>
    </row>
    <row r="212" spans="1:192" s="461" customFormat="1" ht="12.75" hidden="1" customHeight="1" outlineLevel="1">
      <c r="A212" s="850"/>
      <c r="B212" s="735" t="s">
        <v>243</v>
      </c>
      <c r="C212" s="447"/>
      <c r="D212" s="458"/>
      <c r="E212" s="458"/>
      <c r="F212" s="458"/>
      <c r="G212" s="459"/>
      <c r="H212" s="447"/>
      <c r="I212" s="458"/>
      <c r="J212" s="458"/>
      <c r="K212" s="458"/>
      <c r="L212" s="459"/>
      <c r="M212" s="447"/>
      <c r="N212" s="458"/>
      <c r="O212" s="458"/>
      <c r="P212" s="458"/>
      <c r="Q212" s="459"/>
      <c r="R212" s="447"/>
      <c r="S212" s="458"/>
      <c r="T212" s="458"/>
      <c r="U212" s="458"/>
      <c r="V212" s="459"/>
      <c r="W212" s="447"/>
      <c r="X212" s="458"/>
      <c r="Y212" s="458"/>
      <c r="Z212" s="458"/>
      <c r="AA212" s="459"/>
      <c r="AB212" s="447"/>
      <c r="AC212" s="458"/>
      <c r="AD212" s="458"/>
      <c r="AE212" s="458"/>
      <c r="AF212" s="459"/>
      <c r="AG212" s="447"/>
      <c r="AH212" s="458"/>
      <c r="AI212" s="458"/>
      <c r="AJ212" s="458"/>
      <c r="AK212" s="459"/>
      <c r="AL212" s="447"/>
      <c r="AM212" s="458"/>
      <c r="AN212" s="458"/>
      <c r="AO212" s="458"/>
      <c r="AP212" s="459"/>
      <c r="AQ212" s="447"/>
      <c r="AR212" s="458"/>
      <c r="AS212" s="458"/>
      <c r="AT212" s="458"/>
      <c r="AU212" s="459"/>
      <c r="AV212" s="447"/>
      <c r="AW212" s="458"/>
      <c r="AX212" s="458"/>
      <c r="AY212" s="458"/>
      <c r="AZ212" s="459"/>
      <c r="BA212" s="447"/>
      <c r="BB212" s="458"/>
      <c r="BC212" s="458"/>
      <c r="BD212" s="458"/>
      <c r="BE212" s="459"/>
      <c r="BF212" s="447"/>
      <c r="BG212" s="458"/>
      <c r="BH212" s="458"/>
      <c r="BI212" s="458"/>
      <c r="BJ212" s="459"/>
      <c r="BK212" s="447"/>
      <c r="BL212" s="458"/>
      <c r="BM212" s="458"/>
      <c r="BN212" s="458"/>
      <c r="BO212" s="459"/>
      <c r="BP212" s="447"/>
      <c r="BQ212" s="458"/>
      <c r="BR212" s="458"/>
      <c r="BS212" s="458"/>
      <c r="BT212" s="459"/>
      <c r="BU212" s="447"/>
      <c r="BV212" s="458"/>
      <c r="BW212" s="458"/>
      <c r="BX212" s="458"/>
      <c r="BY212" s="459"/>
      <c r="BZ212" s="447"/>
      <c r="CA212" s="458"/>
      <c r="CB212" s="458"/>
      <c r="CC212" s="458"/>
      <c r="CD212" s="459"/>
      <c r="CE212" s="447"/>
      <c r="CF212" s="458"/>
      <c r="CG212" s="458"/>
      <c r="CH212" s="458"/>
      <c r="CI212" s="459"/>
      <c r="CJ212" s="447"/>
      <c r="CK212" s="458"/>
      <c r="CL212" s="458"/>
      <c r="CM212" s="458"/>
      <c r="CN212" s="459"/>
      <c r="CO212" s="458"/>
      <c r="CP212" s="458"/>
      <c r="CQ212" s="458"/>
      <c r="CR212" s="458"/>
      <c r="CS212" s="459"/>
      <c r="CT212" s="458">
        <f t="shared" ref="CT212:EG212" si="170">CT209-CO209</f>
      </c>
      <c r="CU212" s="458">
        <f t="shared" si="170"/>
      </c>
      <c r="CV212" s="458">
        <f t="shared" si="170"/>
      </c>
      <c r="CW212" s="458">
        <f t="shared" si="170"/>
      </c>
      <c r="CX212" s="459">
        <f t="shared" si="170"/>
      </c>
      <c r="CY212" s="458">
        <f t="shared" si="170"/>
      </c>
      <c r="CZ212" s="458">
        <f t="shared" si="170"/>
      </c>
      <c r="DA212" s="458">
        <f t="shared" si="170"/>
      </c>
      <c r="DB212" s="458">
        <f t="shared" si="170"/>
      </c>
      <c r="DC212" s="459">
        <f t="shared" si="170"/>
      </c>
      <c r="DD212" s="458">
        <f t="shared" si="170"/>
      </c>
      <c r="DE212" s="458">
        <f t="shared" si="170"/>
      </c>
      <c r="DF212" s="458">
        <f t="shared" si="170"/>
      </c>
      <c r="DG212" s="458">
        <f t="shared" si="170"/>
      </c>
      <c r="DH212" s="459">
        <f t="shared" si="170"/>
      </c>
      <c r="DI212" s="458">
        <f t="shared" si="170"/>
      </c>
      <c r="DJ212" s="458">
        <f t="shared" si="170"/>
      </c>
      <c r="DK212" s="458">
        <f t="shared" si="170"/>
      </c>
      <c r="DL212" s="458">
        <f t="shared" si="170"/>
      </c>
      <c r="DM212" s="459">
        <f t="shared" si="170"/>
      </c>
      <c r="DN212" s="458">
        <f t="shared" si="170"/>
      </c>
      <c r="DO212" s="458">
        <f t="shared" si="170"/>
      </c>
      <c r="DP212" s="458">
        <f t="shared" si="170"/>
      </c>
      <c r="DQ212" s="458">
        <f t="shared" si="170"/>
      </c>
      <c r="DR212" s="459">
        <f t="shared" si="170"/>
      </c>
      <c r="DS212" s="458">
        <f t="shared" si="170"/>
      </c>
      <c r="DT212" s="458">
        <f t="shared" si="170"/>
      </c>
      <c r="DU212" s="458">
        <f t="shared" si="170"/>
      </c>
      <c r="DV212" s="458">
        <f t="shared" si="170"/>
      </c>
      <c r="DW212" s="459">
        <f t="shared" si="170"/>
      </c>
      <c r="DX212" s="458">
        <f t="shared" si="170"/>
      </c>
      <c r="DY212" s="458">
        <f t="shared" si="170"/>
      </c>
      <c r="DZ212" s="458">
        <f t="shared" si="170"/>
      </c>
      <c r="EA212" s="458">
        <f t="shared" si="170"/>
      </c>
      <c r="EB212" s="459">
        <f t="shared" si="170"/>
      </c>
      <c r="EC212" s="458">
        <f t="shared" si="170"/>
      </c>
      <c r="ED212" s="458">
        <f t="shared" si="170"/>
      </c>
      <c r="EE212" s="458">
        <f t="shared" si="170"/>
      </c>
      <c r="EF212" s="458">
        <f t="shared" si="170"/>
      </c>
      <c r="EG212" s="459">
        <f t="shared" si="170"/>
      </c>
      <c r="EH212" s="458"/>
      <c r="EI212" s="458"/>
      <c r="EJ212" s="458"/>
      <c r="EK212" s="458"/>
      <c r="EL212" s="459"/>
      <c r="EM212" s="458"/>
      <c r="EN212" s="458"/>
      <c r="EO212" s="458"/>
      <c r="EP212" s="458"/>
      <c r="EQ212" s="459"/>
      <c r="ER212" s="458"/>
      <c r="ES212" s="458"/>
      <c r="ET212" s="458"/>
      <c r="EU212" s="458"/>
      <c r="EV212" s="459"/>
      <c r="EW212" s="458"/>
      <c r="EX212" s="458"/>
      <c r="EY212" s="458"/>
      <c r="EZ212" s="458"/>
      <c r="FA212" s="459"/>
      <c r="FB212" s="458"/>
      <c r="FC212" s="458"/>
      <c r="FD212" s="458"/>
      <c r="FE212" s="458"/>
      <c r="FF212" s="459"/>
      <c r="FG212" s="458"/>
      <c r="FH212" s="458"/>
      <c r="FI212" s="458"/>
      <c r="FJ212" s="458"/>
      <c r="FK212" s="459"/>
      <c r="FL212" s="458"/>
      <c r="FM212" s="458"/>
      <c r="FN212" s="458"/>
      <c r="FO212" s="458"/>
      <c r="FP212" s="459"/>
      <c r="FQ212" s="458"/>
      <c r="FR212" s="458"/>
      <c r="FS212" s="458"/>
      <c r="FT212" s="458"/>
      <c r="FU212" s="459"/>
      <c r="FV212" s="447"/>
      <c r="FW212" s="458"/>
      <c r="FX212" s="458"/>
      <c r="FY212" s="458"/>
      <c r="FZ212" s="459"/>
      <c r="GA212" s="447"/>
      <c r="GB212" s="458"/>
      <c r="GC212" s="458"/>
      <c r="GD212" s="458"/>
      <c r="GE212" s="459"/>
      <c r="GF212" s="447"/>
      <c r="GG212" s="458"/>
      <c r="GH212" s="458"/>
      <c r="GI212" s="458"/>
      <c r="GJ212" s="460"/>
    </row>
    <row r="213" spans="1:192" s="461" customFormat="1" ht="12.75" hidden="1" customHeight="1" outlineLevel="1">
      <c r="A213" s="850"/>
      <c r="B213" s="735" t="s">
        <v>244</v>
      </c>
      <c r="C213" s="447"/>
      <c r="D213" s="458"/>
      <c r="E213" s="458"/>
      <c r="F213" s="458"/>
      <c r="G213" s="459"/>
      <c r="H213" s="447"/>
      <c r="I213" s="458"/>
      <c r="J213" s="458"/>
      <c r="K213" s="458"/>
      <c r="L213" s="459"/>
      <c r="M213" s="447"/>
      <c r="N213" s="458"/>
      <c r="O213" s="458"/>
      <c r="P213" s="458"/>
      <c r="Q213" s="459"/>
      <c r="R213" s="447"/>
      <c r="S213" s="458"/>
      <c r="T213" s="458"/>
      <c r="U213" s="458"/>
      <c r="V213" s="459"/>
      <c r="W213" s="447"/>
      <c r="X213" s="458"/>
      <c r="Y213" s="458"/>
      <c r="Z213" s="458"/>
      <c r="AA213" s="459"/>
      <c r="AB213" s="447"/>
      <c r="AC213" s="458"/>
      <c r="AD213" s="458"/>
      <c r="AE213" s="458"/>
      <c r="AF213" s="459"/>
      <c r="AG213" s="447"/>
      <c r="AH213" s="458"/>
      <c r="AI213" s="458"/>
      <c r="AJ213" s="458"/>
      <c r="AK213" s="459"/>
      <c r="AL213" s="447"/>
      <c r="AM213" s="458"/>
      <c r="AN213" s="458"/>
      <c r="AO213" s="458"/>
      <c r="AP213" s="459"/>
      <c r="AQ213" s="447"/>
      <c r="AR213" s="458"/>
      <c r="AS213" s="458"/>
      <c r="AT213" s="458"/>
      <c r="AU213" s="459"/>
      <c r="AV213" s="447"/>
      <c r="AW213" s="458"/>
      <c r="AX213" s="458"/>
      <c r="AY213" s="458"/>
      <c r="AZ213" s="459"/>
      <c r="BA213" s="447"/>
      <c r="BB213" s="458"/>
      <c r="BC213" s="458"/>
      <c r="BD213" s="458"/>
      <c r="BE213" s="459"/>
      <c r="BF213" s="447"/>
      <c r="BG213" s="458"/>
      <c r="BH213" s="458"/>
      <c r="BI213" s="458"/>
      <c r="BJ213" s="459"/>
      <c r="BK213" s="447"/>
      <c r="BL213" s="458"/>
      <c r="BM213" s="458"/>
      <c r="BN213" s="458"/>
      <c r="BO213" s="459"/>
      <c r="BP213" s="447"/>
      <c r="BQ213" s="458"/>
      <c r="BR213" s="458"/>
      <c r="BS213" s="458"/>
      <c r="BT213" s="459"/>
      <c r="BU213" s="447"/>
      <c r="BV213" s="458"/>
      <c r="BW213" s="458"/>
      <c r="BX213" s="458"/>
      <c r="BY213" s="459"/>
      <c r="BZ213" s="447"/>
      <c r="CA213" s="458"/>
      <c r="CB213" s="458"/>
      <c r="CC213" s="458"/>
      <c r="CD213" s="459"/>
      <c r="CE213" s="447"/>
      <c r="CF213" s="458"/>
      <c r="CG213" s="458"/>
      <c r="CH213" s="458"/>
      <c r="CI213" s="459"/>
      <c r="CJ213" s="447"/>
      <c r="CK213" s="458"/>
      <c r="CL213" s="458"/>
      <c r="CM213" s="458"/>
      <c r="CN213" s="459"/>
      <c r="CO213" s="447"/>
      <c r="CP213" s="458">
        <f>CP209-CO209</f>
      </c>
      <c r="CQ213" s="458">
        <f>CQ209-CP209</f>
      </c>
      <c r="CR213" s="458">
        <f>CR209-CQ209</f>
      </c>
      <c r="CS213" s="459"/>
      <c r="CT213" s="447">
        <f>CT209-CR209</f>
      </c>
      <c r="CU213" s="458">
        <f>CU209-CT209</f>
      </c>
      <c r="CV213" s="458">
        <f>CV209-CU209</f>
      </c>
      <c r="CW213" s="458">
        <f>CW209-CV209</f>
      </c>
      <c r="CX213" s="459"/>
      <c r="CY213" s="447">
        <f>CY209-CW209</f>
      </c>
      <c r="CZ213" s="458">
        <f>CZ209-CY209</f>
      </c>
      <c r="DA213" s="458">
        <f>DA209-CZ209</f>
      </c>
      <c r="DB213" s="458">
        <f>DB209-DA209</f>
      </c>
      <c r="DC213" s="459"/>
      <c r="DD213" s="447">
        <f>DD209-DB209</f>
      </c>
      <c r="DE213" s="458">
        <f>DE209-DD209</f>
      </c>
      <c r="DF213" s="458">
        <f>DF209-DE209</f>
      </c>
      <c r="DG213" s="458">
        <f>DG209-DF209</f>
      </c>
      <c r="DH213" s="459"/>
      <c r="DI213" s="447">
        <f>DI209-DG209</f>
      </c>
      <c r="DJ213" s="458">
        <f>DJ209-DI209</f>
      </c>
      <c r="DK213" s="458">
        <f>DK209-DJ209</f>
      </c>
      <c r="DL213" s="458">
        <f>DL209-DK209</f>
      </c>
      <c r="DM213" s="459"/>
      <c r="DN213" s="447">
        <f>DN209-DL209</f>
      </c>
      <c r="DO213" s="458">
        <f>DO209-DN209</f>
      </c>
      <c r="DP213" s="458">
        <f>DP209-DO209</f>
      </c>
      <c r="DQ213" s="458">
        <f>DQ209-DP209</f>
      </c>
      <c r="DR213" s="459"/>
      <c r="DS213" s="447">
        <f>DS209-DQ209</f>
      </c>
      <c r="DT213" s="458">
        <f>DT209-DS209</f>
      </c>
      <c r="DU213" s="458">
        <f>DU209-DT209</f>
      </c>
      <c r="DV213" s="458">
        <f>DV209-DU209</f>
      </c>
      <c r="DW213" s="459"/>
      <c r="DX213" s="447">
        <f>DX209-DV209</f>
      </c>
      <c r="DY213" s="458">
        <f>DY209-DX209</f>
      </c>
      <c r="DZ213" s="458">
        <f>DZ209-DY209</f>
      </c>
      <c r="EA213" s="458">
        <f>EA209-DZ209</f>
      </c>
      <c r="EB213" s="459"/>
      <c r="EC213" s="447">
        <f>EC209-EA209</f>
      </c>
      <c r="ED213" s="458">
        <f>ED209-EC209</f>
      </c>
      <c r="EE213" s="458">
        <f>EE209-ED209</f>
      </c>
      <c r="EF213" s="458">
        <f>EF209-EE209</f>
      </c>
      <c r="EG213" s="459"/>
      <c r="EH213" s="447"/>
      <c r="EI213" s="458"/>
      <c r="EJ213" s="458"/>
      <c r="EK213" s="458"/>
      <c r="EL213" s="459"/>
      <c r="EM213" s="447"/>
      <c r="EN213" s="458"/>
      <c r="EO213" s="458"/>
      <c r="EP213" s="458"/>
      <c r="EQ213" s="459"/>
      <c r="ER213" s="447"/>
      <c r="ES213" s="458"/>
      <c r="ET213" s="458"/>
      <c r="EU213" s="458"/>
      <c r="EV213" s="459"/>
      <c r="EW213" s="447"/>
      <c r="EX213" s="458"/>
      <c r="EY213" s="458"/>
      <c r="EZ213" s="458"/>
      <c r="FA213" s="459"/>
      <c r="FB213" s="447"/>
      <c r="FC213" s="458"/>
      <c r="FD213" s="458"/>
      <c r="FE213" s="458"/>
      <c r="FF213" s="459"/>
      <c r="FG213" s="447"/>
      <c r="FH213" s="458"/>
      <c r="FI213" s="458"/>
      <c r="FJ213" s="458"/>
      <c r="FK213" s="459"/>
      <c r="FL213" s="447"/>
      <c r="FM213" s="458"/>
      <c r="FN213" s="458"/>
      <c r="FO213" s="458"/>
      <c r="FP213" s="459"/>
      <c r="FQ213" s="447"/>
      <c r="FR213" s="458"/>
      <c r="FS213" s="458"/>
      <c r="FT213" s="458"/>
      <c r="FU213" s="459"/>
      <c r="FV213" s="447"/>
      <c r="FW213" s="458"/>
      <c r="FX213" s="458"/>
      <c r="FY213" s="458"/>
      <c r="FZ213" s="459"/>
      <c r="GA213" s="447"/>
      <c r="GB213" s="458"/>
      <c r="GC213" s="458"/>
      <c r="GD213" s="458"/>
      <c r="GE213" s="459"/>
      <c r="GF213" s="447"/>
      <c r="GG213" s="458"/>
      <c r="GH213" s="458"/>
      <c r="GI213" s="458"/>
      <c r="GJ213" s="460"/>
    </row>
    <row r="214" spans="1:192" ht="12.75" hidden="1" customHeight="1" outlineLevel="1">
      <c r="B214" s="735" t="s">
        <v>388</v>
      </c>
      <c r="C214" s="294"/>
      <c r="D214" s="295"/>
      <c r="E214" s="295"/>
      <c r="F214" s="295"/>
      <c r="G214" s="296"/>
      <c r="H214" s="294"/>
      <c r="I214" s="295"/>
      <c r="J214" s="295"/>
      <c r="K214" s="295"/>
      <c r="L214" s="296"/>
      <c r="M214" s="294"/>
      <c r="N214" s="295"/>
      <c r="O214" s="295"/>
      <c r="P214" s="295"/>
      <c r="Q214" s="296"/>
      <c r="R214" s="294"/>
      <c r="S214" s="295"/>
      <c r="T214" s="295"/>
      <c r="U214" s="295"/>
      <c r="V214" s="296"/>
      <c r="W214" s="294"/>
      <c r="X214" s="295"/>
      <c r="Y214" s="295"/>
      <c r="Z214" s="295"/>
      <c r="AA214" s="296"/>
      <c r="AB214" s="294"/>
      <c r="AC214" s="295"/>
      <c r="AD214" s="295"/>
      <c r="AE214" s="295"/>
      <c r="AF214" s="296"/>
      <c r="AG214" s="294"/>
      <c r="AH214" s="295"/>
      <c r="AI214" s="295"/>
      <c r="AJ214" s="295"/>
      <c r="AK214" s="296"/>
      <c r="AL214" s="294"/>
      <c r="AM214" s="295"/>
      <c r="AN214" s="295"/>
      <c r="AO214" s="295"/>
      <c r="AP214" s="296"/>
      <c r="AQ214" s="294"/>
      <c r="AR214" s="295"/>
      <c r="AS214" s="295"/>
      <c r="AT214" s="295"/>
      <c r="AU214" s="296"/>
      <c r="AV214" s="294"/>
      <c r="AW214" s="295"/>
      <c r="AX214" s="295"/>
      <c r="AY214" s="295"/>
      <c r="AZ214" s="296"/>
      <c r="BA214" s="294"/>
      <c r="BB214" s="295"/>
      <c r="BC214" s="295"/>
      <c r="BD214" s="295"/>
      <c r="BE214" s="296"/>
      <c r="BF214" s="294"/>
      <c r="BG214" s="295"/>
      <c r="BH214" s="295"/>
      <c r="BI214" s="295"/>
      <c r="BJ214" s="296"/>
      <c r="BK214" s="294"/>
      <c r="BL214" s="295"/>
      <c r="BM214" s="295"/>
      <c r="BN214" s="295"/>
      <c r="BO214" s="296"/>
      <c r="BP214" s="294"/>
      <c r="BQ214" s="295"/>
      <c r="BR214" s="295"/>
      <c r="BS214" s="295"/>
      <c r="BT214" s="296"/>
      <c r="BU214" s="294"/>
      <c r="BV214" s="295"/>
      <c r="BW214" s="295"/>
      <c r="BX214" s="295"/>
      <c r="BY214" s="296"/>
      <c r="BZ214" s="294"/>
      <c r="CA214" s="295"/>
      <c r="CB214" s="295"/>
      <c r="CC214" s="295"/>
      <c r="CD214" s="296"/>
      <c r="CE214" s="294"/>
      <c r="CF214" s="295"/>
      <c r="CG214" s="295"/>
      <c r="CH214" s="295"/>
      <c r="CI214" s="296"/>
      <c r="CJ214" s="294"/>
      <c r="CK214" s="295"/>
      <c r="CL214" s="295"/>
      <c r="CM214" s="295"/>
      <c r="CN214" s="296"/>
      <c r="CO214" s="295">
        <f t="shared" ref="CO214:DX214" si="171">CO209/CO$159</f>
      </c>
      <c r="CP214" s="295">
        <f t="shared" si="171"/>
      </c>
      <c r="CQ214" s="295">
        <f t="shared" si="171"/>
      </c>
      <c r="CR214" s="295">
        <f t="shared" si="171"/>
      </c>
      <c r="CS214" s="296">
        <f t="shared" si="171"/>
      </c>
      <c r="CT214" s="295">
        <f t="shared" si="171"/>
      </c>
      <c r="CU214" s="295">
        <f t="shared" si="171"/>
      </c>
      <c r="CV214" s="295">
        <f t="shared" si="171"/>
      </c>
      <c r="CW214" s="295">
        <f t="shared" si="171"/>
      </c>
      <c r="CX214" s="296">
        <f t="shared" si="171"/>
      </c>
      <c r="CY214" s="295">
        <f t="shared" si="171"/>
      </c>
      <c r="CZ214" s="295">
        <f t="shared" si="171"/>
      </c>
      <c r="DA214" s="295">
        <f t="shared" si="171"/>
      </c>
      <c r="DB214" s="295">
        <f t="shared" si="171"/>
      </c>
      <c r="DC214" s="296">
        <f t="shared" si="171"/>
      </c>
      <c r="DD214" s="295">
        <f t="shared" si="171"/>
      </c>
      <c r="DE214" s="295">
        <f t="shared" si="171"/>
      </c>
      <c r="DF214" s="295">
        <f t="shared" si="171"/>
      </c>
      <c r="DG214" s="295">
        <f t="shared" si="171"/>
      </c>
      <c r="DH214" s="296">
        <f t="shared" si="171"/>
      </c>
      <c r="DI214" s="295">
        <f t="shared" si="171"/>
      </c>
      <c r="DJ214" s="295">
        <f t="shared" si="171"/>
      </c>
      <c r="DK214" s="295">
        <f t="shared" si="171"/>
      </c>
      <c r="DL214" s="295">
        <f t="shared" si="171"/>
      </c>
      <c r="DM214" s="296">
        <f t="shared" si="171"/>
      </c>
      <c r="DN214" s="295">
        <f t="shared" si="171"/>
      </c>
      <c r="DO214" s="295">
        <f t="shared" si="171"/>
      </c>
      <c r="DP214" s="295">
        <f t="shared" si="171"/>
      </c>
      <c r="DQ214" s="295">
        <f t="shared" si="171"/>
      </c>
      <c r="DR214" s="296">
        <f t="shared" si="171"/>
      </c>
      <c r="DS214" s="295">
        <f t="shared" si="171"/>
      </c>
      <c r="DT214" s="295">
        <f t="shared" si="171"/>
      </c>
      <c r="DU214" s="295">
        <f t="shared" si="171"/>
      </c>
      <c r="DV214" s="295">
        <f t="shared" si="171"/>
      </c>
      <c r="DW214" s="296">
        <f t="shared" si="171"/>
      </c>
      <c r="DX214" s="295">
        <f t="shared" si="171"/>
      </c>
      <c r="DY214" s="114">
        <f>2/6</f>
      </c>
      <c r="DZ214" s="295">
        <f t="shared" ref="DZ214:EG214" si="172">DZ209/DZ$159</f>
      </c>
      <c r="EA214" s="295">
        <f t="shared" si="172"/>
      </c>
      <c r="EB214" s="296">
        <f t="shared" si="172"/>
      </c>
      <c r="EC214" s="295">
        <f t="shared" si="172"/>
      </c>
      <c r="ED214" s="295">
        <f t="shared" si="172"/>
      </c>
      <c r="EE214" s="295">
        <f t="shared" si="172"/>
      </c>
      <c r="EF214" s="295">
        <f t="shared" si="172"/>
      </c>
      <c r="EG214" s="296">
        <f t="shared" si="172"/>
      </c>
      <c r="EH214" s="294"/>
      <c r="EI214" s="295"/>
      <c r="EJ214" s="295"/>
      <c r="EK214" s="295"/>
      <c r="EL214" s="296"/>
      <c r="EM214" s="294"/>
      <c r="EN214" s="295"/>
      <c r="EO214" s="295"/>
      <c r="EP214" s="295"/>
      <c r="EQ214" s="296"/>
      <c r="ER214" s="294"/>
      <c r="ES214" s="295"/>
      <c r="ET214" s="295"/>
      <c r="EU214" s="295"/>
      <c r="EV214" s="296"/>
      <c r="EW214" s="294"/>
      <c r="EX214" s="295"/>
      <c r="EY214" s="295"/>
      <c r="EZ214" s="295"/>
      <c r="FA214" s="296"/>
      <c r="FB214" s="294"/>
      <c r="FC214" s="295"/>
      <c r="FD214" s="295"/>
      <c r="FE214" s="295"/>
      <c r="FF214" s="296"/>
      <c r="FG214" s="294"/>
      <c r="FH214" s="295"/>
      <c r="FI214" s="295"/>
      <c r="FJ214" s="295"/>
      <c r="FK214" s="296"/>
      <c r="FL214" s="294"/>
      <c r="FM214" s="295"/>
      <c r="FN214" s="295"/>
      <c r="FO214" s="295"/>
      <c r="FP214" s="296"/>
      <c r="FQ214" s="294"/>
      <c r="FR214" s="295"/>
      <c r="FS214" s="295"/>
      <c r="FT214" s="295"/>
      <c r="FU214" s="296"/>
      <c r="FV214" s="294"/>
      <c r="FW214" s="295"/>
      <c r="FX214" s="295"/>
      <c r="FY214" s="295"/>
      <c r="FZ214" s="296"/>
      <c r="GA214" s="294"/>
      <c r="GB214" s="295"/>
      <c r="GC214" s="295"/>
      <c r="GD214" s="295"/>
      <c r="GE214" s="296"/>
      <c r="GF214" s="294"/>
      <c r="GG214" s="295"/>
      <c r="GH214" s="295"/>
      <c r="GI214" s="295"/>
      <c r="GJ214" s="383"/>
    </row>
    <row r="215" spans="1:192" ht="12.75" hidden="1" customHeight="1" outlineLevel="1">
      <c r="B215" s="735" t="s">
        <v>490</v>
      </c>
      <c r="C215" s="294"/>
      <c r="D215" s="295"/>
      <c r="E215" s="295"/>
      <c r="F215" s="295"/>
      <c r="G215" s="296"/>
      <c r="H215" s="294"/>
      <c r="I215" s="295"/>
      <c r="J215" s="295"/>
      <c r="K215" s="295"/>
      <c r="L215" s="296"/>
      <c r="M215" s="294"/>
      <c r="N215" s="295"/>
      <c r="O215" s="295"/>
      <c r="P215" s="295"/>
      <c r="Q215" s="296"/>
      <c r="R215" s="294"/>
      <c r="S215" s="295"/>
      <c r="T215" s="295"/>
      <c r="U215" s="295"/>
      <c r="V215" s="296"/>
      <c r="W215" s="294"/>
      <c r="X215" s="295"/>
      <c r="Y215" s="295"/>
      <c r="Z215" s="295"/>
      <c r="AA215" s="296"/>
      <c r="AB215" s="294"/>
      <c r="AC215" s="295"/>
      <c r="AD215" s="295"/>
      <c r="AE215" s="295"/>
      <c r="AF215" s="296"/>
      <c r="AG215" s="294"/>
      <c r="AH215" s="295"/>
      <c r="AI215" s="295"/>
      <c r="AJ215" s="295"/>
      <c r="AK215" s="296"/>
      <c r="AL215" s="294"/>
      <c r="AM215" s="295"/>
      <c r="AN215" s="295"/>
      <c r="AO215" s="295"/>
      <c r="AP215" s="296"/>
      <c r="AQ215" s="294"/>
      <c r="AR215" s="295"/>
      <c r="AS215" s="295"/>
      <c r="AT215" s="295"/>
      <c r="AU215" s="296"/>
      <c r="AV215" s="294"/>
      <c r="AW215" s="295"/>
      <c r="AX215" s="295"/>
      <c r="AY215" s="295"/>
      <c r="AZ215" s="296"/>
      <c r="BA215" s="294"/>
      <c r="BB215" s="295"/>
      <c r="BC215" s="295"/>
      <c r="BD215" s="295"/>
      <c r="BE215" s="296"/>
      <c r="BF215" s="294"/>
      <c r="BG215" s="295"/>
      <c r="BH215" s="295"/>
      <c r="BI215" s="295"/>
      <c r="BJ215" s="296"/>
      <c r="BK215" s="294"/>
      <c r="BL215" s="295"/>
      <c r="BM215" s="295"/>
      <c r="BN215" s="295"/>
      <c r="BO215" s="296"/>
      <c r="BP215" s="294"/>
      <c r="BQ215" s="295"/>
      <c r="BR215" s="295"/>
      <c r="BS215" s="295"/>
      <c r="BT215" s="296"/>
      <c r="BU215" s="294"/>
      <c r="BV215" s="295"/>
      <c r="BW215" s="295"/>
      <c r="BX215" s="295"/>
      <c r="BY215" s="296"/>
      <c r="BZ215" s="294"/>
      <c r="CA215" s="295"/>
      <c r="CB215" s="295"/>
      <c r="CC215" s="295"/>
      <c r="CD215" s="296"/>
      <c r="CE215" s="294"/>
      <c r="CF215" s="295"/>
      <c r="CG215" s="295"/>
      <c r="CH215" s="295"/>
      <c r="CI215" s="296"/>
      <c r="CJ215" s="294"/>
      <c r="CK215" s="295"/>
      <c r="CL215" s="295"/>
      <c r="CM215" s="295"/>
      <c r="CN215" s="296"/>
      <c r="CO215" s="295"/>
      <c r="CP215" s="295"/>
      <c r="CQ215" s="295"/>
      <c r="CR215" s="295"/>
      <c r="CS215" s="296"/>
      <c r="CT215" s="295"/>
      <c r="CU215" s="295"/>
      <c r="CV215" s="295"/>
      <c r="CW215" s="295"/>
      <c r="CX215" s="296"/>
      <c r="CY215" s="295"/>
      <c r="CZ215" s="295"/>
      <c r="DA215" s="295"/>
      <c r="DB215" s="295"/>
      <c r="DC215" s="296"/>
      <c r="DD215" s="295"/>
      <c r="DE215" s="295"/>
      <c r="DF215" s="295"/>
      <c r="DG215" s="295"/>
      <c r="DH215" s="296"/>
      <c r="DI215" s="295"/>
      <c r="DJ215" s="295"/>
      <c r="DK215" s="295"/>
      <c r="DL215" s="295"/>
      <c r="DM215" s="296">
        <f t="shared" ref="DM215:DX215" si="173">DM209/DM$135</f>
      </c>
      <c r="DN215" s="295">
        <f t="shared" si="173"/>
      </c>
      <c r="DO215" s="295">
        <f t="shared" si="173"/>
      </c>
      <c r="DP215" s="295">
        <f t="shared" si="173"/>
      </c>
      <c r="DQ215" s="295">
        <f t="shared" si="173"/>
      </c>
      <c r="DR215" s="296">
        <f t="shared" si="173"/>
      </c>
      <c r="DS215" s="295">
        <f t="shared" si="173"/>
      </c>
      <c r="DT215" s="295">
        <f t="shared" si="173"/>
      </c>
      <c r="DU215" s="295">
        <f t="shared" si="173"/>
      </c>
      <c r="DV215" s="295">
        <f t="shared" si="173"/>
      </c>
      <c r="DW215" s="296">
        <f t="shared" si="173"/>
      </c>
      <c r="DX215" s="295">
        <f t="shared" si="173"/>
      </c>
      <c r="DY215" s="114">
        <v>0.2</v>
      </c>
      <c r="DZ215" s="295">
        <f t="shared" ref="DZ215:EG215" si="174">DZ209/DZ$135</f>
      </c>
      <c r="EA215" s="295">
        <f t="shared" si="174"/>
      </c>
      <c r="EB215" s="296">
        <f t="shared" si="174"/>
      </c>
      <c r="EC215" s="295">
        <f t="shared" si="174"/>
      </c>
      <c r="ED215" s="295">
        <f t="shared" si="174"/>
      </c>
      <c r="EE215" s="295">
        <f t="shared" si="174"/>
      </c>
      <c r="EF215" s="295">
        <f t="shared" si="174"/>
      </c>
      <c r="EG215" s="296">
        <f t="shared" si="174"/>
      </c>
      <c r="EH215" s="294"/>
      <c r="EI215" s="295"/>
      <c r="EJ215" s="295"/>
      <c r="EK215" s="295"/>
      <c r="EL215" s="296"/>
      <c r="EM215" s="294"/>
      <c r="EN215" s="295"/>
      <c r="EO215" s="295"/>
      <c r="EP215" s="295"/>
      <c r="EQ215" s="296"/>
      <c r="ER215" s="294"/>
      <c r="ES215" s="295"/>
      <c r="ET215" s="295"/>
      <c r="EU215" s="295"/>
      <c r="EV215" s="296"/>
      <c r="EW215" s="294"/>
      <c r="EX215" s="295"/>
      <c r="EY215" s="295"/>
      <c r="EZ215" s="295"/>
      <c r="FA215" s="296"/>
      <c r="FB215" s="294"/>
      <c r="FC215" s="295"/>
      <c r="FD215" s="295"/>
      <c r="FE215" s="295"/>
      <c r="FF215" s="296"/>
      <c r="FG215" s="294"/>
      <c r="FH215" s="295"/>
      <c r="FI215" s="295"/>
      <c r="FJ215" s="295"/>
      <c r="FK215" s="296"/>
      <c r="FL215" s="294"/>
      <c r="FM215" s="295"/>
      <c r="FN215" s="295"/>
      <c r="FO215" s="295"/>
      <c r="FP215" s="296"/>
      <c r="FQ215" s="294"/>
      <c r="FR215" s="295"/>
      <c r="FS215" s="295"/>
      <c r="FT215" s="295"/>
      <c r="FU215" s="296"/>
      <c r="FV215" s="294"/>
      <c r="FW215" s="295"/>
      <c r="FX215" s="295"/>
      <c r="FY215" s="295"/>
      <c r="FZ215" s="296"/>
      <c r="GA215" s="294"/>
      <c r="GB215" s="295"/>
      <c r="GC215" s="295"/>
      <c r="GD215" s="295"/>
      <c r="GE215" s="296"/>
      <c r="GF215" s="294"/>
      <c r="GG215" s="295"/>
      <c r="GH215" s="295"/>
      <c r="GI215" s="295"/>
      <c r="GJ215" s="383"/>
    </row>
    <row r="216" spans="1:192" ht="12.75" customHeight="1" collapsed="1" thickBot="1">
      <c r="B216" s="743"/>
      <c r="C216" s="393"/>
      <c r="D216" s="388"/>
      <c r="E216" s="388"/>
      <c r="F216" s="389"/>
      <c r="G216" s="390"/>
      <c r="H216" s="393"/>
      <c r="I216" s="388"/>
      <c r="J216" s="388"/>
      <c r="K216" s="389"/>
      <c r="L216" s="390"/>
      <c r="M216" s="393"/>
      <c r="N216" s="388"/>
      <c r="O216" s="388"/>
      <c r="P216" s="389"/>
      <c r="Q216" s="390"/>
      <c r="R216" s="393"/>
      <c r="S216" s="388"/>
      <c r="T216" s="388"/>
      <c r="U216" s="389"/>
      <c r="V216" s="390"/>
      <c r="W216" s="393"/>
      <c r="X216" s="388"/>
      <c r="Y216" s="388"/>
      <c r="Z216" s="389"/>
      <c r="AA216" s="390"/>
      <c r="AB216" s="393"/>
      <c r="AC216" s="388"/>
      <c r="AD216" s="388"/>
      <c r="AE216" s="389"/>
      <c r="AF216" s="390"/>
      <c r="AG216" s="393"/>
      <c r="AH216" s="388"/>
      <c r="AI216" s="388"/>
      <c r="AJ216" s="389"/>
      <c r="AK216" s="390"/>
      <c r="AL216" s="393"/>
      <c r="AM216" s="388"/>
      <c r="AN216" s="388"/>
      <c r="AO216" s="389"/>
      <c r="AP216" s="390"/>
      <c r="AQ216" s="393"/>
      <c r="AR216" s="388"/>
      <c r="AS216" s="388"/>
      <c r="AT216" s="389"/>
      <c r="AU216" s="390"/>
      <c r="AV216" s="393"/>
      <c r="AW216" s="388"/>
      <c r="AX216" s="388"/>
      <c r="AY216" s="389"/>
      <c r="AZ216" s="390"/>
      <c r="BA216" s="393"/>
      <c r="BB216" s="388"/>
      <c r="BC216" s="388"/>
      <c r="BD216" s="389"/>
      <c r="BE216" s="390"/>
      <c r="BF216" s="393"/>
      <c r="BG216" s="388"/>
      <c r="BH216" s="388"/>
      <c r="BI216" s="389"/>
      <c r="BJ216" s="390"/>
      <c r="BK216" s="393"/>
      <c r="BL216" s="388"/>
      <c r="BM216" s="388"/>
      <c r="BN216" s="389"/>
      <c r="BO216" s="390"/>
      <c r="BP216" s="393"/>
      <c r="BQ216" s="388"/>
      <c r="BR216" s="388"/>
      <c r="BS216" s="389"/>
      <c r="BT216" s="390"/>
      <c r="BU216" s="393"/>
      <c r="BV216" s="388"/>
      <c r="BW216" s="388"/>
      <c r="BX216" s="389"/>
      <c r="BY216" s="390"/>
      <c r="BZ216" s="393"/>
      <c r="CA216" s="388"/>
      <c r="CB216" s="388"/>
      <c r="CC216" s="389"/>
      <c r="CD216" s="390"/>
      <c r="CE216" s="393"/>
      <c r="CF216" s="388"/>
      <c r="CG216" s="388"/>
      <c r="CH216" s="389"/>
      <c r="CI216" s="390"/>
      <c r="CJ216" s="393"/>
      <c r="CK216" s="388"/>
      <c r="CL216" s="388"/>
      <c r="CM216" s="389"/>
      <c r="CN216" s="390"/>
      <c r="CO216" s="393"/>
      <c r="CP216" s="388"/>
      <c r="CQ216" s="388"/>
      <c r="CR216" s="389"/>
      <c r="CS216" s="390"/>
      <c r="CT216" s="393"/>
      <c r="CU216" s="388"/>
      <c r="CV216" s="388"/>
      <c r="CW216" s="389"/>
      <c r="CX216" s="390"/>
      <c r="CY216" s="393"/>
      <c r="CZ216" s="388"/>
      <c r="DA216" s="388"/>
      <c r="DB216" s="389"/>
      <c r="DC216" s="390"/>
      <c r="DD216" s="393"/>
      <c r="DE216" s="388"/>
      <c r="DF216" s="388"/>
      <c r="DG216" s="389"/>
      <c r="DH216" s="390"/>
      <c r="DI216" s="393"/>
      <c r="DJ216" s="388"/>
      <c r="DK216" s="388"/>
      <c r="DL216" s="389"/>
      <c r="DM216" s="390"/>
      <c r="DN216" s="393"/>
      <c r="DO216" s="388"/>
      <c r="DP216" s="388"/>
      <c r="DQ216" s="389"/>
      <c r="DR216" s="390"/>
      <c r="DS216" s="393"/>
      <c r="DT216" s="388"/>
      <c r="DU216" s="388"/>
      <c r="DV216" s="389"/>
      <c r="DW216" s="390"/>
      <c r="DX216" s="393"/>
      <c r="DY216" s="388"/>
      <c r="DZ216" s="388"/>
      <c r="EA216" s="389"/>
      <c r="EB216" s="390"/>
      <c r="EC216" s="393"/>
      <c r="ED216" s="388"/>
      <c r="EE216" s="388"/>
      <c r="EF216" s="389"/>
      <c r="EG216" s="390"/>
      <c r="EH216" s="393"/>
      <c r="EI216" s="388"/>
      <c r="EJ216" s="388"/>
      <c r="EK216" s="389"/>
      <c r="EL216" s="390"/>
      <c r="EM216" s="393"/>
      <c r="EN216" s="388"/>
      <c r="EO216" s="388"/>
      <c r="EP216" s="389"/>
      <c r="EQ216" s="390"/>
      <c r="ER216" s="393"/>
      <c r="ES216" s="388"/>
      <c r="ET216" s="388"/>
      <c r="EU216" s="389"/>
      <c r="EV216" s="390"/>
      <c r="EW216" s="393"/>
      <c r="EX216" s="388"/>
      <c r="EY216" s="388"/>
      <c r="EZ216" s="389"/>
      <c r="FA216" s="390"/>
      <c r="FB216" s="393"/>
      <c r="FC216" s="388"/>
      <c r="FD216" s="388"/>
      <c r="FE216" s="389"/>
      <c r="FF216" s="390"/>
      <c r="FG216" s="393"/>
      <c r="FH216" s="388"/>
      <c r="FI216" s="388"/>
      <c r="FJ216" s="389"/>
      <c r="FK216" s="390"/>
      <c r="FL216" s="393"/>
      <c r="FM216" s="388"/>
      <c r="FN216" s="388"/>
      <c r="FO216" s="389"/>
      <c r="FP216" s="390"/>
      <c r="FQ216" s="393"/>
      <c r="FR216" s="388"/>
      <c r="FS216" s="388"/>
      <c r="FT216" s="389"/>
      <c r="FU216" s="390"/>
      <c r="FV216" s="393"/>
      <c r="FW216" s="388"/>
      <c r="FX216" s="388"/>
      <c r="FY216" s="389"/>
      <c r="FZ216" s="1469"/>
      <c r="GA216" s="393"/>
      <c r="GB216" s="388"/>
      <c r="GC216" s="388"/>
      <c r="GD216" s="389"/>
      <c r="GE216" s="1469"/>
      <c r="GF216" s="393"/>
      <c r="GG216" s="388"/>
      <c r="GH216" s="388"/>
      <c r="GI216" s="389"/>
      <c r="GJ216" s="411"/>
    </row>
    <row r="217" spans="1:192" ht="12.75" customHeight="1">
      <c r="EL217" s="288"/>
      <c r="EQ217" s="288"/>
    </row>
    <row r="218" spans="1:192" ht="12.75" customHeight="1" thickBot="1">
      <c r="EL218" s="288"/>
      <c r="EQ218" s="288"/>
    </row>
    <row r="219" spans="1:192" ht="12.75" customHeight="1" thickBot="1">
      <c r="B219" s="731" t="s">
        <v>210</v>
      </c>
      <c r="C219" s="396"/>
      <c r="D219" s="397"/>
      <c r="E219" s="397"/>
      <c r="F219" s="397"/>
      <c r="G219" s="397"/>
      <c r="H219" s="396"/>
      <c r="I219" s="397"/>
      <c r="J219" s="397"/>
      <c r="K219" s="397"/>
      <c r="L219" s="397"/>
      <c r="M219" s="396"/>
      <c r="N219" s="397"/>
      <c r="O219" s="397"/>
      <c r="P219" s="397"/>
      <c r="Q219" s="397"/>
      <c r="R219" s="396"/>
      <c r="S219" s="397"/>
      <c r="T219" s="397"/>
      <c r="U219" s="397"/>
      <c r="V219" s="397"/>
      <c r="W219" s="396"/>
      <c r="X219" s="397"/>
      <c r="Y219" s="397"/>
      <c r="Z219" s="397"/>
      <c r="AA219" s="397"/>
      <c r="AB219" s="396"/>
      <c r="AC219" s="397"/>
      <c r="AD219" s="397"/>
      <c r="AE219" s="397"/>
      <c r="AF219" s="397"/>
      <c r="AG219" s="396"/>
      <c r="AH219" s="397"/>
      <c r="AI219" s="397"/>
      <c r="AJ219" s="397"/>
      <c r="AK219" s="397"/>
      <c r="AL219" s="396"/>
      <c r="AM219" s="397"/>
      <c r="AN219" s="397"/>
      <c r="AO219" s="397"/>
      <c r="AP219" s="397"/>
      <c r="AQ219" s="396"/>
      <c r="AR219" s="397"/>
      <c r="AS219" s="397"/>
      <c r="AT219" s="397"/>
      <c r="AU219" s="397"/>
      <c r="AV219" s="396"/>
      <c r="AW219" s="397"/>
      <c r="AX219" s="397"/>
      <c r="AY219" s="397"/>
      <c r="AZ219" s="397"/>
      <c r="BA219" s="396"/>
      <c r="BB219" s="397"/>
      <c r="BC219" s="397"/>
      <c r="BD219" s="397"/>
      <c r="BE219" s="397"/>
      <c r="BF219" s="396"/>
      <c r="BG219" s="397"/>
      <c r="BH219" s="397"/>
      <c r="BI219" s="397"/>
      <c r="BJ219" s="397"/>
      <c r="BK219" s="396"/>
      <c r="BL219" s="397"/>
      <c r="BM219" s="397"/>
      <c r="BN219" s="397"/>
      <c r="BO219" s="397"/>
      <c r="BP219" s="396"/>
      <c r="BQ219" s="397"/>
      <c r="BR219" s="397"/>
      <c r="BS219" s="397"/>
      <c r="BT219" s="397"/>
      <c r="BU219" s="396"/>
      <c r="BV219" s="397"/>
      <c r="BW219" s="397"/>
      <c r="BX219" s="397"/>
      <c r="BY219" s="397"/>
      <c r="BZ219" s="396"/>
      <c r="CA219" s="397"/>
      <c r="CB219" s="397"/>
      <c r="CC219" s="397"/>
      <c r="CD219" s="397"/>
      <c r="CE219" s="396"/>
      <c r="CF219" s="397"/>
      <c r="CG219" s="397"/>
      <c r="CH219" s="397"/>
      <c r="CI219" s="397"/>
      <c r="CJ219" s="396"/>
      <c r="CK219" s="397"/>
      <c r="CL219" s="397"/>
      <c r="CM219" s="397"/>
      <c r="CN219" s="397"/>
      <c r="CO219" s="396"/>
      <c r="CP219" s="397"/>
      <c r="CQ219" s="397"/>
      <c r="CR219" s="397"/>
      <c r="CS219" s="397"/>
      <c r="CT219" s="396"/>
      <c r="CU219" s="397"/>
      <c r="CV219" s="397"/>
      <c r="CW219" s="397"/>
      <c r="CX219" s="397"/>
      <c r="CY219" s="396"/>
      <c r="CZ219" s="397"/>
      <c r="DA219" s="397"/>
      <c r="DB219" s="397"/>
      <c r="DC219" s="397"/>
      <c r="DD219" s="396"/>
      <c r="DE219" s="397"/>
      <c r="DF219" s="397"/>
      <c r="DG219" s="397"/>
      <c r="DH219" s="397"/>
      <c r="DI219" s="396"/>
      <c r="DJ219" s="397"/>
      <c r="DK219" s="397"/>
      <c r="DL219" s="397"/>
      <c r="DM219" s="397"/>
      <c r="DN219" s="396"/>
      <c r="DO219" s="397"/>
      <c r="DP219" s="397"/>
      <c r="DQ219" s="397"/>
      <c r="DR219" s="397"/>
      <c r="DS219" s="396"/>
      <c r="DT219" s="397"/>
      <c r="DU219" s="397"/>
      <c r="DV219" s="397"/>
      <c r="DW219" s="397"/>
      <c r="DX219" s="396"/>
      <c r="DY219" s="397"/>
      <c r="DZ219" s="397"/>
      <c r="EA219" s="397"/>
      <c r="EB219" s="397"/>
      <c r="EC219" s="396"/>
      <c r="ED219" s="397"/>
      <c r="EE219" s="397"/>
      <c r="EF219" s="397"/>
      <c r="EG219" s="397"/>
      <c r="EH219" s="396"/>
      <c r="EI219" s="397"/>
      <c r="EJ219" s="397"/>
      <c r="EK219" s="397"/>
      <c r="EL219" s="397"/>
      <c r="EM219" s="396"/>
      <c r="EN219" s="397"/>
      <c r="EO219" s="397"/>
      <c r="EP219" s="397"/>
      <c r="EQ219" s="397"/>
      <c r="ER219" s="396"/>
      <c r="ES219" s="397"/>
      <c r="ET219" s="397"/>
      <c r="EU219" s="397"/>
      <c r="EV219" s="397"/>
      <c r="EW219" s="396"/>
      <c r="EX219" s="397"/>
      <c r="EY219" s="397"/>
      <c r="EZ219" s="397"/>
      <c r="FA219" s="397"/>
      <c r="FB219" s="396"/>
      <c r="FC219" s="397"/>
      <c r="FD219" s="397"/>
      <c r="FE219" s="397"/>
      <c r="FF219" s="397"/>
      <c r="FG219" s="396"/>
      <c r="FH219" s="397"/>
      <c r="FI219" s="397"/>
      <c r="FJ219" s="397"/>
      <c r="FK219" s="397"/>
      <c r="FL219" s="396"/>
      <c r="FM219" s="397"/>
      <c r="FN219" s="397"/>
      <c r="FO219" s="397"/>
      <c r="FP219" s="397"/>
      <c r="FQ219" s="396"/>
      <c r="FR219" s="397"/>
      <c r="FS219" s="397"/>
      <c r="FT219" s="397"/>
      <c r="FU219" s="397"/>
      <c r="FV219" s="396"/>
      <c r="FW219" s="397"/>
      <c r="FX219" s="397"/>
      <c r="FY219" s="397"/>
      <c r="FZ219" s="397"/>
      <c r="GA219" s="396"/>
      <c r="GB219" s="397"/>
      <c r="GC219" s="397"/>
      <c r="GD219" s="397"/>
      <c r="GE219" s="397"/>
      <c r="GF219" s="396"/>
      <c r="GG219" s="397"/>
      <c r="GH219" s="397"/>
      <c r="GI219" s="397"/>
      <c r="GJ219" s="398"/>
    </row>
    <row r="220" spans="1:192" ht="12.75" customHeight="1">
      <c r="B220" s="740"/>
      <c r="C220" s="294"/>
      <c r="D220" s="295"/>
      <c r="E220" s="295"/>
      <c r="F220" s="295"/>
      <c r="G220" s="296"/>
      <c r="H220" s="294"/>
      <c r="I220" s="295"/>
      <c r="J220" s="295"/>
      <c r="K220" s="295"/>
      <c r="L220" s="296"/>
      <c r="M220" s="294"/>
      <c r="N220" s="295"/>
      <c r="O220" s="295"/>
      <c r="P220" s="295"/>
      <c r="Q220" s="296"/>
      <c r="R220" s="294"/>
      <c r="S220" s="295"/>
      <c r="T220" s="295"/>
      <c r="U220" s="295"/>
      <c r="V220" s="296"/>
      <c r="W220" s="294"/>
      <c r="X220" s="295"/>
      <c r="Y220" s="295"/>
      <c r="Z220" s="295"/>
      <c r="AA220" s="296"/>
      <c r="AB220" s="294"/>
      <c r="AC220" s="295"/>
      <c r="AD220" s="295"/>
      <c r="AE220" s="295"/>
      <c r="AF220" s="296"/>
      <c r="AG220" s="294"/>
      <c r="AH220" s="295"/>
      <c r="AI220" s="295"/>
      <c r="AJ220" s="295"/>
      <c r="AK220" s="296"/>
      <c r="AL220" s="294"/>
      <c r="AM220" s="295"/>
      <c r="AN220" s="295"/>
      <c r="AO220" s="295"/>
      <c r="AP220" s="296"/>
      <c r="AQ220" s="294"/>
      <c r="AR220" s="295"/>
      <c r="AS220" s="295"/>
      <c r="AT220" s="295"/>
      <c r="AU220" s="296"/>
      <c r="AV220" s="294"/>
      <c r="AW220" s="295"/>
      <c r="AX220" s="295"/>
      <c r="AY220" s="295"/>
      <c r="AZ220" s="296"/>
      <c r="BA220" s="294"/>
      <c r="BB220" s="295"/>
      <c r="BC220" s="295"/>
      <c r="BD220" s="295"/>
      <c r="BE220" s="296"/>
      <c r="BF220" s="294"/>
      <c r="BG220" s="295"/>
      <c r="BH220" s="295"/>
      <c r="BI220" s="295"/>
      <c r="BJ220" s="296"/>
      <c r="BK220" s="294"/>
      <c r="BL220" s="295"/>
      <c r="BM220" s="295"/>
      <c r="BN220" s="295"/>
      <c r="BO220" s="296"/>
      <c r="BP220" s="294"/>
      <c r="BQ220" s="295"/>
      <c r="BR220" s="295"/>
      <c r="BS220" s="295"/>
      <c r="BT220" s="296"/>
      <c r="BU220" s="294"/>
      <c r="BV220" s="295"/>
      <c r="BW220" s="295"/>
      <c r="BX220" s="295"/>
      <c r="BY220" s="296"/>
      <c r="BZ220" s="294"/>
      <c r="CA220" s="295"/>
      <c r="CB220" s="295"/>
      <c r="CC220" s="295"/>
      <c r="CD220" s="296"/>
      <c r="CE220" s="294"/>
      <c r="CF220" s="295"/>
      <c r="CG220" s="295"/>
      <c r="CH220" s="295"/>
      <c r="CI220" s="296"/>
      <c r="CJ220" s="294"/>
      <c r="CK220" s="295"/>
      <c r="CL220" s="295"/>
      <c r="CM220" s="295"/>
      <c r="CN220" s="296"/>
      <c r="CO220" s="294"/>
      <c r="CP220" s="295"/>
      <c r="CQ220" s="295"/>
      <c r="CR220" s="295"/>
      <c r="CS220" s="296"/>
      <c r="CT220" s="294"/>
      <c r="CU220" s="295"/>
      <c r="CV220" s="295"/>
      <c r="CW220" s="295"/>
      <c r="CX220" s="296"/>
      <c r="CY220" s="294"/>
      <c r="CZ220" s="295"/>
      <c r="DA220" s="295"/>
      <c r="DB220" s="295"/>
      <c r="DC220" s="296"/>
      <c r="DD220" s="294"/>
      <c r="DE220" s="295"/>
      <c r="DF220" s="295"/>
      <c r="DG220" s="295"/>
      <c r="DH220" s="296"/>
      <c r="DI220" s="294"/>
      <c r="DJ220" s="295"/>
      <c r="DK220" s="295"/>
      <c r="DL220" s="295"/>
      <c r="DM220" s="296"/>
      <c r="DN220" s="294"/>
      <c r="DO220" s="295"/>
      <c r="DP220" s="295"/>
      <c r="DQ220" s="295"/>
      <c r="DR220" s="296"/>
      <c r="DS220" s="294"/>
      <c r="DT220" s="295"/>
      <c r="DU220" s="295"/>
      <c r="DV220" s="295"/>
      <c r="DW220" s="296"/>
      <c r="DX220" s="294"/>
      <c r="DY220" s="295"/>
      <c r="DZ220" s="295"/>
      <c r="EA220" s="925"/>
      <c r="EB220" s="296"/>
      <c r="EC220" s="294"/>
      <c r="ED220" s="295"/>
      <c r="EE220" s="295"/>
      <c r="EF220" s="814"/>
      <c r="EG220" s="296"/>
      <c r="EH220" s="294"/>
      <c r="EI220" s="295"/>
      <c r="EJ220" s="295"/>
      <c r="EK220" s="295"/>
      <c r="EL220" s="296"/>
      <c r="EM220" s="294"/>
      <c r="EN220" s="295"/>
      <c r="EO220" s="295"/>
      <c r="EP220" s="295"/>
      <c r="EQ220" s="296"/>
      <c r="ER220" s="294"/>
      <c r="ES220" s="295"/>
      <c r="ET220" s="295"/>
      <c r="EU220" s="295"/>
      <c r="EV220" s="296"/>
      <c r="EW220" s="294"/>
      <c r="EX220" s="295"/>
      <c r="EY220" s="295"/>
      <c r="EZ220" s="295"/>
      <c r="FA220" s="296"/>
      <c r="FB220" s="294"/>
      <c r="FC220" s="295"/>
      <c r="FD220" s="295"/>
      <c r="FE220" s="295"/>
      <c r="FF220" s="296"/>
      <c r="FG220" s="294"/>
      <c r="FH220" s="295"/>
      <c r="FI220" s="295"/>
      <c r="FJ220" s="295"/>
      <c r="FK220" s="296"/>
      <c r="FL220" s="294"/>
      <c r="FM220" s="295"/>
      <c r="FN220" s="295"/>
      <c r="FO220" s="295"/>
      <c r="FP220" s="296"/>
      <c r="FQ220" s="294"/>
      <c r="FR220" s="295"/>
      <c r="FS220" s="295"/>
      <c r="FT220" s="295"/>
      <c r="FU220" s="296"/>
      <c r="FV220" s="294"/>
      <c r="FW220" s="295"/>
      <c r="FX220" s="295"/>
      <c r="FY220" s="295"/>
      <c r="FZ220" s="296"/>
      <c r="GA220" s="294"/>
      <c r="GB220" s="295"/>
      <c r="GC220" s="295"/>
      <c r="GD220" s="295"/>
      <c r="GE220" s="296"/>
      <c r="GF220" s="294"/>
      <c r="GG220" s="295"/>
      <c r="GH220" s="295"/>
      <c r="GI220" s="295"/>
      <c r="GJ220" s="383"/>
    </row>
    <row r="221" spans="1:192" s="623" customFormat="1" ht="12.75" customHeight="1">
      <c r="A221" s="1642"/>
      <c r="B221" s="748" t="s">
        <v>2043</v>
      </c>
      <c r="C221" s="800"/>
      <c r="D221" s="805"/>
      <c r="E221" s="805"/>
      <c r="F221" s="805"/>
      <c r="G221" s="456"/>
      <c r="H221" s="800"/>
      <c r="I221" s="805"/>
      <c r="J221" s="805"/>
      <c r="K221" s="805"/>
      <c r="L221" s="456"/>
      <c r="M221" s="800"/>
      <c r="N221" s="805"/>
      <c r="O221" s="805"/>
      <c r="P221" s="805"/>
      <c r="Q221" s="456"/>
      <c r="R221" s="800"/>
      <c r="S221" s="805"/>
      <c r="T221" s="805"/>
      <c r="U221" s="805"/>
      <c r="V221" s="456"/>
      <c r="W221" s="800"/>
      <c r="X221" s="805"/>
      <c r="Y221" s="805"/>
      <c r="Z221" s="805"/>
      <c r="AA221" s="456"/>
      <c r="AB221" s="800"/>
      <c r="AC221" s="805"/>
      <c r="AD221" s="805"/>
      <c r="AE221" s="805"/>
      <c r="AF221" s="456"/>
      <c r="AG221" s="800"/>
      <c r="AH221" s="805"/>
      <c r="AI221" s="805"/>
      <c r="AJ221" s="805"/>
      <c r="AK221" s="456"/>
      <c r="AL221" s="800"/>
      <c r="AM221" s="805"/>
      <c r="AN221" s="805"/>
      <c r="AO221" s="805"/>
      <c r="AP221" s="456"/>
      <c r="AQ221" s="800"/>
      <c r="AR221" s="805"/>
      <c r="AS221" s="805"/>
      <c r="AT221" s="805"/>
      <c r="AU221" s="456"/>
      <c r="AV221" s="800"/>
      <c r="AW221" s="805"/>
      <c r="AX221" s="805"/>
      <c r="AY221" s="805"/>
      <c r="AZ221" s="456"/>
      <c r="BA221" s="800"/>
      <c r="BB221" s="805"/>
      <c r="BC221" s="805"/>
      <c r="BD221" s="805"/>
      <c r="BE221" s="456"/>
      <c r="BF221" s="800"/>
      <c r="BG221" s="805"/>
      <c r="BH221" s="805"/>
      <c r="BI221" s="805"/>
      <c r="BJ221" s="456"/>
      <c r="BK221" s="800"/>
      <c r="BL221" s="805"/>
      <c r="BM221" s="805"/>
      <c r="BN221" s="805"/>
      <c r="BO221" s="456"/>
      <c r="BP221" s="800"/>
      <c r="BQ221" s="805"/>
      <c r="BR221" s="805"/>
      <c r="BS221" s="805"/>
      <c r="BT221" s="456"/>
      <c r="BU221" s="1167"/>
      <c r="BV221" s="1167"/>
      <c r="BW221" s="1167"/>
      <c r="BX221" s="800"/>
      <c r="BY221" s="457"/>
      <c r="BZ221" s="1167"/>
      <c r="CA221" s="1167"/>
      <c r="CB221" s="1167"/>
      <c r="CC221" s="800"/>
      <c r="CD221" s="457"/>
      <c r="CE221" s="1167"/>
      <c r="CF221" s="1167"/>
      <c r="CG221" s="1167"/>
      <c r="CH221" s="800"/>
      <c r="CI221" s="457"/>
      <c r="CJ221" s="1167"/>
      <c r="CK221" s="1167"/>
      <c r="CL221" s="1167"/>
      <c r="CM221" s="800"/>
      <c r="CN221" s="457"/>
      <c r="CO221" s="1167"/>
      <c r="CP221" s="1167"/>
      <c r="CQ221" s="1167"/>
      <c r="CR221" s="800"/>
      <c r="CS221" s="457"/>
      <c r="CT221" s="1167"/>
      <c r="CU221" s="1167"/>
      <c r="CV221" s="1167"/>
      <c r="CW221" s="800"/>
      <c r="CX221" s="457"/>
      <c r="CY221" s="1167"/>
      <c r="CZ221" s="1167"/>
      <c r="DA221" s="1167"/>
      <c r="DB221" s="800"/>
      <c r="DC221" s="457"/>
      <c r="DD221" s="1167"/>
      <c r="DE221" s="1167"/>
      <c r="DF221" s="1167"/>
      <c r="DG221" s="800"/>
      <c r="DH221" s="457"/>
      <c r="DI221" s="1167"/>
      <c r="DJ221" s="1167"/>
      <c r="DK221" s="1167"/>
      <c r="DL221" s="800"/>
      <c r="DM221" s="1396"/>
      <c r="DN221" s="1167"/>
      <c r="DO221" s="1167"/>
      <c r="DP221" s="1167"/>
      <c r="DQ221" s="800"/>
      <c r="DR221" s="457"/>
      <c r="DS221" s="1167"/>
      <c r="DT221" s="1167"/>
      <c r="DU221" s="1167"/>
      <c r="DV221" s="800"/>
      <c r="DW221" s="457"/>
      <c r="DX221" s="1167"/>
      <c r="DY221" s="1167"/>
      <c r="DZ221" s="1167"/>
      <c r="EA221" s="800"/>
      <c r="EB221" s="457"/>
      <c r="EC221" s="1167"/>
      <c r="ED221" s="1167"/>
      <c r="EE221" s="1167"/>
      <c r="EF221" s="800"/>
      <c r="EG221" s="457"/>
      <c r="EH221" s="1167"/>
      <c r="EI221" s="1167"/>
      <c r="EJ221" s="1167"/>
      <c r="EK221" s="800"/>
      <c r="EL221" s="457"/>
      <c r="EM221" s="1167">
        <v>2913</v>
      </c>
      <c r="EN221" s="1167">
        <v>3209</v>
      </c>
      <c r="EO221" s="1167">
        <v>3034</v>
      </c>
      <c r="EP221" s="1167">
        <v>2969</v>
      </c>
      <c r="EQ221" s="456">
        <f>SUM(EM221:EP221)</f>
      </c>
      <c r="ER221" s="1167">
        <v>3018</v>
      </c>
      <c r="ES221" s="1168">
        <v>3168</v>
      </c>
      <c r="ET221" s="1168">
        <v>3055</v>
      </c>
      <c r="EU221" s="1168">
        <v>3065</v>
      </c>
      <c r="EV221" s="456">
        <f>SUM(ER221:EU221)</f>
      </c>
      <c r="EW221" s="1166">
        <v>3225</v>
      </c>
      <c r="EX221" s="1166">
        <v>3558</v>
      </c>
      <c r="EY221" s="1166">
        <v>3504</v>
      </c>
      <c r="EZ221" s="1397">
        <f>FA221-EY221-EX221-EW221</f>
      </c>
      <c r="FA221" s="457">
        <v>13878</v>
      </c>
      <c r="FB221" s="805">
        <f>EW221*(1+FB222)</f>
      </c>
      <c r="FC221" s="805">
        <f>EX221*(1+FC222)</f>
      </c>
      <c r="FD221" s="805">
        <f>EY221*(1+FD222)</f>
      </c>
      <c r="FE221" s="805">
        <f>EZ221*(1+FE222)</f>
      </c>
      <c r="FF221" s="456">
        <f>SUM(FB221:FE221)</f>
      </c>
      <c r="FG221" s="805">
        <f>FB221*(1+FG222)</f>
      </c>
      <c r="FH221" s="805">
        <f>FC221*(1+FH222)</f>
      </c>
      <c r="FI221" s="805">
        <f>FD221*(1+FI222)</f>
      </c>
      <c r="FJ221" s="805">
        <f>FE221*(1+FJ222)</f>
      </c>
      <c r="FK221" s="456">
        <f>SUM(FG221:FJ221)</f>
      </c>
      <c r="FL221" s="805">
        <f>FG221*(1+FL222)</f>
      </c>
      <c r="FM221" s="805">
        <f>FH221*(1+FM222)</f>
      </c>
      <c r="FN221" s="805">
        <f>FI221*(1+FN222)</f>
      </c>
      <c r="FO221" s="805">
        <f>FJ221*(1+FO222)</f>
      </c>
      <c r="FP221" s="456">
        <f>SUM(FL221:FO221)</f>
      </c>
      <c r="FQ221" s="805">
        <f>FL221*(1+FQ222)</f>
      </c>
      <c r="FR221" s="805">
        <f>FM221*(1+FR222)</f>
      </c>
      <c r="FS221" s="805">
        <f>FN221*(1+FS222)</f>
      </c>
      <c r="FT221" s="805">
        <f>FO221*(1+FT222)</f>
      </c>
      <c r="FU221" s="456">
        <f>SUM(FQ221:FT221)</f>
      </c>
      <c r="FV221" s="800">
        <f>FQ221*(1+FV222)</f>
      </c>
      <c r="FW221" s="805">
        <f>FR221*(1+FW222)</f>
      </c>
      <c r="FX221" s="805">
        <f>FS221*(1+FX222)</f>
      </c>
      <c r="FY221" s="805">
        <f>FT221*(1+FY222)</f>
      </c>
      <c r="FZ221" s="456">
        <f>SUM(FV221:FY221)</f>
      </c>
      <c r="GA221" s="800">
        <f>FV221*(1+GA222)</f>
      </c>
      <c r="GB221" s="805">
        <f>FW221*(1+GB222)</f>
      </c>
      <c r="GC221" s="805">
        <f>FX221*(1+GC222)</f>
      </c>
      <c r="GD221" s="805">
        <f>FY221*(1+GD222)</f>
      </c>
      <c r="GE221" s="456">
        <f>SUM(GA221:GD221)</f>
      </c>
      <c r="GF221" s="800">
        <f>GA221*(1+GF222)</f>
      </c>
      <c r="GG221" s="805">
        <f>GB221*(1+GG222)</f>
      </c>
      <c r="GH221" s="805">
        <f>GC221*(1+GH222)</f>
      </c>
      <c r="GI221" s="805">
        <f>GD221*(1+GI222)</f>
      </c>
      <c r="GJ221" s="499">
        <f>SUM(GF221:GI221)</f>
      </c>
    </row>
    <row r="222" spans="1:192" ht="12.75" customHeight="1">
      <c r="B222" s="735" t="s">
        <v>34</v>
      </c>
      <c r="C222" s="291"/>
      <c r="D222" s="107"/>
      <c r="E222" s="107"/>
      <c r="F222" s="107"/>
      <c r="G222" s="292"/>
      <c r="H222" s="291"/>
      <c r="I222" s="107"/>
      <c r="J222" s="107"/>
      <c r="K222" s="107"/>
      <c r="L222" s="292"/>
      <c r="M222" s="291"/>
      <c r="N222" s="107"/>
      <c r="O222" s="107"/>
      <c r="P222" s="107"/>
      <c r="Q222" s="292"/>
      <c r="R222" s="291"/>
      <c r="S222" s="107"/>
      <c r="T222" s="107"/>
      <c r="U222" s="107"/>
      <c r="V222" s="292"/>
      <c r="W222" s="291"/>
      <c r="X222" s="107"/>
      <c r="Y222" s="107"/>
      <c r="Z222" s="107"/>
      <c r="AA222" s="292"/>
      <c r="AB222" s="291"/>
      <c r="AC222" s="107"/>
      <c r="AD222" s="107"/>
      <c r="AE222" s="107"/>
      <c r="AF222" s="292"/>
      <c r="AG222" s="291"/>
      <c r="AH222" s="107"/>
      <c r="AI222" s="107"/>
      <c r="AJ222" s="107"/>
      <c r="AK222" s="292"/>
      <c r="AL222" s="291"/>
      <c r="AM222" s="107"/>
      <c r="AN222" s="107"/>
      <c r="AO222" s="107"/>
      <c r="AP222" s="292"/>
      <c r="AQ222" s="291"/>
      <c r="AR222" s="107"/>
      <c r="AS222" s="107"/>
      <c r="AT222" s="107"/>
      <c r="AU222" s="292"/>
      <c r="AV222" s="291"/>
      <c r="AW222" s="107"/>
      <c r="AX222" s="107"/>
      <c r="AY222" s="107"/>
      <c r="AZ222" s="292"/>
      <c r="BA222" s="291"/>
      <c r="BB222" s="107"/>
      <c r="BC222" s="107"/>
      <c r="BD222" s="107"/>
      <c r="BE222" s="292"/>
      <c r="BF222" s="291"/>
      <c r="BG222" s="107"/>
      <c r="BH222" s="107"/>
      <c r="BI222" s="107"/>
      <c r="BJ222" s="292"/>
      <c r="BK222" s="291"/>
      <c r="BL222" s="107"/>
      <c r="BM222" s="107"/>
      <c r="BN222" s="107"/>
      <c r="BO222" s="292"/>
      <c r="BP222" s="291"/>
      <c r="BQ222" s="107"/>
      <c r="BR222" s="107"/>
      <c r="BS222" s="107"/>
      <c r="BT222" s="292"/>
      <c r="BU222" s="412"/>
      <c r="BV222" s="114"/>
      <c r="BW222" s="114"/>
      <c r="BX222" s="114"/>
      <c r="BY222" s="292"/>
      <c r="BZ222" s="412"/>
      <c r="CA222" s="114"/>
      <c r="CB222" s="114"/>
      <c r="CC222" s="114"/>
      <c r="CD222" s="292"/>
      <c r="CE222" s="412"/>
      <c r="CF222" s="114"/>
      <c r="CG222" s="114"/>
      <c r="CH222" s="114"/>
      <c r="CI222" s="292"/>
      <c r="CJ222" s="412"/>
      <c r="CK222" s="114"/>
      <c r="CL222" s="114"/>
      <c r="CM222" s="114"/>
      <c r="CN222" s="292"/>
      <c r="CO222" s="412"/>
      <c r="CP222" s="114"/>
      <c r="CQ222" s="114"/>
      <c r="CR222" s="114"/>
      <c r="CS222" s="292"/>
      <c r="CT222" s="412"/>
      <c r="CU222" s="114"/>
      <c r="CV222" s="114"/>
      <c r="CW222" s="114"/>
      <c r="CX222" s="292"/>
      <c r="CY222" s="412"/>
      <c r="CZ222" s="114"/>
      <c r="DA222" s="114"/>
      <c r="DB222" s="114"/>
      <c r="DC222" s="292"/>
      <c r="DD222" s="412"/>
      <c r="DE222" s="114"/>
      <c r="DF222" s="114"/>
      <c r="DG222" s="114"/>
      <c r="DH222" s="292"/>
      <c r="DI222" s="412"/>
      <c r="DJ222" s="114"/>
      <c r="DK222" s="114"/>
      <c r="DL222" s="114"/>
      <c r="DM222" s="292"/>
      <c r="DN222" s="291"/>
      <c r="DO222" s="291"/>
      <c r="DP222" s="291"/>
      <c r="DQ222" s="291"/>
      <c r="DR222" s="292"/>
      <c r="DS222" s="291"/>
      <c r="DT222" s="291"/>
      <c r="DU222" s="291"/>
      <c r="DV222" s="291"/>
      <c r="DW222" s="292"/>
      <c r="DX222" s="291"/>
      <c r="DY222" s="291"/>
      <c r="DZ222" s="291"/>
      <c r="EA222" s="291"/>
      <c r="EB222" s="292"/>
      <c r="EC222" s="291"/>
      <c r="ED222" s="291"/>
      <c r="EE222" s="291"/>
      <c r="EF222" s="291"/>
      <c r="EG222" s="292"/>
      <c r="EH222" s="291"/>
      <c r="EI222" s="291"/>
      <c r="EJ222" s="291"/>
      <c r="EK222" s="291"/>
      <c r="EL222" s="292"/>
      <c r="EM222" s="291"/>
      <c r="EN222" s="291"/>
      <c r="EO222" s="291"/>
      <c r="EP222" s="291"/>
      <c r="EQ222" s="292"/>
      <c r="ER222" s="107">
        <f t="shared" ref="ER222" si="175">ER221/EM221-1</f>
      </c>
      <c r="ES222" s="107">
        <f t="shared" ref="ES222" si="176">ES221/EN221-1</f>
      </c>
      <c r="ET222" s="107">
        <f t="shared" ref="ET222" si="177">ET221/EO221-1</f>
      </c>
      <c r="EU222" s="107">
        <f t="shared" ref="EU222" si="178">EU221/EP221-1</f>
      </c>
      <c r="EV222" s="292"/>
      <c r="EW222" s="349">
        <f t="shared" ref="EW222:EZ222" si="179">EW221/ER221-1</f>
      </c>
      <c r="EX222" s="107">
        <f t="shared" si="179"/>
      </c>
      <c r="EY222" s="107">
        <f t="shared" si="179"/>
      </c>
      <c r="EZ222" s="107">
        <f t="shared" si="179"/>
      </c>
      <c r="FA222" s="292">
        <f>FA221/EV221-1</f>
      </c>
      <c r="FB222" s="412">
        <v>7.0000000000000007E-2</v>
      </c>
      <c r="FC222" s="114">
        <f>FB222</f>
      </c>
      <c r="FD222" s="114">
        <f>FC222</f>
      </c>
      <c r="FE222" s="114">
        <f>FD222</f>
      </c>
      <c r="FF222" s="292">
        <f>FF221/FA221-1</f>
      </c>
      <c r="FG222" s="412">
        <v>0.05</v>
      </c>
      <c r="FH222" s="114">
        <f>FG222</f>
      </c>
      <c r="FI222" s="114">
        <f>FH222</f>
      </c>
      <c r="FJ222" s="114">
        <f>FI222</f>
      </c>
      <c r="FK222" s="292">
        <f>FK221/FF221-1</f>
      </c>
      <c r="FL222" s="412">
        <f>FJ222-1%</f>
      </c>
      <c r="FM222" s="114">
        <f>FL222</f>
      </c>
      <c r="FN222" s="114">
        <f>FM222</f>
      </c>
      <c r="FO222" s="114">
        <f>FN222</f>
      </c>
      <c r="FP222" s="292">
        <f>FP221/FK221-1</f>
      </c>
      <c r="FQ222" s="412">
        <f>FO222-1%</f>
      </c>
      <c r="FR222" s="114">
        <f>FQ222</f>
      </c>
      <c r="FS222" s="114">
        <f>FR222</f>
      </c>
      <c r="FT222" s="114">
        <f>FS222</f>
      </c>
      <c r="FU222" s="292">
        <f>FU221/FP221-1</f>
      </c>
      <c r="FV222" s="412">
        <f>FT222-1%</f>
      </c>
      <c r="FW222" s="114">
        <f>FV222</f>
      </c>
      <c r="FX222" s="114">
        <f>FW222</f>
      </c>
      <c r="FY222" s="114">
        <f>FX222</f>
      </c>
      <c r="FZ222" s="292">
        <f>FZ221/FU221-1</f>
      </c>
      <c r="GA222" s="412">
        <f>FY222-0.5%</f>
      </c>
      <c r="GB222" s="114">
        <f>GA222</f>
      </c>
      <c r="GC222" s="114">
        <f>GB222</f>
      </c>
      <c r="GD222" s="114">
        <f>GC222</f>
      </c>
      <c r="GE222" s="292">
        <f>GE221/FZ221-1</f>
      </c>
      <c r="GF222" s="412">
        <f>GD222-0.5%</f>
      </c>
      <c r="GG222" s="114">
        <f>GF222</f>
      </c>
      <c r="GH222" s="114">
        <f>GG222</f>
      </c>
      <c r="GI222" s="114">
        <f>GH222</f>
      </c>
      <c r="GJ222" s="384">
        <f>GJ221/GE221-1</f>
      </c>
    </row>
    <row r="223" spans="1:192" ht="12.75" customHeight="1">
      <c r="B223" s="735" t="s">
        <v>36</v>
      </c>
      <c r="C223" s="291"/>
      <c r="D223" s="107"/>
      <c r="E223" s="107"/>
      <c r="F223" s="107"/>
      <c r="G223" s="292"/>
      <c r="H223" s="291"/>
      <c r="I223" s="107"/>
      <c r="J223" s="107"/>
      <c r="K223" s="107"/>
      <c r="L223" s="292"/>
      <c r="M223" s="291"/>
      <c r="N223" s="107"/>
      <c r="O223" s="107"/>
      <c r="P223" s="107"/>
      <c r="Q223" s="292"/>
      <c r="R223" s="291"/>
      <c r="S223" s="107"/>
      <c r="T223" s="107"/>
      <c r="U223" s="107"/>
      <c r="V223" s="292"/>
      <c r="W223" s="291"/>
      <c r="X223" s="107"/>
      <c r="Y223" s="107"/>
      <c r="Z223" s="107"/>
      <c r="AA223" s="292"/>
      <c r="AB223" s="291"/>
      <c r="AC223" s="107"/>
      <c r="AD223" s="107"/>
      <c r="AE223" s="107"/>
      <c r="AF223" s="292"/>
      <c r="AG223" s="291"/>
      <c r="AH223" s="107"/>
      <c r="AI223" s="107"/>
      <c r="AJ223" s="107"/>
      <c r="AK223" s="292"/>
      <c r="AL223" s="291"/>
      <c r="AM223" s="107"/>
      <c r="AN223" s="107"/>
      <c r="AO223" s="107"/>
      <c r="AP223" s="292"/>
      <c r="AQ223" s="291"/>
      <c r="AR223" s="107"/>
      <c r="AS223" s="107"/>
      <c r="AT223" s="107"/>
      <c r="AU223" s="292"/>
      <c r="AV223" s="291"/>
      <c r="AW223" s="107"/>
      <c r="AX223" s="107"/>
      <c r="AY223" s="107"/>
      <c r="AZ223" s="292"/>
      <c r="BA223" s="291"/>
      <c r="BB223" s="107"/>
      <c r="BC223" s="107"/>
      <c r="BD223" s="107"/>
      <c r="BE223" s="292"/>
      <c r="BF223" s="291"/>
      <c r="BG223" s="107"/>
      <c r="BH223" s="107"/>
      <c r="BI223" s="107"/>
      <c r="BJ223" s="292"/>
      <c r="BK223" s="291"/>
      <c r="BL223" s="107"/>
      <c r="BM223" s="107"/>
      <c r="BN223" s="107"/>
      <c r="BO223" s="292"/>
      <c r="BP223" s="291"/>
      <c r="BQ223" s="107"/>
      <c r="BR223" s="107"/>
      <c r="BS223" s="107"/>
      <c r="BT223" s="292"/>
      <c r="BU223" s="291"/>
      <c r="BV223" s="107"/>
      <c r="BW223" s="107"/>
      <c r="BX223" s="107"/>
      <c r="BY223" s="293"/>
      <c r="BZ223" s="291"/>
      <c r="CA223" s="107"/>
      <c r="CB223" s="107"/>
      <c r="CC223" s="107"/>
      <c r="CD223" s="293"/>
      <c r="CE223" s="291"/>
      <c r="CF223" s="107"/>
      <c r="CG223" s="107"/>
      <c r="CH223" s="107"/>
      <c r="CI223" s="293"/>
      <c r="CJ223" s="291"/>
      <c r="CK223" s="107"/>
      <c r="CL223" s="107"/>
      <c r="CM223" s="107"/>
      <c r="CN223" s="293"/>
      <c r="CO223" s="291"/>
      <c r="CP223" s="107"/>
      <c r="CQ223" s="107"/>
      <c r="CR223" s="107"/>
      <c r="CS223" s="293"/>
      <c r="CT223" s="291"/>
      <c r="CU223" s="107"/>
      <c r="CV223" s="107"/>
      <c r="CW223" s="107"/>
      <c r="CX223" s="293"/>
      <c r="CY223" s="291"/>
      <c r="CZ223" s="107"/>
      <c r="DA223" s="107"/>
      <c r="DB223" s="107"/>
      <c r="DC223" s="293"/>
      <c r="DD223" s="291"/>
      <c r="DE223" s="107"/>
      <c r="DF223" s="107"/>
      <c r="DG223" s="107"/>
      <c r="DH223" s="293"/>
      <c r="DI223" s="291"/>
      <c r="DJ223" s="107"/>
      <c r="DK223" s="107"/>
      <c r="DL223" s="107"/>
      <c r="DM223" s="293"/>
      <c r="DN223" s="291"/>
      <c r="DO223" s="107"/>
      <c r="DP223" s="107"/>
      <c r="DQ223" s="107"/>
      <c r="DR223" s="293"/>
      <c r="DS223" s="291"/>
      <c r="DT223" s="107"/>
      <c r="DU223" s="107"/>
      <c r="DV223" s="107"/>
      <c r="DW223" s="293"/>
      <c r="DX223" s="291"/>
      <c r="DY223" s="107"/>
      <c r="DZ223" s="107"/>
      <c r="EA223" s="107"/>
      <c r="EB223" s="293"/>
      <c r="EC223" s="291"/>
      <c r="ED223" s="107"/>
      <c r="EE223" s="107"/>
      <c r="EF223" s="107"/>
      <c r="EG223" s="293"/>
      <c r="EH223" s="291"/>
      <c r="EI223" s="107"/>
      <c r="EJ223" s="107"/>
      <c r="EK223" s="107"/>
      <c r="EL223" s="293"/>
      <c r="EM223" s="291"/>
      <c r="EN223" s="107"/>
      <c r="EO223" s="107"/>
      <c r="EP223" s="107"/>
      <c r="EQ223" s="293"/>
      <c r="ER223" s="291">
        <f>ER221/EP221-1</f>
      </c>
      <c r="ES223" s="107">
        <f>ES221/ER221-1</f>
      </c>
      <c r="ET223" s="291">
        <f>ET221/ES221-1</f>
      </c>
      <c r="EU223" s="107">
        <f>EU221/ET221-1</f>
      </c>
      <c r="EV223" s="293"/>
      <c r="EW223" s="291">
        <f>EW221/EU221-1</f>
      </c>
      <c r="EX223" s="107">
        <f>EX221/EW221-1</f>
      </c>
      <c r="EY223" s="291">
        <f>EY221/EX221-1</f>
      </c>
      <c r="EZ223" s="107">
        <f>EZ221/EY221-1</f>
      </c>
      <c r="FA223" s="293"/>
      <c r="FB223" s="291">
        <f>FB221/EZ221-1</f>
      </c>
      <c r="FC223" s="107">
        <f>FC221/FB221-1</f>
      </c>
      <c r="FD223" s="107">
        <f>FD221/FC221-1</f>
      </c>
      <c r="FE223" s="107">
        <f>FE221/FD221-1</f>
      </c>
      <c r="FF223" s="293"/>
      <c r="FG223" s="291">
        <f>FG221/FE221-1</f>
      </c>
      <c r="FH223" s="107">
        <f>FH221/FG221-1</f>
      </c>
      <c r="FI223" s="107">
        <f>FI221/FH221-1</f>
      </c>
      <c r="FJ223" s="107">
        <f>FJ221/FI221-1</f>
      </c>
      <c r="FK223" s="293"/>
      <c r="FL223" s="291">
        <f>FL221/FJ221-1</f>
      </c>
      <c r="FM223" s="107">
        <f>FM221/FL221-1</f>
      </c>
      <c r="FN223" s="107">
        <f>FN221/FM221-1</f>
      </c>
      <c r="FO223" s="107">
        <f>FO221/FN221-1</f>
      </c>
      <c r="FP223" s="293"/>
      <c r="FQ223" s="291">
        <f>FQ221/FO221-1</f>
      </c>
      <c r="FR223" s="107">
        <f>FR221/FQ221-1</f>
      </c>
      <c r="FS223" s="107">
        <f>FS221/FR221-1</f>
      </c>
      <c r="FT223" s="107">
        <f>FT221/FS221-1</f>
      </c>
      <c r="FU223" s="293"/>
      <c r="FV223" s="291">
        <f>FV221/FT221-1</f>
      </c>
      <c r="FW223" s="107">
        <f>FW221/FV221-1</f>
      </c>
      <c r="FX223" s="107">
        <f>FX221/FW221-1</f>
      </c>
      <c r="FY223" s="107">
        <f>FY221/FX221-1</f>
      </c>
      <c r="FZ223" s="293"/>
      <c r="GA223" s="291">
        <f>GA221/FY221-1</f>
      </c>
      <c r="GB223" s="107">
        <f>GB221/GA221-1</f>
      </c>
      <c r="GC223" s="107">
        <f>GC221/GB221-1</f>
      </c>
      <c r="GD223" s="107">
        <f>GD221/GC221-1</f>
      </c>
      <c r="GE223" s="293"/>
      <c r="GF223" s="291">
        <f>GF221/GD221-1</f>
      </c>
      <c r="GG223" s="107">
        <f>GG221/GF221-1</f>
      </c>
      <c r="GH223" s="107">
        <f>GH221/GG221-1</f>
      </c>
      <c r="GI223" s="107">
        <f>GI221/GH221-1</f>
      </c>
      <c r="GJ223" s="384"/>
    </row>
    <row r="224" spans="1:192" s="680" customFormat="1" ht="12.75" customHeight="1">
      <c r="A224" s="850"/>
      <c r="B224" s="741" t="s">
        <v>243</v>
      </c>
      <c r="C224" s="448"/>
      <c r="D224" s="493"/>
      <c r="E224" s="493"/>
      <c r="F224" s="493"/>
      <c r="G224" s="494"/>
      <c r="H224" s="448"/>
      <c r="I224" s="493"/>
      <c r="J224" s="493"/>
      <c r="K224" s="493"/>
      <c r="L224" s="494"/>
      <c r="M224" s="448"/>
      <c r="N224" s="493"/>
      <c r="O224" s="493"/>
      <c r="P224" s="493"/>
      <c r="Q224" s="494"/>
      <c r="R224" s="448"/>
      <c r="S224" s="493"/>
      <c r="T224" s="493"/>
      <c r="U224" s="493"/>
      <c r="V224" s="494"/>
      <c r="W224" s="448"/>
      <c r="X224" s="493"/>
      <c r="Y224" s="493"/>
      <c r="Z224" s="493"/>
      <c r="AA224" s="494"/>
      <c r="AB224" s="448"/>
      <c r="AC224" s="493"/>
      <c r="AD224" s="493"/>
      <c r="AE224" s="493"/>
      <c r="AF224" s="494"/>
      <c r="AG224" s="448"/>
      <c r="AH224" s="493"/>
      <c r="AI224" s="493"/>
      <c r="AJ224" s="493"/>
      <c r="AK224" s="494"/>
      <c r="AL224" s="448"/>
      <c r="AM224" s="493"/>
      <c r="AN224" s="493"/>
      <c r="AO224" s="493"/>
      <c r="AP224" s="494"/>
      <c r="AQ224" s="448"/>
      <c r="AR224" s="493"/>
      <c r="AS224" s="493"/>
      <c r="AT224" s="493"/>
      <c r="AU224" s="494"/>
      <c r="AV224" s="448"/>
      <c r="AW224" s="493"/>
      <c r="AX224" s="493"/>
      <c r="AY224" s="493"/>
      <c r="AZ224" s="494"/>
      <c r="BA224" s="448"/>
      <c r="BB224" s="493"/>
      <c r="BC224" s="493"/>
      <c r="BD224" s="493"/>
      <c r="BE224" s="494"/>
      <c r="BF224" s="448"/>
      <c r="BG224" s="493"/>
      <c r="BH224" s="493"/>
      <c r="BI224" s="493"/>
      <c r="BJ224" s="494"/>
      <c r="BK224" s="448"/>
      <c r="BL224" s="493"/>
      <c r="BM224" s="493"/>
      <c r="BN224" s="493"/>
      <c r="BO224" s="494"/>
      <c r="BP224" s="448"/>
      <c r="BQ224" s="493"/>
      <c r="BR224" s="493"/>
      <c r="BS224" s="493"/>
      <c r="BT224" s="494"/>
      <c r="BU224" s="448"/>
      <c r="BV224" s="493"/>
      <c r="BW224" s="493"/>
      <c r="BX224" s="493"/>
      <c r="BY224" s="812"/>
      <c r="BZ224" s="448"/>
      <c r="CA224" s="493"/>
      <c r="CB224" s="493"/>
      <c r="CC224" s="493"/>
      <c r="CD224" s="812"/>
      <c r="CE224" s="448"/>
      <c r="CF224" s="493"/>
      <c r="CG224" s="493"/>
      <c r="CH224" s="493"/>
      <c r="CI224" s="812"/>
      <c r="CJ224" s="448"/>
      <c r="CK224" s="493"/>
      <c r="CL224" s="493"/>
      <c r="CM224" s="493"/>
      <c r="CN224" s="812"/>
      <c r="CO224" s="448"/>
      <c r="CP224" s="493"/>
      <c r="CQ224" s="493"/>
      <c r="CR224" s="493"/>
      <c r="CS224" s="812"/>
      <c r="CT224" s="448"/>
      <c r="CU224" s="493"/>
      <c r="CV224" s="493"/>
      <c r="CW224" s="493"/>
      <c r="CX224" s="812"/>
      <c r="CY224" s="448"/>
      <c r="CZ224" s="493"/>
      <c r="DA224" s="493"/>
      <c r="DB224" s="493"/>
      <c r="DC224" s="812"/>
      <c r="DD224" s="448"/>
      <c r="DE224" s="493"/>
      <c r="DF224" s="493"/>
      <c r="DG224" s="493"/>
      <c r="DH224" s="812"/>
      <c r="DI224" s="448"/>
      <c r="DJ224" s="448"/>
      <c r="DK224" s="448"/>
      <c r="DL224" s="448"/>
      <c r="DM224" s="812"/>
      <c r="DN224" s="448"/>
      <c r="DO224" s="448"/>
      <c r="DP224" s="448"/>
      <c r="DQ224" s="448"/>
      <c r="DR224" s="812"/>
      <c r="DS224" s="447"/>
      <c r="DT224" s="447"/>
      <c r="DU224" s="447"/>
      <c r="DV224" s="447"/>
      <c r="DW224" s="459"/>
      <c r="DX224" s="447"/>
      <c r="DY224" s="447"/>
      <c r="DZ224" s="447"/>
      <c r="EA224" s="447"/>
      <c r="EB224" s="459"/>
      <c r="EC224" s="447"/>
      <c r="ED224" s="447"/>
      <c r="EE224" s="447"/>
      <c r="EF224" s="447"/>
      <c r="EG224" s="459"/>
      <c r="EH224" s="447"/>
      <c r="EI224" s="447"/>
      <c r="EJ224" s="447"/>
      <c r="EK224" s="447"/>
      <c r="EL224" s="459"/>
      <c r="EM224" s="447"/>
      <c r="EN224" s="447"/>
      <c r="EO224" s="447"/>
      <c r="EP224" s="447"/>
      <c r="EQ224" s="459"/>
      <c r="ER224" s="448"/>
      <c r="ES224" s="447"/>
      <c r="ET224" s="448"/>
      <c r="EU224" s="447"/>
      <c r="EV224" s="459"/>
      <c r="EW224" s="447">
        <f t="shared" ref="EW224:GD224" si="180">IFERROR(EW221-ER221,"")</f>
      </c>
      <c r="EX224" s="447">
        <f t="shared" si="180"/>
      </c>
      <c r="EY224" s="447">
        <f t="shared" si="180"/>
      </c>
      <c r="EZ224" s="447"/>
      <c r="FA224" s="459">
        <f t="shared" si="180"/>
      </c>
      <c r="FB224" s="447">
        <f t="shared" si="180"/>
      </c>
      <c r="FC224" s="447">
        <f t="shared" si="180"/>
      </c>
      <c r="FD224" s="447">
        <f t="shared" si="180"/>
      </c>
      <c r="FE224" s="447">
        <f t="shared" si="180"/>
      </c>
      <c r="FF224" s="459">
        <f t="shared" si="180"/>
      </c>
      <c r="FG224" s="447">
        <f t="shared" si="180"/>
      </c>
      <c r="FH224" s="447">
        <f t="shared" si="180"/>
      </c>
      <c r="FI224" s="447">
        <f t="shared" si="180"/>
      </c>
      <c r="FJ224" s="447">
        <f t="shared" si="180"/>
      </c>
      <c r="FK224" s="459">
        <f t="shared" si="180"/>
      </c>
      <c r="FL224" s="447">
        <f t="shared" si="180"/>
      </c>
      <c r="FM224" s="447">
        <f t="shared" si="180"/>
      </c>
      <c r="FN224" s="447">
        <f t="shared" si="180"/>
      </c>
      <c r="FO224" s="447">
        <f t="shared" si="180"/>
      </c>
      <c r="FP224" s="459">
        <f t="shared" si="180"/>
      </c>
      <c r="FQ224" s="447">
        <f t="shared" si="180"/>
      </c>
      <c r="FR224" s="447">
        <f t="shared" si="180"/>
      </c>
      <c r="FS224" s="447">
        <f t="shared" si="180"/>
      </c>
      <c r="FT224" s="447">
        <f t="shared" si="180"/>
      </c>
      <c r="FU224" s="459">
        <f t="shared" si="180"/>
      </c>
      <c r="FV224" s="447">
        <f t="shared" si="180"/>
      </c>
      <c r="FW224" s="447">
        <f t="shared" si="180"/>
      </c>
      <c r="FX224" s="447">
        <f t="shared" si="180"/>
      </c>
      <c r="FY224" s="447">
        <f t="shared" si="180"/>
      </c>
      <c r="FZ224" s="459">
        <f t="shared" si="180"/>
      </c>
      <c r="GA224" s="447">
        <f t="shared" si="180"/>
      </c>
      <c r="GB224" s="458">
        <f t="shared" si="180"/>
      </c>
      <c r="GC224" s="458">
        <f t="shared" si="180"/>
      </c>
      <c r="GD224" s="458">
        <f t="shared" si="180"/>
      </c>
      <c r="GE224" s="459">
        <f>IFERROR(GE221-FZ221,"")</f>
      </c>
      <c r="GF224" s="447">
        <f t="shared" ref="GF224" si="181">IFERROR(GF221-GA221,"")</f>
      </c>
      <c r="GG224" s="458">
        <f t="shared" ref="GG224" si="182">IFERROR(GG221-GB221,"")</f>
      </c>
      <c r="GH224" s="458">
        <f t="shared" ref="GH224" si="183">IFERROR(GH221-GC221,"")</f>
      </c>
      <c r="GI224" s="458">
        <f t="shared" ref="GI224" si="184">IFERROR(GI221-GD221,"")</f>
      </c>
      <c r="GJ224" s="497">
        <f>IFERROR(GJ221-GE221,"")</f>
      </c>
    </row>
    <row r="225" spans="1:192" s="461" customFormat="1" ht="12.75" customHeight="1">
      <c r="A225" s="850"/>
      <c r="B225" s="735" t="s">
        <v>244</v>
      </c>
      <c r="C225" s="447"/>
      <c r="D225" s="458"/>
      <c r="E225" s="458"/>
      <c r="F225" s="458"/>
      <c r="G225" s="462"/>
      <c r="H225" s="447"/>
      <c r="I225" s="458"/>
      <c r="J225" s="458"/>
      <c r="K225" s="458"/>
      <c r="L225" s="462"/>
      <c r="M225" s="447"/>
      <c r="N225" s="458"/>
      <c r="O225" s="458"/>
      <c r="P225" s="458"/>
      <c r="Q225" s="462"/>
      <c r="R225" s="447"/>
      <c r="S225" s="458"/>
      <c r="T225" s="458"/>
      <c r="U225" s="458"/>
      <c r="V225" s="462"/>
      <c r="W225" s="447"/>
      <c r="X225" s="458"/>
      <c r="Y225" s="458"/>
      <c r="Z225" s="458"/>
      <c r="AA225" s="462"/>
      <c r="AB225" s="447"/>
      <c r="AC225" s="458"/>
      <c r="AD225" s="458"/>
      <c r="AE225" s="458"/>
      <c r="AF225" s="462"/>
      <c r="AG225" s="447"/>
      <c r="AH225" s="458"/>
      <c r="AI225" s="458"/>
      <c r="AJ225" s="458"/>
      <c r="AK225" s="462"/>
      <c r="AL225" s="447"/>
      <c r="AM225" s="458"/>
      <c r="AN225" s="458"/>
      <c r="AO225" s="458"/>
      <c r="AP225" s="462"/>
      <c r="AQ225" s="447"/>
      <c r="AR225" s="458"/>
      <c r="AS225" s="458"/>
      <c r="AT225" s="458"/>
      <c r="AU225" s="462"/>
      <c r="AV225" s="447"/>
      <c r="AW225" s="458"/>
      <c r="AX225" s="458"/>
      <c r="AY225" s="458"/>
      <c r="AZ225" s="462"/>
      <c r="BA225" s="447"/>
      <c r="BB225" s="458"/>
      <c r="BC225" s="458"/>
      <c r="BD225" s="458"/>
      <c r="BE225" s="462"/>
      <c r="BF225" s="447"/>
      <c r="BG225" s="458"/>
      <c r="BH225" s="458"/>
      <c r="BI225" s="458"/>
      <c r="BJ225" s="462"/>
      <c r="BK225" s="447"/>
      <c r="BL225" s="458"/>
      <c r="BM225" s="458"/>
      <c r="BN225" s="458"/>
      <c r="BO225" s="462"/>
      <c r="BP225" s="447"/>
      <c r="BQ225" s="458"/>
      <c r="BR225" s="458"/>
      <c r="BS225" s="458"/>
      <c r="BT225" s="462"/>
      <c r="BU225" s="447"/>
      <c r="BV225" s="458"/>
      <c r="BW225" s="458"/>
      <c r="BX225" s="458"/>
      <c r="BY225" s="459"/>
      <c r="BZ225" s="447"/>
      <c r="CA225" s="458"/>
      <c r="CB225" s="458"/>
      <c r="CC225" s="458"/>
      <c r="CD225" s="459"/>
      <c r="CE225" s="447"/>
      <c r="CF225" s="458"/>
      <c r="CG225" s="458"/>
      <c r="CH225" s="458"/>
      <c r="CI225" s="459"/>
      <c r="CJ225" s="447"/>
      <c r="CK225" s="458"/>
      <c r="CL225" s="458"/>
      <c r="CM225" s="458"/>
      <c r="CN225" s="459"/>
      <c r="CO225" s="447"/>
      <c r="CP225" s="458"/>
      <c r="CQ225" s="458"/>
      <c r="CR225" s="458"/>
      <c r="CS225" s="459"/>
      <c r="CT225" s="447"/>
      <c r="CU225" s="458"/>
      <c r="CV225" s="458"/>
      <c r="CW225" s="458"/>
      <c r="CX225" s="459"/>
      <c r="CY225" s="447"/>
      <c r="CZ225" s="458"/>
      <c r="DA225" s="458"/>
      <c r="DB225" s="458"/>
      <c r="DC225" s="459"/>
      <c r="DD225" s="447"/>
      <c r="DE225" s="458"/>
      <c r="DF225" s="458"/>
      <c r="DG225" s="458"/>
      <c r="DH225" s="459"/>
      <c r="DI225" s="447"/>
      <c r="DJ225" s="458"/>
      <c r="DK225" s="458"/>
      <c r="DL225" s="458"/>
      <c r="DM225" s="459"/>
      <c r="DN225" s="447"/>
      <c r="DO225" s="458"/>
      <c r="DP225" s="458"/>
      <c r="DQ225" s="458"/>
      <c r="DR225" s="459"/>
      <c r="DS225" s="447"/>
      <c r="DT225" s="458"/>
      <c r="DU225" s="458"/>
      <c r="DV225" s="458"/>
      <c r="DW225" s="459"/>
      <c r="DX225" s="447"/>
      <c r="DY225" s="458"/>
      <c r="DZ225" s="458"/>
      <c r="EA225" s="458"/>
      <c r="EB225" s="459"/>
      <c r="EC225" s="447"/>
      <c r="ED225" s="458"/>
      <c r="EE225" s="458"/>
      <c r="EF225" s="458"/>
      <c r="EG225" s="459"/>
      <c r="EH225" s="447"/>
      <c r="EI225" s="458"/>
      <c r="EJ225" s="458"/>
      <c r="EK225" s="458"/>
      <c r="EL225" s="459"/>
      <c r="EM225" s="447"/>
      <c r="EN225" s="458"/>
      <c r="EO225" s="458"/>
      <c r="EP225" s="458"/>
      <c r="EQ225" s="459"/>
      <c r="ER225" s="447"/>
      <c r="ES225" s="458">
        <f>ES221-ER221</f>
      </c>
      <c r="ET225" s="458">
        <f>ET221-ES221</f>
      </c>
      <c r="EU225" s="458">
        <f>EU221-ET221</f>
      </c>
      <c r="EV225" s="459"/>
      <c r="EW225" s="447">
        <f>EW221-EU221</f>
      </c>
      <c r="EX225" s="458">
        <f>EX221-EW221</f>
      </c>
      <c r="EY225" s="458">
        <f>EY221-EX221</f>
      </c>
      <c r="EZ225" s="458">
        <f>EZ221-EY221</f>
      </c>
      <c r="FA225" s="459"/>
      <c r="FB225" s="447">
        <f>FB221-EZ221</f>
      </c>
      <c r="FC225" s="458">
        <f>FC221-FB221</f>
      </c>
      <c r="FD225" s="458">
        <f>FD221-FC221</f>
      </c>
      <c r="FE225" s="458">
        <f>FE221-FD221</f>
      </c>
      <c r="FF225" s="459"/>
      <c r="FG225" s="447">
        <f>FG221-FE221</f>
      </c>
      <c r="FH225" s="458">
        <f>FH221-FG221</f>
      </c>
      <c r="FI225" s="458">
        <f>FI221-FH221</f>
      </c>
      <c r="FJ225" s="458">
        <f>FJ221-FI221</f>
      </c>
      <c r="FK225" s="459"/>
      <c r="FL225" s="447">
        <f>FL221-FJ221</f>
      </c>
      <c r="FM225" s="458">
        <f>FM221-FL221</f>
      </c>
      <c r="FN225" s="458">
        <f>FN221-FM221</f>
      </c>
      <c r="FO225" s="458">
        <f>FO221-FN221</f>
      </c>
      <c r="FP225" s="459"/>
      <c r="FQ225" s="447">
        <f>FQ221-FO221</f>
      </c>
      <c r="FR225" s="458">
        <f>FR221-FQ221</f>
      </c>
      <c r="FS225" s="458">
        <f>FS221-FR221</f>
      </c>
      <c r="FT225" s="458">
        <f>FT221-FS221</f>
      </c>
      <c r="FU225" s="459"/>
      <c r="FV225" s="447">
        <f>FV221-FT221</f>
      </c>
      <c r="FW225" s="458">
        <f>FW221-FV221</f>
      </c>
      <c r="FX225" s="458">
        <f>FX221-FW221</f>
      </c>
      <c r="FY225" s="458">
        <f>FY221-FX221</f>
      </c>
      <c r="FZ225" s="459"/>
      <c r="GA225" s="447">
        <f>GA221-FY221</f>
      </c>
      <c r="GB225" s="458">
        <f>GB221-GA221</f>
      </c>
      <c r="GC225" s="458">
        <f>GC221-GB221</f>
      </c>
      <c r="GD225" s="458">
        <f>GD221-GC221</f>
      </c>
      <c r="GE225" s="459"/>
      <c r="GF225" s="447">
        <f>GF221-GD221</f>
      </c>
      <c r="GG225" s="458">
        <f>GG221-GF221</f>
      </c>
      <c r="GH225" s="458">
        <f>GH221-GG221</f>
      </c>
      <c r="GI225" s="458">
        <f>GI221-GH221</f>
      </c>
      <c r="GJ225" s="497"/>
    </row>
    <row r="226" spans="1:192" ht="12.75" customHeight="1">
      <c r="B226" s="735" t="s">
        <v>213</v>
      </c>
      <c r="C226" s="291"/>
      <c r="D226" s="107"/>
      <c r="E226" s="107"/>
      <c r="F226" s="107"/>
      <c r="G226" s="293"/>
      <c r="H226" s="291"/>
      <c r="I226" s="107"/>
      <c r="J226" s="107"/>
      <c r="K226" s="107"/>
      <c r="L226" s="293"/>
      <c r="M226" s="291"/>
      <c r="N226" s="107"/>
      <c r="O226" s="107"/>
      <c r="P226" s="107"/>
      <c r="Q226" s="293"/>
      <c r="R226" s="291"/>
      <c r="S226" s="107"/>
      <c r="T226" s="107"/>
      <c r="U226" s="107"/>
      <c r="V226" s="293"/>
      <c r="W226" s="291"/>
      <c r="X226" s="107"/>
      <c r="Y226" s="107"/>
      <c r="Z226" s="107"/>
      <c r="AA226" s="293"/>
      <c r="AB226" s="291"/>
      <c r="AC226" s="107"/>
      <c r="AD226" s="107"/>
      <c r="AE226" s="107"/>
      <c r="AF226" s="293"/>
      <c r="AG226" s="291"/>
      <c r="AH226" s="107"/>
      <c r="AI226" s="107"/>
      <c r="AJ226" s="107"/>
      <c r="AK226" s="293"/>
      <c r="AL226" s="291"/>
      <c r="AM226" s="107"/>
      <c r="AN226" s="107"/>
      <c r="AO226" s="107"/>
      <c r="AP226" s="293"/>
      <c r="AQ226" s="291"/>
      <c r="AR226" s="107"/>
      <c r="AS226" s="107"/>
      <c r="AT226" s="107"/>
      <c r="AU226" s="293"/>
      <c r="AV226" s="291"/>
      <c r="AW226" s="107"/>
      <c r="AX226" s="107"/>
      <c r="AY226" s="107"/>
      <c r="AZ226" s="293"/>
      <c r="BA226" s="291"/>
      <c r="BB226" s="107"/>
      <c r="BC226" s="107"/>
      <c r="BD226" s="107"/>
      <c r="BE226" s="293"/>
      <c r="BF226" s="291"/>
      <c r="BG226" s="107"/>
      <c r="BH226" s="107"/>
      <c r="BI226" s="107"/>
      <c r="BJ226" s="293"/>
      <c r="BK226" s="291"/>
      <c r="BL226" s="107"/>
      <c r="BM226" s="107"/>
      <c r="BN226" s="107"/>
      <c r="BO226" s="293"/>
      <c r="BP226" s="291"/>
      <c r="BQ226" s="107"/>
      <c r="BR226" s="107"/>
      <c r="BS226" s="107"/>
      <c r="BT226" s="293"/>
      <c r="BU226" s="291"/>
      <c r="BV226" s="107"/>
      <c r="BW226" s="107"/>
      <c r="BX226" s="107"/>
      <c r="BY226" s="293"/>
      <c r="BZ226" s="291"/>
      <c r="CA226" s="107"/>
      <c r="CB226" s="107"/>
      <c r="CC226" s="107"/>
      <c r="CD226" s="293"/>
      <c r="CE226" s="291"/>
      <c r="CF226" s="107"/>
      <c r="CG226" s="107"/>
      <c r="CH226" s="107"/>
      <c r="CI226" s="293"/>
      <c r="CJ226" s="291"/>
      <c r="CK226" s="107"/>
      <c r="CL226" s="107"/>
      <c r="CM226" s="107"/>
      <c r="CN226" s="293"/>
      <c r="CO226" s="291"/>
      <c r="CP226" s="107"/>
      <c r="CQ226" s="107"/>
      <c r="CR226" s="107"/>
      <c r="CS226" s="293"/>
      <c r="CT226" s="291"/>
      <c r="CU226" s="107"/>
      <c r="CV226" s="107"/>
      <c r="CW226" s="107"/>
      <c r="CX226" s="293"/>
      <c r="CY226" s="291"/>
      <c r="CZ226" s="107"/>
      <c r="DA226" s="107"/>
      <c r="DB226" s="107"/>
      <c r="DC226" s="293"/>
      <c r="DD226" s="291"/>
      <c r="DE226" s="107"/>
      <c r="DF226" s="107"/>
      <c r="DG226" s="107"/>
      <c r="DH226" s="293"/>
      <c r="DI226" s="291"/>
      <c r="DJ226" s="107"/>
      <c r="DK226" s="107"/>
      <c r="DL226" s="107"/>
      <c r="DM226" s="293"/>
      <c r="DN226" s="291"/>
      <c r="DO226" s="107"/>
      <c r="DP226" s="107"/>
      <c r="DQ226" s="107"/>
      <c r="DR226" s="293"/>
      <c r="DS226" s="291"/>
      <c r="DT226" s="107"/>
      <c r="DU226" s="107"/>
      <c r="DV226" s="107"/>
      <c r="DW226" s="293"/>
      <c r="DX226" s="291"/>
      <c r="DY226" s="107"/>
      <c r="DZ226" s="107"/>
      <c r="EA226" s="107"/>
      <c r="EB226" s="293"/>
      <c r="EC226" s="291"/>
      <c r="ED226" s="107"/>
      <c r="EE226" s="107"/>
      <c r="EF226" s="107"/>
      <c r="EG226" s="293"/>
      <c r="EH226" s="291"/>
      <c r="EI226" s="107"/>
      <c r="EJ226" s="107"/>
      <c r="EK226" s="107"/>
      <c r="EL226" s="293"/>
      <c r="EM226" s="291"/>
      <c r="EN226" s="107"/>
      <c r="EO226" s="107"/>
      <c r="EP226" s="107"/>
      <c r="EQ226" s="293"/>
      <c r="ER226" s="291">
        <f t="shared" ref="ER226:GE226" si="185">ER221/ER$10</f>
      </c>
      <c r="ES226" s="107">
        <f t="shared" si="185"/>
      </c>
      <c r="ET226" s="107">
        <f t="shared" si="185"/>
      </c>
      <c r="EU226" s="107">
        <f t="shared" si="185"/>
      </c>
      <c r="EV226" s="293">
        <f t="shared" si="185"/>
      </c>
      <c r="EW226" s="291">
        <f t="shared" si="185"/>
      </c>
      <c r="EX226" s="107">
        <f t="shared" ref="EX226:EZ226" si="186">EX221/EX$10</f>
      </c>
      <c r="EY226" s="107">
        <f t="shared" si="186"/>
      </c>
      <c r="EZ226" s="107">
        <f t="shared" si="186"/>
      </c>
      <c r="FA226" s="293">
        <f t="shared" si="185"/>
      </c>
      <c r="FB226" s="291">
        <f t="shared" si="185"/>
      </c>
      <c r="FC226" s="107">
        <f t="shared" si="185"/>
      </c>
      <c r="FD226" s="107">
        <f t="shared" si="185"/>
      </c>
      <c r="FE226" s="107">
        <f t="shared" si="185"/>
      </c>
      <c r="FF226" s="293">
        <f t="shared" si="185"/>
      </c>
      <c r="FG226" s="291">
        <f t="shared" si="185"/>
      </c>
      <c r="FH226" s="107">
        <f t="shared" si="185"/>
      </c>
      <c r="FI226" s="107">
        <f t="shared" si="185"/>
      </c>
      <c r="FJ226" s="107">
        <f t="shared" si="185"/>
      </c>
      <c r="FK226" s="293">
        <f t="shared" si="185"/>
      </c>
      <c r="FL226" s="291">
        <f t="shared" si="185"/>
      </c>
      <c r="FM226" s="107">
        <f t="shared" si="185"/>
      </c>
      <c r="FN226" s="107">
        <f t="shared" si="185"/>
      </c>
      <c r="FO226" s="107">
        <f t="shared" si="185"/>
      </c>
      <c r="FP226" s="293">
        <f t="shared" si="185"/>
      </c>
      <c r="FQ226" s="291">
        <f t="shared" si="185"/>
      </c>
      <c r="FR226" s="107">
        <f t="shared" si="185"/>
      </c>
      <c r="FS226" s="107">
        <f t="shared" si="185"/>
      </c>
      <c r="FT226" s="107">
        <f t="shared" si="185"/>
      </c>
      <c r="FU226" s="293">
        <f t="shared" si="185"/>
      </c>
      <c r="FV226" s="291">
        <f t="shared" si="185"/>
      </c>
      <c r="FW226" s="107">
        <f t="shared" si="185"/>
      </c>
      <c r="FX226" s="107">
        <f t="shared" si="185"/>
      </c>
      <c r="FY226" s="107">
        <f t="shared" si="185"/>
      </c>
      <c r="FZ226" s="293">
        <f t="shared" si="185"/>
      </c>
      <c r="GA226" s="291">
        <f t="shared" si="185"/>
      </c>
      <c r="GB226" s="107">
        <f t="shared" si="185"/>
      </c>
      <c r="GC226" s="107">
        <f t="shared" si="185"/>
      </c>
      <c r="GD226" s="107">
        <f t="shared" si="185"/>
      </c>
      <c r="GE226" s="293">
        <f t="shared" si="185"/>
      </c>
      <c r="GF226" s="291">
        <f t="shared" ref="GF226:GJ226" si="187">GF221/GF$10</f>
      </c>
      <c r="GG226" s="107">
        <f t="shared" si="187"/>
      </c>
      <c r="GH226" s="107">
        <f t="shared" si="187"/>
      </c>
      <c r="GI226" s="107">
        <f t="shared" si="187"/>
      </c>
      <c r="GJ226" s="382">
        <f t="shared" si="187"/>
      </c>
    </row>
    <row r="227" spans="1:192" ht="12.75" customHeight="1">
      <c r="B227" s="735"/>
      <c r="C227" s="291"/>
      <c r="D227" s="107"/>
      <c r="E227" s="107"/>
      <c r="F227" s="107"/>
      <c r="G227" s="293"/>
      <c r="H227" s="291"/>
      <c r="I227" s="107"/>
      <c r="J227" s="107"/>
      <c r="K227" s="107"/>
      <c r="L227" s="293"/>
      <c r="M227" s="291"/>
      <c r="N227" s="107"/>
      <c r="O227" s="107"/>
      <c r="P227" s="107"/>
      <c r="Q227" s="293"/>
      <c r="R227" s="291"/>
      <c r="S227" s="107"/>
      <c r="T227" s="107"/>
      <c r="U227" s="107"/>
      <c r="V227" s="293"/>
      <c r="W227" s="291"/>
      <c r="X227" s="107"/>
      <c r="Y227" s="107"/>
      <c r="Z227" s="107"/>
      <c r="AA227" s="293"/>
      <c r="AB227" s="291"/>
      <c r="AC227" s="107"/>
      <c r="AD227" s="107"/>
      <c r="AE227" s="107"/>
      <c r="AF227" s="293"/>
      <c r="AG227" s="291"/>
      <c r="AH227" s="107"/>
      <c r="AI227" s="107"/>
      <c r="AJ227" s="107"/>
      <c r="AK227" s="293"/>
      <c r="AL227" s="291"/>
      <c r="AM227" s="107"/>
      <c r="AN227" s="107"/>
      <c r="AO227" s="107"/>
      <c r="AP227" s="293"/>
      <c r="AQ227" s="291"/>
      <c r="AR227" s="107"/>
      <c r="AS227" s="107"/>
      <c r="AT227" s="107"/>
      <c r="AU227" s="293"/>
      <c r="AV227" s="291"/>
      <c r="AW227" s="107"/>
      <c r="AX227" s="107"/>
      <c r="AY227" s="107"/>
      <c r="AZ227" s="293"/>
      <c r="BA227" s="291"/>
      <c r="BB227" s="107"/>
      <c r="BC227" s="107"/>
      <c r="BD227" s="107"/>
      <c r="BE227" s="293"/>
      <c r="BF227" s="291"/>
      <c r="BG227" s="107"/>
      <c r="BH227" s="107"/>
      <c r="BI227" s="107"/>
      <c r="BJ227" s="293"/>
      <c r="BK227" s="291"/>
      <c r="BL227" s="107"/>
      <c r="BM227" s="107"/>
      <c r="BN227" s="107"/>
      <c r="BO227" s="293"/>
      <c r="BP227" s="291"/>
      <c r="BQ227" s="107"/>
      <c r="BR227" s="107"/>
      <c r="BS227" s="107"/>
      <c r="BT227" s="293"/>
      <c r="BU227" s="291"/>
      <c r="BV227" s="107"/>
      <c r="BW227" s="107"/>
      <c r="BX227" s="107"/>
      <c r="BY227" s="293"/>
      <c r="BZ227" s="291"/>
      <c r="CA227" s="107"/>
      <c r="CB227" s="107"/>
      <c r="CC227" s="107"/>
      <c r="CD227" s="293"/>
      <c r="CE227" s="291"/>
      <c r="CF227" s="107"/>
      <c r="CG227" s="107"/>
      <c r="CH227" s="107"/>
      <c r="CI227" s="293"/>
      <c r="CJ227" s="291"/>
      <c r="CK227" s="107"/>
      <c r="CL227" s="107"/>
      <c r="CM227" s="107"/>
      <c r="CN227" s="293"/>
      <c r="CO227" s="291"/>
      <c r="CP227" s="107"/>
      <c r="CQ227" s="107"/>
      <c r="CR227" s="107"/>
      <c r="CS227" s="293"/>
      <c r="CT227" s="291"/>
      <c r="CU227" s="107"/>
      <c r="CV227" s="107"/>
      <c r="CW227" s="107"/>
      <c r="CX227" s="293"/>
      <c r="CY227" s="291"/>
      <c r="CZ227" s="107"/>
      <c r="DA227" s="107"/>
      <c r="DB227" s="107"/>
      <c r="DC227" s="293"/>
      <c r="DD227" s="291"/>
      <c r="DE227" s="107"/>
      <c r="DF227" s="107"/>
      <c r="DG227" s="107"/>
      <c r="DH227" s="293"/>
      <c r="DI227" s="291"/>
      <c r="DJ227" s="107"/>
      <c r="DK227" s="107"/>
      <c r="DL227" s="107"/>
      <c r="DM227" s="293"/>
      <c r="DN227" s="291"/>
      <c r="DO227" s="107"/>
      <c r="DP227" s="107"/>
      <c r="DQ227" s="107"/>
      <c r="DR227" s="293"/>
      <c r="DS227" s="291"/>
      <c r="DT227" s="107"/>
      <c r="DU227" s="107"/>
      <c r="DV227" s="107"/>
      <c r="DW227" s="293"/>
      <c r="DX227" s="291"/>
      <c r="DY227" s="107"/>
      <c r="DZ227" s="107"/>
      <c r="EA227" s="107"/>
      <c r="EB227" s="293"/>
      <c r="EC227" s="291"/>
      <c r="ED227" s="107"/>
      <c r="EE227" s="107"/>
      <c r="EF227" s="107"/>
      <c r="EG227" s="293"/>
      <c r="EH227" s="291"/>
      <c r="EI227" s="107"/>
      <c r="EJ227" s="107"/>
      <c r="EK227" s="107"/>
      <c r="EL227" s="293"/>
      <c r="EM227" s="291"/>
      <c r="EN227" s="107"/>
      <c r="EO227" s="107"/>
      <c r="EP227" s="107"/>
      <c r="EQ227" s="293"/>
      <c r="ER227" s="291"/>
      <c r="ES227" s="107"/>
      <c r="ET227" s="107"/>
      <c r="EU227" s="107"/>
      <c r="EV227" s="293"/>
      <c r="EW227" s="291"/>
      <c r="EX227" s="107"/>
      <c r="EY227" s="107"/>
      <c r="EZ227" s="107"/>
      <c r="FA227" s="293"/>
      <c r="FB227" s="291"/>
      <c r="FC227" s="107"/>
      <c r="FD227" s="107"/>
      <c r="FE227" s="107"/>
      <c r="FF227" s="293"/>
      <c r="FG227" s="291"/>
      <c r="FH227" s="107"/>
      <c r="FI227" s="107"/>
      <c r="FJ227" s="107"/>
      <c r="FK227" s="293"/>
      <c r="FL227" s="291"/>
      <c r="FM227" s="107"/>
      <c r="FN227" s="107"/>
      <c r="FO227" s="107"/>
      <c r="FP227" s="293"/>
      <c r="FQ227" s="291"/>
      <c r="FR227" s="107"/>
      <c r="FS227" s="107"/>
      <c r="FT227" s="107"/>
      <c r="FU227" s="293"/>
      <c r="FV227" s="291"/>
      <c r="FW227" s="107"/>
      <c r="FX227" s="107"/>
      <c r="FY227" s="107"/>
      <c r="FZ227" s="293"/>
      <c r="GA227" s="291"/>
      <c r="GB227" s="107"/>
      <c r="GC227" s="107"/>
      <c r="GD227" s="107"/>
      <c r="GE227" s="293"/>
      <c r="GF227" s="291"/>
      <c r="GG227" s="107"/>
      <c r="GH227" s="107"/>
      <c r="GI227" s="107"/>
      <c r="GJ227" s="382"/>
    </row>
    <row r="228" spans="1:192" s="623" customFormat="1" ht="12.75" customHeight="1">
      <c r="A228" s="1642"/>
      <c r="B228" s="748" t="s">
        <v>2044</v>
      </c>
      <c r="C228" s="800"/>
      <c r="D228" s="805"/>
      <c r="E228" s="805"/>
      <c r="F228" s="805"/>
      <c r="G228" s="456"/>
      <c r="H228" s="800"/>
      <c r="I228" s="805"/>
      <c r="J228" s="805"/>
      <c r="K228" s="805"/>
      <c r="L228" s="456"/>
      <c r="M228" s="800"/>
      <c r="N228" s="805"/>
      <c r="O228" s="805"/>
      <c r="P228" s="805"/>
      <c r="Q228" s="456"/>
      <c r="R228" s="800"/>
      <c r="S228" s="805"/>
      <c r="T228" s="805"/>
      <c r="U228" s="805"/>
      <c r="V228" s="456"/>
      <c r="W228" s="800"/>
      <c r="X228" s="805"/>
      <c r="Y228" s="805"/>
      <c r="Z228" s="805"/>
      <c r="AA228" s="456"/>
      <c r="AB228" s="800"/>
      <c r="AC228" s="805"/>
      <c r="AD228" s="805"/>
      <c r="AE228" s="805"/>
      <c r="AF228" s="456"/>
      <c r="AG228" s="800"/>
      <c r="AH228" s="805"/>
      <c r="AI228" s="805"/>
      <c r="AJ228" s="805"/>
      <c r="AK228" s="456"/>
      <c r="AL228" s="800"/>
      <c r="AM228" s="805"/>
      <c r="AN228" s="805"/>
      <c r="AO228" s="805"/>
      <c r="AP228" s="456"/>
      <c r="AQ228" s="800"/>
      <c r="AR228" s="805"/>
      <c r="AS228" s="805"/>
      <c r="AT228" s="805"/>
      <c r="AU228" s="456"/>
      <c r="AV228" s="800"/>
      <c r="AW228" s="805"/>
      <c r="AX228" s="805"/>
      <c r="AY228" s="805"/>
      <c r="AZ228" s="456"/>
      <c r="BA228" s="800"/>
      <c r="BB228" s="805"/>
      <c r="BC228" s="805"/>
      <c r="BD228" s="805"/>
      <c r="BE228" s="456"/>
      <c r="BF228" s="800"/>
      <c r="BG228" s="805"/>
      <c r="BH228" s="805"/>
      <c r="BI228" s="805"/>
      <c r="BJ228" s="456"/>
      <c r="BK228" s="800"/>
      <c r="BL228" s="805"/>
      <c r="BM228" s="805"/>
      <c r="BN228" s="805"/>
      <c r="BO228" s="456"/>
      <c r="BP228" s="800"/>
      <c r="BQ228" s="805"/>
      <c r="BR228" s="805"/>
      <c r="BS228" s="805"/>
      <c r="BT228" s="456"/>
      <c r="BU228" s="1167"/>
      <c r="BV228" s="1167"/>
      <c r="BW228" s="1167"/>
      <c r="BX228" s="800"/>
      <c r="BY228" s="457"/>
      <c r="BZ228" s="1167"/>
      <c r="CA228" s="1167"/>
      <c r="CB228" s="1167"/>
      <c r="CC228" s="800"/>
      <c r="CD228" s="457"/>
      <c r="CE228" s="1167"/>
      <c r="CF228" s="1167"/>
      <c r="CG228" s="1167"/>
      <c r="CH228" s="800"/>
      <c r="CI228" s="457"/>
      <c r="CJ228" s="1167"/>
      <c r="CK228" s="1167"/>
      <c r="CL228" s="1167"/>
      <c r="CM228" s="800"/>
      <c r="CN228" s="457"/>
      <c r="CO228" s="1167"/>
      <c r="CP228" s="1167"/>
      <c r="CQ228" s="1167"/>
      <c r="CR228" s="800"/>
      <c r="CS228" s="457"/>
      <c r="CT228" s="1167"/>
      <c r="CU228" s="1167"/>
      <c r="CV228" s="1167"/>
      <c r="CW228" s="800"/>
      <c r="CX228" s="457"/>
      <c r="CY228" s="1167"/>
      <c r="CZ228" s="1167"/>
      <c r="DA228" s="1167"/>
      <c r="DB228" s="800"/>
      <c r="DC228" s="457"/>
      <c r="DD228" s="1167"/>
      <c r="DE228" s="1167"/>
      <c r="DF228" s="1167"/>
      <c r="DG228" s="800"/>
      <c r="DH228" s="457"/>
      <c r="DI228" s="805"/>
      <c r="DJ228" s="805"/>
      <c r="DK228" s="805"/>
      <c r="DL228" s="805"/>
      <c r="DM228" s="456"/>
      <c r="DN228" s="1167"/>
      <c r="DO228" s="1167"/>
      <c r="DP228" s="1167"/>
      <c r="DQ228" s="800"/>
      <c r="DR228" s="457"/>
      <c r="DS228" s="1167"/>
      <c r="DT228" s="1167"/>
      <c r="DU228" s="1167"/>
      <c r="DV228" s="800"/>
      <c r="DW228" s="457"/>
      <c r="DX228" s="1167"/>
      <c r="DY228" s="1167"/>
      <c r="DZ228" s="1167"/>
      <c r="EA228" s="800"/>
      <c r="EB228" s="457"/>
      <c r="EC228" s="805"/>
      <c r="ED228" s="805"/>
      <c r="EE228" s="805"/>
      <c r="EF228" s="805"/>
      <c r="EG228" s="456"/>
      <c r="EH228" s="1167"/>
      <c r="EI228" s="1167"/>
      <c r="EJ228" s="1167"/>
      <c r="EK228" s="800"/>
      <c r="EL228" s="457"/>
      <c r="EM228" s="800"/>
      <c r="EN228" s="800"/>
      <c r="EO228" s="800"/>
      <c r="EP228" s="800"/>
      <c r="EQ228" s="456"/>
      <c r="ER228" s="800"/>
      <c r="ES228" s="805"/>
      <c r="ET228" s="805"/>
      <c r="EU228" s="805"/>
      <c r="EV228" s="456"/>
      <c r="EW228" s="805"/>
      <c r="EX228" s="805"/>
      <c r="EY228" s="805"/>
      <c r="EZ228" s="805"/>
      <c r="FA228" s="456"/>
      <c r="FB228" s="805"/>
      <c r="FC228" s="805"/>
      <c r="FD228" s="805"/>
      <c r="FE228" s="805"/>
      <c r="FF228" s="456"/>
      <c r="FG228" s="805"/>
      <c r="FH228" s="805"/>
      <c r="FI228" s="805"/>
      <c r="FJ228" s="805"/>
      <c r="FK228" s="456"/>
      <c r="FL228" s="805"/>
      <c r="FM228" s="805"/>
      <c r="FN228" s="805"/>
      <c r="FO228" s="805"/>
      <c r="FP228" s="456"/>
      <c r="FQ228" s="805"/>
      <c r="FR228" s="805"/>
      <c r="FS228" s="805"/>
      <c r="FT228" s="805"/>
      <c r="FU228" s="456"/>
      <c r="FV228" s="800"/>
      <c r="FW228" s="805"/>
      <c r="FX228" s="805"/>
      <c r="FY228" s="805"/>
      <c r="FZ228" s="456"/>
      <c r="GA228" s="800"/>
      <c r="GB228" s="805"/>
      <c r="GC228" s="805"/>
      <c r="GD228" s="805"/>
      <c r="GE228" s="456"/>
      <c r="GF228" s="800"/>
      <c r="GG228" s="805"/>
      <c r="GH228" s="805"/>
      <c r="GI228" s="805"/>
      <c r="GJ228" s="499"/>
    </row>
    <row r="229" spans="1:192" ht="12.75" customHeight="1">
      <c r="B229" s="735" t="s">
        <v>34</v>
      </c>
      <c r="C229" s="291"/>
      <c r="D229" s="107"/>
      <c r="E229" s="107"/>
      <c r="F229" s="107"/>
      <c r="G229" s="292"/>
      <c r="H229" s="291"/>
      <c r="I229" s="107"/>
      <c r="J229" s="107"/>
      <c r="K229" s="107"/>
      <c r="L229" s="292"/>
      <c r="M229" s="291"/>
      <c r="N229" s="107"/>
      <c r="O229" s="107"/>
      <c r="P229" s="107"/>
      <c r="Q229" s="292"/>
      <c r="R229" s="291"/>
      <c r="S229" s="107"/>
      <c r="T229" s="107"/>
      <c r="U229" s="107"/>
      <c r="V229" s="292"/>
      <c r="W229" s="291"/>
      <c r="X229" s="107"/>
      <c r="Y229" s="107"/>
      <c r="Z229" s="107"/>
      <c r="AA229" s="292"/>
      <c r="AB229" s="291"/>
      <c r="AC229" s="107"/>
      <c r="AD229" s="107"/>
      <c r="AE229" s="107"/>
      <c r="AF229" s="292"/>
      <c r="AG229" s="291"/>
      <c r="AH229" s="107"/>
      <c r="AI229" s="107"/>
      <c r="AJ229" s="107"/>
      <c r="AK229" s="292"/>
      <c r="AL229" s="291"/>
      <c r="AM229" s="107"/>
      <c r="AN229" s="107"/>
      <c r="AO229" s="107"/>
      <c r="AP229" s="292"/>
      <c r="AQ229" s="291"/>
      <c r="AR229" s="107"/>
      <c r="AS229" s="107"/>
      <c r="AT229" s="107"/>
      <c r="AU229" s="292"/>
      <c r="AV229" s="291"/>
      <c r="AW229" s="107"/>
      <c r="AX229" s="107"/>
      <c r="AY229" s="107"/>
      <c r="AZ229" s="292"/>
      <c r="BA229" s="291"/>
      <c r="BB229" s="107"/>
      <c r="BC229" s="107"/>
      <c r="BD229" s="107"/>
      <c r="BE229" s="292"/>
      <c r="BF229" s="291"/>
      <c r="BG229" s="107"/>
      <c r="BH229" s="107"/>
      <c r="BI229" s="107"/>
      <c r="BJ229" s="292"/>
      <c r="BK229" s="291"/>
      <c r="BL229" s="107"/>
      <c r="BM229" s="107"/>
      <c r="BN229" s="107"/>
      <c r="BO229" s="292"/>
      <c r="BP229" s="291"/>
      <c r="BQ229" s="107"/>
      <c r="BR229" s="107"/>
      <c r="BS229" s="107"/>
      <c r="BT229" s="292"/>
      <c r="BU229" s="412"/>
      <c r="BV229" s="114"/>
      <c r="BW229" s="114"/>
      <c r="BX229" s="114"/>
      <c r="BY229" s="292"/>
      <c r="BZ229" s="412"/>
      <c r="CA229" s="114"/>
      <c r="CB229" s="114"/>
      <c r="CC229" s="114"/>
      <c r="CD229" s="292"/>
      <c r="CE229" s="412"/>
      <c r="CF229" s="114"/>
      <c r="CG229" s="114"/>
      <c r="CH229" s="114"/>
      <c r="CI229" s="292"/>
      <c r="CJ229" s="412"/>
      <c r="CK229" s="114"/>
      <c r="CL229" s="114"/>
      <c r="CM229" s="114"/>
      <c r="CN229" s="292"/>
      <c r="CO229" s="412"/>
      <c r="CP229" s="114"/>
      <c r="CQ229" s="114"/>
      <c r="CR229" s="114"/>
      <c r="CS229" s="292"/>
      <c r="CT229" s="412"/>
      <c r="CU229" s="114"/>
      <c r="CV229" s="114"/>
      <c r="CW229" s="114"/>
      <c r="CX229" s="292"/>
      <c r="CY229" s="412"/>
      <c r="CZ229" s="114"/>
      <c r="DA229" s="114"/>
      <c r="DB229" s="114"/>
      <c r="DC229" s="413"/>
      <c r="DD229" s="412"/>
      <c r="DE229" s="114"/>
      <c r="DF229" s="114"/>
      <c r="DG229" s="114"/>
      <c r="DH229" s="413"/>
      <c r="DI229" s="441"/>
      <c r="DJ229" s="439"/>
      <c r="DK229" s="439"/>
      <c r="DL229" s="439"/>
      <c r="DM229" s="413"/>
      <c r="DN229" s="412"/>
      <c r="DO229" s="114"/>
      <c r="DP229" s="114"/>
      <c r="DQ229" s="114"/>
      <c r="DR229" s="413"/>
      <c r="DS229" s="412"/>
      <c r="DT229" s="114"/>
      <c r="DU229" s="114"/>
      <c r="DV229" s="114"/>
      <c r="DW229" s="413"/>
      <c r="DX229" s="412"/>
      <c r="DY229" s="114"/>
      <c r="DZ229" s="114"/>
      <c r="EA229" s="114"/>
      <c r="EB229" s="413"/>
      <c r="EC229" s="412"/>
      <c r="ED229" s="439"/>
      <c r="EE229" s="114"/>
      <c r="EF229" s="114"/>
      <c r="EG229" s="413"/>
      <c r="EH229" s="412"/>
      <c r="EI229" s="114"/>
      <c r="EJ229" s="114"/>
      <c r="EK229" s="114"/>
      <c r="EL229" s="413"/>
      <c r="EM229" s="412"/>
      <c r="EN229" s="439"/>
      <c r="EO229" s="114"/>
      <c r="EP229" s="114"/>
      <c r="EQ229" s="413"/>
      <c r="ER229" s="412">
        <v>0.08</v>
      </c>
      <c r="ES229" s="114">
        <v>0.06</v>
      </c>
      <c r="ET229" s="439">
        <v>0.08</v>
      </c>
      <c r="EU229" s="439">
        <v>0.15</v>
      </c>
      <c r="EV229" s="413">
        <v>0.09</v>
      </c>
      <c r="EW229" s="441">
        <v>0.18</v>
      </c>
      <c r="EX229" s="439">
        <v>0.21</v>
      </c>
      <c r="EY229" s="439">
        <v>0.21</v>
      </c>
      <c r="EZ229" s="439">
        <v>0.21</v>
      </c>
      <c r="FA229" s="292"/>
      <c r="FB229" s="412">
        <v>0.13</v>
      </c>
      <c r="FC229" s="114"/>
      <c r="FD229" s="114"/>
      <c r="FE229" s="114"/>
      <c r="FF229" s="292"/>
      <c r="FG229" s="412"/>
      <c r="FH229" s="114"/>
      <c r="FI229" s="114"/>
      <c r="FJ229" s="114"/>
      <c r="FK229" s="292"/>
      <c r="FL229" s="412"/>
      <c r="FM229" s="114"/>
      <c r="FN229" s="114"/>
      <c r="FO229" s="114"/>
      <c r="FP229" s="292"/>
      <c r="FQ229" s="412"/>
      <c r="FR229" s="114"/>
      <c r="FS229" s="114"/>
      <c r="FT229" s="114"/>
      <c r="FU229" s="292"/>
      <c r="FV229" s="412"/>
      <c r="FW229" s="114"/>
      <c r="FX229" s="114"/>
      <c r="FY229" s="114"/>
      <c r="FZ229" s="292"/>
      <c r="GA229" s="412"/>
      <c r="GB229" s="114"/>
      <c r="GC229" s="114"/>
      <c r="GD229" s="114"/>
      <c r="GE229" s="292"/>
      <c r="GF229" s="412"/>
      <c r="GG229" s="114"/>
      <c r="GH229" s="114"/>
      <c r="GI229" s="114"/>
      <c r="GJ229" s="384"/>
    </row>
    <row r="230" spans="1:192" ht="12.75" customHeight="1">
      <c r="B230" s="735" t="s">
        <v>197</v>
      </c>
      <c r="C230" s="291"/>
      <c r="D230" s="107"/>
      <c r="E230" s="107"/>
      <c r="F230" s="107"/>
      <c r="G230" s="292"/>
      <c r="H230" s="291"/>
      <c r="I230" s="107"/>
      <c r="J230" s="107"/>
      <c r="K230" s="107"/>
      <c r="L230" s="292"/>
      <c r="M230" s="291"/>
      <c r="N230" s="107"/>
      <c r="O230" s="107"/>
      <c r="P230" s="107"/>
      <c r="Q230" s="292"/>
      <c r="R230" s="291"/>
      <c r="S230" s="107"/>
      <c r="T230" s="107"/>
      <c r="U230" s="107"/>
      <c r="V230" s="292"/>
      <c r="W230" s="291"/>
      <c r="X230" s="107"/>
      <c r="Y230" s="107"/>
      <c r="Z230" s="107"/>
      <c r="AA230" s="292"/>
      <c r="AB230" s="291"/>
      <c r="AC230" s="107"/>
      <c r="AD230" s="107"/>
      <c r="AE230" s="107"/>
      <c r="AF230" s="292"/>
      <c r="AG230" s="291"/>
      <c r="AH230" s="107"/>
      <c r="AI230" s="107"/>
      <c r="AJ230" s="107"/>
      <c r="AK230" s="292"/>
      <c r="AL230" s="291"/>
      <c r="AM230" s="107"/>
      <c r="AN230" s="107"/>
      <c r="AO230" s="107"/>
      <c r="AP230" s="292"/>
      <c r="AQ230" s="291"/>
      <c r="AR230" s="107"/>
      <c r="AS230" s="107"/>
      <c r="AT230" s="107"/>
      <c r="AU230" s="292"/>
      <c r="AV230" s="291"/>
      <c r="AW230" s="107"/>
      <c r="AX230" s="107"/>
      <c r="AY230" s="107"/>
      <c r="AZ230" s="292"/>
      <c r="BA230" s="291"/>
      <c r="BB230" s="107"/>
      <c r="BC230" s="107"/>
      <c r="BD230" s="107"/>
      <c r="BE230" s="292"/>
      <c r="BF230" s="291"/>
      <c r="BG230" s="107"/>
      <c r="BH230" s="107"/>
      <c r="BI230" s="107"/>
      <c r="BJ230" s="292"/>
      <c r="BK230" s="291"/>
      <c r="BL230" s="107"/>
      <c r="BM230" s="107"/>
      <c r="BN230" s="107"/>
      <c r="BO230" s="292"/>
      <c r="BP230" s="291"/>
      <c r="BQ230" s="107"/>
      <c r="BR230" s="107"/>
      <c r="BS230" s="107"/>
      <c r="BT230" s="292"/>
      <c r="BU230" s="412"/>
      <c r="BV230" s="114"/>
      <c r="BW230" s="114"/>
      <c r="BX230" s="114"/>
      <c r="BY230" s="292"/>
      <c r="BZ230" s="412"/>
      <c r="CA230" s="114"/>
      <c r="CB230" s="114"/>
      <c r="CC230" s="114"/>
      <c r="CD230" s="292"/>
      <c r="CE230" s="412"/>
      <c r="CF230" s="114"/>
      <c r="CG230" s="114"/>
      <c r="CH230" s="114"/>
      <c r="CI230" s="292"/>
      <c r="CJ230" s="412"/>
      <c r="CK230" s="114"/>
      <c r="CL230" s="114"/>
      <c r="CM230" s="114"/>
      <c r="CN230" s="292"/>
      <c r="CO230" s="412"/>
      <c r="CP230" s="114"/>
      <c r="CQ230" s="114"/>
      <c r="CR230" s="114"/>
      <c r="CS230" s="292"/>
      <c r="CT230" s="412"/>
      <c r="CU230" s="114"/>
      <c r="CV230" s="114"/>
      <c r="CW230" s="114"/>
      <c r="CX230" s="292"/>
      <c r="CY230" s="412"/>
      <c r="CZ230" s="114"/>
      <c r="DA230" s="114"/>
      <c r="DB230" s="114"/>
      <c r="DC230" s="292"/>
      <c r="DD230" s="412"/>
      <c r="DE230" s="114"/>
      <c r="DF230" s="114"/>
      <c r="DG230" s="114"/>
      <c r="DH230" s="292"/>
      <c r="DI230" s="441"/>
      <c r="DJ230" s="439"/>
      <c r="DK230" s="439"/>
      <c r="DL230" s="439"/>
      <c r="DM230" s="292"/>
      <c r="DN230" s="412"/>
      <c r="DO230" s="114"/>
      <c r="DP230" s="114"/>
      <c r="DQ230" s="114"/>
      <c r="DR230" s="292"/>
      <c r="DS230" s="412"/>
      <c r="DT230" s="114"/>
      <c r="DU230" s="114"/>
      <c r="DV230" s="114"/>
      <c r="DW230" s="292"/>
      <c r="DX230" s="412"/>
      <c r="DY230" s="114"/>
      <c r="DZ230" s="114"/>
      <c r="EA230" s="114"/>
      <c r="EB230" s="292"/>
      <c r="EC230" s="412"/>
      <c r="ED230" s="439"/>
      <c r="EE230" s="114"/>
      <c r="EF230" s="114"/>
      <c r="EG230" s="413"/>
      <c r="EH230" s="412"/>
      <c r="EI230" s="114"/>
      <c r="EJ230" s="114"/>
      <c r="EK230" s="114"/>
      <c r="EL230" s="292"/>
      <c r="EM230" s="412"/>
      <c r="EN230" s="114"/>
      <c r="EO230" s="114"/>
      <c r="EP230" s="114"/>
      <c r="EQ230" s="292"/>
      <c r="ER230" s="412">
        <v>7.0000000000000007E-2</v>
      </c>
      <c r="ES230" s="114">
        <v>0.04</v>
      </c>
      <c r="ET230" s="439">
        <v>0.08</v>
      </c>
      <c r="EU230" s="439">
        <v>0.16</v>
      </c>
      <c r="EV230" s="413">
        <v>0.09</v>
      </c>
      <c r="EW230" s="441">
        <v>0.19</v>
      </c>
      <c r="EX230" s="439">
        <v>0.2</v>
      </c>
      <c r="EY230" s="439">
        <v>0.23</v>
      </c>
      <c r="EZ230" s="439">
        <v>0.2</v>
      </c>
      <c r="FA230" s="292"/>
      <c r="FB230" s="291"/>
      <c r="FC230" s="107"/>
      <c r="FD230" s="107"/>
      <c r="FE230" s="107"/>
      <c r="FF230" s="292"/>
      <c r="FG230" s="291"/>
      <c r="FH230" s="107"/>
      <c r="FI230" s="107"/>
      <c r="FJ230" s="107"/>
      <c r="FK230" s="292"/>
      <c r="FL230" s="291"/>
      <c r="FM230" s="107"/>
      <c r="FN230" s="107"/>
      <c r="FO230" s="107"/>
      <c r="FP230" s="292"/>
      <c r="FQ230" s="291"/>
      <c r="FR230" s="107"/>
      <c r="FS230" s="107"/>
      <c r="FT230" s="107"/>
      <c r="FU230" s="292"/>
      <c r="FV230" s="291"/>
      <c r="FW230" s="107"/>
      <c r="FX230" s="107"/>
      <c r="FY230" s="107"/>
      <c r="FZ230" s="292"/>
      <c r="GA230" s="291"/>
      <c r="GB230" s="107"/>
      <c r="GC230" s="107"/>
      <c r="GD230" s="107"/>
      <c r="GE230" s="292"/>
      <c r="GF230" s="291"/>
      <c r="GG230" s="107"/>
      <c r="GH230" s="107"/>
      <c r="GI230" s="107"/>
      <c r="GJ230" s="384"/>
    </row>
    <row r="231" spans="1:192" ht="12.75" customHeight="1">
      <c r="B231" s="735" t="s">
        <v>2086</v>
      </c>
      <c r="C231" s="291"/>
      <c r="D231" s="107"/>
      <c r="E231" s="107"/>
      <c r="F231" s="107"/>
      <c r="G231" s="292"/>
      <c r="H231" s="291"/>
      <c r="I231" s="107"/>
      <c r="J231" s="107"/>
      <c r="K231" s="107"/>
      <c r="L231" s="292"/>
      <c r="M231" s="291"/>
      <c r="N231" s="107"/>
      <c r="O231" s="107"/>
      <c r="P231" s="107"/>
      <c r="Q231" s="292"/>
      <c r="R231" s="291"/>
      <c r="S231" s="107"/>
      <c r="T231" s="107"/>
      <c r="U231" s="107"/>
      <c r="V231" s="292"/>
      <c r="W231" s="291"/>
      <c r="X231" s="107"/>
      <c r="Y231" s="107"/>
      <c r="Z231" s="107"/>
      <c r="AA231" s="292"/>
      <c r="AB231" s="291"/>
      <c r="AC231" s="107"/>
      <c r="AD231" s="107"/>
      <c r="AE231" s="107"/>
      <c r="AF231" s="292"/>
      <c r="AG231" s="291"/>
      <c r="AH231" s="107"/>
      <c r="AI231" s="107"/>
      <c r="AJ231" s="107"/>
      <c r="AK231" s="292"/>
      <c r="AL231" s="291"/>
      <c r="AM231" s="107"/>
      <c r="AN231" s="107"/>
      <c r="AO231" s="107"/>
      <c r="AP231" s="292"/>
      <c r="AQ231" s="291"/>
      <c r="AR231" s="107"/>
      <c r="AS231" s="107"/>
      <c r="AT231" s="107"/>
      <c r="AU231" s="292"/>
      <c r="AV231" s="291"/>
      <c r="AW231" s="107"/>
      <c r="AX231" s="107"/>
      <c r="AY231" s="107"/>
      <c r="AZ231" s="292"/>
      <c r="BA231" s="291"/>
      <c r="BB231" s="107"/>
      <c r="BC231" s="107"/>
      <c r="BD231" s="107"/>
      <c r="BE231" s="292"/>
      <c r="BF231" s="291"/>
      <c r="BG231" s="107"/>
      <c r="BH231" s="107"/>
      <c r="BI231" s="107"/>
      <c r="BJ231" s="292"/>
      <c r="BK231" s="291"/>
      <c r="BL231" s="107"/>
      <c r="BM231" s="107"/>
      <c r="BN231" s="107"/>
      <c r="BO231" s="292"/>
      <c r="BP231" s="291"/>
      <c r="BQ231" s="107"/>
      <c r="BR231" s="107"/>
      <c r="BS231" s="107"/>
      <c r="BT231" s="292"/>
      <c r="BU231" s="412"/>
      <c r="BV231" s="114"/>
      <c r="BW231" s="114"/>
      <c r="BX231" s="114"/>
      <c r="BY231" s="292"/>
      <c r="BZ231" s="412"/>
      <c r="CA231" s="114"/>
      <c r="CB231" s="114"/>
      <c r="CC231" s="114"/>
      <c r="CD231" s="292"/>
      <c r="CE231" s="412"/>
      <c r="CF231" s="114"/>
      <c r="CG231" s="114"/>
      <c r="CH231" s="114"/>
      <c r="CI231" s="292"/>
      <c r="CJ231" s="412"/>
      <c r="CK231" s="114"/>
      <c r="CL231" s="114"/>
      <c r="CM231" s="114"/>
      <c r="CN231" s="292"/>
      <c r="CO231" s="412"/>
      <c r="CP231" s="114"/>
      <c r="CQ231" s="114"/>
      <c r="CR231" s="114"/>
      <c r="CS231" s="292"/>
      <c r="CT231" s="412"/>
      <c r="CU231" s="114"/>
      <c r="CV231" s="114"/>
      <c r="CW231" s="114"/>
      <c r="CX231" s="292"/>
      <c r="CY231" s="412"/>
      <c r="CZ231" s="114"/>
      <c r="DA231" s="114"/>
      <c r="DB231" s="114"/>
      <c r="DC231" s="292"/>
      <c r="DD231" s="412"/>
      <c r="DE231" s="114"/>
      <c r="DF231" s="114"/>
      <c r="DG231" s="114"/>
      <c r="DH231" s="292"/>
      <c r="DI231" s="441"/>
      <c r="DJ231" s="439"/>
      <c r="DK231" s="439"/>
      <c r="DL231" s="439"/>
      <c r="DM231" s="292"/>
      <c r="DN231" s="412"/>
      <c r="DO231" s="114"/>
      <c r="DP231" s="114"/>
      <c r="DQ231" s="114"/>
      <c r="DR231" s="292"/>
      <c r="DS231" s="412"/>
      <c r="DT231" s="114"/>
      <c r="DU231" s="114"/>
      <c r="DV231" s="114"/>
      <c r="DW231" s="292"/>
      <c r="DX231" s="412"/>
      <c r="DY231" s="114"/>
      <c r="DZ231" s="114"/>
      <c r="EA231" s="114"/>
      <c r="EB231" s="292"/>
      <c r="EC231" s="412"/>
      <c r="ED231" s="439"/>
      <c r="EE231" s="114"/>
      <c r="EF231" s="114"/>
      <c r="EG231" s="413"/>
      <c r="EH231" s="412"/>
      <c r="EI231" s="114"/>
      <c r="EJ231" s="114"/>
      <c r="EK231" s="114"/>
      <c r="EL231" s="292"/>
      <c r="EM231" s="412"/>
      <c r="EN231" s="114"/>
      <c r="EO231" s="114"/>
      <c r="EP231" s="114"/>
      <c r="EQ231" s="292"/>
      <c r="ER231" s="291">
        <f t="shared" ref="ER231:FB231" si="188">ER229-ER222</f>
      </c>
      <c r="ES231" s="107">
        <f t="shared" si="188"/>
      </c>
      <c r="ET231" s="468">
        <f t="shared" si="188"/>
      </c>
      <c r="EU231" s="468">
        <f t="shared" si="188"/>
      </c>
      <c r="EV231" s="292">
        <f t="shared" si="188"/>
      </c>
      <c r="EW231" s="349">
        <f t="shared" si="188"/>
      </c>
      <c r="EX231" s="468">
        <f t="shared" si="188"/>
      </c>
      <c r="EY231" s="468">
        <f t="shared" si="188"/>
      </c>
      <c r="EZ231" s="468">
        <f t="shared" si="188"/>
      </c>
      <c r="FA231" s="292">
        <f t="shared" si="188"/>
      </c>
      <c r="FB231" s="291">
        <f t="shared" si="188"/>
      </c>
      <c r="FC231" s="107"/>
      <c r="FD231" s="107"/>
      <c r="FE231" s="107"/>
      <c r="FF231" s="292"/>
      <c r="FG231" s="291"/>
      <c r="FH231" s="107"/>
      <c r="FI231" s="107"/>
      <c r="FJ231" s="107"/>
      <c r="FK231" s="292"/>
      <c r="FL231" s="291"/>
      <c r="FM231" s="107"/>
      <c r="FN231" s="107"/>
      <c r="FO231" s="107"/>
      <c r="FP231" s="292"/>
      <c r="FQ231" s="291"/>
      <c r="FR231" s="107"/>
      <c r="FS231" s="107"/>
      <c r="FT231" s="107"/>
      <c r="FU231" s="292"/>
      <c r="FV231" s="291"/>
      <c r="FW231" s="107"/>
      <c r="FX231" s="107"/>
      <c r="FY231" s="107"/>
      <c r="FZ231" s="292"/>
      <c r="GA231" s="291"/>
      <c r="GB231" s="107"/>
      <c r="GC231" s="107"/>
      <c r="GD231" s="107"/>
      <c r="GE231" s="292"/>
      <c r="GF231" s="291"/>
      <c r="GG231" s="107"/>
      <c r="GH231" s="107"/>
      <c r="GI231" s="107"/>
      <c r="GJ231" s="384"/>
    </row>
    <row r="232" spans="1:192" ht="12.75" customHeight="1">
      <c r="B232" s="735"/>
      <c r="C232" s="291"/>
      <c r="D232" s="107"/>
      <c r="E232" s="107"/>
      <c r="F232" s="107"/>
      <c r="G232" s="293"/>
      <c r="H232" s="291"/>
      <c r="I232" s="107"/>
      <c r="J232" s="107"/>
      <c r="K232" s="107"/>
      <c r="L232" s="293"/>
      <c r="M232" s="291"/>
      <c r="N232" s="107"/>
      <c r="O232" s="107"/>
      <c r="P232" s="107"/>
      <c r="Q232" s="293"/>
      <c r="R232" s="291"/>
      <c r="S232" s="107"/>
      <c r="T232" s="107"/>
      <c r="U232" s="107"/>
      <c r="V232" s="293"/>
      <c r="W232" s="291"/>
      <c r="X232" s="107"/>
      <c r="Y232" s="107"/>
      <c r="Z232" s="107"/>
      <c r="AA232" s="293"/>
      <c r="AB232" s="291"/>
      <c r="AC232" s="107"/>
      <c r="AD232" s="107"/>
      <c r="AE232" s="107"/>
      <c r="AF232" s="293"/>
      <c r="AG232" s="291"/>
      <c r="AH232" s="107"/>
      <c r="AI232" s="107"/>
      <c r="AJ232" s="107"/>
      <c r="AK232" s="293"/>
      <c r="AL232" s="291"/>
      <c r="AM232" s="107"/>
      <c r="AN232" s="107"/>
      <c r="AO232" s="107"/>
      <c r="AP232" s="293"/>
      <c r="AQ232" s="291"/>
      <c r="AR232" s="107"/>
      <c r="AS232" s="107"/>
      <c r="AT232" s="107"/>
      <c r="AU232" s="293"/>
      <c r="AV232" s="291"/>
      <c r="AW232" s="107"/>
      <c r="AX232" s="107"/>
      <c r="AY232" s="107"/>
      <c r="AZ232" s="293"/>
      <c r="BA232" s="291"/>
      <c r="BB232" s="107"/>
      <c r="BC232" s="107"/>
      <c r="BD232" s="107"/>
      <c r="BE232" s="293"/>
      <c r="BF232" s="291"/>
      <c r="BG232" s="107"/>
      <c r="BH232" s="107"/>
      <c r="BI232" s="107"/>
      <c r="BJ232" s="293"/>
      <c r="BK232" s="291"/>
      <c r="BL232" s="107"/>
      <c r="BM232" s="107"/>
      <c r="BN232" s="107"/>
      <c r="BO232" s="293"/>
      <c r="BP232" s="291"/>
      <c r="BQ232" s="107"/>
      <c r="BR232" s="107"/>
      <c r="BS232" s="107"/>
      <c r="BT232" s="293"/>
      <c r="BU232" s="291"/>
      <c r="BV232" s="107"/>
      <c r="BW232" s="107"/>
      <c r="BX232" s="107"/>
      <c r="BY232" s="293"/>
      <c r="BZ232" s="291"/>
      <c r="CA232" s="107"/>
      <c r="CB232" s="107"/>
      <c r="CC232" s="107"/>
      <c r="CD232" s="293"/>
      <c r="CE232" s="291"/>
      <c r="CF232" s="107"/>
      <c r="CG232" s="107"/>
      <c r="CH232" s="107"/>
      <c r="CI232" s="293"/>
      <c r="CJ232" s="291"/>
      <c r="CK232" s="107"/>
      <c r="CL232" s="107"/>
      <c r="CM232" s="107"/>
      <c r="CN232" s="293"/>
      <c r="CO232" s="291"/>
      <c r="CP232" s="107"/>
      <c r="CQ232" s="107"/>
      <c r="CR232" s="107"/>
      <c r="CS232" s="293"/>
      <c r="CT232" s="291"/>
      <c r="CU232" s="107"/>
      <c r="CV232" s="107"/>
      <c r="CW232" s="107"/>
      <c r="CX232" s="293"/>
      <c r="CY232" s="291"/>
      <c r="CZ232" s="107"/>
      <c r="DA232" s="107"/>
      <c r="DB232" s="107"/>
      <c r="DC232" s="293"/>
      <c r="DD232" s="291"/>
      <c r="DE232" s="107"/>
      <c r="DF232" s="107"/>
      <c r="DG232" s="107"/>
      <c r="DH232" s="293"/>
      <c r="DI232" s="291"/>
      <c r="DJ232" s="107"/>
      <c r="DK232" s="107"/>
      <c r="DL232" s="107"/>
      <c r="DM232" s="293"/>
      <c r="DN232" s="291"/>
      <c r="DO232" s="107"/>
      <c r="DP232" s="107"/>
      <c r="DQ232" s="107"/>
      <c r="DR232" s="293"/>
      <c r="DS232" s="291"/>
      <c r="DT232" s="107"/>
      <c r="DU232" s="107"/>
      <c r="DV232" s="107"/>
      <c r="DW232" s="293"/>
      <c r="DX232" s="291"/>
      <c r="DY232" s="107"/>
      <c r="DZ232" s="107"/>
      <c r="EA232" s="107"/>
      <c r="EB232" s="293"/>
      <c r="EC232" s="291"/>
      <c r="ED232" s="107"/>
      <c r="EE232" s="107"/>
      <c r="EF232" s="107"/>
      <c r="EG232" s="293"/>
      <c r="EH232" s="291"/>
      <c r="EI232" s="107"/>
      <c r="EJ232" s="107"/>
      <c r="EK232" s="107"/>
      <c r="EL232" s="293"/>
      <c r="EM232" s="291"/>
      <c r="EN232" s="107"/>
      <c r="EO232" s="107"/>
      <c r="EP232" s="107"/>
      <c r="EQ232" s="293"/>
      <c r="ER232" s="291"/>
      <c r="ES232" s="107"/>
      <c r="ET232" s="107"/>
      <c r="EU232" s="107"/>
      <c r="EV232" s="293"/>
      <c r="EW232" s="349"/>
      <c r="EX232" s="107"/>
      <c r="EY232" s="107"/>
      <c r="EZ232" s="114"/>
      <c r="FA232" s="293"/>
      <c r="FB232" s="291"/>
      <c r="FC232" s="107"/>
      <c r="FD232" s="107"/>
      <c r="FE232" s="107"/>
      <c r="FF232" s="293"/>
      <c r="FG232" s="291"/>
      <c r="FH232" s="107"/>
      <c r="FI232" s="107"/>
      <c r="FJ232" s="107"/>
      <c r="FK232" s="293"/>
      <c r="FL232" s="291"/>
      <c r="FM232" s="107"/>
      <c r="FN232" s="107"/>
      <c r="FO232" s="107"/>
      <c r="FP232" s="293"/>
      <c r="FQ232" s="291"/>
      <c r="FR232" s="107"/>
      <c r="FS232" s="107"/>
      <c r="FT232" s="107"/>
      <c r="FU232" s="293"/>
      <c r="FV232" s="291"/>
      <c r="FW232" s="107"/>
      <c r="FX232" s="107"/>
      <c r="FY232" s="107"/>
      <c r="FZ232" s="293"/>
      <c r="GA232" s="291"/>
      <c r="GB232" s="107"/>
      <c r="GC232" s="107"/>
      <c r="GD232" s="107"/>
      <c r="GE232" s="293"/>
      <c r="GF232" s="291"/>
      <c r="GG232" s="107"/>
      <c r="GH232" s="107"/>
      <c r="GI232" s="107"/>
      <c r="GJ232" s="382"/>
    </row>
    <row r="233" spans="1:192" ht="12.75" customHeight="1">
      <c r="B233" s="740" t="s">
        <v>1949</v>
      </c>
      <c r="C233" s="294"/>
      <c r="D233" s="295"/>
      <c r="E233" s="295"/>
      <c r="F233" s="295"/>
      <c r="G233" s="296"/>
      <c r="H233" s="294"/>
      <c r="I233" s="295"/>
      <c r="J233" s="295"/>
      <c r="K233" s="295"/>
      <c r="L233" s="296"/>
      <c r="M233" s="294"/>
      <c r="N233" s="295"/>
      <c r="O233" s="295"/>
      <c r="P233" s="295"/>
      <c r="Q233" s="296"/>
      <c r="R233" s="294"/>
      <c r="S233" s="295"/>
      <c r="T233" s="295"/>
      <c r="U233" s="295"/>
      <c r="V233" s="296"/>
      <c r="W233" s="294"/>
      <c r="X233" s="295"/>
      <c r="Y233" s="295"/>
      <c r="Z233" s="295"/>
      <c r="AA233" s="296"/>
      <c r="AB233" s="294"/>
      <c r="AC233" s="295"/>
      <c r="AD233" s="295"/>
      <c r="AE233" s="295"/>
      <c r="AF233" s="296"/>
      <c r="AG233" s="294"/>
      <c r="AH233" s="295"/>
      <c r="AI233" s="295"/>
      <c r="AJ233" s="295"/>
      <c r="AK233" s="296"/>
      <c r="AL233" s="294"/>
      <c r="AM233" s="295"/>
      <c r="AN233" s="295"/>
      <c r="AO233" s="295"/>
      <c r="AP233" s="296"/>
      <c r="AQ233" s="294"/>
      <c r="AR233" s="295"/>
      <c r="AS233" s="295"/>
      <c r="AT233" s="295"/>
      <c r="AU233" s="296"/>
      <c r="AV233" s="294"/>
      <c r="AW233" s="295"/>
      <c r="AX233" s="295"/>
      <c r="AY233" s="295"/>
      <c r="AZ233" s="296"/>
      <c r="BA233" s="294"/>
      <c r="BB233" s="295"/>
      <c r="BC233" s="295"/>
      <c r="BD233" s="295"/>
      <c r="BE233" s="296"/>
      <c r="BF233" s="294"/>
      <c r="BG233" s="295"/>
      <c r="BH233" s="295"/>
      <c r="BI233" s="295"/>
      <c r="BJ233" s="296"/>
      <c r="BK233" s="294"/>
      <c r="BL233" s="295"/>
      <c r="BM233" s="295"/>
      <c r="BN233" s="295"/>
      <c r="BO233" s="296"/>
      <c r="BP233" s="294"/>
      <c r="BQ233" s="295"/>
      <c r="BR233" s="295"/>
      <c r="BS233" s="295"/>
      <c r="BT233" s="296"/>
      <c r="BU233" s="294"/>
      <c r="BV233" s="295"/>
      <c r="BW233" s="295"/>
      <c r="BX233" s="295"/>
      <c r="BY233" s="296"/>
      <c r="BZ233" s="294"/>
      <c r="CA233" s="295"/>
      <c r="CB233" s="295"/>
      <c r="CC233" s="295"/>
      <c r="CD233" s="296"/>
      <c r="CE233" s="294"/>
      <c r="CF233" s="295"/>
      <c r="CG233" s="295"/>
      <c r="CH233" s="295"/>
      <c r="CI233" s="296"/>
      <c r="CJ233" s="294"/>
      <c r="CK233" s="295"/>
      <c r="CL233" s="295"/>
      <c r="CM233" s="295"/>
      <c r="CN233" s="296"/>
      <c r="CO233" s="294"/>
      <c r="CP233" s="295"/>
      <c r="CQ233" s="295"/>
      <c r="CR233" s="295"/>
      <c r="CS233" s="296"/>
      <c r="CT233" s="294"/>
      <c r="CU233" s="295"/>
      <c r="CV233" s="295"/>
      <c r="CW233" s="295"/>
      <c r="CX233" s="296"/>
      <c r="CY233" s="294"/>
      <c r="CZ233" s="295"/>
      <c r="DA233" s="295"/>
      <c r="DB233" s="295"/>
      <c r="DC233" s="296"/>
      <c r="DD233" s="294"/>
      <c r="DE233" s="295"/>
      <c r="DF233" s="295"/>
      <c r="DG233" s="295"/>
      <c r="DH233" s="296"/>
      <c r="DI233" s="294"/>
      <c r="DJ233" s="295"/>
      <c r="DK233" s="295"/>
      <c r="DL233" s="295"/>
      <c r="DM233" s="296"/>
      <c r="DN233" s="294"/>
      <c r="DO233" s="295"/>
      <c r="DP233" s="295"/>
      <c r="DQ233" s="295"/>
      <c r="DR233" s="296"/>
      <c r="DS233" s="294"/>
      <c r="DT233" s="295"/>
      <c r="DU233" s="295"/>
      <c r="DV233" s="295"/>
      <c r="DW233" s="296"/>
      <c r="DX233" s="294"/>
      <c r="DY233" s="295"/>
      <c r="DZ233" s="295"/>
      <c r="EA233" s="925"/>
      <c r="EB233" s="296"/>
      <c r="EC233" s="294"/>
      <c r="ED233" s="295"/>
      <c r="EE233" s="295"/>
      <c r="EF233" s="814"/>
      <c r="EG233" s="296"/>
      <c r="EH233" s="294"/>
      <c r="EI233" s="295"/>
      <c r="EJ233" s="295"/>
      <c r="EK233" s="295"/>
      <c r="EL233" s="296"/>
      <c r="EM233" s="294"/>
      <c r="EN233" s="295"/>
      <c r="EO233" s="295"/>
      <c r="EP233" s="295"/>
      <c r="EQ233" s="296"/>
      <c r="ER233" s="294"/>
      <c r="ES233" s="295"/>
      <c r="ET233" s="295"/>
      <c r="EU233" s="295"/>
      <c r="EV233" s="296"/>
      <c r="EW233" s="294"/>
      <c r="EX233" s="295"/>
      <c r="EY233" s="295"/>
      <c r="EZ233" s="295"/>
      <c r="FA233" s="296"/>
      <c r="FB233" s="294"/>
      <c r="FC233" s="295"/>
      <c r="FD233" s="295"/>
      <c r="FE233" s="295"/>
      <c r="FF233" s="296"/>
      <c r="FG233" s="294"/>
      <c r="FH233" s="295"/>
      <c r="FI233" s="295"/>
      <c r="FJ233" s="295"/>
      <c r="FK233" s="296"/>
      <c r="FL233" s="294"/>
      <c r="FM233" s="295"/>
      <c r="FN233" s="295"/>
      <c r="FO233" s="295"/>
      <c r="FP233" s="296"/>
      <c r="FQ233" s="294"/>
      <c r="FR233" s="295"/>
      <c r="FS233" s="295"/>
      <c r="FT233" s="295"/>
      <c r="FU233" s="296"/>
      <c r="FV233" s="294"/>
      <c r="FW233" s="295"/>
      <c r="FX233" s="295"/>
      <c r="FY233" s="295"/>
      <c r="FZ233" s="296"/>
      <c r="GA233" s="294"/>
      <c r="GB233" s="295"/>
      <c r="GC233" s="295"/>
      <c r="GD233" s="295"/>
      <c r="GE233" s="296"/>
      <c r="GF233" s="294"/>
      <c r="GG233" s="295"/>
      <c r="GH233" s="295"/>
      <c r="GI233" s="295"/>
      <c r="GJ233" s="383"/>
    </row>
    <row r="234" spans="1:192" s="461" customFormat="1" ht="12.75" hidden="1" customHeight="1" outlineLevel="1">
      <c r="A234" s="1643"/>
      <c r="B234" s="748" t="s">
        <v>233</v>
      </c>
      <c r="C234" s="443"/>
      <c r="D234" s="471"/>
      <c r="E234" s="471"/>
      <c r="F234" s="471"/>
      <c r="G234" s="516"/>
      <c r="H234" s="443"/>
      <c r="I234" s="471"/>
      <c r="J234" s="471"/>
      <c r="K234" s="471"/>
      <c r="L234" s="516"/>
      <c r="M234" s="443"/>
      <c r="N234" s="471"/>
      <c r="O234" s="471"/>
      <c r="P234" s="471"/>
      <c r="Q234" s="516"/>
      <c r="R234" s="443"/>
      <c r="S234" s="471"/>
      <c r="T234" s="471"/>
      <c r="U234" s="471"/>
      <c r="V234" s="516"/>
      <c r="W234" s="443"/>
      <c r="X234" s="471"/>
      <c r="Y234" s="471"/>
      <c r="Z234" s="471"/>
      <c r="AA234" s="516"/>
      <c r="AB234" s="443"/>
      <c r="AC234" s="471"/>
      <c r="AD234" s="471"/>
      <c r="AE234" s="471"/>
      <c r="AF234" s="516"/>
      <c r="AG234" s="443"/>
      <c r="AH234" s="471"/>
      <c r="AI234" s="471"/>
      <c r="AJ234" s="471"/>
      <c r="AK234" s="516"/>
      <c r="AL234" s="443"/>
      <c r="AM234" s="471"/>
      <c r="AN234" s="471"/>
      <c r="AO234" s="471"/>
      <c r="AP234" s="516"/>
      <c r="AQ234" s="443"/>
      <c r="AR234" s="471"/>
      <c r="AS234" s="471"/>
      <c r="AT234" s="471"/>
      <c r="AU234" s="516"/>
      <c r="AV234" s="443"/>
      <c r="AW234" s="471"/>
      <c r="AX234" s="471"/>
      <c r="AY234" s="471"/>
      <c r="AZ234" s="516"/>
      <c r="BA234" s="443"/>
      <c r="BB234" s="471"/>
      <c r="BC234" s="471"/>
      <c r="BD234" s="471"/>
      <c r="BE234" s="516"/>
      <c r="BF234" s="443"/>
      <c r="BG234" s="471"/>
      <c r="BH234" s="471"/>
      <c r="BI234" s="471"/>
      <c r="BJ234" s="516"/>
      <c r="BK234" s="443"/>
      <c r="BL234" s="471"/>
      <c r="BM234" s="471"/>
      <c r="BN234" s="471"/>
      <c r="BO234" s="516"/>
      <c r="BP234" s="443"/>
      <c r="BQ234" s="471"/>
      <c r="BR234" s="471"/>
      <c r="BS234" s="471"/>
      <c r="BT234" s="516"/>
      <c r="BU234" s="444"/>
      <c r="BV234" s="444"/>
      <c r="BW234" s="444"/>
      <c r="BX234" s="443"/>
      <c r="BY234" s="457"/>
      <c r="BZ234" s="444"/>
      <c r="CA234" s="444"/>
      <c r="CB234" s="444"/>
      <c r="CC234" s="443"/>
      <c r="CD234" s="457"/>
      <c r="CE234" s="444"/>
      <c r="CF234" s="444"/>
      <c r="CG234" s="444"/>
      <c r="CH234" s="443"/>
      <c r="CI234" s="457"/>
      <c r="CJ234" s="444"/>
      <c r="CK234" s="444"/>
      <c r="CL234" s="444"/>
      <c r="CM234" s="443"/>
      <c r="CN234" s="457"/>
      <c r="CO234" s="444"/>
      <c r="CP234" s="444"/>
      <c r="CQ234" s="444"/>
      <c r="CR234" s="443"/>
      <c r="CS234" s="457"/>
      <c r="CT234" s="444"/>
      <c r="CU234" s="444"/>
      <c r="CV234" s="444"/>
      <c r="CW234" s="443"/>
      <c r="CX234" s="457"/>
      <c r="CY234" s="444"/>
      <c r="CZ234" s="444"/>
      <c r="DA234" s="444"/>
      <c r="DB234" s="443"/>
      <c r="DC234" s="457"/>
      <c r="DD234" s="444"/>
      <c r="DE234" s="444"/>
      <c r="DF234" s="444"/>
      <c r="DG234" s="443"/>
      <c r="DH234" s="457"/>
      <c r="DI234" s="471"/>
      <c r="DJ234" s="471"/>
      <c r="DK234" s="471"/>
      <c r="DL234" s="471"/>
      <c r="DM234" s="456"/>
      <c r="DN234" s="444"/>
      <c r="DO234" s="444"/>
      <c r="DP234" s="444"/>
      <c r="DQ234" s="443"/>
      <c r="DR234" s="457"/>
      <c r="DS234" s="444"/>
      <c r="DT234" s="444"/>
      <c r="DU234" s="444"/>
      <c r="DV234" s="443"/>
      <c r="DW234" s="457"/>
      <c r="DX234" s="444"/>
      <c r="DY234" s="444"/>
      <c r="DZ234" s="444"/>
      <c r="EA234" s="443"/>
      <c r="EB234" s="457"/>
      <c r="EC234" s="471"/>
      <c r="ED234" s="471"/>
      <c r="EE234" s="471"/>
      <c r="EF234" s="471"/>
      <c r="EG234" s="456"/>
      <c r="EH234" s="444"/>
      <c r="EI234" s="444"/>
      <c r="EJ234" s="444"/>
      <c r="EK234" s="443"/>
      <c r="EL234" s="457"/>
      <c r="EM234" s="444"/>
      <c r="EN234" s="444"/>
      <c r="EO234" s="444"/>
      <c r="EP234" s="443"/>
      <c r="EQ234" s="457"/>
      <c r="ER234" s="444"/>
      <c r="ES234" s="471"/>
      <c r="ET234" s="471"/>
      <c r="EU234" s="471"/>
      <c r="EV234" s="456"/>
      <c r="EW234" s="471"/>
      <c r="EX234" s="471"/>
      <c r="EY234" s="471"/>
      <c r="EZ234" s="471"/>
      <c r="FA234" s="456"/>
      <c r="FB234" s="471"/>
      <c r="FC234" s="471"/>
      <c r="FD234" s="471"/>
      <c r="FE234" s="471"/>
      <c r="FF234" s="456"/>
      <c r="FG234" s="471"/>
      <c r="FH234" s="471"/>
      <c r="FI234" s="471"/>
      <c r="FJ234" s="471"/>
      <c r="FK234" s="456"/>
      <c r="FL234" s="471"/>
      <c r="FM234" s="471"/>
      <c r="FN234" s="471"/>
      <c r="FO234" s="471"/>
      <c r="FP234" s="456"/>
      <c r="FQ234" s="471"/>
      <c r="FR234" s="471"/>
      <c r="FS234" s="471"/>
      <c r="FT234" s="471"/>
      <c r="FU234" s="456"/>
      <c r="FV234" s="443"/>
      <c r="FW234" s="471"/>
      <c r="FX234" s="471"/>
      <c r="FY234" s="471"/>
      <c r="FZ234" s="516"/>
      <c r="GA234" s="443"/>
      <c r="GB234" s="471"/>
      <c r="GC234" s="471"/>
      <c r="GD234" s="471"/>
      <c r="GE234" s="516"/>
      <c r="GF234" s="443"/>
      <c r="GG234" s="471"/>
      <c r="GH234" s="471"/>
      <c r="GI234" s="471"/>
      <c r="GJ234" s="808"/>
    </row>
    <row r="235" spans="1:192" ht="12.75" hidden="1" customHeight="1" outlineLevel="1">
      <c r="B235" s="735" t="s">
        <v>34</v>
      </c>
      <c r="C235" s="291"/>
      <c r="D235" s="107"/>
      <c r="E235" s="107"/>
      <c r="F235" s="107"/>
      <c r="G235" s="292"/>
      <c r="H235" s="291"/>
      <c r="I235" s="107"/>
      <c r="J235" s="107"/>
      <c r="K235" s="107"/>
      <c r="L235" s="292"/>
      <c r="M235" s="291"/>
      <c r="N235" s="107"/>
      <c r="O235" s="107"/>
      <c r="P235" s="107"/>
      <c r="Q235" s="292"/>
      <c r="R235" s="291"/>
      <c r="S235" s="107"/>
      <c r="T235" s="107"/>
      <c r="U235" s="107"/>
      <c r="V235" s="292"/>
      <c r="W235" s="291"/>
      <c r="X235" s="107"/>
      <c r="Y235" s="107"/>
      <c r="Z235" s="107"/>
      <c r="AA235" s="292"/>
      <c r="AB235" s="291"/>
      <c r="AC235" s="107"/>
      <c r="AD235" s="107"/>
      <c r="AE235" s="107"/>
      <c r="AF235" s="292"/>
      <c r="AG235" s="291"/>
      <c r="AH235" s="107"/>
      <c r="AI235" s="107"/>
      <c r="AJ235" s="107"/>
      <c r="AK235" s="292"/>
      <c r="AL235" s="291"/>
      <c r="AM235" s="107"/>
      <c r="AN235" s="107"/>
      <c r="AO235" s="107"/>
      <c r="AP235" s="292"/>
      <c r="AQ235" s="291"/>
      <c r="AR235" s="107"/>
      <c r="AS235" s="107"/>
      <c r="AT235" s="107"/>
      <c r="AU235" s="292"/>
      <c r="AV235" s="291"/>
      <c r="AW235" s="107"/>
      <c r="AX235" s="107"/>
      <c r="AY235" s="107"/>
      <c r="AZ235" s="292"/>
      <c r="BA235" s="291"/>
      <c r="BB235" s="107"/>
      <c r="BC235" s="107"/>
      <c r="BD235" s="107"/>
      <c r="BE235" s="292"/>
      <c r="BF235" s="291"/>
      <c r="BG235" s="107"/>
      <c r="BH235" s="107"/>
      <c r="BI235" s="107"/>
      <c r="BJ235" s="292"/>
      <c r="BK235" s="291"/>
      <c r="BL235" s="107"/>
      <c r="BM235" s="107"/>
      <c r="BN235" s="107"/>
      <c r="BO235" s="292"/>
      <c r="BP235" s="291"/>
      <c r="BQ235" s="107"/>
      <c r="BR235" s="107"/>
      <c r="BS235" s="107"/>
      <c r="BT235" s="292"/>
      <c r="BU235" s="412"/>
      <c r="BV235" s="114"/>
      <c r="BW235" s="114"/>
      <c r="BX235" s="114"/>
      <c r="BY235" s="292"/>
      <c r="BZ235" s="412"/>
      <c r="CA235" s="114"/>
      <c r="CB235" s="114"/>
      <c r="CC235" s="114"/>
      <c r="CD235" s="292"/>
      <c r="CE235" s="412"/>
      <c r="CF235" s="114"/>
      <c r="CG235" s="114"/>
      <c r="CH235" s="114"/>
      <c r="CI235" s="292"/>
      <c r="CJ235" s="412"/>
      <c r="CK235" s="114"/>
      <c r="CL235" s="114"/>
      <c r="CM235" s="114"/>
      <c r="CN235" s="292"/>
      <c r="CO235" s="412"/>
      <c r="CP235" s="114"/>
      <c r="CQ235" s="114"/>
      <c r="CR235" s="114"/>
      <c r="CS235" s="292"/>
      <c r="CT235" s="412"/>
      <c r="CU235" s="114"/>
      <c r="CV235" s="114"/>
      <c r="CW235" s="114"/>
      <c r="CX235" s="292"/>
      <c r="CY235" s="412">
        <v>0.32</v>
      </c>
      <c r="CZ235" s="114">
        <v>0.27</v>
      </c>
      <c r="DA235" s="114">
        <v>0.28999999999999998</v>
      </c>
      <c r="DB235" s="114">
        <v>0.3</v>
      </c>
      <c r="DC235" s="413">
        <v>0.28999999999999998</v>
      </c>
      <c r="DD235" s="412">
        <v>0.23</v>
      </c>
      <c r="DE235" s="114">
        <v>0.17</v>
      </c>
      <c r="DF235" s="114">
        <v>0.14000000000000001</v>
      </c>
      <c r="DG235" s="114">
        <v>0.16</v>
      </c>
      <c r="DH235" s="413">
        <v>0.17</v>
      </c>
      <c r="DI235" s="441">
        <v>0.09</v>
      </c>
      <c r="DJ235" s="439">
        <v>0.1</v>
      </c>
      <c r="DK235" s="439">
        <v>0.08</v>
      </c>
      <c r="DL235" s="439">
        <v>0.1</v>
      </c>
      <c r="DM235" s="413">
        <v>0.09</v>
      </c>
      <c r="DN235" s="412">
        <v>0.15</v>
      </c>
      <c r="DO235" s="114">
        <v>0.15</v>
      </c>
      <c r="DP235" s="114">
        <v>0.16</v>
      </c>
      <c r="DQ235" s="114">
        <v>0.17</v>
      </c>
      <c r="DR235" s="413">
        <v>0.16</v>
      </c>
      <c r="DS235" s="412">
        <v>0.17</v>
      </c>
      <c r="DT235" s="114">
        <v>0.14000000000000001</v>
      </c>
      <c r="DU235" s="114">
        <v>0.12</v>
      </c>
      <c r="DV235" s="114">
        <v>0.09</v>
      </c>
      <c r="DW235" s="413">
        <v>0.13</v>
      </c>
      <c r="DX235" s="412">
        <v>0.11</v>
      </c>
      <c r="DY235" s="114">
        <v>0.06</v>
      </c>
      <c r="DZ235" s="114">
        <v>0.01</v>
      </c>
      <c r="EA235" s="114">
        <v>-0.18</v>
      </c>
      <c r="EB235" s="413">
        <v>0</v>
      </c>
      <c r="EC235" s="412">
        <v>-0.1</v>
      </c>
      <c r="ED235" s="439">
        <v>0.02</v>
      </c>
      <c r="EE235" s="114">
        <v>0.13</v>
      </c>
      <c r="EF235" s="114">
        <v>0.48</v>
      </c>
      <c r="EG235" s="413">
        <v>0.1</v>
      </c>
      <c r="EH235" s="412">
        <v>0.4</v>
      </c>
      <c r="EI235" s="114">
        <v>0.32</v>
      </c>
      <c r="EJ235" s="114">
        <v>0.23</v>
      </c>
      <c r="EK235" s="114">
        <v>0.18</v>
      </c>
      <c r="EL235" s="413">
        <v>0.27</v>
      </c>
      <c r="EM235" s="412">
        <v>0.16</v>
      </c>
      <c r="EN235" s="439">
        <v>0.1</v>
      </c>
      <c r="EO235" s="114">
        <v>0.11</v>
      </c>
      <c r="EP235" s="114">
        <v>0.08</v>
      </c>
      <c r="EQ235" s="413">
        <v>0.11</v>
      </c>
      <c r="ER235" s="412">
        <v>0.1</v>
      </c>
      <c r="ES235" s="114">
        <v>0.08</v>
      </c>
      <c r="ET235" s="439">
        <v>0.12</v>
      </c>
      <c r="EU235" s="439">
        <v>0.19</v>
      </c>
      <c r="EV235" s="292"/>
      <c r="EW235" s="412"/>
      <c r="EX235" s="114"/>
      <c r="EY235" s="114"/>
      <c r="EZ235" s="114"/>
      <c r="FA235" s="292"/>
      <c r="FB235" s="412"/>
      <c r="FC235" s="114"/>
      <c r="FD235" s="114"/>
      <c r="FE235" s="114"/>
      <c r="FF235" s="292"/>
      <c r="FG235" s="412"/>
      <c r="FH235" s="114"/>
      <c r="FI235" s="114"/>
      <c r="FJ235" s="114"/>
      <c r="FK235" s="292"/>
      <c r="FL235" s="412"/>
      <c r="FM235" s="114"/>
      <c r="FN235" s="114"/>
      <c r="FO235" s="114"/>
      <c r="FP235" s="292"/>
      <c r="FQ235" s="412"/>
      <c r="FR235" s="114"/>
      <c r="FS235" s="114"/>
      <c r="FT235" s="114"/>
      <c r="FU235" s="292"/>
      <c r="FV235" s="412"/>
      <c r="FW235" s="114"/>
      <c r="FX235" s="114"/>
      <c r="FY235" s="114"/>
      <c r="FZ235" s="292"/>
      <c r="GA235" s="412"/>
      <c r="GB235" s="114"/>
      <c r="GC235" s="114"/>
      <c r="GD235" s="114"/>
      <c r="GE235" s="292"/>
      <c r="GF235" s="412"/>
      <c r="GG235" s="114"/>
      <c r="GH235" s="114"/>
      <c r="GI235" s="114"/>
      <c r="GJ235" s="384"/>
    </row>
    <row r="236" spans="1:192" ht="12.75" hidden="1" customHeight="1" outlineLevel="1">
      <c r="B236" s="735" t="s">
        <v>36</v>
      </c>
      <c r="C236" s="291"/>
      <c r="D236" s="107"/>
      <c r="E236" s="107"/>
      <c r="F236" s="107"/>
      <c r="G236" s="292"/>
      <c r="H236" s="291"/>
      <c r="I236" s="107"/>
      <c r="J236" s="107"/>
      <c r="K236" s="107"/>
      <c r="L236" s="292"/>
      <c r="M236" s="291"/>
      <c r="N236" s="107"/>
      <c r="O236" s="107"/>
      <c r="P236" s="107"/>
      <c r="Q236" s="292"/>
      <c r="R236" s="291"/>
      <c r="S236" s="107"/>
      <c r="T236" s="107"/>
      <c r="U236" s="107"/>
      <c r="V236" s="292"/>
      <c r="W236" s="291"/>
      <c r="X236" s="107"/>
      <c r="Y236" s="107"/>
      <c r="Z236" s="107"/>
      <c r="AA236" s="292"/>
      <c r="AB236" s="291"/>
      <c r="AC236" s="107"/>
      <c r="AD236" s="107"/>
      <c r="AE236" s="107"/>
      <c r="AF236" s="292"/>
      <c r="AG236" s="291"/>
      <c r="AH236" s="107"/>
      <c r="AI236" s="107"/>
      <c r="AJ236" s="107"/>
      <c r="AK236" s="292"/>
      <c r="AL236" s="291"/>
      <c r="AM236" s="107"/>
      <c r="AN236" s="107"/>
      <c r="AO236" s="107"/>
      <c r="AP236" s="292"/>
      <c r="AQ236" s="291"/>
      <c r="AR236" s="107"/>
      <c r="AS236" s="107"/>
      <c r="AT236" s="107"/>
      <c r="AU236" s="292"/>
      <c r="AV236" s="291"/>
      <c r="AW236" s="107"/>
      <c r="AX236" s="107"/>
      <c r="AY236" s="107"/>
      <c r="AZ236" s="292"/>
      <c r="BA236" s="291"/>
      <c r="BB236" s="107"/>
      <c r="BC236" s="107"/>
      <c r="BD236" s="107"/>
      <c r="BE236" s="292"/>
      <c r="BF236" s="291"/>
      <c r="BG236" s="107"/>
      <c r="BH236" s="107"/>
      <c r="BI236" s="107"/>
      <c r="BJ236" s="292"/>
      <c r="BK236" s="291"/>
      <c r="BL236" s="107"/>
      <c r="BM236" s="107"/>
      <c r="BN236" s="107"/>
      <c r="BO236" s="292"/>
      <c r="BP236" s="291"/>
      <c r="BQ236" s="107"/>
      <c r="BR236" s="107"/>
      <c r="BS236" s="107"/>
      <c r="BT236" s="292"/>
      <c r="BU236" s="412"/>
      <c r="BV236" s="114"/>
      <c r="BW236" s="114"/>
      <c r="BX236" s="114"/>
      <c r="BY236" s="292"/>
      <c r="BZ236" s="412"/>
      <c r="CA236" s="114"/>
      <c r="CB236" s="114"/>
      <c r="CC236" s="114"/>
      <c r="CD236" s="292"/>
      <c r="CE236" s="412"/>
      <c r="CF236" s="114"/>
      <c r="CG236" s="114"/>
      <c r="CH236" s="114"/>
      <c r="CI236" s="292"/>
      <c r="CJ236" s="412"/>
      <c r="CK236" s="114"/>
      <c r="CL236" s="114"/>
      <c r="CM236" s="114"/>
      <c r="CN236" s="292"/>
      <c r="CO236" s="412"/>
      <c r="CP236" s="114"/>
      <c r="CQ236" s="114"/>
      <c r="CR236" s="114"/>
      <c r="CS236" s="292"/>
      <c r="CT236" s="412"/>
      <c r="CU236" s="114"/>
      <c r="CV236" s="114"/>
      <c r="CW236" s="114"/>
      <c r="CX236" s="292"/>
      <c r="CY236" s="412">
        <v>0.32</v>
      </c>
      <c r="CZ236" s="114">
        <v>0.28000000000000003</v>
      </c>
      <c r="DA236" s="114">
        <v>0.34</v>
      </c>
      <c r="DB236" s="114">
        <v>0.28000000000000003</v>
      </c>
      <c r="DC236" s="292"/>
      <c r="DD236" s="412">
        <v>0.28999999999999998</v>
      </c>
      <c r="DE236" s="114">
        <v>0.21</v>
      </c>
      <c r="DF236" s="114">
        <v>0.18</v>
      </c>
      <c r="DG236" s="114">
        <v>0.17</v>
      </c>
      <c r="DH236" s="292"/>
      <c r="DI236" s="441">
        <v>0.1</v>
      </c>
      <c r="DJ236" s="439">
        <v>0.11</v>
      </c>
      <c r="DK236" s="439">
        <v>0.09</v>
      </c>
      <c r="DL236" s="439">
        <v>0.11</v>
      </c>
      <c r="DM236" s="292"/>
      <c r="DN236" s="412">
        <v>0.15</v>
      </c>
      <c r="DO236" s="114">
        <v>0.15</v>
      </c>
      <c r="DP236" s="114">
        <v>0.14000000000000001</v>
      </c>
      <c r="DQ236" s="114">
        <v>0.16</v>
      </c>
      <c r="DR236" s="292"/>
      <c r="DS236" s="412">
        <v>0.17</v>
      </c>
      <c r="DT236" s="114">
        <v>0.14000000000000001</v>
      </c>
      <c r="DU236" s="114">
        <v>0.14000000000000001</v>
      </c>
      <c r="DV236" s="114">
        <v>0.1</v>
      </c>
      <c r="DW236" s="292"/>
      <c r="DX236" s="412">
        <v>0.13</v>
      </c>
      <c r="DY236" s="114">
        <v>7.0000000000000007E-2</v>
      </c>
      <c r="DZ236" s="114">
        <v>0.01</v>
      </c>
      <c r="EA236" s="114">
        <v>-0.17</v>
      </c>
      <c r="EB236" s="292"/>
      <c r="EC236" s="412">
        <v>-0.11</v>
      </c>
      <c r="ED236" s="439">
        <v>0.01</v>
      </c>
      <c r="EE236" s="114">
        <v>0.11</v>
      </c>
      <c r="EF236" s="114">
        <v>0.45</v>
      </c>
      <c r="EG236" s="413"/>
      <c r="EH236" s="412">
        <v>0.39</v>
      </c>
      <c r="EI236" s="114">
        <v>0.32</v>
      </c>
      <c r="EJ236" s="114">
        <v>0.25</v>
      </c>
      <c r="EK236" s="114">
        <v>0.21</v>
      </c>
      <c r="EL236" s="292"/>
      <c r="EM236" s="412">
        <v>0.21</v>
      </c>
      <c r="EN236" s="114">
        <v>0.15</v>
      </c>
      <c r="EO236" s="114">
        <v>0.13</v>
      </c>
      <c r="EP236" s="114">
        <v>0.09</v>
      </c>
      <c r="EQ236" s="292"/>
      <c r="ER236" s="412">
        <v>0.09</v>
      </c>
      <c r="ES236" s="114">
        <v>7.0000000000000007E-2</v>
      </c>
      <c r="ET236" s="439">
        <v>0.12</v>
      </c>
      <c r="EU236" s="439">
        <v>0.19</v>
      </c>
      <c r="EV236" s="292"/>
      <c r="EW236" s="291"/>
      <c r="EX236" s="107"/>
      <c r="EY236" s="107"/>
      <c r="EZ236" s="107"/>
      <c r="FA236" s="292"/>
      <c r="FB236" s="291"/>
      <c r="FC236" s="107"/>
      <c r="FD236" s="107"/>
      <c r="FE236" s="107"/>
      <c r="FF236" s="292"/>
      <c r="FG236" s="291"/>
      <c r="FH236" s="107"/>
      <c r="FI236" s="107"/>
      <c r="FJ236" s="107"/>
      <c r="FK236" s="292"/>
      <c r="FL236" s="291"/>
      <c r="FM236" s="107"/>
      <c r="FN236" s="107"/>
      <c r="FO236" s="107"/>
      <c r="FP236" s="292"/>
      <c r="FQ236" s="291"/>
      <c r="FR236" s="107"/>
      <c r="FS236" s="107"/>
      <c r="FT236" s="107"/>
      <c r="FU236" s="292"/>
      <c r="FV236" s="291"/>
      <c r="FW236" s="107"/>
      <c r="FX236" s="107"/>
      <c r="FY236" s="107"/>
      <c r="FZ236" s="292"/>
      <c r="GA236" s="291"/>
      <c r="GB236" s="107"/>
      <c r="GC236" s="107"/>
      <c r="GD236" s="107"/>
      <c r="GE236" s="292"/>
      <c r="GF236" s="291"/>
      <c r="GG236" s="107"/>
      <c r="GH236" s="107"/>
      <c r="GI236" s="107"/>
      <c r="GJ236" s="384"/>
    </row>
    <row r="237" spans="1:192" ht="12.75" hidden="1" customHeight="1" outlineLevel="1">
      <c r="B237" s="735"/>
      <c r="C237" s="291"/>
      <c r="D237" s="107"/>
      <c r="E237" s="107"/>
      <c r="F237" s="107"/>
      <c r="G237" s="293"/>
      <c r="H237" s="291"/>
      <c r="I237" s="107"/>
      <c r="J237" s="107"/>
      <c r="K237" s="107"/>
      <c r="L237" s="293"/>
      <c r="M237" s="291"/>
      <c r="N237" s="107"/>
      <c r="O237" s="107"/>
      <c r="P237" s="107"/>
      <c r="Q237" s="293"/>
      <c r="R237" s="291"/>
      <c r="S237" s="107"/>
      <c r="T237" s="107"/>
      <c r="U237" s="107"/>
      <c r="V237" s="293"/>
      <c r="W237" s="291"/>
      <c r="X237" s="107"/>
      <c r="Y237" s="107"/>
      <c r="Z237" s="107"/>
      <c r="AA237" s="293"/>
      <c r="AB237" s="291"/>
      <c r="AC237" s="107"/>
      <c r="AD237" s="107"/>
      <c r="AE237" s="107"/>
      <c r="AF237" s="293"/>
      <c r="AG237" s="291"/>
      <c r="AH237" s="107"/>
      <c r="AI237" s="107"/>
      <c r="AJ237" s="107"/>
      <c r="AK237" s="293"/>
      <c r="AL237" s="291"/>
      <c r="AM237" s="107"/>
      <c r="AN237" s="107"/>
      <c r="AO237" s="107"/>
      <c r="AP237" s="293"/>
      <c r="AQ237" s="291"/>
      <c r="AR237" s="107"/>
      <c r="AS237" s="107"/>
      <c r="AT237" s="107"/>
      <c r="AU237" s="293"/>
      <c r="AV237" s="291"/>
      <c r="AW237" s="107"/>
      <c r="AX237" s="107"/>
      <c r="AY237" s="107"/>
      <c r="AZ237" s="293"/>
      <c r="BA237" s="291"/>
      <c r="BB237" s="107"/>
      <c r="BC237" s="107"/>
      <c r="BD237" s="107"/>
      <c r="BE237" s="293"/>
      <c r="BF237" s="291"/>
      <c r="BG237" s="107"/>
      <c r="BH237" s="107"/>
      <c r="BI237" s="107"/>
      <c r="BJ237" s="293"/>
      <c r="BK237" s="291"/>
      <c r="BL237" s="107"/>
      <c r="BM237" s="107"/>
      <c r="BN237" s="107"/>
      <c r="BO237" s="293"/>
      <c r="BP237" s="291"/>
      <c r="BQ237" s="107"/>
      <c r="BR237" s="107"/>
      <c r="BS237" s="107"/>
      <c r="BT237" s="293"/>
      <c r="BU237" s="291"/>
      <c r="BV237" s="107"/>
      <c r="BW237" s="107"/>
      <c r="BX237" s="107"/>
      <c r="BY237" s="293"/>
      <c r="BZ237" s="291"/>
      <c r="CA237" s="107"/>
      <c r="CB237" s="107"/>
      <c r="CC237" s="107"/>
      <c r="CD237" s="293"/>
      <c r="CE237" s="291"/>
      <c r="CF237" s="107"/>
      <c r="CG237" s="107"/>
      <c r="CH237" s="107"/>
      <c r="CI237" s="293"/>
      <c r="CJ237" s="291"/>
      <c r="CK237" s="107"/>
      <c r="CL237" s="107"/>
      <c r="CM237" s="107"/>
      <c r="CN237" s="293"/>
      <c r="CO237" s="291"/>
      <c r="CP237" s="107"/>
      <c r="CQ237" s="107"/>
      <c r="CR237" s="107"/>
      <c r="CS237" s="293"/>
      <c r="CT237" s="291"/>
      <c r="CU237" s="107"/>
      <c r="CV237" s="107"/>
      <c r="CW237" s="107"/>
      <c r="CX237" s="293"/>
      <c r="CY237" s="291"/>
      <c r="CZ237" s="107"/>
      <c r="DA237" s="107"/>
      <c r="DB237" s="107"/>
      <c r="DC237" s="293"/>
      <c r="DD237" s="291"/>
      <c r="DE237" s="107"/>
      <c r="DF237" s="107"/>
      <c r="DG237" s="107"/>
      <c r="DH237" s="293"/>
      <c r="DI237" s="291"/>
      <c r="DJ237" s="107"/>
      <c r="DK237" s="107"/>
      <c r="DL237" s="107"/>
      <c r="DM237" s="293"/>
      <c r="DN237" s="291"/>
      <c r="DO237" s="107"/>
      <c r="DP237" s="107"/>
      <c r="DQ237" s="107"/>
      <c r="DR237" s="293"/>
      <c r="DS237" s="291"/>
      <c r="DT237" s="107"/>
      <c r="DU237" s="107"/>
      <c r="DV237" s="107"/>
      <c r="DW237" s="293"/>
      <c r="DX237" s="291"/>
      <c r="DY237" s="107"/>
      <c r="DZ237" s="107"/>
      <c r="EA237" s="107"/>
      <c r="EB237" s="293"/>
      <c r="EC237" s="291"/>
      <c r="ED237" s="107"/>
      <c r="EE237" s="107"/>
      <c r="EF237" s="107"/>
      <c r="EG237" s="293"/>
      <c r="EH237" s="291"/>
      <c r="EI237" s="107"/>
      <c r="EJ237" s="107"/>
      <c r="EK237" s="107"/>
      <c r="EL237" s="293"/>
      <c r="EM237" s="291"/>
      <c r="EN237" s="107"/>
      <c r="EO237" s="107"/>
      <c r="EP237" s="107"/>
      <c r="EQ237" s="293"/>
      <c r="ER237" s="291"/>
      <c r="ES237" s="107"/>
      <c r="ET237" s="107"/>
      <c r="EU237" s="107"/>
      <c r="EV237" s="293"/>
      <c r="EW237" s="291"/>
      <c r="EX237" s="107"/>
      <c r="EY237" s="107"/>
      <c r="EZ237" s="107"/>
      <c r="FA237" s="293"/>
      <c r="FB237" s="291"/>
      <c r="FC237" s="107"/>
      <c r="FD237" s="107"/>
      <c r="FE237" s="107"/>
      <c r="FF237" s="293"/>
      <c r="FG237" s="291"/>
      <c r="FH237" s="107"/>
      <c r="FI237" s="107"/>
      <c r="FJ237" s="107"/>
      <c r="FK237" s="293"/>
      <c r="FL237" s="291"/>
      <c r="FM237" s="107"/>
      <c r="FN237" s="107"/>
      <c r="FO237" s="107"/>
      <c r="FP237" s="293"/>
      <c r="FQ237" s="291"/>
      <c r="FR237" s="107"/>
      <c r="FS237" s="107"/>
      <c r="FT237" s="107"/>
      <c r="FU237" s="293"/>
      <c r="FV237" s="291"/>
      <c r="FW237" s="107"/>
      <c r="FX237" s="107"/>
      <c r="FY237" s="107"/>
      <c r="FZ237" s="293"/>
      <c r="GA237" s="291"/>
      <c r="GB237" s="107"/>
      <c r="GC237" s="107"/>
      <c r="GD237" s="107"/>
      <c r="GE237" s="293"/>
      <c r="GF237" s="291"/>
      <c r="GG237" s="107"/>
      <c r="GH237" s="107"/>
      <c r="GI237" s="107"/>
      <c r="GJ237" s="382"/>
    </row>
    <row r="238" spans="1:192" s="623" customFormat="1" ht="12.75" hidden="1" customHeight="1" outlineLevel="1">
      <c r="A238" s="1642"/>
      <c r="B238" s="748" t="s">
        <v>410</v>
      </c>
      <c r="C238" s="800"/>
      <c r="D238" s="805"/>
      <c r="E238" s="805"/>
      <c r="F238" s="805"/>
      <c r="G238" s="456"/>
      <c r="H238" s="800"/>
      <c r="I238" s="805"/>
      <c r="J238" s="805"/>
      <c r="K238" s="805"/>
      <c r="L238" s="456"/>
      <c r="M238" s="800"/>
      <c r="N238" s="805"/>
      <c r="O238" s="805"/>
      <c r="P238" s="805"/>
      <c r="Q238" s="456"/>
      <c r="R238" s="800"/>
      <c r="S238" s="805"/>
      <c r="T238" s="805"/>
      <c r="U238" s="805"/>
      <c r="V238" s="456"/>
      <c r="W238" s="800"/>
      <c r="X238" s="805"/>
      <c r="Y238" s="805"/>
      <c r="Z238" s="805"/>
      <c r="AA238" s="456"/>
      <c r="AB238" s="800"/>
      <c r="AC238" s="805"/>
      <c r="AD238" s="805"/>
      <c r="AE238" s="805"/>
      <c r="AF238" s="456"/>
      <c r="AG238" s="800"/>
      <c r="AH238" s="805"/>
      <c r="AI238" s="805"/>
      <c r="AJ238" s="805"/>
      <c r="AK238" s="456"/>
      <c r="AL238" s="800"/>
      <c r="AM238" s="805"/>
      <c r="AN238" s="805"/>
      <c r="AO238" s="805"/>
      <c r="AP238" s="456"/>
      <c r="AQ238" s="800"/>
      <c r="AR238" s="805"/>
      <c r="AS238" s="805"/>
      <c r="AT238" s="805"/>
      <c r="AU238" s="456"/>
      <c r="AV238" s="800"/>
      <c r="AW238" s="805"/>
      <c r="AX238" s="805"/>
      <c r="AY238" s="805"/>
      <c r="AZ238" s="456"/>
      <c r="BA238" s="800"/>
      <c r="BB238" s="805"/>
      <c r="BC238" s="805"/>
      <c r="BD238" s="805"/>
      <c r="BE238" s="456"/>
      <c r="BF238" s="800"/>
      <c r="BG238" s="805"/>
      <c r="BH238" s="805"/>
      <c r="BI238" s="805"/>
      <c r="BJ238" s="456"/>
      <c r="BK238" s="800"/>
      <c r="BL238" s="805"/>
      <c r="BM238" s="805"/>
      <c r="BN238" s="805"/>
      <c r="BO238" s="456"/>
      <c r="BP238" s="800"/>
      <c r="BQ238" s="805"/>
      <c r="BR238" s="805"/>
      <c r="BS238" s="805"/>
      <c r="BT238" s="456"/>
      <c r="BU238" s="1167"/>
      <c r="BV238" s="1167"/>
      <c r="BW238" s="1167"/>
      <c r="BX238" s="800"/>
      <c r="BY238" s="457"/>
      <c r="BZ238" s="1167"/>
      <c r="CA238" s="1167"/>
      <c r="CB238" s="1167"/>
      <c r="CC238" s="800"/>
      <c r="CD238" s="457"/>
      <c r="CE238" s="1167"/>
      <c r="CF238" s="1167"/>
      <c r="CG238" s="1167"/>
      <c r="CH238" s="800"/>
      <c r="CI238" s="457"/>
      <c r="CJ238" s="1167"/>
      <c r="CK238" s="1167"/>
      <c r="CL238" s="1167"/>
      <c r="CM238" s="800"/>
      <c r="CN238" s="457"/>
      <c r="CO238" s="1167"/>
      <c r="CP238" s="1167"/>
      <c r="CQ238" s="1167"/>
      <c r="CR238" s="800"/>
      <c r="CS238" s="457"/>
      <c r="CT238" s="1167"/>
      <c r="CU238" s="1167"/>
      <c r="CV238" s="1167"/>
      <c r="CW238" s="800"/>
      <c r="CX238" s="457"/>
      <c r="CY238" s="1167"/>
      <c r="CZ238" s="1167"/>
      <c r="DA238" s="1167"/>
      <c r="DB238" s="800"/>
      <c r="DC238" s="457"/>
      <c r="DD238" s="1167"/>
      <c r="DE238" s="1167"/>
      <c r="DF238" s="1167"/>
      <c r="DG238" s="800"/>
      <c r="DH238" s="457"/>
      <c r="DI238" s="1167"/>
      <c r="DJ238" s="1167"/>
      <c r="DK238" s="1167"/>
      <c r="DL238" s="800"/>
      <c r="DM238" s="1396">
        <v>6971</v>
      </c>
      <c r="DN238" s="1167">
        <v>1639</v>
      </c>
      <c r="DO238" s="1167">
        <v>1820</v>
      </c>
      <c r="DP238" s="1167">
        <v>1784</v>
      </c>
      <c r="DQ238" s="800">
        <f>DR238-DP238-DO238-DN238</f>
      </c>
      <c r="DR238" s="457">
        <v>7012</v>
      </c>
      <c r="DS238" s="1167">
        <v>1788</v>
      </c>
      <c r="DT238" s="1167">
        <v>1976</v>
      </c>
      <c r="DU238" s="1167">
        <v>1911</v>
      </c>
      <c r="DV238" s="800">
        <f>DW238-DU238-DT238-DS238</f>
      </c>
      <c r="DW238" s="457">
        <v>7628</v>
      </c>
      <c r="DX238" s="1167">
        <v>1991</v>
      </c>
      <c r="DY238" s="1167">
        <v>2163</v>
      </c>
      <c r="DZ238" s="1167">
        <v>1986</v>
      </c>
      <c r="EA238" s="800">
        <f>EB238-DZ238-DY238-DX238</f>
      </c>
      <c r="EB238" s="457">
        <v>8524</v>
      </c>
      <c r="EC238" s="1167">
        <v>1789</v>
      </c>
      <c r="ED238" s="1167">
        <v>2184</v>
      </c>
      <c r="EE238" s="1167">
        <v>2218</v>
      </c>
      <c r="EF238" s="800">
        <f>EG238-EE238-ED238-EC238</f>
      </c>
      <c r="EG238" s="457">
        <v>9267</v>
      </c>
      <c r="EH238" s="1167">
        <v>2656</v>
      </c>
      <c r="EI238" s="1167">
        <v>3064</v>
      </c>
      <c r="EJ238" s="1167">
        <v>2945</v>
      </c>
      <c r="EK238" s="800">
        <f>EL238-EJ238-EI238-EH238</f>
      </c>
      <c r="EL238" s="457">
        <v>11591</v>
      </c>
      <c r="EM238" s="1167">
        <v>2928</v>
      </c>
      <c r="EN238" s="1167">
        <v>3223</v>
      </c>
      <c r="EO238" s="1167">
        <v>3045</v>
      </c>
      <c r="EP238" s="800">
        <f>EQ238-EO238-EN238-EM238</f>
      </c>
      <c r="EQ238" s="457">
        <v>12208</v>
      </c>
      <c r="ER238" s="1167">
        <v>3053</v>
      </c>
      <c r="ES238" s="1166">
        <v>3220</v>
      </c>
      <c r="ET238" s="1166">
        <v>3134</v>
      </c>
      <c r="EU238" s="800">
        <f>EV238-ET238-ES238-ER238</f>
      </c>
      <c r="EV238" s="457">
        <v>12576</v>
      </c>
      <c r="EW238" s="805"/>
      <c r="EX238" s="805"/>
      <c r="EY238" s="805"/>
      <c r="EZ238" s="805"/>
      <c r="FA238" s="456"/>
      <c r="FB238" s="805"/>
      <c r="FC238" s="805"/>
      <c r="FD238" s="805"/>
      <c r="FE238" s="805"/>
      <c r="FF238" s="456"/>
      <c r="FG238" s="805"/>
      <c r="FH238" s="805"/>
      <c r="FI238" s="805"/>
      <c r="FJ238" s="805"/>
      <c r="FK238" s="456"/>
      <c r="FL238" s="805"/>
      <c r="FM238" s="805"/>
      <c r="FN238" s="805"/>
      <c r="FO238" s="805"/>
      <c r="FP238" s="456"/>
      <c r="FQ238" s="805"/>
      <c r="FR238" s="805"/>
      <c r="FS238" s="805"/>
      <c r="FT238" s="805"/>
      <c r="FU238" s="456"/>
      <c r="FV238" s="800"/>
      <c r="FW238" s="805"/>
      <c r="FX238" s="805"/>
      <c r="FY238" s="805"/>
      <c r="FZ238" s="456"/>
      <c r="GA238" s="800"/>
      <c r="GB238" s="805"/>
      <c r="GC238" s="805"/>
      <c r="GD238" s="805"/>
      <c r="GE238" s="456"/>
      <c r="GF238" s="800"/>
      <c r="GG238" s="805"/>
      <c r="GH238" s="805"/>
      <c r="GI238" s="805"/>
      <c r="GJ238" s="499"/>
    </row>
    <row r="239" spans="1:192" ht="12.75" hidden="1" customHeight="1" outlineLevel="1">
      <c r="B239" s="735" t="s">
        <v>34</v>
      </c>
      <c r="C239" s="291"/>
      <c r="D239" s="107"/>
      <c r="E239" s="107"/>
      <c r="F239" s="107"/>
      <c r="G239" s="292"/>
      <c r="H239" s="291"/>
      <c r="I239" s="107"/>
      <c r="J239" s="107"/>
      <c r="K239" s="107"/>
      <c r="L239" s="292"/>
      <c r="M239" s="291"/>
      <c r="N239" s="107"/>
      <c r="O239" s="107"/>
      <c r="P239" s="107"/>
      <c r="Q239" s="292"/>
      <c r="R239" s="291"/>
      <c r="S239" s="107"/>
      <c r="T239" s="107"/>
      <c r="U239" s="107"/>
      <c r="V239" s="292"/>
      <c r="W239" s="291"/>
      <c r="X239" s="107"/>
      <c r="Y239" s="107"/>
      <c r="Z239" s="107"/>
      <c r="AA239" s="292"/>
      <c r="AB239" s="291"/>
      <c r="AC239" s="107"/>
      <c r="AD239" s="107"/>
      <c r="AE239" s="107"/>
      <c r="AF239" s="292"/>
      <c r="AG239" s="291"/>
      <c r="AH239" s="107"/>
      <c r="AI239" s="107"/>
      <c r="AJ239" s="107"/>
      <c r="AK239" s="292"/>
      <c r="AL239" s="291"/>
      <c r="AM239" s="107"/>
      <c r="AN239" s="107"/>
      <c r="AO239" s="107"/>
      <c r="AP239" s="292"/>
      <c r="AQ239" s="291"/>
      <c r="AR239" s="107"/>
      <c r="AS239" s="107"/>
      <c r="AT239" s="107"/>
      <c r="AU239" s="292"/>
      <c r="AV239" s="291"/>
      <c r="AW239" s="107"/>
      <c r="AX239" s="107"/>
      <c r="AY239" s="107"/>
      <c r="AZ239" s="292"/>
      <c r="BA239" s="291"/>
      <c r="BB239" s="107"/>
      <c r="BC239" s="107"/>
      <c r="BD239" s="107"/>
      <c r="BE239" s="292"/>
      <c r="BF239" s="291"/>
      <c r="BG239" s="107"/>
      <c r="BH239" s="107"/>
      <c r="BI239" s="107"/>
      <c r="BJ239" s="292"/>
      <c r="BK239" s="291"/>
      <c r="BL239" s="107"/>
      <c r="BM239" s="107"/>
      <c r="BN239" s="107"/>
      <c r="BO239" s="292"/>
      <c r="BP239" s="291"/>
      <c r="BQ239" s="107"/>
      <c r="BR239" s="107"/>
      <c r="BS239" s="107"/>
      <c r="BT239" s="292"/>
      <c r="BU239" s="412"/>
      <c r="BV239" s="114"/>
      <c r="BW239" s="114"/>
      <c r="BX239" s="114"/>
      <c r="BY239" s="292"/>
      <c r="BZ239" s="412"/>
      <c r="CA239" s="114"/>
      <c r="CB239" s="114"/>
      <c r="CC239" s="114"/>
      <c r="CD239" s="292"/>
      <c r="CE239" s="412"/>
      <c r="CF239" s="114"/>
      <c r="CG239" s="114"/>
      <c r="CH239" s="114"/>
      <c r="CI239" s="292"/>
      <c r="CJ239" s="412"/>
      <c r="CK239" s="114"/>
      <c r="CL239" s="114"/>
      <c r="CM239" s="114"/>
      <c r="CN239" s="292"/>
      <c r="CO239" s="412"/>
      <c r="CP239" s="114"/>
      <c r="CQ239" s="114"/>
      <c r="CR239" s="114"/>
      <c r="CS239" s="292"/>
      <c r="CT239" s="412"/>
      <c r="CU239" s="114"/>
      <c r="CV239" s="114"/>
      <c r="CW239" s="114"/>
      <c r="CX239" s="292"/>
      <c r="CY239" s="412"/>
      <c r="CZ239" s="114"/>
      <c r="DA239" s="114"/>
      <c r="DB239" s="114"/>
      <c r="DC239" s="292"/>
      <c r="DD239" s="412"/>
      <c r="DE239" s="114"/>
      <c r="DF239" s="114"/>
      <c r="DG239" s="114"/>
      <c r="DH239" s="292"/>
      <c r="DI239" s="412"/>
      <c r="DJ239" s="114"/>
      <c r="DK239" s="114"/>
      <c r="DL239" s="114"/>
      <c r="DM239" s="292"/>
      <c r="DN239" s="291" t="str">
        <f t="shared" ref="DN239:ET239" si="189">IFERROR(DN238/DI238-1,"")</f>
      </c>
      <c r="DO239" s="291" t="str">
        <f t="shared" si="189"/>
      </c>
      <c r="DP239" s="291" t="str">
        <f t="shared" si="189"/>
      </c>
      <c r="DQ239" s="291" t="str">
        <f t="shared" si="189"/>
      </c>
      <c r="DR239" s="292">
        <f t="shared" si="189"/>
      </c>
      <c r="DS239" s="291">
        <f t="shared" si="189"/>
      </c>
      <c r="DT239" s="291">
        <f t="shared" si="189"/>
      </c>
      <c r="DU239" s="291">
        <f t="shared" si="189"/>
      </c>
      <c r="DV239" s="291">
        <f t="shared" si="189"/>
      </c>
      <c r="DW239" s="292">
        <f t="shared" si="189"/>
      </c>
      <c r="DX239" s="291">
        <f t="shared" si="189"/>
      </c>
      <c r="DY239" s="291">
        <f t="shared" si="189"/>
      </c>
      <c r="DZ239" s="291">
        <f t="shared" si="189"/>
      </c>
      <c r="EA239" s="291">
        <f t="shared" si="189"/>
      </c>
      <c r="EB239" s="292">
        <f t="shared" si="189"/>
      </c>
      <c r="EC239" s="291">
        <f t="shared" si="189"/>
      </c>
      <c r="ED239" s="291">
        <f t="shared" si="189"/>
      </c>
      <c r="EE239" s="291">
        <f t="shared" si="189"/>
      </c>
      <c r="EF239" s="291">
        <f t="shared" si="189"/>
      </c>
      <c r="EG239" s="292">
        <f t="shared" si="189"/>
      </c>
      <c r="EH239" s="291">
        <f t="shared" si="189"/>
      </c>
      <c r="EI239" s="291">
        <f t="shared" si="189"/>
      </c>
      <c r="EJ239" s="291">
        <f t="shared" si="189"/>
      </c>
      <c r="EK239" s="291">
        <f t="shared" si="189"/>
      </c>
      <c r="EL239" s="292">
        <f t="shared" si="189"/>
      </c>
      <c r="EM239" s="291">
        <f t="shared" si="189"/>
      </c>
      <c r="EN239" s="291">
        <f t="shared" si="189"/>
      </c>
      <c r="EO239" s="291">
        <f t="shared" si="189"/>
      </c>
      <c r="EP239" s="291">
        <f t="shared" si="189"/>
      </c>
      <c r="EQ239" s="292">
        <f t="shared" si="189"/>
      </c>
      <c r="ER239" s="291">
        <f t="shared" si="189"/>
      </c>
      <c r="ES239" s="468">
        <f t="shared" si="189"/>
      </c>
      <c r="ET239" s="291">
        <f t="shared" si="189"/>
      </c>
      <c r="EU239" s="291">
        <f>IFERROR(EU238/EP238-1,"")</f>
      </c>
      <c r="EV239" s="292">
        <f>IFERROR(EV238/EQ238-1,"")</f>
      </c>
      <c r="EW239" s="412"/>
      <c r="EX239" s="114"/>
      <c r="EY239" s="114"/>
      <c r="EZ239" s="114"/>
      <c r="FA239" s="292"/>
      <c r="FB239" s="412"/>
      <c r="FC239" s="114"/>
      <c r="FD239" s="114"/>
      <c r="FE239" s="114"/>
      <c r="FF239" s="292"/>
      <c r="FG239" s="412"/>
      <c r="FH239" s="114"/>
      <c r="FI239" s="114"/>
      <c r="FJ239" s="114"/>
      <c r="FK239" s="292"/>
      <c r="FL239" s="412"/>
      <c r="FM239" s="114"/>
      <c r="FN239" s="114"/>
      <c r="FO239" s="114"/>
      <c r="FP239" s="292"/>
      <c r="FQ239" s="412"/>
      <c r="FR239" s="114"/>
      <c r="FS239" s="114"/>
      <c r="FT239" s="114"/>
      <c r="FU239" s="292"/>
      <c r="FV239" s="412"/>
      <c r="FW239" s="114"/>
      <c r="FX239" s="114"/>
      <c r="FY239" s="114"/>
      <c r="FZ239" s="292"/>
      <c r="GA239" s="412"/>
      <c r="GB239" s="114"/>
      <c r="GC239" s="114"/>
      <c r="GD239" s="114"/>
      <c r="GE239" s="292"/>
      <c r="GF239" s="412"/>
      <c r="GG239" s="114"/>
      <c r="GH239" s="114"/>
      <c r="GI239" s="114"/>
      <c r="GJ239" s="384"/>
    </row>
    <row r="240" spans="1:192" ht="12.75" hidden="1" customHeight="1" outlineLevel="1">
      <c r="B240" s="735" t="s">
        <v>36</v>
      </c>
      <c r="C240" s="291"/>
      <c r="D240" s="107"/>
      <c r="E240" s="107"/>
      <c r="F240" s="107"/>
      <c r="G240" s="292"/>
      <c r="H240" s="291"/>
      <c r="I240" s="107"/>
      <c r="J240" s="107"/>
      <c r="K240" s="107"/>
      <c r="L240" s="292"/>
      <c r="M240" s="291"/>
      <c r="N240" s="107"/>
      <c r="O240" s="107"/>
      <c r="P240" s="107"/>
      <c r="Q240" s="292"/>
      <c r="R240" s="291"/>
      <c r="S240" s="107"/>
      <c r="T240" s="107"/>
      <c r="U240" s="107"/>
      <c r="V240" s="292"/>
      <c r="W240" s="291"/>
      <c r="X240" s="107"/>
      <c r="Y240" s="107"/>
      <c r="Z240" s="107"/>
      <c r="AA240" s="292"/>
      <c r="AB240" s="291"/>
      <c r="AC240" s="107"/>
      <c r="AD240" s="107"/>
      <c r="AE240" s="107"/>
      <c r="AF240" s="292"/>
      <c r="AG240" s="291"/>
      <c r="AH240" s="107"/>
      <c r="AI240" s="107"/>
      <c r="AJ240" s="107"/>
      <c r="AK240" s="292"/>
      <c r="AL240" s="291"/>
      <c r="AM240" s="107"/>
      <c r="AN240" s="107"/>
      <c r="AO240" s="107"/>
      <c r="AP240" s="292"/>
      <c r="AQ240" s="291"/>
      <c r="AR240" s="107"/>
      <c r="AS240" s="107"/>
      <c r="AT240" s="107"/>
      <c r="AU240" s="292"/>
      <c r="AV240" s="291"/>
      <c r="AW240" s="107"/>
      <c r="AX240" s="107"/>
      <c r="AY240" s="107"/>
      <c r="AZ240" s="292"/>
      <c r="BA240" s="291"/>
      <c r="BB240" s="107"/>
      <c r="BC240" s="107"/>
      <c r="BD240" s="107"/>
      <c r="BE240" s="292"/>
      <c r="BF240" s="291"/>
      <c r="BG240" s="107"/>
      <c r="BH240" s="107"/>
      <c r="BI240" s="107"/>
      <c r="BJ240" s="292"/>
      <c r="BK240" s="291"/>
      <c r="BL240" s="107"/>
      <c r="BM240" s="107"/>
      <c r="BN240" s="107"/>
      <c r="BO240" s="292"/>
      <c r="BP240" s="291"/>
      <c r="BQ240" s="107"/>
      <c r="BR240" s="107"/>
      <c r="BS240" s="107"/>
      <c r="BT240" s="292"/>
      <c r="BU240" s="291"/>
      <c r="BV240" s="107"/>
      <c r="BW240" s="107"/>
      <c r="BX240" s="107"/>
      <c r="BY240" s="293"/>
      <c r="BZ240" s="291"/>
      <c r="CA240" s="107"/>
      <c r="CB240" s="107"/>
      <c r="CC240" s="107"/>
      <c r="CD240" s="293"/>
      <c r="CE240" s="291"/>
      <c r="CF240" s="107"/>
      <c r="CG240" s="107"/>
      <c r="CH240" s="107"/>
      <c r="CI240" s="293"/>
      <c r="CJ240" s="291"/>
      <c r="CK240" s="107"/>
      <c r="CL240" s="107"/>
      <c r="CM240" s="107"/>
      <c r="CN240" s="293"/>
      <c r="CO240" s="291"/>
      <c r="CP240" s="107"/>
      <c r="CQ240" s="107"/>
      <c r="CR240" s="107"/>
      <c r="CS240" s="293"/>
      <c r="CT240" s="291"/>
      <c r="CU240" s="107"/>
      <c r="CV240" s="107"/>
      <c r="CW240" s="107"/>
      <c r="CX240" s="293"/>
      <c r="CY240" s="291"/>
      <c r="CZ240" s="107"/>
      <c r="DA240" s="107"/>
      <c r="DB240" s="107"/>
      <c r="DC240" s="293"/>
      <c r="DD240" s="291"/>
      <c r="DE240" s="107"/>
      <c r="DF240" s="107"/>
      <c r="DG240" s="107"/>
      <c r="DH240" s="293"/>
      <c r="DI240" s="291"/>
      <c r="DJ240" s="107"/>
      <c r="DK240" s="107"/>
      <c r="DL240" s="107"/>
      <c r="DM240" s="293"/>
      <c r="DN240" s="291"/>
      <c r="DO240" s="107">
        <f>DO238/DN238-1</f>
      </c>
      <c r="DP240" s="107">
        <f>DP238/DO238-1</f>
      </c>
      <c r="DQ240" s="107">
        <f>DQ238/DP238-1</f>
      </c>
      <c r="DR240" s="293"/>
      <c r="DS240" s="291">
        <f>DS238/DQ238-1</f>
      </c>
      <c r="DT240" s="107">
        <f>DT238/DS238-1</f>
      </c>
      <c r="DU240" s="107">
        <f>DU238/DT238-1</f>
      </c>
      <c r="DV240" s="107">
        <f>DV238/DU238-1</f>
      </c>
      <c r="DW240" s="293"/>
      <c r="DX240" s="291">
        <f>DX238/DV238-1</f>
      </c>
      <c r="DY240" s="107">
        <f>DY238/DX238-1</f>
      </c>
      <c r="DZ240" s="107">
        <f>DZ238/DY238-1</f>
      </c>
      <c r="EA240" s="107">
        <f>EA238/DZ238-1</f>
      </c>
      <c r="EB240" s="293"/>
      <c r="EC240" s="291">
        <f>EC238/EA238-1</f>
      </c>
      <c r="ED240" s="107">
        <f>ED238/EC238-1</f>
      </c>
      <c r="EE240" s="107">
        <f>EE238/ED238-1</f>
      </c>
      <c r="EF240" s="107">
        <f>EF238/EE238-1</f>
      </c>
      <c r="EG240" s="293"/>
      <c r="EH240" s="291">
        <f>EH238/EF238-1</f>
      </c>
      <c r="EI240" s="107">
        <f>EI238/EH238-1</f>
      </c>
      <c r="EJ240" s="107">
        <f>EJ238/EI238-1</f>
      </c>
      <c r="EK240" s="107">
        <f>EK238/EJ238-1</f>
      </c>
      <c r="EL240" s="293"/>
      <c r="EM240" s="291">
        <f>EM238/EK238-1</f>
      </c>
      <c r="EN240" s="107">
        <f>EN238/EM238-1</f>
      </c>
      <c r="EO240" s="107">
        <f>EO238/EN238-1</f>
      </c>
      <c r="EP240" s="107">
        <f>EP238/EO238-1</f>
      </c>
      <c r="EQ240" s="293"/>
      <c r="ER240" s="291">
        <f>ER238/EP238-1</f>
      </c>
      <c r="ES240" s="107">
        <f>ES238/ER238-1</f>
      </c>
      <c r="ET240" s="107">
        <f>ET238/ES238-1</f>
      </c>
      <c r="EU240" s="107">
        <f>EU238/ET238-1</f>
      </c>
      <c r="EV240" s="293"/>
      <c r="EW240" s="291"/>
      <c r="EX240" s="107"/>
      <c r="EY240" s="107"/>
      <c r="EZ240" s="107"/>
      <c r="FA240" s="293"/>
      <c r="FB240" s="291"/>
      <c r="FC240" s="107"/>
      <c r="FD240" s="107"/>
      <c r="FE240" s="107"/>
      <c r="FF240" s="293"/>
      <c r="FG240" s="291"/>
      <c r="FH240" s="107"/>
      <c r="FI240" s="107"/>
      <c r="FJ240" s="107"/>
      <c r="FK240" s="293"/>
      <c r="FL240" s="291"/>
      <c r="FM240" s="107"/>
      <c r="FN240" s="107"/>
      <c r="FO240" s="107"/>
      <c r="FP240" s="293"/>
      <c r="FQ240" s="291"/>
      <c r="FR240" s="107"/>
      <c r="FS240" s="107"/>
      <c r="FT240" s="107"/>
      <c r="FU240" s="293"/>
      <c r="FV240" s="291"/>
      <c r="FW240" s="107"/>
      <c r="FX240" s="107"/>
      <c r="FY240" s="107"/>
      <c r="FZ240" s="292"/>
      <c r="GA240" s="291"/>
      <c r="GB240" s="107"/>
      <c r="GC240" s="107"/>
      <c r="GD240" s="107"/>
      <c r="GE240" s="292"/>
      <c r="GF240" s="291"/>
      <c r="GG240" s="107"/>
      <c r="GH240" s="107"/>
      <c r="GI240" s="107"/>
      <c r="GJ240" s="384"/>
    </row>
    <row r="241" spans="1:192" s="680" customFormat="1" ht="12.75" hidden="1" customHeight="1" outlineLevel="1">
      <c r="A241" s="850"/>
      <c r="B241" s="741" t="s">
        <v>243</v>
      </c>
      <c r="C241" s="448"/>
      <c r="D241" s="493"/>
      <c r="E241" s="493"/>
      <c r="F241" s="493"/>
      <c r="G241" s="494"/>
      <c r="H241" s="448"/>
      <c r="I241" s="493"/>
      <c r="J241" s="493"/>
      <c r="K241" s="493"/>
      <c r="L241" s="494"/>
      <c r="M241" s="448"/>
      <c r="N241" s="493"/>
      <c r="O241" s="493"/>
      <c r="P241" s="493"/>
      <c r="Q241" s="494"/>
      <c r="R241" s="448"/>
      <c r="S241" s="493"/>
      <c r="T241" s="493"/>
      <c r="U241" s="493"/>
      <c r="V241" s="494"/>
      <c r="W241" s="448"/>
      <c r="X241" s="493"/>
      <c r="Y241" s="493"/>
      <c r="Z241" s="493"/>
      <c r="AA241" s="494"/>
      <c r="AB241" s="448"/>
      <c r="AC241" s="493"/>
      <c r="AD241" s="493"/>
      <c r="AE241" s="493"/>
      <c r="AF241" s="494"/>
      <c r="AG241" s="448"/>
      <c r="AH241" s="493"/>
      <c r="AI241" s="493"/>
      <c r="AJ241" s="493"/>
      <c r="AK241" s="494"/>
      <c r="AL241" s="448"/>
      <c r="AM241" s="493"/>
      <c r="AN241" s="493"/>
      <c r="AO241" s="493"/>
      <c r="AP241" s="494"/>
      <c r="AQ241" s="448"/>
      <c r="AR241" s="493"/>
      <c r="AS241" s="493"/>
      <c r="AT241" s="493"/>
      <c r="AU241" s="494"/>
      <c r="AV241" s="448"/>
      <c r="AW241" s="493"/>
      <c r="AX241" s="493"/>
      <c r="AY241" s="493"/>
      <c r="AZ241" s="494"/>
      <c r="BA241" s="448"/>
      <c r="BB241" s="493"/>
      <c r="BC241" s="493"/>
      <c r="BD241" s="493"/>
      <c r="BE241" s="494"/>
      <c r="BF241" s="448"/>
      <c r="BG241" s="493"/>
      <c r="BH241" s="493"/>
      <c r="BI241" s="493"/>
      <c r="BJ241" s="494"/>
      <c r="BK241" s="448"/>
      <c r="BL241" s="493"/>
      <c r="BM241" s="493"/>
      <c r="BN241" s="493"/>
      <c r="BO241" s="494"/>
      <c r="BP241" s="448"/>
      <c r="BQ241" s="493"/>
      <c r="BR241" s="493"/>
      <c r="BS241" s="493"/>
      <c r="BT241" s="494"/>
      <c r="BU241" s="448"/>
      <c r="BV241" s="493"/>
      <c r="BW241" s="493"/>
      <c r="BX241" s="493"/>
      <c r="BY241" s="812"/>
      <c r="BZ241" s="448"/>
      <c r="CA241" s="493"/>
      <c r="CB241" s="493"/>
      <c r="CC241" s="493"/>
      <c r="CD241" s="812"/>
      <c r="CE241" s="448"/>
      <c r="CF241" s="493"/>
      <c r="CG241" s="493"/>
      <c r="CH241" s="493"/>
      <c r="CI241" s="812"/>
      <c r="CJ241" s="448"/>
      <c r="CK241" s="493"/>
      <c r="CL241" s="493"/>
      <c r="CM241" s="493"/>
      <c r="CN241" s="812"/>
      <c r="CO241" s="448"/>
      <c r="CP241" s="493"/>
      <c r="CQ241" s="493"/>
      <c r="CR241" s="493"/>
      <c r="CS241" s="812"/>
      <c r="CT241" s="448"/>
      <c r="CU241" s="493"/>
      <c r="CV241" s="493"/>
      <c r="CW241" s="493"/>
      <c r="CX241" s="812"/>
      <c r="CY241" s="448"/>
      <c r="CZ241" s="493"/>
      <c r="DA241" s="493"/>
      <c r="DB241" s="493"/>
      <c r="DC241" s="812"/>
      <c r="DD241" s="448"/>
      <c r="DE241" s="493"/>
      <c r="DF241" s="493"/>
      <c r="DG241" s="493"/>
      <c r="DH241" s="812"/>
      <c r="DI241" s="448"/>
      <c r="DJ241" s="448"/>
      <c r="DK241" s="448"/>
      <c r="DL241" s="448"/>
      <c r="DM241" s="812"/>
      <c r="DN241" s="448"/>
      <c r="DO241" s="448"/>
      <c r="DP241" s="448"/>
      <c r="DQ241" s="448"/>
      <c r="DR241" s="812"/>
      <c r="DS241" s="447">
        <f t="shared" ref="DS241:EQ241" si="190">IFERROR(DS238-DN238,"")</f>
      </c>
      <c r="DT241" s="447">
        <f t="shared" si="190"/>
      </c>
      <c r="DU241" s="447">
        <f t="shared" si="190"/>
      </c>
      <c r="DV241" s="447">
        <f t="shared" si="190"/>
      </c>
      <c r="DW241" s="459">
        <f t="shared" si="190"/>
      </c>
      <c r="DX241" s="447">
        <f t="shared" si="190"/>
      </c>
      <c r="DY241" s="447">
        <f t="shared" si="190"/>
      </c>
      <c r="DZ241" s="447">
        <f t="shared" si="190"/>
      </c>
      <c r="EA241" s="447">
        <f t="shared" si="190"/>
      </c>
      <c r="EB241" s="459">
        <f t="shared" si="190"/>
      </c>
      <c r="EC241" s="447">
        <f t="shared" si="190"/>
      </c>
      <c r="ED241" s="447">
        <f t="shared" si="190"/>
      </c>
      <c r="EE241" s="447">
        <f t="shared" si="190"/>
      </c>
      <c r="EF241" s="447">
        <f t="shared" si="190"/>
      </c>
      <c r="EG241" s="459">
        <f t="shared" si="190"/>
      </c>
      <c r="EH241" s="447">
        <f t="shared" si="190"/>
      </c>
      <c r="EI241" s="447">
        <f t="shared" si="190"/>
      </c>
      <c r="EJ241" s="447">
        <f t="shared" si="190"/>
      </c>
      <c r="EK241" s="447">
        <f t="shared" si="190"/>
      </c>
      <c r="EL241" s="459">
        <f t="shared" si="190"/>
      </c>
      <c r="EM241" s="447">
        <f t="shared" si="190"/>
      </c>
      <c r="EN241" s="447">
        <f t="shared" si="190"/>
      </c>
      <c r="EO241" s="447">
        <f t="shared" si="190"/>
      </c>
      <c r="EP241" s="447">
        <f t="shared" si="190"/>
      </c>
      <c r="EQ241" s="459">
        <f t="shared" si="190"/>
      </c>
      <c r="ER241" s="448">
        <v>140</v>
      </c>
      <c r="ES241" s="447">
        <f>IFERROR(ES238-EN238,"")</f>
      </c>
      <c r="ET241" s="448">
        <v>98</v>
      </c>
      <c r="EU241" s="447">
        <f>IFERROR(EU238-EP238,"")</f>
      </c>
      <c r="EV241" s="459">
        <f>IFERROR(EV238-EQ238,"")</f>
      </c>
      <c r="EW241" s="447"/>
      <c r="EX241" s="447"/>
      <c r="EY241" s="447"/>
      <c r="EZ241" s="447"/>
      <c r="FA241" s="459"/>
      <c r="FB241" s="447"/>
      <c r="FC241" s="447"/>
      <c r="FD241" s="447"/>
      <c r="FE241" s="447"/>
      <c r="FF241" s="459"/>
      <c r="FG241" s="447"/>
      <c r="FH241" s="447"/>
      <c r="FI241" s="447"/>
      <c r="FJ241" s="447"/>
      <c r="FK241" s="459"/>
      <c r="FL241" s="447"/>
      <c r="FM241" s="447"/>
      <c r="FN241" s="447"/>
      <c r="FO241" s="447"/>
      <c r="FP241" s="459"/>
      <c r="FQ241" s="447"/>
      <c r="FR241" s="447"/>
      <c r="FS241" s="447"/>
      <c r="FT241" s="447"/>
      <c r="FU241" s="459"/>
      <c r="FV241" s="447"/>
      <c r="FW241" s="458"/>
      <c r="FX241" s="458"/>
      <c r="FY241" s="458"/>
      <c r="FZ241" s="462"/>
      <c r="GA241" s="447"/>
      <c r="GB241" s="458"/>
      <c r="GC241" s="458"/>
      <c r="GD241" s="458"/>
      <c r="GE241" s="462"/>
      <c r="GF241" s="447"/>
      <c r="GG241" s="458"/>
      <c r="GH241" s="458"/>
      <c r="GI241" s="458"/>
      <c r="GJ241" s="497"/>
    </row>
    <row r="242" spans="1:192" s="461" customFormat="1" ht="12.75" hidden="1" customHeight="1" outlineLevel="1">
      <c r="A242" s="850"/>
      <c r="B242" s="735" t="s">
        <v>244</v>
      </c>
      <c r="C242" s="447"/>
      <c r="D242" s="458"/>
      <c r="E242" s="458"/>
      <c r="F242" s="458"/>
      <c r="G242" s="462"/>
      <c r="H242" s="447"/>
      <c r="I242" s="458"/>
      <c r="J242" s="458"/>
      <c r="K242" s="458"/>
      <c r="L242" s="462"/>
      <c r="M242" s="447"/>
      <c r="N242" s="458"/>
      <c r="O242" s="458"/>
      <c r="P242" s="458"/>
      <c r="Q242" s="462"/>
      <c r="R242" s="447"/>
      <c r="S242" s="458"/>
      <c r="T242" s="458"/>
      <c r="U242" s="458"/>
      <c r="V242" s="462"/>
      <c r="W242" s="447"/>
      <c r="X242" s="458"/>
      <c r="Y242" s="458"/>
      <c r="Z242" s="458"/>
      <c r="AA242" s="462"/>
      <c r="AB242" s="447"/>
      <c r="AC242" s="458"/>
      <c r="AD242" s="458"/>
      <c r="AE242" s="458"/>
      <c r="AF242" s="462"/>
      <c r="AG242" s="447"/>
      <c r="AH242" s="458"/>
      <c r="AI242" s="458"/>
      <c r="AJ242" s="458"/>
      <c r="AK242" s="462"/>
      <c r="AL242" s="447"/>
      <c r="AM242" s="458"/>
      <c r="AN242" s="458"/>
      <c r="AO242" s="458"/>
      <c r="AP242" s="462"/>
      <c r="AQ242" s="447"/>
      <c r="AR242" s="458"/>
      <c r="AS242" s="458"/>
      <c r="AT242" s="458"/>
      <c r="AU242" s="462"/>
      <c r="AV242" s="447"/>
      <c r="AW242" s="458"/>
      <c r="AX242" s="458"/>
      <c r="AY242" s="458"/>
      <c r="AZ242" s="462"/>
      <c r="BA242" s="447"/>
      <c r="BB242" s="458"/>
      <c r="BC242" s="458"/>
      <c r="BD242" s="458"/>
      <c r="BE242" s="462"/>
      <c r="BF242" s="447"/>
      <c r="BG242" s="458"/>
      <c r="BH242" s="458"/>
      <c r="BI242" s="458"/>
      <c r="BJ242" s="462"/>
      <c r="BK242" s="447"/>
      <c r="BL242" s="458"/>
      <c r="BM242" s="458"/>
      <c r="BN242" s="458"/>
      <c r="BO242" s="462"/>
      <c r="BP242" s="447"/>
      <c r="BQ242" s="458"/>
      <c r="BR242" s="458"/>
      <c r="BS242" s="458"/>
      <c r="BT242" s="462"/>
      <c r="BU242" s="447"/>
      <c r="BV242" s="458"/>
      <c r="BW242" s="458"/>
      <c r="BX242" s="458"/>
      <c r="BY242" s="459"/>
      <c r="BZ242" s="447"/>
      <c r="CA242" s="458"/>
      <c r="CB242" s="458"/>
      <c r="CC242" s="458"/>
      <c r="CD242" s="459"/>
      <c r="CE242" s="447"/>
      <c r="CF242" s="458"/>
      <c r="CG242" s="458"/>
      <c r="CH242" s="458"/>
      <c r="CI242" s="459"/>
      <c r="CJ242" s="447"/>
      <c r="CK242" s="458"/>
      <c r="CL242" s="458"/>
      <c r="CM242" s="458"/>
      <c r="CN242" s="459"/>
      <c r="CO242" s="447"/>
      <c r="CP242" s="458"/>
      <c r="CQ242" s="458"/>
      <c r="CR242" s="458"/>
      <c r="CS242" s="459"/>
      <c r="CT242" s="447"/>
      <c r="CU242" s="458"/>
      <c r="CV242" s="458"/>
      <c r="CW242" s="458"/>
      <c r="CX242" s="459"/>
      <c r="CY242" s="447"/>
      <c r="CZ242" s="458"/>
      <c r="DA242" s="458"/>
      <c r="DB242" s="458"/>
      <c r="DC242" s="459"/>
      <c r="DD242" s="447"/>
      <c r="DE242" s="458"/>
      <c r="DF242" s="458"/>
      <c r="DG242" s="458"/>
      <c r="DH242" s="459"/>
      <c r="DI242" s="447"/>
      <c r="DJ242" s="458"/>
      <c r="DK242" s="458"/>
      <c r="DL242" s="458"/>
      <c r="DM242" s="459"/>
      <c r="DN242" s="447"/>
      <c r="DO242" s="458">
        <f>DO238-DN238</f>
      </c>
      <c r="DP242" s="458">
        <f>DP238-DO238</f>
      </c>
      <c r="DQ242" s="458">
        <f>DQ238-DP238</f>
      </c>
      <c r="DR242" s="459"/>
      <c r="DS242" s="447">
        <f>DS238-DQ238</f>
      </c>
      <c r="DT242" s="458">
        <f>DT238-DS238</f>
      </c>
      <c r="DU242" s="458">
        <f>DU238-DT238</f>
      </c>
      <c r="DV242" s="458">
        <f>DV238-DU238</f>
      </c>
      <c r="DW242" s="459"/>
      <c r="DX242" s="447">
        <f>DX238-DV238</f>
      </c>
      <c r="DY242" s="458">
        <f>DY238-DX238</f>
      </c>
      <c r="DZ242" s="458">
        <f>DZ238-DY238</f>
      </c>
      <c r="EA242" s="458">
        <f>EA238-DZ238</f>
      </c>
      <c r="EB242" s="459"/>
      <c r="EC242" s="447">
        <f>EC238-EA238</f>
      </c>
      <c r="ED242" s="458">
        <f>ED238-EC238</f>
      </c>
      <c r="EE242" s="458">
        <f>EE238-ED238</f>
      </c>
      <c r="EF242" s="458">
        <f>EF238-EE238</f>
      </c>
      <c r="EG242" s="459"/>
      <c r="EH242" s="447">
        <f>EH238-EF238</f>
      </c>
      <c r="EI242" s="458">
        <f>EI238-EH238</f>
      </c>
      <c r="EJ242" s="458">
        <f>EJ238-EI238</f>
      </c>
      <c r="EK242" s="458">
        <f>EK238-EJ238</f>
      </c>
      <c r="EL242" s="459"/>
      <c r="EM242" s="447">
        <f>EM238-EK238</f>
      </c>
      <c r="EN242" s="458">
        <f>EN238-EM238</f>
      </c>
      <c r="EO242" s="458">
        <f>EO238-EN238</f>
      </c>
      <c r="EP242" s="458">
        <f>EP238-EO238</f>
      </c>
      <c r="EQ242" s="459"/>
      <c r="ER242" s="447">
        <f>ER238-EP238</f>
      </c>
      <c r="ES242" s="458">
        <f>ES238-ER238</f>
      </c>
      <c r="ET242" s="458">
        <f>ET238-ES238</f>
      </c>
      <c r="EU242" s="458">
        <f>EU238-ET238</f>
      </c>
      <c r="EV242" s="459"/>
      <c r="EW242" s="447"/>
      <c r="EX242" s="458"/>
      <c r="EY242" s="458"/>
      <c r="EZ242" s="458"/>
      <c r="FA242" s="459"/>
      <c r="FB242" s="447"/>
      <c r="FC242" s="458"/>
      <c r="FD242" s="458"/>
      <c r="FE242" s="458"/>
      <c r="FF242" s="459"/>
      <c r="FG242" s="447"/>
      <c r="FH242" s="458"/>
      <c r="FI242" s="458"/>
      <c r="FJ242" s="458"/>
      <c r="FK242" s="459"/>
      <c r="FL242" s="447"/>
      <c r="FM242" s="458"/>
      <c r="FN242" s="458"/>
      <c r="FO242" s="458"/>
      <c r="FP242" s="459"/>
      <c r="FQ242" s="447"/>
      <c r="FR242" s="458"/>
      <c r="FS242" s="458"/>
      <c r="FT242" s="458"/>
      <c r="FU242" s="459"/>
      <c r="FV242" s="447"/>
      <c r="FW242" s="458"/>
      <c r="FX242" s="458"/>
      <c r="FY242" s="458"/>
      <c r="FZ242" s="462"/>
      <c r="GA242" s="447"/>
      <c r="GB242" s="458"/>
      <c r="GC242" s="458"/>
      <c r="GD242" s="458"/>
      <c r="GE242" s="462"/>
      <c r="GF242" s="447"/>
      <c r="GG242" s="458"/>
      <c r="GH242" s="458"/>
      <c r="GI242" s="458"/>
      <c r="GJ242" s="497"/>
    </row>
    <row r="243" spans="1:192" ht="12.75" hidden="1" customHeight="1" outlineLevel="1">
      <c r="B243" s="735" t="s">
        <v>213</v>
      </c>
      <c r="C243" s="291"/>
      <c r="D243" s="107"/>
      <c r="E243" s="107"/>
      <c r="F243" s="107"/>
      <c r="G243" s="293"/>
      <c r="H243" s="291"/>
      <c r="I243" s="107"/>
      <c r="J243" s="107"/>
      <c r="K243" s="107"/>
      <c r="L243" s="293"/>
      <c r="M243" s="291"/>
      <c r="N243" s="107"/>
      <c r="O243" s="107"/>
      <c r="P243" s="107"/>
      <c r="Q243" s="293"/>
      <c r="R243" s="291"/>
      <c r="S243" s="107"/>
      <c r="T243" s="107"/>
      <c r="U243" s="107"/>
      <c r="V243" s="293"/>
      <c r="W243" s="291"/>
      <c r="X243" s="107"/>
      <c r="Y243" s="107"/>
      <c r="Z243" s="107"/>
      <c r="AA243" s="293"/>
      <c r="AB243" s="291"/>
      <c r="AC243" s="107"/>
      <c r="AD243" s="107"/>
      <c r="AE243" s="107"/>
      <c r="AF243" s="293"/>
      <c r="AG243" s="291"/>
      <c r="AH243" s="107"/>
      <c r="AI243" s="107"/>
      <c r="AJ243" s="107"/>
      <c r="AK243" s="293"/>
      <c r="AL243" s="291"/>
      <c r="AM243" s="107"/>
      <c r="AN243" s="107"/>
      <c r="AO243" s="107"/>
      <c r="AP243" s="293"/>
      <c r="AQ243" s="291"/>
      <c r="AR243" s="107"/>
      <c r="AS243" s="107"/>
      <c r="AT243" s="107"/>
      <c r="AU243" s="293"/>
      <c r="AV243" s="291"/>
      <c r="AW243" s="107"/>
      <c r="AX243" s="107"/>
      <c r="AY243" s="107"/>
      <c r="AZ243" s="293"/>
      <c r="BA243" s="291"/>
      <c r="BB243" s="107"/>
      <c r="BC243" s="107"/>
      <c r="BD243" s="107"/>
      <c r="BE243" s="293"/>
      <c r="BF243" s="291"/>
      <c r="BG243" s="107"/>
      <c r="BH243" s="107"/>
      <c r="BI243" s="107"/>
      <c r="BJ243" s="293"/>
      <c r="BK243" s="291"/>
      <c r="BL243" s="107"/>
      <c r="BM243" s="107"/>
      <c r="BN243" s="107"/>
      <c r="BO243" s="293"/>
      <c r="BP243" s="291"/>
      <c r="BQ243" s="107"/>
      <c r="BR243" s="107"/>
      <c r="BS243" s="107"/>
      <c r="BT243" s="293"/>
      <c r="BU243" s="291"/>
      <c r="BV243" s="107"/>
      <c r="BW243" s="107"/>
      <c r="BX243" s="107"/>
      <c r="BY243" s="293"/>
      <c r="BZ243" s="291"/>
      <c r="CA243" s="107"/>
      <c r="CB243" s="107"/>
      <c r="CC243" s="107"/>
      <c r="CD243" s="293"/>
      <c r="CE243" s="291"/>
      <c r="CF243" s="107"/>
      <c r="CG243" s="107"/>
      <c r="CH243" s="107"/>
      <c r="CI243" s="293"/>
      <c r="CJ243" s="291"/>
      <c r="CK243" s="107"/>
      <c r="CL243" s="107"/>
      <c r="CM243" s="107"/>
      <c r="CN243" s="293"/>
      <c r="CO243" s="291"/>
      <c r="CP243" s="107"/>
      <c r="CQ243" s="107"/>
      <c r="CR243" s="107"/>
      <c r="CS243" s="293"/>
      <c r="CT243" s="291"/>
      <c r="CU243" s="107"/>
      <c r="CV243" s="107"/>
      <c r="CW243" s="107"/>
      <c r="CX243" s="293"/>
      <c r="CY243" s="291"/>
      <c r="CZ243" s="107"/>
      <c r="DA243" s="107"/>
      <c r="DB243" s="107"/>
      <c r="DC243" s="293"/>
      <c r="DD243" s="291"/>
      <c r="DE243" s="107"/>
      <c r="DF243" s="107"/>
      <c r="DG243" s="107"/>
      <c r="DH243" s="293"/>
      <c r="DI243" s="291"/>
      <c r="DJ243" s="107"/>
      <c r="DK243" s="107"/>
      <c r="DL243" s="107"/>
      <c r="DM243" s="293">
        <f t="shared" ref="DM243:ER243" si="191">DM238/DM$50</f>
      </c>
      <c r="DN243" s="291">
        <f t="shared" si="191"/>
      </c>
      <c r="DO243" s="107">
        <f t="shared" si="191"/>
      </c>
      <c r="DP243" s="107">
        <f t="shared" si="191"/>
      </c>
      <c r="DQ243" s="107">
        <f t="shared" si="191"/>
      </c>
      <c r="DR243" s="293">
        <f t="shared" si="191"/>
      </c>
      <c r="DS243" s="291">
        <f t="shared" si="191"/>
      </c>
      <c r="DT243" s="107">
        <f t="shared" si="191"/>
      </c>
      <c r="DU243" s="107">
        <f t="shared" si="191"/>
      </c>
      <c r="DV243" s="107">
        <f t="shared" si="191"/>
      </c>
      <c r="DW243" s="293">
        <f t="shared" si="191"/>
      </c>
      <c r="DX243" s="291">
        <f t="shared" si="191"/>
      </c>
      <c r="DY243" s="107">
        <f t="shared" si="191"/>
      </c>
      <c r="DZ243" s="107">
        <f t="shared" si="191"/>
      </c>
      <c r="EA243" s="107">
        <f t="shared" si="191"/>
      </c>
      <c r="EB243" s="293">
        <f t="shared" si="191"/>
      </c>
      <c r="EC243" s="291">
        <f t="shared" si="191"/>
      </c>
      <c r="ED243" s="107">
        <f t="shared" si="191"/>
      </c>
      <c r="EE243" s="107">
        <f t="shared" si="191"/>
      </c>
      <c r="EF243" s="107">
        <f t="shared" si="191"/>
      </c>
      <c r="EG243" s="293">
        <f t="shared" si="191"/>
      </c>
      <c r="EH243" s="291">
        <f t="shared" si="191"/>
      </c>
      <c r="EI243" s="107">
        <f t="shared" si="191"/>
      </c>
      <c r="EJ243" s="107">
        <f t="shared" si="191"/>
      </c>
      <c r="EK243" s="107">
        <f t="shared" si="191"/>
      </c>
      <c r="EL243" s="293">
        <f t="shared" si="191"/>
      </c>
      <c r="EM243" s="291">
        <f t="shared" si="191"/>
      </c>
      <c r="EN243" s="107">
        <f t="shared" si="191"/>
      </c>
      <c r="EO243" s="107">
        <f t="shared" si="191"/>
      </c>
      <c r="EP243" s="107">
        <f t="shared" si="191"/>
      </c>
      <c r="EQ243" s="293">
        <f t="shared" si="191"/>
      </c>
      <c r="ER243" s="291">
        <f t="shared" si="191"/>
      </c>
      <c r="ES243" s="107">
        <f>ES238/ES$50</f>
      </c>
      <c r="ET243" s="107">
        <f>ET238/ET$50</f>
      </c>
      <c r="EU243" s="107">
        <f>EU238/EU$50</f>
      </c>
      <c r="EV243" s="293">
        <f>EV238/EV$50</f>
      </c>
      <c r="EW243" s="291"/>
      <c r="EX243" s="107"/>
      <c r="EY243" s="107"/>
      <c r="EZ243" s="107"/>
      <c r="FA243" s="293"/>
      <c r="FB243" s="291"/>
      <c r="FC243" s="107"/>
      <c r="FD243" s="107"/>
      <c r="FE243" s="107"/>
      <c r="FF243" s="293"/>
      <c r="FG243" s="291"/>
      <c r="FH243" s="107"/>
      <c r="FI243" s="107"/>
      <c r="FJ243" s="107"/>
      <c r="FK243" s="293"/>
      <c r="FL243" s="291"/>
      <c r="FM243" s="107"/>
      <c r="FN243" s="107"/>
      <c r="FO243" s="107"/>
      <c r="FP243" s="293"/>
      <c r="FQ243" s="291"/>
      <c r="FR243" s="107"/>
      <c r="FS243" s="107"/>
      <c r="FT243" s="107"/>
      <c r="FU243" s="293"/>
      <c r="FV243" s="291"/>
      <c r="FW243" s="107"/>
      <c r="FX243" s="107"/>
      <c r="FY243" s="107"/>
      <c r="FZ243" s="293"/>
      <c r="GA243" s="291"/>
      <c r="GB243" s="107"/>
      <c r="GC243" s="107"/>
      <c r="GD243" s="107"/>
      <c r="GE243" s="293"/>
      <c r="GF243" s="291"/>
      <c r="GG243" s="107"/>
      <c r="GH243" s="107"/>
      <c r="GI243" s="107"/>
      <c r="GJ243" s="382"/>
    </row>
    <row r="244" spans="1:192" ht="12.75" customHeight="1" collapsed="1" thickBot="1">
      <c r="A244" s="1646"/>
      <c r="B244" s="752"/>
      <c r="C244" s="393"/>
      <c r="D244" s="388"/>
      <c r="E244" s="388"/>
      <c r="F244" s="388"/>
      <c r="G244" s="394"/>
      <c r="H244" s="393"/>
      <c r="I244" s="388"/>
      <c r="J244" s="388"/>
      <c r="K244" s="388"/>
      <c r="L244" s="394"/>
      <c r="M244" s="393"/>
      <c r="N244" s="388"/>
      <c r="O244" s="388"/>
      <c r="P244" s="388"/>
      <c r="Q244" s="394"/>
      <c r="R244" s="393"/>
      <c r="S244" s="388"/>
      <c r="T244" s="388"/>
      <c r="U244" s="388"/>
      <c r="V244" s="394"/>
      <c r="W244" s="393"/>
      <c r="X244" s="388"/>
      <c r="Y244" s="388"/>
      <c r="Z244" s="388"/>
      <c r="AA244" s="394"/>
      <c r="AB244" s="393"/>
      <c r="AC244" s="388"/>
      <c r="AD244" s="388"/>
      <c r="AE244" s="388"/>
      <c r="AF244" s="394"/>
      <c r="AG244" s="393"/>
      <c r="AH244" s="388"/>
      <c r="AI244" s="388"/>
      <c r="AJ244" s="388"/>
      <c r="AK244" s="394"/>
      <c r="AL244" s="393"/>
      <c r="AM244" s="388"/>
      <c r="AN244" s="388"/>
      <c r="AO244" s="388"/>
      <c r="AP244" s="394"/>
      <c r="AQ244" s="393"/>
      <c r="AR244" s="388"/>
      <c r="AS244" s="388"/>
      <c r="AT244" s="388"/>
      <c r="AU244" s="394"/>
      <c r="AV244" s="393"/>
      <c r="AW244" s="388"/>
      <c r="AX244" s="388"/>
      <c r="AY244" s="388"/>
      <c r="AZ244" s="394"/>
      <c r="BA244" s="393"/>
      <c r="BB244" s="388"/>
      <c r="BC244" s="388"/>
      <c r="BD244" s="388"/>
      <c r="BE244" s="394"/>
      <c r="BF244" s="393"/>
      <c r="BG244" s="388"/>
      <c r="BH244" s="388"/>
      <c r="BI244" s="388"/>
      <c r="BJ244" s="394"/>
      <c r="BK244" s="393"/>
      <c r="BL244" s="388"/>
      <c r="BM244" s="388"/>
      <c r="BN244" s="388"/>
      <c r="BO244" s="394"/>
      <c r="BP244" s="393"/>
      <c r="BQ244" s="388"/>
      <c r="BR244" s="388"/>
      <c r="BS244" s="388"/>
      <c r="BT244" s="394"/>
      <c r="BU244" s="393"/>
      <c r="BV244" s="388"/>
      <c r="BW244" s="388"/>
      <c r="BX244" s="388"/>
      <c r="BY244" s="394"/>
      <c r="BZ244" s="393"/>
      <c r="CA244" s="388"/>
      <c r="CB244" s="388"/>
      <c r="CC244" s="388"/>
      <c r="CD244" s="394"/>
      <c r="CE244" s="393"/>
      <c r="CF244" s="388"/>
      <c r="CG244" s="388"/>
      <c r="CH244" s="388"/>
      <c r="CI244" s="394"/>
      <c r="CJ244" s="393"/>
      <c r="CK244" s="388"/>
      <c r="CL244" s="388"/>
      <c r="CM244" s="388"/>
      <c r="CN244" s="394"/>
      <c r="CO244" s="393"/>
      <c r="CP244" s="388"/>
      <c r="CQ244" s="388"/>
      <c r="CR244" s="388"/>
      <c r="CS244" s="394"/>
      <c r="CT244" s="393"/>
      <c r="CU244" s="388"/>
      <c r="CV244" s="388"/>
      <c r="CW244" s="388"/>
      <c r="CX244" s="394"/>
      <c r="CY244" s="393"/>
      <c r="CZ244" s="388"/>
      <c r="DA244" s="388"/>
      <c r="DB244" s="388"/>
      <c r="DC244" s="394"/>
      <c r="DD244" s="393"/>
      <c r="DE244" s="388"/>
      <c r="DF244" s="388"/>
      <c r="DG244" s="388"/>
      <c r="DH244" s="394"/>
      <c r="DI244" s="393"/>
      <c r="DJ244" s="388"/>
      <c r="DK244" s="388"/>
      <c r="DL244" s="388"/>
      <c r="DM244" s="394"/>
      <c r="DN244" s="393"/>
      <c r="DO244" s="388"/>
      <c r="DP244" s="388"/>
      <c r="DQ244" s="388"/>
      <c r="DR244" s="394"/>
      <c r="DS244" s="393"/>
      <c r="DT244" s="388"/>
      <c r="DU244" s="388"/>
      <c r="DV244" s="388"/>
      <c r="DW244" s="394"/>
      <c r="DX244" s="393"/>
      <c r="DY244" s="388"/>
      <c r="DZ244" s="388"/>
      <c r="EA244" s="388"/>
      <c r="EB244" s="394"/>
      <c r="EC244" s="393"/>
      <c r="ED244" s="388"/>
      <c r="EE244" s="388"/>
      <c r="EF244" s="388"/>
      <c r="EG244" s="394"/>
      <c r="EH244" s="393"/>
      <c r="EI244" s="388"/>
      <c r="EJ244" s="388"/>
      <c r="EK244" s="388"/>
      <c r="EL244" s="394"/>
      <c r="EM244" s="393"/>
      <c r="EN244" s="388"/>
      <c r="EO244" s="388"/>
      <c r="EP244" s="388"/>
      <c r="EQ244" s="394"/>
      <c r="ER244" s="393"/>
      <c r="ES244" s="388"/>
      <c r="ET244" s="388"/>
      <c r="EU244" s="388"/>
      <c r="EV244" s="394"/>
      <c r="EW244" s="393"/>
      <c r="EX244" s="388"/>
      <c r="EY244" s="388"/>
      <c r="EZ244" s="388"/>
      <c r="FA244" s="394"/>
      <c r="FB244" s="393"/>
      <c r="FC244" s="388"/>
      <c r="FD244" s="388"/>
      <c r="FE244" s="388"/>
      <c r="FF244" s="394"/>
      <c r="FG244" s="393"/>
      <c r="FH244" s="388"/>
      <c r="FI244" s="388"/>
      <c r="FJ244" s="388"/>
      <c r="FK244" s="394"/>
      <c r="FL244" s="393"/>
      <c r="FM244" s="388"/>
      <c r="FN244" s="388"/>
      <c r="FO244" s="388"/>
      <c r="FP244" s="394"/>
      <c r="FQ244" s="393"/>
      <c r="FR244" s="388"/>
      <c r="FS244" s="388"/>
      <c r="FT244" s="388"/>
      <c r="FU244" s="394"/>
      <c r="FV244" s="393"/>
      <c r="FW244" s="388"/>
      <c r="FX244" s="388"/>
      <c r="FY244" s="388"/>
      <c r="FZ244" s="394"/>
      <c r="GA244" s="393"/>
      <c r="GB244" s="388"/>
      <c r="GC244" s="388"/>
      <c r="GD244" s="388"/>
      <c r="GE244" s="394"/>
      <c r="GF244" s="393"/>
      <c r="GG244" s="388"/>
      <c r="GH244" s="388"/>
      <c r="GI244" s="388"/>
      <c r="GJ244" s="395"/>
    </row>
    <row r="245" spans="1:192" ht="12.75" customHeight="1">
      <c r="BY245" s="142"/>
      <c r="CD245" s="142"/>
      <c r="CI245" s="142"/>
      <c r="CN245" s="142"/>
      <c r="CS245" s="142"/>
      <c r="CX245" s="142"/>
      <c r="DC245" s="142"/>
      <c r="DH245" s="142"/>
      <c r="DM245" s="142"/>
      <c r="DR245" s="142"/>
      <c r="DW245" s="142"/>
      <c r="EB245" s="142"/>
      <c r="EG245" s="142"/>
      <c r="ER245" s="474"/>
      <c r="ES245" s="475"/>
      <c r="ET245" s="475"/>
      <c r="EU245" s="475"/>
    </row>
    <row r="250" spans="1:192" ht="12.75" customHeight="1">
      <c r="EW250" s="288"/>
    </row>
  </sheetData>
  <conditionalFormatting sqref="A176:FY176 GA176:GD176 GF176:GI176 GK176:XFD176">
    <cfRule type="cellIs" dxfId="1" priority="2" operator="lessThan">
      <formula>0</formula>
    </cfRule>
  </conditionalFormatting>
  <conditionalFormatting sqref="A151:GI151 GK151:XFD151">
    <cfRule type="cellIs" dxfId="0" priority="1" operator="lessThan">
      <formula>0</formula>
    </cfRule>
  </conditionalFormatting>
  <pageMargins left="0.7" right="0.7" top="0.75" bottom="0.75" header="0.3" footer="0.3"/>
  <pageSetup orientation="portrait" r:id="rId1"/>
  <customProperties>
    <customPr name="Qube.Worksheet.Visibility" r:id="rId2"/>
  </customPropertie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AC3E7E-9432-42F4-A654-74C3B1D9838B}">
  <sheetPr>
    <tabColor rgb="FF002060"/>
  </sheetPr>
  <dimension ref="A1:FT331"/>
  <sheetViews>
    <sheetView workbookViewId="0"/>
  </sheetViews>
  <sheetFormatPr defaultRowHeight="13.2"/>
  <cols>
    <col min="6" max="6" width="11" bestFit="1" customWidth="1"/>
    <col min="7" max="10" width="11" customWidth="1"/>
    <col min="11" max="11" width="11" bestFit="1" customWidth="1"/>
    <col min="12" max="15" width="11" customWidth="1"/>
    <col min="16" max="16" width="11" bestFit="1" customWidth="1"/>
    <col min="17" max="20" width="11" customWidth="1"/>
    <col min="21" max="21" width="11" bestFit="1" customWidth="1"/>
    <col min="22" max="25" width="11" customWidth="1"/>
    <col min="26" max="26" width="11" bestFit="1" customWidth="1"/>
    <col min="27" max="30" width="11" customWidth="1"/>
    <col min="31" max="31" width="11" bestFit="1" customWidth="1"/>
    <col min="32" max="35" width="11" customWidth="1"/>
    <col min="36" max="36" width="11" bestFit="1" customWidth="1"/>
    <col min="37" max="40" width="11" customWidth="1"/>
    <col min="41" max="41" width="11" bestFit="1" customWidth="1"/>
    <col min="42" max="44" width="11.44140625" bestFit="1" customWidth="1"/>
    <col min="45" max="46" width="11" bestFit="1" customWidth="1"/>
    <col min="47" max="49" width="11.44140625" bestFit="1" customWidth="1"/>
    <col min="50" max="51" width="11" bestFit="1" customWidth="1"/>
    <col min="52" max="54" width="11.44140625" bestFit="1" customWidth="1"/>
    <col min="55" max="56" width="11" bestFit="1" customWidth="1"/>
    <col min="57" max="59" width="11.44140625" bestFit="1" customWidth="1"/>
    <col min="60" max="61" width="11" bestFit="1" customWidth="1"/>
    <col min="62" max="64" width="11.44140625" bestFit="1" customWidth="1"/>
    <col min="65" max="66" width="11" bestFit="1" customWidth="1"/>
    <col min="67" max="69" width="11.44140625" bestFit="1" customWidth="1"/>
    <col min="70" max="71" width="11" bestFit="1" customWidth="1"/>
    <col min="72" max="74" width="11.44140625" bestFit="1" customWidth="1"/>
    <col min="75" max="76" width="11" bestFit="1" customWidth="1"/>
    <col min="77" max="79" width="11.44140625" bestFit="1" customWidth="1"/>
    <col min="80" max="81" width="11" bestFit="1" customWidth="1"/>
    <col min="82" max="84" width="11.44140625" bestFit="1" customWidth="1"/>
    <col min="85" max="86" width="11" bestFit="1" customWidth="1"/>
    <col min="87" max="89" width="11.44140625" bestFit="1" customWidth="1"/>
    <col min="90" max="91" width="11" bestFit="1" customWidth="1"/>
    <col min="92" max="94" width="11.44140625" bestFit="1" customWidth="1"/>
    <col min="95" max="96" width="11" bestFit="1" customWidth="1"/>
    <col min="97" max="99" width="11.44140625" bestFit="1" customWidth="1"/>
    <col min="100" max="101" width="11" bestFit="1" customWidth="1"/>
    <col min="102" max="104" width="11.44140625" bestFit="1" customWidth="1"/>
    <col min="105" max="106" width="11" bestFit="1" customWidth="1"/>
    <col min="107" max="109" width="11.44140625" bestFit="1" customWidth="1"/>
    <col min="110" max="111" width="11" bestFit="1" customWidth="1"/>
    <col min="112" max="114" width="11.44140625" bestFit="1" customWidth="1"/>
    <col min="115" max="116" width="11" bestFit="1" customWidth="1"/>
    <col min="117" max="119" width="11.44140625" bestFit="1" customWidth="1"/>
    <col min="120" max="121" width="11" bestFit="1" customWidth="1"/>
    <col min="122" max="124" width="11.44140625" bestFit="1" customWidth="1"/>
    <col min="125" max="126" width="11" bestFit="1" customWidth="1"/>
    <col min="127" max="129" width="11.44140625" bestFit="1" customWidth="1"/>
    <col min="130" max="131" width="11" bestFit="1" customWidth="1"/>
    <col min="132" max="134" width="11.44140625" bestFit="1" customWidth="1"/>
    <col min="135" max="136" width="11" bestFit="1" customWidth="1"/>
    <col min="137" max="139" width="11.44140625" bestFit="1" customWidth="1"/>
    <col min="140" max="141" width="11" bestFit="1" customWidth="1"/>
    <col min="142" max="144" width="11.44140625" bestFit="1" customWidth="1"/>
    <col min="145" max="146" width="11" bestFit="1" customWidth="1"/>
    <col min="147" max="149" width="11.44140625" bestFit="1" customWidth="1"/>
    <col min="150" max="151" width="11" bestFit="1" customWidth="1"/>
    <col min="152" max="154" width="11.44140625" bestFit="1" customWidth="1"/>
    <col min="155" max="156" width="11" bestFit="1" customWidth="1"/>
    <col min="157" max="159" width="11.44140625" bestFit="1" customWidth="1"/>
    <col min="160" max="161" width="11" bestFit="1" customWidth="1"/>
    <col min="162" max="176" width="11" customWidth="1"/>
  </cols>
  <sheetData>
    <row r="1" spans="1:176">
      <c r="A1" t="s">
        <v>492</v>
      </c>
      <c r="C1">
        <v>2708875085</v>
      </c>
      <c r="F1">
        <v>1995</v>
      </c>
      <c r="G1" t="s">
        <v>1820</v>
      </c>
      <c r="H1" t="s">
        <v>1821</v>
      </c>
      <c r="I1" t="s">
        <v>1822</v>
      </c>
      <c r="J1" t="s">
        <v>1823</v>
      </c>
      <c r="K1">
        <v>1996</v>
      </c>
      <c r="L1" t="s">
        <v>1816</v>
      </c>
      <c r="M1" t="s">
        <v>1817</v>
      </c>
      <c r="N1" t="s">
        <v>1818</v>
      </c>
      <c r="O1" t="s">
        <v>1819</v>
      </c>
      <c r="P1">
        <v>1997</v>
      </c>
      <c r="Q1" t="s">
        <v>1812</v>
      </c>
      <c r="R1" t="s">
        <v>1813</v>
      </c>
      <c r="S1" t="s">
        <v>1814</v>
      </c>
      <c r="T1" t="s">
        <v>1815</v>
      </c>
      <c r="U1">
        <v>1998</v>
      </c>
      <c r="V1" t="s">
        <v>1808</v>
      </c>
      <c r="W1" t="s">
        <v>1809</v>
      </c>
      <c r="X1" t="s">
        <v>1810</v>
      </c>
      <c r="Y1" t="s">
        <v>1811</v>
      </c>
      <c r="Z1">
        <v>1999</v>
      </c>
      <c r="AA1" t="s">
        <v>1804</v>
      </c>
      <c r="AB1" t="s">
        <v>1805</v>
      </c>
      <c r="AC1" t="s">
        <v>1806</v>
      </c>
      <c r="AD1" t="s">
        <v>1807</v>
      </c>
      <c r="AE1">
        <v>2000</v>
      </c>
      <c r="AF1" t="s">
        <v>1800</v>
      </c>
      <c r="AG1" t="s">
        <v>1801</v>
      </c>
      <c r="AH1" t="s">
        <v>1802</v>
      </c>
      <c r="AI1" t="s">
        <v>1803</v>
      </c>
      <c r="AJ1">
        <v>2001</v>
      </c>
      <c r="AK1" t="s">
        <v>1796</v>
      </c>
      <c r="AL1" t="s">
        <v>1797</v>
      </c>
      <c r="AM1" t="s">
        <v>1798</v>
      </c>
      <c r="AN1" t="s">
        <v>1799</v>
      </c>
      <c r="AO1">
        <v>2002</v>
      </c>
      <c r="AP1" t="s">
        <v>493</v>
      </c>
      <c r="AQ1" t="s">
        <v>494</v>
      </c>
      <c r="AR1" t="s">
        <v>495</v>
      </c>
      <c r="AS1" t="s">
        <v>496</v>
      </c>
      <c r="AT1">
        <v>2003</v>
      </c>
      <c r="AU1" t="s">
        <v>497</v>
      </c>
      <c r="AV1" t="s">
        <v>498</v>
      </c>
      <c r="AW1" t="s">
        <v>499</v>
      </c>
      <c r="AX1" t="s">
        <v>500</v>
      </c>
      <c r="AY1">
        <v>2004</v>
      </c>
      <c r="AZ1" t="s">
        <v>501</v>
      </c>
      <c r="BA1" t="s">
        <v>502</v>
      </c>
      <c r="BB1" t="s">
        <v>503</v>
      </c>
      <c r="BC1" t="s">
        <v>504</v>
      </c>
      <c r="BD1">
        <v>2005</v>
      </c>
      <c r="BE1" t="s">
        <v>505</v>
      </c>
      <c r="BF1" t="s">
        <v>506</v>
      </c>
      <c r="BG1" t="s">
        <v>507</v>
      </c>
      <c r="BH1" t="s">
        <v>508</v>
      </c>
      <c r="BI1">
        <v>2006</v>
      </c>
      <c r="BJ1" t="s">
        <v>509</v>
      </c>
      <c r="BK1" t="s">
        <v>510</v>
      </c>
      <c r="BL1" t="s">
        <v>511</v>
      </c>
      <c r="BM1" t="s">
        <v>512</v>
      </c>
      <c r="BN1">
        <v>2007</v>
      </c>
      <c r="BO1" t="s">
        <v>513</v>
      </c>
      <c r="BP1" t="s">
        <v>514</v>
      </c>
      <c r="BQ1" t="s">
        <v>515</v>
      </c>
      <c r="BR1" t="s">
        <v>516</v>
      </c>
      <c r="BS1">
        <v>2008</v>
      </c>
      <c r="BT1" t="s">
        <v>517</v>
      </c>
      <c r="BU1" t="s">
        <v>518</v>
      </c>
      <c r="BV1" t="s">
        <v>519</v>
      </c>
      <c r="BW1" t="s">
        <v>520</v>
      </c>
      <c r="BX1">
        <v>2009</v>
      </c>
      <c r="BY1" t="s">
        <v>521</v>
      </c>
      <c r="BZ1" t="s">
        <v>522</v>
      </c>
      <c r="CA1" t="s">
        <v>523</v>
      </c>
      <c r="CB1" t="s">
        <v>524</v>
      </c>
      <c r="CC1">
        <v>2010</v>
      </c>
      <c r="CD1" t="s">
        <v>525</v>
      </c>
      <c r="CE1" t="s">
        <v>526</v>
      </c>
      <c r="CF1" t="s">
        <v>527</v>
      </c>
      <c r="CG1" t="s">
        <v>528</v>
      </c>
      <c r="CH1">
        <v>2011</v>
      </c>
      <c r="CI1" t="s">
        <v>529</v>
      </c>
      <c r="CJ1" t="s">
        <v>530</v>
      </c>
      <c r="CK1" t="s">
        <v>531</v>
      </c>
      <c r="CL1" t="s">
        <v>532</v>
      </c>
      <c r="CM1">
        <v>2012</v>
      </c>
      <c r="CN1" t="s">
        <v>533</v>
      </c>
      <c r="CO1" t="s">
        <v>534</v>
      </c>
      <c r="CP1" t="s">
        <v>535</v>
      </c>
      <c r="CQ1" t="s">
        <v>536</v>
      </c>
      <c r="CR1">
        <v>2013</v>
      </c>
      <c r="CS1" t="s">
        <v>537</v>
      </c>
      <c r="CT1" t="s">
        <v>538</v>
      </c>
      <c r="CU1" t="s">
        <v>539</v>
      </c>
      <c r="CV1" t="s">
        <v>540</v>
      </c>
      <c r="CW1">
        <v>2014</v>
      </c>
      <c r="CX1" t="s">
        <v>541</v>
      </c>
      <c r="CY1" t="s">
        <v>542</v>
      </c>
      <c r="CZ1" t="s">
        <v>543</v>
      </c>
      <c r="DA1" t="s">
        <v>544</v>
      </c>
      <c r="DB1">
        <v>2015</v>
      </c>
      <c r="DC1" t="s">
        <v>545</v>
      </c>
      <c r="DD1" t="s">
        <v>546</v>
      </c>
      <c r="DE1" t="s">
        <v>547</v>
      </c>
      <c r="DF1" t="s">
        <v>548</v>
      </c>
      <c r="DG1">
        <v>2016</v>
      </c>
      <c r="DH1" t="s">
        <v>549</v>
      </c>
      <c r="DI1" t="s">
        <v>550</v>
      </c>
      <c r="DJ1" t="s">
        <v>551</v>
      </c>
      <c r="DK1" t="s">
        <v>552</v>
      </c>
      <c r="DL1">
        <v>2017</v>
      </c>
      <c r="DM1" t="s">
        <v>553</v>
      </c>
      <c r="DN1" t="s">
        <v>554</v>
      </c>
      <c r="DO1" t="s">
        <v>555</v>
      </c>
      <c r="DP1" t="s">
        <v>556</v>
      </c>
      <c r="DQ1">
        <v>2018</v>
      </c>
      <c r="DR1" t="s">
        <v>557</v>
      </c>
      <c r="DS1" t="s">
        <v>558</v>
      </c>
      <c r="DT1" t="s">
        <v>559</v>
      </c>
      <c r="DU1" t="s">
        <v>560</v>
      </c>
      <c r="DV1">
        <v>2019</v>
      </c>
      <c r="DW1" t="s">
        <v>561</v>
      </c>
      <c r="DX1" t="s">
        <v>562</v>
      </c>
      <c r="DY1" t="s">
        <v>563</v>
      </c>
      <c r="DZ1" t="s">
        <v>564</v>
      </c>
      <c r="EA1">
        <v>2020</v>
      </c>
      <c r="EB1" t="s">
        <v>565</v>
      </c>
      <c r="EC1" t="s">
        <v>566</v>
      </c>
      <c r="ED1" t="s">
        <v>567</v>
      </c>
      <c r="EE1" t="s">
        <v>568</v>
      </c>
      <c r="EF1">
        <v>2021</v>
      </c>
      <c r="EG1" t="s">
        <v>569</v>
      </c>
      <c r="EH1" t="s">
        <v>570</v>
      </c>
      <c r="EI1" t="s">
        <v>571</v>
      </c>
      <c r="EJ1" t="s">
        <v>572</v>
      </c>
      <c r="EK1">
        <v>2022</v>
      </c>
      <c r="EL1" t="s">
        <v>573</v>
      </c>
      <c r="EM1" t="s">
        <v>574</v>
      </c>
      <c r="EN1" t="s">
        <v>575</v>
      </c>
      <c r="EO1" t="s">
        <v>576</v>
      </c>
      <c r="EP1">
        <v>2023</v>
      </c>
      <c r="EQ1" t="s">
        <v>577</v>
      </c>
      <c r="ER1" t="s">
        <v>578</v>
      </c>
      <c r="ES1" t="s">
        <v>579</v>
      </c>
      <c r="ET1" t="s">
        <v>580</v>
      </c>
      <c r="EU1">
        <v>2024</v>
      </c>
      <c r="EV1" t="s">
        <v>581</v>
      </c>
      <c r="EW1" t="s">
        <v>582</v>
      </c>
      <c r="EX1" t="s">
        <v>583</v>
      </c>
      <c r="EY1" t="s">
        <v>584</v>
      </c>
      <c r="EZ1">
        <v>2025</v>
      </c>
      <c r="FA1" t="s">
        <v>585</v>
      </c>
      <c r="FB1" t="s">
        <v>586</v>
      </c>
      <c r="FC1" t="s">
        <v>587</v>
      </c>
      <c r="FD1" t="s">
        <v>588</v>
      </c>
      <c r="FE1">
        <v>2026</v>
      </c>
      <c r="FF1" t="s">
        <v>1921</v>
      </c>
      <c r="FG1" t="s">
        <v>1922</v>
      </c>
      <c r="FH1" t="s">
        <v>1923</v>
      </c>
      <c r="FI1" t="s">
        <v>1924</v>
      </c>
      <c r="FJ1">
        <v>2027</v>
      </c>
      <c r="FK1" t="s">
        <v>1925</v>
      </c>
      <c r="FL1" t="s">
        <v>1926</v>
      </c>
      <c r="FM1" t="s">
        <v>1927</v>
      </c>
      <c r="FN1" t="s">
        <v>1928</v>
      </c>
      <c r="FO1">
        <v>2028</v>
      </c>
      <c r="FP1" t="s">
        <v>2077</v>
      </c>
      <c r="FQ1" t="s">
        <v>2078</v>
      </c>
      <c r="FR1" t="s">
        <v>2079</v>
      </c>
      <c r="FS1" t="s">
        <v>2080</v>
      </c>
      <c r="FT1">
        <v>2029</v>
      </c>
    </row>
    <row r="2" spans="1:176">
      <c r="F2" t="s">
        <v>317</v>
      </c>
      <c r="G2" t="s">
        <v>317</v>
      </c>
      <c r="H2" t="s">
        <v>317</v>
      </c>
      <c r="I2" t="s">
        <v>317</v>
      </c>
      <c r="J2" t="s">
        <v>317</v>
      </c>
      <c r="K2" t="s">
        <v>317</v>
      </c>
      <c r="L2" t="s">
        <v>317</v>
      </c>
      <c r="M2" t="s">
        <v>317</v>
      </c>
      <c r="N2" t="s">
        <v>317</v>
      </c>
      <c r="O2" t="s">
        <v>317</v>
      </c>
      <c r="P2" t="s">
        <v>317</v>
      </c>
      <c r="Q2" t="s">
        <v>317</v>
      </c>
      <c r="R2" t="s">
        <v>317</v>
      </c>
      <c r="S2" t="s">
        <v>317</v>
      </c>
      <c r="T2" t="s">
        <v>317</v>
      </c>
      <c r="U2" t="s">
        <v>317</v>
      </c>
      <c r="V2" t="s">
        <v>317</v>
      </c>
      <c r="W2" t="s">
        <v>317</v>
      </c>
      <c r="X2" t="s">
        <v>317</v>
      </c>
      <c r="Y2" t="s">
        <v>317</v>
      </c>
      <c r="Z2" t="s">
        <v>317</v>
      </c>
      <c r="AA2" t="s">
        <v>317</v>
      </c>
      <c r="AB2" t="s">
        <v>317</v>
      </c>
      <c r="AC2" t="s">
        <v>317</v>
      </c>
      <c r="AD2" t="s">
        <v>317</v>
      </c>
      <c r="AE2" t="s">
        <v>317</v>
      </c>
      <c r="AF2" t="s">
        <v>317</v>
      </c>
      <c r="AG2" t="s">
        <v>317</v>
      </c>
      <c r="AH2" t="s">
        <v>317</v>
      </c>
      <c r="AI2" t="s">
        <v>317</v>
      </c>
      <c r="AJ2" t="s">
        <v>317</v>
      </c>
      <c r="AK2" t="s">
        <v>317</v>
      </c>
      <c r="AL2" t="s">
        <v>317</v>
      </c>
      <c r="AM2" t="s">
        <v>317</v>
      </c>
      <c r="AN2" t="s">
        <v>317</v>
      </c>
      <c r="AO2" t="s">
        <v>317</v>
      </c>
      <c r="AP2" t="s">
        <v>317</v>
      </c>
      <c r="AQ2" t="s">
        <v>317</v>
      </c>
      <c r="AR2" t="s">
        <v>317</v>
      </c>
      <c r="AS2" t="s">
        <v>317</v>
      </c>
      <c r="AT2" t="s">
        <v>317</v>
      </c>
      <c r="AU2" t="s">
        <v>317</v>
      </c>
      <c r="AV2" t="s">
        <v>317</v>
      </c>
      <c r="AW2" t="s">
        <v>317</v>
      </c>
      <c r="AX2" t="s">
        <v>317</v>
      </c>
      <c r="AY2" t="s">
        <v>317</v>
      </c>
      <c r="AZ2" t="s">
        <v>317</v>
      </c>
      <c r="BA2" t="s">
        <v>317</v>
      </c>
      <c r="BB2" t="s">
        <v>317</v>
      </c>
      <c r="BC2" t="s">
        <v>317</v>
      </c>
      <c r="BD2" t="s">
        <v>317</v>
      </c>
      <c r="BE2" t="s">
        <v>317</v>
      </c>
      <c r="BF2" t="s">
        <v>317</v>
      </c>
      <c r="BG2" t="s">
        <v>317</v>
      </c>
      <c r="BH2" t="s">
        <v>317</v>
      </c>
      <c r="BI2" t="s">
        <v>317</v>
      </c>
      <c r="BJ2" t="s">
        <v>317</v>
      </c>
      <c r="BK2" t="s">
        <v>317</v>
      </c>
      <c r="BL2" t="s">
        <v>317</v>
      </c>
      <c r="BM2" t="s">
        <v>317</v>
      </c>
      <c r="BN2" t="s">
        <v>317</v>
      </c>
      <c r="BO2" t="s">
        <v>317</v>
      </c>
      <c r="BP2" t="s">
        <v>317</v>
      </c>
      <c r="BQ2" t="s">
        <v>317</v>
      </c>
      <c r="BR2" t="s">
        <v>317</v>
      </c>
      <c r="BS2" t="s">
        <v>317</v>
      </c>
      <c r="BT2" t="s">
        <v>317</v>
      </c>
      <c r="BU2" t="s">
        <v>317</v>
      </c>
      <c r="BV2" t="s">
        <v>317</v>
      </c>
      <c r="BW2" t="s">
        <v>317</v>
      </c>
      <c r="BX2" t="s">
        <v>317</v>
      </c>
      <c r="BY2" t="s">
        <v>317</v>
      </c>
      <c r="BZ2" t="s">
        <v>317</v>
      </c>
      <c r="CA2" t="s">
        <v>317</v>
      </c>
      <c r="CB2" t="s">
        <v>317</v>
      </c>
      <c r="CC2" t="s">
        <v>317</v>
      </c>
      <c r="CD2" t="s">
        <v>317</v>
      </c>
      <c r="CE2" t="s">
        <v>317</v>
      </c>
      <c r="CF2" t="s">
        <v>317</v>
      </c>
      <c r="CG2" t="s">
        <v>317</v>
      </c>
      <c r="CH2" t="s">
        <v>317</v>
      </c>
      <c r="CI2" t="s">
        <v>317</v>
      </c>
      <c r="CJ2" t="s">
        <v>317</v>
      </c>
      <c r="CK2" t="s">
        <v>317</v>
      </c>
      <c r="CL2" t="s">
        <v>317</v>
      </c>
      <c r="CM2" t="s">
        <v>317</v>
      </c>
      <c r="CN2" t="s">
        <v>317</v>
      </c>
      <c r="CO2" t="s">
        <v>317</v>
      </c>
      <c r="CP2" t="s">
        <v>317</v>
      </c>
      <c r="CQ2" t="s">
        <v>317</v>
      </c>
      <c r="CR2" t="s">
        <v>317</v>
      </c>
      <c r="CS2" t="s">
        <v>317</v>
      </c>
      <c r="CT2" t="s">
        <v>317</v>
      </c>
      <c r="CU2" t="s">
        <v>317</v>
      </c>
      <c r="CV2" t="s">
        <v>317</v>
      </c>
      <c r="CW2" t="s">
        <v>317</v>
      </c>
      <c r="CX2" t="s">
        <v>317</v>
      </c>
      <c r="CY2" t="s">
        <v>317</v>
      </c>
      <c r="CZ2" t="s">
        <v>317</v>
      </c>
      <c r="DA2" t="s">
        <v>317</v>
      </c>
      <c r="DB2" t="s">
        <v>317</v>
      </c>
      <c r="DC2" t="s">
        <v>317</v>
      </c>
      <c r="DD2" t="s">
        <v>317</v>
      </c>
      <c r="DE2" t="s">
        <v>317</v>
      </c>
      <c r="DF2" t="s">
        <v>317</v>
      </c>
      <c r="DG2" t="s">
        <v>317</v>
      </c>
      <c r="DH2" t="s">
        <v>317</v>
      </c>
      <c r="DI2" t="s">
        <v>317</v>
      </c>
      <c r="DJ2" t="s">
        <v>317</v>
      </c>
      <c r="DK2" t="s">
        <v>317</v>
      </c>
      <c r="DL2" t="s">
        <v>317</v>
      </c>
      <c r="DM2" t="s">
        <v>317</v>
      </c>
      <c r="DN2" t="s">
        <v>317</v>
      </c>
      <c r="DO2" t="s">
        <v>317</v>
      </c>
      <c r="DP2" t="s">
        <v>317</v>
      </c>
      <c r="DQ2" t="s">
        <v>317</v>
      </c>
      <c r="DR2" t="s">
        <v>317</v>
      </c>
      <c r="DS2" t="s">
        <v>317</v>
      </c>
      <c r="DT2" t="s">
        <v>317</v>
      </c>
      <c r="DU2" t="s">
        <v>317</v>
      </c>
      <c r="DV2" t="s">
        <v>317</v>
      </c>
      <c r="DW2" t="s">
        <v>317</v>
      </c>
      <c r="DX2" t="s">
        <v>317</v>
      </c>
      <c r="DY2" t="s">
        <v>317</v>
      </c>
      <c r="DZ2" t="s">
        <v>317</v>
      </c>
      <c r="EA2" t="s">
        <v>317</v>
      </c>
      <c r="EB2" t="s">
        <v>317</v>
      </c>
      <c r="EC2" t="s">
        <v>317</v>
      </c>
      <c r="ED2" t="s">
        <v>317</v>
      </c>
      <c r="EE2" t="s">
        <v>317</v>
      </c>
      <c r="EF2" t="s">
        <v>317</v>
      </c>
      <c r="EG2" t="s">
        <v>317</v>
      </c>
      <c r="EH2" t="s">
        <v>317</v>
      </c>
      <c r="EI2" t="s">
        <v>317</v>
      </c>
      <c r="EJ2" t="s">
        <v>317</v>
      </c>
      <c r="EK2" t="s">
        <v>317</v>
      </c>
      <c r="EL2" t="s">
        <v>317</v>
      </c>
      <c r="EM2" t="s">
        <v>317</v>
      </c>
      <c r="EN2" t="s">
        <v>317</v>
      </c>
      <c r="EO2" t="s">
        <v>317</v>
      </c>
      <c r="EP2" t="s">
        <v>317</v>
      </c>
      <c r="EQ2" t="s">
        <v>317</v>
      </c>
      <c r="ER2" t="s">
        <v>317</v>
      </c>
      <c r="ES2" t="s">
        <v>317</v>
      </c>
      <c r="ET2" t="s">
        <v>317</v>
      </c>
      <c r="EU2" t="s">
        <v>317</v>
      </c>
      <c r="EV2" t="s">
        <v>317</v>
      </c>
      <c r="EW2" t="s">
        <v>317</v>
      </c>
      <c r="EX2" t="s">
        <v>317</v>
      </c>
      <c r="EY2" t="s">
        <v>1194</v>
      </c>
      <c r="EZ2" t="s">
        <v>1194</v>
      </c>
      <c r="FA2" t="s">
        <v>1194</v>
      </c>
      <c r="FB2" t="s">
        <v>1194</v>
      </c>
      <c r="FC2" t="s">
        <v>1194</v>
      </c>
      <c r="FD2" t="s">
        <v>1194</v>
      </c>
      <c r="FE2" t="s">
        <v>1194</v>
      </c>
      <c r="FF2" t="s">
        <v>1194</v>
      </c>
      <c r="FG2" t="s">
        <v>1194</v>
      </c>
      <c r="FH2" t="s">
        <v>1194</v>
      </c>
      <c r="FI2" t="s">
        <v>1194</v>
      </c>
      <c r="FJ2" t="s">
        <v>1194</v>
      </c>
      <c r="FK2" t="s">
        <v>1194</v>
      </c>
      <c r="FL2" t="s">
        <v>1194</v>
      </c>
      <c r="FM2" t="s">
        <v>1194</v>
      </c>
      <c r="FN2" t="s">
        <v>1194</v>
      </c>
      <c r="FO2" t="s">
        <v>1194</v>
      </c>
      <c r="FP2" t="s">
        <v>1194</v>
      </c>
      <c r="FQ2" t="s">
        <v>1194</v>
      </c>
      <c r="FR2" t="s">
        <v>1194</v>
      </c>
      <c r="FS2" t="s">
        <v>1194</v>
      </c>
      <c r="FT2" t="s">
        <v>1194</v>
      </c>
    </row>
    <row r="3" spans="1:176" s="1169" customFormat="1">
      <c r="F3" s="1169">
        <v>34880</v>
      </c>
      <c r="G3" s="1169">
        <v>34972</v>
      </c>
      <c r="H3" s="1169">
        <v>35064</v>
      </c>
      <c r="I3" s="1169">
        <v>35155</v>
      </c>
      <c r="J3" s="1169">
        <v>35246</v>
      </c>
      <c r="K3" s="1169">
        <v>35246</v>
      </c>
      <c r="L3" s="1169">
        <v>35338</v>
      </c>
      <c r="M3" s="1169">
        <v>35430</v>
      </c>
      <c r="N3" s="1169">
        <v>35520</v>
      </c>
      <c r="O3" s="1169">
        <v>35611</v>
      </c>
      <c r="P3" s="1169">
        <v>35611</v>
      </c>
      <c r="Q3" s="1169">
        <v>35703</v>
      </c>
      <c r="R3" s="1169">
        <v>35795</v>
      </c>
      <c r="S3" s="1169">
        <v>35885</v>
      </c>
      <c r="T3" s="1169">
        <v>35976</v>
      </c>
      <c r="U3" s="1169">
        <v>35976</v>
      </c>
      <c r="V3" s="1169">
        <v>36068</v>
      </c>
      <c r="W3" s="1169">
        <v>36160</v>
      </c>
      <c r="X3" s="1169">
        <v>36250</v>
      </c>
      <c r="Y3" s="1169">
        <v>36341</v>
      </c>
      <c r="Z3" s="1169">
        <v>36341</v>
      </c>
      <c r="AA3" s="1169">
        <v>36433</v>
      </c>
      <c r="AB3" s="1169">
        <v>36525</v>
      </c>
      <c r="AC3" s="1169">
        <v>36616</v>
      </c>
      <c r="AD3" s="1169">
        <v>36707</v>
      </c>
      <c r="AE3" s="1169">
        <v>36707</v>
      </c>
      <c r="AF3" s="1169">
        <v>36799</v>
      </c>
      <c r="AG3" s="1169">
        <v>36891</v>
      </c>
      <c r="AH3" s="1169">
        <v>36981</v>
      </c>
      <c r="AI3" s="1169">
        <v>37072</v>
      </c>
      <c r="AJ3" s="1169">
        <v>37072</v>
      </c>
      <c r="AK3" s="1169">
        <v>37164</v>
      </c>
      <c r="AL3" s="1169">
        <v>37256</v>
      </c>
      <c r="AM3" s="1169">
        <v>37346</v>
      </c>
      <c r="AN3" s="1169">
        <v>37437</v>
      </c>
      <c r="AO3" s="1169">
        <v>37437</v>
      </c>
      <c r="AP3" s="1169">
        <v>37529</v>
      </c>
      <c r="AQ3" s="1169">
        <v>37621</v>
      </c>
      <c r="AR3" s="1169">
        <v>37711</v>
      </c>
      <c r="AS3" s="1169">
        <v>37802</v>
      </c>
      <c r="AT3" s="1169">
        <v>37802</v>
      </c>
      <c r="AU3" s="1169">
        <v>37894</v>
      </c>
      <c r="AV3" s="1169">
        <v>37986</v>
      </c>
      <c r="AW3" s="1169">
        <v>38077</v>
      </c>
      <c r="AX3" s="1169">
        <v>38168</v>
      </c>
      <c r="AY3" s="1169">
        <v>38168</v>
      </c>
      <c r="AZ3" s="1169">
        <v>38260</v>
      </c>
      <c r="BA3" s="1169">
        <v>38352</v>
      </c>
      <c r="BB3" s="1169">
        <v>38442</v>
      </c>
      <c r="BC3" s="1169">
        <v>38533</v>
      </c>
      <c r="BD3" s="1169">
        <v>38533</v>
      </c>
      <c r="BE3" s="1169">
        <v>38625</v>
      </c>
      <c r="BF3" s="1169">
        <v>38717</v>
      </c>
      <c r="BG3" s="1169">
        <v>38807</v>
      </c>
      <c r="BH3" s="1169">
        <v>38898</v>
      </c>
      <c r="BI3" s="1169">
        <v>38898</v>
      </c>
      <c r="BJ3" s="1169">
        <v>38990</v>
      </c>
      <c r="BK3" s="1169">
        <v>39082</v>
      </c>
      <c r="BL3" s="1169">
        <v>39172</v>
      </c>
      <c r="BM3" s="1169">
        <v>39263</v>
      </c>
      <c r="BN3" s="1169">
        <v>39263</v>
      </c>
      <c r="BO3" s="1169">
        <v>39355</v>
      </c>
      <c r="BP3" s="1169">
        <v>39447</v>
      </c>
      <c r="BQ3" s="1169">
        <v>39538</v>
      </c>
      <c r="BR3" s="1169">
        <v>39629</v>
      </c>
      <c r="BS3" s="1169">
        <v>39629</v>
      </c>
      <c r="BT3" s="1169">
        <v>39721</v>
      </c>
      <c r="BU3" s="1169">
        <v>39813</v>
      </c>
      <c r="BV3" s="1169">
        <v>39903</v>
      </c>
      <c r="BW3" s="1169">
        <v>39994</v>
      </c>
      <c r="BX3" s="1169">
        <v>39994</v>
      </c>
      <c r="BY3" s="1169">
        <v>40086</v>
      </c>
      <c r="BZ3" s="1169">
        <v>40178</v>
      </c>
      <c r="CA3" s="1169">
        <v>40268</v>
      </c>
      <c r="CB3" s="1169">
        <v>40359</v>
      </c>
      <c r="CC3" s="1169">
        <v>40359</v>
      </c>
      <c r="CD3" s="1169">
        <v>40451</v>
      </c>
      <c r="CE3" s="1169">
        <v>40543</v>
      </c>
      <c r="CF3" s="1169">
        <v>40633</v>
      </c>
      <c r="CG3" s="1169">
        <v>40724</v>
      </c>
      <c r="CH3" s="1169">
        <v>40724</v>
      </c>
      <c r="CI3" s="1169">
        <v>40816</v>
      </c>
      <c r="CJ3" s="1169">
        <v>40908</v>
      </c>
      <c r="CK3" s="1169">
        <v>40999</v>
      </c>
      <c r="CL3" s="1169">
        <v>41090</v>
      </c>
      <c r="CM3" s="1169">
        <v>41090</v>
      </c>
      <c r="CN3" s="1169">
        <v>41182</v>
      </c>
      <c r="CO3" s="1169">
        <v>41274</v>
      </c>
      <c r="CP3" s="1169">
        <v>41364</v>
      </c>
      <c r="CQ3" s="1169">
        <v>41455</v>
      </c>
      <c r="CR3" s="1169">
        <v>41455</v>
      </c>
      <c r="CS3" s="1169">
        <v>41547</v>
      </c>
      <c r="CT3" s="1169">
        <v>41639</v>
      </c>
      <c r="CU3" s="1169">
        <v>41729</v>
      </c>
      <c r="CV3" s="1169">
        <v>41820</v>
      </c>
      <c r="CW3" s="1169">
        <v>41820</v>
      </c>
      <c r="CX3" s="1169">
        <v>41912</v>
      </c>
      <c r="CY3" s="1169">
        <v>42004</v>
      </c>
      <c r="CZ3" s="1169">
        <v>42094</v>
      </c>
      <c r="DA3" s="1169">
        <v>42185</v>
      </c>
      <c r="DB3" s="1169">
        <v>42185</v>
      </c>
      <c r="DC3" s="1169">
        <v>42277</v>
      </c>
      <c r="DD3" s="1169">
        <v>42369</v>
      </c>
      <c r="DE3" s="1169">
        <v>42460</v>
      </c>
      <c r="DF3" s="1169">
        <v>42551</v>
      </c>
      <c r="DG3" s="1169">
        <v>42551</v>
      </c>
      <c r="DH3" s="1169">
        <v>42643</v>
      </c>
      <c r="DI3" s="1169">
        <v>42735</v>
      </c>
      <c r="DJ3" s="1169">
        <v>42825</v>
      </c>
      <c r="DK3" s="1169">
        <v>42916</v>
      </c>
      <c r="DL3" s="1169">
        <v>42916</v>
      </c>
      <c r="DM3" s="1169">
        <v>43008</v>
      </c>
      <c r="DN3" s="1169">
        <v>43100</v>
      </c>
      <c r="DO3" s="1169">
        <v>43190</v>
      </c>
      <c r="DP3" s="1169">
        <v>43281</v>
      </c>
      <c r="DQ3" s="1169">
        <v>43281</v>
      </c>
      <c r="DR3" s="1169">
        <v>43373</v>
      </c>
      <c r="DS3" s="1169">
        <v>43465</v>
      </c>
      <c r="DT3" s="1169">
        <v>43555</v>
      </c>
      <c r="DU3" s="1169">
        <v>43646</v>
      </c>
      <c r="DV3" s="1169">
        <v>43646</v>
      </c>
      <c r="DW3" s="1169">
        <v>43738</v>
      </c>
      <c r="DX3" s="1169">
        <v>43830</v>
      </c>
      <c r="DY3" s="1169">
        <v>43921</v>
      </c>
      <c r="DZ3" s="1169">
        <v>44012</v>
      </c>
      <c r="EA3" s="1169">
        <v>44012</v>
      </c>
      <c r="EB3" s="1169">
        <v>44104</v>
      </c>
      <c r="EC3" s="1169">
        <v>44196</v>
      </c>
      <c r="ED3" s="1169">
        <v>44286</v>
      </c>
      <c r="EE3" s="1169">
        <v>44377</v>
      </c>
      <c r="EF3" s="1169">
        <v>44377</v>
      </c>
      <c r="EG3" s="1169">
        <v>44469</v>
      </c>
      <c r="EH3" s="1169">
        <v>44561</v>
      </c>
      <c r="EI3" s="1169">
        <v>44651</v>
      </c>
      <c r="EJ3" s="1169">
        <v>44742</v>
      </c>
      <c r="EK3" s="1169">
        <v>44742</v>
      </c>
      <c r="EL3" s="1169">
        <v>44834</v>
      </c>
      <c r="EM3" s="1169">
        <v>44926</v>
      </c>
      <c r="EN3" s="1169">
        <v>45016</v>
      </c>
      <c r="EO3" s="1169">
        <v>45107</v>
      </c>
      <c r="EP3" s="1169">
        <v>45107</v>
      </c>
      <c r="EQ3" s="1169">
        <v>45199</v>
      </c>
      <c r="ER3" s="1169">
        <v>45291</v>
      </c>
      <c r="ES3" s="1169">
        <v>45382</v>
      </c>
      <c r="ET3" s="1169">
        <v>45473</v>
      </c>
      <c r="EU3" s="1169">
        <v>45473</v>
      </c>
      <c r="EV3" s="1169">
        <v>45565</v>
      </c>
      <c r="EW3" s="1169">
        <v>45657</v>
      </c>
      <c r="EX3" s="1169">
        <v>45747</v>
      </c>
      <c r="EY3" s="1169">
        <v>45838</v>
      </c>
      <c r="EZ3" s="1169">
        <v>45838</v>
      </c>
      <c r="FA3" s="1169">
        <v>45930</v>
      </c>
      <c r="FB3" s="1169">
        <v>46022</v>
      </c>
      <c r="FC3" s="1169">
        <v>46112</v>
      </c>
      <c r="FD3" s="1169">
        <v>46203</v>
      </c>
      <c r="FE3" s="1169">
        <v>46203</v>
      </c>
      <c r="FF3" s="1169">
        <v>46295</v>
      </c>
      <c r="FG3" s="1169">
        <v>46387</v>
      </c>
      <c r="FH3" s="1169">
        <v>46477</v>
      </c>
      <c r="FI3" s="1169">
        <v>46568</v>
      </c>
      <c r="FJ3" s="1169">
        <v>46568</v>
      </c>
      <c r="FK3" s="1169">
        <v>46660</v>
      </c>
      <c r="FL3" s="1169">
        <v>46752</v>
      </c>
      <c r="FM3" s="1169">
        <v>46843</v>
      </c>
      <c r="FN3" s="1169">
        <v>46934</v>
      </c>
      <c r="FO3" s="1169">
        <v>46934</v>
      </c>
      <c r="FP3" s="1169">
        <v>47026</v>
      </c>
      <c r="FQ3" s="1169">
        <v>47118</v>
      </c>
      <c r="FR3" s="1169">
        <v>47208</v>
      </c>
      <c r="FS3" s="1169">
        <v>47299</v>
      </c>
      <c r="FT3" s="1169">
        <v>47299</v>
      </c>
    </row>
    <row r="4" spans="1:176">
      <c r="A4" t="s">
        <v>492</v>
      </c>
      <c r="B4" t="s">
        <v>2070</v>
      </c>
    </row>
    <row r="5" spans="1:176">
      <c r="A5" t="s">
        <v>589</v>
      </c>
    </row>
    <row r="6" spans="1:176">
      <c r="B6" t="s">
        <v>590</v>
      </c>
      <c r="C6" t="s">
        <v>590</v>
      </c>
      <c r="E6" t="s">
        <v>591</v>
      </c>
    </row>
    <row r="7" spans="1:176">
      <c r="B7" t="s">
        <v>592</v>
      </c>
      <c r="C7" t="s">
        <v>593</v>
      </c>
      <c r="E7" t="s">
        <v>379</v>
      </c>
    </row>
    <row r="8" spans="1:176">
      <c r="A8" t="s">
        <v>594</v>
      </c>
    </row>
    <row r="9" spans="1:176">
      <c r="B9" t="s">
        <v>595</v>
      </c>
      <c r="C9" t="s">
        <v>596</v>
      </c>
      <c r="E9">
        <v>3</v>
      </c>
    </row>
    <row r="10" spans="1:176">
      <c r="A10" t="s">
        <v>30</v>
      </c>
    </row>
    <row r="11" spans="1:176">
      <c r="B11" t="s">
        <v>597</v>
      </c>
      <c r="C11" t="s">
        <v>368</v>
      </c>
      <c r="D11" t="s">
        <v>379</v>
      </c>
      <c r="F11">
        <v>5937</v>
      </c>
      <c r="G11">
        <v>2016</v>
      </c>
      <c r="H11">
        <v>2195</v>
      </c>
      <c r="I11">
        <v>2205</v>
      </c>
      <c r="J11">
        <v>2255</v>
      </c>
      <c r="K11">
        <v>8671</v>
      </c>
      <c r="L11">
        <v>2295</v>
      </c>
      <c r="M11">
        <v>2680</v>
      </c>
      <c r="N11">
        <v>3208</v>
      </c>
      <c r="O11">
        <v>3175</v>
      </c>
      <c r="P11">
        <v>11358</v>
      </c>
      <c r="Q11">
        <v>3130</v>
      </c>
      <c r="R11">
        <v>3585</v>
      </c>
      <c r="S11">
        <v>3774</v>
      </c>
      <c r="T11">
        <v>3995</v>
      </c>
      <c r="U11">
        <v>14484</v>
      </c>
      <c r="V11">
        <v>4193</v>
      </c>
      <c r="W11">
        <v>5195</v>
      </c>
      <c r="X11">
        <v>4595</v>
      </c>
      <c r="Y11">
        <v>5764</v>
      </c>
      <c r="Z11">
        <v>19747</v>
      </c>
      <c r="AA11">
        <v>5384</v>
      </c>
      <c r="AB11">
        <v>6112</v>
      </c>
      <c r="AC11">
        <v>5656</v>
      </c>
      <c r="AD11">
        <v>5804</v>
      </c>
      <c r="AE11">
        <v>22956</v>
      </c>
      <c r="AF11">
        <v>5766</v>
      </c>
      <c r="AG11">
        <v>6550</v>
      </c>
      <c r="AH11">
        <v>6403</v>
      </c>
      <c r="AI11">
        <v>6577</v>
      </c>
      <c r="AJ11">
        <v>25296</v>
      </c>
      <c r="AK11">
        <v>6126</v>
      </c>
      <c r="AL11">
        <v>7741</v>
      </c>
      <c r="AM11">
        <v>7245</v>
      </c>
      <c r="AN11">
        <v>7253</v>
      </c>
      <c r="AO11">
        <v>28365</v>
      </c>
      <c r="AP11">
        <v>7746</v>
      </c>
      <c r="AQ11">
        <v>8541</v>
      </c>
      <c r="AR11">
        <v>7835</v>
      </c>
      <c r="AS11">
        <v>8065</v>
      </c>
      <c r="AT11">
        <v>32187</v>
      </c>
      <c r="AU11">
        <v>8215</v>
      </c>
      <c r="AV11">
        <v>10153</v>
      </c>
      <c r="AW11">
        <v>9175</v>
      </c>
      <c r="AX11">
        <v>9292</v>
      </c>
      <c r="AY11">
        <v>36835</v>
      </c>
      <c r="AZ11">
        <v>9189</v>
      </c>
      <c r="BA11">
        <v>10818</v>
      </c>
      <c r="BB11">
        <v>9620</v>
      </c>
      <c r="BC11">
        <v>10161</v>
      </c>
      <c r="BD11">
        <v>39788</v>
      </c>
      <c r="BE11">
        <v>9741</v>
      </c>
      <c r="BF11">
        <v>11837</v>
      </c>
      <c r="BG11">
        <v>10900</v>
      </c>
      <c r="BH11">
        <v>11804</v>
      </c>
      <c r="BI11">
        <v>44282</v>
      </c>
      <c r="BJ11">
        <v>10811</v>
      </c>
      <c r="BK11">
        <v>12542</v>
      </c>
      <c r="BL11">
        <v>14398</v>
      </c>
      <c r="BM11">
        <v>13371</v>
      </c>
      <c r="BN11">
        <v>51122</v>
      </c>
      <c r="BO11">
        <v>13762</v>
      </c>
      <c r="BP11">
        <v>16367</v>
      </c>
      <c r="BQ11">
        <v>14454</v>
      </c>
      <c r="BR11">
        <v>15837</v>
      </c>
      <c r="BS11">
        <v>60420</v>
      </c>
      <c r="BT11">
        <v>15061</v>
      </c>
      <c r="BU11">
        <v>16629</v>
      </c>
      <c r="BV11">
        <v>13648</v>
      </c>
      <c r="BW11">
        <v>13099</v>
      </c>
      <c r="BX11">
        <v>58437</v>
      </c>
      <c r="BY11">
        <v>12920</v>
      </c>
      <c r="BZ11">
        <v>19022</v>
      </c>
      <c r="CA11">
        <v>14503</v>
      </c>
      <c r="CB11">
        <v>16039</v>
      </c>
      <c r="CC11">
        <v>62484</v>
      </c>
      <c r="CD11">
        <v>16195</v>
      </c>
      <c r="CE11">
        <v>19953</v>
      </c>
      <c r="CF11">
        <v>16428</v>
      </c>
      <c r="CG11">
        <v>17367</v>
      </c>
      <c r="CH11">
        <v>69943</v>
      </c>
      <c r="CI11">
        <v>17372</v>
      </c>
      <c r="CJ11">
        <v>20885</v>
      </c>
      <c r="CK11">
        <v>17407</v>
      </c>
      <c r="CL11">
        <v>18059</v>
      </c>
      <c r="CM11">
        <v>73723</v>
      </c>
      <c r="CN11">
        <v>16008</v>
      </c>
      <c r="CO11">
        <v>21456</v>
      </c>
      <c r="CP11">
        <v>20489</v>
      </c>
      <c r="CQ11">
        <v>19896</v>
      </c>
      <c r="CR11">
        <v>77849</v>
      </c>
      <c r="CS11">
        <v>18529</v>
      </c>
      <c r="CT11">
        <v>24519</v>
      </c>
      <c r="CU11">
        <v>20403</v>
      </c>
      <c r="CV11">
        <v>23382</v>
      </c>
      <c r="CW11">
        <v>86833</v>
      </c>
      <c r="CX11">
        <v>23201</v>
      </c>
      <c r="CY11">
        <v>26470</v>
      </c>
      <c r="CZ11">
        <v>21729</v>
      </c>
      <c r="DA11">
        <v>22180</v>
      </c>
      <c r="DB11">
        <v>93580</v>
      </c>
      <c r="DC11">
        <v>20379</v>
      </c>
      <c r="DD11">
        <v>23796</v>
      </c>
      <c r="DE11">
        <v>20531</v>
      </c>
      <c r="DF11">
        <v>20614</v>
      </c>
      <c r="DG11">
        <v>85320</v>
      </c>
      <c r="DH11">
        <v>21928</v>
      </c>
      <c r="DI11">
        <v>25826</v>
      </c>
      <c r="DJ11">
        <v>23212</v>
      </c>
      <c r="DK11">
        <v>25605</v>
      </c>
      <c r="DL11">
        <v>96571</v>
      </c>
      <c r="DM11">
        <v>24538</v>
      </c>
      <c r="DN11">
        <v>28918</v>
      </c>
      <c r="DO11">
        <v>26819</v>
      </c>
      <c r="DP11">
        <v>30085</v>
      </c>
      <c r="DQ11">
        <v>110360</v>
      </c>
      <c r="DR11">
        <v>29084</v>
      </c>
      <c r="DS11">
        <v>32471</v>
      </c>
      <c r="DT11">
        <v>30571</v>
      </c>
      <c r="DU11">
        <v>33717</v>
      </c>
      <c r="DV11">
        <v>125843</v>
      </c>
      <c r="DW11">
        <v>33055</v>
      </c>
      <c r="DX11">
        <v>36906</v>
      </c>
      <c r="DY11">
        <v>35021</v>
      </c>
      <c r="DZ11">
        <v>38033</v>
      </c>
      <c r="EA11">
        <v>143015</v>
      </c>
      <c r="EB11">
        <v>37154</v>
      </c>
      <c r="EC11">
        <v>43076</v>
      </c>
      <c r="ED11">
        <v>41706</v>
      </c>
      <c r="EE11">
        <v>46152</v>
      </c>
      <c r="EF11">
        <v>168088</v>
      </c>
      <c r="EG11">
        <v>45317</v>
      </c>
      <c r="EH11">
        <v>51728</v>
      </c>
      <c r="EI11">
        <v>49360</v>
      </c>
      <c r="EJ11">
        <v>51865</v>
      </c>
      <c r="EK11">
        <v>198270</v>
      </c>
      <c r="EL11">
        <v>50122</v>
      </c>
      <c r="EM11">
        <v>52747</v>
      </c>
      <c r="EN11">
        <v>52857</v>
      </c>
      <c r="EO11">
        <v>56189</v>
      </c>
      <c r="EP11">
        <v>211915</v>
      </c>
      <c r="EQ11">
        <v>56517</v>
      </c>
      <c r="ER11">
        <v>62020</v>
      </c>
      <c r="ES11">
        <v>61858</v>
      </c>
      <c r="ET11">
        <v>64727</v>
      </c>
      <c r="EU11">
        <v>245122</v>
      </c>
      <c r="EV11">
        <v>65585</v>
      </c>
      <c r="EW11">
        <v>69632</v>
      </c>
      <c r="EX11">
        <v>70066</v>
      </c>
      <c r="EY11">
        <v>74335.250100527497</v>
      </c>
      <c r="EZ11">
        <v>279618.25010052801</v>
      </c>
      <c r="FA11">
        <v>74594.6495508308</v>
      </c>
      <c r="FB11">
        <v>78981.685710933001</v>
      </c>
      <c r="FC11">
        <v>79299.581694245906</v>
      </c>
      <c r="FD11">
        <v>84458.994735524204</v>
      </c>
      <c r="FE11">
        <v>317334.91169153398</v>
      </c>
      <c r="FF11">
        <v>84485.148873901402</v>
      </c>
      <c r="FG11">
        <v>89459.8248060326</v>
      </c>
      <c r="FH11">
        <v>89960.863564283194</v>
      </c>
      <c r="FI11">
        <v>96259.808615436894</v>
      </c>
      <c r="FJ11">
        <v>360165.645859654</v>
      </c>
      <c r="FK11">
        <v>95671.439256053098</v>
      </c>
      <c r="FL11">
        <v>101310.46152040899</v>
      </c>
      <c r="FM11">
        <v>102020.61676158301</v>
      </c>
      <c r="FN11">
        <v>109680.798163363</v>
      </c>
      <c r="FO11">
        <v>408683.31570140802</v>
      </c>
    </row>
    <row r="12" spans="1:176">
      <c r="B12" t="s">
        <v>598</v>
      </c>
      <c r="C12" t="s">
        <v>599</v>
      </c>
      <c r="D12" t="s">
        <v>379</v>
      </c>
      <c r="F12">
        <v>-877</v>
      </c>
      <c r="G12">
        <v>-322</v>
      </c>
      <c r="H12">
        <v>-330</v>
      </c>
      <c r="I12">
        <v>-295</v>
      </c>
      <c r="J12">
        <v>-241</v>
      </c>
      <c r="K12">
        <v>-1188</v>
      </c>
      <c r="L12">
        <v>-250</v>
      </c>
      <c r="M12">
        <v>-296</v>
      </c>
      <c r="N12">
        <v>-297</v>
      </c>
      <c r="O12">
        <v>-242</v>
      </c>
      <c r="P12">
        <v>-1085</v>
      </c>
      <c r="Q12">
        <v>-253</v>
      </c>
      <c r="R12">
        <v>-313</v>
      </c>
      <c r="S12">
        <v>-317</v>
      </c>
      <c r="T12">
        <v>-314</v>
      </c>
      <c r="U12">
        <v>-1197</v>
      </c>
      <c r="V12">
        <v>-649</v>
      </c>
      <c r="W12">
        <v>-788</v>
      </c>
      <c r="X12">
        <v>-708</v>
      </c>
      <c r="Y12">
        <v>-669</v>
      </c>
      <c r="Z12">
        <v>-2814</v>
      </c>
      <c r="AA12">
        <v>-712</v>
      </c>
      <c r="AB12">
        <v>-756</v>
      </c>
      <c r="AC12">
        <v>-752</v>
      </c>
      <c r="AD12">
        <v>-782</v>
      </c>
      <c r="AE12">
        <v>-3002</v>
      </c>
      <c r="AF12">
        <v>-825</v>
      </c>
      <c r="AG12">
        <v>-864</v>
      </c>
      <c r="AH12">
        <v>-899</v>
      </c>
      <c r="AI12">
        <v>-867</v>
      </c>
      <c r="AJ12">
        <v>-3455</v>
      </c>
      <c r="AK12">
        <v>-884</v>
      </c>
      <c r="AL12">
        <v>-1544</v>
      </c>
      <c r="AM12">
        <v>-1395</v>
      </c>
      <c r="AN12">
        <v>-1368</v>
      </c>
      <c r="AO12">
        <v>-5191</v>
      </c>
      <c r="AP12">
        <v>-1344</v>
      </c>
      <c r="AQ12">
        <v>-2137</v>
      </c>
      <c r="AR12">
        <v>-1274</v>
      </c>
      <c r="AS12">
        <v>-1304</v>
      </c>
      <c r="AT12">
        <v>-6059</v>
      </c>
      <c r="AU12">
        <v>-1480</v>
      </c>
      <c r="AV12">
        <v>-2344</v>
      </c>
      <c r="AW12">
        <v>-1411</v>
      </c>
      <c r="AX12">
        <v>-1481</v>
      </c>
      <c r="AY12">
        <v>-6716</v>
      </c>
      <c r="AZ12">
        <v>-1405</v>
      </c>
      <c r="BA12">
        <v>-1875</v>
      </c>
      <c r="BB12">
        <v>-1363</v>
      </c>
      <c r="BC12">
        <v>-1557</v>
      </c>
      <c r="BD12">
        <v>-6200</v>
      </c>
      <c r="BE12">
        <v>-1253</v>
      </c>
      <c r="BF12">
        <v>-2239</v>
      </c>
      <c r="BG12">
        <v>-2028</v>
      </c>
      <c r="BH12">
        <v>-2130</v>
      </c>
      <c r="BI12">
        <v>-7650</v>
      </c>
      <c r="BJ12">
        <v>-1696</v>
      </c>
      <c r="BK12">
        <v>-3620</v>
      </c>
      <c r="BL12">
        <v>-2140</v>
      </c>
      <c r="BM12">
        <v>-3237</v>
      </c>
      <c r="BN12">
        <v>-10693</v>
      </c>
      <c r="BO12">
        <v>-2675</v>
      </c>
      <c r="BP12">
        <v>-3543</v>
      </c>
      <c r="BQ12">
        <v>-2514</v>
      </c>
      <c r="BR12">
        <v>-2866</v>
      </c>
      <c r="BS12">
        <v>-11598</v>
      </c>
      <c r="BT12">
        <v>-2848</v>
      </c>
      <c r="BU12">
        <v>-3907</v>
      </c>
      <c r="BV12">
        <v>-2814</v>
      </c>
      <c r="BW12">
        <v>-2586</v>
      </c>
      <c r="BX12">
        <v>-12155</v>
      </c>
      <c r="BY12">
        <v>-2842</v>
      </c>
      <c r="BZ12">
        <v>-3628</v>
      </c>
      <c r="CA12">
        <v>-2755</v>
      </c>
      <c r="CB12">
        <v>-3170</v>
      </c>
      <c r="CC12">
        <v>-12395</v>
      </c>
      <c r="CD12">
        <v>-3139</v>
      </c>
      <c r="CE12">
        <v>-4833</v>
      </c>
      <c r="CF12">
        <v>-3897</v>
      </c>
      <c r="CG12">
        <v>-3708</v>
      </c>
      <c r="CH12">
        <v>-15577</v>
      </c>
      <c r="CI12">
        <v>-3777</v>
      </c>
      <c r="CJ12">
        <v>-5638</v>
      </c>
      <c r="CK12">
        <v>-3952</v>
      </c>
      <c r="CL12">
        <v>-4163</v>
      </c>
      <c r="CM12">
        <v>-17530</v>
      </c>
      <c r="CN12">
        <v>-4168</v>
      </c>
      <c r="CO12">
        <v>-5692</v>
      </c>
      <c r="CP12">
        <v>-4787</v>
      </c>
      <c r="CQ12">
        <v>-5602</v>
      </c>
      <c r="CR12">
        <v>-20249</v>
      </c>
      <c r="CS12">
        <v>-5145</v>
      </c>
      <c r="CT12">
        <v>-8322</v>
      </c>
      <c r="CU12">
        <v>-5978</v>
      </c>
      <c r="CV12">
        <v>-7633</v>
      </c>
      <c r="CW12">
        <v>-27078</v>
      </c>
      <c r="CX12">
        <v>-8273</v>
      </c>
      <c r="CY12">
        <v>-10136</v>
      </c>
      <c r="CZ12">
        <v>-7161</v>
      </c>
      <c r="DA12">
        <v>-7468</v>
      </c>
      <c r="DB12">
        <v>-33038</v>
      </c>
      <c r="DC12">
        <v>-7207</v>
      </c>
      <c r="DD12">
        <v>-9872</v>
      </c>
      <c r="DE12">
        <v>-7722</v>
      </c>
      <c r="DF12">
        <v>-7979</v>
      </c>
      <c r="DG12">
        <v>-32780</v>
      </c>
      <c r="DH12">
        <v>-7844</v>
      </c>
      <c r="DI12">
        <v>-9901</v>
      </c>
      <c r="DJ12">
        <v>-8060</v>
      </c>
      <c r="DK12">
        <v>-8456</v>
      </c>
      <c r="DL12">
        <v>-34261</v>
      </c>
      <c r="DM12">
        <v>-8278</v>
      </c>
      <c r="DN12">
        <v>-11064</v>
      </c>
      <c r="DO12">
        <v>-9269</v>
      </c>
      <c r="DP12">
        <v>-9742</v>
      </c>
      <c r="DQ12">
        <v>-38353</v>
      </c>
      <c r="DR12">
        <v>-9905</v>
      </c>
      <c r="DS12">
        <v>-12423</v>
      </c>
      <c r="DT12">
        <v>-10170</v>
      </c>
      <c r="DU12">
        <v>-10412</v>
      </c>
      <c r="DV12">
        <v>-42910</v>
      </c>
      <c r="DW12">
        <v>-10406</v>
      </c>
      <c r="DX12">
        <v>-12358</v>
      </c>
      <c r="DY12">
        <v>-10975</v>
      </c>
      <c r="DZ12">
        <v>-12339</v>
      </c>
      <c r="EA12">
        <v>-46078</v>
      </c>
      <c r="EB12">
        <v>-11002</v>
      </c>
      <c r="EC12">
        <v>-14194</v>
      </c>
      <c r="ED12">
        <v>-13045</v>
      </c>
      <c r="EE12">
        <v>-13991</v>
      </c>
      <c r="EF12">
        <v>-52232</v>
      </c>
      <c r="EG12">
        <v>-13646</v>
      </c>
      <c r="EH12">
        <v>-16960</v>
      </c>
      <c r="EI12">
        <v>-15615</v>
      </c>
      <c r="EJ12">
        <v>-16429</v>
      </c>
      <c r="EK12">
        <v>-62650</v>
      </c>
      <c r="EL12">
        <v>-15452</v>
      </c>
      <c r="EM12">
        <v>-17488</v>
      </c>
      <c r="EN12">
        <v>-16128</v>
      </c>
      <c r="EO12">
        <v>-16795</v>
      </c>
      <c r="EP12">
        <v>-65863</v>
      </c>
      <c r="EQ12">
        <v>-16302</v>
      </c>
      <c r="ER12">
        <v>-19623</v>
      </c>
      <c r="ES12">
        <v>-18505</v>
      </c>
      <c r="ET12">
        <v>-19684</v>
      </c>
      <c r="EU12">
        <v>-74114</v>
      </c>
      <c r="EV12">
        <v>-20099</v>
      </c>
      <c r="EW12">
        <v>-21799</v>
      </c>
      <c r="EX12">
        <v>-21919</v>
      </c>
      <c r="EY12">
        <v>-23947.0528002149</v>
      </c>
      <c r="EZ12">
        <v>-87764.052800214893</v>
      </c>
      <c r="FA12">
        <v>-23467.423706900801</v>
      </c>
      <c r="FB12">
        <v>-25056.9532645215</v>
      </c>
      <c r="FC12">
        <v>-24944.1092402135</v>
      </c>
      <c r="FD12">
        <v>-26442.091685421001</v>
      </c>
      <c r="FE12">
        <v>-99910.577897056806</v>
      </c>
      <c r="FF12">
        <v>-26653.884159195</v>
      </c>
      <c r="FG12">
        <v>-28458.8569769235</v>
      </c>
      <c r="FH12">
        <v>-28385.987919261199</v>
      </c>
      <c r="FI12">
        <v>-30273.086872961401</v>
      </c>
      <c r="FJ12">
        <v>-113771.81592834101</v>
      </c>
      <c r="FK12">
        <v>-30294.5963468523</v>
      </c>
      <c r="FL12">
        <v>-32343.8892365012</v>
      </c>
      <c r="FM12">
        <v>-32318.510842204101</v>
      </c>
      <c r="FN12">
        <v>-34678.818465615703</v>
      </c>
      <c r="FO12">
        <v>-129635.81489117299</v>
      </c>
    </row>
    <row r="13" spans="1:176">
      <c r="B13" t="s">
        <v>600</v>
      </c>
      <c r="C13" t="s">
        <v>601</v>
      </c>
      <c r="D13" t="s">
        <v>379</v>
      </c>
      <c r="F13">
        <v>-2162</v>
      </c>
      <c r="G13">
        <v>-684</v>
      </c>
      <c r="H13">
        <v>-766</v>
      </c>
      <c r="I13">
        <v>-772</v>
      </c>
      <c r="J13">
        <v>-751</v>
      </c>
      <c r="K13">
        <v>-2973</v>
      </c>
      <c r="L13">
        <v>-711</v>
      </c>
      <c r="M13">
        <v>-818</v>
      </c>
      <c r="N13">
        <v>-851</v>
      </c>
      <c r="O13">
        <v>-838</v>
      </c>
      <c r="P13">
        <v>-3218</v>
      </c>
      <c r="Q13">
        <v>-883</v>
      </c>
      <c r="R13">
        <v>-982</v>
      </c>
      <c r="S13">
        <v>-933</v>
      </c>
      <c r="T13">
        <v>-1047</v>
      </c>
      <c r="U13">
        <v>-3845</v>
      </c>
      <c r="V13">
        <v>-787</v>
      </c>
      <c r="W13">
        <v>-943</v>
      </c>
      <c r="X13">
        <v>-993</v>
      </c>
      <c r="Y13">
        <v>-1197</v>
      </c>
      <c r="Z13">
        <v>-3920</v>
      </c>
      <c r="AA13">
        <v>-1046</v>
      </c>
      <c r="AB13">
        <v>-1533</v>
      </c>
      <c r="AC13">
        <v>-1218</v>
      </c>
      <c r="AD13">
        <v>-1353</v>
      </c>
      <c r="AE13">
        <v>-5150</v>
      </c>
      <c r="AF13">
        <v>-1208</v>
      </c>
      <c r="AG13">
        <v>-1502</v>
      </c>
      <c r="AH13">
        <v>-1437</v>
      </c>
      <c r="AI13">
        <v>-1595</v>
      </c>
      <c r="AJ13">
        <v>-5742</v>
      </c>
      <c r="AK13">
        <v>-1332</v>
      </c>
      <c r="AL13">
        <v>-2312</v>
      </c>
      <c r="AM13">
        <v>-1486</v>
      </c>
      <c r="AN13">
        <v>-1827</v>
      </c>
      <c r="AO13">
        <v>-6957</v>
      </c>
      <c r="AP13">
        <v>-1667</v>
      </c>
      <c r="AQ13">
        <v>-2656</v>
      </c>
      <c r="AR13">
        <v>-2125</v>
      </c>
      <c r="AS13">
        <v>-3540</v>
      </c>
      <c r="AT13">
        <v>-9988</v>
      </c>
      <c r="AU13">
        <v>-1976</v>
      </c>
      <c r="AV13">
        <v>-3363</v>
      </c>
      <c r="AW13">
        <v>-4948</v>
      </c>
      <c r="AX13">
        <v>-3019</v>
      </c>
      <c r="AY13">
        <v>-13306</v>
      </c>
      <c r="AZ13">
        <v>-2760</v>
      </c>
      <c r="BA13">
        <v>-2773</v>
      </c>
      <c r="BB13">
        <v>-3446</v>
      </c>
      <c r="BC13">
        <v>-3864</v>
      </c>
      <c r="BD13">
        <v>-12843</v>
      </c>
      <c r="BE13">
        <v>-2927</v>
      </c>
      <c r="BF13">
        <v>-3350</v>
      </c>
      <c r="BG13">
        <v>-3367</v>
      </c>
      <c r="BH13">
        <v>-3932</v>
      </c>
      <c r="BI13">
        <v>-13576</v>
      </c>
      <c r="BJ13">
        <v>-2855</v>
      </c>
      <c r="BK13">
        <v>-3813</v>
      </c>
      <c r="BL13">
        <v>-3919</v>
      </c>
      <c r="BM13">
        <v>-4197</v>
      </c>
      <c r="BN13">
        <v>-14784</v>
      </c>
      <c r="BO13">
        <v>-3332</v>
      </c>
      <c r="BP13">
        <v>-4458</v>
      </c>
      <c r="BQ13">
        <v>-5496</v>
      </c>
      <c r="BR13">
        <v>-4880</v>
      </c>
      <c r="BS13">
        <v>-18166</v>
      </c>
      <c r="BT13">
        <v>-3931</v>
      </c>
      <c r="BU13">
        <v>-4493</v>
      </c>
      <c r="BV13">
        <v>-3894</v>
      </c>
      <c r="BW13">
        <v>-4261</v>
      </c>
      <c r="BX13">
        <v>-16579</v>
      </c>
      <c r="BY13">
        <v>-3531</v>
      </c>
      <c r="BZ13">
        <v>-4743</v>
      </c>
      <c r="CA13">
        <v>-4355</v>
      </c>
      <c r="CB13">
        <v>-4589</v>
      </c>
      <c r="CC13">
        <v>-17218</v>
      </c>
      <c r="CD13">
        <v>-3744</v>
      </c>
      <c r="CE13">
        <v>-4770</v>
      </c>
      <c r="CF13">
        <v>-4553</v>
      </c>
      <c r="CG13">
        <v>-5095</v>
      </c>
      <c r="CH13">
        <v>-18162</v>
      </c>
      <c r="CI13">
        <v>-4063</v>
      </c>
      <c r="CJ13">
        <v>-4882</v>
      </c>
      <c r="CK13">
        <v>-4564</v>
      </c>
      <c r="CL13">
        <v>-4917</v>
      </c>
      <c r="CM13">
        <v>-18426</v>
      </c>
      <c r="CN13">
        <v>-4072</v>
      </c>
      <c r="CO13">
        <v>-5465</v>
      </c>
      <c r="CP13">
        <v>-5450</v>
      </c>
      <c r="CQ13">
        <v>-5438</v>
      </c>
      <c r="CR13">
        <v>-20425</v>
      </c>
      <c r="CS13">
        <v>-4283</v>
      </c>
      <c r="CT13">
        <v>-5480</v>
      </c>
      <c r="CU13">
        <v>-4708</v>
      </c>
      <c r="CV13">
        <v>-6017</v>
      </c>
      <c r="CW13">
        <v>-20488</v>
      </c>
      <c r="CX13">
        <v>-4879</v>
      </c>
      <c r="CY13">
        <v>-5412</v>
      </c>
      <c r="CZ13">
        <v>-4800</v>
      </c>
      <c r="DA13">
        <v>-5233</v>
      </c>
      <c r="DB13">
        <v>-20324</v>
      </c>
      <c r="DC13">
        <v>-4417</v>
      </c>
      <c r="DD13">
        <v>-4998</v>
      </c>
      <c r="DE13">
        <v>-4546</v>
      </c>
      <c r="DF13">
        <v>-5299</v>
      </c>
      <c r="DG13">
        <v>-19260</v>
      </c>
      <c r="DH13">
        <v>-4263</v>
      </c>
      <c r="DI13">
        <v>-4958</v>
      </c>
      <c r="DJ13">
        <v>-5074</v>
      </c>
      <c r="DK13">
        <v>-5647</v>
      </c>
      <c r="DL13">
        <v>-19942</v>
      </c>
      <c r="DM13">
        <v>-4978</v>
      </c>
      <c r="DN13">
        <v>-5671</v>
      </c>
      <c r="DO13">
        <v>-5543</v>
      </c>
      <c r="DP13">
        <v>-6031</v>
      </c>
      <c r="DQ13">
        <v>-22223</v>
      </c>
      <c r="DR13">
        <v>-5247</v>
      </c>
      <c r="DS13">
        <v>-5720</v>
      </c>
      <c r="DT13">
        <v>-5744</v>
      </c>
      <c r="DU13">
        <v>-6387</v>
      </c>
      <c r="DV13">
        <v>-23098</v>
      </c>
      <c r="DW13">
        <v>-5398</v>
      </c>
      <c r="DX13">
        <v>-6054</v>
      </c>
      <c r="DY13">
        <v>-6184</v>
      </c>
      <c r="DZ13">
        <v>-7073</v>
      </c>
      <c r="EA13">
        <v>-24709</v>
      </c>
      <c r="EB13">
        <v>-5350</v>
      </c>
      <c r="EC13">
        <v>-6086</v>
      </c>
      <c r="ED13">
        <v>-6409</v>
      </c>
      <c r="EE13">
        <v>-7379</v>
      </c>
      <c r="EF13">
        <v>-25224</v>
      </c>
      <c r="EG13">
        <v>-5834</v>
      </c>
      <c r="EH13">
        <v>-6763</v>
      </c>
      <c r="EI13">
        <v>-7075</v>
      </c>
      <c r="EJ13">
        <v>-8053</v>
      </c>
      <c r="EK13">
        <v>-27725</v>
      </c>
      <c r="EL13">
        <v>-6524</v>
      </c>
      <c r="EM13">
        <v>-8016</v>
      </c>
      <c r="EN13">
        <v>-7393</v>
      </c>
      <c r="EO13">
        <v>-8401</v>
      </c>
      <c r="EP13">
        <v>-30334</v>
      </c>
      <c r="EQ13">
        <v>-6661</v>
      </c>
      <c r="ER13">
        <v>-8223</v>
      </c>
      <c r="ES13">
        <v>-8119</v>
      </c>
      <c r="ET13">
        <v>-9062</v>
      </c>
      <c r="EU13">
        <v>-32065</v>
      </c>
      <c r="EV13">
        <v>-7390</v>
      </c>
      <c r="EW13">
        <v>-8263</v>
      </c>
      <c r="EX13">
        <v>-7949</v>
      </c>
      <c r="EY13">
        <v>-8994.5652621638292</v>
      </c>
      <c r="EZ13">
        <v>-32596.5652621638</v>
      </c>
      <c r="FA13">
        <v>-7957.6232314689696</v>
      </c>
      <c r="FB13">
        <v>-8898.6062814926609</v>
      </c>
      <c r="FC13">
        <v>-8520.7539739906206</v>
      </c>
      <c r="FD13">
        <v>-9712.7843945852801</v>
      </c>
      <c r="FE13">
        <v>-35089.767881537497</v>
      </c>
      <c r="FF13">
        <v>-8632.5407645762898</v>
      </c>
      <c r="FG13">
        <v>-9676.5744758568399</v>
      </c>
      <c r="FH13">
        <v>-9261.4866964617504</v>
      </c>
      <c r="FI13">
        <v>-10636.708852005801</v>
      </c>
      <c r="FJ13">
        <v>-38207.310788900701</v>
      </c>
      <c r="FK13">
        <v>-9392.8500666297605</v>
      </c>
      <c r="FL13">
        <v>-10553.176954885599</v>
      </c>
      <c r="FM13">
        <v>-10094.9579381522</v>
      </c>
      <c r="FN13">
        <v>-11681.005004398199</v>
      </c>
      <c r="FO13">
        <v>-41721.989964065797</v>
      </c>
    </row>
    <row r="14" spans="1:176">
      <c r="B14" t="s">
        <v>602</v>
      </c>
      <c r="C14" t="s">
        <v>603</v>
      </c>
      <c r="D14" t="s">
        <v>379</v>
      </c>
      <c r="F14">
        <v>-3039</v>
      </c>
      <c r="G14">
        <v>-1006</v>
      </c>
      <c r="H14">
        <v>-1096</v>
      </c>
      <c r="I14">
        <v>-1067</v>
      </c>
      <c r="J14">
        <v>-992</v>
      </c>
      <c r="K14">
        <v>-4161</v>
      </c>
      <c r="L14">
        <v>-961</v>
      </c>
      <c r="M14">
        <v>-1114</v>
      </c>
      <c r="N14">
        <v>-1148</v>
      </c>
      <c r="O14">
        <v>-1080</v>
      </c>
      <c r="P14">
        <v>-4303</v>
      </c>
      <c r="Q14">
        <v>-1136</v>
      </c>
      <c r="R14">
        <v>-1295</v>
      </c>
      <c r="S14">
        <v>-1250</v>
      </c>
      <c r="T14">
        <v>-1361</v>
      </c>
      <c r="U14">
        <v>-5042</v>
      </c>
      <c r="V14">
        <v>-1436</v>
      </c>
      <c r="W14">
        <v>-1731</v>
      </c>
      <c r="X14">
        <v>-1701</v>
      </c>
      <c r="Y14">
        <v>-1866</v>
      </c>
      <c r="Z14">
        <v>-6734</v>
      </c>
      <c r="AA14">
        <v>-1758</v>
      </c>
      <c r="AB14">
        <v>-2289</v>
      </c>
      <c r="AC14">
        <v>-1970</v>
      </c>
      <c r="AD14">
        <v>-2135</v>
      </c>
      <c r="AE14">
        <v>-8152</v>
      </c>
      <c r="AF14">
        <v>-2033</v>
      </c>
      <c r="AG14">
        <v>-2366</v>
      </c>
      <c r="AH14">
        <v>-2336</v>
      </c>
      <c r="AI14">
        <v>-2462</v>
      </c>
      <c r="AJ14">
        <v>-9197</v>
      </c>
      <c r="AK14">
        <v>-2216</v>
      </c>
      <c r="AL14">
        <v>-3856</v>
      </c>
      <c r="AM14">
        <v>-2881</v>
      </c>
      <c r="AN14">
        <v>-3195</v>
      </c>
      <c r="AO14">
        <v>-12148</v>
      </c>
      <c r="AP14">
        <v>-3011</v>
      </c>
      <c r="AQ14">
        <v>-4793</v>
      </c>
      <c r="AR14">
        <v>-3399</v>
      </c>
      <c r="AS14">
        <v>-4844</v>
      </c>
      <c r="AT14">
        <v>-16047</v>
      </c>
      <c r="AU14">
        <v>-3456</v>
      </c>
      <c r="AV14">
        <v>-5707</v>
      </c>
      <c r="AW14">
        <v>-6359</v>
      </c>
      <c r="AX14">
        <v>-4500</v>
      </c>
      <c r="AY14">
        <v>-20022</v>
      </c>
      <c r="AZ14">
        <v>-4165</v>
      </c>
      <c r="BA14">
        <v>-4648</v>
      </c>
      <c r="BB14">
        <v>-4809</v>
      </c>
      <c r="BC14">
        <v>-5421</v>
      </c>
      <c r="BD14">
        <v>-19043</v>
      </c>
      <c r="BE14">
        <v>-4180</v>
      </c>
      <c r="BF14">
        <v>-5589</v>
      </c>
      <c r="BG14">
        <v>-5395</v>
      </c>
      <c r="BH14">
        <v>-6062</v>
      </c>
      <c r="BI14">
        <v>-21226</v>
      </c>
      <c r="BJ14">
        <v>-4551</v>
      </c>
      <c r="BK14">
        <v>-7433</v>
      </c>
      <c r="BL14">
        <v>-6059</v>
      </c>
      <c r="BM14">
        <v>-7434</v>
      </c>
      <c r="BN14">
        <v>-25477</v>
      </c>
      <c r="BO14">
        <v>-6007</v>
      </c>
      <c r="BP14">
        <v>-8001</v>
      </c>
      <c r="BQ14">
        <v>-8010</v>
      </c>
      <c r="BR14">
        <v>-7746</v>
      </c>
      <c r="BS14">
        <v>-29764</v>
      </c>
      <c r="BT14">
        <v>-6779</v>
      </c>
      <c r="BU14">
        <v>-8400</v>
      </c>
      <c r="BV14">
        <v>-6708</v>
      </c>
      <c r="BW14">
        <v>-6847</v>
      </c>
      <c r="BX14">
        <v>-28734</v>
      </c>
      <c r="BY14">
        <v>-6373</v>
      </c>
      <c r="BZ14">
        <v>-8371</v>
      </c>
      <c r="CA14">
        <v>-7110</v>
      </c>
      <c r="CB14">
        <v>-7759</v>
      </c>
      <c r="CC14">
        <v>-29613</v>
      </c>
      <c r="CD14">
        <v>-6883</v>
      </c>
      <c r="CE14">
        <v>-9603</v>
      </c>
      <c r="CF14">
        <v>-8450</v>
      </c>
      <c r="CG14">
        <v>-8803</v>
      </c>
      <c r="CH14">
        <v>-33739</v>
      </c>
      <c r="CI14">
        <v>-7840</v>
      </c>
      <c r="CJ14">
        <v>-10520</v>
      </c>
      <c r="CK14">
        <v>-8516</v>
      </c>
      <c r="CL14">
        <v>-9080</v>
      </c>
      <c r="CM14">
        <v>-35956</v>
      </c>
      <c r="CN14">
        <v>-8240</v>
      </c>
      <c r="CO14">
        <v>-11157</v>
      </c>
      <c r="CP14">
        <v>-10237</v>
      </c>
      <c r="CQ14">
        <v>-11040</v>
      </c>
      <c r="CR14">
        <v>-40674</v>
      </c>
      <c r="CS14">
        <v>-9428</v>
      </c>
      <c r="CT14">
        <v>-13802</v>
      </c>
      <c r="CU14">
        <v>-10686</v>
      </c>
      <c r="CV14">
        <v>-13650</v>
      </c>
      <c r="CW14">
        <v>-47566</v>
      </c>
      <c r="CX14">
        <v>-13152</v>
      </c>
      <c r="CY14">
        <v>-15548</v>
      </c>
      <c r="CZ14">
        <v>-11961</v>
      </c>
      <c r="DA14">
        <v>-12701</v>
      </c>
      <c r="DB14">
        <v>-53362</v>
      </c>
      <c r="DC14">
        <v>-11624</v>
      </c>
      <c r="DD14">
        <v>-14870</v>
      </c>
      <c r="DE14">
        <v>-12268</v>
      </c>
      <c r="DF14">
        <v>-13278</v>
      </c>
      <c r="DG14">
        <v>-52040</v>
      </c>
      <c r="DH14">
        <v>-12107</v>
      </c>
      <c r="DI14">
        <v>-14859</v>
      </c>
      <c r="DJ14">
        <v>-13134</v>
      </c>
      <c r="DK14">
        <v>-14103</v>
      </c>
      <c r="DL14">
        <v>-54203</v>
      </c>
      <c r="DM14">
        <v>-13256</v>
      </c>
      <c r="DN14">
        <v>-16735</v>
      </c>
      <c r="DO14">
        <v>-14812</v>
      </c>
      <c r="DP14">
        <v>-15773</v>
      </c>
      <c r="DQ14">
        <v>-60576</v>
      </c>
      <c r="DR14">
        <v>-15152</v>
      </c>
      <c r="DS14">
        <v>-18143</v>
      </c>
      <c r="DT14">
        <v>-15914</v>
      </c>
      <c r="DU14">
        <v>-16799</v>
      </c>
      <c r="DV14">
        <v>-66008</v>
      </c>
      <c r="DW14">
        <v>-15804</v>
      </c>
      <c r="DX14">
        <v>-18412</v>
      </c>
      <c r="DY14">
        <v>-17159</v>
      </c>
      <c r="DZ14">
        <v>-19412</v>
      </c>
      <c r="EA14">
        <v>-70787</v>
      </c>
      <c r="EB14">
        <v>-16352</v>
      </c>
      <c r="EC14">
        <v>-20280</v>
      </c>
      <c r="ED14">
        <v>-19454</v>
      </c>
      <c r="EE14">
        <v>-21370</v>
      </c>
      <c r="EF14">
        <v>-77456</v>
      </c>
      <c r="EG14">
        <v>-19480</v>
      </c>
      <c r="EH14">
        <v>-23723</v>
      </c>
      <c r="EI14">
        <v>-22690</v>
      </c>
      <c r="EJ14">
        <v>-24482</v>
      </c>
      <c r="EK14">
        <v>-90375</v>
      </c>
      <c r="EL14">
        <v>-21976</v>
      </c>
      <c r="EM14">
        <v>-25504</v>
      </c>
      <c r="EN14">
        <v>-23521</v>
      </c>
      <c r="EO14">
        <v>-25196</v>
      </c>
      <c r="EP14">
        <v>-96197</v>
      </c>
      <c r="EQ14">
        <v>-22963</v>
      </c>
      <c r="ER14">
        <v>-27846</v>
      </c>
      <c r="ES14">
        <v>-26624</v>
      </c>
      <c r="ET14">
        <v>-28746</v>
      </c>
      <c r="EU14">
        <v>-106179</v>
      </c>
      <c r="EV14">
        <v>-27489</v>
      </c>
      <c r="EW14">
        <v>-30062</v>
      </c>
      <c r="EX14">
        <v>-29868</v>
      </c>
      <c r="EY14">
        <v>-32941.618062378802</v>
      </c>
      <c r="EZ14">
        <v>-120360.618062379</v>
      </c>
      <c r="FA14">
        <v>-31425.0469383698</v>
      </c>
      <c r="FB14">
        <v>-33955.559546014199</v>
      </c>
      <c r="FC14">
        <v>-33464.863214204102</v>
      </c>
      <c r="FD14">
        <v>-36154.876080006201</v>
      </c>
      <c r="FE14">
        <v>-135000.345778594</v>
      </c>
      <c r="FF14">
        <v>-35286.424923771301</v>
      </c>
      <c r="FG14">
        <v>-38135.4314527803</v>
      </c>
      <c r="FH14">
        <v>-37647.474615722997</v>
      </c>
      <c r="FI14">
        <v>-40909.795724967204</v>
      </c>
      <c r="FJ14">
        <v>-151979.126717242</v>
      </c>
      <c r="FK14">
        <v>-39687.446413482103</v>
      </c>
      <c r="FL14">
        <v>-42897.066191386803</v>
      </c>
      <c r="FM14">
        <v>-42413.468780356299</v>
      </c>
      <c r="FN14">
        <v>-46359.823470013798</v>
      </c>
      <c r="FO14">
        <v>-171357.804855239</v>
      </c>
    </row>
    <row r="15" spans="1:176">
      <c r="B15" t="s">
        <v>604</v>
      </c>
      <c r="C15" t="s">
        <v>605</v>
      </c>
      <c r="D15" t="s">
        <v>379</v>
      </c>
      <c r="F15">
        <v>-860</v>
      </c>
      <c r="G15">
        <v>-302</v>
      </c>
      <c r="H15">
        <v>-313</v>
      </c>
      <c r="I15">
        <v>-364</v>
      </c>
      <c r="J15">
        <v>-453</v>
      </c>
      <c r="K15">
        <v>-1432</v>
      </c>
      <c r="L15">
        <v>-432</v>
      </c>
      <c r="M15">
        <v>-485</v>
      </c>
      <c r="N15">
        <v>-492</v>
      </c>
      <c r="O15">
        <v>-516</v>
      </c>
      <c r="P15">
        <v>-1925</v>
      </c>
      <c r="Q15">
        <v>-567</v>
      </c>
      <c r="R15">
        <v>-627</v>
      </c>
      <c r="S15">
        <v>-597</v>
      </c>
      <c r="T15">
        <v>-711</v>
      </c>
      <c r="U15">
        <v>-2502</v>
      </c>
      <c r="V15">
        <v>-651</v>
      </c>
      <c r="W15">
        <v>-715</v>
      </c>
      <c r="X15">
        <v>-664</v>
      </c>
      <c r="Y15">
        <v>-940</v>
      </c>
      <c r="Z15">
        <v>-2970</v>
      </c>
      <c r="AA15">
        <v>-834</v>
      </c>
      <c r="AB15">
        <v>-911</v>
      </c>
      <c r="AC15">
        <v>-990</v>
      </c>
      <c r="AD15">
        <v>-1040</v>
      </c>
      <c r="AE15">
        <v>-3775</v>
      </c>
      <c r="AF15">
        <v>-956</v>
      </c>
      <c r="AG15">
        <v>-990</v>
      </c>
      <c r="AH15">
        <v>-1069</v>
      </c>
      <c r="AI15">
        <v>-1364</v>
      </c>
      <c r="AJ15">
        <v>-4379</v>
      </c>
      <c r="AK15">
        <v>-1013</v>
      </c>
      <c r="AL15">
        <v>-1044</v>
      </c>
      <c r="AM15">
        <v>-1066</v>
      </c>
      <c r="AN15">
        <v>-1184</v>
      </c>
      <c r="AO15">
        <v>-4307</v>
      </c>
      <c r="AP15">
        <v>-1707</v>
      </c>
      <c r="AQ15">
        <v>-1515</v>
      </c>
      <c r="AR15">
        <v>-1692</v>
      </c>
      <c r="AS15">
        <v>-1681</v>
      </c>
      <c r="AT15">
        <v>-6595</v>
      </c>
      <c r="AU15">
        <v>-1611</v>
      </c>
      <c r="AV15">
        <v>-2971</v>
      </c>
      <c r="AW15">
        <v>-1538</v>
      </c>
      <c r="AX15">
        <v>-1659</v>
      </c>
      <c r="AY15">
        <v>-7779</v>
      </c>
      <c r="AZ15">
        <v>-1530</v>
      </c>
      <c r="BA15">
        <v>-1421</v>
      </c>
      <c r="BB15">
        <v>-1482</v>
      </c>
      <c r="BC15">
        <v>-1751</v>
      </c>
      <c r="BD15">
        <v>-6184</v>
      </c>
      <c r="BE15">
        <v>-1515</v>
      </c>
      <c r="BF15">
        <v>-1591</v>
      </c>
      <c r="BG15">
        <v>-1617</v>
      </c>
      <c r="BH15">
        <v>-1861</v>
      </c>
      <c r="BI15">
        <v>-6584</v>
      </c>
      <c r="BJ15">
        <v>-1786</v>
      </c>
      <c r="BK15">
        <v>-1637</v>
      </c>
      <c r="BL15">
        <v>-1750</v>
      </c>
      <c r="BM15">
        <v>-1948</v>
      </c>
      <c r="BN15">
        <v>-7121</v>
      </c>
      <c r="BO15">
        <v>-1837</v>
      </c>
      <c r="BP15">
        <v>-1885</v>
      </c>
      <c r="BQ15">
        <v>-2035</v>
      </c>
      <c r="BR15">
        <v>-2407</v>
      </c>
      <c r="BS15">
        <v>-8164</v>
      </c>
      <c r="BT15">
        <v>-2283</v>
      </c>
      <c r="BU15">
        <v>-2290</v>
      </c>
      <c r="BV15">
        <v>-2212</v>
      </c>
      <c r="BW15">
        <v>-2225</v>
      </c>
      <c r="BX15">
        <v>-9010</v>
      </c>
      <c r="BY15">
        <v>-2065</v>
      </c>
      <c r="BZ15">
        <v>-2079</v>
      </c>
      <c r="CA15">
        <v>-2220</v>
      </c>
      <c r="CB15">
        <v>-2350</v>
      </c>
      <c r="CC15">
        <v>-8714</v>
      </c>
      <c r="CD15">
        <v>-2196</v>
      </c>
      <c r="CE15">
        <v>-2185</v>
      </c>
      <c r="CF15">
        <v>-2269</v>
      </c>
      <c r="CG15">
        <v>-2393</v>
      </c>
      <c r="CH15">
        <v>-9043</v>
      </c>
      <c r="CI15">
        <v>-2329</v>
      </c>
      <c r="CJ15">
        <v>-2371</v>
      </c>
      <c r="CK15">
        <v>-2517</v>
      </c>
      <c r="CL15">
        <v>-2594</v>
      </c>
      <c r="CM15">
        <v>-9811</v>
      </c>
      <c r="CN15">
        <v>-2460</v>
      </c>
      <c r="CO15">
        <v>-2528</v>
      </c>
      <c r="CP15">
        <v>-2640</v>
      </c>
      <c r="CQ15">
        <v>-2783</v>
      </c>
      <c r="CR15">
        <v>-10411</v>
      </c>
      <c r="CS15">
        <v>-2767</v>
      </c>
      <c r="CT15">
        <v>-2748</v>
      </c>
      <c r="CU15">
        <v>-2743</v>
      </c>
      <c r="CV15">
        <v>-3123</v>
      </c>
      <c r="CW15">
        <v>-11381</v>
      </c>
      <c r="CX15">
        <v>-3065</v>
      </c>
      <c r="CY15">
        <v>-2903</v>
      </c>
      <c r="CZ15">
        <v>-2984</v>
      </c>
      <c r="DA15">
        <v>-3094</v>
      </c>
      <c r="DB15">
        <v>-12046</v>
      </c>
      <c r="DC15">
        <v>-2962</v>
      </c>
      <c r="DD15">
        <v>-2900</v>
      </c>
      <c r="DE15">
        <v>-2980</v>
      </c>
      <c r="DF15">
        <v>-3146</v>
      </c>
      <c r="DG15">
        <v>-11988</v>
      </c>
      <c r="DH15">
        <v>-3106</v>
      </c>
      <c r="DI15">
        <v>-3062</v>
      </c>
      <c r="DJ15">
        <v>-3355</v>
      </c>
      <c r="DK15">
        <v>-3514</v>
      </c>
      <c r="DL15">
        <v>-13037</v>
      </c>
      <c r="DM15">
        <v>-3574</v>
      </c>
      <c r="DN15">
        <v>-3504</v>
      </c>
      <c r="DO15">
        <v>-3715</v>
      </c>
      <c r="DP15">
        <v>-3933</v>
      </c>
      <c r="DQ15">
        <v>-14726</v>
      </c>
      <c r="DR15">
        <v>-3977</v>
      </c>
      <c r="DS15">
        <v>-4070</v>
      </c>
      <c r="DT15">
        <v>-4316</v>
      </c>
      <c r="DU15">
        <v>-4513</v>
      </c>
      <c r="DV15">
        <v>-16876</v>
      </c>
      <c r="DW15">
        <v>-4565</v>
      </c>
      <c r="DX15">
        <v>-4603</v>
      </c>
      <c r="DY15">
        <v>-4887</v>
      </c>
      <c r="DZ15">
        <v>-5214</v>
      </c>
      <c r="EA15">
        <v>-19269</v>
      </c>
      <c r="EB15">
        <v>-4926</v>
      </c>
      <c r="EC15">
        <v>-4899</v>
      </c>
      <c r="ED15">
        <v>-5204</v>
      </c>
      <c r="EE15">
        <v>-5687</v>
      </c>
      <c r="EF15">
        <v>-20716</v>
      </c>
      <c r="EG15">
        <v>-5599</v>
      </c>
      <c r="EH15">
        <v>-5758</v>
      </c>
      <c r="EI15">
        <v>-6306</v>
      </c>
      <c r="EJ15">
        <v>-6849</v>
      </c>
      <c r="EK15">
        <v>-24512</v>
      </c>
      <c r="EL15">
        <v>-6628</v>
      </c>
      <c r="EM15">
        <v>-6844</v>
      </c>
      <c r="EN15">
        <v>-6984</v>
      </c>
      <c r="EO15">
        <v>-6739</v>
      </c>
      <c r="EP15">
        <v>-27195</v>
      </c>
      <c r="EQ15">
        <v>-6659</v>
      </c>
      <c r="ER15">
        <v>-7142</v>
      </c>
      <c r="ES15">
        <v>-7653</v>
      </c>
      <c r="ET15">
        <v>-8056</v>
      </c>
      <c r="EU15">
        <v>-29510</v>
      </c>
      <c r="EV15">
        <v>-7544</v>
      </c>
      <c r="EW15">
        <v>-7917</v>
      </c>
      <c r="EX15">
        <v>-8198</v>
      </c>
      <c r="EY15">
        <v>-8920.2300120633008</v>
      </c>
      <c r="EZ15">
        <v>-32579.230012063301</v>
      </c>
      <c r="FA15">
        <v>-8431.1573687563505</v>
      </c>
      <c r="FB15">
        <v>-8822.0746250949196</v>
      </c>
      <c r="FC15">
        <v>-9119.7665308059495</v>
      </c>
      <c r="FD15">
        <v>-9966.1613787918504</v>
      </c>
      <c r="FE15">
        <v>-36339.159903449101</v>
      </c>
      <c r="FF15">
        <v>-9380.0736319148109</v>
      </c>
      <c r="FG15">
        <v>-9813.5392765651595</v>
      </c>
      <c r="FH15">
        <v>-10165.9345193676</v>
      </c>
      <c r="FI15">
        <v>-11166.137799390701</v>
      </c>
      <c r="FJ15">
        <v>-40525.685227238297</v>
      </c>
      <c r="FK15">
        <v>-10430.7032047879</v>
      </c>
      <c r="FL15">
        <v>-10910.9062430713</v>
      </c>
      <c r="FM15">
        <v>-11324.6932464726</v>
      </c>
      <c r="FN15">
        <v>-12503.6109906234</v>
      </c>
      <c r="FO15">
        <v>-45169.913684955303</v>
      </c>
    </row>
    <row r="16" spans="1:176">
      <c r="B16" t="s">
        <v>606</v>
      </c>
      <c r="C16" t="s">
        <v>607</v>
      </c>
      <c r="D16" t="s">
        <v>379</v>
      </c>
    </row>
    <row r="17" spans="1:171">
      <c r="B17" t="s">
        <v>608</v>
      </c>
      <c r="C17" t="s">
        <v>609</v>
      </c>
      <c r="D17" t="s">
        <v>379</v>
      </c>
      <c r="F17">
        <v>0</v>
      </c>
      <c r="K17">
        <v>0</v>
      </c>
      <c r="P17">
        <v>0</v>
      </c>
      <c r="U17">
        <v>0</v>
      </c>
      <c r="Z17">
        <v>0</v>
      </c>
      <c r="AE17">
        <v>0</v>
      </c>
      <c r="BV17">
        <v>-290</v>
      </c>
      <c r="BW17">
        <v>-40</v>
      </c>
      <c r="BX17">
        <v>-330</v>
      </c>
      <c r="BZ17">
        <v>-59</v>
      </c>
      <c r="CC17">
        <v>-59</v>
      </c>
    </row>
    <row r="18" spans="1:171">
      <c r="B18" t="s">
        <v>610</v>
      </c>
      <c r="C18" t="s">
        <v>611</v>
      </c>
      <c r="D18" t="s">
        <v>379</v>
      </c>
      <c r="F18">
        <v>3899</v>
      </c>
      <c r="G18">
        <v>1308</v>
      </c>
      <c r="H18">
        <v>1409</v>
      </c>
      <c r="I18">
        <v>1431</v>
      </c>
      <c r="J18">
        <v>1445</v>
      </c>
      <c r="K18">
        <v>5593</v>
      </c>
      <c r="L18">
        <v>1393</v>
      </c>
      <c r="M18">
        <v>1599</v>
      </c>
      <c r="N18">
        <v>1640</v>
      </c>
      <c r="O18">
        <v>1596</v>
      </c>
      <c r="P18">
        <v>6228</v>
      </c>
      <c r="Q18">
        <v>1999</v>
      </c>
      <c r="R18">
        <v>1922</v>
      </c>
      <c r="S18">
        <v>1847</v>
      </c>
      <c r="T18">
        <v>2072</v>
      </c>
      <c r="U18">
        <v>7840</v>
      </c>
      <c r="V18">
        <v>2111</v>
      </c>
      <c r="W18">
        <v>2481</v>
      </c>
      <c r="X18">
        <v>2366</v>
      </c>
      <c r="Y18">
        <v>2861</v>
      </c>
      <c r="Z18">
        <v>9819</v>
      </c>
      <c r="AA18">
        <v>2617</v>
      </c>
      <c r="AB18">
        <v>3194</v>
      </c>
      <c r="AC18">
        <v>2928</v>
      </c>
      <c r="AD18">
        <v>3280</v>
      </c>
      <c r="AE18">
        <v>12019</v>
      </c>
      <c r="AF18">
        <v>2989</v>
      </c>
      <c r="AG18">
        <v>3356</v>
      </c>
      <c r="AH18">
        <v>3405</v>
      </c>
      <c r="AI18">
        <v>3826</v>
      </c>
      <c r="AJ18">
        <v>13576</v>
      </c>
      <c r="AK18">
        <v>3229</v>
      </c>
      <c r="AL18">
        <v>4900</v>
      </c>
      <c r="AM18">
        <v>3947</v>
      </c>
      <c r="AN18">
        <v>4379</v>
      </c>
      <c r="AO18">
        <v>16455</v>
      </c>
      <c r="AP18">
        <v>4718</v>
      </c>
      <c r="AQ18">
        <v>6308</v>
      </c>
      <c r="AR18">
        <v>5091</v>
      </c>
      <c r="AS18">
        <v>6525</v>
      </c>
      <c r="AT18">
        <v>22642</v>
      </c>
      <c r="AU18">
        <v>5067</v>
      </c>
      <c r="AV18">
        <v>8678</v>
      </c>
      <c r="AW18">
        <v>7897</v>
      </c>
      <c r="AX18">
        <v>6159</v>
      </c>
      <c r="AY18">
        <v>27801</v>
      </c>
      <c r="AZ18">
        <v>5695</v>
      </c>
      <c r="BA18">
        <v>6069</v>
      </c>
      <c r="BB18">
        <v>6291</v>
      </c>
      <c r="BC18">
        <v>7172</v>
      </c>
      <c r="BD18">
        <v>25227</v>
      </c>
      <c r="BE18">
        <v>5695</v>
      </c>
      <c r="BF18">
        <v>7180</v>
      </c>
      <c r="BG18">
        <v>7012</v>
      </c>
      <c r="BH18">
        <v>7923</v>
      </c>
      <c r="BI18">
        <v>27810</v>
      </c>
      <c r="BJ18">
        <v>6337</v>
      </c>
      <c r="BK18">
        <v>9070</v>
      </c>
      <c r="BL18">
        <v>7809</v>
      </c>
      <c r="BM18">
        <v>9382</v>
      </c>
      <c r="BN18">
        <v>32598</v>
      </c>
      <c r="BO18">
        <v>7844</v>
      </c>
      <c r="BP18">
        <v>9886</v>
      </c>
      <c r="BQ18">
        <v>10045</v>
      </c>
      <c r="BR18">
        <v>10153</v>
      </c>
      <c r="BS18">
        <v>37928</v>
      </c>
      <c r="BT18">
        <v>9062</v>
      </c>
      <c r="BU18">
        <v>10690</v>
      </c>
      <c r="BV18">
        <v>9210</v>
      </c>
      <c r="BW18">
        <v>9112</v>
      </c>
      <c r="BX18">
        <v>38074</v>
      </c>
      <c r="BY18">
        <v>8438</v>
      </c>
      <c r="BZ18">
        <v>10509</v>
      </c>
      <c r="CA18">
        <v>9330</v>
      </c>
      <c r="CB18">
        <v>10109</v>
      </c>
      <c r="CC18">
        <v>38386</v>
      </c>
      <c r="CD18">
        <v>9079</v>
      </c>
      <c r="CE18">
        <v>11788</v>
      </c>
      <c r="CF18">
        <v>10719</v>
      </c>
      <c r="CG18">
        <v>11196</v>
      </c>
      <c r="CH18">
        <v>42782</v>
      </c>
      <c r="CI18">
        <v>10169</v>
      </c>
      <c r="CJ18">
        <v>12891</v>
      </c>
      <c r="CK18">
        <v>11033</v>
      </c>
      <c r="CL18">
        <v>17867</v>
      </c>
      <c r="CM18">
        <v>51960</v>
      </c>
      <c r="CN18">
        <v>10700</v>
      </c>
      <c r="CO18">
        <v>13685</v>
      </c>
      <c r="CP18">
        <v>12877</v>
      </c>
      <c r="CQ18">
        <v>13823</v>
      </c>
      <c r="CR18">
        <v>51085</v>
      </c>
      <c r="CS18">
        <v>12195</v>
      </c>
      <c r="CT18">
        <v>16550</v>
      </c>
      <c r="CU18">
        <v>13429</v>
      </c>
      <c r="CV18">
        <v>16900</v>
      </c>
      <c r="CW18">
        <v>59074</v>
      </c>
      <c r="CX18">
        <v>17357</v>
      </c>
      <c r="CY18">
        <v>18694</v>
      </c>
      <c r="CZ18">
        <v>15135</v>
      </c>
      <c r="DA18">
        <v>24233</v>
      </c>
      <c r="DB18">
        <v>75419</v>
      </c>
      <c r="DC18">
        <v>14586</v>
      </c>
      <c r="DD18">
        <v>17770</v>
      </c>
      <c r="DE18">
        <v>15248</v>
      </c>
      <c r="DF18">
        <v>17534</v>
      </c>
      <c r="DG18">
        <v>65138</v>
      </c>
      <c r="DH18">
        <v>15213</v>
      </c>
      <c r="DI18">
        <v>17921</v>
      </c>
      <c r="DJ18">
        <v>16489</v>
      </c>
      <c r="DK18">
        <v>17923</v>
      </c>
      <c r="DL18">
        <v>67546</v>
      </c>
      <c r="DM18">
        <v>16830</v>
      </c>
      <c r="DN18">
        <v>20239</v>
      </c>
      <c r="DO18">
        <v>18527</v>
      </c>
      <c r="DP18">
        <v>19706</v>
      </c>
      <c r="DQ18">
        <v>75302</v>
      </c>
      <c r="DR18">
        <v>19129</v>
      </c>
      <c r="DS18">
        <v>22213</v>
      </c>
      <c r="DT18">
        <v>20230</v>
      </c>
      <c r="DU18">
        <v>21312</v>
      </c>
      <c r="DV18">
        <v>82884</v>
      </c>
      <c r="DW18">
        <v>20369</v>
      </c>
      <c r="DX18">
        <v>23015</v>
      </c>
      <c r="DY18">
        <v>22046</v>
      </c>
      <c r="DZ18">
        <v>24626</v>
      </c>
      <c r="EA18">
        <v>90056</v>
      </c>
      <c r="EB18">
        <v>21278</v>
      </c>
      <c r="EC18">
        <v>25179</v>
      </c>
      <c r="ED18">
        <v>24658</v>
      </c>
      <c r="EE18">
        <v>27057</v>
      </c>
      <c r="EF18">
        <v>98172</v>
      </c>
      <c r="EG18">
        <v>25079</v>
      </c>
      <c r="EH18">
        <v>29481</v>
      </c>
      <c r="EI18">
        <v>28996</v>
      </c>
      <c r="EJ18">
        <v>31331</v>
      </c>
      <c r="EK18">
        <v>114887</v>
      </c>
      <c r="EL18">
        <v>28604</v>
      </c>
      <c r="EM18">
        <v>32348</v>
      </c>
      <c r="EN18">
        <v>30505</v>
      </c>
      <c r="EO18">
        <v>31935</v>
      </c>
      <c r="EP18">
        <v>123392</v>
      </c>
      <c r="EQ18">
        <v>29622</v>
      </c>
      <c r="ER18">
        <v>34988</v>
      </c>
      <c r="ES18">
        <v>34277</v>
      </c>
      <c r="ET18">
        <v>36802</v>
      </c>
      <c r="EU18">
        <v>135689</v>
      </c>
      <c r="EV18">
        <v>35033</v>
      </c>
      <c r="EW18">
        <v>37979</v>
      </c>
      <c r="EX18">
        <v>38066</v>
      </c>
      <c r="EY18">
        <v>41861.848074442103</v>
      </c>
      <c r="EZ18">
        <v>152939.84807444201</v>
      </c>
      <c r="FA18">
        <v>39856.204307126201</v>
      </c>
      <c r="FB18">
        <v>42777.634171109101</v>
      </c>
      <c r="FC18">
        <v>42584.629745010097</v>
      </c>
      <c r="FD18">
        <v>46121.037458798099</v>
      </c>
      <c r="FE18">
        <v>171339.505682043</v>
      </c>
      <c r="FF18">
        <v>44666.498555686201</v>
      </c>
      <c r="FG18">
        <v>47948.970729345499</v>
      </c>
      <c r="FH18">
        <v>47813.409135090602</v>
      </c>
      <c r="FI18">
        <v>52075.933524357897</v>
      </c>
      <c r="FJ18">
        <v>192504.81194448</v>
      </c>
      <c r="FK18">
        <v>50118.149618269999</v>
      </c>
      <c r="FL18">
        <v>53807.972434458097</v>
      </c>
      <c r="FM18">
        <v>53738.162026828999</v>
      </c>
      <c r="FN18">
        <v>58863.434460637298</v>
      </c>
      <c r="FO18">
        <v>216527.71854019401</v>
      </c>
    </row>
    <row r="19" spans="1:171">
      <c r="B19" t="s">
        <v>612</v>
      </c>
      <c r="C19" t="s">
        <v>613</v>
      </c>
      <c r="D19" t="s">
        <v>379</v>
      </c>
      <c r="F19">
        <v>4168</v>
      </c>
      <c r="G19">
        <v>1377</v>
      </c>
      <c r="H19">
        <v>1487</v>
      </c>
      <c r="I19">
        <v>1620</v>
      </c>
      <c r="J19">
        <v>1589</v>
      </c>
      <c r="K19">
        <v>6073</v>
      </c>
      <c r="L19">
        <v>1393</v>
      </c>
      <c r="M19">
        <v>1599</v>
      </c>
      <c r="N19">
        <v>1640</v>
      </c>
      <c r="O19">
        <v>1596</v>
      </c>
      <c r="P19">
        <v>6228</v>
      </c>
      <c r="Q19">
        <v>1999</v>
      </c>
      <c r="R19">
        <v>1922</v>
      </c>
      <c r="S19">
        <v>1847</v>
      </c>
      <c r="T19">
        <v>2072</v>
      </c>
      <c r="U19">
        <v>7840</v>
      </c>
      <c r="V19">
        <v>2290</v>
      </c>
      <c r="W19">
        <v>2658</v>
      </c>
      <c r="X19">
        <v>2524</v>
      </c>
      <c r="Y19">
        <v>3273</v>
      </c>
      <c r="Z19">
        <v>10745</v>
      </c>
      <c r="AA19">
        <v>3057</v>
      </c>
      <c r="AB19">
        <v>3519</v>
      </c>
      <c r="AC19">
        <v>3203</v>
      </c>
      <c r="AD19">
        <v>2988</v>
      </c>
      <c r="AE19">
        <v>12767</v>
      </c>
      <c r="AF19">
        <v>3239</v>
      </c>
      <c r="AG19">
        <v>3595</v>
      </c>
      <c r="AH19">
        <v>3888</v>
      </c>
      <c r="AI19">
        <v>4390</v>
      </c>
      <c r="AJ19">
        <v>15112</v>
      </c>
      <c r="AK19">
        <v>3511</v>
      </c>
      <c r="AL19">
        <v>5195</v>
      </c>
      <c r="AM19">
        <v>4095</v>
      </c>
      <c r="AN19">
        <v>4738</v>
      </c>
      <c r="AO19">
        <v>17539</v>
      </c>
      <c r="AP19">
        <v>4991</v>
      </c>
      <c r="AQ19">
        <v>6583</v>
      </c>
      <c r="AR19">
        <v>5474</v>
      </c>
      <c r="AS19">
        <v>6987</v>
      </c>
      <c r="AT19">
        <v>24035</v>
      </c>
      <c r="AU19">
        <v>5395</v>
      </c>
      <c r="AV19">
        <v>8978</v>
      </c>
      <c r="AW19">
        <v>8146</v>
      </c>
      <c r="AX19">
        <v>6468</v>
      </c>
      <c r="AY19">
        <v>28987</v>
      </c>
      <c r="AZ19">
        <v>5878</v>
      </c>
      <c r="BA19">
        <v>6177</v>
      </c>
      <c r="BB19">
        <v>6573</v>
      </c>
      <c r="BC19">
        <v>7454</v>
      </c>
      <c r="BD19">
        <v>26082</v>
      </c>
      <c r="BE19">
        <v>5929</v>
      </c>
      <c r="BF19">
        <v>7411</v>
      </c>
      <c r="BG19">
        <v>7189</v>
      </c>
      <c r="BH19">
        <v>8184</v>
      </c>
      <c r="BI19">
        <v>28713</v>
      </c>
      <c r="BJ19">
        <v>6586</v>
      </c>
      <c r="BK19">
        <v>9435</v>
      </c>
      <c r="BL19">
        <v>8254</v>
      </c>
      <c r="BM19">
        <v>9763</v>
      </c>
      <c r="BN19">
        <v>34038</v>
      </c>
      <c r="BO19">
        <v>8279</v>
      </c>
      <c r="BP19">
        <v>10367</v>
      </c>
      <c r="BQ19">
        <v>10577</v>
      </c>
      <c r="BR19">
        <v>10761</v>
      </c>
      <c r="BS19">
        <v>39984</v>
      </c>
      <c r="BT19">
        <v>9647</v>
      </c>
      <c r="BU19">
        <v>11322</v>
      </c>
      <c r="BV19">
        <v>9874</v>
      </c>
      <c r="BW19">
        <v>9793</v>
      </c>
      <c r="BX19">
        <v>40636</v>
      </c>
      <c r="BY19">
        <v>9084</v>
      </c>
      <c r="BZ19">
        <v>11124</v>
      </c>
      <c r="CA19">
        <v>10024</v>
      </c>
      <c r="CB19">
        <v>10827</v>
      </c>
      <c r="CC19">
        <v>41059</v>
      </c>
      <c r="CD19">
        <v>9773</v>
      </c>
      <c r="CE19">
        <v>12451</v>
      </c>
      <c r="CF19">
        <v>11439</v>
      </c>
      <c r="CG19">
        <v>11885</v>
      </c>
      <c r="CH19">
        <v>45548</v>
      </c>
      <c r="CI19">
        <v>10895</v>
      </c>
      <c r="CJ19">
        <v>13569</v>
      </c>
      <c r="CK19">
        <v>11799</v>
      </c>
      <c r="CL19">
        <v>18664</v>
      </c>
      <c r="CM19">
        <v>54927</v>
      </c>
      <c r="CN19">
        <v>11410</v>
      </c>
      <c r="CO19">
        <v>14694</v>
      </c>
      <c r="CP19">
        <v>13930</v>
      </c>
      <c r="CQ19">
        <v>14806</v>
      </c>
      <c r="CR19">
        <v>54840</v>
      </c>
      <c r="CS19">
        <v>13149</v>
      </c>
      <c r="CT19">
        <v>17811</v>
      </c>
      <c r="CU19">
        <v>14684</v>
      </c>
      <c r="CV19">
        <v>18642</v>
      </c>
      <c r="CW19">
        <v>64286</v>
      </c>
      <c r="CX19">
        <v>18785</v>
      </c>
      <c r="CY19">
        <v>20215</v>
      </c>
      <c r="CZ19">
        <v>16650</v>
      </c>
      <c r="DA19">
        <v>25726</v>
      </c>
      <c r="DB19">
        <v>81376</v>
      </c>
      <c r="DC19">
        <v>16047</v>
      </c>
      <c r="DD19">
        <v>19314</v>
      </c>
      <c r="DE19">
        <v>16955</v>
      </c>
      <c r="DF19">
        <v>19444</v>
      </c>
      <c r="DG19">
        <v>71760</v>
      </c>
      <c r="DH19">
        <v>17029</v>
      </c>
      <c r="DI19">
        <v>20087</v>
      </c>
      <c r="DJ19">
        <v>18942</v>
      </c>
      <c r="DK19">
        <v>20266</v>
      </c>
      <c r="DL19">
        <v>76324</v>
      </c>
      <c r="DM19">
        <v>19329</v>
      </c>
      <c r="DN19">
        <v>22775</v>
      </c>
      <c r="DO19">
        <v>21237</v>
      </c>
      <c r="DP19">
        <v>22222</v>
      </c>
      <c r="DQ19">
        <v>85563</v>
      </c>
      <c r="DR19">
        <v>21966</v>
      </c>
      <c r="DS19">
        <v>25208</v>
      </c>
      <c r="DT19">
        <v>23156</v>
      </c>
      <c r="DU19">
        <v>24236</v>
      </c>
      <c r="DV19">
        <v>94566</v>
      </c>
      <c r="DW19">
        <v>23340</v>
      </c>
      <c r="DX19">
        <v>26218</v>
      </c>
      <c r="DY19">
        <v>25164</v>
      </c>
      <c r="DZ19">
        <v>28130</v>
      </c>
      <c r="EA19">
        <v>102852</v>
      </c>
      <c r="EB19">
        <v>23923</v>
      </c>
      <c r="EC19">
        <v>27940</v>
      </c>
      <c r="ED19">
        <v>27594</v>
      </c>
      <c r="EE19">
        <v>30401</v>
      </c>
      <c r="EF19">
        <v>109858</v>
      </c>
      <c r="EG19">
        <v>28291</v>
      </c>
      <c r="EH19">
        <v>32977</v>
      </c>
      <c r="EI19">
        <v>32769</v>
      </c>
      <c r="EJ19">
        <v>35310</v>
      </c>
      <c r="EK19">
        <v>129347</v>
      </c>
      <c r="EL19">
        <v>31394</v>
      </c>
      <c r="EM19">
        <v>35996</v>
      </c>
      <c r="EN19">
        <v>34054</v>
      </c>
      <c r="EO19">
        <v>35809</v>
      </c>
      <c r="EP19">
        <v>137253</v>
      </c>
      <c r="EQ19">
        <v>33543</v>
      </c>
      <c r="ER19">
        <v>40947</v>
      </c>
      <c r="ES19">
        <v>40304</v>
      </c>
      <c r="ET19">
        <v>43182</v>
      </c>
      <c r="EU19">
        <v>157976</v>
      </c>
      <c r="EV19">
        <v>42416</v>
      </c>
      <c r="EW19">
        <v>44806</v>
      </c>
      <c r="EX19">
        <v>46806</v>
      </c>
      <c r="EY19">
        <v>50055.757692337102</v>
      </c>
      <c r="EZ19">
        <v>184083.75769233701</v>
      </c>
      <c r="FA19">
        <v>49781.679075406602</v>
      </c>
      <c r="FB19">
        <v>53130.416086114798</v>
      </c>
      <c r="FC19">
        <v>53393.857058803602</v>
      </c>
      <c r="FD19">
        <v>57369.674931649897</v>
      </c>
      <c r="FE19">
        <v>213675.627151975</v>
      </c>
      <c r="FF19">
        <v>56550.413964970598</v>
      </c>
      <c r="FG19">
        <v>60209.381979850303</v>
      </c>
      <c r="FH19">
        <v>60485.835820489199</v>
      </c>
      <c r="FI19">
        <v>65146.183562562597</v>
      </c>
      <c r="FJ19">
        <v>242391.81532787299</v>
      </c>
      <c r="FK19">
        <v>64093.895362350799</v>
      </c>
      <c r="FL19">
        <v>68095.434215672198</v>
      </c>
      <c r="FM19">
        <v>68379.835972642599</v>
      </c>
      <c r="FN19">
        <v>73848.924561804495</v>
      </c>
      <c r="FO19">
        <v>274418.09011246997</v>
      </c>
    </row>
    <row r="20" spans="1:171">
      <c r="B20" t="s">
        <v>614</v>
      </c>
      <c r="C20" t="s">
        <v>615</v>
      </c>
      <c r="D20" t="s">
        <v>379</v>
      </c>
      <c r="F20">
        <v>2307</v>
      </c>
      <c r="G20">
        <v>777</v>
      </c>
      <c r="H20">
        <v>864</v>
      </c>
      <c r="I20">
        <v>963</v>
      </c>
      <c r="J20">
        <v>954</v>
      </c>
      <c r="K20">
        <v>3558</v>
      </c>
      <c r="L20">
        <v>902</v>
      </c>
      <c r="M20">
        <v>1081</v>
      </c>
      <c r="N20">
        <v>1568</v>
      </c>
      <c r="O20">
        <v>1579</v>
      </c>
      <c r="P20">
        <v>5130</v>
      </c>
      <c r="Q20">
        <v>1131</v>
      </c>
      <c r="R20">
        <v>1663</v>
      </c>
      <c r="S20">
        <v>1927</v>
      </c>
      <c r="T20">
        <v>1923</v>
      </c>
      <c r="U20">
        <v>6644</v>
      </c>
      <c r="V20">
        <v>2261</v>
      </c>
      <c r="W20">
        <v>2891</v>
      </c>
      <c r="X20">
        <v>2387</v>
      </c>
      <c r="Y20">
        <v>3315</v>
      </c>
      <c r="Z20">
        <v>10854</v>
      </c>
      <c r="AA20">
        <v>3207</v>
      </c>
      <c r="AB20">
        <v>3243</v>
      </c>
      <c r="AC20">
        <v>3003</v>
      </c>
      <c r="AD20">
        <v>2232</v>
      </c>
      <c r="AE20">
        <v>11685</v>
      </c>
      <c r="AF20">
        <v>3027</v>
      </c>
      <c r="AG20">
        <v>3433</v>
      </c>
      <c r="AH20">
        <v>3481</v>
      </c>
      <c r="AI20">
        <v>3315</v>
      </c>
      <c r="AJ20">
        <v>13256</v>
      </c>
      <c r="AK20">
        <v>3179</v>
      </c>
      <c r="AL20">
        <v>3136</v>
      </c>
      <c r="AM20">
        <v>3446</v>
      </c>
      <c r="AN20">
        <v>3233</v>
      </c>
      <c r="AO20">
        <v>12994</v>
      </c>
      <c r="AP20">
        <v>3301</v>
      </c>
      <c r="AQ20">
        <v>2508</v>
      </c>
      <c r="AR20">
        <v>3127</v>
      </c>
      <c r="AS20">
        <v>2002</v>
      </c>
      <c r="AT20">
        <v>10938</v>
      </c>
      <c r="AU20">
        <v>3476</v>
      </c>
      <c r="AV20">
        <v>1775</v>
      </c>
      <c r="AW20">
        <v>1527</v>
      </c>
      <c r="AX20">
        <v>3442</v>
      </c>
      <c r="AY20">
        <v>10220</v>
      </c>
      <c r="AZ20">
        <v>3677</v>
      </c>
      <c r="BA20">
        <v>4857</v>
      </c>
      <c r="BB20">
        <v>3611</v>
      </c>
      <c r="BC20">
        <v>3271</v>
      </c>
      <c r="BD20">
        <v>15416</v>
      </c>
      <c r="BE20">
        <v>4280</v>
      </c>
      <c r="BF20">
        <v>4888</v>
      </c>
      <c r="BG20">
        <v>4065</v>
      </c>
      <c r="BH20">
        <v>4142</v>
      </c>
      <c r="BI20">
        <v>17375</v>
      </c>
      <c r="BJ20">
        <v>4723</v>
      </c>
      <c r="BK20">
        <v>3837</v>
      </c>
      <c r="BL20">
        <v>7034</v>
      </c>
      <c r="BM20">
        <v>4370</v>
      </c>
      <c r="BN20">
        <v>19964</v>
      </c>
      <c r="BO20">
        <v>6353</v>
      </c>
      <c r="BP20">
        <v>6962</v>
      </c>
      <c r="BQ20">
        <v>4941</v>
      </c>
      <c r="BR20">
        <v>6292</v>
      </c>
      <c r="BS20">
        <v>24548</v>
      </c>
      <c r="BT20">
        <v>6584</v>
      </c>
      <c r="BU20">
        <v>6571</v>
      </c>
      <c r="BV20">
        <v>5102</v>
      </c>
      <c r="BW20">
        <v>4668</v>
      </c>
      <c r="BX20">
        <v>22925</v>
      </c>
      <c r="BY20">
        <v>5128</v>
      </c>
      <c r="BZ20">
        <v>9128</v>
      </c>
      <c r="CA20">
        <v>5867</v>
      </c>
      <c r="CB20">
        <v>6648</v>
      </c>
      <c r="CC20">
        <v>26771</v>
      </c>
      <c r="CD20">
        <v>7810</v>
      </c>
      <c r="CE20">
        <v>8828</v>
      </c>
      <c r="CF20">
        <v>6429</v>
      </c>
      <c r="CG20">
        <v>6860</v>
      </c>
      <c r="CH20">
        <v>29927</v>
      </c>
      <c r="CI20">
        <v>7929</v>
      </c>
      <c r="CJ20">
        <v>8672</v>
      </c>
      <c r="CK20">
        <v>7140</v>
      </c>
      <c r="CL20">
        <v>989</v>
      </c>
      <c r="CM20">
        <v>24730</v>
      </c>
      <c r="CN20">
        <v>6018</v>
      </c>
      <c r="CO20">
        <v>8780</v>
      </c>
      <c r="CP20">
        <v>8665</v>
      </c>
      <c r="CQ20">
        <v>7056</v>
      </c>
      <c r="CR20">
        <v>30519</v>
      </c>
      <c r="CS20">
        <v>7288</v>
      </c>
      <c r="CT20">
        <v>9230</v>
      </c>
      <c r="CU20">
        <v>8229</v>
      </c>
      <c r="CV20">
        <v>8224</v>
      </c>
      <c r="CW20">
        <v>32971</v>
      </c>
      <c r="CX20">
        <v>7272</v>
      </c>
      <c r="CY20">
        <v>9297</v>
      </c>
      <c r="CZ20">
        <v>8109</v>
      </c>
      <c r="DA20">
        <v>-560</v>
      </c>
      <c r="DB20">
        <v>24118</v>
      </c>
      <c r="DC20">
        <v>7254</v>
      </c>
      <c r="DD20">
        <v>7570</v>
      </c>
      <c r="DE20">
        <v>6990</v>
      </c>
      <c r="DF20">
        <v>4990</v>
      </c>
      <c r="DG20">
        <v>26804</v>
      </c>
      <c r="DH20">
        <v>8531</v>
      </c>
      <c r="DI20">
        <v>10071</v>
      </c>
      <c r="DJ20">
        <v>9176</v>
      </c>
      <c r="DK20">
        <v>10025</v>
      </c>
      <c r="DL20">
        <v>37803</v>
      </c>
      <c r="DM20">
        <v>10207</v>
      </c>
      <c r="DN20">
        <v>11215</v>
      </c>
      <c r="DO20">
        <v>11002</v>
      </c>
      <c r="DP20">
        <v>12895</v>
      </c>
      <c r="DQ20">
        <v>45319</v>
      </c>
      <c r="DR20">
        <v>12792</v>
      </c>
      <c r="DS20">
        <v>13253</v>
      </c>
      <c r="DT20">
        <v>13267</v>
      </c>
      <c r="DU20">
        <v>15329</v>
      </c>
      <c r="DV20">
        <v>54641</v>
      </c>
      <c r="DW20">
        <v>15657</v>
      </c>
      <c r="DX20">
        <v>17094</v>
      </c>
      <c r="DY20">
        <v>16093</v>
      </c>
      <c r="DZ20">
        <v>16911</v>
      </c>
      <c r="EA20">
        <v>65755</v>
      </c>
      <c r="EB20">
        <v>18521</v>
      </c>
      <c r="EC20">
        <v>20658</v>
      </c>
      <c r="ED20">
        <v>19984</v>
      </c>
      <c r="EE20">
        <v>22439</v>
      </c>
      <c r="EF20">
        <v>81602</v>
      </c>
      <c r="EG20">
        <v>23450</v>
      </c>
      <c r="EH20">
        <v>25743</v>
      </c>
      <c r="EI20">
        <v>24137</v>
      </c>
      <c r="EJ20">
        <v>24513</v>
      </c>
      <c r="EK20">
        <v>97843</v>
      </c>
      <c r="EL20">
        <v>24308</v>
      </c>
      <c r="EM20">
        <v>24047</v>
      </c>
      <c r="EN20">
        <v>25901</v>
      </c>
      <c r="EO20">
        <v>28128</v>
      </c>
      <c r="EP20">
        <v>102384</v>
      </c>
      <c r="EQ20">
        <v>30816</v>
      </c>
      <c r="ER20">
        <v>32991</v>
      </c>
      <c r="ES20">
        <v>33608</v>
      </c>
      <c r="ET20">
        <v>34305</v>
      </c>
      <c r="EU20">
        <v>131720</v>
      </c>
      <c r="EV20">
        <v>37935</v>
      </c>
      <c r="EW20">
        <v>38480</v>
      </c>
      <c r="EX20">
        <v>40740</v>
      </c>
      <c r="EY20">
        <v>40667.3116439804</v>
      </c>
      <c r="EZ20">
        <v>157822.31164398001</v>
      </c>
      <c r="FA20">
        <v>44663.920011985101</v>
      </c>
      <c r="FB20">
        <v>46556.833454829597</v>
      </c>
      <c r="FC20">
        <v>47524.179263029298</v>
      </c>
      <c r="FD20">
        <v>49586.594749577896</v>
      </c>
      <c r="FE20">
        <v>188331.52747942199</v>
      </c>
      <c r="FF20">
        <v>51702.565727499801</v>
      </c>
      <c r="FG20">
        <v>53771.265327191897</v>
      </c>
      <c r="FH20">
        <v>54819.881114591197</v>
      </c>
      <c r="FI20">
        <v>57254.125129283799</v>
      </c>
      <c r="FJ20">
        <v>217547.837298567</v>
      </c>
      <c r="FK20">
        <v>59529.035381863898</v>
      </c>
      <c r="FL20">
        <v>61789.950867164698</v>
      </c>
      <c r="FM20">
        <v>62924.128680567301</v>
      </c>
      <c r="FN20">
        <v>65802.853803893202</v>
      </c>
      <c r="FO20">
        <v>250045.96873348899</v>
      </c>
    </row>
    <row r="21" spans="1:171">
      <c r="B21" t="s">
        <v>616</v>
      </c>
      <c r="C21" t="s">
        <v>617</v>
      </c>
      <c r="D21" t="s">
        <v>379</v>
      </c>
      <c r="DH21">
        <v>-1602</v>
      </c>
      <c r="DI21">
        <v>-1851</v>
      </c>
      <c r="DJ21">
        <v>-1893</v>
      </c>
      <c r="DK21">
        <v>-1732</v>
      </c>
      <c r="DL21">
        <v>-7078</v>
      </c>
      <c r="DM21">
        <v>-1936</v>
      </c>
      <c r="DN21">
        <v>-1974</v>
      </c>
      <c r="DO21">
        <v>-2150</v>
      </c>
      <c r="DP21">
        <v>-2001</v>
      </c>
      <c r="DQ21">
        <v>-8061</v>
      </c>
      <c r="DR21">
        <v>-2281</v>
      </c>
      <c r="DS21">
        <v>-2465</v>
      </c>
      <c r="DT21">
        <v>-2495</v>
      </c>
      <c r="DU21">
        <v>-2541</v>
      </c>
      <c r="DV21">
        <v>-9782</v>
      </c>
      <c r="DW21">
        <v>-2537</v>
      </c>
      <c r="DX21">
        <v>-2792</v>
      </c>
      <c r="DY21">
        <v>-2762</v>
      </c>
      <c r="DZ21">
        <v>-3105</v>
      </c>
      <c r="EA21">
        <v>-11196</v>
      </c>
      <c r="EB21">
        <v>-2262</v>
      </c>
      <c r="EC21">
        <v>-2383</v>
      </c>
      <c r="ED21">
        <v>-2531</v>
      </c>
      <c r="EE21">
        <v>-2910</v>
      </c>
      <c r="EF21">
        <v>-10086</v>
      </c>
      <c r="EG21">
        <v>-2773</v>
      </c>
      <c r="EH21">
        <v>-3050</v>
      </c>
      <c r="EI21">
        <v>-3271</v>
      </c>
      <c r="EJ21">
        <v>-3366</v>
      </c>
      <c r="EK21">
        <v>-12460</v>
      </c>
      <c r="EL21">
        <v>-2157</v>
      </c>
      <c r="EM21">
        <v>-3016</v>
      </c>
      <c r="EN21">
        <v>-2937</v>
      </c>
      <c r="EO21">
        <v>-3251</v>
      </c>
      <c r="EP21">
        <v>-11361</v>
      </c>
      <c r="EQ21">
        <v>-3285</v>
      </c>
      <c r="ER21">
        <v>-4659</v>
      </c>
      <c r="ES21">
        <v>-4627</v>
      </c>
      <c r="ET21">
        <v>-4916</v>
      </c>
      <c r="EU21">
        <v>-17487</v>
      </c>
      <c r="EV21">
        <v>-5983</v>
      </c>
      <c r="EW21">
        <v>-5327</v>
      </c>
      <c r="EX21">
        <v>-7240</v>
      </c>
      <c r="EY21">
        <v>-6668.9096178949903</v>
      </c>
      <c r="EZ21">
        <v>-25218.909617894999</v>
      </c>
      <c r="FA21">
        <v>-8779.9747682804209</v>
      </c>
      <c r="FB21">
        <v>-9207.2819150057094</v>
      </c>
      <c r="FC21">
        <v>-9663.7273137934899</v>
      </c>
      <c r="FD21">
        <v>-10103.1374728518</v>
      </c>
      <c r="FE21">
        <v>-37754.121469931502</v>
      </c>
      <c r="FF21">
        <v>-11167.4154092845</v>
      </c>
      <c r="FG21">
        <v>-11543.9112505048</v>
      </c>
      <c r="FH21">
        <v>-11955.926685398599</v>
      </c>
      <c r="FI21">
        <v>-12353.7500382047</v>
      </c>
      <c r="FJ21">
        <v>-47021.003383392599</v>
      </c>
      <c r="FK21">
        <v>-13473.995744080799</v>
      </c>
      <c r="FL21">
        <v>-13785.7117812141</v>
      </c>
      <c r="FM21">
        <v>-14139.9239458136</v>
      </c>
      <c r="FN21">
        <v>-14483.740101167199</v>
      </c>
      <c r="FO21">
        <v>-55883.371572275602</v>
      </c>
    </row>
    <row r="22" spans="1:171">
      <c r="B22" t="s">
        <v>179</v>
      </c>
      <c r="C22" t="s">
        <v>618</v>
      </c>
      <c r="D22" t="s">
        <v>379</v>
      </c>
      <c r="DH22">
        <v>-214</v>
      </c>
      <c r="DI22">
        <v>-315</v>
      </c>
      <c r="DJ22">
        <v>-560</v>
      </c>
      <c r="DK22">
        <v>-611</v>
      </c>
      <c r="DL22">
        <v>-1700</v>
      </c>
      <c r="DM22">
        <v>-563</v>
      </c>
      <c r="DN22">
        <v>-562</v>
      </c>
      <c r="DO22">
        <v>-560</v>
      </c>
      <c r="DP22">
        <v>-515</v>
      </c>
      <c r="DQ22">
        <v>-2200</v>
      </c>
      <c r="DR22">
        <v>-556</v>
      </c>
      <c r="DS22">
        <v>-530</v>
      </c>
      <c r="DT22">
        <v>-431</v>
      </c>
      <c r="DU22">
        <v>-383</v>
      </c>
      <c r="DV22">
        <v>-1900</v>
      </c>
      <c r="DW22">
        <v>-434</v>
      </c>
      <c r="DX22">
        <v>-411</v>
      </c>
      <c r="DY22">
        <v>-356</v>
      </c>
      <c r="DZ22">
        <v>-399</v>
      </c>
      <c r="EA22">
        <v>-1600</v>
      </c>
      <c r="EB22">
        <v>-383</v>
      </c>
      <c r="EC22">
        <v>-378</v>
      </c>
      <c r="ED22">
        <v>-405</v>
      </c>
      <c r="EE22">
        <v>-434</v>
      </c>
      <c r="EF22">
        <v>-1600</v>
      </c>
      <c r="EG22">
        <v>-439</v>
      </c>
      <c r="EH22">
        <v>-446</v>
      </c>
      <c r="EI22">
        <v>-502</v>
      </c>
      <c r="EJ22">
        <v>-613</v>
      </c>
      <c r="EK22">
        <v>-2000</v>
      </c>
      <c r="EL22">
        <v>-633</v>
      </c>
      <c r="EM22">
        <v>-632</v>
      </c>
      <c r="EN22">
        <v>-612</v>
      </c>
      <c r="EO22">
        <v>-623</v>
      </c>
      <c r="EP22">
        <v>-2500</v>
      </c>
      <c r="EQ22">
        <v>-636</v>
      </c>
      <c r="ER22">
        <v>-1300</v>
      </c>
      <c r="ES22">
        <v>-1400</v>
      </c>
      <c r="ET22">
        <v>-1464</v>
      </c>
      <c r="EU22">
        <v>-4800</v>
      </c>
      <c r="EV22">
        <v>-1400</v>
      </c>
      <c r="EW22">
        <v>-1500</v>
      </c>
      <c r="EX22">
        <v>-1500</v>
      </c>
      <c r="EY22">
        <v>-1525</v>
      </c>
      <c r="EZ22">
        <v>-5892</v>
      </c>
      <c r="FA22">
        <v>-1145.5</v>
      </c>
      <c r="FB22">
        <v>-1145.5</v>
      </c>
      <c r="FC22">
        <v>-1145.5</v>
      </c>
      <c r="FD22">
        <v>-1145.5</v>
      </c>
      <c r="FE22">
        <v>-4582</v>
      </c>
      <c r="FF22">
        <v>-716.5</v>
      </c>
      <c r="FG22">
        <v>-716.5</v>
      </c>
      <c r="FH22">
        <v>-716.5</v>
      </c>
      <c r="FI22">
        <v>-716.5</v>
      </c>
      <c r="FJ22">
        <v>-2866</v>
      </c>
      <c r="FK22">
        <v>-501.75</v>
      </c>
      <c r="FL22">
        <v>-501.75</v>
      </c>
      <c r="FM22">
        <v>-501.75</v>
      </c>
      <c r="FN22">
        <v>-501.75</v>
      </c>
      <c r="FO22">
        <v>-2007</v>
      </c>
    </row>
    <row r="23" spans="1:171">
      <c r="B23" t="s">
        <v>619</v>
      </c>
      <c r="C23" t="s">
        <v>620</v>
      </c>
      <c r="D23" t="s">
        <v>379</v>
      </c>
      <c r="F23">
        <v>2038</v>
      </c>
      <c r="G23">
        <v>708</v>
      </c>
      <c r="H23">
        <v>786</v>
      </c>
      <c r="I23">
        <v>774</v>
      </c>
      <c r="J23">
        <v>810</v>
      </c>
      <c r="K23">
        <v>3078</v>
      </c>
      <c r="L23">
        <v>902</v>
      </c>
      <c r="M23">
        <v>1081</v>
      </c>
      <c r="N23">
        <v>1568</v>
      </c>
      <c r="O23">
        <v>1579</v>
      </c>
      <c r="P23">
        <v>5130</v>
      </c>
      <c r="Q23">
        <v>1131</v>
      </c>
      <c r="R23">
        <v>1663</v>
      </c>
      <c r="S23">
        <v>1927</v>
      </c>
      <c r="T23">
        <v>1923</v>
      </c>
      <c r="U23">
        <v>6644</v>
      </c>
      <c r="V23">
        <v>2082</v>
      </c>
      <c r="W23">
        <v>2714</v>
      </c>
      <c r="X23">
        <v>2229</v>
      </c>
      <c r="Y23">
        <v>2903</v>
      </c>
      <c r="Z23">
        <v>9928</v>
      </c>
      <c r="AA23">
        <v>2767</v>
      </c>
      <c r="AB23">
        <v>2918</v>
      </c>
      <c r="AC23">
        <v>2728</v>
      </c>
      <c r="AD23">
        <v>2524</v>
      </c>
      <c r="AE23">
        <v>10937</v>
      </c>
      <c r="AF23">
        <v>2777</v>
      </c>
      <c r="AG23">
        <v>3194</v>
      </c>
      <c r="AH23">
        <v>2998</v>
      </c>
      <c r="AI23">
        <v>2751</v>
      </c>
      <c r="AJ23">
        <v>11720</v>
      </c>
      <c r="AK23">
        <v>2897</v>
      </c>
      <c r="AL23">
        <v>2841</v>
      </c>
      <c r="AM23">
        <v>3298</v>
      </c>
      <c r="AN23">
        <v>2874</v>
      </c>
      <c r="AO23">
        <v>11910</v>
      </c>
      <c r="AP23">
        <v>3028</v>
      </c>
      <c r="AQ23">
        <v>2233</v>
      </c>
      <c r="AR23">
        <v>2744</v>
      </c>
      <c r="AS23">
        <v>1540</v>
      </c>
      <c r="AT23">
        <v>9545</v>
      </c>
      <c r="AU23">
        <v>3148</v>
      </c>
      <c r="AV23">
        <v>1475</v>
      </c>
      <c r="AW23">
        <v>1278</v>
      </c>
      <c r="AX23">
        <v>3133</v>
      </c>
      <c r="AY23">
        <v>9034</v>
      </c>
      <c r="AZ23">
        <v>3494</v>
      </c>
      <c r="BA23">
        <v>4749</v>
      </c>
      <c r="BB23">
        <v>3329</v>
      </c>
      <c r="BC23">
        <v>2989</v>
      </c>
      <c r="BD23">
        <v>14561</v>
      </c>
      <c r="BE23">
        <v>4046</v>
      </c>
      <c r="BF23">
        <v>4657</v>
      </c>
      <c r="BG23">
        <v>3888</v>
      </c>
      <c r="BH23">
        <v>3881</v>
      </c>
      <c r="BI23">
        <v>16472</v>
      </c>
      <c r="BJ23">
        <v>4474</v>
      </c>
      <c r="BK23">
        <v>3472</v>
      </c>
      <c r="BL23">
        <v>6589</v>
      </c>
      <c r="BM23">
        <v>3989</v>
      </c>
      <c r="BN23">
        <v>18524</v>
      </c>
      <c r="BO23">
        <v>5918</v>
      </c>
      <c r="BP23">
        <v>6481</v>
      </c>
      <c r="BQ23">
        <v>4409</v>
      </c>
      <c r="BR23">
        <v>5684</v>
      </c>
      <c r="BS23">
        <v>22492</v>
      </c>
      <c r="BT23">
        <v>5999</v>
      </c>
      <c r="BU23">
        <v>5939</v>
      </c>
      <c r="BV23">
        <v>4438</v>
      </c>
      <c r="BW23">
        <v>3987</v>
      </c>
      <c r="BX23">
        <v>20363</v>
      </c>
      <c r="BY23">
        <v>4482</v>
      </c>
      <c r="BZ23">
        <v>8513</v>
      </c>
      <c r="CA23">
        <v>5173</v>
      </c>
      <c r="CB23">
        <v>5930</v>
      </c>
      <c r="CC23">
        <v>24098</v>
      </c>
      <c r="CD23">
        <v>7116</v>
      </c>
      <c r="CE23">
        <v>8165</v>
      </c>
      <c r="CF23">
        <v>5709</v>
      </c>
      <c r="CG23">
        <v>6171</v>
      </c>
      <c r="CH23">
        <v>27161</v>
      </c>
      <c r="CI23">
        <v>7203</v>
      </c>
      <c r="CJ23">
        <v>7994</v>
      </c>
      <c r="CK23">
        <v>6374</v>
      </c>
      <c r="CL23">
        <v>192</v>
      </c>
      <c r="CM23">
        <v>21763</v>
      </c>
      <c r="CN23">
        <v>5308</v>
      </c>
      <c r="CO23">
        <v>7771</v>
      </c>
      <c r="CP23">
        <v>7612</v>
      </c>
      <c r="CQ23">
        <v>6073</v>
      </c>
      <c r="CR23">
        <v>26764</v>
      </c>
      <c r="CS23">
        <v>6334</v>
      </c>
      <c r="CT23">
        <v>7969</v>
      </c>
      <c r="CU23">
        <v>6974</v>
      </c>
      <c r="CV23">
        <v>6482</v>
      </c>
      <c r="CW23">
        <v>27759</v>
      </c>
      <c r="CX23">
        <v>5844</v>
      </c>
      <c r="CY23">
        <v>7776</v>
      </c>
      <c r="CZ23">
        <v>6594</v>
      </c>
      <c r="DA23">
        <v>-2053</v>
      </c>
      <c r="DB23">
        <v>18161</v>
      </c>
      <c r="DC23">
        <v>5793</v>
      </c>
      <c r="DD23">
        <v>6026</v>
      </c>
      <c r="DE23">
        <v>5283</v>
      </c>
      <c r="DF23">
        <v>3080</v>
      </c>
      <c r="DG23">
        <v>20182</v>
      </c>
      <c r="DH23">
        <v>6715</v>
      </c>
      <c r="DI23">
        <v>7905</v>
      </c>
      <c r="DJ23">
        <v>6723</v>
      </c>
      <c r="DK23">
        <v>7682</v>
      </c>
      <c r="DL23">
        <v>29025</v>
      </c>
      <c r="DM23">
        <v>7708</v>
      </c>
      <c r="DN23">
        <v>8679</v>
      </c>
      <c r="DO23">
        <v>8292</v>
      </c>
      <c r="DP23">
        <v>10379</v>
      </c>
      <c r="DQ23">
        <v>35058</v>
      </c>
      <c r="DR23">
        <v>9955</v>
      </c>
      <c r="DS23">
        <v>10258</v>
      </c>
      <c r="DT23">
        <v>10341</v>
      </c>
      <c r="DU23">
        <v>12405</v>
      </c>
      <c r="DV23">
        <v>42959</v>
      </c>
      <c r="DW23">
        <v>12686</v>
      </c>
      <c r="DX23">
        <v>13891</v>
      </c>
      <c r="DY23">
        <v>12975</v>
      </c>
      <c r="DZ23">
        <v>13407</v>
      </c>
      <c r="EA23">
        <v>52959</v>
      </c>
      <c r="EB23">
        <v>15876</v>
      </c>
      <c r="EC23">
        <v>17897</v>
      </c>
      <c r="ED23">
        <v>17048</v>
      </c>
      <c r="EE23">
        <v>19095</v>
      </c>
      <c r="EF23">
        <v>69916</v>
      </c>
      <c r="EG23">
        <v>20238</v>
      </c>
      <c r="EH23">
        <v>22247</v>
      </c>
      <c r="EI23">
        <v>20364</v>
      </c>
      <c r="EJ23">
        <v>20534</v>
      </c>
      <c r="EK23">
        <v>83383</v>
      </c>
      <c r="EL23">
        <v>21518</v>
      </c>
      <c r="EM23">
        <v>20399</v>
      </c>
      <c r="EN23">
        <v>22352</v>
      </c>
      <c r="EO23">
        <v>24254</v>
      </c>
      <c r="EP23">
        <v>88523</v>
      </c>
      <c r="EQ23">
        <v>26895</v>
      </c>
      <c r="ER23">
        <v>27032</v>
      </c>
      <c r="ES23">
        <v>27581</v>
      </c>
      <c r="ET23">
        <v>27925</v>
      </c>
      <c r="EU23">
        <v>109433</v>
      </c>
      <c r="EV23">
        <v>30552</v>
      </c>
      <c r="EW23">
        <v>31653</v>
      </c>
      <c r="EX23">
        <v>32000</v>
      </c>
      <c r="EY23">
        <v>32473.402026085401</v>
      </c>
      <c r="EZ23">
        <v>126678.40202608499</v>
      </c>
      <c r="FA23">
        <v>34738.4452437047</v>
      </c>
      <c r="FB23">
        <v>36204.0515398239</v>
      </c>
      <c r="FC23">
        <v>36714.951949235801</v>
      </c>
      <c r="FD23">
        <v>38337.957276726098</v>
      </c>
      <c r="FE23">
        <v>145995.40600949101</v>
      </c>
      <c r="FF23">
        <v>39818.650318215303</v>
      </c>
      <c r="FG23">
        <v>41510.854076687101</v>
      </c>
      <c r="FH23">
        <v>42147.454429192599</v>
      </c>
      <c r="FI23">
        <v>44183.875091078997</v>
      </c>
      <c r="FJ23">
        <v>167660.83391517401</v>
      </c>
      <c r="FK23">
        <v>45553.289637783098</v>
      </c>
      <c r="FL23">
        <v>47502.4890859507</v>
      </c>
      <c r="FM23">
        <v>48282.454734753701</v>
      </c>
      <c r="FN23">
        <v>50817.363702725997</v>
      </c>
      <c r="FO23">
        <v>192155.59716121299</v>
      </c>
    </row>
    <row r="24" spans="1:171">
      <c r="B24" t="s">
        <v>621</v>
      </c>
      <c r="C24" t="s">
        <v>622</v>
      </c>
      <c r="D24" t="s">
        <v>379</v>
      </c>
      <c r="F24">
        <v>0</v>
      </c>
      <c r="G24">
        <v>0</v>
      </c>
      <c r="H24">
        <v>0</v>
      </c>
      <c r="I24">
        <v>0</v>
      </c>
      <c r="J24">
        <v>0</v>
      </c>
      <c r="K24">
        <v>0</v>
      </c>
      <c r="L24">
        <v>0</v>
      </c>
      <c r="M24">
        <v>0</v>
      </c>
      <c r="N24">
        <v>0</v>
      </c>
      <c r="O24">
        <v>0</v>
      </c>
      <c r="P24">
        <v>0</v>
      </c>
      <c r="Q24">
        <v>0</v>
      </c>
      <c r="R24">
        <v>0</v>
      </c>
      <c r="S24">
        <v>0</v>
      </c>
      <c r="T24">
        <v>0</v>
      </c>
      <c r="U24">
        <v>0</v>
      </c>
      <c r="V24">
        <v>0</v>
      </c>
      <c r="W24">
        <v>0</v>
      </c>
      <c r="X24">
        <v>0</v>
      </c>
      <c r="Y24">
        <v>0</v>
      </c>
      <c r="Z24">
        <v>0</v>
      </c>
      <c r="AA24">
        <v>0</v>
      </c>
      <c r="AB24">
        <v>0</v>
      </c>
      <c r="AC24">
        <v>0</v>
      </c>
      <c r="AD24">
        <v>0</v>
      </c>
      <c r="AE24">
        <v>0</v>
      </c>
      <c r="AF24">
        <v>0</v>
      </c>
      <c r="AG24">
        <v>0</v>
      </c>
      <c r="AH24">
        <v>0</v>
      </c>
      <c r="AI24">
        <v>0</v>
      </c>
      <c r="AJ24">
        <v>0</v>
      </c>
      <c r="AK24">
        <v>0</v>
      </c>
      <c r="AL24">
        <v>0</v>
      </c>
      <c r="AM24">
        <v>0</v>
      </c>
      <c r="AN24">
        <v>0</v>
      </c>
      <c r="AO24">
        <v>0</v>
      </c>
      <c r="AP24">
        <v>0</v>
      </c>
      <c r="AQ24">
        <v>0</v>
      </c>
      <c r="AR24">
        <v>0</v>
      </c>
      <c r="AS24">
        <v>0</v>
      </c>
      <c r="AT24">
        <v>0</v>
      </c>
      <c r="AU24">
        <v>0</v>
      </c>
      <c r="AV24">
        <v>0</v>
      </c>
      <c r="AW24">
        <v>0</v>
      </c>
      <c r="AX24">
        <v>0</v>
      </c>
      <c r="AY24">
        <v>0</v>
      </c>
      <c r="AZ24">
        <v>0</v>
      </c>
      <c r="BA24">
        <v>0</v>
      </c>
      <c r="BB24">
        <v>0</v>
      </c>
      <c r="BC24">
        <v>0</v>
      </c>
      <c r="BD24">
        <v>0</v>
      </c>
      <c r="BE24">
        <v>0</v>
      </c>
      <c r="BF24">
        <v>0</v>
      </c>
      <c r="BG24">
        <v>0</v>
      </c>
      <c r="BH24">
        <v>0</v>
      </c>
      <c r="BI24">
        <v>0</v>
      </c>
      <c r="BJ24">
        <v>0</v>
      </c>
      <c r="BK24">
        <v>0</v>
      </c>
      <c r="BL24">
        <v>0</v>
      </c>
      <c r="BM24">
        <v>0</v>
      </c>
      <c r="BN24">
        <v>0</v>
      </c>
      <c r="BO24">
        <v>0</v>
      </c>
      <c r="BP24">
        <v>0</v>
      </c>
      <c r="BQ24">
        <v>0</v>
      </c>
      <c r="BR24">
        <v>0</v>
      </c>
      <c r="BS24">
        <v>0</v>
      </c>
      <c r="BT24">
        <v>0</v>
      </c>
      <c r="BU24">
        <v>0</v>
      </c>
      <c r="BV24">
        <v>0</v>
      </c>
      <c r="BW24">
        <v>0</v>
      </c>
      <c r="BX24">
        <v>0</v>
      </c>
      <c r="BY24">
        <v>0</v>
      </c>
      <c r="BZ24">
        <v>0</v>
      </c>
      <c r="CA24">
        <v>0</v>
      </c>
      <c r="CB24">
        <v>0</v>
      </c>
      <c r="CC24">
        <v>0</v>
      </c>
      <c r="CD24">
        <v>0</v>
      </c>
      <c r="CE24">
        <v>0</v>
      </c>
      <c r="CF24">
        <v>0</v>
      </c>
      <c r="CG24">
        <v>0</v>
      </c>
      <c r="CH24">
        <v>0</v>
      </c>
      <c r="CI24">
        <v>0</v>
      </c>
      <c r="CJ24">
        <v>0</v>
      </c>
      <c r="CK24">
        <v>0</v>
      </c>
      <c r="CL24">
        <v>0</v>
      </c>
      <c r="CM24">
        <v>0</v>
      </c>
      <c r="CN24">
        <v>0</v>
      </c>
      <c r="CO24">
        <v>0</v>
      </c>
      <c r="CP24">
        <v>0</v>
      </c>
      <c r="CQ24">
        <v>0</v>
      </c>
      <c r="CR24">
        <v>0</v>
      </c>
      <c r="CS24">
        <v>0</v>
      </c>
      <c r="CT24">
        <v>0</v>
      </c>
      <c r="CU24">
        <v>0</v>
      </c>
      <c r="CV24">
        <v>0</v>
      </c>
      <c r="CW24">
        <v>0</v>
      </c>
      <c r="CX24">
        <v>0</v>
      </c>
      <c r="CY24">
        <v>0</v>
      </c>
      <c r="CZ24">
        <v>0</v>
      </c>
      <c r="DA24">
        <v>0</v>
      </c>
      <c r="DB24">
        <v>0</v>
      </c>
      <c r="DC24">
        <v>0</v>
      </c>
      <c r="DD24">
        <v>0</v>
      </c>
      <c r="DE24">
        <v>0</v>
      </c>
      <c r="DF24">
        <v>0</v>
      </c>
      <c r="DG24">
        <v>0</v>
      </c>
      <c r="DH24">
        <v>0</v>
      </c>
      <c r="DI24">
        <v>0</v>
      </c>
      <c r="DJ24">
        <v>0</v>
      </c>
      <c r="DK24">
        <v>0</v>
      </c>
      <c r="DL24">
        <v>0</v>
      </c>
      <c r="DM24">
        <v>0</v>
      </c>
      <c r="DN24">
        <v>0</v>
      </c>
      <c r="DO24">
        <v>0</v>
      </c>
      <c r="DP24">
        <v>0</v>
      </c>
      <c r="DQ24">
        <v>0</v>
      </c>
      <c r="DR24">
        <v>681</v>
      </c>
      <c r="DS24">
        <v>704</v>
      </c>
      <c r="DT24">
        <v>668</v>
      </c>
      <c r="DU24">
        <v>709</v>
      </c>
      <c r="DV24">
        <v>2762</v>
      </c>
      <c r="DW24">
        <v>724</v>
      </c>
      <c r="DX24">
        <v>688</v>
      </c>
      <c r="DY24">
        <v>673</v>
      </c>
      <c r="DZ24">
        <v>595</v>
      </c>
      <c r="EA24">
        <v>2680</v>
      </c>
      <c r="EB24">
        <v>570</v>
      </c>
      <c r="EC24">
        <v>545</v>
      </c>
      <c r="ED24">
        <v>519</v>
      </c>
      <c r="EE24">
        <v>497</v>
      </c>
      <c r="EF24">
        <v>2131</v>
      </c>
      <c r="EG24">
        <v>520</v>
      </c>
      <c r="EH24">
        <v>503</v>
      </c>
      <c r="EI24">
        <v>519</v>
      </c>
      <c r="EJ24">
        <v>552</v>
      </c>
      <c r="EK24">
        <v>2094</v>
      </c>
      <c r="EL24">
        <v>641</v>
      </c>
      <c r="EM24">
        <v>700</v>
      </c>
      <c r="EN24">
        <v>748</v>
      </c>
      <c r="EO24">
        <v>905</v>
      </c>
      <c r="EP24">
        <v>2994</v>
      </c>
      <c r="EQ24">
        <v>1166</v>
      </c>
      <c r="ER24">
        <v>734</v>
      </c>
      <c r="ES24">
        <v>619</v>
      </c>
      <c r="ET24">
        <v>638</v>
      </c>
      <c r="EU24">
        <v>3157</v>
      </c>
      <c r="EV24">
        <v>681</v>
      </c>
      <c r="EW24">
        <v>600</v>
      </c>
      <c r="EX24">
        <v>597</v>
      </c>
      <c r="EY24">
        <v>984.45921519276999</v>
      </c>
      <c r="EZ24">
        <v>2862.45921519277</v>
      </c>
      <c r="FA24">
        <v>1291.00138231182</v>
      </c>
      <c r="FB24">
        <v>1592.1132570094801</v>
      </c>
      <c r="FC24">
        <v>1475.1213546577301</v>
      </c>
      <c r="FD24">
        <v>1832.7092057899799</v>
      </c>
      <c r="FE24">
        <v>6190.9451997690103</v>
      </c>
      <c r="FF24">
        <v>2143.1388255378802</v>
      </c>
      <c r="FG24">
        <v>2638.83545105133</v>
      </c>
      <c r="FH24">
        <v>2616.4251186054698</v>
      </c>
      <c r="FI24">
        <v>3103.5740378579198</v>
      </c>
      <c r="FJ24">
        <v>10501.973433052601</v>
      </c>
      <c r="FK24">
        <v>3410.3153780931302</v>
      </c>
      <c r="FL24">
        <v>4086.3251975083499</v>
      </c>
      <c r="FM24">
        <v>4138.9805929013401</v>
      </c>
      <c r="FN24">
        <v>4743.5248493274603</v>
      </c>
      <c r="FO24">
        <v>16379.1460178303</v>
      </c>
    </row>
    <row r="25" spans="1:171">
      <c r="B25" t="s">
        <v>623</v>
      </c>
      <c r="C25" t="s">
        <v>624</v>
      </c>
      <c r="D25" t="s">
        <v>379</v>
      </c>
      <c r="F25">
        <v>0</v>
      </c>
      <c r="G25">
        <v>0</v>
      </c>
      <c r="H25">
        <v>0</v>
      </c>
      <c r="I25">
        <v>0</v>
      </c>
      <c r="J25">
        <v>0</v>
      </c>
      <c r="K25">
        <v>0</v>
      </c>
      <c r="L25">
        <v>0</v>
      </c>
      <c r="M25">
        <v>0</v>
      </c>
      <c r="N25">
        <v>0</v>
      </c>
      <c r="O25">
        <v>0</v>
      </c>
      <c r="P25">
        <v>0</v>
      </c>
      <c r="Q25">
        <v>0</v>
      </c>
      <c r="R25">
        <v>0</v>
      </c>
      <c r="S25">
        <v>0</v>
      </c>
      <c r="T25">
        <v>0</v>
      </c>
      <c r="U25">
        <v>0</v>
      </c>
      <c r="V25">
        <v>0</v>
      </c>
      <c r="W25">
        <v>0</v>
      </c>
      <c r="X25">
        <v>0</v>
      </c>
      <c r="Y25">
        <v>0</v>
      </c>
      <c r="Z25">
        <v>0</v>
      </c>
      <c r="AA25">
        <v>0</v>
      </c>
      <c r="AB25">
        <v>0</v>
      </c>
      <c r="AC25">
        <v>0</v>
      </c>
      <c r="AD25">
        <v>0</v>
      </c>
      <c r="AE25">
        <v>0</v>
      </c>
      <c r="AF25">
        <v>0</v>
      </c>
      <c r="AG25">
        <v>0</v>
      </c>
      <c r="AH25">
        <v>0</v>
      </c>
      <c r="AI25">
        <v>0</v>
      </c>
      <c r="AJ25">
        <v>0</v>
      </c>
      <c r="AK25">
        <v>0</v>
      </c>
      <c r="AL25">
        <v>0</v>
      </c>
      <c r="AM25">
        <v>0</v>
      </c>
      <c r="AN25">
        <v>0</v>
      </c>
      <c r="AO25">
        <v>0</v>
      </c>
      <c r="AP25">
        <v>0</v>
      </c>
      <c r="AQ25">
        <v>0</v>
      </c>
      <c r="AR25">
        <v>0</v>
      </c>
      <c r="AS25">
        <v>0</v>
      </c>
      <c r="AT25">
        <v>0</v>
      </c>
      <c r="AU25">
        <v>0</v>
      </c>
      <c r="AV25">
        <v>0</v>
      </c>
      <c r="AW25">
        <v>0</v>
      </c>
      <c r="AX25">
        <v>0</v>
      </c>
      <c r="AY25">
        <v>0</v>
      </c>
      <c r="AZ25">
        <v>0</v>
      </c>
      <c r="BA25">
        <v>0</v>
      </c>
      <c r="BB25">
        <v>0</v>
      </c>
      <c r="BC25">
        <v>0</v>
      </c>
      <c r="BD25">
        <v>0</v>
      </c>
      <c r="BE25">
        <v>0</v>
      </c>
      <c r="BF25">
        <v>0</v>
      </c>
      <c r="BG25">
        <v>0</v>
      </c>
      <c r="BH25">
        <v>0</v>
      </c>
      <c r="BI25">
        <v>0</v>
      </c>
      <c r="BJ25">
        <v>0</v>
      </c>
      <c r="BK25">
        <v>0</v>
      </c>
      <c r="BL25">
        <v>0</v>
      </c>
      <c r="BM25">
        <v>0</v>
      </c>
      <c r="BN25">
        <v>0</v>
      </c>
      <c r="BO25">
        <v>0</v>
      </c>
      <c r="BP25">
        <v>0</v>
      </c>
      <c r="BQ25">
        <v>0</v>
      </c>
      <c r="BR25">
        <v>0</v>
      </c>
      <c r="BS25">
        <v>0</v>
      </c>
      <c r="BT25">
        <v>0</v>
      </c>
      <c r="BU25">
        <v>0</v>
      </c>
      <c r="BV25">
        <v>0</v>
      </c>
      <c r="BW25">
        <v>0</v>
      </c>
      <c r="BX25">
        <v>0</v>
      </c>
      <c r="BY25">
        <v>0</v>
      </c>
      <c r="BZ25">
        <v>0</v>
      </c>
      <c r="CA25">
        <v>0</v>
      </c>
      <c r="CB25">
        <v>0</v>
      </c>
      <c r="CC25">
        <v>0</v>
      </c>
      <c r="CD25">
        <v>0</v>
      </c>
      <c r="CE25">
        <v>0</v>
      </c>
      <c r="CF25">
        <v>0</v>
      </c>
      <c r="CG25">
        <v>0</v>
      </c>
      <c r="CH25">
        <v>0</v>
      </c>
      <c r="CI25">
        <v>0</v>
      </c>
      <c r="CJ25">
        <v>0</v>
      </c>
      <c r="CK25">
        <v>0</v>
      </c>
      <c r="CL25">
        <v>0</v>
      </c>
      <c r="CM25">
        <v>0</v>
      </c>
      <c r="CN25">
        <v>0</v>
      </c>
      <c r="CO25">
        <v>0</v>
      </c>
      <c r="CP25">
        <v>0</v>
      </c>
      <c r="CQ25">
        <v>0</v>
      </c>
      <c r="CR25">
        <v>0</v>
      </c>
      <c r="CS25">
        <v>0</v>
      </c>
      <c r="CT25">
        <v>0</v>
      </c>
      <c r="CU25">
        <v>0</v>
      </c>
      <c r="CV25">
        <v>0</v>
      </c>
      <c r="CW25">
        <v>0</v>
      </c>
      <c r="CX25">
        <v>0</v>
      </c>
      <c r="CY25">
        <v>0</v>
      </c>
      <c r="CZ25">
        <v>0</v>
      </c>
      <c r="DA25">
        <v>0</v>
      </c>
      <c r="DB25">
        <v>0</v>
      </c>
      <c r="DC25">
        <v>0</v>
      </c>
      <c r="DD25">
        <v>0</v>
      </c>
      <c r="DE25">
        <v>0</v>
      </c>
      <c r="DF25">
        <v>0</v>
      </c>
      <c r="DG25">
        <v>0</v>
      </c>
      <c r="DH25">
        <v>0</v>
      </c>
      <c r="DI25">
        <v>0</v>
      </c>
      <c r="DJ25">
        <v>0</v>
      </c>
      <c r="DK25">
        <v>0</v>
      </c>
      <c r="DL25">
        <v>0</v>
      </c>
      <c r="DM25">
        <v>0</v>
      </c>
      <c r="DN25">
        <v>0</v>
      </c>
      <c r="DO25">
        <v>0</v>
      </c>
      <c r="DP25">
        <v>0</v>
      </c>
      <c r="DQ25">
        <v>0</v>
      </c>
      <c r="DR25">
        <v>-674</v>
      </c>
      <c r="DS25">
        <v>-672</v>
      </c>
      <c r="DT25">
        <v>-671</v>
      </c>
      <c r="DU25">
        <v>-669</v>
      </c>
      <c r="DV25">
        <v>-2686</v>
      </c>
      <c r="DW25">
        <v>-637</v>
      </c>
      <c r="DX25">
        <v>-654</v>
      </c>
      <c r="DY25">
        <v>-614</v>
      </c>
      <c r="DZ25">
        <v>-686</v>
      </c>
      <c r="EA25">
        <v>-2591</v>
      </c>
      <c r="EB25">
        <v>-589</v>
      </c>
      <c r="EC25">
        <v>-571</v>
      </c>
      <c r="ED25">
        <v>-633</v>
      </c>
      <c r="EE25">
        <v>-553</v>
      </c>
      <c r="EF25">
        <v>-2346</v>
      </c>
      <c r="EG25">
        <v>-539</v>
      </c>
      <c r="EH25">
        <v>-525</v>
      </c>
      <c r="EI25">
        <v>-503</v>
      </c>
      <c r="EJ25">
        <v>-496</v>
      </c>
      <c r="EK25">
        <v>-2063</v>
      </c>
      <c r="EL25">
        <v>-500</v>
      </c>
      <c r="EM25">
        <v>-490</v>
      </c>
      <c r="EN25">
        <v>-496</v>
      </c>
      <c r="EO25">
        <v>-482</v>
      </c>
      <c r="EP25">
        <v>-1968</v>
      </c>
      <c r="EQ25">
        <v>-525</v>
      </c>
      <c r="ER25">
        <v>-909</v>
      </c>
      <c r="ES25">
        <v>-800</v>
      </c>
      <c r="ET25">
        <v>-701</v>
      </c>
      <c r="EU25">
        <v>-2935</v>
      </c>
      <c r="EV25">
        <v>-582</v>
      </c>
      <c r="EW25">
        <v>-594</v>
      </c>
      <c r="EX25">
        <v>-594</v>
      </c>
      <c r="EY25">
        <v>-566.40680453635798</v>
      </c>
      <c r="EZ25">
        <v>-2336.4068045363601</v>
      </c>
      <c r="FA25">
        <v>-566.40680453635798</v>
      </c>
      <c r="FB25">
        <v>-566.40680453635798</v>
      </c>
      <c r="FC25">
        <v>-566.40680453635798</v>
      </c>
      <c r="FD25">
        <v>-566.40680453635798</v>
      </c>
      <c r="FE25">
        <v>-2265.6272181454301</v>
      </c>
      <c r="FF25">
        <v>-566.40680453635798</v>
      </c>
      <c r="FG25">
        <v>-566.40680453635798</v>
      </c>
      <c r="FH25">
        <v>-566.40680453635798</v>
      </c>
      <c r="FI25">
        <v>-566.40680453635798</v>
      </c>
      <c r="FJ25">
        <v>-2265.6272181454301</v>
      </c>
      <c r="FK25">
        <v>-566.40680453635798</v>
      </c>
      <c r="FL25">
        <v>-566.40680453635798</v>
      </c>
      <c r="FM25">
        <v>-566.40680453635798</v>
      </c>
      <c r="FN25">
        <v>-566.40680453635798</v>
      </c>
      <c r="FO25">
        <v>-2265.6272181454301</v>
      </c>
    </row>
    <row r="26" spans="1:171">
      <c r="B26" t="s">
        <v>625</v>
      </c>
      <c r="C26" t="s">
        <v>626</v>
      </c>
      <c r="D26" t="s">
        <v>379</v>
      </c>
      <c r="BT26">
        <v>0</v>
      </c>
      <c r="BU26">
        <v>0</v>
      </c>
      <c r="BV26">
        <v>0</v>
      </c>
      <c r="BX26">
        <v>0</v>
      </c>
      <c r="DR26">
        <v>7</v>
      </c>
      <c r="DS26">
        <v>32</v>
      </c>
      <c r="DT26">
        <v>-3</v>
      </c>
      <c r="DU26">
        <v>40</v>
      </c>
      <c r="DV26">
        <v>76</v>
      </c>
      <c r="DW26">
        <v>87</v>
      </c>
      <c r="DX26">
        <v>34</v>
      </c>
      <c r="DY26">
        <v>59</v>
      </c>
      <c r="DZ26">
        <v>-91</v>
      </c>
      <c r="EA26">
        <v>89</v>
      </c>
      <c r="EB26">
        <v>-19</v>
      </c>
      <c r="EC26">
        <v>-26</v>
      </c>
      <c r="ED26">
        <v>-114</v>
      </c>
      <c r="EE26">
        <v>-56</v>
      </c>
      <c r="EF26">
        <v>-215</v>
      </c>
      <c r="EG26">
        <v>-19</v>
      </c>
      <c r="EH26">
        <v>-22</v>
      </c>
      <c r="EI26">
        <v>16</v>
      </c>
      <c r="EJ26">
        <v>56</v>
      </c>
      <c r="EK26">
        <v>31</v>
      </c>
      <c r="EL26">
        <v>141</v>
      </c>
      <c r="EM26">
        <v>210</v>
      </c>
      <c r="EN26">
        <v>252</v>
      </c>
      <c r="EO26">
        <v>423</v>
      </c>
      <c r="EP26">
        <v>1026</v>
      </c>
      <c r="EQ26">
        <v>641</v>
      </c>
      <c r="ER26">
        <v>-175</v>
      </c>
      <c r="ES26">
        <v>-181</v>
      </c>
      <c r="ET26">
        <v>-63</v>
      </c>
      <c r="EU26">
        <v>222</v>
      </c>
      <c r="EV26">
        <v>99</v>
      </c>
      <c r="EW26">
        <v>6</v>
      </c>
      <c r="EX26">
        <v>3</v>
      </c>
      <c r="EY26">
        <v>418.05241065641201</v>
      </c>
      <c r="EZ26">
        <v>526.05241065641201</v>
      </c>
      <c r="FA26">
        <v>724.59457777546197</v>
      </c>
      <c r="FB26">
        <v>1025.70645247312</v>
      </c>
      <c r="FC26">
        <v>908.71455012137096</v>
      </c>
      <c r="FD26">
        <v>1266.30240125362</v>
      </c>
      <c r="FE26">
        <v>3925.3179816235802</v>
      </c>
      <c r="FF26">
        <v>1576.73202100152</v>
      </c>
      <c r="FG26">
        <v>2072.4286465149698</v>
      </c>
      <c r="FH26">
        <v>2050.0183140691202</v>
      </c>
      <c r="FI26">
        <v>2537.1672333215602</v>
      </c>
      <c r="FJ26">
        <v>8236.3462149071693</v>
      </c>
      <c r="FK26">
        <v>2843.9085735567801</v>
      </c>
      <c r="FL26">
        <v>3519.9183929719902</v>
      </c>
      <c r="FM26">
        <v>3572.5737883649799</v>
      </c>
      <c r="FN26">
        <v>4177.1180447911001</v>
      </c>
      <c r="FO26">
        <v>14113.5187996849</v>
      </c>
    </row>
    <row r="27" spans="1:171">
      <c r="B27" t="s">
        <v>627</v>
      </c>
      <c r="C27" t="s">
        <v>628</v>
      </c>
      <c r="D27" t="s">
        <v>379</v>
      </c>
    </row>
    <row r="28" spans="1:171">
      <c r="B28" t="s">
        <v>629</v>
      </c>
      <c r="C28" t="s">
        <v>630</v>
      </c>
      <c r="D28" t="s">
        <v>379</v>
      </c>
    </row>
    <row r="29" spans="1:171">
      <c r="B29" t="s">
        <v>631</v>
      </c>
      <c r="C29" t="s">
        <v>632</v>
      </c>
      <c r="D29" t="s">
        <v>379</v>
      </c>
      <c r="F29">
        <v>129</v>
      </c>
      <c r="G29">
        <v>62</v>
      </c>
      <c r="H29">
        <v>99</v>
      </c>
      <c r="I29">
        <v>90</v>
      </c>
      <c r="J29">
        <v>50</v>
      </c>
      <c r="K29">
        <v>301</v>
      </c>
      <c r="L29">
        <v>43</v>
      </c>
      <c r="M29">
        <v>59</v>
      </c>
      <c r="N29">
        <v>35</v>
      </c>
      <c r="O29">
        <v>47</v>
      </c>
      <c r="P29">
        <v>184</v>
      </c>
      <c r="Q29">
        <v>71</v>
      </c>
      <c r="R29">
        <v>107</v>
      </c>
      <c r="S29">
        <v>130</v>
      </c>
      <c r="T29">
        <v>165</v>
      </c>
      <c r="U29">
        <v>473</v>
      </c>
      <c r="V29">
        <v>421</v>
      </c>
      <c r="W29">
        <v>337</v>
      </c>
      <c r="X29">
        <v>720</v>
      </c>
      <c r="Y29">
        <v>485</v>
      </c>
      <c r="Z29">
        <v>1963</v>
      </c>
      <c r="AA29">
        <v>553</v>
      </c>
      <c r="AB29">
        <v>773</v>
      </c>
      <c r="AC29">
        <v>885</v>
      </c>
      <c r="AD29">
        <v>1127</v>
      </c>
      <c r="AE29">
        <v>3338</v>
      </c>
      <c r="AF29">
        <v>1075</v>
      </c>
      <c r="AG29">
        <v>723</v>
      </c>
      <c r="AH29">
        <v>660</v>
      </c>
      <c r="AI29">
        <v>-2653</v>
      </c>
      <c r="AJ29">
        <v>-195</v>
      </c>
      <c r="AK29">
        <v>-1010</v>
      </c>
      <c r="AL29">
        <v>516</v>
      </c>
      <c r="AM29">
        <v>728</v>
      </c>
      <c r="AN29">
        <v>-631</v>
      </c>
      <c r="AO29">
        <v>-397</v>
      </c>
      <c r="AP29">
        <v>19</v>
      </c>
      <c r="AQ29">
        <v>363</v>
      </c>
      <c r="AR29">
        <v>453</v>
      </c>
      <c r="AS29">
        <v>674</v>
      </c>
      <c r="AT29">
        <v>1509</v>
      </c>
      <c r="AU29">
        <v>753</v>
      </c>
      <c r="AV29">
        <v>837</v>
      </c>
      <c r="AW29">
        <v>1001</v>
      </c>
      <c r="AX29">
        <v>571</v>
      </c>
      <c r="AY29">
        <v>3162</v>
      </c>
      <c r="AZ29">
        <v>279</v>
      </c>
      <c r="BA29">
        <v>420</v>
      </c>
      <c r="BB29">
        <v>496</v>
      </c>
      <c r="BC29">
        <v>872</v>
      </c>
      <c r="BD29">
        <v>2067</v>
      </c>
      <c r="BE29">
        <v>506</v>
      </c>
      <c r="BF29">
        <v>480</v>
      </c>
      <c r="BG29">
        <v>427</v>
      </c>
      <c r="BH29">
        <v>377</v>
      </c>
      <c r="BI29">
        <v>1790</v>
      </c>
      <c r="BJ29">
        <v>567</v>
      </c>
      <c r="BK29">
        <v>333</v>
      </c>
      <c r="BL29">
        <v>382</v>
      </c>
      <c r="BM29">
        <v>295</v>
      </c>
      <c r="BN29">
        <v>1577</v>
      </c>
      <c r="BO29">
        <v>298</v>
      </c>
      <c r="BP29">
        <v>339</v>
      </c>
      <c r="BQ29">
        <v>401</v>
      </c>
      <c r="BR29">
        <v>284</v>
      </c>
      <c r="BS29">
        <v>1322</v>
      </c>
      <c r="BT29">
        <v>-8</v>
      </c>
      <c r="BU29">
        <v>-301</v>
      </c>
      <c r="BV29">
        <v>-388</v>
      </c>
      <c r="BW29">
        <v>155</v>
      </c>
      <c r="BX29">
        <v>-542</v>
      </c>
      <c r="BY29">
        <v>283</v>
      </c>
      <c r="BZ29">
        <v>370</v>
      </c>
      <c r="CA29">
        <v>168</v>
      </c>
      <c r="CB29">
        <v>94</v>
      </c>
      <c r="CC29">
        <v>915</v>
      </c>
      <c r="CD29">
        <v>114</v>
      </c>
      <c r="CE29">
        <v>332</v>
      </c>
      <c r="CF29">
        <v>316</v>
      </c>
      <c r="CG29">
        <v>148</v>
      </c>
      <c r="CH29">
        <v>910</v>
      </c>
      <c r="CI29">
        <v>103</v>
      </c>
      <c r="CJ29">
        <v>245</v>
      </c>
      <c r="CK29">
        <v>-11</v>
      </c>
      <c r="CL29">
        <v>167</v>
      </c>
      <c r="CM29">
        <v>504</v>
      </c>
      <c r="CN29">
        <v>226</v>
      </c>
      <c r="CO29">
        <v>-1</v>
      </c>
      <c r="CP29">
        <v>-9</v>
      </c>
      <c r="CQ29">
        <v>72</v>
      </c>
      <c r="CR29">
        <v>288</v>
      </c>
      <c r="CS29">
        <v>74</v>
      </c>
      <c r="CT29">
        <v>-91</v>
      </c>
      <c r="CU29">
        <v>-17</v>
      </c>
      <c r="CV29">
        <v>95</v>
      </c>
      <c r="CW29">
        <v>61</v>
      </c>
      <c r="CX29">
        <v>52</v>
      </c>
      <c r="CY29">
        <v>74</v>
      </c>
      <c r="CZ29">
        <v>-77</v>
      </c>
      <c r="DA29">
        <v>297</v>
      </c>
      <c r="DB29">
        <v>346</v>
      </c>
      <c r="DC29">
        <v>-280</v>
      </c>
      <c r="DD29">
        <v>-171</v>
      </c>
      <c r="DE29">
        <v>-247</v>
      </c>
      <c r="DF29">
        <v>267</v>
      </c>
      <c r="DG29">
        <v>-431</v>
      </c>
      <c r="DH29">
        <v>112</v>
      </c>
      <c r="DI29">
        <v>117</v>
      </c>
      <c r="DJ29">
        <v>371</v>
      </c>
      <c r="DK29">
        <v>276</v>
      </c>
      <c r="DL29">
        <v>876</v>
      </c>
      <c r="DM29">
        <v>276</v>
      </c>
      <c r="DN29">
        <v>490</v>
      </c>
      <c r="DO29">
        <v>349</v>
      </c>
      <c r="DP29">
        <v>301</v>
      </c>
      <c r="DQ29">
        <v>1416</v>
      </c>
      <c r="DR29">
        <v>266</v>
      </c>
      <c r="DS29">
        <v>127</v>
      </c>
      <c r="DT29">
        <v>145</v>
      </c>
      <c r="DU29">
        <v>191</v>
      </c>
      <c r="DV29">
        <v>729</v>
      </c>
      <c r="DX29">
        <v>194</v>
      </c>
      <c r="DY29">
        <v>-132</v>
      </c>
      <c r="DZ29">
        <v>15</v>
      </c>
      <c r="EA29">
        <v>77</v>
      </c>
      <c r="EB29">
        <v>248</v>
      </c>
      <c r="EC29">
        <v>440</v>
      </c>
      <c r="ED29">
        <v>188</v>
      </c>
      <c r="EE29">
        <v>310</v>
      </c>
      <c r="EF29">
        <v>1186</v>
      </c>
      <c r="EG29">
        <v>286</v>
      </c>
      <c r="EH29">
        <v>268</v>
      </c>
      <c r="EI29">
        <v>-174</v>
      </c>
      <c r="EJ29">
        <v>-47</v>
      </c>
      <c r="EK29">
        <v>333</v>
      </c>
      <c r="EL29">
        <v>54</v>
      </c>
      <c r="EM29">
        <v>-60</v>
      </c>
      <c r="EN29">
        <v>321</v>
      </c>
      <c r="EO29">
        <v>473</v>
      </c>
      <c r="EP29">
        <v>788</v>
      </c>
      <c r="EQ29">
        <v>389</v>
      </c>
      <c r="ER29">
        <v>-506</v>
      </c>
      <c r="ES29">
        <v>-854</v>
      </c>
      <c r="ET29">
        <v>-675</v>
      </c>
      <c r="EU29">
        <v>-1646</v>
      </c>
      <c r="EV29">
        <v>-283</v>
      </c>
      <c r="EW29">
        <v>-2288</v>
      </c>
      <c r="EX29">
        <v>-623</v>
      </c>
      <c r="EY29">
        <v>-1200</v>
      </c>
      <c r="EZ29">
        <v>-4394</v>
      </c>
      <c r="FA29">
        <v>-1100</v>
      </c>
      <c r="FB29">
        <v>-1000</v>
      </c>
      <c r="FC29">
        <v>-900</v>
      </c>
      <c r="FD29">
        <v>-900</v>
      </c>
      <c r="FE29">
        <v>-3900</v>
      </c>
      <c r="FF29">
        <v>200</v>
      </c>
      <c r="FG29">
        <v>200</v>
      </c>
      <c r="FH29">
        <v>200</v>
      </c>
      <c r="FI29">
        <v>200</v>
      </c>
      <c r="FJ29">
        <v>800</v>
      </c>
      <c r="FK29">
        <v>500</v>
      </c>
      <c r="FL29">
        <v>500</v>
      </c>
      <c r="FM29">
        <v>500</v>
      </c>
      <c r="FN29">
        <v>500</v>
      </c>
      <c r="FO29">
        <v>2000</v>
      </c>
    </row>
    <row r="30" spans="1:171">
      <c r="B30" t="s">
        <v>633</v>
      </c>
      <c r="C30" t="s">
        <v>634</v>
      </c>
      <c r="D30" t="s">
        <v>379</v>
      </c>
      <c r="F30">
        <v>2167</v>
      </c>
      <c r="G30">
        <v>770</v>
      </c>
      <c r="H30">
        <v>885</v>
      </c>
      <c r="I30">
        <v>864</v>
      </c>
      <c r="J30">
        <v>860</v>
      </c>
      <c r="K30">
        <v>3379</v>
      </c>
      <c r="L30">
        <v>945</v>
      </c>
      <c r="M30">
        <v>1140</v>
      </c>
      <c r="N30">
        <v>1603</v>
      </c>
      <c r="O30">
        <v>1626</v>
      </c>
      <c r="P30">
        <v>5314</v>
      </c>
      <c r="Q30">
        <v>1202</v>
      </c>
      <c r="R30">
        <v>1770</v>
      </c>
      <c r="S30">
        <v>2057</v>
      </c>
      <c r="T30">
        <v>2088</v>
      </c>
      <c r="U30">
        <v>7117</v>
      </c>
      <c r="V30">
        <v>2503</v>
      </c>
      <c r="W30">
        <v>3051</v>
      </c>
      <c r="X30">
        <v>2949</v>
      </c>
      <c r="Y30">
        <v>3388</v>
      </c>
      <c r="Z30">
        <v>11891</v>
      </c>
      <c r="AA30">
        <v>3320</v>
      </c>
      <c r="AB30">
        <v>3691</v>
      </c>
      <c r="AC30">
        <v>3613</v>
      </c>
      <c r="AD30">
        <v>3651</v>
      </c>
      <c r="AE30">
        <v>14275</v>
      </c>
      <c r="AF30">
        <v>3852</v>
      </c>
      <c r="AG30">
        <v>3917</v>
      </c>
      <c r="AH30">
        <v>3658</v>
      </c>
      <c r="AI30">
        <v>98</v>
      </c>
      <c r="AJ30">
        <v>11525</v>
      </c>
      <c r="AK30">
        <v>1887</v>
      </c>
      <c r="AL30">
        <v>3357</v>
      </c>
      <c r="AM30">
        <v>4026</v>
      </c>
      <c r="AN30">
        <v>2243</v>
      </c>
      <c r="AO30">
        <v>11513</v>
      </c>
      <c r="AP30">
        <v>3047</v>
      </c>
      <c r="AQ30">
        <v>2596</v>
      </c>
      <c r="AR30">
        <v>3197</v>
      </c>
      <c r="AS30">
        <v>2214</v>
      </c>
      <c r="AT30">
        <v>11054</v>
      </c>
      <c r="AU30">
        <v>3901</v>
      </c>
      <c r="AV30">
        <v>2312</v>
      </c>
      <c r="AW30">
        <v>2279</v>
      </c>
      <c r="AX30">
        <v>3704</v>
      </c>
      <c r="AY30">
        <v>12196</v>
      </c>
      <c r="AZ30">
        <v>3773</v>
      </c>
      <c r="BA30">
        <v>5169</v>
      </c>
      <c r="BB30">
        <v>3825</v>
      </c>
      <c r="BC30">
        <v>3861</v>
      </c>
      <c r="BD30">
        <v>16628</v>
      </c>
      <c r="BE30">
        <v>4552</v>
      </c>
      <c r="BF30">
        <v>5137</v>
      </c>
      <c r="BG30">
        <v>4315</v>
      </c>
      <c r="BH30">
        <v>4258</v>
      </c>
      <c r="BI30">
        <v>18262</v>
      </c>
      <c r="BJ30">
        <v>5041</v>
      </c>
      <c r="BK30">
        <v>3805</v>
      </c>
      <c r="BL30">
        <v>6971</v>
      </c>
      <c r="BM30">
        <v>4284</v>
      </c>
      <c r="BN30">
        <v>20101</v>
      </c>
      <c r="BO30">
        <v>6216</v>
      </c>
      <c r="BP30">
        <v>6820</v>
      </c>
      <c r="BQ30">
        <v>4810</v>
      </c>
      <c r="BR30">
        <v>5968</v>
      </c>
      <c r="BS30">
        <v>23814</v>
      </c>
      <c r="BT30">
        <v>5991</v>
      </c>
      <c r="BU30">
        <v>5638</v>
      </c>
      <c r="BV30">
        <v>4050</v>
      </c>
      <c r="BW30">
        <v>4142</v>
      </c>
      <c r="BX30">
        <v>19821</v>
      </c>
      <c r="BY30">
        <v>4765</v>
      </c>
      <c r="BZ30">
        <v>8883</v>
      </c>
      <c r="CA30">
        <v>5341</v>
      </c>
      <c r="CB30">
        <v>6024</v>
      </c>
      <c r="CC30">
        <v>25013</v>
      </c>
      <c r="CD30">
        <v>7230</v>
      </c>
      <c r="CE30">
        <v>8497</v>
      </c>
      <c r="CF30">
        <v>6025</v>
      </c>
      <c r="CG30">
        <v>6319</v>
      </c>
      <c r="CH30">
        <v>28071</v>
      </c>
      <c r="CI30">
        <v>7306</v>
      </c>
      <c r="CJ30">
        <v>8239</v>
      </c>
      <c r="CK30">
        <v>6363</v>
      </c>
      <c r="CL30">
        <v>359</v>
      </c>
      <c r="CM30">
        <v>22267</v>
      </c>
      <c r="CN30">
        <v>5534</v>
      </c>
      <c r="CO30">
        <v>7770</v>
      </c>
      <c r="CP30">
        <v>7603</v>
      </c>
      <c r="CQ30">
        <v>6145</v>
      </c>
      <c r="CR30">
        <v>27052</v>
      </c>
      <c r="CS30">
        <v>6408</v>
      </c>
      <c r="CT30">
        <v>7878</v>
      </c>
      <c r="CU30">
        <v>6957</v>
      </c>
      <c r="CV30">
        <v>6577</v>
      </c>
      <c r="CW30">
        <v>27820</v>
      </c>
      <c r="CX30">
        <v>5896</v>
      </c>
      <c r="CY30">
        <v>7850</v>
      </c>
      <c r="CZ30">
        <v>6517</v>
      </c>
      <c r="DA30">
        <v>-1756</v>
      </c>
      <c r="DB30">
        <v>18507</v>
      </c>
      <c r="DC30">
        <v>5513</v>
      </c>
      <c r="DD30">
        <v>5855</v>
      </c>
      <c r="DE30">
        <v>5036</v>
      </c>
      <c r="DF30">
        <v>3347</v>
      </c>
      <c r="DG30">
        <v>19751</v>
      </c>
      <c r="DH30">
        <v>6827</v>
      </c>
      <c r="DI30">
        <v>8022</v>
      </c>
      <c r="DJ30">
        <v>7094</v>
      </c>
      <c r="DK30">
        <v>7958</v>
      </c>
      <c r="DL30">
        <v>29901</v>
      </c>
      <c r="DM30">
        <v>7984</v>
      </c>
      <c r="DN30">
        <v>9169</v>
      </c>
      <c r="DO30">
        <v>8641</v>
      </c>
      <c r="DP30">
        <v>10680</v>
      </c>
      <c r="DQ30">
        <v>36474</v>
      </c>
      <c r="DR30">
        <v>10221</v>
      </c>
      <c r="DS30">
        <v>10385</v>
      </c>
      <c r="DT30">
        <v>10486</v>
      </c>
      <c r="DU30">
        <v>12596</v>
      </c>
      <c r="DV30">
        <v>43688</v>
      </c>
      <c r="DW30">
        <v>12686</v>
      </c>
      <c r="DX30">
        <v>14085</v>
      </c>
      <c r="DY30">
        <v>12843</v>
      </c>
      <c r="DZ30">
        <v>13422</v>
      </c>
      <c r="EA30">
        <v>53036</v>
      </c>
      <c r="EB30">
        <v>16124</v>
      </c>
      <c r="EC30">
        <v>18337</v>
      </c>
      <c r="ED30">
        <v>17236</v>
      </c>
      <c r="EE30">
        <v>19405</v>
      </c>
      <c r="EF30">
        <v>71102</v>
      </c>
      <c r="EG30">
        <v>20524</v>
      </c>
      <c r="EH30">
        <v>22515</v>
      </c>
      <c r="EI30">
        <v>20190</v>
      </c>
      <c r="EJ30">
        <v>20487</v>
      </c>
      <c r="EK30">
        <v>83716</v>
      </c>
      <c r="EL30">
        <v>21572</v>
      </c>
      <c r="EM30">
        <v>20339</v>
      </c>
      <c r="EN30">
        <v>22673</v>
      </c>
      <c r="EO30">
        <v>24727</v>
      </c>
      <c r="EP30">
        <v>89311</v>
      </c>
      <c r="EQ30">
        <v>27284</v>
      </c>
      <c r="ER30">
        <v>26526</v>
      </c>
      <c r="ES30">
        <v>26727</v>
      </c>
      <c r="ET30">
        <v>27250</v>
      </c>
      <c r="EU30">
        <v>107787</v>
      </c>
      <c r="EV30">
        <v>30269</v>
      </c>
      <c r="EW30">
        <v>29365</v>
      </c>
      <c r="EX30">
        <v>31377</v>
      </c>
      <c r="EY30">
        <v>31273.402026085401</v>
      </c>
      <c r="EZ30">
        <v>122284.40202608499</v>
      </c>
      <c r="FA30">
        <v>33638.4452437047</v>
      </c>
      <c r="FB30">
        <v>35204.0515398239</v>
      </c>
      <c r="FC30">
        <v>35814.951949235801</v>
      </c>
      <c r="FD30">
        <v>37437.957276726098</v>
      </c>
      <c r="FE30">
        <v>142095.40600949101</v>
      </c>
      <c r="FF30">
        <v>40018.650318215303</v>
      </c>
      <c r="FG30">
        <v>41710.854076687101</v>
      </c>
      <c r="FH30">
        <v>42347.454429192599</v>
      </c>
      <c r="FI30">
        <v>44383.875091078997</v>
      </c>
      <c r="FJ30">
        <v>168460.83391517401</v>
      </c>
      <c r="FK30">
        <v>46053.289637783098</v>
      </c>
      <c r="FL30">
        <v>48002.4890859507</v>
      </c>
      <c r="FM30">
        <v>48782.454734753701</v>
      </c>
      <c r="FN30">
        <v>51317.363702725997</v>
      </c>
      <c r="FO30">
        <v>194155.59716121299</v>
      </c>
    </row>
    <row r="31" spans="1:171">
      <c r="A31" t="s">
        <v>635</v>
      </c>
    </row>
    <row r="32" spans="1:171">
      <c r="B32" t="s">
        <v>636</v>
      </c>
      <c r="C32" t="s">
        <v>637</v>
      </c>
      <c r="D32" t="s">
        <v>379</v>
      </c>
    </row>
    <row r="33" spans="2:171">
      <c r="B33" t="s">
        <v>638</v>
      </c>
      <c r="C33" t="s">
        <v>639</v>
      </c>
      <c r="D33" t="s">
        <v>379</v>
      </c>
    </row>
    <row r="34" spans="2:171">
      <c r="B34" t="s">
        <v>640</v>
      </c>
      <c r="C34" t="s">
        <v>641</v>
      </c>
      <c r="D34" t="s">
        <v>379</v>
      </c>
    </row>
    <row r="35" spans="2:171">
      <c r="B35" t="s">
        <v>642</v>
      </c>
      <c r="C35" t="s">
        <v>643</v>
      </c>
      <c r="D35" t="s">
        <v>379</v>
      </c>
    </row>
    <row r="36" spans="2:171">
      <c r="B36" t="s">
        <v>644</v>
      </c>
      <c r="C36" t="s">
        <v>645</v>
      </c>
      <c r="D36" t="s">
        <v>379</v>
      </c>
    </row>
    <row r="37" spans="2:171">
      <c r="B37" t="s">
        <v>646</v>
      </c>
      <c r="C37" t="s">
        <v>647</v>
      </c>
      <c r="D37" t="s">
        <v>379</v>
      </c>
    </row>
    <row r="38" spans="2:171">
      <c r="B38" t="s">
        <v>648</v>
      </c>
      <c r="C38" t="s">
        <v>649</v>
      </c>
      <c r="D38" t="s">
        <v>379</v>
      </c>
    </row>
    <row r="39" spans="2:171">
      <c r="B39" t="s">
        <v>650</v>
      </c>
      <c r="C39" t="s">
        <v>651</v>
      </c>
      <c r="E39" t="s">
        <v>1195</v>
      </c>
    </row>
    <row r="40" spans="2:171">
      <c r="B40" t="s">
        <v>652</v>
      </c>
      <c r="C40" t="s">
        <v>653</v>
      </c>
      <c r="D40" t="s">
        <v>379</v>
      </c>
    </row>
    <row r="41" spans="2:171">
      <c r="B41" t="s">
        <v>654</v>
      </c>
      <c r="C41" t="s">
        <v>655</v>
      </c>
      <c r="D41" t="s">
        <v>379</v>
      </c>
    </row>
    <row r="42" spans="2:171">
      <c r="B42" t="s">
        <v>656</v>
      </c>
      <c r="C42" t="s">
        <v>657</v>
      </c>
      <c r="D42" t="s">
        <v>379</v>
      </c>
    </row>
    <row r="43" spans="2:171">
      <c r="B43" t="s">
        <v>658</v>
      </c>
      <c r="C43" t="s">
        <v>659</v>
      </c>
      <c r="D43" t="s">
        <v>379</v>
      </c>
    </row>
    <row r="44" spans="2:171">
      <c r="B44" t="s">
        <v>660</v>
      </c>
      <c r="C44" t="s">
        <v>661</v>
      </c>
      <c r="D44" t="s">
        <v>379</v>
      </c>
      <c r="F44">
        <v>0</v>
      </c>
      <c r="G44">
        <v>0</v>
      </c>
      <c r="H44">
        <v>0</v>
      </c>
      <c r="I44">
        <v>0</v>
      </c>
      <c r="J44">
        <v>0</v>
      </c>
      <c r="K44">
        <v>0</v>
      </c>
      <c r="L44">
        <v>0</v>
      </c>
      <c r="M44">
        <v>0</v>
      </c>
      <c r="N44">
        <v>0</v>
      </c>
      <c r="O44">
        <v>0</v>
      </c>
      <c r="P44">
        <v>0</v>
      </c>
      <c r="Q44">
        <v>0</v>
      </c>
      <c r="R44">
        <v>0</v>
      </c>
      <c r="S44">
        <v>0</v>
      </c>
      <c r="T44">
        <v>0</v>
      </c>
      <c r="U44">
        <v>0</v>
      </c>
      <c r="V44">
        <v>0</v>
      </c>
      <c r="W44">
        <v>0</v>
      </c>
      <c r="X44">
        <v>0</v>
      </c>
      <c r="Y44">
        <v>0</v>
      </c>
      <c r="Z44">
        <v>0</v>
      </c>
      <c r="AA44">
        <v>0</v>
      </c>
      <c r="AB44">
        <v>0</v>
      </c>
      <c r="AC44">
        <v>0</v>
      </c>
      <c r="AD44">
        <v>0</v>
      </c>
      <c r="AE44">
        <v>0</v>
      </c>
      <c r="AF44">
        <v>0</v>
      </c>
      <c r="AG44">
        <v>0</v>
      </c>
      <c r="AH44">
        <v>0</v>
      </c>
      <c r="AI44">
        <v>0</v>
      </c>
      <c r="AJ44">
        <v>0</v>
      </c>
      <c r="AK44">
        <v>0</v>
      </c>
      <c r="AL44">
        <v>0</v>
      </c>
      <c r="AM44">
        <v>0</v>
      </c>
      <c r="AN44">
        <v>0</v>
      </c>
      <c r="AO44">
        <v>0</v>
      </c>
      <c r="AP44">
        <v>-1048</v>
      </c>
      <c r="AQ44">
        <v>-1058</v>
      </c>
      <c r="AR44">
        <v>-978</v>
      </c>
      <c r="AS44">
        <v>-665</v>
      </c>
      <c r="AT44">
        <v>-3749</v>
      </c>
      <c r="AU44">
        <v>-1015</v>
      </c>
      <c r="AV44">
        <v>-3232</v>
      </c>
      <c r="AW44">
        <v>-748</v>
      </c>
      <c r="AX44">
        <v>-739</v>
      </c>
      <c r="AY44">
        <v>-5734</v>
      </c>
      <c r="AZ44">
        <v>-745</v>
      </c>
      <c r="BA44">
        <v>-551</v>
      </c>
      <c r="BB44">
        <v>-617</v>
      </c>
      <c r="BC44">
        <v>-535</v>
      </c>
      <c r="BD44">
        <v>-2448</v>
      </c>
      <c r="BE44">
        <v>-464</v>
      </c>
      <c r="BF44">
        <v>-514</v>
      </c>
      <c r="BG44">
        <v>-374</v>
      </c>
      <c r="BH44">
        <v>-363</v>
      </c>
      <c r="BI44">
        <v>-1715</v>
      </c>
      <c r="BJ44">
        <v>-456</v>
      </c>
      <c r="BK44">
        <v>-437</v>
      </c>
      <c r="BL44">
        <v>-321</v>
      </c>
      <c r="BM44">
        <v>-336</v>
      </c>
      <c r="BN44">
        <v>-1550</v>
      </c>
      <c r="BO44">
        <v>-333</v>
      </c>
      <c r="BP44">
        <v>-360</v>
      </c>
      <c r="BQ44">
        <v>-373</v>
      </c>
      <c r="BR44">
        <v>-413</v>
      </c>
      <c r="BS44">
        <v>-1479</v>
      </c>
      <c r="BT44">
        <v>-443</v>
      </c>
      <c r="BU44">
        <v>-417</v>
      </c>
      <c r="BV44">
        <v>-432</v>
      </c>
      <c r="BW44">
        <v>-416</v>
      </c>
      <c r="BX44">
        <v>-1708</v>
      </c>
      <c r="BY44">
        <v>-443</v>
      </c>
      <c r="BZ44">
        <v>-485</v>
      </c>
      <c r="CA44">
        <v>-481</v>
      </c>
      <c r="CB44">
        <v>-482</v>
      </c>
      <c r="CC44">
        <v>-1891</v>
      </c>
      <c r="CD44">
        <v>-528</v>
      </c>
      <c r="CE44">
        <v>-553</v>
      </c>
      <c r="CF44">
        <v>-541</v>
      </c>
      <c r="CG44">
        <v>-544</v>
      </c>
      <c r="CH44">
        <v>-2166</v>
      </c>
      <c r="CI44">
        <v>-558</v>
      </c>
      <c r="CJ44">
        <v>-575</v>
      </c>
      <c r="CK44">
        <v>-591</v>
      </c>
      <c r="CL44">
        <v>-520</v>
      </c>
      <c r="CM44">
        <v>-2244</v>
      </c>
      <c r="CN44">
        <v>-603</v>
      </c>
      <c r="CO44">
        <v>-603</v>
      </c>
      <c r="CP44">
        <v>-599</v>
      </c>
      <c r="CQ44">
        <v>-601</v>
      </c>
      <c r="CR44">
        <v>-2406</v>
      </c>
      <c r="CS44">
        <v>-635</v>
      </c>
      <c r="CT44">
        <v>-591</v>
      </c>
      <c r="CU44">
        <v>-602</v>
      </c>
      <c r="CV44">
        <v>-618</v>
      </c>
      <c r="CW44">
        <v>-2446</v>
      </c>
      <c r="CX44">
        <v>-646</v>
      </c>
      <c r="CY44">
        <v>-633</v>
      </c>
      <c r="CZ44">
        <v>-641</v>
      </c>
      <c r="DA44">
        <v>-654</v>
      </c>
      <c r="DB44">
        <v>-2574</v>
      </c>
      <c r="DC44">
        <v>-674</v>
      </c>
      <c r="DD44">
        <v>-658</v>
      </c>
      <c r="DE44">
        <v>-672</v>
      </c>
      <c r="DF44">
        <v>-664</v>
      </c>
      <c r="DG44">
        <v>-2668</v>
      </c>
      <c r="DH44">
        <v>-703</v>
      </c>
      <c r="DI44">
        <v>-767</v>
      </c>
      <c r="DJ44">
        <v>-883</v>
      </c>
      <c r="DK44">
        <v>-913</v>
      </c>
      <c r="DL44">
        <v>-3266</v>
      </c>
      <c r="DM44">
        <v>-973</v>
      </c>
      <c r="DN44">
        <v>-986</v>
      </c>
      <c r="DO44">
        <v>-969</v>
      </c>
      <c r="DP44">
        <v>-1012</v>
      </c>
      <c r="DQ44">
        <v>-3940</v>
      </c>
      <c r="DR44">
        <v>-1107</v>
      </c>
      <c r="DS44">
        <v>-1183</v>
      </c>
      <c r="DT44">
        <v>-1172</v>
      </c>
      <c r="DU44">
        <v>-1190</v>
      </c>
      <c r="DV44">
        <v>-4652</v>
      </c>
      <c r="DW44">
        <v>-1262</v>
      </c>
      <c r="DX44">
        <v>-1340</v>
      </c>
      <c r="DY44">
        <v>-1338</v>
      </c>
      <c r="DZ44">
        <v>-1349</v>
      </c>
      <c r="EA44">
        <v>-5289</v>
      </c>
      <c r="EB44">
        <v>-1456</v>
      </c>
      <c r="EC44">
        <v>-1566</v>
      </c>
      <c r="ED44">
        <v>-1525</v>
      </c>
      <c r="EE44">
        <v>-1571</v>
      </c>
      <c r="EF44">
        <v>-6118</v>
      </c>
      <c r="EG44">
        <v>-1702</v>
      </c>
      <c r="EH44">
        <v>-1897</v>
      </c>
      <c r="EI44">
        <v>-1906</v>
      </c>
      <c r="EJ44">
        <v>-1997</v>
      </c>
      <c r="EK44">
        <v>-7502</v>
      </c>
      <c r="EL44">
        <v>-2192</v>
      </c>
      <c r="EM44">
        <v>-2538</v>
      </c>
      <c r="EN44">
        <v>-2465</v>
      </c>
      <c r="EO44">
        <v>-2416</v>
      </c>
      <c r="EP44">
        <v>-9611</v>
      </c>
      <c r="EQ44">
        <v>-2507</v>
      </c>
      <c r="ER44">
        <v>-2828</v>
      </c>
      <c r="ES44">
        <v>-2703</v>
      </c>
      <c r="ET44">
        <v>-2696</v>
      </c>
      <c r="EU44">
        <v>-10734</v>
      </c>
      <c r="EV44">
        <v>-2832</v>
      </c>
      <c r="EW44">
        <v>-3089</v>
      </c>
      <c r="EX44">
        <v>-2980</v>
      </c>
      <c r="EY44">
        <v>-3161.5768746549202</v>
      </c>
      <c r="EZ44">
        <v>-12062.5768746549</v>
      </c>
      <c r="FA44">
        <v>-3034.5554974609299</v>
      </c>
      <c r="FB44">
        <v>-3213.0227840204798</v>
      </c>
      <c r="FC44">
        <v>-3225.9549850508802</v>
      </c>
      <c r="FD44">
        <v>-3435.8430306728801</v>
      </c>
      <c r="FE44">
        <v>-12909.376297205201</v>
      </c>
      <c r="FF44">
        <v>-3225.6941246689698</v>
      </c>
      <c r="FG44">
        <v>-3415.6302630352402</v>
      </c>
      <c r="FH44">
        <v>-3434.7602261146999</v>
      </c>
      <c r="FI44">
        <v>-3675.2577610536</v>
      </c>
      <c r="FJ44">
        <v>-13751.3423748725</v>
      </c>
      <c r="FK44">
        <v>-3413.6148646196598</v>
      </c>
      <c r="FL44">
        <v>-3614.8185924323798</v>
      </c>
      <c r="FM44">
        <v>-3640.1573613095902</v>
      </c>
      <c r="FN44">
        <v>-3913.4772705963801</v>
      </c>
      <c r="FO44">
        <v>-14582.068088958</v>
      </c>
    </row>
    <row r="45" spans="2:171">
      <c r="B45" t="s">
        <v>662</v>
      </c>
      <c r="C45" t="s">
        <v>663</v>
      </c>
      <c r="D45" t="s">
        <v>379</v>
      </c>
    </row>
    <row r="46" spans="2:171">
      <c r="B46" t="s">
        <v>664</v>
      </c>
      <c r="C46" t="s">
        <v>665</v>
      </c>
      <c r="D46" t="s">
        <v>379</v>
      </c>
    </row>
    <row r="47" spans="2:171">
      <c r="B47" t="s">
        <v>666</v>
      </c>
      <c r="C47" t="s">
        <v>667</v>
      </c>
      <c r="D47" t="s">
        <v>379</v>
      </c>
    </row>
    <row r="48" spans="2:171">
      <c r="B48" t="s">
        <v>668</v>
      </c>
      <c r="C48" t="s">
        <v>669</v>
      </c>
      <c r="D48" t="s">
        <v>379</v>
      </c>
    </row>
    <row r="49" spans="1:171">
      <c r="B49" t="s">
        <v>670</v>
      </c>
      <c r="C49" t="s">
        <v>671</v>
      </c>
      <c r="D49" t="s">
        <v>379</v>
      </c>
    </row>
    <row r="50" spans="1:171">
      <c r="B50" t="s">
        <v>672</v>
      </c>
      <c r="C50" t="s">
        <v>673</v>
      </c>
      <c r="D50" t="s">
        <v>379</v>
      </c>
    </row>
    <row r="51" spans="1:171">
      <c r="B51" t="s">
        <v>674</v>
      </c>
      <c r="C51" t="s">
        <v>675</v>
      </c>
      <c r="D51" t="s">
        <v>379</v>
      </c>
    </row>
    <row r="52" spans="1:171">
      <c r="B52" t="s">
        <v>676</v>
      </c>
      <c r="C52" t="s">
        <v>677</v>
      </c>
      <c r="D52" t="s">
        <v>379</v>
      </c>
    </row>
    <row r="53" spans="1:171">
      <c r="A53" t="s">
        <v>47</v>
      </c>
    </row>
    <row r="54" spans="1:171">
      <c r="B54" t="s">
        <v>678</v>
      </c>
      <c r="C54" t="s">
        <v>679</v>
      </c>
      <c r="D54" t="s">
        <v>379</v>
      </c>
      <c r="F54">
        <v>1962</v>
      </c>
      <c r="G54">
        <v>1906</v>
      </c>
      <c r="H54">
        <v>2323</v>
      </c>
      <c r="I54">
        <v>2937</v>
      </c>
      <c r="J54">
        <v>2601</v>
      </c>
      <c r="K54">
        <v>2601</v>
      </c>
      <c r="L54">
        <v>3018</v>
      </c>
      <c r="M54">
        <v>3096</v>
      </c>
      <c r="N54">
        <v>3852</v>
      </c>
      <c r="O54">
        <v>3706</v>
      </c>
      <c r="P54">
        <v>3706</v>
      </c>
      <c r="Q54">
        <v>3945</v>
      </c>
      <c r="R54">
        <v>2582</v>
      </c>
      <c r="S54">
        <v>4110</v>
      </c>
      <c r="T54">
        <v>3839</v>
      </c>
      <c r="U54">
        <v>3839</v>
      </c>
      <c r="V54">
        <v>5191</v>
      </c>
      <c r="W54">
        <v>6113</v>
      </c>
      <c r="X54">
        <v>6203</v>
      </c>
      <c r="Y54">
        <v>4975</v>
      </c>
      <c r="Z54">
        <v>4975</v>
      </c>
      <c r="AA54">
        <v>4789</v>
      </c>
      <c r="AB54">
        <v>5032</v>
      </c>
      <c r="AC54">
        <v>5192</v>
      </c>
      <c r="AD54">
        <v>4846</v>
      </c>
      <c r="AE54">
        <v>4846</v>
      </c>
      <c r="AF54">
        <v>2641</v>
      </c>
      <c r="AG54">
        <v>3531</v>
      </c>
      <c r="AH54">
        <v>4149</v>
      </c>
      <c r="AI54">
        <v>3922</v>
      </c>
      <c r="AJ54">
        <v>3922</v>
      </c>
      <c r="AK54">
        <v>3113</v>
      </c>
      <c r="AL54">
        <v>5256</v>
      </c>
      <c r="AM54">
        <v>5116</v>
      </c>
      <c r="AN54">
        <v>3016</v>
      </c>
      <c r="AO54">
        <v>3016</v>
      </c>
      <c r="AP54">
        <v>5338</v>
      </c>
      <c r="AQ54">
        <v>5552</v>
      </c>
      <c r="AR54">
        <v>4300</v>
      </c>
      <c r="AS54">
        <v>6438</v>
      </c>
      <c r="AT54">
        <v>6438</v>
      </c>
      <c r="AU54">
        <v>5768</v>
      </c>
      <c r="AV54">
        <v>6149</v>
      </c>
      <c r="AW54">
        <v>9348</v>
      </c>
      <c r="AX54">
        <v>15982</v>
      </c>
      <c r="AY54">
        <v>15982</v>
      </c>
      <c r="AZ54">
        <v>11141</v>
      </c>
      <c r="BA54">
        <v>4556</v>
      </c>
      <c r="BB54">
        <v>3782</v>
      </c>
      <c r="BC54">
        <v>4851</v>
      </c>
      <c r="BD54">
        <v>4851</v>
      </c>
      <c r="BE54">
        <v>2974</v>
      </c>
      <c r="BF54">
        <v>4083</v>
      </c>
      <c r="BG54">
        <v>4351</v>
      </c>
      <c r="BH54">
        <v>6714</v>
      </c>
      <c r="BI54">
        <v>6714</v>
      </c>
      <c r="BJ54">
        <v>9076</v>
      </c>
      <c r="BK54">
        <v>6859</v>
      </c>
      <c r="BL54">
        <v>7611</v>
      </c>
      <c r="BM54">
        <v>6111</v>
      </c>
      <c r="BN54">
        <v>6111</v>
      </c>
      <c r="BO54">
        <v>6637</v>
      </c>
      <c r="BP54">
        <v>7460</v>
      </c>
      <c r="BQ54">
        <v>11820</v>
      </c>
      <c r="BR54">
        <v>10339</v>
      </c>
      <c r="BS54">
        <v>10339</v>
      </c>
      <c r="BT54">
        <v>9004</v>
      </c>
      <c r="BU54">
        <v>8346</v>
      </c>
      <c r="BV54">
        <v>7285</v>
      </c>
      <c r="BW54">
        <v>6076</v>
      </c>
      <c r="BX54">
        <v>6076</v>
      </c>
      <c r="BY54">
        <v>8823</v>
      </c>
      <c r="BZ54">
        <v>9422</v>
      </c>
      <c r="CA54">
        <v>8155</v>
      </c>
      <c r="CB54">
        <v>5505</v>
      </c>
      <c r="CC54">
        <v>5505</v>
      </c>
      <c r="CD54">
        <v>8161</v>
      </c>
      <c r="CE54">
        <v>4023</v>
      </c>
      <c r="CF54">
        <v>7021</v>
      </c>
      <c r="CG54">
        <v>9610</v>
      </c>
      <c r="CH54">
        <v>9610</v>
      </c>
      <c r="CI54">
        <v>12881</v>
      </c>
      <c r="CJ54">
        <v>10610</v>
      </c>
      <c r="CK54">
        <v>6388</v>
      </c>
      <c r="CL54">
        <v>6938</v>
      </c>
      <c r="CM54">
        <v>6938</v>
      </c>
      <c r="CN54">
        <v>5036</v>
      </c>
      <c r="CO54">
        <v>6017</v>
      </c>
      <c r="CP54">
        <v>5240</v>
      </c>
      <c r="CQ54">
        <v>3804</v>
      </c>
      <c r="CR54">
        <v>3804</v>
      </c>
      <c r="CS54">
        <v>4023</v>
      </c>
      <c r="CT54">
        <v>10059</v>
      </c>
      <c r="CU54">
        <v>11572</v>
      </c>
      <c r="CV54">
        <v>8669</v>
      </c>
      <c r="CW54">
        <v>8669</v>
      </c>
      <c r="CX54">
        <v>6302</v>
      </c>
      <c r="CY54">
        <v>6426</v>
      </c>
      <c r="CZ54">
        <v>7414</v>
      </c>
      <c r="DA54">
        <v>5595</v>
      </c>
      <c r="DB54">
        <v>5595</v>
      </c>
      <c r="DC54">
        <v>5431</v>
      </c>
      <c r="DD54">
        <v>7185</v>
      </c>
      <c r="DE54">
        <v>7170</v>
      </c>
      <c r="DF54">
        <v>6510</v>
      </c>
      <c r="DG54">
        <v>6510</v>
      </c>
      <c r="DH54">
        <v>13928</v>
      </c>
      <c r="DI54">
        <v>8468</v>
      </c>
      <c r="DJ54">
        <v>6713</v>
      </c>
      <c r="DK54">
        <v>7663</v>
      </c>
      <c r="DL54">
        <v>7663</v>
      </c>
      <c r="DM54">
        <v>6884</v>
      </c>
      <c r="DN54">
        <v>12859</v>
      </c>
      <c r="DO54">
        <v>9221</v>
      </c>
      <c r="DP54">
        <v>11946</v>
      </c>
      <c r="DQ54">
        <v>11946</v>
      </c>
      <c r="DR54">
        <v>15137</v>
      </c>
      <c r="DS54">
        <v>6638</v>
      </c>
      <c r="DT54">
        <v>11212</v>
      </c>
      <c r="DU54">
        <v>11356</v>
      </c>
      <c r="DV54">
        <v>11356</v>
      </c>
      <c r="DW54">
        <v>13117</v>
      </c>
      <c r="DX54">
        <v>8864</v>
      </c>
      <c r="DY54">
        <v>11710</v>
      </c>
      <c r="DZ54">
        <v>13576</v>
      </c>
      <c r="EA54">
        <v>13576</v>
      </c>
      <c r="EB54">
        <v>17205</v>
      </c>
      <c r="EC54">
        <v>14432</v>
      </c>
      <c r="ED54">
        <v>13702</v>
      </c>
      <c r="EE54">
        <v>14224</v>
      </c>
      <c r="EF54">
        <v>14224</v>
      </c>
      <c r="EG54">
        <v>19165</v>
      </c>
      <c r="EH54">
        <v>20604</v>
      </c>
      <c r="EI54">
        <v>12498</v>
      </c>
      <c r="EJ54">
        <v>13931</v>
      </c>
      <c r="EK54">
        <v>13931</v>
      </c>
      <c r="EL54">
        <v>22884</v>
      </c>
      <c r="EM54">
        <v>15646</v>
      </c>
      <c r="EN54">
        <v>26562</v>
      </c>
      <c r="EO54">
        <v>34704</v>
      </c>
      <c r="EP54">
        <v>34704</v>
      </c>
      <c r="EQ54">
        <v>80452</v>
      </c>
      <c r="ER54">
        <v>17305</v>
      </c>
      <c r="ES54">
        <v>19634</v>
      </c>
      <c r="ET54">
        <v>18315</v>
      </c>
      <c r="EU54">
        <v>18315</v>
      </c>
      <c r="EV54">
        <v>20840</v>
      </c>
      <c r="EW54">
        <v>17482</v>
      </c>
      <c r="EX54">
        <v>28828</v>
      </c>
      <c r="EY54">
        <v>41312.044233978202</v>
      </c>
      <c r="EZ54">
        <v>41312.044233978202</v>
      </c>
      <c r="FA54">
        <v>50947.624224303399</v>
      </c>
      <c r="FB54">
        <v>47203.883349047297</v>
      </c>
      <c r="FC54">
        <v>58646.694585279198</v>
      </c>
      <c r="FD54">
        <v>74543.9591491436</v>
      </c>
      <c r="FE54">
        <v>74543.9591491436</v>
      </c>
      <c r="FF54">
        <v>91785.580906133298</v>
      </c>
      <c r="FG54">
        <v>91006.091081929495</v>
      </c>
      <c r="FH54">
        <v>107950.401316797</v>
      </c>
      <c r="FI54">
        <v>129916.77630831</v>
      </c>
      <c r="FJ54">
        <v>129916.77630831</v>
      </c>
      <c r="FK54">
        <v>155669.53133365099</v>
      </c>
      <c r="FL54">
        <v>157675.451158146</v>
      </c>
      <c r="FM54">
        <v>180705.70854580801</v>
      </c>
      <c r="FN54">
        <v>208598.79717846101</v>
      </c>
      <c r="FO54">
        <v>208598.79717846101</v>
      </c>
    </row>
    <row r="55" spans="1:171">
      <c r="B55" t="s">
        <v>680</v>
      </c>
      <c r="C55" t="s">
        <v>681</v>
      </c>
      <c r="D55" t="s">
        <v>379</v>
      </c>
      <c r="F55">
        <v>581</v>
      </c>
      <c r="G55">
        <v>1052</v>
      </c>
      <c r="H55">
        <v>771</v>
      </c>
      <c r="I55">
        <v>681</v>
      </c>
      <c r="J55">
        <v>639</v>
      </c>
      <c r="K55">
        <v>639</v>
      </c>
      <c r="L55">
        <v>855</v>
      </c>
      <c r="M55">
        <v>975</v>
      </c>
      <c r="N55">
        <v>866</v>
      </c>
      <c r="O55">
        <v>980</v>
      </c>
      <c r="P55">
        <v>980</v>
      </c>
      <c r="Q55">
        <v>788</v>
      </c>
      <c r="R55">
        <v>1081</v>
      </c>
      <c r="S55">
        <v>1055</v>
      </c>
      <c r="T55">
        <v>1460</v>
      </c>
      <c r="U55">
        <v>1460</v>
      </c>
      <c r="V55">
        <v>1153</v>
      </c>
      <c r="W55">
        <v>2029</v>
      </c>
      <c r="X55">
        <v>1689</v>
      </c>
      <c r="Y55">
        <v>2245</v>
      </c>
      <c r="Z55">
        <v>2245</v>
      </c>
      <c r="AA55">
        <v>2207</v>
      </c>
      <c r="AB55">
        <v>3284</v>
      </c>
      <c r="AC55">
        <v>2902</v>
      </c>
      <c r="AD55">
        <v>3250</v>
      </c>
      <c r="AE55">
        <v>3250</v>
      </c>
      <c r="AF55">
        <v>3172</v>
      </c>
      <c r="AG55">
        <v>4143</v>
      </c>
      <c r="AH55">
        <v>3532</v>
      </c>
      <c r="AI55">
        <v>3671</v>
      </c>
      <c r="AJ55">
        <v>3671</v>
      </c>
      <c r="AK55">
        <v>3615</v>
      </c>
      <c r="AL55">
        <v>5095</v>
      </c>
      <c r="AM55">
        <v>4230</v>
      </c>
      <c r="AN55">
        <v>5129</v>
      </c>
      <c r="AO55">
        <v>5129</v>
      </c>
      <c r="AP55">
        <v>4450</v>
      </c>
      <c r="AQ55">
        <v>4894</v>
      </c>
      <c r="AR55">
        <v>4075</v>
      </c>
      <c r="AS55">
        <v>5196</v>
      </c>
      <c r="AT55">
        <v>5196</v>
      </c>
      <c r="AU55">
        <v>4533</v>
      </c>
      <c r="AV55">
        <v>5608</v>
      </c>
      <c r="AW55">
        <v>4937</v>
      </c>
      <c r="AX55">
        <v>5890</v>
      </c>
      <c r="AY55">
        <v>5890</v>
      </c>
      <c r="AZ55">
        <v>5106</v>
      </c>
      <c r="BA55">
        <v>6646</v>
      </c>
      <c r="BB55">
        <v>5610</v>
      </c>
      <c r="BC55">
        <v>7180</v>
      </c>
      <c r="BD55">
        <v>7180</v>
      </c>
      <c r="BE55">
        <v>5799</v>
      </c>
      <c r="BF55">
        <v>7758</v>
      </c>
      <c r="BG55">
        <v>6818</v>
      </c>
      <c r="BH55">
        <v>9316</v>
      </c>
      <c r="BI55">
        <v>9316</v>
      </c>
      <c r="BJ55">
        <v>6879</v>
      </c>
      <c r="BK55">
        <v>9895</v>
      </c>
      <c r="BL55">
        <v>8454</v>
      </c>
      <c r="BM55">
        <v>11338</v>
      </c>
      <c r="BN55">
        <v>11338</v>
      </c>
      <c r="BO55">
        <v>8982</v>
      </c>
      <c r="BP55">
        <v>11621</v>
      </c>
      <c r="BQ55">
        <v>9871</v>
      </c>
      <c r="BR55">
        <v>13589</v>
      </c>
      <c r="BS55">
        <v>13589</v>
      </c>
      <c r="BT55">
        <v>9535</v>
      </c>
      <c r="BU55">
        <v>10953</v>
      </c>
      <c r="BV55">
        <v>9182</v>
      </c>
      <c r="BW55">
        <v>11192</v>
      </c>
      <c r="BX55">
        <v>11192</v>
      </c>
      <c r="BY55">
        <v>8587</v>
      </c>
      <c r="BZ55">
        <v>11196</v>
      </c>
      <c r="CA55">
        <v>9137</v>
      </c>
      <c r="CB55">
        <v>13014</v>
      </c>
      <c r="CC55">
        <v>13014</v>
      </c>
      <c r="CD55">
        <v>9646</v>
      </c>
      <c r="CE55">
        <v>12874</v>
      </c>
      <c r="CF55">
        <v>10033</v>
      </c>
      <c r="CG55">
        <v>14987</v>
      </c>
      <c r="CH55">
        <v>14987</v>
      </c>
      <c r="CI55">
        <v>10153</v>
      </c>
      <c r="CJ55">
        <v>13643</v>
      </c>
      <c r="CK55">
        <v>10961</v>
      </c>
      <c r="CL55">
        <v>15780</v>
      </c>
      <c r="CM55">
        <v>15780</v>
      </c>
      <c r="CN55">
        <v>9871</v>
      </c>
      <c r="CO55">
        <v>14317</v>
      </c>
      <c r="CP55">
        <v>11991</v>
      </c>
      <c r="CQ55">
        <v>17486</v>
      </c>
      <c r="CR55">
        <v>17486</v>
      </c>
      <c r="CS55">
        <v>11007</v>
      </c>
      <c r="CT55">
        <v>15986</v>
      </c>
      <c r="CU55">
        <v>13497</v>
      </c>
      <c r="CV55">
        <v>19544</v>
      </c>
      <c r="CW55">
        <v>19544</v>
      </c>
      <c r="CX55">
        <v>12887</v>
      </c>
      <c r="CY55">
        <v>16186</v>
      </c>
      <c r="CZ55">
        <v>12427</v>
      </c>
      <c r="DA55">
        <v>17908</v>
      </c>
      <c r="DB55">
        <v>17908</v>
      </c>
      <c r="DC55">
        <v>11444</v>
      </c>
      <c r="DD55">
        <v>14507</v>
      </c>
      <c r="DE55">
        <v>12247</v>
      </c>
      <c r="DF55">
        <v>18277</v>
      </c>
      <c r="DG55">
        <v>18277</v>
      </c>
      <c r="DH55">
        <v>13479</v>
      </c>
      <c r="DI55">
        <v>16737</v>
      </c>
      <c r="DJ55">
        <v>15364</v>
      </c>
      <c r="DK55">
        <v>22431</v>
      </c>
      <c r="DL55">
        <v>22431</v>
      </c>
      <c r="DM55">
        <v>14561</v>
      </c>
      <c r="DN55">
        <v>18428</v>
      </c>
      <c r="DO55">
        <v>17208</v>
      </c>
      <c r="DP55">
        <v>26481</v>
      </c>
      <c r="DQ55">
        <v>26481</v>
      </c>
      <c r="DR55">
        <v>17390</v>
      </c>
      <c r="DS55">
        <v>19680</v>
      </c>
      <c r="DT55">
        <v>19269</v>
      </c>
      <c r="DU55">
        <v>29524</v>
      </c>
      <c r="DV55">
        <v>29524</v>
      </c>
      <c r="DW55">
        <v>19087</v>
      </c>
      <c r="DX55">
        <v>23525</v>
      </c>
      <c r="DY55">
        <v>22699</v>
      </c>
      <c r="DZ55">
        <v>32011</v>
      </c>
      <c r="EA55">
        <v>32011</v>
      </c>
      <c r="EB55">
        <v>22851</v>
      </c>
      <c r="EC55">
        <v>27312</v>
      </c>
      <c r="ED55">
        <v>26322</v>
      </c>
      <c r="EE55">
        <v>38043</v>
      </c>
      <c r="EF55">
        <v>38043</v>
      </c>
      <c r="EG55">
        <v>27349</v>
      </c>
      <c r="EH55">
        <v>33520</v>
      </c>
      <c r="EI55">
        <v>32613</v>
      </c>
      <c r="EJ55">
        <v>44261</v>
      </c>
      <c r="EK55">
        <v>44261</v>
      </c>
      <c r="EL55">
        <v>31279</v>
      </c>
      <c r="EM55">
        <v>35833</v>
      </c>
      <c r="EN55">
        <v>37420</v>
      </c>
      <c r="EO55">
        <v>48688</v>
      </c>
      <c r="EP55">
        <v>48688</v>
      </c>
      <c r="EQ55">
        <v>36953</v>
      </c>
      <c r="ER55">
        <v>42831</v>
      </c>
      <c r="ES55">
        <v>44029</v>
      </c>
      <c r="ET55">
        <v>56924</v>
      </c>
      <c r="EU55">
        <v>56924</v>
      </c>
      <c r="EV55">
        <v>44148</v>
      </c>
      <c r="EW55">
        <v>48188</v>
      </c>
      <c r="EX55">
        <v>51700</v>
      </c>
      <c r="EY55">
        <v>65349.670418046197</v>
      </c>
      <c r="EZ55">
        <v>65349.670418046197</v>
      </c>
      <c r="FA55">
        <v>52645.205260087503</v>
      </c>
      <c r="FB55">
        <v>57233.828892046004</v>
      </c>
      <c r="FC55">
        <v>61156.555104598701</v>
      </c>
      <c r="FD55">
        <v>77034.028165368203</v>
      </c>
      <c r="FE55">
        <v>77034.028165368203</v>
      </c>
      <c r="FF55">
        <v>61462.062983830197</v>
      </c>
      <c r="FG55">
        <v>66771.558066405196</v>
      </c>
      <c r="FH55">
        <v>71377.762474283794</v>
      </c>
      <c r="FI55">
        <v>87797.407858035906</v>
      </c>
      <c r="FJ55">
        <v>87797.407858035906</v>
      </c>
      <c r="FK55">
        <v>71679.786243320297</v>
      </c>
      <c r="FL55">
        <v>77819.108376693694</v>
      </c>
      <c r="FM55">
        <v>82299.038854380604</v>
      </c>
      <c r="FN55">
        <v>100038.530192958</v>
      </c>
      <c r="FO55">
        <v>100038.530192958</v>
      </c>
    </row>
    <row r="56" spans="1:171">
      <c r="B56" t="s">
        <v>682</v>
      </c>
      <c r="C56" t="s">
        <v>683</v>
      </c>
      <c r="D56" t="s">
        <v>379</v>
      </c>
      <c r="F56">
        <v>88</v>
      </c>
      <c r="G56">
        <v>125</v>
      </c>
      <c r="H56">
        <v>108</v>
      </c>
      <c r="I56">
        <v>33</v>
      </c>
      <c r="AJ56">
        <v>0</v>
      </c>
      <c r="AN56">
        <v>673</v>
      </c>
      <c r="AO56">
        <v>673</v>
      </c>
      <c r="AP56">
        <v>959</v>
      </c>
      <c r="AQ56">
        <v>650</v>
      </c>
      <c r="AR56">
        <v>604</v>
      </c>
      <c r="AS56">
        <v>640</v>
      </c>
      <c r="AT56">
        <v>640</v>
      </c>
      <c r="AU56">
        <v>1099</v>
      </c>
      <c r="AV56">
        <v>621</v>
      </c>
      <c r="AW56">
        <v>542</v>
      </c>
      <c r="AX56">
        <v>421</v>
      </c>
      <c r="AY56">
        <v>421</v>
      </c>
      <c r="AZ56">
        <v>608</v>
      </c>
      <c r="BA56">
        <v>304</v>
      </c>
      <c r="BB56">
        <v>340</v>
      </c>
      <c r="BC56">
        <v>491</v>
      </c>
      <c r="BD56">
        <v>491</v>
      </c>
      <c r="BE56">
        <v>726</v>
      </c>
      <c r="BF56">
        <v>1003</v>
      </c>
      <c r="BG56">
        <v>1113</v>
      </c>
      <c r="BH56">
        <v>1478</v>
      </c>
      <c r="BI56">
        <v>1478</v>
      </c>
      <c r="BJ56">
        <v>2521</v>
      </c>
      <c r="BK56">
        <v>1725</v>
      </c>
      <c r="BL56">
        <v>1750</v>
      </c>
      <c r="BM56">
        <v>1127</v>
      </c>
      <c r="BN56">
        <v>1127</v>
      </c>
      <c r="BO56">
        <v>1178</v>
      </c>
      <c r="BP56">
        <v>755</v>
      </c>
      <c r="BQ56">
        <v>774</v>
      </c>
      <c r="BR56">
        <v>985</v>
      </c>
      <c r="BS56">
        <v>985</v>
      </c>
      <c r="BT56">
        <v>1640</v>
      </c>
      <c r="BU56">
        <v>968</v>
      </c>
      <c r="BV56">
        <v>657</v>
      </c>
      <c r="BW56">
        <v>717</v>
      </c>
      <c r="BX56">
        <v>717</v>
      </c>
      <c r="BY56">
        <v>1150</v>
      </c>
      <c r="BZ56">
        <v>589</v>
      </c>
      <c r="CA56">
        <v>501</v>
      </c>
      <c r="CB56">
        <v>740</v>
      </c>
      <c r="CC56">
        <v>740</v>
      </c>
      <c r="CD56">
        <v>1242</v>
      </c>
      <c r="CE56">
        <v>861</v>
      </c>
      <c r="CF56">
        <v>1056</v>
      </c>
      <c r="CG56">
        <v>1372</v>
      </c>
      <c r="CH56">
        <v>1372</v>
      </c>
      <c r="CI56">
        <v>2270</v>
      </c>
      <c r="CJ56">
        <v>1351</v>
      </c>
      <c r="CK56">
        <v>1412</v>
      </c>
      <c r="CL56">
        <v>1137</v>
      </c>
      <c r="CM56">
        <v>1137</v>
      </c>
      <c r="CN56">
        <v>1624</v>
      </c>
      <c r="CO56">
        <v>1661</v>
      </c>
      <c r="CP56">
        <v>2133</v>
      </c>
      <c r="CQ56">
        <v>1938</v>
      </c>
      <c r="CR56">
        <v>1938</v>
      </c>
      <c r="CS56">
        <v>2613</v>
      </c>
      <c r="CT56">
        <v>1594</v>
      </c>
      <c r="CU56">
        <v>1920</v>
      </c>
      <c r="CV56">
        <v>2660</v>
      </c>
      <c r="CW56">
        <v>2660</v>
      </c>
      <c r="CX56">
        <v>3141</v>
      </c>
      <c r="CY56">
        <v>2053</v>
      </c>
      <c r="CZ56">
        <v>2469</v>
      </c>
      <c r="DA56">
        <v>2902</v>
      </c>
      <c r="DB56">
        <v>2902</v>
      </c>
      <c r="DC56">
        <v>3816</v>
      </c>
      <c r="DD56">
        <v>2702</v>
      </c>
      <c r="DE56">
        <v>2450</v>
      </c>
      <c r="DF56">
        <v>2251</v>
      </c>
      <c r="DG56">
        <v>2251</v>
      </c>
      <c r="DH56">
        <v>3122</v>
      </c>
      <c r="DI56">
        <v>1961</v>
      </c>
      <c r="DJ56">
        <v>1979</v>
      </c>
      <c r="DK56">
        <v>2181</v>
      </c>
      <c r="DL56">
        <v>2181</v>
      </c>
      <c r="DM56">
        <v>3211</v>
      </c>
      <c r="DN56">
        <v>2003</v>
      </c>
      <c r="DO56">
        <v>2084</v>
      </c>
      <c r="DP56">
        <v>2662</v>
      </c>
      <c r="DQ56">
        <v>2662</v>
      </c>
      <c r="DR56">
        <v>3614</v>
      </c>
      <c r="DS56">
        <v>1961</v>
      </c>
      <c r="DT56">
        <v>1951</v>
      </c>
      <c r="DU56">
        <v>2063</v>
      </c>
      <c r="DV56">
        <v>2063</v>
      </c>
      <c r="DW56">
        <v>2622</v>
      </c>
      <c r="DX56">
        <v>1823</v>
      </c>
      <c r="DY56">
        <v>1644</v>
      </c>
      <c r="DZ56">
        <v>1895</v>
      </c>
      <c r="EA56">
        <v>1895</v>
      </c>
      <c r="EB56">
        <v>2705</v>
      </c>
      <c r="EC56">
        <v>1924</v>
      </c>
      <c r="ED56">
        <v>2245</v>
      </c>
      <c r="EE56">
        <v>2636</v>
      </c>
      <c r="EF56">
        <v>2636</v>
      </c>
      <c r="EG56">
        <v>3411</v>
      </c>
      <c r="EH56">
        <v>3019</v>
      </c>
      <c r="EI56">
        <v>3296</v>
      </c>
      <c r="EJ56">
        <v>3742</v>
      </c>
      <c r="EK56">
        <v>3742</v>
      </c>
      <c r="EL56">
        <v>4268</v>
      </c>
      <c r="EM56">
        <v>2980</v>
      </c>
      <c r="EN56">
        <v>2877</v>
      </c>
      <c r="EO56">
        <v>2500</v>
      </c>
      <c r="EP56">
        <v>2500</v>
      </c>
      <c r="EQ56">
        <v>3000</v>
      </c>
      <c r="ER56">
        <v>1615</v>
      </c>
      <c r="ES56">
        <v>1304</v>
      </c>
      <c r="ET56">
        <v>1246</v>
      </c>
      <c r="EU56">
        <v>1246</v>
      </c>
      <c r="EV56">
        <v>1626</v>
      </c>
      <c r="EW56">
        <v>909</v>
      </c>
      <c r="EX56">
        <v>848</v>
      </c>
      <c r="EY56">
        <v>1515.8518486622499</v>
      </c>
      <c r="EZ56">
        <v>1515.8518486622499</v>
      </c>
      <c r="FA56">
        <v>2153.5846452709702</v>
      </c>
      <c r="FB56">
        <v>1317.2121037755601</v>
      </c>
      <c r="FC56">
        <v>1242.1918820553101</v>
      </c>
      <c r="FD56">
        <v>1964.36060111239</v>
      </c>
      <c r="FE56">
        <v>1964.36060111239</v>
      </c>
      <c r="FF56">
        <v>2735.7194250274301</v>
      </c>
      <c r="FG56">
        <v>1805.38124891353</v>
      </c>
      <c r="FH56">
        <v>1728.993889828</v>
      </c>
      <c r="FI56">
        <v>2581.6332739662198</v>
      </c>
      <c r="FJ56">
        <v>2581.6332739662198</v>
      </c>
      <c r="FK56">
        <v>3438.6864004939098</v>
      </c>
      <c r="FL56">
        <v>2403.40506917429</v>
      </c>
      <c r="FM56">
        <v>2302.0406626634999</v>
      </c>
      <c r="FN56">
        <v>3338.4318934627699</v>
      </c>
      <c r="FO56">
        <v>3338.4318934627699</v>
      </c>
    </row>
    <row r="57" spans="1:171">
      <c r="B57" t="s">
        <v>684</v>
      </c>
      <c r="C57" t="s">
        <v>685</v>
      </c>
      <c r="D57" t="s">
        <v>379</v>
      </c>
      <c r="F57">
        <v>2989</v>
      </c>
      <c r="G57">
        <v>3334</v>
      </c>
      <c r="H57">
        <v>3901</v>
      </c>
      <c r="I57">
        <v>4045</v>
      </c>
      <c r="J57">
        <v>4599</v>
      </c>
      <c r="K57">
        <v>4599</v>
      </c>
      <c r="L57">
        <v>4359</v>
      </c>
      <c r="M57">
        <v>6371</v>
      </c>
      <c r="N57">
        <v>5506</v>
      </c>
      <c r="O57">
        <v>5687</v>
      </c>
      <c r="P57">
        <v>5687</v>
      </c>
      <c r="Q57">
        <v>6105</v>
      </c>
      <c r="R57">
        <v>7973</v>
      </c>
      <c r="S57">
        <v>8570</v>
      </c>
      <c r="T57">
        <v>10590</v>
      </c>
      <c r="U57">
        <v>10590</v>
      </c>
      <c r="V57">
        <v>12620</v>
      </c>
      <c r="W57">
        <v>13667</v>
      </c>
      <c r="X57">
        <v>16166</v>
      </c>
      <c r="Y57">
        <v>13013</v>
      </c>
      <c r="Z57">
        <v>13013</v>
      </c>
      <c r="AA57">
        <v>14967</v>
      </c>
      <c r="AB57">
        <v>13704</v>
      </c>
      <c r="AC57">
        <v>17123</v>
      </c>
      <c r="AD57">
        <v>20504</v>
      </c>
      <c r="AE57">
        <v>20504</v>
      </c>
      <c r="AF57">
        <v>25580</v>
      </c>
      <c r="AG57">
        <v>27342</v>
      </c>
      <c r="AH57">
        <v>30108</v>
      </c>
      <c r="AI57">
        <v>32044</v>
      </c>
      <c r="AJ57">
        <v>32044</v>
      </c>
      <c r="AK57">
        <v>37604</v>
      </c>
      <c r="AL57">
        <v>37637</v>
      </c>
      <c r="AM57">
        <v>38481</v>
      </c>
      <c r="AN57">
        <v>39758</v>
      </c>
      <c r="AO57">
        <v>39758</v>
      </c>
      <c r="AP57">
        <v>39296</v>
      </c>
      <c r="AQ57">
        <v>41835</v>
      </c>
      <c r="AR57">
        <v>45693</v>
      </c>
      <c r="AS57">
        <v>46699</v>
      </c>
      <c r="AT57">
        <v>46699</v>
      </c>
      <c r="AU57">
        <v>49510</v>
      </c>
      <c r="AV57">
        <v>50022</v>
      </c>
      <c r="AW57">
        <v>50443</v>
      </c>
      <c r="AX57">
        <v>48273</v>
      </c>
      <c r="AY57">
        <v>48273</v>
      </c>
      <c r="AZ57">
        <v>56041</v>
      </c>
      <c r="BA57">
        <v>32893</v>
      </c>
      <c r="BB57">
        <v>36861</v>
      </c>
      <c r="BC57">
        <v>36215</v>
      </c>
      <c r="BD57">
        <v>36215</v>
      </c>
      <c r="BE57">
        <v>40332</v>
      </c>
      <c r="BF57">
        <v>33850</v>
      </c>
      <c r="BG57">
        <v>34346</v>
      </c>
      <c r="BH57">
        <v>31502</v>
      </c>
      <c r="BI57">
        <v>31502</v>
      </c>
      <c r="BJ57">
        <v>26882</v>
      </c>
      <c r="BK57">
        <v>26701</v>
      </c>
      <c r="BL57">
        <v>24968</v>
      </c>
      <c r="BM57">
        <v>21592</v>
      </c>
      <c r="BN57">
        <v>21592</v>
      </c>
      <c r="BO57">
        <v>19056</v>
      </c>
      <c r="BP57">
        <v>17939</v>
      </c>
      <c r="BQ57">
        <v>19024</v>
      </c>
      <c r="BR57">
        <v>18329</v>
      </c>
      <c r="BS57">
        <v>18329</v>
      </c>
      <c r="BT57">
        <v>17023</v>
      </c>
      <c r="BU57">
        <v>17463</v>
      </c>
      <c r="BV57">
        <v>23600</v>
      </c>
      <c r="BW57">
        <v>31295</v>
      </c>
      <c r="BX57">
        <v>31295</v>
      </c>
      <c r="BY57">
        <v>33671</v>
      </c>
      <c r="BZ57">
        <v>31280</v>
      </c>
      <c r="CA57">
        <v>36725</v>
      </c>
      <c r="CB57">
        <v>36417</v>
      </c>
      <c r="CC57">
        <v>36417</v>
      </c>
      <c r="CD57">
        <v>40532</v>
      </c>
      <c r="CE57">
        <v>41926</v>
      </c>
      <c r="CF57">
        <v>48153</v>
      </c>
      <c r="CG57">
        <v>48949</v>
      </c>
      <c r="CH57">
        <v>48949</v>
      </c>
      <c r="CI57">
        <v>49967</v>
      </c>
      <c r="CJ57">
        <v>46909</v>
      </c>
      <c r="CK57">
        <v>58099</v>
      </c>
      <c r="CL57">
        <v>61229</v>
      </c>
      <c r="CM57">
        <v>61229</v>
      </c>
      <c r="CN57">
        <v>67520</v>
      </c>
      <c r="CO57">
        <v>67579</v>
      </c>
      <c r="CP57">
        <v>74160</v>
      </c>
      <c r="CQ57">
        <v>78238</v>
      </c>
      <c r="CR57">
        <v>78238</v>
      </c>
      <c r="CS57">
        <v>81807</v>
      </c>
      <c r="CT57">
        <v>79231</v>
      </c>
      <c r="CU57">
        <v>82017</v>
      </c>
      <c r="CV57">
        <v>83373</v>
      </c>
      <c r="CW57">
        <v>83373</v>
      </c>
      <c r="CX57">
        <v>90109</v>
      </c>
      <c r="CY57">
        <v>91697</v>
      </c>
      <c r="CZ57">
        <v>96088</v>
      </c>
      <c r="DA57">
        <v>98307</v>
      </c>
      <c r="DB57">
        <v>98307</v>
      </c>
      <c r="DC57">
        <v>100965</v>
      </c>
      <c r="DD57">
        <v>103418</v>
      </c>
      <c r="DE57">
        <v>106554</v>
      </c>
      <c r="DF57">
        <v>112622</v>
      </c>
      <c r="DG57">
        <v>112622</v>
      </c>
      <c r="DH57">
        <v>129897</v>
      </c>
      <c r="DI57">
        <v>120353</v>
      </c>
      <c r="DJ57">
        <v>124921</v>
      </c>
      <c r="DK57">
        <v>130421</v>
      </c>
      <c r="DL57">
        <v>130421</v>
      </c>
      <c r="DM57">
        <v>136375</v>
      </c>
      <c r="DN57">
        <v>134343</v>
      </c>
      <c r="DO57">
        <v>128146</v>
      </c>
      <c r="DP57">
        <v>128573</v>
      </c>
      <c r="DQ57">
        <v>128573</v>
      </c>
      <c r="DR57">
        <v>128054</v>
      </c>
      <c r="DS57">
        <v>128595</v>
      </c>
      <c r="DT57">
        <v>127455</v>
      </c>
      <c r="DU57">
        <v>132609</v>
      </c>
      <c r="DV57">
        <v>132609</v>
      </c>
      <c r="DW57">
        <v>131070</v>
      </c>
      <c r="DX57">
        <v>132862</v>
      </c>
      <c r="DY57">
        <v>134452</v>
      </c>
      <c r="DZ57">
        <v>134433</v>
      </c>
      <c r="EA57">
        <v>134433</v>
      </c>
      <c r="EB57">
        <v>134316</v>
      </c>
      <c r="EC57">
        <v>130305</v>
      </c>
      <c r="ED57">
        <v>123345</v>
      </c>
      <c r="EE57">
        <v>129503</v>
      </c>
      <c r="EF57">
        <v>129503</v>
      </c>
      <c r="EG57">
        <v>124401</v>
      </c>
      <c r="EH57">
        <v>117045</v>
      </c>
      <c r="EI57">
        <v>105515</v>
      </c>
      <c r="EJ57">
        <v>107750</v>
      </c>
      <c r="EK57">
        <v>107750</v>
      </c>
      <c r="EL57">
        <v>102381</v>
      </c>
      <c r="EM57">
        <v>103364</v>
      </c>
      <c r="EN57">
        <v>97030</v>
      </c>
      <c r="EO57">
        <v>98365</v>
      </c>
      <c r="EP57">
        <v>98365</v>
      </c>
      <c r="EQ57">
        <v>87181</v>
      </c>
      <c r="ER57">
        <v>85642</v>
      </c>
      <c r="ES57">
        <v>82213</v>
      </c>
      <c r="ET57">
        <v>83249</v>
      </c>
      <c r="EU57">
        <v>83249</v>
      </c>
      <c r="EV57">
        <v>83312</v>
      </c>
      <c r="EW57">
        <v>80501</v>
      </c>
      <c r="EX57">
        <v>75268</v>
      </c>
      <c r="EY57">
        <v>77550.690036189902</v>
      </c>
      <c r="EZ57">
        <v>77550.690036189902</v>
      </c>
      <c r="FA57">
        <v>80047.799268820207</v>
      </c>
      <c r="FB57">
        <v>83136.012927264004</v>
      </c>
      <c r="FC57">
        <v>80872.7975828708</v>
      </c>
      <c r="FD57">
        <v>83729.007946854399</v>
      </c>
      <c r="FE57">
        <v>83729.007946854399</v>
      </c>
      <c r="FF57">
        <v>86461.643276649906</v>
      </c>
      <c r="FG57">
        <v>90111.005302554098</v>
      </c>
      <c r="FH57">
        <v>87616.048159110404</v>
      </c>
      <c r="FI57">
        <v>91219.119618483499</v>
      </c>
      <c r="FJ57">
        <v>91219.119618483499</v>
      </c>
      <c r="FK57">
        <v>94054.9048416437</v>
      </c>
      <c r="FL57">
        <v>98359.126007502098</v>
      </c>
      <c r="FM57">
        <v>95613.402865177894</v>
      </c>
      <c r="FN57">
        <v>100146.359173513</v>
      </c>
      <c r="FO57">
        <v>100146.359173513</v>
      </c>
    </row>
    <row r="58" spans="1:171">
      <c r="B58" t="s">
        <v>686</v>
      </c>
      <c r="C58" t="s">
        <v>687</v>
      </c>
      <c r="D58" t="s">
        <v>379</v>
      </c>
      <c r="F58">
        <v>5620</v>
      </c>
      <c r="G58">
        <v>6417</v>
      </c>
      <c r="H58">
        <v>7103</v>
      </c>
      <c r="I58">
        <v>7696</v>
      </c>
      <c r="J58">
        <v>7839</v>
      </c>
      <c r="K58">
        <v>7839</v>
      </c>
      <c r="L58">
        <v>8232</v>
      </c>
      <c r="M58">
        <v>10442</v>
      </c>
      <c r="N58">
        <v>10224</v>
      </c>
      <c r="O58">
        <v>10373</v>
      </c>
      <c r="P58">
        <v>10373</v>
      </c>
      <c r="Q58">
        <v>10838</v>
      </c>
      <c r="R58">
        <v>11636</v>
      </c>
      <c r="S58">
        <v>13735</v>
      </c>
      <c r="T58">
        <v>15889</v>
      </c>
      <c r="U58">
        <v>15889</v>
      </c>
      <c r="V58">
        <v>18964</v>
      </c>
      <c r="W58">
        <v>21809</v>
      </c>
      <c r="X58">
        <v>24058</v>
      </c>
      <c r="Y58">
        <v>20233</v>
      </c>
      <c r="Z58">
        <v>20233</v>
      </c>
      <c r="AA58">
        <v>21963</v>
      </c>
      <c r="AB58">
        <v>22020</v>
      </c>
      <c r="AC58">
        <v>25217</v>
      </c>
      <c r="AD58">
        <v>28600</v>
      </c>
      <c r="AE58">
        <v>28600</v>
      </c>
      <c r="AF58">
        <v>31393</v>
      </c>
      <c r="AG58">
        <v>35016</v>
      </c>
      <c r="AH58">
        <v>37789</v>
      </c>
      <c r="AI58">
        <v>39637</v>
      </c>
      <c r="AJ58">
        <v>39637</v>
      </c>
      <c r="AK58">
        <v>44332</v>
      </c>
      <c r="AL58">
        <v>47988</v>
      </c>
      <c r="AM58">
        <v>47827</v>
      </c>
      <c r="AN58">
        <v>48576</v>
      </c>
      <c r="AO58">
        <v>48576</v>
      </c>
      <c r="AP58">
        <v>50043</v>
      </c>
      <c r="AQ58">
        <v>52931</v>
      </c>
      <c r="AR58">
        <v>54672</v>
      </c>
      <c r="AS58">
        <v>58973</v>
      </c>
      <c r="AT58">
        <v>58973</v>
      </c>
      <c r="AU58">
        <v>60910</v>
      </c>
      <c r="AV58">
        <v>62400</v>
      </c>
      <c r="AW58">
        <v>65270</v>
      </c>
      <c r="AX58">
        <v>70566</v>
      </c>
      <c r="AY58">
        <v>70566</v>
      </c>
      <c r="AZ58">
        <v>72896</v>
      </c>
      <c r="BA58">
        <v>44399</v>
      </c>
      <c r="BB58">
        <v>46593</v>
      </c>
      <c r="BC58">
        <v>48737</v>
      </c>
      <c r="BD58">
        <v>48737</v>
      </c>
      <c r="BE58">
        <v>49831</v>
      </c>
      <c r="BF58">
        <v>46694</v>
      </c>
      <c r="BG58">
        <v>46628</v>
      </c>
      <c r="BH58">
        <v>49010</v>
      </c>
      <c r="BI58">
        <v>49010</v>
      </c>
      <c r="BJ58">
        <v>45358</v>
      </c>
      <c r="BK58">
        <v>45180</v>
      </c>
      <c r="BL58">
        <v>42783</v>
      </c>
      <c r="BM58">
        <v>40168</v>
      </c>
      <c r="BN58">
        <v>40168</v>
      </c>
      <c r="BO58">
        <v>35853</v>
      </c>
      <c r="BP58">
        <v>37775</v>
      </c>
      <c r="BQ58">
        <v>41489</v>
      </c>
      <c r="BR58">
        <v>43242</v>
      </c>
      <c r="BS58">
        <v>43242</v>
      </c>
      <c r="BT58">
        <v>37202</v>
      </c>
      <c r="BU58">
        <v>37730</v>
      </c>
      <c r="BV58">
        <v>40724</v>
      </c>
      <c r="BW58">
        <v>49280</v>
      </c>
      <c r="BX58">
        <v>49280</v>
      </c>
      <c r="BY58">
        <v>52231</v>
      </c>
      <c r="BZ58">
        <v>52487</v>
      </c>
      <c r="CA58">
        <v>54518</v>
      </c>
      <c r="CB58">
        <v>55676</v>
      </c>
      <c r="CC58">
        <v>55676</v>
      </c>
      <c r="CD58">
        <v>59581</v>
      </c>
      <c r="CE58">
        <v>59684</v>
      </c>
      <c r="CF58">
        <v>66263</v>
      </c>
      <c r="CG58">
        <v>74918</v>
      </c>
      <c r="CH58">
        <v>74918</v>
      </c>
      <c r="CI58">
        <v>75271</v>
      </c>
      <c r="CJ58">
        <v>72513</v>
      </c>
      <c r="CK58">
        <v>76860</v>
      </c>
      <c r="CL58">
        <v>85084</v>
      </c>
      <c r="CM58">
        <v>85084</v>
      </c>
      <c r="CN58">
        <v>84051</v>
      </c>
      <c r="CO58">
        <v>89574</v>
      </c>
      <c r="CP58">
        <v>93524</v>
      </c>
      <c r="CQ58">
        <v>101466</v>
      </c>
      <c r="CR58">
        <v>101466</v>
      </c>
      <c r="CS58">
        <v>99450</v>
      </c>
      <c r="CT58">
        <v>106870</v>
      </c>
      <c r="CU58">
        <v>109006</v>
      </c>
      <c r="CV58">
        <v>114246</v>
      </c>
      <c r="CW58">
        <v>114246</v>
      </c>
      <c r="CX58">
        <v>112439</v>
      </c>
      <c r="CY58">
        <v>116362</v>
      </c>
      <c r="CZ58">
        <v>118398</v>
      </c>
      <c r="DA58">
        <v>124712</v>
      </c>
      <c r="DB58">
        <v>124712</v>
      </c>
      <c r="DC58">
        <v>121656</v>
      </c>
      <c r="DD58">
        <v>127812</v>
      </c>
      <c r="DE58">
        <v>128421</v>
      </c>
      <c r="DF58">
        <v>139660</v>
      </c>
      <c r="DG58">
        <v>139660</v>
      </c>
      <c r="DH58">
        <v>160426</v>
      </c>
      <c r="DI58">
        <v>147519</v>
      </c>
      <c r="DJ58">
        <v>148977</v>
      </c>
      <c r="DK58">
        <v>162696</v>
      </c>
      <c r="DL58">
        <v>162696</v>
      </c>
      <c r="DM58">
        <v>161031</v>
      </c>
      <c r="DN58">
        <v>167633</v>
      </c>
      <c r="DO58">
        <v>156659</v>
      </c>
      <c r="DP58">
        <v>169662</v>
      </c>
      <c r="DQ58">
        <v>169662</v>
      </c>
      <c r="DR58">
        <v>164195</v>
      </c>
      <c r="DS58">
        <v>156874</v>
      </c>
      <c r="DT58">
        <v>159887</v>
      </c>
      <c r="DU58">
        <v>175552</v>
      </c>
      <c r="DV58">
        <v>175552</v>
      </c>
      <c r="DW58">
        <v>165896</v>
      </c>
      <c r="DX58">
        <v>167074</v>
      </c>
      <c r="DY58">
        <v>170505</v>
      </c>
      <c r="DZ58">
        <v>181915</v>
      </c>
      <c r="EA58">
        <v>181915</v>
      </c>
      <c r="EB58">
        <v>177077</v>
      </c>
      <c r="EC58">
        <v>173973</v>
      </c>
      <c r="ED58">
        <v>165614</v>
      </c>
      <c r="EE58">
        <v>184406</v>
      </c>
      <c r="EF58">
        <v>184406</v>
      </c>
      <c r="EG58">
        <v>174326</v>
      </c>
      <c r="EH58">
        <v>174188</v>
      </c>
      <c r="EI58">
        <v>153922</v>
      </c>
      <c r="EJ58">
        <v>169684</v>
      </c>
      <c r="EK58">
        <v>169684</v>
      </c>
      <c r="EL58">
        <v>160812</v>
      </c>
      <c r="EM58">
        <v>157823</v>
      </c>
      <c r="EN58">
        <v>163889</v>
      </c>
      <c r="EO58">
        <v>184257</v>
      </c>
      <c r="EP58">
        <v>184257</v>
      </c>
      <c r="EQ58">
        <v>207586</v>
      </c>
      <c r="ER58">
        <v>147393</v>
      </c>
      <c r="ES58">
        <v>147180</v>
      </c>
      <c r="ET58">
        <v>159734</v>
      </c>
      <c r="EU58">
        <v>159734</v>
      </c>
      <c r="EV58">
        <v>149926</v>
      </c>
      <c r="EW58">
        <v>147080</v>
      </c>
      <c r="EX58">
        <v>156644</v>
      </c>
      <c r="EY58">
        <v>185728.25653687699</v>
      </c>
      <c r="EZ58">
        <v>185728.25653687699</v>
      </c>
      <c r="FA58">
        <v>185794.21339848201</v>
      </c>
      <c r="FB58">
        <v>188890.93727213299</v>
      </c>
      <c r="FC58">
        <v>201918.239154804</v>
      </c>
      <c r="FD58">
        <v>237271.35586247899</v>
      </c>
      <c r="FE58">
        <v>237271.35586247899</v>
      </c>
      <c r="FF58">
        <v>242445.00659164099</v>
      </c>
      <c r="FG58">
        <v>249694.03569980201</v>
      </c>
      <c r="FH58">
        <v>268673.20584001899</v>
      </c>
      <c r="FI58">
        <v>311514.93705879501</v>
      </c>
      <c r="FJ58">
        <v>311514.93705879501</v>
      </c>
      <c r="FK58">
        <v>324842.90881910903</v>
      </c>
      <c r="FL58">
        <v>336257.09061151597</v>
      </c>
      <c r="FM58">
        <v>360920.19092803</v>
      </c>
      <c r="FN58">
        <v>412122.11843839497</v>
      </c>
      <c r="FO58">
        <v>412122.11843839497</v>
      </c>
    </row>
    <row r="59" spans="1:171">
      <c r="B59" t="s">
        <v>688</v>
      </c>
      <c r="C59" t="s">
        <v>689</v>
      </c>
      <c r="D59" t="s">
        <v>379</v>
      </c>
      <c r="F59">
        <v>1192</v>
      </c>
      <c r="G59">
        <v>1265</v>
      </c>
      <c r="H59">
        <v>1297</v>
      </c>
      <c r="I59">
        <v>1281</v>
      </c>
      <c r="J59">
        <v>1326</v>
      </c>
      <c r="K59">
        <v>1326</v>
      </c>
      <c r="L59">
        <v>1304</v>
      </c>
      <c r="M59">
        <v>1322</v>
      </c>
      <c r="N59">
        <v>1371</v>
      </c>
      <c r="O59">
        <v>1465</v>
      </c>
      <c r="P59">
        <v>1465</v>
      </c>
      <c r="Q59">
        <v>1484</v>
      </c>
      <c r="R59">
        <v>1478</v>
      </c>
      <c r="S59">
        <v>1416</v>
      </c>
      <c r="T59">
        <v>1505</v>
      </c>
      <c r="U59">
        <v>1505</v>
      </c>
      <c r="V59">
        <v>1466</v>
      </c>
      <c r="W59">
        <v>1495</v>
      </c>
      <c r="X59">
        <v>1445</v>
      </c>
      <c r="Y59">
        <v>1611</v>
      </c>
      <c r="Z59">
        <v>1611</v>
      </c>
      <c r="AA59">
        <v>1657</v>
      </c>
      <c r="AB59">
        <v>1739</v>
      </c>
      <c r="AC59">
        <v>1835</v>
      </c>
      <c r="AD59">
        <v>1903</v>
      </c>
      <c r="AE59">
        <v>1903</v>
      </c>
      <c r="AF59">
        <v>1973</v>
      </c>
      <c r="AG59">
        <v>2098</v>
      </c>
      <c r="AH59">
        <v>2159</v>
      </c>
      <c r="AI59">
        <v>2309</v>
      </c>
      <c r="AJ59">
        <v>2309</v>
      </c>
      <c r="AK59">
        <v>2261</v>
      </c>
      <c r="AL59">
        <v>2240</v>
      </c>
      <c r="AM59">
        <v>2182</v>
      </c>
      <c r="AN59">
        <v>2268</v>
      </c>
      <c r="AO59">
        <v>2268</v>
      </c>
      <c r="AP59">
        <v>2189</v>
      </c>
      <c r="AQ59">
        <v>2257</v>
      </c>
      <c r="AR59">
        <v>2208</v>
      </c>
      <c r="AS59">
        <v>2223</v>
      </c>
      <c r="AT59">
        <v>2223</v>
      </c>
      <c r="AU59">
        <v>2193</v>
      </c>
      <c r="AV59">
        <v>2178</v>
      </c>
      <c r="AW59">
        <v>2258</v>
      </c>
      <c r="AX59">
        <v>2326</v>
      </c>
      <c r="AY59">
        <v>2326</v>
      </c>
      <c r="AZ59">
        <v>2317</v>
      </c>
      <c r="BA59">
        <v>2336</v>
      </c>
      <c r="BB59">
        <v>2321</v>
      </c>
      <c r="BC59">
        <v>2346</v>
      </c>
      <c r="BD59">
        <v>2346</v>
      </c>
      <c r="BE59">
        <v>2351</v>
      </c>
      <c r="BF59">
        <v>2452</v>
      </c>
      <c r="BG59">
        <v>2543</v>
      </c>
      <c r="BH59">
        <v>3044</v>
      </c>
      <c r="BI59">
        <v>3044</v>
      </c>
      <c r="BJ59">
        <v>3193</v>
      </c>
      <c r="BK59">
        <v>3686</v>
      </c>
      <c r="BL59">
        <v>3923</v>
      </c>
      <c r="BM59">
        <v>4350</v>
      </c>
      <c r="BN59">
        <v>4350</v>
      </c>
      <c r="BO59">
        <v>4615</v>
      </c>
      <c r="BP59">
        <v>4965</v>
      </c>
      <c r="BQ59">
        <v>5516</v>
      </c>
      <c r="BR59">
        <v>6242</v>
      </c>
      <c r="BS59">
        <v>6242</v>
      </c>
      <c r="BT59">
        <v>6552</v>
      </c>
      <c r="BU59">
        <v>6996</v>
      </c>
      <c r="BV59">
        <v>7112</v>
      </c>
      <c r="BW59">
        <v>7535</v>
      </c>
      <c r="BX59">
        <v>7535</v>
      </c>
      <c r="BY59">
        <v>7512</v>
      </c>
      <c r="BZ59">
        <v>7402</v>
      </c>
      <c r="CA59">
        <v>7372</v>
      </c>
      <c r="CB59">
        <v>7630</v>
      </c>
      <c r="CC59">
        <v>16259</v>
      </c>
      <c r="CD59">
        <v>7771</v>
      </c>
      <c r="CE59">
        <v>7799</v>
      </c>
      <c r="CF59">
        <v>7969</v>
      </c>
      <c r="CG59">
        <v>8162</v>
      </c>
      <c r="CH59">
        <v>17991</v>
      </c>
      <c r="CI59">
        <v>8033</v>
      </c>
      <c r="CJ59">
        <v>8010</v>
      </c>
      <c r="CK59">
        <v>8225</v>
      </c>
      <c r="CL59">
        <v>8269</v>
      </c>
      <c r="CM59">
        <v>19231</v>
      </c>
      <c r="CN59">
        <v>8329</v>
      </c>
      <c r="CO59">
        <v>8698</v>
      </c>
      <c r="CP59">
        <v>9204</v>
      </c>
      <c r="CQ59">
        <v>9991</v>
      </c>
      <c r="CR59">
        <v>22504</v>
      </c>
      <c r="CS59">
        <v>10774</v>
      </c>
      <c r="CT59">
        <v>11567</v>
      </c>
      <c r="CU59">
        <v>11771</v>
      </c>
      <c r="CV59">
        <v>13011</v>
      </c>
      <c r="CW59">
        <v>27804</v>
      </c>
      <c r="CX59">
        <v>13229</v>
      </c>
      <c r="CY59">
        <v>13607</v>
      </c>
      <c r="CZ59">
        <v>14375</v>
      </c>
      <c r="DA59">
        <v>14731</v>
      </c>
      <c r="DB59">
        <v>32337</v>
      </c>
      <c r="DC59">
        <v>15046</v>
      </c>
      <c r="DD59">
        <v>15789</v>
      </c>
      <c r="DE59">
        <v>16831</v>
      </c>
      <c r="DF59">
        <v>18356</v>
      </c>
      <c r="DG59">
        <v>38156</v>
      </c>
      <c r="DH59">
        <v>19224</v>
      </c>
      <c r="DI59">
        <v>21379</v>
      </c>
      <c r="DJ59">
        <v>21962</v>
      </c>
      <c r="DK59">
        <v>23734</v>
      </c>
      <c r="DL59">
        <v>47913</v>
      </c>
      <c r="DM59">
        <v>24809</v>
      </c>
      <c r="DN59">
        <v>26304</v>
      </c>
      <c r="DO59">
        <v>27929</v>
      </c>
      <c r="DP59">
        <v>29460</v>
      </c>
      <c r="DQ59">
        <v>58683</v>
      </c>
      <c r="DR59">
        <v>31430</v>
      </c>
      <c r="DS59">
        <v>32717</v>
      </c>
      <c r="DT59">
        <v>33648</v>
      </c>
      <c r="DU59">
        <v>36477</v>
      </c>
      <c r="DV59">
        <v>71807</v>
      </c>
      <c r="DW59">
        <v>38409</v>
      </c>
      <c r="DX59">
        <v>40522</v>
      </c>
      <c r="DY59">
        <v>41221</v>
      </c>
      <c r="DZ59">
        <v>44151</v>
      </c>
      <c r="EA59">
        <v>87348</v>
      </c>
      <c r="EB59">
        <v>93344</v>
      </c>
      <c r="EC59">
        <v>99452</v>
      </c>
      <c r="ED59">
        <v>104626</v>
      </c>
      <c r="EE59">
        <v>111066</v>
      </c>
      <c r="EF59">
        <v>111066</v>
      </c>
      <c r="EG59">
        <v>116241</v>
      </c>
      <c r="EH59">
        <v>122491</v>
      </c>
      <c r="EI59">
        <v>128351</v>
      </c>
      <c r="EJ59">
        <v>134058</v>
      </c>
      <c r="EK59">
        <v>134058</v>
      </c>
      <c r="EL59">
        <v>137675</v>
      </c>
      <c r="EM59">
        <v>146214</v>
      </c>
      <c r="EN59">
        <v>154130</v>
      </c>
      <c r="EO59">
        <v>163892</v>
      </c>
      <c r="EP59">
        <v>163892</v>
      </c>
      <c r="EQ59">
        <v>171988</v>
      </c>
      <c r="ER59">
        <v>185257</v>
      </c>
      <c r="ES59">
        <v>196320</v>
      </c>
      <c r="ET59">
        <v>212012</v>
      </c>
      <c r="EU59">
        <v>212012</v>
      </c>
      <c r="EV59">
        <v>233380</v>
      </c>
      <c r="EW59">
        <v>249722</v>
      </c>
      <c r="EX59">
        <v>271013</v>
      </c>
      <c r="EY59">
        <v>288853.46002412698</v>
      </c>
      <c r="EZ59">
        <v>288853.46002412698</v>
      </c>
      <c r="FA59">
        <v>307129.14916407998</v>
      </c>
      <c r="FB59">
        <v>326479.662163259</v>
      </c>
      <c r="FC59">
        <v>345908.059678349</v>
      </c>
      <c r="FD59">
        <v>366600.513388552</v>
      </c>
      <c r="FE59">
        <v>366600.513388552</v>
      </c>
      <c r="FF59">
        <v>385694.15703405399</v>
      </c>
      <c r="FG59">
        <v>405912.07744021801</v>
      </c>
      <c r="FH59">
        <v>426243.23260574602</v>
      </c>
      <c r="FI59">
        <v>447997.94935283402</v>
      </c>
      <c r="FJ59">
        <v>447997.94935283402</v>
      </c>
      <c r="FK59">
        <v>467706.26583958103</v>
      </c>
      <c r="FL59">
        <v>488576.22091278603</v>
      </c>
      <c r="FM59">
        <v>509592.46796567203</v>
      </c>
      <c r="FN59">
        <v>532186.71238732396</v>
      </c>
      <c r="FO59">
        <v>532186.71238732396</v>
      </c>
    </row>
    <row r="60" spans="1:171">
      <c r="B60" t="s">
        <v>690</v>
      </c>
      <c r="C60" t="s">
        <v>691</v>
      </c>
      <c r="D60" t="s">
        <v>379</v>
      </c>
      <c r="F60">
        <v>0</v>
      </c>
      <c r="G60">
        <v>0</v>
      </c>
      <c r="H60">
        <v>0</v>
      </c>
      <c r="I60">
        <v>0</v>
      </c>
      <c r="J60">
        <v>0</v>
      </c>
      <c r="K60">
        <v>0</v>
      </c>
      <c r="L60">
        <v>0</v>
      </c>
      <c r="M60">
        <v>0</v>
      </c>
      <c r="N60">
        <v>0</v>
      </c>
      <c r="O60">
        <v>0</v>
      </c>
      <c r="P60">
        <v>0</v>
      </c>
      <c r="Q60">
        <v>0</v>
      </c>
      <c r="R60">
        <v>0</v>
      </c>
      <c r="S60">
        <v>0</v>
      </c>
      <c r="T60">
        <v>0</v>
      </c>
      <c r="U60">
        <v>0</v>
      </c>
      <c r="V60">
        <v>0</v>
      </c>
      <c r="W60">
        <v>0</v>
      </c>
      <c r="X60">
        <v>0</v>
      </c>
      <c r="Y60">
        <v>0</v>
      </c>
      <c r="Z60">
        <v>0</v>
      </c>
      <c r="AA60">
        <v>0</v>
      </c>
      <c r="AB60">
        <v>0</v>
      </c>
      <c r="AC60">
        <v>0</v>
      </c>
      <c r="AD60">
        <v>0</v>
      </c>
      <c r="AE60">
        <v>0</v>
      </c>
      <c r="AF60">
        <v>0</v>
      </c>
      <c r="AG60">
        <v>0</v>
      </c>
      <c r="AH60">
        <v>0</v>
      </c>
      <c r="AI60">
        <v>0</v>
      </c>
      <c r="AJ60">
        <v>0</v>
      </c>
      <c r="AK60">
        <v>0</v>
      </c>
      <c r="AL60">
        <v>0</v>
      </c>
      <c r="AM60">
        <v>0</v>
      </c>
      <c r="AN60">
        <v>0</v>
      </c>
      <c r="AO60">
        <v>0</v>
      </c>
      <c r="AP60">
        <v>0</v>
      </c>
      <c r="AQ60">
        <v>0</v>
      </c>
      <c r="AR60">
        <v>0</v>
      </c>
      <c r="AS60">
        <v>0</v>
      </c>
      <c r="AT60">
        <v>0</v>
      </c>
      <c r="AU60">
        <v>0</v>
      </c>
      <c r="AV60">
        <v>0</v>
      </c>
      <c r="AW60">
        <v>0</v>
      </c>
      <c r="AX60">
        <v>0</v>
      </c>
      <c r="AY60">
        <v>0</v>
      </c>
      <c r="AZ60">
        <v>0</v>
      </c>
      <c r="BA60">
        <v>0</v>
      </c>
      <c r="BB60">
        <v>0</v>
      </c>
      <c r="BC60">
        <v>0</v>
      </c>
      <c r="BD60">
        <v>0</v>
      </c>
      <c r="BE60">
        <v>0</v>
      </c>
      <c r="BF60">
        <v>0</v>
      </c>
      <c r="BG60">
        <v>0</v>
      </c>
      <c r="BH60">
        <v>0</v>
      </c>
      <c r="BI60">
        <v>0</v>
      </c>
      <c r="BJ60">
        <v>0</v>
      </c>
      <c r="BK60">
        <v>0</v>
      </c>
      <c r="BL60">
        <v>0</v>
      </c>
      <c r="BM60">
        <v>0</v>
      </c>
      <c r="BN60">
        <v>0</v>
      </c>
      <c r="BO60">
        <v>0</v>
      </c>
      <c r="BP60">
        <v>0</v>
      </c>
      <c r="BQ60">
        <v>0</v>
      </c>
      <c r="BR60">
        <v>0</v>
      </c>
      <c r="BS60">
        <v>0</v>
      </c>
      <c r="BT60">
        <v>0</v>
      </c>
      <c r="BU60">
        <v>0</v>
      </c>
      <c r="BV60">
        <v>0</v>
      </c>
      <c r="BW60">
        <v>0</v>
      </c>
      <c r="BX60">
        <v>0</v>
      </c>
      <c r="BY60">
        <v>0</v>
      </c>
      <c r="BZ60">
        <v>0</v>
      </c>
      <c r="CA60">
        <v>0</v>
      </c>
      <c r="CB60">
        <v>0</v>
      </c>
      <c r="CC60">
        <v>-8629</v>
      </c>
      <c r="CD60">
        <v>0</v>
      </c>
      <c r="CE60">
        <v>0</v>
      </c>
      <c r="CF60">
        <v>0</v>
      </c>
      <c r="CG60">
        <v>0</v>
      </c>
      <c r="CH60">
        <v>-9829</v>
      </c>
      <c r="CI60">
        <v>0</v>
      </c>
      <c r="CJ60">
        <v>0</v>
      </c>
      <c r="CK60">
        <v>0</v>
      </c>
      <c r="CL60">
        <v>0</v>
      </c>
      <c r="CM60">
        <v>-10962</v>
      </c>
      <c r="CN60">
        <v>0</v>
      </c>
      <c r="CO60">
        <v>0</v>
      </c>
      <c r="CP60">
        <v>0</v>
      </c>
      <c r="CQ60">
        <v>0</v>
      </c>
      <c r="CR60">
        <v>-12513</v>
      </c>
      <c r="CS60">
        <v>0</v>
      </c>
      <c r="CT60">
        <v>0</v>
      </c>
      <c r="CU60">
        <v>0</v>
      </c>
      <c r="CV60">
        <v>0</v>
      </c>
      <c r="CW60">
        <v>-14793</v>
      </c>
      <c r="CX60">
        <v>0</v>
      </c>
      <c r="CY60">
        <v>0</v>
      </c>
      <c r="CZ60">
        <v>0</v>
      </c>
      <c r="DA60">
        <v>0</v>
      </c>
      <c r="DB60">
        <v>-17606</v>
      </c>
      <c r="DC60">
        <v>0</v>
      </c>
      <c r="DD60">
        <v>0</v>
      </c>
      <c r="DE60">
        <v>0</v>
      </c>
      <c r="DF60">
        <v>0</v>
      </c>
      <c r="DG60">
        <v>-19800</v>
      </c>
      <c r="DH60">
        <v>0</v>
      </c>
      <c r="DI60">
        <v>0</v>
      </c>
      <c r="DJ60">
        <v>0</v>
      </c>
      <c r="DK60">
        <v>0</v>
      </c>
      <c r="DL60">
        <v>-24179</v>
      </c>
      <c r="DM60">
        <v>0</v>
      </c>
      <c r="DN60">
        <v>0</v>
      </c>
      <c r="DO60">
        <v>0</v>
      </c>
      <c r="DP60">
        <v>0</v>
      </c>
      <c r="DQ60">
        <v>-29223</v>
      </c>
      <c r="DR60">
        <v>0</v>
      </c>
      <c r="DS60">
        <v>0</v>
      </c>
      <c r="DT60">
        <v>0</v>
      </c>
      <c r="DU60">
        <v>0</v>
      </c>
      <c r="DV60">
        <v>-35330</v>
      </c>
      <c r="DW60">
        <v>0</v>
      </c>
      <c r="DX60">
        <v>0</v>
      </c>
      <c r="DY60">
        <v>0</v>
      </c>
      <c r="DZ60">
        <v>0</v>
      </c>
      <c r="EA60">
        <v>-43197</v>
      </c>
      <c r="EB60">
        <v>-45417</v>
      </c>
      <c r="EC60">
        <v>-47715</v>
      </c>
      <c r="ED60">
        <v>-49681</v>
      </c>
      <c r="EE60">
        <v>-51351</v>
      </c>
      <c r="EF60">
        <v>-51351</v>
      </c>
      <c r="EG60">
        <v>-52469</v>
      </c>
      <c r="EH60">
        <v>-55277</v>
      </c>
      <c r="EI60">
        <v>-58053</v>
      </c>
      <c r="EJ60">
        <v>-59660</v>
      </c>
      <c r="EK60">
        <v>-59660</v>
      </c>
      <c r="EL60">
        <v>-60638</v>
      </c>
      <c r="EM60">
        <v>-63459</v>
      </c>
      <c r="EN60">
        <v>-65998</v>
      </c>
      <c r="EO60">
        <v>-68251</v>
      </c>
      <c r="EP60">
        <v>-68251</v>
      </c>
      <c r="EQ60">
        <v>-69486</v>
      </c>
      <c r="ER60">
        <v>-72949</v>
      </c>
      <c r="ES60">
        <v>-74945</v>
      </c>
      <c r="ET60">
        <v>-76421</v>
      </c>
      <c r="EU60">
        <v>-76421</v>
      </c>
      <c r="EV60">
        <v>-80517</v>
      </c>
      <c r="EW60">
        <v>-82820</v>
      </c>
      <c r="EX60">
        <v>-87074</v>
      </c>
      <c r="EY60">
        <v>-93742.909617894999</v>
      </c>
      <c r="EZ60">
        <v>-93742.909617894999</v>
      </c>
      <c r="FA60">
        <v>-102522.88438617501</v>
      </c>
      <c r="FB60">
        <v>-111730.166301181</v>
      </c>
      <c r="FC60">
        <v>-121393.89361497499</v>
      </c>
      <c r="FD60">
        <v>-131497.031087827</v>
      </c>
      <c r="FE60">
        <v>-131497.031087827</v>
      </c>
      <c r="FF60">
        <v>-142664.446497111</v>
      </c>
      <c r="FG60">
        <v>-154208.35774761601</v>
      </c>
      <c r="FH60">
        <v>-166164.28443301399</v>
      </c>
      <c r="FI60">
        <v>-178518.034471219</v>
      </c>
      <c r="FJ60">
        <v>-178518.034471219</v>
      </c>
      <c r="FK60">
        <v>-191992.03021530001</v>
      </c>
      <c r="FL60">
        <v>-205777.741996514</v>
      </c>
      <c r="FM60">
        <v>-219917.66594232799</v>
      </c>
      <c r="FN60">
        <v>-234401.40604349499</v>
      </c>
      <c r="FO60">
        <v>-234401.40604349499</v>
      </c>
    </row>
    <row r="61" spans="1:171">
      <c r="B61" t="s">
        <v>692</v>
      </c>
      <c r="C61" t="s">
        <v>693</v>
      </c>
      <c r="D61" t="s">
        <v>379</v>
      </c>
      <c r="F61">
        <v>1192</v>
      </c>
      <c r="G61">
        <v>1265</v>
      </c>
      <c r="H61">
        <v>1297</v>
      </c>
      <c r="I61">
        <v>1281</v>
      </c>
      <c r="J61">
        <v>1326</v>
      </c>
      <c r="K61">
        <v>1326</v>
      </c>
      <c r="L61">
        <v>1304</v>
      </c>
      <c r="M61">
        <v>1322</v>
      </c>
      <c r="N61">
        <v>1371</v>
      </c>
      <c r="O61">
        <v>1465</v>
      </c>
      <c r="P61">
        <v>1465</v>
      </c>
      <c r="Q61">
        <v>1484</v>
      </c>
      <c r="R61">
        <v>1478</v>
      </c>
      <c r="S61">
        <v>1416</v>
      </c>
      <c r="T61">
        <v>1505</v>
      </c>
      <c r="U61">
        <v>1505</v>
      </c>
      <c r="V61">
        <v>1466</v>
      </c>
      <c r="W61">
        <v>1495</v>
      </c>
      <c r="X61">
        <v>1445</v>
      </c>
      <c r="Y61">
        <v>1611</v>
      </c>
      <c r="Z61">
        <v>1611</v>
      </c>
      <c r="AA61">
        <v>1657</v>
      </c>
      <c r="AB61">
        <v>1739</v>
      </c>
      <c r="AC61">
        <v>1835</v>
      </c>
      <c r="AD61">
        <v>1903</v>
      </c>
      <c r="AE61">
        <v>1903</v>
      </c>
      <c r="AF61">
        <v>1973</v>
      </c>
      <c r="AG61">
        <v>2098</v>
      </c>
      <c r="AH61">
        <v>2159</v>
      </c>
      <c r="AI61">
        <v>2309</v>
      </c>
      <c r="AJ61">
        <v>2309</v>
      </c>
      <c r="AK61">
        <v>2261</v>
      </c>
      <c r="AL61">
        <v>2240</v>
      </c>
      <c r="AM61">
        <v>2182</v>
      </c>
      <c r="AN61">
        <v>2268</v>
      </c>
      <c r="AO61">
        <v>2268</v>
      </c>
      <c r="AP61">
        <v>2189</v>
      </c>
      <c r="AQ61">
        <v>2257</v>
      </c>
      <c r="AR61">
        <v>2208</v>
      </c>
      <c r="AS61">
        <v>2223</v>
      </c>
      <c r="AT61">
        <v>2223</v>
      </c>
      <c r="AU61">
        <v>2193</v>
      </c>
      <c r="AV61">
        <v>2178</v>
      </c>
      <c r="AW61">
        <v>2258</v>
      </c>
      <c r="AX61">
        <v>2326</v>
      </c>
      <c r="AY61">
        <v>2326</v>
      </c>
      <c r="AZ61">
        <v>2317</v>
      </c>
      <c r="BA61">
        <v>2336</v>
      </c>
      <c r="BB61">
        <v>2321</v>
      </c>
      <c r="BC61">
        <v>2346</v>
      </c>
      <c r="BD61">
        <v>2346</v>
      </c>
      <c r="BE61">
        <v>2351</v>
      </c>
      <c r="BF61">
        <v>2452</v>
      </c>
      <c r="BG61">
        <v>2543</v>
      </c>
      <c r="BH61">
        <v>3044</v>
      </c>
      <c r="BI61">
        <v>3044</v>
      </c>
      <c r="BJ61">
        <v>3193</v>
      </c>
      <c r="BK61">
        <v>3686</v>
      </c>
      <c r="BL61">
        <v>3923</v>
      </c>
      <c r="BM61">
        <v>4350</v>
      </c>
      <c r="BN61">
        <v>4350</v>
      </c>
      <c r="BO61">
        <v>4615</v>
      </c>
      <c r="BP61">
        <v>4965</v>
      </c>
      <c r="BQ61">
        <v>5516</v>
      </c>
      <c r="BR61">
        <v>6242</v>
      </c>
      <c r="BS61">
        <v>6242</v>
      </c>
      <c r="BT61">
        <v>6552</v>
      </c>
      <c r="BU61">
        <v>6996</v>
      </c>
      <c r="BV61">
        <v>7112</v>
      </c>
      <c r="BW61">
        <v>7535</v>
      </c>
      <c r="BX61">
        <v>7535</v>
      </c>
      <c r="BY61">
        <v>7512</v>
      </c>
      <c r="BZ61">
        <v>7402</v>
      </c>
      <c r="CA61">
        <v>7372</v>
      </c>
      <c r="CB61">
        <v>7630</v>
      </c>
      <c r="CC61">
        <v>7630</v>
      </c>
      <c r="CD61">
        <v>7771</v>
      </c>
      <c r="CE61">
        <v>7799</v>
      </c>
      <c r="CF61">
        <v>7969</v>
      </c>
      <c r="CG61">
        <v>8162</v>
      </c>
      <c r="CH61">
        <v>8162</v>
      </c>
      <c r="CI61">
        <v>8033</v>
      </c>
      <c r="CJ61">
        <v>8010</v>
      </c>
      <c r="CK61">
        <v>8225</v>
      </c>
      <c r="CL61">
        <v>8269</v>
      </c>
      <c r="CM61">
        <v>8269</v>
      </c>
      <c r="CN61">
        <v>8329</v>
      </c>
      <c r="CO61">
        <v>8698</v>
      </c>
      <c r="CP61">
        <v>9204</v>
      </c>
      <c r="CQ61">
        <v>9991</v>
      </c>
      <c r="CR61">
        <v>9991</v>
      </c>
      <c r="CS61">
        <v>10774</v>
      </c>
      <c r="CT61">
        <v>11567</v>
      </c>
      <c r="CU61">
        <v>11771</v>
      </c>
      <c r="CV61">
        <v>13011</v>
      </c>
      <c r="CW61">
        <v>13011</v>
      </c>
      <c r="CX61">
        <v>13229</v>
      </c>
      <c r="CY61">
        <v>13607</v>
      </c>
      <c r="CZ61">
        <v>14375</v>
      </c>
      <c r="DA61">
        <v>14731</v>
      </c>
      <c r="DB61">
        <v>14731</v>
      </c>
      <c r="DC61">
        <v>15046</v>
      </c>
      <c r="DD61">
        <v>15789</v>
      </c>
      <c r="DE61">
        <v>16831</v>
      </c>
      <c r="DF61">
        <v>18356</v>
      </c>
      <c r="DG61">
        <v>18356</v>
      </c>
      <c r="DH61">
        <v>19224</v>
      </c>
      <c r="DI61">
        <v>21379</v>
      </c>
      <c r="DJ61">
        <v>21962</v>
      </c>
      <c r="DK61">
        <v>23734</v>
      </c>
      <c r="DL61">
        <v>23734</v>
      </c>
      <c r="DM61">
        <v>24809</v>
      </c>
      <c r="DN61">
        <v>26304</v>
      </c>
      <c r="DO61">
        <v>27929</v>
      </c>
      <c r="DP61">
        <v>29460</v>
      </c>
      <c r="DQ61">
        <v>29460</v>
      </c>
      <c r="DR61">
        <v>31430</v>
      </c>
      <c r="DS61">
        <v>32717</v>
      </c>
      <c r="DT61">
        <v>33648</v>
      </c>
      <c r="DU61">
        <v>36477</v>
      </c>
      <c r="DV61">
        <v>36477</v>
      </c>
      <c r="DW61">
        <v>38409</v>
      </c>
      <c r="DX61">
        <v>40522</v>
      </c>
      <c r="DY61">
        <v>41221</v>
      </c>
      <c r="DZ61">
        <v>44151</v>
      </c>
      <c r="EA61">
        <v>44151</v>
      </c>
      <c r="EB61">
        <v>47927</v>
      </c>
      <c r="EC61">
        <v>51737</v>
      </c>
      <c r="ED61">
        <v>54945</v>
      </c>
      <c r="EE61">
        <v>59715</v>
      </c>
      <c r="EF61">
        <v>59715</v>
      </c>
      <c r="EG61">
        <v>63772</v>
      </c>
      <c r="EH61">
        <v>67214</v>
      </c>
      <c r="EI61">
        <v>70298</v>
      </c>
      <c r="EJ61">
        <v>74398</v>
      </c>
      <c r="EK61">
        <v>74398</v>
      </c>
      <c r="EL61">
        <v>77037</v>
      </c>
      <c r="EM61">
        <v>82755</v>
      </c>
      <c r="EN61">
        <v>88132</v>
      </c>
      <c r="EO61">
        <v>95641</v>
      </c>
      <c r="EP61">
        <v>95641</v>
      </c>
      <c r="EQ61">
        <v>102502</v>
      </c>
      <c r="ER61">
        <v>112308</v>
      </c>
      <c r="ES61">
        <v>121375</v>
      </c>
      <c r="ET61">
        <v>135591</v>
      </c>
      <c r="EU61">
        <v>135591</v>
      </c>
      <c r="EV61">
        <v>152863</v>
      </c>
      <c r="EW61">
        <v>166902</v>
      </c>
      <c r="EX61">
        <v>183939</v>
      </c>
      <c r="EY61">
        <v>195110.55040623201</v>
      </c>
      <c r="EZ61">
        <v>195110.55040623201</v>
      </c>
      <c r="FA61">
        <v>204606.26477790499</v>
      </c>
      <c r="FB61">
        <v>214749.49586207801</v>
      </c>
      <c r="FC61">
        <v>224514.166063374</v>
      </c>
      <c r="FD61">
        <v>235103.482300726</v>
      </c>
      <c r="FE61">
        <v>235103.482300726</v>
      </c>
      <c r="FF61">
        <v>243029.71053694299</v>
      </c>
      <c r="FG61">
        <v>251703.719692602</v>
      </c>
      <c r="FH61">
        <v>260078.948172731</v>
      </c>
      <c r="FI61">
        <v>269479.91488161503</v>
      </c>
      <c r="FJ61">
        <v>269479.91488161503</v>
      </c>
      <c r="FK61">
        <v>275714.23562428099</v>
      </c>
      <c r="FL61">
        <v>282798.478916272</v>
      </c>
      <c r="FM61">
        <v>289674.80202334397</v>
      </c>
      <c r="FN61">
        <v>297785.30634383002</v>
      </c>
      <c r="FO61">
        <v>297785.30634383002</v>
      </c>
    </row>
    <row r="62" spans="1:171">
      <c r="B62" t="s">
        <v>694</v>
      </c>
      <c r="C62" t="s">
        <v>695</v>
      </c>
      <c r="D62" t="s">
        <v>379</v>
      </c>
      <c r="AK62">
        <v>1905</v>
      </c>
      <c r="AL62">
        <v>1855</v>
      </c>
      <c r="AM62">
        <v>1710</v>
      </c>
      <c r="AN62">
        <v>1669</v>
      </c>
      <c r="AO62">
        <v>1669</v>
      </c>
      <c r="AP62">
        <v>3497</v>
      </c>
      <c r="AQ62">
        <v>3364</v>
      </c>
      <c r="AR62">
        <v>3357</v>
      </c>
      <c r="AS62">
        <v>3512</v>
      </c>
      <c r="AT62">
        <v>3512</v>
      </c>
      <c r="AU62">
        <v>3506</v>
      </c>
      <c r="AV62">
        <v>3455</v>
      </c>
      <c r="AW62">
        <v>3709</v>
      </c>
      <c r="AX62">
        <v>3684</v>
      </c>
      <c r="AY62">
        <v>3684</v>
      </c>
      <c r="AZ62">
        <v>3649</v>
      </c>
      <c r="BA62">
        <v>3599</v>
      </c>
      <c r="BB62">
        <v>3579</v>
      </c>
      <c r="BC62">
        <v>3808</v>
      </c>
      <c r="BD62">
        <v>3808</v>
      </c>
      <c r="BE62">
        <v>4006</v>
      </c>
      <c r="BF62">
        <v>4019</v>
      </c>
      <c r="BG62">
        <v>4070</v>
      </c>
      <c r="BH62">
        <v>4405</v>
      </c>
      <c r="BI62">
        <v>4405</v>
      </c>
      <c r="BJ62">
        <v>4873</v>
      </c>
      <c r="BK62">
        <v>4934</v>
      </c>
      <c r="BL62">
        <v>4916</v>
      </c>
      <c r="BM62">
        <v>5638</v>
      </c>
      <c r="BN62">
        <v>5638</v>
      </c>
      <c r="BO62">
        <v>11869</v>
      </c>
      <c r="BP62">
        <v>12026</v>
      </c>
      <c r="BQ62">
        <v>11985</v>
      </c>
      <c r="BR62">
        <v>14081</v>
      </c>
      <c r="BS62">
        <v>14081</v>
      </c>
      <c r="BT62">
        <v>14190</v>
      </c>
      <c r="BU62">
        <v>14305</v>
      </c>
      <c r="BV62">
        <v>14310</v>
      </c>
      <c r="BW62">
        <v>14262</v>
      </c>
      <c r="BX62">
        <v>14262</v>
      </c>
      <c r="BY62">
        <v>14235</v>
      </c>
      <c r="BZ62">
        <v>13714</v>
      </c>
      <c r="CA62">
        <v>13745</v>
      </c>
      <c r="CB62">
        <v>13552</v>
      </c>
      <c r="CC62">
        <v>13552</v>
      </c>
      <c r="CD62">
        <v>13548</v>
      </c>
      <c r="CE62">
        <v>13494</v>
      </c>
      <c r="CF62">
        <v>13394</v>
      </c>
      <c r="CG62">
        <v>13325</v>
      </c>
      <c r="CH62">
        <v>13325</v>
      </c>
      <c r="CI62">
        <v>13563</v>
      </c>
      <c r="CJ62">
        <v>22251</v>
      </c>
      <c r="CK62">
        <v>22454</v>
      </c>
      <c r="CL62">
        <v>16622</v>
      </c>
      <c r="CM62">
        <v>16622</v>
      </c>
      <c r="CN62">
        <v>17889</v>
      </c>
      <c r="CO62">
        <v>18068</v>
      </c>
      <c r="CP62">
        <v>17922</v>
      </c>
      <c r="CQ62">
        <v>17738</v>
      </c>
      <c r="CR62">
        <v>17738</v>
      </c>
      <c r="CS62">
        <v>17649</v>
      </c>
      <c r="CT62">
        <v>17625</v>
      </c>
      <c r="CU62">
        <v>17652</v>
      </c>
      <c r="CV62">
        <v>27108</v>
      </c>
      <c r="CW62">
        <v>27108</v>
      </c>
      <c r="CX62">
        <v>26774</v>
      </c>
      <c r="CY62">
        <v>29154</v>
      </c>
      <c r="CZ62">
        <v>28691</v>
      </c>
      <c r="DA62">
        <v>21774</v>
      </c>
      <c r="DB62">
        <v>21774</v>
      </c>
      <c r="DC62">
        <v>27297</v>
      </c>
      <c r="DD62">
        <v>27676</v>
      </c>
      <c r="DE62">
        <v>27699</v>
      </c>
      <c r="DF62">
        <v>26972</v>
      </c>
      <c r="DG62">
        <v>26972</v>
      </c>
      <c r="DH62">
        <v>27055</v>
      </c>
      <c r="DI62">
        <v>50950</v>
      </c>
      <c r="DJ62">
        <v>51198</v>
      </c>
      <c r="DK62">
        <v>51789</v>
      </c>
      <c r="DL62">
        <v>51789</v>
      </c>
      <c r="DM62">
        <v>52130</v>
      </c>
      <c r="DN62">
        <v>51196</v>
      </c>
      <c r="DO62">
        <v>51498</v>
      </c>
      <c r="DP62">
        <v>51619</v>
      </c>
      <c r="DQ62">
        <v>51619</v>
      </c>
      <c r="DR62">
        <v>51881</v>
      </c>
      <c r="DS62">
        <v>58617</v>
      </c>
      <c r="DT62">
        <v>58938</v>
      </c>
      <c r="DU62">
        <v>59165</v>
      </c>
      <c r="DV62">
        <v>59165</v>
      </c>
      <c r="DW62">
        <v>59441</v>
      </c>
      <c r="DX62">
        <v>59374</v>
      </c>
      <c r="DY62">
        <v>59269</v>
      </c>
      <c r="DZ62">
        <v>61110</v>
      </c>
      <c r="EA62">
        <v>61110</v>
      </c>
      <c r="EB62">
        <v>61917</v>
      </c>
      <c r="EC62">
        <v>62126</v>
      </c>
      <c r="ED62">
        <v>69573</v>
      </c>
      <c r="EE62">
        <v>69686</v>
      </c>
      <c r="EF62">
        <v>69686</v>
      </c>
      <c r="EG62">
        <v>70862</v>
      </c>
      <c r="EH62">
        <v>71059</v>
      </c>
      <c r="EI62">
        <v>91895</v>
      </c>
      <c r="EJ62">
        <v>91101</v>
      </c>
      <c r="EK62">
        <v>91101</v>
      </c>
      <c r="EL62">
        <v>91173</v>
      </c>
      <c r="EM62">
        <v>91313</v>
      </c>
      <c r="EN62">
        <v>91428</v>
      </c>
      <c r="EO62">
        <v>91376</v>
      </c>
      <c r="EP62">
        <v>91376</v>
      </c>
      <c r="EQ62">
        <v>91445</v>
      </c>
      <c r="ER62">
        <v>164882</v>
      </c>
      <c r="ES62">
        <v>163532</v>
      </c>
      <c r="ET62">
        <v>163729</v>
      </c>
      <c r="EU62">
        <v>163729</v>
      </c>
      <c r="EV62">
        <v>164410</v>
      </c>
      <c r="EW62">
        <v>164326</v>
      </c>
      <c r="EX62">
        <v>162844</v>
      </c>
      <c r="EY62">
        <v>162844</v>
      </c>
      <c r="EZ62">
        <v>162844</v>
      </c>
      <c r="FA62">
        <v>162844</v>
      </c>
      <c r="FB62">
        <v>162844</v>
      </c>
      <c r="FC62">
        <v>162844</v>
      </c>
      <c r="FD62">
        <v>162844</v>
      </c>
      <c r="FE62">
        <v>162844</v>
      </c>
      <c r="FF62">
        <v>162844</v>
      </c>
      <c r="FG62">
        <v>162844</v>
      </c>
      <c r="FH62">
        <v>162844</v>
      </c>
      <c r="FI62">
        <v>162844</v>
      </c>
      <c r="FJ62">
        <v>162844</v>
      </c>
      <c r="FK62">
        <v>162844</v>
      </c>
      <c r="FL62">
        <v>162844</v>
      </c>
      <c r="FM62">
        <v>162844</v>
      </c>
      <c r="FN62">
        <v>162844</v>
      </c>
      <c r="FO62">
        <v>162844</v>
      </c>
    </row>
    <row r="63" spans="1:171">
      <c r="B63" t="s">
        <v>696</v>
      </c>
      <c r="C63" t="s">
        <v>697</v>
      </c>
      <c r="D63" t="s">
        <v>379</v>
      </c>
      <c r="AP63">
        <v>0</v>
      </c>
      <c r="AQ63">
        <v>0</v>
      </c>
      <c r="AR63">
        <v>0</v>
      </c>
      <c r="AS63">
        <v>0</v>
      </c>
      <c r="AT63">
        <v>0</v>
      </c>
      <c r="AU63">
        <v>0</v>
      </c>
      <c r="AV63">
        <v>0</v>
      </c>
      <c r="AW63">
        <v>0</v>
      </c>
      <c r="AX63">
        <v>0</v>
      </c>
      <c r="AY63">
        <v>0</v>
      </c>
      <c r="AZ63">
        <v>0</v>
      </c>
      <c r="BA63">
        <v>0</v>
      </c>
      <c r="BB63">
        <v>0</v>
      </c>
      <c r="BC63">
        <v>0</v>
      </c>
      <c r="BD63">
        <v>0</v>
      </c>
      <c r="BE63">
        <v>0</v>
      </c>
      <c r="BF63">
        <v>0</v>
      </c>
      <c r="BG63">
        <v>0</v>
      </c>
      <c r="BH63">
        <v>0</v>
      </c>
      <c r="BI63">
        <v>0</v>
      </c>
      <c r="BJ63">
        <v>0</v>
      </c>
      <c r="BK63">
        <v>0</v>
      </c>
      <c r="BL63">
        <v>0</v>
      </c>
      <c r="BM63">
        <v>0</v>
      </c>
      <c r="BN63">
        <v>0</v>
      </c>
      <c r="BO63">
        <v>0</v>
      </c>
      <c r="BP63">
        <v>0</v>
      </c>
      <c r="BQ63">
        <v>0</v>
      </c>
      <c r="BR63">
        <v>0</v>
      </c>
      <c r="BS63">
        <v>0</v>
      </c>
      <c r="BT63">
        <v>0</v>
      </c>
      <c r="BU63">
        <v>0</v>
      </c>
      <c r="BV63">
        <v>0</v>
      </c>
      <c r="BW63">
        <v>0</v>
      </c>
      <c r="BX63">
        <v>0</v>
      </c>
      <c r="BY63">
        <v>0</v>
      </c>
      <c r="BZ63">
        <v>0</v>
      </c>
      <c r="CA63">
        <v>0</v>
      </c>
      <c r="CB63">
        <v>0</v>
      </c>
      <c r="CC63">
        <v>0</v>
      </c>
      <c r="CD63">
        <v>0</v>
      </c>
      <c r="CE63">
        <v>0</v>
      </c>
      <c r="CF63">
        <v>0</v>
      </c>
      <c r="CG63">
        <v>0</v>
      </c>
      <c r="CH63">
        <v>0</v>
      </c>
      <c r="CI63">
        <v>0</v>
      </c>
      <c r="CJ63">
        <v>0</v>
      </c>
      <c r="CK63">
        <v>0</v>
      </c>
      <c r="CL63">
        <v>0</v>
      </c>
      <c r="CM63">
        <v>0</v>
      </c>
      <c r="CN63">
        <v>0</v>
      </c>
      <c r="CO63">
        <v>0</v>
      </c>
      <c r="CP63">
        <v>0</v>
      </c>
      <c r="CQ63">
        <v>0</v>
      </c>
      <c r="CR63">
        <v>0</v>
      </c>
      <c r="CS63">
        <v>0</v>
      </c>
      <c r="CT63">
        <v>0</v>
      </c>
      <c r="CU63">
        <v>0</v>
      </c>
      <c r="CV63">
        <v>0</v>
      </c>
      <c r="CW63">
        <v>0</v>
      </c>
      <c r="CX63">
        <v>0</v>
      </c>
      <c r="CY63">
        <v>0</v>
      </c>
      <c r="CZ63">
        <v>0</v>
      </c>
      <c r="DA63">
        <v>0</v>
      </c>
      <c r="DB63">
        <v>0</v>
      </c>
      <c r="DC63">
        <v>-5410</v>
      </c>
      <c r="DD63">
        <v>-5621</v>
      </c>
      <c r="DE63">
        <v>-5292</v>
      </c>
      <c r="DF63">
        <v>-5367</v>
      </c>
      <c r="DG63">
        <v>-5367</v>
      </c>
      <c r="DH63">
        <v>-5626</v>
      </c>
      <c r="DI63">
        <v>-5425</v>
      </c>
      <c r="DJ63">
        <v>-5983</v>
      </c>
      <c r="DK63">
        <v>-6561</v>
      </c>
      <c r="DL63">
        <v>-6561</v>
      </c>
      <c r="DM63">
        <v>-7143</v>
      </c>
      <c r="DN63">
        <v>-6807</v>
      </c>
      <c r="DO63">
        <v>-7372</v>
      </c>
      <c r="DP63">
        <v>-7883</v>
      </c>
      <c r="DQ63">
        <v>-7883</v>
      </c>
      <c r="DR63">
        <v>-8447</v>
      </c>
      <c r="DS63">
        <v>-8558</v>
      </c>
      <c r="DT63">
        <v>-8974</v>
      </c>
      <c r="DU63">
        <v>-9389</v>
      </c>
      <c r="DV63">
        <v>-9389</v>
      </c>
      <c r="DW63">
        <v>-9820</v>
      </c>
      <c r="DX63">
        <v>-10000</v>
      </c>
      <c r="DY63">
        <v>-10350</v>
      </c>
      <c r="DZ63">
        <v>-10721</v>
      </c>
      <c r="EA63">
        <v>-10721</v>
      </c>
      <c r="EB63">
        <v>-11104</v>
      </c>
      <c r="EC63">
        <v>-11352</v>
      </c>
      <c r="ED63">
        <v>-11748</v>
      </c>
      <c r="EE63">
        <v>-12175</v>
      </c>
      <c r="EF63">
        <v>-12175</v>
      </c>
      <c r="EG63">
        <v>-12613</v>
      </c>
      <c r="EH63">
        <v>-12676</v>
      </c>
      <c r="EI63">
        <v>-13176</v>
      </c>
      <c r="EJ63">
        <v>-12279</v>
      </c>
      <c r="EK63">
        <v>-12279</v>
      </c>
      <c r="EL63">
        <v>-12906</v>
      </c>
      <c r="EM63">
        <v>-13054</v>
      </c>
      <c r="EN63">
        <v>-13609</v>
      </c>
      <c r="EO63">
        <v>-14124</v>
      </c>
      <c r="EP63">
        <v>-14124</v>
      </c>
      <c r="EQ63">
        <v>-14760</v>
      </c>
      <c r="ER63">
        <v>-16055</v>
      </c>
      <c r="ES63">
        <v>-15541</v>
      </c>
      <c r="ET63">
        <v>-16912</v>
      </c>
      <c r="EU63">
        <v>-16912</v>
      </c>
      <c r="EV63">
        <v>-18285</v>
      </c>
      <c r="EW63">
        <v>-19750</v>
      </c>
      <c r="EX63">
        <v>-19547</v>
      </c>
      <c r="EY63">
        <v>-21072</v>
      </c>
      <c r="EZ63">
        <v>-21072</v>
      </c>
      <c r="FA63">
        <v>-22217.5</v>
      </c>
      <c r="FB63">
        <v>-23363</v>
      </c>
      <c r="FC63">
        <v>-24508.5</v>
      </c>
      <c r="FD63">
        <v>-25654</v>
      </c>
      <c r="FE63">
        <v>-25654</v>
      </c>
      <c r="FF63">
        <v>-26370.5</v>
      </c>
      <c r="FG63">
        <v>-27087</v>
      </c>
      <c r="FH63">
        <v>-27803.5</v>
      </c>
      <c r="FI63">
        <v>-28520</v>
      </c>
      <c r="FJ63">
        <v>-28520</v>
      </c>
      <c r="FK63">
        <v>-29021.75</v>
      </c>
      <c r="FL63">
        <v>-29523.5</v>
      </c>
      <c r="FM63">
        <v>-30025.25</v>
      </c>
      <c r="FN63">
        <v>-30527</v>
      </c>
      <c r="FO63">
        <v>-30527</v>
      </c>
    </row>
    <row r="64" spans="1:171">
      <c r="B64" t="s">
        <v>698</v>
      </c>
      <c r="C64" t="s">
        <v>699</v>
      </c>
      <c r="D64" t="s">
        <v>379</v>
      </c>
      <c r="AK64">
        <v>1905</v>
      </c>
      <c r="AL64">
        <v>1855</v>
      </c>
      <c r="AM64">
        <v>1710</v>
      </c>
      <c r="AN64">
        <v>1669</v>
      </c>
      <c r="AO64">
        <v>1669</v>
      </c>
      <c r="AP64">
        <v>3497</v>
      </c>
      <c r="AQ64">
        <v>3364</v>
      </c>
      <c r="AR64">
        <v>3357</v>
      </c>
      <c r="AS64">
        <v>3512</v>
      </c>
      <c r="AT64">
        <v>3512</v>
      </c>
      <c r="AU64">
        <v>3506</v>
      </c>
      <c r="AV64">
        <v>3455</v>
      </c>
      <c r="AW64">
        <v>3709</v>
      </c>
      <c r="AX64">
        <v>3684</v>
      </c>
      <c r="AY64">
        <v>3684</v>
      </c>
      <c r="AZ64">
        <v>3649</v>
      </c>
      <c r="BA64">
        <v>3599</v>
      </c>
      <c r="BB64">
        <v>3579</v>
      </c>
      <c r="BC64">
        <v>3808</v>
      </c>
      <c r="BD64">
        <v>3808</v>
      </c>
      <c r="BE64">
        <v>4006</v>
      </c>
      <c r="BF64">
        <v>4019</v>
      </c>
      <c r="BG64">
        <v>4070</v>
      </c>
      <c r="BH64">
        <v>4405</v>
      </c>
      <c r="BI64">
        <v>4405</v>
      </c>
      <c r="BJ64">
        <v>4873</v>
      </c>
      <c r="BK64">
        <v>4934</v>
      </c>
      <c r="BL64">
        <v>4916</v>
      </c>
      <c r="BM64">
        <v>5638</v>
      </c>
      <c r="BN64">
        <v>5638</v>
      </c>
      <c r="BO64">
        <v>11869</v>
      </c>
      <c r="BP64">
        <v>12026</v>
      </c>
      <c r="BQ64">
        <v>11985</v>
      </c>
      <c r="BR64">
        <v>14081</v>
      </c>
      <c r="BS64">
        <v>14081</v>
      </c>
      <c r="BT64">
        <v>14190</v>
      </c>
      <c r="BU64">
        <v>14305</v>
      </c>
      <c r="BV64">
        <v>14310</v>
      </c>
      <c r="BW64">
        <v>14262</v>
      </c>
      <c r="BX64">
        <v>14262</v>
      </c>
      <c r="BY64">
        <v>14235</v>
      </c>
      <c r="BZ64">
        <v>13714</v>
      </c>
      <c r="CA64">
        <v>13745</v>
      </c>
      <c r="CB64">
        <v>13552</v>
      </c>
      <c r="CC64">
        <v>13552</v>
      </c>
      <c r="CD64">
        <v>13548</v>
      </c>
      <c r="CE64">
        <v>13494</v>
      </c>
      <c r="CF64">
        <v>13394</v>
      </c>
      <c r="CG64">
        <v>13325</v>
      </c>
      <c r="CH64">
        <v>13325</v>
      </c>
      <c r="CI64">
        <v>13563</v>
      </c>
      <c r="CJ64">
        <v>22251</v>
      </c>
      <c r="CK64">
        <v>22454</v>
      </c>
      <c r="CL64">
        <v>16622</v>
      </c>
      <c r="CM64">
        <v>16622</v>
      </c>
      <c r="CN64">
        <v>17889</v>
      </c>
      <c r="CO64">
        <v>18068</v>
      </c>
      <c r="CP64">
        <v>17922</v>
      </c>
      <c r="CQ64">
        <v>17738</v>
      </c>
      <c r="CR64">
        <v>17738</v>
      </c>
      <c r="CS64">
        <v>17649</v>
      </c>
      <c r="CT64">
        <v>17625</v>
      </c>
      <c r="CU64">
        <v>17652</v>
      </c>
      <c r="CV64">
        <v>27108</v>
      </c>
      <c r="CW64">
        <v>27108</v>
      </c>
      <c r="CX64">
        <v>26774</v>
      </c>
      <c r="CY64">
        <v>29154</v>
      </c>
      <c r="CZ64">
        <v>28691</v>
      </c>
      <c r="DA64">
        <v>21774</v>
      </c>
      <c r="DB64">
        <v>21774</v>
      </c>
      <c r="DC64">
        <v>21887</v>
      </c>
      <c r="DD64">
        <v>22055</v>
      </c>
      <c r="DE64">
        <v>22407</v>
      </c>
      <c r="DF64">
        <v>21605</v>
      </c>
      <c r="DG64">
        <v>21605</v>
      </c>
      <c r="DH64">
        <v>21429</v>
      </c>
      <c r="DI64">
        <v>45525</v>
      </c>
      <c r="DJ64">
        <v>45215</v>
      </c>
      <c r="DK64">
        <v>45228</v>
      </c>
      <c r="DL64">
        <v>45228</v>
      </c>
      <c r="DM64">
        <v>44987</v>
      </c>
      <c r="DN64">
        <v>44389</v>
      </c>
      <c r="DO64">
        <v>44126</v>
      </c>
      <c r="DP64">
        <v>43736</v>
      </c>
      <c r="DQ64">
        <v>43736</v>
      </c>
      <c r="DR64">
        <v>43434</v>
      </c>
      <c r="DS64">
        <v>50059</v>
      </c>
      <c r="DT64">
        <v>49964</v>
      </c>
      <c r="DU64">
        <v>49776</v>
      </c>
      <c r="DV64">
        <v>49776</v>
      </c>
      <c r="DW64">
        <v>49621</v>
      </c>
      <c r="DX64">
        <v>49374</v>
      </c>
      <c r="DY64">
        <v>48919</v>
      </c>
      <c r="DZ64">
        <v>50389</v>
      </c>
      <c r="EA64">
        <v>50389</v>
      </c>
      <c r="EB64">
        <v>50813</v>
      </c>
      <c r="EC64">
        <v>50774</v>
      </c>
      <c r="ED64">
        <v>57825</v>
      </c>
      <c r="EE64">
        <v>57511</v>
      </c>
      <c r="EF64">
        <v>57511</v>
      </c>
      <c r="EG64">
        <v>58249</v>
      </c>
      <c r="EH64">
        <v>58383</v>
      </c>
      <c r="EI64">
        <v>78719</v>
      </c>
      <c r="EJ64">
        <v>78822</v>
      </c>
      <c r="EK64">
        <v>78822</v>
      </c>
      <c r="EL64">
        <v>78267</v>
      </c>
      <c r="EM64">
        <v>78259</v>
      </c>
      <c r="EN64">
        <v>77819</v>
      </c>
      <c r="EO64">
        <v>77252</v>
      </c>
      <c r="EP64">
        <v>77252</v>
      </c>
      <c r="EQ64">
        <v>76685</v>
      </c>
      <c r="ER64">
        <v>148827</v>
      </c>
      <c r="ES64">
        <v>147991</v>
      </c>
      <c r="ET64">
        <v>146817</v>
      </c>
      <c r="EU64">
        <v>146817</v>
      </c>
      <c r="EV64">
        <v>146125</v>
      </c>
      <c r="EW64">
        <v>144576</v>
      </c>
      <c r="EX64">
        <v>143297</v>
      </c>
      <c r="EY64">
        <v>141772</v>
      </c>
      <c r="EZ64">
        <v>141772</v>
      </c>
      <c r="FA64">
        <v>140626.5</v>
      </c>
      <c r="FB64">
        <v>139481</v>
      </c>
      <c r="FC64">
        <v>138335.5</v>
      </c>
      <c r="FD64">
        <v>137190</v>
      </c>
      <c r="FE64">
        <v>137190</v>
      </c>
      <c r="FF64">
        <v>136473.5</v>
      </c>
      <c r="FG64">
        <v>135757</v>
      </c>
      <c r="FH64">
        <v>135040.5</v>
      </c>
      <c r="FI64">
        <v>134324</v>
      </c>
      <c r="FJ64">
        <v>134324</v>
      </c>
      <c r="FK64">
        <v>133822.25</v>
      </c>
      <c r="FL64">
        <v>133320.5</v>
      </c>
      <c r="FM64">
        <v>132818.75</v>
      </c>
      <c r="FN64">
        <v>132317</v>
      </c>
      <c r="FO64">
        <v>132317</v>
      </c>
    </row>
    <row r="65" spans="2:171">
      <c r="B65" t="s">
        <v>700</v>
      </c>
      <c r="C65" t="s">
        <v>701</v>
      </c>
      <c r="D65" t="s">
        <v>379</v>
      </c>
      <c r="L65">
        <v>896</v>
      </c>
      <c r="M65">
        <v>804</v>
      </c>
      <c r="N65">
        <v>819</v>
      </c>
      <c r="O65">
        <v>2346</v>
      </c>
      <c r="P65">
        <v>2346</v>
      </c>
      <c r="Q65">
        <v>2733</v>
      </c>
      <c r="R65">
        <v>3476</v>
      </c>
      <c r="S65">
        <v>4122</v>
      </c>
      <c r="T65">
        <v>4703</v>
      </c>
      <c r="U65">
        <v>4703</v>
      </c>
      <c r="V65">
        <v>4905</v>
      </c>
      <c r="W65">
        <v>6262</v>
      </c>
      <c r="X65">
        <v>7474</v>
      </c>
      <c r="Y65">
        <v>14372</v>
      </c>
      <c r="Z65">
        <v>14372</v>
      </c>
      <c r="AA65">
        <v>14910</v>
      </c>
      <c r="AB65">
        <v>19801</v>
      </c>
      <c r="AC65">
        <v>21322</v>
      </c>
      <c r="AD65">
        <v>17726</v>
      </c>
      <c r="AE65">
        <v>17726</v>
      </c>
      <c r="AF65">
        <v>20525</v>
      </c>
      <c r="AG65">
        <v>18281</v>
      </c>
      <c r="AH65">
        <v>17463</v>
      </c>
      <c r="AI65">
        <v>14141</v>
      </c>
      <c r="AJ65">
        <v>14141</v>
      </c>
      <c r="AK65">
        <v>12035</v>
      </c>
      <c r="AL65">
        <v>12212</v>
      </c>
      <c r="AM65">
        <v>15694</v>
      </c>
      <c r="AN65">
        <v>14191</v>
      </c>
      <c r="AO65">
        <v>14191</v>
      </c>
      <c r="AP65">
        <v>13580</v>
      </c>
      <c r="AQ65">
        <v>12647</v>
      </c>
      <c r="AR65">
        <v>13052</v>
      </c>
      <c r="AS65">
        <v>13692</v>
      </c>
      <c r="AT65">
        <v>13692</v>
      </c>
      <c r="AU65">
        <v>13962</v>
      </c>
      <c r="AV65">
        <v>14901</v>
      </c>
      <c r="AW65">
        <v>15155</v>
      </c>
      <c r="AX65">
        <v>12210</v>
      </c>
      <c r="AY65">
        <v>12210</v>
      </c>
      <c r="AZ65">
        <v>12185</v>
      </c>
      <c r="BA65">
        <v>12160</v>
      </c>
      <c r="BB65">
        <v>11772</v>
      </c>
      <c r="BC65">
        <v>11004</v>
      </c>
      <c r="BD65">
        <v>11004</v>
      </c>
      <c r="BE65">
        <v>10062</v>
      </c>
      <c r="BF65">
        <v>9095</v>
      </c>
      <c r="BG65">
        <v>8888</v>
      </c>
      <c r="BH65">
        <v>9232</v>
      </c>
      <c r="BI65">
        <v>9232</v>
      </c>
      <c r="BJ65">
        <v>8762</v>
      </c>
      <c r="BK65">
        <v>9631</v>
      </c>
      <c r="BL65">
        <v>9624</v>
      </c>
      <c r="BM65">
        <v>10117</v>
      </c>
      <c r="BN65">
        <v>10117</v>
      </c>
      <c r="BO65">
        <v>9707</v>
      </c>
      <c r="BP65">
        <v>9413</v>
      </c>
      <c r="BQ65">
        <v>8659</v>
      </c>
      <c r="BR65">
        <v>6588</v>
      </c>
      <c r="BS65">
        <v>6588</v>
      </c>
      <c r="BT65">
        <v>4381</v>
      </c>
      <c r="BU65">
        <v>3922</v>
      </c>
      <c r="BV65">
        <v>4112</v>
      </c>
      <c r="BW65">
        <v>4933</v>
      </c>
      <c r="BX65">
        <v>4933</v>
      </c>
      <c r="BY65">
        <v>6006</v>
      </c>
      <c r="BZ65">
        <v>6976</v>
      </c>
      <c r="CA65">
        <v>7797</v>
      </c>
      <c r="CB65">
        <v>7754</v>
      </c>
      <c r="CC65">
        <v>7754</v>
      </c>
      <c r="CD65">
        <v>9211</v>
      </c>
      <c r="CE65">
        <v>10022</v>
      </c>
      <c r="CF65">
        <v>10748</v>
      </c>
      <c r="CG65">
        <v>10865</v>
      </c>
      <c r="CH65">
        <v>10865</v>
      </c>
      <c r="CI65">
        <v>8576</v>
      </c>
      <c r="CJ65">
        <v>7550</v>
      </c>
      <c r="CK65">
        <v>9068</v>
      </c>
      <c r="CL65">
        <v>9776</v>
      </c>
      <c r="CM65">
        <v>9776</v>
      </c>
      <c r="CN65">
        <v>10038</v>
      </c>
      <c r="CO65">
        <v>10707</v>
      </c>
      <c r="CP65">
        <v>11193</v>
      </c>
      <c r="CQ65">
        <v>10844</v>
      </c>
      <c r="CR65">
        <v>10844</v>
      </c>
      <c r="CS65">
        <v>11995</v>
      </c>
      <c r="CT65">
        <v>14607</v>
      </c>
      <c r="CU65">
        <v>14792</v>
      </c>
      <c r="CV65">
        <v>14597</v>
      </c>
      <c r="CW65">
        <v>14597</v>
      </c>
      <c r="CX65">
        <v>13943</v>
      </c>
      <c r="CY65">
        <v>12665</v>
      </c>
      <c r="CZ65">
        <v>12019</v>
      </c>
      <c r="DA65">
        <v>12053</v>
      </c>
      <c r="DB65">
        <v>12053</v>
      </c>
      <c r="DC65">
        <v>11438</v>
      </c>
      <c r="DD65">
        <v>11514</v>
      </c>
      <c r="DE65">
        <v>11315</v>
      </c>
      <c r="DF65">
        <v>10431</v>
      </c>
      <c r="DG65">
        <v>10431</v>
      </c>
      <c r="DH65">
        <v>10486</v>
      </c>
      <c r="DI65">
        <v>8912</v>
      </c>
      <c r="DJ65">
        <v>7381</v>
      </c>
      <c r="DK65">
        <v>6023</v>
      </c>
      <c r="DL65">
        <v>6023</v>
      </c>
      <c r="DM65">
        <v>5343</v>
      </c>
      <c r="DN65">
        <v>3961</v>
      </c>
      <c r="DO65">
        <v>2818</v>
      </c>
      <c r="DP65">
        <v>1862</v>
      </c>
      <c r="DQ65">
        <v>1862</v>
      </c>
      <c r="DR65">
        <v>2034</v>
      </c>
      <c r="DS65">
        <v>2274</v>
      </c>
      <c r="DT65">
        <v>2403</v>
      </c>
      <c r="DU65">
        <v>2649</v>
      </c>
      <c r="DV65">
        <v>2649</v>
      </c>
      <c r="DW65">
        <v>2684</v>
      </c>
      <c r="DX65">
        <v>2755</v>
      </c>
      <c r="DY65">
        <v>2660</v>
      </c>
      <c r="DZ65">
        <v>2965</v>
      </c>
      <c r="EA65">
        <v>2965</v>
      </c>
      <c r="EB65">
        <v>3103</v>
      </c>
      <c r="EC65">
        <v>3794</v>
      </c>
      <c r="ED65">
        <v>5395</v>
      </c>
      <c r="EE65">
        <v>5984</v>
      </c>
      <c r="EF65">
        <v>5984</v>
      </c>
      <c r="EG65">
        <v>6393</v>
      </c>
      <c r="EH65">
        <v>6994</v>
      </c>
      <c r="EI65">
        <v>6907</v>
      </c>
      <c r="EJ65">
        <v>6891</v>
      </c>
      <c r="EK65">
        <v>6891</v>
      </c>
      <c r="EL65">
        <v>6839</v>
      </c>
      <c r="EM65">
        <v>7097</v>
      </c>
      <c r="EN65">
        <v>9415</v>
      </c>
      <c r="EO65">
        <v>9879</v>
      </c>
      <c r="EP65">
        <v>9879</v>
      </c>
      <c r="EQ65">
        <v>11423</v>
      </c>
      <c r="ER65">
        <v>13367</v>
      </c>
      <c r="ES65">
        <v>14807</v>
      </c>
      <c r="ET65">
        <v>14600</v>
      </c>
      <c r="EU65">
        <v>14600</v>
      </c>
      <c r="EV65">
        <v>15778</v>
      </c>
      <c r="EW65">
        <v>15581</v>
      </c>
      <c r="EX65">
        <v>16035</v>
      </c>
      <c r="EY65">
        <v>16035</v>
      </c>
      <c r="EZ65">
        <v>16035</v>
      </c>
      <c r="FA65">
        <v>16035</v>
      </c>
      <c r="FB65">
        <v>16035</v>
      </c>
      <c r="FC65">
        <v>16035</v>
      </c>
      <c r="FD65">
        <v>16035</v>
      </c>
      <c r="FE65">
        <v>16035</v>
      </c>
      <c r="FF65">
        <v>16035</v>
      </c>
      <c r="FG65">
        <v>16035</v>
      </c>
      <c r="FH65">
        <v>16035</v>
      </c>
      <c r="FI65">
        <v>16035</v>
      </c>
      <c r="FJ65">
        <v>16035</v>
      </c>
      <c r="FK65">
        <v>16035</v>
      </c>
      <c r="FL65">
        <v>16035</v>
      </c>
      <c r="FM65">
        <v>16035</v>
      </c>
      <c r="FN65">
        <v>16035</v>
      </c>
      <c r="FO65">
        <v>16035</v>
      </c>
    </row>
    <row r="66" spans="2:171">
      <c r="B66" t="s">
        <v>702</v>
      </c>
      <c r="C66" t="s">
        <v>703</v>
      </c>
      <c r="D66" t="s">
        <v>379</v>
      </c>
    </row>
    <row r="67" spans="2:171">
      <c r="B67" t="s">
        <v>704</v>
      </c>
      <c r="C67" t="s">
        <v>705</v>
      </c>
      <c r="D67" t="s">
        <v>379</v>
      </c>
      <c r="F67">
        <v>398</v>
      </c>
      <c r="G67">
        <v>478</v>
      </c>
      <c r="H67">
        <v>706</v>
      </c>
      <c r="I67">
        <v>613</v>
      </c>
      <c r="J67">
        <v>928</v>
      </c>
      <c r="K67">
        <v>928</v>
      </c>
      <c r="L67">
        <v>308</v>
      </c>
      <c r="M67">
        <v>218</v>
      </c>
      <c r="N67">
        <v>199</v>
      </c>
      <c r="O67">
        <v>203</v>
      </c>
      <c r="P67">
        <v>203</v>
      </c>
      <c r="Q67">
        <v>311</v>
      </c>
      <c r="R67">
        <v>250</v>
      </c>
      <c r="S67">
        <v>272</v>
      </c>
      <c r="T67">
        <v>260</v>
      </c>
      <c r="U67">
        <v>260</v>
      </c>
      <c r="V67">
        <v>234</v>
      </c>
      <c r="W67">
        <v>483</v>
      </c>
      <c r="X67">
        <v>584</v>
      </c>
      <c r="Y67">
        <v>940</v>
      </c>
      <c r="Z67">
        <v>940</v>
      </c>
      <c r="AA67">
        <v>1142</v>
      </c>
      <c r="AB67">
        <v>1533</v>
      </c>
      <c r="AC67">
        <v>2521</v>
      </c>
      <c r="AD67">
        <v>2213</v>
      </c>
      <c r="AE67">
        <v>2213</v>
      </c>
      <c r="AF67">
        <v>2198</v>
      </c>
      <c r="AG67">
        <v>2296</v>
      </c>
      <c r="AH67">
        <v>2194</v>
      </c>
      <c r="AI67">
        <v>3170</v>
      </c>
      <c r="AJ67">
        <v>3170</v>
      </c>
      <c r="AK67">
        <v>834</v>
      </c>
      <c r="AL67">
        <v>1092</v>
      </c>
      <c r="AM67">
        <v>966</v>
      </c>
      <c r="AN67">
        <v>942</v>
      </c>
      <c r="AO67">
        <v>942</v>
      </c>
      <c r="AP67">
        <v>926</v>
      </c>
      <c r="AQ67">
        <v>1160</v>
      </c>
      <c r="AR67">
        <v>1193</v>
      </c>
      <c r="AS67">
        <v>1171</v>
      </c>
      <c r="AT67">
        <v>1171</v>
      </c>
      <c r="AU67">
        <v>3710</v>
      </c>
      <c r="AV67">
        <v>3003</v>
      </c>
      <c r="AW67">
        <v>3375</v>
      </c>
      <c r="AX67">
        <v>5582</v>
      </c>
      <c r="AY67">
        <v>5582</v>
      </c>
      <c r="AZ67">
        <v>3221</v>
      </c>
      <c r="BA67">
        <v>2447</v>
      </c>
      <c r="BB67">
        <v>2010</v>
      </c>
      <c r="BC67">
        <v>4920</v>
      </c>
      <c r="BD67">
        <v>4920</v>
      </c>
      <c r="BE67">
        <v>5212</v>
      </c>
      <c r="BF67">
        <v>4997</v>
      </c>
      <c r="BG67">
        <v>4725</v>
      </c>
      <c r="BH67">
        <v>3906</v>
      </c>
      <c r="BI67">
        <v>3906</v>
      </c>
      <c r="BJ67">
        <v>3168</v>
      </c>
      <c r="BK67">
        <v>2940</v>
      </c>
      <c r="BL67">
        <v>2645</v>
      </c>
      <c r="BM67">
        <v>2898</v>
      </c>
      <c r="BN67">
        <v>2898</v>
      </c>
      <c r="BO67">
        <v>3601</v>
      </c>
      <c r="BP67">
        <v>3160</v>
      </c>
      <c r="BQ67">
        <v>3098</v>
      </c>
      <c r="BR67">
        <v>2640</v>
      </c>
      <c r="BS67">
        <v>2640</v>
      </c>
      <c r="BT67">
        <v>2792</v>
      </c>
      <c r="BU67">
        <v>2833</v>
      </c>
      <c r="BV67">
        <v>2595</v>
      </c>
      <c r="BW67">
        <v>1878</v>
      </c>
      <c r="BX67">
        <v>1878</v>
      </c>
      <c r="BY67">
        <v>1628</v>
      </c>
      <c r="BZ67">
        <v>1517</v>
      </c>
      <c r="CA67">
        <v>1478</v>
      </c>
      <c r="CB67">
        <v>1501</v>
      </c>
      <c r="CC67">
        <v>1501</v>
      </c>
      <c r="CD67">
        <v>1429</v>
      </c>
      <c r="CE67">
        <v>1307</v>
      </c>
      <c r="CF67">
        <v>1353</v>
      </c>
      <c r="CG67">
        <v>1434</v>
      </c>
      <c r="CH67">
        <v>1434</v>
      </c>
      <c r="CI67">
        <v>1972</v>
      </c>
      <c r="CJ67">
        <v>1919</v>
      </c>
      <c r="CK67">
        <v>1403</v>
      </c>
      <c r="CL67">
        <v>1520</v>
      </c>
      <c r="CM67">
        <v>1520</v>
      </c>
      <c r="CN67">
        <v>1569</v>
      </c>
      <c r="CO67">
        <v>1636</v>
      </c>
      <c r="CP67">
        <v>2262</v>
      </c>
      <c r="CQ67">
        <v>2392</v>
      </c>
      <c r="CR67">
        <v>2392</v>
      </c>
      <c r="CS67">
        <v>2480</v>
      </c>
      <c r="CT67">
        <v>2874</v>
      </c>
      <c r="CU67">
        <v>2898</v>
      </c>
      <c r="CV67">
        <v>3422</v>
      </c>
      <c r="CW67">
        <v>3422</v>
      </c>
      <c r="CX67">
        <v>3271</v>
      </c>
      <c r="CY67">
        <v>3060</v>
      </c>
      <c r="CZ67">
        <v>3200</v>
      </c>
      <c r="DA67">
        <v>2953</v>
      </c>
      <c r="DB67">
        <v>2953</v>
      </c>
      <c r="DC67">
        <v>2869</v>
      </c>
      <c r="DD67">
        <v>2928</v>
      </c>
      <c r="DE67">
        <v>2895</v>
      </c>
      <c r="DF67">
        <v>3642</v>
      </c>
      <c r="DG67">
        <v>3642</v>
      </c>
      <c r="DH67">
        <v>5227</v>
      </c>
      <c r="DI67">
        <v>5592</v>
      </c>
      <c r="DJ67">
        <v>5767</v>
      </c>
      <c r="DK67">
        <v>6076</v>
      </c>
      <c r="DL67">
        <v>6076</v>
      </c>
      <c r="DM67">
        <v>6083</v>
      </c>
      <c r="DN67">
        <v>6967</v>
      </c>
      <c r="DO67">
        <v>7106</v>
      </c>
      <c r="DP67">
        <v>7442</v>
      </c>
      <c r="DQ67">
        <v>7442</v>
      </c>
      <c r="DR67">
        <v>9792</v>
      </c>
      <c r="DS67">
        <v>10129</v>
      </c>
      <c r="DT67">
        <v>10258</v>
      </c>
      <c r="DU67">
        <v>14723</v>
      </c>
      <c r="DV67">
        <v>14723</v>
      </c>
      <c r="DW67">
        <v>14455</v>
      </c>
      <c r="DX67">
        <v>14630</v>
      </c>
      <c r="DY67">
        <v>13696</v>
      </c>
      <c r="DZ67">
        <v>13138</v>
      </c>
      <c r="EA67">
        <v>13138</v>
      </c>
      <c r="EB67">
        <v>13034</v>
      </c>
      <c r="EC67">
        <v>13561</v>
      </c>
      <c r="ED67">
        <v>14427</v>
      </c>
      <c r="EE67">
        <v>15075</v>
      </c>
      <c r="EF67">
        <v>15075</v>
      </c>
      <c r="EG67">
        <v>21103</v>
      </c>
      <c r="EH67">
        <v>21256</v>
      </c>
      <c r="EI67">
        <v>21845</v>
      </c>
      <c r="EJ67">
        <v>21897</v>
      </c>
      <c r="EK67">
        <v>21897</v>
      </c>
      <c r="EL67">
        <v>23482</v>
      </c>
      <c r="EM67">
        <v>24994</v>
      </c>
      <c r="EN67">
        <v>26954</v>
      </c>
      <c r="EO67">
        <v>30601</v>
      </c>
      <c r="EP67">
        <v>30601</v>
      </c>
      <c r="EQ67">
        <v>32154</v>
      </c>
      <c r="ER67">
        <v>32265</v>
      </c>
      <c r="ES67">
        <v>35551</v>
      </c>
      <c r="ET67">
        <v>36460</v>
      </c>
      <c r="EU67">
        <v>36460</v>
      </c>
      <c r="EV67">
        <v>37793</v>
      </c>
      <c r="EW67">
        <v>36943</v>
      </c>
      <c r="EX67">
        <v>38234</v>
      </c>
      <c r="EY67">
        <v>40141.035054284897</v>
      </c>
      <c r="EZ67">
        <v>40141.035054284897</v>
      </c>
      <c r="FA67">
        <v>42984.761614310402</v>
      </c>
      <c r="FB67">
        <v>45852.525450801098</v>
      </c>
      <c r="FC67">
        <v>47237.610696304197</v>
      </c>
      <c r="FD67">
        <v>49830.806893959299</v>
      </c>
      <c r="FE67">
        <v>49830.806893959299</v>
      </c>
      <c r="FF67">
        <v>52908.365568896799</v>
      </c>
      <c r="FG67">
        <v>56408.561579426503</v>
      </c>
      <c r="FH67">
        <v>58086.424858937396</v>
      </c>
      <c r="FI67">
        <v>61606.277513879599</v>
      </c>
      <c r="FJ67">
        <v>61606.277513879599</v>
      </c>
      <c r="FK67">
        <v>62783.862335788297</v>
      </c>
      <c r="FL67">
        <v>66920.250564468195</v>
      </c>
      <c r="FM67">
        <v>68933.851093034697</v>
      </c>
      <c r="FN67">
        <v>73486.134769453405</v>
      </c>
      <c r="FO67">
        <v>73486.134769453405</v>
      </c>
    </row>
    <row r="68" spans="2:171">
      <c r="B68" t="s">
        <v>706</v>
      </c>
      <c r="C68" t="s">
        <v>707</v>
      </c>
      <c r="D68" t="s">
        <v>379</v>
      </c>
      <c r="F68">
        <v>7210</v>
      </c>
      <c r="G68">
        <v>8160</v>
      </c>
      <c r="H68">
        <v>9106</v>
      </c>
      <c r="I68">
        <v>9590</v>
      </c>
      <c r="J68">
        <v>10093</v>
      </c>
      <c r="K68">
        <v>10093</v>
      </c>
      <c r="L68">
        <v>10740</v>
      </c>
      <c r="M68">
        <v>12786</v>
      </c>
      <c r="N68">
        <v>12613</v>
      </c>
      <c r="O68">
        <v>14387</v>
      </c>
      <c r="P68">
        <v>14387</v>
      </c>
      <c r="Q68">
        <v>15366</v>
      </c>
      <c r="R68">
        <v>16840</v>
      </c>
      <c r="S68">
        <v>19545</v>
      </c>
      <c r="T68">
        <v>22357</v>
      </c>
      <c r="U68">
        <v>22357</v>
      </c>
      <c r="V68">
        <v>25569</v>
      </c>
      <c r="W68">
        <v>30049</v>
      </c>
      <c r="X68">
        <v>33561</v>
      </c>
      <c r="Y68">
        <v>37156</v>
      </c>
      <c r="Z68">
        <v>37156</v>
      </c>
      <c r="AA68">
        <v>39672</v>
      </c>
      <c r="AB68">
        <v>45093</v>
      </c>
      <c r="AC68">
        <v>50895</v>
      </c>
      <c r="AD68">
        <v>50442</v>
      </c>
      <c r="AE68">
        <v>50442</v>
      </c>
      <c r="AF68">
        <v>56089</v>
      </c>
      <c r="AG68">
        <v>57691</v>
      </c>
      <c r="AH68">
        <v>59605</v>
      </c>
      <c r="AI68">
        <v>59257</v>
      </c>
      <c r="AJ68">
        <v>59257</v>
      </c>
      <c r="AK68">
        <v>61367</v>
      </c>
      <c r="AL68">
        <v>65387</v>
      </c>
      <c r="AM68">
        <v>68379</v>
      </c>
      <c r="AN68">
        <v>67646</v>
      </c>
      <c r="AO68">
        <v>67646</v>
      </c>
      <c r="AP68">
        <v>70235</v>
      </c>
      <c r="AQ68">
        <v>72359</v>
      </c>
      <c r="AR68">
        <v>74482</v>
      </c>
      <c r="AS68">
        <v>79571</v>
      </c>
      <c r="AT68">
        <v>79571</v>
      </c>
      <c r="AU68">
        <v>84281</v>
      </c>
      <c r="AV68">
        <v>85937</v>
      </c>
      <c r="AW68">
        <v>89767</v>
      </c>
      <c r="AX68">
        <v>94368</v>
      </c>
      <c r="AY68">
        <v>94368</v>
      </c>
      <c r="AZ68">
        <v>94268</v>
      </c>
      <c r="BA68">
        <v>64941</v>
      </c>
      <c r="BB68">
        <v>66275</v>
      </c>
      <c r="BC68">
        <v>70815</v>
      </c>
      <c r="BD68">
        <v>70815</v>
      </c>
      <c r="BE68">
        <v>71462</v>
      </c>
      <c r="BF68">
        <v>67257</v>
      </c>
      <c r="BG68">
        <v>66854</v>
      </c>
      <c r="BH68">
        <v>69597</v>
      </c>
      <c r="BI68">
        <v>69597</v>
      </c>
      <c r="BJ68">
        <v>65354</v>
      </c>
      <c r="BK68">
        <v>66371</v>
      </c>
      <c r="BL68">
        <v>63891</v>
      </c>
      <c r="BM68">
        <v>63171</v>
      </c>
      <c r="BN68">
        <v>63171</v>
      </c>
      <c r="BO68">
        <v>65645</v>
      </c>
      <c r="BP68">
        <v>67339</v>
      </c>
      <c r="BQ68">
        <v>70747</v>
      </c>
      <c r="BR68">
        <v>72793</v>
      </c>
      <c r="BS68">
        <v>72793</v>
      </c>
      <c r="BT68">
        <v>65117</v>
      </c>
      <c r="BU68">
        <v>65786</v>
      </c>
      <c r="BV68">
        <v>68853</v>
      </c>
      <c r="BW68">
        <v>77888</v>
      </c>
      <c r="BX68">
        <v>77888</v>
      </c>
      <c r="BY68">
        <v>81612</v>
      </c>
      <c r="BZ68">
        <v>82096</v>
      </c>
      <c r="CA68">
        <v>84910</v>
      </c>
      <c r="CB68">
        <v>86113</v>
      </c>
      <c r="CC68">
        <v>86113</v>
      </c>
      <c r="CD68">
        <v>91540</v>
      </c>
      <c r="CE68">
        <v>92306</v>
      </c>
      <c r="CF68">
        <v>99727</v>
      </c>
      <c r="CG68">
        <v>108704</v>
      </c>
      <c r="CH68">
        <v>108704</v>
      </c>
      <c r="CI68">
        <v>107415</v>
      </c>
      <c r="CJ68">
        <v>112243</v>
      </c>
      <c r="CK68">
        <v>118010</v>
      </c>
      <c r="CL68">
        <v>121271</v>
      </c>
      <c r="CM68">
        <v>121271</v>
      </c>
      <c r="CN68">
        <v>121876</v>
      </c>
      <c r="CO68">
        <v>128683</v>
      </c>
      <c r="CP68">
        <v>134105</v>
      </c>
      <c r="CQ68">
        <v>142431</v>
      </c>
      <c r="CR68">
        <v>142431</v>
      </c>
      <c r="CS68">
        <v>142348</v>
      </c>
      <c r="CT68">
        <v>153543</v>
      </c>
      <c r="CU68">
        <v>156119</v>
      </c>
      <c r="CV68">
        <v>172384</v>
      </c>
      <c r="CW68">
        <v>172384</v>
      </c>
      <c r="CX68">
        <v>169656</v>
      </c>
      <c r="CY68">
        <v>174848</v>
      </c>
      <c r="CZ68">
        <v>176683</v>
      </c>
      <c r="DA68">
        <v>176223</v>
      </c>
      <c r="DB68">
        <v>176223</v>
      </c>
      <c r="DC68">
        <v>172896</v>
      </c>
      <c r="DD68">
        <v>180098</v>
      </c>
      <c r="DE68">
        <v>181869</v>
      </c>
      <c r="DF68">
        <v>193694</v>
      </c>
      <c r="DG68">
        <v>193694</v>
      </c>
      <c r="DH68">
        <v>222008</v>
      </c>
      <c r="DI68">
        <v>235298</v>
      </c>
      <c r="DJ68">
        <v>236016</v>
      </c>
      <c r="DK68">
        <v>250312</v>
      </c>
      <c r="DL68">
        <v>250312</v>
      </c>
      <c r="DM68">
        <v>249097</v>
      </c>
      <c r="DN68">
        <v>256003</v>
      </c>
      <c r="DO68">
        <v>245497</v>
      </c>
      <c r="DP68">
        <v>258848</v>
      </c>
      <c r="DQ68">
        <v>258848</v>
      </c>
      <c r="DR68">
        <v>257619</v>
      </c>
      <c r="DS68">
        <v>258859</v>
      </c>
      <c r="DT68">
        <v>263281</v>
      </c>
      <c r="DU68">
        <v>286556</v>
      </c>
      <c r="DV68">
        <v>286556</v>
      </c>
      <c r="DW68">
        <v>278955</v>
      </c>
      <c r="DX68">
        <v>282794</v>
      </c>
      <c r="DY68">
        <v>285449</v>
      </c>
      <c r="DZ68">
        <v>301311</v>
      </c>
      <c r="EA68">
        <v>301311</v>
      </c>
      <c r="EB68">
        <v>301001</v>
      </c>
      <c r="EC68">
        <v>304137</v>
      </c>
      <c r="ED68">
        <v>308879</v>
      </c>
      <c r="EE68">
        <v>333779</v>
      </c>
      <c r="EF68">
        <v>333779</v>
      </c>
      <c r="EG68">
        <v>335418</v>
      </c>
      <c r="EH68">
        <v>340389</v>
      </c>
      <c r="EI68">
        <v>344607</v>
      </c>
      <c r="EJ68">
        <v>364840</v>
      </c>
      <c r="EK68">
        <v>364840</v>
      </c>
      <c r="EL68">
        <v>359784</v>
      </c>
      <c r="EM68">
        <v>364552</v>
      </c>
      <c r="EN68">
        <v>380088</v>
      </c>
      <c r="EO68">
        <v>411976</v>
      </c>
      <c r="EP68">
        <v>411976</v>
      </c>
      <c r="EQ68">
        <v>445785</v>
      </c>
      <c r="ER68">
        <v>470558</v>
      </c>
      <c r="ES68">
        <v>484275</v>
      </c>
      <c r="ET68">
        <v>512163</v>
      </c>
      <c r="EU68">
        <v>512163</v>
      </c>
      <c r="EV68">
        <v>523013</v>
      </c>
      <c r="EW68">
        <v>533898</v>
      </c>
      <c r="EX68">
        <v>562624</v>
      </c>
      <c r="EY68">
        <v>603261.84199739306</v>
      </c>
      <c r="EZ68">
        <v>603261.84199739306</v>
      </c>
      <c r="FA68">
        <v>614521.739790697</v>
      </c>
      <c r="FB68">
        <v>629483.95858501201</v>
      </c>
      <c r="FC68">
        <v>652515.515914483</v>
      </c>
      <c r="FD68">
        <v>699905.64505716402</v>
      </c>
      <c r="FE68">
        <v>699905.64505716402</v>
      </c>
      <c r="FF68">
        <v>715366.58269748103</v>
      </c>
      <c r="FG68">
        <v>734073.31697183102</v>
      </c>
      <c r="FH68">
        <v>762389.07887168799</v>
      </c>
      <c r="FI68">
        <v>817435.12945429003</v>
      </c>
      <c r="FJ68">
        <v>817435.12945429003</v>
      </c>
      <c r="FK68">
        <v>837673.25677917898</v>
      </c>
      <c r="FL68">
        <v>859806.32009225595</v>
      </c>
      <c r="FM68">
        <v>892857.59404440899</v>
      </c>
      <c r="FN68">
        <v>956220.55955167802</v>
      </c>
      <c r="FO68">
        <v>956220.55955167802</v>
      </c>
    </row>
    <row r="69" spans="2:171">
      <c r="B69" t="s">
        <v>708</v>
      </c>
      <c r="C69" t="s">
        <v>709</v>
      </c>
      <c r="D69" t="s">
        <v>379</v>
      </c>
      <c r="F69">
        <v>563</v>
      </c>
      <c r="G69">
        <v>621</v>
      </c>
      <c r="H69">
        <v>651</v>
      </c>
      <c r="I69">
        <v>652</v>
      </c>
      <c r="J69">
        <v>808</v>
      </c>
      <c r="K69">
        <v>808</v>
      </c>
      <c r="L69">
        <v>887</v>
      </c>
      <c r="M69">
        <v>848</v>
      </c>
      <c r="N69">
        <v>864</v>
      </c>
      <c r="O69">
        <v>721</v>
      </c>
      <c r="P69">
        <v>721</v>
      </c>
      <c r="Q69">
        <v>761</v>
      </c>
      <c r="R69">
        <v>867</v>
      </c>
      <c r="S69">
        <v>908</v>
      </c>
      <c r="T69">
        <v>759</v>
      </c>
      <c r="U69">
        <v>759</v>
      </c>
      <c r="V69">
        <v>845</v>
      </c>
      <c r="W69">
        <v>989</v>
      </c>
      <c r="X69">
        <v>1016</v>
      </c>
      <c r="Y69">
        <v>874</v>
      </c>
      <c r="Z69">
        <v>874</v>
      </c>
      <c r="AA69">
        <v>997</v>
      </c>
      <c r="AB69">
        <v>1233</v>
      </c>
      <c r="AC69">
        <v>1073</v>
      </c>
      <c r="AD69">
        <v>1083</v>
      </c>
      <c r="AE69">
        <v>1083</v>
      </c>
      <c r="AF69">
        <v>1101</v>
      </c>
      <c r="AG69">
        <v>1262</v>
      </c>
      <c r="AH69">
        <v>1246</v>
      </c>
      <c r="AI69">
        <v>1188</v>
      </c>
      <c r="AJ69">
        <v>1188</v>
      </c>
      <c r="AK69">
        <v>1143</v>
      </c>
      <c r="AL69">
        <v>1229</v>
      </c>
      <c r="AM69">
        <v>1136</v>
      </c>
      <c r="AN69">
        <v>1208</v>
      </c>
      <c r="AO69">
        <v>1208</v>
      </c>
      <c r="AP69">
        <v>1189</v>
      </c>
      <c r="AQ69">
        <v>1342</v>
      </c>
      <c r="AR69">
        <v>1310</v>
      </c>
      <c r="AS69">
        <v>1573</v>
      </c>
      <c r="AT69">
        <v>1573</v>
      </c>
      <c r="AU69">
        <v>1341</v>
      </c>
      <c r="AV69">
        <v>1360</v>
      </c>
      <c r="AW69">
        <v>1412</v>
      </c>
      <c r="AX69">
        <v>1717</v>
      </c>
      <c r="AY69">
        <v>1717</v>
      </c>
      <c r="AZ69">
        <v>1439</v>
      </c>
      <c r="BA69">
        <v>1573</v>
      </c>
      <c r="BB69">
        <v>1636</v>
      </c>
      <c r="BC69">
        <v>2086</v>
      </c>
      <c r="BD69">
        <v>2086</v>
      </c>
      <c r="BE69">
        <v>1852</v>
      </c>
      <c r="BF69">
        <v>2477</v>
      </c>
      <c r="BG69">
        <v>2354</v>
      </c>
      <c r="BH69">
        <v>2909</v>
      </c>
      <c r="BI69">
        <v>2909</v>
      </c>
      <c r="BJ69">
        <v>2406</v>
      </c>
      <c r="BK69">
        <v>2944</v>
      </c>
      <c r="BL69">
        <v>2843</v>
      </c>
      <c r="BM69">
        <v>3247</v>
      </c>
      <c r="BN69">
        <v>3247</v>
      </c>
      <c r="BO69">
        <v>3206</v>
      </c>
      <c r="BP69">
        <v>3612</v>
      </c>
      <c r="BQ69">
        <v>3600</v>
      </c>
      <c r="BR69">
        <v>4034</v>
      </c>
      <c r="BS69">
        <v>4034</v>
      </c>
      <c r="BT69">
        <v>3351</v>
      </c>
      <c r="BU69">
        <v>3533</v>
      </c>
      <c r="BV69">
        <v>3017</v>
      </c>
      <c r="BW69">
        <v>3324</v>
      </c>
      <c r="BX69">
        <v>3324</v>
      </c>
      <c r="BY69">
        <v>3287</v>
      </c>
      <c r="BZ69">
        <v>3171</v>
      </c>
      <c r="CA69">
        <v>3279</v>
      </c>
      <c r="CB69">
        <v>4025</v>
      </c>
      <c r="CC69">
        <v>4025</v>
      </c>
      <c r="CD69">
        <v>3654</v>
      </c>
      <c r="CE69">
        <v>3863</v>
      </c>
      <c r="CF69">
        <v>3829</v>
      </c>
      <c r="CG69">
        <v>4197</v>
      </c>
      <c r="CH69">
        <v>4197</v>
      </c>
      <c r="CI69">
        <v>3719</v>
      </c>
      <c r="CJ69">
        <v>3884</v>
      </c>
      <c r="CK69">
        <v>3790</v>
      </c>
      <c r="CL69">
        <v>4175</v>
      </c>
      <c r="CM69">
        <v>4175</v>
      </c>
      <c r="CN69">
        <v>3631</v>
      </c>
      <c r="CO69">
        <v>4356</v>
      </c>
      <c r="CP69">
        <v>4532</v>
      </c>
      <c r="CQ69">
        <v>4828</v>
      </c>
      <c r="CR69">
        <v>4828</v>
      </c>
      <c r="CS69">
        <v>4841</v>
      </c>
      <c r="CT69">
        <v>5398</v>
      </c>
      <c r="CU69">
        <v>4583</v>
      </c>
      <c r="CV69">
        <v>7432</v>
      </c>
      <c r="CW69">
        <v>7432</v>
      </c>
      <c r="CX69">
        <v>6769</v>
      </c>
      <c r="CY69">
        <v>6932</v>
      </c>
      <c r="CZ69">
        <v>6690</v>
      </c>
      <c r="DA69">
        <v>6591</v>
      </c>
      <c r="DB69">
        <v>6591</v>
      </c>
      <c r="DC69">
        <v>6630</v>
      </c>
      <c r="DD69">
        <v>6936</v>
      </c>
      <c r="DE69">
        <v>6759</v>
      </c>
      <c r="DF69">
        <v>6898</v>
      </c>
      <c r="DG69">
        <v>6898</v>
      </c>
      <c r="DH69">
        <v>6296</v>
      </c>
      <c r="DI69">
        <v>6580</v>
      </c>
      <c r="DJ69">
        <v>6217</v>
      </c>
      <c r="DK69">
        <v>7390</v>
      </c>
      <c r="DL69">
        <v>7390</v>
      </c>
      <c r="DM69">
        <v>6866</v>
      </c>
      <c r="DN69">
        <v>7850</v>
      </c>
      <c r="DO69">
        <v>7623</v>
      </c>
      <c r="DP69">
        <v>8617</v>
      </c>
      <c r="DQ69">
        <v>8617</v>
      </c>
      <c r="DR69">
        <v>8511</v>
      </c>
      <c r="DS69">
        <v>7563</v>
      </c>
      <c r="DT69">
        <v>7544</v>
      </c>
      <c r="DU69">
        <v>9382</v>
      </c>
      <c r="DV69">
        <v>9382</v>
      </c>
      <c r="DW69">
        <v>8574</v>
      </c>
      <c r="DX69">
        <v>8811</v>
      </c>
      <c r="DY69">
        <v>9246</v>
      </c>
      <c r="DZ69">
        <v>12530</v>
      </c>
      <c r="EA69">
        <v>12530</v>
      </c>
      <c r="EB69">
        <v>12509</v>
      </c>
      <c r="EC69">
        <v>12770</v>
      </c>
      <c r="ED69">
        <v>13412</v>
      </c>
      <c r="EE69">
        <v>15163</v>
      </c>
      <c r="EF69">
        <v>15163</v>
      </c>
      <c r="EG69">
        <v>14832</v>
      </c>
      <c r="EH69">
        <v>15314</v>
      </c>
      <c r="EI69">
        <v>16085</v>
      </c>
      <c r="EJ69">
        <v>19000</v>
      </c>
      <c r="EK69">
        <v>19000</v>
      </c>
      <c r="EL69">
        <v>16609</v>
      </c>
      <c r="EM69">
        <v>15354</v>
      </c>
      <c r="EN69">
        <v>15305</v>
      </c>
      <c r="EO69">
        <v>18095</v>
      </c>
      <c r="EP69">
        <v>18095</v>
      </c>
      <c r="EQ69">
        <v>19307</v>
      </c>
      <c r="ER69">
        <v>17695</v>
      </c>
      <c r="ES69">
        <v>18087</v>
      </c>
      <c r="ET69">
        <v>21996</v>
      </c>
      <c r="EU69">
        <v>21996</v>
      </c>
      <c r="EV69">
        <v>22768</v>
      </c>
      <c r="EW69">
        <v>22608</v>
      </c>
      <c r="EX69">
        <v>26250</v>
      </c>
      <c r="EY69">
        <v>26759.773084410099</v>
      </c>
      <c r="EZ69">
        <v>26759.773084410099</v>
      </c>
      <c r="FA69">
        <v>26711.266051925901</v>
      </c>
      <c r="FB69">
        <v>26123.040849152701</v>
      </c>
      <c r="FC69">
        <v>30011.422381</v>
      </c>
      <c r="FD69">
        <v>29693.154980118401</v>
      </c>
      <c r="FE69">
        <v>29693.154980118401</v>
      </c>
      <c r="FF69">
        <v>30483.0409013852</v>
      </c>
      <c r="FG69">
        <v>29824.351619836099</v>
      </c>
      <c r="FH69">
        <v>34310.207242046097</v>
      </c>
      <c r="FI69">
        <v>34161.507844857799</v>
      </c>
      <c r="FJ69">
        <v>34161.507844857799</v>
      </c>
      <c r="FK69">
        <v>34811.430507831603</v>
      </c>
      <c r="FL69">
        <v>34071.575015014198</v>
      </c>
      <c r="FM69">
        <v>38811.761998563401</v>
      </c>
      <c r="FN69">
        <v>39323.6757651425</v>
      </c>
      <c r="FO69">
        <v>39323.6757651425</v>
      </c>
    </row>
    <row r="70" spans="2:171">
      <c r="B70" t="s">
        <v>710</v>
      </c>
      <c r="C70" t="s">
        <v>711</v>
      </c>
      <c r="D70" t="s">
        <v>379</v>
      </c>
      <c r="BT70">
        <v>1975</v>
      </c>
      <c r="BU70">
        <v>2000</v>
      </c>
      <c r="BV70">
        <v>1999</v>
      </c>
      <c r="BW70">
        <v>2000</v>
      </c>
      <c r="BX70">
        <v>2000</v>
      </c>
      <c r="BY70">
        <v>2250</v>
      </c>
      <c r="BZ70">
        <v>2249</v>
      </c>
      <c r="CA70">
        <v>2249</v>
      </c>
      <c r="CB70">
        <v>1000</v>
      </c>
      <c r="CC70">
        <v>1000</v>
      </c>
      <c r="CD70">
        <v>1000</v>
      </c>
      <c r="CL70">
        <v>1231</v>
      </c>
      <c r="CM70">
        <v>1231</v>
      </c>
      <c r="CN70">
        <v>2236</v>
      </c>
      <c r="CO70">
        <v>2241</v>
      </c>
      <c r="CP70">
        <v>2246</v>
      </c>
      <c r="CQ70">
        <v>2999</v>
      </c>
      <c r="CR70">
        <v>2999</v>
      </c>
      <c r="CS70">
        <v>3300</v>
      </c>
      <c r="CT70">
        <v>2300</v>
      </c>
      <c r="CU70">
        <v>2000</v>
      </c>
      <c r="CV70">
        <v>2000</v>
      </c>
      <c r="CW70">
        <v>2000</v>
      </c>
      <c r="CX70">
        <v>5248</v>
      </c>
      <c r="CY70">
        <v>10048</v>
      </c>
      <c r="CZ70">
        <v>4224</v>
      </c>
      <c r="DA70">
        <v>7484</v>
      </c>
      <c r="DB70">
        <v>7484</v>
      </c>
      <c r="DC70">
        <v>10748</v>
      </c>
      <c r="DD70">
        <v>3750</v>
      </c>
      <c r="DE70">
        <v>5498</v>
      </c>
      <c r="DF70">
        <v>12904</v>
      </c>
      <c r="DG70">
        <v>12904</v>
      </c>
      <c r="DH70">
        <v>14536</v>
      </c>
      <c r="DI70">
        <v>25664</v>
      </c>
      <c r="DJ70">
        <v>7786</v>
      </c>
      <c r="DK70">
        <v>10121</v>
      </c>
      <c r="DL70">
        <v>10121</v>
      </c>
      <c r="DM70">
        <v>9220</v>
      </c>
      <c r="DN70">
        <v>15912</v>
      </c>
      <c r="DO70">
        <v>3677</v>
      </c>
      <c r="DP70">
        <v>3998</v>
      </c>
      <c r="DQ70">
        <v>3998</v>
      </c>
      <c r="DR70">
        <v>6497</v>
      </c>
      <c r="DS70">
        <v>3516</v>
      </c>
      <c r="DT70">
        <v>6515</v>
      </c>
      <c r="DU70">
        <v>5516</v>
      </c>
      <c r="DV70">
        <v>5516</v>
      </c>
      <c r="DW70">
        <v>3017</v>
      </c>
      <c r="DX70">
        <v>6247</v>
      </c>
      <c r="DY70">
        <v>3748</v>
      </c>
      <c r="DZ70">
        <v>3749</v>
      </c>
      <c r="EA70">
        <v>3749</v>
      </c>
      <c r="EB70">
        <v>6497</v>
      </c>
      <c r="EC70">
        <v>5387</v>
      </c>
      <c r="ED70">
        <v>8051</v>
      </c>
      <c r="EE70">
        <v>8072</v>
      </c>
      <c r="EF70">
        <v>8072</v>
      </c>
      <c r="EG70">
        <v>3249</v>
      </c>
      <c r="EH70">
        <v>4998</v>
      </c>
      <c r="EI70">
        <v>1749</v>
      </c>
      <c r="EJ70">
        <v>2749</v>
      </c>
      <c r="EK70">
        <v>2749</v>
      </c>
      <c r="EL70">
        <v>3248</v>
      </c>
      <c r="EM70">
        <v>3997</v>
      </c>
      <c r="EN70">
        <v>6245</v>
      </c>
      <c r="EO70">
        <v>5247</v>
      </c>
      <c r="EP70">
        <v>5247</v>
      </c>
      <c r="EQ70">
        <v>29556</v>
      </c>
      <c r="ER70">
        <v>29291</v>
      </c>
      <c r="ES70">
        <v>22784</v>
      </c>
      <c r="ET70">
        <v>8942</v>
      </c>
      <c r="EU70">
        <v>8942</v>
      </c>
      <c r="EV70">
        <v>2249</v>
      </c>
      <c r="EW70">
        <v>5248</v>
      </c>
      <c r="EX70">
        <v>2999</v>
      </c>
      <c r="EY70">
        <v>2999</v>
      </c>
      <c r="EZ70">
        <v>2999</v>
      </c>
      <c r="FA70">
        <v>2999</v>
      </c>
      <c r="FB70">
        <v>2999</v>
      </c>
      <c r="FC70">
        <v>2999</v>
      </c>
      <c r="FD70">
        <v>2999</v>
      </c>
      <c r="FE70">
        <v>2999</v>
      </c>
      <c r="FF70">
        <v>2999</v>
      </c>
      <c r="FG70">
        <v>2999</v>
      </c>
      <c r="FH70">
        <v>2999</v>
      </c>
      <c r="FI70">
        <v>2999</v>
      </c>
      <c r="FJ70">
        <v>2999</v>
      </c>
      <c r="FK70">
        <v>2999</v>
      </c>
      <c r="FL70">
        <v>2999</v>
      </c>
      <c r="FM70">
        <v>2999</v>
      </c>
      <c r="FN70">
        <v>2999</v>
      </c>
      <c r="FO70">
        <v>2999</v>
      </c>
    </row>
    <row r="71" spans="2:171">
      <c r="B71" t="s">
        <v>712</v>
      </c>
      <c r="C71" t="s">
        <v>713</v>
      </c>
      <c r="D71" t="s">
        <v>379</v>
      </c>
    </row>
    <row r="72" spans="2:171">
      <c r="B72" t="s">
        <v>714</v>
      </c>
      <c r="C72" t="s">
        <v>715</v>
      </c>
      <c r="D72" t="s">
        <v>379</v>
      </c>
      <c r="F72">
        <v>784</v>
      </c>
      <c r="G72">
        <v>1138</v>
      </c>
      <c r="H72">
        <v>1590</v>
      </c>
      <c r="I72">
        <v>1612</v>
      </c>
      <c r="J72">
        <v>1617</v>
      </c>
      <c r="K72">
        <v>1617</v>
      </c>
      <c r="L72">
        <v>1776</v>
      </c>
      <c r="M72">
        <v>2296</v>
      </c>
      <c r="N72">
        <v>2615</v>
      </c>
      <c r="O72">
        <v>2889</v>
      </c>
      <c r="P72">
        <v>2889</v>
      </c>
      <c r="Q72">
        <v>3141</v>
      </c>
      <c r="R72">
        <v>3629</v>
      </c>
      <c r="S72">
        <v>3961</v>
      </c>
      <c r="T72">
        <v>4971</v>
      </c>
      <c r="U72">
        <v>4971</v>
      </c>
      <c r="V72">
        <v>5600</v>
      </c>
      <c r="W72">
        <v>6482</v>
      </c>
      <c r="X72">
        <v>6823</v>
      </c>
      <c r="Y72">
        <v>7844</v>
      </c>
      <c r="Z72">
        <v>7844</v>
      </c>
      <c r="AA72">
        <v>7335</v>
      </c>
      <c r="AB72">
        <v>9271</v>
      </c>
      <c r="AC72">
        <v>10030</v>
      </c>
      <c r="AD72">
        <v>8670</v>
      </c>
      <c r="AE72">
        <v>8670</v>
      </c>
      <c r="AF72">
        <v>8205</v>
      </c>
      <c r="AG72">
        <v>8363</v>
      </c>
      <c r="AH72">
        <v>8494</v>
      </c>
      <c r="AI72">
        <v>9944</v>
      </c>
      <c r="AJ72">
        <v>9944</v>
      </c>
      <c r="AK72">
        <v>11719</v>
      </c>
      <c r="AL72">
        <v>10338</v>
      </c>
      <c r="AM72">
        <v>10706</v>
      </c>
      <c r="AN72">
        <v>11536</v>
      </c>
      <c r="AO72">
        <v>11536</v>
      </c>
      <c r="AP72">
        <v>12568</v>
      </c>
      <c r="AQ72">
        <v>12275</v>
      </c>
      <c r="AR72">
        <v>11851</v>
      </c>
      <c r="AS72">
        <v>12401</v>
      </c>
      <c r="AT72">
        <v>12401</v>
      </c>
      <c r="AU72">
        <v>13757</v>
      </c>
      <c r="AV72">
        <v>12567</v>
      </c>
      <c r="AW72">
        <v>14572</v>
      </c>
      <c r="AX72">
        <v>13252</v>
      </c>
      <c r="AY72">
        <v>13252</v>
      </c>
      <c r="AZ72">
        <v>13999</v>
      </c>
      <c r="BA72">
        <v>13472</v>
      </c>
      <c r="BB72">
        <v>14503</v>
      </c>
      <c r="BC72">
        <v>14791</v>
      </c>
      <c r="BD72">
        <v>14791</v>
      </c>
      <c r="BE72">
        <v>15170</v>
      </c>
      <c r="BF72">
        <v>14270</v>
      </c>
      <c r="BG72">
        <v>16013</v>
      </c>
      <c r="BH72">
        <v>19533</v>
      </c>
      <c r="BI72">
        <v>19533</v>
      </c>
      <c r="BJ72">
        <v>19566</v>
      </c>
      <c r="BK72">
        <v>19271</v>
      </c>
      <c r="BL72">
        <v>18784</v>
      </c>
      <c r="BM72">
        <v>20507</v>
      </c>
      <c r="BN72">
        <v>20507</v>
      </c>
      <c r="BO72">
        <v>19538</v>
      </c>
      <c r="BP72">
        <v>18446</v>
      </c>
      <c r="BQ72">
        <v>23428</v>
      </c>
      <c r="BR72">
        <v>25852</v>
      </c>
      <c r="BS72">
        <v>25852</v>
      </c>
      <c r="BT72">
        <v>19057</v>
      </c>
      <c r="BU72">
        <v>18177</v>
      </c>
      <c r="BV72">
        <v>18807</v>
      </c>
      <c r="BW72">
        <v>21710</v>
      </c>
      <c r="BX72">
        <v>21710</v>
      </c>
      <c r="BY72">
        <v>23224</v>
      </c>
      <c r="BZ72">
        <v>20295</v>
      </c>
      <c r="CA72">
        <v>20896</v>
      </c>
      <c r="CB72">
        <v>21122</v>
      </c>
      <c r="CC72">
        <v>21122</v>
      </c>
      <c r="CD72">
        <v>21203</v>
      </c>
      <c r="CE72">
        <v>20449</v>
      </c>
      <c r="CF72">
        <v>20213</v>
      </c>
      <c r="CG72">
        <v>24577</v>
      </c>
      <c r="CH72">
        <v>24577</v>
      </c>
      <c r="CI72">
        <v>21824</v>
      </c>
      <c r="CJ72">
        <v>21489</v>
      </c>
      <c r="CK72">
        <v>22380</v>
      </c>
      <c r="CL72">
        <v>27282</v>
      </c>
      <c r="CM72">
        <v>27282</v>
      </c>
      <c r="CN72">
        <v>25535</v>
      </c>
      <c r="CO72">
        <v>25313</v>
      </c>
      <c r="CP72">
        <v>25151</v>
      </c>
      <c r="CQ72">
        <v>29590</v>
      </c>
      <c r="CR72">
        <v>29590</v>
      </c>
      <c r="CS72">
        <v>26482</v>
      </c>
      <c r="CT72">
        <v>26044</v>
      </c>
      <c r="CU72">
        <v>27320</v>
      </c>
      <c r="CV72">
        <v>36193</v>
      </c>
      <c r="CW72">
        <v>36193</v>
      </c>
      <c r="CX72">
        <v>32677</v>
      </c>
      <c r="CY72">
        <v>30435</v>
      </c>
      <c r="CZ72">
        <v>29834</v>
      </c>
      <c r="DA72">
        <v>35783</v>
      </c>
      <c r="DB72">
        <v>35783</v>
      </c>
      <c r="DC72">
        <v>32021</v>
      </c>
      <c r="DD72">
        <v>31957</v>
      </c>
      <c r="DE72">
        <v>32097</v>
      </c>
      <c r="DF72">
        <v>39555</v>
      </c>
      <c r="DG72">
        <v>39555</v>
      </c>
      <c r="DH72">
        <v>31403</v>
      </c>
      <c r="DI72">
        <v>31815</v>
      </c>
      <c r="DJ72">
        <v>30985</v>
      </c>
      <c r="DK72">
        <v>38234</v>
      </c>
      <c r="DL72">
        <v>38234</v>
      </c>
      <c r="DM72">
        <v>35529</v>
      </c>
      <c r="DN72">
        <v>34337</v>
      </c>
      <c r="DO72">
        <v>34833</v>
      </c>
      <c r="DP72">
        <v>45873</v>
      </c>
      <c r="DQ72">
        <v>45873</v>
      </c>
      <c r="DR72">
        <v>41269</v>
      </c>
      <c r="DS72">
        <v>39239</v>
      </c>
      <c r="DT72">
        <v>39802</v>
      </c>
      <c r="DU72">
        <v>54522</v>
      </c>
      <c r="DV72">
        <v>54522</v>
      </c>
      <c r="DW72">
        <v>46527</v>
      </c>
      <c r="DX72">
        <v>44582</v>
      </c>
      <c r="DY72">
        <v>45713</v>
      </c>
      <c r="DZ72">
        <v>56031</v>
      </c>
      <c r="EA72">
        <v>56031</v>
      </c>
      <c r="EB72">
        <v>51050</v>
      </c>
      <c r="EC72">
        <v>49329</v>
      </c>
      <c r="ED72">
        <v>50730</v>
      </c>
      <c r="EE72">
        <v>65422</v>
      </c>
      <c r="EF72">
        <v>65422</v>
      </c>
      <c r="EG72">
        <v>62447</v>
      </c>
      <c r="EH72">
        <v>57198</v>
      </c>
      <c r="EI72">
        <v>59605</v>
      </c>
      <c r="EJ72">
        <v>73333</v>
      </c>
      <c r="EK72">
        <v>73333</v>
      </c>
      <c r="EL72">
        <v>67532</v>
      </c>
      <c r="EM72">
        <v>62367</v>
      </c>
      <c r="EN72">
        <v>64141</v>
      </c>
      <c r="EO72">
        <v>80807</v>
      </c>
      <c r="EP72">
        <v>80807</v>
      </c>
      <c r="EQ72">
        <v>75929</v>
      </c>
      <c r="ER72">
        <v>74030</v>
      </c>
      <c r="ES72">
        <v>77654</v>
      </c>
      <c r="ET72">
        <v>94348</v>
      </c>
      <c r="EU72">
        <v>94348</v>
      </c>
      <c r="EV72">
        <v>90183</v>
      </c>
      <c r="EW72">
        <v>81026</v>
      </c>
      <c r="EX72">
        <v>84957</v>
      </c>
      <c r="EY72">
        <v>104054.883343116</v>
      </c>
      <c r="EZ72">
        <v>104054.883343116</v>
      </c>
      <c r="FA72">
        <v>94307.299656598494</v>
      </c>
      <c r="FB72">
        <v>87106.947141946002</v>
      </c>
      <c r="FC72">
        <v>87307.046682156302</v>
      </c>
      <c r="FD72">
        <v>108058.586562564</v>
      </c>
      <c r="FE72">
        <v>108058.586562564</v>
      </c>
      <c r="FF72">
        <v>99852.275738808094</v>
      </c>
      <c r="FG72">
        <v>91848.856557663501</v>
      </c>
      <c r="FH72">
        <v>92131.750471076593</v>
      </c>
      <c r="FI72">
        <v>114897.02442105301</v>
      </c>
      <c r="FJ72">
        <v>114897.02442105301</v>
      </c>
      <c r="FK72">
        <v>105494.81828502</v>
      </c>
      <c r="FL72">
        <v>96586.890739106297</v>
      </c>
      <c r="FM72">
        <v>96953.231198288398</v>
      </c>
      <c r="FN72">
        <v>121894.52250000001</v>
      </c>
      <c r="FO72">
        <v>121894.52250000001</v>
      </c>
    </row>
    <row r="73" spans="2:171">
      <c r="B73" t="s">
        <v>716</v>
      </c>
      <c r="C73" t="s">
        <v>717</v>
      </c>
      <c r="D73" t="s">
        <v>379</v>
      </c>
      <c r="F73">
        <v>1347</v>
      </c>
      <c r="G73">
        <v>1759</v>
      </c>
      <c r="H73">
        <v>2241</v>
      </c>
      <c r="I73">
        <v>2264</v>
      </c>
      <c r="J73">
        <v>2425</v>
      </c>
      <c r="K73">
        <v>2425</v>
      </c>
      <c r="L73">
        <v>2663</v>
      </c>
      <c r="M73">
        <v>3144</v>
      </c>
      <c r="N73">
        <v>3479</v>
      </c>
      <c r="O73">
        <v>3610</v>
      </c>
      <c r="P73">
        <v>3610</v>
      </c>
      <c r="Q73">
        <v>3902</v>
      </c>
      <c r="R73">
        <v>4496</v>
      </c>
      <c r="S73">
        <v>4869</v>
      </c>
      <c r="T73">
        <v>5730</v>
      </c>
      <c r="U73">
        <v>5730</v>
      </c>
      <c r="V73">
        <v>6445</v>
      </c>
      <c r="W73">
        <v>7471</v>
      </c>
      <c r="X73">
        <v>7839</v>
      </c>
      <c r="Y73">
        <v>8718</v>
      </c>
      <c r="Z73">
        <v>8718</v>
      </c>
      <c r="AA73">
        <v>8332</v>
      </c>
      <c r="AB73">
        <v>10504</v>
      </c>
      <c r="AC73">
        <v>11103</v>
      </c>
      <c r="AD73">
        <v>9753</v>
      </c>
      <c r="AE73">
        <v>9753</v>
      </c>
      <c r="AF73">
        <v>9306</v>
      </c>
      <c r="AG73">
        <v>9625</v>
      </c>
      <c r="AH73">
        <v>9740</v>
      </c>
      <c r="AI73">
        <v>11132</v>
      </c>
      <c r="AJ73">
        <v>11132</v>
      </c>
      <c r="AK73">
        <v>12862</v>
      </c>
      <c r="AL73">
        <v>11567</v>
      </c>
      <c r="AM73">
        <v>11842</v>
      </c>
      <c r="AN73">
        <v>12744</v>
      </c>
      <c r="AO73">
        <v>12744</v>
      </c>
      <c r="AP73">
        <v>13757</v>
      </c>
      <c r="AQ73">
        <v>13617</v>
      </c>
      <c r="AR73">
        <v>13161</v>
      </c>
      <c r="AS73">
        <v>13974</v>
      </c>
      <c r="AT73">
        <v>13974</v>
      </c>
      <c r="AU73">
        <v>15098</v>
      </c>
      <c r="AV73">
        <v>13927</v>
      </c>
      <c r="AW73">
        <v>15984</v>
      </c>
      <c r="AX73">
        <v>14969</v>
      </c>
      <c r="AY73">
        <v>14969</v>
      </c>
      <c r="AZ73">
        <v>15438</v>
      </c>
      <c r="BA73">
        <v>15045</v>
      </c>
      <c r="BB73">
        <v>16139</v>
      </c>
      <c r="BC73">
        <v>16877</v>
      </c>
      <c r="BD73">
        <v>16877</v>
      </c>
      <c r="BE73">
        <v>17022</v>
      </c>
      <c r="BF73">
        <v>16747</v>
      </c>
      <c r="BG73">
        <v>18367</v>
      </c>
      <c r="BH73">
        <v>22442</v>
      </c>
      <c r="BI73">
        <v>22442</v>
      </c>
      <c r="BJ73">
        <v>21972</v>
      </c>
      <c r="BK73">
        <v>22215</v>
      </c>
      <c r="BL73">
        <v>21627</v>
      </c>
      <c r="BM73">
        <v>23754</v>
      </c>
      <c r="BN73">
        <v>23754</v>
      </c>
      <c r="BO73">
        <v>22744</v>
      </c>
      <c r="BP73">
        <v>22058</v>
      </c>
      <c r="BQ73">
        <v>27028</v>
      </c>
      <c r="BR73">
        <v>29886</v>
      </c>
      <c r="BS73">
        <v>29886</v>
      </c>
      <c r="BT73">
        <v>24383</v>
      </c>
      <c r="BU73">
        <v>23710</v>
      </c>
      <c r="BV73">
        <v>23823</v>
      </c>
      <c r="BW73">
        <v>27034</v>
      </c>
      <c r="BX73">
        <v>27034</v>
      </c>
      <c r="BY73">
        <v>28761</v>
      </c>
      <c r="BZ73">
        <v>25715</v>
      </c>
      <c r="CA73">
        <v>26424</v>
      </c>
      <c r="CB73">
        <v>26147</v>
      </c>
      <c r="CC73">
        <v>26147</v>
      </c>
      <c r="CD73">
        <v>25857</v>
      </c>
      <c r="CE73">
        <v>24312</v>
      </c>
      <c r="CF73">
        <v>24042</v>
      </c>
      <c r="CG73">
        <v>28774</v>
      </c>
      <c r="CH73">
        <v>28774</v>
      </c>
      <c r="CI73">
        <v>25543</v>
      </c>
      <c r="CJ73">
        <v>25373</v>
      </c>
      <c r="CK73">
        <v>26170</v>
      </c>
      <c r="CL73">
        <v>32688</v>
      </c>
      <c r="CM73">
        <v>32688</v>
      </c>
      <c r="CN73">
        <v>31402</v>
      </c>
      <c r="CO73">
        <v>31910</v>
      </c>
      <c r="CP73">
        <v>31929</v>
      </c>
      <c r="CQ73">
        <v>37417</v>
      </c>
      <c r="CR73">
        <v>37417</v>
      </c>
      <c r="CS73">
        <v>34623</v>
      </c>
      <c r="CT73">
        <v>33742</v>
      </c>
      <c r="CU73">
        <v>33903</v>
      </c>
      <c r="CV73">
        <v>45625</v>
      </c>
      <c r="CW73">
        <v>45625</v>
      </c>
      <c r="CX73">
        <v>44694</v>
      </c>
      <c r="CY73">
        <v>47415</v>
      </c>
      <c r="CZ73">
        <v>40748</v>
      </c>
      <c r="DA73">
        <v>49858</v>
      </c>
      <c r="DB73">
        <v>49858</v>
      </c>
      <c r="DC73">
        <v>49399</v>
      </c>
      <c r="DD73">
        <v>42643</v>
      </c>
      <c r="DE73">
        <v>44354</v>
      </c>
      <c r="DF73">
        <v>59357</v>
      </c>
      <c r="DG73">
        <v>59357</v>
      </c>
      <c r="DH73">
        <v>52235</v>
      </c>
      <c r="DI73">
        <v>64059</v>
      </c>
      <c r="DJ73">
        <v>44988</v>
      </c>
      <c r="DK73">
        <v>55745</v>
      </c>
      <c r="DL73">
        <v>55745</v>
      </c>
      <c r="DM73">
        <v>51615</v>
      </c>
      <c r="DN73">
        <v>58099</v>
      </c>
      <c r="DO73">
        <v>46133</v>
      </c>
      <c r="DP73">
        <v>58488</v>
      </c>
      <c r="DQ73">
        <v>58488</v>
      </c>
      <c r="DR73">
        <v>56277</v>
      </c>
      <c r="DS73">
        <v>50318</v>
      </c>
      <c r="DT73">
        <v>53861</v>
      </c>
      <c r="DU73">
        <v>69420</v>
      </c>
      <c r="DV73">
        <v>69420</v>
      </c>
      <c r="DW73">
        <v>58118</v>
      </c>
      <c r="DX73">
        <v>59640</v>
      </c>
      <c r="DY73">
        <v>58707</v>
      </c>
      <c r="DZ73">
        <v>72310</v>
      </c>
      <c r="EA73">
        <v>72310</v>
      </c>
      <c r="EB73">
        <v>70056</v>
      </c>
      <c r="EC73">
        <v>67486</v>
      </c>
      <c r="ED73">
        <v>72193</v>
      </c>
      <c r="EE73">
        <v>88657</v>
      </c>
      <c r="EF73">
        <v>88657</v>
      </c>
      <c r="EG73">
        <v>80528</v>
      </c>
      <c r="EH73">
        <v>77510</v>
      </c>
      <c r="EI73">
        <v>77439</v>
      </c>
      <c r="EJ73">
        <v>95082</v>
      </c>
      <c r="EK73">
        <v>95082</v>
      </c>
      <c r="EL73">
        <v>87389</v>
      </c>
      <c r="EM73">
        <v>81718</v>
      </c>
      <c r="EN73">
        <v>85691</v>
      </c>
      <c r="EO73">
        <v>104149</v>
      </c>
      <c r="EP73">
        <v>104149</v>
      </c>
      <c r="EQ73">
        <v>124792</v>
      </c>
      <c r="ER73">
        <v>121016</v>
      </c>
      <c r="ES73">
        <v>118525</v>
      </c>
      <c r="ET73">
        <v>125286</v>
      </c>
      <c r="EU73">
        <v>125286</v>
      </c>
      <c r="EV73">
        <v>115200</v>
      </c>
      <c r="EW73">
        <v>108882</v>
      </c>
      <c r="EX73">
        <v>114206</v>
      </c>
      <c r="EY73">
        <v>133813.656427526</v>
      </c>
      <c r="EZ73">
        <v>133813.656427526</v>
      </c>
      <c r="FA73">
        <v>124017.56570852399</v>
      </c>
      <c r="FB73">
        <v>116228.987991099</v>
      </c>
      <c r="FC73">
        <v>120317.46906315599</v>
      </c>
      <c r="FD73">
        <v>140750.74154268301</v>
      </c>
      <c r="FE73">
        <v>140750.74154268301</v>
      </c>
      <c r="FF73">
        <v>133334.31664019299</v>
      </c>
      <c r="FG73">
        <v>124672.2081775</v>
      </c>
      <c r="FH73">
        <v>129440.957713123</v>
      </c>
      <c r="FI73">
        <v>152057.532265911</v>
      </c>
      <c r="FJ73">
        <v>152057.532265911</v>
      </c>
      <c r="FK73">
        <v>143305.24879285201</v>
      </c>
      <c r="FL73">
        <v>133657.46575412</v>
      </c>
      <c r="FM73">
        <v>138763.99319685201</v>
      </c>
      <c r="FN73">
        <v>164217.198265143</v>
      </c>
      <c r="FO73">
        <v>164217.198265143</v>
      </c>
    </row>
    <row r="74" spans="2:171">
      <c r="B74" t="s">
        <v>718</v>
      </c>
      <c r="C74" t="s">
        <v>719</v>
      </c>
      <c r="D74" t="s">
        <v>379</v>
      </c>
    </row>
    <row r="75" spans="2:171">
      <c r="B75" t="s">
        <v>720</v>
      </c>
      <c r="C75" t="s">
        <v>721</v>
      </c>
      <c r="D75" t="s">
        <v>379</v>
      </c>
      <c r="Z75">
        <v>0</v>
      </c>
      <c r="AE75">
        <v>0</v>
      </c>
      <c r="AJ75">
        <v>0</v>
      </c>
      <c r="AO75">
        <v>0</v>
      </c>
      <c r="AP75">
        <v>0</v>
      </c>
      <c r="AR75">
        <v>0</v>
      </c>
      <c r="BW75">
        <v>3746</v>
      </c>
      <c r="BX75">
        <v>3746</v>
      </c>
      <c r="BY75">
        <v>3746</v>
      </c>
      <c r="BZ75">
        <v>3746</v>
      </c>
      <c r="CA75">
        <v>3746</v>
      </c>
      <c r="CB75">
        <v>4939</v>
      </c>
      <c r="CC75">
        <v>4939</v>
      </c>
      <c r="CD75">
        <v>9665</v>
      </c>
      <c r="CE75">
        <v>9671</v>
      </c>
      <c r="CF75">
        <v>11915</v>
      </c>
      <c r="CG75">
        <v>11921</v>
      </c>
      <c r="CH75">
        <v>11921</v>
      </c>
      <c r="CI75">
        <v>11927</v>
      </c>
      <c r="CJ75">
        <v>11932</v>
      </c>
      <c r="CK75">
        <v>11938</v>
      </c>
      <c r="CL75">
        <v>10713</v>
      </c>
      <c r="CM75">
        <v>10713</v>
      </c>
      <c r="CN75">
        <v>9714</v>
      </c>
      <c r="CO75">
        <v>11947</v>
      </c>
      <c r="CP75">
        <v>11949</v>
      </c>
      <c r="CQ75">
        <v>12601</v>
      </c>
      <c r="CR75">
        <v>12601</v>
      </c>
      <c r="CS75">
        <v>12632</v>
      </c>
      <c r="CT75">
        <v>20676</v>
      </c>
      <c r="CU75">
        <v>20679</v>
      </c>
      <c r="CV75">
        <v>20645</v>
      </c>
      <c r="CW75">
        <v>20645</v>
      </c>
      <c r="CX75">
        <v>18472</v>
      </c>
      <c r="CY75">
        <v>18260</v>
      </c>
      <c r="CZ75">
        <v>27644</v>
      </c>
      <c r="DA75">
        <v>27808</v>
      </c>
      <c r="DB75">
        <v>27808</v>
      </c>
      <c r="DC75">
        <v>27819</v>
      </c>
      <c r="DD75">
        <v>40679</v>
      </c>
      <c r="DE75">
        <v>40896</v>
      </c>
      <c r="DF75">
        <v>40783</v>
      </c>
      <c r="DG75">
        <v>40783</v>
      </c>
      <c r="DH75">
        <v>60154</v>
      </c>
      <c r="DI75">
        <v>59306</v>
      </c>
      <c r="DJ75">
        <v>76222</v>
      </c>
      <c r="DK75">
        <v>76073</v>
      </c>
      <c r="DL75">
        <v>76073</v>
      </c>
      <c r="DM75">
        <v>76255</v>
      </c>
      <c r="DN75">
        <v>73348</v>
      </c>
      <c r="DO75">
        <v>73480</v>
      </c>
      <c r="DP75">
        <v>72242</v>
      </c>
      <c r="DQ75">
        <v>72242</v>
      </c>
      <c r="DR75">
        <v>69733</v>
      </c>
      <c r="DS75">
        <v>69653</v>
      </c>
      <c r="DT75">
        <v>66585</v>
      </c>
      <c r="DU75">
        <v>66662</v>
      </c>
      <c r="DV75">
        <v>66662</v>
      </c>
      <c r="DW75">
        <v>66478</v>
      </c>
      <c r="DX75">
        <v>63361</v>
      </c>
      <c r="DY75">
        <v>62862</v>
      </c>
      <c r="DZ75">
        <v>59578</v>
      </c>
      <c r="EA75">
        <v>59578</v>
      </c>
      <c r="EB75">
        <v>57055</v>
      </c>
      <c r="EC75">
        <v>55136</v>
      </c>
      <c r="ED75">
        <v>50007</v>
      </c>
      <c r="EE75">
        <v>50074</v>
      </c>
      <c r="EF75">
        <v>50074</v>
      </c>
      <c r="EG75">
        <v>50039</v>
      </c>
      <c r="EH75">
        <v>48260</v>
      </c>
      <c r="EI75">
        <v>48177</v>
      </c>
      <c r="EJ75">
        <v>47032</v>
      </c>
      <c r="EK75">
        <v>47032</v>
      </c>
      <c r="EL75">
        <v>45374</v>
      </c>
      <c r="EM75">
        <v>44119</v>
      </c>
      <c r="EN75">
        <v>41965</v>
      </c>
      <c r="EO75">
        <v>41990</v>
      </c>
      <c r="EP75">
        <v>41990</v>
      </c>
      <c r="EQ75">
        <v>41946</v>
      </c>
      <c r="ER75">
        <v>44928</v>
      </c>
      <c r="ES75">
        <v>42658</v>
      </c>
      <c r="ET75">
        <v>42688</v>
      </c>
      <c r="EU75">
        <v>42688</v>
      </c>
      <c r="EV75">
        <v>42868</v>
      </c>
      <c r="EW75">
        <v>39722</v>
      </c>
      <c r="EX75">
        <v>39882</v>
      </c>
      <c r="EY75">
        <v>39882</v>
      </c>
      <c r="EZ75">
        <v>39882</v>
      </c>
      <c r="FA75">
        <v>39882</v>
      </c>
      <c r="FB75">
        <v>39882</v>
      </c>
      <c r="FC75">
        <v>39882</v>
      </c>
      <c r="FD75">
        <v>39882</v>
      </c>
      <c r="FE75">
        <v>39882</v>
      </c>
      <c r="FF75">
        <v>39882</v>
      </c>
      <c r="FG75">
        <v>39882</v>
      </c>
      <c r="FH75">
        <v>39882</v>
      </c>
      <c r="FI75">
        <v>39882</v>
      </c>
      <c r="FJ75">
        <v>39882</v>
      </c>
      <c r="FK75">
        <v>39882</v>
      </c>
      <c r="FL75">
        <v>39882</v>
      </c>
      <c r="FM75">
        <v>39882</v>
      </c>
      <c r="FN75">
        <v>39882</v>
      </c>
      <c r="FO75">
        <v>39882</v>
      </c>
    </row>
    <row r="76" spans="2:171">
      <c r="B76" t="s">
        <v>722</v>
      </c>
      <c r="C76" t="s">
        <v>723</v>
      </c>
      <c r="D76" t="s">
        <v>379</v>
      </c>
      <c r="DF76">
        <v>0</v>
      </c>
      <c r="DG76">
        <v>0</v>
      </c>
      <c r="DH76">
        <v>4249</v>
      </c>
      <c r="DI76">
        <v>5242</v>
      </c>
      <c r="DJ76">
        <v>5532</v>
      </c>
      <c r="DK76">
        <v>5372</v>
      </c>
      <c r="DL76">
        <v>5372</v>
      </c>
      <c r="DM76">
        <v>5768</v>
      </c>
      <c r="DN76">
        <v>5640</v>
      </c>
      <c r="DO76">
        <v>5751</v>
      </c>
      <c r="DP76">
        <v>5568</v>
      </c>
      <c r="DQ76">
        <v>5568</v>
      </c>
      <c r="DR76">
        <v>5652</v>
      </c>
      <c r="DS76">
        <v>5683</v>
      </c>
      <c r="DT76">
        <v>5972</v>
      </c>
      <c r="DU76">
        <v>6188</v>
      </c>
      <c r="DV76">
        <v>6188</v>
      </c>
      <c r="DW76">
        <v>6659</v>
      </c>
      <c r="DX76">
        <v>7172</v>
      </c>
      <c r="DY76">
        <v>7248</v>
      </c>
      <c r="DZ76">
        <v>7671</v>
      </c>
      <c r="EA76">
        <v>7671</v>
      </c>
      <c r="EB76">
        <v>7753</v>
      </c>
      <c r="EC76">
        <v>8875</v>
      </c>
      <c r="ED76">
        <v>9272</v>
      </c>
      <c r="EE76">
        <v>9629</v>
      </c>
      <c r="EF76">
        <v>9629</v>
      </c>
      <c r="EG76">
        <v>10050</v>
      </c>
      <c r="EH76">
        <v>10774</v>
      </c>
      <c r="EI76">
        <v>11357</v>
      </c>
      <c r="EJ76">
        <v>11489</v>
      </c>
      <c r="EK76">
        <v>11489</v>
      </c>
      <c r="EL76">
        <v>11660</v>
      </c>
      <c r="EM76">
        <v>11998</v>
      </c>
      <c r="EN76">
        <v>12312</v>
      </c>
      <c r="EO76">
        <v>12728</v>
      </c>
      <c r="EP76">
        <v>12728</v>
      </c>
      <c r="EQ76">
        <v>13487</v>
      </c>
      <c r="ER76">
        <v>14155</v>
      </c>
      <c r="ES76">
        <v>14469</v>
      </c>
      <c r="ET76">
        <v>15497</v>
      </c>
      <c r="EU76">
        <v>15497</v>
      </c>
      <c r="EV76">
        <v>16361</v>
      </c>
      <c r="EW76">
        <v>17254</v>
      </c>
      <c r="EX76">
        <v>17686</v>
      </c>
      <c r="EY76">
        <v>17686</v>
      </c>
      <c r="EZ76">
        <v>17686</v>
      </c>
      <c r="FA76">
        <v>17686</v>
      </c>
      <c r="FB76">
        <v>17686</v>
      </c>
      <c r="FC76">
        <v>17686</v>
      </c>
      <c r="FD76">
        <v>17686</v>
      </c>
      <c r="FE76">
        <v>17686</v>
      </c>
      <c r="FF76">
        <v>17686</v>
      </c>
      <c r="FG76">
        <v>17686</v>
      </c>
      <c r="FH76">
        <v>17686</v>
      </c>
      <c r="FI76">
        <v>17686</v>
      </c>
      <c r="FJ76">
        <v>17686</v>
      </c>
      <c r="FK76">
        <v>17686</v>
      </c>
      <c r="FL76">
        <v>17686</v>
      </c>
      <c r="FM76">
        <v>17686</v>
      </c>
      <c r="FN76">
        <v>17686</v>
      </c>
      <c r="FO76">
        <v>17686</v>
      </c>
    </row>
    <row r="77" spans="2:171">
      <c r="B77" t="s">
        <v>724</v>
      </c>
      <c r="C77" t="s">
        <v>725</v>
      </c>
      <c r="D77" t="s">
        <v>379</v>
      </c>
      <c r="AF77">
        <v>1440</v>
      </c>
      <c r="AG77">
        <v>1644</v>
      </c>
      <c r="AH77">
        <v>1775</v>
      </c>
      <c r="AI77">
        <v>836</v>
      </c>
      <c r="AJ77">
        <v>836</v>
      </c>
      <c r="AL77">
        <v>2272</v>
      </c>
      <c r="AM77">
        <v>2237</v>
      </c>
      <c r="AN77">
        <v>2722</v>
      </c>
      <c r="AO77">
        <v>2722</v>
      </c>
      <c r="AP77">
        <v>2962</v>
      </c>
      <c r="AQ77">
        <v>2930</v>
      </c>
      <c r="AR77">
        <v>3039</v>
      </c>
      <c r="AS77">
        <v>4577</v>
      </c>
      <c r="AT77">
        <v>4577</v>
      </c>
      <c r="AU77">
        <v>2503</v>
      </c>
      <c r="AV77">
        <v>2667</v>
      </c>
      <c r="AW77">
        <v>3203</v>
      </c>
      <c r="AX77">
        <v>4574</v>
      </c>
      <c r="AY77">
        <v>4574</v>
      </c>
      <c r="AZ77">
        <v>2511</v>
      </c>
      <c r="BA77">
        <v>2664</v>
      </c>
      <c r="BB77">
        <v>2763</v>
      </c>
      <c r="BC77">
        <v>5823</v>
      </c>
      <c r="BD77">
        <v>5823</v>
      </c>
      <c r="BE77">
        <v>6113</v>
      </c>
      <c r="BF77">
        <v>6302</v>
      </c>
      <c r="BG77">
        <v>6449</v>
      </c>
      <c r="BH77">
        <v>7051</v>
      </c>
      <c r="BI77">
        <v>7051</v>
      </c>
      <c r="BJ77">
        <v>7281</v>
      </c>
      <c r="BK77">
        <v>7522</v>
      </c>
      <c r="BL77">
        <v>7291</v>
      </c>
      <c r="BM77">
        <v>8320</v>
      </c>
      <c r="BN77">
        <v>8320</v>
      </c>
      <c r="BO77">
        <v>10766</v>
      </c>
      <c r="BP77">
        <v>10850</v>
      </c>
      <c r="BQ77">
        <v>6165</v>
      </c>
      <c r="BR77">
        <v>6621</v>
      </c>
      <c r="BS77">
        <v>6621</v>
      </c>
      <c r="BT77">
        <v>7140</v>
      </c>
      <c r="BU77">
        <v>7598</v>
      </c>
      <c r="BV77">
        <v>8087</v>
      </c>
      <c r="BW77">
        <v>7550</v>
      </c>
      <c r="BX77">
        <v>7550</v>
      </c>
      <c r="BY77">
        <v>7893</v>
      </c>
      <c r="BZ77">
        <v>8352</v>
      </c>
      <c r="CA77">
        <v>9030</v>
      </c>
      <c r="CB77">
        <v>8852</v>
      </c>
      <c r="CC77">
        <v>8852</v>
      </c>
      <c r="CD77">
        <v>9076</v>
      </c>
      <c r="CE77">
        <v>9842</v>
      </c>
      <c r="CF77">
        <v>10318</v>
      </c>
      <c r="CG77">
        <v>10926</v>
      </c>
      <c r="CH77">
        <v>10926</v>
      </c>
      <c r="CI77">
        <v>10554</v>
      </c>
      <c r="CJ77">
        <v>10817</v>
      </c>
      <c r="CK77">
        <v>11243</v>
      </c>
      <c r="CL77">
        <v>11507</v>
      </c>
      <c r="CM77">
        <v>11507</v>
      </c>
      <c r="CN77">
        <v>11924</v>
      </c>
      <c r="CO77">
        <v>12250</v>
      </c>
      <c r="CP77">
        <v>13539</v>
      </c>
      <c r="CQ77">
        <v>13469</v>
      </c>
      <c r="CR77">
        <v>13469</v>
      </c>
      <c r="CS77">
        <v>13452</v>
      </c>
      <c r="CT77">
        <v>14025</v>
      </c>
      <c r="CU77">
        <v>14113</v>
      </c>
      <c r="CV77">
        <v>16330</v>
      </c>
      <c r="CW77">
        <v>16330</v>
      </c>
      <c r="CX77">
        <v>16320</v>
      </c>
      <c r="CY77">
        <v>17294</v>
      </c>
      <c r="CZ77">
        <v>18159</v>
      </c>
      <c r="DA77">
        <v>18474</v>
      </c>
      <c r="DB77">
        <v>18474</v>
      </c>
      <c r="DC77">
        <v>18233</v>
      </c>
      <c r="DD77">
        <v>19996</v>
      </c>
      <c r="DE77">
        <v>21813</v>
      </c>
      <c r="DF77">
        <v>21557</v>
      </c>
      <c r="DG77">
        <v>21557</v>
      </c>
      <c r="DH77">
        <v>22908</v>
      </c>
      <c r="DI77">
        <v>24862</v>
      </c>
      <c r="DJ77">
        <v>25783</v>
      </c>
      <c r="DK77">
        <v>25411</v>
      </c>
      <c r="DL77">
        <v>25411</v>
      </c>
      <c r="DM77">
        <v>25812</v>
      </c>
      <c r="DN77">
        <v>40556</v>
      </c>
      <c r="DO77">
        <v>40894</v>
      </c>
      <c r="DP77">
        <v>39832</v>
      </c>
      <c r="DQ77">
        <v>39832</v>
      </c>
      <c r="DR77">
        <v>39990</v>
      </c>
      <c r="DS77">
        <v>41077</v>
      </c>
      <c r="DT77">
        <v>41999</v>
      </c>
      <c r="DU77">
        <v>41956</v>
      </c>
      <c r="DV77">
        <v>41956</v>
      </c>
      <c r="DW77">
        <v>41639</v>
      </c>
      <c r="DX77">
        <v>42512</v>
      </c>
      <c r="DY77">
        <v>42131</v>
      </c>
      <c r="DZ77">
        <v>43448</v>
      </c>
      <c r="EA77">
        <v>43448</v>
      </c>
      <c r="EB77">
        <v>42745</v>
      </c>
      <c r="EC77">
        <v>42404</v>
      </c>
      <c r="ED77">
        <v>42902</v>
      </c>
      <c r="EE77">
        <v>43431</v>
      </c>
      <c r="EF77">
        <v>43431</v>
      </c>
      <c r="EG77">
        <v>42823</v>
      </c>
      <c r="EH77">
        <v>43835</v>
      </c>
      <c r="EI77">
        <v>44710</v>
      </c>
      <c r="EJ77">
        <v>44695</v>
      </c>
      <c r="EK77">
        <v>44695</v>
      </c>
      <c r="EL77">
        <v>41795</v>
      </c>
      <c r="EM77">
        <v>43581</v>
      </c>
      <c r="EN77">
        <v>45437</v>
      </c>
      <c r="EO77">
        <v>46886</v>
      </c>
      <c r="EP77">
        <v>46886</v>
      </c>
      <c r="EQ77">
        <v>44846</v>
      </c>
      <c r="ER77">
        <v>52191</v>
      </c>
      <c r="ES77">
        <v>55471</v>
      </c>
      <c r="ET77">
        <v>60215</v>
      </c>
      <c r="EU77">
        <v>60215</v>
      </c>
      <c r="EV77">
        <v>60861</v>
      </c>
      <c r="EW77">
        <v>65345</v>
      </c>
      <c r="EX77">
        <v>68959</v>
      </c>
      <c r="EY77">
        <v>72443.233792394603</v>
      </c>
      <c r="EZ77">
        <v>72443.233792394603</v>
      </c>
      <c r="FA77">
        <v>73305.799198243694</v>
      </c>
      <c r="FB77">
        <v>75053.464331940006</v>
      </c>
      <c r="FC77">
        <v>72476.941827473202</v>
      </c>
      <c r="FD77">
        <v>76371.762051626705</v>
      </c>
      <c r="FE77">
        <v>76371.762051626705</v>
      </c>
      <c r="FF77">
        <v>74256.824573185295</v>
      </c>
      <c r="FG77">
        <v>75775.161202069503</v>
      </c>
      <c r="FH77">
        <v>72928.158612110099</v>
      </c>
      <c r="FI77">
        <v>77051.8901863879</v>
      </c>
      <c r="FJ77">
        <v>77051.8901863879</v>
      </c>
      <c r="FK77">
        <v>76603.050976347295</v>
      </c>
      <c r="FL77">
        <v>77938.240883729595</v>
      </c>
      <c r="FM77">
        <v>74770.337606152403</v>
      </c>
      <c r="FN77">
        <v>79214.516724935194</v>
      </c>
      <c r="FO77">
        <v>79214.516724935194</v>
      </c>
    </row>
    <row r="78" spans="2:171">
      <c r="B78" t="s">
        <v>726</v>
      </c>
      <c r="C78" t="s">
        <v>727</v>
      </c>
      <c r="D78" t="s">
        <v>379</v>
      </c>
      <c r="F78">
        <v>0</v>
      </c>
      <c r="G78">
        <v>0</v>
      </c>
      <c r="H78">
        <v>0</v>
      </c>
      <c r="I78">
        <v>0</v>
      </c>
      <c r="J78">
        <v>0</v>
      </c>
      <c r="K78">
        <v>0</v>
      </c>
      <c r="L78">
        <v>0</v>
      </c>
      <c r="M78">
        <v>0</v>
      </c>
      <c r="N78">
        <v>0</v>
      </c>
      <c r="O78">
        <v>0</v>
      </c>
      <c r="P78">
        <v>0</v>
      </c>
      <c r="Q78">
        <v>0</v>
      </c>
      <c r="R78">
        <v>0</v>
      </c>
      <c r="S78">
        <v>0</v>
      </c>
      <c r="T78">
        <v>0</v>
      </c>
      <c r="U78">
        <v>0</v>
      </c>
      <c r="V78">
        <v>0</v>
      </c>
      <c r="W78">
        <v>0</v>
      </c>
      <c r="X78">
        <v>0</v>
      </c>
      <c r="Y78">
        <v>0</v>
      </c>
      <c r="Z78">
        <v>0</v>
      </c>
      <c r="AA78">
        <v>0</v>
      </c>
      <c r="AB78">
        <v>0</v>
      </c>
      <c r="AC78">
        <v>0</v>
      </c>
      <c r="AD78">
        <v>0</v>
      </c>
      <c r="AE78">
        <v>0</v>
      </c>
      <c r="AF78">
        <v>1440</v>
      </c>
      <c r="AG78">
        <v>1644</v>
      </c>
      <c r="AH78">
        <v>1775</v>
      </c>
      <c r="AI78">
        <v>836</v>
      </c>
      <c r="AJ78">
        <v>836</v>
      </c>
      <c r="AK78">
        <v>0</v>
      </c>
      <c r="AL78">
        <v>2272</v>
      </c>
      <c r="AM78">
        <v>2237</v>
      </c>
      <c r="AN78">
        <v>2722</v>
      </c>
      <c r="AO78">
        <v>2722</v>
      </c>
      <c r="AP78">
        <v>2962</v>
      </c>
      <c r="AQ78">
        <v>2930</v>
      </c>
      <c r="AR78">
        <v>3039</v>
      </c>
      <c r="AS78">
        <v>4577</v>
      </c>
      <c r="AT78">
        <v>4577</v>
      </c>
      <c r="AU78">
        <v>2503</v>
      </c>
      <c r="AV78">
        <v>2667</v>
      </c>
      <c r="AW78">
        <v>3203</v>
      </c>
      <c r="AX78">
        <v>4574</v>
      </c>
      <c r="AY78">
        <v>4574</v>
      </c>
      <c r="AZ78">
        <v>2511</v>
      </c>
      <c r="BA78">
        <v>2664</v>
      </c>
      <c r="BB78">
        <v>2763</v>
      </c>
      <c r="BC78">
        <v>5823</v>
      </c>
      <c r="BD78">
        <v>5823</v>
      </c>
      <c r="BE78">
        <v>6113</v>
      </c>
      <c r="BF78">
        <v>6302</v>
      </c>
      <c r="BG78">
        <v>6449</v>
      </c>
      <c r="BH78">
        <v>7051</v>
      </c>
      <c r="BI78">
        <v>7051</v>
      </c>
      <c r="BJ78">
        <v>7281</v>
      </c>
      <c r="BK78">
        <v>7522</v>
      </c>
      <c r="BL78">
        <v>7291</v>
      </c>
      <c r="BM78">
        <v>8320</v>
      </c>
      <c r="BN78">
        <v>8320</v>
      </c>
      <c r="BO78">
        <v>10766</v>
      </c>
      <c r="BP78">
        <v>10850</v>
      </c>
      <c r="BQ78">
        <v>6165</v>
      </c>
      <c r="BR78">
        <v>6621</v>
      </c>
      <c r="BS78">
        <v>6621</v>
      </c>
      <c r="BT78">
        <v>7140</v>
      </c>
      <c r="BU78">
        <v>7598</v>
      </c>
      <c r="BV78">
        <v>8087</v>
      </c>
      <c r="BW78">
        <v>11296</v>
      </c>
      <c r="BX78">
        <v>11296</v>
      </c>
      <c r="BY78">
        <v>11639</v>
      </c>
      <c r="BZ78">
        <v>12098</v>
      </c>
      <c r="CA78">
        <v>12776</v>
      </c>
      <c r="CB78">
        <v>13791</v>
      </c>
      <c r="CC78">
        <v>13791</v>
      </c>
      <c r="CD78">
        <v>18741</v>
      </c>
      <c r="CE78">
        <v>19513</v>
      </c>
      <c r="CF78">
        <v>22233</v>
      </c>
      <c r="CG78">
        <v>22847</v>
      </c>
      <c r="CH78">
        <v>22847</v>
      </c>
      <c r="CI78">
        <v>22481</v>
      </c>
      <c r="CJ78">
        <v>22749</v>
      </c>
      <c r="CK78">
        <v>23181</v>
      </c>
      <c r="CL78">
        <v>22220</v>
      </c>
      <c r="CM78">
        <v>22220</v>
      </c>
      <c r="CN78">
        <v>21638</v>
      </c>
      <c r="CO78">
        <v>24197</v>
      </c>
      <c r="CP78">
        <v>25488</v>
      </c>
      <c r="CQ78">
        <v>26070</v>
      </c>
      <c r="CR78">
        <v>26070</v>
      </c>
      <c r="CS78">
        <v>26084</v>
      </c>
      <c r="CT78">
        <v>34701</v>
      </c>
      <c r="CU78">
        <v>34792</v>
      </c>
      <c r="CV78">
        <v>36975</v>
      </c>
      <c r="CW78">
        <v>36975</v>
      </c>
      <c r="CX78">
        <v>34792</v>
      </c>
      <c r="CY78">
        <v>35554</v>
      </c>
      <c r="CZ78">
        <v>45803</v>
      </c>
      <c r="DA78">
        <v>46282</v>
      </c>
      <c r="DB78">
        <v>46282</v>
      </c>
      <c r="DC78">
        <v>46052</v>
      </c>
      <c r="DD78">
        <v>60675</v>
      </c>
      <c r="DE78">
        <v>62709</v>
      </c>
      <c r="DF78">
        <v>62340</v>
      </c>
      <c r="DG78">
        <v>62340</v>
      </c>
      <c r="DH78">
        <v>87311</v>
      </c>
      <c r="DI78">
        <v>89410</v>
      </c>
      <c r="DJ78">
        <v>107537</v>
      </c>
      <c r="DK78">
        <v>106856</v>
      </c>
      <c r="DL78">
        <v>106856</v>
      </c>
      <c r="DM78">
        <v>107835</v>
      </c>
      <c r="DN78">
        <v>119544</v>
      </c>
      <c r="DO78">
        <v>120125</v>
      </c>
      <c r="DP78">
        <v>117642</v>
      </c>
      <c r="DQ78">
        <v>117642</v>
      </c>
      <c r="DR78">
        <v>115375</v>
      </c>
      <c r="DS78">
        <v>116413</v>
      </c>
      <c r="DT78">
        <v>114556</v>
      </c>
      <c r="DU78">
        <v>114806</v>
      </c>
      <c r="DV78">
        <v>114806</v>
      </c>
      <c r="DW78">
        <v>114776</v>
      </c>
      <c r="DX78">
        <v>113045</v>
      </c>
      <c r="DY78">
        <v>112241</v>
      </c>
      <c r="DZ78">
        <v>110697</v>
      </c>
      <c r="EA78">
        <v>110697</v>
      </c>
      <c r="EB78">
        <v>107553</v>
      </c>
      <c r="EC78">
        <v>106415</v>
      </c>
      <c r="ED78">
        <v>102181</v>
      </c>
      <c r="EE78">
        <v>103134</v>
      </c>
      <c r="EF78">
        <v>103134</v>
      </c>
      <c r="EG78">
        <v>102912</v>
      </c>
      <c r="EH78">
        <v>102869</v>
      </c>
      <c r="EI78">
        <v>104244</v>
      </c>
      <c r="EJ78">
        <v>103216</v>
      </c>
      <c r="EK78">
        <v>103216</v>
      </c>
      <c r="EL78">
        <v>98829</v>
      </c>
      <c r="EM78">
        <v>99698</v>
      </c>
      <c r="EN78">
        <v>99714</v>
      </c>
      <c r="EO78">
        <v>101604</v>
      </c>
      <c r="EP78">
        <v>101604</v>
      </c>
      <c r="EQ78">
        <v>100279</v>
      </c>
      <c r="ER78">
        <v>111274</v>
      </c>
      <c r="ES78">
        <v>112598</v>
      </c>
      <c r="ET78">
        <v>118400</v>
      </c>
      <c r="EU78">
        <v>118400</v>
      </c>
      <c r="EV78">
        <v>120090</v>
      </c>
      <c r="EW78">
        <v>122321</v>
      </c>
      <c r="EX78">
        <v>126527</v>
      </c>
      <c r="EY78">
        <v>130011.233792395</v>
      </c>
      <c r="EZ78">
        <v>130011.233792395</v>
      </c>
      <c r="FA78">
        <v>130873.799198244</v>
      </c>
      <c r="FB78">
        <v>132621.46433193999</v>
      </c>
      <c r="FC78">
        <v>130044.941827473</v>
      </c>
      <c r="FD78">
        <v>133939.76205162701</v>
      </c>
      <c r="FE78">
        <v>133939.76205162701</v>
      </c>
      <c r="FF78">
        <v>131824.824573185</v>
      </c>
      <c r="FG78">
        <v>133343.16120206899</v>
      </c>
      <c r="FH78">
        <v>130496.15861211</v>
      </c>
      <c r="FI78">
        <v>134619.89018638799</v>
      </c>
      <c r="FJ78">
        <v>134619.89018638799</v>
      </c>
      <c r="FK78">
        <v>134171.050976347</v>
      </c>
      <c r="FL78">
        <v>135506.24088373</v>
      </c>
      <c r="FM78">
        <v>132338.337606152</v>
      </c>
      <c r="FN78">
        <v>136782.51672493501</v>
      </c>
      <c r="FO78">
        <v>136782.51672493501</v>
      </c>
    </row>
    <row r="79" spans="2:171">
      <c r="B79" t="s">
        <v>728</v>
      </c>
      <c r="C79" t="s">
        <v>729</v>
      </c>
      <c r="D79" t="s">
        <v>379</v>
      </c>
      <c r="F79">
        <v>1347</v>
      </c>
      <c r="G79">
        <v>1759</v>
      </c>
      <c r="H79">
        <v>2241</v>
      </c>
      <c r="I79">
        <v>2264</v>
      </c>
      <c r="J79">
        <v>2425</v>
      </c>
      <c r="K79">
        <v>2425</v>
      </c>
      <c r="L79">
        <v>2663</v>
      </c>
      <c r="M79">
        <v>3144</v>
      </c>
      <c r="N79">
        <v>3479</v>
      </c>
      <c r="O79">
        <v>3610</v>
      </c>
      <c r="P79">
        <v>3610</v>
      </c>
      <c r="Q79">
        <v>3902</v>
      </c>
      <c r="R79">
        <v>4496</v>
      </c>
      <c r="S79">
        <v>4869</v>
      </c>
      <c r="T79">
        <v>5730</v>
      </c>
      <c r="U79">
        <v>5730</v>
      </c>
      <c r="V79">
        <v>6445</v>
      </c>
      <c r="W79">
        <v>7471</v>
      </c>
      <c r="X79">
        <v>7839</v>
      </c>
      <c r="Y79">
        <v>8718</v>
      </c>
      <c r="Z79">
        <v>8718</v>
      </c>
      <c r="AA79">
        <v>8332</v>
      </c>
      <c r="AB79">
        <v>10504</v>
      </c>
      <c r="AC79">
        <v>11103</v>
      </c>
      <c r="AD79">
        <v>9753</v>
      </c>
      <c r="AE79">
        <v>9753</v>
      </c>
      <c r="AF79">
        <v>10746</v>
      </c>
      <c r="AG79">
        <v>11269</v>
      </c>
      <c r="AH79">
        <v>11515</v>
      </c>
      <c r="AI79">
        <v>11968</v>
      </c>
      <c r="AJ79">
        <v>11968</v>
      </c>
      <c r="AK79">
        <v>12862</v>
      </c>
      <c r="AL79">
        <v>13839</v>
      </c>
      <c r="AM79">
        <v>14079</v>
      </c>
      <c r="AN79">
        <v>15466</v>
      </c>
      <c r="AO79">
        <v>15466</v>
      </c>
      <c r="AP79">
        <v>16719</v>
      </c>
      <c r="AQ79">
        <v>16547</v>
      </c>
      <c r="AR79">
        <v>16200</v>
      </c>
      <c r="AS79">
        <v>18551</v>
      </c>
      <c r="AT79">
        <v>18551</v>
      </c>
      <c r="AU79">
        <v>17601</v>
      </c>
      <c r="AV79">
        <v>16594</v>
      </c>
      <c r="AW79">
        <v>19187</v>
      </c>
      <c r="AX79">
        <v>19543</v>
      </c>
      <c r="AY79">
        <v>19543</v>
      </c>
      <c r="AZ79">
        <v>17949</v>
      </c>
      <c r="BA79">
        <v>17709</v>
      </c>
      <c r="BB79">
        <v>18902</v>
      </c>
      <c r="BC79">
        <v>22700</v>
      </c>
      <c r="BD79">
        <v>22700</v>
      </c>
      <c r="BE79">
        <v>23135</v>
      </c>
      <c r="BF79">
        <v>23049</v>
      </c>
      <c r="BG79">
        <v>24816</v>
      </c>
      <c r="BH79">
        <v>29493</v>
      </c>
      <c r="BI79">
        <v>29493</v>
      </c>
      <c r="BJ79">
        <v>29253</v>
      </c>
      <c r="BK79">
        <v>29737</v>
      </c>
      <c r="BL79">
        <v>28918</v>
      </c>
      <c r="BM79">
        <v>32074</v>
      </c>
      <c r="BN79">
        <v>32074</v>
      </c>
      <c r="BO79">
        <v>33510</v>
      </c>
      <c r="BP79">
        <v>32908</v>
      </c>
      <c r="BQ79">
        <v>33193</v>
      </c>
      <c r="BR79">
        <v>36507</v>
      </c>
      <c r="BS79">
        <v>36507</v>
      </c>
      <c r="BT79">
        <v>31523</v>
      </c>
      <c r="BU79">
        <v>31308</v>
      </c>
      <c r="BV79">
        <v>31910</v>
      </c>
      <c r="BW79">
        <v>38330</v>
      </c>
      <c r="BX79">
        <v>38330</v>
      </c>
      <c r="BY79">
        <v>40400</v>
      </c>
      <c r="BZ79">
        <v>37813</v>
      </c>
      <c r="CA79">
        <v>39200</v>
      </c>
      <c r="CB79">
        <v>39938</v>
      </c>
      <c r="CC79">
        <v>39938</v>
      </c>
      <c r="CD79">
        <v>44598</v>
      </c>
      <c r="CE79">
        <v>43825</v>
      </c>
      <c r="CF79">
        <v>46275</v>
      </c>
      <c r="CG79">
        <v>51621</v>
      </c>
      <c r="CH79">
        <v>51621</v>
      </c>
      <c r="CI79">
        <v>48024</v>
      </c>
      <c r="CJ79">
        <v>48122</v>
      </c>
      <c r="CK79">
        <v>49351</v>
      </c>
      <c r="CL79">
        <v>54908</v>
      </c>
      <c r="CM79">
        <v>54908</v>
      </c>
      <c r="CN79">
        <v>53040</v>
      </c>
      <c r="CO79">
        <v>56107</v>
      </c>
      <c r="CP79">
        <v>57417</v>
      </c>
      <c r="CQ79">
        <v>63487</v>
      </c>
      <c r="CR79">
        <v>63487</v>
      </c>
      <c r="CS79">
        <v>60707</v>
      </c>
      <c r="CT79">
        <v>68443</v>
      </c>
      <c r="CU79">
        <v>68695</v>
      </c>
      <c r="CV79">
        <v>82600</v>
      </c>
      <c r="CW79">
        <v>82600</v>
      </c>
      <c r="CX79">
        <v>79486</v>
      </c>
      <c r="CY79">
        <v>82969</v>
      </c>
      <c r="CZ79">
        <v>86551</v>
      </c>
      <c r="DA79">
        <v>96140</v>
      </c>
      <c r="DB79">
        <v>96140</v>
      </c>
      <c r="DC79">
        <v>95451</v>
      </c>
      <c r="DD79">
        <v>103318</v>
      </c>
      <c r="DE79">
        <v>107063</v>
      </c>
      <c r="DF79">
        <v>121697</v>
      </c>
      <c r="DG79">
        <v>121697</v>
      </c>
      <c r="DH79">
        <v>139546</v>
      </c>
      <c r="DI79">
        <v>153469</v>
      </c>
      <c r="DJ79">
        <v>152525</v>
      </c>
      <c r="DK79">
        <v>162601</v>
      </c>
      <c r="DL79">
        <v>162601</v>
      </c>
      <c r="DM79">
        <v>159450</v>
      </c>
      <c r="DN79">
        <v>177643</v>
      </c>
      <c r="DO79">
        <v>166258</v>
      </c>
      <c r="DP79">
        <v>176130</v>
      </c>
      <c r="DQ79">
        <v>176130</v>
      </c>
      <c r="DR79">
        <v>171652</v>
      </c>
      <c r="DS79">
        <v>166731</v>
      </c>
      <c r="DT79">
        <v>168417</v>
      </c>
      <c r="DU79">
        <v>184226</v>
      </c>
      <c r="DV79">
        <v>184226</v>
      </c>
      <c r="DW79">
        <v>172894</v>
      </c>
      <c r="DX79">
        <v>172685</v>
      </c>
      <c r="DY79">
        <v>170948</v>
      </c>
      <c r="DZ79">
        <v>183007</v>
      </c>
      <c r="EA79">
        <v>183007</v>
      </c>
      <c r="EB79">
        <v>177609</v>
      </c>
      <c r="EC79">
        <v>173901</v>
      </c>
      <c r="ED79">
        <v>174374</v>
      </c>
      <c r="EE79">
        <v>191791</v>
      </c>
      <c r="EF79">
        <v>191791</v>
      </c>
      <c r="EG79">
        <v>183440</v>
      </c>
      <c r="EH79">
        <v>180379</v>
      </c>
      <c r="EI79">
        <v>181683</v>
      </c>
      <c r="EJ79">
        <v>198298</v>
      </c>
      <c r="EK79">
        <v>198298</v>
      </c>
      <c r="EL79">
        <v>186218</v>
      </c>
      <c r="EM79">
        <v>181416</v>
      </c>
      <c r="EN79">
        <v>185405</v>
      </c>
      <c r="EO79">
        <v>205753</v>
      </c>
      <c r="EP79">
        <v>205753</v>
      </c>
      <c r="EQ79">
        <v>225071</v>
      </c>
      <c r="ER79">
        <v>232290</v>
      </c>
      <c r="ES79">
        <v>231123</v>
      </c>
      <c r="ET79">
        <v>243686</v>
      </c>
      <c r="EU79">
        <v>243686</v>
      </c>
      <c r="EV79">
        <v>235290</v>
      </c>
      <c r="EW79">
        <v>231203</v>
      </c>
      <c r="EX79">
        <v>240733</v>
      </c>
      <c r="EY79">
        <v>263824.89021992101</v>
      </c>
      <c r="EZ79">
        <v>263824.89021992101</v>
      </c>
      <c r="FA79">
        <v>254891.36490676799</v>
      </c>
      <c r="FB79">
        <v>248850.452323039</v>
      </c>
      <c r="FC79">
        <v>250362.41089063001</v>
      </c>
      <c r="FD79">
        <v>274690.50359430898</v>
      </c>
      <c r="FE79">
        <v>274690.50359430898</v>
      </c>
      <c r="FF79">
        <v>265159.14121337899</v>
      </c>
      <c r="FG79">
        <v>258015.36937956899</v>
      </c>
      <c r="FH79">
        <v>259937.11632523299</v>
      </c>
      <c r="FI79">
        <v>286677.42245229898</v>
      </c>
      <c r="FJ79">
        <v>286677.42245229898</v>
      </c>
      <c r="FK79">
        <v>277476.29976919899</v>
      </c>
      <c r="FL79">
        <v>269163.70663784997</v>
      </c>
      <c r="FM79">
        <v>271102.33080300398</v>
      </c>
      <c r="FN79">
        <v>300999.71499007801</v>
      </c>
      <c r="FO79">
        <v>300999.71499007801</v>
      </c>
    </row>
    <row r="80" spans="2:171">
      <c r="B80" t="s">
        <v>730</v>
      </c>
      <c r="C80" t="s">
        <v>731</v>
      </c>
      <c r="D80" t="s">
        <v>379</v>
      </c>
    </row>
    <row r="81" spans="1:171">
      <c r="B81" t="s">
        <v>732</v>
      </c>
      <c r="C81" t="s">
        <v>733</v>
      </c>
      <c r="D81" t="s">
        <v>379</v>
      </c>
      <c r="F81">
        <v>5863</v>
      </c>
      <c r="G81">
        <v>6401</v>
      </c>
      <c r="H81">
        <v>6865</v>
      </c>
      <c r="I81">
        <v>7326</v>
      </c>
      <c r="J81">
        <v>7668</v>
      </c>
      <c r="K81">
        <v>7668</v>
      </c>
      <c r="L81">
        <v>8077</v>
      </c>
      <c r="M81">
        <v>9642</v>
      </c>
      <c r="N81">
        <v>9134</v>
      </c>
      <c r="O81">
        <v>10777</v>
      </c>
      <c r="P81">
        <v>10777</v>
      </c>
      <c r="Q81">
        <v>11464</v>
      </c>
      <c r="R81">
        <v>12344</v>
      </c>
      <c r="S81">
        <v>14676</v>
      </c>
      <c r="T81">
        <v>16627</v>
      </c>
      <c r="U81">
        <v>16627</v>
      </c>
      <c r="V81">
        <v>19124</v>
      </c>
      <c r="W81">
        <v>22578</v>
      </c>
      <c r="X81">
        <v>25722</v>
      </c>
      <c r="Y81">
        <v>28438</v>
      </c>
      <c r="Z81">
        <v>28438</v>
      </c>
      <c r="AA81">
        <v>31340</v>
      </c>
      <c r="AB81">
        <v>34589</v>
      </c>
      <c r="AC81">
        <v>39792</v>
      </c>
      <c r="AD81">
        <v>40689</v>
      </c>
      <c r="AE81">
        <v>40689</v>
      </c>
      <c r="AF81">
        <v>45343</v>
      </c>
      <c r="AG81">
        <v>46422</v>
      </c>
      <c r="AH81">
        <v>48090</v>
      </c>
      <c r="AI81">
        <v>47289</v>
      </c>
      <c r="AJ81">
        <v>47289</v>
      </c>
      <c r="AK81">
        <v>48505</v>
      </c>
      <c r="AL81">
        <v>51548</v>
      </c>
      <c r="AM81">
        <v>54300</v>
      </c>
      <c r="AN81">
        <v>52180</v>
      </c>
      <c r="AO81">
        <v>52180</v>
      </c>
      <c r="AP81">
        <v>53516</v>
      </c>
      <c r="AQ81">
        <v>55812</v>
      </c>
      <c r="AR81">
        <v>58282</v>
      </c>
      <c r="AS81">
        <v>61020</v>
      </c>
      <c r="AT81">
        <v>61020</v>
      </c>
      <c r="AU81">
        <v>66680</v>
      </c>
      <c r="AV81">
        <v>69343</v>
      </c>
      <c r="AW81">
        <v>70580</v>
      </c>
      <c r="AX81">
        <v>74825</v>
      </c>
      <c r="AY81">
        <v>74825</v>
      </c>
      <c r="AZ81">
        <v>76319</v>
      </c>
      <c r="BA81">
        <v>47232</v>
      </c>
      <c r="BB81">
        <v>47373</v>
      </c>
      <c r="BC81">
        <v>48115</v>
      </c>
      <c r="BD81">
        <v>48115</v>
      </c>
      <c r="BE81">
        <v>48327</v>
      </c>
      <c r="BF81">
        <v>44208</v>
      </c>
      <c r="BG81">
        <v>42038</v>
      </c>
      <c r="BH81">
        <v>40104</v>
      </c>
      <c r="BI81">
        <v>40104</v>
      </c>
      <c r="BJ81">
        <v>36101</v>
      </c>
      <c r="BK81">
        <v>36634</v>
      </c>
      <c r="BL81">
        <v>34973</v>
      </c>
      <c r="BM81">
        <v>31097</v>
      </c>
      <c r="BN81">
        <v>31097</v>
      </c>
      <c r="BO81">
        <v>32135</v>
      </c>
      <c r="BP81">
        <v>34431</v>
      </c>
      <c r="BQ81">
        <v>37554</v>
      </c>
      <c r="BR81">
        <v>36286</v>
      </c>
      <c r="BS81">
        <v>36286</v>
      </c>
      <c r="BT81">
        <v>33594</v>
      </c>
      <c r="BU81">
        <v>34478</v>
      </c>
      <c r="BV81">
        <v>36943</v>
      </c>
      <c r="BW81">
        <v>39558</v>
      </c>
      <c r="BX81">
        <v>39558</v>
      </c>
      <c r="BY81">
        <v>41212</v>
      </c>
      <c r="BZ81">
        <v>44283</v>
      </c>
      <c r="CA81">
        <v>45710</v>
      </c>
      <c r="CB81">
        <v>46175</v>
      </c>
      <c r="CC81">
        <v>46175</v>
      </c>
      <c r="CD81">
        <v>46942</v>
      </c>
      <c r="CE81">
        <v>48481</v>
      </c>
      <c r="CF81">
        <v>53452</v>
      </c>
      <c r="CG81">
        <v>57083</v>
      </c>
      <c r="CH81">
        <v>57083</v>
      </c>
      <c r="CI81">
        <v>59391</v>
      </c>
      <c r="CJ81">
        <v>64121</v>
      </c>
      <c r="CK81">
        <v>68659</v>
      </c>
      <c r="CL81">
        <v>66363</v>
      </c>
      <c r="CM81">
        <v>66363</v>
      </c>
      <c r="CN81">
        <v>68836</v>
      </c>
      <c r="CO81">
        <v>72576</v>
      </c>
      <c r="CP81">
        <v>76688</v>
      </c>
      <c r="CQ81">
        <v>78944</v>
      </c>
      <c r="CR81">
        <v>78944</v>
      </c>
      <c r="CS81">
        <v>81641</v>
      </c>
      <c r="CT81">
        <v>85100</v>
      </c>
      <c r="CU81">
        <v>87424</v>
      </c>
      <c r="CV81">
        <v>89784</v>
      </c>
      <c r="CW81">
        <v>89784</v>
      </c>
      <c r="CX81">
        <v>90170</v>
      </c>
      <c r="CY81">
        <v>91879</v>
      </c>
      <c r="CZ81">
        <v>90132</v>
      </c>
      <c r="DA81">
        <v>80083</v>
      </c>
      <c r="DB81">
        <v>80083</v>
      </c>
      <c r="DC81">
        <v>77445</v>
      </c>
      <c r="DD81">
        <v>76780</v>
      </c>
      <c r="DE81">
        <v>74806</v>
      </c>
      <c r="DF81">
        <v>71997</v>
      </c>
      <c r="DG81">
        <v>71997</v>
      </c>
      <c r="DH81">
        <v>82462</v>
      </c>
      <c r="DI81">
        <v>81829</v>
      </c>
      <c r="DJ81">
        <v>83491</v>
      </c>
      <c r="DK81">
        <v>87711</v>
      </c>
      <c r="DL81">
        <v>87711</v>
      </c>
      <c r="DM81">
        <v>89647</v>
      </c>
      <c r="DN81">
        <v>78360</v>
      </c>
      <c r="DO81">
        <v>79239</v>
      </c>
      <c r="DP81">
        <v>82718</v>
      </c>
      <c r="DQ81">
        <v>82718</v>
      </c>
      <c r="DR81">
        <v>85967</v>
      </c>
      <c r="DS81">
        <v>92128</v>
      </c>
      <c r="DT81">
        <v>94864</v>
      </c>
      <c r="DU81">
        <v>102330</v>
      </c>
      <c r="DV81">
        <v>102330</v>
      </c>
      <c r="DW81">
        <v>106061</v>
      </c>
      <c r="DX81">
        <v>110109</v>
      </c>
      <c r="DY81">
        <v>114501</v>
      </c>
      <c r="DZ81">
        <v>118304</v>
      </c>
      <c r="EA81">
        <v>118304</v>
      </c>
      <c r="EB81">
        <v>123392</v>
      </c>
      <c r="EC81">
        <v>130236</v>
      </c>
      <c r="ED81">
        <v>134505</v>
      </c>
      <c r="EE81">
        <v>141988</v>
      </c>
      <c r="EF81">
        <v>141988</v>
      </c>
      <c r="EG81">
        <v>151978</v>
      </c>
      <c r="EH81">
        <v>160010</v>
      </c>
      <c r="EI81">
        <v>162924</v>
      </c>
      <c r="EJ81">
        <v>166542</v>
      </c>
      <c r="EK81">
        <v>166542</v>
      </c>
      <c r="EL81">
        <v>173566</v>
      </c>
      <c r="EM81">
        <v>183136</v>
      </c>
      <c r="EN81">
        <v>194683</v>
      </c>
      <c r="EO81">
        <v>206223</v>
      </c>
      <c r="EP81">
        <v>206223</v>
      </c>
      <c r="EQ81">
        <v>220714</v>
      </c>
      <c r="ER81">
        <v>238268</v>
      </c>
      <c r="ES81">
        <v>253152</v>
      </c>
      <c r="ET81">
        <v>268477</v>
      </c>
      <c r="EU81">
        <v>268477</v>
      </c>
      <c r="EV81">
        <v>287723</v>
      </c>
      <c r="EW81">
        <v>302695</v>
      </c>
      <c r="EX81">
        <v>321891</v>
      </c>
      <c r="EY81">
        <v>339436.95177747199</v>
      </c>
      <c r="EZ81">
        <v>339436.95177747199</v>
      </c>
      <c r="FA81">
        <v>359630.37488392898</v>
      </c>
      <c r="FB81">
        <v>380633.506261973</v>
      </c>
      <c r="FC81">
        <v>402153.10502385302</v>
      </c>
      <c r="FD81">
        <v>425215.14146285498</v>
      </c>
      <c r="FE81">
        <v>425215.14146285498</v>
      </c>
      <c r="FF81">
        <v>450207.44148410199</v>
      </c>
      <c r="FG81">
        <v>476057.94759226101</v>
      </c>
      <c r="FH81">
        <v>502451.96254645498</v>
      </c>
      <c r="FI81">
        <v>530757.70700199204</v>
      </c>
      <c r="FJ81">
        <v>530757.70700199204</v>
      </c>
      <c r="FK81">
        <v>560196.95700997999</v>
      </c>
      <c r="FL81">
        <v>590642.61345440603</v>
      </c>
      <c r="FM81">
        <v>621755.26324140397</v>
      </c>
      <c r="FN81">
        <v>655220.84456160001</v>
      </c>
      <c r="FO81">
        <v>655220.84456160001</v>
      </c>
    </row>
    <row r="82" spans="1:171">
      <c r="B82" t="s">
        <v>734</v>
      </c>
      <c r="C82" t="s">
        <v>735</v>
      </c>
      <c r="D82" t="s">
        <v>379</v>
      </c>
    </row>
    <row r="83" spans="1:171">
      <c r="B83" t="s">
        <v>736</v>
      </c>
      <c r="C83" t="s">
        <v>737</v>
      </c>
      <c r="D83" t="s">
        <v>379</v>
      </c>
      <c r="F83">
        <v>5863</v>
      </c>
      <c r="G83">
        <v>6401</v>
      </c>
      <c r="H83">
        <v>6865</v>
      </c>
      <c r="I83">
        <v>7326</v>
      </c>
      <c r="J83">
        <v>7668</v>
      </c>
      <c r="K83">
        <v>7668</v>
      </c>
      <c r="L83">
        <v>8077</v>
      </c>
      <c r="M83">
        <v>9642</v>
      </c>
      <c r="N83">
        <v>9134</v>
      </c>
      <c r="O83">
        <v>10777</v>
      </c>
      <c r="P83">
        <v>10777</v>
      </c>
      <c r="Q83">
        <v>11464</v>
      </c>
      <c r="R83">
        <v>12344</v>
      </c>
      <c r="S83">
        <v>14676</v>
      </c>
      <c r="T83">
        <v>16627</v>
      </c>
      <c r="U83">
        <v>16627</v>
      </c>
      <c r="V83">
        <v>19124</v>
      </c>
      <c r="W83">
        <v>22578</v>
      </c>
      <c r="X83">
        <v>25722</v>
      </c>
      <c r="Y83">
        <v>28438</v>
      </c>
      <c r="Z83">
        <v>28438</v>
      </c>
      <c r="AA83">
        <v>31340</v>
      </c>
      <c r="AB83">
        <v>34589</v>
      </c>
      <c r="AC83">
        <v>39792</v>
      </c>
      <c r="AD83">
        <v>40689</v>
      </c>
      <c r="AE83">
        <v>40689</v>
      </c>
      <c r="AF83">
        <v>45343</v>
      </c>
      <c r="AG83">
        <v>46422</v>
      </c>
      <c r="AH83">
        <v>48090</v>
      </c>
      <c r="AI83">
        <v>47289</v>
      </c>
      <c r="AJ83">
        <v>47289</v>
      </c>
      <c r="AK83">
        <v>48505</v>
      </c>
      <c r="AL83">
        <v>51548</v>
      </c>
      <c r="AM83">
        <v>54300</v>
      </c>
      <c r="AN83">
        <v>52180</v>
      </c>
      <c r="AO83">
        <v>52180</v>
      </c>
      <c r="AP83">
        <v>53516</v>
      </c>
      <c r="AQ83">
        <v>55812</v>
      </c>
      <c r="AR83">
        <v>58282</v>
      </c>
      <c r="AS83">
        <v>61020</v>
      </c>
      <c r="AT83">
        <v>61020</v>
      </c>
      <c r="AU83">
        <v>66680</v>
      </c>
      <c r="AV83">
        <v>69343</v>
      </c>
      <c r="AW83">
        <v>70580</v>
      </c>
      <c r="AX83">
        <v>74825</v>
      </c>
      <c r="AY83">
        <v>74825</v>
      </c>
      <c r="AZ83">
        <v>76319</v>
      </c>
      <c r="BA83">
        <v>47232</v>
      </c>
      <c r="BB83">
        <v>47373</v>
      </c>
      <c r="BC83">
        <v>48115</v>
      </c>
      <c r="BD83">
        <v>48115</v>
      </c>
      <c r="BE83">
        <v>48327</v>
      </c>
      <c r="BF83">
        <v>44208</v>
      </c>
      <c r="BG83">
        <v>42038</v>
      </c>
      <c r="BH83">
        <v>40104</v>
      </c>
      <c r="BI83">
        <v>40104</v>
      </c>
      <c r="BJ83">
        <v>36101</v>
      </c>
      <c r="BK83">
        <v>36634</v>
      </c>
      <c r="BL83">
        <v>34973</v>
      </c>
      <c r="BM83">
        <v>31097</v>
      </c>
      <c r="BN83">
        <v>31097</v>
      </c>
      <c r="BO83">
        <v>32135</v>
      </c>
      <c r="BP83">
        <v>34431</v>
      </c>
      <c r="BQ83">
        <v>37554</v>
      </c>
      <c r="BR83">
        <v>36286</v>
      </c>
      <c r="BS83">
        <v>36286</v>
      </c>
      <c r="BT83">
        <v>33594</v>
      </c>
      <c r="BU83">
        <v>34478</v>
      </c>
      <c r="BV83">
        <v>36943</v>
      </c>
      <c r="BW83">
        <v>39558</v>
      </c>
      <c r="BX83">
        <v>39558</v>
      </c>
      <c r="BY83">
        <v>41212</v>
      </c>
      <c r="BZ83">
        <v>44283</v>
      </c>
      <c r="CA83">
        <v>45710</v>
      </c>
      <c r="CB83">
        <v>46175</v>
      </c>
      <c r="CC83">
        <v>46175</v>
      </c>
      <c r="CD83">
        <v>46942</v>
      </c>
      <c r="CE83">
        <v>48481</v>
      </c>
      <c r="CF83">
        <v>53452</v>
      </c>
      <c r="CG83">
        <v>57083</v>
      </c>
      <c r="CH83">
        <v>57083</v>
      </c>
      <c r="CI83">
        <v>59391</v>
      </c>
      <c r="CJ83">
        <v>64121</v>
      </c>
      <c r="CK83">
        <v>68659</v>
      </c>
      <c r="CL83">
        <v>66363</v>
      </c>
      <c r="CM83">
        <v>66363</v>
      </c>
      <c r="CN83">
        <v>68836</v>
      </c>
      <c r="CO83">
        <v>72576</v>
      </c>
      <c r="CP83">
        <v>76688</v>
      </c>
      <c r="CQ83">
        <v>78944</v>
      </c>
      <c r="CR83">
        <v>78944</v>
      </c>
      <c r="CS83">
        <v>81641</v>
      </c>
      <c r="CT83">
        <v>85100</v>
      </c>
      <c r="CU83">
        <v>87424</v>
      </c>
      <c r="CV83">
        <v>89784</v>
      </c>
      <c r="CW83">
        <v>89784</v>
      </c>
      <c r="CX83">
        <v>90170</v>
      </c>
      <c r="CY83">
        <v>91879</v>
      </c>
      <c r="CZ83">
        <v>90132</v>
      </c>
      <c r="DA83">
        <v>80083</v>
      </c>
      <c r="DB83">
        <v>80083</v>
      </c>
      <c r="DC83">
        <v>77445</v>
      </c>
      <c r="DD83">
        <v>76780</v>
      </c>
      <c r="DE83">
        <v>74806</v>
      </c>
      <c r="DF83">
        <v>71997</v>
      </c>
      <c r="DG83">
        <v>71997</v>
      </c>
      <c r="DH83">
        <v>82462</v>
      </c>
      <c r="DI83">
        <v>81829</v>
      </c>
      <c r="DJ83">
        <v>83491</v>
      </c>
      <c r="DK83">
        <v>87711</v>
      </c>
      <c r="DL83">
        <v>87711</v>
      </c>
      <c r="DM83">
        <v>89647</v>
      </c>
      <c r="DN83">
        <v>78360</v>
      </c>
      <c r="DO83">
        <v>79239</v>
      </c>
      <c r="DP83">
        <v>82718</v>
      </c>
      <c r="DQ83">
        <v>82718</v>
      </c>
      <c r="DR83">
        <v>85967</v>
      </c>
      <c r="DS83">
        <v>92128</v>
      </c>
      <c r="DT83">
        <v>94864</v>
      </c>
      <c r="DU83">
        <v>102330</v>
      </c>
      <c r="DV83">
        <v>102330</v>
      </c>
      <c r="DW83">
        <v>106061</v>
      </c>
      <c r="DX83">
        <v>110109</v>
      </c>
      <c r="DY83">
        <v>114501</v>
      </c>
      <c r="DZ83">
        <v>118304</v>
      </c>
      <c r="EA83">
        <v>118304</v>
      </c>
      <c r="EB83">
        <v>123392</v>
      </c>
      <c r="EC83">
        <v>130236</v>
      </c>
      <c r="ED83">
        <v>134505</v>
      </c>
      <c r="EE83">
        <v>141988</v>
      </c>
      <c r="EF83">
        <v>141988</v>
      </c>
      <c r="EG83">
        <v>151978</v>
      </c>
      <c r="EH83">
        <v>160010</v>
      </c>
      <c r="EI83">
        <v>162924</v>
      </c>
      <c r="EJ83">
        <v>166542</v>
      </c>
      <c r="EK83">
        <v>166542</v>
      </c>
      <c r="EL83">
        <v>173566</v>
      </c>
      <c r="EM83">
        <v>183136</v>
      </c>
      <c r="EN83">
        <v>194683</v>
      </c>
      <c r="EO83">
        <v>206223</v>
      </c>
      <c r="EP83">
        <v>206223</v>
      </c>
      <c r="EQ83">
        <v>220714</v>
      </c>
      <c r="ER83">
        <v>238268</v>
      </c>
      <c r="ES83">
        <v>253152</v>
      </c>
      <c r="ET83">
        <v>268477</v>
      </c>
      <c r="EU83">
        <v>268477</v>
      </c>
      <c r="EV83">
        <v>287723</v>
      </c>
      <c r="EW83">
        <v>302695</v>
      </c>
      <c r="EX83">
        <v>321891</v>
      </c>
      <c r="EY83">
        <v>339436.95177747199</v>
      </c>
      <c r="EZ83">
        <v>339436.95177747199</v>
      </c>
      <c r="FA83">
        <v>359630.37488392898</v>
      </c>
      <c r="FB83">
        <v>380633.506261973</v>
      </c>
      <c r="FC83">
        <v>402153.10502385302</v>
      </c>
      <c r="FD83">
        <v>425215.14146285498</v>
      </c>
      <c r="FE83">
        <v>425215.14146285498</v>
      </c>
      <c r="FF83">
        <v>450207.44148410199</v>
      </c>
      <c r="FG83">
        <v>476057.94759226101</v>
      </c>
      <c r="FH83">
        <v>502451.96254645498</v>
      </c>
      <c r="FI83">
        <v>530757.70700199204</v>
      </c>
      <c r="FJ83">
        <v>530757.70700199204</v>
      </c>
      <c r="FK83">
        <v>560196.95700997999</v>
      </c>
      <c r="FL83">
        <v>590642.61345440603</v>
      </c>
      <c r="FM83">
        <v>621755.26324140397</v>
      </c>
      <c r="FN83">
        <v>655220.84456160001</v>
      </c>
      <c r="FO83">
        <v>655220.84456160001</v>
      </c>
    </row>
    <row r="84" spans="1:171">
      <c r="B84" t="s">
        <v>738</v>
      </c>
      <c r="C84" t="s">
        <v>739</v>
      </c>
      <c r="D84" t="s">
        <v>379</v>
      </c>
      <c r="F84">
        <v>7210</v>
      </c>
      <c r="G84">
        <v>8160</v>
      </c>
      <c r="H84">
        <v>9106</v>
      </c>
      <c r="I84">
        <v>9590</v>
      </c>
      <c r="J84">
        <v>10093</v>
      </c>
      <c r="K84">
        <v>10093</v>
      </c>
      <c r="L84">
        <v>10740</v>
      </c>
      <c r="M84">
        <v>12786</v>
      </c>
      <c r="N84">
        <v>12613</v>
      </c>
      <c r="O84">
        <v>14387</v>
      </c>
      <c r="P84">
        <v>14387</v>
      </c>
      <c r="Q84">
        <v>15366</v>
      </c>
      <c r="R84">
        <v>16840</v>
      </c>
      <c r="S84">
        <v>19545</v>
      </c>
      <c r="T84">
        <v>22357</v>
      </c>
      <c r="U84">
        <v>22357</v>
      </c>
      <c r="V84">
        <v>25569</v>
      </c>
      <c r="W84">
        <v>30049</v>
      </c>
      <c r="X84">
        <v>33561</v>
      </c>
      <c r="Y84">
        <v>37156</v>
      </c>
      <c r="Z84">
        <v>37156</v>
      </c>
      <c r="AA84">
        <v>39672</v>
      </c>
      <c r="AB84">
        <v>45093</v>
      </c>
      <c r="AC84">
        <v>50895</v>
      </c>
      <c r="AD84">
        <v>50442</v>
      </c>
      <c r="AE84">
        <v>50442</v>
      </c>
      <c r="AF84">
        <v>56089</v>
      </c>
      <c r="AG84">
        <v>57691</v>
      </c>
      <c r="AH84">
        <v>59605</v>
      </c>
      <c r="AI84">
        <v>59257</v>
      </c>
      <c r="AJ84">
        <v>59257</v>
      </c>
      <c r="AK84">
        <v>61367</v>
      </c>
      <c r="AL84">
        <v>65387</v>
      </c>
      <c r="AM84">
        <v>68379</v>
      </c>
      <c r="AN84">
        <v>67646</v>
      </c>
      <c r="AO84">
        <v>67646</v>
      </c>
      <c r="AP84">
        <v>70235</v>
      </c>
      <c r="AQ84">
        <v>72359</v>
      </c>
      <c r="AR84">
        <v>74482</v>
      </c>
      <c r="AS84">
        <v>79571</v>
      </c>
      <c r="AT84">
        <v>79571</v>
      </c>
      <c r="AU84">
        <v>84281</v>
      </c>
      <c r="AV84">
        <v>85937</v>
      </c>
      <c r="AW84">
        <v>89767</v>
      </c>
      <c r="AX84">
        <v>94368</v>
      </c>
      <c r="AY84">
        <v>94368</v>
      </c>
      <c r="AZ84">
        <v>94268</v>
      </c>
      <c r="BA84">
        <v>64941</v>
      </c>
      <c r="BB84">
        <v>66275</v>
      </c>
      <c r="BC84">
        <v>70815</v>
      </c>
      <c r="BD84">
        <v>70815</v>
      </c>
      <c r="BE84">
        <v>71462</v>
      </c>
      <c r="BF84">
        <v>67257</v>
      </c>
      <c r="BG84">
        <v>66854</v>
      </c>
      <c r="BH84">
        <v>69597</v>
      </c>
      <c r="BI84">
        <v>69597</v>
      </c>
      <c r="BJ84">
        <v>65354</v>
      </c>
      <c r="BK84">
        <v>66371</v>
      </c>
      <c r="BL84">
        <v>63891</v>
      </c>
      <c r="BM84">
        <v>63171</v>
      </c>
      <c r="BN84">
        <v>63171</v>
      </c>
      <c r="BO84">
        <v>65645</v>
      </c>
      <c r="BP84">
        <v>67339</v>
      </c>
      <c r="BQ84">
        <v>70747</v>
      </c>
      <c r="BR84">
        <v>72793</v>
      </c>
      <c r="BS84">
        <v>72793</v>
      </c>
      <c r="BT84">
        <v>65117</v>
      </c>
      <c r="BU84">
        <v>65786</v>
      </c>
      <c r="BV84">
        <v>68853</v>
      </c>
      <c r="BW84">
        <v>77888</v>
      </c>
      <c r="BX84">
        <v>77888</v>
      </c>
      <c r="BY84">
        <v>81612</v>
      </c>
      <c r="BZ84">
        <v>82096</v>
      </c>
      <c r="CA84">
        <v>84910</v>
      </c>
      <c r="CB84">
        <v>86113</v>
      </c>
      <c r="CC84">
        <v>86113</v>
      </c>
      <c r="CD84">
        <v>91540</v>
      </c>
      <c r="CE84">
        <v>92306</v>
      </c>
      <c r="CF84">
        <v>99727</v>
      </c>
      <c r="CG84">
        <v>108704</v>
      </c>
      <c r="CH84">
        <v>108704</v>
      </c>
      <c r="CI84">
        <v>107415</v>
      </c>
      <c r="CJ84">
        <v>112243</v>
      </c>
      <c r="CK84">
        <v>118010</v>
      </c>
      <c r="CL84">
        <v>121271</v>
      </c>
      <c r="CM84">
        <v>121271</v>
      </c>
      <c r="CN84">
        <v>121876</v>
      </c>
      <c r="CO84">
        <v>128683</v>
      </c>
      <c r="CP84">
        <v>134105</v>
      </c>
      <c r="CQ84">
        <v>142431</v>
      </c>
      <c r="CR84">
        <v>142431</v>
      </c>
      <c r="CS84">
        <v>142348</v>
      </c>
      <c r="CT84">
        <v>153543</v>
      </c>
      <c r="CU84">
        <v>156119</v>
      </c>
      <c r="CV84">
        <v>172384</v>
      </c>
      <c r="CW84">
        <v>172384</v>
      </c>
      <c r="CX84">
        <v>169656</v>
      </c>
      <c r="CY84">
        <v>174848</v>
      </c>
      <c r="CZ84">
        <v>176683</v>
      </c>
      <c r="DA84">
        <v>176223</v>
      </c>
      <c r="DB84">
        <v>176223</v>
      </c>
      <c r="DC84">
        <v>172896</v>
      </c>
      <c r="DD84">
        <v>180098</v>
      </c>
      <c r="DE84">
        <v>181869</v>
      </c>
      <c r="DF84">
        <v>193694</v>
      </c>
      <c r="DG84">
        <v>193694</v>
      </c>
      <c r="DH84">
        <v>222008</v>
      </c>
      <c r="DI84">
        <v>235298</v>
      </c>
      <c r="DJ84">
        <v>236016</v>
      </c>
      <c r="DK84">
        <v>250312</v>
      </c>
      <c r="DL84">
        <v>250312</v>
      </c>
      <c r="DM84">
        <v>249097</v>
      </c>
      <c r="DN84">
        <v>256003</v>
      </c>
      <c r="DO84">
        <v>245497</v>
      </c>
      <c r="DP84">
        <v>258848</v>
      </c>
      <c r="DQ84">
        <v>258848</v>
      </c>
      <c r="DR84">
        <v>257619</v>
      </c>
      <c r="DS84">
        <v>258859</v>
      </c>
      <c r="DT84">
        <v>263281</v>
      </c>
      <c r="DU84">
        <v>286556</v>
      </c>
      <c r="DV84">
        <v>286556</v>
      </c>
      <c r="DW84">
        <v>278955</v>
      </c>
      <c r="DX84">
        <v>282794</v>
      </c>
      <c r="DY84">
        <v>285449</v>
      </c>
      <c r="DZ84">
        <v>301311</v>
      </c>
      <c r="EA84">
        <v>301311</v>
      </c>
      <c r="EB84">
        <v>301001</v>
      </c>
      <c r="EC84">
        <v>304137</v>
      </c>
      <c r="ED84">
        <v>308879</v>
      </c>
      <c r="EE84">
        <v>333779</v>
      </c>
      <c r="EF84">
        <v>333779</v>
      </c>
      <c r="EG84">
        <v>335418</v>
      </c>
      <c r="EH84">
        <v>340389</v>
      </c>
      <c r="EI84">
        <v>344607</v>
      </c>
      <c r="EJ84">
        <v>364840</v>
      </c>
      <c r="EK84">
        <v>364840</v>
      </c>
      <c r="EL84">
        <v>359784</v>
      </c>
      <c r="EM84">
        <v>364552</v>
      </c>
      <c r="EN84">
        <v>380088</v>
      </c>
      <c r="EO84">
        <v>411976</v>
      </c>
      <c r="EP84">
        <v>411976</v>
      </c>
      <c r="EQ84">
        <v>445785</v>
      </c>
      <c r="ER84">
        <v>470558</v>
      </c>
      <c r="ES84">
        <v>484275</v>
      </c>
      <c r="ET84">
        <v>512163</v>
      </c>
      <c r="EU84">
        <v>512163</v>
      </c>
      <c r="EV84">
        <v>523013</v>
      </c>
      <c r="EW84">
        <v>533898</v>
      </c>
      <c r="EX84">
        <v>562624</v>
      </c>
      <c r="EY84">
        <v>603261.84199739306</v>
      </c>
      <c r="EZ84">
        <v>603261.84199739306</v>
      </c>
      <c r="FA84">
        <v>614521.739790697</v>
      </c>
      <c r="FB84">
        <v>629483.95858501201</v>
      </c>
      <c r="FC84">
        <v>652515.515914483</v>
      </c>
      <c r="FD84">
        <v>699905.64505716402</v>
      </c>
      <c r="FE84">
        <v>699905.64505716402</v>
      </c>
      <c r="FF84">
        <v>715366.58269748103</v>
      </c>
      <c r="FG84">
        <v>734073.31697183102</v>
      </c>
      <c r="FH84">
        <v>762389.07887168799</v>
      </c>
      <c r="FI84">
        <v>817435.12945429003</v>
      </c>
      <c r="FJ84">
        <v>817435.12945429003</v>
      </c>
      <c r="FK84">
        <v>837673.25677917898</v>
      </c>
      <c r="FL84">
        <v>859806.32009225595</v>
      </c>
      <c r="FM84">
        <v>892857.59404440899</v>
      </c>
      <c r="FN84">
        <v>956220.55955167802</v>
      </c>
      <c r="FO84">
        <v>956220.55955167802</v>
      </c>
    </row>
    <row r="85" spans="1:171">
      <c r="A85" t="s">
        <v>740</v>
      </c>
    </row>
    <row r="86" spans="1:171">
      <c r="B86" t="s">
        <v>741</v>
      </c>
      <c r="C86" t="s">
        <v>742</v>
      </c>
    </row>
    <row r="87" spans="1:171">
      <c r="B87" t="s">
        <v>743</v>
      </c>
      <c r="C87" t="s">
        <v>744</v>
      </c>
    </row>
    <row r="88" spans="1:171">
      <c r="B88" t="s">
        <v>745</v>
      </c>
      <c r="C88" t="s">
        <v>746</v>
      </c>
    </row>
    <row r="89" spans="1:171">
      <c r="B89" t="s">
        <v>747</v>
      </c>
      <c r="C89" t="s">
        <v>748</v>
      </c>
    </row>
    <row r="90" spans="1:171">
      <c r="B90" t="s">
        <v>749</v>
      </c>
      <c r="C90" t="s">
        <v>750</v>
      </c>
      <c r="D90" t="s">
        <v>379</v>
      </c>
      <c r="F90">
        <v>-4750</v>
      </c>
      <c r="G90">
        <v>-5064</v>
      </c>
      <c r="H90">
        <v>-6017</v>
      </c>
      <c r="I90">
        <v>-6770</v>
      </c>
      <c r="J90">
        <v>-6940</v>
      </c>
      <c r="K90">
        <v>-6940</v>
      </c>
      <c r="L90">
        <v>-7098</v>
      </c>
      <c r="M90">
        <v>-9160</v>
      </c>
      <c r="N90">
        <v>-9086</v>
      </c>
      <c r="O90">
        <v>-8966</v>
      </c>
      <c r="P90">
        <v>-8966</v>
      </c>
      <c r="Q90">
        <v>-9634</v>
      </c>
      <c r="R90">
        <v>-10105</v>
      </c>
      <c r="S90">
        <v>-12322</v>
      </c>
      <c r="T90">
        <v>-13927</v>
      </c>
      <c r="U90">
        <v>-13927</v>
      </c>
      <c r="V90">
        <v>-17242</v>
      </c>
      <c r="W90">
        <v>-19237</v>
      </c>
      <c r="X90">
        <v>-21761</v>
      </c>
      <c r="Y90">
        <v>-17236</v>
      </c>
      <c r="Z90">
        <v>-17236</v>
      </c>
      <c r="AA90">
        <v>-18902</v>
      </c>
      <c r="AB90">
        <v>-17843</v>
      </c>
      <c r="AC90">
        <v>-21205</v>
      </c>
      <c r="AD90">
        <v>-23798</v>
      </c>
      <c r="AE90">
        <v>-23798</v>
      </c>
      <c r="AF90">
        <v>-24711</v>
      </c>
      <c r="AG90">
        <v>-26889</v>
      </c>
      <c r="AH90">
        <v>-30018</v>
      </c>
      <c r="AI90">
        <v>-31600</v>
      </c>
      <c r="AJ90">
        <v>-31600</v>
      </c>
      <c r="AK90">
        <v>-36163</v>
      </c>
      <c r="AL90">
        <v>-38229</v>
      </c>
      <c r="AM90">
        <v>-38693</v>
      </c>
      <c r="AN90">
        <v>-38652</v>
      </c>
      <c r="AO90">
        <v>-38652</v>
      </c>
      <c r="AP90">
        <v>-40475</v>
      </c>
      <c r="AQ90">
        <v>-43424</v>
      </c>
      <c r="AR90">
        <v>-46178</v>
      </c>
      <c r="AS90">
        <v>-49048</v>
      </c>
      <c r="AT90">
        <v>-49048</v>
      </c>
      <c r="AU90">
        <v>-51622</v>
      </c>
      <c r="AV90">
        <v>-52777</v>
      </c>
      <c r="AW90">
        <v>-56407</v>
      </c>
      <c r="AX90">
        <v>-60592</v>
      </c>
      <c r="AY90">
        <v>-60592</v>
      </c>
      <c r="AZ90">
        <v>-64415</v>
      </c>
      <c r="BA90">
        <v>-34504</v>
      </c>
      <c r="BB90">
        <v>-37594</v>
      </c>
      <c r="BC90">
        <v>-37751</v>
      </c>
      <c r="BD90">
        <v>-37751</v>
      </c>
      <c r="BE90">
        <v>-40056</v>
      </c>
      <c r="BF90">
        <v>-34701</v>
      </c>
      <c r="BG90">
        <v>-34816</v>
      </c>
      <c r="BH90">
        <v>-34161</v>
      </c>
      <c r="BI90">
        <v>-34161</v>
      </c>
      <c r="BJ90">
        <v>-31832</v>
      </c>
      <c r="BK90">
        <v>-28873</v>
      </c>
      <c r="BL90">
        <v>-28236</v>
      </c>
      <c r="BM90">
        <v>-23411</v>
      </c>
      <c r="BN90">
        <v>-23411</v>
      </c>
      <c r="BO90">
        <v>-21574</v>
      </c>
      <c r="BP90">
        <v>-21076</v>
      </c>
      <c r="BQ90">
        <v>-26341</v>
      </c>
      <c r="BR90">
        <v>-23662</v>
      </c>
      <c r="BS90">
        <v>-23662</v>
      </c>
      <c r="BT90">
        <v>-18747</v>
      </c>
      <c r="BU90">
        <v>-18715</v>
      </c>
      <c r="BV90">
        <v>-23341</v>
      </c>
      <c r="BW90">
        <v>-25701</v>
      </c>
      <c r="BX90">
        <v>-25701</v>
      </c>
      <c r="BY90">
        <v>-30732</v>
      </c>
      <c r="BZ90">
        <v>-30104</v>
      </c>
      <c r="CA90">
        <v>-33671</v>
      </c>
      <c r="CB90">
        <v>-30849</v>
      </c>
      <c r="CC90">
        <v>-30849</v>
      </c>
      <c r="CD90">
        <v>-33508</v>
      </c>
      <c r="CE90">
        <v>-31581</v>
      </c>
      <c r="CF90">
        <v>-38235</v>
      </c>
      <c r="CG90">
        <v>-40851</v>
      </c>
      <c r="CH90">
        <v>-40851</v>
      </c>
      <c r="CI90">
        <v>-45476</v>
      </c>
      <c r="CJ90">
        <v>-39804</v>
      </c>
      <c r="CK90">
        <v>-47591</v>
      </c>
      <c r="CL90">
        <v>-51096</v>
      </c>
      <c r="CM90">
        <v>-51096</v>
      </c>
      <c r="CN90">
        <v>-54694</v>
      </c>
      <c r="CO90">
        <v>-54124</v>
      </c>
      <c r="CP90">
        <v>-60288</v>
      </c>
      <c r="CQ90">
        <v>-61422</v>
      </c>
      <c r="CR90">
        <v>-61422</v>
      </c>
      <c r="CS90">
        <v>-64740</v>
      </c>
      <c r="CT90">
        <v>-60968</v>
      </c>
      <c r="CU90">
        <v>-65746</v>
      </c>
      <c r="CV90">
        <v>-63064</v>
      </c>
      <c r="CW90">
        <v>-63064</v>
      </c>
      <c r="CX90">
        <v>-65473</v>
      </c>
      <c r="CY90">
        <v>-61941</v>
      </c>
      <c r="CZ90">
        <v>-63570</v>
      </c>
      <c r="DA90">
        <v>-61234</v>
      </c>
      <c r="DB90">
        <v>-61234</v>
      </c>
      <c r="DC90">
        <v>-60788</v>
      </c>
      <c r="DD90">
        <v>-58211</v>
      </c>
      <c r="DE90">
        <v>-59158</v>
      </c>
      <c r="DF90">
        <v>-59553</v>
      </c>
      <c r="DG90">
        <v>-59553</v>
      </c>
      <c r="DH90">
        <v>-62242</v>
      </c>
      <c r="DI90">
        <v>-37811</v>
      </c>
      <c r="DJ90">
        <v>-42010</v>
      </c>
      <c r="DK90">
        <v>-46787</v>
      </c>
      <c r="DL90">
        <v>-46787</v>
      </c>
      <c r="DM90">
        <v>-52996</v>
      </c>
      <c r="DN90">
        <v>-53520</v>
      </c>
      <c r="DO90">
        <v>-55113</v>
      </c>
      <c r="DP90">
        <v>-57528</v>
      </c>
      <c r="DQ90">
        <v>-57528</v>
      </c>
      <c r="DR90">
        <v>-59650</v>
      </c>
      <c r="DS90">
        <v>-54493</v>
      </c>
      <c r="DT90">
        <v>-58518</v>
      </c>
      <c r="DU90">
        <v>-61641</v>
      </c>
      <c r="DV90">
        <v>-61641</v>
      </c>
      <c r="DW90">
        <v>-67141</v>
      </c>
      <c r="DX90">
        <v>-64645</v>
      </c>
      <c r="DY90">
        <v>-71016</v>
      </c>
      <c r="DZ90">
        <v>-73200</v>
      </c>
      <c r="EA90">
        <v>-73200</v>
      </c>
      <c r="EB90">
        <v>-74425</v>
      </c>
      <c r="EC90">
        <v>-71445</v>
      </c>
      <c r="ED90">
        <v>-67349</v>
      </c>
      <c r="EE90">
        <v>-72188</v>
      </c>
      <c r="EF90">
        <v>-72188</v>
      </c>
      <c r="EG90">
        <v>-77327</v>
      </c>
      <c r="EH90">
        <v>-72111</v>
      </c>
      <c r="EI90">
        <v>-54767</v>
      </c>
      <c r="EJ90">
        <v>-54976</v>
      </c>
      <c r="EK90">
        <v>-54976</v>
      </c>
      <c r="EL90">
        <v>-58640</v>
      </c>
      <c r="EM90">
        <v>-51392</v>
      </c>
      <c r="EN90">
        <v>-56217</v>
      </c>
      <c r="EO90">
        <v>-64025</v>
      </c>
      <c r="EP90">
        <v>-64025</v>
      </c>
      <c r="EQ90">
        <v>-72449</v>
      </c>
      <c r="ER90">
        <v>-6798</v>
      </c>
      <c r="ES90">
        <v>-14579</v>
      </c>
      <c r="ET90">
        <v>-23913</v>
      </c>
      <c r="EU90">
        <v>-23913</v>
      </c>
      <c r="EV90">
        <v>-33311</v>
      </c>
      <c r="EW90">
        <v>-26585</v>
      </c>
      <c r="EX90">
        <v>-36737</v>
      </c>
      <c r="EY90">
        <v>-49221.044233978202</v>
      </c>
      <c r="EZ90">
        <v>-49221.044233978202</v>
      </c>
      <c r="FA90">
        <v>-58856.624224303399</v>
      </c>
      <c r="FB90">
        <v>-55112.883349047297</v>
      </c>
      <c r="FC90">
        <v>-66555.694585279198</v>
      </c>
      <c r="FD90">
        <v>-82452.9591491436</v>
      </c>
      <c r="FE90">
        <v>-82452.9591491436</v>
      </c>
      <c r="FF90">
        <v>-99694.580906133298</v>
      </c>
      <c r="FG90">
        <v>-98915.091081929495</v>
      </c>
      <c r="FH90">
        <v>-115859.401316797</v>
      </c>
      <c r="FI90">
        <v>-137825.77630831001</v>
      </c>
      <c r="FJ90">
        <v>-137825.77630831001</v>
      </c>
      <c r="FK90">
        <v>-163578.53133365099</v>
      </c>
      <c r="FL90">
        <v>-165584.451158146</v>
      </c>
      <c r="FM90">
        <v>-188614.70854580801</v>
      </c>
      <c r="FN90">
        <v>-216507.79717846101</v>
      </c>
      <c r="FO90">
        <v>-216507.79717846101</v>
      </c>
    </row>
    <row r="91" spans="1:171">
      <c r="B91" t="s">
        <v>751</v>
      </c>
      <c r="C91" t="s">
        <v>752</v>
      </c>
      <c r="D91" t="s">
        <v>379</v>
      </c>
    </row>
    <row r="92" spans="1:171">
      <c r="B92" t="s">
        <v>753</v>
      </c>
      <c r="C92" t="s">
        <v>754</v>
      </c>
      <c r="D92" t="s">
        <v>379</v>
      </c>
      <c r="F92">
        <v>0</v>
      </c>
      <c r="K92">
        <v>0</v>
      </c>
      <c r="P92">
        <v>0</v>
      </c>
      <c r="U92">
        <v>0</v>
      </c>
      <c r="Z92">
        <v>0</v>
      </c>
      <c r="AE92">
        <v>0</v>
      </c>
      <c r="AF92">
        <v>1440</v>
      </c>
      <c r="AG92">
        <v>1644</v>
      </c>
      <c r="AH92">
        <v>1775</v>
      </c>
      <c r="AI92">
        <v>836</v>
      </c>
      <c r="AJ92">
        <v>836</v>
      </c>
      <c r="AM92">
        <v>59</v>
      </c>
      <c r="AN92">
        <v>398</v>
      </c>
      <c r="AO92">
        <v>398</v>
      </c>
      <c r="AP92">
        <v>152</v>
      </c>
      <c r="AQ92">
        <v>0</v>
      </c>
      <c r="AR92">
        <v>369</v>
      </c>
      <c r="AS92">
        <v>1731</v>
      </c>
      <c r="AT92">
        <v>1731</v>
      </c>
      <c r="AU92">
        <v>0</v>
      </c>
      <c r="AV92">
        <v>0</v>
      </c>
      <c r="AW92">
        <v>0</v>
      </c>
      <c r="AX92">
        <v>0</v>
      </c>
      <c r="AY92">
        <v>0</v>
      </c>
      <c r="AZ92">
        <v>0</v>
      </c>
      <c r="BA92">
        <v>0</v>
      </c>
      <c r="BB92">
        <v>0</v>
      </c>
      <c r="BC92">
        <v>0</v>
      </c>
      <c r="BD92">
        <v>0</v>
      </c>
      <c r="BE92">
        <v>0</v>
      </c>
      <c r="BF92">
        <v>0</v>
      </c>
      <c r="BG92">
        <v>0</v>
      </c>
      <c r="BH92">
        <v>0</v>
      </c>
      <c r="BI92">
        <v>0</v>
      </c>
      <c r="BJ92">
        <v>0</v>
      </c>
      <c r="BK92">
        <v>0</v>
      </c>
      <c r="BL92">
        <v>0</v>
      </c>
      <c r="BM92">
        <v>0</v>
      </c>
      <c r="BN92">
        <v>0</v>
      </c>
      <c r="BO92">
        <v>0</v>
      </c>
      <c r="BP92">
        <v>0</v>
      </c>
      <c r="BQ92">
        <v>0</v>
      </c>
      <c r="BR92">
        <v>0</v>
      </c>
      <c r="BS92">
        <v>0</v>
      </c>
      <c r="BT92">
        <v>0</v>
      </c>
      <c r="BU92">
        <v>0</v>
      </c>
      <c r="BV92">
        <v>0</v>
      </c>
      <c r="BW92">
        <v>0</v>
      </c>
      <c r="BX92">
        <v>0</v>
      </c>
      <c r="BY92">
        <v>155</v>
      </c>
      <c r="BZ92">
        <v>377</v>
      </c>
      <c r="CA92">
        <v>828</v>
      </c>
      <c r="CB92">
        <v>229</v>
      </c>
      <c r="CC92">
        <v>229</v>
      </c>
      <c r="CD92">
        <v>540</v>
      </c>
      <c r="CE92">
        <v>826</v>
      </c>
      <c r="CF92">
        <v>1185</v>
      </c>
      <c r="CG92">
        <v>1456</v>
      </c>
      <c r="CH92">
        <v>1456</v>
      </c>
      <c r="CI92">
        <v>1040</v>
      </c>
      <c r="CJ92">
        <v>1082</v>
      </c>
      <c r="CK92">
        <v>1456</v>
      </c>
      <c r="CL92">
        <v>1893</v>
      </c>
      <c r="CM92">
        <v>1893</v>
      </c>
      <c r="CN92">
        <v>2209</v>
      </c>
      <c r="CO92">
        <v>2394</v>
      </c>
      <c r="CP92">
        <v>2424</v>
      </c>
      <c r="CQ92">
        <v>1709</v>
      </c>
      <c r="CR92">
        <v>1709</v>
      </c>
      <c r="CS92">
        <v>2236</v>
      </c>
      <c r="CT92">
        <v>2377</v>
      </c>
      <c r="CU92">
        <v>2318</v>
      </c>
      <c r="CV92">
        <v>2728</v>
      </c>
      <c r="CW92">
        <v>2728</v>
      </c>
      <c r="CX92">
        <v>2714</v>
      </c>
      <c r="CY92">
        <v>2820</v>
      </c>
      <c r="CZ92">
        <v>2919</v>
      </c>
      <c r="DA92">
        <v>2835</v>
      </c>
      <c r="DB92">
        <v>2835</v>
      </c>
      <c r="DC92">
        <v>2169</v>
      </c>
      <c r="DD92">
        <v>2194</v>
      </c>
      <c r="DE92">
        <v>2674</v>
      </c>
      <c r="DF92">
        <v>1476</v>
      </c>
      <c r="DG92">
        <v>1476</v>
      </c>
      <c r="DH92">
        <v>6929</v>
      </c>
      <c r="DI92">
        <v>7080</v>
      </c>
      <c r="DJ92">
        <v>6761</v>
      </c>
      <c r="DK92">
        <v>5734</v>
      </c>
      <c r="DL92">
        <v>5734</v>
      </c>
      <c r="DM92">
        <v>5513</v>
      </c>
      <c r="DN92">
        <v>3186</v>
      </c>
      <c r="DO92">
        <v>2417</v>
      </c>
      <c r="DP92">
        <v>541</v>
      </c>
      <c r="DQ92">
        <v>541</v>
      </c>
      <c r="DR92">
        <v>1977</v>
      </c>
      <c r="DS92">
        <v>2062</v>
      </c>
      <c r="DT92">
        <v>1838</v>
      </c>
      <c r="DU92">
        <v>233</v>
      </c>
      <c r="DV92">
        <v>233</v>
      </c>
      <c r="DW92">
        <v>234</v>
      </c>
      <c r="DX92">
        <v>222</v>
      </c>
      <c r="DY92">
        <v>185</v>
      </c>
      <c r="DZ92">
        <v>204</v>
      </c>
      <c r="EA92">
        <v>204</v>
      </c>
      <c r="EB92">
        <v>187</v>
      </c>
      <c r="EC92">
        <v>174</v>
      </c>
      <c r="ED92">
        <v>173</v>
      </c>
      <c r="EE92">
        <v>198</v>
      </c>
      <c r="EF92">
        <v>198</v>
      </c>
      <c r="EG92">
        <v>212</v>
      </c>
      <c r="EH92">
        <v>199</v>
      </c>
      <c r="EI92">
        <v>304</v>
      </c>
      <c r="EJ92">
        <v>230</v>
      </c>
      <c r="EK92">
        <v>230</v>
      </c>
      <c r="EL92">
        <v>223</v>
      </c>
      <c r="EM92">
        <v>289</v>
      </c>
      <c r="EN92">
        <v>302</v>
      </c>
      <c r="EO92">
        <v>433</v>
      </c>
      <c r="EP92">
        <v>433</v>
      </c>
      <c r="EQ92">
        <v>470</v>
      </c>
      <c r="ER92">
        <v>2548</v>
      </c>
      <c r="ES92">
        <v>2469</v>
      </c>
      <c r="ET92">
        <v>2618</v>
      </c>
      <c r="EU92">
        <v>2618</v>
      </c>
      <c r="EV92">
        <v>2581</v>
      </c>
      <c r="EW92">
        <v>2513</v>
      </c>
      <c r="EX92">
        <v>2522</v>
      </c>
      <c r="EY92">
        <v>2522</v>
      </c>
      <c r="EZ92">
        <v>2522</v>
      </c>
      <c r="FA92">
        <v>2522</v>
      </c>
      <c r="FB92">
        <v>2522</v>
      </c>
      <c r="FC92">
        <v>2522</v>
      </c>
      <c r="FD92">
        <v>2522</v>
      </c>
      <c r="FE92">
        <v>2522</v>
      </c>
      <c r="FF92">
        <v>2522</v>
      </c>
      <c r="FG92">
        <v>2522</v>
      </c>
      <c r="FH92">
        <v>2522</v>
      </c>
      <c r="FI92">
        <v>2522</v>
      </c>
      <c r="FJ92">
        <v>2522</v>
      </c>
      <c r="FK92">
        <v>2522</v>
      </c>
      <c r="FL92">
        <v>2522</v>
      </c>
      <c r="FM92">
        <v>2522</v>
      </c>
      <c r="FN92">
        <v>2522</v>
      </c>
      <c r="FO92">
        <v>2522</v>
      </c>
    </row>
    <row r="93" spans="1:171">
      <c r="B93" t="s">
        <v>755</v>
      </c>
      <c r="C93" t="s">
        <v>756</v>
      </c>
      <c r="D93" t="s">
        <v>379</v>
      </c>
    </row>
    <row r="94" spans="1:171">
      <c r="B94" t="s">
        <v>757</v>
      </c>
      <c r="C94" t="s">
        <v>758</v>
      </c>
      <c r="D94" t="s">
        <v>379</v>
      </c>
    </row>
    <row r="95" spans="1:171">
      <c r="B95" t="s">
        <v>759</v>
      </c>
      <c r="C95" t="s">
        <v>760</v>
      </c>
      <c r="D95" t="s">
        <v>379</v>
      </c>
      <c r="F95">
        <v>-2788</v>
      </c>
      <c r="G95">
        <v>-3158</v>
      </c>
      <c r="H95">
        <v>-3694</v>
      </c>
      <c r="I95">
        <v>-3833</v>
      </c>
      <c r="J95">
        <v>-4339</v>
      </c>
      <c r="K95">
        <v>-4339</v>
      </c>
      <c r="L95">
        <v>-4080</v>
      </c>
      <c r="M95">
        <v>-6064</v>
      </c>
      <c r="N95">
        <v>-5234</v>
      </c>
      <c r="O95">
        <v>-5260</v>
      </c>
      <c r="P95">
        <v>-5260</v>
      </c>
      <c r="Q95">
        <v>-5689</v>
      </c>
      <c r="R95">
        <v>-7523</v>
      </c>
      <c r="S95">
        <v>-8212</v>
      </c>
      <c r="T95">
        <v>-10088</v>
      </c>
      <c r="U95">
        <v>-10088</v>
      </c>
      <c r="V95">
        <v>-12051</v>
      </c>
      <c r="W95">
        <v>-13124</v>
      </c>
      <c r="X95">
        <v>-15558</v>
      </c>
      <c r="Y95">
        <v>-12261</v>
      </c>
      <c r="Z95">
        <v>-12261</v>
      </c>
      <c r="AA95">
        <v>-14113</v>
      </c>
      <c r="AB95">
        <v>-12811</v>
      </c>
      <c r="AC95">
        <v>-16013</v>
      </c>
      <c r="AD95">
        <v>-18952</v>
      </c>
      <c r="AE95">
        <v>-18952</v>
      </c>
      <c r="AF95">
        <v>-22070</v>
      </c>
      <c r="AG95">
        <v>-23358</v>
      </c>
      <c r="AH95">
        <v>-25869</v>
      </c>
      <c r="AI95">
        <v>-27678</v>
      </c>
      <c r="AJ95">
        <v>-27678</v>
      </c>
      <c r="AK95">
        <v>-33050</v>
      </c>
      <c r="AL95">
        <v>-32973</v>
      </c>
      <c r="AM95">
        <v>-33577</v>
      </c>
      <c r="AN95">
        <v>-35636</v>
      </c>
      <c r="AO95">
        <v>-35636</v>
      </c>
      <c r="AP95">
        <v>-35137</v>
      </c>
      <c r="AQ95">
        <v>-37872</v>
      </c>
      <c r="AR95">
        <v>-41878</v>
      </c>
      <c r="AS95">
        <v>-42610</v>
      </c>
      <c r="AT95">
        <v>-42610</v>
      </c>
      <c r="AU95">
        <v>-45854</v>
      </c>
      <c r="AV95">
        <v>-46628</v>
      </c>
      <c r="AW95">
        <v>-47059</v>
      </c>
      <c r="AX95">
        <v>-44610</v>
      </c>
      <c r="AY95">
        <v>-44610</v>
      </c>
      <c r="AZ95">
        <v>-53274</v>
      </c>
      <c r="BA95">
        <v>-29948</v>
      </c>
      <c r="BB95">
        <v>-33812</v>
      </c>
      <c r="BC95">
        <v>-32900</v>
      </c>
      <c r="BD95">
        <v>-32900</v>
      </c>
      <c r="BE95">
        <v>-37082</v>
      </c>
      <c r="BF95">
        <v>-30618</v>
      </c>
      <c r="BG95">
        <v>-30465</v>
      </c>
      <c r="BH95">
        <v>-27447</v>
      </c>
      <c r="BI95">
        <v>-27447</v>
      </c>
      <c r="BJ95">
        <v>-22756</v>
      </c>
      <c r="BK95">
        <v>-22014</v>
      </c>
      <c r="BL95">
        <v>-20625</v>
      </c>
      <c r="BM95">
        <v>-17300</v>
      </c>
      <c r="BN95">
        <v>-17300</v>
      </c>
      <c r="BO95">
        <v>-14937</v>
      </c>
      <c r="BP95">
        <v>-13616</v>
      </c>
      <c r="BQ95">
        <v>-14521</v>
      </c>
      <c r="BR95">
        <v>-13323</v>
      </c>
      <c r="BS95">
        <v>-13323</v>
      </c>
      <c r="BT95">
        <v>-11718</v>
      </c>
      <c r="BU95">
        <v>-12369</v>
      </c>
      <c r="BV95">
        <v>-18055</v>
      </c>
      <c r="BW95">
        <v>-25371</v>
      </c>
      <c r="BX95">
        <v>-25371</v>
      </c>
      <c r="BY95">
        <v>-27905</v>
      </c>
      <c r="BZ95">
        <v>-26677</v>
      </c>
      <c r="CA95">
        <v>-31511</v>
      </c>
      <c r="CB95">
        <v>-31283</v>
      </c>
      <c r="CC95">
        <v>-31283</v>
      </c>
      <c r="CD95">
        <v>-36012</v>
      </c>
      <c r="CE95">
        <v>-37229</v>
      </c>
      <c r="CF95">
        <v>-43129</v>
      </c>
      <c r="CG95">
        <v>-43162</v>
      </c>
      <c r="CH95">
        <v>-43162</v>
      </c>
      <c r="CI95">
        <v>-44522</v>
      </c>
      <c r="CJ95">
        <v>-41126</v>
      </c>
      <c r="CK95">
        <v>-53141</v>
      </c>
      <c r="CL95">
        <v>-56102</v>
      </c>
      <c r="CM95">
        <v>-56102</v>
      </c>
      <c r="CN95">
        <v>-61608</v>
      </c>
      <c r="CO95">
        <v>-62295</v>
      </c>
      <c r="CP95">
        <v>-69243</v>
      </c>
      <c r="CQ95">
        <v>-73218</v>
      </c>
      <c r="CR95">
        <v>-73218</v>
      </c>
      <c r="CS95">
        <v>-76649</v>
      </c>
      <c r="CT95">
        <v>-73885</v>
      </c>
      <c r="CU95">
        <v>-76853</v>
      </c>
      <c r="CV95">
        <v>-77040</v>
      </c>
      <c r="CW95">
        <v>-77040</v>
      </c>
      <c r="CX95">
        <v>-82891</v>
      </c>
      <c r="CY95">
        <v>-83823</v>
      </c>
      <c r="CZ95">
        <v>-88024</v>
      </c>
      <c r="DA95">
        <v>-90931</v>
      </c>
      <c r="DB95">
        <v>-90931</v>
      </c>
      <c r="DC95">
        <v>-93924</v>
      </c>
      <c r="DD95">
        <v>-95455</v>
      </c>
      <c r="DE95">
        <v>-98382</v>
      </c>
      <c r="DF95">
        <v>-106730</v>
      </c>
      <c r="DG95">
        <v>-106730</v>
      </c>
      <c r="DH95">
        <v>-123004</v>
      </c>
      <c r="DI95">
        <v>-114313</v>
      </c>
      <c r="DJ95">
        <v>-119305</v>
      </c>
      <c r="DK95">
        <v>-125318</v>
      </c>
      <c r="DL95">
        <v>-125318</v>
      </c>
      <c r="DM95">
        <v>-131587</v>
      </c>
      <c r="DN95">
        <v>-129921</v>
      </c>
      <c r="DO95">
        <v>-123049</v>
      </c>
      <c r="DP95">
        <v>-121822</v>
      </c>
      <c r="DQ95">
        <v>-121822</v>
      </c>
      <c r="DR95">
        <v>-120743</v>
      </c>
      <c r="DS95">
        <v>-121024</v>
      </c>
      <c r="DT95">
        <v>-120406</v>
      </c>
      <c r="DU95">
        <v>-122463</v>
      </c>
      <c r="DV95">
        <v>-122463</v>
      </c>
      <c r="DW95">
        <v>-123519</v>
      </c>
      <c r="DX95">
        <v>-125389</v>
      </c>
      <c r="DY95">
        <v>-125916</v>
      </c>
      <c r="DZ95">
        <v>-122951</v>
      </c>
      <c r="EA95">
        <v>-122951</v>
      </c>
      <c r="EB95">
        <v>-120772</v>
      </c>
      <c r="EC95">
        <v>-117536</v>
      </c>
      <c r="ED95">
        <v>-111705</v>
      </c>
      <c r="EE95">
        <v>-116110</v>
      </c>
      <c r="EF95">
        <v>-116110</v>
      </c>
      <c r="EG95">
        <v>-111450</v>
      </c>
      <c r="EH95">
        <v>-104765</v>
      </c>
      <c r="EI95">
        <v>-92195</v>
      </c>
      <c r="EJ95">
        <v>-90826</v>
      </c>
      <c r="EK95">
        <v>-90826</v>
      </c>
      <c r="EL95">
        <v>-84378</v>
      </c>
      <c r="EM95">
        <v>-83862</v>
      </c>
      <c r="EN95">
        <v>-77865</v>
      </c>
      <c r="EO95">
        <v>-76558</v>
      </c>
      <c r="EP95">
        <v>-76558</v>
      </c>
      <c r="EQ95">
        <v>-63499</v>
      </c>
      <c r="ER95">
        <v>-63712</v>
      </c>
      <c r="ES95">
        <v>-60387</v>
      </c>
      <c r="ET95">
        <v>-57228</v>
      </c>
      <c r="EU95">
        <v>-57228</v>
      </c>
      <c r="EV95">
        <v>-57588</v>
      </c>
      <c r="EW95">
        <v>-54073</v>
      </c>
      <c r="EX95">
        <v>-50790</v>
      </c>
      <c r="EY95">
        <v>-50790</v>
      </c>
      <c r="EZ95">
        <v>-50790</v>
      </c>
      <c r="FA95">
        <v>-50790</v>
      </c>
      <c r="FB95">
        <v>-50790</v>
      </c>
      <c r="FC95">
        <v>-50790</v>
      </c>
      <c r="FD95">
        <v>-50790</v>
      </c>
      <c r="FE95">
        <v>-50790</v>
      </c>
      <c r="FF95">
        <v>-50790</v>
      </c>
      <c r="FG95">
        <v>-50790</v>
      </c>
      <c r="FH95">
        <v>-50790</v>
      </c>
      <c r="FI95">
        <v>-50790</v>
      </c>
      <c r="FJ95">
        <v>-50790</v>
      </c>
      <c r="FK95">
        <v>-50790</v>
      </c>
      <c r="FL95">
        <v>-50790</v>
      </c>
      <c r="FM95">
        <v>-50790</v>
      </c>
      <c r="FN95">
        <v>-50790</v>
      </c>
      <c r="FO95">
        <v>-50790</v>
      </c>
    </row>
    <row r="96" spans="1:171">
      <c r="B96" t="s">
        <v>761</v>
      </c>
      <c r="C96" t="s">
        <v>762</v>
      </c>
    </row>
    <row r="97" spans="1:171">
      <c r="B97" t="s">
        <v>763</v>
      </c>
      <c r="C97" t="s">
        <v>764</v>
      </c>
      <c r="D97" t="s">
        <v>379</v>
      </c>
    </row>
    <row r="98" spans="1:171">
      <c r="B98" t="s">
        <v>765</v>
      </c>
      <c r="C98" t="s">
        <v>766</v>
      </c>
      <c r="D98" t="s">
        <v>379</v>
      </c>
    </row>
    <row r="99" spans="1:171">
      <c r="B99" t="s">
        <v>767</v>
      </c>
      <c r="C99" t="s">
        <v>768</v>
      </c>
      <c r="D99" t="s">
        <v>379</v>
      </c>
    </row>
    <row r="100" spans="1:171">
      <c r="B100" t="s">
        <v>769</v>
      </c>
      <c r="C100" t="s">
        <v>770</v>
      </c>
      <c r="D100" t="s">
        <v>379</v>
      </c>
    </row>
    <row r="101" spans="1:171">
      <c r="B101" t="s">
        <v>771</v>
      </c>
      <c r="C101" t="s">
        <v>772</v>
      </c>
      <c r="D101" t="s">
        <v>379</v>
      </c>
    </row>
    <row r="102" spans="1:171">
      <c r="B102" t="s">
        <v>773</v>
      </c>
      <c r="C102" t="s">
        <v>774</v>
      </c>
    </row>
    <row r="103" spans="1:171">
      <c r="B103" t="s">
        <v>734</v>
      </c>
      <c r="C103" t="s">
        <v>775</v>
      </c>
      <c r="D103" t="s">
        <v>379</v>
      </c>
    </row>
    <row r="104" spans="1:171">
      <c r="B104" t="s">
        <v>776</v>
      </c>
      <c r="C104" t="s">
        <v>777</v>
      </c>
      <c r="D104" t="s">
        <v>379</v>
      </c>
      <c r="DF104">
        <v>0</v>
      </c>
      <c r="DG104">
        <v>0</v>
      </c>
      <c r="DH104">
        <v>5216</v>
      </c>
      <c r="DI104">
        <v>6371</v>
      </c>
      <c r="DJ104">
        <v>6714</v>
      </c>
      <c r="DK104">
        <v>6555</v>
      </c>
      <c r="DL104">
        <v>6555</v>
      </c>
      <c r="DM104">
        <v>6844</v>
      </c>
      <c r="DN104">
        <v>6749</v>
      </c>
      <c r="DO104">
        <v>6859</v>
      </c>
      <c r="DP104">
        <v>6686</v>
      </c>
      <c r="DQ104">
        <v>6686</v>
      </c>
      <c r="DR104">
        <v>6734</v>
      </c>
      <c r="DS104">
        <v>6806</v>
      </c>
      <c r="DT104">
        <v>7121</v>
      </c>
      <c r="DU104">
        <v>7379</v>
      </c>
      <c r="DV104">
        <v>7379</v>
      </c>
      <c r="DW104">
        <v>7890</v>
      </c>
      <c r="DX104">
        <v>8439</v>
      </c>
      <c r="DY104">
        <v>8448</v>
      </c>
      <c r="DZ104">
        <v>8753</v>
      </c>
      <c r="EA104">
        <v>8753</v>
      </c>
      <c r="EB104">
        <v>9047</v>
      </c>
      <c r="EC104">
        <v>10298</v>
      </c>
      <c r="ED104">
        <v>10673</v>
      </c>
      <c r="EE104">
        <v>11088</v>
      </c>
      <c r="EF104">
        <v>11088</v>
      </c>
      <c r="EG104">
        <v>11575</v>
      </c>
      <c r="EH104">
        <v>12354</v>
      </c>
      <c r="EI104">
        <v>12916</v>
      </c>
      <c r="EJ104">
        <v>13148</v>
      </c>
      <c r="EK104">
        <v>13148</v>
      </c>
      <c r="EL104">
        <v>13347</v>
      </c>
      <c r="EM104">
        <v>13624</v>
      </c>
      <c r="EN104">
        <v>13879</v>
      </c>
      <c r="EO104">
        <v>14346</v>
      </c>
      <c r="EP104">
        <v>14346</v>
      </c>
      <c r="EQ104">
        <v>15435</v>
      </c>
      <c r="ER104">
        <v>16398</v>
      </c>
      <c r="ES104">
        <v>17371</v>
      </c>
      <c r="ET104">
        <v>18961</v>
      </c>
      <c r="EU104">
        <v>18961</v>
      </c>
      <c r="EV104">
        <v>20528</v>
      </c>
      <c r="EW104">
        <v>22816</v>
      </c>
      <c r="EX104">
        <v>24475</v>
      </c>
      <c r="EY104">
        <v>24475</v>
      </c>
      <c r="EZ104">
        <v>24475</v>
      </c>
      <c r="FA104">
        <v>24475</v>
      </c>
      <c r="FB104">
        <v>24475</v>
      </c>
      <c r="FC104">
        <v>24475</v>
      </c>
      <c r="FD104">
        <v>24475</v>
      </c>
      <c r="FE104">
        <v>24475</v>
      </c>
      <c r="FF104">
        <v>24475</v>
      </c>
      <c r="FG104">
        <v>24475</v>
      </c>
      <c r="FH104">
        <v>24475</v>
      </c>
      <c r="FI104">
        <v>24475</v>
      </c>
      <c r="FJ104">
        <v>24475</v>
      </c>
      <c r="FK104">
        <v>24475</v>
      </c>
      <c r="FL104">
        <v>24475</v>
      </c>
      <c r="FM104">
        <v>24475</v>
      </c>
      <c r="FN104">
        <v>24475</v>
      </c>
      <c r="FO104">
        <v>24475</v>
      </c>
    </row>
    <row r="105" spans="1:171">
      <c r="A105" t="s">
        <v>43</v>
      </c>
    </row>
    <row r="106" spans="1:171">
      <c r="B106" t="s">
        <v>778</v>
      </c>
      <c r="C106" t="s">
        <v>779</v>
      </c>
      <c r="D106" t="s">
        <v>379</v>
      </c>
    </row>
    <row r="107" spans="1:171">
      <c r="B107" t="s">
        <v>780</v>
      </c>
      <c r="C107" t="s">
        <v>781</v>
      </c>
      <c r="D107" t="s">
        <v>379</v>
      </c>
      <c r="F107">
        <v>269</v>
      </c>
      <c r="G107">
        <v>69</v>
      </c>
      <c r="H107">
        <v>78</v>
      </c>
      <c r="I107">
        <v>189</v>
      </c>
      <c r="J107">
        <v>144</v>
      </c>
      <c r="K107">
        <v>480</v>
      </c>
      <c r="P107">
        <v>0</v>
      </c>
      <c r="U107">
        <v>0</v>
      </c>
      <c r="V107">
        <v>179</v>
      </c>
      <c r="W107">
        <v>177</v>
      </c>
      <c r="X107">
        <v>158</v>
      </c>
      <c r="Y107">
        <v>412</v>
      </c>
      <c r="Z107">
        <v>926</v>
      </c>
      <c r="AA107">
        <v>440</v>
      </c>
      <c r="AB107">
        <v>325</v>
      </c>
      <c r="AC107">
        <v>275</v>
      </c>
      <c r="AD107">
        <v>-292</v>
      </c>
      <c r="AE107">
        <v>748</v>
      </c>
      <c r="AF107">
        <v>250</v>
      </c>
      <c r="AG107">
        <v>239</v>
      </c>
      <c r="AH107">
        <v>483</v>
      </c>
      <c r="AI107">
        <v>564</v>
      </c>
      <c r="AJ107">
        <v>1536</v>
      </c>
      <c r="AK107">
        <v>282</v>
      </c>
      <c r="AL107">
        <v>295</v>
      </c>
      <c r="AM107">
        <v>148</v>
      </c>
      <c r="AN107">
        <v>359</v>
      </c>
      <c r="AO107">
        <v>1084</v>
      </c>
      <c r="AP107">
        <v>273</v>
      </c>
      <c r="AQ107">
        <v>275</v>
      </c>
      <c r="AR107">
        <v>383</v>
      </c>
      <c r="AS107">
        <v>462</v>
      </c>
      <c r="AT107">
        <v>1393</v>
      </c>
      <c r="AU107">
        <v>328</v>
      </c>
      <c r="AV107">
        <v>300</v>
      </c>
      <c r="AW107">
        <v>249</v>
      </c>
      <c r="AX107">
        <v>309</v>
      </c>
      <c r="AY107">
        <v>1186</v>
      </c>
      <c r="AZ107">
        <v>183</v>
      </c>
      <c r="BA107">
        <v>108</v>
      </c>
      <c r="BB107">
        <v>282</v>
      </c>
      <c r="BC107">
        <v>282</v>
      </c>
      <c r="BD107">
        <v>855</v>
      </c>
      <c r="BE107">
        <v>234</v>
      </c>
      <c r="BF107">
        <v>231</v>
      </c>
      <c r="BG107">
        <v>177</v>
      </c>
      <c r="BH107">
        <v>261</v>
      </c>
      <c r="BI107">
        <v>903</v>
      </c>
      <c r="BJ107">
        <v>249</v>
      </c>
      <c r="BK107">
        <v>365</v>
      </c>
      <c r="BL107">
        <v>445</v>
      </c>
      <c r="BM107">
        <v>381</v>
      </c>
      <c r="BN107">
        <v>1440</v>
      </c>
      <c r="BO107">
        <v>435</v>
      </c>
      <c r="BP107">
        <v>481</v>
      </c>
      <c r="BQ107">
        <v>532</v>
      </c>
      <c r="BR107">
        <v>608</v>
      </c>
      <c r="BS107">
        <v>2056</v>
      </c>
      <c r="BT107">
        <v>585</v>
      </c>
      <c r="BU107">
        <v>632</v>
      </c>
      <c r="BV107">
        <v>664</v>
      </c>
      <c r="BW107">
        <v>681</v>
      </c>
      <c r="BX107">
        <v>2562</v>
      </c>
      <c r="BY107">
        <v>646</v>
      </c>
      <c r="BZ107">
        <v>615</v>
      </c>
      <c r="CA107">
        <v>694</v>
      </c>
      <c r="CB107">
        <v>718</v>
      </c>
      <c r="CC107">
        <v>2673</v>
      </c>
      <c r="CD107">
        <v>694</v>
      </c>
      <c r="CE107">
        <v>663</v>
      </c>
      <c r="CF107">
        <v>720</v>
      </c>
      <c r="CG107">
        <v>689</v>
      </c>
      <c r="CH107">
        <v>2766</v>
      </c>
      <c r="CI107">
        <v>726</v>
      </c>
      <c r="CJ107">
        <v>678</v>
      </c>
      <c r="CK107">
        <v>766</v>
      </c>
      <c r="CL107">
        <v>797</v>
      </c>
      <c r="CM107">
        <v>2967</v>
      </c>
      <c r="CN107">
        <v>710</v>
      </c>
      <c r="CO107">
        <v>1009</v>
      </c>
      <c r="CP107">
        <v>1053</v>
      </c>
      <c r="CQ107">
        <v>983</v>
      </c>
      <c r="CR107">
        <v>3755</v>
      </c>
      <c r="CS107">
        <v>954</v>
      </c>
      <c r="CT107">
        <v>1261</v>
      </c>
      <c r="CU107">
        <v>1255</v>
      </c>
      <c r="CV107">
        <v>1742</v>
      </c>
      <c r="CW107">
        <v>5212</v>
      </c>
      <c r="CX107">
        <v>1428</v>
      </c>
      <c r="CY107">
        <v>1521</v>
      </c>
      <c r="CZ107">
        <v>1515</v>
      </c>
      <c r="DA107">
        <v>1493</v>
      </c>
      <c r="DB107">
        <v>5957</v>
      </c>
      <c r="DC107">
        <v>1461</v>
      </c>
      <c r="DD107">
        <v>1544</v>
      </c>
      <c r="DE107">
        <v>1707</v>
      </c>
      <c r="DF107">
        <v>1910</v>
      </c>
      <c r="DG107">
        <v>6622</v>
      </c>
      <c r="DH107">
        <v>1816</v>
      </c>
      <c r="DI107">
        <v>2166</v>
      </c>
      <c r="DJ107">
        <v>2453</v>
      </c>
      <c r="DK107">
        <v>2343</v>
      </c>
      <c r="DL107">
        <v>8778</v>
      </c>
      <c r="DM107">
        <v>2499</v>
      </c>
      <c r="DN107">
        <v>2536</v>
      </c>
      <c r="DO107">
        <v>2710</v>
      </c>
      <c r="DP107">
        <v>2516</v>
      </c>
      <c r="DQ107">
        <v>10261</v>
      </c>
      <c r="DR107">
        <v>2837</v>
      </c>
      <c r="DS107">
        <v>2995</v>
      </c>
      <c r="DT107">
        <v>2926</v>
      </c>
      <c r="DU107">
        <v>2924</v>
      </c>
      <c r="DV107">
        <v>11682</v>
      </c>
      <c r="DW107">
        <v>2971</v>
      </c>
      <c r="DX107">
        <v>3203</v>
      </c>
      <c r="DY107">
        <v>3118</v>
      </c>
      <c r="DZ107">
        <v>3504</v>
      </c>
      <c r="EA107">
        <v>12796</v>
      </c>
      <c r="EB107">
        <v>2645</v>
      </c>
      <c r="EC107">
        <v>2761</v>
      </c>
      <c r="ED107">
        <v>2936</v>
      </c>
      <c r="EE107">
        <v>3344</v>
      </c>
      <c r="EF107">
        <v>11686</v>
      </c>
      <c r="EG107">
        <v>3212</v>
      </c>
      <c r="EH107">
        <v>3496</v>
      </c>
      <c r="EI107">
        <v>3773</v>
      </c>
      <c r="EJ107">
        <v>3979</v>
      </c>
      <c r="EK107">
        <v>14460</v>
      </c>
      <c r="EL107">
        <v>2790</v>
      </c>
      <c r="EM107">
        <v>3648</v>
      </c>
      <c r="EN107">
        <v>3549</v>
      </c>
      <c r="EO107">
        <v>3874</v>
      </c>
      <c r="EP107">
        <v>13861</v>
      </c>
      <c r="EQ107">
        <v>3921</v>
      </c>
      <c r="ER107">
        <v>5959</v>
      </c>
      <c r="ES107">
        <v>6027</v>
      </c>
      <c r="ET107">
        <v>6380</v>
      </c>
      <c r="EU107">
        <v>22287</v>
      </c>
      <c r="EV107">
        <v>7383</v>
      </c>
      <c r="EW107">
        <v>6827</v>
      </c>
      <c r="EX107">
        <v>8740</v>
      </c>
      <c r="EY107">
        <v>8193.9096178949894</v>
      </c>
      <c r="EZ107">
        <v>31143.909617894999</v>
      </c>
      <c r="FA107">
        <v>9925.4747682804209</v>
      </c>
      <c r="FB107">
        <v>10352.7819150057</v>
      </c>
      <c r="FC107">
        <v>10809.227313793501</v>
      </c>
      <c r="FD107">
        <v>11248.6374728518</v>
      </c>
      <c r="FE107">
        <v>42336.121469931502</v>
      </c>
      <c r="FF107">
        <v>11883.9154092845</v>
      </c>
      <c r="FG107">
        <v>12260.4112505048</v>
      </c>
      <c r="FH107">
        <v>12672.426685398599</v>
      </c>
      <c r="FI107">
        <v>13070.2500382047</v>
      </c>
      <c r="FJ107">
        <v>49887.003383392599</v>
      </c>
      <c r="FK107">
        <v>13975.745744080799</v>
      </c>
      <c r="FL107">
        <v>14287.4617812141</v>
      </c>
      <c r="FM107">
        <v>14641.6739458136</v>
      </c>
      <c r="FN107">
        <v>14985.490101167199</v>
      </c>
      <c r="FO107">
        <v>57890.371572275602</v>
      </c>
    </row>
    <row r="108" spans="1:171">
      <c r="B108" t="s">
        <v>782</v>
      </c>
      <c r="C108" t="s">
        <v>783</v>
      </c>
      <c r="D108" t="s">
        <v>379</v>
      </c>
      <c r="F108">
        <v>268</v>
      </c>
      <c r="G108">
        <v>-68</v>
      </c>
      <c r="H108">
        <v>748</v>
      </c>
      <c r="I108">
        <v>154</v>
      </c>
      <c r="J108">
        <v>210</v>
      </c>
      <c r="K108">
        <v>1044</v>
      </c>
      <c r="L108">
        <v>-84</v>
      </c>
      <c r="M108">
        <v>-29</v>
      </c>
      <c r="N108">
        <v>220</v>
      </c>
      <c r="O108">
        <v>-287</v>
      </c>
      <c r="P108">
        <v>-180</v>
      </c>
      <c r="Q108">
        <v>240</v>
      </c>
      <c r="R108">
        <v>-105</v>
      </c>
      <c r="S108">
        <v>61</v>
      </c>
      <c r="T108">
        <v>-596</v>
      </c>
      <c r="U108">
        <v>-400</v>
      </c>
      <c r="V108">
        <v>637</v>
      </c>
      <c r="W108">
        <v>-428</v>
      </c>
      <c r="X108">
        <v>-34</v>
      </c>
      <c r="Y108">
        <v>-47</v>
      </c>
      <c r="Z108">
        <v>128</v>
      </c>
      <c r="AA108">
        <v>-375</v>
      </c>
      <c r="AB108">
        <v>-743</v>
      </c>
      <c r="AC108">
        <v>-591</v>
      </c>
      <c r="AD108">
        <v>-455</v>
      </c>
      <c r="AE108">
        <v>-2164</v>
      </c>
      <c r="AF108">
        <v>-409</v>
      </c>
      <c r="AG108">
        <v>-764</v>
      </c>
      <c r="AH108">
        <v>214</v>
      </c>
      <c r="AI108">
        <v>656</v>
      </c>
      <c r="AJ108">
        <v>-303</v>
      </c>
      <c r="AK108">
        <v>541</v>
      </c>
      <c r="AL108">
        <v>-44</v>
      </c>
      <c r="AM108">
        <v>523</v>
      </c>
      <c r="AN108">
        <v>-1251</v>
      </c>
      <c r="AO108">
        <v>-231</v>
      </c>
      <c r="AP108">
        <v>1559</v>
      </c>
      <c r="AQ108">
        <v>20</v>
      </c>
      <c r="AR108">
        <v>492</v>
      </c>
      <c r="AS108">
        <v>-1025</v>
      </c>
      <c r="AT108">
        <v>1046</v>
      </c>
      <c r="AU108">
        <v>20</v>
      </c>
      <c r="AV108">
        <v>1043</v>
      </c>
      <c r="AW108">
        <v>3307</v>
      </c>
      <c r="AX108">
        <v>-2407</v>
      </c>
      <c r="AY108">
        <v>1963</v>
      </c>
      <c r="AZ108">
        <v>428</v>
      </c>
      <c r="BA108">
        <v>-932</v>
      </c>
      <c r="BB108">
        <v>2048</v>
      </c>
      <c r="BC108">
        <v>-1370</v>
      </c>
      <c r="BD108">
        <v>174</v>
      </c>
      <c r="BE108">
        <v>1166</v>
      </c>
      <c r="BF108">
        <v>-2297</v>
      </c>
      <c r="BG108">
        <v>1333</v>
      </c>
      <c r="BH108">
        <v>-2599</v>
      </c>
      <c r="BI108">
        <v>-2397</v>
      </c>
      <c r="BJ108">
        <v>791</v>
      </c>
      <c r="BK108">
        <v>-2596</v>
      </c>
      <c r="BL108">
        <v>2256</v>
      </c>
      <c r="BM108">
        <v>-1412</v>
      </c>
      <c r="BN108">
        <v>-961</v>
      </c>
      <c r="BO108">
        <v>1864</v>
      </c>
      <c r="BP108">
        <v>-1764</v>
      </c>
      <c r="BQ108">
        <v>2014</v>
      </c>
      <c r="BR108">
        <v>-4549</v>
      </c>
      <c r="BS108">
        <v>-2435</v>
      </c>
      <c r="BT108">
        <v>-541</v>
      </c>
      <c r="BU108">
        <v>363</v>
      </c>
      <c r="BV108">
        <v>2605</v>
      </c>
      <c r="BW108">
        <v>-2605</v>
      </c>
      <c r="BX108">
        <v>-178</v>
      </c>
      <c r="BY108">
        <v>1123</v>
      </c>
      <c r="BZ108">
        <v>-940</v>
      </c>
      <c r="CA108">
        <v>2843</v>
      </c>
      <c r="CB108">
        <v>-2365</v>
      </c>
      <c r="CC108">
        <v>661</v>
      </c>
      <c r="CD108">
        <v>2725</v>
      </c>
      <c r="CE108">
        <v>-2850</v>
      </c>
      <c r="CF108">
        <v>2775</v>
      </c>
      <c r="CG108">
        <v>-5653</v>
      </c>
      <c r="CH108">
        <v>-3003</v>
      </c>
      <c r="CI108">
        <v>2683</v>
      </c>
      <c r="CJ108">
        <v>-1400</v>
      </c>
      <c r="CK108">
        <v>3346</v>
      </c>
      <c r="CL108">
        <v>-4803</v>
      </c>
      <c r="CM108">
        <v>-174</v>
      </c>
      <c r="CN108">
        <v>3394</v>
      </c>
      <c r="CO108">
        <v>-3616</v>
      </c>
      <c r="CP108">
        <v>3704</v>
      </c>
      <c r="CQ108">
        <v>-4857</v>
      </c>
      <c r="CR108">
        <v>-1375</v>
      </c>
      <c r="CS108">
        <v>3321</v>
      </c>
      <c r="CT108">
        <v>-3115</v>
      </c>
      <c r="CU108">
        <v>2798</v>
      </c>
      <c r="CV108">
        <v>-2380</v>
      </c>
      <c r="CW108">
        <v>624</v>
      </c>
      <c r="CX108">
        <v>4507</v>
      </c>
      <c r="CY108">
        <v>-2495</v>
      </c>
      <c r="CZ108">
        <v>3308</v>
      </c>
      <c r="DA108">
        <v>-3807</v>
      </c>
      <c r="DB108">
        <v>1513</v>
      </c>
      <c r="DC108">
        <v>2879</v>
      </c>
      <c r="DD108">
        <v>-2026</v>
      </c>
      <c r="DE108">
        <v>2953</v>
      </c>
      <c r="DF108">
        <v>-4800</v>
      </c>
      <c r="DG108">
        <v>-994</v>
      </c>
      <c r="DH108">
        <v>3134</v>
      </c>
      <c r="DI108">
        <v>-2260</v>
      </c>
      <c r="DJ108">
        <v>2712</v>
      </c>
      <c r="DK108">
        <v>1290</v>
      </c>
      <c r="DL108">
        <v>4876</v>
      </c>
      <c r="DM108">
        <v>2968</v>
      </c>
      <c r="DN108">
        <v>13644</v>
      </c>
      <c r="DO108">
        <v>1882</v>
      </c>
      <c r="DP108">
        <v>1973</v>
      </c>
      <c r="DQ108">
        <v>20467</v>
      </c>
      <c r="DR108">
        <v>1376</v>
      </c>
      <c r="DS108">
        <v>-3390</v>
      </c>
      <c r="DT108">
        <v>1028</v>
      </c>
      <c r="DU108">
        <v>4852</v>
      </c>
      <c r="DV108">
        <v>3866</v>
      </c>
      <c r="DW108">
        <v>-927</v>
      </c>
      <c r="DX108">
        <v>-5256</v>
      </c>
      <c r="DY108">
        <v>2450</v>
      </c>
      <c r="DZ108">
        <v>2250</v>
      </c>
      <c r="EA108">
        <v>-1483</v>
      </c>
      <c r="EB108">
        <v>1480</v>
      </c>
      <c r="EC108">
        <v>-6903</v>
      </c>
      <c r="ED108">
        <v>2700</v>
      </c>
      <c r="EE108">
        <v>1787</v>
      </c>
      <c r="EF108">
        <v>-936</v>
      </c>
      <c r="EG108">
        <v>5455</v>
      </c>
      <c r="EH108">
        <v>-9554</v>
      </c>
      <c r="EI108">
        <v>3072</v>
      </c>
      <c r="EJ108">
        <v>1473</v>
      </c>
      <c r="EK108">
        <v>446</v>
      </c>
      <c r="EL108">
        <v>1873</v>
      </c>
      <c r="EM108">
        <v>-10347</v>
      </c>
      <c r="EN108">
        <v>1843</v>
      </c>
      <c r="EO108">
        <v>4243</v>
      </c>
      <c r="EP108">
        <v>-2388</v>
      </c>
      <c r="EQ108">
        <v>2418</v>
      </c>
      <c r="ER108">
        <v>-10300</v>
      </c>
      <c r="ES108">
        <v>2522</v>
      </c>
      <c r="ET108">
        <v>7184</v>
      </c>
      <c r="EU108">
        <v>1824</v>
      </c>
      <c r="EV108">
        <v>856</v>
      </c>
      <c r="EW108">
        <v>-11551</v>
      </c>
      <c r="EX108">
        <v>2042</v>
      </c>
      <c r="EY108">
        <v>4584.6428627379801</v>
      </c>
      <c r="EZ108">
        <v>-4068.3571372620199</v>
      </c>
      <c r="FA108">
        <v>-2207.6287444589898</v>
      </c>
      <c r="FB108">
        <v>-15749.141169127101</v>
      </c>
      <c r="FC108">
        <v>-1457.6173243514299</v>
      </c>
      <c r="FD108">
        <v>2279.0443622144098</v>
      </c>
      <c r="FE108">
        <v>-17135.342875723101</v>
      </c>
      <c r="FF108">
        <v>-540.95002804077103</v>
      </c>
      <c r="FG108">
        <v>-18672.486776704402</v>
      </c>
      <c r="FH108">
        <v>-1790.97623919643</v>
      </c>
      <c r="FI108">
        <v>2345.0972448602101</v>
      </c>
      <c r="FJ108">
        <v>-18659.3157990814</v>
      </c>
      <c r="FK108">
        <v>2046.0757600193699</v>
      </c>
      <c r="FL108">
        <v>-21857.243327941</v>
      </c>
      <c r="FM108">
        <v>-1707.8192922643</v>
      </c>
      <c r="FN108">
        <v>2036.2616329432601</v>
      </c>
      <c r="FO108">
        <v>-19482.725227242699</v>
      </c>
    </row>
    <row r="109" spans="1:171">
      <c r="B109" t="s">
        <v>784</v>
      </c>
      <c r="C109" t="s">
        <v>785</v>
      </c>
      <c r="D109" t="s">
        <v>379</v>
      </c>
      <c r="F109">
        <v>0</v>
      </c>
      <c r="K109">
        <v>0</v>
      </c>
      <c r="L109">
        <v>253</v>
      </c>
      <c r="M109">
        <v>506</v>
      </c>
      <c r="N109">
        <v>356</v>
      </c>
      <c r="O109">
        <v>300</v>
      </c>
      <c r="P109">
        <v>1415</v>
      </c>
      <c r="Q109">
        <v>777</v>
      </c>
      <c r="R109">
        <v>636</v>
      </c>
      <c r="S109">
        <v>704</v>
      </c>
      <c r="T109">
        <v>673</v>
      </c>
      <c r="U109">
        <v>2790</v>
      </c>
      <c r="V109">
        <v>85</v>
      </c>
      <c r="W109">
        <v>419</v>
      </c>
      <c r="X109">
        <v>643</v>
      </c>
      <c r="Y109">
        <v>3151</v>
      </c>
      <c r="Z109">
        <v>4298</v>
      </c>
      <c r="AA109">
        <v>-266</v>
      </c>
      <c r="AB109">
        <v>130</v>
      </c>
      <c r="AC109">
        <v>200</v>
      </c>
      <c r="AD109">
        <v>5892</v>
      </c>
      <c r="AE109">
        <v>5956</v>
      </c>
      <c r="AF109">
        <v>913</v>
      </c>
      <c r="AG109">
        <v>820</v>
      </c>
      <c r="AH109">
        <v>816</v>
      </c>
      <c r="AI109">
        <v>2294</v>
      </c>
      <c r="AJ109">
        <v>4843</v>
      </c>
      <c r="AK109">
        <v>1283</v>
      </c>
      <c r="AL109">
        <v>1031</v>
      </c>
      <c r="AM109">
        <v>712</v>
      </c>
      <c r="AN109">
        <v>2801</v>
      </c>
      <c r="AO109">
        <v>5827</v>
      </c>
      <c r="AP109">
        <v>2299</v>
      </c>
      <c r="AQ109">
        <v>607</v>
      </c>
      <c r="AR109">
        <v>1152</v>
      </c>
      <c r="AS109">
        <v>1769</v>
      </c>
      <c r="AT109">
        <v>5827</v>
      </c>
      <c r="AU109">
        <v>462</v>
      </c>
      <c r="AV109">
        <v>1682</v>
      </c>
      <c r="AW109">
        <v>99</v>
      </c>
      <c r="AX109">
        <v>1066</v>
      </c>
      <c r="AY109">
        <v>3309</v>
      </c>
      <c r="AZ109">
        <v>868</v>
      </c>
      <c r="BA109">
        <v>980</v>
      </c>
      <c r="BB109">
        <v>110</v>
      </c>
      <c r="BC109">
        <v>1364</v>
      </c>
      <c r="BD109">
        <v>3322</v>
      </c>
      <c r="BE109">
        <v>-212</v>
      </c>
      <c r="BF109">
        <v>644</v>
      </c>
      <c r="BG109">
        <v>76</v>
      </c>
      <c r="BH109">
        <v>2791</v>
      </c>
      <c r="BI109">
        <v>3299</v>
      </c>
      <c r="BJ109">
        <v>-457</v>
      </c>
      <c r="BK109">
        <v>1647</v>
      </c>
      <c r="BL109">
        <v>-336</v>
      </c>
      <c r="BM109">
        <v>2398</v>
      </c>
      <c r="BN109">
        <v>3252</v>
      </c>
      <c r="BO109">
        <v>-710</v>
      </c>
      <c r="BP109">
        <v>1143</v>
      </c>
      <c r="BQ109">
        <v>148</v>
      </c>
      <c r="BR109">
        <v>3729</v>
      </c>
      <c r="BS109">
        <v>4310</v>
      </c>
      <c r="BT109">
        <v>-1047</v>
      </c>
      <c r="BU109">
        <v>613</v>
      </c>
      <c r="BV109">
        <v>-202</v>
      </c>
      <c r="BW109">
        <v>2720</v>
      </c>
      <c r="BX109">
        <v>2084</v>
      </c>
      <c r="BY109">
        <v>764</v>
      </c>
      <c r="BZ109">
        <v>-1368</v>
      </c>
      <c r="CA109">
        <v>-150</v>
      </c>
      <c r="CB109">
        <v>2733</v>
      </c>
      <c r="CC109">
        <v>1979</v>
      </c>
      <c r="CD109">
        <v>-635</v>
      </c>
      <c r="CE109">
        <v>-261</v>
      </c>
      <c r="CF109">
        <v>-55</v>
      </c>
      <c r="CG109">
        <v>5032</v>
      </c>
      <c r="CH109">
        <v>4081</v>
      </c>
      <c r="CI109">
        <v>-654</v>
      </c>
      <c r="CJ109">
        <v>-40</v>
      </c>
      <c r="CK109">
        <v>374</v>
      </c>
      <c r="CL109">
        <v>12175</v>
      </c>
      <c r="CM109">
        <v>11855</v>
      </c>
      <c r="CN109">
        <v>-86</v>
      </c>
      <c r="CO109">
        <v>1010</v>
      </c>
      <c r="CP109">
        <v>-1146</v>
      </c>
      <c r="CQ109">
        <v>4812</v>
      </c>
      <c r="CR109">
        <v>4590</v>
      </c>
      <c r="CS109">
        <v>-1314</v>
      </c>
      <c r="CT109">
        <v>-291</v>
      </c>
      <c r="CU109">
        <v>386</v>
      </c>
      <c r="CV109">
        <v>5540</v>
      </c>
      <c r="CW109">
        <v>4321</v>
      </c>
      <c r="CX109">
        <v>-2121</v>
      </c>
      <c r="CY109">
        <v>-549</v>
      </c>
      <c r="CZ109">
        <v>-238</v>
      </c>
      <c r="DA109">
        <v>12325</v>
      </c>
      <c r="DB109">
        <v>9417</v>
      </c>
      <c r="DC109">
        <v>-366</v>
      </c>
      <c r="DD109">
        <v>1082</v>
      </c>
      <c r="DE109">
        <v>1951</v>
      </c>
      <c r="DF109">
        <v>8232</v>
      </c>
      <c r="DG109">
        <v>10899</v>
      </c>
      <c r="DH109">
        <v>932</v>
      </c>
      <c r="DI109">
        <v>120</v>
      </c>
      <c r="DJ109">
        <v>9</v>
      </c>
      <c r="DK109">
        <v>-697</v>
      </c>
      <c r="DL109">
        <v>364</v>
      </c>
      <c r="DM109">
        <v>397</v>
      </c>
      <c r="DN109">
        <v>-2003</v>
      </c>
      <c r="DO109">
        <v>135</v>
      </c>
      <c r="DP109">
        <v>-1944</v>
      </c>
      <c r="DQ109">
        <v>-3415</v>
      </c>
      <c r="DR109">
        <v>620</v>
      </c>
      <c r="DS109">
        <v>875</v>
      </c>
      <c r="DT109">
        <v>757</v>
      </c>
      <c r="DU109">
        <v>-4855</v>
      </c>
      <c r="DV109">
        <v>-2603</v>
      </c>
      <c r="DW109">
        <v>1096</v>
      </c>
      <c r="DX109">
        <v>1084</v>
      </c>
      <c r="DY109">
        <v>1184</v>
      </c>
      <c r="DZ109">
        <v>1717</v>
      </c>
      <c r="EA109">
        <v>5081</v>
      </c>
      <c r="EB109">
        <v>1317</v>
      </c>
      <c r="EC109">
        <v>1195</v>
      </c>
      <c r="ED109">
        <v>1086</v>
      </c>
      <c r="EE109">
        <v>1121</v>
      </c>
      <c r="EF109">
        <v>4719</v>
      </c>
      <c r="EG109">
        <v>-4632</v>
      </c>
      <c r="EH109">
        <v>1773</v>
      </c>
      <c r="EI109">
        <v>1813</v>
      </c>
      <c r="EJ109">
        <v>2437</v>
      </c>
      <c r="EK109">
        <v>1391</v>
      </c>
      <c r="EL109">
        <v>979</v>
      </c>
      <c r="EM109">
        <v>1447</v>
      </c>
      <c r="EN109">
        <v>750</v>
      </c>
      <c r="EO109">
        <v>572</v>
      </c>
      <c r="EP109">
        <v>3748</v>
      </c>
      <c r="EQ109">
        <v>1953</v>
      </c>
      <c r="ER109">
        <v>1324</v>
      </c>
      <c r="ES109">
        <v>1429</v>
      </c>
      <c r="ET109">
        <v>1595</v>
      </c>
      <c r="EU109">
        <v>6301</v>
      </c>
      <c r="EV109">
        <v>1274</v>
      </c>
      <c r="EW109">
        <v>2907</v>
      </c>
      <c r="EX109">
        <v>438</v>
      </c>
      <c r="EY109">
        <v>3161.5768746549202</v>
      </c>
      <c r="EZ109">
        <v>12062.5768746549</v>
      </c>
      <c r="FA109">
        <v>3034.5554974609299</v>
      </c>
      <c r="FB109">
        <v>3213.0227840204798</v>
      </c>
      <c r="FC109">
        <v>3225.9549850508802</v>
      </c>
      <c r="FD109">
        <v>3435.8430306728801</v>
      </c>
      <c r="FE109">
        <v>12909.376297205201</v>
      </c>
      <c r="FF109">
        <v>3225.6941246689698</v>
      </c>
      <c r="FG109">
        <v>3415.6302630352402</v>
      </c>
      <c r="FH109">
        <v>3434.7602261146999</v>
      </c>
      <c r="FI109">
        <v>3675.2577610536</v>
      </c>
      <c r="FJ109">
        <v>13751.3423748725</v>
      </c>
      <c r="FK109">
        <v>3413.6148646196598</v>
      </c>
      <c r="FL109">
        <v>3614.8185924323798</v>
      </c>
      <c r="FM109">
        <v>3640.1573613095902</v>
      </c>
      <c r="FN109">
        <v>3913.4772705963801</v>
      </c>
      <c r="FO109">
        <v>14582.068088958</v>
      </c>
    </row>
    <row r="110" spans="1:171">
      <c r="B110" t="s">
        <v>786</v>
      </c>
      <c r="C110" t="s">
        <v>787</v>
      </c>
      <c r="D110" t="s">
        <v>379</v>
      </c>
      <c r="F110">
        <v>1990</v>
      </c>
      <c r="G110">
        <v>500</v>
      </c>
      <c r="H110">
        <v>1401</v>
      </c>
      <c r="I110">
        <v>905</v>
      </c>
      <c r="J110">
        <v>913</v>
      </c>
      <c r="K110">
        <v>3719</v>
      </c>
      <c r="L110">
        <v>783</v>
      </c>
      <c r="M110">
        <v>1218</v>
      </c>
      <c r="N110">
        <v>1618</v>
      </c>
      <c r="O110">
        <v>1070</v>
      </c>
      <c r="P110">
        <v>4689</v>
      </c>
      <c r="Q110">
        <v>1680</v>
      </c>
      <c r="R110">
        <v>1664</v>
      </c>
      <c r="S110">
        <v>2102</v>
      </c>
      <c r="T110">
        <v>1434</v>
      </c>
      <c r="U110">
        <v>6880</v>
      </c>
      <c r="V110">
        <v>2584</v>
      </c>
      <c r="W110">
        <v>2151</v>
      </c>
      <c r="X110">
        <v>2684</v>
      </c>
      <c r="Y110">
        <v>5718</v>
      </c>
      <c r="Z110">
        <v>13137</v>
      </c>
      <c r="AA110">
        <v>1990</v>
      </c>
      <c r="AB110">
        <v>2148</v>
      </c>
      <c r="AC110">
        <v>2269</v>
      </c>
      <c r="AD110">
        <v>7554</v>
      </c>
      <c r="AE110">
        <v>13961</v>
      </c>
      <c r="AF110">
        <v>2960</v>
      </c>
      <c r="AG110">
        <v>2919</v>
      </c>
      <c r="AH110">
        <v>3964</v>
      </c>
      <c r="AI110">
        <v>3579</v>
      </c>
      <c r="AJ110">
        <v>13422</v>
      </c>
      <c r="AK110">
        <v>3389</v>
      </c>
      <c r="AL110">
        <v>3565</v>
      </c>
      <c r="AM110">
        <v>4121</v>
      </c>
      <c r="AN110">
        <v>3434</v>
      </c>
      <c r="AO110">
        <v>14509</v>
      </c>
      <c r="AP110">
        <v>6172</v>
      </c>
      <c r="AQ110">
        <v>2767</v>
      </c>
      <c r="AR110">
        <v>4169</v>
      </c>
      <c r="AS110">
        <v>2689</v>
      </c>
      <c r="AT110">
        <v>15797</v>
      </c>
      <c r="AU110">
        <v>3424</v>
      </c>
      <c r="AV110">
        <v>4574</v>
      </c>
      <c r="AW110">
        <v>4970</v>
      </c>
      <c r="AX110">
        <v>1658</v>
      </c>
      <c r="AY110">
        <v>14626</v>
      </c>
      <c r="AZ110">
        <v>4007</v>
      </c>
      <c r="BA110">
        <v>3619</v>
      </c>
      <c r="BB110">
        <v>5003</v>
      </c>
      <c r="BC110">
        <v>3976</v>
      </c>
      <c r="BD110">
        <v>16605</v>
      </c>
      <c r="BE110">
        <v>4329</v>
      </c>
      <c r="BF110">
        <v>2231</v>
      </c>
      <c r="BG110">
        <v>4563</v>
      </c>
      <c r="BH110">
        <v>3281</v>
      </c>
      <c r="BI110">
        <v>14404</v>
      </c>
      <c r="BJ110">
        <v>4061</v>
      </c>
      <c r="BK110">
        <v>2042</v>
      </c>
      <c r="BL110">
        <v>7291</v>
      </c>
      <c r="BM110">
        <v>4402</v>
      </c>
      <c r="BN110">
        <v>17796</v>
      </c>
      <c r="BO110">
        <v>5878</v>
      </c>
      <c r="BP110">
        <v>4567</v>
      </c>
      <c r="BQ110">
        <v>7082</v>
      </c>
      <c r="BR110">
        <v>4085</v>
      </c>
      <c r="BS110">
        <v>21612</v>
      </c>
      <c r="BT110">
        <v>3370</v>
      </c>
      <c r="BU110">
        <v>5782</v>
      </c>
      <c r="BV110">
        <v>6044</v>
      </c>
      <c r="BW110">
        <v>3841</v>
      </c>
      <c r="BX110">
        <v>19037</v>
      </c>
      <c r="BY110">
        <v>6107</v>
      </c>
      <c r="BZ110">
        <v>4969</v>
      </c>
      <c r="CA110">
        <v>7393</v>
      </c>
      <c r="CB110">
        <v>5604</v>
      </c>
      <c r="CC110">
        <v>24073</v>
      </c>
      <c r="CD110">
        <v>8194</v>
      </c>
      <c r="CE110">
        <v>4186</v>
      </c>
      <c r="CF110">
        <v>8672</v>
      </c>
      <c r="CG110">
        <v>5942</v>
      </c>
      <c r="CH110">
        <v>26994</v>
      </c>
      <c r="CI110">
        <v>8493</v>
      </c>
      <c r="CJ110">
        <v>5862</v>
      </c>
      <c r="CK110">
        <v>9594</v>
      </c>
      <c r="CL110">
        <v>7677</v>
      </c>
      <c r="CM110">
        <v>31626</v>
      </c>
      <c r="CN110">
        <v>8484</v>
      </c>
      <c r="CO110">
        <v>4780</v>
      </c>
      <c r="CP110">
        <v>9666</v>
      </c>
      <c r="CQ110">
        <v>5903</v>
      </c>
      <c r="CR110">
        <v>28833</v>
      </c>
      <c r="CS110">
        <v>8205</v>
      </c>
      <c r="CT110">
        <v>4413</v>
      </c>
      <c r="CU110">
        <v>10099</v>
      </c>
      <c r="CV110">
        <v>9514</v>
      </c>
      <c r="CW110">
        <v>32231</v>
      </c>
      <c r="CX110">
        <v>8354</v>
      </c>
      <c r="CY110">
        <v>4340</v>
      </c>
      <c r="CZ110">
        <v>9570</v>
      </c>
      <c r="DA110">
        <v>6816</v>
      </c>
      <c r="DB110">
        <v>29080</v>
      </c>
      <c r="DC110">
        <v>8594</v>
      </c>
      <c r="DD110">
        <v>5598</v>
      </c>
      <c r="DE110">
        <v>10367</v>
      </c>
      <c r="DF110">
        <v>8464</v>
      </c>
      <c r="DG110">
        <v>33023</v>
      </c>
      <c r="DH110">
        <v>11549</v>
      </c>
      <c r="DI110">
        <v>6293</v>
      </c>
      <c r="DJ110">
        <v>10660</v>
      </c>
      <c r="DK110">
        <v>11005</v>
      </c>
      <c r="DL110">
        <v>39507</v>
      </c>
      <c r="DM110">
        <v>12440</v>
      </c>
      <c r="DN110">
        <v>7875</v>
      </c>
      <c r="DO110">
        <v>12151</v>
      </c>
      <c r="DP110">
        <v>11418</v>
      </c>
      <c r="DQ110">
        <v>43884</v>
      </c>
      <c r="DR110">
        <v>13657</v>
      </c>
      <c r="DS110">
        <v>8900</v>
      </c>
      <c r="DT110">
        <v>13520</v>
      </c>
      <c r="DU110">
        <v>16108</v>
      </c>
      <c r="DV110">
        <v>52185</v>
      </c>
      <c r="DW110">
        <v>13818</v>
      </c>
      <c r="DX110">
        <v>10680</v>
      </c>
      <c r="DY110">
        <v>17504</v>
      </c>
      <c r="DZ110">
        <v>18673</v>
      </c>
      <c r="EA110">
        <v>60675</v>
      </c>
      <c r="EB110">
        <v>19335</v>
      </c>
      <c r="EC110">
        <v>12516</v>
      </c>
      <c r="ED110">
        <v>22179</v>
      </c>
      <c r="EE110">
        <v>22710</v>
      </c>
      <c r="EF110">
        <v>76740</v>
      </c>
      <c r="EG110">
        <v>24540</v>
      </c>
      <c r="EH110">
        <v>14480</v>
      </c>
      <c r="EI110">
        <v>25386</v>
      </c>
      <c r="EJ110">
        <v>24629</v>
      </c>
      <c r="EK110">
        <v>89035</v>
      </c>
      <c r="EL110">
        <v>23198</v>
      </c>
      <c r="EM110">
        <v>11173</v>
      </c>
      <c r="EN110">
        <v>24441</v>
      </c>
      <c r="EO110">
        <v>28770</v>
      </c>
      <c r="EP110">
        <v>87582</v>
      </c>
      <c r="EQ110">
        <v>30583</v>
      </c>
      <c r="ER110">
        <v>18853</v>
      </c>
      <c r="ES110">
        <v>31917</v>
      </c>
      <c r="ET110">
        <v>37195</v>
      </c>
      <c r="EU110">
        <v>118548</v>
      </c>
      <c r="EV110">
        <v>34180</v>
      </c>
      <c r="EW110">
        <v>22291</v>
      </c>
      <c r="EX110">
        <v>37044</v>
      </c>
      <c r="EY110">
        <v>41271.584996417099</v>
      </c>
      <c r="EZ110">
        <v>134786.58499641699</v>
      </c>
      <c r="FA110">
        <v>38335.926621120198</v>
      </c>
      <c r="FB110">
        <v>26683.9857925547</v>
      </c>
      <c r="FC110">
        <v>41945.825572866299</v>
      </c>
      <c r="FD110">
        <v>47662.649832654497</v>
      </c>
      <c r="FE110">
        <v>154628.38781919601</v>
      </c>
      <c r="FF110">
        <v>47383.952766849201</v>
      </c>
      <c r="FG110">
        <v>31206.455079718999</v>
      </c>
      <c r="FH110">
        <v>49041.123304254797</v>
      </c>
      <c r="FI110">
        <v>55485.382618803298</v>
      </c>
      <c r="FJ110">
        <v>183116.913769626</v>
      </c>
      <c r="FK110">
        <v>57199.133871701903</v>
      </c>
      <c r="FL110">
        <v>35407.078096185003</v>
      </c>
      <c r="FM110">
        <v>56575.624897356902</v>
      </c>
      <c r="FN110">
        <v>63015.467240942096</v>
      </c>
      <c r="FO110">
        <v>212197.304106186</v>
      </c>
    </row>
    <row r="111" spans="1:171">
      <c r="B111" t="s">
        <v>788</v>
      </c>
      <c r="C111" t="s">
        <v>362</v>
      </c>
      <c r="D111" t="s">
        <v>379</v>
      </c>
      <c r="F111">
        <v>-495</v>
      </c>
      <c r="G111">
        <v>-116</v>
      </c>
      <c r="H111">
        <v>-88</v>
      </c>
      <c r="I111">
        <v>-132</v>
      </c>
      <c r="J111">
        <v>-158</v>
      </c>
      <c r="K111">
        <v>-494</v>
      </c>
      <c r="L111">
        <v>-99</v>
      </c>
      <c r="M111">
        <v>-117</v>
      </c>
      <c r="N111">
        <v>-110</v>
      </c>
      <c r="O111">
        <v>-173</v>
      </c>
      <c r="P111">
        <v>-499</v>
      </c>
      <c r="Q111">
        <v>-117</v>
      </c>
      <c r="R111">
        <v>-151</v>
      </c>
      <c r="S111">
        <v>-147</v>
      </c>
      <c r="T111">
        <v>-241</v>
      </c>
      <c r="U111">
        <v>-656</v>
      </c>
      <c r="V111">
        <v>-106</v>
      </c>
      <c r="W111">
        <v>-135</v>
      </c>
      <c r="X111">
        <v>-50</v>
      </c>
      <c r="Y111">
        <v>-292</v>
      </c>
      <c r="Z111">
        <v>-583</v>
      </c>
      <c r="AA111">
        <v>-139</v>
      </c>
      <c r="AB111">
        <v>-232</v>
      </c>
      <c r="AC111">
        <v>-246</v>
      </c>
      <c r="AD111">
        <v>-262</v>
      </c>
      <c r="AE111">
        <v>-879</v>
      </c>
      <c r="AF111">
        <v>-245</v>
      </c>
      <c r="AG111">
        <v>-272</v>
      </c>
      <c r="AH111">
        <v>-264</v>
      </c>
      <c r="AI111">
        <v>-322</v>
      </c>
      <c r="AJ111">
        <v>-1103</v>
      </c>
      <c r="AK111">
        <v>-150</v>
      </c>
      <c r="AL111">
        <v>-172</v>
      </c>
      <c r="AM111">
        <v>-166</v>
      </c>
      <c r="AN111">
        <v>-282</v>
      </c>
      <c r="AO111">
        <v>-770</v>
      </c>
      <c r="AP111">
        <v>-160</v>
      </c>
      <c r="AQ111">
        <v>-276</v>
      </c>
      <c r="AR111">
        <v>-182</v>
      </c>
      <c r="AS111">
        <v>-273</v>
      </c>
      <c r="AT111">
        <v>-891</v>
      </c>
      <c r="AU111">
        <v>-167</v>
      </c>
      <c r="AV111">
        <v>-172</v>
      </c>
      <c r="AW111">
        <v>-213</v>
      </c>
      <c r="AX111">
        <v>-557</v>
      </c>
      <c r="AY111">
        <v>-1109</v>
      </c>
      <c r="AZ111">
        <v>-173</v>
      </c>
      <c r="BA111">
        <v>-176</v>
      </c>
      <c r="BB111">
        <v>-203</v>
      </c>
      <c r="BC111">
        <v>-260</v>
      </c>
      <c r="BD111">
        <v>-812</v>
      </c>
      <c r="BE111">
        <v>-213</v>
      </c>
      <c r="BF111">
        <v>-318</v>
      </c>
      <c r="BG111">
        <v>-302</v>
      </c>
      <c r="BH111">
        <v>-745</v>
      </c>
      <c r="BI111">
        <v>-1578</v>
      </c>
      <c r="BJ111">
        <v>-411</v>
      </c>
      <c r="BK111">
        <v>-572</v>
      </c>
      <c r="BL111">
        <v>-461</v>
      </c>
      <c r="BM111">
        <v>-820</v>
      </c>
      <c r="BN111">
        <v>-2264</v>
      </c>
      <c r="BO111">
        <v>-510</v>
      </c>
      <c r="BP111">
        <v>-695</v>
      </c>
      <c r="BQ111">
        <v>-759</v>
      </c>
      <c r="BR111">
        <v>-1218</v>
      </c>
      <c r="BS111">
        <v>-3182</v>
      </c>
      <c r="BT111">
        <v>-778</v>
      </c>
      <c r="BU111">
        <v>-842</v>
      </c>
      <c r="BV111">
        <v>-632</v>
      </c>
      <c r="BW111">
        <v>-867</v>
      </c>
      <c r="BX111">
        <v>-3119</v>
      </c>
      <c r="BY111">
        <v>-435</v>
      </c>
      <c r="BZ111">
        <v>-376</v>
      </c>
      <c r="CA111">
        <v>-408</v>
      </c>
      <c r="CB111">
        <v>-758</v>
      </c>
      <c r="CC111">
        <v>-1977</v>
      </c>
      <c r="CD111">
        <v>-564</v>
      </c>
      <c r="CE111">
        <v>-491</v>
      </c>
      <c r="CF111">
        <v>-658</v>
      </c>
      <c r="CG111">
        <v>-642</v>
      </c>
      <c r="CH111">
        <v>-2355</v>
      </c>
      <c r="CI111">
        <v>-436</v>
      </c>
      <c r="CJ111">
        <v>-498</v>
      </c>
      <c r="CK111">
        <v>-749</v>
      </c>
      <c r="CL111">
        <v>-622</v>
      </c>
      <c r="CM111">
        <v>-2305</v>
      </c>
      <c r="CN111">
        <v>-603</v>
      </c>
      <c r="CO111">
        <v>-930</v>
      </c>
      <c r="CP111">
        <v>-930</v>
      </c>
      <c r="CQ111">
        <v>-1794</v>
      </c>
      <c r="CR111">
        <v>-4257</v>
      </c>
      <c r="CS111">
        <v>-1231</v>
      </c>
      <c r="CT111">
        <v>-1732</v>
      </c>
      <c r="CU111">
        <v>-1192</v>
      </c>
      <c r="CV111">
        <v>-1330</v>
      </c>
      <c r="CW111">
        <v>-5485</v>
      </c>
      <c r="CX111">
        <v>-1282</v>
      </c>
      <c r="CY111">
        <v>-1490</v>
      </c>
      <c r="CZ111">
        <v>-1391</v>
      </c>
      <c r="DA111">
        <v>-1781</v>
      </c>
      <c r="DB111">
        <v>-5944</v>
      </c>
      <c r="DC111">
        <v>-1356</v>
      </c>
      <c r="DD111">
        <v>-2024</v>
      </c>
      <c r="DE111">
        <v>-2308</v>
      </c>
      <c r="DF111">
        <v>-2655</v>
      </c>
      <c r="DG111">
        <v>-8343</v>
      </c>
      <c r="DH111">
        <v>-2163</v>
      </c>
      <c r="DI111">
        <v>-1988</v>
      </c>
      <c r="DJ111">
        <v>-1695</v>
      </c>
      <c r="DK111">
        <v>-2283</v>
      </c>
      <c r="DL111">
        <v>-8129</v>
      </c>
      <c r="DM111">
        <v>-2132</v>
      </c>
      <c r="DN111">
        <v>-2586</v>
      </c>
      <c r="DO111">
        <v>-2934</v>
      </c>
      <c r="DP111">
        <v>-3980</v>
      </c>
      <c r="DQ111">
        <v>-11632</v>
      </c>
      <c r="DR111">
        <v>-3602</v>
      </c>
      <c r="DS111">
        <v>-3707</v>
      </c>
      <c r="DT111">
        <v>-2565</v>
      </c>
      <c r="DU111">
        <v>-4051</v>
      </c>
      <c r="DV111">
        <v>-13925</v>
      </c>
      <c r="DW111">
        <v>-3385</v>
      </c>
      <c r="DX111">
        <v>-3545</v>
      </c>
      <c r="DY111">
        <v>-3767</v>
      </c>
      <c r="DZ111">
        <v>-4744</v>
      </c>
      <c r="EA111">
        <v>-15441</v>
      </c>
      <c r="EB111">
        <v>-4907</v>
      </c>
      <c r="EC111">
        <v>-4174</v>
      </c>
      <c r="ED111">
        <v>-5089</v>
      </c>
      <c r="EE111">
        <v>-6452</v>
      </c>
      <c r="EF111">
        <v>-20622</v>
      </c>
      <c r="EG111">
        <v>-5810</v>
      </c>
      <c r="EH111">
        <v>-5865</v>
      </c>
      <c r="EI111">
        <v>-5340</v>
      </c>
      <c r="EJ111">
        <v>-6871</v>
      </c>
      <c r="EK111">
        <v>-23886</v>
      </c>
      <c r="EL111">
        <v>-6283</v>
      </c>
      <c r="EM111">
        <v>-6274</v>
      </c>
      <c r="EN111">
        <v>-6607</v>
      </c>
      <c r="EO111">
        <v>-8943</v>
      </c>
      <c r="EP111">
        <v>-28107</v>
      </c>
      <c r="EQ111">
        <v>-9917</v>
      </c>
      <c r="ER111">
        <v>-9735</v>
      </c>
      <c r="ES111">
        <v>-10952</v>
      </c>
      <c r="ET111">
        <v>-13873</v>
      </c>
      <c r="EU111">
        <v>-44477</v>
      </c>
      <c r="EV111">
        <v>-14923</v>
      </c>
      <c r="EW111">
        <v>-15804</v>
      </c>
      <c r="EX111">
        <v>-16745</v>
      </c>
      <c r="EY111">
        <v>-17840.460024126602</v>
      </c>
      <c r="EZ111">
        <v>-65312.460024126602</v>
      </c>
      <c r="FA111">
        <v>-18275.6891399536</v>
      </c>
      <c r="FB111">
        <v>-19350.512999178602</v>
      </c>
      <c r="FC111">
        <v>-19428.397515090299</v>
      </c>
      <c r="FD111">
        <v>-20692.453710203401</v>
      </c>
      <c r="FE111">
        <v>-77747.053364425796</v>
      </c>
      <c r="FF111">
        <v>-19093.643645501699</v>
      </c>
      <c r="FG111">
        <v>-20217.920406163401</v>
      </c>
      <c r="FH111">
        <v>-20331.155165528002</v>
      </c>
      <c r="FI111">
        <v>-21754.7167470887</v>
      </c>
      <c r="FJ111">
        <v>-81397.435964281802</v>
      </c>
      <c r="FK111">
        <v>-19708.316486746899</v>
      </c>
      <c r="FL111">
        <v>-20869.955073204201</v>
      </c>
      <c r="FM111">
        <v>-21016.247052885999</v>
      </c>
      <c r="FN111">
        <v>-22594.244421652798</v>
      </c>
      <c r="FO111">
        <v>-84188.763034489995</v>
      </c>
    </row>
    <row r="112" spans="1:171">
      <c r="B112" t="s">
        <v>231</v>
      </c>
      <c r="C112" t="s">
        <v>789</v>
      </c>
      <c r="D112" t="s">
        <v>379</v>
      </c>
      <c r="Q112">
        <v>-190</v>
      </c>
      <c r="U112">
        <v>-190</v>
      </c>
      <c r="AP112">
        <v>-870</v>
      </c>
      <c r="AQ112">
        <v>-9</v>
      </c>
      <c r="AR112">
        <v>-12</v>
      </c>
      <c r="AS112">
        <v>-172</v>
      </c>
      <c r="AT112">
        <v>-1063</v>
      </c>
      <c r="AU112">
        <v>-4</v>
      </c>
      <c r="AY112">
        <v>-4</v>
      </c>
      <c r="BA112">
        <v>-1</v>
      </c>
      <c r="BB112">
        <v>-11</v>
      </c>
      <c r="BC112">
        <v>-195</v>
      </c>
      <c r="BD112">
        <v>-207</v>
      </c>
      <c r="BE112">
        <v>-187</v>
      </c>
      <c r="BF112">
        <v>-63</v>
      </c>
      <c r="BG112">
        <v>-83</v>
      </c>
      <c r="BH112">
        <v>-316</v>
      </c>
      <c r="BI112">
        <v>-649</v>
      </c>
      <c r="BJ112">
        <v>-336</v>
      </c>
      <c r="BK112">
        <v>-125</v>
      </c>
      <c r="BL112">
        <v>-41</v>
      </c>
      <c r="BM112">
        <v>-648</v>
      </c>
      <c r="BN112">
        <v>-1150</v>
      </c>
      <c r="BO112">
        <v>-5396</v>
      </c>
      <c r="BP112">
        <v>-433</v>
      </c>
      <c r="BQ112">
        <v>-138</v>
      </c>
      <c r="BR112">
        <v>-2086</v>
      </c>
      <c r="BS112">
        <v>-8053</v>
      </c>
      <c r="BT112">
        <v>-377</v>
      </c>
      <c r="BU112">
        <v>-450</v>
      </c>
      <c r="BW112">
        <v>-41</v>
      </c>
      <c r="BX112">
        <v>-868</v>
      </c>
      <c r="BY112">
        <v>-39</v>
      </c>
      <c r="BZ112">
        <v>-63</v>
      </c>
      <c r="CA112">
        <v>-143</v>
      </c>
      <c r="CC112">
        <v>-245</v>
      </c>
      <c r="CE112">
        <v>-69</v>
      </c>
      <c r="CG112">
        <v>-2</v>
      </c>
      <c r="CH112">
        <v>-71</v>
      </c>
      <c r="CI112">
        <v>-875</v>
      </c>
      <c r="CJ112">
        <v>-8627</v>
      </c>
      <c r="CK112">
        <v>-84</v>
      </c>
      <c r="CL112">
        <v>-526</v>
      </c>
      <c r="CM112">
        <v>-10112</v>
      </c>
      <c r="CN112">
        <v>-1145</v>
      </c>
      <c r="CO112">
        <v>-311</v>
      </c>
      <c r="CP112">
        <v>-108</v>
      </c>
      <c r="CQ112">
        <v>-20</v>
      </c>
      <c r="CR112">
        <v>-1584</v>
      </c>
      <c r="CS112">
        <v>-15</v>
      </c>
      <c r="CT112">
        <v>-139</v>
      </c>
      <c r="CU112">
        <v>-157</v>
      </c>
      <c r="CV112">
        <v>-5626</v>
      </c>
      <c r="CW112">
        <v>-5937</v>
      </c>
      <c r="CX112">
        <v>-141</v>
      </c>
      <c r="CY112">
        <v>-2794</v>
      </c>
      <c r="CZ112">
        <v>-162</v>
      </c>
      <c r="DA112">
        <v>-626</v>
      </c>
      <c r="DB112">
        <v>-3723</v>
      </c>
      <c r="DC112">
        <v>-390</v>
      </c>
      <c r="DD112">
        <v>-381</v>
      </c>
      <c r="DE112">
        <v>-559</v>
      </c>
      <c r="DF112">
        <v>-63</v>
      </c>
      <c r="DG112">
        <v>-1393</v>
      </c>
      <c r="DH112">
        <v>-24</v>
      </c>
      <c r="DI112">
        <v>-24760</v>
      </c>
      <c r="DJ112">
        <v>-802</v>
      </c>
      <c r="DK112">
        <v>-358</v>
      </c>
      <c r="DL112">
        <v>-25944</v>
      </c>
      <c r="DM112">
        <v>-179</v>
      </c>
      <c r="DN112">
        <v>-27</v>
      </c>
      <c r="DO112">
        <v>-248</v>
      </c>
      <c r="DP112">
        <v>-434</v>
      </c>
      <c r="DQ112">
        <v>-888</v>
      </c>
      <c r="DR112">
        <v>-245</v>
      </c>
      <c r="DS112">
        <v>-1593</v>
      </c>
      <c r="DT112">
        <v>-269</v>
      </c>
      <c r="DU112">
        <v>-281</v>
      </c>
      <c r="DV112">
        <v>-2388</v>
      </c>
      <c r="DW112">
        <v>-462</v>
      </c>
      <c r="DX112">
        <v>-80</v>
      </c>
      <c r="DY112">
        <v>-329</v>
      </c>
      <c r="DZ112">
        <v>-1650</v>
      </c>
      <c r="EA112">
        <v>-2521</v>
      </c>
      <c r="EB112">
        <v>-481</v>
      </c>
      <c r="EC112">
        <v>-415</v>
      </c>
      <c r="ED112">
        <v>-7512</v>
      </c>
      <c r="EE112">
        <v>-501</v>
      </c>
      <c r="EF112">
        <v>-8909</v>
      </c>
      <c r="EG112">
        <v>-1206</v>
      </c>
      <c r="EH112">
        <v>-850</v>
      </c>
      <c r="EI112">
        <v>-18719</v>
      </c>
      <c r="EJ112">
        <v>-1263</v>
      </c>
      <c r="EK112">
        <v>-22038</v>
      </c>
      <c r="EL112">
        <v>-349</v>
      </c>
      <c r="EM112">
        <v>-679</v>
      </c>
      <c r="EN112">
        <v>-301</v>
      </c>
      <c r="EO112">
        <v>-341</v>
      </c>
      <c r="EP112">
        <v>-1670</v>
      </c>
      <c r="EQ112">
        <v>-1186</v>
      </c>
      <c r="ER112">
        <v>-65029</v>
      </c>
      <c r="ES112">
        <v>-1575</v>
      </c>
      <c r="ET112">
        <v>-1342</v>
      </c>
      <c r="EU112">
        <v>-69132</v>
      </c>
      <c r="EV112">
        <v>-1849</v>
      </c>
      <c r="EW112">
        <v>-1405</v>
      </c>
      <c r="EX112">
        <v>-981</v>
      </c>
    </row>
    <row r="113" spans="1:171">
      <c r="B113" t="s">
        <v>790</v>
      </c>
      <c r="C113" t="s">
        <v>791</v>
      </c>
      <c r="D113" t="s">
        <v>379</v>
      </c>
    </row>
    <row r="114" spans="1:171">
      <c r="B114" t="s">
        <v>792</v>
      </c>
      <c r="C114" t="s">
        <v>793</v>
      </c>
      <c r="D114" t="s">
        <v>379</v>
      </c>
      <c r="F114">
        <v>-881</v>
      </c>
      <c r="G114">
        <v>-468</v>
      </c>
      <c r="H114">
        <v>-641</v>
      </c>
      <c r="I114">
        <v>-193</v>
      </c>
      <c r="J114">
        <v>-874</v>
      </c>
      <c r="K114">
        <v>-2176</v>
      </c>
      <c r="L114">
        <v>103</v>
      </c>
      <c r="M114">
        <v>-1894</v>
      </c>
      <c r="N114">
        <v>741</v>
      </c>
      <c r="O114">
        <v>-1540</v>
      </c>
      <c r="P114">
        <v>-2590</v>
      </c>
      <c r="Q114">
        <v>-884</v>
      </c>
      <c r="R114">
        <v>-2543</v>
      </c>
      <c r="S114">
        <v>-1281</v>
      </c>
      <c r="T114">
        <v>-1718</v>
      </c>
      <c r="U114">
        <v>-6426</v>
      </c>
      <c r="V114">
        <v>-1766</v>
      </c>
      <c r="W114">
        <v>-1913</v>
      </c>
      <c r="X114">
        <v>-3673</v>
      </c>
      <c r="Y114">
        <v>-3256</v>
      </c>
      <c r="Z114">
        <v>-10608</v>
      </c>
      <c r="AA114">
        <v>-2981</v>
      </c>
      <c r="AB114">
        <v>95</v>
      </c>
      <c r="AC114">
        <v>-4090</v>
      </c>
      <c r="AD114">
        <v>-4072</v>
      </c>
      <c r="AE114">
        <v>-11048</v>
      </c>
      <c r="AF114">
        <v>-3691</v>
      </c>
      <c r="AG114">
        <v>-46</v>
      </c>
      <c r="AH114">
        <v>-2067</v>
      </c>
      <c r="AI114">
        <v>-1827</v>
      </c>
      <c r="AJ114">
        <v>-7631</v>
      </c>
      <c r="AK114">
        <v>-3319</v>
      </c>
      <c r="AL114">
        <v>-1508</v>
      </c>
      <c r="AM114">
        <v>-3830</v>
      </c>
      <c r="AN114">
        <v>-1418</v>
      </c>
      <c r="AO114">
        <v>-10075</v>
      </c>
      <c r="AP114">
        <v>133</v>
      </c>
      <c r="AQ114">
        <v>-1734</v>
      </c>
      <c r="AR114">
        <v>-4013</v>
      </c>
      <c r="AS114">
        <v>355</v>
      </c>
      <c r="AT114">
        <v>-5259</v>
      </c>
      <c r="AU114">
        <v>-3577</v>
      </c>
      <c r="AV114">
        <v>-1777</v>
      </c>
      <c r="AW114">
        <v>-525</v>
      </c>
      <c r="AX114">
        <v>4247</v>
      </c>
      <c r="AY114">
        <v>-1632</v>
      </c>
      <c r="AZ114">
        <v>-7940</v>
      </c>
      <c r="BA114">
        <v>23591</v>
      </c>
      <c r="BB114">
        <v>-1599</v>
      </c>
      <c r="BC114">
        <v>1314</v>
      </c>
      <c r="BD114">
        <v>15366</v>
      </c>
      <c r="BE114">
        <v>-2861</v>
      </c>
      <c r="BF114">
        <v>7073</v>
      </c>
      <c r="BG114">
        <v>1218</v>
      </c>
      <c r="BH114">
        <v>4800</v>
      </c>
      <c r="BI114">
        <v>10230</v>
      </c>
      <c r="BJ114">
        <v>7208</v>
      </c>
      <c r="BK114">
        <v>-1261</v>
      </c>
      <c r="BL114">
        <v>1013</v>
      </c>
      <c r="BM114">
        <v>2543</v>
      </c>
      <c r="BN114">
        <v>9503</v>
      </c>
      <c r="BO114">
        <v>3649</v>
      </c>
      <c r="BP114">
        <v>79</v>
      </c>
      <c r="BQ114">
        <v>119</v>
      </c>
      <c r="BR114">
        <v>2801</v>
      </c>
      <c r="BS114">
        <v>6648</v>
      </c>
      <c r="BT114">
        <v>1750</v>
      </c>
      <c r="BU114">
        <v>-1207</v>
      </c>
      <c r="BV114">
        <v>-5377</v>
      </c>
      <c r="BW114">
        <v>-6949</v>
      </c>
      <c r="BX114">
        <v>-11783</v>
      </c>
      <c r="BY114">
        <v>-725</v>
      </c>
      <c r="BZ114">
        <v>347</v>
      </c>
      <c r="CA114">
        <v>-5353</v>
      </c>
      <c r="CB114">
        <v>-3361</v>
      </c>
      <c r="CC114">
        <v>-9092</v>
      </c>
      <c r="CD114">
        <v>-4393</v>
      </c>
      <c r="CE114">
        <v>-1010</v>
      </c>
      <c r="CF114">
        <v>-6481</v>
      </c>
      <c r="CG114">
        <v>-306</v>
      </c>
      <c r="CH114">
        <v>-12190</v>
      </c>
      <c r="CI114">
        <v>-1004</v>
      </c>
      <c r="CJ114">
        <v>3557</v>
      </c>
      <c r="CK114">
        <v>-11408</v>
      </c>
      <c r="CL114">
        <v>-3514</v>
      </c>
      <c r="CM114">
        <v>-12369</v>
      </c>
      <c r="CN114">
        <v>-5971</v>
      </c>
      <c r="CO114">
        <v>-1352</v>
      </c>
      <c r="CP114">
        <v>-6622</v>
      </c>
      <c r="CQ114">
        <v>-4025</v>
      </c>
      <c r="CR114">
        <v>-17970</v>
      </c>
      <c r="CS114">
        <v>-3368</v>
      </c>
      <c r="CT114">
        <v>846</v>
      </c>
      <c r="CU114">
        <v>-2935</v>
      </c>
      <c r="CV114">
        <v>-1954</v>
      </c>
      <c r="CW114">
        <v>-7411</v>
      </c>
      <c r="CX114">
        <v>-6314</v>
      </c>
      <c r="CY114">
        <v>-432</v>
      </c>
      <c r="CZ114">
        <v>-3928</v>
      </c>
      <c r="DA114">
        <v>-2660</v>
      </c>
      <c r="DB114">
        <v>-13334</v>
      </c>
      <c r="DC114">
        <v>-3320</v>
      </c>
      <c r="DD114">
        <v>-923</v>
      </c>
      <c r="DE114">
        <v>-2616</v>
      </c>
      <c r="DF114">
        <v>-7355</v>
      </c>
      <c r="DG114">
        <v>-14214</v>
      </c>
      <c r="DH114">
        <v>-16283</v>
      </c>
      <c r="DI114">
        <v>11997</v>
      </c>
      <c r="DJ114">
        <v>-3694</v>
      </c>
      <c r="DK114">
        <v>-4728</v>
      </c>
      <c r="DL114">
        <v>-12708</v>
      </c>
      <c r="DM114">
        <v>-4593</v>
      </c>
      <c r="DN114">
        <v>2282</v>
      </c>
      <c r="DO114">
        <v>7026</v>
      </c>
      <c r="DP114">
        <v>1744</v>
      </c>
      <c r="DQ114">
        <v>6459</v>
      </c>
      <c r="DR114">
        <v>894</v>
      </c>
      <c r="DS114">
        <v>1100</v>
      </c>
      <c r="DT114">
        <v>1471</v>
      </c>
      <c r="DU114">
        <v>-2925</v>
      </c>
      <c r="DV114">
        <v>540</v>
      </c>
      <c r="DW114">
        <v>2071</v>
      </c>
      <c r="DX114">
        <v>-2411</v>
      </c>
      <c r="DY114">
        <v>4147</v>
      </c>
      <c r="DZ114">
        <v>1932</v>
      </c>
      <c r="EA114">
        <v>5739</v>
      </c>
      <c r="EB114">
        <v>17</v>
      </c>
      <c r="EC114">
        <v>2920</v>
      </c>
      <c r="ED114">
        <v>2917</v>
      </c>
      <c r="EE114">
        <v>-3900</v>
      </c>
      <c r="EF114">
        <v>1954</v>
      </c>
      <c r="EG114">
        <v>3766</v>
      </c>
      <c r="EH114">
        <v>5554</v>
      </c>
      <c r="EI114">
        <v>7888</v>
      </c>
      <c r="EJ114">
        <v>-1595</v>
      </c>
      <c r="EK114">
        <v>15613</v>
      </c>
      <c r="EL114">
        <v>3500</v>
      </c>
      <c r="EM114">
        <v>-197</v>
      </c>
      <c r="EN114">
        <v>3644</v>
      </c>
      <c r="EO114">
        <v>150</v>
      </c>
      <c r="EP114">
        <v>7097</v>
      </c>
      <c r="EQ114">
        <v>11606</v>
      </c>
      <c r="ER114">
        <v>2839</v>
      </c>
      <c r="ES114">
        <v>1827</v>
      </c>
      <c r="ET114">
        <v>367</v>
      </c>
      <c r="EU114">
        <v>16639</v>
      </c>
      <c r="EV114">
        <v>1571</v>
      </c>
      <c r="EW114">
        <v>3097</v>
      </c>
      <c r="EX114">
        <v>5012</v>
      </c>
    </row>
    <row r="115" spans="1:171">
      <c r="B115" t="s">
        <v>794</v>
      </c>
      <c r="C115" t="s">
        <v>795</v>
      </c>
      <c r="D115" t="s">
        <v>379</v>
      </c>
      <c r="F115">
        <v>-1376</v>
      </c>
      <c r="G115">
        <v>-584</v>
      </c>
      <c r="H115">
        <v>-729</v>
      </c>
      <c r="I115">
        <v>-325</v>
      </c>
      <c r="J115">
        <v>-1032</v>
      </c>
      <c r="K115">
        <v>-2670</v>
      </c>
      <c r="L115">
        <v>4</v>
      </c>
      <c r="M115">
        <v>-2011</v>
      </c>
      <c r="N115">
        <v>631</v>
      </c>
      <c r="O115">
        <v>-1713</v>
      </c>
      <c r="P115">
        <v>-3089</v>
      </c>
      <c r="Q115">
        <v>-1191</v>
      </c>
      <c r="R115">
        <v>-2694</v>
      </c>
      <c r="S115">
        <v>-1428</v>
      </c>
      <c r="T115">
        <v>-1959</v>
      </c>
      <c r="U115">
        <v>-7272</v>
      </c>
      <c r="V115">
        <v>-1872</v>
      </c>
      <c r="W115">
        <v>-2048</v>
      </c>
      <c r="X115">
        <v>-3723</v>
      </c>
      <c r="Y115">
        <v>-3548</v>
      </c>
      <c r="Z115">
        <v>-11191</v>
      </c>
      <c r="AA115">
        <v>-3120</v>
      </c>
      <c r="AB115">
        <v>-137</v>
      </c>
      <c r="AC115">
        <v>-4336</v>
      </c>
      <c r="AD115">
        <v>-4334</v>
      </c>
      <c r="AE115">
        <v>-11927</v>
      </c>
      <c r="AF115">
        <v>-3936</v>
      </c>
      <c r="AG115">
        <v>-318</v>
      </c>
      <c r="AH115">
        <v>-2331</v>
      </c>
      <c r="AI115">
        <v>-2149</v>
      </c>
      <c r="AJ115">
        <v>-8734</v>
      </c>
      <c r="AK115">
        <v>-3469</v>
      </c>
      <c r="AL115">
        <v>-1680</v>
      </c>
      <c r="AM115">
        <v>-3996</v>
      </c>
      <c r="AN115">
        <v>-1700</v>
      </c>
      <c r="AO115">
        <v>-10845</v>
      </c>
      <c r="AP115">
        <v>-897</v>
      </c>
      <c r="AQ115">
        <v>-2019</v>
      </c>
      <c r="AR115">
        <v>-4207</v>
      </c>
      <c r="AS115">
        <v>-90</v>
      </c>
      <c r="AT115">
        <v>-7213</v>
      </c>
      <c r="AU115">
        <v>-3748</v>
      </c>
      <c r="AV115">
        <v>-1949</v>
      </c>
      <c r="AW115">
        <v>-738</v>
      </c>
      <c r="AX115">
        <v>3690</v>
      </c>
      <c r="AY115">
        <v>-2745</v>
      </c>
      <c r="AZ115">
        <v>-8113</v>
      </c>
      <c r="BA115">
        <v>23414</v>
      </c>
      <c r="BB115">
        <v>-1813</v>
      </c>
      <c r="BC115">
        <v>859</v>
      </c>
      <c r="BD115">
        <v>14347</v>
      </c>
      <c r="BE115">
        <v>-3261</v>
      </c>
      <c r="BF115">
        <v>6692</v>
      </c>
      <c r="BG115">
        <v>833</v>
      </c>
      <c r="BH115">
        <v>3739</v>
      </c>
      <c r="BI115">
        <v>8003</v>
      </c>
      <c r="BJ115">
        <v>6461</v>
      </c>
      <c r="BK115">
        <v>-1958</v>
      </c>
      <c r="BL115">
        <v>511</v>
      </c>
      <c r="BM115">
        <v>1075</v>
      </c>
      <c r="BN115">
        <v>6089</v>
      </c>
      <c r="BO115">
        <v>-2257</v>
      </c>
      <c r="BP115">
        <v>-1049</v>
      </c>
      <c r="BQ115">
        <v>-778</v>
      </c>
      <c r="BR115">
        <v>-503</v>
      </c>
      <c r="BS115">
        <v>-4587</v>
      </c>
      <c r="BT115">
        <v>595</v>
      </c>
      <c r="BU115">
        <v>-2499</v>
      </c>
      <c r="BV115">
        <v>-6009</v>
      </c>
      <c r="BW115">
        <v>-7857</v>
      </c>
      <c r="BX115">
        <v>-15770</v>
      </c>
      <c r="BY115">
        <v>-1199</v>
      </c>
      <c r="BZ115">
        <v>-92</v>
      </c>
      <c r="CA115">
        <v>-5904</v>
      </c>
      <c r="CB115">
        <v>-4119</v>
      </c>
      <c r="CC115">
        <v>-11314</v>
      </c>
      <c r="CD115">
        <v>-4957</v>
      </c>
      <c r="CE115">
        <v>-1570</v>
      </c>
      <c r="CF115">
        <v>-7139</v>
      </c>
      <c r="CG115">
        <v>-950</v>
      </c>
      <c r="CH115">
        <v>-14616</v>
      </c>
      <c r="CI115">
        <v>-2315</v>
      </c>
      <c r="CJ115">
        <v>-5568</v>
      </c>
      <c r="CK115">
        <v>-12241</v>
      </c>
      <c r="CL115">
        <v>-4662</v>
      </c>
      <c r="CM115">
        <v>-24786</v>
      </c>
      <c r="CN115">
        <v>-7719</v>
      </c>
      <c r="CO115">
        <v>-2593</v>
      </c>
      <c r="CP115">
        <v>-7660</v>
      </c>
      <c r="CQ115">
        <v>-5839</v>
      </c>
      <c r="CR115">
        <v>-23811</v>
      </c>
      <c r="CS115">
        <v>-4614</v>
      </c>
      <c r="CT115">
        <v>-1025</v>
      </c>
      <c r="CU115">
        <v>-4284</v>
      </c>
      <c r="CV115">
        <v>-8910</v>
      </c>
      <c r="CW115">
        <v>-18833</v>
      </c>
      <c r="CX115">
        <v>-7737</v>
      </c>
      <c r="CY115">
        <v>-4716</v>
      </c>
      <c r="CZ115">
        <v>-5481</v>
      </c>
      <c r="DA115">
        <v>-5067</v>
      </c>
      <c r="DB115">
        <v>-23001</v>
      </c>
      <c r="DC115">
        <v>-5066</v>
      </c>
      <c r="DD115">
        <v>-3328</v>
      </c>
      <c r="DE115">
        <v>-5483</v>
      </c>
      <c r="DF115">
        <v>-10073</v>
      </c>
      <c r="DG115">
        <v>-23950</v>
      </c>
      <c r="DH115">
        <v>-18470</v>
      </c>
      <c r="DI115">
        <v>-14751</v>
      </c>
      <c r="DJ115">
        <v>-6191</v>
      </c>
      <c r="DK115">
        <v>-7369</v>
      </c>
      <c r="DL115">
        <v>-46781</v>
      </c>
      <c r="DM115">
        <v>-6904</v>
      </c>
      <c r="DN115">
        <v>-331</v>
      </c>
      <c r="DO115">
        <v>3844</v>
      </c>
      <c r="DP115">
        <v>-2670</v>
      </c>
      <c r="DQ115">
        <v>-6061</v>
      </c>
      <c r="DR115">
        <v>-2953</v>
      </c>
      <c r="DS115">
        <v>-4200</v>
      </c>
      <c r="DT115">
        <v>-1363</v>
      </c>
      <c r="DU115">
        <v>-7257</v>
      </c>
      <c r="DV115">
        <v>-15773</v>
      </c>
      <c r="DW115">
        <v>-1776</v>
      </c>
      <c r="DX115">
        <v>-6036</v>
      </c>
      <c r="DY115">
        <v>51</v>
      </c>
      <c r="DZ115">
        <v>-4462</v>
      </c>
      <c r="EA115">
        <v>-12223</v>
      </c>
      <c r="EB115">
        <v>-5371</v>
      </c>
      <c r="EC115">
        <v>-1669</v>
      </c>
      <c r="ED115">
        <v>-9684</v>
      </c>
      <c r="EE115">
        <v>-10853</v>
      </c>
      <c r="EF115">
        <v>-27577</v>
      </c>
      <c r="EG115">
        <v>-3250</v>
      </c>
      <c r="EH115">
        <v>-1161</v>
      </c>
      <c r="EI115">
        <v>-16171</v>
      </c>
      <c r="EJ115">
        <v>-9729</v>
      </c>
      <c r="EK115">
        <v>-30311</v>
      </c>
      <c r="EL115">
        <v>-3132</v>
      </c>
      <c r="EM115">
        <v>-7150</v>
      </c>
      <c r="EN115">
        <v>-3264</v>
      </c>
      <c r="EO115">
        <v>-9134</v>
      </c>
      <c r="EP115">
        <v>-22680</v>
      </c>
      <c r="EQ115">
        <v>503</v>
      </c>
      <c r="ER115">
        <v>-71925</v>
      </c>
      <c r="ES115">
        <v>-10700</v>
      </c>
      <c r="ET115">
        <v>-14848</v>
      </c>
      <c r="EU115">
        <v>-96970</v>
      </c>
      <c r="EV115">
        <v>-15201</v>
      </c>
      <c r="EW115">
        <v>-14112</v>
      </c>
      <c r="EX115">
        <v>-12714</v>
      </c>
      <c r="EY115">
        <v>-17840.460024126602</v>
      </c>
      <c r="EZ115">
        <v>-59867.460024126602</v>
      </c>
      <c r="FA115">
        <v>-18275.6891399536</v>
      </c>
      <c r="FB115">
        <v>-19350.512999178602</v>
      </c>
      <c r="FC115">
        <v>-19428.397515090299</v>
      </c>
      <c r="FD115">
        <v>-20692.453710203401</v>
      </c>
      <c r="FE115">
        <v>-77747.053364425796</v>
      </c>
      <c r="FF115">
        <v>-19093.643645501699</v>
      </c>
      <c r="FG115">
        <v>-20217.920406163401</v>
      </c>
      <c r="FH115">
        <v>-20331.155165528002</v>
      </c>
      <c r="FI115">
        <v>-21754.7167470887</v>
      </c>
      <c r="FJ115">
        <v>-81397.435964281802</v>
      </c>
      <c r="FK115">
        <v>-19708.316486746899</v>
      </c>
      <c r="FL115">
        <v>-20869.955073204201</v>
      </c>
      <c r="FM115">
        <v>-21016.247052885999</v>
      </c>
      <c r="FN115">
        <v>-22594.244421652798</v>
      </c>
      <c r="FO115">
        <v>-84188.763034489995</v>
      </c>
    </row>
    <row r="116" spans="1:171">
      <c r="B116" t="s">
        <v>796</v>
      </c>
      <c r="C116" t="s">
        <v>797</v>
      </c>
      <c r="D116" t="s">
        <v>379</v>
      </c>
      <c r="AR116">
        <v>-857</v>
      </c>
      <c r="AT116">
        <v>-857</v>
      </c>
      <c r="AV116">
        <v>-1729</v>
      </c>
      <c r="AY116">
        <v>-1729</v>
      </c>
      <c r="AZ116">
        <v>-870</v>
      </c>
      <c r="BA116">
        <v>-33498</v>
      </c>
      <c r="BB116">
        <v>-885</v>
      </c>
      <c r="BC116">
        <v>-859</v>
      </c>
      <c r="BD116">
        <v>-36112</v>
      </c>
      <c r="BE116">
        <v>-857</v>
      </c>
      <c r="BF116">
        <v>-846</v>
      </c>
      <c r="BG116">
        <v>-925</v>
      </c>
      <c r="BH116">
        <v>-917</v>
      </c>
      <c r="BI116">
        <v>-3545</v>
      </c>
      <c r="BJ116">
        <v>-897</v>
      </c>
      <c r="BK116">
        <v>-980</v>
      </c>
      <c r="BL116">
        <v>-976</v>
      </c>
      <c r="BM116">
        <v>-952</v>
      </c>
      <c r="BN116">
        <v>-3805</v>
      </c>
      <c r="BO116">
        <v>-938</v>
      </c>
      <c r="BP116">
        <v>-1034</v>
      </c>
      <c r="BQ116">
        <v>-1023</v>
      </c>
      <c r="BR116">
        <v>-1020</v>
      </c>
      <c r="BS116">
        <v>-4015</v>
      </c>
      <c r="BT116">
        <v>-998</v>
      </c>
      <c r="BU116">
        <v>-1157</v>
      </c>
      <c r="BV116">
        <v>-1155</v>
      </c>
      <c r="BW116">
        <v>-1158</v>
      </c>
      <c r="BX116">
        <v>-4468</v>
      </c>
      <c r="BY116">
        <v>-1157</v>
      </c>
      <c r="BZ116">
        <v>-1152</v>
      </c>
      <c r="CA116">
        <v>-1139</v>
      </c>
      <c r="CB116">
        <v>-1130</v>
      </c>
      <c r="CC116">
        <v>-4578</v>
      </c>
      <c r="CD116">
        <v>-1118</v>
      </c>
      <c r="CE116">
        <v>-1363</v>
      </c>
      <c r="CF116">
        <v>-1349</v>
      </c>
      <c r="CG116">
        <v>-1350</v>
      </c>
      <c r="CH116">
        <v>-5180</v>
      </c>
      <c r="CI116">
        <v>-1341</v>
      </c>
      <c r="CJ116">
        <v>-1683</v>
      </c>
      <c r="CK116">
        <v>-1683</v>
      </c>
      <c r="CL116">
        <v>-1678</v>
      </c>
      <c r="CM116">
        <v>-6385</v>
      </c>
      <c r="CN116">
        <v>-1676</v>
      </c>
      <c r="CO116">
        <v>-1933</v>
      </c>
      <c r="CP116">
        <v>-1925</v>
      </c>
      <c r="CQ116">
        <v>-1921</v>
      </c>
      <c r="CR116">
        <v>-7455</v>
      </c>
      <c r="CS116">
        <v>-1916</v>
      </c>
      <c r="CT116">
        <v>-2332</v>
      </c>
      <c r="CU116">
        <v>-2322</v>
      </c>
      <c r="CV116">
        <v>-2309</v>
      </c>
      <c r="CW116">
        <v>-8879</v>
      </c>
      <c r="CX116">
        <v>-2307</v>
      </c>
      <c r="CY116">
        <v>-2547</v>
      </c>
      <c r="CZ116">
        <v>-2532</v>
      </c>
      <c r="DA116">
        <v>-2496</v>
      </c>
      <c r="DB116">
        <v>-9882</v>
      </c>
      <c r="DC116">
        <v>-2475</v>
      </c>
      <c r="DD116">
        <v>-2868</v>
      </c>
      <c r="DE116">
        <v>-2842</v>
      </c>
      <c r="DF116">
        <v>-2821</v>
      </c>
      <c r="DG116">
        <v>-11006</v>
      </c>
      <c r="DH116">
        <v>-2800</v>
      </c>
      <c r="DI116">
        <v>-3024</v>
      </c>
      <c r="DJ116">
        <v>-3012</v>
      </c>
      <c r="DK116">
        <v>-3009</v>
      </c>
      <c r="DL116">
        <v>-11845</v>
      </c>
      <c r="DM116">
        <v>-3003</v>
      </c>
      <c r="DN116">
        <v>-3238</v>
      </c>
      <c r="DO116">
        <v>-3232</v>
      </c>
      <c r="DP116">
        <v>-3226</v>
      </c>
      <c r="DQ116">
        <v>-12699</v>
      </c>
      <c r="DR116">
        <v>-3220</v>
      </c>
      <c r="DS116">
        <v>-3544</v>
      </c>
      <c r="DT116">
        <v>-3526</v>
      </c>
      <c r="DU116">
        <v>-3521</v>
      </c>
      <c r="DV116">
        <v>-13811</v>
      </c>
      <c r="DW116">
        <v>-3510</v>
      </c>
      <c r="DX116">
        <v>-3886</v>
      </c>
      <c r="DY116">
        <v>-3876</v>
      </c>
      <c r="DZ116">
        <v>-3865</v>
      </c>
      <c r="EA116">
        <v>-15137</v>
      </c>
      <c r="EB116">
        <v>-3856</v>
      </c>
      <c r="EC116">
        <v>-4230</v>
      </c>
      <c r="ED116">
        <v>-4221</v>
      </c>
      <c r="EE116">
        <v>-4214</v>
      </c>
      <c r="EF116">
        <v>-16521</v>
      </c>
      <c r="EG116">
        <v>-4206</v>
      </c>
      <c r="EH116">
        <v>-4652</v>
      </c>
      <c r="EI116">
        <v>-4645</v>
      </c>
      <c r="EJ116">
        <v>-4632</v>
      </c>
      <c r="EK116">
        <v>-18135</v>
      </c>
      <c r="EL116">
        <v>-4621</v>
      </c>
      <c r="EM116">
        <v>-5066</v>
      </c>
      <c r="EN116">
        <v>-5059</v>
      </c>
      <c r="EO116">
        <v>-5054</v>
      </c>
      <c r="EP116">
        <v>-19800</v>
      </c>
      <c r="EQ116">
        <v>-5051</v>
      </c>
      <c r="ER116">
        <v>-5574</v>
      </c>
      <c r="ES116">
        <v>-5572</v>
      </c>
      <c r="ET116">
        <v>-5574</v>
      </c>
      <c r="EU116">
        <v>-21771</v>
      </c>
      <c r="EV116">
        <v>-5574</v>
      </c>
      <c r="EW116">
        <v>-6170</v>
      </c>
      <c r="EX116">
        <v>-6169</v>
      </c>
      <c r="EY116">
        <v>-6166.0807383122701</v>
      </c>
      <c r="EZ116">
        <v>-24079.080738312299</v>
      </c>
      <c r="FA116">
        <v>-6143.6574908414696</v>
      </c>
      <c r="FB116">
        <v>-6796.2136686322601</v>
      </c>
      <c r="FC116">
        <v>-6793.6168215441403</v>
      </c>
      <c r="FD116">
        <v>-6791.9315585867698</v>
      </c>
      <c r="FE116">
        <v>-26525.419539604602</v>
      </c>
      <c r="FF116">
        <v>-6767.6873643578001</v>
      </c>
      <c r="FG116">
        <v>-7487.0244977594502</v>
      </c>
      <c r="FH116">
        <v>-7484.6579038590698</v>
      </c>
      <c r="FI116">
        <v>-7483.2908802019601</v>
      </c>
      <c r="FJ116">
        <v>-29222.660646178301</v>
      </c>
      <c r="FK116">
        <v>-7457.0623596134901</v>
      </c>
      <c r="FL116">
        <v>-8250.2031984858295</v>
      </c>
      <c r="FM116">
        <v>-8248.1204568091707</v>
      </c>
      <c r="FN116">
        <v>-8247.1341866361399</v>
      </c>
      <c r="FO116">
        <v>-32202.520201544601</v>
      </c>
    </row>
    <row r="117" spans="1:171">
      <c r="B117" t="s">
        <v>798</v>
      </c>
      <c r="C117" t="s">
        <v>799</v>
      </c>
      <c r="D117" t="s">
        <v>379</v>
      </c>
      <c r="F117">
        <v>-317</v>
      </c>
      <c r="G117">
        <v>-31</v>
      </c>
      <c r="H117">
        <v>-268</v>
      </c>
      <c r="I117">
        <v>-117</v>
      </c>
      <c r="J117">
        <v>-341</v>
      </c>
      <c r="K117">
        <v>-757</v>
      </c>
      <c r="L117">
        <v>-514</v>
      </c>
      <c r="M117">
        <v>-273</v>
      </c>
      <c r="N117">
        <v>-1761</v>
      </c>
      <c r="O117">
        <v>191</v>
      </c>
      <c r="P117">
        <v>-2357</v>
      </c>
      <c r="Q117">
        <v>-706</v>
      </c>
      <c r="R117">
        <v>-562</v>
      </c>
      <c r="S117">
        <v>313</v>
      </c>
      <c r="T117">
        <v>-554</v>
      </c>
      <c r="U117">
        <v>-1509</v>
      </c>
      <c r="V117">
        <v>-188</v>
      </c>
      <c r="W117">
        <v>30</v>
      </c>
      <c r="X117">
        <v>-267</v>
      </c>
      <c r="Y117">
        <v>-1175</v>
      </c>
      <c r="Z117">
        <v>-1600</v>
      </c>
      <c r="AA117">
        <v>-573</v>
      </c>
      <c r="AB117">
        <v>-3366</v>
      </c>
      <c r="AC117">
        <v>817</v>
      </c>
      <c r="AD117">
        <v>471</v>
      </c>
      <c r="AE117">
        <v>-2651</v>
      </c>
      <c r="AF117">
        <v>-1377</v>
      </c>
      <c r="AG117">
        <v>-1150</v>
      </c>
      <c r="AH117">
        <v>-759</v>
      </c>
      <c r="AI117">
        <v>-1168</v>
      </c>
      <c r="AJ117">
        <v>-4454</v>
      </c>
      <c r="AK117">
        <v>-734</v>
      </c>
      <c r="AL117">
        <v>254</v>
      </c>
      <c r="AM117">
        <v>-251</v>
      </c>
      <c r="AN117">
        <v>-3841</v>
      </c>
      <c r="AO117">
        <v>-4572</v>
      </c>
      <c r="AP117">
        <v>-2958</v>
      </c>
      <c r="AQ117">
        <v>-571</v>
      </c>
      <c r="AR117">
        <v>-354</v>
      </c>
      <c r="AS117">
        <v>-483</v>
      </c>
      <c r="AT117">
        <v>-4366</v>
      </c>
      <c r="AU117">
        <v>-350</v>
      </c>
      <c r="AV117">
        <v>-541</v>
      </c>
      <c r="AW117">
        <v>-1040</v>
      </c>
      <c r="AX117">
        <v>1296</v>
      </c>
      <c r="AY117">
        <v>-635</v>
      </c>
      <c r="AZ117">
        <v>132</v>
      </c>
      <c r="BA117">
        <v>-174</v>
      </c>
      <c r="BB117">
        <v>-2073</v>
      </c>
      <c r="BC117">
        <v>-2833</v>
      </c>
      <c r="BD117">
        <v>-4948</v>
      </c>
      <c r="BE117">
        <v>-2115</v>
      </c>
      <c r="BF117">
        <v>-6969</v>
      </c>
      <c r="BG117">
        <v>-4233</v>
      </c>
      <c r="BH117">
        <v>-3789</v>
      </c>
      <c r="BI117">
        <v>-17106</v>
      </c>
      <c r="BJ117">
        <v>-7298</v>
      </c>
      <c r="BK117">
        <v>-1348</v>
      </c>
      <c r="BL117">
        <v>-6094</v>
      </c>
      <c r="BM117">
        <v>-6053</v>
      </c>
      <c r="BN117">
        <v>-20793</v>
      </c>
      <c r="BO117">
        <v>-2284</v>
      </c>
      <c r="BP117">
        <v>-1722</v>
      </c>
      <c r="BQ117">
        <v>-972</v>
      </c>
      <c r="BR117">
        <v>-4061</v>
      </c>
      <c r="BS117">
        <v>-9039</v>
      </c>
      <c r="BT117">
        <v>-6265</v>
      </c>
      <c r="BU117">
        <v>-2724</v>
      </c>
      <c r="BV117">
        <v>94</v>
      </c>
      <c r="BW117">
        <v>121</v>
      </c>
      <c r="BX117">
        <v>-8774</v>
      </c>
      <c r="BY117">
        <v>-1292</v>
      </c>
      <c r="BZ117">
        <v>-3138</v>
      </c>
      <c r="CA117">
        <v>-1601</v>
      </c>
      <c r="CB117">
        <v>-2927</v>
      </c>
      <c r="CC117">
        <v>-8958</v>
      </c>
      <c r="CD117">
        <v>-4222</v>
      </c>
      <c r="CE117">
        <v>-4392</v>
      </c>
      <c r="CF117">
        <v>557</v>
      </c>
      <c r="CG117">
        <v>-1076</v>
      </c>
      <c r="CH117">
        <v>-9133</v>
      </c>
      <c r="CI117">
        <v>-1598</v>
      </c>
      <c r="CJ117">
        <v>-834</v>
      </c>
      <c r="CK117">
        <v>68</v>
      </c>
      <c r="CL117">
        <v>-752</v>
      </c>
      <c r="CM117">
        <v>-3116</v>
      </c>
      <c r="CN117">
        <v>-1215</v>
      </c>
      <c r="CO117">
        <v>-1513</v>
      </c>
      <c r="CP117">
        <v>-825</v>
      </c>
      <c r="CQ117">
        <v>-876</v>
      </c>
      <c r="CR117">
        <v>-4429</v>
      </c>
      <c r="CS117">
        <v>-1985</v>
      </c>
      <c r="CT117">
        <v>-1996</v>
      </c>
      <c r="CU117">
        <v>-1704</v>
      </c>
      <c r="CV117">
        <v>-1024</v>
      </c>
      <c r="CW117">
        <v>-6709</v>
      </c>
      <c r="CX117">
        <v>-2672</v>
      </c>
      <c r="CY117">
        <v>-2024</v>
      </c>
      <c r="CZ117">
        <v>-4985</v>
      </c>
      <c r="DA117">
        <v>-4128</v>
      </c>
      <c r="DB117">
        <v>-13809</v>
      </c>
      <c r="DC117">
        <v>-4538</v>
      </c>
      <c r="DD117">
        <v>-3561</v>
      </c>
      <c r="DE117">
        <v>-3698</v>
      </c>
      <c r="DF117">
        <v>-3504</v>
      </c>
      <c r="DG117">
        <v>-15301</v>
      </c>
      <c r="DH117">
        <v>-4121</v>
      </c>
      <c r="DI117">
        <v>-3468</v>
      </c>
      <c r="DJ117">
        <v>-1883</v>
      </c>
      <c r="DK117">
        <v>-1544</v>
      </c>
      <c r="DL117">
        <v>-11016</v>
      </c>
      <c r="DM117">
        <v>-2263</v>
      </c>
      <c r="DN117">
        <v>-1819</v>
      </c>
      <c r="DO117">
        <v>-3530</v>
      </c>
      <c r="DP117">
        <v>-2107</v>
      </c>
      <c r="DQ117">
        <v>-9719</v>
      </c>
      <c r="DR117">
        <v>-3384</v>
      </c>
      <c r="DS117">
        <v>-6213</v>
      </c>
      <c r="DT117">
        <v>-4479</v>
      </c>
      <c r="DU117">
        <v>-4325</v>
      </c>
      <c r="DV117">
        <v>-18401</v>
      </c>
      <c r="DW117">
        <v>-4485</v>
      </c>
      <c r="DX117">
        <v>-4972</v>
      </c>
      <c r="DY117">
        <v>-6717</v>
      </c>
      <c r="DZ117">
        <v>-5451</v>
      </c>
      <c r="EA117">
        <v>-21625</v>
      </c>
      <c r="EB117">
        <v>-6198</v>
      </c>
      <c r="EC117">
        <v>-6233</v>
      </c>
      <c r="ED117">
        <v>-6534</v>
      </c>
      <c r="EE117">
        <v>-6727</v>
      </c>
      <c r="EF117">
        <v>-25692</v>
      </c>
      <c r="EG117">
        <v>-7072</v>
      </c>
      <c r="EH117">
        <v>-7142</v>
      </c>
      <c r="EI117">
        <v>-8345</v>
      </c>
      <c r="EJ117">
        <v>-8296</v>
      </c>
      <c r="EK117">
        <v>-30855</v>
      </c>
      <c r="EL117">
        <v>-4998</v>
      </c>
      <c r="EM117">
        <v>-5216</v>
      </c>
      <c r="EN117">
        <v>-4973</v>
      </c>
      <c r="EO117">
        <v>-5192</v>
      </c>
      <c r="EP117">
        <v>-20379</v>
      </c>
      <c r="EQ117">
        <v>-4146</v>
      </c>
      <c r="ER117">
        <v>-3739</v>
      </c>
      <c r="ES117">
        <v>-3691</v>
      </c>
      <c r="ET117">
        <v>-3676</v>
      </c>
      <c r="EU117">
        <v>-15252</v>
      </c>
      <c r="EV117">
        <v>-3401</v>
      </c>
      <c r="EW117">
        <v>-4730</v>
      </c>
      <c r="EX117">
        <v>-4235</v>
      </c>
      <c r="EY117">
        <v>-4781</v>
      </c>
      <c r="EZ117">
        <v>-18655</v>
      </c>
      <c r="FA117">
        <v>-4281</v>
      </c>
      <c r="FB117">
        <v>-4281</v>
      </c>
      <c r="FC117">
        <v>-4281</v>
      </c>
      <c r="FD117">
        <v>-4281</v>
      </c>
      <c r="FE117">
        <v>-17124</v>
      </c>
      <c r="FF117">
        <v>-4281</v>
      </c>
      <c r="FG117">
        <v>-4281</v>
      </c>
      <c r="FH117">
        <v>-4281</v>
      </c>
      <c r="FI117">
        <v>-4281</v>
      </c>
      <c r="FJ117">
        <v>-17124</v>
      </c>
      <c r="FK117">
        <v>-4281</v>
      </c>
      <c r="FL117">
        <v>-4281</v>
      </c>
      <c r="FM117">
        <v>-4281</v>
      </c>
      <c r="FN117">
        <v>-4281</v>
      </c>
      <c r="FO117">
        <v>-17124</v>
      </c>
    </row>
    <row r="118" spans="1:171">
      <c r="B118" t="s">
        <v>800</v>
      </c>
      <c r="C118" t="s">
        <v>801</v>
      </c>
      <c r="D118" t="s">
        <v>379</v>
      </c>
      <c r="AP118">
        <v>0</v>
      </c>
      <c r="AQ118">
        <v>0</v>
      </c>
      <c r="AR118">
        <v>0</v>
      </c>
      <c r="AS118">
        <v>0</v>
      </c>
      <c r="BT118">
        <v>1975</v>
      </c>
      <c r="BU118">
        <v>21</v>
      </c>
      <c r="BV118">
        <v>-1</v>
      </c>
      <c r="BW118">
        <v>3751</v>
      </c>
      <c r="BX118">
        <v>5746</v>
      </c>
      <c r="BY118">
        <v>250</v>
      </c>
      <c r="BZ118">
        <v>-2</v>
      </c>
      <c r="CB118">
        <v>-58</v>
      </c>
      <c r="CC118">
        <v>190</v>
      </c>
      <c r="CD118">
        <v>4721</v>
      </c>
      <c r="CE118">
        <v>-1000</v>
      </c>
      <c r="CF118">
        <v>2239</v>
      </c>
      <c r="CG118">
        <v>0</v>
      </c>
      <c r="CH118">
        <v>5960</v>
      </c>
      <c r="CI118">
        <v>0</v>
      </c>
      <c r="CJ118">
        <v>0</v>
      </c>
      <c r="CK118">
        <v>0</v>
      </c>
      <c r="CL118">
        <v>0</v>
      </c>
      <c r="CM118">
        <v>0</v>
      </c>
      <c r="CN118">
        <v>0</v>
      </c>
      <c r="CO118">
        <v>2232</v>
      </c>
      <c r="CP118">
        <v>0</v>
      </c>
      <c r="CQ118">
        <v>1305</v>
      </c>
      <c r="CR118">
        <v>3537</v>
      </c>
      <c r="CS118">
        <v>300</v>
      </c>
      <c r="CT118">
        <v>6962</v>
      </c>
      <c r="CU118">
        <v>-300</v>
      </c>
      <c r="CV118">
        <v>0</v>
      </c>
      <c r="CW118">
        <v>6962</v>
      </c>
      <c r="CX118">
        <v>1499</v>
      </c>
      <c r="CY118">
        <v>4798</v>
      </c>
      <c r="CZ118">
        <v>4105</v>
      </c>
      <c r="DA118">
        <v>3259</v>
      </c>
      <c r="DB118">
        <v>13661</v>
      </c>
      <c r="DC118">
        <v>3261</v>
      </c>
      <c r="DD118">
        <v>5976</v>
      </c>
      <c r="DE118">
        <v>1747</v>
      </c>
      <c r="DF118">
        <v>7299</v>
      </c>
      <c r="DG118">
        <v>18283</v>
      </c>
      <c r="DH118">
        <v>21362</v>
      </c>
      <c r="DI118">
        <v>9196</v>
      </c>
      <c r="DJ118">
        <v>-966</v>
      </c>
      <c r="DK118">
        <v>1867</v>
      </c>
      <c r="DL118">
        <v>31459</v>
      </c>
      <c r="DM118">
        <v>-925</v>
      </c>
      <c r="DN118">
        <v>3661</v>
      </c>
      <c r="DO118">
        <v>-12256</v>
      </c>
      <c r="DP118">
        <v>-681</v>
      </c>
      <c r="DQ118">
        <v>-10201</v>
      </c>
      <c r="DR118">
        <v>0</v>
      </c>
      <c r="DS118">
        <v>-3000</v>
      </c>
      <c r="DT118">
        <v>0</v>
      </c>
      <c r="DU118">
        <v>-1000</v>
      </c>
      <c r="DV118">
        <v>-4000</v>
      </c>
      <c r="DW118">
        <v>-2500</v>
      </c>
      <c r="DX118">
        <v>-18</v>
      </c>
      <c r="DY118">
        <v>-3000</v>
      </c>
      <c r="DZ118">
        <v>-3417</v>
      </c>
      <c r="EA118">
        <v>-8935</v>
      </c>
      <c r="EB118">
        <v>0</v>
      </c>
      <c r="EC118">
        <v>-3250</v>
      </c>
      <c r="ED118">
        <v>-2254</v>
      </c>
      <c r="EE118">
        <v>0</v>
      </c>
      <c r="EF118">
        <v>-5504</v>
      </c>
      <c r="EG118">
        <v>-4826</v>
      </c>
      <c r="EH118">
        <v>0</v>
      </c>
      <c r="EI118">
        <v>-4197</v>
      </c>
      <c r="EJ118">
        <v>0</v>
      </c>
      <c r="EK118">
        <v>-9023</v>
      </c>
      <c r="EL118">
        <v>-1000</v>
      </c>
      <c r="EM118">
        <v>-750</v>
      </c>
      <c r="EN118">
        <v>0</v>
      </c>
      <c r="EO118">
        <v>-1000</v>
      </c>
      <c r="EP118">
        <v>-2750</v>
      </c>
      <c r="EQ118">
        <v>24265</v>
      </c>
      <c r="ER118">
        <v>-633</v>
      </c>
      <c r="ES118">
        <v>-9047</v>
      </c>
      <c r="ET118">
        <v>-14010</v>
      </c>
      <c r="EU118">
        <v>575</v>
      </c>
      <c r="EV118">
        <v>-6712</v>
      </c>
      <c r="EX118">
        <v>-2250</v>
      </c>
    </row>
    <row r="119" spans="1:171">
      <c r="B119" t="s">
        <v>802</v>
      </c>
      <c r="C119" t="s">
        <v>803</v>
      </c>
      <c r="D119" t="s">
        <v>379</v>
      </c>
    </row>
    <row r="120" spans="1:171">
      <c r="B120" t="s">
        <v>804</v>
      </c>
      <c r="C120" t="s">
        <v>805</v>
      </c>
      <c r="D120" t="s">
        <v>379</v>
      </c>
      <c r="F120">
        <v>188</v>
      </c>
      <c r="G120">
        <v>59</v>
      </c>
      <c r="H120">
        <v>13</v>
      </c>
      <c r="I120">
        <v>151</v>
      </c>
      <c r="J120">
        <v>124</v>
      </c>
      <c r="K120">
        <v>347</v>
      </c>
      <c r="L120">
        <v>144</v>
      </c>
      <c r="M120">
        <v>1144</v>
      </c>
      <c r="N120">
        <v>268</v>
      </c>
      <c r="O120">
        <v>306</v>
      </c>
      <c r="P120">
        <v>1862</v>
      </c>
      <c r="Q120">
        <v>456</v>
      </c>
      <c r="R120">
        <v>229</v>
      </c>
      <c r="S120">
        <v>541</v>
      </c>
      <c r="T120">
        <v>808</v>
      </c>
      <c r="U120">
        <v>2034</v>
      </c>
      <c r="V120">
        <v>828</v>
      </c>
      <c r="W120">
        <v>789</v>
      </c>
      <c r="X120">
        <v>1396</v>
      </c>
      <c r="Y120">
        <v>-2223</v>
      </c>
      <c r="Z120">
        <v>790</v>
      </c>
      <c r="AA120">
        <v>1517</v>
      </c>
      <c r="AB120">
        <v>1598</v>
      </c>
      <c r="AC120">
        <v>1410</v>
      </c>
      <c r="AD120">
        <v>-4037</v>
      </c>
      <c r="AE120">
        <v>488</v>
      </c>
      <c r="AF120">
        <v>148</v>
      </c>
      <c r="AG120">
        <v>-561</v>
      </c>
      <c r="AH120">
        <v>-256</v>
      </c>
      <c r="AI120">
        <v>-489</v>
      </c>
      <c r="AJ120">
        <v>-1158</v>
      </c>
      <c r="AK120">
        <v>5</v>
      </c>
      <c r="AL120">
        <v>4</v>
      </c>
      <c r="AM120">
        <v>-14</v>
      </c>
      <c r="AN120">
        <v>7</v>
      </c>
      <c r="AO120">
        <v>2</v>
      </c>
      <c r="AP120">
        <v>5</v>
      </c>
      <c r="AQ120">
        <v>37</v>
      </c>
      <c r="AR120">
        <v>-3</v>
      </c>
      <c r="AS120">
        <v>22</v>
      </c>
      <c r="AT120">
        <v>61</v>
      </c>
      <c r="AU120">
        <v>4</v>
      </c>
      <c r="AV120">
        <v>26</v>
      </c>
      <c r="AW120">
        <v>7</v>
      </c>
      <c r="AX120">
        <v>-10</v>
      </c>
      <c r="AY120">
        <v>27</v>
      </c>
      <c r="AZ120">
        <v>3</v>
      </c>
      <c r="BA120">
        <v>54</v>
      </c>
      <c r="BB120">
        <v>-8</v>
      </c>
      <c r="BC120">
        <v>-74</v>
      </c>
      <c r="BD120">
        <v>-25</v>
      </c>
      <c r="BE120">
        <v>27</v>
      </c>
      <c r="BF120">
        <v>1</v>
      </c>
      <c r="BG120">
        <v>30</v>
      </c>
      <c r="BH120">
        <v>49</v>
      </c>
      <c r="BI120">
        <v>107</v>
      </c>
      <c r="BJ120">
        <v>35</v>
      </c>
      <c r="BK120">
        <v>27</v>
      </c>
      <c r="BL120">
        <v>20</v>
      </c>
      <c r="BM120">
        <v>28</v>
      </c>
      <c r="BN120">
        <v>110</v>
      </c>
      <c r="BO120">
        <v>127</v>
      </c>
      <c r="BP120">
        <v>61</v>
      </c>
      <c r="BQ120">
        <v>51</v>
      </c>
      <c r="BR120">
        <v>18</v>
      </c>
      <c r="BS120">
        <v>257</v>
      </c>
      <c r="BT120">
        <v>-12</v>
      </c>
      <c r="BU120">
        <v>-81</v>
      </c>
      <c r="BV120">
        <v>-34</v>
      </c>
      <c r="BW120">
        <v>93</v>
      </c>
      <c r="BX120">
        <v>-34</v>
      </c>
      <c r="BY120">
        <v>38</v>
      </c>
      <c r="BZ120">
        <v>14</v>
      </c>
      <c r="CA120">
        <v>-16</v>
      </c>
      <c r="CB120">
        <v>-20</v>
      </c>
      <c r="CC120">
        <v>16</v>
      </c>
      <c r="CD120">
        <v>38</v>
      </c>
      <c r="CE120">
        <v>1</v>
      </c>
      <c r="CF120">
        <v>18</v>
      </c>
      <c r="CG120">
        <v>23</v>
      </c>
      <c r="CH120">
        <v>80</v>
      </c>
      <c r="CI120">
        <v>32</v>
      </c>
      <c r="CJ120">
        <v>-48</v>
      </c>
      <c r="CK120">
        <v>40</v>
      </c>
      <c r="CL120">
        <v>-35</v>
      </c>
      <c r="CM120">
        <v>-11</v>
      </c>
      <c r="CN120">
        <v>224</v>
      </c>
      <c r="CO120">
        <v>8</v>
      </c>
      <c r="CP120">
        <v>-33</v>
      </c>
      <c r="CQ120">
        <v>-8</v>
      </c>
      <c r="CR120">
        <v>191</v>
      </c>
      <c r="CS120">
        <v>229</v>
      </c>
      <c r="CT120">
        <v>14</v>
      </c>
      <c r="CU120">
        <v>24</v>
      </c>
      <c r="CV120">
        <v>-174</v>
      </c>
      <c r="CW120">
        <v>93</v>
      </c>
      <c r="CX120">
        <v>496</v>
      </c>
      <c r="CY120">
        <v>273</v>
      </c>
      <c r="CZ120">
        <v>311</v>
      </c>
      <c r="DA120">
        <v>-203</v>
      </c>
      <c r="DB120">
        <v>877</v>
      </c>
      <c r="DC120">
        <v>60</v>
      </c>
      <c r="DD120">
        <v>-63</v>
      </c>
      <c r="DE120">
        <v>-106</v>
      </c>
      <c r="DF120">
        <v>-25</v>
      </c>
      <c r="DG120">
        <v>-134</v>
      </c>
      <c r="DH120">
        <v>-102</v>
      </c>
      <c r="DI120">
        <v>294</v>
      </c>
      <c r="DJ120">
        <v>-363</v>
      </c>
      <c r="DK120">
        <v>0</v>
      </c>
      <c r="DL120">
        <v>-171</v>
      </c>
      <c r="DM120">
        <v>-124</v>
      </c>
      <c r="DN120">
        <v>-173</v>
      </c>
      <c r="DO120">
        <v>-615</v>
      </c>
      <c r="DP120">
        <v>-9</v>
      </c>
      <c r="DQ120">
        <v>-921</v>
      </c>
      <c r="DR120">
        <v>-909</v>
      </c>
      <c r="DS120">
        <v>-442</v>
      </c>
      <c r="DT120">
        <v>422</v>
      </c>
      <c r="DU120">
        <v>139</v>
      </c>
      <c r="DV120">
        <v>-790</v>
      </c>
      <c r="DW120">
        <v>214</v>
      </c>
      <c r="DX120">
        <v>-21</v>
      </c>
      <c r="DY120">
        <v>-1116</v>
      </c>
      <c r="DZ120">
        <v>388</v>
      </c>
      <c r="EA120">
        <v>-535</v>
      </c>
      <c r="EB120">
        <v>-281</v>
      </c>
      <c r="EC120">
        <v>93</v>
      </c>
      <c r="ED120">
        <v>-216</v>
      </c>
      <c r="EE120">
        <v>-394</v>
      </c>
      <c r="EF120">
        <v>-798</v>
      </c>
      <c r="EG120">
        <v>-245</v>
      </c>
      <c r="EH120">
        <v>-86</v>
      </c>
      <c r="EI120">
        <v>-134</v>
      </c>
      <c r="EJ120">
        <v>-539</v>
      </c>
      <c r="EK120">
        <v>-1004</v>
      </c>
      <c r="EL120">
        <v>-494</v>
      </c>
      <c r="EM120">
        <v>-229</v>
      </c>
      <c r="EN120">
        <v>-229</v>
      </c>
      <c r="EO120">
        <v>-248</v>
      </c>
      <c r="EP120">
        <v>-1200</v>
      </c>
      <c r="EQ120">
        <v>-406</v>
      </c>
      <c r="ER120">
        <v>-129</v>
      </c>
      <c r="ES120">
        <v>-578</v>
      </c>
      <c r="ET120">
        <v>-406</v>
      </c>
      <c r="EU120">
        <v>-1519</v>
      </c>
      <c r="EV120">
        <v>-767</v>
      </c>
      <c r="EW120">
        <v>-637</v>
      </c>
      <c r="EX120">
        <v>-330</v>
      </c>
      <c r="EZ120">
        <v>-120</v>
      </c>
    </row>
    <row r="121" spans="1:171">
      <c r="B121" t="s">
        <v>806</v>
      </c>
      <c r="C121" t="s">
        <v>807</v>
      </c>
      <c r="D121" t="s">
        <v>379</v>
      </c>
      <c r="F121">
        <v>-129</v>
      </c>
      <c r="G121">
        <v>28</v>
      </c>
      <c r="H121">
        <v>-255</v>
      </c>
      <c r="I121">
        <v>34</v>
      </c>
      <c r="J121">
        <v>-217</v>
      </c>
      <c r="K121">
        <v>-410</v>
      </c>
      <c r="L121">
        <v>-370</v>
      </c>
      <c r="M121">
        <v>871</v>
      </c>
      <c r="N121">
        <v>-1493</v>
      </c>
      <c r="O121">
        <v>497</v>
      </c>
      <c r="P121">
        <v>-495</v>
      </c>
      <c r="Q121">
        <v>-250</v>
      </c>
      <c r="R121">
        <v>-333</v>
      </c>
      <c r="S121">
        <v>854</v>
      </c>
      <c r="T121">
        <v>254</v>
      </c>
      <c r="U121">
        <v>525</v>
      </c>
      <c r="V121">
        <v>640</v>
      </c>
      <c r="W121">
        <v>819</v>
      </c>
      <c r="X121">
        <v>1129</v>
      </c>
      <c r="Y121">
        <v>-3398</v>
      </c>
      <c r="Z121">
        <v>-810</v>
      </c>
      <c r="AA121">
        <v>944</v>
      </c>
      <c r="AB121">
        <v>-1768</v>
      </c>
      <c r="AC121">
        <v>2227</v>
      </c>
      <c r="AD121">
        <v>-3566</v>
      </c>
      <c r="AE121">
        <v>-2163</v>
      </c>
      <c r="AF121">
        <v>-1229</v>
      </c>
      <c r="AG121">
        <v>-1711</v>
      </c>
      <c r="AH121">
        <v>-1015</v>
      </c>
      <c r="AI121">
        <v>-1657</v>
      </c>
      <c r="AJ121">
        <v>-5612</v>
      </c>
      <c r="AK121">
        <v>-729</v>
      </c>
      <c r="AL121">
        <v>258</v>
      </c>
      <c r="AM121">
        <v>-265</v>
      </c>
      <c r="AN121">
        <v>-3834</v>
      </c>
      <c r="AO121">
        <v>-4570</v>
      </c>
      <c r="AP121">
        <v>-2953</v>
      </c>
      <c r="AQ121">
        <v>-534</v>
      </c>
      <c r="AR121">
        <v>-1214</v>
      </c>
      <c r="AS121">
        <v>-461</v>
      </c>
      <c r="AT121">
        <v>-5162</v>
      </c>
      <c r="AU121">
        <v>-346</v>
      </c>
      <c r="AV121">
        <v>-2244</v>
      </c>
      <c r="AW121">
        <v>-1033</v>
      </c>
      <c r="AX121">
        <v>1286</v>
      </c>
      <c r="AY121">
        <v>-2337</v>
      </c>
      <c r="AZ121">
        <v>-735</v>
      </c>
      <c r="BA121">
        <v>-33618</v>
      </c>
      <c r="BB121">
        <v>-2966</v>
      </c>
      <c r="BC121">
        <v>-3766</v>
      </c>
      <c r="BD121">
        <v>-41085</v>
      </c>
      <c r="BE121">
        <v>-2945</v>
      </c>
      <c r="BF121">
        <v>-7814</v>
      </c>
      <c r="BG121">
        <v>-5128</v>
      </c>
      <c r="BH121">
        <v>-4657</v>
      </c>
      <c r="BI121">
        <v>-20544</v>
      </c>
      <c r="BJ121">
        <v>-8160</v>
      </c>
      <c r="BK121">
        <v>-2301</v>
      </c>
      <c r="BL121">
        <v>-7050</v>
      </c>
      <c r="BM121">
        <v>-6977</v>
      </c>
      <c r="BN121">
        <v>-24488</v>
      </c>
      <c r="BO121">
        <v>-3095</v>
      </c>
      <c r="BP121">
        <v>-2695</v>
      </c>
      <c r="BQ121">
        <v>-1944</v>
      </c>
      <c r="BR121">
        <v>-5063</v>
      </c>
      <c r="BS121">
        <v>-12797</v>
      </c>
      <c r="BT121">
        <v>-5300</v>
      </c>
      <c r="BU121">
        <v>-3941</v>
      </c>
      <c r="BV121">
        <v>-1096</v>
      </c>
      <c r="BW121">
        <v>2807</v>
      </c>
      <c r="BX121">
        <v>-7530</v>
      </c>
      <c r="BY121">
        <v>-2161</v>
      </c>
      <c r="BZ121">
        <v>-4278</v>
      </c>
      <c r="CA121">
        <v>-2756</v>
      </c>
      <c r="CB121">
        <v>-4135</v>
      </c>
      <c r="CC121">
        <v>-13330</v>
      </c>
      <c r="CD121">
        <v>-581</v>
      </c>
      <c r="CE121">
        <v>-6754</v>
      </c>
      <c r="CF121">
        <v>1465</v>
      </c>
      <c r="CG121">
        <v>-2403</v>
      </c>
      <c r="CH121">
        <v>-8273</v>
      </c>
      <c r="CI121">
        <v>-2907</v>
      </c>
      <c r="CJ121">
        <v>-2565</v>
      </c>
      <c r="CK121">
        <v>-1575</v>
      </c>
      <c r="CL121">
        <v>-2465</v>
      </c>
      <c r="CM121">
        <v>-9512</v>
      </c>
      <c r="CN121">
        <v>-2667</v>
      </c>
      <c r="CO121">
        <v>-1206</v>
      </c>
      <c r="CP121">
        <v>-2783</v>
      </c>
      <c r="CQ121">
        <v>-1500</v>
      </c>
      <c r="CR121">
        <v>-8156</v>
      </c>
      <c r="CS121">
        <v>-3372</v>
      </c>
      <c r="CT121">
        <v>2648</v>
      </c>
      <c r="CU121">
        <v>-4302</v>
      </c>
      <c r="CV121">
        <v>-3507</v>
      </c>
      <c r="CW121">
        <v>-8533</v>
      </c>
      <c r="CX121">
        <v>-2984</v>
      </c>
      <c r="CY121">
        <v>500</v>
      </c>
      <c r="CZ121">
        <v>-3101</v>
      </c>
      <c r="DA121">
        <v>-3568</v>
      </c>
      <c r="DB121">
        <v>-9153</v>
      </c>
      <c r="DC121">
        <v>-3692</v>
      </c>
      <c r="DD121">
        <v>-516</v>
      </c>
      <c r="DE121">
        <v>-4899</v>
      </c>
      <c r="DF121">
        <v>949</v>
      </c>
      <c r="DG121">
        <v>-8158</v>
      </c>
      <c r="DH121">
        <v>14339</v>
      </c>
      <c r="DI121">
        <v>2998</v>
      </c>
      <c r="DJ121">
        <v>-6224</v>
      </c>
      <c r="DK121">
        <v>-2686</v>
      </c>
      <c r="DL121">
        <v>8427</v>
      </c>
      <c r="DM121">
        <v>-6315</v>
      </c>
      <c r="DN121">
        <v>-1569</v>
      </c>
      <c r="DO121">
        <v>-19633</v>
      </c>
      <c r="DP121">
        <v>-6023</v>
      </c>
      <c r="DQ121">
        <v>-33540</v>
      </c>
      <c r="DR121">
        <v>-7513</v>
      </c>
      <c r="DS121">
        <v>-13199</v>
      </c>
      <c r="DT121">
        <v>-7583</v>
      </c>
      <c r="DU121">
        <v>-8707</v>
      </c>
      <c r="DV121">
        <v>-37002</v>
      </c>
      <c r="DW121">
        <v>-10281</v>
      </c>
      <c r="DX121">
        <v>-8897</v>
      </c>
      <c r="DY121">
        <v>-14709</v>
      </c>
      <c r="DZ121">
        <v>-12345</v>
      </c>
      <c r="EA121">
        <v>-46232</v>
      </c>
      <c r="EB121">
        <v>-10335</v>
      </c>
      <c r="EC121">
        <v>-13620</v>
      </c>
      <c r="ED121">
        <v>-13225</v>
      </c>
      <c r="EE121">
        <v>-11335</v>
      </c>
      <c r="EF121">
        <v>-48515</v>
      </c>
      <c r="EG121">
        <v>-16349</v>
      </c>
      <c r="EH121">
        <v>-11880</v>
      </c>
      <c r="EI121">
        <v>-17321</v>
      </c>
      <c r="EJ121">
        <v>-13467</v>
      </c>
      <c r="EK121">
        <v>-59017</v>
      </c>
      <c r="EL121">
        <v>-11113</v>
      </c>
      <c r="EM121">
        <v>-11261</v>
      </c>
      <c r="EN121">
        <v>-10261</v>
      </c>
      <c r="EO121">
        <v>-11494</v>
      </c>
      <c r="EP121">
        <v>-44129</v>
      </c>
      <c r="EQ121">
        <v>14662</v>
      </c>
      <c r="ER121">
        <v>-10075</v>
      </c>
      <c r="ES121">
        <v>-18888</v>
      </c>
      <c r="ET121">
        <v>-23666</v>
      </c>
      <c r="EU121">
        <v>-37967</v>
      </c>
      <c r="EV121">
        <v>-16454</v>
      </c>
      <c r="EW121">
        <v>-11537</v>
      </c>
      <c r="EX121">
        <v>-12984</v>
      </c>
      <c r="EY121">
        <v>-10947.080738312299</v>
      </c>
      <c r="EZ121">
        <v>-51922.080738312303</v>
      </c>
      <c r="FA121">
        <v>-10424.6574908415</v>
      </c>
      <c r="FB121">
        <v>-11077.213668632299</v>
      </c>
      <c r="FC121">
        <v>-11074.616821544099</v>
      </c>
      <c r="FD121">
        <v>-11072.931558586801</v>
      </c>
      <c r="FE121">
        <v>-43649.419539604598</v>
      </c>
      <c r="FF121">
        <v>-11048.6873643578</v>
      </c>
      <c r="FG121">
        <v>-11768.024497759399</v>
      </c>
      <c r="FH121">
        <v>-11765.657903859101</v>
      </c>
      <c r="FI121">
        <v>-11764.290880201999</v>
      </c>
      <c r="FJ121">
        <v>-46346.660646178301</v>
      </c>
      <c r="FK121">
        <v>-11738.062359613499</v>
      </c>
      <c r="FL121">
        <v>-12531.2031984858</v>
      </c>
      <c r="FM121">
        <v>-12529.1204568092</v>
      </c>
      <c r="FN121">
        <v>-12528.1341866361</v>
      </c>
      <c r="FO121">
        <v>-49326.520201544598</v>
      </c>
    </row>
    <row r="122" spans="1:171">
      <c r="B122" t="s">
        <v>808</v>
      </c>
      <c r="C122" t="s">
        <v>809</v>
      </c>
      <c r="D122" t="s">
        <v>379</v>
      </c>
      <c r="F122">
        <v>485</v>
      </c>
      <c r="G122">
        <v>-56</v>
      </c>
      <c r="H122">
        <v>417</v>
      </c>
      <c r="I122">
        <v>614</v>
      </c>
      <c r="J122">
        <v>-336</v>
      </c>
      <c r="K122">
        <v>639</v>
      </c>
      <c r="L122">
        <v>417</v>
      </c>
      <c r="M122">
        <v>78</v>
      </c>
      <c r="N122">
        <v>756</v>
      </c>
      <c r="O122">
        <v>-146</v>
      </c>
      <c r="P122">
        <v>1105</v>
      </c>
      <c r="Q122">
        <v>239</v>
      </c>
      <c r="R122">
        <v>-1363</v>
      </c>
      <c r="S122">
        <v>1528</v>
      </c>
      <c r="T122">
        <v>-271</v>
      </c>
      <c r="U122">
        <v>133</v>
      </c>
      <c r="V122">
        <v>1352</v>
      </c>
      <c r="W122">
        <v>922</v>
      </c>
      <c r="X122">
        <v>90</v>
      </c>
      <c r="Y122">
        <v>-1228</v>
      </c>
      <c r="Z122">
        <v>1136</v>
      </c>
      <c r="AA122">
        <v>-186</v>
      </c>
      <c r="AB122">
        <v>243</v>
      </c>
      <c r="AC122">
        <v>160</v>
      </c>
      <c r="AD122">
        <v>-346</v>
      </c>
      <c r="AE122">
        <v>-129</v>
      </c>
      <c r="AF122">
        <v>-2205</v>
      </c>
      <c r="AG122">
        <v>890</v>
      </c>
      <c r="AH122">
        <v>618</v>
      </c>
      <c r="AI122">
        <v>-227</v>
      </c>
      <c r="AJ122">
        <v>-924</v>
      </c>
      <c r="AK122">
        <v>-809</v>
      </c>
      <c r="AL122">
        <v>2143</v>
      </c>
      <c r="AM122">
        <v>-140</v>
      </c>
      <c r="AN122">
        <v>-2100</v>
      </c>
      <c r="AO122">
        <v>-906</v>
      </c>
      <c r="AP122">
        <v>2322</v>
      </c>
      <c r="AQ122">
        <v>214</v>
      </c>
      <c r="AR122">
        <v>-1252</v>
      </c>
      <c r="AS122">
        <v>2138</v>
      </c>
      <c r="AT122">
        <v>3422</v>
      </c>
      <c r="AU122">
        <v>-670</v>
      </c>
      <c r="AV122">
        <v>381</v>
      </c>
      <c r="AW122">
        <v>3199</v>
      </c>
      <c r="AX122">
        <v>6634</v>
      </c>
      <c r="AY122">
        <v>9544</v>
      </c>
      <c r="AZ122">
        <v>-4841</v>
      </c>
      <c r="BA122">
        <v>-6585</v>
      </c>
      <c r="BB122">
        <v>224</v>
      </c>
      <c r="BC122">
        <v>1069</v>
      </c>
      <c r="BD122">
        <v>-10133</v>
      </c>
      <c r="BE122">
        <v>-1877</v>
      </c>
      <c r="BF122">
        <v>1109</v>
      </c>
      <c r="BG122">
        <v>268</v>
      </c>
      <c r="BH122">
        <v>2363</v>
      </c>
      <c r="BI122">
        <v>1863</v>
      </c>
      <c r="BJ122">
        <v>2362</v>
      </c>
      <c r="BK122">
        <v>-2217</v>
      </c>
      <c r="BL122">
        <v>752</v>
      </c>
      <c r="BM122">
        <v>-1500</v>
      </c>
      <c r="BN122">
        <v>-603</v>
      </c>
      <c r="BO122">
        <v>526</v>
      </c>
      <c r="BP122">
        <v>823</v>
      </c>
      <c r="BQ122">
        <v>4360</v>
      </c>
      <c r="BR122">
        <v>-1481</v>
      </c>
      <c r="BS122">
        <v>4228</v>
      </c>
      <c r="BT122">
        <v>-1335</v>
      </c>
      <c r="BU122">
        <v>-658</v>
      </c>
      <c r="BV122">
        <v>-1061</v>
      </c>
      <c r="BW122">
        <v>-1209</v>
      </c>
      <c r="BX122">
        <v>-4263</v>
      </c>
      <c r="BY122">
        <v>2747</v>
      </c>
      <c r="BZ122">
        <v>599</v>
      </c>
      <c r="CA122">
        <v>-1267</v>
      </c>
      <c r="CB122">
        <v>-2650</v>
      </c>
      <c r="CC122">
        <v>-571</v>
      </c>
      <c r="CD122">
        <v>2656</v>
      </c>
      <c r="CE122">
        <v>-4138</v>
      </c>
      <c r="CF122">
        <v>2998</v>
      </c>
      <c r="CG122">
        <v>2589</v>
      </c>
      <c r="CH122">
        <v>4105</v>
      </c>
      <c r="CI122">
        <v>3271</v>
      </c>
      <c r="CJ122">
        <v>-2271</v>
      </c>
      <c r="CK122">
        <v>-4222</v>
      </c>
      <c r="CL122">
        <v>550</v>
      </c>
      <c r="CM122">
        <v>-2672</v>
      </c>
      <c r="CN122">
        <v>-1902</v>
      </c>
      <c r="CO122">
        <v>981</v>
      </c>
      <c r="CP122">
        <v>-777</v>
      </c>
      <c r="CQ122">
        <v>-1436</v>
      </c>
      <c r="CR122">
        <v>-3134</v>
      </c>
      <c r="CS122">
        <v>219</v>
      </c>
      <c r="CT122">
        <v>6036</v>
      </c>
      <c r="CU122">
        <v>1513</v>
      </c>
      <c r="CV122">
        <v>-2903</v>
      </c>
      <c r="CW122">
        <v>4865</v>
      </c>
      <c r="CX122">
        <v>-2367</v>
      </c>
      <c r="CY122">
        <v>124</v>
      </c>
      <c r="CZ122">
        <v>988</v>
      </c>
      <c r="DA122">
        <v>-1819</v>
      </c>
      <c r="DB122">
        <v>-3074</v>
      </c>
      <c r="DC122">
        <v>-164</v>
      </c>
      <c r="DD122">
        <v>1754</v>
      </c>
      <c r="DE122">
        <v>-15</v>
      </c>
      <c r="DF122">
        <v>-660</v>
      </c>
      <c r="DG122">
        <v>915</v>
      </c>
      <c r="DH122">
        <v>7418</v>
      </c>
      <c r="DI122">
        <v>-5460</v>
      </c>
      <c r="DJ122">
        <v>-1755</v>
      </c>
      <c r="DK122">
        <v>950</v>
      </c>
      <c r="DL122">
        <v>1153</v>
      </c>
      <c r="DM122">
        <v>-779</v>
      </c>
      <c r="DN122">
        <v>5975</v>
      </c>
      <c r="DO122">
        <v>-3638</v>
      </c>
      <c r="DP122">
        <v>2725</v>
      </c>
      <c r="DQ122">
        <v>4283</v>
      </c>
      <c r="DR122">
        <v>3191</v>
      </c>
      <c r="DS122">
        <v>-8499</v>
      </c>
      <c r="DT122">
        <v>4574</v>
      </c>
      <c r="DU122">
        <v>144</v>
      </c>
      <c r="DV122">
        <v>-590</v>
      </c>
      <c r="DW122">
        <v>1761</v>
      </c>
      <c r="DX122">
        <v>-4253</v>
      </c>
      <c r="DY122">
        <v>2846</v>
      </c>
      <c r="DZ122">
        <v>1866</v>
      </c>
      <c r="EA122">
        <v>2220</v>
      </c>
      <c r="EB122">
        <v>3629</v>
      </c>
      <c r="EC122">
        <v>-2773</v>
      </c>
      <c r="ED122">
        <v>-730</v>
      </c>
      <c r="EE122">
        <v>522</v>
      </c>
      <c r="EF122">
        <v>648</v>
      </c>
      <c r="EG122">
        <v>4941</v>
      </c>
      <c r="EH122">
        <v>1439</v>
      </c>
      <c r="EI122">
        <v>-8106</v>
      </c>
      <c r="EJ122">
        <v>1433</v>
      </c>
      <c r="EK122">
        <v>-293</v>
      </c>
      <c r="EL122">
        <v>8953</v>
      </c>
      <c r="EM122">
        <v>-7238</v>
      </c>
      <c r="EN122">
        <v>10916</v>
      </c>
      <c r="EO122">
        <v>8142</v>
      </c>
      <c r="EP122">
        <v>20773</v>
      </c>
      <c r="EQ122">
        <v>45748</v>
      </c>
      <c r="ER122">
        <v>-63147</v>
      </c>
      <c r="ES122">
        <v>2329</v>
      </c>
      <c r="ET122">
        <v>-1319</v>
      </c>
      <c r="EU122">
        <v>-16389</v>
      </c>
      <c r="EV122">
        <v>2525</v>
      </c>
      <c r="EW122">
        <v>-3358</v>
      </c>
      <c r="EX122">
        <v>11346</v>
      </c>
      <c r="EY122">
        <v>12484.0442339782</v>
      </c>
      <c r="EZ122">
        <v>22997.044233978198</v>
      </c>
      <c r="FA122">
        <v>9635.5799903251791</v>
      </c>
      <c r="FB122">
        <v>-3743.7408752561</v>
      </c>
      <c r="FC122">
        <v>11442.811236231901</v>
      </c>
      <c r="FD122">
        <v>15897.264563864301</v>
      </c>
      <c r="FE122">
        <v>33231.914915165398</v>
      </c>
      <c r="FF122">
        <v>17241.621756989702</v>
      </c>
      <c r="FG122">
        <v>-779.48982420377399</v>
      </c>
      <c r="FH122">
        <v>16944.310234867698</v>
      </c>
      <c r="FI122">
        <v>21966.374991512599</v>
      </c>
      <c r="FJ122">
        <v>55372.817159166298</v>
      </c>
      <c r="FK122">
        <v>25752.755025341499</v>
      </c>
      <c r="FL122">
        <v>2005.91982449494</v>
      </c>
      <c r="FM122">
        <v>23030.257387661699</v>
      </c>
      <c r="FN122">
        <v>27893.088632653202</v>
      </c>
      <c r="FO122">
        <v>78682.020870151304</v>
      </c>
    </row>
    <row r="123" spans="1:171">
      <c r="A123" t="s">
        <v>810</v>
      </c>
    </row>
    <row r="124" spans="1:171">
      <c r="B124" t="s">
        <v>811</v>
      </c>
      <c r="C124" t="s">
        <v>812</v>
      </c>
      <c r="D124" t="s">
        <v>379</v>
      </c>
    </row>
    <row r="125" spans="1:171">
      <c r="B125" t="s">
        <v>813</v>
      </c>
      <c r="C125" t="s">
        <v>814</v>
      </c>
      <c r="D125" t="s">
        <v>379</v>
      </c>
    </row>
    <row r="126" spans="1:171">
      <c r="B126" t="s">
        <v>815</v>
      </c>
      <c r="C126" t="s">
        <v>816</v>
      </c>
      <c r="D126" t="s">
        <v>379</v>
      </c>
    </row>
    <row r="127" spans="1:171">
      <c r="B127" t="s">
        <v>817</v>
      </c>
      <c r="C127" t="s">
        <v>818</v>
      </c>
      <c r="D127" t="s">
        <v>379</v>
      </c>
    </row>
    <row r="128" spans="1:171">
      <c r="B128" t="s">
        <v>819</v>
      </c>
      <c r="C128" t="s">
        <v>820</v>
      </c>
      <c r="D128" t="s">
        <v>379</v>
      </c>
    </row>
    <row r="129" spans="1:171">
      <c r="B129" t="s">
        <v>821</v>
      </c>
      <c r="C129" t="s">
        <v>822</v>
      </c>
      <c r="D129" t="s">
        <v>379</v>
      </c>
    </row>
    <row r="130" spans="1:171">
      <c r="B130" t="s">
        <v>823</v>
      </c>
      <c r="C130" t="s">
        <v>824</v>
      </c>
      <c r="D130" t="s">
        <v>379</v>
      </c>
    </row>
    <row r="131" spans="1:171">
      <c r="B131" t="s">
        <v>825</v>
      </c>
      <c r="C131" t="s">
        <v>826</v>
      </c>
      <c r="D131" t="s">
        <v>379</v>
      </c>
    </row>
    <row r="132" spans="1:171">
      <c r="B132" t="s">
        <v>827</v>
      </c>
      <c r="C132" t="s">
        <v>828</v>
      </c>
      <c r="D132" t="s">
        <v>379</v>
      </c>
    </row>
    <row r="133" spans="1:171">
      <c r="B133" t="s">
        <v>829</v>
      </c>
      <c r="C133" t="s">
        <v>830</v>
      </c>
      <c r="D133" t="s">
        <v>379</v>
      </c>
    </row>
    <row r="134" spans="1:171">
      <c r="B134" t="s">
        <v>831</v>
      </c>
      <c r="C134" t="s">
        <v>832</v>
      </c>
      <c r="D134" t="s">
        <v>379</v>
      </c>
    </row>
    <row r="135" spans="1:171">
      <c r="B135" t="s">
        <v>833</v>
      </c>
      <c r="C135" t="s">
        <v>834</v>
      </c>
      <c r="D135" t="s">
        <v>379</v>
      </c>
    </row>
    <row r="136" spans="1:171">
      <c r="B136" t="s">
        <v>835</v>
      </c>
      <c r="C136" t="s">
        <v>836</v>
      </c>
      <c r="D136" t="s">
        <v>379</v>
      </c>
    </row>
    <row r="137" spans="1:171">
      <c r="B137" t="s">
        <v>837</v>
      </c>
      <c r="C137" t="s">
        <v>838</v>
      </c>
      <c r="D137" t="s">
        <v>379</v>
      </c>
    </row>
    <row r="138" spans="1:171">
      <c r="A138" t="s">
        <v>839</v>
      </c>
    </row>
    <row r="139" spans="1:171">
      <c r="B139" t="s">
        <v>840</v>
      </c>
      <c r="C139" t="s">
        <v>841</v>
      </c>
      <c r="D139" t="s">
        <v>379</v>
      </c>
    </row>
    <row r="140" spans="1:171">
      <c r="B140" t="s">
        <v>842</v>
      </c>
      <c r="C140" t="s">
        <v>843</v>
      </c>
      <c r="D140" t="s">
        <v>379</v>
      </c>
    </row>
    <row r="141" spans="1:171">
      <c r="B141" t="s">
        <v>844</v>
      </c>
      <c r="C141" t="s">
        <v>845</v>
      </c>
      <c r="F141">
        <v>0</v>
      </c>
      <c r="G141">
        <v>0</v>
      </c>
      <c r="H141">
        <v>0</v>
      </c>
      <c r="I141">
        <v>0</v>
      </c>
      <c r="J141">
        <v>0</v>
      </c>
      <c r="K141">
        <v>0</v>
      </c>
      <c r="L141">
        <v>0</v>
      </c>
      <c r="M141">
        <v>0</v>
      </c>
      <c r="N141">
        <v>0</v>
      </c>
      <c r="O141">
        <v>0</v>
      </c>
      <c r="P141">
        <v>0</v>
      </c>
      <c r="Q141">
        <v>0</v>
      </c>
      <c r="R141">
        <v>0</v>
      </c>
      <c r="S141">
        <v>0</v>
      </c>
      <c r="T141">
        <v>0</v>
      </c>
      <c r="U141">
        <v>0</v>
      </c>
      <c r="V141">
        <v>0</v>
      </c>
      <c r="W141">
        <v>0</v>
      </c>
      <c r="X141">
        <v>0</v>
      </c>
      <c r="Y141">
        <v>0</v>
      </c>
      <c r="Z141">
        <v>0</v>
      </c>
      <c r="AA141">
        <v>0</v>
      </c>
      <c r="AB141">
        <v>0</v>
      </c>
      <c r="AC141">
        <v>0</v>
      </c>
      <c r="AD141">
        <v>0</v>
      </c>
      <c r="AE141">
        <v>0</v>
      </c>
      <c r="AF141">
        <v>0</v>
      </c>
      <c r="AG141">
        <v>0</v>
      </c>
      <c r="AH141">
        <v>0</v>
      </c>
      <c r="AI141">
        <v>0</v>
      </c>
      <c r="AJ141">
        <v>0</v>
      </c>
      <c r="AK141">
        <v>0</v>
      </c>
      <c r="AL141">
        <v>0</v>
      </c>
      <c r="AM141">
        <v>0</v>
      </c>
      <c r="AN141">
        <v>0</v>
      </c>
      <c r="AO141">
        <v>0</v>
      </c>
      <c r="AP141">
        <v>0</v>
      </c>
      <c r="AQ141">
        <v>0</v>
      </c>
      <c r="AR141">
        <v>0</v>
      </c>
      <c r="AS141">
        <v>0</v>
      </c>
      <c r="AT141">
        <v>0</v>
      </c>
      <c r="AU141">
        <v>0</v>
      </c>
      <c r="AV141">
        <v>0</v>
      </c>
      <c r="AW141">
        <v>0</v>
      </c>
      <c r="AX141">
        <v>0</v>
      </c>
      <c r="AY141">
        <v>0</v>
      </c>
      <c r="AZ141">
        <v>0</v>
      </c>
      <c r="BA141">
        <v>0</v>
      </c>
      <c r="BB141">
        <v>0</v>
      </c>
      <c r="BC141">
        <v>0</v>
      </c>
      <c r="BD141">
        <v>0</v>
      </c>
      <c r="BE141">
        <v>0</v>
      </c>
      <c r="BF141">
        <v>0</v>
      </c>
      <c r="BG141">
        <v>0</v>
      </c>
      <c r="BH141">
        <v>0</v>
      </c>
      <c r="BI141">
        <v>0</v>
      </c>
      <c r="BJ141">
        <v>0</v>
      </c>
      <c r="BK141">
        <v>0</v>
      </c>
      <c r="BL141">
        <v>0</v>
      </c>
      <c r="BM141">
        <v>0</v>
      </c>
      <c r="BN141">
        <v>0</v>
      </c>
      <c r="BO141">
        <v>0</v>
      </c>
      <c r="BP141">
        <v>0</v>
      </c>
      <c r="BQ141">
        <v>0</v>
      </c>
      <c r="BR141">
        <v>0</v>
      </c>
      <c r="BS141">
        <v>0</v>
      </c>
      <c r="BT141">
        <v>0</v>
      </c>
      <c r="BU141">
        <v>0</v>
      </c>
      <c r="BV141">
        <v>0</v>
      </c>
      <c r="BW141">
        <v>0</v>
      </c>
      <c r="BX141">
        <v>0</v>
      </c>
      <c r="BY141">
        <v>0</v>
      </c>
      <c r="BZ141">
        <v>0</v>
      </c>
      <c r="CA141">
        <v>0</v>
      </c>
      <c r="CB141">
        <v>0</v>
      </c>
      <c r="CC141">
        <v>0</v>
      </c>
      <c r="CD141">
        <v>0</v>
      </c>
      <c r="CE141">
        <v>0</v>
      </c>
      <c r="CF141">
        <v>0</v>
      </c>
      <c r="CG141">
        <v>0</v>
      </c>
      <c r="CH141">
        <v>0</v>
      </c>
      <c r="CI141">
        <v>0</v>
      </c>
      <c r="CJ141">
        <v>0</v>
      </c>
      <c r="CK141">
        <v>0</v>
      </c>
      <c r="CL141">
        <v>0</v>
      </c>
      <c r="CM141">
        <v>0</v>
      </c>
      <c r="CN141">
        <v>0</v>
      </c>
      <c r="CO141">
        <v>0</v>
      </c>
      <c r="CP141">
        <v>0</v>
      </c>
      <c r="CQ141">
        <v>0</v>
      </c>
      <c r="CR141">
        <v>0</v>
      </c>
      <c r="CS141">
        <v>0</v>
      </c>
      <c r="CT141">
        <v>0</v>
      </c>
      <c r="CU141">
        <v>0</v>
      </c>
      <c r="CV141">
        <v>0</v>
      </c>
      <c r="CW141">
        <v>0</v>
      </c>
      <c r="CX141">
        <v>0</v>
      </c>
      <c r="CY141">
        <v>0</v>
      </c>
      <c r="CZ141">
        <v>0</v>
      </c>
      <c r="DA141">
        <v>0</v>
      </c>
      <c r="DB141">
        <v>0</v>
      </c>
      <c r="DC141">
        <v>0</v>
      </c>
      <c r="DD141">
        <v>0</v>
      </c>
      <c r="DE141">
        <v>0</v>
      </c>
      <c r="DF141">
        <v>0</v>
      </c>
      <c r="DG141">
        <v>114000</v>
      </c>
      <c r="DH141">
        <v>0</v>
      </c>
      <c r="DI141">
        <v>0</v>
      </c>
      <c r="DJ141">
        <v>0</v>
      </c>
      <c r="DK141">
        <v>0</v>
      </c>
      <c r="DL141">
        <v>124000</v>
      </c>
      <c r="DM141">
        <v>0</v>
      </c>
      <c r="DN141">
        <v>0</v>
      </c>
      <c r="DO141">
        <v>0</v>
      </c>
      <c r="DP141">
        <v>0</v>
      </c>
      <c r="DQ141">
        <v>131000</v>
      </c>
      <c r="DR141">
        <v>0</v>
      </c>
      <c r="DS141">
        <v>0</v>
      </c>
      <c r="DT141">
        <v>0</v>
      </c>
      <c r="DU141">
        <v>0</v>
      </c>
      <c r="DV141">
        <v>144000</v>
      </c>
      <c r="DW141">
        <v>0</v>
      </c>
      <c r="DX141">
        <v>0</v>
      </c>
      <c r="DY141">
        <v>0</v>
      </c>
      <c r="DZ141">
        <v>0</v>
      </c>
      <c r="EA141">
        <v>163000</v>
      </c>
      <c r="EB141">
        <v>0</v>
      </c>
      <c r="EC141">
        <v>0</v>
      </c>
      <c r="ED141">
        <v>0</v>
      </c>
      <c r="EE141">
        <v>0</v>
      </c>
      <c r="EF141">
        <v>181000</v>
      </c>
      <c r="EG141">
        <v>0</v>
      </c>
      <c r="EH141">
        <v>0</v>
      </c>
      <c r="EI141">
        <v>0</v>
      </c>
      <c r="EJ141">
        <v>0</v>
      </c>
      <c r="EK141">
        <v>221000</v>
      </c>
      <c r="EL141">
        <v>0</v>
      </c>
      <c r="EM141">
        <v>0</v>
      </c>
      <c r="EN141">
        <v>0</v>
      </c>
      <c r="EO141">
        <v>0</v>
      </c>
      <c r="EP141">
        <v>221000</v>
      </c>
      <c r="EQ141">
        <v>0</v>
      </c>
      <c r="ER141">
        <v>0</v>
      </c>
      <c r="ES141">
        <v>0</v>
      </c>
      <c r="ET141">
        <v>0</v>
      </c>
      <c r="EU141">
        <v>228000</v>
      </c>
      <c r="EV141">
        <v>0</v>
      </c>
      <c r="EW141">
        <v>0</v>
      </c>
      <c r="EX141">
        <v>0</v>
      </c>
      <c r="EY141">
        <v>0</v>
      </c>
      <c r="EZ141">
        <v>0</v>
      </c>
      <c r="FA141">
        <v>0</v>
      </c>
      <c r="FB141">
        <v>0</v>
      </c>
      <c r="FC141">
        <v>0</v>
      </c>
      <c r="FD141">
        <v>0</v>
      </c>
      <c r="FE141">
        <v>0</v>
      </c>
      <c r="FF141">
        <v>0</v>
      </c>
      <c r="FG141">
        <v>0</v>
      </c>
      <c r="FH141">
        <v>0</v>
      </c>
      <c r="FI141">
        <v>0</v>
      </c>
      <c r="FJ141">
        <v>0</v>
      </c>
      <c r="FK141">
        <v>0</v>
      </c>
      <c r="FL141">
        <v>0</v>
      </c>
      <c r="FM141">
        <v>0</v>
      </c>
      <c r="FN141">
        <v>0</v>
      </c>
      <c r="FO141">
        <v>0</v>
      </c>
    </row>
    <row r="142" spans="1:171">
      <c r="B142" t="s">
        <v>846</v>
      </c>
      <c r="C142" t="s">
        <v>847</v>
      </c>
      <c r="D142" t="s">
        <v>379</v>
      </c>
      <c r="F142">
        <v>5937</v>
      </c>
      <c r="G142">
        <v>2016</v>
      </c>
      <c r="H142">
        <v>2195</v>
      </c>
      <c r="I142">
        <v>2205</v>
      </c>
      <c r="J142">
        <v>2255</v>
      </c>
      <c r="K142">
        <v>8671</v>
      </c>
      <c r="L142">
        <v>2295</v>
      </c>
      <c r="M142">
        <v>2680</v>
      </c>
      <c r="N142">
        <v>3208</v>
      </c>
      <c r="O142">
        <v>3175</v>
      </c>
      <c r="P142">
        <v>11358</v>
      </c>
      <c r="Q142">
        <v>3130</v>
      </c>
      <c r="R142">
        <v>3585</v>
      </c>
      <c r="S142">
        <v>3774</v>
      </c>
      <c r="T142">
        <v>3995</v>
      </c>
      <c r="U142">
        <v>14484</v>
      </c>
      <c r="V142">
        <v>4193</v>
      </c>
      <c r="W142">
        <v>5195</v>
      </c>
      <c r="X142">
        <v>4595</v>
      </c>
      <c r="Y142">
        <v>5764</v>
      </c>
      <c r="Z142">
        <v>19747</v>
      </c>
      <c r="AA142">
        <v>5384</v>
      </c>
      <c r="AB142">
        <v>6112</v>
      </c>
      <c r="AC142">
        <v>5656</v>
      </c>
      <c r="AD142">
        <v>5804</v>
      </c>
      <c r="AE142">
        <v>22956</v>
      </c>
      <c r="AF142">
        <v>5766</v>
      </c>
      <c r="AG142">
        <v>6550</v>
      </c>
      <c r="AH142">
        <v>6403</v>
      </c>
      <c r="AI142">
        <v>6577</v>
      </c>
      <c r="AJ142">
        <v>25296</v>
      </c>
      <c r="AK142">
        <v>6126</v>
      </c>
      <c r="AL142">
        <v>7741</v>
      </c>
      <c r="AM142">
        <v>7245</v>
      </c>
      <c r="AN142">
        <v>7253</v>
      </c>
      <c r="AO142">
        <v>28365</v>
      </c>
      <c r="AP142">
        <v>7746</v>
      </c>
      <c r="AQ142">
        <v>8541</v>
      </c>
      <c r="AR142">
        <v>7835</v>
      </c>
      <c r="AS142">
        <v>8065</v>
      </c>
      <c r="AT142">
        <v>32187</v>
      </c>
      <c r="AU142">
        <v>8215</v>
      </c>
      <c r="AV142">
        <v>10153</v>
      </c>
      <c r="AW142">
        <v>9175</v>
      </c>
      <c r="AX142">
        <v>9292</v>
      </c>
      <c r="AY142">
        <v>36835</v>
      </c>
      <c r="AZ142">
        <v>9189</v>
      </c>
      <c r="BA142">
        <v>10818</v>
      </c>
      <c r="BB142">
        <v>9620</v>
      </c>
      <c r="BC142">
        <v>10161</v>
      </c>
      <c r="BD142">
        <v>39788</v>
      </c>
      <c r="BE142">
        <v>9741</v>
      </c>
      <c r="BF142">
        <v>11837</v>
      </c>
      <c r="BG142">
        <v>10900</v>
      </c>
      <c r="BH142">
        <v>11804</v>
      </c>
      <c r="BI142">
        <v>44282</v>
      </c>
      <c r="BJ142">
        <v>10811</v>
      </c>
      <c r="BK142">
        <v>12542</v>
      </c>
      <c r="BL142">
        <v>14398</v>
      </c>
      <c r="BM142">
        <v>13371</v>
      </c>
      <c r="BN142">
        <v>51122</v>
      </c>
      <c r="BO142">
        <v>13762</v>
      </c>
      <c r="BP142">
        <v>16367</v>
      </c>
      <c r="BQ142">
        <v>14454</v>
      </c>
      <c r="BR142">
        <v>15837</v>
      </c>
      <c r="BS142">
        <v>60420</v>
      </c>
      <c r="BT142">
        <v>15061</v>
      </c>
      <c r="BU142">
        <v>16629</v>
      </c>
      <c r="BV142">
        <v>13648</v>
      </c>
      <c r="BW142">
        <v>13099</v>
      </c>
      <c r="BX142">
        <v>58437</v>
      </c>
      <c r="BY142">
        <v>12920</v>
      </c>
      <c r="BZ142">
        <v>19022</v>
      </c>
      <c r="CA142">
        <v>14503</v>
      </c>
      <c r="CB142">
        <v>16039</v>
      </c>
      <c r="CC142">
        <v>62484</v>
      </c>
      <c r="CD142">
        <v>16195</v>
      </c>
      <c r="CE142">
        <v>19953</v>
      </c>
      <c r="CF142">
        <v>16428</v>
      </c>
      <c r="CG142">
        <v>17367</v>
      </c>
      <c r="CH142">
        <v>69943</v>
      </c>
      <c r="CI142">
        <v>17372</v>
      </c>
      <c r="CJ142">
        <v>20885</v>
      </c>
      <c r="CK142">
        <v>17407</v>
      </c>
      <c r="CL142">
        <v>18059</v>
      </c>
      <c r="CM142">
        <v>73723</v>
      </c>
      <c r="CN142">
        <v>16008</v>
      </c>
      <c r="CO142">
        <v>21456</v>
      </c>
      <c r="CP142">
        <v>20489</v>
      </c>
      <c r="CQ142">
        <v>19896</v>
      </c>
      <c r="CR142">
        <v>77849</v>
      </c>
      <c r="CS142">
        <v>18529</v>
      </c>
      <c r="CT142">
        <v>24519</v>
      </c>
      <c r="CU142">
        <v>20403</v>
      </c>
      <c r="CV142">
        <v>23382</v>
      </c>
      <c r="CW142">
        <v>86833</v>
      </c>
      <c r="CX142">
        <v>23201</v>
      </c>
      <c r="CY142">
        <v>26470</v>
      </c>
      <c r="CZ142">
        <v>21729</v>
      </c>
      <c r="DA142">
        <v>22180</v>
      </c>
      <c r="DB142">
        <v>93580</v>
      </c>
      <c r="DC142">
        <v>20379</v>
      </c>
      <c r="DD142">
        <v>23796</v>
      </c>
      <c r="DE142">
        <v>20531</v>
      </c>
      <c r="DF142">
        <v>20614</v>
      </c>
      <c r="DG142">
        <v>85320</v>
      </c>
      <c r="DH142">
        <v>20121</v>
      </c>
      <c r="DI142">
        <v>24749</v>
      </c>
      <c r="DJ142">
        <v>23167</v>
      </c>
      <c r="DK142">
        <v>32354</v>
      </c>
      <c r="DL142">
        <v>100391</v>
      </c>
      <c r="DM142">
        <v>22732</v>
      </c>
      <c r="DN142">
        <v>27853</v>
      </c>
      <c r="DO142">
        <v>26910</v>
      </c>
      <c r="DP142">
        <v>38787</v>
      </c>
      <c r="DQ142">
        <v>116282</v>
      </c>
      <c r="DR142">
        <v>26643</v>
      </c>
      <c r="DS142">
        <v>30349</v>
      </c>
      <c r="DT142">
        <v>30591</v>
      </c>
      <c r="DU142">
        <v>42722</v>
      </c>
      <c r="DV142">
        <v>130305</v>
      </c>
      <c r="DW142">
        <v>30163</v>
      </c>
      <c r="DX142">
        <v>33970</v>
      </c>
      <c r="DY142">
        <v>34285</v>
      </c>
      <c r="DZ142">
        <v>46809</v>
      </c>
      <c r="EA142">
        <v>145227</v>
      </c>
      <c r="EB142">
        <v>34090</v>
      </c>
      <c r="EC142">
        <v>39849</v>
      </c>
      <c r="ED142">
        <v>41233</v>
      </c>
      <c r="EE142">
        <v>57549</v>
      </c>
      <c r="EF142">
        <v>172721</v>
      </c>
      <c r="EG142">
        <v>42432</v>
      </c>
      <c r="EH142">
        <v>47385</v>
      </c>
      <c r="EI142">
        <v>49151</v>
      </c>
      <c r="EJ142">
        <v>64411</v>
      </c>
      <c r="EK142">
        <v>203379</v>
      </c>
      <c r="EL142">
        <v>46800</v>
      </c>
      <c r="EM142">
        <v>47561</v>
      </c>
      <c r="EN142">
        <v>52676</v>
      </c>
      <c r="EO142">
        <v>70413</v>
      </c>
      <c r="EP142">
        <v>217450</v>
      </c>
      <c r="EQ142">
        <v>52391</v>
      </c>
      <c r="ER142">
        <v>56482</v>
      </c>
      <c r="ES142">
        <v>61213</v>
      </c>
      <c r="ET142">
        <v>80384</v>
      </c>
      <c r="EU142">
        <v>250470</v>
      </c>
      <c r="EV142">
        <v>60032</v>
      </c>
      <c r="EW142">
        <v>63294</v>
      </c>
      <c r="EX142">
        <v>69034</v>
      </c>
    </row>
    <row r="143" spans="1:171">
      <c r="B143" t="s">
        <v>848</v>
      </c>
      <c r="C143" t="s">
        <v>849</v>
      </c>
      <c r="D143" t="s">
        <v>379</v>
      </c>
      <c r="F143">
        <v>5937</v>
      </c>
      <c r="G143">
        <v>2323</v>
      </c>
      <c r="H143">
        <v>2383</v>
      </c>
      <c r="I143">
        <v>2255</v>
      </c>
      <c r="J143">
        <v>2270</v>
      </c>
      <c r="K143">
        <v>9231</v>
      </c>
      <c r="L143">
        <v>2386</v>
      </c>
      <c r="M143">
        <v>3042</v>
      </c>
      <c r="N143">
        <v>3480</v>
      </c>
      <c r="O143">
        <v>3308</v>
      </c>
      <c r="P143">
        <v>12216</v>
      </c>
      <c r="Q143">
        <v>3383</v>
      </c>
      <c r="R143">
        <v>3952</v>
      </c>
      <c r="S143">
        <v>4199</v>
      </c>
      <c r="T143">
        <v>4420</v>
      </c>
      <c r="U143">
        <v>15954</v>
      </c>
      <c r="V143">
        <v>4438</v>
      </c>
      <c r="W143">
        <v>5614</v>
      </c>
      <c r="X143">
        <v>5238</v>
      </c>
      <c r="Y143">
        <v>5808</v>
      </c>
      <c r="Z143">
        <v>21098</v>
      </c>
      <c r="AA143">
        <v>5274</v>
      </c>
      <c r="AB143">
        <v>6242</v>
      </c>
      <c r="AC143">
        <v>5856</v>
      </c>
      <c r="AD143">
        <v>6161</v>
      </c>
      <c r="AE143">
        <v>23533</v>
      </c>
      <c r="AF143">
        <v>5716</v>
      </c>
      <c r="AG143">
        <v>6908</v>
      </c>
      <c r="AH143">
        <v>6584</v>
      </c>
      <c r="AI143">
        <v>6886</v>
      </c>
      <c r="AJ143">
        <v>26094</v>
      </c>
      <c r="AK143">
        <v>6361</v>
      </c>
      <c r="AL143">
        <v>7192</v>
      </c>
      <c r="AM143">
        <v>7513</v>
      </c>
      <c r="AN143">
        <v>7605</v>
      </c>
      <c r="AO143">
        <v>28671</v>
      </c>
      <c r="AP143">
        <v>8667</v>
      </c>
      <c r="AQ143">
        <v>8510</v>
      </c>
      <c r="AR143">
        <v>7823</v>
      </c>
      <c r="AS143">
        <v>8492</v>
      </c>
      <c r="AT143">
        <v>33492</v>
      </c>
      <c r="AU143">
        <v>7610</v>
      </c>
      <c r="AV143">
        <v>9762</v>
      </c>
      <c r="AW143">
        <v>8895</v>
      </c>
      <c r="AX143">
        <v>9857</v>
      </c>
      <c r="AY143">
        <v>36124</v>
      </c>
      <c r="AZ143">
        <v>8824</v>
      </c>
      <c r="BA143">
        <v>10936</v>
      </c>
      <c r="BB143">
        <v>9628</v>
      </c>
      <c r="BC143">
        <v>11388</v>
      </c>
      <c r="BD143">
        <v>40776</v>
      </c>
      <c r="BE143">
        <v>9387</v>
      </c>
      <c r="BF143">
        <v>11807</v>
      </c>
      <c r="BG143">
        <v>10997</v>
      </c>
      <c r="BH143">
        <v>13727</v>
      </c>
      <c r="BI143">
        <v>45918</v>
      </c>
      <c r="BJ143">
        <v>9983</v>
      </c>
      <c r="BK143">
        <v>14255</v>
      </c>
      <c r="BL143">
        <v>12926</v>
      </c>
      <c r="BM143">
        <v>15599</v>
      </c>
      <c r="BN143">
        <v>52763</v>
      </c>
      <c r="BO143">
        <v>12770</v>
      </c>
      <c r="BP143">
        <v>16801</v>
      </c>
      <c r="BQ143">
        <v>14618</v>
      </c>
      <c r="BR143">
        <v>18849</v>
      </c>
      <c r="BS143">
        <v>63038</v>
      </c>
      <c r="BT143">
        <v>13479</v>
      </c>
      <c r="BU143">
        <v>16346</v>
      </c>
      <c r="BV143">
        <v>13040</v>
      </c>
      <c r="BW143">
        <v>15178</v>
      </c>
      <c r="BX143">
        <v>58043</v>
      </c>
      <c r="BY143">
        <v>13484</v>
      </c>
      <c r="BZ143">
        <v>16816</v>
      </c>
      <c r="CA143">
        <v>14313</v>
      </c>
      <c r="CB143">
        <v>18520</v>
      </c>
      <c r="CC143">
        <v>63133</v>
      </c>
      <c r="CD143">
        <v>15310</v>
      </c>
      <c r="CE143">
        <v>19249</v>
      </c>
      <c r="CF143">
        <v>16252</v>
      </c>
      <c r="CG143">
        <v>21202</v>
      </c>
      <c r="CH143">
        <v>72013</v>
      </c>
      <c r="CI143">
        <v>15995</v>
      </c>
      <c r="CJ143">
        <v>20525</v>
      </c>
      <c r="CK143">
        <v>17351</v>
      </c>
      <c r="CL143">
        <v>22783</v>
      </c>
      <c r="CM143">
        <v>76654</v>
      </c>
      <c r="CN143">
        <v>15650</v>
      </c>
      <c r="CO143">
        <v>21515</v>
      </c>
      <c r="CP143">
        <v>18646</v>
      </c>
      <c r="CQ143">
        <v>24024</v>
      </c>
      <c r="CR143">
        <v>79835</v>
      </c>
      <c r="CS143">
        <v>16475</v>
      </c>
      <c r="CT143">
        <v>23550</v>
      </c>
      <c r="CU143">
        <v>20457</v>
      </c>
      <c r="CV143">
        <v>28862</v>
      </c>
      <c r="CW143">
        <v>89344</v>
      </c>
      <c r="CX143">
        <v>20764</v>
      </c>
      <c r="CY143">
        <v>24949</v>
      </c>
      <c r="CZ143">
        <v>20769</v>
      </c>
      <c r="DA143">
        <v>27171</v>
      </c>
      <c r="DB143">
        <v>93653</v>
      </c>
      <c r="DC143">
        <v>18759</v>
      </c>
      <c r="DD143">
        <v>23122</v>
      </c>
      <c r="DE143">
        <v>20478</v>
      </c>
      <c r="DF143">
        <v>27206</v>
      </c>
      <c r="DG143">
        <v>89565</v>
      </c>
      <c r="DH143">
        <v>13113</v>
      </c>
      <c r="DI143">
        <v>25239</v>
      </c>
      <c r="DJ143">
        <v>23282</v>
      </c>
      <c r="DK143">
        <v>31482</v>
      </c>
      <c r="DL143">
        <v>93116</v>
      </c>
      <c r="DM143">
        <v>23303</v>
      </c>
      <c r="DN143">
        <v>27449</v>
      </c>
      <c r="DO143">
        <v>26880</v>
      </c>
      <c r="DP143">
        <v>37620</v>
      </c>
      <c r="DQ143">
        <v>115252</v>
      </c>
      <c r="DR143">
        <v>26883</v>
      </c>
      <c r="DS143">
        <v>30052</v>
      </c>
      <c r="DT143">
        <v>30537</v>
      </c>
      <c r="DU143">
        <v>42142</v>
      </c>
      <c r="DV143">
        <v>129614</v>
      </c>
      <c r="DW143">
        <v>30283</v>
      </c>
      <c r="DX143">
        <v>34345</v>
      </c>
      <c r="DY143">
        <v>34690</v>
      </c>
      <c r="DZ143">
        <v>47021</v>
      </c>
      <c r="EA143">
        <v>146339</v>
      </c>
      <c r="EB143">
        <v>34630</v>
      </c>
      <c r="EC143">
        <v>40002</v>
      </c>
      <c r="ED143">
        <v>41387</v>
      </c>
      <c r="EE143">
        <v>57594</v>
      </c>
      <c r="EF143">
        <v>173613</v>
      </c>
      <c r="EG143">
        <v>42257</v>
      </c>
      <c r="EH143">
        <v>47264</v>
      </c>
      <c r="EI143">
        <v>49386</v>
      </c>
      <c r="EJ143">
        <v>63376</v>
      </c>
      <c r="EK143">
        <v>202283</v>
      </c>
      <c r="EL143">
        <v>45924</v>
      </c>
      <c r="EM143">
        <v>48389</v>
      </c>
      <c r="EN143">
        <v>52778</v>
      </c>
      <c r="EO143">
        <v>70187</v>
      </c>
      <c r="EP143">
        <v>217278</v>
      </c>
      <c r="EQ143">
        <v>52045</v>
      </c>
      <c r="ER143">
        <v>58659</v>
      </c>
      <c r="ES143">
        <v>60678</v>
      </c>
      <c r="ET143">
        <v>80421</v>
      </c>
      <c r="EU143">
        <v>251803</v>
      </c>
      <c r="EV143">
        <v>61029</v>
      </c>
      <c r="EW143">
        <v>62114</v>
      </c>
      <c r="EX143">
        <v>69194</v>
      </c>
      <c r="EY143">
        <v>89112.251937245004</v>
      </c>
      <c r="EZ143">
        <v>281449.25193724502</v>
      </c>
      <c r="FA143">
        <v>72251.541604921294</v>
      </c>
      <c r="FB143">
        <v>71148.141044996504</v>
      </c>
      <c r="FC143">
        <v>78716.472469374407</v>
      </c>
      <c r="FD143">
        <v>100565.926737546</v>
      </c>
      <c r="FE143">
        <v>322682.08185683802</v>
      </c>
      <c r="FF143">
        <v>81931.161212860097</v>
      </c>
      <c r="FG143">
        <v>80921.261120161798</v>
      </c>
      <c r="FH143">
        <v>89325.274509173207</v>
      </c>
      <c r="FI143">
        <v>113816.364497641</v>
      </c>
      <c r="FJ143">
        <v>365994.06133983599</v>
      </c>
      <c r="FK143">
        <v>92887.592705517993</v>
      </c>
      <c r="FL143">
        <v>92003.427102809699</v>
      </c>
      <c r="FM143">
        <v>101327.824691513</v>
      </c>
      <c r="FN143">
        <v>128817.444074966</v>
      </c>
      <c r="FO143">
        <v>415036.28857480601</v>
      </c>
    </row>
    <row r="144" spans="1:171">
      <c r="B144" t="s">
        <v>850</v>
      </c>
      <c r="C144" t="s">
        <v>851</v>
      </c>
      <c r="D144" t="s">
        <v>379</v>
      </c>
      <c r="DM144">
        <v>59000</v>
      </c>
      <c r="DN144">
        <v>61000</v>
      </c>
      <c r="DO144">
        <v>61000</v>
      </c>
      <c r="DP144">
        <v>73000</v>
      </c>
      <c r="DQ144">
        <v>73000</v>
      </c>
      <c r="DR144">
        <v>71000</v>
      </c>
      <c r="DS144">
        <v>72000</v>
      </c>
      <c r="DT144">
        <v>75000</v>
      </c>
      <c r="DU144">
        <v>91000</v>
      </c>
      <c r="DV144">
        <v>91000</v>
      </c>
      <c r="DW144">
        <v>89000</v>
      </c>
      <c r="DX144">
        <v>93000</v>
      </c>
      <c r="DY144">
        <v>93000</v>
      </c>
      <c r="DZ144">
        <v>111000</v>
      </c>
      <c r="EA144">
        <v>111000</v>
      </c>
      <c r="EB144">
        <v>111000</v>
      </c>
      <c r="EC144">
        <v>117000</v>
      </c>
      <c r="ED144">
        <v>121000</v>
      </c>
      <c r="EE144">
        <v>146000</v>
      </c>
      <c r="EF144">
        <v>146000</v>
      </c>
      <c r="EG144">
        <v>142000</v>
      </c>
      <c r="EH144">
        <v>152000</v>
      </c>
      <c r="EI144">
        <v>160000</v>
      </c>
      <c r="EJ144">
        <v>193000</v>
      </c>
      <c r="EK144">
        <v>193000</v>
      </c>
      <c r="EL144">
        <v>183000</v>
      </c>
      <c r="EM144">
        <v>193000</v>
      </c>
      <c r="EN144">
        <v>201000</v>
      </c>
      <c r="EO144">
        <v>229000</v>
      </c>
      <c r="EP144">
        <v>229000</v>
      </c>
      <c r="EQ144">
        <v>216000</v>
      </c>
      <c r="ER144">
        <v>229000</v>
      </c>
      <c r="ES144">
        <v>242000</v>
      </c>
      <c r="ET144">
        <v>275000</v>
      </c>
      <c r="EU144">
        <v>275000</v>
      </c>
      <c r="EV144">
        <v>266000</v>
      </c>
      <c r="EW144">
        <v>304000</v>
      </c>
      <c r="EX144">
        <v>321000</v>
      </c>
      <c r="EY144">
        <v>0</v>
      </c>
      <c r="EZ144">
        <v>0</v>
      </c>
      <c r="FA144">
        <v>0</v>
      </c>
      <c r="FB144">
        <v>0</v>
      </c>
      <c r="FC144">
        <v>0</v>
      </c>
      <c r="FD144">
        <v>0</v>
      </c>
      <c r="FE144">
        <v>0</v>
      </c>
      <c r="FF144">
        <v>0</v>
      </c>
      <c r="FG144">
        <v>0</v>
      </c>
      <c r="FH144">
        <v>0</v>
      </c>
      <c r="FI144">
        <v>0</v>
      </c>
      <c r="FJ144">
        <v>0</v>
      </c>
      <c r="FK144">
        <v>0</v>
      </c>
      <c r="FL144">
        <v>0</v>
      </c>
      <c r="FM144">
        <v>0</v>
      </c>
      <c r="FN144">
        <v>0</v>
      </c>
      <c r="FO144">
        <v>0</v>
      </c>
    </row>
    <row r="145" spans="2:171">
      <c r="B145" t="s">
        <v>852</v>
      </c>
      <c r="C145" t="s">
        <v>853</v>
      </c>
      <c r="D145" t="s">
        <v>379</v>
      </c>
      <c r="DM145">
        <v>35400</v>
      </c>
      <c r="DN145">
        <v>36600</v>
      </c>
      <c r="DO145">
        <v>36600</v>
      </c>
      <c r="DP145">
        <v>43800</v>
      </c>
      <c r="DQ145">
        <v>43800</v>
      </c>
      <c r="DR145">
        <v>42600</v>
      </c>
      <c r="DS145">
        <v>43200</v>
      </c>
      <c r="DT145">
        <v>41250</v>
      </c>
      <c r="DU145">
        <v>45500</v>
      </c>
      <c r="DV145">
        <v>45500</v>
      </c>
      <c r="DW145">
        <v>44500</v>
      </c>
      <c r="DX145">
        <v>46500</v>
      </c>
      <c r="DY145">
        <v>46500</v>
      </c>
      <c r="DZ145">
        <v>55500</v>
      </c>
      <c r="EA145">
        <v>55500</v>
      </c>
      <c r="EB145">
        <v>55500</v>
      </c>
      <c r="EC145">
        <v>58500</v>
      </c>
      <c r="ED145">
        <v>60500</v>
      </c>
      <c r="EE145">
        <v>73000</v>
      </c>
      <c r="EF145">
        <v>73000</v>
      </c>
      <c r="EG145">
        <v>71000</v>
      </c>
      <c r="EH145">
        <v>68400</v>
      </c>
      <c r="EI145">
        <v>80000</v>
      </c>
      <c r="EJ145">
        <v>86850</v>
      </c>
      <c r="EK145">
        <v>86850</v>
      </c>
      <c r="EL145">
        <v>82350</v>
      </c>
      <c r="EM145">
        <v>86850</v>
      </c>
      <c r="EN145">
        <v>90450</v>
      </c>
      <c r="EO145">
        <v>103050</v>
      </c>
      <c r="EP145">
        <v>103050</v>
      </c>
      <c r="EQ145">
        <v>97200</v>
      </c>
      <c r="ER145">
        <v>103050</v>
      </c>
      <c r="ES145">
        <v>108900</v>
      </c>
      <c r="ET145">
        <v>123750</v>
      </c>
      <c r="EU145">
        <v>123750</v>
      </c>
      <c r="EV145">
        <v>119700</v>
      </c>
      <c r="EW145">
        <v>121600</v>
      </c>
      <c r="EX145">
        <v>128400</v>
      </c>
      <c r="EY145">
        <v>0</v>
      </c>
      <c r="EZ145">
        <v>0</v>
      </c>
      <c r="FA145">
        <v>0</v>
      </c>
      <c r="FB145">
        <v>0</v>
      </c>
      <c r="FC145">
        <v>0</v>
      </c>
      <c r="FD145">
        <v>0</v>
      </c>
      <c r="FE145">
        <v>0</v>
      </c>
      <c r="FF145">
        <v>0</v>
      </c>
      <c r="FG145">
        <v>0</v>
      </c>
      <c r="FH145">
        <v>0</v>
      </c>
      <c r="FI145">
        <v>0</v>
      </c>
      <c r="FJ145">
        <v>0</v>
      </c>
      <c r="FK145">
        <v>0</v>
      </c>
      <c r="FL145">
        <v>0</v>
      </c>
      <c r="FM145">
        <v>0</v>
      </c>
      <c r="FN145">
        <v>0</v>
      </c>
      <c r="FO145">
        <v>0</v>
      </c>
    </row>
    <row r="146" spans="2:171">
      <c r="B146" t="s">
        <v>854</v>
      </c>
      <c r="C146" t="s">
        <v>855</v>
      </c>
      <c r="E146" t="s">
        <v>1907</v>
      </c>
    </row>
    <row r="147" spans="2:171">
      <c r="B147" t="s">
        <v>856</v>
      </c>
      <c r="C147" t="s">
        <v>857</v>
      </c>
      <c r="D147" t="s">
        <v>379</v>
      </c>
    </row>
    <row r="148" spans="2:171">
      <c r="B148" t="s">
        <v>858</v>
      </c>
      <c r="C148" t="s">
        <v>859</v>
      </c>
      <c r="E148" t="s">
        <v>1908</v>
      </c>
    </row>
    <row r="149" spans="2:171">
      <c r="B149" t="s">
        <v>860</v>
      </c>
      <c r="C149" t="s">
        <v>861</v>
      </c>
      <c r="D149" t="s">
        <v>379</v>
      </c>
    </row>
    <row r="150" spans="2:171">
      <c r="B150" t="s">
        <v>862</v>
      </c>
      <c r="C150" t="s">
        <v>863</v>
      </c>
      <c r="E150" t="s">
        <v>1909</v>
      </c>
    </row>
    <row r="151" spans="2:171">
      <c r="B151" t="s">
        <v>864</v>
      </c>
      <c r="C151" t="s">
        <v>865</v>
      </c>
      <c r="D151" t="s">
        <v>379</v>
      </c>
      <c r="F151">
        <v>5937</v>
      </c>
      <c r="G151">
        <v>8064</v>
      </c>
      <c r="H151">
        <v>8780</v>
      </c>
      <c r="I151">
        <v>8820</v>
      </c>
      <c r="J151">
        <v>9020</v>
      </c>
      <c r="K151">
        <v>8671</v>
      </c>
      <c r="L151">
        <v>9180</v>
      </c>
      <c r="M151">
        <v>10720</v>
      </c>
      <c r="N151">
        <v>12832</v>
      </c>
      <c r="O151">
        <v>12700</v>
      </c>
      <c r="P151">
        <v>11358</v>
      </c>
      <c r="Q151">
        <v>12520</v>
      </c>
      <c r="R151">
        <v>14340</v>
      </c>
      <c r="S151">
        <v>15096</v>
      </c>
      <c r="T151">
        <v>15980</v>
      </c>
      <c r="U151">
        <v>14484</v>
      </c>
      <c r="V151">
        <v>16772</v>
      </c>
      <c r="W151">
        <v>20780</v>
      </c>
      <c r="X151">
        <v>18380</v>
      </c>
      <c r="Y151">
        <v>23056</v>
      </c>
      <c r="Z151">
        <v>19747</v>
      </c>
      <c r="AA151">
        <v>21536</v>
      </c>
      <c r="AB151">
        <v>24448</v>
      </c>
      <c r="AC151">
        <v>22624</v>
      </c>
      <c r="AD151">
        <v>23216</v>
      </c>
      <c r="AE151">
        <v>22956</v>
      </c>
      <c r="AF151">
        <v>23064</v>
      </c>
      <c r="AG151">
        <v>26200</v>
      </c>
      <c r="AH151">
        <v>25612</v>
      </c>
      <c r="AI151">
        <v>26308</v>
      </c>
      <c r="AJ151">
        <v>25296</v>
      </c>
      <c r="AK151">
        <v>24504</v>
      </c>
      <c r="AL151">
        <v>30964</v>
      </c>
      <c r="AM151">
        <v>28980</v>
      </c>
      <c r="AN151">
        <v>29012</v>
      </c>
      <c r="AO151">
        <v>28365</v>
      </c>
      <c r="AP151">
        <v>30984</v>
      </c>
      <c r="AQ151">
        <v>34164</v>
      </c>
      <c r="AR151">
        <v>31340</v>
      </c>
      <c r="AS151">
        <v>32260</v>
      </c>
      <c r="AT151">
        <v>32187</v>
      </c>
      <c r="AU151">
        <v>32860</v>
      </c>
      <c r="AV151">
        <v>40612</v>
      </c>
      <c r="AW151">
        <v>36700</v>
      </c>
      <c r="AX151">
        <v>37168</v>
      </c>
      <c r="AY151">
        <v>36835</v>
      </c>
      <c r="AZ151">
        <v>36756</v>
      </c>
      <c r="BA151">
        <v>43272</v>
      </c>
      <c r="BB151">
        <v>38480</v>
      </c>
      <c r="BC151">
        <v>40644</v>
      </c>
      <c r="BD151">
        <v>39788</v>
      </c>
      <c r="BE151">
        <v>38964</v>
      </c>
      <c r="BF151">
        <v>47348</v>
      </c>
      <c r="BG151">
        <v>43600</v>
      </c>
      <c r="BH151">
        <v>47216</v>
      </c>
      <c r="BI151">
        <v>44282</v>
      </c>
      <c r="BJ151">
        <v>43244</v>
      </c>
      <c r="BK151">
        <v>50168</v>
      </c>
      <c r="BL151">
        <v>57592</v>
      </c>
      <c r="BM151">
        <v>53484</v>
      </c>
      <c r="BN151">
        <v>51122</v>
      </c>
      <c r="BO151">
        <v>55048</v>
      </c>
      <c r="BP151">
        <v>65468</v>
      </c>
      <c r="BQ151">
        <v>57816</v>
      </c>
      <c r="BR151">
        <v>63348</v>
      </c>
      <c r="BS151">
        <v>60420</v>
      </c>
      <c r="BT151">
        <v>60244</v>
      </c>
      <c r="BU151">
        <v>66516</v>
      </c>
      <c r="BV151">
        <v>54592</v>
      </c>
      <c r="BW151">
        <v>52396</v>
      </c>
      <c r="BX151">
        <v>58437</v>
      </c>
      <c r="BY151">
        <v>51680</v>
      </c>
      <c r="BZ151">
        <v>76088</v>
      </c>
      <c r="CA151">
        <v>58012</v>
      </c>
      <c r="CB151">
        <v>64156</v>
      </c>
      <c r="CC151">
        <v>62484</v>
      </c>
      <c r="CD151">
        <v>64780</v>
      </c>
      <c r="CE151">
        <v>79812</v>
      </c>
      <c r="CF151">
        <v>65712</v>
      </c>
      <c r="CG151">
        <v>69468</v>
      </c>
      <c r="CH151">
        <v>69943</v>
      </c>
      <c r="CI151">
        <v>69488</v>
      </c>
      <c r="CJ151">
        <v>83540</v>
      </c>
      <c r="CK151">
        <v>69628</v>
      </c>
      <c r="CL151">
        <v>72236</v>
      </c>
      <c r="CM151">
        <v>73723</v>
      </c>
      <c r="CN151">
        <v>64032</v>
      </c>
      <c r="CO151">
        <v>85824</v>
      </c>
      <c r="CP151">
        <v>81956</v>
      </c>
      <c r="CQ151">
        <v>79584</v>
      </c>
      <c r="CR151">
        <v>77849</v>
      </c>
      <c r="CS151">
        <v>74116</v>
      </c>
      <c r="CT151">
        <v>98076</v>
      </c>
      <c r="CU151">
        <v>81612</v>
      </c>
      <c r="CV151">
        <v>93528</v>
      </c>
      <c r="CW151">
        <v>86833</v>
      </c>
      <c r="CX151">
        <v>92804</v>
      </c>
      <c r="CY151">
        <v>105880</v>
      </c>
      <c r="CZ151">
        <v>86916</v>
      </c>
      <c r="DA151">
        <v>88720</v>
      </c>
      <c r="DB151">
        <v>93580</v>
      </c>
      <c r="DC151">
        <v>81516</v>
      </c>
      <c r="DD151">
        <v>95184</v>
      </c>
      <c r="DE151">
        <v>82124</v>
      </c>
      <c r="DF151">
        <v>82456</v>
      </c>
      <c r="DG151">
        <v>85320</v>
      </c>
      <c r="DH151">
        <v>87712</v>
      </c>
      <c r="DI151">
        <v>103304</v>
      </c>
      <c r="DJ151">
        <v>92848</v>
      </c>
      <c r="DK151">
        <v>102420</v>
      </c>
      <c r="DL151">
        <v>96571</v>
      </c>
      <c r="DM151">
        <v>98152</v>
      </c>
      <c r="DN151">
        <v>115672</v>
      </c>
      <c r="DO151">
        <v>107276</v>
      </c>
      <c r="DP151">
        <v>120340</v>
      </c>
      <c r="DQ151">
        <v>110360</v>
      </c>
      <c r="DR151">
        <v>116336</v>
      </c>
      <c r="DS151">
        <v>129884</v>
      </c>
      <c r="DT151">
        <v>122284</v>
      </c>
      <c r="DU151">
        <v>134868</v>
      </c>
      <c r="DV151">
        <v>125843</v>
      </c>
      <c r="DW151">
        <v>132220</v>
      </c>
      <c r="DX151">
        <v>147624</v>
      </c>
      <c r="DY151">
        <v>140084</v>
      </c>
      <c r="DZ151">
        <v>152132</v>
      </c>
      <c r="EA151">
        <v>143015</v>
      </c>
      <c r="EB151">
        <v>148616</v>
      </c>
      <c r="EC151">
        <v>172304</v>
      </c>
      <c r="ED151">
        <v>166824</v>
      </c>
      <c r="EE151">
        <v>184608</v>
      </c>
      <c r="EF151">
        <v>168088</v>
      </c>
      <c r="EG151">
        <v>181268</v>
      </c>
      <c r="EH151">
        <v>206912</v>
      </c>
      <c r="EI151">
        <v>197440</v>
      </c>
      <c r="EJ151">
        <v>207460</v>
      </c>
      <c r="EK151">
        <v>198270</v>
      </c>
      <c r="EL151">
        <v>200488</v>
      </c>
      <c r="EM151">
        <v>210988</v>
      </c>
      <c r="EN151">
        <v>211428</v>
      </c>
      <c r="EO151">
        <v>224756</v>
      </c>
      <c r="EP151">
        <v>211915</v>
      </c>
      <c r="EQ151">
        <v>226068</v>
      </c>
      <c r="ER151">
        <v>248080</v>
      </c>
      <c r="ES151">
        <v>247432</v>
      </c>
      <c r="ET151">
        <v>258908</v>
      </c>
      <c r="EU151">
        <v>245122</v>
      </c>
      <c r="EV151">
        <v>262340</v>
      </c>
      <c r="EW151">
        <v>278528</v>
      </c>
      <c r="EX151">
        <v>280264</v>
      </c>
      <c r="EY151">
        <v>297341.00040210999</v>
      </c>
      <c r="EZ151">
        <v>279618.25010052801</v>
      </c>
      <c r="FA151">
        <v>298378.59820332302</v>
      </c>
      <c r="FB151">
        <v>315926.742843732</v>
      </c>
      <c r="FC151">
        <v>317198.32677698397</v>
      </c>
      <c r="FD151">
        <v>337835.97894209699</v>
      </c>
      <c r="FE151">
        <v>317334.91169153398</v>
      </c>
      <c r="FF151">
        <v>337940.59549560602</v>
      </c>
      <c r="FG151">
        <v>357839.29922412999</v>
      </c>
      <c r="FH151">
        <v>359843.45425713301</v>
      </c>
      <c r="FI151">
        <v>385039.23446174798</v>
      </c>
      <c r="FJ151">
        <v>360165.645859654</v>
      </c>
      <c r="FK151">
        <v>382685.75702421198</v>
      </c>
      <c r="FL151">
        <v>405241.84608163498</v>
      </c>
      <c r="FM151">
        <v>408082.46704633097</v>
      </c>
      <c r="FN151">
        <v>438723.19265345298</v>
      </c>
      <c r="FO151">
        <v>408683.31570140802</v>
      </c>
    </row>
    <row r="152" spans="2:171">
      <c r="B152" t="s">
        <v>866</v>
      </c>
      <c r="C152" t="s">
        <v>867</v>
      </c>
      <c r="E152" t="s">
        <v>1910</v>
      </c>
    </row>
    <row r="153" spans="2:171">
      <c r="B153" t="s">
        <v>868</v>
      </c>
      <c r="C153" t="s">
        <v>869</v>
      </c>
      <c r="D153" t="s">
        <v>379</v>
      </c>
    </row>
    <row r="154" spans="2:171">
      <c r="B154" t="s">
        <v>870</v>
      </c>
      <c r="C154" t="s">
        <v>871</v>
      </c>
      <c r="E154" t="s">
        <v>1911</v>
      </c>
    </row>
    <row r="155" spans="2:171">
      <c r="B155" t="s">
        <v>872</v>
      </c>
      <c r="C155" t="s">
        <v>873</v>
      </c>
      <c r="D155" t="s">
        <v>379</v>
      </c>
    </row>
    <row r="156" spans="2:171">
      <c r="B156" t="s">
        <v>874</v>
      </c>
      <c r="C156" t="s">
        <v>875</v>
      </c>
      <c r="E156" t="s">
        <v>1912</v>
      </c>
    </row>
    <row r="157" spans="2:171">
      <c r="B157" t="s">
        <v>876</v>
      </c>
      <c r="C157" t="s">
        <v>877</v>
      </c>
      <c r="D157" t="s">
        <v>379</v>
      </c>
    </row>
    <row r="158" spans="2:171">
      <c r="B158" t="s">
        <v>878</v>
      </c>
      <c r="C158" t="s">
        <v>879</v>
      </c>
      <c r="E158" t="s">
        <v>1913</v>
      </c>
    </row>
    <row r="159" spans="2:171">
      <c r="B159" t="s">
        <v>880</v>
      </c>
      <c r="C159" t="s">
        <v>881</v>
      </c>
      <c r="D159" t="s">
        <v>379</v>
      </c>
    </row>
    <row r="160" spans="2:171">
      <c r="B160" t="s">
        <v>882</v>
      </c>
      <c r="C160" t="s">
        <v>883</v>
      </c>
      <c r="E160" t="s">
        <v>1914</v>
      </c>
    </row>
    <row r="161" spans="1:161">
      <c r="B161" t="s">
        <v>884</v>
      </c>
      <c r="C161" t="s">
        <v>885</v>
      </c>
      <c r="D161" t="s">
        <v>379</v>
      </c>
    </row>
    <row r="162" spans="1:161">
      <c r="B162" t="s">
        <v>886</v>
      </c>
      <c r="C162" t="s">
        <v>887</v>
      </c>
      <c r="E162" t="s">
        <v>1915</v>
      </c>
    </row>
    <row r="163" spans="1:161">
      <c r="B163" t="s">
        <v>888</v>
      </c>
      <c r="C163" t="s">
        <v>889</v>
      </c>
      <c r="D163" t="s">
        <v>379</v>
      </c>
    </row>
    <row r="164" spans="1:161">
      <c r="B164" t="s">
        <v>890</v>
      </c>
      <c r="C164" t="s">
        <v>891</v>
      </c>
      <c r="E164" t="s">
        <v>1916</v>
      </c>
    </row>
    <row r="165" spans="1:161">
      <c r="B165" t="s">
        <v>892</v>
      </c>
      <c r="C165" t="s">
        <v>893</v>
      </c>
      <c r="D165" t="s">
        <v>379</v>
      </c>
    </row>
    <row r="166" spans="1:161">
      <c r="A166" t="s">
        <v>894</v>
      </c>
    </row>
    <row r="167" spans="1:161">
      <c r="B167" t="s">
        <v>895</v>
      </c>
      <c r="C167" t="s">
        <v>896</v>
      </c>
    </row>
    <row r="168" spans="1:161">
      <c r="B168" t="s">
        <v>897</v>
      </c>
      <c r="C168" t="s">
        <v>898</v>
      </c>
      <c r="DH168">
        <v>0.51144655235299996</v>
      </c>
      <c r="DI168">
        <v>0.54654224424999998</v>
      </c>
      <c r="DJ168">
        <v>0.52981216612100002</v>
      </c>
      <c r="DK168">
        <v>0.52528802968199995</v>
      </c>
      <c r="DL168">
        <v>0.528916548446</v>
      </c>
      <c r="DM168">
        <v>0.51051430434400003</v>
      </c>
      <c r="DN168">
        <v>0.52251193028599996</v>
      </c>
      <c r="DO168">
        <v>0.50177113240600002</v>
      </c>
      <c r="DP168">
        <v>0.49300315771999997</v>
      </c>
      <c r="DQ168">
        <v>0.50675969554199995</v>
      </c>
      <c r="DR168">
        <v>0.50680786686799995</v>
      </c>
      <c r="DS168">
        <v>0.51698438606800001</v>
      </c>
      <c r="DT168">
        <v>0.50282947891800001</v>
      </c>
      <c r="DU168">
        <v>0.51309428478200003</v>
      </c>
      <c r="DV168">
        <v>0.51015153802799995</v>
      </c>
      <c r="DW168">
        <v>0.52246256239599997</v>
      </c>
      <c r="DX168">
        <v>0.51885872215899997</v>
      </c>
      <c r="DY168">
        <v>0.49764427058100003</v>
      </c>
      <c r="DZ168">
        <v>0.50779586148900002</v>
      </c>
      <c r="EA168">
        <v>0.51155473202099999</v>
      </c>
      <c r="EB168">
        <v>0.51205792108500003</v>
      </c>
      <c r="EC168">
        <v>0.50691800538599996</v>
      </c>
      <c r="ED168">
        <v>0.48849086462399999</v>
      </c>
      <c r="EE168">
        <v>0.49226469058799999</v>
      </c>
      <c r="EF168">
        <v>0.49945861691499999</v>
      </c>
      <c r="EG168">
        <v>0.50378445175099995</v>
      </c>
      <c r="EH168">
        <v>0.51157980204099995</v>
      </c>
      <c r="EI168">
        <v>0.50184359805500001</v>
      </c>
      <c r="EJ168">
        <v>0.50427070278599995</v>
      </c>
      <c r="EK168">
        <v>0.50546224844900001</v>
      </c>
      <c r="EL168">
        <v>0.51608076293799998</v>
      </c>
      <c r="EM168">
        <v>0.511422450566</v>
      </c>
      <c r="EN168">
        <v>0.49202565412299998</v>
      </c>
      <c r="EO168">
        <v>0.49643168591699999</v>
      </c>
      <c r="EP168">
        <v>0.50371139371899998</v>
      </c>
      <c r="EQ168">
        <v>0.50979351345599999</v>
      </c>
      <c r="ER168">
        <v>0.52071912286400002</v>
      </c>
      <c r="ES168">
        <v>0.50821235733500003</v>
      </c>
      <c r="ET168">
        <v>0.49685602607899998</v>
      </c>
      <c r="EU168">
        <v>0.50874258532500005</v>
      </c>
      <c r="EV168">
        <v>0.517084699245</v>
      </c>
      <c r="EW168">
        <v>0.51035443474300002</v>
      </c>
      <c r="EX168">
        <v>0.51500014272299999</v>
      </c>
      <c r="EY168">
        <v>0</v>
      </c>
      <c r="EZ168">
        <v>0</v>
      </c>
      <c r="FA168">
        <v>0</v>
      </c>
      <c r="FB168">
        <v>0</v>
      </c>
      <c r="FC168">
        <v>0</v>
      </c>
      <c r="FD168">
        <v>0</v>
      </c>
      <c r="FE168">
        <v>0</v>
      </c>
    </row>
    <row r="169" spans="1:161">
      <c r="B169" t="s">
        <v>899</v>
      </c>
      <c r="C169" t="s">
        <v>900</v>
      </c>
    </row>
    <row r="170" spans="1:161">
      <c r="B170" t="s">
        <v>901</v>
      </c>
      <c r="C170" t="s">
        <v>902</v>
      </c>
    </row>
    <row r="171" spans="1:161">
      <c r="B171" t="s">
        <v>903</v>
      </c>
      <c r="C171" t="s">
        <v>904</v>
      </c>
    </row>
    <row r="172" spans="1:161">
      <c r="B172" t="s">
        <v>905</v>
      </c>
      <c r="C172" t="s">
        <v>906</v>
      </c>
    </row>
    <row r="173" spans="1:161">
      <c r="B173" t="s">
        <v>907</v>
      </c>
      <c r="C173" t="s">
        <v>908</v>
      </c>
    </row>
    <row r="174" spans="1:161">
      <c r="B174" t="s">
        <v>909</v>
      </c>
      <c r="C174" t="s">
        <v>910</v>
      </c>
    </row>
    <row r="175" spans="1:161">
      <c r="B175" t="s">
        <v>911</v>
      </c>
      <c r="C175" t="s">
        <v>912</v>
      </c>
    </row>
    <row r="176" spans="1:161">
      <c r="B176" t="s">
        <v>913</v>
      </c>
      <c r="C176" t="s">
        <v>914</v>
      </c>
    </row>
    <row r="177" spans="2:3">
      <c r="B177" t="s">
        <v>915</v>
      </c>
      <c r="C177" t="s">
        <v>916</v>
      </c>
    </row>
    <row r="178" spans="2:3">
      <c r="B178" t="s">
        <v>917</v>
      </c>
      <c r="C178" t="s">
        <v>918</v>
      </c>
    </row>
    <row r="179" spans="2:3">
      <c r="B179" t="s">
        <v>919</v>
      </c>
      <c r="C179" t="s">
        <v>920</v>
      </c>
    </row>
    <row r="180" spans="2:3">
      <c r="B180" t="s">
        <v>921</v>
      </c>
      <c r="C180" t="s">
        <v>922</v>
      </c>
    </row>
    <row r="181" spans="2:3">
      <c r="B181" t="s">
        <v>923</v>
      </c>
      <c r="C181" t="s">
        <v>924</v>
      </c>
    </row>
    <row r="182" spans="2:3">
      <c r="B182" t="s">
        <v>925</v>
      </c>
      <c r="C182" t="s">
        <v>926</v>
      </c>
    </row>
    <row r="183" spans="2:3">
      <c r="B183" t="s">
        <v>927</v>
      </c>
      <c r="C183" t="s">
        <v>928</v>
      </c>
    </row>
    <row r="184" spans="2:3">
      <c r="B184" t="s">
        <v>929</v>
      </c>
      <c r="C184" t="s">
        <v>930</v>
      </c>
    </row>
    <row r="185" spans="2:3">
      <c r="B185" t="s">
        <v>931</v>
      </c>
      <c r="C185" t="s">
        <v>932</v>
      </c>
    </row>
    <row r="186" spans="2:3">
      <c r="B186" t="s">
        <v>933</v>
      </c>
      <c r="C186" t="s">
        <v>934</v>
      </c>
    </row>
    <row r="187" spans="2:3">
      <c r="B187" t="s">
        <v>935</v>
      </c>
      <c r="C187" t="s">
        <v>936</v>
      </c>
    </row>
    <row r="188" spans="2:3">
      <c r="B188" t="s">
        <v>937</v>
      </c>
      <c r="C188" t="s">
        <v>938</v>
      </c>
    </row>
    <row r="189" spans="2:3">
      <c r="B189" t="s">
        <v>939</v>
      </c>
      <c r="C189" t="s">
        <v>940</v>
      </c>
    </row>
    <row r="190" spans="2:3">
      <c r="B190" t="s">
        <v>941</v>
      </c>
      <c r="C190" t="s">
        <v>942</v>
      </c>
    </row>
    <row r="191" spans="2:3">
      <c r="B191" t="s">
        <v>943</v>
      </c>
      <c r="C191" t="s">
        <v>944</v>
      </c>
    </row>
    <row r="192" spans="2:3">
      <c r="B192" t="s">
        <v>945</v>
      </c>
      <c r="C192" t="s">
        <v>946</v>
      </c>
    </row>
    <row r="193" spans="2:3">
      <c r="B193" t="s">
        <v>947</v>
      </c>
      <c r="C193" t="s">
        <v>948</v>
      </c>
    </row>
    <row r="194" spans="2:3">
      <c r="B194" t="s">
        <v>949</v>
      </c>
      <c r="C194" t="s">
        <v>950</v>
      </c>
    </row>
    <row r="195" spans="2:3">
      <c r="B195" t="s">
        <v>951</v>
      </c>
      <c r="C195" t="s">
        <v>952</v>
      </c>
    </row>
    <row r="196" spans="2:3">
      <c r="B196" t="s">
        <v>953</v>
      </c>
      <c r="C196" t="s">
        <v>954</v>
      </c>
    </row>
    <row r="197" spans="2:3">
      <c r="B197" t="s">
        <v>955</v>
      </c>
      <c r="C197" t="s">
        <v>956</v>
      </c>
    </row>
    <row r="198" spans="2:3">
      <c r="B198" t="s">
        <v>957</v>
      </c>
      <c r="C198" t="s">
        <v>958</v>
      </c>
    </row>
    <row r="199" spans="2:3">
      <c r="B199" t="s">
        <v>959</v>
      </c>
      <c r="C199" t="s">
        <v>960</v>
      </c>
    </row>
    <row r="200" spans="2:3">
      <c r="B200" t="s">
        <v>961</v>
      </c>
      <c r="C200" t="s">
        <v>962</v>
      </c>
    </row>
    <row r="201" spans="2:3">
      <c r="B201" t="s">
        <v>963</v>
      </c>
      <c r="C201" t="s">
        <v>964</v>
      </c>
    </row>
    <row r="202" spans="2:3">
      <c r="B202" t="s">
        <v>965</v>
      </c>
      <c r="C202" t="s">
        <v>966</v>
      </c>
    </row>
    <row r="203" spans="2:3">
      <c r="B203" t="s">
        <v>967</v>
      </c>
      <c r="C203" t="s">
        <v>968</v>
      </c>
    </row>
    <row r="204" spans="2:3">
      <c r="B204" t="s">
        <v>969</v>
      </c>
      <c r="C204" t="s">
        <v>970</v>
      </c>
    </row>
    <row r="205" spans="2:3">
      <c r="B205" t="s">
        <v>971</v>
      </c>
      <c r="C205" t="s">
        <v>972</v>
      </c>
    </row>
    <row r="206" spans="2:3">
      <c r="B206" t="s">
        <v>973</v>
      </c>
      <c r="C206" t="s">
        <v>974</v>
      </c>
    </row>
    <row r="207" spans="2:3">
      <c r="B207" t="s">
        <v>975</v>
      </c>
      <c r="C207" t="s">
        <v>976</v>
      </c>
    </row>
    <row r="208" spans="2:3">
      <c r="B208" t="s">
        <v>977</v>
      </c>
      <c r="C208" t="s">
        <v>978</v>
      </c>
    </row>
    <row r="209" spans="2:171">
      <c r="B209" t="s">
        <v>979</v>
      </c>
      <c r="C209" t="s">
        <v>980</v>
      </c>
    </row>
    <row r="210" spans="2:171">
      <c r="B210" t="s">
        <v>981</v>
      </c>
      <c r="C210" t="s">
        <v>982</v>
      </c>
    </row>
    <row r="211" spans="2:171">
      <c r="B211" t="s">
        <v>983</v>
      </c>
      <c r="C211" t="s">
        <v>984</v>
      </c>
    </row>
    <row r="212" spans="2:171">
      <c r="B212" t="s">
        <v>985</v>
      </c>
      <c r="C212" t="s">
        <v>986</v>
      </c>
    </row>
    <row r="213" spans="2:171">
      <c r="B213" t="s">
        <v>987</v>
      </c>
      <c r="C213" t="s">
        <v>988</v>
      </c>
    </row>
    <row r="214" spans="2:171">
      <c r="B214" t="s">
        <v>989</v>
      </c>
      <c r="C214" t="s">
        <v>990</v>
      </c>
    </row>
    <row r="215" spans="2:171">
      <c r="B215" t="s">
        <v>991</v>
      </c>
      <c r="C215" t="s">
        <v>992</v>
      </c>
      <c r="DH215">
        <v>0.48855344764699998</v>
      </c>
      <c r="DI215">
        <v>0.45345775575000002</v>
      </c>
      <c r="DJ215">
        <v>0.47018783387899998</v>
      </c>
      <c r="DK215">
        <v>0.474711970318</v>
      </c>
      <c r="DL215">
        <v>0.471083451554</v>
      </c>
      <c r="DM215">
        <v>0.48948569565599997</v>
      </c>
      <c r="DN215">
        <v>0.47748806971399999</v>
      </c>
      <c r="DO215">
        <v>0.49822886759399998</v>
      </c>
      <c r="DP215">
        <v>0.50699684227999997</v>
      </c>
      <c r="DQ215">
        <v>0.49324030445799999</v>
      </c>
      <c r="DR215">
        <v>0.493192133132</v>
      </c>
      <c r="DS215">
        <v>0.48301561393199999</v>
      </c>
      <c r="DT215">
        <v>0.49717052108199999</v>
      </c>
      <c r="DU215">
        <v>0.48690571521800002</v>
      </c>
      <c r="DV215">
        <v>0.48984846197199999</v>
      </c>
      <c r="DW215">
        <v>0.47753743760400003</v>
      </c>
      <c r="DX215">
        <v>0.48114127784100003</v>
      </c>
      <c r="DY215">
        <v>0.50235572941899997</v>
      </c>
      <c r="DZ215">
        <v>0.49220413851099998</v>
      </c>
      <c r="EA215">
        <v>0.48844526797900001</v>
      </c>
      <c r="EB215">
        <v>0.48794207891500002</v>
      </c>
      <c r="EC215">
        <v>0.49308199461399999</v>
      </c>
      <c r="ED215">
        <v>0.51150913537599996</v>
      </c>
      <c r="EE215">
        <v>0.50773530941199996</v>
      </c>
      <c r="EF215">
        <v>0.50054138308499996</v>
      </c>
      <c r="EG215">
        <v>0.49621554824899999</v>
      </c>
      <c r="EH215">
        <v>0.48842019795899999</v>
      </c>
      <c r="EI215">
        <v>0.49815640194499999</v>
      </c>
      <c r="EJ215">
        <v>0.495729297214</v>
      </c>
      <c r="EK215">
        <v>0.49453775155099999</v>
      </c>
      <c r="EL215">
        <v>0.48391923706200002</v>
      </c>
      <c r="EM215">
        <v>0.488577549434</v>
      </c>
      <c r="EN215">
        <v>0.50797434587699997</v>
      </c>
      <c r="EO215">
        <v>0.50356831408299996</v>
      </c>
      <c r="EP215">
        <v>0.49628860628100002</v>
      </c>
      <c r="EQ215">
        <v>0.49020648654400001</v>
      </c>
      <c r="ER215">
        <v>0.47928087713599998</v>
      </c>
      <c r="ES215">
        <v>0.49178764266500002</v>
      </c>
      <c r="ET215">
        <v>0.50314397392099997</v>
      </c>
      <c r="EU215">
        <v>0.491257414675</v>
      </c>
      <c r="EV215">
        <v>0.482915300755</v>
      </c>
      <c r="EW215">
        <v>0.48964556525699998</v>
      </c>
      <c r="EX215">
        <v>0.48499985727700001</v>
      </c>
      <c r="EY215">
        <v>0</v>
      </c>
      <c r="EZ215">
        <v>0</v>
      </c>
      <c r="FA215">
        <v>0</v>
      </c>
      <c r="FB215">
        <v>0</v>
      </c>
      <c r="FC215">
        <v>0</v>
      </c>
      <c r="FD215">
        <v>0</v>
      </c>
      <c r="FE215">
        <v>0</v>
      </c>
    </row>
    <row r="216" spans="2:171">
      <c r="B216" t="s">
        <v>993</v>
      </c>
      <c r="C216" t="s">
        <v>994</v>
      </c>
      <c r="F216">
        <v>0.55000000000000004</v>
      </c>
      <c r="G216">
        <v>0.55000000000000004</v>
      </c>
      <c r="H216">
        <v>0.55000000000000004</v>
      </c>
      <c r="I216">
        <v>0.55000000000000004</v>
      </c>
      <c r="J216">
        <v>0.55000000000000004</v>
      </c>
      <c r="K216">
        <v>0.55000000000000004</v>
      </c>
      <c r="L216">
        <v>0.55000000000000004</v>
      </c>
      <c r="M216">
        <v>0.55000000000000004</v>
      </c>
      <c r="N216">
        <v>0.55000000000000004</v>
      </c>
      <c r="O216">
        <v>0.55000000000000004</v>
      </c>
      <c r="P216">
        <v>0.55000000000000004</v>
      </c>
      <c r="Q216">
        <v>0.55000000000000004</v>
      </c>
      <c r="R216">
        <v>0.55000000000000004</v>
      </c>
      <c r="S216">
        <v>0.55000000000000004</v>
      </c>
      <c r="T216">
        <v>0.55000000000000004</v>
      </c>
      <c r="U216">
        <v>0.55000000000000004</v>
      </c>
      <c r="V216">
        <v>0.55000000000000004</v>
      </c>
      <c r="W216">
        <v>0.55000000000000004</v>
      </c>
      <c r="X216">
        <v>0.55000000000000004</v>
      </c>
      <c r="Y216">
        <v>0.55000000000000004</v>
      </c>
      <c r="Z216">
        <v>0.55000000000000004</v>
      </c>
      <c r="AA216">
        <v>0.55000000000000004</v>
      </c>
      <c r="AB216">
        <v>0.55000000000000004</v>
      </c>
      <c r="AC216">
        <v>0.55000000000000004</v>
      </c>
      <c r="AD216">
        <v>0.55000000000000004</v>
      </c>
      <c r="AE216">
        <v>0.55000000000000004</v>
      </c>
      <c r="AF216">
        <v>0.55000000000000004</v>
      </c>
      <c r="AG216">
        <v>0.55000000000000004</v>
      </c>
      <c r="AH216">
        <v>0.55000000000000004</v>
      </c>
      <c r="AI216">
        <v>0.55000000000000004</v>
      </c>
      <c r="AJ216">
        <v>0.55000000000000004</v>
      </c>
      <c r="AK216">
        <v>0.55000000000000004</v>
      </c>
      <c r="AL216">
        <v>0.55000000000000004</v>
      </c>
      <c r="AM216">
        <v>0.55000000000000004</v>
      </c>
      <c r="AN216">
        <v>0.55000000000000004</v>
      </c>
      <c r="AO216">
        <v>0.55000000000000004</v>
      </c>
      <c r="AP216">
        <v>0.55000000000000004</v>
      </c>
      <c r="AQ216">
        <v>0.55000000000000004</v>
      </c>
      <c r="AR216">
        <v>0.55000000000000004</v>
      </c>
      <c r="AS216">
        <v>0.55000000000000004</v>
      </c>
      <c r="AT216">
        <v>0.55000000000000004</v>
      </c>
      <c r="AU216">
        <v>0.55000000000000004</v>
      </c>
      <c r="AV216">
        <v>0.55000000000000004</v>
      </c>
      <c r="AW216">
        <v>0.55000000000000004</v>
      </c>
      <c r="AX216">
        <v>0.55000000000000004</v>
      </c>
      <c r="AY216">
        <v>0.55000000000000004</v>
      </c>
      <c r="AZ216">
        <v>0.55000000000000004</v>
      </c>
      <c r="BA216">
        <v>0.55000000000000004</v>
      </c>
      <c r="BB216">
        <v>0.55000000000000004</v>
      </c>
      <c r="BC216">
        <v>0.55000000000000004</v>
      </c>
      <c r="BD216">
        <v>0.55000000000000004</v>
      </c>
      <c r="BE216">
        <v>0.55000000000000004</v>
      </c>
      <c r="BF216">
        <v>0.55000000000000004</v>
      </c>
      <c r="BG216">
        <v>0.55000000000000004</v>
      </c>
      <c r="BH216">
        <v>0.55000000000000004</v>
      </c>
      <c r="BI216">
        <v>0.55000000000000004</v>
      </c>
      <c r="BJ216">
        <v>0.55000000000000004</v>
      </c>
      <c r="BK216">
        <v>0.55000000000000004</v>
      </c>
      <c r="BL216">
        <v>0.55000000000000004</v>
      </c>
      <c r="BM216">
        <v>0.55000000000000004</v>
      </c>
      <c r="BN216">
        <v>0.55000000000000004</v>
      </c>
      <c r="BO216">
        <v>0.55000000000000004</v>
      </c>
      <c r="BP216">
        <v>0.55000000000000004</v>
      </c>
      <c r="BQ216">
        <v>0.55000000000000004</v>
      </c>
      <c r="BR216">
        <v>0.55000000000000004</v>
      </c>
      <c r="BS216">
        <v>0.55000000000000004</v>
      </c>
      <c r="BT216">
        <v>0.55000000000000004</v>
      </c>
      <c r="BU216">
        <v>0.55000000000000004</v>
      </c>
      <c r="BV216">
        <v>0.55000000000000004</v>
      </c>
      <c r="BW216">
        <v>0.55000000000000004</v>
      </c>
      <c r="BX216">
        <v>0.55000000000000004</v>
      </c>
      <c r="BY216">
        <v>0.55000000000000004</v>
      </c>
      <c r="BZ216">
        <v>0.55000000000000004</v>
      </c>
      <c r="CA216">
        <v>0.55000000000000004</v>
      </c>
      <c r="CB216">
        <v>0.55000000000000004</v>
      </c>
      <c r="CC216">
        <v>0.55000000000000004</v>
      </c>
      <c r="CD216">
        <v>0.55000000000000004</v>
      </c>
      <c r="CE216">
        <v>0.55000000000000004</v>
      </c>
      <c r="CF216">
        <v>0.55000000000000004</v>
      </c>
      <c r="CG216">
        <v>0.55000000000000004</v>
      </c>
      <c r="CH216">
        <v>0.55000000000000004</v>
      </c>
      <c r="CI216">
        <v>0.55000000000000004</v>
      </c>
      <c r="CJ216">
        <v>0.55000000000000004</v>
      </c>
      <c r="CK216">
        <v>0.55000000000000004</v>
      </c>
      <c r="CL216">
        <v>0.55000000000000004</v>
      </c>
      <c r="CM216">
        <v>0.55000000000000004</v>
      </c>
      <c r="CN216">
        <v>0.55000000000000004</v>
      </c>
      <c r="CO216">
        <v>0.55000000000000004</v>
      </c>
      <c r="CP216">
        <v>0.55000000000000004</v>
      </c>
      <c r="CQ216">
        <v>0.55000000000000004</v>
      </c>
      <c r="CR216">
        <v>0.55000000000000004</v>
      </c>
      <c r="CS216">
        <v>0.55000000000000004</v>
      </c>
      <c r="CT216">
        <v>0.55000000000000004</v>
      </c>
      <c r="CU216">
        <v>0.55000000000000004</v>
      </c>
      <c r="CV216">
        <v>0.55000000000000004</v>
      </c>
      <c r="CW216">
        <v>0.55000000000000004</v>
      </c>
      <c r="CX216">
        <v>0.55000000000000004</v>
      </c>
      <c r="CY216">
        <v>0.55000000000000004</v>
      </c>
      <c r="CZ216">
        <v>0.55000000000000004</v>
      </c>
      <c r="DA216">
        <v>0.55000000000000004</v>
      </c>
      <c r="DB216">
        <v>0.55000000000000004</v>
      </c>
      <c r="DC216">
        <v>0.55000000000000004</v>
      </c>
      <c r="DD216">
        <v>0.55000000000000004</v>
      </c>
      <c r="DE216">
        <v>0.55000000000000004</v>
      </c>
      <c r="DF216">
        <v>0.55000000000000004</v>
      </c>
      <c r="DG216">
        <v>0.55000000000000004</v>
      </c>
      <c r="DH216">
        <v>0.55000000000000004</v>
      </c>
      <c r="DI216">
        <v>0.55000000000000004</v>
      </c>
      <c r="DJ216">
        <v>0.55000000000000004</v>
      </c>
      <c r="DK216">
        <v>0.55000000000000004</v>
      </c>
      <c r="DL216">
        <v>0.55000000000000004</v>
      </c>
      <c r="DM216">
        <v>0.55000000000000004</v>
      </c>
      <c r="DN216">
        <v>0.55000000000000004</v>
      </c>
      <c r="DO216">
        <v>0.55000000000000004</v>
      </c>
      <c r="DP216">
        <v>0.55000000000000004</v>
      </c>
      <c r="DQ216">
        <v>0.55000000000000004</v>
      </c>
      <c r="DR216">
        <v>0.55000000000000004</v>
      </c>
      <c r="DS216">
        <v>0.55000000000000004</v>
      </c>
      <c r="DT216">
        <v>0.55000000000000004</v>
      </c>
      <c r="DU216">
        <v>0.55000000000000004</v>
      </c>
      <c r="DV216">
        <v>0.55000000000000004</v>
      </c>
      <c r="DW216">
        <v>0.55000000000000004</v>
      </c>
      <c r="DX216">
        <v>0.55000000000000004</v>
      </c>
      <c r="DY216">
        <v>0.55000000000000004</v>
      </c>
      <c r="DZ216">
        <v>0.55000000000000004</v>
      </c>
      <c r="EA216">
        <v>0.55000000000000004</v>
      </c>
      <c r="EB216">
        <v>0.55000000000000004</v>
      </c>
      <c r="EC216">
        <v>0.55000000000000004</v>
      </c>
      <c r="ED216">
        <v>0.55000000000000004</v>
      </c>
      <c r="EE216">
        <v>0.55000000000000004</v>
      </c>
      <c r="EF216">
        <v>0.55000000000000004</v>
      </c>
      <c r="EG216">
        <v>0.55000000000000004</v>
      </c>
      <c r="EH216">
        <v>0.55000000000000004</v>
      </c>
      <c r="EI216">
        <v>0.55000000000000004</v>
      </c>
      <c r="EJ216">
        <v>0.55000000000000004</v>
      </c>
      <c r="EK216">
        <v>0.55000000000000004</v>
      </c>
      <c r="EL216">
        <v>0.55000000000000004</v>
      </c>
      <c r="EM216">
        <v>0.55000000000000004</v>
      </c>
      <c r="EN216">
        <v>0.55000000000000004</v>
      </c>
      <c r="EO216">
        <v>0.55000000000000004</v>
      </c>
      <c r="EP216">
        <v>0.55000000000000004</v>
      </c>
      <c r="EQ216">
        <v>0.55000000000000004</v>
      </c>
      <c r="ER216">
        <v>0.55000000000000004</v>
      </c>
      <c r="ES216">
        <v>0.55000000000000004</v>
      </c>
      <c r="ET216">
        <v>0.55000000000000004</v>
      </c>
      <c r="EU216">
        <v>0.55000000000000004</v>
      </c>
      <c r="EV216">
        <v>0.55000000000000004</v>
      </c>
      <c r="EW216">
        <v>0.55000000000000004</v>
      </c>
      <c r="EX216">
        <v>0.55000000000000004</v>
      </c>
      <c r="EY216">
        <v>0.55000000000000004</v>
      </c>
      <c r="EZ216">
        <v>0.55000000000000004</v>
      </c>
      <c r="FA216">
        <v>0.55000000000000004</v>
      </c>
      <c r="FB216">
        <v>0.55000000000000004</v>
      </c>
      <c r="FC216">
        <v>0.55000000000000004</v>
      </c>
      <c r="FD216">
        <v>0.55000000000000004</v>
      </c>
      <c r="FE216">
        <v>0.55000000000000004</v>
      </c>
      <c r="FF216">
        <v>0.55000000000000004</v>
      </c>
      <c r="FG216">
        <v>0.55000000000000004</v>
      </c>
      <c r="FH216">
        <v>0.55000000000000004</v>
      </c>
      <c r="FI216">
        <v>0.55000000000000004</v>
      </c>
      <c r="FJ216">
        <v>0.55000000000000004</v>
      </c>
      <c r="FK216">
        <v>0.55000000000000004</v>
      </c>
      <c r="FL216">
        <v>0.55000000000000004</v>
      </c>
      <c r="FM216">
        <v>0.55000000000000004</v>
      </c>
      <c r="FN216">
        <v>0.55000000000000004</v>
      </c>
      <c r="FO216">
        <v>0.55000000000000004</v>
      </c>
    </row>
    <row r="217" spans="2:171">
      <c r="B217" t="s">
        <v>995</v>
      </c>
      <c r="C217" t="s">
        <v>996</v>
      </c>
      <c r="F217">
        <v>0.45</v>
      </c>
      <c r="G217">
        <v>0.45</v>
      </c>
      <c r="H217">
        <v>0.45</v>
      </c>
      <c r="I217">
        <v>0.45</v>
      </c>
      <c r="J217">
        <v>0.45</v>
      </c>
      <c r="K217">
        <v>0.45</v>
      </c>
      <c r="L217">
        <v>0.45</v>
      </c>
      <c r="M217">
        <v>0.45</v>
      </c>
      <c r="N217">
        <v>0.45</v>
      </c>
      <c r="O217">
        <v>0.45</v>
      </c>
      <c r="P217">
        <v>0.45</v>
      </c>
      <c r="Q217">
        <v>0.45</v>
      </c>
      <c r="R217">
        <v>0.45</v>
      </c>
      <c r="S217">
        <v>0.45</v>
      </c>
      <c r="T217">
        <v>0.45</v>
      </c>
      <c r="U217">
        <v>0.45</v>
      </c>
      <c r="V217">
        <v>0.45</v>
      </c>
      <c r="W217">
        <v>0.45</v>
      </c>
      <c r="X217">
        <v>0.45</v>
      </c>
      <c r="Y217">
        <v>0.45</v>
      </c>
      <c r="Z217">
        <v>0.45</v>
      </c>
      <c r="AA217">
        <v>0.45</v>
      </c>
      <c r="AB217">
        <v>0.45</v>
      </c>
      <c r="AC217">
        <v>0.45</v>
      </c>
      <c r="AD217">
        <v>0.45</v>
      </c>
      <c r="AE217">
        <v>0.45</v>
      </c>
      <c r="AF217">
        <v>0.45</v>
      </c>
      <c r="AG217">
        <v>0.45</v>
      </c>
      <c r="AH217">
        <v>0.45</v>
      </c>
      <c r="AI217">
        <v>0.45</v>
      </c>
      <c r="AJ217">
        <v>0.45</v>
      </c>
      <c r="AK217">
        <v>0.45</v>
      </c>
      <c r="AL217">
        <v>0.45</v>
      </c>
      <c r="AM217">
        <v>0.45</v>
      </c>
      <c r="AN217">
        <v>0.45</v>
      </c>
      <c r="AO217">
        <v>0.45</v>
      </c>
      <c r="AP217">
        <v>0.45</v>
      </c>
      <c r="AQ217">
        <v>0.45</v>
      </c>
      <c r="AR217">
        <v>0.45</v>
      </c>
      <c r="AS217">
        <v>0.45</v>
      </c>
      <c r="AT217">
        <v>0.45</v>
      </c>
      <c r="AU217">
        <v>0.45</v>
      </c>
      <c r="AV217">
        <v>0.45</v>
      </c>
      <c r="AW217">
        <v>0.45</v>
      </c>
      <c r="AX217">
        <v>0.45</v>
      </c>
      <c r="AY217">
        <v>0.45</v>
      </c>
      <c r="AZ217">
        <v>0.45</v>
      </c>
      <c r="BA217">
        <v>0.45</v>
      </c>
      <c r="BB217">
        <v>0.45</v>
      </c>
      <c r="BC217">
        <v>0.45</v>
      </c>
      <c r="BD217">
        <v>0.45</v>
      </c>
      <c r="BE217">
        <v>0.45</v>
      </c>
      <c r="BF217">
        <v>0.45</v>
      </c>
      <c r="BG217">
        <v>0.45</v>
      </c>
      <c r="BH217">
        <v>0.45</v>
      </c>
      <c r="BI217">
        <v>0.45</v>
      </c>
      <c r="BJ217">
        <v>0.45</v>
      </c>
      <c r="BK217">
        <v>0.45</v>
      </c>
      <c r="BL217">
        <v>0.45</v>
      </c>
      <c r="BM217">
        <v>0.45</v>
      </c>
      <c r="BN217">
        <v>0.45</v>
      </c>
      <c r="BO217">
        <v>0.45</v>
      </c>
      <c r="BP217">
        <v>0.45</v>
      </c>
      <c r="BQ217">
        <v>0.45</v>
      </c>
      <c r="BR217">
        <v>0.45</v>
      </c>
      <c r="BS217">
        <v>0.45</v>
      </c>
      <c r="BT217">
        <v>0.45</v>
      </c>
      <c r="BU217">
        <v>0.45</v>
      </c>
      <c r="BV217">
        <v>0.45</v>
      </c>
      <c r="BW217">
        <v>0.45</v>
      </c>
      <c r="BX217">
        <v>0.45</v>
      </c>
      <c r="BY217">
        <v>0.45</v>
      </c>
      <c r="BZ217">
        <v>0.45</v>
      </c>
      <c r="CA217">
        <v>0.45</v>
      </c>
      <c r="CB217">
        <v>0.45</v>
      </c>
      <c r="CC217">
        <v>0.45</v>
      </c>
      <c r="CD217">
        <v>0.45</v>
      </c>
      <c r="CE217">
        <v>0.45</v>
      </c>
      <c r="CF217">
        <v>0.45</v>
      </c>
      <c r="CG217">
        <v>0.45</v>
      </c>
      <c r="CH217">
        <v>0.45</v>
      </c>
      <c r="CI217">
        <v>0.45</v>
      </c>
      <c r="CJ217">
        <v>0.45</v>
      </c>
      <c r="CK217">
        <v>0.45</v>
      </c>
      <c r="CL217">
        <v>0.45</v>
      </c>
      <c r="CM217">
        <v>0.45</v>
      </c>
      <c r="CN217">
        <v>0.45</v>
      </c>
      <c r="CO217">
        <v>0.45</v>
      </c>
      <c r="CP217">
        <v>0.45</v>
      </c>
      <c r="CQ217">
        <v>0.45</v>
      </c>
      <c r="CR217">
        <v>0.45</v>
      </c>
      <c r="CS217">
        <v>0.45</v>
      </c>
      <c r="CT217">
        <v>0.45</v>
      </c>
      <c r="CU217">
        <v>0.45</v>
      </c>
      <c r="CV217">
        <v>0.45</v>
      </c>
      <c r="CW217">
        <v>0.45</v>
      </c>
      <c r="CX217">
        <v>0.45</v>
      </c>
      <c r="CY217">
        <v>0.45</v>
      </c>
      <c r="CZ217">
        <v>0.45</v>
      </c>
      <c r="DA217">
        <v>0.45</v>
      </c>
      <c r="DB217">
        <v>0.45</v>
      </c>
      <c r="DC217">
        <v>0.45</v>
      </c>
      <c r="DD217">
        <v>0.45</v>
      </c>
      <c r="DE217">
        <v>0.45</v>
      </c>
      <c r="DF217">
        <v>0.45</v>
      </c>
      <c r="DG217">
        <v>0.45</v>
      </c>
      <c r="DH217">
        <v>0.45</v>
      </c>
      <c r="DI217">
        <v>0.45</v>
      </c>
      <c r="DJ217">
        <v>0.45</v>
      </c>
      <c r="DK217">
        <v>0.45</v>
      </c>
      <c r="DL217">
        <v>0.45</v>
      </c>
      <c r="DM217">
        <v>0.45</v>
      </c>
      <c r="DN217">
        <v>0.45</v>
      </c>
      <c r="DO217">
        <v>0.45</v>
      </c>
      <c r="DP217">
        <v>0.45</v>
      </c>
      <c r="DQ217">
        <v>0.45</v>
      </c>
      <c r="DR217">
        <v>0.45</v>
      </c>
      <c r="DS217">
        <v>0.45</v>
      </c>
      <c r="DT217">
        <v>0.45</v>
      </c>
      <c r="DU217">
        <v>0.45</v>
      </c>
      <c r="DV217">
        <v>0.45</v>
      </c>
      <c r="DW217">
        <v>0.45</v>
      </c>
      <c r="DX217">
        <v>0.45</v>
      </c>
      <c r="DY217">
        <v>0.45</v>
      </c>
      <c r="DZ217">
        <v>0.45</v>
      </c>
      <c r="EA217">
        <v>0.45</v>
      </c>
      <c r="EB217">
        <v>0.45</v>
      </c>
      <c r="EC217">
        <v>0.45</v>
      </c>
      <c r="ED217">
        <v>0.45</v>
      </c>
      <c r="EE217">
        <v>0.45</v>
      </c>
      <c r="EF217">
        <v>0.45</v>
      </c>
      <c r="EG217">
        <v>0.45</v>
      </c>
      <c r="EH217">
        <v>0.45</v>
      </c>
      <c r="EI217">
        <v>0.45</v>
      </c>
      <c r="EJ217">
        <v>0.45</v>
      </c>
      <c r="EK217">
        <v>0.45</v>
      </c>
      <c r="EL217">
        <v>0.45</v>
      </c>
      <c r="EM217">
        <v>0.45</v>
      </c>
      <c r="EN217">
        <v>0.45</v>
      </c>
      <c r="EO217">
        <v>0.45</v>
      </c>
      <c r="EP217">
        <v>0.45</v>
      </c>
      <c r="EQ217">
        <v>0.45</v>
      </c>
      <c r="ER217">
        <v>0.45</v>
      </c>
      <c r="ES217">
        <v>0.45</v>
      </c>
      <c r="ET217">
        <v>0.45</v>
      </c>
      <c r="EU217">
        <v>0.45</v>
      </c>
      <c r="EV217">
        <v>0.45</v>
      </c>
      <c r="EW217">
        <v>0.45</v>
      </c>
      <c r="EX217">
        <v>0.45</v>
      </c>
      <c r="EY217">
        <v>0.45</v>
      </c>
      <c r="EZ217">
        <v>0.45</v>
      </c>
      <c r="FA217">
        <v>0.45</v>
      </c>
      <c r="FB217">
        <v>0.45</v>
      </c>
      <c r="FC217">
        <v>0.45</v>
      </c>
      <c r="FD217">
        <v>0.45</v>
      </c>
      <c r="FE217">
        <v>0.45</v>
      </c>
      <c r="FF217">
        <v>0.45</v>
      </c>
      <c r="FG217">
        <v>0.45</v>
      </c>
      <c r="FH217">
        <v>0.45</v>
      </c>
      <c r="FI217">
        <v>0.45</v>
      </c>
      <c r="FJ217">
        <v>0.45</v>
      </c>
      <c r="FK217">
        <v>0.45</v>
      </c>
      <c r="FL217">
        <v>0.45</v>
      </c>
      <c r="FM217">
        <v>0.45</v>
      </c>
      <c r="FN217">
        <v>0.45</v>
      </c>
      <c r="FO217">
        <v>0.45</v>
      </c>
    </row>
    <row r="218" spans="2:171">
      <c r="B218" t="s">
        <v>997</v>
      </c>
      <c r="C218" t="s">
        <v>998</v>
      </c>
      <c r="F218">
        <v>0.55000000000000004</v>
      </c>
      <c r="G218">
        <v>0.55000000000000004</v>
      </c>
      <c r="H218">
        <v>0.55000000000000004</v>
      </c>
      <c r="I218">
        <v>0.55000000000000004</v>
      </c>
      <c r="J218">
        <v>0.55000000000000004</v>
      </c>
      <c r="K218">
        <v>0.55000000000000004</v>
      </c>
      <c r="L218">
        <v>0.55000000000000004</v>
      </c>
      <c r="M218">
        <v>0.55000000000000004</v>
      </c>
      <c r="N218">
        <v>0.55000000000000004</v>
      </c>
      <c r="O218">
        <v>0.55000000000000004</v>
      </c>
      <c r="P218">
        <v>0.55000000000000004</v>
      </c>
      <c r="Q218">
        <v>0.55000000000000004</v>
      </c>
      <c r="R218">
        <v>0.55000000000000004</v>
      </c>
      <c r="S218">
        <v>0.55000000000000004</v>
      </c>
      <c r="T218">
        <v>0.55000000000000004</v>
      </c>
      <c r="U218">
        <v>0.55000000000000004</v>
      </c>
      <c r="V218">
        <v>0.55000000000000004</v>
      </c>
      <c r="W218">
        <v>0.55000000000000004</v>
      </c>
      <c r="X218">
        <v>0.55000000000000004</v>
      </c>
      <c r="Y218">
        <v>0.55000000000000004</v>
      </c>
      <c r="Z218">
        <v>0.55000000000000004</v>
      </c>
      <c r="AA218">
        <v>0.55000000000000004</v>
      </c>
      <c r="AB218">
        <v>0.55000000000000004</v>
      </c>
      <c r="AC218">
        <v>0.55000000000000004</v>
      </c>
      <c r="AD218">
        <v>0.55000000000000004</v>
      </c>
      <c r="AE218">
        <v>0.55000000000000004</v>
      </c>
      <c r="AF218">
        <v>0.55000000000000004</v>
      </c>
      <c r="AG218">
        <v>0.55000000000000004</v>
      </c>
      <c r="AH218">
        <v>0.55000000000000004</v>
      </c>
      <c r="AI218">
        <v>0.55000000000000004</v>
      </c>
      <c r="AJ218">
        <v>0.55000000000000004</v>
      </c>
      <c r="AK218">
        <v>0.55000000000000004</v>
      </c>
      <c r="AL218">
        <v>0.55000000000000004</v>
      </c>
      <c r="AM218">
        <v>0.55000000000000004</v>
      </c>
      <c r="AN218">
        <v>0.55000000000000004</v>
      </c>
      <c r="AO218">
        <v>0.55000000000000004</v>
      </c>
      <c r="AP218">
        <v>0.55000000000000004</v>
      </c>
      <c r="AQ218">
        <v>0.55000000000000004</v>
      </c>
      <c r="AR218">
        <v>0.55000000000000004</v>
      </c>
      <c r="AS218">
        <v>0.55000000000000004</v>
      </c>
      <c r="AT218">
        <v>0.55000000000000004</v>
      </c>
      <c r="AU218">
        <v>0.55000000000000004</v>
      </c>
      <c r="AV218">
        <v>0.55000000000000004</v>
      </c>
      <c r="AW218">
        <v>0.55000000000000004</v>
      </c>
      <c r="AX218">
        <v>0.55000000000000004</v>
      </c>
      <c r="AY218">
        <v>0.55000000000000004</v>
      </c>
      <c r="AZ218">
        <v>0.55000000000000004</v>
      </c>
      <c r="BA218">
        <v>0.55000000000000004</v>
      </c>
      <c r="BB218">
        <v>0.55000000000000004</v>
      </c>
      <c r="BC218">
        <v>0.55000000000000004</v>
      </c>
      <c r="BD218">
        <v>0.55000000000000004</v>
      </c>
      <c r="BE218">
        <v>0.55000000000000004</v>
      </c>
      <c r="BF218">
        <v>0.55000000000000004</v>
      </c>
      <c r="BG218">
        <v>0.55000000000000004</v>
      </c>
      <c r="BH218">
        <v>0.55000000000000004</v>
      </c>
      <c r="BI218">
        <v>0.55000000000000004</v>
      </c>
      <c r="BJ218">
        <v>0.55000000000000004</v>
      </c>
      <c r="BK218">
        <v>0.55000000000000004</v>
      </c>
      <c r="BL218">
        <v>0.55000000000000004</v>
      </c>
      <c r="BM218">
        <v>0.55000000000000004</v>
      </c>
      <c r="BN218">
        <v>0.55000000000000004</v>
      </c>
      <c r="BO218">
        <v>0.55000000000000004</v>
      </c>
      <c r="BP218">
        <v>0.55000000000000004</v>
      </c>
      <c r="BQ218">
        <v>0.55000000000000004</v>
      </c>
      <c r="BR218">
        <v>0.55000000000000004</v>
      </c>
      <c r="BS218">
        <v>0.55000000000000004</v>
      </c>
      <c r="BT218">
        <v>0.55000000000000004</v>
      </c>
      <c r="BU218">
        <v>0.55000000000000004</v>
      </c>
      <c r="BV218">
        <v>0.55000000000000004</v>
      </c>
      <c r="BW218">
        <v>0.55000000000000004</v>
      </c>
      <c r="BX218">
        <v>0.55000000000000004</v>
      </c>
      <c r="BY218">
        <v>0.55000000000000004</v>
      </c>
      <c r="BZ218">
        <v>0.55000000000000004</v>
      </c>
      <c r="CA218">
        <v>0.55000000000000004</v>
      </c>
      <c r="CB218">
        <v>0.55000000000000004</v>
      </c>
      <c r="CC218">
        <v>0.55000000000000004</v>
      </c>
      <c r="CD218">
        <v>0.55000000000000004</v>
      </c>
      <c r="CE218">
        <v>0.55000000000000004</v>
      </c>
      <c r="CF218">
        <v>0.55000000000000004</v>
      </c>
      <c r="CG218">
        <v>0.55000000000000004</v>
      </c>
      <c r="CH218">
        <v>0.55000000000000004</v>
      </c>
      <c r="CI218">
        <v>0.55000000000000004</v>
      </c>
      <c r="CJ218">
        <v>0.55000000000000004</v>
      </c>
      <c r="CK218">
        <v>0.55000000000000004</v>
      </c>
      <c r="CL218">
        <v>0.55000000000000004</v>
      </c>
      <c r="CM218">
        <v>0.55000000000000004</v>
      </c>
      <c r="CN218">
        <v>0.55000000000000004</v>
      </c>
      <c r="CO218">
        <v>0.55000000000000004</v>
      </c>
      <c r="CP218">
        <v>0.55000000000000004</v>
      </c>
      <c r="CQ218">
        <v>0.55000000000000004</v>
      </c>
      <c r="CR218">
        <v>0.55000000000000004</v>
      </c>
      <c r="CS218">
        <v>0.55000000000000004</v>
      </c>
      <c r="CT218">
        <v>0.55000000000000004</v>
      </c>
      <c r="CU218">
        <v>0.55000000000000004</v>
      </c>
      <c r="CV218">
        <v>0.55000000000000004</v>
      </c>
      <c r="CW218">
        <v>0.55000000000000004</v>
      </c>
      <c r="CX218">
        <v>0.55000000000000004</v>
      </c>
      <c r="CY218">
        <v>0.55000000000000004</v>
      </c>
      <c r="CZ218">
        <v>0.55000000000000004</v>
      </c>
      <c r="DA218">
        <v>0.55000000000000004</v>
      </c>
      <c r="DB218">
        <v>0.55000000000000004</v>
      </c>
      <c r="DC218">
        <v>0.55000000000000004</v>
      </c>
      <c r="DD218">
        <v>0.55000000000000004</v>
      </c>
      <c r="DE218">
        <v>0.55000000000000004</v>
      </c>
      <c r="DF218">
        <v>0.55000000000000004</v>
      </c>
      <c r="DG218">
        <v>0.55000000000000004</v>
      </c>
      <c r="DH218">
        <v>0.55000000000000004</v>
      </c>
      <c r="DI218">
        <v>0.55000000000000004</v>
      </c>
      <c r="DJ218">
        <v>0.55000000000000004</v>
      </c>
      <c r="DK218">
        <v>0.55000000000000004</v>
      </c>
      <c r="DL218">
        <v>0.55000000000000004</v>
      </c>
      <c r="DM218">
        <v>0.55000000000000004</v>
      </c>
      <c r="DN218">
        <v>0.55000000000000004</v>
      </c>
      <c r="DO218">
        <v>0.55000000000000004</v>
      </c>
      <c r="DP218">
        <v>0.55000000000000004</v>
      </c>
      <c r="DQ218">
        <v>0.55000000000000004</v>
      </c>
      <c r="DR218">
        <v>0.55000000000000004</v>
      </c>
      <c r="DS218">
        <v>0.55000000000000004</v>
      </c>
      <c r="DT218">
        <v>0.55000000000000004</v>
      </c>
      <c r="DU218">
        <v>0.55000000000000004</v>
      </c>
      <c r="DV218">
        <v>0.55000000000000004</v>
      </c>
      <c r="DW218">
        <v>0.55000000000000004</v>
      </c>
      <c r="DX218">
        <v>0.55000000000000004</v>
      </c>
      <c r="DY218">
        <v>0.55000000000000004</v>
      </c>
      <c r="DZ218">
        <v>0.55000000000000004</v>
      </c>
      <c r="EA218">
        <v>0.55000000000000004</v>
      </c>
      <c r="EB218">
        <v>0.55000000000000004</v>
      </c>
      <c r="EC218">
        <v>0.55000000000000004</v>
      </c>
      <c r="ED218">
        <v>0.55000000000000004</v>
      </c>
      <c r="EE218">
        <v>0.55000000000000004</v>
      </c>
      <c r="EF218">
        <v>0.55000000000000004</v>
      </c>
      <c r="EG218">
        <v>0.55000000000000004</v>
      </c>
      <c r="EH218">
        <v>0.55000000000000004</v>
      </c>
      <c r="EI218">
        <v>0.55000000000000004</v>
      </c>
      <c r="EJ218">
        <v>0.55000000000000004</v>
      </c>
      <c r="EK218">
        <v>0.55000000000000004</v>
      </c>
      <c r="EL218">
        <v>0.55000000000000004</v>
      </c>
      <c r="EM218">
        <v>0.55000000000000004</v>
      </c>
      <c r="EN218">
        <v>0.55000000000000004</v>
      </c>
      <c r="EO218">
        <v>0.55000000000000004</v>
      </c>
      <c r="EP218">
        <v>0.55000000000000004</v>
      </c>
      <c r="EQ218">
        <v>0.55000000000000004</v>
      </c>
      <c r="ER218">
        <v>0.55000000000000004</v>
      </c>
      <c r="ES218">
        <v>0.55000000000000004</v>
      </c>
      <c r="ET218">
        <v>0.55000000000000004</v>
      </c>
      <c r="EU218">
        <v>0.55000000000000004</v>
      </c>
      <c r="EV218">
        <v>0.55000000000000004</v>
      </c>
      <c r="EW218">
        <v>0.55000000000000004</v>
      </c>
      <c r="EX218">
        <v>0.55000000000000004</v>
      </c>
      <c r="EY218">
        <v>0.55000000000000004</v>
      </c>
      <c r="EZ218">
        <v>0.55000000000000004</v>
      </c>
      <c r="FA218">
        <v>0.55000000000000004</v>
      </c>
      <c r="FB218">
        <v>0.55000000000000004</v>
      </c>
      <c r="FC218">
        <v>0.55000000000000004</v>
      </c>
      <c r="FD218">
        <v>0.55000000000000004</v>
      </c>
      <c r="FE218">
        <v>0.55000000000000004</v>
      </c>
      <c r="FF218">
        <v>0.55000000000000004</v>
      </c>
      <c r="FG218">
        <v>0.55000000000000004</v>
      </c>
      <c r="FH218">
        <v>0.55000000000000004</v>
      </c>
      <c r="FI218">
        <v>0.55000000000000004</v>
      </c>
      <c r="FJ218">
        <v>0.55000000000000004</v>
      </c>
      <c r="FK218">
        <v>0.55000000000000004</v>
      </c>
      <c r="FL218">
        <v>0.55000000000000004</v>
      </c>
      <c r="FM218">
        <v>0.55000000000000004</v>
      </c>
      <c r="FN218">
        <v>0.55000000000000004</v>
      </c>
      <c r="FO218">
        <v>0.55000000000000004</v>
      </c>
    </row>
    <row r="219" spans="2:171">
      <c r="B219" t="s">
        <v>999</v>
      </c>
      <c r="C219" t="s">
        <v>1000</v>
      </c>
      <c r="F219">
        <v>0.45</v>
      </c>
      <c r="G219">
        <v>0.45</v>
      </c>
      <c r="H219">
        <v>0.45</v>
      </c>
      <c r="I219">
        <v>0.45</v>
      </c>
      <c r="J219">
        <v>0.45</v>
      </c>
      <c r="K219">
        <v>0.45</v>
      </c>
      <c r="L219">
        <v>0.45</v>
      </c>
      <c r="M219">
        <v>0.45</v>
      </c>
      <c r="N219">
        <v>0.45</v>
      </c>
      <c r="O219">
        <v>0.45</v>
      </c>
      <c r="P219">
        <v>0.45</v>
      </c>
      <c r="Q219">
        <v>0.45</v>
      </c>
      <c r="R219">
        <v>0.45</v>
      </c>
      <c r="S219">
        <v>0.45</v>
      </c>
      <c r="T219">
        <v>0.45</v>
      </c>
      <c r="U219">
        <v>0.45</v>
      </c>
      <c r="V219">
        <v>0.45</v>
      </c>
      <c r="W219">
        <v>0.45</v>
      </c>
      <c r="X219">
        <v>0.45</v>
      </c>
      <c r="Y219">
        <v>0.45</v>
      </c>
      <c r="Z219">
        <v>0.45</v>
      </c>
      <c r="AA219">
        <v>0.45</v>
      </c>
      <c r="AB219">
        <v>0.45</v>
      </c>
      <c r="AC219">
        <v>0.45</v>
      </c>
      <c r="AD219">
        <v>0.45</v>
      </c>
      <c r="AE219">
        <v>0.45</v>
      </c>
      <c r="AF219">
        <v>0.45</v>
      </c>
      <c r="AG219">
        <v>0.45</v>
      </c>
      <c r="AH219">
        <v>0.45</v>
      </c>
      <c r="AI219">
        <v>0.45</v>
      </c>
      <c r="AJ219">
        <v>0.45</v>
      </c>
      <c r="AK219">
        <v>0.45</v>
      </c>
      <c r="AL219">
        <v>0.45</v>
      </c>
      <c r="AM219">
        <v>0.45</v>
      </c>
      <c r="AN219">
        <v>0.45</v>
      </c>
      <c r="AO219">
        <v>0.45</v>
      </c>
      <c r="AP219">
        <v>0.45</v>
      </c>
      <c r="AQ219">
        <v>0.45</v>
      </c>
      <c r="AR219">
        <v>0.45</v>
      </c>
      <c r="AS219">
        <v>0.45</v>
      </c>
      <c r="AT219">
        <v>0.45</v>
      </c>
      <c r="AU219">
        <v>0.45</v>
      </c>
      <c r="AV219">
        <v>0.45</v>
      </c>
      <c r="AW219">
        <v>0.45</v>
      </c>
      <c r="AX219">
        <v>0.45</v>
      </c>
      <c r="AY219">
        <v>0.45</v>
      </c>
      <c r="AZ219">
        <v>0.45</v>
      </c>
      <c r="BA219">
        <v>0.45</v>
      </c>
      <c r="BB219">
        <v>0.45</v>
      </c>
      <c r="BC219">
        <v>0.45</v>
      </c>
      <c r="BD219">
        <v>0.45</v>
      </c>
      <c r="BE219">
        <v>0.45</v>
      </c>
      <c r="BF219">
        <v>0.45</v>
      </c>
      <c r="BG219">
        <v>0.45</v>
      </c>
      <c r="BH219">
        <v>0.45</v>
      </c>
      <c r="BI219">
        <v>0.45</v>
      </c>
      <c r="BJ219">
        <v>0.45</v>
      </c>
      <c r="BK219">
        <v>0.45</v>
      </c>
      <c r="BL219">
        <v>0.45</v>
      </c>
      <c r="BM219">
        <v>0.45</v>
      </c>
      <c r="BN219">
        <v>0.45</v>
      </c>
      <c r="BO219">
        <v>0.45</v>
      </c>
      <c r="BP219">
        <v>0.45</v>
      </c>
      <c r="BQ219">
        <v>0.45</v>
      </c>
      <c r="BR219">
        <v>0.45</v>
      </c>
      <c r="BS219">
        <v>0.45</v>
      </c>
      <c r="BT219">
        <v>0.45</v>
      </c>
      <c r="BU219">
        <v>0.45</v>
      </c>
      <c r="BV219">
        <v>0.45</v>
      </c>
      <c r="BW219">
        <v>0.45</v>
      </c>
      <c r="BX219">
        <v>0.45</v>
      </c>
      <c r="BY219">
        <v>0.45</v>
      </c>
      <c r="BZ219">
        <v>0.45</v>
      </c>
      <c r="CA219">
        <v>0.45</v>
      </c>
      <c r="CB219">
        <v>0.45</v>
      </c>
      <c r="CC219">
        <v>0.45</v>
      </c>
      <c r="CD219">
        <v>0.45</v>
      </c>
      <c r="CE219">
        <v>0.45</v>
      </c>
      <c r="CF219">
        <v>0.45</v>
      </c>
      <c r="CG219">
        <v>0.45</v>
      </c>
      <c r="CH219">
        <v>0.45</v>
      </c>
      <c r="CI219">
        <v>0.45</v>
      </c>
      <c r="CJ219">
        <v>0.45</v>
      </c>
      <c r="CK219">
        <v>0.45</v>
      </c>
      <c r="CL219">
        <v>0.45</v>
      </c>
      <c r="CM219">
        <v>0.45</v>
      </c>
      <c r="CN219">
        <v>0.45</v>
      </c>
      <c r="CO219">
        <v>0.45</v>
      </c>
      <c r="CP219">
        <v>0.45</v>
      </c>
      <c r="CQ219">
        <v>0.45</v>
      </c>
      <c r="CR219">
        <v>0.45</v>
      </c>
      <c r="CS219">
        <v>0.45</v>
      </c>
      <c r="CT219">
        <v>0.45</v>
      </c>
      <c r="CU219">
        <v>0.45</v>
      </c>
      <c r="CV219">
        <v>0.45</v>
      </c>
      <c r="CW219">
        <v>0.45</v>
      </c>
      <c r="CX219">
        <v>0.45</v>
      </c>
      <c r="CY219">
        <v>0.45</v>
      </c>
      <c r="CZ219">
        <v>0.45</v>
      </c>
      <c r="DA219">
        <v>0.45</v>
      </c>
      <c r="DB219">
        <v>0.45</v>
      </c>
      <c r="DC219">
        <v>0.45</v>
      </c>
      <c r="DD219">
        <v>0.45</v>
      </c>
      <c r="DE219">
        <v>0.45</v>
      </c>
      <c r="DF219">
        <v>0.45</v>
      </c>
      <c r="DG219">
        <v>0.45</v>
      </c>
      <c r="DH219">
        <v>0.45</v>
      </c>
      <c r="DI219">
        <v>0.45</v>
      </c>
      <c r="DJ219">
        <v>0.45</v>
      </c>
      <c r="DK219">
        <v>0.45</v>
      </c>
      <c r="DL219">
        <v>0.45</v>
      </c>
      <c r="DM219">
        <v>0.45</v>
      </c>
      <c r="DN219">
        <v>0.45</v>
      </c>
      <c r="DO219">
        <v>0.45</v>
      </c>
      <c r="DP219">
        <v>0.45</v>
      </c>
      <c r="DQ219">
        <v>0.45</v>
      </c>
      <c r="DR219">
        <v>0.45</v>
      </c>
      <c r="DS219">
        <v>0.45</v>
      </c>
      <c r="DT219">
        <v>0.45</v>
      </c>
      <c r="DU219">
        <v>0.45</v>
      </c>
      <c r="DV219">
        <v>0.45</v>
      </c>
      <c r="DW219">
        <v>0.45</v>
      </c>
      <c r="DX219">
        <v>0.45</v>
      </c>
      <c r="DY219">
        <v>0.45</v>
      </c>
      <c r="DZ219">
        <v>0.45</v>
      </c>
      <c r="EA219">
        <v>0.45</v>
      </c>
      <c r="EB219">
        <v>0.45</v>
      </c>
      <c r="EC219">
        <v>0.45</v>
      </c>
      <c r="ED219">
        <v>0.45</v>
      </c>
      <c r="EE219">
        <v>0.45</v>
      </c>
      <c r="EF219">
        <v>0.45</v>
      </c>
      <c r="EG219">
        <v>0.45</v>
      </c>
      <c r="EH219">
        <v>0.45</v>
      </c>
      <c r="EI219">
        <v>0.45</v>
      </c>
      <c r="EJ219">
        <v>0.45</v>
      </c>
      <c r="EK219">
        <v>0.45</v>
      </c>
      <c r="EL219">
        <v>0.45</v>
      </c>
      <c r="EM219">
        <v>0.45</v>
      </c>
      <c r="EN219">
        <v>0.45</v>
      </c>
      <c r="EO219">
        <v>0.45</v>
      </c>
      <c r="EP219">
        <v>0.45</v>
      </c>
      <c r="EQ219">
        <v>0.45</v>
      </c>
      <c r="ER219">
        <v>0.45</v>
      </c>
      <c r="ES219">
        <v>0.45</v>
      </c>
      <c r="ET219">
        <v>0.45</v>
      </c>
      <c r="EU219">
        <v>0.45</v>
      </c>
      <c r="EV219">
        <v>0.45</v>
      </c>
      <c r="EW219">
        <v>0.45</v>
      </c>
      <c r="EX219">
        <v>0.45</v>
      </c>
      <c r="EY219">
        <v>0.45</v>
      </c>
      <c r="EZ219">
        <v>0.45</v>
      </c>
      <c r="FA219">
        <v>0.45</v>
      </c>
      <c r="FB219">
        <v>0.45</v>
      </c>
      <c r="FC219">
        <v>0.45</v>
      </c>
      <c r="FD219">
        <v>0.45</v>
      </c>
      <c r="FE219">
        <v>0.45</v>
      </c>
      <c r="FF219">
        <v>0.45</v>
      </c>
      <c r="FG219">
        <v>0.45</v>
      </c>
      <c r="FH219">
        <v>0.45</v>
      </c>
      <c r="FI219">
        <v>0.45</v>
      </c>
      <c r="FJ219">
        <v>0.45</v>
      </c>
      <c r="FK219">
        <v>0.45</v>
      </c>
      <c r="FL219">
        <v>0.45</v>
      </c>
      <c r="FM219">
        <v>0.45</v>
      </c>
      <c r="FN219">
        <v>0.45</v>
      </c>
      <c r="FO219">
        <v>0.45</v>
      </c>
    </row>
    <row r="220" spans="2:171">
      <c r="B220" t="s">
        <v>1001</v>
      </c>
      <c r="C220" t="s">
        <v>1002</v>
      </c>
      <c r="F220">
        <v>0.5</v>
      </c>
      <c r="G220">
        <v>0.5</v>
      </c>
      <c r="H220">
        <v>0.5</v>
      </c>
      <c r="I220">
        <v>0.5</v>
      </c>
      <c r="J220">
        <v>0.5</v>
      </c>
      <c r="K220">
        <v>0.5</v>
      </c>
      <c r="L220">
        <v>0.5</v>
      </c>
      <c r="M220">
        <v>0.5</v>
      </c>
      <c r="N220">
        <v>0.5</v>
      </c>
      <c r="O220">
        <v>0.5</v>
      </c>
      <c r="P220">
        <v>0.5</v>
      </c>
      <c r="Q220">
        <v>0.5</v>
      </c>
      <c r="R220">
        <v>0.5</v>
      </c>
      <c r="S220">
        <v>0.5</v>
      </c>
      <c r="T220">
        <v>0.5</v>
      </c>
      <c r="U220">
        <v>0.5</v>
      </c>
      <c r="V220">
        <v>0.5</v>
      </c>
      <c r="W220">
        <v>0.5</v>
      </c>
      <c r="X220">
        <v>0.5</v>
      </c>
      <c r="Y220">
        <v>0.5</v>
      </c>
      <c r="Z220">
        <v>0.5</v>
      </c>
      <c r="AA220">
        <v>0.5</v>
      </c>
      <c r="AB220">
        <v>0.5</v>
      </c>
      <c r="AC220">
        <v>0.5</v>
      </c>
      <c r="AD220">
        <v>0.5</v>
      </c>
      <c r="AE220">
        <v>0.5</v>
      </c>
      <c r="AF220">
        <v>0.5</v>
      </c>
      <c r="AG220">
        <v>0.5</v>
      </c>
      <c r="AH220">
        <v>0.5</v>
      </c>
      <c r="AI220">
        <v>0.5</v>
      </c>
      <c r="AJ220">
        <v>0.5</v>
      </c>
      <c r="AK220">
        <v>0.5</v>
      </c>
      <c r="AL220">
        <v>0.5</v>
      </c>
      <c r="AM220">
        <v>0.5</v>
      </c>
      <c r="AN220">
        <v>0.5</v>
      </c>
      <c r="AO220">
        <v>0.5</v>
      </c>
      <c r="AP220">
        <v>0.5</v>
      </c>
      <c r="AQ220">
        <v>0.5</v>
      </c>
      <c r="AR220">
        <v>0.5</v>
      </c>
      <c r="AS220">
        <v>0.5</v>
      </c>
      <c r="AT220">
        <v>0.5</v>
      </c>
      <c r="AU220">
        <v>0.5</v>
      </c>
      <c r="AV220">
        <v>0.5</v>
      </c>
      <c r="AW220">
        <v>0.5</v>
      </c>
      <c r="AX220">
        <v>0.5</v>
      </c>
      <c r="AY220">
        <v>0.5</v>
      </c>
      <c r="AZ220">
        <v>0.5</v>
      </c>
      <c r="BA220">
        <v>0.5</v>
      </c>
      <c r="BB220">
        <v>0.5</v>
      </c>
      <c r="BC220">
        <v>0.5</v>
      </c>
      <c r="BD220">
        <v>0.5</v>
      </c>
      <c r="BE220">
        <v>0.5</v>
      </c>
      <c r="BF220">
        <v>0.5</v>
      </c>
      <c r="BG220">
        <v>0.5</v>
      </c>
      <c r="BH220">
        <v>0.5</v>
      </c>
      <c r="BI220">
        <v>0.5</v>
      </c>
      <c r="BJ220">
        <v>0.5</v>
      </c>
      <c r="BK220">
        <v>0.5</v>
      </c>
      <c r="BL220">
        <v>0.5</v>
      </c>
      <c r="BM220">
        <v>0.5</v>
      </c>
      <c r="BN220">
        <v>0.5</v>
      </c>
      <c r="BO220">
        <v>0.5</v>
      </c>
      <c r="BP220">
        <v>0.5</v>
      </c>
      <c r="BQ220">
        <v>0.5</v>
      </c>
      <c r="BR220">
        <v>0.5</v>
      </c>
      <c r="BS220">
        <v>0.5</v>
      </c>
      <c r="BT220">
        <v>0.5</v>
      </c>
      <c r="BU220">
        <v>0.5</v>
      </c>
      <c r="BV220">
        <v>0.5</v>
      </c>
      <c r="BW220">
        <v>0.5</v>
      </c>
      <c r="BX220">
        <v>0.5</v>
      </c>
      <c r="BY220">
        <v>0.5</v>
      </c>
      <c r="BZ220">
        <v>0.5</v>
      </c>
      <c r="CA220">
        <v>0.5</v>
      </c>
      <c r="CB220">
        <v>0.5</v>
      </c>
      <c r="CC220">
        <v>0.5</v>
      </c>
      <c r="CD220">
        <v>0.5</v>
      </c>
      <c r="CE220">
        <v>0.5</v>
      </c>
      <c r="CF220">
        <v>0.5</v>
      </c>
      <c r="CG220">
        <v>0.5</v>
      </c>
      <c r="CH220">
        <v>0.5</v>
      </c>
      <c r="CI220">
        <v>0.5</v>
      </c>
      <c r="CJ220">
        <v>0.5</v>
      </c>
      <c r="CK220">
        <v>0.5</v>
      </c>
      <c r="CL220">
        <v>0.5</v>
      </c>
      <c r="CM220">
        <v>0.5</v>
      </c>
      <c r="CN220">
        <v>0.5</v>
      </c>
      <c r="CO220">
        <v>0.5</v>
      </c>
      <c r="CP220">
        <v>0.5</v>
      </c>
      <c r="CQ220">
        <v>0.5</v>
      </c>
      <c r="CR220">
        <v>0.5</v>
      </c>
      <c r="CS220">
        <v>0.5</v>
      </c>
      <c r="CT220">
        <v>0.5</v>
      </c>
      <c r="CU220">
        <v>0.5</v>
      </c>
      <c r="CV220">
        <v>0.5</v>
      </c>
      <c r="CW220">
        <v>0.5</v>
      </c>
      <c r="CX220">
        <v>0.5</v>
      </c>
      <c r="CY220">
        <v>0.5</v>
      </c>
      <c r="CZ220">
        <v>0.5</v>
      </c>
      <c r="DA220">
        <v>0.5</v>
      </c>
      <c r="DB220">
        <v>0.5</v>
      </c>
      <c r="DC220">
        <v>0.5</v>
      </c>
      <c r="DD220">
        <v>0.5</v>
      </c>
      <c r="DE220">
        <v>0.5</v>
      </c>
      <c r="DF220">
        <v>0.5</v>
      </c>
      <c r="DG220">
        <v>0.5</v>
      </c>
      <c r="DH220">
        <v>0.5</v>
      </c>
      <c r="DI220">
        <v>0.5</v>
      </c>
      <c r="DJ220">
        <v>0.5</v>
      </c>
      <c r="DK220">
        <v>0.5</v>
      </c>
      <c r="DL220">
        <v>0.5</v>
      </c>
      <c r="DM220">
        <v>0.5</v>
      </c>
      <c r="DN220">
        <v>0.5</v>
      </c>
      <c r="DO220">
        <v>0.5</v>
      </c>
      <c r="DP220">
        <v>0.5</v>
      </c>
      <c r="DQ220">
        <v>0.5</v>
      </c>
      <c r="DR220">
        <v>0.5</v>
      </c>
      <c r="DS220">
        <v>0.5</v>
      </c>
      <c r="DT220">
        <v>0.5</v>
      </c>
      <c r="DU220">
        <v>0.5</v>
      </c>
      <c r="DV220">
        <v>0.5</v>
      </c>
      <c r="DW220">
        <v>0.5</v>
      </c>
      <c r="DX220">
        <v>0.5</v>
      </c>
      <c r="DY220">
        <v>0.5</v>
      </c>
      <c r="DZ220">
        <v>0.5</v>
      </c>
      <c r="EA220">
        <v>0.5</v>
      </c>
      <c r="EB220">
        <v>0.5</v>
      </c>
      <c r="EC220">
        <v>0.5</v>
      </c>
      <c r="ED220">
        <v>0.5</v>
      </c>
      <c r="EE220">
        <v>0.5</v>
      </c>
      <c r="EF220">
        <v>0.5</v>
      </c>
      <c r="EG220">
        <v>0.5</v>
      </c>
      <c r="EH220">
        <v>0.5</v>
      </c>
      <c r="EI220">
        <v>0.5</v>
      </c>
      <c r="EJ220">
        <v>0.5</v>
      </c>
      <c r="EK220">
        <v>0.5</v>
      </c>
      <c r="EL220">
        <v>0.5</v>
      </c>
      <c r="EM220">
        <v>0.5</v>
      </c>
      <c r="EN220">
        <v>0.5</v>
      </c>
      <c r="EO220">
        <v>0.5</v>
      </c>
      <c r="EP220">
        <v>0.5</v>
      </c>
      <c r="EQ220">
        <v>0.5</v>
      </c>
      <c r="ER220">
        <v>0.5</v>
      </c>
      <c r="ES220">
        <v>0.5</v>
      </c>
      <c r="ET220">
        <v>0.5</v>
      </c>
      <c r="EU220">
        <v>0.5</v>
      </c>
      <c r="EV220">
        <v>0.5</v>
      </c>
      <c r="EW220">
        <v>0.5</v>
      </c>
      <c r="EX220">
        <v>0.5</v>
      </c>
      <c r="EY220">
        <v>0.5</v>
      </c>
      <c r="EZ220">
        <v>0.5</v>
      </c>
      <c r="FA220">
        <v>0.5</v>
      </c>
      <c r="FB220">
        <v>0.5</v>
      </c>
      <c r="FC220">
        <v>0.5</v>
      </c>
      <c r="FD220">
        <v>0.5</v>
      </c>
      <c r="FE220">
        <v>0.5</v>
      </c>
      <c r="FF220">
        <v>0.5</v>
      </c>
      <c r="FG220">
        <v>0.5</v>
      </c>
      <c r="FH220">
        <v>0.5</v>
      </c>
      <c r="FI220">
        <v>0.5</v>
      </c>
      <c r="FJ220">
        <v>0.5</v>
      </c>
      <c r="FK220">
        <v>0.5</v>
      </c>
      <c r="FL220">
        <v>0.5</v>
      </c>
      <c r="FM220">
        <v>0.5</v>
      </c>
      <c r="FN220">
        <v>0.5</v>
      </c>
      <c r="FO220">
        <v>0.5</v>
      </c>
    </row>
    <row r="221" spans="2:171">
      <c r="B221" t="s">
        <v>1003</v>
      </c>
      <c r="C221" t="s">
        <v>1004</v>
      </c>
      <c r="F221">
        <v>0.45</v>
      </c>
      <c r="G221">
        <v>0.45</v>
      </c>
      <c r="H221">
        <v>0.45</v>
      </c>
      <c r="I221">
        <v>0.45</v>
      </c>
      <c r="J221">
        <v>0.45</v>
      </c>
      <c r="K221">
        <v>0.45</v>
      </c>
      <c r="L221">
        <v>0.45</v>
      </c>
      <c r="M221">
        <v>0.45</v>
      </c>
      <c r="N221">
        <v>0.45</v>
      </c>
      <c r="O221">
        <v>0.45</v>
      </c>
      <c r="P221">
        <v>0.45</v>
      </c>
      <c r="Q221">
        <v>0.45</v>
      </c>
      <c r="R221">
        <v>0.45</v>
      </c>
      <c r="S221">
        <v>0.45</v>
      </c>
      <c r="T221">
        <v>0.45</v>
      </c>
      <c r="U221">
        <v>0.45</v>
      </c>
      <c r="V221">
        <v>0.45</v>
      </c>
      <c r="W221">
        <v>0.45</v>
      </c>
      <c r="X221">
        <v>0.45</v>
      </c>
      <c r="Y221">
        <v>0.45</v>
      </c>
      <c r="Z221">
        <v>0.45</v>
      </c>
      <c r="AA221">
        <v>0.45</v>
      </c>
      <c r="AB221">
        <v>0.45</v>
      </c>
      <c r="AC221">
        <v>0.45</v>
      </c>
      <c r="AD221">
        <v>0.45</v>
      </c>
      <c r="AE221">
        <v>0.45</v>
      </c>
      <c r="AF221">
        <v>0.45</v>
      </c>
      <c r="AG221">
        <v>0.45</v>
      </c>
      <c r="AH221">
        <v>0.45</v>
      </c>
      <c r="AI221">
        <v>0.45</v>
      </c>
      <c r="AJ221">
        <v>0.45</v>
      </c>
      <c r="AK221">
        <v>0.45</v>
      </c>
      <c r="AL221">
        <v>0.45</v>
      </c>
      <c r="AM221">
        <v>0.45</v>
      </c>
      <c r="AN221">
        <v>0.45</v>
      </c>
      <c r="AO221">
        <v>0.45</v>
      </c>
      <c r="AP221">
        <v>0.45</v>
      </c>
      <c r="AQ221">
        <v>0.45</v>
      </c>
      <c r="AR221">
        <v>0.45</v>
      </c>
      <c r="AS221">
        <v>0.45</v>
      </c>
      <c r="AT221">
        <v>0.45</v>
      </c>
      <c r="AU221">
        <v>0.45</v>
      </c>
      <c r="AV221">
        <v>0.45</v>
      </c>
      <c r="AW221">
        <v>0.45</v>
      </c>
      <c r="AX221">
        <v>0.45</v>
      </c>
      <c r="AY221">
        <v>0.45</v>
      </c>
      <c r="AZ221">
        <v>0.45</v>
      </c>
      <c r="BA221">
        <v>0.45</v>
      </c>
      <c r="BB221">
        <v>0.45</v>
      </c>
      <c r="BC221">
        <v>0.45</v>
      </c>
      <c r="BD221">
        <v>0.45</v>
      </c>
      <c r="BE221">
        <v>0.45</v>
      </c>
      <c r="BF221">
        <v>0.45</v>
      </c>
      <c r="BG221">
        <v>0.45</v>
      </c>
      <c r="BH221">
        <v>0.45</v>
      </c>
      <c r="BI221">
        <v>0.45</v>
      </c>
      <c r="BJ221">
        <v>0.45</v>
      </c>
      <c r="BK221">
        <v>0.45</v>
      </c>
      <c r="BL221">
        <v>0.45</v>
      </c>
      <c r="BM221">
        <v>0.45</v>
      </c>
      <c r="BN221">
        <v>0.45</v>
      </c>
      <c r="BO221">
        <v>0.45</v>
      </c>
      <c r="BP221">
        <v>0.45</v>
      </c>
      <c r="BQ221">
        <v>0.45</v>
      </c>
      <c r="BR221">
        <v>0.45</v>
      </c>
      <c r="BS221">
        <v>0.45</v>
      </c>
      <c r="BT221">
        <v>0.45</v>
      </c>
      <c r="BU221">
        <v>0.45</v>
      </c>
      <c r="BV221">
        <v>0.45</v>
      </c>
      <c r="BW221">
        <v>0.45</v>
      </c>
      <c r="BX221">
        <v>0.45</v>
      </c>
      <c r="BY221">
        <v>0.45</v>
      </c>
      <c r="BZ221">
        <v>0.45</v>
      </c>
      <c r="CA221">
        <v>0.45</v>
      </c>
      <c r="CB221">
        <v>0.45</v>
      </c>
      <c r="CC221">
        <v>0.45</v>
      </c>
      <c r="CD221">
        <v>0.45</v>
      </c>
      <c r="CE221">
        <v>0.45</v>
      </c>
      <c r="CF221">
        <v>0.45</v>
      </c>
      <c r="CG221">
        <v>0.45</v>
      </c>
      <c r="CH221">
        <v>0.45</v>
      </c>
      <c r="CI221">
        <v>0.45</v>
      </c>
      <c r="CJ221">
        <v>0.45</v>
      </c>
      <c r="CK221">
        <v>0.45</v>
      </c>
      <c r="CL221">
        <v>0.45</v>
      </c>
      <c r="CM221">
        <v>0.45</v>
      </c>
      <c r="CN221">
        <v>0.45</v>
      </c>
      <c r="CO221">
        <v>0.45</v>
      </c>
      <c r="CP221">
        <v>0.45</v>
      </c>
      <c r="CQ221">
        <v>0.45</v>
      </c>
      <c r="CR221">
        <v>0.45</v>
      </c>
      <c r="CS221">
        <v>0.45</v>
      </c>
      <c r="CT221">
        <v>0.45</v>
      </c>
      <c r="CU221">
        <v>0.45</v>
      </c>
      <c r="CV221">
        <v>0.45</v>
      </c>
      <c r="CW221">
        <v>0.45</v>
      </c>
      <c r="CX221">
        <v>0.45</v>
      </c>
      <c r="CY221">
        <v>0.45</v>
      </c>
      <c r="CZ221">
        <v>0.45</v>
      </c>
      <c r="DA221">
        <v>0.45</v>
      </c>
      <c r="DB221">
        <v>0.45</v>
      </c>
      <c r="DC221">
        <v>0.45</v>
      </c>
      <c r="DD221">
        <v>0.45</v>
      </c>
      <c r="DE221">
        <v>0.45</v>
      </c>
      <c r="DF221">
        <v>0.45</v>
      </c>
      <c r="DG221">
        <v>0.45</v>
      </c>
      <c r="DH221">
        <v>0.45</v>
      </c>
      <c r="DI221">
        <v>0.45</v>
      </c>
      <c r="DJ221">
        <v>0.45</v>
      </c>
      <c r="DK221">
        <v>0.45</v>
      </c>
      <c r="DL221">
        <v>0.45</v>
      </c>
      <c r="DM221">
        <v>0.45</v>
      </c>
      <c r="DN221">
        <v>0.45</v>
      </c>
      <c r="DO221">
        <v>0.45</v>
      </c>
      <c r="DP221">
        <v>0.45</v>
      </c>
      <c r="DQ221">
        <v>0.45</v>
      </c>
      <c r="DR221">
        <v>0.45</v>
      </c>
      <c r="DS221">
        <v>0.45</v>
      </c>
      <c r="DT221">
        <v>0.45</v>
      </c>
      <c r="DU221">
        <v>0.45</v>
      </c>
      <c r="DV221">
        <v>0.45</v>
      </c>
      <c r="DW221">
        <v>0.45</v>
      </c>
      <c r="DX221">
        <v>0.45</v>
      </c>
      <c r="DY221">
        <v>0.45</v>
      </c>
      <c r="DZ221">
        <v>0.45</v>
      </c>
      <c r="EA221">
        <v>0.45</v>
      </c>
      <c r="EB221">
        <v>0.45</v>
      </c>
      <c r="EC221">
        <v>0.45</v>
      </c>
      <c r="ED221">
        <v>0.45</v>
      </c>
      <c r="EE221">
        <v>0.45</v>
      </c>
      <c r="EF221">
        <v>0.45</v>
      </c>
      <c r="EG221">
        <v>0.45</v>
      </c>
      <c r="EH221">
        <v>0.45</v>
      </c>
      <c r="EI221">
        <v>0.45</v>
      </c>
      <c r="EJ221">
        <v>0.45</v>
      </c>
      <c r="EK221">
        <v>0.45</v>
      </c>
      <c r="EL221">
        <v>0.45</v>
      </c>
      <c r="EM221">
        <v>0.45</v>
      </c>
      <c r="EN221">
        <v>0.45</v>
      </c>
      <c r="EO221">
        <v>0.45</v>
      </c>
      <c r="EP221">
        <v>0.45</v>
      </c>
      <c r="EQ221">
        <v>0.45</v>
      </c>
      <c r="ER221">
        <v>0.45</v>
      </c>
      <c r="ES221">
        <v>0.45</v>
      </c>
      <c r="ET221">
        <v>0.45</v>
      </c>
      <c r="EU221">
        <v>0.45</v>
      </c>
      <c r="EV221">
        <v>0.45</v>
      </c>
      <c r="EW221">
        <v>0.45</v>
      </c>
      <c r="EX221">
        <v>0.45</v>
      </c>
      <c r="EY221">
        <v>0.45</v>
      </c>
      <c r="EZ221">
        <v>0.45</v>
      </c>
      <c r="FA221">
        <v>0.45</v>
      </c>
      <c r="FB221">
        <v>0.45</v>
      </c>
      <c r="FC221">
        <v>0.45</v>
      </c>
      <c r="FD221">
        <v>0.45</v>
      </c>
      <c r="FE221">
        <v>0.45</v>
      </c>
      <c r="FF221">
        <v>0.45</v>
      </c>
      <c r="FG221">
        <v>0.45</v>
      </c>
      <c r="FH221">
        <v>0.45</v>
      </c>
      <c r="FI221">
        <v>0.45</v>
      </c>
      <c r="FJ221">
        <v>0.45</v>
      </c>
      <c r="FK221">
        <v>0.45</v>
      </c>
      <c r="FL221">
        <v>0.45</v>
      </c>
      <c r="FM221">
        <v>0.45</v>
      </c>
      <c r="FN221">
        <v>0.45</v>
      </c>
      <c r="FO221">
        <v>0.45</v>
      </c>
    </row>
    <row r="222" spans="2:171">
      <c r="B222" t="s">
        <v>1005</v>
      </c>
      <c r="C222" t="s">
        <v>1006</v>
      </c>
      <c r="F222">
        <v>0.05</v>
      </c>
      <c r="G222">
        <v>0.05</v>
      </c>
      <c r="H222">
        <v>0.05</v>
      </c>
      <c r="I222">
        <v>0.05</v>
      </c>
      <c r="J222">
        <v>0.05</v>
      </c>
      <c r="K222">
        <v>0.05</v>
      </c>
      <c r="L222">
        <v>0.05</v>
      </c>
      <c r="M222">
        <v>0.05</v>
      </c>
      <c r="N222">
        <v>0.05</v>
      </c>
      <c r="O222">
        <v>0.05</v>
      </c>
      <c r="P222">
        <v>0.05</v>
      </c>
      <c r="Q222">
        <v>0.05</v>
      </c>
      <c r="R222">
        <v>0.05</v>
      </c>
      <c r="S222">
        <v>0.05</v>
      </c>
      <c r="T222">
        <v>0.05</v>
      </c>
      <c r="U222">
        <v>0.05</v>
      </c>
      <c r="V222">
        <v>0.05</v>
      </c>
      <c r="W222">
        <v>0.05</v>
      </c>
      <c r="X222">
        <v>0.05</v>
      </c>
      <c r="Y222">
        <v>0.05</v>
      </c>
      <c r="Z222">
        <v>0.05</v>
      </c>
      <c r="AA222">
        <v>0.05</v>
      </c>
      <c r="AB222">
        <v>0.05</v>
      </c>
      <c r="AC222">
        <v>0.05</v>
      </c>
      <c r="AD222">
        <v>0.05</v>
      </c>
      <c r="AE222">
        <v>0.05</v>
      </c>
      <c r="AF222">
        <v>0.05</v>
      </c>
      <c r="AG222">
        <v>0.05</v>
      </c>
      <c r="AH222">
        <v>0.05</v>
      </c>
      <c r="AI222">
        <v>0.05</v>
      </c>
      <c r="AJ222">
        <v>0.05</v>
      </c>
      <c r="AK222">
        <v>0.05</v>
      </c>
      <c r="AL222">
        <v>0.05</v>
      </c>
      <c r="AM222">
        <v>0.05</v>
      </c>
      <c r="AN222">
        <v>0.05</v>
      </c>
      <c r="AO222">
        <v>0.05</v>
      </c>
      <c r="AP222">
        <v>0.05</v>
      </c>
      <c r="AQ222">
        <v>0.05</v>
      </c>
      <c r="AR222">
        <v>0.05</v>
      </c>
      <c r="AS222">
        <v>0.05</v>
      </c>
      <c r="AT222">
        <v>0.05</v>
      </c>
      <c r="AU222">
        <v>0.05</v>
      </c>
      <c r="AV222">
        <v>0.05</v>
      </c>
      <c r="AW222">
        <v>0.05</v>
      </c>
      <c r="AX222">
        <v>0.05</v>
      </c>
      <c r="AY222">
        <v>0.05</v>
      </c>
      <c r="AZ222">
        <v>0.05</v>
      </c>
      <c r="BA222">
        <v>0.05</v>
      </c>
      <c r="BB222">
        <v>0.05</v>
      </c>
      <c r="BC222">
        <v>0.05</v>
      </c>
      <c r="BD222">
        <v>0.05</v>
      </c>
      <c r="BE222">
        <v>0.05</v>
      </c>
      <c r="BF222">
        <v>0.05</v>
      </c>
      <c r="BG222">
        <v>0.05</v>
      </c>
      <c r="BH222">
        <v>0.05</v>
      </c>
      <c r="BI222">
        <v>0.05</v>
      </c>
      <c r="BJ222">
        <v>0.05</v>
      </c>
      <c r="BK222">
        <v>0.05</v>
      </c>
      <c r="BL222">
        <v>0.05</v>
      </c>
      <c r="BM222">
        <v>0.05</v>
      </c>
      <c r="BN222">
        <v>0.05</v>
      </c>
      <c r="BO222">
        <v>0.05</v>
      </c>
      <c r="BP222">
        <v>0.05</v>
      </c>
      <c r="BQ222">
        <v>0.05</v>
      </c>
      <c r="BR222">
        <v>0.05</v>
      </c>
      <c r="BS222">
        <v>0.05</v>
      </c>
      <c r="BT222">
        <v>0.05</v>
      </c>
      <c r="BU222">
        <v>0.05</v>
      </c>
      <c r="BV222">
        <v>0.05</v>
      </c>
      <c r="BW222">
        <v>0.05</v>
      </c>
      <c r="BX222">
        <v>0.05</v>
      </c>
      <c r="BY222">
        <v>0.05</v>
      </c>
      <c r="BZ222">
        <v>0.05</v>
      </c>
      <c r="CA222">
        <v>0.05</v>
      </c>
      <c r="CB222">
        <v>0.05</v>
      </c>
      <c r="CC222">
        <v>0.05</v>
      </c>
      <c r="CD222">
        <v>0.05</v>
      </c>
      <c r="CE222">
        <v>0.05</v>
      </c>
      <c r="CF222">
        <v>0.05</v>
      </c>
      <c r="CG222">
        <v>0.05</v>
      </c>
      <c r="CH222">
        <v>0.05</v>
      </c>
      <c r="CI222">
        <v>0.05</v>
      </c>
      <c r="CJ222">
        <v>0.05</v>
      </c>
      <c r="CK222">
        <v>0.05</v>
      </c>
      <c r="CL222">
        <v>0.05</v>
      </c>
      <c r="CM222">
        <v>0.05</v>
      </c>
      <c r="CN222">
        <v>0.05</v>
      </c>
      <c r="CO222">
        <v>0.05</v>
      </c>
      <c r="CP222">
        <v>0.05</v>
      </c>
      <c r="CQ222">
        <v>0.05</v>
      </c>
      <c r="CR222">
        <v>0.05</v>
      </c>
      <c r="CS222">
        <v>0.05</v>
      </c>
      <c r="CT222">
        <v>0.05</v>
      </c>
      <c r="CU222">
        <v>0.05</v>
      </c>
      <c r="CV222">
        <v>0.05</v>
      </c>
      <c r="CW222">
        <v>0.05</v>
      </c>
      <c r="CX222">
        <v>0.05</v>
      </c>
      <c r="CY222">
        <v>0.05</v>
      </c>
      <c r="CZ222">
        <v>0.05</v>
      </c>
      <c r="DA222">
        <v>0.05</v>
      </c>
      <c r="DB222">
        <v>0.05</v>
      </c>
      <c r="DC222">
        <v>0.05</v>
      </c>
      <c r="DD222">
        <v>0.05</v>
      </c>
      <c r="DE222">
        <v>0.05</v>
      </c>
      <c r="DF222">
        <v>0.05</v>
      </c>
      <c r="DG222">
        <v>0.05</v>
      </c>
      <c r="DH222">
        <v>0.05</v>
      </c>
      <c r="DI222">
        <v>0.05</v>
      </c>
      <c r="DJ222">
        <v>0.05</v>
      </c>
      <c r="DK222">
        <v>0.05</v>
      </c>
      <c r="DL222">
        <v>0.05</v>
      </c>
      <c r="DM222">
        <v>0.05</v>
      </c>
      <c r="DN222">
        <v>0.05</v>
      </c>
      <c r="DO222">
        <v>0.05</v>
      </c>
      <c r="DP222">
        <v>0.05</v>
      </c>
      <c r="DQ222">
        <v>0.05</v>
      </c>
      <c r="DR222">
        <v>0.05</v>
      </c>
      <c r="DS222">
        <v>0.05</v>
      </c>
      <c r="DT222">
        <v>0.05</v>
      </c>
      <c r="DU222">
        <v>0.05</v>
      </c>
      <c r="DV222">
        <v>0.05</v>
      </c>
      <c r="DW222">
        <v>0.05</v>
      </c>
      <c r="DX222">
        <v>0.05</v>
      </c>
      <c r="DY222">
        <v>0.05</v>
      </c>
      <c r="DZ222">
        <v>0.05</v>
      </c>
      <c r="EA222">
        <v>0.05</v>
      </c>
      <c r="EB222">
        <v>0.05</v>
      </c>
      <c r="EC222">
        <v>0.05</v>
      </c>
      <c r="ED222">
        <v>0.05</v>
      </c>
      <c r="EE222">
        <v>0.05</v>
      </c>
      <c r="EF222">
        <v>0.05</v>
      </c>
      <c r="EG222">
        <v>0.05</v>
      </c>
      <c r="EH222">
        <v>0.05</v>
      </c>
      <c r="EI222">
        <v>0.05</v>
      </c>
      <c r="EJ222">
        <v>0.05</v>
      </c>
      <c r="EK222">
        <v>0.05</v>
      </c>
      <c r="EL222">
        <v>0.05</v>
      </c>
      <c r="EM222">
        <v>0.05</v>
      </c>
      <c r="EN222">
        <v>0.05</v>
      </c>
      <c r="EO222">
        <v>0.05</v>
      </c>
      <c r="EP222">
        <v>0.05</v>
      </c>
      <c r="EQ222">
        <v>0.05</v>
      </c>
      <c r="ER222">
        <v>0.05</v>
      </c>
      <c r="ES222">
        <v>0.05</v>
      </c>
      <c r="ET222">
        <v>0.05</v>
      </c>
      <c r="EU222">
        <v>0.05</v>
      </c>
      <c r="EV222">
        <v>0.05</v>
      </c>
      <c r="EW222">
        <v>0.05</v>
      </c>
      <c r="EX222">
        <v>0.05</v>
      </c>
      <c r="EY222">
        <v>0.05</v>
      </c>
      <c r="EZ222">
        <v>0.05</v>
      </c>
      <c r="FA222">
        <v>0.05</v>
      </c>
      <c r="FB222">
        <v>0.05</v>
      </c>
      <c r="FC222">
        <v>0.05</v>
      </c>
      <c r="FD222">
        <v>0.05</v>
      </c>
      <c r="FE222">
        <v>0.05</v>
      </c>
      <c r="FF222">
        <v>0.05</v>
      </c>
      <c r="FG222">
        <v>0.05</v>
      </c>
      <c r="FH222">
        <v>0.05</v>
      </c>
      <c r="FI222">
        <v>0.05</v>
      </c>
      <c r="FJ222">
        <v>0.05</v>
      </c>
      <c r="FK222">
        <v>0.05</v>
      </c>
      <c r="FL222">
        <v>0.05</v>
      </c>
      <c r="FM222">
        <v>0.05</v>
      </c>
      <c r="FN222">
        <v>0.05</v>
      </c>
      <c r="FO222">
        <v>0.05</v>
      </c>
    </row>
    <row r="223" spans="2:171">
      <c r="B223" t="s">
        <v>1007</v>
      </c>
      <c r="C223" t="s">
        <v>1008</v>
      </c>
    </row>
    <row r="224" spans="2:171">
      <c r="B224" t="s">
        <v>1009</v>
      </c>
      <c r="C224" t="s">
        <v>1010</v>
      </c>
    </row>
    <row r="225" spans="1:3">
      <c r="B225" t="s">
        <v>1011</v>
      </c>
      <c r="C225" t="s">
        <v>1012</v>
      </c>
    </row>
    <row r="226" spans="1:3">
      <c r="B226" t="s">
        <v>1013</v>
      </c>
      <c r="C226" t="s">
        <v>1014</v>
      </c>
    </row>
    <row r="227" spans="1:3">
      <c r="B227" t="s">
        <v>1015</v>
      </c>
      <c r="C227" t="s">
        <v>1016</v>
      </c>
    </row>
    <row r="228" spans="1:3">
      <c r="B228" t="s">
        <v>1017</v>
      </c>
      <c r="C228" t="s">
        <v>1018</v>
      </c>
    </row>
    <row r="229" spans="1:3">
      <c r="A229" t="s">
        <v>1019</v>
      </c>
    </row>
    <row r="230" spans="1:3">
      <c r="B230" t="s">
        <v>1020</v>
      </c>
      <c r="C230" t="s">
        <v>1021</v>
      </c>
    </row>
    <row r="231" spans="1:3">
      <c r="B231" t="s">
        <v>1022</v>
      </c>
      <c r="C231" t="s">
        <v>1023</v>
      </c>
    </row>
    <row r="232" spans="1:3">
      <c r="A232" t="s">
        <v>1024</v>
      </c>
    </row>
    <row r="233" spans="1:3">
      <c r="B233" t="s">
        <v>1025</v>
      </c>
      <c r="C233" t="s">
        <v>1026</v>
      </c>
    </row>
    <row r="234" spans="1:3">
      <c r="B234" t="s">
        <v>1027</v>
      </c>
      <c r="C234" t="s">
        <v>1028</v>
      </c>
    </row>
    <row r="235" spans="1:3">
      <c r="B235" t="s">
        <v>1029</v>
      </c>
      <c r="C235" t="s">
        <v>1030</v>
      </c>
    </row>
    <row r="236" spans="1:3">
      <c r="B236" t="s">
        <v>1031</v>
      </c>
      <c r="C236" t="s">
        <v>1032</v>
      </c>
    </row>
    <row r="237" spans="1:3">
      <c r="B237" t="s">
        <v>1033</v>
      </c>
      <c r="C237" t="s">
        <v>1034</v>
      </c>
    </row>
    <row r="238" spans="1:3">
      <c r="B238" t="s">
        <v>1035</v>
      </c>
      <c r="C238" t="s">
        <v>1036</v>
      </c>
    </row>
    <row r="239" spans="1:3">
      <c r="B239" t="s">
        <v>1037</v>
      </c>
      <c r="C239" t="s">
        <v>1038</v>
      </c>
    </row>
    <row r="240" spans="1:3">
      <c r="B240" t="s">
        <v>1039</v>
      </c>
      <c r="C240" t="s">
        <v>1040</v>
      </c>
    </row>
    <row r="241" spans="1:3">
      <c r="B241" t="s">
        <v>1041</v>
      </c>
      <c r="C241" t="s">
        <v>1042</v>
      </c>
    </row>
    <row r="242" spans="1:3">
      <c r="B242" t="s">
        <v>1043</v>
      </c>
      <c r="C242" t="s">
        <v>1044</v>
      </c>
    </row>
    <row r="243" spans="1:3">
      <c r="B243" t="s">
        <v>1045</v>
      </c>
      <c r="C243" t="s">
        <v>1046</v>
      </c>
    </row>
    <row r="244" spans="1:3">
      <c r="B244" t="s">
        <v>1047</v>
      </c>
      <c r="C244" t="s">
        <v>1048</v>
      </c>
    </row>
    <row r="245" spans="1:3">
      <c r="B245" t="s">
        <v>1049</v>
      </c>
      <c r="C245" t="s">
        <v>1050</v>
      </c>
    </row>
    <row r="246" spans="1:3">
      <c r="B246" t="s">
        <v>1051</v>
      </c>
      <c r="C246" t="s">
        <v>1052</v>
      </c>
    </row>
    <row r="247" spans="1:3">
      <c r="B247" t="s">
        <v>1053</v>
      </c>
      <c r="C247" t="s">
        <v>1054</v>
      </c>
    </row>
    <row r="248" spans="1:3">
      <c r="A248" t="s">
        <v>1055</v>
      </c>
    </row>
    <row r="249" spans="1:3">
      <c r="B249" t="s">
        <v>1056</v>
      </c>
      <c r="C249" t="s">
        <v>1057</v>
      </c>
    </row>
    <row r="250" spans="1:3">
      <c r="B250" t="s">
        <v>1058</v>
      </c>
      <c r="C250" t="s">
        <v>1059</v>
      </c>
    </row>
    <row r="251" spans="1:3">
      <c r="B251" t="s">
        <v>1060</v>
      </c>
      <c r="C251" t="s">
        <v>1061</v>
      </c>
    </row>
    <row r="252" spans="1:3">
      <c r="B252" t="s">
        <v>1062</v>
      </c>
      <c r="C252" t="s">
        <v>1063</v>
      </c>
    </row>
    <row r="253" spans="1:3">
      <c r="B253" t="s">
        <v>1064</v>
      </c>
      <c r="C253" t="s">
        <v>1065</v>
      </c>
    </row>
    <row r="254" spans="1:3">
      <c r="B254" t="s">
        <v>1066</v>
      </c>
      <c r="C254" t="s">
        <v>1067</v>
      </c>
    </row>
    <row r="255" spans="1:3">
      <c r="B255" t="s">
        <v>1068</v>
      </c>
      <c r="C255" t="s">
        <v>1069</v>
      </c>
    </row>
    <row r="256" spans="1:3">
      <c r="B256" t="s">
        <v>1070</v>
      </c>
      <c r="C256" t="s">
        <v>1071</v>
      </c>
    </row>
    <row r="257" spans="1:5">
      <c r="B257" t="s">
        <v>1072</v>
      </c>
      <c r="C257" t="s">
        <v>1073</v>
      </c>
    </row>
    <row r="258" spans="1:5">
      <c r="B258" t="s">
        <v>1074</v>
      </c>
      <c r="C258" t="s">
        <v>1075</v>
      </c>
    </row>
    <row r="259" spans="1:5">
      <c r="A259" t="s">
        <v>1076</v>
      </c>
      <c r="B259" t="s">
        <v>2070</v>
      </c>
    </row>
    <row r="260" spans="1:5">
      <c r="A260" t="s">
        <v>589</v>
      </c>
    </row>
    <row r="261" spans="1:5">
      <c r="B261" t="s">
        <v>1077</v>
      </c>
      <c r="C261" t="s">
        <v>1077</v>
      </c>
      <c r="E261" t="s">
        <v>9</v>
      </c>
    </row>
    <row r="262" spans="1:5">
      <c r="B262" t="s">
        <v>1078</v>
      </c>
      <c r="C262" t="s">
        <v>1078</v>
      </c>
      <c r="E262" t="s">
        <v>591</v>
      </c>
    </row>
    <row r="263" spans="1:5">
      <c r="B263" t="s">
        <v>1079</v>
      </c>
      <c r="C263" t="s">
        <v>1079</v>
      </c>
      <c r="E263" t="s">
        <v>1080</v>
      </c>
    </row>
    <row r="264" spans="1:5">
      <c r="B264" t="s">
        <v>1081</v>
      </c>
      <c r="C264" t="s">
        <v>1082</v>
      </c>
      <c r="E264" t="s">
        <v>379</v>
      </c>
    </row>
    <row r="265" spans="1:5">
      <c r="B265" t="s">
        <v>1083</v>
      </c>
      <c r="C265" t="s">
        <v>1084</v>
      </c>
      <c r="E265" t="s">
        <v>379</v>
      </c>
    </row>
    <row r="266" spans="1:5">
      <c r="B266" t="s">
        <v>592</v>
      </c>
      <c r="C266" t="s">
        <v>593</v>
      </c>
      <c r="E266" t="s">
        <v>379</v>
      </c>
    </row>
    <row r="267" spans="1:5">
      <c r="A267" t="s">
        <v>594</v>
      </c>
    </row>
    <row r="268" spans="1:5">
      <c r="B268" t="s">
        <v>1085</v>
      </c>
      <c r="C268" t="s">
        <v>1086</v>
      </c>
      <c r="E268" t="s">
        <v>1196</v>
      </c>
    </row>
    <row r="269" spans="1:5">
      <c r="B269" t="s">
        <v>1087</v>
      </c>
      <c r="C269" t="s">
        <v>1088</v>
      </c>
    </row>
    <row r="270" spans="1:5">
      <c r="B270" t="s">
        <v>1089</v>
      </c>
      <c r="C270" t="s">
        <v>1090</v>
      </c>
    </row>
    <row r="271" spans="1:5">
      <c r="B271" t="s">
        <v>1091</v>
      </c>
      <c r="C271" t="s">
        <v>1092</v>
      </c>
      <c r="D271" t="s">
        <v>379</v>
      </c>
      <c r="E271">
        <v>480</v>
      </c>
    </row>
    <row r="272" spans="1:5">
      <c r="B272" t="s">
        <v>1093</v>
      </c>
      <c r="C272" t="s">
        <v>1094</v>
      </c>
      <c r="E272" t="s">
        <v>1197</v>
      </c>
    </row>
    <row r="273" spans="1:171">
      <c r="B273" t="s">
        <v>1095</v>
      </c>
      <c r="C273" t="s">
        <v>1096</v>
      </c>
      <c r="D273" t="s">
        <v>379</v>
      </c>
      <c r="E273">
        <v>480</v>
      </c>
    </row>
    <row r="274" spans="1:171">
      <c r="B274" t="s">
        <v>1097</v>
      </c>
      <c r="C274" t="s">
        <v>1098</v>
      </c>
      <c r="D274" t="s">
        <v>379</v>
      </c>
    </row>
    <row r="275" spans="1:171">
      <c r="B275" t="s">
        <v>1099</v>
      </c>
      <c r="C275" t="s">
        <v>1100</v>
      </c>
      <c r="E275">
        <v>7461</v>
      </c>
    </row>
    <row r="276" spans="1:171">
      <c r="B276" t="s">
        <v>1101</v>
      </c>
      <c r="C276" t="s">
        <v>1102</v>
      </c>
    </row>
    <row r="277" spans="1:171">
      <c r="A277" t="s">
        <v>1103</v>
      </c>
    </row>
    <row r="278" spans="1:171">
      <c r="B278" t="s">
        <v>1104</v>
      </c>
      <c r="C278" t="s">
        <v>1105</v>
      </c>
      <c r="D278" t="s">
        <v>379</v>
      </c>
      <c r="F278">
        <v>9.3508771929820007</v>
      </c>
      <c r="G278">
        <v>10.0015625</v>
      </c>
      <c r="H278">
        <v>10.760188087774001</v>
      </c>
      <c r="I278">
        <v>11.464788732394</v>
      </c>
      <c r="J278">
        <v>11.888372093022999</v>
      </c>
      <c r="K278">
        <v>11.971896955503</v>
      </c>
      <c r="L278">
        <v>6.2418856259659998</v>
      </c>
      <c r="M278">
        <v>8.0350000000000001</v>
      </c>
      <c r="N278">
        <v>3.8058333333330001</v>
      </c>
      <c r="O278">
        <v>4.4904166666669996</v>
      </c>
      <c r="P278">
        <v>5.9100630655330004</v>
      </c>
      <c r="Q278">
        <v>8.6001500375089996</v>
      </c>
      <c r="R278">
        <v>10.118032786884999</v>
      </c>
      <c r="S278">
        <v>5.9902040816330002</v>
      </c>
      <c r="T278">
        <v>6.5203921568630001</v>
      </c>
      <c r="U278">
        <v>8.8055077452670005</v>
      </c>
      <c r="V278">
        <v>7.7268686868690004</v>
      </c>
      <c r="W278">
        <v>9.0312000000000001</v>
      </c>
      <c r="X278">
        <v>5.0435294117650002</v>
      </c>
      <c r="Y278">
        <v>5.5760784313730003</v>
      </c>
      <c r="Z278">
        <v>7.4960131795720004</v>
      </c>
      <c r="AA278">
        <v>6.1450980392160002</v>
      </c>
      <c r="AB278">
        <v>6.6517307692310004</v>
      </c>
      <c r="AC278">
        <v>7.6523076923079998</v>
      </c>
      <c r="AD278">
        <v>7.750285714286</v>
      </c>
      <c r="AE278">
        <v>7.843662650602</v>
      </c>
      <c r="AF278">
        <v>8.5568975278349999</v>
      </c>
      <c r="AG278">
        <v>8.7095684802999997</v>
      </c>
      <c r="AH278">
        <v>9.0123688155919996</v>
      </c>
      <c r="AI278">
        <v>8.7881434677569992</v>
      </c>
      <c r="AJ278">
        <v>8.861426028296</v>
      </c>
      <c r="AK278">
        <v>8.9857354575770003</v>
      </c>
      <c r="AL278">
        <v>9.5547729379049997</v>
      </c>
      <c r="AM278">
        <v>10.027700831024999</v>
      </c>
      <c r="AN278">
        <v>9.6361957525390007</v>
      </c>
      <c r="AO278">
        <v>9.652684641354</v>
      </c>
      <c r="AP278">
        <v>4.9833317813580003</v>
      </c>
      <c r="AQ278">
        <v>5.2146127254039998</v>
      </c>
      <c r="AR278">
        <v>5.4392907139520004</v>
      </c>
      <c r="AS278">
        <v>5.6831517183570002</v>
      </c>
      <c r="AT278">
        <v>5.690306336551</v>
      </c>
      <c r="AU278">
        <v>6.1677920636390002</v>
      </c>
      <c r="AV278">
        <v>6.4147086031449998</v>
      </c>
      <c r="AW278">
        <v>6.5442744552620002</v>
      </c>
      <c r="AX278">
        <v>6.9243938552659996</v>
      </c>
      <c r="AY278">
        <v>6.9263167638620002</v>
      </c>
      <c r="AZ278">
        <v>7.0191299549339998</v>
      </c>
      <c r="BA278">
        <v>4.3423738163100003</v>
      </c>
      <c r="BB278">
        <v>4.3637619749449996</v>
      </c>
      <c r="BC278">
        <v>4.4758139534880002</v>
      </c>
      <c r="BD278">
        <v>4.4390626441550003</v>
      </c>
      <c r="BE278">
        <v>4.5182311144350003</v>
      </c>
      <c r="BF278">
        <v>4.1863636363639998</v>
      </c>
      <c r="BG278">
        <v>4.0801708240319998</v>
      </c>
      <c r="BH278">
        <v>3.9371686628710001</v>
      </c>
      <c r="BI278">
        <v>3.84275961193</v>
      </c>
      <c r="BJ278">
        <v>3.6359149964749999</v>
      </c>
      <c r="BK278">
        <v>3.7358759942890001</v>
      </c>
      <c r="BL278">
        <v>3.5961953727510001</v>
      </c>
      <c r="BM278">
        <v>3.2709582412959999</v>
      </c>
      <c r="BN278">
        <v>3.192136936382</v>
      </c>
      <c r="BO278">
        <v>3.4259061833689999</v>
      </c>
      <c r="BP278">
        <v>3.6781326781330002</v>
      </c>
      <c r="BQ278">
        <v>4.0350273987319998</v>
      </c>
      <c r="BR278">
        <v>3.9168825561310001</v>
      </c>
      <c r="BS278">
        <v>3.890008576329</v>
      </c>
      <c r="BT278">
        <v>3.6981505944520001</v>
      </c>
      <c r="BU278">
        <v>3.8726272043129999</v>
      </c>
      <c r="BV278">
        <v>4.155100663592</v>
      </c>
      <c r="BW278">
        <v>4.4442197505900003</v>
      </c>
      <c r="BX278">
        <v>4.4224824617790004</v>
      </c>
      <c r="BY278">
        <v>4.6232892079869998</v>
      </c>
      <c r="BZ278">
        <v>5.0003387533880002</v>
      </c>
      <c r="CA278">
        <v>5.2138701950500002</v>
      </c>
      <c r="CB278">
        <v>5.3001606978879998</v>
      </c>
      <c r="CC278">
        <v>5.2398649607080001</v>
      </c>
      <c r="CD278">
        <v>5.4495008126310003</v>
      </c>
      <c r="CE278">
        <v>5.7056608214660001</v>
      </c>
      <c r="CF278">
        <v>6.3482185273159999</v>
      </c>
      <c r="CG278">
        <v>6.7722149721199996</v>
      </c>
      <c r="CH278">
        <v>6.7235571260310003</v>
      </c>
      <c r="CI278">
        <v>7.0770972354620003</v>
      </c>
      <c r="CJ278">
        <v>7.6316353249229998</v>
      </c>
      <c r="CK278">
        <v>8.1727175336270008</v>
      </c>
      <c r="CL278">
        <v>7.9116595135910002</v>
      </c>
      <c r="CM278">
        <v>7.9043563707829998</v>
      </c>
      <c r="CN278">
        <v>8.1986660314440005</v>
      </c>
      <c r="CO278">
        <v>8.6472060050039996</v>
      </c>
      <c r="CP278">
        <v>9.1688187470110005</v>
      </c>
      <c r="CQ278">
        <v>9.4600359496700008</v>
      </c>
      <c r="CR278">
        <v>9.4267120425099993</v>
      </c>
      <c r="CS278">
        <v>9.7902626214169999</v>
      </c>
      <c r="CT278">
        <v>10.220994475137999</v>
      </c>
      <c r="CU278">
        <v>10.553355866731</v>
      </c>
      <c r="CV278">
        <v>10.888188212467</v>
      </c>
      <c r="CW278">
        <v>10.818978761862001</v>
      </c>
      <c r="CX278">
        <v>10.931021942054</v>
      </c>
      <c r="CY278">
        <v>11.166626154594001</v>
      </c>
      <c r="CZ278">
        <v>11.036120974654001</v>
      </c>
      <c r="DA278">
        <v>9.9346234958440007</v>
      </c>
      <c r="DB278">
        <v>9.7945879834890004</v>
      </c>
      <c r="DC278">
        <v>9.6854677338670001</v>
      </c>
      <c r="DD278">
        <v>9.6408839779009998</v>
      </c>
      <c r="DE278">
        <v>9.4751108296390001</v>
      </c>
      <c r="DF278">
        <v>9.1809487375670003</v>
      </c>
      <c r="DG278">
        <v>9.0856547938290007</v>
      </c>
      <c r="DH278">
        <v>10.586981640775001</v>
      </c>
      <c r="DI278">
        <v>10.551773049645</v>
      </c>
      <c r="DJ278">
        <v>10.80789644013</v>
      </c>
      <c r="DK278">
        <v>11.368891769280999</v>
      </c>
      <c r="DL278">
        <v>11.323392718822999</v>
      </c>
      <c r="DM278">
        <v>11.630384016606</v>
      </c>
      <c r="DN278">
        <v>10.163424124514</v>
      </c>
      <c r="DO278">
        <v>10.293452844895</v>
      </c>
      <c r="DP278">
        <v>10.766367304438001</v>
      </c>
      <c r="DQ278">
        <v>10.742946199552</v>
      </c>
      <c r="DR278">
        <v>11.203831617360001</v>
      </c>
      <c r="DS278">
        <v>11.977119084763</v>
      </c>
      <c r="DT278">
        <v>12.364963503649999</v>
      </c>
      <c r="DU278">
        <v>13.367733507511</v>
      </c>
      <c r="DV278">
        <v>13.336374299492</v>
      </c>
      <c r="DW278">
        <v>13.893240764999</v>
      </c>
      <c r="DX278">
        <v>14.448103923370001</v>
      </c>
      <c r="DY278">
        <v>15.061957379637001</v>
      </c>
      <c r="DZ278">
        <v>15.607387862796999</v>
      </c>
      <c r="EA278">
        <v>15.547392975655001</v>
      </c>
      <c r="EB278">
        <v>16.308749669573999</v>
      </c>
      <c r="EC278">
        <v>17.238385175381001</v>
      </c>
      <c r="ED278">
        <v>17.841225626741</v>
      </c>
      <c r="EE278">
        <v>18.863823568487</v>
      </c>
      <c r="EF278">
        <v>18.813833311248999</v>
      </c>
      <c r="EG278">
        <v>20.228670304805</v>
      </c>
      <c r="EH278">
        <v>21.320453031311999</v>
      </c>
      <c r="EI278">
        <v>21.743493927666002</v>
      </c>
      <c r="EJ278">
        <v>22.282847203639001</v>
      </c>
      <c r="EK278">
        <v>22.217449306296999</v>
      </c>
      <c r="EL278">
        <v>23.275579991954</v>
      </c>
      <c r="EM278">
        <v>24.578714266540999</v>
      </c>
      <c r="EN278">
        <v>26.163553285849002</v>
      </c>
      <c r="EO278">
        <v>27.740516545601</v>
      </c>
      <c r="EP278">
        <v>27.695809830782</v>
      </c>
      <c r="EQ278">
        <v>29.709785973886</v>
      </c>
      <c r="ER278">
        <v>32.059741657696001</v>
      </c>
      <c r="ES278">
        <v>34.067016552280997</v>
      </c>
      <c r="ET278">
        <v>36.119601775863998</v>
      </c>
      <c r="EU278">
        <v>36.128107653489998</v>
      </c>
      <c r="EV278">
        <v>38.708865868425001</v>
      </c>
      <c r="EW278">
        <v>40.712172158709002</v>
      </c>
      <c r="EX278">
        <v>43.299838579499998</v>
      </c>
      <c r="EY278">
        <v>45.685786962228001</v>
      </c>
      <c r="EZ278">
        <v>45.666495657730003</v>
      </c>
      <c r="FA278">
        <v>48.422486431007997</v>
      </c>
      <c r="FB278">
        <v>51.269498217473</v>
      </c>
      <c r="FC278">
        <v>54.187295582021001</v>
      </c>
      <c r="FD278">
        <v>57.314103440556998</v>
      </c>
      <c r="FE278">
        <v>57.284099157311999</v>
      </c>
      <c r="FF278">
        <v>60.702276950154001</v>
      </c>
      <c r="FG278">
        <v>64.207317514029</v>
      </c>
      <c r="FH278">
        <v>67.786712856991997</v>
      </c>
      <c r="FI278">
        <v>71.625002495491998</v>
      </c>
      <c r="FJ278">
        <v>71.594577967600998</v>
      </c>
      <c r="FK278">
        <v>75.617176295050001</v>
      </c>
      <c r="FL278">
        <v>79.746012574337996</v>
      </c>
      <c r="FM278">
        <v>83.965589760832003</v>
      </c>
      <c r="FN278">
        <v>88.503510359009994</v>
      </c>
      <c r="FO278">
        <v>88.474340695002994</v>
      </c>
    </row>
    <row r="279" spans="1:171">
      <c r="B279" t="s">
        <v>1106</v>
      </c>
      <c r="C279" t="s">
        <v>1107</v>
      </c>
      <c r="D279" t="s">
        <v>379</v>
      </c>
    </row>
    <row r="280" spans="1:171">
      <c r="B280" t="s">
        <v>1108</v>
      </c>
      <c r="C280" t="s">
        <v>1109</v>
      </c>
      <c r="D280" t="s">
        <v>379</v>
      </c>
    </row>
    <row r="281" spans="1:171">
      <c r="B281" t="s">
        <v>1110</v>
      </c>
      <c r="C281" t="s">
        <v>1111</v>
      </c>
      <c r="D281" t="s">
        <v>379</v>
      </c>
      <c r="F281">
        <v>2307</v>
      </c>
      <c r="G281">
        <v>777</v>
      </c>
      <c r="H281">
        <v>864</v>
      </c>
      <c r="I281">
        <v>963</v>
      </c>
      <c r="J281">
        <v>954</v>
      </c>
      <c r="K281">
        <v>3558</v>
      </c>
      <c r="L281">
        <v>902</v>
      </c>
      <c r="M281">
        <v>1081</v>
      </c>
      <c r="N281">
        <v>1568</v>
      </c>
      <c r="O281">
        <v>1579</v>
      </c>
      <c r="P281">
        <v>5130</v>
      </c>
      <c r="Q281">
        <v>1131</v>
      </c>
      <c r="R281">
        <v>1663</v>
      </c>
      <c r="S281">
        <v>1927</v>
      </c>
      <c r="T281">
        <v>1923</v>
      </c>
      <c r="U281">
        <v>6644</v>
      </c>
      <c r="V281">
        <v>2261</v>
      </c>
      <c r="W281">
        <v>2891</v>
      </c>
      <c r="X281">
        <v>2387</v>
      </c>
      <c r="Y281">
        <v>3315</v>
      </c>
      <c r="Z281">
        <v>10854</v>
      </c>
      <c r="AA281">
        <v>3207</v>
      </c>
      <c r="AB281">
        <v>3243</v>
      </c>
      <c r="AC281">
        <v>3003</v>
      </c>
      <c r="AD281">
        <v>2232</v>
      </c>
      <c r="AE281">
        <v>11685</v>
      </c>
      <c r="AF281">
        <v>3027</v>
      </c>
      <c r="AG281">
        <v>3433</v>
      </c>
      <c r="AH281">
        <v>3481</v>
      </c>
      <c r="AI281">
        <v>3315</v>
      </c>
      <c r="AJ281">
        <v>13256</v>
      </c>
      <c r="AK281">
        <v>3179</v>
      </c>
      <c r="AL281">
        <v>3136</v>
      </c>
      <c r="AM281">
        <v>3446</v>
      </c>
      <c r="AN281">
        <v>3233</v>
      </c>
      <c r="AO281">
        <v>12994</v>
      </c>
      <c r="AP281">
        <v>3301</v>
      </c>
      <c r="AQ281">
        <v>2508</v>
      </c>
      <c r="AR281">
        <v>3127</v>
      </c>
      <c r="AS281">
        <v>2002</v>
      </c>
      <c r="AT281">
        <v>10938</v>
      </c>
      <c r="AU281">
        <v>3476</v>
      </c>
      <c r="AV281">
        <v>1775</v>
      </c>
      <c r="AW281">
        <v>1527</v>
      </c>
      <c r="AX281">
        <v>3442</v>
      </c>
      <c r="AY281">
        <v>10220</v>
      </c>
      <c r="AZ281">
        <v>3677</v>
      </c>
      <c r="BA281">
        <v>4857</v>
      </c>
      <c r="BB281">
        <v>3611</v>
      </c>
      <c r="BC281">
        <v>3271</v>
      </c>
      <c r="BD281">
        <v>15416</v>
      </c>
      <c r="BE281">
        <v>4280</v>
      </c>
      <c r="BF281">
        <v>4888</v>
      </c>
      <c r="BG281">
        <v>4065</v>
      </c>
      <c r="BH281">
        <v>4142</v>
      </c>
      <c r="BI281">
        <v>17375</v>
      </c>
      <c r="BJ281">
        <v>4723</v>
      </c>
      <c r="BK281">
        <v>3837</v>
      </c>
      <c r="BL281">
        <v>7034</v>
      </c>
      <c r="BM281">
        <v>4370</v>
      </c>
      <c r="BN281">
        <v>19964</v>
      </c>
      <c r="BO281">
        <v>6353</v>
      </c>
      <c r="BP281">
        <v>6962</v>
      </c>
      <c r="BQ281">
        <v>4941</v>
      </c>
      <c r="BR281">
        <v>6292</v>
      </c>
      <c r="BS281">
        <v>24548</v>
      </c>
      <c r="BT281">
        <v>6584</v>
      </c>
      <c r="BU281">
        <v>6571</v>
      </c>
      <c r="BV281">
        <v>5102</v>
      </c>
      <c r="BW281">
        <v>4668</v>
      </c>
      <c r="BX281">
        <v>22925</v>
      </c>
      <c r="BY281">
        <v>5128</v>
      </c>
      <c r="BZ281">
        <v>9128</v>
      </c>
      <c r="CA281">
        <v>5867</v>
      </c>
      <c r="CB281">
        <v>6648</v>
      </c>
      <c r="CC281">
        <v>26771</v>
      </c>
      <c r="CD281">
        <v>7810</v>
      </c>
      <c r="CE281">
        <v>8828</v>
      </c>
      <c r="CF281">
        <v>6429</v>
      </c>
      <c r="CG281">
        <v>6860</v>
      </c>
      <c r="CH281">
        <v>29927</v>
      </c>
      <c r="CI281">
        <v>7929</v>
      </c>
      <c r="CJ281">
        <v>8672</v>
      </c>
      <c r="CK281">
        <v>7140</v>
      </c>
      <c r="CL281">
        <v>989</v>
      </c>
      <c r="CM281">
        <v>24730</v>
      </c>
      <c r="CN281">
        <v>6018</v>
      </c>
      <c r="CO281">
        <v>8780</v>
      </c>
      <c r="CP281">
        <v>8665</v>
      </c>
      <c r="CQ281">
        <v>7056</v>
      </c>
      <c r="CR281">
        <v>30519</v>
      </c>
      <c r="CS281">
        <v>7288</v>
      </c>
      <c r="CT281">
        <v>9230</v>
      </c>
      <c r="CU281">
        <v>8229</v>
      </c>
      <c r="CV281">
        <v>8224</v>
      </c>
      <c r="CW281">
        <v>32971</v>
      </c>
      <c r="CX281">
        <v>7272</v>
      </c>
      <c r="CY281">
        <v>9297</v>
      </c>
      <c r="CZ281">
        <v>8109</v>
      </c>
      <c r="DA281">
        <v>-560</v>
      </c>
      <c r="DB281">
        <v>24118</v>
      </c>
      <c r="DC281">
        <v>7254</v>
      </c>
      <c r="DD281">
        <v>7570</v>
      </c>
      <c r="DE281">
        <v>6990</v>
      </c>
      <c r="DF281">
        <v>4990</v>
      </c>
      <c r="DG281">
        <v>26804</v>
      </c>
      <c r="DH281">
        <v>8531</v>
      </c>
      <c r="DI281">
        <v>10071</v>
      </c>
      <c r="DJ281">
        <v>9176</v>
      </c>
      <c r="DK281">
        <v>10025</v>
      </c>
      <c r="DL281">
        <v>37803</v>
      </c>
      <c r="DM281">
        <v>10207</v>
      </c>
      <c r="DN281">
        <v>11215</v>
      </c>
      <c r="DO281">
        <v>11002</v>
      </c>
      <c r="DP281">
        <v>12895</v>
      </c>
      <c r="DQ281">
        <v>45319</v>
      </c>
      <c r="DR281">
        <v>12792</v>
      </c>
      <c r="DS281">
        <v>13253</v>
      </c>
      <c r="DT281">
        <v>13267</v>
      </c>
      <c r="DU281">
        <v>15329</v>
      </c>
      <c r="DV281">
        <v>54641</v>
      </c>
      <c r="DW281">
        <v>15657</v>
      </c>
      <c r="DX281">
        <v>17094</v>
      </c>
      <c r="DY281">
        <v>16093</v>
      </c>
      <c r="DZ281">
        <v>16911</v>
      </c>
      <c r="EA281">
        <v>65755</v>
      </c>
      <c r="EB281">
        <v>18521</v>
      </c>
      <c r="EC281">
        <v>20658</v>
      </c>
      <c r="ED281">
        <v>19984</v>
      </c>
      <c r="EE281">
        <v>22439</v>
      </c>
      <c r="EF281">
        <v>81602</v>
      </c>
      <c r="EG281">
        <v>23450</v>
      </c>
      <c r="EH281">
        <v>25743</v>
      </c>
      <c r="EI281">
        <v>24137</v>
      </c>
      <c r="EJ281">
        <v>24513</v>
      </c>
      <c r="EK281">
        <v>97843</v>
      </c>
      <c r="EL281">
        <v>24308</v>
      </c>
      <c r="EM281">
        <v>24047</v>
      </c>
      <c r="EN281">
        <v>25901</v>
      </c>
      <c r="EO281">
        <v>28128</v>
      </c>
      <c r="EP281">
        <v>102384</v>
      </c>
      <c r="EQ281">
        <v>30816</v>
      </c>
      <c r="ER281">
        <v>32991</v>
      </c>
      <c r="ES281">
        <v>33608</v>
      </c>
      <c r="ET281">
        <v>34305</v>
      </c>
      <c r="EU281">
        <v>131720</v>
      </c>
      <c r="EV281">
        <v>37935</v>
      </c>
      <c r="EW281">
        <v>38480</v>
      </c>
      <c r="EX281">
        <v>40740</v>
      </c>
      <c r="EY281">
        <v>40667.3116439804</v>
      </c>
      <c r="EZ281">
        <v>157822.31164398001</v>
      </c>
      <c r="FA281">
        <v>44663.920011985101</v>
      </c>
      <c r="FB281">
        <v>46556.833454829597</v>
      </c>
      <c r="FC281">
        <v>47524.179263029298</v>
      </c>
      <c r="FD281">
        <v>49586.594749577896</v>
      </c>
      <c r="FE281">
        <v>188331.52747942199</v>
      </c>
      <c r="FF281">
        <v>51702.565727499801</v>
      </c>
      <c r="FG281">
        <v>53771.265327191897</v>
      </c>
      <c r="FH281">
        <v>54819.881114591197</v>
      </c>
      <c r="FI281">
        <v>57254.125129283799</v>
      </c>
      <c r="FJ281">
        <v>217547.837298567</v>
      </c>
      <c r="FK281">
        <v>59529.035381863898</v>
      </c>
      <c r="FL281">
        <v>61789.950867164698</v>
      </c>
      <c r="FM281">
        <v>62924.128680567301</v>
      </c>
      <c r="FN281">
        <v>65802.853803893202</v>
      </c>
      <c r="FO281">
        <v>250045.96873348899</v>
      </c>
    </row>
    <row r="282" spans="1:171">
      <c r="B282" t="s">
        <v>1112</v>
      </c>
      <c r="C282" t="s">
        <v>369</v>
      </c>
      <c r="D282" t="s">
        <v>379</v>
      </c>
      <c r="F282">
        <v>2.3173843700160002</v>
      </c>
      <c r="G282">
        <v>0.77968749999999998</v>
      </c>
      <c r="H282">
        <v>0.90125391849500003</v>
      </c>
      <c r="I282">
        <v>0.879499217527</v>
      </c>
      <c r="J282">
        <v>0.86666666666699999</v>
      </c>
      <c r="K282">
        <v>3.4270101483220001</v>
      </c>
      <c r="L282">
        <v>0.47230769230800002</v>
      </c>
      <c r="M282">
        <v>0.56999999999999995</v>
      </c>
      <c r="N282">
        <v>0.40076923076900001</v>
      </c>
      <c r="O282">
        <v>0.39886792452800002</v>
      </c>
      <c r="P282">
        <v>1.76</v>
      </c>
      <c r="Q282">
        <v>0.49477611940299998</v>
      </c>
      <c r="R282">
        <v>0.84552238806000002</v>
      </c>
      <c r="S282">
        <v>0.49518518518499999</v>
      </c>
      <c r="T282">
        <v>0.48464285714299998</v>
      </c>
      <c r="U282">
        <v>2.1955990220050001</v>
      </c>
      <c r="V282">
        <v>0.62333333333300001</v>
      </c>
      <c r="W282">
        <v>0.73444444444400003</v>
      </c>
      <c r="X282">
        <v>0.34854545454500002</v>
      </c>
      <c r="Y282">
        <v>0.39884078971199999</v>
      </c>
      <c r="Z282">
        <v>1.896352231898</v>
      </c>
      <c r="AA282">
        <v>0.39836363636400002</v>
      </c>
      <c r="AB282">
        <v>0.44290909090899999</v>
      </c>
      <c r="AC282">
        <v>0.433636363636</v>
      </c>
      <c r="AD282">
        <v>0.435073144302</v>
      </c>
      <c r="AE282">
        <v>1.710033126106</v>
      </c>
      <c r="AF282">
        <v>0.39697678603600001</v>
      </c>
      <c r="AG282">
        <v>0.471095152603</v>
      </c>
      <c r="AH282">
        <v>0.440589609923</v>
      </c>
      <c r="AI282">
        <v>1.1623748212000001E-2</v>
      </c>
      <c r="AJ282">
        <v>1.3187326092809999</v>
      </c>
      <c r="AK282">
        <v>0.23046524160199999</v>
      </c>
      <c r="AL282">
        <v>0.41090712743000002</v>
      </c>
      <c r="AM282">
        <v>0.492092020129</v>
      </c>
      <c r="AN282">
        <v>0.27576853526200001</v>
      </c>
      <c r="AO282">
        <v>1.409551244542</v>
      </c>
      <c r="AP282">
        <v>0.186682520809</v>
      </c>
      <c r="AQ282">
        <v>0.171952793657</v>
      </c>
      <c r="AR282">
        <v>0.197656177909</v>
      </c>
      <c r="AS282">
        <v>0.13653102559399999</v>
      </c>
      <c r="AT282">
        <v>0.69285615713699999</v>
      </c>
      <c r="AU282">
        <v>0.24014699127200001</v>
      </c>
      <c r="AV282">
        <v>0.14212313056199999</v>
      </c>
      <c r="AW282">
        <v>0.121131171702</v>
      </c>
      <c r="AX282">
        <v>0.247606774669</v>
      </c>
      <c r="AY282">
        <v>0.75101140124999999</v>
      </c>
      <c r="AZ282">
        <v>0.23150183150199999</v>
      </c>
      <c r="BA282">
        <v>0.316082511866</v>
      </c>
      <c r="BB282">
        <v>0.23447077120099999</v>
      </c>
      <c r="BC282">
        <v>0.34199094186200002</v>
      </c>
      <c r="BD282">
        <v>1.1235501765</v>
      </c>
      <c r="BE282">
        <v>0.29158930560700003</v>
      </c>
      <c r="BF282">
        <v>0.34339161496499998</v>
      </c>
      <c r="BG282">
        <v>0.28583773403700002</v>
      </c>
      <c r="BH282">
        <v>0.27576791808899997</v>
      </c>
      <c r="BI282">
        <v>1.197623574144</v>
      </c>
      <c r="BJ282">
        <v>0.34745300000000001</v>
      </c>
      <c r="BK282">
        <v>0.26413199999999998</v>
      </c>
      <c r="BL282">
        <v>0.49949300344800002</v>
      </c>
      <c r="BM282">
        <v>0.31427979703800002</v>
      </c>
      <c r="BN282">
        <v>1.4253502571509999</v>
      </c>
      <c r="BO282">
        <v>0.45085672238000002</v>
      </c>
      <c r="BP282">
        <v>0.49531726823099997</v>
      </c>
      <c r="BQ282">
        <v>0.465422146797</v>
      </c>
      <c r="BR282">
        <v>0.45810234541599998</v>
      </c>
      <c r="BS282">
        <v>1.869818104907</v>
      </c>
      <c r="BT282">
        <v>0.47620603288699997</v>
      </c>
      <c r="BU282">
        <v>0.46825218756999998</v>
      </c>
      <c r="BV282">
        <v>0.33434411500400002</v>
      </c>
      <c r="BW282">
        <v>0.34106182795700002</v>
      </c>
      <c r="BX282">
        <v>1.6219766762229999</v>
      </c>
      <c r="BY282">
        <v>0.39786262941099998</v>
      </c>
      <c r="BZ282">
        <v>0.744274382751</v>
      </c>
      <c r="CA282">
        <v>0.45132942767000001</v>
      </c>
      <c r="CB282">
        <v>0.51218682688999995</v>
      </c>
      <c r="CC282">
        <v>2.1060312649099999</v>
      </c>
      <c r="CD282">
        <v>0.62219666475000002</v>
      </c>
      <c r="CE282">
        <v>0.77409568261399997</v>
      </c>
      <c r="CF282">
        <v>0.61480611045800004</v>
      </c>
      <c r="CG282">
        <v>0.68935570942400004</v>
      </c>
      <c r="CH282">
        <v>2.7000233263350002</v>
      </c>
      <c r="CI282">
        <v>0.67585394581900005</v>
      </c>
      <c r="CJ282">
        <v>0.78251624335500003</v>
      </c>
      <c r="CK282">
        <v>0.60108260767199995</v>
      </c>
      <c r="CL282">
        <v>-5.8655221745E-2</v>
      </c>
      <c r="CM282">
        <v>2.0067964894650001</v>
      </c>
      <c r="CN282">
        <v>0.52578290557999996</v>
      </c>
      <c r="CO282">
        <v>0.75521080056800005</v>
      </c>
      <c r="CP282">
        <v>0.718353304069</v>
      </c>
      <c r="CQ282">
        <v>0.58813077469800001</v>
      </c>
      <c r="CR282">
        <v>2.5866485255409999</v>
      </c>
      <c r="CS282">
        <v>0.62176903011600004</v>
      </c>
      <c r="CT282">
        <v>0.78117927337699999</v>
      </c>
      <c r="CU282">
        <v>0.67646707302499998</v>
      </c>
      <c r="CV282">
        <v>0.55266626722599999</v>
      </c>
      <c r="CW282">
        <v>2.6324796517690001</v>
      </c>
      <c r="CX282">
        <v>0.54364746736900005</v>
      </c>
      <c r="CY282">
        <v>0.70664095456200005</v>
      </c>
      <c r="CZ282">
        <v>0.60519606652900004</v>
      </c>
      <c r="DA282">
        <v>-0.39635280982499999</v>
      </c>
      <c r="DB282">
        <v>1.4803618041640001</v>
      </c>
      <c r="DC282">
        <v>0.57277460947199998</v>
      </c>
      <c r="DD282">
        <v>0.622571001495</v>
      </c>
      <c r="DE282">
        <v>0.47038196618700001</v>
      </c>
      <c r="DF282">
        <v>0.39374448227999997</v>
      </c>
      <c r="DG282">
        <v>2.061484628843</v>
      </c>
      <c r="DH282">
        <v>0.71952767902500003</v>
      </c>
      <c r="DI282">
        <v>0.80038314176199998</v>
      </c>
      <c r="DJ282">
        <v>0.70216306156399999</v>
      </c>
      <c r="DK282">
        <v>1.03369203177</v>
      </c>
      <c r="DL282">
        <v>3.2547805267359999</v>
      </c>
      <c r="DM282">
        <v>0.84318502372100002</v>
      </c>
      <c r="DN282">
        <v>-0.81738002594000003</v>
      </c>
      <c r="DO282">
        <v>0.95252758532199999</v>
      </c>
      <c r="DP282">
        <v>1.1412218649520001</v>
      </c>
      <c r="DQ282">
        <v>2.1328270802499998</v>
      </c>
      <c r="DR282">
        <v>1.1362348699460001</v>
      </c>
      <c r="DS282">
        <v>1.083934088568</v>
      </c>
      <c r="DT282">
        <v>1.137525826446</v>
      </c>
      <c r="DU282">
        <v>1.7059508408799999</v>
      </c>
      <c r="DV282">
        <v>5.061919504644</v>
      </c>
      <c r="DW282">
        <v>1.3849546044100001</v>
      </c>
      <c r="DX282">
        <v>1.5146274866730001</v>
      </c>
      <c r="DY282">
        <v>1.400912052117</v>
      </c>
      <c r="DZ282">
        <v>1.4643137254900001</v>
      </c>
      <c r="EA282">
        <v>5.7646293041719998</v>
      </c>
      <c r="EB282">
        <v>1.8191698310860001</v>
      </c>
      <c r="EC282">
        <v>2.0303308823530002</v>
      </c>
      <c r="ED282">
        <v>2.0346189285239999</v>
      </c>
      <c r="EE282">
        <v>2.1709537000400001</v>
      </c>
      <c r="EF282">
        <v>8.0534963196639993</v>
      </c>
      <c r="EG282">
        <v>2.709792520153</v>
      </c>
      <c r="EH282">
        <v>2.4837855724689999</v>
      </c>
      <c r="EI282">
        <v>2.2203344836740002</v>
      </c>
      <c r="EJ282">
        <v>2.2302158273380002</v>
      </c>
      <c r="EK282">
        <v>9.6469496021219996</v>
      </c>
      <c r="EL282">
        <v>2.3454909819640002</v>
      </c>
      <c r="EM282">
        <v>2.1979124849459999</v>
      </c>
      <c r="EN282">
        <v>2.4516345123260002</v>
      </c>
      <c r="EO282">
        <v>2.6892995848400001</v>
      </c>
      <c r="EP282">
        <v>9.6842880085649998</v>
      </c>
      <c r="EQ282">
        <v>2.9872688287320002</v>
      </c>
      <c r="ER282">
        <v>2.9284949116229999</v>
      </c>
      <c r="ES282">
        <v>2.9361616702359998</v>
      </c>
      <c r="ET282">
        <v>2.9491434689510001</v>
      </c>
      <c r="EU282">
        <v>11.801030996853999</v>
      </c>
      <c r="EV282">
        <v>3.3021419009369999</v>
      </c>
      <c r="EW282">
        <v>3.2281735404390002</v>
      </c>
      <c r="EX282">
        <v>3.4611982308</v>
      </c>
      <c r="EY282">
        <v>3.3943565741350001</v>
      </c>
      <c r="EZ282">
        <v>13.385717534402</v>
      </c>
      <c r="FA282">
        <v>3.6975586000430001</v>
      </c>
      <c r="FB282">
        <v>3.8710824037260001</v>
      </c>
      <c r="FC282">
        <v>3.9396483444579999</v>
      </c>
      <c r="FD282">
        <v>4.1195645478599996</v>
      </c>
      <c r="FE282">
        <v>15.627618345211999</v>
      </c>
      <c r="FF282">
        <v>4.4049452766039998</v>
      </c>
      <c r="FG282">
        <v>4.5926036821789999</v>
      </c>
      <c r="FH282">
        <v>4.6640367349040002</v>
      </c>
      <c r="FI282">
        <v>4.8896487117070002</v>
      </c>
      <c r="FJ282">
        <v>18.551015543636002</v>
      </c>
      <c r="FK282">
        <v>5.0748589428250002</v>
      </c>
      <c r="FL282">
        <v>5.2909188566519996</v>
      </c>
      <c r="FM282">
        <v>5.3780920734480002</v>
      </c>
      <c r="FN282">
        <v>5.6587360388560004</v>
      </c>
      <c r="FO282">
        <v>21.402400516115001</v>
      </c>
    </row>
    <row r="283" spans="1:171">
      <c r="B283" t="s">
        <v>1113</v>
      </c>
      <c r="C283" t="s">
        <v>1114</v>
      </c>
      <c r="D283" t="s">
        <v>379</v>
      </c>
    </row>
    <row r="284" spans="1:171">
      <c r="B284" t="s">
        <v>1115</v>
      </c>
      <c r="C284" t="s">
        <v>1116</v>
      </c>
      <c r="D284" t="s">
        <v>379</v>
      </c>
    </row>
    <row r="285" spans="1:171">
      <c r="B285" t="s">
        <v>1117</v>
      </c>
      <c r="C285" t="s">
        <v>1118</v>
      </c>
      <c r="D285" t="s">
        <v>379</v>
      </c>
    </row>
    <row r="286" spans="1:171">
      <c r="B286" t="s">
        <v>1119</v>
      </c>
      <c r="C286" t="s">
        <v>1120</v>
      </c>
      <c r="D286" t="s">
        <v>379</v>
      </c>
      <c r="F286">
        <v>-4750</v>
      </c>
      <c r="G286">
        <v>-5064</v>
      </c>
      <c r="H286">
        <v>-6017</v>
      </c>
      <c r="I286">
        <v>-6770</v>
      </c>
      <c r="J286">
        <v>-6940</v>
      </c>
      <c r="K286">
        <v>-6940</v>
      </c>
      <c r="L286">
        <v>-7098</v>
      </c>
      <c r="M286">
        <v>-9160</v>
      </c>
      <c r="N286">
        <v>-9086</v>
      </c>
      <c r="O286">
        <v>-8966</v>
      </c>
      <c r="P286">
        <v>-8966</v>
      </c>
      <c r="Q286">
        <v>-9634</v>
      </c>
      <c r="R286">
        <v>-10105</v>
      </c>
      <c r="S286">
        <v>-12322</v>
      </c>
      <c r="T286">
        <v>-13927</v>
      </c>
      <c r="U286">
        <v>-13927</v>
      </c>
      <c r="V286">
        <v>-17242</v>
      </c>
      <c r="W286">
        <v>-19237</v>
      </c>
      <c r="X286">
        <v>-21761</v>
      </c>
      <c r="Y286">
        <v>-17236</v>
      </c>
      <c r="Z286">
        <v>-17236</v>
      </c>
      <c r="AA286">
        <v>-18902</v>
      </c>
      <c r="AB286">
        <v>-17843</v>
      </c>
      <c r="AC286">
        <v>-21205</v>
      </c>
      <c r="AD286">
        <v>-23798</v>
      </c>
      <c r="AE286">
        <v>-23798</v>
      </c>
      <c r="AF286">
        <v>-24711</v>
      </c>
      <c r="AG286">
        <v>-26889</v>
      </c>
      <c r="AH286">
        <v>-30018</v>
      </c>
      <c r="AI286">
        <v>-31600</v>
      </c>
      <c r="AJ286">
        <v>-31600</v>
      </c>
      <c r="AK286">
        <v>-36163</v>
      </c>
      <c r="AL286">
        <v>-38229</v>
      </c>
      <c r="AM286">
        <v>-38693</v>
      </c>
      <c r="AN286">
        <v>-38652</v>
      </c>
      <c r="AO286">
        <v>-38652</v>
      </c>
      <c r="AP286">
        <v>-40475</v>
      </c>
      <c r="AQ286">
        <v>-43424</v>
      </c>
      <c r="AR286">
        <v>-46178</v>
      </c>
      <c r="AS286">
        <v>-49048</v>
      </c>
      <c r="AT286">
        <v>-49048</v>
      </c>
      <c r="AU286">
        <v>-51622</v>
      </c>
      <c r="AV286">
        <v>-52777</v>
      </c>
      <c r="AW286">
        <v>-56407</v>
      </c>
      <c r="AX286">
        <v>-60592</v>
      </c>
      <c r="AY286">
        <v>-60592</v>
      </c>
      <c r="AZ286">
        <v>-64415</v>
      </c>
      <c r="BA286">
        <v>-34504</v>
      </c>
      <c r="BB286">
        <v>-37594</v>
      </c>
      <c r="BC286">
        <v>-37751</v>
      </c>
      <c r="BD286">
        <v>-37751</v>
      </c>
      <c r="BE286">
        <v>-40056</v>
      </c>
      <c r="BF286">
        <v>-34701</v>
      </c>
      <c r="BG286">
        <v>-34816</v>
      </c>
      <c r="BH286">
        <v>-34161</v>
      </c>
      <c r="BI286">
        <v>-34161</v>
      </c>
      <c r="BJ286">
        <v>-31832</v>
      </c>
      <c r="BK286">
        <v>-28873</v>
      </c>
      <c r="BL286">
        <v>-28236</v>
      </c>
      <c r="BM286">
        <v>-23411</v>
      </c>
      <c r="BN286">
        <v>-23411</v>
      </c>
      <c r="BO286">
        <v>-21574</v>
      </c>
      <c r="BP286">
        <v>-21076</v>
      </c>
      <c r="BQ286">
        <v>-26341</v>
      </c>
      <c r="BR286">
        <v>-23662</v>
      </c>
      <c r="BS286">
        <v>-23662</v>
      </c>
      <c r="BT286">
        <v>-18747</v>
      </c>
      <c r="BU286">
        <v>-18715</v>
      </c>
      <c r="BV286">
        <v>-23341</v>
      </c>
      <c r="BW286">
        <v>-25701</v>
      </c>
      <c r="BX286">
        <v>-25701</v>
      </c>
      <c r="BY286">
        <v>-30732</v>
      </c>
      <c r="BZ286">
        <v>-30104</v>
      </c>
      <c r="CA286">
        <v>-33671</v>
      </c>
      <c r="CB286">
        <v>-30849</v>
      </c>
      <c r="CC286">
        <v>-30849</v>
      </c>
      <c r="CD286">
        <v>-33508</v>
      </c>
      <c r="CE286">
        <v>-31581</v>
      </c>
      <c r="CF286">
        <v>-38235</v>
      </c>
      <c r="CG286">
        <v>-40851</v>
      </c>
      <c r="CH286">
        <v>-40851</v>
      </c>
      <c r="CI286">
        <v>-45476</v>
      </c>
      <c r="CJ286">
        <v>-39804</v>
      </c>
      <c r="CK286">
        <v>-47591</v>
      </c>
      <c r="CL286">
        <v>-51096</v>
      </c>
      <c r="CM286">
        <v>-51096</v>
      </c>
      <c r="CN286">
        <v>-54694</v>
      </c>
      <c r="CO286">
        <v>-54124</v>
      </c>
      <c r="CP286">
        <v>-60288</v>
      </c>
      <c r="CQ286">
        <v>-61422</v>
      </c>
      <c r="CR286">
        <v>-61422</v>
      </c>
      <c r="CS286">
        <v>-64740</v>
      </c>
      <c r="CT286">
        <v>-60968</v>
      </c>
      <c r="CU286">
        <v>-65746</v>
      </c>
      <c r="CV286">
        <v>-63064</v>
      </c>
      <c r="CW286">
        <v>-63064</v>
      </c>
      <c r="CX286">
        <v>-65473</v>
      </c>
      <c r="CY286">
        <v>-61941</v>
      </c>
      <c r="CZ286">
        <v>-63570</v>
      </c>
      <c r="DA286">
        <v>-61234</v>
      </c>
      <c r="DB286">
        <v>-61234</v>
      </c>
      <c r="DC286">
        <v>-60788</v>
      </c>
      <c r="DD286">
        <v>-58211</v>
      </c>
      <c r="DE286">
        <v>-59158</v>
      </c>
      <c r="DF286">
        <v>-59553</v>
      </c>
      <c r="DG286">
        <v>-59553</v>
      </c>
      <c r="DH286">
        <v>-62242</v>
      </c>
      <c r="DI286">
        <v>-37811</v>
      </c>
      <c r="DJ286">
        <v>-42010</v>
      </c>
      <c r="DK286">
        <v>-46787</v>
      </c>
      <c r="DL286">
        <v>-46787</v>
      </c>
      <c r="DM286">
        <v>-52996</v>
      </c>
      <c r="DN286">
        <v>-53520</v>
      </c>
      <c r="DO286">
        <v>-55113</v>
      </c>
      <c r="DP286">
        <v>-57528</v>
      </c>
      <c r="DQ286">
        <v>-57528</v>
      </c>
      <c r="DR286">
        <v>-59650</v>
      </c>
      <c r="DS286">
        <v>-54493</v>
      </c>
      <c r="DT286">
        <v>-58518</v>
      </c>
      <c r="DU286">
        <v>-61641</v>
      </c>
      <c r="DV286">
        <v>-61641</v>
      </c>
      <c r="DW286">
        <v>-67141</v>
      </c>
      <c r="DX286">
        <v>-64645</v>
      </c>
      <c r="DY286">
        <v>-71016</v>
      </c>
      <c r="DZ286">
        <v>-73200</v>
      </c>
      <c r="EA286">
        <v>-73200</v>
      </c>
      <c r="EB286">
        <v>-74425</v>
      </c>
      <c r="EC286">
        <v>-71445</v>
      </c>
      <c r="ED286">
        <v>-67349</v>
      </c>
      <c r="EE286">
        <v>-72188</v>
      </c>
      <c r="EF286">
        <v>-72188</v>
      </c>
      <c r="EG286">
        <v>-77327</v>
      </c>
      <c r="EH286">
        <v>-72111</v>
      </c>
      <c r="EI286">
        <v>-54767</v>
      </c>
      <c r="EJ286">
        <v>-54976</v>
      </c>
      <c r="EK286">
        <v>-54976</v>
      </c>
      <c r="EL286">
        <v>-58640</v>
      </c>
      <c r="EM286">
        <v>-51392</v>
      </c>
      <c r="EN286">
        <v>-56217</v>
      </c>
      <c r="EO286">
        <v>-64025</v>
      </c>
      <c r="EP286">
        <v>-64025</v>
      </c>
      <c r="EQ286">
        <v>-72449</v>
      </c>
      <c r="ER286">
        <v>-6798</v>
      </c>
      <c r="ES286">
        <v>-14579</v>
      </c>
      <c r="ET286">
        <v>-23913</v>
      </c>
      <c r="EU286">
        <v>-23913</v>
      </c>
      <c r="EV286">
        <v>-33311</v>
      </c>
      <c r="EW286">
        <v>-26585</v>
      </c>
      <c r="EX286">
        <v>-36737</v>
      </c>
      <c r="EY286">
        <v>-49221.044233978202</v>
      </c>
      <c r="EZ286">
        <v>-49221.044233978202</v>
      </c>
      <c r="FA286">
        <v>-58856.624224303399</v>
      </c>
      <c r="FB286">
        <v>-55112.883349047297</v>
      </c>
      <c r="FC286">
        <v>-66555.694585279198</v>
      </c>
      <c r="FD286">
        <v>-82452.9591491436</v>
      </c>
      <c r="FE286">
        <v>-82452.9591491436</v>
      </c>
      <c r="FF286">
        <v>-99694.580906133298</v>
      </c>
      <c r="FG286">
        <v>-98915.091081929495</v>
      </c>
      <c r="FH286">
        <v>-115859.401316797</v>
      </c>
      <c r="FI286">
        <v>-137825.77630831001</v>
      </c>
      <c r="FJ286">
        <v>-137825.77630831001</v>
      </c>
      <c r="FK286">
        <v>-163578.53133365099</v>
      </c>
      <c r="FL286">
        <v>-165584.451158146</v>
      </c>
      <c r="FM286">
        <v>-188614.70854580801</v>
      </c>
      <c r="FN286">
        <v>-216507.79717846101</v>
      </c>
      <c r="FO286">
        <v>-216507.79717846101</v>
      </c>
    </row>
    <row r="287" spans="1:171">
      <c r="B287" t="s">
        <v>1121</v>
      </c>
      <c r="C287" t="s">
        <v>1122</v>
      </c>
      <c r="D287" t="s">
        <v>379</v>
      </c>
      <c r="F287">
        <v>-4750</v>
      </c>
      <c r="G287">
        <v>-5064</v>
      </c>
      <c r="H287">
        <v>-6017</v>
      </c>
      <c r="I287">
        <v>-6770</v>
      </c>
      <c r="J287">
        <v>-6940</v>
      </c>
      <c r="K287">
        <v>-6940</v>
      </c>
      <c r="L287">
        <v>-7098</v>
      </c>
      <c r="M287">
        <v>-9160</v>
      </c>
      <c r="N287">
        <v>-9086</v>
      </c>
      <c r="O287">
        <v>-8966</v>
      </c>
      <c r="P287">
        <v>-8966</v>
      </c>
      <c r="Q287">
        <v>-9634</v>
      </c>
      <c r="R287">
        <v>-10105</v>
      </c>
      <c r="S287">
        <v>-12322</v>
      </c>
      <c r="T287">
        <v>-13927</v>
      </c>
      <c r="U287">
        <v>-13927</v>
      </c>
      <c r="V287">
        <v>-17242</v>
      </c>
      <c r="W287">
        <v>-19237</v>
      </c>
      <c r="X287">
        <v>-21761</v>
      </c>
      <c r="Y287">
        <v>-17236</v>
      </c>
      <c r="Z287">
        <v>-17236</v>
      </c>
      <c r="AA287">
        <v>-18902</v>
      </c>
      <c r="AB287">
        <v>-17843</v>
      </c>
      <c r="AC287">
        <v>-21205</v>
      </c>
      <c r="AD287">
        <v>-23798</v>
      </c>
      <c r="AE287">
        <v>-23798</v>
      </c>
      <c r="AF287">
        <v>-24711</v>
      </c>
      <c r="AG287">
        <v>-26889</v>
      </c>
      <c r="AH287">
        <v>-30018</v>
      </c>
      <c r="AI287">
        <v>-31600</v>
      </c>
      <c r="AJ287">
        <v>-31600</v>
      </c>
      <c r="AK287">
        <v>-36163</v>
      </c>
      <c r="AL287">
        <v>-38229</v>
      </c>
      <c r="AM287">
        <v>-38693</v>
      </c>
      <c r="AN287">
        <v>-38652</v>
      </c>
      <c r="AO287">
        <v>-38652</v>
      </c>
      <c r="AP287">
        <v>-40475</v>
      </c>
      <c r="AQ287">
        <v>-43424</v>
      </c>
      <c r="AR287">
        <v>-46178</v>
      </c>
      <c r="AS287">
        <v>-49048</v>
      </c>
      <c r="AT287">
        <v>-49048</v>
      </c>
      <c r="AU287">
        <v>-51622</v>
      </c>
      <c r="AV287">
        <v>-52777</v>
      </c>
      <c r="AW287">
        <v>-56407</v>
      </c>
      <c r="AX287">
        <v>-60592</v>
      </c>
      <c r="AY287">
        <v>-60592</v>
      </c>
      <c r="AZ287">
        <v>-64415</v>
      </c>
      <c r="BA287">
        <v>-34504</v>
      </c>
      <c r="BB287">
        <v>-37594</v>
      </c>
      <c r="BC287">
        <v>-37751</v>
      </c>
      <c r="BD287">
        <v>-37751</v>
      </c>
      <c r="BE287">
        <v>-40056</v>
      </c>
      <c r="BF287">
        <v>-34701</v>
      </c>
      <c r="BG287">
        <v>-34816</v>
      </c>
      <c r="BH287">
        <v>-34161</v>
      </c>
      <c r="BI287">
        <v>-34161</v>
      </c>
      <c r="BJ287">
        <v>-31832</v>
      </c>
      <c r="BK287">
        <v>-28873</v>
      </c>
      <c r="BL287">
        <v>-28236</v>
      </c>
      <c r="BM287">
        <v>-23411</v>
      </c>
      <c r="BN287">
        <v>-23411</v>
      </c>
      <c r="BO287">
        <v>-21574</v>
      </c>
      <c r="BP287">
        <v>-21076</v>
      </c>
      <c r="BQ287">
        <v>-26341</v>
      </c>
      <c r="BR287">
        <v>-23662</v>
      </c>
      <c r="BS287">
        <v>-23662</v>
      </c>
      <c r="BT287">
        <v>-18747</v>
      </c>
      <c r="BU287">
        <v>-18715</v>
      </c>
      <c r="BV287">
        <v>-23341</v>
      </c>
      <c r="BW287">
        <v>-25701</v>
      </c>
      <c r="BX287">
        <v>-25701</v>
      </c>
      <c r="BY287">
        <v>-30732</v>
      </c>
      <c r="BZ287">
        <v>-30104</v>
      </c>
      <c r="CA287">
        <v>-33671</v>
      </c>
      <c r="CB287">
        <v>-30849</v>
      </c>
      <c r="CC287">
        <v>-30849</v>
      </c>
      <c r="CD287">
        <v>-33508</v>
      </c>
      <c r="CE287">
        <v>-31581</v>
      </c>
      <c r="CF287">
        <v>-38235</v>
      </c>
      <c r="CG287">
        <v>-40851</v>
      </c>
      <c r="CH287">
        <v>-40851</v>
      </c>
      <c r="CI287">
        <v>-45476</v>
      </c>
      <c r="CJ287">
        <v>-39804</v>
      </c>
      <c r="CK287">
        <v>-47591</v>
      </c>
      <c r="CL287">
        <v>-51096</v>
      </c>
      <c r="CM287">
        <v>-51096</v>
      </c>
      <c r="CN287">
        <v>-54694</v>
      </c>
      <c r="CO287">
        <v>-54124</v>
      </c>
      <c r="CP287">
        <v>-60288</v>
      </c>
      <c r="CQ287">
        <v>-61422</v>
      </c>
      <c r="CR287">
        <v>-61422</v>
      </c>
      <c r="CS287">
        <v>-64740</v>
      </c>
      <c r="CT287">
        <v>-60968</v>
      </c>
      <c r="CU287">
        <v>-65746</v>
      </c>
      <c r="CV287">
        <v>-63064</v>
      </c>
      <c r="CW287">
        <v>-63064</v>
      </c>
      <c r="CX287">
        <v>-65473</v>
      </c>
      <c r="CY287">
        <v>-61941</v>
      </c>
      <c r="CZ287">
        <v>-63570</v>
      </c>
      <c r="DA287">
        <v>-61234</v>
      </c>
      <c r="DB287">
        <v>-61234</v>
      </c>
      <c r="DC287">
        <v>-60788</v>
      </c>
      <c r="DD287">
        <v>-58211</v>
      </c>
      <c r="DE287">
        <v>-59158</v>
      </c>
      <c r="DF287">
        <v>-59553</v>
      </c>
      <c r="DG287">
        <v>-59553</v>
      </c>
      <c r="DH287">
        <v>-62242</v>
      </c>
      <c r="DI287">
        <v>-37811</v>
      </c>
      <c r="DJ287">
        <v>-42010</v>
      </c>
      <c r="DK287">
        <v>-46787</v>
      </c>
      <c r="DL287">
        <v>-46787</v>
      </c>
      <c r="DM287">
        <v>-52996</v>
      </c>
      <c r="DN287">
        <v>-53520</v>
      </c>
      <c r="DO287">
        <v>-55113</v>
      </c>
      <c r="DP287">
        <v>-57528</v>
      </c>
      <c r="DQ287">
        <v>-57528</v>
      </c>
      <c r="DR287">
        <v>-59650</v>
      </c>
      <c r="DS287">
        <v>-54493</v>
      </c>
      <c r="DT287">
        <v>-58518</v>
      </c>
      <c r="DU287">
        <v>-61641</v>
      </c>
      <c r="DV287">
        <v>-61641</v>
      </c>
      <c r="DW287">
        <v>-67141</v>
      </c>
      <c r="DX287">
        <v>-64645</v>
      </c>
      <c r="DY287">
        <v>-71016</v>
      </c>
      <c r="DZ287">
        <v>-73200</v>
      </c>
      <c r="EA287">
        <v>-73200</v>
      </c>
      <c r="EB287">
        <v>-74425</v>
      </c>
      <c r="EC287">
        <v>-71445</v>
      </c>
      <c r="ED287">
        <v>-67349</v>
      </c>
      <c r="EE287">
        <v>-72188</v>
      </c>
      <c r="EF287">
        <v>-72188</v>
      </c>
      <c r="EG287">
        <v>-77327</v>
      </c>
      <c r="EH287">
        <v>-72111</v>
      </c>
      <c r="EI287">
        <v>-54767</v>
      </c>
      <c r="EJ287">
        <v>-54976</v>
      </c>
      <c r="EK287">
        <v>-54976</v>
      </c>
      <c r="EL287">
        <v>-58640</v>
      </c>
      <c r="EM287">
        <v>-51392</v>
      </c>
      <c r="EN287">
        <v>-56217</v>
      </c>
      <c r="EO287">
        <v>-64025</v>
      </c>
      <c r="EP287">
        <v>-64025</v>
      </c>
      <c r="EQ287">
        <v>-72449</v>
      </c>
      <c r="ER287">
        <v>-6798</v>
      </c>
      <c r="ES287">
        <v>-14579</v>
      </c>
      <c r="ET287">
        <v>-23913</v>
      </c>
      <c r="EU287">
        <v>-23913</v>
      </c>
      <c r="EV287">
        <v>-33311</v>
      </c>
      <c r="EW287">
        <v>-26585</v>
      </c>
      <c r="EX287">
        <v>-36737</v>
      </c>
      <c r="EY287">
        <v>-49221.044233978202</v>
      </c>
      <c r="EZ287">
        <v>-49221.044233978202</v>
      </c>
      <c r="FA287">
        <v>-58856.624224303399</v>
      </c>
      <c r="FB287">
        <v>-55112.883349047297</v>
      </c>
      <c r="FC287">
        <v>-66555.694585279198</v>
      </c>
      <c r="FD287">
        <v>-82452.9591491436</v>
      </c>
      <c r="FE287">
        <v>-82452.9591491436</v>
      </c>
      <c r="FF287">
        <v>-99694.580906133298</v>
      </c>
      <c r="FG287">
        <v>-98915.091081929495</v>
      </c>
      <c r="FH287">
        <v>-115859.401316797</v>
      </c>
      <c r="FI287">
        <v>-137825.77630831001</v>
      </c>
      <c r="FJ287">
        <v>-137825.77630831001</v>
      </c>
      <c r="FK287">
        <v>-163578.53133365099</v>
      </c>
      <c r="FL287">
        <v>-165584.451158146</v>
      </c>
      <c r="FM287">
        <v>-188614.70854580801</v>
      </c>
      <c r="FN287">
        <v>-216507.79717846101</v>
      </c>
      <c r="FO287">
        <v>-216507.79717846101</v>
      </c>
    </row>
    <row r="288" spans="1:171">
      <c r="B288" t="s">
        <v>1123</v>
      </c>
      <c r="C288" t="s">
        <v>1124</v>
      </c>
      <c r="D288" t="s">
        <v>379</v>
      </c>
    </row>
    <row r="289" spans="1:171">
      <c r="B289" t="s">
        <v>1125</v>
      </c>
      <c r="C289" t="s">
        <v>1126</v>
      </c>
      <c r="D289" t="s">
        <v>379</v>
      </c>
      <c r="F289">
        <v>1453</v>
      </c>
      <c r="G289">
        <v>499</v>
      </c>
      <c r="H289">
        <v>575</v>
      </c>
      <c r="I289">
        <v>562</v>
      </c>
      <c r="J289">
        <v>559</v>
      </c>
      <c r="K289">
        <v>2195</v>
      </c>
      <c r="L289">
        <v>614</v>
      </c>
      <c r="M289">
        <v>741</v>
      </c>
      <c r="N289">
        <v>1042</v>
      </c>
      <c r="O289">
        <v>1057</v>
      </c>
      <c r="P289">
        <v>3454</v>
      </c>
      <c r="Q289">
        <v>663</v>
      </c>
      <c r="R289">
        <v>1133</v>
      </c>
      <c r="S289">
        <v>1337</v>
      </c>
      <c r="T289">
        <v>1357</v>
      </c>
      <c r="U289">
        <v>4490</v>
      </c>
      <c r="V289">
        <v>1683</v>
      </c>
      <c r="W289">
        <v>1983</v>
      </c>
      <c r="X289">
        <v>1917</v>
      </c>
      <c r="Y289">
        <v>2202</v>
      </c>
      <c r="Z289">
        <v>7785</v>
      </c>
      <c r="AA289">
        <v>2191</v>
      </c>
      <c r="AB289">
        <v>2436</v>
      </c>
      <c r="AC289">
        <v>2385</v>
      </c>
      <c r="AD289">
        <v>2409</v>
      </c>
      <c r="AE289">
        <v>9421</v>
      </c>
      <c r="AF289">
        <v>2206</v>
      </c>
      <c r="AG289">
        <v>2624</v>
      </c>
      <c r="AH289">
        <v>2451</v>
      </c>
      <c r="AI289">
        <v>65</v>
      </c>
      <c r="AJ289">
        <v>7346</v>
      </c>
      <c r="AK289">
        <v>1283</v>
      </c>
      <c r="AL289">
        <v>2283</v>
      </c>
      <c r="AM289">
        <v>2738</v>
      </c>
      <c r="AN289">
        <v>1525</v>
      </c>
      <c r="AO289">
        <v>7829</v>
      </c>
      <c r="AP289">
        <v>2041</v>
      </c>
      <c r="AQ289">
        <v>1865</v>
      </c>
      <c r="AR289">
        <v>2142</v>
      </c>
      <c r="AS289">
        <v>1483</v>
      </c>
      <c r="AT289">
        <v>7531</v>
      </c>
      <c r="AU289">
        <v>2614</v>
      </c>
      <c r="AV289">
        <v>1549</v>
      </c>
      <c r="AW289">
        <v>1315</v>
      </c>
      <c r="AX289">
        <v>2690</v>
      </c>
      <c r="AY289">
        <v>8168</v>
      </c>
      <c r="AZ289">
        <v>2528</v>
      </c>
      <c r="BA289">
        <v>3463</v>
      </c>
      <c r="BB289">
        <v>2563</v>
      </c>
      <c r="BC289">
        <v>3700</v>
      </c>
      <c r="BD289">
        <v>12254</v>
      </c>
      <c r="BE289">
        <v>3141</v>
      </c>
      <c r="BF289">
        <v>3653</v>
      </c>
      <c r="BG289">
        <v>2977</v>
      </c>
      <c r="BH289">
        <v>2828</v>
      </c>
      <c r="BI289">
        <v>12599</v>
      </c>
      <c r="BJ289">
        <v>3478</v>
      </c>
      <c r="BK289">
        <v>2626</v>
      </c>
      <c r="BL289">
        <v>4926</v>
      </c>
      <c r="BM289">
        <v>3035</v>
      </c>
      <c r="BN289">
        <v>14065</v>
      </c>
      <c r="BO289">
        <v>4289</v>
      </c>
      <c r="BP289">
        <v>4707</v>
      </c>
      <c r="BQ289">
        <v>4388</v>
      </c>
      <c r="BR289">
        <v>4297</v>
      </c>
      <c r="BS289">
        <v>17681</v>
      </c>
      <c r="BT289">
        <v>4373</v>
      </c>
      <c r="BU289">
        <v>4174</v>
      </c>
      <c r="BV289">
        <v>2977</v>
      </c>
      <c r="BW289">
        <v>3045</v>
      </c>
      <c r="BX289">
        <v>14569</v>
      </c>
      <c r="BY289">
        <v>3574</v>
      </c>
      <c r="BZ289">
        <v>6662</v>
      </c>
      <c r="CA289">
        <v>4006</v>
      </c>
      <c r="CB289">
        <v>4518</v>
      </c>
      <c r="CC289">
        <v>18760</v>
      </c>
      <c r="CD289">
        <v>5410</v>
      </c>
      <c r="CE289">
        <v>6634</v>
      </c>
      <c r="CF289">
        <v>5232</v>
      </c>
      <c r="CG289">
        <v>5874</v>
      </c>
      <c r="CH289">
        <v>23150</v>
      </c>
      <c r="CI289">
        <v>5738</v>
      </c>
      <c r="CJ289">
        <v>6624</v>
      </c>
      <c r="CK289">
        <v>5108</v>
      </c>
      <c r="CL289">
        <v>-492</v>
      </c>
      <c r="CM289">
        <v>16978</v>
      </c>
      <c r="CN289">
        <v>4466</v>
      </c>
      <c r="CO289">
        <v>6377</v>
      </c>
      <c r="CP289">
        <v>6055</v>
      </c>
      <c r="CQ289">
        <v>4965</v>
      </c>
      <c r="CR289">
        <v>21863</v>
      </c>
      <c r="CS289">
        <v>5244</v>
      </c>
      <c r="CT289">
        <v>6558</v>
      </c>
      <c r="CU289">
        <v>5660</v>
      </c>
      <c r="CV289">
        <v>4612</v>
      </c>
      <c r="CW289">
        <v>22074</v>
      </c>
      <c r="CX289">
        <v>4540</v>
      </c>
      <c r="CY289">
        <v>5863</v>
      </c>
      <c r="CZ289">
        <v>4985</v>
      </c>
      <c r="DA289">
        <v>-3195</v>
      </c>
      <c r="DB289">
        <v>12193</v>
      </c>
      <c r="DC289">
        <v>4620</v>
      </c>
      <c r="DD289">
        <v>4998</v>
      </c>
      <c r="DE289">
        <v>3756</v>
      </c>
      <c r="DF289">
        <v>3122</v>
      </c>
      <c r="DG289">
        <v>16496</v>
      </c>
      <c r="DH289">
        <v>5667</v>
      </c>
      <c r="DI289">
        <v>6267</v>
      </c>
      <c r="DJ289">
        <v>5486</v>
      </c>
      <c r="DK289">
        <v>8069</v>
      </c>
      <c r="DL289">
        <v>25489</v>
      </c>
      <c r="DM289">
        <v>6576</v>
      </c>
      <c r="DN289">
        <v>-6302</v>
      </c>
      <c r="DO289">
        <v>7424</v>
      </c>
      <c r="DP289">
        <v>8873</v>
      </c>
      <c r="DQ289">
        <v>16571</v>
      </c>
      <c r="DR289">
        <v>8824</v>
      </c>
      <c r="DS289">
        <v>8420</v>
      </c>
      <c r="DT289">
        <v>8809</v>
      </c>
      <c r="DU289">
        <v>13187</v>
      </c>
      <c r="DV289">
        <v>39240</v>
      </c>
      <c r="DW289">
        <v>10678</v>
      </c>
      <c r="DX289">
        <v>11649</v>
      </c>
      <c r="DY289">
        <v>10752</v>
      </c>
      <c r="DZ289">
        <v>11202</v>
      </c>
      <c r="EA289">
        <v>44281</v>
      </c>
      <c r="EB289">
        <v>13893</v>
      </c>
      <c r="EC289">
        <v>15463</v>
      </c>
      <c r="ED289">
        <v>15457</v>
      </c>
      <c r="EE289">
        <v>16458</v>
      </c>
      <c r="EF289">
        <v>61271</v>
      </c>
      <c r="EG289">
        <v>20505</v>
      </c>
      <c r="EH289">
        <v>18765</v>
      </c>
      <c r="EI289">
        <v>16728</v>
      </c>
      <c r="EJ289">
        <v>16740</v>
      </c>
      <c r="EK289">
        <v>72738</v>
      </c>
      <c r="EL289">
        <v>17556</v>
      </c>
      <c r="EM289">
        <v>16425</v>
      </c>
      <c r="EN289">
        <v>18299</v>
      </c>
      <c r="EO289">
        <v>20081</v>
      </c>
      <c r="EP289">
        <v>72361</v>
      </c>
      <c r="EQ289">
        <v>22291</v>
      </c>
      <c r="ER289">
        <v>21870</v>
      </c>
      <c r="ES289">
        <v>21939</v>
      </c>
      <c r="ET289">
        <v>22036</v>
      </c>
      <c r="EU289">
        <v>88136</v>
      </c>
      <c r="EV289">
        <v>24667</v>
      </c>
      <c r="EW289">
        <v>24108</v>
      </c>
      <c r="EX289">
        <v>25824</v>
      </c>
      <c r="EY289">
        <v>25331.4556411292</v>
      </c>
      <c r="EZ289">
        <v>99930.4556411292</v>
      </c>
      <c r="FA289">
        <v>27583.5250998378</v>
      </c>
      <c r="FB289">
        <v>28867.322262655602</v>
      </c>
      <c r="FC289">
        <v>29368.260598373399</v>
      </c>
      <c r="FD289">
        <v>30699.124966915399</v>
      </c>
      <c r="FE289">
        <v>116518.232927782</v>
      </c>
      <c r="FF289">
        <v>32815.293260936502</v>
      </c>
      <c r="FG289">
        <v>34202.900342883397</v>
      </c>
      <c r="FH289">
        <v>34724.912631937899</v>
      </c>
      <c r="FI289">
        <v>36394.777574684798</v>
      </c>
      <c r="FJ289">
        <v>138137.88381044299</v>
      </c>
      <c r="FK289">
        <v>37763.697502982097</v>
      </c>
      <c r="FL289">
        <v>39362.041050479602</v>
      </c>
      <c r="FM289">
        <v>40001.612882498099</v>
      </c>
      <c r="FN289">
        <v>42080.238236235302</v>
      </c>
      <c r="FO289">
        <v>159207.589672195</v>
      </c>
    </row>
    <row r="290" spans="1:171">
      <c r="B290" t="s">
        <v>1127</v>
      </c>
      <c r="C290" t="s">
        <v>1128</v>
      </c>
      <c r="D290" t="s">
        <v>379</v>
      </c>
      <c r="F290">
        <v>2038</v>
      </c>
      <c r="G290">
        <v>708</v>
      </c>
      <c r="H290">
        <v>786</v>
      </c>
      <c r="I290">
        <v>774</v>
      </c>
      <c r="J290">
        <v>810</v>
      </c>
      <c r="K290">
        <v>3078</v>
      </c>
      <c r="L290">
        <v>902</v>
      </c>
      <c r="M290">
        <v>1081</v>
      </c>
      <c r="N290">
        <v>1568</v>
      </c>
      <c r="O290">
        <v>1579</v>
      </c>
      <c r="P290">
        <v>5130</v>
      </c>
      <c r="Q290">
        <v>1131</v>
      </c>
      <c r="R290">
        <v>1663</v>
      </c>
      <c r="S290">
        <v>1927</v>
      </c>
      <c r="T290">
        <v>1923</v>
      </c>
      <c r="U290">
        <v>6644</v>
      </c>
      <c r="V290">
        <v>2082</v>
      </c>
      <c r="W290">
        <v>2714</v>
      </c>
      <c r="X290">
        <v>2229</v>
      </c>
      <c r="Y290">
        <v>2903</v>
      </c>
      <c r="Z290">
        <v>9928</v>
      </c>
      <c r="AA290">
        <v>2767</v>
      </c>
      <c r="AB290">
        <v>2918</v>
      </c>
      <c r="AC290">
        <v>2728</v>
      </c>
      <c r="AD290">
        <v>2524</v>
      </c>
      <c r="AE290">
        <v>10937</v>
      </c>
      <c r="AF290">
        <v>2777</v>
      </c>
      <c r="AG290">
        <v>3194</v>
      </c>
      <c r="AH290">
        <v>2998</v>
      </c>
      <c r="AI290">
        <v>2751</v>
      </c>
      <c r="AJ290">
        <v>11720</v>
      </c>
      <c r="AK290">
        <v>2897</v>
      </c>
      <c r="AL290">
        <v>2841</v>
      </c>
      <c r="AM290">
        <v>3298</v>
      </c>
      <c r="AN290">
        <v>2874</v>
      </c>
      <c r="AO290">
        <v>11910</v>
      </c>
      <c r="AP290">
        <v>3028</v>
      </c>
      <c r="AQ290">
        <v>2233</v>
      </c>
      <c r="AR290">
        <v>2744</v>
      </c>
      <c r="AS290">
        <v>1540</v>
      </c>
      <c r="AT290">
        <v>9545</v>
      </c>
      <c r="AU290">
        <v>3148</v>
      </c>
      <c r="AV290">
        <v>1475</v>
      </c>
      <c r="AW290">
        <v>1278</v>
      </c>
      <c r="AX290">
        <v>3133</v>
      </c>
      <c r="AY290">
        <v>9034</v>
      </c>
      <c r="AZ290">
        <v>3494</v>
      </c>
      <c r="BA290">
        <v>4749</v>
      </c>
      <c r="BB290">
        <v>3329</v>
      </c>
      <c r="BC290">
        <v>2989</v>
      </c>
      <c r="BD290">
        <v>14561</v>
      </c>
      <c r="BE290">
        <v>4046</v>
      </c>
      <c r="BF290">
        <v>4657</v>
      </c>
      <c r="BG290">
        <v>3888</v>
      </c>
      <c r="BH290">
        <v>3881</v>
      </c>
      <c r="BI290">
        <v>16472</v>
      </c>
      <c r="BJ290">
        <v>4474</v>
      </c>
      <c r="BK290">
        <v>3472</v>
      </c>
      <c r="BL290">
        <v>6589</v>
      </c>
      <c r="BM290">
        <v>3989</v>
      </c>
      <c r="BN290">
        <v>18524</v>
      </c>
      <c r="BO290">
        <v>5918</v>
      </c>
      <c r="BP290">
        <v>6481</v>
      </c>
      <c r="BQ290">
        <v>4409</v>
      </c>
      <c r="BR290">
        <v>5684</v>
      </c>
      <c r="BS290">
        <v>22492</v>
      </c>
      <c r="BT290">
        <v>5999</v>
      </c>
      <c r="BU290">
        <v>5939</v>
      </c>
      <c r="BV290">
        <v>4438</v>
      </c>
      <c r="BW290">
        <v>3987</v>
      </c>
      <c r="BX290">
        <v>20363</v>
      </c>
      <c r="BY290">
        <v>4482</v>
      </c>
      <c r="BZ290">
        <v>8513</v>
      </c>
      <c r="CA290">
        <v>5173</v>
      </c>
      <c r="CB290">
        <v>5930</v>
      </c>
      <c r="CC290">
        <v>24098</v>
      </c>
      <c r="CD290">
        <v>7116</v>
      </c>
      <c r="CE290">
        <v>8165</v>
      </c>
      <c r="CF290">
        <v>5709</v>
      </c>
      <c r="CG290">
        <v>6171</v>
      </c>
      <c r="CH290">
        <v>27161</v>
      </c>
      <c r="CI290">
        <v>7203</v>
      </c>
      <c r="CJ290">
        <v>7994</v>
      </c>
      <c r="CK290">
        <v>6374</v>
      </c>
      <c r="CL290">
        <v>192</v>
      </c>
      <c r="CM290">
        <v>21763</v>
      </c>
      <c r="CN290">
        <v>5308</v>
      </c>
      <c r="CO290">
        <v>7771</v>
      </c>
      <c r="CP290">
        <v>7612</v>
      </c>
      <c r="CQ290">
        <v>6073</v>
      </c>
      <c r="CR290">
        <v>26764</v>
      </c>
      <c r="CS290">
        <v>6334</v>
      </c>
      <c r="CT290">
        <v>7969</v>
      </c>
      <c r="CU290">
        <v>6974</v>
      </c>
      <c r="CV290">
        <v>6482</v>
      </c>
      <c r="CW290">
        <v>27759</v>
      </c>
      <c r="CX290">
        <v>5844</v>
      </c>
      <c r="CY290">
        <v>7776</v>
      </c>
      <c r="CZ290">
        <v>6594</v>
      </c>
      <c r="DA290">
        <v>-2053</v>
      </c>
      <c r="DB290">
        <v>18161</v>
      </c>
      <c r="DC290">
        <v>5793</v>
      </c>
      <c r="DD290">
        <v>6026</v>
      </c>
      <c r="DE290">
        <v>5283</v>
      </c>
      <c r="DF290">
        <v>3080</v>
      </c>
      <c r="DG290">
        <v>20182</v>
      </c>
      <c r="DH290">
        <v>6715</v>
      </c>
      <c r="DI290">
        <v>7905</v>
      </c>
      <c r="DJ290">
        <v>6723</v>
      </c>
      <c r="DK290">
        <v>7682</v>
      </c>
      <c r="DL290">
        <v>29025</v>
      </c>
      <c r="DM290">
        <v>7708</v>
      </c>
      <c r="DN290">
        <v>8679</v>
      </c>
      <c r="DO290">
        <v>8292</v>
      </c>
      <c r="DP290">
        <v>10379</v>
      </c>
      <c r="DQ290">
        <v>35058</v>
      </c>
      <c r="DR290">
        <v>9955</v>
      </c>
      <c r="DS290">
        <v>10258</v>
      </c>
      <c r="DT290">
        <v>10341</v>
      </c>
      <c r="DU290">
        <v>12405</v>
      </c>
      <c r="DV290">
        <v>42959</v>
      </c>
      <c r="DW290">
        <v>12686</v>
      </c>
      <c r="DX290">
        <v>13891</v>
      </c>
      <c r="DY290">
        <v>12975</v>
      </c>
      <c r="DZ290">
        <v>13407</v>
      </c>
      <c r="EA290">
        <v>52959</v>
      </c>
      <c r="EB290">
        <v>15876</v>
      </c>
      <c r="EC290">
        <v>17897</v>
      </c>
      <c r="ED290">
        <v>17048</v>
      </c>
      <c r="EE290">
        <v>19095</v>
      </c>
      <c r="EF290">
        <v>69916</v>
      </c>
      <c r="EG290">
        <v>20238</v>
      </c>
      <c r="EH290">
        <v>22247</v>
      </c>
      <c r="EI290">
        <v>20364</v>
      </c>
      <c r="EJ290">
        <v>20534</v>
      </c>
      <c r="EK290">
        <v>83383</v>
      </c>
      <c r="EL290">
        <v>21518</v>
      </c>
      <c r="EM290">
        <v>20399</v>
      </c>
      <c r="EN290">
        <v>22352</v>
      </c>
      <c r="EO290">
        <v>24254</v>
      </c>
      <c r="EP290">
        <v>88523</v>
      </c>
      <c r="EQ290">
        <v>26895</v>
      </c>
      <c r="ER290">
        <v>27032</v>
      </c>
      <c r="ES290">
        <v>27581</v>
      </c>
      <c r="ET290">
        <v>27925</v>
      </c>
      <c r="EU290">
        <v>109433</v>
      </c>
      <c r="EV290">
        <v>30552</v>
      </c>
      <c r="EW290">
        <v>31653</v>
      </c>
      <c r="EX290">
        <v>32000</v>
      </c>
      <c r="EY290">
        <v>32473.402026085401</v>
      </c>
      <c r="EZ290">
        <v>126678.40202608499</v>
      </c>
      <c r="FA290">
        <v>34738.4452437047</v>
      </c>
      <c r="FB290">
        <v>36204.0515398239</v>
      </c>
      <c r="FC290">
        <v>36714.951949235801</v>
      </c>
      <c r="FD290">
        <v>38337.957276726098</v>
      </c>
      <c r="FE290">
        <v>145995.40600949101</v>
      </c>
      <c r="FF290">
        <v>39818.650318215303</v>
      </c>
      <c r="FG290">
        <v>41510.854076687101</v>
      </c>
      <c r="FH290">
        <v>42147.454429192599</v>
      </c>
      <c r="FI290">
        <v>44183.875091078997</v>
      </c>
      <c r="FJ290">
        <v>167660.83391517401</v>
      </c>
      <c r="FK290">
        <v>45553.289637783098</v>
      </c>
      <c r="FL290">
        <v>47502.4890859507</v>
      </c>
      <c r="FM290">
        <v>48282.454734753701</v>
      </c>
      <c r="FN290">
        <v>50817.363702725997</v>
      </c>
      <c r="FO290">
        <v>192155.59716121299</v>
      </c>
    </row>
    <row r="291" spans="1:171">
      <c r="B291" t="s">
        <v>1129</v>
      </c>
      <c r="C291" t="s">
        <v>1130</v>
      </c>
      <c r="D291" t="s">
        <v>379</v>
      </c>
      <c r="F291">
        <v>2167</v>
      </c>
      <c r="G291">
        <v>770</v>
      </c>
      <c r="H291">
        <v>885</v>
      </c>
      <c r="I291">
        <v>864</v>
      </c>
      <c r="J291">
        <v>860</v>
      </c>
      <c r="K291">
        <v>3379</v>
      </c>
      <c r="L291">
        <v>945</v>
      </c>
      <c r="M291">
        <v>1140</v>
      </c>
      <c r="N291">
        <v>1603</v>
      </c>
      <c r="O291">
        <v>1626</v>
      </c>
      <c r="P291">
        <v>5314</v>
      </c>
      <c r="Q291">
        <v>1202</v>
      </c>
      <c r="R291">
        <v>1770</v>
      </c>
      <c r="S291">
        <v>2057</v>
      </c>
      <c r="T291">
        <v>2088</v>
      </c>
      <c r="U291">
        <v>7117</v>
      </c>
      <c r="V291">
        <v>2503</v>
      </c>
      <c r="W291">
        <v>3051</v>
      </c>
      <c r="X291">
        <v>2949</v>
      </c>
      <c r="Y291">
        <v>3388</v>
      </c>
      <c r="Z291">
        <v>11891</v>
      </c>
      <c r="AA291">
        <v>3320</v>
      </c>
      <c r="AB291">
        <v>3691</v>
      </c>
      <c r="AC291">
        <v>3613</v>
      </c>
      <c r="AD291">
        <v>3651</v>
      </c>
      <c r="AE291">
        <v>14275</v>
      </c>
      <c r="AF291">
        <v>3852</v>
      </c>
      <c r="AG291">
        <v>3917</v>
      </c>
      <c r="AH291">
        <v>3658</v>
      </c>
      <c r="AI291">
        <v>98</v>
      </c>
      <c r="AJ291">
        <v>11525</v>
      </c>
      <c r="AK291">
        <v>1887</v>
      </c>
      <c r="AL291">
        <v>3357</v>
      </c>
      <c r="AM291">
        <v>4026</v>
      </c>
      <c r="AN291">
        <v>2243</v>
      </c>
      <c r="AO291">
        <v>11513</v>
      </c>
      <c r="AP291">
        <v>3047</v>
      </c>
      <c r="AQ291">
        <v>2596</v>
      </c>
      <c r="AR291">
        <v>3197</v>
      </c>
      <c r="AS291">
        <v>2214</v>
      </c>
      <c r="AT291">
        <v>11054</v>
      </c>
      <c r="AU291">
        <v>3901</v>
      </c>
      <c r="AV291">
        <v>2312</v>
      </c>
      <c r="AW291">
        <v>2279</v>
      </c>
      <c r="AX291">
        <v>3704</v>
      </c>
      <c r="AY291">
        <v>12196</v>
      </c>
      <c r="AZ291">
        <v>3773</v>
      </c>
      <c r="BA291">
        <v>5169</v>
      </c>
      <c r="BB291">
        <v>3825</v>
      </c>
      <c r="BC291">
        <v>3861</v>
      </c>
      <c r="BD291">
        <v>16628</v>
      </c>
      <c r="BE291">
        <v>4552</v>
      </c>
      <c r="BF291">
        <v>5137</v>
      </c>
      <c r="BG291">
        <v>4315</v>
      </c>
      <c r="BH291">
        <v>4258</v>
      </c>
      <c r="BI291">
        <v>18262</v>
      </c>
      <c r="BJ291">
        <v>5041</v>
      </c>
      <c r="BK291">
        <v>3805</v>
      </c>
      <c r="BL291">
        <v>6971</v>
      </c>
      <c r="BM291">
        <v>4284</v>
      </c>
      <c r="BN291">
        <v>20101</v>
      </c>
      <c r="BO291">
        <v>6216</v>
      </c>
      <c r="BP291">
        <v>6820</v>
      </c>
      <c r="BQ291">
        <v>4810</v>
      </c>
      <c r="BR291">
        <v>5968</v>
      </c>
      <c r="BS291">
        <v>23814</v>
      </c>
      <c r="BT291">
        <v>5991</v>
      </c>
      <c r="BU291">
        <v>5638</v>
      </c>
      <c r="BV291">
        <v>4050</v>
      </c>
      <c r="BW291">
        <v>4142</v>
      </c>
      <c r="BX291">
        <v>19821</v>
      </c>
      <c r="BY291">
        <v>4765</v>
      </c>
      <c r="BZ291">
        <v>8883</v>
      </c>
      <c r="CA291">
        <v>5341</v>
      </c>
      <c r="CB291">
        <v>6024</v>
      </c>
      <c r="CC291">
        <v>25013</v>
      </c>
      <c r="CD291">
        <v>7230</v>
      </c>
      <c r="CE291">
        <v>8497</v>
      </c>
      <c r="CF291">
        <v>6025</v>
      </c>
      <c r="CG291">
        <v>6319</v>
      </c>
      <c r="CH291">
        <v>28071</v>
      </c>
      <c r="CI291">
        <v>7306</v>
      </c>
      <c r="CJ291">
        <v>8239</v>
      </c>
      <c r="CK291">
        <v>6363</v>
      </c>
      <c r="CL291">
        <v>359</v>
      </c>
      <c r="CM291">
        <v>22267</v>
      </c>
      <c r="CN291">
        <v>5534</v>
      </c>
      <c r="CO291">
        <v>7770</v>
      </c>
      <c r="CP291">
        <v>7603</v>
      </c>
      <c r="CQ291">
        <v>6145</v>
      </c>
      <c r="CR291">
        <v>27052</v>
      </c>
      <c r="CS291">
        <v>6408</v>
      </c>
      <c r="CT291">
        <v>7878</v>
      </c>
      <c r="CU291">
        <v>6957</v>
      </c>
      <c r="CV291">
        <v>6577</v>
      </c>
      <c r="CW291">
        <v>27820</v>
      </c>
      <c r="CX291">
        <v>5896</v>
      </c>
      <c r="CY291">
        <v>7850</v>
      </c>
      <c r="CZ291">
        <v>6517</v>
      </c>
      <c r="DA291">
        <v>-1756</v>
      </c>
      <c r="DB291">
        <v>18507</v>
      </c>
      <c r="DC291">
        <v>5513</v>
      </c>
      <c r="DD291">
        <v>5855</v>
      </c>
      <c r="DE291">
        <v>5036</v>
      </c>
      <c r="DF291">
        <v>3347</v>
      </c>
      <c r="DG291">
        <v>19751</v>
      </c>
      <c r="DH291">
        <v>6827</v>
      </c>
      <c r="DI291">
        <v>8022</v>
      </c>
      <c r="DJ291">
        <v>7094</v>
      </c>
      <c r="DK291">
        <v>7958</v>
      </c>
      <c r="DL291">
        <v>29901</v>
      </c>
      <c r="DM291">
        <v>7984</v>
      </c>
      <c r="DN291">
        <v>9169</v>
      </c>
      <c r="DO291">
        <v>8641</v>
      </c>
      <c r="DP291">
        <v>10680</v>
      </c>
      <c r="DQ291">
        <v>36474</v>
      </c>
      <c r="DR291">
        <v>10221</v>
      </c>
      <c r="DS291">
        <v>10385</v>
      </c>
      <c r="DT291">
        <v>10486</v>
      </c>
      <c r="DU291">
        <v>12596</v>
      </c>
      <c r="DV291">
        <v>43688</v>
      </c>
      <c r="DW291">
        <v>12686</v>
      </c>
      <c r="DX291">
        <v>14085</v>
      </c>
      <c r="DY291">
        <v>12843</v>
      </c>
      <c r="DZ291">
        <v>13422</v>
      </c>
      <c r="EA291">
        <v>53036</v>
      </c>
      <c r="EB291">
        <v>16124</v>
      </c>
      <c r="EC291">
        <v>18337</v>
      </c>
      <c r="ED291">
        <v>17236</v>
      </c>
      <c r="EE291">
        <v>19405</v>
      </c>
      <c r="EF291">
        <v>71102</v>
      </c>
      <c r="EG291">
        <v>20524</v>
      </c>
      <c r="EH291">
        <v>22515</v>
      </c>
      <c r="EI291">
        <v>20190</v>
      </c>
      <c r="EJ291">
        <v>20487</v>
      </c>
      <c r="EK291">
        <v>83716</v>
      </c>
      <c r="EL291">
        <v>21572</v>
      </c>
      <c r="EM291">
        <v>20339</v>
      </c>
      <c r="EN291">
        <v>22673</v>
      </c>
      <c r="EO291">
        <v>24727</v>
      </c>
      <c r="EP291">
        <v>89311</v>
      </c>
      <c r="EQ291">
        <v>27284</v>
      </c>
      <c r="ER291">
        <v>26526</v>
      </c>
      <c r="ES291">
        <v>26727</v>
      </c>
      <c r="ET291">
        <v>27250</v>
      </c>
      <c r="EU291">
        <v>107787</v>
      </c>
      <c r="EV291">
        <v>30269</v>
      </c>
      <c r="EW291">
        <v>29365</v>
      </c>
      <c r="EX291">
        <v>31377</v>
      </c>
      <c r="EY291">
        <v>31273.402026085401</v>
      </c>
      <c r="EZ291">
        <v>122284.40202608499</v>
      </c>
      <c r="FA291">
        <v>33638.4452437047</v>
      </c>
      <c r="FB291">
        <v>35204.0515398239</v>
      </c>
      <c r="FC291">
        <v>35814.951949235801</v>
      </c>
      <c r="FD291">
        <v>37437.957276726098</v>
      </c>
      <c r="FE291">
        <v>142095.40600949101</v>
      </c>
      <c r="FF291">
        <v>40018.650318215303</v>
      </c>
      <c r="FG291">
        <v>41710.854076687101</v>
      </c>
      <c r="FH291">
        <v>42347.454429192599</v>
      </c>
      <c r="FI291">
        <v>44383.875091078997</v>
      </c>
      <c r="FJ291">
        <v>168460.83391517401</v>
      </c>
      <c r="FK291">
        <v>46053.289637783098</v>
      </c>
      <c r="FL291">
        <v>48002.4890859507</v>
      </c>
      <c r="FM291">
        <v>48782.454734753701</v>
      </c>
      <c r="FN291">
        <v>51317.363702725997</v>
      </c>
      <c r="FO291">
        <v>194155.59716121299</v>
      </c>
    </row>
    <row r="292" spans="1:171">
      <c r="B292" t="s">
        <v>1131</v>
      </c>
      <c r="C292" t="s">
        <v>1132</v>
      </c>
      <c r="D292" t="s">
        <v>379</v>
      </c>
      <c r="F292">
        <v>5937</v>
      </c>
      <c r="G292">
        <v>2016</v>
      </c>
      <c r="H292">
        <v>2195</v>
      </c>
      <c r="I292">
        <v>2205</v>
      </c>
      <c r="J292">
        <v>2255</v>
      </c>
      <c r="K292">
        <v>8671</v>
      </c>
      <c r="L292">
        <v>2295</v>
      </c>
      <c r="M292">
        <v>2680</v>
      </c>
      <c r="N292">
        <v>3208</v>
      </c>
      <c r="O292">
        <v>3175</v>
      </c>
      <c r="P292">
        <v>11358</v>
      </c>
      <c r="Q292">
        <v>3130</v>
      </c>
      <c r="R292">
        <v>3585</v>
      </c>
      <c r="S292">
        <v>3774</v>
      </c>
      <c r="T292">
        <v>3995</v>
      </c>
      <c r="U292">
        <v>14484</v>
      </c>
      <c r="V292">
        <v>4193</v>
      </c>
      <c r="W292">
        <v>5195</v>
      </c>
      <c r="X292">
        <v>4595</v>
      </c>
      <c r="Y292">
        <v>5764</v>
      </c>
      <c r="Z292">
        <v>19747</v>
      </c>
      <c r="AA292">
        <v>5384</v>
      </c>
      <c r="AB292">
        <v>6112</v>
      </c>
      <c r="AC292">
        <v>5656</v>
      </c>
      <c r="AD292">
        <v>5804</v>
      </c>
      <c r="AE292">
        <v>22956</v>
      </c>
      <c r="AF292">
        <v>5766</v>
      </c>
      <c r="AG292">
        <v>6550</v>
      </c>
      <c r="AH292">
        <v>6403</v>
      </c>
      <c r="AI292">
        <v>6577</v>
      </c>
      <c r="AJ292">
        <v>25296</v>
      </c>
      <c r="AK292">
        <v>6126</v>
      </c>
      <c r="AL292">
        <v>7741</v>
      </c>
      <c r="AM292">
        <v>7245</v>
      </c>
      <c r="AN292">
        <v>7253</v>
      </c>
      <c r="AO292">
        <v>28365</v>
      </c>
      <c r="AP292">
        <v>7746</v>
      </c>
      <c r="AQ292">
        <v>8541</v>
      </c>
      <c r="AR292">
        <v>7835</v>
      </c>
      <c r="AS292">
        <v>8065</v>
      </c>
      <c r="AT292">
        <v>32187</v>
      </c>
      <c r="AU292">
        <v>8215</v>
      </c>
      <c r="AV292">
        <v>10153</v>
      </c>
      <c r="AW292">
        <v>9175</v>
      </c>
      <c r="AX292">
        <v>9292</v>
      </c>
      <c r="AY292">
        <v>36835</v>
      </c>
      <c r="AZ292">
        <v>9189</v>
      </c>
      <c r="BA292">
        <v>10818</v>
      </c>
      <c r="BB292">
        <v>9620</v>
      </c>
      <c r="BC292">
        <v>10161</v>
      </c>
      <c r="BD292">
        <v>39788</v>
      </c>
      <c r="BE292">
        <v>9741</v>
      </c>
      <c r="BF292">
        <v>11837</v>
      </c>
      <c r="BG292">
        <v>10900</v>
      </c>
      <c r="BH292">
        <v>11804</v>
      </c>
      <c r="BI292">
        <v>44282</v>
      </c>
      <c r="BJ292">
        <v>10811</v>
      </c>
      <c r="BK292">
        <v>12542</v>
      </c>
      <c r="BL292">
        <v>14398</v>
      </c>
      <c r="BM292">
        <v>13371</v>
      </c>
      <c r="BN292">
        <v>51122</v>
      </c>
      <c r="BO292">
        <v>13762</v>
      </c>
      <c r="BP292">
        <v>16367</v>
      </c>
      <c r="BQ292">
        <v>14454</v>
      </c>
      <c r="BR292">
        <v>15837</v>
      </c>
      <c r="BS292">
        <v>60420</v>
      </c>
      <c r="BT292">
        <v>15061</v>
      </c>
      <c r="BU292">
        <v>16629</v>
      </c>
      <c r="BV292">
        <v>13648</v>
      </c>
      <c r="BW292">
        <v>13099</v>
      </c>
      <c r="BX292">
        <v>58437</v>
      </c>
      <c r="BY292">
        <v>12920</v>
      </c>
      <c r="BZ292">
        <v>19022</v>
      </c>
      <c r="CA292">
        <v>14503</v>
      </c>
      <c r="CB292">
        <v>16039</v>
      </c>
      <c r="CC292">
        <v>62484</v>
      </c>
      <c r="CD292">
        <v>16195</v>
      </c>
      <c r="CE292">
        <v>19953</v>
      </c>
      <c r="CF292">
        <v>16428</v>
      </c>
      <c r="CG292">
        <v>17367</v>
      </c>
      <c r="CH292">
        <v>69943</v>
      </c>
      <c r="CI292">
        <v>17372</v>
      </c>
      <c r="CJ292">
        <v>20885</v>
      </c>
      <c r="CK292">
        <v>17407</v>
      </c>
      <c r="CL292">
        <v>18059</v>
      </c>
      <c r="CM292">
        <v>73723</v>
      </c>
      <c r="CN292">
        <v>16008</v>
      </c>
      <c r="CO292">
        <v>21456</v>
      </c>
      <c r="CP292">
        <v>20489</v>
      </c>
      <c r="CQ292">
        <v>19896</v>
      </c>
      <c r="CR292">
        <v>77849</v>
      </c>
      <c r="CS292">
        <v>18529</v>
      </c>
      <c r="CT292">
        <v>24519</v>
      </c>
      <c r="CU292">
        <v>20403</v>
      </c>
      <c r="CV292">
        <v>23382</v>
      </c>
      <c r="CW292">
        <v>86833</v>
      </c>
      <c r="CX292">
        <v>23201</v>
      </c>
      <c r="CY292">
        <v>26470</v>
      </c>
      <c r="CZ292">
        <v>21729</v>
      </c>
      <c r="DA292">
        <v>22180</v>
      </c>
      <c r="DB292">
        <v>93580</v>
      </c>
      <c r="DC292">
        <v>20379</v>
      </c>
      <c r="DD292">
        <v>23796</v>
      </c>
      <c r="DE292">
        <v>20531</v>
      </c>
      <c r="DF292">
        <v>20614</v>
      </c>
      <c r="DG292">
        <v>85320</v>
      </c>
      <c r="DH292">
        <v>21928</v>
      </c>
      <c r="DI292">
        <v>25826</v>
      </c>
      <c r="DJ292">
        <v>23212</v>
      </c>
      <c r="DK292">
        <v>25605</v>
      </c>
      <c r="DL292">
        <v>96571</v>
      </c>
      <c r="DM292">
        <v>24538</v>
      </c>
      <c r="DN292">
        <v>28918</v>
      </c>
      <c r="DO292">
        <v>26819</v>
      </c>
      <c r="DP292">
        <v>30085</v>
      </c>
      <c r="DQ292">
        <v>110360</v>
      </c>
      <c r="DR292">
        <v>29084</v>
      </c>
      <c r="DS292">
        <v>32471</v>
      </c>
      <c r="DT292">
        <v>30571</v>
      </c>
      <c r="DU292">
        <v>33717</v>
      </c>
      <c r="DV292">
        <v>125843</v>
      </c>
      <c r="DW292">
        <v>33055</v>
      </c>
      <c r="DX292">
        <v>36906</v>
      </c>
      <c r="DY292">
        <v>35021</v>
      </c>
      <c r="DZ292">
        <v>38033</v>
      </c>
      <c r="EA292">
        <v>143015</v>
      </c>
      <c r="EB292">
        <v>37154</v>
      </c>
      <c r="EC292">
        <v>43076</v>
      </c>
      <c r="ED292">
        <v>41706</v>
      </c>
      <c r="EE292">
        <v>46152</v>
      </c>
      <c r="EF292">
        <v>168088</v>
      </c>
      <c r="EG292">
        <v>45317</v>
      </c>
      <c r="EH292">
        <v>51728</v>
      </c>
      <c r="EI292">
        <v>49360</v>
      </c>
      <c r="EJ292">
        <v>51865</v>
      </c>
      <c r="EK292">
        <v>198270</v>
      </c>
      <c r="EL292">
        <v>50122</v>
      </c>
      <c r="EM292">
        <v>52747</v>
      </c>
      <c r="EN292">
        <v>52857</v>
      </c>
      <c r="EO292">
        <v>56189</v>
      </c>
      <c r="EP292">
        <v>211915</v>
      </c>
      <c r="EQ292">
        <v>56517</v>
      </c>
      <c r="ER292">
        <v>62020</v>
      </c>
      <c r="ES292">
        <v>61858</v>
      </c>
      <c r="ET292">
        <v>64727</v>
      </c>
      <c r="EU292">
        <v>245122</v>
      </c>
      <c r="EV292">
        <v>65585</v>
      </c>
      <c r="EW292">
        <v>69632</v>
      </c>
      <c r="EX292">
        <v>70066</v>
      </c>
      <c r="EY292">
        <v>74335.250100527497</v>
      </c>
      <c r="EZ292">
        <v>279618.25010052801</v>
      </c>
      <c r="FA292">
        <v>74594.6495508308</v>
      </c>
      <c r="FB292">
        <v>78981.685710933001</v>
      </c>
      <c r="FC292">
        <v>79299.581694245906</v>
      </c>
      <c r="FD292">
        <v>84458.994735524204</v>
      </c>
      <c r="FE292">
        <v>317334.91169153398</v>
      </c>
      <c r="FF292">
        <v>84485.148873901402</v>
      </c>
      <c r="FG292">
        <v>89459.8248060326</v>
      </c>
      <c r="FH292">
        <v>89960.863564283194</v>
      </c>
      <c r="FI292">
        <v>96259.808615436894</v>
      </c>
      <c r="FJ292">
        <v>360165.645859654</v>
      </c>
      <c r="FK292">
        <v>95671.439256053098</v>
      </c>
      <c r="FL292">
        <v>101310.46152040899</v>
      </c>
      <c r="FM292">
        <v>102020.61676158301</v>
      </c>
      <c r="FN292">
        <v>109680.798163363</v>
      </c>
      <c r="FO292">
        <v>408683.31570140802</v>
      </c>
    </row>
    <row r="293" spans="1:171">
      <c r="B293" t="s">
        <v>1133</v>
      </c>
      <c r="C293" t="s">
        <v>1134</v>
      </c>
      <c r="D293" t="s">
        <v>379</v>
      </c>
      <c r="F293">
        <v>5863</v>
      </c>
      <c r="G293">
        <v>6401</v>
      </c>
      <c r="H293">
        <v>6865</v>
      </c>
      <c r="I293">
        <v>7326</v>
      </c>
      <c r="J293">
        <v>7668</v>
      </c>
      <c r="K293">
        <v>7668</v>
      </c>
      <c r="L293">
        <v>8077</v>
      </c>
      <c r="M293">
        <v>9642</v>
      </c>
      <c r="N293">
        <v>9134</v>
      </c>
      <c r="O293">
        <v>10777</v>
      </c>
      <c r="P293">
        <v>10777</v>
      </c>
      <c r="Q293">
        <v>11464</v>
      </c>
      <c r="R293">
        <v>12344</v>
      </c>
      <c r="S293">
        <v>14676</v>
      </c>
      <c r="T293">
        <v>16627</v>
      </c>
      <c r="U293">
        <v>16627</v>
      </c>
      <c r="V293">
        <v>19124</v>
      </c>
      <c r="W293">
        <v>22578</v>
      </c>
      <c r="X293">
        <v>25722</v>
      </c>
      <c r="Y293">
        <v>28438</v>
      </c>
      <c r="Z293">
        <v>28438</v>
      </c>
      <c r="AA293">
        <v>31340</v>
      </c>
      <c r="AB293">
        <v>34589</v>
      </c>
      <c r="AC293">
        <v>39792</v>
      </c>
      <c r="AD293">
        <v>40689</v>
      </c>
      <c r="AE293">
        <v>40689</v>
      </c>
      <c r="AF293">
        <v>45343</v>
      </c>
      <c r="AG293">
        <v>46422</v>
      </c>
      <c r="AH293">
        <v>48090</v>
      </c>
      <c r="AI293">
        <v>47289</v>
      </c>
      <c r="AJ293">
        <v>47289</v>
      </c>
      <c r="AK293">
        <v>48505</v>
      </c>
      <c r="AL293">
        <v>51548</v>
      </c>
      <c r="AM293">
        <v>54300</v>
      </c>
      <c r="AN293">
        <v>52180</v>
      </c>
      <c r="AO293">
        <v>52180</v>
      </c>
      <c r="AP293">
        <v>53516</v>
      </c>
      <c r="AQ293">
        <v>55812</v>
      </c>
      <c r="AR293">
        <v>58282</v>
      </c>
      <c r="AS293">
        <v>61020</v>
      </c>
      <c r="AT293">
        <v>61020</v>
      </c>
      <c r="AU293">
        <v>66680</v>
      </c>
      <c r="AV293">
        <v>69343</v>
      </c>
      <c r="AW293">
        <v>70580</v>
      </c>
      <c r="AX293">
        <v>74825</v>
      </c>
      <c r="AY293">
        <v>74825</v>
      </c>
      <c r="AZ293">
        <v>76319</v>
      </c>
      <c r="BA293">
        <v>47232</v>
      </c>
      <c r="BB293">
        <v>47373</v>
      </c>
      <c r="BC293">
        <v>48115</v>
      </c>
      <c r="BD293">
        <v>48115</v>
      </c>
      <c r="BE293">
        <v>48327</v>
      </c>
      <c r="BF293">
        <v>44208</v>
      </c>
      <c r="BG293">
        <v>42038</v>
      </c>
      <c r="BH293">
        <v>40104</v>
      </c>
      <c r="BI293">
        <v>40104</v>
      </c>
      <c r="BJ293">
        <v>36101</v>
      </c>
      <c r="BK293">
        <v>36634</v>
      </c>
      <c r="BL293">
        <v>34973</v>
      </c>
      <c r="BM293">
        <v>31097</v>
      </c>
      <c r="BN293">
        <v>31097</v>
      </c>
      <c r="BO293">
        <v>32135</v>
      </c>
      <c r="BP293">
        <v>34431</v>
      </c>
      <c r="BQ293">
        <v>37554</v>
      </c>
      <c r="BR293">
        <v>36286</v>
      </c>
      <c r="BS293">
        <v>36286</v>
      </c>
      <c r="BT293">
        <v>33594</v>
      </c>
      <c r="BU293">
        <v>34478</v>
      </c>
      <c r="BV293">
        <v>36943</v>
      </c>
      <c r="BW293">
        <v>39558</v>
      </c>
      <c r="BX293">
        <v>39558</v>
      </c>
      <c r="BY293">
        <v>41212</v>
      </c>
      <c r="BZ293">
        <v>44283</v>
      </c>
      <c r="CA293">
        <v>45710</v>
      </c>
      <c r="CB293">
        <v>46175</v>
      </c>
      <c r="CC293">
        <v>46175</v>
      </c>
      <c r="CD293">
        <v>46942</v>
      </c>
      <c r="CE293">
        <v>48481</v>
      </c>
      <c r="CF293">
        <v>53452</v>
      </c>
      <c r="CG293">
        <v>57083</v>
      </c>
      <c r="CH293">
        <v>57083</v>
      </c>
      <c r="CI293">
        <v>59391</v>
      </c>
      <c r="CJ293">
        <v>64121</v>
      </c>
      <c r="CK293">
        <v>68659</v>
      </c>
      <c r="CL293">
        <v>66363</v>
      </c>
      <c r="CM293">
        <v>66363</v>
      </c>
      <c r="CN293">
        <v>68836</v>
      </c>
      <c r="CO293">
        <v>72576</v>
      </c>
      <c r="CP293">
        <v>76688</v>
      </c>
      <c r="CQ293">
        <v>78944</v>
      </c>
      <c r="CR293">
        <v>78944</v>
      </c>
      <c r="CS293">
        <v>81641</v>
      </c>
      <c r="CT293">
        <v>85100</v>
      </c>
      <c r="CU293">
        <v>87424</v>
      </c>
      <c r="CV293">
        <v>89784</v>
      </c>
      <c r="CW293">
        <v>89784</v>
      </c>
      <c r="CX293">
        <v>90170</v>
      </c>
      <c r="CY293">
        <v>91879</v>
      </c>
      <c r="CZ293">
        <v>90132</v>
      </c>
      <c r="DA293">
        <v>80083</v>
      </c>
      <c r="DB293">
        <v>80083</v>
      </c>
      <c r="DC293">
        <v>77445</v>
      </c>
      <c r="DD293">
        <v>76780</v>
      </c>
      <c r="DE293">
        <v>74806</v>
      </c>
      <c r="DF293">
        <v>71997</v>
      </c>
      <c r="DG293">
        <v>71997</v>
      </c>
      <c r="DH293">
        <v>82462</v>
      </c>
      <c r="DI293">
        <v>81829</v>
      </c>
      <c r="DJ293">
        <v>83491</v>
      </c>
      <c r="DK293">
        <v>87711</v>
      </c>
      <c r="DL293">
        <v>87711</v>
      </c>
      <c r="DM293">
        <v>89647</v>
      </c>
      <c r="DN293">
        <v>78360</v>
      </c>
      <c r="DO293">
        <v>79239</v>
      </c>
      <c r="DP293">
        <v>82718</v>
      </c>
      <c r="DQ293">
        <v>82718</v>
      </c>
      <c r="DR293">
        <v>85967</v>
      </c>
      <c r="DS293">
        <v>92128</v>
      </c>
      <c r="DT293">
        <v>94864</v>
      </c>
      <c r="DU293">
        <v>102330</v>
      </c>
      <c r="DV293">
        <v>102330</v>
      </c>
      <c r="DW293">
        <v>106061</v>
      </c>
      <c r="DX293">
        <v>110109</v>
      </c>
      <c r="DY293">
        <v>114501</v>
      </c>
      <c r="DZ293">
        <v>118304</v>
      </c>
      <c r="EA293">
        <v>118304</v>
      </c>
      <c r="EB293">
        <v>123392</v>
      </c>
      <c r="EC293">
        <v>130236</v>
      </c>
      <c r="ED293">
        <v>134505</v>
      </c>
      <c r="EE293">
        <v>141988</v>
      </c>
      <c r="EF293">
        <v>141988</v>
      </c>
      <c r="EG293">
        <v>151978</v>
      </c>
      <c r="EH293">
        <v>160010</v>
      </c>
      <c r="EI293">
        <v>162924</v>
      </c>
      <c r="EJ293">
        <v>166542</v>
      </c>
      <c r="EK293">
        <v>166542</v>
      </c>
      <c r="EL293">
        <v>173566</v>
      </c>
      <c r="EM293">
        <v>183136</v>
      </c>
      <c r="EN293">
        <v>194683</v>
      </c>
      <c r="EO293">
        <v>206223</v>
      </c>
      <c r="EP293">
        <v>206223</v>
      </c>
      <c r="EQ293">
        <v>220714</v>
      </c>
      <c r="ER293">
        <v>238268</v>
      </c>
      <c r="ES293">
        <v>253152</v>
      </c>
      <c r="ET293">
        <v>268477</v>
      </c>
      <c r="EU293">
        <v>268477</v>
      </c>
      <c r="EV293">
        <v>287723</v>
      </c>
      <c r="EW293">
        <v>302695</v>
      </c>
      <c r="EX293">
        <v>321891</v>
      </c>
      <c r="EY293">
        <v>339436.95177747199</v>
      </c>
      <c r="EZ293">
        <v>339436.95177747199</v>
      </c>
      <c r="FA293">
        <v>359630.37488392898</v>
      </c>
      <c r="FB293">
        <v>380633.506261973</v>
      </c>
      <c r="FC293">
        <v>402153.10502385302</v>
      </c>
      <c r="FD293">
        <v>425215.14146285498</v>
      </c>
      <c r="FE293">
        <v>425215.14146285498</v>
      </c>
      <c r="FF293">
        <v>450207.44148410199</v>
      </c>
      <c r="FG293">
        <v>476057.94759226101</v>
      </c>
      <c r="FH293">
        <v>502451.96254645498</v>
      </c>
      <c r="FI293">
        <v>530757.70700199204</v>
      </c>
      <c r="FJ293">
        <v>530757.70700199204</v>
      </c>
      <c r="FK293">
        <v>560196.95700997999</v>
      </c>
      <c r="FL293">
        <v>590642.61345440603</v>
      </c>
      <c r="FM293">
        <v>621755.26324140397</v>
      </c>
      <c r="FN293">
        <v>655220.84456160001</v>
      </c>
      <c r="FO293">
        <v>655220.84456160001</v>
      </c>
    </row>
    <row r="294" spans="1:171">
      <c r="A294" t="s">
        <v>30</v>
      </c>
    </row>
    <row r="295" spans="1:171">
      <c r="B295" t="s">
        <v>1135</v>
      </c>
      <c r="C295" t="s">
        <v>1136</v>
      </c>
      <c r="D295" t="s">
        <v>379</v>
      </c>
      <c r="F295">
        <v>-714</v>
      </c>
      <c r="G295">
        <v>-271</v>
      </c>
      <c r="H295">
        <v>-310</v>
      </c>
      <c r="I295">
        <v>-302</v>
      </c>
      <c r="J295">
        <v>-301</v>
      </c>
      <c r="K295">
        <v>-1184</v>
      </c>
      <c r="L295">
        <v>-331</v>
      </c>
      <c r="M295">
        <v>-399</v>
      </c>
      <c r="N295">
        <v>-561</v>
      </c>
      <c r="O295">
        <v>-569</v>
      </c>
      <c r="P295">
        <v>-1860</v>
      </c>
      <c r="Q295">
        <v>-539</v>
      </c>
      <c r="R295">
        <v>-637</v>
      </c>
      <c r="S295">
        <v>-720</v>
      </c>
      <c r="T295">
        <v>-731</v>
      </c>
      <c r="U295">
        <v>-2627</v>
      </c>
      <c r="V295">
        <v>-820</v>
      </c>
      <c r="W295">
        <v>-1068</v>
      </c>
      <c r="X295">
        <v>-1032</v>
      </c>
      <c r="Y295">
        <v>-1186</v>
      </c>
      <c r="Z295">
        <v>-4106</v>
      </c>
      <c r="AA295">
        <v>-1129</v>
      </c>
      <c r="AB295">
        <v>-1255</v>
      </c>
      <c r="AC295">
        <v>-1228</v>
      </c>
      <c r="AD295">
        <v>-1242</v>
      </c>
      <c r="AE295">
        <v>-4854</v>
      </c>
      <c r="AF295">
        <v>-1271</v>
      </c>
      <c r="AG295">
        <v>-1293</v>
      </c>
      <c r="AH295">
        <v>-1207</v>
      </c>
      <c r="AI295">
        <v>-33</v>
      </c>
      <c r="AJ295">
        <v>-3804</v>
      </c>
      <c r="AK295">
        <v>-604</v>
      </c>
      <c r="AL295">
        <v>-1074</v>
      </c>
      <c r="AM295">
        <v>-1288</v>
      </c>
      <c r="AN295">
        <v>-718</v>
      </c>
      <c r="AO295">
        <v>-3684</v>
      </c>
      <c r="AP295">
        <v>-1006</v>
      </c>
      <c r="AQ295">
        <v>-731</v>
      </c>
      <c r="AR295">
        <v>-1055</v>
      </c>
      <c r="AS295">
        <v>-731</v>
      </c>
      <c r="AT295">
        <v>-3523</v>
      </c>
      <c r="AU295">
        <v>-1287</v>
      </c>
      <c r="AV295">
        <v>-763</v>
      </c>
      <c r="AW295">
        <v>-964</v>
      </c>
      <c r="AX295">
        <v>-1014</v>
      </c>
      <c r="AY295">
        <v>-4028</v>
      </c>
      <c r="AZ295">
        <v>-1245</v>
      </c>
      <c r="BA295">
        <v>-1706</v>
      </c>
      <c r="BB295">
        <v>-1262</v>
      </c>
      <c r="BC295">
        <v>-161</v>
      </c>
      <c r="BD295">
        <v>-4374</v>
      </c>
      <c r="BE295">
        <v>-1411</v>
      </c>
      <c r="BF295">
        <v>-1484</v>
      </c>
      <c r="BG295">
        <v>-1338</v>
      </c>
      <c r="BH295">
        <v>-1430</v>
      </c>
      <c r="BI295">
        <v>-5663</v>
      </c>
      <c r="BJ295">
        <v>-1563</v>
      </c>
      <c r="BK295">
        <v>-1179</v>
      </c>
      <c r="BL295">
        <v>-2045</v>
      </c>
      <c r="BM295">
        <v>-1249</v>
      </c>
      <c r="BN295">
        <v>-6036</v>
      </c>
      <c r="BO295">
        <v>-1927</v>
      </c>
      <c r="BP295">
        <v>-2113</v>
      </c>
      <c r="BQ295">
        <v>-422</v>
      </c>
      <c r="BR295">
        <v>-1671</v>
      </c>
      <c r="BS295">
        <v>-6133</v>
      </c>
      <c r="BT295">
        <v>-1618</v>
      </c>
      <c r="BU295">
        <v>-1464</v>
      </c>
      <c r="BV295">
        <v>-1073</v>
      </c>
      <c r="BW295">
        <v>-1097</v>
      </c>
      <c r="BX295">
        <v>-5252</v>
      </c>
      <c r="BY295">
        <v>-1191</v>
      </c>
      <c r="BZ295">
        <v>-2221</v>
      </c>
      <c r="CA295">
        <v>-1335</v>
      </c>
      <c r="CB295">
        <v>-1506</v>
      </c>
      <c r="CC295">
        <v>-6253</v>
      </c>
      <c r="CD295">
        <v>-1820</v>
      </c>
      <c r="CE295">
        <v>-1863</v>
      </c>
      <c r="CF295">
        <v>-793</v>
      </c>
      <c r="CG295">
        <v>-445</v>
      </c>
      <c r="CH295">
        <v>-4921</v>
      </c>
      <c r="CI295">
        <v>-1568</v>
      </c>
      <c r="CJ295">
        <v>-1615</v>
      </c>
      <c r="CK295">
        <v>-1255</v>
      </c>
      <c r="CL295">
        <v>-851</v>
      </c>
      <c r="CM295">
        <v>-5289</v>
      </c>
      <c r="CN295">
        <v>-1068</v>
      </c>
      <c r="CO295">
        <v>-1393</v>
      </c>
      <c r="CP295">
        <v>-1548</v>
      </c>
      <c r="CQ295">
        <v>-1180</v>
      </c>
      <c r="CR295">
        <v>-5189</v>
      </c>
      <c r="CS295">
        <v>-1164</v>
      </c>
      <c r="CT295">
        <v>-1320</v>
      </c>
      <c r="CU295">
        <v>-1297</v>
      </c>
      <c r="CV295">
        <v>-1965</v>
      </c>
      <c r="CW295">
        <v>-5746</v>
      </c>
      <c r="CX295">
        <v>-1356</v>
      </c>
      <c r="CY295">
        <v>-1987</v>
      </c>
      <c r="CZ295">
        <v>-1532</v>
      </c>
      <c r="DA295">
        <v>-1439</v>
      </c>
      <c r="DB295">
        <v>-6314</v>
      </c>
      <c r="DC295">
        <v>-893</v>
      </c>
      <c r="DD295">
        <v>-857</v>
      </c>
      <c r="DE295">
        <v>-1280</v>
      </c>
      <c r="DF295">
        <v>-225</v>
      </c>
      <c r="DG295">
        <v>-3255</v>
      </c>
      <c r="DH295">
        <v>-1160</v>
      </c>
      <c r="DI295">
        <v>-1755</v>
      </c>
      <c r="DJ295">
        <v>-1608</v>
      </c>
      <c r="DK295">
        <v>111</v>
      </c>
      <c r="DL295">
        <v>-4412</v>
      </c>
      <c r="DM295">
        <v>-1408</v>
      </c>
      <c r="DN295">
        <v>-15471</v>
      </c>
      <c r="DO295">
        <v>-1217</v>
      </c>
      <c r="DP295">
        <v>-1807</v>
      </c>
      <c r="DQ295">
        <v>-19903</v>
      </c>
      <c r="DR295">
        <v>-1397</v>
      </c>
      <c r="DS295">
        <v>-1965</v>
      </c>
      <c r="DT295">
        <v>-1677</v>
      </c>
      <c r="DU295">
        <v>591</v>
      </c>
      <c r="DV295">
        <v>-4448</v>
      </c>
      <c r="DW295">
        <v>-2008</v>
      </c>
      <c r="DX295">
        <v>-2436</v>
      </c>
      <c r="DY295">
        <v>-2091</v>
      </c>
      <c r="DZ295">
        <v>-2220</v>
      </c>
      <c r="EA295">
        <v>-8755</v>
      </c>
      <c r="EB295">
        <v>-2231</v>
      </c>
      <c r="EC295">
        <v>-2874</v>
      </c>
      <c r="ED295">
        <v>-1779</v>
      </c>
      <c r="EE295">
        <v>-2947</v>
      </c>
      <c r="EF295">
        <v>-9831</v>
      </c>
      <c r="EG295">
        <v>-19</v>
      </c>
      <c r="EH295">
        <v>-3750</v>
      </c>
      <c r="EI295">
        <v>-3462</v>
      </c>
      <c r="EJ295">
        <v>-3747</v>
      </c>
      <c r="EK295">
        <v>-10978</v>
      </c>
      <c r="EL295">
        <v>-4016</v>
      </c>
      <c r="EM295">
        <v>-3914</v>
      </c>
      <c r="EN295">
        <v>-4374</v>
      </c>
      <c r="EO295">
        <v>-4646</v>
      </c>
      <c r="EP295">
        <v>-16950</v>
      </c>
      <c r="EQ295">
        <v>-4993</v>
      </c>
      <c r="ER295">
        <v>-4656</v>
      </c>
      <c r="ES295">
        <v>-4788</v>
      </c>
      <c r="ET295">
        <v>-5214</v>
      </c>
      <c r="EU295">
        <v>-19651</v>
      </c>
      <c r="EV295">
        <v>-5602</v>
      </c>
      <c r="EW295">
        <v>-5257</v>
      </c>
      <c r="EX295">
        <v>-5553</v>
      </c>
      <c r="EY295">
        <v>-5941.9463849562298</v>
      </c>
      <c r="EZ295">
        <v>-22353.946384956202</v>
      </c>
      <c r="FA295">
        <v>-6054.9201438668397</v>
      </c>
      <c r="FB295">
        <v>-6336.7292771682996</v>
      </c>
      <c r="FC295">
        <v>-6446.6913508624502</v>
      </c>
      <c r="FD295">
        <v>-6738.8323098106903</v>
      </c>
      <c r="FE295">
        <v>-25577.173081708301</v>
      </c>
      <c r="FF295">
        <v>-7203.3570572787503</v>
      </c>
      <c r="FG295">
        <v>-7507.9537338036798</v>
      </c>
      <c r="FH295">
        <v>-7622.5417972546602</v>
      </c>
      <c r="FI295">
        <v>-7989.0975163942303</v>
      </c>
      <c r="FJ295">
        <v>-30322.950104731299</v>
      </c>
      <c r="FK295">
        <v>-8289.5921348009597</v>
      </c>
      <c r="FL295">
        <v>-8640.4480354711195</v>
      </c>
      <c r="FM295">
        <v>-8780.8418522556694</v>
      </c>
      <c r="FN295">
        <v>-9237.1254664906701</v>
      </c>
      <c r="FO295">
        <v>-34948.007489018397</v>
      </c>
    </row>
    <row r="296" spans="1:171">
      <c r="B296" t="s">
        <v>734</v>
      </c>
      <c r="C296" t="s">
        <v>1137</v>
      </c>
      <c r="D296" t="s">
        <v>379</v>
      </c>
    </row>
    <row r="297" spans="1:171">
      <c r="B297" t="s">
        <v>1138</v>
      </c>
      <c r="C297" t="s">
        <v>1139</v>
      </c>
      <c r="D297" t="s">
        <v>379</v>
      </c>
      <c r="F297">
        <v>1453</v>
      </c>
      <c r="G297">
        <v>499</v>
      </c>
      <c r="H297">
        <v>575</v>
      </c>
      <c r="I297">
        <v>562</v>
      </c>
      <c r="J297">
        <v>559</v>
      </c>
      <c r="K297">
        <v>2195</v>
      </c>
      <c r="L297">
        <v>614</v>
      </c>
      <c r="M297">
        <v>741</v>
      </c>
      <c r="N297">
        <v>1042</v>
      </c>
      <c r="O297">
        <v>1057</v>
      </c>
      <c r="P297">
        <v>3454</v>
      </c>
      <c r="Q297">
        <v>663</v>
      </c>
      <c r="R297">
        <v>1133</v>
      </c>
      <c r="S297">
        <v>1337</v>
      </c>
      <c r="T297">
        <v>1357</v>
      </c>
      <c r="U297">
        <v>4490</v>
      </c>
      <c r="V297">
        <v>1683</v>
      </c>
      <c r="W297">
        <v>1983</v>
      </c>
      <c r="X297">
        <v>1917</v>
      </c>
      <c r="Y297">
        <v>2202</v>
      </c>
      <c r="Z297">
        <v>7785</v>
      </c>
      <c r="AA297">
        <v>2191</v>
      </c>
      <c r="AB297">
        <v>2436</v>
      </c>
      <c r="AC297">
        <v>2385</v>
      </c>
      <c r="AD297">
        <v>2409</v>
      </c>
      <c r="AE297">
        <v>9421</v>
      </c>
      <c r="AF297">
        <v>2206</v>
      </c>
      <c r="AG297">
        <v>2624</v>
      </c>
      <c r="AH297">
        <v>2451</v>
      </c>
      <c r="AI297">
        <v>65</v>
      </c>
      <c r="AJ297">
        <v>7346</v>
      </c>
      <c r="AK297">
        <v>1283</v>
      </c>
      <c r="AL297">
        <v>2283</v>
      </c>
      <c r="AM297">
        <v>2738</v>
      </c>
      <c r="AN297">
        <v>1525</v>
      </c>
      <c r="AO297">
        <v>7829</v>
      </c>
      <c r="AP297">
        <v>2041</v>
      </c>
      <c r="AQ297">
        <v>1865</v>
      </c>
      <c r="AR297">
        <v>2142</v>
      </c>
      <c r="AS297">
        <v>1483</v>
      </c>
      <c r="AT297">
        <v>7531</v>
      </c>
      <c r="AU297">
        <v>2614</v>
      </c>
      <c r="AV297">
        <v>1549</v>
      </c>
      <c r="AW297">
        <v>1315</v>
      </c>
      <c r="AX297">
        <v>2690</v>
      </c>
      <c r="AY297">
        <v>8168</v>
      </c>
      <c r="AZ297">
        <v>2528</v>
      </c>
      <c r="BA297">
        <v>3463</v>
      </c>
      <c r="BB297">
        <v>2563</v>
      </c>
      <c r="BC297">
        <v>3700</v>
      </c>
      <c r="BD297">
        <v>12254</v>
      </c>
      <c r="BE297">
        <v>3141</v>
      </c>
      <c r="BF297">
        <v>3653</v>
      </c>
      <c r="BG297">
        <v>2977</v>
      </c>
      <c r="BH297">
        <v>2828</v>
      </c>
      <c r="BI297">
        <v>12599</v>
      </c>
      <c r="BJ297">
        <v>3478</v>
      </c>
      <c r="BK297">
        <v>2626</v>
      </c>
      <c r="BL297">
        <v>4926</v>
      </c>
      <c r="BM297">
        <v>3035</v>
      </c>
      <c r="BN297">
        <v>14065</v>
      </c>
      <c r="BO297">
        <v>4289</v>
      </c>
      <c r="BP297">
        <v>4707</v>
      </c>
      <c r="BQ297">
        <v>4388</v>
      </c>
      <c r="BR297">
        <v>4297</v>
      </c>
      <c r="BS297">
        <v>17681</v>
      </c>
      <c r="BT297">
        <v>4373</v>
      </c>
      <c r="BU297">
        <v>4174</v>
      </c>
      <c r="BV297">
        <v>2977</v>
      </c>
      <c r="BW297">
        <v>3045</v>
      </c>
      <c r="BX297">
        <v>14569</v>
      </c>
      <c r="BY297">
        <v>3574</v>
      </c>
      <c r="BZ297">
        <v>6662</v>
      </c>
      <c r="CA297">
        <v>4006</v>
      </c>
      <c r="CB297">
        <v>4518</v>
      </c>
      <c r="CC297">
        <v>18760</v>
      </c>
      <c r="CD297">
        <v>5410</v>
      </c>
      <c r="CE297">
        <v>6634</v>
      </c>
      <c r="CF297">
        <v>5232</v>
      </c>
      <c r="CG297">
        <v>5874</v>
      </c>
      <c r="CH297">
        <v>23150</v>
      </c>
      <c r="CI297">
        <v>5738</v>
      </c>
      <c r="CJ297">
        <v>6624</v>
      </c>
      <c r="CK297">
        <v>5108</v>
      </c>
      <c r="CL297">
        <v>-492</v>
      </c>
      <c r="CM297">
        <v>16978</v>
      </c>
      <c r="CN297">
        <v>4466</v>
      </c>
      <c r="CO297">
        <v>6377</v>
      </c>
      <c r="CP297">
        <v>6055</v>
      </c>
      <c r="CQ297">
        <v>4965</v>
      </c>
      <c r="CR297">
        <v>21863</v>
      </c>
      <c r="CS297">
        <v>5244</v>
      </c>
      <c r="CT297">
        <v>6558</v>
      </c>
      <c r="CU297">
        <v>5660</v>
      </c>
      <c r="CV297">
        <v>4612</v>
      </c>
      <c r="CW297">
        <v>22074</v>
      </c>
      <c r="CX297">
        <v>4540</v>
      </c>
      <c r="CY297">
        <v>5863</v>
      </c>
      <c r="CZ297">
        <v>4985</v>
      </c>
      <c r="DA297">
        <v>-3195</v>
      </c>
      <c r="DB297">
        <v>12193</v>
      </c>
      <c r="DC297">
        <v>4620</v>
      </c>
      <c r="DD297">
        <v>4998</v>
      </c>
      <c r="DE297">
        <v>3756</v>
      </c>
      <c r="DF297">
        <v>3122</v>
      </c>
      <c r="DG297">
        <v>16496</v>
      </c>
      <c r="DH297">
        <v>5667</v>
      </c>
      <c r="DI297">
        <v>6267</v>
      </c>
      <c r="DJ297">
        <v>5486</v>
      </c>
      <c r="DK297">
        <v>8069</v>
      </c>
      <c r="DL297">
        <v>25489</v>
      </c>
      <c r="DM297">
        <v>6576</v>
      </c>
      <c r="DN297">
        <v>-6302</v>
      </c>
      <c r="DO297">
        <v>7424</v>
      </c>
      <c r="DP297">
        <v>8873</v>
      </c>
      <c r="DQ297">
        <v>16571</v>
      </c>
      <c r="DR297">
        <v>8824</v>
      </c>
      <c r="DS297">
        <v>8420</v>
      </c>
      <c r="DT297">
        <v>8809</v>
      </c>
      <c r="DU297">
        <v>13187</v>
      </c>
      <c r="DV297">
        <v>39240</v>
      </c>
      <c r="DW297">
        <v>10678</v>
      </c>
      <c r="DX297">
        <v>11649</v>
      </c>
      <c r="DY297">
        <v>10752</v>
      </c>
      <c r="DZ297">
        <v>11202</v>
      </c>
      <c r="EA297">
        <v>44281</v>
      </c>
      <c r="EB297">
        <v>13893</v>
      </c>
      <c r="EC297">
        <v>15463</v>
      </c>
      <c r="ED297">
        <v>15457</v>
      </c>
      <c r="EE297">
        <v>16458</v>
      </c>
      <c r="EF297">
        <v>61271</v>
      </c>
      <c r="EG297">
        <v>20505</v>
      </c>
      <c r="EH297">
        <v>18765</v>
      </c>
      <c r="EI297">
        <v>16728</v>
      </c>
      <c r="EJ297">
        <v>16740</v>
      </c>
      <c r="EK297">
        <v>72738</v>
      </c>
      <c r="EL297">
        <v>17556</v>
      </c>
      <c r="EM297">
        <v>16425</v>
      </c>
      <c r="EN297">
        <v>18299</v>
      </c>
      <c r="EO297">
        <v>20081</v>
      </c>
      <c r="EP297">
        <v>72361</v>
      </c>
      <c r="EQ297">
        <v>22291</v>
      </c>
      <c r="ER297">
        <v>21870</v>
      </c>
      <c r="ES297">
        <v>21939</v>
      </c>
      <c r="ET297">
        <v>22036</v>
      </c>
      <c r="EU297">
        <v>88136</v>
      </c>
      <c r="EV297">
        <v>24667</v>
      </c>
      <c r="EW297">
        <v>24108</v>
      </c>
      <c r="EX297">
        <v>25824</v>
      </c>
      <c r="EY297">
        <v>25331.4556411292</v>
      </c>
      <c r="EZ297">
        <v>99930.4556411292</v>
      </c>
      <c r="FA297">
        <v>27583.5250998378</v>
      </c>
      <c r="FB297">
        <v>28867.322262655602</v>
      </c>
      <c r="FC297">
        <v>29368.260598373399</v>
      </c>
      <c r="FD297">
        <v>30699.124966915399</v>
      </c>
      <c r="FE297">
        <v>116518.232927782</v>
      </c>
      <c r="FF297">
        <v>32815.293260936502</v>
      </c>
      <c r="FG297">
        <v>34202.900342883397</v>
      </c>
      <c r="FH297">
        <v>34724.912631937899</v>
      </c>
      <c r="FI297">
        <v>36394.777574684798</v>
      </c>
      <c r="FJ297">
        <v>138137.88381044299</v>
      </c>
      <c r="FK297">
        <v>37763.697502982097</v>
      </c>
      <c r="FL297">
        <v>39362.041050479602</v>
      </c>
      <c r="FM297">
        <v>40001.612882498099</v>
      </c>
      <c r="FN297">
        <v>42080.238236235302</v>
      </c>
      <c r="FO297">
        <v>159207.589672195</v>
      </c>
    </row>
    <row r="298" spans="1:171">
      <c r="B298" t="s">
        <v>1140</v>
      </c>
      <c r="C298" t="s">
        <v>1141</v>
      </c>
      <c r="D298" t="s">
        <v>379</v>
      </c>
    </row>
    <row r="299" spans="1:171">
      <c r="B299" t="s">
        <v>1142</v>
      </c>
      <c r="C299" t="s">
        <v>1143</v>
      </c>
      <c r="D299" t="s">
        <v>379</v>
      </c>
      <c r="F299">
        <v>1453</v>
      </c>
      <c r="G299">
        <v>499</v>
      </c>
      <c r="H299">
        <v>575</v>
      </c>
      <c r="I299">
        <v>562</v>
      </c>
      <c r="J299">
        <v>559</v>
      </c>
      <c r="K299">
        <v>2195</v>
      </c>
      <c r="L299">
        <v>614</v>
      </c>
      <c r="M299">
        <v>741</v>
      </c>
      <c r="N299">
        <v>1042</v>
      </c>
      <c r="O299">
        <v>1057</v>
      </c>
      <c r="P299">
        <v>3454</v>
      </c>
      <c r="Q299">
        <v>663</v>
      </c>
      <c r="R299">
        <v>1133</v>
      </c>
      <c r="S299">
        <v>1337</v>
      </c>
      <c r="T299">
        <v>1357</v>
      </c>
      <c r="U299">
        <v>4490</v>
      </c>
      <c r="V299">
        <v>1683</v>
      </c>
      <c r="W299">
        <v>1983</v>
      </c>
      <c r="X299">
        <v>1917</v>
      </c>
      <c r="Y299">
        <v>2202</v>
      </c>
      <c r="Z299">
        <v>7785</v>
      </c>
      <c r="AA299">
        <v>2191</v>
      </c>
      <c r="AB299">
        <v>2436</v>
      </c>
      <c r="AC299">
        <v>2385</v>
      </c>
      <c r="AD299">
        <v>2409</v>
      </c>
      <c r="AE299">
        <v>9421</v>
      </c>
      <c r="AF299">
        <v>2206</v>
      </c>
      <c r="AG299">
        <v>2624</v>
      </c>
      <c r="AH299">
        <v>2451</v>
      </c>
      <c r="AI299">
        <v>65</v>
      </c>
      <c r="AJ299">
        <v>7346</v>
      </c>
      <c r="AK299">
        <v>1283</v>
      </c>
      <c r="AL299">
        <v>2283</v>
      </c>
      <c r="AM299">
        <v>2738</v>
      </c>
      <c r="AN299">
        <v>1525</v>
      </c>
      <c r="AO299">
        <v>7829</v>
      </c>
      <c r="AP299">
        <v>2041</v>
      </c>
      <c r="AQ299">
        <v>1865</v>
      </c>
      <c r="AR299">
        <v>2142</v>
      </c>
      <c r="AS299">
        <v>1483</v>
      </c>
      <c r="AT299">
        <v>7531</v>
      </c>
      <c r="AU299">
        <v>2614</v>
      </c>
      <c r="AV299">
        <v>1549</v>
      </c>
      <c r="AW299">
        <v>1315</v>
      </c>
      <c r="AX299">
        <v>2690</v>
      </c>
      <c r="AY299">
        <v>8168</v>
      </c>
      <c r="AZ299">
        <v>2528</v>
      </c>
      <c r="BA299">
        <v>3463</v>
      </c>
      <c r="BB299">
        <v>2563</v>
      </c>
      <c r="BC299">
        <v>3700</v>
      </c>
      <c r="BD299">
        <v>12254</v>
      </c>
      <c r="BE299">
        <v>3141</v>
      </c>
      <c r="BF299">
        <v>3653</v>
      </c>
      <c r="BG299">
        <v>2977</v>
      </c>
      <c r="BH299">
        <v>2828</v>
      </c>
      <c r="BI299">
        <v>12599</v>
      </c>
      <c r="BJ299">
        <v>3478</v>
      </c>
      <c r="BK299">
        <v>2626</v>
      </c>
      <c r="BL299">
        <v>4926</v>
      </c>
      <c r="BM299">
        <v>3035</v>
      </c>
      <c r="BN299">
        <v>14065</v>
      </c>
      <c r="BO299">
        <v>4289</v>
      </c>
      <c r="BP299">
        <v>4707</v>
      </c>
      <c r="BQ299">
        <v>4388</v>
      </c>
      <c r="BR299">
        <v>4297</v>
      </c>
      <c r="BS299">
        <v>17681</v>
      </c>
      <c r="BT299">
        <v>4373</v>
      </c>
      <c r="BU299">
        <v>4174</v>
      </c>
      <c r="BV299">
        <v>2977</v>
      </c>
      <c r="BW299">
        <v>3045</v>
      </c>
      <c r="BX299">
        <v>14569</v>
      </c>
      <c r="BY299">
        <v>3574</v>
      </c>
      <c r="BZ299">
        <v>6662</v>
      </c>
      <c r="CA299">
        <v>4006</v>
      </c>
      <c r="CB299">
        <v>4518</v>
      </c>
      <c r="CC299">
        <v>18760</v>
      </c>
      <c r="CD299">
        <v>5410</v>
      </c>
      <c r="CE299">
        <v>6634</v>
      </c>
      <c r="CF299">
        <v>5232</v>
      </c>
      <c r="CG299">
        <v>5874</v>
      </c>
      <c r="CH299">
        <v>23150</v>
      </c>
      <c r="CI299">
        <v>5738</v>
      </c>
      <c r="CJ299">
        <v>6624</v>
      </c>
      <c r="CK299">
        <v>5108</v>
      </c>
      <c r="CL299">
        <v>-492</v>
      </c>
      <c r="CM299">
        <v>16978</v>
      </c>
      <c r="CN299">
        <v>4466</v>
      </c>
      <c r="CO299">
        <v>6377</v>
      </c>
      <c r="CP299">
        <v>6055</v>
      </c>
      <c r="CQ299">
        <v>4965</v>
      </c>
      <c r="CR299">
        <v>21863</v>
      </c>
      <c r="CS299">
        <v>5244</v>
      </c>
      <c r="CT299">
        <v>6558</v>
      </c>
      <c r="CU299">
        <v>5660</v>
      </c>
      <c r="CV299">
        <v>4612</v>
      </c>
      <c r="CW299">
        <v>22074</v>
      </c>
      <c r="CX299">
        <v>4540</v>
      </c>
      <c r="CY299">
        <v>5863</v>
      </c>
      <c r="CZ299">
        <v>4985</v>
      </c>
      <c r="DA299">
        <v>-3195</v>
      </c>
      <c r="DB299">
        <v>12193</v>
      </c>
      <c r="DC299">
        <v>4620</v>
      </c>
      <c r="DD299">
        <v>4998</v>
      </c>
      <c r="DE299">
        <v>3756</v>
      </c>
      <c r="DF299">
        <v>3122</v>
      </c>
      <c r="DG299">
        <v>16496</v>
      </c>
      <c r="DH299">
        <v>5667</v>
      </c>
      <c r="DI299">
        <v>6267</v>
      </c>
      <c r="DJ299">
        <v>5486</v>
      </c>
      <c r="DK299">
        <v>8069</v>
      </c>
      <c r="DL299">
        <v>25489</v>
      </c>
      <c r="DM299">
        <v>6576</v>
      </c>
      <c r="DN299">
        <v>-6302</v>
      </c>
      <c r="DO299">
        <v>7424</v>
      </c>
      <c r="DP299">
        <v>8873</v>
      </c>
      <c r="DQ299">
        <v>16571</v>
      </c>
      <c r="DR299">
        <v>8824</v>
      </c>
      <c r="DS299">
        <v>8420</v>
      </c>
      <c r="DT299">
        <v>8809</v>
      </c>
      <c r="DU299">
        <v>13187</v>
      </c>
      <c r="DV299">
        <v>39240</v>
      </c>
      <c r="DW299">
        <v>10678</v>
      </c>
      <c r="DX299">
        <v>11649</v>
      </c>
      <c r="DY299">
        <v>10752</v>
      </c>
      <c r="DZ299">
        <v>11202</v>
      </c>
      <c r="EA299">
        <v>44281</v>
      </c>
      <c r="EB299">
        <v>13893</v>
      </c>
      <c r="EC299">
        <v>15463</v>
      </c>
      <c r="ED299">
        <v>15457</v>
      </c>
      <c r="EE299">
        <v>16458</v>
      </c>
      <c r="EF299">
        <v>61271</v>
      </c>
      <c r="EG299">
        <v>20505</v>
      </c>
      <c r="EH299">
        <v>18765</v>
      </c>
      <c r="EI299">
        <v>16728</v>
      </c>
      <c r="EJ299">
        <v>16740</v>
      </c>
      <c r="EK299">
        <v>72738</v>
      </c>
      <c r="EL299">
        <v>17556</v>
      </c>
      <c r="EM299">
        <v>16425</v>
      </c>
      <c r="EN299">
        <v>18299</v>
      </c>
      <c r="EO299">
        <v>20081</v>
      </c>
      <c r="EP299">
        <v>72361</v>
      </c>
      <c r="EQ299">
        <v>22291</v>
      </c>
      <c r="ER299">
        <v>21870</v>
      </c>
      <c r="ES299">
        <v>21939</v>
      </c>
      <c r="ET299">
        <v>22036</v>
      </c>
      <c r="EU299">
        <v>88136</v>
      </c>
      <c r="EV299">
        <v>24667</v>
      </c>
      <c r="EW299">
        <v>24108</v>
      </c>
      <c r="EX299">
        <v>25824</v>
      </c>
      <c r="EY299">
        <v>25331.4556411292</v>
      </c>
      <c r="EZ299">
        <v>99930.4556411292</v>
      </c>
      <c r="FA299">
        <v>27583.5250998378</v>
      </c>
      <c r="FB299">
        <v>28867.322262655602</v>
      </c>
      <c r="FC299">
        <v>29368.260598373399</v>
      </c>
      <c r="FD299">
        <v>30699.124966915399</v>
      </c>
      <c r="FE299">
        <v>116518.232927782</v>
      </c>
      <c r="FF299">
        <v>32815.293260936502</v>
      </c>
      <c r="FG299">
        <v>34202.900342883397</v>
      </c>
      <c r="FH299">
        <v>34724.912631937899</v>
      </c>
      <c r="FI299">
        <v>36394.777574684798</v>
      </c>
      <c r="FJ299">
        <v>138137.88381044299</v>
      </c>
      <c r="FK299">
        <v>37763.697502982097</v>
      </c>
      <c r="FL299">
        <v>39362.041050479602</v>
      </c>
      <c r="FM299">
        <v>40001.612882498099</v>
      </c>
      <c r="FN299">
        <v>42080.238236235302</v>
      </c>
      <c r="FO299">
        <v>159207.589672195</v>
      </c>
    </row>
    <row r="300" spans="1:171">
      <c r="B300" t="s">
        <v>1144</v>
      </c>
      <c r="C300" t="s">
        <v>1145</v>
      </c>
      <c r="D300" t="s">
        <v>379</v>
      </c>
    </row>
    <row r="301" spans="1:171">
      <c r="B301" t="s">
        <v>1146</v>
      </c>
      <c r="C301" t="s">
        <v>1147</v>
      </c>
      <c r="D301" t="s">
        <v>379</v>
      </c>
      <c r="F301">
        <v>1453</v>
      </c>
      <c r="G301">
        <v>499</v>
      </c>
      <c r="H301">
        <v>575</v>
      </c>
      <c r="I301">
        <v>562</v>
      </c>
      <c r="J301">
        <v>559</v>
      </c>
      <c r="K301">
        <v>2195</v>
      </c>
      <c r="L301">
        <v>614</v>
      </c>
      <c r="M301">
        <v>741</v>
      </c>
      <c r="N301">
        <v>1042</v>
      </c>
      <c r="O301">
        <v>1057</v>
      </c>
      <c r="P301">
        <v>3454</v>
      </c>
      <c r="Q301">
        <v>663</v>
      </c>
      <c r="R301">
        <v>1133</v>
      </c>
      <c r="S301">
        <v>1337</v>
      </c>
      <c r="T301">
        <v>1357</v>
      </c>
      <c r="U301">
        <v>4490</v>
      </c>
      <c r="V301">
        <v>1683</v>
      </c>
      <c r="W301">
        <v>1983</v>
      </c>
      <c r="X301">
        <v>1917</v>
      </c>
      <c r="Y301">
        <v>2202</v>
      </c>
      <c r="Z301">
        <v>7785</v>
      </c>
      <c r="AA301">
        <v>2191</v>
      </c>
      <c r="AB301">
        <v>2436</v>
      </c>
      <c r="AC301">
        <v>2385</v>
      </c>
      <c r="AD301">
        <v>2409</v>
      </c>
      <c r="AE301">
        <v>9421</v>
      </c>
      <c r="AF301">
        <v>2206</v>
      </c>
      <c r="AG301">
        <v>2624</v>
      </c>
      <c r="AH301">
        <v>2451</v>
      </c>
      <c r="AI301">
        <v>65</v>
      </c>
      <c r="AJ301">
        <v>7346</v>
      </c>
      <c r="AK301">
        <v>1283</v>
      </c>
      <c r="AL301">
        <v>2283</v>
      </c>
      <c r="AM301">
        <v>2738</v>
      </c>
      <c r="AN301">
        <v>1525</v>
      </c>
      <c r="AO301">
        <v>7829</v>
      </c>
      <c r="AP301">
        <v>2041</v>
      </c>
      <c r="AQ301">
        <v>1865</v>
      </c>
      <c r="AR301">
        <v>2142</v>
      </c>
      <c r="AS301">
        <v>1483</v>
      </c>
      <c r="AT301">
        <v>7531</v>
      </c>
      <c r="AU301">
        <v>2614</v>
      </c>
      <c r="AV301">
        <v>1549</v>
      </c>
      <c r="AW301">
        <v>1315</v>
      </c>
      <c r="AX301">
        <v>2690</v>
      </c>
      <c r="AY301">
        <v>8168</v>
      </c>
      <c r="AZ301">
        <v>2528</v>
      </c>
      <c r="BA301">
        <v>3463</v>
      </c>
      <c r="BB301">
        <v>2563</v>
      </c>
      <c r="BC301">
        <v>3700</v>
      </c>
      <c r="BD301">
        <v>12254</v>
      </c>
      <c r="BE301">
        <v>3141</v>
      </c>
      <c r="BF301">
        <v>3653</v>
      </c>
      <c r="BG301">
        <v>2977</v>
      </c>
      <c r="BH301">
        <v>2828</v>
      </c>
      <c r="BI301">
        <v>12599</v>
      </c>
      <c r="BJ301">
        <v>3478</v>
      </c>
      <c r="BK301">
        <v>2626</v>
      </c>
      <c r="BL301">
        <v>4926</v>
      </c>
      <c r="BM301">
        <v>3035</v>
      </c>
      <c r="BN301">
        <v>14065</v>
      </c>
      <c r="BO301">
        <v>4289</v>
      </c>
      <c r="BP301">
        <v>4707</v>
      </c>
      <c r="BQ301">
        <v>4388</v>
      </c>
      <c r="BR301">
        <v>4297</v>
      </c>
      <c r="BS301">
        <v>17681</v>
      </c>
      <c r="BT301">
        <v>4373</v>
      </c>
      <c r="BU301">
        <v>4174</v>
      </c>
      <c r="BV301">
        <v>2977</v>
      </c>
      <c r="BW301">
        <v>3045</v>
      </c>
      <c r="BX301">
        <v>14569</v>
      </c>
      <c r="BY301">
        <v>3574</v>
      </c>
      <c r="BZ301">
        <v>6662</v>
      </c>
      <c r="CA301">
        <v>4006</v>
      </c>
      <c r="CB301">
        <v>4518</v>
      </c>
      <c r="CC301">
        <v>18760</v>
      </c>
      <c r="CD301">
        <v>5410</v>
      </c>
      <c r="CE301">
        <v>6634</v>
      </c>
      <c r="CF301">
        <v>5232</v>
      </c>
      <c r="CG301">
        <v>5874</v>
      </c>
      <c r="CH301">
        <v>23150</v>
      </c>
      <c r="CI301">
        <v>5738</v>
      </c>
      <c r="CJ301">
        <v>6624</v>
      </c>
      <c r="CK301">
        <v>5108</v>
      </c>
      <c r="CL301">
        <v>-492</v>
      </c>
      <c r="CM301">
        <v>16978</v>
      </c>
      <c r="CN301">
        <v>4466</v>
      </c>
      <c r="CO301">
        <v>6377</v>
      </c>
      <c r="CP301">
        <v>6055</v>
      </c>
      <c r="CQ301">
        <v>4965</v>
      </c>
      <c r="CR301">
        <v>21863</v>
      </c>
      <c r="CS301">
        <v>5244</v>
      </c>
      <c r="CT301">
        <v>6558</v>
      </c>
      <c r="CU301">
        <v>5660</v>
      </c>
      <c r="CV301">
        <v>4612</v>
      </c>
      <c r="CW301">
        <v>22074</v>
      </c>
      <c r="CX301">
        <v>4540</v>
      </c>
      <c r="CY301">
        <v>5863</v>
      </c>
      <c r="CZ301">
        <v>4985</v>
      </c>
      <c r="DA301">
        <v>-3195</v>
      </c>
      <c r="DB301">
        <v>12193</v>
      </c>
      <c r="DC301">
        <v>4620</v>
      </c>
      <c r="DD301">
        <v>4998</v>
      </c>
      <c r="DE301">
        <v>3756</v>
      </c>
      <c r="DF301">
        <v>3122</v>
      </c>
      <c r="DG301">
        <v>16496</v>
      </c>
      <c r="DH301">
        <v>5667</v>
      </c>
      <c r="DI301">
        <v>6267</v>
      </c>
      <c r="DJ301">
        <v>5486</v>
      </c>
      <c r="DK301">
        <v>8069</v>
      </c>
      <c r="DL301">
        <v>25489</v>
      </c>
      <c r="DM301">
        <v>6576</v>
      </c>
      <c r="DN301">
        <v>-6302</v>
      </c>
      <c r="DO301">
        <v>7424</v>
      </c>
      <c r="DP301">
        <v>8873</v>
      </c>
      <c r="DQ301">
        <v>16571</v>
      </c>
      <c r="DR301">
        <v>8824</v>
      </c>
      <c r="DS301">
        <v>8420</v>
      </c>
      <c r="DT301">
        <v>8809</v>
      </c>
      <c r="DU301">
        <v>13187</v>
      </c>
      <c r="DV301">
        <v>39240</v>
      </c>
      <c r="DW301">
        <v>10678</v>
      </c>
      <c r="DX301">
        <v>11649</v>
      </c>
      <c r="DY301">
        <v>10752</v>
      </c>
      <c r="DZ301">
        <v>11202</v>
      </c>
      <c r="EA301">
        <v>44281</v>
      </c>
      <c r="EB301">
        <v>13893</v>
      </c>
      <c r="EC301">
        <v>15463</v>
      </c>
      <c r="ED301">
        <v>15457</v>
      </c>
      <c r="EE301">
        <v>16458</v>
      </c>
      <c r="EF301">
        <v>61271</v>
      </c>
      <c r="EG301">
        <v>20505</v>
      </c>
      <c r="EH301">
        <v>18765</v>
      </c>
      <c r="EI301">
        <v>16728</v>
      </c>
      <c r="EJ301">
        <v>16740</v>
      </c>
      <c r="EK301">
        <v>72738</v>
      </c>
      <c r="EL301">
        <v>17556</v>
      </c>
      <c r="EM301">
        <v>16425</v>
      </c>
      <c r="EN301">
        <v>18299</v>
      </c>
      <c r="EO301">
        <v>20081</v>
      </c>
      <c r="EP301">
        <v>72361</v>
      </c>
      <c r="EQ301">
        <v>22291</v>
      </c>
      <c r="ER301">
        <v>21870</v>
      </c>
      <c r="ES301">
        <v>21939</v>
      </c>
      <c r="ET301">
        <v>22036</v>
      </c>
      <c r="EU301">
        <v>88136</v>
      </c>
      <c r="EV301">
        <v>24667</v>
      </c>
      <c r="EW301">
        <v>24108</v>
      </c>
      <c r="EX301">
        <v>25824</v>
      </c>
      <c r="EY301">
        <v>25331.4556411292</v>
      </c>
      <c r="EZ301">
        <v>99930.4556411292</v>
      </c>
      <c r="FA301">
        <v>27583.5250998378</v>
      </c>
      <c r="FB301">
        <v>28867.322262655602</v>
      </c>
      <c r="FC301">
        <v>29368.260598373399</v>
      </c>
      <c r="FD301">
        <v>30699.124966915399</v>
      </c>
      <c r="FE301">
        <v>116518.232927782</v>
      </c>
      <c r="FF301">
        <v>32815.293260936502</v>
      </c>
      <c r="FG301">
        <v>34202.900342883397</v>
      </c>
      <c r="FH301">
        <v>34724.912631937899</v>
      </c>
      <c r="FI301">
        <v>36394.777574684798</v>
      </c>
      <c r="FJ301">
        <v>138137.88381044299</v>
      </c>
      <c r="FK301">
        <v>37763.697502982097</v>
      </c>
      <c r="FL301">
        <v>39362.041050479602</v>
      </c>
      <c r="FM301">
        <v>40001.612882498099</v>
      </c>
      <c r="FN301">
        <v>42080.238236235302</v>
      </c>
      <c r="FO301">
        <v>159207.589672195</v>
      </c>
    </row>
    <row r="302" spans="1:171">
      <c r="B302" t="s">
        <v>1148</v>
      </c>
      <c r="C302" t="s">
        <v>319</v>
      </c>
      <c r="D302" t="s">
        <v>379</v>
      </c>
      <c r="F302">
        <v>2.3173843700160002</v>
      </c>
      <c r="G302">
        <v>0.77968749999999998</v>
      </c>
      <c r="H302">
        <v>0.90125391849500003</v>
      </c>
      <c r="I302">
        <v>0.879499217527</v>
      </c>
      <c r="J302">
        <v>0.86666666666699999</v>
      </c>
      <c r="K302">
        <v>3.4270101483220001</v>
      </c>
      <c r="L302">
        <v>0.47449768160700001</v>
      </c>
      <c r="M302">
        <v>0.61750000000000005</v>
      </c>
      <c r="N302">
        <v>0.43416666666699999</v>
      </c>
      <c r="O302">
        <v>0.44041666666700002</v>
      </c>
      <c r="P302">
        <v>1.8941595832189999</v>
      </c>
      <c r="Q302">
        <v>0.49737434358600002</v>
      </c>
      <c r="R302">
        <v>0.92868852458999995</v>
      </c>
      <c r="S302">
        <v>0.54571428571400005</v>
      </c>
      <c r="T302">
        <v>0.53215686274499996</v>
      </c>
      <c r="U302">
        <v>2.377863100755</v>
      </c>
      <c r="V302">
        <v>0.68</v>
      </c>
      <c r="W302">
        <v>0.79320000000000002</v>
      </c>
      <c r="X302">
        <v>0.37588235294099998</v>
      </c>
      <c r="Y302">
        <v>0.431764705882</v>
      </c>
      <c r="Z302">
        <v>2.0520593080720002</v>
      </c>
      <c r="AA302">
        <v>0.42960784313700001</v>
      </c>
      <c r="AB302">
        <v>0.468461538462</v>
      </c>
      <c r="AC302">
        <v>0.45865384615400001</v>
      </c>
      <c r="AD302">
        <v>0.45885714285700002</v>
      </c>
      <c r="AE302">
        <v>1.816096385542</v>
      </c>
      <c r="AF302">
        <v>0.41630496320100002</v>
      </c>
      <c r="AG302">
        <v>0.49230769230799998</v>
      </c>
      <c r="AH302">
        <v>0.45933283358299998</v>
      </c>
      <c r="AI302">
        <v>1.2079539118999999E-2</v>
      </c>
      <c r="AJ302">
        <v>1.376557668884</v>
      </c>
      <c r="AK302">
        <v>0.23768062245300001</v>
      </c>
      <c r="AL302">
        <v>0.42316960148299998</v>
      </c>
      <c r="AM302">
        <v>0.50563250230800005</v>
      </c>
      <c r="AN302">
        <v>0.28162511542000002</v>
      </c>
      <c r="AO302">
        <v>1.4482726726170001</v>
      </c>
      <c r="AP302">
        <v>0.19005493993899999</v>
      </c>
      <c r="AQ302">
        <v>0.17425021022100001</v>
      </c>
      <c r="AR302">
        <v>0.19990667288799999</v>
      </c>
      <c r="AS302">
        <v>0.13812051783599999</v>
      </c>
      <c r="AT302">
        <v>0.70228936448000001</v>
      </c>
      <c r="AU302">
        <v>0.241790768662</v>
      </c>
      <c r="AV302">
        <v>0.14329324699400001</v>
      </c>
      <c r="AW302">
        <v>0.121928604543</v>
      </c>
      <c r="AX302">
        <v>0.24893577642100001</v>
      </c>
      <c r="AY302">
        <v>0.75608627233199999</v>
      </c>
      <c r="AZ302">
        <v>0.23250252920100001</v>
      </c>
      <c r="BA302">
        <v>0.31837822929100001</v>
      </c>
      <c r="BB302">
        <v>0.23609064112</v>
      </c>
      <c r="BC302">
        <v>0.34418604651200002</v>
      </c>
      <c r="BD302">
        <v>1.130547098441</v>
      </c>
      <c r="BE302">
        <v>0.29366118175</v>
      </c>
      <c r="BF302">
        <v>0.34592803030300001</v>
      </c>
      <c r="BG302">
        <v>0.28894496748499998</v>
      </c>
      <c r="BH302">
        <v>0.27763597094100001</v>
      </c>
      <c r="BI302">
        <v>1.207234399329</v>
      </c>
      <c r="BJ302">
        <v>0.35028703796999999</v>
      </c>
      <c r="BK302">
        <v>0.26779500000000001</v>
      </c>
      <c r="BL302">
        <v>0.50652956298200003</v>
      </c>
      <c r="BM302">
        <v>0.31923845587499999</v>
      </c>
      <c r="BN302">
        <v>1.443785767444</v>
      </c>
      <c r="BO302">
        <v>0.45724946695099999</v>
      </c>
      <c r="BP302">
        <v>0.50283089413500004</v>
      </c>
      <c r="BQ302">
        <v>0.471473084775</v>
      </c>
      <c r="BR302">
        <v>0.46383851467999998</v>
      </c>
      <c r="BS302">
        <v>1.895475986278</v>
      </c>
      <c r="BT302">
        <v>0.48139586085399999</v>
      </c>
      <c r="BU302">
        <v>0.46883073121399998</v>
      </c>
      <c r="BV302">
        <v>0.33483297716799998</v>
      </c>
      <c r="BW302">
        <v>0.34209639366400002</v>
      </c>
      <c r="BX302">
        <v>1.628776656698</v>
      </c>
      <c r="BY302">
        <v>0.400942337895</v>
      </c>
      <c r="BZ302">
        <v>0.75225835591699997</v>
      </c>
      <c r="CA302">
        <v>0.45694080072999999</v>
      </c>
      <c r="CB302">
        <v>0.51859504132199996</v>
      </c>
      <c r="CC302">
        <v>2.1288547192829999</v>
      </c>
      <c r="CD302">
        <v>0.628047364755</v>
      </c>
      <c r="CE302">
        <v>0.78074614569800005</v>
      </c>
      <c r="CF302">
        <v>0.62137767220899998</v>
      </c>
      <c r="CG302">
        <v>0.69687981967000001</v>
      </c>
      <c r="CH302">
        <v>2.726737338045</v>
      </c>
      <c r="CI302">
        <v>0.68374642516700002</v>
      </c>
      <c r="CJ302">
        <v>0.78838371816200004</v>
      </c>
      <c r="CK302">
        <v>0.60802285442199999</v>
      </c>
      <c r="CL302">
        <v>-5.8655221745E-2</v>
      </c>
      <c r="CM302">
        <v>2.0222136199860001</v>
      </c>
      <c r="CN302">
        <v>0.53191996188699997</v>
      </c>
      <c r="CO302">
        <v>0.75979983319400002</v>
      </c>
      <c r="CP302">
        <v>0.72393591583000005</v>
      </c>
      <c r="CQ302">
        <v>0.59496704613499996</v>
      </c>
      <c r="CR302">
        <v>2.6106633231830001</v>
      </c>
      <c r="CS302">
        <v>0.628852380381</v>
      </c>
      <c r="CT302">
        <v>0.78765313475900001</v>
      </c>
      <c r="CU302">
        <v>0.68324480927099995</v>
      </c>
      <c r="CV302">
        <v>0.55930147950499998</v>
      </c>
      <c r="CW302">
        <v>2.6599186624489999</v>
      </c>
      <c r="CX302">
        <v>0.55036974178700004</v>
      </c>
      <c r="CY302">
        <v>0.71256684492</v>
      </c>
      <c r="CZ302">
        <v>0.61038324966299995</v>
      </c>
      <c r="DA302">
        <v>-0.39635280982499999</v>
      </c>
      <c r="DB302">
        <v>1.491270447944</v>
      </c>
      <c r="DC302">
        <v>0.57778889444699999</v>
      </c>
      <c r="DD302">
        <v>0.62757408337499998</v>
      </c>
      <c r="DE302">
        <v>0.47574414186199998</v>
      </c>
      <c r="DF302">
        <v>0.398112726345</v>
      </c>
      <c r="DG302">
        <v>2.0817112029530001</v>
      </c>
      <c r="DH302">
        <v>0.72756451405800004</v>
      </c>
      <c r="DI302">
        <v>0.80812379110300003</v>
      </c>
      <c r="DJ302">
        <v>0.71016181229800002</v>
      </c>
      <c r="DK302">
        <v>1.045884640311</v>
      </c>
      <c r="DL302">
        <v>3.2906016008260002</v>
      </c>
      <c r="DM302">
        <v>0.85313959522600002</v>
      </c>
      <c r="DN302">
        <v>-0.81738002594000003</v>
      </c>
      <c r="DO302">
        <v>0.96440633930899999</v>
      </c>
      <c r="DP302">
        <v>1.1548874137709999</v>
      </c>
      <c r="DQ302">
        <v>2.1521477970060001</v>
      </c>
      <c r="DR302">
        <v>1.150006516356</v>
      </c>
      <c r="DS302">
        <v>1.0946437857510001</v>
      </c>
      <c r="DT302">
        <v>1.148201251303</v>
      </c>
      <c r="DU302">
        <v>1.722664924886</v>
      </c>
      <c r="DV302">
        <v>5.11403623094</v>
      </c>
      <c r="DW302">
        <v>1.398742467907</v>
      </c>
      <c r="DX302">
        <v>1.5285395617369999</v>
      </c>
      <c r="DY302">
        <v>1.414364640884</v>
      </c>
      <c r="DZ302">
        <v>1.4778364116089999</v>
      </c>
      <c r="EA302">
        <v>5.8193645891510002</v>
      </c>
      <c r="EB302">
        <v>1.836241078509</v>
      </c>
      <c r="EC302">
        <v>2.046724023825</v>
      </c>
      <c r="ED302">
        <v>2.0502719193529999</v>
      </c>
      <c r="EE302">
        <v>2.1865284974089998</v>
      </c>
      <c r="EF302">
        <v>8.1185901682790007</v>
      </c>
      <c r="EG302">
        <v>2.7292692666049998</v>
      </c>
      <c r="EH302">
        <v>2.5003331112590002</v>
      </c>
      <c r="EI302">
        <v>2.2324836514080002</v>
      </c>
      <c r="EJ302">
        <v>2.239764516992</v>
      </c>
      <c r="EK302">
        <v>9.703575240128</v>
      </c>
      <c r="EL302">
        <v>2.3542979750569999</v>
      </c>
      <c r="EM302">
        <v>2.2044020936790001</v>
      </c>
      <c r="EN302">
        <v>2.4592124714420001</v>
      </c>
      <c r="EO302">
        <v>2.7012375571699998</v>
      </c>
      <c r="EP302">
        <v>9.7181036798279994</v>
      </c>
      <c r="EQ302">
        <v>3.0005384304749998</v>
      </c>
      <c r="ER302">
        <v>2.9426803013990002</v>
      </c>
      <c r="ES302">
        <v>2.9523617278969998</v>
      </c>
      <c r="ET302">
        <v>2.9646172474100001</v>
      </c>
      <c r="EU302">
        <v>11.860185029437</v>
      </c>
      <c r="EV302">
        <v>3.3185793084889998</v>
      </c>
      <c r="EW302">
        <v>3.242501681237</v>
      </c>
      <c r="EX302">
        <v>3.473769168684</v>
      </c>
      <c r="EY302">
        <v>3.409432826342</v>
      </c>
      <c r="EZ302">
        <v>13.444245521042999</v>
      </c>
      <c r="FA302">
        <v>3.713987925234</v>
      </c>
      <c r="FB302">
        <v>3.8882891362429999</v>
      </c>
      <c r="FC302">
        <v>3.9571660591289999</v>
      </c>
      <c r="FD302">
        <v>4.1378884529729998</v>
      </c>
      <c r="FE302">
        <v>15.69709391276</v>
      </c>
      <c r="FF302">
        <v>4.4245448568320001</v>
      </c>
      <c r="FG302">
        <v>4.6130444693200001</v>
      </c>
      <c r="FH302">
        <v>4.6848014477559996</v>
      </c>
      <c r="FI302">
        <v>4.9114238007660003</v>
      </c>
      <c r="FJ302">
        <v>18.633593751486998</v>
      </c>
      <c r="FK302">
        <v>5.0974646254370004</v>
      </c>
      <c r="FL302">
        <v>5.3144926374420001</v>
      </c>
      <c r="FM302">
        <v>5.4020596457090004</v>
      </c>
      <c r="FN302">
        <v>5.6839595863929997</v>
      </c>
      <c r="FO302">
        <v>21.497769258719</v>
      </c>
    </row>
    <row r="303" spans="1:171">
      <c r="B303" t="s">
        <v>1149</v>
      </c>
      <c r="C303" t="s">
        <v>1150</v>
      </c>
      <c r="D303" t="s">
        <v>379</v>
      </c>
      <c r="F303">
        <v>2.3173843700160002</v>
      </c>
      <c r="G303">
        <v>0.77968749999999998</v>
      </c>
      <c r="H303">
        <v>0.90125391849500003</v>
      </c>
      <c r="I303">
        <v>0.879499217527</v>
      </c>
      <c r="J303">
        <v>0.86666666666699999</v>
      </c>
      <c r="K303">
        <v>3.4270101483220001</v>
      </c>
      <c r="L303">
        <v>0.47230769230800002</v>
      </c>
      <c r="M303">
        <v>0.56999999999999995</v>
      </c>
      <c r="N303">
        <v>0.40076923076900001</v>
      </c>
      <c r="O303">
        <v>0.39886792452800002</v>
      </c>
      <c r="P303">
        <v>1.76</v>
      </c>
      <c r="Q303">
        <v>0.49477611940299998</v>
      </c>
      <c r="R303">
        <v>0.84552238806000002</v>
      </c>
      <c r="S303">
        <v>0.49518518518499999</v>
      </c>
      <c r="T303">
        <v>0.48464285714299998</v>
      </c>
      <c r="U303">
        <v>2.1955990220050001</v>
      </c>
      <c r="V303">
        <v>0.62333333333300001</v>
      </c>
      <c r="W303">
        <v>0.73444444444400003</v>
      </c>
      <c r="X303">
        <v>0.34854545454500002</v>
      </c>
      <c r="Y303">
        <v>0.39884078971199999</v>
      </c>
      <c r="Z303">
        <v>1.896352231898</v>
      </c>
      <c r="AA303">
        <v>0.39836363636400002</v>
      </c>
      <c r="AB303">
        <v>0.44290909090899999</v>
      </c>
      <c r="AC303">
        <v>0.433636363636</v>
      </c>
      <c r="AD303">
        <v>0.435073144302</v>
      </c>
      <c r="AE303">
        <v>1.710033126106</v>
      </c>
      <c r="AF303">
        <v>0.39697678603600001</v>
      </c>
      <c r="AG303">
        <v>0.471095152603</v>
      </c>
      <c r="AH303">
        <v>0.440589609923</v>
      </c>
      <c r="AI303">
        <v>1.1623748212000001E-2</v>
      </c>
      <c r="AJ303">
        <v>1.3187326092809999</v>
      </c>
      <c r="AK303">
        <v>0.23046524160199999</v>
      </c>
      <c r="AL303">
        <v>0.41090712743000002</v>
      </c>
      <c r="AM303">
        <v>0.492092020129</v>
      </c>
      <c r="AN303">
        <v>0.27576853526200001</v>
      </c>
      <c r="AO303">
        <v>1.409551244542</v>
      </c>
      <c r="AP303">
        <v>0.186682520809</v>
      </c>
      <c r="AQ303">
        <v>0.171952793657</v>
      </c>
      <c r="AR303">
        <v>0.197656177909</v>
      </c>
      <c r="AS303">
        <v>0.13653102559399999</v>
      </c>
      <c r="AT303">
        <v>0.69285615713699999</v>
      </c>
      <c r="AU303">
        <v>0.24014699127200001</v>
      </c>
      <c r="AV303">
        <v>0.14212313056199999</v>
      </c>
      <c r="AW303">
        <v>0.121131171702</v>
      </c>
      <c r="AX303">
        <v>0.247606774669</v>
      </c>
      <c r="AY303">
        <v>0.75101140124999999</v>
      </c>
      <c r="AZ303">
        <v>0.23150183150199999</v>
      </c>
      <c r="BA303">
        <v>0.316082511866</v>
      </c>
      <c r="BB303">
        <v>0.23447077120099999</v>
      </c>
      <c r="BC303">
        <v>0.34199094186200002</v>
      </c>
      <c r="BD303">
        <v>1.1235501765</v>
      </c>
      <c r="BE303">
        <v>0.29158930560700003</v>
      </c>
      <c r="BF303">
        <v>0.34339161496499998</v>
      </c>
      <c r="BG303">
        <v>0.28583773403700002</v>
      </c>
      <c r="BH303">
        <v>0.27576791808899997</v>
      </c>
      <c r="BI303">
        <v>1.197623574144</v>
      </c>
      <c r="BJ303">
        <v>0.34745300000000001</v>
      </c>
      <c r="BK303">
        <v>0.26413199999999998</v>
      </c>
      <c r="BL303">
        <v>0.49949300344800002</v>
      </c>
      <c r="BM303">
        <v>0.31427979703800002</v>
      </c>
      <c r="BN303">
        <v>1.4253502571509999</v>
      </c>
      <c r="BO303">
        <v>0.45085672238000002</v>
      </c>
      <c r="BP303">
        <v>0.49531726823099997</v>
      </c>
      <c r="BQ303">
        <v>0.465422146797</v>
      </c>
      <c r="BR303">
        <v>0.45810234541599998</v>
      </c>
      <c r="BS303">
        <v>1.869818104907</v>
      </c>
      <c r="BT303">
        <v>0.47620603288699997</v>
      </c>
      <c r="BU303">
        <v>0.46825218756999998</v>
      </c>
      <c r="BV303">
        <v>0.33434411500400002</v>
      </c>
      <c r="BW303">
        <v>0.34106182795700002</v>
      </c>
      <c r="BX303">
        <v>1.6219766762229999</v>
      </c>
      <c r="BY303">
        <v>0.39786262941099998</v>
      </c>
      <c r="BZ303">
        <v>0.744274382751</v>
      </c>
      <c r="CA303">
        <v>0.45132942767000001</v>
      </c>
      <c r="CB303">
        <v>0.51218682688999995</v>
      </c>
      <c r="CC303">
        <v>2.1060312649099999</v>
      </c>
      <c r="CD303">
        <v>0.62219666475000002</v>
      </c>
      <c r="CE303">
        <v>0.77409568261399997</v>
      </c>
      <c r="CF303">
        <v>0.61480611045800004</v>
      </c>
      <c r="CG303">
        <v>0.68935570942400004</v>
      </c>
      <c r="CH303">
        <v>2.7000233263350002</v>
      </c>
      <c r="CI303">
        <v>0.67585394581900005</v>
      </c>
      <c r="CJ303">
        <v>0.78251624335500003</v>
      </c>
      <c r="CK303">
        <v>0.60108260767199995</v>
      </c>
      <c r="CL303">
        <v>-5.8655221745E-2</v>
      </c>
      <c r="CM303">
        <v>2.0067964894650001</v>
      </c>
      <c r="CN303">
        <v>0.52578290557999996</v>
      </c>
      <c r="CO303">
        <v>0.75521080056800005</v>
      </c>
      <c r="CP303">
        <v>0.718353304069</v>
      </c>
      <c r="CQ303">
        <v>0.58813077469800001</v>
      </c>
      <c r="CR303">
        <v>2.5866485255409999</v>
      </c>
      <c r="CS303">
        <v>0.62176903011600004</v>
      </c>
      <c r="CT303">
        <v>0.78117927337699999</v>
      </c>
      <c r="CU303">
        <v>0.67646707302499998</v>
      </c>
      <c r="CV303">
        <v>0.55266626722599999</v>
      </c>
      <c r="CW303">
        <v>2.6324796517690001</v>
      </c>
      <c r="CX303">
        <v>0.54364746736900005</v>
      </c>
      <c r="CY303">
        <v>0.70664095456200005</v>
      </c>
      <c r="CZ303">
        <v>0.60519606652900004</v>
      </c>
      <c r="DA303">
        <v>-0.39635280982499999</v>
      </c>
      <c r="DB303">
        <v>1.4803618041640001</v>
      </c>
      <c r="DC303">
        <v>0.57277460947199998</v>
      </c>
      <c r="DD303">
        <v>0.622571001495</v>
      </c>
      <c r="DE303">
        <v>0.47038196618700001</v>
      </c>
      <c r="DF303">
        <v>0.39374448227999997</v>
      </c>
      <c r="DG303">
        <v>2.061484628843</v>
      </c>
      <c r="DH303">
        <v>0.71952767902500003</v>
      </c>
      <c r="DI303">
        <v>0.80038314176199998</v>
      </c>
      <c r="DJ303">
        <v>0.70216306156399999</v>
      </c>
      <c r="DK303">
        <v>1.03369203177</v>
      </c>
      <c r="DL303">
        <v>3.2547805267359999</v>
      </c>
      <c r="DM303">
        <v>0.84318502372100002</v>
      </c>
      <c r="DN303">
        <v>-0.81738002594000003</v>
      </c>
      <c r="DO303">
        <v>0.95252758532199999</v>
      </c>
      <c r="DP303">
        <v>1.1412218649520001</v>
      </c>
      <c r="DQ303">
        <v>2.1328270802499998</v>
      </c>
      <c r="DR303">
        <v>1.1362348699460001</v>
      </c>
      <c r="DS303">
        <v>1.083934088568</v>
      </c>
      <c r="DT303">
        <v>1.137525826446</v>
      </c>
      <c r="DU303">
        <v>1.7059508408799999</v>
      </c>
      <c r="DV303">
        <v>5.061919504644</v>
      </c>
      <c r="DW303">
        <v>1.3849546044100001</v>
      </c>
      <c r="DX303">
        <v>1.5146274866730001</v>
      </c>
      <c r="DY303">
        <v>1.400912052117</v>
      </c>
      <c r="DZ303">
        <v>1.4643137254900001</v>
      </c>
      <c r="EA303">
        <v>5.7646293041719998</v>
      </c>
      <c r="EB303">
        <v>1.8191698310860001</v>
      </c>
      <c r="EC303">
        <v>2.0303308823530002</v>
      </c>
      <c r="ED303">
        <v>2.0346189285239999</v>
      </c>
      <c r="EE303">
        <v>2.1709537000400001</v>
      </c>
      <c r="EF303">
        <v>8.0534963196639993</v>
      </c>
      <c r="EG303">
        <v>2.709792520153</v>
      </c>
      <c r="EH303">
        <v>2.4837855724689999</v>
      </c>
      <c r="EI303">
        <v>2.2203344836740002</v>
      </c>
      <c r="EJ303">
        <v>2.2302158273380002</v>
      </c>
      <c r="EK303">
        <v>9.6469496021219996</v>
      </c>
      <c r="EL303">
        <v>2.3454909819640002</v>
      </c>
      <c r="EM303">
        <v>2.1979124849459999</v>
      </c>
      <c r="EN303">
        <v>2.4516345123260002</v>
      </c>
      <c r="EO303">
        <v>2.6892995848400001</v>
      </c>
      <c r="EP303">
        <v>9.6842880085649998</v>
      </c>
      <c r="EQ303">
        <v>2.9872688287320002</v>
      </c>
      <c r="ER303">
        <v>2.9284949116229999</v>
      </c>
      <c r="ES303">
        <v>2.9361616702359998</v>
      </c>
      <c r="ET303">
        <v>2.9491434689510001</v>
      </c>
      <c r="EU303">
        <v>11.801030996853999</v>
      </c>
      <c r="EV303">
        <v>3.3021419009369999</v>
      </c>
      <c r="EW303">
        <v>3.2281735404390002</v>
      </c>
      <c r="EX303">
        <v>3.4611982308</v>
      </c>
      <c r="EY303">
        <v>3.3943565741350001</v>
      </c>
      <c r="EZ303">
        <v>13.385717534402</v>
      </c>
      <c r="FA303">
        <v>3.6975586000430001</v>
      </c>
      <c r="FB303">
        <v>3.8710824037260001</v>
      </c>
      <c r="FC303">
        <v>3.9396483444579999</v>
      </c>
      <c r="FD303">
        <v>4.1195645478599996</v>
      </c>
      <c r="FE303">
        <v>15.627618345211999</v>
      </c>
      <c r="FF303">
        <v>4.4049452766039998</v>
      </c>
      <c r="FG303">
        <v>4.5926036821789999</v>
      </c>
      <c r="FH303">
        <v>4.6640367349040002</v>
      </c>
      <c r="FI303">
        <v>4.8896487117070002</v>
      </c>
      <c r="FJ303">
        <v>18.551015543636002</v>
      </c>
      <c r="FK303">
        <v>5.0748589428250002</v>
      </c>
      <c r="FL303">
        <v>5.2909188566519996</v>
      </c>
      <c r="FM303">
        <v>5.3780920734480002</v>
      </c>
      <c r="FN303">
        <v>5.6587360388560004</v>
      </c>
      <c r="FO303">
        <v>21.402400516115001</v>
      </c>
    </row>
    <row r="304" spans="1:171">
      <c r="B304" t="s">
        <v>1151</v>
      </c>
      <c r="C304" t="s">
        <v>1152</v>
      </c>
      <c r="D304" t="s">
        <v>379</v>
      </c>
      <c r="F304">
        <v>2.3173843700160002</v>
      </c>
      <c r="G304">
        <v>0.77968749999999998</v>
      </c>
      <c r="H304">
        <v>0.90125391849500003</v>
      </c>
      <c r="I304">
        <v>0.879499217527</v>
      </c>
      <c r="J304">
        <v>0.86666666666699999</v>
      </c>
      <c r="K304">
        <v>3.4270101483220001</v>
      </c>
      <c r="L304">
        <v>0.47449768160700001</v>
      </c>
      <c r="M304">
        <v>0.61750000000000005</v>
      </c>
      <c r="N304">
        <v>0.43416666666699999</v>
      </c>
      <c r="O304">
        <v>0.44041666666700002</v>
      </c>
      <c r="P304">
        <v>1.8941595832189999</v>
      </c>
      <c r="Q304">
        <v>0.49737434358600002</v>
      </c>
      <c r="R304">
        <v>0.92868852458999995</v>
      </c>
      <c r="S304">
        <v>0.54571428571400005</v>
      </c>
      <c r="T304">
        <v>0.53215686274499996</v>
      </c>
      <c r="U304">
        <v>2.377863100755</v>
      </c>
      <c r="V304">
        <v>0.68</v>
      </c>
      <c r="W304">
        <v>0.79320000000000002</v>
      </c>
      <c r="X304">
        <v>0.37588235294099998</v>
      </c>
      <c r="Y304">
        <v>0.431764705882</v>
      </c>
      <c r="Z304">
        <v>2.0520593080720002</v>
      </c>
      <c r="AA304">
        <v>0.42960784313700001</v>
      </c>
      <c r="AB304">
        <v>0.468461538462</v>
      </c>
      <c r="AC304">
        <v>0.45865384615400001</v>
      </c>
      <c r="AD304">
        <v>0.45885714285700002</v>
      </c>
      <c r="AE304">
        <v>1.816096385542</v>
      </c>
      <c r="AF304">
        <v>0.41630496320100002</v>
      </c>
      <c r="AG304">
        <v>0.49230769230799998</v>
      </c>
      <c r="AH304">
        <v>0.45933283358299998</v>
      </c>
      <c r="AI304">
        <v>1.2079539118999999E-2</v>
      </c>
      <c r="AJ304">
        <v>1.376557668884</v>
      </c>
      <c r="AK304">
        <v>0.23768062245300001</v>
      </c>
      <c r="AL304">
        <v>0.42316960148299998</v>
      </c>
      <c r="AM304">
        <v>0.50563250230800005</v>
      </c>
      <c r="AN304">
        <v>0.28162511542000002</v>
      </c>
      <c r="AO304">
        <v>1.4482726726170001</v>
      </c>
      <c r="AP304">
        <v>0.19005493993899999</v>
      </c>
      <c r="AQ304">
        <v>0.17425021022100001</v>
      </c>
      <c r="AR304">
        <v>0.19990667288799999</v>
      </c>
      <c r="AS304">
        <v>0.13812051783599999</v>
      </c>
      <c r="AT304">
        <v>0.70228936448000001</v>
      </c>
      <c r="AU304">
        <v>0.241790768662</v>
      </c>
      <c r="AV304">
        <v>0.14329324699400001</v>
      </c>
      <c r="AW304">
        <v>0.121928604543</v>
      </c>
      <c r="AX304">
        <v>0.24893577642100001</v>
      </c>
      <c r="AY304">
        <v>0.75608627233199999</v>
      </c>
      <c r="AZ304">
        <v>0.23250252920100001</v>
      </c>
      <c r="BA304">
        <v>0.31837822929100001</v>
      </c>
      <c r="BB304">
        <v>0.23609064112</v>
      </c>
      <c r="BC304">
        <v>0.34418604651200002</v>
      </c>
      <c r="BD304">
        <v>1.130547098441</v>
      </c>
      <c r="BE304">
        <v>0.29366118175</v>
      </c>
      <c r="BF304">
        <v>0.34592803030300001</v>
      </c>
      <c r="BG304">
        <v>0.28894496748499998</v>
      </c>
      <c r="BH304">
        <v>0.27763597094100001</v>
      </c>
      <c r="BI304">
        <v>1.207234399329</v>
      </c>
      <c r="BJ304">
        <v>0.35028703796999999</v>
      </c>
      <c r="BK304">
        <v>0.26779522741200001</v>
      </c>
      <c r="BL304">
        <v>0.50652956298200003</v>
      </c>
      <c r="BM304">
        <v>0.31923845587499999</v>
      </c>
      <c r="BN304">
        <v>1.443785767444</v>
      </c>
      <c r="BO304">
        <v>0.45724946695099999</v>
      </c>
      <c r="BP304">
        <v>0.50283089413500004</v>
      </c>
      <c r="BQ304">
        <v>0.471473084775</v>
      </c>
      <c r="BR304">
        <v>0.46383851467999998</v>
      </c>
      <c r="BS304">
        <v>1.895475986278</v>
      </c>
      <c r="BT304">
        <v>0.48139586085399999</v>
      </c>
      <c r="BU304">
        <v>0.46883073121399998</v>
      </c>
      <c r="BV304">
        <v>0.33483297716799998</v>
      </c>
      <c r="BW304">
        <v>0.34209639366400002</v>
      </c>
      <c r="BX304">
        <v>1.628776656698</v>
      </c>
      <c r="BY304">
        <v>0.400942337895</v>
      </c>
      <c r="BZ304">
        <v>0.75225835591699997</v>
      </c>
      <c r="CA304">
        <v>0.45694080072999999</v>
      </c>
      <c r="CB304">
        <v>0.51859504132199996</v>
      </c>
      <c r="CC304">
        <v>2.1288547192829999</v>
      </c>
      <c r="CD304">
        <v>0.628047364755</v>
      </c>
      <c r="CE304">
        <v>0.78074614569800005</v>
      </c>
      <c r="CF304">
        <v>0.62137767220899998</v>
      </c>
      <c r="CG304">
        <v>0.69687981967000001</v>
      </c>
      <c r="CH304">
        <v>2.726737338045</v>
      </c>
      <c r="CI304">
        <v>0.68374642516700002</v>
      </c>
      <c r="CJ304">
        <v>0.78838371816200004</v>
      </c>
      <c r="CK304">
        <v>0.60802285442199999</v>
      </c>
      <c r="CL304">
        <v>-5.8655221745E-2</v>
      </c>
      <c r="CM304">
        <v>2.0222136199860001</v>
      </c>
      <c r="CN304">
        <v>0.53191996188699997</v>
      </c>
      <c r="CO304">
        <v>0.75979983319400002</v>
      </c>
      <c r="CP304">
        <v>0.72393591583000005</v>
      </c>
      <c r="CQ304">
        <v>0.59496704613499996</v>
      </c>
      <c r="CR304">
        <v>2.6106633231830001</v>
      </c>
      <c r="CS304">
        <v>0.628852380381</v>
      </c>
      <c r="CT304">
        <v>0.78765313475900001</v>
      </c>
      <c r="CU304">
        <v>0.68324480927099995</v>
      </c>
      <c r="CV304">
        <v>0.55930147950499998</v>
      </c>
      <c r="CW304">
        <v>2.6599186624489999</v>
      </c>
      <c r="CX304">
        <v>0.55036974178700004</v>
      </c>
      <c r="CY304">
        <v>0.71256684492</v>
      </c>
      <c r="CZ304">
        <v>0.61038324966299995</v>
      </c>
      <c r="DA304">
        <v>-0.39635280982499999</v>
      </c>
      <c r="DB304">
        <v>1.491270447944</v>
      </c>
      <c r="DC304">
        <v>0.57778889444699999</v>
      </c>
      <c r="DD304">
        <v>0.62757408337499998</v>
      </c>
      <c r="DE304">
        <v>0.47574414186199998</v>
      </c>
      <c r="DF304">
        <v>0.398112726345</v>
      </c>
      <c r="DG304">
        <v>2.0817112029530001</v>
      </c>
      <c r="DH304">
        <v>0.72756451405800004</v>
      </c>
      <c r="DI304">
        <v>0.80812379110300003</v>
      </c>
      <c r="DJ304">
        <v>0.71016181229800002</v>
      </c>
      <c r="DK304">
        <v>1.045884640311</v>
      </c>
      <c r="DL304">
        <v>3.2906016008260002</v>
      </c>
      <c r="DM304">
        <v>0.85313959522600002</v>
      </c>
      <c r="DN304">
        <v>-0.81738002594000003</v>
      </c>
      <c r="DO304">
        <v>0.96440633930899999</v>
      </c>
      <c r="DP304">
        <v>1.1548874137709999</v>
      </c>
      <c r="DQ304">
        <v>2.1521477970060001</v>
      </c>
      <c r="DR304">
        <v>1.150006516356</v>
      </c>
      <c r="DS304">
        <v>1.0946437857510001</v>
      </c>
      <c r="DT304">
        <v>1.148201251303</v>
      </c>
      <c r="DU304">
        <v>1.722664924886</v>
      </c>
      <c r="DV304">
        <v>5.11403623094</v>
      </c>
      <c r="DW304">
        <v>1.398742467907</v>
      </c>
      <c r="DX304">
        <v>1.5285395617369999</v>
      </c>
      <c r="DY304">
        <v>1.414364640884</v>
      </c>
      <c r="DZ304">
        <v>1.4778364116089999</v>
      </c>
      <c r="EA304">
        <v>5.8193645891510002</v>
      </c>
      <c r="EB304">
        <v>1.836241078509</v>
      </c>
      <c r="EC304">
        <v>2.046724023825</v>
      </c>
      <c r="ED304">
        <v>2.0502719193529999</v>
      </c>
      <c r="EE304">
        <v>2.1865284974089998</v>
      </c>
      <c r="EF304">
        <v>8.1185901682790007</v>
      </c>
      <c r="EG304">
        <v>2.7292692666049998</v>
      </c>
      <c r="EH304">
        <v>2.5003331112590002</v>
      </c>
      <c r="EI304">
        <v>2.2324836514080002</v>
      </c>
      <c r="EJ304">
        <v>2.239764516992</v>
      </c>
      <c r="EK304">
        <v>9.703575240128</v>
      </c>
      <c r="EL304">
        <v>2.3542979750569999</v>
      </c>
      <c r="EM304">
        <v>2.2044020936790001</v>
      </c>
      <c r="EN304">
        <v>2.4592124714420001</v>
      </c>
      <c r="EO304">
        <v>2.7012375571699998</v>
      </c>
      <c r="EP304">
        <v>9.7181036798279994</v>
      </c>
      <c r="EQ304">
        <v>3.0005384304749998</v>
      </c>
      <c r="ER304">
        <v>2.9426803013990002</v>
      </c>
      <c r="ES304">
        <v>2.9523617278969998</v>
      </c>
      <c r="ET304">
        <v>2.9646172474100001</v>
      </c>
      <c r="EU304">
        <v>11.860185029437</v>
      </c>
      <c r="EV304">
        <v>3.3185793084889998</v>
      </c>
      <c r="EW304">
        <v>3.242501681237</v>
      </c>
      <c r="EX304">
        <v>3.473769168684</v>
      </c>
      <c r="EY304">
        <v>3.409432826342</v>
      </c>
      <c r="EZ304">
        <v>13.444245521042999</v>
      </c>
      <c r="FA304">
        <v>3.713987925234</v>
      </c>
      <c r="FB304">
        <v>3.8882891362429999</v>
      </c>
      <c r="FC304">
        <v>3.9571660591289999</v>
      </c>
      <c r="FD304">
        <v>4.1378884529729998</v>
      </c>
      <c r="FE304">
        <v>15.69709391276</v>
      </c>
      <c r="FF304">
        <v>4.4245448568320001</v>
      </c>
      <c r="FG304">
        <v>4.6130444693200001</v>
      </c>
      <c r="FH304">
        <v>4.6848014477559996</v>
      </c>
      <c r="FI304">
        <v>4.9114238007660003</v>
      </c>
      <c r="FJ304">
        <v>18.633593751486998</v>
      </c>
      <c r="FK304">
        <v>5.0974646254370004</v>
      </c>
      <c r="FL304">
        <v>5.3144926374420001</v>
      </c>
      <c r="FM304">
        <v>5.4020596457090004</v>
      </c>
      <c r="FN304">
        <v>5.6839595863929997</v>
      </c>
      <c r="FO304">
        <v>21.497769258719</v>
      </c>
    </row>
    <row r="305" spans="1:171">
      <c r="B305" t="s">
        <v>1153</v>
      </c>
      <c r="C305" t="s">
        <v>1154</v>
      </c>
      <c r="D305" t="s">
        <v>379</v>
      </c>
      <c r="F305">
        <v>2.3173843700160002</v>
      </c>
      <c r="G305">
        <v>0.77968749999999998</v>
      </c>
      <c r="H305">
        <v>0.90125391849500003</v>
      </c>
      <c r="I305">
        <v>0.879499217527</v>
      </c>
      <c r="J305">
        <v>0.86666666666699999</v>
      </c>
      <c r="K305">
        <v>3.4270101483220001</v>
      </c>
      <c r="L305">
        <v>0.47230769230800002</v>
      </c>
      <c r="M305">
        <v>0.56999999999999995</v>
      </c>
      <c r="N305">
        <v>0.40076923076900001</v>
      </c>
      <c r="O305">
        <v>0.39886792452800002</v>
      </c>
      <c r="P305">
        <v>1.76</v>
      </c>
      <c r="Q305">
        <v>0.49477611940299998</v>
      </c>
      <c r="R305">
        <v>0.84552238806000002</v>
      </c>
      <c r="S305">
        <v>0.49518518518499999</v>
      </c>
      <c r="T305">
        <v>0.48464285714299998</v>
      </c>
      <c r="U305">
        <v>2.1955990220050001</v>
      </c>
      <c r="V305">
        <v>0.62333333333300001</v>
      </c>
      <c r="W305">
        <v>0.73444444444400003</v>
      </c>
      <c r="X305">
        <v>0.34854545454500002</v>
      </c>
      <c r="Y305">
        <v>0.39884078971199999</v>
      </c>
      <c r="Z305">
        <v>1.896352231898</v>
      </c>
      <c r="AA305">
        <v>0.39836363636400002</v>
      </c>
      <c r="AB305">
        <v>0.44290909090899999</v>
      </c>
      <c r="AC305">
        <v>0.433636363636</v>
      </c>
      <c r="AD305">
        <v>0.435073144302</v>
      </c>
      <c r="AE305">
        <v>1.710033126106</v>
      </c>
      <c r="AF305">
        <v>0.39697678603600001</v>
      </c>
      <c r="AG305">
        <v>0.471095152603</v>
      </c>
      <c r="AH305">
        <v>0.440589609923</v>
      </c>
      <c r="AI305">
        <v>1.1623748212000001E-2</v>
      </c>
      <c r="AJ305">
        <v>1.3187326092809999</v>
      </c>
      <c r="AK305">
        <v>0.23046524160199999</v>
      </c>
      <c r="AL305">
        <v>0.41090712743000002</v>
      </c>
      <c r="AM305">
        <v>0.492092020129</v>
      </c>
      <c r="AN305">
        <v>0.27576853526200001</v>
      </c>
      <c r="AO305">
        <v>1.409551244542</v>
      </c>
      <c r="AP305">
        <v>0.186682520809</v>
      </c>
      <c r="AQ305">
        <v>0.171952793657</v>
      </c>
      <c r="AR305">
        <v>0.197656177909</v>
      </c>
      <c r="AS305">
        <v>0.13653102559399999</v>
      </c>
      <c r="AT305">
        <v>0.69285615713699999</v>
      </c>
      <c r="AU305">
        <v>0.24014699127200001</v>
      </c>
      <c r="AV305">
        <v>0.14212313056199999</v>
      </c>
      <c r="AW305">
        <v>0.121131171702</v>
      </c>
      <c r="AX305">
        <v>0.247606774669</v>
      </c>
      <c r="AY305">
        <v>0.75101140124999999</v>
      </c>
      <c r="AZ305">
        <v>0.23150183150199999</v>
      </c>
      <c r="BA305">
        <v>0.316082511866</v>
      </c>
      <c r="BB305">
        <v>0.23447077120099999</v>
      </c>
      <c r="BC305">
        <v>0.34199094186200002</v>
      </c>
      <c r="BD305">
        <v>1.1235501765</v>
      </c>
      <c r="BE305">
        <v>0.29158930560700003</v>
      </c>
      <c r="BF305">
        <v>0.34339161496499998</v>
      </c>
      <c r="BG305">
        <v>0.28583773403700002</v>
      </c>
      <c r="BH305">
        <v>0.27576791808899997</v>
      </c>
      <c r="BI305">
        <v>1.197623574144</v>
      </c>
      <c r="BJ305">
        <v>0.34745254745300003</v>
      </c>
      <c r="BK305">
        <v>0.26413196539900002</v>
      </c>
      <c r="BL305">
        <v>0.49949300344800002</v>
      </c>
      <c r="BM305">
        <v>0.31427979703800002</v>
      </c>
      <c r="BN305">
        <v>1.4253502571509999</v>
      </c>
      <c r="BO305">
        <v>0.45085672238000002</v>
      </c>
      <c r="BP305">
        <v>0.49531726823099997</v>
      </c>
      <c r="BQ305">
        <v>0.465422146797</v>
      </c>
      <c r="BR305">
        <v>0.45810234541599998</v>
      </c>
      <c r="BS305">
        <v>1.869818104907</v>
      </c>
      <c r="BT305">
        <v>0.47620603288699997</v>
      </c>
      <c r="BU305">
        <v>0.46825218756999998</v>
      </c>
      <c r="BV305">
        <v>0.33434411500400002</v>
      </c>
      <c r="BW305">
        <v>0.34106182795700002</v>
      </c>
      <c r="BX305">
        <v>1.6219766762229999</v>
      </c>
      <c r="BY305">
        <v>0.39786262941099998</v>
      </c>
      <c r="BZ305">
        <v>0.744274382751</v>
      </c>
      <c r="CA305">
        <v>0.45132942767000001</v>
      </c>
      <c r="CB305">
        <v>0.51218682688999995</v>
      </c>
      <c r="CC305">
        <v>2.1060312649099999</v>
      </c>
      <c r="CD305">
        <v>0.62219666475000002</v>
      </c>
      <c r="CE305">
        <v>0.77409568261399997</v>
      </c>
      <c r="CF305">
        <v>0.61480611045800004</v>
      </c>
      <c r="CG305">
        <v>0.68935570942400004</v>
      </c>
      <c r="CH305">
        <v>2.7000233263350002</v>
      </c>
      <c r="CI305">
        <v>0.67585394581900005</v>
      </c>
      <c r="CJ305">
        <v>0.78251624335500003</v>
      </c>
      <c r="CK305">
        <v>0.60108260767199995</v>
      </c>
      <c r="CL305">
        <v>-5.8655221745E-2</v>
      </c>
      <c r="CM305">
        <v>2.0067964894650001</v>
      </c>
      <c r="CN305">
        <v>0.52578290557999996</v>
      </c>
      <c r="CO305">
        <v>0.75521080056800005</v>
      </c>
      <c r="CP305">
        <v>0.718353304069</v>
      </c>
      <c r="CQ305">
        <v>0.58813077469800001</v>
      </c>
      <c r="CR305">
        <v>2.5866485255409999</v>
      </c>
      <c r="CS305">
        <v>0.62176903011600004</v>
      </c>
      <c r="CT305">
        <v>0.78117927337699999</v>
      </c>
      <c r="CU305">
        <v>0.67646707302499998</v>
      </c>
      <c r="CV305">
        <v>0.55266626722599999</v>
      </c>
      <c r="CW305">
        <v>2.6324796517690001</v>
      </c>
      <c r="CX305">
        <v>0.54364746736900005</v>
      </c>
      <c r="CY305">
        <v>0.70664095456200005</v>
      </c>
      <c r="CZ305">
        <v>0.60519606652900004</v>
      </c>
      <c r="DA305">
        <v>-0.39635280982499999</v>
      </c>
      <c r="DB305">
        <v>1.4803618041640001</v>
      </c>
      <c r="DC305">
        <v>0.57277460947199998</v>
      </c>
      <c r="DD305">
        <v>0.622571001495</v>
      </c>
      <c r="DE305">
        <v>0.47038196618700001</v>
      </c>
      <c r="DF305">
        <v>0.39374448227999997</v>
      </c>
      <c r="DG305">
        <v>2.061484628843</v>
      </c>
      <c r="DH305">
        <v>0.71952767902500003</v>
      </c>
      <c r="DI305">
        <v>0.80038314176199998</v>
      </c>
      <c r="DJ305">
        <v>0.70216306156399999</v>
      </c>
      <c r="DK305">
        <v>1.03369203177</v>
      </c>
      <c r="DL305">
        <v>3.2547805267359999</v>
      </c>
      <c r="DM305">
        <v>0.84318502372100002</v>
      </c>
      <c r="DN305">
        <v>-0.81738002594000003</v>
      </c>
      <c r="DO305">
        <v>0.95252758532199999</v>
      </c>
      <c r="DP305">
        <v>1.1412218649520001</v>
      </c>
      <c r="DQ305">
        <v>2.1328270802499998</v>
      </c>
      <c r="DR305">
        <v>1.1362348699460001</v>
      </c>
      <c r="DS305">
        <v>1.083934088568</v>
      </c>
      <c r="DT305">
        <v>1.137525826446</v>
      </c>
      <c r="DU305">
        <v>1.7059508408799999</v>
      </c>
      <c r="DV305">
        <v>5.061919504644</v>
      </c>
      <c r="DW305">
        <v>1.3849546044100001</v>
      </c>
      <c r="DX305">
        <v>1.5146274866730001</v>
      </c>
      <c r="DY305">
        <v>1.400912052117</v>
      </c>
      <c r="DZ305">
        <v>1.4643137254900001</v>
      </c>
      <c r="EA305">
        <v>5.7646293041719998</v>
      </c>
      <c r="EB305">
        <v>1.8191698310860001</v>
      </c>
      <c r="EC305">
        <v>2.0303308823530002</v>
      </c>
      <c r="ED305">
        <v>2.0346189285239999</v>
      </c>
      <c r="EE305">
        <v>2.1709537000400001</v>
      </c>
      <c r="EF305">
        <v>8.0534963196639993</v>
      </c>
      <c r="EG305">
        <v>2.709792520153</v>
      </c>
      <c r="EH305">
        <v>2.4837855724689999</v>
      </c>
      <c r="EI305">
        <v>2.2203344836740002</v>
      </c>
      <c r="EJ305">
        <v>2.2302158273380002</v>
      </c>
      <c r="EK305">
        <v>9.6469496021219996</v>
      </c>
      <c r="EL305">
        <v>2.3454909819640002</v>
      </c>
      <c r="EM305">
        <v>2.1979124849459999</v>
      </c>
      <c r="EN305">
        <v>2.4516345123260002</v>
      </c>
      <c r="EO305">
        <v>2.6892995848400001</v>
      </c>
      <c r="EP305">
        <v>9.6842880085649998</v>
      </c>
      <c r="EQ305">
        <v>2.9872688287320002</v>
      </c>
      <c r="ER305">
        <v>2.9284949116229999</v>
      </c>
      <c r="ES305">
        <v>2.9361616702359998</v>
      </c>
      <c r="ET305">
        <v>2.9491434689510001</v>
      </c>
      <c r="EU305">
        <v>11.801030996853999</v>
      </c>
      <c r="EV305">
        <v>3.3021419009369999</v>
      </c>
      <c r="EW305">
        <v>3.2281735404390002</v>
      </c>
      <c r="EX305">
        <v>3.4611982308</v>
      </c>
      <c r="EY305">
        <v>3.3943565741350001</v>
      </c>
      <c r="EZ305">
        <v>13.385717534402</v>
      </c>
      <c r="FA305">
        <v>3.6975586000430001</v>
      </c>
      <c r="FB305">
        <v>3.8710824037260001</v>
      </c>
      <c r="FC305">
        <v>3.9396483444579999</v>
      </c>
      <c r="FD305">
        <v>4.1195645478599996</v>
      </c>
      <c r="FE305">
        <v>15.627618345211999</v>
      </c>
      <c r="FF305">
        <v>4.4049452766039998</v>
      </c>
      <c r="FG305">
        <v>4.5926036821789999</v>
      </c>
      <c r="FH305">
        <v>4.6640367349040002</v>
      </c>
      <c r="FI305">
        <v>4.8896487117070002</v>
      </c>
      <c r="FJ305">
        <v>18.551015543636002</v>
      </c>
      <c r="FK305">
        <v>5.0748589428250002</v>
      </c>
      <c r="FL305">
        <v>5.2909188566519996</v>
      </c>
      <c r="FM305">
        <v>5.3780920734480002</v>
      </c>
      <c r="FN305">
        <v>5.6587360388560004</v>
      </c>
      <c r="FO305">
        <v>21.402400516115001</v>
      </c>
    </row>
    <row r="306" spans="1:171">
      <c r="B306" t="s">
        <v>1155</v>
      </c>
      <c r="C306" t="s">
        <v>1156</v>
      </c>
      <c r="D306" t="s">
        <v>379</v>
      </c>
    </row>
    <row r="307" spans="1:171">
      <c r="B307" t="s">
        <v>1157</v>
      </c>
      <c r="C307" t="s">
        <v>1158</v>
      </c>
      <c r="D307" t="s">
        <v>379</v>
      </c>
    </row>
    <row r="308" spans="1:171">
      <c r="B308" t="s">
        <v>1159</v>
      </c>
      <c r="C308" t="s">
        <v>1160</v>
      </c>
      <c r="F308">
        <v>627</v>
      </c>
      <c r="G308">
        <v>640</v>
      </c>
      <c r="H308">
        <v>638</v>
      </c>
      <c r="I308">
        <v>639</v>
      </c>
      <c r="J308">
        <v>645</v>
      </c>
      <c r="K308">
        <v>640.5</v>
      </c>
      <c r="L308">
        <v>1294</v>
      </c>
      <c r="M308">
        <v>1200</v>
      </c>
      <c r="N308">
        <v>2400</v>
      </c>
      <c r="O308">
        <v>2400</v>
      </c>
      <c r="P308">
        <v>1823.5</v>
      </c>
      <c r="Q308">
        <v>1333</v>
      </c>
      <c r="R308">
        <v>1220</v>
      </c>
      <c r="S308">
        <v>2450</v>
      </c>
      <c r="T308">
        <v>2550</v>
      </c>
      <c r="U308">
        <v>1888.25</v>
      </c>
      <c r="V308">
        <v>2475</v>
      </c>
      <c r="W308">
        <v>2500</v>
      </c>
      <c r="X308">
        <v>5100</v>
      </c>
      <c r="Y308">
        <v>5100</v>
      </c>
      <c r="Z308">
        <v>3793.75</v>
      </c>
      <c r="AA308">
        <v>5100</v>
      </c>
      <c r="AB308">
        <v>5200</v>
      </c>
      <c r="AC308">
        <v>5200</v>
      </c>
      <c r="AD308">
        <v>5250</v>
      </c>
      <c r="AE308">
        <v>5187.5</v>
      </c>
      <c r="AF308">
        <v>5299</v>
      </c>
      <c r="AG308">
        <v>5330</v>
      </c>
      <c r="AH308">
        <v>5336</v>
      </c>
      <c r="AI308">
        <v>5381</v>
      </c>
      <c r="AJ308">
        <v>5336.5</v>
      </c>
      <c r="AK308">
        <v>5398</v>
      </c>
      <c r="AL308">
        <v>5395</v>
      </c>
      <c r="AM308">
        <v>5415</v>
      </c>
      <c r="AN308">
        <v>5415</v>
      </c>
      <c r="AO308">
        <v>5405.75</v>
      </c>
      <c r="AP308">
        <v>10739</v>
      </c>
      <c r="AQ308">
        <v>10703</v>
      </c>
      <c r="AR308">
        <v>10715</v>
      </c>
      <c r="AS308">
        <v>10737</v>
      </c>
      <c r="AT308">
        <v>10723.5</v>
      </c>
      <c r="AU308">
        <v>10811</v>
      </c>
      <c r="AV308">
        <v>10810</v>
      </c>
      <c r="AW308">
        <v>10785</v>
      </c>
      <c r="AX308">
        <v>10806</v>
      </c>
      <c r="AY308">
        <v>10803</v>
      </c>
      <c r="AZ308">
        <v>10873</v>
      </c>
      <c r="BA308">
        <v>10877</v>
      </c>
      <c r="BB308">
        <v>10856</v>
      </c>
      <c r="BC308">
        <v>10750</v>
      </c>
      <c r="BD308">
        <v>10839</v>
      </c>
      <c r="BE308">
        <v>10696</v>
      </c>
      <c r="BF308">
        <v>10560</v>
      </c>
      <c r="BG308">
        <v>10303</v>
      </c>
      <c r="BH308">
        <v>10186</v>
      </c>
      <c r="BI308">
        <v>10436.25</v>
      </c>
      <c r="BJ308">
        <v>9929</v>
      </c>
      <c r="BK308">
        <v>9806</v>
      </c>
      <c r="BL308">
        <v>9725</v>
      </c>
      <c r="BM308">
        <v>9507</v>
      </c>
      <c r="BN308">
        <v>9741.75</v>
      </c>
      <c r="BO308">
        <v>9380</v>
      </c>
      <c r="BP308">
        <v>9361</v>
      </c>
      <c r="BQ308">
        <v>9307</v>
      </c>
      <c r="BR308">
        <v>9264</v>
      </c>
      <c r="BS308">
        <v>9328</v>
      </c>
      <c r="BT308">
        <v>9084</v>
      </c>
      <c r="BU308">
        <v>8903</v>
      </c>
      <c r="BV308">
        <v>8891</v>
      </c>
      <c r="BW308">
        <v>8901</v>
      </c>
      <c r="BX308">
        <v>8944.75</v>
      </c>
      <c r="BY308">
        <v>8914</v>
      </c>
      <c r="BZ308">
        <v>8856</v>
      </c>
      <c r="CA308">
        <v>8767</v>
      </c>
      <c r="CB308">
        <v>8712</v>
      </c>
      <c r="CC308">
        <v>8812.25</v>
      </c>
      <c r="CD308">
        <v>8614</v>
      </c>
      <c r="CE308">
        <v>8497</v>
      </c>
      <c r="CF308">
        <v>8420</v>
      </c>
      <c r="CG308">
        <v>8429</v>
      </c>
      <c r="CH308">
        <v>8490</v>
      </c>
      <c r="CI308">
        <v>8392</v>
      </c>
      <c r="CJ308">
        <v>8402</v>
      </c>
      <c r="CK308">
        <v>8401</v>
      </c>
      <c r="CL308">
        <v>8388</v>
      </c>
      <c r="CM308">
        <v>8395.75</v>
      </c>
      <c r="CN308">
        <v>8396</v>
      </c>
      <c r="CO308">
        <v>8393</v>
      </c>
      <c r="CP308">
        <v>8364</v>
      </c>
      <c r="CQ308">
        <v>8345</v>
      </c>
      <c r="CR308">
        <v>8374.5</v>
      </c>
      <c r="CS308">
        <v>8339</v>
      </c>
      <c r="CT308">
        <v>8326</v>
      </c>
      <c r="CU308">
        <v>8284</v>
      </c>
      <c r="CV308">
        <v>8246</v>
      </c>
      <c r="CW308">
        <v>8298.75</v>
      </c>
      <c r="CX308">
        <v>8249</v>
      </c>
      <c r="CY308">
        <v>8228</v>
      </c>
      <c r="CZ308">
        <v>8167</v>
      </c>
      <c r="DA308">
        <v>8061</v>
      </c>
      <c r="DB308">
        <v>8176.25</v>
      </c>
      <c r="DC308">
        <v>7996</v>
      </c>
      <c r="DD308">
        <v>7964</v>
      </c>
      <c r="DE308">
        <v>7895</v>
      </c>
      <c r="DF308">
        <v>7842</v>
      </c>
      <c r="DG308">
        <v>7924.25</v>
      </c>
      <c r="DH308">
        <v>7789</v>
      </c>
      <c r="DI308">
        <v>7755</v>
      </c>
      <c r="DJ308">
        <v>7725</v>
      </c>
      <c r="DK308">
        <v>7715</v>
      </c>
      <c r="DL308">
        <v>7746</v>
      </c>
      <c r="DM308">
        <v>7708</v>
      </c>
      <c r="DN308">
        <v>7710</v>
      </c>
      <c r="DO308">
        <v>7698</v>
      </c>
      <c r="DP308">
        <v>7683</v>
      </c>
      <c r="DQ308">
        <v>7699.75</v>
      </c>
      <c r="DR308">
        <v>7673</v>
      </c>
      <c r="DS308">
        <v>7692</v>
      </c>
      <c r="DT308">
        <v>7672</v>
      </c>
      <c r="DU308">
        <v>7655</v>
      </c>
      <c r="DV308">
        <v>7673</v>
      </c>
      <c r="DW308">
        <v>7634</v>
      </c>
      <c r="DX308">
        <v>7621</v>
      </c>
      <c r="DY308">
        <v>7602</v>
      </c>
      <c r="DZ308">
        <v>7580</v>
      </c>
      <c r="EA308">
        <v>7609.25</v>
      </c>
      <c r="EB308">
        <v>7566</v>
      </c>
      <c r="EC308">
        <v>7555</v>
      </c>
      <c r="ED308">
        <v>7539</v>
      </c>
      <c r="EE308">
        <v>7527</v>
      </c>
      <c r="EF308">
        <v>7547</v>
      </c>
      <c r="EG308">
        <v>7513</v>
      </c>
      <c r="EH308">
        <v>7505</v>
      </c>
      <c r="EI308">
        <v>7493</v>
      </c>
      <c r="EJ308">
        <v>7474</v>
      </c>
      <c r="EK308">
        <v>7496</v>
      </c>
      <c r="EL308">
        <v>7457</v>
      </c>
      <c r="EM308">
        <v>7451</v>
      </c>
      <c r="EN308">
        <v>7441</v>
      </c>
      <c r="EO308">
        <v>7434</v>
      </c>
      <c r="EP308">
        <v>7446</v>
      </c>
      <c r="EQ308">
        <v>7429</v>
      </c>
      <c r="ER308">
        <v>7432</v>
      </c>
      <c r="ES308">
        <v>7431</v>
      </c>
      <c r="ET308">
        <v>7433</v>
      </c>
      <c r="EU308">
        <v>7431.25</v>
      </c>
      <c r="EV308">
        <v>7433</v>
      </c>
      <c r="EW308">
        <v>7435</v>
      </c>
      <c r="EX308">
        <v>7434</v>
      </c>
      <c r="EY308">
        <v>7429.8151426857103</v>
      </c>
      <c r="EZ308">
        <v>7432.9537856714296</v>
      </c>
      <c r="FA308">
        <v>7426.9291271593402</v>
      </c>
      <c r="FB308">
        <v>7424.1706959451203</v>
      </c>
      <c r="FC308">
        <v>7421.5385858320196</v>
      </c>
      <c r="FD308">
        <v>7419.0315461160899</v>
      </c>
      <c r="FE308">
        <v>7422.9174887631398</v>
      </c>
      <c r="FF308">
        <v>7416.6483384765397</v>
      </c>
      <c r="FG308">
        <v>7414.3877368532403</v>
      </c>
      <c r="FH308">
        <v>7412.2485273252096</v>
      </c>
      <c r="FI308">
        <v>7410.2295079905298</v>
      </c>
      <c r="FJ308">
        <v>7413.3785276613798</v>
      </c>
      <c r="FK308">
        <v>7408.3294888472801</v>
      </c>
      <c r="FL308">
        <v>7406.5472916757499</v>
      </c>
      <c r="FM308">
        <v>7404.8817499217503</v>
      </c>
      <c r="FN308">
        <v>7403.3317085811696</v>
      </c>
      <c r="FO308">
        <v>7405.7725597564904</v>
      </c>
    </row>
    <row r="309" spans="1:171">
      <c r="B309" t="s">
        <v>1161</v>
      </c>
      <c r="C309" t="s">
        <v>1162</v>
      </c>
      <c r="F309">
        <v>627</v>
      </c>
      <c r="G309">
        <v>640</v>
      </c>
      <c r="H309">
        <v>638</v>
      </c>
      <c r="I309">
        <v>639</v>
      </c>
      <c r="J309">
        <v>645</v>
      </c>
      <c r="K309">
        <v>640.5</v>
      </c>
      <c r="L309">
        <v>1300</v>
      </c>
      <c r="M309">
        <v>1300</v>
      </c>
      <c r="N309">
        <v>2600</v>
      </c>
      <c r="O309">
        <v>2650</v>
      </c>
      <c r="P309">
        <v>1962.5</v>
      </c>
      <c r="Q309">
        <v>1340</v>
      </c>
      <c r="R309">
        <v>1340</v>
      </c>
      <c r="S309">
        <v>2700</v>
      </c>
      <c r="T309">
        <v>2800</v>
      </c>
      <c r="U309">
        <v>2045</v>
      </c>
      <c r="V309">
        <v>2700</v>
      </c>
      <c r="W309">
        <v>2700</v>
      </c>
      <c r="X309">
        <v>5500</v>
      </c>
      <c r="Y309">
        <v>5521</v>
      </c>
      <c r="Z309">
        <v>4105.25</v>
      </c>
      <c r="AA309">
        <v>5500</v>
      </c>
      <c r="AB309">
        <v>5500</v>
      </c>
      <c r="AC309">
        <v>5500</v>
      </c>
      <c r="AD309">
        <v>5537</v>
      </c>
      <c r="AE309">
        <v>5509.25</v>
      </c>
      <c r="AF309">
        <v>5557</v>
      </c>
      <c r="AG309">
        <v>5570</v>
      </c>
      <c r="AH309">
        <v>5563</v>
      </c>
      <c r="AI309">
        <v>5592</v>
      </c>
      <c r="AJ309">
        <v>5570.5</v>
      </c>
      <c r="AK309">
        <v>5567</v>
      </c>
      <c r="AL309">
        <v>5556</v>
      </c>
      <c r="AM309">
        <v>5564</v>
      </c>
      <c r="AN309">
        <v>5530</v>
      </c>
      <c r="AO309">
        <v>5554.25</v>
      </c>
      <c r="AP309">
        <v>10933</v>
      </c>
      <c r="AQ309">
        <v>10846</v>
      </c>
      <c r="AR309">
        <v>10837</v>
      </c>
      <c r="AS309">
        <v>10862</v>
      </c>
      <c r="AT309">
        <v>10869.5</v>
      </c>
      <c r="AU309">
        <v>10885</v>
      </c>
      <c r="AV309">
        <v>10899</v>
      </c>
      <c r="AW309">
        <v>10856</v>
      </c>
      <c r="AX309">
        <v>10864</v>
      </c>
      <c r="AY309">
        <v>10876</v>
      </c>
      <c r="AZ309">
        <v>10920</v>
      </c>
      <c r="BA309">
        <v>10956</v>
      </c>
      <c r="BB309">
        <v>10931</v>
      </c>
      <c r="BC309">
        <v>10819</v>
      </c>
      <c r="BD309">
        <v>10906.5</v>
      </c>
      <c r="BE309">
        <v>10772</v>
      </c>
      <c r="BF309">
        <v>10638</v>
      </c>
      <c r="BG309">
        <v>10415</v>
      </c>
      <c r="BH309">
        <v>10255</v>
      </c>
      <c r="BI309">
        <v>10520</v>
      </c>
      <c r="BJ309">
        <v>10010</v>
      </c>
      <c r="BK309">
        <v>9942</v>
      </c>
      <c r="BL309">
        <v>9862</v>
      </c>
      <c r="BM309">
        <v>9657</v>
      </c>
      <c r="BN309">
        <v>9867.75</v>
      </c>
      <c r="BO309">
        <v>9513</v>
      </c>
      <c r="BP309">
        <v>9503</v>
      </c>
      <c r="BQ309">
        <v>9428</v>
      </c>
      <c r="BR309">
        <v>9380</v>
      </c>
      <c r="BS309">
        <v>9456</v>
      </c>
      <c r="BT309">
        <v>9183</v>
      </c>
      <c r="BU309">
        <v>8914</v>
      </c>
      <c r="BV309">
        <v>8904</v>
      </c>
      <c r="BW309">
        <v>8928</v>
      </c>
      <c r="BX309">
        <v>8982.25</v>
      </c>
      <c r="BY309">
        <v>8983</v>
      </c>
      <c r="BZ309">
        <v>8951</v>
      </c>
      <c r="CA309">
        <v>8876</v>
      </c>
      <c r="CB309">
        <v>8821</v>
      </c>
      <c r="CC309">
        <v>8907.75</v>
      </c>
      <c r="CD309">
        <v>8695</v>
      </c>
      <c r="CE309">
        <v>8570</v>
      </c>
      <c r="CF309">
        <v>8510</v>
      </c>
      <c r="CG309">
        <v>8521</v>
      </c>
      <c r="CH309">
        <v>8574</v>
      </c>
      <c r="CI309">
        <v>8490</v>
      </c>
      <c r="CJ309">
        <v>8465</v>
      </c>
      <c r="CK309">
        <v>8498</v>
      </c>
      <c r="CL309">
        <v>8388</v>
      </c>
      <c r="CM309">
        <v>8460.25</v>
      </c>
      <c r="CN309">
        <v>8494</v>
      </c>
      <c r="CO309">
        <v>8444</v>
      </c>
      <c r="CP309">
        <v>8429</v>
      </c>
      <c r="CQ309">
        <v>8442</v>
      </c>
      <c r="CR309">
        <v>8452.25</v>
      </c>
      <c r="CS309">
        <v>8434</v>
      </c>
      <c r="CT309">
        <v>8395</v>
      </c>
      <c r="CU309">
        <v>8367</v>
      </c>
      <c r="CV309">
        <v>8345</v>
      </c>
      <c r="CW309">
        <v>8385.25</v>
      </c>
      <c r="CX309">
        <v>8351</v>
      </c>
      <c r="CY309">
        <v>8297</v>
      </c>
      <c r="CZ309">
        <v>8237</v>
      </c>
      <c r="DA309">
        <v>8061</v>
      </c>
      <c r="DB309">
        <v>8236.5</v>
      </c>
      <c r="DC309">
        <v>8066</v>
      </c>
      <c r="DD309">
        <v>8028</v>
      </c>
      <c r="DE309">
        <v>7985</v>
      </c>
      <c r="DF309">
        <v>7929</v>
      </c>
      <c r="DG309">
        <v>8002</v>
      </c>
      <c r="DH309">
        <v>7876</v>
      </c>
      <c r="DI309">
        <v>7830</v>
      </c>
      <c r="DJ309">
        <v>7813</v>
      </c>
      <c r="DK309">
        <v>7806</v>
      </c>
      <c r="DL309">
        <v>7831.25</v>
      </c>
      <c r="DM309">
        <v>7799</v>
      </c>
      <c r="DN309">
        <v>7710</v>
      </c>
      <c r="DO309">
        <v>7794</v>
      </c>
      <c r="DP309">
        <v>7775</v>
      </c>
      <c r="DQ309">
        <v>7769.5</v>
      </c>
      <c r="DR309">
        <v>7766</v>
      </c>
      <c r="DS309">
        <v>7768</v>
      </c>
      <c r="DT309">
        <v>7744</v>
      </c>
      <c r="DU309">
        <v>7730</v>
      </c>
      <c r="DV309">
        <v>7752</v>
      </c>
      <c r="DW309">
        <v>7710</v>
      </c>
      <c r="DX309">
        <v>7691</v>
      </c>
      <c r="DY309">
        <v>7675</v>
      </c>
      <c r="DZ309">
        <v>7650</v>
      </c>
      <c r="EA309">
        <v>7681.5</v>
      </c>
      <c r="EB309">
        <v>7637</v>
      </c>
      <c r="EC309">
        <v>7616</v>
      </c>
      <c r="ED309">
        <v>7597</v>
      </c>
      <c r="EE309">
        <v>7581</v>
      </c>
      <c r="EF309">
        <v>7608</v>
      </c>
      <c r="EG309">
        <v>7567</v>
      </c>
      <c r="EH309">
        <v>7555</v>
      </c>
      <c r="EI309">
        <v>7534</v>
      </c>
      <c r="EJ309">
        <v>7506</v>
      </c>
      <c r="EK309">
        <v>7540</v>
      </c>
      <c r="EL309">
        <v>7485</v>
      </c>
      <c r="EM309">
        <v>7473</v>
      </c>
      <c r="EN309">
        <v>7464</v>
      </c>
      <c r="EO309">
        <v>7467</v>
      </c>
      <c r="EP309">
        <v>7472</v>
      </c>
      <c r="EQ309">
        <v>7462</v>
      </c>
      <c r="ER309">
        <v>7468</v>
      </c>
      <c r="ES309">
        <v>7472</v>
      </c>
      <c r="ET309">
        <v>7472</v>
      </c>
      <c r="EU309">
        <v>7468.5</v>
      </c>
      <c r="EV309">
        <v>7470</v>
      </c>
      <c r="EW309">
        <v>7468</v>
      </c>
      <c r="EX309">
        <v>7461</v>
      </c>
      <c r="EY309">
        <v>7462.8151426857103</v>
      </c>
      <c r="EZ309">
        <v>7465.4537856714296</v>
      </c>
      <c r="FA309">
        <v>7459.9291271593402</v>
      </c>
      <c r="FB309">
        <v>7457.1706959451203</v>
      </c>
      <c r="FC309">
        <v>7454.5385858320196</v>
      </c>
      <c r="FD309">
        <v>7452.0315461160899</v>
      </c>
      <c r="FE309">
        <v>7455.9174887631398</v>
      </c>
      <c r="FF309">
        <v>7449.6483384765397</v>
      </c>
      <c r="FG309">
        <v>7447.3877368532403</v>
      </c>
      <c r="FH309">
        <v>7445.2485273252096</v>
      </c>
      <c r="FI309">
        <v>7443.2295079905298</v>
      </c>
      <c r="FJ309">
        <v>7446.3785276613798</v>
      </c>
      <c r="FK309">
        <v>7441.3294888472801</v>
      </c>
      <c r="FL309">
        <v>7439.5472916757499</v>
      </c>
      <c r="FM309">
        <v>7437.8817499217503</v>
      </c>
      <c r="FN309">
        <v>7436.3317085811696</v>
      </c>
      <c r="FO309">
        <v>7438.7725597564904</v>
      </c>
    </row>
    <row r="310" spans="1:171">
      <c r="B310" t="s">
        <v>1163</v>
      </c>
      <c r="C310" t="s">
        <v>1164</v>
      </c>
      <c r="F310">
        <v>627</v>
      </c>
      <c r="G310">
        <v>640</v>
      </c>
      <c r="H310">
        <v>638</v>
      </c>
      <c r="I310">
        <v>639</v>
      </c>
      <c r="J310">
        <v>645</v>
      </c>
      <c r="K310">
        <v>640.5</v>
      </c>
      <c r="L310">
        <v>1294</v>
      </c>
      <c r="M310">
        <v>1200</v>
      </c>
      <c r="N310">
        <v>2400</v>
      </c>
      <c r="O310">
        <v>2400</v>
      </c>
      <c r="P310">
        <v>1823.5</v>
      </c>
      <c r="Q310">
        <v>1333</v>
      </c>
      <c r="R310">
        <v>1220</v>
      </c>
      <c r="S310">
        <v>2450</v>
      </c>
      <c r="T310">
        <v>2550</v>
      </c>
      <c r="U310">
        <v>1888.25</v>
      </c>
      <c r="V310">
        <v>2475</v>
      </c>
      <c r="W310">
        <v>2500</v>
      </c>
      <c r="X310">
        <v>5100</v>
      </c>
      <c r="Y310">
        <v>5100</v>
      </c>
      <c r="Z310">
        <v>3793.75</v>
      </c>
      <c r="AA310">
        <v>5100</v>
      </c>
      <c r="AB310">
        <v>5200</v>
      </c>
      <c r="AC310">
        <v>5200</v>
      </c>
      <c r="AD310">
        <v>5250</v>
      </c>
      <c r="AE310">
        <v>5187.5</v>
      </c>
      <c r="AF310">
        <v>5299</v>
      </c>
      <c r="AG310">
        <v>5330</v>
      </c>
      <c r="AH310">
        <v>5336</v>
      </c>
      <c r="AI310">
        <v>5381</v>
      </c>
      <c r="AJ310">
        <v>5336.5</v>
      </c>
      <c r="AK310">
        <v>5398</v>
      </c>
      <c r="AL310">
        <v>5395</v>
      </c>
      <c r="AM310">
        <v>5415</v>
      </c>
      <c r="AN310">
        <v>5415</v>
      </c>
      <c r="AO310">
        <v>5405.75</v>
      </c>
      <c r="AP310">
        <v>10739</v>
      </c>
      <c r="AQ310">
        <v>10703</v>
      </c>
      <c r="AR310">
        <v>10715</v>
      </c>
      <c r="AS310">
        <v>10737</v>
      </c>
      <c r="AT310">
        <v>10723.5</v>
      </c>
      <c r="AU310">
        <v>10811</v>
      </c>
      <c r="AV310">
        <v>10810</v>
      </c>
      <c r="AW310">
        <v>10785</v>
      </c>
      <c r="AX310">
        <v>10806</v>
      </c>
      <c r="AY310">
        <v>10803</v>
      </c>
      <c r="AZ310">
        <v>10873</v>
      </c>
      <c r="BA310">
        <v>10877</v>
      </c>
      <c r="BB310">
        <v>10856</v>
      </c>
      <c r="BC310">
        <v>10750</v>
      </c>
      <c r="BD310">
        <v>10839</v>
      </c>
      <c r="BE310">
        <v>10696</v>
      </c>
      <c r="BF310">
        <v>10560</v>
      </c>
      <c r="BG310">
        <v>10303</v>
      </c>
      <c r="BH310">
        <v>10186</v>
      </c>
      <c r="BI310">
        <v>10436.25</v>
      </c>
      <c r="BJ310">
        <v>9929</v>
      </c>
      <c r="BK310">
        <v>9806</v>
      </c>
      <c r="BL310">
        <v>9725</v>
      </c>
      <c r="BM310">
        <v>9507</v>
      </c>
      <c r="BN310">
        <v>9741.75</v>
      </c>
      <c r="BO310">
        <v>9380</v>
      </c>
      <c r="BP310">
        <v>9361</v>
      </c>
      <c r="BQ310">
        <v>9307</v>
      </c>
      <c r="BR310">
        <v>9264</v>
      </c>
      <c r="BS310">
        <v>9328</v>
      </c>
      <c r="BT310">
        <v>9084</v>
      </c>
      <c r="BU310">
        <v>8903</v>
      </c>
      <c r="BV310">
        <v>8891</v>
      </c>
      <c r="BW310">
        <v>8901</v>
      </c>
      <c r="BX310">
        <v>8944.75</v>
      </c>
      <c r="BY310">
        <v>8914</v>
      </c>
      <c r="BZ310">
        <v>8856</v>
      </c>
      <c r="CA310">
        <v>8767</v>
      </c>
      <c r="CB310">
        <v>8712</v>
      </c>
      <c r="CC310">
        <v>8812.25</v>
      </c>
      <c r="CD310">
        <v>8614</v>
      </c>
      <c r="CE310">
        <v>8497</v>
      </c>
      <c r="CF310">
        <v>8420</v>
      </c>
      <c r="CG310">
        <v>8429</v>
      </c>
      <c r="CH310">
        <v>8490</v>
      </c>
      <c r="CI310">
        <v>8392</v>
      </c>
      <c r="CJ310">
        <v>8402</v>
      </c>
      <c r="CK310">
        <v>8401</v>
      </c>
      <c r="CL310">
        <v>8388</v>
      </c>
      <c r="CM310">
        <v>8395.75</v>
      </c>
      <c r="CN310">
        <v>8396</v>
      </c>
      <c r="CO310">
        <v>8393</v>
      </c>
      <c r="CP310">
        <v>8364</v>
      </c>
      <c r="CQ310">
        <v>8345</v>
      </c>
      <c r="CR310">
        <v>8374.5</v>
      </c>
      <c r="CS310">
        <v>8339</v>
      </c>
      <c r="CT310">
        <v>8326</v>
      </c>
      <c r="CU310">
        <v>8284</v>
      </c>
      <c r="CV310">
        <v>8246</v>
      </c>
      <c r="CW310">
        <v>8298.75</v>
      </c>
      <c r="CX310">
        <v>8249</v>
      </c>
      <c r="CY310">
        <v>8228</v>
      </c>
      <c r="CZ310">
        <v>8167</v>
      </c>
      <c r="DA310">
        <v>8061</v>
      </c>
      <c r="DB310">
        <v>8176.25</v>
      </c>
      <c r="DC310">
        <v>7996</v>
      </c>
      <c r="DD310">
        <v>7964</v>
      </c>
      <c r="DE310">
        <v>7895</v>
      </c>
      <c r="DF310">
        <v>7842</v>
      </c>
      <c r="DG310">
        <v>7924.25</v>
      </c>
      <c r="DH310">
        <v>7789</v>
      </c>
      <c r="DI310">
        <v>7755</v>
      </c>
      <c r="DJ310">
        <v>7725</v>
      </c>
      <c r="DK310">
        <v>7715</v>
      </c>
      <c r="DL310">
        <v>7746</v>
      </c>
      <c r="DM310">
        <v>7708</v>
      </c>
      <c r="DN310">
        <v>7710</v>
      </c>
      <c r="DO310">
        <v>7698</v>
      </c>
      <c r="DP310">
        <v>7683</v>
      </c>
      <c r="DQ310">
        <v>7699.75</v>
      </c>
      <c r="DR310">
        <v>7673</v>
      </c>
      <c r="DS310">
        <v>7692</v>
      </c>
      <c r="DT310">
        <v>7672</v>
      </c>
      <c r="DU310">
        <v>7655</v>
      </c>
      <c r="DV310">
        <v>7673</v>
      </c>
      <c r="DW310">
        <v>7634</v>
      </c>
      <c r="DX310">
        <v>7621</v>
      </c>
      <c r="DY310">
        <v>7602</v>
      </c>
      <c r="DZ310">
        <v>7580</v>
      </c>
      <c r="EA310">
        <v>7609.25</v>
      </c>
      <c r="EB310">
        <v>7566</v>
      </c>
      <c r="EC310">
        <v>7555</v>
      </c>
      <c r="ED310">
        <v>7539</v>
      </c>
      <c r="EE310">
        <v>7527</v>
      </c>
      <c r="EF310">
        <v>7547</v>
      </c>
      <c r="EG310">
        <v>7513</v>
      </c>
      <c r="EH310">
        <v>7505</v>
      </c>
      <c r="EI310">
        <v>7493</v>
      </c>
      <c r="EJ310">
        <v>7474</v>
      </c>
      <c r="EK310">
        <v>7496</v>
      </c>
      <c r="EL310">
        <v>7457</v>
      </c>
      <c r="EM310">
        <v>7451</v>
      </c>
      <c r="EN310">
        <v>7441</v>
      </c>
      <c r="EO310">
        <v>7434</v>
      </c>
      <c r="EP310">
        <v>7446</v>
      </c>
      <c r="EQ310">
        <v>7429</v>
      </c>
      <c r="ER310">
        <v>7432</v>
      </c>
      <c r="ES310">
        <v>7431</v>
      </c>
      <c r="ET310">
        <v>7433</v>
      </c>
      <c r="EU310">
        <v>7431.25</v>
      </c>
      <c r="EV310">
        <v>7433</v>
      </c>
      <c r="EW310">
        <v>7435</v>
      </c>
      <c r="EX310">
        <v>7434</v>
      </c>
      <c r="EY310">
        <v>7429.8151426857103</v>
      </c>
      <c r="EZ310">
        <v>7432.9537856714296</v>
      </c>
      <c r="FA310">
        <v>7426.9291271593402</v>
      </c>
      <c r="FB310">
        <v>7424.1706959451203</v>
      </c>
      <c r="FC310">
        <v>7421.5385858320196</v>
      </c>
      <c r="FD310">
        <v>7419.0315461160899</v>
      </c>
      <c r="FE310">
        <v>7422.9174887631398</v>
      </c>
      <c r="FF310">
        <v>7416.6483384765397</v>
      </c>
      <c r="FG310">
        <v>7414.3877368532403</v>
      </c>
      <c r="FH310">
        <v>7412.2485273252096</v>
      </c>
      <c r="FI310">
        <v>7410.2295079905298</v>
      </c>
      <c r="FJ310">
        <v>7413.3785276613798</v>
      </c>
      <c r="FK310">
        <v>7408.3294888472801</v>
      </c>
      <c r="FL310">
        <v>7406.5472916757499</v>
      </c>
      <c r="FM310">
        <v>7404.8817499217503</v>
      </c>
      <c r="FN310">
        <v>7403.3317085811696</v>
      </c>
      <c r="FO310">
        <v>7405.7725597564904</v>
      </c>
    </row>
    <row r="311" spans="1:171">
      <c r="A311" t="s">
        <v>635</v>
      </c>
    </row>
    <row r="312" spans="1:171">
      <c r="B312" t="s">
        <v>1165</v>
      </c>
      <c r="C312" t="s">
        <v>1166</v>
      </c>
      <c r="F312">
        <v>0.32948777111200001</v>
      </c>
      <c r="G312">
        <v>0.351948051948</v>
      </c>
      <c r="H312">
        <v>0.35028248587600003</v>
      </c>
      <c r="I312">
        <v>0.34953703703700001</v>
      </c>
      <c r="J312">
        <v>0.35</v>
      </c>
      <c r="K312">
        <v>0.35039952648700001</v>
      </c>
      <c r="L312">
        <v>0.35026455026499997</v>
      </c>
      <c r="M312">
        <v>0.35</v>
      </c>
      <c r="N312">
        <v>0.34996880848400003</v>
      </c>
      <c r="O312">
        <v>0.34993849938499999</v>
      </c>
      <c r="P312">
        <v>0.350018818216</v>
      </c>
      <c r="Q312">
        <v>0.44841930116500001</v>
      </c>
      <c r="R312">
        <v>0.35988700564999998</v>
      </c>
      <c r="S312">
        <v>0.35002430724400002</v>
      </c>
      <c r="T312">
        <v>0.35009578544100001</v>
      </c>
      <c r="U312">
        <v>0.36911620064599998</v>
      </c>
      <c r="V312">
        <v>0.327606871754</v>
      </c>
      <c r="W312">
        <v>0.35004916420799997</v>
      </c>
      <c r="X312">
        <v>0.34994913529999999</v>
      </c>
      <c r="Y312">
        <v>0.35005903187699999</v>
      </c>
      <c r="Z312">
        <v>0.34530317046499998</v>
      </c>
      <c r="AA312">
        <v>0.340060240964</v>
      </c>
      <c r="AB312">
        <v>0.34001625575700001</v>
      </c>
      <c r="AC312">
        <v>0.33988375311399999</v>
      </c>
      <c r="AD312">
        <v>0.34018077239099997</v>
      </c>
      <c r="AE312">
        <v>0.34003502626999998</v>
      </c>
      <c r="AF312">
        <v>0.32995846313600002</v>
      </c>
      <c r="AG312">
        <v>0.33009956599399998</v>
      </c>
      <c r="AH312">
        <v>0.32996172771999999</v>
      </c>
      <c r="AI312">
        <v>0.33673469387799998</v>
      </c>
      <c r="AJ312">
        <v>0.33006507592200002</v>
      </c>
      <c r="AK312">
        <v>0.320084790673</v>
      </c>
      <c r="AL312">
        <v>0.319928507596</v>
      </c>
      <c r="AM312">
        <v>0.319920516642</v>
      </c>
      <c r="AN312">
        <v>0.32010699955400002</v>
      </c>
      <c r="AO312">
        <v>0.31998610266700001</v>
      </c>
      <c r="AP312">
        <v>0.33016081391500002</v>
      </c>
      <c r="AQ312">
        <v>0.28158705701100001</v>
      </c>
      <c r="AR312">
        <v>0.32999687206799999</v>
      </c>
      <c r="AS312">
        <v>0.33017163505000002</v>
      </c>
      <c r="AT312">
        <v>0.31870815994200002</v>
      </c>
      <c r="AU312">
        <v>0.32991540630600003</v>
      </c>
      <c r="AV312">
        <v>0.33001730103799998</v>
      </c>
      <c r="AW312">
        <v>0.42299254058800001</v>
      </c>
      <c r="AX312">
        <v>0.27375809935200002</v>
      </c>
      <c r="AY312">
        <v>0.33027222039999998</v>
      </c>
      <c r="AZ312">
        <v>0.32997614630299998</v>
      </c>
      <c r="BA312">
        <v>0.33004449603399999</v>
      </c>
      <c r="BB312">
        <v>0.32993464052299998</v>
      </c>
      <c r="BC312">
        <v>4.1699041699000003E-2</v>
      </c>
      <c r="BD312">
        <v>0.26305027664199998</v>
      </c>
      <c r="BE312">
        <v>0.30997363796100003</v>
      </c>
      <c r="BF312">
        <v>0.288884562974</v>
      </c>
      <c r="BG312">
        <v>0.31008111239899999</v>
      </c>
      <c r="BH312">
        <v>0.33583842179399997</v>
      </c>
      <c r="BI312">
        <v>0.31009747015700001</v>
      </c>
      <c r="BJ312">
        <v>0.310058</v>
      </c>
      <c r="BK312">
        <v>0.30985499999999999</v>
      </c>
      <c r="BL312">
        <v>0.29335819824999998</v>
      </c>
      <c r="BM312">
        <v>0.291549953315</v>
      </c>
      <c r="BN312">
        <v>0.30028356798200001</v>
      </c>
      <c r="BO312">
        <v>0.310006435006</v>
      </c>
      <c r="BP312">
        <v>0.30982404692100002</v>
      </c>
      <c r="BQ312">
        <v>8.7733887733999996E-2</v>
      </c>
      <c r="BR312">
        <v>0.27999329758699998</v>
      </c>
      <c r="BS312">
        <v>0.25753758293399998</v>
      </c>
      <c r="BT312">
        <v>0.270071774328</v>
      </c>
      <c r="BU312">
        <v>0.25966654842100001</v>
      </c>
      <c r="BV312">
        <v>0.264938271605</v>
      </c>
      <c r="BW312">
        <v>0.26484789956499999</v>
      </c>
      <c r="BX312">
        <v>0.26497149487900001</v>
      </c>
      <c r="BY312">
        <v>0.249947534103</v>
      </c>
      <c r="BZ312">
        <v>0.25002814364499998</v>
      </c>
      <c r="CA312">
        <v>0.24995319228599999</v>
      </c>
      <c r="CB312">
        <v>0.25</v>
      </c>
      <c r="CC312">
        <v>0.24998963785100001</v>
      </c>
      <c r="CD312">
        <v>0.25172890733100001</v>
      </c>
      <c r="CE312">
        <v>0.21925385430200001</v>
      </c>
      <c r="CF312">
        <v>0.13161825726099999</v>
      </c>
      <c r="CG312">
        <v>7.0422535211000004E-2</v>
      </c>
      <c r="CH312">
        <v>0.17530547540200001</v>
      </c>
      <c r="CI312">
        <v>0.21461812209100001</v>
      </c>
      <c r="CJ312">
        <v>0.19601893433699999</v>
      </c>
      <c r="CK312">
        <v>0.197234009115</v>
      </c>
      <c r="CL312">
        <v>1</v>
      </c>
      <c r="CM312">
        <v>0.23752638433600001</v>
      </c>
      <c r="CN312">
        <v>0.19298879653100001</v>
      </c>
      <c r="CO312">
        <v>0.179279279279</v>
      </c>
      <c r="CP312">
        <v>0.203603840589</v>
      </c>
      <c r="CQ312">
        <v>0.19202603742900001</v>
      </c>
      <c r="CR312">
        <v>0.191815762236</v>
      </c>
      <c r="CS312">
        <v>0.18164794007499999</v>
      </c>
      <c r="CT312">
        <v>0.16755521706000001</v>
      </c>
      <c r="CU312">
        <v>0.186430932873</v>
      </c>
      <c r="CV312">
        <v>0.29876843545699999</v>
      </c>
      <c r="CW312">
        <v>0.20654205607500001</v>
      </c>
      <c r="CX312">
        <v>0.229986431479</v>
      </c>
      <c r="CY312">
        <v>0.253121019108</v>
      </c>
      <c r="CZ312">
        <v>0.23507748964200001</v>
      </c>
      <c r="DA312">
        <v>0</v>
      </c>
      <c r="DB312">
        <v>0.34116820662500003</v>
      </c>
      <c r="DC312">
        <v>0.16198077271899999</v>
      </c>
      <c r="DD312">
        <v>0.146370623399</v>
      </c>
      <c r="DE312">
        <v>0.25416997617199999</v>
      </c>
      <c r="DF312">
        <v>6.7224380042000001E-2</v>
      </c>
      <c r="DG312">
        <v>0.16480178218800001</v>
      </c>
      <c r="DH312">
        <v>0.16991357843900001</v>
      </c>
      <c r="DI312">
        <v>0.21877337322400001</v>
      </c>
      <c r="DJ312">
        <v>0.226670425712</v>
      </c>
      <c r="DL312">
        <v>0.147553593525</v>
      </c>
      <c r="DM312">
        <v>0.17635270541100001</v>
      </c>
      <c r="DN312">
        <v>1</v>
      </c>
      <c r="DO312">
        <v>0.140840180535</v>
      </c>
      <c r="DP312">
        <v>0.16919475655399999</v>
      </c>
      <c r="DQ312">
        <v>0.54567637220999998</v>
      </c>
      <c r="DR312">
        <v>0.136679385579</v>
      </c>
      <c r="DS312">
        <v>0.18921521425099999</v>
      </c>
      <c r="DT312">
        <v>0.159927522411</v>
      </c>
      <c r="DU312">
        <v>0</v>
      </c>
      <c r="DV312">
        <v>0.10181285478800001</v>
      </c>
      <c r="DW312">
        <v>0.158284723317</v>
      </c>
      <c r="DX312">
        <v>0.17294994675200001</v>
      </c>
      <c r="DY312">
        <v>0.162812427003</v>
      </c>
      <c r="DZ312">
        <v>0.16540008940500001</v>
      </c>
      <c r="EA312">
        <v>0.165076551776</v>
      </c>
      <c r="EB312">
        <v>0.13836516993299999</v>
      </c>
      <c r="EC312">
        <v>0.15673228990599999</v>
      </c>
      <c r="ED312">
        <v>0.103214202831</v>
      </c>
      <c r="EE312">
        <v>0.151868075238</v>
      </c>
      <c r="EF312">
        <v>0.138266152851</v>
      </c>
      <c r="EG312">
        <v>9.2574546900000003E-4</v>
      </c>
      <c r="EH312">
        <v>0.16655562958</v>
      </c>
      <c r="EI312">
        <v>0.17147102525999999</v>
      </c>
      <c r="EJ312">
        <v>0.18289647093299999</v>
      </c>
      <c r="EK312">
        <v>0.131133833437</v>
      </c>
      <c r="EL312">
        <v>0.18616725384800001</v>
      </c>
      <c r="EM312">
        <v>0.192438172968</v>
      </c>
      <c r="EN312">
        <v>0.192916685044</v>
      </c>
      <c r="EO312">
        <v>0.18789177821799999</v>
      </c>
      <c r="EP312">
        <v>0.18978625253299999</v>
      </c>
      <c r="EQ312">
        <v>0.18300102624199999</v>
      </c>
      <c r="ER312">
        <v>0.17552589911800001</v>
      </c>
      <c r="ES312">
        <v>0.17914468515000001</v>
      </c>
      <c r="ET312">
        <v>0.19133944954099999</v>
      </c>
      <c r="EU312">
        <v>0.18231326597799999</v>
      </c>
      <c r="EV312">
        <v>0.18507383792000001</v>
      </c>
      <c r="EW312">
        <v>0.17902264600699999</v>
      </c>
      <c r="EX312">
        <v>0.17697676642099999</v>
      </c>
      <c r="EY312">
        <v>0.19</v>
      </c>
      <c r="EZ312">
        <v>0.18280292510400001</v>
      </c>
      <c r="FA312">
        <v>0.18</v>
      </c>
      <c r="FB312">
        <v>0.18</v>
      </c>
      <c r="FC312">
        <v>0.18</v>
      </c>
      <c r="FD312">
        <v>0.18</v>
      </c>
      <c r="FE312">
        <v>0.18</v>
      </c>
      <c r="FF312">
        <v>0.18</v>
      </c>
      <c r="FG312">
        <v>0.18</v>
      </c>
      <c r="FH312">
        <v>0.18</v>
      </c>
      <c r="FI312">
        <v>0.18</v>
      </c>
      <c r="FJ312">
        <v>0.18</v>
      </c>
      <c r="FK312">
        <v>0.18</v>
      </c>
      <c r="FL312">
        <v>0.18</v>
      </c>
      <c r="FM312">
        <v>0.18</v>
      </c>
      <c r="FN312">
        <v>0.18</v>
      </c>
      <c r="FO312">
        <v>0.18</v>
      </c>
    </row>
    <row r="313" spans="1:171">
      <c r="A313" t="s">
        <v>1167</v>
      </c>
    </row>
    <row r="314" spans="1:171">
      <c r="B314" t="s">
        <v>1168</v>
      </c>
      <c r="C314" t="s">
        <v>1169</v>
      </c>
      <c r="D314" t="s">
        <v>379</v>
      </c>
    </row>
    <row r="315" spans="1:171">
      <c r="B315" t="s">
        <v>1170</v>
      </c>
      <c r="C315" t="s">
        <v>1171</v>
      </c>
      <c r="D315" t="s">
        <v>379</v>
      </c>
    </row>
    <row r="316" spans="1:171">
      <c r="B316" t="s">
        <v>1172</v>
      </c>
      <c r="C316" t="s">
        <v>1173</v>
      </c>
      <c r="D316" t="s">
        <v>379</v>
      </c>
    </row>
    <row r="317" spans="1:171">
      <c r="B317" t="s">
        <v>1174</v>
      </c>
      <c r="C317" t="s">
        <v>1175</v>
      </c>
      <c r="D317" t="s">
        <v>379</v>
      </c>
    </row>
    <row r="318" spans="1:171">
      <c r="B318" t="s">
        <v>1176</v>
      </c>
      <c r="C318" t="s">
        <v>1177</v>
      </c>
    </row>
    <row r="319" spans="1:171">
      <c r="A319" t="s">
        <v>47</v>
      </c>
    </row>
    <row r="320" spans="1:171">
      <c r="B320" t="s">
        <v>1178</v>
      </c>
      <c r="C320" t="s">
        <v>1179</v>
      </c>
      <c r="D320" t="s">
        <v>379</v>
      </c>
      <c r="F320">
        <v>9.3508771929820007</v>
      </c>
      <c r="G320">
        <v>10.0015625</v>
      </c>
      <c r="H320">
        <v>10.760188087774001</v>
      </c>
      <c r="I320">
        <v>11.464788732394</v>
      </c>
      <c r="J320">
        <v>11.888372093022999</v>
      </c>
      <c r="K320">
        <v>11.971896955503</v>
      </c>
      <c r="L320">
        <v>6.2418856259659998</v>
      </c>
      <c r="M320">
        <v>8.0350000000000001</v>
      </c>
      <c r="N320">
        <v>3.8058333333330001</v>
      </c>
      <c r="O320">
        <v>4.4904166666669996</v>
      </c>
      <c r="P320">
        <v>5.9100630655330004</v>
      </c>
      <c r="Q320">
        <v>8.6001500375089996</v>
      </c>
      <c r="R320">
        <v>10.118032786884999</v>
      </c>
      <c r="S320">
        <v>5.9902040816330002</v>
      </c>
      <c r="T320">
        <v>6.5203921568630001</v>
      </c>
      <c r="U320">
        <v>8.8055077452670005</v>
      </c>
      <c r="V320">
        <v>7.7268686868690004</v>
      </c>
      <c r="W320">
        <v>9.0312000000000001</v>
      </c>
      <c r="X320">
        <v>5.0435294117650002</v>
      </c>
      <c r="Y320">
        <v>5.5760784313730003</v>
      </c>
      <c r="Z320">
        <v>7.4960131795720004</v>
      </c>
      <c r="AA320">
        <v>6.1450980392160002</v>
      </c>
      <c r="AB320">
        <v>6.6517307692310004</v>
      </c>
      <c r="AC320">
        <v>7.6523076923079998</v>
      </c>
      <c r="AD320">
        <v>7.750285714286</v>
      </c>
      <c r="AE320">
        <v>7.843662650602</v>
      </c>
      <c r="AF320">
        <v>8.5568975278349999</v>
      </c>
      <c r="AG320">
        <v>8.7095684802999997</v>
      </c>
      <c r="AH320">
        <v>9.0123688155919996</v>
      </c>
      <c r="AI320">
        <v>8.7881434677569992</v>
      </c>
      <c r="AJ320">
        <v>8.861426028296</v>
      </c>
      <c r="AK320">
        <v>8.9857354575770003</v>
      </c>
      <c r="AL320">
        <v>9.5547729379049997</v>
      </c>
      <c r="AM320">
        <v>10.027700831024999</v>
      </c>
      <c r="AN320">
        <v>9.6361957525390007</v>
      </c>
      <c r="AO320">
        <v>9.652684641354</v>
      </c>
      <c r="AP320">
        <v>4.9833317813580003</v>
      </c>
      <c r="AQ320">
        <v>5.2146127254039998</v>
      </c>
      <c r="AR320">
        <v>5.4392907139520004</v>
      </c>
      <c r="AS320">
        <v>5.6831517183570002</v>
      </c>
      <c r="AT320">
        <v>5.690306336551</v>
      </c>
      <c r="AU320">
        <v>6.1677920636390002</v>
      </c>
      <c r="AV320">
        <v>6.4147086031449998</v>
      </c>
      <c r="AW320">
        <v>6.5442744552620002</v>
      </c>
      <c r="AX320">
        <v>6.9243938552659996</v>
      </c>
      <c r="AY320">
        <v>6.9263167638620002</v>
      </c>
      <c r="AZ320">
        <v>7.0191299549339998</v>
      </c>
      <c r="BA320">
        <v>4.3423738163100003</v>
      </c>
      <c r="BB320">
        <v>4.3637619749449996</v>
      </c>
      <c r="BC320">
        <v>4.4758139534880002</v>
      </c>
      <c r="BD320">
        <v>4.4390626441550003</v>
      </c>
      <c r="BE320">
        <v>4.5182311144350003</v>
      </c>
      <c r="BF320">
        <v>4.1863636363639998</v>
      </c>
      <c r="BG320">
        <v>4.0801708240319998</v>
      </c>
      <c r="BH320">
        <v>3.9371686628710001</v>
      </c>
      <c r="BI320">
        <v>3.84275961193</v>
      </c>
      <c r="BJ320">
        <v>3.6359149964749999</v>
      </c>
      <c r="BK320">
        <v>3.7358759942890001</v>
      </c>
      <c r="BL320">
        <v>3.5961953727510001</v>
      </c>
      <c r="BM320">
        <v>3.2709582412959999</v>
      </c>
      <c r="BN320">
        <v>3.192136936382</v>
      </c>
      <c r="BO320">
        <v>3.4259061833689999</v>
      </c>
      <c r="BP320">
        <v>3.6781326781330002</v>
      </c>
      <c r="BQ320">
        <v>4.0350273987319998</v>
      </c>
      <c r="BR320">
        <v>3.9168825561310001</v>
      </c>
      <c r="BS320">
        <v>3.890008576329</v>
      </c>
      <c r="BT320">
        <v>3.6981505944520001</v>
      </c>
      <c r="BU320">
        <v>3.8726272043129999</v>
      </c>
      <c r="BV320">
        <v>4.155100663592</v>
      </c>
      <c r="BW320">
        <v>4.4442197505900003</v>
      </c>
      <c r="BX320">
        <v>4.4224824617790004</v>
      </c>
      <c r="BY320">
        <v>4.6232892079869998</v>
      </c>
      <c r="BZ320">
        <v>5.0003387533880002</v>
      </c>
      <c r="CA320">
        <v>5.2138701950500002</v>
      </c>
      <c r="CB320">
        <v>5.3001606978879998</v>
      </c>
      <c r="CC320">
        <v>5.2398649607080001</v>
      </c>
      <c r="CD320">
        <v>5.4495008126310003</v>
      </c>
      <c r="CE320">
        <v>5.7056608214660001</v>
      </c>
      <c r="CF320">
        <v>6.3482185273159999</v>
      </c>
      <c r="CG320">
        <v>6.7722149721199996</v>
      </c>
      <c r="CH320">
        <v>6.7235571260310003</v>
      </c>
      <c r="CI320">
        <v>7.0770972354620003</v>
      </c>
      <c r="CJ320">
        <v>7.6316353249229998</v>
      </c>
      <c r="CK320">
        <v>8.1727175336270008</v>
      </c>
      <c r="CL320">
        <v>7.9116595135910002</v>
      </c>
      <c r="CM320">
        <v>7.9043563707829998</v>
      </c>
      <c r="CN320">
        <v>8.1986660314440005</v>
      </c>
      <c r="CO320">
        <v>8.6472060050039996</v>
      </c>
      <c r="CP320">
        <v>9.1688187470110005</v>
      </c>
      <c r="CQ320">
        <v>9.4600359496700008</v>
      </c>
      <c r="CR320">
        <v>9.4267120425099993</v>
      </c>
      <c r="CS320">
        <v>9.7902626214169999</v>
      </c>
      <c r="CT320">
        <v>10.220994475137999</v>
      </c>
      <c r="CU320">
        <v>10.553355866731</v>
      </c>
      <c r="CV320">
        <v>10.888188212467</v>
      </c>
      <c r="CW320">
        <v>10.818978761862001</v>
      </c>
      <c r="CX320">
        <v>10.931021942054</v>
      </c>
      <c r="CY320">
        <v>11.166626154594001</v>
      </c>
      <c r="CZ320">
        <v>11.036120974654001</v>
      </c>
      <c r="DA320">
        <v>9.9346234958440007</v>
      </c>
      <c r="DB320">
        <v>9.7945879834890004</v>
      </c>
      <c r="DC320">
        <v>9.6854677338670001</v>
      </c>
      <c r="DD320">
        <v>9.6408839779009998</v>
      </c>
      <c r="DE320">
        <v>9.4751108296390001</v>
      </c>
      <c r="DF320">
        <v>9.1809487375670003</v>
      </c>
      <c r="DG320">
        <v>9.0856547938290007</v>
      </c>
      <c r="DH320">
        <v>10.586981640775001</v>
      </c>
      <c r="DI320">
        <v>10.551773049645</v>
      </c>
      <c r="DJ320">
        <v>10.80789644013</v>
      </c>
      <c r="DK320">
        <v>11.368891769280999</v>
      </c>
      <c r="DL320">
        <v>11.323392718822999</v>
      </c>
      <c r="DM320">
        <v>11.630384016606</v>
      </c>
      <c r="DN320">
        <v>10.163424124514</v>
      </c>
      <c r="DO320">
        <v>10.293452844895</v>
      </c>
      <c r="DP320">
        <v>10.766367304438001</v>
      </c>
      <c r="DQ320">
        <v>10.742946199552</v>
      </c>
      <c r="DR320">
        <v>11.203831617360001</v>
      </c>
      <c r="DS320">
        <v>11.977119084763</v>
      </c>
      <c r="DT320">
        <v>12.364963503649999</v>
      </c>
      <c r="DU320">
        <v>13.367733507511</v>
      </c>
      <c r="DV320">
        <v>13.336374299492</v>
      </c>
      <c r="DW320">
        <v>13.893240764999</v>
      </c>
      <c r="DX320">
        <v>14.448103923370001</v>
      </c>
      <c r="DY320">
        <v>15.061957379637001</v>
      </c>
      <c r="DZ320">
        <v>15.607387862796999</v>
      </c>
      <c r="EA320">
        <v>15.547392975655001</v>
      </c>
      <c r="EB320">
        <v>16.308749669573999</v>
      </c>
      <c r="EC320">
        <v>17.238385175381001</v>
      </c>
      <c r="ED320">
        <v>17.841225626741</v>
      </c>
      <c r="EE320">
        <v>18.863823568487</v>
      </c>
      <c r="EF320">
        <v>18.813833311248999</v>
      </c>
      <c r="EG320">
        <v>20.228670304805</v>
      </c>
      <c r="EH320">
        <v>21.320453031311999</v>
      </c>
      <c r="EI320">
        <v>21.743493927666002</v>
      </c>
      <c r="EJ320">
        <v>22.282847203639001</v>
      </c>
      <c r="EK320">
        <v>22.217449306296999</v>
      </c>
      <c r="EL320">
        <v>23.275579991954</v>
      </c>
      <c r="EM320">
        <v>24.578714266540999</v>
      </c>
      <c r="EN320">
        <v>26.163553285849002</v>
      </c>
      <c r="EO320">
        <v>27.740516545601</v>
      </c>
      <c r="EP320">
        <v>27.695809830782</v>
      </c>
      <c r="EQ320">
        <v>29.709785973886</v>
      </c>
      <c r="ER320">
        <v>32.059741657696001</v>
      </c>
      <c r="ES320">
        <v>34.067016552280997</v>
      </c>
      <c r="ET320">
        <v>36.119601775863998</v>
      </c>
      <c r="EU320">
        <v>36.128107653489998</v>
      </c>
      <c r="EV320">
        <v>38.708865868425001</v>
      </c>
      <c r="EW320">
        <v>40.712172158709002</v>
      </c>
      <c r="EX320">
        <v>43.299838579499998</v>
      </c>
      <c r="EY320">
        <v>45.685786962228001</v>
      </c>
      <c r="EZ320">
        <v>45.666495657730003</v>
      </c>
      <c r="FA320">
        <v>48.422486431007997</v>
      </c>
      <c r="FB320">
        <v>51.269498217473</v>
      </c>
      <c r="FC320">
        <v>54.187295582021001</v>
      </c>
      <c r="FD320">
        <v>57.314103440556998</v>
      </c>
      <c r="FE320">
        <v>57.284099157311999</v>
      </c>
      <c r="FF320">
        <v>60.702276950154001</v>
      </c>
      <c r="FG320">
        <v>64.207317514029</v>
      </c>
      <c r="FH320">
        <v>67.786712856991997</v>
      </c>
      <c r="FI320">
        <v>71.625002495491998</v>
      </c>
      <c r="FJ320">
        <v>71.594577967600998</v>
      </c>
      <c r="FK320">
        <v>75.617176295050001</v>
      </c>
      <c r="FL320">
        <v>79.746012574337996</v>
      </c>
      <c r="FM320">
        <v>83.965589760832003</v>
      </c>
      <c r="FN320">
        <v>88.503510359009994</v>
      </c>
      <c r="FO320">
        <v>88.474340695002994</v>
      </c>
    </row>
    <row r="321" spans="1:171">
      <c r="A321" t="s">
        <v>740</v>
      </c>
    </row>
    <row r="322" spans="1:171">
      <c r="B322" t="s">
        <v>1180</v>
      </c>
      <c r="C322" t="s">
        <v>1181</v>
      </c>
      <c r="D322" t="s">
        <v>379</v>
      </c>
    </row>
    <row r="323" spans="1:171">
      <c r="B323" t="s">
        <v>1182</v>
      </c>
      <c r="C323" t="s">
        <v>1183</v>
      </c>
      <c r="D323" t="s">
        <v>379</v>
      </c>
    </row>
    <row r="324" spans="1:171">
      <c r="B324" t="s">
        <v>1184</v>
      </c>
      <c r="C324" t="s">
        <v>1185</v>
      </c>
      <c r="D324" t="s">
        <v>379</v>
      </c>
    </row>
    <row r="325" spans="1:171">
      <c r="B325" t="s">
        <v>1186</v>
      </c>
      <c r="C325" t="s">
        <v>1187</v>
      </c>
      <c r="D325" t="s">
        <v>379</v>
      </c>
      <c r="F325">
        <v>0</v>
      </c>
      <c r="G325">
        <v>0</v>
      </c>
      <c r="H325">
        <v>0</v>
      </c>
      <c r="I325">
        <v>0</v>
      </c>
      <c r="J325">
        <v>0</v>
      </c>
      <c r="K325">
        <v>0</v>
      </c>
      <c r="L325">
        <v>0</v>
      </c>
      <c r="M325">
        <v>0</v>
      </c>
      <c r="N325">
        <v>0</v>
      </c>
      <c r="O325">
        <v>0</v>
      </c>
      <c r="P325">
        <v>0</v>
      </c>
      <c r="Q325">
        <v>0</v>
      </c>
      <c r="R325">
        <v>0</v>
      </c>
      <c r="S325">
        <v>0</v>
      </c>
      <c r="T325">
        <v>0</v>
      </c>
      <c r="U325">
        <v>0</v>
      </c>
      <c r="V325">
        <v>0</v>
      </c>
      <c r="W325">
        <v>0</v>
      </c>
      <c r="X325">
        <v>0</v>
      </c>
      <c r="Y325">
        <v>0</v>
      </c>
      <c r="Z325">
        <v>0</v>
      </c>
      <c r="AA325">
        <v>0</v>
      </c>
      <c r="AB325">
        <v>0</v>
      </c>
      <c r="AC325">
        <v>0</v>
      </c>
      <c r="AD325">
        <v>0</v>
      </c>
      <c r="AE325">
        <v>0</v>
      </c>
      <c r="AF325">
        <v>0</v>
      </c>
      <c r="AG325">
        <v>0</v>
      </c>
      <c r="AH325">
        <v>0</v>
      </c>
      <c r="AI325">
        <v>0</v>
      </c>
      <c r="AJ325">
        <v>0</v>
      </c>
      <c r="AK325">
        <v>0</v>
      </c>
      <c r="AL325">
        <v>0</v>
      </c>
      <c r="AM325">
        <v>0</v>
      </c>
      <c r="AN325">
        <v>0</v>
      </c>
      <c r="AO325">
        <v>0</v>
      </c>
      <c r="AP325">
        <v>0</v>
      </c>
      <c r="AQ325">
        <v>0</v>
      </c>
      <c r="AR325">
        <v>0</v>
      </c>
      <c r="AS325">
        <v>0</v>
      </c>
      <c r="AT325">
        <v>0</v>
      </c>
      <c r="AU325">
        <v>0</v>
      </c>
      <c r="AV325">
        <v>0</v>
      </c>
      <c r="AW325">
        <v>0</v>
      </c>
      <c r="AX325">
        <v>0</v>
      </c>
      <c r="AY325">
        <v>0</v>
      </c>
      <c r="AZ325">
        <v>0</v>
      </c>
      <c r="BA325">
        <v>0</v>
      </c>
      <c r="BB325">
        <v>0</v>
      </c>
      <c r="BC325">
        <v>0</v>
      </c>
      <c r="BD325">
        <v>0</v>
      </c>
      <c r="BE325">
        <v>0</v>
      </c>
      <c r="BF325">
        <v>0</v>
      </c>
      <c r="BG325">
        <v>0</v>
      </c>
      <c r="BH325">
        <v>0</v>
      </c>
      <c r="BI325">
        <v>0</v>
      </c>
      <c r="BJ325">
        <v>0</v>
      </c>
      <c r="BK325">
        <v>0</v>
      </c>
      <c r="BL325">
        <v>0</v>
      </c>
      <c r="BM325">
        <v>0</v>
      </c>
      <c r="BN325">
        <v>0</v>
      </c>
      <c r="BO325">
        <v>0</v>
      </c>
      <c r="BP325">
        <v>0</v>
      </c>
      <c r="BQ325">
        <v>0</v>
      </c>
      <c r="BR325">
        <v>0</v>
      </c>
      <c r="BS325">
        <v>0</v>
      </c>
      <c r="BT325">
        <v>0</v>
      </c>
      <c r="BU325">
        <v>0</v>
      </c>
      <c r="BV325">
        <v>0</v>
      </c>
      <c r="BW325">
        <v>0</v>
      </c>
      <c r="BX325">
        <v>0</v>
      </c>
      <c r="BY325">
        <v>0</v>
      </c>
      <c r="BZ325">
        <v>0</v>
      </c>
      <c r="CA325">
        <v>0</v>
      </c>
      <c r="CB325">
        <v>0</v>
      </c>
      <c r="CC325">
        <v>0</v>
      </c>
      <c r="CD325">
        <v>0</v>
      </c>
      <c r="CE325">
        <v>0</v>
      </c>
      <c r="CF325">
        <v>0</v>
      </c>
      <c r="CG325">
        <v>0</v>
      </c>
      <c r="CH325">
        <v>0</v>
      </c>
      <c r="CI325">
        <v>0</v>
      </c>
      <c r="CJ325">
        <v>0</v>
      </c>
      <c r="CK325">
        <v>0</v>
      </c>
      <c r="CL325">
        <v>0</v>
      </c>
      <c r="CM325">
        <v>0</v>
      </c>
      <c r="CN325">
        <v>0</v>
      </c>
      <c r="CO325">
        <v>0</v>
      </c>
      <c r="CP325">
        <v>0</v>
      </c>
      <c r="CQ325">
        <v>0</v>
      </c>
      <c r="CR325">
        <v>0</v>
      </c>
      <c r="CS325">
        <v>0</v>
      </c>
      <c r="CT325">
        <v>0</v>
      </c>
      <c r="CU325">
        <v>0</v>
      </c>
      <c r="CV325">
        <v>0</v>
      </c>
      <c r="CW325">
        <v>0</v>
      </c>
      <c r="CX325">
        <v>0</v>
      </c>
      <c r="CY325">
        <v>0</v>
      </c>
      <c r="CZ325">
        <v>0</v>
      </c>
      <c r="DA325">
        <v>0</v>
      </c>
      <c r="DB325">
        <v>0</v>
      </c>
      <c r="DC325">
        <v>0</v>
      </c>
      <c r="DD325">
        <v>0</v>
      </c>
      <c r="DE325">
        <v>0</v>
      </c>
      <c r="DF325">
        <v>0</v>
      </c>
      <c r="DG325">
        <v>0</v>
      </c>
      <c r="DH325">
        <v>0</v>
      </c>
      <c r="DI325">
        <v>0</v>
      </c>
      <c r="DJ325">
        <v>0</v>
      </c>
      <c r="DK325">
        <v>0</v>
      </c>
      <c r="DL325">
        <v>0</v>
      </c>
      <c r="DM325">
        <v>0</v>
      </c>
      <c r="DN325">
        <v>0</v>
      </c>
      <c r="DO325">
        <v>0</v>
      </c>
      <c r="DP325">
        <v>0</v>
      </c>
      <c r="DQ325">
        <v>0</v>
      </c>
      <c r="DR325">
        <v>0</v>
      </c>
      <c r="DS325">
        <v>0</v>
      </c>
      <c r="DT325">
        <v>0</v>
      </c>
      <c r="DU325">
        <v>0</v>
      </c>
      <c r="DV325">
        <v>0</v>
      </c>
      <c r="DW325">
        <v>0</v>
      </c>
      <c r="DX325">
        <v>0</v>
      </c>
      <c r="DY325">
        <v>0</v>
      </c>
      <c r="DZ325">
        <v>0</v>
      </c>
      <c r="EA325">
        <v>0</v>
      </c>
      <c r="EB325">
        <v>0</v>
      </c>
      <c r="EC325">
        <v>0</v>
      </c>
      <c r="ED325">
        <v>0</v>
      </c>
      <c r="EE325">
        <v>0</v>
      </c>
      <c r="EF325">
        <v>32.18229306888</v>
      </c>
      <c r="EG325">
        <v>30.442318954783001</v>
      </c>
      <c r="EH325">
        <v>29.913216041738998</v>
      </c>
      <c r="EI325">
        <v>28.329601935645002</v>
      </c>
      <c r="EJ325">
        <v>120.867430001047</v>
      </c>
      <c r="EK325">
        <v>26.426345563226</v>
      </c>
      <c r="EL325">
        <v>22.982565297128001</v>
      </c>
      <c r="EM325">
        <v>29.472874645640999</v>
      </c>
      <c r="EN325">
        <v>32.297085764999999</v>
      </c>
      <c r="EO325">
        <v>111.178871270995</v>
      </c>
      <c r="EP325">
        <v>20.950784858696</v>
      </c>
      <c r="EQ325">
        <v>22.802244186738999</v>
      </c>
      <c r="ER325">
        <v>21.774526093477999</v>
      </c>
      <c r="ES325">
        <v>18.323794960000001</v>
      </c>
      <c r="ET325">
        <v>83.851350098913002</v>
      </c>
      <c r="EU325">
        <v>14.539931265168001</v>
      </c>
      <c r="EV325">
        <v>10.871347142856999</v>
      </c>
      <c r="EW325">
        <v>10.436916057856999</v>
      </c>
      <c r="EX325">
        <v>9.9870642428570005</v>
      </c>
      <c r="EY325">
        <v>45.83525870874</v>
      </c>
      <c r="EZ325">
        <v>9.6276132653570006</v>
      </c>
      <c r="FA325">
        <v>11.396571428571001</v>
      </c>
      <c r="FB325">
        <v>11.746732590000001</v>
      </c>
      <c r="FC325">
        <v>14.184857314286001</v>
      </c>
      <c r="FD325">
        <v>46.955774598213999</v>
      </c>
      <c r="FE325">
        <v>12.886015526369</v>
      </c>
      <c r="FF325">
        <v>12.758431214227</v>
      </c>
      <c r="FG325">
        <v>12.632110113095999</v>
      </c>
      <c r="FH325">
        <v>12.507039715935999</v>
      </c>
      <c r="FI325">
        <v>50.783596569628003</v>
      </c>
      <c r="FJ325">
        <v>12.383207639541</v>
      </c>
      <c r="FK325">
        <v>12.260601623308</v>
      </c>
      <c r="FL325">
        <v>12.139209528027999</v>
      </c>
      <c r="FM325">
        <v>12.019019334680999</v>
      </c>
      <c r="FN325">
        <v>48.802038125556997</v>
      </c>
      <c r="FO325">
        <v>11.900019143248</v>
      </c>
    </row>
    <row r="326" spans="1:171">
      <c r="A326" t="s">
        <v>43</v>
      </c>
    </row>
    <row r="327" spans="1:171">
      <c r="B327" t="s">
        <v>1138</v>
      </c>
      <c r="C327" t="s">
        <v>1188</v>
      </c>
      <c r="D327" t="s">
        <v>379</v>
      </c>
      <c r="F327">
        <v>1453</v>
      </c>
      <c r="G327">
        <v>499</v>
      </c>
      <c r="H327">
        <v>575</v>
      </c>
      <c r="I327">
        <v>562</v>
      </c>
      <c r="J327">
        <v>559</v>
      </c>
      <c r="K327">
        <v>2195</v>
      </c>
      <c r="L327">
        <v>614</v>
      </c>
      <c r="M327">
        <v>741</v>
      </c>
      <c r="N327">
        <v>1042</v>
      </c>
      <c r="O327">
        <v>1057</v>
      </c>
      <c r="P327">
        <v>3454</v>
      </c>
      <c r="Q327">
        <v>663</v>
      </c>
      <c r="R327">
        <v>1133</v>
      </c>
      <c r="S327">
        <v>1337</v>
      </c>
      <c r="T327">
        <v>1357</v>
      </c>
      <c r="U327">
        <v>4490</v>
      </c>
      <c r="V327">
        <v>1683</v>
      </c>
      <c r="W327">
        <v>1983</v>
      </c>
      <c r="X327">
        <v>1917</v>
      </c>
      <c r="Y327">
        <v>2202</v>
      </c>
      <c r="Z327">
        <v>7785</v>
      </c>
      <c r="AA327">
        <v>2191</v>
      </c>
      <c r="AB327">
        <v>2436</v>
      </c>
      <c r="AC327">
        <v>2385</v>
      </c>
      <c r="AD327">
        <v>2409</v>
      </c>
      <c r="AE327">
        <v>9421</v>
      </c>
      <c r="AF327">
        <v>2206</v>
      </c>
      <c r="AG327">
        <v>2624</v>
      </c>
      <c r="AH327">
        <v>2451</v>
      </c>
      <c r="AI327">
        <v>65</v>
      </c>
      <c r="AJ327">
        <v>7346</v>
      </c>
      <c r="AK327">
        <v>1283</v>
      </c>
      <c r="AL327">
        <v>2283</v>
      </c>
      <c r="AM327">
        <v>2738</v>
      </c>
      <c r="AN327">
        <v>1525</v>
      </c>
      <c r="AO327">
        <v>7829</v>
      </c>
      <c r="AP327">
        <v>2041</v>
      </c>
      <c r="AQ327">
        <v>1865</v>
      </c>
      <c r="AR327">
        <v>2142</v>
      </c>
      <c r="AS327">
        <v>1483</v>
      </c>
      <c r="AT327">
        <v>7531</v>
      </c>
      <c r="AU327">
        <v>2614</v>
      </c>
      <c r="AV327">
        <v>1549</v>
      </c>
      <c r="AW327">
        <v>1315</v>
      </c>
      <c r="AX327">
        <v>2690</v>
      </c>
      <c r="AY327">
        <v>8168</v>
      </c>
      <c r="AZ327">
        <v>2528</v>
      </c>
      <c r="BA327">
        <v>3463</v>
      </c>
      <c r="BB327">
        <v>2563</v>
      </c>
      <c r="BC327">
        <v>3700</v>
      </c>
      <c r="BD327">
        <v>12254</v>
      </c>
      <c r="BE327">
        <v>3141</v>
      </c>
      <c r="BF327">
        <v>3653</v>
      </c>
      <c r="BG327">
        <v>2977</v>
      </c>
      <c r="BH327">
        <v>2828</v>
      </c>
      <c r="BI327">
        <v>12599</v>
      </c>
      <c r="BJ327">
        <v>3478</v>
      </c>
      <c r="BK327">
        <v>2626</v>
      </c>
      <c r="BL327">
        <v>4926</v>
      </c>
      <c r="BM327">
        <v>3035</v>
      </c>
      <c r="BN327">
        <v>14065</v>
      </c>
      <c r="BO327">
        <v>4289</v>
      </c>
      <c r="BP327">
        <v>4707</v>
      </c>
      <c r="BQ327">
        <v>4388</v>
      </c>
      <c r="BR327">
        <v>4297</v>
      </c>
      <c r="BS327">
        <v>17681</v>
      </c>
      <c r="BT327">
        <v>4373</v>
      </c>
      <c r="BU327">
        <v>4174</v>
      </c>
      <c r="BV327">
        <v>2977</v>
      </c>
      <c r="BW327">
        <v>3045</v>
      </c>
      <c r="BX327">
        <v>14569</v>
      </c>
      <c r="BY327">
        <v>3574</v>
      </c>
      <c r="BZ327">
        <v>6662</v>
      </c>
      <c r="CA327">
        <v>4006</v>
      </c>
      <c r="CB327">
        <v>4518</v>
      </c>
      <c r="CC327">
        <v>18760</v>
      </c>
      <c r="CD327">
        <v>5410</v>
      </c>
      <c r="CE327">
        <v>6634</v>
      </c>
      <c r="CF327">
        <v>5232</v>
      </c>
      <c r="CG327">
        <v>5874</v>
      </c>
      <c r="CH327">
        <v>23150</v>
      </c>
      <c r="CI327">
        <v>5738</v>
      </c>
      <c r="CJ327">
        <v>6624</v>
      </c>
      <c r="CK327">
        <v>5108</v>
      </c>
      <c r="CL327">
        <v>-492</v>
      </c>
      <c r="CM327">
        <v>16978</v>
      </c>
      <c r="CN327">
        <v>4466</v>
      </c>
      <c r="CO327">
        <v>6377</v>
      </c>
      <c r="CP327">
        <v>6055</v>
      </c>
      <c r="CQ327">
        <v>4965</v>
      </c>
      <c r="CR327">
        <v>21863</v>
      </c>
      <c r="CS327">
        <v>5244</v>
      </c>
      <c r="CT327">
        <v>6558</v>
      </c>
      <c r="CU327">
        <v>5660</v>
      </c>
      <c r="CV327">
        <v>4612</v>
      </c>
      <c r="CW327">
        <v>22074</v>
      </c>
      <c r="CX327">
        <v>4540</v>
      </c>
      <c r="CY327">
        <v>5863</v>
      </c>
      <c r="CZ327">
        <v>4985</v>
      </c>
      <c r="DA327">
        <v>-3195</v>
      </c>
      <c r="DB327">
        <v>12193</v>
      </c>
      <c r="DC327">
        <v>4620</v>
      </c>
      <c r="DD327">
        <v>4998</v>
      </c>
      <c r="DE327">
        <v>3756</v>
      </c>
      <c r="DF327">
        <v>3122</v>
      </c>
      <c r="DG327">
        <v>16496</v>
      </c>
      <c r="DH327">
        <v>5667</v>
      </c>
      <c r="DI327">
        <v>6267</v>
      </c>
      <c r="DJ327">
        <v>5486</v>
      </c>
      <c r="DK327">
        <v>8069</v>
      </c>
      <c r="DL327">
        <v>25489</v>
      </c>
      <c r="DM327">
        <v>6576</v>
      </c>
      <c r="DN327">
        <v>-6302</v>
      </c>
      <c r="DO327">
        <v>7424</v>
      </c>
      <c r="DP327">
        <v>8873</v>
      </c>
      <c r="DQ327">
        <v>16571</v>
      </c>
      <c r="DR327">
        <v>8824</v>
      </c>
      <c r="DS327">
        <v>8420</v>
      </c>
      <c r="DT327">
        <v>8809</v>
      </c>
      <c r="DU327">
        <v>13187</v>
      </c>
      <c r="DV327">
        <v>39240</v>
      </c>
      <c r="DW327">
        <v>10678</v>
      </c>
      <c r="DX327">
        <v>11649</v>
      </c>
      <c r="DY327">
        <v>10752</v>
      </c>
      <c r="DZ327">
        <v>11202</v>
      </c>
      <c r="EA327">
        <v>44281</v>
      </c>
      <c r="EB327">
        <v>13893</v>
      </c>
      <c r="EC327">
        <v>15463</v>
      </c>
      <c r="ED327">
        <v>15457</v>
      </c>
      <c r="EE327">
        <v>16458</v>
      </c>
      <c r="EF327">
        <v>61271</v>
      </c>
      <c r="EG327">
        <v>20505</v>
      </c>
      <c r="EH327">
        <v>18765</v>
      </c>
      <c r="EI327">
        <v>16728</v>
      </c>
      <c r="EJ327">
        <v>16740</v>
      </c>
      <c r="EK327">
        <v>72738</v>
      </c>
      <c r="EL327">
        <v>17556</v>
      </c>
      <c r="EM327">
        <v>16425</v>
      </c>
      <c r="EN327">
        <v>18299</v>
      </c>
      <c r="EO327">
        <v>20081</v>
      </c>
      <c r="EP327">
        <v>72361</v>
      </c>
      <c r="EQ327">
        <v>22291</v>
      </c>
      <c r="ER327">
        <v>21870</v>
      </c>
      <c r="ES327">
        <v>21939</v>
      </c>
      <c r="ET327">
        <v>22036</v>
      </c>
      <c r="EU327">
        <v>88136</v>
      </c>
      <c r="EV327">
        <v>24667</v>
      </c>
      <c r="EW327">
        <v>24108</v>
      </c>
      <c r="EX327">
        <v>25824</v>
      </c>
      <c r="EY327">
        <v>25331.4556411292</v>
      </c>
      <c r="EZ327">
        <v>99930.4556411292</v>
      </c>
      <c r="FA327">
        <v>27583.5250998378</v>
      </c>
      <c r="FB327">
        <v>28867.322262655602</v>
      </c>
      <c r="FC327">
        <v>29368.260598373399</v>
      </c>
      <c r="FD327">
        <v>30699.124966915399</v>
      </c>
      <c r="FE327">
        <v>116518.232927782</v>
      </c>
      <c r="FF327">
        <v>32815.293260936502</v>
      </c>
      <c r="FG327">
        <v>34202.900342883397</v>
      </c>
      <c r="FH327">
        <v>34724.912631937899</v>
      </c>
      <c r="FI327">
        <v>36394.777574684798</v>
      </c>
      <c r="FJ327">
        <v>138137.88381044299</v>
      </c>
      <c r="FK327">
        <v>37763.697502982097</v>
      </c>
      <c r="FL327">
        <v>39362.041050479602</v>
      </c>
      <c r="FM327">
        <v>40001.612882498099</v>
      </c>
      <c r="FN327">
        <v>42080.238236235302</v>
      </c>
      <c r="FO327">
        <v>159207.589672195</v>
      </c>
    </row>
    <row r="328" spans="1:171">
      <c r="A328" t="s">
        <v>839</v>
      </c>
    </row>
    <row r="329" spans="1:171">
      <c r="B329" t="s">
        <v>374</v>
      </c>
      <c r="C329" t="s">
        <v>1189</v>
      </c>
    </row>
    <row r="330" spans="1:171">
      <c r="B330" t="s">
        <v>1190</v>
      </c>
      <c r="C330" t="s">
        <v>1191</v>
      </c>
    </row>
    <row r="331" spans="1:171">
      <c r="B331" t="s">
        <v>1192</v>
      </c>
      <c r="C331" t="s">
        <v>1193</v>
      </c>
    </row>
  </sheetData>
  <dataValidations count="1">
    <dataValidation type="list" allowBlank="1" showInputMessage="1" showErrorMessage="1" sqref="AK2 AL2 AM2 AN2 AF2 AG2 AH2 AI2 AA2 AB2 AC2 AD2 V2 W2 X2 Y2 Q2 R2 S2 T2 L2 M2 N2 O2 G2 H2 I2 J2 FF2 FG2 FH2 FI2 FJ2 FK2 FL2 FM2 FN2 FO2 FP2 FQ2 FR2 FT2 FS2" xr:uid="{DFAFD8AB-E32D-4893-B59E-E0FE7634B158}">
      <formula1>"Estimate,Preliminary,Actual,Restated"</formula1>
    </dataValidation>
  </dataValidations>
  <pageMargins left="0.7" right="0.7" top="0.75" bottom="0.75" header="0.3" footer="0.3"/>
  <pageSetup paperSize="9" orientation="portrait" r:id="rId1"/>
  <customProperties>
    <customPr name="Exchange.ContributionType" r:id="rId2"/>
    <customPr name="Exchange.CreationEntityId" r:id="rId3"/>
    <customPr name="Exchange.CreationEntityIdType" r:id="rId4"/>
    <customPr name="Exchange.CreationEntityType" r:id="rId5"/>
    <customPr name="Exchange.ExchangeSheetId" r:id="rId6"/>
    <customPr name="Exchange.SheetType" r:id="rId7"/>
    <customPr name="Qube.Worksheet.Visibility" r:id="rId8"/>
  </customPropertie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1D1F41-7D39-4C46-8BA1-24E0B4C7FF86}">
  <sheetPr>
    <tabColor rgb="FF002060"/>
  </sheetPr>
  <dimension ref="A1:C331"/>
  <sheetViews>
    <sheetView workbookViewId="0"/>
  </sheetViews>
  <sheetFormatPr defaultRowHeight="13.2"/>
  <sheetData>
    <row r="1" spans="1:3">
      <c r="A1" t="s">
        <v>2071</v>
      </c>
    </row>
    <row r="2" spans="1:3">
      <c r="A2" t="s">
        <v>2452</v>
      </c>
    </row>
    <row r="7" spans="1:3">
      <c r="A7" t="s">
        <v>1198</v>
      </c>
      <c r="C7" t="s">
        <v>1199</v>
      </c>
    </row>
    <row r="9" spans="1:3">
      <c r="A9" t="s">
        <v>1200</v>
      </c>
      <c r="C9" t="s">
        <v>1201</v>
      </c>
    </row>
    <row r="11" spans="1:3">
      <c r="A11" t="s">
        <v>1202</v>
      </c>
      <c r="C11" t="s">
        <v>1203</v>
      </c>
    </row>
    <row r="12" spans="1:3">
      <c r="A12" t="s">
        <v>1204</v>
      </c>
      <c r="C12" t="s">
        <v>1205</v>
      </c>
    </row>
    <row r="13" spans="1:3">
      <c r="A13" t="s">
        <v>1206</v>
      </c>
      <c r="C13" t="s">
        <v>1207</v>
      </c>
    </row>
    <row r="14" spans="1:3">
      <c r="A14" t="s">
        <v>1208</v>
      </c>
      <c r="C14" t="s">
        <v>1209</v>
      </c>
    </row>
    <row r="15" spans="1:3">
      <c r="A15" t="s">
        <v>1210</v>
      </c>
      <c r="C15" t="s">
        <v>1211</v>
      </c>
    </row>
    <row r="16" spans="1:3">
      <c r="A16" t="s">
        <v>1212</v>
      </c>
      <c r="C16" t="s">
        <v>1213</v>
      </c>
    </row>
    <row r="17" spans="1:3">
      <c r="A17" t="s">
        <v>1214</v>
      </c>
      <c r="C17" t="s">
        <v>1215</v>
      </c>
    </row>
    <row r="18" spans="1:3">
      <c r="A18" t="s">
        <v>1216</v>
      </c>
      <c r="C18" t="s">
        <v>1217</v>
      </c>
    </row>
    <row r="19" spans="1:3">
      <c r="A19" t="s">
        <v>1218</v>
      </c>
      <c r="C19" t="s">
        <v>1219</v>
      </c>
    </row>
    <row r="20" spans="1:3">
      <c r="A20" t="s">
        <v>1220</v>
      </c>
      <c r="C20" t="s">
        <v>1221</v>
      </c>
    </row>
    <row r="21" spans="1:3">
      <c r="A21" t="s">
        <v>1222</v>
      </c>
      <c r="C21" t="s">
        <v>1223</v>
      </c>
    </row>
    <row r="22" spans="1:3">
      <c r="A22" t="s">
        <v>1224</v>
      </c>
      <c r="C22" t="s">
        <v>1225</v>
      </c>
    </row>
    <row r="23" spans="1:3">
      <c r="A23" t="s">
        <v>1226</v>
      </c>
      <c r="C23" t="s">
        <v>1227</v>
      </c>
    </row>
    <row r="24" spans="1:3">
      <c r="A24" t="s">
        <v>1228</v>
      </c>
      <c r="C24" t="s">
        <v>1229</v>
      </c>
    </row>
    <row r="25" spans="1:3">
      <c r="A25" t="s">
        <v>1230</v>
      </c>
      <c r="C25" t="s">
        <v>1231</v>
      </c>
    </row>
    <row r="26" spans="1:3">
      <c r="A26" t="s">
        <v>1232</v>
      </c>
      <c r="C26" t="s">
        <v>1233</v>
      </c>
    </row>
    <row r="27" spans="1:3">
      <c r="A27" t="s">
        <v>1234</v>
      </c>
      <c r="C27" t="s">
        <v>1235</v>
      </c>
    </row>
    <row r="28" spans="1:3">
      <c r="A28" t="s">
        <v>1236</v>
      </c>
      <c r="C28" t="s">
        <v>1237</v>
      </c>
    </row>
    <row r="29" spans="1:3">
      <c r="A29" t="s">
        <v>1238</v>
      </c>
      <c r="C29" t="s">
        <v>1239</v>
      </c>
    </row>
    <row r="30" spans="1:3">
      <c r="A30" t="s">
        <v>1240</v>
      </c>
      <c r="C30" t="s">
        <v>1241</v>
      </c>
    </row>
    <row r="32" spans="1:3">
      <c r="A32" t="s">
        <v>1242</v>
      </c>
      <c r="C32" t="s">
        <v>1243</v>
      </c>
    </row>
    <row r="33" spans="1:3">
      <c r="A33" t="s">
        <v>1244</v>
      </c>
      <c r="C33" t="s">
        <v>1245</v>
      </c>
    </row>
    <row r="34" spans="1:3">
      <c r="A34" t="s">
        <v>1246</v>
      </c>
      <c r="C34" t="s">
        <v>1247</v>
      </c>
    </row>
    <row r="35" spans="1:3">
      <c r="A35" t="s">
        <v>1248</v>
      </c>
      <c r="C35" t="s">
        <v>1249</v>
      </c>
    </row>
    <row r="36" spans="1:3">
      <c r="A36" t="s">
        <v>1250</v>
      </c>
      <c r="C36" t="s">
        <v>1251</v>
      </c>
    </row>
    <row r="37" spans="1:3">
      <c r="A37" t="s">
        <v>1252</v>
      </c>
      <c r="C37" t="s">
        <v>1253</v>
      </c>
    </row>
    <row r="38" spans="1:3">
      <c r="A38" t="s">
        <v>1254</v>
      </c>
      <c r="C38" t="s">
        <v>1255</v>
      </c>
    </row>
    <row r="39" spans="1:3">
      <c r="A39" t="s">
        <v>1256</v>
      </c>
      <c r="C39" t="s">
        <v>1257</v>
      </c>
    </row>
    <row r="40" spans="1:3">
      <c r="A40" t="s">
        <v>1258</v>
      </c>
      <c r="C40" t="s">
        <v>1259</v>
      </c>
    </row>
    <row r="41" spans="1:3">
      <c r="A41" t="s">
        <v>1260</v>
      </c>
      <c r="C41" t="s">
        <v>1261</v>
      </c>
    </row>
    <row r="42" spans="1:3">
      <c r="A42" t="s">
        <v>1262</v>
      </c>
      <c r="C42" t="s">
        <v>1263</v>
      </c>
    </row>
    <row r="43" spans="1:3">
      <c r="A43" t="s">
        <v>1264</v>
      </c>
      <c r="C43" t="s">
        <v>1265</v>
      </c>
    </row>
    <row r="44" spans="1:3">
      <c r="A44" t="s">
        <v>1266</v>
      </c>
      <c r="C44" t="s">
        <v>1267</v>
      </c>
    </row>
    <row r="45" spans="1:3">
      <c r="A45" t="s">
        <v>1268</v>
      </c>
      <c r="C45" t="s">
        <v>1269</v>
      </c>
    </row>
    <row r="46" spans="1:3">
      <c r="A46" t="s">
        <v>1270</v>
      </c>
      <c r="C46" t="s">
        <v>1271</v>
      </c>
    </row>
    <row r="47" spans="1:3">
      <c r="A47" t="s">
        <v>1272</v>
      </c>
      <c r="C47" t="s">
        <v>1273</v>
      </c>
    </row>
    <row r="48" spans="1:3">
      <c r="A48" t="s">
        <v>1274</v>
      </c>
      <c r="C48" t="s">
        <v>1275</v>
      </c>
    </row>
    <row r="49" spans="1:3">
      <c r="A49" t="s">
        <v>1276</v>
      </c>
      <c r="C49" t="s">
        <v>1277</v>
      </c>
    </row>
    <row r="50" spans="1:3">
      <c r="A50" t="s">
        <v>1278</v>
      </c>
      <c r="C50" t="s">
        <v>1279</v>
      </c>
    </row>
    <row r="51" spans="1:3">
      <c r="A51" t="s">
        <v>1280</v>
      </c>
      <c r="C51" t="s">
        <v>1281</v>
      </c>
    </row>
    <row r="52" spans="1:3">
      <c r="A52" t="s">
        <v>1282</v>
      </c>
      <c r="C52" t="s">
        <v>1283</v>
      </c>
    </row>
    <row r="54" spans="1:3">
      <c r="A54" t="s">
        <v>1284</v>
      </c>
      <c r="C54" t="s">
        <v>1285</v>
      </c>
    </row>
    <row r="55" spans="1:3">
      <c r="A55" t="s">
        <v>1286</v>
      </c>
      <c r="C55" t="s">
        <v>1287</v>
      </c>
    </row>
    <row r="56" spans="1:3">
      <c r="A56" t="s">
        <v>1288</v>
      </c>
      <c r="C56" t="s">
        <v>1289</v>
      </c>
    </row>
    <row r="57" spans="1:3">
      <c r="A57" t="s">
        <v>1290</v>
      </c>
      <c r="C57" t="s">
        <v>1291</v>
      </c>
    </row>
    <row r="58" spans="1:3">
      <c r="A58" t="s">
        <v>1292</v>
      </c>
      <c r="C58" t="s">
        <v>1293</v>
      </c>
    </row>
    <row r="59" spans="1:3">
      <c r="A59" t="s">
        <v>1294</v>
      </c>
      <c r="C59" t="s">
        <v>1295</v>
      </c>
    </row>
    <row r="60" spans="1:3">
      <c r="A60" t="s">
        <v>1296</v>
      </c>
      <c r="C60" t="s">
        <v>1297</v>
      </c>
    </row>
    <row r="61" spans="1:3">
      <c r="A61" t="s">
        <v>1298</v>
      </c>
      <c r="C61" t="s">
        <v>1299</v>
      </c>
    </row>
    <row r="62" spans="1:3">
      <c r="A62" t="s">
        <v>1300</v>
      </c>
      <c r="C62" t="s">
        <v>1301</v>
      </c>
    </row>
    <row r="63" spans="1:3">
      <c r="A63" t="s">
        <v>1302</v>
      </c>
      <c r="C63" t="s">
        <v>1303</v>
      </c>
    </row>
    <row r="64" spans="1:3">
      <c r="A64" t="s">
        <v>1304</v>
      </c>
      <c r="C64" t="s">
        <v>1305</v>
      </c>
    </row>
    <row r="65" spans="1:3">
      <c r="A65" t="s">
        <v>1306</v>
      </c>
      <c r="C65" t="s">
        <v>1307</v>
      </c>
    </row>
    <row r="66" spans="1:3">
      <c r="A66" t="s">
        <v>1308</v>
      </c>
      <c r="C66" t="s">
        <v>1309</v>
      </c>
    </row>
    <row r="67" spans="1:3">
      <c r="A67" t="s">
        <v>1310</v>
      </c>
      <c r="C67" t="s">
        <v>1311</v>
      </c>
    </row>
    <row r="68" spans="1:3">
      <c r="A68" t="s">
        <v>1312</v>
      </c>
      <c r="C68" t="s">
        <v>1313</v>
      </c>
    </row>
    <row r="69" spans="1:3">
      <c r="A69" t="s">
        <v>1314</v>
      </c>
      <c r="C69" t="s">
        <v>1315</v>
      </c>
    </row>
    <row r="70" spans="1:3">
      <c r="A70" t="s">
        <v>1316</v>
      </c>
      <c r="C70" t="s">
        <v>1317</v>
      </c>
    </row>
    <row r="71" spans="1:3">
      <c r="A71" t="s">
        <v>1318</v>
      </c>
      <c r="C71" t="s">
        <v>1319</v>
      </c>
    </row>
    <row r="72" spans="1:3">
      <c r="A72" t="s">
        <v>1320</v>
      </c>
      <c r="C72" t="s">
        <v>1321</v>
      </c>
    </row>
    <row r="73" spans="1:3">
      <c r="A73" t="s">
        <v>1322</v>
      </c>
      <c r="C73" t="s">
        <v>1323</v>
      </c>
    </row>
    <row r="74" spans="1:3">
      <c r="A74" t="s">
        <v>1324</v>
      </c>
      <c r="C74" t="s">
        <v>1325</v>
      </c>
    </row>
    <row r="75" spans="1:3">
      <c r="A75" t="s">
        <v>1326</v>
      </c>
      <c r="C75" t="s">
        <v>1327</v>
      </c>
    </row>
    <row r="76" spans="1:3">
      <c r="A76" t="s">
        <v>1328</v>
      </c>
      <c r="C76" t="s">
        <v>1329</v>
      </c>
    </row>
    <row r="77" spans="1:3">
      <c r="A77" t="s">
        <v>1330</v>
      </c>
      <c r="C77" t="s">
        <v>1331</v>
      </c>
    </row>
    <row r="78" spans="1:3">
      <c r="A78" t="s">
        <v>1332</v>
      </c>
      <c r="C78" t="s">
        <v>1333</v>
      </c>
    </row>
    <row r="79" spans="1:3">
      <c r="A79" t="s">
        <v>1334</v>
      </c>
      <c r="C79" t="s">
        <v>1335</v>
      </c>
    </row>
    <row r="80" spans="1:3">
      <c r="A80" t="s">
        <v>1336</v>
      </c>
      <c r="C80" t="s">
        <v>1337</v>
      </c>
    </row>
    <row r="81" spans="1:3">
      <c r="A81" t="s">
        <v>1338</v>
      </c>
      <c r="C81" t="s">
        <v>1339</v>
      </c>
    </row>
    <row r="82" spans="1:3">
      <c r="A82" t="s">
        <v>1340</v>
      </c>
      <c r="C82" t="s">
        <v>1341</v>
      </c>
    </row>
    <row r="83" spans="1:3">
      <c r="A83" t="s">
        <v>1342</v>
      </c>
      <c r="C83" t="s">
        <v>1343</v>
      </c>
    </row>
    <row r="84" spans="1:3">
      <c r="A84" t="s">
        <v>1344</v>
      </c>
      <c r="C84" t="s">
        <v>1345</v>
      </c>
    </row>
    <row r="86" spans="1:3">
      <c r="A86" t="s">
        <v>1346</v>
      </c>
      <c r="C86" t="s">
        <v>1347</v>
      </c>
    </row>
    <row r="87" spans="1:3">
      <c r="A87" t="s">
        <v>1348</v>
      </c>
      <c r="C87" t="s">
        <v>1349</v>
      </c>
    </row>
    <row r="88" spans="1:3">
      <c r="A88" t="s">
        <v>1350</v>
      </c>
      <c r="C88" t="s">
        <v>1351</v>
      </c>
    </row>
    <row r="89" spans="1:3">
      <c r="A89" t="s">
        <v>1352</v>
      </c>
      <c r="C89" t="s">
        <v>1353</v>
      </c>
    </row>
    <row r="90" spans="1:3">
      <c r="A90" t="s">
        <v>1354</v>
      </c>
      <c r="C90" t="s">
        <v>1355</v>
      </c>
    </row>
    <row r="91" spans="1:3">
      <c r="A91" t="s">
        <v>1356</v>
      </c>
      <c r="C91" t="s">
        <v>1357</v>
      </c>
    </row>
    <row r="92" spans="1:3">
      <c r="A92" t="s">
        <v>1358</v>
      </c>
      <c r="C92" t="s">
        <v>1359</v>
      </c>
    </row>
    <row r="93" spans="1:3">
      <c r="A93" t="s">
        <v>1360</v>
      </c>
      <c r="C93" t="s">
        <v>1361</v>
      </c>
    </row>
    <row r="94" spans="1:3">
      <c r="A94" t="s">
        <v>1362</v>
      </c>
      <c r="C94" t="s">
        <v>1363</v>
      </c>
    </row>
    <row r="95" spans="1:3">
      <c r="A95" t="s">
        <v>1364</v>
      </c>
      <c r="C95" t="s">
        <v>1365</v>
      </c>
    </row>
    <row r="96" spans="1:3">
      <c r="A96" t="s">
        <v>1366</v>
      </c>
      <c r="C96" t="s">
        <v>1367</v>
      </c>
    </row>
    <row r="97" spans="1:3">
      <c r="A97" t="s">
        <v>1368</v>
      </c>
      <c r="C97" t="s">
        <v>1369</v>
      </c>
    </row>
    <row r="98" spans="1:3">
      <c r="A98" t="s">
        <v>1370</v>
      </c>
      <c r="C98" t="s">
        <v>1371</v>
      </c>
    </row>
    <row r="99" spans="1:3">
      <c r="A99" t="s">
        <v>1372</v>
      </c>
      <c r="C99" t="s">
        <v>1373</v>
      </c>
    </row>
    <row r="100" spans="1:3">
      <c r="A100" t="s">
        <v>1374</v>
      </c>
      <c r="C100" t="s">
        <v>1375</v>
      </c>
    </row>
    <row r="101" spans="1:3">
      <c r="A101" t="s">
        <v>1376</v>
      </c>
      <c r="C101" t="s">
        <v>1377</v>
      </c>
    </row>
    <row r="102" spans="1:3">
      <c r="A102" t="s">
        <v>1378</v>
      </c>
      <c r="C102" t="s">
        <v>1379</v>
      </c>
    </row>
    <row r="103" spans="1:3">
      <c r="A103" t="s">
        <v>1380</v>
      </c>
      <c r="C103" t="s">
        <v>1381</v>
      </c>
    </row>
    <row r="104" spans="1:3">
      <c r="A104" t="s">
        <v>1382</v>
      </c>
      <c r="C104" t="s">
        <v>1383</v>
      </c>
    </row>
    <row r="106" spans="1:3">
      <c r="A106" t="s">
        <v>1384</v>
      </c>
      <c r="C106" t="s">
        <v>1385</v>
      </c>
    </row>
    <row r="107" spans="1:3">
      <c r="A107" t="s">
        <v>1386</v>
      </c>
      <c r="C107" t="s">
        <v>1387</v>
      </c>
    </row>
    <row r="108" spans="1:3">
      <c r="A108" t="s">
        <v>1388</v>
      </c>
      <c r="C108" t="s">
        <v>1389</v>
      </c>
    </row>
    <row r="109" spans="1:3">
      <c r="A109" t="s">
        <v>1390</v>
      </c>
      <c r="C109" t="s">
        <v>1391</v>
      </c>
    </row>
    <row r="110" spans="1:3">
      <c r="A110" t="s">
        <v>1392</v>
      </c>
      <c r="C110" t="s">
        <v>1393</v>
      </c>
    </row>
    <row r="111" spans="1:3">
      <c r="A111" t="s">
        <v>1394</v>
      </c>
      <c r="C111" t="s">
        <v>1395</v>
      </c>
    </row>
    <row r="112" spans="1:3">
      <c r="A112" t="s">
        <v>1396</v>
      </c>
      <c r="C112" t="s">
        <v>1397</v>
      </c>
    </row>
    <row r="113" spans="1:3">
      <c r="A113" t="s">
        <v>1398</v>
      </c>
      <c r="C113" t="s">
        <v>1399</v>
      </c>
    </row>
    <row r="114" spans="1:3">
      <c r="A114" t="s">
        <v>1400</v>
      </c>
      <c r="C114" t="s">
        <v>1401</v>
      </c>
    </row>
    <row r="115" spans="1:3">
      <c r="A115" t="s">
        <v>1402</v>
      </c>
      <c r="C115" t="s">
        <v>1403</v>
      </c>
    </row>
    <row r="116" spans="1:3">
      <c r="A116" t="s">
        <v>1404</v>
      </c>
      <c r="C116" t="s">
        <v>1405</v>
      </c>
    </row>
    <row r="117" spans="1:3">
      <c r="A117" t="s">
        <v>1406</v>
      </c>
      <c r="C117" t="s">
        <v>1407</v>
      </c>
    </row>
    <row r="118" spans="1:3">
      <c r="A118" t="s">
        <v>1408</v>
      </c>
      <c r="C118" t="s">
        <v>1409</v>
      </c>
    </row>
    <row r="119" spans="1:3">
      <c r="A119" t="s">
        <v>1410</v>
      </c>
      <c r="C119" t="s">
        <v>1411</v>
      </c>
    </row>
    <row r="120" spans="1:3">
      <c r="A120" t="s">
        <v>1412</v>
      </c>
      <c r="C120" t="s">
        <v>1413</v>
      </c>
    </row>
    <row r="121" spans="1:3">
      <c r="A121" t="s">
        <v>1414</v>
      </c>
      <c r="C121" t="s">
        <v>1415</v>
      </c>
    </row>
    <row r="122" spans="1:3">
      <c r="A122" t="s">
        <v>1416</v>
      </c>
      <c r="C122" t="s">
        <v>1417</v>
      </c>
    </row>
    <row r="124" spans="1:3">
      <c r="A124" t="s">
        <v>1418</v>
      </c>
      <c r="C124" t="s">
        <v>1419</v>
      </c>
    </row>
    <row r="125" spans="1:3">
      <c r="A125" t="s">
        <v>1420</v>
      </c>
      <c r="C125" t="s">
        <v>1421</v>
      </c>
    </row>
    <row r="126" spans="1:3">
      <c r="A126" t="s">
        <v>1422</v>
      </c>
      <c r="C126" t="s">
        <v>1423</v>
      </c>
    </row>
    <row r="127" spans="1:3">
      <c r="A127" t="s">
        <v>1424</v>
      </c>
      <c r="C127" t="s">
        <v>1425</v>
      </c>
    </row>
    <row r="128" spans="1:3">
      <c r="A128" t="s">
        <v>1426</v>
      </c>
      <c r="C128" t="s">
        <v>1427</v>
      </c>
    </row>
    <row r="129" spans="1:3">
      <c r="A129" t="s">
        <v>1428</v>
      </c>
      <c r="C129" t="s">
        <v>1429</v>
      </c>
    </row>
    <row r="130" spans="1:3">
      <c r="A130" t="s">
        <v>1430</v>
      </c>
      <c r="C130" t="s">
        <v>1431</v>
      </c>
    </row>
    <row r="131" spans="1:3">
      <c r="A131" t="s">
        <v>1432</v>
      </c>
      <c r="C131" t="s">
        <v>1433</v>
      </c>
    </row>
    <row r="132" spans="1:3">
      <c r="A132" t="s">
        <v>1434</v>
      </c>
      <c r="C132" t="s">
        <v>1435</v>
      </c>
    </row>
    <row r="133" spans="1:3">
      <c r="A133" t="s">
        <v>1436</v>
      </c>
      <c r="C133" t="s">
        <v>1437</v>
      </c>
    </row>
    <row r="134" spans="1:3">
      <c r="A134" t="s">
        <v>1438</v>
      </c>
      <c r="C134" t="s">
        <v>1439</v>
      </c>
    </row>
    <row r="135" spans="1:3">
      <c r="A135" t="s">
        <v>1440</v>
      </c>
      <c r="C135" t="s">
        <v>1441</v>
      </c>
    </row>
    <row r="136" spans="1:3">
      <c r="A136" t="s">
        <v>1442</v>
      </c>
      <c r="C136" t="s">
        <v>1443</v>
      </c>
    </row>
    <row r="137" spans="1:3">
      <c r="A137" t="s">
        <v>1444</v>
      </c>
      <c r="C137" t="s">
        <v>1445</v>
      </c>
    </row>
    <row r="139" spans="1:3">
      <c r="A139" t="s">
        <v>1446</v>
      </c>
      <c r="C139" t="s">
        <v>1447</v>
      </c>
    </row>
    <row r="140" spans="1:3">
      <c r="A140" t="s">
        <v>1448</v>
      </c>
      <c r="C140" t="s">
        <v>1449</v>
      </c>
    </row>
    <row r="141" spans="1:3">
      <c r="A141" t="s">
        <v>1450</v>
      </c>
      <c r="C141" t="s">
        <v>1451</v>
      </c>
    </row>
    <row r="142" spans="1:3">
      <c r="A142" t="s">
        <v>1452</v>
      </c>
      <c r="C142" t="s">
        <v>1453</v>
      </c>
    </row>
    <row r="143" spans="1:3">
      <c r="A143" t="s">
        <v>1454</v>
      </c>
      <c r="C143" t="s">
        <v>1455</v>
      </c>
    </row>
    <row r="144" spans="1:3">
      <c r="A144" t="s">
        <v>1456</v>
      </c>
      <c r="C144" t="s">
        <v>1457</v>
      </c>
    </row>
    <row r="145" spans="1:3">
      <c r="A145" t="s">
        <v>1458</v>
      </c>
      <c r="C145" t="s">
        <v>1459</v>
      </c>
    </row>
    <row r="146" spans="1:3">
      <c r="A146" t="s">
        <v>1460</v>
      </c>
      <c r="C146" t="s">
        <v>1461</v>
      </c>
    </row>
    <row r="147" spans="1:3">
      <c r="A147" t="s">
        <v>1462</v>
      </c>
      <c r="C147" t="s">
        <v>1463</v>
      </c>
    </row>
    <row r="148" spans="1:3">
      <c r="A148" t="s">
        <v>1464</v>
      </c>
      <c r="C148" t="s">
        <v>1465</v>
      </c>
    </row>
    <row r="149" spans="1:3">
      <c r="A149" t="s">
        <v>1466</v>
      </c>
      <c r="C149" t="s">
        <v>1467</v>
      </c>
    </row>
    <row r="150" spans="1:3">
      <c r="A150" t="s">
        <v>1468</v>
      </c>
      <c r="C150" t="s">
        <v>1469</v>
      </c>
    </row>
    <row r="151" spans="1:3">
      <c r="A151" t="s">
        <v>1470</v>
      </c>
      <c r="C151" t="s">
        <v>1471</v>
      </c>
    </row>
    <row r="152" spans="1:3">
      <c r="A152" t="s">
        <v>1472</v>
      </c>
      <c r="C152" t="s">
        <v>1473</v>
      </c>
    </row>
    <row r="153" spans="1:3">
      <c r="A153" t="s">
        <v>1474</v>
      </c>
      <c r="C153" t="s">
        <v>1475</v>
      </c>
    </row>
    <row r="154" spans="1:3">
      <c r="A154" t="s">
        <v>1476</v>
      </c>
      <c r="C154" t="s">
        <v>1477</v>
      </c>
    </row>
    <row r="155" spans="1:3">
      <c r="A155" t="s">
        <v>1478</v>
      </c>
      <c r="C155" t="s">
        <v>1479</v>
      </c>
    </row>
    <row r="156" spans="1:3">
      <c r="A156" t="s">
        <v>1480</v>
      </c>
      <c r="C156" t="s">
        <v>1481</v>
      </c>
    </row>
    <row r="157" spans="1:3">
      <c r="A157" t="s">
        <v>1482</v>
      </c>
      <c r="C157" t="s">
        <v>1483</v>
      </c>
    </row>
    <row r="158" spans="1:3">
      <c r="A158" t="s">
        <v>1484</v>
      </c>
      <c r="C158" t="s">
        <v>1485</v>
      </c>
    </row>
    <row r="159" spans="1:3">
      <c r="A159" t="s">
        <v>1486</v>
      </c>
      <c r="C159" t="s">
        <v>1487</v>
      </c>
    </row>
    <row r="160" spans="1:3">
      <c r="A160" t="s">
        <v>1488</v>
      </c>
      <c r="C160" t="s">
        <v>1489</v>
      </c>
    </row>
    <row r="161" spans="1:3">
      <c r="A161" t="s">
        <v>1490</v>
      </c>
      <c r="C161" t="s">
        <v>1491</v>
      </c>
    </row>
    <row r="162" spans="1:3">
      <c r="A162" t="s">
        <v>1492</v>
      </c>
      <c r="C162" t="s">
        <v>1493</v>
      </c>
    </row>
    <row r="163" spans="1:3">
      <c r="A163" t="s">
        <v>1494</v>
      </c>
      <c r="C163" t="s">
        <v>1495</v>
      </c>
    </row>
    <row r="164" spans="1:3">
      <c r="A164" t="s">
        <v>1496</v>
      </c>
      <c r="C164" t="s">
        <v>1497</v>
      </c>
    </row>
    <row r="165" spans="1:3">
      <c r="A165" t="s">
        <v>1498</v>
      </c>
      <c r="C165" t="s">
        <v>1499</v>
      </c>
    </row>
    <row r="167" spans="1:3">
      <c r="A167" t="s">
        <v>1500</v>
      </c>
      <c r="C167" t="s">
        <v>1501</v>
      </c>
    </row>
    <row r="168" spans="1:3">
      <c r="A168" t="s">
        <v>1502</v>
      </c>
      <c r="C168" t="s">
        <v>1503</v>
      </c>
    </row>
    <row r="169" spans="1:3">
      <c r="A169" t="s">
        <v>1504</v>
      </c>
      <c r="C169" t="s">
        <v>1505</v>
      </c>
    </row>
    <row r="170" spans="1:3">
      <c r="A170" t="s">
        <v>1506</v>
      </c>
      <c r="C170" t="s">
        <v>1507</v>
      </c>
    </row>
    <row r="171" spans="1:3">
      <c r="A171" t="s">
        <v>1508</v>
      </c>
      <c r="C171" t="s">
        <v>1509</v>
      </c>
    </row>
    <row r="172" spans="1:3">
      <c r="A172" t="s">
        <v>1510</v>
      </c>
      <c r="C172" t="s">
        <v>1511</v>
      </c>
    </row>
    <row r="173" spans="1:3">
      <c r="A173" t="s">
        <v>1512</v>
      </c>
      <c r="C173" t="s">
        <v>1513</v>
      </c>
    </row>
    <row r="174" spans="1:3">
      <c r="A174" t="s">
        <v>1514</v>
      </c>
      <c r="C174" t="s">
        <v>1515</v>
      </c>
    </row>
    <row r="175" spans="1:3">
      <c r="A175" t="s">
        <v>1516</v>
      </c>
      <c r="C175" t="s">
        <v>1517</v>
      </c>
    </row>
    <row r="176" spans="1:3">
      <c r="A176" t="s">
        <v>1518</v>
      </c>
      <c r="C176" t="s">
        <v>1519</v>
      </c>
    </row>
    <row r="177" spans="1:3">
      <c r="A177" t="s">
        <v>1520</v>
      </c>
      <c r="C177" t="s">
        <v>1521</v>
      </c>
    </row>
    <row r="178" spans="1:3">
      <c r="A178" t="s">
        <v>1522</v>
      </c>
      <c r="C178" t="s">
        <v>1523</v>
      </c>
    </row>
    <row r="179" spans="1:3">
      <c r="A179" t="s">
        <v>1524</v>
      </c>
      <c r="C179" t="s">
        <v>1525</v>
      </c>
    </row>
    <row r="180" spans="1:3">
      <c r="A180" t="s">
        <v>1526</v>
      </c>
      <c r="C180" t="s">
        <v>1527</v>
      </c>
    </row>
    <row r="181" spans="1:3">
      <c r="A181" t="s">
        <v>1528</v>
      </c>
      <c r="C181" t="s">
        <v>1529</v>
      </c>
    </row>
    <row r="182" spans="1:3">
      <c r="A182" t="s">
        <v>1530</v>
      </c>
      <c r="C182" t="s">
        <v>1531</v>
      </c>
    </row>
    <row r="183" spans="1:3">
      <c r="A183" t="s">
        <v>1532</v>
      </c>
      <c r="C183" t="s">
        <v>1533</v>
      </c>
    </row>
    <row r="184" spans="1:3">
      <c r="A184" t="s">
        <v>1534</v>
      </c>
      <c r="C184" t="s">
        <v>1535</v>
      </c>
    </row>
    <row r="185" spans="1:3">
      <c r="A185" t="s">
        <v>1536</v>
      </c>
      <c r="C185" t="s">
        <v>1537</v>
      </c>
    </row>
    <row r="186" spans="1:3">
      <c r="A186" t="s">
        <v>1538</v>
      </c>
      <c r="C186" t="s">
        <v>1539</v>
      </c>
    </row>
    <row r="187" spans="1:3">
      <c r="A187" t="s">
        <v>1540</v>
      </c>
      <c r="C187" t="s">
        <v>1541</v>
      </c>
    </row>
    <row r="188" spans="1:3">
      <c r="A188" t="s">
        <v>1542</v>
      </c>
      <c r="C188" t="s">
        <v>1543</v>
      </c>
    </row>
    <row r="189" spans="1:3">
      <c r="A189" t="s">
        <v>1544</v>
      </c>
      <c r="C189" t="s">
        <v>1545</v>
      </c>
    </row>
    <row r="190" spans="1:3">
      <c r="A190" t="s">
        <v>1546</v>
      </c>
      <c r="C190" t="s">
        <v>1547</v>
      </c>
    </row>
    <row r="191" spans="1:3">
      <c r="A191" t="s">
        <v>1548</v>
      </c>
      <c r="C191" t="s">
        <v>1549</v>
      </c>
    </row>
    <row r="192" spans="1:3">
      <c r="A192" t="s">
        <v>1550</v>
      </c>
      <c r="C192" t="s">
        <v>1551</v>
      </c>
    </row>
    <row r="193" spans="1:3">
      <c r="A193" t="s">
        <v>1552</v>
      </c>
      <c r="C193" t="s">
        <v>1553</v>
      </c>
    </row>
    <row r="194" spans="1:3">
      <c r="A194" t="s">
        <v>1554</v>
      </c>
      <c r="C194" t="s">
        <v>1555</v>
      </c>
    </row>
    <row r="195" spans="1:3">
      <c r="A195" t="s">
        <v>1556</v>
      </c>
      <c r="C195" t="s">
        <v>1557</v>
      </c>
    </row>
    <row r="196" spans="1:3">
      <c r="A196" t="s">
        <v>1558</v>
      </c>
      <c r="C196" t="s">
        <v>1559</v>
      </c>
    </row>
    <row r="197" spans="1:3">
      <c r="A197" t="s">
        <v>1560</v>
      </c>
      <c r="C197" t="s">
        <v>1561</v>
      </c>
    </row>
    <row r="198" spans="1:3">
      <c r="A198" t="s">
        <v>1562</v>
      </c>
      <c r="C198" t="s">
        <v>1563</v>
      </c>
    </row>
    <row r="199" spans="1:3">
      <c r="A199" t="s">
        <v>1564</v>
      </c>
      <c r="C199" t="s">
        <v>1565</v>
      </c>
    </row>
    <row r="200" spans="1:3">
      <c r="A200" t="s">
        <v>1566</v>
      </c>
      <c r="C200" t="s">
        <v>1567</v>
      </c>
    </row>
    <row r="201" spans="1:3">
      <c r="A201" t="s">
        <v>1568</v>
      </c>
      <c r="C201" t="s">
        <v>1569</v>
      </c>
    </row>
    <row r="202" spans="1:3">
      <c r="A202" t="s">
        <v>1570</v>
      </c>
      <c r="C202" t="s">
        <v>1571</v>
      </c>
    </row>
    <row r="203" spans="1:3">
      <c r="A203" t="s">
        <v>1572</v>
      </c>
      <c r="C203" t="s">
        <v>1573</v>
      </c>
    </row>
    <row r="204" spans="1:3">
      <c r="A204" t="s">
        <v>1574</v>
      </c>
      <c r="C204" t="s">
        <v>1575</v>
      </c>
    </row>
    <row r="205" spans="1:3">
      <c r="A205" t="s">
        <v>1576</v>
      </c>
      <c r="C205" t="s">
        <v>1577</v>
      </c>
    </row>
    <row r="206" spans="1:3">
      <c r="A206" t="s">
        <v>1578</v>
      </c>
      <c r="C206" t="s">
        <v>1579</v>
      </c>
    </row>
    <row r="207" spans="1:3">
      <c r="A207" t="s">
        <v>1580</v>
      </c>
      <c r="C207" t="s">
        <v>1581</v>
      </c>
    </row>
    <row r="208" spans="1:3">
      <c r="A208" t="s">
        <v>1582</v>
      </c>
      <c r="C208" t="s">
        <v>1583</v>
      </c>
    </row>
    <row r="209" spans="1:3">
      <c r="A209" t="s">
        <v>1584</v>
      </c>
      <c r="C209" t="s">
        <v>1585</v>
      </c>
    </row>
    <row r="210" spans="1:3">
      <c r="A210" t="s">
        <v>1586</v>
      </c>
      <c r="C210" t="s">
        <v>1587</v>
      </c>
    </row>
    <row r="211" spans="1:3">
      <c r="A211" t="s">
        <v>1588</v>
      </c>
      <c r="C211" t="s">
        <v>1589</v>
      </c>
    </row>
    <row r="212" spans="1:3">
      <c r="A212" t="s">
        <v>1590</v>
      </c>
      <c r="C212" t="s">
        <v>1591</v>
      </c>
    </row>
    <row r="213" spans="1:3">
      <c r="A213" t="s">
        <v>1592</v>
      </c>
      <c r="C213" t="s">
        <v>1593</v>
      </c>
    </row>
    <row r="214" spans="1:3">
      <c r="A214" t="s">
        <v>1594</v>
      </c>
      <c r="C214" t="s">
        <v>1595</v>
      </c>
    </row>
    <row r="215" spans="1:3">
      <c r="A215" t="s">
        <v>1596</v>
      </c>
      <c r="C215" t="s">
        <v>1597</v>
      </c>
    </row>
    <row r="216" spans="1:3">
      <c r="A216" t="s">
        <v>1598</v>
      </c>
      <c r="C216" t="s">
        <v>1599</v>
      </c>
    </row>
    <row r="217" spans="1:3">
      <c r="A217" t="s">
        <v>1600</v>
      </c>
      <c r="C217" t="s">
        <v>1601</v>
      </c>
    </row>
    <row r="218" spans="1:3">
      <c r="A218" t="s">
        <v>1602</v>
      </c>
      <c r="C218" t="s">
        <v>1603</v>
      </c>
    </row>
    <row r="219" spans="1:3">
      <c r="A219" t="s">
        <v>1604</v>
      </c>
      <c r="C219" t="s">
        <v>1605</v>
      </c>
    </row>
    <row r="220" spans="1:3">
      <c r="A220" t="s">
        <v>1606</v>
      </c>
      <c r="C220" t="s">
        <v>1607</v>
      </c>
    </row>
    <row r="221" spans="1:3">
      <c r="A221" t="s">
        <v>1608</v>
      </c>
      <c r="C221" t="s">
        <v>1609</v>
      </c>
    </row>
    <row r="222" spans="1:3">
      <c r="A222" t="s">
        <v>1610</v>
      </c>
      <c r="C222" t="s">
        <v>1611</v>
      </c>
    </row>
    <row r="223" spans="1:3">
      <c r="A223" t="s">
        <v>1612</v>
      </c>
      <c r="C223" t="s">
        <v>1613</v>
      </c>
    </row>
    <row r="224" spans="1:3">
      <c r="A224" t="s">
        <v>1614</v>
      </c>
      <c r="C224" t="s">
        <v>1615</v>
      </c>
    </row>
    <row r="225" spans="1:3">
      <c r="A225" t="s">
        <v>1616</v>
      </c>
      <c r="C225" t="s">
        <v>1617</v>
      </c>
    </row>
    <row r="226" spans="1:3">
      <c r="A226" t="s">
        <v>1618</v>
      </c>
      <c r="C226" t="s">
        <v>1619</v>
      </c>
    </row>
    <row r="227" spans="1:3">
      <c r="A227" t="s">
        <v>1620</v>
      </c>
      <c r="C227" t="s">
        <v>1621</v>
      </c>
    </row>
    <row r="228" spans="1:3">
      <c r="A228" t="s">
        <v>1622</v>
      </c>
      <c r="C228" t="s">
        <v>1623</v>
      </c>
    </row>
    <row r="230" spans="1:3">
      <c r="A230" t="s">
        <v>1624</v>
      </c>
      <c r="C230" t="s">
        <v>1625</v>
      </c>
    </row>
    <row r="231" spans="1:3">
      <c r="A231" t="s">
        <v>1626</v>
      </c>
      <c r="C231" t="s">
        <v>1627</v>
      </c>
    </row>
    <row r="233" spans="1:3">
      <c r="A233" t="s">
        <v>1628</v>
      </c>
      <c r="C233" t="s">
        <v>1629</v>
      </c>
    </row>
    <row r="234" spans="1:3">
      <c r="A234" t="s">
        <v>1630</v>
      </c>
      <c r="C234" t="s">
        <v>1631</v>
      </c>
    </row>
    <row r="235" spans="1:3">
      <c r="A235" t="s">
        <v>1632</v>
      </c>
      <c r="C235" t="s">
        <v>1633</v>
      </c>
    </row>
    <row r="236" spans="1:3">
      <c r="A236" t="s">
        <v>1634</v>
      </c>
      <c r="C236" t="s">
        <v>1635</v>
      </c>
    </row>
    <row r="237" spans="1:3">
      <c r="A237" t="s">
        <v>1636</v>
      </c>
      <c r="C237" t="s">
        <v>1637</v>
      </c>
    </row>
    <row r="238" spans="1:3">
      <c r="A238" t="s">
        <v>1638</v>
      </c>
      <c r="C238" t="s">
        <v>1639</v>
      </c>
    </row>
    <row r="239" spans="1:3">
      <c r="A239" t="s">
        <v>1640</v>
      </c>
      <c r="C239" t="s">
        <v>1641</v>
      </c>
    </row>
    <row r="240" spans="1:3">
      <c r="A240" t="s">
        <v>1642</v>
      </c>
      <c r="C240" t="s">
        <v>1643</v>
      </c>
    </row>
    <row r="241" spans="1:3">
      <c r="A241" t="s">
        <v>1644</v>
      </c>
      <c r="C241" t="s">
        <v>1645</v>
      </c>
    </row>
    <row r="242" spans="1:3">
      <c r="A242" t="s">
        <v>1646</v>
      </c>
      <c r="C242" t="s">
        <v>1647</v>
      </c>
    </row>
    <row r="243" spans="1:3">
      <c r="A243" t="s">
        <v>1648</v>
      </c>
      <c r="C243" t="s">
        <v>1649</v>
      </c>
    </row>
    <row r="244" spans="1:3">
      <c r="A244" t="s">
        <v>1650</v>
      </c>
      <c r="C244" t="s">
        <v>1651</v>
      </c>
    </row>
    <row r="245" spans="1:3">
      <c r="A245" t="s">
        <v>1652</v>
      </c>
      <c r="C245" t="s">
        <v>1653</v>
      </c>
    </row>
    <row r="246" spans="1:3">
      <c r="A246" t="s">
        <v>1654</v>
      </c>
      <c r="C246" t="s">
        <v>1655</v>
      </c>
    </row>
    <row r="247" spans="1:3">
      <c r="A247" t="s">
        <v>1656</v>
      </c>
      <c r="C247" t="s">
        <v>1657</v>
      </c>
    </row>
    <row r="249" spans="1:3">
      <c r="A249" t="s">
        <v>1658</v>
      </c>
      <c r="C249" t="s">
        <v>1659</v>
      </c>
    </row>
    <row r="250" spans="1:3">
      <c r="A250" t="s">
        <v>1660</v>
      </c>
      <c r="C250" t="s">
        <v>1661</v>
      </c>
    </row>
    <row r="251" spans="1:3">
      <c r="A251" t="s">
        <v>1662</v>
      </c>
      <c r="C251" t="s">
        <v>1663</v>
      </c>
    </row>
    <row r="252" spans="1:3">
      <c r="A252" t="s">
        <v>1664</v>
      </c>
      <c r="C252" t="s">
        <v>1665</v>
      </c>
    </row>
    <row r="253" spans="1:3">
      <c r="A253" t="s">
        <v>1666</v>
      </c>
      <c r="C253" t="s">
        <v>1667</v>
      </c>
    </row>
    <row r="254" spans="1:3">
      <c r="A254" t="s">
        <v>1668</v>
      </c>
      <c r="C254" t="s">
        <v>1669</v>
      </c>
    </row>
    <row r="255" spans="1:3">
      <c r="A255" t="s">
        <v>1670</v>
      </c>
      <c r="C255" t="s">
        <v>1671</v>
      </c>
    </row>
    <row r="256" spans="1:3">
      <c r="A256" t="s">
        <v>1672</v>
      </c>
      <c r="C256" t="s">
        <v>1673</v>
      </c>
    </row>
    <row r="257" spans="1:3">
      <c r="A257" t="s">
        <v>1674</v>
      </c>
      <c r="C257" t="s">
        <v>1675</v>
      </c>
    </row>
    <row r="258" spans="1:3">
      <c r="A258" t="s">
        <v>1676</v>
      </c>
      <c r="C258" t="s">
        <v>1677</v>
      </c>
    </row>
    <row r="264" spans="1:3">
      <c r="A264" t="s">
        <v>1678</v>
      </c>
      <c r="C264" t="s">
        <v>1679</v>
      </c>
    </row>
    <row r="265" spans="1:3">
      <c r="A265" t="s">
        <v>1680</v>
      </c>
      <c r="C265" t="s">
        <v>1681</v>
      </c>
    </row>
    <row r="266" spans="1:3">
      <c r="A266" t="s">
        <v>1682</v>
      </c>
      <c r="C266" t="s">
        <v>1683</v>
      </c>
    </row>
    <row r="268" spans="1:3">
      <c r="A268" t="s">
        <v>1684</v>
      </c>
      <c r="C268" t="s">
        <v>1685</v>
      </c>
    </row>
    <row r="269" spans="1:3">
      <c r="A269" t="s">
        <v>1686</v>
      </c>
      <c r="C269" t="s">
        <v>1687</v>
      </c>
    </row>
    <row r="270" spans="1:3">
      <c r="A270" t="s">
        <v>1688</v>
      </c>
      <c r="C270" t="s">
        <v>1689</v>
      </c>
    </row>
    <row r="271" spans="1:3">
      <c r="A271" t="s">
        <v>1690</v>
      </c>
      <c r="C271" t="s">
        <v>1691</v>
      </c>
    </row>
    <row r="272" spans="1:3">
      <c r="A272" t="s">
        <v>1692</v>
      </c>
      <c r="C272" t="s">
        <v>1693</v>
      </c>
    </row>
    <row r="273" spans="1:3">
      <c r="A273" t="s">
        <v>1694</v>
      </c>
      <c r="C273" t="s">
        <v>1695</v>
      </c>
    </row>
    <row r="274" spans="1:3">
      <c r="A274" t="s">
        <v>1696</v>
      </c>
      <c r="C274" t="s">
        <v>1697</v>
      </c>
    </row>
    <row r="275" spans="1:3">
      <c r="A275" t="s">
        <v>1698</v>
      </c>
      <c r="C275" t="s">
        <v>1699</v>
      </c>
    </row>
    <row r="276" spans="1:3">
      <c r="A276" t="s">
        <v>1700</v>
      </c>
      <c r="C276" t="s">
        <v>1701</v>
      </c>
    </row>
    <row r="278" spans="1:3">
      <c r="A278" t="s">
        <v>1702</v>
      </c>
      <c r="C278" t="s">
        <v>1703</v>
      </c>
    </row>
    <row r="279" spans="1:3">
      <c r="A279" t="s">
        <v>1704</v>
      </c>
      <c r="C279" t="s">
        <v>1705</v>
      </c>
    </row>
    <row r="280" spans="1:3">
      <c r="A280" t="s">
        <v>1706</v>
      </c>
      <c r="C280" t="s">
        <v>1707</v>
      </c>
    </row>
    <row r="281" spans="1:3">
      <c r="A281" t="s">
        <v>1708</v>
      </c>
      <c r="C281" t="s">
        <v>1709</v>
      </c>
    </row>
    <row r="282" spans="1:3">
      <c r="A282" t="s">
        <v>1710</v>
      </c>
      <c r="C282" t="s">
        <v>1711</v>
      </c>
    </row>
    <row r="283" spans="1:3">
      <c r="A283" t="s">
        <v>1712</v>
      </c>
      <c r="C283" t="s">
        <v>1713</v>
      </c>
    </row>
    <row r="284" spans="1:3">
      <c r="A284" t="s">
        <v>1714</v>
      </c>
      <c r="C284" t="s">
        <v>1715</v>
      </c>
    </row>
    <row r="285" spans="1:3">
      <c r="A285" t="s">
        <v>1716</v>
      </c>
      <c r="C285" t="s">
        <v>1717</v>
      </c>
    </row>
    <row r="286" spans="1:3">
      <c r="A286" t="s">
        <v>1718</v>
      </c>
      <c r="C286" t="s">
        <v>1719</v>
      </c>
    </row>
    <row r="287" spans="1:3">
      <c r="A287" t="s">
        <v>1720</v>
      </c>
      <c r="C287" t="s">
        <v>1721</v>
      </c>
    </row>
    <row r="288" spans="1:3">
      <c r="A288" t="s">
        <v>1722</v>
      </c>
      <c r="C288" t="s">
        <v>1723</v>
      </c>
    </row>
    <row r="289" spans="1:3">
      <c r="A289" t="s">
        <v>1724</v>
      </c>
      <c r="C289" t="s">
        <v>1725</v>
      </c>
    </row>
    <row r="290" spans="1:3">
      <c r="A290" t="s">
        <v>1726</v>
      </c>
      <c r="C290" t="s">
        <v>1727</v>
      </c>
    </row>
    <row r="291" spans="1:3">
      <c r="A291" t="s">
        <v>1728</v>
      </c>
      <c r="C291" t="s">
        <v>1729</v>
      </c>
    </row>
    <row r="292" spans="1:3">
      <c r="A292" t="s">
        <v>1730</v>
      </c>
      <c r="C292" t="s">
        <v>1731</v>
      </c>
    </row>
    <row r="293" spans="1:3">
      <c r="A293" t="s">
        <v>1732</v>
      </c>
      <c r="C293" t="s">
        <v>1733</v>
      </c>
    </row>
    <row r="295" spans="1:3">
      <c r="A295" t="s">
        <v>1734</v>
      </c>
      <c r="C295" t="s">
        <v>1735</v>
      </c>
    </row>
    <row r="296" spans="1:3">
      <c r="A296" t="s">
        <v>1736</v>
      </c>
      <c r="C296" t="s">
        <v>1737</v>
      </c>
    </row>
    <row r="297" spans="1:3">
      <c r="A297" t="s">
        <v>1738</v>
      </c>
      <c r="C297" t="s">
        <v>1739</v>
      </c>
    </row>
    <row r="298" spans="1:3">
      <c r="A298" t="s">
        <v>1740</v>
      </c>
      <c r="C298" t="s">
        <v>1741</v>
      </c>
    </row>
    <row r="299" spans="1:3">
      <c r="A299" t="s">
        <v>1742</v>
      </c>
      <c r="C299" t="s">
        <v>1743</v>
      </c>
    </row>
    <row r="300" spans="1:3">
      <c r="A300" t="s">
        <v>1744</v>
      </c>
      <c r="C300" t="s">
        <v>1745</v>
      </c>
    </row>
    <row r="301" spans="1:3">
      <c r="A301" t="s">
        <v>1746</v>
      </c>
      <c r="C301" t="s">
        <v>1747</v>
      </c>
    </row>
    <row r="302" spans="1:3">
      <c r="A302" t="s">
        <v>1748</v>
      </c>
      <c r="C302" t="s">
        <v>1749</v>
      </c>
    </row>
    <row r="303" spans="1:3">
      <c r="A303" t="s">
        <v>1750</v>
      </c>
      <c r="C303" t="s">
        <v>1751</v>
      </c>
    </row>
    <row r="304" spans="1:3">
      <c r="A304" t="s">
        <v>1752</v>
      </c>
      <c r="C304" t="s">
        <v>1753</v>
      </c>
    </row>
    <row r="305" spans="1:3">
      <c r="A305" t="s">
        <v>1754</v>
      </c>
      <c r="C305" t="s">
        <v>1755</v>
      </c>
    </row>
    <row r="306" spans="1:3">
      <c r="A306" t="s">
        <v>1756</v>
      </c>
      <c r="C306" t="s">
        <v>1757</v>
      </c>
    </row>
    <row r="307" spans="1:3">
      <c r="A307" t="s">
        <v>1758</v>
      </c>
      <c r="C307" t="s">
        <v>1759</v>
      </c>
    </row>
    <row r="308" spans="1:3">
      <c r="A308" t="s">
        <v>1760</v>
      </c>
      <c r="C308" t="s">
        <v>1761</v>
      </c>
    </row>
    <row r="309" spans="1:3">
      <c r="A309" t="s">
        <v>1762</v>
      </c>
      <c r="C309" t="s">
        <v>1763</v>
      </c>
    </row>
    <row r="310" spans="1:3">
      <c r="A310" t="s">
        <v>1764</v>
      </c>
      <c r="C310" t="s">
        <v>1765</v>
      </c>
    </row>
    <row r="312" spans="1:3">
      <c r="A312" t="s">
        <v>1766</v>
      </c>
      <c r="C312" t="s">
        <v>1767</v>
      </c>
    </row>
    <row r="314" spans="1:3">
      <c r="A314" t="s">
        <v>1768</v>
      </c>
      <c r="C314" t="s">
        <v>1769</v>
      </c>
    </row>
    <row r="315" spans="1:3">
      <c r="A315" t="s">
        <v>1770</v>
      </c>
      <c r="C315" t="s">
        <v>1771</v>
      </c>
    </row>
    <row r="316" spans="1:3">
      <c r="A316" t="s">
        <v>1772</v>
      </c>
      <c r="C316" t="s">
        <v>1773</v>
      </c>
    </row>
    <row r="317" spans="1:3">
      <c r="A317" t="s">
        <v>1774</v>
      </c>
      <c r="C317" t="s">
        <v>1775</v>
      </c>
    </row>
    <row r="318" spans="1:3">
      <c r="A318" t="s">
        <v>1776</v>
      </c>
      <c r="C318" t="s">
        <v>1777</v>
      </c>
    </row>
    <row r="320" spans="1:3">
      <c r="A320" t="s">
        <v>1778</v>
      </c>
      <c r="C320" t="s">
        <v>1779</v>
      </c>
    </row>
    <row r="322" spans="1:3">
      <c r="A322" t="s">
        <v>1780</v>
      </c>
      <c r="C322" t="s">
        <v>1781</v>
      </c>
    </row>
    <row r="323" spans="1:3">
      <c r="A323" t="s">
        <v>1782</v>
      </c>
      <c r="C323" t="s">
        <v>1783</v>
      </c>
    </row>
    <row r="324" spans="1:3">
      <c r="A324" t="s">
        <v>1784</v>
      </c>
      <c r="C324" t="s">
        <v>1785</v>
      </c>
    </row>
    <row r="325" spans="1:3">
      <c r="A325" t="s">
        <v>1786</v>
      </c>
      <c r="C325" t="s">
        <v>1787</v>
      </c>
    </row>
    <row r="327" spans="1:3">
      <c r="A327" t="s">
        <v>1788</v>
      </c>
      <c r="C327" t="s">
        <v>1789</v>
      </c>
    </row>
    <row r="329" spans="1:3">
      <c r="A329" t="s">
        <v>1790</v>
      </c>
      <c r="C329" t="s">
        <v>1791</v>
      </c>
    </row>
    <row r="330" spans="1:3">
      <c r="A330" t="s">
        <v>1792</v>
      </c>
      <c r="C330" t="s">
        <v>1793</v>
      </c>
    </row>
    <row r="331" spans="1:3">
      <c r="A331" t="s">
        <v>1794</v>
      </c>
      <c r="C331" t="s">
        <v>1795</v>
      </c>
    </row>
  </sheetData>
  <pageMargins left="0.7" right="0.7" top="0.75" bottom="0.75" header="0.3" footer="0.3"/>
  <customProperties>
    <customPr name="Exchange.ContributionType" r:id="rId1"/>
    <customPr name="Exchange.CreationEntityId" r:id="rId2"/>
    <customPr name="Exchange.CreationEntityIdType" r:id="rId3"/>
    <customPr name="Exchange.CreationEntityType" r:id="rId4"/>
    <customPr name="Exchange.ExchangeSheetId" r:id="rId5"/>
    <customPr name="Exchange.SheetType" r:id="rId6"/>
    <customPr name="FormulaVersion" r:id="rId7"/>
    <customPr name="Qube.Worksheet.Visibility" r:id="rId8"/>
  </customPropertie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C5B618-705B-4AD3-B634-DAA0B1BEAF0C}">
  <sheetPr>
    <tabColor rgb="FF002060"/>
  </sheetPr>
  <dimension ref="A1:FT331"/>
  <sheetViews>
    <sheetView workbookViewId="0"/>
  </sheetViews>
  <sheetFormatPr defaultRowHeight="13.2"/>
  <sheetData>
    <row r="1" spans="1:176">
      <c r="A1" t="s">
        <v>492</v>
      </c>
      <c r="F1">
        <v>1995</v>
      </c>
      <c r="G1" t="s">
        <v>1820</v>
      </c>
      <c r="H1" t="s">
        <v>1821</v>
      </c>
      <c r="I1" t="s">
        <v>1822</v>
      </c>
      <c r="J1" t="s">
        <v>1823</v>
      </c>
      <c r="K1">
        <v>1996</v>
      </c>
      <c r="L1" t="s">
        <v>1816</v>
      </c>
      <c r="M1" t="s">
        <v>1817</v>
      </c>
      <c r="N1" t="s">
        <v>1818</v>
      </c>
      <c r="O1" t="s">
        <v>1819</v>
      </c>
      <c r="P1">
        <v>1997</v>
      </c>
      <c r="Q1" t="s">
        <v>1812</v>
      </c>
      <c r="R1" t="s">
        <v>1813</v>
      </c>
      <c r="S1" t="s">
        <v>1814</v>
      </c>
      <c r="T1" t="s">
        <v>1815</v>
      </c>
      <c r="U1">
        <v>1998</v>
      </c>
      <c r="V1" t="s">
        <v>1808</v>
      </c>
      <c r="W1" t="s">
        <v>1809</v>
      </c>
      <c r="X1" t="s">
        <v>1810</v>
      </c>
      <c r="Y1" t="s">
        <v>1811</v>
      </c>
      <c r="Z1">
        <v>1999</v>
      </c>
      <c r="AA1" t="s">
        <v>1804</v>
      </c>
      <c r="AB1" t="s">
        <v>1805</v>
      </c>
      <c r="AC1" t="s">
        <v>1806</v>
      </c>
      <c r="AD1" t="s">
        <v>1807</v>
      </c>
      <c r="AE1">
        <v>2000</v>
      </c>
      <c r="AF1" t="s">
        <v>1800</v>
      </c>
      <c r="AG1" t="s">
        <v>1801</v>
      </c>
      <c r="AH1" t="s">
        <v>1802</v>
      </c>
      <c r="AI1" t="s">
        <v>1803</v>
      </c>
      <c r="AJ1">
        <v>2001</v>
      </c>
      <c r="AK1" t="s">
        <v>1796</v>
      </c>
      <c r="AL1" t="s">
        <v>1797</v>
      </c>
      <c r="AM1" t="s">
        <v>1798</v>
      </c>
      <c r="AN1" t="s">
        <v>1799</v>
      </c>
      <c r="AO1">
        <v>2002</v>
      </c>
      <c r="AP1" t="s">
        <v>493</v>
      </c>
      <c r="AQ1" t="s">
        <v>494</v>
      </c>
      <c r="AR1" t="s">
        <v>495</v>
      </c>
      <c r="AS1" t="s">
        <v>496</v>
      </c>
      <c r="AT1">
        <v>2003</v>
      </c>
      <c r="AU1" t="s">
        <v>497</v>
      </c>
      <c r="AV1" t="s">
        <v>498</v>
      </c>
      <c r="AW1" t="s">
        <v>499</v>
      </c>
      <c r="AX1" t="s">
        <v>500</v>
      </c>
      <c r="AY1">
        <v>2004</v>
      </c>
      <c r="AZ1" t="s">
        <v>501</v>
      </c>
      <c r="BA1" t="s">
        <v>502</v>
      </c>
      <c r="BB1" t="s">
        <v>503</v>
      </c>
      <c r="BC1" t="s">
        <v>504</v>
      </c>
      <c r="BD1">
        <v>2005</v>
      </c>
      <c r="BE1" t="s">
        <v>505</v>
      </c>
      <c r="BF1" t="s">
        <v>506</v>
      </c>
      <c r="BG1" t="s">
        <v>507</v>
      </c>
      <c r="BH1" t="s">
        <v>508</v>
      </c>
      <c r="BI1">
        <v>2006</v>
      </c>
      <c r="BJ1" t="s">
        <v>509</v>
      </c>
      <c r="BK1" t="s">
        <v>510</v>
      </c>
      <c r="BL1" t="s">
        <v>511</v>
      </c>
      <c r="BM1" t="s">
        <v>512</v>
      </c>
      <c r="BN1">
        <v>2007</v>
      </c>
      <c r="BO1" t="s">
        <v>513</v>
      </c>
      <c r="BP1" t="s">
        <v>514</v>
      </c>
      <c r="BQ1" t="s">
        <v>515</v>
      </c>
      <c r="BR1" t="s">
        <v>516</v>
      </c>
      <c r="BS1">
        <v>2008</v>
      </c>
      <c r="BT1" t="s">
        <v>517</v>
      </c>
      <c r="BU1" t="s">
        <v>518</v>
      </c>
      <c r="BV1" t="s">
        <v>519</v>
      </c>
      <c r="BW1" t="s">
        <v>520</v>
      </c>
      <c r="BX1">
        <v>2009</v>
      </c>
      <c r="BY1" t="s">
        <v>521</v>
      </c>
      <c r="BZ1" t="s">
        <v>522</v>
      </c>
      <c r="CA1" t="s">
        <v>523</v>
      </c>
      <c r="CB1" t="s">
        <v>524</v>
      </c>
      <c r="CC1">
        <v>2010</v>
      </c>
      <c r="CD1" t="s">
        <v>525</v>
      </c>
      <c r="CE1" t="s">
        <v>526</v>
      </c>
      <c r="CF1" t="s">
        <v>527</v>
      </c>
      <c r="CG1" t="s">
        <v>528</v>
      </c>
      <c r="CH1">
        <v>2011</v>
      </c>
      <c r="CI1" t="s">
        <v>529</v>
      </c>
      <c r="CJ1" t="s">
        <v>530</v>
      </c>
      <c r="CK1" t="s">
        <v>531</v>
      </c>
      <c r="CL1" t="s">
        <v>532</v>
      </c>
      <c r="CM1">
        <v>2012</v>
      </c>
      <c r="CN1" t="s">
        <v>533</v>
      </c>
      <c r="CO1" t="s">
        <v>534</v>
      </c>
      <c r="CP1" t="s">
        <v>535</v>
      </c>
      <c r="CQ1" t="s">
        <v>536</v>
      </c>
      <c r="CR1">
        <v>2013</v>
      </c>
      <c r="CS1" t="s">
        <v>537</v>
      </c>
      <c r="CT1" t="s">
        <v>538</v>
      </c>
      <c r="CU1" t="s">
        <v>539</v>
      </c>
      <c r="CV1" t="s">
        <v>540</v>
      </c>
      <c r="CW1">
        <v>2014</v>
      </c>
      <c r="CX1" t="s">
        <v>541</v>
      </c>
      <c r="CY1" t="s">
        <v>542</v>
      </c>
      <c r="CZ1" t="s">
        <v>543</v>
      </c>
      <c r="DA1" t="s">
        <v>544</v>
      </c>
      <c r="DB1">
        <v>2015</v>
      </c>
      <c r="DC1" t="s">
        <v>545</v>
      </c>
      <c r="DD1" t="s">
        <v>546</v>
      </c>
      <c r="DE1" t="s">
        <v>547</v>
      </c>
      <c r="DF1" t="s">
        <v>548</v>
      </c>
      <c r="DG1">
        <v>2016</v>
      </c>
      <c r="DH1" t="s">
        <v>549</v>
      </c>
      <c r="DI1" t="s">
        <v>550</v>
      </c>
      <c r="DJ1" t="s">
        <v>551</v>
      </c>
      <c r="DK1" t="s">
        <v>552</v>
      </c>
      <c r="DL1">
        <v>2017</v>
      </c>
      <c r="DM1" t="s">
        <v>553</v>
      </c>
      <c r="DN1" t="s">
        <v>554</v>
      </c>
      <c r="DO1" t="s">
        <v>555</v>
      </c>
      <c r="DP1" t="s">
        <v>556</v>
      </c>
      <c r="DQ1">
        <v>2018</v>
      </c>
      <c r="DR1" t="s">
        <v>557</v>
      </c>
      <c r="DS1" t="s">
        <v>558</v>
      </c>
      <c r="DT1" t="s">
        <v>559</v>
      </c>
      <c r="DU1" t="s">
        <v>560</v>
      </c>
      <c r="DV1">
        <v>2019</v>
      </c>
      <c r="DW1" t="s">
        <v>561</v>
      </c>
      <c r="DX1" t="s">
        <v>562</v>
      </c>
      <c r="DY1" t="s">
        <v>563</v>
      </c>
      <c r="DZ1" t="s">
        <v>564</v>
      </c>
      <c r="EA1">
        <v>2020</v>
      </c>
      <c r="EB1" t="s">
        <v>565</v>
      </c>
      <c r="EC1" t="s">
        <v>566</v>
      </c>
      <c r="ED1" t="s">
        <v>567</v>
      </c>
      <c r="EE1" t="s">
        <v>568</v>
      </c>
      <c r="EF1">
        <v>2021</v>
      </c>
      <c r="EG1" t="s">
        <v>569</v>
      </c>
      <c r="EH1" t="s">
        <v>570</v>
      </c>
      <c r="EI1" t="s">
        <v>571</v>
      </c>
      <c r="EJ1" t="s">
        <v>572</v>
      </c>
      <c r="EK1">
        <v>2022</v>
      </c>
      <c r="EL1" t="s">
        <v>573</v>
      </c>
      <c r="EM1" t="s">
        <v>574</v>
      </c>
      <c r="EN1" t="s">
        <v>575</v>
      </c>
      <c r="EO1" t="s">
        <v>576</v>
      </c>
      <c r="EP1">
        <v>2023</v>
      </c>
      <c r="EQ1" t="s">
        <v>577</v>
      </c>
      <c r="ER1" t="s">
        <v>578</v>
      </c>
      <c r="ES1" t="s">
        <v>579</v>
      </c>
      <c r="ET1" t="s">
        <v>580</v>
      </c>
      <c r="EU1">
        <v>2024</v>
      </c>
      <c r="EV1" t="s">
        <v>581</v>
      </c>
      <c r="EW1" t="s">
        <v>582</v>
      </c>
      <c r="EX1" t="s">
        <v>583</v>
      </c>
      <c r="EY1" t="s">
        <v>584</v>
      </c>
      <c r="EZ1">
        <v>2025</v>
      </c>
      <c r="FA1" t="s">
        <v>585</v>
      </c>
      <c r="FB1" t="s">
        <v>586</v>
      </c>
      <c r="FC1" t="s">
        <v>587</v>
      </c>
      <c r="FD1" t="s">
        <v>588</v>
      </c>
      <c r="FE1">
        <v>2026</v>
      </c>
      <c r="FF1" t="s">
        <v>1921</v>
      </c>
      <c r="FG1" t="s">
        <v>1922</v>
      </c>
      <c r="FH1" t="s">
        <v>1923</v>
      </c>
      <c r="FI1" t="s">
        <v>1924</v>
      </c>
      <c r="FJ1">
        <v>2027</v>
      </c>
      <c r="FK1" t="s">
        <v>1925</v>
      </c>
      <c r="FL1" t="s">
        <v>1926</v>
      </c>
      <c r="FM1" t="s">
        <v>1927</v>
      </c>
      <c r="FN1" t="s">
        <v>1928</v>
      </c>
      <c r="FO1">
        <v>2028</v>
      </c>
      <c r="FP1" t="s">
        <v>2077</v>
      </c>
      <c r="FQ1" t="s">
        <v>2078</v>
      </c>
      <c r="FR1" t="s">
        <v>2079</v>
      </c>
      <c r="FS1" t="s">
        <v>2080</v>
      </c>
      <c r="FT1">
        <v>2029</v>
      </c>
    </row>
    <row r="4" spans="1:176">
      <c r="A4" t="s">
        <v>492</v>
      </c>
    </row>
    <row r="5" spans="1:176">
      <c r="A5" t="s">
        <v>589</v>
      </c>
    </row>
    <row r="6" spans="1:176">
      <c r="B6" t="s">
        <v>590</v>
      </c>
      <c r="C6" t="s">
        <v>590</v>
      </c>
      <c r="E6" t="s">
        <v>591</v>
      </c>
    </row>
    <row r="7" spans="1:176">
      <c r="B7" t="s">
        <v>592</v>
      </c>
      <c r="C7" t="s">
        <v>593</v>
      </c>
      <c r="E7" t="s">
        <v>379</v>
      </c>
    </row>
    <row r="8" spans="1:176">
      <c r="A8" t="s">
        <v>594</v>
      </c>
    </row>
    <row r="9" spans="1:176">
      <c r="B9" t="s">
        <v>595</v>
      </c>
      <c r="C9" t="s">
        <v>596</v>
      </c>
    </row>
    <row r="10" spans="1:176">
      <c r="A10" t="s">
        <v>30</v>
      </c>
    </row>
    <row r="11" spans="1:176">
      <c r="B11" t="s">
        <v>597</v>
      </c>
      <c r="C11" t="s">
        <v>368</v>
      </c>
    </row>
    <row r="12" spans="1:176">
      <c r="B12" t="s">
        <v>598</v>
      </c>
      <c r="C12" t="s">
        <v>599</v>
      </c>
    </row>
    <row r="13" spans="1:176">
      <c r="B13" t="s">
        <v>600</v>
      </c>
      <c r="C13" t="s">
        <v>601</v>
      </c>
    </row>
    <row r="14" spans="1:176">
      <c r="B14" t="s">
        <v>602</v>
      </c>
      <c r="C14" t="s">
        <v>603</v>
      </c>
    </row>
    <row r="15" spans="1:176">
      <c r="B15" t="s">
        <v>604</v>
      </c>
      <c r="C15" t="s">
        <v>605</v>
      </c>
    </row>
    <row r="16" spans="1:176">
      <c r="B16" t="s">
        <v>606</v>
      </c>
      <c r="C16" t="s">
        <v>607</v>
      </c>
    </row>
    <row r="17" spans="1:3">
      <c r="B17" t="s">
        <v>608</v>
      </c>
      <c r="C17" t="s">
        <v>609</v>
      </c>
    </row>
    <row r="18" spans="1:3">
      <c r="B18" t="s">
        <v>610</v>
      </c>
      <c r="C18" t="s">
        <v>611</v>
      </c>
    </row>
    <row r="19" spans="1:3">
      <c r="B19" t="s">
        <v>612</v>
      </c>
      <c r="C19" t="s">
        <v>613</v>
      </c>
    </row>
    <row r="20" spans="1:3">
      <c r="B20" t="s">
        <v>614</v>
      </c>
      <c r="C20" t="s">
        <v>615</v>
      </c>
    </row>
    <row r="21" spans="1:3">
      <c r="B21" t="s">
        <v>616</v>
      </c>
      <c r="C21" t="s">
        <v>617</v>
      </c>
    </row>
    <row r="22" spans="1:3">
      <c r="B22" t="s">
        <v>179</v>
      </c>
      <c r="C22" t="s">
        <v>618</v>
      </c>
    </row>
    <row r="23" spans="1:3">
      <c r="B23" t="s">
        <v>619</v>
      </c>
      <c r="C23" t="s">
        <v>620</v>
      </c>
    </row>
    <row r="24" spans="1:3">
      <c r="B24" t="s">
        <v>621</v>
      </c>
      <c r="C24" t="s">
        <v>622</v>
      </c>
    </row>
    <row r="25" spans="1:3">
      <c r="B25" t="s">
        <v>623</v>
      </c>
      <c r="C25" t="s">
        <v>624</v>
      </c>
    </row>
    <row r="26" spans="1:3">
      <c r="B26" t="s">
        <v>625</v>
      </c>
      <c r="C26" t="s">
        <v>626</v>
      </c>
    </row>
    <row r="27" spans="1:3">
      <c r="B27" t="s">
        <v>627</v>
      </c>
      <c r="C27" t="s">
        <v>628</v>
      </c>
    </row>
    <row r="28" spans="1:3">
      <c r="B28" t="s">
        <v>629</v>
      </c>
      <c r="C28" t="s">
        <v>630</v>
      </c>
    </row>
    <row r="29" spans="1:3">
      <c r="B29" t="s">
        <v>631</v>
      </c>
      <c r="C29" t="s">
        <v>632</v>
      </c>
    </row>
    <row r="30" spans="1:3">
      <c r="B30" t="s">
        <v>633</v>
      </c>
      <c r="C30" t="s">
        <v>634</v>
      </c>
    </row>
    <row r="31" spans="1:3">
      <c r="A31" t="s">
        <v>635</v>
      </c>
    </row>
    <row r="32" spans="1:3">
      <c r="B32" t="s">
        <v>636</v>
      </c>
      <c r="C32" t="s">
        <v>637</v>
      </c>
    </row>
    <row r="33" spans="2:3">
      <c r="B33" t="s">
        <v>638</v>
      </c>
      <c r="C33" t="s">
        <v>639</v>
      </c>
    </row>
    <row r="34" spans="2:3">
      <c r="B34" t="s">
        <v>640</v>
      </c>
      <c r="C34" t="s">
        <v>641</v>
      </c>
    </row>
    <row r="35" spans="2:3">
      <c r="B35" t="s">
        <v>642</v>
      </c>
      <c r="C35" t="s">
        <v>643</v>
      </c>
    </row>
    <row r="36" spans="2:3">
      <c r="B36" t="s">
        <v>644</v>
      </c>
      <c r="C36" t="s">
        <v>645</v>
      </c>
    </row>
    <row r="37" spans="2:3">
      <c r="B37" t="s">
        <v>646</v>
      </c>
      <c r="C37" t="s">
        <v>647</v>
      </c>
    </row>
    <row r="38" spans="2:3">
      <c r="B38" t="s">
        <v>648</v>
      </c>
      <c r="C38" t="s">
        <v>649</v>
      </c>
    </row>
    <row r="39" spans="2:3">
      <c r="B39" t="s">
        <v>650</v>
      </c>
      <c r="C39" t="s">
        <v>651</v>
      </c>
    </row>
    <row r="40" spans="2:3">
      <c r="B40" t="s">
        <v>652</v>
      </c>
      <c r="C40" t="s">
        <v>653</v>
      </c>
    </row>
    <row r="41" spans="2:3">
      <c r="B41" t="s">
        <v>654</v>
      </c>
      <c r="C41" t="s">
        <v>655</v>
      </c>
    </row>
    <row r="42" spans="2:3">
      <c r="B42" t="s">
        <v>656</v>
      </c>
      <c r="C42" t="s">
        <v>657</v>
      </c>
    </row>
    <row r="43" spans="2:3">
      <c r="B43" t="s">
        <v>658</v>
      </c>
      <c r="C43" t="s">
        <v>659</v>
      </c>
    </row>
    <row r="44" spans="2:3">
      <c r="B44" t="s">
        <v>660</v>
      </c>
      <c r="C44" t="s">
        <v>661</v>
      </c>
    </row>
    <row r="45" spans="2:3">
      <c r="B45" t="s">
        <v>662</v>
      </c>
      <c r="C45" t="s">
        <v>663</v>
      </c>
    </row>
    <row r="46" spans="2:3">
      <c r="B46" t="s">
        <v>664</v>
      </c>
      <c r="C46" t="s">
        <v>665</v>
      </c>
    </row>
    <row r="47" spans="2:3">
      <c r="B47" t="s">
        <v>666</v>
      </c>
      <c r="C47" t="s">
        <v>667</v>
      </c>
    </row>
    <row r="48" spans="2:3">
      <c r="B48" t="s">
        <v>668</v>
      </c>
      <c r="C48" t="s">
        <v>669</v>
      </c>
    </row>
    <row r="49" spans="1:3">
      <c r="B49" t="s">
        <v>670</v>
      </c>
      <c r="C49" t="s">
        <v>671</v>
      </c>
    </row>
    <row r="50" spans="1:3">
      <c r="B50" t="s">
        <v>672</v>
      </c>
      <c r="C50" t="s">
        <v>673</v>
      </c>
    </row>
    <row r="51" spans="1:3">
      <c r="B51" t="s">
        <v>674</v>
      </c>
      <c r="C51" t="s">
        <v>675</v>
      </c>
    </row>
    <row r="52" spans="1:3">
      <c r="B52" t="s">
        <v>676</v>
      </c>
      <c r="C52" t="s">
        <v>677</v>
      </c>
    </row>
    <row r="53" spans="1:3">
      <c r="A53" t="s">
        <v>47</v>
      </c>
    </row>
    <row r="54" spans="1:3">
      <c r="B54" t="s">
        <v>678</v>
      </c>
      <c r="C54" t="s">
        <v>679</v>
      </c>
    </row>
    <row r="55" spans="1:3">
      <c r="B55" t="s">
        <v>680</v>
      </c>
      <c r="C55" t="s">
        <v>681</v>
      </c>
    </row>
    <row r="56" spans="1:3">
      <c r="B56" t="s">
        <v>682</v>
      </c>
      <c r="C56" t="s">
        <v>683</v>
      </c>
    </row>
    <row r="57" spans="1:3">
      <c r="B57" t="s">
        <v>684</v>
      </c>
      <c r="C57" t="s">
        <v>685</v>
      </c>
    </row>
    <row r="58" spans="1:3">
      <c r="B58" t="s">
        <v>686</v>
      </c>
      <c r="C58" t="s">
        <v>687</v>
      </c>
    </row>
    <row r="59" spans="1:3">
      <c r="B59" t="s">
        <v>688</v>
      </c>
      <c r="C59" t="s">
        <v>689</v>
      </c>
    </row>
    <row r="60" spans="1:3">
      <c r="B60" t="s">
        <v>690</v>
      </c>
      <c r="C60" t="s">
        <v>691</v>
      </c>
    </row>
    <row r="61" spans="1:3">
      <c r="B61" t="s">
        <v>692</v>
      </c>
      <c r="C61" t="s">
        <v>693</v>
      </c>
    </row>
    <row r="62" spans="1:3">
      <c r="B62" t="s">
        <v>694</v>
      </c>
      <c r="C62" t="s">
        <v>695</v>
      </c>
    </row>
    <row r="63" spans="1:3">
      <c r="B63" t="s">
        <v>696</v>
      </c>
      <c r="C63" t="s">
        <v>697</v>
      </c>
    </row>
    <row r="64" spans="1:3">
      <c r="B64" t="s">
        <v>698</v>
      </c>
      <c r="C64" t="s">
        <v>699</v>
      </c>
    </row>
    <row r="65" spans="2:3">
      <c r="B65" t="s">
        <v>700</v>
      </c>
      <c r="C65" t="s">
        <v>701</v>
      </c>
    </row>
    <row r="66" spans="2:3">
      <c r="B66" t="s">
        <v>702</v>
      </c>
      <c r="C66" t="s">
        <v>703</v>
      </c>
    </row>
    <row r="67" spans="2:3">
      <c r="B67" t="s">
        <v>704</v>
      </c>
      <c r="C67" t="s">
        <v>705</v>
      </c>
    </row>
    <row r="68" spans="2:3">
      <c r="B68" t="s">
        <v>706</v>
      </c>
      <c r="C68" t="s">
        <v>707</v>
      </c>
    </row>
    <row r="69" spans="2:3">
      <c r="B69" t="s">
        <v>708</v>
      </c>
      <c r="C69" t="s">
        <v>709</v>
      </c>
    </row>
    <row r="70" spans="2:3">
      <c r="B70" t="s">
        <v>710</v>
      </c>
      <c r="C70" t="s">
        <v>711</v>
      </c>
    </row>
    <row r="71" spans="2:3">
      <c r="B71" t="s">
        <v>712</v>
      </c>
      <c r="C71" t="s">
        <v>713</v>
      </c>
    </row>
    <row r="72" spans="2:3">
      <c r="B72" t="s">
        <v>714</v>
      </c>
      <c r="C72" t="s">
        <v>715</v>
      </c>
    </row>
    <row r="73" spans="2:3">
      <c r="B73" t="s">
        <v>716</v>
      </c>
      <c r="C73" t="s">
        <v>717</v>
      </c>
    </row>
    <row r="74" spans="2:3">
      <c r="B74" t="s">
        <v>718</v>
      </c>
      <c r="C74" t="s">
        <v>719</v>
      </c>
    </row>
    <row r="75" spans="2:3">
      <c r="B75" t="s">
        <v>720</v>
      </c>
      <c r="C75" t="s">
        <v>721</v>
      </c>
    </row>
    <row r="76" spans="2:3">
      <c r="B76" t="s">
        <v>722</v>
      </c>
      <c r="C76" t="s">
        <v>723</v>
      </c>
    </row>
    <row r="77" spans="2:3">
      <c r="B77" t="s">
        <v>724</v>
      </c>
      <c r="C77" t="s">
        <v>725</v>
      </c>
    </row>
    <row r="78" spans="2:3">
      <c r="B78" t="s">
        <v>726</v>
      </c>
      <c r="C78" t="s">
        <v>727</v>
      </c>
    </row>
    <row r="79" spans="2:3">
      <c r="B79" t="s">
        <v>728</v>
      </c>
      <c r="C79" t="s">
        <v>729</v>
      </c>
    </row>
    <row r="80" spans="2:3">
      <c r="B80" t="s">
        <v>730</v>
      </c>
      <c r="C80" t="s">
        <v>731</v>
      </c>
    </row>
    <row r="81" spans="1:4">
      <c r="B81" t="s">
        <v>732</v>
      </c>
      <c r="C81" t="s">
        <v>733</v>
      </c>
    </row>
    <row r="82" spans="1:4">
      <c r="B82" t="s">
        <v>734</v>
      </c>
      <c r="C82" t="s">
        <v>735</v>
      </c>
    </row>
    <row r="83" spans="1:4">
      <c r="B83" t="s">
        <v>736</v>
      </c>
      <c r="C83" t="s">
        <v>737</v>
      </c>
      <c r="D83">
        <v>-2146826259</v>
      </c>
    </row>
    <row r="84" spans="1:4">
      <c r="B84" t="s">
        <v>738</v>
      </c>
      <c r="C84" t="s">
        <v>739</v>
      </c>
      <c r="D84">
        <v>-2146826259</v>
      </c>
    </row>
    <row r="85" spans="1:4">
      <c r="A85" t="s">
        <v>740</v>
      </c>
    </row>
    <row r="86" spans="1:4">
      <c r="B86" t="s">
        <v>741</v>
      </c>
      <c r="C86" t="s">
        <v>742</v>
      </c>
    </row>
    <row r="87" spans="1:4">
      <c r="B87" t="s">
        <v>743</v>
      </c>
      <c r="C87" t="s">
        <v>744</v>
      </c>
    </row>
    <row r="88" spans="1:4">
      <c r="B88" t="s">
        <v>745</v>
      </c>
      <c r="C88" t="s">
        <v>746</v>
      </c>
    </row>
    <row r="89" spans="1:4">
      <c r="B89" t="s">
        <v>747</v>
      </c>
      <c r="C89" t="s">
        <v>748</v>
      </c>
    </row>
    <row r="90" spans="1:4">
      <c r="B90" t="s">
        <v>749</v>
      </c>
      <c r="C90" t="s">
        <v>750</v>
      </c>
      <c r="D90">
        <v>-2146826259</v>
      </c>
    </row>
    <row r="91" spans="1:4">
      <c r="B91" t="s">
        <v>751</v>
      </c>
      <c r="C91" t="s">
        <v>752</v>
      </c>
      <c r="D91">
        <v>-2146826259</v>
      </c>
    </row>
    <row r="92" spans="1:4">
      <c r="B92" t="s">
        <v>753</v>
      </c>
      <c r="C92" t="s">
        <v>754</v>
      </c>
      <c r="D92">
        <v>-2146826259</v>
      </c>
    </row>
    <row r="93" spans="1:4">
      <c r="B93" t="s">
        <v>755</v>
      </c>
      <c r="C93" t="s">
        <v>756</v>
      </c>
      <c r="D93">
        <v>-2146826259</v>
      </c>
    </row>
    <row r="94" spans="1:4">
      <c r="B94" t="s">
        <v>757</v>
      </c>
      <c r="C94" t="s">
        <v>758</v>
      </c>
      <c r="D94">
        <v>-2146826259</v>
      </c>
    </row>
    <row r="95" spans="1:4">
      <c r="B95" t="s">
        <v>759</v>
      </c>
      <c r="C95" t="s">
        <v>760</v>
      </c>
      <c r="D95">
        <v>-2146826259</v>
      </c>
    </row>
    <row r="96" spans="1:4">
      <c r="B96" t="s">
        <v>761</v>
      </c>
      <c r="C96" t="s">
        <v>762</v>
      </c>
    </row>
    <row r="97" spans="1:4">
      <c r="B97" t="s">
        <v>763</v>
      </c>
      <c r="C97" t="s">
        <v>764</v>
      </c>
      <c r="D97">
        <v>-2146826259</v>
      </c>
    </row>
    <row r="98" spans="1:4">
      <c r="B98" t="s">
        <v>765</v>
      </c>
      <c r="C98" t="s">
        <v>766</v>
      </c>
      <c r="D98">
        <v>-2146826259</v>
      </c>
    </row>
    <row r="99" spans="1:4">
      <c r="B99" t="s">
        <v>767</v>
      </c>
      <c r="C99" t="s">
        <v>768</v>
      </c>
      <c r="D99">
        <v>-2146826259</v>
      </c>
    </row>
    <row r="100" spans="1:4">
      <c r="B100" t="s">
        <v>769</v>
      </c>
      <c r="C100" t="s">
        <v>770</v>
      </c>
      <c r="D100">
        <v>-2146826259</v>
      </c>
    </row>
    <row r="101" spans="1:4">
      <c r="B101" t="s">
        <v>771</v>
      </c>
      <c r="C101" t="s">
        <v>772</v>
      </c>
      <c r="D101">
        <v>-2146826259</v>
      </c>
    </row>
    <row r="102" spans="1:4">
      <c r="B102" t="s">
        <v>773</v>
      </c>
      <c r="C102" t="s">
        <v>774</v>
      </c>
    </row>
    <row r="103" spans="1:4">
      <c r="B103" t="s">
        <v>734</v>
      </c>
      <c r="C103" t="s">
        <v>775</v>
      </c>
      <c r="D103">
        <v>-2146826259</v>
      </c>
    </row>
    <row r="104" spans="1:4">
      <c r="B104" t="s">
        <v>776</v>
      </c>
      <c r="C104" t="s">
        <v>777</v>
      </c>
      <c r="D104">
        <v>-2146826259</v>
      </c>
    </row>
    <row r="105" spans="1:4">
      <c r="A105" t="s">
        <v>43</v>
      </c>
    </row>
    <row r="106" spans="1:4">
      <c r="B106" t="s">
        <v>778</v>
      </c>
      <c r="C106" t="s">
        <v>779</v>
      </c>
      <c r="D106">
        <v>-2146826259</v>
      </c>
    </row>
    <row r="107" spans="1:4">
      <c r="B107" t="s">
        <v>780</v>
      </c>
      <c r="C107" t="s">
        <v>781</v>
      </c>
      <c r="D107">
        <v>-2146826259</v>
      </c>
    </row>
    <row r="108" spans="1:4">
      <c r="B108" t="s">
        <v>782</v>
      </c>
      <c r="C108" t="s">
        <v>783</v>
      </c>
      <c r="D108">
        <v>-2146826259</v>
      </c>
    </row>
    <row r="109" spans="1:4">
      <c r="B109" t="s">
        <v>784</v>
      </c>
      <c r="C109" t="s">
        <v>785</v>
      </c>
      <c r="D109">
        <v>-2146826259</v>
      </c>
    </row>
    <row r="110" spans="1:4">
      <c r="B110" t="s">
        <v>786</v>
      </c>
      <c r="C110" t="s">
        <v>787</v>
      </c>
      <c r="D110">
        <v>-2146826259</v>
      </c>
    </row>
    <row r="111" spans="1:4">
      <c r="B111" t="s">
        <v>788</v>
      </c>
      <c r="C111" t="s">
        <v>362</v>
      </c>
      <c r="D111">
        <v>-2146826259</v>
      </c>
    </row>
    <row r="112" spans="1:4">
      <c r="B112" t="s">
        <v>231</v>
      </c>
      <c r="C112" t="s">
        <v>789</v>
      </c>
      <c r="D112">
        <v>-2146826259</v>
      </c>
    </row>
    <row r="113" spans="1:4">
      <c r="B113" t="s">
        <v>790</v>
      </c>
      <c r="C113" t="s">
        <v>791</v>
      </c>
      <c r="D113">
        <v>-2146826259</v>
      </c>
    </row>
    <row r="114" spans="1:4">
      <c r="B114" t="s">
        <v>792</v>
      </c>
      <c r="C114" t="s">
        <v>793</v>
      </c>
      <c r="D114">
        <v>-2146826259</v>
      </c>
    </row>
    <row r="115" spans="1:4">
      <c r="B115" t="s">
        <v>794</v>
      </c>
      <c r="C115" t="s">
        <v>795</v>
      </c>
      <c r="D115">
        <v>-2146826259</v>
      </c>
    </row>
    <row r="116" spans="1:4">
      <c r="B116" t="s">
        <v>796</v>
      </c>
      <c r="C116" t="s">
        <v>797</v>
      </c>
      <c r="D116">
        <v>-2146826259</v>
      </c>
    </row>
    <row r="117" spans="1:4">
      <c r="B117" t="s">
        <v>798</v>
      </c>
      <c r="C117" t="s">
        <v>799</v>
      </c>
      <c r="D117">
        <v>-2146826259</v>
      </c>
    </row>
    <row r="118" spans="1:4">
      <c r="B118" t="s">
        <v>800</v>
      </c>
      <c r="C118" t="s">
        <v>801</v>
      </c>
      <c r="D118">
        <v>-2146826259</v>
      </c>
    </row>
    <row r="119" spans="1:4">
      <c r="B119" t="s">
        <v>802</v>
      </c>
      <c r="C119" t="s">
        <v>803</v>
      </c>
      <c r="D119">
        <v>-2146826259</v>
      </c>
    </row>
    <row r="120" spans="1:4">
      <c r="B120" t="s">
        <v>804</v>
      </c>
      <c r="C120" t="s">
        <v>805</v>
      </c>
      <c r="D120">
        <v>-2146826259</v>
      </c>
    </row>
    <row r="121" spans="1:4">
      <c r="B121" t="s">
        <v>806</v>
      </c>
      <c r="C121" t="s">
        <v>807</v>
      </c>
      <c r="D121">
        <v>-2146826259</v>
      </c>
    </row>
    <row r="122" spans="1:4">
      <c r="B122" t="s">
        <v>808</v>
      </c>
      <c r="C122" t="s">
        <v>809</v>
      </c>
      <c r="D122">
        <v>-2146826259</v>
      </c>
    </row>
    <row r="123" spans="1:4">
      <c r="A123" t="s">
        <v>810</v>
      </c>
    </row>
    <row r="124" spans="1:4">
      <c r="B124" t="s">
        <v>811</v>
      </c>
      <c r="C124" t="s">
        <v>812</v>
      </c>
      <c r="D124">
        <v>-2146826259</v>
      </c>
    </row>
    <row r="125" spans="1:4">
      <c r="B125" t="s">
        <v>813</v>
      </c>
      <c r="C125" t="s">
        <v>814</v>
      </c>
      <c r="D125">
        <v>-2146826259</v>
      </c>
    </row>
    <row r="126" spans="1:4">
      <c r="B126" t="s">
        <v>815</v>
      </c>
      <c r="C126" t="s">
        <v>816</v>
      </c>
      <c r="D126">
        <v>-2146826259</v>
      </c>
    </row>
    <row r="127" spans="1:4">
      <c r="B127" t="s">
        <v>817</v>
      </c>
      <c r="C127" t="s">
        <v>818</v>
      </c>
      <c r="D127">
        <v>-2146826259</v>
      </c>
    </row>
    <row r="128" spans="1:4">
      <c r="B128" t="s">
        <v>819</v>
      </c>
      <c r="C128" t="s">
        <v>820</v>
      </c>
      <c r="D128">
        <v>-2146826259</v>
      </c>
    </row>
    <row r="129" spans="1:4">
      <c r="B129" t="s">
        <v>821</v>
      </c>
      <c r="C129" t="s">
        <v>822</v>
      </c>
      <c r="D129">
        <v>-2146826259</v>
      </c>
    </row>
    <row r="130" spans="1:4">
      <c r="B130" t="s">
        <v>823</v>
      </c>
      <c r="C130" t="s">
        <v>824</v>
      </c>
      <c r="D130">
        <v>-2146826259</v>
      </c>
    </row>
    <row r="131" spans="1:4">
      <c r="B131" t="s">
        <v>825</v>
      </c>
      <c r="C131" t="s">
        <v>826</v>
      </c>
      <c r="D131">
        <v>-2146826259</v>
      </c>
    </row>
    <row r="132" spans="1:4">
      <c r="B132" t="s">
        <v>827</v>
      </c>
      <c r="C132" t="s">
        <v>828</v>
      </c>
      <c r="D132">
        <v>-2146826259</v>
      </c>
    </row>
    <row r="133" spans="1:4">
      <c r="B133" t="s">
        <v>829</v>
      </c>
      <c r="C133" t="s">
        <v>830</v>
      </c>
      <c r="D133">
        <v>-2146826259</v>
      </c>
    </row>
    <row r="134" spans="1:4">
      <c r="B134" t="s">
        <v>831</v>
      </c>
      <c r="C134" t="s">
        <v>832</v>
      </c>
      <c r="D134">
        <v>-2146826259</v>
      </c>
    </row>
    <row r="135" spans="1:4">
      <c r="B135" t="s">
        <v>833</v>
      </c>
      <c r="C135" t="s">
        <v>834</v>
      </c>
      <c r="D135">
        <v>-2146826259</v>
      </c>
    </row>
    <row r="136" spans="1:4">
      <c r="B136" t="s">
        <v>835</v>
      </c>
      <c r="C136" t="s">
        <v>836</v>
      </c>
      <c r="D136">
        <v>-2146826259</v>
      </c>
    </row>
    <row r="137" spans="1:4">
      <c r="B137" t="s">
        <v>837</v>
      </c>
      <c r="C137" t="s">
        <v>838</v>
      </c>
      <c r="D137">
        <v>-2146826259</v>
      </c>
    </row>
    <row r="138" spans="1:4">
      <c r="A138" t="s">
        <v>839</v>
      </c>
    </row>
    <row r="139" spans="1:4">
      <c r="B139" t="s">
        <v>840</v>
      </c>
      <c r="C139" t="s">
        <v>841</v>
      </c>
      <c r="D139">
        <v>-2146826259</v>
      </c>
    </row>
    <row r="140" spans="1:4">
      <c r="B140" t="s">
        <v>842</v>
      </c>
      <c r="C140" t="s">
        <v>843</v>
      </c>
      <c r="D140">
        <v>-2146826259</v>
      </c>
    </row>
    <row r="141" spans="1:4">
      <c r="B141" t="s">
        <v>844</v>
      </c>
      <c r="C141" t="s">
        <v>845</v>
      </c>
    </row>
    <row r="142" spans="1:4">
      <c r="B142" t="s">
        <v>846</v>
      </c>
      <c r="C142" t="s">
        <v>847</v>
      </c>
      <c r="D142">
        <v>-2146826259</v>
      </c>
    </row>
    <row r="143" spans="1:4">
      <c r="B143" t="s">
        <v>848</v>
      </c>
      <c r="C143" t="s">
        <v>849</v>
      </c>
      <c r="D143">
        <v>-2146826259</v>
      </c>
    </row>
    <row r="144" spans="1:4">
      <c r="B144" t="s">
        <v>850</v>
      </c>
      <c r="C144" t="s">
        <v>851</v>
      </c>
      <c r="D144">
        <v>-2146826259</v>
      </c>
    </row>
    <row r="145" spans="2:4">
      <c r="B145" t="s">
        <v>852</v>
      </c>
      <c r="C145" t="s">
        <v>853</v>
      </c>
      <c r="D145">
        <v>-2146826259</v>
      </c>
    </row>
    <row r="146" spans="2:4">
      <c r="B146" t="s">
        <v>854</v>
      </c>
      <c r="C146" t="s">
        <v>855</v>
      </c>
    </row>
    <row r="147" spans="2:4">
      <c r="B147" t="s">
        <v>856</v>
      </c>
      <c r="C147" t="s">
        <v>857</v>
      </c>
      <c r="D147">
        <v>-2146826259</v>
      </c>
    </row>
    <row r="148" spans="2:4">
      <c r="B148" t="s">
        <v>858</v>
      </c>
      <c r="C148" t="s">
        <v>859</v>
      </c>
    </row>
    <row r="149" spans="2:4">
      <c r="B149" t="s">
        <v>860</v>
      </c>
      <c r="C149" t="s">
        <v>861</v>
      </c>
      <c r="D149">
        <v>-2146826259</v>
      </c>
    </row>
    <row r="150" spans="2:4">
      <c r="B150" t="s">
        <v>862</v>
      </c>
      <c r="C150" t="s">
        <v>863</v>
      </c>
    </row>
    <row r="151" spans="2:4">
      <c r="B151" t="s">
        <v>864</v>
      </c>
      <c r="C151" t="s">
        <v>865</v>
      </c>
      <c r="D151">
        <v>-2146826259</v>
      </c>
    </row>
    <row r="152" spans="2:4">
      <c r="B152" t="s">
        <v>866</v>
      </c>
      <c r="C152" t="s">
        <v>867</v>
      </c>
    </row>
    <row r="153" spans="2:4">
      <c r="B153" t="s">
        <v>868</v>
      </c>
      <c r="C153" t="s">
        <v>869</v>
      </c>
      <c r="D153">
        <v>-2146826259</v>
      </c>
    </row>
    <row r="154" spans="2:4">
      <c r="B154" t="s">
        <v>870</v>
      </c>
      <c r="C154" t="s">
        <v>871</v>
      </c>
    </row>
    <row r="155" spans="2:4">
      <c r="B155" t="s">
        <v>872</v>
      </c>
      <c r="C155" t="s">
        <v>873</v>
      </c>
      <c r="D155">
        <v>-2146826259</v>
      </c>
    </row>
    <row r="156" spans="2:4">
      <c r="B156" t="s">
        <v>874</v>
      </c>
      <c r="C156" t="s">
        <v>875</v>
      </c>
    </row>
    <row r="157" spans="2:4">
      <c r="B157" t="s">
        <v>876</v>
      </c>
      <c r="C157" t="s">
        <v>877</v>
      </c>
      <c r="D157">
        <v>-2146826259</v>
      </c>
    </row>
    <row r="158" spans="2:4">
      <c r="B158" t="s">
        <v>878</v>
      </c>
      <c r="C158" t="s">
        <v>879</v>
      </c>
    </row>
    <row r="159" spans="2:4">
      <c r="B159" t="s">
        <v>880</v>
      </c>
      <c r="C159" t="s">
        <v>881</v>
      </c>
      <c r="D159">
        <v>-2146826259</v>
      </c>
    </row>
    <row r="160" spans="2:4">
      <c r="B160" t="s">
        <v>882</v>
      </c>
      <c r="C160" t="s">
        <v>883</v>
      </c>
    </row>
    <row r="161" spans="1:4">
      <c r="B161" t="s">
        <v>884</v>
      </c>
      <c r="C161" t="s">
        <v>885</v>
      </c>
      <c r="D161">
        <v>-2146826259</v>
      </c>
    </row>
    <row r="162" spans="1:4">
      <c r="B162" t="s">
        <v>886</v>
      </c>
      <c r="C162" t="s">
        <v>887</v>
      </c>
    </row>
    <row r="163" spans="1:4">
      <c r="B163" t="s">
        <v>888</v>
      </c>
      <c r="C163" t="s">
        <v>889</v>
      </c>
      <c r="D163">
        <v>-2146826259</v>
      </c>
    </row>
    <row r="164" spans="1:4">
      <c r="B164" t="s">
        <v>890</v>
      </c>
      <c r="C164" t="s">
        <v>891</v>
      </c>
    </row>
    <row r="165" spans="1:4">
      <c r="B165" t="s">
        <v>892</v>
      </c>
      <c r="C165" t="s">
        <v>893</v>
      </c>
      <c r="D165">
        <v>-2146826259</v>
      </c>
    </row>
    <row r="166" spans="1:4">
      <c r="A166" t="s">
        <v>894</v>
      </c>
    </row>
    <row r="167" spans="1:4">
      <c r="B167" t="s">
        <v>895</v>
      </c>
      <c r="C167" t="s">
        <v>896</v>
      </c>
    </row>
    <row r="168" spans="1:4">
      <c r="B168" t="s">
        <v>897</v>
      </c>
      <c r="C168" t="s">
        <v>898</v>
      </c>
    </row>
    <row r="169" spans="1:4">
      <c r="B169" t="s">
        <v>899</v>
      </c>
      <c r="C169" t="s">
        <v>900</v>
      </c>
    </row>
    <row r="170" spans="1:4">
      <c r="B170" t="s">
        <v>901</v>
      </c>
      <c r="C170" t="s">
        <v>902</v>
      </c>
    </row>
    <row r="171" spans="1:4">
      <c r="B171" t="s">
        <v>903</v>
      </c>
      <c r="C171" t="s">
        <v>904</v>
      </c>
    </row>
    <row r="172" spans="1:4">
      <c r="B172" t="s">
        <v>905</v>
      </c>
      <c r="C172" t="s">
        <v>906</v>
      </c>
    </row>
    <row r="173" spans="1:4">
      <c r="B173" t="s">
        <v>907</v>
      </c>
      <c r="C173" t="s">
        <v>908</v>
      </c>
    </row>
    <row r="174" spans="1:4">
      <c r="B174" t="s">
        <v>909</v>
      </c>
      <c r="C174" t="s">
        <v>910</v>
      </c>
    </row>
    <row r="175" spans="1:4">
      <c r="B175" t="s">
        <v>911</v>
      </c>
      <c r="C175" t="s">
        <v>912</v>
      </c>
    </row>
    <row r="176" spans="1:4">
      <c r="B176" t="s">
        <v>913</v>
      </c>
      <c r="C176" t="s">
        <v>914</v>
      </c>
    </row>
    <row r="177" spans="2:3">
      <c r="B177" t="s">
        <v>915</v>
      </c>
      <c r="C177" t="s">
        <v>916</v>
      </c>
    </row>
    <row r="178" spans="2:3">
      <c r="B178" t="s">
        <v>917</v>
      </c>
      <c r="C178" t="s">
        <v>918</v>
      </c>
    </row>
    <row r="179" spans="2:3">
      <c r="B179" t="s">
        <v>919</v>
      </c>
      <c r="C179" t="s">
        <v>920</v>
      </c>
    </row>
    <row r="180" spans="2:3">
      <c r="B180" t="s">
        <v>921</v>
      </c>
      <c r="C180" t="s">
        <v>922</v>
      </c>
    </row>
    <row r="181" spans="2:3">
      <c r="B181" t="s">
        <v>923</v>
      </c>
      <c r="C181" t="s">
        <v>924</v>
      </c>
    </row>
    <row r="182" spans="2:3">
      <c r="B182" t="s">
        <v>925</v>
      </c>
      <c r="C182" t="s">
        <v>926</v>
      </c>
    </row>
    <row r="183" spans="2:3">
      <c r="B183" t="s">
        <v>927</v>
      </c>
      <c r="C183" t="s">
        <v>928</v>
      </c>
    </row>
    <row r="184" spans="2:3">
      <c r="B184" t="s">
        <v>929</v>
      </c>
      <c r="C184" t="s">
        <v>930</v>
      </c>
    </row>
    <row r="185" spans="2:3">
      <c r="B185" t="s">
        <v>931</v>
      </c>
      <c r="C185" t="s">
        <v>932</v>
      </c>
    </row>
    <row r="186" spans="2:3">
      <c r="B186" t="s">
        <v>933</v>
      </c>
      <c r="C186" t="s">
        <v>934</v>
      </c>
    </row>
    <row r="187" spans="2:3">
      <c r="B187" t="s">
        <v>935</v>
      </c>
      <c r="C187" t="s">
        <v>936</v>
      </c>
    </row>
    <row r="188" spans="2:3">
      <c r="B188" t="s">
        <v>937</v>
      </c>
      <c r="C188" t="s">
        <v>938</v>
      </c>
    </row>
    <row r="189" spans="2:3">
      <c r="B189" t="s">
        <v>939</v>
      </c>
      <c r="C189" t="s">
        <v>940</v>
      </c>
    </row>
    <row r="190" spans="2:3">
      <c r="B190" t="s">
        <v>941</v>
      </c>
      <c r="C190" t="s">
        <v>942</v>
      </c>
    </row>
    <row r="191" spans="2:3">
      <c r="B191" t="s">
        <v>943</v>
      </c>
      <c r="C191" t="s">
        <v>944</v>
      </c>
    </row>
    <row r="192" spans="2:3">
      <c r="B192" t="s">
        <v>945</v>
      </c>
      <c r="C192" t="s">
        <v>946</v>
      </c>
    </row>
    <row r="193" spans="2:3">
      <c r="B193" t="s">
        <v>947</v>
      </c>
      <c r="C193" t="s">
        <v>948</v>
      </c>
    </row>
    <row r="194" spans="2:3">
      <c r="B194" t="s">
        <v>949</v>
      </c>
      <c r="C194" t="s">
        <v>950</v>
      </c>
    </row>
    <row r="195" spans="2:3">
      <c r="B195" t="s">
        <v>951</v>
      </c>
      <c r="C195" t="s">
        <v>952</v>
      </c>
    </row>
    <row r="196" spans="2:3">
      <c r="B196" t="s">
        <v>953</v>
      </c>
      <c r="C196" t="s">
        <v>954</v>
      </c>
    </row>
    <row r="197" spans="2:3">
      <c r="B197" t="s">
        <v>955</v>
      </c>
      <c r="C197" t="s">
        <v>956</v>
      </c>
    </row>
    <row r="198" spans="2:3">
      <c r="B198" t="s">
        <v>957</v>
      </c>
      <c r="C198" t="s">
        <v>958</v>
      </c>
    </row>
    <row r="199" spans="2:3">
      <c r="B199" t="s">
        <v>959</v>
      </c>
      <c r="C199" t="s">
        <v>960</v>
      </c>
    </row>
    <row r="200" spans="2:3">
      <c r="B200" t="s">
        <v>961</v>
      </c>
      <c r="C200" t="s">
        <v>962</v>
      </c>
    </row>
    <row r="201" spans="2:3">
      <c r="B201" t="s">
        <v>963</v>
      </c>
      <c r="C201" t="s">
        <v>964</v>
      </c>
    </row>
    <row r="202" spans="2:3">
      <c r="B202" t="s">
        <v>965</v>
      </c>
      <c r="C202" t="s">
        <v>966</v>
      </c>
    </row>
    <row r="203" spans="2:3">
      <c r="B203" t="s">
        <v>967</v>
      </c>
      <c r="C203" t="s">
        <v>968</v>
      </c>
    </row>
    <row r="204" spans="2:3">
      <c r="B204" t="s">
        <v>969</v>
      </c>
      <c r="C204" t="s">
        <v>970</v>
      </c>
    </row>
    <row r="205" spans="2:3">
      <c r="B205" t="s">
        <v>971</v>
      </c>
      <c r="C205" t="s">
        <v>972</v>
      </c>
    </row>
    <row r="206" spans="2:3">
      <c r="B206" t="s">
        <v>973</v>
      </c>
      <c r="C206" t="s">
        <v>974</v>
      </c>
    </row>
    <row r="207" spans="2:3">
      <c r="B207" t="s">
        <v>975</v>
      </c>
      <c r="C207" t="s">
        <v>976</v>
      </c>
    </row>
    <row r="208" spans="2:3">
      <c r="B208" t="s">
        <v>977</v>
      </c>
      <c r="C208" t="s">
        <v>978</v>
      </c>
    </row>
    <row r="209" spans="2:3">
      <c r="B209" t="s">
        <v>979</v>
      </c>
      <c r="C209" t="s">
        <v>980</v>
      </c>
    </row>
    <row r="210" spans="2:3">
      <c r="B210" t="s">
        <v>981</v>
      </c>
      <c r="C210" t="s">
        <v>982</v>
      </c>
    </row>
    <row r="211" spans="2:3">
      <c r="B211" t="s">
        <v>983</v>
      </c>
      <c r="C211" t="s">
        <v>984</v>
      </c>
    </row>
    <row r="212" spans="2:3">
      <c r="B212" t="s">
        <v>985</v>
      </c>
      <c r="C212" t="s">
        <v>986</v>
      </c>
    </row>
    <row r="213" spans="2:3">
      <c r="B213" t="s">
        <v>987</v>
      </c>
      <c r="C213" t="s">
        <v>988</v>
      </c>
    </row>
    <row r="214" spans="2:3">
      <c r="B214" t="s">
        <v>989</v>
      </c>
      <c r="C214" t="s">
        <v>990</v>
      </c>
    </row>
    <row r="215" spans="2:3">
      <c r="B215" t="s">
        <v>991</v>
      </c>
      <c r="C215" t="s">
        <v>992</v>
      </c>
    </row>
    <row r="216" spans="2:3">
      <c r="B216" t="s">
        <v>993</v>
      </c>
      <c r="C216" t="s">
        <v>994</v>
      </c>
    </row>
    <row r="217" spans="2:3">
      <c r="B217" t="s">
        <v>995</v>
      </c>
      <c r="C217" t="s">
        <v>996</v>
      </c>
    </row>
    <row r="218" spans="2:3">
      <c r="B218" t="s">
        <v>997</v>
      </c>
      <c r="C218" t="s">
        <v>998</v>
      </c>
    </row>
    <row r="219" spans="2:3">
      <c r="B219" t="s">
        <v>999</v>
      </c>
      <c r="C219" t="s">
        <v>1000</v>
      </c>
    </row>
    <row r="220" spans="2:3">
      <c r="B220" t="s">
        <v>1001</v>
      </c>
      <c r="C220" t="s">
        <v>1002</v>
      </c>
    </row>
    <row r="221" spans="2:3">
      <c r="B221" t="s">
        <v>1003</v>
      </c>
      <c r="C221" t="s">
        <v>1004</v>
      </c>
    </row>
    <row r="222" spans="2:3">
      <c r="B222" t="s">
        <v>1005</v>
      </c>
      <c r="C222" t="s">
        <v>1006</v>
      </c>
    </row>
    <row r="223" spans="2:3">
      <c r="B223" t="s">
        <v>1007</v>
      </c>
      <c r="C223" t="s">
        <v>1008</v>
      </c>
    </row>
    <row r="224" spans="2:3">
      <c r="B224" t="s">
        <v>1009</v>
      </c>
      <c r="C224" t="s">
        <v>1010</v>
      </c>
    </row>
    <row r="225" spans="1:3">
      <c r="B225" t="s">
        <v>1011</v>
      </c>
      <c r="C225" t="s">
        <v>1012</v>
      </c>
    </row>
    <row r="226" spans="1:3">
      <c r="B226" t="s">
        <v>1013</v>
      </c>
      <c r="C226" t="s">
        <v>1014</v>
      </c>
    </row>
    <row r="227" spans="1:3">
      <c r="B227" t="s">
        <v>1015</v>
      </c>
      <c r="C227" t="s">
        <v>1016</v>
      </c>
    </row>
    <row r="228" spans="1:3">
      <c r="B228" t="s">
        <v>1017</v>
      </c>
      <c r="C228" t="s">
        <v>1018</v>
      </c>
    </row>
    <row r="229" spans="1:3">
      <c r="A229" t="s">
        <v>1019</v>
      </c>
    </row>
    <row r="230" spans="1:3">
      <c r="B230" t="s">
        <v>1020</v>
      </c>
      <c r="C230" t="s">
        <v>1021</v>
      </c>
    </row>
    <row r="231" spans="1:3">
      <c r="B231" t="s">
        <v>1022</v>
      </c>
      <c r="C231" t="s">
        <v>1023</v>
      </c>
    </row>
    <row r="232" spans="1:3">
      <c r="A232" t="s">
        <v>1024</v>
      </c>
    </row>
    <row r="233" spans="1:3">
      <c r="B233" t="s">
        <v>1025</v>
      </c>
      <c r="C233" t="s">
        <v>1026</v>
      </c>
    </row>
    <row r="234" spans="1:3">
      <c r="B234" t="s">
        <v>1027</v>
      </c>
      <c r="C234" t="s">
        <v>1028</v>
      </c>
    </row>
    <row r="235" spans="1:3">
      <c r="B235" t="s">
        <v>1029</v>
      </c>
      <c r="C235" t="s">
        <v>1030</v>
      </c>
    </row>
    <row r="236" spans="1:3">
      <c r="B236" t="s">
        <v>1031</v>
      </c>
      <c r="C236" t="s">
        <v>1032</v>
      </c>
    </row>
    <row r="237" spans="1:3">
      <c r="B237" t="s">
        <v>1033</v>
      </c>
      <c r="C237" t="s">
        <v>1034</v>
      </c>
    </row>
    <row r="238" spans="1:3">
      <c r="B238" t="s">
        <v>1035</v>
      </c>
      <c r="C238" t="s">
        <v>1036</v>
      </c>
    </row>
    <row r="239" spans="1:3">
      <c r="B239" t="s">
        <v>1037</v>
      </c>
      <c r="C239" t="s">
        <v>1038</v>
      </c>
    </row>
    <row r="240" spans="1:3">
      <c r="B240" t="s">
        <v>1039</v>
      </c>
      <c r="C240" t="s">
        <v>1040</v>
      </c>
    </row>
    <row r="241" spans="1:3">
      <c r="B241" t="s">
        <v>1041</v>
      </c>
      <c r="C241" t="s">
        <v>1042</v>
      </c>
    </row>
    <row r="242" spans="1:3">
      <c r="B242" t="s">
        <v>1043</v>
      </c>
      <c r="C242" t="s">
        <v>1044</v>
      </c>
    </row>
    <row r="243" spans="1:3">
      <c r="B243" t="s">
        <v>1045</v>
      </c>
      <c r="C243" t="s">
        <v>1046</v>
      </c>
    </row>
    <row r="244" spans="1:3">
      <c r="B244" t="s">
        <v>1047</v>
      </c>
      <c r="C244" t="s">
        <v>1048</v>
      </c>
    </row>
    <row r="245" spans="1:3">
      <c r="B245" t="s">
        <v>1049</v>
      </c>
      <c r="C245" t="s">
        <v>1050</v>
      </c>
    </row>
    <row r="246" spans="1:3">
      <c r="B246" t="s">
        <v>1051</v>
      </c>
      <c r="C246" t="s">
        <v>1052</v>
      </c>
    </row>
    <row r="247" spans="1:3">
      <c r="B247" t="s">
        <v>1053</v>
      </c>
      <c r="C247" t="s">
        <v>1054</v>
      </c>
    </row>
    <row r="248" spans="1:3">
      <c r="A248" t="s">
        <v>1055</v>
      </c>
    </row>
    <row r="249" spans="1:3">
      <c r="B249" t="s">
        <v>1056</v>
      </c>
      <c r="C249" t="s">
        <v>1057</v>
      </c>
    </row>
    <row r="250" spans="1:3">
      <c r="B250" t="s">
        <v>1058</v>
      </c>
      <c r="C250" t="s">
        <v>1059</v>
      </c>
    </row>
    <row r="251" spans="1:3">
      <c r="B251" t="s">
        <v>1060</v>
      </c>
      <c r="C251" t="s">
        <v>1061</v>
      </c>
    </row>
    <row r="252" spans="1:3">
      <c r="B252" t="s">
        <v>1062</v>
      </c>
      <c r="C252" t="s">
        <v>1063</v>
      </c>
    </row>
    <row r="253" spans="1:3">
      <c r="B253" t="s">
        <v>1064</v>
      </c>
      <c r="C253" t="s">
        <v>1065</v>
      </c>
    </row>
    <row r="254" spans="1:3">
      <c r="B254" t="s">
        <v>1066</v>
      </c>
      <c r="C254" t="s">
        <v>1067</v>
      </c>
    </row>
    <row r="255" spans="1:3">
      <c r="B255" t="s">
        <v>1068</v>
      </c>
      <c r="C255" t="s">
        <v>1069</v>
      </c>
    </row>
    <row r="256" spans="1:3">
      <c r="B256" t="s">
        <v>1070</v>
      </c>
      <c r="C256" t="s">
        <v>1071</v>
      </c>
    </row>
    <row r="257" spans="1:5">
      <c r="B257" t="s">
        <v>1072</v>
      </c>
      <c r="C257" t="s">
        <v>1073</v>
      </c>
    </row>
    <row r="258" spans="1:5">
      <c r="B258" t="s">
        <v>1074</v>
      </c>
      <c r="C258" t="s">
        <v>1075</v>
      </c>
    </row>
    <row r="259" spans="1:5">
      <c r="A259" t="s">
        <v>1076</v>
      </c>
    </row>
    <row r="260" spans="1:5">
      <c r="A260" t="s">
        <v>589</v>
      </c>
    </row>
    <row r="261" spans="1:5">
      <c r="B261" t="s">
        <v>1077</v>
      </c>
      <c r="C261" t="s">
        <v>1077</v>
      </c>
      <c r="E261" t="s">
        <v>9</v>
      </c>
    </row>
    <row r="262" spans="1:5">
      <c r="B262" t="s">
        <v>1078</v>
      </c>
      <c r="C262" t="s">
        <v>1078</v>
      </c>
      <c r="E262" t="s">
        <v>591</v>
      </c>
    </row>
    <row r="263" spans="1:5">
      <c r="B263" t="s">
        <v>1079</v>
      </c>
      <c r="C263" t="s">
        <v>1079</v>
      </c>
      <c r="E263" t="s">
        <v>1080</v>
      </c>
    </row>
    <row r="264" spans="1:5">
      <c r="B264" t="s">
        <v>1081</v>
      </c>
      <c r="C264" t="s">
        <v>1082</v>
      </c>
      <c r="E264" t="s">
        <v>379</v>
      </c>
    </row>
    <row r="265" spans="1:5">
      <c r="B265" t="s">
        <v>1083</v>
      </c>
      <c r="C265" t="s">
        <v>1084</v>
      </c>
      <c r="E265" t="s">
        <v>379</v>
      </c>
    </row>
    <row r="266" spans="1:5">
      <c r="B266" t="s">
        <v>592</v>
      </c>
      <c r="C266" t="s">
        <v>593</v>
      </c>
      <c r="E266" t="s">
        <v>379</v>
      </c>
    </row>
    <row r="267" spans="1:5">
      <c r="A267" t="s">
        <v>594</v>
      </c>
    </row>
    <row r="268" spans="1:5">
      <c r="B268" t="s">
        <v>1085</v>
      </c>
      <c r="C268" t="s">
        <v>1086</v>
      </c>
    </row>
    <row r="269" spans="1:5">
      <c r="B269" t="s">
        <v>1087</v>
      </c>
      <c r="C269" t="s">
        <v>1088</v>
      </c>
    </row>
    <row r="270" spans="1:5">
      <c r="B270" t="s">
        <v>1089</v>
      </c>
      <c r="C270" t="s">
        <v>1090</v>
      </c>
    </row>
    <row r="271" spans="1:5">
      <c r="B271" t="s">
        <v>1091</v>
      </c>
      <c r="C271" t="s">
        <v>1092</v>
      </c>
      <c r="D271">
        <v>-2146826259</v>
      </c>
    </row>
    <row r="272" spans="1:5">
      <c r="B272" t="s">
        <v>1093</v>
      </c>
      <c r="C272" t="s">
        <v>1094</v>
      </c>
    </row>
    <row r="273" spans="1:4">
      <c r="B273" t="s">
        <v>1095</v>
      </c>
      <c r="C273" t="s">
        <v>1096</v>
      </c>
      <c r="D273">
        <v>-2146826259</v>
      </c>
    </row>
    <row r="274" spans="1:4">
      <c r="B274" t="s">
        <v>1097</v>
      </c>
      <c r="C274" t="s">
        <v>1098</v>
      </c>
      <c r="D274">
        <v>-2146826259</v>
      </c>
    </row>
    <row r="275" spans="1:4">
      <c r="B275" t="s">
        <v>1099</v>
      </c>
      <c r="C275" t="s">
        <v>1100</v>
      </c>
    </row>
    <row r="276" spans="1:4">
      <c r="B276" t="s">
        <v>1101</v>
      </c>
      <c r="C276" t="s">
        <v>1102</v>
      </c>
    </row>
    <row r="277" spans="1:4">
      <c r="A277" t="s">
        <v>1103</v>
      </c>
    </row>
    <row r="278" spans="1:4">
      <c r="B278" t="s">
        <v>1104</v>
      </c>
      <c r="C278" t="s">
        <v>1105</v>
      </c>
      <c r="D278">
        <v>-2146826259</v>
      </c>
    </row>
    <row r="279" spans="1:4">
      <c r="B279" t="s">
        <v>1106</v>
      </c>
      <c r="C279" t="s">
        <v>1107</v>
      </c>
      <c r="D279">
        <v>-2146826259</v>
      </c>
    </row>
    <row r="280" spans="1:4">
      <c r="B280" t="s">
        <v>1108</v>
      </c>
      <c r="C280" t="s">
        <v>1109</v>
      </c>
      <c r="D280">
        <v>-2146826259</v>
      </c>
    </row>
    <row r="281" spans="1:4">
      <c r="B281" t="s">
        <v>1110</v>
      </c>
      <c r="C281" t="s">
        <v>1111</v>
      </c>
      <c r="D281">
        <v>-2146826259</v>
      </c>
    </row>
    <row r="282" spans="1:4">
      <c r="B282" t="s">
        <v>1112</v>
      </c>
      <c r="C282" t="s">
        <v>369</v>
      </c>
      <c r="D282">
        <v>-2146826259</v>
      </c>
    </row>
    <row r="283" spans="1:4">
      <c r="B283" t="s">
        <v>1113</v>
      </c>
      <c r="C283" t="s">
        <v>1114</v>
      </c>
      <c r="D283">
        <v>-2146826259</v>
      </c>
    </row>
    <row r="284" spans="1:4">
      <c r="B284" t="s">
        <v>1115</v>
      </c>
      <c r="C284" t="s">
        <v>1116</v>
      </c>
      <c r="D284">
        <v>-2146826259</v>
      </c>
    </row>
    <row r="285" spans="1:4">
      <c r="B285" t="s">
        <v>1117</v>
      </c>
      <c r="C285" t="s">
        <v>1118</v>
      </c>
      <c r="D285">
        <v>-2146826259</v>
      </c>
    </row>
    <row r="286" spans="1:4">
      <c r="B286" t="s">
        <v>1119</v>
      </c>
      <c r="C286" t="s">
        <v>1120</v>
      </c>
      <c r="D286">
        <v>-2146826259</v>
      </c>
    </row>
    <row r="287" spans="1:4">
      <c r="B287" t="s">
        <v>1121</v>
      </c>
      <c r="C287" t="s">
        <v>1122</v>
      </c>
      <c r="D287">
        <v>-2146826259</v>
      </c>
    </row>
    <row r="288" spans="1:4">
      <c r="B288" t="s">
        <v>1123</v>
      </c>
      <c r="C288" t="s">
        <v>1124</v>
      </c>
      <c r="D288">
        <v>-2146826259</v>
      </c>
    </row>
    <row r="289" spans="1:4">
      <c r="B289" t="s">
        <v>1125</v>
      </c>
      <c r="C289" t="s">
        <v>1126</v>
      </c>
      <c r="D289">
        <v>-2146826259</v>
      </c>
    </row>
    <row r="290" spans="1:4">
      <c r="B290" t="s">
        <v>1127</v>
      </c>
      <c r="C290" t="s">
        <v>1128</v>
      </c>
      <c r="D290">
        <v>-2146826259</v>
      </c>
    </row>
    <row r="291" spans="1:4">
      <c r="B291" t="s">
        <v>1129</v>
      </c>
      <c r="C291" t="s">
        <v>1130</v>
      </c>
      <c r="D291">
        <v>-2146826259</v>
      </c>
    </row>
    <row r="292" spans="1:4">
      <c r="B292" t="s">
        <v>1131</v>
      </c>
      <c r="C292" t="s">
        <v>1132</v>
      </c>
      <c r="D292">
        <v>-2146826259</v>
      </c>
    </row>
    <row r="293" spans="1:4">
      <c r="B293" t="s">
        <v>1133</v>
      </c>
      <c r="C293" t="s">
        <v>1134</v>
      </c>
      <c r="D293">
        <v>-2146826259</v>
      </c>
    </row>
    <row r="294" spans="1:4">
      <c r="A294" t="s">
        <v>30</v>
      </c>
    </row>
    <row r="295" spans="1:4">
      <c r="B295" t="s">
        <v>1135</v>
      </c>
      <c r="C295" t="s">
        <v>1136</v>
      </c>
      <c r="D295">
        <v>-2146826259</v>
      </c>
    </row>
    <row r="296" spans="1:4">
      <c r="B296" t="s">
        <v>734</v>
      </c>
      <c r="C296" t="s">
        <v>1137</v>
      </c>
      <c r="D296">
        <v>-2146826259</v>
      </c>
    </row>
    <row r="297" spans="1:4">
      <c r="B297" t="s">
        <v>1138</v>
      </c>
      <c r="C297" t="s">
        <v>1139</v>
      </c>
      <c r="D297">
        <v>-2146826259</v>
      </c>
    </row>
    <row r="298" spans="1:4">
      <c r="B298" t="s">
        <v>1140</v>
      </c>
      <c r="C298" t="s">
        <v>1141</v>
      </c>
      <c r="D298">
        <v>-2146826259</v>
      </c>
    </row>
    <row r="299" spans="1:4">
      <c r="B299" t="s">
        <v>1142</v>
      </c>
      <c r="C299" t="s">
        <v>1143</v>
      </c>
      <c r="D299">
        <v>-2146826259</v>
      </c>
    </row>
    <row r="300" spans="1:4">
      <c r="B300" t="s">
        <v>1144</v>
      </c>
      <c r="C300" t="s">
        <v>1145</v>
      </c>
      <c r="D300">
        <v>-2146826259</v>
      </c>
    </row>
    <row r="301" spans="1:4">
      <c r="B301" t="s">
        <v>1146</v>
      </c>
      <c r="C301" t="s">
        <v>1147</v>
      </c>
      <c r="D301">
        <v>-2146826259</v>
      </c>
    </row>
    <row r="302" spans="1:4">
      <c r="B302" t="s">
        <v>1148</v>
      </c>
      <c r="C302" t="s">
        <v>319</v>
      </c>
      <c r="D302">
        <v>-2146826259</v>
      </c>
    </row>
    <row r="303" spans="1:4">
      <c r="B303" t="s">
        <v>1149</v>
      </c>
      <c r="C303" t="s">
        <v>1150</v>
      </c>
      <c r="D303">
        <v>-2146826259</v>
      </c>
    </row>
    <row r="304" spans="1:4">
      <c r="B304" t="s">
        <v>1151</v>
      </c>
      <c r="C304" t="s">
        <v>1152</v>
      </c>
      <c r="D304">
        <v>-2146826259</v>
      </c>
    </row>
    <row r="305" spans="1:4">
      <c r="B305" t="s">
        <v>1153</v>
      </c>
      <c r="C305" t="s">
        <v>1154</v>
      </c>
      <c r="D305">
        <v>-2146826259</v>
      </c>
    </row>
    <row r="306" spans="1:4">
      <c r="B306" t="s">
        <v>1155</v>
      </c>
      <c r="C306" t="s">
        <v>1156</v>
      </c>
      <c r="D306">
        <v>-2146826259</v>
      </c>
    </row>
    <row r="307" spans="1:4">
      <c r="B307" t="s">
        <v>1157</v>
      </c>
      <c r="C307" t="s">
        <v>1158</v>
      </c>
      <c r="D307">
        <v>-2146826259</v>
      </c>
    </row>
    <row r="308" spans="1:4">
      <c r="B308" t="s">
        <v>1159</v>
      </c>
      <c r="C308" t="s">
        <v>1160</v>
      </c>
    </row>
    <row r="309" spans="1:4">
      <c r="B309" t="s">
        <v>1161</v>
      </c>
      <c r="C309" t="s">
        <v>1162</v>
      </c>
    </row>
    <row r="310" spans="1:4">
      <c r="B310" t="s">
        <v>1163</v>
      </c>
      <c r="C310" t="s">
        <v>1164</v>
      </c>
    </row>
    <row r="311" spans="1:4">
      <c r="A311" t="s">
        <v>635</v>
      </c>
    </row>
    <row r="312" spans="1:4">
      <c r="B312" t="s">
        <v>1165</v>
      </c>
      <c r="C312" t="s">
        <v>1166</v>
      </c>
    </row>
    <row r="313" spans="1:4">
      <c r="A313" t="s">
        <v>1167</v>
      </c>
    </row>
    <row r="314" spans="1:4">
      <c r="B314" t="s">
        <v>1168</v>
      </c>
      <c r="C314" t="s">
        <v>1169</v>
      </c>
      <c r="D314">
        <v>-2146826259</v>
      </c>
    </row>
    <row r="315" spans="1:4">
      <c r="B315" t="s">
        <v>1170</v>
      </c>
      <c r="C315" t="s">
        <v>1171</v>
      </c>
      <c r="D315">
        <v>-2146826259</v>
      </c>
    </row>
    <row r="316" spans="1:4">
      <c r="B316" t="s">
        <v>1172</v>
      </c>
      <c r="C316" t="s">
        <v>1173</v>
      </c>
      <c r="D316">
        <v>-2146826259</v>
      </c>
    </row>
    <row r="317" spans="1:4">
      <c r="B317" t="s">
        <v>1174</v>
      </c>
      <c r="C317" t="s">
        <v>1175</v>
      </c>
      <c r="D317">
        <v>-2146826259</v>
      </c>
    </row>
    <row r="318" spans="1:4">
      <c r="B318" t="s">
        <v>1176</v>
      </c>
      <c r="C318" t="s">
        <v>1177</v>
      </c>
    </row>
    <row r="319" spans="1:4">
      <c r="A319" t="s">
        <v>47</v>
      </c>
    </row>
    <row r="320" spans="1:4">
      <c r="B320" t="s">
        <v>1178</v>
      </c>
      <c r="C320" t="s">
        <v>1179</v>
      </c>
      <c r="D320">
        <v>-2146826259</v>
      </c>
    </row>
    <row r="321" spans="1:4">
      <c r="A321" t="s">
        <v>740</v>
      </c>
    </row>
    <row r="322" spans="1:4">
      <c r="B322" t="s">
        <v>1180</v>
      </c>
      <c r="C322" t="s">
        <v>1181</v>
      </c>
      <c r="D322">
        <v>-2146826259</v>
      </c>
    </row>
    <row r="323" spans="1:4">
      <c r="B323" t="s">
        <v>1182</v>
      </c>
      <c r="C323" t="s">
        <v>1183</v>
      </c>
      <c r="D323">
        <v>-2146826259</v>
      </c>
    </row>
    <row r="324" spans="1:4">
      <c r="B324" t="s">
        <v>1184</v>
      </c>
      <c r="C324" t="s">
        <v>1185</v>
      </c>
      <c r="D324">
        <v>-2146826259</v>
      </c>
    </row>
    <row r="325" spans="1:4">
      <c r="B325" t="s">
        <v>1186</v>
      </c>
      <c r="C325" t="s">
        <v>1187</v>
      </c>
      <c r="D325">
        <v>-2146826259</v>
      </c>
    </row>
    <row r="326" spans="1:4">
      <c r="A326" t="s">
        <v>43</v>
      </c>
    </row>
    <row r="327" spans="1:4">
      <c r="B327" t="s">
        <v>1138</v>
      </c>
      <c r="C327" t="s">
        <v>1188</v>
      </c>
      <c r="D327">
        <v>-2146826259</v>
      </c>
    </row>
    <row r="328" spans="1:4">
      <c r="A328" t="s">
        <v>839</v>
      </c>
    </row>
    <row r="329" spans="1:4">
      <c r="B329" t="s">
        <v>374</v>
      </c>
      <c r="C329" t="s">
        <v>1189</v>
      </c>
    </row>
    <row r="330" spans="1:4">
      <c r="B330" t="s">
        <v>1190</v>
      </c>
      <c r="C330" t="s">
        <v>1191</v>
      </c>
    </row>
    <row r="331" spans="1:4">
      <c r="B331" t="s">
        <v>1192</v>
      </c>
      <c r="C331" t="s">
        <v>1193</v>
      </c>
    </row>
  </sheetData>
  <pageMargins left="0.7" right="0.7" top="0.75" bottom="0.75" header="0.3" footer="0.3"/>
  <customProperties>
    <customPr name="Exchange.ContributionType" r:id="rId1"/>
    <customPr name="Exchange.CreationEntityId" r:id="rId2"/>
    <customPr name="Exchange.CreationEntityIdType" r:id="rId3"/>
    <customPr name="Exchange.CreationEntityType" r:id="rId4"/>
    <customPr name="Exchange.ExchangeSheetId" r:id="rId5"/>
    <customPr name="Exchange.SheetType" r:id="rId6"/>
    <customPr name="Qube.Worksheet.Visibility" r:id="rId7"/>
  </customPropertie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9A3A55-1805-40AA-B168-1F7C282B5D59}">
  <sheetPr>
    <tabColor rgb="FF002060"/>
  </sheetPr>
  <dimension ref="A1:GJ56"/>
  <sheetViews>
    <sheetView showGridLines="0" zoomScaleNormal="100" workbookViewId="0">
      <pane xSplit="2" ySplit="8" topLeftCell="EW9" activePane="bottomRight" state="frozen"/>
      <selection activeCell="DD115" sqref="DD115"/>
      <selection pane="topRight" activeCell="DD115" sqref="DD115"/>
      <selection pane="bottomLeft" activeCell="DD115" sqref="DD115"/>
      <selection pane="bottomRight"/>
    </sheetView>
  </sheetViews>
  <sheetFormatPr defaultColWidth="9.109375" defaultRowHeight="12.6" customHeight="1" outlineLevelRow="1" outlineLevelCol="1"/>
  <cols>
    <col min="1" max="1" width="3.5546875" style="93" customWidth="1"/>
    <col min="2" max="2" width="58.44140625" style="93" customWidth="1"/>
    <col min="3" max="6" width="9.109375" style="93" hidden="1" customWidth="1" outlineLevel="1"/>
    <col min="7" max="7" width="9.44140625" style="93" bestFit="1" customWidth="1" collapsed="1"/>
    <col min="8" max="11" width="9.109375" style="93" hidden="1" customWidth="1" outlineLevel="1"/>
    <col min="12" max="12" width="9.44140625" style="93" bestFit="1" customWidth="1" collapsed="1"/>
    <col min="13" max="16" width="9.109375" style="93" hidden="1" customWidth="1" outlineLevel="1"/>
    <col min="17" max="17" width="9.44140625" style="93" bestFit="1" customWidth="1" collapsed="1"/>
    <col min="18" max="21" width="9.109375" style="93" hidden="1" customWidth="1" outlineLevel="1"/>
    <col min="22" max="22" width="9.44140625" style="93" bestFit="1" customWidth="1" collapsed="1"/>
    <col min="23" max="26" width="9.109375" style="93" hidden="1" customWidth="1" outlineLevel="1"/>
    <col min="27" max="27" width="9.44140625" style="93" bestFit="1" customWidth="1" collapsed="1"/>
    <col min="28" max="31" width="9.109375" style="93" hidden="1" customWidth="1" outlineLevel="1"/>
    <col min="32" max="32" width="9.44140625" style="93" bestFit="1" customWidth="1" collapsed="1"/>
    <col min="33" max="35" width="9.109375" style="93" hidden="1" customWidth="1" outlineLevel="1"/>
    <col min="36" max="36" width="10.44140625" style="93" hidden="1" customWidth="1" outlineLevel="1"/>
    <col min="37" max="37" width="9.44140625" style="93" bestFit="1" customWidth="1" collapsed="1"/>
    <col min="38" max="41" width="10.44140625" style="93" hidden="1" customWidth="1" outlineLevel="1"/>
    <col min="42" max="42" width="9.44140625" style="93" bestFit="1" customWidth="1" collapsed="1"/>
    <col min="43" max="46" width="10.44140625" style="93" hidden="1" customWidth="1" outlineLevel="1"/>
    <col min="47" max="47" width="9.44140625" style="93" bestFit="1" customWidth="1" collapsed="1"/>
    <col min="48" max="51" width="10.44140625" style="93" hidden="1" customWidth="1" outlineLevel="1"/>
    <col min="52" max="52" width="9.44140625" style="93" bestFit="1" customWidth="1" collapsed="1"/>
    <col min="53" max="56" width="10.44140625" style="93" hidden="1" customWidth="1" outlineLevel="1"/>
    <col min="57" max="57" width="9.44140625" style="93" bestFit="1" customWidth="1" collapsed="1"/>
    <col min="58" max="61" width="10.44140625" style="93" hidden="1" customWidth="1" outlineLevel="1"/>
    <col min="62" max="62" width="9.44140625" style="93" bestFit="1" customWidth="1" collapsed="1"/>
    <col min="63" max="66" width="10.44140625" style="93" hidden="1" customWidth="1" outlineLevel="1"/>
    <col min="67" max="67" width="9.44140625" style="93" bestFit="1" customWidth="1" collapsed="1"/>
    <col min="68" max="71" width="10.44140625" style="93" hidden="1" customWidth="1" outlineLevel="1"/>
    <col min="72" max="72" width="9.44140625" style="93" bestFit="1" customWidth="1" collapsed="1"/>
    <col min="73" max="76" width="10.44140625" style="93" hidden="1" customWidth="1" outlineLevel="1"/>
    <col min="77" max="77" width="10" style="93" bestFit="1" customWidth="1" collapsed="1"/>
    <col min="78" max="81" width="10.44140625" style="93" hidden="1" customWidth="1" outlineLevel="1"/>
    <col min="82" max="82" width="11" style="93" bestFit="1" customWidth="1" collapsed="1"/>
    <col min="83" max="86" width="10.44140625" style="93" hidden="1" customWidth="1" outlineLevel="1"/>
    <col min="87" max="87" width="11" style="93" bestFit="1" customWidth="1" collapsed="1"/>
    <col min="88" max="91" width="10.44140625" style="93" hidden="1" customWidth="1" outlineLevel="1"/>
    <col min="92" max="92" width="10" style="93" bestFit="1" customWidth="1" collapsed="1"/>
    <col min="93" max="96" width="10.44140625" style="93" hidden="1" customWidth="1" outlineLevel="1"/>
    <col min="97" max="97" width="10" style="93" bestFit="1" customWidth="1" collapsed="1"/>
    <col min="98" max="101" width="10.44140625" style="93" hidden="1" customWidth="1" outlineLevel="1"/>
    <col min="102" max="102" width="10" style="93" bestFit="1" customWidth="1" collapsed="1"/>
    <col min="103" max="106" width="10.44140625" style="93" hidden="1" customWidth="1" outlineLevel="1"/>
    <col min="107" max="107" width="11" style="93" bestFit="1" customWidth="1" collapsed="1"/>
    <col min="108" max="111" width="10.44140625" style="93" hidden="1" customWidth="1" outlineLevel="1"/>
    <col min="112" max="112" width="11.109375" style="93" bestFit="1" customWidth="1" collapsed="1"/>
    <col min="113" max="116" width="10.44140625" style="93" hidden="1" customWidth="1" outlineLevel="1"/>
    <col min="117" max="117" width="11.109375" style="93" bestFit="1" customWidth="1" collapsed="1"/>
    <col min="118" max="121" width="10.44140625" style="93" hidden="1" customWidth="1" outlineLevel="1"/>
    <col min="122" max="122" width="11.109375" style="93" bestFit="1" customWidth="1" collapsed="1"/>
    <col min="123" max="126" width="10.44140625" style="93" hidden="1" customWidth="1" outlineLevel="1"/>
    <col min="127" max="127" width="11.109375" style="93" bestFit="1" customWidth="1" collapsed="1"/>
    <col min="128" max="131" width="10.44140625" style="93" hidden="1" customWidth="1" outlineLevel="1"/>
    <col min="132" max="132" width="11.109375" style="93" bestFit="1" customWidth="1" collapsed="1"/>
    <col min="133" max="136" width="10.44140625" style="93" hidden="1" customWidth="1" outlineLevel="1"/>
    <col min="137" max="137" width="11.109375" style="93" bestFit="1" customWidth="1" collapsed="1"/>
    <col min="138" max="141" width="10.44140625" style="93" hidden="1" customWidth="1" outlineLevel="1"/>
    <col min="142" max="142" width="11.109375" style="93" bestFit="1" customWidth="1" collapsed="1"/>
    <col min="143" max="146" width="10.44140625" style="93" hidden="1" customWidth="1" outlineLevel="1"/>
    <col min="147" max="147" width="11.109375" style="93" bestFit="1" customWidth="1" collapsed="1"/>
    <col min="148" max="151" width="10.44140625" style="93" hidden="1" customWidth="1" outlineLevel="1"/>
    <col min="152" max="152" width="11.109375" style="93" bestFit="1" customWidth="1" collapsed="1"/>
    <col min="153" max="156" width="10.44140625" style="93" customWidth="1" outlineLevel="1"/>
    <col min="157" max="157" width="11.109375" style="93" bestFit="1" customWidth="1"/>
    <col min="158" max="161" width="10.44140625" style="93" customWidth="1" outlineLevel="1"/>
    <col min="162" max="162" width="11.109375" style="93" bestFit="1" customWidth="1"/>
    <col min="163" max="166" width="10.44140625" style="93" customWidth="1" outlineLevel="1"/>
    <col min="167" max="167" width="11.109375" style="93" bestFit="1" customWidth="1"/>
    <col min="168" max="171" width="10.44140625" style="93" hidden="1" customWidth="1" outlineLevel="1"/>
    <col min="172" max="172" width="11.109375" style="93" bestFit="1" customWidth="1" collapsed="1"/>
    <col min="173" max="176" width="10.44140625" style="93" hidden="1" customWidth="1" outlineLevel="1"/>
    <col min="177" max="177" width="11.109375" style="93" bestFit="1" customWidth="1" collapsed="1"/>
    <col min="178" max="181" width="10.44140625" style="93" hidden="1" customWidth="1" outlineLevel="1"/>
    <col min="182" max="182" width="10.109375" style="93" bestFit="1" customWidth="1" collapsed="1"/>
    <col min="183" max="186" width="10.44140625" style="93" hidden="1" customWidth="1" outlineLevel="1"/>
    <col min="187" max="187" width="10.109375" style="93" bestFit="1" customWidth="1" collapsed="1"/>
    <col min="188" max="191" width="10.44140625" style="93" hidden="1" customWidth="1" outlineLevel="1"/>
    <col min="192" max="192" width="10.109375" style="93" bestFit="1" customWidth="1" collapsed="1"/>
    <col min="193" max="16384" width="9.109375" style="93"/>
  </cols>
  <sheetData>
    <row r="1" spans="1:192" ht="12.6" customHeight="1">
      <c r="A1" s="68"/>
      <c r="C1" s="94"/>
      <c r="D1" s="95"/>
      <c r="E1" s="95"/>
      <c r="F1" s="95"/>
      <c r="G1" s="95"/>
      <c r="H1" s="94"/>
      <c r="I1" s="95"/>
      <c r="J1" s="95"/>
      <c r="K1" s="95"/>
      <c r="L1" s="95"/>
      <c r="M1" s="94"/>
      <c r="N1" s="95"/>
      <c r="O1" s="95"/>
      <c r="P1" s="95"/>
      <c r="Q1" s="95"/>
      <c r="R1" s="94"/>
      <c r="S1" s="95"/>
      <c r="T1" s="95"/>
      <c r="U1" s="95"/>
      <c r="V1" s="95"/>
      <c r="W1" s="94"/>
      <c r="X1" s="95"/>
      <c r="Y1" s="95"/>
      <c r="Z1" s="95"/>
      <c r="AA1" s="95"/>
      <c r="AB1" s="94"/>
      <c r="AC1" s="95"/>
      <c r="AD1" s="95"/>
      <c r="AE1" s="95"/>
      <c r="AF1" s="95"/>
      <c r="AG1" s="94"/>
      <c r="AH1" s="95"/>
      <c r="AI1" s="95"/>
      <c r="AJ1" s="95"/>
      <c r="AK1" s="95"/>
      <c r="AP1" s="95"/>
      <c r="AU1" s="95"/>
      <c r="AZ1" s="95"/>
      <c r="BE1" s="95"/>
      <c r="BJ1" s="95"/>
      <c r="BO1" s="95"/>
      <c r="BT1" s="95"/>
      <c r="BY1" s="95"/>
      <c r="CD1" s="95"/>
      <c r="CI1" s="95"/>
      <c r="CN1" s="95"/>
      <c r="CS1" s="95"/>
      <c r="CX1" s="95"/>
      <c r="DC1" s="95"/>
      <c r="DH1" s="95"/>
      <c r="DM1" s="95"/>
      <c r="DR1" s="95"/>
      <c r="DW1" s="95"/>
      <c r="EB1" s="95"/>
      <c r="EG1" s="95"/>
      <c r="EL1" s="95"/>
      <c r="EQ1" s="95"/>
      <c r="EV1" s="95"/>
      <c r="FA1" s="95"/>
      <c r="FF1" s="95"/>
      <c r="FK1" s="95"/>
      <c r="FP1" s="95"/>
      <c r="FU1" s="95"/>
      <c r="FZ1" s="95"/>
      <c r="GE1" s="95"/>
      <c r="GJ1" s="95"/>
    </row>
    <row r="2" spans="1:192" ht="12.6" customHeight="1">
      <c r="A2" s="68"/>
      <c r="B2" s="40" t="s">
        <v>63</v>
      </c>
      <c r="C2" s="94"/>
      <c r="D2" s="95"/>
      <c r="E2" s="95"/>
      <c r="F2" s="95"/>
      <c r="G2" s="95"/>
      <c r="H2" s="94"/>
      <c r="I2" s="95"/>
      <c r="J2" s="95"/>
      <c r="K2" s="95"/>
      <c r="L2" s="95"/>
      <c r="M2" s="94"/>
      <c r="N2" s="95"/>
      <c r="O2" s="95"/>
      <c r="P2" s="95"/>
      <c r="Q2" s="95"/>
      <c r="R2" s="94"/>
      <c r="S2" s="95"/>
      <c r="T2" s="95"/>
      <c r="U2" s="95"/>
      <c r="V2" s="95"/>
      <c r="W2" s="94"/>
      <c r="X2" s="95"/>
      <c r="Y2" s="95"/>
      <c r="Z2" s="95"/>
      <c r="AA2" s="95"/>
      <c r="AB2" s="94"/>
      <c r="AC2" s="95"/>
      <c r="AD2" s="95"/>
      <c r="AE2" s="95"/>
      <c r="AF2" s="95"/>
      <c r="AG2" s="94"/>
      <c r="AH2" s="95"/>
      <c r="AI2" s="95"/>
      <c r="AJ2" s="95"/>
      <c r="AK2" s="95"/>
      <c r="AP2" s="95"/>
      <c r="AU2" s="95"/>
      <c r="AZ2" s="95"/>
      <c r="BE2" s="95"/>
      <c r="BJ2" s="95"/>
      <c r="BO2" s="95"/>
      <c r="BT2" s="95"/>
      <c r="BY2" s="95"/>
      <c r="CD2" s="95"/>
      <c r="CI2" s="95"/>
      <c r="CN2" s="95"/>
      <c r="CS2" s="95"/>
      <c r="CX2" s="95"/>
      <c r="DC2" s="95"/>
      <c r="DH2" s="95"/>
      <c r="DM2" s="95"/>
      <c r="DR2" s="95"/>
      <c r="DW2" s="95"/>
      <c r="EB2" s="95"/>
      <c r="EG2" s="95"/>
      <c r="EL2" s="95"/>
      <c r="EQ2" s="95"/>
      <c r="EV2" s="95"/>
      <c r="FA2" s="95"/>
      <c r="FF2" s="95"/>
      <c r="FK2" s="95"/>
      <c r="FP2" s="95"/>
      <c r="FU2" s="95"/>
      <c r="FZ2" s="95"/>
      <c r="GE2" s="95"/>
      <c r="GJ2" s="95"/>
    </row>
    <row r="3" spans="1:192" ht="12.6" customHeight="1">
      <c r="A3" s="68"/>
      <c r="B3" s="40" t="s">
        <v>64</v>
      </c>
      <c r="C3" s="94"/>
      <c r="D3" s="95"/>
      <c r="E3" s="95"/>
      <c r="F3" s="95"/>
      <c r="G3" s="95"/>
      <c r="H3" s="94"/>
      <c r="I3" s="95"/>
      <c r="J3" s="95"/>
      <c r="K3" s="95"/>
      <c r="L3" s="95"/>
      <c r="M3" s="94"/>
      <c r="N3" s="95"/>
      <c r="O3" s="95"/>
      <c r="P3" s="95"/>
      <c r="Q3" s="95"/>
      <c r="R3" s="94"/>
      <c r="S3" s="95"/>
      <c r="T3" s="95"/>
      <c r="U3" s="95"/>
      <c r="V3" s="95"/>
      <c r="W3" s="94"/>
      <c r="X3" s="95"/>
      <c r="Y3" s="95"/>
      <c r="Z3" s="95"/>
      <c r="AA3" s="95"/>
      <c r="AB3" s="94"/>
      <c r="AC3" s="95"/>
      <c r="AD3" s="95"/>
      <c r="AE3" s="95"/>
      <c r="AF3" s="95"/>
      <c r="AG3" s="94"/>
      <c r="AH3" s="95"/>
      <c r="AI3" s="95"/>
      <c r="AJ3" s="95"/>
      <c r="AK3" s="95"/>
      <c r="AP3" s="95"/>
      <c r="AU3" s="95"/>
      <c r="AZ3" s="95"/>
      <c r="BE3" s="95"/>
      <c r="BJ3" s="95"/>
      <c r="BO3" s="95"/>
      <c r="BT3" s="95"/>
      <c r="BY3" s="95"/>
      <c r="CD3" s="95"/>
      <c r="CI3" s="95"/>
      <c r="CN3" s="95"/>
      <c r="CS3" s="95"/>
      <c r="CX3" s="95"/>
      <c r="DC3" s="95"/>
      <c r="DH3" s="95"/>
      <c r="DM3" s="95"/>
      <c r="DR3" s="95"/>
      <c r="DW3" s="95"/>
      <c r="EB3" s="95"/>
      <c r="EG3" s="95"/>
      <c r="EL3" s="95"/>
      <c r="EO3" s="643"/>
      <c r="EQ3" s="95"/>
      <c r="EV3" s="95"/>
      <c r="FA3" s="95"/>
      <c r="FF3" s="95"/>
      <c r="FK3" s="95"/>
      <c r="FP3" s="95"/>
      <c r="FU3" s="95"/>
      <c r="FZ3" s="95"/>
      <c r="GE3" s="95"/>
      <c r="GJ3" s="95"/>
    </row>
    <row r="4" spans="1:192" ht="12.6" customHeight="1">
      <c r="A4" s="68"/>
      <c r="B4" s="40" t="s">
        <v>27</v>
      </c>
      <c r="C4" s="94"/>
      <c r="D4" s="95"/>
      <c r="E4" s="95"/>
      <c r="F4" s="95"/>
      <c r="G4" s="95"/>
      <c r="H4" s="94"/>
      <c r="I4" s="95"/>
      <c r="J4" s="95"/>
      <c r="K4" s="95"/>
      <c r="L4" s="95"/>
      <c r="M4" s="94"/>
      <c r="N4" s="95"/>
      <c r="O4" s="95"/>
      <c r="P4" s="95"/>
      <c r="Q4" s="95"/>
      <c r="R4" s="94"/>
      <c r="S4" s="95"/>
      <c r="T4" s="95"/>
      <c r="U4" s="95"/>
      <c r="V4" s="95"/>
      <c r="W4" s="94"/>
      <c r="X4" s="95"/>
      <c r="Y4" s="95"/>
      <c r="Z4" s="95"/>
      <c r="AA4" s="95"/>
      <c r="AB4" s="94"/>
      <c r="AC4" s="95"/>
      <c r="AD4" s="95"/>
      <c r="AE4" s="95"/>
      <c r="AF4" s="95"/>
      <c r="AG4" s="94"/>
      <c r="AH4" s="95"/>
      <c r="AI4" s="95"/>
      <c r="AJ4" s="95"/>
      <c r="AK4" s="95"/>
      <c r="AP4" s="95"/>
      <c r="AU4" s="95"/>
      <c r="AZ4" s="95"/>
      <c r="BE4" s="95"/>
      <c r="BJ4" s="95"/>
      <c r="BO4" s="95"/>
      <c r="BT4" s="95"/>
      <c r="BY4" s="95"/>
      <c r="CD4" s="95"/>
      <c r="CI4" s="95"/>
      <c r="CN4" s="95"/>
      <c r="CS4" s="95"/>
      <c r="CX4" s="95"/>
      <c r="DC4" s="95"/>
      <c r="DH4" s="95"/>
      <c r="DM4" s="95"/>
      <c r="DR4" s="95"/>
      <c r="DW4" s="95"/>
      <c r="EB4" s="95"/>
      <c r="EG4" s="95"/>
      <c r="EL4" s="95"/>
      <c r="EQ4" s="95"/>
      <c r="EV4" s="95"/>
      <c r="FA4" s="95"/>
      <c r="FF4" s="95"/>
      <c r="FK4" s="95"/>
      <c r="FP4" s="95"/>
      <c r="FU4" s="95"/>
      <c r="FZ4" s="95"/>
      <c r="GE4" s="95"/>
      <c r="GJ4" s="95"/>
    </row>
    <row r="5" spans="1:192" ht="12.6" customHeight="1">
      <c r="A5" s="68"/>
      <c r="C5" s="244"/>
      <c r="D5" s="245"/>
      <c r="E5" s="245"/>
      <c r="F5" s="95"/>
      <c r="G5" s="95"/>
      <c r="H5" s="94"/>
      <c r="I5" s="95"/>
      <c r="J5" s="95"/>
      <c r="K5" s="95"/>
      <c r="L5" s="95"/>
      <c r="M5" s="94"/>
      <c r="N5" s="95"/>
      <c r="O5" s="95"/>
      <c r="P5" s="95"/>
      <c r="Q5" s="95"/>
      <c r="R5" s="94"/>
      <c r="S5" s="95"/>
      <c r="T5" s="95"/>
      <c r="U5" s="95"/>
      <c r="V5" s="95"/>
      <c r="W5" s="94"/>
      <c r="X5" s="95"/>
      <c r="Y5" s="95"/>
      <c r="Z5" s="95"/>
      <c r="AA5" s="95"/>
      <c r="AB5" s="94"/>
      <c r="AC5" s="95"/>
      <c r="AD5" s="95"/>
      <c r="AE5" s="95"/>
      <c r="AF5" s="95"/>
      <c r="AG5" s="94"/>
      <c r="AH5" s="95"/>
      <c r="AI5" s="95"/>
      <c r="AJ5" s="95"/>
      <c r="AK5" s="95"/>
      <c r="AP5" s="95"/>
      <c r="AU5" s="95"/>
      <c r="AZ5" s="95"/>
      <c r="BE5" s="95"/>
      <c r="BJ5" s="95"/>
      <c r="BO5" s="95"/>
      <c r="BT5" s="95"/>
      <c r="BY5" s="95"/>
      <c r="CD5" s="95"/>
      <c r="CI5" s="95"/>
      <c r="CN5" s="95"/>
      <c r="CS5" s="95"/>
      <c r="CX5" s="95"/>
      <c r="DC5" s="95"/>
      <c r="DH5" s="95"/>
      <c r="DM5" s="95"/>
      <c r="DR5" s="95"/>
      <c r="DW5" s="95"/>
      <c r="EB5" s="95"/>
      <c r="EG5" s="95"/>
      <c r="EL5" s="95"/>
      <c r="EQ5" s="95"/>
      <c r="EV5" s="95"/>
      <c r="FA5" s="95"/>
      <c r="FF5" s="95"/>
      <c r="FK5" s="95"/>
      <c r="FP5" s="95"/>
      <c r="FU5" s="95"/>
      <c r="FZ5" s="95"/>
      <c r="GE5" s="95"/>
      <c r="GJ5" s="95"/>
    </row>
    <row r="6" spans="1:192" ht="12.75" customHeight="1">
      <c r="A6" s="68"/>
      <c r="C6" s="47" t="str">
        <f>Dates!C3</f>
      </c>
      <c r="D6" s="47"/>
      <c r="E6" s="47"/>
      <c r="F6" s="47"/>
      <c r="H6" s="47" t="str">
        <f>Dates!H3</f>
      </c>
      <c r="I6" s="47"/>
      <c r="J6" s="47"/>
      <c r="K6" s="47"/>
      <c r="M6" s="47" t="str">
        <f>Dates!M3</f>
      </c>
      <c r="N6" s="47"/>
      <c r="O6" s="47"/>
      <c r="P6" s="47"/>
      <c r="R6" s="47" t="str">
        <f>Dates!R3</f>
      </c>
      <c r="S6" s="47"/>
      <c r="T6" s="47"/>
      <c r="U6" s="47"/>
      <c r="W6" s="47" t="str">
        <f>Dates!W3</f>
      </c>
      <c r="X6" s="47"/>
      <c r="Y6" s="47"/>
      <c r="Z6" s="47"/>
      <c r="AB6" s="47" t="str">
        <f>Dates!AB3</f>
      </c>
      <c r="AC6" s="47"/>
      <c r="AD6" s="47"/>
      <c r="AE6" s="47"/>
      <c r="AG6" s="47" t="str">
        <f>Dates!AG3</f>
      </c>
      <c r="AH6" s="47"/>
      <c r="AI6" s="47"/>
      <c r="AJ6" s="47"/>
      <c r="AL6" s="47" t="str">
        <f>Dates!AL3</f>
      </c>
      <c r="AM6" s="47"/>
      <c r="AN6" s="47"/>
      <c r="AO6" s="47"/>
      <c r="AQ6" s="47" t="str">
        <f>Dates!AQ3</f>
      </c>
      <c r="AR6" s="47"/>
      <c r="AS6" s="47"/>
      <c r="AT6" s="47"/>
      <c r="AV6" s="47" t="str">
        <f>Dates!AV3</f>
      </c>
      <c r="AW6" s="47"/>
      <c r="AX6" s="47"/>
      <c r="AY6" s="47"/>
      <c r="BA6" s="47" t="str">
        <f>Dates!BA3</f>
      </c>
      <c r="BB6" s="47"/>
      <c r="BC6" s="47"/>
      <c r="BD6" s="47"/>
      <c r="BF6" s="47" t="str">
        <f>Dates!BF3</f>
      </c>
      <c r="BG6" s="47"/>
      <c r="BH6" s="47"/>
      <c r="BI6" s="47"/>
      <c r="BK6" s="47" t="str">
        <f>Dates!BK3</f>
      </c>
      <c r="BL6" s="47"/>
      <c r="BM6" s="47"/>
      <c r="BN6" s="47"/>
      <c r="BP6" s="47" t="str">
        <f>Dates!BP3</f>
      </c>
      <c r="BQ6" s="47"/>
      <c r="BR6" s="47"/>
      <c r="BS6" s="47"/>
      <c r="BU6" s="47" t="str">
        <f>Dates!BU3</f>
      </c>
      <c r="BV6" s="47"/>
      <c r="BW6" s="47"/>
      <c r="BX6" s="47"/>
      <c r="BZ6" s="47" t="str">
        <f>Dates!BZ3</f>
      </c>
      <c r="CA6" s="47"/>
      <c r="CB6" s="47"/>
      <c r="CC6" s="47"/>
      <c r="CE6" s="47" t="str">
        <f>Dates!CE3</f>
      </c>
      <c r="CF6" s="47"/>
      <c r="CG6" s="47"/>
      <c r="CH6" s="47"/>
      <c r="CJ6" s="47" t="str">
        <f>Dates!CJ3</f>
      </c>
      <c r="CK6" s="47"/>
      <c r="CL6" s="47"/>
      <c r="CM6" s="47"/>
      <c r="CO6" s="47" t="str">
        <f>Dates!CO3</f>
      </c>
      <c r="CP6" s="47"/>
      <c r="CQ6" s="47"/>
      <c r="CR6" s="47"/>
      <c r="CT6" s="47" t="str">
        <f>Dates!CT3</f>
      </c>
      <c r="CU6" s="47"/>
      <c r="CV6" s="47"/>
      <c r="CW6" s="47"/>
      <c r="CY6" s="47" t="str">
        <f>Dates!CY3</f>
      </c>
      <c r="CZ6" s="47"/>
      <c r="DA6" s="47"/>
      <c r="DB6" s="47"/>
      <c r="DD6" s="47" t="str">
        <f>Dates!DD3</f>
      </c>
      <c r="DE6" s="47"/>
      <c r="DF6" s="47"/>
      <c r="DG6" s="47"/>
      <c r="DI6" s="47" t="str">
        <f>Dates!DI3</f>
      </c>
      <c r="DJ6" s="47"/>
      <c r="DK6" s="47"/>
      <c r="DL6" s="47"/>
      <c r="DN6" s="47" t="str">
        <f>Dates!DN3</f>
      </c>
      <c r="DO6" s="47"/>
      <c r="DP6" s="47"/>
      <c r="DQ6" s="47"/>
      <c r="DS6" s="47" t="str">
        <f>Dates!DS3</f>
      </c>
      <c r="DT6" s="47"/>
      <c r="DU6" s="47"/>
      <c r="DV6" s="47"/>
      <c r="DX6" s="47" t="str">
        <f>Dates!DX3</f>
      </c>
      <c r="DY6" s="47"/>
      <c r="DZ6" s="47"/>
      <c r="EA6" s="47"/>
      <c r="EC6" s="47" t="str">
        <f>Dates!EC3</f>
      </c>
      <c r="ED6" s="47"/>
      <c r="EE6" s="47"/>
      <c r="EF6" s="47"/>
      <c r="EH6" s="47" t="str">
        <f>Dates!EH3</f>
      </c>
      <c r="EI6" s="47"/>
      <c r="EJ6" s="47"/>
      <c r="EK6" s="47"/>
      <c r="EM6" s="47" t="str">
        <f>Dates!EM3</f>
      </c>
      <c r="EN6" s="47"/>
      <c r="EO6" s="47"/>
      <c r="EP6" s="47"/>
      <c r="ER6" s="47" t="str">
        <f>Dates!ER3</f>
      </c>
      <c r="ES6" s="47"/>
      <c r="ET6" s="47"/>
      <c r="EU6" s="47"/>
      <c r="EW6" s="47" t="str">
        <f>Dates!EW3</f>
      </c>
      <c r="EX6" s="47"/>
      <c r="EY6" s="47"/>
      <c r="EZ6" s="47"/>
      <c r="FB6" s="47" t="str">
        <f>Dates!FB3</f>
      </c>
      <c r="FC6" s="47"/>
      <c r="FD6" s="47"/>
      <c r="FE6" s="47"/>
      <c r="FG6" s="47" t="str">
        <f>Dates!FG3</f>
      </c>
      <c r="FH6" s="47"/>
      <c r="FI6" s="47"/>
      <c r="FJ6" s="47"/>
      <c r="FL6" s="47" t="str">
        <f>Dates!FL3</f>
      </c>
      <c r="FM6" s="47"/>
      <c r="FN6" s="47"/>
      <c r="FO6" s="47"/>
      <c r="FQ6" s="47" t="str">
        <f>Dates!FQ3</f>
      </c>
      <c r="FR6" s="47"/>
      <c r="FS6" s="47"/>
      <c r="FT6" s="47"/>
      <c r="FV6" s="47" t="str">
        <f>Dates!FV3</f>
      </c>
      <c r="FW6" s="47"/>
      <c r="FX6" s="47"/>
      <c r="FY6" s="47"/>
      <c r="GA6" s="47" t="str">
        <f>Dates!GA3</f>
      </c>
      <c r="GB6" s="47"/>
      <c r="GC6" s="47"/>
      <c r="GD6" s="47"/>
      <c r="GF6" s="47" t="str">
        <f>Dates!GF3</f>
      </c>
      <c r="GG6" s="47"/>
      <c r="GH6" s="47"/>
      <c r="GI6" s="47"/>
    </row>
    <row r="7" spans="1:192" ht="12.6" customHeight="1">
      <c r="A7" s="68"/>
      <c r="C7" s="96" t="str">
        <f>Dates!C4</f>
      </c>
      <c r="D7" s="96" t="str">
        <f>Dates!D4</f>
      </c>
      <c r="E7" s="96" t="str">
        <f>Dates!E4</f>
      </c>
      <c r="F7" s="96" t="str">
        <f>Dates!F4</f>
      </c>
      <c r="G7" s="97" t="str">
        <f>Dates!G4</f>
      </c>
      <c r="H7" s="96" t="str">
        <f>Dates!H4</f>
      </c>
      <c r="I7" s="96" t="str">
        <f>Dates!I4</f>
      </c>
      <c r="J7" s="96" t="str">
        <f>Dates!J4</f>
      </c>
      <c r="K7" s="96" t="str">
        <f>Dates!K4</f>
      </c>
      <c r="L7" s="97" t="str">
        <f>Dates!L4</f>
      </c>
      <c r="M7" s="96" t="str">
        <f>Dates!M4</f>
      </c>
      <c r="N7" s="96" t="str">
        <f>Dates!N4</f>
      </c>
      <c r="O7" s="96" t="str">
        <f>Dates!O4</f>
      </c>
      <c r="P7" s="96" t="str">
        <f>Dates!P4</f>
      </c>
      <c r="Q7" s="97" t="str">
        <f>Dates!Q4</f>
      </c>
      <c r="R7" s="96" t="str">
        <f>Dates!R4</f>
      </c>
      <c r="S7" s="96" t="str">
        <f>Dates!S4</f>
      </c>
      <c r="T7" s="96" t="str">
        <f>Dates!T4</f>
      </c>
      <c r="U7" s="96" t="str">
        <f>Dates!U4</f>
      </c>
      <c r="V7" s="97" t="str">
        <f>Dates!V4</f>
      </c>
      <c r="W7" s="96" t="str">
        <f>Dates!W4</f>
      </c>
      <c r="X7" s="96" t="str">
        <f>Dates!X4</f>
      </c>
      <c r="Y7" s="96" t="str">
        <f>Dates!Y4</f>
      </c>
      <c r="Z7" s="96" t="str">
        <f>Dates!Z4</f>
      </c>
      <c r="AA7" s="97" t="str">
        <f>Dates!AA4</f>
      </c>
      <c r="AB7" s="96" t="str">
        <f>Dates!AB4</f>
      </c>
      <c r="AC7" s="96" t="str">
        <f>Dates!AC4</f>
      </c>
      <c r="AD7" s="96" t="str">
        <f>Dates!AD4</f>
      </c>
      <c r="AE7" s="96" t="str">
        <f>Dates!AE4</f>
      </c>
      <c r="AF7" s="97" t="str">
        <f>Dates!AF4</f>
      </c>
      <c r="AG7" s="96" t="str">
        <f>Dates!AG4</f>
      </c>
      <c r="AH7" s="96" t="str">
        <f>Dates!AH4</f>
      </c>
      <c r="AI7" s="96" t="str">
        <f>Dates!AI4</f>
      </c>
      <c r="AJ7" s="96" t="str">
        <f>Dates!AJ4</f>
      </c>
      <c r="AK7" s="97" t="str">
        <f>Dates!AK4</f>
      </c>
      <c r="AL7" s="96" t="str">
        <f>Dates!AL4</f>
      </c>
      <c r="AM7" s="96" t="str">
        <f>Dates!AM4</f>
      </c>
      <c r="AN7" s="96" t="str">
        <f>Dates!AN4</f>
      </c>
      <c r="AO7" s="96" t="str">
        <f>Dates!AO4</f>
      </c>
      <c r="AP7" s="97" t="str">
        <f>Dates!AP4</f>
      </c>
      <c r="AQ7" s="96" t="str">
        <f>Dates!AQ4</f>
      </c>
      <c r="AR7" s="96" t="str">
        <f>Dates!AR4</f>
      </c>
      <c r="AS7" s="96" t="str">
        <f>Dates!AS4</f>
      </c>
      <c r="AT7" s="96" t="str">
        <f>Dates!AT4</f>
      </c>
      <c r="AU7" s="97" t="str">
        <f>Dates!AU4</f>
      </c>
      <c r="AV7" s="96" t="str">
        <f>Dates!AV4</f>
      </c>
      <c r="AW7" s="96" t="str">
        <f>Dates!AW4</f>
      </c>
      <c r="AX7" s="96" t="str">
        <f>Dates!AX4</f>
      </c>
      <c r="AY7" s="96" t="str">
        <f>Dates!AY4</f>
      </c>
      <c r="AZ7" s="97" t="str">
        <f>Dates!AZ4</f>
      </c>
      <c r="BA7" s="96" t="str">
        <f>Dates!BA4</f>
      </c>
      <c r="BB7" s="96" t="str">
        <f>Dates!BB4</f>
      </c>
      <c r="BC7" s="96" t="str">
        <f>Dates!BC4</f>
      </c>
      <c r="BD7" s="96" t="str">
        <f>Dates!BD4</f>
      </c>
      <c r="BE7" s="97" t="str">
        <f>Dates!BE4</f>
      </c>
      <c r="BF7" s="96" t="str">
        <f>Dates!BF4</f>
      </c>
      <c r="BG7" s="96" t="str">
        <f>Dates!BG4</f>
      </c>
      <c r="BH7" s="96" t="str">
        <f>Dates!BH4</f>
      </c>
      <c r="BI7" s="96" t="str">
        <f>Dates!BI4</f>
      </c>
      <c r="BJ7" s="97" t="str">
        <f>Dates!BJ4</f>
      </c>
      <c r="BK7" s="96" t="str">
        <f>Dates!BK4</f>
      </c>
      <c r="BL7" s="96" t="str">
        <f>Dates!BL4</f>
      </c>
      <c r="BM7" s="96" t="str">
        <f>Dates!BM4</f>
      </c>
      <c r="BN7" s="96" t="str">
        <f>Dates!BN4</f>
      </c>
      <c r="BO7" s="97" t="str">
        <f>Dates!BO4</f>
      </c>
      <c r="BP7" s="96" t="str">
        <f>Dates!BP4</f>
      </c>
      <c r="BQ7" s="96" t="str">
        <f>Dates!BQ4</f>
      </c>
      <c r="BR7" s="96" t="str">
        <f>Dates!BR4</f>
      </c>
      <c r="BS7" s="96" t="str">
        <f>Dates!BS4</f>
      </c>
      <c r="BT7" s="97" t="str">
        <f>Dates!BT4</f>
      </c>
      <c r="BU7" s="96" t="str">
        <f>Dates!BU4</f>
      </c>
      <c r="BV7" s="96" t="str">
        <f>Dates!BV4</f>
      </c>
      <c r="BW7" s="96" t="str">
        <f>Dates!BW4</f>
      </c>
      <c r="BX7" s="96" t="str">
        <f>Dates!BX4</f>
      </c>
      <c r="BY7" s="97" t="str">
        <f>Dates!BY4</f>
      </c>
      <c r="BZ7" s="96" t="str">
        <f>Dates!BZ4</f>
      </c>
      <c r="CA7" s="96" t="str">
        <f>Dates!CA4</f>
      </c>
      <c r="CB7" s="96" t="str">
        <f>Dates!CB4</f>
      </c>
      <c r="CC7" s="96" t="str">
        <f>Dates!CC4</f>
      </c>
      <c r="CD7" s="97" t="str">
        <f>Dates!CD4</f>
      </c>
      <c r="CE7" s="96" t="str">
        <f>Dates!CE4</f>
      </c>
      <c r="CF7" s="96" t="str">
        <f>Dates!CF4</f>
      </c>
      <c r="CG7" s="96" t="str">
        <f>Dates!CG4</f>
      </c>
      <c r="CH7" s="96" t="str">
        <f>Dates!CH4</f>
      </c>
      <c r="CI7" s="97" t="str">
        <f>Dates!CI4</f>
      </c>
      <c r="CJ7" s="96" t="str">
        <f>Dates!CJ4</f>
      </c>
      <c r="CK7" s="96" t="str">
        <f>Dates!CK4</f>
      </c>
      <c r="CL7" s="96" t="str">
        <f>Dates!CL4</f>
      </c>
      <c r="CM7" s="96" t="str">
        <f>Dates!CM4</f>
      </c>
      <c r="CN7" s="97" t="str">
        <f>Dates!CN4</f>
      </c>
      <c r="CO7" s="96" t="str">
        <f>Dates!CO4</f>
      </c>
      <c r="CP7" s="96" t="str">
        <f>Dates!CP4</f>
      </c>
      <c r="CQ7" s="96" t="str">
        <f>Dates!CQ4</f>
      </c>
      <c r="CR7" s="96" t="str">
        <f>Dates!CR4</f>
      </c>
      <c r="CS7" s="97" t="str">
        <f>Dates!CS4</f>
      </c>
      <c r="CT7" s="96" t="str">
        <f>Dates!CT4</f>
      </c>
      <c r="CU7" s="96" t="str">
        <f>Dates!CU4</f>
      </c>
      <c r="CV7" s="96" t="str">
        <f>Dates!CV4</f>
      </c>
      <c r="CW7" s="96" t="str">
        <f>Dates!CW4</f>
      </c>
      <c r="CX7" s="97" t="str">
        <f>Dates!CX4</f>
      </c>
      <c r="CY7" s="96" t="str">
        <f>Dates!CY4</f>
      </c>
      <c r="CZ7" s="96" t="str">
        <f>Dates!CZ4</f>
      </c>
      <c r="DA7" s="96" t="str">
        <f>Dates!DA4</f>
      </c>
      <c r="DB7" s="96" t="str">
        <f>Dates!DB4</f>
      </c>
      <c r="DC7" s="97" t="str">
        <f>Dates!DC4</f>
      </c>
      <c r="DD7" s="96" t="str">
        <f>Dates!DD4</f>
      </c>
      <c r="DE7" s="96" t="str">
        <f>Dates!DE4</f>
      </c>
      <c r="DF7" s="96" t="str">
        <f>Dates!DF4</f>
      </c>
      <c r="DG7" s="96" t="str">
        <f>Dates!DG4</f>
      </c>
      <c r="DH7" s="97" t="str">
        <f>Dates!DH4</f>
      </c>
      <c r="DI7" s="96" t="str">
        <f>Dates!DI4</f>
      </c>
      <c r="DJ7" s="96" t="str">
        <f>Dates!DJ4</f>
      </c>
      <c r="DK7" s="96" t="str">
        <f>Dates!DK4</f>
      </c>
      <c r="DL7" s="96" t="str">
        <f>Dates!DL4</f>
      </c>
      <c r="DM7" s="97" t="str">
        <f>Dates!DM4</f>
      </c>
      <c r="DN7" s="96" t="str">
        <f>Dates!DN4</f>
      </c>
      <c r="DO7" s="96" t="str">
        <f>Dates!DO4</f>
      </c>
      <c r="DP7" s="96" t="str">
        <f>Dates!DP4</f>
      </c>
      <c r="DQ7" s="96" t="str">
        <f>Dates!DQ4</f>
      </c>
      <c r="DR7" s="97" t="str">
        <f>Dates!DR4</f>
      </c>
      <c r="DS7" s="96" t="str">
        <f>Dates!DS4</f>
      </c>
      <c r="DT7" s="96" t="str">
        <f>Dates!DT4</f>
      </c>
      <c r="DU7" s="96" t="str">
        <f>Dates!DU4</f>
      </c>
      <c r="DV7" s="96" t="str">
        <f>Dates!DV4</f>
      </c>
      <c r="DW7" s="97" t="str">
        <f>Dates!DW4</f>
      </c>
      <c r="DX7" s="96" t="str">
        <f>Dates!DX4</f>
      </c>
      <c r="DY7" s="96" t="str">
        <f>Dates!DY4</f>
      </c>
      <c r="DZ7" s="96" t="str">
        <f>Dates!DZ4</f>
      </c>
      <c r="EA7" s="96" t="str">
        <f>Dates!EA4</f>
      </c>
      <c r="EB7" s="97" t="str">
        <f>Dates!EB4</f>
      </c>
      <c r="EC7" s="96" t="str">
        <f>Dates!EC4</f>
      </c>
      <c r="ED7" s="96" t="str">
        <f>Dates!ED4</f>
      </c>
      <c r="EE7" s="96" t="str">
        <f>Dates!EE4</f>
      </c>
      <c r="EF7" s="96" t="str">
        <f>Dates!EF4</f>
      </c>
      <c r="EG7" s="97" t="str">
        <f>Dates!EG4</f>
      </c>
      <c r="EH7" s="96" t="str">
        <f>Dates!EH4</f>
      </c>
      <c r="EI7" s="96" t="str">
        <f>Dates!EI4</f>
      </c>
      <c r="EJ7" s="96" t="str">
        <f>Dates!EJ4</f>
      </c>
      <c r="EK7" s="96" t="str">
        <f>Dates!EK4</f>
      </c>
      <c r="EL7" s="97" t="str">
        <f>Dates!EL4</f>
      </c>
      <c r="EM7" s="96" t="str">
        <f>Dates!EM4</f>
      </c>
      <c r="EN7" s="96" t="str">
        <f>Dates!EN4</f>
      </c>
      <c r="EO7" s="96" t="str">
        <f>Dates!EO4</f>
      </c>
      <c r="EP7" s="96" t="str">
        <f>Dates!EP4</f>
      </c>
      <c r="EQ7" s="97" t="str">
        <f>Dates!EQ4</f>
      </c>
      <c r="ER7" s="96" t="str">
        <f>Dates!ER4</f>
      </c>
      <c r="ES7" s="96" t="str">
        <f>Dates!ES4</f>
      </c>
      <c r="ET7" s="96" t="str">
        <f>Dates!ET4</f>
      </c>
      <c r="EU7" s="96" t="str">
        <f>Dates!EU4</f>
      </c>
      <c r="EV7" s="97" t="str">
        <f>Dates!EV4</f>
      </c>
      <c r="EW7" s="96" t="str">
        <f>Dates!EW4</f>
      </c>
      <c r="EX7" s="96" t="str">
        <f>Dates!EX4</f>
      </c>
      <c r="EY7" s="96" t="str">
        <f>Dates!EY4</f>
      </c>
      <c r="EZ7" s="96" t="str">
        <f>Dates!EZ4</f>
      </c>
      <c r="FA7" s="97" t="str">
        <f>Dates!FA4</f>
      </c>
      <c r="FB7" s="96" t="str">
        <f>Dates!FB4</f>
      </c>
      <c r="FC7" s="96" t="str">
        <f>Dates!FC4</f>
      </c>
      <c r="FD7" s="96" t="str">
        <f>Dates!FD4</f>
      </c>
      <c r="FE7" s="96" t="str">
        <f>Dates!FE4</f>
      </c>
      <c r="FF7" s="97" t="str">
        <f>Dates!FF4</f>
      </c>
      <c r="FG7" s="96" t="str">
        <f>Dates!FG4</f>
      </c>
      <c r="FH7" s="96" t="str">
        <f>Dates!FH4</f>
      </c>
      <c r="FI7" s="96" t="str">
        <f>Dates!FI4</f>
      </c>
      <c r="FJ7" s="96" t="str">
        <f>Dates!FJ4</f>
      </c>
      <c r="FK7" s="97" t="str">
        <f>Dates!FK4</f>
      </c>
      <c r="FL7" s="96" t="str">
        <f>Dates!FL4</f>
      </c>
      <c r="FM7" s="96" t="str">
        <f>Dates!FM4</f>
      </c>
      <c r="FN7" s="96" t="str">
        <f>Dates!FN4</f>
      </c>
      <c r="FO7" s="96" t="str">
        <f>Dates!FO4</f>
      </c>
      <c r="FP7" s="97" t="str">
        <f>Dates!FP4</f>
      </c>
      <c r="FQ7" s="96" t="str">
        <f>Dates!FQ4</f>
      </c>
      <c r="FR7" s="96" t="str">
        <f>Dates!FR4</f>
      </c>
      <c r="FS7" s="96" t="str">
        <f>Dates!FS4</f>
      </c>
      <c r="FT7" s="96" t="str">
        <f>Dates!FT4</f>
      </c>
      <c r="FU7" s="97" t="str">
        <f>Dates!FU4</f>
      </c>
      <c r="FV7" s="96" t="str">
        <f>Dates!FV4</f>
      </c>
      <c r="FW7" s="96" t="str">
        <f>Dates!FW4</f>
      </c>
      <c r="FX7" s="96" t="str">
        <f>Dates!FX4</f>
      </c>
      <c r="FY7" s="96" t="str">
        <f>Dates!FY4</f>
      </c>
      <c r="FZ7" s="97" t="str">
        <f>Dates!FZ4</f>
      </c>
      <c r="GA7" s="96" t="str">
        <f>Dates!GA4</f>
      </c>
      <c r="GB7" s="96" t="str">
        <f>Dates!GB4</f>
      </c>
      <c r="GC7" s="96" t="str">
        <f>Dates!GC4</f>
      </c>
      <c r="GD7" s="96" t="str">
        <f>Dates!GD4</f>
      </c>
      <c r="GE7" s="97" t="str">
        <f>Dates!GE4</f>
      </c>
      <c r="GF7" s="96" t="str">
        <f>Dates!GF4</f>
      </c>
      <c r="GG7" s="96" t="str">
        <f>Dates!GG4</f>
      </c>
      <c r="GH7" s="96" t="str">
        <f>Dates!GH4</f>
      </c>
      <c r="GI7" s="96" t="str">
        <f>Dates!GI4</f>
      </c>
      <c r="GJ7" s="97" t="str">
        <f>Dates!GJ4</f>
      </c>
    </row>
    <row r="8" spans="1:192" ht="12.6" customHeight="1">
      <c r="A8" s="68"/>
      <c r="C8" s="98">
        <f>Dates!C5</f>
      </c>
      <c r="D8" s="98">
        <f>Dates!D5</f>
      </c>
      <c r="E8" s="98">
        <f>Dates!E5</f>
      </c>
      <c r="F8" s="98">
        <f>Dates!F5</f>
      </c>
      <c r="G8" s="99">
        <f>Dates!G5</f>
      </c>
      <c r="H8" s="98">
        <f>Dates!H5</f>
      </c>
      <c r="I8" s="98">
        <f>Dates!I5</f>
      </c>
      <c r="J8" s="98">
        <f>Dates!J5</f>
      </c>
      <c r="K8" s="98">
        <f>Dates!K5</f>
      </c>
      <c r="L8" s="99">
        <f>Dates!L5</f>
      </c>
      <c r="M8" s="98">
        <f>Dates!M5</f>
      </c>
      <c r="N8" s="98">
        <f>Dates!N5</f>
      </c>
      <c r="O8" s="98">
        <f>Dates!O5</f>
      </c>
      <c r="P8" s="98">
        <f>Dates!P5</f>
      </c>
      <c r="Q8" s="99">
        <f>Dates!Q5</f>
      </c>
      <c r="R8" s="98">
        <f>Dates!R5</f>
      </c>
      <c r="S8" s="98">
        <f>Dates!S5</f>
      </c>
      <c r="T8" s="98">
        <f>Dates!T5</f>
      </c>
      <c r="U8" s="98">
        <f>Dates!U5</f>
      </c>
      <c r="V8" s="99">
        <f>Dates!V5</f>
      </c>
      <c r="W8" s="98">
        <f>Dates!W5</f>
      </c>
      <c r="X8" s="98">
        <f>Dates!X5</f>
      </c>
      <c r="Y8" s="98">
        <f>Dates!Y5</f>
      </c>
      <c r="Z8" s="98">
        <f>Dates!Z5</f>
      </c>
      <c r="AA8" s="99">
        <f>Dates!AA5</f>
      </c>
      <c r="AB8" s="98">
        <f>Dates!AB5</f>
      </c>
      <c r="AC8" s="98">
        <f>Dates!AC5</f>
      </c>
      <c r="AD8" s="98">
        <f>Dates!AD5</f>
      </c>
      <c r="AE8" s="98">
        <f>Dates!AE5</f>
      </c>
      <c r="AF8" s="99">
        <f>Dates!AF5</f>
      </c>
      <c r="AG8" s="98">
        <f>Dates!AG5</f>
      </c>
      <c r="AH8" s="98">
        <f>Dates!AH5</f>
      </c>
      <c r="AI8" s="98">
        <f>Dates!AI5</f>
      </c>
      <c r="AJ8" s="98">
        <f>Dates!AJ5</f>
      </c>
      <c r="AK8" s="99">
        <f>Dates!AK5</f>
      </c>
      <c r="AL8" s="98">
        <f>Dates!AL5</f>
      </c>
      <c r="AM8" s="98">
        <f>Dates!AM5</f>
      </c>
      <c r="AN8" s="98">
        <f>Dates!AN5</f>
      </c>
      <c r="AO8" s="98">
        <f>Dates!AO5</f>
      </c>
      <c r="AP8" s="99">
        <f>Dates!AP5</f>
      </c>
      <c r="AQ8" s="98">
        <f>Dates!AQ5</f>
      </c>
      <c r="AR8" s="98">
        <f>Dates!AR5</f>
      </c>
      <c r="AS8" s="98">
        <f>Dates!AS5</f>
      </c>
      <c r="AT8" s="98">
        <f>Dates!AT5</f>
      </c>
      <c r="AU8" s="99">
        <f>Dates!AU5</f>
      </c>
      <c r="AV8" s="98">
        <f>Dates!AV5</f>
      </c>
      <c r="AW8" s="98">
        <f>Dates!AW5</f>
      </c>
      <c r="AX8" s="98">
        <f>Dates!AX5</f>
      </c>
      <c r="AY8" s="98">
        <f>Dates!AY5</f>
      </c>
      <c r="AZ8" s="99">
        <f>Dates!AZ5</f>
      </c>
      <c r="BA8" s="98">
        <f>Dates!BA5</f>
      </c>
      <c r="BB8" s="98">
        <f>Dates!BB5</f>
      </c>
      <c r="BC8" s="98">
        <f>Dates!BC5</f>
      </c>
      <c r="BD8" s="98">
        <f>Dates!BD5</f>
      </c>
      <c r="BE8" s="99">
        <f>Dates!BE5</f>
      </c>
      <c r="BF8" s="98">
        <f>Dates!BF5</f>
      </c>
      <c r="BG8" s="98">
        <f>Dates!BG5</f>
      </c>
      <c r="BH8" s="98">
        <f>Dates!BH5</f>
      </c>
      <c r="BI8" s="98">
        <f>Dates!BI5</f>
      </c>
      <c r="BJ8" s="99">
        <f>Dates!BJ5</f>
      </c>
      <c r="BK8" s="98">
        <f>Dates!BK5</f>
      </c>
      <c r="BL8" s="98">
        <f>Dates!BL5</f>
      </c>
      <c r="BM8" s="98">
        <f>Dates!BM5</f>
      </c>
      <c r="BN8" s="98">
        <f>Dates!BN5</f>
      </c>
      <c r="BO8" s="99">
        <f>Dates!BO5</f>
      </c>
      <c r="BP8" s="98">
        <f>Dates!BP5</f>
      </c>
      <c r="BQ8" s="98">
        <f>Dates!BQ5</f>
      </c>
      <c r="BR8" s="98">
        <f>Dates!BR5</f>
      </c>
      <c r="BS8" s="98">
        <f>Dates!BS5</f>
      </c>
      <c r="BT8" s="99">
        <f>Dates!BT5</f>
      </c>
      <c r="BU8" s="98">
        <f>Dates!BU5</f>
      </c>
      <c r="BV8" s="98">
        <f>Dates!BV5</f>
      </c>
      <c r="BW8" s="98">
        <f>Dates!BW5</f>
      </c>
      <c r="BX8" s="98">
        <f>Dates!BX5</f>
      </c>
      <c r="BY8" s="99">
        <f>Dates!BY5</f>
      </c>
      <c r="BZ8" s="98">
        <f>Dates!BZ5</f>
      </c>
      <c r="CA8" s="98">
        <f>Dates!CA5</f>
      </c>
      <c r="CB8" s="98">
        <f>Dates!CB5</f>
      </c>
      <c r="CC8" s="98">
        <f>Dates!CC5</f>
      </c>
      <c r="CD8" s="99">
        <f>Dates!CD5</f>
      </c>
      <c r="CE8" s="98">
        <f>Dates!CE5</f>
      </c>
      <c r="CF8" s="98">
        <f>Dates!CF5</f>
      </c>
      <c r="CG8" s="98">
        <f>Dates!CG5</f>
      </c>
      <c r="CH8" s="98">
        <f>Dates!CH5</f>
      </c>
      <c r="CI8" s="99">
        <f>Dates!CI5</f>
      </c>
      <c r="CJ8" s="98">
        <f>Dates!CJ5</f>
      </c>
      <c r="CK8" s="98">
        <f>Dates!CK5</f>
      </c>
      <c r="CL8" s="98">
        <f>Dates!CL5</f>
      </c>
      <c r="CM8" s="98">
        <f>Dates!CM5</f>
      </c>
      <c r="CN8" s="99">
        <f>Dates!CN5</f>
      </c>
      <c r="CO8" s="98">
        <f>Dates!CO5</f>
      </c>
      <c r="CP8" s="98">
        <f>Dates!CP5</f>
      </c>
      <c r="CQ8" s="98">
        <f>Dates!CQ5</f>
      </c>
      <c r="CR8" s="98">
        <f>Dates!CR5</f>
      </c>
      <c r="CS8" s="99">
        <f>Dates!CS5</f>
      </c>
      <c r="CT8" s="98">
        <f>Dates!CT5</f>
      </c>
      <c r="CU8" s="98">
        <f>Dates!CU5</f>
      </c>
      <c r="CV8" s="98">
        <f>Dates!CV5</f>
      </c>
      <c r="CW8" s="98">
        <f>Dates!CW5</f>
      </c>
      <c r="CX8" s="99">
        <f>Dates!CX5</f>
      </c>
      <c r="CY8" s="98">
        <f>Dates!CY5</f>
      </c>
      <c r="CZ8" s="98">
        <f>Dates!CZ5</f>
      </c>
      <c r="DA8" s="98">
        <f>Dates!DA5</f>
      </c>
      <c r="DB8" s="98">
        <f>Dates!DB5</f>
      </c>
      <c r="DC8" s="99">
        <f>Dates!DC5</f>
      </c>
      <c r="DD8" s="98">
        <f>Dates!DD5</f>
      </c>
      <c r="DE8" s="98">
        <f>Dates!DE5</f>
      </c>
      <c r="DF8" s="98">
        <f>Dates!DF5</f>
      </c>
      <c r="DG8" s="98">
        <f>Dates!DG5</f>
      </c>
      <c r="DH8" s="99">
        <f>Dates!DH5</f>
      </c>
      <c r="DI8" s="98">
        <f>Dates!DI5</f>
      </c>
      <c r="DJ8" s="98">
        <f>Dates!DJ5</f>
      </c>
      <c r="DK8" s="98">
        <f>Dates!DK5</f>
      </c>
      <c r="DL8" s="98">
        <f>Dates!DL5</f>
      </c>
      <c r="DM8" s="99">
        <f>Dates!DM5</f>
      </c>
      <c r="DN8" s="98">
        <f>Dates!DN5</f>
      </c>
      <c r="DO8" s="98">
        <f>Dates!DO5</f>
      </c>
      <c r="DP8" s="98">
        <f>Dates!DP5</f>
      </c>
      <c r="DQ8" s="98">
        <f>Dates!DQ5</f>
      </c>
      <c r="DR8" s="99">
        <f>Dates!DR5</f>
      </c>
      <c r="DS8" s="98">
        <f>Dates!DS5</f>
      </c>
      <c r="DT8" s="98">
        <f>Dates!DT5</f>
      </c>
      <c r="DU8" s="98">
        <f>Dates!DU5</f>
      </c>
      <c r="DV8" s="98">
        <f>Dates!DV5</f>
      </c>
      <c r="DW8" s="99">
        <f>Dates!DW5</f>
      </c>
      <c r="DX8" s="98">
        <f>Dates!DX5</f>
      </c>
      <c r="DY8" s="98">
        <f>Dates!DY5</f>
      </c>
      <c r="DZ8" s="98">
        <f>Dates!DZ5</f>
      </c>
      <c r="EA8" s="98">
        <f>Dates!EA5</f>
      </c>
      <c r="EB8" s="99">
        <f>Dates!EB5</f>
      </c>
      <c r="EC8" s="98">
        <f>Dates!EC5</f>
      </c>
      <c r="ED8" s="98">
        <f>Dates!ED5</f>
      </c>
      <c r="EE8" s="98">
        <f>Dates!EE5</f>
      </c>
      <c r="EF8" s="98">
        <f>Dates!EF5</f>
      </c>
      <c r="EG8" s="99">
        <f>Dates!EG5</f>
      </c>
      <c r="EH8" s="98">
        <f>Dates!EH5</f>
      </c>
      <c r="EI8" s="98">
        <f>Dates!EI5</f>
      </c>
      <c r="EJ8" s="98">
        <f>Dates!EJ5</f>
      </c>
      <c r="EK8" s="98">
        <f>Dates!EK5</f>
      </c>
      <c r="EL8" s="99">
        <f>Dates!EL5</f>
      </c>
      <c r="EM8" s="98">
        <f>Dates!EM5</f>
      </c>
      <c r="EN8" s="98">
        <f>Dates!EN5</f>
      </c>
      <c r="EO8" s="98">
        <f>Dates!EO5</f>
      </c>
      <c r="EP8" s="98">
        <f>Dates!EP5</f>
      </c>
      <c r="EQ8" s="99">
        <f>Dates!EQ5</f>
      </c>
      <c r="ER8" s="98">
        <f>Dates!ER5</f>
      </c>
      <c r="ES8" s="98">
        <f>Dates!ES5</f>
      </c>
      <c r="ET8" s="98">
        <f>Dates!ET5</f>
      </c>
      <c r="EU8" s="98">
        <f>Dates!EU5</f>
      </c>
      <c r="EV8" s="99">
        <f>Dates!EV5</f>
      </c>
      <c r="EW8" s="98">
        <f>Dates!EW5</f>
      </c>
      <c r="EX8" s="98">
        <f>Dates!EX5</f>
      </c>
      <c r="EY8" s="98">
        <f>Dates!EY5</f>
      </c>
      <c r="EZ8" s="98">
        <f>Dates!EZ5</f>
      </c>
      <c r="FA8" s="99">
        <f>Dates!FA5</f>
      </c>
      <c r="FB8" s="98">
        <f>Dates!FB5</f>
      </c>
      <c r="FC8" s="98">
        <f>Dates!FC5</f>
      </c>
      <c r="FD8" s="98">
        <f>Dates!FD5</f>
      </c>
      <c r="FE8" s="98">
        <f>Dates!FE5</f>
      </c>
      <c r="FF8" s="99">
        <f>Dates!FF5</f>
      </c>
      <c r="FG8" s="98">
        <f>Dates!FG5</f>
      </c>
      <c r="FH8" s="98">
        <f>Dates!FH5</f>
      </c>
      <c r="FI8" s="98">
        <f>Dates!FI5</f>
      </c>
      <c r="FJ8" s="98">
        <f>Dates!FJ5</f>
      </c>
      <c r="FK8" s="99">
        <f>Dates!FK5</f>
      </c>
      <c r="FL8" s="98">
        <f>Dates!FL5</f>
      </c>
      <c r="FM8" s="98">
        <f>Dates!FM5</f>
      </c>
      <c r="FN8" s="98">
        <f>Dates!FN5</f>
      </c>
      <c r="FO8" s="98">
        <f>Dates!FO5</f>
      </c>
      <c r="FP8" s="99">
        <f>Dates!FP5</f>
      </c>
      <c r="FQ8" s="98">
        <f>Dates!FQ5</f>
      </c>
      <c r="FR8" s="98">
        <f>Dates!FR5</f>
      </c>
      <c r="FS8" s="98">
        <f>Dates!FS5</f>
      </c>
      <c r="FT8" s="98">
        <f>Dates!FT5</f>
      </c>
      <c r="FU8" s="99">
        <f>Dates!FU5</f>
      </c>
      <c r="FV8" s="98">
        <f>Dates!FV5</f>
      </c>
      <c r="FW8" s="98">
        <f>Dates!FW5</f>
      </c>
      <c r="FX8" s="98">
        <f>Dates!FX5</f>
      </c>
      <c r="FY8" s="98">
        <f>Dates!FY5</f>
      </c>
      <c r="FZ8" s="99">
        <f>Dates!FZ5</f>
      </c>
      <c r="GA8" s="98">
        <f>Dates!GA5</f>
      </c>
      <c r="GB8" s="98">
        <f>Dates!GB5</f>
      </c>
      <c r="GC8" s="98">
        <f>Dates!GC5</f>
      </c>
      <c r="GD8" s="98">
        <f>Dates!GD5</f>
      </c>
      <c r="GE8" s="99">
        <f>Dates!GE5</f>
      </c>
      <c r="GF8" s="98">
        <f>Dates!GF5</f>
      </c>
      <c r="GG8" s="98">
        <f>Dates!GG5</f>
      </c>
      <c r="GH8" s="98">
        <f>Dates!GH5</f>
      </c>
      <c r="GI8" s="98">
        <f>Dates!GI5</f>
      </c>
      <c r="GJ8" s="99">
        <f>Dates!GJ5</f>
      </c>
    </row>
    <row r="9" spans="1:192" ht="12.6" customHeight="1">
      <c r="A9" s="68"/>
      <c r="C9" s="638"/>
      <c r="D9" s="638"/>
      <c r="E9" s="638"/>
      <c r="F9" s="638"/>
      <c r="G9" s="639"/>
      <c r="H9" s="98"/>
      <c r="I9" s="98"/>
      <c r="J9" s="98"/>
      <c r="K9" s="98"/>
      <c r="L9" s="639"/>
      <c r="M9" s="98"/>
      <c r="N9" s="98"/>
      <c r="O9" s="98"/>
      <c r="P9" s="98"/>
      <c r="Q9" s="639"/>
      <c r="R9" s="98"/>
      <c r="S9" s="98"/>
      <c r="T9" s="98"/>
      <c r="U9" s="98"/>
      <c r="V9" s="639"/>
      <c r="W9" s="98"/>
      <c r="X9" s="98"/>
      <c r="Y9" s="98"/>
      <c r="Z9" s="98"/>
      <c r="AA9" s="639"/>
      <c r="AB9" s="98"/>
      <c r="AC9" s="98"/>
      <c r="AD9" s="98"/>
      <c r="AE9" s="98"/>
      <c r="AF9" s="639"/>
      <c r="AG9" s="98"/>
      <c r="AH9" s="98"/>
      <c r="AI9" s="98"/>
      <c r="AJ9" s="98"/>
      <c r="AK9" s="639"/>
      <c r="AP9" s="639"/>
      <c r="AU9" s="639"/>
      <c r="AZ9" s="639"/>
      <c r="BE9" s="639"/>
      <c r="BJ9" s="639"/>
      <c r="BO9" s="639"/>
      <c r="BT9" s="639"/>
      <c r="BY9" s="639"/>
      <c r="CD9" s="639"/>
      <c r="CI9" s="639"/>
      <c r="CN9" s="639"/>
      <c r="CS9" s="639"/>
      <c r="CX9" s="639"/>
      <c r="CZ9" s="643"/>
      <c r="DA9" s="643"/>
      <c r="DB9" s="643"/>
      <c r="DC9" s="639"/>
      <c r="DH9" s="639"/>
      <c r="DM9" s="639"/>
      <c r="DR9" s="639"/>
      <c r="DW9" s="639"/>
      <c r="EB9" s="639"/>
      <c r="EG9" s="639"/>
      <c r="EL9" s="639"/>
      <c r="EQ9" s="639"/>
      <c r="EV9" s="639"/>
      <c r="FA9" s="639"/>
      <c r="FF9" s="639"/>
      <c r="FK9" s="639"/>
      <c r="FP9" s="639"/>
      <c r="FU9" s="639"/>
      <c r="FZ9" s="639"/>
      <c r="GE9" s="639"/>
      <c r="GJ9" s="639"/>
    </row>
    <row r="10" spans="1:192" s="667" customFormat="1" ht="12.6" customHeight="1">
      <c r="A10" s="370"/>
      <c r="B10" s="721" t="s">
        <v>292</v>
      </c>
      <c r="C10" s="443"/>
      <c r="D10" s="443"/>
      <c r="E10" s="443"/>
      <c r="F10" s="443"/>
      <c r="G10" s="664"/>
      <c r="H10" s="665">
        <f>IFERROR(F13,"")</f>
      </c>
      <c r="I10" s="666">
        <f>IFERROR(H13,"")</f>
      </c>
      <c r="J10" s="666">
        <f>IFERROR(I13,"")</f>
      </c>
      <c r="K10" s="666">
        <f>IFERROR(J13,"")</f>
      </c>
      <c r="L10" s="664">
        <f>K10</f>
      </c>
      <c r="M10" s="665">
        <f>IFERROR(K13,"")</f>
      </c>
      <c r="N10" s="666">
        <f>IFERROR(M13,"")</f>
      </c>
      <c r="O10" s="666">
        <f>IFERROR(N13,"")</f>
      </c>
      <c r="P10" s="666">
        <f>IFERROR(O13,"")</f>
      </c>
      <c r="Q10" s="664">
        <f>P10</f>
      </c>
      <c r="R10" s="665">
        <f>IFERROR(P13,"")</f>
      </c>
      <c r="S10" s="666">
        <f>IFERROR(R13,"")</f>
      </c>
      <c r="T10" s="666">
        <f>IFERROR(S13,"")</f>
      </c>
      <c r="U10" s="666">
        <f>IFERROR(T13,"")</f>
      </c>
      <c r="V10" s="664">
        <f>U10</f>
      </c>
      <c r="W10" s="665">
        <f>IFERROR(U13,"")</f>
      </c>
      <c r="X10" s="666">
        <f>IFERROR(W13,"")</f>
      </c>
      <c r="Y10" s="666">
        <f>IFERROR(X13,"")</f>
      </c>
      <c r="Z10" s="666">
        <f>IFERROR(Y13,"")</f>
      </c>
      <c r="AA10" s="664">
        <f>Z10</f>
      </c>
      <c r="AB10" s="665">
        <f>IFERROR(Z13,"")</f>
      </c>
      <c r="AC10" s="666">
        <f>IFERROR(AB13,"")</f>
      </c>
      <c r="AD10" s="666">
        <f>IFERROR(AC13,"")</f>
      </c>
      <c r="AE10" s="666">
        <f>IFERROR(AD13,"")</f>
      </c>
      <c r="AF10" s="664">
        <f>AE10</f>
      </c>
      <c r="AG10" s="665">
        <f>IFERROR(AE13,"")</f>
      </c>
      <c r="AH10" s="666">
        <f>IFERROR(AG13,"")</f>
      </c>
      <c r="AI10" s="666">
        <f>IFERROR(AH13,"")</f>
      </c>
      <c r="AJ10" s="666">
        <f>IFERROR(AI13,"")</f>
      </c>
      <c r="AK10" s="664">
        <f>AJ10</f>
      </c>
      <c r="AL10" s="665">
        <f>IFERROR(AJ13,"")</f>
      </c>
      <c r="AM10" s="666">
        <f>IFERROR(AL13,"")</f>
      </c>
      <c r="AN10" s="666">
        <f>IFERROR(AM13,"")</f>
      </c>
      <c r="AO10" s="666">
        <f>IFERROR(AN13,"")</f>
      </c>
      <c r="AP10" s="664">
        <f>AO10</f>
      </c>
      <c r="AQ10" s="665">
        <f>IFERROR(AO13,"")</f>
      </c>
      <c r="AR10" s="666">
        <f>IFERROR(AQ13,"")</f>
      </c>
      <c r="AS10" s="666">
        <f>IFERROR(AR13,"")</f>
      </c>
      <c r="AT10" s="666">
        <f>IFERROR(AS13,"")</f>
      </c>
      <c r="AU10" s="664">
        <f>AT10</f>
      </c>
      <c r="AV10" s="665">
        <f>IFERROR(AT13,"")</f>
      </c>
      <c r="AW10" s="666">
        <f>IFERROR(AV13,"")</f>
      </c>
      <c r="AX10" s="666">
        <f>IFERROR(AW13,"")</f>
      </c>
      <c r="AY10" s="666">
        <f>IFERROR(AX13,"")</f>
      </c>
      <c r="AZ10" s="664">
        <f>AY10</f>
      </c>
      <c r="BA10" s="665">
        <f>IFERROR(AY13,"")</f>
      </c>
      <c r="BB10" s="666">
        <f>IFERROR(BA13,"")</f>
      </c>
      <c r="BC10" s="666">
        <f>IFERROR(BB13,"")</f>
      </c>
      <c r="BD10" s="666">
        <f>IFERROR(BC13,"")</f>
      </c>
      <c r="BE10" s="664">
        <f>BD10</f>
      </c>
      <c r="BF10" s="665">
        <f>IFERROR(BD13,"")</f>
      </c>
      <c r="BG10" s="666">
        <f>IFERROR(BF13,"")</f>
      </c>
      <c r="BH10" s="666">
        <f>IFERROR(BG13,"")</f>
      </c>
      <c r="BI10" s="666">
        <f>IFERROR(BH13,"")</f>
      </c>
      <c r="BJ10" s="664">
        <f>BI10</f>
      </c>
      <c r="BK10" s="665">
        <f>IFERROR(BI13,"")</f>
      </c>
      <c r="BL10" s="666">
        <f>IFERROR(BK13,"")</f>
      </c>
      <c r="BM10" s="666">
        <f>IFERROR(BL13,"")</f>
      </c>
      <c r="BN10" s="666">
        <f>IFERROR(BM13,"")</f>
      </c>
      <c r="BO10" s="664">
        <f>BN10</f>
      </c>
      <c r="BP10" s="665">
        <f>IFERROR(BN13,"")</f>
      </c>
      <c r="BQ10" s="666">
        <f>IFERROR(BP13,"")</f>
      </c>
      <c r="BR10" s="666">
        <f>IFERROR(BQ13,"")</f>
      </c>
      <c r="BS10" s="666">
        <f>IFERROR(BR13,"")</f>
      </c>
      <c r="BT10" s="664">
        <f>BS10</f>
      </c>
      <c r="BU10" s="665">
        <f>IFERROR(BS13,"")</f>
      </c>
      <c r="BV10" s="666">
        <f>IFERROR(BU13,"")</f>
      </c>
      <c r="BW10" s="666">
        <f>IFERROR(BV13,"")</f>
      </c>
      <c r="BX10" s="666">
        <f>IFERROR(BW13,"")</f>
      </c>
      <c r="BY10" s="664">
        <f>BX10</f>
      </c>
      <c r="BZ10" s="665">
        <f>IFERROR(BX13,"")</f>
      </c>
      <c r="CA10" s="666">
        <f>IFERROR(BZ13,"")</f>
      </c>
      <c r="CB10" s="666">
        <f>IFERROR(CA13,"")</f>
      </c>
      <c r="CC10" s="666">
        <f>IFERROR(CB13,"")</f>
      </c>
      <c r="CD10" s="664">
        <f>CC10</f>
      </c>
      <c r="CE10" s="665">
        <f>IFERROR(CC13,"")</f>
      </c>
      <c r="CF10" s="666">
        <f>IFERROR(CE13,"")</f>
      </c>
      <c r="CG10" s="666">
        <f>IFERROR(CF13,"")</f>
      </c>
      <c r="CH10" s="666">
        <f>IFERROR(CG13,"")</f>
      </c>
      <c r="CI10" s="664">
        <f>CH10</f>
      </c>
      <c r="CJ10" s="665">
        <f>IFERROR(CH13,"")</f>
      </c>
      <c r="CK10" s="666">
        <f>IFERROR(CJ13,"")</f>
      </c>
      <c r="CL10" s="666">
        <f>IFERROR(CK13,"")</f>
      </c>
      <c r="CM10" s="666">
        <f>IFERROR(CL13,"")</f>
      </c>
      <c r="CN10" s="664">
        <f>CM10</f>
      </c>
      <c r="CO10" s="665">
        <f>IFERROR(CM13,"")</f>
      </c>
      <c r="CP10" s="666">
        <f>IFERROR(CO13,"")</f>
      </c>
      <c r="CQ10" s="666">
        <f>IFERROR(CP13,"")</f>
      </c>
      <c r="CR10" s="666">
        <f>IFERROR(CQ13,"")</f>
      </c>
      <c r="CS10" s="664">
        <f>CR10</f>
      </c>
      <c r="CT10" s="665">
        <f>IFERROR(CR13,"")</f>
      </c>
      <c r="CU10" s="666">
        <f>IFERROR(CT13,"")</f>
      </c>
      <c r="CV10" s="666">
        <f>IFERROR(CU13,"")</f>
      </c>
      <c r="CW10" s="666">
        <f>IFERROR(CV13,"")</f>
      </c>
      <c r="CX10" s="664">
        <f>CW10</f>
      </c>
      <c r="CY10" s="665">
        <f>IFERROR(CW13,"")</f>
      </c>
      <c r="CZ10" s="666">
        <f>IFERROR(CY13,"")</f>
      </c>
      <c r="DA10" s="666">
        <f>IFERROR(CZ13,"")</f>
      </c>
      <c r="DB10" s="666">
        <f>IFERROR(DA13,"")</f>
      </c>
      <c r="DC10" s="664">
        <f>DB10</f>
      </c>
      <c r="DD10" s="665"/>
      <c r="DE10" s="666"/>
      <c r="DF10" s="666"/>
      <c r="DG10" s="666"/>
      <c r="DH10" s="664"/>
      <c r="DI10" s="665"/>
      <c r="DJ10" s="666"/>
      <c r="DK10" s="666"/>
      <c r="DL10" s="666"/>
      <c r="DM10" s="664"/>
      <c r="DN10" s="665"/>
      <c r="DO10" s="666"/>
      <c r="DP10" s="666"/>
      <c r="DQ10" s="666"/>
      <c r="DR10" s="664"/>
      <c r="DS10" s="665"/>
      <c r="DT10" s="666"/>
      <c r="DU10" s="666"/>
      <c r="DV10" s="666"/>
      <c r="DW10" s="664"/>
      <c r="DX10" s="665">
        <f>IFERROR(DV13,"")</f>
      </c>
      <c r="DY10" s="666">
        <f>IFERROR(DX13,"")</f>
      </c>
      <c r="DZ10" s="666">
        <f>IFERROR(DY13,"")</f>
      </c>
      <c r="EA10" s="666">
        <f>IFERROR(DZ13,"")</f>
      </c>
      <c r="EB10" s="664">
        <f>EA10</f>
      </c>
      <c r="EC10" s="665">
        <f>IFERROR(EA13,"")</f>
      </c>
      <c r="ED10" s="666">
        <f>IFERROR(EC13,"")</f>
      </c>
      <c r="EE10" s="666">
        <f>IFERROR(ED13,"")</f>
      </c>
      <c r="EF10" s="666">
        <f>IFERROR(EE13,"")</f>
      </c>
      <c r="EG10" s="664">
        <f>EF10</f>
      </c>
      <c r="EH10" s="665">
        <f>IFERROR(EF13,"")</f>
      </c>
      <c r="EI10" s="666">
        <f>IFERROR(EH13,"")</f>
      </c>
      <c r="EJ10" s="666">
        <f>IFERROR(EI13,"")</f>
      </c>
      <c r="EK10" s="666">
        <f>IFERROR(EJ13,"")</f>
      </c>
      <c r="EL10" s="664">
        <f>EK10</f>
      </c>
      <c r="EM10" s="665">
        <f>IFERROR(EK13,"")</f>
      </c>
      <c r="EN10" s="666">
        <f>IFERROR(EM13,"")</f>
      </c>
      <c r="EO10" s="666">
        <f>IFERROR(EN13,"")</f>
      </c>
      <c r="EP10" s="666">
        <f>IFERROR(EO13,"")</f>
      </c>
      <c r="EQ10" s="664">
        <f>EP10</f>
      </c>
      <c r="ER10" s="665">
        <f>IFERROR(EP13,"")</f>
      </c>
      <c r="ES10" s="666">
        <f>IFERROR(ER13,"")</f>
      </c>
      <c r="ET10" s="666">
        <f>IFERROR(ES13,"")</f>
      </c>
      <c r="EU10" s="666">
        <f>IFERROR(ET13,"")</f>
      </c>
      <c r="EV10" s="664">
        <f>EU10</f>
      </c>
      <c r="EW10" s="665">
        <f>IFERROR(EU13,"")</f>
      </c>
      <c r="EX10" s="666">
        <f>IFERROR(EW13,"")</f>
      </c>
      <c r="EY10" s="666">
        <f>IFERROR(EX13,"")</f>
      </c>
      <c r="EZ10" s="666">
        <f>IFERROR(EY13,"")</f>
      </c>
      <c r="FA10" s="664">
        <f>EZ10</f>
      </c>
      <c r="FB10" s="665">
        <f>IFERROR(EZ13,"")</f>
      </c>
      <c r="FC10" s="666">
        <f>IFERROR(FB13,"")</f>
      </c>
      <c r="FD10" s="666">
        <f>IFERROR(FC13,"")</f>
      </c>
      <c r="FE10" s="666">
        <f>IFERROR(FD13,"")</f>
      </c>
      <c r="FF10" s="664">
        <f>FE10</f>
      </c>
      <c r="FG10" s="665">
        <f>IFERROR(FE13,"")</f>
      </c>
      <c r="FH10" s="666">
        <f>IFERROR(FG13,"")</f>
      </c>
      <c r="FI10" s="666">
        <f>IFERROR(FH13,"")</f>
      </c>
      <c r="FJ10" s="666">
        <f>IFERROR(FI13,"")</f>
      </c>
      <c r="FK10" s="664">
        <f>FJ10</f>
      </c>
      <c r="FL10" s="665">
        <f>IFERROR(FJ13,"")</f>
      </c>
      <c r="FM10" s="666">
        <f>IFERROR(FL13,"")</f>
      </c>
      <c r="FN10" s="666">
        <f>IFERROR(FM13,"")</f>
      </c>
      <c r="FO10" s="666">
        <f>IFERROR(FN13,"")</f>
      </c>
      <c r="FP10" s="664">
        <f>FO10</f>
      </c>
      <c r="FQ10" s="665">
        <f>IFERROR(FO13,"")</f>
      </c>
      <c r="FR10" s="666">
        <f>IFERROR(FQ13,"")</f>
      </c>
      <c r="FS10" s="666">
        <f>IFERROR(FR13,"")</f>
      </c>
      <c r="FT10" s="666">
        <f>IFERROR(FS13,"")</f>
      </c>
      <c r="FU10" s="664">
        <f>FT10</f>
      </c>
      <c r="FV10" s="665">
        <f>IFERROR(FT13,"")</f>
      </c>
      <c r="FW10" s="666">
        <f>IFERROR(FV13,"")</f>
      </c>
      <c r="FX10" s="666">
        <f>IFERROR(FW13,"")</f>
      </c>
      <c r="FY10" s="666">
        <f>IFERROR(FX13,"")</f>
      </c>
      <c r="FZ10" s="664">
        <f>FY10</f>
      </c>
      <c r="GA10" s="665">
        <f>IFERROR(FY13,"")</f>
      </c>
      <c r="GB10" s="666">
        <f>IFERROR(GA13,"")</f>
      </c>
      <c r="GC10" s="666">
        <f>IFERROR(GB13,"")</f>
      </c>
      <c r="GD10" s="666">
        <f>IFERROR(GC13,"")</f>
      </c>
      <c r="GE10" s="664">
        <f>GD10</f>
      </c>
      <c r="GF10" s="665">
        <f>IFERROR(GD13,"")</f>
      </c>
      <c r="GG10" s="666">
        <f>IFERROR(GF13,"")</f>
      </c>
      <c r="GH10" s="666">
        <f>IFERROR(GG13,"")</f>
      </c>
      <c r="GI10" s="666">
        <f>IFERROR(GH13,"")</f>
      </c>
      <c r="GJ10" s="664">
        <f>GI10</f>
      </c>
    </row>
    <row r="11" spans="1:192" s="135" customFormat="1" ht="12.6" customHeight="1">
      <c r="A11" s="134"/>
      <c r="B11" s="676" t="s">
        <v>293</v>
      </c>
      <c r="C11" s="458">
        <f t="shared" ref="C11:AH11" si="0">IFERROR(C13-C12-C10,"")</f>
      </c>
      <c r="D11" s="458">
        <f t="shared" si="0"/>
      </c>
      <c r="E11" s="458">
        <f t="shared" si="0"/>
      </c>
      <c r="F11" s="458">
        <f t="shared" si="0"/>
      </c>
      <c r="G11" s="662">
        <f t="shared" si="0"/>
      </c>
      <c r="H11" s="458">
        <f t="shared" si="0"/>
      </c>
      <c r="I11" s="458">
        <f t="shared" si="0"/>
      </c>
      <c r="J11" s="458">
        <f t="shared" si="0"/>
      </c>
      <c r="K11" s="458">
        <f t="shared" si="0"/>
      </c>
      <c r="L11" s="662">
        <f t="shared" si="0"/>
      </c>
      <c r="M11" s="458">
        <f t="shared" si="0"/>
      </c>
      <c r="N11" s="458">
        <f t="shared" si="0"/>
      </c>
      <c r="O11" s="458">
        <f t="shared" si="0"/>
      </c>
      <c r="P11" s="458">
        <f t="shared" si="0"/>
      </c>
      <c r="Q11" s="662">
        <f t="shared" si="0"/>
      </c>
      <c r="R11" s="458">
        <f t="shared" si="0"/>
      </c>
      <c r="S11" s="458">
        <f t="shared" si="0"/>
      </c>
      <c r="T11" s="458">
        <f t="shared" si="0"/>
      </c>
      <c r="U11" s="458">
        <f t="shared" si="0"/>
      </c>
      <c r="V11" s="662">
        <f t="shared" si="0"/>
      </c>
      <c r="W11" s="458">
        <f t="shared" si="0"/>
      </c>
      <c r="X11" s="458">
        <f t="shared" si="0"/>
      </c>
      <c r="Y11" s="458">
        <f t="shared" si="0"/>
      </c>
      <c r="Z11" s="458">
        <f t="shared" si="0"/>
      </c>
      <c r="AA11" s="662">
        <f t="shared" si="0"/>
      </c>
      <c r="AB11" s="458">
        <f t="shared" si="0"/>
      </c>
      <c r="AC11" s="458">
        <f t="shared" si="0"/>
      </c>
      <c r="AD11" s="458">
        <f t="shared" si="0"/>
      </c>
      <c r="AE11" s="458">
        <f t="shared" si="0"/>
      </c>
      <c r="AF11" s="662">
        <f t="shared" si="0"/>
      </c>
      <c r="AG11" s="458">
        <f t="shared" si="0"/>
      </c>
      <c r="AH11" s="458">
        <f t="shared" si="0"/>
      </c>
      <c r="AI11" s="458">
        <f t="shared" ref="AI11:BN11" si="1">IFERROR(AI13-AI12-AI10,"")</f>
      </c>
      <c r="AJ11" s="458">
        <f t="shared" si="1"/>
      </c>
      <c r="AK11" s="662">
        <f t="shared" si="1"/>
      </c>
      <c r="AL11" s="458">
        <f t="shared" si="1"/>
      </c>
      <c r="AM11" s="458">
        <f t="shared" si="1"/>
      </c>
      <c r="AN11" s="458">
        <f t="shared" si="1"/>
      </c>
      <c r="AO11" s="458">
        <f t="shared" si="1"/>
      </c>
      <c r="AP11" s="662">
        <f t="shared" si="1"/>
      </c>
      <c r="AQ11" s="458">
        <f t="shared" si="1"/>
      </c>
      <c r="AR11" s="458">
        <f t="shared" si="1"/>
      </c>
      <c r="AS11" s="458">
        <f t="shared" si="1"/>
      </c>
      <c r="AT11" s="458">
        <f t="shared" si="1"/>
      </c>
      <c r="AU11" s="662">
        <f t="shared" si="1"/>
      </c>
      <c r="AV11" s="458">
        <f t="shared" si="1"/>
      </c>
      <c r="AW11" s="458">
        <f t="shared" si="1"/>
      </c>
      <c r="AX11" s="458">
        <f t="shared" si="1"/>
      </c>
      <c r="AY11" s="458">
        <f t="shared" si="1"/>
      </c>
      <c r="AZ11" s="662">
        <f t="shared" si="1"/>
      </c>
      <c r="BA11" s="458">
        <f t="shared" si="1"/>
      </c>
      <c r="BB11" s="458">
        <f t="shared" si="1"/>
      </c>
      <c r="BC11" s="458">
        <f t="shared" si="1"/>
      </c>
      <c r="BD11" s="458">
        <f t="shared" si="1"/>
      </c>
      <c r="BE11" s="662">
        <f t="shared" si="1"/>
      </c>
      <c r="BF11" s="458">
        <f t="shared" si="1"/>
      </c>
      <c r="BG11" s="458">
        <f t="shared" si="1"/>
      </c>
      <c r="BH11" s="458">
        <f t="shared" si="1"/>
      </c>
      <c r="BI11" s="458">
        <f t="shared" si="1"/>
      </c>
      <c r="BJ11" s="662">
        <f t="shared" si="1"/>
      </c>
      <c r="BK11" s="458">
        <f t="shared" si="1"/>
      </c>
      <c r="BL11" s="458">
        <f t="shared" si="1"/>
      </c>
      <c r="BM11" s="458">
        <f t="shared" si="1"/>
      </c>
      <c r="BN11" s="458">
        <f t="shared" si="1"/>
      </c>
      <c r="BO11" s="662">
        <f t="shared" ref="BO11:CT11" si="2">IFERROR(BO13-BO12-BO10,"")</f>
      </c>
      <c r="BP11" s="458">
        <f t="shared" si="2"/>
      </c>
      <c r="BQ11" s="458">
        <f t="shared" si="2"/>
      </c>
      <c r="BR11" s="458">
        <f t="shared" si="2"/>
      </c>
      <c r="BS11" s="458">
        <f t="shared" si="2"/>
      </c>
      <c r="BT11" s="662">
        <f t="shared" si="2"/>
      </c>
      <c r="BU11" s="458">
        <f t="shared" si="2"/>
      </c>
      <c r="BV11" s="458">
        <f t="shared" si="2"/>
      </c>
      <c r="BW11" s="458">
        <f t="shared" si="2"/>
      </c>
      <c r="BX11" s="458">
        <f t="shared" si="2"/>
      </c>
      <c r="BY11" s="662">
        <f t="shared" si="2"/>
      </c>
      <c r="BZ11" s="458">
        <f t="shared" si="2"/>
      </c>
      <c r="CA11" s="458">
        <f t="shared" si="2"/>
      </c>
      <c r="CB11" s="458">
        <f t="shared" si="2"/>
      </c>
      <c r="CC11" s="458">
        <f t="shared" si="2"/>
      </c>
      <c r="CD11" s="662">
        <f t="shared" si="2"/>
      </c>
      <c r="CE11" s="458">
        <f t="shared" si="2"/>
      </c>
      <c r="CF11" s="458">
        <f t="shared" si="2"/>
      </c>
      <c r="CG11" s="458">
        <f t="shared" si="2"/>
      </c>
      <c r="CH11" s="458">
        <f t="shared" si="2"/>
      </c>
      <c r="CI11" s="662">
        <f t="shared" si="2"/>
      </c>
      <c r="CJ11" s="458">
        <f t="shared" si="2"/>
      </c>
      <c r="CK11" s="458">
        <f t="shared" si="2"/>
      </c>
      <c r="CL11" s="458">
        <f t="shared" si="2"/>
      </c>
      <c r="CM11" s="458">
        <f t="shared" si="2"/>
      </c>
      <c r="CN11" s="662">
        <f t="shared" si="2"/>
      </c>
      <c r="CO11" s="458">
        <f t="shared" si="2"/>
      </c>
      <c r="CP11" s="458">
        <f t="shared" si="2"/>
      </c>
      <c r="CQ11" s="458">
        <f t="shared" si="2"/>
      </c>
      <c r="CR11" s="458">
        <f t="shared" si="2"/>
      </c>
      <c r="CS11" s="662">
        <f t="shared" si="2"/>
      </c>
      <c r="CT11" s="458">
        <f t="shared" si="2"/>
      </c>
      <c r="CU11" s="458">
        <f t="shared" ref="CU11:DZ11" si="3">IFERROR(CU13-CU12-CU10,"")</f>
      </c>
      <c r="CV11" s="458">
        <f t="shared" si="3"/>
      </c>
      <c r="CW11" s="458">
        <f t="shared" si="3"/>
      </c>
      <c r="CX11" s="662">
        <f t="shared" si="3"/>
      </c>
      <c r="CY11" s="458">
        <f t="shared" si="3"/>
      </c>
      <c r="CZ11" s="458">
        <f t="shared" si="3"/>
      </c>
      <c r="DA11" s="458">
        <f t="shared" si="3"/>
      </c>
      <c r="DB11" s="458">
        <f t="shared" si="3"/>
      </c>
      <c r="DC11" s="662">
        <f t="shared" si="3"/>
      </c>
      <c r="DD11" s="458">
        <f t="shared" si="3"/>
      </c>
      <c r="DE11" s="458">
        <f t="shared" si="3"/>
      </c>
      <c r="DF11" s="458">
        <f t="shared" si="3"/>
      </c>
      <c r="DG11" s="458">
        <f t="shared" si="3"/>
      </c>
      <c r="DH11" s="662">
        <f t="shared" si="3"/>
      </c>
      <c r="DI11" s="458">
        <f t="shared" si="3"/>
      </c>
      <c r="DJ11" s="458">
        <f t="shared" si="3"/>
      </c>
      <c r="DK11" s="458">
        <f t="shared" si="3"/>
      </c>
      <c r="DL11" s="458">
        <f t="shared" si="3"/>
      </c>
      <c r="DM11" s="662">
        <f t="shared" si="3"/>
      </c>
      <c r="DN11" s="458">
        <f t="shared" si="3"/>
      </c>
      <c r="DO11" s="458">
        <f t="shared" si="3"/>
      </c>
      <c r="DP11" s="458">
        <f t="shared" si="3"/>
      </c>
      <c r="DQ11" s="458">
        <f t="shared" si="3"/>
      </c>
      <c r="DR11" s="662">
        <f t="shared" si="3"/>
      </c>
      <c r="DS11" s="458">
        <f t="shared" si="3"/>
      </c>
      <c r="DT11" s="458">
        <f t="shared" si="3"/>
      </c>
      <c r="DU11" s="458">
        <f t="shared" si="3"/>
      </c>
      <c r="DV11" s="458">
        <f t="shared" si="3"/>
      </c>
      <c r="DW11" s="662">
        <f t="shared" si="3"/>
      </c>
      <c r="DX11" s="458">
        <f t="shared" si="3"/>
      </c>
      <c r="DY11" s="458">
        <f t="shared" si="3"/>
      </c>
      <c r="DZ11" s="458">
        <f t="shared" si="3"/>
      </c>
      <c r="EA11" s="458">
        <f>IFERROR(EA13-EA12-EA10,"")</f>
      </c>
      <c r="EB11" s="662">
        <f>IFERROR(EB13-EB12-EB10,"")</f>
      </c>
      <c r="EC11" s="458">
        <f t="shared" ref="EC11:ES11" si="4">IFERROR(EC13-EC12-EC10,"")</f>
      </c>
      <c r="ED11" s="458">
        <f t="shared" si="4"/>
      </c>
      <c r="EE11" s="458">
        <f t="shared" si="4"/>
      </c>
      <c r="EF11" s="458">
        <f t="shared" si="4"/>
      </c>
      <c r="EG11" s="662">
        <f t="shared" si="4"/>
      </c>
      <c r="EH11" s="458">
        <f t="shared" si="4"/>
      </c>
      <c r="EI11" s="458">
        <f t="shared" si="4"/>
      </c>
      <c r="EJ11" s="458">
        <f t="shared" si="4"/>
      </c>
      <c r="EK11" s="458">
        <f t="shared" si="4"/>
      </c>
      <c r="EL11" s="662">
        <f t="shared" si="4"/>
      </c>
      <c r="EM11" s="458">
        <f t="shared" si="4"/>
      </c>
      <c r="EN11" s="458">
        <f t="shared" si="4"/>
      </c>
      <c r="EO11" s="458">
        <f t="shared" si="4"/>
      </c>
      <c r="EP11" s="458">
        <f t="shared" si="4"/>
      </c>
      <c r="EQ11" s="662">
        <f t="shared" si="4"/>
      </c>
      <c r="ER11" s="458">
        <f t="shared" si="4"/>
      </c>
      <c r="ES11" s="458">
        <f t="shared" si="4"/>
      </c>
      <c r="ET11" s="458">
        <f>IFERROR(ET13-ET12-ET10,"")</f>
      </c>
      <c r="EU11" s="458">
        <f>IFERROR(EU13-EU12-EU10,"")</f>
      </c>
      <c r="EV11" s="662">
        <f>IFERROR(EV13-EV12-EV10,"")</f>
      </c>
      <c r="EW11" s="458">
        <f t="shared" ref="EW11:EX11" si="5">IFERROR(EW13-EW12-EW10,"")</f>
      </c>
      <c r="EX11" s="458">
        <f t="shared" si="5"/>
      </c>
      <c r="EY11" s="458">
        <f>IFERROR(EY13-EY12-EY10,"")</f>
      </c>
      <c r="EZ11" s="458">
        <f>IFERROR(EZ13-EZ12-EZ10,"")</f>
      </c>
      <c r="FA11" s="662">
        <f>IFERROR(FA13-FA12-FA10,"")</f>
      </c>
      <c r="FB11" s="493">
        <v>10</v>
      </c>
      <c r="FC11" s="493">
        <f>FB11</f>
      </c>
      <c r="FD11" s="493">
        <f>FC11</f>
      </c>
      <c r="FE11" s="493">
        <f>FD11</f>
      </c>
      <c r="FF11" s="662">
        <f>IFERROR(FF13-FF12-FF10,"")</f>
      </c>
      <c r="FG11" s="493">
        <v>10</v>
      </c>
      <c r="FH11" s="493">
        <f>FG11</f>
      </c>
      <c r="FI11" s="493">
        <f>FH11</f>
      </c>
      <c r="FJ11" s="493">
        <f>FI11</f>
      </c>
      <c r="FK11" s="662">
        <f>IFERROR(FK13-FK12-FK10,"")</f>
      </c>
      <c r="FL11" s="493">
        <v>10</v>
      </c>
      <c r="FM11" s="493">
        <f>FL11</f>
      </c>
      <c r="FN11" s="493">
        <f>FM11</f>
      </c>
      <c r="FO11" s="493">
        <f>FN11</f>
      </c>
      <c r="FP11" s="662">
        <f>IFERROR(FP13-FP12-FP10,"")</f>
      </c>
      <c r="FQ11" s="493">
        <v>10</v>
      </c>
      <c r="FR11" s="493">
        <f>FQ11</f>
      </c>
      <c r="FS11" s="493">
        <f>FR11</f>
      </c>
      <c r="FT11" s="493">
        <f>FS11</f>
      </c>
      <c r="FU11" s="662">
        <f>IFERROR(FU13-FU12-FU10,"")</f>
      </c>
      <c r="FV11" s="493">
        <v>10</v>
      </c>
      <c r="FW11" s="493">
        <f>FV11</f>
      </c>
      <c r="FX11" s="493">
        <f>FW11</f>
      </c>
      <c r="FY11" s="493">
        <f>FX11</f>
      </c>
      <c r="FZ11" s="662">
        <f>IFERROR(FZ13-FZ12-FZ10,"")</f>
      </c>
      <c r="GA11" s="493">
        <v>10</v>
      </c>
      <c r="GB11" s="493">
        <f>GA11</f>
      </c>
      <c r="GC11" s="493">
        <f>GB11</f>
      </c>
      <c r="GD11" s="493">
        <f>GC11</f>
      </c>
      <c r="GE11" s="662">
        <f>IFERROR(GE13-GE12-GE10,"")</f>
      </c>
      <c r="GF11" s="493">
        <v>10</v>
      </c>
      <c r="GG11" s="493">
        <f>GF11</f>
      </c>
      <c r="GH11" s="493">
        <f>GG11</f>
      </c>
      <c r="GI11" s="493">
        <f>GH11</f>
      </c>
      <c r="GJ11" s="662">
        <f>IFERROR(GJ13-GJ12-GJ10,"")</f>
      </c>
    </row>
    <row r="12" spans="1:192" s="374" customFormat="1" ht="12.6" customHeight="1">
      <c r="A12" s="370"/>
      <c r="B12" s="1128" t="s">
        <v>294</v>
      </c>
      <c r="C12" s="447"/>
      <c r="D12" s="458"/>
      <c r="E12" s="458"/>
      <c r="F12" s="458"/>
      <c r="G12" s="662"/>
      <c r="H12" s="447"/>
      <c r="I12" s="458"/>
      <c r="J12" s="458"/>
      <c r="K12" s="458"/>
      <c r="L12" s="662"/>
      <c r="M12" s="458"/>
      <c r="N12" s="458"/>
      <c r="O12" s="458"/>
      <c r="P12" s="458"/>
      <c r="Q12" s="662"/>
      <c r="R12" s="458"/>
      <c r="S12" s="458"/>
      <c r="T12" s="458"/>
      <c r="U12" s="458"/>
      <c r="V12" s="662"/>
      <c r="W12" s="458"/>
      <c r="X12" s="458"/>
      <c r="Y12" s="458"/>
      <c r="Z12" s="458"/>
      <c r="AA12" s="662"/>
      <c r="AB12" s="458"/>
      <c r="AC12" s="458"/>
      <c r="AD12" s="458"/>
      <c r="AE12" s="458"/>
      <c r="AF12" s="662"/>
      <c r="AG12" s="458"/>
      <c r="AH12" s="458"/>
      <c r="AI12" s="458"/>
      <c r="AJ12" s="679"/>
      <c r="AK12" s="662"/>
      <c r="AP12" s="662"/>
      <c r="AU12" s="662"/>
      <c r="AZ12" s="662"/>
      <c r="BE12" s="662"/>
      <c r="BJ12" s="662"/>
      <c r="BO12" s="662"/>
      <c r="BT12" s="662"/>
      <c r="BY12" s="662"/>
      <c r="CD12" s="662"/>
      <c r="CI12" s="662"/>
      <c r="CN12" s="662"/>
      <c r="CS12" s="662">
        <f>SUM(CO12:CR12)</f>
      </c>
      <c r="CT12" s="680"/>
      <c r="CU12" s="680"/>
      <c r="CV12" s="680"/>
      <c r="CW12" s="680"/>
      <c r="CX12" s="662">
        <f>SUM(CT12:CW12)</f>
      </c>
      <c r="CY12" s="680"/>
      <c r="CZ12" s="680"/>
      <c r="DA12" s="680"/>
      <c r="DB12" s="680"/>
      <c r="DC12" s="662">
        <f>SUM(CY12:DB12)</f>
      </c>
      <c r="DD12" s="680"/>
      <c r="DE12" s="680"/>
      <c r="DF12" s="680"/>
      <c r="DG12" s="680"/>
      <c r="DH12" s="662">
        <f>SUM(DD12:DG12)</f>
      </c>
      <c r="DI12" s="680"/>
      <c r="DJ12" s="680"/>
      <c r="DK12" s="680"/>
      <c r="DL12" s="680"/>
      <c r="DM12" s="662">
        <f>SUM(DI12:DL12)</f>
      </c>
      <c r="DN12" s="680"/>
      <c r="DO12" s="680"/>
      <c r="DP12" s="680"/>
      <c r="DQ12" s="680"/>
      <c r="DR12" s="662">
        <f>SUM(DN12:DQ12)</f>
      </c>
      <c r="DS12" s="680"/>
      <c r="DT12" s="680"/>
      <c r="DU12" s="680"/>
      <c r="DV12" s="680"/>
      <c r="DW12" s="662">
        <f>SUM(DS12:DV12)</f>
      </c>
      <c r="DX12" s="680"/>
      <c r="DY12" s="680"/>
      <c r="DZ12" s="680"/>
      <c r="EA12" s="680"/>
      <c r="EB12" s="662"/>
      <c r="EC12" s="374">
        <f>EC27</f>
      </c>
      <c r="ED12" s="374">
        <f t="shared" ref="ED12:FY12" si="6">ED27</f>
      </c>
      <c r="EE12" s="374">
        <f t="shared" si="6"/>
      </c>
      <c r="EF12" s="374">
        <f t="shared" si="6"/>
      </c>
      <c r="EG12" s="662">
        <f t="shared" si="6"/>
      </c>
      <c r="EH12" s="374">
        <f t="shared" si="6"/>
      </c>
      <c r="EI12" s="374">
        <f t="shared" si="6"/>
      </c>
      <c r="EJ12" s="374">
        <f t="shared" si="6"/>
      </c>
      <c r="EK12" s="374">
        <f t="shared" si="6"/>
      </c>
      <c r="EL12" s="662">
        <f t="shared" si="6"/>
      </c>
      <c r="EM12" s="374">
        <f t="shared" si="6"/>
      </c>
      <c r="EN12" s="374">
        <f t="shared" si="6"/>
      </c>
      <c r="EO12" s="374">
        <f t="shared" si="6"/>
      </c>
      <c r="EP12" s="374">
        <f t="shared" si="6"/>
      </c>
      <c r="EQ12" s="662">
        <f t="shared" si="6"/>
      </c>
      <c r="ER12" s="374">
        <f t="shared" si="6"/>
      </c>
      <c r="ES12" s="374">
        <f t="shared" si="6"/>
      </c>
      <c r="ET12" s="374">
        <f>ET27</f>
      </c>
      <c r="EU12" s="374">
        <f>EU27</f>
      </c>
      <c r="EV12" s="662">
        <f>EV27</f>
      </c>
      <c r="EW12" s="374">
        <f t="shared" ref="EW12:EX12" si="7">EW27</f>
      </c>
      <c r="EX12" s="374">
        <f t="shared" si="7"/>
      </c>
      <c r="EY12" s="374">
        <f>EY27</f>
      </c>
      <c r="EZ12" s="374">
        <f>EZ27</f>
      </c>
      <c r="FA12" s="662">
        <f>FA27</f>
      </c>
      <c r="FB12" s="374">
        <f t="shared" si="6"/>
      </c>
      <c r="FC12" s="374">
        <f t="shared" si="6"/>
      </c>
      <c r="FD12" s="374">
        <f t="shared" si="6"/>
      </c>
      <c r="FE12" s="374">
        <f t="shared" si="6"/>
      </c>
      <c r="FF12" s="662">
        <f>SUM(FB12:FE12)</f>
      </c>
      <c r="FG12" s="374">
        <f t="shared" si="6"/>
      </c>
      <c r="FH12" s="374">
        <f t="shared" si="6"/>
      </c>
      <c r="FI12" s="374">
        <f t="shared" si="6"/>
      </c>
      <c r="FJ12" s="374">
        <f t="shared" si="6"/>
      </c>
      <c r="FK12" s="662">
        <f>SUM(FG12:FJ12)</f>
      </c>
      <c r="FL12" s="374">
        <f t="shared" si="6"/>
      </c>
      <c r="FM12" s="374">
        <f t="shared" si="6"/>
      </c>
      <c r="FN12" s="374">
        <f t="shared" si="6"/>
      </c>
      <c r="FO12" s="374">
        <f t="shared" si="6"/>
      </c>
      <c r="FP12" s="662">
        <f>SUM(FL12:FO12)</f>
      </c>
      <c r="FQ12" s="374">
        <f t="shared" si="6"/>
      </c>
      <c r="FR12" s="374">
        <f t="shared" si="6"/>
      </c>
      <c r="FS12" s="374">
        <f t="shared" si="6"/>
      </c>
      <c r="FT12" s="374">
        <f t="shared" si="6"/>
      </c>
      <c r="FU12" s="662">
        <f>SUM(FQ12:FT12)</f>
      </c>
      <c r="FV12" s="374">
        <f t="shared" si="6"/>
      </c>
      <c r="FW12" s="374">
        <f t="shared" si="6"/>
      </c>
      <c r="FX12" s="374">
        <f t="shared" si="6"/>
      </c>
      <c r="FY12" s="374">
        <f t="shared" si="6"/>
      </c>
      <c r="FZ12" s="662">
        <f>SUM(FV12:FY12)</f>
      </c>
      <c r="GA12" s="374">
        <f>GA27</f>
      </c>
      <c r="GB12" s="374">
        <f>GB27</f>
      </c>
      <c r="GC12" s="374">
        <f>GC27</f>
      </c>
      <c r="GD12" s="374">
        <f>GD27</f>
      </c>
      <c r="GE12" s="662">
        <f>SUM(GA12:GD12)</f>
      </c>
      <c r="GF12" s="374">
        <f>GF27</f>
      </c>
      <c r="GG12" s="374">
        <f>GG27</f>
      </c>
      <c r="GH12" s="374">
        <f>GH27</f>
      </c>
      <c r="GI12" s="374">
        <f>GI27</f>
      </c>
      <c r="GJ12" s="662">
        <f>SUM(GF12:GI12)</f>
      </c>
    </row>
    <row r="13" spans="1:192" s="1373" customFormat="1" ht="12.6" customHeight="1">
      <c r="A13" s="640"/>
      <c r="B13" s="722" t="s">
        <v>295</v>
      </c>
      <c r="C13" s="654">
        <f>IFERROR(IS!C151,"")</f>
      </c>
      <c r="D13" s="654">
        <f>IFERROR(IS!D151,"")</f>
      </c>
      <c r="E13" s="654">
        <f>IFERROR(IS!E151,"")</f>
      </c>
      <c r="F13" s="654">
        <f>IFERROR(IS!F151,"")</f>
      </c>
      <c r="G13" s="655">
        <f>IFERROR(IS!G151,"")</f>
      </c>
      <c r="H13" s="654">
        <f>IFERROR(IS!H151,"")</f>
      </c>
      <c r="I13" s="654">
        <f>IFERROR(IS!I151,"")</f>
      </c>
      <c r="J13" s="654">
        <f>IFERROR(IS!J151,"")</f>
      </c>
      <c r="K13" s="654">
        <f>IFERROR(IS!K151,"")</f>
      </c>
      <c r="L13" s="655">
        <f>IFERROR(IS!L151,"")</f>
      </c>
      <c r="M13" s="654">
        <f>IFERROR(IS!M151,"")</f>
      </c>
      <c r="N13" s="654">
        <f>IFERROR(IS!N151,"")</f>
      </c>
      <c r="O13" s="654">
        <f>IFERROR(IS!O151,"")</f>
      </c>
      <c r="P13" s="654">
        <f>IFERROR(IS!P151,"")</f>
      </c>
      <c r="Q13" s="655">
        <f>IFERROR(IS!Q151,"")</f>
      </c>
      <c r="R13" s="654">
        <f>IFERROR(IS!R151,"")</f>
      </c>
      <c r="S13" s="654">
        <f>IFERROR(IS!S151,"")</f>
      </c>
      <c r="T13" s="654">
        <f>IFERROR(IS!T151,"")</f>
      </c>
      <c r="U13" s="654">
        <f>IFERROR(IS!U151,"")</f>
      </c>
      <c r="V13" s="655">
        <f>IFERROR(IS!V151,"")</f>
      </c>
      <c r="W13" s="654">
        <f>IFERROR(IS!W151,"")</f>
      </c>
      <c r="X13" s="654">
        <f>IFERROR(IS!X151,"")</f>
      </c>
      <c r="Y13" s="654">
        <f>IFERROR(IS!Y151,"")</f>
      </c>
      <c r="Z13" s="654">
        <f>IFERROR(IS!Z151,"")</f>
      </c>
      <c r="AA13" s="655">
        <f>IFERROR(IS!AA151,"")</f>
      </c>
      <c r="AB13" s="654">
        <f>IFERROR(IS!AB151,"")</f>
      </c>
      <c r="AC13" s="654">
        <f>IFERROR(IS!AC151,"")</f>
      </c>
      <c r="AD13" s="654">
        <f>IFERROR(IS!AD151,"")</f>
      </c>
      <c r="AE13" s="654">
        <f>IFERROR(IS!AE151,"")</f>
      </c>
      <c r="AF13" s="655">
        <f>IFERROR(IS!AF151,"")</f>
      </c>
      <c r="AG13" s="654">
        <f>IFERROR(IS!AG151,"")</f>
      </c>
      <c r="AH13" s="654">
        <f>IFERROR(IS!AH151,"")</f>
      </c>
      <c r="AI13" s="654">
        <f>IFERROR(IS!AI151,"")</f>
      </c>
      <c r="AJ13" s="654">
        <f>IFERROR(IS!AJ151,"")</f>
      </c>
      <c r="AK13" s="655">
        <f>IFERROR(IS!AK151,"")</f>
      </c>
      <c r="AL13" s="1006">
        <f>IFERROR(IS!AL151,"")</f>
      </c>
      <c r="AM13" s="1371">
        <f>IFERROR(IS!AM151,"")</f>
      </c>
      <c r="AN13" s="1371">
        <f>IFERROR(IS!AN151,"")</f>
      </c>
      <c r="AO13" s="1372">
        <f>IFERROR(IS!AO151,"")</f>
      </c>
      <c r="AP13" s="655">
        <f>IFERROR(IS!AP151,"")</f>
      </c>
      <c r="AQ13" s="1369">
        <f>IFERROR(IS!AQ151,"")</f>
      </c>
      <c r="AR13" s="660">
        <f>IFERROR(IS!AR151,"")</f>
      </c>
      <c r="AS13" s="660">
        <f>IFERROR(IS!AS151,"")</f>
      </c>
      <c r="AT13" s="1370">
        <f>IFERROR(IS!AT151,"")</f>
      </c>
      <c r="AU13" s="1368">
        <f>IFERROR(IS!AU151,"")</f>
      </c>
      <c r="AV13" s="1369">
        <f>IFERROR(IS!AV151,"")</f>
      </c>
      <c r="AW13" s="660">
        <f>IFERROR(IS!AW151,"")</f>
      </c>
      <c r="AX13" s="660">
        <f>IFERROR(IS!AX151,"")</f>
      </c>
      <c r="AY13" s="1370">
        <f>IFERROR(IS!AY151,"")</f>
      </c>
      <c r="AZ13" s="1368">
        <f>IFERROR(IS!AZ151,"")</f>
      </c>
      <c r="BA13" s="1369">
        <f>IFERROR(IS!BA151,"")</f>
      </c>
      <c r="BB13" s="660">
        <f>IFERROR(IS!BB151,"")</f>
      </c>
      <c r="BC13" s="660">
        <f>IFERROR(IS!BC151,"")</f>
      </c>
      <c r="BD13" s="1370">
        <f>IFERROR(IS!BD151,"")</f>
      </c>
      <c r="BE13" s="1368">
        <f>IFERROR(IS!BE151,"")</f>
      </c>
      <c r="BF13" s="1369">
        <f>IFERROR(IS!BF151,"")</f>
      </c>
      <c r="BG13" s="660">
        <f>IFERROR(IS!BG151,"")</f>
      </c>
      <c r="BH13" s="660">
        <f>IFERROR(IS!BH151,"")</f>
      </c>
      <c r="BI13" s="1370">
        <f>IFERROR(IS!BI151,"")</f>
      </c>
      <c r="BJ13" s="1368">
        <f>IFERROR(IS!BJ151,"")</f>
      </c>
      <c r="BK13" s="1369">
        <f>IFERROR(IS!BK151,"")</f>
      </c>
      <c r="BL13" s="660">
        <f>IFERROR(IS!BL151,"")</f>
      </c>
      <c r="BM13" s="660">
        <f>IFERROR(IS!BM151,"")</f>
      </c>
      <c r="BN13" s="660">
        <f>IFERROR(IS!BN151,"")</f>
      </c>
      <c r="BO13" s="1368">
        <f>IFERROR(IS!BO151,"")</f>
      </c>
      <c r="BP13" s="660">
        <f>IFERROR(IS!BP151,"")</f>
      </c>
      <c r="BQ13" s="660">
        <f>IFERROR(IS!BQ151,"")</f>
      </c>
      <c r="BR13" s="660">
        <f>IFERROR(IS!BR151,"")</f>
      </c>
      <c r="BS13" s="660">
        <f>IFERROR(IS!BS151,"")</f>
      </c>
      <c r="BT13" s="1368">
        <f>IFERROR(IS!BT151,"")</f>
      </c>
      <c r="BU13" s="660">
        <f>IFERROR(IS!BU151,"")</f>
      </c>
      <c r="BV13" s="660">
        <f>IFERROR(IS!BV151,"")</f>
      </c>
      <c r="BW13" s="660">
        <f>IFERROR(IS!BW151,"")</f>
      </c>
      <c r="BX13" s="660">
        <f>IFERROR(IS!BX151,"")</f>
      </c>
      <c r="BY13" s="1368">
        <f>IFERROR(IS!BY151,"")</f>
      </c>
      <c r="BZ13" s="660">
        <f>IFERROR(IS!BZ151,"")</f>
      </c>
      <c r="CA13" s="660">
        <f>IFERROR(IS!CA151,"")</f>
      </c>
      <c r="CB13" s="660">
        <f>IFERROR(IS!CB151,"")</f>
      </c>
      <c r="CC13" s="660">
        <f>IFERROR(IS!CC151,"")</f>
      </c>
      <c r="CD13" s="1368">
        <f>IFERROR(IS!CD151,"")</f>
      </c>
      <c r="CE13" s="660">
        <f>IFERROR(IS!CE151,"")</f>
      </c>
      <c r="CF13" s="660">
        <f>IFERROR(IS!CF151,"")</f>
      </c>
      <c r="CG13" s="660">
        <f>IFERROR(IS!CG151,"")</f>
      </c>
      <c r="CH13" s="660">
        <f>IFERROR(IS!CH151,"")</f>
      </c>
      <c r="CI13" s="1368">
        <f>IFERROR(IS!CI151,"")</f>
      </c>
      <c r="CJ13" s="660">
        <f>IFERROR(IS!CJ151,"")</f>
      </c>
      <c r="CK13" s="660">
        <f>IFERROR(IS!CK151,"")</f>
      </c>
      <c r="CL13" s="660">
        <f>IFERROR(IS!CL151,"")</f>
      </c>
      <c r="CM13" s="660">
        <f>IFERROR(IS!CM151,"")</f>
      </c>
      <c r="CN13" s="1368">
        <f>IFERROR(IS!CN151,"")</f>
      </c>
      <c r="CO13" s="660">
        <f>IFERROR(IS!CO151,"")</f>
      </c>
      <c r="CP13" s="660">
        <f>IFERROR(IS!CP151,"")</f>
      </c>
      <c r="CQ13" s="660">
        <f>IFERROR(IS!CQ151,"")</f>
      </c>
      <c r="CR13" s="660">
        <f>IFERROR(IS!CR151,"")</f>
      </c>
      <c r="CS13" s="1368">
        <f>IFERROR(IS!CS151,"")</f>
      </c>
      <c r="CT13" s="660">
        <f>IFERROR(IS!CT151,"")</f>
      </c>
      <c r="CU13" s="660">
        <f>IFERROR(IS!CU151,"")</f>
      </c>
      <c r="CV13" s="660">
        <f>IFERROR(IS!CV151,"")</f>
      </c>
      <c r="CW13" s="660">
        <f>IFERROR(IS!CW151,"")</f>
      </c>
      <c r="CX13" s="1368">
        <f>IFERROR(IS!CX151,"")</f>
      </c>
      <c r="CY13" s="660">
        <f>IFERROR(IS!CY151,"")</f>
      </c>
      <c r="CZ13" s="661">
        <f>IFERROR(IS!CZ151,"")</f>
      </c>
      <c r="DA13" s="661">
        <f>IFERROR(IS!DA151,"")</f>
      </c>
      <c r="DB13" s="661">
        <f>IFERROR(IS!DB151,"")</f>
      </c>
      <c r="DC13" s="1368">
        <f>IFERROR(IS!DC151,"")</f>
      </c>
      <c r="DD13" s="660">
        <f>IFERROR(IS!DD151,"")</f>
      </c>
      <c r="DE13" s="660">
        <f>IFERROR(IS!DE151,"")</f>
      </c>
      <c r="DF13" s="660">
        <f>IFERROR(IS!DF151,"")</f>
      </c>
      <c r="DG13" s="660">
        <f>IFERROR(IS!DG151,"")</f>
      </c>
      <c r="DH13" s="1368">
        <f>IFERROR(IS!DH151,"")</f>
      </c>
      <c r="DI13" s="660">
        <f>IFERROR(IS!DI151,"")</f>
      </c>
      <c r="DJ13" s="660">
        <f>IFERROR(IS!DJ151,"")</f>
      </c>
      <c r="DK13" s="660">
        <f>IFERROR(IS!DK151,"")</f>
      </c>
      <c r="DL13" s="660">
        <f>IFERROR(IS!DL151,"")</f>
      </c>
      <c r="DM13" s="1368">
        <f>IFERROR(IS!DM151,"")</f>
      </c>
      <c r="DN13" s="660">
        <f>IFERROR(IS!DN151,"")</f>
      </c>
      <c r="DO13" s="660">
        <f>IFERROR(IS!DO151,"")</f>
      </c>
      <c r="DP13" s="660">
        <f>IFERROR(IS!DP151,"")</f>
      </c>
      <c r="DQ13" s="660">
        <f>IFERROR(IS!DQ151,"")</f>
      </c>
      <c r="DR13" s="1368">
        <f>IFERROR(IS!DR151,"")</f>
      </c>
      <c r="DS13" s="660">
        <f>IFERROR(IS!DS151,"")</f>
      </c>
      <c r="DT13" s="660">
        <f>IFERROR(IS!DT151,"")</f>
      </c>
      <c r="DU13" s="660">
        <f>IFERROR(IS!DU151,"")</f>
      </c>
      <c r="DV13" s="660">
        <f>IFERROR(IS!DV151,"")</f>
      </c>
      <c r="DW13" s="1368">
        <f>IFERROR(IS!DW151,"")</f>
      </c>
      <c r="DX13" s="660">
        <f>IFERROR(IS!DX151,"")</f>
      </c>
      <c r="DY13" s="660">
        <f>IFERROR(IS!DY151,"")</f>
      </c>
      <c r="DZ13" s="660">
        <f>IFERROR(IS!DZ151,"")</f>
      </c>
      <c r="EA13" s="660">
        <f>IFERROR(IS!EA151,"")</f>
      </c>
      <c r="EB13" s="1368">
        <f>IFERROR(IS!EB151,"")</f>
      </c>
      <c r="EC13" s="660">
        <f>IFERROR(IS!EC151,"")</f>
      </c>
      <c r="ED13" s="660">
        <f>IFERROR(IS!ED151,"")</f>
      </c>
      <c r="EE13" s="660">
        <f>IFERROR(IS!EE151,"")</f>
      </c>
      <c r="EF13" s="660">
        <f>IFERROR(IS!EF151,"")</f>
      </c>
      <c r="EG13" s="1368">
        <f>IFERROR(IS!EG151,"")</f>
      </c>
      <c r="EH13" s="660">
        <f>IFERROR(IS!EH151,"")</f>
      </c>
      <c r="EI13" s="660">
        <f>IFERROR(IS!EI151,"")</f>
      </c>
      <c r="EJ13" s="660">
        <f>IFERROR(IS!EJ151,"")</f>
      </c>
      <c r="EK13" s="660">
        <f>IFERROR(IS!EK151,"")</f>
      </c>
      <c r="EL13" s="1368">
        <f>IFERROR(IS!EL151,"")</f>
      </c>
      <c r="EM13" s="660">
        <f>IFERROR(IS!EM151,"")</f>
      </c>
      <c r="EN13" s="660">
        <f>IFERROR(IS!EN151,"")</f>
      </c>
      <c r="EO13" s="660">
        <f>IFERROR(IS!EO151,"")</f>
      </c>
      <c r="EP13" s="660">
        <f>IFERROR(IS!EP151,"")</f>
      </c>
      <c r="EQ13" s="1368">
        <f>IFERROR(IS!EQ151,"")</f>
      </c>
      <c r="ER13" s="660">
        <f>IFERROR(IS!ER151,"")</f>
      </c>
      <c r="ES13" s="660">
        <f>IFERROR(IS!ES151,"")</f>
      </c>
      <c r="ET13" s="660">
        <f>IFERROR(IS!ET151,"")</f>
      </c>
      <c r="EU13" s="660">
        <f>IFERROR(IS!EU151,"")</f>
      </c>
      <c r="EV13" s="1368">
        <f>IFERROR(IS!EV151,"")</f>
      </c>
      <c r="EW13" s="660">
        <f>IFERROR(IS!EW151,"")</f>
      </c>
      <c r="EX13" s="660">
        <f>IFERROR(IS!EX151,"")</f>
      </c>
      <c r="EY13" s="660">
        <f>IFERROR(IS!EY151,"")</f>
      </c>
      <c r="EZ13" s="660">
        <f>IFERROR(IS!EZ151,"")</f>
      </c>
      <c r="FA13" s="1368">
        <f>IFERROR(IS!FA151,"")</f>
      </c>
      <c r="FB13" s="659">
        <f>SUM(FB10:FB12)</f>
      </c>
      <c r="FC13" s="659">
        <f>SUM(FC10:FC12)</f>
      </c>
      <c r="FD13" s="659">
        <f>SUM(FD10:FD12)</f>
      </c>
      <c r="FE13" s="659">
        <f>SUM(FE10:FE12)</f>
      </c>
      <c r="FF13" s="655">
        <f>FE13</f>
      </c>
      <c r="FG13" s="659">
        <f>SUM(FG10:FG12)</f>
      </c>
      <c r="FH13" s="659">
        <f>SUM(FH10:FH12)</f>
      </c>
      <c r="FI13" s="659">
        <f>SUM(FI10:FI12)</f>
      </c>
      <c r="FJ13" s="659">
        <f>SUM(FJ10:FJ12)</f>
      </c>
      <c r="FK13" s="655">
        <f>FJ13</f>
      </c>
      <c r="FL13" s="659">
        <f>SUM(FL10:FL12)</f>
      </c>
      <c r="FM13" s="659">
        <f>SUM(FM10:FM12)</f>
      </c>
      <c r="FN13" s="659">
        <f>SUM(FN10:FN12)</f>
      </c>
      <c r="FO13" s="659">
        <f>SUM(FO10:FO12)</f>
      </c>
      <c r="FP13" s="655">
        <f>FO13</f>
      </c>
      <c r="FQ13" s="659">
        <f>SUM(FQ10:FQ12)</f>
      </c>
      <c r="FR13" s="659">
        <f>SUM(FR10:FR12)</f>
      </c>
      <c r="FS13" s="659">
        <f>SUM(FS10:FS12)</f>
      </c>
      <c r="FT13" s="659">
        <f>SUM(FT10:FT12)</f>
      </c>
      <c r="FU13" s="655">
        <f>FT13</f>
      </c>
      <c r="FV13" s="659">
        <f>SUM(FV10:FV12)</f>
      </c>
      <c r="FW13" s="659">
        <f>SUM(FW10:FW12)</f>
      </c>
      <c r="FX13" s="659">
        <f>SUM(FX10:FX12)</f>
      </c>
      <c r="FY13" s="659">
        <f>SUM(FY10:FY12)</f>
      </c>
      <c r="FZ13" s="655">
        <f>FY13</f>
      </c>
      <c r="GA13" s="659">
        <f>SUM(GA10:GA12)</f>
      </c>
      <c r="GB13" s="659">
        <f>SUM(GB10:GB12)</f>
      </c>
      <c r="GC13" s="659">
        <f>SUM(GC10:GC12)</f>
      </c>
      <c r="GD13" s="659">
        <f>SUM(GD10:GD12)</f>
      </c>
      <c r="GE13" s="655">
        <f>GD13</f>
      </c>
      <c r="GF13" s="659">
        <f>SUM(GF10:GF12)</f>
      </c>
      <c r="GG13" s="659">
        <f>SUM(GG10:GG12)</f>
      </c>
      <c r="GH13" s="659">
        <f>SUM(GH10:GH12)</f>
      </c>
      <c r="GI13" s="659">
        <f>SUM(GI10:GI12)</f>
      </c>
      <c r="GJ13" s="655">
        <f>GI13</f>
      </c>
    </row>
    <row r="14" spans="1:192" s="252" customFormat="1" ht="12.6" customHeight="1">
      <c r="B14" s="1142" t="s">
        <v>34</v>
      </c>
      <c r="C14" s="650" t="str">
        <f>IFERROR(C13/#REF!-1,"")</f>
      </c>
      <c r="D14" s="650" t="str">
        <f>IFERROR(D13/#REF!-1,"")</f>
      </c>
      <c r="E14" s="650" t="str">
        <f>IFERROR(E13/#REF!-1,"")</f>
      </c>
      <c r="F14" s="650" t="str">
        <f t="shared" ref="F14:AK14" si="8">IFERROR(F13/A13-1,"")</f>
      </c>
      <c r="G14" s="122" t="str">
        <f t="shared" si="8"/>
      </c>
      <c r="H14" s="650">
        <f t="shared" si="8"/>
      </c>
      <c r="I14" s="650">
        <f t="shared" si="8"/>
      </c>
      <c r="J14" s="650">
        <f t="shared" si="8"/>
      </c>
      <c r="K14" s="650">
        <f t="shared" si="8"/>
      </c>
      <c r="L14" s="122">
        <f t="shared" si="8"/>
      </c>
      <c r="M14" s="650">
        <f t="shared" si="8"/>
      </c>
      <c r="N14" s="650">
        <f t="shared" si="8"/>
      </c>
      <c r="O14" s="650">
        <f t="shared" si="8"/>
      </c>
      <c r="P14" s="650">
        <f t="shared" si="8"/>
      </c>
      <c r="Q14" s="122">
        <f t="shared" si="8"/>
      </c>
      <c r="R14" s="650">
        <f t="shared" si="8"/>
      </c>
      <c r="S14" s="650">
        <f t="shared" si="8"/>
      </c>
      <c r="T14" s="650">
        <f t="shared" si="8"/>
      </c>
      <c r="U14" s="650">
        <f t="shared" si="8"/>
      </c>
      <c r="V14" s="122">
        <f t="shared" si="8"/>
      </c>
      <c r="W14" s="650">
        <f t="shared" si="8"/>
      </c>
      <c r="X14" s="650">
        <f t="shared" si="8"/>
      </c>
      <c r="Y14" s="650">
        <f t="shared" si="8"/>
      </c>
      <c r="Z14" s="650">
        <f t="shared" si="8"/>
      </c>
      <c r="AA14" s="122">
        <f t="shared" si="8"/>
      </c>
      <c r="AB14" s="650">
        <f t="shared" si="8"/>
      </c>
      <c r="AC14" s="650">
        <f t="shared" si="8"/>
      </c>
      <c r="AD14" s="650">
        <f t="shared" si="8"/>
      </c>
      <c r="AE14" s="650">
        <f t="shared" si="8"/>
      </c>
      <c r="AF14" s="122">
        <f t="shared" si="8"/>
      </c>
      <c r="AG14" s="650">
        <f t="shared" si="8"/>
      </c>
      <c r="AH14" s="650">
        <f t="shared" si="8"/>
      </c>
      <c r="AI14" s="650">
        <f t="shared" si="8"/>
      </c>
      <c r="AJ14" s="650">
        <f t="shared" si="8"/>
      </c>
      <c r="AK14" s="122">
        <f t="shared" si="8"/>
      </c>
      <c r="AL14" s="252">
        <f t="shared" ref="AL14:BQ14" si="9">IFERROR(AL13/AG13-1,"")</f>
      </c>
      <c r="AM14" s="252">
        <f t="shared" si="9"/>
      </c>
      <c r="AN14" s="252">
        <f t="shared" si="9"/>
      </c>
      <c r="AO14" s="252">
        <f t="shared" si="9"/>
      </c>
      <c r="AP14" s="122">
        <f t="shared" si="9"/>
      </c>
      <c r="AQ14" s="252">
        <f t="shared" si="9"/>
      </c>
      <c r="AR14" s="252">
        <f t="shared" si="9"/>
      </c>
      <c r="AS14" s="252">
        <f t="shared" si="9"/>
      </c>
      <c r="AT14" s="252">
        <f t="shared" si="9"/>
      </c>
      <c r="AU14" s="122">
        <f t="shared" si="9"/>
      </c>
      <c r="AV14" s="252">
        <f t="shared" si="9"/>
      </c>
      <c r="AW14" s="252">
        <f t="shared" si="9"/>
      </c>
      <c r="AX14" s="252">
        <f t="shared" si="9"/>
      </c>
      <c r="AY14" s="252">
        <f t="shared" si="9"/>
      </c>
      <c r="AZ14" s="122">
        <f t="shared" si="9"/>
      </c>
      <c r="BA14" s="252">
        <f t="shared" si="9"/>
      </c>
      <c r="BB14" s="252">
        <f t="shared" si="9"/>
      </c>
      <c r="BC14" s="252">
        <f t="shared" si="9"/>
      </c>
      <c r="BD14" s="252">
        <f t="shared" si="9"/>
      </c>
      <c r="BE14" s="122">
        <f t="shared" si="9"/>
      </c>
      <c r="BF14" s="252">
        <f t="shared" si="9"/>
      </c>
      <c r="BG14" s="252">
        <f t="shared" si="9"/>
      </c>
      <c r="BH14" s="252">
        <f t="shared" si="9"/>
      </c>
      <c r="BI14" s="252">
        <f t="shared" si="9"/>
      </c>
      <c r="BJ14" s="122">
        <f t="shared" si="9"/>
      </c>
      <c r="BK14" s="650">
        <f t="shared" si="9"/>
      </c>
      <c r="BL14" s="650">
        <f t="shared" si="9"/>
      </c>
      <c r="BM14" s="650">
        <f t="shared" si="9"/>
      </c>
      <c r="BN14" s="650">
        <f t="shared" si="9"/>
      </c>
      <c r="BO14" s="122">
        <f t="shared" si="9"/>
      </c>
      <c r="BP14" s="650">
        <f t="shared" si="9"/>
      </c>
      <c r="BQ14" s="650">
        <f t="shared" si="9"/>
      </c>
      <c r="BR14" s="650">
        <f t="shared" ref="BR14:CW14" si="10">IFERROR(BR13/BM13-1,"")</f>
      </c>
      <c r="BS14" s="650">
        <f t="shared" si="10"/>
      </c>
      <c r="BT14" s="122">
        <f t="shared" si="10"/>
      </c>
      <c r="BU14" s="650">
        <f t="shared" si="10"/>
      </c>
      <c r="BV14" s="650">
        <f t="shared" si="10"/>
      </c>
      <c r="BW14" s="650">
        <f t="shared" si="10"/>
      </c>
      <c r="BX14" s="650">
        <f t="shared" si="10"/>
      </c>
      <c r="BY14" s="122">
        <f t="shared" si="10"/>
      </c>
      <c r="BZ14" s="650">
        <f t="shared" si="10"/>
      </c>
      <c r="CA14" s="650">
        <f t="shared" si="10"/>
      </c>
      <c r="CB14" s="650">
        <f t="shared" si="10"/>
      </c>
      <c r="CC14" s="650">
        <f t="shared" si="10"/>
      </c>
      <c r="CD14" s="122">
        <f t="shared" si="10"/>
      </c>
      <c r="CE14" s="650">
        <f t="shared" si="10"/>
      </c>
      <c r="CF14" s="650">
        <f t="shared" si="10"/>
      </c>
      <c r="CG14" s="650">
        <f t="shared" si="10"/>
      </c>
      <c r="CH14" s="650">
        <f t="shared" si="10"/>
      </c>
      <c r="CI14" s="122">
        <f t="shared" si="10"/>
      </c>
      <c r="CJ14" s="650">
        <f t="shared" si="10"/>
      </c>
      <c r="CK14" s="650">
        <f t="shared" si="10"/>
      </c>
      <c r="CL14" s="650">
        <f t="shared" si="10"/>
      </c>
      <c r="CM14" s="650">
        <f t="shared" si="10"/>
      </c>
      <c r="CN14" s="122">
        <f t="shared" si="10"/>
      </c>
      <c r="CO14" s="650">
        <f t="shared" si="10"/>
      </c>
      <c r="CP14" s="650">
        <f t="shared" si="10"/>
      </c>
      <c r="CQ14" s="650">
        <f t="shared" si="10"/>
      </c>
      <c r="CR14" s="650">
        <f t="shared" si="10"/>
      </c>
      <c r="CS14" s="122">
        <f t="shared" si="10"/>
      </c>
      <c r="CT14" s="650">
        <f t="shared" si="10"/>
      </c>
      <c r="CU14" s="650">
        <f t="shared" si="10"/>
      </c>
      <c r="CV14" s="650">
        <f t="shared" si="10"/>
      </c>
      <c r="CW14" s="650">
        <f t="shared" si="10"/>
      </c>
      <c r="CX14" s="122">
        <f t="shared" ref="CX14:EC14" si="11">IFERROR(CX13/CS13-1,"")</f>
      </c>
      <c r="CY14" s="650">
        <f t="shared" si="11"/>
      </c>
      <c r="CZ14" s="650">
        <f t="shared" si="11"/>
      </c>
      <c r="DA14" s="650">
        <f t="shared" si="11"/>
      </c>
      <c r="DB14" s="650">
        <f t="shared" si="11"/>
      </c>
      <c r="DC14" s="122">
        <f t="shared" si="11"/>
      </c>
      <c r="DD14" s="650">
        <f t="shared" si="11"/>
      </c>
      <c r="DE14" s="650">
        <f t="shared" si="11"/>
      </c>
      <c r="DF14" s="650">
        <f t="shared" si="11"/>
      </c>
      <c r="DG14" s="650">
        <f t="shared" si="11"/>
      </c>
      <c r="DH14" s="122">
        <f t="shared" si="11"/>
      </c>
      <c r="DI14" s="650">
        <f t="shared" si="11"/>
      </c>
      <c r="DJ14" s="650">
        <f t="shared" si="11"/>
      </c>
      <c r="DK14" s="650">
        <f t="shared" si="11"/>
      </c>
      <c r="DL14" s="650">
        <f t="shared" si="11"/>
      </c>
      <c r="DM14" s="122">
        <f t="shared" si="11"/>
      </c>
      <c r="DN14" s="650">
        <f t="shared" si="11"/>
      </c>
      <c r="DO14" s="650">
        <f t="shared" si="11"/>
      </c>
      <c r="DP14" s="650">
        <f t="shared" si="11"/>
      </c>
      <c r="DQ14" s="650">
        <f t="shared" si="11"/>
      </c>
      <c r="DR14" s="122">
        <f t="shared" si="11"/>
      </c>
      <c r="DS14" s="650">
        <f t="shared" si="11"/>
      </c>
      <c r="DT14" s="650">
        <f t="shared" si="11"/>
      </c>
      <c r="DU14" s="650">
        <f t="shared" si="11"/>
      </c>
      <c r="DV14" s="650">
        <f t="shared" si="11"/>
      </c>
      <c r="DW14" s="122">
        <f t="shared" si="11"/>
      </c>
      <c r="DX14" s="650">
        <f t="shared" si="11"/>
      </c>
      <c r="DY14" s="650">
        <f t="shared" si="11"/>
      </c>
      <c r="DZ14" s="650">
        <f t="shared" si="11"/>
      </c>
      <c r="EA14" s="650">
        <f t="shared" si="11"/>
      </c>
      <c r="EB14" s="122">
        <f t="shared" si="11"/>
      </c>
      <c r="EC14" s="650">
        <f t="shared" si="11"/>
      </c>
      <c r="ED14" s="650">
        <f t="shared" ref="ED14:FI14" si="12">IFERROR(ED13/DY13-1,"")</f>
      </c>
      <c r="EE14" s="650">
        <f t="shared" si="12"/>
      </c>
      <c r="EF14" s="650">
        <f t="shared" si="12"/>
      </c>
      <c r="EG14" s="122">
        <f t="shared" si="12"/>
      </c>
      <c r="EH14" s="650">
        <f t="shared" si="12"/>
      </c>
      <c r="EI14" s="650">
        <f t="shared" si="12"/>
      </c>
      <c r="EJ14" s="650">
        <f t="shared" si="12"/>
      </c>
      <c r="EK14" s="650">
        <f t="shared" si="12"/>
      </c>
      <c r="EL14" s="122">
        <f t="shared" si="12"/>
      </c>
      <c r="EM14" s="650">
        <f t="shared" si="12"/>
      </c>
      <c r="EN14" s="650">
        <f t="shared" si="12"/>
      </c>
      <c r="EO14" s="650">
        <f t="shared" si="12"/>
      </c>
      <c r="EP14" s="650">
        <f t="shared" si="12"/>
      </c>
      <c r="EQ14" s="122">
        <f t="shared" si="12"/>
      </c>
      <c r="ER14" s="650">
        <f t="shared" si="12"/>
      </c>
      <c r="ES14" s="650">
        <f t="shared" si="12"/>
      </c>
      <c r="ET14" s="650">
        <f t="shared" si="12"/>
      </c>
      <c r="EU14" s="650">
        <f>IFERROR(EU13/EP13-1,"")</f>
      </c>
      <c r="EV14" s="122">
        <f>IFERROR(EV13/EQ13-1,"")</f>
      </c>
      <c r="EW14" s="650">
        <f t="shared" si="12"/>
      </c>
      <c r="EX14" s="650">
        <f t="shared" si="12"/>
      </c>
      <c r="EY14" s="650">
        <f t="shared" si="12"/>
      </c>
      <c r="EZ14" s="650">
        <f>IFERROR(EZ13/EU13-1,"")</f>
      </c>
      <c r="FA14" s="122">
        <f>IFERROR(FA13/EV13-1,"")</f>
      </c>
      <c r="FB14" s="650">
        <f t="shared" si="12"/>
      </c>
      <c r="FC14" s="650">
        <f t="shared" si="12"/>
      </c>
      <c r="FD14" s="650">
        <f t="shared" si="12"/>
      </c>
      <c r="FE14" s="650">
        <f t="shared" si="12"/>
      </c>
      <c r="FF14" s="122">
        <f t="shared" si="12"/>
      </c>
      <c r="FG14" s="650">
        <f t="shared" si="12"/>
      </c>
      <c r="FH14" s="650">
        <f t="shared" si="12"/>
      </c>
      <c r="FI14" s="650">
        <f t="shared" si="12"/>
      </c>
      <c r="FJ14" s="650">
        <f t="shared" ref="FJ14:FZ14" si="13">IFERROR(FJ13/FE13-1,"")</f>
      </c>
      <c r="FK14" s="122">
        <f t="shared" si="13"/>
      </c>
      <c r="FL14" s="650">
        <f t="shared" si="13"/>
      </c>
      <c r="FM14" s="650">
        <f t="shared" si="13"/>
      </c>
      <c r="FN14" s="650">
        <f t="shared" si="13"/>
      </c>
      <c r="FO14" s="650">
        <f t="shared" si="13"/>
      </c>
      <c r="FP14" s="122">
        <f t="shared" si="13"/>
      </c>
      <c r="FQ14" s="650">
        <f t="shared" si="13"/>
      </c>
      <c r="FR14" s="650">
        <f t="shared" si="13"/>
      </c>
      <c r="FS14" s="650">
        <f t="shared" si="13"/>
      </c>
      <c r="FT14" s="650">
        <f t="shared" si="13"/>
      </c>
      <c r="FU14" s="122">
        <f t="shared" si="13"/>
      </c>
      <c r="FV14" s="650">
        <f t="shared" si="13"/>
      </c>
      <c r="FW14" s="650">
        <f t="shared" si="13"/>
      </c>
      <c r="FX14" s="650">
        <f t="shared" si="13"/>
      </c>
      <c r="FY14" s="650">
        <f t="shared" si="13"/>
      </c>
      <c r="FZ14" s="122">
        <f t="shared" si="13"/>
      </c>
      <c r="GA14" s="650">
        <f t="shared" ref="GA14:GJ14" si="14">IFERROR(GA13/FV13-1,"")</f>
      </c>
      <c r="GB14" s="650">
        <f t="shared" si="14"/>
      </c>
      <c r="GC14" s="650">
        <f t="shared" si="14"/>
      </c>
      <c r="GD14" s="650">
        <f t="shared" si="14"/>
      </c>
      <c r="GE14" s="122">
        <f t="shared" si="14"/>
      </c>
      <c r="GF14" s="650">
        <f t="shared" si="14"/>
      </c>
      <c r="GG14" s="650">
        <f t="shared" si="14"/>
      </c>
      <c r="GH14" s="650">
        <f t="shared" si="14"/>
      </c>
      <c r="GI14" s="650">
        <f t="shared" si="14"/>
      </c>
      <c r="GJ14" s="122">
        <f t="shared" si="14"/>
      </c>
    </row>
    <row r="15" spans="1:192" s="252" customFormat="1" ht="12.6" customHeight="1">
      <c r="B15" s="676"/>
      <c r="C15" s="650"/>
      <c r="D15" s="650"/>
      <c r="E15" s="650"/>
      <c r="F15" s="650"/>
      <c r="G15" s="122"/>
      <c r="H15" s="650"/>
      <c r="I15" s="650"/>
      <c r="J15" s="650"/>
      <c r="K15" s="650"/>
      <c r="L15" s="122"/>
      <c r="M15" s="650"/>
      <c r="N15" s="650"/>
      <c r="O15" s="650"/>
      <c r="P15" s="650"/>
      <c r="Q15" s="122"/>
      <c r="R15" s="650"/>
      <c r="S15" s="650"/>
      <c r="T15" s="650"/>
      <c r="U15" s="650"/>
      <c r="V15" s="122"/>
      <c r="W15" s="650"/>
      <c r="X15" s="650"/>
      <c r="Y15" s="650"/>
      <c r="Z15" s="650"/>
      <c r="AA15" s="122"/>
      <c r="AB15" s="650"/>
      <c r="AC15" s="650"/>
      <c r="AD15" s="650"/>
      <c r="AE15" s="650"/>
      <c r="AF15" s="122"/>
      <c r="AG15" s="650"/>
      <c r="AH15" s="650"/>
      <c r="AI15" s="650"/>
      <c r="AJ15" s="650"/>
      <c r="AK15" s="122"/>
      <c r="AP15" s="122"/>
      <c r="AU15" s="122"/>
      <c r="AZ15" s="122"/>
      <c r="BE15" s="122"/>
      <c r="BJ15" s="122"/>
      <c r="BK15" s="650"/>
      <c r="BL15" s="650"/>
      <c r="BM15" s="650"/>
      <c r="BN15" s="650"/>
      <c r="BO15" s="122"/>
      <c r="BP15" s="650"/>
      <c r="BQ15" s="650"/>
      <c r="BR15" s="650"/>
      <c r="BS15" s="650"/>
      <c r="BT15" s="122"/>
      <c r="BU15" s="650"/>
      <c r="BV15" s="650"/>
      <c r="BW15" s="650"/>
      <c r="BX15" s="650"/>
      <c r="BY15" s="122"/>
      <c r="BZ15" s="650"/>
      <c r="CA15" s="650"/>
      <c r="CB15" s="650"/>
      <c r="CC15" s="650"/>
      <c r="CD15" s="122"/>
      <c r="CE15" s="650"/>
      <c r="CF15" s="650"/>
      <c r="CG15" s="650"/>
      <c r="CH15" s="650"/>
      <c r="CI15" s="122"/>
      <c r="CJ15" s="650"/>
      <c r="CK15" s="650"/>
      <c r="CL15" s="650"/>
      <c r="CM15" s="650"/>
      <c r="CN15" s="122"/>
      <c r="CO15" s="650"/>
      <c r="CP15" s="650"/>
      <c r="CQ15" s="650"/>
      <c r="CR15" s="650"/>
      <c r="CS15" s="122"/>
      <c r="CT15" s="650"/>
      <c r="CU15" s="650"/>
      <c r="CV15" s="650"/>
      <c r="CW15" s="650"/>
      <c r="CX15" s="122"/>
      <c r="CY15" s="650"/>
      <c r="CZ15" s="650"/>
      <c r="DA15" s="650"/>
      <c r="DB15" s="650"/>
      <c r="DC15" s="122"/>
      <c r="DD15" s="650"/>
      <c r="DE15" s="650"/>
      <c r="DF15" s="650"/>
      <c r="DG15" s="650"/>
      <c r="DH15" s="122"/>
      <c r="DI15" s="650"/>
      <c r="DJ15" s="650"/>
      <c r="DK15" s="650"/>
      <c r="DL15" s="650"/>
      <c r="DM15" s="122"/>
      <c r="DN15" s="650"/>
      <c r="DO15" s="650"/>
      <c r="DP15" s="650"/>
      <c r="DQ15" s="650"/>
      <c r="DR15" s="122"/>
      <c r="DS15" s="650"/>
      <c r="DT15" s="650"/>
      <c r="DU15" s="650"/>
      <c r="DV15" s="650"/>
      <c r="DW15" s="122"/>
      <c r="DX15" s="650"/>
      <c r="DY15" s="650"/>
      <c r="DZ15" s="650"/>
      <c r="EA15" s="650"/>
      <c r="EB15" s="122"/>
      <c r="EC15" s="650"/>
      <c r="ED15" s="650"/>
      <c r="EE15" s="650"/>
      <c r="EF15" s="650"/>
      <c r="EG15" s="122"/>
      <c r="EH15" s="650"/>
      <c r="EI15" s="650"/>
      <c r="EJ15" s="650"/>
      <c r="EK15" s="650"/>
      <c r="EL15" s="122"/>
      <c r="EM15" s="650"/>
      <c r="EN15" s="650"/>
      <c r="EO15" s="650"/>
      <c r="EP15" s="650"/>
      <c r="EQ15" s="122"/>
      <c r="ER15" s="650"/>
      <c r="ES15" s="650"/>
      <c r="ET15" s="650"/>
      <c r="EU15" s="650"/>
      <c r="EV15" s="122"/>
      <c r="EW15" s="650"/>
      <c r="EX15" s="650"/>
      <c r="EY15" s="650"/>
      <c r="EZ15" s="650"/>
      <c r="FA15" s="122"/>
      <c r="FB15" s="650"/>
      <c r="FC15" s="650"/>
      <c r="FD15" s="650"/>
      <c r="FE15" s="650"/>
      <c r="FF15" s="122"/>
      <c r="FG15" s="650"/>
      <c r="FH15" s="650"/>
      <c r="FI15" s="650"/>
      <c r="FJ15" s="650"/>
      <c r="FK15" s="122"/>
      <c r="FL15" s="650"/>
      <c r="FM15" s="650"/>
      <c r="FN15" s="650"/>
      <c r="FO15" s="650"/>
      <c r="FP15" s="122"/>
      <c r="FQ15" s="650"/>
      <c r="FR15" s="650"/>
      <c r="FS15" s="650"/>
      <c r="FT15" s="650"/>
      <c r="FU15" s="122"/>
      <c r="FV15" s="650"/>
      <c r="FW15" s="650"/>
      <c r="FX15" s="650"/>
      <c r="FY15" s="650"/>
      <c r="FZ15" s="122"/>
      <c r="GA15" s="650"/>
      <c r="GB15" s="650"/>
      <c r="GC15" s="650"/>
      <c r="GD15" s="650"/>
      <c r="GE15" s="122"/>
      <c r="GF15" s="650"/>
      <c r="GG15" s="650"/>
      <c r="GH15" s="650"/>
      <c r="GI15" s="650"/>
      <c r="GJ15" s="122"/>
    </row>
    <row r="16" spans="1:192" s="374" customFormat="1" ht="12.6" customHeight="1">
      <c r="A16" s="370"/>
      <c r="B16" s="676" t="s">
        <v>296</v>
      </c>
      <c r="C16" s="447">
        <f t="shared" ref="C16:BN16" si="15">IFERROR(C17-C13,"")</f>
      </c>
      <c r="D16" s="447">
        <f t="shared" si="15"/>
      </c>
      <c r="E16" s="447">
        <f t="shared" si="15"/>
      </c>
      <c r="F16" s="447">
        <f t="shared" si="15"/>
      </c>
      <c r="G16" s="662">
        <f t="shared" si="15"/>
      </c>
      <c r="H16" s="447">
        <f t="shared" si="15"/>
      </c>
      <c r="I16" s="447">
        <f t="shared" si="15"/>
      </c>
      <c r="J16" s="447">
        <f t="shared" si="15"/>
      </c>
      <c r="K16" s="447">
        <f t="shared" si="15"/>
      </c>
      <c r="L16" s="662">
        <f t="shared" si="15"/>
      </c>
      <c r="M16" s="447">
        <f t="shared" si="15"/>
      </c>
      <c r="N16" s="447">
        <f t="shared" si="15"/>
      </c>
      <c r="O16" s="447">
        <f t="shared" si="15"/>
      </c>
      <c r="P16" s="447">
        <f t="shared" si="15"/>
      </c>
      <c r="Q16" s="662">
        <f t="shared" si="15"/>
      </c>
      <c r="R16" s="447">
        <f t="shared" si="15"/>
      </c>
      <c r="S16" s="447">
        <f t="shared" si="15"/>
      </c>
      <c r="T16" s="447">
        <f t="shared" si="15"/>
      </c>
      <c r="U16" s="447">
        <f t="shared" si="15"/>
      </c>
      <c r="V16" s="662">
        <f t="shared" si="15"/>
      </c>
      <c r="W16" s="447">
        <f t="shared" si="15"/>
      </c>
      <c r="X16" s="447">
        <f t="shared" si="15"/>
      </c>
      <c r="Y16" s="447">
        <f t="shared" si="15"/>
      </c>
      <c r="Z16" s="447">
        <f t="shared" si="15"/>
      </c>
      <c r="AA16" s="662">
        <f t="shared" si="15"/>
      </c>
      <c r="AB16" s="447">
        <f t="shared" si="15"/>
      </c>
      <c r="AC16" s="447">
        <f t="shared" si="15"/>
      </c>
      <c r="AD16" s="447">
        <f t="shared" si="15"/>
      </c>
      <c r="AE16" s="447">
        <f t="shared" si="15"/>
      </c>
      <c r="AF16" s="662">
        <f t="shared" si="15"/>
      </c>
      <c r="AG16" s="447">
        <f t="shared" si="15"/>
      </c>
      <c r="AH16" s="447">
        <f t="shared" si="15"/>
      </c>
      <c r="AI16" s="447">
        <f t="shared" si="15"/>
      </c>
      <c r="AJ16" s="447">
        <f t="shared" si="15"/>
      </c>
      <c r="AK16" s="662">
        <f t="shared" si="15"/>
      </c>
      <c r="AL16" s="490">
        <f t="shared" si="15"/>
      </c>
      <c r="AM16" s="490">
        <f t="shared" si="15"/>
      </c>
      <c r="AN16" s="490">
        <f t="shared" si="15"/>
      </c>
      <c r="AO16" s="490">
        <f t="shared" si="15"/>
      </c>
      <c r="AP16" s="662">
        <f t="shared" si="15"/>
      </c>
      <c r="AQ16" s="490">
        <f t="shared" si="15"/>
      </c>
      <c r="AR16" s="490">
        <f t="shared" si="15"/>
      </c>
      <c r="AS16" s="490">
        <f t="shared" si="15"/>
      </c>
      <c r="AT16" s="490">
        <f t="shared" si="15"/>
      </c>
      <c r="AU16" s="662">
        <f t="shared" si="15"/>
      </c>
      <c r="AV16" s="490">
        <f t="shared" si="15"/>
      </c>
      <c r="AW16" s="490">
        <f t="shared" si="15"/>
      </c>
      <c r="AX16" s="490">
        <f t="shared" si="15"/>
      </c>
      <c r="AY16" s="490">
        <f t="shared" si="15"/>
      </c>
      <c r="AZ16" s="662">
        <f t="shared" si="15"/>
      </c>
      <c r="BA16" s="490">
        <f t="shared" si="15"/>
      </c>
      <c r="BB16" s="490">
        <f t="shared" si="15"/>
      </c>
      <c r="BC16" s="490">
        <f t="shared" si="15"/>
      </c>
      <c r="BD16" s="490">
        <f t="shared" si="15"/>
      </c>
      <c r="BE16" s="662">
        <f t="shared" si="15"/>
      </c>
      <c r="BF16" s="490">
        <f t="shared" si="15"/>
      </c>
      <c r="BG16" s="490">
        <f t="shared" si="15"/>
      </c>
      <c r="BH16" s="490">
        <f t="shared" si="15"/>
      </c>
      <c r="BI16" s="490">
        <f t="shared" si="15"/>
      </c>
      <c r="BJ16" s="662">
        <f t="shared" si="15"/>
      </c>
      <c r="BK16" s="490">
        <f t="shared" si="15"/>
      </c>
      <c r="BL16" s="490">
        <f t="shared" si="15"/>
      </c>
      <c r="BM16" s="490">
        <f t="shared" si="15"/>
      </c>
      <c r="BN16" s="490">
        <f t="shared" si="15"/>
      </c>
      <c r="BO16" s="662">
        <f t="shared" ref="BO16:DZ16" si="16">IFERROR(BO17-BO13,"")</f>
      </c>
      <c r="BP16" s="490">
        <f t="shared" si="16"/>
      </c>
      <c r="BQ16" s="490">
        <f t="shared" si="16"/>
      </c>
      <c r="BR16" s="490">
        <f t="shared" si="16"/>
      </c>
      <c r="BS16" s="490">
        <f t="shared" si="16"/>
      </c>
      <c r="BT16" s="662">
        <f t="shared" si="16"/>
      </c>
      <c r="BU16" s="490">
        <f t="shared" si="16"/>
      </c>
      <c r="BV16" s="490">
        <f t="shared" si="16"/>
      </c>
      <c r="BW16" s="490">
        <f t="shared" si="16"/>
      </c>
      <c r="BX16" s="490">
        <f t="shared" si="16"/>
      </c>
      <c r="BY16" s="662">
        <f t="shared" si="16"/>
      </c>
      <c r="BZ16" s="490">
        <f t="shared" si="16"/>
      </c>
      <c r="CA16" s="490">
        <f t="shared" si="16"/>
      </c>
      <c r="CB16" s="490">
        <f t="shared" si="16"/>
      </c>
      <c r="CC16" s="490">
        <f t="shared" si="16"/>
      </c>
      <c r="CD16" s="662">
        <f t="shared" si="16"/>
      </c>
      <c r="CE16" s="490">
        <f t="shared" si="16"/>
      </c>
      <c r="CF16" s="490">
        <f t="shared" si="16"/>
      </c>
      <c r="CG16" s="490">
        <f t="shared" si="16"/>
      </c>
      <c r="CH16" s="490">
        <f t="shared" si="16"/>
      </c>
      <c r="CI16" s="662">
        <f t="shared" si="16"/>
      </c>
      <c r="CJ16" s="490">
        <f t="shared" si="16"/>
      </c>
      <c r="CK16" s="490">
        <f t="shared" si="16"/>
      </c>
      <c r="CL16" s="490">
        <f t="shared" si="16"/>
      </c>
      <c r="CM16" s="490">
        <f t="shared" si="16"/>
      </c>
      <c r="CN16" s="662">
        <f t="shared" si="16"/>
      </c>
      <c r="CO16" s="490">
        <f t="shared" si="16"/>
      </c>
      <c r="CP16" s="490">
        <f t="shared" si="16"/>
      </c>
      <c r="CQ16" s="490">
        <f t="shared" si="16"/>
      </c>
      <c r="CR16" s="490">
        <f t="shared" si="16"/>
      </c>
      <c r="CS16" s="662">
        <f t="shared" si="16"/>
      </c>
      <c r="CT16" s="490">
        <f t="shared" si="16"/>
      </c>
      <c r="CU16" s="490">
        <f t="shared" si="16"/>
      </c>
      <c r="CV16" s="490">
        <f t="shared" si="16"/>
      </c>
      <c r="CW16" s="490">
        <f t="shared" si="16"/>
      </c>
      <c r="CX16" s="662">
        <f t="shared" si="16"/>
      </c>
      <c r="CY16" s="490">
        <f t="shared" si="16"/>
      </c>
      <c r="CZ16" s="663">
        <f t="shared" si="16"/>
      </c>
      <c r="DA16" s="663">
        <f t="shared" si="16"/>
      </c>
      <c r="DB16" s="663">
        <f t="shared" si="16"/>
      </c>
      <c r="DC16" s="662">
        <f t="shared" si="16"/>
      </c>
      <c r="DD16" s="490">
        <f t="shared" si="16"/>
      </c>
      <c r="DE16" s="490">
        <f t="shared" si="16"/>
      </c>
      <c r="DF16" s="490">
        <f t="shared" si="16"/>
      </c>
      <c r="DG16" s="490">
        <f t="shared" si="16"/>
      </c>
      <c r="DH16" s="662">
        <f t="shared" si="16"/>
      </c>
      <c r="DI16" s="490">
        <f t="shared" si="16"/>
      </c>
      <c r="DJ16" s="490">
        <f t="shared" si="16"/>
      </c>
      <c r="DK16" s="490">
        <f t="shared" si="16"/>
      </c>
      <c r="DL16" s="490">
        <f t="shared" si="16"/>
      </c>
      <c r="DM16" s="662">
        <f t="shared" si="16"/>
      </c>
      <c r="DN16" s="490">
        <f t="shared" si="16"/>
      </c>
      <c r="DO16" s="490">
        <f t="shared" si="16"/>
      </c>
      <c r="DP16" s="490">
        <f t="shared" si="16"/>
      </c>
      <c r="DQ16" s="490">
        <f t="shared" si="16"/>
      </c>
      <c r="DR16" s="662">
        <f t="shared" si="16"/>
      </c>
      <c r="DS16" s="490">
        <f t="shared" si="16"/>
      </c>
      <c r="DT16" s="490">
        <f t="shared" si="16"/>
      </c>
      <c r="DU16" s="490">
        <f t="shared" si="16"/>
      </c>
      <c r="DV16" s="490">
        <f t="shared" si="16"/>
      </c>
      <c r="DW16" s="662">
        <f t="shared" si="16"/>
      </c>
      <c r="DX16" s="490">
        <f t="shared" si="16"/>
      </c>
      <c r="DY16" s="490">
        <f t="shared" si="16"/>
      </c>
      <c r="DZ16" s="490">
        <f t="shared" si="16"/>
      </c>
      <c r="EA16" s="490">
        <f t="shared" ref="EA16:EQ16" si="17">IFERROR(EA17-EA13,"")</f>
      </c>
      <c r="EB16" s="662">
        <f t="shared" si="17"/>
      </c>
      <c r="EC16" s="490">
        <f t="shared" si="17"/>
      </c>
      <c r="ED16" s="490">
        <f t="shared" si="17"/>
      </c>
      <c r="EE16" s="490">
        <f t="shared" si="17"/>
      </c>
      <c r="EF16" s="490">
        <f t="shared" si="17"/>
      </c>
      <c r="EG16" s="662">
        <f t="shared" si="17"/>
      </c>
      <c r="EH16" s="490">
        <f t="shared" si="17"/>
      </c>
      <c r="EI16" s="490">
        <f t="shared" si="17"/>
      </c>
      <c r="EJ16" s="490">
        <f t="shared" si="17"/>
      </c>
      <c r="EK16" s="490">
        <f t="shared" si="17"/>
      </c>
      <c r="EL16" s="662">
        <f t="shared" si="17"/>
      </c>
      <c r="EM16" s="490">
        <f t="shared" si="17"/>
      </c>
      <c r="EN16" s="490">
        <f t="shared" si="17"/>
      </c>
      <c r="EO16" s="490">
        <f t="shared" si="17"/>
      </c>
      <c r="EP16" s="490">
        <f t="shared" si="17"/>
      </c>
      <c r="EQ16" s="662">
        <f t="shared" si="17"/>
      </c>
      <c r="ER16" s="490">
        <f t="shared" ref="ER16:EW16" si="18">IFERROR(ER17-ER13,"")</f>
      </c>
      <c r="ES16" s="490">
        <f t="shared" si="18"/>
      </c>
      <c r="ET16" s="490">
        <f t="shared" si="18"/>
      </c>
      <c r="EU16" s="490">
        <f t="shared" si="18"/>
      </c>
      <c r="EV16" s="662">
        <f t="shared" si="18"/>
      </c>
      <c r="EW16" s="490">
        <f t="shared" si="18"/>
      </c>
      <c r="EX16" s="490">
        <f t="shared" ref="EX16:FA16" si="19">IFERROR(EX17-EX13,"")</f>
      </c>
      <c r="EY16" s="490">
        <f t="shared" si="19"/>
      </c>
      <c r="EZ16" s="490">
        <f t="shared" si="19"/>
      </c>
      <c r="FA16" s="662">
        <f t="shared" si="19"/>
      </c>
      <c r="FB16" s="680">
        <v>33</v>
      </c>
      <c r="FC16" s="680">
        <v>33</v>
      </c>
      <c r="FD16" s="680">
        <v>33</v>
      </c>
      <c r="FE16" s="680">
        <v>33</v>
      </c>
      <c r="FF16" s="662">
        <f>IFERROR(FF17-FF13,"")</f>
      </c>
      <c r="FG16" s="680">
        <v>33</v>
      </c>
      <c r="FH16" s="680">
        <v>33</v>
      </c>
      <c r="FI16" s="680">
        <v>33</v>
      </c>
      <c r="FJ16" s="680">
        <v>33</v>
      </c>
      <c r="FK16" s="662">
        <f>IFERROR(FK17-FK13,"")</f>
      </c>
      <c r="FL16" s="680">
        <v>33</v>
      </c>
      <c r="FM16" s="680">
        <v>33</v>
      </c>
      <c r="FN16" s="680">
        <v>33</v>
      </c>
      <c r="FO16" s="680">
        <v>33</v>
      </c>
      <c r="FP16" s="662">
        <f>IFERROR(FP17-FP13,"")</f>
      </c>
      <c r="FQ16" s="680">
        <v>33</v>
      </c>
      <c r="FR16" s="680">
        <v>33</v>
      </c>
      <c r="FS16" s="680">
        <v>33</v>
      </c>
      <c r="FT16" s="680">
        <v>33</v>
      </c>
      <c r="FU16" s="662">
        <f>IFERROR(FU17-FU13,"")</f>
      </c>
      <c r="FV16" s="680">
        <v>33</v>
      </c>
      <c r="FW16" s="680">
        <v>33</v>
      </c>
      <c r="FX16" s="680">
        <v>33</v>
      </c>
      <c r="FY16" s="680">
        <v>33</v>
      </c>
      <c r="FZ16" s="662">
        <f>IFERROR(FZ17-FZ13,"")</f>
      </c>
      <c r="GA16" s="680">
        <v>33</v>
      </c>
      <c r="GB16" s="680">
        <v>33</v>
      </c>
      <c r="GC16" s="680">
        <v>33</v>
      </c>
      <c r="GD16" s="680">
        <v>33</v>
      </c>
      <c r="GE16" s="662">
        <f>IFERROR(GE17-GE13,"")</f>
      </c>
      <c r="GF16" s="680">
        <v>33</v>
      </c>
      <c r="GG16" s="680">
        <v>33</v>
      </c>
      <c r="GH16" s="680">
        <v>33</v>
      </c>
      <c r="GI16" s="680">
        <v>33</v>
      </c>
      <c r="GJ16" s="662">
        <f>IFERROR(GJ17-GJ13,"")</f>
      </c>
    </row>
    <row r="17" spans="1:192" s="124" customFormat="1" ht="12.6" customHeight="1">
      <c r="A17" s="640"/>
      <c r="B17" s="722" t="s">
        <v>297</v>
      </c>
      <c r="C17" s="654">
        <f>IFERROR(IS!C152,"")</f>
      </c>
      <c r="D17" s="654">
        <f>IFERROR(IS!D152,"")</f>
      </c>
      <c r="E17" s="654">
        <f>IFERROR(IS!E152,"")</f>
      </c>
      <c r="F17" s="654">
        <f>IFERROR(IS!F152,"")</f>
      </c>
      <c r="G17" s="655">
        <f>IFERROR(IS!G152,"")</f>
      </c>
      <c r="H17" s="654">
        <f>IFERROR(IS!H152,"")</f>
      </c>
      <c r="I17" s="654">
        <f>IFERROR(IS!I152,"")</f>
      </c>
      <c r="J17" s="654">
        <f>IFERROR(IS!J152,"")</f>
      </c>
      <c r="K17" s="654">
        <f>IFERROR(IS!K152,"")</f>
      </c>
      <c r="L17" s="655">
        <f>IFERROR(IS!L152,"")</f>
      </c>
      <c r="M17" s="654">
        <f>IFERROR(IS!M152,"")</f>
      </c>
      <c r="N17" s="654">
        <f>IFERROR(IS!N152,"")</f>
      </c>
      <c r="O17" s="654">
        <f>IFERROR(IS!O152,"")</f>
      </c>
      <c r="P17" s="654">
        <f>IFERROR(IS!P152,"")</f>
      </c>
      <c r="Q17" s="655">
        <f>IFERROR(IS!Q152,"")</f>
      </c>
      <c r="R17" s="654">
        <f>IFERROR(IS!R152,"")</f>
      </c>
      <c r="S17" s="654">
        <f>IFERROR(IS!S152,"")</f>
      </c>
      <c r="T17" s="654">
        <f>IFERROR(IS!T152,"")</f>
      </c>
      <c r="U17" s="654">
        <f>IFERROR(IS!U152,"")</f>
      </c>
      <c r="V17" s="655">
        <f>IFERROR(IS!V152,"")</f>
      </c>
      <c r="W17" s="654">
        <f>IFERROR(IS!W152,"")</f>
      </c>
      <c r="X17" s="654">
        <f>IFERROR(IS!X152,"")</f>
      </c>
      <c r="Y17" s="654">
        <f>IFERROR(IS!Y152,"")</f>
      </c>
      <c r="Z17" s="654">
        <f>IFERROR(IS!Z152,"")</f>
      </c>
      <c r="AA17" s="655">
        <f>IFERROR(IS!AA152,"")</f>
      </c>
      <c r="AB17" s="654">
        <f>IFERROR(IS!AB152,"")</f>
      </c>
      <c r="AC17" s="654">
        <f>IFERROR(IS!AC152,"")</f>
      </c>
      <c r="AD17" s="654">
        <f>IFERROR(IS!AD152,"")</f>
      </c>
      <c r="AE17" s="654">
        <f>IFERROR(IS!AE152,"")</f>
      </c>
      <c r="AF17" s="655">
        <f>IFERROR(IS!AF152,"")</f>
      </c>
      <c r="AG17" s="654">
        <f>IFERROR(IS!AG152,"")</f>
      </c>
      <c r="AH17" s="654">
        <f>IFERROR(IS!AH152,"")</f>
      </c>
      <c r="AI17" s="654">
        <f>IFERROR(IS!AI152,"")</f>
      </c>
      <c r="AJ17" s="654">
        <f>IFERROR(IS!AJ152,"")</f>
      </c>
      <c r="AK17" s="655">
        <f>IFERROR(IS!AK152,"")</f>
      </c>
      <c r="AL17" s="656">
        <f>IFERROR(IS!AL152,"")</f>
      </c>
      <c r="AM17" s="657">
        <f>IFERROR(IS!AM152,"")</f>
      </c>
      <c r="AN17" s="657">
        <f>IFERROR(IS!AN152,"")</f>
      </c>
      <c r="AO17" s="658">
        <f>IFERROR(IS!AO152,"")</f>
      </c>
      <c r="AP17" s="655">
        <f>IFERROR(IS!AP152,"")</f>
      </c>
      <c r="AQ17" s="1369">
        <f>IFERROR(IS!AQ152,"")</f>
      </c>
      <c r="AR17" s="660">
        <f>IFERROR(IS!AR152,"")</f>
      </c>
      <c r="AS17" s="660">
        <f>IFERROR(IS!AS152,"")</f>
      </c>
      <c r="AT17" s="1370">
        <f>IFERROR(IS!AT152,"")</f>
      </c>
      <c r="AU17" s="1368">
        <f>IFERROR(IS!AU152,"")</f>
      </c>
      <c r="AV17" s="1369">
        <f>IFERROR(IS!AV152,"")</f>
      </c>
      <c r="AW17" s="660">
        <f>IFERROR(IS!AW152,"")</f>
      </c>
      <c r="AX17" s="660">
        <f>IFERROR(IS!AX152,"")</f>
      </c>
      <c r="AY17" s="1370">
        <f>IFERROR(IS!AY152,"")</f>
      </c>
      <c r="AZ17" s="1368">
        <f>IFERROR(IS!AZ152,"")</f>
      </c>
      <c r="BA17" s="1369">
        <f>IFERROR(IS!BA152,"")</f>
      </c>
      <c r="BB17" s="660">
        <f>IFERROR(IS!BB152,"")</f>
      </c>
      <c r="BC17" s="660">
        <f>IFERROR(IS!BC152,"")</f>
      </c>
      <c r="BD17" s="1370">
        <f>IFERROR(IS!BD152,"")</f>
      </c>
      <c r="BE17" s="1368">
        <f>IFERROR(IS!BE152,"")</f>
      </c>
      <c r="BF17" s="1369">
        <f>IFERROR(IS!BF152,"")</f>
      </c>
      <c r="BG17" s="660">
        <f>IFERROR(IS!BG152,"")</f>
      </c>
      <c r="BH17" s="660">
        <f>IFERROR(IS!BH152,"")</f>
      </c>
      <c r="BI17" s="1370">
        <f>IFERROR(IS!BI152,"")</f>
      </c>
      <c r="BJ17" s="1368">
        <f>IFERROR(IS!BJ152,"")</f>
      </c>
      <c r="BK17" s="1369">
        <f>IFERROR(IS!BK152,"")</f>
      </c>
      <c r="BL17" s="660">
        <f>IFERROR(IS!BL152,"")</f>
      </c>
      <c r="BM17" s="660">
        <f>IFERROR(IS!BM152,"")</f>
      </c>
      <c r="BN17" s="660">
        <f>IFERROR(IS!BN152,"")</f>
      </c>
      <c r="BO17" s="1368">
        <f>IFERROR(IS!BO152,"")</f>
      </c>
      <c r="BP17" s="660">
        <f>IFERROR(IS!BP152,"")</f>
      </c>
      <c r="BQ17" s="660">
        <f>IFERROR(IS!BQ152,"")</f>
      </c>
      <c r="BR17" s="660">
        <f>IFERROR(IS!BR152,"")</f>
      </c>
      <c r="BS17" s="660">
        <f>IFERROR(IS!BS152,"")</f>
      </c>
      <c r="BT17" s="1368">
        <f>IFERROR(IS!BT152,"")</f>
      </c>
      <c r="BU17" s="660">
        <f>IFERROR(IS!BU152,"")</f>
      </c>
      <c r="BV17" s="660">
        <f>IFERROR(IS!BV152,"")</f>
      </c>
      <c r="BW17" s="660">
        <f>IFERROR(IS!BW152,"")</f>
      </c>
      <c r="BX17" s="660">
        <f>IFERROR(IS!BX152,"")</f>
      </c>
      <c r="BY17" s="1368">
        <f>IFERROR(IS!BY152,"")</f>
      </c>
      <c r="BZ17" s="660">
        <f>IFERROR(IS!BZ152,"")</f>
      </c>
      <c r="CA17" s="660">
        <f>IFERROR(IS!CA152,"")</f>
      </c>
      <c r="CB17" s="660">
        <f>IFERROR(IS!CB152,"")</f>
      </c>
      <c r="CC17" s="660">
        <f>IFERROR(IS!CC152,"")</f>
      </c>
      <c r="CD17" s="1368">
        <f>IFERROR(IS!CD152,"")</f>
      </c>
      <c r="CE17" s="660">
        <f>IFERROR(IS!CE152,"")</f>
      </c>
      <c r="CF17" s="660">
        <f>IFERROR(IS!CF152,"")</f>
      </c>
      <c r="CG17" s="660">
        <f>IFERROR(IS!CG152,"")</f>
      </c>
      <c r="CH17" s="660">
        <f>IFERROR(IS!CH152,"")</f>
      </c>
      <c r="CI17" s="1368">
        <f>IFERROR(IS!CI152,"")</f>
      </c>
      <c r="CJ17" s="660">
        <f>IFERROR(IS!CJ152,"")</f>
      </c>
      <c r="CK17" s="660">
        <f>IFERROR(IS!CK152,"")</f>
      </c>
      <c r="CL17" s="660">
        <f>IFERROR(IS!CL152,"")</f>
      </c>
      <c r="CM17" s="660">
        <f>IFERROR(IS!CM152,"")</f>
      </c>
      <c r="CN17" s="1368">
        <f>IFERROR(IS!CN152,"")</f>
      </c>
      <c r="CO17" s="660">
        <f>IFERROR(IS!CO152,"")</f>
      </c>
      <c r="CP17" s="660">
        <f>IFERROR(IS!CP152,"")</f>
      </c>
      <c r="CQ17" s="660">
        <f>IFERROR(IS!CQ152,"")</f>
      </c>
      <c r="CR17" s="660">
        <f>IFERROR(IS!CR152,"")</f>
      </c>
      <c r="CS17" s="1368">
        <f>IFERROR(IS!CS152,"")</f>
      </c>
      <c r="CT17" s="660">
        <f>IFERROR(IS!CT152,"")</f>
      </c>
      <c r="CU17" s="660">
        <f>IFERROR(IS!CU152,"")</f>
      </c>
      <c r="CV17" s="660">
        <f>IFERROR(IS!CV152,"")</f>
      </c>
      <c r="CW17" s="660">
        <f>IFERROR(IS!CW152,"")</f>
      </c>
      <c r="CX17" s="1368">
        <f>IFERROR(IS!CX152,"")</f>
      </c>
      <c r="CY17" s="660">
        <f>IFERROR(IS!CY152,"")</f>
      </c>
      <c r="CZ17" s="661">
        <f>IFERROR(IS!CZ152,"")</f>
      </c>
      <c r="DA17" s="661">
        <f>IFERROR(IS!DA152,"")</f>
      </c>
      <c r="DB17" s="661">
        <f>IFERROR(IS!DB152,"")</f>
      </c>
      <c r="DC17" s="1368">
        <f>IFERROR(IS!DC152,"")</f>
      </c>
      <c r="DD17" s="660">
        <f>IFERROR(IS!DD152,"")</f>
      </c>
      <c r="DE17" s="660">
        <f>IFERROR(IS!DE152,"")</f>
      </c>
      <c r="DF17" s="660">
        <f>IFERROR(IS!DF152,"")</f>
      </c>
      <c r="DG17" s="660">
        <f>IFERROR(IS!DG152,"")</f>
      </c>
      <c r="DH17" s="1368">
        <f>IFERROR(IS!DH152,"")</f>
      </c>
      <c r="DI17" s="660">
        <f>IFERROR(IS!DI152,"")</f>
      </c>
      <c r="DJ17" s="660">
        <f>IFERROR(IS!DJ152,"")</f>
      </c>
      <c r="DK17" s="660">
        <f>IFERROR(IS!DK152,"")</f>
      </c>
      <c r="DL17" s="660">
        <f>IFERROR(IS!DL152,"")</f>
      </c>
      <c r="DM17" s="1368">
        <f>IFERROR(IS!DM152,"")</f>
      </c>
      <c r="DN17" s="660">
        <f>IFERROR(IS!DN152,"")</f>
      </c>
      <c r="DO17" s="660">
        <f>IFERROR(IS!DO152,"")</f>
      </c>
      <c r="DP17" s="660">
        <f>IFERROR(IS!DP152,"")</f>
      </c>
      <c r="DQ17" s="660">
        <f>IFERROR(IS!DQ152,"")</f>
      </c>
      <c r="DR17" s="1368">
        <f>IFERROR(IS!DR152,"")</f>
      </c>
      <c r="DS17" s="660">
        <f>IFERROR(IS!DS152,"")</f>
      </c>
      <c r="DT17" s="660">
        <f>IFERROR(IS!DT152,"")</f>
      </c>
      <c r="DU17" s="660">
        <f>IFERROR(IS!DU152,"")</f>
      </c>
      <c r="DV17" s="660">
        <f>IFERROR(IS!DV152,"")</f>
      </c>
      <c r="DW17" s="1368">
        <f>IFERROR(IS!DW152,"")</f>
      </c>
      <c r="DX17" s="660">
        <f>IFERROR(IS!DX152,"")</f>
      </c>
      <c r="DY17" s="660">
        <f>IFERROR(IS!DY152,"")</f>
      </c>
      <c r="DZ17" s="660">
        <f>IFERROR(IS!DZ152,"")</f>
      </c>
      <c r="EA17" s="660">
        <f>IFERROR(IS!EA152,"")</f>
      </c>
      <c r="EB17" s="1368">
        <f>IFERROR(IS!EB152,"")</f>
      </c>
      <c r="EC17" s="660">
        <f>IFERROR(IS!EC152,"")</f>
      </c>
      <c r="ED17" s="660">
        <f>IFERROR(IS!ED152,"")</f>
      </c>
      <c r="EE17" s="660">
        <f>IFERROR(IS!EE152,"")</f>
      </c>
      <c r="EF17" s="660">
        <f>IFERROR(IS!EF152,"")</f>
      </c>
      <c r="EG17" s="1368">
        <f>IFERROR(IS!EG152,"")</f>
      </c>
      <c r="EH17" s="660">
        <f>IFERROR(IS!EH152,"")</f>
      </c>
      <c r="EI17" s="660">
        <f>IFERROR(IS!EI152,"")</f>
      </c>
      <c r="EJ17" s="660">
        <f>IFERROR(IS!EJ152,"")</f>
      </c>
      <c r="EK17" s="660">
        <f>IFERROR(IS!EK152,"")</f>
      </c>
      <c r="EL17" s="1368">
        <f>IFERROR(IS!EL152,"")</f>
      </c>
      <c r="EM17" s="660">
        <f>IFERROR(IS!EM152,"")</f>
      </c>
      <c r="EN17" s="660">
        <f>IFERROR(IS!EN152,"")</f>
      </c>
      <c r="EO17" s="660">
        <f>IFERROR(IS!EO152,"")</f>
      </c>
      <c r="EP17" s="660">
        <f>IFERROR(IS!EP152,"")</f>
      </c>
      <c r="EQ17" s="1368">
        <f>IFERROR(IS!EQ152,"")</f>
      </c>
      <c r="ER17" s="660">
        <f>IFERROR(IS!ER152,"")</f>
      </c>
      <c r="ES17" s="660">
        <f>IFERROR(IS!ES152,"")</f>
      </c>
      <c r="ET17" s="660">
        <f>IFERROR(IS!ET152,"")</f>
      </c>
      <c r="EU17" s="660">
        <f>IFERROR(IS!EU152,"")</f>
      </c>
      <c r="EV17" s="1368">
        <f>IFERROR(IS!EV152,"")</f>
      </c>
      <c r="EW17" s="660">
        <f>IFERROR(IS!EW152,"")</f>
      </c>
      <c r="EX17" s="660">
        <f>IFERROR(IS!EX152,"")</f>
      </c>
      <c r="EY17" s="660">
        <f>IFERROR(IS!EY152,"")</f>
      </c>
      <c r="EZ17" s="660">
        <f>IFERROR(IS!EZ152,"")</f>
      </c>
      <c r="FA17" s="1368">
        <f>IFERROR(IS!FA152,"")</f>
      </c>
      <c r="FB17" s="659">
        <f>FB13+FB16</f>
      </c>
      <c r="FC17" s="659">
        <f>FC13+FC16</f>
      </c>
      <c r="FD17" s="659">
        <f>FD13+FD16</f>
      </c>
      <c r="FE17" s="659">
        <f>FE13+FE16</f>
      </c>
      <c r="FF17" s="655">
        <f>FE17</f>
      </c>
      <c r="FG17" s="659">
        <f>FG13+FG16</f>
      </c>
      <c r="FH17" s="659">
        <f>FH13+FH16</f>
      </c>
      <c r="FI17" s="659">
        <f>FI13+FI16</f>
      </c>
      <c r="FJ17" s="659">
        <f>FJ13+FJ16</f>
      </c>
      <c r="FK17" s="655">
        <f>FJ17</f>
      </c>
      <c r="FL17" s="659">
        <f>FL13+FL16</f>
      </c>
      <c r="FM17" s="659">
        <f>FM13+FM16</f>
      </c>
      <c r="FN17" s="659">
        <f>FN13+FN16</f>
      </c>
      <c r="FO17" s="659">
        <f>FO13+FO16</f>
      </c>
      <c r="FP17" s="655">
        <f>FO17</f>
      </c>
      <c r="FQ17" s="659">
        <f>FQ13+FQ16</f>
      </c>
      <c r="FR17" s="659">
        <f>FR13+FR16</f>
      </c>
      <c r="FS17" s="659">
        <f>FS13+FS16</f>
      </c>
      <c r="FT17" s="659">
        <f>FT13+FT16</f>
      </c>
      <c r="FU17" s="655">
        <f>FT17</f>
      </c>
      <c r="FV17" s="659">
        <f>FV13+FV16</f>
      </c>
      <c r="FW17" s="659">
        <f>FW13+FW16</f>
      </c>
      <c r="FX17" s="659">
        <f>FX13+FX16</f>
      </c>
      <c r="FY17" s="659">
        <f>FY13+FY16</f>
      </c>
      <c r="FZ17" s="655">
        <f>FY17</f>
      </c>
      <c r="GA17" s="659">
        <f>GA13+GA16</f>
      </c>
      <c r="GB17" s="659">
        <f>GB13+GB16</f>
      </c>
      <c r="GC17" s="659">
        <f>GC13+GC16</f>
      </c>
      <c r="GD17" s="659">
        <f>GD13+GD16</f>
      </c>
      <c r="GE17" s="655">
        <f>GD17</f>
      </c>
      <c r="GF17" s="659">
        <f>GF13+GF16</f>
      </c>
      <c r="GG17" s="659">
        <f>GG13+GG16</f>
      </c>
      <c r="GH17" s="659">
        <f>GH13+GH16</f>
      </c>
      <c r="GI17" s="659">
        <f>GI13+GI16</f>
      </c>
      <c r="GJ17" s="655">
        <f>GI17</f>
      </c>
    </row>
    <row r="18" spans="1:192" s="671" customFormat="1" ht="12.6" customHeight="1">
      <c r="B18" s="1142" t="s">
        <v>34</v>
      </c>
      <c r="C18" s="650" t="str">
        <f>IFERROR(C17/#REF!-1,"")</f>
      </c>
      <c r="D18" s="650" t="str">
        <f>IFERROR(D17/#REF!-1,"")</f>
      </c>
      <c r="E18" s="650" t="str">
        <f>IFERROR(E17/#REF!-1,"")</f>
      </c>
      <c r="F18" s="650" t="str">
        <f t="shared" ref="F18:AK18" si="20">IFERROR(F17/A17-1,"")</f>
      </c>
      <c r="G18" s="1143" t="str">
        <f t="shared" si="20"/>
      </c>
      <c r="H18" s="650">
        <f t="shared" si="20"/>
      </c>
      <c r="I18" s="650">
        <f t="shared" si="20"/>
      </c>
      <c r="J18" s="650">
        <f t="shared" si="20"/>
      </c>
      <c r="K18" s="650">
        <f t="shared" si="20"/>
      </c>
      <c r="L18" s="1143">
        <f t="shared" si="20"/>
      </c>
      <c r="M18" s="650">
        <f t="shared" si="20"/>
      </c>
      <c r="N18" s="650">
        <f t="shared" si="20"/>
      </c>
      <c r="O18" s="650">
        <f t="shared" si="20"/>
      </c>
      <c r="P18" s="650">
        <f t="shared" si="20"/>
      </c>
      <c r="Q18" s="1143">
        <f t="shared" si="20"/>
      </c>
      <c r="R18" s="650">
        <f t="shared" si="20"/>
      </c>
      <c r="S18" s="650">
        <f t="shared" si="20"/>
      </c>
      <c r="T18" s="650">
        <f t="shared" si="20"/>
      </c>
      <c r="U18" s="650">
        <f t="shared" si="20"/>
      </c>
      <c r="V18" s="1143">
        <f t="shared" si="20"/>
      </c>
      <c r="W18" s="650">
        <f t="shared" si="20"/>
      </c>
      <c r="X18" s="650">
        <f t="shared" si="20"/>
      </c>
      <c r="Y18" s="650">
        <f t="shared" si="20"/>
      </c>
      <c r="Z18" s="650">
        <f t="shared" si="20"/>
      </c>
      <c r="AA18" s="1143">
        <f t="shared" si="20"/>
      </c>
      <c r="AB18" s="650">
        <f t="shared" si="20"/>
      </c>
      <c r="AC18" s="650">
        <f t="shared" si="20"/>
      </c>
      <c r="AD18" s="650">
        <f t="shared" si="20"/>
      </c>
      <c r="AE18" s="650">
        <f t="shared" si="20"/>
      </c>
      <c r="AF18" s="1143">
        <f t="shared" si="20"/>
      </c>
      <c r="AG18" s="650">
        <f t="shared" si="20"/>
      </c>
      <c r="AH18" s="650">
        <f t="shared" si="20"/>
      </c>
      <c r="AI18" s="650">
        <f t="shared" si="20"/>
      </c>
      <c r="AJ18" s="650">
        <f t="shared" si="20"/>
      </c>
      <c r="AK18" s="1143">
        <f t="shared" si="20"/>
      </c>
      <c r="AL18" s="671">
        <f t="shared" ref="AL18:BQ18" si="21">IFERROR(AL17/AG17-1,"")</f>
      </c>
      <c r="AM18" s="671">
        <f t="shared" si="21"/>
      </c>
      <c r="AN18" s="671">
        <f t="shared" si="21"/>
      </c>
      <c r="AO18" s="671">
        <f t="shared" si="21"/>
      </c>
      <c r="AP18" s="1143">
        <f t="shared" si="21"/>
      </c>
      <c r="AQ18" s="671">
        <f t="shared" si="21"/>
      </c>
      <c r="AR18" s="671">
        <f t="shared" si="21"/>
      </c>
      <c r="AS18" s="671">
        <f t="shared" si="21"/>
      </c>
      <c r="AT18" s="671">
        <f t="shared" si="21"/>
      </c>
      <c r="AU18" s="1143">
        <f t="shared" si="21"/>
      </c>
      <c r="AV18" s="671">
        <f t="shared" si="21"/>
      </c>
      <c r="AW18" s="671">
        <f t="shared" si="21"/>
      </c>
      <c r="AX18" s="671">
        <f t="shared" si="21"/>
      </c>
      <c r="AY18" s="671">
        <f t="shared" si="21"/>
      </c>
      <c r="AZ18" s="1143">
        <f t="shared" si="21"/>
      </c>
      <c r="BA18" s="671">
        <f t="shared" si="21"/>
      </c>
      <c r="BB18" s="671">
        <f t="shared" si="21"/>
      </c>
      <c r="BC18" s="671">
        <f t="shared" si="21"/>
      </c>
      <c r="BD18" s="671">
        <f t="shared" si="21"/>
      </c>
      <c r="BE18" s="1143">
        <f t="shared" si="21"/>
      </c>
      <c r="BF18" s="671">
        <f t="shared" si="21"/>
      </c>
      <c r="BG18" s="671">
        <f t="shared" si="21"/>
      </c>
      <c r="BH18" s="671">
        <f t="shared" si="21"/>
      </c>
      <c r="BI18" s="671">
        <f t="shared" si="21"/>
      </c>
      <c r="BJ18" s="1143">
        <f t="shared" si="21"/>
      </c>
      <c r="BK18" s="650">
        <f t="shared" si="21"/>
      </c>
      <c r="BL18" s="650">
        <f t="shared" si="21"/>
      </c>
      <c r="BM18" s="650">
        <f t="shared" si="21"/>
      </c>
      <c r="BN18" s="650">
        <f t="shared" si="21"/>
      </c>
      <c r="BO18" s="1143">
        <f t="shared" si="21"/>
      </c>
      <c r="BP18" s="650">
        <f t="shared" si="21"/>
      </c>
      <c r="BQ18" s="650">
        <f t="shared" si="21"/>
      </c>
      <c r="BR18" s="650">
        <f t="shared" ref="BR18:CW18" si="22">IFERROR(BR17/BM17-1,"")</f>
      </c>
      <c r="BS18" s="650">
        <f t="shared" si="22"/>
      </c>
      <c r="BT18" s="1143">
        <f t="shared" si="22"/>
      </c>
      <c r="BU18" s="650">
        <f t="shared" si="22"/>
      </c>
      <c r="BV18" s="650">
        <f t="shared" si="22"/>
      </c>
      <c r="BW18" s="650">
        <f t="shared" si="22"/>
      </c>
      <c r="BX18" s="650">
        <f t="shared" si="22"/>
      </c>
      <c r="BY18" s="1143">
        <f t="shared" si="22"/>
      </c>
      <c r="BZ18" s="650">
        <f t="shared" si="22"/>
      </c>
      <c r="CA18" s="650">
        <f t="shared" si="22"/>
      </c>
      <c r="CB18" s="650">
        <f t="shared" si="22"/>
      </c>
      <c r="CC18" s="650">
        <f t="shared" si="22"/>
      </c>
      <c r="CD18" s="1143">
        <f t="shared" si="22"/>
      </c>
      <c r="CE18" s="650">
        <f t="shared" si="22"/>
      </c>
      <c r="CF18" s="650">
        <f t="shared" si="22"/>
      </c>
      <c r="CG18" s="650">
        <f t="shared" si="22"/>
      </c>
      <c r="CH18" s="650">
        <f t="shared" si="22"/>
      </c>
      <c r="CI18" s="1143">
        <f t="shared" si="22"/>
      </c>
      <c r="CJ18" s="650">
        <f t="shared" si="22"/>
      </c>
      <c r="CK18" s="650">
        <f t="shared" si="22"/>
      </c>
      <c r="CL18" s="650">
        <f t="shared" si="22"/>
      </c>
      <c r="CM18" s="650">
        <f t="shared" si="22"/>
      </c>
      <c r="CN18" s="1143">
        <f t="shared" si="22"/>
      </c>
      <c r="CO18" s="650">
        <f t="shared" si="22"/>
      </c>
      <c r="CP18" s="650">
        <f t="shared" si="22"/>
      </c>
      <c r="CQ18" s="650">
        <f t="shared" si="22"/>
      </c>
      <c r="CR18" s="650">
        <f t="shared" si="22"/>
      </c>
      <c r="CS18" s="1143">
        <f t="shared" si="22"/>
      </c>
      <c r="CT18" s="650">
        <f t="shared" si="22"/>
      </c>
      <c r="CU18" s="650">
        <f t="shared" si="22"/>
      </c>
      <c r="CV18" s="650">
        <f t="shared" si="22"/>
      </c>
      <c r="CW18" s="650">
        <f t="shared" si="22"/>
      </c>
      <c r="CX18" s="1143">
        <f t="shared" ref="CX18:EC18" si="23">IFERROR(CX17/CS17-1,"")</f>
      </c>
      <c r="CY18" s="650">
        <f t="shared" si="23"/>
      </c>
      <c r="CZ18" s="650">
        <f t="shared" si="23"/>
      </c>
      <c r="DA18" s="650">
        <f t="shared" si="23"/>
      </c>
      <c r="DB18" s="650">
        <f t="shared" si="23"/>
      </c>
      <c r="DC18" s="1143">
        <f t="shared" si="23"/>
      </c>
      <c r="DD18" s="650">
        <f t="shared" si="23"/>
      </c>
      <c r="DE18" s="650">
        <f t="shared" si="23"/>
      </c>
      <c r="DF18" s="650">
        <f t="shared" si="23"/>
      </c>
      <c r="DG18" s="650">
        <f t="shared" si="23"/>
      </c>
      <c r="DH18" s="1143">
        <f t="shared" si="23"/>
      </c>
      <c r="DI18" s="650">
        <f t="shared" si="23"/>
      </c>
      <c r="DJ18" s="650">
        <f t="shared" si="23"/>
      </c>
      <c r="DK18" s="650">
        <f t="shared" si="23"/>
      </c>
      <c r="DL18" s="650">
        <f t="shared" si="23"/>
      </c>
      <c r="DM18" s="1143">
        <f t="shared" si="23"/>
      </c>
      <c r="DN18" s="650">
        <f t="shared" si="23"/>
      </c>
      <c r="DO18" s="650">
        <f t="shared" si="23"/>
      </c>
      <c r="DP18" s="650">
        <f t="shared" si="23"/>
      </c>
      <c r="DQ18" s="650">
        <f t="shared" si="23"/>
      </c>
      <c r="DR18" s="1143">
        <f t="shared" si="23"/>
      </c>
      <c r="DS18" s="650">
        <f t="shared" si="23"/>
      </c>
      <c r="DT18" s="650">
        <f t="shared" si="23"/>
      </c>
      <c r="DU18" s="650">
        <f t="shared" si="23"/>
      </c>
      <c r="DV18" s="650">
        <f t="shared" si="23"/>
      </c>
      <c r="DW18" s="1143">
        <f t="shared" si="23"/>
      </c>
      <c r="DX18" s="650">
        <f t="shared" si="23"/>
      </c>
      <c r="DY18" s="650">
        <f t="shared" si="23"/>
      </c>
      <c r="DZ18" s="650">
        <f t="shared" si="23"/>
      </c>
      <c r="EA18" s="650">
        <f t="shared" si="23"/>
      </c>
      <c r="EB18" s="1143">
        <f t="shared" si="23"/>
      </c>
      <c r="EC18" s="650">
        <f t="shared" si="23"/>
      </c>
      <c r="ED18" s="650">
        <f t="shared" ref="ED18:FI18" si="24">IFERROR(ED17/DY17-1,"")</f>
      </c>
      <c r="EE18" s="650">
        <f t="shared" si="24"/>
      </c>
      <c r="EF18" s="650">
        <f t="shared" si="24"/>
      </c>
      <c r="EG18" s="1143">
        <f t="shared" si="24"/>
      </c>
      <c r="EH18" s="650">
        <f t="shared" si="24"/>
      </c>
      <c r="EI18" s="650">
        <f t="shared" si="24"/>
      </c>
      <c r="EJ18" s="650">
        <f t="shared" si="24"/>
      </c>
      <c r="EK18" s="650">
        <f t="shared" si="24"/>
      </c>
      <c r="EL18" s="1143">
        <f t="shared" si="24"/>
      </c>
      <c r="EM18" s="650">
        <f t="shared" si="24"/>
      </c>
      <c r="EN18" s="650">
        <f t="shared" si="24"/>
      </c>
      <c r="EO18" s="650">
        <f t="shared" si="24"/>
      </c>
      <c r="EP18" s="650">
        <f t="shared" si="24"/>
      </c>
      <c r="EQ18" s="1143">
        <f t="shared" si="24"/>
      </c>
      <c r="ER18" s="650">
        <f t="shared" si="24"/>
      </c>
      <c r="ES18" s="650">
        <f t="shared" si="24"/>
      </c>
      <c r="ET18" s="650">
        <f t="shared" si="24"/>
      </c>
      <c r="EU18" s="650">
        <f>IFERROR(EU17/EP17-1,"")</f>
      </c>
      <c r="EV18" s="1143">
        <f>IFERROR(EV17/EQ17-1,"")</f>
      </c>
      <c r="EW18" s="650">
        <f t="shared" si="24"/>
      </c>
      <c r="EX18" s="650">
        <f t="shared" si="24"/>
      </c>
      <c r="EY18" s="650">
        <f t="shared" si="24"/>
      </c>
      <c r="EZ18" s="650">
        <f>IFERROR(EZ17/EU17-1,"")</f>
      </c>
      <c r="FA18" s="1143">
        <f>IFERROR(FA17/EV17-1,"")</f>
      </c>
      <c r="FB18" s="650">
        <f t="shared" si="24"/>
      </c>
      <c r="FC18" s="650">
        <f t="shared" si="24"/>
      </c>
      <c r="FD18" s="650">
        <f t="shared" si="24"/>
      </c>
      <c r="FE18" s="650">
        <f t="shared" si="24"/>
      </c>
      <c r="FF18" s="1143">
        <f t="shared" si="24"/>
      </c>
      <c r="FG18" s="650">
        <f t="shared" si="24"/>
      </c>
      <c r="FH18" s="650">
        <f t="shared" si="24"/>
      </c>
      <c r="FI18" s="650">
        <f t="shared" si="24"/>
      </c>
      <c r="FJ18" s="650">
        <f t="shared" ref="FJ18:FZ18" si="25">IFERROR(FJ17/FE17-1,"")</f>
      </c>
      <c r="FK18" s="1143">
        <f t="shared" si="25"/>
      </c>
      <c r="FL18" s="650">
        <f t="shared" si="25"/>
      </c>
      <c r="FM18" s="650">
        <f t="shared" si="25"/>
      </c>
      <c r="FN18" s="650">
        <f t="shared" si="25"/>
      </c>
      <c r="FO18" s="650">
        <f t="shared" si="25"/>
      </c>
      <c r="FP18" s="1143">
        <f t="shared" si="25"/>
      </c>
      <c r="FQ18" s="650">
        <f t="shared" si="25"/>
      </c>
      <c r="FR18" s="650">
        <f t="shared" si="25"/>
      </c>
      <c r="FS18" s="650">
        <f t="shared" si="25"/>
      </c>
      <c r="FT18" s="650">
        <f t="shared" si="25"/>
      </c>
      <c r="FU18" s="1143">
        <f t="shared" si="25"/>
      </c>
      <c r="FV18" s="650">
        <f t="shared" si="25"/>
      </c>
      <c r="FW18" s="650">
        <f t="shared" si="25"/>
      </c>
      <c r="FX18" s="650">
        <f t="shared" si="25"/>
      </c>
      <c r="FY18" s="650">
        <f t="shared" si="25"/>
      </c>
      <c r="FZ18" s="1143">
        <f t="shared" si="25"/>
      </c>
      <c r="GA18" s="650">
        <f t="shared" ref="GA18:GJ18" si="26">IFERROR(GA17/FV17-1,"")</f>
      </c>
      <c r="GB18" s="650">
        <f t="shared" si="26"/>
      </c>
      <c r="GC18" s="650">
        <f t="shared" si="26"/>
      </c>
      <c r="GD18" s="650">
        <f t="shared" si="26"/>
      </c>
      <c r="GE18" s="1143">
        <f t="shared" si="26"/>
      </c>
      <c r="GF18" s="650">
        <f t="shared" si="26"/>
      </c>
      <c r="GG18" s="650">
        <f t="shared" si="26"/>
      </c>
      <c r="GH18" s="650">
        <f t="shared" si="26"/>
      </c>
      <c r="GI18" s="650">
        <f t="shared" si="26"/>
      </c>
      <c r="GJ18" s="1143">
        <f t="shared" si="26"/>
      </c>
    </row>
    <row r="19" spans="1:192" s="671" customFormat="1" ht="12.6" customHeight="1">
      <c r="B19" s="676"/>
      <c r="C19" s="650"/>
      <c r="D19" s="650"/>
      <c r="E19" s="650"/>
      <c r="F19" s="650"/>
      <c r="G19" s="1143"/>
      <c r="H19" s="650"/>
      <c r="I19" s="650"/>
      <c r="J19" s="650"/>
      <c r="K19" s="650"/>
      <c r="L19" s="1143"/>
      <c r="M19" s="650"/>
      <c r="N19" s="650"/>
      <c r="O19" s="650"/>
      <c r="P19" s="650"/>
      <c r="Q19" s="1143"/>
      <c r="R19" s="650"/>
      <c r="S19" s="650"/>
      <c r="T19" s="650"/>
      <c r="U19" s="650"/>
      <c r="V19" s="1143"/>
      <c r="W19" s="650"/>
      <c r="X19" s="650"/>
      <c r="Y19" s="650"/>
      <c r="Z19" s="650"/>
      <c r="AA19" s="1143"/>
      <c r="AB19" s="650"/>
      <c r="AC19" s="650"/>
      <c r="AD19" s="650"/>
      <c r="AE19" s="650"/>
      <c r="AF19" s="1143"/>
      <c r="AG19" s="650"/>
      <c r="AH19" s="650"/>
      <c r="AI19" s="650"/>
      <c r="AJ19" s="650"/>
      <c r="AK19" s="1143"/>
      <c r="AP19" s="1143"/>
      <c r="AU19" s="1143"/>
      <c r="AZ19" s="1143"/>
      <c r="BE19" s="1143"/>
      <c r="BJ19" s="1143"/>
      <c r="BK19" s="650"/>
      <c r="BL19" s="650"/>
      <c r="BM19" s="650"/>
      <c r="BN19" s="650"/>
      <c r="BO19" s="1143"/>
      <c r="BP19" s="650"/>
      <c r="BQ19" s="650"/>
      <c r="BR19" s="650"/>
      <c r="BS19" s="650"/>
      <c r="BT19" s="1143"/>
      <c r="BU19" s="650"/>
      <c r="BV19" s="650"/>
      <c r="BW19" s="650"/>
      <c r="BX19" s="650"/>
      <c r="BY19" s="1143"/>
      <c r="BZ19" s="650"/>
      <c r="CA19" s="650"/>
      <c r="CB19" s="650"/>
      <c r="CC19" s="650"/>
      <c r="CD19" s="1143"/>
      <c r="CE19" s="650"/>
      <c r="CF19" s="650"/>
      <c r="CG19" s="650"/>
      <c r="CH19" s="650"/>
      <c r="CI19" s="1143"/>
      <c r="CJ19" s="650"/>
      <c r="CK19" s="650"/>
      <c r="CL19" s="650"/>
      <c r="CM19" s="650"/>
      <c r="CN19" s="1143"/>
      <c r="CO19" s="650"/>
      <c r="CP19" s="650"/>
      <c r="CQ19" s="650"/>
      <c r="CR19" s="650"/>
      <c r="CS19" s="1143"/>
      <c r="CT19" s="650"/>
      <c r="CU19" s="650"/>
      <c r="CV19" s="650"/>
      <c r="CW19" s="650"/>
      <c r="CX19" s="1143"/>
      <c r="CY19" s="650"/>
      <c r="CZ19" s="650"/>
      <c r="DA19" s="650"/>
      <c r="DB19" s="650"/>
      <c r="DC19" s="1143"/>
      <c r="DD19" s="650"/>
      <c r="DE19" s="650"/>
      <c r="DF19" s="650"/>
      <c r="DG19" s="650"/>
      <c r="DH19" s="1143"/>
      <c r="DI19" s="650"/>
      <c r="DJ19" s="650"/>
      <c r="DK19" s="650"/>
      <c r="DL19" s="650"/>
      <c r="DM19" s="1143"/>
      <c r="DN19" s="650"/>
      <c r="DO19" s="650"/>
      <c r="DP19" s="650"/>
      <c r="DQ19" s="650"/>
      <c r="DR19" s="1143"/>
      <c r="DS19" s="650"/>
      <c r="DT19" s="650"/>
      <c r="DU19" s="650"/>
      <c r="DV19" s="650"/>
      <c r="DW19" s="1143"/>
      <c r="DX19" s="650"/>
      <c r="DY19" s="650"/>
      <c r="DZ19" s="650"/>
      <c r="EA19" s="650"/>
      <c r="EB19" s="1143"/>
      <c r="EC19" s="650"/>
      <c r="ED19" s="650"/>
      <c r="EE19" s="650"/>
      <c r="EF19" s="650"/>
      <c r="EG19" s="1143"/>
      <c r="EH19" s="650"/>
      <c r="EI19" s="650"/>
      <c r="EJ19" s="650"/>
      <c r="EK19" s="650"/>
      <c r="EL19" s="1143"/>
      <c r="EM19" s="650"/>
      <c r="EN19" s="650"/>
      <c r="EO19" s="650"/>
      <c r="EP19" s="650"/>
      <c r="EQ19" s="1143"/>
      <c r="ER19" s="650"/>
      <c r="ES19" s="650"/>
      <c r="ET19" s="650"/>
      <c r="EU19" s="650"/>
      <c r="EV19" s="1143"/>
      <c r="EW19" s="650"/>
      <c r="EX19" s="650"/>
      <c r="EY19" s="650"/>
      <c r="EZ19" s="650"/>
      <c r="FA19" s="1143"/>
      <c r="FB19" s="650"/>
      <c r="FC19" s="650"/>
      <c r="FD19" s="650"/>
      <c r="FE19" s="650"/>
      <c r="FF19" s="1143"/>
      <c r="FG19" s="650"/>
      <c r="FH19" s="650"/>
      <c r="FI19" s="650"/>
      <c r="FJ19" s="650"/>
      <c r="FK19" s="1143"/>
      <c r="FL19" s="650"/>
      <c r="FM19" s="650"/>
      <c r="FN19" s="650"/>
      <c r="FO19" s="650"/>
      <c r="FP19" s="1143"/>
      <c r="FQ19" s="650"/>
      <c r="FR19" s="650"/>
      <c r="FS19" s="650"/>
      <c r="FT19" s="650"/>
      <c r="FU19" s="1143"/>
      <c r="FV19" s="650"/>
      <c r="FW19" s="650"/>
      <c r="FX19" s="650"/>
      <c r="FY19" s="650"/>
      <c r="FZ19" s="1143"/>
      <c r="GA19" s="650"/>
      <c r="GB19" s="650"/>
      <c r="GC19" s="650"/>
      <c r="GD19" s="650"/>
      <c r="GE19" s="1143"/>
      <c r="GF19" s="650"/>
      <c r="GG19" s="650"/>
      <c r="GH19" s="650"/>
      <c r="GI19" s="650"/>
      <c r="GJ19" s="1143"/>
    </row>
    <row r="20" spans="1:192" s="237" customFormat="1" ht="12.6" customHeight="1">
      <c r="A20" s="235"/>
      <c r="B20" s="683" t="s">
        <v>109</v>
      </c>
      <c r="C20" s="669">
        <f>CF!C14</f>
      </c>
      <c r="D20" s="669">
        <f>CF!D14</f>
      </c>
      <c r="E20" s="669">
        <f>CF!E14</f>
      </c>
      <c r="F20" s="669">
        <f>CF!F14</f>
      </c>
      <c r="G20" s="668">
        <f>CF!G14</f>
      </c>
      <c r="H20" s="669">
        <f>CF!H14</f>
      </c>
      <c r="I20" s="669">
        <f>CF!I14</f>
      </c>
      <c r="J20" s="669">
        <f>CF!J14</f>
      </c>
      <c r="K20" s="669">
        <f>CF!K14</f>
      </c>
      <c r="L20" s="668">
        <f>CF!L14</f>
      </c>
      <c r="M20" s="669">
        <f>CF!M14</f>
      </c>
      <c r="N20" s="669">
        <f>CF!N14</f>
      </c>
      <c r="O20" s="669">
        <f>CF!O14</f>
      </c>
      <c r="P20" s="669">
        <f>CF!P14</f>
      </c>
      <c r="Q20" s="668">
        <f>CF!Q14</f>
      </c>
      <c r="R20" s="669">
        <f>CF!R14</f>
      </c>
      <c r="S20" s="669">
        <f>CF!S14</f>
      </c>
      <c r="T20" s="669">
        <f>CF!T14</f>
      </c>
      <c r="U20" s="669">
        <f>CF!U14</f>
      </c>
      <c r="V20" s="668">
        <f>CF!V14</f>
      </c>
      <c r="W20" s="669">
        <f>CF!W14</f>
      </c>
      <c r="X20" s="669">
        <f>CF!X14</f>
      </c>
      <c r="Y20" s="669">
        <f>CF!Y14</f>
      </c>
      <c r="Z20" s="669">
        <f>CF!Z14</f>
      </c>
      <c r="AA20" s="668">
        <f>CF!AA14</f>
      </c>
      <c r="AB20" s="669">
        <f>CF!AB14</f>
      </c>
      <c r="AC20" s="669">
        <f>CF!AC14</f>
      </c>
      <c r="AD20" s="669">
        <f>CF!AD14</f>
      </c>
      <c r="AE20" s="669">
        <f>CF!AE14</f>
      </c>
      <c r="AF20" s="668">
        <f>CF!AF14</f>
      </c>
      <c r="AG20" s="669">
        <f>CF!AG14</f>
      </c>
      <c r="AH20" s="669">
        <f>CF!AH14</f>
      </c>
      <c r="AI20" s="669">
        <f>CF!AI14</f>
      </c>
      <c r="AJ20" s="669">
        <f>CF!AJ14</f>
      </c>
      <c r="AK20" s="668">
        <f>CF!AK14</f>
      </c>
      <c r="AL20" s="669">
        <f>CF!AL14</f>
      </c>
      <c r="AM20" s="669">
        <f>CF!AM14</f>
      </c>
      <c r="AN20" s="669">
        <f>CF!AN14</f>
      </c>
      <c r="AO20" s="669">
        <f>CF!AO14</f>
      </c>
      <c r="AP20" s="668">
        <f>CF!AP14</f>
      </c>
      <c r="AQ20" s="669">
        <f>CF!AQ14</f>
      </c>
      <c r="AR20" s="669">
        <f>CF!AR14</f>
      </c>
      <c r="AS20" s="669">
        <f>CF!AS14</f>
      </c>
      <c r="AT20" s="669">
        <f>CF!AT14</f>
      </c>
      <c r="AU20" s="668">
        <f>CF!AU14</f>
      </c>
      <c r="AV20" s="669">
        <f>CF!AV14</f>
      </c>
      <c r="AW20" s="669">
        <f>CF!AW14</f>
      </c>
      <c r="AX20" s="669">
        <f>CF!AX14</f>
      </c>
      <c r="AY20" s="669">
        <f>CF!AY14</f>
      </c>
      <c r="AZ20" s="668">
        <f>CF!AZ14</f>
      </c>
      <c r="BA20" s="669">
        <f>CF!BA14</f>
      </c>
      <c r="BB20" s="669">
        <f>CF!BB14</f>
      </c>
      <c r="BC20" s="669">
        <f>CF!BC14</f>
      </c>
      <c r="BD20" s="669">
        <f>CF!BD14</f>
      </c>
      <c r="BE20" s="668">
        <f>CF!BE14</f>
      </c>
      <c r="BF20" s="669">
        <f>CF!BF14</f>
      </c>
      <c r="BG20" s="669">
        <f>CF!BG14</f>
      </c>
      <c r="BH20" s="669">
        <f>CF!BH14</f>
      </c>
      <c r="BI20" s="669">
        <f>CF!BI14</f>
      </c>
      <c r="BJ20" s="668">
        <f>CF!BJ14</f>
      </c>
      <c r="BK20" s="669">
        <f>CF!BK14</f>
      </c>
      <c r="BL20" s="669">
        <f>CF!BL14</f>
      </c>
      <c r="BM20" s="669">
        <f>CF!BM14</f>
      </c>
      <c r="BN20" s="669">
        <f>CF!BN14</f>
      </c>
      <c r="BO20" s="668">
        <f>CF!BO14</f>
      </c>
      <c r="BP20" s="669">
        <f>CF!BP14</f>
      </c>
      <c r="BQ20" s="669">
        <f>CF!BQ14</f>
      </c>
      <c r="BR20" s="669">
        <f>CF!BR14</f>
      </c>
      <c r="BS20" s="669">
        <f>CF!BS14</f>
      </c>
      <c r="BT20" s="668">
        <f>CF!BT14</f>
      </c>
      <c r="BU20" s="669">
        <f>CF!BU14</f>
      </c>
      <c r="BV20" s="669">
        <f>CF!BV14</f>
      </c>
      <c r="BW20" s="669">
        <f>CF!BW14</f>
      </c>
      <c r="BX20" s="669">
        <f>CF!BX14</f>
      </c>
      <c r="BY20" s="668">
        <f>CF!BY14</f>
      </c>
      <c r="BZ20" s="669">
        <f>CF!BZ14</f>
      </c>
      <c r="CA20" s="669">
        <f>CF!CA14</f>
      </c>
      <c r="CB20" s="669">
        <f>CF!CB14</f>
      </c>
      <c r="CC20" s="669">
        <f>CF!CC14</f>
      </c>
      <c r="CD20" s="668">
        <f>CF!CD14</f>
      </c>
      <c r="CE20" s="669">
        <f>CF!CE14</f>
      </c>
      <c r="CF20" s="669">
        <f>CF!CF14</f>
      </c>
      <c r="CG20" s="669">
        <f>CF!CG14</f>
      </c>
      <c r="CH20" s="669">
        <f>CF!CH14</f>
      </c>
      <c r="CI20" s="668">
        <f>CF!CI14</f>
      </c>
      <c r="CJ20" s="669">
        <f>CF!CJ14</f>
      </c>
      <c r="CK20" s="669">
        <f>CF!CK14</f>
      </c>
      <c r="CL20" s="669">
        <f>CF!CL14</f>
      </c>
      <c r="CM20" s="669">
        <f>CF!CM14</f>
      </c>
      <c r="CN20" s="668">
        <f>CF!CN14</f>
      </c>
      <c r="CO20" s="669">
        <f>CF!CO14</f>
      </c>
      <c r="CP20" s="669">
        <f>CF!CP14</f>
      </c>
      <c r="CQ20" s="669">
        <f>CF!CQ14</f>
      </c>
      <c r="CR20" s="669">
        <f>CF!CR14</f>
      </c>
      <c r="CS20" s="668">
        <f>CF!CS14</f>
      </c>
      <c r="CT20" s="669">
        <f>CF!CT14</f>
      </c>
      <c r="CU20" s="669">
        <f>CF!CU14</f>
      </c>
      <c r="CV20" s="669">
        <f>CF!CV14</f>
      </c>
      <c r="CW20" s="669">
        <f>CF!CW14</f>
      </c>
      <c r="CX20" s="668">
        <f>CF!CX14</f>
      </c>
      <c r="CY20" s="669">
        <f>CF!CY14</f>
      </c>
      <c r="CZ20" s="670">
        <f>CF!CZ14</f>
      </c>
      <c r="DA20" s="670">
        <f>CF!DA14</f>
      </c>
      <c r="DB20" s="670">
        <f>CF!DB14</f>
      </c>
      <c r="DC20" s="668">
        <f>CF!DC14</f>
      </c>
      <c r="DD20" s="669">
        <f>CF!DD14</f>
      </c>
      <c r="DE20" s="669">
        <f>CF!DE14</f>
      </c>
      <c r="DF20" s="669">
        <f>CF!DF14</f>
      </c>
      <c r="DG20" s="669">
        <f>CF!DG14</f>
      </c>
      <c r="DH20" s="668">
        <f>CF!DH14</f>
      </c>
      <c r="DI20" s="669">
        <f>CF!DI14</f>
      </c>
      <c r="DJ20" s="669">
        <f>CF!DJ14</f>
      </c>
      <c r="DK20" s="669">
        <f>CF!DK14</f>
      </c>
      <c r="DL20" s="669">
        <f>CF!DL14</f>
      </c>
      <c r="DM20" s="668">
        <f>CF!DM14</f>
      </c>
      <c r="DN20" s="669">
        <f>CF!DN14</f>
      </c>
      <c r="DO20" s="669">
        <f>CF!DO14</f>
      </c>
      <c r="DP20" s="669">
        <f>CF!DP14</f>
      </c>
      <c r="DQ20" s="669">
        <f>CF!DQ14</f>
      </c>
      <c r="DR20" s="668">
        <f>CF!DR14</f>
      </c>
      <c r="DS20" s="669">
        <f>CF!DS14</f>
      </c>
      <c r="DT20" s="669">
        <f>CF!DT14</f>
      </c>
      <c r="DU20" s="669">
        <f>CF!DU14</f>
      </c>
      <c r="DV20" s="669">
        <f>CF!DV14</f>
      </c>
      <c r="DW20" s="668">
        <f>CF!DW14</f>
      </c>
      <c r="DX20" s="669">
        <f>CF!DX14</f>
      </c>
      <c r="DY20" s="669">
        <f>CF!DY14</f>
      </c>
      <c r="DZ20" s="669">
        <f>CF!DZ14</f>
      </c>
      <c r="EA20" s="669">
        <f>CF!EA14</f>
      </c>
      <c r="EB20" s="668">
        <f>CF!EB14</f>
      </c>
      <c r="EC20" s="669">
        <f>CF!EC14</f>
      </c>
      <c r="ED20" s="669">
        <f>CF!ED14</f>
      </c>
      <c r="EE20" s="669">
        <f>CF!EE14</f>
      </c>
      <c r="EF20" s="669">
        <f>CF!EF14</f>
      </c>
      <c r="EG20" s="668">
        <f>CF!EG14</f>
      </c>
      <c r="EH20" s="669">
        <f>CF!EH14</f>
      </c>
      <c r="EI20" s="669">
        <f>CF!EI14</f>
      </c>
      <c r="EJ20" s="669">
        <f>CF!EJ14</f>
      </c>
      <c r="EK20" s="669">
        <f>CF!EK14</f>
      </c>
      <c r="EL20" s="668">
        <f>CF!EL14</f>
      </c>
      <c r="EM20" s="669">
        <f>CF!EM14</f>
      </c>
      <c r="EN20" s="669">
        <f>CF!EN14</f>
      </c>
      <c r="EO20" s="669">
        <f>CF!EO14</f>
      </c>
      <c r="EP20" s="669">
        <f>CF!EP14</f>
      </c>
      <c r="EQ20" s="668">
        <f>CF!EQ14</f>
      </c>
      <c r="ER20" s="669">
        <f>CF!ER14</f>
      </c>
      <c r="ES20" s="669">
        <f>CF!ES14</f>
      </c>
      <c r="ET20" s="669">
        <f>CF!ET14</f>
      </c>
      <c r="EU20" s="669">
        <f>CF!EU14</f>
      </c>
      <c r="EV20" s="668">
        <f>CF!EV14</f>
      </c>
      <c r="EW20" s="669">
        <f>CF!EW14</f>
      </c>
      <c r="EX20" s="669">
        <f>CF!EX14</f>
      </c>
      <c r="EY20" s="669">
        <f>CF!EY14</f>
      </c>
      <c r="EZ20" s="669">
        <f>CF!EZ14</f>
      </c>
      <c r="FA20" s="668">
        <f>CF!FA14</f>
      </c>
      <c r="FB20" s="1125">
        <f>CF!FB14</f>
      </c>
      <c r="FC20" s="1125">
        <f>CF!FC14</f>
      </c>
      <c r="FD20" s="1125">
        <f>CF!FD14</f>
      </c>
      <c r="FE20" s="1125">
        <f>CF!FE14</f>
      </c>
      <c r="FF20" s="1126">
        <f>CF!FF14</f>
      </c>
      <c r="FG20" s="1125">
        <f>CF!FG14</f>
      </c>
      <c r="FH20" s="1125">
        <f>CF!FH14</f>
      </c>
      <c r="FI20" s="1125">
        <f>CF!FI14</f>
      </c>
      <c r="FJ20" s="1125">
        <f>CF!FJ14</f>
      </c>
      <c r="FK20" s="1126">
        <f>CF!FK14</f>
      </c>
      <c r="FL20" s="1125">
        <f>CF!FL14</f>
      </c>
      <c r="FM20" s="1125">
        <f>CF!FM14</f>
      </c>
      <c r="FN20" s="1125">
        <f>CF!FN14</f>
      </c>
      <c r="FO20" s="1125">
        <f>CF!FO14</f>
      </c>
      <c r="FP20" s="1126">
        <f>CF!FP14</f>
      </c>
      <c r="FQ20" s="1125">
        <f>CF!FQ14</f>
      </c>
      <c r="FR20" s="1125">
        <f>CF!FR14</f>
      </c>
      <c r="FS20" s="1125">
        <f>CF!FS14</f>
      </c>
      <c r="FT20" s="1125">
        <f>CF!FT14</f>
      </c>
      <c r="FU20" s="1126">
        <f>CF!FU14</f>
      </c>
      <c r="FV20" s="1125">
        <f>CF!FV14</f>
      </c>
      <c r="FW20" s="1125">
        <f>CF!FW14</f>
      </c>
      <c r="FX20" s="1125">
        <f>CF!FX14</f>
      </c>
      <c r="FY20" s="1125">
        <f>CF!FY14</f>
      </c>
      <c r="FZ20" s="1126">
        <f>CF!FZ14</f>
      </c>
      <c r="GA20" s="1125">
        <f>CF!GA14</f>
      </c>
      <c r="GB20" s="1125">
        <f>CF!GB14</f>
      </c>
      <c r="GC20" s="1125">
        <f>CF!GC14</f>
      </c>
      <c r="GD20" s="1125">
        <f>CF!GD14</f>
      </c>
      <c r="GE20" s="1126">
        <f>CF!GE14</f>
      </c>
      <c r="GF20" s="1125">
        <f>CF!GF14</f>
      </c>
      <c r="GG20" s="1125">
        <f>CF!GG14</f>
      </c>
      <c r="GH20" s="1125">
        <f>CF!GH14</f>
      </c>
      <c r="GI20" s="1125">
        <f>CF!GI14</f>
      </c>
      <c r="GJ20" s="1126">
        <f>CF!GJ14</f>
      </c>
    </row>
    <row r="21" spans="1:192" ht="12.6" customHeight="1">
      <c r="B21" s="678"/>
      <c r="C21" s="641"/>
      <c r="D21" s="642"/>
      <c r="E21" s="642"/>
      <c r="F21" s="642"/>
      <c r="G21" s="644"/>
      <c r="H21" s="642"/>
      <c r="I21" s="642"/>
      <c r="J21" s="642"/>
      <c r="K21" s="642"/>
      <c r="L21" s="644"/>
      <c r="M21" s="642"/>
      <c r="N21" s="642"/>
      <c r="O21" s="642"/>
      <c r="P21" s="642"/>
      <c r="Q21" s="644"/>
      <c r="R21" s="642"/>
      <c r="S21" s="642"/>
      <c r="T21" s="642"/>
      <c r="U21" s="642"/>
      <c r="V21" s="644"/>
      <c r="W21" s="642"/>
      <c r="X21" s="642"/>
      <c r="Y21" s="642"/>
      <c r="Z21" s="642"/>
      <c r="AA21" s="644"/>
      <c r="AB21" s="642"/>
      <c r="AC21" s="642"/>
      <c r="AD21" s="642"/>
      <c r="AE21" s="642"/>
      <c r="AF21" s="644"/>
      <c r="AG21" s="642"/>
      <c r="AH21" s="642"/>
      <c r="AI21" s="642"/>
      <c r="AJ21" s="642"/>
      <c r="AK21" s="644"/>
      <c r="AP21" s="644"/>
      <c r="AU21" s="644"/>
      <c r="AZ21" s="644"/>
      <c r="BE21" s="644"/>
      <c r="BJ21" s="644"/>
      <c r="BO21" s="644"/>
      <c r="BT21" s="644"/>
      <c r="BY21" s="644"/>
      <c r="CD21" s="644"/>
      <c r="CI21" s="644"/>
      <c r="CN21" s="644"/>
      <c r="CS21" s="644"/>
      <c r="CX21" s="644"/>
      <c r="CZ21" s="643"/>
      <c r="DA21" s="643"/>
      <c r="DB21" s="643"/>
      <c r="DC21" s="644"/>
      <c r="DH21" s="644"/>
      <c r="DM21" s="644"/>
      <c r="DR21" s="644"/>
      <c r="DW21" s="644"/>
      <c r="EB21" s="644"/>
      <c r="EG21" s="644"/>
      <c r="EL21" s="644"/>
      <c r="EP21" s="696"/>
      <c r="EQ21" s="644"/>
      <c r="EU21" s="696"/>
      <c r="EV21" s="644"/>
      <c r="EZ21" s="696"/>
      <c r="FA21" s="644"/>
      <c r="FF21" s="644"/>
      <c r="FK21" s="644"/>
      <c r="FP21" s="644"/>
      <c r="FU21" s="644"/>
      <c r="FZ21" s="644"/>
      <c r="GE21" s="644"/>
      <c r="GJ21" s="644"/>
    </row>
    <row r="22" spans="1:192" s="281" customFormat="1" ht="12.6" customHeight="1">
      <c r="B22" s="683" t="s">
        <v>483</v>
      </c>
      <c r="C22" s="669">
        <f>CF!C42</f>
      </c>
      <c r="D22" s="1138">
        <f>CF!D42</f>
      </c>
      <c r="E22" s="1138">
        <f>CF!E42</f>
      </c>
      <c r="F22" s="1138">
        <f>CF!F42</f>
      </c>
      <c r="G22" s="668">
        <f>CF!G42</f>
      </c>
      <c r="H22" s="669">
        <f>CF!H42</f>
      </c>
      <c r="I22" s="1138">
        <f>CF!I42</f>
      </c>
      <c r="J22" s="1138">
        <f>CF!J42</f>
      </c>
      <c r="K22" s="1138">
        <f>CF!K42</f>
      </c>
      <c r="L22" s="668">
        <f>CF!L42</f>
      </c>
      <c r="M22" s="669">
        <f>CF!M42</f>
      </c>
      <c r="N22" s="1138">
        <f>CF!N42</f>
      </c>
      <c r="O22" s="1138">
        <f>CF!O42</f>
      </c>
      <c r="P22" s="1138">
        <f>CF!P42</f>
      </c>
      <c r="Q22" s="668">
        <f>CF!Q42</f>
      </c>
      <c r="R22" s="669">
        <f>CF!R42</f>
      </c>
      <c r="S22" s="1138">
        <f>CF!S42</f>
      </c>
      <c r="T22" s="1138">
        <f>CF!T42</f>
      </c>
      <c r="U22" s="1138">
        <f>CF!U42</f>
      </c>
      <c r="V22" s="668">
        <f>CF!V42</f>
      </c>
      <c r="W22" s="669">
        <f>CF!W42</f>
      </c>
      <c r="X22" s="1138">
        <f>CF!X42</f>
      </c>
      <c r="Y22" s="1138">
        <f>CF!Y42</f>
      </c>
      <c r="Z22" s="1138">
        <f>CF!Z42</f>
      </c>
      <c r="AA22" s="668">
        <f>CF!AA42</f>
      </c>
      <c r="AB22" s="669">
        <f>CF!AB42</f>
      </c>
      <c r="AC22" s="1138">
        <f>CF!AC42</f>
      </c>
      <c r="AD22" s="1138">
        <f>CF!AD42</f>
      </c>
      <c r="AE22" s="1138">
        <f>CF!AE42</f>
      </c>
      <c r="AF22" s="668">
        <f>CF!AF42</f>
      </c>
      <c r="AG22" s="669">
        <f>CF!AG42</f>
      </c>
      <c r="AH22" s="1138">
        <f>CF!AH42</f>
      </c>
      <c r="AI22" s="1138">
        <f>CF!AI42</f>
      </c>
      <c r="AJ22" s="1138">
        <f>CF!AJ42</f>
      </c>
      <c r="AK22" s="668">
        <f>CF!AK42</f>
      </c>
      <c r="AL22" s="1139">
        <f>CF!AL42</f>
      </c>
      <c r="AM22" s="1139">
        <f>CF!AM42</f>
      </c>
      <c r="AN22" s="1139">
        <f>CF!AN42</f>
      </c>
      <c r="AO22" s="1139">
        <f>CF!AO42</f>
      </c>
      <c r="AP22" s="668">
        <f>CF!AP42</f>
      </c>
      <c r="AQ22" s="1139">
        <f>CF!AQ42</f>
      </c>
      <c r="AR22" s="1139">
        <f>CF!AR42</f>
      </c>
      <c r="AS22" s="1139">
        <f>CF!AS42</f>
      </c>
      <c r="AT22" s="1139">
        <f>CF!AT42</f>
      </c>
      <c r="AU22" s="668">
        <f>CF!AU42</f>
      </c>
      <c r="AV22" s="1139">
        <f>CF!AV42</f>
      </c>
      <c r="AW22" s="1139">
        <f>CF!AW42</f>
      </c>
      <c r="AX22" s="1139">
        <f>CF!AX42</f>
      </c>
      <c r="AY22" s="1139">
        <f>CF!AY42</f>
      </c>
      <c r="AZ22" s="668">
        <f>CF!AZ42</f>
      </c>
      <c r="BA22" s="1139">
        <f>CF!BA42</f>
      </c>
      <c r="BB22" s="1139">
        <f>CF!BB42</f>
      </c>
      <c r="BC22" s="1139">
        <f>CF!BC42</f>
      </c>
      <c r="BD22" s="1139">
        <f>CF!BD42</f>
      </c>
      <c r="BE22" s="668">
        <f>CF!BE42</f>
      </c>
      <c r="BF22" s="1139">
        <f>CF!BF42</f>
      </c>
      <c r="BG22" s="1139">
        <f>CF!BG42</f>
      </c>
      <c r="BH22" s="1139">
        <f>CF!BH42</f>
      </c>
      <c r="BI22" s="1139">
        <f>CF!BI42</f>
      </c>
      <c r="BJ22" s="668">
        <f>CF!BJ42</f>
      </c>
      <c r="BK22" s="1139">
        <f>CF!BK42</f>
      </c>
      <c r="BL22" s="1139">
        <f>CF!BL42</f>
      </c>
      <c r="BM22" s="1139">
        <f>CF!BM42</f>
      </c>
      <c r="BN22" s="1139">
        <f>CF!BN42</f>
      </c>
      <c r="BO22" s="668">
        <f>CF!BO42</f>
      </c>
      <c r="BP22" s="1139">
        <f>CF!BP42</f>
      </c>
      <c r="BQ22" s="1139">
        <f>CF!BQ42</f>
      </c>
      <c r="BR22" s="1139">
        <f>CF!BR42</f>
      </c>
      <c r="BS22" s="1139">
        <f>CF!BS42</f>
      </c>
      <c r="BT22" s="668">
        <f>CF!BT42</f>
      </c>
      <c r="BU22" s="1139">
        <f>CF!BU42</f>
      </c>
      <c r="BV22" s="1139">
        <f>CF!BV42</f>
      </c>
      <c r="BW22" s="1139">
        <f>CF!BW42</f>
      </c>
      <c r="BX22" s="1139">
        <f>CF!BX42</f>
      </c>
      <c r="BY22" s="668">
        <f>CF!BY42</f>
      </c>
      <c r="BZ22" s="1139">
        <f>CF!BZ42</f>
      </c>
      <c r="CA22" s="1139">
        <f>CF!CA42</f>
      </c>
      <c r="CB22" s="1139">
        <f>CF!CB42</f>
      </c>
      <c r="CC22" s="1139">
        <f>CF!CC42</f>
      </c>
      <c r="CD22" s="668">
        <f>CF!CD42</f>
      </c>
      <c r="CE22" s="1139">
        <f>CF!CE42</f>
      </c>
      <c r="CF22" s="1139">
        <f>CF!CF42</f>
      </c>
      <c r="CG22" s="1139">
        <f>CF!CG42</f>
      </c>
      <c r="CH22" s="1139">
        <f>CF!CH42</f>
      </c>
      <c r="CI22" s="668">
        <f>CF!CI42</f>
      </c>
      <c r="CJ22" s="1139">
        <f>CF!CJ42</f>
      </c>
      <c r="CK22" s="1139">
        <f>CF!CK42</f>
      </c>
      <c r="CL22" s="1139">
        <f>CF!CL42</f>
      </c>
      <c r="CM22" s="1139">
        <f>CF!CM42</f>
      </c>
      <c r="CN22" s="668">
        <f>CF!CN42</f>
      </c>
      <c r="CO22" s="1139">
        <f>CF!CO42</f>
      </c>
      <c r="CP22" s="1139">
        <f>CF!CP42</f>
      </c>
      <c r="CQ22" s="1139">
        <f>CF!CQ42</f>
      </c>
      <c r="CR22" s="1139">
        <f>CF!CR42</f>
      </c>
      <c r="CS22" s="668">
        <f>CF!CS42</f>
      </c>
      <c r="CT22" s="1139">
        <f>CF!CT42</f>
      </c>
      <c r="CU22" s="1139">
        <f>CF!CU42</f>
      </c>
      <c r="CV22" s="669">
        <f>CF!CV42</f>
      </c>
      <c r="CW22" s="669">
        <f>CF!CW42</f>
      </c>
      <c r="CX22" s="668">
        <f>CF!CX42</f>
      </c>
      <c r="CY22" s="669">
        <f>CF!CY42</f>
      </c>
      <c r="CZ22" s="670">
        <f>CF!CZ42</f>
      </c>
      <c r="DA22" s="670">
        <f>CF!DA42</f>
      </c>
      <c r="DB22" s="1140">
        <f>CF!DB42</f>
      </c>
      <c r="DC22" s="668">
        <f>CF!DC42</f>
      </c>
      <c r="DD22" s="1139">
        <f>CF!DD42</f>
      </c>
      <c r="DE22" s="1139">
        <f>CF!DE42</f>
      </c>
      <c r="DF22" s="1139">
        <f>CF!DF42</f>
      </c>
      <c r="DG22" s="1139">
        <f>CF!DG42</f>
      </c>
      <c r="DH22" s="668">
        <f>CF!DH42</f>
      </c>
      <c r="DI22" s="1139">
        <f>CF!DI42</f>
      </c>
      <c r="DJ22" s="1139">
        <f>CF!DJ42</f>
      </c>
      <c r="DK22" s="1139">
        <f>CF!DK42</f>
      </c>
      <c r="DL22" s="1139">
        <f>CF!DL42</f>
      </c>
      <c r="DM22" s="668">
        <f>CF!DM42</f>
      </c>
      <c r="DN22" s="1139">
        <f>CF!DN42</f>
      </c>
      <c r="DO22" s="1139">
        <f>CF!DO42</f>
      </c>
      <c r="DP22" s="1139">
        <f>CF!DP42</f>
      </c>
      <c r="DQ22" s="1139">
        <f>CF!DQ42</f>
      </c>
      <c r="DR22" s="668">
        <f>CF!DR42</f>
      </c>
      <c r="DS22" s="1139">
        <f>CF!DS42</f>
      </c>
      <c r="DT22" s="1139">
        <f>CF!DT42</f>
      </c>
      <c r="DU22" s="1139">
        <f>CF!DU42</f>
      </c>
      <c r="DV22" s="1139">
        <f>CF!DV42</f>
      </c>
      <c r="DW22" s="668">
        <f>CF!DW42</f>
      </c>
      <c r="DX22" s="1139">
        <f>CF!DX42</f>
      </c>
      <c r="DY22" s="1139">
        <f>CF!DY42</f>
      </c>
      <c r="DZ22" s="1139">
        <f>CF!DZ42</f>
      </c>
      <c r="EA22" s="1139">
        <f>CF!EA42</f>
      </c>
      <c r="EB22" s="668">
        <f>CF!EB42</f>
      </c>
      <c r="EC22" s="1139">
        <f>CF!EC42</f>
      </c>
      <c r="ED22" s="1139">
        <f>CF!ED42</f>
      </c>
      <c r="EE22" s="1139">
        <f>CF!EE42</f>
      </c>
      <c r="EF22" s="1139">
        <f>CF!EF42</f>
      </c>
      <c r="EG22" s="668">
        <f>CF!EG42</f>
      </c>
      <c r="EH22" s="1139">
        <f>CF!EH42</f>
      </c>
      <c r="EI22" s="1139">
        <f>CF!EI42</f>
      </c>
      <c r="EJ22" s="1139">
        <f>CF!EJ42</f>
      </c>
      <c r="EK22" s="1139">
        <f>CF!EK42</f>
      </c>
      <c r="EL22" s="668">
        <f>CF!EL42</f>
      </c>
      <c r="EM22" s="1139">
        <f>CF!EM42</f>
      </c>
      <c r="EN22" s="1139">
        <f>CF!EN42</f>
      </c>
      <c r="EO22" s="1139">
        <f>CF!EO42</f>
      </c>
      <c r="EP22" s="1139">
        <f>CF!EP42</f>
      </c>
      <c r="EQ22" s="668">
        <f>CF!EQ42</f>
      </c>
      <c r="ER22" s="1139">
        <f>CF!ER42</f>
      </c>
      <c r="ES22" s="1139">
        <f>CF!ES42</f>
      </c>
      <c r="ET22" s="1139">
        <f>CF!ET42</f>
      </c>
      <c r="EU22" s="1139">
        <f>CF!EU42</f>
      </c>
      <c r="EV22" s="668">
        <f>CF!EV42</f>
      </c>
      <c r="EW22" s="1139">
        <f>CF!EW42</f>
      </c>
      <c r="EX22" s="1139">
        <f>CF!EX42</f>
      </c>
      <c r="EY22" s="1139">
        <f>CF!EY42</f>
      </c>
      <c r="EZ22" s="1139">
        <f>CF!EZ42</f>
      </c>
      <c r="FA22" s="668">
        <f>CF!FA42</f>
      </c>
      <c r="FB22" s="1141">
        <f>FB23+FB24</f>
      </c>
      <c r="FC22" s="1141">
        <f>FC23+FC24</f>
      </c>
      <c r="FD22" s="1141">
        <f>FD23+FD24</f>
      </c>
      <c r="FE22" s="1141">
        <f>FE23+FE24</f>
      </c>
      <c r="FF22" s="645">
        <f>SUM(FB22:FE22)</f>
      </c>
      <c r="FG22" s="1141">
        <f>FG23+FG24</f>
      </c>
      <c r="FH22" s="1141">
        <f>FH23+FH24</f>
      </c>
      <c r="FI22" s="1141">
        <f>FI23+FI24</f>
      </c>
      <c r="FJ22" s="1141">
        <f>FJ23+FJ24</f>
      </c>
      <c r="FK22" s="645">
        <f>SUM(FG22:FJ22)</f>
      </c>
      <c r="FL22" s="1141">
        <f>FL23+FL24</f>
      </c>
      <c r="FM22" s="1141">
        <f>FM23+FM24</f>
      </c>
      <c r="FN22" s="1141">
        <f>FN23+FN24</f>
      </c>
      <c r="FO22" s="1141">
        <f>FO23+FO24</f>
      </c>
      <c r="FP22" s="645">
        <f>SUM(FL22:FO22)</f>
      </c>
      <c r="FQ22" s="1141">
        <f>FQ23+FQ24</f>
      </c>
      <c r="FR22" s="1141">
        <f>FR23+FR24</f>
      </c>
      <c r="FS22" s="1141">
        <f>FS23+FS24</f>
      </c>
      <c r="FT22" s="1141">
        <f>FT23+FT24</f>
      </c>
      <c r="FU22" s="645">
        <f>SUM(FQ22:FT22)</f>
      </c>
      <c r="FV22" s="1141">
        <f>FV23+FV24</f>
      </c>
      <c r="FW22" s="1141">
        <f>FW23+FW24</f>
      </c>
      <c r="FX22" s="1141">
        <f>FX23+FX24</f>
      </c>
      <c r="FY22" s="1141">
        <f>FY23+FY24</f>
      </c>
      <c r="FZ22" s="645">
        <f>SUM(FV22:FY22)</f>
      </c>
      <c r="GA22" s="1141">
        <f>GA23+GA24</f>
      </c>
      <c r="GB22" s="1141">
        <f>GB23+GB24</f>
      </c>
      <c r="GC22" s="1141">
        <f>GC23+GC24</f>
      </c>
      <c r="GD22" s="1141">
        <f>GD23+GD24</f>
      </c>
      <c r="GE22" s="645">
        <f>SUM(GA22:GD22)</f>
      </c>
      <c r="GF22" s="1141">
        <f>GF23+GF24</f>
      </c>
      <c r="GG22" s="1141">
        <f>GG23+GG24</f>
      </c>
      <c r="GH22" s="1141">
        <f>GH23+GH24</f>
      </c>
      <c r="GI22" s="1141">
        <f>GI23+GI24</f>
      </c>
      <c r="GJ22" s="645">
        <f>SUM(GF22:GI22)</f>
      </c>
    </row>
    <row r="23" spans="1:192" s="688" customFormat="1" ht="12.6" customHeight="1">
      <c r="B23" s="676" t="s">
        <v>479</v>
      </c>
      <c r="C23" s="689"/>
      <c r="D23" s="690"/>
      <c r="E23" s="690"/>
      <c r="F23" s="690"/>
      <c r="G23" s="691"/>
      <c r="H23" s="689"/>
      <c r="I23" s="690"/>
      <c r="J23" s="690"/>
      <c r="K23" s="690"/>
      <c r="L23" s="691"/>
      <c r="M23" s="689"/>
      <c r="N23" s="690"/>
      <c r="O23" s="690"/>
      <c r="P23" s="690"/>
      <c r="Q23" s="691"/>
      <c r="R23" s="689"/>
      <c r="S23" s="690"/>
      <c r="T23" s="690"/>
      <c r="U23" s="690"/>
      <c r="V23" s="691"/>
      <c r="W23" s="689"/>
      <c r="X23" s="690"/>
      <c r="Y23" s="690"/>
      <c r="Z23" s="690"/>
      <c r="AA23" s="691"/>
      <c r="AB23" s="689"/>
      <c r="AC23" s="690"/>
      <c r="AD23" s="690"/>
      <c r="AE23" s="690"/>
      <c r="AF23" s="691"/>
      <c r="AG23" s="689"/>
      <c r="AH23" s="690"/>
      <c r="AI23" s="690"/>
      <c r="AJ23" s="690"/>
      <c r="AK23" s="691"/>
      <c r="AL23" s="692"/>
      <c r="AM23" s="692"/>
      <c r="AN23" s="692"/>
      <c r="AO23" s="692"/>
      <c r="AP23" s="691"/>
      <c r="AQ23" s="692"/>
      <c r="AR23" s="692"/>
      <c r="AS23" s="692"/>
      <c r="AT23" s="692"/>
      <c r="AU23" s="691"/>
      <c r="AV23" s="692"/>
      <c r="AW23" s="692"/>
      <c r="AX23" s="692"/>
      <c r="AY23" s="692"/>
      <c r="AZ23" s="691"/>
      <c r="BA23" s="692"/>
      <c r="BB23" s="692"/>
      <c r="BC23" s="692"/>
      <c r="BD23" s="692"/>
      <c r="BE23" s="691"/>
      <c r="BF23" s="692"/>
      <c r="BG23" s="692"/>
      <c r="BH23" s="692"/>
      <c r="BI23" s="692"/>
      <c r="BJ23" s="691"/>
      <c r="BK23" s="692"/>
      <c r="BL23" s="692"/>
      <c r="BM23" s="692"/>
      <c r="BN23" s="692"/>
      <c r="BO23" s="691"/>
      <c r="BP23" s="692"/>
      <c r="BQ23" s="692"/>
      <c r="BR23" s="692"/>
      <c r="BS23" s="692"/>
      <c r="BT23" s="691"/>
      <c r="BU23" s="692"/>
      <c r="BV23" s="692"/>
      <c r="BW23" s="692"/>
      <c r="BX23" s="692"/>
      <c r="BY23" s="691"/>
      <c r="BZ23" s="692"/>
      <c r="CA23" s="692"/>
      <c r="CB23" s="692"/>
      <c r="CC23" s="692"/>
      <c r="CD23" s="691"/>
      <c r="CE23" s="692"/>
      <c r="CF23" s="692"/>
      <c r="CG23" s="692"/>
      <c r="CH23" s="692"/>
      <c r="CI23" s="691"/>
      <c r="CJ23" s="692"/>
      <c r="CK23" s="692"/>
      <c r="CL23" s="692"/>
      <c r="CM23" s="692"/>
      <c r="CN23" s="691"/>
      <c r="CO23" s="692"/>
      <c r="CP23" s="692"/>
      <c r="CQ23" s="692"/>
      <c r="CR23" s="692"/>
      <c r="CS23" s="691"/>
      <c r="CT23" s="692"/>
      <c r="CU23" s="692"/>
      <c r="CV23" s="689"/>
      <c r="CW23" s="689"/>
      <c r="CX23" s="691"/>
      <c r="CY23" s="689"/>
      <c r="CZ23" s="693"/>
      <c r="DA23" s="693"/>
      <c r="DB23" s="694"/>
      <c r="DC23" s="691"/>
      <c r="DD23" s="692"/>
      <c r="DE23" s="692"/>
      <c r="DF23" s="692"/>
      <c r="DG23" s="692"/>
      <c r="DH23" s="691"/>
      <c r="DI23" s="692"/>
      <c r="DJ23" s="692"/>
      <c r="DK23" s="692"/>
      <c r="DL23" s="692"/>
      <c r="DM23" s="691"/>
      <c r="DN23" s="692"/>
      <c r="DO23" s="692"/>
      <c r="DP23" s="692"/>
      <c r="DQ23" s="692"/>
      <c r="DR23" s="691"/>
      <c r="DS23" s="692"/>
      <c r="DT23" s="692"/>
      <c r="DU23" s="692"/>
      <c r="DV23" s="692"/>
      <c r="DW23" s="691"/>
      <c r="DX23" s="692"/>
      <c r="DY23" s="692"/>
      <c r="DZ23" s="692"/>
      <c r="EA23" s="692"/>
      <c r="EB23" s="691"/>
      <c r="EC23" s="490">
        <f>EC22-EC24</f>
      </c>
      <c r="ED23" s="490">
        <f>ED22-ED24</f>
      </c>
      <c r="EE23" s="490">
        <f>EE22-EE24</f>
      </c>
      <c r="EF23" s="490">
        <f>EF22-EF24</f>
      </c>
      <c r="EG23" s="662">
        <f>SUM(EC23:EF23)</f>
      </c>
      <c r="EH23" s="490">
        <f>EH22-EH24</f>
      </c>
      <c r="EI23" s="490">
        <f>EI22-EI24</f>
      </c>
      <c r="EJ23" s="490">
        <f>EJ22-EJ24</f>
      </c>
      <c r="EK23" s="490">
        <f>EK22-EK24</f>
      </c>
      <c r="EL23" s="662">
        <f>SUM(EH23:EK23)</f>
      </c>
      <c r="EM23" s="490">
        <f>EM22-EM24</f>
      </c>
      <c r="EN23" s="490">
        <f>EN22-EN24</f>
      </c>
      <c r="EO23" s="490">
        <f>EO22-EO24</f>
      </c>
      <c r="EP23" s="490">
        <f>EP22-EP24</f>
      </c>
      <c r="EQ23" s="662">
        <f>SUM(EM23:EP23)</f>
      </c>
      <c r="ER23" s="490">
        <f>ER22-ER24</f>
      </c>
      <c r="ES23" s="490">
        <f>ES22-ES24</f>
      </c>
      <c r="ET23" s="490">
        <f>ET22-ET24</f>
      </c>
      <c r="EU23" s="490">
        <f>EU22-EU24</f>
      </c>
      <c r="EV23" s="662">
        <f>SUM(ER23:EU23)</f>
      </c>
      <c r="EW23" s="490">
        <f>EW22-EW24</f>
      </c>
      <c r="EX23" s="490">
        <f>EX22-EX24</f>
      </c>
      <c r="EY23" s="490">
        <f>EY22-EY24</f>
      </c>
      <c r="EZ23" s="490">
        <f>EZ22-EZ24</f>
      </c>
      <c r="FA23" s="662">
        <f>SUM(EW23:EZ23)</f>
      </c>
      <c r="FB23" s="646">
        <f>EZ23</f>
      </c>
      <c r="FC23" s="646">
        <f t="shared" ref="FC23:FE24" si="27">FB23</f>
      </c>
      <c r="FD23" s="646">
        <f t="shared" si="27"/>
      </c>
      <c r="FE23" s="646">
        <f t="shared" si="27"/>
      </c>
      <c r="FF23" s="695">
        <f>SUM(FB23:FE23)</f>
      </c>
      <c r="FG23" s="646">
        <f>FE23</f>
      </c>
      <c r="FH23" s="646">
        <f t="shared" ref="FH23:FJ24" si="28">FG23</f>
      </c>
      <c r="FI23" s="646">
        <f t="shared" si="28"/>
      </c>
      <c r="FJ23" s="646">
        <f t="shared" si="28"/>
      </c>
      <c r="FK23" s="695">
        <f>SUM(FG23:FJ23)</f>
      </c>
      <c r="FL23" s="646">
        <f>FJ23</f>
      </c>
      <c r="FM23" s="646">
        <f t="shared" ref="FM23:FO24" si="29">FL23</f>
      </c>
      <c r="FN23" s="646">
        <f t="shared" si="29"/>
      </c>
      <c r="FO23" s="646">
        <f t="shared" si="29"/>
      </c>
      <c r="FP23" s="695">
        <f>SUM(FL23:FO23)</f>
      </c>
      <c r="FQ23" s="646">
        <f>FO23</f>
      </c>
      <c r="FR23" s="646">
        <f t="shared" ref="FR23:FT24" si="30">FQ23</f>
      </c>
      <c r="FS23" s="646">
        <f t="shared" si="30"/>
      </c>
      <c r="FT23" s="646">
        <f t="shared" si="30"/>
      </c>
      <c r="FU23" s="695">
        <f>SUM(FQ23:FT23)</f>
      </c>
      <c r="FV23" s="646">
        <f>FT23</f>
      </c>
      <c r="FW23" s="646">
        <f t="shared" ref="FW23:FY24" si="31">FV23</f>
      </c>
      <c r="FX23" s="646">
        <f t="shared" si="31"/>
      </c>
      <c r="FY23" s="646">
        <f t="shared" si="31"/>
      </c>
      <c r="FZ23" s="695">
        <f>SUM(FV23:FY23)</f>
      </c>
      <c r="GA23" s="646">
        <f>FY23</f>
      </c>
      <c r="GB23" s="646">
        <f t="shared" ref="GB23:GD24" si="32">GA23</f>
      </c>
      <c r="GC23" s="646">
        <f t="shared" si="32"/>
      </c>
      <c r="GD23" s="646">
        <f t="shared" si="32"/>
      </c>
      <c r="GE23" s="695">
        <f>SUM(GA23:GD23)</f>
      </c>
      <c r="GF23" s="646">
        <f>GD23</f>
      </c>
      <c r="GG23" s="646">
        <f t="shared" ref="GG23:GG24" si="33">GF23</f>
      </c>
      <c r="GH23" s="646">
        <f t="shared" ref="GH23:GH24" si="34">GG23</f>
      </c>
      <c r="GI23" s="646">
        <f t="shared" ref="GI23:GI24" si="35">GH23</f>
      </c>
      <c r="GJ23" s="695">
        <f>SUM(GF23:GI23)</f>
      </c>
    </row>
    <row r="24" spans="1:192" ht="12.6" customHeight="1">
      <c r="B24" s="676" t="s">
        <v>480</v>
      </c>
      <c r="G24" s="647"/>
      <c r="L24" s="647"/>
      <c r="Q24" s="647"/>
      <c r="V24" s="647"/>
      <c r="AA24" s="647"/>
      <c r="AF24" s="647"/>
      <c r="AK24" s="647"/>
      <c r="AP24" s="647"/>
      <c r="AU24" s="647"/>
      <c r="AZ24" s="647"/>
      <c r="BE24" s="647"/>
      <c r="BJ24" s="647"/>
      <c r="BO24" s="647"/>
      <c r="BT24" s="647"/>
      <c r="BY24" s="647"/>
      <c r="CD24" s="647"/>
      <c r="CI24" s="647"/>
      <c r="CN24" s="647"/>
      <c r="CS24" s="647"/>
      <c r="CX24" s="647"/>
      <c r="CZ24" s="643"/>
      <c r="DA24" s="643"/>
      <c r="DB24" s="643"/>
      <c r="DC24" s="647"/>
      <c r="DH24" s="647"/>
      <c r="DM24" s="647"/>
      <c r="DR24" s="647"/>
      <c r="DW24" s="647"/>
      <c r="EB24" s="647"/>
      <c r="EC24" s="680">
        <v>-5270</v>
      </c>
      <c r="ED24" s="680">
        <v>-5750</v>
      </c>
      <c r="EE24" s="680">
        <v>-5750</v>
      </c>
      <c r="EF24" s="680">
        <v>-6200</v>
      </c>
      <c r="EG24" s="662">
        <f>SUM(EC24:EF24)</f>
      </c>
      <c r="EH24" s="680">
        <v>-6200</v>
      </c>
      <c r="EI24" s="680">
        <v>-6233</v>
      </c>
      <c r="EJ24" s="680">
        <v>-7800</v>
      </c>
      <c r="EK24" s="680">
        <v>-7800</v>
      </c>
      <c r="EL24" s="662">
        <f>SUM(EH24:EK24)</f>
      </c>
      <c r="EM24" s="680">
        <v>-4600</v>
      </c>
      <c r="EN24" s="680">
        <v>-4600</v>
      </c>
      <c r="EO24" s="680">
        <v>-4600</v>
      </c>
      <c r="EP24" s="680">
        <v>-4600</v>
      </c>
      <c r="EQ24" s="1129">
        <f>SUM(EM24:EP24)</f>
      </c>
      <c r="ER24" s="1130">
        <v>-3560</v>
      </c>
      <c r="ES24" s="1130">
        <v>-2800</v>
      </c>
      <c r="ET24" s="1405">
        <v>-2800</v>
      </c>
      <c r="EU24" s="1405">
        <v>-2800</v>
      </c>
      <c r="EV24" s="1129">
        <f>SUM(ER24:EU24)</f>
      </c>
      <c r="EW24" s="1405">
        <v>-2800</v>
      </c>
      <c r="EX24" s="1405">
        <v>-3500</v>
      </c>
      <c r="EY24" s="1405">
        <v>-3500</v>
      </c>
      <c r="EZ24" s="1405">
        <v>-3200</v>
      </c>
      <c r="FA24" s="1129">
        <f>SUM(EW24:EZ24)</f>
      </c>
      <c r="FB24" s="1130">
        <v>-3000</v>
      </c>
      <c r="FC24" s="1130">
        <f t="shared" si="27"/>
      </c>
      <c r="FD24" s="1130">
        <f t="shared" si="27"/>
      </c>
      <c r="FE24" s="1130">
        <f t="shared" si="27"/>
      </c>
      <c r="FF24" s="695">
        <f>SUM(FB24:FE24)</f>
      </c>
      <c r="FG24" s="1130">
        <f>FB24</f>
      </c>
      <c r="FH24" s="1130">
        <f t="shared" si="28"/>
      </c>
      <c r="FI24" s="1130">
        <f t="shared" si="28"/>
      </c>
      <c r="FJ24" s="1130">
        <f t="shared" si="28"/>
      </c>
      <c r="FK24" s="695">
        <f>SUM(FG24:FJ24)</f>
      </c>
      <c r="FL24" s="1130">
        <f>FG24</f>
      </c>
      <c r="FM24" s="1130">
        <f t="shared" si="29"/>
      </c>
      <c r="FN24" s="1130">
        <f t="shared" si="29"/>
      </c>
      <c r="FO24" s="1130">
        <f t="shared" si="29"/>
      </c>
      <c r="FP24" s="695">
        <f>SUM(FL24:FO24)</f>
      </c>
      <c r="FQ24" s="1130">
        <f>FL24</f>
      </c>
      <c r="FR24" s="1130">
        <f t="shared" si="30"/>
      </c>
      <c r="FS24" s="1130">
        <f t="shared" si="30"/>
      </c>
      <c r="FT24" s="1130">
        <f t="shared" si="30"/>
      </c>
      <c r="FU24" s="695">
        <f>SUM(FQ24:FT24)</f>
      </c>
      <c r="FV24" s="1130">
        <f>FQ24</f>
      </c>
      <c r="FW24" s="1130">
        <f t="shared" si="31"/>
      </c>
      <c r="FX24" s="1130">
        <f t="shared" si="31"/>
      </c>
      <c r="FY24" s="1130">
        <f t="shared" si="31"/>
      </c>
      <c r="FZ24" s="695">
        <f>SUM(FV24:FY24)</f>
      </c>
      <c r="GA24" s="1130">
        <f>FV24</f>
      </c>
      <c r="GB24" s="1130">
        <f t="shared" si="32"/>
      </c>
      <c r="GC24" s="1130">
        <f t="shared" si="32"/>
      </c>
      <c r="GD24" s="1130">
        <f t="shared" si="32"/>
      </c>
      <c r="GE24" s="695">
        <f>SUM(GA24:GD24)</f>
      </c>
      <c r="GF24" s="1130">
        <f>GA24</f>
      </c>
      <c r="GG24" s="1130">
        <f t="shared" si="33"/>
      </c>
      <c r="GH24" s="1130">
        <f t="shared" si="34"/>
      </c>
      <c r="GI24" s="1130">
        <f t="shared" si="35"/>
      </c>
      <c r="GJ24" s="695">
        <f>SUM(GF24:GI24)</f>
      </c>
    </row>
    <row r="25" spans="1:192" s="374" customFormat="1" ht="12.6" customHeight="1">
      <c r="A25" s="682"/>
      <c r="B25" s="1367" t="s">
        <v>298</v>
      </c>
      <c r="C25" s="448"/>
      <c r="D25" s="493"/>
      <c r="E25" s="493"/>
      <c r="F25" s="493"/>
      <c r="G25" s="685"/>
      <c r="H25" s="447"/>
      <c r="I25" s="458"/>
      <c r="J25" s="458"/>
      <c r="K25" s="458"/>
      <c r="L25" s="685"/>
      <c r="M25" s="447"/>
      <c r="N25" s="458"/>
      <c r="O25" s="458"/>
      <c r="P25" s="458"/>
      <c r="Q25" s="685"/>
      <c r="R25" s="447"/>
      <c r="S25" s="458"/>
      <c r="T25" s="458"/>
      <c r="U25" s="458"/>
      <c r="V25" s="685"/>
      <c r="W25" s="447"/>
      <c r="X25" s="458"/>
      <c r="Y25" s="458"/>
      <c r="Z25" s="458"/>
      <c r="AA25" s="685"/>
      <c r="AB25" s="447"/>
      <c r="AC25" s="458"/>
      <c r="AD25" s="458"/>
      <c r="AE25" s="458"/>
      <c r="AF25" s="685"/>
      <c r="AG25" s="447"/>
      <c r="AH25" s="458"/>
      <c r="AI25" s="458"/>
      <c r="AJ25" s="458"/>
      <c r="AK25" s="685"/>
      <c r="AP25" s="685"/>
      <c r="AU25" s="685"/>
      <c r="AZ25" s="685"/>
      <c r="BE25" s="685"/>
      <c r="BJ25" s="685"/>
      <c r="BO25" s="685"/>
      <c r="BT25" s="685"/>
      <c r="BY25" s="685"/>
      <c r="CD25" s="685"/>
      <c r="CI25" s="685"/>
      <c r="CN25" s="685"/>
      <c r="CS25" s="685"/>
      <c r="CU25" s="680"/>
      <c r="CX25" s="685"/>
      <c r="CZ25" s="682"/>
      <c r="DA25" s="682"/>
      <c r="DB25" s="682"/>
      <c r="DC25" s="685"/>
      <c r="DH25" s="685"/>
      <c r="DM25" s="685"/>
      <c r="DR25" s="685"/>
      <c r="DW25" s="685"/>
      <c r="DX25" s="680">
        <v>40000</v>
      </c>
      <c r="EB25" s="685"/>
      <c r="EC25" s="374">
        <f>ED25-ED24</f>
      </c>
      <c r="ED25" s="374">
        <f>EE25-EE24</f>
      </c>
      <c r="EE25" s="374">
        <f>EF25-EF24</f>
      </c>
      <c r="EF25" s="680">
        <v>8700</v>
      </c>
      <c r="EG25" s="373">
        <f>EF25</f>
      </c>
      <c r="EH25" s="680">
        <f>60000+2533</f>
      </c>
      <c r="EI25" s="374">
        <f>EH25+EI24</f>
      </c>
      <c r="EJ25" s="374">
        <f>EI25+EJ24</f>
      </c>
      <c r="EK25" s="374">
        <f>EJ25+EK24</f>
      </c>
      <c r="EL25" s="373">
        <f>EK25</f>
      </c>
      <c r="EM25" s="374">
        <f>EK25+EM24</f>
      </c>
      <c r="EN25" s="374">
        <f>EM25+EN24</f>
      </c>
      <c r="EO25" s="374">
        <f>EN25+EO24</f>
      </c>
      <c r="EP25" s="374">
        <f>EO25+EP24</f>
      </c>
      <c r="EQ25" s="373">
        <f>EP25</f>
      </c>
      <c r="ER25" s="374">
        <f>EP25+ER24</f>
      </c>
      <c r="ES25" s="374">
        <f>ER25+ES24</f>
      </c>
      <c r="ET25" s="374">
        <f>ES25+ET24</f>
      </c>
      <c r="EU25" s="374">
        <f>ET25+EU24</f>
      </c>
      <c r="EV25" s="373">
        <f>EU25</f>
      </c>
      <c r="EW25" s="1365">
        <f>EU25+EW24+60000</f>
      </c>
      <c r="EX25" s="374">
        <f>EW25+EX24</f>
      </c>
      <c r="EY25" s="374">
        <f>EX25+EY24</f>
      </c>
      <c r="EZ25" s="374">
        <f>EY25+EZ24</f>
      </c>
      <c r="FA25" s="373">
        <f>EZ25</f>
      </c>
      <c r="FB25" s="1366">
        <f>IF(EZ25 = "--", "--", IF(EZ25+FB24 &lt; 0, "--", EZ25+FB24))</f>
      </c>
      <c r="FC25" s="1366">
        <f>IF(FB25 = "--", "--", IF(FB25+FC24 &lt; 0, "--", FB25+FC24))</f>
      </c>
      <c r="FD25" s="1366">
        <f>IF(FC25 = "--", "--", IF(FC25+FD24 &lt; 0, "--", FC25+FD24))</f>
      </c>
      <c r="FE25" s="1366">
        <f>IF(FD25 = "--", "--", IF(FD25+FE24 &lt; 0, "--", FD25+FE24))</f>
      </c>
      <c r="FF25" s="373">
        <f>FE25</f>
      </c>
      <c r="FG25" s="1366">
        <f>IF(FE25 = "--", "--", IF(FE25+FG24 &lt; 0, "--", FE25+FG24))</f>
      </c>
      <c r="FH25" s="1366">
        <f>IF(FG25 = "--", "--", IF(FG25+FH24 &lt; 0, "--", FG25+FH24))</f>
      </c>
      <c r="FI25" s="1366">
        <f>IF(FH25 = "--", "--", IF(FH25+FI24 &lt; 0, "--", FH25+FI24))</f>
      </c>
      <c r="FJ25" s="1366">
        <f>IF(FI25 = "--", "--", IF(FI25+FJ24 &lt; 0, "--", FI25+FJ24))</f>
      </c>
      <c r="FK25" s="373">
        <f>FJ25</f>
      </c>
      <c r="FL25" s="1366">
        <f>IF(FJ25 = "--", "--", IF(FJ25+FL24 &lt; 0, "--", FJ25+FL24))</f>
      </c>
      <c r="FM25" s="1366">
        <f>IF(FL25 = "--", "--", IF(FL25+FM24 &lt; 0, "--", FL25+FM24))</f>
      </c>
      <c r="FN25" s="1366">
        <f>IF(FM25 = "--", "--", IF(FM25+FN24 &lt; 0, "--", FM25+FN24))</f>
      </c>
      <c r="FO25" s="1366">
        <f>IF(FN25 = "--", "--", IF(FN25+FO24 &lt; 0, "--", FN25+FO24))</f>
      </c>
      <c r="FP25" s="373">
        <f>FO25</f>
      </c>
      <c r="FQ25" s="1366">
        <f>IF(FO25 = "--", "--", IF(FO25+FQ24 &lt; 0, "--", FO25+FQ24))</f>
      </c>
      <c r="FR25" s="1366">
        <f>IF(FQ25 = "--", "--", IF(FQ25+FR24 &lt; 0, "--", FQ25+FR24))</f>
      </c>
      <c r="FS25" s="1366">
        <f>IF(FR25 = "--", "--", IF(FR25+FS24 &lt; 0, "--", FR25+FS24))</f>
      </c>
      <c r="FT25" s="1366">
        <f>IF(FS25 = "--", "--", IF(FS25+FT24 &lt; 0, "--", FS25+FT24))</f>
      </c>
      <c r="FU25" s="373">
        <f>FT25</f>
      </c>
      <c r="FV25" s="1366">
        <f>IF(FT25 = "--", "--", IF(FT25+FV24 &lt; 0, "--", FT25+FV24))</f>
      </c>
      <c r="FW25" s="1366">
        <f>IF(FV25 = "--", "--", IF(FV25+FW24 &lt; 0, "--", FV25+FW24))</f>
      </c>
      <c r="FX25" s="1366">
        <f>IF(FW25 = "--", "--", IF(FW25+FX24 &lt; 0, "--", FW25+FX24))</f>
      </c>
      <c r="FY25" s="1366" t="str">
        <f>IF(FX25 = "--", "--", IF(FX25+FY24 &lt; 0, "--", FX25+FY24))</f>
      </c>
      <c r="FZ25" s="373" t="str">
        <f>FY25</f>
      </c>
      <c r="GA25" s="1366" t="str">
        <f>IF(FY25 = "--", "--", IF(FY25+GA24 &lt; 0, "--", FY25+GA24))</f>
      </c>
      <c r="GB25" s="1366" t="str">
        <f>IF(GA25 = "--", "--", IF(GA25+GB24 &lt; 0, "--", GA25+GB24))</f>
      </c>
      <c r="GC25" s="1366" t="str">
        <f>IF(GB25 = "--", "--", IF(GB25+GC24 &lt; 0, "--", GB25+GC24))</f>
      </c>
      <c r="GD25" s="1366" t="str">
        <f>IF(GC25 = "--", "--", IF(GC25+GD24 &lt; 0, "--", GC25+GD24))</f>
      </c>
      <c r="GE25" s="373" t="str">
        <f>GD25</f>
      </c>
      <c r="GF25" s="1366" t="str">
        <f>IF(GD25 = "--", "--", IF(GD25+GF24 &lt; 0, "--", GD25+GF24))</f>
      </c>
      <c r="GG25" s="1366" t="str">
        <f>IF(GF25 = "--", "--", IF(GF25+GG24 &lt; 0, "--", GF25+GG24))</f>
      </c>
      <c r="GH25" s="1366" t="str">
        <f>IF(GG25 = "--", "--", IF(GG25+GH24 &lt; 0, "--", GG25+GH24))</f>
      </c>
      <c r="GI25" s="1366" t="str">
        <f>IF(GH25 = "--", "--", IF(GH25+GI24 &lt; 0, "--", GH25+GI24))</f>
      </c>
      <c r="GJ25" s="373" t="str">
        <f>GI25</f>
      </c>
    </row>
    <row r="26" spans="1:192" s="374" customFormat="1" ht="12.6" customHeight="1">
      <c r="B26" s="1128"/>
      <c r="C26" s="448"/>
      <c r="D26" s="493"/>
      <c r="E26" s="493"/>
      <c r="F26" s="493"/>
      <c r="G26" s="685"/>
      <c r="H26" s="447"/>
      <c r="I26" s="458"/>
      <c r="J26" s="458"/>
      <c r="K26" s="458"/>
      <c r="L26" s="685"/>
      <c r="M26" s="447"/>
      <c r="N26" s="458"/>
      <c r="O26" s="458"/>
      <c r="P26" s="458"/>
      <c r="Q26" s="685"/>
      <c r="R26" s="447"/>
      <c r="S26" s="458"/>
      <c r="T26" s="458"/>
      <c r="U26" s="458"/>
      <c r="V26" s="685"/>
      <c r="W26" s="447"/>
      <c r="X26" s="458"/>
      <c r="Y26" s="458"/>
      <c r="Z26" s="458"/>
      <c r="AA26" s="685"/>
      <c r="AB26" s="447"/>
      <c r="AC26" s="458"/>
      <c r="AD26" s="458"/>
      <c r="AE26" s="458"/>
      <c r="AF26" s="685"/>
      <c r="AG26" s="447"/>
      <c r="AH26" s="458"/>
      <c r="AI26" s="458"/>
      <c r="AJ26" s="458"/>
      <c r="AK26" s="685"/>
      <c r="AP26" s="685"/>
      <c r="AU26" s="685"/>
      <c r="AZ26" s="685"/>
      <c r="BE26" s="685"/>
      <c r="BJ26" s="685"/>
      <c r="BO26" s="685"/>
      <c r="BT26" s="685"/>
      <c r="BY26" s="685"/>
      <c r="CD26" s="685"/>
      <c r="CI26" s="685"/>
      <c r="CN26" s="685"/>
      <c r="CS26" s="685"/>
      <c r="CU26" s="680"/>
      <c r="CX26" s="685"/>
      <c r="CZ26" s="682"/>
      <c r="DA26" s="682"/>
      <c r="DB26" s="682"/>
      <c r="DC26" s="685"/>
      <c r="DH26" s="685"/>
      <c r="DM26" s="685"/>
      <c r="DR26" s="685"/>
      <c r="DW26" s="685"/>
      <c r="DX26" s="680"/>
      <c r="EB26" s="685"/>
      <c r="EF26" s="680"/>
      <c r="EG26" s="373"/>
      <c r="EH26" s="680"/>
      <c r="EL26" s="373"/>
      <c r="EQ26" s="373"/>
      <c r="ER26" s="680"/>
      <c r="EV26" s="373"/>
      <c r="FA26" s="373"/>
      <c r="FF26" s="685"/>
      <c r="FK26" s="685"/>
      <c r="FP26" s="685"/>
      <c r="FU26" s="685"/>
      <c r="FZ26" s="685"/>
      <c r="GE26" s="685"/>
      <c r="GJ26" s="685"/>
    </row>
    <row r="27" spans="1:192" s="962" customFormat="1" ht="12.6" customHeight="1">
      <c r="B27" s="683" t="s">
        <v>482</v>
      </c>
      <c r="C27" s="1132"/>
      <c r="D27" s="1133"/>
      <c r="E27" s="1133"/>
      <c r="F27" s="1133"/>
      <c r="G27" s="685"/>
      <c r="H27" s="1134"/>
      <c r="I27" s="1135"/>
      <c r="J27" s="1135"/>
      <c r="K27" s="1135"/>
      <c r="L27" s="685"/>
      <c r="M27" s="1134"/>
      <c r="N27" s="1135"/>
      <c r="O27" s="1135"/>
      <c r="P27" s="1135"/>
      <c r="Q27" s="685"/>
      <c r="R27" s="1134"/>
      <c r="S27" s="1135"/>
      <c r="T27" s="1135"/>
      <c r="U27" s="1135"/>
      <c r="V27" s="685"/>
      <c r="W27" s="1134"/>
      <c r="X27" s="1135"/>
      <c r="Y27" s="1135"/>
      <c r="Z27" s="1135"/>
      <c r="AA27" s="685"/>
      <c r="AB27" s="1134"/>
      <c r="AC27" s="1135"/>
      <c r="AD27" s="1135"/>
      <c r="AE27" s="1135"/>
      <c r="AF27" s="685"/>
      <c r="AG27" s="1134"/>
      <c r="AH27" s="1135"/>
      <c r="AI27" s="1135"/>
      <c r="AJ27" s="1135"/>
      <c r="AK27" s="685"/>
      <c r="AP27" s="685"/>
      <c r="AU27" s="685"/>
      <c r="AZ27" s="685"/>
      <c r="BE27" s="685"/>
      <c r="BJ27" s="685"/>
      <c r="BO27" s="685"/>
      <c r="BT27" s="685"/>
      <c r="BY27" s="685"/>
      <c r="CD27" s="685"/>
      <c r="CI27" s="685"/>
      <c r="CN27" s="685"/>
      <c r="CS27" s="685"/>
      <c r="CU27" s="1136"/>
      <c r="CX27" s="685"/>
      <c r="CZ27" s="1137"/>
      <c r="DA27" s="1137"/>
      <c r="DB27" s="1137"/>
      <c r="DC27" s="685"/>
      <c r="DH27" s="685"/>
      <c r="DM27" s="685"/>
      <c r="DR27" s="685"/>
      <c r="DW27" s="685"/>
      <c r="DX27" s="1136"/>
      <c r="EB27" s="685"/>
      <c r="EC27" s="962">
        <f>SUM(EC28:EC29)</f>
      </c>
      <c r="ED27" s="962">
        <f>SUM(ED28:ED29)</f>
      </c>
      <c r="EE27" s="962">
        <f>SUM(EE28:EE29)</f>
      </c>
      <c r="EF27" s="962">
        <f>SUM(EF28:EF29)</f>
      </c>
      <c r="EG27" s="936">
        <f>SUM(EC27:EF27)</f>
      </c>
      <c r="EH27" s="962">
        <f>SUM(EH28:EH29)</f>
      </c>
      <c r="EI27" s="962">
        <f>SUM(EI28:EI29)</f>
      </c>
      <c r="EJ27" s="962">
        <f>SUM(EJ28:EJ29)</f>
      </c>
      <c r="EK27" s="962">
        <f>SUM(EK28:EK29)</f>
      </c>
      <c r="EL27" s="936">
        <f>SUM(EH27:EK27)</f>
      </c>
      <c r="EM27" s="962">
        <f>SUM(EM28:EM29)</f>
      </c>
      <c r="EN27" s="962">
        <f>SUM(EN28:EN29)</f>
      </c>
      <c r="EO27" s="962">
        <f>SUM(EO28:EO29)</f>
      </c>
      <c r="EP27" s="962">
        <f>SUM(EP28:EP29)</f>
      </c>
      <c r="EQ27" s="936">
        <f>SUM(EM27:EP27)</f>
      </c>
      <c r="ER27" s="962">
        <f>SUM(ER28:ER29)</f>
      </c>
      <c r="ES27" s="962">
        <f>SUM(ES28:ES29)</f>
      </c>
      <c r="ET27" s="962">
        <f>SUM(ET28:ET29)</f>
      </c>
      <c r="EU27" s="962">
        <f>SUM(EU28:EU29)</f>
      </c>
      <c r="EV27" s="936">
        <f>SUM(ER27:EU27)</f>
      </c>
      <c r="EW27" s="962">
        <f>SUM(EW28:EW29)</f>
      </c>
      <c r="EX27" s="962">
        <f>SUM(EX28:EX29)</f>
      </c>
      <c r="EY27" s="962">
        <f>SUM(EY28:EY29)</f>
      </c>
      <c r="EZ27" s="962">
        <f>SUM(EZ28:EZ29)</f>
      </c>
      <c r="FA27" s="936">
        <f>SUM(EW27:EZ27)</f>
      </c>
      <c r="FB27" s="962">
        <f>SUM(FB28:FB29)</f>
      </c>
      <c r="FC27" s="962">
        <f>SUM(FC28:FC29)</f>
      </c>
      <c r="FD27" s="962">
        <f>SUM(FD28:FD29)</f>
      </c>
      <c r="FE27" s="962">
        <f>SUM(FE28:FE29)</f>
      </c>
      <c r="FF27" s="936">
        <f>SUM(FB27:FE27)</f>
      </c>
      <c r="FG27" s="962">
        <f>SUM(FG28:FG29)</f>
      </c>
      <c r="FH27" s="962">
        <f>SUM(FH28:FH29)</f>
      </c>
      <c r="FI27" s="962">
        <f>SUM(FI28:FI29)</f>
      </c>
      <c r="FJ27" s="962">
        <f>SUM(FJ28:FJ29)</f>
      </c>
      <c r="FK27" s="936">
        <f>SUM(FG27:FJ27)</f>
      </c>
      <c r="FL27" s="962">
        <f>SUM(FL28:FL29)</f>
      </c>
      <c r="FM27" s="962">
        <f>SUM(FM28:FM29)</f>
      </c>
      <c r="FN27" s="962">
        <f>SUM(FN28:FN29)</f>
      </c>
      <c r="FO27" s="962">
        <f>SUM(FO28:FO29)</f>
      </c>
      <c r="FP27" s="936">
        <f>SUM(FL27:FO27)</f>
      </c>
      <c r="FQ27" s="962">
        <f>SUM(FQ28:FQ29)</f>
      </c>
      <c r="FR27" s="962">
        <f>SUM(FR28:FR29)</f>
      </c>
      <c r="FS27" s="962">
        <f>SUM(FS28:FS29)</f>
      </c>
      <c r="FT27" s="962">
        <f>SUM(FT28:FT29)</f>
      </c>
      <c r="FU27" s="936">
        <f>SUM(FQ27:FT27)</f>
      </c>
      <c r="FV27" s="962">
        <f>SUM(FV28:FV29)</f>
      </c>
      <c r="FW27" s="962">
        <f>SUM(FW28:FW29)</f>
      </c>
      <c r="FX27" s="962">
        <f>SUM(FX28:FX29)</f>
      </c>
      <c r="FY27" s="962">
        <f>SUM(FY28:FY29)</f>
      </c>
      <c r="FZ27" s="936">
        <f>SUM(FV27:FY27)</f>
      </c>
      <c r="GA27" s="962">
        <f>SUM(GA28:GA29)</f>
      </c>
      <c r="GB27" s="962">
        <f>SUM(GB28:GB29)</f>
      </c>
      <c r="GC27" s="962">
        <f>SUM(GC28:GC29)</f>
      </c>
      <c r="GD27" s="962">
        <f>SUM(GD28:GD29)</f>
      </c>
      <c r="GE27" s="936">
        <f>SUM(GA27:GD27)</f>
      </c>
      <c r="GF27" s="962">
        <f>SUM(GF28:GF29)</f>
      </c>
      <c r="GG27" s="962">
        <f>SUM(GG28:GG29)</f>
      </c>
      <c r="GH27" s="962">
        <f>SUM(GH28:GH29)</f>
      </c>
      <c r="GI27" s="962">
        <f>SUM(GI28:GI29)</f>
      </c>
      <c r="GJ27" s="936">
        <f>SUM(GF27:GI27)</f>
      </c>
    </row>
    <row r="28" spans="1:192" s="374" customFormat="1" ht="12.6" customHeight="1">
      <c r="B28" s="1128" t="s">
        <v>480</v>
      </c>
      <c r="C28" s="448"/>
      <c r="D28" s="493"/>
      <c r="E28" s="493"/>
      <c r="F28" s="493"/>
      <c r="G28" s="685"/>
      <c r="H28" s="447"/>
      <c r="I28" s="458"/>
      <c r="J28" s="458"/>
      <c r="K28" s="458"/>
      <c r="L28" s="685"/>
      <c r="M28" s="447"/>
      <c r="N28" s="458"/>
      <c r="O28" s="458"/>
      <c r="P28" s="458"/>
      <c r="Q28" s="685"/>
      <c r="R28" s="447"/>
      <c r="S28" s="458"/>
      <c r="T28" s="458"/>
      <c r="U28" s="458"/>
      <c r="V28" s="685"/>
      <c r="W28" s="447"/>
      <c r="X28" s="458"/>
      <c r="Y28" s="458"/>
      <c r="Z28" s="458"/>
      <c r="AA28" s="685"/>
      <c r="AB28" s="447"/>
      <c r="AC28" s="458"/>
      <c r="AD28" s="458"/>
      <c r="AE28" s="458"/>
      <c r="AF28" s="685"/>
      <c r="AG28" s="447"/>
      <c r="AH28" s="458"/>
      <c r="AI28" s="458"/>
      <c r="AJ28" s="458"/>
      <c r="AK28" s="685"/>
      <c r="AP28" s="685"/>
      <c r="AU28" s="685"/>
      <c r="AZ28" s="685"/>
      <c r="BE28" s="685"/>
      <c r="BJ28" s="685"/>
      <c r="BO28" s="685"/>
      <c r="BT28" s="685"/>
      <c r="BY28" s="685"/>
      <c r="CD28" s="685"/>
      <c r="CI28" s="685"/>
      <c r="CN28" s="685"/>
      <c r="CS28" s="685"/>
      <c r="CU28" s="680"/>
      <c r="CX28" s="685"/>
      <c r="CZ28" s="682"/>
      <c r="DA28" s="682"/>
      <c r="DB28" s="682"/>
      <c r="DC28" s="685"/>
      <c r="DH28" s="685"/>
      <c r="DM28" s="685"/>
      <c r="DR28" s="685"/>
      <c r="DW28" s="685"/>
      <c r="DX28" s="680"/>
      <c r="EB28" s="685"/>
      <c r="EC28" s="680">
        <v>-25.152111000000001</v>
      </c>
      <c r="ED28" s="680">
        <v>-26.785513999999999</v>
      </c>
      <c r="EE28" s="680">
        <v>-24.819768</v>
      </c>
      <c r="EF28" s="680">
        <f>-(7.493732+8.823524+8.155857)</f>
      </c>
      <c r="EG28" s="662">
        <f>SUM(EC28:EF28)</f>
      </c>
      <c r="EH28" s="680">
        <v>-21.322662999999999</v>
      </c>
      <c r="EI28" s="680">
        <v>-19.272209</v>
      </c>
      <c r="EJ28" s="680">
        <v>-26.058537999999999</v>
      </c>
      <c r="EK28" s="680">
        <f>-(9.124963+9.809727+9.832841)</f>
      </c>
      <c r="EL28" s="662">
        <f>SUM(EH28:EK28)</f>
      </c>
      <c r="EM28" s="680">
        <v>-17.292950000000001</v>
      </c>
      <c r="EN28" s="680">
        <v>-19.214200999999999</v>
      </c>
      <c r="EO28" s="680">
        <v>-18.18167</v>
      </c>
      <c r="EP28" s="680">
        <f>-(5.007656+5.355638+4.41396)</f>
      </c>
      <c r="EQ28" s="662">
        <f>SUM(EM28:EP28)</f>
      </c>
      <c r="ER28" s="680">
        <v>-10.714584</v>
      </c>
      <c r="ES28" s="681">
        <v>-7.6099430000000003</v>
      </c>
      <c r="ET28" s="681">
        <v>-6.9364739999999996</v>
      </c>
      <c r="EU28" s="681">
        <v>-6.6422280000000002</v>
      </c>
      <c r="EV28" s="373">
        <f>SUM(ER28:EU28)</f>
      </c>
      <c r="EW28" s="681">
        <v>-6.5637489999999996</v>
      </c>
      <c r="EX28" s="681">
        <v>-8</v>
      </c>
      <c r="EY28" s="681">
        <v>-8.5993650000000006</v>
      </c>
      <c r="EZ28" s="681">
        <v>-7.5204930000000001</v>
      </c>
      <c r="FA28" s="373">
        <f>SUM(EW28:EZ28)</f>
      </c>
      <c r="FB28" s="374">
        <f>FB22/FB31</f>
      </c>
      <c r="FC28" s="374">
        <f>FC22/FC31</f>
      </c>
      <c r="FD28" s="374">
        <f>FD22/FD31</f>
      </c>
      <c r="FE28" s="374">
        <f>FE22/FE31</f>
      </c>
      <c r="FF28" s="373">
        <f>SUM(FB28:FE28)</f>
      </c>
      <c r="FG28" s="374">
        <f>FG22/FG31</f>
      </c>
      <c r="FH28" s="374">
        <f>FH22/FH31</f>
      </c>
      <c r="FI28" s="374">
        <f>FI22/FI31</f>
      </c>
      <c r="FJ28" s="374">
        <f>FJ22/FJ31</f>
      </c>
      <c r="FK28" s="373">
        <f>SUM(FG28:FJ28)</f>
      </c>
      <c r="FL28" s="374">
        <f>FL22/FL31</f>
      </c>
      <c r="FM28" s="374">
        <f>FM22/FM31</f>
      </c>
      <c r="FN28" s="374">
        <f>FN22/FN31</f>
      </c>
      <c r="FO28" s="374">
        <f>FO22/FO31</f>
      </c>
      <c r="FP28" s="373">
        <f>SUM(FL28:FO28)</f>
      </c>
      <c r="FQ28" s="374">
        <f>FQ22/FQ31</f>
      </c>
      <c r="FR28" s="374">
        <f>FR22/FR31</f>
      </c>
      <c r="FS28" s="374">
        <f>FS22/FS31</f>
      </c>
      <c r="FT28" s="374">
        <f>FT22/FT31</f>
      </c>
      <c r="FU28" s="373">
        <f>SUM(FQ28:FT28)</f>
      </c>
      <c r="FV28" s="374">
        <f>FV22/FV31</f>
      </c>
      <c r="FW28" s="374">
        <f>FW22/FW31</f>
      </c>
      <c r="FX28" s="374">
        <f>FX22/FX31</f>
      </c>
      <c r="FY28" s="374">
        <f>FY22/FY31</f>
      </c>
      <c r="FZ28" s="373">
        <f>SUM(FV28:FY28)</f>
      </c>
      <c r="GA28" s="374">
        <f>GA22/GA31</f>
      </c>
      <c r="GB28" s="374">
        <f>GB22/GB31</f>
      </c>
      <c r="GC28" s="374">
        <f>GC22/GC31</f>
      </c>
      <c r="GD28" s="374">
        <f>GD22/GD31</f>
      </c>
      <c r="GE28" s="373">
        <f>SUM(GA28:GD28)</f>
      </c>
      <c r="GF28" s="374">
        <f>GF22/GF31</f>
      </c>
      <c r="GG28" s="374">
        <f>GG22/GG31</f>
      </c>
      <c r="GH28" s="374">
        <f>GH22/GH31</f>
      </c>
      <c r="GI28" s="374">
        <f>GI22/GI31</f>
      </c>
      <c r="GJ28" s="373">
        <f>SUM(GF28:GI28)</f>
      </c>
    </row>
    <row r="29" spans="1:192" s="374" customFormat="1" ht="12.6" customHeight="1">
      <c r="B29" s="1128" t="s">
        <v>481</v>
      </c>
      <c r="C29" s="448"/>
      <c r="D29" s="493"/>
      <c r="E29" s="493"/>
      <c r="F29" s="493"/>
      <c r="G29" s="685"/>
      <c r="H29" s="447"/>
      <c r="I29" s="458"/>
      <c r="J29" s="458"/>
      <c r="K29" s="458"/>
      <c r="L29" s="685"/>
      <c r="M29" s="447"/>
      <c r="N29" s="458"/>
      <c r="O29" s="458"/>
      <c r="P29" s="458"/>
      <c r="Q29" s="685"/>
      <c r="R29" s="447"/>
      <c r="S29" s="458"/>
      <c r="T29" s="458"/>
      <c r="U29" s="458"/>
      <c r="V29" s="685"/>
      <c r="W29" s="447"/>
      <c r="X29" s="458"/>
      <c r="Y29" s="458"/>
      <c r="Z29" s="458"/>
      <c r="AA29" s="685"/>
      <c r="AB29" s="447"/>
      <c r="AC29" s="458"/>
      <c r="AD29" s="458"/>
      <c r="AE29" s="458"/>
      <c r="AF29" s="685"/>
      <c r="AG29" s="447"/>
      <c r="AH29" s="458"/>
      <c r="AI29" s="458"/>
      <c r="AJ29" s="458"/>
      <c r="AK29" s="685"/>
      <c r="AP29" s="685"/>
      <c r="AU29" s="685"/>
      <c r="AZ29" s="685"/>
      <c r="BE29" s="685"/>
      <c r="BJ29" s="685"/>
      <c r="BO29" s="685"/>
      <c r="BT29" s="685"/>
      <c r="BY29" s="685"/>
      <c r="CD29" s="685"/>
      <c r="CI29" s="685"/>
      <c r="CN29" s="685"/>
      <c r="CS29" s="685"/>
      <c r="CU29" s="680"/>
      <c r="CX29" s="685"/>
      <c r="CZ29" s="682"/>
      <c r="DA29" s="682"/>
      <c r="DB29" s="682"/>
      <c r="DC29" s="685"/>
      <c r="DH29" s="685"/>
      <c r="DM29" s="685"/>
      <c r="DR29" s="685"/>
      <c r="DW29" s="685"/>
      <c r="DX29" s="680"/>
      <c r="EB29" s="685"/>
      <c r="EC29" s="374">
        <f>EC23/EC31</f>
      </c>
      <c r="ED29" s="374">
        <f>ED23/ED31</f>
      </c>
      <c r="EE29" s="374">
        <f>EE23/EE31</f>
      </c>
      <c r="EF29" s="374">
        <f>EF23/EF31</f>
      </c>
      <c r="EG29" s="373">
        <f>SUM(EC29:EF29)</f>
      </c>
      <c r="EH29" s="374">
        <f>EH23/EH31</f>
      </c>
      <c r="EI29" s="374">
        <f>EI23/EI31</f>
      </c>
      <c r="EJ29" s="374">
        <f>EJ23/EJ31</f>
      </c>
      <c r="EK29" s="374">
        <f>EK23/EK31</f>
      </c>
      <c r="EL29" s="373">
        <f>SUM(EH29:EK29)</f>
      </c>
      <c r="EM29" s="374">
        <f>EM23/EM31</f>
      </c>
      <c r="EN29" s="374">
        <f>EN23/EN31</f>
      </c>
      <c r="EO29" s="374">
        <f>EO23/EO31</f>
      </c>
      <c r="EP29" s="374">
        <f>EP23/EP31</f>
      </c>
      <c r="EQ29" s="373">
        <f>SUM(EM29:EP29)</f>
      </c>
      <c r="ER29" s="374">
        <f>ER23/ER31</f>
      </c>
      <c r="ES29" s="374">
        <f>ES23/ES31</f>
      </c>
      <c r="ET29" s="374">
        <f>ET23/ET31</f>
      </c>
      <c r="EU29" s="374">
        <f>EU23/EU31</f>
      </c>
      <c r="EV29" s="373">
        <f>SUM(ER29:EU29)</f>
      </c>
      <c r="EW29" s="374">
        <f>EW23/EW31</f>
      </c>
      <c r="EX29" s="374">
        <f>EX23/EX31</f>
      </c>
      <c r="EY29" s="374">
        <f>EY23/EY31</f>
      </c>
      <c r="EZ29" s="374">
        <f>EZ23/EZ31</f>
      </c>
      <c r="FA29" s="373">
        <f>SUM(EW29:EZ29)</f>
      </c>
      <c r="FB29" s="374">
        <f>FB23/FB31</f>
      </c>
      <c r="FC29" s="374">
        <f>FC23/FC31</f>
      </c>
      <c r="FD29" s="374">
        <f>FD23/FD31</f>
      </c>
      <c r="FE29" s="374">
        <f>FE23/FE31</f>
      </c>
      <c r="FF29" s="373">
        <f>SUM(FB29:FE29)</f>
      </c>
      <c r="FG29" s="374">
        <f>FG23/FG31</f>
      </c>
      <c r="FH29" s="374">
        <f>FH23/FH31</f>
      </c>
      <c r="FI29" s="374">
        <f>FI23/FI31</f>
      </c>
      <c r="FJ29" s="374">
        <f>FJ23/FJ31</f>
      </c>
      <c r="FK29" s="373">
        <f>SUM(FG29:FJ29)</f>
      </c>
      <c r="FL29" s="374">
        <f>FL23/FL31</f>
      </c>
      <c r="FM29" s="374">
        <f>FM23/FM31</f>
      </c>
      <c r="FN29" s="374">
        <f>FN23/FN31</f>
      </c>
      <c r="FO29" s="374">
        <f>FO23/FO31</f>
      </c>
      <c r="FP29" s="373">
        <f>SUM(FL29:FO29)</f>
      </c>
      <c r="FQ29" s="374">
        <f>FQ23/FQ31</f>
      </c>
      <c r="FR29" s="374">
        <f>FR23/FR31</f>
      </c>
      <c r="FS29" s="374">
        <f>FS23/FS31</f>
      </c>
      <c r="FT29" s="374">
        <f>FT23/FT31</f>
      </c>
      <c r="FU29" s="373">
        <f>SUM(FQ29:FT29)</f>
      </c>
      <c r="FV29" s="374">
        <f>FV23/FV31</f>
      </c>
      <c r="FW29" s="374">
        <f>FW23/FW31</f>
      </c>
      <c r="FX29" s="374">
        <f>FX23/FX31</f>
      </c>
      <c r="FY29" s="374">
        <f>FY23/FY31</f>
      </c>
      <c r="FZ29" s="373">
        <f>SUM(FV29:FY29)</f>
      </c>
      <c r="GA29" s="374">
        <f>GA23/GA31</f>
      </c>
      <c r="GB29" s="374">
        <f>GB23/GB31</f>
      </c>
      <c r="GC29" s="374">
        <f>GC23/GC31</f>
      </c>
      <c r="GD29" s="374">
        <f>GD23/GD31</f>
      </c>
      <c r="GE29" s="373">
        <f>SUM(GA29:GD29)</f>
      </c>
      <c r="GF29" s="374">
        <f>GF23/GF31</f>
      </c>
      <c r="GG29" s="374">
        <f>GG23/GG31</f>
      </c>
      <c r="GH29" s="374">
        <f>GH23/GH31</f>
      </c>
      <c r="GI29" s="374">
        <f>GI23/GI31</f>
      </c>
      <c r="GJ29" s="373">
        <f>SUM(GF29:GI29)</f>
      </c>
    </row>
    <row r="30" spans="1:192" s="374" customFormat="1" ht="12.6" customHeight="1">
      <c r="B30" s="1128"/>
      <c r="C30" s="448"/>
      <c r="D30" s="493"/>
      <c r="E30" s="493"/>
      <c r="F30" s="493"/>
      <c r="G30" s="685"/>
      <c r="H30" s="447"/>
      <c r="I30" s="458"/>
      <c r="J30" s="458"/>
      <c r="K30" s="458"/>
      <c r="L30" s="685"/>
      <c r="M30" s="447"/>
      <c r="N30" s="458"/>
      <c r="O30" s="458"/>
      <c r="P30" s="458"/>
      <c r="Q30" s="685"/>
      <c r="R30" s="447"/>
      <c r="S30" s="458"/>
      <c r="T30" s="458"/>
      <c r="U30" s="458"/>
      <c r="V30" s="685"/>
      <c r="W30" s="447"/>
      <c r="X30" s="458"/>
      <c r="Y30" s="458"/>
      <c r="Z30" s="458"/>
      <c r="AA30" s="685"/>
      <c r="AB30" s="447"/>
      <c r="AC30" s="458"/>
      <c r="AD30" s="458"/>
      <c r="AE30" s="458"/>
      <c r="AF30" s="685"/>
      <c r="AG30" s="447"/>
      <c r="AH30" s="458"/>
      <c r="AI30" s="458"/>
      <c r="AJ30" s="458"/>
      <c r="AK30" s="685"/>
      <c r="AP30" s="685"/>
      <c r="AU30" s="685"/>
      <c r="AZ30" s="685"/>
      <c r="BE30" s="685"/>
      <c r="BJ30" s="685"/>
      <c r="BO30" s="685"/>
      <c r="BT30" s="685"/>
      <c r="BY30" s="685"/>
      <c r="CD30" s="685"/>
      <c r="CI30" s="685"/>
      <c r="CN30" s="685"/>
      <c r="CS30" s="685"/>
      <c r="CU30" s="680"/>
      <c r="CX30" s="685"/>
      <c r="CZ30" s="682"/>
      <c r="DA30" s="682"/>
      <c r="DB30" s="682"/>
      <c r="DC30" s="685"/>
      <c r="DH30" s="685"/>
      <c r="DM30" s="685"/>
      <c r="DR30" s="685"/>
      <c r="DW30" s="685"/>
      <c r="DX30" s="680"/>
      <c r="EB30" s="685"/>
      <c r="EF30" s="680"/>
      <c r="EG30" s="685"/>
      <c r="EH30" s="680"/>
      <c r="EJ30" s="680"/>
      <c r="EK30" s="680"/>
      <c r="EL30" s="685"/>
      <c r="EO30" s="680"/>
      <c r="EQ30" s="685"/>
      <c r="ER30" s="680"/>
      <c r="ES30" s="681"/>
      <c r="ET30" s="680"/>
      <c r="EV30" s="685"/>
      <c r="EW30" s="680"/>
      <c r="EX30" s="681"/>
      <c r="EY30" s="680"/>
      <c r="FA30" s="685"/>
      <c r="FF30" s="685"/>
      <c r="FK30" s="685"/>
      <c r="FP30" s="685"/>
      <c r="FU30" s="685"/>
      <c r="FZ30" s="685"/>
      <c r="GE30" s="685"/>
      <c r="GJ30" s="685"/>
    </row>
    <row r="31" spans="1:192" s="374" customFormat="1" ht="12.6" customHeight="1">
      <c r="B31" s="683" t="s">
        <v>299</v>
      </c>
      <c r="C31" s="374" t="str">
        <f t="shared" ref="C31:AH31" si="36">IFERROR(C22/C12,"")</f>
      </c>
      <c r="D31" s="374" t="str">
        <f t="shared" si="36"/>
      </c>
      <c r="E31" s="374" t="str">
        <f t="shared" si="36"/>
      </c>
      <c r="F31" s="374" t="str">
        <f t="shared" si="36"/>
      </c>
      <c r="G31" s="373" t="str">
        <f t="shared" si="36"/>
      </c>
      <c r="H31" s="490" t="str">
        <f t="shared" si="36"/>
      </c>
      <c r="I31" s="490" t="str">
        <f t="shared" si="36"/>
      </c>
      <c r="J31" s="374" t="str">
        <f t="shared" si="36"/>
      </c>
      <c r="K31" s="374" t="str">
        <f t="shared" si="36"/>
      </c>
      <c r="L31" s="373" t="str">
        <f t="shared" si="36"/>
      </c>
      <c r="M31" s="490" t="str">
        <f t="shared" si="36"/>
      </c>
      <c r="N31" s="490" t="str">
        <f t="shared" si="36"/>
      </c>
      <c r="O31" s="374" t="str">
        <f t="shared" si="36"/>
      </c>
      <c r="P31" s="374" t="str">
        <f t="shared" si="36"/>
      </c>
      <c r="Q31" s="373" t="str">
        <f t="shared" si="36"/>
      </c>
      <c r="R31" s="490" t="str">
        <f t="shared" si="36"/>
      </c>
      <c r="S31" s="490" t="str">
        <f t="shared" si="36"/>
      </c>
      <c r="T31" s="374" t="str">
        <f t="shared" si="36"/>
      </c>
      <c r="U31" s="374" t="str">
        <f t="shared" si="36"/>
      </c>
      <c r="V31" s="373" t="str">
        <f t="shared" si="36"/>
      </c>
      <c r="W31" s="490" t="str">
        <f t="shared" si="36"/>
      </c>
      <c r="X31" s="490" t="str">
        <f t="shared" si="36"/>
      </c>
      <c r="Y31" s="374" t="str">
        <f t="shared" si="36"/>
      </c>
      <c r="Z31" s="374" t="str">
        <f t="shared" si="36"/>
      </c>
      <c r="AA31" s="373" t="str">
        <f t="shared" si="36"/>
      </c>
      <c r="AB31" s="490" t="str">
        <f t="shared" si="36"/>
      </c>
      <c r="AC31" s="490" t="str">
        <f t="shared" si="36"/>
      </c>
      <c r="AD31" s="374" t="str">
        <f t="shared" si="36"/>
      </c>
      <c r="AE31" s="374" t="str">
        <f t="shared" si="36"/>
      </c>
      <c r="AF31" s="373" t="str">
        <f t="shared" si="36"/>
      </c>
      <c r="AG31" s="490" t="str">
        <f t="shared" si="36"/>
      </c>
      <c r="AH31" s="374" t="str">
        <f t="shared" si="36"/>
      </c>
      <c r="AI31" s="374" t="str">
        <f t="shared" ref="AI31:BN31" si="37">IFERROR(AI22/AI12,"")</f>
      </c>
      <c r="AJ31" s="374" t="str">
        <f t="shared" si="37"/>
      </c>
      <c r="AK31" s="373" t="str">
        <f t="shared" si="37"/>
      </c>
      <c r="AL31" s="374" t="str">
        <f t="shared" si="37"/>
      </c>
      <c r="AM31" s="374" t="str">
        <f t="shared" si="37"/>
      </c>
      <c r="AN31" s="374" t="str">
        <f t="shared" si="37"/>
      </c>
      <c r="AO31" s="374" t="str">
        <f t="shared" si="37"/>
      </c>
      <c r="AP31" s="373" t="str">
        <f t="shared" si="37"/>
      </c>
      <c r="AQ31" s="374" t="str">
        <f t="shared" si="37"/>
      </c>
      <c r="AR31" s="374" t="str">
        <f t="shared" si="37"/>
      </c>
      <c r="AS31" s="374" t="str">
        <f t="shared" si="37"/>
      </c>
      <c r="AT31" s="374" t="str">
        <f t="shared" si="37"/>
      </c>
      <c r="AU31" s="373" t="str">
        <f t="shared" si="37"/>
      </c>
      <c r="AV31" s="374" t="str">
        <f t="shared" si="37"/>
      </c>
      <c r="AW31" s="374" t="str">
        <f t="shared" si="37"/>
      </c>
      <c r="AX31" s="374" t="str">
        <f t="shared" si="37"/>
      </c>
      <c r="AY31" s="374" t="str">
        <f t="shared" si="37"/>
      </c>
      <c r="AZ31" s="373" t="str">
        <f t="shared" si="37"/>
      </c>
      <c r="BA31" s="374" t="str">
        <f t="shared" si="37"/>
      </c>
      <c r="BB31" s="374" t="str">
        <f t="shared" si="37"/>
      </c>
      <c r="BC31" s="374" t="str">
        <f t="shared" si="37"/>
      </c>
      <c r="BD31" s="374" t="str">
        <f t="shared" si="37"/>
      </c>
      <c r="BE31" s="373" t="str">
        <f t="shared" si="37"/>
      </c>
      <c r="BF31" s="374" t="str">
        <f t="shared" si="37"/>
      </c>
      <c r="BG31" s="374" t="str">
        <f t="shared" si="37"/>
      </c>
      <c r="BH31" s="374" t="str">
        <f t="shared" si="37"/>
      </c>
      <c r="BI31" s="374" t="str">
        <f t="shared" si="37"/>
      </c>
      <c r="BJ31" s="373" t="str">
        <f t="shared" si="37"/>
      </c>
      <c r="BK31" s="374" t="str">
        <f t="shared" si="37"/>
      </c>
      <c r="BL31" s="374" t="str">
        <f t="shared" si="37"/>
      </c>
      <c r="BM31" s="374" t="str">
        <f t="shared" si="37"/>
      </c>
      <c r="BN31" s="374" t="str">
        <f t="shared" si="37"/>
      </c>
      <c r="BO31" s="373" t="str">
        <f t="shared" ref="BO31:CT31" si="38">IFERROR(BO22/BO12,"")</f>
      </c>
      <c r="BP31" s="374" t="str">
        <f t="shared" si="38"/>
      </c>
      <c r="BQ31" s="374" t="str">
        <f t="shared" si="38"/>
      </c>
      <c r="BR31" s="374" t="str">
        <f t="shared" si="38"/>
      </c>
      <c r="BS31" s="374" t="str">
        <f t="shared" si="38"/>
      </c>
      <c r="BT31" s="373" t="str">
        <f t="shared" si="38"/>
      </c>
      <c r="BU31" s="374" t="str">
        <f t="shared" si="38"/>
      </c>
      <c r="BV31" s="374" t="str">
        <f t="shared" si="38"/>
      </c>
      <c r="BW31" s="374" t="str">
        <f t="shared" si="38"/>
      </c>
      <c r="BX31" s="374" t="str">
        <f t="shared" si="38"/>
      </c>
      <c r="BY31" s="373" t="str">
        <f t="shared" si="38"/>
      </c>
      <c r="BZ31" s="374" t="str">
        <f t="shared" si="38"/>
      </c>
      <c r="CA31" s="374" t="str">
        <f t="shared" si="38"/>
      </c>
      <c r="CB31" s="374" t="str">
        <f t="shared" si="38"/>
      </c>
      <c r="CC31" s="374" t="str">
        <f t="shared" si="38"/>
      </c>
      <c r="CD31" s="373" t="str">
        <f t="shared" si="38"/>
      </c>
      <c r="CE31" s="374" t="str">
        <f t="shared" si="38"/>
      </c>
      <c r="CF31" s="374" t="str">
        <f t="shared" si="38"/>
      </c>
      <c r="CG31" s="374" t="str">
        <f t="shared" si="38"/>
      </c>
      <c r="CH31" s="374" t="str">
        <f t="shared" si="38"/>
      </c>
      <c r="CI31" s="373" t="str">
        <f t="shared" si="38"/>
      </c>
      <c r="CJ31" s="374" t="str">
        <f t="shared" si="38"/>
      </c>
      <c r="CK31" s="374" t="str">
        <f t="shared" si="38"/>
      </c>
      <c r="CL31" s="374" t="str">
        <f t="shared" si="38"/>
      </c>
      <c r="CM31" s="374" t="str">
        <f t="shared" si="38"/>
      </c>
      <c r="CN31" s="373" t="str">
        <f t="shared" si="38"/>
      </c>
      <c r="CO31" s="374" t="str">
        <f t="shared" si="38"/>
      </c>
      <c r="CP31" s="374" t="str">
        <f t="shared" si="38"/>
      </c>
      <c r="CQ31" s="374" t="str">
        <f t="shared" si="38"/>
      </c>
      <c r="CR31" s="374" t="str">
        <f t="shared" si="38"/>
      </c>
      <c r="CS31" s="373" t="str">
        <f t="shared" si="38"/>
      </c>
      <c r="CT31" s="374" t="str">
        <f t="shared" si="38"/>
      </c>
      <c r="CU31" s="374" t="str">
        <f t="shared" ref="CU31:EB31" si="39">IFERROR(CU22/CU12,"")</f>
      </c>
      <c r="CV31" s="680" t="str">
        <f t="shared" si="39"/>
      </c>
      <c r="CW31" s="680" t="str">
        <f t="shared" si="39"/>
      </c>
      <c r="CX31" s="373" t="str">
        <f t="shared" si="39"/>
      </c>
      <c r="CY31" s="680" t="str">
        <f t="shared" si="39"/>
      </c>
      <c r="CZ31" s="681" t="str">
        <f t="shared" si="39"/>
      </c>
      <c r="DA31" s="681" t="str">
        <f t="shared" si="39"/>
      </c>
      <c r="DB31" s="682" t="str">
        <f t="shared" si="39"/>
      </c>
      <c r="DC31" s="373" t="str">
        <f t="shared" si="39"/>
      </c>
      <c r="DD31" s="374" t="str">
        <f t="shared" si="39"/>
      </c>
      <c r="DE31" s="374" t="str">
        <f t="shared" si="39"/>
      </c>
      <c r="DF31" s="374" t="str">
        <f t="shared" si="39"/>
      </c>
      <c r="DG31" s="374" t="str">
        <f t="shared" si="39"/>
      </c>
      <c r="DH31" s="373" t="str">
        <f t="shared" si="39"/>
      </c>
      <c r="DI31" s="374" t="str">
        <f t="shared" si="39"/>
      </c>
      <c r="DJ31" s="374" t="str">
        <f t="shared" si="39"/>
      </c>
      <c r="DK31" s="374" t="str">
        <f t="shared" si="39"/>
      </c>
      <c r="DL31" s="374" t="str">
        <f t="shared" si="39"/>
      </c>
      <c r="DM31" s="373" t="str">
        <f t="shared" si="39"/>
      </c>
      <c r="DN31" s="374" t="str">
        <f t="shared" si="39"/>
      </c>
      <c r="DO31" s="374" t="str">
        <f t="shared" si="39"/>
      </c>
      <c r="DP31" s="374" t="str">
        <f t="shared" si="39"/>
      </c>
      <c r="DQ31" s="374" t="str">
        <f t="shared" si="39"/>
      </c>
      <c r="DR31" s="373" t="str">
        <f t="shared" si="39"/>
      </c>
      <c r="DS31" s="374" t="str">
        <f t="shared" si="39"/>
      </c>
      <c r="DT31" s="374" t="str">
        <f t="shared" si="39"/>
      </c>
      <c r="DU31" s="374" t="str">
        <f t="shared" si="39"/>
      </c>
      <c r="DV31" s="374" t="str">
        <f t="shared" si="39"/>
      </c>
      <c r="DW31" s="373" t="str">
        <f t="shared" si="39"/>
      </c>
      <c r="DX31" s="374" t="str">
        <f t="shared" si="39"/>
      </c>
      <c r="DY31" s="374" t="str">
        <f t="shared" si="39"/>
      </c>
      <c r="DZ31" s="374" t="str">
        <f t="shared" si="39"/>
      </c>
      <c r="EA31" s="374" t="str">
        <f t="shared" si="39"/>
      </c>
      <c r="EB31" s="373" t="str">
        <f t="shared" si="39"/>
      </c>
      <c r="EC31" s="374">
        <f>IFERROR(EC24/EC28,"")</f>
      </c>
      <c r="ED31" s="374">
        <f>IFERROR(ED24/ED28,"")</f>
      </c>
      <c r="EE31" s="374">
        <f>IFERROR(EE24/EE28,"")</f>
      </c>
      <c r="EF31" s="374">
        <f>IFERROR(EF24/EF28,"")</f>
      </c>
      <c r="EG31" s="373">
        <f>IFERROR(EG22/EG28,"")</f>
      </c>
      <c r="EH31" s="374">
        <f>IFERROR(EH24/EH28,"")</f>
      </c>
      <c r="EI31" s="374">
        <f>IFERROR(EI24/EI28,"")</f>
      </c>
      <c r="EJ31" s="374">
        <f>IFERROR(EJ24/EJ28,"")</f>
      </c>
      <c r="EK31" s="374">
        <f>IFERROR(EK24/EK28,"")</f>
      </c>
      <c r="EL31" s="373">
        <f>IFERROR(EL22/EL28,"")</f>
      </c>
      <c r="EM31" s="374">
        <f>IFERROR(EM24/EM28,"")</f>
      </c>
      <c r="EN31" s="374">
        <f>IFERROR(EN24/EN28,"")</f>
      </c>
      <c r="EO31" s="374">
        <f>IFERROR(EO24/EO28,"")</f>
      </c>
      <c r="EP31" s="374">
        <f>IFERROR(EP24/EP28,"")</f>
      </c>
      <c r="EQ31" s="373">
        <f>IFERROR(EQ22/EQ28,"")</f>
      </c>
      <c r="ER31" s="374">
        <f>IFERROR(ER24/ER28,"")</f>
      </c>
      <c r="ES31" s="374">
        <f>IFERROR(ES24/ES28,"")</f>
      </c>
      <c r="ET31" s="374">
        <f>IFERROR(ET24/ET28,"")</f>
      </c>
      <c r="EU31" s="374">
        <f>IFERROR(EU24/EU28,"")</f>
      </c>
      <c r="EV31" s="373">
        <f>IFERROR(EV22/EV28,"")</f>
      </c>
      <c r="EW31" s="374">
        <f>IFERROR(EW24/EW28,"")</f>
      </c>
      <c r="EX31" s="374">
        <f>IFERROR(EX24/EX28,"")</f>
      </c>
      <c r="EY31" s="374">
        <f>IFERROR(EY24/EY28,"")</f>
      </c>
      <c r="EZ31" s="374">
        <f>IFERROR(EZ24/EZ28,"")</f>
      </c>
      <c r="FA31" s="373">
        <f>IFERROR(FA22/FA28,"")</f>
      </c>
      <c r="FB31" s="374">
        <f>EZ31*(1+FB32)</f>
      </c>
      <c r="FC31" s="374">
        <f>FB31*(1+FC32)</f>
      </c>
      <c r="FD31" s="374">
        <f>FC31*(1+FD32)</f>
      </c>
      <c r="FE31" s="374">
        <f>FD31*(1+FE32)</f>
      </c>
      <c r="FF31" s="373">
        <f>IFERROR(FF22/FF12,"")</f>
      </c>
      <c r="FG31" s="374">
        <f>FE31*(1+FG32)</f>
      </c>
      <c r="FH31" s="374">
        <f>FG31*(1+FH32)</f>
      </c>
      <c r="FI31" s="374">
        <f>FH31*(1+FI32)</f>
      </c>
      <c r="FJ31" s="374">
        <f>FI31*(1+FJ32)</f>
      </c>
      <c r="FK31" s="373">
        <f>IFERROR(FK22/FK12,"")</f>
      </c>
      <c r="FL31" s="374">
        <f>FJ31*(1+FL32)</f>
      </c>
      <c r="FM31" s="374">
        <f>FL31*(1+FM32)</f>
      </c>
      <c r="FN31" s="374">
        <f>FM31*(1+FN32)</f>
      </c>
      <c r="FO31" s="374">
        <f>FN31*(1+FO32)</f>
      </c>
      <c r="FP31" s="373">
        <f>IFERROR(FP22/FP12,"")</f>
      </c>
      <c r="FQ31" s="374">
        <f>FO31*(1+FQ32)</f>
      </c>
      <c r="FR31" s="374">
        <f>FQ31*(1+FR32)</f>
      </c>
      <c r="FS31" s="374">
        <f>FR31*(1+FS32)</f>
      </c>
      <c r="FT31" s="374">
        <f>FS31*(1+FT32)</f>
      </c>
      <c r="FU31" s="373">
        <f>IFERROR(FU22/FU12,"")</f>
      </c>
      <c r="FV31" s="374">
        <f>FT31*(1+FV32)</f>
      </c>
      <c r="FW31" s="374">
        <f>FV31*(1+FW32)</f>
      </c>
      <c r="FX31" s="374">
        <f>FW31*(1+FX32)</f>
      </c>
      <c r="FY31" s="374">
        <f>FX31*(1+FY32)</f>
      </c>
      <c r="FZ31" s="373">
        <f>IFERROR(FZ22/FZ12,"")</f>
      </c>
      <c r="GA31" s="374">
        <f>FY31*(1+GA32)</f>
      </c>
      <c r="GB31" s="374">
        <f>GA31*(1+GB32)</f>
      </c>
      <c r="GC31" s="374">
        <f>GB31*(1+GC32)</f>
      </c>
      <c r="GD31" s="374">
        <f>GC31*(1+GD32)</f>
      </c>
      <c r="GE31" s="373">
        <f>IFERROR(GE22/GE12,"")</f>
      </c>
      <c r="GF31" s="374">
        <f>GD31*(1+GF32)</f>
      </c>
      <c r="GG31" s="374">
        <f>GF31*(1+GG32)</f>
      </c>
      <c r="GH31" s="374">
        <f>GG31*(1+GH32)</f>
      </c>
      <c r="GI31" s="374">
        <f>GH31*(1+GI32)</f>
      </c>
      <c r="GJ31" s="373">
        <f>IFERROR(GJ22/GJ12,"")</f>
      </c>
    </row>
    <row r="32" spans="1:192" s="252" customFormat="1" ht="12.6" customHeight="1">
      <c r="B32" s="1142" t="s">
        <v>300</v>
      </c>
      <c r="C32" s="261" t="str">
        <f>IFERROR(C31/#REF!-1,"")</f>
      </c>
      <c r="D32" s="261" t="str">
        <f>IFERROR(D31/#REF!-1,"")</f>
      </c>
      <c r="E32" s="261" t="str">
        <f>IFERROR(E31/#REF!-1,"")</f>
      </c>
      <c r="F32" s="261" t="str">
        <f>IFERROR(F31/A31-1,"")</f>
      </c>
      <c r="G32" s="686"/>
      <c r="H32" s="261" t="str">
        <f t="shared" ref="H32:BQ32" si="40">IFERROR(H31/C31-1,"")</f>
      </c>
      <c r="I32" s="261" t="str">
        <f t="shared" si="40"/>
      </c>
      <c r="J32" s="261" t="str">
        <f t="shared" si="40"/>
      </c>
      <c r="K32" s="261" t="str">
        <f t="shared" si="40"/>
      </c>
      <c r="L32" s="686"/>
      <c r="M32" s="261" t="str">
        <f t="shared" si="40"/>
      </c>
      <c r="N32" s="261" t="str">
        <f t="shared" si="40"/>
      </c>
      <c r="O32" s="261" t="str">
        <f t="shared" si="40"/>
      </c>
      <c r="P32" s="261" t="str">
        <f t="shared" si="40"/>
      </c>
      <c r="Q32" s="686"/>
      <c r="R32" s="261" t="str">
        <f t="shared" si="40"/>
      </c>
      <c r="S32" s="261" t="str">
        <f t="shared" si="40"/>
      </c>
      <c r="T32" s="261" t="str">
        <f t="shared" si="40"/>
      </c>
      <c r="U32" s="261" t="str">
        <f t="shared" si="40"/>
      </c>
      <c r="V32" s="686"/>
      <c r="W32" s="261" t="str">
        <f t="shared" si="40"/>
      </c>
      <c r="X32" s="261" t="str">
        <f t="shared" si="40"/>
      </c>
      <c r="Y32" s="261" t="str">
        <f t="shared" si="40"/>
      </c>
      <c r="Z32" s="261" t="str">
        <f t="shared" si="40"/>
      </c>
      <c r="AA32" s="686"/>
      <c r="AB32" s="261" t="str">
        <f t="shared" si="40"/>
      </c>
      <c r="AC32" s="261" t="str">
        <f t="shared" si="40"/>
      </c>
      <c r="AD32" s="261" t="str">
        <f t="shared" si="40"/>
      </c>
      <c r="AE32" s="261" t="str">
        <f t="shared" si="40"/>
      </c>
      <c r="AF32" s="686"/>
      <c r="AG32" s="261" t="str">
        <f t="shared" si="40"/>
      </c>
      <c r="AH32" s="261" t="str">
        <f t="shared" si="40"/>
      </c>
      <c r="AI32" s="261" t="str">
        <f t="shared" si="40"/>
      </c>
      <c r="AJ32" s="261" t="str">
        <f t="shared" si="40"/>
      </c>
      <c r="AK32" s="686"/>
      <c r="AL32" s="261" t="str">
        <f t="shared" si="40"/>
      </c>
      <c r="AM32" s="261" t="str">
        <f t="shared" si="40"/>
      </c>
      <c r="AN32" s="261" t="str">
        <f t="shared" si="40"/>
      </c>
      <c r="AO32" s="261" t="str">
        <f t="shared" si="40"/>
      </c>
      <c r="AP32" s="686"/>
      <c r="AQ32" s="261" t="str">
        <f t="shared" si="40"/>
      </c>
      <c r="AR32" s="261" t="str">
        <f t="shared" si="40"/>
      </c>
      <c r="AS32" s="261" t="str">
        <f t="shared" si="40"/>
      </c>
      <c r="AT32" s="261" t="str">
        <f t="shared" si="40"/>
      </c>
      <c r="AU32" s="686"/>
      <c r="AV32" s="261" t="str">
        <f t="shared" si="40"/>
      </c>
      <c r="AW32" s="261" t="str">
        <f t="shared" si="40"/>
      </c>
      <c r="AX32" s="261" t="str">
        <f t="shared" si="40"/>
      </c>
      <c r="AY32" s="261" t="str">
        <f t="shared" si="40"/>
      </c>
      <c r="AZ32" s="686"/>
      <c r="BA32" s="261" t="str">
        <f t="shared" si="40"/>
      </c>
      <c r="BB32" s="261" t="str">
        <f t="shared" si="40"/>
      </c>
      <c r="BC32" s="261" t="str">
        <f t="shared" si="40"/>
      </c>
      <c r="BD32" s="261" t="str">
        <f t="shared" si="40"/>
      </c>
      <c r="BE32" s="686"/>
      <c r="BF32" s="261" t="str">
        <f t="shared" si="40"/>
      </c>
      <c r="BG32" s="261" t="str">
        <f t="shared" si="40"/>
      </c>
      <c r="BH32" s="261" t="str">
        <f t="shared" si="40"/>
      </c>
      <c r="BI32" s="261" t="str">
        <f t="shared" si="40"/>
      </c>
      <c r="BJ32" s="686"/>
      <c r="BK32" s="261" t="str">
        <f t="shared" si="40"/>
      </c>
      <c r="BL32" s="261" t="str">
        <f t="shared" si="40"/>
      </c>
      <c r="BM32" s="261" t="str">
        <f t="shared" si="40"/>
      </c>
      <c r="BN32" s="261" t="str">
        <f t="shared" si="40"/>
      </c>
      <c r="BO32" s="686"/>
      <c r="BP32" s="261" t="str">
        <f t="shared" si="40"/>
      </c>
      <c r="BQ32" s="261" t="str">
        <f t="shared" si="40"/>
      </c>
      <c r="BR32" s="261" t="str">
        <f t="shared" ref="BR32:EA32" si="41">IFERROR(BR31/BM31-1,"")</f>
      </c>
      <c r="BS32" s="261" t="str">
        <f t="shared" si="41"/>
      </c>
      <c r="BT32" s="686"/>
      <c r="BU32" s="261" t="str">
        <f t="shared" si="41"/>
      </c>
      <c r="BV32" s="261" t="str">
        <f t="shared" si="41"/>
      </c>
      <c r="BW32" s="261" t="str">
        <f t="shared" si="41"/>
      </c>
      <c r="BX32" s="261" t="str">
        <f t="shared" si="41"/>
      </c>
      <c r="BY32" s="686"/>
      <c r="BZ32" s="261" t="str">
        <f t="shared" si="41"/>
      </c>
      <c r="CA32" s="261" t="str">
        <f t="shared" si="41"/>
      </c>
      <c r="CB32" s="261" t="str">
        <f t="shared" si="41"/>
      </c>
      <c r="CC32" s="261" t="str">
        <f t="shared" si="41"/>
      </c>
      <c r="CD32" s="686"/>
      <c r="CE32" s="261" t="str">
        <f t="shared" si="41"/>
      </c>
      <c r="CF32" s="261" t="str">
        <f t="shared" si="41"/>
      </c>
      <c r="CG32" s="261" t="str">
        <f t="shared" si="41"/>
      </c>
      <c r="CH32" s="261" t="str">
        <f t="shared" si="41"/>
      </c>
      <c r="CI32" s="686"/>
      <c r="CJ32" s="261" t="str">
        <f t="shared" si="41"/>
      </c>
      <c r="CK32" s="261" t="str">
        <f t="shared" si="41"/>
      </c>
      <c r="CL32" s="261" t="str">
        <f t="shared" si="41"/>
      </c>
      <c r="CM32" s="261" t="str">
        <f t="shared" si="41"/>
      </c>
      <c r="CN32" s="686"/>
      <c r="CO32" s="261" t="str">
        <f t="shared" si="41"/>
      </c>
      <c r="CP32" s="261" t="str">
        <f t="shared" si="41"/>
      </c>
      <c r="CQ32" s="261" t="str">
        <f t="shared" si="41"/>
      </c>
      <c r="CR32" s="261" t="str">
        <f t="shared" si="41"/>
      </c>
      <c r="CS32" s="686"/>
      <c r="CT32" s="261" t="str">
        <f t="shared" si="41"/>
      </c>
      <c r="CU32" s="261" t="str">
        <f t="shared" si="41"/>
      </c>
      <c r="CV32" s="261" t="str">
        <f t="shared" si="41"/>
      </c>
      <c r="CW32" s="261" t="str">
        <f t="shared" si="41"/>
      </c>
      <c r="CX32" s="686"/>
      <c r="CY32" s="261" t="str">
        <f t="shared" si="41"/>
      </c>
      <c r="CZ32" s="653" t="str">
        <f t="shared" si="41"/>
      </c>
      <c r="DA32" s="653" t="str">
        <f t="shared" si="41"/>
      </c>
      <c r="DB32" s="653" t="str">
        <f t="shared" si="41"/>
      </c>
      <c r="DC32" s="686"/>
      <c r="DD32" s="261" t="str">
        <f t="shared" si="41"/>
      </c>
      <c r="DE32" s="261" t="str">
        <f t="shared" si="41"/>
      </c>
      <c r="DF32" s="261" t="str">
        <f t="shared" si="41"/>
      </c>
      <c r="DG32" s="261" t="str">
        <f t="shared" si="41"/>
      </c>
      <c r="DH32" s="686"/>
      <c r="DI32" s="261" t="str">
        <f t="shared" si="41"/>
      </c>
      <c r="DJ32" s="261" t="str">
        <f t="shared" si="41"/>
      </c>
      <c r="DK32" s="261" t="str">
        <f t="shared" si="41"/>
      </c>
      <c r="DL32" s="261" t="str">
        <f t="shared" si="41"/>
      </c>
      <c r="DM32" s="686"/>
      <c r="DN32" s="261" t="str">
        <f t="shared" si="41"/>
      </c>
      <c r="DO32" s="261" t="str">
        <f t="shared" si="41"/>
      </c>
      <c r="DP32" s="261" t="str">
        <f t="shared" si="41"/>
      </c>
      <c r="DQ32" s="261" t="str">
        <f t="shared" si="41"/>
      </c>
      <c r="DR32" s="686"/>
      <c r="DS32" s="261" t="str">
        <f t="shared" si="41"/>
      </c>
      <c r="DT32" s="261" t="str">
        <f t="shared" si="41"/>
      </c>
      <c r="DU32" s="261" t="str">
        <f t="shared" si="41"/>
      </c>
      <c r="DV32" s="261" t="str">
        <f t="shared" si="41"/>
      </c>
      <c r="DW32" s="686"/>
      <c r="DX32" s="261" t="str">
        <f t="shared" si="41"/>
      </c>
      <c r="DY32" s="261" t="str">
        <f t="shared" si="41"/>
      </c>
      <c r="DZ32" s="261" t="str">
        <f t="shared" si="41"/>
      </c>
      <c r="EA32" s="261" t="str">
        <f t="shared" si="41"/>
      </c>
      <c r="EB32" s="686"/>
      <c r="EC32" s="261"/>
      <c r="ED32" s="261">
        <f>ED31/EC31-1</f>
      </c>
      <c r="EE32" s="261">
        <f>EE31/ED31-1</f>
      </c>
      <c r="EF32" s="261">
        <f>EF31/EE31-1</f>
      </c>
      <c r="EG32" s="686"/>
      <c r="EH32" s="261">
        <f>EH31/EF31-1</f>
      </c>
      <c r="EI32" s="261">
        <f>EI31/EH31-1</f>
      </c>
      <c r="EJ32" s="261">
        <f>EJ31/EI31-1</f>
      </c>
      <c r="EK32" s="261">
        <f>EK31/EJ31-1</f>
      </c>
      <c r="EL32" s="686"/>
      <c r="EM32" s="261">
        <f>EM31/EK31-1</f>
      </c>
      <c r="EN32" s="261">
        <f>EN31/EM31-1</f>
      </c>
      <c r="EO32" s="261">
        <f>EO31/EN31-1</f>
      </c>
      <c r="EP32" s="261">
        <f>EP31/EO31-1</f>
      </c>
      <c r="EQ32" s="686"/>
      <c r="ER32" s="261">
        <f>ER31/EP31-1</f>
      </c>
      <c r="ES32" s="261">
        <f>ES31/ER31-1</f>
      </c>
      <c r="ET32" s="261">
        <f>ET31/ES31-1</f>
      </c>
      <c r="EU32" s="261">
        <f>EU31/ET31-1</f>
      </c>
      <c r="EV32" s="686"/>
      <c r="EW32" s="261">
        <f>EW31/EU31-1</f>
      </c>
      <c r="EX32" s="261">
        <f>EX31/EW31-1</f>
      </c>
      <c r="EY32" s="261">
        <f>EY31/EX31-1</f>
      </c>
      <c r="EZ32" s="261">
        <f>EZ31/EY31-1</f>
      </c>
      <c r="FA32" s="686"/>
      <c r="FB32" s="649">
        <v>0.01</v>
      </c>
      <c r="FC32" s="649">
        <f>FB32</f>
      </c>
      <c r="FD32" s="649">
        <f>FC32</f>
      </c>
      <c r="FE32" s="649">
        <f>FD32</f>
      </c>
      <c r="FF32" s="648"/>
      <c r="FG32" s="649">
        <v>0.01</v>
      </c>
      <c r="FH32" s="649">
        <f>FG32</f>
      </c>
      <c r="FI32" s="649">
        <f>FH32</f>
      </c>
      <c r="FJ32" s="649">
        <f>FI32</f>
      </c>
      <c r="FK32" s="648"/>
      <c r="FL32" s="649">
        <v>0.01</v>
      </c>
      <c r="FM32" s="649">
        <f>FL32</f>
      </c>
      <c r="FN32" s="649">
        <f>FM32</f>
      </c>
      <c r="FO32" s="649">
        <f>FN32</f>
      </c>
      <c r="FP32" s="648"/>
      <c r="FQ32" s="649">
        <v>0.01</v>
      </c>
      <c r="FR32" s="649">
        <f>FQ32</f>
      </c>
      <c r="FS32" s="649">
        <f>FR32</f>
      </c>
      <c r="FT32" s="649">
        <f>FS32</f>
      </c>
      <c r="FU32" s="648"/>
      <c r="FV32" s="649">
        <v>0.01</v>
      </c>
      <c r="FW32" s="649">
        <f>FV32</f>
      </c>
      <c r="FX32" s="649">
        <f>FW32</f>
      </c>
      <c r="FY32" s="649">
        <f>FX32</f>
      </c>
      <c r="FZ32" s="648"/>
      <c r="GA32" s="649">
        <v>0.01</v>
      </c>
      <c r="GB32" s="649">
        <f>GA32</f>
      </c>
      <c r="GC32" s="649">
        <f>GB32</f>
      </c>
      <c r="GD32" s="649">
        <f>GC32</f>
      </c>
      <c r="GE32" s="648"/>
      <c r="GF32" s="649">
        <v>0.01</v>
      </c>
      <c r="GG32" s="649">
        <f>GF32</f>
      </c>
      <c r="GH32" s="649">
        <f>GG32</f>
      </c>
      <c r="GI32" s="649">
        <f>GH32</f>
      </c>
      <c r="GJ32" s="648"/>
    </row>
    <row r="33" spans="1:192" s="651" customFormat="1" ht="12.6" customHeight="1">
      <c r="B33" s="678"/>
      <c r="C33" s="650"/>
      <c r="D33" s="650"/>
      <c r="E33" s="650"/>
      <c r="F33" s="650"/>
      <c r="G33" s="652"/>
      <c r="H33" s="650"/>
      <c r="I33" s="650"/>
      <c r="J33" s="650"/>
      <c r="K33" s="650"/>
      <c r="L33" s="652"/>
      <c r="M33" s="650"/>
      <c r="N33" s="650"/>
      <c r="O33" s="650"/>
      <c r="P33" s="650"/>
      <c r="Q33" s="652"/>
      <c r="R33" s="650"/>
      <c r="S33" s="650"/>
      <c r="T33" s="650"/>
      <c r="U33" s="650"/>
      <c r="V33" s="652"/>
      <c r="W33" s="650"/>
      <c r="X33" s="650"/>
      <c r="Y33" s="650"/>
      <c r="Z33" s="650"/>
      <c r="AA33" s="652"/>
      <c r="AB33" s="650"/>
      <c r="AC33" s="650"/>
      <c r="AD33" s="650"/>
      <c r="AE33" s="650"/>
      <c r="AF33" s="652"/>
      <c r="AG33" s="650"/>
      <c r="AH33" s="650"/>
      <c r="AI33" s="650"/>
      <c r="AJ33" s="650"/>
      <c r="AK33" s="652"/>
      <c r="AP33" s="652"/>
      <c r="AU33" s="652"/>
      <c r="AZ33" s="652"/>
      <c r="BE33" s="652"/>
      <c r="BJ33" s="652"/>
      <c r="BK33" s="650"/>
      <c r="BL33" s="650"/>
      <c r="BM33" s="650"/>
      <c r="BN33" s="650"/>
      <c r="BO33" s="652"/>
      <c r="BP33" s="650"/>
      <c r="BQ33" s="650"/>
      <c r="BR33" s="650"/>
      <c r="BS33" s="650"/>
      <c r="BT33" s="652"/>
      <c r="BU33" s="650"/>
      <c r="BV33" s="650"/>
      <c r="BW33" s="650"/>
      <c r="BX33" s="650"/>
      <c r="BY33" s="652"/>
      <c r="BZ33" s="650"/>
      <c r="CA33" s="650"/>
      <c r="CB33" s="650"/>
      <c r="CC33" s="650"/>
      <c r="CD33" s="652"/>
      <c r="CE33" s="650"/>
      <c r="CF33" s="650"/>
      <c r="CG33" s="650"/>
      <c r="CH33" s="650"/>
      <c r="CI33" s="652"/>
      <c r="CJ33" s="650"/>
      <c r="CK33" s="650"/>
      <c r="CL33" s="650"/>
      <c r="CM33" s="650"/>
      <c r="CN33" s="652"/>
      <c r="CO33" s="650"/>
      <c r="CP33" s="650"/>
      <c r="CQ33" s="650"/>
      <c r="CR33" s="650"/>
      <c r="CS33" s="652"/>
      <c r="CT33" s="650"/>
      <c r="CU33" s="650"/>
      <c r="CV33" s="650"/>
      <c r="CW33" s="650"/>
      <c r="CX33" s="652"/>
      <c r="CY33" s="650"/>
      <c r="CZ33" s="650"/>
      <c r="DA33" s="650"/>
      <c r="DB33" s="650"/>
      <c r="DC33" s="652"/>
      <c r="DD33" s="650"/>
      <c r="DE33" s="650"/>
      <c r="DF33" s="650"/>
      <c r="DG33" s="650"/>
      <c r="DH33" s="652"/>
      <c r="DI33" s="650"/>
      <c r="DJ33" s="650"/>
      <c r="DK33" s="650"/>
      <c r="DL33" s="650"/>
      <c r="DM33" s="652"/>
      <c r="DN33" s="650"/>
      <c r="DO33" s="650"/>
      <c r="DP33" s="650"/>
      <c r="DQ33" s="650"/>
      <c r="DR33" s="652"/>
      <c r="DS33" s="650"/>
      <c r="DT33" s="650"/>
      <c r="DU33" s="650"/>
      <c r="DV33" s="650"/>
      <c r="DW33" s="652"/>
      <c r="DX33" s="650"/>
      <c r="DY33" s="650"/>
      <c r="DZ33" s="650"/>
      <c r="EA33" s="650"/>
      <c r="EB33" s="652"/>
      <c r="EC33" s="650"/>
      <c r="ED33" s="650"/>
      <c r="EE33" s="650"/>
      <c r="EF33" s="650"/>
      <c r="EG33" s="652"/>
      <c r="EH33" s="650"/>
      <c r="EI33" s="650"/>
      <c r="EJ33" s="650"/>
      <c r="EK33" s="650"/>
      <c r="EL33" s="652"/>
      <c r="EM33" s="650"/>
      <c r="EN33" s="650"/>
      <c r="EO33" s="650"/>
      <c r="EP33" s="650"/>
      <c r="EQ33" s="652"/>
      <c r="ER33" s="650"/>
      <c r="ES33" s="650"/>
      <c r="ET33" s="650"/>
      <c r="EU33" s="650"/>
      <c r="EV33" s="652"/>
      <c r="EW33" s="650"/>
      <c r="EX33" s="650"/>
      <c r="EY33" s="650"/>
      <c r="EZ33" s="650"/>
      <c r="FA33" s="652"/>
      <c r="FB33" s="650"/>
      <c r="FC33" s="650"/>
      <c r="FD33" s="650"/>
      <c r="FE33" s="650"/>
      <c r="FF33" s="652"/>
      <c r="FG33" s="650"/>
      <c r="FH33" s="650"/>
      <c r="FI33" s="650"/>
      <c r="FJ33" s="650"/>
      <c r="FK33" s="652"/>
      <c r="FL33" s="650"/>
      <c r="FM33" s="650"/>
      <c r="FN33" s="650"/>
      <c r="FO33" s="650"/>
      <c r="FP33" s="652"/>
      <c r="FQ33" s="650"/>
      <c r="FR33" s="650"/>
      <c r="FS33" s="650"/>
      <c r="FT33" s="650"/>
      <c r="FU33" s="652"/>
      <c r="FV33" s="650"/>
      <c r="FW33" s="650"/>
      <c r="FX33" s="650"/>
      <c r="FY33" s="650"/>
      <c r="FZ33" s="652"/>
      <c r="GA33" s="650"/>
      <c r="GB33" s="650"/>
      <c r="GC33" s="650"/>
      <c r="GD33" s="650"/>
      <c r="GE33" s="652"/>
      <c r="GF33" s="650"/>
      <c r="GG33" s="650"/>
      <c r="GH33" s="650"/>
      <c r="GI33" s="650"/>
      <c r="GJ33" s="652"/>
    </row>
    <row r="34" spans="1:192" s="962" customFormat="1" ht="12.6" customHeight="1">
      <c r="B34" s="683" t="s">
        <v>132</v>
      </c>
      <c r="C34" s="669">
        <f>CF!C43</f>
      </c>
      <c r="D34" s="1138">
        <f>CF!D43</f>
      </c>
      <c r="E34" s="1138">
        <f>CF!E43</f>
      </c>
      <c r="F34" s="1138">
        <f>CF!F43</f>
      </c>
      <c r="G34" s="668">
        <f>CF!G43</f>
      </c>
      <c r="H34" s="1138">
        <f>CF!H43</f>
      </c>
      <c r="I34" s="1138">
        <f>CF!I43</f>
      </c>
      <c r="J34" s="1138">
        <f>CF!J43</f>
      </c>
      <c r="K34" s="1138">
        <f>CF!K43</f>
      </c>
      <c r="L34" s="668">
        <f>CF!L43</f>
      </c>
      <c r="M34" s="1138">
        <f>CF!M43</f>
      </c>
      <c r="N34" s="1138">
        <f>CF!N43</f>
      </c>
      <c r="O34" s="1138">
        <f>CF!O43</f>
      </c>
      <c r="P34" s="1138">
        <f>CF!P43</f>
      </c>
      <c r="Q34" s="668">
        <f>CF!Q43</f>
      </c>
      <c r="R34" s="1138">
        <f>CF!R43</f>
      </c>
      <c r="S34" s="1138">
        <f>CF!S43</f>
      </c>
      <c r="T34" s="1138">
        <f>CF!T43</f>
      </c>
      <c r="U34" s="1138">
        <f>CF!U43</f>
      </c>
      <c r="V34" s="668">
        <f>CF!V43</f>
      </c>
      <c r="W34" s="1138">
        <f>CF!W43</f>
      </c>
      <c r="X34" s="1138">
        <f>CF!X43</f>
      </c>
      <c r="Y34" s="1138">
        <f>CF!Y43</f>
      </c>
      <c r="Z34" s="1138">
        <f>CF!Z43</f>
      </c>
      <c r="AA34" s="668">
        <f>CF!AA43</f>
      </c>
      <c r="AB34" s="1138">
        <f>CF!AB43</f>
      </c>
      <c r="AC34" s="1138">
        <f>CF!AC43</f>
      </c>
      <c r="AD34" s="1138">
        <f>CF!AD43</f>
      </c>
      <c r="AE34" s="1138">
        <f>CF!AE43</f>
      </c>
      <c r="AF34" s="668">
        <f>CF!AF43</f>
      </c>
      <c r="AG34" s="1138">
        <f>CF!AG43</f>
      </c>
      <c r="AH34" s="1138">
        <f>CF!AH43</f>
      </c>
      <c r="AI34" s="1138">
        <f>CF!AI43</f>
      </c>
      <c r="AJ34" s="1138">
        <f>CF!AJ43</f>
      </c>
      <c r="AK34" s="668">
        <f>CF!AK43</f>
      </c>
      <c r="AL34" s="1139">
        <f>CF!AL43</f>
      </c>
      <c r="AM34" s="1139">
        <f>CF!AM43</f>
      </c>
      <c r="AN34" s="1139">
        <f>CF!AN43</f>
      </c>
      <c r="AO34" s="1139">
        <f>CF!AO43</f>
      </c>
      <c r="AP34" s="668">
        <f>CF!AP43</f>
      </c>
      <c r="AQ34" s="1139">
        <f>CF!AQ43</f>
      </c>
      <c r="AR34" s="1139">
        <f>CF!AR43</f>
      </c>
      <c r="AS34" s="1139">
        <f>CF!AS43</f>
      </c>
      <c r="AT34" s="1139">
        <f>CF!AT43</f>
      </c>
      <c r="AU34" s="668">
        <f>CF!AU43</f>
      </c>
      <c r="AV34" s="1139">
        <f>CF!AV43</f>
      </c>
      <c r="AW34" s="1139">
        <f>CF!AW43</f>
      </c>
      <c r="AX34" s="1139">
        <f>CF!AX43</f>
      </c>
      <c r="AY34" s="1139">
        <f>CF!AY43</f>
      </c>
      <c r="AZ34" s="668">
        <f>CF!AZ43</f>
      </c>
      <c r="BA34" s="1139">
        <f>CF!BA43</f>
      </c>
      <c r="BB34" s="1139">
        <f>CF!BB43</f>
      </c>
      <c r="BC34" s="1139">
        <f>CF!BC43</f>
      </c>
      <c r="BD34" s="1139">
        <f>CF!BD43</f>
      </c>
      <c r="BE34" s="668">
        <f>CF!BE43</f>
      </c>
      <c r="BF34" s="1139">
        <f>CF!BF43</f>
      </c>
      <c r="BG34" s="1139">
        <f>CF!BG43</f>
      </c>
      <c r="BH34" s="1139">
        <f>CF!BH43</f>
      </c>
      <c r="BI34" s="1139">
        <f>CF!BI43</f>
      </c>
      <c r="BJ34" s="668">
        <f>CF!BJ43</f>
      </c>
      <c r="BK34" s="1139">
        <f>CF!BK43</f>
      </c>
      <c r="BL34" s="1139">
        <f>CF!BL43</f>
      </c>
      <c r="BM34" s="1139">
        <f>CF!BM43</f>
      </c>
      <c r="BN34" s="1139">
        <f>CF!BN43</f>
      </c>
      <c r="BO34" s="668">
        <f>CF!BO43</f>
      </c>
      <c r="BP34" s="1139">
        <f>CF!BP43</f>
      </c>
      <c r="BQ34" s="1139">
        <f>CF!BQ43</f>
      </c>
      <c r="BR34" s="1139">
        <f>CF!BR43</f>
      </c>
      <c r="BS34" s="1139">
        <f>CF!BS43</f>
      </c>
      <c r="BT34" s="668">
        <f>CF!BT43</f>
      </c>
      <c r="BU34" s="1139">
        <f>CF!BU43</f>
      </c>
      <c r="BV34" s="1139">
        <f>CF!BV43</f>
      </c>
      <c r="BW34" s="1139">
        <f>CF!BW43</f>
      </c>
      <c r="BX34" s="1139">
        <f>CF!BX43</f>
      </c>
      <c r="BY34" s="668">
        <f>CF!BY43</f>
      </c>
      <c r="BZ34" s="1139">
        <f>CF!BZ43</f>
      </c>
      <c r="CA34" s="1139">
        <f>CF!CA43</f>
      </c>
      <c r="CB34" s="1139">
        <f>CF!CB43</f>
      </c>
      <c r="CC34" s="1139">
        <f>CF!CC43</f>
      </c>
      <c r="CD34" s="668">
        <f>CF!CD43</f>
      </c>
      <c r="CE34" s="1139">
        <f>CF!CE43</f>
      </c>
      <c r="CF34" s="1139">
        <f>CF!CF43</f>
      </c>
      <c r="CG34" s="1139">
        <f>CF!CG43</f>
      </c>
      <c r="CH34" s="1139">
        <f>CF!CH43</f>
      </c>
      <c r="CI34" s="668">
        <f>CF!CI43</f>
      </c>
      <c r="CJ34" s="1139">
        <f>CF!CJ43</f>
      </c>
      <c r="CK34" s="1139">
        <f>CF!CK43</f>
      </c>
      <c r="CL34" s="1139">
        <f>CF!CL43</f>
      </c>
      <c r="CM34" s="1139">
        <f>CF!CM43</f>
      </c>
      <c r="CN34" s="668">
        <f>CF!CN43</f>
      </c>
      <c r="CO34" s="1139">
        <f>CF!CO43</f>
      </c>
      <c r="CP34" s="1139">
        <f>CF!CP43</f>
      </c>
      <c r="CQ34" s="1139">
        <f>CF!CQ43</f>
      </c>
      <c r="CR34" s="1139">
        <f>CF!CR43</f>
      </c>
      <c r="CS34" s="668">
        <f>CF!CS43</f>
      </c>
      <c r="CT34" s="1139">
        <f>CF!CT43</f>
      </c>
      <c r="CU34" s="1139">
        <f>CF!CU43</f>
      </c>
      <c r="CV34" s="1139">
        <f>CF!CV43</f>
      </c>
      <c r="CW34" s="1139">
        <f>CF!CW43</f>
      </c>
      <c r="CX34" s="668">
        <f>CF!CX43</f>
      </c>
      <c r="CY34" s="1139">
        <f>CF!CY43</f>
      </c>
      <c r="CZ34" s="1140">
        <f>CF!CZ43</f>
      </c>
      <c r="DA34" s="1140">
        <f>CF!DA43</f>
      </c>
      <c r="DB34" s="1140">
        <f>CF!DB43</f>
      </c>
      <c r="DC34" s="668">
        <f>CF!DC43</f>
      </c>
      <c r="DD34" s="1139">
        <f>CF!DD43</f>
      </c>
      <c r="DE34" s="1139">
        <f>CF!DE43</f>
      </c>
      <c r="DF34" s="1139">
        <f>CF!DF43</f>
      </c>
      <c r="DG34" s="1139">
        <f>CF!DG43</f>
      </c>
      <c r="DH34" s="668">
        <f>CF!DH43</f>
      </c>
      <c r="DI34" s="1139">
        <f>CF!DI43</f>
      </c>
      <c r="DJ34" s="1139">
        <f>CF!DJ43</f>
      </c>
      <c r="DK34" s="1139">
        <f>CF!DK43</f>
      </c>
      <c r="DL34" s="1139">
        <f>CF!DL43</f>
      </c>
      <c r="DM34" s="668">
        <f>CF!DM43</f>
      </c>
      <c r="DN34" s="1139">
        <f>CF!DN43</f>
      </c>
      <c r="DO34" s="1139">
        <f>CF!DO43</f>
      </c>
      <c r="DP34" s="1139">
        <f>CF!DP43</f>
      </c>
      <c r="DQ34" s="1139">
        <f>CF!DQ43</f>
      </c>
      <c r="DR34" s="668">
        <f>CF!DR43</f>
      </c>
      <c r="DS34" s="1139">
        <f>CF!DS43</f>
      </c>
      <c r="DT34" s="1139">
        <f>CF!DT43</f>
      </c>
      <c r="DU34" s="1139">
        <f>CF!DU43</f>
      </c>
      <c r="DV34" s="1139">
        <f>CF!DV43</f>
      </c>
      <c r="DW34" s="668">
        <f>CF!DW43</f>
      </c>
      <c r="DX34" s="1139">
        <f>CF!DX43</f>
      </c>
      <c r="DY34" s="1139">
        <f>CF!DY43</f>
      </c>
      <c r="DZ34" s="1139">
        <f>CF!DZ43</f>
      </c>
      <c r="EA34" s="1139">
        <f>CF!EA43</f>
      </c>
      <c r="EB34" s="668">
        <f>CF!EB43</f>
      </c>
      <c r="EC34" s="1139">
        <f>CF!EC43</f>
      </c>
      <c r="ED34" s="1139">
        <f>CF!ED43</f>
      </c>
      <c r="EE34" s="1139">
        <f>CF!EE43</f>
      </c>
      <c r="EF34" s="1139">
        <f>CF!EF43</f>
      </c>
      <c r="EG34" s="668">
        <f>CF!EG43</f>
      </c>
      <c r="EH34" s="1139">
        <f>CF!EH43</f>
      </c>
      <c r="EI34" s="1139">
        <f>CF!EI43</f>
      </c>
      <c r="EJ34" s="1139">
        <f>CF!EJ43</f>
      </c>
      <c r="EK34" s="1139">
        <f>CF!EK43</f>
      </c>
      <c r="EL34" s="668">
        <f>CF!EL43</f>
      </c>
      <c r="EM34" s="1139">
        <f>CF!EM43</f>
      </c>
      <c r="EN34" s="1139">
        <f>CF!EN43</f>
      </c>
      <c r="EO34" s="1139">
        <f>CF!EO43</f>
      </c>
      <c r="EP34" s="1139">
        <f>CF!EP43</f>
      </c>
      <c r="EQ34" s="668">
        <f>CF!EQ43</f>
      </c>
      <c r="ER34" s="1139">
        <f>CF!ER43</f>
      </c>
      <c r="ES34" s="1139">
        <f>CF!ES43</f>
      </c>
      <c r="ET34" s="1139">
        <f>CF!ET43</f>
      </c>
      <c r="EU34" s="1139">
        <f>CF!EU43</f>
      </c>
      <c r="EV34" s="668">
        <f>CF!EV43</f>
      </c>
      <c r="EW34" s="1139">
        <f>CF!EW43</f>
      </c>
      <c r="EX34" s="1139">
        <f>CF!EX43</f>
      </c>
      <c r="EY34" s="1139">
        <f>CF!EY43</f>
      </c>
      <c r="EZ34" s="1139">
        <f>CF!EZ43</f>
      </c>
      <c r="FA34" s="668">
        <f>CF!FA43</f>
      </c>
      <c r="FB34" s="962">
        <f>-FB35*FB13</f>
      </c>
      <c r="FC34" s="962">
        <f>-FC35*FC13</f>
      </c>
      <c r="FD34" s="962">
        <f>-FD35*FD13</f>
      </c>
      <c r="FE34" s="962">
        <f>-FE35*FE13</f>
      </c>
      <c r="FF34" s="685">
        <f>SUM(FB34:FE34)</f>
      </c>
      <c r="FG34" s="962">
        <f>-FG35*FG13</f>
      </c>
      <c r="FH34" s="962">
        <f>-FH35*FH13</f>
      </c>
      <c r="FI34" s="962">
        <f>-FI35*FI13</f>
      </c>
      <c r="FJ34" s="962">
        <f>-FJ35*FJ13</f>
      </c>
      <c r="FK34" s="685">
        <f>SUM(FG34:FJ34)</f>
      </c>
      <c r="FL34" s="962">
        <f>-FL35*FL13</f>
      </c>
      <c r="FM34" s="962">
        <f>-FM35*FM13</f>
      </c>
      <c r="FN34" s="962">
        <f>-FN35*FN13</f>
      </c>
      <c r="FO34" s="962">
        <f>-FO35*FO13</f>
      </c>
      <c r="FP34" s="685">
        <f>SUM(FL34:FO34)</f>
      </c>
      <c r="FQ34" s="962">
        <f>-FQ35*FQ13</f>
      </c>
      <c r="FR34" s="962">
        <f>-FR35*FR13</f>
      </c>
      <c r="FS34" s="962">
        <f>-FS35*FS13</f>
      </c>
      <c r="FT34" s="962">
        <f>-FT35*FT13</f>
      </c>
      <c r="FU34" s="685">
        <f>SUM(FQ34:FT34)</f>
      </c>
      <c r="FV34" s="962">
        <f>-FV35*FV13</f>
      </c>
      <c r="FW34" s="962">
        <f>-FW35*FW13</f>
      </c>
      <c r="FX34" s="962">
        <f>-FX35*FX13</f>
      </c>
      <c r="FY34" s="962">
        <f>-FY35*FY13</f>
      </c>
      <c r="FZ34" s="685">
        <f>SUM(FV34:FY34)</f>
      </c>
      <c r="GA34" s="962">
        <f>-GA35*GA13</f>
      </c>
      <c r="GB34" s="962">
        <f>-GB35*GB13</f>
      </c>
      <c r="GC34" s="962">
        <f>-GC35*GC13</f>
      </c>
      <c r="GD34" s="962">
        <f>-GD35*GD13</f>
      </c>
      <c r="GE34" s="685">
        <f>SUM(GA34:GD34)</f>
      </c>
      <c r="GF34" s="962">
        <f>-GF35*GF13</f>
      </c>
      <c r="GG34" s="962">
        <f>-GG35*GG13</f>
      </c>
      <c r="GH34" s="962">
        <f>-GH35*GH13</f>
      </c>
      <c r="GI34" s="962">
        <f>-GI35*GI13</f>
      </c>
      <c r="GJ34" s="685">
        <f>SUM(GF34:GI34)</f>
      </c>
    </row>
    <row r="35" spans="1:192" s="651" customFormat="1" ht="12.6" customHeight="1">
      <c r="B35" s="676" t="s">
        <v>301</v>
      </c>
      <c r="C35" s="673">
        <f t="shared" ref="C35:AH35" si="42">IFERROR(-C34/C13,"")</f>
      </c>
      <c r="D35" s="673">
        <f t="shared" si="42"/>
      </c>
      <c r="E35" s="673">
        <f t="shared" si="42"/>
      </c>
      <c r="F35" s="673">
        <f t="shared" si="42"/>
      </c>
      <c r="G35" s="674">
        <f t="shared" si="42"/>
      </c>
      <c r="H35" s="673">
        <f t="shared" si="42"/>
      </c>
      <c r="I35" s="673">
        <f t="shared" si="42"/>
      </c>
      <c r="J35" s="673">
        <f t="shared" si="42"/>
      </c>
      <c r="K35" s="673">
        <f t="shared" si="42"/>
      </c>
      <c r="L35" s="674">
        <f t="shared" si="42"/>
      </c>
      <c r="M35" s="673">
        <f t="shared" si="42"/>
      </c>
      <c r="N35" s="673">
        <f t="shared" si="42"/>
      </c>
      <c r="O35" s="673">
        <f t="shared" si="42"/>
      </c>
      <c r="P35" s="673">
        <f t="shared" si="42"/>
      </c>
      <c r="Q35" s="674">
        <f t="shared" si="42"/>
      </c>
      <c r="R35" s="673">
        <f t="shared" si="42"/>
      </c>
      <c r="S35" s="673">
        <f t="shared" si="42"/>
      </c>
      <c r="T35" s="673">
        <f t="shared" si="42"/>
      </c>
      <c r="U35" s="673">
        <f t="shared" si="42"/>
      </c>
      <c r="V35" s="674">
        <f t="shared" si="42"/>
      </c>
      <c r="W35" s="673">
        <f t="shared" si="42"/>
      </c>
      <c r="X35" s="673">
        <f t="shared" si="42"/>
      </c>
      <c r="Y35" s="673">
        <f t="shared" si="42"/>
      </c>
      <c r="Z35" s="673">
        <f t="shared" si="42"/>
      </c>
      <c r="AA35" s="674">
        <f t="shared" si="42"/>
      </c>
      <c r="AB35" s="673">
        <f t="shared" si="42"/>
      </c>
      <c r="AC35" s="673">
        <f t="shared" si="42"/>
      </c>
      <c r="AD35" s="673">
        <f t="shared" si="42"/>
      </c>
      <c r="AE35" s="673">
        <f t="shared" si="42"/>
      </c>
      <c r="AF35" s="674">
        <f t="shared" si="42"/>
      </c>
      <c r="AG35" s="673">
        <f t="shared" si="42"/>
      </c>
      <c r="AH35" s="673">
        <f t="shared" si="42"/>
      </c>
      <c r="AI35" s="673">
        <f t="shared" ref="AI35:BN35" si="43">IFERROR(-AI34/AI13,"")</f>
      </c>
      <c r="AJ35" s="673">
        <f t="shared" si="43"/>
      </c>
      <c r="AK35" s="674">
        <f t="shared" si="43"/>
      </c>
      <c r="AL35" s="675">
        <f t="shared" si="43"/>
      </c>
      <c r="AM35" s="675">
        <f t="shared" si="43"/>
      </c>
      <c r="AN35" s="675">
        <f t="shared" si="43"/>
      </c>
      <c r="AO35" s="675">
        <f t="shared" si="43"/>
      </c>
      <c r="AP35" s="674">
        <f t="shared" si="43"/>
      </c>
      <c r="AQ35" s="675">
        <f t="shared" si="43"/>
      </c>
      <c r="AR35" s="675">
        <f t="shared" si="43"/>
      </c>
      <c r="AS35" s="675">
        <f t="shared" si="43"/>
      </c>
      <c r="AT35" s="675">
        <f t="shared" si="43"/>
      </c>
      <c r="AU35" s="674">
        <f t="shared" si="43"/>
      </c>
      <c r="AV35" s="675">
        <f t="shared" si="43"/>
      </c>
      <c r="AW35" s="675">
        <f t="shared" si="43"/>
      </c>
      <c r="AX35" s="675">
        <f t="shared" si="43"/>
      </c>
      <c r="AY35" s="675">
        <f t="shared" si="43"/>
      </c>
      <c r="AZ35" s="674">
        <f t="shared" si="43"/>
      </c>
      <c r="BA35" s="675">
        <f t="shared" si="43"/>
      </c>
      <c r="BB35" s="675">
        <f t="shared" si="43"/>
      </c>
      <c r="BC35" s="675">
        <f t="shared" si="43"/>
      </c>
      <c r="BD35" s="675">
        <f t="shared" si="43"/>
      </c>
      <c r="BE35" s="674">
        <f t="shared" si="43"/>
      </c>
      <c r="BF35" s="675">
        <f t="shared" si="43"/>
      </c>
      <c r="BG35" s="675">
        <f t="shared" si="43"/>
      </c>
      <c r="BH35" s="675">
        <f t="shared" si="43"/>
      </c>
      <c r="BI35" s="675">
        <f t="shared" si="43"/>
      </c>
      <c r="BJ35" s="674">
        <f t="shared" si="43"/>
      </c>
      <c r="BK35" s="673">
        <f t="shared" si="43"/>
      </c>
      <c r="BL35" s="673">
        <f t="shared" si="43"/>
      </c>
      <c r="BM35" s="673">
        <f t="shared" si="43"/>
      </c>
      <c r="BN35" s="673">
        <f t="shared" si="43"/>
      </c>
      <c r="BO35" s="674">
        <f t="shared" ref="BO35:CT35" si="44">IFERROR(-BO34/BO13,"")</f>
      </c>
      <c r="BP35" s="673">
        <f t="shared" si="44"/>
      </c>
      <c r="BQ35" s="673">
        <f t="shared" si="44"/>
      </c>
      <c r="BR35" s="673">
        <f t="shared" si="44"/>
      </c>
      <c r="BS35" s="673">
        <f t="shared" si="44"/>
      </c>
      <c r="BT35" s="674">
        <f t="shared" si="44"/>
      </c>
      <c r="BU35" s="673">
        <f t="shared" si="44"/>
      </c>
      <c r="BV35" s="673">
        <f t="shared" si="44"/>
      </c>
      <c r="BW35" s="673">
        <f t="shared" si="44"/>
      </c>
      <c r="BX35" s="673">
        <f t="shared" si="44"/>
      </c>
      <c r="BY35" s="674">
        <f t="shared" si="44"/>
      </c>
      <c r="BZ35" s="673">
        <f t="shared" si="44"/>
      </c>
      <c r="CA35" s="673">
        <f t="shared" si="44"/>
      </c>
      <c r="CB35" s="673">
        <f t="shared" si="44"/>
      </c>
      <c r="CC35" s="673">
        <f t="shared" si="44"/>
      </c>
      <c r="CD35" s="674">
        <f t="shared" si="44"/>
      </c>
      <c r="CE35" s="673">
        <f t="shared" si="44"/>
      </c>
      <c r="CF35" s="673">
        <f t="shared" si="44"/>
      </c>
      <c r="CG35" s="673">
        <f t="shared" si="44"/>
      </c>
      <c r="CH35" s="673">
        <f t="shared" si="44"/>
      </c>
      <c r="CI35" s="674">
        <f t="shared" si="44"/>
      </c>
      <c r="CJ35" s="673">
        <f t="shared" si="44"/>
      </c>
      <c r="CK35" s="673">
        <f t="shared" si="44"/>
      </c>
      <c r="CL35" s="673">
        <f t="shared" si="44"/>
      </c>
      <c r="CM35" s="673">
        <f t="shared" si="44"/>
      </c>
      <c r="CN35" s="674">
        <f t="shared" si="44"/>
      </c>
      <c r="CO35" s="673">
        <f t="shared" si="44"/>
      </c>
      <c r="CP35" s="673">
        <f t="shared" si="44"/>
      </c>
      <c r="CQ35" s="673">
        <f t="shared" si="44"/>
      </c>
      <c r="CR35" s="673">
        <f t="shared" si="44"/>
      </c>
      <c r="CS35" s="674">
        <f t="shared" si="44"/>
      </c>
      <c r="CT35" s="673">
        <f t="shared" si="44"/>
      </c>
      <c r="CU35" s="673">
        <f t="shared" ref="CU35:DZ35" si="45">IFERROR(-CU34/CU13,"")</f>
      </c>
      <c r="CV35" s="673">
        <f t="shared" si="45"/>
      </c>
      <c r="CW35" s="673">
        <f t="shared" si="45"/>
      </c>
      <c r="CX35" s="674">
        <f t="shared" si="45"/>
      </c>
      <c r="CY35" s="673">
        <f t="shared" si="45"/>
      </c>
      <c r="CZ35" s="673">
        <f t="shared" si="45"/>
      </c>
      <c r="DA35" s="673">
        <f t="shared" si="45"/>
      </c>
      <c r="DB35" s="673">
        <f t="shared" si="45"/>
      </c>
      <c r="DC35" s="674">
        <f t="shared" si="45"/>
      </c>
      <c r="DD35" s="673">
        <f t="shared" si="45"/>
      </c>
      <c r="DE35" s="673">
        <f t="shared" si="45"/>
      </c>
      <c r="DF35" s="673">
        <f t="shared" si="45"/>
      </c>
      <c r="DG35" s="673">
        <f t="shared" si="45"/>
      </c>
      <c r="DH35" s="674">
        <f t="shared" si="45"/>
      </c>
      <c r="DI35" s="673">
        <f t="shared" si="45"/>
      </c>
      <c r="DJ35" s="673">
        <f t="shared" si="45"/>
      </c>
      <c r="DK35" s="673">
        <f t="shared" si="45"/>
      </c>
      <c r="DL35" s="673">
        <f t="shared" si="45"/>
      </c>
      <c r="DM35" s="674">
        <f t="shared" si="45"/>
      </c>
      <c r="DN35" s="673">
        <f t="shared" si="45"/>
      </c>
      <c r="DO35" s="673">
        <f t="shared" si="45"/>
      </c>
      <c r="DP35" s="673">
        <f t="shared" si="45"/>
      </c>
      <c r="DQ35" s="673">
        <f t="shared" si="45"/>
      </c>
      <c r="DR35" s="674">
        <f t="shared" si="45"/>
      </c>
      <c r="DS35" s="673">
        <f t="shared" si="45"/>
      </c>
      <c r="DT35" s="673">
        <f t="shared" si="45"/>
      </c>
      <c r="DU35" s="673">
        <f t="shared" si="45"/>
      </c>
      <c r="DV35" s="673">
        <f t="shared" si="45"/>
      </c>
      <c r="DW35" s="674">
        <f t="shared" si="45"/>
      </c>
      <c r="DX35" s="673">
        <f t="shared" si="45"/>
      </c>
      <c r="DY35" s="673">
        <f t="shared" si="45"/>
      </c>
      <c r="DZ35" s="673">
        <f t="shared" si="45"/>
      </c>
      <c r="EA35" s="673">
        <f t="shared" ref="EA35:ES35" si="46">IFERROR(-EA34/EA13,"")</f>
      </c>
      <c r="EB35" s="674">
        <f t="shared" si="46"/>
      </c>
      <c r="EC35" s="673">
        <f t="shared" si="46"/>
      </c>
      <c r="ED35" s="673">
        <f t="shared" si="46"/>
      </c>
      <c r="EE35" s="673">
        <f t="shared" si="46"/>
      </c>
      <c r="EF35" s="673">
        <f t="shared" si="46"/>
      </c>
      <c r="EG35" s="674">
        <f t="shared" si="46"/>
      </c>
      <c r="EH35" s="673">
        <f t="shared" si="46"/>
      </c>
      <c r="EI35" s="673">
        <f t="shared" si="46"/>
      </c>
      <c r="EJ35" s="673">
        <f t="shared" si="46"/>
      </c>
      <c r="EK35" s="673">
        <f t="shared" si="46"/>
      </c>
      <c r="EL35" s="674">
        <f t="shared" si="46"/>
      </c>
      <c r="EM35" s="673">
        <f t="shared" si="46"/>
      </c>
      <c r="EN35" s="673">
        <f t="shared" si="46"/>
      </c>
      <c r="EO35" s="673">
        <f t="shared" si="46"/>
      </c>
      <c r="EP35" s="673">
        <f t="shared" si="46"/>
      </c>
      <c r="EQ35" s="674">
        <f t="shared" si="46"/>
      </c>
      <c r="ER35" s="673">
        <f t="shared" si="46"/>
      </c>
      <c r="ES35" s="673">
        <f t="shared" si="46"/>
      </c>
      <c r="ET35" s="673">
        <f>IFERROR(-ET34/ET13,"")</f>
      </c>
      <c r="EU35" s="673">
        <f>IFERROR(-EU34/EU13,"")</f>
      </c>
      <c r="EV35" s="674">
        <f>IFERROR(-EV34/EV13,"")</f>
      </c>
      <c r="EW35" s="673">
        <f t="shared" ref="EW35:EX35" si="47">IFERROR(-EW34/EW13,"")</f>
      </c>
      <c r="EX35" s="673">
        <f t="shared" si="47"/>
      </c>
      <c r="EY35" s="673">
        <f>IFERROR(-EY34/EY13,"")</f>
      </c>
      <c r="EZ35" s="673">
        <f>IFERROR(-EZ34/EZ13,"")</f>
      </c>
      <c r="FA35" s="674">
        <f>IFERROR(-FA34/FA13,"")</f>
      </c>
      <c r="FB35" s="673">
        <f>EW35*(1+FB36)</f>
      </c>
      <c r="FC35" s="673">
        <f>EX35*(1+FC36)</f>
      </c>
      <c r="FD35" s="673">
        <f>EY35*(1+FD36)</f>
      </c>
      <c r="FE35" s="673">
        <f>EZ35*(1+FE36)</f>
      </c>
      <c r="FF35" s="674">
        <f>IFERROR(SUM(FB35:FE35),"")</f>
      </c>
      <c r="FG35" s="673">
        <f>FB35*(1+FG36)</f>
      </c>
      <c r="FH35" s="673">
        <f>FC35*(1+FH36)</f>
      </c>
      <c r="FI35" s="673">
        <f>FD35*(1+FI36)</f>
      </c>
      <c r="FJ35" s="673">
        <f>FE35*(1+FJ36)</f>
      </c>
      <c r="FK35" s="674">
        <f>IFERROR(SUM(FG35:FJ35),"")</f>
      </c>
      <c r="FL35" s="673">
        <f>FG35*(1+FL36)</f>
      </c>
      <c r="FM35" s="673">
        <f>FH35*(1+FM36)</f>
      </c>
      <c r="FN35" s="673">
        <f>FI35*(1+FN36)</f>
      </c>
      <c r="FO35" s="673">
        <f>FJ35*(1+FO36)</f>
      </c>
      <c r="FP35" s="674">
        <f>IFERROR(SUM(FL35:FO35),"")</f>
      </c>
      <c r="FQ35" s="673">
        <f>FL35*(1+FQ36)</f>
      </c>
      <c r="FR35" s="673">
        <f>FM35*(1+FR36)</f>
      </c>
      <c r="FS35" s="673">
        <f>FN35*(1+FS36)</f>
      </c>
      <c r="FT35" s="673">
        <f>FO35*(1+FT36)</f>
      </c>
      <c r="FU35" s="674">
        <f>IFERROR(SUM(FQ35:FT35),"")</f>
      </c>
      <c r="FV35" s="673">
        <f>FQ35*(1+FV36)</f>
      </c>
      <c r="FW35" s="673">
        <f>FR35*(1+FW36)</f>
      </c>
      <c r="FX35" s="673">
        <f>FS35*(1+FX36)</f>
      </c>
      <c r="FY35" s="673">
        <f>FT35*(1+FY36)</f>
      </c>
      <c r="FZ35" s="674">
        <f>IFERROR(SUM(FV35:FY35),"")</f>
      </c>
      <c r="GA35" s="673">
        <f>FV35*(1+GA36)</f>
      </c>
      <c r="GB35" s="673">
        <f>FW35*(1+GB36)</f>
      </c>
      <c r="GC35" s="673">
        <f>FX35*(1+GC36)</f>
      </c>
      <c r="GD35" s="673">
        <f>FY35*(1+GD36)</f>
      </c>
      <c r="GE35" s="674">
        <f>IFERROR(SUM(GA35:GD35),"")</f>
      </c>
      <c r="GF35" s="673">
        <f>GA35*(1+GF36)</f>
      </c>
      <c r="GG35" s="673">
        <f>GB35*(1+GG36)</f>
      </c>
      <c r="GH35" s="673">
        <f>GC35*(1+GH36)</f>
      </c>
      <c r="GI35" s="673">
        <f>GD35*(1+GI36)</f>
      </c>
      <c r="GJ35" s="674">
        <f>IFERROR(SUM(GF35:GI35),"")</f>
      </c>
    </row>
    <row r="36" spans="1:192" ht="12.6" customHeight="1">
      <c r="B36" s="1142" t="s">
        <v>34</v>
      </c>
      <c r="C36" s="651" t="str">
        <f>IFERROR(C35/#REF!-1,"")</f>
      </c>
      <c r="D36" s="651" t="str">
        <f>IFERROR(D35/#REF!-1,"")</f>
      </c>
      <c r="E36" s="651" t="str">
        <f>IFERROR(E35/#REF!-1,"")</f>
      </c>
      <c r="F36" s="651" t="str">
        <f>IFERROR(F35/A35-1,"")</f>
      </c>
      <c r="G36" s="652" t="str">
        <f>IFERROR(G35/B35-1,"")</f>
      </c>
      <c r="H36" s="651" t="str">
        <f t="shared" ref="H36:BQ36" si="48">IFERROR(H35/C35-1,"")</f>
      </c>
      <c r="I36" s="651" t="str">
        <f t="shared" si="48"/>
      </c>
      <c r="J36" s="651" t="str">
        <f t="shared" si="48"/>
      </c>
      <c r="K36" s="651" t="str">
        <f t="shared" si="48"/>
      </c>
      <c r="L36" s="652" t="str">
        <f t="shared" si="48"/>
      </c>
      <c r="M36" s="651" t="str">
        <f t="shared" si="48"/>
      </c>
      <c r="N36" s="651" t="str">
        <f t="shared" si="48"/>
      </c>
      <c r="O36" s="651" t="str">
        <f t="shared" si="48"/>
      </c>
      <c r="P36" s="651" t="str">
        <f t="shared" si="48"/>
      </c>
      <c r="Q36" s="652" t="str">
        <f t="shared" si="48"/>
      </c>
      <c r="R36" s="651" t="str">
        <f t="shared" si="48"/>
      </c>
      <c r="S36" s="651" t="str">
        <f t="shared" si="48"/>
      </c>
      <c r="T36" s="651" t="str">
        <f t="shared" si="48"/>
      </c>
      <c r="U36" s="651" t="str">
        <f t="shared" si="48"/>
      </c>
      <c r="V36" s="652" t="str">
        <f t="shared" si="48"/>
      </c>
      <c r="W36" s="651" t="str">
        <f t="shared" si="48"/>
      </c>
      <c r="X36" s="651" t="str">
        <f t="shared" si="48"/>
      </c>
      <c r="Y36" s="651" t="str">
        <f t="shared" si="48"/>
      </c>
      <c r="Z36" s="651" t="str">
        <f t="shared" si="48"/>
      </c>
      <c r="AA36" s="652" t="str">
        <f t="shared" si="48"/>
      </c>
      <c r="AB36" s="651" t="str">
        <f t="shared" si="48"/>
      </c>
      <c r="AC36" s="651" t="str">
        <f t="shared" si="48"/>
      </c>
      <c r="AD36" s="651" t="str">
        <f t="shared" si="48"/>
      </c>
      <c r="AE36" s="651" t="str">
        <f t="shared" si="48"/>
      </c>
      <c r="AF36" s="652" t="str">
        <f t="shared" si="48"/>
      </c>
      <c r="AG36" s="651" t="str">
        <f t="shared" si="48"/>
      </c>
      <c r="AH36" s="651" t="str">
        <f t="shared" si="48"/>
      </c>
      <c r="AI36" s="651" t="str">
        <f t="shared" si="48"/>
      </c>
      <c r="AJ36" s="651" t="str">
        <f t="shared" si="48"/>
      </c>
      <c r="AK36" s="652" t="str">
        <f t="shared" si="48"/>
      </c>
      <c r="AL36" s="651" t="str">
        <f t="shared" si="48"/>
      </c>
      <c r="AM36" s="651" t="str">
        <f t="shared" si="48"/>
      </c>
      <c r="AN36" s="651" t="str">
        <f t="shared" si="48"/>
      </c>
      <c r="AO36" s="651" t="str">
        <f t="shared" si="48"/>
      </c>
      <c r="AP36" s="652" t="str">
        <f t="shared" si="48"/>
      </c>
      <c r="AQ36" s="651" t="str">
        <f t="shared" si="48"/>
      </c>
      <c r="AR36" s="651" t="str">
        <f t="shared" si="48"/>
      </c>
      <c r="AS36" s="651" t="str">
        <f t="shared" si="48"/>
      </c>
      <c r="AT36" s="651" t="str">
        <f t="shared" si="48"/>
      </c>
      <c r="AU36" s="652" t="str">
        <f t="shared" si="48"/>
      </c>
      <c r="AV36" s="651" t="str">
        <f t="shared" si="48"/>
      </c>
      <c r="AW36" s="651" t="str">
        <f t="shared" si="48"/>
      </c>
      <c r="AX36" s="651">
        <f t="shared" si="48"/>
      </c>
      <c r="AY36" s="651" t="str">
        <f t="shared" si="48"/>
      </c>
      <c r="AZ36" s="652">
        <f t="shared" si="48"/>
      </c>
      <c r="BA36" s="651" t="str">
        <f t="shared" si="48"/>
      </c>
      <c r="BB36" s="651">
        <f t="shared" si="48"/>
      </c>
      <c r="BC36" s="651" t="str">
        <f t="shared" si="48"/>
      </c>
      <c r="BD36" s="651" t="str">
        <f t="shared" si="48"/>
      </c>
      <c r="BE36" s="652">
        <f t="shared" si="48"/>
      </c>
      <c r="BF36" s="651">
        <f t="shared" si="48"/>
      </c>
      <c r="BG36" s="651">
        <f t="shared" si="48"/>
      </c>
      <c r="BH36" s="651">
        <f t="shared" si="48"/>
      </c>
      <c r="BI36" s="651">
        <f t="shared" si="48"/>
      </c>
      <c r="BJ36" s="652">
        <f t="shared" si="48"/>
      </c>
      <c r="BK36" s="651">
        <f t="shared" si="48"/>
      </c>
      <c r="BL36" s="651">
        <f t="shared" si="48"/>
      </c>
      <c r="BM36" s="651">
        <f t="shared" si="48"/>
      </c>
      <c r="BN36" s="651">
        <f t="shared" si="48"/>
      </c>
      <c r="BO36" s="652">
        <f t="shared" si="48"/>
      </c>
      <c r="BP36" s="651">
        <f t="shared" si="48"/>
      </c>
      <c r="BQ36" s="651">
        <f t="shared" si="48"/>
      </c>
      <c r="BR36" s="651">
        <f t="shared" ref="BR36:EC36" si="49">IFERROR(BR35/BM35-1,"")</f>
      </c>
      <c r="BS36" s="651">
        <f t="shared" si="49"/>
      </c>
      <c r="BT36" s="652">
        <f t="shared" si="49"/>
      </c>
      <c r="BU36" s="651">
        <f t="shared" si="49"/>
      </c>
      <c r="BV36" s="651">
        <f t="shared" si="49"/>
      </c>
      <c r="BW36" s="651">
        <f t="shared" si="49"/>
      </c>
      <c r="BX36" s="651">
        <f t="shared" si="49"/>
      </c>
      <c r="BY36" s="652">
        <f t="shared" si="49"/>
      </c>
      <c r="BZ36" s="651">
        <f t="shared" si="49"/>
      </c>
      <c r="CA36" s="651">
        <f t="shared" si="49"/>
      </c>
      <c r="CB36" s="651">
        <f t="shared" si="49"/>
      </c>
      <c r="CC36" s="651">
        <f t="shared" si="49"/>
      </c>
      <c r="CD36" s="652">
        <f t="shared" si="49"/>
      </c>
      <c r="CE36" s="651">
        <f t="shared" si="49"/>
      </c>
      <c r="CF36" s="651">
        <f t="shared" si="49"/>
      </c>
      <c r="CG36" s="651">
        <f t="shared" si="49"/>
      </c>
      <c r="CH36" s="651">
        <f t="shared" si="49"/>
      </c>
      <c r="CI36" s="652">
        <f t="shared" si="49"/>
      </c>
      <c r="CJ36" s="651">
        <f t="shared" si="49"/>
      </c>
      <c r="CK36" s="651">
        <f t="shared" si="49"/>
      </c>
      <c r="CL36" s="651">
        <f t="shared" si="49"/>
      </c>
      <c r="CM36" s="651">
        <f t="shared" si="49"/>
      </c>
      <c r="CN36" s="652">
        <f t="shared" si="49"/>
      </c>
      <c r="CO36" s="651">
        <f t="shared" si="49"/>
      </c>
      <c r="CP36" s="651">
        <f t="shared" si="49"/>
      </c>
      <c r="CQ36" s="651">
        <f t="shared" si="49"/>
      </c>
      <c r="CR36" s="651">
        <f t="shared" si="49"/>
      </c>
      <c r="CS36" s="652">
        <f t="shared" si="49"/>
      </c>
      <c r="CT36" s="651">
        <f t="shared" si="49"/>
      </c>
      <c r="CU36" s="651">
        <f t="shared" si="49"/>
      </c>
      <c r="CV36" s="651">
        <f t="shared" si="49"/>
      </c>
      <c r="CW36" s="651">
        <f t="shared" si="49"/>
      </c>
      <c r="CX36" s="652">
        <f t="shared" si="49"/>
      </c>
      <c r="CY36" s="651">
        <f t="shared" si="49"/>
      </c>
      <c r="CZ36" s="651">
        <f t="shared" si="49"/>
      </c>
      <c r="DA36" s="651">
        <f t="shared" si="49"/>
      </c>
      <c r="DB36" s="651">
        <f t="shared" si="49"/>
      </c>
      <c r="DC36" s="652">
        <f t="shared" si="49"/>
      </c>
      <c r="DD36" s="651">
        <f t="shared" si="49"/>
      </c>
      <c r="DE36" s="651">
        <f t="shared" si="49"/>
      </c>
      <c r="DF36" s="651">
        <f t="shared" si="49"/>
      </c>
      <c r="DG36" s="651">
        <f t="shared" si="49"/>
      </c>
      <c r="DH36" s="652">
        <f t="shared" si="49"/>
      </c>
      <c r="DI36" s="651">
        <f t="shared" si="49"/>
      </c>
      <c r="DJ36" s="651">
        <f t="shared" si="49"/>
      </c>
      <c r="DK36" s="651">
        <f t="shared" si="49"/>
      </c>
      <c r="DL36" s="651">
        <f t="shared" si="49"/>
      </c>
      <c r="DM36" s="652">
        <f t="shared" si="49"/>
      </c>
      <c r="DN36" s="651">
        <f t="shared" si="49"/>
      </c>
      <c r="DO36" s="651">
        <f t="shared" si="49"/>
      </c>
      <c r="DP36" s="651">
        <f t="shared" si="49"/>
      </c>
      <c r="DQ36" s="651">
        <f t="shared" si="49"/>
      </c>
      <c r="DR36" s="652">
        <f t="shared" si="49"/>
      </c>
      <c r="DS36" s="651">
        <f t="shared" si="49"/>
      </c>
      <c r="DT36" s="651">
        <f t="shared" si="49"/>
      </c>
      <c r="DU36" s="651">
        <f t="shared" si="49"/>
      </c>
      <c r="DV36" s="651">
        <f t="shared" si="49"/>
      </c>
      <c r="DW36" s="652">
        <f t="shared" si="49"/>
      </c>
      <c r="DX36" s="651">
        <f t="shared" si="49"/>
      </c>
      <c r="DY36" s="651">
        <f t="shared" si="49"/>
      </c>
      <c r="DZ36" s="651">
        <f t="shared" si="49"/>
      </c>
      <c r="EA36" s="651">
        <f t="shared" si="49"/>
      </c>
      <c r="EB36" s="652">
        <f t="shared" si="49"/>
      </c>
      <c r="EC36" s="651">
        <f t="shared" si="49"/>
      </c>
      <c r="ED36" s="651">
        <f t="shared" ref="ED36:EO36" si="50">IFERROR(ED35/DY35-1,"")</f>
      </c>
      <c r="EE36" s="651">
        <f t="shared" si="50"/>
      </c>
      <c r="EF36" s="651">
        <f t="shared" si="50"/>
      </c>
      <c r="EG36" s="652">
        <f t="shared" si="50"/>
      </c>
      <c r="EH36" s="651">
        <f t="shared" si="50"/>
      </c>
      <c r="EI36" s="651">
        <f t="shared" si="50"/>
      </c>
      <c r="EJ36" s="651">
        <f t="shared" si="50"/>
      </c>
      <c r="EK36" s="651">
        <f t="shared" si="50"/>
      </c>
      <c r="EL36" s="652">
        <f t="shared" si="50"/>
      </c>
      <c r="EM36" s="651">
        <f t="shared" si="50"/>
      </c>
      <c r="EN36" s="651">
        <f t="shared" si="50"/>
      </c>
      <c r="EO36" s="651">
        <f t="shared" si="50"/>
      </c>
      <c r="EP36" s="651">
        <f>IFERROR(EP35/EK35-1,"")</f>
      </c>
      <c r="EQ36" s="647"/>
      <c r="ER36" s="651">
        <f>IFERROR(ER35/EM35-1,"")</f>
      </c>
      <c r="ES36" s="651">
        <f>IFERROR(ES35/EN35-1,"")</f>
      </c>
      <c r="ET36" s="651">
        <f>IFERROR(ET35/EO35-1,"")</f>
      </c>
      <c r="EU36" s="651">
        <f>IFERROR(EU35/EP35-1,"")</f>
      </c>
      <c r="EV36" s="647"/>
      <c r="EW36" s="651">
        <f>IFERROR(EW35/ER35-1,"")</f>
      </c>
      <c r="EX36" s="651">
        <f>IFERROR(EX35/ES35-1,"")</f>
      </c>
      <c r="EY36" s="651">
        <f>IFERROR(EY35/ET35-1,"")</f>
      </c>
      <c r="EZ36" s="651">
        <f>IFERROR(EZ35/EU35-1,"")</f>
      </c>
      <c r="FA36" s="647"/>
      <c r="FB36" s="687">
        <v>0.1031</v>
      </c>
      <c r="FC36" s="687">
        <f>FB36</f>
      </c>
      <c r="FD36" s="687">
        <f>FC36</f>
      </c>
      <c r="FE36" s="687">
        <f>FD36</f>
      </c>
      <c r="FF36" s="647"/>
      <c r="FG36" s="687">
        <v>0.1031</v>
      </c>
      <c r="FH36" s="687">
        <f>FG36</f>
      </c>
      <c r="FI36" s="687">
        <f>FH36</f>
      </c>
      <c r="FJ36" s="687">
        <f>FI36</f>
      </c>
      <c r="FK36" s="647"/>
      <c r="FL36" s="687">
        <v>0.1031</v>
      </c>
      <c r="FM36" s="687">
        <f>FL36</f>
      </c>
      <c r="FN36" s="687">
        <f>FM36</f>
      </c>
      <c r="FO36" s="687">
        <f>FN36</f>
      </c>
      <c r="FP36" s="647"/>
      <c r="FQ36" s="687">
        <v>0.1031</v>
      </c>
      <c r="FR36" s="687">
        <f>FQ36</f>
      </c>
      <c r="FS36" s="687">
        <f>FR36</f>
      </c>
      <c r="FT36" s="687">
        <f>FS36</f>
      </c>
      <c r="FU36" s="647"/>
      <c r="FV36" s="687">
        <v>0.1031</v>
      </c>
      <c r="FW36" s="687">
        <f>FV36</f>
      </c>
      <c r="FX36" s="687">
        <f>FW36</f>
      </c>
      <c r="FY36" s="687">
        <f>FX36</f>
      </c>
      <c r="FZ36" s="647"/>
      <c r="GA36" s="687">
        <v>0.1031</v>
      </c>
      <c r="GB36" s="687">
        <f>GA36</f>
      </c>
      <c r="GC36" s="687">
        <f>GB36</f>
      </c>
      <c r="GD36" s="687">
        <f>GC36</f>
      </c>
      <c r="GE36" s="647"/>
      <c r="GF36" s="687">
        <v>0.1031</v>
      </c>
      <c r="GG36" s="687">
        <f>GF36</f>
      </c>
      <c r="GH36" s="687">
        <f>GG36</f>
      </c>
      <c r="GI36" s="687">
        <f>GH36</f>
      </c>
      <c r="GJ36" s="647"/>
    </row>
    <row r="37" spans="1:192" customFormat="1" ht="12.6" customHeight="1">
      <c r="B37" s="676" t="s">
        <v>302</v>
      </c>
      <c r="C37" s="671" t="str">
        <f>IFERROR((C35*4)/C31, "")</f>
      </c>
      <c r="D37" s="671" t="str">
        <f>IFERROR((D35*4)/D31, "")</f>
      </c>
      <c r="E37" s="671" t="str">
        <f>IFERROR((E35*4)/E31, "")</f>
      </c>
      <c r="F37" s="671" t="str">
        <f>IFERROR((F35*4)/F31, "")</f>
      </c>
      <c r="G37" s="1143" t="str">
        <f>IFERROR((G35)/G31, "")</f>
      </c>
      <c r="H37" s="671" t="str">
        <f>IFERROR((H35*4)/H31, "")</f>
      </c>
      <c r="I37" s="671" t="str">
        <f>IFERROR((I35*4)/I31, "")</f>
      </c>
      <c r="J37" s="671" t="str">
        <f>IFERROR((J35*4)/J31, "")</f>
      </c>
      <c r="K37" s="671" t="str">
        <f>IFERROR((K35*4)/K31, "")</f>
      </c>
      <c r="L37" s="1143" t="str">
        <f>IFERROR((L35)/L31, "")</f>
      </c>
      <c r="M37" s="671" t="str">
        <f>IFERROR((M35*4)/M31, "")</f>
      </c>
      <c r="N37" s="671" t="str">
        <f>IFERROR((N35*4)/N31, "")</f>
      </c>
      <c r="O37" s="671" t="str">
        <f>IFERROR((O35*4)/O31, "")</f>
      </c>
      <c r="P37" s="671" t="str">
        <f>IFERROR((P35*4)/P31, "")</f>
      </c>
      <c r="Q37" s="1143" t="str">
        <f>IFERROR((Q35)/Q31, "")</f>
      </c>
      <c r="R37" s="671" t="str">
        <f>IFERROR((R35*4)/R31, "")</f>
      </c>
      <c r="S37" s="671" t="str">
        <f>IFERROR((S35*4)/S31, "")</f>
      </c>
      <c r="T37" s="671" t="str">
        <f>IFERROR((T35*4)/T31, "")</f>
      </c>
      <c r="U37" s="671" t="str">
        <f>IFERROR((U35*4)/U31, "")</f>
      </c>
      <c r="V37" s="1143" t="str">
        <f>IFERROR((V35)/V31, "")</f>
      </c>
      <c r="W37" s="671" t="str">
        <f>IFERROR((W35*4)/W31, "")</f>
      </c>
      <c r="X37" s="671" t="str">
        <f>IFERROR((X35*4)/X31, "")</f>
      </c>
      <c r="Y37" s="671" t="str">
        <f>IFERROR((Y35*4)/Y31, "")</f>
      </c>
      <c r="Z37" s="671" t="str">
        <f>IFERROR((Z35*4)/Z31, "")</f>
      </c>
      <c r="AA37" s="1143" t="str">
        <f>IFERROR((AA35)/AA31, "")</f>
      </c>
      <c r="AB37" s="671" t="str">
        <f>IFERROR((AB35*4)/AB31, "")</f>
      </c>
      <c r="AC37" s="671" t="str">
        <f>IFERROR((AC35*4)/AC31, "")</f>
      </c>
      <c r="AD37" s="671" t="str">
        <f>IFERROR((AD35*4)/AD31, "")</f>
      </c>
      <c r="AE37" s="671" t="str">
        <f>IFERROR((AE35*4)/AE31, "")</f>
      </c>
      <c r="AF37" s="1143" t="str">
        <f>IFERROR((AF35)/AF31, "")</f>
      </c>
      <c r="AG37" s="671" t="str">
        <f>IFERROR((AG35*4)/AG31, "")</f>
      </c>
      <c r="AH37" s="671" t="str">
        <f>IFERROR((AH35*4)/AH31, "")</f>
      </c>
      <c r="AI37" s="671" t="str">
        <f>IFERROR((AI35*4)/AI31, "")</f>
      </c>
      <c r="AJ37" s="671" t="str">
        <f>IFERROR((AJ35*4)/AJ31, "")</f>
      </c>
      <c r="AK37" s="1143" t="str">
        <f>IFERROR((AK35)/AK31, "")</f>
      </c>
      <c r="AL37" s="671" t="str">
        <f>IFERROR((AL35*4)/AL31, "")</f>
      </c>
      <c r="AM37" s="671" t="str">
        <f>IFERROR((AM35*4)/AM31, "")</f>
      </c>
      <c r="AN37" s="671" t="str">
        <f>IFERROR((AN35*4)/AN31, "")</f>
      </c>
      <c r="AO37" s="671" t="str">
        <f>IFERROR((AO35*4)/AO31, "")</f>
      </c>
      <c r="AP37" s="1143" t="str">
        <f>IFERROR((AP35)/AP31, "")</f>
      </c>
      <c r="AQ37" s="671" t="str">
        <f>IFERROR((AQ35*4)/AQ31, "")</f>
      </c>
      <c r="AR37" s="671" t="str">
        <f>IFERROR((AR35*4)/AR31, "")</f>
      </c>
      <c r="AS37" s="671" t="str">
        <f>IFERROR((AS35*4)/AS31, "")</f>
      </c>
      <c r="AT37" s="671" t="str">
        <f>IFERROR((AT35*4)/AT31, "")</f>
      </c>
      <c r="AU37" s="1143" t="str">
        <f>IFERROR((AU35)/AU31, "")</f>
      </c>
      <c r="AV37" s="671" t="str">
        <f>IFERROR((AV35*4)/AV31, "")</f>
      </c>
      <c r="AW37" s="671" t="str">
        <f>IFERROR((AW35*4)/AW31, "")</f>
      </c>
      <c r="AX37" s="671" t="str">
        <f>IFERROR((AX35*4)/AX31, "")</f>
      </c>
      <c r="AY37" s="671" t="str">
        <f>IFERROR((AY35*4)/AY31, "")</f>
      </c>
      <c r="AZ37" s="1143" t="str">
        <f>IFERROR((AZ35)/AZ31, "")</f>
      </c>
      <c r="BA37" s="671" t="str">
        <f>IFERROR((BA35*4)/BA31, "")</f>
      </c>
      <c r="BB37" s="671" t="str">
        <f>IFERROR((BB35*4)/BB31, "")</f>
      </c>
      <c r="BC37" s="671" t="str">
        <f>IFERROR((BC35*4)/BC31, "")</f>
      </c>
      <c r="BD37" s="671" t="str">
        <f>IFERROR((BD35*4)/BD31, "")</f>
      </c>
      <c r="BE37" s="1143" t="str">
        <f>IFERROR((BE35)/BE31, "")</f>
      </c>
      <c r="BF37" s="671" t="str">
        <f>IFERROR((BF35*4)/BF31, "")</f>
      </c>
      <c r="BG37" s="671" t="str">
        <f>IFERROR((BG35*4)/BG31, "")</f>
      </c>
      <c r="BH37" s="671" t="str">
        <f>IFERROR((BH35*4)/BH31, "")</f>
      </c>
      <c r="BI37" s="671" t="str">
        <f>IFERROR((BI35*4)/BI31, "")</f>
      </c>
      <c r="BJ37" s="1143" t="str">
        <f>IFERROR((BJ35)/BJ31, "")</f>
      </c>
      <c r="BK37" s="671" t="str">
        <f>IFERROR((BK35*4)/BK31, "")</f>
      </c>
      <c r="BL37" s="671" t="str">
        <f>IFERROR((BL35*4)/BL31, "")</f>
      </c>
      <c r="BM37" s="671" t="str">
        <f>IFERROR((BM35*4)/BM31, "")</f>
      </c>
      <c r="BN37" s="671" t="str">
        <f>IFERROR((BN35*4)/BN31, "")</f>
      </c>
      <c r="BO37" s="1143" t="str">
        <f>IFERROR((BO35)/BO31, "")</f>
      </c>
      <c r="BP37" s="671" t="str">
        <f>IFERROR((BP35*4)/BP31, "")</f>
      </c>
      <c r="BQ37" s="671" t="str">
        <f>IFERROR((BQ35*4)/BQ31, "")</f>
      </c>
      <c r="BR37" s="671" t="str">
        <f>IFERROR((BR35*4)/BR31, "")</f>
      </c>
      <c r="BS37" s="671" t="str">
        <f>IFERROR((BS35*4)/BS31, "")</f>
      </c>
      <c r="BT37" s="1143" t="str">
        <f>IFERROR((BT35)/BT31, "")</f>
      </c>
      <c r="BU37" s="671" t="str">
        <f>IFERROR((BU35*4)/BU31, "")</f>
      </c>
      <c r="BV37" s="671" t="str">
        <f>IFERROR((BV35*4)/BV31, "")</f>
      </c>
      <c r="BW37" s="671" t="str">
        <f>IFERROR((BW35*4)/BW31, "")</f>
      </c>
      <c r="BX37" s="671" t="str">
        <f>IFERROR((BX35*4)/BX31, "")</f>
      </c>
      <c r="BY37" s="1143" t="str">
        <f>IFERROR((BY35)/BY31, "")</f>
      </c>
      <c r="BZ37" s="671" t="str">
        <f>IFERROR((BZ35*4)/BZ31, "")</f>
      </c>
      <c r="CA37" s="671" t="str">
        <f>IFERROR((CA35*4)/CA31, "")</f>
      </c>
      <c r="CB37" s="671" t="str">
        <f>IFERROR((CB35*4)/CB31, "")</f>
      </c>
      <c r="CC37" s="671" t="str">
        <f>IFERROR((CC35*4)/CC31, "")</f>
      </c>
      <c r="CD37" s="1143" t="str">
        <f>IFERROR((CD35)/CD31, "")</f>
      </c>
      <c r="CE37" s="671" t="str">
        <f>IFERROR((CE35*4)/CE31, "")</f>
      </c>
      <c r="CF37" s="671" t="str">
        <f>IFERROR((CF35*4)/CF31, "")</f>
      </c>
      <c r="CG37" s="671" t="str">
        <f>IFERROR((CG35*4)/CG31, "")</f>
      </c>
      <c r="CH37" s="671" t="str">
        <f>IFERROR((CH35*4)/CH31, "")</f>
      </c>
      <c r="CI37" s="1143" t="str">
        <f>IFERROR((CI35)/CI31, "")</f>
      </c>
      <c r="CJ37" s="671" t="str">
        <f>IFERROR((CJ35*4)/CJ31, "")</f>
      </c>
      <c r="CK37" s="671" t="str">
        <f>IFERROR((CK35*4)/CK31, "")</f>
      </c>
      <c r="CL37" s="671" t="str">
        <f>IFERROR((CL35*4)/CL31, "")</f>
      </c>
      <c r="CM37" s="671" t="str">
        <f>IFERROR((CM35*4)/CM31, "")</f>
      </c>
      <c r="CN37" s="1143" t="str">
        <f>IFERROR((CN35)/CN31, "")</f>
      </c>
      <c r="CO37" s="671" t="str">
        <f>IFERROR((CO35*4)/CO31, "")</f>
      </c>
      <c r="CP37" s="671" t="str">
        <f>IFERROR((CP35*4)/CP31, "")</f>
      </c>
      <c r="CQ37" s="671" t="str">
        <f>IFERROR((CQ35*4)/CQ31, "")</f>
      </c>
      <c r="CR37" s="671" t="str">
        <f>IFERROR((CR35*4)/CR31, "")</f>
      </c>
      <c r="CS37" s="1143" t="str">
        <f>IFERROR((CS35)/CS31, "")</f>
      </c>
      <c r="CT37" s="671" t="str">
        <f>IFERROR((CT35*4)/CT31, "")</f>
      </c>
      <c r="CU37" s="671" t="str">
        <f>IFERROR((CU35*4)/CU31, "")</f>
      </c>
      <c r="CV37" s="671" t="str">
        <f>IFERROR((CV35*4)/CV31, "")</f>
      </c>
      <c r="CW37" s="671" t="str">
        <f>IFERROR((CW35*4)/CW31, "")</f>
      </c>
      <c r="CX37" s="1143" t="str">
        <f>IFERROR((CX35)/CX31, "")</f>
      </c>
      <c r="CY37" s="671" t="str">
        <f>IFERROR((CY35*4)/CY31, "")</f>
      </c>
      <c r="CZ37" s="671" t="str">
        <f>IFERROR((CZ35*4)/CZ31, "")</f>
      </c>
      <c r="DA37" s="671" t="str">
        <f>IFERROR((DA35*4)/DA31, "")</f>
      </c>
      <c r="DB37" s="671" t="str">
        <f>IFERROR((DB35*4)/DB31, "")</f>
      </c>
      <c r="DC37" s="1143" t="str">
        <f>IFERROR((DC35)/DC31, "")</f>
      </c>
      <c r="DD37" s="671" t="str">
        <f>IFERROR((DD35*4)/DD31, "")</f>
      </c>
      <c r="DE37" s="671" t="str">
        <f>IFERROR((DE35*4)/DE31, "")</f>
      </c>
      <c r="DF37" s="671" t="str">
        <f>IFERROR((DF35*4)/DF31, "")</f>
      </c>
      <c r="DG37" s="671" t="str">
        <f>IFERROR((DG35*4)/DG31, "")</f>
      </c>
      <c r="DH37" s="1143" t="str">
        <f>IFERROR((DH35)/DH31, "")</f>
      </c>
      <c r="DI37" s="671" t="str">
        <f>IFERROR((DI35*4)/DI31, "")</f>
      </c>
      <c r="DJ37" s="671" t="str">
        <f>IFERROR((DJ35*4)/DJ31, "")</f>
      </c>
      <c r="DK37" s="671" t="str">
        <f>IFERROR((DK35*4)/DK31, "")</f>
      </c>
      <c r="DL37" s="671" t="str">
        <f>IFERROR((DL35*4)/DL31, "")</f>
      </c>
      <c r="DM37" s="1143" t="str">
        <f>IFERROR((DM35)/DM31, "")</f>
      </c>
      <c r="DN37" s="671" t="str">
        <f>IFERROR((DN35*4)/DN31, "")</f>
      </c>
      <c r="DO37" s="671" t="str">
        <f>IFERROR((DO35*4)/DO31, "")</f>
      </c>
      <c r="DP37" s="671" t="str">
        <f>IFERROR((DP35*4)/DP31, "")</f>
      </c>
      <c r="DQ37" s="671" t="str">
        <f>IFERROR((DQ35*4)/DQ31, "")</f>
      </c>
      <c r="DR37" s="1143" t="str">
        <f>IFERROR((DR35)/DR31, "")</f>
      </c>
      <c r="DS37" s="671" t="str">
        <f>IFERROR((DS35*4)/DS31, "")</f>
      </c>
      <c r="DT37" s="671" t="str">
        <f>IFERROR((DT35*4)/DT31, "")</f>
      </c>
      <c r="DU37" s="671" t="str">
        <f>IFERROR((DU35*4)/DU31, "")</f>
      </c>
      <c r="DV37" s="671" t="str">
        <f>IFERROR((DV35*4)/DV31, "")</f>
      </c>
      <c r="DW37" s="1143" t="str">
        <f>IFERROR((DW35)/DW31, "")</f>
      </c>
      <c r="DX37" s="671" t="str">
        <f>IFERROR((DX35*4)/DX31, "")</f>
      </c>
      <c r="DY37" s="671" t="str">
        <f>IFERROR((DY35*4)/DY31, "")</f>
      </c>
      <c r="DZ37" s="671" t="str">
        <f>IFERROR((DZ35*4)/DZ31, "")</f>
      </c>
      <c r="EA37" s="671" t="str">
        <f>IFERROR((EA35*4)/EA31, "")</f>
      </c>
      <c r="EB37" s="1143" t="str">
        <f>IFERROR((EB35)/EB31, "")</f>
      </c>
      <c r="EC37" s="671">
        <f>IFERROR((EC35*4)/EC31, "")</f>
      </c>
      <c r="ED37" s="671">
        <f>IFERROR((ED35*4)/ED31, "")</f>
      </c>
      <c r="EE37" s="671">
        <f>IFERROR((EE35*4)/EE31, "")</f>
      </c>
      <c r="EF37" s="671">
        <f>IFERROR((EF35*4)/EF31, "")</f>
      </c>
      <c r="EG37" s="1143">
        <f>IFERROR((EG35)/EG31, "")</f>
      </c>
      <c r="EH37" s="671">
        <f>IFERROR((EH35*4)/EH31, "")</f>
      </c>
      <c r="EI37" s="671">
        <f>IFERROR((EI35*4)/EI31, "")</f>
      </c>
      <c r="EJ37" s="671">
        <f>IFERROR((EJ35*4)/EJ31, "")</f>
      </c>
      <c r="EK37" s="671">
        <f>IFERROR((EK35*4)/EK31, "")</f>
      </c>
      <c r="EL37" s="1143">
        <f>IFERROR((EL35)/EL31, "")</f>
      </c>
      <c r="EM37" s="671">
        <f>IFERROR((EM35*4)/EM31, "")</f>
      </c>
      <c r="EN37" s="671">
        <f>IFERROR((EN35*4)/EN31, "")</f>
      </c>
      <c r="EO37" s="671">
        <f>IFERROR((EO35*4)/EO31, "")</f>
      </c>
      <c r="EP37" s="671">
        <f>IFERROR((EP35*4)/EP31, "")</f>
      </c>
      <c r="EQ37" s="1143">
        <f>IFERROR((EQ35)/EQ31, "")</f>
      </c>
      <c r="ER37" s="671">
        <f>IFERROR((ER35*4)/ER31, "")</f>
      </c>
      <c r="ES37" s="671">
        <f>IFERROR((ES35*4)/ES31, "")</f>
      </c>
      <c r="ET37" s="671">
        <f>IFERROR((ET35*4)/ET31, "")</f>
      </c>
      <c r="EU37" s="671">
        <f>IFERROR((EU35*4)/EU31, "")</f>
      </c>
      <c r="EV37" s="1143">
        <f>IFERROR((EV35)/EV31, "")</f>
      </c>
      <c r="EW37" s="671">
        <f>IFERROR((EW35*4)/EW31, "")</f>
      </c>
      <c r="EX37" s="671">
        <f>IFERROR((EX35*4)/EX31, "")</f>
      </c>
      <c r="EY37" s="671">
        <f>IFERROR((EY35*4)/EY31, "")</f>
      </c>
      <c r="EZ37" s="671">
        <f>IFERROR((EZ35*4)/EZ31, "")</f>
      </c>
      <c r="FA37" s="1143">
        <f>IFERROR((FA35)/FA31, "")</f>
      </c>
      <c r="FB37" s="671">
        <f>IFERROR((FB35*4)/FB31, "")</f>
      </c>
      <c r="FC37" s="671">
        <f>IFERROR((FC35*4)/FC31, "")</f>
      </c>
      <c r="FD37" s="671">
        <f>IFERROR((FD35*4)/FD31, "")</f>
      </c>
      <c r="FE37" s="671">
        <f>IFERROR((FE35*4)/FE31, "")</f>
      </c>
      <c r="FF37" s="1143">
        <f>IFERROR((FF35)/FF31, "")</f>
      </c>
      <c r="FG37" s="671">
        <f>IFERROR((FG35*4)/FG31, "")</f>
      </c>
      <c r="FH37" s="671">
        <f>IFERROR((FH35*4)/FH31, "")</f>
      </c>
      <c r="FI37" s="671">
        <f>IFERROR((FI35*4)/FI31, "")</f>
      </c>
      <c r="FJ37" s="671">
        <f>IFERROR((FJ35*4)/FJ31, "")</f>
      </c>
      <c r="FK37" s="1143">
        <f>IFERROR((FK35)/FK31, "")</f>
      </c>
      <c r="FL37" s="671">
        <f>IFERROR((FL35*4)/FL31, "")</f>
      </c>
      <c r="FM37" s="671">
        <f>IFERROR((FM35*4)/FM31, "")</f>
      </c>
      <c r="FN37" s="671">
        <f>IFERROR((FN35*4)/FN31, "")</f>
      </c>
      <c r="FO37" s="671">
        <f>IFERROR((FO35*4)/FO31, "")</f>
      </c>
      <c r="FP37" s="1143">
        <f>IFERROR((FP35)/FP31, "")</f>
      </c>
      <c r="FQ37" s="671">
        <f>IFERROR((FQ35*4)/FQ31, "")</f>
      </c>
      <c r="FR37" s="671">
        <f>IFERROR((FR35*4)/FR31, "")</f>
      </c>
      <c r="FS37" s="671">
        <f>IFERROR((FS35*4)/FS31, "")</f>
      </c>
      <c r="FT37" s="671">
        <f>IFERROR((FT35*4)/FT31, "")</f>
      </c>
      <c r="FU37" s="1143">
        <f>IFERROR((FU35)/FU31, "")</f>
      </c>
      <c r="FV37" s="671">
        <f>IFERROR((FV35*4)/FV31, "")</f>
      </c>
      <c r="FW37" s="671">
        <f>IFERROR((FW35*4)/FW31, "")</f>
      </c>
      <c r="FX37" s="671">
        <f>IFERROR((FX35*4)/FX31, "")</f>
      </c>
      <c r="FY37" s="671">
        <f>IFERROR((FY35*4)/FY31, "")</f>
      </c>
      <c r="FZ37" s="1143">
        <f>IFERROR((FZ35)/FZ31, "")</f>
      </c>
      <c r="GA37" s="671">
        <f>IFERROR((GA35*4)/GA31, "")</f>
      </c>
      <c r="GB37" s="671">
        <f>IFERROR((GB35*4)/GB31, "")</f>
      </c>
      <c r="GC37" s="671">
        <f>IFERROR((GC35*4)/GC31, "")</f>
      </c>
      <c r="GD37" s="671">
        <f>IFERROR((GD35*4)/GD31, "")</f>
      </c>
      <c r="GE37" s="1143">
        <f>IFERROR((GE35)/GE31, "")</f>
      </c>
      <c r="GF37" s="671">
        <f>IFERROR((GF35*4)/GF31, "")</f>
      </c>
      <c r="GG37" s="671">
        <f>IFERROR((GG35*4)/GG31, "")</f>
      </c>
      <c r="GH37" s="671">
        <f>IFERROR((GH35*4)/GH31, "")</f>
      </c>
      <c r="GI37" s="671">
        <f>IFERROR((GI35*4)/GI31, "")</f>
      </c>
      <c r="GJ37" s="1143">
        <f>IFERROR((GJ35)/GJ31, "")</f>
      </c>
    </row>
    <row r="38" spans="1:192" customFormat="1" ht="12.6" customHeight="1">
      <c r="B38" s="676"/>
      <c r="C38" s="671"/>
      <c r="D38" s="671"/>
      <c r="E38" s="671"/>
      <c r="F38" s="671"/>
      <c r="G38" s="1143"/>
      <c r="H38" s="671"/>
      <c r="I38" s="671"/>
      <c r="J38" s="671"/>
      <c r="K38" s="671"/>
      <c r="L38" s="1143"/>
      <c r="M38" s="671"/>
      <c r="N38" s="671"/>
      <c r="O38" s="671"/>
      <c r="P38" s="671"/>
      <c r="Q38" s="1143"/>
      <c r="R38" s="671"/>
      <c r="S38" s="671"/>
      <c r="T38" s="671"/>
      <c r="U38" s="671"/>
      <c r="V38" s="1143"/>
      <c r="W38" s="671"/>
      <c r="X38" s="671"/>
      <c r="Y38" s="671"/>
      <c r="Z38" s="671"/>
      <c r="AA38" s="1143"/>
      <c r="AB38" s="671"/>
      <c r="AC38" s="671"/>
      <c r="AD38" s="671"/>
      <c r="AE38" s="671"/>
      <c r="AF38" s="1143"/>
      <c r="AG38" s="671"/>
      <c r="AH38" s="671"/>
      <c r="AI38" s="671"/>
      <c r="AJ38" s="671"/>
      <c r="AK38" s="1143"/>
      <c r="AL38" s="671"/>
      <c r="AM38" s="671"/>
      <c r="AN38" s="671"/>
      <c r="AO38" s="671"/>
      <c r="AP38" s="1143"/>
      <c r="AQ38" s="671"/>
      <c r="AR38" s="671"/>
      <c r="AS38" s="671"/>
      <c r="AT38" s="671"/>
      <c r="AU38" s="1143"/>
      <c r="AV38" s="671"/>
      <c r="AW38" s="671"/>
      <c r="AX38" s="671"/>
      <c r="AY38" s="671"/>
      <c r="AZ38" s="1143"/>
      <c r="BA38" s="671"/>
      <c r="BB38" s="671"/>
      <c r="BC38" s="671"/>
      <c r="BD38" s="671"/>
      <c r="BE38" s="1143"/>
      <c r="BF38" s="671"/>
      <c r="BG38" s="671"/>
      <c r="BH38" s="671"/>
      <c r="BI38" s="671"/>
      <c r="BJ38" s="1143"/>
      <c r="BK38" s="671"/>
      <c r="BL38" s="671"/>
      <c r="BM38" s="671"/>
      <c r="BN38" s="671"/>
      <c r="BO38" s="1143"/>
      <c r="BP38" s="671"/>
      <c r="BQ38" s="671"/>
      <c r="BR38" s="671"/>
      <c r="BS38" s="671"/>
      <c r="BT38" s="1143"/>
      <c r="BU38" s="671"/>
      <c r="BV38" s="671"/>
      <c r="BW38" s="671"/>
      <c r="BX38" s="671"/>
      <c r="BY38" s="1143"/>
      <c r="BZ38" s="671"/>
      <c r="CA38" s="671"/>
      <c r="CB38" s="671"/>
      <c r="CC38" s="671"/>
      <c r="CD38" s="1143"/>
      <c r="CE38" s="671"/>
      <c r="CF38" s="671"/>
      <c r="CG38" s="671"/>
      <c r="CH38" s="671"/>
      <c r="CI38" s="1143"/>
      <c r="CJ38" s="671"/>
      <c r="CK38" s="671"/>
      <c r="CL38" s="671"/>
      <c r="CM38" s="671"/>
      <c r="CN38" s="1143"/>
      <c r="CO38" s="671"/>
      <c r="CP38" s="671"/>
      <c r="CQ38" s="671"/>
      <c r="CR38" s="671"/>
      <c r="CS38" s="1143"/>
      <c r="CT38" s="671"/>
      <c r="CU38" s="671"/>
      <c r="CV38" s="671"/>
      <c r="CW38" s="671"/>
      <c r="CX38" s="1143"/>
      <c r="CY38" s="671"/>
      <c r="CZ38" s="671"/>
      <c r="DA38" s="671"/>
      <c r="DB38" s="671"/>
      <c r="DC38" s="1143"/>
      <c r="DD38" s="671"/>
      <c r="DE38" s="671"/>
      <c r="DF38" s="671"/>
      <c r="DG38" s="671"/>
      <c r="DH38" s="1143"/>
      <c r="DI38" s="671"/>
      <c r="DJ38" s="671"/>
      <c r="DK38" s="671"/>
      <c r="DL38" s="671"/>
      <c r="DM38" s="1143"/>
      <c r="DN38" s="671"/>
      <c r="DO38" s="671"/>
      <c r="DP38" s="671"/>
      <c r="DQ38" s="671"/>
      <c r="DR38" s="1143"/>
      <c r="DS38" s="671"/>
      <c r="DT38" s="671"/>
      <c r="DU38" s="671"/>
      <c r="DV38" s="671"/>
      <c r="DW38" s="1143"/>
      <c r="DX38" s="671"/>
      <c r="DY38" s="671"/>
      <c r="DZ38" s="671"/>
      <c r="EA38" s="671"/>
      <c r="EB38" s="1143"/>
      <c r="EC38" s="671"/>
      <c r="ED38" s="671"/>
      <c r="EE38" s="671"/>
      <c r="EF38" s="671"/>
      <c r="EG38" s="1143"/>
      <c r="EH38" s="671"/>
      <c r="EI38" s="671"/>
      <c r="EJ38" s="671"/>
      <c r="EK38" s="671"/>
      <c r="EL38" s="1143"/>
      <c r="EM38" s="671"/>
      <c r="EN38" s="671"/>
      <c r="EO38" s="671"/>
      <c r="EP38" s="671"/>
      <c r="EQ38" s="1143"/>
      <c r="ER38" s="671"/>
      <c r="ES38" s="671"/>
      <c r="ET38" s="671"/>
      <c r="EU38" s="671"/>
      <c r="EV38" s="1143"/>
      <c r="EW38" s="671"/>
      <c r="EX38" s="671"/>
      <c r="EY38" s="671"/>
      <c r="EZ38" s="671"/>
      <c r="FA38" s="1143"/>
      <c r="FB38" s="671"/>
      <c r="FC38" s="671"/>
      <c r="FD38" s="671"/>
      <c r="FE38" s="671"/>
      <c r="FF38" s="1143"/>
      <c r="FG38" s="671"/>
      <c r="FH38" s="671"/>
      <c r="FI38" s="671"/>
      <c r="FJ38" s="671"/>
      <c r="FK38" s="1143"/>
      <c r="FL38" s="671"/>
      <c r="FM38" s="671"/>
      <c r="FN38" s="671"/>
      <c r="FO38" s="671"/>
      <c r="FP38" s="1143"/>
      <c r="FQ38" s="671"/>
      <c r="FR38" s="671"/>
      <c r="FS38" s="671"/>
      <c r="FT38" s="671"/>
      <c r="FU38" s="1143"/>
      <c r="FV38" s="671"/>
      <c r="FW38" s="671"/>
      <c r="FX38" s="671"/>
      <c r="FY38" s="671"/>
      <c r="FZ38" s="1143"/>
      <c r="GA38" s="671"/>
      <c r="GB38" s="671"/>
      <c r="GC38" s="671"/>
      <c r="GD38" s="671"/>
      <c r="GE38" s="1143"/>
      <c r="GF38" s="671"/>
      <c r="GG38" s="671"/>
      <c r="GH38" s="671"/>
      <c r="GI38" s="671"/>
      <c r="GJ38" s="1143"/>
    </row>
    <row r="39" spans="1:192" customFormat="1" ht="12.6" customHeight="1">
      <c r="B39" s="683" t="s">
        <v>88</v>
      </c>
      <c r="C39" s="671"/>
      <c r="D39" s="671"/>
      <c r="E39" s="671"/>
      <c r="F39" s="671"/>
      <c r="G39" s="1143"/>
      <c r="H39" s="671"/>
      <c r="I39" s="671"/>
      <c r="J39" s="671"/>
      <c r="K39" s="671"/>
      <c r="L39" s="1143"/>
      <c r="M39" s="671"/>
      <c r="N39" s="671"/>
      <c r="O39" s="671"/>
      <c r="P39" s="671"/>
      <c r="Q39" s="1143"/>
      <c r="R39" s="671"/>
      <c r="S39" s="671"/>
      <c r="T39" s="671"/>
      <c r="U39" s="671"/>
      <c r="V39" s="1143"/>
      <c r="W39" s="671"/>
      <c r="X39" s="671"/>
      <c r="Y39" s="671"/>
      <c r="Z39" s="671"/>
      <c r="AA39" s="1143"/>
      <c r="AB39" s="671"/>
      <c r="AC39" s="671"/>
      <c r="AD39" s="671"/>
      <c r="AE39" s="671"/>
      <c r="AF39" s="1143"/>
      <c r="AG39" s="671"/>
      <c r="AH39" s="671"/>
      <c r="AI39" s="671"/>
      <c r="AJ39" s="671"/>
      <c r="AK39" s="1143"/>
      <c r="AL39" s="671"/>
      <c r="AM39" s="671"/>
      <c r="AN39" s="671"/>
      <c r="AO39" s="671"/>
      <c r="AP39" s="1143"/>
      <c r="AQ39" s="671"/>
      <c r="AR39" s="671"/>
      <c r="AS39" s="671"/>
      <c r="AT39" s="671"/>
      <c r="AU39" s="1143"/>
      <c r="AV39" s="671"/>
      <c r="AW39" s="671"/>
      <c r="AX39" s="671"/>
      <c r="AY39" s="671"/>
      <c r="AZ39" s="1143"/>
      <c r="BA39" s="671"/>
      <c r="BB39" s="671"/>
      <c r="BC39" s="671"/>
      <c r="BD39" s="671"/>
      <c r="BE39" s="1143"/>
      <c r="BF39" s="671"/>
      <c r="BG39" s="671"/>
      <c r="BH39" s="671"/>
      <c r="BI39" s="671"/>
      <c r="BJ39" s="1143"/>
      <c r="BK39" s="671"/>
      <c r="BL39" s="671"/>
      <c r="BM39" s="671"/>
      <c r="BN39" s="671"/>
      <c r="BO39" s="1143"/>
      <c r="BP39" s="671"/>
      <c r="BQ39" s="671"/>
      <c r="BR39" s="671"/>
      <c r="BS39" s="671"/>
      <c r="BT39" s="1143"/>
      <c r="BU39" s="671"/>
      <c r="BV39" s="671"/>
      <c r="BW39" s="671"/>
      <c r="BX39" s="671"/>
      <c r="BY39" s="1143"/>
      <c r="BZ39" s="671"/>
      <c r="CA39" s="671"/>
      <c r="CB39" s="671"/>
      <c r="CC39" s="671"/>
      <c r="CD39" s="1143"/>
      <c r="CE39" s="671"/>
      <c r="CF39" s="671"/>
      <c r="CG39" s="671"/>
      <c r="CH39" s="671"/>
      <c r="CI39" s="1143"/>
      <c r="CJ39" s="671"/>
      <c r="CK39" s="671"/>
      <c r="CL39" s="671"/>
      <c r="CM39" s="671"/>
      <c r="CN39" s="1143"/>
      <c r="CO39" s="671"/>
      <c r="CP39" s="671"/>
      <c r="CQ39" s="671"/>
      <c r="CR39" s="671"/>
      <c r="CS39" s="1143"/>
      <c r="CT39" s="671"/>
      <c r="CU39" s="671"/>
      <c r="CV39" s="671"/>
      <c r="CW39" s="671"/>
      <c r="CX39" s="1143"/>
      <c r="CY39" s="671"/>
      <c r="CZ39" s="671"/>
      <c r="DA39" s="671"/>
      <c r="DB39" s="671"/>
      <c r="DC39" s="1143"/>
      <c r="DD39" s="671"/>
      <c r="DE39" s="671"/>
      <c r="DF39" s="671"/>
      <c r="DG39" s="671"/>
      <c r="DH39" s="1143"/>
      <c r="DI39" s="671"/>
      <c r="DJ39" s="671"/>
      <c r="DK39" s="671"/>
      <c r="DL39" s="671"/>
      <c r="DM39" s="1143"/>
      <c r="DN39" s="671"/>
      <c r="DO39" s="671"/>
      <c r="DP39" s="671"/>
      <c r="DQ39" s="671"/>
      <c r="DR39" s="1143"/>
      <c r="DS39" s="671"/>
      <c r="DT39" s="671"/>
      <c r="DU39" s="671"/>
      <c r="DV39" s="671"/>
      <c r="DW39" s="1143"/>
      <c r="DX39" s="671"/>
      <c r="DY39" s="671"/>
      <c r="DZ39" s="671"/>
      <c r="EA39" s="671"/>
      <c r="EB39" s="1143"/>
      <c r="EC39" s="671"/>
      <c r="ED39" s="671"/>
      <c r="EE39" s="671"/>
      <c r="EF39" s="671"/>
      <c r="EG39" s="1143"/>
      <c r="EH39" s="671"/>
      <c r="EI39" s="671"/>
      <c r="EJ39" s="671"/>
      <c r="EK39" s="671"/>
      <c r="EL39" s="1143"/>
      <c r="EM39" s="671"/>
      <c r="EN39" s="671"/>
      <c r="EO39" s="671"/>
      <c r="EP39" s="671"/>
      <c r="EQ39" s="1143"/>
      <c r="ER39" s="671"/>
      <c r="ES39" s="671"/>
      <c r="ET39" s="671"/>
      <c r="EU39" s="671"/>
      <c r="EV39" s="1143"/>
      <c r="EW39" s="671"/>
      <c r="EX39" s="671"/>
      <c r="EY39" s="671"/>
      <c r="EZ39" s="671"/>
      <c r="FA39" s="1143"/>
      <c r="FB39" s="671"/>
      <c r="FC39" s="671"/>
      <c r="FD39" s="671"/>
      <c r="FE39" s="671"/>
      <c r="FF39" s="1143"/>
      <c r="FG39" s="671"/>
      <c r="FH39" s="671"/>
      <c r="FI39" s="671"/>
      <c r="FJ39" s="671"/>
      <c r="FK39" s="1143"/>
      <c r="FL39" s="671"/>
      <c r="FM39" s="671"/>
      <c r="FN39" s="671"/>
      <c r="FO39" s="671"/>
      <c r="FP39" s="1143"/>
      <c r="FQ39" s="671"/>
      <c r="FR39" s="671"/>
      <c r="FS39" s="671"/>
      <c r="FT39" s="671"/>
      <c r="FU39" s="1143"/>
      <c r="FV39" s="671"/>
      <c r="FW39" s="671"/>
      <c r="FX39" s="671"/>
      <c r="FY39" s="671"/>
      <c r="FZ39" s="1143"/>
      <c r="GA39" s="671"/>
      <c r="GB39" s="671"/>
      <c r="GC39" s="671"/>
      <c r="GD39" s="671"/>
      <c r="GE39" s="1143"/>
      <c r="GF39" s="671"/>
      <c r="GG39" s="671"/>
      <c r="GH39" s="671"/>
      <c r="GI39" s="671"/>
      <c r="GJ39" s="1143"/>
    </row>
    <row r="40" spans="1:192" s="374" customFormat="1" ht="12.6" hidden="1" customHeight="1" outlineLevel="1">
      <c r="B40" s="1128" t="s">
        <v>1901</v>
      </c>
      <c r="G40" s="373"/>
      <c r="L40" s="373"/>
      <c r="Q40" s="373"/>
      <c r="V40" s="373"/>
      <c r="AA40" s="373"/>
      <c r="AF40" s="373"/>
      <c r="AK40" s="373"/>
      <c r="AP40" s="373"/>
      <c r="AU40" s="373"/>
      <c r="AZ40" s="373"/>
      <c r="BE40" s="373"/>
      <c r="BJ40" s="373"/>
      <c r="BO40" s="373"/>
      <c r="BT40" s="373"/>
      <c r="BY40" s="373"/>
      <c r="CD40" s="373"/>
      <c r="CI40" s="373"/>
      <c r="CN40" s="373"/>
      <c r="CS40" s="373"/>
      <c r="CX40" s="373"/>
      <c r="DC40" s="373"/>
      <c r="DH40" s="373"/>
      <c r="DM40" s="373"/>
      <c r="DR40" s="373"/>
      <c r="DW40" s="373"/>
      <c r="EB40" s="373"/>
      <c r="EC40" s="374">
        <f>-(EC24+ED34)</f>
      </c>
      <c r="ED40" s="374">
        <f>-(ED24+EE34)</f>
      </c>
      <c r="EE40" s="374">
        <f>-(EE24+EF34)</f>
      </c>
      <c r="EF40" s="374">
        <f>-(EF24+EH34)</f>
      </c>
      <c r="EG40" s="373">
        <f>-(EG37+EG27)</f>
      </c>
      <c r="EH40" s="374">
        <f>-(EH24+EI34)</f>
      </c>
      <c r="EI40" s="374">
        <f>-(EI24+EJ34)</f>
      </c>
      <c r="EJ40" s="374">
        <f>-(EJ24+EK34)</f>
      </c>
      <c r="EK40" s="374">
        <f>-(EK24+EM34)</f>
      </c>
      <c r="EL40" s="373">
        <f>-(EL37+EL27)</f>
      </c>
      <c r="EM40" s="374">
        <f>-(EM24+EN34)</f>
      </c>
      <c r="EN40" s="374">
        <f>-(EN24+EO34)</f>
      </c>
      <c r="EO40" s="374">
        <f>-(EO24+EP34)</f>
      </c>
      <c r="EP40" s="374">
        <f>-(EP24+ER34)</f>
      </c>
      <c r="EQ40" s="373">
        <f>-(EQ37+EQ27)</f>
      </c>
      <c r="ER40" s="374">
        <f>-(ER24+ES34)</f>
      </c>
      <c r="ES40" s="374">
        <f>-(ES24+ET34)</f>
      </c>
      <c r="ET40" s="374">
        <f>-(ET24+EU34)</f>
      </c>
      <c r="EU40" s="374">
        <f>-(EU24+EW34)</f>
      </c>
      <c r="EV40" s="373">
        <f>-(EV37+EV27)</f>
      </c>
      <c r="EW40" s="374">
        <f>-(EW24+EX34)</f>
      </c>
      <c r="EX40" s="374">
        <f>-(EX24+EY34)</f>
      </c>
      <c r="EY40" s="374">
        <f>-(EY24+EZ34)</f>
      </c>
      <c r="EZ40" s="374">
        <f>-(EZ24+FB34)</f>
      </c>
      <c r="FA40" s="373">
        <f>-(FA37+FA27)</f>
      </c>
      <c r="FB40" s="374">
        <f>-(FB24+FC34)</f>
      </c>
      <c r="FC40" s="374">
        <f>-(FC24+FD34)</f>
      </c>
      <c r="FD40" s="374">
        <f>-(FD24+FE34)</f>
      </c>
      <c r="FE40" s="374">
        <f>-(FE24+FG34)</f>
      </c>
      <c r="FF40" s="373">
        <f>-(FF37+FF27)</f>
      </c>
      <c r="FG40" s="374">
        <f>-(FG24+FH34)</f>
      </c>
      <c r="FH40" s="374">
        <f>-(FH24+FI34)</f>
      </c>
      <c r="FI40" s="374">
        <f>-(FI24+FJ34)</f>
      </c>
      <c r="FJ40" s="374">
        <f>-(FJ24+FL34)</f>
      </c>
      <c r="FK40" s="373">
        <f>-(FK37+FK27)</f>
      </c>
      <c r="FL40" s="374">
        <f>-(FL24+FM34)</f>
      </c>
      <c r="FM40" s="374">
        <f>-(FM24+FN34)</f>
      </c>
      <c r="FN40" s="374">
        <f>-(FN24+FO34)</f>
      </c>
      <c r="FO40" s="374">
        <f>-(FO24+FQ34)</f>
      </c>
      <c r="FP40" s="373">
        <f>-(FP37+FP27)</f>
      </c>
      <c r="FQ40" s="374">
        <f>-(FQ24+FR34)</f>
      </c>
      <c r="FR40" s="374">
        <f>-(FR24+FS34)</f>
      </c>
      <c r="FS40" s="374">
        <f>-(FS24+FT34)</f>
      </c>
      <c r="FT40" s="374">
        <f>-(FT24+FV34)</f>
      </c>
      <c r="FU40" s="373">
        <f>-(FU37+FU27)</f>
      </c>
      <c r="FV40" s="374">
        <f>-(FV24+FW34)</f>
      </c>
      <c r="FW40" s="374">
        <f>-(FW24+FX34)</f>
      </c>
      <c r="FX40" s="374">
        <f>-(FX24+FY34)</f>
      </c>
      <c r="FY40" s="374">
        <f>-(FY24+GA34)</f>
      </c>
      <c r="FZ40" s="373">
        <f>-(FZ37+FZ27)</f>
      </c>
      <c r="GA40" s="374">
        <f>-(GA24+GB34)</f>
      </c>
      <c r="GB40" s="374">
        <f>-(GB24+GC34)</f>
      </c>
      <c r="GC40" s="374">
        <f>-(GC24+GD34)</f>
      </c>
      <c r="GD40" s="374">
        <f>-(GD24+GF34)</f>
      </c>
      <c r="GE40" s="373">
        <f>-(GE37+GE27)</f>
      </c>
      <c r="GF40" s="374">
        <f>-(GF24+GG34)</f>
      </c>
      <c r="GG40" s="374">
        <f>-(GG24+GH34)</f>
      </c>
      <c r="GH40" s="374">
        <f>-(GH24+GI34)</f>
      </c>
      <c r="GI40" s="374">
        <f>-(GI24+GK34)</f>
      </c>
      <c r="GJ40" s="373">
        <f>-(GJ37+GJ27)</f>
      </c>
    </row>
    <row r="41" spans="1:192" customFormat="1" ht="12.6" hidden="1" customHeight="1" outlineLevel="1">
      <c r="B41" s="1142" t="s">
        <v>34</v>
      </c>
      <c r="C41" s="671" t="str">
        <f>IFERROR(C40/#REF!-1,"")</f>
      </c>
      <c r="D41" s="671" t="str">
        <f>IFERROR(D40/#REF!-1,"")</f>
      </c>
      <c r="E41" s="671" t="str">
        <f>IFERROR(E40/#REF!-1,"")</f>
      </c>
      <c r="F41" s="671" t="str">
        <f t="shared" ref="F41:AK41" si="51">IFERROR(F40/A40-1,"")</f>
      </c>
      <c r="G41" s="1143" t="str">
        <f t="shared" si="51"/>
      </c>
      <c r="H41" s="671" t="str">
        <f t="shared" si="51"/>
      </c>
      <c r="I41" s="671" t="str">
        <f t="shared" si="51"/>
      </c>
      <c r="J41" s="671" t="str">
        <f t="shared" si="51"/>
      </c>
      <c r="K41" s="671" t="str">
        <f t="shared" si="51"/>
      </c>
      <c r="L41" s="1143" t="str">
        <f t="shared" si="51"/>
      </c>
      <c r="M41" s="671" t="str">
        <f t="shared" si="51"/>
      </c>
      <c r="N41" s="671" t="str">
        <f t="shared" si="51"/>
      </c>
      <c r="O41" s="671" t="str">
        <f t="shared" si="51"/>
      </c>
      <c r="P41" s="671" t="str">
        <f t="shared" si="51"/>
      </c>
      <c r="Q41" s="1143" t="str">
        <f t="shared" si="51"/>
      </c>
      <c r="R41" s="671" t="str">
        <f t="shared" si="51"/>
      </c>
      <c r="S41" s="671" t="str">
        <f t="shared" si="51"/>
      </c>
      <c r="T41" s="671" t="str">
        <f t="shared" si="51"/>
      </c>
      <c r="U41" s="671" t="str">
        <f t="shared" si="51"/>
      </c>
      <c r="V41" s="1143" t="str">
        <f t="shared" si="51"/>
      </c>
      <c r="W41" s="671" t="str">
        <f t="shared" si="51"/>
      </c>
      <c r="X41" s="671" t="str">
        <f t="shared" si="51"/>
      </c>
      <c r="Y41" s="671" t="str">
        <f t="shared" si="51"/>
      </c>
      <c r="Z41" s="671" t="str">
        <f t="shared" si="51"/>
      </c>
      <c r="AA41" s="1143" t="str">
        <f t="shared" si="51"/>
      </c>
      <c r="AB41" s="671" t="str">
        <f t="shared" si="51"/>
      </c>
      <c r="AC41" s="671" t="str">
        <f t="shared" si="51"/>
      </c>
      <c r="AD41" s="671" t="str">
        <f t="shared" si="51"/>
      </c>
      <c r="AE41" s="671" t="str">
        <f t="shared" si="51"/>
      </c>
      <c r="AF41" s="1143" t="str">
        <f t="shared" si="51"/>
      </c>
      <c r="AG41" s="671" t="str">
        <f t="shared" si="51"/>
      </c>
      <c r="AH41" s="671" t="str">
        <f t="shared" si="51"/>
      </c>
      <c r="AI41" s="671" t="str">
        <f t="shared" si="51"/>
      </c>
      <c r="AJ41" s="671" t="str">
        <f t="shared" si="51"/>
      </c>
      <c r="AK41" s="1143" t="str">
        <f t="shared" si="51"/>
      </c>
      <c r="AL41" s="671" t="str">
        <f t="shared" ref="AL41:BQ41" si="52">IFERROR(AL40/AG40-1,"")</f>
      </c>
      <c r="AM41" s="671" t="str">
        <f t="shared" si="52"/>
      </c>
      <c r="AN41" s="671" t="str">
        <f t="shared" si="52"/>
      </c>
      <c r="AO41" s="671" t="str">
        <f t="shared" si="52"/>
      </c>
      <c r="AP41" s="1143" t="str">
        <f t="shared" si="52"/>
      </c>
      <c r="AQ41" s="671" t="str">
        <f t="shared" si="52"/>
      </c>
      <c r="AR41" s="671" t="str">
        <f t="shared" si="52"/>
      </c>
      <c r="AS41" s="671" t="str">
        <f t="shared" si="52"/>
      </c>
      <c r="AT41" s="671" t="str">
        <f t="shared" si="52"/>
      </c>
      <c r="AU41" s="1143" t="str">
        <f t="shared" si="52"/>
      </c>
      <c r="AV41" s="671" t="str">
        <f t="shared" si="52"/>
      </c>
      <c r="AW41" s="671" t="str">
        <f t="shared" si="52"/>
      </c>
      <c r="AX41" s="671" t="str">
        <f t="shared" si="52"/>
      </c>
      <c r="AY41" s="671" t="str">
        <f t="shared" si="52"/>
      </c>
      <c r="AZ41" s="1143" t="str">
        <f t="shared" si="52"/>
      </c>
      <c r="BA41" s="671" t="str">
        <f t="shared" si="52"/>
      </c>
      <c r="BB41" s="671" t="str">
        <f t="shared" si="52"/>
      </c>
      <c r="BC41" s="671" t="str">
        <f t="shared" si="52"/>
      </c>
      <c r="BD41" s="671" t="str">
        <f t="shared" si="52"/>
      </c>
      <c r="BE41" s="1143" t="str">
        <f t="shared" si="52"/>
      </c>
      <c r="BF41" s="671" t="str">
        <f t="shared" si="52"/>
      </c>
      <c r="BG41" s="671" t="str">
        <f t="shared" si="52"/>
      </c>
      <c r="BH41" s="671" t="str">
        <f t="shared" si="52"/>
      </c>
      <c r="BI41" s="671" t="str">
        <f t="shared" si="52"/>
      </c>
      <c r="BJ41" s="1143" t="str">
        <f t="shared" si="52"/>
      </c>
      <c r="BK41" s="671" t="str">
        <f t="shared" si="52"/>
      </c>
      <c r="BL41" s="671" t="str">
        <f t="shared" si="52"/>
      </c>
      <c r="BM41" s="671" t="str">
        <f t="shared" si="52"/>
      </c>
      <c r="BN41" s="671" t="str">
        <f t="shared" si="52"/>
      </c>
      <c r="BO41" s="1143" t="str">
        <f t="shared" si="52"/>
      </c>
      <c r="BP41" s="671" t="str">
        <f t="shared" si="52"/>
      </c>
      <c r="BQ41" s="671" t="str">
        <f t="shared" si="52"/>
      </c>
      <c r="BR41" s="671" t="str">
        <f t="shared" ref="BR41:CW41" si="53">IFERROR(BR40/BM40-1,"")</f>
      </c>
      <c r="BS41" s="671" t="str">
        <f t="shared" si="53"/>
      </c>
      <c r="BT41" s="1143" t="str">
        <f t="shared" si="53"/>
      </c>
      <c r="BU41" s="671" t="str">
        <f t="shared" si="53"/>
      </c>
      <c r="BV41" s="671" t="str">
        <f t="shared" si="53"/>
      </c>
      <c r="BW41" s="671" t="str">
        <f t="shared" si="53"/>
      </c>
      <c r="BX41" s="671" t="str">
        <f t="shared" si="53"/>
      </c>
      <c r="BY41" s="1143" t="str">
        <f t="shared" si="53"/>
      </c>
      <c r="BZ41" s="671" t="str">
        <f t="shared" si="53"/>
      </c>
      <c r="CA41" s="671" t="str">
        <f t="shared" si="53"/>
      </c>
      <c r="CB41" s="671" t="str">
        <f t="shared" si="53"/>
      </c>
      <c r="CC41" s="671" t="str">
        <f t="shared" si="53"/>
      </c>
      <c r="CD41" s="1143" t="str">
        <f t="shared" si="53"/>
      </c>
      <c r="CE41" s="671" t="str">
        <f t="shared" si="53"/>
      </c>
      <c r="CF41" s="671" t="str">
        <f t="shared" si="53"/>
      </c>
      <c r="CG41" s="671" t="str">
        <f t="shared" si="53"/>
      </c>
      <c r="CH41" s="671" t="str">
        <f t="shared" si="53"/>
      </c>
      <c r="CI41" s="1143" t="str">
        <f t="shared" si="53"/>
      </c>
      <c r="CJ41" s="671" t="str">
        <f t="shared" si="53"/>
      </c>
      <c r="CK41" s="671" t="str">
        <f t="shared" si="53"/>
      </c>
      <c r="CL41" s="671" t="str">
        <f t="shared" si="53"/>
      </c>
      <c r="CM41" s="671" t="str">
        <f t="shared" si="53"/>
      </c>
      <c r="CN41" s="1143" t="str">
        <f t="shared" si="53"/>
      </c>
      <c r="CO41" s="671" t="str">
        <f t="shared" si="53"/>
      </c>
      <c r="CP41" s="671" t="str">
        <f t="shared" si="53"/>
      </c>
      <c r="CQ41" s="671" t="str">
        <f t="shared" si="53"/>
      </c>
      <c r="CR41" s="671" t="str">
        <f t="shared" si="53"/>
      </c>
      <c r="CS41" s="1143" t="str">
        <f t="shared" si="53"/>
      </c>
      <c r="CT41" s="671" t="str">
        <f t="shared" si="53"/>
      </c>
      <c r="CU41" s="671" t="str">
        <f t="shared" si="53"/>
      </c>
      <c r="CV41" s="671" t="str">
        <f t="shared" si="53"/>
      </c>
      <c r="CW41" s="671" t="str">
        <f t="shared" si="53"/>
      </c>
      <c r="CX41" s="1143" t="str">
        <f t="shared" ref="CX41:EC41" si="54">IFERROR(CX40/CS40-1,"")</f>
      </c>
      <c r="CY41" s="671" t="str">
        <f t="shared" si="54"/>
      </c>
      <c r="CZ41" s="671" t="str">
        <f t="shared" si="54"/>
      </c>
      <c r="DA41" s="671" t="str">
        <f t="shared" si="54"/>
      </c>
      <c r="DB41" s="671" t="str">
        <f t="shared" si="54"/>
      </c>
      <c r="DC41" s="1143" t="str">
        <f t="shared" si="54"/>
      </c>
      <c r="DD41" s="671" t="str">
        <f t="shared" si="54"/>
      </c>
      <c r="DE41" s="671" t="str">
        <f t="shared" si="54"/>
      </c>
      <c r="DF41" s="671" t="str">
        <f t="shared" si="54"/>
      </c>
      <c r="DG41" s="671" t="str">
        <f t="shared" si="54"/>
      </c>
      <c r="DH41" s="1143" t="str">
        <f t="shared" si="54"/>
      </c>
      <c r="DI41" s="671" t="str">
        <f t="shared" si="54"/>
      </c>
      <c r="DJ41" s="671" t="str">
        <f t="shared" si="54"/>
      </c>
      <c r="DK41" s="671" t="str">
        <f t="shared" si="54"/>
      </c>
      <c r="DL41" s="671" t="str">
        <f t="shared" si="54"/>
      </c>
      <c r="DM41" s="1143" t="str">
        <f t="shared" si="54"/>
      </c>
      <c r="DN41" s="671" t="str">
        <f t="shared" si="54"/>
      </c>
      <c r="DO41" s="671" t="str">
        <f t="shared" si="54"/>
      </c>
      <c r="DP41" s="671" t="str">
        <f t="shared" si="54"/>
      </c>
      <c r="DQ41" s="671" t="str">
        <f t="shared" si="54"/>
      </c>
      <c r="DR41" s="1143" t="str">
        <f t="shared" si="54"/>
      </c>
      <c r="DS41" s="671" t="str">
        <f t="shared" si="54"/>
      </c>
      <c r="DT41" s="671" t="str">
        <f t="shared" si="54"/>
      </c>
      <c r="DU41" s="671" t="str">
        <f t="shared" si="54"/>
      </c>
      <c r="DV41" s="671" t="str">
        <f t="shared" si="54"/>
      </c>
      <c r="DW41" s="1143" t="str">
        <f t="shared" si="54"/>
      </c>
      <c r="DX41" s="671" t="str">
        <f t="shared" si="54"/>
      </c>
      <c r="DY41" s="671" t="str">
        <f t="shared" si="54"/>
      </c>
      <c r="DZ41" s="671" t="str">
        <f t="shared" si="54"/>
      </c>
      <c r="EA41" s="671" t="str">
        <f t="shared" si="54"/>
      </c>
      <c r="EB41" s="1143" t="str">
        <f t="shared" si="54"/>
      </c>
      <c r="EC41" s="671" t="str">
        <f t="shared" si="54"/>
      </c>
      <c r="ED41" s="671" t="str">
        <f t="shared" ref="ED41:FI41" si="55">IFERROR(ED40/DY40-1,"")</f>
      </c>
      <c r="EE41" s="671" t="str">
        <f t="shared" si="55"/>
      </c>
      <c r="EF41" s="671" t="str">
        <f t="shared" si="55"/>
      </c>
      <c r="EG41" s="1143" t="str">
        <f t="shared" si="55"/>
      </c>
      <c r="EH41" s="671">
        <f t="shared" si="55"/>
      </c>
      <c r="EI41" s="671">
        <f t="shared" si="55"/>
      </c>
      <c r="EJ41" s="671">
        <f t="shared" si="55"/>
      </c>
      <c r="EK41" s="671">
        <f t="shared" si="55"/>
      </c>
      <c r="EL41" s="1143">
        <f t="shared" si="55"/>
      </c>
      <c r="EM41" s="671">
        <f t="shared" si="55"/>
      </c>
      <c r="EN41" s="671">
        <f t="shared" si="55"/>
      </c>
      <c r="EO41" s="671">
        <f t="shared" si="55"/>
      </c>
      <c r="EP41" s="671">
        <f t="shared" si="55"/>
      </c>
      <c r="EQ41" s="1143">
        <f t="shared" si="55"/>
      </c>
      <c r="ER41" s="671">
        <f t="shared" si="55"/>
      </c>
      <c r="ES41" s="671">
        <f t="shared" si="55"/>
      </c>
      <c r="ET41" s="671">
        <f t="shared" si="55"/>
      </c>
      <c r="EU41" s="671">
        <f t="shared" si="55"/>
      </c>
      <c r="EV41" s="1143">
        <f t="shared" si="55"/>
      </c>
      <c r="EW41" s="671">
        <f t="shared" si="55"/>
      </c>
      <c r="EX41" s="671">
        <f t="shared" si="55"/>
      </c>
      <c r="EY41" s="671">
        <f t="shared" si="55"/>
      </c>
      <c r="EZ41" s="671">
        <f t="shared" si="55"/>
      </c>
      <c r="FA41" s="1143">
        <f t="shared" si="55"/>
      </c>
      <c r="FB41" s="671">
        <f t="shared" si="55"/>
      </c>
      <c r="FC41" s="671">
        <f t="shared" si="55"/>
      </c>
      <c r="FD41" s="671">
        <f t="shared" si="55"/>
      </c>
      <c r="FE41" s="671">
        <f t="shared" si="55"/>
      </c>
      <c r="FF41" s="1143">
        <f t="shared" si="55"/>
      </c>
      <c r="FG41" s="671">
        <f t="shared" si="55"/>
      </c>
      <c r="FH41" s="671">
        <f t="shared" si="55"/>
      </c>
      <c r="FI41" s="671">
        <f t="shared" si="55"/>
      </c>
      <c r="FJ41" s="671">
        <f t="shared" ref="FJ41:GE41" si="56">IFERROR(FJ40/FE40-1,"")</f>
      </c>
      <c r="FK41" s="1143">
        <f t="shared" si="56"/>
      </c>
      <c r="FL41" s="671">
        <f t="shared" si="56"/>
      </c>
      <c r="FM41" s="671">
        <f t="shared" si="56"/>
      </c>
      <c r="FN41" s="671">
        <f t="shared" si="56"/>
      </c>
      <c r="FO41" s="671">
        <f t="shared" si="56"/>
      </c>
      <c r="FP41" s="1143">
        <f t="shared" si="56"/>
      </c>
      <c r="FQ41" s="671">
        <f t="shared" si="56"/>
      </c>
      <c r="FR41" s="671">
        <f t="shared" si="56"/>
      </c>
      <c r="FS41" s="671">
        <f t="shared" si="56"/>
      </c>
      <c r="FT41" s="671">
        <f t="shared" si="56"/>
      </c>
      <c r="FU41" s="1143">
        <f t="shared" si="56"/>
      </c>
      <c r="FV41" s="671">
        <f t="shared" si="56"/>
      </c>
      <c r="FW41" s="671">
        <f t="shared" si="56"/>
      </c>
      <c r="FX41" s="671">
        <f t="shared" si="56"/>
      </c>
      <c r="FY41" s="671">
        <f t="shared" si="56"/>
      </c>
      <c r="FZ41" s="1143">
        <f t="shared" si="56"/>
      </c>
      <c r="GA41" s="671">
        <f t="shared" si="56"/>
      </c>
      <c r="GB41" s="671">
        <f t="shared" si="56"/>
      </c>
      <c r="GC41" s="671">
        <f t="shared" si="56"/>
      </c>
      <c r="GD41" s="671">
        <f t="shared" si="56"/>
      </c>
      <c r="GE41" s="1143">
        <f t="shared" si="56"/>
      </c>
      <c r="GF41" s="671">
        <f t="shared" ref="GF41" si="57">IFERROR(GF40/GA40-1,"")</f>
      </c>
      <c r="GG41" s="671">
        <f t="shared" ref="GG41" si="58">IFERROR(GG40/GB40-1,"")</f>
      </c>
      <c r="GH41" s="671">
        <f t="shared" ref="GH41" si="59">IFERROR(GH40/GC40-1,"")</f>
      </c>
      <c r="GI41" s="671">
        <f t="shared" ref="GI41" si="60">IFERROR(GI40/GD40-1,"")</f>
      </c>
      <c r="GJ41" s="1143">
        <f t="shared" ref="GJ41" si="61">IFERROR(GJ40/GE40-1,"")</f>
      </c>
    </row>
    <row r="42" spans="1:192" s="962" customFormat="1" ht="12.6" hidden="1" customHeight="1" outlineLevel="1">
      <c r="B42" s="1137"/>
      <c r="G42" s="685"/>
      <c r="L42" s="685"/>
      <c r="Q42" s="685"/>
      <c r="V42" s="685"/>
      <c r="AA42" s="685"/>
      <c r="AF42" s="685"/>
      <c r="AK42" s="685"/>
      <c r="AP42" s="685"/>
      <c r="AU42" s="685"/>
      <c r="AZ42" s="685"/>
      <c r="BE42" s="685"/>
      <c r="BJ42" s="685"/>
      <c r="BO42" s="685"/>
      <c r="BT42" s="685"/>
      <c r="BY42" s="685"/>
      <c r="CD42" s="685"/>
      <c r="CI42" s="685"/>
      <c r="CN42" s="685"/>
      <c r="CS42" s="685"/>
      <c r="CX42" s="685"/>
      <c r="DC42" s="685"/>
      <c r="DH42" s="685"/>
      <c r="DM42" s="685"/>
      <c r="DR42" s="685"/>
      <c r="DW42" s="685"/>
      <c r="EB42" s="685"/>
      <c r="EG42" s="685"/>
      <c r="EL42" s="685"/>
      <c r="EQ42" s="685"/>
      <c r="EV42" s="685"/>
      <c r="FA42" s="685"/>
      <c r="FF42" s="685"/>
      <c r="FK42" s="685"/>
      <c r="FP42" s="685"/>
      <c r="FU42" s="685"/>
      <c r="FZ42" s="685"/>
      <c r="GE42" s="685"/>
      <c r="GJ42" s="685"/>
    </row>
    <row r="43" spans="1:192" s="374" customFormat="1" ht="12.6" hidden="1" customHeight="1" outlineLevel="1">
      <c r="B43" s="1128" t="s">
        <v>1900</v>
      </c>
      <c r="G43" s="373"/>
      <c r="L43" s="373"/>
      <c r="Q43" s="373"/>
      <c r="V43" s="373"/>
      <c r="AA43" s="373"/>
      <c r="AF43" s="373"/>
      <c r="AK43" s="373"/>
      <c r="AP43" s="373"/>
      <c r="AU43" s="373"/>
      <c r="AZ43" s="373"/>
      <c r="BE43" s="373"/>
      <c r="BJ43" s="373"/>
      <c r="BO43" s="373"/>
      <c r="BT43" s="373"/>
      <c r="BY43" s="373"/>
      <c r="CD43" s="373"/>
      <c r="CI43" s="373"/>
      <c r="CN43" s="373"/>
      <c r="CS43" s="373"/>
      <c r="CX43" s="373"/>
      <c r="DC43" s="373"/>
      <c r="DH43" s="373"/>
      <c r="DM43" s="373"/>
      <c r="DR43" s="373"/>
      <c r="DW43" s="373"/>
      <c r="EB43" s="373"/>
      <c r="EC43" s="374">
        <f t="shared" ref="EC43:FH43" si="62">-(EC34+EC24)</f>
      </c>
      <c r="ED43" s="374">
        <f t="shared" si="62"/>
      </c>
      <c r="EE43" s="374">
        <f t="shared" si="62"/>
      </c>
      <c r="EF43" s="374">
        <f t="shared" si="62"/>
      </c>
      <c r="EG43" s="373">
        <f t="shared" si="62"/>
      </c>
      <c r="EH43" s="374">
        <f t="shared" si="62"/>
      </c>
      <c r="EI43" s="374">
        <f t="shared" si="62"/>
      </c>
      <c r="EJ43" s="374">
        <f t="shared" si="62"/>
      </c>
      <c r="EK43" s="374">
        <f t="shared" si="62"/>
      </c>
      <c r="EL43" s="373">
        <f t="shared" si="62"/>
      </c>
      <c r="EM43" s="374">
        <f t="shared" si="62"/>
      </c>
      <c r="EN43" s="374">
        <f t="shared" si="62"/>
      </c>
      <c r="EO43" s="374">
        <f t="shared" si="62"/>
      </c>
      <c r="EP43" s="374">
        <f t="shared" si="62"/>
      </c>
      <c r="EQ43" s="373">
        <f t="shared" si="62"/>
      </c>
      <c r="ER43" s="374">
        <f t="shared" si="62"/>
      </c>
      <c r="ES43" s="374">
        <f t="shared" si="62"/>
      </c>
      <c r="ET43" s="374">
        <f>-(ET34+ET24)</f>
      </c>
      <c r="EU43" s="374">
        <f>-(EU34+EU24)</f>
      </c>
      <c r="EV43" s="373">
        <f>-(EV34+EV24)</f>
      </c>
      <c r="EW43" s="374">
        <f t="shared" ref="EW43:EX43" si="63">-(EW34+EW24)</f>
      </c>
      <c r="EX43" s="374">
        <f t="shared" si="63"/>
      </c>
      <c r="EY43" s="374">
        <f>-(EY34+EY24)</f>
      </c>
      <c r="EZ43" s="374">
        <f>-(EZ34+EZ24)</f>
      </c>
      <c r="FA43" s="373">
        <f>-(FA34+FA24)</f>
      </c>
      <c r="FB43" s="374">
        <f t="shared" si="62"/>
      </c>
      <c r="FC43" s="374">
        <f t="shared" si="62"/>
      </c>
      <c r="FD43" s="374">
        <f t="shared" si="62"/>
      </c>
      <c r="FE43" s="374">
        <f t="shared" si="62"/>
      </c>
      <c r="FF43" s="373">
        <f t="shared" si="62"/>
      </c>
      <c r="FG43" s="374">
        <f t="shared" si="62"/>
      </c>
      <c r="FH43" s="374">
        <f t="shared" si="62"/>
      </c>
      <c r="FI43" s="374">
        <f t="shared" ref="FI43:FZ43" si="64">-(FI34+FI24)</f>
      </c>
      <c r="FJ43" s="374">
        <f t="shared" si="64"/>
      </c>
      <c r="FK43" s="373">
        <f t="shared" si="64"/>
      </c>
      <c r="FL43" s="374">
        <f t="shared" si="64"/>
      </c>
      <c r="FM43" s="374">
        <f t="shared" si="64"/>
      </c>
      <c r="FN43" s="374">
        <f t="shared" si="64"/>
      </c>
      <c r="FO43" s="374">
        <f t="shared" si="64"/>
      </c>
      <c r="FP43" s="373">
        <f t="shared" si="64"/>
      </c>
      <c r="FQ43" s="374">
        <f t="shared" si="64"/>
      </c>
      <c r="FR43" s="374">
        <f t="shared" si="64"/>
      </c>
      <c r="FS43" s="374">
        <f t="shared" si="64"/>
      </c>
      <c r="FT43" s="374">
        <f t="shared" si="64"/>
      </c>
      <c r="FU43" s="373">
        <f t="shared" si="64"/>
      </c>
      <c r="FV43" s="374">
        <f t="shared" si="64"/>
      </c>
      <c r="FW43" s="374">
        <f t="shared" si="64"/>
      </c>
      <c r="FX43" s="374">
        <f t="shared" si="64"/>
      </c>
      <c r="FY43" s="374">
        <f t="shared" si="64"/>
      </c>
      <c r="FZ43" s="373">
        <f t="shared" si="64"/>
      </c>
      <c r="GA43" s="374">
        <f t="shared" ref="GA43:GJ43" si="65">-(GA34+GA24)</f>
      </c>
      <c r="GB43" s="374">
        <f t="shared" si="65"/>
      </c>
      <c r="GC43" s="374">
        <f t="shared" si="65"/>
      </c>
      <c r="GD43" s="374">
        <f t="shared" si="65"/>
      </c>
      <c r="GE43" s="373">
        <f t="shared" si="65"/>
      </c>
      <c r="GF43" s="374">
        <f t="shared" si="65"/>
      </c>
      <c r="GG43" s="374">
        <f t="shared" si="65"/>
      </c>
      <c r="GH43" s="374">
        <f t="shared" si="65"/>
      </c>
      <c r="GI43" s="374">
        <f t="shared" si="65"/>
      </c>
      <c r="GJ43" s="373">
        <f t="shared" si="65"/>
      </c>
    </row>
    <row r="44" spans="1:192" customFormat="1" ht="12.6" hidden="1" customHeight="1" outlineLevel="1">
      <c r="B44" s="1142" t="s">
        <v>34</v>
      </c>
      <c r="C44" s="671" t="str">
        <f>IFERROR(C43/#REF!-1,"")</f>
      </c>
      <c r="D44" s="671" t="str">
        <f>IFERROR(D43/#REF!-1,"")</f>
      </c>
      <c r="E44" s="671" t="str">
        <f>IFERROR(E43/#REF!-1,"")</f>
      </c>
      <c r="F44" s="671" t="str">
        <f t="shared" ref="F44:AK44" si="66">IFERROR(F43/A43-1,"")</f>
      </c>
      <c r="G44" s="1143" t="str">
        <f t="shared" si="66"/>
      </c>
      <c r="H44" s="671" t="str">
        <f t="shared" si="66"/>
      </c>
      <c r="I44" s="671" t="str">
        <f t="shared" si="66"/>
      </c>
      <c r="J44" s="671" t="str">
        <f t="shared" si="66"/>
      </c>
      <c r="K44" s="671" t="str">
        <f t="shared" si="66"/>
      </c>
      <c r="L44" s="1143" t="str">
        <f t="shared" si="66"/>
      </c>
      <c r="M44" s="671" t="str">
        <f t="shared" si="66"/>
      </c>
      <c r="N44" s="671" t="str">
        <f t="shared" si="66"/>
      </c>
      <c r="O44" s="671" t="str">
        <f t="shared" si="66"/>
      </c>
      <c r="P44" s="671" t="str">
        <f t="shared" si="66"/>
      </c>
      <c r="Q44" s="1143" t="str">
        <f t="shared" si="66"/>
      </c>
      <c r="R44" s="671" t="str">
        <f t="shared" si="66"/>
      </c>
      <c r="S44" s="671" t="str">
        <f t="shared" si="66"/>
      </c>
      <c r="T44" s="671" t="str">
        <f t="shared" si="66"/>
      </c>
      <c r="U44" s="671" t="str">
        <f t="shared" si="66"/>
      </c>
      <c r="V44" s="1143" t="str">
        <f t="shared" si="66"/>
      </c>
      <c r="W44" s="671" t="str">
        <f t="shared" si="66"/>
      </c>
      <c r="X44" s="671" t="str">
        <f t="shared" si="66"/>
      </c>
      <c r="Y44" s="671" t="str">
        <f t="shared" si="66"/>
      </c>
      <c r="Z44" s="671" t="str">
        <f t="shared" si="66"/>
      </c>
      <c r="AA44" s="1143" t="str">
        <f t="shared" si="66"/>
      </c>
      <c r="AB44" s="671" t="str">
        <f t="shared" si="66"/>
      </c>
      <c r="AC44" s="671" t="str">
        <f t="shared" si="66"/>
      </c>
      <c r="AD44" s="671" t="str">
        <f t="shared" si="66"/>
      </c>
      <c r="AE44" s="671" t="str">
        <f t="shared" si="66"/>
      </c>
      <c r="AF44" s="1143" t="str">
        <f t="shared" si="66"/>
      </c>
      <c r="AG44" s="671" t="str">
        <f t="shared" si="66"/>
      </c>
      <c r="AH44" s="671" t="str">
        <f t="shared" si="66"/>
      </c>
      <c r="AI44" s="671" t="str">
        <f t="shared" si="66"/>
      </c>
      <c r="AJ44" s="671" t="str">
        <f t="shared" si="66"/>
      </c>
      <c r="AK44" s="1143" t="str">
        <f t="shared" si="66"/>
      </c>
      <c r="AL44" s="671" t="str">
        <f t="shared" ref="AL44:BQ44" si="67">IFERROR(AL43/AG43-1,"")</f>
      </c>
      <c r="AM44" s="671" t="str">
        <f t="shared" si="67"/>
      </c>
      <c r="AN44" s="671" t="str">
        <f t="shared" si="67"/>
      </c>
      <c r="AO44" s="671" t="str">
        <f t="shared" si="67"/>
      </c>
      <c r="AP44" s="1143" t="str">
        <f t="shared" si="67"/>
      </c>
      <c r="AQ44" s="671" t="str">
        <f t="shared" si="67"/>
      </c>
      <c r="AR44" s="671" t="str">
        <f t="shared" si="67"/>
      </c>
      <c r="AS44" s="671" t="str">
        <f t="shared" si="67"/>
      </c>
      <c r="AT44" s="671" t="str">
        <f t="shared" si="67"/>
      </c>
      <c r="AU44" s="1143" t="str">
        <f t="shared" si="67"/>
      </c>
      <c r="AV44" s="671" t="str">
        <f t="shared" si="67"/>
      </c>
      <c r="AW44" s="671" t="str">
        <f t="shared" si="67"/>
      </c>
      <c r="AX44" s="671" t="str">
        <f t="shared" si="67"/>
      </c>
      <c r="AY44" s="671" t="str">
        <f t="shared" si="67"/>
      </c>
      <c r="AZ44" s="1143" t="str">
        <f t="shared" si="67"/>
      </c>
      <c r="BA44" s="671" t="str">
        <f t="shared" si="67"/>
      </c>
      <c r="BB44" s="671" t="str">
        <f t="shared" si="67"/>
      </c>
      <c r="BC44" s="671" t="str">
        <f t="shared" si="67"/>
      </c>
      <c r="BD44" s="671" t="str">
        <f t="shared" si="67"/>
      </c>
      <c r="BE44" s="1143" t="str">
        <f t="shared" si="67"/>
      </c>
      <c r="BF44" s="671" t="str">
        <f t="shared" si="67"/>
      </c>
      <c r="BG44" s="671" t="str">
        <f t="shared" si="67"/>
      </c>
      <c r="BH44" s="671" t="str">
        <f t="shared" si="67"/>
      </c>
      <c r="BI44" s="671" t="str">
        <f t="shared" si="67"/>
      </c>
      <c r="BJ44" s="1143" t="str">
        <f t="shared" si="67"/>
      </c>
      <c r="BK44" s="671" t="str">
        <f t="shared" si="67"/>
      </c>
      <c r="BL44" s="671" t="str">
        <f t="shared" si="67"/>
      </c>
      <c r="BM44" s="671" t="str">
        <f t="shared" si="67"/>
      </c>
      <c r="BN44" s="671" t="str">
        <f t="shared" si="67"/>
      </c>
      <c r="BO44" s="1143" t="str">
        <f t="shared" si="67"/>
      </c>
      <c r="BP44" s="671" t="str">
        <f t="shared" si="67"/>
      </c>
      <c r="BQ44" s="671" t="str">
        <f t="shared" si="67"/>
      </c>
      <c r="BR44" s="671" t="str">
        <f t="shared" ref="BR44:CW44" si="68">IFERROR(BR43/BM43-1,"")</f>
      </c>
      <c r="BS44" s="671" t="str">
        <f t="shared" si="68"/>
      </c>
      <c r="BT44" s="1143" t="str">
        <f t="shared" si="68"/>
      </c>
      <c r="BU44" s="671" t="str">
        <f t="shared" si="68"/>
      </c>
      <c r="BV44" s="671" t="str">
        <f t="shared" si="68"/>
      </c>
      <c r="BW44" s="671" t="str">
        <f t="shared" si="68"/>
      </c>
      <c r="BX44" s="671" t="str">
        <f t="shared" si="68"/>
      </c>
      <c r="BY44" s="1143" t="str">
        <f t="shared" si="68"/>
      </c>
      <c r="BZ44" s="671" t="str">
        <f t="shared" si="68"/>
      </c>
      <c r="CA44" s="671" t="str">
        <f t="shared" si="68"/>
      </c>
      <c r="CB44" s="671" t="str">
        <f t="shared" si="68"/>
      </c>
      <c r="CC44" s="671" t="str">
        <f t="shared" si="68"/>
      </c>
      <c r="CD44" s="1143" t="str">
        <f t="shared" si="68"/>
      </c>
      <c r="CE44" s="671" t="str">
        <f t="shared" si="68"/>
      </c>
      <c r="CF44" s="671" t="str">
        <f t="shared" si="68"/>
      </c>
      <c r="CG44" s="671" t="str">
        <f t="shared" si="68"/>
      </c>
      <c r="CH44" s="671" t="str">
        <f t="shared" si="68"/>
      </c>
      <c r="CI44" s="1143" t="str">
        <f t="shared" si="68"/>
      </c>
      <c r="CJ44" s="671" t="str">
        <f t="shared" si="68"/>
      </c>
      <c r="CK44" s="671" t="str">
        <f t="shared" si="68"/>
      </c>
      <c r="CL44" s="671" t="str">
        <f t="shared" si="68"/>
      </c>
      <c r="CM44" s="671" t="str">
        <f t="shared" si="68"/>
      </c>
      <c r="CN44" s="1143" t="str">
        <f t="shared" si="68"/>
      </c>
      <c r="CO44" s="671" t="str">
        <f t="shared" si="68"/>
      </c>
      <c r="CP44" s="671" t="str">
        <f t="shared" si="68"/>
      </c>
      <c r="CQ44" s="671" t="str">
        <f t="shared" si="68"/>
      </c>
      <c r="CR44" s="671" t="str">
        <f t="shared" si="68"/>
      </c>
      <c r="CS44" s="1143" t="str">
        <f t="shared" si="68"/>
      </c>
      <c r="CT44" s="671" t="str">
        <f t="shared" si="68"/>
      </c>
      <c r="CU44" s="671" t="str">
        <f t="shared" si="68"/>
      </c>
      <c r="CV44" s="671" t="str">
        <f t="shared" si="68"/>
      </c>
      <c r="CW44" s="671" t="str">
        <f t="shared" si="68"/>
      </c>
      <c r="CX44" s="1143" t="str">
        <f t="shared" ref="CX44:EC44" si="69">IFERROR(CX43/CS43-1,"")</f>
      </c>
      <c r="CY44" s="671" t="str">
        <f t="shared" si="69"/>
      </c>
      <c r="CZ44" s="671" t="str">
        <f t="shared" si="69"/>
      </c>
      <c r="DA44" s="671" t="str">
        <f t="shared" si="69"/>
      </c>
      <c r="DB44" s="671" t="str">
        <f t="shared" si="69"/>
      </c>
      <c r="DC44" s="1143" t="str">
        <f t="shared" si="69"/>
      </c>
      <c r="DD44" s="671" t="str">
        <f t="shared" si="69"/>
      </c>
      <c r="DE44" s="671" t="str">
        <f t="shared" si="69"/>
      </c>
      <c r="DF44" s="671" t="str">
        <f t="shared" si="69"/>
      </c>
      <c r="DG44" s="671" t="str">
        <f t="shared" si="69"/>
      </c>
      <c r="DH44" s="1143" t="str">
        <f t="shared" si="69"/>
      </c>
      <c r="DI44" s="671" t="str">
        <f t="shared" si="69"/>
      </c>
      <c r="DJ44" s="671" t="str">
        <f t="shared" si="69"/>
      </c>
      <c r="DK44" s="671" t="str">
        <f t="shared" si="69"/>
      </c>
      <c r="DL44" s="671" t="str">
        <f t="shared" si="69"/>
      </c>
      <c r="DM44" s="1143" t="str">
        <f t="shared" si="69"/>
      </c>
      <c r="DN44" s="671" t="str">
        <f t="shared" si="69"/>
      </c>
      <c r="DO44" s="671" t="str">
        <f t="shared" si="69"/>
      </c>
      <c r="DP44" s="671" t="str">
        <f t="shared" si="69"/>
      </c>
      <c r="DQ44" s="671" t="str">
        <f t="shared" si="69"/>
      </c>
      <c r="DR44" s="1143" t="str">
        <f t="shared" si="69"/>
      </c>
      <c r="DS44" s="671" t="str">
        <f t="shared" si="69"/>
      </c>
      <c r="DT44" s="671" t="str">
        <f t="shared" si="69"/>
      </c>
      <c r="DU44" s="671" t="str">
        <f t="shared" si="69"/>
      </c>
      <c r="DV44" s="671" t="str">
        <f t="shared" si="69"/>
      </c>
      <c r="DW44" s="1143" t="str">
        <f t="shared" si="69"/>
      </c>
      <c r="DX44" s="671" t="str">
        <f t="shared" si="69"/>
      </c>
      <c r="DY44" s="671" t="str">
        <f t="shared" si="69"/>
      </c>
      <c r="DZ44" s="671" t="str">
        <f t="shared" si="69"/>
      </c>
      <c r="EA44" s="671" t="str">
        <f t="shared" si="69"/>
      </c>
      <c r="EB44" s="1143" t="str">
        <f t="shared" si="69"/>
      </c>
      <c r="EC44" s="671" t="str">
        <f t="shared" si="69"/>
      </c>
      <c r="ED44" s="671" t="str">
        <f t="shared" ref="ED44:FI44" si="70">IFERROR(ED43/DY43-1,"")</f>
      </c>
      <c r="EE44" s="671" t="str">
        <f t="shared" si="70"/>
      </c>
      <c r="EF44" s="671" t="str">
        <f t="shared" si="70"/>
      </c>
      <c r="EG44" s="1143" t="str">
        <f t="shared" si="70"/>
      </c>
      <c r="EH44" s="671">
        <f t="shared" si="70"/>
      </c>
      <c r="EI44" s="671">
        <f t="shared" si="70"/>
      </c>
      <c r="EJ44" s="671">
        <f t="shared" si="70"/>
      </c>
      <c r="EK44" s="671">
        <f t="shared" si="70"/>
      </c>
      <c r="EL44" s="1143">
        <f t="shared" si="70"/>
      </c>
      <c r="EM44" s="671">
        <f t="shared" si="70"/>
      </c>
      <c r="EN44" s="671">
        <f t="shared" si="70"/>
      </c>
      <c r="EO44" s="671">
        <f t="shared" si="70"/>
      </c>
      <c r="EP44" s="671">
        <f t="shared" si="70"/>
      </c>
      <c r="EQ44" s="1143">
        <f t="shared" si="70"/>
      </c>
      <c r="ER44" s="671">
        <f t="shared" si="70"/>
      </c>
      <c r="ES44" s="671">
        <f t="shared" si="70"/>
      </c>
      <c r="ET44" s="671">
        <f t="shared" si="70"/>
      </c>
      <c r="EU44" s="671">
        <f t="shared" si="70"/>
      </c>
      <c r="EV44" s="1143">
        <f t="shared" si="70"/>
      </c>
      <c r="EW44" s="671">
        <f t="shared" si="70"/>
      </c>
      <c r="EX44" s="671">
        <f t="shared" si="70"/>
      </c>
      <c r="EY44" s="671">
        <f t="shared" si="70"/>
      </c>
      <c r="EZ44" s="671">
        <f t="shared" si="70"/>
      </c>
      <c r="FA44" s="1143">
        <f t="shared" si="70"/>
      </c>
      <c r="FB44" s="671">
        <f t="shared" si="70"/>
      </c>
      <c r="FC44" s="671">
        <f t="shared" si="70"/>
      </c>
      <c r="FD44" s="671">
        <f t="shared" si="70"/>
      </c>
      <c r="FE44" s="671">
        <f t="shared" si="70"/>
      </c>
      <c r="FF44" s="1143">
        <f t="shared" si="70"/>
      </c>
      <c r="FG44" s="671">
        <f t="shared" si="70"/>
      </c>
      <c r="FH44" s="671">
        <f t="shared" si="70"/>
      </c>
      <c r="FI44" s="671">
        <f t="shared" si="70"/>
      </c>
      <c r="FJ44" s="671">
        <f>IFERROR(FJ43/FE43-1,"")</f>
      </c>
      <c r="FK44" s="1143">
        <f>IFERROR(FK43/FF43-1,"")</f>
      </c>
      <c r="FL44" s="687">
        <v>0.1031</v>
      </c>
      <c r="FM44" s="687">
        <f>FL44</f>
      </c>
      <c r="FN44" s="687">
        <f>FM44</f>
      </c>
      <c r="FO44" s="687">
        <f>FN44</f>
      </c>
      <c r="FP44" s="1143">
        <f>IFERROR(FP43/FK43-1,"")</f>
      </c>
      <c r="FQ44" s="687">
        <v>0.1031</v>
      </c>
      <c r="FR44" s="687">
        <f>FQ44</f>
      </c>
      <c r="FS44" s="687">
        <f>FR44</f>
      </c>
      <c r="FT44" s="687">
        <f>FS44</f>
      </c>
      <c r="FU44" s="1143">
        <f>IFERROR(FU43/FP43-1,"")</f>
      </c>
      <c r="FV44" s="687">
        <v>0.1031</v>
      </c>
      <c r="FW44" s="687">
        <f>FV44</f>
      </c>
      <c r="FX44" s="687">
        <f>FW44</f>
      </c>
      <c r="FY44" s="687">
        <f>FX44</f>
      </c>
      <c r="FZ44" s="1143">
        <f>IFERROR(FZ43/FU43-1,"")</f>
      </c>
      <c r="GA44" s="687">
        <v>0.1031</v>
      </c>
      <c r="GB44" s="687">
        <f>GA44</f>
      </c>
      <c r="GC44" s="687">
        <f>GB44</f>
      </c>
      <c r="GD44" s="687">
        <f>GC44</f>
      </c>
      <c r="GE44" s="1143">
        <f>IFERROR(GE43/FZ43-1,"")</f>
      </c>
      <c r="GF44" s="687">
        <v>0.1031</v>
      </c>
      <c r="GG44" s="687">
        <f>GF44</f>
      </c>
      <c r="GH44" s="687">
        <f>GG44</f>
      </c>
      <c r="GI44" s="687">
        <f>GH44</f>
      </c>
      <c r="GJ44" s="1143">
        <f>IFERROR(GJ43/GE43-1,"")</f>
      </c>
    </row>
    <row r="45" spans="1:192" ht="12.6" hidden="1" customHeight="1" outlineLevel="1">
      <c r="B45" s="1142"/>
      <c r="C45" s="651"/>
      <c r="D45" s="651"/>
      <c r="E45" s="651"/>
      <c r="F45" s="651"/>
      <c r="G45" s="652"/>
      <c r="H45" s="651"/>
      <c r="I45" s="651"/>
      <c r="J45" s="651"/>
      <c r="K45" s="651"/>
      <c r="L45" s="652"/>
      <c r="M45" s="651"/>
      <c r="N45" s="651"/>
      <c r="O45" s="651"/>
      <c r="P45" s="651"/>
      <c r="Q45" s="652"/>
      <c r="R45" s="651"/>
      <c r="S45" s="651"/>
      <c r="T45" s="651"/>
      <c r="U45" s="651"/>
      <c r="V45" s="652"/>
      <c r="W45" s="651"/>
      <c r="X45" s="651"/>
      <c r="Y45" s="651"/>
      <c r="Z45" s="651"/>
      <c r="AA45" s="652"/>
      <c r="AB45" s="651"/>
      <c r="AC45" s="651"/>
      <c r="AD45" s="651"/>
      <c r="AE45" s="651"/>
      <c r="AF45" s="652"/>
      <c r="AG45" s="651"/>
      <c r="AH45" s="651"/>
      <c r="AI45" s="651"/>
      <c r="AJ45" s="651"/>
      <c r="AK45" s="652"/>
      <c r="AL45" s="651"/>
      <c r="AM45" s="651"/>
      <c r="AN45" s="651"/>
      <c r="AO45" s="651"/>
      <c r="AP45" s="652"/>
      <c r="AQ45" s="651"/>
      <c r="AR45" s="651"/>
      <c r="AS45" s="651"/>
      <c r="AT45" s="651"/>
      <c r="AU45" s="652"/>
      <c r="AV45" s="651"/>
      <c r="AW45" s="651"/>
      <c r="AX45" s="651"/>
      <c r="AY45" s="651"/>
      <c r="AZ45" s="652"/>
      <c r="BA45" s="651"/>
      <c r="BB45" s="651"/>
      <c r="BC45" s="651"/>
      <c r="BD45" s="651"/>
      <c r="BE45" s="652"/>
      <c r="BF45" s="651"/>
      <c r="BG45" s="651"/>
      <c r="BH45" s="651"/>
      <c r="BI45" s="651"/>
      <c r="BJ45" s="652"/>
      <c r="BK45" s="651"/>
      <c r="BL45" s="651"/>
      <c r="BM45" s="651"/>
      <c r="BN45" s="651"/>
      <c r="BO45" s="652"/>
      <c r="BP45" s="651"/>
      <c r="BQ45" s="651"/>
      <c r="BR45" s="651"/>
      <c r="BS45" s="651"/>
      <c r="BT45" s="652"/>
      <c r="BU45" s="651"/>
      <c r="BV45" s="651"/>
      <c r="BW45" s="651"/>
      <c r="BX45" s="651"/>
      <c r="BY45" s="652"/>
      <c r="BZ45" s="651"/>
      <c r="CA45" s="651"/>
      <c r="CB45" s="651"/>
      <c r="CC45" s="651"/>
      <c r="CD45" s="652"/>
      <c r="CE45" s="651"/>
      <c r="CF45" s="651"/>
      <c r="CG45" s="651"/>
      <c r="CH45" s="651"/>
      <c r="CI45" s="652"/>
      <c r="CJ45" s="651"/>
      <c r="CK45" s="651"/>
      <c r="CL45" s="651"/>
      <c r="CM45" s="651"/>
      <c r="CN45" s="652"/>
      <c r="CO45" s="651"/>
      <c r="CP45" s="651"/>
      <c r="CQ45" s="651"/>
      <c r="CR45" s="651"/>
      <c r="CS45" s="652"/>
      <c r="CT45" s="651"/>
      <c r="CU45" s="651"/>
      <c r="CV45" s="651"/>
      <c r="CW45" s="651"/>
      <c r="CX45" s="652"/>
      <c r="CY45" s="651"/>
      <c r="CZ45" s="651"/>
      <c r="DA45" s="651"/>
      <c r="DB45" s="651"/>
      <c r="DC45" s="652"/>
      <c r="DD45" s="651"/>
      <c r="DE45" s="651"/>
      <c r="DF45" s="651"/>
      <c r="DG45" s="651"/>
      <c r="DH45" s="652"/>
      <c r="DI45" s="651"/>
      <c r="DJ45" s="651"/>
      <c r="DK45" s="651"/>
      <c r="DL45" s="651"/>
      <c r="DM45" s="652"/>
      <c r="DN45" s="651"/>
      <c r="DO45" s="651"/>
      <c r="DP45" s="651"/>
      <c r="DQ45" s="651"/>
      <c r="DR45" s="652"/>
      <c r="DS45" s="651"/>
      <c r="DT45" s="651"/>
      <c r="DU45" s="651"/>
      <c r="DV45" s="651"/>
      <c r="DW45" s="652"/>
      <c r="DX45" s="651"/>
      <c r="DY45" s="651"/>
      <c r="DZ45" s="651"/>
      <c r="EA45" s="651"/>
      <c r="EB45" s="652"/>
      <c r="EC45" s="651"/>
      <c r="ED45" s="651"/>
      <c r="EE45" s="651"/>
      <c r="EF45" s="651"/>
      <c r="EG45" s="652"/>
      <c r="EH45" s="651"/>
      <c r="EI45" s="651"/>
      <c r="EJ45" s="651"/>
      <c r="EK45" s="651"/>
      <c r="EL45" s="652"/>
      <c r="EM45" s="651"/>
      <c r="EN45" s="651"/>
      <c r="EO45" s="651"/>
      <c r="EP45" s="651"/>
      <c r="EQ45" s="647"/>
      <c r="ER45" s="651"/>
      <c r="ES45" s="651"/>
      <c r="ET45" s="651"/>
      <c r="EU45" s="651"/>
      <c r="EV45" s="647"/>
      <c r="EW45" s="651"/>
      <c r="EX45" s="651"/>
      <c r="EY45" s="651"/>
      <c r="EZ45" s="651"/>
      <c r="FA45" s="647"/>
      <c r="FB45" s="687"/>
      <c r="FC45" s="687"/>
      <c r="FD45" s="687"/>
      <c r="FE45" s="687"/>
      <c r="FF45" s="647"/>
      <c r="FG45" s="687"/>
      <c r="FH45" s="687"/>
      <c r="FI45" s="687"/>
      <c r="FJ45" s="687"/>
      <c r="FK45" s="647"/>
      <c r="FL45" s="687"/>
      <c r="FM45" s="687"/>
      <c r="FN45" s="687"/>
      <c r="FO45" s="687"/>
      <c r="FP45" s="647"/>
      <c r="FQ45" s="687"/>
      <c r="FR45" s="687"/>
      <c r="FS45" s="687"/>
      <c r="FT45" s="687"/>
      <c r="FU45" s="647"/>
      <c r="FV45" s="687"/>
      <c r="FW45" s="687"/>
      <c r="FX45" s="687"/>
      <c r="FY45" s="687"/>
      <c r="FZ45" s="647"/>
      <c r="GA45" s="687"/>
      <c r="GB45" s="687"/>
      <c r="GC45" s="687"/>
      <c r="GD45" s="687"/>
      <c r="GE45" s="647"/>
      <c r="GF45" s="687"/>
      <c r="GG45" s="687"/>
      <c r="GH45" s="687"/>
      <c r="GI45" s="687"/>
      <c r="GJ45" s="647"/>
    </row>
    <row r="46" spans="1:192" s="406" customFormat="1" ht="12.75" hidden="1" customHeight="1" outlineLevel="1">
      <c r="A46" s="774"/>
      <c r="B46" s="1412" t="s">
        <v>154</v>
      </c>
      <c r="C46" s="1413"/>
      <c r="D46" s="1413"/>
      <c r="E46" s="1413"/>
      <c r="F46" s="1413"/>
      <c r="G46" s="1414"/>
      <c r="H46" s="1413"/>
      <c r="I46" s="1413"/>
      <c r="J46" s="1413"/>
      <c r="K46" s="1413"/>
      <c r="L46" s="1414"/>
      <c r="M46" s="1413"/>
      <c r="N46" s="1413"/>
      <c r="O46" s="1413"/>
      <c r="P46" s="1413"/>
      <c r="Q46" s="1414"/>
      <c r="R46" s="1413"/>
      <c r="S46" s="1413"/>
      <c r="T46" s="1413"/>
      <c r="U46" s="1413"/>
      <c r="V46" s="1414"/>
      <c r="W46" s="1413"/>
      <c r="X46" s="1413"/>
      <c r="Y46" s="1413"/>
      <c r="Z46" s="1413"/>
      <c r="AA46" s="1414"/>
      <c r="AB46" s="1413"/>
      <c r="AC46" s="1413"/>
      <c r="AD46" s="1413"/>
      <c r="AE46" s="1413"/>
      <c r="AF46" s="1414"/>
      <c r="AG46" s="1413"/>
      <c r="AH46" s="1413"/>
      <c r="AI46" s="1413"/>
      <c r="AJ46" s="1413"/>
      <c r="AK46" s="1414"/>
      <c r="AL46" s="1413"/>
      <c r="AM46" s="1413"/>
      <c r="AN46" s="1413"/>
      <c r="AO46" s="1413"/>
      <c r="AP46" s="1414"/>
      <c r="AQ46" s="1413"/>
      <c r="AR46" s="1413"/>
      <c r="AS46" s="1413"/>
      <c r="AT46" s="1413"/>
      <c r="AU46" s="1414"/>
      <c r="AV46" s="1413"/>
      <c r="AW46" s="1413"/>
      <c r="AX46" s="1413"/>
      <c r="AY46" s="1413"/>
      <c r="AZ46" s="1414"/>
      <c r="BA46" s="1413"/>
      <c r="BB46" s="1413"/>
      <c r="BC46" s="1413"/>
      <c r="BD46" s="1413"/>
      <c r="BE46" s="1414"/>
      <c r="BF46" s="1413"/>
      <c r="BG46" s="1413"/>
      <c r="BH46" s="1413"/>
      <c r="BI46" s="1413"/>
      <c r="BJ46" s="1414"/>
      <c r="BK46" s="1413"/>
      <c r="BL46" s="1413"/>
      <c r="BM46" s="1413"/>
      <c r="BN46" s="1413"/>
      <c r="BO46" s="1414"/>
      <c r="BP46" s="1413"/>
      <c r="BQ46" s="1413"/>
      <c r="BR46" s="1413"/>
      <c r="BS46" s="1413"/>
      <c r="BT46" s="1414"/>
      <c r="BU46" s="1413"/>
      <c r="BV46" s="1413"/>
      <c r="BW46" s="1413"/>
      <c r="BX46" s="1413"/>
      <c r="BY46" s="1414"/>
      <c r="BZ46" s="1413"/>
      <c r="CA46" s="1413"/>
      <c r="CB46" s="1413"/>
      <c r="CC46" s="1413"/>
      <c r="CD46" s="1414"/>
      <c r="CE46" s="1413"/>
      <c r="CF46" s="1413"/>
      <c r="CG46" s="1413"/>
      <c r="CH46" s="1413"/>
      <c r="CI46" s="1414"/>
      <c r="CJ46" s="1413"/>
      <c r="CK46" s="1413"/>
      <c r="CL46" s="1413"/>
      <c r="CM46" s="1413"/>
      <c r="CN46" s="1414"/>
      <c r="CO46" s="1413"/>
      <c r="CP46" s="1413"/>
      <c r="CQ46" s="1413"/>
      <c r="CR46" s="1413"/>
      <c r="CS46" s="1414"/>
      <c r="CT46" s="1413"/>
      <c r="CU46" s="1413"/>
      <c r="CV46" s="1413"/>
      <c r="CW46" s="1413"/>
      <c r="CX46" s="1414">
        <f>IS!CX147</f>
      </c>
      <c r="CY46" s="1413">
        <f>IS!CY147</f>
      </c>
      <c r="CZ46" s="1413">
        <f>IS!CZ147</f>
      </c>
      <c r="DA46" s="1413">
        <f>IS!DA147</f>
      </c>
      <c r="DB46" s="1413">
        <f>IS!DB147</f>
      </c>
      <c r="DC46" s="1414">
        <f>IS!DC147</f>
      </c>
      <c r="DD46" s="1413">
        <f>IS!DD147</f>
      </c>
      <c r="DE46" s="1413">
        <f>IS!DE147</f>
      </c>
      <c r="DF46" s="1413">
        <f>IS!DF147</f>
      </c>
      <c r="DG46" s="1413">
        <f>IS!DG147</f>
      </c>
      <c r="DH46" s="1414">
        <f>IS!DH147</f>
      </c>
      <c r="DI46" s="1413">
        <f>IS!DI147</f>
      </c>
      <c r="DJ46" s="1413">
        <f>IS!DJ147</f>
      </c>
      <c r="DK46" s="1413">
        <f>IS!DK147</f>
      </c>
      <c r="DL46" s="1413">
        <f>IS!DL147</f>
      </c>
      <c r="DM46" s="1414">
        <f>IS!DM147</f>
      </c>
      <c r="DN46" s="1413">
        <f>IS!DN147</f>
      </c>
      <c r="DO46" s="1413">
        <f>IS!DO147</f>
      </c>
      <c r="DP46" s="1413">
        <f>IS!DP147</f>
      </c>
      <c r="DQ46" s="1413">
        <f>IS!DQ147</f>
      </c>
      <c r="DR46" s="1414">
        <f>IS!DR147</f>
      </c>
      <c r="DS46" s="1413">
        <f>IS!DS147</f>
      </c>
      <c r="DT46" s="1413">
        <f>IS!DT147</f>
      </c>
      <c r="DU46" s="1413">
        <f>IS!DU147</f>
      </c>
      <c r="DV46" s="1413">
        <f>IS!DV147</f>
      </c>
      <c r="DW46" s="1414">
        <f>IS!DW147</f>
      </c>
      <c r="DX46" s="1413">
        <f>IS!DX147</f>
      </c>
      <c r="DY46" s="1413">
        <f>IS!DY147</f>
      </c>
      <c r="DZ46" s="1413">
        <f>IS!DZ147</f>
      </c>
      <c r="EA46" s="1413">
        <f>IS!EA147</f>
      </c>
      <c r="EB46" s="1414">
        <f>IS!EB147</f>
      </c>
      <c r="EC46" s="1413">
        <f>IS!EC147</f>
      </c>
      <c r="ED46" s="1413">
        <f>IS!ED147</f>
      </c>
      <c r="EE46" s="1413">
        <f>IS!EE147</f>
      </c>
      <c r="EF46" s="1413">
        <f>IS!EF147</f>
      </c>
      <c r="EG46" s="1414">
        <f>IS!EG147</f>
      </c>
      <c r="EH46" s="1415">
        <f>IS!EH147</f>
      </c>
      <c r="EI46" s="1416">
        <f>IS!EI147</f>
      </c>
      <c r="EJ46" s="1416">
        <f>IS!EJ147</f>
      </c>
      <c r="EK46" s="1416">
        <f>IS!EK147</f>
      </c>
      <c r="EL46" s="1417">
        <f>IS!EL147</f>
      </c>
      <c r="EM46" s="1416">
        <f>IS!EM147</f>
      </c>
      <c r="EN46" s="1416">
        <f>IS!EN147</f>
      </c>
      <c r="EO46" s="1416">
        <f>IS!EO147</f>
      </c>
      <c r="EP46" s="1416">
        <f>IS!EP147</f>
      </c>
      <c r="EQ46" s="1417">
        <f>IS!EQ147</f>
      </c>
      <c r="ER46" s="1413">
        <f>IS!ER147</f>
      </c>
      <c r="ES46" s="1413">
        <f>IS!ES147</f>
      </c>
      <c r="ET46" s="1416">
        <f>IS!ET147</f>
      </c>
      <c r="EU46" s="1416">
        <f>IS!EU147</f>
      </c>
      <c r="EV46" s="1417">
        <f>IS!EV147</f>
      </c>
      <c r="EW46" s="1413">
        <f>IS!EW147</f>
      </c>
      <c r="EX46" s="1413">
        <f>IS!EX147</f>
      </c>
      <c r="EY46" s="1416">
        <f>IS!EY147</f>
      </c>
      <c r="EZ46" s="1416">
        <f>IS!EZ147</f>
      </c>
      <c r="FA46" s="1417">
        <f>IS!FA147</f>
      </c>
      <c r="FB46" s="1413">
        <f>IS!FB147</f>
      </c>
      <c r="FC46" s="1413">
        <f>IS!FC147</f>
      </c>
      <c r="FD46" s="1413">
        <f>IS!FD147</f>
      </c>
      <c r="FE46" s="1413">
        <f>IS!FE147</f>
      </c>
      <c r="FF46" s="1414">
        <f>IS!FF147</f>
      </c>
      <c r="FG46" s="1413">
        <f>IS!FG147</f>
      </c>
      <c r="FH46" s="1413">
        <f>IS!FH147</f>
      </c>
      <c r="FI46" s="1413">
        <f>IS!FI147</f>
      </c>
      <c r="FJ46" s="1413">
        <f>IS!FJ147</f>
      </c>
      <c r="FK46" s="1414">
        <f>IS!FK147</f>
      </c>
      <c r="FL46" s="1413">
        <f>IS!FL147</f>
      </c>
      <c r="FM46" s="1413">
        <f>IS!FM147</f>
      </c>
      <c r="FN46" s="1413">
        <f>IS!FN147</f>
      </c>
      <c r="FO46" s="1413">
        <f>IS!FO147</f>
      </c>
      <c r="FP46" s="1414">
        <f>IS!FP147</f>
      </c>
      <c r="FQ46" s="1413">
        <f>IS!FQ147</f>
      </c>
      <c r="FR46" s="1413">
        <f>IS!FR147</f>
      </c>
      <c r="FS46" s="1413">
        <f>IS!FS147</f>
      </c>
      <c r="FT46" s="1413">
        <f>IS!FT147</f>
      </c>
      <c r="FU46" s="1414">
        <f>IS!FU147</f>
      </c>
      <c r="FV46" s="1413">
        <f>IS!FV147</f>
      </c>
      <c r="FW46" s="1413">
        <f>IS!FW147</f>
      </c>
      <c r="FX46" s="1413">
        <f>IS!FX147</f>
      </c>
      <c r="FY46" s="1413">
        <f>IS!FY147</f>
      </c>
      <c r="FZ46" s="1414">
        <f>IS!FZ147</f>
      </c>
      <c r="GA46" s="1413">
        <f>IS!GA147</f>
      </c>
      <c r="GB46" s="1413">
        <f>IS!GB147</f>
      </c>
      <c r="GC46" s="1413">
        <f>IS!GC147</f>
      </c>
      <c r="GD46" s="1413">
        <f>IS!GD147</f>
      </c>
      <c r="GE46" s="1414">
        <f>IS!GE147</f>
      </c>
      <c r="GF46" s="1413">
        <f>IS!GF147</f>
      </c>
      <c r="GG46" s="1413">
        <f>IS!GG147</f>
      </c>
      <c r="GH46" s="1413">
        <f>IS!GH147</f>
      </c>
      <c r="GI46" s="1413">
        <f>IS!GI147</f>
      </c>
      <c r="GJ46" s="1414">
        <f>IS!GJ147</f>
      </c>
    </row>
    <row r="47" spans="1:192" s="283" customFormat="1" ht="12.75" customHeight="1" collapsed="1">
      <c r="A47" s="68"/>
      <c r="B47" s="702"/>
      <c r="C47" s="248"/>
      <c r="D47" s="266"/>
      <c r="E47" s="266"/>
      <c r="F47" s="266"/>
      <c r="G47" s="304"/>
      <c r="H47" s="248"/>
      <c r="I47" s="266"/>
      <c r="J47" s="266"/>
      <c r="K47" s="266"/>
      <c r="L47" s="304"/>
      <c r="M47" s="248"/>
      <c r="N47" s="266"/>
      <c r="O47" s="266"/>
      <c r="P47" s="266"/>
      <c r="Q47" s="304"/>
      <c r="R47" s="248"/>
      <c r="S47" s="266"/>
      <c r="T47" s="266"/>
      <c r="U47" s="266"/>
      <c r="V47" s="304"/>
      <c r="W47" s="248"/>
      <c r="X47" s="266"/>
      <c r="Y47" s="266"/>
      <c r="Z47" s="266"/>
      <c r="AA47" s="304"/>
      <c r="AB47" s="248"/>
      <c r="AC47" s="266"/>
      <c r="AD47" s="266"/>
      <c r="AE47" s="266"/>
      <c r="AF47" s="304"/>
      <c r="AG47" s="248"/>
      <c r="AH47" s="266"/>
      <c r="AI47" s="266"/>
      <c r="AJ47" s="266"/>
      <c r="AK47" s="304"/>
      <c r="AL47" s="248"/>
      <c r="AM47" s="266"/>
      <c r="AN47" s="266"/>
      <c r="AO47" s="266"/>
      <c r="AP47" s="304"/>
      <c r="AQ47" s="248"/>
      <c r="AR47" s="266"/>
      <c r="AS47" s="266"/>
      <c r="AT47" s="266"/>
      <c r="AU47" s="304"/>
      <c r="AV47" s="248"/>
      <c r="AW47" s="266"/>
      <c r="AX47" s="266"/>
      <c r="AY47" s="266"/>
      <c r="AZ47" s="304"/>
      <c r="BA47" s="248"/>
      <c r="BB47" s="266"/>
      <c r="BC47" s="266"/>
      <c r="BD47" s="266"/>
      <c r="BE47" s="304"/>
      <c r="BF47" s="248"/>
      <c r="BG47" s="266"/>
      <c r="BH47" s="266"/>
      <c r="BI47" s="266"/>
      <c r="BJ47" s="304"/>
      <c r="BK47" s="248"/>
      <c r="BL47" s="266"/>
      <c r="BM47" s="266"/>
      <c r="BN47" s="266"/>
      <c r="BO47" s="304"/>
      <c r="BP47" s="248"/>
      <c r="BQ47" s="266"/>
      <c r="BR47" s="266"/>
      <c r="BS47" s="266"/>
      <c r="BT47" s="304"/>
      <c r="BU47" s="248"/>
      <c r="BV47" s="266"/>
      <c r="BW47" s="266"/>
      <c r="BX47" s="266"/>
      <c r="BY47" s="304"/>
      <c r="BZ47" s="248"/>
      <c r="CA47" s="266"/>
      <c r="CB47" s="266"/>
      <c r="CC47" s="266"/>
      <c r="CD47" s="304"/>
      <c r="CE47" s="248"/>
      <c r="CF47" s="266"/>
      <c r="CG47" s="266"/>
      <c r="CH47" s="266"/>
      <c r="CI47" s="304"/>
      <c r="CJ47" s="248"/>
      <c r="CK47" s="266"/>
      <c r="CL47" s="266"/>
      <c r="CM47" s="266"/>
      <c r="CN47" s="304"/>
      <c r="CO47" s="248"/>
      <c r="CP47" s="266"/>
      <c r="CQ47" s="266"/>
      <c r="CR47" s="266"/>
      <c r="CS47" s="304"/>
      <c r="CT47" s="248"/>
      <c r="CU47" s="266"/>
      <c r="CV47" s="266"/>
      <c r="CW47" s="266"/>
      <c r="CX47" s="304"/>
      <c r="CY47" s="248"/>
      <c r="CZ47" s="266"/>
      <c r="DA47" s="266"/>
      <c r="DB47" s="266"/>
      <c r="DC47" s="304"/>
      <c r="DD47" s="248"/>
      <c r="DE47" s="266"/>
      <c r="DF47" s="266"/>
      <c r="DG47" s="266"/>
      <c r="DH47" s="304"/>
      <c r="DI47" s="248"/>
      <c r="DJ47" s="266"/>
      <c r="DK47" s="266"/>
      <c r="DL47" s="266"/>
      <c r="DM47" s="304"/>
      <c r="DN47" s="248"/>
      <c r="DO47" s="266"/>
      <c r="DP47" s="266"/>
      <c r="DQ47" s="266"/>
      <c r="DR47" s="304"/>
      <c r="DS47" s="248"/>
      <c r="DT47" s="266"/>
      <c r="DU47" s="266"/>
      <c r="DV47" s="266"/>
      <c r="DW47" s="304"/>
      <c r="DX47" s="248"/>
      <c r="DY47" s="266"/>
      <c r="DZ47" s="266"/>
      <c r="EA47" s="266"/>
      <c r="EB47" s="304"/>
      <c r="EC47" s="248"/>
      <c r="ED47" s="266"/>
      <c r="EE47" s="266"/>
      <c r="EF47" s="266"/>
      <c r="EG47" s="304"/>
      <c r="EH47" s="248"/>
      <c r="EI47" s="266"/>
      <c r="EJ47" s="266"/>
      <c r="EK47" s="266"/>
      <c r="EL47" s="308"/>
      <c r="EM47" s="248"/>
      <c r="EN47" s="266"/>
      <c r="EO47" s="266"/>
      <c r="EP47" s="266"/>
      <c r="EQ47" s="308"/>
      <c r="ER47" s="248"/>
      <c r="ES47" s="266"/>
      <c r="ET47" s="266"/>
      <c r="EU47" s="266"/>
      <c r="EV47" s="304"/>
      <c r="EW47" s="248"/>
      <c r="EX47" s="266"/>
      <c r="EY47" s="266"/>
      <c r="EZ47" s="266"/>
      <c r="FA47" s="304"/>
      <c r="FB47" s="248"/>
      <c r="FC47" s="266"/>
      <c r="FD47" s="266"/>
      <c r="FE47" s="266"/>
      <c r="FF47" s="304"/>
      <c r="FG47" s="248"/>
      <c r="FH47" s="266"/>
      <c r="FI47" s="266"/>
      <c r="FJ47" s="266"/>
      <c r="FK47" s="304"/>
      <c r="FL47" s="248"/>
      <c r="FM47" s="266"/>
      <c r="FN47" s="266"/>
      <c r="FO47" s="266"/>
      <c r="FP47" s="304"/>
      <c r="FQ47" s="248"/>
      <c r="FR47" s="266"/>
      <c r="FS47" s="266"/>
      <c r="FT47" s="266"/>
      <c r="FU47" s="304"/>
      <c r="FV47" s="248"/>
      <c r="FW47" s="266"/>
      <c r="FX47" s="266"/>
      <c r="FY47" s="266"/>
      <c r="FZ47" s="304"/>
      <c r="GA47" s="248"/>
      <c r="GB47" s="266"/>
      <c r="GC47" s="266"/>
      <c r="GD47" s="266"/>
      <c r="GE47" s="304"/>
      <c r="GF47" s="248"/>
      <c r="GG47" s="266"/>
      <c r="GH47" s="266"/>
      <c r="GI47" s="266"/>
      <c r="GJ47" s="304"/>
    </row>
    <row r="55" spans="146:146" ht="12.6" customHeight="1">
      <c r="EP55" s="490"/>
    </row>
    <row r="56" spans="146:146" ht="12.6" customHeight="1">
      <c r="EP56" s="1131"/>
    </row>
  </sheetData>
  <pageMargins left="0.7" right="0.7" top="0.75" bottom="0.75" header="0.3" footer="0.3"/>
  <pageSetup orientation="portrait" r:id="rId1"/>
  <customProperties>
    <customPr name="Qube.Worksheet.Visibility" r:id="rId2"/>
  </customPropertie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CFE8D5-7CB1-4BEF-90D0-29C952F79A9C}">
  <sheetPr>
    <tabColor rgb="FF002060"/>
  </sheetPr>
  <dimension ref="A1:GE611"/>
  <sheetViews>
    <sheetView showGridLines="0" zoomScaleNormal="100" workbookViewId="0">
      <pane xSplit="2" ySplit="8" topLeftCell="EW9" activePane="bottomRight" state="frozen"/>
      <selection activeCell="DD115" sqref="DD115"/>
      <selection pane="topRight" activeCell="DD115" sqref="DD115"/>
      <selection pane="bottomLeft" activeCell="DD115" sqref="DD115"/>
      <selection pane="bottomRight"/>
    </sheetView>
  </sheetViews>
  <sheetFormatPr defaultColWidth="9.109375" defaultRowHeight="12.75" customHeight="1" outlineLevelRow="1" outlineLevelCol="1"/>
  <cols>
    <col min="1" max="1" width="3.5546875" style="68" customWidth="1"/>
    <col min="2" max="2" width="42.109375" style="93" bestFit="1" customWidth="1"/>
    <col min="3" max="3" width="9.109375" style="94" hidden="1" customWidth="1" outlineLevel="1"/>
    <col min="4" max="6" width="9.109375" style="142" hidden="1" customWidth="1" outlineLevel="1"/>
    <col min="7" max="7" width="9.88671875" style="142" bestFit="1" customWidth="1" collapsed="1"/>
    <col min="8" max="8" width="9.109375" style="94" hidden="1" customWidth="1" outlineLevel="1"/>
    <col min="9" max="11" width="9.109375" style="142" hidden="1" customWidth="1" outlineLevel="1"/>
    <col min="12" max="12" width="9.88671875" style="142" bestFit="1" customWidth="1" collapsed="1"/>
    <col min="13" max="13" width="9.109375" style="94" hidden="1" customWidth="1" outlineLevel="1"/>
    <col min="14" max="16" width="9.109375" style="142" hidden="1" customWidth="1" outlineLevel="1"/>
    <col min="17" max="17" width="9.88671875" style="142" bestFit="1" customWidth="1" collapsed="1"/>
    <col min="18" max="18" width="9.5546875" style="94" hidden="1" customWidth="1" outlineLevel="1"/>
    <col min="19" max="21" width="9.5546875" style="142" hidden="1" customWidth="1" outlineLevel="1"/>
    <col min="22" max="22" width="9.88671875" style="142" bestFit="1" customWidth="1" collapsed="1"/>
    <col min="23" max="23" width="9.5546875" style="94" hidden="1" customWidth="1" outlineLevel="1"/>
    <col min="24" max="26" width="9.5546875" style="142" hidden="1" customWidth="1" outlineLevel="1"/>
    <col min="27" max="27" width="9.88671875" style="142" bestFit="1" customWidth="1" collapsed="1"/>
    <col min="28" max="28" width="9.5546875" style="94" hidden="1" customWidth="1" outlineLevel="1"/>
    <col min="29" max="31" width="9.5546875" style="142" hidden="1" customWidth="1" outlineLevel="1"/>
    <col min="32" max="32" width="9.88671875" style="142" bestFit="1" customWidth="1" collapsed="1"/>
    <col min="33" max="33" width="9.5546875" style="94" hidden="1" customWidth="1" outlineLevel="1"/>
    <col min="34" max="36" width="9.5546875" style="142" hidden="1" customWidth="1" outlineLevel="1"/>
    <col min="37" max="37" width="9.88671875" style="142" bestFit="1" customWidth="1" collapsed="1"/>
    <col min="38" max="38" width="9.5546875" style="94" hidden="1" customWidth="1" outlineLevel="1"/>
    <col min="39" max="41" width="9.5546875" style="142" hidden="1" customWidth="1" outlineLevel="1"/>
    <col min="42" max="42" width="9.88671875" style="142" bestFit="1" customWidth="1" collapsed="1"/>
    <col min="43" max="43" width="9.5546875" style="94" hidden="1" customWidth="1" outlineLevel="1"/>
    <col min="44" max="46" width="9.5546875" style="142" hidden="1" customWidth="1" outlineLevel="1"/>
    <col min="47" max="47" width="9.88671875" style="142" bestFit="1" customWidth="1" collapsed="1"/>
    <col min="48" max="48" width="9.5546875" style="94" hidden="1" customWidth="1" outlineLevel="1"/>
    <col min="49" max="51" width="9.5546875" style="142" hidden="1" customWidth="1" outlineLevel="1"/>
    <col min="52" max="52" width="9.88671875" style="142" bestFit="1" customWidth="1" collapsed="1"/>
    <col min="53" max="53" width="9.5546875" style="94" hidden="1" customWidth="1" outlineLevel="1"/>
    <col min="54" max="56" width="9.5546875" style="142" hidden="1" customWidth="1" outlineLevel="1"/>
    <col min="57" max="57" width="9.88671875" style="142" bestFit="1" customWidth="1" collapsed="1"/>
    <col min="58" max="58" width="9.5546875" style="94" hidden="1" customWidth="1" outlineLevel="1"/>
    <col min="59" max="60" width="9.5546875" style="142" hidden="1" customWidth="1" outlineLevel="1"/>
    <col min="61" max="61" width="10.44140625" style="142" hidden="1" customWidth="1" outlineLevel="1"/>
    <col min="62" max="62" width="10.5546875" style="142" bestFit="1" customWidth="1" collapsed="1"/>
    <col min="63" max="63" width="10.44140625" style="94" hidden="1" customWidth="1" outlineLevel="1"/>
    <col min="64" max="66" width="10.44140625" style="142" hidden="1" customWidth="1" outlineLevel="1"/>
    <col min="67" max="67" width="10.5546875" style="142" bestFit="1" customWidth="1" collapsed="1"/>
    <col min="68" max="68" width="10.44140625" style="94" hidden="1" customWidth="1" outlineLevel="1"/>
    <col min="69" max="71" width="10.44140625" style="142" hidden="1" customWidth="1" outlineLevel="1"/>
    <col min="72" max="72" width="10.5546875" style="142" bestFit="1" customWidth="1" collapsed="1"/>
    <col min="73" max="73" width="10.44140625" style="94" hidden="1" customWidth="1" outlineLevel="1"/>
    <col min="74" max="76" width="10.44140625" style="142" hidden="1" customWidth="1" outlineLevel="1"/>
    <col min="77" max="77" width="10.5546875" style="142" bestFit="1" customWidth="1" collapsed="1"/>
    <col min="78" max="78" width="10.44140625" style="94" hidden="1" customWidth="1" outlineLevel="1"/>
    <col min="79" max="81" width="10.44140625" style="142" hidden="1" customWidth="1" outlineLevel="1"/>
    <col min="82" max="82" width="10.5546875" style="142" bestFit="1" customWidth="1" collapsed="1"/>
    <col min="83" max="83" width="10.5546875" style="94" hidden="1" customWidth="1" outlineLevel="1"/>
    <col min="84" max="86" width="10.5546875" style="142" hidden="1" customWidth="1" outlineLevel="1"/>
    <col min="87" max="87" width="10.88671875" style="142" bestFit="1" customWidth="1" collapsed="1"/>
    <col min="88" max="88" width="10.5546875" style="94" hidden="1" customWidth="1" outlineLevel="1"/>
    <col min="89" max="91" width="10.5546875" style="142" hidden="1" customWidth="1" outlineLevel="1"/>
    <col min="92" max="92" width="10.88671875" style="142" bestFit="1" customWidth="1" collapsed="1"/>
    <col min="93" max="93" width="10.5546875" style="94" hidden="1" customWidth="1" outlineLevel="1"/>
    <col min="94" max="96" width="10.5546875" style="142" hidden="1" customWidth="1" outlineLevel="1"/>
    <col min="97" max="97" width="10.88671875" style="142" bestFit="1" customWidth="1" collapsed="1"/>
    <col min="98" max="98" width="10.5546875" style="94" hidden="1" customWidth="1" outlineLevel="1"/>
    <col min="99" max="101" width="10.5546875" style="142" hidden="1" customWidth="1" outlineLevel="1"/>
    <col min="102" max="102" width="10.88671875" style="142" bestFit="1" customWidth="1" collapsed="1"/>
    <col min="103" max="103" width="10.5546875" style="94" hidden="1" customWidth="1" outlineLevel="1"/>
    <col min="104" max="106" width="10.5546875" style="142" hidden="1" customWidth="1" outlineLevel="1"/>
    <col min="107" max="107" width="10.88671875" style="142" bestFit="1" customWidth="1" collapsed="1"/>
    <col min="108" max="108" width="10.5546875" style="94" hidden="1" customWidth="1" outlineLevel="1"/>
    <col min="109" max="111" width="10.5546875" style="142" hidden="1" customWidth="1" outlineLevel="1"/>
    <col min="112" max="112" width="10.88671875" style="142" bestFit="1" customWidth="1" collapsed="1"/>
    <col min="113" max="113" width="10.5546875" style="94" hidden="1" customWidth="1" outlineLevel="1"/>
    <col min="114" max="116" width="10.5546875" style="142" hidden="1" customWidth="1" outlineLevel="1"/>
    <col min="117" max="117" width="11.44140625" style="142" bestFit="1" customWidth="1" collapsed="1"/>
    <col min="118" max="118" width="10.5546875" style="94" hidden="1" customWidth="1" outlineLevel="1"/>
    <col min="119" max="121" width="10.5546875" style="142" hidden="1" customWidth="1" outlineLevel="1"/>
    <col min="122" max="122" width="11.88671875" style="142" bestFit="1" customWidth="1" collapsed="1"/>
    <col min="123" max="123" width="10.5546875" style="94" hidden="1" customWidth="1" outlineLevel="1"/>
    <col min="124" max="126" width="10.5546875" style="142" hidden="1" customWidth="1" outlineLevel="1"/>
    <col min="127" max="127" width="11.88671875" style="142" bestFit="1" customWidth="1" collapsed="1"/>
    <col min="128" max="128" width="10.5546875" style="94" hidden="1" customWidth="1" outlineLevel="1"/>
    <col min="129" max="131" width="10.5546875" style="142" hidden="1" customWidth="1" outlineLevel="1"/>
    <col min="132" max="132" width="11.88671875" style="142" bestFit="1" customWidth="1" collapsed="1"/>
    <col min="133" max="133" width="10.5546875" style="94" hidden="1" customWidth="1" outlineLevel="1"/>
    <col min="134" max="136" width="10.5546875" style="142" hidden="1" customWidth="1" outlineLevel="1"/>
    <col min="137" max="137" width="11.88671875" style="142" bestFit="1" customWidth="1" collapsed="1"/>
    <col min="138" max="138" width="10.5546875" style="94" hidden="1" customWidth="1" outlineLevel="1"/>
    <col min="139" max="141" width="10.5546875" style="142" hidden="1" customWidth="1" outlineLevel="1"/>
    <col min="142" max="142" width="11.88671875" style="142" bestFit="1" customWidth="1" collapsed="1"/>
    <col min="143" max="143" width="10.5546875" style="94" hidden="1" customWidth="1" outlineLevel="1"/>
    <col min="144" max="146" width="10.5546875" style="142" hidden="1" customWidth="1" outlineLevel="1"/>
    <col min="147" max="147" width="11.88671875" style="142" bestFit="1" customWidth="1" collapsed="1"/>
    <col min="148" max="148" width="10.5546875" style="94" hidden="1" customWidth="1" outlineLevel="1"/>
    <col min="149" max="151" width="9.5546875" style="142" hidden="1" customWidth="1" outlineLevel="1"/>
    <col min="152" max="152" width="10.88671875" style="142" bestFit="1" customWidth="1" collapsed="1"/>
    <col min="153" max="153" width="9.5546875" style="94" customWidth="1" outlineLevel="1"/>
    <col min="154" max="156" width="9.5546875" style="142" customWidth="1" outlineLevel="1"/>
    <col min="157" max="157" width="10.88671875" style="142" bestFit="1" customWidth="1"/>
    <col min="158" max="158" width="9.5546875" style="94" customWidth="1" outlineLevel="1"/>
    <col min="159" max="161" width="9.5546875" style="142" customWidth="1" outlineLevel="1"/>
    <col min="162" max="162" width="9.88671875" style="142" bestFit="1" customWidth="1"/>
    <col min="163" max="163" width="9.5546875" style="94" customWidth="1" outlineLevel="1"/>
    <col min="164" max="166" width="9.5546875" style="142" customWidth="1" outlineLevel="1"/>
    <col min="167" max="167" width="9.88671875" style="142" bestFit="1" customWidth="1"/>
    <col min="168" max="168" width="9.5546875" style="94" hidden="1" customWidth="1" outlineLevel="1"/>
    <col min="169" max="171" width="9.5546875" style="142" hidden="1" customWidth="1" outlineLevel="1"/>
    <col min="172" max="172" width="9.88671875" style="142" bestFit="1" customWidth="1" collapsed="1"/>
    <col min="173" max="173" width="9.5546875" style="94" hidden="1" customWidth="1" outlineLevel="1"/>
    <col min="174" max="176" width="9.5546875" style="142" hidden="1" customWidth="1" outlineLevel="1"/>
    <col min="177" max="177" width="9.88671875" style="142" bestFit="1" customWidth="1" collapsed="1"/>
    <col min="178" max="178" width="9.5546875" style="94" hidden="1" customWidth="1" outlineLevel="1"/>
    <col min="179" max="181" width="9.5546875" style="142" hidden="1" customWidth="1" outlineLevel="1"/>
    <col min="182" max="182" width="9.88671875" style="142" bestFit="1" customWidth="1" collapsed="1"/>
    <col min="183" max="183" width="9.5546875" style="94" hidden="1" customWidth="1" outlineLevel="1"/>
    <col min="184" max="186" width="9.5546875" style="142" hidden="1" customWidth="1" outlineLevel="1"/>
    <col min="187" max="187" width="9.88671875" style="142" bestFit="1" customWidth="1" collapsed="1"/>
    <col min="188" max="16384" width="9.109375" style="93"/>
  </cols>
  <sheetData>
    <row r="1" spans="1:187" ht="12.75" customHeight="1">
      <c r="D1" s="95"/>
      <c r="E1" s="95"/>
      <c r="F1" s="95"/>
      <c r="G1" s="95"/>
      <c r="I1" s="95"/>
      <c r="J1" s="95"/>
      <c r="K1" s="95"/>
      <c r="L1" s="95"/>
      <c r="N1" s="95"/>
      <c r="O1" s="95"/>
      <c r="P1" s="95"/>
      <c r="Q1" s="95"/>
      <c r="S1" s="95"/>
      <c r="T1" s="95"/>
      <c r="U1" s="95"/>
      <c r="V1" s="95"/>
      <c r="X1" s="95"/>
      <c r="Y1" s="95"/>
      <c r="Z1" s="95"/>
      <c r="AA1" s="95"/>
      <c r="AC1" s="95"/>
      <c r="AD1" s="95"/>
      <c r="AE1" s="95"/>
      <c r="AF1" s="95"/>
      <c r="AH1" s="95"/>
      <c r="AI1" s="95"/>
      <c r="AJ1" s="95"/>
      <c r="AK1" s="95"/>
      <c r="AM1" s="95"/>
      <c r="AN1" s="95"/>
      <c r="AO1" s="95"/>
      <c r="AP1" s="95"/>
      <c r="AR1" s="95"/>
      <c r="AS1" s="95"/>
      <c r="AT1" s="95"/>
      <c r="AU1" s="95"/>
      <c r="AW1" s="95"/>
      <c r="AX1" s="95"/>
      <c r="AY1" s="95"/>
      <c r="AZ1" s="95"/>
      <c r="BB1" s="95"/>
      <c r="BC1" s="95"/>
      <c r="BD1" s="95"/>
      <c r="BE1" s="95"/>
      <c r="BG1" s="95"/>
      <c r="BH1" s="95"/>
      <c r="BI1" s="95"/>
      <c r="BJ1" s="95"/>
      <c r="BL1" s="95"/>
      <c r="BM1" s="95"/>
      <c r="BN1" s="95"/>
      <c r="BO1" s="95"/>
      <c r="BQ1" s="95"/>
      <c r="BR1" s="95"/>
      <c r="BS1" s="95"/>
      <c r="BT1" s="95"/>
      <c r="BV1" s="95"/>
      <c r="BW1" s="95"/>
      <c r="BX1" s="95"/>
      <c r="BY1" s="95"/>
      <c r="CA1" s="95"/>
      <c r="CB1" s="95"/>
      <c r="CC1" s="95"/>
      <c r="CD1" s="95"/>
      <c r="CF1" s="95"/>
      <c r="CG1" s="95"/>
      <c r="CH1" s="95"/>
      <c r="CI1" s="95"/>
      <c r="CK1" s="95"/>
      <c r="CL1" s="95"/>
      <c r="CM1" s="95"/>
      <c r="CN1" s="95"/>
      <c r="CP1" s="95"/>
      <c r="CQ1" s="95"/>
      <c r="CR1" s="95"/>
      <c r="CS1" s="95"/>
      <c r="CU1" s="95"/>
      <c r="CV1" s="95"/>
      <c r="CW1" s="95"/>
      <c r="CX1" s="95"/>
      <c r="CZ1" s="95"/>
      <c r="DA1" s="95"/>
      <c r="DB1" s="95"/>
      <c r="DC1" s="95"/>
      <c r="DE1" s="95"/>
      <c r="DF1" s="95"/>
      <c r="DG1" s="95"/>
      <c r="DH1" s="95"/>
      <c r="DJ1" s="95"/>
      <c r="DK1" s="95"/>
      <c r="DL1" s="95"/>
      <c r="DM1" s="95"/>
      <c r="DO1" s="95"/>
      <c r="DP1" s="95"/>
      <c r="DQ1" s="95"/>
      <c r="DR1" s="95"/>
      <c r="DT1" s="95"/>
      <c r="DU1" s="95"/>
      <c r="DV1" s="95"/>
      <c r="DW1" s="95"/>
      <c r="DY1" s="95"/>
      <c r="DZ1" s="95"/>
      <c r="EA1" s="95"/>
      <c r="EB1" s="95"/>
      <c r="ED1" s="95"/>
      <c r="EE1" s="95"/>
      <c r="EF1" s="95"/>
      <c r="EG1" s="95"/>
      <c r="EI1" s="95"/>
      <c r="EJ1" s="95"/>
      <c r="EK1" s="95"/>
      <c r="EL1" s="95"/>
      <c r="EN1" s="95"/>
      <c r="EO1" s="95"/>
      <c r="EP1" s="95"/>
      <c r="EQ1" s="95"/>
      <c r="ES1" s="95"/>
      <c r="ET1" s="95"/>
      <c r="EU1" s="95"/>
      <c r="EV1" s="95"/>
      <c r="EX1" s="95"/>
      <c r="EY1" s="95"/>
      <c r="EZ1" s="95"/>
      <c r="FA1" s="95"/>
      <c r="FC1" s="95"/>
      <c r="FD1" s="95"/>
      <c r="FE1" s="95"/>
      <c r="FF1" s="95"/>
      <c r="FH1" s="95"/>
      <c r="FI1" s="95"/>
      <c r="FJ1" s="95"/>
      <c r="FK1" s="95"/>
      <c r="FM1" s="95"/>
      <c r="FN1" s="95"/>
      <c r="FO1" s="95"/>
      <c r="FP1" s="95"/>
      <c r="FR1" s="95"/>
      <c r="FS1" s="95"/>
      <c r="FT1" s="95"/>
      <c r="FU1" s="95"/>
      <c r="FW1" s="95"/>
      <c r="FX1" s="95"/>
      <c r="FY1" s="95"/>
      <c r="FZ1" s="95"/>
      <c r="GB1" s="95"/>
      <c r="GC1" s="95"/>
      <c r="GD1" s="95"/>
      <c r="GE1" s="95"/>
    </row>
    <row r="2" spans="1:187" ht="12.75" customHeight="1">
      <c r="B2" s="40" t="s">
        <v>63</v>
      </c>
      <c r="D2" s="95"/>
      <c r="E2" s="95"/>
      <c r="F2" s="95"/>
      <c r="G2" s="95"/>
      <c r="I2" s="95"/>
      <c r="J2" s="95"/>
      <c r="K2" s="95"/>
      <c r="L2" s="95"/>
      <c r="N2" s="95"/>
      <c r="O2" s="95"/>
      <c r="P2" s="95"/>
      <c r="Q2" s="95"/>
      <c r="S2" s="95"/>
      <c r="T2" s="95"/>
      <c r="U2" s="95"/>
      <c r="V2" s="95"/>
      <c r="X2" s="95"/>
      <c r="Y2" s="95"/>
      <c r="Z2" s="95"/>
      <c r="AA2" s="95"/>
      <c r="AC2" s="95"/>
      <c r="AD2" s="95"/>
      <c r="AE2" s="95"/>
      <c r="AF2" s="95"/>
      <c r="AH2" s="95"/>
      <c r="AI2" s="95"/>
      <c r="AJ2" s="95"/>
      <c r="AK2" s="95"/>
      <c r="AM2" s="95"/>
      <c r="AN2" s="95"/>
      <c r="AO2" s="95"/>
      <c r="AP2" s="95"/>
      <c r="AR2" s="95"/>
      <c r="AS2" s="95"/>
      <c r="AT2" s="95"/>
      <c r="AU2" s="95"/>
      <c r="AW2" s="95"/>
      <c r="AX2" s="95"/>
      <c r="AY2" s="95"/>
      <c r="AZ2" s="95"/>
      <c r="BB2" s="95"/>
      <c r="BC2" s="95"/>
      <c r="BD2" s="95"/>
      <c r="BE2" s="95"/>
      <c r="BG2" s="95"/>
      <c r="BH2" s="95"/>
      <c r="BI2" s="95"/>
      <c r="BJ2" s="95"/>
      <c r="BL2" s="95"/>
      <c r="BM2" s="95"/>
      <c r="BN2" s="95"/>
      <c r="BO2" s="95"/>
      <c r="BQ2" s="95"/>
      <c r="BR2" s="95"/>
      <c r="BS2" s="95"/>
      <c r="BT2" s="95"/>
      <c r="BV2" s="95"/>
      <c r="BW2" s="95"/>
      <c r="BX2" s="95"/>
      <c r="BY2" s="95"/>
      <c r="CA2" s="95"/>
      <c r="CB2" s="95"/>
      <c r="CC2" s="95"/>
      <c r="CD2" s="95"/>
      <c r="CF2" s="95"/>
      <c r="CG2" s="95"/>
      <c r="CH2" s="95"/>
      <c r="CI2" s="95"/>
      <c r="CK2" s="95"/>
      <c r="CL2" s="95"/>
      <c r="CM2" s="95"/>
      <c r="CN2" s="95"/>
      <c r="CP2" s="95"/>
      <c r="CQ2" s="95"/>
      <c r="CR2" s="95"/>
      <c r="CS2" s="95"/>
      <c r="CU2" s="95"/>
      <c r="CV2" s="95"/>
      <c r="CW2" s="95"/>
      <c r="CX2" s="95"/>
      <c r="CZ2" s="95"/>
      <c r="DA2" s="95"/>
      <c r="DB2" s="95"/>
      <c r="DC2" s="95"/>
      <c r="DE2" s="95"/>
      <c r="DF2" s="95"/>
      <c r="DG2" s="95"/>
      <c r="DH2" s="95"/>
      <c r="DJ2" s="95"/>
      <c r="DK2" s="95"/>
      <c r="DL2" s="95"/>
      <c r="DM2" s="95"/>
      <c r="DO2" s="95"/>
      <c r="DP2" s="95"/>
      <c r="DQ2" s="95"/>
      <c r="DR2" s="95"/>
      <c r="DT2" s="95"/>
      <c r="DU2" s="95"/>
      <c r="DV2" s="95"/>
      <c r="DW2" s="95"/>
      <c r="DY2" s="95"/>
      <c r="DZ2" s="95"/>
      <c r="EA2" s="95"/>
      <c r="EB2" s="95"/>
      <c r="ED2" s="95"/>
      <c r="EE2" s="95"/>
      <c r="EF2" s="95"/>
      <c r="EG2" s="95"/>
      <c r="EI2" s="95"/>
      <c r="EJ2" s="95"/>
      <c r="EK2" s="95"/>
      <c r="EL2" s="95"/>
      <c r="EN2" s="95"/>
      <c r="EO2" s="95"/>
      <c r="EP2" s="95"/>
      <c r="EQ2" s="95"/>
      <c r="ES2" s="95"/>
      <c r="ET2" s="95"/>
      <c r="EU2" s="95"/>
      <c r="EV2" s="95"/>
      <c r="EX2" s="95"/>
      <c r="EY2" s="95"/>
      <c r="EZ2" s="95"/>
      <c r="FA2" s="95"/>
      <c r="FC2" s="95"/>
      <c r="FD2" s="95"/>
      <c r="FE2" s="95"/>
      <c r="FF2" s="95"/>
      <c r="FH2" s="95"/>
      <c r="FI2" s="95"/>
      <c r="FJ2" s="95"/>
      <c r="FK2" s="95"/>
      <c r="FM2" s="95"/>
      <c r="FN2" s="95"/>
      <c r="FO2" s="95"/>
      <c r="FP2" s="95"/>
      <c r="FR2" s="95"/>
      <c r="FS2" s="95"/>
      <c r="FT2" s="95"/>
      <c r="FU2" s="95"/>
      <c r="FW2" s="95"/>
      <c r="FX2" s="95"/>
      <c r="FY2" s="95"/>
      <c r="FZ2" s="95"/>
      <c r="GB2" s="95"/>
      <c r="GC2" s="95"/>
      <c r="GD2" s="95"/>
      <c r="GE2" s="95"/>
    </row>
    <row r="3" spans="1:187" ht="12.75" customHeight="1">
      <c r="B3" s="40" t="s">
        <v>64</v>
      </c>
      <c r="D3" s="95"/>
      <c r="E3" s="95"/>
      <c r="F3" s="95"/>
      <c r="G3" s="95"/>
      <c r="I3" s="95"/>
      <c r="J3" s="95"/>
      <c r="K3" s="95"/>
      <c r="L3" s="95"/>
      <c r="N3" s="95"/>
      <c r="O3" s="95"/>
      <c r="P3" s="95"/>
      <c r="Q3" s="95"/>
      <c r="S3" s="95"/>
      <c r="T3" s="95"/>
      <c r="U3" s="95"/>
      <c r="V3" s="95"/>
      <c r="X3" s="95"/>
      <c r="Y3" s="95"/>
      <c r="Z3" s="95"/>
      <c r="AA3" s="95"/>
      <c r="AC3" s="95"/>
      <c r="AD3" s="95"/>
      <c r="AE3" s="95"/>
      <c r="AF3" s="95"/>
      <c r="AH3" s="95"/>
      <c r="AI3" s="95"/>
      <c r="AJ3" s="95"/>
      <c r="AK3" s="95"/>
      <c r="AM3" s="95"/>
      <c r="AN3" s="95"/>
      <c r="AO3" s="95"/>
      <c r="AP3" s="95"/>
      <c r="AR3" s="95"/>
      <c r="AS3" s="95"/>
      <c r="AT3" s="95"/>
      <c r="AU3" s="95"/>
      <c r="AW3" s="95"/>
      <c r="AX3" s="95"/>
      <c r="AY3" s="95"/>
      <c r="AZ3" s="95"/>
      <c r="BB3" s="95"/>
      <c r="BC3" s="95"/>
      <c r="BD3" s="95"/>
      <c r="BE3" s="95"/>
      <c r="BG3" s="95"/>
      <c r="BH3" s="95"/>
      <c r="BI3" s="95"/>
      <c r="BJ3" s="95"/>
      <c r="BL3" s="95"/>
      <c r="BM3" s="95"/>
      <c r="BN3" s="95"/>
      <c r="BO3" s="95"/>
      <c r="BQ3" s="95"/>
      <c r="BR3" s="95"/>
      <c r="BS3" s="95"/>
      <c r="BT3" s="95"/>
      <c r="BV3" s="95"/>
      <c r="BW3" s="95"/>
      <c r="BX3" s="95"/>
      <c r="BY3" s="95"/>
      <c r="CA3" s="95"/>
      <c r="CB3" s="95"/>
      <c r="CC3" s="95"/>
      <c r="CD3" s="95"/>
      <c r="CF3" s="95"/>
      <c r="CG3" s="95"/>
      <c r="CH3" s="95"/>
      <c r="CI3" s="95"/>
      <c r="CK3" s="95"/>
      <c r="CL3" s="95"/>
      <c r="CM3" s="95"/>
      <c r="CN3" s="95"/>
      <c r="CP3" s="95"/>
      <c r="CQ3" s="95"/>
      <c r="CR3" s="95"/>
      <c r="CS3" s="95"/>
      <c r="CU3" s="95"/>
      <c r="CV3" s="95"/>
      <c r="CW3" s="95"/>
      <c r="CX3" s="95"/>
      <c r="CZ3" s="95"/>
      <c r="DA3" s="95"/>
      <c r="DB3" s="95"/>
      <c r="DC3" s="95"/>
      <c r="DE3" s="95"/>
      <c r="DF3" s="95"/>
      <c r="DG3" s="95"/>
      <c r="DH3" s="95"/>
      <c r="DJ3" s="95"/>
      <c r="DK3" s="95"/>
      <c r="DL3" s="95"/>
      <c r="DM3" s="95"/>
      <c r="DO3" s="95"/>
      <c r="DP3" s="95"/>
      <c r="DQ3" s="95"/>
      <c r="DR3" s="95"/>
      <c r="DT3" s="95"/>
      <c r="DU3" s="95"/>
      <c r="DV3" s="95"/>
      <c r="DW3" s="95"/>
      <c r="DY3" s="95"/>
      <c r="DZ3" s="95"/>
      <c r="EA3" s="95"/>
      <c r="EB3" s="95"/>
      <c r="ED3" s="95"/>
      <c r="EE3" s="95"/>
      <c r="EF3" s="95"/>
      <c r="EG3" s="95"/>
      <c r="EI3" s="95"/>
      <c r="EJ3" s="95"/>
      <c r="EK3" s="95"/>
      <c r="EL3" s="95"/>
      <c r="EN3" s="95"/>
      <c r="EO3" s="95"/>
      <c r="EP3" s="95"/>
      <c r="EQ3" s="95"/>
      <c r="ES3" s="95"/>
      <c r="ET3" s="95"/>
      <c r="EU3" s="95"/>
      <c r="EV3" s="95"/>
      <c r="EX3" s="95"/>
      <c r="EY3" s="95"/>
      <c r="EZ3" s="95"/>
      <c r="FA3" s="95"/>
      <c r="FC3" s="95"/>
      <c r="FD3" s="95"/>
      <c r="FE3" s="95"/>
      <c r="FF3" s="95"/>
      <c r="FH3" s="95"/>
      <c r="FI3" s="95"/>
      <c r="FJ3" s="95"/>
      <c r="FK3" s="95"/>
      <c r="FM3" s="95"/>
      <c r="FN3" s="95"/>
      <c r="FO3" s="95"/>
      <c r="FP3" s="95"/>
      <c r="FR3" s="95"/>
      <c r="FS3" s="95"/>
      <c r="FT3" s="95"/>
      <c r="FU3" s="95"/>
      <c r="FW3" s="95"/>
      <c r="FX3" s="95"/>
      <c r="FY3" s="95"/>
      <c r="FZ3" s="95"/>
      <c r="GB3" s="95"/>
      <c r="GC3" s="95"/>
      <c r="GD3" s="95"/>
      <c r="GE3" s="95"/>
    </row>
    <row r="4" spans="1:187" ht="12.75" customHeight="1">
      <c r="B4" s="40" t="s">
        <v>27</v>
      </c>
      <c r="D4" s="95"/>
      <c r="E4" s="95"/>
      <c r="F4" s="95"/>
      <c r="G4" s="95"/>
      <c r="I4" s="95"/>
      <c r="J4" s="95"/>
      <c r="K4" s="95"/>
      <c r="L4" s="95"/>
      <c r="N4" s="95"/>
      <c r="O4" s="95"/>
      <c r="P4" s="95"/>
      <c r="Q4" s="95"/>
      <c r="S4" s="95"/>
      <c r="T4" s="95"/>
      <c r="U4" s="95"/>
      <c r="V4" s="95"/>
      <c r="X4" s="95"/>
      <c r="Y4" s="95"/>
      <c r="Z4" s="95"/>
      <c r="AA4" s="95"/>
      <c r="AC4" s="95"/>
      <c r="AD4" s="95"/>
      <c r="AE4" s="95"/>
      <c r="AF4" s="95"/>
      <c r="AH4" s="95"/>
      <c r="AI4" s="95"/>
      <c r="AJ4" s="95"/>
      <c r="AK4" s="95"/>
      <c r="AM4" s="95"/>
      <c r="AN4" s="95"/>
      <c r="AO4" s="95"/>
      <c r="AP4" s="95"/>
      <c r="AR4" s="95"/>
      <c r="AS4" s="95"/>
      <c r="AT4" s="95"/>
      <c r="AU4" s="95"/>
      <c r="AW4" s="95"/>
      <c r="AX4" s="95"/>
      <c r="AY4" s="95"/>
      <c r="AZ4" s="95"/>
      <c r="BB4" s="95"/>
      <c r="BC4" s="95"/>
      <c r="BD4" s="95"/>
      <c r="BE4" s="95"/>
      <c r="BG4" s="95"/>
      <c r="BH4" s="95"/>
      <c r="BI4" s="95"/>
      <c r="BJ4" s="95"/>
      <c r="BL4" s="95"/>
      <c r="BM4" s="95"/>
      <c r="BN4" s="95"/>
      <c r="BO4" s="95"/>
      <c r="BQ4" s="95"/>
      <c r="BR4" s="95"/>
      <c r="BS4" s="95"/>
      <c r="BT4" s="95"/>
      <c r="BV4" s="95"/>
      <c r="BW4" s="95"/>
      <c r="BX4" s="95"/>
      <c r="BY4" s="95"/>
      <c r="CA4" s="95"/>
      <c r="CB4" s="95"/>
      <c r="CC4" s="95"/>
      <c r="CD4" s="95"/>
      <c r="CF4" s="95"/>
      <c r="CG4" s="95"/>
      <c r="CH4" s="95"/>
      <c r="CI4" s="95"/>
      <c r="CK4" s="95"/>
      <c r="CL4" s="95"/>
      <c r="CM4" s="95"/>
      <c r="CN4" s="95"/>
      <c r="CP4" s="95"/>
      <c r="CQ4" s="95"/>
      <c r="CR4" s="95"/>
      <c r="CS4" s="95"/>
      <c r="CU4" s="95"/>
      <c r="CV4" s="95"/>
      <c r="CW4" s="95"/>
      <c r="CX4" s="95"/>
      <c r="CZ4" s="95"/>
      <c r="DA4" s="95"/>
      <c r="DB4" s="95"/>
      <c r="DC4" s="95"/>
      <c r="DE4" s="95"/>
      <c r="DF4" s="95"/>
      <c r="DG4" s="95"/>
      <c r="DH4" s="95"/>
      <c r="DJ4" s="95"/>
      <c r="DK4" s="95"/>
      <c r="DL4" s="95"/>
      <c r="DM4" s="95"/>
      <c r="DO4" s="95"/>
      <c r="DP4" s="95"/>
      <c r="DQ4" s="95"/>
      <c r="DR4" s="95"/>
      <c r="DT4" s="95"/>
      <c r="DU4" s="95"/>
      <c r="DV4" s="95"/>
      <c r="DW4" s="95"/>
      <c r="DY4" s="95"/>
      <c r="DZ4" s="95"/>
      <c r="EA4" s="95"/>
      <c r="EB4" s="95"/>
      <c r="ED4" s="95"/>
      <c r="EE4" s="95"/>
      <c r="EF4" s="95"/>
      <c r="EG4" s="95"/>
      <c r="EI4" s="95"/>
      <c r="EJ4" s="95"/>
      <c r="EK4" s="95"/>
      <c r="EL4" s="95"/>
      <c r="EN4" s="95"/>
      <c r="EO4" s="95"/>
      <c r="EP4" s="95"/>
      <c r="EQ4" s="95"/>
      <c r="ES4" s="95"/>
      <c r="ET4" s="95"/>
      <c r="EU4" s="95"/>
      <c r="EV4" s="95"/>
      <c r="EX4" s="95"/>
      <c r="EY4" s="95"/>
      <c r="EZ4" s="95"/>
      <c r="FA4" s="95"/>
      <c r="FC4" s="95"/>
      <c r="FD4" s="95"/>
      <c r="FE4" s="95"/>
      <c r="FF4" s="95"/>
      <c r="FH4" s="95"/>
      <c r="FI4" s="95"/>
      <c r="FJ4" s="95"/>
      <c r="FK4" s="95"/>
      <c r="FM4" s="95"/>
      <c r="FN4" s="95"/>
      <c r="FO4" s="95"/>
      <c r="FP4" s="95"/>
      <c r="FR4" s="95"/>
      <c r="FS4" s="95"/>
      <c r="FT4" s="95"/>
      <c r="FU4" s="95"/>
      <c r="FW4" s="95"/>
      <c r="FX4" s="95"/>
      <c r="FY4" s="95"/>
      <c r="FZ4" s="95"/>
      <c r="GB4" s="95"/>
      <c r="GC4" s="95"/>
      <c r="GD4" s="95"/>
      <c r="GE4" s="95"/>
    </row>
    <row r="5" spans="1:187" ht="12.75" customHeight="1">
      <c r="D5" s="95"/>
      <c r="E5" s="95"/>
      <c r="F5" s="95"/>
      <c r="G5" s="95"/>
      <c r="I5" s="95"/>
      <c r="J5" s="95"/>
      <c r="K5" s="95"/>
      <c r="L5" s="95"/>
      <c r="N5" s="95"/>
      <c r="O5" s="95"/>
      <c r="P5" s="95"/>
      <c r="Q5" s="95"/>
      <c r="S5" s="95"/>
      <c r="T5" s="95"/>
      <c r="U5" s="95"/>
      <c r="V5" s="95"/>
      <c r="X5" s="95"/>
      <c r="Y5" s="95"/>
      <c r="Z5" s="95"/>
      <c r="AA5" s="95"/>
      <c r="AC5" s="95"/>
      <c r="AD5" s="95"/>
      <c r="AE5" s="95"/>
      <c r="AF5" s="95"/>
      <c r="AH5" s="95"/>
      <c r="AI5" s="95"/>
      <c r="AJ5" s="95"/>
      <c r="AK5" s="95"/>
      <c r="AM5" s="95"/>
      <c r="AN5" s="95"/>
      <c r="AO5" s="95"/>
      <c r="AP5" s="95"/>
      <c r="AR5" s="95"/>
      <c r="AS5" s="95"/>
      <c r="AT5" s="95"/>
      <c r="AU5" s="95"/>
      <c r="AW5" s="95"/>
      <c r="AX5" s="95"/>
      <c r="AY5" s="95"/>
      <c r="AZ5" s="95"/>
      <c r="BB5" s="95"/>
      <c r="BC5" s="95"/>
      <c r="BD5" s="95"/>
      <c r="BE5" s="95"/>
      <c r="BG5" s="95"/>
      <c r="BH5" s="95"/>
      <c r="BI5" s="95"/>
      <c r="BJ5" s="95"/>
      <c r="BL5" s="95"/>
      <c r="BM5" s="95"/>
      <c r="BN5" s="95"/>
      <c r="BO5" s="95"/>
      <c r="BQ5" s="95"/>
      <c r="BR5" s="95"/>
      <c r="BS5" s="95"/>
      <c r="BT5" s="95"/>
      <c r="BV5" s="95"/>
      <c r="BW5" s="95"/>
      <c r="BX5" s="95"/>
      <c r="BY5" s="95"/>
      <c r="CA5" s="95"/>
      <c r="CB5" s="95"/>
      <c r="CC5" s="95"/>
      <c r="CD5" s="95"/>
      <c r="CF5" s="95"/>
      <c r="CG5" s="95"/>
      <c r="CH5" s="95"/>
      <c r="CI5" s="95"/>
      <c r="CK5" s="95"/>
      <c r="CL5" s="95"/>
      <c r="CM5" s="95"/>
      <c r="CN5" s="95"/>
      <c r="CP5" s="95"/>
      <c r="CQ5" s="95"/>
      <c r="CR5" s="95"/>
      <c r="CS5" s="95"/>
      <c r="CU5" s="95"/>
      <c r="CV5" s="95"/>
      <c r="CW5" s="95"/>
      <c r="CX5" s="95"/>
      <c r="CZ5" s="95"/>
      <c r="DA5" s="95"/>
      <c r="DB5" s="95"/>
      <c r="DC5" s="95"/>
      <c r="DE5" s="95"/>
      <c r="DF5" s="95"/>
      <c r="DG5" s="95"/>
      <c r="DH5" s="95"/>
      <c r="DJ5" s="95"/>
      <c r="DK5" s="95"/>
      <c r="DL5" s="95"/>
      <c r="DM5" s="95"/>
      <c r="DO5" s="95"/>
      <c r="DP5" s="95"/>
      <c r="DQ5" s="95"/>
      <c r="DR5" s="95"/>
      <c r="DT5" s="95"/>
      <c r="DU5" s="95"/>
      <c r="DV5" s="95"/>
      <c r="DW5" s="95"/>
      <c r="DY5" s="95"/>
      <c r="DZ5" s="95"/>
      <c r="EA5" s="95"/>
      <c r="EB5" s="95"/>
      <c r="ED5" s="95"/>
      <c r="EE5" s="95"/>
      <c r="EF5" s="95"/>
      <c r="EG5" s="95"/>
      <c r="EI5" s="95"/>
      <c r="EJ5" s="95"/>
      <c r="EK5" s="95"/>
      <c r="EL5" s="95"/>
      <c r="EN5" s="95"/>
      <c r="EO5" s="95"/>
      <c r="EP5" s="95"/>
      <c r="EQ5" s="95"/>
      <c r="ES5" s="95"/>
      <c r="ET5" s="95"/>
      <c r="EU5" s="95"/>
      <c r="EV5" s="95"/>
      <c r="EX5" s="95"/>
      <c r="EY5" s="95"/>
      <c r="EZ5" s="95"/>
      <c r="FA5" s="95"/>
      <c r="FC5" s="95"/>
      <c r="FD5" s="95"/>
      <c r="FE5" s="95"/>
      <c r="FF5" s="95"/>
      <c r="FH5" s="95"/>
      <c r="FI5" s="95"/>
      <c r="FJ5" s="95"/>
      <c r="FK5" s="95"/>
      <c r="FM5" s="95"/>
      <c r="FN5" s="95"/>
      <c r="FO5" s="95"/>
      <c r="FP5" s="95"/>
      <c r="FR5" s="95"/>
      <c r="FS5" s="95"/>
      <c r="FT5" s="95"/>
      <c r="FU5" s="95"/>
      <c r="FW5" s="95"/>
      <c r="FX5" s="95"/>
      <c r="FY5" s="95"/>
      <c r="FZ5" s="95"/>
      <c r="GB5" s="95"/>
      <c r="GC5" s="95"/>
      <c r="GD5" s="95"/>
      <c r="GE5" s="95"/>
    </row>
    <row r="6" spans="1:187" ht="12.75" customHeight="1">
      <c r="C6" s="47" t="str">
        <f>Dates!C3</f>
      </c>
      <c r="D6" s="47"/>
      <c r="E6" s="47"/>
      <c r="F6" s="47"/>
      <c r="G6" s="93"/>
      <c r="H6" s="47" t="str">
        <f>Dates!H3</f>
      </c>
      <c r="I6" s="47"/>
      <c r="J6" s="47"/>
      <c r="K6" s="47"/>
      <c r="L6" s="93"/>
      <c r="M6" s="47" t="str">
        <f>Dates!M3</f>
      </c>
      <c r="N6" s="47"/>
      <c r="O6" s="47"/>
      <c r="P6" s="47"/>
      <c r="Q6" s="93"/>
      <c r="R6" s="47" t="str">
        <f>Dates!R3</f>
      </c>
      <c r="S6" s="47"/>
      <c r="T6" s="47"/>
      <c r="U6" s="47"/>
      <c r="V6" s="93"/>
      <c r="W6" s="47" t="str">
        <f>Dates!W3</f>
      </c>
      <c r="X6" s="47"/>
      <c r="Y6" s="47"/>
      <c r="Z6" s="47"/>
      <c r="AA6" s="93"/>
      <c r="AB6" s="47" t="str">
        <f>Dates!AB3</f>
      </c>
      <c r="AC6" s="47"/>
      <c r="AD6" s="47"/>
      <c r="AE6" s="47"/>
      <c r="AF6" s="93"/>
      <c r="AG6" s="47" t="str">
        <f>Dates!AG3</f>
      </c>
      <c r="AH6" s="47"/>
      <c r="AI6" s="47"/>
      <c r="AJ6" s="47"/>
      <c r="AK6" s="93"/>
      <c r="AL6" s="47" t="str">
        <f>Dates!AL3</f>
      </c>
      <c r="AM6" s="47"/>
      <c r="AN6" s="47"/>
      <c r="AO6" s="47"/>
      <c r="AP6" s="93"/>
      <c r="AQ6" s="47" t="str">
        <f>Dates!AQ3</f>
      </c>
      <c r="AR6" s="47"/>
      <c r="AS6" s="47"/>
      <c r="AT6" s="47"/>
      <c r="AU6" s="93"/>
      <c r="AV6" s="47" t="str">
        <f>Dates!AV3</f>
      </c>
      <c r="AW6" s="47"/>
      <c r="AX6" s="47"/>
      <c r="AY6" s="47"/>
      <c r="AZ6" s="93"/>
      <c r="BA6" s="47" t="str">
        <f>Dates!BA3</f>
      </c>
      <c r="BB6" s="47"/>
      <c r="BC6" s="47"/>
      <c r="BD6" s="47"/>
      <c r="BE6" s="93"/>
      <c r="BF6" s="47" t="str">
        <f>Dates!BF3</f>
      </c>
      <c r="BG6" s="47"/>
      <c r="BH6" s="47"/>
      <c r="BI6" s="47"/>
      <c r="BJ6" s="93"/>
      <c r="BK6" s="47" t="str">
        <f>Dates!BK3</f>
      </c>
      <c r="BL6" s="47"/>
      <c r="BM6" s="47"/>
      <c r="BN6" s="47"/>
      <c r="BO6" s="93"/>
      <c r="BP6" s="47" t="str">
        <f>Dates!BP3</f>
      </c>
      <c r="BQ6" s="47"/>
      <c r="BR6" s="47"/>
      <c r="BS6" s="47"/>
      <c r="BT6" s="93"/>
      <c r="BU6" s="47" t="str">
        <f>Dates!BU3</f>
      </c>
      <c r="BV6" s="47"/>
      <c r="BW6" s="47"/>
      <c r="BX6" s="47"/>
      <c r="BY6" s="93"/>
      <c r="BZ6" s="47" t="str">
        <f>Dates!BZ3</f>
      </c>
      <c r="CA6" s="47"/>
      <c r="CB6" s="47"/>
      <c r="CC6" s="47"/>
      <c r="CD6" s="93"/>
      <c r="CE6" s="47" t="str">
        <f>Dates!CE3</f>
      </c>
      <c r="CF6" s="47"/>
      <c r="CG6" s="47"/>
      <c r="CH6" s="47"/>
      <c r="CI6" s="93"/>
      <c r="CJ6" s="47" t="str">
        <f>Dates!CJ3</f>
      </c>
      <c r="CK6" s="47"/>
      <c r="CL6" s="47"/>
      <c r="CM6" s="47"/>
      <c r="CN6" s="93"/>
      <c r="CO6" s="47" t="str">
        <f>Dates!CO3</f>
      </c>
      <c r="CP6" s="47"/>
      <c r="CQ6" s="47"/>
      <c r="CR6" s="47"/>
      <c r="CS6" s="93"/>
      <c r="CT6" s="47" t="str">
        <f>Dates!CT3</f>
      </c>
      <c r="CU6" s="47"/>
      <c r="CV6" s="47"/>
      <c r="CW6" s="47"/>
      <c r="CX6" s="93"/>
      <c r="CY6" s="47" t="str">
        <f>Dates!CY3</f>
      </c>
      <c r="CZ6" s="47"/>
      <c r="DA6" s="47"/>
      <c r="DB6" s="47"/>
      <c r="DC6" s="93"/>
      <c r="DD6" s="47" t="str">
        <f>Dates!DD3</f>
      </c>
      <c r="DE6" s="47"/>
      <c r="DF6" s="47"/>
      <c r="DG6" s="47"/>
      <c r="DH6" s="93"/>
      <c r="DI6" s="47" t="str">
        <f>Dates!DI3</f>
      </c>
      <c r="DJ6" s="47"/>
      <c r="DK6" s="47"/>
      <c r="DL6" s="47"/>
      <c r="DM6" s="93"/>
      <c r="DN6" s="47" t="str">
        <f>Dates!DN3</f>
      </c>
      <c r="DO6" s="47"/>
      <c r="DP6" s="47"/>
      <c r="DQ6" s="47"/>
      <c r="DR6" s="93"/>
      <c r="DS6" s="47" t="str">
        <f>Dates!DS3</f>
      </c>
      <c r="DT6" s="47"/>
      <c r="DU6" s="47"/>
      <c r="DV6" s="47"/>
      <c r="DW6" s="93"/>
      <c r="DX6" s="47" t="str">
        <f>Dates!DX3</f>
      </c>
      <c r="DY6" s="47"/>
      <c r="DZ6" s="47"/>
      <c r="EA6" s="47"/>
      <c r="EB6" s="93"/>
      <c r="EC6" s="47" t="str">
        <f>Dates!EC3</f>
      </c>
      <c r="ED6" s="47"/>
      <c r="EE6" s="47"/>
      <c r="EF6" s="47"/>
      <c r="EG6" s="93"/>
      <c r="EH6" s="47" t="str">
        <f>Dates!EH3</f>
      </c>
      <c r="EI6" s="47"/>
      <c r="EJ6" s="47"/>
      <c r="EK6" s="47"/>
      <c r="EL6" s="93"/>
      <c r="EM6" s="47" t="str">
        <f>Dates!EM3</f>
      </c>
      <c r="EN6" s="47"/>
      <c r="EO6" s="47"/>
      <c r="EP6" s="47"/>
      <c r="EQ6" s="93"/>
      <c r="ER6" s="47" t="str">
        <f>Dates!ER3</f>
      </c>
      <c r="ES6" s="47"/>
      <c r="ET6" s="47"/>
      <c r="EU6" s="47"/>
      <c r="EV6" s="93"/>
      <c r="EW6" s="47" t="str">
        <f>Dates!EW3</f>
      </c>
      <c r="EX6" s="47"/>
      <c r="EY6" s="47"/>
      <c r="EZ6" s="47"/>
      <c r="FA6" s="93"/>
      <c r="FB6" s="47" t="str">
        <f>Dates!FB3</f>
      </c>
      <c r="FC6" s="47"/>
      <c r="FD6" s="47"/>
      <c r="FE6" s="47"/>
      <c r="FF6" s="93"/>
      <c r="FG6" s="47" t="str">
        <f>Dates!FG3</f>
      </c>
      <c r="FH6" s="47"/>
      <c r="FI6" s="47"/>
      <c r="FJ6" s="47"/>
      <c r="FK6" s="93"/>
      <c r="FL6" s="47" t="str">
        <f>Dates!FL3</f>
      </c>
      <c r="FM6" s="47"/>
      <c r="FN6" s="47"/>
      <c r="FO6" s="47"/>
      <c r="FP6" s="93"/>
      <c r="FQ6" s="47" t="str">
        <f>Dates!FQ3</f>
      </c>
      <c r="FR6" s="47"/>
      <c r="FS6" s="47"/>
      <c r="FT6" s="47"/>
      <c r="FU6" s="93"/>
      <c r="FV6" s="47" t="str">
        <f>Dates!FV3</f>
      </c>
      <c r="FW6" s="47"/>
      <c r="FX6" s="47"/>
      <c r="FY6" s="47"/>
      <c r="FZ6" s="93"/>
      <c r="GA6" s="47" t="str">
        <f>Dates!GA3</f>
      </c>
      <c r="GB6" s="47"/>
      <c r="GC6" s="47"/>
      <c r="GD6" s="47"/>
      <c r="GE6" s="93"/>
    </row>
    <row r="7" spans="1:187" ht="12.75" customHeight="1">
      <c r="C7" s="96" t="str">
        <f>Dates!C4</f>
      </c>
      <c r="D7" s="96" t="str">
        <f>Dates!D4</f>
      </c>
      <c r="E7" s="96" t="str">
        <f>Dates!E4</f>
      </c>
      <c r="F7" s="96" t="str">
        <f>Dates!F4</f>
      </c>
      <c r="G7" s="97" t="str">
        <f>Dates!G4</f>
      </c>
      <c r="H7" s="96" t="str">
        <f>Dates!H4</f>
      </c>
      <c r="I7" s="96" t="str">
        <f>Dates!I4</f>
      </c>
      <c r="J7" s="96" t="str">
        <f>Dates!J4</f>
      </c>
      <c r="K7" s="96" t="str">
        <f>Dates!K4</f>
      </c>
      <c r="L7" s="97" t="str">
        <f>Dates!L4</f>
      </c>
      <c r="M7" s="96" t="str">
        <f>Dates!M4</f>
      </c>
      <c r="N7" s="96" t="str">
        <f>Dates!N4</f>
      </c>
      <c r="O7" s="96" t="str">
        <f>Dates!O4</f>
      </c>
      <c r="P7" s="96" t="str">
        <f>Dates!P4</f>
      </c>
      <c r="Q7" s="97" t="str">
        <f>Dates!Q4</f>
      </c>
      <c r="R7" s="96" t="str">
        <f>Dates!R4</f>
      </c>
      <c r="S7" s="96" t="str">
        <f>Dates!S4</f>
      </c>
      <c r="T7" s="96" t="str">
        <f>Dates!T4</f>
      </c>
      <c r="U7" s="96" t="str">
        <f>Dates!U4</f>
      </c>
      <c r="V7" s="97" t="str">
        <f>Dates!V4</f>
      </c>
      <c r="W7" s="96" t="str">
        <f>Dates!W4</f>
      </c>
      <c r="X7" s="96" t="str">
        <f>Dates!X4</f>
      </c>
      <c r="Y7" s="96" t="str">
        <f>Dates!Y4</f>
      </c>
      <c r="Z7" s="96" t="str">
        <f>Dates!Z4</f>
      </c>
      <c r="AA7" s="97" t="str">
        <f>Dates!AA4</f>
      </c>
      <c r="AB7" s="96" t="str">
        <f>Dates!AB4</f>
      </c>
      <c r="AC7" s="96" t="str">
        <f>Dates!AC4</f>
      </c>
      <c r="AD7" s="96" t="str">
        <f>Dates!AD4</f>
      </c>
      <c r="AE7" s="96" t="str">
        <f>Dates!AE4</f>
      </c>
      <c r="AF7" s="97" t="str">
        <f>Dates!AF4</f>
      </c>
      <c r="AG7" s="96" t="str">
        <f>Dates!AG4</f>
      </c>
      <c r="AH7" s="96" t="str">
        <f>Dates!AH4</f>
      </c>
      <c r="AI7" s="96" t="str">
        <f>Dates!AI4</f>
      </c>
      <c r="AJ7" s="96" t="str">
        <f>Dates!AJ4</f>
      </c>
      <c r="AK7" s="97" t="str">
        <f>Dates!AK4</f>
      </c>
      <c r="AL7" s="96" t="str">
        <f>Dates!AL4</f>
      </c>
      <c r="AM7" s="96" t="str">
        <f>Dates!AM4</f>
      </c>
      <c r="AN7" s="96" t="str">
        <f>Dates!AN4</f>
      </c>
      <c r="AO7" s="96" t="str">
        <f>Dates!AO4</f>
      </c>
      <c r="AP7" s="97" t="str">
        <f>Dates!AP4</f>
      </c>
      <c r="AQ7" s="96" t="str">
        <f>Dates!AQ4</f>
      </c>
      <c r="AR7" s="96" t="str">
        <f>Dates!AR4</f>
      </c>
      <c r="AS7" s="96" t="str">
        <f>Dates!AS4</f>
      </c>
      <c r="AT7" s="96" t="str">
        <f>Dates!AT4</f>
      </c>
      <c r="AU7" s="97" t="str">
        <f>Dates!AU4</f>
      </c>
      <c r="AV7" s="96" t="str">
        <f>Dates!AV4</f>
      </c>
      <c r="AW7" s="96" t="str">
        <f>Dates!AW4</f>
      </c>
      <c r="AX7" s="96" t="str">
        <f>Dates!AX4</f>
      </c>
      <c r="AY7" s="96" t="str">
        <f>Dates!AY4</f>
      </c>
      <c r="AZ7" s="97" t="str">
        <f>Dates!AZ4</f>
      </c>
      <c r="BA7" s="96" t="str">
        <f>Dates!BA4</f>
      </c>
      <c r="BB7" s="96" t="str">
        <f>Dates!BB4</f>
      </c>
      <c r="BC7" s="96" t="str">
        <f>Dates!BC4</f>
      </c>
      <c r="BD7" s="96" t="str">
        <f>Dates!BD4</f>
      </c>
      <c r="BE7" s="97" t="str">
        <f>Dates!BE4</f>
      </c>
      <c r="BF7" s="96" t="str">
        <f>Dates!BF4</f>
      </c>
      <c r="BG7" s="96" t="str">
        <f>Dates!BG4</f>
      </c>
      <c r="BH7" s="96" t="str">
        <f>Dates!BH4</f>
      </c>
      <c r="BI7" s="96" t="str">
        <f>Dates!BI4</f>
      </c>
      <c r="BJ7" s="97" t="str">
        <f>Dates!BJ4</f>
      </c>
      <c r="BK7" s="96" t="str">
        <f>Dates!BK4</f>
      </c>
      <c r="BL7" s="96" t="str">
        <f>Dates!BL4</f>
      </c>
      <c r="BM7" s="96" t="str">
        <f>Dates!BM4</f>
      </c>
      <c r="BN7" s="96" t="str">
        <f>Dates!BN4</f>
      </c>
      <c r="BO7" s="97" t="str">
        <f>Dates!BO4</f>
      </c>
      <c r="BP7" s="96" t="str">
        <f>Dates!BP4</f>
      </c>
      <c r="BQ7" s="96" t="str">
        <f>Dates!BQ4</f>
      </c>
      <c r="BR7" s="96" t="str">
        <f>Dates!BR4</f>
      </c>
      <c r="BS7" s="96" t="str">
        <f>Dates!BS4</f>
      </c>
      <c r="BT7" s="97" t="str">
        <f>Dates!BT4</f>
      </c>
      <c r="BU7" s="96" t="str">
        <f>Dates!BU4</f>
      </c>
      <c r="BV7" s="96" t="str">
        <f>Dates!BV4</f>
      </c>
      <c r="BW7" s="96" t="str">
        <f>Dates!BW4</f>
      </c>
      <c r="BX7" s="96" t="str">
        <f>Dates!BX4</f>
      </c>
      <c r="BY7" s="97" t="str">
        <f>Dates!BY4</f>
      </c>
      <c r="BZ7" s="96" t="str">
        <f>Dates!BZ4</f>
      </c>
      <c r="CA7" s="96" t="str">
        <f>Dates!CA4</f>
      </c>
      <c r="CB7" s="96" t="str">
        <f>Dates!CB4</f>
      </c>
      <c r="CC7" s="96" t="str">
        <f>Dates!CC4</f>
      </c>
      <c r="CD7" s="97" t="str">
        <f>Dates!CD4</f>
      </c>
      <c r="CE7" s="96" t="str">
        <f>Dates!CE4</f>
      </c>
      <c r="CF7" s="96" t="str">
        <f>Dates!CF4</f>
      </c>
      <c r="CG7" s="96" t="str">
        <f>Dates!CG4</f>
      </c>
      <c r="CH7" s="96" t="str">
        <f>Dates!CH4</f>
      </c>
      <c r="CI7" s="97" t="str">
        <f>Dates!CI4</f>
      </c>
      <c r="CJ7" s="96" t="str">
        <f>Dates!CJ4</f>
      </c>
      <c r="CK7" s="96" t="str">
        <f>Dates!CK4</f>
      </c>
      <c r="CL7" s="96" t="str">
        <f>Dates!CL4</f>
      </c>
      <c r="CM7" s="96" t="str">
        <f>Dates!CM4</f>
      </c>
      <c r="CN7" s="97" t="str">
        <f>Dates!CN4</f>
      </c>
      <c r="CO7" s="96" t="str">
        <f>Dates!CO4</f>
      </c>
      <c r="CP7" s="96" t="str">
        <f>Dates!CP4</f>
      </c>
      <c r="CQ7" s="96" t="str">
        <f>Dates!CQ4</f>
      </c>
      <c r="CR7" s="96" t="str">
        <f>Dates!CR4</f>
      </c>
      <c r="CS7" s="97" t="str">
        <f>Dates!CS4</f>
      </c>
      <c r="CT7" s="96" t="str">
        <f>Dates!CT4</f>
      </c>
      <c r="CU7" s="96" t="str">
        <f>Dates!CU4</f>
      </c>
      <c r="CV7" s="96" t="str">
        <f>Dates!CV4</f>
      </c>
      <c r="CW7" s="96" t="str">
        <f>Dates!CW4</f>
      </c>
      <c r="CX7" s="97" t="str">
        <f>Dates!CX4</f>
      </c>
      <c r="CY7" s="96" t="str">
        <f>Dates!CY4</f>
      </c>
      <c r="CZ7" s="96" t="str">
        <f>Dates!CZ4</f>
      </c>
      <c r="DA7" s="96" t="str">
        <f>Dates!DA4</f>
      </c>
      <c r="DB7" s="96" t="str">
        <f>Dates!DB4</f>
      </c>
      <c r="DC7" s="97" t="str">
        <f>Dates!DC4</f>
      </c>
      <c r="DD7" s="96" t="str">
        <f>Dates!DD4</f>
      </c>
      <c r="DE7" s="96" t="str">
        <f>Dates!DE4</f>
      </c>
      <c r="DF7" s="96" t="str">
        <f>Dates!DF4</f>
      </c>
      <c r="DG7" s="96" t="str">
        <f>Dates!DG4</f>
      </c>
      <c r="DH7" s="97" t="str">
        <f>Dates!DH4</f>
      </c>
      <c r="DI7" s="96" t="str">
        <f>Dates!DI4</f>
      </c>
      <c r="DJ7" s="96" t="str">
        <f>Dates!DJ4</f>
      </c>
      <c r="DK7" s="96" t="str">
        <f>Dates!DK4</f>
      </c>
      <c r="DL7" s="96" t="str">
        <f>Dates!DL4</f>
      </c>
      <c r="DM7" s="97" t="str">
        <f>Dates!DM4</f>
      </c>
      <c r="DN7" s="96" t="str">
        <f>Dates!DN4</f>
      </c>
      <c r="DO7" s="96" t="str">
        <f>Dates!DO4</f>
      </c>
      <c r="DP7" s="96" t="str">
        <f>Dates!DP4</f>
      </c>
      <c r="DQ7" s="96" t="str">
        <f>Dates!DQ4</f>
      </c>
      <c r="DR7" s="97" t="str">
        <f>Dates!DR4</f>
      </c>
      <c r="DS7" s="96" t="str">
        <f>Dates!DS4</f>
      </c>
      <c r="DT7" s="96" t="str">
        <f>Dates!DT4</f>
      </c>
      <c r="DU7" s="96" t="str">
        <f>Dates!DU4</f>
      </c>
      <c r="DV7" s="96" t="str">
        <f>Dates!DV4</f>
      </c>
      <c r="DW7" s="97" t="str">
        <f>Dates!DW4</f>
      </c>
      <c r="DX7" s="96" t="str">
        <f>Dates!DX4</f>
      </c>
      <c r="DY7" s="96" t="str">
        <f>Dates!DY4</f>
      </c>
      <c r="DZ7" s="96" t="str">
        <f>Dates!DZ4</f>
      </c>
      <c r="EA7" s="96" t="str">
        <f>Dates!EA4</f>
      </c>
      <c r="EB7" s="97" t="str">
        <f>Dates!EB4</f>
      </c>
      <c r="EC7" s="96" t="str">
        <f>Dates!EC4</f>
      </c>
      <c r="ED7" s="96" t="str">
        <f>Dates!ED4</f>
      </c>
      <c r="EE7" s="96" t="str">
        <f>Dates!EE4</f>
      </c>
      <c r="EF7" s="96" t="str">
        <f>Dates!EF4</f>
      </c>
      <c r="EG7" s="97" t="str">
        <f>Dates!EG4</f>
      </c>
      <c r="EH7" s="96" t="str">
        <f>Dates!EH4</f>
      </c>
      <c r="EI7" s="96" t="str">
        <f>Dates!EI4</f>
      </c>
      <c r="EJ7" s="96" t="str">
        <f>Dates!EJ4</f>
      </c>
      <c r="EK7" s="96" t="str">
        <f>Dates!EK4</f>
      </c>
      <c r="EL7" s="97" t="str">
        <f>Dates!EL4</f>
      </c>
      <c r="EM7" s="96" t="str">
        <f>Dates!EM4</f>
      </c>
      <c r="EN7" s="96" t="str">
        <f>Dates!EN4</f>
      </c>
      <c r="EO7" s="96" t="str">
        <f>Dates!EO4</f>
      </c>
      <c r="EP7" s="96" t="str">
        <f>Dates!EP4</f>
      </c>
      <c r="EQ7" s="97" t="str">
        <f>Dates!EQ4</f>
      </c>
      <c r="ER7" s="96" t="str">
        <f>Dates!ER4</f>
      </c>
      <c r="ES7" s="96" t="str">
        <f>Dates!ES4</f>
      </c>
      <c r="ET7" s="96" t="str">
        <f>Dates!ET4</f>
      </c>
      <c r="EU7" s="96" t="str">
        <f>Dates!EU4</f>
      </c>
      <c r="EV7" s="97" t="str">
        <f>Dates!EV4</f>
      </c>
      <c r="EW7" s="96" t="str">
        <f>Dates!EW4</f>
      </c>
      <c r="EX7" s="96" t="str">
        <f>Dates!EX4</f>
      </c>
      <c r="EY7" s="96" t="str">
        <f>Dates!EY4</f>
      </c>
      <c r="EZ7" s="96" t="str">
        <f>Dates!EZ4</f>
      </c>
      <c r="FA7" s="97" t="str">
        <f>Dates!FA4</f>
      </c>
      <c r="FB7" s="96" t="str">
        <f>Dates!FB4</f>
      </c>
      <c r="FC7" s="96" t="str">
        <f>Dates!FC4</f>
      </c>
      <c r="FD7" s="96" t="str">
        <f>Dates!FD4</f>
      </c>
      <c r="FE7" s="96" t="str">
        <f>Dates!FE4</f>
      </c>
      <c r="FF7" s="97" t="str">
        <f>Dates!FF4</f>
      </c>
      <c r="FG7" s="96" t="str">
        <f>Dates!FG4</f>
      </c>
      <c r="FH7" s="96" t="str">
        <f>Dates!FH4</f>
      </c>
      <c r="FI7" s="96" t="str">
        <f>Dates!FI4</f>
      </c>
      <c r="FJ7" s="96" t="str">
        <f>Dates!FJ4</f>
      </c>
      <c r="FK7" s="97" t="str">
        <f>Dates!FK4</f>
      </c>
      <c r="FL7" s="96" t="str">
        <f>Dates!FL4</f>
      </c>
      <c r="FM7" s="96" t="str">
        <f>Dates!FM4</f>
      </c>
      <c r="FN7" s="96" t="str">
        <f>Dates!FN4</f>
      </c>
      <c r="FO7" s="96" t="str">
        <f>Dates!FO4</f>
      </c>
      <c r="FP7" s="97" t="str">
        <f>Dates!FP4</f>
      </c>
      <c r="FQ7" s="96" t="str">
        <f>Dates!FQ4</f>
      </c>
      <c r="FR7" s="96" t="str">
        <f>Dates!FR4</f>
      </c>
      <c r="FS7" s="96" t="str">
        <f>Dates!FS4</f>
      </c>
      <c r="FT7" s="96" t="str">
        <f>Dates!FT4</f>
      </c>
      <c r="FU7" s="97" t="str">
        <f>Dates!FU4</f>
      </c>
      <c r="FV7" s="96" t="str">
        <f>Dates!FV4</f>
      </c>
      <c r="FW7" s="96" t="str">
        <f>Dates!FW4</f>
      </c>
      <c r="FX7" s="96" t="str">
        <f>Dates!FX4</f>
      </c>
      <c r="FY7" s="96" t="str">
        <f>Dates!FY4</f>
      </c>
      <c r="FZ7" s="97" t="str">
        <f>Dates!FZ4</f>
      </c>
      <c r="GA7" s="96" t="str">
        <f>Dates!GA4</f>
      </c>
      <c r="GB7" s="96" t="str">
        <f>Dates!GB4</f>
      </c>
      <c r="GC7" s="96" t="str">
        <f>Dates!GC4</f>
      </c>
      <c r="GD7" s="96" t="str">
        <f>Dates!GD4</f>
      </c>
      <c r="GE7" s="97" t="str">
        <f>Dates!GE4</f>
      </c>
    </row>
    <row r="8" spans="1:187" ht="12.75" customHeight="1">
      <c r="C8" s="98">
        <f>Dates!C5</f>
      </c>
      <c r="D8" s="98">
        <f>Dates!D5</f>
      </c>
      <c r="E8" s="98">
        <f>Dates!E5</f>
      </c>
      <c r="F8" s="98">
        <f>Dates!F5</f>
      </c>
      <c r="G8" s="99">
        <f>Dates!G5</f>
      </c>
      <c r="H8" s="98">
        <f>Dates!H5</f>
      </c>
      <c r="I8" s="98">
        <f>Dates!I5</f>
      </c>
      <c r="J8" s="98">
        <f>Dates!J5</f>
      </c>
      <c r="K8" s="98">
        <f>Dates!K5</f>
      </c>
      <c r="L8" s="99">
        <f>Dates!L5</f>
      </c>
      <c r="M8" s="98">
        <f>Dates!M5</f>
      </c>
      <c r="N8" s="98">
        <f>Dates!N5</f>
      </c>
      <c r="O8" s="98">
        <f>Dates!O5</f>
      </c>
      <c r="P8" s="98">
        <f>Dates!P5</f>
      </c>
      <c r="Q8" s="99">
        <f>Dates!Q5</f>
      </c>
      <c r="R8" s="98">
        <f>Dates!R5</f>
      </c>
      <c r="S8" s="98">
        <f>Dates!S5</f>
      </c>
      <c r="T8" s="98">
        <f>Dates!T5</f>
      </c>
      <c r="U8" s="98">
        <f>Dates!U5</f>
      </c>
      <c r="V8" s="99">
        <f>Dates!V5</f>
      </c>
      <c r="W8" s="98">
        <f>Dates!W5</f>
      </c>
      <c r="X8" s="98">
        <f>Dates!X5</f>
      </c>
      <c r="Y8" s="98">
        <f>Dates!Y5</f>
      </c>
      <c r="Z8" s="98">
        <f>Dates!Z5</f>
      </c>
      <c r="AA8" s="99">
        <f>Dates!AA5</f>
      </c>
      <c r="AB8" s="98">
        <f>Dates!AB5</f>
      </c>
      <c r="AC8" s="98">
        <f>Dates!AC5</f>
      </c>
      <c r="AD8" s="98">
        <f>Dates!AD5</f>
      </c>
      <c r="AE8" s="98">
        <f>Dates!AE5</f>
      </c>
      <c r="AF8" s="99">
        <f>Dates!AF5</f>
      </c>
      <c r="AG8" s="98">
        <f>Dates!AG5</f>
      </c>
      <c r="AH8" s="98">
        <f>Dates!AH5</f>
      </c>
      <c r="AI8" s="98">
        <f>Dates!AI5</f>
      </c>
      <c r="AJ8" s="98">
        <f>Dates!AJ5</f>
      </c>
      <c r="AK8" s="99">
        <f>Dates!AK5</f>
      </c>
      <c r="AL8" s="98">
        <f>Dates!AL5</f>
      </c>
      <c r="AM8" s="98">
        <f>Dates!AM5</f>
      </c>
      <c r="AN8" s="98">
        <f>Dates!AN5</f>
      </c>
      <c r="AO8" s="98">
        <f>Dates!AO5</f>
      </c>
      <c r="AP8" s="99">
        <f>Dates!AP5</f>
      </c>
      <c r="AQ8" s="98">
        <f>Dates!AQ5</f>
      </c>
      <c r="AR8" s="98">
        <f>Dates!AR5</f>
      </c>
      <c r="AS8" s="98">
        <f>Dates!AS5</f>
      </c>
      <c r="AT8" s="98">
        <f>Dates!AT5</f>
      </c>
      <c r="AU8" s="99">
        <f>Dates!AU5</f>
      </c>
      <c r="AV8" s="98">
        <f>Dates!AV5</f>
      </c>
      <c r="AW8" s="98">
        <f>Dates!AW5</f>
      </c>
      <c r="AX8" s="98">
        <f>Dates!AX5</f>
      </c>
      <c r="AY8" s="98">
        <f>Dates!AY5</f>
      </c>
      <c r="AZ8" s="99">
        <f>Dates!AZ5</f>
      </c>
      <c r="BA8" s="98">
        <f>Dates!BA5</f>
      </c>
      <c r="BB8" s="98">
        <f>Dates!BB5</f>
      </c>
      <c r="BC8" s="98">
        <f>Dates!BC5</f>
      </c>
      <c r="BD8" s="98">
        <f>Dates!BD5</f>
      </c>
      <c r="BE8" s="99">
        <f>Dates!BE5</f>
      </c>
      <c r="BF8" s="98">
        <f>Dates!BF5</f>
      </c>
      <c r="BG8" s="98">
        <f>Dates!BG5</f>
      </c>
      <c r="BH8" s="98">
        <f>Dates!BH5</f>
      </c>
      <c r="BI8" s="98">
        <f>Dates!BI5</f>
      </c>
      <c r="BJ8" s="99">
        <f>Dates!BJ5</f>
      </c>
      <c r="BK8" s="98">
        <f>Dates!BK5</f>
      </c>
      <c r="BL8" s="98">
        <f>Dates!BL5</f>
      </c>
      <c r="BM8" s="98">
        <f>Dates!BM5</f>
      </c>
      <c r="BN8" s="98">
        <f>Dates!BN5</f>
      </c>
      <c r="BO8" s="99">
        <f>Dates!BO5</f>
      </c>
      <c r="BP8" s="98">
        <f>Dates!BP5</f>
      </c>
      <c r="BQ8" s="98">
        <f>Dates!BQ5</f>
      </c>
      <c r="BR8" s="98">
        <f>Dates!BR5</f>
      </c>
      <c r="BS8" s="98">
        <f>Dates!BS5</f>
      </c>
      <c r="BT8" s="99">
        <f>Dates!BT5</f>
      </c>
      <c r="BU8" s="98">
        <f>Dates!BU5</f>
      </c>
      <c r="BV8" s="98">
        <f>Dates!BV5</f>
      </c>
      <c r="BW8" s="98">
        <f>Dates!BW5</f>
      </c>
      <c r="BX8" s="98">
        <f>Dates!BX5</f>
      </c>
      <c r="BY8" s="99">
        <f>Dates!BY5</f>
      </c>
      <c r="BZ8" s="98">
        <f>Dates!BZ5</f>
      </c>
      <c r="CA8" s="98">
        <f>Dates!CA5</f>
      </c>
      <c r="CB8" s="98">
        <f>Dates!CB5</f>
      </c>
      <c r="CC8" s="98">
        <f>Dates!CC5</f>
      </c>
      <c r="CD8" s="99">
        <f>Dates!CD5</f>
      </c>
      <c r="CE8" s="98">
        <f>Dates!CE5</f>
      </c>
      <c r="CF8" s="98">
        <f>Dates!CF5</f>
      </c>
      <c r="CG8" s="98">
        <f>Dates!CG5</f>
      </c>
      <c r="CH8" s="98">
        <f>Dates!CH5</f>
      </c>
      <c r="CI8" s="99">
        <f>Dates!CI5</f>
      </c>
      <c r="CJ8" s="98">
        <f>Dates!CJ5</f>
      </c>
      <c r="CK8" s="98">
        <f>Dates!CK5</f>
      </c>
      <c r="CL8" s="98">
        <f>Dates!CL5</f>
      </c>
      <c r="CM8" s="98">
        <f>Dates!CM5</f>
      </c>
      <c r="CN8" s="99">
        <f>Dates!CN5</f>
      </c>
      <c r="CO8" s="98">
        <f>Dates!CO5</f>
      </c>
      <c r="CP8" s="98">
        <f>Dates!CP5</f>
      </c>
      <c r="CQ8" s="98">
        <f>Dates!CQ5</f>
      </c>
      <c r="CR8" s="98">
        <f>Dates!CR5</f>
      </c>
      <c r="CS8" s="99">
        <f>Dates!CS5</f>
      </c>
      <c r="CT8" s="98">
        <f>Dates!CT5</f>
      </c>
      <c r="CU8" s="98">
        <f>Dates!CU5</f>
      </c>
      <c r="CV8" s="98">
        <f>Dates!CV5</f>
      </c>
      <c r="CW8" s="98">
        <f>Dates!CW5</f>
      </c>
      <c r="CX8" s="99">
        <f>Dates!CX5</f>
      </c>
      <c r="CY8" s="98">
        <f>Dates!CY5</f>
      </c>
      <c r="CZ8" s="98">
        <f>Dates!CZ5</f>
      </c>
      <c r="DA8" s="98">
        <f>Dates!DA5</f>
      </c>
      <c r="DB8" s="98">
        <f>Dates!DB5</f>
      </c>
      <c r="DC8" s="99">
        <f>Dates!DC5</f>
      </c>
      <c r="DD8" s="98">
        <f>Dates!DD5</f>
      </c>
      <c r="DE8" s="98">
        <f>Dates!DE5</f>
      </c>
      <c r="DF8" s="98">
        <f>Dates!DF5</f>
      </c>
      <c r="DG8" s="98">
        <f>Dates!DG5</f>
      </c>
      <c r="DH8" s="99">
        <f>Dates!DH5</f>
      </c>
      <c r="DI8" s="98">
        <f>Dates!DI5</f>
      </c>
      <c r="DJ8" s="98">
        <f>Dates!DJ5</f>
      </c>
      <c r="DK8" s="98">
        <f>Dates!DK5</f>
      </c>
      <c r="DL8" s="98">
        <f>Dates!DL5</f>
      </c>
      <c r="DM8" s="99">
        <f>Dates!DM5</f>
      </c>
      <c r="DN8" s="98">
        <f>Dates!DN5</f>
      </c>
      <c r="DO8" s="98">
        <f>Dates!DO5</f>
      </c>
      <c r="DP8" s="98">
        <f>Dates!DP5</f>
      </c>
      <c r="DQ8" s="98">
        <f>Dates!DQ5</f>
      </c>
      <c r="DR8" s="99">
        <f>Dates!DR5</f>
      </c>
      <c r="DS8" s="98">
        <f>Dates!DS5</f>
      </c>
      <c r="DT8" s="98">
        <f>Dates!DT5</f>
      </c>
      <c r="DU8" s="98">
        <f>Dates!DU5</f>
      </c>
      <c r="DV8" s="98">
        <f>Dates!DV5</f>
      </c>
      <c r="DW8" s="99">
        <f>Dates!DW5</f>
      </c>
      <c r="DX8" s="98">
        <f>Dates!DX5</f>
      </c>
      <c r="DY8" s="98">
        <f>Dates!DY5</f>
      </c>
      <c r="DZ8" s="98">
        <f>Dates!DZ5</f>
      </c>
      <c r="EA8" s="98">
        <f>Dates!EA5</f>
      </c>
      <c r="EB8" s="99">
        <f>Dates!EB5</f>
      </c>
      <c r="EC8" s="98">
        <f>Dates!EC5</f>
      </c>
      <c r="ED8" s="98">
        <f>Dates!ED5</f>
      </c>
      <c r="EE8" s="98">
        <f>Dates!EE5</f>
      </c>
      <c r="EF8" s="98">
        <f>Dates!EF5</f>
      </c>
      <c r="EG8" s="99">
        <f>Dates!EG5</f>
      </c>
      <c r="EH8" s="98">
        <f>Dates!EH5</f>
      </c>
      <c r="EI8" s="98">
        <f>Dates!EI5</f>
      </c>
      <c r="EJ8" s="98">
        <f>Dates!EJ5</f>
      </c>
      <c r="EK8" s="98">
        <f>Dates!EK5</f>
      </c>
      <c r="EL8" s="99">
        <f>Dates!EL5</f>
      </c>
      <c r="EM8" s="98">
        <f>Dates!EM5</f>
      </c>
      <c r="EN8" s="98">
        <f>Dates!EN5</f>
      </c>
      <c r="EO8" s="98">
        <f>Dates!EO5</f>
      </c>
      <c r="EP8" s="98">
        <f>Dates!EP5</f>
      </c>
      <c r="EQ8" s="99">
        <f>Dates!EQ5</f>
      </c>
      <c r="ER8" s="98">
        <f>Dates!ER5</f>
      </c>
      <c r="ES8" s="98">
        <f>Dates!ES5</f>
      </c>
      <c r="ET8" s="98">
        <f>Dates!ET5</f>
      </c>
      <c r="EU8" s="98">
        <f>Dates!EU5</f>
      </c>
      <c r="EV8" s="99">
        <f>Dates!EV5</f>
      </c>
      <c r="EW8" s="98">
        <f>Dates!EW5</f>
      </c>
      <c r="EX8" s="98">
        <f>Dates!EX5</f>
      </c>
      <c r="EY8" s="98">
        <f>Dates!EY5</f>
      </c>
      <c r="EZ8" s="98">
        <f>Dates!EZ5</f>
      </c>
      <c r="FA8" s="99">
        <f>Dates!FA5</f>
      </c>
      <c r="FB8" s="98">
        <f>Dates!FB5</f>
      </c>
      <c r="FC8" s="98">
        <f>Dates!FC5</f>
      </c>
      <c r="FD8" s="98">
        <f>Dates!FD5</f>
      </c>
      <c r="FE8" s="98">
        <f>Dates!FE5</f>
      </c>
      <c r="FF8" s="99">
        <f>Dates!FF5</f>
      </c>
      <c r="FG8" s="98">
        <f>Dates!FG5</f>
      </c>
      <c r="FH8" s="98">
        <f>Dates!FH5</f>
      </c>
      <c r="FI8" s="98">
        <f>Dates!FI5</f>
      </c>
      <c r="FJ8" s="98">
        <f>Dates!FJ5</f>
      </c>
      <c r="FK8" s="99">
        <f>Dates!FK5</f>
      </c>
      <c r="FL8" s="98">
        <f>Dates!FL5</f>
      </c>
      <c r="FM8" s="98">
        <f>Dates!FM5</f>
      </c>
      <c r="FN8" s="98">
        <f>Dates!FN5</f>
      </c>
      <c r="FO8" s="98">
        <f>Dates!FO5</f>
      </c>
      <c r="FP8" s="99">
        <f>Dates!FP5</f>
      </c>
      <c r="FQ8" s="98">
        <f>Dates!FQ5</f>
      </c>
      <c r="FR8" s="98">
        <f>Dates!FR5</f>
      </c>
      <c r="FS8" s="98">
        <f>Dates!FS5</f>
      </c>
      <c r="FT8" s="98">
        <f>Dates!FT5</f>
      </c>
      <c r="FU8" s="99">
        <f>Dates!FU5</f>
      </c>
      <c r="FV8" s="98">
        <f>Dates!FV5</f>
      </c>
      <c r="FW8" s="98">
        <f>Dates!FW5</f>
      </c>
      <c r="FX8" s="98">
        <f>Dates!FX5</f>
      </c>
      <c r="FY8" s="98">
        <f>Dates!FY5</f>
      </c>
      <c r="FZ8" s="99">
        <f>Dates!FZ5</f>
      </c>
      <c r="GA8" s="98">
        <f>Dates!GA5</f>
      </c>
      <c r="GB8" s="98">
        <f>Dates!GB5</f>
      </c>
      <c r="GC8" s="98">
        <f>Dates!GC5</f>
      </c>
      <c r="GD8" s="98">
        <f>Dates!GD5</f>
      </c>
      <c r="GE8" s="99">
        <f>Dates!GE5</f>
      </c>
    </row>
    <row r="9" spans="1:187" ht="12.75" customHeight="1">
      <c r="C9" s="98"/>
      <c r="D9" s="98"/>
      <c r="E9" s="98"/>
      <c r="F9" s="98"/>
      <c r="G9" s="99"/>
      <c r="H9" s="98"/>
      <c r="I9" s="98"/>
      <c r="J9" s="98"/>
      <c r="K9" s="98"/>
      <c r="L9" s="99"/>
      <c r="M9" s="98"/>
      <c r="N9" s="98"/>
      <c r="O9" s="98"/>
      <c r="P9" s="98"/>
      <c r="Q9" s="99"/>
      <c r="R9" s="98"/>
      <c r="S9" s="98"/>
      <c r="T9" s="98"/>
      <c r="U9" s="98"/>
      <c r="V9" s="99"/>
      <c r="W9" s="98"/>
      <c r="X9" s="98"/>
      <c r="Y9" s="98"/>
      <c r="Z9" s="98"/>
      <c r="AA9" s="99"/>
      <c r="AB9" s="98"/>
      <c r="AC9" s="98"/>
      <c r="AD9" s="98"/>
      <c r="AE9" s="98"/>
      <c r="AF9" s="99"/>
      <c r="AG9" s="98"/>
      <c r="AH9" s="98"/>
      <c r="AI9" s="98"/>
      <c r="AJ9" s="98"/>
      <c r="AK9" s="99"/>
      <c r="AL9" s="98"/>
      <c r="AM9" s="98"/>
      <c r="AN9" s="98"/>
      <c r="AO9" s="98"/>
      <c r="AP9" s="99"/>
      <c r="AQ9" s="98"/>
      <c r="AR9" s="98"/>
      <c r="AS9" s="98"/>
      <c r="AT9" s="98"/>
      <c r="AU9" s="99"/>
      <c r="AV9" s="98"/>
      <c r="AW9" s="98"/>
      <c r="AX9" s="98"/>
      <c r="AY9" s="98"/>
      <c r="AZ9" s="99"/>
      <c r="BA9" s="98"/>
      <c r="BB9" s="98"/>
      <c r="BC9" s="98"/>
      <c r="BD9" s="98"/>
      <c r="BE9" s="99"/>
      <c r="BF9" s="98"/>
      <c r="BG9" s="98"/>
      <c r="BH9" s="98"/>
      <c r="BI9" s="98"/>
      <c r="BJ9" s="99"/>
      <c r="BK9" s="98"/>
      <c r="BL9" s="98"/>
      <c r="BM9" s="98"/>
      <c r="BN9" s="98"/>
      <c r="BO9" s="99"/>
      <c r="BP9" s="98"/>
      <c r="BQ9" s="98"/>
      <c r="BR9" s="98"/>
      <c r="BS9" s="98"/>
      <c r="BT9" s="99"/>
      <c r="BU9" s="98"/>
      <c r="BV9" s="98"/>
      <c r="BW9" s="98"/>
      <c r="BX9" s="98"/>
      <c r="BY9" s="99"/>
      <c r="BZ9" s="98"/>
      <c r="CA9" s="98"/>
      <c r="CB9" s="98"/>
      <c r="CC9" s="98"/>
      <c r="CD9" s="99"/>
      <c r="CE9" s="98"/>
      <c r="CF9" s="98"/>
      <c r="CG9" s="98"/>
      <c r="CH9" s="98"/>
      <c r="CI9" s="99"/>
      <c r="CJ9" s="98"/>
      <c r="CK9" s="98"/>
      <c r="CL9" s="98"/>
      <c r="CM9" s="98"/>
      <c r="CN9" s="99"/>
      <c r="CO9" s="98"/>
      <c r="CP9" s="98"/>
      <c r="CQ9" s="98"/>
      <c r="CR9" s="98"/>
      <c r="CS9" s="99"/>
      <c r="CT9" s="98"/>
      <c r="CU9" s="98"/>
      <c r="CV9" s="98"/>
      <c r="CW9" s="98"/>
      <c r="CX9" s="99"/>
      <c r="CY9" s="98"/>
      <c r="CZ9" s="98"/>
      <c r="DA9" s="98"/>
      <c r="DB9" s="98"/>
      <c r="DC9" s="99"/>
      <c r="DD9" s="98"/>
      <c r="DE9" s="98"/>
      <c r="DF9" s="98"/>
      <c r="DG9" s="98"/>
      <c r="DH9" s="99"/>
      <c r="DI9" s="98"/>
      <c r="DJ9" s="98"/>
      <c r="DK9" s="98"/>
      <c r="DL9" s="98"/>
      <c r="DM9" s="99"/>
      <c r="DN9" s="98"/>
      <c r="DO9" s="98"/>
      <c r="DP9" s="98"/>
      <c r="DQ9" s="98"/>
      <c r="DR9" s="99"/>
      <c r="DS9" s="98"/>
      <c r="DT9" s="98"/>
      <c r="DU9" s="98"/>
      <c r="DV9" s="98"/>
      <c r="DW9" s="99"/>
      <c r="DX9" s="98"/>
      <c r="DY9" s="98"/>
      <c r="DZ9" s="98"/>
      <c r="EA9" s="98"/>
      <c r="EB9" s="99"/>
      <c r="EC9" s="98"/>
      <c r="ED9" s="98"/>
      <c r="EE9" s="98"/>
      <c r="EF9" s="98"/>
      <c r="EG9" s="99"/>
      <c r="EH9" s="98"/>
      <c r="EI9" s="98"/>
      <c r="EJ9" s="98"/>
      <c r="EK9" s="98"/>
      <c r="EL9" s="99"/>
      <c r="EM9" s="98"/>
      <c r="EN9" s="98"/>
      <c r="EO9" s="98"/>
      <c r="EP9" s="98"/>
      <c r="EQ9" s="99"/>
      <c r="ER9" s="98"/>
      <c r="ES9" s="98"/>
      <c r="ET9" s="98"/>
      <c r="EU9" s="98"/>
      <c r="EV9" s="99"/>
      <c r="EW9" s="98"/>
      <c r="EX9" s="98"/>
      <c r="EY9" s="98"/>
      <c r="EZ9" s="98"/>
      <c r="FA9" s="99"/>
      <c r="FB9" s="98"/>
      <c r="FC9" s="98"/>
      <c r="FD9" s="98"/>
      <c r="FE9" s="98"/>
      <c r="FF9" s="99"/>
      <c r="FG9" s="98"/>
      <c r="FH9" s="98"/>
      <c r="FI9" s="98"/>
      <c r="FJ9" s="98"/>
      <c r="FK9" s="99"/>
      <c r="FL9" s="98"/>
      <c r="FM9" s="98"/>
      <c r="FN9" s="98"/>
      <c r="FO9" s="98"/>
      <c r="FP9" s="99"/>
      <c r="FQ9" s="98"/>
      <c r="FR9" s="98"/>
      <c r="FS9" s="98"/>
      <c r="FT9" s="98"/>
      <c r="FU9" s="99"/>
      <c r="FV9" s="98"/>
      <c r="FW9" s="98"/>
      <c r="FX9" s="98"/>
      <c r="FY9" s="98"/>
      <c r="FZ9" s="99"/>
      <c r="GA9" s="98"/>
      <c r="GB9" s="98"/>
      <c r="GC9" s="98"/>
      <c r="GD9" s="98"/>
      <c r="GE9" s="99"/>
    </row>
    <row r="10" spans="1:187" s="277" customFormat="1" ht="12.75" customHeight="1">
      <c r="A10" s="274"/>
      <c r="B10" s="723" t="s">
        <v>268</v>
      </c>
      <c r="C10" s="604">
        <f>IS!C24</f>
      </c>
      <c r="D10" s="604">
        <f>IS!D24</f>
      </c>
      <c r="E10" s="604">
        <f>IS!E24</f>
      </c>
      <c r="F10" s="604">
        <f>IS!F24</f>
      </c>
      <c r="G10" s="605">
        <f>IS!G24</f>
      </c>
      <c r="H10" s="604">
        <f>IS!H24</f>
      </c>
      <c r="I10" s="604">
        <f>IS!I24</f>
      </c>
      <c r="J10" s="604">
        <f>IS!J24</f>
      </c>
      <c r="K10" s="604">
        <f>IS!K24</f>
      </c>
      <c r="L10" s="605">
        <f>IS!L24</f>
      </c>
      <c r="M10" s="604">
        <f>IS!M24</f>
      </c>
      <c r="N10" s="604">
        <f>IS!N24</f>
      </c>
      <c r="O10" s="604">
        <f>IS!O24</f>
      </c>
      <c r="P10" s="604">
        <f>IS!P24</f>
      </c>
      <c r="Q10" s="605">
        <f>IS!Q24</f>
      </c>
      <c r="R10" s="604">
        <f>IS!R24</f>
      </c>
      <c r="S10" s="604">
        <f>IS!S24</f>
      </c>
      <c r="T10" s="604">
        <f>IS!T24</f>
      </c>
      <c r="U10" s="604">
        <f>IS!U24</f>
      </c>
      <c r="V10" s="605">
        <f>IS!V24</f>
      </c>
      <c r="W10" s="604">
        <f>IS!W24</f>
      </c>
      <c r="X10" s="604">
        <f>IS!X24</f>
      </c>
      <c r="Y10" s="604">
        <f>IS!Y24</f>
      </c>
      <c r="Z10" s="604">
        <f>IS!Z24</f>
      </c>
      <c r="AA10" s="605">
        <f>IS!AA24</f>
      </c>
      <c r="AB10" s="604">
        <f>IS!AB24</f>
      </c>
      <c r="AC10" s="604">
        <f>IS!AC24</f>
      </c>
      <c r="AD10" s="604">
        <f>IS!AD24</f>
      </c>
      <c r="AE10" s="604">
        <f>IS!AE24</f>
      </c>
      <c r="AF10" s="605">
        <f>IS!AF24</f>
      </c>
      <c r="AG10" s="604">
        <f>IS!AG24</f>
      </c>
      <c r="AH10" s="604">
        <f>IS!AH24</f>
      </c>
      <c r="AI10" s="604">
        <f>IS!AI24</f>
      </c>
      <c r="AJ10" s="604">
        <f>IS!AJ24</f>
      </c>
      <c r="AK10" s="605">
        <f>IS!AK24</f>
      </c>
      <c r="AL10" s="604">
        <f>IS!AL24</f>
      </c>
      <c r="AM10" s="604">
        <f>IS!AM24</f>
      </c>
      <c r="AN10" s="604">
        <f>IS!AN24</f>
      </c>
      <c r="AO10" s="604">
        <f>IS!AO24</f>
      </c>
      <c r="AP10" s="605">
        <f>IS!AP24</f>
      </c>
      <c r="AQ10" s="604">
        <f>IS!AQ24</f>
      </c>
      <c r="AR10" s="604">
        <f>IS!AR24</f>
      </c>
      <c r="AS10" s="604">
        <f>IS!AS24</f>
      </c>
      <c r="AT10" s="604">
        <f>IS!AT24</f>
      </c>
      <c r="AU10" s="605">
        <f>IS!AU24</f>
      </c>
      <c r="AV10" s="604">
        <f>IS!AV24</f>
      </c>
      <c r="AW10" s="604">
        <f>IS!AW24</f>
      </c>
      <c r="AX10" s="604">
        <f>IS!AX24</f>
      </c>
      <c r="AY10" s="604">
        <f>IS!AY24</f>
      </c>
      <c r="AZ10" s="605">
        <f>IS!AZ24</f>
      </c>
      <c r="BA10" s="604">
        <f>IS!BA24</f>
      </c>
      <c r="BB10" s="604">
        <f>IS!BB24</f>
      </c>
      <c r="BC10" s="604">
        <f>IS!BC24</f>
      </c>
      <c r="BD10" s="604">
        <f>IS!BD24</f>
      </c>
      <c r="BE10" s="605">
        <f>IS!BE24</f>
      </c>
      <c r="BF10" s="604">
        <f>IS!BF24</f>
      </c>
      <c r="BG10" s="604">
        <f>IS!BG24</f>
      </c>
      <c r="BH10" s="604">
        <f>IS!BH24</f>
      </c>
      <c r="BI10" s="604">
        <f>IS!BI24</f>
      </c>
      <c r="BJ10" s="605">
        <f>IS!BJ24</f>
      </c>
      <c r="BK10" s="604">
        <f>IS!BK24</f>
      </c>
      <c r="BL10" s="604">
        <f>IS!BL24</f>
      </c>
      <c r="BM10" s="604">
        <f>IS!BM24</f>
      </c>
      <c r="BN10" s="604">
        <f>IS!BN24</f>
      </c>
      <c r="BO10" s="605">
        <f>IS!BO24</f>
      </c>
      <c r="BP10" s="604">
        <f>IS!BP24</f>
      </c>
      <c r="BQ10" s="604">
        <f>IS!BQ24</f>
      </c>
      <c r="BR10" s="604">
        <f>IS!BR24</f>
      </c>
      <c r="BS10" s="604">
        <f>IS!BS24</f>
      </c>
      <c r="BT10" s="605">
        <f>IS!BT24</f>
      </c>
      <c r="BU10" s="604">
        <f>IS!BU24</f>
      </c>
      <c r="BV10" s="604">
        <f>IS!BV24</f>
      </c>
      <c r="BW10" s="604">
        <f>IS!BW24</f>
      </c>
      <c r="BX10" s="604">
        <f>IS!BX24</f>
      </c>
      <c r="BY10" s="605">
        <f>IS!BY24</f>
      </c>
      <c r="BZ10" s="604">
        <f>IS!BZ24</f>
      </c>
      <c r="CA10" s="604">
        <f>IS!CA24</f>
      </c>
      <c r="CB10" s="604">
        <f>IS!CB24</f>
      </c>
      <c r="CC10" s="604">
        <f>IS!CC24</f>
      </c>
      <c r="CD10" s="605">
        <f>IS!CD24</f>
      </c>
      <c r="CE10" s="604">
        <f>IS!CE24</f>
      </c>
      <c r="CF10" s="604">
        <f>IS!CF24</f>
      </c>
      <c r="CG10" s="604">
        <f>IS!CG24</f>
      </c>
      <c r="CH10" s="604">
        <f>IS!CH24</f>
      </c>
      <c r="CI10" s="605">
        <f>IS!CI24</f>
      </c>
      <c r="CJ10" s="604">
        <f>IS!CJ24</f>
      </c>
      <c r="CK10" s="604">
        <f>IS!CK24</f>
      </c>
      <c r="CL10" s="604">
        <f>IS!CL24</f>
      </c>
      <c r="CM10" s="604">
        <f>IS!CM24</f>
      </c>
      <c r="CN10" s="605">
        <f>IS!CN24</f>
      </c>
      <c r="CO10" s="604">
        <f>IS!CO24</f>
      </c>
      <c r="CP10" s="604">
        <f>IS!CP24</f>
      </c>
      <c r="CQ10" s="604">
        <f>IS!CQ24</f>
      </c>
      <c r="CR10" s="604">
        <f>IS!CR24</f>
      </c>
      <c r="CS10" s="605">
        <f>IS!CS24</f>
      </c>
      <c r="CT10" s="604">
        <f>IS!CT24</f>
      </c>
      <c r="CU10" s="604">
        <f>IS!CU24</f>
      </c>
      <c r="CV10" s="604">
        <f>IS!CV24</f>
      </c>
      <c r="CW10" s="604">
        <f>IS!CW24</f>
      </c>
      <c r="CX10" s="605">
        <f>IS!CX24</f>
      </c>
      <c r="CY10" s="604">
        <f>IS!CY24</f>
      </c>
      <c r="CZ10" s="604">
        <f>IS!CZ24</f>
      </c>
      <c r="DA10" s="604">
        <f>IS!DA24</f>
      </c>
      <c r="DB10" s="604">
        <f>IS!DB24</f>
      </c>
      <c r="DC10" s="605">
        <f>IS!DC24</f>
      </c>
      <c r="DD10" s="604">
        <f>IS!DD24</f>
      </c>
      <c r="DE10" s="604">
        <f>IS!DE24</f>
      </c>
      <c r="DF10" s="604">
        <f>IS!DF24</f>
      </c>
      <c r="DG10" s="604">
        <f>IS!DG24</f>
      </c>
      <c r="DH10" s="605">
        <f>IS!DH24</f>
      </c>
      <c r="DI10" s="604">
        <f>IS!DI24</f>
      </c>
      <c r="DJ10" s="604">
        <f>IS!DJ24</f>
      </c>
      <c r="DK10" s="604">
        <f>IS!DK24</f>
      </c>
      <c r="DL10" s="604">
        <f>IS!DL24</f>
      </c>
      <c r="DM10" s="605">
        <f>IS!DM24</f>
      </c>
      <c r="DN10" s="604">
        <f>IS!DN24</f>
      </c>
      <c r="DO10" s="604">
        <f>IS!DO24</f>
      </c>
      <c r="DP10" s="604">
        <f>IS!DP24</f>
      </c>
      <c r="DQ10" s="604">
        <f>IS!DQ24</f>
      </c>
      <c r="DR10" s="605">
        <f>IS!DR24</f>
      </c>
      <c r="DS10" s="604">
        <f>IS!DS24</f>
      </c>
      <c r="DT10" s="604">
        <f>IS!DT24</f>
      </c>
      <c r="DU10" s="604">
        <f>IS!DU24</f>
      </c>
      <c r="DV10" s="604">
        <f>IS!DV24</f>
      </c>
      <c r="DW10" s="605">
        <f>IS!DW24</f>
      </c>
      <c r="DX10" s="604">
        <f>IS!DX24</f>
      </c>
      <c r="DY10" s="604">
        <f>IS!DY24</f>
      </c>
      <c r="DZ10" s="604">
        <f>IS!DZ24</f>
      </c>
      <c r="EA10" s="604">
        <f>IS!EA24</f>
      </c>
      <c r="EB10" s="605">
        <f>IS!EB24</f>
      </c>
      <c r="EC10" s="604">
        <f>IS!EC24</f>
      </c>
      <c r="ED10" s="604">
        <f>IS!ED24</f>
      </c>
      <c r="EE10" s="604">
        <f>IS!EE24</f>
      </c>
      <c r="EF10" s="604">
        <f>IS!EF24</f>
      </c>
      <c r="EG10" s="605">
        <f>IS!EG24</f>
      </c>
      <c r="EH10" s="604">
        <f>IS!EH24</f>
      </c>
      <c r="EI10" s="604">
        <f>IS!EI24</f>
      </c>
      <c r="EJ10" s="604">
        <f>IS!EJ24</f>
      </c>
      <c r="EK10" s="604">
        <f>IS!EK24</f>
      </c>
      <c r="EL10" s="605">
        <f>IS!EL24</f>
      </c>
      <c r="EM10" s="608">
        <f>IS!EM24</f>
      </c>
      <c r="EN10" s="608">
        <f>IS!EN24</f>
      </c>
      <c r="EO10" s="604">
        <f>IS!EO24</f>
      </c>
      <c r="EP10" s="604">
        <f>IS!EP24</f>
      </c>
      <c r="EQ10" s="605">
        <f>IS!EQ24</f>
      </c>
      <c r="ER10" s="604">
        <f>IS!ER24</f>
      </c>
      <c r="ES10" s="608">
        <f>IS!ES24</f>
      </c>
      <c r="ET10" s="604">
        <f>IS!ET24</f>
      </c>
      <c r="EU10" s="604">
        <f>IS!EU24</f>
      </c>
      <c r="EV10" s="605">
        <f>IS!EV24</f>
      </c>
      <c r="EW10" s="604">
        <f>IS!EW24</f>
      </c>
      <c r="EX10" s="608">
        <f>IS!EX24</f>
      </c>
      <c r="EY10" s="604">
        <f>IS!EY24</f>
      </c>
      <c r="EZ10" s="604">
        <f>IS!EZ24</f>
      </c>
      <c r="FA10" s="605">
        <f>IS!FA24</f>
      </c>
      <c r="FB10" s="604">
        <f>IS!FB24</f>
      </c>
      <c r="FC10" s="604">
        <f>IS!FC24</f>
      </c>
      <c r="FD10" s="604">
        <f>IS!FD24</f>
      </c>
      <c r="FE10" s="604">
        <f>IS!FE24</f>
      </c>
      <c r="FF10" s="605">
        <f>IS!FF24</f>
      </c>
      <c r="FG10" s="604">
        <f>IS!FG24</f>
      </c>
      <c r="FH10" s="604">
        <f>IS!FH24</f>
      </c>
      <c r="FI10" s="604">
        <f>IS!FI24</f>
      </c>
      <c r="FJ10" s="604">
        <f>IS!FJ24</f>
      </c>
      <c r="FK10" s="605">
        <f>IS!FK24</f>
      </c>
      <c r="FL10" s="604">
        <f>IS!FL24</f>
      </c>
      <c r="FM10" s="604">
        <f>IS!FM24</f>
      </c>
      <c r="FN10" s="604">
        <f>IS!FN24</f>
      </c>
      <c r="FO10" s="604">
        <f>IS!FO24</f>
      </c>
      <c r="FP10" s="605">
        <f>IS!FP24</f>
      </c>
      <c r="FQ10" s="604">
        <f>IS!FQ24</f>
      </c>
      <c r="FR10" s="604">
        <f>IS!FR24</f>
      </c>
      <c r="FS10" s="604">
        <f>IS!FS24</f>
      </c>
      <c r="FT10" s="604">
        <f>IS!FT24</f>
      </c>
      <c r="FU10" s="605">
        <f>IS!FU24</f>
      </c>
      <c r="FV10" s="604">
        <f>IS!FV24</f>
      </c>
      <c r="FW10" s="604">
        <f>IS!FW24</f>
      </c>
      <c r="FX10" s="604">
        <f>IS!FX24</f>
      </c>
      <c r="FY10" s="604">
        <f>IS!FY24</f>
      </c>
      <c r="FZ10" s="605">
        <f>IS!FZ24</f>
      </c>
      <c r="GA10" s="604">
        <f>IS!GA24</f>
      </c>
      <c r="GB10" s="604">
        <f>IS!GB24</f>
      </c>
      <c r="GC10" s="604">
        <f>IS!GC24</f>
      </c>
      <c r="GD10" s="604">
        <f>IS!GD24</f>
      </c>
      <c r="GE10" s="605">
        <f>IS!GE24</f>
      </c>
    </row>
    <row r="11" spans="1:187" s="537" customFormat="1" ht="12.75" customHeight="1" outlineLevel="1">
      <c r="A11" s="81"/>
      <c r="B11" s="724" t="s">
        <v>34</v>
      </c>
      <c r="C11" s="291"/>
      <c r="D11" s="107"/>
      <c r="E11" s="107"/>
      <c r="F11" s="107"/>
      <c r="G11" s="536"/>
      <c r="H11" s="291">
        <f t="shared" ref="H11:AM11" si="0">IFERROR(H10/C10-1,"")</f>
      </c>
      <c r="I11" s="107">
        <f t="shared" si="0"/>
      </c>
      <c r="J11" s="107">
        <f t="shared" si="0"/>
      </c>
      <c r="K11" s="107">
        <f t="shared" si="0"/>
      </c>
      <c r="L11" s="292">
        <f t="shared" si="0"/>
      </c>
      <c r="M11" s="291">
        <f t="shared" si="0"/>
      </c>
      <c r="N11" s="107">
        <f t="shared" si="0"/>
      </c>
      <c r="O11" s="107">
        <f t="shared" si="0"/>
      </c>
      <c r="P11" s="107">
        <f t="shared" si="0"/>
      </c>
      <c r="Q11" s="292">
        <f t="shared" si="0"/>
      </c>
      <c r="R11" s="291">
        <f t="shared" si="0"/>
      </c>
      <c r="S11" s="107">
        <f t="shared" si="0"/>
      </c>
      <c r="T11" s="107">
        <f t="shared" si="0"/>
      </c>
      <c r="U11" s="107">
        <f t="shared" si="0"/>
      </c>
      <c r="V11" s="292">
        <f t="shared" si="0"/>
      </c>
      <c r="W11" s="291">
        <f t="shared" si="0"/>
      </c>
      <c r="X11" s="107">
        <f t="shared" si="0"/>
      </c>
      <c r="Y11" s="107">
        <f t="shared" si="0"/>
      </c>
      <c r="Z11" s="107">
        <f t="shared" si="0"/>
      </c>
      <c r="AA11" s="292">
        <f t="shared" si="0"/>
      </c>
      <c r="AB11" s="291">
        <f t="shared" si="0"/>
      </c>
      <c r="AC11" s="107">
        <f t="shared" si="0"/>
      </c>
      <c r="AD11" s="107">
        <f t="shared" si="0"/>
      </c>
      <c r="AE11" s="107">
        <f t="shared" si="0"/>
      </c>
      <c r="AF11" s="292">
        <f t="shared" si="0"/>
      </c>
      <c r="AG11" s="291">
        <f t="shared" si="0"/>
      </c>
      <c r="AH11" s="107">
        <f t="shared" si="0"/>
      </c>
      <c r="AI11" s="107">
        <f t="shared" si="0"/>
      </c>
      <c r="AJ11" s="107">
        <f t="shared" si="0"/>
      </c>
      <c r="AK11" s="292">
        <f t="shared" si="0"/>
      </c>
      <c r="AL11" s="291">
        <f t="shared" si="0"/>
      </c>
      <c r="AM11" s="107">
        <f t="shared" si="0"/>
      </c>
      <c r="AN11" s="107">
        <f t="shared" ref="AN11:BS11" si="1">IFERROR(AN10/AI10-1,"")</f>
      </c>
      <c r="AO11" s="107">
        <f t="shared" si="1"/>
      </c>
      <c r="AP11" s="292">
        <f t="shared" si="1"/>
      </c>
      <c r="AQ11" s="291">
        <f t="shared" si="1"/>
      </c>
      <c r="AR11" s="107">
        <f t="shared" si="1"/>
      </c>
      <c r="AS11" s="107">
        <f t="shared" si="1"/>
      </c>
      <c r="AT11" s="107">
        <f t="shared" si="1"/>
      </c>
      <c r="AU11" s="292">
        <f t="shared" si="1"/>
      </c>
      <c r="AV11" s="291">
        <f t="shared" si="1"/>
      </c>
      <c r="AW11" s="107">
        <f t="shared" si="1"/>
      </c>
      <c r="AX11" s="107">
        <f t="shared" si="1"/>
      </c>
      <c r="AY11" s="107">
        <f t="shared" si="1"/>
      </c>
      <c r="AZ11" s="292">
        <f t="shared" si="1"/>
      </c>
      <c r="BA11" s="291">
        <f t="shared" si="1"/>
      </c>
      <c r="BB11" s="107">
        <f t="shared" si="1"/>
      </c>
      <c r="BC11" s="107">
        <f t="shared" si="1"/>
      </c>
      <c r="BD11" s="107">
        <f t="shared" si="1"/>
      </c>
      <c r="BE11" s="292">
        <f t="shared" si="1"/>
      </c>
      <c r="BF11" s="291">
        <f t="shared" si="1"/>
      </c>
      <c r="BG11" s="107">
        <f t="shared" si="1"/>
      </c>
      <c r="BH11" s="107">
        <f t="shared" si="1"/>
      </c>
      <c r="BI11" s="107">
        <f t="shared" si="1"/>
      </c>
      <c r="BJ11" s="292">
        <f t="shared" si="1"/>
      </c>
      <c r="BK11" s="291">
        <f t="shared" si="1"/>
      </c>
      <c r="BL11" s="107">
        <f t="shared" si="1"/>
      </c>
      <c r="BM11" s="107">
        <f t="shared" si="1"/>
      </c>
      <c r="BN11" s="107">
        <f t="shared" si="1"/>
      </c>
      <c r="BO11" s="292">
        <f t="shared" si="1"/>
      </c>
      <c r="BP11" s="291">
        <f t="shared" si="1"/>
      </c>
      <c r="BQ11" s="107">
        <f t="shared" si="1"/>
      </c>
      <c r="BR11" s="107">
        <f t="shared" si="1"/>
      </c>
      <c r="BS11" s="107">
        <f t="shared" si="1"/>
      </c>
      <c r="BT11" s="292">
        <f t="shared" ref="BT11:CY11" si="2">IFERROR(BT10/BO10-1,"")</f>
      </c>
      <c r="BU11" s="291">
        <f t="shared" si="2"/>
      </c>
      <c r="BV11" s="107">
        <f t="shared" si="2"/>
      </c>
      <c r="BW11" s="107">
        <f t="shared" si="2"/>
      </c>
      <c r="BX11" s="107">
        <f t="shared" si="2"/>
      </c>
      <c r="BY11" s="292">
        <f t="shared" si="2"/>
      </c>
      <c r="BZ11" s="291">
        <f t="shared" si="2"/>
      </c>
      <c r="CA11" s="107">
        <f t="shared" si="2"/>
      </c>
      <c r="CB11" s="107">
        <f t="shared" si="2"/>
      </c>
      <c r="CC11" s="107">
        <f t="shared" si="2"/>
      </c>
      <c r="CD11" s="292">
        <f t="shared" si="2"/>
      </c>
      <c r="CE11" s="291">
        <f t="shared" si="2"/>
      </c>
      <c r="CF11" s="107">
        <f t="shared" si="2"/>
      </c>
      <c r="CG11" s="107">
        <f t="shared" si="2"/>
      </c>
      <c r="CH11" s="107">
        <f t="shared" si="2"/>
      </c>
      <c r="CI11" s="292">
        <f t="shared" si="2"/>
      </c>
      <c r="CJ11" s="291">
        <f t="shared" si="2"/>
      </c>
      <c r="CK11" s="107">
        <f t="shared" si="2"/>
      </c>
      <c r="CL11" s="107">
        <f t="shared" si="2"/>
      </c>
      <c r="CM11" s="107">
        <f t="shared" si="2"/>
      </c>
      <c r="CN11" s="292">
        <f t="shared" si="2"/>
      </c>
      <c r="CO11" s="291">
        <f t="shared" si="2"/>
      </c>
      <c r="CP11" s="107">
        <f t="shared" si="2"/>
      </c>
      <c r="CQ11" s="107">
        <f t="shared" si="2"/>
      </c>
      <c r="CR11" s="107">
        <f t="shared" si="2"/>
      </c>
      <c r="CS11" s="292">
        <f t="shared" si="2"/>
      </c>
      <c r="CT11" s="291">
        <f t="shared" si="2"/>
      </c>
      <c r="CU11" s="107">
        <f t="shared" si="2"/>
      </c>
      <c r="CV11" s="107">
        <f t="shared" si="2"/>
      </c>
      <c r="CW11" s="107">
        <f t="shared" si="2"/>
      </c>
      <c r="CX11" s="292">
        <f t="shared" si="2"/>
      </c>
      <c r="CY11" s="291">
        <f t="shared" si="2"/>
      </c>
      <c r="CZ11" s="107">
        <f t="shared" ref="CZ11:EE11" si="3">IFERROR(CZ10/CU10-1,"")</f>
      </c>
      <c r="DA11" s="107">
        <f t="shared" si="3"/>
      </c>
      <c r="DB11" s="107">
        <f t="shared" si="3"/>
      </c>
      <c r="DC11" s="292">
        <f t="shared" si="3"/>
      </c>
      <c r="DD11" s="291">
        <f t="shared" si="3"/>
      </c>
      <c r="DE11" s="107">
        <f t="shared" si="3"/>
      </c>
      <c r="DF11" s="107">
        <f t="shared" si="3"/>
      </c>
      <c r="DG11" s="107">
        <f t="shared" si="3"/>
      </c>
      <c r="DH11" s="292">
        <f t="shared" si="3"/>
      </c>
      <c r="DI11" s="291">
        <f t="shared" si="3"/>
      </c>
      <c r="DJ11" s="107">
        <f t="shared" si="3"/>
      </c>
      <c r="DK11" s="107">
        <f t="shared" si="3"/>
      </c>
      <c r="DL11" s="107">
        <f t="shared" si="3"/>
      </c>
      <c r="DM11" s="292">
        <f t="shared" si="3"/>
      </c>
      <c r="DN11" s="291">
        <f t="shared" si="3"/>
      </c>
      <c r="DO11" s="107">
        <f t="shared" si="3"/>
      </c>
      <c r="DP11" s="107">
        <f t="shared" si="3"/>
      </c>
      <c r="DQ11" s="107">
        <f t="shared" si="3"/>
      </c>
      <c r="DR11" s="292">
        <f t="shared" si="3"/>
      </c>
      <c r="DS11" s="291">
        <f t="shared" si="3"/>
      </c>
      <c r="DT11" s="107">
        <f t="shared" si="3"/>
      </c>
      <c r="DU11" s="107">
        <f t="shared" si="3"/>
      </c>
      <c r="DV11" s="107">
        <f t="shared" si="3"/>
      </c>
      <c r="DW11" s="292">
        <f t="shared" si="3"/>
      </c>
      <c r="DX11" s="291">
        <f t="shared" si="3"/>
      </c>
      <c r="DY11" s="107">
        <f t="shared" si="3"/>
      </c>
      <c r="DZ11" s="107">
        <f t="shared" si="3"/>
      </c>
      <c r="EA11" s="107">
        <f t="shared" si="3"/>
      </c>
      <c r="EB11" s="292">
        <f t="shared" si="3"/>
      </c>
      <c r="EC11" s="291">
        <f t="shared" si="3"/>
      </c>
      <c r="ED11" s="107">
        <f t="shared" si="3"/>
      </c>
      <c r="EE11" s="107">
        <f t="shared" si="3"/>
      </c>
      <c r="EF11" s="107">
        <f t="shared" ref="EF11:FK11" si="4">IFERROR(EF10/EA10-1,"")</f>
      </c>
      <c r="EG11" s="292">
        <f t="shared" si="4"/>
      </c>
      <c r="EH11" s="291">
        <f t="shared" si="4"/>
      </c>
      <c r="EI11" s="107">
        <f t="shared" si="4"/>
      </c>
      <c r="EJ11" s="107">
        <f t="shared" si="4"/>
      </c>
      <c r="EK11" s="107">
        <f t="shared" si="4"/>
      </c>
      <c r="EL11" s="292">
        <f t="shared" si="4"/>
      </c>
      <c r="EM11" s="291">
        <f t="shared" si="4"/>
      </c>
      <c r="EN11" s="107">
        <f t="shared" si="4"/>
      </c>
      <c r="EO11" s="107">
        <f t="shared" si="4"/>
      </c>
      <c r="EP11" s="107">
        <f t="shared" si="4"/>
      </c>
      <c r="EQ11" s="292">
        <f t="shared" si="4"/>
      </c>
      <c r="ER11" s="291">
        <f t="shared" si="4"/>
      </c>
      <c r="ES11" s="107">
        <f t="shared" si="4"/>
      </c>
      <c r="ET11" s="107">
        <f t="shared" si="4"/>
      </c>
      <c r="EU11" s="107">
        <f>IFERROR(EU10/EP10-1,"")</f>
      </c>
      <c r="EV11" s="292">
        <f>IFERROR(EV10/EQ10-1,"")</f>
      </c>
      <c r="EW11" s="291">
        <f t="shared" si="4"/>
      </c>
      <c r="EX11" s="107">
        <f t="shared" si="4"/>
      </c>
      <c r="EY11" s="107">
        <f t="shared" si="4"/>
      </c>
      <c r="EZ11" s="107">
        <f>IFERROR(EZ10/EU10-1,"")</f>
      </c>
      <c r="FA11" s="292">
        <f>IFERROR(FA10/EV10-1,"")</f>
      </c>
      <c r="FB11" s="291">
        <f t="shared" si="4"/>
      </c>
      <c r="FC11" s="107">
        <f t="shared" si="4"/>
      </c>
      <c r="FD11" s="107">
        <f t="shared" si="4"/>
      </c>
      <c r="FE11" s="107">
        <f t="shared" si="4"/>
      </c>
      <c r="FF11" s="292">
        <f t="shared" si="4"/>
      </c>
      <c r="FG11" s="291">
        <f t="shared" si="4"/>
      </c>
      <c r="FH11" s="107">
        <f t="shared" si="4"/>
      </c>
      <c r="FI11" s="107">
        <f t="shared" si="4"/>
      </c>
      <c r="FJ11" s="107">
        <f t="shared" si="4"/>
      </c>
      <c r="FK11" s="292">
        <f t="shared" si="4"/>
      </c>
      <c r="FL11" s="291">
        <f t="shared" ref="FL11:FZ11" si="5">IFERROR(FL10/FG10-1,"")</f>
      </c>
      <c r="FM11" s="107">
        <f t="shared" si="5"/>
      </c>
      <c r="FN11" s="107">
        <f t="shared" si="5"/>
      </c>
      <c r="FO11" s="107">
        <f t="shared" si="5"/>
      </c>
      <c r="FP11" s="292">
        <f t="shared" si="5"/>
      </c>
      <c r="FQ11" s="291">
        <f t="shared" si="5"/>
      </c>
      <c r="FR11" s="107">
        <f t="shared" si="5"/>
      </c>
      <c r="FS11" s="107">
        <f t="shared" si="5"/>
      </c>
      <c r="FT11" s="107">
        <f t="shared" si="5"/>
      </c>
      <c r="FU11" s="292">
        <f t="shared" si="5"/>
      </c>
      <c r="FV11" s="291">
        <f t="shared" si="5"/>
      </c>
      <c r="FW11" s="107">
        <f t="shared" si="5"/>
      </c>
      <c r="FX11" s="107">
        <f t="shared" si="5"/>
      </c>
      <c r="FY11" s="107">
        <f t="shared" si="5"/>
      </c>
      <c r="FZ11" s="292">
        <f t="shared" si="5"/>
      </c>
      <c r="GA11" s="291">
        <f>IFERROR(GA10/FV10-1,"")</f>
      </c>
      <c r="GB11" s="107">
        <f>IFERROR(GB10/FW10-1,"")</f>
      </c>
      <c r="GC11" s="107">
        <f>IFERROR(GC10/FX10-1,"")</f>
      </c>
      <c r="GD11" s="107">
        <f>IFERROR(GD10/FY10-1,"")</f>
      </c>
      <c r="GE11" s="292">
        <f>IFERROR(GE10/FZ10-1,"")</f>
      </c>
    </row>
    <row r="12" spans="1:187" s="537" customFormat="1" ht="12.75" customHeight="1" outlineLevel="1">
      <c r="A12" s="81"/>
      <c r="B12" s="724" t="s">
        <v>36</v>
      </c>
      <c r="C12" s="291"/>
      <c r="D12" s="137"/>
      <c r="E12" s="137"/>
      <c r="F12" s="137"/>
      <c r="G12" s="538"/>
      <c r="H12" s="291">
        <f>IFERROR(H10/F10-1,"")</f>
      </c>
      <c r="I12" s="107">
        <f>IFERROR(I10/H10-1,"")</f>
      </c>
      <c r="J12" s="107">
        <f>IFERROR(J10/I10-1,"")</f>
      </c>
      <c r="K12" s="107">
        <f>IFERROR(K10/J10-1,"")</f>
      </c>
      <c r="L12" s="293"/>
      <c r="M12" s="291">
        <f>IFERROR(M10/K10-1,"")</f>
      </c>
      <c r="N12" s="107">
        <f>IFERROR(N10/M10-1,"")</f>
      </c>
      <c r="O12" s="107">
        <f>IFERROR(O10/N10-1,"")</f>
      </c>
      <c r="P12" s="107">
        <f>IFERROR(P10/O10-1,"")</f>
      </c>
      <c r="Q12" s="293"/>
      <c r="R12" s="291">
        <f>IFERROR(R10/P10-1,"")</f>
      </c>
      <c r="S12" s="107">
        <f>IFERROR(S10/R10-1,"")</f>
      </c>
      <c r="T12" s="107">
        <f>IFERROR(T10/S10-1,"")</f>
      </c>
      <c r="U12" s="107">
        <f>IFERROR(U10/T10-1,"")</f>
      </c>
      <c r="V12" s="293"/>
      <c r="W12" s="291">
        <f>IFERROR(W10/U10-1,"")</f>
      </c>
      <c r="X12" s="107">
        <f>IFERROR(X10/W10-1,"")</f>
      </c>
      <c r="Y12" s="107">
        <f>IFERROR(Y10/X10-1,"")</f>
      </c>
      <c r="Z12" s="107">
        <f>IFERROR(Z10/Y10-1,"")</f>
      </c>
      <c r="AA12" s="293"/>
      <c r="AB12" s="291">
        <f>IFERROR(AB10/Z10-1,"")</f>
      </c>
      <c r="AC12" s="107">
        <f>IFERROR(AC10/AB10-1,"")</f>
      </c>
      <c r="AD12" s="107">
        <f>IFERROR(AD10/AC10-1,"")</f>
      </c>
      <c r="AE12" s="107">
        <f>IFERROR(AE10/AD10-1,"")</f>
      </c>
      <c r="AF12" s="293"/>
      <c r="AG12" s="291">
        <f>IFERROR(AG10/AE10-1,"")</f>
      </c>
      <c r="AH12" s="107">
        <f>IFERROR(AH10/AG10-1,"")</f>
      </c>
      <c r="AI12" s="107">
        <f>IFERROR(AI10/AH10-1,"")</f>
      </c>
      <c r="AJ12" s="107">
        <f>IFERROR(AJ10/AI10-1,"")</f>
      </c>
      <c r="AK12" s="293"/>
      <c r="AL12" s="291">
        <f>IFERROR(AL10/AJ10-1,"")</f>
      </c>
      <c r="AM12" s="107">
        <f>IFERROR(AM10/AL10-1,"")</f>
      </c>
      <c r="AN12" s="107">
        <f>IFERROR(AN10/AM10-1,"")</f>
      </c>
      <c r="AO12" s="107">
        <f>IFERROR(AO10/AN10-1,"")</f>
      </c>
      <c r="AP12" s="293"/>
      <c r="AQ12" s="291">
        <f>IFERROR(AQ10/AO10-1,"")</f>
      </c>
      <c r="AR12" s="107">
        <f>IFERROR(AR10/AQ10-1,"")</f>
      </c>
      <c r="AS12" s="107">
        <f>IFERROR(AS10/AR10-1,"")</f>
      </c>
      <c r="AT12" s="107">
        <f>IFERROR(AT10/AS10-1,"")</f>
      </c>
      <c r="AU12" s="293"/>
      <c r="AV12" s="291">
        <f>IFERROR(AV10/AT10-1,"")</f>
      </c>
      <c r="AW12" s="107">
        <f>IFERROR(AW10/AV10-1,"")</f>
      </c>
      <c r="AX12" s="107">
        <f>IFERROR(AX10/AW10-1,"")</f>
      </c>
      <c r="AY12" s="107">
        <f>IFERROR(AY10/AX10-1,"")</f>
      </c>
      <c r="AZ12" s="293"/>
      <c r="BA12" s="291">
        <f>IFERROR(BA10/AY10-1,"")</f>
      </c>
      <c r="BB12" s="107">
        <f>IFERROR(BB10/BA10-1,"")</f>
      </c>
      <c r="BC12" s="107">
        <f>IFERROR(BC10/BB10-1,"")</f>
      </c>
      <c r="BD12" s="107">
        <f>IFERROR(BD10/BC10-1,"")</f>
      </c>
      <c r="BE12" s="293"/>
      <c r="BF12" s="291">
        <f>IFERROR(BF10/BD10-1,"")</f>
      </c>
      <c r="BG12" s="107">
        <f>IFERROR(BG10/BF10-1,"")</f>
      </c>
      <c r="BH12" s="107">
        <f>IFERROR(BH10/BG10-1,"")</f>
      </c>
      <c r="BI12" s="107">
        <f>IFERROR(BI10/BH10-1,"")</f>
      </c>
      <c r="BJ12" s="293"/>
      <c r="BK12" s="291">
        <f>IFERROR(BK10/BI10-1,"")</f>
      </c>
      <c r="BL12" s="107">
        <f>IFERROR(BL10/BK10-1,"")</f>
      </c>
      <c r="BM12" s="107">
        <f>IFERROR(BM10/BL10-1,"")</f>
      </c>
      <c r="BN12" s="107">
        <f>IFERROR(BN10/BM10-1,"")</f>
      </c>
      <c r="BO12" s="293"/>
      <c r="BP12" s="291">
        <f>IFERROR(BP10/BN10-1,"")</f>
      </c>
      <c r="BQ12" s="107">
        <f>IFERROR(BQ10/BP10-1,"")</f>
      </c>
      <c r="BR12" s="107">
        <f>IFERROR(BR10/BQ10-1,"")</f>
      </c>
      <c r="BS12" s="107">
        <f>IFERROR(BS10/BR10-1,"")</f>
      </c>
      <c r="BT12" s="293"/>
      <c r="BU12" s="291">
        <f>IFERROR(BU10/BS10-1,"")</f>
      </c>
      <c r="BV12" s="107">
        <f>IFERROR(BV10/BU10-1,"")</f>
      </c>
      <c r="BW12" s="107">
        <f>IFERROR(BW10/BV10-1,"")</f>
      </c>
      <c r="BX12" s="107">
        <f>IFERROR(BX10/BW10-1,"")</f>
      </c>
      <c r="BY12" s="293"/>
      <c r="BZ12" s="291">
        <f>IFERROR(BZ10/BX10-1,"")</f>
      </c>
      <c r="CA12" s="107">
        <f>IFERROR(CA10/BZ10-1,"")</f>
      </c>
      <c r="CB12" s="107">
        <f>IFERROR(CB10/CA10-1,"")</f>
      </c>
      <c r="CC12" s="107">
        <f>IFERROR(CC10/CB10-1,"")</f>
      </c>
      <c r="CD12" s="293"/>
      <c r="CE12" s="291">
        <f>IFERROR(CE10/CC10-1,"")</f>
      </c>
      <c r="CF12" s="107">
        <f>IFERROR(CF10/CE10-1,"")</f>
      </c>
      <c r="CG12" s="107">
        <f>IFERROR(CG10/CF10-1,"")</f>
      </c>
      <c r="CH12" s="107">
        <f>IFERROR(CH10/CG10-1,"")</f>
      </c>
      <c r="CI12" s="293"/>
      <c r="CJ12" s="291">
        <f>IFERROR(CJ10/CH10-1,"")</f>
      </c>
      <c r="CK12" s="107">
        <f>IFERROR(CK10/CJ10-1,"")</f>
      </c>
      <c r="CL12" s="107">
        <f>IFERROR(CL10/CK10-1,"")</f>
      </c>
      <c r="CM12" s="107">
        <f>IFERROR(CM10/CL10-1,"")</f>
      </c>
      <c r="CN12" s="293"/>
      <c r="CO12" s="291">
        <f>IFERROR(CO10/CM10-1,"")</f>
      </c>
      <c r="CP12" s="107">
        <f>IFERROR(CP10/CO10-1,"")</f>
      </c>
      <c r="CQ12" s="107">
        <f>IFERROR(CQ10/CP10-1,"")</f>
      </c>
      <c r="CR12" s="107">
        <f>IFERROR(CR10/CQ10-1,"")</f>
      </c>
      <c r="CS12" s="293"/>
      <c r="CT12" s="291">
        <f>IFERROR(CT10/CR10-1,"")</f>
      </c>
      <c r="CU12" s="107">
        <f>IFERROR(CU10/CT10-1,"")</f>
      </c>
      <c r="CV12" s="107">
        <f>IFERROR(CV10/CU10-1,"")</f>
      </c>
      <c r="CW12" s="107">
        <f>IFERROR(CW10/CV10-1,"")</f>
      </c>
      <c r="CX12" s="293"/>
      <c r="CY12" s="291">
        <f>IFERROR(CY10/CW10-1,"")</f>
      </c>
      <c r="CZ12" s="107">
        <f>IFERROR(CZ10/CY10-1,"")</f>
      </c>
      <c r="DA12" s="107">
        <f>IFERROR(DA10/CZ10-1,"")</f>
      </c>
      <c r="DB12" s="107">
        <f>IFERROR(DB10/DA10-1,"")</f>
      </c>
      <c r="DC12" s="293"/>
      <c r="DD12" s="291">
        <f>IFERROR(DD10/DB10-1,"")</f>
      </c>
      <c r="DE12" s="107">
        <f>IFERROR(DE10/DD10-1,"")</f>
      </c>
      <c r="DF12" s="107">
        <f>IFERROR(DF10/DE10-1,"")</f>
      </c>
      <c r="DG12" s="107">
        <f>IFERROR(DG10/DF10-1,"")</f>
      </c>
      <c r="DH12" s="293"/>
      <c r="DI12" s="291">
        <f>IFERROR(DI10/DG10-1,"")</f>
      </c>
      <c r="DJ12" s="107">
        <f>IFERROR(DJ10/DI10-1,"")</f>
      </c>
      <c r="DK12" s="107">
        <f>IFERROR(DK10/DJ10-1,"")</f>
      </c>
      <c r="DL12" s="107">
        <f>IFERROR(DL10/DK10-1,"")</f>
      </c>
      <c r="DM12" s="293"/>
      <c r="DN12" s="291">
        <f>IFERROR(DN10/DL10-1,"")</f>
      </c>
      <c r="DO12" s="107">
        <f>IFERROR(DO10/DN10-1,"")</f>
      </c>
      <c r="DP12" s="107">
        <f>IFERROR(DP10/DO10-1,"")</f>
      </c>
      <c r="DQ12" s="107">
        <f>IFERROR(DQ10/DP10-1,"")</f>
      </c>
      <c r="DR12" s="293"/>
      <c r="DS12" s="291">
        <f>IFERROR(DS10/DQ10-1,"")</f>
      </c>
      <c r="DT12" s="107">
        <f>IFERROR(DT10/DS10-1,"")</f>
      </c>
      <c r="DU12" s="107">
        <f>IFERROR(DU10/DT10-1,"")</f>
      </c>
      <c r="DV12" s="107">
        <f>IFERROR(DV10/DU10-1,"")</f>
      </c>
      <c r="DW12" s="293"/>
      <c r="DX12" s="291">
        <f>IFERROR(DX10/DV10-1,"")</f>
      </c>
      <c r="DY12" s="107">
        <f>IFERROR(DY10/DX10-1,"")</f>
      </c>
      <c r="DZ12" s="107">
        <f>IFERROR(DZ10/DY10-1,"")</f>
      </c>
      <c r="EA12" s="107">
        <f>IFERROR(EA10/DZ10-1,"")</f>
      </c>
      <c r="EB12" s="293"/>
      <c r="EC12" s="291">
        <f>IFERROR(EC10/EA10-1,"")</f>
      </c>
      <c r="ED12" s="107">
        <f>IFERROR(ED10/EC10-1,"")</f>
      </c>
      <c r="EE12" s="107">
        <f>IFERROR(EE10/ED10-1,"")</f>
      </c>
      <c r="EF12" s="107">
        <f>IFERROR(EF10/EE10-1,"")</f>
      </c>
      <c r="EG12" s="293"/>
      <c r="EH12" s="291">
        <f>IFERROR(EH10/EF10-1,"")</f>
      </c>
      <c r="EI12" s="107">
        <f>IFERROR(EI10/EH10-1,"")</f>
      </c>
      <c r="EJ12" s="107">
        <f>IFERROR(EJ10/EI10-1,"")</f>
      </c>
      <c r="EK12" s="107">
        <f>IFERROR(EK10/EJ10-1,"")</f>
      </c>
      <c r="EL12" s="293"/>
      <c r="EM12" s="291">
        <f>IFERROR(EM10/EK10-1,"")</f>
      </c>
      <c r="EN12" s="107">
        <f>IFERROR(EN10/EM10-1,"")</f>
      </c>
      <c r="EO12" s="107">
        <f>IFERROR(EO10/EN10-1,"")</f>
      </c>
      <c r="EP12" s="107">
        <f>IFERROR(EP10/EO10-1,"")</f>
      </c>
      <c r="EQ12" s="293"/>
      <c r="ER12" s="291">
        <f>IFERROR(ER10/EP10-1,"")</f>
      </c>
      <c r="ES12" s="107">
        <f>IFERROR(ES10/ER10-1,"")</f>
      </c>
      <c r="ET12" s="107">
        <f>IFERROR(ET10/ES10-1,"")</f>
      </c>
      <c r="EU12" s="107">
        <f>IFERROR(EU10/ET10-1,"")</f>
      </c>
      <c r="EV12" s="293"/>
      <c r="EW12" s="291">
        <f>IFERROR(EW10/EU10-1,"")</f>
      </c>
      <c r="EX12" s="107">
        <f>IFERROR(EX10/EW10-1,"")</f>
      </c>
      <c r="EY12" s="107">
        <f>IFERROR(EY10/EX10-1,"")</f>
      </c>
      <c r="EZ12" s="107">
        <f>IFERROR(EZ10/EY10-1,"")</f>
      </c>
      <c r="FA12" s="293"/>
      <c r="FB12" s="291">
        <f>IFERROR(FB10/EZ10-1,"")</f>
      </c>
      <c r="FC12" s="107">
        <f>IFERROR(FC10/FB10-1,"")</f>
      </c>
      <c r="FD12" s="107">
        <f>IFERROR(FD10/FC10-1,"")</f>
      </c>
      <c r="FE12" s="107">
        <f>IFERROR(FE10/FD10-1,"")</f>
      </c>
      <c r="FF12" s="293"/>
      <c r="FG12" s="291">
        <f>IFERROR(FG10/FE10-1,"")</f>
      </c>
      <c r="FH12" s="107">
        <f>IFERROR(FH10/FG10-1,"")</f>
      </c>
      <c r="FI12" s="107">
        <f>IFERROR(FI10/FH10-1,"")</f>
      </c>
      <c r="FJ12" s="107">
        <f>IFERROR(FJ10/FI10-1,"")</f>
      </c>
      <c r="FK12" s="293"/>
      <c r="FL12" s="291">
        <f>IFERROR(FL10/FJ10-1,"")</f>
      </c>
      <c r="FM12" s="107">
        <f>IFERROR(FM10/FL10-1,"")</f>
      </c>
      <c r="FN12" s="107">
        <f>IFERROR(FN10/FM10-1,"")</f>
      </c>
      <c r="FO12" s="107">
        <f>IFERROR(FO10/FN10-1,"")</f>
      </c>
      <c r="FP12" s="293"/>
      <c r="FQ12" s="291">
        <f>IFERROR(FQ10/FO10-1,"")</f>
      </c>
      <c r="FR12" s="107">
        <f>IFERROR(FR10/FQ10-1,"")</f>
      </c>
      <c r="FS12" s="107">
        <f>IFERROR(FS10/FR10-1,"")</f>
      </c>
      <c r="FT12" s="107">
        <f>IFERROR(FT10/FS10-1,"")</f>
      </c>
      <c r="FU12" s="293"/>
      <c r="FV12" s="291">
        <f>IFERROR(FV10/FT10-1,"")</f>
      </c>
      <c r="FW12" s="107">
        <f>IFERROR(FW10/FV10-1,"")</f>
      </c>
      <c r="FX12" s="107">
        <f>IFERROR(FX10/FW10-1,"")</f>
      </c>
      <c r="FY12" s="107">
        <f>IFERROR(FY10/FX10-1,"")</f>
      </c>
      <c r="FZ12" s="293"/>
      <c r="GA12" s="291">
        <f>IFERROR(GA10/FY10-1,"")</f>
      </c>
      <c r="GB12" s="107">
        <f>IFERROR(GB10/GA10-1,"")</f>
      </c>
      <c r="GC12" s="107">
        <f>IFERROR(GC10/GB10-1,"")</f>
      </c>
      <c r="GD12" s="107">
        <f>IFERROR(GD10/GC10-1,"")</f>
      </c>
      <c r="GE12" s="293"/>
    </row>
    <row r="13" spans="1:187" s="537" customFormat="1" ht="12.75" customHeight="1">
      <c r="A13" s="81"/>
      <c r="B13" s="724"/>
      <c r="C13" s="539"/>
      <c r="D13" s="539"/>
      <c r="E13" s="539"/>
      <c r="F13" s="539"/>
      <c r="G13" s="540"/>
      <c r="H13" s="539"/>
      <c r="I13" s="539"/>
      <c r="J13" s="539"/>
      <c r="K13" s="539"/>
      <c r="L13" s="540"/>
      <c r="M13" s="539"/>
      <c r="N13" s="539"/>
      <c r="O13" s="539"/>
      <c r="P13" s="539"/>
      <c r="Q13" s="540"/>
      <c r="R13" s="539"/>
      <c r="S13" s="539"/>
      <c r="T13" s="539"/>
      <c r="U13" s="539"/>
      <c r="V13" s="540"/>
      <c r="W13" s="539"/>
      <c r="X13" s="539"/>
      <c r="Y13" s="539"/>
      <c r="Z13" s="539"/>
      <c r="AA13" s="540"/>
      <c r="AB13" s="539"/>
      <c r="AC13" s="539"/>
      <c r="AD13" s="539"/>
      <c r="AE13" s="539"/>
      <c r="AF13" s="540"/>
      <c r="AG13" s="539"/>
      <c r="AH13" s="539"/>
      <c r="AI13" s="539"/>
      <c r="AJ13" s="539"/>
      <c r="AK13" s="540"/>
      <c r="AL13" s="539"/>
      <c r="AM13" s="539"/>
      <c r="AN13" s="539"/>
      <c r="AO13" s="539"/>
      <c r="AP13" s="540"/>
      <c r="AQ13" s="539"/>
      <c r="AR13" s="539"/>
      <c r="AS13" s="539"/>
      <c r="AT13" s="539"/>
      <c r="AU13" s="540"/>
      <c r="AV13" s="539"/>
      <c r="AW13" s="539"/>
      <c r="AX13" s="539"/>
      <c r="AY13" s="539"/>
      <c r="AZ13" s="540"/>
      <c r="BA13" s="539"/>
      <c r="BB13" s="539"/>
      <c r="BC13" s="539"/>
      <c r="BD13" s="539"/>
      <c r="BE13" s="540"/>
      <c r="BF13" s="539"/>
      <c r="BG13" s="539"/>
      <c r="BH13" s="539"/>
      <c r="BI13" s="539"/>
      <c r="BJ13" s="540"/>
      <c r="BK13" s="539"/>
      <c r="BL13" s="539"/>
      <c r="BM13" s="539"/>
      <c r="BN13" s="539"/>
      <c r="BO13" s="540"/>
      <c r="BP13" s="539"/>
      <c r="BQ13" s="539"/>
      <c r="BR13" s="539"/>
      <c r="BS13" s="539"/>
      <c r="BT13" s="540"/>
      <c r="BU13" s="539"/>
      <c r="BV13" s="539"/>
      <c r="BW13" s="539"/>
      <c r="BX13" s="539"/>
      <c r="BY13" s="540"/>
      <c r="BZ13" s="539"/>
      <c r="CA13" s="539"/>
      <c r="CB13" s="539"/>
      <c r="CC13" s="539"/>
      <c r="CD13" s="540"/>
      <c r="CE13" s="539"/>
      <c r="CF13" s="539"/>
      <c r="CG13" s="539"/>
      <c r="CH13" s="539"/>
      <c r="CI13" s="540"/>
      <c r="CJ13" s="539"/>
      <c r="CK13" s="539"/>
      <c r="CL13" s="539"/>
      <c r="CM13" s="539"/>
      <c r="CN13" s="540"/>
      <c r="CO13" s="539"/>
      <c r="CP13" s="539"/>
      <c r="CQ13" s="539"/>
      <c r="CR13" s="539"/>
      <c r="CS13" s="540"/>
      <c r="CT13" s="539"/>
      <c r="CU13" s="539"/>
      <c r="CV13" s="539"/>
      <c r="CW13" s="539"/>
      <c r="CX13" s="540"/>
      <c r="CY13" s="539"/>
      <c r="CZ13" s="539"/>
      <c r="DA13" s="539"/>
      <c r="DB13" s="539"/>
      <c r="DC13" s="540"/>
      <c r="DD13" s="539"/>
      <c r="DE13" s="539"/>
      <c r="DF13" s="539"/>
      <c r="DG13" s="539"/>
      <c r="DH13" s="540"/>
      <c r="DI13" s="539"/>
      <c r="DJ13" s="539"/>
      <c r="DK13" s="539"/>
      <c r="DL13" s="539"/>
      <c r="DM13" s="540"/>
      <c r="DN13" s="539"/>
      <c r="DO13" s="539"/>
      <c r="DP13" s="539"/>
      <c r="DQ13" s="539"/>
      <c r="DR13" s="540"/>
      <c r="DS13" s="539"/>
      <c r="DT13" s="539"/>
      <c r="DU13" s="539"/>
      <c r="DV13" s="539"/>
      <c r="DW13" s="540"/>
      <c r="DX13" s="539"/>
      <c r="DY13" s="539"/>
      <c r="DZ13" s="539"/>
      <c r="EA13" s="539"/>
      <c r="EB13" s="540"/>
      <c r="EC13" s="539"/>
      <c r="ED13" s="539"/>
      <c r="EE13" s="539"/>
      <c r="EF13" s="539"/>
      <c r="EG13" s="540"/>
      <c r="EH13" s="539"/>
      <c r="EI13" s="539"/>
      <c r="EJ13" s="539"/>
      <c r="EK13" s="539"/>
      <c r="EL13" s="540"/>
      <c r="EM13" s="539"/>
      <c r="EN13" s="539"/>
      <c r="EO13" s="539"/>
      <c r="EP13" s="539"/>
      <c r="EQ13" s="540"/>
      <c r="ER13" s="539"/>
      <c r="ES13" s="539"/>
      <c r="ET13" s="539"/>
      <c r="EU13" s="539"/>
      <c r="EV13" s="540"/>
      <c r="EW13" s="539"/>
      <c r="EX13" s="539"/>
      <c r="EY13" s="539"/>
      <c r="EZ13" s="539"/>
      <c r="FA13" s="540"/>
      <c r="FB13" s="539"/>
      <c r="FC13" s="539"/>
      <c r="FD13" s="539"/>
      <c r="FE13" s="539"/>
      <c r="FF13" s="540"/>
      <c r="FG13" s="539"/>
      <c r="FH13" s="539"/>
      <c r="FI13" s="539"/>
      <c r="FJ13" s="539"/>
      <c r="FK13" s="540"/>
      <c r="FL13" s="539"/>
      <c r="FM13" s="539"/>
      <c r="FN13" s="539"/>
      <c r="FO13" s="539"/>
      <c r="FP13" s="540"/>
      <c r="FQ13" s="539"/>
      <c r="FR13" s="539"/>
      <c r="FS13" s="539"/>
      <c r="FT13" s="539"/>
      <c r="FU13" s="540"/>
      <c r="FV13" s="539"/>
      <c r="FW13" s="539"/>
      <c r="FX13" s="539"/>
      <c r="FY13" s="539"/>
      <c r="FZ13" s="540"/>
      <c r="GA13" s="539"/>
      <c r="GB13" s="539"/>
      <c r="GC13" s="539"/>
      <c r="GD13" s="539"/>
      <c r="GE13" s="540"/>
    </row>
    <row r="14" spans="1:187" s="542" customFormat="1" ht="12.75" customHeight="1">
      <c r="A14" s="68"/>
      <c r="B14" s="725" t="s">
        <v>269</v>
      </c>
      <c r="C14" s="98"/>
      <c r="D14" s="98"/>
      <c r="E14" s="98"/>
      <c r="F14" s="98"/>
      <c r="G14" s="99"/>
      <c r="H14" s="98"/>
      <c r="I14" s="98"/>
      <c r="J14" s="98"/>
      <c r="K14" s="98"/>
      <c r="L14" s="99"/>
      <c r="M14" s="541"/>
      <c r="N14" s="541"/>
      <c r="O14" s="541"/>
      <c r="P14" s="541"/>
      <c r="Q14" s="99"/>
      <c r="R14" s="541"/>
      <c r="S14" s="541"/>
      <c r="T14" s="541"/>
      <c r="U14" s="541"/>
      <c r="V14" s="99"/>
      <c r="W14" s="541"/>
      <c r="X14" s="541"/>
      <c r="Y14" s="541"/>
      <c r="Z14" s="541"/>
      <c r="AA14" s="99"/>
      <c r="AB14" s="541"/>
      <c r="AC14" s="541"/>
      <c r="AD14" s="541"/>
      <c r="AE14" s="541"/>
      <c r="AF14" s="99"/>
      <c r="AG14" s="541"/>
      <c r="AH14" s="541"/>
      <c r="AI14" s="541"/>
      <c r="AJ14" s="541"/>
      <c r="AK14" s="99"/>
      <c r="AL14" s="541"/>
      <c r="AM14" s="541"/>
      <c r="AN14" s="541"/>
      <c r="AO14" s="541"/>
      <c r="AP14" s="99"/>
      <c r="AQ14" s="541"/>
      <c r="AR14" s="541"/>
      <c r="AS14" s="541"/>
      <c r="AT14" s="541"/>
      <c r="AU14" s="99"/>
      <c r="AV14" s="541"/>
      <c r="AW14" s="541"/>
      <c r="AX14" s="541"/>
      <c r="AY14" s="541"/>
      <c r="AZ14" s="99"/>
      <c r="BA14" s="541"/>
      <c r="BB14" s="541"/>
      <c r="BC14" s="541"/>
      <c r="BD14" s="541"/>
      <c r="BE14" s="99"/>
      <c r="BF14" s="541"/>
      <c r="BG14" s="541"/>
      <c r="BH14" s="541"/>
      <c r="BI14" s="541"/>
      <c r="BJ14" s="99"/>
      <c r="BK14" s="541"/>
      <c r="BL14" s="541"/>
      <c r="BM14" s="541"/>
      <c r="BN14" s="541"/>
      <c r="BO14" s="99"/>
      <c r="BP14" s="541"/>
      <c r="BQ14" s="541"/>
      <c r="BR14" s="541"/>
      <c r="BS14" s="541"/>
      <c r="BT14" s="99"/>
      <c r="BU14" s="541"/>
      <c r="BV14" s="541"/>
      <c r="BW14" s="541"/>
      <c r="BX14" s="541"/>
      <c r="BY14" s="99"/>
      <c r="BZ14" s="541"/>
      <c r="CA14" s="541"/>
      <c r="CB14" s="541"/>
      <c r="CC14" s="541"/>
      <c r="CD14" s="99"/>
      <c r="CE14" s="541"/>
      <c r="CF14" s="541"/>
      <c r="CG14" s="541"/>
      <c r="CH14" s="541"/>
      <c r="CI14" s="99"/>
      <c r="CJ14" s="541"/>
      <c r="CK14" s="541"/>
      <c r="CL14" s="541"/>
      <c r="CM14" s="541"/>
      <c r="CN14" s="99"/>
      <c r="CO14" s="541"/>
      <c r="CP14" s="541"/>
      <c r="CQ14" s="541"/>
      <c r="CR14" s="541"/>
      <c r="CS14" s="99"/>
      <c r="CT14" s="541"/>
      <c r="CU14" s="541"/>
      <c r="CV14" s="541"/>
      <c r="CW14" s="541"/>
      <c r="CX14" s="99"/>
      <c r="CY14" s="541"/>
      <c r="CZ14" s="541"/>
      <c r="DA14" s="541"/>
      <c r="DB14" s="541"/>
      <c r="DC14" s="99"/>
      <c r="DD14" s="541"/>
      <c r="DE14" s="541"/>
      <c r="DF14" s="541"/>
      <c r="DG14" s="541"/>
      <c r="DH14" s="99"/>
      <c r="DI14" s="541"/>
      <c r="DJ14" s="541"/>
      <c r="DK14" s="541"/>
      <c r="DL14" s="541"/>
      <c r="DM14" s="99"/>
      <c r="DN14" s="541"/>
      <c r="DO14" s="541"/>
      <c r="DP14" s="541"/>
      <c r="DQ14" s="541"/>
      <c r="DR14" s="99"/>
      <c r="DS14" s="541"/>
      <c r="DT14" s="541"/>
      <c r="DU14" s="541"/>
      <c r="DV14" s="541"/>
      <c r="DW14" s="99"/>
      <c r="DX14" s="541"/>
      <c r="DY14" s="541"/>
      <c r="DZ14" s="541"/>
      <c r="EA14" s="541"/>
      <c r="EB14" s="99"/>
      <c r="EC14" s="541"/>
      <c r="ED14" s="541"/>
      <c r="EE14" s="541"/>
      <c r="EF14" s="541"/>
      <c r="EG14" s="99"/>
      <c r="EH14" s="541"/>
      <c r="EI14" s="541"/>
      <c r="EJ14" s="541"/>
      <c r="EK14" s="541"/>
      <c r="EL14" s="99"/>
      <c r="EM14" s="541"/>
      <c r="EN14" s="541"/>
      <c r="EO14" s="541"/>
      <c r="EP14" s="541"/>
      <c r="EQ14" s="99"/>
      <c r="ER14" s="541"/>
      <c r="ES14" s="541"/>
      <c r="ET14" s="541"/>
      <c r="EU14" s="541"/>
      <c r="EV14" s="99"/>
      <c r="EW14" s="541"/>
      <c r="EX14" s="541"/>
      <c r="EY14" s="541"/>
      <c r="EZ14" s="541"/>
      <c r="FA14" s="99"/>
      <c r="FB14" s="541"/>
      <c r="FC14" s="541"/>
      <c r="FD14" s="541"/>
      <c r="FE14" s="541"/>
      <c r="FF14" s="99"/>
      <c r="FG14" s="541"/>
      <c r="FH14" s="541"/>
      <c r="FI14" s="541"/>
      <c r="FJ14" s="541"/>
      <c r="FK14" s="99"/>
      <c r="FL14" s="541"/>
      <c r="FM14" s="541"/>
      <c r="FN14" s="541"/>
      <c r="FO14" s="541"/>
      <c r="FP14" s="99"/>
      <c r="FQ14" s="541"/>
      <c r="FR14" s="541"/>
      <c r="FS14" s="541"/>
      <c r="FT14" s="541"/>
      <c r="FU14" s="99"/>
      <c r="FV14" s="541"/>
      <c r="FW14" s="541"/>
      <c r="FX14" s="541"/>
      <c r="FY14" s="541"/>
      <c r="FZ14" s="99"/>
      <c r="GA14" s="541"/>
      <c r="GB14" s="541"/>
      <c r="GC14" s="541"/>
      <c r="GD14" s="541"/>
      <c r="GE14" s="99"/>
    </row>
    <row r="15" spans="1:187" s="277" customFormat="1" ht="12.75" customHeight="1" outlineLevel="1">
      <c r="A15" s="274"/>
      <c r="B15" s="723" t="s">
        <v>270</v>
      </c>
      <c r="C15" s="604">
        <f>BS!C33</f>
      </c>
      <c r="D15" s="604">
        <f>BS!D33</f>
      </c>
      <c r="E15" s="604">
        <f>BS!E33</f>
      </c>
      <c r="F15" s="604">
        <f>BS!F33</f>
      </c>
      <c r="G15" s="605">
        <f>BS!G33</f>
      </c>
      <c r="H15" s="604">
        <f>BS!H33</f>
      </c>
      <c r="I15" s="604">
        <f>BS!I33</f>
      </c>
      <c r="J15" s="604">
        <f>BS!J33</f>
      </c>
      <c r="K15" s="604">
        <f>BS!K33</f>
      </c>
      <c r="L15" s="605">
        <f>BS!L33</f>
      </c>
      <c r="M15" s="604">
        <f>BS!M33</f>
      </c>
      <c r="N15" s="604">
        <f>BS!N33</f>
      </c>
      <c r="O15" s="604">
        <f>BS!O33</f>
      </c>
      <c r="P15" s="604">
        <f>BS!P33</f>
      </c>
      <c r="Q15" s="605">
        <f>BS!Q33</f>
      </c>
      <c r="R15" s="604">
        <f>BS!R33</f>
      </c>
      <c r="S15" s="604">
        <f>BS!S33</f>
      </c>
      <c r="T15" s="604">
        <f>BS!T33</f>
      </c>
      <c r="U15" s="604">
        <f>BS!U33</f>
      </c>
      <c r="V15" s="605">
        <f>BS!V33</f>
      </c>
      <c r="W15" s="604">
        <f>BS!W33</f>
      </c>
      <c r="X15" s="604">
        <f>BS!X33</f>
      </c>
      <c r="Y15" s="604">
        <f>BS!Y33</f>
      </c>
      <c r="Z15" s="604">
        <f>BS!Z33</f>
      </c>
      <c r="AA15" s="605">
        <f>BS!AA33</f>
      </c>
      <c r="AB15" s="604">
        <f>BS!AB33</f>
      </c>
      <c r="AC15" s="604">
        <f>BS!AC33</f>
      </c>
      <c r="AD15" s="604">
        <f>BS!AD33</f>
      </c>
      <c r="AE15" s="604">
        <f>BS!AE33</f>
      </c>
      <c r="AF15" s="605">
        <f>BS!AF33</f>
      </c>
      <c r="AG15" s="604">
        <f>BS!AG33</f>
      </c>
      <c r="AH15" s="604">
        <f>BS!AH33</f>
      </c>
      <c r="AI15" s="604">
        <f>BS!AI33</f>
      </c>
      <c r="AJ15" s="604">
        <f>BS!AJ33</f>
      </c>
      <c r="AK15" s="605">
        <f>BS!AK33</f>
      </c>
      <c r="AL15" s="604">
        <f>BS!AL33</f>
      </c>
      <c r="AM15" s="604">
        <f>BS!AM33</f>
      </c>
      <c r="AN15" s="604">
        <f>BS!AN33</f>
      </c>
      <c r="AO15" s="604">
        <f>BS!AO33</f>
      </c>
      <c r="AP15" s="605">
        <f>BS!AP33</f>
      </c>
      <c r="AQ15" s="604">
        <f>BS!AQ33</f>
      </c>
      <c r="AR15" s="604">
        <f>BS!AR33</f>
      </c>
      <c r="AS15" s="604">
        <f>BS!AS33</f>
      </c>
      <c r="AT15" s="604">
        <f>BS!AT33</f>
      </c>
      <c r="AU15" s="605">
        <f>BS!AU33</f>
      </c>
      <c r="AV15" s="604">
        <f>BS!AV33</f>
      </c>
      <c r="AW15" s="604">
        <f>BS!AW33</f>
      </c>
      <c r="AX15" s="604">
        <f>BS!AX33</f>
      </c>
      <c r="AY15" s="604">
        <f>BS!AY33</f>
      </c>
      <c r="AZ15" s="605">
        <f>BS!AZ33</f>
      </c>
      <c r="BA15" s="604">
        <f>BS!BA33</f>
      </c>
      <c r="BB15" s="604">
        <f>BS!BB33</f>
      </c>
      <c r="BC15" s="604">
        <f>BS!BC33</f>
      </c>
      <c r="BD15" s="604">
        <f>BS!BD33</f>
      </c>
      <c r="BE15" s="605">
        <f>BS!BE33</f>
      </c>
      <c r="BF15" s="604">
        <f>BS!BF33</f>
      </c>
      <c r="BG15" s="604">
        <f>BS!BG33</f>
      </c>
      <c r="BH15" s="604">
        <f>BS!BH33</f>
      </c>
      <c r="BI15" s="604">
        <f>BS!BI33</f>
      </c>
      <c r="BJ15" s="605">
        <f>BS!BJ33</f>
      </c>
      <c r="BK15" s="604">
        <f>BS!BK33</f>
      </c>
      <c r="BL15" s="604">
        <f>BS!BL33</f>
      </c>
      <c r="BM15" s="604">
        <f>BS!BM33</f>
      </c>
      <c r="BN15" s="604">
        <f>BS!BN33</f>
      </c>
      <c r="BO15" s="605">
        <f>BS!BO33</f>
      </c>
      <c r="BP15" s="604">
        <f>BS!BP33</f>
      </c>
      <c r="BQ15" s="604">
        <f>BS!BQ33</f>
      </c>
      <c r="BR15" s="604">
        <f>BS!BR33</f>
      </c>
      <c r="BS15" s="604">
        <f>BS!BS33</f>
      </c>
      <c r="BT15" s="605">
        <f>BS!BT33</f>
      </c>
      <c r="BU15" s="604">
        <f>BS!BU33</f>
      </c>
      <c r="BV15" s="604">
        <f>BS!BV33</f>
      </c>
      <c r="BW15" s="604">
        <f>BS!BW33</f>
      </c>
      <c r="BX15" s="604">
        <f>BS!BX33</f>
      </c>
      <c r="BY15" s="605">
        <f>BS!BY33</f>
      </c>
      <c r="BZ15" s="604">
        <f>BS!BZ33</f>
      </c>
      <c r="CA15" s="604">
        <f>BS!CA33</f>
      </c>
      <c r="CB15" s="604">
        <f>BS!CB33</f>
      </c>
      <c r="CC15" s="604">
        <f>BS!CC33</f>
      </c>
      <c r="CD15" s="605">
        <f>BS!CD33</f>
      </c>
      <c r="CE15" s="604">
        <f>BS!CE33</f>
      </c>
      <c r="CF15" s="604">
        <f>BS!CF33</f>
      </c>
      <c r="CG15" s="604">
        <f>BS!CG33</f>
      </c>
      <c r="CH15" s="604">
        <f>BS!CH33</f>
      </c>
      <c r="CI15" s="605">
        <f>BS!CI33</f>
      </c>
      <c r="CJ15" s="604">
        <f>BS!CJ33</f>
      </c>
      <c r="CK15" s="604">
        <f>BS!CK33</f>
      </c>
      <c r="CL15" s="604">
        <f>BS!CL33</f>
      </c>
      <c r="CM15" s="604">
        <f>BS!CM33</f>
      </c>
      <c r="CN15" s="605">
        <f>BS!CN33</f>
      </c>
      <c r="CO15" s="604">
        <f>BS!CO33</f>
      </c>
      <c r="CP15" s="604">
        <f>BS!CP33</f>
      </c>
      <c r="CQ15" s="604">
        <f>BS!CQ33</f>
      </c>
      <c r="CR15" s="604">
        <f>BS!CR33</f>
      </c>
      <c r="CS15" s="605">
        <f>BS!CS33</f>
      </c>
      <c r="CT15" s="604">
        <f>BS!CT33</f>
      </c>
      <c r="CU15" s="604">
        <f>BS!CU33</f>
      </c>
      <c r="CV15" s="604">
        <f>BS!CV33</f>
      </c>
      <c r="CW15" s="604">
        <f>BS!CW33</f>
      </c>
      <c r="CX15" s="605">
        <f>BS!CX33</f>
      </c>
      <c r="CY15" s="604">
        <f>BS!CY33</f>
      </c>
      <c r="CZ15" s="604">
        <f>BS!CZ33</f>
      </c>
      <c r="DA15" s="604">
        <f>BS!DA33</f>
      </c>
      <c r="DB15" s="604">
        <f>BS!DB33</f>
      </c>
      <c r="DC15" s="605">
        <f>BS!DC33</f>
      </c>
      <c r="DD15" s="604">
        <f>BS!DD33</f>
      </c>
      <c r="DE15" s="604">
        <f>BS!DE33</f>
      </c>
      <c r="DF15" s="604">
        <f>BS!DF33</f>
      </c>
      <c r="DG15" s="604">
        <f>BS!DG33</f>
      </c>
      <c r="DH15" s="605">
        <f>BS!DH33</f>
      </c>
      <c r="DI15" s="604">
        <f>BS!DI33</f>
      </c>
      <c r="DJ15" s="604">
        <f>BS!DJ33</f>
      </c>
      <c r="DK15" s="604">
        <f>BS!DK33</f>
      </c>
      <c r="DL15" s="604">
        <f>BS!DL33</f>
      </c>
      <c r="DM15" s="605">
        <f>BS!DM33</f>
      </c>
      <c r="DN15" s="604">
        <f>BS!DN33</f>
      </c>
      <c r="DO15" s="604">
        <f>BS!DO33</f>
      </c>
      <c r="DP15" s="604">
        <f>BS!DP33</f>
      </c>
      <c r="DQ15" s="604">
        <f>BS!DQ33</f>
      </c>
      <c r="DR15" s="605">
        <f>BS!DR33</f>
      </c>
      <c r="DS15" s="604">
        <f>BS!DS33</f>
      </c>
      <c r="DT15" s="604">
        <f>BS!DT33</f>
      </c>
      <c r="DU15" s="604">
        <f>BS!DU33</f>
      </c>
      <c r="DV15" s="604">
        <f>BS!DV33</f>
      </c>
      <c r="DW15" s="605">
        <f>BS!DW33</f>
      </c>
      <c r="DX15" s="604">
        <f>BS!DX33</f>
      </c>
      <c r="DY15" s="604">
        <f>BS!DY33</f>
      </c>
      <c r="DZ15" s="604">
        <f>BS!DZ33</f>
      </c>
      <c r="EA15" s="604">
        <f>BS!EA33</f>
      </c>
      <c r="EB15" s="605">
        <f>BS!EB33</f>
      </c>
      <c r="EC15" s="604">
        <f>BS!EC33</f>
      </c>
      <c r="ED15" s="604">
        <f>BS!ED33</f>
      </c>
      <c r="EE15" s="604">
        <f>BS!EE33</f>
      </c>
      <c r="EF15" s="604">
        <f>BS!EF33</f>
      </c>
      <c r="EG15" s="605">
        <f>BS!EG33</f>
      </c>
      <c r="EH15" s="604">
        <f>BS!EH33</f>
      </c>
      <c r="EI15" s="604">
        <f>BS!EI33</f>
      </c>
      <c r="EJ15" s="604">
        <f>BS!EJ33</f>
      </c>
      <c r="EK15" s="604">
        <f>BS!EK33</f>
      </c>
      <c r="EL15" s="605">
        <f>BS!EL33</f>
      </c>
      <c r="EM15" s="608">
        <f>BS!EM33</f>
      </c>
      <c r="EN15" s="608">
        <f>BS!EN33</f>
      </c>
      <c r="EO15" s="604">
        <f>BS!EO33</f>
      </c>
      <c r="EP15" s="604">
        <f>BS!EP33</f>
      </c>
      <c r="EQ15" s="605">
        <f>BS!EQ33</f>
      </c>
      <c r="ER15" s="604">
        <f>BS!ER33</f>
      </c>
      <c r="ES15" s="608">
        <f>BS!ES33</f>
      </c>
      <c r="ET15" s="608">
        <f>BS!ET33</f>
      </c>
      <c r="EU15" s="604">
        <f>BS!EU33</f>
      </c>
      <c r="EV15" s="605">
        <f>BS!EV33</f>
      </c>
      <c r="EW15" s="604">
        <f>BS!EW33</f>
      </c>
      <c r="EX15" s="608">
        <f>BS!EX33</f>
      </c>
      <c r="EY15" s="608">
        <f>BS!EY33</f>
      </c>
      <c r="EZ15" s="604">
        <f>BS!EZ33</f>
      </c>
      <c r="FA15" s="605">
        <f>BS!FA33</f>
      </c>
      <c r="FB15" s="609">
        <f>FB20*FB31</f>
      </c>
      <c r="FC15" s="609">
        <f>FC20*FC31</f>
      </c>
      <c r="FD15" s="609">
        <f>FD20*FD31</f>
      </c>
      <c r="FE15" s="609">
        <f>FE20*FE31</f>
      </c>
      <c r="FF15" s="605">
        <f>FE15</f>
      </c>
      <c r="FG15" s="609">
        <f>FG20*FG31</f>
      </c>
      <c r="FH15" s="609">
        <f>FH20*FH31</f>
      </c>
      <c r="FI15" s="609">
        <f>FI20*FI31</f>
      </c>
      <c r="FJ15" s="609">
        <f>FJ20*FJ31</f>
      </c>
      <c r="FK15" s="605">
        <f>FJ15</f>
      </c>
      <c r="FL15" s="609">
        <f>FL20*FL31</f>
      </c>
      <c r="FM15" s="609">
        <f>FM20*FM31</f>
      </c>
      <c r="FN15" s="609">
        <f>FN20*FN31</f>
      </c>
      <c r="FO15" s="609">
        <f>FO20*FO31</f>
      </c>
      <c r="FP15" s="605">
        <f>FO15</f>
      </c>
      <c r="FQ15" s="609">
        <f>FQ20*FQ31</f>
      </c>
      <c r="FR15" s="609">
        <f>FR20*FR31</f>
      </c>
      <c r="FS15" s="609">
        <f>FS20*FS31</f>
      </c>
      <c r="FT15" s="609">
        <f>FT20*FT31</f>
      </c>
      <c r="FU15" s="605">
        <f>FT15</f>
      </c>
      <c r="FV15" s="609">
        <f>FV20*FV31</f>
      </c>
      <c r="FW15" s="609">
        <f>FW20*FW31</f>
      </c>
      <c r="FX15" s="609">
        <f>FX20*FX31</f>
      </c>
      <c r="FY15" s="609">
        <f>FY20*FY31</f>
      </c>
      <c r="FZ15" s="605">
        <f>FY15</f>
      </c>
      <c r="GA15" s="609">
        <f>GA20*GA31</f>
      </c>
      <c r="GB15" s="609">
        <f>GB20*GB31</f>
      </c>
      <c r="GC15" s="609">
        <f>GC20*GC31</f>
      </c>
      <c r="GD15" s="609">
        <f>GD20*GD31</f>
      </c>
      <c r="GE15" s="605">
        <f>GD15</f>
      </c>
    </row>
    <row r="16" spans="1:187" s="537" customFormat="1" ht="12.75" customHeight="1" outlineLevel="1">
      <c r="A16" s="81"/>
      <c r="B16" s="724" t="s">
        <v>34</v>
      </c>
      <c r="C16" s="291"/>
      <c r="D16" s="107"/>
      <c r="E16" s="107"/>
      <c r="F16" s="107"/>
      <c r="G16" s="536"/>
      <c r="H16" s="291" t="str">
        <f t="shared" ref="H16:AM16" si="6">IFERROR(H15/C15-1,"")</f>
      </c>
      <c r="I16" s="107" t="str">
        <f t="shared" si="6"/>
      </c>
      <c r="J16" s="107" t="str">
        <f t="shared" si="6"/>
      </c>
      <c r="K16" s="107" t="str">
        <f t="shared" si="6"/>
      </c>
      <c r="L16" s="292" t="str">
        <f t="shared" si="6"/>
      </c>
      <c r="M16" s="291">
        <f t="shared" si="6"/>
      </c>
      <c r="N16" s="107">
        <f t="shared" si="6"/>
      </c>
      <c r="O16" s="107">
        <f t="shared" si="6"/>
      </c>
      <c r="P16" s="107">
        <f t="shared" si="6"/>
      </c>
      <c r="Q16" s="292">
        <f t="shared" si="6"/>
      </c>
      <c r="R16" s="291">
        <f t="shared" si="6"/>
      </c>
      <c r="S16" s="107">
        <f t="shared" si="6"/>
      </c>
      <c r="T16" s="107">
        <f t="shared" si="6"/>
      </c>
      <c r="U16" s="107">
        <f t="shared" si="6"/>
      </c>
      <c r="V16" s="292">
        <f t="shared" si="6"/>
      </c>
      <c r="W16" s="291">
        <f t="shared" si="6"/>
      </c>
      <c r="X16" s="107">
        <f t="shared" si="6"/>
      </c>
      <c r="Y16" s="107">
        <f t="shared" si="6"/>
      </c>
      <c r="Z16" s="107">
        <f t="shared" si="6"/>
      </c>
      <c r="AA16" s="292">
        <f t="shared" si="6"/>
      </c>
      <c r="AB16" s="291">
        <f t="shared" si="6"/>
      </c>
      <c r="AC16" s="107">
        <f t="shared" si="6"/>
      </c>
      <c r="AD16" s="107">
        <f t="shared" si="6"/>
      </c>
      <c r="AE16" s="107">
        <f t="shared" si="6"/>
      </c>
      <c r="AF16" s="292">
        <f t="shared" si="6"/>
      </c>
      <c r="AG16" s="291">
        <f t="shared" si="6"/>
      </c>
      <c r="AH16" s="107">
        <f t="shared" si="6"/>
      </c>
      <c r="AI16" s="107">
        <f t="shared" si="6"/>
      </c>
      <c r="AJ16" s="107">
        <f t="shared" si="6"/>
      </c>
      <c r="AK16" s="292">
        <f t="shared" si="6"/>
      </c>
      <c r="AL16" s="291">
        <f t="shared" si="6"/>
      </c>
      <c r="AM16" s="107">
        <f t="shared" si="6"/>
      </c>
      <c r="AN16" s="107">
        <f t="shared" ref="AN16:BS16" si="7">IFERROR(AN15/AI15-1,"")</f>
      </c>
      <c r="AO16" s="107">
        <f t="shared" si="7"/>
      </c>
      <c r="AP16" s="292">
        <f t="shared" si="7"/>
      </c>
      <c r="AQ16" s="291">
        <f t="shared" si="7"/>
      </c>
      <c r="AR16" s="107">
        <f t="shared" si="7"/>
      </c>
      <c r="AS16" s="107">
        <f t="shared" si="7"/>
      </c>
      <c r="AT16" s="107">
        <f t="shared" si="7"/>
      </c>
      <c r="AU16" s="292">
        <f t="shared" si="7"/>
      </c>
      <c r="AV16" s="291">
        <f t="shared" si="7"/>
      </c>
      <c r="AW16" s="107">
        <f t="shared" si="7"/>
      </c>
      <c r="AX16" s="107">
        <f t="shared" si="7"/>
      </c>
      <c r="AY16" s="107">
        <f t="shared" si="7"/>
      </c>
      <c r="AZ16" s="292">
        <f t="shared" si="7"/>
      </c>
      <c r="BA16" s="291">
        <f t="shared" si="7"/>
      </c>
      <c r="BB16" s="107">
        <f t="shared" si="7"/>
      </c>
      <c r="BC16" s="107">
        <f t="shared" si="7"/>
      </c>
      <c r="BD16" s="107">
        <f t="shared" si="7"/>
      </c>
      <c r="BE16" s="292">
        <f t="shared" si="7"/>
      </c>
      <c r="BF16" s="291">
        <f t="shared" si="7"/>
      </c>
      <c r="BG16" s="107">
        <f t="shared" si="7"/>
      </c>
      <c r="BH16" s="107">
        <f t="shared" si="7"/>
      </c>
      <c r="BI16" s="107">
        <f t="shared" si="7"/>
      </c>
      <c r="BJ16" s="292">
        <f t="shared" si="7"/>
      </c>
      <c r="BK16" s="291">
        <f t="shared" si="7"/>
      </c>
      <c r="BL16" s="107">
        <f t="shared" si="7"/>
      </c>
      <c r="BM16" s="107">
        <f t="shared" si="7"/>
      </c>
      <c r="BN16" s="107">
        <f t="shared" si="7"/>
      </c>
      <c r="BO16" s="292">
        <f t="shared" si="7"/>
      </c>
      <c r="BP16" s="291">
        <f t="shared" si="7"/>
      </c>
      <c r="BQ16" s="107">
        <f t="shared" si="7"/>
      </c>
      <c r="BR16" s="107">
        <f t="shared" si="7"/>
      </c>
      <c r="BS16" s="107">
        <f t="shared" si="7"/>
      </c>
      <c r="BT16" s="292">
        <f t="shared" ref="BT16:CY16" si="8">IFERROR(BT15/BO15-1,"")</f>
      </c>
      <c r="BU16" s="291">
        <f t="shared" si="8"/>
      </c>
      <c r="BV16" s="107">
        <f t="shared" si="8"/>
      </c>
      <c r="BW16" s="107">
        <f t="shared" si="8"/>
      </c>
      <c r="BX16" s="107">
        <f t="shared" si="8"/>
      </c>
      <c r="BY16" s="292">
        <f t="shared" si="8"/>
      </c>
      <c r="BZ16" s="291">
        <f t="shared" si="8"/>
      </c>
      <c r="CA16" s="107">
        <f t="shared" si="8"/>
      </c>
      <c r="CB16" s="107">
        <f t="shared" si="8"/>
      </c>
      <c r="CC16" s="107">
        <f t="shared" si="8"/>
      </c>
      <c r="CD16" s="292">
        <f t="shared" si="8"/>
      </c>
      <c r="CE16" s="291">
        <f t="shared" si="8"/>
      </c>
      <c r="CF16" s="107">
        <f t="shared" si="8"/>
      </c>
      <c r="CG16" s="107">
        <f t="shared" si="8"/>
      </c>
      <c r="CH16" s="107">
        <f t="shared" si="8"/>
      </c>
      <c r="CI16" s="292">
        <f t="shared" si="8"/>
      </c>
      <c r="CJ16" s="291">
        <f t="shared" si="8"/>
      </c>
      <c r="CK16" s="107">
        <f t="shared" si="8"/>
      </c>
      <c r="CL16" s="107">
        <f t="shared" si="8"/>
      </c>
      <c r="CM16" s="107">
        <f t="shared" si="8"/>
      </c>
      <c r="CN16" s="292">
        <f t="shared" si="8"/>
      </c>
      <c r="CO16" s="291">
        <f t="shared" si="8"/>
      </c>
      <c r="CP16" s="107">
        <f t="shared" si="8"/>
      </c>
      <c r="CQ16" s="107">
        <f t="shared" si="8"/>
      </c>
      <c r="CR16" s="107">
        <f t="shared" si="8"/>
      </c>
      <c r="CS16" s="292">
        <f t="shared" si="8"/>
      </c>
      <c r="CT16" s="291">
        <f t="shared" si="8"/>
      </c>
      <c r="CU16" s="107">
        <f t="shared" si="8"/>
      </c>
      <c r="CV16" s="107">
        <f t="shared" si="8"/>
      </c>
      <c r="CW16" s="107">
        <f t="shared" si="8"/>
      </c>
      <c r="CX16" s="292">
        <f t="shared" si="8"/>
      </c>
      <c r="CY16" s="291">
        <f t="shared" si="8"/>
      </c>
      <c r="CZ16" s="107">
        <f t="shared" ref="CZ16:EE16" si="9">IFERROR(CZ15/CU15-1,"")</f>
      </c>
      <c r="DA16" s="107">
        <f t="shared" si="9"/>
      </c>
      <c r="DB16" s="107">
        <f t="shared" si="9"/>
      </c>
      <c r="DC16" s="292">
        <f t="shared" si="9"/>
      </c>
      <c r="DD16" s="291">
        <f t="shared" si="9"/>
      </c>
      <c r="DE16" s="107">
        <f t="shared" si="9"/>
      </c>
      <c r="DF16" s="107">
        <f t="shared" si="9"/>
      </c>
      <c r="DG16" s="107">
        <f t="shared" si="9"/>
      </c>
      <c r="DH16" s="292">
        <f t="shared" si="9"/>
      </c>
      <c r="DI16" s="291">
        <f t="shared" si="9"/>
      </c>
      <c r="DJ16" s="107">
        <f t="shared" si="9"/>
      </c>
      <c r="DK16" s="107">
        <f t="shared" si="9"/>
      </c>
      <c r="DL16" s="107">
        <f t="shared" si="9"/>
      </c>
      <c r="DM16" s="292">
        <f t="shared" si="9"/>
      </c>
      <c r="DN16" s="291">
        <f t="shared" si="9"/>
      </c>
      <c r="DO16" s="107">
        <f t="shared" si="9"/>
      </c>
      <c r="DP16" s="107">
        <f t="shared" si="9"/>
      </c>
      <c r="DQ16" s="107">
        <f t="shared" si="9"/>
      </c>
      <c r="DR16" s="292">
        <f t="shared" si="9"/>
      </c>
      <c r="DS16" s="291">
        <f t="shared" si="9"/>
      </c>
      <c r="DT16" s="107">
        <f t="shared" si="9"/>
      </c>
      <c r="DU16" s="107">
        <f t="shared" si="9"/>
      </c>
      <c r="DV16" s="107">
        <f t="shared" si="9"/>
      </c>
      <c r="DW16" s="292">
        <f t="shared" si="9"/>
      </c>
      <c r="DX16" s="291">
        <f t="shared" si="9"/>
      </c>
      <c r="DY16" s="107">
        <f t="shared" si="9"/>
      </c>
      <c r="DZ16" s="107">
        <f t="shared" si="9"/>
      </c>
      <c r="EA16" s="107">
        <f t="shared" si="9"/>
      </c>
      <c r="EB16" s="292">
        <f t="shared" si="9"/>
      </c>
      <c r="EC16" s="291">
        <f t="shared" si="9"/>
      </c>
      <c r="ED16" s="107">
        <f t="shared" si="9"/>
      </c>
      <c r="EE16" s="107">
        <f t="shared" si="9"/>
      </c>
      <c r="EF16" s="107">
        <f t="shared" ref="EF16:FK16" si="10">IFERROR(EF15/EA15-1,"")</f>
      </c>
      <c r="EG16" s="292">
        <f t="shared" si="10"/>
      </c>
      <c r="EH16" s="291">
        <f t="shared" si="10"/>
      </c>
      <c r="EI16" s="107">
        <f t="shared" si="10"/>
      </c>
      <c r="EJ16" s="107">
        <f t="shared" si="10"/>
      </c>
      <c r="EK16" s="107">
        <f t="shared" si="10"/>
      </c>
      <c r="EL16" s="292">
        <f t="shared" si="10"/>
      </c>
      <c r="EM16" s="291">
        <f t="shared" si="10"/>
      </c>
      <c r="EN16" s="107">
        <f t="shared" si="10"/>
      </c>
      <c r="EO16" s="107">
        <f t="shared" si="10"/>
      </c>
      <c r="EP16" s="107">
        <f t="shared" si="10"/>
      </c>
      <c r="EQ16" s="292">
        <f t="shared" si="10"/>
      </c>
      <c r="ER16" s="291">
        <f t="shared" si="10"/>
      </c>
      <c r="ES16" s="107">
        <f t="shared" si="10"/>
      </c>
      <c r="ET16" s="107">
        <f t="shared" si="10"/>
      </c>
      <c r="EU16" s="107">
        <f>IFERROR(EU15/EP15-1,"")</f>
      </c>
      <c r="EV16" s="292">
        <f>IFERROR(EV15/EQ15-1,"")</f>
      </c>
      <c r="EW16" s="291">
        <f t="shared" si="10"/>
      </c>
      <c r="EX16" s="107">
        <f t="shared" si="10"/>
      </c>
      <c r="EY16" s="107">
        <f t="shared" si="10"/>
      </c>
      <c r="EZ16" s="107">
        <f>IFERROR(EZ15/EU15-1,"")</f>
      </c>
      <c r="FA16" s="292">
        <f>IFERROR(FA15/EV15-1,"")</f>
      </c>
      <c r="FB16" s="291">
        <f t="shared" si="10"/>
      </c>
      <c r="FC16" s="107">
        <f t="shared" si="10"/>
      </c>
      <c r="FD16" s="107">
        <f t="shared" si="10"/>
      </c>
      <c r="FE16" s="107">
        <f t="shared" si="10"/>
      </c>
      <c r="FF16" s="292">
        <f t="shared" si="10"/>
      </c>
      <c r="FG16" s="291">
        <f t="shared" si="10"/>
      </c>
      <c r="FH16" s="107">
        <f t="shared" si="10"/>
      </c>
      <c r="FI16" s="107">
        <f t="shared" si="10"/>
      </c>
      <c r="FJ16" s="107">
        <f t="shared" si="10"/>
      </c>
      <c r="FK16" s="292">
        <f t="shared" si="10"/>
      </c>
      <c r="FL16" s="291">
        <f t="shared" ref="FL16:FZ16" si="11">IFERROR(FL15/FG15-1,"")</f>
      </c>
      <c r="FM16" s="107">
        <f t="shared" si="11"/>
      </c>
      <c r="FN16" s="107">
        <f t="shared" si="11"/>
      </c>
      <c r="FO16" s="107">
        <f t="shared" si="11"/>
      </c>
      <c r="FP16" s="292">
        <f t="shared" si="11"/>
      </c>
      <c r="FQ16" s="291">
        <f t="shared" si="11"/>
      </c>
      <c r="FR16" s="107">
        <f t="shared" si="11"/>
      </c>
      <c r="FS16" s="107">
        <f t="shared" si="11"/>
      </c>
      <c r="FT16" s="107">
        <f t="shared" si="11"/>
      </c>
      <c r="FU16" s="292">
        <f t="shared" si="11"/>
      </c>
      <c r="FV16" s="291">
        <f t="shared" si="11"/>
      </c>
      <c r="FW16" s="107">
        <f t="shared" si="11"/>
      </c>
      <c r="FX16" s="107">
        <f t="shared" si="11"/>
      </c>
      <c r="FY16" s="107">
        <f t="shared" si="11"/>
      </c>
      <c r="FZ16" s="292">
        <f t="shared" si="11"/>
      </c>
      <c r="GA16" s="291">
        <f>IFERROR(GA15/FV15-1,"")</f>
      </c>
      <c r="GB16" s="107">
        <f>IFERROR(GB15/FW15-1,"")</f>
      </c>
      <c r="GC16" s="107">
        <f>IFERROR(GC15/FX15-1,"")</f>
      </c>
      <c r="GD16" s="107">
        <f>IFERROR(GD15/FY15-1,"")</f>
      </c>
      <c r="GE16" s="292">
        <f>IFERROR(GE15/FZ15-1,"")</f>
      </c>
    </row>
    <row r="17" spans="1:187" s="537" customFormat="1" ht="12.75" customHeight="1" outlineLevel="1">
      <c r="A17" s="81"/>
      <c r="B17" s="724" t="s">
        <v>36</v>
      </c>
      <c r="C17" s="291"/>
      <c r="D17" s="137"/>
      <c r="E17" s="137"/>
      <c r="F17" s="137"/>
      <c r="G17" s="538"/>
      <c r="H17" s="291" t="str">
        <f>IFERROR(H15/F15-1,"")</f>
      </c>
      <c r="I17" s="107">
        <f>IFERROR(I15/H15-1,"")</f>
      </c>
      <c r="J17" s="107">
        <f>IFERROR(J15/I15-1,"")</f>
      </c>
      <c r="K17" s="107">
        <f>IFERROR(K15/J15-1,"")</f>
      </c>
      <c r="L17" s="293"/>
      <c r="M17" s="291">
        <f>IFERROR(M15/K15-1,"")</f>
      </c>
      <c r="N17" s="107">
        <f>IFERROR(N15/M15-1,"")</f>
      </c>
      <c r="O17" s="107">
        <f>IFERROR(O15/N15-1,"")</f>
      </c>
      <c r="P17" s="107">
        <f>IFERROR(P15/O15-1,"")</f>
      </c>
      <c r="Q17" s="293"/>
      <c r="R17" s="291">
        <f>IFERROR(R15/P15-1,"")</f>
      </c>
      <c r="S17" s="107">
        <f>IFERROR(S15/R15-1,"")</f>
      </c>
      <c r="T17" s="107">
        <f>IFERROR(T15/S15-1,"")</f>
      </c>
      <c r="U17" s="107">
        <f>IFERROR(U15/T15-1,"")</f>
      </c>
      <c r="V17" s="293"/>
      <c r="W17" s="291">
        <f>IFERROR(W15/U15-1,"")</f>
      </c>
      <c r="X17" s="107">
        <f>IFERROR(X15/W15-1,"")</f>
      </c>
      <c r="Y17" s="107">
        <f>IFERROR(Y15/X15-1,"")</f>
      </c>
      <c r="Z17" s="107">
        <f>IFERROR(Z15/Y15-1,"")</f>
      </c>
      <c r="AA17" s="293"/>
      <c r="AB17" s="291">
        <f>IFERROR(AB15/Z15-1,"")</f>
      </c>
      <c r="AC17" s="107">
        <f>IFERROR(AC15/AB15-1,"")</f>
      </c>
      <c r="AD17" s="107">
        <f>IFERROR(AD15/AC15-1,"")</f>
      </c>
      <c r="AE17" s="107">
        <f>IFERROR(AE15/AD15-1,"")</f>
      </c>
      <c r="AF17" s="293"/>
      <c r="AG17" s="291">
        <f>IFERROR(AG15/AE15-1,"")</f>
      </c>
      <c r="AH17" s="107">
        <f>IFERROR(AH15/AG15-1,"")</f>
      </c>
      <c r="AI17" s="107">
        <f>IFERROR(AI15/AH15-1,"")</f>
      </c>
      <c r="AJ17" s="107">
        <f>IFERROR(AJ15/AI15-1,"")</f>
      </c>
      <c r="AK17" s="293"/>
      <c r="AL17" s="291">
        <f>IFERROR(AL15/AJ15-1,"")</f>
      </c>
      <c r="AM17" s="107">
        <f>IFERROR(AM15/AL15-1,"")</f>
      </c>
      <c r="AN17" s="107">
        <f>IFERROR(AN15/AM15-1,"")</f>
      </c>
      <c r="AO17" s="107">
        <f>IFERROR(AO15/AN15-1,"")</f>
      </c>
      <c r="AP17" s="293"/>
      <c r="AQ17" s="291">
        <f>IFERROR(AQ15/AO15-1,"")</f>
      </c>
      <c r="AR17" s="107">
        <f>IFERROR(AR15/AQ15-1,"")</f>
      </c>
      <c r="AS17" s="107">
        <f>IFERROR(AS15/AR15-1,"")</f>
      </c>
      <c r="AT17" s="107">
        <f>IFERROR(AT15/AS15-1,"")</f>
      </c>
      <c r="AU17" s="293"/>
      <c r="AV17" s="291">
        <f>IFERROR(AV15/AT15-1,"")</f>
      </c>
      <c r="AW17" s="107">
        <f>IFERROR(AW15/AV15-1,"")</f>
      </c>
      <c r="AX17" s="107">
        <f>IFERROR(AX15/AW15-1,"")</f>
      </c>
      <c r="AY17" s="107">
        <f>IFERROR(AY15/AX15-1,"")</f>
      </c>
      <c r="AZ17" s="293"/>
      <c r="BA17" s="291">
        <f>IFERROR(BA15/AY15-1,"")</f>
      </c>
      <c r="BB17" s="107">
        <f>IFERROR(BB15/BA15-1,"")</f>
      </c>
      <c r="BC17" s="107">
        <f>IFERROR(BC15/BB15-1,"")</f>
      </c>
      <c r="BD17" s="107">
        <f>IFERROR(BD15/BC15-1,"")</f>
      </c>
      <c r="BE17" s="293"/>
      <c r="BF17" s="291">
        <f>IFERROR(BF15/BD15-1,"")</f>
      </c>
      <c r="BG17" s="107">
        <f>IFERROR(BG15/BF15-1,"")</f>
      </c>
      <c r="BH17" s="107">
        <f>IFERROR(BH15/BG15-1,"")</f>
      </c>
      <c r="BI17" s="107">
        <f>IFERROR(BI15/BH15-1,"")</f>
      </c>
      <c r="BJ17" s="293"/>
      <c r="BK17" s="291">
        <f>IFERROR(BK15/BI15-1,"")</f>
      </c>
      <c r="BL17" s="107">
        <f>IFERROR(BL15/BK15-1,"")</f>
      </c>
      <c r="BM17" s="107">
        <f>IFERROR(BM15/BL15-1,"")</f>
      </c>
      <c r="BN17" s="107">
        <f>IFERROR(BN15/BM15-1,"")</f>
      </c>
      <c r="BO17" s="293"/>
      <c r="BP17" s="291">
        <f>IFERROR(BP15/BN15-1,"")</f>
      </c>
      <c r="BQ17" s="107">
        <f>IFERROR(BQ15/BP15-1,"")</f>
      </c>
      <c r="BR17" s="107">
        <f>IFERROR(BR15/BQ15-1,"")</f>
      </c>
      <c r="BS17" s="107">
        <f>IFERROR(BS15/BR15-1,"")</f>
      </c>
      <c r="BT17" s="293"/>
      <c r="BU17" s="291">
        <f>IFERROR(BU15/BS15-1,"")</f>
      </c>
      <c r="BV17" s="107">
        <f>IFERROR(BV15/BU15-1,"")</f>
      </c>
      <c r="BW17" s="107">
        <f>IFERROR(BW15/BV15-1,"")</f>
      </c>
      <c r="BX17" s="107">
        <f>IFERROR(BX15/BW15-1,"")</f>
      </c>
      <c r="BY17" s="293"/>
      <c r="BZ17" s="291">
        <f>IFERROR(BZ15/BX15-1,"")</f>
      </c>
      <c r="CA17" s="107">
        <f>IFERROR(CA15/BZ15-1,"")</f>
      </c>
      <c r="CB17" s="107">
        <f>IFERROR(CB15/CA15-1,"")</f>
      </c>
      <c r="CC17" s="107">
        <f>IFERROR(CC15/CB15-1,"")</f>
      </c>
      <c r="CD17" s="293"/>
      <c r="CE17" s="291">
        <f>IFERROR(CE15/CC15-1,"")</f>
      </c>
      <c r="CF17" s="107">
        <f>IFERROR(CF15/CE15-1,"")</f>
      </c>
      <c r="CG17" s="107">
        <f>IFERROR(CG15/CF15-1,"")</f>
      </c>
      <c r="CH17" s="107">
        <f>IFERROR(CH15/CG15-1,"")</f>
      </c>
      <c r="CI17" s="293"/>
      <c r="CJ17" s="291">
        <f>IFERROR(CJ15/CH15-1,"")</f>
      </c>
      <c r="CK17" s="107">
        <f>IFERROR(CK15/CJ15-1,"")</f>
      </c>
      <c r="CL17" s="107">
        <f>IFERROR(CL15/CK15-1,"")</f>
      </c>
      <c r="CM17" s="107">
        <f>IFERROR(CM15/CL15-1,"")</f>
      </c>
      <c r="CN17" s="293"/>
      <c r="CO17" s="291">
        <f>IFERROR(CO15/CM15-1,"")</f>
      </c>
      <c r="CP17" s="107">
        <f>IFERROR(CP15/CO15-1,"")</f>
      </c>
      <c r="CQ17" s="107">
        <f>IFERROR(CQ15/CP15-1,"")</f>
      </c>
      <c r="CR17" s="107">
        <f>IFERROR(CR15/CQ15-1,"")</f>
      </c>
      <c r="CS17" s="293"/>
      <c r="CT17" s="291">
        <f>IFERROR(CT15/CR15-1,"")</f>
      </c>
      <c r="CU17" s="107">
        <f>IFERROR(CU15/CT15-1,"")</f>
      </c>
      <c r="CV17" s="107">
        <f>IFERROR(CV15/CU15-1,"")</f>
      </c>
      <c r="CW17" s="107">
        <f>IFERROR(CW15/CV15-1,"")</f>
      </c>
      <c r="CX17" s="293"/>
      <c r="CY17" s="291">
        <f>IFERROR(CY15/CW15-1,"")</f>
      </c>
      <c r="CZ17" s="107">
        <f>IFERROR(CZ15/CY15-1,"")</f>
      </c>
      <c r="DA17" s="107">
        <f>IFERROR(DA15/CZ15-1,"")</f>
      </c>
      <c r="DB17" s="107">
        <f>IFERROR(DB15/DA15-1,"")</f>
      </c>
      <c r="DC17" s="293"/>
      <c r="DD17" s="291">
        <f>IFERROR(DD15/DB15-1,"")</f>
      </c>
      <c r="DE17" s="107">
        <f>IFERROR(DE15/DD15-1,"")</f>
      </c>
      <c r="DF17" s="107">
        <f>IFERROR(DF15/DE15-1,"")</f>
      </c>
      <c r="DG17" s="107">
        <f>IFERROR(DG15/DF15-1,"")</f>
      </c>
      <c r="DH17" s="293"/>
      <c r="DI17" s="291">
        <f>IFERROR(DI15/DG15-1,"")</f>
      </c>
      <c r="DJ17" s="107">
        <f>IFERROR(DJ15/DI15-1,"")</f>
      </c>
      <c r="DK17" s="107">
        <f>IFERROR(DK15/DJ15-1,"")</f>
      </c>
      <c r="DL17" s="107">
        <f>IFERROR(DL15/DK15-1,"")</f>
      </c>
      <c r="DM17" s="293"/>
      <c r="DN17" s="291">
        <f>IFERROR(DN15/DL15-1,"")</f>
      </c>
      <c r="DO17" s="107">
        <f>IFERROR(DO15/DN15-1,"")</f>
      </c>
      <c r="DP17" s="107">
        <f>IFERROR(DP15/DO15-1,"")</f>
      </c>
      <c r="DQ17" s="107">
        <f>IFERROR(DQ15/DP15-1,"")</f>
      </c>
      <c r="DR17" s="293"/>
      <c r="DS17" s="291">
        <f>IFERROR(DS15/DQ15-1,"")</f>
      </c>
      <c r="DT17" s="107">
        <f>IFERROR(DT15/DS15-1,"")</f>
      </c>
      <c r="DU17" s="107">
        <f>IFERROR(DU15/DT15-1,"")</f>
      </c>
      <c r="DV17" s="107">
        <f>IFERROR(DV15/DU15-1,"")</f>
      </c>
      <c r="DW17" s="293"/>
      <c r="DX17" s="291">
        <f>IFERROR(DX15/DV15-1,"")</f>
      </c>
      <c r="DY17" s="107">
        <f>IFERROR(DY15/DX15-1,"")</f>
      </c>
      <c r="DZ17" s="107">
        <f>IFERROR(DZ15/DY15-1,"")</f>
      </c>
      <c r="EA17" s="107">
        <f>IFERROR(EA15/DZ15-1,"")</f>
      </c>
      <c r="EB17" s="293"/>
      <c r="EC17" s="291">
        <f>IFERROR(EC15/EA15-1,"")</f>
      </c>
      <c r="ED17" s="107">
        <f>IFERROR(ED15/EC15-1,"")</f>
      </c>
      <c r="EE17" s="107">
        <f>IFERROR(EE15/ED15-1,"")</f>
      </c>
      <c r="EF17" s="107">
        <f>IFERROR(EF15/EE15-1,"")</f>
      </c>
      <c r="EG17" s="293"/>
      <c r="EH17" s="291">
        <f>IFERROR(EH15/EF15-1,"")</f>
      </c>
      <c r="EI17" s="107">
        <f>IFERROR(EI15/EH15-1,"")</f>
      </c>
      <c r="EJ17" s="107">
        <f>IFERROR(EJ15/EI15-1,"")</f>
      </c>
      <c r="EK17" s="107">
        <f>IFERROR(EK15/EJ15-1,"")</f>
      </c>
      <c r="EL17" s="293"/>
      <c r="EM17" s="291">
        <f>IFERROR(EM15/EK15-1,"")</f>
      </c>
      <c r="EN17" s="107">
        <f>IFERROR(EN15/EM15-1,"")</f>
      </c>
      <c r="EO17" s="107">
        <f>IFERROR(EO15/EN15-1,"")</f>
      </c>
      <c r="EP17" s="107">
        <f>IFERROR(EP15/EO15-1,"")</f>
      </c>
      <c r="EQ17" s="293"/>
      <c r="ER17" s="291">
        <f>IFERROR(ER15/EP15-1,"")</f>
      </c>
      <c r="ES17" s="107">
        <f>IFERROR(ES15/ER15-1,"")</f>
      </c>
      <c r="ET17" s="107">
        <f>IFERROR(ET15/ES15-1,"")</f>
      </c>
      <c r="EU17" s="107">
        <f>IFERROR(EU15/ET15-1,"")</f>
      </c>
      <c r="EV17" s="293"/>
      <c r="EW17" s="291">
        <f>IFERROR(EW15/EU15-1,"")</f>
      </c>
      <c r="EX17" s="107">
        <f>IFERROR(EX15/EW15-1,"")</f>
      </c>
      <c r="EY17" s="107">
        <f>IFERROR(EY15/EX15-1,"")</f>
      </c>
      <c r="EZ17" s="107">
        <f>IFERROR(EZ15/EY15-1,"")</f>
      </c>
      <c r="FA17" s="293"/>
      <c r="FB17" s="291">
        <f>IFERROR(FB15/EZ15-1,"")</f>
      </c>
      <c r="FC17" s="107">
        <f>IFERROR(FC15/FB15-1,"")</f>
      </c>
      <c r="FD17" s="107">
        <f>IFERROR(FD15/FC15-1,"")</f>
      </c>
      <c r="FE17" s="107">
        <f>IFERROR(FE15/FD15-1,"")</f>
      </c>
      <c r="FF17" s="293"/>
      <c r="FG17" s="291">
        <f>IFERROR(FG15/FE15-1,"")</f>
      </c>
      <c r="FH17" s="107">
        <f>IFERROR(FH15/FG15-1,"")</f>
      </c>
      <c r="FI17" s="107">
        <f>IFERROR(FI15/FH15-1,"")</f>
      </c>
      <c r="FJ17" s="107">
        <f>IFERROR(FJ15/FI15-1,"")</f>
      </c>
      <c r="FK17" s="293"/>
      <c r="FL17" s="291">
        <f>IFERROR(FL15/FJ15-1,"")</f>
      </c>
      <c r="FM17" s="107">
        <f>IFERROR(FM15/FL15-1,"")</f>
      </c>
      <c r="FN17" s="107">
        <f>IFERROR(FN15/FM15-1,"")</f>
      </c>
      <c r="FO17" s="107">
        <f>IFERROR(FO15/FN15-1,"")</f>
      </c>
      <c r="FP17" s="293"/>
      <c r="FQ17" s="291">
        <f>IFERROR(FQ15/FO15-1,"")</f>
      </c>
      <c r="FR17" s="107">
        <f>IFERROR(FR15/FQ15-1,"")</f>
      </c>
      <c r="FS17" s="107">
        <f>IFERROR(FS15/FR15-1,"")</f>
      </c>
      <c r="FT17" s="107">
        <f>IFERROR(FT15/FS15-1,"")</f>
      </c>
      <c r="FU17" s="293"/>
      <c r="FV17" s="291">
        <f>IFERROR(FV15/FT15-1,"")</f>
      </c>
      <c r="FW17" s="107">
        <f>IFERROR(FW15/FV15-1,"")</f>
      </c>
      <c r="FX17" s="107">
        <f>IFERROR(FX15/FW15-1,"")</f>
      </c>
      <c r="FY17" s="107">
        <f>IFERROR(FY15/FX15-1,"")</f>
      </c>
      <c r="FZ17" s="293"/>
      <c r="GA17" s="291">
        <f>IFERROR(GA15/FY15-1,"")</f>
      </c>
      <c r="GB17" s="107">
        <f>IFERROR(GB15/GA15-1,"")</f>
      </c>
      <c r="GC17" s="107">
        <f>IFERROR(GC15/GB15-1,"")</f>
      </c>
      <c r="GD17" s="107">
        <f>IFERROR(GD15/GC15-1,"")</f>
      </c>
      <c r="GE17" s="293"/>
    </row>
    <row r="18" spans="1:187" s="537" customFormat="1" ht="12.75" customHeight="1" outlineLevel="1">
      <c r="A18" s="543"/>
      <c r="B18" s="724" t="s">
        <v>309</v>
      </c>
      <c r="C18" s="329"/>
      <c r="D18" s="107"/>
      <c r="E18" s="107"/>
      <c r="F18" s="107"/>
      <c r="G18" s="540"/>
      <c r="H18" s="463">
        <f t="shared" ref="H18:AM18" si="12">H15-C15</f>
      </c>
      <c r="I18" s="463">
        <f t="shared" si="12"/>
      </c>
      <c r="J18" s="463">
        <f t="shared" si="12"/>
      </c>
      <c r="K18" s="463">
        <f t="shared" si="12"/>
      </c>
      <c r="L18" s="610">
        <f t="shared" si="12"/>
      </c>
      <c r="M18" s="463">
        <f t="shared" si="12"/>
      </c>
      <c r="N18" s="463">
        <f t="shared" si="12"/>
      </c>
      <c r="O18" s="463">
        <f t="shared" si="12"/>
      </c>
      <c r="P18" s="463">
        <f t="shared" si="12"/>
      </c>
      <c r="Q18" s="610">
        <f t="shared" si="12"/>
      </c>
      <c r="R18" s="463">
        <f t="shared" si="12"/>
      </c>
      <c r="S18" s="463">
        <f t="shared" si="12"/>
      </c>
      <c r="T18" s="463">
        <f t="shared" si="12"/>
      </c>
      <c r="U18" s="463">
        <f t="shared" si="12"/>
      </c>
      <c r="V18" s="610">
        <f t="shared" si="12"/>
      </c>
      <c r="W18" s="463">
        <f t="shared" si="12"/>
      </c>
      <c r="X18" s="463">
        <f t="shared" si="12"/>
      </c>
      <c r="Y18" s="463">
        <f t="shared" si="12"/>
      </c>
      <c r="Z18" s="463">
        <f t="shared" si="12"/>
      </c>
      <c r="AA18" s="610">
        <f t="shared" si="12"/>
      </c>
      <c r="AB18" s="463">
        <f t="shared" si="12"/>
      </c>
      <c r="AC18" s="463">
        <f t="shared" si="12"/>
      </c>
      <c r="AD18" s="463">
        <f t="shared" si="12"/>
      </c>
      <c r="AE18" s="463">
        <f t="shared" si="12"/>
      </c>
      <c r="AF18" s="610">
        <f t="shared" si="12"/>
      </c>
      <c r="AG18" s="463">
        <f t="shared" si="12"/>
      </c>
      <c r="AH18" s="463">
        <f t="shared" si="12"/>
      </c>
      <c r="AI18" s="463">
        <f t="shared" si="12"/>
      </c>
      <c r="AJ18" s="463">
        <f t="shared" si="12"/>
      </c>
      <c r="AK18" s="610">
        <f t="shared" si="12"/>
      </c>
      <c r="AL18" s="463">
        <f t="shared" si="12"/>
      </c>
      <c r="AM18" s="463">
        <f t="shared" si="12"/>
      </c>
      <c r="AN18" s="463">
        <f t="shared" ref="AN18:BS18" si="13">AN15-AI15</f>
      </c>
      <c r="AO18" s="463">
        <f t="shared" si="13"/>
      </c>
      <c r="AP18" s="610">
        <f t="shared" si="13"/>
      </c>
      <c r="AQ18" s="463">
        <f t="shared" si="13"/>
      </c>
      <c r="AR18" s="463">
        <f t="shared" si="13"/>
      </c>
      <c r="AS18" s="463">
        <f t="shared" si="13"/>
      </c>
      <c r="AT18" s="463">
        <f t="shared" si="13"/>
      </c>
      <c r="AU18" s="610">
        <f t="shared" si="13"/>
      </c>
      <c r="AV18" s="463">
        <f t="shared" si="13"/>
      </c>
      <c r="AW18" s="463">
        <f t="shared" si="13"/>
      </c>
      <c r="AX18" s="463">
        <f t="shared" si="13"/>
      </c>
      <c r="AY18" s="463">
        <f t="shared" si="13"/>
      </c>
      <c r="AZ18" s="610">
        <f t="shared" si="13"/>
      </c>
      <c r="BA18" s="463">
        <f t="shared" si="13"/>
      </c>
      <c r="BB18" s="463">
        <f t="shared" si="13"/>
      </c>
      <c r="BC18" s="463">
        <f t="shared" si="13"/>
      </c>
      <c r="BD18" s="463">
        <f t="shared" si="13"/>
      </c>
      <c r="BE18" s="610">
        <f t="shared" si="13"/>
      </c>
      <c r="BF18" s="463">
        <f t="shared" si="13"/>
      </c>
      <c r="BG18" s="463">
        <f t="shared" si="13"/>
      </c>
      <c r="BH18" s="463">
        <f t="shared" si="13"/>
      </c>
      <c r="BI18" s="463">
        <f t="shared" si="13"/>
      </c>
      <c r="BJ18" s="610">
        <f t="shared" si="13"/>
      </c>
      <c r="BK18" s="463">
        <f t="shared" si="13"/>
      </c>
      <c r="BL18" s="463">
        <f t="shared" si="13"/>
      </c>
      <c r="BM18" s="463">
        <f t="shared" si="13"/>
      </c>
      <c r="BN18" s="463">
        <f t="shared" si="13"/>
      </c>
      <c r="BO18" s="610">
        <f t="shared" si="13"/>
      </c>
      <c r="BP18" s="463">
        <f t="shared" si="13"/>
      </c>
      <c r="BQ18" s="463">
        <f t="shared" si="13"/>
      </c>
      <c r="BR18" s="463">
        <f t="shared" si="13"/>
      </c>
      <c r="BS18" s="463">
        <f t="shared" si="13"/>
      </c>
      <c r="BT18" s="610">
        <f t="shared" ref="BT18:CY18" si="14">BT15-BO15</f>
      </c>
      <c r="BU18" s="463">
        <f t="shared" si="14"/>
      </c>
      <c r="BV18" s="463">
        <f t="shared" si="14"/>
      </c>
      <c r="BW18" s="463">
        <f t="shared" si="14"/>
      </c>
      <c r="BX18" s="463">
        <f t="shared" si="14"/>
      </c>
      <c r="BY18" s="610">
        <f t="shared" si="14"/>
      </c>
      <c r="BZ18" s="463">
        <f t="shared" si="14"/>
      </c>
      <c r="CA18" s="463">
        <f t="shared" si="14"/>
      </c>
      <c r="CB18" s="463">
        <f t="shared" si="14"/>
      </c>
      <c r="CC18" s="463">
        <f t="shared" si="14"/>
      </c>
      <c r="CD18" s="610">
        <f t="shared" si="14"/>
      </c>
      <c r="CE18" s="463">
        <f t="shared" si="14"/>
      </c>
      <c r="CF18" s="463">
        <f t="shared" si="14"/>
      </c>
      <c r="CG18" s="463">
        <f t="shared" si="14"/>
      </c>
      <c r="CH18" s="463">
        <f t="shared" si="14"/>
      </c>
      <c r="CI18" s="610">
        <f t="shared" si="14"/>
      </c>
      <c r="CJ18" s="463">
        <f t="shared" si="14"/>
      </c>
      <c r="CK18" s="463">
        <f t="shared" si="14"/>
      </c>
      <c r="CL18" s="463">
        <f t="shared" si="14"/>
      </c>
      <c r="CM18" s="463">
        <f t="shared" si="14"/>
      </c>
      <c r="CN18" s="610">
        <f t="shared" si="14"/>
      </c>
      <c r="CO18" s="463">
        <f t="shared" si="14"/>
      </c>
      <c r="CP18" s="463">
        <f t="shared" si="14"/>
      </c>
      <c r="CQ18" s="463">
        <f t="shared" si="14"/>
      </c>
      <c r="CR18" s="463">
        <f t="shared" si="14"/>
      </c>
      <c r="CS18" s="610">
        <f t="shared" si="14"/>
      </c>
      <c r="CT18" s="463">
        <f t="shared" si="14"/>
      </c>
      <c r="CU18" s="463">
        <f t="shared" si="14"/>
      </c>
      <c r="CV18" s="463">
        <f t="shared" si="14"/>
      </c>
      <c r="CW18" s="463">
        <f t="shared" si="14"/>
      </c>
      <c r="CX18" s="610">
        <f t="shared" si="14"/>
      </c>
      <c r="CY18" s="463">
        <f t="shared" si="14"/>
      </c>
      <c r="CZ18" s="463">
        <f t="shared" ref="CZ18:EE18" si="15">CZ15-CU15</f>
      </c>
      <c r="DA18" s="463">
        <f t="shared" si="15"/>
      </c>
      <c r="DB18" s="463">
        <f t="shared" si="15"/>
      </c>
      <c r="DC18" s="610">
        <f t="shared" si="15"/>
      </c>
      <c r="DD18" s="463">
        <f t="shared" si="15"/>
      </c>
      <c r="DE18" s="463">
        <f t="shared" si="15"/>
      </c>
      <c r="DF18" s="463">
        <f t="shared" si="15"/>
      </c>
      <c r="DG18" s="463">
        <f t="shared" si="15"/>
      </c>
      <c r="DH18" s="610">
        <f t="shared" si="15"/>
      </c>
      <c r="DI18" s="463">
        <f t="shared" si="15"/>
      </c>
      <c r="DJ18" s="463">
        <f t="shared" si="15"/>
      </c>
      <c r="DK18" s="463">
        <f t="shared" si="15"/>
      </c>
      <c r="DL18" s="463">
        <f t="shared" si="15"/>
      </c>
      <c r="DM18" s="610">
        <f t="shared" si="15"/>
      </c>
      <c r="DN18" s="463">
        <f t="shared" si="15"/>
      </c>
      <c r="DO18" s="463">
        <f t="shared" si="15"/>
      </c>
      <c r="DP18" s="463">
        <f t="shared" si="15"/>
      </c>
      <c r="DQ18" s="463">
        <f t="shared" si="15"/>
      </c>
      <c r="DR18" s="610">
        <f t="shared" si="15"/>
      </c>
      <c r="DS18" s="463">
        <f t="shared" si="15"/>
      </c>
      <c r="DT18" s="463">
        <f t="shared" si="15"/>
      </c>
      <c r="DU18" s="463">
        <f t="shared" si="15"/>
      </c>
      <c r="DV18" s="463">
        <f t="shared" si="15"/>
      </c>
      <c r="DW18" s="610">
        <f t="shared" si="15"/>
      </c>
      <c r="DX18" s="463">
        <f t="shared" si="15"/>
      </c>
      <c r="DY18" s="463">
        <f t="shared" si="15"/>
      </c>
      <c r="DZ18" s="463">
        <f t="shared" si="15"/>
      </c>
      <c r="EA18" s="463">
        <f t="shared" si="15"/>
      </c>
      <c r="EB18" s="610">
        <f t="shared" si="15"/>
      </c>
      <c r="EC18" s="463">
        <f t="shared" si="15"/>
      </c>
      <c r="ED18" s="463">
        <f t="shared" si="15"/>
      </c>
      <c r="EE18" s="463">
        <f t="shared" si="15"/>
      </c>
      <c r="EF18" s="463">
        <f t="shared" ref="EF18:FK18" si="16">EF15-EA15</f>
      </c>
      <c r="EG18" s="610">
        <f t="shared" si="16"/>
      </c>
      <c r="EH18" s="463">
        <f t="shared" si="16"/>
      </c>
      <c r="EI18" s="463">
        <f t="shared" si="16"/>
      </c>
      <c r="EJ18" s="463">
        <f t="shared" si="16"/>
      </c>
      <c r="EK18" s="463">
        <f t="shared" si="16"/>
      </c>
      <c r="EL18" s="610">
        <f t="shared" si="16"/>
      </c>
      <c r="EM18" s="463">
        <f t="shared" si="16"/>
      </c>
      <c r="EN18" s="463">
        <f t="shared" si="16"/>
      </c>
      <c r="EO18" s="463">
        <f t="shared" si="16"/>
      </c>
      <c r="EP18" s="463">
        <f t="shared" si="16"/>
      </c>
      <c r="EQ18" s="610">
        <f t="shared" si="16"/>
      </c>
      <c r="ER18" s="463">
        <f t="shared" si="16"/>
      </c>
      <c r="ES18" s="463">
        <f t="shared" si="16"/>
      </c>
      <c r="ET18" s="463">
        <f t="shared" si="16"/>
      </c>
      <c r="EU18" s="463">
        <f>EU15-EP15</f>
      </c>
      <c r="EV18" s="610">
        <f>EV15-EQ15</f>
      </c>
      <c r="EW18" s="463">
        <f t="shared" si="16"/>
      </c>
      <c r="EX18" s="463">
        <f t="shared" si="16"/>
      </c>
      <c r="EY18" s="463">
        <f t="shared" si="16"/>
      </c>
      <c r="EZ18" s="463">
        <f>EZ15-EU15</f>
      </c>
      <c r="FA18" s="610">
        <f>FA15-EV15</f>
      </c>
      <c r="FB18" s="463">
        <f t="shared" si="16"/>
      </c>
      <c r="FC18" s="463">
        <f t="shared" si="16"/>
      </c>
      <c r="FD18" s="463">
        <f t="shared" si="16"/>
      </c>
      <c r="FE18" s="463">
        <f t="shared" si="16"/>
      </c>
      <c r="FF18" s="610">
        <f t="shared" si="16"/>
      </c>
      <c r="FG18" s="463">
        <f t="shared" si="16"/>
      </c>
      <c r="FH18" s="463">
        <f t="shared" si="16"/>
      </c>
      <c r="FI18" s="463">
        <f t="shared" si="16"/>
      </c>
      <c r="FJ18" s="463">
        <f t="shared" si="16"/>
      </c>
      <c r="FK18" s="610">
        <f t="shared" si="16"/>
      </c>
      <c r="FL18" s="463">
        <f t="shared" ref="FL18:FZ18" si="17">FL15-FG15</f>
      </c>
      <c r="FM18" s="463">
        <f t="shared" si="17"/>
      </c>
      <c r="FN18" s="463">
        <f t="shared" si="17"/>
      </c>
      <c r="FO18" s="463">
        <f t="shared" si="17"/>
      </c>
      <c r="FP18" s="610">
        <f t="shared" si="17"/>
      </c>
      <c r="FQ18" s="463">
        <f t="shared" si="17"/>
      </c>
      <c r="FR18" s="463">
        <f t="shared" si="17"/>
      </c>
      <c r="FS18" s="463">
        <f t="shared" si="17"/>
      </c>
      <c r="FT18" s="463">
        <f t="shared" si="17"/>
      </c>
      <c r="FU18" s="610">
        <f t="shared" si="17"/>
      </c>
      <c r="FV18" s="463">
        <f t="shared" si="17"/>
      </c>
      <c r="FW18" s="463">
        <f t="shared" si="17"/>
      </c>
      <c r="FX18" s="463">
        <f t="shared" si="17"/>
      </c>
      <c r="FY18" s="463">
        <f t="shared" si="17"/>
      </c>
      <c r="FZ18" s="610">
        <f t="shared" si="17"/>
      </c>
      <c r="GA18" s="463">
        <f>GA15-FV15</f>
      </c>
      <c r="GB18" s="463">
        <f>GB15-FW15</f>
      </c>
      <c r="GC18" s="463">
        <f>GC15-FX15</f>
      </c>
      <c r="GD18" s="463">
        <f>GD15-FY15</f>
      </c>
      <c r="GE18" s="610">
        <f>GE15-FZ15</f>
      </c>
    </row>
    <row r="19" spans="1:187" s="537" customFormat="1" ht="12.75" customHeight="1" outlineLevel="1">
      <c r="A19" s="543"/>
      <c r="B19" s="724" t="s">
        <v>310</v>
      </c>
      <c r="C19" s="463">
        <f>C15-A15</f>
      </c>
      <c r="D19" s="463">
        <f>D15-C15</f>
      </c>
      <c r="E19" s="463">
        <f>E15-D15</f>
      </c>
      <c r="F19" s="463">
        <f>F15-E15</f>
      </c>
      <c r="G19" s="610"/>
      <c r="H19" s="463">
        <f>H15-F15</f>
      </c>
      <c r="I19" s="463">
        <f>I15-H15</f>
      </c>
      <c r="J19" s="463">
        <f>J15-I15</f>
      </c>
      <c r="K19" s="463">
        <f>K15-J15</f>
      </c>
      <c r="L19" s="610"/>
      <c r="M19" s="463">
        <f>M15-K15</f>
      </c>
      <c r="N19" s="463">
        <f>N15-M15</f>
      </c>
      <c r="O19" s="463">
        <f>O15-N15</f>
      </c>
      <c r="P19" s="463">
        <f>P15-O15</f>
      </c>
      <c r="Q19" s="610"/>
      <c r="R19" s="463">
        <f>R15-P15</f>
      </c>
      <c r="S19" s="463">
        <f>S15-R15</f>
      </c>
      <c r="T19" s="463">
        <f>T15-S15</f>
      </c>
      <c r="U19" s="463">
        <f>U15-T15</f>
      </c>
      <c r="V19" s="610"/>
      <c r="W19" s="463">
        <f>W15-U15</f>
      </c>
      <c r="X19" s="463">
        <f>X15-W15</f>
      </c>
      <c r="Y19" s="463">
        <f>Y15-X15</f>
      </c>
      <c r="Z19" s="463">
        <f>Z15-Y15</f>
      </c>
      <c r="AA19" s="610"/>
      <c r="AB19" s="463">
        <f>AB15-Z15</f>
      </c>
      <c r="AC19" s="463">
        <f>AC15-AB15</f>
      </c>
      <c r="AD19" s="463">
        <f>AD15-AC15</f>
      </c>
      <c r="AE19" s="463">
        <f>AE15-AD15</f>
      </c>
      <c r="AF19" s="610"/>
      <c r="AG19" s="463">
        <f>AG15-AE15</f>
      </c>
      <c r="AH19" s="463">
        <f>AH15-AG15</f>
      </c>
      <c r="AI19" s="463">
        <f>AI15-AH15</f>
      </c>
      <c r="AJ19" s="463">
        <f>AJ15-AI15</f>
      </c>
      <c r="AK19" s="610"/>
      <c r="AL19" s="463">
        <f>AL15-AJ15</f>
      </c>
      <c r="AM19" s="463">
        <f>AM15-AL15</f>
      </c>
      <c r="AN19" s="463">
        <f>AN15-AM15</f>
      </c>
      <c r="AO19" s="463">
        <f>AO15-AN15</f>
      </c>
      <c r="AP19" s="610"/>
      <c r="AQ19" s="463">
        <f>AQ15-AO15</f>
      </c>
      <c r="AR19" s="463">
        <f>AR15-AQ15</f>
      </c>
      <c r="AS19" s="463">
        <f>AS15-AR15</f>
      </c>
      <c r="AT19" s="463">
        <f>AT15-AS15</f>
      </c>
      <c r="AU19" s="610"/>
      <c r="AV19" s="463">
        <f>AV15-AT15</f>
      </c>
      <c r="AW19" s="463">
        <f>AW15-AV15</f>
      </c>
      <c r="AX19" s="463">
        <f>AX15-AW15</f>
      </c>
      <c r="AY19" s="463">
        <f>AY15-AX15</f>
      </c>
      <c r="AZ19" s="610"/>
      <c r="BA19" s="463">
        <f>BA15-AY15</f>
      </c>
      <c r="BB19" s="463">
        <f>BB15-BA15</f>
      </c>
      <c r="BC19" s="463">
        <f>BC15-BB15</f>
      </c>
      <c r="BD19" s="463">
        <f>BD15-BC15</f>
      </c>
      <c r="BE19" s="610"/>
      <c r="BF19" s="463">
        <f>BF15-BD15</f>
      </c>
      <c r="BG19" s="463">
        <f>BG15-BF15</f>
      </c>
      <c r="BH19" s="463">
        <f>BH15-BG15</f>
      </c>
      <c r="BI19" s="463">
        <f>BI15-BH15</f>
      </c>
      <c r="BJ19" s="610"/>
      <c r="BK19" s="463">
        <f>BK15-BI15</f>
      </c>
      <c r="BL19" s="463">
        <f>BL15-BK15</f>
      </c>
      <c r="BM19" s="463">
        <f>BM15-BL15</f>
      </c>
      <c r="BN19" s="463">
        <f>BN15-BM15</f>
      </c>
      <c r="BO19" s="610"/>
      <c r="BP19" s="463">
        <f>BP15-BN15</f>
      </c>
      <c r="BQ19" s="463">
        <f>BQ15-BP15</f>
      </c>
      <c r="BR19" s="463">
        <f>BR15-BQ15</f>
      </c>
      <c r="BS19" s="463">
        <f>BS15-BR15</f>
      </c>
      <c r="BT19" s="610"/>
      <c r="BU19" s="463">
        <f>BU15-BS15</f>
      </c>
      <c r="BV19" s="463">
        <f>BV15-BU15</f>
      </c>
      <c r="BW19" s="463">
        <f>BW15-BV15</f>
      </c>
      <c r="BX19" s="463">
        <f>BX15-BW15</f>
      </c>
      <c r="BY19" s="610"/>
      <c r="BZ19" s="463">
        <f>BZ15-BX15</f>
      </c>
      <c r="CA19" s="463">
        <f>CA15-BZ15</f>
      </c>
      <c r="CB19" s="463">
        <f>CB15-CA15</f>
      </c>
      <c r="CC19" s="463">
        <f>CC15-CB15</f>
      </c>
      <c r="CD19" s="610"/>
      <c r="CE19" s="463">
        <f>CE15-CC15</f>
      </c>
      <c r="CF19" s="463">
        <f>CF15-CE15</f>
      </c>
      <c r="CG19" s="463">
        <f>CG15-CF15</f>
      </c>
      <c r="CH19" s="463">
        <f>CH15-CG15</f>
      </c>
      <c r="CI19" s="610"/>
      <c r="CJ19" s="463">
        <f>CJ15-CH15</f>
      </c>
      <c r="CK19" s="463">
        <f>CK15-CJ15</f>
      </c>
      <c r="CL19" s="463">
        <f>CL15-CK15</f>
      </c>
      <c r="CM19" s="463">
        <f>CM15-CL15</f>
      </c>
      <c r="CN19" s="610"/>
      <c r="CO19" s="463">
        <f>CO15-CM15</f>
      </c>
      <c r="CP19" s="463">
        <f>CP15-CO15</f>
      </c>
      <c r="CQ19" s="463">
        <f>CQ15-CP15</f>
      </c>
      <c r="CR19" s="463">
        <f>CR15-CQ15</f>
      </c>
      <c r="CS19" s="610"/>
      <c r="CT19" s="463">
        <f>CT15-CR15</f>
      </c>
      <c r="CU19" s="463">
        <f>CU15-CT15</f>
      </c>
      <c r="CV19" s="463">
        <f>CV15-CU15</f>
      </c>
      <c r="CW19" s="463">
        <f>CW15-CV15</f>
      </c>
      <c r="CX19" s="610"/>
      <c r="CY19" s="463">
        <f>CY15-CW15</f>
      </c>
      <c r="CZ19" s="463">
        <f>CZ15-CY15</f>
      </c>
      <c r="DA19" s="463">
        <f>DA15-CZ15</f>
      </c>
      <c r="DB19" s="463">
        <f>DB15-DA15</f>
      </c>
      <c r="DC19" s="610"/>
      <c r="DD19" s="463">
        <f>DD15-DB15</f>
      </c>
      <c r="DE19" s="463">
        <f>DE15-DD15</f>
      </c>
      <c r="DF19" s="463">
        <f>DF15-DE15</f>
      </c>
      <c r="DG19" s="463">
        <f>DG15-DF15</f>
      </c>
      <c r="DH19" s="610"/>
      <c r="DI19" s="463">
        <f>DI15-DG15</f>
      </c>
      <c r="DJ19" s="463">
        <f>DJ15-DI15</f>
      </c>
      <c r="DK19" s="463">
        <f>DK15-DJ15</f>
      </c>
      <c r="DL19" s="463">
        <f>DL15-DK15</f>
      </c>
      <c r="DM19" s="610"/>
      <c r="DN19" s="463">
        <f>DN15-DL15</f>
      </c>
      <c r="DO19" s="463">
        <f>DO15-DN15</f>
      </c>
      <c r="DP19" s="463">
        <f>DP15-DO15</f>
      </c>
      <c r="DQ19" s="463">
        <f>DQ15-DP15</f>
      </c>
      <c r="DR19" s="610"/>
      <c r="DS19" s="463">
        <f>DS15-DQ15</f>
      </c>
      <c r="DT19" s="463">
        <f>DT15-DS15</f>
      </c>
      <c r="DU19" s="463">
        <f>DU15-DT15</f>
      </c>
      <c r="DV19" s="463">
        <f>DV15-DU15</f>
      </c>
      <c r="DW19" s="610"/>
      <c r="DX19" s="463">
        <f>DX15-DV15</f>
      </c>
      <c r="DY19" s="463">
        <f>DY15-DX15</f>
      </c>
      <c r="DZ19" s="463">
        <f>DZ15-DY15</f>
      </c>
      <c r="EA19" s="463">
        <f>EA15-DZ15</f>
      </c>
      <c r="EB19" s="610"/>
      <c r="EC19" s="463">
        <f>EC15-EA15</f>
      </c>
      <c r="ED19" s="463">
        <f>ED15-EC15</f>
      </c>
      <c r="EE19" s="463">
        <f>EE15-ED15</f>
      </c>
      <c r="EF19" s="463">
        <f>EF15-EE15</f>
      </c>
      <c r="EG19" s="610"/>
      <c r="EH19" s="463">
        <f>EH15-EF15</f>
      </c>
      <c r="EI19" s="463">
        <f>EI15-EH15</f>
      </c>
      <c r="EJ19" s="463">
        <f>EJ15-EI15</f>
      </c>
      <c r="EK19" s="463">
        <f>EK15-EJ15</f>
      </c>
      <c r="EL19" s="610"/>
      <c r="EM19" s="463">
        <f>EM15-EK15</f>
      </c>
      <c r="EN19" s="463">
        <f>EN15-EM15</f>
      </c>
      <c r="EO19" s="463">
        <f>EO15-EN15</f>
      </c>
      <c r="EP19" s="463">
        <f>EP15-EO15</f>
      </c>
      <c r="EQ19" s="610"/>
      <c r="ER19" s="463">
        <f>ER15-EP15</f>
      </c>
      <c r="ES19" s="463">
        <f>ES15-ER15</f>
      </c>
      <c r="ET19" s="463">
        <f>ET15-ES15</f>
      </c>
      <c r="EU19" s="463">
        <f>EU15-ET15</f>
      </c>
      <c r="EV19" s="610"/>
      <c r="EW19" s="463">
        <f>EW15-EU15</f>
      </c>
      <c r="EX19" s="463">
        <f>EX15-EW15</f>
      </c>
      <c r="EY19" s="463">
        <f>EY15-EX15</f>
      </c>
      <c r="EZ19" s="463">
        <f>EZ15-EY15</f>
      </c>
      <c r="FA19" s="610"/>
      <c r="FB19" s="463">
        <f>FB15-EZ15</f>
      </c>
      <c r="FC19" s="463">
        <f>FC15-FB15</f>
      </c>
      <c r="FD19" s="463">
        <f>FD15-FC15</f>
      </c>
      <c r="FE19" s="463">
        <f>FE15-FD15</f>
      </c>
      <c r="FF19" s="610"/>
      <c r="FG19" s="463">
        <f>FG15-FE15</f>
      </c>
      <c r="FH19" s="463">
        <f>FH15-FG15</f>
      </c>
      <c r="FI19" s="463">
        <f>FI15-FH15</f>
      </c>
      <c r="FJ19" s="463">
        <f>FJ15-FI15</f>
      </c>
      <c r="FK19" s="610"/>
      <c r="FL19" s="463">
        <f>FL15-FJ15</f>
      </c>
      <c r="FM19" s="463">
        <f>FM15-FL15</f>
      </c>
      <c r="FN19" s="463">
        <f>FN15-FM15</f>
      </c>
      <c r="FO19" s="463">
        <f>FO15-FN15</f>
      </c>
      <c r="FP19" s="610"/>
      <c r="FQ19" s="463">
        <f>FQ15-FO15</f>
      </c>
      <c r="FR19" s="463">
        <f>FR15-FQ15</f>
      </c>
      <c r="FS19" s="463">
        <f>FS15-FR15</f>
      </c>
      <c r="FT19" s="463">
        <f>FT15-FS15</f>
      </c>
      <c r="FU19" s="610"/>
      <c r="FV19" s="463">
        <f>FV15-FT15</f>
      </c>
      <c r="FW19" s="463">
        <f>FW15-FV15</f>
      </c>
      <c r="FX19" s="463">
        <f>FX15-FW15</f>
      </c>
      <c r="FY19" s="463">
        <f>FY15-FX15</f>
      </c>
      <c r="FZ19" s="610"/>
      <c r="GA19" s="463">
        <f>GA15-FY15</f>
      </c>
      <c r="GB19" s="463">
        <f>GB15-GA15</f>
      </c>
      <c r="GC19" s="463">
        <f>GC15-GB15</f>
      </c>
      <c r="GD19" s="463">
        <f>GD15-GC15</f>
      </c>
      <c r="GE19" s="610"/>
    </row>
    <row r="20" spans="1:187" s="537" customFormat="1" ht="12.75" customHeight="1" outlineLevel="1">
      <c r="A20" s="81"/>
      <c r="B20" s="724" t="s">
        <v>279</v>
      </c>
      <c r="C20" s="107"/>
      <c r="D20" s="107"/>
      <c r="E20" s="107"/>
      <c r="F20" s="107"/>
      <c r="G20" s="544"/>
      <c r="H20" s="107">
        <f t="shared" ref="H20:AM20" si="18">IFERROR(H15/H31,"")</f>
      </c>
      <c r="I20" s="107">
        <f t="shared" si="18"/>
      </c>
      <c r="J20" s="107">
        <f t="shared" si="18"/>
      </c>
      <c r="K20" s="107">
        <f t="shared" si="18"/>
      </c>
      <c r="L20" s="544">
        <f t="shared" si="18"/>
      </c>
      <c r="M20" s="107">
        <f t="shared" si="18"/>
      </c>
      <c r="N20" s="107">
        <f t="shared" si="18"/>
      </c>
      <c r="O20" s="107">
        <f t="shared" si="18"/>
      </c>
      <c r="P20" s="107">
        <f t="shared" si="18"/>
      </c>
      <c r="Q20" s="544">
        <f t="shared" si="18"/>
      </c>
      <c r="R20" s="107">
        <f t="shared" si="18"/>
      </c>
      <c r="S20" s="107">
        <f t="shared" si="18"/>
      </c>
      <c r="T20" s="107">
        <f t="shared" si="18"/>
      </c>
      <c r="U20" s="107">
        <f t="shared" si="18"/>
      </c>
      <c r="V20" s="544">
        <f t="shared" si="18"/>
      </c>
      <c r="W20" s="107">
        <f t="shared" si="18"/>
      </c>
      <c r="X20" s="107">
        <f t="shared" si="18"/>
      </c>
      <c r="Y20" s="107">
        <f t="shared" si="18"/>
      </c>
      <c r="Z20" s="107">
        <f t="shared" si="18"/>
      </c>
      <c r="AA20" s="544">
        <f t="shared" si="18"/>
      </c>
      <c r="AB20" s="107">
        <f t="shared" si="18"/>
      </c>
      <c r="AC20" s="107">
        <f t="shared" si="18"/>
      </c>
      <c r="AD20" s="107">
        <f t="shared" si="18"/>
      </c>
      <c r="AE20" s="107">
        <f t="shared" si="18"/>
      </c>
      <c r="AF20" s="544">
        <f t="shared" si="18"/>
      </c>
      <c r="AG20" s="107">
        <f t="shared" si="18"/>
      </c>
      <c r="AH20" s="107">
        <f t="shared" si="18"/>
      </c>
      <c r="AI20" s="107">
        <f t="shared" si="18"/>
      </c>
      <c r="AJ20" s="107">
        <f t="shared" si="18"/>
      </c>
      <c r="AK20" s="544">
        <f t="shared" si="18"/>
      </c>
      <c r="AL20" s="107">
        <f t="shared" si="18"/>
      </c>
      <c r="AM20" s="107">
        <f t="shared" si="18"/>
      </c>
      <c r="AN20" s="107">
        <f t="shared" ref="AN20:BS20" si="19">IFERROR(AN15/AN31,"")</f>
      </c>
      <c r="AO20" s="107">
        <f t="shared" si="19"/>
      </c>
      <c r="AP20" s="544">
        <f t="shared" si="19"/>
      </c>
      <c r="AQ20" s="107">
        <f t="shared" si="19"/>
      </c>
      <c r="AR20" s="107">
        <f t="shared" si="19"/>
      </c>
      <c r="AS20" s="107">
        <f t="shared" si="19"/>
      </c>
      <c r="AT20" s="107">
        <f t="shared" si="19"/>
      </c>
      <c r="AU20" s="544">
        <f t="shared" si="19"/>
      </c>
      <c r="AV20" s="107">
        <f t="shared" si="19"/>
      </c>
      <c r="AW20" s="107">
        <f t="shared" si="19"/>
      </c>
      <c r="AX20" s="107">
        <f t="shared" si="19"/>
      </c>
      <c r="AY20" s="107">
        <f t="shared" si="19"/>
      </c>
      <c r="AZ20" s="544">
        <f t="shared" si="19"/>
      </c>
      <c r="BA20" s="107">
        <f t="shared" si="19"/>
      </c>
      <c r="BB20" s="107">
        <f t="shared" si="19"/>
      </c>
      <c r="BC20" s="107">
        <f t="shared" si="19"/>
      </c>
      <c r="BD20" s="107">
        <f t="shared" si="19"/>
      </c>
      <c r="BE20" s="544">
        <f t="shared" si="19"/>
      </c>
      <c r="BF20" s="107">
        <f t="shared" si="19"/>
      </c>
      <c r="BG20" s="107">
        <f t="shared" si="19"/>
      </c>
      <c r="BH20" s="107">
        <f t="shared" si="19"/>
      </c>
      <c r="BI20" s="107">
        <f t="shared" si="19"/>
      </c>
      <c r="BJ20" s="544">
        <f t="shared" si="19"/>
      </c>
      <c r="BK20" s="107">
        <f t="shared" si="19"/>
      </c>
      <c r="BL20" s="107">
        <f t="shared" si="19"/>
      </c>
      <c r="BM20" s="107">
        <f t="shared" si="19"/>
      </c>
      <c r="BN20" s="107">
        <f t="shared" si="19"/>
      </c>
      <c r="BO20" s="544">
        <f t="shared" si="19"/>
      </c>
      <c r="BP20" s="107">
        <f t="shared" si="19"/>
      </c>
      <c r="BQ20" s="107">
        <f t="shared" si="19"/>
      </c>
      <c r="BR20" s="107">
        <f t="shared" si="19"/>
      </c>
      <c r="BS20" s="107">
        <f t="shared" si="19"/>
      </c>
      <c r="BT20" s="544">
        <f t="shared" ref="BT20:CY20" si="20">IFERROR(BT15/BT31,"")</f>
      </c>
      <c r="BU20" s="107">
        <f t="shared" si="20"/>
      </c>
      <c r="BV20" s="107">
        <f t="shared" si="20"/>
      </c>
      <c r="BW20" s="107">
        <f t="shared" si="20"/>
      </c>
      <c r="BX20" s="107">
        <f t="shared" si="20"/>
      </c>
      <c r="BY20" s="544">
        <f t="shared" si="20"/>
      </c>
      <c r="BZ20" s="107">
        <f t="shared" si="20"/>
      </c>
      <c r="CA20" s="107">
        <f t="shared" si="20"/>
      </c>
      <c r="CB20" s="107">
        <f t="shared" si="20"/>
      </c>
      <c r="CC20" s="107">
        <f t="shared" si="20"/>
      </c>
      <c r="CD20" s="544">
        <f t="shared" si="20"/>
      </c>
      <c r="CE20" s="107">
        <f t="shared" si="20"/>
      </c>
      <c r="CF20" s="107">
        <f t="shared" si="20"/>
      </c>
      <c r="CG20" s="107">
        <f t="shared" si="20"/>
      </c>
      <c r="CH20" s="107">
        <f t="shared" si="20"/>
      </c>
      <c r="CI20" s="544">
        <f t="shared" si="20"/>
      </c>
      <c r="CJ20" s="107">
        <f t="shared" si="20"/>
      </c>
      <c r="CK20" s="107">
        <f t="shared" si="20"/>
      </c>
      <c r="CL20" s="107">
        <f t="shared" si="20"/>
      </c>
      <c r="CM20" s="107">
        <f t="shared" si="20"/>
      </c>
      <c r="CN20" s="544">
        <f t="shared" si="20"/>
      </c>
      <c r="CO20" s="107">
        <f t="shared" si="20"/>
      </c>
      <c r="CP20" s="107">
        <f t="shared" si="20"/>
      </c>
      <c r="CQ20" s="107">
        <f t="shared" si="20"/>
      </c>
      <c r="CR20" s="107">
        <f t="shared" si="20"/>
      </c>
      <c r="CS20" s="544">
        <f t="shared" si="20"/>
      </c>
      <c r="CT20" s="107">
        <f t="shared" si="20"/>
      </c>
      <c r="CU20" s="107">
        <f t="shared" si="20"/>
      </c>
      <c r="CV20" s="107">
        <f t="shared" si="20"/>
      </c>
      <c r="CW20" s="107">
        <f t="shared" si="20"/>
      </c>
      <c r="CX20" s="544">
        <f t="shared" si="20"/>
      </c>
      <c r="CY20" s="107">
        <f t="shared" si="20"/>
      </c>
      <c r="CZ20" s="107">
        <f t="shared" ref="CZ20:EE20" si="21">IFERROR(CZ15/CZ31,"")</f>
      </c>
      <c r="DA20" s="107">
        <f t="shared" si="21"/>
      </c>
      <c r="DB20" s="107">
        <f t="shared" si="21"/>
      </c>
      <c r="DC20" s="544">
        <f t="shared" si="21"/>
      </c>
      <c r="DD20" s="107">
        <f t="shared" si="21"/>
      </c>
      <c r="DE20" s="107">
        <f t="shared" si="21"/>
      </c>
      <c r="DF20" s="107">
        <f t="shared" si="21"/>
      </c>
      <c r="DG20" s="107">
        <f t="shared" si="21"/>
      </c>
      <c r="DH20" s="544">
        <f t="shared" si="21"/>
      </c>
      <c r="DI20" s="107">
        <f t="shared" si="21"/>
      </c>
      <c r="DJ20" s="107">
        <f t="shared" si="21"/>
      </c>
      <c r="DK20" s="107">
        <f t="shared" si="21"/>
      </c>
      <c r="DL20" s="107">
        <f t="shared" si="21"/>
      </c>
      <c r="DM20" s="544">
        <f t="shared" si="21"/>
      </c>
      <c r="DN20" s="107">
        <f t="shared" si="21"/>
      </c>
      <c r="DO20" s="107">
        <f t="shared" si="21"/>
      </c>
      <c r="DP20" s="107">
        <f t="shared" si="21"/>
      </c>
      <c r="DQ20" s="107">
        <f t="shared" si="21"/>
      </c>
      <c r="DR20" s="544">
        <f t="shared" si="21"/>
      </c>
      <c r="DS20" s="107">
        <f t="shared" si="21"/>
      </c>
      <c r="DT20" s="107">
        <f t="shared" si="21"/>
      </c>
      <c r="DU20" s="107">
        <f t="shared" si="21"/>
      </c>
      <c r="DV20" s="107">
        <f t="shared" si="21"/>
      </c>
      <c r="DW20" s="544">
        <f t="shared" si="21"/>
      </c>
      <c r="DX20" s="107">
        <f t="shared" si="21"/>
      </c>
      <c r="DY20" s="107">
        <f t="shared" si="21"/>
      </c>
      <c r="DZ20" s="107">
        <f t="shared" si="21"/>
      </c>
      <c r="EA20" s="107">
        <f t="shared" si="21"/>
      </c>
      <c r="EB20" s="544">
        <f t="shared" si="21"/>
      </c>
      <c r="EC20" s="107">
        <f t="shared" si="21"/>
      </c>
      <c r="ED20" s="107">
        <f t="shared" si="21"/>
      </c>
      <c r="EE20" s="107">
        <f t="shared" si="21"/>
      </c>
      <c r="EF20" s="107">
        <f t="shared" ref="EF20:ER20" si="22">IFERROR(EF15/EF31,"")</f>
      </c>
      <c r="EG20" s="544">
        <f t="shared" si="22"/>
      </c>
      <c r="EH20" s="107">
        <f t="shared" si="22"/>
      </c>
      <c r="EI20" s="107">
        <f t="shared" si="22"/>
      </c>
      <c r="EJ20" s="107">
        <f t="shared" si="22"/>
      </c>
      <c r="EK20" s="107">
        <f t="shared" si="22"/>
      </c>
      <c r="EL20" s="544">
        <f t="shared" si="22"/>
      </c>
      <c r="EM20" s="107">
        <f t="shared" si="22"/>
      </c>
      <c r="EN20" s="107">
        <f t="shared" si="22"/>
      </c>
      <c r="EO20" s="107">
        <f t="shared" si="22"/>
      </c>
      <c r="EP20" s="107">
        <f t="shared" si="22"/>
      </c>
      <c r="EQ20" s="544">
        <f t="shared" si="22"/>
      </c>
      <c r="ER20" s="107">
        <f t="shared" si="22"/>
      </c>
      <c r="ES20" s="107">
        <f>IFERROR(ES15/ES31,"")</f>
      </c>
      <c r="ET20" s="107">
        <f>IFERROR(ET15/ET31,"")</f>
      </c>
      <c r="EU20" s="107">
        <f>IFERROR(EU15/EU31,"")</f>
      </c>
      <c r="EV20" s="544">
        <f>IFERROR(EV15/EV31,"")</f>
      </c>
      <c r="EW20" s="107">
        <f t="shared" ref="EW20" si="23">IFERROR(EW15/EW31,"")</f>
      </c>
      <c r="EX20" s="107">
        <f>IFERROR(EX15/EX31,"")</f>
      </c>
      <c r="EY20" s="107">
        <f>IFERROR(EY15/EY31,"")</f>
      </c>
      <c r="EZ20" s="107">
        <f>IFERROR(EZ15/EZ31,"")</f>
      </c>
      <c r="FA20" s="544">
        <f>IFERROR(FA15/FA31,"")</f>
      </c>
      <c r="FB20" s="114">
        <f>EZ20</f>
      </c>
      <c r="FC20" s="114">
        <f t="shared" ref="FC20:FE20" si="24">FB20</f>
      </c>
      <c r="FD20" s="114">
        <f t="shared" si="24"/>
      </c>
      <c r="FE20" s="114">
        <f t="shared" si="24"/>
      </c>
      <c r="FF20" s="544">
        <f>IFERROR(FF15/FF31,"")</f>
      </c>
      <c r="FG20" s="114">
        <f>FE20</f>
      </c>
      <c r="FH20" s="114">
        <f t="shared" ref="FH20:FJ20" si="25">FG20</f>
      </c>
      <c r="FI20" s="114">
        <f t="shared" si="25"/>
      </c>
      <c r="FJ20" s="114">
        <f t="shared" si="25"/>
      </c>
      <c r="FK20" s="544">
        <f>IFERROR(FK15/FK31,"")</f>
      </c>
      <c r="FL20" s="114">
        <f>FJ20</f>
      </c>
      <c r="FM20" s="114">
        <f t="shared" ref="FM20:FO20" si="26">FL20</f>
      </c>
      <c r="FN20" s="114">
        <f t="shared" si="26"/>
      </c>
      <c r="FO20" s="114">
        <f t="shared" si="26"/>
      </c>
      <c r="FP20" s="544">
        <f>IFERROR(FP15/FP31,"")</f>
      </c>
      <c r="FQ20" s="114">
        <f>FO20</f>
      </c>
      <c r="FR20" s="114">
        <f t="shared" ref="FR20:FT20" si="27">FQ20</f>
      </c>
      <c r="FS20" s="114">
        <f t="shared" si="27"/>
      </c>
      <c r="FT20" s="114">
        <f t="shared" si="27"/>
      </c>
      <c r="FU20" s="544">
        <f>IFERROR(FU15/FU31,"")</f>
      </c>
      <c r="FV20" s="114">
        <f>FT20</f>
      </c>
      <c r="FW20" s="114">
        <f t="shared" ref="FW20:FY20" si="28">FV20</f>
      </c>
      <c r="FX20" s="114">
        <f t="shared" si="28"/>
      </c>
      <c r="FY20" s="114">
        <f t="shared" si="28"/>
      </c>
      <c r="FZ20" s="544">
        <f>IFERROR(FZ15/FZ31,"")</f>
      </c>
      <c r="GA20" s="114">
        <f>FY20</f>
      </c>
      <c r="GB20" s="114">
        <f t="shared" ref="GB20:GD20" si="29">GA20</f>
      </c>
      <c r="GC20" s="114">
        <f t="shared" si="29"/>
      </c>
      <c r="GD20" s="114">
        <f t="shared" si="29"/>
      </c>
      <c r="GE20" s="544">
        <f>IFERROR(GE15/GE31,"")</f>
      </c>
    </row>
    <row r="21" spans="1:187" s="537" customFormat="1" ht="12.75" customHeight="1" outlineLevel="1">
      <c r="A21" s="81"/>
      <c r="B21" s="724" t="s">
        <v>257</v>
      </c>
      <c r="C21" s="107">
        <f t="shared" ref="C21:H21" si="30">IFERROR(C15/C$10,"")</f>
      </c>
      <c r="D21" s="107">
        <f t="shared" si="30"/>
      </c>
      <c r="E21" s="107">
        <f t="shared" si="30"/>
      </c>
      <c r="F21" s="107">
        <f t="shared" si="30"/>
      </c>
      <c r="G21" s="544">
        <f t="shared" si="30"/>
      </c>
      <c r="H21" s="107">
        <f t="shared" si="30"/>
      </c>
      <c r="I21" s="107">
        <f t="shared" ref="I21:BT21" si="31">IFERROR(I15/I$10,"")</f>
      </c>
      <c r="J21" s="107">
        <f t="shared" si="31"/>
      </c>
      <c r="K21" s="107">
        <f t="shared" si="31"/>
      </c>
      <c r="L21" s="544">
        <f t="shared" si="31"/>
      </c>
      <c r="M21" s="107">
        <f>IFERROR(M15/M$10,"")</f>
      </c>
      <c r="N21" s="107">
        <f t="shared" si="31"/>
      </c>
      <c r="O21" s="107">
        <f t="shared" si="31"/>
      </c>
      <c r="P21" s="107">
        <f t="shared" si="31"/>
      </c>
      <c r="Q21" s="544">
        <f t="shared" si="31"/>
      </c>
      <c r="R21" s="107">
        <f>IFERROR(R15/R$10,"")</f>
      </c>
      <c r="S21" s="107">
        <f t="shared" si="31"/>
      </c>
      <c r="T21" s="107">
        <f t="shared" si="31"/>
      </c>
      <c r="U21" s="107">
        <f t="shared" si="31"/>
      </c>
      <c r="V21" s="544">
        <f t="shared" si="31"/>
      </c>
      <c r="W21" s="107">
        <f>IFERROR(W15/W$10,"")</f>
      </c>
      <c r="X21" s="107">
        <f t="shared" si="31"/>
      </c>
      <c r="Y21" s="107">
        <f t="shared" si="31"/>
      </c>
      <c r="Z21" s="107">
        <f t="shared" si="31"/>
      </c>
      <c r="AA21" s="544">
        <f t="shared" si="31"/>
      </c>
      <c r="AB21" s="107">
        <f>IFERROR(AB15/AB$10,"")</f>
      </c>
      <c r="AC21" s="107">
        <f t="shared" si="31"/>
      </c>
      <c r="AD21" s="107">
        <f t="shared" si="31"/>
      </c>
      <c r="AE21" s="107">
        <f t="shared" si="31"/>
      </c>
      <c r="AF21" s="544">
        <f t="shared" si="31"/>
      </c>
      <c r="AG21" s="107">
        <f>IFERROR(AG15/AG$10,"")</f>
      </c>
      <c r="AH21" s="107">
        <f t="shared" si="31"/>
      </c>
      <c r="AI21" s="107">
        <f t="shared" si="31"/>
      </c>
      <c r="AJ21" s="107">
        <f t="shared" si="31"/>
      </c>
      <c r="AK21" s="544">
        <f t="shared" si="31"/>
      </c>
      <c r="AL21" s="107">
        <f>IFERROR(AL15/AL$10,"")</f>
      </c>
      <c r="AM21" s="107">
        <f t="shared" si="31"/>
      </c>
      <c r="AN21" s="107">
        <f t="shared" si="31"/>
      </c>
      <c r="AO21" s="107">
        <f t="shared" si="31"/>
      </c>
      <c r="AP21" s="544">
        <f t="shared" si="31"/>
      </c>
      <c r="AQ21" s="107">
        <f>IFERROR(AQ15/AQ$10,"")</f>
      </c>
      <c r="AR21" s="107">
        <f t="shared" si="31"/>
      </c>
      <c r="AS21" s="107">
        <f t="shared" si="31"/>
      </c>
      <c r="AT21" s="107">
        <f t="shared" si="31"/>
      </c>
      <c r="AU21" s="544">
        <f t="shared" si="31"/>
      </c>
      <c r="AV21" s="107">
        <f>IFERROR(AV15/AV$10,"")</f>
      </c>
      <c r="AW21" s="107">
        <f t="shared" si="31"/>
      </c>
      <c r="AX21" s="107">
        <f t="shared" si="31"/>
      </c>
      <c r="AY21" s="107">
        <f t="shared" si="31"/>
      </c>
      <c r="AZ21" s="544">
        <f t="shared" si="31"/>
      </c>
      <c r="BA21" s="107">
        <f>IFERROR(BA15/BA$10,"")</f>
      </c>
      <c r="BB21" s="107">
        <f t="shared" si="31"/>
      </c>
      <c r="BC21" s="107">
        <f t="shared" si="31"/>
      </c>
      <c r="BD21" s="107">
        <f t="shared" si="31"/>
      </c>
      <c r="BE21" s="544">
        <f t="shared" si="31"/>
      </c>
      <c r="BF21" s="107">
        <f>IFERROR(BF15/BF$10,"")</f>
      </c>
      <c r="BG21" s="107">
        <f t="shared" si="31"/>
      </c>
      <c r="BH21" s="107">
        <f t="shared" si="31"/>
      </c>
      <c r="BI21" s="107">
        <f t="shared" si="31"/>
      </c>
      <c r="BJ21" s="544">
        <f t="shared" si="31"/>
      </c>
      <c r="BK21" s="107">
        <f>IFERROR(BK15/BK$10,"")</f>
      </c>
      <c r="BL21" s="107">
        <f t="shared" si="31"/>
      </c>
      <c r="BM21" s="107">
        <f t="shared" si="31"/>
      </c>
      <c r="BN21" s="107">
        <f t="shared" si="31"/>
      </c>
      <c r="BO21" s="544">
        <f t="shared" si="31"/>
      </c>
      <c r="BP21" s="107">
        <f>IFERROR(BP15/BP$10,"")</f>
      </c>
      <c r="BQ21" s="107">
        <f t="shared" si="31"/>
      </c>
      <c r="BR21" s="107">
        <f t="shared" si="31"/>
      </c>
      <c r="BS21" s="107">
        <f t="shared" si="31"/>
      </c>
      <c r="BT21" s="544">
        <f t="shared" si="31"/>
      </c>
      <c r="BU21" s="107">
        <f>IFERROR(BU15/BU$10,"")</f>
      </c>
      <c r="BV21" s="107">
        <f t="shared" ref="BV21:CD21" si="32">IFERROR(BV15/BV$10,"")</f>
      </c>
      <c r="BW21" s="107">
        <f t="shared" si="32"/>
      </c>
      <c r="BX21" s="107">
        <f t="shared" si="32"/>
      </c>
      <c r="BY21" s="544">
        <f t="shared" si="32"/>
      </c>
      <c r="BZ21" s="107">
        <f>IFERROR(BZ15/BZ$10,"")</f>
      </c>
      <c r="CA21" s="107">
        <f t="shared" si="32"/>
      </c>
      <c r="CB21" s="107">
        <f t="shared" si="32"/>
      </c>
      <c r="CC21" s="107">
        <f t="shared" si="32"/>
      </c>
      <c r="CD21" s="544">
        <f t="shared" si="32"/>
      </c>
      <c r="CE21" s="107">
        <f>IFERROR(CE15/CE$10,"")</f>
      </c>
      <c r="CF21" s="107">
        <f t="shared" ref="CF21:DC21" si="33">IFERROR(CF15/CF$10,"")</f>
      </c>
      <c r="CG21" s="107">
        <f t="shared" si="33"/>
      </c>
      <c r="CH21" s="107">
        <f t="shared" si="33"/>
      </c>
      <c r="CI21" s="544">
        <f t="shared" si="33"/>
      </c>
      <c r="CJ21" s="107">
        <f>IFERROR(CJ15/CJ$10,"")</f>
      </c>
      <c r="CK21" s="107">
        <f t="shared" si="33"/>
      </c>
      <c r="CL21" s="107">
        <f t="shared" si="33"/>
      </c>
      <c r="CM21" s="107">
        <f t="shared" si="33"/>
      </c>
      <c r="CN21" s="544">
        <f t="shared" si="33"/>
      </c>
      <c r="CO21" s="107">
        <f>IFERROR(CO15/CO$10,"")</f>
      </c>
      <c r="CP21" s="107">
        <f t="shared" si="33"/>
      </c>
      <c r="CQ21" s="107">
        <f t="shared" si="33"/>
      </c>
      <c r="CR21" s="107">
        <f t="shared" si="33"/>
      </c>
      <c r="CS21" s="544">
        <f t="shared" si="33"/>
      </c>
      <c r="CT21" s="107">
        <f>IFERROR(CT15/CT$10,"")</f>
      </c>
      <c r="CU21" s="107">
        <f t="shared" si="33"/>
      </c>
      <c r="CV21" s="107">
        <f t="shared" si="33"/>
      </c>
      <c r="CW21" s="107">
        <f t="shared" si="33"/>
      </c>
      <c r="CX21" s="544">
        <f t="shared" si="33"/>
      </c>
      <c r="CY21" s="107">
        <f>IFERROR(CY15/CY$10,"")</f>
      </c>
      <c r="CZ21" s="107">
        <f t="shared" si="33"/>
      </c>
      <c r="DA21" s="107">
        <f t="shared" si="33"/>
      </c>
      <c r="DB21" s="107">
        <f t="shared" si="33"/>
      </c>
      <c r="DC21" s="544">
        <f t="shared" si="33"/>
      </c>
      <c r="DD21" s="107">
        <f>IFERROR(DD15/DD$10,"")</f>
      </c>
      <c r="DE21" s="107">
        <f t="shared" ref="DE21:EQ21" si="34">IFERROR(DE15/DE$10,"")</f>
      </c>
      <c r="DF21" s="107">
        <f t="shared" si="34"/>
      </c>
      <c r="DG21" s="107">
        <f t="shared" si="34"/>
      </c>
      <c r="DH21" s="544">
        <f t="shared" si="34"/>
      </c>
      <c r="DI21" s="107">
        <f>IFERROR(DI15/DI$10,"")</f>
      </c>
      <c r="DJ21" s="107">
        <f t="shared" si="34"/>
      </c>
      <c r="DK21" s="107">
        <f t="shared" si="34"/>
      </c>
      <c r="DL21" s="107">
        <f t="shared" si="34"/>
      </c>
      <c r="DM21" s="544">
        <f t="shared" si="34"/>
      </c>
      <c r="DN21" s="107">
        <f>IFERROR(DN15/DN$10,"")</f>
      </c>
      <c r="DO21" s="107">
        <f t="shared" si="34"/>
      </c>
      <c r="DP21" s="107">
        <f t="shared" si="34"/>
      </c>
      <c r="DQ21" s="107">
        <f t="shared" si="34"/>
      </c>
      <c r="DR21" s="544">
        <f t="shared" si="34"/>
      </c>
      <c r="DS21" s="107">
        <f>IFERROR(DS15/DS$10,"")</f>
      </c>
      <c r="DT21" s="107">
        <f t="shared" si="34"/>
      </c>
      <c r="DU21" s="107">
        <f t="shared" si="34"/>
      </c>
      <c r="DV21" s="107">
        <f t="shared" si="34"/>
      </c>
      <c r="DW21" s="544">
        <f t="shared" si="34"/>
      </c>
      <c r="DX21" s="107">
        <f>IFERROR(DX15/DX$10,"")</f>
      </c>
      <c r="DY21" s="107">
        <f t="shared" si="34"/>
      </c>
      <c r="DZ21" s="107">
        <f t="shared" si="34"/>
      </c>
      <c r="EA21" s="107">
        <f t="shared" si="34"/>
      </c>
      <c r="EB21" s="544">
        <f t="shared" si="34"/>
      </c>
      <c r="EC21" s="107">
        <f>IFERROR(EC15/EC$10,"")</f>
      </c>
      <c r="ED21" s="107">
        <f t="shared" si="34"/>
      </c>
      <c r="EE21" s="107">
        <f t="shared" si="34"/>
      </c>
      <c r="EF21" s="107">
        <f t="shared" si="34"/>
      </c>
      <c r="EG21" s="544">
        <f t="shared" si="34"/>
      </c>
      <c r="EH21" s="107">
        <f>IFERROR(EH15/EH$10,"")</f>
      </c>
      <c r="EI21" s="107">
        <f t="shared" si="34"/>
      </c>
      <c r="EJ21" s="107">
        <f t="shared" si="34"/>
      </c>
      <c r="EK21" s="107">
        <f t="shared" si="34"/>
      </c>
      <c r="EL21" s="544">
        <f t="shared" si="34"/>
      </c>
      <c r="EM21" s="107">
        <f>IFERROR(EM15/EM$10,"")</f>
      </c>
      <c r="EN21" s="107">
        <f t="shared" si="34"/>
      </c>
      <c r="EO21" s="107">
        <f t="shared" si="34"/>
      </c>
      <c r="EP21" s="107">
        <f t="shared" si="34"/>
      </c>
      <c r="EQ21" s="544">
        <f t="shared" si="34"/>
      </c>
      <c r="ER21" s="107">
        <f t="shared" ref="ER21:EV21" si="35">IFERROR(ER15/ER$10,"")</f>
      </c>
      <c r="ES21" s="107">
        <f t="shared" si="35"/>
      </c>
      <c r="ET21" s="107">
        <f t="shared" si="35"/>
      </c>
      <c r="EU21" s="107">
        <f t="shared" si="35"/>
      </c>
      <c r="EV21" s="544">
        <f t="shared" si="35"/>
      </c>
      <c r="EW21" s="107">
        <f t="shared" ref="EW21:FA21" si="36">IFERROR(EW15/EW$10,"")</f>
      </c>
      <c r="EX21" s="107">
        <f t="shared" si="36"/>
      </c>
      <c r="EY21" s="107">
        <f t="shared" si="36"/>
      </c>
      <c r="EZ21" s="107">
        <f t="shared" si="36"/>
      </c>
      <c r="FA21" s="544">
        <f t="shared" si="36"/>
      </c>
      <c r="FB21" s="107">
        <f t="shared" ref="FB21:FZ21" si="37">IFERROR(FB15/FB$10,"")</f>
      </c>
      <c r="FC21" s="107">
        <f t="shared" si="37"/>
      </c>
      <c r="FD21" s="107">
        <f t="shared" si="37"/>
      </c>
      <c r="FE21" s="107">
        <f t="shared" si="37"/>
      </c>
      <c r="FF21" s="544">
        <f t="shared" si="37"/>
      </c>
      <c r="FG21" s="107">
        <f t="shared" si="37"/>
      </c>
      <c r="FH21" s="107">
        <f t="shared" si="37"/>
      </c>
      <c r="FI21" s="107">
        <f t="shared" si="37"/>
      </c>
      <c r="FJ21" s="107">
        <f t="shared" si="37"/>
      </c>
      <c r="FK21" s="544">
        <f t="shared" si="37"/>
      </c>
      <c r="FL21" s="107">
        <f t="shared" si="37"/>
      </c>
      <c r="FM21" s="107">
        <f t="shared" si="37"/>
      </c>
      <c r="FN21" s="107">
        <f t="shared" si="37"/>
      </c>
      <c r="FO21" s="107">
        <f t="shared" si="37"/>
      </c>
      <c r="FP21" s="544">
        <f t="shared" si="37"/>
      </c>
      <c r="FQ21" s="107">
        <f t="shared" si="37"/>
      </c>
      <c r="FR21" s="107">
        <f t="shared" si="37"/>
      </c>
      <c r="FS21" s="107">
        <f t="shared" si="37"/>
      </c>
      <c r="FT21" s="107">
        <f t="shared" si="37"/>
      </c>
      <c r="FU21" s="544">
        <f t="shared" si="37"/>
      </c>
      <c r="FV21" s="107">
        <f t="shared" si="37"/>
      </c>
      <c r="FW21" s="107">
        <f t="shared" si="37"/>
      </c>
      <c r="FX21" s="107">
        <f t="shared" si="37"/>
      </c>
      <c r="FY21" s="107">
        <f t="shared" si="37"/>
      </c>
      <c r="FZ21" s="544">
        <f t="shared" si="37"/>
      </c>
      <c r="GA21" s="107">
        <f>IFERROR(GA15/GA$10,"")</f>
      </c>
      <c r="GB21" s="107">
        <f>IFERROR(GB15/GB$10,"")</f>
      </c>
      <c r="GC21" s="107">
        <f>IFERROR(GC15/GC$10,"")</f>
      </c>
      <c r="GD21" s="107">
        <f>IFERROR(GD15/GD$10,"")</f>
      </c>
      <c r="GE21" s="544">
        <f>IFERROR(GE15/GE$10,"")</f>
      </c>
    </row>
    <row r="22" spans="1:187" s="542" customFormat="1" ht="12.75" customHeight="1" outlineLevel="1">
      <c r="A22" s="68"/>
      <c r="B22" s="719"/>
      <c r="C22" s="98"/>
      <c r="D22" s="98"/>
      <c r="E22" s="98"/>
      <c r="F22" s="98"/>
      <c r="G22" s="99"/>
      <c r="H22" s="98"/>
      <c r="I22" s="98"/>
      <c r="J22" s="98"/>
      <c r="K22" s="98"/>
      <c r="L22" s="99"/>
      <c r="M22" s="541"/>
      <c r="N22" s="541"/>
      <c r="O22" s="541"/>
      <c r="P22" s="541"/>
      <c r="Q22" s="99"/>
      <c r="R22" s="541"/>
      <c r="S22" s="541"/>
      <c r="T22" s="541"/>
      <c r="U22" s="541"/>
      <c r="V22" s="99"/>
      <c r="W22" s="541"/>
      <c r="X22" s="541"/>
      <c r="Y22" s="541"/>
      <c r="Z22" s="541"/>
      <c r="AA22" s="99"/>
      <c r="AB22" s="541"/>
      <c r="AC22" s="541"/>
      <c r="AD22" s="541"/>
      <c r="AE22" s="541"/>
      <c r="AF22" s="99"/>
      <c r="AG22" s="541"/>
      <c r="AH22" s="541"/>
      <c r="AI22" s="541"/>
      <c r="AJ22" s="541"/>
      <c r="AK22" s="99"/>
      <c r="AL22" s="541"/>
      <c r="AM22" s="541"/>
      <c r="AN22" s="541"/>
      <c r="AO22" s="541"/>
      <c r="AP22" s="99"/>
      <c r="AQ22" s="541"/>
      <c r="AR22" s="541"/>
      <c r="AS22" s="541"/>
      <c r="AT22" s="541"/>
      <c r="AU22" s="99"/>
      <c r="AV22" s="541"/>
      <c r="AW22" s="541"/>
      <c r="AX22" s="541"/>
      <c r="AY22" s="541"/>
      <c r="AZ22" s="99"/>
      <c r="BA22" s="541"/>
      <c r="BB22" s="541"/>
      <c r="BC22" s="541"/>
      <c r="BD22" s="541"/>
      <c r="BE22" s="99"/>
      <c r="BF22" s="541"/>
      <c r="BG22" s="541"/>
      <c r="BH22" s="541"/>
      <c r="BI22" s="541"/>
      <c r="BJ22" s="99"/>
      <c r="BK22" s="541"/>
      <c r="BL22" s="541"/>
      <c r="BM22" s="541"/>
      <c r="BN22" s="541"/>
      <c r="BO22" s="99"/>
      <c r="BP22" s="541"/>
      <c r="BQ22" s="541"/>
      <c r="BR22" s="541"/>
      <c r="BS22" s="541"/>
      <c r="BT22" s="99"/>
      <c r="BU22" s="541"/>
      <c r="BV22" s="541"/>
      <c r="BW22" s="541"/>
      <c r="BX22" s="541"/>
      <c r="BY22" s="99"/>
      <c r="BZ22" s="541"/>
      <c r="CA22" s="541"/>
      <c r="CB22" s="541"/>
      <c r="CC22" s="541"/>
      <c r="CD22" s="99"/>
      <c r="CE22" s="541"/>
      <c r="CF22" s="541"/>
      <c r="CG22" s="541"/>
      <c r="CH22" s="541"/>
      <c r="CI22" s="99"/>
      <c r="CJ22" s="541"/>
      <c r="CK22" s="541"/>
      <c r="CL22" s="541"/>
      <c r="CM22" s="541"/>
      <c r="CN22" s="99"/>
      <c r="CO22" s="541"/>
      <c r="CP22" s="541"/>
      <c r="CQ22" s="541"/>
      <c r="CR22" s="541"/>
      <c r="CS22" s="99"/>
      <c r="CT22" s="541"/>
      <c r="CU22" s="541"/>
      <c r="CV22" s="541"/>
      <c r="CW22" s="541"/>
      <c r="CX22" s="99"/>
      <c r="CY22" s="541"/>
      <c r="CZ22" s="541"/>
      <c r="DA22" s="541"/>
      <c r="DB22" s="541"/>
      <c r="DC22" s="99"/>
      <c r="DD22" s="541"/>
      <c r="DE22" s="541"/>
      <c r="DF22" s="541"/>
      <c r="DG22" s="541"/>
      <c r="DH22" s="99"/>
      <c r="DI22" s="541"/>
      <c r="DJ22" s="541"/>
      <c r="DK22" s="541"/>
      <c r="DL22" s="541"/>
      <c r="DM22" s="99"/>
      <c r="DN22" s="541"/>
      <c r="DO22" s="541"/>
      <c r="DP22" s="541"/>
      <c r="DQ22" s="541"/>
      <c r="DR22" s="99"/>
      <c r="DS22" s="541"/>
      <c r="DT22" s="541"/>
      <c r="DU22" s="541"/>
      <c r="DV22" s="541"/>
      <c r="DW22" s="99"/>
      <c r="DX22" s="541"/>
      <c r="DY22" s="541"/>
      <c r="DZ22" s="541"/>
      <c r="EA22" s="541"/>
      <c r="EB22" s="99"/>
      <c r="EC22" s="541"/>
      <c r="ED22" s="541"/>
      <c r="EE22" s="541"/>
      <c r="EF22" s="541"/>
      <c r="EG22" s="99"/>
      <c r="EH22" s="541"/>
      <c r="EI22" s="541"/>
      <c r="EJ22" s="541"/>
      <c r="EK22" s="541"/>
      <c r="EL22" s="99"/>
      <c r="EM22" s="541"/>
      <c r="EN22" s="541"/>
      <c r="EO22" s="541"/>
      <c r="EP22" s="541"/>
      <c r="EQ22" s="99"/>
      <c r="ER22" s="541"/>
      <c r="ES22" s="541"/>
      <c r="ET22" s="541"/>
      <c r="EU22" s="541"/>
      <c r="EV22" s="99"/>
      <c r="EW22" s="541"/>
      <c r="EX22" s="541"/>
      <c r="EY22" s="541"/>
      <c r="EZ22" s="541"/>
      <c r="FA22" s="99"/>
      <c r="FB22" s="541"/>
      <c r="FC22" s="541"/>
      <c r="FD22" s="541"/>
      <c r="FE22" s="541"/>
      <c r="FF22" s="99"/>
      <c r="FG22" s="541"/>
      <c r="FH22" s="541"/>
      <c r="FI22" s="541"/>
      <c r="FJ22" s="541"/>
      <c r="FK22" s="99"/>
      <c r="FL22" s="541"/>
      <c r="FM22" s="541"/>
      <c r="FN22" s="541"/>
      <c r="FO22" s="541"/>
      <c r="FP22" s="99"/>
      <c r="FQ22" s="541"/>
      <c r="FR22" s="541"/>
      <c r="FS22" s="541"/>
      <c r="FT22" s="541"/>
      <c r="FU22" s="99"/>
      <c r="FV22" s="541"/>
      <c r="FW22" s="541"/>
      <c r="FX22" s="541"/>
      <c r="FY22" s="541"/>
      <c r="FZ22" s="99"/>
      <c r="GA22" s="541"/>
      <c r="GB22" s="541"/>
      <c r="GC22" s="541"/>
      <c r="GD22" s="541"/>
      <c r="GE22" s="99"/>
    </row>
    <row r="23" spans="1:187" s="277" customFormat="1" ht="12.75" customHeight="1" outlineLevel="1">
      <c r="A23" s="274"/>
      <c r="B23" s="723" t="s">
        <v>271</v>
      </c>
      <c r="C23" s="604">
        <f>BS!C40</f>
      </c>
      <c r="D23" s="604">
        <f>BS!D40</f>
      </c>
      <c r="E23" s="604">
        <f>BS!E40</f>
      </c>
      <c r="F23" s="604">
        <f>BS!F40</f>
      </c>
      <c r="G23" s="605">
        <f>BS!G40</f>
      </c>
      <c r="H23" s="604">
        <f>BS!H40</f>
      </c>
      <c r="I23" s="604">
        <f>BS!I40</f>
      </c>
      <c r="J23" s="604">
        <f>BS!J40</f>
      </c>
      <c r="K23" s="604">
        <f>BS!K40</f>
      </c>
      <c r="L23" s="605">
        <f>BS!L40</f>
      </c>
      <c r="M23" s="604">
        <f>BS!M40</f>
      </c>
      <c r="N23" s="604">
        <f>BS!N40</f>
      </c>
      <c r="O23" s="604">
        <f>BS!O40</f>
      </c>
      <c r="P23" s="604">
        <f>BS!P40</f>
      </c>
      <c r="Q23" s="605">
        <f>BS!Q40</f>
      </c>
      <c r="R23" s="604">
        <f>BS!R40</f>
      </c>
      <c r="S23" s="604">
        <f>BS!S40</f>
      </c>
      <c r="T23" s="604">
        <f>BS!T40</f>
      </c>
      <c r="U23" s="604">
        <f>BS!U40</f>
      </c>
      <c r="V23" s="605">
        <f>BS!V40</f>
      </c>
      <c r="W23" s="604">
        <f>BS!W40</f>
      </c>
      <c r="X23" s="604">
        <f>BS!X40</f>
      </c>
      <c r="Y23" s="604">
        <f>BS!Y40</f>
      </c>
      <c r="Z23" s="604">
        <f>BS!Z40</f>
      </c>
      <c r="AA23" s="605">
        <f>BS!AA40</f>
      </c>
      <c r="AB23" s="604">
        <f>BS!AB40</f>
      </c>
      <c r="AC23" s="604">
        <f>BS!AC40</f>
      </c>
      <c r="AD23" s="604">
        <f>BS!AD40</f>
      </c>
      <c r="AE23" s="604">
        <f>BS!AE40</f>
      </c>
      <c r="AF23" s="605">
        <f>BS!AF40</f>
      </c>
      <c r="AG23" s="604">
        <f>BS!AG40</f>
      </c>
      <c r="AH23" s="604">
        <f>BS!AH40</f>
      </c>
      <c r="AI23" s="604">
        <f>BS!AI40</f>
      </c>
      <c r="AJ23" s="604">
        <f>BS!AJ40</f>
      </c>
      <c r="AK23" s="605">
        <f>BS!AK40</f>
      </c>
      <c r="AL23" s="604">
        <f>BS!AL40</f>
      </c>
      <c r="AM23" s="604">
        <f>BS!AM40</f>
      </c>
      <c r="AN23" s="604">
        <f>BS!AN40</f>
      </c>
      <c r="AO23" s="604">
        <f>BS!AO40</f>
      </c>
      <c r="AP23" s="605">
        <f>BS!AP40</f>
      </c>
      <c r="AQ23" s="604">
        <f>BS!AQ40</f>
      </c>
      <c r="AR23" s="604">
        <f>BS!AR40</f>
      </c>
      <c r="AS23" s="604">
        <f>BS!AS40</f>
      </c>
      <c r="AT23" s="604">
        <f>BS!AT40</f>
      </c>
      <c r="AU23" s="605">
        <f>BS!AU40</f>
      </c>
      <c r="AV23" s="604">
        <f>BS!AV40</f>
      </c>
      <c r="AW23" s="604">
        <f>BS!AW40</f>
      </c>
      <c r="AX23" s="604">
        <f>BS!AX40</f>
      </c>
      <c r="AY23" s="604">
        <f>BS!AY40</f>
      </c>
      <c r="AZ23" s="605">
        <f>BS!AZ40</f>
      </c>
      <c r="BA23" s="604">
        <f>BS!BA40</f>
      </c>
      <c r="BB23" s="604">
        <f>BS!BB40</f>
      </c>
      <c r="BC23" s="604">
        <f>BS!BC40</f>
      </c>
      <c r="BD23" s="604">
        <f>BS!BD40</f>
      </c>
      <c r="BE23" s="605">
        <f>BS!BE40</f>
      </c>
      <c r="BF23" s="604">
        <f>BS!BF40</f>
      </c>
      <c r="BG23" s="604">
        <f>BS!BG40</f>
      </c>
      <c r="BH23" s="604">
        <f>BS!BH40</f>
      </c>
      <c r="BI23" s="604">
        <f>BS!BI40</f>
      </c>
      <c r="BJ23" s="605">
        <f>BS!BJ40</f>
      </c>
      <c r="BK23" s="604">
        <f>BS!BK40</f>
      </c>
      <c r="BL23" s="604">
        <f>BS!BL40</f>
      </c>
      <c r="BM23" s="604">
        <f>BS!BM40</f>
      </c>
      <c r="BN23" s="604">
        <f>BS!BN40</f>
      </c>
      <c r="BO23" s="605">
        <f>BS!BO40</f>
      </c>
      <c r="BP23" s="604">
        <f>BS!BP40</f>
      </c>
      <c r="BQ23" s="604">
        <f>BS!BQ40</f>
      </c>
      <c r="BR23" s="604">
        <f>BS!BR40</f>
      </c>
      <c r="BS23" s="604">
        <f>BS!BS40</f>
      </c>
      <c r="BT23" s="605">
        <f>BS!BT40</f>
      </c>
      <c r="BU23" s="604">
        <f>BS!BU40</f>
      </c>
      <c r="BV23" s="604">
        <f>BS!BV40</f>
      </c>
      <c r="BW23" s="604">
        <f>BS!BW40</f>
      </c>
      <c r="BX23" s="604">
        <f>BS!BX40</f>
      </c>
      <c r="BY23" s="605">
        <f>BS!BY40</f>
      </c>
      <c r="BZ23" s="604">
        <f>BS!BZ40</f>
      </c>
      <c r="CA23" s="604">
        <f>BS!CA40</f>
      </c>
      <c r="CB23" s="604">
        <f>BS!CB40</f>
      </c>
      <c r="CC23" s="604">
        <f>BS!CC40</f>
      </c>
      <c r="CD23" s="605">
        <f>BS!CD40</f>
      </c>
      <c r="CE23" s="604">
        <f>BS!CE40</f>
      </c>
      <c r="CF23" s="604">
        <f>BS!CF40</f>
      </c>
      <c r="CG23" s="604">
        <f>BS!CG40</f>
      </c>
      <c r="CH23" s="604">
        <f>BS!CH40</f>
      </c>
      <c r="CI23" s="605">
        <f>BS!CI40</f>
      </c>
      <c r="CJ23" s="604">
        <f>BS!CJ40</f>
      </c>
      <c r="CK23" s="604">
        <f>BS!CK40</f>
      </c>
      <c r="CL23" s="604">
        <f>BS!CL40</f>
      </c>
      <c r="CM23" s="604">
        <f>BS!CM40</f>
      </c>
      <c r="CN23" s="605">
        <f>BS!CN40</f>
      </c>
      <c r="CO23" s="604">
        <f>BS!CO40</f>
      </c>
      <c r="CP23" s="604">
        <f>BS!CP40</f>
      </c>
      <c r="CQ23" s="604">
        <f>BS!CQ40</f>
      </c>
      <c r="CR23" s="604">
        <f>BS!CR40</f>
      </c>
      <c r="CS23" s="605">
        <f>BS!CS40</f>
      </c>
      <c r="CT23" s="604">
        <f>BS!CT40</f>
      </c>
      <c r="CU23" s="604">
        <f>BS!CU40</f>
      </c>
      <c r="CV23" s="604">
        <f>BS!CV40</f>
      </c>
      <c r="CW23" s="604">
        <f>BS!CW40</f>
      </c>
      <c r="CX23" s="605">
        <f>BS!CX40</f>
      </c>
      <c r="CY23" s="604">
        <f>BS!CY40</f>
      </c>
      <c r="CZ23" s="604">
        <f>BS!CZ40</f>
      </c>
      <c r="DA23" s="604">
        <f>BS!DA40</f>
      </c>
      <c r="DB23" s="604">
        <f>BS!DB40</f>
      </c>
      <c r="DC23" s="605">
        <f>BS!DC40</f>
      </c>
      <c r="DD23" s="604">
        <f>BS!DD40</f>
      </c>
      <c r="DE23" s="604">
        <f>BS!DE40</f>
      </c>
      <c r="DF23" s="604">
        <f>BS!DF40</f>
      </c>
      <c r="DG23" s="604">
        <f>BS!DG40</f>
      </c>
      <c r="DH23" s="605">
        <f>BS!DH40</f>
      </c>
      <c r="DI23" s="604">
        <f>BS!DI40</f>
      </c>
      <c r="DJ23" s="604">
        <f>BS!DJ40</f>
      </c>
      <c r="DK23" s="604">
        <f>BS!DK40</f>
      </c>
      <c r="DL23" s="604">
        <f>BS!DL40</f>
      </c>
      <c r="DM23" s="605">
        <f>BS!DM40</f>
      </c>
      <c r="DN23" s="604">
        <f>BS!DN40</f>
      </c>
      <c r="DO23" s="604">
        <f>BS!DO40</f>
      </c>
      <c r="DP23" s="604">
        <f>BS!DP40</f>
      </c>
      <c r="DQ23" s="604">
        <f>BS!DQ40</f>
      </c>
      <c r="DR23" s="605">
        <f>BS!DR40</f>
      </c>
      <c r="DS23" s="604">
        <f>BS!DS40</f>
      </c>
      <c r="DT23" s="604">
        <f>BS!DT40</f>
      </c>
      <c r="DU23" s="604">
        <f>BS!DU40</f>
      </c>
      <c r="DV23" s="604">
        <f>BS!DV40</f>
      </c>
      <c r="DW23" s="605">
        <f>BS!DW40</f>
      </c>
      <c r="DX23" s="604">
        <f>BS!DX40</f>
      </c>
      <c r="DY23" s="604">
        <f>BS!DY40</f>
      </c>
      <c r="DZ23" s="604">
        <f>BS!DZ40</f>
      </c>
      <c r="EA23" s="604">
        <f>BS!EA40</f>
      </c>
      <c r="EB23" s="605">
        <f>BS!EB40</f>
      </c>
      <c r="EC23" s="604">
        <f>BS!EC40</f>
      </c>
      <c r="ED23" s="604">
        <f>BS!ED40</f>
      </c>
      <c r="EE23" s="604">
        <f>BS!EE40</f>
      </c>
      <c r="EF23" s="604">
        <f>BS!EF40</f>
      </c>
      <c r="EG23" s="605">
        <f>BS!EG40</f>
      </c>
      <c r="EH23" s="604">
        <f>BS!EH40</f>
      </c>
      <c r="EI23" s="604">
        <f>BS!EI40</f>
      </c>
      <c r="EJ23" s="604">
        <f>BS!EJ40</f>
      </c>
      <c r="EK23" s="604">
        <f>BS!EK40</f>
      </c>
      <c r="EL23" s="605">
        <f>BS!EL40</f>
      </c>
      <c r="EM23" s="608">
        <f>BS!EM40</f>
      </c>
      <c r="EN23" s="608">
        <f>BS!EN40</f>
      </c>
      <c r="EO23" s="604">
        <f>BS!EO40</f>
      </c>
      <c r="EP23" s="604">
        <f>BS!EP40</f>
      </c>
      <c r="EQ23" s="605">
        <f>BS!EQ40</f>
      </c>
      <c r="ER23" s="604">
        <f>BS!ER40</f>
      </c>
      <c r="ES23" s="608">
        <f>BS!ES40</f>
      </c>
      <c r="ET23" s="608">
        <f>BS!ET40</f>
      </c>
      <c r="EU23" s="604">
        <f>BS!EU40</f>
      </c>
      <c r="EV23" s="605">
        <f>BS!EV40</f>
      </c>
      <c r="EW23" s="604">
        <f>BS!EW40</f>
      </c>
      <c r="EX23" s="608">
        <f>BS!EX40</f>
      </c>
      <c r="EY23" s="608">
        <f>BS!EY40</f>
      </c>
      <c r="EZ23" s="604">
        <f>BS!EZ40</f>
      </c>
      <c r="FA23" s="605">
        <f>BS!FA40</f>
      </c>
      <c r="FB23" s="609">
        <f>FB31*FB28</f>
      </c>
      <c r="FC23" s="609">
        <f>FC31*FC28</f>
      </c>
      <c r="FD23" s="609">
        <f>FD31*FD28</f>
      </c>
      <c r="FE23" s="609">
        <f>FE31*FE28</f>
      </c>
      <c r="FF23" s="605">
        <f>FE23</f>
      </c>
      <c r="FG23" s="609">
        <f>FG31*FG28</f>
      </c>
      <c r="FH23" s="609">
        <f>FH31*FH28</f>
      </c>
      <c r="FI23" s="609">
        <f>FI31*FI28</f>
      </c>
      <c r="FJ23" s="609">
        <f>FJ31*FJ28</f>
      </c>
      <c r="FK23" s="605">
        <f>FJ23</f>
      </c>
      <c r="FL23" s="609">
        <f>FL31*FL28</f>
      </c>
      <c r="FM23" s="609">
        <f>FM31*FM28</f>
      </c>
      <c r="FN23" s="609">
        <f>FN31*FN28</f>
      </c>
      <c r="FO23" s="609">
        <f>FO31*FO28</f>
      </c>
      <c r="FP23" s="605">
        <f>FO23</f>
      </c>
      <c r="FQ23" s="609">
        <f>FQ31*FQ28</f>
      </c>
      <c r="FR23" s="609">
        <f>FR31*FR28</f>
      </c>
      <c r="FS23" s="609">
        <f>FS31*FS28</f>
      </c>
      <c r="FT23" s="609">
        <f>FT31*FT28</f>
      </c>
      <c r="FU23" s="605">
        <f>FT23</f>
      </c>
      <c r="FV23" s="609">
        <f>FV31*FV28</f>
      </c>
      <c r="FW23" s="609">
        <f>FW31*FW28</f>
      </c>
      <c r="FX23" s="609">
        <f>FX31*FX28</f>
      </c>
      <c r="FY23" s="609">
        <f>FY31*FY28</f>
      </c>
      <c r="FZ23" s="605">
        <f>FY23</f>
      </c>
      <c r="GA23" s="609">
        <f>GA31*GA28</f>
      </c>
      <c r="GB23" s="609">
        <f>GB31*GB28</f>
      </c>
      <c r="GC23" s="609">
        <f>GC31*GC28</f>
      </c>
      <c r="GD23" s="609">
        <f>GD31*GD28</f>
      </c>
      <c r="GE23" s="605">
        <f>GD23</f>
      </c>
    </row>
    <row r="24" spans="1:187" s="537" customFormat="1" ht="12.75" customHeight="1" outlineLevel="1">
      <c r="A24" s="81"/>
      <c r="B24" s="724" t="s">
        <v>34</v>
      </c>
      <c r="C24" s="291"/>
      <c r="D24" s="107"/>
      <c r="E24" s="107"/>
      <c r="F24" s="107"/>
      <c r="G24" s="536"/>
      <c r="H24" s="291" t="str">
        <f t="shared" ref="H24:AM24" si="38">IFERROR(H23/C23-1,"")</f>
      </c>
      <c r="I24" s="107" t="str">
        <f t="shared" si="38"/>
      </c>
      <c r="J24" s="107" t="str">
        <f t="shared" si="38"/>
      </c>
      <c r="K24" s="107" t="str">
        <f t="shared" si="38"/>
      </c>
      <c r="L24" s="292" t="str">
        <f t="shared" si="38"/>
      </c>
      <c r="M24" s="291" t="str">
        <f t="shared" si="38"/>
      </c>
      <c r="N24" s="107" t="str">
        <f t="shared" si="38"/>
      </c>
      <c r="O24" s="107" t="str">
        <f t="shared" si="38"/>
      </c>
      <c r="P24" s="107" t="str">
        <f t="shared" si="38"/>
      </c>
      <c r="Q24" s="292" t="str">
        <f t="shared" si="38"/>
      </c>
      <c r="R24" s="291" t="str">
        <f t="shared" si="38"/>
      </c>
      <c r="S24" s="107" t="str">
        <f t="shared" si="38"/>
      </c>
      <c r="T24" s="107" t="str">
        <f t="shared" si="38"/>
      </c>
      <c r="U24" s="107" t="str">
        <f t="shared" si="38"/>
      </c>
      <c r="V24" s="292" t="str">
        <f t="shared" si="38"/>
      </c>
      <c r="W24" s="291" t="str">
        <f t="shared" si="38"/>
      </c>
      <c r="X24" s="107" t="str">
        <f t="shared" si="38"/>
      </c>
      <c r="Y24" s="107" t="str">
        <f t="shared" si="38"/>
      </c>
      <c r="Z24" s="107" t="str">
        <f t="shared" si="38"/>
      </c>
      <c r="AA24" s="292" t="str">
        <f t="shared" si="38"/>
      </c>
      <c r="AB24" s="291" t="str">
        <f t="shared" si="38"/>
      </c>
      <c r="AC24" s="107" t="str">
        <f t="shared" si="38"/>
      </c>
      <c r="AD24" s="107" t="str">
        <f t="shared" si="38"/>
      </c>
      <c r="AE24" s="107" t="str">
        <f t="shared" si="38"/>
      </c>
      <c r="AF24" s="292" t="str">
        <f t="shared" si="38"/>
      </c>
      <c r="AG24" s="291" t="str">
        <f t="shared" si="38"/>
      </c>
      <c r="AH24" s="107" t="str">
        <f t="shared" si="38"/>
      </c>
      <c r="AI24" s="107" t="str">
        <f t="shared" si="38"/>
      </c>
      <c r="AJ24" s="107" t="str">
        <f t="shared" si="38"/>
      </c>
      <c r="AK24" s="292" t="str">
        <f t="shared" si="38"/>
      </c>
      <c r="AL24" s="291" t="str">
        <f t="shared" si="38"/>
      </c>
      <c r="AM24" s="107" t="str">
        <f t="shared" si="38"/>
      </c>
      <c r="AN24" s="107" t="str">
        <f t="shared" ref="AN24:BS24" si="39">IFERROR(AN23/AI23-1,"")</f>
      </c>
      <c r="AO24" s="107" t="str">
        <f t="shared" si="39"/>
      </c>
      <c r="AP24" s="292" t="str">
        <f t="shared" si="39"/>
      </c>
      <c r="AQ24" s="291" t="str">
        <f t="shared" si="39"/>
      </c>
      <c r="AR24" s="107">
        <f t="shared" si="39"/>
      </c>
      <c r="AS24" s="107">
        <f t="shared" si="39"/>
      </c>
      <c r="AT24" s="107">
        <f t="shared" si="39"/>
      </c>
      <c r="AU24" s="292">
        <f t="shared" si="39"/>
      </c>
      <c r="AV24" s="291">
        <f t="shared" si="39"/>
      </c>
      <c r="AW24" s="107">
        <f t="shared" si="39"/>
      </c>
      <c r="AX24" s="107">
        <f t="shared" si="39"/>
      </c>
      <c r="AY24" s="107">
        <f t="shared" si="39"/>
      </c>
      <c r="AZ24" s="292">
        <f t="shared" si="39"/>
      </c>
      <c r="BA24" s="291">
        <f t="shared" si="39"/>
      </c>
      <c r="BB24" s="107">
        <f t="shared" si="39"/>
      </c>
      <c r="BC24" s="107">
        <f t="shared" si="39"/>
      </c>
      <c r="BD24" s="107">
        <f t="shared" si="39"/>
      </c>
      <c r="BE24" s="292">
        <f t="shared" si="39"/>
      </c>
      <c r="BF24" s="291">
        <f t="shared" si="39"/>
      </c>
      <c r="BG24" s="107">
        <f t="shared" si="39"/>
      </c>
      <c r="BH24" s="107">
        <f t="shared" si="39"/>
      </c>
      <c r="BI24" s="107">
        <f t="shared" si="39"/>
      </c>
      <c r="BJ24" s="292">
        <f t="shared" si="39"/>
      </c>
      <c r="BK24" s="291">
        <f t="shared" si="39"/>
      </c>
      <c r="BL24" s="107">
        <f t="shared" si="39"/>
      </c>
      <c r="BM24" s="107">
        <f t="shared" si="39"/>
      </c>
      <c r="BN24" s="107">
        <f t="shared" si="39"/>
      </c>
      <c r="BO24" s="292">
        <f t="shared" si="39"/>
      </c>
      <c r="BP24" s="291">
        <f t="shared" si="39"/>
      </c>
      <c r="BQ24" s="107">
        <f t="shared" si="39"/>
      </c>
      <c r="BR24" s="107">
        <f t="shared" si="39"/>
      </c>
      <c r="BS24" s="107">
        <f t="shared" si="39"/>
      </c>
      <c r="BT24" s="292">
        <f t="shared" ref="BT24:CY24" si="40">IFERROR(BT23/BO23-1,"")</f>
      </c>
      <c r="BU24" s="291">
        <f t="shared" si="40"/>
      </c>
      <c r="BV24" s="107">
        <f t="shared" si="40"/>
      </c>
      <c r="BW24" s="107">
        <f t="shared" si="40"/>
      </c>
      <c r="BX24" s="107">
        <f t="shared" si="40"/>
      </c>
      <c r="BY24" s="292">
        <f t="shared" si="40"/>
      </c>
      <c r="BZ24" s="291">
        <f t="shared" si="40"/>
      </c>
      <c r="CA24" s="107">
        <f t="shared" si="40"/>
      </c>
      <c r="CB24" s="107">
        <f t="shared" si="40"/>
      </c>
      <c r="CC24" s="107">
        <f t="shared" si="40"/>
      </c>
      <c r="CD24" s="292">
        <f t="shared" si="40"/>
      </c>
      <c r="CE24" s="291">
        <f t="shared" si="40"/>
      </c>
      <c r="CF24" s="107">
        <f t="shared" si="40"/>
      </c>
      <c r="CG24" s="107">
        <f t="shared" si="40"/>
      </c>
      <c r="CH24" s="107">
        <f t="shared" si="40"/>
      </c>
      <c r="CI24" s="292">
        <f t="shared" si="40"/>
      </c>
      <c r="CJ24" s="291">
        <f t="shared" si="40"/>
      </c>
      <c r="CK24" s="107">
        <f t="shared" si="40"/>
      </c>
      <c r="CL24" s="107">
        <f t="shared" si="40"/>
      </c>
      <c r="CM24" s="107">
        <f t="shared" si="40"/>
      </c>
      <c r="CN24" s="292">
        <f t="shared" si="40"/>
      </c>
      <c r="CO24" s="291">
        <f t="shared" si="40"/>
      </c>
      <c r="CP24" s="107">
        <f t="shared" si="40"/>
      </c>
      <c r="CQ24" s="107">
        <f t="shared" si="40"/>
      </c>
      <c r="CR24" s="107">
        <f t="shared" si="40"/>
      </c>
      <c r="CS24" s="292">
        <f t="shared" si="40"/>
      </c>
      <c r="CT24" s="291">
        <f t="shared" si="40"/>
      </c>
      <c r="CU24" s="107">
        <f t="shared" si="40"/>
      </c>
      <c r="CV24" s="107">
        <f t="shared" si="40"/>
      </c>
      <c r="CW24" s="107">
        <f t="shared" si="40"/>
      </c>
      <c r="CX24" s="292">
        <f t="shared" si="40"/>
      </c>
      <c r="CY24" s="291">
        <f t="shared" si="40"/>
      </c>
      <c r="CZ24" s="107">
        <f t="shared" ref="CZ24:EE24" si="41">IFERROR(CZ23/CU23-1,"")</f>
      </c>
      <c r="DA24" s="107">
        <f t="shared" si="41"/>
      </c>
      <c r="DB24" s="107">
        <f t="shared" si="41"/>
      </c>
      <c r="DC24" s="292">
        <f t="shared" si="41"/>
      </c>
      <c r="DD24" s="291">
        <f t="shared" si="41"/>
      </c>
      <c r="DE24" s="107">
        <f t="shared" si="41"/>
      </c>
      <c r="DF24" s="107">
        <f t="shared" si="41"/>
      </c>
      <c r="DG24" s="107">
        <f t="shared" si="41"/>
      </c>
      <c r="DH24" s="292">
        <f t="shared" si="41"/>
      </c>
      <c r="DI24" s="291">
        <f t="shared" si="41"/>
      </c>
      <c r="DJ24" s="107">
        <f t="shared" si="41"/>
      </c>
      <c r="DK24" s="107">
        <f t="shared" si="41"/>
      </c>
      <c r="DL24" s="107">
        <f t="shared" si="41"/>
      </c>
      <c r="DM24" s="292">
        <f t="shared" si="41"/>
      </c>
      <c r="DN24" s="291">
        <f t="shared" si="41"/>
      </c>
      <c r="DO24" s="107">
        <f t="shared" si="41"/>
      </c>
      <c r="DP24" s="107">
        <f t="shared" si="41"/>
      </c>
      <c r="DQ24" s="107">
        <f t="shared" si="41"/>
      </c>
      <c r="DR24" s="292">
        <f t="shared" si="41"/>
      </c>
      <c r="DS24" s="291">
        <f t="shared" si="41"/>
      </c>
      <c r="DT24" s="107">
        <f t="shared" si="41"/>
      </c>
      <c r="DU24" s="107">
        <f t="shared" si="41"/>
      </c>
      <c r="DV24" s="107">
        <f t="shared" si="41"/>
      </c>
      <c r="DW24" s="292">
        <f t="shared" si="41"/>
      </c>
      <c r="DX24" s="291">
        <f t="shared" si="41"/>
      </c>
      <c r="DY24" s="107">
        <f t="shared" si="41"/>
      </c>
      <c r="DZ24" s="107">
        <f t="shared" si="41"/>
      </c>
      <c r="EA24" s="107">
        <f t="shared" si="41"/>
      </c>
      <c r="EB24" s="292">
        <f t="shared" si="41"/>
      </c>
      <c r="EC24" s="291">
        <f t="shared" si="41"/>
      </c>
      <c r="ED24" s="107">
        <f t="shared" si="41"/>
      </c>
      <c r="EE24" s="107">
        <f t="shared" si="41"/>
      </c>
      <c r="EF24" s="107">
        <f t="shared" ref="EF24:FK24" si="42">IFERROR(EF23/EA23-1,"")</f>
      </c>
      <c r="EG24" s="292">
        <f t="shared" si="42"/>
      </c>
      <c r="EH24" s="291">
        <f t="shared" si="42"/>
      </c>
      <c r="EI24" s="107">
        <f t="shared" si="42"/>
      </c>
      <c r="EJ24" s="107">
        <f t="shared" si="42"/>
      </c>
      <c r="EK24" s="107">
        <f t="shared" si="42"/>
      </c>
      <c r="EL24" s="292">
        <f t="shared" si="42"/>
      </c>
      <c r="EM24" s="291">
        <f t="shared" si="42"/>
      </c>
      <c r="EN24" s="107">
        <f t="shared" si="42"/>
      </c>
      <c r="EO24" s="107">
        <f t="shared" si="42"/>
      </c>
      <c r="EP24" s="107">
        <f t="shared" si="42"/>
      </c>
      <c r="EQ24" s="292">
        <f t="shared" si="42"/>
      </c>
      <c r="ER24" s="291">
        <f t="shared" si="42"/>
      </c>
      <c r="ES24" s="107">
        <f t="shared" si="42"/>
      </c>
      <c r="ET24" s="107">
        <f t="shared" si="42"/>
      </c>
      <c r="EU24" s="107">
        <f>IFERROR(EU23/EP23-1,"")</f>
      </c>
      <c r="EV24" s="292">
        <f>IFERROR(EV23/EQ23-1,"")</f>
      </c>
      <c r="EW24" s="291">
        <f t="shared" si="42"/>
      </c>
      <c r="EX24" s="107">
        <f t="shared" si="42"/>
      </c>
      <c r="EY24" s="107">
        <f t="shared" si="42"/>
      </c>
      <c r="EZ24" s="107">
        <f>IFERROR(EZ23/EU23-1,"")</f>
      </c>
      <c r="FA24" s="292">
        <f>IFERROR(FA23/EV23-1,"")</f>
      </c>
      <c r="FB24" s="291">
        <f t="shared" si="42"/>
      </c>
      <c r="FC24" s="107">
        <f t="shared" si="42"/>
      </c>
      <c r="FD24" s="107">
        <f t="shared" si="42"/>
      </c>
      <c r="FE24" s="107">
        <f t="shared" si="42"/>
      </c>
      <c r="FF24" s="292">
        <f t="shared" si="42"/>
      </c>
      <c r="FG24" s="291">
        <f t="shared" si="42"/>
      </c>
      <c r="FH24" s="107">
        <f t="shared" si="42"/>
      </c>
      <c r="FI24" s="107">
        <f t="shared" si="42"/>
      </c>
      <c r="FJ24" s="107">
        <f t="shared" si="42"/>
      </c>
      <c r="FK24" s="292">
        <f t="shared" si="42"/>
      </c>
      <c r="FL24" s="291">
        <f t="shared" ref="FL24:FZ24" si="43">IFERROR(FL23/FG23-1,"")</f>
      </c>
      <c r="FM24" s="107">
        <f t="shared" si="43"/>
      </c>
      <c r="FN24" s="107">
        <f t="shared" si="43"/>
      </c>
      <c r="FO24" s="107">
        <f t="shared" si="43"/>
      </c>
      <c r="FP24" s="292">
        <f t="shared" si="43"/>
      </c>
      <c r="FQ24" s="291">
        <f t="shared" si="43"/>
      </c>
      <c r="FR24" s="107">
        <f t="shared" si="43"/>
      </c>
      <c r="FS24" s="107">
        <f t="shared" si="43"/>
      </c>
      <c r="FT24" s="107">
        <f t="shared" si="43"/>
      </c>
      <c r="FU24" s="292">
        <f t="shared" si="43"/>
      </c>
      <c r="FV24" s="291">
        <f t="shared" si="43"/>
      </c>
      <c r="FW24" s="107">
        <f t="shared" si="43"/>
      </c>
      <c r="FX24" s="107">
        <f t="shared" si="43"/>
      </c>
      <c r="FY24" s="107">
        <f t="shared" si="43"/>
      </c>
      <c r="FZ24" s="292">
        <f t="shared" si="43"/>
      </c>
      <c r="GA24" s="291">
        <f>IFERROR(GA23/FV23-1,"")</f>
      </c>
      <c r="GB24" s="107">
        <f>IFERROR(GB23/FW23-1,"")</f>
      </c>
      <c r="GC24" s="107">
        <f>IFERROR(GC23/FX23-1,"")</f>
      </c>
      <c r="GD24" s="107">
        <f>IFERROR(GD23/FY23-1,"")</f>
      </c>
      <c r="GE24" s="292">
        <f>IFERROR(GE23/FZ23-1,"")</f>
      </c>
    </row>
    <row r="25" spans="1:187" s="537" customFormat="1" ht="12.75" customHeight="1" outlineLevel="1">
      <c r="A25" s="81"/>
      <c r="B25" s="724" t="s">
        <v>36</v>
      </c>
      <c r="C25" s="291"/>
      <c r="D25" s="137"/>
      <c r="E25" s="137"/>
      <c r="F25" s="137"/>
      <c r="G25" s="538"/>
      <c r="H25" s="291" t="str">
        <f>IFERROR(H23/F23-1,"")</f>
      </c>
      <c r="I25" s="107" t="str">
        <f>IFERROR(I23/H23-1,"")</f>
      </c>
      <c r="J25" s="107" t="str">
        <f>IFERROR(J23/I23-1,"")</f>
      </c>
      <c r="K25" s="107" t="str">
        <f>IFERROR(K23/J23-1,"")</f>
      </c>
      <c r="L25" s="293"/>
      <c r="M25" s="291" t="str">
        <f>IFERROR(M23/K23-1,"")</f>
      </c>
      <c r="N25" s="107" t="str">
        <f>IFERROR(N23/M23-1,"")</f>
      </c>
      <c r="O25" s="107" t="str">
        <f>IFERROR(O23/N23-1,"")</f>
      </c>
      <c r="P25" s="107" t="str">
        <f>IFERROR(P23/O23-1,"")</f>
      </c>
      <c r="Q25" s="293"/>
      <c r="R25" s="291" t="str">
        <f>IFERROR(R23/P23-1,"")</f>
      </c>
      <c r="S25" s="107" t="str">
        <f>IFERROR(S23/R23-1,"")</f>
      </c>
      <c r="T25" s="107" t="str">
        <f>IFERROR(T23/S23-1,"")</f>
      </c>
      <c r="U25" s="107" t="str">
        <f>IFERROR(U23/T23-1,"")</f>
      </c>
      <c r="V25" s="293"/>
      <c r="W25" s="291" t="str">
        <f>IFERROR(W23/U23-1,"")</f>
      </c>
      <c r="X25" s="107" t="str">
        <f>IFERROR(X23/W23-1,"")</f>
      </c>
      <c r="Y25" s="107" t="str">
        <f>IFERROR(Y23/X23-1,"")</f>
      </c>
      <c r="Z25" s="107" t="str">
        <f>IFERROR(Z23/Y23-1,"")</f>
      </c>
      <c r="AA25" s="293"/>
      <c r="AB25" s="291" t="str">
        <f>IFERROR(AB23/Z23-1,"")</f>
      </c>
      <c r="AC25" s="107" t="str">
        <f>IFERROR(AC23/AB23-1,"")</f>
      </c>
      <c r="AD25" s="107" t="str">
        <f>IFERROR(AD23/AC23-1,"")</f>
      </c>
      <c r="AE25" s="107" t="str">
        <f>IFERROR(AE23/AD23-1,"")</f>
      </c>
      <c r="AF25" s="293"/>
      <c r="AG25" s="291" t="str">
        <f>IFERROR(AG23/AE23-1,"")</f>
      </c>
      <c r="AH25" s="107" t="str">
        <f>IFERROR(AH23/AG23-1,"")</f>
      </c>
      <c r="AI25" s="107" t="str">
        <f>IFERROR(AI23/AH23-1,"")</f>
      </c>
      <c r="AJ25" s="107" t="str">
        <f>IFERROR(AJ23/AI23-1,"")</f>
      </c>
      <c r="AK25" s="293"/>
      <c r="AL25" s="291" t="str">
        <f>IFERROR(AL23/AJ23-1,"")</f>
      </c>
      <c r="AM25" s="107" t="str">
        <f>IFERROR(AM23/AL23-1,"")</f>
      </c>
      <c r="AN25" s="107">
        <f>IFERROR(AN23/AM23-1,"")</f>
      </c>
      <c r="AO25" s="107">
        <f>IFERROR(AO23/AN23-1,"")</f>
      </c>
      <c r="AP25" s="293"/>
      <c r="AQ25" s="291">
        <f>IFERROR(AQ23/AO23-1,"")</f>
      </c>
      <c r="AR25" s="107">
        <f>IFERROR(AR23/AQ23-1,"")</f>
      </c>
      <c r="AS25" s="107">
        <f>IFERROR(AS23/AR23-1,"")</f>
      </c>
      <c r="AT25" s="107">
        <f>IFERROR(AT23/AS23-1,"")</f>
      </c>
      <c r="AU25" s="293"/>
      <c r="AV25" s="291">
        <f>IFERROR(AV23/AT23-1,"")</f>
      </c>
      <c r="AW25" s="107">
        <f>IFERROR(AW23/AV23-1,"")</f>
      </c>
      <c r="AX25" s="107">
        <f>IFERROR(AX23/AW23-1,"")</f>
      </c>
      <c r="AY25" s="107">
        <f>IFERROR(AY23/AX23-1,"")</f>
      </c>
      <c r="AZ25" s="293"/>
      <c r="BA25" s="291">
        <f>IFERROR(BA23/AY23-1,"")</f>
      </c>
      <c r="BB25" s="107">
        <f>IFERROR(BB23/BA23-1,"")</f>
      </c>
      <c r="BC25" s="107">
        <f>IFERROR(BC23/BB23-1,"")</f>
      </c>
      <c r="BD25" s="107">
        <f>IFERROR(BD23/BC23-1,"")</f>
      </c>
      <c r="BE25" s="293"/>
      <c r="BF25" s="291">
        <f>IFERROR(BF23/BD23-1,"")</f>
      </c>
      <c r="BG25" s="107">
        <f>IFERROR(BG23/BF23-1,"")</f>
      </c>
      <c r="BH25" s="107">
        <f>IFERROR(BH23/BG23-1,"")</f>
      </c>
      <c r="BI25" s="107">
        <f>IFERROR(BI23/BH23-1,"")</f>
      </c>
      <c r="BJ25" s="293"/>
      <c r="BK25" s="291">
        <f>IFERROR(BK23/BI23-1,"")</f>
      </c>
      <c r="BL25" s="107">
        <f>IFERROR(BL23/BK23-1,"")</f>
      </c>
      <c r="BM25" s="107">
        <f>IFERROR(BM23/BL23-1,"")</f>
      </c>
      <c r="BN25" s="107">
        <f>IFERROR(BN23/BM23-1,"")</f>
      </c>
      <c r="BO25" s="293"/>
      <c r="BP25" s="291">
        <f>IFERROR(BP23/BN23-1,"")</f>
      </c>
      <c r="BQ25" s="107">
        <f>IFERROR(BQ23/BP23-1,"")</f>
      </c>
      <c r="BR25" s="107">
        <f>IFERROR(BR23/BQ23-1,"")</f>
      </c>
      <c r="BS25" s="107">
        <f>IFERROR(BS23/BR23-1,"")</f>
      </c>
      <c r="BT25" s="293"/>
      <c r="BU25" s="291">
        <f>IFERROR(BU23/BS23-1,"")</f>
      </c>
      <c r="BV25" s="107">
        <f>IFERROR(BV23/BU23-1,"")</f>
      </c>
      <c r="BW25" s="107">
        <f>IFERROR(BW23/BV23-1,"")</f>
      </c>
      <c r="BX25" s="107">
        <f>IFERROR(BX23/BW23-1,"")</f>
      </c>
      <c r="BY25" s="293"/>
      <c r="BZ25" s="291">
        <f>IFERROR(BZ23/BX23-1,"")</f>
      </c>
      <c r="CA25" s="107">
        <f>IFERROR(CA23/BZ23-1,"")</f>
      </c>
      <c r="CB25" s="107">
        <f>IFERROR(CB23/CA23-1,"")</f>
      </c>
      <c r="CC25" s="107">
        <f>IFERROR(CC23/CB23-1,"")</f>
      </c>
      <c r="CD25" s="293"/>
      <c r="CE25" s="291">
        <f>IFERROR(CE23/CC23-1,"")</f>
      </c>
      <c r="CF25" s="107">
        <f>IFERROR(CF23/CE23-1,"")</f>
      </c>
      <c r="CG25" s="107">
        <f>IFERROR(CG23/CF23-1,"")</f>
      </c>
      <c r="CH25" s="107">
        <f>IFERROR(CH23/CG23-1,"")</f>
      </c>
      <c r="CI25" s="293"/>
      <c r="CJ25" s="291">
        <f>IFERROR(CJ23/CH23-1,"")</f>
      </c>
      <c r="CK25" s="107">
        <f>IFERROR(CK23/CJ23-1,"")</f>
      </c>
      <c r="CL25" s="107">
        <f>IFERROR(CL23/CK23-1,"")</f>
      </c>
      <c r="CM25" s="107">
        <f>IFERROR(CM23/CL23-1,"")</f>
      </c>
      <c r="CN25" s="293"/>
      <c r="CO25" s="291">
        <f>IFERROR(CO23/CM23-1,"")</f>
      </c>
      <c r="CP25" s="107">
        <f>IFERROR(CP23/CO23-1,"")</f>
      </c>
      <c r="CQ25" s="107">
        <f>IFERROR(CQ23/CP23-1,"")</f>
      </c>
      <c r="CR25" s="107">
        <f>IFERROR(CR23/CQ23-1,"")</f>
      </c>
      <c r="CS25" s="293"/>
      <c r="CT25" s="291">
        <f>IFERROR(CT23/CR23-1,"")</f>
      </c>
      <c r="CU25" s="107">
        <f>IFERROR(CU23/CT23-1,"")</f>
      </c>
      <c r="CV25" s="107">
        <f>IFERROR(CV23/CU23-1,"")</f>
      </c>
      <c r="CW25" s="107">
        <f>IFERROR(CW23/CV23-1,"")</f>
      </c>
      <c r="CX25" s="293"/>
      <c r="CY25" s="291">
        <f>IFERROR(CY23/CW23-1,"")</f>
      </c>
      <c r="CZ25" s="107">
        <f>IFERROR(CZ23/CY23-1,"")</f>
      </c>
      <c r="DA25" s="107">
        <f>IFERROR(DA23/CZ23-1,"")</f>
      </c>
      <c r="DB25" s="107">
        <f>IFERROR(DB23/DA23-1,"")</f>
      </c>
      <c r="DC25" s="293"/>
      <c r="DD25" s="291">
        <f>IFERROR(DD23/DB23-1,"")</f>
      </c>
      <c r="DE25" s="107">
        <f>IFERROR(DE23/DD23-1,"")</f>
      </c>
      <c r="DF25" s="107">
        <f>IFERROR(DF23/DE23-1,"")</f>
      </c>
      <c r="DG25" s="107">
        <f>IFERROR(DG23/DF23-1,"")</f>
      </c>
      <c r="DH25" s="293"/>
      <c r="DI25" s="291">
        <f>IFERROR(DI23/DG23-1,"")</f>
      </c>
      <c r="DJ25" s="107">
        <f>IFERROR(DJ23/DI23-1,"")</f>
      </c>
      <c r="DK25" s="107">
        <f>IFERROR(DK23/DJ23-1,"")</f>
      </c>
      <c r="DL25" s="107">
        <f>IFERROR(DL23/DK23-1,"")</f>
      </c>
      <c r="DM25" s="293"/>
      <c r="DN25" s="291">
        <f>IFERROR(DN23/DL23-1,"")</f>
      </c>
      <c r="DO25" s="107">
        <f>IFERROR(DO23/DN23-1,"")</f>
      </c>
      <c r="DP25" s="107">
        <f>IFERROR(DP23/DO23-1,"")</f>
      </c>
      <c r="DQ25" s="107">
        <f>IFERROR(DQ23/DP23-1,"")</f>
      </c>
      <c r="DR25" s="293"/>
      <c r="DS25" s="291">
        <f>IFERROR(DS23/DQ23-1,"")</f>
      </c>
      <c r="DT25" s="107">
        <f>IFERROR(DT23/DS23-1,"")</f>
      </c>
      <c r="DU25" s="107">
        <f>IFERROR(DU23/DT23-1,"")</f>
      </c>
      <c r="DV25" s="107">
        <f>IFERROR(DV23/DU23-1,"")</f>
      </c>
      <c r="DW25" s="293"/>
      <c r="DX25" s="291">
        <f>IFERROR(DX23/DV23-1,"")</f>
      </c>
      <c r="DY25" s="107">
        <f>IFERROR(DY23/DX23-1,"")</f>
      </c>
      <c r="DZ25" s="107">
        <f>IFERROR(DZ23/DY23-1,"")</f>
      </c>
      <c r="EA25" s="107">
        <f>IFERROR(EA23/DZ23-1,"")</f>
      </c>
      <c r="EB25" s="293"/>
      <c r="EC25" s="291">
        <f>IFERROR(EC23/EA23-1,"")</f>
      </c>
      <c r="ED25" s="107">
        <f>IFERROR(ED23/EC23-1,"")</f>
      </c>
      <c r="EE25" s="107">
        <f>IFERROR(EE23/ED23-1,"")</f>
      </c>
      <c r="EF25" s="107">
        <f>IFERROR(EF23/EE23-1,"")</f>
      </c>
      <c r="EG25" s="293"/>
      <c r="EH25" s="291">
        <f>IFERROR(EH23/EF23-1,"")</f>
      </c>
      <c r="EI25" s="107">
        <f>IFERROR(EI23/EH23-1,"")</f>
      </c>
      <c r="EJ25" s="107">
        <f>IFERROR(EJ23/EI23-1,"")</f>
      </c>
      <c r="EK25" s="107">
        <f>IFERROR(EK23/EJ23-1,"")</f>
      </c>
      <c r="EL25" s="293"/>
      <c r="EM25" s="291">
        <f>IFERROR(EM23/EK23-1,"")</f>
      </c>
      <c r="EN25" s="107">
        <f>IFERROR(EN23/EM23-1,"")</f>
      </c>
      <c r="EO25" s="107">
        <f>IFERROR(EO23/EN23-1,"")</f>
      </c>
      <c r="EP25" s="107">
        <f>IFERROR(EP23/EO23-1,"")</f>
      </c>
      <c r="EQ25" s="293"/>
      <c r="ER25" s="291">
        <f>IFERROR(ER23/EP23-1,"")</f>
      </c>
      <c r="ES25" s="107">
        <f>IFERROR(ES23/ER23-1,"")</f>
      </c>
      <c r="ET25" s="107">
        <f>IFERROR(ET23/ES23-1,"")</f>
      </c>
      <c r="EU25" s="107">
        <f>IFERROR(EU23/ET23-1,"")</f>
      </c>
      <c r="EV25" s="293"/>
      <c r="EW25" s="291">
        <f>IFERROR(EW23/EU23-1,"")</f>
      </c>
      <c r="EX25" s="107">
        <f>IFERROR(EX23/EW23-1,"")</f>
      </c>
      <c r="EY25" s="107">
        <f>IFERROR(EY23/EX23-1,"")</f>
      </c>
      <c r="EZ25" s="107">
        <f>IFERROR(EZ23/EY23-1,"")</f>
      </c>
      <c r="FA25" s="293"/>
      <c r="FB25" s="291">
        <f>IFERROR(FB23/EZ23-1,"")</f>
      </c>
      <c r="FC25" s="107">
        <f>IFERROR(FC23/FB23-1,"")</f>
      </c>
      <c r="FD25" s="107">
        <f>IFERROR(FD23/FC23-1,"")</f>
      </c>
      <c r="FE25" s="107">
        <f>IFERROR(FE23/FD23-1,"")</f>
      </c>
      <c r="FF25" s="293"/>
      <c r="FG25" s="291">
        <f>IFERROR(FG23/FE23-1,"")</f>
      </c>
      <c r="FH25" s="107">
        <f>IFERROR(FH23/FG23-1,"")</f>
      </c>
      <c r="FI25" s="107">
        <f>IFERROR(FI23/FH23-1,"")</f>
      </c>
      <c r="FJ25" s="107">
        <f>IFERROR(FJ23/FI23-1,"")</f>
      </c>
      <c r="FK25" s="293"/>
      <c r="FL25" s="291">
        <f>IFERROR(FL23/FJ23-1,"")</f>
      </c>
      <c r="FM25" s="107">
        <f>IFERROR(FM23/FL23-1,"")</f>
      </c>
      <c r="FN25" s="107">
        <f>IFERROR(FN23/FM23-1,"")</f>
      </c>
      <c r="FO25" s="107">
        <f>IFERROR(FO23/FN23-1,"")</f>
      </c>
      <c r="FP25" s="293"/>
      <c r="FQ25" s="291">
        <f>IFERROR(FQ23/FO23-1,"")</f>
      </c>
      <c r="FR25" s="107">
        <f>IFERROR(FR23/FQ23-1,"")</f>
      </c>
      <c r="FS25" s="107">
        <f>IFERROR(FS23/FR23-1,"")</f>
      </c>
      <c r="FT25" s="107">
        <f>IFERROR(FT23/FS23-1,"")</f>
      </c>
      <c r="FU25" s="293"/>
      <c r="FV25" s="291">
        <f>IFERROR(FV23/FT23-1,"")</f>
      </c>
      <c r="FW25" s="107">
        <f>IFERROR(FW23/FV23-1,"")</f>
      </c>
      <c r="FX25" s="107">
        <f>IFERROR(FX23/FW23-1,"")</f>
      </c>
      <c r="FY25" s="107">
        <f>IFERROR(FY23/FX23-1,"")</f>
      </c>
      <c r="FZ25" s="293"/>
      <c r="GA25" s="291">
        <f>IFERROR(GA23/FY23-1,"")</f>
      </c>
      <c r="GB25" s="107">
        <f>IFERROR(GB23/GA23-1,"")</f>
      </c>
      <c r="GC25" s="107">
        <f>IFERROR(GC23/GB23-1,"")</f>
      </c>
      <c r="GD25" s="107">
        <f>IFERROR(GD23/GC23-1,"")</f>
      </c>
      <c r="GE25" s="293"/>
    </row>
    <row r="26" spans="1:187" s="537" customFormat="1" ht="12.75" customHeight="1" outlineLevel="1">
      <c r="A26" s="543"/>
      <c r="B26" s="724" t="s">
        <v>311</v>
      </c>
      <c r="C26" s="329"/>
      <c r="D26" s="107"/>
      <c r="E26" s="107"/>
      <c r="F26" s="107"/>
      <c r="G26" s="540"/>
      <c r="H26" s="463">
        <f t="shared" ref="H26:AM26" si="44">H23-C23</f>
      </c>
      <c r="I26" s="463">
        <f t="shared" si="44"/>
      </c>
      <c r="J26" s="463">
        <f t="shared" si="44"/>
      </c>
      <c r="K26" s="463">
        <f t="shared" si="44"/>
      </c>
      <c r="L26" s="610">
        <f t="shared" si="44"/>
      </c>
      <c r="M26" s="463">
        <f t="shared" si="44"/>
      </c>
      <c r="N26" s="463">
        <f t="shared" si="44"/>
      </c>
      <c r="O26" s="463">
        <f t="shared" si="44"/>
      </c>
      <c r="P26" s="463">
        <f t="shared" si="44"/>
      </c>
      <c r="Q26" s="610">
        <f t="shared" si="44"/>
      </c>
      <c r="R26" s="463">
        <f t="shared" si="44"/>
      </c>
      <c r="S26" s="463">
        <f t="shared" si="44"/>
      </c>
      <c r="T26" s="463">
        <f t="shared" si="44"/>
      </c>
      <c r="U26" s="463">
        <f t="shared" si="44"/>
      </c>
      <c r="V26" s="610">
        <f t="shared" si="44"/>
      </c>
      <c r="W26" s="463">
        <f t="shared" si="44"/>
      </c>
      <c r="X26" s="463">
        <f t="shared" si="44"/>
      </c>
      <c r="Y26" s="463">
        <f t="shared" si="44"/>
      </c>
      <c r="Z26" s="463">
        <f t="shared" si="44"/>
      </c>
      <c r="AA26" s="610">
        <f t="shared" si="44"/>
      </c>
      <c r="AB26" s="463">
        <f t="shared" si="44"/>
      </c>
      <c r="AC26" s="463">
        <f t="shared" si="44"/>
      </c>
      <c r="AD26" s="463">
        <f t="shared" si="44"/>
      </c>
      <c r="AE26" s="463">
        <f t="shared" si="44"/>
      </c>
      <c r="AF26" s="610">
        <f t="shared" si="44"/>
      </c>
      <c r="AG26" s="463">
        <f t="shared" si="44"/>
      </c>
      <c r="AH26" s="463">
        <f t="shared" si="44"/>
      </c>
      <c r="AI26" s="463">
        <f t="shared" si="44"/>
      </c>
      <c r="AJ26" s="463">
        <f t="shared" si="44"/>
      </c>
      <c r="AK26" s="610">
        <f t="shared" si="44"/>
      </c>
      <c r="AL26" s="463">
        <f t="shared" si="44"/>
      </c>
      <c r="AM26" s="463">
        <f t="shared" si="44"/>
      </c>
      <c r="AN26" s="463">
        <f t="shared" ref="AN26:BS26" si="45">AN23-AI23</f>
      </c>
      <c r="AO26" s="463">
        <f t="shared" si="45"/>
      </c>
      <c r="AP26" s="610">
        <f t="shared" si="45"/>
      </c>
      <c r="AQ26" s="463">
        <f t="shared" si="45"/>
      </c>
      <c r="AR26" s="463">
        <f t="shared" si="45"/>
      </c>
      <c r="AS26" s="463">
        <f t="shared" si="45"/>
      </c>
      <c r="AT26" s="463">
        <f t="shared" si="45"/>
      </c>
      <c r="AU26" s="610">
        <f t="shared" si="45"/>
      </c>
      <c r="AV26" s="463">
        <f t="shared" si="45"/>
      </c>
      <c r="AW26" s="463">
        <f t="shared" si="45"/>
      </c>
      <c r="AX26" s="463">
        <f t="shared" si="45"/>
      </c>
      <c r="AY26" s="463">
        <f t="shared" si="45"/>
      </c>
      <c r="AZ26" s="610">
        <f t="shared" si="45"/>
      </c>
      <c r="BA26" s="463">
        <f t="shared" si="45"/>
      </c>
      <c r="BB26" s="463">
        <f t="shared" si="45"/>
      </c>
      <c r="BC26" s="463">
        <f t="shared" si="45"/>
      </c>
      <c r="BD26" s="463">
        <f t="shared" si="45"/>
      </c>
      <c r="BE26" s="610">
        <f t="shared" si="45"/>
      </c>
      <c r="BF26" s="463">
        <f t="shared" si="45"/>
      </c>
      <c r="BG26" s="463">
        <f t="shared" si="45"/>
      </c>
      <c r="BH26" s="463">
        <f t="shared" si="45"/>
      </c>
      <c r="BI26" s="463">
        <f t="shared" si="45"/>
      </c>
      <c r="BJ26" s="610">
        <f t="shared" si="45"/>
      </c>
      <c r="BK26" s="463">
        <f t="shared" si="45"/>
      </c>
      <c r="BL26" s="463">
        <f t="shared" si="45"/>
      </c>
      <c r="BM26" s="463">
        <f t="shared" si="45"/>
      </c>
      <c r="BN26" s="463">
        <f t="shared" si="45"/>
      </c>
      <c r="BO26" s="610">
        <f t="shared" si="45"/>
      </c>
      <c r="BP26" s="463">
        <f t="shared" si="45"/>
      </c>
      <c r="BQ26" s="463">
        <f t="shared" si="45"/>
      </c>
      <c r="BR26" s="463">
        <f t="shared" si="45"/>
      </c>
      <c r="BS26" s="463">
        <f t="shared" si="45"/>
      </c>
      <c r="BT26" s="610">
        <f t="shared" ref="BT26:CY26" si="46">BT23-BO23</f>
      </c>
      <c r="BU26" s="463">
        <f t="shared" si="46"/>
      </c>
      <c r="BV26" s="463">
        <f t="shared" si="46"/>
      </c>
      <c r="BW26" s="463">
        <f t="shared" si="46"/>
      </c>
      <c r="BX26" s="463">
        <f t="shared" si="46"/>
      </c>
      <c r="BY26" s="610">
        <f t="shared" si="46"/>
      </c>
      <c r="BZ26" s="463">
        <f t="shared" si="46"/>
      </c>
      <c r="CA26" s="463">
        <f t="shared" si="46"/>
      </c>
      <c r="CB26" s="463">
        <f t="shared" si="46"/>
      </c>
      <c r="CC26" s="463">
        <f t="shared" si="46"/>
      </c>
      <c r="CD26" s="610">
        <f t="shared" si="46"/>
      </c>
      <c r="CE26" s="463">
        <f t="shared" si="46"/>
      </c>
      <c r="CF26" s="463">
        <f t="shared" si="46"/>
      </c>
      <c r="CG26" s="463">
        <f t="shared" si="46"/>
      </c>
      <c r="CH26" s="463">
        <f t="shared" si="46"/>
      </c>
      <c r="CI26" s="610">
        <f t="shared" si="46"/>
      </c>
      <c r="CJ26" s="463">
        <f t="shared" si="46"/>
      </c>
      <c r="CK26" s="463">
        <f t="shared" si="46"/>
      </c>
      <c r="CL26" s="463">
        <f t="shared" si="46"/>
      </c>
      <c r="CM26" s="463">
        <f t="shared" si="46"/>
      </c>
      <c r="CN26" s="610">
        <f t="shared" si="46"/>
      </c>
      <c r="CO26" s="463">
        <f t="shared" si="46"/>
      </c>
      <c r="CP26" s="463">
        <f t="shared" si="46"/>
      </c>
      <c r="CQ26" s="463">
        <f t="shared" si="46"/>
      </c>
      <c r="CR26" s="463">
        <f t="shared" si="46"/>
      </c>
      <c r="CS26" s="610">
        <f t="shared" si="46"/>
      </c>
      <c r="CT26" s="463">
        <f t="shared" si="46"/>
      </c>
      <c r="CU26" s="463">
        <f t="shared" si="46"/>
      </c>
      <c r="CV26" s="463">
        <f t="shared" si="46"/>
      </c>
      <c r="CW26" s="463">
        <f t="shared" si="46"/>
      </c>
      <c r="CX26" s="610">
        <f t="shared" si="46"/>
      </c>
      <c r="CY26" s="463">
        <f t="shared" si="46"/>
      </c>
      <c r="CZ26" s="463">
        <f t="shared" ref="CZ26:EE26" si="47">CZ23-CU23</f>
      </c>
      <c r="DA26" s="463">
        <f t="shared" si="47"/>
      </c>
      <c r="DB26" s="463">
        <f t="shared" si="47"/>
      </c>
      <c r="DC26" s="610">
        <f t="shared" si="47"/>
      </c>
      <c r="DD26" s="463">
        <f t="shared" si="47"/>
      </c>
      <c r="DE26" s="463">
        <f t="shared" si="47"/>
      </c>
      <c r="DF26" s="463">
        <f t="shared" si="47"/>
      </c>
      <c r="DG26" s="463">
        <f t="shared" si="47"/>
      </c>
      <c r="DH26" s="610">
        <f t="shared" si="47"/>
      </c>
      <c r="DI26" s="463">
        <f t="shared" si="47"/>
      </c>
      <c r="DJ26" s="463">
        <f t="shared" si="47"/>
      </c>
      <c r="DK26" s="463">
        <f t="shared" si="47"/>
      </c>
      <c r="DL26" s="463">
        <f t="shared" si="47"/>
      </c>
      <c r="DM26" s="610">
        <f t="shared" si="47"/>
      </c>
      <c r="DN26" s="463">
        <f t="shared" si="47"/>
      </c>
      <c r="DO26" s="463">
        <f t="shared" si="47"/>
      </c>
      <c r="DP26" s="463">
        <f t="shared" si="47"/>
      </c>
      <c r="DQ26" s="463">
        <f t="shared" si="47"/>
      </c>
      <c r="DR26" s="610">
        <f t="shared" si="47"/>
      </c>
      <c r="DS26" s="463">
        <f t="shared" si="47"/>
      </c>
      <c r="DT26" s="463">
        <f t="shared" si="47"/>
      </c>
      <c r="DU26" s="463">
        <f t="shared" si="47"/>
      </c>
      <c r="DV26" s="463">
        <f t="shared" si="47"/>
      </c>
      <c r="DW26" s="610">
        <f t="shared" si="47"/>
      </c>
      <c r="DX26" s="463">
        <f t="shared" si="47"/>
      </c>
      <c r="DY26" s="463">
        <f t="shared" si="47"/>
      </c>
      <c r="DZ26" s="463">
        <f t="shared" si="47"/>
      </c>
      <c r="EA26" s="463">
        <f t="shared" si="47"/>
      </c>
      <c r="EB26" s="610">
        <f t="shared" si="47"/>
      </c>
      <c r="EC26" s="463">
        <f t="shared" si="47"/>
      </c>
      <c r="ED26" s="463">
        <f t="shared" si="47"/>
      </c>
      <c r="EE26" s="463">
        <f t="shared" si="47"/>
      </c>
      <c r="EF26" s="463">
        <f t="shared" ref="EF26:FK26" si="48">EF23-EA23</f>
      </c>
      <c r="EG26" s="610">
        <f t="shared" si="48"/>
      </c>
      <c r="EH26" s="463">
        <f t="shared" si="48"/>
      </c>
      <c r="EI26" s="463">
        <f t="shared" si="48"/>
      </c>
      <c r="EJ26" s="463">
        <f t="shared" si="48"/>
      </c>
      <c r="EK26" s="463">
        <f t="shared" si="48"/>
      </c>
      <c r="EL26" s="610">
        <f t="shared" si="48"/>
      </c>
      <c r="EM26" s="463">
        <f t="shared" si="48"/>
      </c>
      <c r="EN26" s="463">
        <f t="shared" si="48"/>
      </c>
      <c r="EO26" s="463">
        <f t="shared" si="48"/>
      </c>
      <c r="EP26" s="463">
        <f t="shared" si="48"/>
      </c>
      <c r="EQ26" s="610">
        <f t="shared" si="48"/>
      </c>
      <c r="ER26" s="463">
        <f t="shared" si="48"/>
      </c>
      <c r="ES26" s="463">
        <f t="shared" si="48"/>
      </c>
      <c r="ET26" s="463">
        <f t="shared" si="48"/>
      </c>
      <c r="EU26" s="463">
        <f>EU23-EP23</f>
      </c>
      <c r="EV26" s="610">
        <f>EV23-EQ23</f>
      </c>
      <c r="EW26" s="463">
        <f t="shared" si="48"/>
      </c>
      <c r="EX26" s="463">
        <f t="shared" si="48"/>
      </c>
      <c r="EY26" s="463">
        <f t="shared" si="48"/>
      </c>
      <c r="EZ26" s="463">
        <f>EZ23-EU23</f>
      </c>
      <c r="FA26" s="610">
        <f>FA23-EV23</f>
      </c>
      <c r="FB26" s="463">
        <f t="shared" si="48"/>
      </c>
      <c r="FC26" s="463">
        <f t="shared" si="48"/>
      </c>
      <c r="FD26" s="463">
        <f t="shared" si="48"/>
      </c>
      <c r="FE26" s="463">
        <f t="shared" si="48"/>
      </c>
      <c r="FF26" s="610">
        <f t="shared" si="48"/>
      </c>
      <c r="FG26" s="463">
        <f t="shared" si="48"/>
      </c>
      <c r="FH26" s="463">
        <f t="shared" si="48"/>
      </c>
      <c r="FI26" s="463">
        <f t="shared" si="48"/>
      </c>
      <c r="FJ26" s="463">
        <f t="shared" si="48"/>
      </c>
      <c r="FK26" s="610">
        <f t="shared" si="48"/>
      </c>
      <c r="FL26" s="463">
        <f t="shared" ref="FL26:FZ26" si="49">FL23-FG23</f>
      </c>
      <c r="FM26" s="463">
        <f t="shared" si="49"/>
      </c>
      <c r="FN26" s="463">
        <f t="shared" si="49"/>
      </c>
      <c r="FO26" s="463">
        <f t="shared" si="49"/>
      </c>
      <c r="FP26" s="610">
        <f t="shared" si="49"/>
      </c>
      <c r="FQ26" s="463">
        <f t="shared" si="49"/>
      </c>
      <c r="FR26" s="463">
        <f t="shared" si="49"/>
      </c>
      <c r="FS26" s="463">
        <f t="shared" si="49"/>
      </c>
      <c r="FT26" s="463">
        <f t="shared" si="49"/>
      </c>
      <c r="FU26" s="610">
        <f t="shared" si="49"/>
      </c>
      <c r="FV26" s="463">
        <f t="shared" si="49"/>
      </c>
      <c r="FW26" s="463">
        <f t="shared" si="49"/>
      </c>
      <c r="FX26" s="463">
        <f t="shared" si="49"/>
      </c>
      <c r="FY26" s="463">
        <f t="shared" si="49"/>
      </c>
      <c r="FZ26" s="610">
        <f t="shared" si="49"/>
      </c>
      <c r="GA26" s="463">
        <f>GA23-FV23</f>
      </c>
      <c r="GB26" s="463">
        <f>GB23-FW23</f>
      </c>
      <c r="GC26" s="463">
        <f>GC23-FX23</f>
      </c>
      <c r="GD26" s="463">
        <f>GD23-FY23</f>
      </c>
      <c r="GE26" s="610">
        <f>GE23-FZ23</f>
      </c>
    </row>
    <row r="27" spans="1:187" s="537" customFormat="1" ht="12.75" customHeight="1" outlineLevel="1">
      <c r="A27" s="543"/>
      <c r="B27" s="724" t="s">
        <v>312</v>
      </c>
      <c r="C27" s="463">
        <f>C23-A23</f>
      </c>
      <c r="D27" s="463">
        <f>D23-C23</f>
      </c>
      <c r="E27" s="463">
        <f>E23-D23</f>
      </c>
      <c r="F27" s="463">
        <f>F23-E23</f>
      </c>
      <c r="G27" s="610"/>
      <c r="H27" s="463">
        <f>H23-F23</f>
      </c>
      <c r="I27" s="463">
        <f>I23-H23</f>
      </c>
      <c r="J27" s="463">
        <f>J23-I23</f>
      </c>
      <c r="K27" s="463">
        <f>K23-J23</f>
      </c>
      <c r="L27" s="610"/>
      <c r="M27" s="463">
        <f>M23-K23</f>
      </c>
      <c r="N27" s="463">
        <f>N23-M23</f>
      </c>
      <c r="O27" s="463">
        <f>O23-N23</f>
      </c>
      <c r="P27" s="463">
        <f>P23-O23</f>
      </c>
      <c r="Q27" s="610"/>
      <c r="R27" s="463">
        <f>R23-P23</f>
      </c>
      <c r="S27" s="463">
        <f>S23-R23</f>
      </c>
      <c r="T27" s="463">
        <f>T23-S23</f>
      </c>
      <c r="U27" s="463">
        <f>U23-T23</f>
      </c>
      <c r="V27" s="610"/>
      <c r="W27" s="463">
        <f>W23-U23</f>
      </c>
      <c r="X27" s="463">
        <f>X23-W23</f>
      </c>
      <c r="Y27" s="463">
        <f>Y23-X23</f>
      </c>
      <c r="Z27" s="463">
        <f>Z23-Y23</f>
      </c>
      <c r="AA27" s="610"/>
      <c r="AB27" s="463">
        <f>AB23-Z23</f>
      </c>
      <c r="AC27" s="463">
        <f>AC23-AB23</f>
      </c>
      <c r="AD27" s="463">
        <f>AD23-AC23</f>
      </c>
      <c r="AE27" s="463">
        <f>AE23-AD23</f>
      </c>
      <c r="AF27" s="610"/>
      <c r="AG27" s="463">
        <f>AG23-AE23</f>
      </c>
      <c r="AH27" s="463">
        <f>AH23-AG23</f>
      </c>
      <c r="AI27" s="463">
        <f>AI23-AH23</f>
      </c>
      <c r="AJ27" s="463">
        <f>AJ23-AI23</f>
      </c>
      <c r="AK27" s="610"/>
      <c r="AL27" s="463">
        <f>AL23-AJ23</f>
      </c>
      <c r="AM27" s="463">
        <f>AM23-AL23</f>
      </c>
      <c r="AN27" s="463">
        <f>AN23-AM23</f>
      </c>
      <c r="AO27" s="463">
        <f>AO23-AN23</f>
      </c>
      <c r="AP27" s="610"/>
      <c r="AQ27" s="463">
        <f>AQ23-AO23</f>
      </c>
      <c r="AR27" s="463">
        <f>AR23-AQ23</f>
      </c>
      <c r="AS27" s="463">
        <f>AS23-AR23</f>
      </c>
      <c r="AT27" s="463">
        <f>AT23-AS23</f>
      </c>
      <c r="AU27" s="610"/>
      <c r="AV27" s="463">
        <f>AV23-AT23</f>
      </c>
      <c r="AW27" s="463">
        <f>AW23-AV23</f>
      </c>
      <c r="AX27" s="463">
        <f>AX23-AW23</f>
      </c>
      <c r="AY27" s="463">
        <f>AY23-AX23</f>
      </c>
      <c r="AZ27" s="610"/>
      <c r="BA27" s="463">
        <f>BA23-AY23</f>
      </c>
      <c r="BB27" s="463">
        <f>BB23-BA23</f>
      </c>
      <c r="BC27" s="463">
        <f>BC23-BB23</f>
      </c>
      <c r="BD27" s="463">
        <f>BD23-BC23</f>
      </c>
      <c r="BE27" s="610"/>
      <c r="BF27" s="463">
        <f>BF23-BD23</f>
      </c>
      <c r="BG27" s="463">
        <f>BG23-BF23</f>
      </c>
      <c r="BH27" s="463">
        <f>BH23-BG23</f>
      </c>
      <c r="BI27" s="463">
        <f>BI23-BH23</f>
      </c>
      <c r="BJ27" s="610"/>
      <c r="BK27" s="463">
        <f>BK23-BI23</f>
      </c>
      <c r="BL27" s="463">
        <f>BL23-BK23</f>
      </c>
      <c r="BM27" s="463">
        <f>BM23-BL23</f>
      </c>
      <c r="BN27" s="463">
        <f>BN23-BM23</f>
      </c>
      <c r="BO27" s="610"/>
      <c r="BP27" s="463">
        <f>BP23-BN23</f>
      </c>
      <c r="BQ27" s="463">
        <f>BQ23-BP23</f>
      </c>
      <c r="BR27" s="463">
        <f>BR23-BQ23</f>
      </c>
      <c r="BS27" s="463">
        <f>BS23-BR23</f>
      </c>
      <c r="BT27" s="610"/>
      <c r="BU27" s="463">
        <f>BU23-BS23</f>
      </c>
      <c r="BV27" s="463">
        <f>BV23-BU23</f>
      </c>
      <c r="BW27" s="463">
        <f>BW23-BV23</f>
      </c>
      <c r="BX27" s="463">
        <f>BX23-BW23</f>
      </c>
      <c r="BY27" s="610"/>
      <c r="BZ27" s="463">
        <f>BZ23-BX23</f>
      </c>
      <c r="CA27" s="463">
        <f>CA23-BZ23</f>
      </c>
      <c r="CB27" s="463">
        <f>CB23-CA23</f>
      </c>
      <c r="CC27" s="463">
        <f>CC23-CB23</f>
      </c>
      <c r="CD27" s="610"/>
      <c r="CE27" s="463">
        <f>CE23-CC23</f>
      </c>
      <c r="CF27" s="463">
        <f>CF23-CE23</f>
      </c>
      <c r="CG27" s="463">
        <f>CG23-CF23</f>
      </c>
      <c r="CH27" s="463">
        <f>CH23-CG23</f>
      </c>
      <c r="CI27" s="610"/>
      <c r="CJ27" s="463">
        <f>CJ23-CH23</f>
      </c>
      <c r="CK27" s="463">
        <f>CK23-CJ23</f>
      </c>
      <c r="CL27" s="463">
        <f>CL23-CK23</f>
      </c>
      <c r="CM27" s="463">
        <f>CM23-CL23</f>
      </c>
      <c r="CN27" s="610"/>
      <c r="CO27" s="463">
        <f>CO23-CM23</f>
      </c>
      <c r="CP27" s="463">
        <f>CP23-CO23</f>
      </c>
      <c r="CQ27" s="463">
        <f>CQ23-CP23</f>
      </c>
      <c r="CR27" s="463">
        <f>CR23-CQ23</f>
      </c>
      <c r="CS27" s="610"/>
      <c r="CT27" s="463">
        <f>CT23-CR23</f>
      </c>
      <c r="CU27" s="463">
        <f>CU23-CT23</f>
      </c>
      <c r="CV27" s="463">
        <f>CV23-CU23</f>
      </c>
      <c r="CW27" s="463">
        <f>CW23-CV23</f>
      </c>
      <c r="CX27" s="610"/>
      <c r="CY27" s="463">
        <f>CY23-CW23</f>
      </c>
      <c r="CZ27" s="463">
        <f>CZ23-CY23</f>
      </c>
      <c r="DA27" s="463">
        <f>DA23-CZ23</f>
      </c>
      <c r="DB27" s="463">
        <f>DB23-DA23</f>
      </c>
      <c r="DC27" s="610"/>
      <c r="DD27" s="463">
        <f>DD23-DB23</f>
      </c>
      <c r="DE27" s="463">
        <f>DE23-DD23</f>
      </c>
      <c r="DF27" s="463">
        <f>DF23-DE23</f>
      </c>
      <c r="DG27" s="463">
        <f>DG23-DF23</f>
      </c>
      <c r="DH27" s="610"/>
      <c r="DI27" s="463">
        <f>DI23-DG23</f>
      </c>
      <c r="DJ27" s="463">
        <f>DJ23-DI23</f>
      </c>
      <c r="DK27" s="463">
        <f>DK23-DJ23</f>
      </c>
      <c r="DL27" s="463">
        <f>DL23-DK23</f>
      </c>
      <c r="DM27" s="610"/>
      <c r="DN27" s="463">
        <f>DN23-DL23</f>
      </c>
      <c r="DO27" s="463">
        <f>DO23-DN23</f>
      </c>
      <c r="DP27" s="463">
        <f>DP23-DO23</f>
      </c>
      <c r="DQ27" s="463">
        <f>DQ23-DP23</f>
      </c>
      <c r="DR27" s="610"/>
      <c r="DS27" s="463">
        <f>DS23-DQ23</f>
      </c>
      <c r="DT27" s="463">
        <f>DT23-DS23</f>
      </c>
      <c r="DU27" s="463">
        <f>DU23-DT23</f>
      </c>
      <c r="DV27" s="463">
        <f>DV23-DU23</f>
      </c>
      <c r="DW27" s="610"/>
      <c r="DX27" s="463">
        <f>DX23-DV23</f>
      </c>
      <c r="DY27" s="463">
        <f>DY23-DX23</f>
      </c>
      <c r="DZ27" s="463">
        <f>DZ23-DY23</f>
      </c>
      <c r="EA27" s="463">
        <f>EA23-DZ23</f>
      </c>
      <c r="EB27" s="610"/>
      <c r="EC27" s="463">
        <f>EC23-EA23</f>
      </c>
      <c r="ED27" s="463">
        <f>ED23-EC23</f>
      </c>
      <c r="EE27" s="463">
        <f>EE23-ED23</f>
      </c>
      <c r="EF27" s="463">
        <f>EF23-EE23</f>
      </c>
      <c r="EG27" s="610"/>
      <c r="EH27" s="463">
        <f>EH23-EF23</f>
      </c>
      <c r="EI27" s="463">
        <f>EI23-EH23</f>
      </c>
      <c r="EJ27" s="463">
        <f>EJ23-EI23</f>
      </c>
      <c r="EK27" s="463">
        <f>EK23-EJ23</f>
      </c>
      <c r="EL27" s="610"/>
      <c r="EM27" s="463">
        <f>EM23-EK23</f>
      </c>
      <c r="EN27" s="463">
        <f>EN23-EM23</f>
      </c>
      <c r="EO27" s="463">
        <f>EO23-EN23</f>
      </c>
      <c r="EP27" s="463">
        <f>EP23-EO23</f>
      </c>
      <c r="EQ27" s="610"/>
      <c r="ER27" s="463">
        <f>ER23-EP23</f>
      </c>
      <c r="ES27" s="463">
        <f>ES23-ER23</f>
      </c>
      <c r="ET27" s="463">
        <f>ET23-ES23</f>
      </c>
      <c r="EU27" s="463">
        <f>EU23-ET23</f>
      </c>
      <c r="EV27" s="610"/>
      <c r="EW27" s="463">
        <f>EW23-EU23</f>
      </c>
      <c r="EX27" s="463">
        <f>EX23-EW23</f>
      </c>
      <c r="EY27" s="463">
        <f>EY23-EX23</f>
      </c>
      <c r="EZ27" s="463">
        <f>EZ23-EY23</f>
      </c>
      <c r="FA27" s="610"/>
      <c r="FB27" s="463">
        <f>FB23-EZ23</f>
      </c>
      <c r="FC27" s="463">
        <f>FC23-FB23</f>
      </c>
      <c r="FD27" s="463">
        <f>FD23-FC23</f>
      </c>
      <c r="FE27" s="463">
        <f>FE23-FD23</f>
      </c>
      <c r="FF27" s="610"/>
      <c r="FG27" s="463">
        <f>FG23-FE23</f>
      </c>
      <c r="FH27" s="463">
        <f>FH23-FG23</f>
      </c>
      <c r="FI27" s="463">
        <f>FI23-FH23</f>
      </c>
      <c r="FJ27" s="463">
        <f>FJ23-FI23</f>
      </c>
      <c r="FK27" s="610"/>
      <c r="FL27" s="463">
        <f>FL23-FJ23</f>
      </c>
      <c r="FM27" s="463">
        <f>FM23-FL23</f>
      </c>
      <c r="FN27" s="463">
        <f>FN23-FM23</f>
      </c>
      <c r="FO27" s="463">
        <f>FO23-FN23</f>
      </c>
      <c r="FP27" s="610"/>
      <c r="FQ27" s="463">
        <f>FQ23-FO23</f>
      </c>
      <c r="FR27" s="463">
        <f>FR23-FQ23</f>
      </c>
      <c r="FS27" s="463">
        <f>FS23-FR23</f>
      </c>
      <c r="FT27" s="463">
        <f>FT23-FS23</f>
      </c>
      <c r="FU27" s="610"/>
      <c r="FV27" s="463">
        <f>FV23-FT23</f>
      </c>
      <c r="FW27" s="463">
        <f>FW23-FV23</f>
      </c>
      <c r="FX27" s="463">
        <f>FX23-FW23</f>
      </c>
      <c r="FY27" s="463">
        <f>FY23-FX23</f>
      </c>
      <c r="FZ27" s="610"/>
      <c r="GA27" s="463">
        <f>GA23-FY23</f>
      </c>
      <c r="GB27" s="463">
        <f>GB23-GA23</f>
      </c>
      <c r="GC27" s="463">
        <f>GC23-GB23</f>
      </c>
      <c r="GD27" s="463">
        <f>GD23-GC23</f>
      </c>
      <c r="GE27" s="610"/>
    </row>
    <row r="28" spans="1:187" s="537" customFormat="1" ht="12.75" customHeight="1" outlineLevel="1">
      <c r="A28" s="81"/>
      <c r="B28" s="724" t="s">
        <v>279</v>
      </c>
      <c r="C28" s="107"/>
      <c r="D28" s="107"/>
      <c r="E28" s="107"/>
      <c r="F28" s="107"/>
      <c r="G28" s="544"/>
      <c r="H28" s="107">
        <f t="shared" ref="H28:AM28" si="50">IFERROR(H23/H10,"")</f>
      </c>
      <c r="I28" s="107">
        <f t="shared" si="50"/>
      </c>
      <c r="J28" s="107">
        <f t="shared" si="50"/>
      </c>
      <c r="K28" s="107">
        <f t="shared" si="50"/>
      </c>
      <c r="L28" s="544">
        <f t="shared" si="50"/>
      </c>
      <c r="M28" s="107">
        <f t="shared" si="50"/>
      </c>
      <c r="N28" s="107">
        <f t="shared" si="50"/>
      </c>
      <c r="O28" s="107">
        <f t="shared" si="50"/>
      </c>
      <c r="P28" s="107">
        <f t="shared" si="50"/>
      </c>
      <c r="Q28" s="544">
        <f t="shared" si="50"/>
      </c>
      <c r="R28" s="107">
        <f t="shared" si="50"/>
      </c>
      <c r="S28" s="107">
        <f t="shared" si="50"/>
      </c>
      <c r="T28" s="107">
        <f t="shared" si="50"/>
      </c>
      <c r="U28" s="107">
        <f t="shared" si="50"/>
      </c>
      <c r="V28" s="544">
        <f t="shared" si="50"/>
      </c>
      <c r="W28" s="107">
        <f t="shared" si="50"/>
      </c>
      <c r="X28" s="107">
        <f t="shared" si="50"/>
      </c>
      <c r="Y28" s="107">
        <f t="shared" si="50"/>
      </c>
      <c r="Z28" s="107">
        <f t="shared" si="50"/>
      </c>
      <c r="AA28" s="544">
        <f t="shared" si="50"/>
      </c>
      <c r="AB28" s="107">
        <f t="shared" si="50"/>
      </c>
      <c r="AC28" s="107">
        <f t="shared" si="50"/>
      </c>
      <c r="AD28" s="107">
        <f t="shared" si="50"/>
      </c>
      <c r="AE28" s="107">
        <f t="shared" si="50"/>
      </c>
      <c r="AF28" s="544">
        <f t="shared" si="50"/>
      </c>
      <c r="AG28" s="107">
        <f t="shared" si="50"/>
      </c>
      <c r="AH28" s="107">
        <f t="shared" si="50"/>
      </c>
      <c r="AI28" s="107">
        <f t="shared" si="50"/>
      </c>
      <c r="AJ28" s="107">
        <f t="shared" si="50"/>
      </c>
      <c r="AK28" s="544">
        <f t="shared" si="50"/>
      </c>
      <c r="AL28" s="107">
        <f t="shared" si="50"/>
      </c>
      <c r="AM28" s="107">
        <f t="shared" si="50"/>
      </c>
      <c r="AN28" s="107">
        <f t="shared" ref="AN28:BS28" si="51">IFERROR(AN23/AN10,"")</f>
      </c>
      <c r="AO28" s="107">
        <f t="shared" si="51"/>
      </c>
      <c r="AP28" s="544">
        <f t="shared" si="51"/>
      </c>
      <c r="AQ28" s="107">
        <f t="shared" si="51"/>
      </c>
      <c r="AR28" s="107">
        <f t="shared" si="51"/>
      </c>
      <c r="AS28" s="107">
        <f t="shared" si="51"/>
      </c>
      <c r="AT28" s="107">
        <f t="shared" si="51"/>
      </c>
      <c r="AU28" s="544">
        <f t="shared" si="51"/>
      </c>
      <c r="AV28" s="107">
        <f t="shared" si="51"/>
      </c>
      <c r="AW28" s="107">
        <f t="shared" si="51"/>
      </c>
      <c r="AX28" s="107">
        <f t="shared" si="51"/>
      </c>
      <c r="AY28" s="107">
        <f t="shared" si="51"/>
      </c>
      <c r="AZ28" s="544">
        <f t="shared" si="51"/>
      </c>
      <c r="BA28" s="107">
        <f t="shared" si="51"/>
      </c>
      <c r="BB28" s="107">
        <f t="shared" si="51"/>
      </c>
      <c r="BC28" s="107">
        <f t="shared" si="51"/>
      </c>
      <c r="BD28" s="107">
        <f t="shared" si="51"/>
      </c>
      <c r="BE28" s="544">
        <f t="shared" si="51"/>
      </c>
      <c r="BF28" s="107">
        <f t="shared" si="51"/>
      </c>
      <c r="BG28" s="107">
        <f t="shared" si="51"/>
      </c>
      <c r="BH28" s="107">
        <f t="shared" si="51"/>
      </c>
      <c r="BI28" s="107">
        <f t="shared" si="51"/>
      </c>
      <c r="BJ28" s="544">
        <f t="shared" si="51"/>
      </c>
      <c r="BK28" s="107">
        <f t="shared" si="51"/>
      </c>
      <c r="BL28" s="107">
        <f t="shared" si="51"/>
      </c>
      <c r="BM28" s="107">
        <f t="shared" si="51"/>
      </c>
      <c r="BN28" s="107">
        <f t="shared" si="51"/>
      </c>
      <c r="BO28" s="544">
        <f t="shared" si="51"/>
      </c>
      <c r="BP28" s="107">
        <f t="shared" si="51"/>
      </c>
      <c r="BQ28" s="107">
        <f t="shared" si="51"/>
      </c>
      <c r="BR28" s="107">
        <f t="shared" si="51"/>
      </c>
      <c r="BS28" s="107">
        <f t="shared" si="51"/>
      </c>
      <c r="BT28" s="544">
        <f t="shared" ref="BT28:CY28" si="52">IFERROR(BT23/BT10,"")</f>
      </c>
      <c r="BU28" s="107">
        <f t="shared" si="52"/>
      </c>
      <c r="BV28" s="107">
        <f t="shared" si="52"/>
      </c>
      <c r="BW28" s="107">
        <f t="shared" si="52"/>
      </c>
      <c r="BX28" s="107">
        <f t="shared" si="52"/>
      </c>
      <c r="BY28" s="544">
        <f t="shared" si="52"/>
      </c>
      <c r="BZ28" s="107">
        <f t="shared" si="52"/>
      </c>
      <c r="CA28" s="107">
        <f t="shared" si="52"/>
      </c>
      <c r="CB28" s="107">
        <f t="shared" si="52"/>
      </c>
      <c r="CC28" s="107">
        <f t="shared" si="52"/>
      </c>
      <c r="CD28" s="544">
        <f t="shared" si="52"/>
      </c>
      <c r="CE28" s="107">
        <f t="shared" si="52"/>
      </c>
      <c r="CF28" s="107">
        <f t="shared" si="52"/>
      </c>
      <c r="CG28" s="107">
        <f t="shared" si="52"/>
      </c>
      <c r="CH28" s="107">
        <f t="shared" si="52"/>
      </c>
      <c r="CI28" s="544">
        <f t="shared" si="52"/>
      </c>
      <c r="CJ28" s="107">
        <f t="shared" si="52"/>
      </c>
      <c r="CK28" s="107">
        <f t="shared" si="52"/>
      </c>
      <c r="CL28" s="107">
        <f t="shared" si="52"/>
      </c>
      <c r="CM28" s="107">
        <f t="shared" si="52"/>
      </c>
      <c r="CN28" s="544">
        <f t="shared" si="52"/>
      </c>
      <c r="CO28" s="107">
        <f t="shared" si="52"/>
      </c>
      <c r="CP28" s="107">
        <f t="shared" si="52"/>
      </c>
      <c r="CQ28" s="107">
        <f t="shared" si="52"/>
      </c>
      <c r="CR28" s="107">
        <f t="shared" si="52"/>
      </c>
      <c r="CS28" s="544">
        <f t="shared" si="52"/>
      </c>
      <c r="CT28" s="107">
        <f t="shared" si="52"/>
      </c>
      <c r="CU28" s="107">
        <f t="shared" si="52"/>
      </c>
      <c r="CV28" s="107">
        <f t="shared" si="52"/>
      </c>
      <c r="CW28" s="107">
        <f t="shared" si="52"/>
      </c>
      <c r="CX28" s="544">
        <f t="shared" si="52"/>
      </c>
      <c r="CY28" s="107">
        <f t="shared" si="52"/>
      </c>
      <c r="CZ28" s="107">
        <f t="shared" ref="CZ28:EE28" si="53">IFERROR(CZ23/CZ10,"")</f>
      </c>
      <c r="DA28" s="107">
        <f t="shared" si="53"/>
      </c>
      <c r="DB28" s="107">
        <f t="shared" si="53"/>
      </c>
      <c r="DC28" s="544">
        <f t="shared" si="53"/>
      </c>
      <c r="DD28" s="107">
        <f t="shared" si="53"/>
      </c>
      <c r="DE28" s="107">
        <f t="shared" si="53"/>
      </c>
      <c r="DF28" s="107">
        <f t="shared" si="53"/>
      </c>
      <c r="DG28" s="107">
        <f t="shared" si="53"/>
      </c>
      <c r="DH28" s="544">
        <f t="shared" si="53"/>
      </c>
      <c r="DI28" s="107">
        <f t="shared" si="53"/>
      </c>
      <c r="DJ28" s="107">
        <f t="shared" si="53"/>
      </c>
      <c r="DK28" s="107">
        <f t="shared" si="53"/>
      </c>
      <c r="DL28" s="107">
        <f t="shared" si="53"/>
      </c>
      <c r="DM28" s="544">
        <f t="shared" si="53"/>
      </c>
      <c r="DN28" s="107">
        <f t="shared" si="53"/>
      </c>
      <c r="DO28" s="107">
        <f t="shared" si="53"/>
      </c>
      <c r="DP28" s="107">
        <f t="shared" si="53"/>
      </c>
      <c r="DQ28" s="107">
        <f t="shared" si="53"/>
      </c>
      <c r="DR28" s="544">
        <f t="shared" si="53"/>
      </c>
      <c r="DS28" s="107">
        <f t="shared" si="53"/>
      </c>
      <c r="DT28" s="107">
        <f t="shared" si="53"/>
      </c>
      <c r="DU28" s="107">
        <f t="shared" si="53"/>
      </c>
      <c r="DV28" s="107">
        <f t="shared" si="53"/>
      </c>
      <c r="DW28" s="544">
        <f t="shared" si="53"/>
      </c>
      <c r="DX28" s="107">
        <f t="shared" si="53"/>
      </c>
      <c r="DY28" s="107">
        <f t="shared" si="53"/>
      </c>
      <c r="DZ28" s="107">
        <f t="shared" si="53"/>
      </c>
      <c r="EA28" s="107">
        <f t="shared" si="53"/>
      </c>
      <c r="EB28" s="544">
        <f t="shared" si="53"/>
      </c>
      <c r="EC28" s="107">
        <f t="shared" si="53"/>
      </c>
      <c r="ED28" s="107">
        <f t="shared" si="53"/>
      </c>
      <c r="EE28" s="107">
        <f t="shared" si="53"/>
      </c>
      <c r="EF28" s="107">
        <f t="shared" ref="EF28:ER28" si="54">IFERROR(EF23/EF10,"")</f>
      </c>
      <c r="EG28" s="544">
        <f t="shared" si="54"/>
      </c>
      <c r="EH28" s="107">
        <f t="shared" si="54"/>
      </c>
      <c r="EI28" s="107">
        <f t="shared" si="54"/>
      </c>
      <c r="EJ28" s="107">
        <f t="shared" si="54"/>
      </c>
      <c r="EK28" s="107">
        <f t="shared" si="54"/>
      </c>
      <c r="EL28" s="544">
        <f t="shared" si="54"/>
      </c>
      <c r="EM28" s="107">
        <f t="shared" si="54"/>
      </c>
      <c r="EN28" s="107">
        <f t="shared" si="54"/>
      </c>
      <c r="EO28" s="107">
        <f t="shared" si="54"/>
      </c>
      <c r="EP28" s="107">
        <f t="shared" si="54"/>
      </c>
      <c r="EQ28" s="544">
        <f t="shared" si="54"/>
      </c>
      <c r="ER28" s="107">
        <f t="shared" si="54"/>
      </c>
      <c r="ES28" s="107">
        <f>IFERROR(ES23/ES10,"")</f>
      </c>
      <c r="ET28" s="107">
        <f>IFERROR(ET23/ET10,"")</f>
      </c>
      <c r="EU28" s="107">
        <f>IFERROR(EU23/EU10,"")</f>
      </c>
      <c r="EV28" s="544">
        <f>IFERROR(EV23/EV10,"")</f>
      </c>
      <c r="EW28" s="107">
        <f t="shared" ref="EW28" si="55">IFERROR(EW23/EW10,"")</f>
      </c>
      <c r="EX28" s="107">
        <f>IFERROR(EX23/EX10,"")</f>
      </c>
      <c r="EY28" s="107">
        <f>IFERROR(EY23/EY10,"")</f>
      </c>
      <c r="EZ28" s="107">
        <f>IFERROR(EZ23/EZ10,"")</f>
      </c>
      <c r="FA28" s="544">
        <f>IFERROR(FA23/FA10,"")</f>
      </c>
      <c r="FB28" s="107">
        <f>100%-FB20</f>
      </c>
      <c r="FC28" s="107">
        <f>100%-FC20</f>
      </c>
      <c r="FD28" s="107">
        <f>100%-FD20</f>
      </c>
      <c r="FE28" s="107">
        <f>100%-FE20</f>
      </c>
      <c r="FF28" s="544">
        <f>IFERROR(FF23/FF10,"")</f>
      </c>
      <c r="FG28" s="107">
        <f>100%-FG20</f>
      </c>
      <c r="FH28" s="107">
        <f>100%-FH20</f>
      </c>
      <c r="FI28" s="107">
        <f>100%-FI20</f>
      </c>
      <c r="FJ28" s="107">
        <f>100%-FJ20</f>
      </c>
      <c r="FK28" s="544">
        <f>IFERROR(FK23/FK10,"")</f>
      </c>
      <c r="FL28" s="107">
        <f>100%-FL20</f>
      </c>
      <c r="FM28" s="107">
        <f>100%-FM20</f>
      </c>
      <c r="FN28" s="107">
        <f>100%-FN20</f>
      </c>
      <c r="FO28" s="107">
        <f>100%-FO20</f>
      </c>
      <c r="FP28" s="544">
        <f>IFERROR(FP23/FP10,"")</f>
      </c>
      <c r="FQ28" s="107">
        <f>100%-FQ20</f>
      </c>
      <c r="FR28" s="107">
        <f>100%-FR20</f>
      </c>
      <c r="FS28" s="107">
        <f>100%-FS20</f>
      </c>
      <c r="FT28" s="107">
        <f>100%-FT20</f>
      </c>
      <c r="FU28" s="544">
        <f>IFERROR(FU23/FU10,"")</f>
      </c>
      <c r="FV28" s="107">
        <f>100%-FV20</f>
      </c>
      <c r="FW28" s="107">
        <f>100%-FW20</f>
      </c>
      <c r="FX28" s="107">
        <f>100%-FX20</f>
      </c>
      <c r="FY28" s="107">
        <f>100%-FY20</f>
      </c>
      <c r="FZ28" s="544">
        <f>IFERROR(FZ23/FZ10,"")</f>
      </c>
      <c r="GA28" s="107">
        <f>100%-GA20</f>
      </c>
      <c r="GB28" s="107">
        <f>100%-GB20</f>
      </c>
      <c r="GC28" s="107">
        <f>100%-GC20</f>
      </c>
      <c r="GD28" s="107">
        <f>100%-GD20</f>
      </c>
      <c r="GE28" s="544">
        <f>IFERROR(GE23/GE10,"")</f>
      </c>
    </row>
    <row r="29" spans="1:187" s="537" customFormat="1" ht="12.75" customHeight="1" outlineLevel="1">
      <c r="A29" s="81"/>
      <c r="B29" s="724" t="s">
        <v>257</v>
      </c>
      <c r="C29" s="107">
        <f t="shared" ref="C29:H29" si="56">IFERROR(C23/C$10,"")</f>
      </c>
      <c r="D29" s="107">
        <f t="shared" si="56"/>
      </c>
      <c r="E29" s="107">
        <f t="shared" si="56"/>
      </c>
      <c r="F29" s="107">
        <f t="shared" si="56"/>
      </c>
      <c r="G29" s="544">
        <f t="shared" si="56"/>
      </c>
      <c r="H29" s="107">
        <f t="shared" si="56"/>
      </c>
      <c r="I29" s="107">
        <f t="shared" ref="I29:BT29" si="57">IFERROR(I23/I$10,"")</f>
      </c>
      <c r="J29" s="107">
        <f t="shared" si="57"/>
      </c>
      <c r="K29" s="107">
        <f t="shared" si="57"/>
      </c>
      <c r="L29" s="544">
        <f t="shared" si="57"/>
      </c>
      <c r="M29" s="107">
        <f>IFERROR(M23/M$10,"")</f>
      </c>
      <c r="N29" s="107">
        <f t="shared" si="57"/>
      </c>
      <c r="O29" s="107">
        <f t="shared" si="57"/>
      </c>
      <c r="P29" s="107">
        <f t="shared" si="57"/>
      </c>
      <c r="Q29" s="544">
        <f t="shared" si="57"/>
      </c>
      <c r="R29" s="107">
        <f>IFERROR(R23/R$10,"")</f>
      </c>
      <c r="S29" s="107">
        <f t="shared" si="57"/>
      </c>
      <c r="T29" s="107">
        <f t="shared" si="57"/>
      </c>
      <c r="U29" s="107">
        <f t="shared" si="57"/>
      </c>
      <c r="V29" s="544">
        <f t="shared" si="57"/>
      </c>
      <c r="W29" s="107">
        <f>IFERROR(W23/W$10,"")</f>
      </c>
      <c r="X29" s="107">
        <f t="shared" si="57"/>
      </c>
      <c r="Y29" s="107">
        <f t="shared" si="57"/>
      </c>
      <c r="Z29" s="107">
        <f t="shared" si="57"/>
      </c>
      <c r="AA29" s="544">
        <f t="shared" si="57"/>
      </c>
      <c r="AB29" s="107">
        <f>IFERROR(AB23/AB$10,"")</f>
      </c>
      <c r="AC29" s="107">
        <f t="shared" si="57"/>
      </c>
      <c r="AD29" s="107">
        <f t="shared" si="57"/>
      </c>
      <c r="AE29" s="107">
        <f t="shared" si="57"/>
      </c>
      <c r="AF29" s="544">
        <f t="shared" si="57"/>
      </c>
      <c r="AG29" s="107">
        <f>IFERROR(AG23/AG$10,"")</f>
      </c>
      <c r="AH29" s="107">
        <f t="shared" si="57"/>
      </c>
      <c r="AI29" s="107">
        <f t="shared" si="57"/>
      </c>
      <c r="AJ29" s="107">
        <f t="shared" si="57"/>
      </c>
      <c r="AK29" s="544">
        <f t="shared" si="57"/>
      </c>
      <c r="AL29" s="107">
        <f>IFERROR(AL23/AL$10,"")</f>
      </c>
      <c r="AM29" s="107">
        <f t="shared" si="57"/>
      </c>
      <c r="AN29" s="107">
        <f t="shared" si="57"/>
      </c>
      <c r="AO29" s="107">
        <f t="shared" si="57"/>
      </c>
      <c r="AP29" s="544">
        <f t="shared" si="57"/>
      </c>
      <c r="AQ29" s="107">
        <f>IFERROR(AQ23/AQ$10,"")</f>
      </c>
      <c r="AR29" s="107">
        <f t="shared" si="57"/>
      </c>
      <c r="AS29" s="107">
        <f t="shared" si="57"/>
      </c>
      <c r="AT29" s="107">
        <f t="shared" si="57"/>
      </c>
      <c r="AU29" s="544">
        <f t="shared" si="57"/>
      </c>
      <c r="AV29" s="107">
        <f>IFERROR(AV23/AV$10,"")</f>
      </c>
      <c r="AW29" s="107">
        <f t="shared" si="57"/>
      </c>
      <c r="AX29" s="107">
        <f t="shared" si="57"/>
      </c>
      <c r="AY29" s="107">
        <f t="shared" si="57"/>
      </c>
      <c r="AZ29" s="544">
        <f t="shared" si="57"/>
      </c>
      <c r="BA29" s="107">
        <f>IFERROR(BA23/BA$10,"")</f>
      </c>
      <c r="BB29" s="107">
        <f t="shared" si="57"/>
      </c>
      <c r="BC29" s="107">
        <f t="shared" si="57"/>
      </c>
      <c r="BD29" s="107">
        <f t="shared" si="57"/>
      </c>
      <c r="BE29" s="544">
        <f t="shared" si="57"/>
      </c>
      <c r="BF29" s="107">
        <f>IFERROR(BF23/BF$10,"")</f>
      </c>
      <c r="BG29" s="107">
        <f t="shared" si="57"/>
      </c>
      <c r="BH29" s="107">
        <f t="shared" si="57"/>
      </c>
      <c r="BI29" s="107">
        <f t="shared" si="57"/>
      </c>
      <c r="BJ29" s="544">
        <f t="shared" si="57"/>
      </c>
      <c r="BK29" s="107">
        <f>IFERROR(BK23/BK$10,"")</f>
      </c>
      <c r="BL29" s="107">
        <f t="shared" si="57"/>
      </c>
      <c r="BM29" s="107">
        <f t="shared" si="57"/>
      </c>
      <c r="BN29" s="107">
        <f t="shared" si="57"/>
      </c>
      <c r="BO29" s="544">
        <f t="shared" si="57"/>
      </c>
      <c r="BP29" s="107">
        <f>IFERROR(BP23/BP$10,"")</f>
      </c>
      <c r="BQ29" s="107">
        <f t="shared" si="57"/>
      </c>
      <c r="BR29" s="107">
        <f t="shared" si="57"/>
      </c>
      <c r="BS29" s="107">
        <f t="shared" si="57"/>
      </c>
      <c r="BT29" s="544">
        <f t="shared" si="57"/>
      </c>
      <c r="BU29" s="107">
        <f>IFERROR(BU23/BU$10,"")</f>
      </c>
      <c r="BV29" s="107">
        <f t="shared" ref="BV29:CD29" si="58">IFERROR(BV23/BV$10,"")</f>
      </c>
      <c r="BW29" s="107">
        <f t="shared" si="58"/>
      </c>
      <c r="BX29" s="107">
        <f t="shared" si="58"/>
      </c>
      <c r="BY29" s="544">
        <f t="shared" si="58"/>
      </c>
      <c r="BZ29" s="107">
        <f>IFERROR(BZ23/BZ$10,"")</f>
      </c>
      <c r="CA29" s="107">
        <f t="shared" si="58"/>
      </c>
      <c r="CB29" s="107">
        <f t="shared" si="58"/>
      </c>
      <c r="CC29" s="107">
        <f t="shared" si="58"/>
      </c>
      <c r="CD29" s="544">
        <f t="shared" si="58"/>
      </c>
      <c r="CE29" s="107">
        <f>IFERROR(CE23/CE$10,"")</f>
      </c>
      <c r="CF29" s="107">
        <f t="shared" ref="CF29:DC29" si="59">IFERROR(CF23/CF$10,"")</f>
      </c>
      <c r="CG29" s="107">
        <f t="shared" si="59"/>
      </c>
      <c r="CH29" s="107">
        <f t="shared" si="59"/>
      </c>
      <c r="CI29" s="544">
        <f t="shared" si="59"/>
      </c>
      <c r="CJ29" s="107">
        <f>IFERROR(CJ23/CJ$10,"")</f>
      </c>
      <c r="CK29" s="107">
        <f t="shared" si="59"/>
      </c>
      <c r="CL29" s="107">
        <f t="shared" si="59"/>
      </c>
      <c r="CM29" s="107">
        <f t="shared" si="59"/>
      </c>
      <c r="CN29" s="544">
        <f t="shared" si="59"/>
      </c>
      <c r="CO29" s="107">
        <f>IFERROR(CO23/CO$10,"")</f>
      </c>
      <c r="CP29" s="107">
        <f t="shared" si="59"/>
      </c>
      <c r="CQ29" s="107">
        <f t="shared" si="59"/>
      </c>
      <c r="CR29" s="107">
        <f t="shared" si="59"/>
      </c>
      <c r="CS29" s="544">
        <f t="shared" si="59"/>
      </c>
      <c r="CT29" s="107">
        <f>IFERROR(CT23/CT$10,"")</f>
      </c>
      <c r="CU29" s="107">
        <f t="shared" si="59"/>
      </c>
      <c r="CV29" s="107">
        <f t="shared" si="59"/>
      </c>
      <c r="CW29" s="107">
        <f t="shared" si="59"/>
      </c>
      <c r="CX29" s="544">
        <f t="shared" si="59"/>
      </c>
      <c r="CY29" s="107">
        <f>IFERROR(CY23/CY$10,"")</f>
      </c>
      <c r="CZ29" s="107">
        <f t="shared" si="59"/>
      </c>
      <c r="DA29" s="107">
        <f t="shared" si="59"/>
      </c>
      <c r="DB29" s="107">
        <f t="shared" si="59"/>
      </c>
      <c r="DC29" s="544">
        <f t="shared" si="59"/>
      </c>
      <c r="DD29" s="107">
        <f>IFERROR(DD23/DD$10,"")</f>
      </c>
      <c r="DE29" s="107">
        <f t="shared" ref="DE29:EQ29" si="60">IFERROR(DE23/DE$10,"")</f>
      </c>
      <c r="DF29" s="107">
        <f t="shared" si="60"/>
      </c>
      <c r="DG29" s="107">
        <f t="shared" si="60"/>
      </c>
      <c r="DH29" s="544">
        <f t="shared" si="60"/>
      </c>
      <c r="DI29" s="107">
        <f>IFERROR(DI23/DI$10,"")</f>
      </c>
      <c r="DJ29" s="107">
        <f t="shared" si="60"/>
      </c>
      <c r="DK29" s="107">
        <f t="shared" si="60"/>
      </c>
      <c r="DL29" s="107">
        <f t="shared" si="60"/>
      </c>
      <c r="DM29" s="544">
        <f t="shared" si="60"/>
      </c>
      <c r="DN29" s="107">
        <f>IFERROR(DN23/DN$10,"")</f>
      </c>
      <c r="DO29" s="107">
        <f t="shared" si="60"/>
      </c>
      <c r="DP29" s="107">
        <f t="shared" si="60"/>
      </c>
      <c r="DQ29" s="107">
        <f t="shared" si="60"/>
      </c>
      <c r="DR29" s="544">
        <f t="shared" si="60"/>
      </c>
      <c r="DS29" s="107">
        <f>IFERROR(DS23/DS$10,"")</f>
      </c>
      <c r="DT29" s="107">
        <f t="shared" si="60"/>
      </c>
      <c r="DU29" s="107">
        <f t="shared" si="60"/>
      </c>
      <c r="DV29" s="107">
        <f t="shared" si="60"/>
      </c>
      <c r="DW29" s="544">
        <f t="shared" si="60"/>
      </c>
      <c r="DX29" s="107">
        <f>IFERROR(DX23/DX$10,"")</f>
      </c>
      <c r="DY29" s="107">
        <f t="shared" si="60"/>
      </c>
      <c r="DZ29" s="107">
        <f t="shared" si="60"/>
      </c>
      <c r="EA29" s="107">
        <f t="shared" si="60"/>
      </c>
      <c r="EB29" s="544">
        <f t="shared" si="60"/>
      </c>
      <c r="EC29" s="107">
        <f>IFERROR(EC23/EC$10,"")</f>
      </c>
      <c r="ED29" s="107">
        <f t="shared" si="60"/>
      </c>
      <c r="EE29" s="107">
        <f t="shared" si="60"/>
      </c>
      <c r="EF29" s="107">
        <f t="shared" si="60"/>
      </c>
      <c r="EG29" s="544">
        <f t="shared" si="60"/>
      </c>
      <c r="EH29" s="107">
        <f>IFERROR(EH23/EH$10,"")</f>
      </c>
      <c r="EI29" s="107">
        <f t="shared" si="60"/>
      </c>
      <c r="EJ29" s="107">
        <f t="shared" si="60"/>
      </c>
      <c r="EK29" s="107">
        <f t="shared" si="60"/>
      </c>
      <c r="EL29" s="544">
        <f t="shared" si="60"/>
      </c>
      <c r="EM29" s="107">
        <f>IFERROR(EM23/EM$10,"")</f>
      </c>
      <c r="EN29" s="107">
        <f t="shared" si="60"/>
      </c>
      <c r="EO29" s="107">
        <f t="shared" si="60"/>
      </c>
      <c r="EP29" s="107">
        <f t="shared" si="60"/>
      </c>
      <c r="EQ29" s="544">
        <f t="shared" si="60"/>
      </c>
      <c r="ER29" s="107">
        <f t="shared" ref="ER29:EW29" si="61">IFERROR(ER23/ER$10,"")</f>
      </c>
      <c r="ES29" s="107">
        <f t="shared" si="61"/>
      </c>
      <c r="ET29" s="107">
        <f t="shared" si="61"/>
      </c>
      <c r="EU29" s="107">
        <f t="shared" si="61"/>
      </c>
      <c r="EV29" s="544">
        <f t="shared" si="61"/>
      </c>
      <c r="EW29" s="107">
        <f t="shared" si="61"/>
      </c>
      <c r="EX29" s="107">
        <f t="shared" ref="EX29:FA29" si="62">IFERROR(EX23/EX$10,"")</f>
      </c>
      <c r="EY29" s="107">
        <f t="shared" si="62"/>
      </c>
      <c r="EZ29" s="107">
        <f t="shared" si="62"/>
      </c>
      <c r="FA29" s="544">
        <f t="shared" si="62"/>
      </c>
      <c r="FB29" s="107">
        <f t="shared" ref="FB29:FZ29" si="63">IFERROR(FB23/FB$10,"")</f>
      </c>
      <c r="FC29" s="107">
        <f t="shared" si="63"/>
      </c>
      <c r="FD29" s="107">
        <f t="shared" si="63"/>
      </c>
      <c r="FE29" s="107">
        <f t="shared" si="63"/>
      </c>
      <c r="FF29" s="544">
        <f t="shared" si="63"/>
      </c>
      <c r="FG29" s="107">
        <f t="shared" si="63"/>
      </c>
      <c r="FH29" s="107">
        <f t="shared" si="63"/>
      </c>
      <c r="FI29" s="107">
        <f t="shared" si="63"/>
      </c>
      <c r="FJ29" s="107">
        <f t="shared" si="63"/>
      </c>
      <c r="FK29" s="544">
        <f t="shared" si="63"/>
      </c>
      <c r="FL29" s="107">
        <f t="shared" si="63"/>
      </c>
      <c r="FM29" s="107">
        <f t="shared" si="63"/>
      </c>
      <c r="FN29" s="107">
        <f t="shared" si="63"/>
      </c>
      <c r="FO29" s="107">
        <f t="shared" si="63"/>
      </c>
      <c r="FP29" s="544">
        <f t="shared" si="63"/>
      </c>
      <c r="FQ29" s="107">
        <f t="shared" si="63"/>
      </c>
      <c r="FR29" s="107">
        <f t="shared" si="63"/>
      </c>
      <c r="FS29" s="107">
        <f t="shared" si="63"/>
      </c>
      <c r="FT29" s="107">
        <f t="shared" si="63"/>
      </c>
      <c r="FU29" s="544">
        <f t="shared" si="63"/>
      </c>
      <c r="FV29" s="107">
        <f t="shared" si="63"/>
      </c>
      <c r="FW29" s="107">
        <f t="shared" si="63"/>
      </c>
      <c r="FX29" s="107">
        <f t="shared" si="63"/>
      </c>
      <c r="FY29" s="107">
        <f t="shared" si="63"/>
      </c>
      <c r="FZ29" s="544">
        <f t="shared" si="63"/>
      </c>
      <c r="GA29" s="107">
        <f>IFERROR(GA23/GA$10,"")</f>
      </c>
      <c r="GB29" s="107">
        <f>IFERROR(GB23/GB$10,"")</f>
      </c>
      <c r="GC29" s="107">
        <f>IFERROR(GC23/GC$10,"")</f>
      </c>
      <c r="GD29" s="107">
        <f>IFERROR(GD23/GD$10,"")</f>
      </c>
      <c r="GE29" s="544">
        <f>IFERROR(GE23/GE$10,"")</f>
      </c>
    </row>
    <row r="30" spans="1:187" ht="12.75" customHeight="1" outlineLevel="1">
      <c r="B30" s="719"/>
      <c r="C30" s="98"/>
      <c r="D30" s="98"/>
      <c r="E30" s="98"/>
      <c r="F30" s="98"/>
      <c r="G30" s="99"/>
      <c r="H30" s="107"/>
      <c r="I30" s="107"/>
      <c r="J30" s="107"/>
      <c r="K30" s="107"/>
      <c r="L30" s="99"/>
      <c r="M30" s="541"/>
      <c r="N30" s="541"/>
      <c r="O30" s="541"/>
      <c r="P30" s="541"/>
      <c r="Q30" s="99"/>
      <c r="R30" s="541"/>
      <c r="S30" s="541"/>
      <c r="T30" s="541"/>
      <c r="U30" s="541"/>
      <c r="V30" s="99"/>
      <c r="W30" s="541"/>
      <c r="X30" s="541"/>
      <c r="Y30" s="541"/>
      <c r="Z30" s="541"/>
      <c r="AA30" s="99"/>
      <c r="AB30" s="541"/>
      <c r="AC30" s="541"/>
      <c r="AD30" s="541"/>
      <c r="AE30" s="541"/>
      <c r="AF30" s="99"/>
      <c r="AG30" s="541"/>
      <c r="AH30" s="541"/>
      <c r="AI30" s="541"/>
      <c r="AJ30" s="541"/>
      <c r="AK30" s="99"/>
      <c r="AL30" s="541"/>
      <c r="AM30" s="541"/>
      <c r="AN30" s="541"/>
      <c r="AO30" s="541"/>
      <c r="AP30" s="99"/>
      <c r="AQ30" s="541"/>
      <c r="AR30" s="541"/>
      <c r="AS30" s="541"/>
      <c r="AT30" s="541"/>
      <c r="AU30" s="99"/>
      <c r="AV30" s="541"/>
      <c r="AW30" s="541"/>
      <c r="AX30" s="541"/>
      <c r="AY30" s="541"/>
      <c r="AZ30" s="99"/>
      <c r="BA30" s="541"/>
      <c r="BB30" s="541"/>
      <c r="BC30" s="541"/>
      <c r="BD30" s="541"/>
      <c r="BE30" s="99"/>
      <c r="BF30" s="541"/>
      <c r="BG30" s="541"/>
      <c r="BH30" s="541"/>
      <c r="BI30" s="541"/>
      <c r="BJ30" s="99"/>
      <c r="BK30" s="541"/>
      <c r="BL30" s="541"/>
      <c r="BM30" s="541"/>
      <c r="BN30" s="541"/>
      <c r="BO30" s="99"/>
      <c r="BP30" s="541"/>
      <c r="BQ30" s="541"/>
      <c r="BR30" s="541"/>
      <c r="BS30" s="541"/>
      <c r="BT30" s="99"/>
      <c r="BU30" s="541"/>
      <c r="BV30" s="541"/>
      <c r="BW30" s="541"/>
      <c r="BX30" s="541"/>
      <c r="BY30" s="99"/>
      <c r="BZ30" s="541"/>
      <c r="CA30" s="541"/>
      <c r="CB30" s="541"/>
      <c r="CC30" s="541"/>
      <c r="CD30" s="99"/>
      <c r="CE30" s="541"/>
      <c r="CF30" s="541"/>
      <c r="CG30" s="541"/>
      <c r="CH30" s="541"/>
      <c r="CI30" s="99"/>
      <c r="CJ30" s="541"/>
      <c r="CK30" s="541"/>
      <c r="CL30" s="541"/>
      <c r="CM30" s="541"/>
      <c r="CN30" s="99"/>
      <c r="CO30" s="541"/>
      <c r="CP30" s="541"/>
      <c r="CQ30" s="541"/>
      <c r="CR30" s="541"/>
      <c r="CS30" s="99"/>
      <c r="CT30" s="541"/>
      <c r="CU30" s="541"/>
      <c r="CV30" s="541"/>
      <c r="CW30" s="541"/>
      <c r="CX30" s="99"/>
      <c r="CY30" s="541"/>
      <c r="CZ30" s="541"/>
      <c r="DA30" s="541"/>
      <c r="DB30" s="541"/>
      <c r="DC30" s="99"/>
      <c r="DD30" s="541"/>
      <c r="DE30" s="541"/>
      <c r="DF30" s="541"/>
      <c r="DG30" s="541"/>
      <c r="DH30" s="99"/>
      <c r="DI30" s="541"/>
      <c r="DJ30" s="541"/>
      <c r="DK30" s="541"/>
      <c r="DL30" s="541"/>
      <c r="DM30" s="99"/>
      <c r="DN30" s="541"/>
      <c r="DO30" s="541"/>
      <c r="DP30" s="541"/>
      <c r="DQ30" s="541"/>
      <c r="DR30" s="99"/>
      <c r="DS30" s="541"/>
      <c r="DT30" s="541"/>
      <c r="DU30" s="541"/>
      <c r="DV30" s="541"/>
      <c r="DW30" s="99"/>
      <c r="DX30" s="541"/>
      <c r="DY30" s="541"/>
      <c r="DZ30" s="541"/>
      <c r="EA30" s="541"/>
      <c r="EB30" s="99"/>
      <c r="EC30" s="541"/>
      <c r="ED30" s="541"/>
      <c r="EE30" s="541"/>
      <c r="EF30" s="541"/>
      <c r="EG30" s="99"/>
      <c r="EH30" s="541"/>
      <c r="EI30" s="541"/>
      <c r="EJ30" s="541"/>
      <c r="EK30" s="541"/>
      <c r="EL30" s="99"/>
      <c r="EM30" s="541"/>
      <c r="EN30" s="541"/>
      <c r="EO30" s="541"/>
      <c r="EP30" s="541"/>
      <c r="EQ30" s="99"/>
      <c r="ER30" s="541"/>
      <c r="ES30" s="541"/>
      <c r="ET30" s="541"/>
      <c r="EU30" s="541"/>
      <c r="EV30" s="99"/>
      <c r="EW30" s="541"/>
      <c r="EX30" s="541"/>
      <c r="EY30" s="541"/>
      <c r="EZ30" s="541"/>
      <c r="FA30" s="99"/>
      <c r="FB30" s="541"/>
      <c r="FC30" s="541"/>
      <c r="FD30" s="541"/>
      <c r="FE30" s="541"/>
      <c r="FF30" s="99"/>
      <c r="FG30" s="541"/>
      <c r="FH30" s="541"/>
      <c r="FI30" s="541"/>
      <c r="FJ30" s="541"/>
      <c r="FK30" s="99"/>
      <c r="FL30" s="541"/>
      <c r="FM30" s="541"/>
      <c r="FN30" s="541"/>
      <c r="FO30" s="541"/>
      <c r="FP30" s="99"/>
      <c r="FQ30" s="541"/>
      <c r="FR30" s="541"/>
      <c r="FS30" s="541"/>
      <c r="FT30" s="541"/>
      <c r="FU30" s="99"/>
      <c r="FV30" s="541"/>
      <c r="FW30" s="541"/>
      <c r="FX30" s="541"/>
      <c r="FY30" s="541"/>
      <c r="FZ30" s="99"/>
      <c r="GA30" s="541"/>
      <c r="GB30" s="541"/>
      <c r="GC30" s="541"/>
      <c r="GD30" s="541"/>
      <c r="GE30" s="99"/>
    </row>
    <row r="31" spans="1:187" s="1141" customFormat="1" ht="12.75" customHeight="1" outlineLevel="1">
      <c r="A31" s="774" t="s">
        <v>52</v>
      </c>
      <c r="B31" s="1155" t="s">
        <v>272</v>
      </c>
      <c r="C31" s="619">
        <f t="shared" ref="C31:AH31" si="64">C23+C15</f>
      </c>
      <c r="D31" s="1156">
        <f t="shared" si="64"/>
      </c>
      <c r="E31" s="1156">
        <f t="shared" si="64"/>
      </c>
      <c r="F31" s="1156">
        <f t="shared" si="64"/>
      </c>
      <c r="G31" s="1157">
        <f t="shared" si="64"/>
      </c>
      <c r="H31" s="619">
        <f t="shared" si="64"/>
      </c>
      <c r="I31" s="1156">
        <f t="shared" si="64"/>
      </c>
      <c r="J31" s="1156">
        <f t="shared" si="64"/>
      </c>
      <c r="K31" s="1156">
        <f t="shared" si="64"/>
      </c>
      <c r="L31" s="1157">
        <f t="shared" si="64"/>
      </c>
      <c r="M31" s="619">
        <f t="shared" si="64"/>
      </c>
      <c r="N31" s="1156">
        <f t="shared" si="64"/>
      </c>
      <c r="O31" s="1156">
        <f t="shared" si="64"/>
      </c>
      <c r="P31" s="1156">
        <f t="shared" si="64"/>
      </c>
      <c r="Q31" s="1157">
        <f t="shared" si="64"/>
      </c>
      <c r="R31" s="619">
        <f t="shared" si="64"/>
      </c>
      <c r="S31" s="1156">
        <f t="shared" si="64"/>
      </c>
      <c r="T31" s="1156">
        <f t="shared" si="64"/>
      </c>
      <c r="U31" s="1156">
        <f t="shared" si="64"/>
      </c>
      <c r="V31" s="1157">
        <f t="shared" si="64"/>
      </c>
      <c r="W31" s="619">
        <f t="shared" si="64"/>
      </c>
      <c r="X31" s="1156">
        <f t="shared" si="64"/>
      </c>
      <c r="Y31" s="1156">
        <f t="shared" si="64"/>
      </c>
      <c r="Z31" s="1156">
        <f t="shared" si="64"/>
      </c>
      <c r="AA31" s="1157">
        <f t="shared" si="64"/>
      </c>
      <c r="AB31" s="1156">
        <f t="shared" si="64"/>
      </c>
      <c r="AC31" s="1156">
        <f t="shared" si="64"/>
      </c>
      <c r="AD31" s="1156">
        <f t="shared" si="64"/>
      </c>
      <c r="AE31" s="1156">
        <f t="shared" si="64"/>
      </c>
      <c r="AF31" s="1157">
        <f t="shared" si="64"/>
      </c>
      <c r="AG31" s="1156">
        <f t="shared" si="64"/>
      </c>
      <c r="AH31" s="1156">
        <f t="shared" si="64"/>
      </c>
      <c r="AI31" s="1156">
        <f t="shared" ref="AI31:BN31" si="65">AI23+AI15</f>
      </c>
      <c r="AJ31" s="1156">
        <f t="shared" si="65"/>
      </c>
      <c r="AK31" s="1157">
        <f t="shared" si="65"/>
      </c>
      <c r="AL31" s="1156">
        <f t="shared" si="65"/>
      </c>
      <c r="AM31" s="1156">
        <f t="shared" si="65"/>
      </c>
      <c r="AN31" s="1156">
        <f t="shared" si="65"/>
      </c>
      <c r="AO31" s="1156">
        <f t="shared" si="65"/>
      </c>
      <c r="AP31" s="1157">
        <f t="shared" si="65"/>
      </c>
      <c r="AQ31" s="1156">
        <f t="shared" si="65"/>
      </c>
      <c r="AR31" s="1156">
        <f t="shared" si="65"/>
      </c>
      <c r="AS31" s="1156">
        <f t="shared" si="65"/>
      </c>
      <c r="AT31" s="1156">
        <f t="shared" si="65"/>
      </c>
      <c r="AU31" s="1157">
        <f t="shared" si="65"/>
      </c>
      <c r="AV31" s="1156">
        <f t="shared" si="65"/>
      </c>
      <c r="AW31" s="1156">
        <f t="shared" si="65"/>
      </c>
      <c r="AX31" s="1156">
        <f t="shared" si="65"/>
      </c>
      <c r="AY31" s="1156">
        <f t="shared" si="65"/>
      </c>
      <c r="AZ31" s="1157">
        <f t="shared" si="65"/>
      </c>
      <c r="BA31" s="1156">
        <f t="shared" si="65"/>
      </c>
      <c r="BB31" s="1156">
        <f t="shared" si="65"/>
      </c>
      <c r="BC31" s="1156">
        <f t="shared" si="65"/>
      </c>
      <c r="BD31" s="1156">
        <f t="shared" si="65"/>
      </c>
      <c r="BE31" s="1157">
        <f t="shared" si="65"/>
      </c>
      <c r="BF31" s="1156">
        <f t="shared" si="65"/>
      </c>
      <c r="BG31" s="1156">
        <f t="shared" si="65"/>
      </c>
      <c r="BH31" s="1156">
        <f t="shared" si="65"/>
      </c>
      <c r="BI31" s="1156">
        <f t="shared" si="65"/>
      </c>
      <c r="BJ31" s="1157">
        <f t="shared" si="65"/>
      </c>
      <c r="BK31" s="1156">
        <f t="shared" si="65"/>
      </c>
      <c r="BL31" s="1156">
        <f t="shared" si="65"/>
      </c>
      <c r="BM31" s="1156">
        <f t="shared" si="65"/>
      </c>
      <c r="BN31" s="1156">
        <f t="shared" si="65"/>
      </c>
      <c r="BO31" s="1157">
        <f t="shared" ref="BO31:CT31" si="66">BO23+BO15</f>
      </c>
      <c r="BP31" s="1156">
        <f t="shared" si="66"/>
      </c>
      <c r="BQ31" s="1156">
        <f t="shared" si="66"/>
      </c>
      <c r="BR31" s="1156">
        <f t="shared" si="66"/>
      </c>
      <c r="BS31" s="1156">
        <f t="shared" si="66"/>
      </c>
      <c r="BT31" s="1157">
        <f t="shared" si="66"/>
      </c>
      <c r="BU31" s="1156">
        <f t="shared" si="66"/>
      </c>
      <c r="BV31" s="1156">
        <f t="shared" si="66"/>
      </c>
      <c r="BW31" s="1156">
        <f t="shared" si="66"/>
      </c>
      <c r="BX31" s="1156">
        <f t="shared" si="66"/>
      </c>
      <c r="BY31" s="1157">
        <f t="shared" si="66"/>
      </c>
      <c r="BZ31" s="1156">
        <f t="shared" si="66"/>
      </c>
      <c r="CA31" s="1156">
        <f t="shared" si="66"/>
      </c>
      <c r="CB31" s="1156">
        <f t="shared" si="66"/>
      </c>
      <c r="CC31" s="1156">
        <f t="shared" si="66"/>
      </c>
      <c r="CD31" s="1157">
        <f t="shared" si="66"/>
      </c>
      <c r="CE31" s="1156">
        <f t="shared" si="66"/>
      </c>
      <c r="CF31" s="1156">
        <f t="shared" si="66"/>
      </c>
      <c r="CG31" s="1156">
        <f t="shared" si="66"/>
      </c>
      <c r="CH31" s="1156">
        <f t="shared" si="66"/>
      </c>
      <c r="CI31" s="1157">
        <f t="shared" si="66"/>
      </c>
      <c r="CJ31" s="1156">
        <f t="shared" si="66"/>
      </c>
      <c r="CK31" s="1156">
        <f t="shared" si="66"/>
      </c>
      <c r="CL31" s="1156">
        <f t="shared" si="66"/>
      </c>
      <c r="CM31" s="1156">
        <f t="shared" si="66"/>
      </c>
      <c r="CN31" s="1157">
        <f t="shared" si="66"/>
      </c>
      <c r="CO31" s="1156">
        <f t="shared" si="66"/>
      </c>
      <c r="CP31" s="1156">
        <f t="shared" si="66"/>
      </c>
      <c r="CQ31" s="1156">
        <f t="shared" si="66"/>
      </c>
      <c r="CR31" s="1156">
        <f t="shared" si="66"/>
      </c>
      <c r="CS31" s="1157">
        <f t="shared" si="66"/>
      </c>
      <c r="CT31" s="1156">
        <f t="shared" si="66"/>
      </c>
      <c r="CU31" s="1156">
        <f t="shared" ref="CU31:DZ31" si="67">CU23+CU15</f>
      </c>
      <c r="CV31" s="1156">
        <f t="shared" si="67"/>
      </c>
      <c r="CW31" s="1156">
        <f t="shared" si="67"/>
      </c>
      <c r="CX31" s="1157">
        <f t="shared" si="67"/>
      </c>
      <c r="CY31" s="1156">
        <f t="shared" si="67"/>
      </c>
      <c r="CZ31" s="1156">
        <f t="shared" si="67"/>
      </c>
      <c r="DA31" s="1156">
        <f t="shared" si="67"/>
      </c>
      <c r="DB31" s="1156">
        <f t="shared" si="67"/>
      </c>
      <c r="DC31" s="1157">
        <f t="shared" si="67"/>
      </c>
      <c r="DD31" s="1156">
        <f t="shared" si="67"/>
      </c>
      <c r="DE31" s="1156">
        <f t="shared" si="67"/>
      </c>
      <c r="DF31" s="1156">
        <f t="shared" si="67"/>
      </c>
      <c r="DG31" s="1156">
        <f t="shared" si="67"/>
      </c>
      <c r="DH31" s="1157">
        <f t="shared" si="67"/>
      </c>
      <c r="DI31" s="1156">
        <f t="shared" si="67"/>
      </c>
      <c r="DJ31" s="1156">
        <f t="shared" si="67"/>
      </c>
      <c r="DK31" s="1156">
        <f t="shared" si="67"/>
      </c>
      <c r="DL31" s="1156">
        <f t="shared" si="67"/>
      </c>
      <c r="DM31" s="1157">
        <f t="shared" si="67"/>
      </c>
      <c r="DN31" s="1156">
        <f t="shared" si="67"/>
      </c>
      <c r="DO31" s="1156">
        <f t="shared" si="67"/>
      </c>
      <c r="DP31" s="1156">
        <f t="shared" si="67"/>
      </c>
      <c r="DQ31" s="1156">
        <f t="shared" si="67"/>
      </c>
      <c r="DR31" s="1157">
        <f t="shared" si="67"/>
      </c>
      <c r="DS31" s="1156">
        <f t="shared" si="67"/>
      </c>
      <c r="DT31" s="1156">
        <f t="shared" si="67"/>
      </c>
      <c r="DU31" s="1156">
        <f t="shared" si="67"/>
      </c>
      <c r="DV31" s="1156">
        <f t="shared" si="67"/>
      </c>
      <c r="DW31" s="1157">
        <f t="shared" si="67"/>
      </c>
      <c r="DX31" s="1156">
        <f t="shared" si="67"/>
      </c>
      <c r="DY31" s="1156">
        <f t="shared" si="67"/>
      </c>
      <c r="DZ31" s="1156">
        <f t="shared" si="67"/>
      </c>
      <c r="EA31" s="1156">
        <f t="shared" ref="EA31:ER31" si="68">EA23+EA15</f>
      </c>
      <c r="EB31" s="1157">
        <f t="shared" si="68"/>
      </c>
      <c r="EC31" s="1156">
        <f t="shared" si="68"/>
      </c>
      <c r="ED31" s="1156">
        <f t="shared" si="68"/>
      </c>
      <c r="EE31" s="1156">
        <f t="shared" si="68"/>
      </c>
      <c r="EF31" s="1156">
        <f t="shared" si="68"/>
      </c>
      <c r="EG31" s="1157">
        <f t="shared" si="68"/>
      </c>
      <c r="EH31" s="1156">
        <f t="shared" si="68"/>
      </c>
      <c r="EI31" s="1156">
        <f t="shared" si="68"/>
      </c>
      <c r="EJ31" s="1156">
        <f t="shared" si="68"/>
      </c>
      <c r="EK31" s="1156">
        <f t="shared" si="68"/>
      </c>
      <c r="EL31" s="1157">
        <f t="shared" si="68"/>
      </c>
      <c r="EM31" s="1156">
        <f t="shared" si="68"/>
      </c>
      <c r="EN31" s="1156">
        <f t="shared" si="68"/>
      </c>
      <c r="EO31" s="1156">
        <f t="shared" si="68"/>
      </c>
      <c r="EP31" s="1156">
        <f t="shared" si="68"/>
      </c>
      <c r="EQ31" s="1157">
        <f t="shared" si="68"/>
      </c>
      <c r="ER31" s="1156">
        <f t="shared" si="68"/>
      </c>
      <c r="ES31" s="1156">
        <f>ES23+ES15</f>
      </c>
      <c r="ET31" s="1156">
        <f>ET23+ET15</f>
      </c>
      <c r="EU31" s="1156">
        <f>EU23+EU15</f>
      </c>
      <c r="EV31" s="1157">
        <f>EV23+EV15</f>
      </c>
      <c r="EW31" s="1156">
        <f t="shared" ref="EW31" si="69">EW23+EW15</f>
      </c>
      <c r="EX31" s="1156">
        <f>EX23+EX15</f>
      </c>
      <c r="EY31" s="1156">
        <f>EY23+EY15</f>
      </c>
      <c r="EZ31" s="1156">
        <f>EZ23+EZ15</f>
      </c>
      <c r="FA31" s="1157">
        <f>FA23+FA15</f>
      </c>
      <c r="FB31" s="1156">
        <f>EW31*(1+FB32)</f>
      </c>
      <c r="FC31" s="1156">
        <f>EX31*(1+FC32)</f>
      </c>
      <c r="FD31" s="1156">
        <f>EY31*(1+FD32)</f>
      </c>
      <c r="FE31" s="1156">
        <f>EZ31*(1+FE32)</f>
      </c>
      <c r="FF31" s="1157">
        <f>FE31</f>
      </c>
      <c r="FG31" s="1156">
        <f>FB31*(1+FG32)</f>
      </c>
      <c r="FH31" s="1156">
        <f>FC31*(1+FH32)</f>
      </c>
      <c r="FI31" s="1156">
        <f>FD31*(1+FI32)</f>
      </c>
      <c r="FJ31" s="1156">
        <f>FE31*(1+FJ32)</f>
      </c>
      <c r="FK31" s="1157">
        <f>FJ31</f>
      </c>
      <c r="FL31" s="1156">
        <f>FG31*(1+FL32)</f>
      </c>
      <c r="FM31" s="1156">
        <f>FH31*(1+FM32)</f>
      </c>
      <c r="FN31" s="1156">
        <f>FI31*(1+FN32)</f>
      </c>
      <c r="FO31" s="1156">
        <f>FJ31*(1+FO32)</f>
      </c>
      <c r="FP31" s="1157">
        <f>FO31</f>
      </c>
      <c r="FQ31" s="1156">
        <f>FL31*(1+FQ32)</f>
      </c>
      <c r="FR31" s="1156">
        <f>FM31*(1+FR32)</f>
      </c>
      <c r="FS31" s="1156">
        <f>FN31*(1+FS32)</f>
      </c>
      <c r="FT31" s="1156">
        <f>FO31*(1+FT32)</f>
      </c>
      <c r="FU31" s="1157">
        <f>FT31</f>
      </c>
      <c r="FV31" s="1156">
        <f>FQ31*(1+FV32)</f>
      </c>
      <c r="FW31" s="1156">
        <f>FR31*(1+FW32)</f>
      </c>
      <c r="FX31" s="1156">
        <f>FS31*(1+FX32)</f>
      </c>
      <c r="FY31" s="1156">
        <f>FT31*(1+FY32)</f>
      </c>
      <c r="FZ31" s="1157">
        <f>FY31</f>
      </c>
      <c r="GA31" s="1156">
        <f>FV31*(1+GA32)</f>
      </c>
      <c r="GB31" s="1156">
        <f>FW31*(1+GB32)</f>
      </c>
      <c r="GC31" s="1156">
        <f>FX31*(1+GC32)</f>
      </c>
      <c r="GD31" s="1156">
        <f>FY31*(1+GD32)</f>
      </c>
      <c r="GE31" s="1157">
        <f>GD31</f>
      </c>
    </row>
    <row r="32" spans="1:187" s="537" customFormat="1" ht="12.75" customHeight="1" outlineLevel="1">
      <c r="A32" s="81" t="s">
        <v>54</v>
      </c>
      <c r="B32" s="724" t="s">
        <v>34</v>
      </c>
      <c r="C32" s="291"/>
      <c r="D32" s="107"/>
      <c r="E32" s="107"/>
      <c r="F32" s="107"/>
      <c r="G32" s="536"/>
      <c r="H32" s="291" t="str">
        <f t="shared" ref="H32:AM32" si="70">IFERROR(H31/C31-1,"")</f>
      </c>
      <c r="I32" s="107" t="str">
        <f t="shared" si="70"/>
      </c>
      <c r="J32" s="107" t="str">
        <f t="shared" si="70"/>
      </c>
      <c r="K32" s="107" t="str">
        <f t="shared" si="70"/>
      </c>
      <c r="L32" s="292" t="str">
        <f t="shared" si="70"/>
      </c>
      <c r="M32" s="291">
        <f t="shared" si="70"/>
      </c>
      <c r="N32" s="107">
        <f t="shared" si="70"/>
      </c>
      <c r="O32" s="107">
        <f t="shared" si="70"/>
      </c>
      <c r="P32" s="107">
        <f t="shared" si="70"/>
      </c>
      <c r="Q32" s="292">
        <f t="shared" si="70"/>
      </c>
      <c r="R32" s="291">
        <f t="shared" si="70"/>
      </c>
      <c r="S32" s="107">
        <f t="shared" si="70"/>
      </c>
      <c r="T32" s="107">
        <f t="shared" si="70"/>
      </c>
      <c r="U32" s="107">
        <f t="shared" si="70"/>
      </c>
      <c r="V32" s="292">
        <f t="shared" si="70"/>
      </c>
      <c r="W32" s="291">
        <f t="shared" si="70"/>
      </c>
      <c r="X32" s="107">
        <f t="shared" si="70"/>
      </c>
      <c r="Y32" s="107">
        <f t="shared" si="70"/>
      </c>
      <c r="Z32" s="107">
        <f t="shared" si="70"/>
      </c>
      <c r="AA32" s="292">
        <f t="shared" si="70"/>
      </c>
      <c r="AB32" s="291">
        <f t="shared" si="70"/>
      </c>
      <c r="AC32" s="107">
        <f t="shared" si="70"/>
      </c>
      <c r="AD32" s="107">
        <f t="shared" si="70"/>
      </c>
      <c r="AE32" s="107">
        <f t="shared" si="70"/>
      </c>
      <c r="AF32" s="292">
        <f t="shared" si="70"/>
      </c>
      <c r="AG32" s="291">
        <f t="shared" si="70"/>
      </c>
      <c r="AH32" s="107">
        <f t="shared" si="70"/>
      </c>
      <c r="AI32" s="107">
        <f t="shared" si="70"/>
      </c>
      <c r="AJ32" s="107">
        <f t="shared" si="70"/>
      </c>
      <c r="AK32" s="292">
        <f t="shared" si="70"/>
      </c>
      <c r="AL32" s="291">
        <f t="shared" si="70"/>
      </c>
      <c r="AM32" s="107">
        <f t="shared" si="70"/>
      </c>
      <c r="AN32" s="107">
        <f t="shared" ref="AN32:BS32" si="71">IFERROR(AN31/AI31-1,"")</f>
      </c>
      <c r="AO32" s="107">
        <f t="shared" si="71"/>
      </c>
      <c r="AP32" s="292">
        <f t="shared" si="71"/>
      </c>
      <c r="AQ32" s="291">
        <f t="shared" si="71"/>
      </c>
      <c r="AR32" s="107">
        <f t="shared" si="71"/>
      </c>
      <c r="AS32" s="107">
        <f t="shared" si="71"/>
      </c>
      <c r="AT32" s="107">
        <f t="shared" si="71"/>
      </c>
      <c r="AU32" s="292">
        <f t="shared" si="71"/>
      </c>
      <c r="AV32" s="291">
        <f t="shared" si="71"/>
      </c>
      <c r="AW32" s="107">
        <f t="shared" si="71"/>
      </c>
      <c r="AX32" s="107">
        <f t="shared" si="71"/>
      </c>
      <c r="AY32" s="107">
        <f t="shared" si="71"/>
      </c>
      <c r="AZ32" s="292">
        <f t="shared" si="71"/>
      </c>
      <c r="BA32" s="291">
        <f t="shared" si="71"/>
      </c>
      <c r="BB32" s="107">
        <f t="shared" si="71"/>
      </c>
      <c r="BC32" s="107">
        <f t="shared" si="71"/>
      </c>
      <c r="BD32" s="107">
        <f t="shared" si="71"/>
      </c>
      <c r="BE32" s="292">
        <f t="shared" si="71"/>
      </c>
      <c r="BF32" s="291">
        <f t="shared" si="71"/>
      </c>
      <c r="BG32" s="107">
        <f t="shared" si="71"/>
      </c>
      <c r="BH32" s="107">
        <f t="shared" si="71"/>
      </c>
      <c r="BI32" s="107">
        <f t="shared" si="71"/>
      </c>
      <c r="BJ32" s="292">
        <f t="shared" si="71"/>
      </c>
      <c r="BK32" s="291">
        <f t="shared" si="71"/>
      </c>
      <c r="BL32" s="107">
        <f t="shared" si="71"/>
      </c>
      <c r="BM32" s="107">
        <f t="shared" si="71"/>
      </c>
      <c r="BN32" s="107">
        <f t="shared" si="71"/>
      </c>
      <c r="BO32" s="292">
        <f t="shared" si="71"/>
      </c>
      <c r="BP32" s="291">
        <f t="shared" si="71"/>
      </c>
      <c r="BQ32" s="107">
        <f t="shared" si="71"/>
      </c>
      <c r="BR32" s="107">
        <f t="shared" si="71"/>
      </c>
      <c r="BS32" s="107">
        <f t="shared" si="71"/>
      </c>
      <c r="BT32" s="292">
        <f t="shared" ref="BT32:CY32" si="72">IFERROR(BT31/BO31-1,"")</f>
      </c>
      <c r="BU32" s="291">
        <f t="shared" si="72"/>
      </c>
      <c r="BV32" s="107">
        <f t="shared" si="72"/>
      </c>
      <c r="BW32" s="107">
        <f t="shared" si="72"/>
      </c>
      <c r="BX32" s="107">
        <f t="shared" si="72"/>
      </c>
      <c r="BY32" s="292">
        <f t="shared" si="72"/>
      </c>
      <c r="BZ32" s="291">
        <f t="shared" si="72"/>
      </c>
      <c r="CA32" s="107">
        <f t="shared" si="72"/>
      </c>
      <c r="CB32" s="107">
        <f t="shared" si="72"/>
      </c>
      <c r="CC32" s="107">
        <f t="shared" si="72"/>
      </c>
      <c r="CD32" s="292">
        <f t="shared" si="72"/>
      </c>
      <c r="CE32" s="291">
        <f t="shared" si="72"/>
      </c>
      <c r="CF32" s="107">
        <f t="shared" si="72"/>
      </c>
      <c r="CG32" s="107">
        <f t="shared" si="72"/>
      </c>
      <c r="CH32" s="107">
        <f t="shared" si="72"/>
      </c>
      <c r="CI32" s="292">
        <f t="shared" si="72"/>
      </c>
      <c r="CJ32" s="291">
        <f t="shared" si="72"/>
      </c>
      <c r="CK32" s="107">
        <f t="shared" si="72"/>
      </c>
      <c r="CL32" s="107">
        <f t="shared" si="72"/>
      </c>
      <c r="CM32" s="107">
        <f t="shared" si="72"/>
      </c>
      <c r="CN32" s="292">
        <f t="shared" si="72"/>
      </c>
      <c r="CO32" s="291">
        <f t="shared" si="72"/>
      </c>
      <c r="CP32" s="107">
        <f t="shared" si="72"/>
      </c>
      <c r="CQ32" s="107">
        <f t="shared" si="72"/>
      </c>
      <c r="CR32" s="107">
        <f t="shared" si="72"/>
      </c>
      <c r="CS32" s="292">
        <f t="shared" si="72"/>
      </c>
      <c r="CT32" s="291">
        <f t="shared" si="72"/>
      </c>
      <c r="CU32" s="107">
        <f t="shared" si="72"/>
      </c>
      <c r="CV32" s="107">
        <f t="shared" si="72"/>
      </c>
      <c r="CW32" s="107">
        <f t="shared" si="72"/>
      </c>
      <c r="CX32" s="292">
        <f t="shared" si="72"/>
      </c>
      <c r="CY32" s="291">
        <f t="shared" si="72"/>
      </c>
      <c r="CZ32" s="107">
        <f t="shared" ref="CZ32:EE32" si="73">IFERROR(CZ31/CU31-1,"")</f>
      </c>
      <c r="DA32" s="107">
        <f t="shared" si="73"/>
      </c>
      <c r="DB32" s="107">
        <f t="shared" si="73"/>
      </c>
      <c r="DC32" s="292">
        <f t="shared" si="73"/>
      </c>
      <c r="DD32" s="291">
        <f t="shared" si="73"/>
      </c>
      <c r="DE32" s="107">
        <f t="shared" si="73"/>
      </c>
      <c r="DF32" s="107">
        <f t="shared" si="73"/>
      </c>
      <c r="DG32" s="107">
        <f t="shared" si="73"/>
      </c>
      <c r="DH32" s="292">
        <f t="shared" si="73"/>
      </c>
      <c r="DI32" s="291">
        <f t="shared" si="73"/>
      </c>
      <c r="DJ32" s="107">
        <f t="shared" si="73"/>
      </c>
      <c r="DK32" s="107">
        <f t="shared" si="73"/>
      </c>
      <c r="DL32" s="107">
        <f t="shared" si="73"/>
      </c>
      <c r="DM32" s="292">
        <f t="shared" si="73"/>
      </c>
      <c r="DN32" s="291">
        <f t="shared" si="73"/>
      </c>
      <c r="DO32" s="107">
        <f t="shared" si="73"/>
      </c>
      <c r="DP32" s="107">
        <f t="shared" si="73"/>
      </c>
      <c r="DQ32" s="107">
        <f t="shared" si="73"/>
      </c>
      <c r="DR32" s="292">
        <f t="shared" si="73"/>
      </c>
      <c r="DS32" s="291">
        <f t="shared" si="73"/>
      </c>
      <c r="DT32" s="107">
        <f t="shared" si="73"/>
      </c>
      <c r="DU32" s="107">
        <f t="shared" si="73"/>
      </c>
      <c r="DV32" s="107">
        <f t="shared" si="73"/>
      </c>
      <c r="DW32" s="292">
        <f t="shared" si="73"/>
      </c>
      <c r="DX32" s="291">
        <f t="shared" si="73"/>
      </c>
      <c r="DY32" s="107">
        <f t="shared" si="73"/>
      </c>
      <c r="DZ32" s="107">
        <f t="shared" si="73"/>
      </c>
      <c r="EA32" s="107">
        <f t="shared" si="73"/>
      </c>
      <c r="EB32" s="292">
        <f t="shared" si="73"/>
      </c>
      <c r="EC32" s="291">
        <f t="shared" si="73"/>
      </c>
      <c r="ED32" s="107">
        <f t="shared" si="73"/>
      </c>
      <c r="EE32" s="107">
        <f t="shared" si="73"/>
      </c>
      <c r="EF32" s="107">
        <f t="shared" ref="EF32:ET32" si="74">IFERROR(EF31/EA31-1,"")</f>
      </c>
      <c r="EG32" s="292">
        <f t="shared" si="74"/>
      </c>
      <c r="EH32" s="291">
        <f t="shared" si="74"/>
      </c>
      <c r="EI32" s="107">
        <f t="shared" si="74"/>
      </c>
      <c r="EJ32" s="107">
        <f t="shared" si="74"/>
      </c>
      <c r="EK32" s="107">
        <f t="shared" si="74"/>
      </c>
      <c r="EL32" s="292">
        <f t="shared" si="74"/>
      </c>
      <c r="EM32" s="291">
        <f t="shared" si="74"/>
      </c>
      <c r="EN32" s="107">
        <f t="shared" si="74"/>
      </c>
      <c r="EO32" s="107">
        <f t="shared" si="74"/>
      </c>
      <c r="EP32" s="107">
        <f t="shared" si="74"/>
      </c>
      <c r="EQ32" s="292">
        <f t="shared" si="74"/>
      </c>
      <c r="ER32" s="291">
        <f t="shared" si="74"/>
      </c>
      <c r="ES32" s="107">
        <f t="shared" si="74"/>
      </c>
      <c r="ET32" s="107">
        <f t="shared" si="74"/>
      </c>
      <c r="EU32" s="107">
        <f>IFERROR(EU31/EP31-1,"")</f>
      </c>
      <c r="EV32" s="292">
        <f>IFERROR(EV31/EQ31-1,"")</f>
      </c>
      <c r="EW32" s="291">
        <f t="shared" ref="EW32:EY32" si="75">IFERROR(EW31/ER31-1,"")</f>
      </c>
      <c r="EX32" s="107">
        <f t="shared" si="75"/>
      </c>
      <c r="EY32" s="107">
        <f t="shared" si="75"/>
      </c>
      <c r="EZ32" s="107">
        <f>IFERROR(EZ31/EU31-1,"")</f>
      </c>
      <c r="FA32" s="292">
        <f>IFERROR(FA31/EV31-1,"")</f>
      </c>
      <c r="FB32" s="114">
        <v>0.09</v>
      </c>
      <c r="FC32" s="114">
        <v>0.09</v>
      </c>
      <c r="FD32" s="114">
        <v>0.09</v>
      </c>
      <c r="FE32" s="114">
        <v>0.09</v>
      </c>
      <c r="FF32" s="292">
        <f>IFERROR(FF31/FA31-1,"")</f>
      </c>
      <c r="FG32" s="114">
        <v>0.09</v>
      </c>
      <c r="FH32" s="114">
        <v>0.09</v>
      </c>
      <c r="FI32" s="114">
        <v>0.09</v>
      </c>
      <c r="FJ32" s="114">
        <v>0.09</v>
      </c>
      <c r="FK32" s="292">
        <f>IFERROR(FK31/FF31-1,"")</f>
      </c>
      <c r="FL32" s="114">
        <v>0.09</v>
      </c>
      <c r="FM32" s="114">
        <v>0.09</v>
      </c>
      <c r="FN32" s="114">
        <v>0.09</v>
      </c>
      <c r="FO32" s="114">
        <v>0.09</v>
      </c>
      <c r="FP32" s="292">
        <f>IFERROR(FP31/FK31-1,"")</f>
      </c>
      <c r="FQ32" s="114">
        <v>0.09</v>
      </c>
      <c r="FR32" s="114">
        <v>0.09</v>
      </c>
      <c r="FS32" s="114">
        <v>0.09</v>
      </c>
      <c r="FT32" s="114">
        <v>0.09</v>
      </c>
      <c r="FU32" s="292">
        <f>IFERROR(FU31/FP31-1,"")</f>
      </c>
      <c r="FV32" s="114">
        <v>0.09</v>
      </c>
      <c r="FW32" s="114">
        <v>0.09</v>
      </c>
      <c r="FX32" s="114">
        <v>0.09</v>
      </c>
      <c r="FY32" s="114">
        <v>0.09</v>
      </c>
      <c r="FZ32" s="292">
        <f>IFERROR(FZ31/FU31-1,"")</f>
      </c>
      <c r="GA32" s="114">
        <v>0.09</v>
      </c>
      <c r="GB32" s="114">
        <v>0.09</v>
      </c>
      <c r="GC32" s="114">
        <v>0.09</v>
      </c>
      <c r="GD32" s="114">
        <v>0.09</v>
      </c>
      <c r="GE32" s="292">
        <f>IFERROR(GE31/FZ31-1,"")</f>
      </c>
    </row>
    <row r="33" spans="1:187" s="537" customFormat="1" ht="12.75" customHeight="1" outlineLevel="1">
      <c r="A33" s="68" t="s">
        <v>55</v>
      </c>
      <c r="B33" s="724" t="s">
        <v>36</v>
      </c>
      <c r="C33" s="291"/>
      <c r="D33" s="137"/>
      <c r="E33" s="137"/>
      <c r="F33" s="137"/>
      <c r="G33" s="538"/>
      <c r="H33" s="291" t="str">
        <f>IFERROR(H31/F31-1,"")</f>
      </c>
      <c r="I33" s="107">
        <f>IFERROR(I31/H31-1,"")</f>
      </c>
      <c r="J33" s="107">
        <f>IFERROR(J31/I31-1,"")</f>
      </c>
      <c r="K33" s="107">
        <f>IFERROR(K31/J31-1,"")</f>
      </c>
      <c r="L33" s="293"/>
      <c r="M33" s="291">
        <f>IFERROR(M31/K31-1,"")</f>
      </c>
      <c r="N33" s="107">
        <f>IFERROR(N31/M31-1,"")</f>
      </c>
      <c r="O33" s="107">
        <f>IFERROR(O31/N31-1,"")</f>
      </c>
      <c r="P33" s="107">
        <f>IFERROR(P31/O31-1,"")</f>
      </c>
      <c r="Q33" s="293"/>
      <c r="R33" s="291">
        <f>IFERROR(R31/P31-1,"")</f>
      </c>
      <c r="S33" s="107">
        <f>IFERROR(S31/R31-1,"")</f>
      </c>
      <c r="T33" s="107">
        <f>IFERROR(T31/S31-1,"")</f>
      </c>
      <c r="U33" s="107">
        <f>IFERROR(U31/T31-1,"")</f>
      </c>
      <c r="V33" s="293"/>
      <c r="W33" s="291">
        <f>IFERROR(W31/U31-1,"")</f>
      </c>
      <c r="X33" s="107">
        <f>IFERROR(X31/W31-1,"")</f>
      </c>
      <c r="Y33" s="107">
        <f>IFERROR(Y31/X31-1,"")</f>
      </c>
      <c r="Z33" s="107">
        <f>IFERROR(Z31/Y31-1,"")</f>
      </c>
      <c r="AA33" s="293"/>
      <c r="AB33" s="291">
        <f>IFERROR(AB31/Z31-1,"")</f>
      </c>
      <c r="AC33" s="107">
        <f>IFERROR(AC31/AB31-1,"")</f>
      </c>
      <c r="AD33" s="107">
        <f>IFERROR(AD31/AC31-1,"")</f>
      </c>
      <c r="AE33" s="107">
        <f>IFERROR(AE31/AD31-1,"")</f>
      </c>
      <c r="AF33" s="293"/>
      <c r="AG33" s="291">
        <f>IFERROR(AG31/AE31-1,"")</f>
      </c>
      <c r="AH33" s="107">
        <f>IFERROR(AH31/AG31-1,"")</f>
      </c>
      <c r="AI33" s="107">
        <f>IFERROR(AI31/AH31-1,"")</f>
      </c>
      <c r="AJ33" s="107">
        <f>IFERROR(AJ31/AI31-1,"")</f>
      </c>
      <c r="AK33" s="293"/>
      <c r="AL33" s="291">
        <f>IFERROR(AL31/AJ31-1,"")</f>
      </c>
      <c r="AM33" s="107">
        <f>IFERROR(AM31/AL31-1,"")</f>
      </c>
      <c r="AN33" s="107">
        <f>IFERROR(AN31/AM31-1,"")</f>
      </c>
      <c r="AO33" s="107">
        <f>IFERROR(AO31/AN31-1,"")</f>
      </c>
      <c r="AP33" s="293"/>
      <c r="AQ33" s="291">
        <f>IFERROR(AQ31/AO31-1,"")</f>
      </c>
      <c r="AR33" s="107">
        <f>IFERROR(AR31/AQ31-1,"")</f>
      </c>
      <c r="AS33" s="107">
        <f>IFERROR(AS31/AR31-1,"")</f>
      </c>
      <c r="AT33" s="107">
        <f>IFERROR(AT31/AS31-1,"")</f>
      </c>
      <c r="AU33" s="293"/>
      <c r="AV33" s="291">
        <f>IFERROR(AV31/AT31-1,"")</f>
      </c>
      <c r="AW33" s="107">
        <f>IFERROR(AW31/AV31-1,"")</f>
      </c>
      <c r="AX33" s="107">
        <f>IFERROR(AX31/AW31-1,"")</f>
      </c>
      <c r="AY33" s="107">
        <f>IFERROR(AY31/AX31-1,"")</f>
      </c>
      <c r="AZ33" s="293"/>
      <c r="BA33" s="291">
        <f>IFERROR(BA31/AY31-1,"")</f>
      </c>
      <c r="BB33" s="107">
        <f>IFERROR(BB31/BA31-1,"")</f>
      </c>
      <c r="BC33" s="107">
        <f>IFERROR(BC31/BB31-1,"")</f>
      </c>
      <c r="BD33" s="107">
        <f>IFERROR(BD31/BC31-1,"")</f>
      </c>
      <c r="BE33" s="293"/>
      <c r="BF33" s="291">
        <f>IFERROR(BF31/BD31-1,"")</f>
      </c>
      <c r="BG33" s="107">
        <f>IFERROR(BG31/BF31-1,"")</f>
      </c>
      <c r="BH33" s="107">
        <f>IFERROR(BH31/BG31-1,"")</f>
      </c>
      <c r="BI33" s="107">
        <f>IFERROR(BI31/BH31-1,"")</f>
      </c>
      <c r="BJ33" s="293"/>
      <c r="BK33" s="291">
        <f>IFERROR(BK31/BI31-1,"")</f>
      </c>
      <c r="BL33" s="107">
        <f>IFERROR(BL31/BK31-1,"")</f>
      </c>
      <c r="BM33" s="107">
        <f>IFERROR(BM31/BL31-1,"")</f>
      </c>
      <c r="BN33" s="107">
        <f>IFERROR(BN31/BM31-1,"")</f>
      </c>
      <c r="BO33" s="293"/>
      <c r="BP33" s="291">
        <f>IFERROR(BP31/BN31-1,"")</f>
      </c>
      <c r="BQ33" s="107">
        <f>IFERROR(BQ31/BP31-1,"")</f>
      </c>
      <c r="BR33" s="107">
        <f>IFERROR(BR31/BQ31-1,"")</f>
      </c>
      <c r="BS33" s="107">
        <f>IFERROR(BS31/BR31-1,"")</f>
      </c>
      <c r="BT33" s="293"/>
      <c r="BU33" s="291">
        <f>IFERROR(BU31/BS31-1,"")</f>
      </c>
      <c r="BV33" s="107">
        <f>IFERROR(BV31/BU31-1,"")</f>
      </c>
      <c r="BW33" s="107">
        <f>IFERROR(BW31/BV31-1,"")</f>
      </c>
      <c r="BX33" s="107">
        <f>IFERROR(BX31/BW31-1,"")</f>
      </c>
      <c r="BY33" s="293"/>
      <c r="BZ33" s="291">
        <f>IFERROR(BZ31/BX31-1,"")</f>
      </c>
      <c r="CA33" s="107">
        <f>IFERROR(CA31/BZ31-1,"")</f>
      </c>
      <c r="CB33" s="107">
        <f>IFERROR(CB31/CA31-1,"")</f>
      </c>
      <c r="CC33" s="107">
        <f>IFERROR(CC31/CB31-1,"")</f>
      </c>
      <c r="CD33" s="293"/>
      <c r="CE33" s="291">
        <f>IFERROR(CE31/CC31-1,"")</f>
      </c>
      <c r="CF33" s="107">
        <f>IFERROR(CF31/CE31-1,"")</f>
      </c>
      <c r="CG33" s="107">
        <f>IFERROR(CG31/CF31-1,"")</f>
      </c>
      <c r="CH33" s="107">
        <f>IFERROR(CH31/CG31-1,"")</f>
      </c>
      <c r="CI33" s="293"/>
      <c r="CJ33" s="291">
        <f>IFERROR(CJ31/CH31-1,"")</f>
      </c>
      <c r="CK33" s="107">
        <f>IFERROR(CK31/CJ31-1,"")</f>
      </c>
      <c r="CL33" s="107">
        <f>IFERROR(CL31/CK31-1,"")</f>
      </c>
      <c r="CM33" s="107">
        <f>IFERROR(CM31/CL31-1,"")</f>
      </c>
      <c r="CN33" s="293"/>
      <c r="CO33" s="291">
        <f>IFERROR(CO31/CM31-1,"")</f>
      </c>
      <c r="CP33" s="107">
        <f>IFERROR(CP31/CO31-1,"")</f>
      </c>
      <c r="CQ33" s="107">
        <f>IFERROR(CQ31/CP31-1,"")</f>
      </c>
      <c r="CR33" s="107">
        <f>IFERROR(CR31/CQ31-1,"")</f>
      </c>
      <c r="CS33" s="293"/>
      <c r="CT33" s="291">
        <f>IFERROR(CT31/CR31-1,"")</f>
      </c>
      <c r="CU33" s="107">
        <f>IFERROR(CU31/CT31-1,"")</f>
      </c>
      <c r="CV33" s="107">
        <f>IFERROR(CV31/CU31-1,"")</f>
      </c>
      <c r="CW33" s="107">
        <f>IFERROR(CW31/CV31-1,"")</f>
      </c>
      <c r="CX33" s="293"/>
      <c r="CY33" s="291">
        <f>IFERROR(CY31/CW31-1,"")</f>
      </c>
      <c r="CZ33" s="107">
        <f>IFERROR(CZ31/CY31-1,"")</f>
      </c>
      <c r="DA33" s="107">
        <f>IFERROR(DA31/CZ31-1,"")</f>
      </c>
      <c r="DB33" s="107">
        <f>IFERROR(DB31/DA31-1,"")</f>
      </c>
      <c r="DC33" s="293"/>
      <c r="DD33" s="291">
        <f>IFERROR(DD31/DB31-1,"")</f>
      </c>
      <c r="DE33" s="107">
        <f>IFERROR(DE31/DD31-1,"")</f>
      </c>
      <c r="DF33" s="107">
        <f>IFERROR(DF31/DE31-1,"")</f>
      </c>
      <c r="DG33" s="107">
        <f>IFERROR(DG31/DF31-1,"")</f>
      </c>
      <c r="DH33" s="293"/>
      <c r="DI33" s="291">
        <f>IFERROR(DI31/DG31-1,"")</f>
      </c>
      <c r="DJ33" s="107">
        <f>IFERROR(DJ31/DI31-1,"")</f>
      </c>
      <c r="DK33" s="107">
        <f>IFERROR(DK31/DJ31-1,"")</f>
      </c>
      <c r="DL33" s="107">
        <f>IFERROR(DL31/DK31-1,"")</f>
      </c>
      <c r="DM33" s="293"/>
      <c r="DN33" s="291">
        <f>IFERROR(DN31/DL31-1,"")</f>
      </c>
      <c r="DO33" s="107">
        <f>IFERROR(DO31/DN31-1,"")</f>
      </c>
      <c r="DP33" s="107">
        <f>IFERROR(DP31/DO31-1,"")</f>
      </c>
      <c r="DQ33" s="107">
        <f>IFERROR(DQ31/DP31-1,"")</f>
      </c>
      <c r="DR33" s="293"/>
      <c r="DS33" s="291">
        <f>IFERROR(DS31/DQ31-1,"")</f>
      </c>
      <c r="DT33" s="107">
        <f>IFERROR(DT31/DS31-1,"")</f>
      </c>
      <c r="DU33" s="107">
        <f>IFERROR(DU31/DT31-1,"")</f>
      </c>
      <c r="DV33" s="107">
        <f>IFERROR(DV31/DU31-1,"")</f>
      </c>
      <c r="DW33" s="293"/>
      <c r="DX33" s="291">
        <f>IFERROR(DX31/DV31-1,"")</f>
      </c>
      <c r="DY33" s="107">
        <f>IFERROR(DY31/DX31-1,"")</f>
      </c>
      <c r="DZ33" s="107">
        <f>IFERROR(DZ31/DY31-1,"")</f>
      </c>
      <c r="EA33" s="107">
        <f>IFERROR(EA31/DZ31-1,"")</f>
      </c>
      <c r="EB33" s="293"/>
      <c r="EC33" s="291">
        <f>IFERROR(EC31/EA31-1,"")</f>
      </c>
      <c r="ED33" s="107">
        <f>IFERROR(ED31/EC31-1,"")</f>
      </c>
      <c r="EE33" s="107">
        <f>IFERROR(EE31/ED31-1,"")</f>
      </c>
      <c r="EF33" s="107">
        <f>IFERROR(EF31/EE31-1,"")</f>
      </c>
      <c r="EG33" s="293"/>
      <c r="EH33" s="291">
        <f>IFERROR(EH31/EF31-1,"")</f>
      </c>
      <c r="EI33" s="107">
        <f>IFERROR(EI31/EH31-1,"")</f>
      </c>
      <c r="EJ33" s="107">
        <f>IFERROR(EJ31/EI31-1,"")</f>
      </c>
      <c r="EK33" s="107">
        <f>IFERROR(EK31/EJ31-1,"")</f>
      </c>
      <c r="EL33" s="293"/>
      <c r="EM33" s="291">
        <f>IFERROR(EM31/EK31-1,"")</f>
      </c>
      <c r="EN33" s="107">
        <f>IFERROR(EN31/EM31-1,"")</f>
      </c>
      <c r="EO33" s="107">
        <f>IFERROR(EO31/EN31-1,"")</f>
      </c>
      <c r="EP33" s="107">
        <f>IFERROR(EP31/EO31-1,"")</f>
      </c>
      <c r="EQ33" s="293"/>
      <c r="ER33" s="291">
        <f>IFERROR(ER31/EP31-1,"")</f>
      </c>
      <c r="ES33" s="107">
        <f>IFERROR(ES31/ER31-1,"")</f>
      </c>
      <c r="ET33" s="107">
        <f>IFERROR(ET31/ES31-1,"")</f>
      </c>
      <c r="EU33" s="107">
        <f>IFERROR(EU31/ET31-1,"")</f>
      </c>
      <c r="EV33" s="293"/>
      <c r="EW33" s="291">
        <f>IFERROR(EW31/EU31-1,"")</f>
      </c>
      <c r="EX33" s="107">
        <f>IFERROR(EX31/EW31-1,"")</f>
      </c>
      <c r="EY33" s="107">
        <f>IFERROR(EY31/EX31-1,"")</f>
      </c>
      <c r="EZ33" s="107">
        <f>IFERROR(EZ31/EY31-1,"")</f>
      </c>
      <c r="FA33" s="293"/>
      <c r="FB33" s="291">
        <f>IFERROR(FB31/EZ31-1,"")</f>
      </c>
      <c r="FC33" s="107">
        <f>IFERROR(FC31/FB31-1,"")</f>
      </c>
      <c r="FD33" s="107">
        <f>IFERROR(FD31/FC31-1,"")</f>
      </c>
      <c r="FE33" s="107">
        <f>IFERROR(FE31/FD31-1,"")</f>
      </c>
      <c r="FF33" s="293"/>
      <c r="FG33" s="291">
        <f>IFERROR(FG31/FE31-1,"")</f>
      </c>
      <c r="FH33" s="107">
        <f>IFERROR(FH31/FG31-1,"")</f>
      </c>
      <c r="FI33" s="107">
        <f>IFERROR(FI31/FH31-1,"")</f>
      </c>
      <c r="FJ33" s="107">
        <f>IFERROR(FJ31/FI31-1,"")</f>
      </c>
      <c r="FK33" s="293"/>
      <c r="FL33" s="291">
        <f>IFERROR(FL31/FJ31-1,"")</f>
      </c>
      <c r="FM33" s="107">
        <f>IFERROR(FM31/FL31-1,"")</f>
      </c>
      <c r="FN33" s="107">
        <f>IFERROR(FN31/FM31-1,"")</f>
      </c>
      <c r="FO33" s="107">
        <f>IFERROR(FO31/FN31-1,"")</f>
      </c>
      <c r="FP33" s="293"/>
      <c r="FQ33" s="291">
        <f>IFERROR(FQ31/FO31-1,"")</f>
      </c>
      <c r="FR33" s="107">
        <f>IFERROR(FR31/FQ31-1,"")</f>
      </c>
      <c r="FS33" s="107">
        <f>IFERROR(FS31/FR31-1,"")</f>
      </c>
      <c r="FT33" s="107">
        <f>IFERROR(FT31/FS31-1,"")</f>
      </c>
      <c r="FU33" s="293"/>
      <c r="FV33" s="291">
        <f>IFERROR(FV31/FT31-1,"")</f>
      </c>
      <c r="FW33" s="107">
        <f>IFERROR(FW31/FV31-1,"")</f>
      </c>
      <c r="FX33" s="107">
        <f>IFERROR(FX31/FW31-1,"")</f>
      </c>
      <c r="FY33" s="107">
        <f>IFERROR(FY31/FX31-1,"")</f>
      </c>
      <c r="FZ33" s="293"/>
      <c r="GA33" s="291">
        <f>IFERROR(GA31/FY31-1,"")</f>
      </c>
      <c r="GB33" s="107">
        <f>IFERROR(GB31/GA31-1,"")</f>
      </c>
      <c r="GC33" s="107">
        <f>IFERROR(GC31/GB31-1,"")</f>
      </c>
      <c r="GD33" s="107">
        <f>IFERROR(GD31/GC31-1,"")</f>
      </c>
      <c r="GE33" s="293"/>
    </row>
    <row r="34" spans="1:187" s="537" customFormat="1" ht="12.75" customHeight="1" outlineLevel="1">
      <c r="A34" s="82"/>
      <c r="B34" s="724" t="s">
        <v>313</v>
      </c>
      <c r="C34" s="329"/>
      <c r="D34" s="107"/>
      <c r="E34" s="107"/>
      <c r="F34" s="107"/>
      <c r="G34" s="540"/>
      <c r="H34" s="463">
        <f t="shared" ref="H34:AM34" si="76">H31-C31</f>
      </c>
      <c r="I34" s="463">
        <f t="shared" si="76"/>
      </c>
      <c r="J34" s="463">
        <f t="shared" si="76"/>
      </c>
      <c r="K34" s="463">
        <f t="shared" si="76"/>
      </c>
      <c r="L34" s="610">
        <f t="shared" si="76"/>
      </c>
      <c r="M34" s="463">
        <f t="shared" si="76"/>
      </c>
      <c r="N34" s="463">
        <f t="shared" si="76"/>
      </c>
      <c r="O34" s="463">
        <f t="shared" si="76"/>
      </c>
      <c r="P34" s="463">
        <f t="shared" si="76"/>
      </c>
      <c r="Q34" s="610">
        <f t="shared" si="76"/>
      </c>
      <c r="R34" s="463">
        <f t="shared" si="76"/>
      </c>
      <c r="S34" s="463">
        <f t="shared" si="76"/>
      </c>
      <c r="T34" s="463">
        <f t="shared" si="76"/>
      </c>
      <c r="U34" s="463">
        <f t="shared" si="76"/>
      </c>
      <c r="V34" s="610">
        <f t="shared" si="76"/>
      </c>
      <c r="W34" s="463">
        <f t="shared" si="76"/>
      </c>
      <c r="X34" s="463">
        <f t="shared" si="76"/>
      </c>
      <c r="Y34" s="463">
        <f t="shared" si="76"/>
      </c>
      <c r="Z34" s="463">
        <f t="shared" si="76"/>
      </c>
      <c r="AA34" s="610">
        <f t="shared" si="76"/>
      </c>
      <c r="AB34" s="463">
        <f t="shared" si="76"/>
      </c>
      <c r="AC34" s="463">
        <f t="shared" si="76"/>
      </c>
      <c r="AD34" s="463">
        <f t="shared" si="76"/>
      </c>
      <c r="AE34" s="463">
        <f t="shared" si="76"/>
      </c>
      <c r="AF34" s="610">
        <f t="shared" si="76"/>
      </c>
      <c r="AG34" s="463">
        <f t="shared" si="76"/>
      </c>
      <c r="AH34" s="463">
        <f t="shared" si="76"/>
      </c>
      <c r="AI34" s="463">
        <f t="shared" si="76"/>
      </c>
      <c r="AJ34" s="463">
        <f t="shared" si="76"/>
      </c>
      <c r="AK34" s="610">
        <f t="shared" si="76"/>
      </c>
      <c r="AL34" s="463">
        <f t="shared" si="76"/>
      </c>
      <c r="AM34" s="463">
        <f t="shared" si="76"/>
      </c>
      <c r="AN34" s="463">
        <f t="shared" ref="AN34:BS34" si="77">AN31-AI31</f>
      </c>
      <c r="AO34" s="463">
        <f t="shared" si="77"/>
      </c>
      <c r="AP34" s="610">
        <f t="shared" si="77"/>
      </c>
      <c r="AQ34" s="463">
        <f t="shared" si="77"/>
      </c>
      <c r="AR34" s="463">
        <f t="shared" si="77"/>
      </c>
      <c r="AS34" s="463">
        <f t="shared" si="77"/>
      </c>
      <c r="AT34" s="463">
        <f t="shared" si="77"/>
      </c>
      <c r="AU34" s="610">
        <f t="shared" si="77"/>
      </c>
      <c r="AV34" s="463">
        <f t="shared" si="77"/>
      </c>
      <c r="AW34" s="463">
        <f t="shared" si="77"/>
      </c>
      <c r="AX34" s="463">
        <f t="shared" si="77"/>
      </c>
      <c r="AY34" s="463">
        <f t="shared" si="77"/>
      </c>
      <c r="AZ34" s="610">
        <f t="shared" si="77"/>
      </c>
      <c r="BA34" s="463">
        <f t="shared" si="77"/>
      </c>
      <c r="BB34" s="463">
        <f t="shared" si="77"/>
      </c>
      <c r="BC34" s="463">
        <f t="shared" si="77"/>
      </c>
      <c r="BD34" s="463">
        <f t="shared" si="77"/>
      </c>
      <c r="BE34" s="610">
        <f t="shared" si="77"/>
      </c>
      <c r="BF34" s="463">
        <f t="shared" si="77"/>
      </c>
      <c r="BG34" s="463">
        <f t="shared" si="77"/>
      </c>
      <c r="BH34" s="463">
        <f t="shared" si="77"/>
      </c>
      <c r="BI34" s="463">
        <f t="shared" si="77"/>
      </c>
      <c r="BJ34" s="610">
        <f t="shared" si="77"/>
      </c>
      <c r="BK34" s="463">
        <f t="shared" si="77"/>
      </c>
      <c r="BL34" s="463">
        <f t="shared" si="77"/>
      </c>
      <c r="BM34" s="463">
        <f t="shared" si="77"/>
      </c>
      <c r="BN34" s="463">
        <f t="shared" si="77"/>
      </c>
      <c r="BO34" s="610">
        <f t="shared" si="77"/>
      </c>
      <c r="BP34" s="463">
        <f t="shared" si="77"/>
      </c>
      <c r="BQ34" s="463">
        <f t="shared" si="77"/>
      </c>
      <c r="BR34" s="463">
        <f t="shared" si="77"/>
      </c>
      <c r="BS34" s="463">
        <f t="shared" si="77"/>
      </c>
      <c r="BT34" s="610">
        <f t="shared" ref="BT34:CY34" si="78">BT31-BO31</f>
      </c>
      <c r="BU34" s="463">
        <f t="shared" si="78"/>
      </c>
      <c r="BV34" s="463">
        <f t="shared" si="78"/>
      </c>
      <c r="BW34" s="463">
        <f t="shared" si="78"/>
      </c>
      <c r="BX34" s="463">
        <f t="shared" si="78"/>
      </c>
      <c r="BY34" s="610">
        <f t="shared" si="78"/>
      </c>
      <c r="BZ34" s="463">
        <f t="shared" si="78"/>
      </c>
      <c r="CA34" s="463">
        <f t="shared" si="78"/>
      </c>
      <c r="CB34" s="463">
        <f t="shared" si="78"/>
      </c>
      <c r="CC34" s="463">
        <f t="shared" si="78"/>
      </c>
      <c r="CD34" s="610">
        <f t="shared" si="78"/>
      </c>
      <c r="CE34" s="463">
        <f t="shared" si="78"/>
      </c>
      <c r="CF34" s="463">
        <f t="shared" si="78"/>
      </c>
      <c r="CG34" s="463">
        <f t="shared" si="78"/>
      </c>
      <c r="CH34" s="463">
        <f t="shared" si="78"/>
      </c>
      <c r="CI34" s="610">
        <f t="shared" si="78"/>
      </c>
      <c r="CJ34" s="463">
        <f t="shared" si="78"/>
      </c>
      <c r="CK34" s="463">
        <f t="shared" si="78"/>
      </c>
      <c r="CL34" s="463">
        <f t="shared" si="78"/>
      </c>
      <c r="CM34" s="463">
        <f t="shared" si="78"/>
      </c>
      <c r="CN34" s="610">
        <f t="shared" si="78"/>
      </c>
      <c r="CO34" s="463">
        <f t="shared" si="78"/>
      </c>
      <c r="CP34" s="463">
        <f t="shared" si="78"/>
      </c>
      <c r="CQ34" s="463">
        <f t="shared" si="78"/>
      </c>
      <c r="CR34" s="463">
        <f t="shared" si="78"/>
      </c>
      <c r="CS34" s="610">
        <f t="shared" si="78"/>
      </c>
      <c r="CT34" s="463">
        <f t="shared" si="78"/>
      </c>
      <c r="CU34" s="463">
        <f t="shared" si="78"/>
      </c>
      <c r="CV34" s="463">
        <f t="shared" si="78"/>
      </c>
      <c r="CW34" s="463">
        <f t="shared" si="78"/>
      </c>
      <c r="CX34" s="610">
        <f t="shared" si="78"/>
      </c>
      <c r="CY34" s="463">
        <f t="shared" si="78"/>
      </c>
      <c r="CZ34" s="463">
        <f t="shared" ref="CZ34:EE34" si="79">CZ31-CU31</f>
      </c>
      <c r="DA34" s="463">
        <f t="shared" si="79"/>
      </c>
      <c r="DB34" s="463">
        <f t="shared" si="79"/>
      </c>
      <c r="DC34" s="610">
        <f t="shared" si="79"/>
      </c>
      <c r="DD34" s="463">
        <f t="shared" si="79"/>
      </c>
      <c r="DE34" s="463">
        <f t="shared" si="79"/>
      </c>
      <c r="DF34" s="463">
        <f t="shared" si="79"/>
      </c>
      <c r="DG34" s="463">
        <f t="shared" si="79"/>
      </c>
      <c r="DH34" s="610">
        <f t="shared" si="79"/>
      </c>
      <c r="DI34" s="463">
        <f t="shared" si="79"/>
      </c>
      <c r="DJ34" s="463">
        <f t="shared" si="79"/>
      </c>
      <c r="DK34" s="463">
        <f t="shared" si="79"/>
      </c>
      <c r="DL34" s="463">
        <f t="shared" si="79"/>
      </c>
      <c r="DM34" s="610">
        <f t="shared" si="79"/>
      </c>
      <c r="DN34" s="463">
        <f t="shared" si="79"/>
      </c>
      <c r="DO34" s="463">
        <f t="shared" si="79"/>
      </c>
      <c r="DP34" s="463">
        <f t="shared" si="79"/>
      </c>
      <c r="DQ34" s="463">
        <f t="shared" si="79"/>
      </c>
      <c r="DR34" s="610">
        <f t="shared" si="79"/>
      </c>
      <c r="DS34" s="463">
        <f t="shared" si="79"/>
      </c>
      <c r="DT34" s="463">
        <f t="shared" si="79"/>
      </c>
      <c r="DU34" s="463">
        <f t="shared" si="79"/>
      </c>
      <c r="DV34" s="463">
        <f t="shared" si="79"/>
      </c>
      <c r="DW34" s="610">
        <f t="shared" si="79"/>
      </c>
      <c r="DX34" s="463">
        <f t="shared" si="79"/>
      </c>
      <c r="DY34" s="463">
        <f t="shared" si="79"/>
      </c>
      <c r="DZ34" s="463">
        <f t="shared" si="79"/>
      </c>
      <c r="EA34" s="463">
        <f t="shared" si="79"/>
      </c>
      <c r="EB34" s="610">
        <f t="shared" si="79"/>
      </c>
      <c r="EC34" s="463">
        <f t="shared" si="79"/>
      </c>
      <c r="ED34" s="463">
        <f t="shared" si="79"/>
      </c>
      <c r="EE34" s="463">
        <f t="shared" si="79"/>
      </c>
      <c r="EF34" s="463">
        <f t="shared" ref="EF34:FK34" si="80">EF31-EA31</f>
      </c>
      <c r="EG34" s="610">
        <f t="shared" si="80"/>
      </c>
      <c r="EH34" s="463">
        <f t="shared" si="80"/>
      </c>
      <c r="EI34" s="463">
        <f t="shared" si="80"/>
      </c>
      <c r="EJ34" s="463">
        <f t="shared" si="80"/>
      </c>
      <c r="EK34" s="463">
        <f t="shared" si="80"/>
      </c>
      <c r="EL34" s="610">
        <f t="shared" si="80"/>
      </c>
      <c r="EM34" s="463">
        <f t="shared" si="80"/>
      </c>
      <c r="EN34" s="463">
        <f t="shared" si="80"/>
      </c>
      <c r="EO34" s="463">
        <f t="shared" si="80"/>
      </c>
      <c r="EP34" s="463">
        <f t="shared" si="80"/>
      </c>
      <c r="EQ34" s="610">
        <f t="shared" si="80"/>
      </c>
      <c r="ER34" s="463">
        <f t="shared" si="80"/>
      </c>
      <c r="ES34" s="463">
        <f t="shared" si="80"/>
      </c>
      <c r="ET34" s="463">
        <f t="shared" si="80"/>
      </c>
      <c r="EU34" s="463">
        <f>EU31-EP31</f>
      </c>
      <c r="EV34" s="610">
        <f>EV31-EQ31</f>
      </c>
      <c r="EW34" s="463">
        <f t="shared" si="80"/>
      </c>
      <c r="EX34" s="463">
        <f t="shared" si="80"/>
      </c>
      <c r="EY34" s="463">
        <f t="shared" si="80"/>
      </c>
      <c r="EZ34" s="463">
        <f>EZ31-EU31</f>
      </c>
      <c r="FA34" s="610">
        <f>FA31-EV31</f>
      </c>
      <c r="FB34" s="463">
        <f t="shared" si="80"/>
      </c>
      <c r="FC34" s="463">
        <f t="shared" si="80"/>
      </c>
      <c r="FD34" s="463">
        <f t="shared" si="80"/>
      </c>
      <c r="FE34" s="463">
        <f t="shared" si="80"/>
      </c>
      <c r="FF34" s="610">
        <f t="shared" si="80"/>
      </c>
      <c r="FG34" s="463">
        <f t="shared" si="80"/>
      </c>
      <c r="FH34" s="463">
        <f t="shared" si="80"/>
      </c>
      <c r="FI34" s="463">
        <f t="shared" si="80"/>
      </c>
      <c r="FJ34" s="463">
        <f t="shared" si="80"/>
      </c>
      <c r="FK34" s="610">
        <f t="shared" si="80"/>
      </c>
      <c r="FL34" s="463">
        <f t="shared" ref="FL34:FZ34" si="81">FL31-FG31</f>
      </c>
      <c r="FM34" s="463">
        <f t="shared" si="81"/>
      </c>
      <c r="FN34" s="463">
        <f t="shared" si="81"/>
      </c>
      <c r="FO34" s="463">
        <f t="shared" si="81"/>
      </c>
      <c r="FP34" s="610">
        <f t="shared" si="81"/>
      </c>
      <c r="FQ34" s="463">
        <f t="shared" si="81"/>
      </c>
      <c r="FR34" s="463">
        <f t="shared" si="81"/>
      </c>
      <c r="FS34" s="463">
        <f t="shared" si="81"/>
      </c>
      <c r="FT34" s="463">
        <f t="shared" si="81"/>
      </c>
      <c r="FU34" s="610">
        <f t="shared" si="81"/>
      </c>
      <c r="FV34" s="463">
        <f t="shared" si="81"/>
      </c>
      <c r="FW34" s="463">
        <f t="shared" si="81"/>
      </c>
      <c r="FX34" s="463">
        <f t="shared" si="81"/>
      </c>
      <c r="FY34" s="463">
        <f t="shared" si="81"/>
      </c>
      <c r="FZ34" s="610">
        <f t="shared" si="81"/>
      </c>
      <c r="GA34" s="463">
        <f>GA31-FV31</f>
      </c>
      <c r="GB34" s="463">
        <f>GB31-FW31</f>
      </c>
      <c r="GC34" s="463">
        <f>GC31-FX31</f>
      </c>
      <c r="GD34" s="463">
        <f>GD31-FY31</f>
      </c>
      <c r="GE34" s="610">
        <f>GE31-FZ31</f>
      </c>
    </row>
    <row r="35" spans="1:187" s="537" customFormat="1" ht="12.75" customHeight="1" outlineLevel="1">
      <c r="A35" s="68"/>
      <c r="B35" s="724" t="s">
        <v>314</v>
      </c>
      <c r="C35" s="463"/>
      <c r="D35" s="463">
        <f>D31-C31</f>
      </c>
      <c r="E35" s="463">
        <f>E31-D31</f>
      </c>
      <c r="F35" s="463">
        <f>F31-E31</f>
      </c>
      <c r="G35" s="610"/>
      <c r="H35" s="463">
        <f>H31-F31</f>
      </c>
      <c r="I35" s="463">
        <f>I31-H31</f>
      </c>
      <c r="J35" s="463">
        <f>J31-I31</f>
      </c>
      <c r="K35" s="463">
        <f>K31-J31</f>
      </c>
      <c r="L35" s="610"/>
      <c r="M35" s="463">
        <f>M31-K31</f>
      </c>
      <c r="N35" s="463">
        <f>N31-M31</f>
      </c>
      <c r="O35" s="463">
        <f>O31-N31</f>
      </c>
      <c r="P35" s="463">
        <f>P31-O31</f>
      </c>
      <c r="Q35" s="610"/>
      <c r="R35" s="463">
        <f>R31-P31</f>
      </c>
      <c r="S35" s="463">
        <f>S31-R31</f>
      </c>
      <c r="T35" s="463">
        <f>T31-S31</f>
      </c>
      <c r="U35" s="463">
        <f>U31-T31</f>
      </c>
      <c r="V35" s="610"/>
      <c r="W35" s="463">
        <f>W31-U31</f>
      </c>
      <c r="X35" s="463">
        <f>X31-W31</f>
      </c>
      <c r="Y35" s="463">
        <f>Y31-X31</f>
      </c>
      <c r="Z35" s="463">
        <f>Z31-Y31</f>
      </c>
      <c r="AA35" s="610"/>
      <c r="AB35" s="463">
        <f>AB31-Z31</f>
      </c>
      <c r="AC35" s="463">
        <f>AC31-AB31</f>
      </c>
      <c r="AD35" s="463">
        <f>AD31-AC31</f>
      </c>
      <c r="AE35" s="463">
        <f>AE31-AD31</f>
      </c>
      <c r="AF35" s="610"/>
      <c r="AG35" s="463">
        <f>AG31-AE31</f>
      </c>
      <c r="AH35" s="463">
        <f>AH31-AG31</f>
      </c>
      <c r="AI35" s="463">
        <f>AI31-AH31</f>
      </c>
      <c r="AJ35" s="463">
        <f>AJ31-AI31</f>
      </c>
      <c r="AK35" s="610"/>
      <c r="AL35" s="463">
        <f>AL31-AJ31</f>
      </c>
      <c r="AM35" s="463">
        <f>AM31-AL31</f>
      </c>
      <c r="AN35" s="463">
        <f>AN31-AM31</f>
      </c>
      <c r="AO35" s="463">
        <f>AO31-AN31</f>
      </c>
      <c r="AP35" s="610"/>
      <c r="AQ35" s="463">
        <f>AQ31-AO31</f>
      </c>
      <c r="AR35" s="463">
        <f>AR31-AQ31</f>
      </c>
      <c r="AS35" s="463">
        <f>AS31-AR31</f>
      </c>
      <c r="AT35" s="463">
        <f>AT31-AS31</f>
      </c>
      <c r="AU35" s="610"/>
      <c r="AV35" s="463">
        <f>AV31-AT31</f>
      </c>
      <c r="AW35" s="463">
        <f>AW31-AV31</f>
      </c>
      <c r="AX35" s="463">
        <f>AX31-AW31</f>
      </c>
      <c r="AY35" s="463">
        <f>AY31-AX31</f>
      </c>
      <c r="AZ35" s="610"/>
      <c r="BA35" s="463">
        <f>BA31-AY31</f>
      </c>
      <c r="BB35" s="463">
        <f>BB31-BA31</f>
      </c>
      <c r="BC35" s="463">
        <f>BC31-BB31</f>
      </c>
      <c r="BD35" s="463">
        <f>BD31-BC31</f>
      </c>
      <c r="BE35" s="610"/>
      <c r="BF35" s="463">
        <f>BF31-BD31</f>
      </c>
      <c r="BG35" s="463">
        <f>BG31-BF31</f>
      </c>
      <c r="BH35" s="463">
        <f>BH31-BG31</f>
      </c>
      <c r="BI35" s="463">
        <f>BI31-BH31</f>
      </c>
      <c r="BJ35" s="610"/>
      <c r="BK35" s="463">
        <f>BK31-BI31</f>
      </c>
      <c r="BL35" s="463">
        <f>BL31-BK31</f>
      </c>
      <c r="BM35" s="463">
        <f>BM31-BL31</f>
      </c>
      <c r="BN35" s="463">
        <f>BN31-BM31</f>
      </c>
      <c r="BO35" s="610"/>
      <c r="BP35" s="463">
        <f>BP31-BN31</f>
      </c>
      <c r="BQ35" s="463">
        <f>BQ31-BP31</f>
      </c>
      <c r="BR35" s="463">
        <f>BR31-BQ31</f>
      </c>
      <c r="BS35" s="463">
        <f>BS31-BR31</f>
      </c>
      <c r="BT35" s="610"/>
      <c r="BU35" s="463">
        <f>BU31-BS31</f>
      </c>
      <c r="BV35" s="463">
        <f>BV31-BU31</f>
      </c>
      <c r="BW35" s="463">
        <f>BW31-BV31</f>
      </c>
      <c r="BX35" s="463">
        <f>BX31-BW31</f>
      </c>
      <c r="BY35" s="610"/>
      <c r="BZ35" s="463">
        <f>BZ31-BX31</f>
      </c>
      <c r="CA35" s="463">
        <f>CA31-BZ31</f>
      </c>
      <c r="CB35" s="463">
        <f>CB31-CA31</f>
      </c>
      <c r="CC35" s="463">
        <f>CC31-CB31</f>
      </c>
      <c r="CD35" s="610"/>
      <c r="CE35" s="463">
        <f>CE31-CC31</f>
      </c>
      <c r="CF35" s="463">
        <f>CF31-CE31</f>
      </c>
      <c r="CG35" s="463">
        <f>CG31-CF31</f>
      </c>
      <c r="CH35" s="463">
        <f>CH31-CG31</f>
      </c>
      <c r="CI35" s="610"/>
      <c r="CJ35" s="463">
        <f>CJ31-CH31</f>
      </c>
      <c r="CK35" s="463">
        <f>CK31-CJ31</f>
      </c>
      <c r="CL35" s="463">
        <f>CL31-CK31</f>
      </c>
      <c r="CM35" s="463">
        <f>CM31-CL31</f>
      </c>
      <c r="CN35" s="610"/>
      <c r="CO35" s="463">
        <f>CO31-CM31</f>
      </c>
      <c r="CP35" s="463">
        <f>CP31-CO31</f>
      </c>
      <c r="CQ35" s="463">
        <f>CQ31-CP31</f>
      </c>
      <c r="CR35" s="463">
        <f>CR31-CQ31</f>
      </c>
      <c r="CS35" s="610"/>
      <c r="CT35" s="463">
        <f>CT31-CR31</f>
      </c>
      <c r="CU35" s="463">
        <f>CU31-CT31</f>
      </c>
      <c r="CV35" s="463">
        <f>CV31-CU31</f>
      </c>
      <c r="CW35" s="463">
        <f>CW31-CV31</f>
      </c>
      <c r="CX35" s="610"/>
      <c r="CY35" s="463">
        <f>CY31-CW31</f>
      </c>
      <c r="CZ35" s="463">
        <f>CZ31-CY31</f>
      </c>
      <c r="DA35" s="463">
        <f>DA31-CZ31</f>
      </c>
      <c r="DB35" s="463">
        <f>DB31-DA31</f>
      </c>
      <c r="DC35" s="610"/>
      <c r="DD35" s="463">
        <f>DD31-DB31</f>
      </c>
      <c r="DE35" s="463">
        <f>DE31-DD31</f>
      </c>
      <c r="DF35" s="463">
        <f>DF31-DE31</f>
      </c>
      <c r="DG35" s="463">
        <f>DG31-DF31</f>
      </c>
      <c r="DH35" s="610"/>
      <c r="DI35" s="463">
        <f>DI31-DG31</f>
      </c>
      <c r="DJ35" s="463">
        <f>DJ31-DI31</f>
      </c>
      <c r="DK35" s="463">
        <f>DK31-DJ31</f>
      </c>
      <c r="DL35" s="463">
        <f>DL31-DK31</f>
      </c>
      <c r="DM35" s="610"/>
      <c r="DN35" s="463">
        <f>DN31-DL31</f>
      </c>
      <c r="DO35" s="463">
        <f>DO31-DN31</f>
      </c>
      <c r="DP35" s="463">
        <f>DP31-DO31</f>
      </c>
      <c r="DQ35" s="463">
        <f>DQ31-DP31</f>
      </c>
      <c r="DR35" s="610"/>
      <c r="DS35" s="463">
        <f>DS31-DQ31</f>
      </c>
      <c r="DT35" s="463">
        <f>DT31-DS31</f>
      </c>
      <c r="DU35" s="463">
        <f>DU31-DT31</f>
      </c>
      <c r="DV35" s="463">
        <f>DV31-DU31</f>
      </c>
      <c r="DW35" s="610"/>
      <c r="DX35" s="463">
        <f>DX31-DV31</f>
      </c>
      <c r="DY35" s="463">
        <f>DY31-DX31</f>
      </c>
      <c r="DZ35" s="463">
        <f>DZ31-DY31</f>
      </c>
      <c r="EA35" s="463">
        <f>EA31-DZ31</f>
      </c>
      <c r="EB35" s="610"/>
      <c r="EC35" s="463">
        <f>EC31-EA31</f>
      </c>
      <c r="ED35" s="463">
        <f>ED31-EC31</f>
      </c>
      <c r="EE35" s="463">
        <f>EE31-ED31</f>
      </c>
      <c r="EF35" s="463">
        <f>EF31-EE31</f>
      </c>
      <c r="EG35" s="610"/>
      <c r="EH35" s="463">
        <f>EH31-EF31</f>
      </c>
      <c r="EI35" s="463">
        <f>EI31-EH31</f>
      </c>
      <c r="EJ35" s="463">
        <f>EJ31-EI31</f>
      </c>
      <c r="EK35" s="463">
        <f>EK31-EJ31</f>
      </c>
      <c r="EL35" s="610"/>
      <c r="EM35" s="463">
        <f>EM31-EK31</f>
      </c>
      <c r="EN35" s="463">
        <f>EN31-EM31</f>
      </c>
      <c r="EO35" s="463">
        <f>EO31-EN31</f>
      </c>
      <c r="EP35" s="463">
        <f>EP31-EO31</f>
      </c>
      <c r="EQ35" s="610"/>
      <c r="ER35" s="463">
        <f>ER31-EP31</f>
      </c>
      <c r="ES35" s="463">
        <f>ES31-ER31</f>
      </c>
      <c r="ET35" s="463">
        <f>ET31-ES31</f>
      </c>
      <c r="EU35" s="463">
        <f>EU31-ET31</f>
      </c>
      <c r="EV35" s="610"/>
      <c r="EW35" s="463">
        <f>EW31-EU31</f>
      </c>
      <c r="EX35" s="463">
        <f>EX31-EW31</f>
      </c>
      <c r="EY35" s="463">
        <f>EY31-EX31</f>
      </c>
      <c r="EZ35" s="463">
        <f>EZ31-EY31</f>
      </c>
      <c r="FA35" s="610"/>
      <c r="FB35" s="463">
        <f>FB31-EZ31</f>
      </c>
      <c r="FC35" s="463">
        <f>FC31-FB31</f>
      </c>
      <c r="FD35" s="463">
        <f>FD31-FC31</f>
      </c>
      <c r="FE35" s="463">
        <f>FE31-FD31</f>
      </c>
      <c r="FF35" s="610"/>
      <c r="FG35" s="463">
        <f>FG31-FE31</f>
      </c>
      <c r="FH35" s="463">
        <f>FH31-FG31</f>
      </c>
      <c r="FI35" s="463">
        <f>FI31-FH31</f>
      </c>
      <c r="FJ35" s="463">
        <f>FJ31-FI31</f>
      </c>
      <c r="FK35" s="610"/>
      <c r="FL35" s="463">
        <f>FL31-FJ31</f>
      </c>
      <c r="FM35" s="463">
        <f>FM31-FL31</f>
      </c>
      <c r="FN35" s="463">
        <f>FN31-FM31</f>
      </c>
      <c r="FO35" s="463">
        <f>FO31-FN31</f>
      </c>
      <c r="FP35" s="610"/>
      <c r="FQ35" s="463">
        <f>FQ31-FO31</f>
      </c>
      <c r="FR35" s="463">
        <f>FR31-FQ31</f>
      </c>
      <c r="FS35" s="463">
        <f>FS31-FR31</f>
      </c>
      <c r="FT35" s="463">
        <f>FT31-FS31</f>
      </c>
      <c r="FU35" s="610"/>
      <c r="FV35" s="463">
        <f>FV31-FT31</f>
      </c>
      <c r="FW35" s="463">
        <f>FW31-FV31</f>
      </c>
      <c r="FX35" s="463">
        <f>FX31-FW31</f>
      </c>
      <c r="FY35" s="463">
        <f>FY31-FX31</f>
      </c>
      <c r="FZ35" s="610"/>
      <c r="GA35" s="463">
        <f>GA31-FY31</f>
      </c>
      <c r="GB35" s="463">
        <f>GB31-GA31</f>
      </c>
      <c r="GC35" s="463">
        <f>GC31-GB31</f>
      </c>
      <c r="GD35" s="463">
        <f>GD31-GC31</f>
      </c>
      <c r="GE35" s="610"/>
    </row>
    <row r="36" spans="1:187" s="537" customFormat="1" ht="12.75" customHeight="1" outlineLevel="1">
      <c r="A36" s="81"/>
      <c r="B36" s="724" t="s">
        <v>257</v>
      </c>
      <c r="C36" s="107">
        <f t="shared" ref="C36:H36" si="82">IFERROR(C31/C$10,"")</f>
      </c>
      <c r="D36" s="107">
        <f t="shared" si="82"/>
      </c>
      <c r="E36" s="107">
        <f t="shared" si="82"/>
      </c>
      <c r="F36" s="107">
        <f t="shared" si="82"/>
      </c>
      <c r="G36" s="544">
        <f t="shared" si="82"/>
      </c>
      <c r="H36" s="107">
        <f t="shared" si="82"/>
      </c>
      <c r="I36" s="107">
        <f t="shared" ref="I36:BT36" si="83">IFERROR(I31/I$10,"")</f>
      </c>
      <c r="J36" s="107">
        <f t="shared" si="83"/>
      </c>
      <c r="K36" s="107">
        <f t="shared" si="83"/>
      </c>
      <c r="L36" s="544">
        <f t="shared" si="83"/>
      </c>
      <c r="M36" s="107">
        <f>IFERROR(M31/M$10,"")</f>
      </c>
      <c r="N36" s="107">
        <f t="shared" si="83"/>
      </c>
      <c r="O36" s="107">
        <f t="shared" si="83"/>
      </c>
      <c r="P36" s="107">
        <f t="shared" si="83"/>
      </c>
      <c r="Q36" s="544">
        <f t="shared" si="83"/>
      </c>
      <c r="R36" s="107">
        <f>IFERROR(R31/R$10,"")</f>
      </c>
      <c r="S36" s="107">
        <f t="shared" si="83"/>
      </c>
      <c r="T36" s="107">
        <f t="shared" si="83"/>
      </c>
      <c r="U36" s="107">
        <f t="shared" si="83"/>
      </c>
      <c r="V36" s="544">
        <f t="shared" si="83"/>
      </c>
      <c r="W36" s="107">
        <f>IFERROR(W31/W$10,"")</f>
      </c>
      <c r="X36" s="107">
        <f t="shared" si="83"/>
      </c>
      <c r="Y36" s="107">
        <f t="shared" si="83"/>
      </c>
      <c r="Z36" s="107">
        <f t="shared" si="83"/>
      </c>
      <c r="AA36" s="544">
        <f t="shared" si="83"/>
      </c>
      <c r="AB36" s="107">
        <f>IFERROR(AB31/AB$10,"")</f>
      </c>
      <c r="AC36" s="107">
        <f t="shared" si="83"/>
      </c>
      <c r="AD36" s="107">
        <f t="shared" si="83"/>
      </c>
      <c r="AE36" s="107">
        <f t="shared" si="83"/>
      </c>
      <c r="AF36" s="544">
        <f t="shared" si="83"/>
      </c>
      <c r="AG36" s="107">
        <f>IFERROR(AG31/AG$10,"")</f>
      </c>
      <c r="AH36" s="107">
        <f t="shared" si="83"/>
      </c>
      <c r="AI36" s="107">
        <f t="shared" si="83"/>
      </c>
      <c r="AJ36" s="107">
        <f t="shared" si="83"/>
      </c>
      <c r="AK36" s="544">
        <f t="shared" si="83"/>
      </c>
      <c r="AL36" s="107">
        <f>IFERROR(AL31/AL$10,"")</f>
      </c>
      <c r="AM36" s="107">
        <f t="shared" si="83"/>
      </c>
      <c r="AN36" s="107">
        <f t="shared" si="83"/>
      </c>
      <c r="AO36" s="107">
        <f t="shared" si="83"/>
      </c>
      <c r="AP36" s="544">
        <f t="shared" si="83"/>
      </c>
      <c r="AQ36" s="107">
        <f>IFERROR(AQ31/AQ$10,"")</f>
      </c>
      <c r="AR36" s="107">
        <f t="shared" si="83"/>
      </c>
      <c r="AS36" s="107">
        <f t="shared" si="83"/>
      </c>
      <c r="AT36" s="107">
        <f t="shared" si="83"/>
      </c>
      <c r="AU36" s="544">
        <f t="shared" si="83"/>
      </c>
      <c r="AV36" s="107">
        <f>IFERROR(AV31/AV$10,"")</f>
      </c>
      <c r="AW36" s="107">
        <f t="shared" si="83"/>
      </c>
      <c r="AX36" s="107">
        <f t="shared" si="83"/>
      </c>
      <c r="AY36" s="107">
        <f t="shared" si="83"/>
      </c>
      <c r="AZ36" s="544">
        <f t="shared" si="83"/>
      </c>
      <c r="BA36" s="107">
        <f>IFERROR(BA31/BA$10,"")</f>
      </c>
      <c r="BB36" s="107">
        <f t="shared" si="83"/>
      </c>
      <c r="BC36" s="107">
        <f t="shared" si="83"/>
      </c>
      <c r="BD36" s="107">
        <f t="shared" si="83"/>
      </c>
      <c r="BE36" s="544">
        <f t="shared" si="83"/>
      </c>
      <c r="BF36" s="107">
        <f>IFERROR(BF31/BF$10,"")</f>
      </c>
      <c r="BG36" s="107">
        <f t="shared" si="83"/>
      </c>
      <c r="BH36" s="107">
        <f t="shared" si="83"/>
      </c>
      <c r="BI36" s="107">
        <f t="shared" si="83"/>
      </c>
      <c r="BJ36" s="544">
        <f t="shared" si="83"/>
      </c>
      <c r="BK36" s="107">
        <f>IFERROR(BK31/BK$10,"")</f>
      </c>
      <c r="BL36" s="107">
        <f t="shared" si="83"/>
      </c>
      <c r="BM36" s="107">
        <f t="shared" si="83"/>
      </c>
      <c r="BN36" s="107">
        <f t="shared" si="83"/>
      </c>
      <c r="BO36" s="544">
        <f t="shared" si="83"/>
      </c>
      <c r="BP36" s="107">
        <f>IFERROR(BP31/BP$10,"")</f>
      </c>
      <c r="BQ36" s="107">
        <f t="shared" si="83"/>
      </c>
      <c r="BR36" s="107">
        <f t="shared" si="83"/>
      </c>
      <c r="BS36" s="107">
        <f t="shared" si="83"/>
      </c>
      <c r="BT36" s="544">
        <f t="shared" si="83"/>
      </c>
      <c r="BU36" s="107">
        <f>IFERROR(BU31/BU$10,"")</f>
      </c>
      <c r="BV36" s="107">
        <f t="shared" ref="BV36:CD36" si="84">IFERROR(BV31/BV$10,"")</f>
      </c>
      <c r="BW36" s="107">
        <f t="shared" si="84"/>
      </c>
      <c r="BX36" s="107">
        <f t="shared" si="84"/>
      </c>
      <c r="BY36" s="544">
        <f t="shared" si="84"/>
      </c>
      <c r="BZ36" s="107">
        <f>IFERROR(BZ31/BZ$10,"")</f>
      </c>
      <c r="CA36" s="107">
        <f t="shared" si="84"/>
      </c>
      <c r="CB36" s="107">
        <f t="shared" si="84"/>
      </c>
      <c r="CC36" s="107">
        <f t="shared" si="84"/>
      </c>
      <c r="CD36" s="544">
        <f t="shared" si="84"/>
      </c>
      <c r="CE36" s="107">
        <f>IFERROR(CE31/CE$10,"")</f>
      </c>
      <c r="CF36" s="107">
        <f t="shared" ref="CF36:DC36" si="85">IFERROR(CF31/CF$10,"")</f>
      </c>
      <c r="CG36" s="107">
        <f t="shared" si="85"/>
      </c>
      <c r="CH36" s="107">
        <f t="shared" si="85"/>
      </c>
      <c r="CI36" s="544">
        <f t="shared" si="85"/>
      </c>
      <c r="CJ36" s="107">
        <f>IFERROR(CJ31/CJ$10,"")</f>
      </c>
      <c r="CK36" s="107">
        <f t="shared" si="85"/>
      </c>
      <c r="CL36" s="107">
        <f t="shared" si="85"/>
      </c>
      <c r="CM36" s="107">
        <f t="shared" si="85"/>
      </c>
      <c r="CN36" s="544">
        <f t="shared" si="85"/>
      </c>
      <c r="CO36" s="107">
        <f>IFERROR(CO31/CO$10,"")</f>
      </c>
      <c r="CP36" s="107">
        <f t="shared" si="85"/>
      </c>
      <c r="CQ36" s="107">
        <f t="shared" si="85"/>
      </c>
      <c r="CR36" s="107">
        <f t="shared" si="85"/>
      </c>
      <c r="CS36" s="544">
        <f t="shared" si="85"/>
      </c>
      <c r="CT36" s="107">
        <f>IFERROR(CT31/CT$10,"")</f>
      </c>
      <c r="CU36" s="107">
        <f t="shared" si="85"/>
      </c>
      <c r="CV36" s="107">
        <f t="shared" si="85"/>
      </c>
      <c r="CW36" s="107">
        <f t="shared" si="85"/>
      </c>
      <c r="CX36" s="544">
        <f t="shared" si="85"/>
      </c>
      <c r="CY36" s="107">
        <f>IFERROR(CY31/CY$10,"")</f>
      </c>
      <c r="CZ36" s="107">
        <f t="shared" si="85"/>
      </c>
      <c r="DA36" s="107">
        <f t="shared" si="85"/>
      </c>
      <c r="DB36" s="107">
        <f t="shared" si="85"/>
      </c>
      <c r="DC36" s="544">
        <f t="shared" si="85"/>
      </c>
      <c r="DD36" s="107">
        <f>IFERROR(DD31/DD$10,"")</f>
      </c>
      <c r="DE36" s="107">
        <f t="shared" ref="DE36:EQ36" si="86">IFERROR(DE31/DE$10,"")</f>
      </c>
      <c r="DF36" s="107">
        <f t="shared" si="86"/>
      </c>
      <c r="DG36" s="107">
        <f t="shared" si="86"/>
      </c>
      <c r="DH36" s="544">
        <f t="shared" si="86"/>
      </c>
      <c r="DI36" s="107">
        <f>IFERROR(DI31/DI$10,"")</f>
      </c>
      <c r="DJ36" s="107">
        <f t="shared" si="86"/>
      </c>
      <c r="DK36" s="107">
        <f t="shared" si="86"/>
      </c>
      <c r="DL36" s="107">
        <f t="shared" si="86"/>
      </c>
      <c r="DM36" s="544">
        <f t="shared" si="86"/>
      </c>
      <c r="DN36" s="107">
        <f>IFERROR(DN31/DN$10,"")</f>
      </c>
      <c r="DO36" s="107">
        <f t="shared" si="86"/>
      </c>
      <c r="DP36" s="107">
        <f t="shared" si="86"/>
      </c>
      <c r="DQ36" s="107">
        <f t="shared" si="86"/>
      </c>
      <c r="DR36" s="544">
        <f t="shared" si="86"/>
      </c>
      <c r="DS36" s="107">
        <f>IFERROR(DS31/DS$10,"")</f>
      </c>
      <c r="DT36" s="107">
        <f t="shared" si="86"/>
      </c>
      <c r="DU36" s="107">
        <f t="shared" si="86"/>
      </c>
      <c r="DV36" s="107">
        <f t="shared" si="86"/>
      </c>
      <c r="DW36" s="544">
        <f t="shared" si="86"/>
      </c>
      <c r="DX36" s="107">
        <f>IFERROR(DX31/DX$10,"")</f>
      </c>
      <c r="DY36" s="107">
        <f t="shared" si="86"/>
      </c>
      <c r="DZ36" s="107">
        <f t="shared" si="86"/>
      </c>
      <c r="EA36" s="107">
        <f t="shared" si="86"/>
      </c>
      <c r="EB36" s="544">
        <f t="shared" si="86"/>
      </c>
      <c r="EC36" s="107">
        <f>IFERROR(EC31/EC$10,"")</f>
      </c>
      <c r="ED36" s="107">
        <f t="shared" si="86"/>
      </c>
      <c r="EE36" s="107">
        <f t="shared" si="86"/>
      </c>
      <c r="EF36" s="107">
        <f t="shared" si="86"/>
      </c>
      <c r="EG36" s="544">
        <f t="shared" si="86"/>
      </c>
      <c r="EH36" s="107">
        <f>IFERROR(EH31/EH$10,"")</f>
      </c>
      <c r="EI36" s="107">
        <f t="shared" si="86"/>
      </c>
      <c r="EJ36" s="107">
        <f t="shared" si="86"/>
      </c>
      <c r="EK36" s="107">
        <f t="shared" si="86"/>
      </c>
      <c r="EL36" s="544">
        <f t="shared" si="86"/>
      </c>
      <c r="EM36" s="107">
        <f>IFERROR(EM31/EM$10,"")</f>
      </c>
      <c r="EN36" s="107">
        <f t="shared" si="86"/>
      </c>
      <c r="EO36" s="107">
        <f t="shared" si="86"/>
      </c>
      <c r="EP36" s="107">
        <f t="shared" si="86"/>
      </c>
      <c r="EQ36" s="544">
        <f t="shared" si="86"/>
      </c>
      <c r="ER36" s="107">
        <f t="shared" ref="ER36:EV36" si="87">IFERROR(ER31/ER$10,"")</f>
      </c>
      <c r="ES36" s="107">
        <f t="shared" si="87"/>
      </c>
      <c r="ET36" s="107">
        <f t="shared" si="87"/>
      </c>
      <c r="EU36" s="107">
        <f t="shared" si="87"/>
      </c>
      <c r="EV36" s="544">
        <f t="shared" si="87"/>
      </c>
      <c r="EW36" s="107">
        <f t="shared" ref="EW36:FA36" si="88">IFERROR(EW31/EW$10,"")</f>
      </c>
      <c r="EX36" s="107">
        <f t="shared" si="88"/>
      </c>
      <c r="EY36" s="107">
        <f t="shared" si="88"/>
      </c>
      <c r="EZ36" s="107">
        <f t="shared" si="88"/>
      </c>
      <c r="FA36" s="544">
        <f t="shared" si="88"/>
      </c>
      <c r="FB36" s="107">
        <f t="shared" ref="FB36:FZ36" si="89">IFERROR(FB31/FB$10,"")</f>
      </c>
      <c r="FC36" s="107">
        <f t="shared" si="89"/>
      </c>
      <c r="FD36" s="107">
        <f t="shared" si="89"/>
      </c>
      <c r="FE36" s="107">
        <f t="shared" si="89"/>
      </c>
      <c r="FF36" s="544">
        <f t="shared" si="89"/>
      </c>
      <c r="FG36" s="107">
        <f t="shared" si="89"/>
      </c>
      <c r="FH36" s="107">
        <f t="shared" si="89"/>
      </c>
      <c r="FI36" s="107">
        <f t="shared" si="89"/>
      </c>
      <c r="FJ36" s="107">
        <f t="shared" si="89"/>
      </c>
      <c r="FK36" s="544">
        <f t="shared" si="89"/>
      </c>
      <c r="FL36" s="107">
        <f t="shared" si="89"/>
      </c>
      <c r="FM36" s="107">
        <f t="shared" si="89"/>
      </c>
      <c r="FN36" s="107">
        <f t="shared" si="89"/>
      </c>
      <c r="FO36" s="107">
        <f t="shared" si="89"/>
      </c>
      <c r="FP36" s="544">
        <f t="shared" si="89"/>
      </c>
      <c r="FQ36" s="107">
        <f t="shared" si="89"/>
      </c>
      <c r="FR36" s="107">
        <f t="shared" si="89"/>
      </c>
      <c r="FS36" s="107">
        <f t="shared" si="89"/>
      </c>
      <c r="FT36" s="107">
        <f t="shared" si="89"/>
      </c>
      <c r="FU36" s="544">
        <f t="shared" si="89"/>
      </c>
      <c r="FV36" s="107">
        <f t="shared" si="89"/>
      </c>
      <c r="FW36" s="107">
        <f t="shared" si="89"/>
      </c>
      <c r="FX36" s="107">
        <f t="shared" si="89"/>
      </c>
      <c r="FY36" s="107">
        <f t="shared" si="89"/>
      </c>
      <c r="FZ36" s="544">
        <f t="shared" si="89"/>
      </c>
      <c r="GA36" s="107">
        <f>IFERROR(GA31/GA$10,"")</f>
      </c>
      <c r="GB36" s="107">
        <f>IFERROR(GB31/GB$10,"")</f>
      </c>
      <c r="GC36" s="107">
        <f>IFERROR(GC31/GC$10,"")</f>
      </c>
      <c r="GD36" s="107">
        <f>IFERROR(GD31/GD$10,"")</f>
      </c>
      <c r="GE36" s="544">
        <f>IFERROR(GE31/GE$10,"")</f>
      </c>
    </row>
    <row r="37" spans="1:187" ht="12.75" customHeight="1">
      <c r="B37" s="703"/>
      <c r="C37" s="98"/>
      <c r="D37" s="98"/>
      <c r="E37" s="98"/>
      <c r="F37" s="98"/>
      <c r="G37" s="99"/>
      <c r="H37" s="98"/>
      <c r="I37" s="98"/>
      <c r="J37" s="98"/>
      <c r="K37" s="98"/>
      <c r="L37" s="99"/>
      <c r="M37" s="98"/>
      <c r="N37" s="98"/>
      <c r="O37" s="98"/>
      <c r="P37" s="98"/>
      <c r="Q37" s="99"/>
      <c r="R37" s="545"/>
      <c r="S37" s="541"/>
      <c r="T37" s="541"/>
      <c r="U37" s="541"/>
      <c r="V37" s="546"/>
      <c r="W37" s="545"/>
      <c r="X37" s="541"/>
      <c r="Y37" s="541"/>
      <c r="Z37" s="541"/>
      <c r="AA37" s="546"/>
      <c r="AB37" s="541"/>
      <c r="AC37" s="541"/>
      <c r="AD37" s="541"/>
      <c r="AE37" s="541"/>
      <c r="AF37" s="546"/>
      <c r="AG37" s="541"/>
      <c r="AH37" s="541"/>
      <c r="AI37" s="541"/>
      <c r="AJ37" s="541"/>
      <c r="AK37" s="546"/>
      <c r="AL37" s="541"/>
      <c r="AM37" s="541"/>
      <c r="AN37" s="541"/>
      <c r="AO37" s="541"/>
      <c r="AP37" s="546"/>
      <c r="AQ37" s="541"/>
      <c r="AR37" s="541"/>
      <c r="AS37" s="541"/>
      <c r="AT37" s="541"/>
      <c r="AU37" s="546"/>
      <c r="AV37" s="541"/>
      <c r="AW37" s="541"/>
      <c r="AX37" s="541"/>
      <c r="AY37" s="541"/>
      <c r="AZ37" s="546"/>
      <c r="BA37" s="541"/>
      <c r="BB37" s="541"/>
      <c r="BC37" s="541"/>
      <c r="BD37" s="541"/>
      <c r="BE37" s="546"/>
      <c r="BF37" s="541"/>
      <c r="BG37" s="541"/>
      <c r="BH37" s="541"/>
      <c r="BI37" s="541"/>
      <c r="BJ37" s="546"/>
      <c r="BK37" s="541"/>
      <c r="BL37" s="541"/>
      <c r="BM37" s="541"/>
      <c r="BN37" s="541"/>
      <c r="BO37" s="546"/>
      <c r="BP37" s="541"/>
      <c r="BQ37" s="541"/>
      <c r="BR37" s="541"/>
      <c r="BS37" s="541"/>
      <c r="BT37" s="546"/>
      <c r="BU37" s="541"/>
      <c r="BV37" s="541"/>
      <c r="BW37" s="541"/>
      <c r="BX37" s="541"/>
      <c r="BY37" s="546"/>
      <c r="BZ37" s="541"/>
      <c r="CA37" s="541"/>
      <c r="CB37" s="541"/>
      <c r="CC37" s="541"/>
      <c r="CD37" s="546"/>
      <c r="CE37" s="541"/>
      <c r="CF37" s="541"/>
      <c r="CG37" s="541"/>
      <c r="CH37" s="541"/>
      <c r="CI37" s="546"/>
      <c r="CJ37" s="541"/>
      <c r="CK37" s="541"/>
      <c r="CL37" s="541"/>
      <c r="CM37" s="541"/>
      <c r="CN37" s="546"/>
      <c r="CO37" s="541"/>
      <c r="CP37" s="541"/>
      <c r="CQ37" s="541"/>
      <c r="CR37" s="541"/>
      <c r="CS37" s="546"/>
      <c r="CT37" s="541"/>
      <c r="CU37" s="541"/>
      <c r="CV37" s="541"/>
      <c r="CW37" s="541"/>
      <c r="CX37" s="546"/>
      <c r="CY37" s="541"/>
      <c r="CZ37" s="541"/>
      <c r="DA37" s="541"/>
      <c r="DB37" s="541"/>
      <c r="DC37" s="546"/>
      <c r="DD37" s="541"/>
      <c r="DE37" s="541"/>
      <c r="DF37" s="541"/>
      <c r="DG37" s="541"/>
      <c r="DH37" s="546"/>
      <c r="DI37" s="541"/>
      <c r="DJ37" s="541"/>
      <c r="DK37" s="541"/>
      <c r="DL37" s="541"/>
      <c r="DM37" s="546"/>
      <c r="DN37" s="541"/>
      <c r="DO37" s="541"/>
      <c r="DP37" s="541"/>
      <c r="DQ37" s="541"/>
      <c r="DR37" s="546"/>
      <c r="DS37" s="541"/>
      <c r="DT37" s="541"/>
      <c r="DU37" s="541"/>
      <c r="DV37" s="541"/>
      <c r="DW37" s="546"/>
      <c r="DX37" s="541"/>
      <c r="DY37" s="541"/>
      <c r="DZ37" s="541"/>
      <c r="EA37" s="541"/>
      <c r="EB37" s="546"/>
      <c r="EC37" s="541"/>
      <c r="ED37" s="541"/>
      <c r="EE37" s="541"/>
      <c r="EF37" s="541"/>
      <c r="EG37" s="546"/>
      <c r="EH37" s="541"/>
      <c r="EI37" s="541"/>
      <c r="EJ37" s="541"/>
      <c r="EK37" s="541"/>
      <c r="EL37" s="546"/>
      <c r="EM37" s="541"/>
      <c r="EN37" s="541"/>
      <c r="EO37" s="541"/>
      <c r="EP37" s="541"/>
      <c r="EQ37" s="546"/>
      <c r="ER37" s="541"/>
      <c r="ES37" s="541"/>
      <c r="ET37" s="541"/>
      <c r="EU37" s="541"/>
      <c r="EV37" s="546"/>
      <c r="EW37" s="541"/>
      <c r="EX37" s="541"/>
      <c r="EY37" s="541"/>
      <c r="EZ37" s="541"/>
      <c r="FA37" s="546"/>
      <c r="FB37" s="541"/>
      <c r="FC37" s="541"/>
      <c r="FD37" s="541"/>
      <c r="FE37" s="541"/>
      <c r="FF37" s="546"/>
      <c r="FG37" s="541"/>
      <c r="FH37" s="541"/>
      <c r="FI37" s="541"/>
      <c r="FJ37" s="541"/>
      <c r="FK37" s="546"/>
      <c r="FL37" s="541"/>
      <c r="FM37" s="541"/>
      <c r="FN37" s="541"/>
      <c r="FO37" s="541"/>
      <c r="FP37" s="546"/>
      <c r="FQ37" s="541"/>
      <c r="FR37" s="541"/>
      <c r="FS37" s="541"/>
      <c r="FT37" s="541"/>
      <c r="FU37" s="546"/>
      <c r="FV37" s="541"/>
      <c r="FW37" s="541"/>
      <c r="FX37" s="541"/>
      <c r="FY37" s="541"/>
      <c r="FZ37" s="546"/>
      <c r="GA37" s="541"/>
      <c r="GB37" s="541"/>
      <c r="GC37" s="541"/>
      <c r="GD37" s="541"/>
      <c r="GE37" s="546"/>
    </row>
    <row r="38" spans="1:187" ht="12.75" customHeight="1">
      <c r="B38" s="703" t="s">
        <v>60</v>
      </c>
      <c r="C38" s="98"/>
      <c r="D38" s="98"/>
      <c r="E38" s="98"/>
      <c r="F38" s="98"/>
      <c r="G38" s="99"/>
      <c r="H38" s="98"/>
      <c r="I38" s="98"/>
      <c r="J38" s="98"/>
      <c r="K38" s="98"/>
      <c r="L38" s="99"/>
      <c r="M38" s="98"/>
      <c r="N38" s="98"/>
      <c r="O38" s="98"/>
      <c r="P38" s="98"/>
      <c r="Q38" s="99"/>
      <c r="R38" s="98"/>
      <c r="S38" s="98"/>
      <c r="T38" s="98"/>
      <c r="U38" s="98"/>
      <c r="V38" s="99"/>
      <c r="W38" s="98"/>
      <c r="X38" s="98"/>
      <c r="Y38" s="98"/>
      <c r="Z38" s="98"/>
      <c r="AA38" s="99"/>
      <c r="AB38" s="98"/>
      <c r="AC38" s="98"/>
      <c r="AD38" s="98"/>
      <c r="AE38" s="98"/>
      <c r="AF38" s="99"/>
      <c r="AG38" s="98"/>
      <c r="AH38" s="98"/>
      <c r="AI38" s="98"/>
      <c r="AJ38" s="98"/>
      <c r="AK38" s="99"/>
      <c r="AL38" s="98"/>
      <c r="AM38" s="98"/>
      <c r="AN38" s="98"/>
      <c r="AO38" s="98"/>
      <c r="AP38" s="99"/>
      <c r="AQ38" s="98"/>
      <c r="AR38" s="98"/>
      <c r="AS38" s="98"/>
      <c r="AT38" s="98"/>
      <c r="AU38" s="99"/>
      <c r="AV38" s="98"/>
      <c r="AW38" s="98"/>
      <c r="AX38" s="98"/>
      <c r="AY38" s="98"/>
      <c r="AZ38" s="99"/>
      <c r="BA38" s="98"/>
      <c r="BB38" s="98"/>
      <c r="BC38" s="98"/>
      <c r="BD38" s="98"/>
      <c r="BE38" s="99"/>
      <c r="BF38" s="98"/>
      <c r="BG38" s="98"/>
      <c r="BH38" s="98"/>
      <c r="BI38" s="98"/>
      <c r="BJ38" s="99"/>
      <c r="BK38" s="98"/>
      <c r="BL38" s="98"/>
      <c r="BM38" s="98"/>
      <c r="BN38" s="98"/>
      <c r="BO38" s="99"/>
      <c r="BP38" s="98"/>
      <c r="BQ38" s="98"/>
      <c r="BR38" s="98"/>
      <c r="BS38" s="98"/>
      <c r="BT38" s="99"/>
      <c r="BU38" s="98"/>
      <c r="BV38" s="98"/>
      <c r="BW38" s="98"/>
      <c r="BX38" s="98"/>
      <c r="BY38" s="99"/>
      <c r="BZ38" s="98"/>
      <c r="CA38" s="98"/>
      <c r="CB38" s="98"/>
      <c r="CC38" s="98"/>
      <c r="CD38" s="99"/>
      <c r="CE38" s="98"/>
      <c r="CF38" s="98"/>
      <c r="CG38" s="98"/>
      <c r="CH38" s="98"/>
      <c r="CI38" s="99"/>
      <c r="CJ38" s="98"/>
      <c r="CK38" s="98"/>
      <c r="CL38" s="98"/>
      <c r="CM38" s="98"/>
      <c r="CN38" s="99"/>
      <c r="CO38" s="98"/>
      <c r="CP38" s="98"/>
      <c r="CQ38" s="98"/>
      <c r="CR38" s="98"/>
      <c r="CS38" s="99"/>
      <c r="CT38" s="98"/>
      <c r="CU38" s="98"/>
      <c r="CV38" s="98"/>
      <c r="CW38" s="98"/>
      <c r="CX38" s="99"/>
      <c r="CY38" s="98"/>
      <c r="CZ38" s="98"/>
      <c r="DA38" s="98"/>
      <c r="DB38" s="98"/>
      <c r="DC38" s="99"/>
      <c r="DD38" s="98"/>
      <c r="DE38" s="98"/>
      <c r="DF38" s="98"/>
      <c r="DG38" s="98"/>
      <c r="DH38" s="99"/>
      <c r="DI38" s="98"/>
      <c r="DJ38" s="98"/>
      <c r="DK38" s="98"/>
      <c r="DL38" s="98"/>
      <c r="DM38" s="99"/>
      <c r="DN38" s="98"/>
      <c r="DO38" s="98"/>
      <c r="DP38" s="98"/>
      <c r="DQ38" s="98"/>
      <c r="DR38" s="99"/>
      <c r="DS38" s="98"/>
      <c r="DT38" s="98"/>
      <c r="DU38" s="98"/>
      <c r="DV38" s="98"/>
      <c r="DW38" s="99"/>
      <c r="DX38" s="98"/>
      <c r="DY38" s="98"/>
      <c r="DZ38" s="98"/>
      <c r="EA38" s="98"/>
      <c r="EB38" s="99"/>
      <c r="EC38" s="98"/>
      <c r="ED38" s="98"/>
      <c r="EE38" s="98"/>
      <c r="EF38" s="98"/>
      <c r="EG38" s="99"/>
      <c r="EH38" s="98"/>
      <c r="EI38" s="98"/>
      <c r="EJ38" s="98"/>
      <c r="EK38" s="98"/>
      <c r="EL38" s="99"/>
      <c r="EM38" s="98"/>
      <c r="EN38" s="98"/>
      <c r="EO38" s="98"/>
      <c r="EP38" s="98"/>
      <c r="EQ38" s="99"/>
      <c r="ER38" s="98"/>
      <c r="ES38" s="98"/>
      <c r="ET38" s="98"/>
      <c r="EU38" s="98"/>
      <c r="EV38" s="99"/>
      <c r="EW38" s="98"/>
      <c r="EX38" s="98"/>
      <c r="EY38" s="98"/>
      <c r="EZ38" s="98"/>
      <c r="FA38" s="99"/>
      <c r="FB38" s="98"/>
      <c r="FC38" s="98"/>
      <c r="FD38" s="98"/>
      <c r="FE38" s="98"/>
      <c r="FF38" s="99"/>
      <c r="FG38" s="98"/>
      <c r="FH38" s="98"/>
      <c r="FI38" s="98"/>
      <c r="FJ38" s="98"/>
      <c r="FK38" s="99"/>
      <c r="FL38" s="98"/>
      <c r="FM38" s="98"/>
      <c r="FN38" s="98"/>
      <c r="FO38" s="98"/>
      <c r="FP38" s="99"/>
      <c r="FQ38" s="98"/>
      <c r="FR38" s="98"/>
      <c r="FS38" s="98"/>
      <c r="FT38" s="98"/>
      <c r="FU38" s="99"/>
      <c r="FV38" s="98"/>
      <c r="FW38" s="98"/>
      <c r="FX38" s="98"/>
      <c r="FY38" s="98"/>
      <c r="FZ38" s="99"/>
      <c r="GA38" s="98"/>
      <c r="GB38" s="98"/>
      <c r="GC38" s="98"/>
      <c r="GD38" s="98"/>
      <c r="GE38" s="99"/>
    </row>
    <row r="39" spans="1:187" ht="12.75" customHeight="1" outlineLevel="1">
      <c r="B39" s="672" t="s">
        <v>280</v>
      </c>
      <c r="C39" s="990">
        <f>CF!C27</f>
      </c>
      <c r="D39" s="990">
        <f>CF!D27</f>
      </c>
      <c r="E39" s="990">
        <f>CF!E27</f>
      </c>
      <c r="F39" s="990">
        <f>CF!F27</f>
      </c>
      <c r="G39" s="1007">
        <f>CF!G27</f>
      </c>
      <c r="H39" s="990">
        <f>CF!H27</f>
      </c>
      <c r="I39" s="990">
        <f>CF!I27</f>
      </c>
      <c r="J39" s="990">
        <f>CF!J27</f>
      </c>
      <c r="K39" s="990">
        <f>CF!K27</f>
      </c>
      <c r="L39" s="1007">
        <f>CF!L27</f>
      </c>
      <c r="M39" s="990">
        <f>CF!M27</f>
      </c>
      <c r="N39" s="990">
        <f>CF!N27</f>
      </c>
      <c r="O39" s="990">
        <f>CF!O27</f>
      </c>
      <c r="P39" s="990">
        <f>CF!P27</f>
      </c>
      <c r="Q39" s="1007">
        <f>CF!Q27</f>
      </c>
      <c r="R39" s="990">
        <f>CF!R27</f>
      </c>
      <c r="S39" s="990">
        <f>CF!S27</f>
      </c>
      <c r="T39" s="990">
        <f>CF!T27</f>
      </c>
      <c r="U39" s="990">
        <f>CF!U27</f>
      </c>
      <c r="V39" s="1007">
        <f>CF!V27</f>
      </c>
      <c r="W39" s="990">
        <f>CF!W27</f>
      </c>
      <c r="X39" s="990">
        <f>CF!X27</f>
      </c>
      <c r="Y39" s="990">
        <f>CF!Y27</f>
      </c>
      <c r="Z39" s="990">
        <f>CF!Z27</f>
      </c>
      <c r="AA39" s="1007">
        <f>CF!AA27</f>
      </c>
      <c r="AB39" s="990">
        <f>CF!AB27</f>
      </c>
      <c r="AC39" s="990">
        <f>CF!AC27</f>
      </c>
      <c r="AD39" s="990">
        <f>CF!AD27</f>
      </c>
      <c r="AE39" s="990">
        <f>CF!AE27</f>
      </c>
      <c r="AF39" s="1007">
        <f>CF!AF27</f>
      </c>
      <c r="AG39" s="990">
        <f>CF!AG27</f>
      </c>
      <c r="AH39" s="990">
        <f>CF!AH27</f>
      </c>
      <c r="AI39" s="990">
        <f>CF!AI27</f>
      </c>
      <c r="AJ39" s="990">
        <f>CF!AJ27</f>
      </c>
      <c r="AK39" s="1007">
        <f>CF!AK27</f>
      </c>
      <c r="AL39" s="990">
        <f>CF!AL27</f>
      </c>
      <c r="AM39" s="990">
        <f>CF!AM27</f>
      </c>
      <c r="AN39" s="990">
        <f>CF!AN27</f>
      </c>
      <c r="AO39" s="990">
        <f>CF!AO27</f>
      </c>
      <c r="AP39" s="1007">
        <f>CF!AP27</f>
      </c>
      <c r="AQ39" s="990">
        <f>CF!AQ27</f>
      </c>
      <c r="AR39" s="990">
        <f>CF!AR27</f>
      </c>
      <c r="AS39" s="990">
        <f>CF!AS27</f>
      </c>
      <c r="AT39" s="990">
        <f>CF!AT27</f>
      </c>
      <c r="AU39" s="1007">
        <f>CF!AU27</f>
      </c>
      <c r="AV39" s="990">
        <f>CF!AV27</f>
      </c>
      <c r="AW39" s="990">
        <f>CF!AW27</f>
      </c>
      <c r="AX39" s="990">
        <f>CF!AX27</f>
      </c>
      <c r="AY39" s="990">
        <f>CF!AY27</f>
      </c>
      <c r="AZ39" s="1007">
        <f>CF!AZ27</f>
      </c>
      <c r="BA39" s="990">
        <f>CF!BA27</f>
      </c>
      <c r="BB39" s="990">
        <f>CF!BB27</f>
      </c>
      <c r="BC39" s="990">
        <f>CF!BC27</f>
      </c>
      <c r="BD39" s="990">
        <f>CF!BD27</f>
      </c>
      <c r="BE39" s="1007">
        <f>CF!BE27</f>
      </c>
      <c r="BF39" s="990">
        <f>CF!BF27</f>
      </c>
      <c r="BG39" s="990">
        <f>CF!BG27</f>
      </c>
      <c r="BH39" s="990">
        <f>CF!BH27</f>
      </c>
      <c r="BI39" s="990">
        <f>CF!BI27</f>
      </c>
      <c r="BJ39" s="1007">
        <f>CF!BJ27</f>
      </c>
      <c r="BK39" s="990">
        <f>CF!BK27</f>
      </c>
      <c r="BL39" s="990">
        <f>CF!BL27</f>
      </c>
      <c r="BM39" s="990">
        <f>CF!BM27</f>
      </c>
      <c r="BN39" s="990">
        <f>CF!BN27</f>
      </c>
      <c r="BO39" s="1007">
        <f>CF!BO27</f>
      </c>
      <c r="BP39" s="990">
        <f>CF!BP27</f>
      </c>
      <c r="BQ39" s="990">
        <f>CF!BQ27</f>
      </c>
      <c r="BR39" s="990">
        <f>CF!BR27</f>
      </c>
      <c r="BS39" s="990">
        <f>CF!BS27</f>
      </c>
      <c r="BT39" s="1007">
        <f>CF!BT27</f>
      </c>
      <c r="BU39" s="990">
        <f>CF!BU27</f>
      </c>
      <c r="BV39" s="990">
        <f>CF!BV27</f>
      </c>
      <c r="BW39" s="990">
        <f>CF!BW27</f>
      </c>
      <c r="BX39" s="990">
        <f>CF!BX27</f>
      </c>
      <c r="BY39" s="1007">
        <f>CF!BY27</f>
      </c>
      <c r="BZ39" s="990">
        <f>CF!BZ27</f>
      </c>
      <c r="CA39" s="990">
        <f>CF!CA27</f>
      </c>
      <c r="CB39" s="990">
        <f>CF!CB27</f>
      </c>
      <c r="CC39" s="990">
        <f>CF!CC27</f>
      </c>
      <c r="CD39" s="1007">
        <f>CF!CD27</f>
      </c>
      <c r="CE39" s="990">
        <f>CF!CE27</f>
      </c>
      <c r="CF39" s="990">
        <f>CF!CF27</f>
      </c>
      <c r="CG39" s="990">
        <f>CF!CG27</f>
      </c>
      <c r="CH39" s="990">
        <f>CF!CH27</f>
      </c>
      <c r="CI39" s="1007">
        <f>CF!CI27</f>
      </c>
      <c r="CJ39" s="990">
        <f>CF!CJ27</f>
      </c>
      <c r="CK39" s="990">
        <f>CF!CK27</f>
      </c>
      <c r="CL39" s="990">
        <f>CF!CL27</f>
      </c>
      <c r="CM39" s="990">
        <f>CF!CM27</f>
      </c>
      <c r="CN39" s="1007">
        <f>CF!CN27</f>
      </c>
      <c r="CO39" s="990">
        <f>CF!CO27</f>
      </c>
      <c r="CP39" s="990">
        <f>CF!CP27</f>
      </c>
      <c r="CQ39" s="990">
        <f>CF!CQ27</f>
      </c>
      <c r="CR39" s="990">
        <f>CF!CR27</f>
      </c>
      <c r="CS39" s="1007">
        <f>CF!CS27</f>
      </c>
      <c r="CT39" s="990">
        <f>CF!CT27</f>
      </c>
      <c r="CU39" s="990">
        <f>CF!CU27</f>
      </c>
      <c r="CV39" s="990">
        <f>CF!CV27</f>
      </c>
      <c r="CW39" s="990">
        <f>CF!CW27</f>
      </c>
      <c r="CX39" s="1007">
        <f>CF!CX27</f>
      </c>
      <c r="CY39" s="990">
        <f>CF!CY27</f>
      </c>
      <c r="CZ39" s="990">
        <f>CF!CZ27</f>
      </c>
      <c r="DA39" s="990">
        <f>CF!DA27</f>
      </c>
      <c r="DB39" s="990">
        <f>CF!DB27</f>
      </c>
      <c r="DC39" s="1007">
        <f>CF!DC27</f>
      </c>
      <c r="DD39" s="990">
        <f>CF!DD27</f>
      </c>
      <c r="DE39" s="990">
        <f>CF!DE27</f>
      </c>
      <c r="DF39" s="990">
        <f>CF!DF27</f>
      </c>
      <c r="DG39" s="990">
        <f>CF!DG27</f>
      </c>
      <c r="DH39" s="1007">
        <f>CF!DH27</f>
      </c>
      <c r="DI39" s="990">
        <f>CF!DI27</f>
      </c>
      <c r="DJ39" s="990">
        <f>CF!DJ27</f>
      </c>
      <c r="DK39" s="990">
        <f>CF!DK27</f>
      </c>
      <c r="DL39" s="990">
        <f>CF!DL27</f>
      </c>
      <c r="DM39" s="1007">
        <f>CF!DM27</f>
      </c>
      <c r="DN39" s="990">
        <f>CF!DN27</f>
      </c>
      <c r="DO39" s="990">
        <f>CF!DO27</f>
      </c>
      <c r="DP39" s="990">
        <f>CF!DP27</f>
      </c>
      <c r="DQ39" s="990">
        <f>CF!DQ27</f>
      </c>
      <c r="DR39" s="1007">
        <f>CF!DR27</f>
      </c>
      <c r="DS39" s="990">
        <f>CF!DS27</f>
      </c>
      <c r="DT39" s="990">
        <f>CF!DT27</f>
      </c>
      <c r="DU39" s="990">
        <f>CF!DU27</f>
      </c>
      <c r="DV39" s="990">
        <f>CF!DV27</f>
      </c>
      <c r="DW39" s="1007">
        <f>CF!DW27</f>
      </c>
      <c r="DX39" s="990">
        <f>CF!DX27</f>
      </c>
      <c r="DY39" s="990">
        <f>CF!DY27</f>
      </c>
      <c r="DZ39" s="990">
        <f>CF!DZ27</f>
      </c>
      <c r="EA39" s="990">
        <f>CF!EA27</f>
      </c>
      <c r="EB39" s="1007">
        <f>CF!EB27</f>
      </c>
      <c r="EC39" s="990">
        <f>CF!EC27</f>
      </c>
      <c r="ED39" s="990">
        <f>CF!ED27</f>
      </c>
      <c r="EE39" s="990">
        <f>CF!EE27</f>
      </c>
      <c r="EF39" s="990">
        <f>CF!EF27</f>
      </c>
      <c r="EG39" s="1007">
        <f>CF!EG27</f>
      </c>
      <c r="EH39" s="990">
        <f>CF!EH27</f>
      </c>
      <c r="EI39" s="990">
        <f>CF!EI27</f>
      </c>
      <c r="EJ39" s="990">
        <f>CF!EJ27</f>
      </c>
      <c r="EK39" s="990">
        <f>CF!EK27</f>
      </c>
      <c r="EL39" s="1007">
        <f>CF!EL27</f>
      </c>
      <c r="EM39" s="990">
        <f>CF!EM27</f>
      </c>
      <c r="EN39" s="990">
        <f>CF!EN27</f>
      </c>
      <c r="EO39" s="990">
        <f>CF!EO27</f>
      </c>
      <c r="EP39" s="990">
        <f>CF!EP27</f>
      </c>
      <c r="EQ39" s="1007">
        <f>CF!EQ27</f>
      </c>
      <c r="ER39" s="990">
        <f>CF!ER27</f>
      </c>
      <c r="ES39" s="990">
        <f>CF!ES27</f>
      </c>
      <c r="ET39" s="990">
        <f>CF!ET27</f>
      </c>
      <c r="EU39" s="990">
        <f>CF!EU27</f>
      </c>
      <c r="EV39" s="1007">
        <f>CF!EV27</f>
      </c>
      <c r="EW39" s="990">
        <f>CF!EW27</f>
      </c>
      <c r="EX39" s="990">
        <f>CF!EX27</f>
      </c>
      <c r="EY39" s="990">
        <f>CF!EY27</f>
      </c>
      <c r="EZ39" s="990">
        <f>CF!EZ27</f>
      </c>
      <c r="FA39" s="1007">
        <f>CF!FA27</f>
      </c>
      <c r="FB39" s="611"/>
      <c r="FC39" s="611"/>
      <c r="FD39" s="611"/>
      <c r="FE39" s="611"/>
      <c r="FF39" s="612"/>
      <c r="FG39" s="611"/>
      <c r="FH39" s="611"/>
      <c r="FI39" s="611"/>
      <c r="FJ39" s="611"/>
      <c r="FK39" s="612"/>
      <c r="FL39" s="611"/>
      <c r="FM39" s="611"/>
      <c r="FN39" s="611"/>
      <c r="FO39" s="611"/>
      <c r="FP39" s="612"/>
      <c r="FQ39" s="611"/>
      <c r="FR39" s="611"/>
      <c r="FS39" s="611"/>
      <c r="FT39" s="611"/>
      <c r="FU39" s="612"/>
      <c r="FV39" s="611"/>
      <c r="FW39" s="611"/>
      <c r="FX39" s="611"/>
      <c r="FY39" s="611"/>
      <c r="FZ39" s="612"/>
      <c r="GA39" s="611"/>
      <c r="GB39" s="611"/>
      <c r="GC39" s="611"/>
      <c r="GD39" s="611"/>
      <c r="GE39" s="612"/>
    </row>
    <row r="40" spans="1:187" s="328" customFormat="1" ht="12.75" customHeight="1" outlineLevel="1">
      <c r="A40" s="543" t="s">
        <v>338</v>
      </c>
      <c r="B40" s="714" t="s">
        <v>273</v>
      </c>
      <c r="C40" s="606">
        <f>C10+C39</f>
      </c>
      <c r="D40" s="606">
        <f t="shared" ref="D40:BO40" si="90">D10+D39</f>
      </c>
      <c r="E40" s="606">
        <f t="shared" si="90"/>
      </c>
      <c r="F40" s="606">
        <f t="shared" si="90"/>
      </c>
      <c r="G40" s="605">
        <f t="shared" si="90"/>
      </c>
      <c r="H40" s="606">
        <f t="shared" si="90"/>
      </c>
      <c r="I40" s="606">
        <f t="shared" si="90"/>
      </c>
      <c r="J40" s="606">
        <f t="shared" si="90"/>
      </c>
      <c r="K40" s="606">
        <f t="shared" si="90"/>
      </c>
      <c r="L40" s="605">
        <f t="shared" si="90"/>
      </c>
      <c r="M40" s="606">
        <f t="shared" si="90"/>
      </c>
      <c r="N40" s="606">
        <f t="shared" si="90"/>
      </c>
      <c r="O40" s="606">
        <f t="shared" si="90"/>
      </c>
      <c r="P40" s="606">
        <f t="shared" si="90"/>
      </c>
      <c r="Q40" s="605">
        <f t="shared" si="90"/>
      </c>
      <c r="R40" s="606">
        <f t="shared" si="90"/>
      </c>
      <c r="S40" s="606">
        <f t="shared" si="90"/>
      </c>
      <c r="T40" s="606">
        <f t="shared" si="90"/>
      </c>
      <c r="U40" s="606">
        <f t="shared" si="90"/>
      </c>
      <c r="V40" s="605">
        <f t="shared" si="90"/>
      </c>
      <c r="W40" s="606">
        <f t="shared" si="90"/>
      </c>
      <c r="X40" s="606">
        <f t="shared" si="90"/>
      </c>
      <c r="Y40" s="606">
        <f t="shared" si="90"/>
      </c>
      <c r="Z40" s="606">
        <f t="shared" si="90"/>
      </c>
      <c r="AA40" s="605">
        <f t="shared" si="90"/>
      </c>
      <c r="AB40" s="606">
        <f t="shared" si="90"/>
      </c>
      <c r="AC40" s="606">
        <f t="shared" si="90"/>
      </c>
      <c r="AD40" s="606">
        <f t="shared" si="90"/>
      </c>
      <c r="AE40" s="606">
        <f t="shared" si="90"/>
      </c>
      <c r="AF40" s="605">
        <f t="shared" si="90"/>
      </c>
      <c r="AG40" s="606">
        <f t="shared" si="90"/>
      </c>
      <c r="AH40" s="606">
        <f t="shared" si="90"/>
      </c>
      <c r="AI40" s="606">
        <f t="shared" si="90"/>
      </c>
      <c r="AJ40" s="606">
        <f t="shared" si="90"/>
      </c>
      <c r="AK40" s="605">
        <f t="shared" si="90"/>
      </c>
      <c r="AL40" s="606">
        <f t="shared" si="90"/>
      </c>
      <c r="AM40" s="606">
        <f t="shared" si="90"/>
      </c>
      <c r="AN40" s="606">
        <f t="shared" si="90"/>
      </c>
      <c r="AO40" s="606">
        <f t="shared" si="90"/>
      </c>
      <c r="AP40" s="605">
        <f t="shared" si="90"/>
      </c>
      <c r="AQ40" s="606">
        <f t="shared" si="90"/>
      </c>
      <c r="AR40" s="606">
        <f t="shared" si="90"/>
      </c>
      <c r="AS40" s="606">
        <f t="shared" si="90"/>
      </c>
      <c r="AT40" s="606">
        <f t="shared" si="90"/>
      </c>
      <c r="AU40" s="605">
        <f t="shared" si="90"/>
      </c>
      <c r="AV40" s="606">
        <f t="shared" si="90"/>
      </c>
      <c r="AW40" s="606">
        <f t="shared" si="90"/>
      </c>
      <c r="AX40" s="606">
        <f t="shared" si="90"/>
      </c>
      <c r="AY40" s="606">
        <f t="shared" si="90"/>
      </c>
      <c r="AZ40" s="605">
        <f t="shared" si="90"/>
      </c>
      <c r="BA40" s="606">
        <f t="shared" si="90"/>
      </c>
      <c r="BB40" s="606">
        <f t="shared" si="90"/>
      </c>
      <c r="BC40" s="606">
        <f t="shared" si="90"/>
      </c>
      <c r="BD40" s="606">
        <f t="shared" si="90"/>
      </c>
      <c r="BE40" s="605">
        <f t="shared" si="90"/>
      </c>
      <c r="BF40" s="606">
        <f t="shared" si="90"/>
      </c>
      <c r="BG40" s="606">
        <f t="shared" si="90"/>
      </c>
      <c r="BH40" s="606">
        <f t="shared" si="90"/>
      </c>
      <c r="BI40" s="606">
        <f t="shared" si="90"/>
      </c>
      <c r="BJ40" s="605">
        <f t="shared" si="90"/>
      </c>
      <c r="BK40" s="606">
        <f t="shared" si="90"/>
      </c>
      <c r="BL40" s="606">
        <f t="shared" si="90"/>
      </c>
      <c r="BM40" s="606">
        <f t="shared" si="90"/>
      </c>
      <c r="BN40" s="606">
        <f t="shared" si="90"/>
      </c>
      <c r="BO40" s="605">
        <f t="shared" si="90"/>
      </c>
      <c r="BP40" s="606">
        <f t="shared" ref="BP40:EA40" si="91">BP10+BP39</f>
      </c>
      <c r="BQ40" s="606">
        <f t="shared" si="91"/>
      </c>
      <c r="BR40" s="606">
        <f t="shared" si="91"/>
      </c>
      <c r="BS40" s="606">
        <f t="shared" si="91"/>
      </c>
      <c r="BT40" s="605">
        <f t="shared" si="91"/>
      </c>
      <c r="BU40" s="606">
        <f t="shared" si="91"/>
      </c>
      <c r="BV40" s="606">
        <f t="shared" si="91"/>
      </c>
      <c r="BW40" s="606">
        <f t="shared" si="91"/>
      </c>
      <c r="BX40" s="606">
        <f t="shared" si="91"/>
      </c>
      <c r="BY40" s="605">
        <f t="shared" si="91"/>
      </c>
      <c r="BZ40" s="606">
        <f t="shared" si="91"/>
      </c>
      <c r="CA40" s="606">
        <f t="shared" si="91"/>
      </c>
      <c r="CB40" s="606">
        <f t="shared" si="91"/>
      </c>
      <c r="CC40" s="606">
        <f t="shared" si="91"/>
      </c>
      <c r="CD40" s="605">
        <f t="shared" si="91"/>
      </c>
      <c r="CE40" s="606">
        <f t="shared" si="91"/>
      </c>
      <c r="CF40" s="606">
        <f t="shared" si="91"/>
      </c>
      <c r="CG40" s="606">
        <f t="shared" si="91"/>
      </c>
      <c r="CH40" s="606">
        <f t="shared" si="91"/>
      </c>
      <c r="CI40" s="605">
        <f t="shared" si="91"/>
      </c>
      <c r="CJ40" s="606">
        <f t="shared" si="91"/>
      </c>
      <c r="CK40" s="606">
        <f t="shared" si="91"/>
      </c>
      <c r="CL40" s="606">
        <f t="shared" si="91"/>
      </c>
      <c r="CM40" s="606">
        <f t="shared" si="91"/>
      </c>
      <c r="CN40" s="605">
        <f t="shared" si="91"/>
      </c>
      <c r="CO40" s="606">
        <f t="shared" si="91"/>
      </c>
      <c r="CP40" s="606">
        <f t="shared" si="91"/>
      </c>
      <c r="CQ40" s="606">
        <f t="shared" si="91"/>
      </c>
      <c r="CR40" s="606">
        <f t="shared" si="91"/>
      </c>
      <c r="CS40" s="605">
        <f t="shared" si="91"/>
      </c>
      <c r="CT40" s="606">
        <f t="shared" si="91"/>
      </c>
      <c r="CU40" s="606">
        <f t="shared" si="91"/>
      </c>
      <c r="CV40" s="606">
        <f t="shared" si="91"/>
      </c>
      <c r="CW40" s="606">
        <f t="shared" si="91"/>
      </c>
      <c r="CX40" s="605">
        <f t="shared" si="91"/>
      </c>
      <c r="CY40" s="606">
        <f t="shared" si="91"/>
      </c>
      <c r="CZ40" s="606">
        <f t="shared" si="91"/>
      </c>
      <c r="DA40" s="606">
        <f t="shared" si="91"/>
      </c>
      <c r="DB40" s="606">
        <f t="shared" si="91"/>
      </c>
      <c r="DC40" s="605">
        <f t="shared" si="91"/>
      </c>
      <c r="DD40" s="606">
        <f t="shared" si="91"/>
      </c>
      <c r="DE40" s="606">
        <f t="shared" si="91"/>
      </c>
      <c r="DF40" s="606">
        <f t="shared" si="91"/>
      </c>
      <c r="DG40" s="606">
        <f t="shared" si="91"/>
      </c>
      <c r="DH40" s="605">
        <f t="shared" si="91"/>
      </c>
      <c r="DI40" s="606">
        <f t="shared" si="91"/>
      </c>
      <c r="DJ40" s="606">
        <f t="shared" si="91"/>
      </c>
      <c r="DK40" s="606">
        <f t="shared" si="91"/>
      </c>
      <c r="DL40" s="606">
        <f t="shared" si="91"/>
      </c>
      <c r="DM40" s="605">
        <f t="shared" si="91"/>
      </c>
      <c r="DN40" s="606">
        <f t="shared" si="91"/>
      </c>
      <c r="DO40" s="606">
        <f t="shared" si="91"/>
      </c>
      <c r="DP40" s="606">
        <f t="shared" si="91"/>
      </c>
      <c r="DQ40" s="606">
        <f t="shared" si="91"/>
      </c>
      <c r="DR40" s="605">
        <f t="shared" si="91"/>
      </c>
      <c r="DS40" s="606">
        <f t="shared" si="91"/>
      </c>
      <c r="DT40" s="606">
        <f t="shared" si="91"/>
      </c>
      <c r="DU40" s="606">
        <f t="shared" si="91"/>
      </c>
      <c r="DV40" s="606">
        <f t="shared" si="91"/>
      </c>
      <c r="DW40" s="605">
        <f t="shared" si="91"/>
      </c>
      <c r="DX40" s="606">
        <f t="shared" si="91"/>
      </c>
      <c r="DY40" s="606">
        <f t="shared" si="91"/>
      </c>
      <c r="DZ40" s="606">
        <f t="shared" si="91"/>
      </c>
      <c r="EA40" s="606">
        <f t="shared" si="91"/>
      </c>
      <c r="EB40" s="605">
        <f t="shared" ref="EB40:ER40" si="92">EB10+EB39</f>
      </c>
      <c r="EC40" s="606">
        <f t="shared" si="92"/>
      </c>
      <c r="ED40" s="606">
        <f t="shared" si="92"/>
      </c>
      <c r="EE40" s="606">
        <f t="shared" si="92"/>
      </c>
      <c r="EF40" s="606">
        <f t="shared" si="92"/>
      </c>
      <c r="EG40" s="605">
        <f t="shared" si="92"/>
      </c>
      <c r="EH40" s="606">
        <f t="shared" si="92"/>
      </c>
      <c r="EI40" s="606">
        <f t="shared" si="92"/>
      </c>
      <c r="EJ40" s="606">
        <f t="shared" si="92"/>
      </c>
      <c r="EK40" s="606">
        <f t="shared" si="92"/>
      </c>
      <c r="EL40" s="605">
        <f t="shared" si="92"/>
      </c>
      <c r="EM40" s="606">
        <f t="shared" si="92"/>
      </c>
      <c r="EN40" s="606">
        <f t="shared" si="92"/>
      </c>
      <c r="EO40" s="606">
        <f t="shared" si="92"/>
      </c>
      <c r="EP40" s="606">
        <f t="shared" si="92"/>
      </c>
      <c r="EQ40" s="605">
        <f t="shared" si="92"/>
      </c>
      <c r="ER40" s="606">
        <f t="shared" si="92"/>
      </c>
      <c r="ES40" s="606">
        <f>ES10+ES39</f>
      </c>
      <c r="ET40" s="606">
        <f>ET10+ET39</f>
      </c>
      <c r="EU40" s="606">
        <f>EU10+EU39</f>
      </c>
      <c r="EV40" s="605">
        <f>EV10+EV39</f>
      </c>
      <c r="EW40" s="606">
        <f t="shared" ref="EW40" si="93">EW10+EW39</f>
      </c>
      <c r="EX40" s="606">
        <f>EX10+EX39</f>
      </c>
      <c r="EY40" s="606">
        <f>EY10+EY39</f>
      </c>
      <c r="EZ40" s="606">
        <f>EZ10+EZ39</f>
      </c>
      <c r="FA40" s="605">
        <f>FA10+FA39</f>
      </c>
      <c r="FB40" s="606"/>
      <c r="FC40" s="606"/>
      <c r="FD40" s="606"/>
      <c r="FE40" s="606"/>
      <c r="FF40" s="605"/>
      <c r="FG40" s="606"/>
      <c r="FH40" s="606"/>
      <c r="FI40" s="606"/>
      <c r="FJ40" s="606"/>
      <c r="FK40" s="605"/>
      <c r="FL40" s="606"/>
      <c r="FM40" s="606"/>
      <c r="FN40" s="606"/>
      <c r="FO40" s="606"/>
      <c r="FP40" s="605"/>
      <c r="FQ40" s="606"/>
      <c r="FR40" s="606"/>
      <c r="FS40" s="606"/>
      <c r="FT40" s="606"/>
      <c r="FU40" s="605"/>
      <c r="FV40" s="606"/>
      <c r="FW40" s="606"/>
      <c r="FX40" s="606"/>
      <c r="FY40" s="606"/>
      <c r="FZ40" s="605"/>
      <c r="GA40" s="606"/>
      <c r="GB40" s="606"/>
      <c r="GC40" s="606"/>
      <c r="GD40" s="606"/>
      <c r="GE40" s="605"/>
    </row>
    <row r="41" spans="1:187" s="537" customFormat="1" ht="12.75" customHeight="1" outlineLevel="1">
      <c r="A41" s="81" t="s">
        <v>339</v>
      </c>
      <c r="B41" s="724" t="s">
        <v>34</v>
      </c>
      <c r="C41" s="291"/>
      <c r="D41" s="107"/>
      <c r="E41" s="107"/>
      <c r="F41" s="107"/>
      <c r="G41" s="536"/>
      <c r="H41" s="291">
        <f t="shared" ref="H41:AM41" si="94">IFERROR(H40/C40-1,"")</f>
      </c>
      <c r="I41" s="107">
        <f t="shared" si="94"/>
      </c>
      <c r="J41" s="107">
        <f t="shared" si="94"/>
      </c>
      <c r="K41" s="107">
        <f t="shared" si="94"/>
      </c>
      <c r="L41" s="292">
        <f t="shared" si="94"/>
      </c>
      <c r="M41" s="291">
        <f t="shared" si="94"/>
      </c>
      <c r="N41" s="107">
        <f t="shared" si="94"/>
      </c>
      <c r="O41" s="107">
        <f t="shared" si="94"/>
      </c>
      <c r="P41" s="107">
        <f t="shared" si="94"/>
      </c>
      <c r="Q41" s="292">
        <f t="shared" si="94"/>
      </c>
      <c r="R41" s="291">
        <f t="shared" si="94"/>
      </c>
      <c r="S41" s="107">
        <f t="shared" si="94"/>
      </c>
      <c r="T41" s="107">
        <f t="shared" si="94"/>
      </c>
      <c r="U41" s="107">
        <f t="shared" si="94"/>
      </c>
      <c r="V41" s="292">
        <f t="shared" si="94"/>
      </c>
      <c r="W41" s="291">
        <f t="shared" si="94"/>
      </c>
      <c r="X41" s="107">
        <f t="shared" si="94"/>
      </c>
      <c r="Y41" s="107">
        <f t="shared" si="94"/>
      </c>
      <c r="Z41" s="107">
        <f t="shared" si="94"/>
      </c>
      <c r="AA41" s="292">
        <f t="shared" si="94"/>
      </c>
      <c r="AB41" s="291">
        <f t="shared" si="94"/>
      </c>
      <c r="AC41" s="107">
        <f t="shared" si="94"/>
      </c>
      <c r="AD41" s="107">
        <f t="shared" si="94"/>
      </c>
      <c r="AE41" s="107">
        <f t="shared" si="94"/>
      </c>
      <c r="AF41" s="292">
        <f t="shared" si="94"/>
      </c>
      <c r="AG41" s="291">
        <f t="shared" si="94"/>
      </c>
      <c r="AH41" s="107">
        <f t="shared" si="94"/>
      </c>
      <c r="AI41" s="107">
        <f t="shared" si="94"/>
      </c>
      <c r="AJ41" s="107">
        <f t="shared" si="94"/>
      </c>
      <c r="AK41" s="292">
        <f t="shared" si="94"/>
      </c>
      <c r="AL41" s="291">
        <f t="shared" si="94"/>
      </c>
      <c r="AM41" s="107">
        <f t="shared" si="94"/>
      </c>
      <c r="AN41" s="107">
        <f t="shared" ref="AN41:BS41" si="95">IFERROR(AN40/AI40-1,"")</f>
      </c>
      <c r="AO41" s="107">
        <f t="shared" si="95"/>
      </c>
      <c r="AP41" s="292">
        <f t="shared" si="95"/>
      </c>
      <c r="AQ41" s="291">
        <f t="shared" si="95"/>
      </c>
      <c r="AR41" s="107">
        <f t="shared" si="95"/>
      </c>
      <c r="AS41" s="107">
        <f t="shared" si="95"/>
      </c>
      <c r="AT41" s="107">
        <f t="shared" si="95"/>
      </c>
      <c r="AU41" s="292">
        <f t="shared" si="95"/>
      </c>
      <c r="AV41" s="291">
        <f t="shared" si="95"/>
      </c>
      <c r="AW41" s="107">
        <f t="shared" si="95"/>
      </c>
      <c r="AX41" s="107">
        <f t="shared" si="95"/>
      </c>
      <c r="AY41" s="107">
        <f t="shared" si="95"/>
      </c>
      <c r="AZ41" s="292">
        <f t="shared" si="95"/>
      </c>
      <c r="BA41" s="291">
        <f t="shared" si="95"/>
      </c>
      <c r="BB41" s="107">
        <f t="shared" si="95"/>
      </c>
      <c r="BC41" s="107">
        <f t="shared" si="95"/>
      </c>
      <c r="BD41" s="107">
        <f t="shared" si="95"/>
      </c>
      <c r="BE41" s="292">
        <f t="shared" si="95"/>
      </c>
      <c r="BF41" s="291">
        <f t="shared" si="95"/>
      </c>
      <c r="BG41" s="107">
        <f t="shared" si="95"/>
      </c>
      <c r="BH41" s="107">
        <f t="shared" si="95"/>
      </c>
      <c r="BI41" s="107">
        <f t="shared" si="95"/>
      </c>
      <c r="BJ41" s="292">
        <f t="shared" si="95"/>
      </c>
      <c r="BK41" s="291">
        <f t="shared" si="95"/>
      </c>
      <c r="BL41" s="107">
        <f t="shared" si="95"/>
      </c>
      <c r="BM41" s="107">
        <f t="shared" si="95"/>
      </c>
      <c r="BN41" s="107">
        <f t="shared" si="95"/>
      </c>
      <c r="BO41" s="292">
        <f t="shared" si="95"/>
      </c>
      <c r="BP41" s="291">
        <f t="shared" si="95"/>
      </c>
      <c r="BQ41" s="107">
        <f t="shared" si="95"/>
      </c>
      <c r="BR41" s="107">
        <f t="shared" si="95"/>
      </c>
      <c r="BS41" s="107">
        <f t="shared" si="95"/>
      </c>
      <c r="BT41" s="292">
        <f t="shared" ref="BT41:CY41" si="96">IFERROR(BT40/BO40-1,"")</f>
      </c>
      <c r="BU41" s="291">
        <f t="shared" si="96"/>
      </c>
      <c r="BV41" s="107">
        <f t="shared" si="96"/>
      </c>
      <c r="BW41" s="107">
        <f t="shared" si="96"/>
      </c>
      <c r="BX41" s="107">
        <f t="shared" si="96"/>
      </c>
      <c r="BY41" s="292">
        <f t="shared" si="96"/>
      </c>
      <c r="BZ41" s="291">
        <f t="shared" si="96"/>
      </c>
      <c r="CA41" s="107">
        <f t="shared" si="96"/>
      </c>
      <c r="CB41" s="107">
        <f t="shared" si="96"/>
      </c>
      <c r="CC41" s="107">
        <f t="shared" si="96"/>
      </c>
      <c r="CD41" s="292">
        <f t="shared" si="96"/>
      </c>
      <c r="CE41" s="291">
        <f t="shared" si="96"/>
      </c>
      <c r="CF41" s="107">
        <f t="shared" si="96"/>
      </c>
      <c r="CG41" s="107">
        <f t="shared" si="96"/>
      </c>
      <c r="CH41" s="107">
        <f t="shared" si="96"/>
      </c>
      <c r="CI41" s="292">
        <f t="shared" si="96"/>
      </c>
      <c r="CJ41" s="291">
        <f t="shared" si="96"/>
      </c>
      <c r="CK41" s="107">
        <f t="shared" si="96"/>
      </c>
      <c r="CL41" s="107">
        <f t="shared" si="96"/>
      </c>
      <c r="CM41" s="107">
        <f t="shared" si="96"/>
      </c>
      <c r="CN41" s="292">
        <f t="shared" si="96"/>
      </c>
      <c r="CO41" s="291">
        <f t="shared" si="96"/>
      </c>
      <c r="CP41" s="107">
        <f t="shared" si="96"/>
      </c>
      <c r="CQ41" s="107">
        <f t="shared" si="96"/>
      </c>
      <c r="CR41" s="107">
        <f t="shared" si="96"/>
      </c>
      <c r="CS41" s="292">
        <f t="shared" si="96"/>
      </c>
      <c r="CT41" s="291">
        <f t="shared" si="96"/>
      </c>
      <c r="CU41" s="107">
        <f t="shared" si="96"/>
      </c>
      <c r="CV41" s="107">
        <f t="shared" si="96"/>
      </c>
      <c r="CW41" s="107">
        <f t="shared" si="96"/>
      </c>
      <c r="CX41" s="292">
        <f t="shared" si="96"/>
      </c>
      <c r="CY41" s="291">
        <f t="shared" si="96"/>
      </c>
      <c r="CZ41" s="107">
        <f t="shared" ref="CZ41:EE41" si="97">IFERROR(CZ40/CU40-1,"")</f>
      </c>
      <c r="DA41" s="107">
        <f t="shared" si="97"/>
      </c>
      <c r="DB41" s="107">
        <f t="shared" si="97"/>
      </c>
      <c r="DC41" s="292">
        <f t="shared" si="97"/>
      </c>
      <c r="DD41" s="291">
        <f t="shared" si="97"/>
      </c>
      <c r="DE41" s="107">
        <f t="shared" si="97"/>
      </c>
      <c r="DF41" s="107">
        <f t="shared" si="97"/>
      </c>
      <c r="DG41" s="107">
        <f t="shared" si="97"/>
      </c>
      <c r="DH41" s="292">
        <f t="shared" si="97"/>
      </c>
      <c r="DI41" s="291">
        <f t="shared" si="97"/>
      </c>
      <c r="DJ41" s="107">
        <f t="shared" si="97"/>
      </c>
      <c r="DK41" s="107">
        <f t="shared" si="97"/>
      </c>
      <c r="DL41" s="107">
        <f t="shared" si="97"/>
      </c>
      <c r="DM41" s="292">
        <f t="shared" si="97"/>
      </c>
      <c r="DN41" s="291">
        <f t="shared" si="97"/>
      </c>
      <c r="DO41" s="107">
        <f t="shared" si="97"/>
      </c>
      <c r="DP41" s="107">
        <f t="shared" si="97"/>
      </c>
      <c r="DQ41" s="107">
        <f t="shared" si="97"/>
      </c>
      <c r="DR41" s="292">
        <f t="shared" si="97"/>
      </c>
      <c r="DS41" s="291">
        <f t="shared" si="97"/>
      </c>
      <c r="DT41" s="107">
        <f t="shared" si="97"/>
      </c>
      <c r="DU41" s="107">
        <f t="shared" si="97"/>
      </c>
      <c r="DV41" s="107">
        <f t="shared" si="97"/>
      </c>
      <c r="DW41" s="292">
        <f t="shared" si="97"/>
      </c>
      <c r="DX41" s="291">
        <f t="shared" si="97"/>
      </c>
      <c r="DY41" s="107">
        <f t="shared" si="97"/>
      </c>
      <c r="DZ41" s="107">
        <f t="shared" si="97"/>
      </c>
      <c r="EA41" s="107">
        <f t="shared" si="97"/>
      </c>
      <c r="EB41" s="292">
        <f t="shared" si="97"/>
      </c>
      <c r="EC41" s="291">
        <f t="shared" si="97"/>
      </c>
      <c r="ED41" s="107">
        <f t="shared" si="97"/>
      </c>
      <c r="EE41" s="107">
        <f t="shared" si="97"/>
      </c>
      <c r="EF41" s="107">
        <f t="shared" ref="EF41:ET41" si="98">IFERROR(EF40/EA40-1,"")</f>
      </c>
      <c r="EG41" s="292">
        <f t="shared" si="98"/>
      </c>
      <c r="EH41" s="291">
        <f t="shared" si="98"/>
      </c>
      <c r="EI41" s="107">
        <f t="shared" si="98"/>
      </c>
      <c r="EJ41" s="107">
        <f t="shared" si="98"/>
      </c>
      <c r="EK41" s="107">
        <f t="shared" si="98"/>
      </c>
      <c r="EL41" s="292">
        <f t="shared" si="98"/>
      </c>
      <c r="EM41" s="291">
        <f t="shared" si="98"/>
      </c>
      <c r="EN41" s="107">
        <f t="shared" si="98"/>
      </c>
      <c r="EO41" s="107">
        <f t="shared" si="98"/>
      </c>
      <c r="EP41" s="107">
        <f t="shared" si="98"/>
      </c>
      <c r="EQ41" s="292">
        <f t="shared" si="98"/>
      </c>
      <c r="ER41" s="291">
        <f t="shared" si="98"/>
      </c>
      <c r="ES41" s="107">
        <f t="shared" si="98"/>
      </c>
      <c r="ET41" s="107">
        <f t="shared" si="98"/>
      </c>
      <c r="EU41" s="107">
        <f>IFERROR(EU40/EP40-1,"")</f>
      </c>
      <c r="EV41" s="292">
        <f>IFERROR(EV40/EQ40-1,"")</f>
      </c>
      <c r="EW41" s="291">
        <f t="shared" ref="EW41:EY41" si="99">IFERROR(EW40/ER40-1,"")</f>
      </c>
      <c r="EX41" s="107">
        <f t="shared" si="99"/>
      </c>
      <c r="EY41" s="107">
        <f t="shared" si="99"/>
      </c>
      <c r="EZ41" s="107">
        <f>IFERROR(EZ40/EU40-1,"")</f>
      </c>
      <c r="FA41" s="292">
        <f>IFERROR(FA40/EV40-1,"")</f>
      </c>
      <c r="FB41" s="291"/>
      <c r="FC41" s="107"/>
      <c r="FD41" s="107"/>
      <c r="FE41" s="107"/>
      <c r="FF41" s="292"/>
      <c r="FG41" s="291"/>
      <c r="FH41" s="107"/>
      <c r="FI41" s="107"/>
      <c r="FJ41" s="107"/>
      <c r="FK41" s="292"/>
      <c r="FL41" s="291"/>
      <c r="FM41" s="107"/>
      <c r="FN41" s="107"/>
      <c r="FO41" s="107"/>
      <c r="FP41" s="292"/>
      <c r="FQ41" s="291"/>
      <c r="FR41" s="107"/>
      <c r="FS41" s="107"/>
      <c r="FT41" s="107"/>
      <c r="FU41" s="292"/>
      <c r="FV41" s="291"/>
      <c r="FW41" s="107"/>
      <c r="FX41" s="107"/>
      <c r="FY41" s="107"/>
      <c r="FZ41" s="292"/>
      <c r="GA41" s="291"/>
      <c r="GB41" s="107"/>
      <c r="GC41" s="107"/>
      <c r="GD41" s="107"/>
      <c r="GE41" s="292"/>
    </row>
    <row r="42" spans="1:187" s="537" customFormat="1" ht="12.75" customHeight="1" outlineLevel="1">
      <c r="A42" s="81" t="s">
        <v>340</v>
      </c>
      <c r="B42" s="724" t="s">
        <v>36</v>
      </c>
      <c r="C42" s="291"/>
      <c r="D42" s="137"/>
      <c r="E42" s="137"/>
      <c r="F42" s="137"/>
      <c r="G42" s="538"/>
      <c r="H42" s="291">
        <f>IFERROR(H40/F40-1,"")</f>
      </c>
      <c r="I42" s="107">
        <f>IFERROR(I40/H40-1,"")</f>
      </c>
      <c r="J42" s="107">
        <f>IFERROR(J40/I40-1,"")</f>
      </c>
      <c r="K42" s="107">
        <f>IFERROR(K40/J40-1,"")</f>
      </c>
      <c r="L42" s="293"/>
      <c r="M42" s="291">
        <f>IFERROR(M40/K40-1,"")</f>
      </c>
      <c r="N42" s="107">
        <f>IFERROR(N40/M40-1,"")</f>
      </c>
      <c r="O42" s="107">
        <f>IFERROR(O40/N40-1,"")</f>
      </c>
      <c r="P42" s="107">
        <f>IFERROR(P40/O40-1,"")</f>
      </c>
      <c r="Q42" s="293"/>
      <c r="R42" s="291">
        <f>IFERROR(R40/P40-1,"")</f>
      </c>
      <c r="S42" s="107">
        <f>IFERROR(S40/R40-1,"")</f>
      </c>
      <c r="T42" s="107">
        <f>IFERROR(T40/S40-1,"")</f>
      </c>
      <c r="U42" s="107">
        <f>IFERROR(U40/T40-1,"")</f>
      </c>
      <c r="V42" s="293"/>
      <c r="W42" s="291">
        <f>IFERROR(W40/U40-1,"")</f>
      </c>
      <c r="X42" s="107">
        <f>IFERROR(X40/W40-1,"")</f>
      </c>
      <c r="Y42" s="107">
        <f>IFERROR(Y40/X40-1,"")</f>
      </c>
      <c r="Z42" s="107">
        <f>IFERROR(Z40/Y40-1,"")</f>
      </c>
      <c r="AA42" s="293"/>
      <c r="AB42" s="291">
        <f>IFERROR(AB40/Z40-1,"")</f>
      </c>
      <c r="AC42" s="107">
        <f>IFERROR(AC40/AB40-1,"")</f>
      </c>
      <c r="AD42" s="107">
        <f>IFERROR(AD40/AC40-1,"")</f>
      </c>
      <c r="AE42" s="107">
        <f>IFERROR(AE40/AD40-1,"")</f>
      </c>
      <c r="AF42" s="293"/>
      <c r="AG42" s="291">
        <f>IFERROR(AG40/AE40-1,"")</f>
      </c>
      <c r="AH42" s="107">
        <f>IFERROR(AH40/AG40-1,"")</f>
      </c>
      <c r="AI42" s="107">
        <f>IFERROR(AI40/AH40-1,"")</f>
      </c>
      <c r="AJ42" s="107">
        <f>IFERROR(AJ40/AI40-1,"")</f>
      </c>
      <c r="AK42" s="293"/>
      <c r="AL42" s="291">
        <f>IFERROR(AL40/AJ40-1,"")</f>
      </c>
      <c r="AM42" s="107">
        <f>IFERROR(AM40/AL40-1,"")</f>
      </c>
      <c r="AN42" s="107">
        <f>IFERROR(AN40/AM40-1,"")</f>
      </c>
      <c r="AO42" s="107">
        <f>IFERROR(AO40/AN40-1,"")</f>
      </c>
      <c r="AP42" s="293"/>
      <c r="AQ42" s="291">
        <f>IFERROR(AQ40/AO40-1,"")</f>
      </c>
      <c r="AR42" s="107">
        <f>IFERROR(AR40/AQ40-1,"")</f>
      </c>
      <c r="AS42" s="107">
        <f>IFERROR(AS40/AR40-1,"")</f>
      </c>
      <c r="AT42" s="107">
        <f>IFERROR(AT40/AS40-1,"")</f>
      </c>
      <c r="AU42" s="293"/>
      <c r="AV42" s="291">
        <f>IFERROR(AV40/AT40-1,"")</f>
      </c>
      <c r="AW42" s="107">
        <f>IFERROR(AW40/AV40-1,"")</f>
      </c>
      <c r="AX42" s="107">
        <f>IFERROR(AX40/AW40-1,"")</f>
      </c>
      <c r="AY42" s="107">
        <f>IFERROR(AY40/AX40-1,"")</f>
      </c>
      <c r="AZ42" s="293"/>
      <c r="BA42" s="291">
        <f>IFERROR(BA40/AY40-1,"")</f>
      </c>
      <c r="BB42" s="107">
        <f>IFERROR(BB40/BA40-1,"")</f>
      </c>
      <c r="BC42" s="107">
        <f>IFERROR(BC40/BB40-1,"")</f>
      </c>
      <c r="BD42" s="107">
        <f>IFERROR(BD40/BC40-1,"")</f>
      </c>
      <c r="BE42" s="293"/>
      <c r="BF42" s="291">
        <f>IFERROR(BF40/BD40-1,"")</f>
      </c>
      <c r="BG42" s="107">
        <f>IFERROR(BG40/BF40-1,"")</f>
      </c>
      <c r="BH42" s="107">
        <f>IFERROR(BH40/BG40-1,"")</f>
      </c>
      <c r="BI42" s="107">
        <f>IFERROR(BI40/BH40-1,"")</f>
      </c>
      <c r="BJ42" s="293"/>
      <c r="BK42" s="291">
        <f>IFERROR(BK40/BI40-1,"")</f>
      </c>
      <c r="BL42" s="107">
        <f>IFERROR(BL40/BK40-1,"")</f>
      </c>
      <c r="BM42" s="107">
        <f>IFERROR(BM40/BL40-1,"")</f>
      </c>
      <c r="BN42" s="107">
        <f>IFERROR(BN40/BM40-1,"")</f>
      </c>
      <c r="BO42" s="293"/>
      <c r="BP42" s="291">
        <f>IFERROR(BP40/BN40-1,"")</f>
      </c>
      <c r="BQ42" s="107">
        <f>IFERROR(BQ40/BP40-1,"")</f>
      </c>
      <c r="BR42" s="107">
        <f>IFERROR(BR40/BQ40-1,"")</f>
      </c>
      <c r="BS42" s="107">
        <f>IFERROR(BS40/BR40-1,"")</f>
      </c>
      <c r="BT42" s="293"/>
      <c r="BU42" s="291">
        <f>IFERROR(BU40/BS40-1,"")</f>
      </c>
      <c r="BV42" s="107">
        <f>IFERROR(BV40/BU40-1,"")</f>
      </c>
      <c r="BW42" s="107">
        <f>IFERROR(BW40/BV40-1,"")</f>
      </c>
      <c r="BX42" s="107">
        <f>IFERROR(BX40/BW40-1,"")</f>
      </c>
      <c r="BY42" s="293"/>
      <c r="BZ42" s="291">
        <f>IFERROR(BZ40/BX40-1,"")</f>
      </c>
      <c r="CA42" s="107">
        <f>IFERROR(CA40/BZ40-1,"")</f>
      </c>
      <c r="CB42" s="107">
        <f>IFERROR(CB40/CA40-1,"")</f>
      </c>
      <c r="CC42" s="107">
        <f>IFERROR(CC40/CB40-1,"")</f>
      </c>
      <c r="CD42" s="293"/>
      <c r="CE42" s="291">
        <f>IFERROR(CE40/CC40-1,"")</f>
      </c>
      <c r="CF42" s="107">
        <f>IFERROR(CF40/CE40-1,"")</f>
      </c>
      <c r="CG42" s="107">
        <f>IFERROR(CG40/CF40-1,"")</f>
      </c>
      <c r="CH42" s="107">
        <f>IFERROR(CH40/CG40-1,"")</f>
      </c>
      <c r="CI42" s="293"/>
      <c r="CJ42" s="291">
        <f>IFERROR(CJ40/CH40-1,"")</f>
      </c>
      <c r="CK42" s="107">
        <f>IFERROR(CK40/CJ40-1,"")</f>
      </c>
      <c r="CL42" s="107">
        <f>IFERROR(CL40/CK40-1,"")</f>
      </c>
      <c r="CM42" s="107">
        <f>IFERROR(CM40/CL40-1,"")</f>
      </c>
      <c r="CN42" s="293"/>
      <c r="CO42" s="291">
        <f>IFERROR(CO40/CM40-1,"")</f>
      </c>
      <c r="CP42" s="107">
        <f>IFERROR(CP40/CO40-1,"")</f>
      </c>
      <c r="CQ42" s="107">
        <f>IFERROR(CQ40/CP40-1,"")</f>
      </c>
      <c r="CR42" s="107">
        <f>IFERROR(CR40/CQ40-1,"")</f>
      </c>
      <c r="CS42" s="293"/>
      <c r="CT42" s="291">
        <f>IFERROR(CT40/CR40-1,"")</f>
      </c>
      <c r="CU42" s="107">
        <f>IFERROR(CU40/CT40-1,"")</f>
      </c>
      <c r="CV42" s="107">
        <f>IFERROR(CV40/CU40-1,"")</f>
      </c>
      <c r="CW42" s="107">
        <f>IFERROR(CW40/CV40-1,"")</f>
      </c>
      <c r="CX42" s="293"/>
      <c r="CY42" s="291">
        <f>IFERROR(CY40/CW40-1,"")</f>
      </c>
      <c r="CZ42" s="107">
        <f>IFERROR(CZ40/CY40-1,"")</f>
      </c>
      <c r="DA42" s="107">
        <f>IFERROR(DA40/CZ40-1,"")</f>
      </c>
      <c r="DB42" s="107">
        <f>IFERROR(DB40/DA40-1,"")</f>
      </c>
      <c r="DC42" s="293"/>
      <c r="DD42" s="291">
        <f>IFERROR(DD40/DB40-1,"")</f>
      </c>
      <c r="DE42" s="107">
        <f>IFERROR(DE40/DD40-1,"")</f>
      </c>
      <c r="DF42" s="107">
        <f>IFERROR(DF40/DE40-1,"")</f>
      </c>
      <c r="DG42" s="107">
        <f>IFERROR(DG40/DF40-1,"")</f>
      </c>
      <c r="DH42" s="293"/>
      <c r="DI42" s="291">
        <f>IFERROR(DI40/DG40-1,"")</f>
      </c>
      <c r="DJ42" s="107">
        <f>IFERROR(DJ40/DI40-1,"")</f>
      </c>
      <c r="DK42" s="107">
        <f>IFERROR(DK40/DJ40-1,"")</f>
      </c>
      <c r="DL42" s="107">
        <f>IFERROR(DL40/DK40-1,"")</f>
      </c>
      <c r="DM42" s="293"/>
      <c r="DN42" s="291">
        <f>IFERROR(DN40/DL40-1,"")</f>
      </c>
      <c r="DO42" s="107">
        <f>IFERROR(DO40/DN40-1,"")</f>
      </c>
      <c r="DP42" s="107">
        <f>IFERROR(DP40/DO40-1,"")</f>
      </c>
      <c r="DQ42" s="107">
        <f>IFERROR(DQ40/DP40-1,"")</f>
      </c>
      <c r="DR42" s="293"/>
      <c r="DS42" s="291">
        <f>IFERROR(DS40/DQ40-1,"")</f>
      </c>
      <c r="DT42" s="107">
        <f>IFERROR(DT40/DS40-1,"")</f>
      </c>
      <c r="DU42" s="107">
        <f>IFERROR(DU40/DT40-1,"")</f>
      </c>
      <c r="DV42" s="107">
        <f>IFERROR(DV40/DU40-1,"")</f>
      </c>
      <c r="DW42" s="293"/>
      <c r="DX42" s="291">
        <f>IFERROR(DX40/DV40-1,"")</f>
      </c>
      <c r="DY42" s="107">
        <f>IFERROR(DY40/DX40-1,"")</f>
      </c>
      <c r="DZ42" s="107">
        <f>IFERROR(DZ40/DY40-1,"")</f>
      </c>
      <c r="EA42" s="107">
        <f>IFERROR(EA40/DZ40-1,"")</f>
      </c>
      <c r="EB42" s="293"/>
      <c r="EC42" s="291">
        <f>IFERROR(EC40/EA40-1,"")</f>
      </c>
      <c r="ED42" s="107">
        <f>IFERROR(ED40/EC40-1,"")</f>
      </c>
      <c r="EE42" s="107">
        <f>IFERROR(EE40/ED40-1,"")</f>
      </c>
      <c r="EF42" s="107">
        <f>IFERROR(EF40/EE40-1,"")</f>
      </c>
      <c r="EG42" s="293"/>
      <c r="EH42" s="291">
        <f>IFERROR(EH40/EF40-1,"")</f>
      </c>
      <c r="EI42" s="107">
        <f>IFERROR(EI40/EH40-1,"")</f>
      </c>
      <c r="EJ42" s="107">
        <f>IFERROR(EJ40/EI40-1,"")</f>
      </c>
      <c r="EK42" s="107">
        <f>IFERROR(EK40/EJ40-1,"")</f>
      </c>
      <c r="EL42" s="293"/>
      <c r="EM42" s="291">
        <f>IFERROR(EM40/EK40-1,"")</f>
      </c>
      <c r="EN42" s="107">
        <f>IFERROR(EN40/EM40-1,"")</f>
      </c>
      <c r="EO42" s="107">
        <f>IFERROR(EO40/EN40-1,"")</f>
      </c>
      <c r="EP42" s="107">
        <f>IFERROR(EP40/EO40-1,"")</f>
      </c>
      <c r="EQ42" s="293"/>
      <c r="ER42" s="291">
        <f>IFERROR(ER40/EP40-1,"")</f>
      </c>
      <c r="ES42" s="107">
        <f>IFERROR(ES40/ER40-1,"")</f>
      </c>
      <c r="ET42" s="107">
        <f>IFERROR(ET40/ES40-1,"")</f>
      </c>
      <c r="EU42" s="107">
        <f>IFERROR(EU40/ET40-1,"")</f>
      </c>
      <c r="EV42" s="293"/>
      <c r="EW42" s="291">
        <f>IFERROR(EW40/EU40-1,"")</f>
      </c>
      <c r="EX42" s="107">
        <f>IFERROR(EX40/EW40-1,"")</f>
      </c>
      <c r="EY42" s="107">
        <f>IFERROR(EY40/EX40-1,"")</f>
      </c>
      <c r="EZ42" s="107">
        <f>IFERROR(EZ40/EY40-1,"")</f>
      </c>
      <c r="FA42" s="293"/>
      <c r="FB42" s="291"/>
      <c r="FC42" s="107"/>
      <c r="FD42" s="107"/>
      <c r="FE42" s="107"/>
      <c r="FF42" s="293"/>
      <c r="FG42" s="291"/>
      <c r="FH42" s="107"/>
      <c r="FI42" s="107"/>
      <c r="FJ42" s="107"/>
      <c r="FK42" s="293"/>
      <c r="FL42" s="291"/>
      <c r="FM42" s="107"/>
      <c r="FN42" s="107"/>
      <c r="FO42" s="107"/>
      <c r="FP42" s="293"/>
      <c r="FQ42" s="291"/>
      <c r="FR42" s="107"/>
      <c r="FS42" s="107"/>
      <c r="FT42" s="107"/>
      <c r="FU42" s="293"/>
      <c r="FV42" s="291"/>
      <c r="FW42" s="107"/>
      <c r="FX42" s="107"/>
      <c r="FY42" s="107"/>
      <c r="FZ42" s="293"/>
      <c r="GA42" s="291"/>
      <c r="GB42" s="107"/>
      <c r="GC42" s="107"/>
      <c r="GD42" s="107"/>
      <c r="GE42" s="293"/>
    </row>
    <row r="43" spans="1:187" ht="12.75" customHeight="1" outlineLevel="1">
      <c r="B43" s="719"/>
      <c r="C43" s="98"/>
      <c r="D43" s="98"/>
      <c r="E43" s="98"/>
      <c r="F43" s="98"/>
      <c r="G43" s="99"/>
      <c r="H43" s="98"/>
      <c r="I43" s="98"/>
      <c r="J43" s="98"/>
      <c r="K43" s="98"/>
      <c r="L43" s="99"/>
      <c r="M43" s="98"/>
      <c r="N43" s="98"/>
      <c r="O43" s="98"/>
      <c r="P43" s="98"/>
      <c r="Q43" s="99"/>
      <c r="R43" s="98"/>
      <c r="S43" s="98"/>
      <c r="T43" s="98"/>
      <c r="U43" s="98"/>
      <c r="V43" s="99"/>
      <c r="W43" s="98"/>
      <c r="X43" s="98"/>
      <c r="Y43" s="98"/>
      <c r="Z43" s="98"/>
      <c r="AA43" s="99"/>
      <c r="AB43" s="98"/>
      <c r="AC43" s="98"/>
      <c r="AD43" s="98"/>
      <c r="AE43" s="98"/>
      <c r="AF43" s="99"/>
      <c r="AG43" s="98"/>
      <c r="AH43" s="98"/>
      <c r="AI43" s="98"/>
      <c r="AJ43" s="98"/>
      <c r="AK43" s="99"/>
      <c r="AL43" s="98"/>
      <c r="AM43" s="98"/>
      <c r="AN43" s="98"/>
      <c r="AO43" s="98"/>
      <c r="AP43" s="99"/>
      <c r="AQ43" s="98"/>
      <c r="AR43" s="98"/>
      <c r="AS43" s="98"/>
      <c r="AT43" s="98"/>
      <c r="AU43" s="99"/>
      <c r="AV43" s="98"/>
      <c r="AW43" s="98"/>
      <c r="AX43" s="98"/>
      <c r="AY43" s="98"/>
      <c r="AZ43" s="99"/>
      <c r="BA43" s="98"/>
      <c r="BB43" s="98"/>
      <c r="BC43" s="98"/>
      <c r="BD43" s="98"/>
      <c r="BE43" s="99"/>
      <c r="BF43" s="98"/>
      <c r="BG43" s="98"/>
      <c r="BH43" s="98"/>
      <c r="BI43" s="98"/>
      <c r="BJ43" s="99"/>
      <c r="BK43" s="98"/>
      <c r="BL43" s="98"/>
      <c r="BM43" s="98"/>
      <c r="BN43" s="98"/>
      <c r="BO43" s="99"/>
      <c r="BP43" s="98"/>
      <c r="BQ43" s="98"/>
      <c r="BR43" s="98"/>
      <c r="BS43" s="98"/>
      <c r="BT43" s="99"/>
      <c r="BU43" s="98"/>
      <c r="BV43" s="98"/>
      <c r="BW43" s="98"/>
      <c r="BX43" s="98"/>
      <c r="BY43" s="99"/>
      <c r="BZ43" s="98"/>
      <c r="CA43" s="98"/>
      <c r="CB43" s="98"/>
      <c r="CC43" s="98"/>
      <c r="CD43" s="99"/>
      <c r="CE43" s="98"/>
      <c r="CF43" s="98"/>
      <c r="CG43" s="98"/>
      <c r="CH43" s="98"/>
      <c r="CI43" s="99"/>
      <c r="CJ43" s="98"/>
      <c r="CK43" s="98"/>
      <c r="CL43" s="98"/>
      <c r="CM43" s="98"/>
      <c r="CN43" s="99"/>
      <c r="CO43" s="98"/>
      <c r="CP43" s="98"/>
      <c r="CQ43" s="98"/>
      <c r="CR43" s="98"/>
      <c r="CS43" s="99"/>
      <c r="CT43" s="98"/>
      <c r="CU43" s="98"/>
      <c r="CV43" s="98"/>
      <c r="CW43" s="98"/>
      <c r="CX43" s="99"/>
      <c r="CY43" s="98"/>
      <c r="CZ43" s="98"/>
      <c r="DA43" s="98"/>
      <c r="DB43" s="98"/>
      <c r="DC43" s="99"/>
      <c r="DD43" s="98"/>
      <c r="DE43" s="98"/>
      <c r="DF43" s="98"/>
      <c r="DG43" s="98"/>
      <c r="DH43" s="99"/>
      <c r="DI43" s="98"/>
      <c r="DJ43" s="98"/>
      <c r="DK43" s="98"/>
      <c r="DL43" s="98"/>
      <c r="DM43" s="99"/>
      <c r="DN43" s="98"/>
      <c r="DO43" s="98"/>
      <c r="DP43" s="98"/>
      <c r="DQ43" s="98"/>
      <c r="DR43" s="99"/>
      <c r="DS43" s="98"/>
      <c r="DT43" s="98"/>
      <c r="DU43" s="98"/>
      <c r="DV43" s="98"/>
      <c r="DW43" s="99"/>
      <c r="DX43" s="98"/>
      <c r="DY43" s="98"/>
      <c r="DZ43" s="98"/>
      <c r="EA43" s="98"/>
      <c r="EB43" s="99"/>
      <c r="EC43" s="98"/>
      <c r="ED43" s="98"/>
      <c r="EE43" s="98"/>
      <c r="EF43" s="98"/>
      <c r="EG43" s="99"/>
      <c r="EH43" s="98"/>
      <c r="EI43" s="98"/>
      <c r="EJ43" s="98"/>
      <c r="EK43" s="98"/>
      <c r="EL43" s="99"/>
      <c r="EM43" s="98"/>
      <c r="EN43" s="98"/>
      <c r="EO43" s="98"/>
      <c r="EP43" s="98"/>
      <c r="EQ43" s="99"/>
      <c r="ER43" s="98"/>
      <c r="ES43" s="98"/>
      <c r="ET43" s="98"/>
      <c r="EU43" s="98"/>
      <c r="EV43" s="99"/>
      <c r="EW43" s="98"/>
      <c r="EX43" s="98"/>
      <c r="EY43" s="98"/>
      <c r="EZ43" s="98"/>
      <c r="FA43" s="99"/>
      <c r="FB43" s="98"/>
      <c r="FC43" s="98"/>
      <c r="FD43" s="98"/>
      <c r="FE43" s="98"/>
      <c r="FF43" s="99"/>
      <c r="FG43" s="98"/>
      <c r="FH43" s="98"/>
      <c r="FI43" s="98"/>
      <c r="FJ43" s="98"/>
      <c r="FK43" s="99"/>
      <c r="FL43" s="98"/>
      <c r="FM43" s="98"/>
      <c r="FN43" s="98"/>
      <c r="FO43" s="98"/>
      <c r="FP43" s="99"/>
      <c r="FQ43" s="98"/>
      <c r="FR43" s="98"/>
      <c r="FS43" s="98"/>
      <c r="FT43" s="98"/>
      <c r="FU43" s="99"/>
      <c r="FV43" s="98"/>
      <c r="FW43" s="98"/>
      <c r="FX43" s="98"/>
      <c r="FY43" s="98"/>
      <c r="FZ43" s="99"/>
      <c r="GA43" s="98"/>
      <c r="GB43" s="98"/>
      <c r="GC43" s="98"/>
      <c r="GD43" s="98"/>
      <c r="GE43" s="99"/>
    </row>
    <row r="44" spans="1:187" s="328" customFormat="1" ht="12.75" customHeight="1" outlineLevel="1">
      <c r="A44" s="68"/>
      <c r="B44" s="714" t="s">
        <v>274</v>
      </c>
      <c r="C44" s="471">
        <f>C10+C34</f>
      </c>
      <c r="D44" s="606">
        <f t="shared" ref="D44:BO44" si="100">D10+D34</f>
      </c>
      <c r="E44" s="606">
        <f t="shared" si="100"/>
      </c>
      <c r="F44" s="606">
        <f t="shared" si="100"/>
      </c>
      <c r="G44" s="605">
        <f t="shared" si="100"/>
      </c>
      <c r="H44" s="471">
        <f t="shared" si="100"/>
      </c>
      <c r="I44" s="606">
        <f t="shared" si="100"/>
      </c>
      <c r="J44" s="606">
        <f t="shared" si="100"/>
      </c>
      <c r="K44" s="606">
        <f t="shared" si="100"/>
      </c>
      <c r="L44" s="605">
        <f t="shared" si="100"/>
      </c>
      <c r="M44" s="471">
        <f t="shared" si="100"/>
      </c>
      <c r="N44" s="606">
        <f t="shared" si="100"/>
      </c>
      <c r="O44" s="606">
        <f t="shared" si="100"/>
      </c>
      <c r="P44" s="606">
        <f t="shared" si="100"/>
      </c>
      <c r="Q44" s="605">
        <f t="shared" si="100"/>
      </c>
      <c r="R44" s="471">
        <f t="shared" si="100"/>
      </c>
      <c r="S44" s="606">
        <f t="shared" si="100"/>
      </c>
      <c r="T44" s="606">
        <f t="shared" si="100"/>
      </c>
      <c r="U44" s="606">
        <f t="shared" si="100"/>
      </c>
      <c r="V44" s="605">
        <f t="shared" si="100"/>
      </c>
      <c r="W44" s="471">
        <f t="shared" si="100"/>
      </c>
      <c r="X44" s="606">
        <f t="shared" si="100"/>
      </c>
      <c r="Y44" s="606">
        <f t="shared" si="100"/>
      </c>
      <c r="Z44" s="606">
        <f t="shared" si="100"/>
      </c>
      <c r="AA44" s="605">
        <f t="shared" si="100"/>
      </c>
      <c r="AB44" s="471">
        <f t="shared" si="100"/>
      </c>
      <c r="AC44" s="606">
        <f t="shared" si="100"/>
      </c>
      <c r="AD44" s="606">
        <f t="shared" si="100"/>
      </c>
      <c r="AE44" s="606">
        <f t="shared" si="100"/>
      </c>
      <c r="AF44" s="605">
        <f t="shared" si="100"/>
      </c>
      <c r="AG44" s="471">
        <f t="shared" si="100"/>
      </c>
      <c r="AH44" s="606">
        <f t="shared" si="100"/>
      </c>
      <c r="AI44" s="606">
        <f t="shared" si="100"/>
      </c>
      <c r="AJ44" s="606">
        <f t="shared" si="100"/>
      </c>
      <c r="AK44" s="605">
        <f t="shared" si="100"/>
      </c>
      <c r="AL44" s="471">
        <f t="shared" si="100"/>
      </c>
      <c r="AM44" s="606">
        <f t="shared" si="100"/>
      </c>
      <c r="AN44" s="606">
        <f t="shared" si="100"/>
      </c>
      <c r="AO44" s="606">
        <f t="shared" si="100"/>
      </c>
      <c r="AP44" s="605">
        <f t="shared" si="100"/>
      </c>
      <c r="AQ44" s="471">
        <f t="shared" si="100"/>
      </c>
      <c r="AR44" s="606">
        <f t="shared" si="100"/>
      </c>
      <c r="AS44" s="606">
        <f t="shared" si="100"/>
      </c>
      <c r="AT44" s="606">
        <f t="shared" si="100"/>
      </c>
      <c r="AU44" s="605">
        <f t="shared" si="100"/>
      </c>
      <c r="AV44" s="471">
        <f t="shared" si="100"/>
      </c>
      <c r="AW44" s="606">
        <f t="shared" si="100"/>
      </c>
      <c r="AX44" s="606">
        <f t="shared" si="100"/>
      </c>
      <c r="AY44" s="606">
        <f t="shared" si="100"/>
      </c>
      <c r="AZ44" s="605">
        <f t="shared" si="100"/>
      </c>
      <c r="BA44" s="471">
        <f t="shared" si="100"/>
      </c>
      <c r="BB44" s="606">
        <f t="shared" si="100"/>
      </c>
      <c r="BC44" s="606">
        <f t="shared" si="100"/>
      </c>
      <c r="BD44" s="606">
        <f t="shared" si="100"/>
      </c>
      <c r="BE44" s="605">
        <f t="shared" si="100"/>
      </c>
      <c r="BF44" s="471">
        <f t="shared" si="100"/>
      </c>
      <c r="BG44" s="606">
        <f t="shared" si="100"/>
      </c>
      <c r="BH44" s="606">
        <f t="shared" si="100"/>
      </c>
      <c r="BI44" s="606">
        <f t="shared" si="100"/>
      </c>
      <c r="BJ44" s="605">
        <f t="shared" si="100"/>
      </c>
      <c r="BK44" s="471">
        <f t="shared" si="100"/>
      </c>
      <c r="BL44" s="606">
        <f t="shared" si="100"/>
      </c>
      <c r="BM44" s="606">
        <f t="shared" si="100"/>
      </c>
      <c r="BN44" s="606">
        <f t="shared" si="100"/>
      </c>
      <c r="BO44" s="605">
        <f t="shared" si="100"/>
      </c>
      <c r="BP44" s="471">
        <f t="shared" ref="BP44:EA44" si="101">BP10+BP34</f>
      </c>
      <c r="BQ44" s="606">
        <f t="shared" si="101"/>
      </c>
      <c r="BR44" s="606">
        <f t="shared" si="101"/>
      </c>
      <c r="BS44" s="606">
        <f t="shared" si="101"/>
      </c>
      <c r="BT44" s="605">
        <f t="shared" si="101"/>
      </c>
      <c r="BU44" s="471">
        <f t="shared" si="101"/>
      </c>
      <c r="BV44" s="606">
        <f t="shared" si="101"/>
      </c>
      <c r="BW44" s="606">
        <f t="shared" si="101"/>
      </c>
      <c r="BX44" s="606">
        <f t="shared" si="101"/>
      </c>
      <c r="BY44" s="605">
        <f t="shared" si="101"/>
      </c>
      <c r="BZ44" s="471">
        <f t="shared" si="101"/>
      </c>
      <c r="CA44" s="606">
        <f t="shared" si="101"/>
      </c>
      <c r="CB44" s="606">
        <f t="shared" si="101"/>
      </c>
      <c r="CC44" s="606">
        <f t="shared" si="101"/>
      </c>
      <c r="CD44" s="605">
        <f t="shared" si="101"/>
      </c>
      <c r="CE44" s="471">
        <f t="shared" si="101"/>
      </c>
      <c r="CF44" s="606">
        <f t="shared" si="101"/>
      </c>
      <c r="CG44" s="606">
        <f t="shared" si="101"/>
      </c>
      <c r="CH44" s="606">
        <f t="shared" si="101"/>
      </c>
      <c r="CI44" s="605">
        <f t="shared" si="101"/>
      </c>
      <c r="CJ44" s="471">
        <f t="shared" si="101"/>
      </c>
      <c r="CK44" s="606">
        <f t="shared" si="101"/>
      </c>
      <c r="CL44" s="606">
        <f t="shared" si="101"/>
      </c>
      <c r="CM44" s="606">
        <f t="shared" si="101"/>
      </c>
      <c r="CN44" s="605">
        <f t="shared" si="101"/>
      </c>
      <c r="CO44" s="471">
        <f t="shared" si="101"/>
      </c>
      <c r="CP44" s="606">
        <f t="shared" si="101"/>
      </c>
      <c r="CQ44" s="606">
        <f t="shared" si="101"/>
      </c>
      <c r="CR44" s="606">
        <f t="shared" si="101"/>
      </c>
      <c r="CS44" s="605">
        <f t="shared" si="101"/>
      </c>
      <c r="CT44" s="471">
        <f t="shared" si="101"/>
      </c>
      <c r="CU44" s="606">
        <f t="shared" si="101"/>
      </c>
      <c r="CV44" s="606">
        <f t="shared" si="101"/>
      </c>
      <c r="CW44" s="606">
        <f t="shared" si="101"/>
      </c>
      <c r="CX44" s="605">
        <f t="shared" si="101"/>
      </c>
      <c r="CY44" s="471">
        <f t="shared" si="101"/>
      </c>
      <c r="CZ44" s="606">
        <f t="shared" si="101"/>
      </c>
      <c r="DA44" s="606">
        <f t="shared" si="101"/>
      </c>
      <c r="DB44" s="606">
        <f t="shared" si="101"/>
      </c>
      <c r="DC44" s="605">
        <f t="shared" si="101"/>
      </c>
      <c r="DD44" s="471">
        <f t="shared" si="101"/>
      </c>
      <c r="DE44" s="606">
        <f t="shared" si="101"/>
      </c>
      <c r="DF44" s="606">
        <f t="shared" si="101"/>
      </c>
      <c r="DG44" s="606">
        <f t="shared" si="101"/>
      </c>
      <c r="DH44" s="605">
        <f t="shared" si="101"/>
      </c>
      <c r="DI44" s="471">
        <f t="shared" si="101"/>
      </c>
      <c r="DJ44" s="606">
        <f t="shared" si="101"/>
      </c>
      <c r="DK44" s="606">
        <f t="shared" si="101"/>
      </c>
      <c r="DL44" s="606">
        <f t="shared" si="101"/>
      </c>
      <c r="DM44" s="605">
        <f t="shared" si="101"/>
      </c>
      <c r="DN44" s="471">
        <f t="shared" si="101"/>
      </c>
      <c r="DO44" s="606">
        <f t="shared" si="101"/>
      </c>
      <c r="DP44" s="606">
        <f t="shared" si="101"/>
      </c>
      <c r="DQ44" s="606">
        <f t="shared" si="101"/>
      </c>
      <c r="DR44" s="605">
        <f t="shared" si="101"/>
      </c>
      <c r="DS44" s="471">
        <f t="shared" si="101"/>
      </c>
      <c r="DT44" s="606">
        <f t="shared" si="101"/>
      </c>
      <c r="DU44" s="606">
        <f t="shared" si="101"/>
      </c>
      <c r="DV44" s="606">
        <f t="shared" si="101"/>
      </c>
      <c r="DW44" s="605">
        <f t="shared" si="101"/>
      </c>
      <c r="DX44" s="471">
        <f t="shared" si="101"/>
      </c>
      <c r="DY44" s="606">
        <f t="shared" si="101"/>
      </c>
      <c r="DZ44" s="606">
        <f t="shared" si="101"/>
      </c>
      <c r="EA44" s="606">
        <f t="shared" si="101"/>
      </c>
      <c r="EB44" s="605">
        <f t="shared" ref="EB44:FZ44" si="102">EB10+EB34</f>
      </c>
      <c r="EC44" s="471">
        <f t="shared" si="102"/>
      </c>
      <c r="ED44" s="606">
        <f t="shared" si="102"/>
      </c>
      <c r="EE44" s="606">
        <f t="shared" si="102"/>
      </c>
      <c r="EF44" s="606">
        <f t="shared" si="102"/>
      </c>
      <c r="EG44" s="605">
        <f t="shared" si="102"/>
      </c>
      <c r="EH44" s="471">
        <f t="shared" si="102"/>
      </c>
      <c r="EI44" s="606">
        <f t="shared" si="102"/>
      </c>
      <c r="EJ44" s="606">
        <f t="shared" si="102"/>
      </c>
      <c r="EK44" s="606">
        <f t="shared" si="102"/>
      </c>
      <c r="EL44" s="605">
        <f t="shared" si="102"/>
      </c>
      <c r="EM44" s="471">
        <f t="shared" si="102"/>
      </c>
      <c r="EN44" s="606">
        <f t="shared" si="102"/>
      </c>
      <c r="EO44" s="606">
        <f t="shared" si="102"/>
      </c>
      <c r="EP44" s="606">
        <f t="shared" si="102"/>
      </c>
      <c r="EQ44" s="605">
        <f t="shared" si="102"/>
      </c>
      <c r="ER44" s="471">
        <f t="shared" si="102"/>
      </c>
      <c r="ES44" s="606">
        <f>ES10+ES34</f>
      </c>
      <c r="ET44" s="606">
        <f>ET10+ET34</f>
      </c>
      <c r="EU44" s="606">
        <f>EU10+EU34</f>
      </c>
      <c r="EV44" s="605">
        <f>EV10+EV34</f>
      </c>
      <c r="EW44" s="471">
        <f t="shared" ref="EW44" si="103">EW10+EW34</f>
      </c>
      <c r="EX44" s="606">
        <f>EX10+EX34</f>
      </c>
      <c r="EY44" s="606">
        <f>EY10+EY34</f>
      </c>
      <c r="EZ44" s="606">
        <f>EZ10+EZ34</f>
      </c>
      <c r="FA44" s="605">
        <f>FA10+FA34</f>
      </c>
      <c r="FB44" s="471">
        <f t="shared" si="102"/>
      </c>
      <c r="FC44" s="606">
        <f t="shared" si="102"/>
      </c>
      <c r="FD44" s="606">
        <f t="shared" si="102"/>
      </c>
      <c r="FE44" s="606">
        <f t="shared" si="102"/>
      </c>
      <c r="FF44" s="605">
        <f t="shared" si="102"/>
      </c>
      <c r="FG44" s="471">
        <f t="shared" si="102"/>
      </c>
      <c r="FH44" s="606">
        <f t="shared" si="102"/>
      </c>
      <c r="FI44" s="606">
        <f t="shared" si="102"/>
      </c>
      <c r="FJ44" s="606">
        <f t="shared" si="102"/>
      </c>
      <c r="FK44" s="605">
        <f t="shared" si="102"/>
      </c>
      <c r="FL44" s="471">
        <f t="shared" si="102"/>
      </c>
      <c r="FM44" s="606">
        <f t="shared" si="102"/>
      </c>
      <c r="FN44" s="606">
        <f t="shared" si="102"/>
      </c>
      <c r="FO44" s="606">
        <f t="shared" si="102"/>
      </c>
      <c r="FP44" s="605">
        <f t="shared" si="102"/>
      </c>
      <c r="FQ44" s="471">
        <f t="shared" si="102"/>
      </c>
      <c r="FR44" s="606">
        <f t="shared" si="102"/>
      </c>
      <c r="FS44" s="606">
        <f t="shared" si="102"/>
      </c>
      <c r="FT44" s="606">
        <f t="shared" si="102"/>
      </c>
      <c r="FU44" s="605">
        <f t="shared" si="102"/>
      </c>
      <c r="FV44" s="471">
        <f t="shared" si="102"/>
      </c>
      <c r="FW44" s="606">
        <f t="shared" si="102"/>
      </c>
      <c r="FX44" s="606">
        <f t="shared" si="102"/>
      </c>
      <c r="FY44" s="606">
        <f t="shared" si="102"/>
      </c>
      <c r="FZ44" s="605">
        <f t="shared" si="102"/>
      </c>
      <c r="GA44" s="471">
        <f>GA10+GA34</f>
      </c>
      <c r="GB44" s="606">
        <f>GB10+GB34</f>
      </c>
      <c r="GC44" s="606">
        <f>GC10+GC34</f>
      </c>
      <c r="GD44" s="606">
        <f>GD10+GD34</f>
      </c>
      <c r="GE44" s="605">
        <f>GE10+GE34</f>
      </c>
    </row>
    <row r="45" spans="1:187" ht="12.75" customHeight="1" outlineLevel="1">
      <c r="B45" s="724" t="s">
        <v>34</v>
      </c>
      <c r="C45" s="291"/>
      <c r="D45" s="107"/>
      <c r="E45" s="107"/>
      <c r="F45" s="107"/>
      <c r="G45" s="536"/>
      <c r="H45" s="291">
        <f t="shared" ref="H45:AM45" si="104">IFERROR(H44/C44-1,"")</f>
      </c>
      <c r="I45" s="107">
        <f t="shared" si="104"/>
      </c>
      <c r="J45" s="107">
        <f t="shared" si="104"/>
      </c>
      <c r="K45" s="107">
        <f t="shared" si="104"/>
      </c>
      <c r="L45" s="292">
        <f t="shared" si="104"/>
      </c>
      <c r="M45" s="291">
        <f t="shared" si="104"/>
      </c>
      <c r="N45" s="107">
        <f t="shared" si="104"/>
      </c>
      <c r="O45" s="107">
        <f t="shared" si="104"/>
      </c>
      <c r="P45" s="107">
        <f t="shared" si="104"/>
      </c>
      <c r="Q45" s="292">
        <f t="shared" si="104"/>
      </c>
      <c r="R45" s="291">
        <f t="shared" si="104"/>
      </c>
      <c r="S45" s="107">
        <f t="shared" si="104"/>
      </c>
      <c r="T45" s="107">
        <f t="shared" si="104"/>
      </c>
      <c r="U45" s="107">
        <f t="shared" si="104"/>
      </c>
      <c r="V45" s="292">
        <f t="shared" si="104"/>
      </c>
      <c r="W45" s="291">
        <f t="shared" si="104"/>
      </c>
      <c r="X45" s="107">
        <f t="shared" si="104"/>
      </c>
      <c r="Y45" s="107">
        <f t="shared" si="104"/>
      </c>
      <c r="Z45" s="107">
        <f t="shared" si="104"/>
      </c>
      <c r="AA45" s="292">
        <f t="shared" si="104"/>
      </c>
      <c r="AB45" s="291">
        <f t="shared" si="104"/>
      </c>
      <c r="AC45" s="107">
        <f t="shared" si="104"/>
      </c>
      <c r="AD45" s="107">
        <f t="shared" si="104"/>
      </c>
      <c r="AE45" s="107">
        <f t="shared" si="104"/>
      </c>
      <c r="AF45" s="292">
        <f t="shared" si="104"/>
      </c>
      <c r="AG45" s="291">
        <f t="shared" si="104"/>
      </c>
      <c r="AH45" s="107">
        <f t="shared" si="104"/>
      </c>
      <c r="AI45" s="107">
        <f t="shared" si="104"/>
      </c>
      <c r="AJ45" s="107">
        <f t="shared" si="104"/>
      </c>
      <c r="AK45" s="292">
        <f t="shared" si="104"/>
      </c>
      <c r="AL45" s="291">
        <f t="shared" si="104"/>
      </c>
      <c r="AM45" s="107">
        <f t="shared" si="104"/>
      </c>
      <c r="AN45" s="107">
        <f t="shared" ref="AN45:BS45" si="105">IFERROR(AN44/AI44-1,"")</f>
      </c>
      <c r="AO45" s="107">
        <f t="shared" si="105"/>
      </c>
      <c r="AP45" s="292">
        <f t="shared" si="105"/>
      </c>
      <c r="AQ45" s="291">
        <f t="shared" si="105"/>
      </c>
      <c r="AR45" s="107">
        <f t="shared" si="105"/>
      </c>
      <c r="AS45" s="107">
        <f t="shared" si="105"/>
      </c>
      <c r="AT45" s="107">
        <f t="shared" si="105"/>
      </c>
      <c r="AU45" s="292">
        <f t="shared" si="105"/>
      </c>
      <c r="AV45" s="291">
        <f t="shared" si="105"/>
      </c>
      <c r="AW45" s="107">
        <f t="shared" si="105"/>
      </c>
      <c r="AX45" s="107">
        <f t="shared" si="105"/>
      </c>
      <c r="AY45" s="107">
        <f t="shared" si="105"/>
      </c>
      <c r="AZ45" s="292">
        <f t="shared" si="105"/>
      </c>
      <c r="BA45" s="291">
        <f t="shared" si="105"/>
      </c>
      <c r="BB45" s="107">
        <f t="shared" si="105"/>
      </c>
      <c r="BC45" s="107">
        <f t="shared" si="105"/>
      </c>
      <c r="BD45" s="107">
        <f t="shared" si="105"/>
      </c>
      <c r="BE45" s="292">
        <f t="shared" si="105"/>
      </c>
      <c r="BF45" s="291">
        <f t="shared" si="105"/>
      </c>
      <c r="BG45" s="107">
        <f t="shared" si="105"/>
      </c>
      <c r="BH45" s="107">
        <f t="shared" si="105"/>
      </c>
      <c r="BI45" s="107">
        <f t="shared" si="105"/>
      </c>
      <c r="BJ45" s="292">
        <f t="shared" si="105"/>
      </c>
      <c r="BK45" s="291">
        <f t="shared" si="105"/>
      </c>
      <c r="BL45" s="107">
        <f t="shared" si="105"/>
      </c>
      <c r="BM45" s="107">
        <f t="shared" si="105"/>
      </c>
      <c r="BN45" s="107">
        <f t="shared" si="105"/>
      </c>
      <c r="BO45" s="292">
        <f t="shared" si="105"/>
      </c>
      <c r="BP45" s="291">
        <f t="shared" si="105"/>
      </c>
      <c r="BQ45" s="107">
        <f t="shared" si="105"/>
      </c>
      <c r="BR45" s="107">
        <f t="shared" si="105"/>
      </c>
      <c r="BS45" s="107">
        <f t="shared" si="105"/>
      </c>
      <c r="BT45" s="292">
        <f t="shared" ref="BT45:CY45" si="106">IFERROR(BT44/BO44-1,"")</f>
      </c>
      <c r="BU45" s="291">
        <f t="shared" si="106"/>
      </c>
      <c r="BV45" s="107">
        <f t="shared" si="106"/>
      </c>
      <c r="BW45" s="107">
        <f t="shared" si="106"/>
      </c>
      <c r="BX45" s="107">
        <f t="shared" si="106"/>
      </c>
      <c r="BY45" s="292">
        <f t="shared" si="106"/>
      </c>
      <c r="BZ45" s="291">
        <f t="shared" si="106"/>
      </c>
      <c r="CA45" s="107">
        <f t="shared" si="106"/>
      </c>
      <c r="CB45" s="107">
        <f t="shared" si="106"/>
      </c>
      <c r="CC45" s="107">
        <f t="shared" si="106"/>
      </c>
      <c r="CD45" s="292">
        <f t="shared" si="106"/>
      </c>
      <c r="CE45" s="291">
        <f t="shared" si="106"/>
      </c>
      <c r="CF45" s="107">
        <f t="shared" si="106"/>
      </c>
      <c r="CG45" s="107">
        <f t="shared" si="106"/>
      </c>
      <c r="CH45" s="107">
        <f t="shared" si="106"/>
      </c>
      <c r="CI45" s="292">
        <f t="shared" si="106"/>
      </c>
      <c r="CJ45" s="291">
        <f t="shared" si="106"/>
      </c>
      <c r="CK45" s="107">
        <f t="shared" si="106"/>
      </c>
      <c r="CL45" s="107">
        <f t="shared" si="106"/>
      </c>
      <c r="CM45" s="107">
        <f t="shared" si="106"/>
      </c>
      <c r="CN45" s="292">
        <f t="shared" si="106"/>
      </c>
      <c r="CO45" s="291">
        <f t="shared" si="106"/>
      </c>
      <c r="CP45" s="107">
        <f t="shared" si="106"/>
      </c>
      <c r="CQ45" s="107">
        <f t="shared" si="106"/>
      </c>
      <c r="CR45" s="107">
        <f t="shared" si="106"/>
      </c>
      <c r="CS45" s="292">
        <f t="shared" si="106"/>
      </c>
      <c r="CT45" s="291">
        <f t="shared" si="106"/>
      </c>
      <c r="CU45" s="107">
        <f t="shared" si="106"/>
      </c>
      <c r="CV45" s="107">
        <f t="shared" si="106"/>
      </c>
      <c r="CW45" s="107">
        <f t="shared" si="106"/>
      </c>
      <c r="CX45" s="292">
        <f t="shared" si="106"/>
      </c>
      <c r="CY45" s="291">
        <f t="shared" si="106"/>
      </c>
      <c r="CZ45" s="107">
        <f t="shared" ref="CZ45:EE45" si="107">IFERROR(CZ44/CU44-1,"")</f>
      </c>
      <c r="DA45" s="107">
        <f t="shared" si="107"/>
      </c>
      <c r="DB45" s="107">
        <f t="shared" si="107"/>
      </c>
      <c r="DC45" s="292">
        <f t="shared" si="107"/>
      </c>
      <c r="DD45" s="291">
        <f t="shared" si="107"/>
      </c>
      <c r="DE45" s="107">
        <f t="shared" si="107"/>
      </c>
      <c r="DF45" s="107">
        <f t="shared" si="107"/>
      </c>
      <c r="DG45" s="107">
        <f t="shared" si="107"/>
      </c>
      <c r="DH45" s="292">
        <f t="shared" si="107"/>
      </c>
      <c r="DI45" s="291">
        <f t="shared" si="107"/>
      </c>
      <c r="DJ45" s="107">
        <f t="shared" si="107"/>
      </c>
      <c r="DK45" s="107">
        <f t="shared" si="107"/>
      </c>
      <c r="DL45" s="107">
        <f t="shared" si="107"/>
      </c>
      <c r="DM45" s="292">
        <f t="shared" si="107"/>
      </c>
      <c r="DN45" s="291">
        <f t="shared" si="107"/>
      </c>
      <c r="DO45" s="107">
        <f t="shared" si="107"/>
      </c>
      <c r="DP45" s="107">
        <f t="shared" si="107"/>
      </c>
      <c r="DQ45" s="107">
        <f t="shared" si="107"/>
      </c>
      <c r="DR45" s="292">
        <f t="shared" si="107"/>
      </c>
      <c r="DS45" s="291">
        <f t="shared" si="107"/>
      </c>
      <c r="DT45" s="107">
        <f t="shared" si="107"/>
      </c>
      <c r="DU45" s="107">
        <f t="shared" si="107"/>
      </c>
      <c r="DV45" s="107">
        <f t="shared" si="107"/>
      </c>
      <c r="DW45" s="292">
        <f t="shared" si="107"/>
      </c>
      <c r="DX45" s="291">
        <f t="shared" si="107"/>
      </c>
      <c r="DY45" s="107">
        <f t="shared" si="107"/>
      </c>
      <c r="DZ45" s="107">
        <f t="shared" si="107"/>
      </c>
      <c r="EA45" s="107">
        <f t="shared" si="107"/>
      </c>
      <c r="EB45" s="292">
        <f t="shared" si="107"/>
      </c>
      <c r="EC45" s="291">
        <f t="shared" si="107"/>
      </c>
      <c r="ED45" s="107">
        <f t="shared" si="107"/>
      </c>
      <c r="EE45" s="107">
        <f t="shared" si="107"/>
      </c>
      <c r="EF45" s="107">
        <f t="shared" ref="EF45:FK45" si="108">IFERROR(EF44/EA44-1,"")</f>
      </c>
      <c r="EG45" s="292">
        <f t="shared" si="108"/>
      </c>
      <c r="EH45" s="291">
        <f t="shared" si="108"/>
      </c>
      <c r="EI45" s="107">
        <f t="shared" si="108"/>
      </c>
      <c r="EJ45" s="107">
        <f t="shared" si="108"/>
      </c>
      <c r="EK45" s="107">
        <f t="shared" si="108"/>
      </c>
      <c r="EL45" s="292">
        <f t="shared" si="108"/>
      </c>
      <c r="EM45" s="291">
        <f t="shared" si="108"/>
      </c>
      <c r="EN45" s="107">
        <f t="shared" si="108"/>
      </c>
      <c r="EO45" s="107">
        <f t="shared" si="108"/>
      </c>
      <c r="EP45" s="107">
        <f t="shared" si="108"/>
      </c>
      <c r="EQ45" s="292">
        <f t="shared" si="108"/>
      </c>
      <c r="ER45" s="291">
        <f t="shared" si="108"/>
      </c>
      <c r="ES45" s="107">
        <f t="shared" si="108"/>
      </c>
      <c r="ET45" s="107">
        <f t="shared" si="108"/>
      </c>
      <c r="EU45" s="107">
        <f>IFERROR(EU44/EP44-1,"")</f>
      </c>
      <c r="EV45" s="292">
        <f>IFERROR(EV44/EQ44-1,"")</f>
      </c>
      <c r="EW45" s="291">
        <f t="shared" si="108"/>
      </c>
      <c r="EX45" s="107">
        <f t="shared" si="108"/>
      </c>
      <c r="EY45" s="107">
        <f t="shared" si="108"/>
      </c>
      <c r="EZ45" s="107">
        <f>IFERROR(EZ44/EU44-1,"")</f>
      </c>
      <c r="FA45" s="292">
        <f>IFERROR(FA44/EV44-1,"")</f>
      </c>
      <c r="FB45" s="291">
        <f t="shared" si="108"/>
      </c>
      <c r="FC45" s="107">
        <f t="shared" si="108"/>
      </c>
      <c r="FD45" s="107">
        <f t="shared" si="108"/>
      </c>
      <c r="FE45" s="107">
        <f t="shared" si="108"/>
      </c>
      <c r="FF45" s="292">
        <f t="shared" si="108"/>
      </c>
      <c r="FG45" s="291">
        <f t="shared" si="108"/>
      </c>
      <c r="FH45" s="107">
        <f t="shared" si="108"/>
      </c>
      <c r="FI45" s="107">
        <f t="shared" si="108"/>
      </c>
      <c r="FJ45" s="107">
        <f t="shared" si="108"/>
      </c>
      <c r="FK45" s="292">
        <f t="shared" si="108"/>
      </c>
      <c r="FL45" s="291">
        <f t="shared" ref="FL45:FZ45" si="109">IFERROR(FL44/FG44-1,"")</f>
      </c>
      <c r="FM45" s="107">
        <f t="shared" si="109"/>
      </c>
      <c r="FN45" s="107">
        <f t="shared" si="109"/>
      </c>
      <c r="FO45" s="107">
        <f t="shared" si="109"/>
      </c>
      <c r="FP45" s="292">
        <f t="shared" si="109"/>
      </c>
      <c r="FQ45" s="291">
        <f t="shared" si="109"/>
      </c>
      <c r="FR45" s="107">
        <f t="shared" si="109"/>
      </c>
      <c r="FS45" s="107">
        <f t="shared" si="109"/>
      </c>
      <c r="FT45" s="107">
        <f t="shared" si="109"/>
      </c>
      <c r="FU45" s="292">
        <f t="shared" si="109"/>
      </c>
      <c r="FV45" s="291">
        <f t="shared" si="109"/>
      </c>
      <c r="FW45" s="107">
        <f t="shared" si="109"/>
      </c>
      <c r="FX45" s="107">
        <f t="shared" si="109"/>
      </c>
      <c r="FY45" s="107">
        <f t="shared" si="109"/>
      </c>
      <c r="FZ45" s="292">
        <f t="shared" si="109"/>
      </c>
      <c r="GA45" s="291">
        <f>IFERROR(GA44/FV44-1,"")</f>
      </c>
      <c r="GB45" s="107">
        <f>IFERROR(GB44/FW44-1,"")</f>
      </c>
      <c r="GC45" s="107">
        <f>IFERROR(GC44/FX44-1,"")</f>
      </c>
      <c r="GD45" s="107">
        <f>IFERROR(GD44/FY44-1,"")</f>
      </c>
      <c r="GE45" s="292">
        <f>IFERROR(GE44/FZ44-1,"")</f>
      </c>
    </row>
    <row r="46" spans="1:187" ht="12.75" customHeight="1" outlineLevel="1">
      <c r="B46" s="724" t="s">
        <v>36</v>
      </c>
      <c r="C46" s="291"/>
      <c r="D46" s="137"/>
      <c r="E46" s="137"/>
      <c r="F46" s="137"/>
      <c r="G46" s="538"/>
      <c r="H46" s="291">
        <f>IFERROR(H44/F44-1,"")</f>
      </c>
      <c r="I46" s="107">
        <f>IFERROR(I44/H44-1,"")</f>
      </c>
      <c r="J46" s="107">
        <f>IFERROR(J44/I44-1,"")</f>
      </c>
      <c r="K46" s="107">
        <f>IFERROR(K44/J44-1,"")</f>
      </c>
      <c r="L46" s="293"/>
      <c r="M46" s="291">
        <f>IFERROR(M44/K44-1,"")</f>
      </c>
      <c r="N46" s="107">
        <f>IFERROR(N44/M44-1,"")</f>
      </c>
      <c r="O46" s="107">
        <f>IFERROR(O44/N44-1,"")</f>
      </c>
      <c r="P46" s="107">
        <f>IFERROR(P44/O44-1,"")</f>
      </c>
      <c r="Q46" s="293"/>
      <c r="R46" s="291">
        <f>IFERROR(R44/P44-1,"")</f>
      </c>
      <c r="S46" s="107">
        <f>IFERROR(S44/R44-1,"")</f>
      </c>
      <c r="T46" s="107">
        <f>IFERROR(T44/S44-1,"")</f>
      </c>
      <c r="U46" s="107">
        <f>IFERROR(U44/T44-1,"")</f>
      </c>
      <c r="V46" s="293"/>
      <c r="W46" s="291">
        <f>IFERROR(W44/U44-1,"")</f>
      </c>
      <c r="X46" s="107">
        <f>IFERROR(X44/W44-1,"")</f>
      </c>
      <c r="Y46" s="107">
        <f>IFERROR(Y44/X44-1,"")</f>
      </c>
      <c r="Z46" s="107">
        <f>IFERROR(Z44/Y44-1,"")</f>
      </c>
      <c r="AA46" s="293"/>
      <c r="AB46" s="291">
        <f>IFERROR(AB44/Z44-1,"")</f>
      </c>
      <c r="AC46" s="107">
        <f>IFERROR(AC44/AB44-1,"")</f>
      </c>
      <c r="AD46" s="107">
        <f>IFERROR(AD44/AC44-1,"")</f>
      </c>
      <c r="AE46" s="107">
        <f>IFERROR(AE44/AD44-1,"")</f>
      </c>
      <c r="AF46" s="293"/>
      <c r="AG46" s="291">
        <f>IFERROR(AG44/AE44-1,"")</f>
      </c>
      <c r="AH46" s="107">
        <f>IFERROR(AH44/AG44-1,"")</f>
      </c>
      <c r="AI46" s="107">
        <f>IFERROR(AI44/AH44-1,"")</f>
      </c>
      <c r="AJ46" s="107">
        <f>IFERROR(AJ44/AI44-1,"")</f>
      </c>
      <c r="AK46" s="293"/>
      <c r="AL46" s="291">
        <f>IFERROR(AL44/AJ44-1,"")</f>
      </c>
      <c r="AM46" s="107">
        <f>IFERROR(AM44/AL44-1,"")</f>
      </c>
      <c r="AN46" s="107">
        <f>IFERROR(AN44/AM44-1,"")</f>
      </c>
      <c r="AO46" s="107">
        <f>IFERROR(AO44/AN44-1,"")</f>
      </c>
      <c r="AP46" s="293"/>
      <c r="AQ46" s="291">
        <f>IFERROR(AQ44/AO44-1,"")</f>
      </c>
      <c r="AR46" s="107">
        <f>IFERROR(AR44/AQ44-1,"")</f>
      </c>
      <c r="AS46" s="107">
        <f>IFERROR(AS44/AR44-1,"")</f>
      </c>
      <c r="AT46" s="107">
        <f>IFERROR(AT44/AS44-1,"")</f>
      </c>
      <c r="AU46" s="293"/>
      <c r="AV46" s="291">
        <f>IFERROR(AV44/AT44-1,"")</f>
      </c>
      <c r="AW46" s="107">
        <f>IFERROR(AW44/AV44-1,"")</f>
      </c>
      <c r="AX46" s="107">
        <f>IFERROR(AX44/AW44-1,"")</f>
      </c>
      <c r="AY46" s="107">
        <f>IFERROR(AY44/AX44-1,"")</f>
      </c>
      <c r="AZ46" s="293"/>
      <c r="BA46" s="291">
        <f>IFERROR(BA44/AY44-1,"")</f>
      </c>
      <c r="BB46" s="107">
        <f>IFERROR(BB44/BA44-1,"")</f>
      </c>
      <c r="BC46" s="107">
        <f>IFERROR(BC44/BB44-1,"")</f>
      </c>
      <c r="BD46" s="107">
        <f>IFERROR(BD44/BC44-1,"")</f>
      </c>
      <c r="BE46" s="293"/>
      <c r="BF46" s="291">
        <f>IFERROR(BF44/BD44-1,"")</f>
      </c>
      <c r="BG46" s="107">
        <f>IFERROR(BG44/BF44-1,"")</f>
      </c>
      <c r="BH46" s="107">
        <f>IFERROR(BH44/BG44-1,"")</f>
      </c>
      <c r="BI46" s="107">
        <f>IFERROR(BI44/BH44-1,"")</f>
      </c>
      <c r="BJ46" s="293"/>
      <c r="BK46" s="291">
        <f>IFERROR(BK44/BI44-1,"")</f>
      </c>
      <c r="BL46" s="107">
        <f>IFERROR(BL44/BK44-1,"")</f>
      </c>
      <c r="BM46" s="107">
        <f>IFERROR(BM44/BL44-1,"")</f>
      </c>
      <c r="BN46" s="107">
        <f>IFERROR(BN44/BM44-1,"")</f>
      </c>
      <c r="BO46" s="293"/>
      <c r="BP46" s="291">
        <f>IFERROR(BP44/BN44-1,"")</f>
      </c>
      <c r="BQ46" s="107">
        <f>IFERROR(BQ44/BP44-1,"")</f>
      </c>
      <c r="BR46" s="107">
        <f>IFERROR(BR44/BQ44-1,"")</f>
      </c>
      <c r="BS46" s="107">
        <f>IFERROR(BS44/BR44-1,"")</f>
      </c>
      <c r="BT46" s="293"/>
      <c r="BU46" s="291">
        <f>IFERROR(BU44/BS44-1,"")</f>
      </c>
      <c r="BV46" s="107">
        <f>IFERROR(BV44/BU44-1,"")</f>
      </c>
      <c r="BW46" s="107">
        <f>IFERROR(BW44/BV44-1,"")</f>
      </c>
      <c r="BX46" s="107">
        <f>IFERROR(BX44/BW44-1,"")</f>
      </c>
      <c r="BY46" s="293"/>
      <c r="BZ46" s="291">
        <f>IFERROR(BZ44/BX44-1,"")</f>
      </c>
      <c r="CA46" s="107">
        <f>IFERROR(CA44/BZ44-1,"")</f>
      </c>
      <c r="CB46" s="107">
        <f>IFERROR(CB44/CA44-1,"")</f>
      </c>
      <c r="CC46" s="107">
        <f>IFERROR(CC44/CB44-1,"")</f>
      </c>
      <c r="CD46" s="293"/>
      <c r="CE46" s="291">
        <f>IFERROR(CE44/CC44-1,"")</f>
      </c>
      <c r="CF46" s="107">
        <f>IFERROR(CF44/CE44-1,"")</f>
      </c>
      <c r="CG46" s="107">
        <f>IFERROR(CG44/CF44-1,"")</f>
      </c>
      <c r="CH46" s="107">
        <f>IFERROR(CH44/CG44-1,"")</f>
      </c>
      <c r="CI46" s="293"/>
      <c r="CJ46" s="291">
        <f>IFERROR(CJ44/CH44-1,"")</f>
      </c>
      <c r="CK46" s="107">
        <f>IFERROR(CK44/CJ44-1,"")</f>
      </c>
      <c r="CL46" s="107">
        <f>IFERROR(CL44/CK44-1,"")</f>
      </c>
      <c r="CM46" s="107">
        <f>IFERROR(CM44/CL44-1,"")</f>
      </c>
      <c r="CN46" s="293"/>
      <c r="CO46" s="291">
        <f>IFERROR(CO44/CM44-1,"")</f>
      </c>
      <c r="CP46" s="107">
        <f>IFERROR(CP44/CO44-1,"")</f>
      </c>
      <c r="CQ46" s="107">
        <f>IFERROR(CQ44/CP44-1,"")</f>
      </c>
      <c r="CR46" s="107">
        <f>IFERROR(CR44/CQ44-1,"")</f>
      </c>
      <c r="CS46" s="293"/>
      <c r="CT46" s="291">
        <f>IFERROR(CT44/CR44-1,"")</f>
      </c>
      <c r="CU46" s="107">
        <f>IFERROR(CU44/CT44-1,"")</f>
      </c>
      <c r="CV46" s="107">
        <f>IFERROR(CV44/CU44-1,"")</f>
      </c>
      <c r="CW46" s="107">
        <f>IFERROR(CW44/CV44-1,"")</f>
      </c>
      <c r="CX46" s="293"/>
      <c r="CY46" s="291">
        <f>IFERROR(CY44/CW44-1,"")</f>
      </c>
      <c r="CZ46" s="107">
        <f>IFERROR(CZ44/CY44-1,"")</f>
      </c>
      <c r="DA46" s="107">
        <f>IFERROR(DA44/CZ44-1,"")</f>
      </c>
      <c r="DB46" s="107">
        <f>IFERROR(DB44/DA44-1,"")</f>
      </c>
      <c r="DC46" s="293"/>
      <c r="DD46" s="291">
        <f>IFERROR(DD44/DB44-1,"")</f>
      </c>
      <c r="DE46" s="107">
        <f>IFERROR(DE44/DD44-1,"")</f>
      </c>
      <c r="DF46" s="107">
        <f>IFERROR(DF44/DE44-1,"")</f>
      </c>
      <c r="DG46" s="107">
        <f>IFERROR(DG44/DF44-1,"")</f>
      </c>
      <c r="DH46" s="293"/>
      <c r="DI46" s="291">
        <f>IFERROR(DI44/DG44-1,"")</f>
      </c>
      <c r="DJ46" s="107">
        <f>IFERROR(DJ44/DI44-1,"")</f>
      </c>
      <c r="DK46" s="107">
        <f>IFERROR(DK44/DJ44-1,"")</f>
      </c>
      <c r="DL46" s="107">
        <f>IFERROR(DL44/DK44-1,"")</f>
      </c>
      <c r="DM46" s="293"/>
      <c r="DN46" s="291">
        <f>IFERROR(DN44/DL44-1,"")</f>
      </c>
      <c r="DO46" s="107">
        <f>IFERROR(DO44/DN44-1,"")</f>
      </c>
      <c r="DP46" s="107">
        <f>IFERROR(DP44/DO44-1,"")</f>
      </c>
      <c r="DQ46" s="107">
        <f>IFERROR(DQ44/DP44-1,"")</f>
      </c>
      <c r="DR46" s="293"/>
      <c r="DS46" s="291">
        <f>IFERROR(DS44/DQ44-1,"")</f>
      </c>
      <c r="DT46" s="107">
        <f>IFERROR(DT44/DS44-1,"")</f>
      </c>
      <c r="DU46" s="107">
        <f>IFERROR(DU44/DT44-1,"")</f>
      </c>
      <c r="DV46" s="107">
        <f>IFERROR(DV44/DU44-1,"")</f>
      </c>
      <c r="DW46" s="293"/>
      <c r="DX46" s="291">
        <f>IFERROR(DX44/DV44-1,"")</f>
      </c>
      <c r="DY46" s="107">
        <f>IFERROR(DY44/DX44-1,"")</f>
      </c>
      <c r="DZ46" s="107">
        <f>IFERROR(DZ44/DY44-1,"")</f>
      </c>
      <c r="EA46" s="107">
        <f>IFERROR(EA44/DZ44-1,"")</f>
      </c>
      <c r="EB46" s="293"/>
      <c r="EC46" s="291">
        <f>IFERROR(EC44/EA44-1,"")</f>
      </c>
      <c r="ED46" s="107">
        <f>IFERROR(ED44/EC44-1,"")</f>
      </c>
      <c r="EE46" s="107">
        <f>IFERROR(EE44/ED44-1,"")</f>
      </c>
      <c r="EF46" s="107">
        <f>IFERROR(EF44/EE44-1,"")</f>
      </c>
      <c r="EG46" s="293"/>
      <c r="EH46" s="291">
        <f>IFERROR(EH44/EF44-1,"")</f>
      </c>
      <c r="EI46" s="107">
        <f>IFERROR(EI44/EH44-1,"")</f>
      </c>
      <c r="EJ46" s="107">
        <f>IFERROR(EJ44/EI44-1,"")</f>
      </c>
      <c r="EK46" s="107">
        <f>IFERROR(EK44/EJ44-1,"")</f>
      </c>
      <c r="EL46" s="293"/>
      <c r="EM46" s="291">
        <f>IFERROR(EM44/EK44-1,"")</f>
      </c>
      <c r="EN46" s="107">
        <f>IFERROR(EN44/EM44-1,"")</f>
      </c>
      <c r="EO46" s="107">
        <f>IFERROR(EO44/EN44-1,"")</f>
      </c>
      <c r="EP46" s="107">
        <f>IFERROR(EP44/EO44-1,"")</f>
      </c>
      <c r="EQ46" s="293"/>
      <c r="ER46" s="291">
        <f>IFERROR(ER44/EP44-1,"")</f>
      </c>
      <c r="ES46" s="107">
        <f>IFERROR(ES44/ER44-1,"")</f>
      </c>
      <c r="ET46" s="107">
        <f>IFERROR(ET44/ES44-1,"")</f>
      </c>
      <c r="EU46" s="107">
        <f>IFERROR(EU44/ET44-1,"")</f>
      </c>
      <c r="EV46" s="293"/>
      <c r="EW46" s="291">
        <f>IFERROR(EW44/EU44-1,"")</f>
      </c>
      <c r="EX46" s="107">
        <f>IFERROR(EX44/EW44-1,"")</f>
      </c>
      <c r="EY46" s="107">
        <f>IFERROR(EY44/EX44-1,"")</f>
      </c>
      <c r="EZ46" s="107">
        <f>IFERROR(EZ44/EY44-1,"")</f>
      </c>
      <c r="FA46" s="293"/>
      <c r="FB46" s="291">
        <f>IFERROR(FB44/EZ44-1,"")</f>
      </c>
      <c r="FC46" s="107">
        <f>IFERROR(FC44/FB44-1,"")</f>
      </c>
      <c r="FD46" s="107">
        <f>IFERROR(FD44/FC44-1,"")</f>
      </c>
      <c r="FE46" s="107">
        <f>IFERROR(FE44/FD44-1,"")</f>
      </c>
      <c r="FF46" s="293"/>
      <c r="FG46" s="291">
        <f>IFERROR(FG44/FE44-1,"")</f>
      </c>
      <c r="FH46" s="107">
        <f>IFERROR(FH44/FG44-1,"")</f>
      </c>
      <c r="FI46" s="107">
        <f>IFERROR(FI44/FH44-1,"")</f>
      </c>
      <c r="FJ46" s="107">
        <f>IFERROR(FJ44/FI44-1,"")</f>
      </c>
      <c r="FK46" s="293"/>
      <c r="FL46" s="291">
        <f>IFERROR(FL44/FJ44-1,"")</f>
      </c>
      <c r="FM46" s="107">
        <f>IFERROR(FM44/FL44-1,"")</f>
      </c>
      <c r="FN46" s="107">
        <f>IFERROR(FN44/FM44-1,"")</f>
      </c>
      <c r="FO46" s="107">
        <f>IFERROR(FO44/FN44-1,"")</f>
      </c>
      <c r="FP46" s="293"/>
      <c r="FQ46" s="291">
        <f>IFERROR(FQ44/FO44-1,"")</f>
      </c>
      <c r="FR46" s="107">
        <f>IFERROR(FR44/FQ44-1,"")</f>
      </c>
      <c r="FS46" s="107">
        <f>IFERROR(FS44/FR44-1,"")</f>
      </c>
      <c r="FT46" s="107">
        <f>IFERROR(FT44/FS44-1,"")</f>
      </c>
      <c r="FU46" s="293"/>
      <c r="FV46" s="291">
        <f>IFERROR(FV44/FT44-1,"")</f>
      </c>
      <c r="FW46" s="107">
        <f>IFERROR(FW44/FV44-1,"")</f>
      </c>
      <c r="FX46" s="107">
        <f>IFERROR(FX44/FW44-1,"")</f>
      </c>
      <c r="FY46" s="107">
        <f>IFERROR(FY44/FX44-1,"")</f>
      </c>
      <c r="FZ46" s="293"/>
      <c r="GA46" s="291">
        <f>IFERROR(GA44/FY44-1,"")</f>
      </c>
      <c r="GB46" s="107">
        <f>IFERROR(GB44/GA44-1,"")</f>
      </c>
      <c r="GC46" s="107">
        <f>IFERROR(GC44/GB44-1,"")</f>
      </c>
      <c r="GD46" s="107">
        <f>IFERROR(GD44/GC44-1,"")</f>
      </c>
      <c r="GE46" s="293"/>
    </row>
    <row r="47" spans="1:187" ht="12.75" customHeight="1" outlineLevel="1">
      <c r="B47" s="724"/>
      <c r="C47" s="98"/>
      <c r="D47" s="98"/>
      <c r="E47" s="98"/>
      <c r="F47" s="98"/>
      <c r="G47" s="99"/>
      <c r="H47" s="98"/>
      <c r="I47" s="98"/>
      <c r="J47" s="98"/>
      <c r="K47" s="98"/>
      <c r="L47" s="99"/>
      <c r="M47" s="98"/>
      <c r="N47" s="98"/>
      <c r="O47" s="98"/>
      <c r="P47" s="98"/>
      <c r="Q47" s="99"/>
      <c r="R47" s="98"/>
      <c r="S47" s="98"/>
      <c r="T47" s="98"/>
      <c r="U47" s="98"/>
      <c r="V47" s="99"/>
      <c r="W47" s="98"/>
      <c r="X47" s="98"/>
      <c r="Y47" s="98"/>
      <c r="Z47" s="98"/>
      <c r="AA47" s="99"/>
      <c r="AB47" s="98"/>
      <c r="AC47" s="98"/>
      <c r="AD47" s="98"/>
      <c r="AE47" s="98"/>
      <c r="AF47" s="99"/>
      <c r="AG47" s="98"/>
      <c r="AH47" s="98"/>
      <c r="AI47" s="98"/>
      <c r="AJ47" s="98"/>
      <c r="AK47" s="99"/>
      <c r="AL47" s="98"/>
      <c r="AM47" s="98"/>
      <c r="AN47" s="98"/>
      <c r="AO47" s="98"/>
      <c r="AP47" s="99"/>
      <c r="AQ47" s="98"/>
      <c r="AR47" s="98"/>
      <c r="AS47" s="98"/>
      <c r="AT47" s="98"/>
      <c r="AU47" s="99"/>
      <c r="AV47" s="98"/>
      <c r="AW47" s="98"/>
      <c r="AX47" s="98"/>
      <c r="AY47" s="98"/>
      <c r="AZ47" s="99"/>
      <c r="BA47" s="98"/>
      <c r="BB47" s="98"/>
      <c r="BC47" s="98"/>
      <c r="BD47" s="98"/>
      <c r="BE47" s="99"/>
      <c r="BF47" s="98"/>
      <c r="BG47" s="98"/>
      <c r="BH47" s="98"/>
      <c r="BI47" s="98"/>
      <c r="BJ47" s="99"/>
      <c r="BK47" s="98"/>
      <c r="BL47" s="98"/>
      <c r="BM47" s="98"/>
      <c r="BN47" s="98"/>
      <c r="BO47" s="99"/>
      <c r="BP47" s="98"/>
      <c r="BQ47" s="98"/>
      <c r="BR47" s="98"/>
      <c r="BS47" s="98"/>
      <c r="BT47" s="99"/>
      <c r="BU47" s="98"/>
      <c r="BV47" s="98"/>
      <c r="BW47" s="98"/>
      <c r="BX47" s="98"/>
      <c r="BY47" s="99"/>
      <c r="BZ47" s="98"/>
      <c r="CA47" s="98"/>
      <c r="CB47" s="98"/>
      <c r="CC47" s="98"/>
      <c r="CD47" s="99"/>
      <c r="CE47" s="98"/>
      <c r="CF47" s="98"/>
      <c r="CG47" s="98"/>
      <c r="CH47" s="98"/>
      <c r="CI47" s="99"/>
      <c r="CJ47" s="98"/>
      <c r="CK47" s="98"/>
      <c r="CL47" s="98"/>
      <c r="CM47" s="98"/>
      <c r="CN47" s="99"/>
      <c r="CO47" s="98"/>
      <c r="CP47" s="98"/>
      <c r="CQ47" s="98"/>
      <c r="CR47" s="98"/>
      <c r="CS47" s="99"/>
      <c r="CT47" s="98"/>
      <c r="CU47" s="98"/>
      <c r="CV47" s="98"/>
      <c r="CW47" s="98"/>
      <c r="CX47" s="99"/>
      <c r="CY47" s="98"/>
      <c r="CZ47" s="98"/>
      <c r="DA47" s="98"/>
      <c r="DB47" s="98"/>
      <c r="DC47" s="99"/>
      <c r="DD47" s="98"/>
      <c r="DE47" s="98"/>
      <c r="DF47" s="98"/>
      <c r="DG47" s="98"/>
      <c r="DH47" s="99"/>
      <c r="DI47" s="98"/>
      <c r="DJ47" s="98"/>
      <c r="DK47" s="98"/>
      <c r="DL47" s="98"/>
      <c r="DM47" s="99"/>
      <c r="DN47" s="98"/>
      <c r="DO47" s="98"/>
      <c r="DP47" s="98"/>
      <c r="DQ47" s="98"/>
      <c r="DR47" s="99"/>
      <c r="DS47" s="98"/>
      <c r="DT47" s="98"/>
      <c r="DU47" s="98"/>
      <c r="DV47" s="98"/>
      <c r="DW47" s="99"/>
      <c r="DX47" s="98"/>
      <c r="DY47" s="98"/>
      <c r="DZ47" s="98"/>
      <c r="EA47" s="98"/>
      <c r="EB47" s="99"/>
      <c r="EC47" s="98"/>
      <c r="ED47" s="98"/>
      <c r="EE47" s="98"/>
      <c r="EF47" s="98"/>
      <c r="EG47" s="99"/>
      <c r="EH47" s="98"/>
      <c r="EI47" s="98"/>
      <c r="EJ47" s="98"/>
      <c r="EK47" s="98"/>
      <c r="EL47" s="99"/>
      <c r="EM47" s="98"/>
      <c r="EN47" s="98"/>
      <c r="EO47" s="98"/>
      <c r="EP47" s="98"/>
      <c r="EQ47" s="99"/>
      <c r="ER47" s="98"/>
      <c r="ES47" s="98"/>
      <c r="ET47" s="98"/>
      <c r="EU47" s="98"/>
      <c r="EV47" s="99"/>
      <c r="EW47" s="98"/>
      <c r="EX47" s="98"/>
      <c r="EY47" s="98"/>
      <c r="EZ47" s="98"/>
      <c r="FA47" s="99"/>
      <c r="FB47" s="98"/>
      <c r="FC47" s="98"/>
      <c r="FD47" s="98"/>
      <c r="FE47" s="98"/>
      <c r="FF47" s="99"/>
      <c r="FG47" s="98"/>
      <c r="FH47" s="98"/>
      <c r="FI47" s="98"/>
      <c r="FJ47" s="98"/>
      <c r="FK47" s="99"/>
      <c r="FL47" s="98"/>
      <c r="FM47" s="98"/>
      <c r="FN47" s="98"/>
      <c r="FO47" s="98"/>
      <c r="FP47" s="99"/>
      <c r="FQ47" s="98"/>
      <c r="FR47" s="98"/>
      <c r="FS47" s="98"/>
      <c r="FT47" s="98"/>
      <c r="FU47" s="99"/>
      <c r="FV47" s="98"/>
      <c r="FW47" s="98"/>
      <c r="FX47" s="98"/>
      <c r="FY47" s="98"/>
      <c r="FZ47" s="99"/>
      <c r="GA47" s="98"/>
      <c r="GB47" s="98"/>
      <c r="GC47" s="98"/>
      <c r="GD47" s="98"/>
      <c r="GE47" s="99"/>
    </row>
    <row r="48" spans="1:187" s="236" customFormat="1" ht="12.75" customHeight="1" outlineLevel="1">
      <c r="A48" s="134"/>
      <c r="B48" s="684" t="s">
        <v>275</v>
      </c>
      <c r="C48" s="613"/>
      <c r="D48" s="613"/>
      <c r="E48" s="613"/>
      <c r="F48" s="613"/>
      <c r="G48" s="614"/>
      <c r="H48" s="615">
        <f>H19</f>
      </c>
      <c r="I48" s="615">
        <f>I19</f>
      </c>
      <c r="J48" s="615">
        <f>J19</f>
      </c>
      <c r="K48" s="615">
        <f>K19</f>
      </c>
      <c r="L48" s="610">
        <f>SUM(H48:K48)</f>
      </c>
      <c r="M48" s="615">
        <f>M19</f>
      </c>
      <c r="N48" s="615">
        <f>N19</f>
      </c>
      <c r="O48" s="615">
        <f>O19</f>
      </c>
      <c r="P48" s="615">
        <f>P19</f>
      </c>
      <c r="Q48" s="610">
        <f>SUM(M48:P48)</f>
      </c>
      <c r="R48" s="615">
        <f>R19</f>
      </c>
      <c r="S48" s="615">
        <f>S19</f>
      </c>
      <c r="T48" s="615">
        <f>T19</f>
      </c>
      <c r="U48" s="615">
        <f>U19</f>
      </c>
      <c r="V48" s="610">
        <f>SUM(R48:U48)</f>
      </c>
      <c r="W48" s="615">
        <f>W19</f>
      </c>
      <c r="X48" s="615">
        <f>X19</f>
      </c>
      <c r="Y48" s="615">
        <f>Y19</f>
      </c>
      <c r="Z48" s="615">
        <f>Z19</f>
      </c>
      <c r="AA48" s="610">
        <f>SUM(W48:Z48)</f>
      </c>
      <c r="AB48" s="615">
        <f>AB19</f>
      </c>
      <c r="AC48" s="615">
        <f>AC19</f>
      </c>
      <c r="AD48" s="615">
        <f>AD19</f>
      </c>
      <c r="AE48" s="615">
        <f>AE19</f>
      </c>
      <c r="AF48" s="610">
        <f>SUM(AB48:AE48)</f>
      </c>
      <c r="AG48" s="615">
        <f>AG19</f>
      </c>
      <c r="AH48" s="615">
        <f>AH19</f>
      </c>
      <c r="AI48" s="615">
        <f>AI19</f>
      </c>
      <c r="AJ48" s="615">
        <f>AJ19</f>
      </c>
      <c r="AK48" s="610">
        <f>SUM(AG48:AJ48)</f>
      </c>
      <c r="AL48" s="615">
        <f>AL19</f>
      </c>
      <c r="AM48" s="615">
        <f>AM19</f>
      </c>
      <c r="AN48" s="615">
        <f>AN19</f>
      </c>
      <c r="AO48" s="615">
        <f>AO19</f>
      </c>
      <c r="AP48" s="610">
        <f>SUM(AL48:AO48)</f>
      </c>
      <c r="AQ48" s="615">
        <f>AQ19</f>
      </c>
      <c r="AR48" s="615">
        <f>AR19</f>
      </c>
      <c r="AS48" s="615">
        <f>AS19</f>
      </c>
      <c r="AT48" s="615">
        <f>AT19</f>
      </c>
      <c r="AU48" s="610">
        <f>SUM(AQ48:AT48)</f>
      </c>
      <c r="AV48" s="615">
        <f>AV19</f>
      </c>
      <c r="AW48" s="615">
        <f>AW19</f>
      </c>
      <c r="AX48" s="615">
        <f>AX19</f>
      </c>
      <c r="AY48" s="615">
        <f>AY19</f>
      </c>
      <c r="AZ48" s="610">
        <f>SUM(AV48:AY48)</f>
      </c>
      <c r="BA48" s="615">
        <f>BA19</f>
      </c>
      <c r="BB48" s="615">
        <f>BB19</f>
      </c>
      <c r="BC48" s="615">
        <f>BC19</f>
      </c>
      <c r="BD48" s="615">
        <f>BD19</f>
      </c>
      <c r="BE48" s="610">
        <f>SUM(BA48:BD48)</f>
      </c>
      <c r="BF48" s="615">
        <f>BF19</f>
      </c>
      <c r="BG48" s="615">
        <f>BG19</f>
      </c>
      <c r="BH48" s="615">
        <f>BH19</f>
      </c>
      <c r="BI48" s="615">
        <f>BI19</f>
      </c>
      <c r="BJ48" s="610">
        <f>SUM(BF48:BI48)</f>
      </c>
      <c r="BK48" s="615">
        <f>BK19</f>
      </c>
      <c r="BL48" s="615">
        <f>BL19</f>
      </c>
      <c r="BM48" s="615">
        <f>BM19</f>
      </c>
      <c r="BN48" s="615">
        <f>BN19</f>
      </c>
      <c r="BO48" s="610">
        <f>SUM(BK48:BN48)</f>
      </c>
      <c r="BP48" s="615">
        <f>BP19</f>
      </c>
      <c r="BQ48" s="615">
        <f>BQ19</f>
      </c>
      <c r="BR48" s="615">
        <f>BR19</f>
      </c>
      <c r="BS48" s="615">
        <f>BS19</f>
      </c>
      <c r="BT48" s="610">
        <f>SUM(BP48:BS48)</f>
      </c>
      <c r="BU48" s="615">
        <f>BU19</f>
      </c>
      <c r="BV48" s="615">
        <f>BV19</f>
      </c>
      <c r="BW48" s="615">
        <f>BW19</f>
      </c>
      <c r="BX48" s="615">
        <f>BX19</f>
      </c>
      <c r="BY48" s="610">
        <f>SUM(BU48:BX48)</f>
      </c>
      <c r="BZ48" s="615">
        <f>BZ19</f>
      </c>
      <c r="CA48" s="615">
        <f>CA19</f>
      </c>
      <c r="CB48" s="615">
        <f>CB19</f>
      </c>
      <c r="CC48" s="615">
        <f>CC19</f>
      </c>
      <c r="CD48" s="610">
        <f>SUM(BZ48:CC48)</f>
      </c>
      <c r="CE48" s="615">
        <f>CE19</f>
      </c>
      <c r="CF48" s="615">
        <f>CF19</f>
      </c>
      <c r="CG48" s="615">
        <f>CG19</f>
      </c>
      <c r="CH48" s="615">
        <f>CH19</f>
      </c>
      <c r="CI48" s="610">
        <f>SUM(CE48:CH48)</f>
      </c>
      <c r="CJ48" s="615">
        <f>CJ19</f>
      </c>
      <c r="CK48" s="615">
        <f>CK19</f>
      </c>
      <c r="CL48" s="615">
        <f>CL19</f>
      </c>
      <c r="CM48" s="615">
        <f>CM19</f>
      </c>
      <c r="CN48" s="610">
        <f>SUM(CJ48:CM48)</f>
      </c>
      <c r="CO48" s="615">
        <f>CO19</f>
      </c>
      <c r="CP48" s="615">
        <f>CP19</f>
      </c>
      <c r="CQ48" s="615">
        <f>CQ19</f>
      </c>
      <c r="CR48" s="615">
        <f>CR19</f>
      </c>
      <c r="CS48" s="610">
        <f>SUM(CO48:CR48)</f>
      </c>
      <c r="CT48" s="615">
        <f>CT19</f>
      </c>
      <c r="CU48" s="615">
        <f>CU19</f>
      </c>
      <c r="CV48" s="615">
        <f>CV19</f>
      </c>
      <c r="CW48" s="615">
        <f>CW19</f>
      </c>
      <c r="CX48" s="610">
        <f>SUM(CT48:CW48)</f>
      </c>
      <c r="CY48" s="615">
        <f>CY19</f>
      </c>
      <c r="CZ48" s="615">
        <f>CZ19</f>
      </c>
      <c r="DA48" s="615">
        <f>DA19</f>
      </c>
      <c r="DB48" s="615">
        <f>DB19</f>
      </c>
      <c r="DC48" s="610">
        <f>SUM(CY48:DB48)</f>
      </c>
      <c r="DD48" s="615">
        <f>DD19</f>
      </c>
      <c r="DE48" s="615">
        <f>DE19</f>
      </c>
      <c r="DF48" s="615">
        <f>DF19</f>
      </c>
      <c r="DG48" s="615">
        <f>DG19</f>
      </c>
      <c r="DH48" s="610">
        <f>SUM(DD48:DG48)</f>
      </c>
      <c r="DI48" s="615">
        <f>DI19</f>
      </c>
      <c r="DJ48" s="615">
        <f>DJ19</f>
      </c>
      <c r="DK48" s="615">
        <f>DK19</f>
      </c>
      <c r="DL48" s="615">
        <f>DL19</f>
      </c>
      <c r="DM48" s="610">
        <f>SUM(DI48:DL48)</f>
      </c>
      <c r="DN48" s="615">
        <f>DN19</f>
      </c>
      <c r="DO48" s="615">
        <f>DO19</f>
      </c>
      <c r="DP48" s="615">
        <f>DP19</f>
      </c>
      <c r="DQ48" s="615">
        <f>DQ19</f>
      </c>
      <c r="DR48" s="610">
        <f>SUM(DN48:DQ48)</f>
      </c>
      <c r="DS48" s="615">
        <f>DS19</f>
      </c>
      <c r="DT48" s="615">
        <f>DT19</f>
      </c>
      <c r="DU48" s="615">
        <f>DU19</f>
      </c>
      <c r="DV48" s="615">
        <f>DV19</f>
      </c>
      <c r="DW48" s="610">
        <f>SUM(DS48:DV48)</f>
      </c>
      <c r="DX48" s="615">
        <f>DX19</f>
      </c>
      <c r="DY48" s="615">
        <f>DY19</f>
      </c>
      <c r="DZ48" s="615">
        <f>DZ19</f>
      </c>
      <c r="EA48" s="615">
        <f>EA19</f>
      </c>
      <c r="EB48" s="610">
        <f>SUM(DX48:EA48)</f>
      </c>
      <c r="EC48" s="615">
        <f>EC19</f>
      </c>
      <c r="ED48" s="615">
        <f>ED19</f>
      </c>
      <c r="EE48" s="615">
        <f>EE19</f>
      </c>
      <c r="EF48" s="615">
        <f>EF19</f>
      </c>
      <c r="EG48" s="610">
        <f>SUM(EC48:EF48)</f>
      </c>
      <c r="EH48" s="615">
        <f>EH19</f>
      </c>
      <c r="EI48" s="615">
        <f>EI19</f>
      </c>
      <c r="EJ48" s="615">
        <f>EJ19</f>
      </c>
      <c r="EK48" s="615">
        <f>EK19</f>
      </c>
      <c r="EL48" s="610">
        <f>SUM(EH48:EK48)</f>
      </c>
      <c r="EM48" s="615">
        <f>EM19</f>
      </c>
      <c r="EN48" s="615">
        <f>EN19</f>
      </c>
      <c r="EO48" s="615">
        <f>EO19</f>
      </c>
      <c r="EP48" s="615">
        <f>EP19</f>
      </c>
      <c r="EQ48" s="610">
        <f>SUM(EM48:EP48)</f>
      </c>
      <c r="ER48" s="615">
        <f>ER19</f>
      </c>
      <c r="ES48" s="615">
        <f>ES19</f>
      </c>
      <c r="ET48" s="615">
        <f>ET19</f>
      </c>
      <c r="EU48" s="615">
        <f>EU19</f>
      </c>
      <c r="EV48" s="610">
        <f>SUM(ER48:EU48)</f>
      </c>
      <c r="EW48" s="615">
        <f>EW19</f>
      </c>
      <c r="EX48" s="615">
        <f>EX19</f>
      </c>
      <c r="EY48" s="615">
        <f>EY19</f>
      </c>
      <c r="EZ48" s="615">
        <f>EZ19</f>
      </c>
      <c r="FA48" s="610">
        <f>SUM(EW48:EZ48)</f>
      </c>
      <c r="FB48" s="615">
        <f>FB19</f>
      </c>
      <c r="FC48" s="615">
        <f>FC19</f>
      </c>
      <c r="FD48" s="615">
        <f>FD19</f>
      </c>
      <c r="FE48" s="615">
        <f>FE19</f>
      </c>
      <c r="FF48" s="610">
        <f>SUM(FB48:FE48)</f>
      </c>
      <c r="FG48" s="615">
        <f>FG19</f>
      </c>
      <c r="FH48" s="615">
        <f>FH19</f>
      </c>
      <c r="FI48" s="615">
        <f>FI19</f>
      </c>
      <c r="FJ48" s="615">
        <f>FJ19</f>
      </c>
      <c r="FK48" s="610">
        <f>SUM(FG48:FJ48)</f>
      </c>
      <c r="FL48" s="615">
        <f>FL19</f>
      </c>
      <c r="FM48" s="615">
        <f>FM19</f>
      </c>
      <c r="FN48" s="615">
        <f>FN19</f>
      </c>
      <c r="FO48" s="615">
        <f>FO19</f>
      </c>
      <c r="FP48" s="610">
        <f>SUM(FL48:FO48)</f>
      </c>
      <c r="FQ48" s="615">
        <f>FQ19</f>
      </c>
      <c r="FR48" s="615">
        <f>FR19</f>
      </c>
      <c r="FS48" s="615">
        <f>FS19</f>
      </c>
      <c r="FT48" s="615">
        <f>FT19</f>
      </c>
      <c r="FU48" s="610">
        <f>SUM(FQ48:FT48)</f>
      </c>
      <c r="FV48" s="615">
        <f>FV19</f>
      </c>
      <c r="FW48" s="615">
        <f>FW19</f>
      </c>
      <c r="FX48" s="615">
        <f>FX19</f>
      </c>
      <c r="FY48" s="615">
        <f>FY19</f>
      </c>
      <c r="FZ48" s="610">
        <f>SUM(FV48:FY48)</f>
      </c>
      <c r="GA48" s="615">
        <f>GA19</f>
      </c>
      <c r="GB48" s="615">
        <f>GB19</f>
      </c>
      <c r="GC48" s="615">
        <f>GC19</f>
      </c>
      <c r="GD48" s="615">
        <f>GD19</f>
      </c>
      <c r="GE48" s="610">
        <f>SUM(GA48:GD48)</f>
      </c>
    </row>
    <row r="49" spans="1:187" s="328" customFormat="1" ht="12.75" customHeight="1" outlineLevel="1">
      <c r="A49" s="274"/>
      <c r="B49" s="714" t="s">
        <v>276</v>
      </c>
      <c r="C49" s="471">
        <f>C48+C10</f>
      </c>
      <c r="D49" s="606">
        <f t="shared" ref="D49:BO49" si="110">D48+D10</f>
      </c>
      <c r="E49" s="606">
        <f t="shared" si="110"/>
      </c>
      <c r="F49" s="606">
        <f t="shared" si="110"/>
      </c>
      <c r="G49" s="605">
        <f t="shared" si="110"/>
      </c>
      <c r="H49" s="471">
        <f t="shared" si="110"/>
      </c>
      <c r="I49" s="606">
        <f t="shared" si="110"/>
      </c>
      <c r="J49" s="606">
        <f t="shared" si="110"/>
      </c>
      <c r="K49" s="606">
        <f t="shared" si="110"/>
      </c>
      <c r="L49" s="605">
        <f t="shared" si="110"/>
      </c>
      <c r="M49" s="471">
        <f t="shared" si="110"/>
      </c>
      <c r="N49" s="606">
        <f t="shared" si="110"/>
      </c>
      <c r="O49" s="606">
        <f t="shared" si="110"/>
      </c>
      <c r="P49" s="606">
        <f t="shared" si="110"/>
      </c>
      <c r="Q49" s="605">
        <f t="shared" si="110"/>
      </c>
      <c r="R49" s="471">
        <f t="shared" si="110"/>
      </c>
      <c r="S49" s="606">
        <f t="shared" si="110"/>
      </c>
      <c r="T49" s="606">
        <f t="shared" si="110"/>
      </c>
      <c r="U49" s="606">
        <f t="shared" si="110"/>
      </c>
      <c r="V49" s="605">
        <f t="shared" si="110"/>
      </c>
      <c r="W49" s="471">
        <f t="shared" si="110"/>
      </c>
      <c r="X49" s="606">
        <f t="shared" si="110"/>
      </c>
      <c r="Y49" s="606">
        <f t="shared" si="110"/>
      </c>
      <c r="Z49" s="606">
        <f t="shared" si="110"/>
      </c>
      <c r="AA49" s="605">
        <f t="shared" si="110"/>
      </c>
      <c r="AB49" s="471">
        <f t="shared" si="110"/>
      </c>
      <c r="AC49" s="606">
        <f t="shared" si="110"/>
      </c>
      <c r="AD49" s="606">
        <f t="shared" si="110"/>
      </c>
      <c r="AE49" s="606">
        <f t="shared" si="110"/>
      </c>
      <c r="AF49" s="605">
        <f t="shared" si="110"/>
      </c>
      <c r="AG49" s="471">
        <f t="shared" si="110"/>
      </c>
      <c r="AH49" s="606">
        <f t="shared" si="110"/>
      </c>
      <c r="AI49" s="606">
        <f t="shared" si="110"/>
      </c>
      <c r="AJ49" s="606">
        <f t="shared" si="110"/>
      </c>
      <c r="AK49" s="605">
        <f t="shared" si="110"/>
      </c>
      <c r="AL49" s="471">
        <f t="shared" si="110"/>
      </c>
      <c r="AM49" s="606">
        <f t="shared" si="110"/>
      </c>
      <c r="AN49" s="606">
        <f t="shared" si="110"/>
      </c>
      <c r="AO49" s="606">
        <f t="shared" si="110"/>
      </c>
      <c r="AP49" s="605">
        <f t="shared" si="110"/>
      </c>
      <c r="AQ49" s="471">
        <f t="shared" si="110"/>
      </c>
      <c r="AR49" s="606">
        <f t="shared" si="110"/>
      </c>
      <c r="AS49" s="606">
        <f t="shared" si="110"/>
      </c>
      <c r="AT49" s="606">
        <f t="shared" si="110"/>
      </c>
      <c r="AU49" s="605">
        <f t="shared" si="110"/>
      </c>
      <c r="AV49" s="471">
        <f t="shared" si="110"/>
      </c>
      <c r="AW49" s="606">
        <f t="shared" si="110"/>
      </c>
      <c r="AX49" s="606">
        <f t="shared" si="110"/>
      </c>
      <c r="AY49" s="606">
        <f t="shared" si="110"/>
      </c>
      <c r="AZ49" s="605">
        <f t="shared" si="110"/>
      </c>
      <c r="BA49" s="471">
        <f t="shared" si="110"/>
      </c>
      <c r="BB49" s="606">
        <f t="shared" si="110"/>
      </c>
      <c r="BC49" s="606">
        <f t="shared" si="110"/>
      </c>
      <c r="BD49" s="606">
        <f t="shared" si="110"/>
      </c>
      <c r="BE49" s="605">
        <f t="shared" si="110"/>
      </c>
      <c r="BF49" s="471">
        <f t="shared" si="110"/>
      </c>
      <c r="BG49" s="606">
        <f t="shared" si="110"/>
      </c>
      <c r="BH49" s="606">
        <f t="shared" si="110"/>
      </c>
      <c r="BI49" s="606">
        <f t="shared" si="110"/>
      </c>
      <c r="BJ49" s="605">
        <f t="shared" si="110"/>
      </c>
      <c r="BK49" s="471">
        <f t="shared" si="110"/>
      </c>
      <c r="BL49" s="606">
        <f t="shared" si="110"/>
      </c>
      <c r="BM49" s="606">
        <f t="shared" si="110"/>
      </c>
      <c r="BN49" s="606">
        <f t="shared" si="110"/>
      </c>
      <c r="BO49" s="605">
        <f t="shared" si="110"/>
      </c>
      <c r="BP49" s="471">
        <f t="shared" ref="BP49:EA49" si="111">BP48+BP10</f>
      </c>
      <c r="BQ49" s="606">
        <f t="shared" si="111"/>
      </c>
      <c r="BR49" s="606">
        <f t="shared" si="111"/>
      </c>
      <c r="BS49" s="606">
        <f t="shared" si="111"/>
      </c>
      <c r="BT49" s="605">
        <f t="shared" si="111"/>
      </c>
      <c r="BU49" s="471">
        <f t="shared" si="111"/>
      </c>
      <c r="BV49" s="606">
        <f t="shared" si="111"/>
      </c>
      <c r="BW49" s="606">
        <f t="shared" si="111"/>
      </c>
      <c r="BX49" s="606">
        <f t="shared" si="111"/>
      </c>
      <c r="BY49" s="605">
        <f t="shared" si="111"/>
      </c>
      <c r="BZ49" s="471">
        <f t="shared" si="111"/>
      </c>
      <c r="CA49" s="606">
        <f t="shared" si="111"/>
      </c>
      <c r="CB49" s="606">
        <f t="shared" si="111"/>
      </c>
      <c r="CC49" s="606">
        <f t="shared" si="111"/>
      </c>
      <c r="CD49" s="605">
        <f t="shared" si="111"/>
      </c>
      <c r="CE49" s="471">
        <f t="shared" si="111"/>
      </c>
      <c r="CF49" s="606">
        <f t="shared" si="111"/>
      </c>
      <c r="CG49" s="606">
        <f t="shared" si="111"/>
      </c>
      <c r="CH49" s="606">
        <f t="shared" si="111"/>
      </c>
      <c r="CI49" s="605">
        <f t="shared" si="111"/>
      </c>
      <c r="CJ49" s="471">
        <f t="shared" si="111"/>
      </c>
      <c r="CK49" s="606">
        <f t="shared" si="111"/>
      </c>
      <c r="CL49" s="606">
        <f t="shared" si="111"/>
      </c>
      <c r="CM49" s="606">
        <f t="shared" si="111"/>
      </c>
      <c r="CN49" s="605">
        <f t="shared" si="111"/>
      </c>
      <c r="CO49" s="471">
        <f t="shared" si="111"/>
      </c>
      <c r="CP49" s="606">
        <f t="shared" si="111"/>
      </c>
      <c r="CQ49" s="606">
        <f t="shared" si="111"/>
      </c>
      <c r="CR49" s="606">
        <f t="shared" si="111"/>
      </c>
      <c r="CS49" s="605">
        <f t="shared" si="111"/>
      </c>
      <c r="CT49" s="471">
        <f t="shared" si="111"/>
      </c>
      <c r="CU49" s="606">
        <f t="shared" si="111"/>
      </c>
      <c r="CV49" s="606">
        <f t="shared" si="111"/>
      </c>
      <c r="CW49" s="606">
        <f t="shared" si="111"/>
      </c>
      <c r="CX49" s="605">
        <f t="shared" si="111"/>
      </c>
      <c r="CY49" s="471">
        <f t="shared" si="111"/>
      </c>
      <c r="CZ49" s="606">
        <f t="shared" si="111"/>
      </c>
      <c r="DA49" s="606">
        <f t="shared" si="111"/>
      </c>
      <c r="DB49" s="606">
        <f t="shared" si="111"/>
      </c>
      <c r="DC49" s="605">
        <f t="shared" si="111"/>
      </c>
      <c r="DD49" s="471">
        <f t="shared" si="111"/>
      </c>
      <c r="DE49" s="606">
        <f t="shared" si="111"/>
      </c>
      <c r="DF49" s="606">
        <f t="shared" si="111"/>
      </c>
      <c r="DG49" s="606">
        <f t="shared" si="111"/>
      </c>
      <c r="DH49" s="605">
        <f t="shared" si="111"/>
      </c>
      <c r="DI49" s="471">
        <f t="shared" si="111"/>
      </c>
      <c r="DJ49" s="606">
        <f t="shared" si="111"/>
      </c>
      <c r="DK49" s="606">
        <f t="shared" si="111"/>
      </c>
      <c r="DL49" s="606">
        <f t="shared" si="111"/>
      </c>
      <c r="DM49" s="605">
        <f t="shared" si="111"/>
      </c>
      <c r="DN49" s="471">
        <f t="shared" si="111"/>
      </c>
      <c r="DO49" s="606">
        <f t="shared" si="111"/>
      </c>
      <c r="DP49" s="606">
        <f t="shared" si="111"/>
      </c>
      <c r="DQ49" s="606">
        <f t="shared" si="111"/>
      </c>
      <c r="DR49" s="605">
        <f t="shared" si="111"/>
      </c>
      <c r="DS49" s="471">
        <f t="shared" si="111"/>
      </c>
      <c r="DT49" s="606">
        <f t="shared" si="111"/>
      </c>
      <c r="DU49" s="606">
        <f t="shared" si="111"/>
      </c>
      <c r="DV49" s="606">
        <f t="shared" si="111"/>
      </c>
      <c r="DW49" s="605">
        <f t="shared" si="111"/>
      </c>
      <c r="DX49" s="471">
        <f t="shared" si="111"/>
      </c>
      <c r="DY49" s="606">
        <f t="shared" si="111"/>
      </c>
      <c r="DZ49" s="606">
        <f t="shared" si="111"/>
      </c>
      <c r="EA49" s="606">
        <f t="shared" si="111"/>
      </c>
      <c r="EB49" s="605">
        <f t="shared" ref="EB49:FZ49" si="112">EB48+EB10</f>
      </c>
      <c r="EC49" s="471">
        <f t="shared" si="112"/>
      </c>
      <c r="ED49" s="606">
        <f t="shared" si="112"/>
      </c>
      <c r="EE49" s="606">
        <f t="shared" si="112"/>
      </c>
      <c r="EF49" s="606">
        <f t="shared" si="112"/>
      </c>
      <c r="EG49" s="605">
        <f t="shared" si="112"/>
      </c>
      <c r="EH49" s="471">
        <f t="shared" si="112"/>
      </c>
      <c r="EI49" s="606">
        <f t="shared" si="112"/>
      </c>
      <c r="EJ49" s="606">
        <f t="shared" si="112"/>
      </c>
      <c r="EK49" s="606">
        <f t="shared" si="112"/>
      </c>
      <c r="EL49" s="605">
        <f t="shared" si="112"/>
      </c>
      <c r="EM49" s="471">
        <f t="shared" si="112"/>
      </c>
      <c r="EN49" s="606">
        <f t="shared" si="112"/>
      </c>
      <c r="EO49" s="606">
        <f t="shared" si="112"/>
      </c>
      <c r="EP49" s="606">
        <f t="shared" si="112"/>
      </c>
      <c r="EQ49" s="605">
        <f t="shared" si="112"/>
      </c>
      <c r="ER49" s="471">
        <f t="shared" si="112"/>
      </c>
      <c r="ES49" s="606">
        <f>ES48+ES10</f>
      </c>
      <c r="ET49" s="606">
        <f>ET48+ET10</f>
      </c>
      <c r="EU49" s="606">
        <f>EU48+EU10</f>
      </c>
      <c r="EV49" s="605">
        <f>EV48+EV10</f>
      </c>
      <c r="EW49" s="471">
        <f t="shared" ref="EW49" si="113">EW48+EW10</f>
      </c>
      <c r="EX49" s="606">
        <f>EX48+EX10</f>
      </c>
      <c r="EY49" s="606">
        <f>EY48+EY10</f>
      </c>
      <c r="EZ49" s="606">
        <f>EZ48+EZ10</f>
      </c>
      <c r="FA49" s="605">
        <f>FA48+FA10</f>
      </c>
      <c r="FB49" s="471">
        <f t="shared" si="112"/>
      </c>
      <c r="FC49" s="606">
        <f t="shared" si="112"/>
      </c>
      <c r="FD49" s="606">
        <f t="shared" si="112"/>
      </c>
      <c r="FE49" s="606">
        <f t="shared" si="112"/>
      </c>
      <c r="FF49" s="605">
        <f t="shared" si="112"/>
      </c>
      <c r="FG49" s="471">
        <f t="shared" si="112"/>
      </c>
      <c r="FH49" s="606">
        <f t="shared" si="112"/>
      </c>
      <c r="FI49" s="606">
        <f t="shared" si="112"/>
      </c>
      <c r="FJ49" s="606">
        <f t="shared" si="112"/>
      </c>
      <c r="FK49" s="605">
        <f t="shared" si="112"/>
      </c>
      <c r="FL49" s="471">
        <f t="shared" si="112"/>
      </c>
      <c r="FM49" s="606">
        <f t="shared" si="112"/>
      </c>
      <c r="FN49" s="606">
        <f t="shared" si="112"/>
      </c>
      <c r="FO49" s="606">
        <f t="shared" si="112"/>
      </c>
      <c r="FP49" s="605">
        <f t="shared" si="112"/>
      </c>
      <c r="FQ49" s="471">
        <f t="shared" si="112"/>
      </c>
      <c r="FR49" s="606">
        <f t="shared" si="112"/>
      </c>
      <c r="FS49" s="606">
        <f t="shared" si="112"/>
      </c>
      <c r="FT49" s="606">
        <f t="shared" si="112"/>
      </c>
      <c r="FU49" s="605">
        <f t="shared" si="112"/>
      </c>
      <c r="FV49" s="471">
        <f t="shared" si="112"/>
      </c>
      <c r="FW49" s="606">
        <f t="shared" si="112"/>
      </c>
      <c r="FX49" s="606">
        <f t="shared" si="112"/>
      </c>
      <c r="FY49" s="606">
        <f t="shared" si="112"/>
      </c>
      <c r="FZ49" s="605">
        <f t="shared" si="112"/>
      </c>
      <c r="GA49" s="471">
        <f>GA48+GA10</f>
      </c>
      <c r="GB49" s="606">
        <f>GB48+GB10</f>
      </c>
      <c r="GC49" s="606">
        <f>GC48+GC10</f>
      </c>
      <c r="GD49" s="606">
        <f>GD48+GD10</f>
      </c>
      <c r="GE49" s="605">
        <f>GE48+GE10</f>
      </c>
    </row>
    <row r="50" spans="1:187" ht="12.75" customHeight="1" outlineLevel="1">
      <c r="B50" s="724" t="s">
        <v>34</v>
      </c>
      <c r="C50" s="291"/>
      <c r="D50" s="107"/>
      <c r="E50" s="107"/>
      <c r="F50" s="107"/>
      <c r="G50" s="536"/>
      <c r="H50" s="291">
        <f t="shared" ref="H50:AM50" si="114">IFERROR(H49/C49-1,"")</f>
      </c>
      <c r="I50" s="107">
        <f t="shared" si="114"/>
      </c>
      <c r="J50" s="107">
        <f t="shared" si="114"/>
      </c>
      <c r="K50" s="107">
        <f t="shared" si="114"/>
      </c>
      <c r="L50" s="292">
        <f t="shared" si="114"/>
      </c>
      <c r="M50" s="291">
        <f t="shared" si="114"/>
      </c>
      <c r="N50" s="107">
        <f t="shared" si="114"/>
      </c>
      <c r="O50" s="107">
        <f t="shared" si="114"/>
      </c>
      <c r="P50" s="107">
        <f t="shared" si="114"/>
      </c>
      <c r="Q50" s="292">
        <f t="shared" si="114"/>
      </c>
      <c r="R50" s="291">
        <f t="shared" si="114"/>
      </c>
      <c r="S50" s="107">
        <f t="shared" si="114"/>
      </c>
      <c r="T50" s="107">
        <f t="shared" si="114"/>
      </c>
      <c r="U50" s="107">
        <f t="shared" si="114"/>
      </c>
      <c r="V50" s="292">
        <f t="shared" si="114"/>
      </c>
      <c r="W50" s="291">
        <f t="shared" si="114"/>
      </c>
      <c r="X50" s="107">
        <f t="shared" si="114"/>
      </c>
      <c r="Y50" s="107">
        <f t="shared" si="114"/>
      </c>
      <c r="Z50" s="107">
        <f t="shared" si="114"/>
      </c>
      <c r="AA50" s="292">
        <f t="shared" si="114"/>
      </c>
      <c r="AB50" s="291">
        <f t="shared" si="114"/>
      </c>
      <c r="AC50" s="107">
        <f t="shared" si="114"/>
      </c>
      <c r="AD50" s="107">
        <f t="shared" si="114"/>
      </c>
      <c r="AE50" s="107">
        <f t="shared" si="114"/>
      </c>
      <c r="AF50" s="292">
        <f t="shared" si="114"/>
      </c>
      <c r="AG50" s="291">
        <f t="shared" si="114"/>
      </c>
      <c r="AH50" s="107">
        <f t="shared" si="114"/>
      </c>
      <c r="AI50" s="107">
        <f t="shared" si="114"/>
      </c>
      <c r="AJ50" s="107">
        <f t="shared" si="114"/>
      </c>
      <c r="AK50" s="292">
        <f t="shared" si="114"/>
      </c>
      <c r="AL50" s="291">
        <f t="shared" si="114"/>
      </c>
      <c r="AM50" s="107">
        <f t="shared" si="114"/>
      </c>
      <c r="AN50" s="107">
        <f t="shared" ref="AN50:BS50" si="115">IFERROR(AN49/AI49-1,"")</f>
      </c>
      <c r="AO50" s="107">
        <f t="shared" si="115"/>
      </c>
      <c r="AP50" s="292">
        <f t="shared" si="115"/>
      </c>
      <c r="AQ50" s="291">
        <f t="shared" si="115"/>
      </c>
      <c r="AR50" s="107">
        <f t="shared" si="115"/>
      </c>
      <c r="AS50" s="107">
        <f t="shared" si="115"/>
      </c>
      <c r="AT50" s="107">
        <f t="shared" si="115"/>
      </c>
      <c r="AU50" s="292">
        <f t="shared" si="115"/>
      </c>
      <c r="AV50" s="291">
        <f t="shared" si="115"/>
      </c>
      <c r="AW50" s="107">
        <f t="shared" si="115"/>
      </c>
      <c r="AX50" s="107">
        <f t="shared" si="115"/>
      </c>
      <c r="AY50" s="107">
        <f t="shared" si="115"/>
      </c>
      <c r="AZ50" s="292">
        <f t="shared" si="115"/>
      </c>
      <c r="BA50" s="291">
        <f t="shared" si="115"/>
      </c>
      <c r="BB50" s="107">
        <f t="shared" si="115"/>
      </c>
      <c r="BC50" s="107">
        <f t="shared" si="115"/>
      </c>
      <c r="BD50" s="107">
        <f t="shared" si="115"/>
      </c>
      <c r="BE50" s="292">
        <f t="shared" si="115"/>
      </c>
      <c r="BF50" s="291">
        <f t="shared" si="115"/>
      </c>
      <c r="BG50" s="107">
        <f t="shared" si="115"/>
      </c>
      <c r="BH50" s="107">
        <f t="shared" si="115"/>
      </c>
      <c r="BI50" s="107">
        <f t="shared" si="115"/>
      </c>
      <c r="BJ50" s="292">
        <f t="shared" si="115"/>
      </c>
      <c r="BK50" s="291">
        <f t="shared" si="115"/>
      </c>
      <c r="BL50" s="107">
        <f t="shared" si="115"/>
      </c>
      <c r="BM50" s="107">
        <f t="shared" si="115"/>
      </c>
      <c r="BN50" s="107">
        <f t="shared" si="115"/>
      </c>
      <c r="BO50" s="292">
        <f t="shared" si="115"/>
      </c>
      <c r="BP50" s="291">
        <f t="shared" si="115"/>
      </c>
      <c r="BQ50" s="107">
        <f t="shared" si="115"/>
      </c>
      <c r="BR50" s="107">
        <f t="shared" si="115"/>
      </c>
      <c r="BS50" s="107">
        <f t="shared" si="115"/>
      </c>
      <c r="BT50" s="292">
        <f t="shared" ref="BT50:CY50" si="116">IFERROR(BT49/BO49-1,"")</f>
      </c>
      <c r="BU50" s="291">
        <f t="shared" si="116"/>
      </c>
      <c r="BV50" s="107">
        <f t="shared" si="116"/>
      </c>
      <c r="BW50" s="107">
        <f t="shared" si="116"/>
      </c>
      <c r="BX50" s="107">
        <f t="shared" si="116"/>
      </c>
      <c r="BY50" s="292">
        <f t="shared" si="116"/>
      </c>
      <c r="BZ50" s="291">
        <f t="shared" si="116"/>
      </c>
      <c r="CA50" s="107">
        <f t="shared" si="116"/>
      </c>
      <c r="CB50" s="107">
        <f t="shared" si="116"/>
      </c>
      <c r="CC50" s="107">
        <f t="shared" si="116"/>
      </c>
      <c r="CD50" s="292">
        <f t="shared" si="116"/>
      </c>
      <c r="CE50" s="291">
        <f t="shared" si="116"/>
      </c>
      <c r="CF50" s="107">
        <f t="shared" si="116"/>
      </c>
      <c r="CG50" s="107">
        <f t="shared" si="116"/>
      </c>
      <c r="CH50" s="107">
        <f t="shared" si="116"/>
      </c>
      <c r="CI50" s="292">
        <f t="shared" si="116"/>
      </c>
      <c r="CJ50" s="291">
        <f t="shared" si="116"/>
      </c>
      <c r="CK50" s="107">
        <f t="shared" si="116"/>
      </c>
      <c r="CL50" s="107">
        <f t="shared" si="116"/>
      </c>
      <c r="CM50" s="107">
        <f t="shared" si="116"/>
      </c>
      <c r="CN50" s="292">
        <f t="shared" si="116"/>
      </c>
      <c r="CO50" s="291">
        <f t="shared" si="116"/>
      </c>
      <c r="CP50" s="107">
        <f t="shared" si="116"/>
      </c>
      <c r="CQ50" s="107">
        <f t="shared" si="116"/>
      </c>
      <c r="CR50" s="107">
        <f t="shared" si="116"/>
      </c>
      <c r="CS50" s="292">
        <f t="shared" si="116"/>
      </c>
      <c r="CT50" s="291">
        <f t="shared" si="116"/>
      </c>
      <c r="CU50" s="107">
        <f t="shared" si="116"/>
      </c>
      <c r="CV50" s="107">
        <f t="shared" si="116"/>
      </c>
      <c r="CW50" s="107">
        <f t="shared" si="116"/>
      </c>
      <c r="CX50" s="292">
        <f t="shared" si="116"/>
      </c>
      <c r="CY50" s="291">
        <f t="shared" si="116"/>
      </c>
      <c r="CZ50" s="107">
        <f t="shared" ref="CZ50:EE50" si="117">IFERROR(CZ49/CU49-1,"")</f>
      </c>
      <c r="DA50" s="107">
        <f t="shared" si="117"/>
      </c>
      <c r="DB50" s="107">
        <f t="shared" si="117"/>
      </c>
      <c r="DC50" s="292">
        <f t="shared" si="117"/>
      </c>
      <c r="DD50" s="291">
        <f t="shared" si="117"/>
      </c>
      <c r="DE50" s="107">
        <f t="shared" si="117"/>
      </c>
      <c r="DF50" s="107">
        <f t="shared" si="117"/>
      </c>
      <c r="DG50" s="107">
        <f t="shared" si="117"/>
      </c>
      <c r="DH50" s="292">
        <f t="shared" si="117"/>
      </c>
      <c r="DI50" s="291">
        <f t="shared" si="117"/>
      </c>
      <c r="DJ50" s="107">
        <f t="shared" si="117"/>
      </c>
      <c r="DK50" s="107">
        <f t="shared" si="117"/>
      </c>
      <c r="DL50" s="107">
        <f t="shared" si="117"/>
      </c>
      <c r="DM50" s="292">
        <f t="shared" si="117"/>
      </c>
      <c r="DN50" s="291">
        <f t="shared" si="117"/>
      </c>
      <c r="DO50" s="107">
        <f t="shared" si="117"/>
      </c>
      <c r="DP50" s="107">
        <f t="shared" si="117"/>
      </c>
      <c r="DQ50" s="107">
        <f t="shared" si="117"/>
      </c>
      <c r="DR50" s="292">
        <f t="shared" si="117"/>
      </c>
      <c r="DS50" s="291">
        <f t="shared" si="117"/>
      </c>
      <c r="DT50" s="107">
        <f t="shared" si="117"/>
      </c>
      <c r="DU50" s="107">
        <f t="shared" si="117"/>
      </c>
      <c r="DV50" s="107">
        <f t="shared" si="117"/>
      </c>
      <c r="DW50" s="292">
        <f t="shared" si="117"/>
      </c>
      <c r="DX50" s="291">
        <f t="shared" si="117"/>
      </c>
      <c r="DY50" s="107">
        <f t="shared" si="117"/>
      </c>
      <c r="DZ50" s="107">
        <f t="shared" si="117"/>
      </c>
      <c r="EA50" s="107">
        <f t="shared" si="117"/>
      </c>
      <c r="EB50" s="292">
        <f t="shared" si="117"/>
      </c>
      <c r="EC50" s="291">
        <f t="shared" si="117"/>
      </c>
      <c r="ED50" s="107">
        <f t="shared" si="117"/>
      </c>
      <c r="EE50" s="107">
        <f t="shared" si="117"/>
      </c>
      <c r="EF50" s="107">
        <f t="shared" ref="EF50:FK50" si="118">IFERROR(EF49/EA49-1,"")</f>
      </c>
      <c r="EG50" s="292">
        <f t="shared" si="118"/>
      </c>
      <c r="EH50" s="291">
        <f t="shared" si="118"/>
      </c>
      <c r="EI50" s="107">
        <f t="shared" si="118"/>
      </c>
      <c r="EJ50" s="107">
        <f t="shared" si="118"/>
      </c>
      <c r="EK50" s="107">
        <f t="shared" si="118"/>
      </c>
      <c r="EL50" s="292">
        <f t="shared" si="118"/>
      </c>
      <c r="EM50" s="291">
        <f t="shared" si="118"/>
      </c>
      <c r="EN50" s="107">
        <f t="shared" si="118"/>
      </c>
      <c r="EO50" s="107">
        <f t="shared" si="118"/>
      </c>
      <c r="EP50" s="107">
        <f t="shared" si="118"/>
      </c>
      <c r="EQ50" s="292">
        <f t="shared" si="118"/>
      </c>
      <c r="ER50" s="291">
        <f t="shared" si="118"/>
      </c>
      <c r="ES50" s="107">
        <f t="shared" si="118"/>
      </c>
      <c r="ET50" s="107">
        <f t="shared" si="118"/>
      </c>
      <c r="EU50" s="107">
        <f>IFERROR(EU49/EP49-1,"")</f>
      </c>
      <c r="EV50" s="292">
        <f>IFERROR(EV49/EQ49-1,"")</f>
      </c>
      <c r="EW50" s="291">
        <f t="shared" si="118"/>
      </c>
      <c r="EX50" s="107">
        <f t="shared" si="118"/>
      </c>
      <c r="EY50" s="107">
        <f t="shared" si="118"/>
      </c>
      <c r="EZ50" s="107">
        <f>IFERROR(EZ49/EU49-1,"")</f>
      </c>
      <c r="FA50" s="292">
        <f>IFERROR(FA49/EV49-1,"")</f>
      </c>
      <c r="FB50" s="291">
        <f t="shared" si="118"/>
      </c>
      <c r="FC50" s="107">
        <f t="shared" si="118"/>
      </c>
      <c r="FD50" s="107">
        <f t="shared" si="118"/>
      </c>
      <c r="FE50" s="107">
        <f t="shared" si="118"/>
      </c>
      <c r="FF50" s="292">
        <f t="shared" si="118"/>
      </c>
      <c r="FG50" s="291">
        <f t="shared" si="118"/>
      </c>
      <c r="FH50" s="107">
        <f t="shared" si="118"/>
      </c>
      <c r="FI50" s="107">
        <f t="shared" si="118"/>
      </c>
      <c r="FJ50" s="107">
        <f t="shared" si="118"/>
      </c>
      <c r="FK50" s="292">
        <f t="shared" si="118"/>
      </c>
      <c r="FL50" s="291">
        <f t="shared" ref="FL50:FZ50" si="119">IFERROR(FL49/FG49-1,"")</f>
      </c>
      <c r="FM50" s="107">
        <f t="shared" si="119"/>
      </c>
      <c r="FN50" s="107">
        <f t="shared" si="119"/>
      </c>
      <c r="FO50" s="107">
        <f t="shared" si="119"/>
      </c>
      <c r="FP50" s="292">
        <f t="shared" si="119"/>
      </c>
      <c r="FQ50" s="291">
        <f t="shared" si="119"/>
      </c>
      <c r="FR50" s="107">
        <f t="shared" si="119"/>
      </c>
      <c r="FS50" s="107">
        <f t="shared" si="119"/>
      </c>
      <c r="FT50" s="107">
        <f t="shared" si="119"/>
      </c>
      <c r="FU50" s="292">
        <f t="shared" si="119"/>
      </c>
      <c r="FV50" s="291">
        <f t="shared" si="119"/>
      </c>
      <c r="FW50" s="107">
        <f t="shared" si="119"/>
      </c>
      <c r="FX50" s="107">
        <f t="shared" si="119"/>
      </c>
      <c r="FY50" s="107">
        <f t="shared" si="119"/>
      </c>
      <c r="FZ50" s="292">
        <f t="shared" si="119"/>
      </c>
      <c r="GA50" s="291">
        <f>IFERROR(GA49/FV49-1,"")</f>
      </c>
      <c r="GB50" s="107">
        <f>IFERROR(GB49/FW49-1,"")</f>
      </c>
      <c r="GC50" s="107">
        <f>IFERROR(GC49/FX49-1,"")</f>
      </c>
      <c r="GD50" s="107">
        <f>IFERROR(GD49/FY49-1,"")</f>
      </c>
      <c r="GE50" s="292">
        <f>IFERROR(GE49/FZ49-1,"")</f>
      </c>
    </row>
    <row r="51" spans="1:187" ht="12.75" customHeight="1" outlineLevel="1">
      <c r="B51" s="724" t="s">
        <v>36</v>
      </c>
      <c r="C51" s="291"/>
      <c r="D51" s="137"/>
      <c r="E51" s="137"/>
      <c r="F51" s="137"/>
      <c r="G51" s="538"/>
      <c r="H51" s="291">
        <f>IFERROR(H49/F49-1,"")</f>
      </c>
      <c r="I51" s="107">
        <f>IFERROR(I49/H49-1,"")</f>
      </c>
      <c r="J51" s="107">
        <f>IFERROR(J49/I49-1,"")</f>
      </c>
      <c r="K51" s="107">
        <f>IFERROR(K49/J49-1,"")</f>
      </c>
      <c r="L51" s="293"/>
      <c r="M51" s="291">
        <f>IFERROR(M49/K49-1,"")</f>
      </c>
      <c r="N51" s="107">
        <f>IFERROR(N49/M49-1,"")</f>
      </c>
      <c r="O51" s="107">
        <f>IFERROR(O49/N49-1,"")</f>
      </c>
      <c r="P51" s="107">
        <f>IFERROR(P49/O49-1,"")</f>
      </c>
      <c r="Q51" s="293"/>
      <c r="R51" s="291">
        <f>IFERROR(R49/P49-1,"")</f>
      </c>
      <c r="S51" s="107">
        <f>IFERROR(S49/R49-1,"")</f>
      </c>
      <c r="T51" s="107">
        <f>IFERROR(T49/S49-1,"")</f>
      </c>
      <c r="U51" s="107">
        <f>IFERROR(U49/T49-1,"")</f>
      </c>
      <c r="V51" s="293"/>
      <c r="W51" s="291">
        <f>IFERROR(W49/U49-1,"")</f>
      </c>
      <c r="X51" s="107">
        <f>IFERROR(X49/W49-1,"")</f>
      </c>
      <c r="Y51" s="107">
        <f>IFERROR(Y49/X49-1,"")</f>
      </c>
      <c r="Z51" s="107">
        <f>IFERROR(Z49/Y49-1,"")</f>
      </c>
      <c r="AA51" s="293"/>
      <c r="AB51" s="291">
        <f>IFERROR(AB49/Z49-1,"")</f>
      </c>
      <c r="AC51" s="107">
        <f>IFERROR(AC49/AB49-1,"")</f>
      </c>
      <c r="AD51" s="107">
        <f>IFERROR(AD49/AC49-1,"")</f>
      </c>
      <c r="AE51" s="107">
        <f>IFERROR(AE49/AD49-1,"")</f>
      </c>
      <c r="AF51" s="293"/>
      <c r="AG51" s="291">
        <f>IFERROR(AG49/AE49-1,"")</f>
      </c>
      <c r="AH51" s="107">
        <f>IFERROR(AH49/AG49-1,"")</f>
      </c>
      <c r="AI51" s="107">
        <f>IFERROR(AI49/AH49-1,"")</f>
      </c>
      <c r="AJ51" s="107">
        <f>IFERROR(AJ49/AI49-1,"")</f>
      </c>
      <c r="AK51" s="293"/>
      <c r="AL51" s="291">
        <f>IFERROR(AL49/AJ49-1,"")</f>
      </c>
      <c r="AM51" s="107">
        <f>IFERROR(AM49/AL49-1,"")</f>
      </c>
      <c r="AN51" s="107">
        <f>IFERROR(AN49/AM49-1,"")</f>
      </c>
      <c r="AO51" s="107">
        <f>IFERROR(AO49/AN49-1,"")</f>
      </c>
      <c r="AP51" s="293"/>
      <c r="AQ51" s="291">
        <f>IFERROR(AQ49/AO49-1,"")</f>
      </c>
      <c r="AR51" s="107">
        <f>IFERROR(AR49/AQ49-1,"")</f>
      </c>
      <c r="AS51" s="107">
        <f>IFERROR(AS49/AR49-1,"")</f>
      </c>
      <c r="AT51" s="107">
        <f>IFERROR(AT49/AS49-1,"")</f>
      </c>
      <c r="AU51" s="293"/>
      <c r="AV51" s="291">
        <f>IFERROR(AV49/AT49-1,"")</f>
      </c>
      <c r="AW51" s="107">
        <f>IFERROR(AW49/AV49-1,"")</f>
      </c>
      <c r="AX51" s="107">
        <f>IFERROR(AX49/AW49-1,"")</f>
      </c>
      <c r="AY51" s="107">
        <f>IFERROR(AY49/AX49-1,"")</f>
      </c>
      <c r="AZ51" s="293"/>
      <c r="BA51" s="291">
        <f>IFERROR(BA49/AY49-1,"")</f>
      </c>
      <c r="BB51" s="107">
        <f>IFERROR(BB49/BA49-1,"")</f>
      </c>
      <c r="BC51" s="107">
        <f>IFERROR(BC49/BB49-1,"")</f>
      </c>
      <c r="BD51" s="107">
        <f>IFERROR(BD49/BC49-1,"")</f>
      </c>
      <c r="BE51" s="293"/>
      <c r="BF51" s="291">
        <f>IFERROR(BF49/BD49-1,"")</f>
      </c>
      <c r="BG51" s="107">
        <f>IFERROR(BG49/BF49-1,"")</f>
      </c>
      <c r="BH51" s="107">
        <f>IFERROR(BH49/BG49-1,"")</f>
      </c>
      <c r="BI51" s="107">
        <f>IFERROR(BI49/BH49-1,"")</f>
      </c>
      <c r="BJ51" s="293"/>
      <c r="BK51" s="291">
        <f>IFERROR(BK49/BI49-1,"")</f>
      </c>
      <c r="BL51" s="107">
        <f>IFERROR(BL49/BK49-1,"")</f>
      </c>
      <c r="BM51" s="107">
        <f>IFERROR(BM49/BL49-1,"")</f>
      </c>
      <c r="BN51" s="107">
        <f>IFERROR(BN49/BM49-1,"")</f>
      </c>
      <c r="BO51" s="293"/>
      <c r="BP51" s="291">
        <f>IFERROR(BP49/BN49-1,"")</f>
      </c>
      <c r="BQ51" s="107">
        <f>IFERROR(BQ49/BP49-1,"")</f>
      </c>
      <c r="BR51" s="107">
        <f>IFERROR(BR49/BQ49-1,"")</f>
      </c>
      <c r="BS51" s="107">
        <f>IFERROR(BS49/BR49-1,"")</f>
      </c>
      <c r="BT51" s="293"/>
      <c r="BU51" s="291">
        <f>IFERROR(BU49/BS49-1,"")</f>
      </c>
      <c r="BV51" s="107">
        <f>IFERROR(BV49/BU49-1,"")</f>
      </c>
      <c r="BW51" s="107">
        <f>IFERROR(BW49/BV49-1,"")</f>
      </c>
      <c r="BX51" s="107">
        <f>IFERROR(BX49/BW49-1,"")</f>
      </c>
      <c r="BY51" s="293"/>
      <c r="BZ51" s="291">
        <f>IFERROR(BZ49/BX49-1,"")</f>
      </c>
      <c r="CA51" s="107">
        <f>IFERROR(CA49/BZ49-1,"")</f>
      </c>
      <c r="CB51" s="107">
        <f>IFERROR(CB49/CA49-1,"")</f>
      </c>
      <c r="CC51" s="107">
        <f>IFERROR(CC49/CB49-1,"")</f>
      </c>
      <c r="CD51" s="293"/>
      <c r="CE51" s="291">
        <f>IFERROR(CE49/CC49-1,"")</f>
      </c>
      <c r="CF51" s="107">
        <f>IFERROR(CF49/CE49-1,"")</f>
      </c>
      <c r="CG51" s="107">
        <f>IFERROR(CG49/CF49-1,"")</f>
      </c>
      <c r="CH51" s="107">
        <f>IFERROR(CH49/CG49-1,"")</f>
      </c>
      <c r="CI51" s="293"/>
      <c r="CJ51" s="291">
        <f>IFERROR(CJ49/CH49-1,"")</f>
      </c>
      <c r="CK51" s="107">
        <f>IFERROR(CK49/CJ49-1,"")</f>
      </c>
      <c r="CL51" s="107">
        <f>IFERROR(CL49/CK49-1,"")</f>
      </c>
      <c r="CM51" s="107">
        <f>IFERROR(CM49/CL49-1,"")</f>
      </c>
      <c r="CN51" s="293"/>
      <c r="CO51" s="291">
        <f>IFERROR(CO49/CM49-1,"")</f>
      </c>
      <c r="CP51" s="107">
        <f>IFERROR(CP49/CO49-1,"")</f>
      </c>
      <c r="CQ51" s="107">
        <f>IFERROR(CQ49/CP49-1,"")</f>
      </c>
      <c r="CR51" s="107">
        <f>IFERROR(CR49/CQ49-1,"")</f>
      </c>
      <c r="CS51" s="293"/>
      <c r="CT51" s="291">
        <f>IFERROR(CT49/CR49-1,"")</f>
      </c>
      <c r="CU51" s="107">
        <f>IFERROR(CU49/CT49-1,"")</f>
      </c>
      <c r="CV51" s="107">
        <f>IFERROR(CV49/CU49-1,"")</f>
      </c>
      <c r="CW51" s="107">
        <f>IFERROR(CW49/CV49-1,"")</f>
      </c>
      <c r="CX51" s="293"/>
      <c r="CY51" s="291">
        <f>IFERROR(CY49/CW49-1,"")</f>
      </c>
      <c r="CZ51" s="107">
        <f>IFERROR(CZ49/CY49-1,"")</f>
      </c>
      <c r="DA51" s="107">
        <f>IFERROR(DA49/CZ49-1,"")</f>
      </c>
      <c r="DB51" s="107">
        <f>IFERROR(DB49/DA49-1,"")</f>
      </c>
      <c r="DC51" s="293"/>
      <c r="DD51" s="291">
        <f>IFERROR(DD49/DB49-1,"")</f>
      </c>
      <c r="DE51" s="107">
        <f>IFERROR(DE49/DD49-1,"")</f>
      </c>
      <c r="DF51" s="107">
        <f>IFERROR(DF49/DE49-1,"")</f>
      </c>
      <c r="DG51" s="107">
        <f>IFERROR(DG49/DF49-1,"")</f>
      </c>
      <c r="DH51" s="293"/>
      <c r="DI51" s="291">
        <f>IFERROR(DI49/DG49-1,"")</f>
      </c>
      <c r="DJ51" s="107">
        <f>IFERROR(DJ49/DI49-1,"")</f>
      </c>
      <c r="DK51" s="107">
        <f>IFERROR(DK49/DJ49-1,"")</f>
      </c>
      <c r="DL51" s="107">
        <f>IFERROR(DL49/DK49-1,"")</f>
      </c>
      <c r="DM51" s="293"/>
      <c r="DN51" s="291">
        <f>IFERROR(DN49/DL49-1,"")</f>
      </c>
      <c r="DO51" s="107">
        <f>IFERROR(DO49/DN49-1,"")</f>
      </c>
      <c r="DP51" s="107">
        <f>IFERROR(DP49/DO49-1,"")</f>
      </c>
      <c r="DQ51" s="107">
        <f>IFERROR(DQ49/DP49-1,"")</f>
      </c>
      <c r="DR51" s="293"/>
      <c r="DS51" s="291">
        <f>IFERROR(DS49/DQ49-1,"")</f>
      </c>
      <c r="DT51" s="107">
        <f>IFERROR(DT49/DS49-1,"")</f>
      </c>
      <c r="DU51" s="107">
        <f>IFERROR(DU49/DT49-1,"")</f>
      </c>
      <c r="DV51" s="107">
        <f>IFERROR(DV49/DU49-1,"")</f>
      </c>
      <c r="DW51" s="293"/>
      <c r="DX51" s="291">
        <f>IFERROR(DX49/DV49-1,"")</f>
      </c>
      <c r="DY51" s="107">
        <f>IFERROR(DY49/DX49-1,"")</f>
      </c>
      <c r="DZ51" s="107">
        <f>IFERROR(DZ49/DY49-1,"")</f>
      </c>
      <c r="EA51" s="107">
        <f>IFERROR(EA49/DZ49-1,"")</f>
      </c>
      <c r="EB51" s="293"/>
      <c r="EC51" s="291">
        <f>IFERROR(EC49/EA49-1,"")</f>
      </c>
      <c r="ED51" s="107">
        <f>IFERROR(ED49/EC49-1,"")</f>
      </c>
      <c r="EE51" s="107">
        <f>IFERROR(EE49/ED49-1,"")</f>
      </c>
      <c r="EF51" s="107">
        <f>IFERROR(EF49/EE49-1,"")</f>
      </c>
      <c r="EG51" s="293"/>
      <c r="EH51" s="291">
        <f>IFERROR(EH49/EF49-1,"")</f>
      </c>
      <c r="EI51" s="107">
        <f>IFERROR(EI49/EH49-1,"")</f>
      </c>
      <c r="EJ51" s="107">
        <f>IFERROR(EJ49/EI49-1,"")</f>
      </c>
      <c r="EK51" s="107">
        <f>IFERROR(EK49/EJ49-1,"")</f>
      </c>
      <c r="EL51" s="293"/>
      <c r="EM51" s="291">
        <f>IFERROR(EM49/EK49-1,"")</f>
      </c>
      <c r="EN51" s="107">
        <f>IFERROR(EN49/EM49-1,"")</f>
      </c>
      <c r="EO51" s="107">
        <f>IFERROR(EO49/EN49-1,"")</f>
      </c>
      <c r="EP51" s="107">
        <f>IFERROR(EP49/EO49-1,"")</f>
      </c>
      <c r="EQ51" s="293"/>
      <c r="ER51" s="291">
        <f>IFERROR(ER49/EP49-1,"")</f>
      </c>
      <c r="ES51" s="107">
        <f>IFERROR(ES49/ER49-1,"")</f>
      </c>
      <c r="ET51" s="107">
        <f>IFERROR(ET49/ES49-1,"")</f>
      </c>
      <c r="EU51" s="107">
        <f>IFERROR(EU49/ET49-1,"")</f>
      </c>
      <c r="EV51" s="293"/>
      <c r="EW51" s="291">
        <f>IFERROR(EW49/EU49-1,"")</f>
      </c>
      <c r="EX51" s="107">
        <f>IFERROR(EX49/EW49-1,"")</f>
      </c>
      <c r="EY51" s="107">
        <f>IFERROR(EY49/EX49-1,"")</f>
      </c>
      <c r="EZ51" s="107">
        <f>IFERROR(EZ49/EY49-1,"")</f>
      </c>
      <c r="FA51" s="293"/>
      <c r="FB51" s="291">
        <f>IFERROR(FB49/EZ49-1,"")</f>
      </c>
      <c r="FC51" s="107">
        <f>IFERROR(FC49/FB49-1,"")</f>
      </c>
      <c r="FD51" s="107">
        <f>IFERROR(FD49/FC49-1,"")</f>
      </c>
      <c r="FE51" s="107">
        <f>IFERROR(FE49/FD49-1,"")</f>
      </c>
      <c r="FF51" s="293"/>
      <c r="FG51" s="291">
        <f>IFERROR(FG49/FE49-1,"")</f>
      </c>
      <c r="FH51" s="107">
        <f>IFERROR(FH49/FG49-1,"")</f>
      </c>
      <c r="FI51" s="107">
        <f>IFERROR(FI49/FH49-1,"")</f>
      </c>
      <c r="FJ51" s="107">
        <f>IFERROR(FJ49/FI49-1,"")</f>
      </c>
      <c r="FK51" s="293"/>
      <c r="FL51" s="291">
        <f>IFERROR(FL49/FJ49-1,"")</f>
      </c>
      <c r="FM51" s="107">
        <f>IFERROR(FM49/FL49-1,"")</f>
      </c>
      <c r="FN51" s="107">
        <f>IFERROR(FN49/FM49-1,"")</f>
      </c>
      <c r="FO51" s="107">
        <f>IFERROR(FO49/FN49-1,"")</f>
      </c>
      <c r="FP51" s="293"/>
      <c r="FQ51" s="291">
        <f>IFERROR(FQ49/FO49-1,"")</f>
      </c>
      <c r="FR51" s="107">
        <f>IFERROR(FR49/FQ49-1,"")</f>
      </c>
      <c r="FS51" s="107">
        <f>IFERROR(FS49/FR49-1,"")</f>
      </c>
      <c r="FT51" s="107">
        <f>IFERROR(FT49/FS49-1,"")</f>
      </c>
      <c r="FU51" s="293"/>
      <c r="FV51" s="291">
        <f>IFERROR(FV49/FT49-1,"")</f>
      </c>
      <c r="FW51" s="107">
        <f>IFERROR(FW49/FV49-1,"")</f>
      </c>
      <c r="FX51" s="107">
        <f>IFERROR(FX49/FW49-1,"")</f>
      </c>
      <c r="FY51" s="107">
        <f>IFERROR(FY49/FX49-1,"")</f>
      </c>
      <c r="FZ51" s="293"/>
      <c r="GA51" s="291">
        <f>IFERROR(GA49/FY49-1,"")</f>
      </c>
      <c r="GB51" s="107">
        <f>IFERROR(GB49/GA49-1,"")</f>
      </c>
      <c r="GC51" s="107">
        <f>IFERROR(GC49/GB49-1,"")</f>
      </c>
      <c r="GD51" s="107">
        <f>IFERROR(GD49/GC49-1,"")</f>
      </c>
      <c r="GE51" s="293"/>
    </row>
    <row r="52" spans="1:187" ht="12.75" customHeight="1" outlineLevel="1">
      <c r="B52" s="719"/>
      <c r="C52" s="98"/>
      <c r="D52" s="98"/>
      <c r="E52" s="98"/>
      <c r="F52" s="98"/>
      <c r="G52" s="99"/>
      <c r="H52" s="98"/>
      <c r="I52" s="98"/>
      <c r="J52" s="98"/>
      <c r="K52" s="98"/>
      <c r="L52" s="99"/>
      <c r="M52" s="98"/>
      <c r="N52" s="98"/>
      <c r="O52" s="98"/>
      <c r="P52" s="98"/>
      <c r="Q52" s="99"/>
      <c r="R52" s="98"/>
      <c r="S52" s="98"/>
      <c r="T52" s="98"/>
      <c r="U52" s="98"/>
      <c r="V52" s="99"/>
      <c r="W52" s="98"/>
      <c r="X52" s="98"/>
      <c r="Y52" s="98"/>
      <c r="Z52" s="98"/>
      <c r="AA52" s="99"/>
      <c r="AB52" s="98"/>
      <c r="AC52" s="98"/>
      <c r="AD52" s="98"/>
      <c r="AE52" s="98"/>
      <c r="AF52" s="99"/>
      <c r="AG52" s="98"/>
      <c r="AH52" s="98"/>
      <c r="AI52" s="98"/>
      <c r="AJ52" s="98"/>
      <c r="AK52" s="99"/>
      <c r="AL52" s="98"/>
      <c r="AM52" s="98"/>
      <c r="AN52" s="98"/>
      <c r="AO52" s="98"/>
      <c r="AP52" s="99"/>
      <c r="AQ52" s="98"/>
      <c r="AR52" s="98"/>
      <c r="AS52" s="98"/>
      <c r="AT52" s="98"/>
      <c r="AU52" s="99"/>
      <c r="AV52" s="98"/>
      <c r="AW52" s="98"/>
      <c r="AX52" s="98"/>
      <c r="AY52" s="98"/>
      <c r="AZ52" s="99"/>
      <c r="BA52" s="98"/>
      <c r="BB52" s="98"/>
      <c r="BC52" s="98"/>
      <c r="BD52" s="98"/>
      <c r="BE52" s="99"/>
      <c r="BF52" s="98"/>
      <c r="BG52" s="98"/>
      <c r="BH52" s="98"/>
      <c r="BI52" s="98"/>
      <c r="BJ52" s="99"/>
      <c r="BK52" s="98"/>
      <c r="BL52" s="98"/>
      <c r="BM52" s="98"/>
      <c r="BN52" s="98"/>
      <c r="BO52" s="99"/>
      <c r="BP52" s="98"/>
      <c r="BQ52" s="98"/>
      <c r="BR52" s="98"/>
      <c r="BS52" s="98"/>
      <c r="BT52" s="99"/>
      <c r="BU52" s="98"/>
      <c r="BV52" s="98"/>
      <c r="BW52" s="98"/>
      <c r="BX52" s="98"/>
      <c r="BY52" s="99"/>
      <c r="BZ52" s="98"/>
      <c r="CA52" s="98"/>
      <c r="CB52" s="98"/>
      <c r="CC52" s="98"/>
      <c r="CD52" s="99"/>
      <c r="CE52" s="98"/>
      <c r="CF52" s="98"/>
      <c r="CG52" s="98"/>
      <c r="CH52" s="98"/>
      <c r="CI52" s="99"/>
      <c r="CJ52" s="98"/>
      <c r="CK52" s="98"/>
      <c r="CL52" s="98"/>
      <c r="CM52" s="98"/>
      <c r="CN52" s="99"/>
      <c r="CO52" s="98"/>
      <c r="CP52" s="98"/>
      <c r="CQ52" s="98"/>
      <c r="CR52" s="98"/>
      <c r="CS52" s="99"/>
      <c r="CT52" s="98"/>
      <c r="CU52" s="98"/>
      <c r="CV52" s="98"/>
      <c r="CW52" s="98"/>
      <c r="CX52" s="99"/>
      <c r="CY52" s="98"/>
      <c r="CZ52" s="98"/>
      <c r="DA52" s="98"/>
      <c r="DB52" s="98"/>
      <c r="DC52" s="99"/>
      <c r="DD52" s="98"/>
      <c r="DE52" s="98"/>
      <c r="DF52" s="98"/>
      <c r="DG52" s="98"/>
      <c r="DH52" s="99"/>
      <c r="DI52" s="98"/>
      <c r="DJ52" s="98"/>
      <c r="DK52" s="98"/>
      <c r="DL52" s="98"/>
      <c r="DM52" s="99"/>
      <c r="DN52" s="98"/>
      <c r="DO52" s="98"/>
      <c r="DP52" s="98"/>
      <c r="DQ52" s="98"/>
      <c r="DR52" s="99"/>
      <c r="DS52" s="98"/>
      <c r="DT52" s="98"/>
      <c r="DU52" s="98"/>
      <c r="DV52" s="98"/>
      <c r="DW52" s="99"/>
      <c r="DX52" s="98"/>
      <c r="DY52" s="98"/>
      <c r="DZ52" s="98"/>
      <c r="EA52" s="98"/>
      <c r="EB52" s="99"/>
      <c r="EC52" s="98"/>
      <c r="ED52" s="98"/>
      <c r="EE52" s="98"/>
      <c r="EF52" s="98"/>
      <c r="EG52" s="99"/>
      <c r="EH52" s="98"/>
      <c r="EI52" s="98"/>
      <c r="EJ52" s="98"/>
      <c r="EK52" s="98"/>
      <c r="EL52" s="99"/>
      <c r="EM52" s="98"/>
      <c r="EN52" s="98"/>
      <c r="EO52" s="98"/>
      <c r="EP52" s="98"/>
      <c r="EQ52" s="99"/>
      <c r="ER52" s="98"/>
      <c r="ES52" s="98"/>
      <c r="ET52" s="98"/>
      <c r="EU52" s="98"/>
      <c r="EV52" s="99"/>
      <c r="EW52" s="98"/>
      <c r="EX52" s="98"/>
      <c r="EY52" s="98"/>
      <c r="EZ52" s="98"/>
      <c r="FA52" s="99"/>
      <c r="FB52" s="98"/>
      <c r="FC52" s="98"/>
      <c r="FD52" s="98"/>
      <c r="FE52" s="98"/>
      <c r="FF52" s="99"/>
      <c r="FG52" s="98"/>
      <c r="FH52" s="98"/>
      <c r="FI52" s="98"/>
      <c r="FJ52" s="98"/>
      <c r="FK52" s="99"/>
      <c r="FL52" s="98"/>
      <c r="FM52" s="98"/>
      <c r="FN52" s="98"/>
      <c r="FO52" s="98"/>
      <c r="FP52" s="99"/>
      <c r="FQ52" s="98"/>
      <c r="FR52" s="98"/>
      <c r="FS52" s="98"/>
      <c r="FT52" s="98"/>
      <c r="FU52" s="99"/>
      <c r="FV52" s="98"/>
      <c r="FW52" s="98"/>
      <c r="FX52" s="98"/>
      <c r="FY52" s="98"/>
      <c r="FZ52" s="99"/>
      <c r="GA52" s="98"/>
      <c r="GB52" s="98"/>
      <c r="GC52" s="98"/>
      <c r="GD52" s="98"/>
      <c r="GE52" s="99"/>
    </row>
    <row r="53" spans="1:187" s="236" customFormat="1" ht="12.75" customHeight="1" outlineLevel="1">
      <c r="A53" s="134"/>
      <c r="B53" s="684" t="s">
        <v>277</v>
      </c>
      <c r="C53" s="613"/>
      <c r="D53" s="613"/>
      <c r="E53" s="613"/>
      <c r="F53" s="613"/>
      <c r="G53" s="614"/>
      <c r="H53" s="615">
        <f>H27</f>
      </c>
      <c r="I53" s="615">
        <f>I27</f>
      </c>
      <c r="J53" s="615">
        <f>J27</f>
      </c>
      <c r="K53" s="615">
        <f>K27</f>
      </c>
      <c r="L53" s="610">
        <f>SUM(H53:K53)</f>
      </c>
      <c r="M53" s="615">
        <f>M27</f>
      </c>
      <c r="N53" s="615">
        <f>N27</f>
      </c>
      <c r="O53" s="615">
        <f>O27</f>
      </c>
      <c r="P53" s="615">
        <f>P27</f>
      </c>
      <c r="Q53" s="610">
        <f>SUM(M53:P53)</f>
      </c>
      <c r="R53" s="615">
        <f>R27</f>
      </c>
      <c r="S53" s="615">
        <f>S27</f>
      </c>
      <c r="T53" s="615">
        <f>T27</f>
      </c>
      <c r="U53" s="615">
        <f>U27</f>
      </c>
      <c r="V53" s="610">
        <f>SUM(R53:U53)</f>
      </c>
      <c r="W53" s="615">
        <f>W27</f>
      </c>
      <c r="X53" s="615">
        <f>X27</f>
      </c>
      <c r="Y53" s="615">
        <f>Y27</f>
      </c>
      <c r="Z53" s="615">
        <f>Z27</f>
      </c>
      <c r="AA53" s="610">
        <f>SUM(W53:Z53)</f>
      </c>
      <c r="AB53" s="615">
        <f>AB27</f>
      </c>
      <c r="AC53" s="615">
        <f>AC27</f>
      </c>
      <c r="AD53" s="615">
        <f>AD27</f>
      </c>
      <c r="AE53" s="615">
        <f>AE27</f>
      </c>
      <c r="AF53" s="610">
        <f>SUM(AB53:AE53)</f>
      </c>
      <c r="AG53" s="615">
        <f>AG27</f>
      </c>
      <c r="AH53" s="615">
        <f>AH27</f>
      </c>
      <c r="AI53" s="615">
        <f>AI27</f>
      </c>
      <c r="AJ53" s="615">
        <f>AJ27</f>
      </c>
      <c r="AK53" s="610">
        <f>SUM(AG53:AJ53)</f>
      </c>
      <c r="AL53" s="615">
        <f>AL27</f>
      </c>
      <c r="AM53" s="615">
        <f>AM27</f>
      </c>
      <c r="AN53" s="615">
        <f>AN27</f>
      </c>
      <c r="AO53" s="615">
        <f>AO27</f>
      </c>
      <c r="AP53" s="610">
        <f>SUM(AL53:AO53)</f>
      </c>
      <c r="AQ53" s="615">
        <f>AQ27</f>
      </c>
      <c r="AR53" s="615">
        <f>AR27</f>
      </c>
      <c r="AS53" s="615">
        <f>AS27</f>
      </c>
      <c r="AT53" s="615">
        <f>AT27</f>
      </c>
      <c r="AU53" s="610">
        <f>SUM(AQ53:AT53)</f>
      </c>
      <c r="AV53" s="615">
        <f>AV27</f>
      </c>
      <c r="AW53" s="615">
        <f>AW27</f>
      </c>
      <c r="AX53" s="615">
        <f>AX27</f>
      </c>
      <c r="AY53" s="615">
        <f>AY27</f>
      </c>
      <c r="AZ53" s="610">
        <f>SUM(AV53:AY53)</f>
      </c>
      <c r="BA53" s="615">
        <f>BA27</f>
      </c>
      <c r="BB53" s="615">
        <f>BB27</f>
      </c>
      <c r="BC53" s="615">
        <f>BC27</f>
      </c>
      <c r="BD53" s="615">
        <f>BD27</f>
      </c>
      <c r="BE53" s="610">
        <f>SUM(BA53:BD53)</f>
      </c>
      <c r="BF53" s="615">
        <f>BF27</f>
      </c>
      <c r="BG53" s="615">
        <f>BG27</f>
      </c>
      <c r="BH53" s="615">
        <f>BH27</f>
      </c>
      <c r="BI53" s="615">
        <f>BI27</f>
      </c>
      <c r="BJ53" s="610">
        <f>SUM(BF53:BI53)</f>
      </c>
      <c r="BK53" s="615">
        <f>BK27</f>
      </c>
      <c r="BL53" s="615">
        <f>BL27</f>
      </c>
      <c r="BM53" s="615">
        <f>BM27</f>
      </c>
      <c r="BN53" s="615">
        <f>BN27</f>
      </c>
      <c r="BO53" s="610">
        <f>SUM(BK53:BN53)</f>
      </c>
      <c r="BP53" s="615">
        <f>BP27</f>
      </c>
      <c r="BQ53" s="615">
        <f>BQ27</f>
      </c>
      <c r="BR53" s="615">
        <f>BR27</f>
      </c>
      <c r="BS53" s="615">
        <f>BS27</f>
      </c>
      <c r="BT53" s="610">
        <f>SUM(BP53:BS53)</f>
      </c>
      <c r="BU53" s="615">
        <f>BU27</f>
      </c>
      <c r="BV53" s="615">
        <f>BV27</f>
      </c>
      <c r="BW53" s="615">
        <f>BW27</f>
      </c>
      <c r="BX53" s="615">
        <f>BX27</f>
      </c>
      <c r="BY53" s="610">
        <f>SUM(BU53:BX53)</f>
      </c>
      <c r="BZ53" s="615">
        <f>BZ27</f>
      </c>
      <c r="CA53" s="615">
        <f>CA27</f>
      </c>
      <c r="CB53" s="615">
        <f>CB27</f>
      </c>
      <c r="CC53" s="615">
        <f>CC27</f>
      </c>
      <c r="CD53" s="610">
        <f>SUM(BZ53:CC53)</f>
      </c>
      <c r="CE53" s="615">
        <f>CE27</f>
      </c>
      <c r="CF53" s="615">
        <f>CF27</f>
      </c>
      <c r="CG53" s="615">
        <f>CG27</f>
      </c>
      <c r="CH53" s="615">
        <f>CH27</f>
      </c>
      <c r="CI53" s="610">
        <f>SUM(CE53:CH53)</f>
      </c>
      <c r="CJ53" s="615">
        <f>CJ27</f>
      </c>
      <c r="CK53" s="615">
        <f>CK27</f>
      </c>
      <c r="CL53" s="615">
        <f>CL27</f>
      </c>
      <c r="CM53" s="615">
        <f>CM27</f>
      </c>
      <c r="CN53" s="610">
        <f>SUM(CJ53:CM53)</f>
      </c>
      <c r="CO53" s="615">
        <f>CO27</f>
      </c>
      <c r="CP53" s="615">
        <f>CP27</f>
      </c>
      <c r="CQ53" s="615">
        <f>CQ27</f>
      </c>
      <c r="CR53" s="615">
        <f>CR27</f>
      </c>
      <c r="CS53" s="610">
        <f>SUM(CO53:CR53)</f>
      </c>
      <c r="CT53" s="615">
        <f>CT27</f>
      </c>
      <c r="CU53" s="615">
        <f>CU27</f>
      </c>
      <c r="CV53" s="615">
        <f>CV27</f>
      </c>
      <c r="CW53" s="615">
        <f>CW27</f>
      </c>
      <c r="CX53" s="610">
        <f>SUM(CT53:CW53)</f>
      </c>
      <c r="CY53" s="615">
        <f>CY27</f>
      </c>
      <c r="CZ53" s="615">
        <f>CZ27</f>
      </c>
      <c r="DA53" s="615">
        <f>DA27</f>
      </c>
      <c r="DB53" s="615">
        <f>DB27</f>
      </c>
      <c r="DC53" s="610">
        <f>SUM(CY53:DB53)</f>
      </c>
      <c r="DD53" s="615">
        <f>DD27</f>
      </c>
      <c r="DE53" s="615">
        <f>DE27</f>
      </c>
      <c r="DF53" s="615">
        <f>DF27</f>
      </c>
      <c r="DG53" s="615">
        <f>DG27</f>
      </c>
      <c r="DH53" s="610">
        <f>SUM(DD53:DG53)</f>
      </c>
      <c r="DI53" s="615">
        <f>DI27</f>
      </c>
      <c r="DJ53" s="615">
        <f>DJ27</f>
      </c>
      <c r="DK53" s="615">
        <f>DK27</f>
      </c>
      <c r="DL53" s="615">
        <f>DL27</f>
      </c>
      <c r="DM53" s="610">
        <f>SUM(DI53:DL53)</f>
      </c>
      <c r="DN53" s="615">
        <f>DN27</f>
      </c>
      <c r="DO53" s="615">
        <f>DO27</f>
      </c>
      <c r="DP53" s="615">
        <f>DP27</f>
      </c>
      <c r="DQ53" s="615">
        <f>DQ27</f>
      </c>
      <c r="DR53" s="610">
        <f>SUM(DN53:DQ53)</f>
      </c>
      <c r="DS53" s="615">
        <f>DS27</f>
      </c>
      <c r="DT53" s="615">
        <f>DT27</f>
      </c>
      <c r="DU53" s="615">
        <f>DU27</f>
      </c>
      <c r="DV53" s="615">
        <f>DV27</f>
      </c>
      <c r="DW53" s="610">
        <f>SUM(DS53:DV53)</f>
      </c>
      <c r="DX53" s="615">
        <f>DX27</f>
      </c>
      <c r="DY53" s="615">
        <f>DY27</f>
      </c>
      <c r="DZ53" s="615">
        <f>DZ27</f>
      </c>
      <c r="EA53" s="615">
        <f>EA27</f>
      </c>
      <c r="EB53" s="610">
        <f>SUM(DX53:EA53)</f>
      </c>
      <c r="EC53" s="615">
        <f>EC27</f>
      </c>
      <c r="ED53" s="615">
        <f>ED27</f>
      </c>
      <c r="EE53" s="615">
        <f>EE27</f>
      </c>
      <c r="EF53" s="615">
        <f>EF27</f>
      </c>
      <c r="EG53" s="610">
        <f>SUM(EC53:EF53)</f>
      </c>
      <c r="EH53" s="615">
        <f>EH27</f>
      </c>
      <c r="EI53" s="615">
        <f>EI27</f>
      </c>
      <c r="EJ53" s="615">
        <f>EJ27</f>
      </c>
      <c r="EK53" s="615">
        <f>EK27</f>
      </c>
      <c r="EL53" s="610">
        <f>SUM(EH53:EK53)</f>
      </c>
      <c r="EM53" s="615">
        <f>EM27</f>
      </c>
      <c r="EN53" s="615">
        <f>EN27</f>
      </c>
      <c r="EO53" s="615">
        <f>EO27</f>
      </c>
      <c r="EP53" s="615">
        <f>EP27</f>
      </c>
      <c r="EQ53" s="610">
        <f>SUM(EM53:EP53)</f>
      </c>
      <c r="ER53" s="615">
        <f>ER27</f>
      </c>
      <c r="ES53" s="615">
        <f>ES27</f>
      </c>
      <c r="ET53" s="615">
        <f>ET27</f>
      </c>
      <c r="EU53" s="615">
        <f>EU27</f>
      </c>
      <c r="EV53" s="610">
        <f>SUM(ER53:EU53)</f>
      </c>
      <c r="EW53" s="615">
        <f>EW27</f>
      </c>
      <c r="EX53" s="615">
        <f>EX27</f>
      </c>
      <c r="EY53" s="615">
        <f>EY27</f>
      </c>
      <c r="EZ53" s="615">
        <f>EZ27</f>
      </c>
      <c r="FA53" s="610">
        <f>SUM(EW53:EZ53)</f>
      </c>
      <c r="FB53" s="615">
        <f>FB27</f>
      </c>
      <c r="FC53" s="615">
        <f>FC27</f>
      </c>
      <c r="FD53" s="615">
        <f>FD27</f>
      </c>
      <c r="FE53" s="615">
        <f>FE27</f>
      </c>
      <c r="FF53" s="610">
        <f>SUM(FB53:FE53)</f>
      </c>
      <c r="FG53" s="615">
        <f>FG27</f>
      </c>
      <c r="FH53" s="615">
        <f>FH27</f>
      </c>
      <c r="FI53" s="615">
        <f>FI27</f>
      </c>
      <c r="FJ53" s="615">
        <f>FJ27</f>
      </c>
      <c r="FK53" s="610">
        <f>SUM(FG53:FJ53)</f>
      </c>
      <c r="FL53" s="615">
        <f>FL27</f>
      </c>
      <c r="FM53" s="615">
        <f>FM27</f>
      </c>
      <c r="FN53" s="615">
        <f>FN27</f>
      </c>
      <c r="FO53" s="615">
        <f>FO27</f>
      </c>
      <c r="FP53" s="610">
        <f>SUM(FL53:FO53)</f>
      </c>
      <c r="FQ53" s="615">
        <f>FQ27</f>
      </c>
      <c r="FR53" s="615">
        <f>FR27</f>
      </c>
      <c r="FS53" s="615">
        <f>FS27</f>
      </c>
      <c r="FT53" s="615">
        <f>FT27</f>
      </c>
      <c r="FU53" s="610">
        <f>SUM(FQ53:FT53)</f>
      </c>
      <c r="FV53" s="615">
        <f>FV27</f>
      </c>
      <c r="FW53" s="615">
        <f>FW27</f>
      </c>
      <c r="FX53" s="615">
        <f>FX27</f>
      </c>
      <c r="FY53" s="615">
        <f>FY27</f>
      </c>
      <c r="FZ53" s="610">
        <f>SUM(FV53:FY53)</f>
      </c>
      <c r="GA53" s="615">
        <f>GA27</f>
      </c>
      <c r="GB53" s="615">
        <f>GB27</f>
      </c>
      <c r="GC53" s="615">
        <f>GC27</f>
      </c>
      <c r="GD53" s="615">
        <f>GD27</f>
      </c>
      <c r="GE53" s="610">
        <f>SUM(GA53:GD53)</f>
      </c>
    </row>
    <row r="54" spans="1:187" s="328" customFormat="1" ht="12.75" customHeight="1" outlineLevel="1">
      <c r="A54" s="274"/>
      <c r="B54" s="714" t="s">
        <v>278</v>
      </c>
      <c r="C54" s="471">
        <f>C53+C10</f>
      </c>
      <c r="D54" s="606">
        <f t="shared" ref="D54:BO54" si="120">D53+D10</f>
      </c>
      <c r="E54" s="606">
        <f t="shared" si="120"/>
      </c>
      <c r="F54" s="606">
        <f t="shared" si="120"/>
      </c>
      <c r="G54" s="605">
        <f t="shared" si="120"/>
      </c>
      <c r="H54" s="471">
        <f t="shared" si="120"/>
      </c>
      <c r="I54" s="606">
        <f t="shared" si="120"/>
      </c>
      <c r="J54" s="606">
        <f t="shared" si="120"/>
      </c>
      <c r="K54" s="606">
        <f t="shared" si="120"/>
      </c>
      <c r="L54" s="605">
        <f t="shared" si="120"/>
      </c>
      <c r="M54" s="471">
        <f t="shared" si="120"/>
      </c>
      <c r="N54" s="606">
        <f t="shared" si="120"/>
      </c>
      <c r="O54" s="606">
        <f t="shared" si="120"/>
      </c>
      <c r="P54" s="606">
        <f t="shared" si="120"/>
      </c>
      <c r="Q54" s="605">
        <f t="shared" si="120"/>
      </c>
      <c r="R54" s="471">
        <f t="shared" si="120"/>
      </c>
      <c r="S54" s="606">
        <f t="shared" si="120"/>
      </c>
      <c r="T54" s="606">
        <f t="shared" si="120"/>
      </c>
      <c r="U54" s="606">
        <f t="shared" si="120"/>
      </c>
      <c r="V54" s="605">
        <f t="shared" si="120"/>
      </c>
      <c r="W54" s="471">
        <f t="shared" si="120"/>
      </c>
      <c r="X54" s="606">
        <f t="shared" si="120"/>
      </c>
      <c r="Y54" s="606">
        <f t="shared" si="120"/>
      </c>
      <c r="Z54" s="606">
        <f t="shared" si="120"/>
      </c>
      <c r="AA54" s="605">
        <f t="shared" si="120"/>
      </c>
      <c r="AB54" s="471">
        <f t="shared" si="120"/>
      </c>
      <c r="AC54" s="606">
        <f t="shared" si="120"/>
      </c>
      <c r="AD54" s="606">
        <f t="shared" si="120"/>
      </c>
      <c r="AE54" s="606">
        <f t="shared" si="120"/>
      </c>
      <c r="AF54" s="605">
        <f t="shared" si="120"/>
      </c>
      <c r="AG54" s="471">
        <f t="shared" si="120"/>
      </c>
      <c r="AH54" s="606">
        <f t="shared" si="120"/>
      </c>
      <c r="AI54" s="606">
        <f t="shared" si="120"/>
      </c>
      <c r="AJ54" s="606">
        <f t="shared" si="120"/>
      </c>
      <c r="AK54" s="605">
        <f t="shared" si="120"/>
      </c>
      <c r="AL54" s="471">
        <f t="shared" si="120"/>
      </c>
      <c r="AM54" s="606">
        <f t="shared" si="120"/>
      </c>
      <c r="AN54" s="606">
        <f t="shared" si="120"/>
      </c>
      <c r="AO54" s="606">
        <f t="shared" si="120"/>
      </c>
      <c r="AP54" s="605">
        <f t="shared" si="120"/>
      </c>
      <c r="AQ54" s="471">
        <f t="shared" si="120"/>
      </c>
      <c r="AR54" s="606">
        <f t="shared" si="120"/>
      </c>
      <c r="AS54" s="606">
        <f t="shared" si="120"/>
      </c>
      <c r="AT54" s="606">
        <f t="shared" si="120"/>
      </c>
      <c r="AU54" s="605">
        <f t="shared" si="120"/>
      </c>
      <c r="AV54" s="471">
        <f t="shared" si="120"/>
      </c>
      <c r="AW54" s="606">
        <f t="shared" si="120"/>
      </c>
      <c r="AX54" s="606">
        <f t="shared" si="120"/>
      </c>
      <c r="AY54" s="606">
        <f t="shared" si="120"/>
      </c>
      <c r="AZ54" s="605">
        <f t="shared" si="120"/>
      </c>
      <c r="BA54" s="471">
        <f t="shared" si="120"/>
      </c>
      <c r="BB54" s="606">
        <f t="shared" si="120"/>
      </c>
      <c r="BC54" s="606">
        <f t="shared" si="120"/>
      </c>
      <c r="BD54" s="606">
        <f t="shared" si="120"/>
      </c>
      <c r="BE54" s="605">
        <f t="shared" si="120"/>
      </c>
      <c r="BF54" s="471">
        <f t="shared" si="120"/>
      </c>
      <c r="BG54" s="606">
        <f t="shared" si="120"/>
      </c>
      <c r="BH54" s="606">
        <f t="shared" si="120"/>
      </c>
      <c r="BI54" s="606">
        <f t="shared" si="120"/>
      </c>
      <c r="BJ54" s="605">
        <f t="shared" si="120"/>
      </c>
      <c r="BK54" s="471">
        <f t="shared" si="120"/>
      </c>
      <c r="BL54" s="606">
        <f t="shared" si="120"/>
      </c>
      <c r="BM54" s="606">
        <f t="shared" si="120"/>
      </c>
      <c r="BN54" s="606">
        <f t="shared" si="120"/>
      </c>
      <c r="BO54" s="605">
        <f t="shared" si="120"/>
      </c>
      <c r="BP54" s="471">
        <f t="shared" ref="BP54:EA54" si="121">BP53+BP10</f>
      </c>
      <c r="BQ54" s="606">
        <f t="shared" si="121"/>
      </c>
      <c r="BR54" s="606">
        <f t="shared" si="121"/>
      </c>
      <c r="BS54" s="606">
        <f t="shared" si="121"/>
      </c>
      <c r="BT54" s="605">
        <f t="shared" si="121"/>
      </c>
      <c r="BU54" s="471">
        <f t="shared" si="121"/>
      </c>
      <c r="BV54" s="606">
        <f t="shared" si="121"/>
      </c>
      <c r="BW54" s="606">
        <f t="shared" si="121"/>
      </c>
      <c r="BX54" s="606">
        <f t="shared" si="121"/>
      </c>
      <c r="BY54" s="605">
        <f t="shared" si="121"/>
      </c>
      <c r="BZ54" s="471">
        <f t="shared" si="121"/>
      </c>
      <c r="CA54" s="606">
        <f t="shared" si="121"/>
      </c>
      <c r="CB54" s="606">
        <f t="shared" si="121"/>
      </c>
      <c r="CC54" s="606">
        <f t="shared" si="121"/>
      </c>
      <c r="CD54" s="605">
        <f t="shared" si="121"/>
      </c>
      <c r="CE54" s="471">
        <f t="shared" si="121"/>
      </c>
      <c r="CF54" s="606">
        <f t="shared" si="121"/>
      </c>
      <c r="CG54" s="606">
        <f t="shared" si="121"/>
      </c>
      <c r="CH54" s="606">
        <f t="shared" si="121"/>
      </c>
      <c r="CI54" s="605">
        <f t="shared" si="121"/>
      </c>
      <c r="CJ54" s="471">
        <f t="shared" si="121"/>
      </c>
      <c r="CK54" s="606">
        <f t="shared" si="121"/>
      </c>
      <c r="CL54" s="606">
        <f t="shared" si="121"/>
      </c>
      <c r="CM54" s="606">
        <f t="shared" si="121"/>
      </c>
      <c r="CN54" s="605">
        <f t="shared" si="121"/>
      </c>
      <c r="CO54" s="471">
        <f t="shared" si="121"/>
      </c>
      <c r="CP54" s="606">
        <f t="shared" si="121"/>
      </c>
      <c r="CQ54" s="606">
        <f t="shared" si="121"/>
      </c>
      <c r="CR54" s="606">
        <f t="shared" si="121"/>
      </c>
      <c r="CS54" s="605">
        <f t="shared" si="121"/>
      </c>
      <c r="CT54" s="471">
        <f t="shared" si="121"/>
      </c>
      <c r="CU54" s="606">
        <f t="shared" si="121"/>
      </c>
      <c r="CV54" s="606">
        <f t="shared" si="121"/>
      </c>
      <c r="CW54" s="606">
        <f t="shared" si="121"/>
      </c>
      <c r="CX54" s="605">
        <f t="shared" si="121"/>
      </c>
      <c r="CY54" s="471">
        <f t="shared" si="121"/>
      </c>
      <c r="CZ54" s="606">
        <f t="shared" si="121"/>
      </c>
      <c r="DA54" s="606">
        <f t="shared" si="121"/>
      </c>
      <c r="DB54" s="606">
        <f t="shared" si="121"/>
      </c>
      <c r="DC54" s="605">
        <f t="shared" si="121"/>
      </c>
      <c r="DD54" s="471">
        <f t="shared" si="121"/>
      </c>
      <c r="DE54" s="606">
        <f t="shared" si="121"/>
      </c>
      <c r="DF54" s="606">
        <f t="shared" si="121"/>
      </c>
      <c r="DG54" s="606">
        <f t="shared" si="121"/>
      </c>
      <c r="DH54" s="605">
        <f t="shared" si="121"/>
      </c>
      <c r="DI54" s="471">
        <f t="shared" si="121"/>
      </c>
      <c r="DJ54" s="606">
        <f t="shared" si="121"/>
      </c>
      <c r="DK54" s="606">
        <f t="shared" si="121"/>
      </c>
      <c r="DL54" s="606">
        <f t="shared" si="121"/>
      </c>
      <c r="DM54" s="605">
        <f t="shared" si="121"/>
      </c>
      <c r="DN54" s="471">
        <f t="shared" si="121"/>
      </c>
      <c r="DO54" s="606">
        <f t="shared" si="121"/>
      </c>
      <c r="DP54" s="606">
        <f t="shared" si="121"/>
      </c>
      <c r="DQ54" s="606">
        <f t="shared" si="121"/>
      </c>
      <c r="DR54" s="605">
        <f t="shared" si="121"/>
      </c>
      <c r="DS54" s="471">
        <f t="shared" si="121"/>
      </c>
      <c r="DT54" s="606">
        <f t="shared" si="121"/>
      </c>
      <c r="DU54" s="606">
        <f t="shared" si="121"/>
      </c>
      <c r="DV54" s="606">
        <f t="shared" si="121"/>
      </c>
      <c r="DW54" s="605">
        <f t="shared" si="121"/>
      </c>
      <c r="DX54" s="471">
        <f t="shared" si="121"/>
      </c>
      <c r="DY54" s="606">
        <f t="shared" si="121"/>
      </c>
      <c r="DZ54" s="606">
        <f t="shared" si="121"/>
      </c>
      <c r="EA54" s="606">
        <f t="shared" si="121"/>
      </c>
      <c r="EB54" s="605">
        <f t="shared" ref="EB54:FZ54" si="122">EB53+EB10</f>
      </c>
      <c r="EC54" s="471">
        <f t="shared" si="122"/>
      </c>
      <c r="ED54" s="606">
        <f t="shared" si="122"/>
      </c>
      <c r="EE54" s="606">
        <f t="shared" si="122"/>
      </c>
      <c r="EF54" s="606">
        <f t="shared" si="122"/>
      </c>
      <c r="EG54" s="605">
        <f t="shared" si="122"/>
      </c>
      <c r="EH54" s="471">
        <f t="shared" si="122"/>
      </c>
      <c r="EI54" s="606">
        <f t="shared" si="122"/>
      </c>
      <c r="EJ54" s="606">
        <f t="shared" si="122"/>
      </c>
      <c r="EK54" s="606">
        <f t="shared" si="122"/>
      </c>
      <c r="EL54" s="605">
        <f t="shared" si="122"/>
      </c>
      <c r="EM54" s="471">
        <f t="shared" si="122"/>
      </c>
      <c r="EN54" s="606">
        <f t="shared" si="122"/>
      </c>
      <c r="EO54" s="606">
        <f t="shared" si="122"/>
      </c>
      <c r="EP54" s="606">
        <f t="shared" si="122"/>
      </c>
      <c r="EQ54" s="605">
        <f t="shared" si="122"/>
      </c>
      <c r="ER54" s="471">
        <f t="shared" si="122"/>
      </c>
      <c r="ES54" s="606">
        <f>ES53+ES10</f>
      </c>
      <c r="ET54" s="606">
        <f>ET53+ET10</f>
      </c>
      <c r="EU54" s="606">
        <f>EU53+EU10</f>
      </c>
      <c r="EV54" s="605">
        <f>EV53+EV10</f>
      </c>
      <c r="EW54" s="471">
        <f t="shared" ref="EW54" si="123">EW53+EW10</f>
      </c>
      <c r="EX54" s="606">
        <f>EX53+EX10</f>
      </c>
      <c r="EY54" s="606">
        <f>EY53+EY10</f>
      </c>
      <c r="EZ54" s="606">
        <f>EZ53+EZ10</f>
      </c>
      <c r="FA54" s="605">
        <f>FA53+FA10</f>
      </c>
      <c r="FB54" s="471">
        <f t="shared" si="122"/>
      </c>
      <c r="FC54" s="606">
        <f t="shared" si="122"/>
      </c>
      <c r="FD54" s="606">
        <f t="shared" si="122"/>
      </c>
      <c r="FE54" s="606">
        <f t="shared" si="122"/>
      </c>
      <c r="FF54" s="605">
        <f t="shared" si="122"/>
      </c>
      <c r="FG54" s="471">
        <f t="shared" si="122"/>
      </c>
      <c r="FH54" s="606">
        <f t="shared" si="122"/>
      </c>
      <c r="FI54" s="606">
        <f t="shared" si="122"/>
      </c>
      <c r="FJ54" s="606">
        <f t="shared" si="122"/>
      </c>
      <c r="FK54" s="605">
        <f t="shared" si="122"/>
      </c>
      <c r="FL54" s="471">
        <f t="shared" si="122"/>
      </c>
      <c r="FM54" s="606">
        <f t="shared" si="122"/>
      </c>
      <c r="FN54" s="606">
        <f t="shared" si="122"/>
      </c>
      <c r="FO54" s="606">
        <f t="shared" si="122"/>
      </c>
      <c r="FP54" s="605">
        <f t="shared" si="122"/>
      </c>
      <c r="FQ54" s="471">
        <f t="shared" si="122"/>
      </c>
      <c r="FR54" s="606">
        <f t="shared" si="122"/>
      </c>
      <c r="FS54" s="606">
        <f t="shared" si="122"/>
      </c>
      <c r="FT54" s="606">
        <f t="shared" si="122"/>
      </c>
      <c r="FU54" s="605">
        <f t="shared" si="122"/>
      </c>
      <c r="FV54" s="471">
        <f t="shared" si="122"/>
      </c>
      <c r="FW54" s="606">
        <f t="shared" si="122"/>
      </c>
      <c r="FX54" s="606">
        <f t="shared" si="122"/>
      </c>
      <c r="FY54" s="606">
        <f t="shared" si="122"/>
      </c>
      <c r="FZ54" s="605">
        <f t="shared" si="122"/>
      </c>
      <c r="GA54" s="471">
        <f>GA53+GA10</f>
      </c>
      <c r="GB54" s="606">
        <f>GB53+GB10</f>
      </c>
      <c r="GC54" s="606">
        <f>GC53+GC10</f>
      </c>
      <c r="GD54" s="606">
        <f>GD53+GD10</f>
      </c>
      <c r="GE54" s="605">
        <f>GE53+GE10</f>
      </c>
    </row>
    <row r="55" spans="1:187" ht="12.75" customHeight="1" outlineLevel="1">
      <c r="B55" s="724" t="s">
        <v>34</v>
      </c>
      <c r="C55" s="291"/>
      <c r="D55" s="107"/>
      <c r="E55" s="107"/>
      <c r="F55" s="107"/>
      <c r="G55" s="536"/>
      <c r="H55" s="291">
        <f t="shared" ref="H55:AM55" si="124">IFERROR(H54/C54-1,"")</f>
      </c>
      <c r="I55" s="107">
        <f t="shared" si="124"/>
      </c>
      <c r="J55" s="107">
        <f t="shared" si="124"/>
      </c>
      <c r="K55" s="107">
        <f t="shared" si="124"/>
      </c>
      <c r="L55" s="292">
        <f t="shared" si="124"/>
      </c>
      <c r="M55" s="291">
        <f t="shared" si="124"/>
      </c>
      <c r="N55" s="107">
        <f t="shared" si="124"/>
      </c>
      <c r="O55" s="107">
        <f t="shared" si="124"/>
      </c>
      <c r="P55" s="107">
        <f t="shared" si="124"/>
      </c>
      <c r="Q55" s="292">
        <f t="shared" si="124"/>
      </c>
      <c r="R55" s="291">
        <f t="shared" si="124"/>
      </c>
      <c r="S55" s="107">
        <f t="shared" si="124"/>
      </c>
      <c r="T55" s="107">
        <f t="shared" si="124"/>
      </c>
      <c r="U55" s="107">
        <f t="shared" si="124"/>
      </c>
      <c r="V55" s="292">
        <f t="shared" si="124"/>
      </c>
      <c r="W55" s="291">
        <f t="shared" si="124"/>
      </c>
      <c r="X55" s="107">
        <f t="shared" si="124"/>
      </c>
      <c r="Y55" s="107">
        <f t="shared" si="124"/>
      </c>
      <c r="Z55" s="107">
        <f t="shared" si="124"/>
      </c>
      <c r="AA55" s="292">
        <f t="shared" si="124"/>
      </c>
      <c r="AB55" s="291">
        <f t="shared" si="124"/>
      </c>
      <c r="AC55" s="107">
        <f t="shared" si="124"/>
      </c>
      <c r="AD55" s="107">
        <f t="shared" si="124"/>
      </c>
      <c r="AE55" s="107">
        <f t="shared" si="124"/>
      </c>
      <c r="AF55" s="292">
        <f t="shared" si="124"/>
      </c>
      <c r="AG55" s="291">
        <f t="shared" si="124"/>
      </c>
      <c r="AH55" s="107">
        <f t="shared" si="124"/>
      </c>
      <c r="AI55" s="107">
        <f t="shared" si="124"/>
      </c>
      <c r="AJ55" s="107">
        <f t="shared" si="124"/>
      </c>
      <c r="AK55" s="292">
        <f t="shared" si="124"/>
      </c>
      <c r="AL55" s="291">
        <f t="shared" si="124"/>
      </c>
      <c r="AM55" s="107">
        <f t="shared" si="124"/>
      </c>
      <c r="AN55" s="107">
        <f t="shared" ref="AN55:BS55" si="125">IFERROR(AN54/AI54-1,"")</f>
      </c>
      <c r="AO55" s="107">
        <f t="shared" si="125"/>
      </c>
      <c r="AP55" s="292">
        <f t="shared" si="125"/>
      </c>
      <c r="AQ55" s="291">
        <f t="shared" si="125"/>
      </c>
      <c r="AR55" s="107">
        <f t="shared" si="125"/>
      </c>
      <c r="AS55" s="107">
        <f t="shared" si="125"/>
      </c>
      <c r="AT55" s="107">
        <f t="shared" si="125"/>
      </c>
      <c r="AU55" s="292">
        <f t="shared" si="125"/>
      </c>
      <c r="AV55" s="291">
        <f t="shared" si="125"/>
      </c>
      <c r="AW55" s="107">
        <f t="shared" si="125"/>
      </c>
      <c r="AX55" s="107">
        <f t="shared" si="125"/>
      </c>
      <c r="AY55" s="107">
        <f t="shared" si="125"/>
      </c>
      <c r="AZ55" s="292">
        <f t="shared" si="125"/>
      </c>
      <c r="BA55" s="291">
        <f t="shared" si="125"/>
      </c>
      <c r="BB55" s="107">
        <f t="shared" si="125"/>
      </c>
      <c r="BC55" s="107">
        <f t="shared" si="125"/>
      </c>
      <c r="BD55" s="107">
        <f t="shared" si="125"/>
      </c>
      <c r="BE55" s="292">
        <f t="shared" si="125"/>
      </c>
      <c r="BF55" s="291">
        <f t="shared" si="125"/>
      </c>
      <c r="BG55" s="107">
        <f t="shared" si="125"/>
      </c>
      <c r="BH55" s="107">
        <f t="shared" si="125"/>
      </c>
      <c r="BI55" s="107">
        <f t="shared" si="125"/>
      </c>
      <c r="BJ55" s="292">
        <f t="shared" si="125"/>
      </c>
      <c r="BK55" s="291">
        <f t="shared" si="125"/>
      </c>
      <c r="BL55" s="107">
        <f t="shared" si="125"/>
      </c>
      <c r="BM55" s="107">
        <f t="shared" si="125"/>
      </c>
      <c r="BN55" s="107">
        <f t="shared" si="125"/>
      </c>
      <c r="BO55" s="292">
        <f t="shared" si="125"/>
      </c>
      <c r="BP55" s="291">
        <f t="shared" si="125"/>
      </c>
      <c r="BQ55" s="107">
        <f t="shared" si="125"/>
      </c>
      <c r="BR55" s="107">
        <f t="shared" si="125"/>
      </c>
      <c r="BS55" s="107">
        <f t="shared" si="125"/>
      </c>
      <c r="BT55" s="292">
        <f t="shared" ref="BT55:CY55" si="126">IFERROR(BT54/BO54-1,"")</f>
      </c>
      <c r="BU55" s="291">
        <f t="shared" si="126"/>
      </c>
      <c r="BV55" s="107">
        <f t="shared" si="126"/>
      </c>
      <c r="BW55" s="107">
        <f t="shared" si="126"/>
      </c>
      <c r="BX55" s="107">
        <f t="shared" si="126"/>
      </c>
      <c r="BY55" s="292">
        <f t="shared" si="126"/>
      </c>
      <c r="BZ55" s="291">
        <f t="shared" si="126"/>
      </c>
      <c r="CA55" s="107">
        <f t="shared" si="126"/>
      </c>
      <c r="CB55" s="107">
        <f t="shared" si="126"/>
      </c>
      <c r="CC55" s="107">
        <f t="shared" si="126"/>
      </c>
      <c r="CD55" s="292">
        <f t="shared" si="126"/>
      </c>
      <c r="CE55" s="291">
        <f t="shared" si="126"/>
      </c>
      <c r="CF55" s="107">
        <f t="shared" si="126"/>
      </c>
      <c r="CG55" s="107">
        <f t="shared" si="126"/>
      </c>
      <c r="CH55" s="107">
        <f t="shared" si="126"/>
      </c>
      <c r="CI55" s="292">
        <f t="shared" si="126"/>
      </c>
      <c r="CJ55" s="291">
        <f t="shared" si="126"/>
      </c>
      <c r="CK55" s="107">
        <f t="shared" si="126"/>
      </c>
      <c r="CL55" s="107">
        <f t="shared" si="126"/>
      </c>
      <c r="CM55" s="107">
        <f t="shared" si="126"/>
      </c>
      <c r="CN55" s="292">
        <f t="shared" si="126"/>
      </c>
      <c r="CO55" s="291">
        <f t="shared" si="126"/>
      </c>
      <c r="CP55" s="107">
        <f t="shared" si="126"/>
      </c>
      <c r="CQ55" s="107">
        <f t="shared" si="126"/>
      </c>
      <c r="CR55" s="107">
        <f t="shared" si="126"/>
      </c>
      <c r="CS55" s="292">
        <f t="shared" si="126"/>
      </c>
      <c r="CT55" s="291">
        <f t="shared" si="126"/>
      </c>
      <c r="CU55" s="107">
        <f t="shared" si="126"/>
      </c>
      <c r="CV55" s="107">
        <f t="shared" si="126"/>
      </c>
      <c r="CW55" s="107">
        <f t="shared" si="126"/>
      </c>
      <c r="CX55" s="292">
        <f t="shared" si="126"/>
      </c>
      <c r="CY55" s="291">
        <f t="shared" si="126"/>
      </c>
      <c r="CZ55" s="107">
        <f t="shared" ref="CZ55:EE55" si="127">IFERROR(CZ54/CU54-1,"")</f>
      </c>
      <c r="DA55" s="107">
        <f t="shared" si="127"/>
      </c>
      <c r="DB55" s="107">
        <f t="shared" si="127"/>
      </c>
      <c r="DC55" s="292">
        <f t="shared" si="127"/>
      </c>
      <c r="DD55" s="291">
        <f t="shared" si="127"/>
      </c>
      <c r="DE55" s="107">
        <f t="shared" si="127"/>
      </c>
      <c r="DF55" s="107">
        <f t="shared" si="127"/>
      </c>
      <c r="DG55" s="107">
        <f t="shared" si="127"/>
      </c>
      <c r="DH55" s="292">
        <f t="shared" si="127"/>
      </c>
      <c r="DI55" s="291">
        <f t="shared" si="127"/>
      </c>
      <c r="DJ55" s="107">
        <f t="shared" si="127"/>
      </c>
      <c r="DK55" s="107">
        <f t="shared" si="127"/>
      </c>
      <c r="DL55" s="107">
        <f t="shared" si="127"/>
      </c>
      <c r="DM55" s="292">
        <f t="shared" si="127"/>
      </c>
      <c r="DN55" s="291">
        <f t="shared" si="127"/>
      </c>
      <c r="DO55" s="107">
        <f t="shared" si="127"/>
      </c>
      <c r="DP55" s="107">
        <f t="shared" si="127"/>
      </c>
      <c r="DQ55" s="107">
        <f t="shared" si="127"/>
      </c>
      <c r="DR55" s="292">
        <f t="shared" si="127"/>
      </c>
      <c r="DS55" s="291">
        <f t="shared" si="127"/>
      </c>
      <c r="DT55" s="107">
        <f t="shared" si="127"/>
      </c>
      <c r="DU55" s="107">
        <f t="shared" si="127"/>
      </c>
      <c r="DV55" s="107">
        <f t="shared" si="127"/>
      </c>
      <c r="DW55" s="292">
        <f t="shared" si="127"/>
      </c>
      <c r="DX55" s="291">
        <f t="shared" si="127"/>
      </c>
      <c r="DY55" s="107">
        <f t="shared" si="127"/>
      </c>
      <c r="DZ55" s="107">
        <f t="shared" si="127"/>
      </c>
      <c r="EA55" s="107">
        <f t="shared" si="127"/>
      </c>
      <c r="EB55" s="292">
        <f t="shared" si="127"/>
      </c>
      <c r="EC55" s="291">
        <f t="shared" si="127"/>
      </c>
      <c r="ED55" s="107">
        <f t="shared" si="127"/>
      </c>
      <c r="EE55" s="107">
        <f t="shared" si="127"/>
      </c>
      <c r="EF55" s="107">
        <f t="shared" ref="EF55:FK55" si="128">IFERROR(EF54/EA54-1,"")</f>
      </c>
      <c r="EG55" s="292">
        <f t="shared" si="128"/>
      </c>
      <c r="EH55" s="291">
        <f t="shared" si="128"/>
      </c>
      <c r="EI55" s="107">
        <f t="shared" si="128"/>
      </c>
      <c r="EJ55" s="107">
        <f t="shared" si="128"/>
      </c>
      <c r="EK55" s="107">
        <f t="shared" si="128"/>
      </c>
      <c r="EL55" s="292">
        <f t="shared" si="128"/>
      </c>
      <c r="EM55" s="291">
        <f t="shared" si="128"/>
      </c>
      <c r="EN55" s="107">
        <f t="shared" si="128"/>
      </c>
      <c r="EO55" s="107">
        <f t="shared" si="128"/>
      </c>
      <c r="EP55" s="107">
        <f t="shared" si="128"/>
      </c>
      <c r="EQ55" s="292">
        <f t="shared" si="128"/>
      </c>
      <c r="ER55" s="291">
        <f t="shared" si="128"/>
      </c>
      <c r="ES55" s="107">
        <f t="shared" si="128"/>
      </c>
      <c r="ET55" s="107">
        <f t="shared" si="128"/>
      </c>
      <c r="EU55" s="107">
        <f>IFERROR(EU54/EP54-1,"")</f>
      </c>
      <c r="EV55" s="292">
        <f>IFERROR(EV54/EQ54-1,"")</f>
      </c>
      <c r="EW55" s="291">
        <f t="shared" si="128"/>
      </c>
      <c r="EX55" s="107">
        <f t="shared" si="128"/>
      </c>
      <c r="EY55" s="107">
        <f t="shared" si="128"/>
      </c>
      <c r="EZ55" s="107">
        <f>IFERROR(EZ54/EU54-1,"")</f>
      </c>
      <c r="FA55" s="292">
        <f>IFERROR(FA54/EV54-1,"")</f>
      </c>
      <c r="FB55" s="291">
        <f t="shared" si="128"/>
      </c>
      <c r="FC55" s="107">
        <f t="shared" si="128"/>
      </c>
      <c r="FD55" s="107">
        <f t="shared" si="128"/>
      </c>
      <c r="FE55" s="107">
        <f t="shared" si="128"/>
      </c>
      <c r="FF55" s="292">
        <f t="shared" si="128"/>
      </c>
      <c r="FG55" s="291">
        <f t="shared" si="128"/>
      </c>
      <c r="FH55" s="107">
        <f t="shared" si="128"/>
      </c>
      <c r="FI55" s="107">
        <f t="shared" si="128"/>
      </c>
      <c r="FJ55" s="107">
        <f t="shared" si="128"/>
      </c>
      <c r="FK55" s="292">
        <f t="shared" si="128"/>
      </c>
      <c r="FL55" s="291">
        <f t="shared" ref="FL55:FZ55" si="129">IFERROR(FL54/FG54-1,"")</f>
      </c>
      <c r="FM55" s="107">
        <f t="shared" si="129"/>
      </c>
      <c r="FN55" s="107">
        <f t="shared" si="129"/>
      </c>
      <c r="FO55" s="107">
        <f t="shared" si="129"/>
      </c>
      <c r="FP55" s="292">
        <f t="shared" si="129"/>
      </c>
      <c r="FQ55" s="291">
        <f t="shared" si="129"/>
      </c>
      <c r="FR55" s="107">
        <f t="shared" si="129"/>
      </c>
      <c r="FS55" s="107">
        <f t="shared" si="129"/>
      </c>
      <c r="FT55" s="107">
        <f t="shared" si="129"/>
      </c>
      <c r="FU55" s="292">
        <f t="shared" si="129"/>
      </c>
      <c r="FV55" s="291">
        <f t="shared" si="129"/>
      </c>
      <c r="FW55" s="107">
        <f t="shared" si="129"/>
      </c>
      <c r="FX55" s="107">
        <f t="shared" si="129"/>
      </c>
      <c r="FY55" s="107">
        <f t="shared" si="129"/>
      </c>
      <c r="FZ55" s="292">
        <f t="shared" si="129"/>
      </c>
      <c r="GA55" s="291">
        <f>IFERROR(GA54/FV54-1,"")</f>
      </c>
      <c r="GB55" s="107">
        <f>IFERROR(GB54/FW54-1,"")</f>
      </c>
      <c r="GC55" s="107">
        <f>IFERROR(GC54/FX54-1,"")</f>
      </c>
      <c r="GD55" s="107">
        <f>IFERROR(GD54/FY54-1,"")</f>
      </c>
      <c r="GE55" s="292">
        <f>IFERROR(GE54/FZ54-1,"")</f>
      </c>
    </row>
    <row r="56" spans="1:187" ht="12.75" customHeight="1" outlineLevel="1">
      <c r="B56" s="724" t="s">
        <v>36</v>
      </c>
      <c r="C56" s="291"/>
      <c r="D56" s="137"/>
      <c r="E56" s="137"/>
      <c r="F56" s="137"/>
      <c r="G56" s="538"/>
      <c r="H56" s="291">
        <f>IFERROR(H54/F54-1,"")</f>
      </c>
      <c r="I56" s="107">
        <f>IFERROR(I54/H54-1,"")</f>
      </c>
      <c r="J56" s="107">
        <f>IFERROR(J54/I54-1,"")</f>
      </c>
      <c r="K56" s="107">
        <f>IFERROR(K54/J54-1,"")</f>
      </c>
      <c r="L56" s="293"/>
      <c r="M56" s="291">
        <f>IFERROR(M54/K54-1,"")</f>
      </c>
      <c r="N56" s="107">
        <f>IFERROR(N54/M54-1,"")</f>
      </c>
      <c r="O56" s="107">
        <f>IFERROR(O54/N54-1,"")</f>
      </c>
      <c r="P56" s="107">
        <f>IFERROR(P54/O54-1,"")</f>
      </c>
      <c r="Q56" s="293"/>
      <c r="R56" s="291">
        <f>IFERROR(R54/P54-1,"")</f>
      </c>
      <c r="S56" s="107">
        <f>IFERROR(S54/R54-1,"")</f>
      </c>
      <c r="T56" s="107">
        <f>IFERROR(T54/S54-1,"")</f>
      </c>
      <c r="U56" s="107">
        <f>IFERROR(U54/T54-1,"")</f>
      </c>
      <c r="V56" s="293"/>
      <c r="W56" s="291">
        <f>IFERROR(W54/U54-1,"")</f>
      </c>
      <c r="X56" s="107">
        <f>IFERROR(X54/W54-1,"")</f>
      </c>
      <c r="Y56" s="107">
        <f>IFERROR(Y54/X54-1,"")</f>
      </c>
      <c r="Z56" s="107">
        <f>IFERROR(Z54/Y54-1,"")</f>
      </c>
      <c r="AA56" s="293"/>
      <c r="AB56" s="291">
        <f>IFERROR(AB54/Z54-1,"")</f>
      </c>
      <c r="AC56" s="107">
        <f>IFERROR(AC54/AB54-1,"")</f>
      </c>
      <c r="AD56" s="107">
        <f>IFERROR(AD54/AC54-1,"")</f>
      </c>
      <c r="AE56" s="107">
        <f>IFERROR(AE54/AD54-1,"")</f>
      </c>
      <c r="AF56" s="293"/>
      <c r="AG56" s="291">
        <f>IFERROR(AG54/AE54-1,"")</f>
      </c>
      <c r="AH56" s="107">
        <f>IFERROR(AH54/AG54-1,"")</f>
      </c>
      <c r="AI56" s="107">
        <f>IFERROR(AI54/AH54-1,"")</f>
      </c>
      <c r="AJ56" s="107">
        <f>IFERROR(AJ54/AI54-1,"")</f>
      </c>
      <c r="AK56" s="293"/>
      <c r="AL56" s="291">
        <f>IFERROR(AL54/AJ54-1,"")</f>
      </c>
      <c r="AM56" s="107">
        <f>IFERROR(AM54/AL54-1,"")</f>
      </c>
      <c r="AN56" s="107">
        <f>IFERROR(AN54/AM54-1,"")</f>
      </c>
      <c r="AO56" s="107">
        <f>IFERROR(AO54/AN54-1,"")</f>
      </c>
      <c r="AP56" s="293"/>
      <c r="AQ56" s="291">
        <f>IFERROR(AQ54/AO54-1,"")</f>
      </c>
      <c r="AR56" s="107">
        <f>IFERROR(AR54/AQ54-1,"")</f>
      </c>
      <c r="AS56" s="107">
        <f>IFERROR(AS54/AR54-1,"")</f>
      </c>
      <c r="AT56" s="107">
        <f>IFERROR(AT54/AS54-1,"")</f>
      </c>
      <c r="AU56" s="293"/>
      <c r="AV56" s="291">
        <f>IFERROR(AV54/AT54-1,"")</f>
      </c>
      <c r="AW56" s="107">
        <f>IFERROR(AW54/AV54-1,"")</f>
      </c>
      <c r="AX56" s="107">
        <f>IFERROR(AX54/AW54-1,"")</f>
      </c>
      <c r="AY56" s="107">
        <f>IFERROR(AY54/AX54-1,"")</f>
      </c>
      <c r="AZ56" s="293"/>
      <c r="BA56" s="291">
        <f>IFERROR(BA54/AY54-1,"")</f>
      </c>
      <c r="BB56" s="107">
        <f>IFERROR(BB54/BA54-1,"")</f>
      </c>
      <c r="BC56" s="107">
        <f>IFERROR(BC54/BB54-1,"")</f>
      </c>
      <c r="BD56" s="107">
        <f>IFERROR(BD54/BC54-1,"")</f>
      </c>
      <c r="BE56" s="293"/>
      <c r="BF56" s="291">
        <f>IFERROR(BF54/BD54-1,"")</f>
      </c>
      <c r="BG56" s="107">
        <f>IFERROR(BG54/BF54-1,"")</f>
      </c>
      <c r="BH56" s="107">
        <f>IFERROR(BH54/BG54-1,"")</f>
      </c>
      <c r="BI56" s="107">
        <f>IFERROR(BI54/BH54-1,"")</f>
      </c>
      <c r="BJ56" s="293"/>
      <c r="BK56" s="291">
        <f>IFERROR(BK54/BI54-1,"")</f>
      </c>
      <c r="BL56" s="107">
        <f>IFERROR(BL54/BK54-1,"")</f>
      </c>
      <c r="BM56" s="107">
        <f>IFERROR(BM54/BL54-1,"")</f>
      </c>
      <c r="BN56" s="107">
        <f>IFERROR(BN54/BM54-1,"")</f>
      </c>
      <c r="BO56" s="293"/>
      <c r="BP56" s="291">
        <f>IFERROR(BP54/BN54-1,"")</f>
      </c>
      <c r="BQ56" s="107">
        <f>IFERROR(BQ54/BP54-1,"")</f>
      </c>
      <c r="BR56" s="107">
        <f>IFERROR(BR54/BQ54-1,"")</f>
      </c>
      <c r="BS56" s="107">
        <f>IFERROR(BS54/BR54-1,"")</f>
      </c>
      <c r="BT56" s="293"/>
      <c r="BU56" s="291">
        <f>IFERROR(BU54/BS54-1,"")</f>
      </c>
      <c r="BV56" s="107">
        <f>IFERROR(BV54/BU54-1,"")</f>
      </c>
      <c r="BW56" s="107">
        <f>IFERROR(BW54/BV54-1,"")</f>
      </c>
      <c r="BX56" s="107">
        <f>IFERROR(BX54/BW54-1,"")</f>
      </c>
      <c r="BY56" s="293"/>
      <c r="BZ56" s="291">
        <f>IFERROR(BZ54/BX54-1,"")</f>
      </c>
      <c r="CA56" s="107">
        <f>IFERROR(CA54/BZ54-1,"")</f>
      </c>
      <c r="CB56" s="107">
        <f>IFERROR(CB54/CA54-1,"")</f>
      </c>
      <c r="CC56" s="107">
        <f>IFERROR(CC54/CB54-1,"")</f>
      </c>
      <c r="CD56" s="293"/>
      <c r="CE56" s="291">
        <f>IFERROR(CE54/CC54-1,"")</f>
      </c>
      <c r="CF56" s="107">
        <f>IFERROR(CF54/CE54-1,"")</f>
      </c>
      <c r="CG56" s="107">
        <f>IFERROR(CG54/CF54-1,"")</f>
      </c>
      <c r="CH56" s="107">
        <f>IFERROR(CH54/CG54-1,"")</f>
      </c>
      <c r="CI56" s="293"/>
      <c r="CJ56" s="291">
        <f>IFERROR(CJ54/CH54-1,"")</f>
      </c>
      <c r="CK56" s="107">
        <f>IFERROR(CK54/CJ54-1,"")</f>
      </c>
      <c r="CL56" s="107">
        <f>IFERROR(CL54/CK54-1,"")</f>
      </c>
      <c r="CM56" s="107">
        <f>IFERROR(CM54/CL54-1,"")</f>
      </c>
      <c r="CN56" s="293"/>
      <c r="CO56" s="291">
        <f>IFERROR(CO54/CM54-1,"")</f>
      </c>
      <c r="CP56" s="107">
        <f>IFERROR(CP54/CO54-1,"")</f>
      </c>
      <c r="CQ56" s="107">
        <f>IFERROR(CQ54/CP54-1,"")</f>
      </c>
      <c r="CR56" s="107">
        <f>IFERROR(CR54/CQ54-1,"")</f>
      </c>
      <c r="CS56" s="293"/>
      <c r="CT56" s="291">
        <f>IFERROR(CT54/CR54-1,"")</f>
      </c>
      <c r="CU56" s="107">
        <f>IFERROR(CU54/CT54-1,"")</f>
      </c>
      <c r="CV56" s="107">
        <f>IFERROR(CV54/CU54-1,"")</f>
      </c>
      <c r="CW56" s="107">
        <f>IFERROR(CW54/CV54-1,"")</f>
      </c>
      <c r="CX56" s="293"/>
      <c r="CY56" s="291">
        <f>IFERROR(CY54/CW54-1,"")</f>
      </c>
      <c r="CZ56" s="107">
        <f>IFERROR(CZ54/CY54-1,"")</f>
      </c>
      <c r="DA56" s="107">
        <f>IFERROR(DA54/CZ54-1,"")</f>
      </c>
      <c r="DB56" s="107">
        <f>IFERROR(DB54/DA54-1,"")</f>
      </c>
      <c r="DC56" s="293"/>
      <c r="DD56" s="291">
        <f>IFERROR(DD54/DB54-1,"")</f>
      </c>
      <c r="DE56" s="107">
        <f>IFERROR(DE54/DD54-1,"")</f>
      </c>
      <c r="DF56" s="107">
        <f>IFERROR(DF54/DE54-1,"")</f>
      </c>
      <c r="DG56" s="107">
        <f>IFERROR(DG54/DF54-1,"")</f>
      </c>
      <c r="DH56" s="293"/>
      <c r="DI56" s="291">
        <f>IFERROR(DI54/DG54-1,"")</f>
      </c>
      <c r="DJ56" s="107">
        <f>IFERROR(DJ54/DI54-1,"")</f>
      </c>
      <c r="DK56" s="107">
        <f>IFERROR(DK54/DJ54-1,"")</f>
      </c>
      <c r="DL56" s="107">
        <f>IFERROR(DL54/DK54-1,"")</f>
      </c>
      <c r="DM56" s="293"/>
      <c r="DN56" s="291">
        <f>IFERROR(DN54/DL54-1,"")</f>
      </c>
      <c r="DO56" s="107">
        <f>IFERROR(DO54/DN54-1,"")</f>
      </c>
      <c r="DP56" s="107">
        <f>IFERROR(DP54/DO54-1,"")</f>
      </c>
      <c r="DQ56" s="107">
        <f>IFERROR(DQ54/DP54-1,"")</f>
      </c>
      <c r="DR56" s="293"/>
      <c r="DS56" s="291">
        <f>IFERROR(DS54/DQ54-1,"")</f>
      </c>
      <c r="DT56" s="107">
        <f>IFERROR(DT54/DS54-1,"")</f>
      </c>
      <c r="DU56" s="107">
        <f>IFERROR(DU54/DT54-1,"")</f>
      </c>
      <c r="DV56" s="107">
        <f>IFERROR(DV54/DU54-1,"")</f>
      </c>
      <c r="DW56" s="293"/>
      <c r="DX56" s="291">
        <f>IFERROR(DX54/DV54-1,"")</f>
      </c>
      <c r="DY56" s="107">
        <f>IFERROR(DY54/DX54-1,"")</f>
      </c>
      <c r="DZ56" s="107">
        <f>IFERROR(DZ54/DY54-1,"")</f>
      </c>
      <c r="EA56" s="107">
        <f>IFERROR(EA54/DZ54-1,"")</f>
      </c>
      <c r="EB56" s="293"/>
      <c r="EC56" s="291">
        <f>IFERROR(EC54/EA54-1,"")</f>
      </c>
      <c r="ED56" s="107">
        <f>IFERROR(ED54/EC54-1,"")</f>
      </c>
      <c r="EE56" s="107">
        <f>IFERROR(EE54/ED54-1,"")</f>
      </c>
      <c r="EF56" s="107">
        <f>IFERROR(EF54/EE54-1,"")</f>
      </c>
      <c r="EG56" s="293"/>
      <c r="EH56" s="291">
        <f>IFERROR(EH54/EF54-1,"")</f>
      </c>
      <c r="EI56" s="107">
        <f>IFERROR(EI54/EH54-1,"")</f>
      </c>
      <c r="EJ56" s="107">
        <f>IFERROR(EJ54/EI54-1,"")</f>
      </c>
      <c r="EK56" s="107">
        <f>IFERROR(EK54/EJ54-1,"")</f>
      </c>
      <c r="EL56" s="293"/>
      <c r="EM56" s="291">
        <f>IFERROR(EM54/EK54-1,"")</f>
      </c>
      <c r="EN56" s="107">
        <f>IFERROR(EN54/EM54-1,"")</f>
      </c>
      <c r="EO56" s="107">
        <f>IFERROR(EO54/EN54-1,"")</f>
      </c>
      <c r="EP56" s="107">
        <f>IFERROR(EP54/EO54-1,"")</f>
      </c>
      <c r="EQ56" s="293"/>
      <c r="ER56" s="291">
        <f>IFERROR(ER54/EP54-1,"")</f>
      </c>
      <c r="ES56" s="107">
        <f>IFERROR(ES54/ER54-1,"")</f>
      </c>
      <c r="ET56" s="107">
        <f>IFERROR(ET54/ES54-1,"")</f>
      </c>
      <c r="EU56" s="107">
        <f>IFERROR(EU54/ET54-1,"")</f>
      </c>
      <c r="EV56" s="293"/>
      <c r="EW56" s="291">
        <f>IFERROR(EW54/EU54-1,"")</f>
      </c>
      <c r="EX56" s="107">
        <f>IFERROR(EX54/EW54-1,"")</f>
      </c>
      <c r="EY56" s="107">
        <f>IFERROR(EY54/EX54-1,"")</f>
      </c>
      <c r="EZ56" s="107">
        <f>IFERROR(EZ54/EY54-1,"")</f>
      </c>
      <c r="FA56" s="293"/>
      <c r="FB56" s="291">
        <f>IFERROR(FB54/EZ54-1,"")</f>
      </c>
      <c r="FC56" s="107">
        <f>IFERROR(FC54/FB54-1,"")</f>
      </c>
      <c r="FD56" s="107">
        <f>IFERROR(FD54/FC54-1,"")</f>
      </c>
      <c r="FE56" s="107">
        <f>IFERROR(FE54/FD54-1,"")</f>
      </c>
      <c r="FF56" s="293"/>
      <c r="FG56" s="291">
        <f>IFERROR(FG54/FE54-1,"")</f>
      </c>
      <c r="FH56" s="107">
        <f>IFERROR(FH54/FG54-1,"")</f>
      </c>
      <c r="FI56" s="107">
        <f>IFERROR(FI54/FH54-1,"")</f>
      </c>
      <c r="FJ56" s="107">
        <f>IFERROR(FJ54/FI54-1,"")</f>
      </c>
      <c r="FK56" s="293"/>
      <c r="FL56" s="291">
        <f>IFERROR(FL54/FJ54-1,"")</f>
      </c>
      <c r="FM56" s="107">
        <f>IFERROR(FM54/FL54-1,"")</f>
      </c>
      <c r="FN56" s="107">
        <f>IFERROR(FN54/FM54-1,"")</f>
      </c>
      <c r="FO56" s="107">
        <f>IFERROR(FO54/FN54-1,"")</f>
      </c>
      <c r="FP56" s="293"/>
      <c r="FQ56" s="291">
        <f>IFERROR(FQ54/FO54-1,"")</f>
      </c>
      <c r="FR56" s="107">
        <f>IFERROR(FR54/FQ54-1,"")</f>
      </c>
      <c r="FS56" s="107">
        <f>IFERROR(FS54/FR54-1,"")</f>
      </c>
      <c r="FT56" s="107">
        <f>IFERROR(FT54/FS54-1,"")</f>
      </c>
      <c r="FU56" s="293"/>
      <c r="FV56" s="291">
        <f>IFERROR(FV54/FT54-1,"")</f>
      </c>
      <c r="FW56" s="107">
        <f>IFERROR(FW54/FV54-1,"")</f>
      </c>
      <c r="FX56" s="107">
        <f>IFERROR(FX54/FW54-1,"")</f>
      </c>
      <c r="FY56" s="107">
        <f>IFERROR(FY54/FX54-1,"")</f>
      </c>
      <c r="FZ56" s="293"/>
      <c r="GA56" s="291">
        <f>IFERROR(GA54/FY54-1,"")</f>
      </c>
      <c r="GB56" s="107">
        <f>IFERROR(GB54/GA54-1,"")</f>
      </c>
      <c r="GC56" s="107">
        <f>IFERROR(GC54/GB54-1,"")</f>
      </c>
      <c r="GD56" s="107">
        <f>IFERROR(GD54/GC54-1,"")</f>
      </c>
      <c r="GE56" s="293"/>
    </row>
    <row r="57" spans="1:187" s="551" customFormat="1" ht="12.75" customHeight="1">
      <c r="A57" s="547"/>
      <c r="B57" s="301"/>
      <c r="C57" s="548"/>
      <c r="D57" s="549"/>
      <c r="E57" s="549"/>
      <c r="F57" s="549"/>
      <c r="G57" s="550"/>
      <c r="H57" s="282"/>
      <c r="I57" s="239"/>
      <c r="J57" s="239"/>
      <c r="K57" s="239"/>
      <c r="L57" s="550"/>
      <c r="M57" s="282"/>
      <c r="N57" s="239"/>
      <c r="O57" s="239"/>
      <c r="P57" s="239"/>
      <c r="Q57" s="550"/>
      <c r="R57" s="282"/>
      <c r="S57" s="239"/>
      <c r="T57" s="239"/>
      <c r="U57" s="239"/>
      <c r="V57" s="550"/>
      <c r="W57" s="282"/>
      <c r="X57" s="239"/>
      <c r="Y57" s="239"/>
      <c r="Z57" s="239"/>
      <c r="AA57" s="550"/>
      <c r="AB57" s="282"/>
      <c r="AC57" s="239"/>
      <c r="AD57" s="239"/>
      <c r="AE57" s="239"/>
      <c r="AF57" s="550"/>
      <c r="AG57" s="282"/>
      <c r="AH57" s="239"/>
      <c r="AI57" s="239"/>
      <c r="AJ57" s="239"/>
      <c r="AK57" s="550"/>
      <c r="AL57" s="282"/>
      <c r="AM57" s="239"/>
      <c r="AN57" s="239"/>
      <c r="AO57" s="239"/>
      <c r="AP57" s="550"/>
      <c r="AQ57" s="282"/>
      <c r="AR57" s="239"/>
      <c r="AS57" s="239"/>
      <c r="AT57" s="239"/>
      <c r="AU57" s="550"/>
      <c r="AV57" s="282"/>
      <c r="AW57" s="239"/>
      <c r="AX57" s="239"/>
      <c r="AY57" s="239"/>
      <c r="AZ57" s="550"/>
      <c r="BA57" s="282"/>
      <c r="BB57" s="239"/>
      <c r="BC57" s="239"/>
      <c r="BD57" s="239"/>
      <c r="BE57" s="550"/>
      <c r="BF57" s="282"/>
      <c r="BG57" s="239"/>
      <c r="BH57" s="239"/>
      <c r="BI57" s="239"/>
      <c r="BJ57" s="550"/>
      <c r="BK57" s="282"/>
      <c r="BL57" s="239"/>
      <c r="BM57" s="239"/>
      <c r="BN57" s="239"/>
      <c r="BO57" s="550"/>
      <c r="BP57" s="282"/>
      <c r="BQ57" s="239"/>
      <c r="BR57" s="239"/>
      <c r="BS57" s="239"/>
      <c r="BT57" s="550"/>
      <c r="BU57" s="282"/>
      <c r="BV57" s="239"/>
      <c r="BW57" s="239"/>
      <c r="BX57" s="239"/>
      <c r="BY57" s="550"/>
      <c r="BZ57" s="282"/>
      <c r="CA57" s="239"/>
      <c r="CB57" s="239"/>
      <c r="CC57" s="239"/>
      <c r="CD57" s="550"/>
      <c r="CE57" s="282"/>
      <c r="CF57" s="239"/>
      <c r="CG57" s="239"/>
      <c r="CH57" s="239"/>
      <c r="CI57" s="550"/>
      <c r="CJ57" s="282"/>
      <c r="CK57" s="239"/>
      <c r="CL57" s="239"/>
      <c r="CM57" s="239"/>
      <c r="CN57" s="550"/>
      <c r="CO57" s="282"/>
      <c r="CP57" s="239"/>
      <c r="CQ57" s="239"/>
      <c r="CR57" s="239"/>
      <c r="CS57" s="550"/>
      <c r="CT57" s="282"/>
      <c r="CU57" s="239"/>
      <c r="CV57" s="239"/>
      <c r="CW57" s="239"/>
      <c r="CX57" s="550"/>
      <c r="CY57" s="282"/>
      <c r="CZ57" s="239"/>
      <c r="DA57" s="239"/>
      <c r="DB57" s="239"/>
      <c r="DC57" s="550"/>
      <c r="DD57" s="282"/>
      <c r="DE57" s="239"/>
      <c r="DF57" s="239"/>
      <c r="DG57" s="239"/>
      <c r="DH57" s="550"/>
      <c r="DI57" s="282"/>
      <c r="DJ57" s="239"/>
      <c r="DK57" s="239"/>
      <c r="DL57" s="239"/>
      <c r="DM57" s="550"/>
      <c r="DN57" s="282"/>
      <c r="DO57" s="239"/>
      <c r="DP57" s="239"/>
      <c r="DQ57" s="239"/>
      <c r="DR57" s="550"/>
      <c r="DS57" s="282"/>
      <c r="DT57" s="239"/>
      <c r="DU57" s="239"/>
      <c r="DV57" s="239"/>
      <c r="DW57" s="550"/>
      <c r="DX57" s="282"/>
      <c r="DY57" s="239"/>
      <c r="DZ57" s="239"/>
      <c r="EA57" s="239"/>
      <c r="EB57" s="550"/>
      <c r="EC57" s="282"/>
      <c r="ED57" s="239"/>
      <c r="EE57" s="239"/>
      <c r="EF57" s="239"/>
      <c r="EG57" s="550"/>
      <c r="EH57" s="282"/>
      <c r="EI57" s="239"/>
      <c r="EJ57" s="239"/>
      <c r="EK57" s="239"/>
      <c r="EL57" s="550"/>
      <c r="EM57" s="282"/>
      <c r="EN57" s="239"/>
      <c r="EO57" s="239"/>
      <c r="EP57" s="239"/>
      <c r="EQ57" s="550"/>
      <c r="ER57" s="282"/>
      <c r="ES57" s="239"/>
      <c r="ET57" s="239"/>
      <c r="EU57" s="239"/>
      <c r="EV57" s="550"/>
      <c r="EW57" s="282"/>
      <c r="EX57" s="239"/>
      <c r="EY57" s="239"/>
      <c r="EZ57" s="239"/>
      <c r="FA57" s="550"/>
      <c r="FB57" s="282"/>
      <c r="FC57" s="239"/>
      <c r="FD57" s="239"/>
      <c r="FE57" s="239"/>
      <c r="FF57" s="550"/>
      <c r="FG57" s="282"/>
      <c r="FH57" s="239"/>
      <c r="FI57" s="239"/>
      <c r="FJ57" s="239"/>
      <c r="FK57" s="550"/>
      <c r="FL57" s="282"/>
      <c r="FM57" s="239"/>
      <c r="FN57" s="239"/>
      <c r="FO57" s="239"/>
      <c r="FP57" s="550"/>
      <c r="FQ57" s="282"/>
      <c r="FR57" s="239"/>
      <c r="FS57" s="239"/>
      <c r="FT57" s="239"/>
      <c r="FU57" s="550"/>
      <c r="FV57" s="282"/>
      <c r="FW57" s="239"/>
      <c r="FX57" s="239"/>
      <c r="FY57" s="239"/>
      <c r="FZ57" s="550"/>
      <c r="GA57" s="282"/>
      <c r="GB57" s="239"/>
      <c r="GC57" s="239"/>
      <c r="GD57" s="239"/>
      <c r="GE57" s="550"/>
    </row>
    <row r="58" spans="1:187" ht="12.75" customHeight="1">
      <c r="B58" s="100"/>
      <c r="C58" s="253"/>
      <c r="D58" s="253"/>
      <c r="E58" s="253"/>
      <c r="F58" s="253"/>
      <c r="G58" s="253"/>
      <c r="H58" s="250"/>
      <c r="I58" s="250"/>
      <c r="J58" s="250"/>
      <c r="K58" s="250"/>
      <c r="L58" s="253"/>
      <c r="M58" s="250"/>
      <c r="N58" s="250"/>
      <c r="O58" s="250"/>
      <c r="P58" s="250"/>
      <c r="Q58" s="253"/>
      <c r="R58" s="250"/>
      <c r="S58" s="250"/>
      <c r="T58" s="250"/>
      <c r="U58" s="250"/>
      <c r="V58" s="253"/>
      <c r="W58" s="250"/>
      <c r="X58" s="250"/>
      <c r="Y58" s="250"/>
      <c r="Z58" s="250"/>
      <c r="AA58" s="253"/>
      <c r="AB58" s="250"/>
      <c r="AC58" s="250"/>
      <c r="AD58" s="250"/>
      <c r="AE58" s="250"/>
      <c r="AF58" s="253"/>
      <c r="AG58" s="250"/>
      <c r="AH58" s="250"/>
      <c r="AI58" s="250"/>
      <c r="AJ58" s="250"/>
      <c r="AK58" s="253"/>
      <c r="AL58" s="250"/>
      <c r="AM58" s="250"/>
      <c r="AN58" s="250"/>
      <c r="AO58" s="250"/>
      <c r="AP58" s="253"/>
      <c r="AQ58" s="250"/>
      <c r="AR58" s="250"/>
      <c r="AS58" s="250"/>
      <c r="AT58" s="250"/>
      <c r="AU58" s="253"/>
      <c r="AV58" s="250"/>
      <c r="AW58" s="250"/>
      <c r="AX58" s="250"/>
      <c r="AY58" s="250"/>
      <c r="AZ58" s="253"/>
      <c r="BA58" s="250"/>
      <c r="BB58" s="250"/>
      <c r="BC58" s="250"/>
      <c r="BD58" s="250"/>
      <c r="BE58" s="253"/>
      <c r="BF58" s="250"/>
      <c r="BG58" s="250"/>
      <c r="BH58" s="250"/>
      <c r="BI58" s="250"/>
      <c r="BJ58" s="253"/>
      <c r="BK58" s="250"/>
      <c r="BL58" s="250"/>
      <c r="BM58" s="250"/>
      <c r="BN58" s="250"/>
      <c r="BO58" s="253"/>
      <c r="BP58" s="250"/>
      <c r="BQ58" s="250"/>
      <c r="BR58" s="250"/>
      <c r="BS58" s="250"/>
      <c r="BT58" s="253"/>
      <c r="BU58" s="250"/>
      <c r="BV58" s="250"/>
      <c r="BW58" s="250"/>
      <c r="BX58" s="250"/>
      <c r="BY58" s="253"/>
      <c r="BZ58" s="250"/>
      <c r="CA58" s="250"/>
      <c r="CB58" s="250"/>
      <c r="CC58" s="250"/>
      <c r="CD58" s="253"/>
      <c r="CE58" s="250"/>
      <c r="CF58" s="250"/>
      <c r="CG58" s="250"/>
      <c r="CH58" s="250"/>
      <c r="CI58" s="253"/>
      <c r="CJ58" s="250"/>
      <c r="CK58" s="250"/>
      <c r="CL58" s="250"/>
      <c r="CM58" s="250"/>
      <c r="CN58" s="253"/>
      <c r="CO58" s="250"/>
      <c r="CP58" s="250"/>
      <c r="CQ58" s="250"/>
      <c r="CR58" s="250"/>
      <c r="CS58" s="253"/>
      <c r="CT58" s="250"/>
      <c r="CU58" s="250"/>
      <c r="CV58" s="250"/>
      <c r="CW58" s="250"/>
      <c r="CX58" s="253"/>
      <c r="CY58" s="250"/>
      <c r="CZ58" s="250"/>
      <c r="DA58" s="250"/>
      <c r="DB58" s="250"/>
      <c r="DC58" s="253"/>
      <c r="DD58" s="250"/>
      <c r="DE58" s="250"/>
      <c r="DF58" s="250"/>
      <c r="DG58" s="250"/>
      <c r="DH58" s="253"/>
      <c r="DI58" s="250"/>
      <c r="DJ58" s="250"/>
      <c r="DK58" s="250"/>
      <c r="DL58" s="250"/>
      <c r="DM58" s="253"/>
      <c r="DN58" s="250"/>
      <c r="DO58" s="250"/>
      <c r="DP58" s="250"/>
      <c r="DQ58" s="250"/>
      <c r="DR58" s="253"/>
      <c r="DS58" s="250"/>
      <c r="DT58" s="250"/>
      <c r="DU58" s="250"/>
      <c r="DV58" s="250"/>
      <c r="DW58" s="253"/>
      <c r="DX58" s="250"/>
      <c r="DY58" s="250"/>
      <c r="DZ58" s="250"/>
      <c r="EA58" s="250"/>
      <c r="EB58" s="253"/>
      <c r="EC58" s="250"/>
      <c r="ED58" s="250"/>
      <c r="EE58" s="250"/>
      <c r="EF58" s="250"/>
      <c r="EG58" s="253"/>
      <c r="EH58" s="250"/>
      <c r="EI58" s="250"/>
      <c r="EJ58" s="250"/>
      <c r="EK58" s="250"/>
      <c r="EL58" s="253"/>
      <c r="EM58" s="250"/>
      <c r="EN58" s="250"/>
      <c r="EO58" s="250"/>
      <c r="EP58" s="250"/>
      <c r="EQ58" s="253"/>
      <c r="ER58" s="250"/>
      <c r="ES58" s="250"/>
      <c r="ET58" s="250"/>
      <c r="EU58" s="250"/>
      <c r="EV58" s="253"/>
      <c r="EW58" s="250"/>
      <c r="EX58" s="250"/>
      <c r="EY58" s="250"/>
      <c r="EZ58" s="250"/>
      <c r="FA58" s="253"/>
      <c r="FB58" s="250"/>
      <c r="FC58" s="250"/>
      <c r="FD58" s="250"/>
      <c r="FE58" s="250"/>
      <c r="FF58" s="253"/>
      <c r="FG58" s="250"/>
      <c r="FH58" s="250"/>
      <c r="FI58" s="250"/>
      <c r="FJ58" s="250"/>
      <c r="FK58" s="253"/>
      <c r="FL58" s="250"/>
      <c r="FM58" s="250"/>
      <c r="FN58" s="250"/>
      <c r="FO58" s="250"/>
      <c r="FP58" s="253"/>
      <c r="FQ58" s="250"/>
      <c r="FR58" s="250"/>
      <c r="FS58" s="250"/>
      <c r="FT58" s="250"/>
      <c r="FU58" s="253"/>
      <c r="FV58" s="250"/>
      <c r="FW58" s="250"/>
      <c r="FX58" s="250"/>
      <c r="FY58" s="250"/>
      <c r="FZ58" s="253"/>
      <c r="GA58" s="250"/>
      <c r="GB58" s="250"/>
      <c r="GC58" s="250"/>
      <c r="GD58" s="250"/>
      <c r="GE58" s="253"/>
    </row>
    <row r="59" spans="1:187" s="256" customFormat="1" ht="12.75" customHeight="1">
      <c r="A59" s="255"/>
      <c r="C59" s="257"/>
      <c r="D59" s="257"/>
      <c r="E59" s="257"/>
      <c r="F59" s="257"/>
      <c r="G59" s="257"/>
      <c r="H59" s="258"/>
      <c r="I59" s="258"/>
      <c r="J59" s="258"/>
      <c r="K59" s="258"/>
      <c r="L59" s="257"/>
      <c r="M59" s="258"/>
      <c r="N59" s="258"/>
      <c r="O59" s="258"/>
      <c r="P59" s="258"/>
      <c r="Q59" s="257"/>
      <c r="R59" s="258"/>
      <c r="S59" s="258"/>
      <c r="T59" s="258"/>
      <c r="U59" s="258"/>
      <c r="V59" s="257"/>
      <c r="W59" s="258"/>
      <c r="X59" s="258"/>
      <c r="Y59" s="258"/>
      <c r="Z59" s="258"/>
      <c r="AA59" s="257"/>
      <c r="AB59" s="258"/>
      <c r="AC59" s="258"/>
      <c r="AD59" s="258"/>
      <c r="AE59" s="258"/>
      <c r="AF59" s="257"/>
      <c r="AG59" s="258"/>
      <c r="AH59" s="258"/>
      <c r="AI59" s="258"/>
      <c r="AJ59" s="258"/>
      <c r="AK59" s="257"/>
      <c r="AL59" s="258"/>
      <c r="AM59" s="258"/>
      <c r="AN59" s="258"/>
      <c r="AO59" s="258"/>
      <c r="AP59" s="257"/>
      <c r="AQ59" s="258"/>
      <c r="AR59" s="258"/>
      <c r="AS59" s="258"/>
      <c r="AT59" s="258"/>
      <c r="AU59" s="257"/>
      <c r="AV59" s="258"/>
      <c r="AW59" s="258"/>
      <c r="AX59" s="258"/>
      <c r="AY59" s="258"/>
      <c r="AZ59" s="257"/>
      <c r="BA59" s="258"/>
      <c r="BB59" s="258"/>
      <c r="BC59" s="258"/>
      <c r="BD59" s="258"/>
      <c r="BE59" s="257"/>
      <c r="BF59" s="258"/>
      <c r="BG59" s="258"/>
      <c r="BH59" s="258"/>
      <c r="BI59" s="258"/>
      <c r="BJ59" s="257"/>
      <c r="BK59" s="258"/>
      <c r="BL59" s="258"/>
      <c r="BM59" s="258"/>
      <c r="BN59" s="258"/>
      <c r="BO59" s="257"/>
      <c r="BP59" s="258"/>
      <c r="BQ59" s="258"/>
      <c r="BR59" s="258"/>
      <c r="BS59" s="258"/>
      <c r="BT59" s="257"/>
      <c r="BU59" s="258"/>
      <c r="BV59" s="258"/>
      <c r="BW59" s="258"/>
      <c r="BX59" s="258"/>
      <c r="BY59" s="257"/>
      <c r="BZ59" s="258"/>
      <c r="CA59" s="258"/>
      <c r="CB59" s="258"/>
      <c r="CC59" s="258"/>
      <c r="CD59" s="257"/>
      <c r="CE59" s="258"/>
      <c r="CF59" s="258"/>
      <c r="CG59" s="258"/>
      <c r="CH59" s="258"/>
      <c r="CI59" s="257"/>
      <c r="CJ59" s="258"/>
      <c r="CK59" s="258"/>
      <c r="CL59" s="258"/>
      <c r="CM59" s="258"/>
      <c r="CN59" s="257"/>
      <c r="CO59" s="258"/>
      <c r="CP59" s="258"/>
      <c r="CQ59" s="258"/>
      <c r="CR59" s="258"/>
      <c r="CS59" s="257"/>
      <c r="CT59" s="258"/>
      <c r="CU59" s="258"/>
      <c r="CV59" s="258"/>
      <c r="CW59" s="258"/>
      <c r="CX59" s="257"/>
      <c r="CY59" s="258"/>
      <c r="CZ59" s="258"/>
      <c r="DA59" s="258"/>
      <c r="DB59" s="258"/>
      <c r="DC59" s="257"/>
      <c r="DD59" s="258"/>
      <c r="DE59" s="258"/>
      <c r="DF59" s="258"/>
      <c r="DG59" s="258"/>
      <c r="DH59" s="257"/>
      <c r="DI59" s="258"/>
      <c r="DJ59" s="258"/>
      <c r="DK59" s="258"/>
      <c r="DL59" s="258"/>
      <c r="DM59" s="257"/>
      <c r="DN59" s="258"/>
      <c r="DO59" s="258"/>
      <c r="DP59" s="258"/>
      <c r="DQ59" s="258"/>
      <c r="DR59" s="257"/>
      <c r="DS59" s="258"/>
      <c r="DT59" s="258"/>
      <c r="DU59" s="258"/>
      <c r="DV59" s="258"/>
      <c r="DW59" s="257"/>
      <c r="DX59" s="258"/>
      <c r="DY59" s="258"/>
      <c r="DZ59" s="258"/>
      <c r="EA59" s="258"/>
      <c r="EB59" s="257"/>
      <c r="EC59" s="258"/>
      <c r="ED59" s="258"/>
      <c r="EE59" s="258"/>
      <c r="EF59" s="258"/>
      <c r="EG59" s="257"/>
      <c r="EH59" s="258"/>
      <c r="EI59" s="258"/>
      <c r="EJ59" s="258"/>
      <c r="EK59" s="258"/>
      <c r="EL59" s="257"/>
      <c r="EM59" s="258"/>
      <c r="EN59" s="258"/>
      <c r="EO59" s="258"/>
      <c r="EP59" s="258"/>
      <c r="EQ59" s="257"/>
      <c r="ER59" s="258"/>
      <c r="ES59" s="258"/>
      <c r="ET59" s="258"/>
      <c r="EU59" s="258"/>
      <c r="EV59" s="257"/>
      <c r="EW59" s="258"/>
      <c r="EX59" s="258"/>
      <c r="EY59" s="258"/>
      <c r="EZ59" s="258"/>
      <c r="FA59" s="257"/>
      <c r="FB59" s="258"/>
      <c r="FC59" s="258"/>
      <c r="FD59" s="258"/>
      <c r="FE59" s="258"/>
      <c r="FF59" s="257"/>
      <c r="FG59" s="258"/>
      <c r="FH59" s="258"/>
      <c r="FI59" s="258"/>
      <c r="FJ59" s="258"/>
      <c r="FK59" s="257"/>
      <c r="FL59" s="258"/>
      <c r="FM59" s="258"/>
      <c r="FN59" s="258"/>
      <c r="FO59" s="258"/>
      <c r="FP59" s="257"/>
      <c r="FQ59" s="258"/>
      <c r="FR59" s="258"/>
      <c r="FS59" s="258"/>
      <c r="FT59" s="258"/>
      <c r="FU59" s="257"/>
      <c r="FV59" s="258"/>
      <c r="FW59" s="258"/>
      <c r="FX59" s="258"/>
      <c r="FY59" s="258"/>
      <c r="FZ59" s="257"/>
      <c r="GA59" s="258"/>
      <c r="GB59" s="258"/>
      <c r="GC59" s="258"/>
      <c r="GD59" s="258"/>
      <c r="GE59" s="257"/>
    </row>
    <row r="60" spans="1:187" s="553" customFormat="1" ht="12.75" customHeight="1">
      <c r="A60" s="144"/>
      <c r="B60" s="552"/>
      <c r="C60" s="106"/>
      <c r="D60" s="107"/>
      <c r="E60" s="107"/>
      <c r="F60" s="107"/>
      <c r="G60" s="340"/>
      <c r="H60" s="106"/>
      <c r="I60" s="107"/>
      <c r="J60" s="107"/>
      <c r="K60" s="107"/>
      <c r="L60" s="340"/>
      <c r="M60" s="106"/>
      <c r="N60" s="107"/>
      <c r="O60" s="107"/>
      <c r="P60" s="107"/>
      <c r="Q60" s="340"/>
      <c r="R60" s="106"/>
      <c r="S60" s="107"/>
      <c r="T60" s="107"/>
      <c r="U60" s="107"/>
      <c r="V60" s="340"/>
      <c r="W60" s="106"/>
      <c r="X60" s="107"/>
      <c r="Y60" s="107"/>
      <c r="Z60" s="107"/>
      <c r="AA60" s="340"/>
      <c r="AB60" s="106"/>
      <c r="AC60" s="107"/>
      <c r="AD60" s="107"/>
      <c r="AE60" s="107"/>
      <c r="AF60" s="340"/>
      <c r="AG60" s="106"/>
      <c r="AH60" s="107"/>
      <c r="AI60" s="107"/>
      <c r="AJ60" s="107"/>
      <c r="AK60" s="340"/>
      <c r="AL60" s="106"/>
      <c r="AM60" s="107"/>
      <c r="AN60" s="107"/>
      <c r="AO60" s="107"/>
      <c r="AP60" s="340"/>
      <c r="AQ60" s="106"/>
      <c r="AR60" s="107"/>
      <c r="AS60" s="107"/>
      <c r="AT60" s="107"/>
      <c r="AU60" s="340"/>
      <c r="AV60" s="106"/>
      <c r="AW60" s="107"/>
      <c r="AX60" s="107"/>
      <c r="AY60" s="107"/>
      <c r="AZ60" s="340"/>
      <c r="BA60" s="106"/>
      <c r="BB60" s="107"/>
      <c r="BC60" s="107"/>
      <c r="BD60" s="107"/>
      <c r="BE60" s="340"/>
      <c r="BF60" s="106"/>
      <c r="BG60" s="107"/>
      <c r="BH60" s="107"/>
      <c r="BI60" s="107"/>
      <c r="BJ60" s="340"/>
      <c r="BK60" s="106"/>
      <c r="BL60" s="107"/>
      <c r="BM60" s="107"/>
      <c r="BN60" s="107"/>
      <c r="BO60" s="340"/>
      <c r="BP60" s="106"/>
      <c r="BQ60" s="107"/>
      <c r="BR60" s="107"/>
      <c r="BS60" s="107"/>
      <c r="BT60" s="340"/>
      <c r="BU60" s="106"/>
      <c r="BV60" s="107"/>
      <c r="BW60" s="107"/>
      <c r="BX60" s="107"/>
      <c r="BY60" s="340"/>
      <c r="BZ60" s="106"/>
      <c r="CA60" s="107"/>
      <c r="CB60" s="107"/>
      <c r="CC60" s="107"/>
      <c r="CD60" s="340"/>
      <c r="CE60" s="106"/>
      <c r="CF60" s="107"/>
      <c r="CG60" s="107"/>
      <c r="CH60" s="107"/>
      <c r="CI60" s="340"/>
      <c r="CJ60" s="106"/>
      <c r="CK60" s="107"/>
      <c r="CL60" s="107"/>
      <c r="CM60" s="107"/>
      <c r="CN60" s="340"/>
      <c r="CO60" s="106"/>
      <c r="CP60" s="107"/>
      <c r="CQ60" s="107"/>
      <c r="CR60" s="107"/>
      <c r="CS60" s="340"/>
      <c r="CT60" s="106"/>
      <c r="CU60" s="107"/>
      <c r="CV60" s="107"/>
      <c r="CW60" s="107"/>
      <c r="CX60" s="340"/>
      <c r="CY60" s="106"/>
      <c r="CZ60" s="107"/>
      <c r="DA60" s="107"/>
      <c r="DB60" s="107"/>
      <c r="DC60" s="340"/>
      <c r="DD60" s="106"/>
      <c r="DE60" s="107"/>
      <c r="DF60" s="107"/>
      <c r="DG60" s="107"/>
      <c r="DH60" s="340"/>
      <c r="DI60" s="106"/>
      <c r="DJ60" s="107"/>
      <c r="DK60" s="107"/>
      <c r="DL60" s="107"/>
      <c r="DM60" s="340"/>
      <c r="DN60" s="106"/>
      <c r="DO60" s="107"/>
      <c r="DP60" s="107"/>
      <c r="DQ60" s="107"/>
      <c r="DR60" s="340"/>
      <c r="DS60" s="106"/>
      <c r="DT60" s="107"/>
      <c r="DU60" s="107"/>
      <c r="DV60" s="107"/>
      <c r="DW60" s="340"/>
      <c r="DX60" s="106"/>
      <c r="DY60" s="107"/>
      <c r="DZ60" s="107"/>
      <c r="EA60" s="107"/>
      <c r="EB60" s="340"/>
      <c r="EC60" s="106"/>
      <c r="ED60" s="107"/>
      <c r="EE60" s="107"/>
      <c r="EF60" s="107"/>
      <c r="EG60" s="340"/>
      <c r="EH60" s="106"/>
      <c r="EI60" s="107"/>
      <c r="EJ60" s="107"/>
      <c r="EK60" s="107"/>
      <c r="EL60" s="340"/>
      <c r="EM60" s="106"/>
      <c r="EN60" s="107"/>
      <c r="EO60" s="107"/>
      <c r="EP60" s="107"/>
      <c r="EQ60" s="340"/>
      <c r="ER60" s="106"/>
      <c r="ES60" s="107"/>
      <c r="ET60" s="107"/>
      <c r="EU60" s="107"/>
      <c r="EV60" s="340"/>
      <c r="EW60" s="106"/>
      <c r="EX60" s="107"/>
      <c r="EY60" s="107"/>
      <c r="EZ60" s="107"/>
      <c r="FA60" s="340"/>
      <c r="FB60" s="106"/>
      <c r="FC60" s="107"/>
      <c r="FD60" s="107"/>
      <c r="FE60" s="107"/>
      <c r="FF60" s="340"/>
      <c r="FG60" s="106"/>
      <c r="FH60" s="107"/>
      <c r="FI60" s="107"/>
      <c r="FJ60" s="107"/>
      <c r="FK60" s="340"/>
      <c r="FL60" s="106"/>
      <c r="FM60" s="107"/>
      <c r="FN60" s="107"/>
      <c r="FO60" s="107"/>
      <c r="FP60" s="340"/>
      <c r="FQ60" s="106"/>
      <c r="FR60" s="107"/>
      <c r="FS60" s="107"/>
      <c r="FT60" s="107"/>
      <c r="FU60" s="340"/>
      <c r="FV60" s="106"/>
      <c r="FW60" s="107"/>
      <c r="FX60" s="107"/>
      <c r="FY60" s="107"/>
      <c r="FZ60" s="340"/>
      <c r="GA60" s="106"/>
      <c r="GB60" s="107"/>
      <c r="GC60" s="107"/>
      <c r="GD60" s="107"/>
      <c r="GE60" s="340"/>
    </row>
    <row r="61" spans="1:187" s="556" customFormat="1" ht="12.75" customHeight="1">
      <c r="A61" s="109"/>
      <c r="B61" s="110"/>
      <c r="C61" s="554"/>
      <c r="D61" s="555"/>
      <c r="E61" s="555"/>
      <c r="F61" s="555"/>
      <c r="G61" s="111"/>
      <c r="H61" s="111"/>
      <c r="I61" s="111"/>
      <c r="J61" s="111"/>
      <c r="K61" s="111"/>
      <c r="L61" s="111"/>
      <c r="M61" s="111"/>
      <c r="N61" s="111"/>
      <c r="O61" s="111"/>
      <c r="P61" s="111"/>
      <c r="Q61" s="111"/>
      <c r="R61" s="111"/>
      <c r="S61" s="111"/>
      <c r="T61" s="111"/>
      <c r="U61" s="111"/>
      <c r="V61" s="111"/>
      <c r="W61" s="111"/>
      <c r="X61" s="111"/>
      <c r="Y61" s="111"/>
      <c r="Z61" s="111"/>
      <c r="AA61" s="111"/>
      <c r="AB61" s="111"/>
      <c r="AC61" s="111"/>
      <c r="AD61" s="111"/>
      <c r="AE61" s="111"/>
      <c r="AF61" s="111"/>
      <c r="AG61" s="111"/>
      <c r="AH61" s="111"/>
      <c r="AI61" s="111"/>
      <c r="AJ61" s="111"/>
      <c r="AK61" s="111"/>
      <c r="AL61" s="111"/>
      <c r="AM61" s="111"/>
      <c r="AN61" s="111"/>
      <c r="AO61" s="111"/>
      <c r="AP61" s="111"/>
      <c r="AQ61" s="111"/>
      <c r="AR61" s="111"/>
      <c r="AS61" s="111"/>
      <c r="AT61" s="111"/>
      <c r="AU61" s="111"/>
      <c r="AV61" s="111"/>
      <c r="AW61" s="111"/>
      <c r="AX61" s="111"/>
      <c r="AY61" s="111"/>
      <c r="AZ61" s="111"/>
      <c r="BA61" s="111"/>
      <c r="BB61" s="111"/>
      <c r="BC61" s="111"/>
      <c r="BD61" s="111"/>
      <c r="BE61" s="111"/>
      <c r="BF61" s="111"/>
      <c r="BG61" s="111"/>
      <c r="BH61" s="111"/>
      <c r="BI61" s="111"/>
      <c r="BJ61" s="111"/>
      <c r="BK61" s="111"/>
      <c r="BL61" s="111"/>
      <c r="BM61" s="111"/>
      <c r="BN61" s="111"/>
      <c r="BO61" s="111"/>
      <c r="BP61" s="111"/>
      <c r="BQ61" s="111"/>
      <c r="BR61" s="111"/>
      <c r="BS61" s="111"/>
      <c r="BT61" s="111"/>
      <c r="BU61" s="111"/>
      <c r="BV61" s="111"/>
      <c r="BW61" s="111"/>
      <c r="BX61" s="111"/>
      <c r="BY61" s="111"/>
      <c r="BZ61" s="111"/>
      <c r="CA61" s="111"/>
      <c r="CB61" s="111"/>
      <c r="CC61" s="111"/>
      <c r="CD61" s="111"/>
      <c r="CE61" s="111"/>
      <c r="CF61" s="111"/>
      <c r="CG61" s="111"/>
      <c r="CH61" s="111"/>
      <c r="CI61" s="111"/>
      <c r="CJ61" s="111"/>
      <c r="CK61" s="111"/>
      <c r="CL61" s="111"/>
      <c r="CM61" s="111"/>
      <c r="CN61" s="111"/>
      <c r="CO61" s="111"/>
      <c r="CP61" s="111"/>
      <c r="CQ61" s="111"/>
      <c r="CR61" s="111"/>
      <c r="CS61" s="111"/>
      <c r="CT61" s="111"/>
      <c r="CU61" s="111"/>
      <c r="CV61" s="111"/>
      <c r="CW61" s="111"/>
      <c r="CX61" s="111"/>
      <c r="CY61" s="111"/>
      <c r="CZ61" s="111"/>
      <c r="DA61" s="111"/>
      <c r="DB61" s="111"/>
      <c r="DC61" s="111"/>
      <c r="DD61" s="111"/>
      <c r="DE61" s="111"/>
      <c r="DF61" s="111"/>
      <c r="DG61" s="111"/>
      <c r="DH61" s="111"/>
      <c r="DI61" s="111"/>
      <c r="DJ61" s="111"/>
      <c r="DK61" s="111"/>
      <c r="DL61" s="111"/>
      <c r="DM61" s="111"/>
      <c r="DN61" s="111"/>
      <c r="DO61" s="111"/>
      <c r="DP61" s="111"/>
      <c r="DQ61" s="111"/>
      <c r="DR61" s="111"/>
      <c r="DS61" s="111"/>
      <c r="DT61" s="111"/>
      <c r="DU61" s="111"/>
      <c r="DV61" s="111"/>
      <c r="DW61" s="111"/>
      <c r="DX61" s="111"/>
      <c r="DY61" s="111"/>
      <c r="DZ61" s="111"/>
      <c r="EA61" s="111"/>
      <c r="EB61" s="111"/>
      <c r="EC61" s="111"/>
      <c r="ED61" s="111"/>
      <c r="EE61" s="111"/>
      <c r="EF61" s="111"/>
      <c r="EG61" s="111"/>
      <c r="EH61" s="111"/>
      <c r="EI61" s="111"/>
      <c r="EJ61" s="111"/>
      <c r="EK61" s="111"/>
      <c r="EL61" s="111"/>
      <c r="EM61" s="111"/>
      <c r="EN61" s="111"/>
      <c r="EO61" s="111"/>
      <c r="EP61" s="111"/>
      <c r="EQ61" s="111"/>
      <c r="ER61" s="111"/>
      <c r="ES61" s="111"/>
      <c r="ET61" s="111"/>
      <c r="EU61" s="111"/>
      <c r="EV61" s="111"/>
      <c r="EW61" s="111"/>
      <c r="EX61" s="111"/>
      <c r="EY61" s="111"/>
      <c r="EZ61" s="111"/>
      <c r="FA61" s="111"/>
      <c r="FB61" s="111"/>
      <c r="FC61" s="111"/>
      <c r="FD61" s="111"/>
      <c r="FE61" s="111"/>
      <c r="FF61" s="111"/>
      <c r="FG61" s="111"/>
      <c r="FH61" s="111"/>
      <c r="FI61" s="111"/>
      <c r="FJ61" s="111"/>
      <c r="FK61" s="111"/>
      <c r="FL61" s="111"/>
      <c r="FM61" s="111"/>
      <c r="FN61" s="111"/>
      <c r="FO61" s="111"/>
      <c r="FP61" s="111"/>
      <c r="FQ61" s="111"/>
      <c r="FR61" s="111"/>
      <c r="FS61" s="111"/>
      <c r="FT61" s="111"/>
      <c r="FU61" s="111"/>
      <c r="FV61" s="111"/>
      <c r="FW61" s="111"/>
      <c r="FX61" s="111"/>
      <c r="FY61" s="111"/>
      <c r="FZ61" s="111"/>
      <c r="GA61" s="111"/>
      <c r="GB61" s="111"/>
      <c r="GC61" s="111"/>
      <c r="GD61" s="111"/>
      <c r="GE61" s="111"/>
    </row>
    <row r="62" spans="1:187" s="561" customFormat="1" ht="12.75" customHeight="1">
      <c r="A62" s="557"/>
      <c r="B62" s="558"/>
      <c r="C62" s="559"/>
      <c r="D62" s="352"/>
      <c r="E62" s="352"/>
      <c r="F62" s="352"/>
      <c r="G62" s="560"/>
      <c r="H62" s="559"/>
      <c r="I62" s="352"/>
      <c r="J62" s="352"/>
      <c r="K62" s="352"/>
      <c r="L62" s="560"/>
      <c r="M62" s="559"/>
      <c r="N62" s="352"/>
      <c r="O62" s="352"/>
      <c r="P62" s="352"/>
      <c r="Q62" s="560"/>
      <c r="R62" s="559"/>
      <c r="S62" s="352"/>
      <c r="T62" s="352"/>
      <c r="U62" s="352"/>
      <c r="V62" s="560"/>
      <c r="W62" s="559"/>
      <c r="X62" s="352"/>
      <c r="Y62" s="352"/>
      <c r="Z62" s="352"/>
      <c r="AA62" s="560"/>
      <c r="AB62" s="559"/>
      <c r="AC62" s="352"/>
      <c r="AD62" s="352"/>
      <c r="AE62" s="352"/>
      <c r="AF62" s="560"/>
      <c r="AG62" s="559"/>
      <c r="AH62" s="352"/>
      <c r="AI62" s="352"/>
      <c r="AJ62" s="352"/>
      <c r="AK62" s="560"/>
      <c r="AL62" s="559"/>
      <c r="AM62" s="352"/>
      <c r="AN62" s="352"/>
      <c r="AO62" s="352"/>
      <c r="AP62" s="560"/>
      <c r="AQ62" s="559"/>
      <c r="AR62" s="352"/>
      <c r="AS62" s="352"/>
      <c r="AT62" s="352"/>
      <c r="AU62" s="560"/>
      <c r="AV62" s="559"/>
      <c r="AW62" s="352"/>
      <c r="AX62" s="352"/>
      <c r="AY62" s="352"/>
      <c r="AZ62" s="560"/>
      <c r="BA62" s="559"/>
      <c r="BB62" s="352"/>
      <c r="BC62" s="352"/>
      <c r="BD62" s="352"/>
      <c r="BE62" s="560"/>
      <c r="BF62" s="559"/>
      <c r="BG62" s="352"/>
      <c r="BH62" s="352"/>
      <c r="BI62" s="352"/>
      <c r="BJ62" s="560"/>
      <c r="BK62" s="559"/>
      <c r="BL62" s="352"/>
      <c r="BM62" s="352"/>
      <c r="BN62" s="352"/>
      <c r="BO62" s="560"/>
      <c r="BP62" s="559"/>
      <c r="BQ62" s="352"/>
      <c r="BR62" s="352"/>
      <c r="BS62" s="352"/>
      <c r="BT62" s="560"/>
      <c r="BU62" s="559"/>
      <c r="BV62" s="352"/>
      <c r="BW62" s="352"/>
      <c r="BX62" s="352"/>
      <c r="BY62" s="560"/>
      <c r="BZ62" s="559"/>
      <c r="CA62" s="352"/>
      <c r="CB62" s="352"/>
      <c r="CC62" s="352"/>
      <c r="CD62" s="560"/>
      <c r="CE62" s="559"/>
      <c r="CF62" s="352"/>
      <c r="CG62" s="352"/>
      <c r="CH62" s="352"/>
      <c r="CI62" s="560"/>
      <c r="CJ62" s="559"/>
      <c r="CK62" s="352"/>
      <c r="CL62" s="352"/>
      <c r="CM62" s="352"/>
      <c r="CN62" s="560"/>
      <c r="CO62" s="559"/>
      <c r="CP62" s="352"/>
      <c r="CQ62" s="352"/>
      <c r="CR62" s="352"/>
      <c r="CS62" s="560"/>
      <c r="CT62" s="559"/>
      <c r="CU62" s="352"/>
      <c r="CV62" s="352"/>
      <c r="CW62" s="352"/>
      <c r="CX62" s="560"/>
      <c r="CY62" s="559"/>
      <c r="CZ62" s="352"/>
      <c r="DA62" s="352"/>
      <c r="DB62" s="352"/>
      <c r="DC62" s="560"/>
      <c r="DD62" s="559"/>
      <c r="DE62" s="352"/>
      <c r="DF62" s="352"/>
      <c r="DG62" s="352"/>
      <c r="DH62" s="560"/>
      <c r="DI62" s="559"/>
      <c r="DJ62" s="352"/>
      <c r="DK62" s="352"/>
      <c r="DL62" s="352"/>
      <c r="DM62" s="560"/>
      <c r="DN62" s="559"/>
      <c r="DO62" s="352"/>
      <c r="DP62" s="352"/>
      <c r="DQ62" s="352"/>
      <c r="DR62" s="560"/>
      <c r="DS62" s="559"/>
      <c r="DT62" s="352"/>
      <c r="DU62" s="352"/>
      <c r="DV62" s="352"/>
      <c r="DW62" s="560"/>
      <c r="DX62" s="559"/>
      <c r="DY62" s="352"/>
      <c r="DZ62" s="352"/>
      <c r="EA62" s="352"/>
      <c r="EB62" s="560"/>
      <c r="EC62" s="559"/>
      <c r="ED62" s="352"/>
      <c r="EE62" s="352"/>
      <c r="EF62" s="352"/>
      <c r="EG62" s="560"/>
      <c r="EH62" s="559"/>
      <c r="EI62" s="352"/>
      <c r="EJ62" s="352"/>
      <c r="EK62" s="352"/>
      <c r="EL62" s="560"/>
      <c r="EM62" s="559"/>
      <c r="EN62" s="352"/>
      <c r="EO62" s="352"/>
      <c r="EP62" s="352"/>
      <c r="EQ62" s="560"/>
      <c r="ER62" s="559"/>
      <c r="ES62" s="352"/>
      <c r="ET62" s="352"/>
      <c r="EU62" s="352"/>
      <c r="EV62" s="560"/>
      <c r="EW62" s="559"/>
      <c r="EX62" s="352"/>
      <c r="EY62" s="352"/>
      <c r="EZ62" s="352"/>
      <c r="FA62" s="560"/>
      <c r="FB62" s="559"/>
      <c r="FC62" s="352"/>
      <c r="FD62" s="352"/>
      <c r="FE62" s="352"/>
      <c r="FF62" s="560"/>
      <c r="FG62" s="559"/>
      <c r="FH62" s="352"/>
      <c r="FI62" s="352"/>
      <c r="FJ62" s="352"/>
      <c r="FK62" s="560"/>
      <c r="FL62" s="559"/>
      <c r="FM62" s="352"/>
      <c r="FN62" s="352"/>
      <c r="FO62" s="352"/>
      <c r="FP62" s="560"/>
      <c r="FQ62" s="559"/>
      <c r="FR62" s="352"/>
      <c r="FS62" s="352"/>
      <c r="FT62" s="352"/>
      <c r="FU62" s="560"/>
      <c r="FV62" s="559"/>
      <c r="FW62" s="352"/>
      <c r="FX62" s="352"/>
      <c r="FY62" s="352"/>
      <c r="FZ62" s="560"/>
      <c r="GA62" s="559"/>
      <c r="GB62" s="352"/>
      <c r="GC62" s="352"/>
      <c r="GD62" s="352"/>
      <c r="GE62" s="560"/>
    </row>
    <row r="63" spans="1:187" s="564" customFormat="1" ht="12.75" customHeight="1">
      <c r="A63" s="144"/>
      <c r="B63" s="562"/>
      <c r="C63" s="104"/>
      <c r="D63" s="105"/>
      <c r="E63" s="105"/>
      <c r="F63" s="105"/>
      <c r="G63" s="563"/>
      <c r="H63" s="104"/>
      <c r="I63" s="105"/>
      <c r="J63" s="105"/>
      <c r="K63" s="105"/>
      <c r="L63" s="563"/>
      <c r="M63" s="104"/>
      <c r="N63" s="105"/>
      <c r="O63" s="105"/>
      <c r="P63" s="105"/>
      <c r="Q63" s="563"/>
      <c r="R63" s="104"/>
      <c r="S63" s="105"/>
      <c r="T63" s="105"/>
      <c r="U63" s="105"/>
      <c r="V63" s="563"/>
      <c r="W63" s="104"/>
      <c r="X63" s="105"/>
      <c r="Y63" s="105"/>
      <c r="Z63" s="105"/>
      <c r="AA63" s="563"/>
      <c r="AB63" s="104"/>
      <c r="AC63" s="105"/>
      <c r="AD63" s="105"/>
      <c r="AE63" s="105"/>
      <c r="AF63" s="563"/>
      <c r="AG63" s="104"/>
      <c r="AH63" s="105"/>
      <c r="AI63" s="105"/>
      <c r="AJ63" s="105"/>
      <c r="AK63" s="563"/>
      <c r="AL63" s="104"/>
      <c r="AM63" s="105"/>
      <c r="AN63" s="105"/>
      <c r="AO63" s="105"/>
      <c r="AP63" s="563"/>
      <c r="AQ63" s="104"/>
      <c r="AR63" s="105"/>
      <c r="AS63" s="105"/>
      <c r="AT63" s="105"/>
      <c r="AU63" s="563"/>
      <c r="AV63" s="104"/>
      <c r="AW63" s="105"/>
      <c r="AX63" s="105"/>
      <c r="AY63" s="105"/>
      <c r="AZ63" s="563"/>
      <c r="BA63" s="104"/>
      <c r="BB63" s="105"/>
      <c r="BC63" s="105"/>
      <c r="BD63" s="105"/>
      <c r="BE63" s="563"/>
      <c r="BF63" s="104"/>
      <c r="BG63" s="105"/>
      <c r="BH63" s="105"/>
      <c r="BI63" s="105"/>
      <c r="BJ63" s="563"/>
      <c r="BK63" s="104"/>
      <c r="BL63" s="105"/>
      <c r="BM63" s="105"/>
      <c r="BN63" s="105"/>
      <c r="BO63" s="563"/>
      <c r="BP63" s="104"/>
      <c r="BQ63" s="105"/>
      <c r="BR63" s="105"/>
      <c r="BS63" s="105"/>
      <c r="BT63" s="563"/>
      <c r="BU63" s="104"/>
      <c r="BV63" s="105"/>
      <c r="BW63" s="105"/>
      <c r="BX63" s="105"/>
      <c r="BY63" s="563"/>
      <c r="BZ63" s="104"/>
      <c r="CA63" s="105"/>
      <c r="CB63" s="105"/>
      <c r="CC63" s="105"/>
      <c r="CD63" s="563"/>
      <c r="CE63" s="104"/>
      <c r="CF63" s="105"/>
      <c r="CG63" s="105"/>
      <c r="CH63" s="105"/>
      <c r="CI63" s="563"/>
      <c r="CJ63" s="104"/>
      <c r="CK63" s="105"/>
      <c r="CL63" s="105"/>
      <c r="CM63" s="105"/>
      <c r="CN63" s="563"/>
      <c r="CO63" s="104"/>
      <c r="CP63" s="105"/>
      <c r="CQ63" s="105"/>
      <c r="CR63" s="105"/>
      <c r="CS63" s="563"/>
      <c r="CT63" s="104"/>
      <c r="CU63" s="105"/>
      <c r="CV63" s="105"/>
      <c r="CW63" s="105"/>
      <c r="CX63" s="563"/>
      <c r="CY63" s="104"/>
      <c r="CZ63" s="105"/>
      <c r="DA63" s="105"/>
      <c r="DB63" s="105"/>
      <c r="DC63" s="563"/>
      <c r="DD63" s="104"/>
      <c r="DE63" s="105"/>
      <c r="DF63" s="105"/>
      <c r="DG63" s="105"/>
      <c r="DH63" s="563"/>
      <c r="DI63" s="104"/>
      <c r="DJ63" s="105"/>
      <c r="DK63" s="105"/>
      <c r="DL63" s="105"/>
      <c r="DM63" s="563"/>
      <c r="DN63" s="104"/>
      <c r="DO63" s="105"/>
      <c r="DP63" s="105"/>
      <c r="DQ63" s="105"/>
      <c r="DR63" s="563"/>
      <c r="DS63" s="104"/>
      <c r="DT63" s="105"/>
      <c r="DU63" s="105"/>
      <c r="DV63" s="105"/>
      <c r="DW63" s="563"/>
      <c r="DX63" s="104"/>
      <c r="DY63" s="105"/>
      <c r="DZ63" s="105"/>
      <c r="EA63" s="105"/>
      <c r="EB63" s="563"/>
      <c r="EC63" s="104"/>
      <c r="ED63" s="105"/>
      <c r="EE63" s="105"/>
      <c r="EF63" s="105"/>
      <c r="EG63" s="563"/>
      <c r="EH63" s="104"/>
      <c r="EI63" s="105"/>
      <c r="EJ63" s="105"/>
      <c r="EK63" s="105"/>
      <c r="EL63" s="563"/>
      <c r="EM63" s="104"/>
      <c r="EN63" s="105"/>
      <c r="EO63" s="105"/>
      <c r="EP63" s="105"/>
      <c r="EQ63" s="563"/>
      <c r="ER63" s="104"/>
      <c r="ES63" s="105"/>
      <c r="ET63" s="105"/>
      <c r="EU63" s="105"/>
      <c r="EV63" s="563"/>
      <c r="EW63" s="104"/>
      <c r="EX63" s="105"/>
      <c r="EY63" s="105"/>
      <c r="EZ63" s="105"/>
      <c r="FA63" s="563"/>
      <c r="FB63" s="104"/>
      <c r="FC63" s="105"/>
      <c r="FD63" s="105"/>
      <c r="FE63" s="105"/>
      <c r="FF63" s="563"/>
      <c r="FG63" s="104"/>
      <c r="FH63" s="105"/>
      <c r="FI63" s="105"/>
      <c r="FJ63" s="105"/>
      <c r="FK63" s="563"/>
      <c r="FL63" s="104"/>
      <c r="FM63" s="105"/>
      <c r="FN63" s="105"/>
      <c r="FO63" s="105"/>
      <c r="FP63" s="563"/>
      <c r="FQ63" s="104"/>
      <c r="FR63" s="105"/>
      <c r="FS63" s="105"/>
      <c r="FT63" s="105"/>
      <c r="FU63" s="563"/>
      <c r="FV63" s="104"/>
      <c r="FW63" s="105"/>
      <c r="FX63" s="105"/>
      <c r="FY63" s="105"/>
      <c r="FZ63" s="563"/>
      <c r="GA63" s="104"/>
      <c r="GB63" s="105"/>
      <c r="GC63" s="105"/>
      <c r="GD63" s="105"/>
      <c r="GE63" s="563"/>
    </row>
    <row r="64" spans="1:187" s="542" customFormat="1" ht="12.75" customHeight="1">
      <c r="A64" s="68"/>
      <c r="B64" s="93"/>
      <c r="C64" s="215"/>
      <c r="D64" s="216"/>
      <c r="E64" s="216"/>
      <c r="F64" s="216"/>
      <c r="G64" s="93"/>
      <c r="H64" s="215"/>
      <c r="I64" s="216"/>
      <c r="J64" s="216"/>
      <c r="K64" s="216"/>
      <c r="L64" s="93"/>
      <c r="M64" s="215"/>
      <c r="N64" s="216"/>
      <c r="O64" s="216"/>
      <c r="P64" s="216"/>
      <c r="Q64" s="93"/>
      <c r="R64" s="215"/>
      <c r="S64" s="216"/>
      <c r="T64" s="216"/>
      <c r="U64" s="216"/>
      <c r="V64" s="93"/>
      <c r="W64" s="215"/>
      <c r="X64" s="216"/>
      <c r="Y64" s="216"/>
      <c r="Z64" s="216"/>
      <c r="AA64" s="93"/>
      <c r="AB64" s="215"/>
      <c r="AC64" s="216"/>
      <c r="AD64" s="216"/>
      <c r="AE64" s="216"/>
      <c r="AF64" s="93"/>
      <c r="AG64" s="215"/>
      <c r="AH64" s="216"/>
      <c r="AI64" s="216"/>
      <c r="AJ64" s="216"/>
      <c r="AK64" s="93"/>
      <c r="AL64" s="215"/>
      <c r="AM64" s="216"/>
      <c r="AN64" s="216"/>
      <c r="AO64" s="216"/>
      <c r="AP64" s="93"/>
      <c r="AQ64" s="215"/>
      <c r="AR64" s="216"/>
      <c r="AS64" s="216"/>
      <c r="AT64" s="216"/>
      <c r="AU64" s="93"/>
      <c r="AV64" s="215"/>
      <c r="AW64" s="216"/>
      <c r="AX64" s="216"/>
      <c r="AY64" s="216"/>
      <c r="AZ64" s="93"/>
      <c r="BA64" s="215"/>
      <c r="BB64" s="216"/>
      <c r="BC64" s="216"/>
      <c r="BD64" s="216"/>
      <c r="BE64" s="93"/>
      <c r="BF64" s="215"/>
      <c r="BG64" s="216"/>
      <c r="BH64" s="216"/>
      <c r="BI64" s="216"/>
      <c r="BJ64" s="93"/>
      <c r="BK64" s="215"/>
      <c r="BL64" s="216"/>
      <c r="BM64" s="216"/>
      <c r="BN64" s="216"/>
      <c r="BO64" s="93"/>
      <c r="BP64" s="215"/>
      <c r="BQ64" s="216"/>
      <c r="BR64" s="216"/>
      <c r="BS64" s="216"/>
      <c r="BT64" s="93"/>
      <c r="BU64" s="215"/>
      <c r="BV64" s="216"/>
      <c r="BW64" s="216"/>
      <c r="BX64" s="216"/>
      <c r="BY64" s="93"/>
      <c r="BZ64" s="215"/>
      <c r="CA64" s="216"/>
      <c r="CB64" s="216"/>
      <c r="CC64" s="216"/>
      <c r="CD64" s="93"/>
      <c r="CE64" s="215"/>
      <c r="CF64" s="216"/>
      <c r="CG64" s="216"/>
      <c r="CH64" s="216"/>
      <c r="CI64" s="93"/>
      <c r="CJ64" s="215"/>
      <c r="CK64" s="216"/>
      <c r="CL64" s="216"/>
      <c r="CM64" s="216"/>
      <c r="CN64" s="93"/>
      <c r="CO64" s="215"/>
      <c r="CP64" s="216"/>
      <c r="CQ64" s="216"/>
      <c r="CR64" s="216"/>
      <c r="CS64" s="93"/>
      <c r="CT64" s="215"/>
      <c r="CU64" s="216"/>
      <c r="CV64" s="216"/>
      <c r="CW64" s="216"/>
      <c r="CX64" s="93"/>
      <c r="CY64" s="215"/>
      <c r="CZ64" s="216"/>
      <c r="DA64" s="216"/>
      <c r="DB64" s="216"/>
      <c r="DC64" s="93"/>
      <c r="DD64" s="215"/>
      <c r="DE64" s="216"/>
      <c r="DF64" s="216"/>
      <c r="DG64" s="216"/>
      <c r="DH64" s="93"/>
      <c r="DI64" s="215"/>
      <c r="DJ64" s="216"/>
      <c r="DK64" s="216"/>
      <c r="DL64" s="216"/>
      <c r="DM64" s="93"/>
      <c r="DN64" s="215"/>
      <c r="DO64" s="216"/>
      <c r="DP64" s="216"/>
      <c r="DQ64" s="216"/>
      <c r="DR64" s="93"/>
      <c r="DS64" s="215"/>
      <c r="DT64" s="216"/>
      <c r="DU64" s="216"/>
      <c r="DV64" s="216"/>
      <c r="DW64" s="93"/>
      <c r="DX64" s="215"/>
      <c r="DY64" s="216"/>
      <c r="DZ64" s="216"/>
      <c r="EA64" s="216"/>
      <c r="EB64" s="93"/>
      <c r="EC64" s="215"/>
      <c r="ED64" s="216"/>
      <c r="EE64" s="216"/>
      <c r="EF64" s="216"/>
      <c r="EG64" s="93"/>
      <c r="EH64" s="215"/>
      <c r="EI64" s="216"/>
      <c r="EJ64" s="216"/>
      <c r="EK64" s="216"/>
      <c r="EL64" s="93"/>
      <c r="EM64" s="215"/>
      <c r="EN64" s="216"/>
      <c r="EO64" s="216"/>
      <c r="EP64" s="216"/>
      <c r="EQ64" s="93"/>
      <c r="ER64" s="215"/>
      <c r="ES64" s="216"/>
      <c r="ET64" s="216"/>
      <c r="EU64" s="216"/>
      <c r="EV64" s="93"/>
      <c r="EW64" s="215"/>
      <c r="EX64" s="216"/>
      <c r="EY64" s="216"/>
      <c r="EZ64" s="216"/>
      <c r="FA64" s="93"/>
      <c r="FB64" s="215"/>
      <c r="FC64" s="216"/>
      <c r="FD64" s="216"/>
      <c r="FE64" s="216"/>
      <c r="FF64" s="93"/>
      <c r="FG64" s="215"/>
      <c r="FH64" s="216"/>
      <c r="FI64" s="216"/>
      <c r="FJ64" s="216"/>
      <c r="FK64" s="93"/>
      <c r="FL64" s="215"/>
      <c r="FM64" s="216"/>
      <c r="FN64" s="216"/>
      <c r="FO64" s="216"/>
      <c r="FP64" s="93"/>
      <c r="FQ64" s="215"/>
      <c r="FR64" s="216"/>
      <c r="FS64" s="216"/>
      <c r="FT64" s="216"/>
      <c r="FU64" s="93"/>
      <c r="FV64" s="215"/>
      <c r="FW64" s="216"/>
      <c r="FX64" s="216"/>
      <c r="FY64" s="216"/>
      <c r="FZ64" s="93"/>
      <c r="GA64" s="215"/>
      <c r="GB64" s="216"/>
      <c r="GC64" s="216"/>
      <c r="GD64" s="216"/>
      <c r="GE64" s="93"/>
    </row>
    <row r="65" spans="1:187" s="542" customFormat="1" ht="12.75" customHeight="1">
      <c r="A65" s="68"/>
      <c r="B65" s="93"/>
      <c r="C65" s="94"/>
      <c r="D65" s="142"/>
      <c r="E65" s="142"/>
      <c r="F65" s="142"/>
      <c r="G65" s="93"/>
      <c r="H65" s="94"/>
      <c r="I65" s="142"/>
      <c r="J65" s="142"/>
      <c r="K65" s="142"/>
      <c r="L65" s="93"/>
      <c r="M65" s="94"/>
      <c r="N65" s="142"/>
      <c r="O65" s="142"/>
      <c r="P65" s="142"/>
      <c r="Q65" s="93"/>
      <c r="R65" s="94"/>
      <c r="S65" s="142"/>
      <c r="T65" s="142"/>
      <c r="U65" s="142"/>
      <c r="V65" s="93"/>
      <c r="W65" s="94"/>
      <c r="X65" s="142"/>
      <c r="Y65" s="142"/>
      <c r="Z65" s="142"/>
      <c r="AA65" s="93"/>
      <c r="AB65" s="94"/>
      <c r="AC65" s="142"/>
      <c r="AD65" s="142"/>
      <c r="AE65" s="142"/>
      <c r="AF65" s="93"/>
      <c r="AG65" s="94"/>
      <c r="AH65" s="142"/>
      <c r="AI65" s="142"/>
      <c r="AJ65" s="142"/>
      <c r="AK65" s="93"/>
      <c r="AL65" s="94"/>
      <c r="AM65" s="142"/>
      <c r="AN65" s="142"/>
      <c r="AO65" s="142"/>
      <c r="AP65" s="93"/>
      <c r="AQ65" s="94"/>
      <c r="AR65" s="142"/>
      <c r="AS65" s="142"/>
      <c r="AT65" s="142"/>
      <c r="AU65" s="93"/>
      <c r="AV65" s="94"/>
      <c r="AW65" s="142"/>
      <c r="AX65" s="142"/>
      <c r="AY65" s="142"/>
      <c r="AZ65" s="93"/>
      <c r="BA65" s="94"/>
      <c r="BB65" s="142"/>
      <c r="BC65" s="142"/>
      <c r="BD65" s="142"/>
      <c r="BE65" s="93"/>
      <c r="BF65" s="94"/>
      <c r="BG65" s="142"/>
      <c r="BH65" s="142"/>
      <c r="BI65" s="142"/>
      <c r="BJ65" s="93"/>
      <c r="BK65" s="94"/>
      <c r="BL65" s="142"/>
      <c r="BM65" s="142"/>
      <c r="BN65" s="142"/>
      <c r="BO65" s="93"/>
      <c r="BP65" s="94"/>
      <c r="BQ65" s="142"/>
      <c r="BR65" s="142"/>
      <c r="BS65" s="142"/>
      <c r="BT65" s="93"/>
      <c r="BU65" s="94"/>
      <c r="BV65" s="142"/>
      <c r="BW65" s="142"/>
      <c r="BX65" s="142"/>
      <c r="BY65" s="93"/>
      <c r="BZ65" s="94"/>
      <c r="CA65" s="142"/>
      <c r="CB65" s="142"/>
      <c r="CC65" s="142"/>
      <c r="CD65" s="93"/>
      <c r="CE65" s="94"/>
      <c r="CF65" s="142"/>
      <c r="CG65" s="142"/>
      <c r="CH65" s="142"/>
      <c r="CI65" s="93"/>
      <c r="CJ65" s="94"/>
      <c r="CK65" s="142"/>
      <c r="CL65" s="142"/>
      <c r="CM65" s="142"/>
      <c r="CN65" s="93"/>
      <c r="CO65" s="94"/>
      <c r="CP65" s="142"/>
      <c r="CQ65" s="142"/>
      <c r="CR65" s="142"/>
      <c r="CS65" s="93"/>
      <c r="CT65" s="94"/>
      <c r="CU65" s="142"/>
      <c r="CV65" s="142"/>
      <c r="CW65" s="142"/>
      <c r="CX65" s="93"/>
      <c r="CY65" s="94"/>
      <c r="CZ65" s="142"/>
      <c r="DA65" s="142"/>
      <c r="DB65" s="142"/>
      <c r="DC65" s="93"/>
      <c r="DD65" s="94"/>
      <c r="DE65" s="142"/>
      <c r="DF65" s="142"/>
      <c r="DG65" s="142"/>
      <c r="DH65" s="93"/>
      <c r="DI65" s="94"/>
      <c r="DJ65" s="142"/>
      <c r="DK65" s="142"/>
      <c r="DL65" s="142"/>
      <c r="DM65" s="93"/>
      <c r="DN65" s="94"/>
      <c r="DO65" s="142"/>
      <c r="DP65" s="142"/>
      <c r="DQ65" s="142"/>
      <c r="DR65" s="93"/>
      <c r="DS65" s="94"/>
      <c r="DT65" s="142"/>
      <c r="DU65" s="142"/>
      <c r="DV65" s="142"/>
      <c r="DW65" s="93"/>
      <c r="DX65" s="94"/>
      <c r="DY65" s="142"/>
      <c r="DZ65" s="142"/>
      <c r="EA65" s="142"/>
      <c r="EB65" s="93"/>
      <c r="EC65" s="94"/>
      <c r="ED65" s="142"/>
      <c r="EE65" s="142"/>
      <c r="EF65" s="142"/>
      <c r="EG65" s="93"/>
      <c r="EH65" s="94"/>
      <c r="EI65" s="142"/>
      <c r="EJ65" s="142"/>
      <c r="EK65" s="142"/>
      <c r="EL65" s="93"/>
      <c r="EM65" s="94"/>
      <c r="EN65" s="142"/>
      <c r="EO65" s="142"/>
      <c r="EP65" s="142"/>
      <c r="EQ65" s="93"/>
      <c r="ER65" s="94"/>
      <c r="ES65" s="142"/>
      <c r="ET65" s="142"/>
      <c r="EU65" s="142"/>
      <c r="EV65" s="93"/>
      <c r="EW65" s="94"/>
      <c r="EX65" s="142"/>
      <c r="EY65" s="142"/>
      <c r="EZ65" s="142"/>
      <c r="FA65" s="93"/>
      <c r="FB65" s="94"/>
      <c r="FC65" s="142"/>
      <c r="FD65" s="142"/>
      <c r="FE65" s="142"/>
      <c r="FF65" s="93"/>
      <c r="FG65" s="94"/>
      <c r="FH65" s="142"/>
      <c r="FI65" s="142"/>
      <c r="FJ65" s="142"/>
      <c r="FK65" s="93"/>
      <c r="FL65" s="94"/>
      <c r="FM65" s="142"/>
      <c r="FN65" s="142"/>
      <c r="FO65" s="142"/>
      <c r="FP65" s="93"/>
      <c r="FQ65" s="94"/>
      <c r="FR65" s="142"/>
      <c r="FS65" s="142"/>
      <c r="FT65" s="142"/>
      <c r="FU65" s="93"/>
      <c r="FV65" s="94"/>
      <c r="FW65" s="142"/>
      <c r="FX65" s="142"/>
      <c r="FY65" s="142"/>
      <c r="FZ65" s="93"/>
      <c r="GA65" s="94"/>
      <c r="GB65" s="142"/>
      <c r="GC65" s="142"/>
      <c r="GD65" s="142"/>
      <c r="GE65" s="93"/>
    </row>
    <row r="66" spans="1:187" s="542" customFormat="1" ht="12.75" customHeight="1">
      <c r="A66" s="68"/>
      <c r="B66" s="93"/>
      <c r="C66" s="104"/>
      <c r="D66" s="105"/>
      <c r="E66" s="105"/>
      <c r="F66" s="105"/>
      <c r="G66" s="563"/>
      <c r="H66" s="104"/>
      <c r="I66" s="105"/>
      <c r="J66" s="105"/>
      <c r="K66" s="105"/>
      <c r="L66" s="563"/>
      <c r="M66" s="104"/>
      <c r="N66" s="105"/>
      <c r="O66" s="105"/>
      <c r="P66" s="105"/>
      <c r="Q66" s="563"/>
      <c r="R66" s="104"/>
      <c r="S66" s="105"/>
      <c r="T66" s="105"/>
      <c r="U66" s="105"/>
      <c r="V66" s="563"/>
      <c r="W66" s="104"/>
      <c r="X66" s="105"/>
      <c r="Y66" s="105"/>
      <c r="Z66" s="105"/>
      <c r="AA66" s="563"/>
      <c r="AB66" s="104"/>
      <c r="AC66" s="105"/>
      <c r="AD66" s="105"/>
      <c r="AE66" s="105"/>
      <c r="AF66" s="563"/>
      <c r="AG66" s="104"/>
      <c r="AH66" s="105"/>
      <c r="AI66" s="105"/>
      <c r="AJ66" s="105"/>
      <c r="AK66" s="563"/>
      <c r="AL66" s="104"/>
      <c r="AM66" s="105"/>
      <c r="AN66" s="105"/>
      <c r="AO66" s="105"/>
      <c r="AP66" s="563"/>
      <c r="AQ66" s="104"/>
      <c r="AR66" s="105"/>
      <c r="AS66" s="105"/>
      <c r="AT66" s="105"/>
      <c r="AU66" s="563"/>
      <c r="AV66" s="104"/>
      <c r="AW66" s="105"/>
      <c r="AX66" s="105"/>
      <c r="AY66" s="105"/>
      <c r="AZ66" s="563"/>
      <c r="BA66" s="104"/>
      <c r="BB66" s="105"/>
      <c r="BC66" s="105"/>
      <c r="BD66" s="105"/>
      <c r="BE66" s="563"/>
      <c r="BF66" s="104"/>
      <c r="BG66" s="105"/>
      <c r="BH66" s="105"/>
      <c r="BI66" s="105"/>
      <c r="BJ66" s="563"/>
      <c r="BK66" s="104"/>
      <c r="BL66" s="105"/>
      <c r="BM66" s="105"/>
      <c r="BN66" s="105"/>
      <c r="BO66" s="563"/>
      <c r="BP66" s="104"/>
      <c r="BQ66" s="105"/>
      <c r="BR66" s="105"/>
      <c r="BS66" s="105"/>
      <c r="BT66" s="563"/>
      <c r="BU66" s="104"/>
      <c r="BV66" s="105"/>
      <c r="BW66" s="105"/>
      <c r="BX66" s="105"/>
      <c r="BY66" s="563"/>
      <c r="BZ66" s="104"/>
      <c r="CA66" s="105"/>
      <c r="CB66" s="105"/>
      <c r="CC66" s="105"/>
      <c r="CD66" s="563"/>
      <c r="CE66" s="104"/>
      <c r="CF66" s="105"/>
      <c r="CG66" s="105"/>
      <c r="CH66" s="105"/>
      <c r="CI66" s="563"/>
      <c r="CJ66" s="104"/>
      <c r="CK66" s="105"/>
      <c r="CL66" s="105"/>
      <c r="CM66" s="105"/>
      <c r="CN66" s="563"/>
      <c r="CO66" s="104"/>
      <c r="CP66" s="105"/>
      <c r="CQ66" s="105"/>
      <c r="CR66" s="105"/>
      <c r="CS66" s="563"/>
      <c r="CT66" s="104"/>
      <c r="CU66" s="105"/>
      <c r="CV66" s="105"/>
      <c r="CW66" s="105"/>
      <c r="CX66" s="563"/>
      <c r="CY66" s="104"/>
      <c r="CZ66" s="105"/>
      <c r="DA66" s="105"/>
      <c r="DB66" s="105"/>
      <c r="DC66" s="563"/>
      <c r="DD66" s="104"/>
      <c r="DE66" s="105"/>
      <c r="DF66" s="105"/>
      <c r="DG66" s="105"/>
      <c r="DH66" s="563"/>
      <c r="DI66" s="104"/>
      <c r="DJ66" s="105"/>
      <c r="DK66" s="105"/>
      <c r="DL66" s="105"/>
      <c r="DM66" s="563"/>
      <c r="DN66" s="104"/>
      <c r="DO66" s="105"/>
      <c r="DP66" s="105"/>
      <c r="DQ66" s="105"/>
      <c r="DR66" s="563"/>
      <c r="DS66" s="104"/>
      <c r="DT66" s="105"/>
      <c r="DU66" s="105"/>
      <c r="DV66" s="105"/>
      <c r="DW66" s="563"/>
      <c r="DX66" s="104"/>
      <c r="DY66" s="105"/>
      <c r="DZ66" s="105"/>
      <c r="EA66" s="105"/>
      <c r="EB66" s="563"/>
      <c r="EC66" s="104"/>
      <c r="ED66" s="105"/>
      <c r="EE66" s="105"/>
      <c r="EF66" s="105"/>
      <c r="EG66" s="563"/>
      <c r="EH66" s="104"/>
      <c r="EI66" s="105"/>
      <c r="EJ66" s="105"/>
      <c r="EK66" s="105"/>
      <c r="EL66" s="563"/>
      <c r="EM66" s="104"/>
      <c r="EN66" s="105"/>
      <c r="EO66" s="105"/>
      <c r="EP66" s="105"/>
      <c r="EQ66" s="563"/>
      <c r="ER66" s="104"/>
      <c r="ES66" s="105"/>
      <c r="ET66" s="105"/>
      <c r="EU66" s="105"/>
      <c r="EV66" s="563"/>
      <c r="EW66" s="104"/>
      <c r="EX66" s="105"/>
      <c r="EY66" s="105"/>
      <c r="EZ66" s="105"/>
      <c r="FA66" s="563"/>
      <c r="FB66" s="104"/>
      <c r="FC66" s="105"/>
      <c r="FD66" s="105"/>
      <c r="FE66" s="105"/>
      <c r="FF66" s="563"/>
      <c r="FG66" s="104"/>
      <c r="FH66" s="105"/>
      <c r="FI66" s="105"/>
      <c r="FJ66" s="105"/>
      <c r="FK66" s="563"/>
      <c r="FL66" s="104"/>
      <c r="FM66" s="105"/>
      <c r="FN66" s="105"/>
      <c r="FO66" s="105"/>
      <c r="FP66" s="563"/>
      <c r="FQ66" s="104"/>
      <c r="FR66" s="105"/>
      <c r="FS66" s="105"/>
      <c r="FT66" s="105"/>
      <c r="FU66" s="563"/>
      <c r="FV66" s="104"/>
      <c r="FW66" s="105"/>
      <c r="FX66" s="105"/>
      <c r="FY66" s="105"/>
      <c r="FZ66" s="563"/>
      <c r="GA66" s="104"/>
      <c r="GB66" s="105"/>
      <c r="GC66" s="105"/>
      <c r="GD66" s="105"/>
      <c r="GE66" s="563"/>
    </row>
    <row r="67" spans="1:187" s="564" customFormat="1" ht="12.75" customHeight="1">
      <c r="A67" s="144"/>
      <c r="B67" s="93"/>
      <c r="C67" s="104"/>
      <c r="D67" s="105"/>
      <c r="E67" s="105"/>
      <c r="F67" s="105"/>
      <c r="G67" s="563"/>
      <c r="H67" s="104"/>
      <c r="I67" s="105"/>
      <c r="J67" s="105"/>
      <c r="K67" s="105"/>
      <c r="L67" s="563"/>
      <c r="M67" s="104"/>
      <c r="N67" s="105"/>
      <c r="O67" s="105"/>
      <c r="P67" s="105"/>
      <c r="Q67" s="563"/>
      <c r="R67" s="104"/>
      <c r="S67" s="105"/>
      <c r="T67" s="105"/>
      <c r="U67" s="105"/>
      <c r="V67" s="563"/>
      <c r="W67" s="104"/>
      <c r="X67" s="105"/>
      <c r="Y67" s="105"/>
      <c r="Z67" s="105"/>
      <c r="AA67" s="563"/>
      <c r="AB67" s="104"/>
      <c r="AC67" s="105"/>
      <c r="AD67" s="105"/>
      <c r="AE67" s="105"/>
      <c r="AF67" s="563"/>
      <c r="AG67" s="104"/>
      <c r="AH67" s="105"/>
      <c r="AI67" s="105"/>
      <c r="AJ67" s="105"/>
      <c r="AK67" s="563"/>
      <c r="AL67" s="104"/>
      <c r="AM67" s="105"/>
      <c r="AN67" s="105"/>
      <c r="AO67" s="105"/>
      <c r="AP67" s="563"/>
      <c r="AQ67" s="104"/>
      <c r="AR67" s="105"/>
      <c r="AS67" s="105"/>
      <c r="AT67" s="105"/>
      <c r="AU67" s="563"/>
      <c r="AV67" s="104"/>
      <c r="AW67" s="105"/>
      <c r="AX67" s="105"/>
      <c r="AY67" s="105"/>
      <c r="AZ67" s="563"/>
      <c r="BA67" s="104"/>
      <c r="BB67" s="105"/>
      <c r="BC67" s="105"/>
      <c r="BD67" s="105"/>
      <c r="BE67" s="563"/>
      <c r="BF67" s="104"/>
      <c r="BG67" s="105"/>
      <c r="BH67" s="105"/>
      <c r="BI67" s="105"/>
      <c r="BJ67" s="563"/>
      <c r="BK67" s="104"/>
      <c r="BL67" s="105"/>
      <c r="BM67" s="105"/>
      <c r="BN67" s="105"/>
      <c r="BO67" s="563"/>
      <c r="BP67" s="104"/>
      <c r="BQ67" s="105"/>
      <c r="BR67" s="105"/>
      <c r="BS67" s="105"/>
      <c r="BT67" s="563"/>
      <c r="BU67" s="104"/>
      <c r="BV67" s="105"/>
      <c r="BW67" s="105"/>
      <c r="BX67" s="105"/>
      <c r="BY67" s="563"/>
      <c r="BZ67" s="104"/>
      <c r="CA67" s="105"/>
      <c r="CB67" s="105"/>
      <c r="CC67" s="105"/>
      <c r="CD67" s="563"/>
      <c r="CE67" s="104"/>
      <c r="CF67" s="105"/>
      <c r="CG67" s="105"/>
      <c r="CH67" s="105"/>
      <c r="CI67" s="563"/>
      <c r="CJ67" s="104"/>
      <c r="CK67" s="105"/>
      <c r="CL67" s="105"/>
      <c r="CM67" s="105"/>
      <c r="CN67" s="563"/>
      <c r="CO67" s="104"/>
      <c r="CP67" s="105"/>
      <c r="CQ67" s="105"/>
      <c r="CR67" s="105"/>
      <c r="CS67" s="563"/>
      <c r="CT67" s="104"/>
      <c r="CU67" s="105"/>
      <c r="CV67" s="105"/>
      <c r="CW67" s="105"/>
      <c r="CX67" s="563"/>
      <c r="CY67" s="104"/>
      <c r="CZ67" s="105"/>
      <c r="DA67" s="105"/>
      <c r="DB67" s="105"/>
      <c r="DC67" s="563"/>
      <c r="DD67" s="104"/>
      <c r="DE67" s="105"/>
      <c r="DF67" s="105"/>
      <c r="DG67" s="105"/>
      <c r="DH67" s="563"/>
      <c r="DI67" s="104"/>
      <c r="DJ67" s="105"/>
      <c r="DK67" s="105"/>
      <c r="DL67" s="105"/>
      <c r="DM67" s="563"/>
      <c r="DN67" s="104"/>
      <c r="DO67" s="105"/>
      <c r="DP67" s="105"/>
      <c r="DQ67" s="105"/>
      <c r="DR67" s="563"/>
      <c r="DS67" s="104"/>
      <c r="DT67" s="105"/>
      <c r="DU67" s="105"/>
      <c r="DV67" s="105"/>
      <c r="DW67" s="563"/>
      <c r="DX67" s="104"/>
      <c r="DY67" s="105"/>
      <c r="DZ67" s="105"/>
      <c r="EA67" s="105"/>
      <c r="EB67" s="563"/>
      <c r="EC67" s="104"/>
      <c r="ED67" s="105"/>
      <c r="EE67" s="105"/>
      <c r="EF67" s="105"/>
      <c r="EG67" s="563"/>
      <c r="EH67" s="104"/>
      <c r="EI67" s="105"/>
      <c r="EJ67" s="105"/>
      <c r="EK67" s="105"/>
      <c r="EL67" s="563"/>
      <c r="EM67" s="104"/>
      <c r="EN67" s="105"/>
      <c r="EO67" s="105"/>
      <c r="EP67" s="105"/>
      <c r="EQ67" s="563"/>
      <c r="ER67" s="104"/>
      <c r="ES67" s="105"/>
      <c r="ET67" s="105"/>
      <c r="EU67" s="105"/>
      <c r="EV67" s="563"/>
      <c r="EW67" s="104"/>
      <c r="EX67" s="105"/>
      <c r="EY67" s="105"/>
      <c r="EZ67" s="105"/>
      <c r="FA67" s="563"/>
      <c r="FB67" s="104"/>
      <c r="FC67" s="105"/>
      <c r="FD67" s="105"/>
      <c r="FE67" s="105"/>
      <c r="FF67" s="563"/>
      <c r="FG67" s="104"/>
      <c r="FH67" s="105"/>
      <c r="FI67" s="105"/>
      <c r="FJ67" s="105"/>
      <c r="FK67" s="563"/>
      <c r="FL67" s="104"/>
      <c r="FM67" s="105"/>
      <c r="FN67" s="105"/>
      <c r="FO67" s="105"/>
      <c r="FP67" s="563"/>
      <c r="FQ67" s="104"/>
      <c r="FR67" s="105"/>
      <c r="FS67" s="105"/>
      <c r="FT67" s="105"/>
      <c r="FU67" s="563"/>
      <c r="FV67" s="104"/>
      <c r="FW67" s="105"/>
      <c r="FX67" s="105"/>
      <c r="FY67" s="105"/>
      <c r="FZ67" s="563"/>
      <c r="GA67" s="104"/>
      <c r="GB67" s="105"/>
      <c r="GC67" s="105"/>
      <c r="GD67" s="105"/>
      <c r="GE67" s="563"/>
    </row>
    <row r="68" spans="1:187" s="542" customFormat="1" ht="12.75" customHeight="1">
      <c r="A68" s="68"/>
      <c r="B68" s="93"/>
      <c r="C68" s="215"/>
      <c r="D68" s="216"/>
      <c r="E68" s="216"/>
      <c r="F68" s="216"/>
      <c r="G68" s="93"/>
      <c r="H68" s="215"/>
      <c r="I68" s="216"/>
      <c r="J68" s="216"/>
      <c r="K68" s="216"/>
      <c r="L68" s="93"/>
      <c r="M68" s="215"/>
      <c r="N68" s="216"/>
      <c r="O68" s="216"/>
      <c r="P68" s="216"/>
      <c r="Q68" s="93"/>
      <c r="R68" s="215"/>
      <c r="S68" s="216"/>
      <c r="T68" s="216"/>
      <c r="U68" s="216"/>
      <c r="V68" s="93"/>
      <c r="W68" s="215"/>
      <c r="X68" s="216"/>
      <c r="Y68" s="216"/>
      <c r="Z68" s="216"/>
      <c r="AA68" s="93"/>
      <c r="AB68" s="215"/>
      <c r="AC68" s="216"/>
      <c r="AD68" s="216"/>
      <c r="AE68" s="216"/>
      <c r="AF68" s="93"/>
      <c r="AG68" s="215"/>
      <c r="AH68" s="216"/>
      <c r="AI68" s="216"/>
      <c r="AJ68" s="216"/>
      <c r="AK68" s="93"/>
      <c r="AL68" s="215"/>
      <c r="AM68" s="216"/>
      <c r="AN68" s="216"/>
      <c r="AO68" s="216"/>
      <c r="AP68" s="93"/>
      <c r="AQ68" s="215"/>
      <c r="AR68" s="216"/>
      <c r="AS68" s="216"/>
      <c r="AT68" s="216"/>
      <c r="AU68" s="93"/>
      <c r="AV68" s="215"/>
      <c r="AW68" s="216"/>
      <c r="AX68" s="216"/>
      <c r="AY68" s="216"/>
      <c r="AZ68" s="93"/>
      <c r="BA68" s="215"/>
      <c r="BB68" s="216"/>
      <c r="BC68" s="216"/>
      <c r="BD68" s="216"/>
      <c r="BE68" s="93"/>
      <c r="BF68" s="215"/>
      <c r="BG68" s="216"/>
      <c r="BH68" s="216"/>
      <c r="BI68" s="216"/>
      <c r="BJ68" s="93"/>
      <c r="BK68" s="215"/>
      <c r="BL68" s="216"/>
      <c r="BM68" s="216"/>
      <c r="BN68" s="216"/>
      <c r="BO68" s="93"/>
      <c r="BP68" s="215"/>
      <c r="BQ68" s="216"/>
      <c r="BR68" s="216"/>
      <c r="BS68" s="216"/>
      <c r="BT68" s="93"/>
      <c r="BU68" s="215"/>
      <c r="BV68" s="216"/>
      <c r="BW68" s="216"/>
      <c r="BX68" s="216"/>
      <c r="BY68" s="93"/>
      <c r="BZ68" s="215"/>
      <c r="CA68" s="216"/>
      <c r="CB68" s="216"/>
      <c r="CC68" s="216"/>
      <c r="CD68" s="93"/>
      <c r="CE68" s="215"/>
      <c r="CF68" s="216"/>
      <c r="CG68" s="216"/>
      <c r="CH68" s="216"/>
      <c r="CI68" s="93"/>
      <c r="CJ68" s="215"/>
      <c r="CK68" s="216"/>
      <c r="CL68" s="216"/>
      <c r="CM68" s="216"/>
      <c r="CN68" s="93"/>
      <c r="CO68" s="215"/>
      <c r="CP68" s="216"/>
      <c r="CQ68" s="216"/>
      <c r="CR68" s="216"/>
      <c r="CS68" s="93"/>
      <c r="CT68" s="215"/>
      <c r="CU68" s="216"/>
      <c r="CV68" s="216"/>
      <c r="CW68" s="216"/>
      <c r="CX68" s="93"/>
      <c r="CY68" s="215"/>
      <c r="CZ68" s="216"/>
      <c r="DA68" s="216"/>
      <c r="DB68" s="216"/>
      <c r="DC68" s="93"/>
      <c r="DD68" s="215"/>
      <c r="DE68" s="216"/>
      <c r="DF68" s="216"/>
      <c r="DG68" s="216"/>
      <c r="DH68" s="93"/>
      <c r="DI68" s="215"/>
      <c r="DJ68" s="216"/>
      <c r="DK68" s="216"/>
      <c r="DL68" s="216"/>
      <c r="DM68" s="93"/>
      <c r="DN68" s="215"/>
      <c r="DO68" s="216"/>
      <c r="DP68" s="216"/>
      <c r="DQ68" s="216"/>
      <c r="DR68" s="93"/>
      <c r="DS68" s="215"/>
      <c r="DT68" s="216"/>
      <c r="DU68" s="216"/>
      <c r="DV68" s="216"/>
      <c r="DW68" s="93"/>
      <c r="DX68" s="215"/>
      <c r="DY68" s="216"/>
      <c r="DZ68" s="216"/>
      <c r="EA68" s="216"/>
      <c r="EB68" s="93"/>
      <c r="EC68" s="215"/>
      <c r="ED68" s="216"/>
      <c r="EE68" s="216"/>
      <c r="EF68" s="216"/>
      <c r="EG68" s="93"/>
      <c r="EH68" s="215"/>
      <c r="EI68" s="216"/>
      <c r="EJ68" s="216"/>
      <c r="EK68" s="216"/>
      <c r="EL68" s="93"/>
      <c r="EM68" s="215"/>
      <c r="EN68" s="216"/>
      <c r="EO68" s="216"/>
      <c r="EP68" s="216"/>
      <c r="EQ68" s="93"/>
      <c r="ER68" s="215"/>
      <c r="ES68" s="216"/>
      <c r="ET68" s="216"/>
      <c r="EU68" s="216"/>
      <c r="EV68" s="93"/>
      <c r="EW68" s="215"/>
      <c r="EX68" s="216"/>
      <c r="EY68" s="216"/>
      <c r="EZ68" s="216"/>
      <c r="FA68" s="93"/>
      <c r="FB68" s="215"/>
      <c r="FC68" s="216"/>
      <c r="FD68" s="216"/>
      <c r="FE68" s="216"/>
      <c r="FF68" s="93"/>
      <c r="FG68" s="215"/>
      <c r="FH68" s="216"/>
      <c r="FI68" s="216"/>
      <c r="FJ68" s="216"/>
      <c r="FK68" s="93"/>
      <c r="FL68" s="215"/>
      <c r="FM68" s="216"/>
      <c r="FN68" s="216"/>
      <c r="FO68" s="216"/>
      <c r="FP68" s="93"/>
      <c r="FQ68" s="215"/>
      <c r="FR68" s="216"/>
      <c r="FS68" s="216"/>
      <c r="FT68" s="216"/>
      <c r="FU68" s="93"/>
      <c r="FV68" s="215"/>
      <c r="FW68" s="216"/>
      <c r="FX68" s="216"/>
      <c r="FY68" s="216"/>
      <c r="FZ68" s="93"/>
      <c r="GA68" s="215"/>
      <c r="GB68" s="216"/>
      <c r="GC68" s="216"/>
      <c r="GD68" s="216"/>
      <c r="GE68" s="93"/>
    </row>
    <row r="69" spans="1:187" s="542" customFormat="1" ht="12.75" customHeight="1">
      <c r="A69" s="68"/>
      <c r="B69" s="93"/>
      <c r="C69" s="174"/>
      <c r="D69" s="175"/>
      <c r="E69" s="175"/>
      <c r="F69" s="175"/>
      <c r="G69" s="565"/>
      <c r="H69" s="174"/>
      <c r="I69" s="175"/>
      <c r="J69" s="175"/>
      <c r="K69" s="175"/>
      <c r="L69" s="565"/>
      <c r="M69" s="174"/>
      <c r="N69" s="175"/>
      <c r="O69" s="175"/>
      <c r="P69" s="175"/>
      <c r="Q69" s="565"/>
      <c r="R69" s="174"/>
      <c r="S69" s="175"/>
      <c r="T69" s="175"/>
      <c r="U69" s="175"/>
      <c r="V69" s="565"/>
      <c r="W69" s="174"/>
      <c r="X69" s="175"/>
      <c r="Y69" s="175"/>
      <c r="Z69" s="175"/>
      <c r="AA69" s="565"/>
      <c r="AB69" s="174"/>
      <c r="AC69" s="175"/>
      <c r="AD69" s="175"/>
      <c r="AE69" s="175"/>
      <c r="AF69" s="565"/>
      <c r="AG69" s="174"/>
      <c r="AH69" s="175"/>
      <c r="AI69" s="175"/>
      <c r="AJ69" s="175"/>
      <c r="AK69" s="565"/>
      <c r="AL69" s="174"/>
      <c r="AM69" s="175"/>
      <c r="AN69" s="175"/>
      <c r="AO69" s="175"/>
      <c r="AP69" s="565"/>
      <c r="AQ69" s="174"/>
      <c r="AR69" s="175"/>
      <c r="AS69" s="175"/>
      <c r="AT69" s="175"/>
      <c r="AU69" s="565"/>
      <c r="AV69" s="174"/>
      <c r="AW69" s="175"/>
      <c r="AX69" s="175"/>
      <c r="AY69" s="175"/>
      <c r="AZ69" s="565"/>
      <c r="BA69" s="174"/>
      <c r="BB69" s="175"/>
      <c r="BC69" s="175"/>
      <c r="BD69" s="175"/>
      <c r="BE69" s="565"/>
      <c r="BF69" s="174"/>
      <c r="BG69" s="175"/>
      <c r="BH69" s="175"/>
      <c r="BI69" s="175"/>
      <c r="BJ69" s="565"/>
      <c r="BK69" s="174"/>
      <c r="BL69" s="175"/>
      <c r="BM69" s="175"/>
      <c r="BN69" s="175"/>
      <c r="BO69" s="565"/>
      <c r="BP69" s="174"/>
      <c r="BQ69" s="175"/>
      <c r="BR69" s="175"/>
      <c r="BS69" s="175"/>
      <c r="BT69" s="565"/>
      <c r="BU69" s="174"/>
      <c r="BV69" s="175"/>
      <c r="BW69" s="175"/>
      <c r="BX69" s="175"/>
      <c r="BY69" s="565"/>
      <c r="BZ69" s="174"/>
      <c r="CA69" s="175"/>
      <c r="CB69" s="175"/>
      <c r="CC69" s="175"/>
      <c r="CD69" s="565"/>
      <c r="CE69" s="174"/>
      <c r="CF69" s="175"/>
      <c r="CG69" s="175"/>
      <c r="CH69" s="175"/>
      <c r="CI69" s="565"/>
      <c r="CJ69" s="174"/>
      <c r="CK69" s="175"/>
      <c r="CL69" s="175"/>
      <c r="CM69" s="175"/>
      <c r="CN69" s="565"/>
      <c r="CO69" s="174"/>
      <c r="CP69" s="175"/>
      <c r="CQ69" s="175"/>
      <c r="CR69" s="175"/>
      <c r="CS69" s="565"/>
      <c r="CT69" s="174"/>
      <c r="CU69" s="175"/>
      <c r="CV69" s="175"/>
      <c r="CW69" s="175"/>
      <c r="CX69" s="565"/>
      <c r="CY69" s="174"/>
      <c r="CZ69" s="175"/>
      <c r="DA69" s="175"/>
      <c r="DB69" s="175"/>
      <c r="DC69" s="565"/>
      <c r="DD69" s="174"/>
      <c r="DE69" s="175"/>
      <c r="DF69" s="175"/>
      <c r="DG69" s="175"/>
      <c r="DH69" s="565"/>
      <c r="DI69" s="174"/>
      <c r="DJ69" s="175"/>
      <c r="DK69" s="175"/>
      <c r="DL69" s="175"/>
      <c r="DM69" s="565"/>
      <c r="DN69" s="174"/>
      <c r="DO69" s="175"/>
      <c r="DP69" s="175"/>
      <c r="DQ69" s="175"/>
      <c r="DR69" s="565"/>
      <c r="DS69" s="174"/>
      <c r="DT69" s="175"/>
      <c r="DU69" s="175"/>
      <c r="DV69" s="175"/>
      <c r="DW69" s="565"/>
      <c r="DX69" s="174"/>
      <c r="DY69" s="175"/>
      <c r="DZ69" s="175"/>
      <c r="EA69" s="175"/>
      <c r="EB69" s="565"/>
      <c r="EC69" s="174"/>
      <c r="ED69" s="175"/>
      <c r="EE69" s="175"/>
      <c r="EF69" s="175"/>
      <c r="EG69" s="565"/>
      <c r="EH69" s="174"/>
      <c r="EI69" s="175"/>
      <c r="EJ69" s="175"/>
      <c r="EK69" s="175"/>
      <c r="EL69" s="565"/>
      <c r="EM69" s="174"/>
      <c r="EN69" s="175"/>
      <c r="EO69" s="175"/>
      <c r="EP69" s="175"/>
      <c r="EQ69" s="565"/>
      <c r="ER69" s="174"/>
      <c r="ES69" s="175"/>
      <c r="ET69" s="175"/>
      <c r="EU69" s="175"/>
      <c r="EV69" s="565"/>
      <c r="EW69" s="174"/>
      <c r="EX69" s="175"/>
      <c r="EY69" s="175"/>
      <c r="EZ69" s="175"/>
      <c r="FA69" s="565"/>
      <c r="FB69" s="174"/>
      <c r="FC69" s="175"/>
      <c r="FD69" s="175"/>
      <c r="FE69" s="175"/>
      <c r="FF69" s="565"/>
      <c r="FG69" s="174"/>
      <c r="FH69" s="175"/>
      <c r="FI69" s="175"/>
      <c r="FJ69" s="175"/>
      <c r="FK69" s="565"/>
      <c r="FL69" s="174"/>
      <c r="FM69" s="175"/>
      <c r="FN69" s="175"/>
      <c r="FO69" s="175"/>
      <c r="FP69" s="565"/>
      <c r="FQ69" s="174"/>
      <c r="FR69" s="175"/>
      <c r="FS69" s="175"/>
      <c r="FT69" s="175"/>
      <c r="FU69" s="565"/>
      <c r="FV69" s="174"/>
      <c r="FW69" s="175"/>
      <c r="FX69" s="175"/>
      <c r="FY69" s="175"/>
      <c r="FZ69" s="565"/>
      <c r="GA69" s="174"/>
      <c r="GB69" s="175"/>
      <c r="GC69" s="175"/>
      <c r="GD69" s="175"/>
      <c r="GE69" s="565"/>
    </row>
    <row r="70" spans="1:187" s="542" customFormat="1" ht="12.75" customHeight="1">
      <c r="A70" s="68"/>
      <c r="B70" s="93"/>
      <c r="C70" s="215"/>
      <c r="D70" s="216"/>
      <c r="E70" s="216"/>
      <c r="F70" s="216"/>
      <c r="G70" s="93"/>
      <c r="H70" s="215"/>
      <c r="I70" s="216"/>
      <c r="J70" s="216"/>
      <c r="K70" s="216"/>
      <c r="L70" s="93"/>
      <c r="M70" s="215"/>
      <c r="N70" s="216"/>
      <c r="O70" s="216"/>
      <c r="P70" s="216"/>
      <c r="Q70" s="93"/>
      <c r="R70" s="215"/>
      <c r="S70" s="216"/>
      <c r="T70" s="216"/>
      <c r="U70" s="216"/>
      <c r="V70" s="93"/>
      <c r="W70" s="215"/>
      <c r="X70" s="216"/>
      <c r="Y70" s="216"/>
      <c r="Z70" s="216"/>
      <c r="AA70" s="93"/>
      <c r="AB70" s="215"/>
      <c r="AC70" s="216"/>
      <c r="AD70" s="216"/>
      <c r="AE70" s="216"/>
      <c r="AF70" s="93"/>
      <c r="AG70" s="215"/>
      <c r="AH70" s="216"/>
      <c r="AI70" s="216"/>
      <c r="AJ70" s="216"/>
      <c r="AK70" s="93"/>
      <c r="AL70" s="215"/>
      <c r="AM70" s="216"/>
      <c r="AN70" s="216"/>
      <c r="AO70" s="216"/>
      <c r="AP70" s="93"/>
      <c r="AQ70" s="215"/>
      <c r="AR70" s="216"/>
      <c r="AS70" s="216"/>
      <c r="AT70" s="216"/>
      <c r="AU70" s="93"/>
      <c r="AV70" s="215"/>
      <c r="AW70" s="216"/>
      <c r="AX70" s="216"/>
      <c r="AY70" s="216"/>
      <c r="AZ70" s="93"/>
      <c r="BA70" s="215"/>
      <c r="BB70" s="216"/>
      <c r="BC70" s="216"/>
      <c r="BD70" s="216"/>
      <c r="BE70" s="93"/>
      <c r="BF70" s="215"/>
      <c r="BG70" s="216"/>
      <c r="BH70" s="216"/>
      <c r="BI70" s="216"/>
      <c r="BJ70" s="93"/>
      <c r="BK70" s="215"/>
      <c r="BL70" s="216"/>
      <c r="BM70" s="216"/>
      <c r="BN70" s="216"/>
      <c r="BO70" s="93"/>
      <c r="BP70" s="215"/>
      <c r="BQ70" s="216"/>
      <c r="BR70" s="216"/>
      <c r="BS70" s="216"/>
      <c r="BT70" s="93"/>
      <c r="BU70" s="215"/>
      <c r="BV70" s="216"/>
      <c r="BW70" s="216"/>
      <c r="BX70" s="216"/>
      <c r="BY70" s="93"/>
      <c r="BZ70" s="215"/>
      <c r="CA70" s="216"/>
      <c r="CB70" s="216"/>
      <c r="CC70" s="216"/>
      <c r="CD70" s="93"/>
      <c r="CE70" s="215"/>
      <c r="CF70" s="216"/>
      <c r="CG70" s="216"/>
      <c r="CH70" s="216"/>
      <c r="CI70" s="93"/>
      <c r="CJ70" s="215"/>
      <c r="CK70" s="216"/>
      <c r="CL70" s="216"/>
      <c r="CM70" s="216"/>
      <c r="CN70" s="93"/>
      <c r="CO70" s="215"/>
      <c r="CP70" s="216"/>
      <c r="CQ70" s="216"/>
      <c r="CR70" s="216"/>
      <c r="CS70" s="93"/>
      <c r="CT70" s="215"/>
      <c r="CU70" s="216"/>
      <c r="CV70" s="216"/>
      <c r="CW70" s="216"/>
      <c r="CX70" s="93"/>
      <c r="CY70" s="215"/>
      <c r="CZ70" s="216"/>
      <c r="DA70" s="216"/>
      <c r="DB70" s="216"/>
      <c r="DC70" s="93"/>
      <c r="DD70" s="215"/>
      <c r="DE70" s="216"/>
      <c r="DF70" s="216"/>
      <c r="DG70" s="216"/>
      <c r="DH70" s="93"/>
      <c r="DI70" s="215"/>
      <c r="DJ70" s="216"/>
      <c r="DK70" s="216"/>
      <c r="DL70" s="216"/>
      <c r="DM70" s="93"/>
      <c r="DN70" s="215"/>
      <c r="DO70" s="216"/>
      <c r="DP70" s="216"/>
      <c r="DQ70" s="216"/>
      <c r="DR70" s="93"/>
      <c r="DS70" s="215"/>
      <c r="DT70" s="216"/>
      <c r="DU70" s="216"/>
      <c r="DV70" s="216"/>
      <c r="DW70" s="93"/>
      <c r="DX70" s="215"/>
      <c r="DY70" s="216"/>
      <c r="DZ70" s="216"/>
      <c r="EA70" s="216"/>
      <c r="EB70" s="93"/>
      <c r="EC70" s="215"/>
      <c r="ED70" s="216"/>
      <c r="EE70" s="216"/>
      <c r="EF70" s="216"/>
      <c r="EG70" s="93"/>
      <c r="EH70" s="215"/>
      <c r="EI70" s="216"/>
      <c r="EJ70" s="216"/>
      <c r="EK70" s="216"/>
      <c r="EL70" s="93"/>
      <c r="EM70" s="215"/>
      <c r="EN70" s="216"/>
      <c r="EO70" s="216"/>
      <c r="EP70" s="216"/>
      <c r="EQ70" s="93"/>
      <c r="ER70" s="215"/>
      <c r="ES70" s="216"/>
      <c r="ET70" s="216"/>
      <c r="EU70" s="216"/>
      <c r="EV70" s="93"/>
      <c r="EW70" s="215"/>
      <c r="EX70" s="216"/>
      <c r="EY70" s="216"/>
      <c r="EZ70" s="216"/>
      <c r="FA70" s="93"/>
      <c r="FB70" s="215"/>
      <c r="FC70" s="216"/>
      <c r="FD70" s="216"/>
      <c r="FE70" s="216"/>
      <c r="FF70" s="93"/>
      <c r="FG70" s="215"/>
      <c r="FH70" s="216"/>
      <c r="FI70" s="216"/>
      <c r="FJ70" s="216"/>
      <c r="FK70" s="93"/>
      <c r="FL70" s="215"/>
      <c r="FM70" s="216"/>
      <c r="FN70" s="216"/>
      <c r="FO70" s="216"/>
      <c r="FP70" s="93"/>
      <c r="FQ70" s="215"/>
      <c r="FR70" s="216"/>
      <c r="FS70" s="216"/>
      <c r="FT70" s="216"/>
      <c r="FU70" s="93"/>
      <c r="FV70" s="215"/>
      <c r="FW70" s="216"/>
      <c r="FX70" s="216"/>
      <c r="FY70" s="216"/>
      <c r="FZ70" s="93"/>
      <c r="GA70" s="215"/>
      <c r="GB70" s="216"/>
      <c r="GC70" s="216"/>
      <c r="GD70" s="216"/>
      <c r="GE70" s="93"/>
    </row>
    <row r="71" spans="1:187" s="542" customFormat="1" ht="12.75" customHeight="1">
      <c r="A71" s="68"/>
      <c r="B71" s="93"/>
      <c r="C71" s="94"/>
      <c r="D71" s="142"/>
      <c r="E71" s="142"/>
      <c r="F71" s="142"/>
      <c r="G71" s="93"/>
      <c r="H71" s="94"/>
      <c r="I71" s="142"/>
      <c r="J71" s="142"/>
      <c r="K71" s="142"/>
      <c r="L71" s="93"/>
      <c r="M71" s="94"/>
      <c r="N71" s="142"/>
      <c r="O71" s="142"/>
      <c r="P71" s="142"/>
      <c r="Q71" s="93"/>
      <c r="R71" s="94"/>
      <c r="S71" s="142"/>
      <c r="T71" s="142"/>
      <c r="U71" s="142"/>
      <c r="V71" s="93"/>
      <c r="W71" s="94"/>
      <c r="X71" s="142"/>
      <c r="Y71" s="142"/>
      <c r="Z71" s="142"/>
      <c r="AA71" s="93"/>
      <c r="AB71" s="94"/>
      <c r="AC71" s="142"/>
      <c r="AD71" s="142"/>
      <c r="AE71" s="142"/>
      <c r="AF71" s="93"/>
      <c r="AG71" s="94"/>
      <c r="AH71" s="142"/>
      <c r="AI71" s="142"/>
      <c r="AJ71" s="142"/>
      <c r="AK71" s="93"/>
      <c r="AL71" s="94"/>
      <c r="AM71" s="142"/>
      <c r="AN71" s="142"/>
      <c r="AO71" s="142"/>
      <c r="AP71" s="93"/>
      <c r="AQ71" s="94"/>
      <c r="AR71" s="142"/>
      <c r="AS71" s="142"/>
      <c r="AT71" s="142"/>
      <c r="AU71" s="93"/>
      <c r="AV71" s="94"/>
      <c r="AW71" s="142"/>
      <c r="AX71" s="142"/>
      <c r="AY71" s="142"/>
      <c r="AZ71" s="93"/>
      <c r="BA71" s="94"/>
      <c r="BB71" s="142"/>
      <c r="BC71" s="142"/>
      <c r="BD71" s="142"/>
      <c r="BE71" s="93"/>
      <c r="BF71" s="94"/>
      <c r="BG71" s="142"/>
      <c r="BH71" s="142"/>
      <c r="BI71" s="142"/>
      <c r="BJ71" s="93"/>
      <c r="BK71" s="94"/>
      <c r="BL71" s="142"/>
      <c r="BM71" s="142"/>
      <c r="BN71" s="142"/>
      <c r="BO71" s="93"/>
      <c r="BP71" s="94"/>
      <c r="BQ71" s="142"/>
      <c r="BR71" s="142"/>
      <c r="BS71" s="142"/>
      <c r="BT71" s="93"/>
      <c r="BU71" s="94"/>
      <c r="BV71" s="142"/>
      <c r="BW71" s="142"/>
      <c r="BX71" s="142"/>
      <c r="BY71" s="93"/>
      <c r="BZ71" s="94"/>
      <c r="CA71" s="142"/>
      <c r="CB71" s="142"/>
      <c r="CC71" s="142"/>
      <c r="CD71" s="93"/>
      <c r="CE71" s="94"/>
      <c r="CF71" s="142"/>
      <c r="CG71" s="142"/>
      <c r="CH71" s="142"/>
      <c r="CI71" s="93"/>
      <c r="CJ71" s="94"/>
      <c r="CK71" s="142"/>
      <c r="CL71" s="142"/>
      <c r="CM71" s="142"/>
      <c r="CN71" s="93"/>
      <c r="CO71" s="94"/>
      <c r="CP71" s="142"/>
      <c r="CQ71" s="142"/>
      <c r="CR71" s="142"/>
      <c r="CS71" s="93"/>
      <c r="CT71" s="94"/>
      <c r="CU71" s="142"/>
      <c r="CV71" s="142"/>
      <c r="CW71" s="142"/>
      <c r="CX71" s="93"/>
      <c r="CY71" s="94"/>
      <c r="CZ71" s="142"/>
      <c r="DA71" s="142"/>
      <c r="DB71" s="142"/>
      <c r="DC71" s="93"/>
      <c r="DD71" s="94"/>
      <c r="DE71" s="142"/>
      <c r="DF71" s="142"/>
      <c r="DG71" s="142"/>
      <c r="DH71" s="93"/>
      <c r="DI71" s="94"/>
      <c r="DJ71" s="142"/>
      <c r="DK71" s="142"/>
      <c r="DL71" s="142"/>
      <c r="DM71" s="93"/>
      <c r="DN71" s="94"/>
      <c r="DO71" s="142"/>
      <c r="DP71" s="142"/>
      <c r="DQ71" s="142"/>
      <c r="DR71" s="93"/>
      <c r="DS71" s="94"/>
      <c r="DT71" s="142"/>
      <c r="DU71" s="142"/>
      <c r="DV71" s="142"/>
      <c r="DW71" s="93"/>
      <c r="DX71" s="94"/>
      <c r="DY71" s="142"/>
      <c r="DZ71" s="142"/>
      <c r="EA71" s="142"/>
      <c r="EB71" s="93"/>
      <c r="EC71" s="94"/>
      <c r="ED71" s="142"/>
      <c r="EE71" s="142"/>
      <c r="EF71" s="142"/>
      <c r="EG71" s="93"/>
      <c r="EH71" s="94"/>
      <c r="EI71" s="142"/>
      <c r="EJ71" s="142"/>
      <c r="EK71" s="142"/>
      <c r="EL71" s="93"/>
      <c r="EM71" s="94"/>
      <c r="EN71" s="142"/>
      <c r="EO71" s="142"/>
      <c r="EP71" s="142"/>
      <c r="EQ71" s="93"/>
      <c r="ER71" s="94"/>
      <c r="ES71" s="142"/>
      <c r="ET71" s="142"/>
      <c r="EU71" s="142"/>
      <c r="EV71" s="93"/>
      <c r="EW71" s="94"/>
      <c r="EX71" s="142"/>
      <c r="EY71" s="142"/>
      <c r="EZ71" s="142"/>
      <c r="FA71" s="93"/>
      <c r="FB71" s="94"/>
      <c r="FC71" s="142"/>
      <c r="FD71" s="142"/>
      <c r="FE71" s="142"/>
      <c r="FF71" s="93"/>
      <c r="FG71" s="94"/>
      <c r="FH71" s="142"/>
      <c r="FI71" s="142"/>
      <c r="FJ71" s="142"/>
      <c r="FK71" s="93"/>
      <c r="FL71" s="94"/>
      <c r="FM71" s="142"/>
      <c r="FN71" s="142"/>
      <c r="FO71" s="142"/>
      <c r="FP71" s="93"/>
      <c r="FQ71" s="94"/>
      <c r="FR71" s="142"/>
      <c r="FS71" s="142"/>
      <c r="FT71" s="142"/>
      <c r="FU71" s="93"/>
      <c r="FV71" s="94"/>
      <c r="FW71" s="142"/>
      <c r="FX71" s="142"/>
      <c r="FY71" s="142"/>
      <c r="FZ71" s="93"/>
      <c r="GA71" s="94"/>
      <c r="GB71" s="142"/>
      <c r="GC71" s="142"/>
      <c r="GD71" s="142"/>
      <c r="GE71" s="93"/>
    </row>
    <row r="72" spans="1:187" s="542" customFormat="1" ht="12.75" customHeight="1">
      <c r="A72" s="68"/>
      <c r="B72" s="93"/>
      <c r="C72" s="104"/>
      <c r="D72" s="105"/>
      <c r="E72" s="105"/>
      <c r="F72" s="105"/>
      <c r="G72" s="563"/>
      <c r="H72" s="104"/>
      <c r="I72" s="105"/>
      <c r="J72" s="105"/>
      <c r="K72" s="105"/>
      <c r="L72" s="563"/>
      <c r="M72" s="104"/>
      <c r="N72" s="105"/>
      <c r="O72" s="105"/>
      <c r="P72" s="105"/>
      <c r="Q72" s="563"/>
      <c r="R72" s="104"/>
      <c r="S72" s="105"/>
      <c r="T72" s="105"/>
      <c r="U72" s="105"/>
      <c r="V72" s="563"/>
      <c r="W72" s="104"/>
      <c r="X72" s="105"/>
      <c r="Y72" s="105"/>
      <c r="Z72" s="105"/>
      <c r="AA72" s="563"/>
      <c r="AB72" s="104"/>
      <c r="AC72" s="105"/>
      <c r="AD72" s="105"/>
      <c r="AE72" s="105"/>
      <c r="AF72" s="563"/>
      <c r="AG72" s="104"/>
      <c r="AH72" s="105"/>
      <c r="AI72" s="105"/>
      <c r="AJ72" s="105"/>
      <c r="AK72" s="563"/>
      <c r="AL72" s="104"/>
      <c r="AM72" s="105"/>
      <c r="AN72" s="105"/>
      <c r="AO72" s="105"/>
      <c r="AP72" s="563"/>
      <c r="AQ72" s="104"/>
      <c r="AR72" s="105"/>
      <c r="AS72" s="105"/>
      <c r="AT72" s="105"/>
      <c r="AU72" s="563"/>
      <c r="AV72" s="104"/>
      <c r="AW72" s="105"/>
      <c r="AX72" s="105"/>
      <c r="AY72" s="105"/>
      <c r="AZ72" s="563"/>
      <c r="BA72" s="104"/>
      <c r="BB72" s="105"/>
      <c r="BC72" s="105"/>
      <c r="BD72" s="105"/>
      <c r="BE72" s="563"/>
      <c r="BF72" s="104"/>
      <c r="BG72" s="105"/>
      <c r="BH72" s="105"/>
      <c r="BI72" s="105"/>
      <c r="BJ72" s="563"/>
      <c r="BK72" s="104"/>
      <c r="BL72" s="105"/>
      <c r="BM72" s="105"/>
      <c r="BN72" s="105"/>
      <c r="BO72" s="563"/>
      <c r="BP72" s="104"/>
      <c r="BQ72" s="105"/>
      <c r="BR72" s="105"/>
      <c r="BS72" s="105"/>
      <c r="BT72" s="563"/>
      <c r="BU72" s="104"/>
      <c r="BV72" s="105"/>
      <c r="BW72" s="105"/>
      <c r="BX72" s="105"/>
      <c r="BY72" s="563"/>
      <c r="BZ72" s="104"/>
      <c r="CA72" s="105"/>
      <c r="CB72" s="105"/>
      <c r="CC72" s="105"/>
      <c r="CD72" s="563"/>
      <c r="CE72" s="104"/>
      <c r="CF72" s="105"/>
      <c r="CG72" s="105"/>
      <c r="CH72" s="105"/>
      <c r="CI72" s="563"/>
      <c r="CJ72" s="104"/>
      <c r="CK72" s="105"/>
      <c r="CL72" s="105"/>
      <c r="CM72" s="105"/>
      <c r="CN72" s="563"/>
      <c r="CO72" s="104"/>
      <c r="CP72" s="105"/>
      <c r="CQ72" s="105"/>
      <c r="CR72" s="105"/>
      <c r="CS72" s="563"/>
      <c r="CT72" s="104"/>
      <c r="CU72" s="105"/>
      <c r="CV72" s="105"/>
      <c r="CW72" s="105"/>
      <c r="CX72" s="563"/>
      <c r="CY72" s="104"/>
      <c r="CZ72" s="105"/>
      <c r="DA72" s="105"/>
      <c r="DB72" s="105"/>
      <c r="DC72" s="563"/>
      <c r="DD72" s="104"/>
      <c r="DE72" s="105"/>
      <c r="DF72" s="105"/>
      <c r="DG72" s="105"/>
      <c r="DH72" s="563"/>
      <c r="DI72" s="104"/>
      <c r="DJ72" s="105"/>
      <c r="DK72" s="105"/>
      <c r="DL72" s="105"/>
      <c r="DM72" s="563"/>
      <c r="DN72" s="104"/>
      <c r="DO72" s="105"/>
      <c r="DP72" s="105"/>
      <c r="DQ72" s="105"/>
      <c r="DR72" s="563"/>
      <c r="DS72" s="104"/>
      <c r="DT72" s="105"/>
      <c r="DU72" s="105"/>
      <c r="DV72" s="105"/>
      <c r="DW72" s="563"/>
      <c r="DX72" s="104"/>
      <c r="DY72" s="105"/>
      <c r="DZ72" s="105"/>
      <c r="EA72" s="105"/>
      <c r="EB72" s="563"/>
      <c r="EC72" s="104"/>
      <c r="ED72" s="105"/>
      <c r="EE72" s="105"/>
      <c r="EF72" s="105"/>
      <c r="EG72" s="563"/>
      <c r="EH72" s="104"/>
      <c r="EI72" s="105"/>
      <c r="EJ72" s="105"/>
      <c r="EK72" s="105"/>
      <c r="EL72" s="563"/>
      <c r="EM72" s="104"/>
      <c r="EN72" s="105"/>
      <c r="EO72" s="105"/>
      <c r="EP72" s="105"/>
      <c r="EQ72" s="563"/>
      <c r="ER72" s="104"/>
      <c r="ES72" s="105"/>
      <c r="ET72" s="105"/>
      <c r="EU72" s="105"/>
      <c r="EV72" s="563"/>
      <c r="EW72" s="104"/>
      <c r="EX72" s="105"/>
      <c r="EY72" s="105"/>
      <c r="EZ72" s="105"/>
      <c r="FA72" s="563"/>
      <c r="FB72" s="104"/>
      <c r="FC72" s="105"/>
      <c r="FD72" s="105"/>
      <c r="FE72" s="105"/>
      <c r="FF72" s="563"/>
      <c r="FG72" s="104"/>
      <c r="FH72" s="105"/>
      <c r="FI72" s="105"/>
      <c r="FJ72" s="105"/>
      <c r="FK72" s="563"/>
      <c r="FL72" s="104"/>
      <c r="FM72" s="105"/>
      <c r="FN72" s="105"/>
      <c r="FO72" s="105"/>
      <c r="FP72" s="563"/>
      <c r="FQ72" s="104"/>
      <c r="FR72" s="105"/>
      <c r="FS72" s="105"/>
      <c r="FT72" s="105"/>
      <c r="FU72" s="563"/>
      <c r="FV72" s="104"/>
      <c r="FW72" s="105"/>
      <c r="FX72" s="105"/>
      <c r="FY72" s="105"/>
      <c r="FZ72" s="563"/>
      <c r="GA72" s="104"/>
      <c r="GB72" s="105"/>
      <c r="GC72" s="105"/>
      <c r="GD72" s="105"/>
      <c r="GE72" s="563"/>
    </row>
    <row r="73" spans="1:187" s="564" customFormat="1" ht="12.75" customHeight="1">
      <c r="A73" s="144"/>
      <c r="B73" s="93"/>
      <c r="C73" s="104"/>
      <c r="D73" s="105"/>
      <c r="E73" s="105"/>
      <c r="F73" s="105"/>
      <c r="G73" s="563"/>
      <c r="H73" s="104"/>
      <c r="I73" s="105"/>
      <c r="J73" s="105"/>
      <c r="K73" s="105"/>
      <c r="L73" s="563"/>
      <c r="M73" s="104"/>
      <c r="N73" s="105"/>
      <c r="O73" s="105"/>
      <c r="P73" s="105"/>
      <c r="Q73" s="563"/>
      <c r="R73" s="104"/>
      <c r="S73" s="105"/>
      <c r="T73" s="105"/>
      <c r="U73" s="105"/>
      <c r="V73" s="563"/>
      <c r="W73" s="104"/>
      <c r="X73" s="105"/>
      <c r="Y73" s="105"/>
      <c r="Z73" s="105"/>
      <c r="AA73" s="563"/>
      <c r="AB73" s="104"/>
      <c r="AC73" s="105"/>
      <c r="AD73" s="105"/>
      <c r="AE73" s="105"/>
      <c r="AF73" s="563"/>
      <c r="AG73" s="104"/>
      <c r="AH73" s="105"/>
      <c r="AI73" s="105"/>
      <c r="AJ73" s="105"/>
      <c r="AK73" s="563"/>
      <c r="AL73" s="104"/>
      <c r="AM73" s="105"/>
      <c r="AN73" s="105"/>
      <c r="AO73" s="105"/>
      <c r="AP73" s="563"/>
      <c r="AQ73" s="104"/>
      <c r="AR73" s="105"/>
      <c r="AS73" s="105"/>
      <c r="AT73" s="105"/>
      <c r="AU73" s="563"/>
      <c r="AV73" s="104"/>
      <c r="AW73" s="105"/>
      <c r="AX73" s="105"/>
      <c r="AY73" s="105"/>
      <c r="AZ73" s="563"/>
      <c r="BA73" s="104"/>
      <c r="BB73" s="105"/>
      <c r="BC73" s="105"/>
      <c r="BD73" s="105"/>
      <c r="BE73" s="563"/>
      <c r="BF73" s="104"/>
      <c r="BG73" s="105"/>
      <c r="BH73" s="105"/>
      <c r="BI73" s="105"/>
      <c r="BJ73" s="563"/>
      <c r="BK73" s="104"/>
      <c r="BL73" s="105"/>
      <c r="BM73" s="105"/>
      <c r="BN73" s="105"/>
      <c r="BO73" s="563"/>
      <c r="BP73" s="104"/>
      <c r="BQ73" s="105"/>
      <c r="BR73" s="105"/>
      <c r="BS73" s="105"/>
      <c r="BT73" s="563"/>
      <c r="BU73" s="104"/>
      <c r="BV73" s="105"/>
      <c r="BW73" s="105"/>
      <c r="BX73" s="105"/>
      <c r="BY73" s="563"/>
      <c r="BZ73" s="104"/>
      <c r="CA73" s="105"/>
      <c r="CB73" s="105"/>
      <c r="CC73" s="105"/>
      <c r="CD73" s="563"/>
      <c r="CE73" s="104"/>
      <c r="CF73" s="105"/>
      <c r="CG73" s="105"/>
      <c r="CH73" s="105"/>
      <c r="CI73" s="563"/>
      <c r="CJ73" s="104"/>
      <c r="CK73" s="105"/>
      <c r="CL73" s="105"/>
      <c r="CM73" s="105"/>
      <c r="CN73" s="563"/>
      <c r="CO73" s="104"/>
      <c r="CP73" s="105"/>
      <c r="CQ73" s="105"/>
      <c r="CR73" s="105"/>
      <c r="CS73" s="563"/>
      <c r="CT73" s="104"/>
      <c r="CU73" s="105"/>
      <c r="CV73" s="105"/>
      <c r="CW73" s="105"/>
      <c r="CX73" s="563"/>
      <c r="CY73" s="104"/>
      <c r="CZ73" s="105"/>
      <c r="DA73" s="105"/>
      <c r="DB73" s="105"/>
      <c r="DC73" s="563"/>
      <c r="DD73" s="104"/>
      <c r="DE73" s="105"/>
      <c r="DF73" s="105"/>
      <c r="DG73" s="105"/>
      <c r="DH73" s="563"/>
      <c r="DI73" s="104"/>
      <c r="DJ73" s="105"/>
      <c r="DK73" s="105"/>
      <c r="DL73" s="105"/>
      <c r="DM73" s="563"/>
      <c r="DN73" s="104"/>
      <c r="DO73" s="105"/>
      <c r="DP73" s="105"/>
      <c r="DQ73" s="105"/>
      <c r="DR73" s="563"/>
      <c r="DS73" s="104"/>
      <c r="DT73" s="105"/>
      <c r="DU73" s="105"/>
      <c r="DV73" s="105"/>
      <c r="DW73" s="563"/>
      <c r="DX73" s="104"/>
      <c r="DY73" s="105"/>
      <c r="DZ73" s="105"/>
      <c r="EA73" s="105"/>
      <c r="EB73" s="563"/>
      <c r="EC73" s="104"/>
      <c r="ED73" s="105"/>
      <c r="EE73" s="105"/>
      <c r="EF73" s="105"/>
      <c r="EG73" s="563"/>
      <c r="EH73" s="104"/>
      <c r="EI73" s="105"/>
      <c r="EJ73" s="105"/>
      <c r="EK73" s="105"/>
      <c r="EL73" s="563"/>
      <c r="EM73" s="104"/>
      <c r="EN73" s="105"/>
      <c r="EO73" s="105"/>
      <c r="EP73" s="105"/>
      <c r="EQ73" s="563"/>
      <c r="ER73" s="104"/>
      <c r="ES73" s="105"/>
      <c r="ET73" s="105"/>
      <c r="EU73" s="105"/>
      <c r="EV73" s="563"/>
      <c r="EW73" s="104"/>
      <c r="EX73" s="105"/>
      <c r="EY73" s="105"/>
      <c r="EZ73" s="105"/>
      <c r="FA73" s="563"/>
      <c r="FB73" s="104"/>
      <c r="FC73" s="105"/>
      <c r="FD73" s="105"/>
      <c r="FE73" s="105"/>
      <c r="FF73" s="563"/>
      <c r="FG73" s="104"/>
      <c r="FH73" s="105"/>
      <c r="FI73" s="105"/>
      <c r="FJ73" s="105"/>
      <c r="FK73" s="563"/>
      <c r="FL73" s="104"/>
      <c r="FM73" s="105"/>
      <c r="FN73" s="105"/>
      <c r="FO73" s="105"/>
      <c r="FP73" s="563"/>
      <c r="FQ73" s="104"/>
      <c r="FR73" s="105"/>
      <c r="FS73" s="105"/>
      <c r="FT73" s="105"/>
      <c r="FU73" s="563"/>
      <c r="FV73" s="104"/>
      <c r="FW73" s="105"/>
      <c r="FX73" s="105"/>
      <c r="FY73" s="105"/>
      <c r="FZ73" s="563"/>
      <c r="GA73" s="104"/>
      <c r="GB73" s="105"/>
      <c r="GC73" s="105"/>
      <c r="GD73" s="105"/>
      <c r="GE73" s="563"/>
    </row>
    <row r="74" spans="1:187" s="542" customFormat="1" ht="12.75" customHeight="1">
      <c r="A74" s="68"/>
      <c r="B74" s="93"/>
      <c r="C74" s="215"/>
      <c r="D74" s="216"/>
      <c r="E74" s="216"/>
      <c r="F74" s="216"/>
      <c r="G74" s="93"/>
      <c r="H74" s="215"/>
      <c r="I74" s="216"/>
      <c r="J74" s="216"/>
      <c r="K74" s="216"/>
      <c r="L74" s="93"/>
      <c r="M74" s="215"/>
      <c r="N74" s="216"/>
      <c r="O74" s="216"/>
      <c r="P74" s="216"/>
      <c r="Q74" s="93"/>
      <c r="R74" s="215"/>
      <c r="S74" s="216"/>
      <c r="T74" s="216"/>
      <c r="U74" s="216"/>
      <c r="V74" s="93"/>
      <c r="W74" s="215"/>
      <c r="X74" s="216"/>
      <c r="Y74" s="216"/>
      <c r="Z74" s="216"/>
      <c r="AA74" s="93"/>
      <c r="AB74" s="215"/>
      <c r="AC74" s="216"/>
      <c r="AD74" s="216"/>
      <c r="AE74" s="216"/>
      <c r="AF74" s="93"/>
      <c r="AG74" s="215"/>
      <c r="AH74" s="216"/>
      <c r="AI74" s="216"/>
      <c r="AJ74" s="216"/>
      <c r="AK74" s="93"/>
      <c r="AL74" s="215"/>
      <c r="AM74" s="216"/>
      <c r="AN74" s="216"/>
      <c r="AO74" s="216"/>
      <c r="AP74" s="93"/>
      <c r="AQ74" s="215"/>
      <c r="AR74" s="216"/>
      <c r="AS74" s="216"/>
      <c r="AT74" s="216"/>
      <c r="AU74" s="93"/>
      <c r="AV74" s="215"/>
      <c r="AW74" s="216"/>
      <c r="AX74" s="216"/>
      <c r="AY74" s="216"/>
      <c r="AZ74" s="93"/>
      <c r="BA74" s="215"/>
      <c r="BB74" s="216"/>
      <c r="BC74" s="216"/>
      <c r="BD74" s="216"/>
      <c r="BE74" s="93"/>
      <c r="BF74" s="215"/>
      <c r="BG74" s="216"/>
      <c r="BH74" s="216"/>
      <c r="BI74" s="216"/>
      <c r="BJ74" s="93"/>
      <c r="BK74" s="215"/>
      <c r="BL74" s="216"/>
      <c r="BM74" s="216"/>
      <c r="BN74" s="216"/>
      <c r="BO74" s="93"/>
      <c r="BP74" s="215"/>
      <c r="BQ74" s="216"/>
      <c r="BR74" s="216"/>
      <c r="BS74" s="216"/>
      <c r="BT74" s="93"/>
      <c r="BU74" s="215"/>
      <c r="BV74" s="216"/>
      <c r="BW74" s="216"/>
      <c r="BX74" s="216"/>
      <c r="BY74" s="93"/>
      <c r="BZ74" s="215"/>
      <c r="CA74" s="216"/>
      <c r="CB74" s="216"/>
      <c r="CC74" s="216"/>
      <c r="CD74" s="93"/>
      <c r="CE74" s="215"/>
      <c r="CF74" s="216"/>
      <c r="CG74" s="216"/>
      <c r="CH74" s="216"/>
      <c r="CI74" s="93"/>
      <c r="CJ74" s="215"/>
      <c r="CK74" s="216"/>
      <c r="CL74" s="216"/>
      <c r="CM74" s="216"/>
      <c r="CN74" s="93"/>
      <c r="CO74" s="215"/>
      <c r="CP74" s="216"/>
      <c r="CQ74" s="216"/>
      <c r="CR74" s="216"/>
      <c r="CS74" s="93"/>
      <c r="CT74" s="215"/>
      <c r="CU74" s="216"/>
      <c r="CV74" s="216"/>
      <c r="CW74" s="216"/>
      <c r="CX74" s="93"/>
      <c r="CY74" s="215"/>
      <c r="CZ74" s="216"/>
      <c r="DA74" s="216"/>
      <c r="DB74" s="216"/>
      <c r="DC74" s="93"/>
      <c r="DD74" s="215"/>
      <c r="DE74" s="216"/>
      <c r="DF74" s="216"/>
      <c r="DG74" s="216"/>
      <c r="DH74" s="93"/>
      <c r="DI74" s="215"/>
      <c r="DJ74" s="216"/>
      <c r="DK74" s="216"/>
      <c r="DL74" s="216"/>
      <c r="DM74" s="93"/>
      <c r="DN74" s="215"/>
      <c r="DO74" s="216"/>
      <c r="DP74" s="216"/>
      <c r="DQ74" s="216"/>
      <c r="DR74" s="93"/>
      <c r="DS74" s="215"/>
      <c r="DT74" s="216"/>
      <c r="DU74" s="216"/>
      <c r="DV74" s="216"/>
      <c r="DW74" s="93"/>
      <c r="DX74" s="215"/>
      <c r="DY74" s="216"/>
      <c r="DZ74" s="216"/>
      <c r="EA74" s="216"/>
      <c r="EB74" s="93"/>
      <c r="EC74" s="215"/>
      <c r="ED74" s="216"/>
      <c r="EE74" s="216"/>
      <c r="EF74" s="216"/>
      <c r="EG74" s="93"/>
      <c r="EH74" s="215"/>
      <c r="EI74" s="216"/>
      <c r="EJ74" s="216"/>
      <c r="EK74" s="216"/>
      <c r="EL74" s="93"/>
      <c r="EM74" s="215"/>
      <c r="EN74" s="216"/>
      <c r="EO74" s="216"/>
      <c r="EP74" s="216"/>
      <c r="EQ74" s="93"/>
      <c r="ER74" s="215"/>
      <c r="ES74" s="216"/>
      <c r="ET74" s="216"/>
      <c r="EU74" s="216"/>
      <c r="EV74" s="93"/>
      <c r="EW74" s="215"/>
      <c r="EX74" s="216"/>
      <c r="EY74" s="216"/>
      <c r="EZ74" s="216"/>
      <c r="FA74" s="93"/>
      <c r="FB74" s="215"/>
      <c r="FC74" s="216"/>
      <c r="FD74" s="216"/>
      <c r="FE74" s="216"/>
      <c r="FF74" s="93"/>
      <c r="FG74" s="215"/>
      <c r="FH74" s="216"/>
      <c r="FI74" s="216"/>
      <c r="FJ74" s="216"/>
      <c r="FK74" s="93"/>
      <c r="FL74" s="215"/>
      <c r="FM74" s="216"/>
      <c r="FN74" s="216"/>
      <c r="FO74" s="216"/>
      <c r="FP74" s="93"/>
      <c r="FQ74" s="215"/>
      <c r="FR74" s="216"/>
      <c r="FS74" s="216"/>
      <c r="FT74" s="216"/>
      <c r="FU74" s="93"/>
      <c r="FV74" s="215"/>
      <c r="FW74" s="216"/>
      <c r="FX74" s="216"/>
      <c r="FY74" s="216"/>
      <c r="FZ74" s="93"/>
      <c r="GA74" s="215"/>
      <c r="GB74" s="216"/>
      <c r="GC74" s="216"/>
      <c r="GD74" s="216"/>
      <c r="GE74" s="93"/>
    </row>
    <row r="75" spans="1:187" s="564" customFormat="1" ht="12.75" customHeight="1">
      <c r="A75" s="144"/>
      <c r="B75" s="566"/>
      <c r="C75" s="104"/>
      <c r="D75" s="105"/>
      <c r="E75" s="105"/>
      <c r="F75" s="105"/>
      <c r="G75" s="563"/>
      <c r="H75" s="104"/>
      <c r="I75" s="105"/>
      <c r="J75" s="105"/>
      <c r="K75" s="105"/>
      <c r="L75" s="563"/>
      <c r="M75" s="104"/>
      <c r="N75" s="105"/>
      <c r="O75" s="105"/>
      <c r="P75" s="105"/>
      <c r="Q75" s="563"/>
      <c r="R75" s="104"/>
      <c r="S75" s="105"/>
      <c r="T75" s="105"/>
      <c r="U75" s="105"/>
      <c r="V75" s="563"/>
      <c r="W75" s="104"/>
      <c r="X75" s="105"/>
      <c r="Y75" s="105"/>
      <c r="Z75" s="105"/>
      <c r="AA75" s="563"/>
      <c r="AB75" s="104"/>
      <c r="AC75" s="105"/>
      <c r="AD75" s="105"/>
      <c r="AE75" s="105"/>
      <c r="AF75" s="563"/>
      <c r="AG75" s="104"/>
      <c r="AH75" s="105"/>
      <c r="AI75" s="105"/>
      <c r="AJ75" s="105"/>
      <c r="AK75" s="563"/>
      <c r="AL75" s="104"/>
      <c r="AM75" s="105"/>
      <c r="AN75" s="105"/>
      <c r="AO75" s="105"/>
      <c r="AP75" s="563"/>
      <c r="AQ75" s="104"/>
      <c r="AR75" s="105"/>
      <c r="AS75" s="105"/>
      <c r="AT75" s="105"/>
      <c r="AU75" s="563"/>
      <c r="AV75" s="104"/>
      <c r="AW75" s="105"/>
      <c r="AX75" s="105"/>
      <c r="AY75" s="105"/>
      <c r="AZ75" s="563"/>
      <c r="BA75" s="104"/>
      <c r="BB75" s="105"/>
      <c r="BC75" s="105"/>
      <c r="BD75" s="105"/>
      <c r="BE75" s="563"/>
      <c r="BF75" s="104"/>
      <c r="BG75" s="105"/>
      <c r="BH75" s="105"/>
      <c r="BI75" s="105"/>
      <c r="BJ75" s="563"/>
      <c r="BK75" s="104"/>
      <c r="BL75" s="105"/>
      <c r="BM75" s="105"/>
      <c r="BN75" s="105"/>
      <c r="BO75" s="563"/>
      <c r="BP75" s="104"/>
      <c r="BQ75" s="105"/>
      <c r="BR75" s="105"/>
      <c r="BS75" s="105"/>
      <c r="BT75" s="563"/>
      <c r="BU75" s="104"/>
      <c r="BV75" s="105"/>
      <c r="BW75" s="105"/>
      <c r="BX75" s="105"/>
      <c r="BY75" s="563"/>
      <c r="BZ75" s="104"/>
      <c r="CA75" s="105"/>
      <c r="CB75" s="105"/>
      <c r="CC75" s="105"/>
      <c r="CD75" s="563"/>
      <c r="CE75" s="104"/>
      <c r="CF75" s="105"/>
      <c r="CG75" s="105"/>
      <c r="CH75" s="105"/>
      <c r="CI75" s="563"/>
      <c r="CJ75" s="104"/>
      <c r="CK75" s="105"/>
      <c r="CL75" s="105"/>
      <c r="CM75" s="105"/>
      <c r="CN75" s="563"/>
      <c r="CO75" s="104"/>
      <c r="CP75" s="105"/>
      <c r="CQ75" s="105"/>
      <c r="CR75" s="105"/>
      <c r="CS75" s="563"/>
      <c r="CT75" s="104"/>
      <c r="CU75" s="105"/>
      <c r="CV75" s="105"/>
      <c r="CW75" s="105"/>
      <c r="CX75" s="563"/>
      <c r="CY75" s="104"/>
      <c r="CZ75" s="105"/>
      <c r="DA75" s="105"/>
      <c r="DB75" s="105"/>
      <c r="DC75" s="563"/>
      <c r="DD75" s="104"/>
      <c r="DE75" s="105"/>
      <c r="DF75" s="105"/>
      <c r="DG75" s="105"/>
      <c r="DH75" s="563"/>
      <c r="DI75" s="104"/>
      <c r="DJ75" s="105"/>
      <c r="DK75" s="105"/>
      <c r="DL75" s="105"/>
      <c r="DM75" s="563"/>
      <c r="DN75" s="104"/>
      <c r="DO75" s="105"/>
      <c r="DP75" s="105"/>
      <c r="DQ75" s="105"/>
      <c r="DR75" s="563"/>
      <c r="DS75" s="104"/>
      <c r="DT75" s="105"/>
      <c r="DU75" s="105"/>
      <c r="DV75" s="105"/>
      <c r="DW75" s="563"/>
      <c r="DX75" s="104"/>
      <c r="DY75" s="105"/>
      <c r="DZ75" s="105"/>
      <c r="EA75" s="105"/>
      <c r="EB75" s="563"/>
      <c r="EC75" s="104"/>
      <c r="ED75" s="105"/>
      <c r="EE75" s="105"/>
      <c r="EF75" s="105"/>
      <c r="EG75" s="563"/>
      <c r="EH75" s="104"/>
      <c r="EI75" s="105"/>
      <c r="EJ75" s="105"/>
      <c r="EK75" s="105"/>
      <c r="EL75" s="563"/>
      <c r="EM75" s="104"/>
      <c r="EN75" s="105"/>
      <c r="EO75" s="105"/>
      <c r="EP75" s="105"/>
      <c r="EQ75" s="563"/>
      <c r="ER75" s="104"/>
      <c r="ES75" s="105"/>
      <c r="ET75" s="105"/>
      <c r="EU75" s="105"/>
      <c r="EV75" s="563"/>
      <c r="EW75" s="104"/>
      <c r="EX75" s="105"/>
      <c r="EY75" s="105"/>
      <c r="EZ75" s="105"/>
      <c r="FA75" s="563"/>
      <c r="FB75" s="104"/>
      <c r="FC75" s="105"/>
      <c r="FD75" s="105"/>
      <c r="FE75" s="105"/>
      <c r="FF75" s="563"/>
      <c r="FG75" s="104"/>
      <c r="FH75" s="105"/>
      <c r="FI75" s="105"/>
      <c r="FJ75" s="105"/>
      <c r="FK75" s="563"/>
      <c r="FL75" s="104"/>
      <c r="FM75" s="105"/>
      <c r="FN75" s="105"/>
      <c r="FO75" s="105"/>
      <c r="FP75" s="563"/>
      <c r="FQ75" s="104"/>
      <c r="FR75" s="105"/>
      <c r="FS75" s="105"/>
      <c r="FT75" s="105"/>
      <c r="FU75" s="563"/>
      <c r="FV75" s="104"/>
      <c r="FW75" s="105"/>
      <c r="FX75" s="105"/>
      <c r="FY75" s="105"/>
      <c r="FZ75" s="563"/>
      <c r="GA75" s="104"/>
      <c r="GB75" s="105"/>
      <c r="GC75" s="105"/>
      <c r="GD75" s="105"/>
      <c r="GE75" s="563"/>
    </row>
    <row r="76" spans="1:187" s="542" customFormat="1" ht="12.75" customHeight="1">
      <c r="A76" s="68"/>
      <c r="B76" s="93"/>
      <c r="C76" s="215"/>
      <c r="D76" s="216"/>
      <c r="E76" s="216"/>
      <c r="F76" s="216"/>
      <c r="G76" s="93"/>
      <c r="H76" s="215"/>
      <c r="I76" s="216"/>
      <c r="J76" s="216"/>
      <c r="K76" s="216"/>
      <c r="L76" s="93"/>
      <c r="M76" s="215"/>
      <c r="N76" s="216"/>
      <c r="O76" s="216"/>
      <c r="P76" s="216"/>
      <c r="Q76" s="93"/>
      <c r="R76" s="215"/>
      <c r="S76" s="216"/>
      <c r="T76" s="216"/>
      <c r="U76" s="216"/>
      <c r="V76" s="93"/>
      <c r="W76" s="215"/>
      <c r="X76" s="216"/>
      <c r="Y76" s="216"/>
      <c r="Z76" s="216"/>
      <c r="AA76" s="93"/>
      <c r="AB76" s="215"/>
      <c r="AC76" s="216"/>
      <c r="AD76" s="216"/>
      <c r="AE76" s="216"/>
      <c r="AF76" s="93"/>
      <c r="AG76" s="215"/>
      <c r="AH76" s="216"/>
      <c r="AI76" s="216"/>
      <c r="AJ76" s="216"/>
      <c r="AK76" s="93"/>
      <c r="AL76" s="215"/>
      <c r="AM76" s="216"/>
      <c r="AN76" s="216"/>
      <c r="AO76" s="216"/>
      <c r="AP76" s="93"/>
      <c r="AQ76" s="215"/>
      <c r="AR76" s="216"/>
      <c r="AS76" s="216"/>
      <c r="AT76" s="216"/>
      <c r="AU76" s="93"/>
      <c r="AV76" s="215"/>
      <c r="AW76" s="216"/>
      <c r="AX76" s="216"/>
      <c r="AY76" s="216"/>
      <c r="AZ76" s="93"/>
      <c r="BA76" s="215"/>
      <c r="BB76" s="216"/>
      <c r="BC76" s="216"/>
      <c r="BD76" s="216"/>
      <c r="BE76" s="93"/>
      <c r="BF76" s="215"/>
      <c r="BG76" s="216"/>
      <c r="BH76" s="216"/>
      <c r="BI76" s="216"/>
      <c r="BJ76" s="93"/>
      <c r="BK76" s="215"/>
      <c r="BL76" s="216"/>
      <c r="BM76" s="216"/>
      <c r="BN76" s="216"/>
      <c r="BO76" s="93"/>
      <c r="BP76" s="215"/>
      <c r="BQ76" s="216"/>
      <c r="BR76" s="216"/>
      <c r="BS76" s="216"/>
      <c r="BT76" s="93"/>
      <c r="BU76" s="215"/>
      <c r="BV76" s="216"/>
      <c r="BW76" s="216"/>
      <c r="BX76" s="216"/>
      <c r="BY76" s="93"/>
      <c r="BZ76" s="215"/>
      <c r="CA76" s="216"/>
      <c r="CB76" s="216"/>
      <c r="CC76" s="216"/>
      <c r="CD76" s="93"/>
      <c r="CE76" s="215"/>
      <c r="CF76" s="216"/>
      <c r="CG76" s="216"/>
      <c r="CH76" s="216"/>
      <c r="CI76" s="93"/>
      <c r="CJ76" s="215"/>
      <c r="CK76" s="216"/>
      <c r="CL76" s="216"/>
      <c r="CM76" s="216"/>
      <c r="CN76" s="93"/>
      <c r="CO76" s="215"/>
      <c r="CP76" s="216"/>
      <c r="CQ76" s="216"/>
      <c r="CR76" s="216"/>
      <c r="CS76" s="93"/>
      <c r="CT76" s="215"/>
      <c r="CU76" s="216"/>
      <c r="CV76" s="216"/>
      <c r="CW76" s="216"/>
      <c r="CX76" s="93"/>
      <c r="CY76" s="215"/>
      <c r="CZ76" s="216"/>
      <c r="DA76" s="216"/>
      <c r="DB76" s="216"/>
      <c r="DC76" s="93"/>
      <c r="DD76" s="215"/>
      <c r="DE76" s="216"/>
      <c r="DF76" s="216"/>
      <c r="DG76" s="216"/>
      <c r="DH76" s="93"/>
      <c r="DI76" s="215"/>
      <c r="DJ76" s="216"/>
      <c r="DK76" s="216"/>
      <c r="DL76" s="216"/>
      <c r="DM76" s="93"/>
      <c r="DN76" s="215"/>
      <c r="DO76" s="216"/>
      <c r="DP76" s="216"/>
      <c r="DQ76" s="216"/>
      <c r="DR76" s="93"/>
      <c r="DS76" s="215"/>
      <c r="DT76" s="216"/>
      <c r="DU76" s="216"/>
      <c r="DV76" s="216"/>
      <c r="DW76" s="93"/>
      <c r="DX76" s="215"/>
      <c r="DY76" s="216"/>
      <c r="DZ76" s="216"/>
      <c r="EA76" s="216"/>
      <c r="EB76" s="93"/>
      <c r="EC76" s="215"/>
      <c r="ED76" s="216"/>
      <c r="EE76" s="216"/>
      <c r="EF76" s="216"/>
      <c r="EG76" s="93"/>
      <c r="EH76" s="215"/>
      <c r="EI76" s="216"/>
      <c r="EJ76" s="216"/>
      <c r="EK76" s="216"/>
      <c r="EL76" s="93"/>
      <c r="EM76" s="215"/>
      <c r="EN76" s="216"/>
      <c r="EO76" s="216"/>
      <c r="EP76" s="216"/>
      <c r="EQ76" s="93"/>
      <c r="ER76" s="215"/>
      <c r="ES76" s="216"/>
      <c r="ET76" s="216"/>
      <c r="EU76" s="216"/>
      <c r="EV76" s="93"/>
      <c r="EW76" s="215"/>
      <c r="EX76" s="216"/>
      <c r="EY76" s="216"/>
      <c r="EZ76" s="216"/>
      <c r="FA76" s="93"/>
      <c r="FB76" s="215"/>
      <c r="FC76" s="216"/>
      <c r="FD76" s="216"/>
      <c r="FE76" s="216"/>
      <c r="FF76" s="93"/>
      <c r="FG76" s="215"/>
      <c r="FH76" s="216"/>
      <c r="FI76" s="216"/>
      <c r="FJ76" s="216"/>
      <c r="FK76" s="93"/>
      <c r="FL76" s="215"/>
      <c r="FM76" s="216"/>
      <c r="FN76" s="216"/>
      <c r="FO76" s="216"/>
      <c r="FP76" s="93"/>
      <c r="FQ76" s="215"/>
      <c r="FR76" s="216"/>
      <c r="FS76" s="216"/>
      <c r="FT76" s="216"/>
      <c r="FU76" s="93"/>
      <c r="FV76" s="215"/>
      <c r="FW76" s="216"/>
      <c r="FX76" s="216"/>
      <c r="FY76" s="216"/>
      <c r="FZ76" s="93"/>
      <c r="GA76" s="215"/>
      <c r="GB76" s="216"/>
      <c r="GC76" s="216"/>
      <c r="GD76" s="216"/>
      <c r="GE76" s="93"/>
    </row>
    <row r="77" spans="1:187" s="542" customFormat="1" ht="12.75" customHeight="1">
      <c r="A77" s="68"/>
      <c r="B77" s="93"/>
      <c r="C77" s="94"/>
      <c r="D77" s="142"/>
      <c r="E77" s="142"/>
      <c r="F77" s="142"/>
      <c r="G77" s="93"/>
      <c r="H77" s="94"/>
      <c r="I77" s="142"/>
      <c r="J77" s="142"/>
      <c r="K77" s="142"/>
      <c r="L77" s="93"/>
      <c r="M77" s="94"/>
      <c r="N77" s="142"/>
      <c r="O77" s="142"/>
      <c r="P77" s="142"/>
      <c r="Q77" s="93"/>
      <c r="R77" s="94"/>
      <c r="S77" s="142"/>
      <c r="T77" s="142"/>
      <c r="U77" s="142"/>
      <c r="V77" s="93"/>
      <c r="W77" s="94"/>
      <c r="X77" s="142"/>
      <c r="Y77" s="142"/>
      <c r="Z77" s="142"/>
      <c r="AA77" s="93"/>
      <c r="AB77" s="94"/>
      <c r="AC77" s="142"/>
      <c r="AD77" s="142"/>
      <c r="AE77" s="142"/>
      <c r="AF77" s="93"/>
      <c r="AG77" s="94"/>
      <c r="AH77" s="142"/>
      <c r="AI77" s="142"/>
      <c r="AJ77" s="142"/>
      <c r="AK77" s="93"/>
      <c r="AL77" s="94"/>
      <c r="AM77" s="142"/>
      <c r="AN77" s="142"/>
      <c r="AO77" s="142"/>
      <c r="AP77" s="93"/>
      <c r="AQ77" s="94"/>
      <c r="AR77" s="142"/>
      <c r="AS77" s="142"/>
      <c r="AT77" s="142"/>
      <c r="AU77" s="93"/>
      <c r="AV77" s="94"/>
      <c r="AW77" s="142"/>
      <c r="AX77" s="142"/>
      <c r="AY77" s="142"/>
      <c r="AZ77" s="93"/>
      <c r="BA77" s="94"/>
      <c r="BB77" s="142"/>
      <c r="BC77" s="142"/>
      <c r="BD77" s="142"/>
      <c r="BE77" s="93"/>
      <c r="BF77" s="94"/>
      <c r="BG77" s="142"/>
      <c r="BH77" s="142"/>
      <c r="BI77" s="142"/>
      <c r="BJ77" s="93"/>
      <c r="BK77" s="94"/>
      <c r="BL77" s="142"/>
      <c r="BM77" s="142"/>
      <c r="BN77" s="142"/>
      <c r="BO77" s="93"/>
      <c r="BP77" s="94"/>
      <c r="BQ77" s="142"/>
      <c r="BR77" s="142"/>
      <c r="BS77" s="142"/>
      <c r="BT77" s="93"/>
      <c r="BU77" s="94"/>
      <c r="BV77" s="142"/>
      <c r="BW77" s="142"/>
      <c r="BX77" s="142"/>
      <c r="BY77" s="93"/>
      <c r="BZ77" s="94"/>
      <c r="CA77" s="142"/>
      <c r="CB77" s="142"/>
      <c r="CC77" s="142"/>
      <c r="CD77" s="93"/>
      <c r="CE77" s="94"/>
      <c r="CF77" s="142"/>
      <c r="CG77" s="142"/>
      <c r="CH77" s="142"/>
      <c r="CI77" s="93"/>
      <c r="CJ77" s="94"/>
      <c r="CK77" s="142"/>
      <c r="CL77" s="142"/>
      <c r="CM77" s="142"/>
      <c r="CN77" s="93"/>
      <c r="CO77" s="94"/>
      <c r="CP77" s="142"/>
      <c r="CQ77" s="142"/>
      <c r="CR77" s="142"/>
      <c r="CS77" s="93"/>
      <c r="CT77" s="94"/>
      <c r="CU77" s="142"/>
      <c r="CV77" s="142"/>
      <c r="CW77" s="142"/>
      <c r="CX77" s="93"/>
      <c r="CY77" s="94"/>
      <c r="CZ77" s="142"/>
      <c r="DA77" s="142"/>
      <c r="DB77" s="142"/>
      <c r="DC77" s="93"/>
      <c r="DD77" s="94"/>
      <c r="DE77" s="142"/>
      <c r="DF77" s="142"/>
      <c r="DG77" s="142"/>
      <c r="DH77" s="93"/>
      <c r="DI77" s="94"/>
      <c r="DJ77" s="142"/>
      <c r="DK77" s="142"/>
      <c r="DL77" s="142"/>
      <c r="DM77" s="93"/>
      <c r="DN77" s="94"/>
      <c r="DO77" s="142"/>
      <c r="DP77" s="142"/>
      <c r="DQ77" s="142"/>
      <c r="DR77" s="93"/>
      <c r="DS77" s="94"/>
      <c r="DT77" s="142"/>
      <c r="DU77" s="142"/>
      <c r="DV77" s="142"/>
      <c r="DW77" s="93"/>
      <c r="DX77" s="94"/>
      <c r="DY77" s="142"/>
      <c r="DZ77" s="142"/>
      <c r="EA77" s="142"/>
      <c r="EB77" s="93"/>
      <c r="EC77" s="94"/>
      <c r="ED77" s="142"/>
      <c r="EE77" s="142"/>
      <c r="EF77" s="142"/>
      <c r="EG77" s="93"/>
      <c r="EH77" s="94"/>
      <c r="EI77" s="142"/>
      <c r="EJ77" s="142"/>
      <c r="EK77" s="142"/>
      <c r="EL77" s="93"/>
      <c r="EM77" s="94"/>
      <c r="EN77" s="142"/>
      <c r="EO77" s="142"/>
      <c r="EP77" s="142"/>
      <c r="EQ77" s="93"/>
      <c r="ER77" s="94"/>
      <c r="ES77" s="142"/>
      <c r="ET77" s="142"/>
      <c r="EU77" s="142"/>
      <c r="EV77" s="93"/>
      <c r="EW77" s="94"/>
      <c r="EX77" s="142"/>
      <c r="EY77" s="142"/>
      <c r="EZ77" s="142"/>
      <c r="FA77" s="93"/>
      <c r="FB77" s="94"/>
      <c r="FC77" s="142"/>
      <c r="FD77" s="142"/>
      <c r="FE77" s="142"/>
      <c r="FF77" s="93"/>
      <c r="FG77" s="94"/>
      <c r="FH77" s="142"/>
      <c r="FI77" s="142"/>
      <c r="FJ77" s="142"/>
      <c r="FK77" s="93"/>
      <c r="FL77" s="94"/>
      <c r="FM77" s="142"/>
      <c r="FN77" s="142"/>
      <c r="FO77" s="142"/>
      <c r="FP77" s="93"/>
      <c r="FQ77" s="94"/>
      <c r="FR77" s="142"/>
      <c r="FS77" s="142"/>
      <c r="FT77" s="142"/>
      <c r="FU77" s="93"/>
      <c r="FV77" s="94"/>
      <c r="FW77" s="142"/>
      <c r="FX77" s="142"/>
      <c r="FY77" s="142"/>
      <c r="FZ77" s="93"/>
      <c r="GA77" s="94"/>
      <c r="GB77" s="142"/>
      <c r="GC77" s="142"/>
      <c r="GD77" s="142"/>
      <c r="GE77" s="93"/>
    </row>
    <row r="78" spans="1:187" s="542" customFormat="1" ht="12.75" customHeight="1">
      <c r="A78" s="68"/>
      <c r="B78" s="93"/>
      <c r="C78" s="104"/>
      <c r="D78" s="105"/>
      <c r="E78" s="105"/>
      <c r="F78" s="105"/>
      <c r="G78" s="563"/>
      <c r="H78" s="104"/>
      <c r="I78" s="105"/>
      <c r="J78" s="105"/>
      <c r="K78" s="105"/>
      <c r="L78" s="563"/>
      <c r="M78" s="104"/>
      <c r="N78" s="105"/>
      <c r="O78" s="105"/>
      <c r="P78" s="105"/>
      <c r="Q78" s="563"/>
      <c r="R78" s="104"/>
      <c r="S78" s="105"/>
      <c r="T78" s="105"/>
      <c r="U78" s="105"/>
      <c r="V78" s="563"/>
      <c r="W78" s="104"/>
      <c r="X78" s="105"/>
      <c r="Y78" s="105"/>
      <c r="Z78" s="105"/>
      <c r="AA78" s="563"/>
      <c r="AB78" s="104"/>
      <c r="AC78" s="105"/>
      <c r="AD78" s="105"/>
      <c r="AE78" s="105"/>
      <c r="AF78" s="563"/>
      <c r="AG78" s="104"/>
      <c r="AH78" s="105"/>
      <c r="AI78" s="105"/>
      <c r="AJ78" s="105"/>
      <c r="AK78" s="563"/>
      <c r="AL78" s="104"/>
      <c r="AM78" s="105"/>
      <c r="AN78" s="105"/>
      <c r="AO78" s="105"/>
      <c r="AP78" s="563"/>
      <c r="AQ78" s="104"/>
      <c r="AR78" s="105"/>
      <c r="AS78" s="105"/>
      <c r="AT78" s="105"/>
      <c r="AU78" s="563"/>
      <c r="AV78" s="104"/>
      <c r="AW78" s="105"/>
      <c r="AX78" s="105"/>
      <c r="AY78" s="105"/>
      <c r="AZ78" s="563"/>
      <c r="BA78" s="104"/>
      <c r="BB78" s="105"/>
      <c r="BC78" s="105"/>
      <c r="BD78" s="105"/>
      <c r="BE78" s="563"/>
      <c r="BF78" s="104"/>
      <c r="BG78" s="105"/>
      <c r="BH78" s="105"/>
      <c r="BI78" s="105"/>
      <c r="BJ78" s="563"/>
      <c r="BK78" s="104"/>
      <c r="BL78" s="105"/>
      <c r="BM78" s="105"/>
      <c r="BN78" s="105"/>
      <c r="BO78" s="563"/>
      <c r="BP78" s="104"/>
      <c r="BQ78" s="105"/>
      <c r="BR78" s="105"/>
      <c r="BS78" s="105"/>
      <c r="BT78" s="563"/>
      <c r="BU78" s="104"/>
      <c r="BV78" s="105"/>
      <c r="BW78" s="105"/>
      <c r="BX78" s="105"/>
      <c r="BY78" s="563"/>
      <c r="BZ78" s="104"/>
      <c r="CA78" s="105"/>
      <c r="CB78" s="105"/>
      <c r="CC78" s="105"/>
      <c r="CD78" s="563"/>
      <c r="CE78" s="104"/>
      <c r="CF78" s="105"/>
      <c r="CG78" s="105"/>
      <c r="CH78" s="105"/>
      <c r="CI78" s="563"/>
      <c r="CJ78" s="104"/>
      <c r="CK78" s="105"/>
      <c r="CL78" s="105"/>
      <c r="CM78" s="105"/>
      <c r="CN78" s="563"/>
      <c r="CO78" s="104"/>
      <c r="CP78" s="105"/>
      <c r="CQ78" s="105"/>
      <c r="CR78" s="105"/>
      <c r="CS78" s="563"/>
      <c r="CT78" s="104"/>
      <c r="CU78" s="105"/>
      <c r="CV78" s="105"/>
      <c r="CW78" s="105"/>
      <c r="CX78" s="563"/>
      <c r="CY78" s="104"/>
      <c r="CZ78" s="105"/>
      <c r="DA78" s="105"/>
      <c r="DB78" s="105"/>
      <c r="DC78" s="563"/>
      <c r="DD78" s="104"/>
      <c r="DE78" s="105"/>
      <c r="DF78" s="105"/>
      <c r="DG78" s="105"/>
      <c r="DH78" s="563"/>
      <c r="DI78" s="104"/>
      <c r="DJ78" s="105"/>
      <c r="DK78" s="105"/>
      <c r="DL78" s="105"/>
      <c r="DM78" s="563"/>
      <c r="DN78" s="104"/>
      <c r="DO78" s="105"/>
      <c r="DP78" s="105"/>
      <c r="DQ78" s="105"/>
      <c r="DR78" s="563"/>
      <c r="DS78" s="104"/>
      <c r="DT78" s="105"/>
      <c r="DU78" s="105"/>
      <c r="DV78" s="105"/>
      <c r="DW78" s="563"/>
      <c r="DX78" s="104"/>
      <c r="DY78" s="105"/>
      <c r="DZ78" s="105"/>
      <c r="EA78" s="105"/>
      <c r="EB78" s="563"/>
      <c r="EC78" s="104"/>
      <c r="ED78" s="105"/>
      <c r="EE78" s="105"/>
      <c r="EF78" s="105"/>
      <c r="EG78" s="563"/>
      <c r="EH78" s="104"/>
      <c r="EI78" s="105"/>
      <c r="EJ78" s="105"/>
      <c r="EK78" s="105"/>
      <c r="EL78" s="563"/>
      <c r="EM78" s="104"/>
      <c r="EN78" s="105"/>
      <c r="EO78" s="105"/>
      <c r="EP78" s="105"/>
      <c r="EQ78" s="563"/>
      <c r="ER78" s="104"/>
      <c r="ES78" s="105"/>
      <c r="ET78" s="105"/>
      <c r="EU78" s="105"/>
      <c r="EV78" s="563"/>
      <c r="EW78" s="104"/>
      <c r="EX78" s="105"/>
      <c r="EY78" s="105"/>
      <c r="EZ78" s="105"/>
      <c r="FA78" s="563"/>
      <c r="FB78" s="104"/>
      <c r="FC78" s="105"/>
      <c r="FD78" s="105"/>
      <c r="FE78" s="105"/>
      <c r="FF78" s="563"/>
      <c r="FG78" s="104"/>
      <c r="FH78" s="105"/>
      <c r="FI78" s="105"/>
      <c r="FJ78" s="105"/>
      <c r="FK78" s="563"/>
      <c r="FL78" s="104"/>
      <c r="FM78" s="105"/>
      <c r="FN78" s="105"/>
      <c r="FO78" s="105"/>
      <c r="FP78" s="563"/>
      <c r="FQ78" s="104"/>
      <c r="FR78" s="105"/>
      <c r="FS78" s="105"/>
      <c r="FT78" s="105"/>
      <c r="FU78" s="563"/>
      <c r="FV78" s="104"/>
      <c r="FW78" s="105"/>
      <c r="FX78" s="105"/>
      <c r="FY78" s="105"/>
      <c r="FZ78" s="563"/>
      <c r="GA78" s="104"/>
      <c r="GB78" s="105"/>
      <c r="GC78" s="105"/>
      <c r="GD78" s="105"/>
      <c r="GE78" s="563"/>
    </row>
    <row r="79" spans="1:187" s="564" customFormat="1" ht="12.75" customHeight="1">
      <c r="A79" s="144"/>
      <c r="B79" s="93"/>
      <c r="C79" s="104"/>
      <c r="D79" s="105"/>
      <c r="E79" s="105"/>
      <c r="F79" s="105"/>
      <c r="G79" s="563"/>
      <c r="H79" s="104"/>
      <c r="I79" s="105"/>
      <c r="J79" s="105"/>
      <c r="K79" s="105"/>
      <c r="L79" s="563"/>
      <c r="M79" s="104"/>
      <c r="N79" s="105"/>
      <c r="O79" s="105"/>
      <c r="P79" s="105"/>
      <c r="Q79" s="563"/>
      <c r="R79" s="104"/>
      <c r="S79" s="105"/>
      <c r="T79" s="105"/>
      <c r="U79" s="105"/>
      <c r="V79" s="563"/>
      <c r="W79" s="104"/>
      <c r="X79" s="105"/>
      <c r="Y79" s="105"/>
      <c r="Z79" s="105"/>
      <c r="AA79" s="563"/>
      <c r="AB79" s="104"/>
      <c r="AC79" s="105"/>
      <c r="AD79" s="105"/>
      <c r="AE79" s="105"/>
      <c r="AF79" s="563"/>
      <c r="AG79" s="104"/>
      <c r="AH79" s="105"/>
      <c r="AI79" s="105"/>
      <c r="AJ79" s="105"/>
      <c r="AK79" s="563"/>
      <c r="AL79" s="104"/>
      <c r="AM79" s="105"/>
      <c r="AN79" s="105"/>
      <c r="AO79" s="105"/>
      <c r="AP79" s="563"/>
      <c r="AQ79" s="104"/>
      <c r="AR79" s="105"/>
      <c r="AS79" s="105"/>
      <c r="AT79" s="105"/>
      <c r="AU79" s="563"/>
      <c r="AV79" s="104"/>
      <c r="AW79" s="105"/>
      <c r="AX79" s="105"/>
      <c r="AY79" s="105"/>
      <c r="AZ79" s="563"/>
      <c r="BA79" s="104"/>
      <c r="BB79" s="105"/>
      <c r="BC79" s="105"/>
      <c r="BD79" s="105"/>
      <c r="BE79" s="563"/>
      <c r="BF79" s="104"/>
      <c r="BG79" s="105"/>
      <c r="BH79" s="105"/>
      <c r="BI79" s="105"/>
      <c r="BJ79" s="563"/>
      <c r="BK79" s="104"/>
      <c r="BL79" s="105"/>
      <c r="BM79" s="105"/>
      <c r="BN79" s="105"/>
      <c r="BO79" s="563"/>
      <c r="BP79" s="104"/>
      <c r="BQ79" s="105"/>
      <c r="BR79" s="105"/>
      <c r="BS79" s="105"/>
      <c r="BT79" s="563"/>
      <c r="BU79" s="104"/>
      <c r="BV79" s="105"/>
      <c r="BW79" s="105"/>
      <c r="BX79" s="105"/>
      <c r="BY79" s="563"/>
      <c r="BZ79" s="104"/>
      <c r="CA79" s="105"/>
      <c r="CB79" s="105"/>
      <c r="CC79" s="105"/>
      <c r="CD79" s="563"/>
      <c r="CE79" s="104"/>
      <c r="CF79" s="105"/>
      <c r="CG79" s="105"/>
      <c r="CH79" s="105"/>
      <c r="CI79" s="563"/>
      <c r="CJ79" s="104"/>
      <c r="CK79" s="105"/>
      <c r="CL79" s="105"/>
      <c r="CM79" s="105"/>
      <c r="CN79" s="563"/>
      <c r="CO79" s="104"/>
      <c r="CP79" s="105"/>
      <c r="CQ79" s="105"/>
      <c r="CR79" s="105"/>
      <c r="CS79" s="563"/>
      <c r="CT79" s="104"/>
      <c r="CU79" s="105"/>
      <c r="CV79" s="105"/>
      <c r="CW79" s="105"/>
      <c r="CX79" s="563"/>
      <c r="CY79" s="104"/>
      <c r="CZ79" s="105"/>
      <c r="DA79" s="105"/>
      <c r="DB79" s="105"/>
      <c r="DC79" s="563"/>
      <c r="DD79" s="104"/>
      <c r="DE79" s="105"/>
      <c r="DF79" s="105"/>
      <c r="DG79" s="105"/>
      <c r="DH79" s="563"/>
      <c r="DI79" s="104"/>
      <c r="DJ79" s="105"/>
      <c r="DK79" s="105"/>
      <c r="DL79" s="105"/>
      <c r="DM79" s="563"/>
      <c r="DN79" s="104"/>
      <c r="DO79" s="105"/>
      <c r="DP79" s="105"/>
      <c r="DQ79" s="105"/>
      <c r="DR79" s="563"/>
      <c r="DS79" s="104"/>
      <c r="DT79" s="105"/>
      <c r="DU79" s="105"/>
      <c r="DV79" s="105"/>
      <c r="DW79" s="563"/>
      <c r="DX79" s="104"/>
      <c r="DY79" s="105"/>
      <c r="DZ79" s="105"/>
      <c r="EA79" s="105"/>
      <c r="EB79" s="563"/>
      <c r="EC79" s="104"/>
      <c r="ED79" s="105"/>
      <c r="EE79" s="105"/>
      <c r="EF79" s="105"/>
      <c r="EG79" s="563"/>
      <c r="EH79" s="104"/>
      <c r="EI79" s="105"/>
      <c r="EJ79" s="105"/>
      <c r="EK79" s="105"/>
      <c r="EL79" s="563"/>
      <c r="EM79" s="104"/>
      <c r="EN79" s="105"/>
      <c r="EO79" s="105"/>
      <c r="EP79" s="105"/>
      <c r="EQ79" s="563"/>
      <c r="ER79" s="104"/>
      <c r="ES79" s="105"/>
      <c r="ET79" s="105"/>
      <c r="EU79" s="105"/>
      <c r="EV79" s="563"/>
      <c r="EW79" s="104"/>
      <c r="EX79" s="105"/>
      <c r="EY79" s="105"/>
      <c r="EZ79" s="105"/>
      <c r="FA79" s="563"/>
      <c r="FB79" s="104"/>
      <c r="FC79" s="105"/>
      <c r="FD79" s="105"/>
      <c r="FE79" s="105"/>
      <c r="FF79" s="563"/>
      <c r="FG79" s="104"/>
      <c r="FH79" s="105"/>
      <c r="FI79" s="105"/>
      <c r="FJ79" s="105"/>
      <c r="FK79" s="563"/>
      <c r="FL79" s="104"/>
      <c r="FM79" s="105"/>
      <c r="FN79" s="105"/>
      <c r="FO79" s="105"/>
      <c r="FP79" s="563"/>
      <c r="FQ79" s="104"/>
      <c r="FR79" s="105"/>
      <c r="FS79" s="105"/>
      <c r="FT79" s="105"/>
      <c r="FU79" s="563"/>
      <c r="FV79" s="104"/>
      <c r="FW79" s="105"/>
      <c r="FX79" s="105"/>
      <c r="FY79" s="105"/>
      <c r="FZ79" s="563"/>
      <c r="GA79" s="104"/>
      <c r="GB79" s="105"/>
      <c r="GC79" s="105"/>
      <c r="GD79" s="105"/>
      <c r="GE79" s="563"/>
    </row>
    <row r="80" spans="1:187" s="542" customFormat="1" ht="12.75" customHeight="1">
      <c r="A80" s="68"/>
      <c r="B80" s="93"/>
      <c r="C80" s="215"/>
      <c r="D80" s="216"/>
      <c r="E80" s="216"/>
      <c r="F80" s="216"/>
      <c r="G80" s="93"/>
      <c r="H80" s="215"/>
      <c r="I80" s="216"/>
      <c r="J80" s="216"/>
      <c r="K80" s="216"/>
      <c r="L80" s="93"/>
      <c r="M80" s="215"/>
      <c r="N80" s="216"/>
      <c r="O80" s="216"/>
      <c r="P80" s="216"/>
      <c r="Q80" s="93"/>
      <c r="R80" s="215"/>
      <c r="S80" s="216"/>
      <c r="T80" s="216"/>
      <c r="U80" s="216"/>
      <c r="V80" s="93"/>
      <c r="W80" s="215"/>
      <c r="X80" s="216"/>
      <c r="Y80" s="216"/>
      <c r="Z80" s="216"/>
      <c r="AA80" s="93"/>
      <c r="AB80" s="215"/>
      <c r="AC80" s="216"/>
      <c r="AD80" s="216"/>
      <c r="AE80" s="216"/>
      <c r="AF80" s="93"/>
      <c r="AG80" s="215"/>
      <c r="AH80" s="216"/>
      <c r="AI80" s="216"/>
      <c r="AJ80" s="216"/>
      <c r="AK80" s="93"/>
      <c r="AL80" s="215"/>
      <c r="AM80" s="216"/>
      <c r="AN80" s="216"/>
      <c r="AO80" s="216"/>
      <c r="AP80" s="93"/>
      <c r="AQ80" s="215"/>
      <c r="AR80" s="216"/>
      <c r="AS80" s="216"/>
      <c r="AT80" s="216"/>
      <c r="AU80" s="93"/>
      <c r="AV80" s="215"/>
      <c r="AW80" s="216"/>
      <c r="AX80" s="216"/>
      <c r="AY80" s="216"/>
      <c r="AZ80" s="93"/>
      <c r="BA80" s="215"/>
      <c r="BB80" s="216"/>
      <c r="BC80" s="216"/>
      <c r="BD80" s="216"/>
      <c r="BE80" s="93"/>
      <c r="BF80" s="215"/>
      <c r="BG80" s="216"/>
      <c r="BH80" s="216"/>
      <c r="BI80" s="216"/>
      <c r="BJ80" s="93"/>
      <c r="BK80" s="215"/>
      <c r="BL80" s="216"/>
      <c r="BM80" s="216"/>
      <c r="BN80" s="216"/>
      <c r="BO80" s="93"/>
      <c r="BP80" s="215"/>
      <c r="BQ80" s="216"/>
      <c r="BR80" s="216"/>
      <c r="BS80" s="216"/>
      <c r="BT80" s="93"/>
      <c r="BU80" s="215"/>
      <c r="BV80" s="216"/>
      <c r="BW80" s="216"/>
      <c r="BX80" s="216"/>
      <c r="BY80" s="93"/>
      <c r="BZ80" s="215"/>
      <c r="CA80" s="216"/>
      <c r="CB80" s="216"/>
      <c r="CC80" s="216"/>
      <c r="CD80" s="93"/>
      <c r="CE80" s="215"/>
      <c r="CF80" s="216"/>
      <c r="CG80" s="216"/>
      <c r="CH80" s="216"/>
      <c r="CI80" s="93"/>
      <c r="CJ80" s="215"/>
      <c r="CK80" s="216"/>
      <c r="CL80" s="216"/>
      <c r="CM80" s="216"/>
      <c r="CN80" s="93"/>
      <c r="CO80" s="215"/>
      <c r="CP80" s="216"/>
      <c r="CQ80" s="216"/>
      <c r="CR80" s="216"/>
      <c r="CS80" s="93"/>
      <c r="CT80" s="215"/>
      <c r="CU80" s="216"/>
      <c r="CV80" s="216"/>
      <c r="CW80" s="216"/>
      <c r="CX80" s="93"/>
      <c r="CY80" s="215"/>
      <c r="CZ80" s="216"/>
      <c r="DA80" s="216"/>
      <c r="DB80" s="216"/>
      <c r="DC80" s="93"/>
      <c r="DD80" s="215"/>
      <c r="DE80" s="216"/>
      <c r="DF80" s="216"/>
      <c r="DG80" s="216"/>
      <c r="DH80" s="93"/>
      <c r="DI80" s="215"/>
      <c r="DJ80" s="216"/>
      <c r="DK80" s="216"/>
      <c r="DL80" s="216"/>
      <c r="DM80" s="93"/>
      <c r="DN80" s="215"/>
      <c r="DO80" s="216"/>
      <c r="DP80" s="216"/>
      <c r="DQ80" s="216"/>
      <c r="DR80" s="93"/>
      <c r="DS80" s="215"/>
      <c r="DT80" s="216"/>
      <c r="DU80" s="216"/>
      <c r="DV80" s="216"/>
      <c r="DW80" s="93"/>
      <c r="DX80" s="215"/>
      <c r="DY80" s="216"/>
      <c r="DZ80" s="216"/>
      <c r="EA80" s="216"/>
      <c r="EB80" s="93"/>
      <c r="EC80" s="215"/>
      <c r="ED80" s="216"/>
      <c r="EE80" s="216"/>
      <c r="EF80" s="216"/>
      <c r="EG80" s="93"/>
      <c r="EH80" s="215"/>
      <c r="EI80" s="216"/>
      <c r="EJ80" s="216"/>
      <c r="EK80" s="216"/>
      <c r="EL80" s="93"/>
      <c r="EM80" s="215"/>
      <c r="EN80" s="216"/>
      <c r="EO80" s="216"/>
      <c r="EP80" s="216"/>
      <c r="EQ80" s="93"/>
      <c r="ER80" s="215"/>
      <c r="ES80" s="216"/>
      <c r="ET80" s="216"/>
      <c r="EU80" s="216"/>
      <c r="EV80" s="93"/>
      <c r="EW80" s="215"/>
      <c r="EX80" s="216"/>
      <c r="EY80" s="216"/>
      <c r="EZ80" s="216"/>
      <c r="FA80" s="93"/>
      <c r="FB80" s="215"/>
      <c r="FC80" s="216"/>
      <c r="FD80" s="216"/>
      <c r="FE80" s="216"/>
      <c r="FF80" s="93"/>
      <c r="FG80" s="215"/>
      <c r="FH80" s="216"/>
      <c r="FI80" s="216"/>
      <c r="FJ80" s="216"/>
      <c r="FK80" s="93"/>
      <c r="FL80" s="215"/>
      <c r="FM80" s="216"/>
      <c r="FN80" s="216"/>
      <c r="FO80" s="216"/>
      <c r="FP80" s="93"/>
      <c r="FQ80" s="215"/>
      <c r="FR80" s="216"/>
      <c r="FS80" s="216"/>
      <c r="FT80" s="216"/>
      <c r="FU80" s="93"/>
      <c r="FV80" s="215"/>
      <c r="FW80" s="216"/>
      <c r="FX80" s="216"/>
      <c r="FY80" s="216"/>
      <c r="FZ80" s="93"/>
      <c r="GA80" s="215"/>
      <c r="GB80" s="216"/>
      <c r="GC80" s="216"/>
      <c r="GD80" s="216"/>
      <c r="GE80" s="93"/>
    </row>
    <row r="81" spans="1:187" s="542" customFormat="1" ht="12.75" customHeight="1">
      <c r="A81" s="68"/>
      <c r="B81" s="93"/>
      <c r="C81" s="136"/>
      <c r="D81" s="105"/>
      <c r="E81" s="105"/>
      <c r="F81" s="105"/>
      <c r="G81" s="100"/>
      <c r="H81" s="136"/>
      <c r="I81" s="105"/>
      <c r="J81" s="105"/>
      <c r="K81" s="105"/>
      <c r="L81" s="100"/>
      <c r="M81" s="136"/>
      <c r="N81" s="105"/>
      <c r="O81" s="105"/>
      <c r="P81" s="105"/>
      <c r="Q81" s="100"/>
      <c r="R81" s="136"/>
      <c r="S81" s="105"/>
      <c r="T81" s="105"/>
      <c r="U81" s="105"/>
      <c r="V81" s="100"/>
      <c r="W81" s="136"/>
      <c r="X81" s="105"/>
      <c r="Y81" s="105"/>
      <c r="Z81" s="105"/>
      <c r="AA81" s="100"/>
      <c r="AB81" s="136"/>
      <c r="AC81" s="105"/>
      <c r="AD81" s="105"/>
      <c r="AE81" s="105"/>
      <c r="AF81" s="100"/>
      <c r="AG81" s="136"/>
      <c r="AH81" s="105"/>
      <c r="AI81" s="105"/>
      <c r="AJ81" s="105"/>
      <c r="AK81" s="100"/>
      <c r="AL81" s="136"/>
      <c r="AM81" s="105"/>
      <c r="AN81" s="105"/>
      <c r="AO81" s="105"/>
      <c r="AP81" s="100"/>
      <c r="AQ81" s="136"/>
      <c r="AR81" s="105"/>
      <c r="AS81" s="105"/>
      <c r="AT81" s="105"/>
      <c r="AU81" s="100"/>
      <c r="AV81" s="136"/>
      <c r="AW81" s="105"/>
      <c r="AX81" s="105"/>
      <c r="AY81" s="105"/>
      <c r="AZ81" s="100"/>
      <c r="BA81" s="136"/>
      <c r="BB81" s="105"/>
      <c r="BC81" s="105"/>
      <c r="BD81" s="105"/>
      <c r="BE81" s="100"/>
      <c r="BF81" s="136"/>
      <c r="BG81" s="105"/>
      <c r="BH81" s="105"/>
      <c r="BI81" s="105"/>
      <c r="BJ81" s="100"/>
      <c r="BK81" s="136"/>
      <c r="BL81" s="105"/>
      <c r="BM81" s="105"/>
      <c r="BN81" s="105"/>
      <c r="BO81" s="100"/>
      <c r="BP81" s="136"/>
      <c r="BQ81" s="105"/>
      <c r="BR81" s="105"/>
      <c r="BS81" s="105"/>
      <c r="BT81" s="100"/>
      <c r="BU81" s="136"/>
      <c r="BV81" s="105"/>
      <c r="BW81" s="105"/>
      <c r="BX81" s="105"/>
      <c r="BY81" s="100"/>
      <c r="BZ81" s="136"/>
      <c r="CA81" s="105"/>
      <c r="CB81" s="105"/>
      <c r="CC81" s="105"/>
      <c r="CD81" s="100"/>
      <c r="CE81" s="136"/>
      <c r="CF81" s="105"/>
      <c r="CG81" s="105"/>
      <c r="CH81" s="105"/>
      <c r="CI81" s="100"/>
      <c r="CJ81" s="136"/>
      <c r="CK81" s="105"/>
      <c r="CL81" s="105"/>
      <c r="CM81" s="105"/>
      <c r="CN81" s="100"/>
      <c r="CO81" s="136"/>
      <c r="CP81" s="105"/>
      <c r="CQ81" s="105"/>
      <c r="CR81" s="105"/>
      <c r="CS81" s="100"/>
      <c r="CT81" s="136"/>
      <c r="CU81" s="105"/>
      <c r="CV81" s="105"/>
      <c r="CW81" s="105"/>
      <c r="CX81" s="100"/>
      <c r="CY81" s="136"/>
      <c r="CZ81" s="105"/>
      <c r="DA81" s="105"/>
      <c r="DB81" s="105"/>
      <c r="DC81" s="100"/>
      <c r="DD81" s="136"/>
      <c r="DE81" s="105"/>
      <c r="DF81" s="105"/>
      <c r="DG81" s="105"/>
      <c r="DH81" s="100"/>
      <c r="DI81" s="136"/>
      <c r="DJ81" s="105"/>
      <c r="DK81" s="105"/>
      <c r="DL81" s="105"/>
      <c r="DM81" s="100"/>
      <c r="DN81" s="136"/>
      <c r="DO81" s="105"/>
      <c r="DP81" s="105"/>
      <c r="DQ81" s="105"/>
      <c r="DR81" s="100"/>
      <c r="DS81" s="136"/>
      <c r="DT81" s="105"/>
      <c r="DU81" s="105"/>
      <c r="DV81" s="105"/>
      <c r="DW81" s="100"/>
      <c r="DX81" s="136"/>
      <c r="DY81" s="105"/>
      <c r="DZ81" s="105"/>
      <c r="EA81" s="105"/>
      <c r="EB81" s="100"/>
      <c r="EC81" s="136"/>
      <c r="ED81" s="105"/>
      <c r="EE81" s="105"/>
      <c r="EF81" s="105"/>
      <c r="EG81" s="100"/>
      <c r="EH81" s="136"/>
      <c r="EI81" s="105"/>
      <c r="EJ81" s="105"/>
      <c r="EK81" s="105"/>
      <c r="EL81" s="100"/>
      <c r="EM81" s="136"/>
      <c r="EN81" s="105"/>
      <c r="EO81" s="105"/>
      <c r="EP81" s="105"/>
      <c r="EQ81" s="100"/>
      <c r="ER81" s="136"/>
      <c r="ES81" s="105"/>
      <c r="ET81" s="105"/>
      <c r="EU81" s="105"/>
      <c r="EV81" s="100"/>
      <c r="EW81" s="136"/>
      <c r="EX81" s="105"/>
      <c r="EY81" s="105"/>
      <c r="EZ81" s="105"/>
      <c r="FA81" s="100"/>
      <c r="FB81" s="136"/>
      <c r="FC81" s="105"/>
      <c r="FD81" s="105"/>
      <c r="FE81" s="105"/>
      <c r="FF81" s="100"/>
      <c r="FG81" s="136"/>
      <c r="FH81" s="105"/>
      <c r="FI81" s="105"/>
      <c r="FJ81" s="105"/>
      <c r="FK81" s="100"/>
      <c r="FL81" s="136"/>
      <c r="FM81" s="105"/>
      <c r="FN81" s="105"/>
      <c r="FO81" s="105"/>
      <c r="FP81" s="100"/>
      <c r="FQ81" s="136"/>
      <c r="FR81" s="105"/>
      <c r="FS81" s="105"/>
      <c r="FT81" s="105"/>
      <c r="FU81" s="100"/>
      <c r="FV81" s="136"/>
      <c r="FW81" s="105"/>
      <c r="FX81" s="105"/>
      <c r="FY81" s="105"/>
      <c r="FZ81" s="100"/>
      <c r="GA81" s="136"/>
      <c r="GB81" s="105"/>
      <c r="GC81" s="105"/>
      <c r="GD81" s="105"/>
      <c r="GE81" s="100"/>
    </row>
    <row r="82" spans="1:187" s="568" customFormat="1" ht="12.75" customHeight="1">
      <c r="A82" s="235"/>
      <c r="B82" s="237"/>
      <c r="C82" s="567"/>
      <c r="D82" s="243"/>
      <c r="E82" s="243"/>
      <c r="F82" s="243"/>
      <c r="G82" s="237"/>
      <c r="H82" s="567"/>
      <c r="I82" s="243"/>
      <c r="J82" s="243"/>
      <c r="K82" s="243"/>
      <c r="L82" s="237"/>
      <c r="M82" s="567"/>
      <c r="N82" s="243"/>
      <c r="O82" s="243"/>
      <c r="P82" s="243"/>
      <c r="Q82" s="237"/>
      <c r="R82" s="567"/>
      <c r="S82" s="243"/>
      <c r="T82" s="243"/>
      <c r="U82" s="243"/>
      <c r="V82" s="237"/>
      <c r="W82" s="567"/>
      <c r="X82" s="243"/>
      <c r="Y82" s="243"/>
      <c r="Z82" s="243"/>
      <c r="AA82" s="237"/>
      <c r="AB82" s="567"/>
      <c r="AC82" s="243"/>
      <c r="AD82" s="243"/>
      <c r="AE82" s="243"/>
      <c r="AF82" s="237"/>
      <c r="AG82" s="567"/>
      <c r="AH82" s="243"/>
      <c r="AI82" s="243"/>
      <c r="AJ82" s="243"/>
      <c r="AK82" s="237"/>
      <c r="AL82" s="567"/>
      <c r="AM82" s="243"/>
      <c r="AN82" s="243"/>
      <c r="AO82" s="243"/>
      <c r="AP82" s="237"/>
      <c r="AQ82" s="567"/>
      <c r="AR82" s="243"/>
      <c r="AS82" s="243"/>
      <c r="AT82" s="243"/>
      <c r="AU82" s="237"/>
      <c r="AV82" s="567"/>
      <c r="AW82" s="243"/>
      <c r="AX82" s="243"/>
      <c r="AY82" s="243"/>
      <c r="AZ82" s="237"/>
      <c r="BA82" s="567"/>
      <c r="BB82" s="243"/>
      <c r="BC82" s="243"/>
      <c r="BD82" s="243"/>
      <c r="BE82" s="237"/>
      <c r="BF82" s="567"/>
      <c r="BG82" s="243"/>
      <c r="BH82" s="243"/>
      <c r="BI82" s="243"/>
      <c r="BJ82" s="237"/>
      <c r="BK82" s="567"/>
      <c r="BL82" s="243"/>
      <c r="BM82" s="243"/>
      <c r="BN82" s="243"/>
      <c r="BO82" s="237"/>
      <c r="BP82" s="567"/>
      <c r="BQ82" s="243"/>
      <c r="BR82" s="243"/>
      <c r="BS82" s="243"/>
      <c r="BT82" s="237"/>
      <c r="BU82" s="567"/>
      <c r="BV82" s="243"/>
      <c r="BW82" s="243"/>
      <c r="BX82" s="243"/>
      <c r="BY82" s="237"/>
      <c r="BZ82" s="567"/>
      <c r="CA82" s="243"/>
      <c r="CB82" s="243"/>
      <c r="CC82" s="243"/>
      <c r="CD82" s="237"/>
      <c r="CE82" s="567"/>
      <c r="CF82" s="243"/>
      <c r="CG82" s="243"/>
      <c r="CH82" s="243"/>
      <c r="CI82" s="237"/>
      <c r="CJ82" s="567"/>
      <c r="CK82" s="243"/>
      <c r="CL82" s="243"/>
      <c r="CM82" s="243"/>
      <c r="CN82" s="237"/>
      <c r="CO82" s="567"/>
      <c r="CP82" s="243"/>
      <c r="CQ82" s="243"/>
      <c r="CR82" s="243"/>
      <c r="CS82" s="237"/>
      <c r="CT82" s="567"/>
      <c r="CU82" s="243"/>
      <c r="CV82" s="243"/>
      <c r="CW82" s="243"/>
      <c r="CX82" s="237"/>
      <c r="CY82" s="567"/>
      <c r="CZ82" s="243"/>
      <c r="DA82" s="243"/>
      <c r="DB82" s="243"/>
      <c r="DC82" s="237"/>
      <c r="DD82" s="567"/>
      <c r="DE82" s="243"/>
      <c r="DF82" s="243"/>
      <c r="DG82" s="243"/>
      <c r="DH82" s="237"/>
      <c r="DI82" s="567"/>
      <c r="DJ82" s="243"/>
      <c r="DK82" s="243"/>
      <c r="DL82" s="243"/>
      <c r="DM82" s="237"/>
      <c r="DN82" s="567"/>
      <c r="DO82" s="243"/>
      <c r="DP82" s="243"/>
      <c r="DQ82" s="243"/>
      <c r="DR82" s="237"/>
      <c r="DS82" s="567"/>
      <c r="DT82" s="243"/>
      <c r="DU82" s="243"/>
      <c r="DV82" s="243"/>
      <c r="DW82" s="237"/>
      <c r="DX82" s="567"/>
      <c r="DY82" s="243"/>
      <c r="DZ82" s="243"/>
      <c r="EA82" s="243"/>
      <c r="EB82" s="237"/>
      <c r="EC82" s="567"/>
      <c r="ED82" s="243"/>
      <c r="EE82" s="243"/>
      <c r="EF82" s="243"/>
      <c r="EG82" s="237"/>
      <c r="EH82" s="567"/>
      <c r="EI82" s="243"/>
      <c r="EJ82" s="243"/>
      <c r="EK82" s="243"/>
      <c r="EL82" s="237"/>
      <c r="EM82" s="567"/>
      <c r="EN82" s="243"/>
      <c r="EO82" s="243"/>
      <c r="EP82" s="243"/>
      <c r="EQ82" s="237"/>
      <c r="ER82" s="567"/>
      <c r="ES82" s="243"/>
      <c r="ET82" s="243"/>
      <c r="EU82" s="243"/>
      <c r="EV82" s="237"/>
      <c r="EW82" s="567"/>
      <c r="EX82" s="243"/>
      <c r="EY82" s="243"/>
      <c r="EZ82" s="243"/>
      <c r="FA82" s="237"/>
      <c r="FB82" s="567"/>
      <c r="FC82" s="243"/>
      <c r="FD82" s="243"/>
      <c r="FE82" s="243"/>
      <c r="FF82" s="237"/>
      <c r="FG82" s="567"/>
      <c r="FH82" s="243"/>
      <c r="FI82" s="243"/>
      <c r="FJ82" s="243"/>
      <c r="FK82" s="237"/>
      <c r="FL82" s="567"/>
      <c r="FM82" s="243"/>
      <c r="FN82" s="243"/>
      <c r="FO82" s="243"/>
      <c r="FP82" s="237"/>
      <c r="FQ82" s="567"/>
      <c r="FR82" s="243"/>
      <c r="FS82" s="243"/>
      <c r="FT82" s="243"/>
      <c r="FU82" s="237"/>
      <c r="FV82" s="567"/>
      <c r="FW82" s="243"/>
      <c r="FX82" s="243"/>
      <c r="FY82" s="243"/>
      <c r="FZ82" s="237"/>
      <c r="GA82" s="567"/>
      <c r="GB82" s="243"/>
      <c r="GC82" s="243"/>
      <c r="GD82" s="243"/>
      <c r="GE82" s="237"/>
    </row>
    <row r="83" spans="1:187" s="564" customFormat="1" ht="12.75" customHeight="1">
      <c r="A83" s="144"/>
      <c r="B83" s="566"/>
      <c r="C83" s="569"/>
      <c r="D83" s="105"/>
      <c r="E83" s="105"/>
      <c r="F83" s="105"/>
      <c r="G83" s="570"/>
      <c r="H83" s="569"/>
      <c r="I83" s="105"/>
      <c r="J83" s="105"/>
      <c r="K83" s="105"/>
      <c r="L83" s="570"/>
      <c r="M83" s="569"/>
      <c r="N83" s="105"/>
      <c r="O83" s="105"/>
      <c r="P83" s="105"/>
      <c r="Q83" s="570"/>
      <c r="R83" s="569"/>
      <c r="S83" s="105"/>
      <c r="T83" s="105"/>
      <c r="U83" s="105"/>
      <c r="V83" s="570"/>
      <c r="W83" s="569"/>
      <c r="X83" s="105"/>
      <c r="Y83" s="105"/>
      <c r="Z83" s="105"/>
      <c r="AA83" s="570"/>
      <c r="AB83" s="569"/>
      <c r="AC83" s="105"/>
      <c r="AD83" s="105"/>
      <c r="AE83" s="105"/>
      <c r="AF83" s="570"/>
      <c r="AG83" s="569"/>
      <c r="AH83" s="105"/>
      <c r="AI83" s="105"/>
      <c r="AJ83" s="105"/>
      <c r="AK83" s="570"/>
      <c r="AL83" s="569"/>
      <c r="AM83" s="105"/>
      <c r="AN83" s="105"/>
      <c r="AO83" s="105"/>
      <c r="AP83" s="570"/>
      <c r="AQ83" s="569"/>
      <c r="AR83" s="105"/>
      <c r="AS83" s="105"/>
      <c r="AT83" s="105"/>
      <c r="AU83" s="570"/>
      <c r="AV83" s="569"/>
      <c r="AW83" s="105"/>
      <c r="AX83" s="105"/>
      <c r="AY83" s="105"/>
      <c r="AZ83" s="570"/>
      <c r="BA83" s="569"/>
      <c r="BB83" s="105"/>
      <c r="BC83" s="105"/>
      <c r="BD83" s="105"/>
      <c r="BE83" s="570"/>
      <c r="BF83" s="569"/>
      <c r="BG83" s="105"/>
      <c r="BH83" s="105"/>
      <c r="BI83" s="105"/>
      <c r="BJ83" s="570"/>
      <c r="BK83" s="569"/>
      <c r="BL83" s="105"/>
      <c r="BM83" s="105"/>
      <c r="BN83" s="105"/>
      <c r="BO83" s="570"/>
      <c r="BP83" s="569"/>
      <c r="BQ83" s="105"/>
      <c r="BR83" s="105"/>
      <c r="BS83" s="105"/>
      <c r="BT83" s="570"/>
      <c r="BU83" s="569"/>
      <c r="BV83" s="105"/>
      <c r="BW83" s="105"/>
      <c r="BX83" s="105"/>
      <c r="BY83" s="570"/>
      <c r="BZ83" s="569"/>
      <c r="CA83" s="105"/>
      <c r="CB83" s="105"/>
      <c r="CC83" s="105"/>
      <c r="CD83" s="570"/>
      <c r="CE83" s="569"/>
      <c r="CF83" s="105"/>
      <c r="CG83" s="105"/>
      <c r="CH83" s="105"/>
      <c r="CI83" s="570"/>
      <c r="CJ83" s="569"/>
      <c r="CK83" s="105"/>
      <c r="CL83" s="105"/>
      <c r="CM83" s="105"/>
      <c r="CN83" s="570"/>
      <c r="CO83" s="569"/>
      <c r="CP83" s="105"/>
      <c r="CQ83" s="105"/>
      <c r="CR83" s="105"/>
      <c r="CS83" s="570"/>
      <c r="CT83" s="569"/>
      <c r="CU83" s="105"/>
      <c r="CV83" s="105"/>
      <c r="CW83" s="105"/>
      <c r="CX83" s="570"/>
      <c r="CY83" s="569"/>
      <c r="CZ83" s="105"/>
      <c r="DA83" s="105"/>
      <c r="DB83" s="105"/>
      <c r="DC83" s="570"/>
      <c r="DD83" s="569"/>
      <c r="DE83" s="105"/>
      <c r="DF83" s="105"/>
      <c r="DG83" s="105"/>
      <c r="DH83" s="570"/>
      <c r="DI83" s="569"/>
      <c r="DJ83" s="105"/>
      <c r="DK83" s="105"/>
      <c r="DL83" s="105"/>
      <c r="DM83" s="570"/>
      <c r="DN83" s="569"/>
      <c r="DO83" s="105"/>
      <c r="DP83" s="105"/>
      <c r="DQ83" s="105"/>
      <c r="DR83" s="570"/>
      <c r="DS83" s="569"/>
      <c r="DT83" s="105"/>
      <c r="DU83" s="105"/>
      <c r="DV83" s="105"/>
      <c r="DW83" s="570"/>
      <c r="DX83" s="569"/>
      <c r="DY83" s="105"/>
      <c r="DZ83" s="105"/>
      <c r="EA83" s="105"/>
      <c r="EB83" s="570"/>
      <c r="EC83" s="569"/>
      <c r="ED83" s="105"/>
      <c r="EE83" s="105"/>
      <c r="EF83" s="105"/>
      <c r="EG83" s="570"/>
      <c r="EH83" s="569"/>
      <c r="EI83" s="105"/>
      <c r="EJ83" s="105"/>
      <c r="EK83" s="105"/>
      <c r="EL83" s="570"/>
      <c r="EM83" s="569"/>
      <c r="EN83" s="105"/>
      <c r="EO83" s="105"/>
      <c r="EP83" s="105"/>
      <c r="EQ83" s="570"/>
      <c r="ER83" s="569"/>
      <c r="ES83" s="105"/>
      <c r="ET83" s="105"/>
      <c r="EU83" s="105"/>
      <c r="EV83" s="570"/>
      <c r="EW83" s="569"/>
      <c r="EX83" s="105"/>
      <c r="EY83" s="105"/>
      <c r="EZ83" s="105"/>
      <c r="FA83" s="570"/>
      <c r="FB83" s="569"/>
      <c r="FC83" s="105"/>
      <c r="FD83" s="105"/>
      <c r="FE83" s="105"/>
      <c r="FF83" s="570"/>
      <c r="FG83" s="569"/>
      <c r="FH83" s="105"/>
      <c r="FI83" s="105"/>
      <c r="FJ83" s="105"/>
      <c r="FK83" s="570"/>
      <c r="FL83" s="569"/>
      <c r="FM83" s="105"/>
      <c r="FN83" s="105"/>
      <c r="FO83" s="105"/>
      <c r="FP83" s="570"/>
      <c r="FQ83" s="569"/>
      <c r="FR83" s="105"/>
      <c r="FS83" s="105"/>
      <c r="FT83" s="105"/>
      <c r="FU83" s="570"/>
      <c r="FV83" s="569"/>
      <c r="FW83" s="105"/>
      <c r="FX83" s="105"/>
      <c r="FY83" s="105"/>
      <c r="FZ83" s="570"/>
      <c r="GA83" s="569"/>
      <c r="GB83" s="105"/>
      <c r="GC83" s="105"/>
      <c r="GD83" s="105"/>
      <c r="GE83" s="570"/>
    </row>
    <row r="84" spans="1:187" s="542" customFormat="1" ht="12.75" customHeight="1">
      <c r="A84" s="68"/>
      <c r="B84" s="566"/>
      <c r="C84" s="246"/>
      <c r="D84" s="142"/>
      <c r="E84" s="142"/>
      <c r="F84" s="142"/>
      <c r="G84" s="100"/>
      <c r="H84" s="246"/>
      <c r="I84" s="142"/>
      <c r="J84" s="142"/>
      <c r="K84" s="142"/>
      <c r="L84" s="100"/>
      <c r="M84" s="246"/>
      <c r="N84" s="142"/>
      <c r="O84" s="142"/>
      <c r="P84" s="142"/>
      <c r="Q84" s="100"/>
      <c r="R84" s="246"/>
      <c r="S84" s="142"/>
      <c r="T84" s="142"/>
      <c r="U84" s="142"/>
      <c r="V84" s="100"/>
      <c r="W84" s="246"/>
      <c r="X84" s="142"/>
      <c r="Y84" s="142"/>
      <c r="Z84" s="142"/>
      <c r="AA84" s="100"/>
      <c r="AB84" s="246"/>
      <c r="AC84" s="142"/>
      <c r="AD84" s="142"/>
      <c r="AE84" s="142"/>
      <c r="AF84" s="100"/>
      <c r="AG84" s="246"/>
      <c r="AH84" s="142"/>
      <c r="AI84" s="142"/>
      <c r="AJ84" s="142"/>
      <c r="AK84" s="100"/>
      <c r="AL84" s="246"/>
      <c r="AM84" s="142"/>
      <c r="AN84" s="142"/>
      <c r="AO84" s="142"/>
      <c r="AP84" s="100"/>
      <c r="AQ84" s="246"/>
      <c r="AR84" s="142"/>
      <c r="AS84" s="142"/>
      <c r="AT84" s="142"/>
      <c r="AU84" s="100"/>
      <c r="AV84" s="246"/>
      <c r="AW84" s="142"/>
      <c r="AX84" s="142"/>
      <c r="AY84" s="142"/>
      <c r="AZ84" s="100"/>
      <c r="BA84" s="246"/>
      <c r="BB84" s="142"/>
      <c r="BC84" s="142"/>
      <c r="BD84" s="142"/>
      <c r="BE84" s="100"/>
      <c r="BF84" s="246"/>
      <c r="BG84" s="142"/>
      <c r="BH84" s="142"/>
      <c r="BI84" s="142"/>
      <c r="BJ84" s="100"/>
      <c r="BK84" s="246"/>
      <c r="BL84" s="142"/>
      <c r="BM84" s="142"/>
      <c r="BN84" s="142"/>
      <c r="BO84" s="100"/>
      <c r="BP84" s="246"/>
      <c r="BQ84" s="142"/>
      <c r="BR84" s="142"/>
      <c r="BS84" s="142"/>
      <c r="BT84" s="100"/>
      <c r="BU84" s="246"/>
      <c r="BV84" s="142"/>
      <c r="BW84" s="142"/>
      <c r="BX84" s="142"/>
      <c r="BY84" s="100"/>
      <c r="BZ84" s="246"/>
      <c r="CA84" s="142"/>
      <c r="CB84" s="142"/>
      <c r="CC84" s="142"/>
      <c r="CD84" s="100"/>
      <c r="CE84" s="246"/>
      <c r="CF84" s="142"/>
      <c r="CG84" s="142"/>
      <c r="CH84" s="142"/>
      <c r="CI84" s="100"/>
      <c r="CJ84" s="246"/>
      <c r="CK84" s="142"/>
      <c r="CL84" s="142"/>
      <c r="CM84" s="142"/>
      <c r="CN84" s="100"/>
      <c r="CO84" s="246"/>
      <c r="CP84" s="142"/>
      <c r="CQ84" s="142"/>
      <c r="CR84" s="142"/>
      <c r="CS84" s="100"/>
      <c r="CT84" s="246"/>
      <c r="CU84" s="142"/>
      <c r="CV84" s="142"/>
      <c r="CW84" s="142"/>
      <c r="CX84" s="100"/>
      <c r="CY84" s="246"/>
      <c r="CZ84" s="142"/>
      <c r="DA84" s="142"/>
      <c r="DB84" s="142"/>
      <c r="DC84" s="100"/>
      <c r="DD84" s="246"/>
      <c r="DE84" s="142"/>
      <c r="DF84" s="142"/>
      <c r="DG84" s="142"/>
      <c r="DH84" s="100"/>
      <c r="DI84" s="246"/>
      <c r="DJ84" s="142"/>
      <c r="DK84" s="142"/>
      <c r="DL84" s="142"/>
      <c r="DM84" s="100"/>
      <c r="DN84" s="246"/>
      <c r="DO84" s="142"/>
      <c r="DP84" s="142"/>
      <c r="DQ84" s="142"/>
      <c r="DR84" s="100"/>
      <c r="DS84" s="246"/>
      <c r="DT84" s="142"/>
      <c r="DU84" s="142"/>
      <c r="DV84" s="142"/>
      <c r="DW84" s="100"/>
      <c r="DX84" s="246"/>
      <c r="DY84" s="142"/>
      <c r="DZ84" s="142"/>
      <c r="EA84" s="142"/>
      <c r="EB84" s="100"/>
      <c r="EC84" s="246"/>
      <c r="ED84" s="142"/>
      <c r="EE84" s="142"/>
      <c r="EF84" s="142"/>
      <c r="EG84" s="100"/>
      <c r="EH84" s="246"/>
      <c r="EI84" s="142"/>
      <c r="EJ84" s="142"/>
      <c r="EK84" s="142"/>
      <c r="EL84" s="100"/>
      <c r="EM84" s="246"/>
      <c r="EN84" s="142"/>
      <c r="EO84" s="142"/>
      <c r="EP84" s="142"/>
      <c r="EQ84" s="100"/>
      <c r="ER84" s="246"/>
      <c r="ES84" s="142"/>
      <c r="ET84" s="142"/>
      <c r="EU84" s="142"/>
      <c r="EV84" s="100"/>
      <c r="EW84" s="246"/>
      <c r="EX84" s="142"/>
      <c r="EY84" s="142"/>
      <c r="EZ84" s="142"/>
      <c r="FA84" s="100"/>
      <c r="FB84" s="246"/>
      <c r="FC84" s="142"/>
      <c r="FD84" s="142"/>
      <c r="FE84" s="142"/>
      <c r="FF84" s="100"/>
      <c r="FG84" s="246"/>
      <c r="FH84" s="142"/>
      <c r="FI84" s="142"/>
      <c r="FJ84" s="142"/>
      <c r="FK84" s="100"/>
      <c r="FL84" s="246"/>
      <c r="FM84" s="142"/>
      <c r="FN84" s="142"/>
      <c r="FO84" s="142"/>
      <c r="FP84" s="100"/>
      <c r="FQ84" s="246"/>
      <c r="FR84" s="142"/>
      <c r="FS84" s="142"/>
      <c r="FT84" s="142"/>
      <c r="FU84" s="100"/>
      <c r="FV84" s="246"/>
      <c r="FW84" s="142"/>
      <c r="FX84" s="142"/>
      <c r="FY84" s="142"/>
      <c r="FZ84" s="100"/>
      <c r="GA84" s="246"/>
      <c r="GB84" s="142"/>
      <c r="GC84" s="142"/>
      <c r="GD84" s="142"/>
      <c r="GE84" s="100"/>
    </row>
    <row r="85" spans="1:187" s="564" customFormat="1" ht="12.75" customHeight="1">
      <c r="A85" s="144"/>
      <c r="B85" s="552"/>
      <c r="C85" s="139"/>
      <c r="D85" s="105"/>
      <c r="E85" s="105"/>
      <c r="F85" s="105"/>
      <c r="G85" s="570"/>
      <c r="H85" s="139"/>
      <c r="I85" s="105"/>
      <c r="J85" s="105"/>
      <c r="K85" s="105"/>
      <c r="L85" s="570"/>
      <c r="M85" s="139"/>
      <c r="N85" s="105"/>
      <c r="O85" s="105"/>
      <c r="P85" s="105"/>
      <c r="Q85" s="570"/>
      <c r="R85" s="139"/>
      <c r="S85" s="105"/>
      <c r="T85" s="105"/>
      <c r="U85" s="105"/>
      <c r="V85" s="570"/>
      <c r="W85" s="139"/>
      <c r="X85" s="105"/>
      <c r="Y85" s="105"/>
      <c r="Z85" s="105"/>
      <c r="AA85" s="570"/>
      <c r="AB85" s="139"/>
      <c r="AC85" s="105"/>
      <c r="AD85" s="105"/>
      <c r="AE85" s="105"/>
      <c r="AF85" s="570"/>
      <c r="AG85" s="139"/>
      <c r="AH85" s="105"/>
      <c r="AI85" s="105"/>
      <c r="AJ85" s="105"/>
      <c r="AK85" s="570"/>
      <c r="AL85" s="139"/>
      <c r="AM85" s="105"/>
      <c r="AN85" s="105"/>
      <c r="AO85" s="105"/>
      <c r="AP85" s="570"/>
      <c r="AQ85" s="139"/>
      <c r="AR85" s="105"/>
      <c r="AS85" s="105"/>
      <c r="AT85" s="105"/>
      <c r="AU85" s="570"/>
      <c r="AV85" s="139"/>
      <c r="AW85" s="105"/>
      <c r="AX85" s="105"/>
      <c r="AY85" s="105"/>
      <c r="AZ85" s="570"/>
      <c r="BA85" s="139"/>
      <c r="BB85" s="105"/>
      <c r="BC85" s="105"/>
      <c r="BD85" s="105"/>
      <c r="BE85" s="570"/>
      <c r="BF85" s="139"/>
      <c r="BG85" s="105"/>
      <c r="BH85" s="105"/>
      <c r="BI85" s="105"/>
      <c r="BJ85" s="570"/>
      <c r="BK85" s="139"/>
      <c r="BL85" s="105"/>
      <c r="BM85" s="105"/>
      <c r="BN85" s="105"/>
      <c r="BO85" s="570"/>
      <c r="BP85" s="139"/>
      <c r="BQ85" s="105"/>
      <c r="BR85" s="105"/>
      <c r="BS85" s="105"/>
      <c r="BT85" s="570"/>
      <c r="BU85" s="139"/>
      <c r="BV85" s="105"/>
      <c r="BW85" s="105"/>
      <c r="BX85" s="105"/>
      <c r="BY85" s="570"/>
      <c r="BZ85" s="139"/>
      <c r="CA85" s="105"/>
      <c r="CB85" s="105"/>
      <c r="CC85" s="105"/>
      <c r="CD85" s="570"/>
      <c r="CE85" s="139"/>
      <c r="CF85" s="105"/>
      <c r="CG85" s="105"/>
      <c r="CH85" s="105"/>
      <c r="CI85" s="570"/>
      <c r="CJ85" s="139"/>
      <c r="CK85" s="105"/>
      <c r="CL85" s="105"/>
      <c r="CM85" s="105"/>
      <c r="CN85" s="570"/>
      <c r="CO85" s="139"/>
      <c r="CP85" s="105"/>
      <c r="CQ85" s="105"/>
      <c r="CR85" s="105"/>
      <c r="CS85" s="570"/>
      <c r="CT85" s="139"/>
      <c r="CU85" s="105"/>
      <c r="CV85" s="105"/>
      <c r="CW85" s="105"/>
      <c r="CX85" s="570"/>
      <c r="CY85" s="139"/>
      <c r="CZ85" s="105"/>
      <c r="DA85" s="105"/>
      <c r="DB85" s="105"/>
      <c r="DC85" s="570"/>
      <c r="DD85" s="139"/>
      <c r="DE85" s="105"/>
      <c r="DF85" s="105"/>
      <c r="DG85" s="105"/>
      <c r="DH85" s="570"/>
      <c r="DI85" s="139"/>
      <c r="DJ85" s="105"/>
      <c r="DK85" s="105"/>
      <c r="DL85" s="105"/>
      <c r="DM85" s="570"/>
      <c r="DN85" s="139"/>
      <c r="DO85" s="105"/>
      <c r="DP85" s="105"/>
      <c r="DQ85" s="105"/>
      <c r="DR85" s="570"/>
      <c r="DS85" s="139"/>
      <c r="DT85" s="105"/>
      <c r="DU85" s="105"/>
      <c r="DV85" s="105"/>
      <c r="DW85" s="570"/>
      <c r="DX85" s="139"/>
      <c r="DY85" s="105"/>
      <c r="DZ85" s="105"/>
      <c r="EA85" s="105"/>
      <c r="EB85" s="570"/>
      <c r="EC85" s="139"/>
      <c r="ED85" s="105"/>
      <c r="EE85" s="105"/>
      <c r="EF85" s="105"/>
      <c r="EG85" s="570"/>
      <c r="EH85" s="139"/>
      <c r="EI85" s="105"/>
      <c r="EJ85" s="105"/>
      <c r="EK85" s="105"/>
      <c r="EL85" s="570"/>
      <c r="EM85" s="139"/>
      <c r="EN85" s="105"/>
      <c r="EO85" s="105"/>
      <c r="EP85" s="105"/>
      <c r="EQ85" s="570"/>
      <c r="ER85" s="139"/>
      <c r="ES85" s="105"/>
      <c r="ET85" s="105"/>
      <c r="EU85" s="105"/>
      <c r="EV85" s="570"/>
      <c r="EW85" s="139"/>
      <c r="EX85" s="105"/>
      <c r="EY85" s="105"/>
      <c r="EZ85" s="105"/>
      <c r="FA85" s="570"/>
      <c r="FB85" s="139"/>
      <c r="FC85" s="105"/>
      <c r="FD85" s="105"/>
      <c r="FE85" s="105"/>
      <c r="FF85" s="570"/>
      <c r="FG85" s="139"/>
      <c r="FH85" s="105"/>
      <c r="FI85" s="105"/>
      <c r="FJ85" s="105"/>
      <c r="FK85" s="570"/>
      <c r="FL85" s="139"/>
      <c r="FM85" s="105"/>
      <c r="FN85" s="105"/>
      <c r="FO85" s="105"/>
      <c r="FP85" s="570"/>
      <c r="FQ85" s="139"/>
      <c r="FR85" s="105"/>
      <c r="FS85" s="105"/>
      <c r="FT85" s="105"/>
      <c r="FU85" s="570"/>
      <c r="FV85" s="139"/>
      <c r="FW85" s="105"/>
      <c r="FX85" s="105"/>
      <c r="FY85" s="105"/>
      <c r="FZ85" s="570"/>
      <c r="GA85" s="139"/>
      <c r="GB85" s="105"/>
      <c r="GC85" s="105"/>
      <c r="GD85" s="105"/>
      <c r="GE85" s="570"/>
    </row>
    <row r="86" spans="1:187" s="542" customFormat="1" ht="12.75" customHeight="1">
      <c r="A86" s="68"/>
      <c r="B86" s="93"/>
      <c r="C86" s="136"/>
      <c r="D86" s="105"/>
      <c r="E86" s="105"/>
      <c r="F86" s="105"/>
      <c r="G86" s="100"/>
      <c r="H86" s="136"/>
      <c r="I86" s="105"/>
      <c r="J86" s="105"/>
      <c r="K86" s="105"/>
      <c r="L86" s="100"/>
      <c r="M86" s="136"/>
      <c r="N86" s="105"/>
      <c r="O86" s="105"/>
      <c r="P86" s="105"/>
      <c r="Q86" s="100"/>
      <c r="R86" s="136"/>
      <c r="S86" s="105"/>
      <c r="T86" s="105"/>
      <c r="U86" s="105"/>
      <c r="V86" s="100"/>
      <c r="W86" s="136"/>
      <c r="X86" s="105"/>
      <c r="Y86" s="105"/>
      <c r="Z86" s="105"/>
      <c r="AA86" s="100"/>
      <c r="AB86" s="136"/>
      <c r="AC86" s="105"/>
      <c r="AD86" s="105"/>
      <c r="AE86" s="105"/>
      <c r="AF86" s="100"/>
      <c r="AG86" s="136"/>
      <c r="AH86" s="105"/>
      <c r="AI86" s="105"/>
      <c r="AJ86" s="105"/>
      <c r="AK86" s="100"/>
      <c r="AL86" s="136"/>
      <c r="AM86" s="105"/>
      <c r="AN86" s="105"/>
      <c r="AO86" s="105"/>
      <c r="AP86" s="100"/>
      <c r="AQ86" s="136"/>
      <c r="AR86" s="105"/>
      <c r="AS86" s="105"/>
      <c r="AT86" s="105"/>
      <c r="AU86" s="100"/>
      <c r="AV86" s="136"/>
      <c r="AW86" s="105"/>
      <c r="AX86" s="105"/>
      <c r="AY86" s="105"/>
      <c r="AZ86" s="100"/>
      <c r="BA86" s="136"/>
      <c r="BB86" s="105"/>
      <c r="BC86" s="105"/>
      <c r="BD86" s="105"/>
      <c r="BE86" s="100"/>
      <c r="BF86" s="136"/>
      <c r="BG86" s="105"/>
      <c r="BH86" s="105"/>
      <c r="BI86" s="105"/>
      <c r="BJ86" s="100"/>
      <c r="BK86" s="136"/>
      <c r="BL86" s="105"/>
      <c r="BM86" s="105"/>
      <c r="BN86" s="105"/>
      <c r="BO86" s="100"/>
      <c r="BP86" s="136"/>
      <c r="BQ86" s="105"/>
      <c r="BR86" s="105"/>
      <c r="BS86" s="105"/>
      <c r="BT86" s="100"/>
      <c r="BU86" s="136"/>
      <c r="BV86" s="105"/>
      <c r="BW86" s="105"/>
      <c r="BX86" s="105"/>
      <c r="BY86" s="100"/>
      <c r="BZ86" s="136"/>
      <c r="CA86" s="105"/>
      <c r="CB86" s="105"/>
      <c r="CC86" s="105"/>
      <c r="CD86" s="100"/>
      <c r="CE86" s="136"/>
      <c r="CF86" s="105"/>
      <c r="CG86" s="105"/>
      <c r="CH86" s="105"/>
      <c r="CI86" s="100"/>
      <c r="CJ86" s="136"/>
      <c r="CK86" s="105"/>
      <c r="CL86" s="105"/>
      <c r="CM86" s="105"/>
      <c r="CN86" s="100"/>
      <c r="CO86" s="136"/>
      <c r="CP86" s="105"/>
      <c r="CQ86" s="105"/>
      <c r="CR86" s="105"/>
      <c r="CS86" s="100"/>
      <c r="CT86" s="136"/>
      <c r="CU86" s="105"/>
      <c r="CV86" s="105"/>
      <c r="CW86" s="105"/>
      <c r="CX86" s="100"/>
      <c r="CY86" s="136"/>
      <c r="CZ86" s="105"/>
      <c r="DA86" s="105"/>
      <c r="DB86" s="105"/>
      <c r="DC86" s="100"/>
      <c r="DD86" s="136"/>
      <c r="DE86" s="105"/>
      <c r="DF86" s="105"/>
      <c r="DG86" s="105"/>
      <c r="DH86" s="100"/>
      <c r="DI86" s="136"/>
      <c r="DJ86" s="105"/>
      <c r="DK86" s="105"/>
      <c r="DL86" s="105"/>
      <c r="DM86" s="100"/>
      <c r="DN86" s="136"/>
      <c r="DO86" s="105"/>
      <c r="DP86" s="105"/>
      <c r="DQ86" s="105"/>
      <c r="DR86" s="100"/>
      <c r="DS86" s="136"/>
      <c r="DT86" s="105"/>
      <c r="DU86" s="105"/>
      <c r="DV86" s="105"/>
      <c r="DW86" s="100"/>
      <c r="DX86" s="136"/>
      <c r="DY86" s="105"/>
      <c r="DZ86" s="105"/>
      <c r="EA86" s="105"/>
      <c r="EB86" s="100"/>
      <c r="EC86" s="136"/>
      <c r="ED86" s="105"/>
      <c r="EE86" s="105"/>
      <c r="EF86" s="105"/>
      <c r="EG86" s="100"/>
      <c r="EH86" s="136"/>
      <c r="EI86" s="105"/>
      <c r="EJ86" s="105"/>
      <c r="EK86" s="105"/>
      <c r="EL86" s="100"/>
      <c r="EM86" s="136"/>
      <c r="EN86" s="105"/>
      <c r="EO86" s="105"/>
      <c r="EP86" s="105"/>
      <c r="EQ86" s="100"/>
      <c r="ER86" s="136"/>
      <c r="ES86" s="105"/>
      <c r="ET86" s="105"/>
      <c r="EU86" s="105"/>
      <c r="EV86" s="100"/>
      <c r="EW86" s="136"/>
      <c r="EX86" s="105"/>
      <c r="EY86" s="105"/>
      <c r="EZ86" s="105"/>
      <c r="FA86" s="100"/>
      <c r="FB86" s="136"/>
      <c r="FC86" s="105"/>
      <c r="FD86" s="105"/>
      <c r="FE86" s="105"/>
      <c r="FF86" s="100"/>
      <c r="FG86" s="136"/>
      <c r="FH86" s="105"/>
      <c r="FI86" s="105"/>
      <c r="FJ86" s="105"/>
      <c r="FK86" s="100"/>
      <c r="FL86" s="136"/>
      <c r="FM86" s="105"/>
      <c r="FN86" s="105"/>
      <c r="FO86" s="105"/>
      <c r="FP86" s="100"/>
      <c r="FQ86" s="136"/>
      <c r="FR86" s="105"/>
      <c r="FS86" s="105"/>
      <c r="FT86" s="105"/>
      <c r="FU86" s="100"/>
      <c r="FV86" s="136"/>
      <c r="FW86" s="105"/>
      <c r="FX86" s="105"/>
      <c r="FY86" s="105"/>
      <c r="FZ86" s="100"/>
      <c r="GA86" s="136"/>
      <c r="GB86" s="105"/>
      <c r="GC86" s="105"/>
      <c r="GD86" s="105"/>
      <c r="GE86" s="100"/>
    </row>
    <row r="87" spans="1:187" s="575" customFormat="1" ht="12.75" customHeight="1">
      <c r="A87" s="571"/>
      <c r="B87" s="572"/>
      <c r="C87" s="573"/>
      <c r="D87" s="573"/>
      <c r="E87" s="573"/>
      <c r="F87" s="573"/>
      <c r="G87" s="574"/>
      <c r="H87" s="573"/>
      <c r="I87" s="573"/>
      <c r="J87" s="573"/>
      <c r="K87" s="573"/>
      <c r="L87" s="574"/>
      <c r="M87" s="573"/>
      <c r="N87" s="573"/>
      <c r="O87" s="573"/>
      <c r="P87" s="573"/>
      <c r="Q87" s="574"/>
      <c r="R87" s="573"/>
      <c r="S87" s="573"/>
      <c r="T87" s="573"/>
      <c r="U87" s="573"/>
      <c r="V87" s="574"/>
      <c r="W87" s="573"/>
      <c r="X87" s="573"/>
      <c r="Y87" s="573"/>
      <c r="Z87" s="573"/>
      <c r="AA87" s="574"/>
      <c r="AB87" s="573"/>
      <c r="AC87" s="573"/>
      <c r="AD87" s="573"/>
      <c r="AE87" s="573"/>
      <c r="AF87" s="574"/>
      <c r="AG87" s="573"/>
      <c r="AH87" s="573"/>
      <c r="AI87" s="573"/>
      <c r="AJ87" s="573"/>
      <c r="AK87" s="574"/>
      <c r="AL87" s="573"/>
      <c r="AM87" s="573"/>
      <c r="AN87" s="573"/>
      <c r="AO87" s="573"/>
      <c r="AP87" s="574"/>
      <c r="AQ87" s="573"/>
      <c r="AR87" s="573"/>
      <c r="AS87" s="573"/>
      <c r="AT87" s="573"/>
      <c r="AU87" s="574"/>
      <c r="AV87" s="573"/>
      <c r="AW87" s="573"/>
      <c r="AX87" s="573"/>
      <c r="AY87" s="573"/>
      <c r="AZ87" s="574"/>
      <c r="BA87" s="573"/>
      <c r="BB87" s="573"/>
      <c r="BC87" s="573"/>
      <c r="BD87" s="573"/>
      <c r="BE87" s="574"/>
      <c r="BF87" s="573"/>
      <c r="BG87" s="573"/>
      <c r="BH87" s="573"/>
      <c r="BI87" s="573"/>
      <c r="BJ87" s="574"/>
      <c r="BK87" s="573"/>
      <c r="BL87" s="573"/>
      <c r="BM87" s="573"/>
      <c r="BN87" s="573"/>
      <c r="BO87" s="574"/>
      <c r="BP87" s="573"/>
      <c r="BQ87" s="573"/>
      <c r="BR87" s="573"/>
      <c r="BS87" s="573"/>
      <c r="BT87" s="574"/>
      <c r="BU87" s="573"/>
      <c r="BV87" s="573"/>
      <c r="BW87" s="573"/>
      <c r="BX87" s="573"/>
      <c r="BY87" s="574"/>
      <c r="BZ87" s="573"/>
      <c r="CA87" s="573"/>
      <c r="CB87" s="573"/>
      <c r="CC87" s="573"/>
      <c r="CD87" s="574"/>
      <c r="CE87" s="573"/>
      <c r="CF87" s="573"/>
      <c r="CG87" s="573"/>
      <c r="CH87" s="573"/>
      <c r="CI87" s="574"/>
      <c r="CJ87" s="573"/>
      <c r="CK87" s="573"/>
      <c r="CL87" s="573"/>
      <c r="CM87" s="573"/>
      <c r="CN87" s="574"/>
      <c r="CO87" s="573"/>
      <c r="CP87" s="573"/>
      <c r="CQ87" s="573"/>
      <c r="CR87" s="573"/>
      <c r="CS87" s="574"/>
      <c r="CT87" s="573"/>
      <c r="CU87" s="573"/>
      <c r="CV87" s="573"/>
      <c r="CW87" s="573"/>
      <c r="CX87" s="574"/>
      <c r="CY87" s="573"/>
      <c r="CZ87" s="573"/>
      <c r="DA87" s="573"/>
      <c r="DB87" s="573"/>
      <c r="DC87" s="574"/>
      <c r="DD87" s="573"/>
      <c r="DE87" s="573"/>
      <c r="DF87" s="573"/>
      <c r="DG87" s="573"/>
      <c r="DH87" s="574"/>
      <c r="DI87" s="573"/>
      <c r="DJ87" s="573"/>
      <c r="DK87" s="573"/>
      <c r="DL87" s="573"/>
      <c r="DM87" s="574"/>
      <c r="DN87" s="573"/>
      <c r="DO87" s="573"/>
      <c r="DP87" s="573"/>
      <c r="DQ87" s="573"/>
      <c r="DR87" s="574"/>
      <c r="DS87" s="573"/>
      <c r="DT87" s="573"/>
      <c r="DU87" s="573"/>
      <c r="DV87" s="573"/>
      <c r="DW87" s="574"/>
      <c r="DX87" s="573"/>
      <c r="DY87" s="573"/>
      <c r="DZ87" s="573"/>
      <c r="EA87" s="573"/>
      <c r="EB87" s="574"/>
      <c r="EC87" s="573"/>
      <c r="ED87" s="573"/>
      <c r="EE87" s="573"/>
      <c r="EF87" s="573"/>
      <c r="EG87" s="574"/>
      <c r="EH87" s="573"/>
      <c r="EI87" s="573"/>
      <c r="EJ87" s="573"/>
      <c r="EK87" s="573"/>
      <c r="EL87" s="574"/>
      <c r="EM87" s="573"/>
      <c r="EN87" s="573"/>
      <c r="EO87" s="573"/>
      <c r="EP87" s="573"/>
      <c r="EQ87" s="574"/>
      <c r="ER87" s="573"/>
      <c r="ES87" s="573"/>
      <c r="ET87" s="573"/>
      <c r="EU87" s="573"/>
      <c r="EV87" s="574"/>
      <c r="EW87" s="573"/>
      <c r="EX87" s="573"/>
      <c r="EY87" s="573"/>
      <c r="EZ87" s="573"/>
      <c r="FA87" s="574"/>
      <c r="FB87" s="573"/>
      <c r="FC87" s="573"/>
      <c r="FD87" s="573"/>
      <c r="FE87" s="573"/>
      <c r="FF87" s="574"/>
      <c r="FG87" s="573"/>
      <c r="FH87" s="573"/>
      <c r="FI87" s="573"/>
      <c r="FJ87" s="573"/>
      <c r="FK87" s="574"/>
      <c r="FL87" s="573"/>
      <c r="FM87" s="573"/>
      <c r="FN87" s="573"/>
      <c r="FO87" s="573"/>
      <c r="FP87" s="574"/>
      <c r="FQ87" s="573"/>
      <c r="FR87" s="573"/>
      <c r="FS87" s="573"/>
      <c r="FT87" s="573"/>
      <c r="FU87" s="574"/>
      <c r="FV87" s="573"/>
      <c r="FW87" s="573"/>
      <c r="FX87" s="573"/>
      <c r="FY87" s="573"/>
      <c r="FZ87" s="574"/>
      <c r="GA87" s="573"/>
      <c r="GB87" s="573"/>
      <c r="GC87" s="573"/>
      <c r="GD87" s="573"/>
      <c r="GE87" s="574"/>
    </row>
    <row r="88" spans="1:187" s="577" customFormat="1" ht="12.75" customHeight="1">
      <c r="A88" s="576"/>
      <c r="C88" s="578"/>
      <c r="D88" s="578"/>
      <c r="E88" s="578"/>
      <c r="F88" s="578"/>
      <c r="G88" s="579"/>
      <c r="H88" s="578"/>
      <c r="I88" s="578"/>
      <c r="J88" s="578"/>
      <c r="K88" s="578"/>
      <c r="L88" s="579"/>
      <c r="M88" s="578"/>
      <c r="N88" s="578"/>
      <c r="O88" s="578"/>
      <c r="P88" s="578"/>
      <c r="Q88" s="579"/>
      <c r="R88" s="578"/>
      <c r="S88" s="578"/>
      <c r="T88" s="578"/>
      <c r="U88" s="578"/>
      <c r="V88" s="579"/>
      <c r="W88" s="578"/>
      <c r="X88" s="578"/>
      <c r="Y88" s="578"/>
      <c r="Z88" s="578"/>
      <c r="AA88" s="579"/>
      <c r="AB88" s="578"/>
      <c r="AC88" s="578"/>
      <c r="AD88" s="578"/>
      <c r="AE88" s="578"/>
      <c r="AF88" s="579"/>
      <c r="AG88" s="578"/>
      <c r="AH88" s="578"/>
      <c r="AI88" s="578"/>
      <c r="AJ88" s="578"/>
      <c r="AK88" s="579"/>
      <c r="AL88" s="578"/>
      <c r="AM88" s="578"/>
      <c r="AN88" s="578"/>
      <c r="AO88" s="578"/>
      <c r="AP88" s="579"/>
      <c r="AQ88" s="578"/>
      <c r="AR88" s="578"/>
      <c r="AS88" s="578"/>
      <c r="AT88" s="578"/>
      <c r="AU88" s="579"/>
      <c r="AV88" s="578"/>
      <c r="AW88" s="578"/>
      <c r="AX88" s="578"/>
      <c r="AY88" s="578"/>
      <c r="AZ88" s="579"/>
      <c r="BA88" s="578"/>
      <c r="BB88" s="578"/>
      <c r="BC88" s="578"/>
      <c r="BD88" s="578"/>
      <c r="BE88" s="579"/>
      <c r="BF88" s="578"/>
      <c r="BG88" s="578"/>
      <c r="BH88" s="578"/>
      <c r="BI88" s="578"/>
      <c r="BJ88" s="579"/>
      <c r="BK88" s="578"/>
      <c r="BL88" s="578"/>
      <c r="BM88" s="578"/>
      <c r="BN88" s="578"/>
      <c r="BO88" s="579"/>
      <c r="BP88" s="578"/>
      <c r="BQ88" s="578"/>
      <c r="BR88" s="578"/>
      <c r="BS88" s="578"/>
      <c r="BT88" s="579"/>
      <c r="BU88" s="578"/>
      <c r="BV88" s="578"/>
      <c r="BW88" s="578"/>
      <c r="BX88" s="578"/>
      <c r="BY88" s="579"/>
      <c r="BZ88" s="578"/>
      <c r="CA88" s="578"/>
      <c r="CB88" s="578"/>
      <c r="CC88" s="578"/>
      <c r="CD88" s="579"/>
      <c r="CE88" s="578"/>
      <c r="CF88" s="578"/>
      <c r="CG88" s="578"/>
      <c r="CH88" s="578"/>
      <c r="CI88" s="579"/>
      <c r="CJ88" s="578"/>
      <c r="CK88" s="578"/>
      <c r="CL88" s="578"/>
      <c r="CM88" s="578"/>
      <c r="CN88" s="579"/>
      <c r="CO88" s="578"/>
      <c r="CP88" s="578"/>
      <c r="CQ88" s="578"/>
      <c r="CR88" s="578"/>
      <c r="CS88" s="579"/>
      <c r="CT88" s="578"/>
      <c r="CU88" s="578"/>
      <c r="CV88" s="578"/>
      <c r="CW88" s="578"/>
      <c r="CX88" s="579"/>
      <c r="CY88" s="578"/>
      <c r="CZ88" s="578"/>
      <c r="DA88" s="578"/>
      <c r="DB88" s="578"/>
      <c r="DC88" s="579"/>
      <c r="DD88" s="578"/>
      <c r="DE88" s="578"/>
      <c r="DF88" s="578"/>
      <c r="DG88" s="578"/>
      <c r="DH88" s="579"/>
      <c r="DI88" s="578"/>
      <c r="DJ88" s="578"/>
      <c r="DK88" s="578"/>
      <c r="DL88" s="578"/>
      <c r="DM88" s="579"/>
      <c r="DN88" s="578"/>
      <c r="DO88" s="578"/>
      <c r="DP88" s="578"/>
      <c r="DQ88" s="578"/>
      <c r="DR88" s="579"/>
      <c r="DS88" s="578"/>
      <c r="DT88" s="578"/>
      <c r="DU88" s="578"/>
      <c r="DV88" s="578"/>
      <c r="DW88" s="579"/>
      <c r="DX88" s="578"/>
      <c r="DY88" s="578"/>
      <c r="DZ88" s="578"/>
      <c r="EA88" s="578"/>
      <c r="EB88" s="579"/>
      <c r="EC88" s="578"/>
      <c r="ED88" s="578"/>
      <c r="EE88" s="578"/>
      <c r="EF88" s="578"/>
      <c r="EG88" s="579"/>
      <c r="EH88" s="578"/>
      <c r="EI88" s="578"/>
      <c r="EJ88" s="578"/>
      <c r="EK88" s="578"/>
      <c r="EL88" s="579"/>
      <c r="EM88" s="578"/>
      <c r="EN88" s="578"/>
      <c r="EO88" s="578"/>
      <c r="EP88" s="578"/>
      <c r="EQ88" s="579"/>
      <c r="ER88" s="578"/>
      <c r="ES88" s="578"/>
      <c r="ET88" s="578"/>
      <c r="EU88" s="578"/>
      <c r="EV88" s="579"/>
      <c r="EW88" s="578"/>
      <c r="EX88" s="578"/>
      <c r="EY88" s="578"/>
      <c r="EZ88" s="578"/>
      <c r="FA88" s="579"/>
      <c r="FB88" s="578"/>
      <c r="FC88" s="578"/>
      <c r="FD88" s="578"/>
      <c r="FE88" s="578"/>
      <c r="FF88" s="579"/>
      <c r="FG88" s="578"/>
      <c r="FH88" s="578"/>
      <c r="FI88" s="578"/>
      <c r="FJ88" s="578"/>
      <c r="FK88" s="579"/>
      <c r="FL88" s="578"/>
      <c r="FM88" s="578"/>
      <c r="FN88" s="578"/>
      <c r="FO88" s="578"/>
      <c r="FP88" s="579"/>
      <c r="FQ88" s="578"/>
      <c r="FR88" s="578"/>
      <c r="FS88" s="578"/>
      <c r="FT88" s="578"/>
      <c r="FU88" s="579"/>
      <c r="FV88" s="578"/>
      <c r="FW88" s="578"/>
      <c r="FX88" s="578"/>
      <c r="FY88" s="578"/>
      <c r="FZ88" s="579"/>
      <c r="GA88" s="578"/>
      <c r="GB88" s="578"/>
      <c r="GC88" s="578"/>
      <c r="GD88" s="578"/>
      <c r="GE88" s="579"/>
    </row>
    <row r="89" spans="1:187" ht="12.75" customHeight="1">
      <c r="C89" s="580"/>
      <c r="D89" s="581"/>
      <c r="E89" s="581"/>
      <c r="F89" s="581"/>
      <c r="G89" s="100"/>
      <c r="H89" s="580"/>
      <c r="I89" s="581"/>
      <c r="J89" s="581"/>
      <c r="K89" s="581"/>
      <c r="L89" s="100"/>
      <c r="M89" s="580"/>
      <c r="N89" s="581"/>
      <c r="O89" s="581"/>
      <c r="P89" s="581"/>
      <c r="Q89" s="100"/>
      <c r="R89" s="580"/>
      <c r="S89" s="581"/>
      <c r="T89" s="581"/>
      <c r="U89" s="581"/>
      <c r="V89" s="100"/>
      <c r="W89" s="580"/>
      <c r="X89" s="581"/>
      <c r="Y89" s="581"/>
      <c r="Z89" s="581"/>
      <c r="AA89" s="100"/>
      <c r="AB89" s="580"/>
      <c r="AC89" s="581"/>
      <c r="AD89" s="581"/>
      <c r="AE89" s="581"/>
      <c r="AF89" s="100"/>
      <c r="AG89" s="580"/>
      <c r="AH89" s="581"/>
      <c r="AI89" s="581"/>
      <c r="AJ89" s="581"/>
      <c r="AK89" s="100"/>
      <c r="AL89" s="580"/>
      <c r="AM89" s="581"/>
      <c r="AN89" s="581"/>
      <c r="AO89" s="581"/>
      <c r="AP89" s="100"/>
      <c r="AQ89" s="580"/>
      <c r="AR89" s="581"/>
      <c r="AS89" s="581"/>
      <c r="AT89" s="581"/>
      <c r="AU89" s="100"/>
      <c r="AV89" s="580"/>
      <c r="AW89" s="581"/>
      <c r="AX89" s="581"/>
      <c r="AY89" s="581"/>
      <c r="AZ89" s="100"/>
      <c r="BA89" s="580"/>
      <c r="BB89" s="581"/>
      <c r="BC89" s="581"/>
      <c r="BD89" s="581"/>
      <c r="BE89" s="100"/>
      <c r="BF89" s="580"/>
      <c r="BG89" s="581"/>
      <c r="BH89" s="581"/>
      <c r="BI89" s="581"/>
      <c r="BJ89" s="100"/>
      <c r="BK89" s="580"/>
      <c r="BL89" s="581"/>
      <c r="BM89" s="581"/>
      <c r="BN89" s="581"/>
      <c r="BO89" s="100"/>
      <c r="BP89" s="580"/>
      <c r="BQ89" s="581"/>
      <c r="BR89" s="581"/>
      <c r="BS89" s="581"/>
      <c r="BT89" s="100"/>
      <c r="BU89" s="580"/>
      <c r="BV89" s="581"/>
      <c r="BW89" s="581"/>
      <c r="BX89" s="581"/>
      <c r="BY89" s="100"/>
      <c r="BZ89" s="580"/>
      <c r="CA89" s="581"/>
      <c r="CB89" s="581"/>
      <c r="CC89" s="581"/>
      <c r="CD89" s="100"/>
      <c r="CE89" s="580"/>
      <c r="CF89" s="581"/>
      <c r="CG89" s="581"/>
      <c r="CH89" s="581"/>
      <c r="CI89" s="100"/>
      <c r="CJ89" s="580"/>
      <c r="CK89" s="581"/>
      <c r="CL89" s="581"/>
      <c r="CM89" s="581"/>
      <c r="CN89" s="100"/>
      <c r="CO89" s="580"/>
      <c r="CP89" s="581"/>
      <c r="CQ89" s="581"/>
      <c r="CR89" s="581"/>
      <c r="CS89" s="100"/>
      <c r="CT89" s="580"/>
      <c r="CU89" s="581"/>
      <c r="CV89" s="581"/>
      <c r="CW89" s="581"/>
      <c r="CX89" s="100"/>
      <c r="CY89" s="580"/>
      <c r="CZ89" s="581"/>
      <c r="DA89" s="581"/>
      <c r="DB89" s="581"/>
      <c r="DC89" s="100"/>
      <c r="DD89" s="580"/>
      <c r="DE89" s="581"/>
      <c r="DF89" s="581"/>
      <c r="DG89" s="581"/>
      <c r="DH89" s="100"/>
      <c r="DI89" s="580"/>
      <c r="DJ89" s="581"/>
      <c r="DK89" s="581"/>
      <c r="DL89" s="581"/>
      <c r="DM89" s="100"/>
      <c r="DN89" s="580"/>
      <c r="DO89" s="581"/>
      <c r="DP89" s="581"/>
      <c r="DQ89" s="581"/>
      <c r="DR89" s="100"/>
      <c r="DS89" s="580"/>
      <c r="DT89" s="581"/>
      <c r="DU89" s="581"/>
      <c r="DV89" s="581"/>
      <c r="DW89" s="100"/>
      <c r="DX89" s="580"/>
      <c r="DY89" s="581"/>
      <c r="DZ89" s="581"/>
      <c r="EA89" s="581"/>
      <c r="EB89" s="100"/>
      <c r="EC89" s="580"/>
      <c r="ED89" s="581"/>
      <c r="EE89" s="581"/>
      <c r="EF89" s="581"/>
      <c r="EG89" s="100"/>
      <c r="EH89" s="580"/>
      <c r="EI89" s="581"/>
      <c r="EJ89" s="581"/>
      <c r="EK89" s="581"/>
      <c r="EL89" s="100"/>
      <c r="EM89" s="580"/>
      <c r="EN89" s="581"/>
      <c r="EO89" s="581"/>
      <c r="EP89" s="581"/>
      <c r="EQ89" s="100"/>
      <c r="ER89" s="580"/>
      <c r="ES89" s="581"/>
      <c r="ET89" s="581"/>
      <c r="EU89" s="581"/>
      <c r="EV89" s="100"/>
      <c r="EW89" s="580"/>
      <c r="EX89" s="581"/>
      <c r="EY89" s="581"/>
      <c r="EZ89" s="581"/>
      <c r="FA89" s="100"/>
      <c r="FB89" s="580"/>
      <c r="FC89" s="581"/>
      <c r="FD89" s="581"/>
      <c r="FE89" s="581"/>
      <c r="FF89" s="100"/>
      <c r="FG89" s="580"/>
      <c r="FH89" s="581"/>
      <c r="FI89" s="581"/>
      <c r="FJ89" s="581"/>
      <c r="FK89" s="100"/>
      <c r="FL89" s="580"/>
      <c r="FM89" s="581"/>
      <c r="FN89" s="581"/>
      <c r="FO89" s="581"/>
      <c r="FP89" s="100"/>
      <c r="FQ89" s="580"/>
      <c r="FR89" s="581"/>
      <c r="FS89" s="581"/>
      <c r="FT89" s="581"/>
      <c r="FU89" s="100"/>
      <c r="FV89" s="580"/>
      <c r="FW89" s="581"/>
      <c r="FX89" s="581"/>
      <c r="FY89" s="581"/>
      <c r="FZ89" s="100"/>
      <c r="GA89" s="580"/>
      <c r="GB89" s="581"/>
      <c r="GC89" s="581"/>
      <c r="GD89" s="581"/>
      <c r="GE89" s="100"/>
    </row>
    <row r="90" spans="1:187" s="575" customFormat="1" ht="12.75" customHeight="1">
      <c r="A90" s="571"/>
      <c r="B90" s="572"/>
      <c r="C90" s="582"/>
      <c r="D90" s="582"/>
      <c r="E90" s="582"/>
      <c r="F90" s="582"/>
      <c r="H90" s="582"/>
      <c r="I90" s="582"/>
      <c r="J90" s="582"/>
      <c r="K90" s="582"/>
      <c r="M90" s="582"/>
      <c r="N90" s="582"/>
      <c r="O90" s="582"/>
      <c r="P90" s="582"/>
      <c r="R90" s="582"/>
      <c r="S90" s="582"/>
      <c r="T90" s="582"/>
      <c r="U90" s="582"/>
      <c r="W90" s="582"/>
      <c r="X90" s="582"/>
      <c r="Y90" s="582"/>
      <c r="Z90" s="582"/>
      <c r="AB90" s="582"/>
      <c r="AC90" s="582"/>
      <c r="AD90" s="582"/>
      <c r="AE90" s="582"/>
      <c r="AG90" s="582"/>
      <c r="AH90" s="582"/>
      <c r="AI90" s="582"/>
      <c r="AJ90" s="582"/>
      <c r="AL90" s="582"/>
      <c r="AM90" s="582"/>
      <c r="AN90" s="582"/>
      <c r="AO90" s="582"/>
      <c r="AQ90" s="582"/>
      <c r="AR90" s="582"/>
      <c r="AS90" s="582"/>
      <c r="AT90" s="582"/>
      <c r="AV90" s="582"/>
      <c r="AW90" s="582"/>
      <c r="AX90" s="582"/>
      <c r="AY90" s="582"/>
      <c r="BA90" s="582"/>
      <c r="BB90" s="582"/>
      <c r="BC90" s="582"/>
      <c r="BD90" s="582"/>
      <c r="BF90" s="582"/>
      <c r="BG90" s="582"/>
      <c r="BH90" s="582"/>
      <c r="BI90" s="582"/>
      <c r="BK90" s="582"/>
      <c r="BL90" s="582"/>
      <c r="BM90" s="582"/>
      <c r="BN90" s="582"/>
      <c r="BP90" s="582"/>
      <c r="BQ90" s="582"/>
      <c r="BR90" s="582"/>
      <c r="BS90" s="582"/>
      <c r="BU90" s="582"/>
      <c r="BV90" s="582"/>
      <c r="BW90" s="582"/>
      <c r="BX90" s="582"/>
      <c r="BZ90" s="582"/>
      <c r="CA90" s="582"/>
      <c r="CB90" s="582"/>
      <c r="CC90" s="582"/>
      <c r="CE90" s="582"/>
      <c r="CF90" s="582"/>
      <c r="CG90" s="582"/>
      <c r="CH90" s="582"/>
      <c r="CJ90" s="582"/>
      <c r="CK90" s="582"/>
      <c r="CL90" s="582"/>
      <c r="CM90" s="582"/>
      <c r="CO90" s="582"/>
      <c r="CP90" s="582"/>
      <c r="CQ90" s="582"/>
      <c r="CR90" s="582"/>
      <c r="CT90" s="582"/>
      <c r="CU90" s="582"/>
      <c r="CV90" s="582"/>
      <c r="CW90" s="582"/>
      <c r="CY90" s="582"/>
      <c r="CZ90" s="582"/>
      <c r="DA90" s="582"/>
      <c r="DB90" s="582"/>
      <c r="DD90" s="582"/>
      <c r="DE90" s="582"/>
      <c r="DF90" s="582"/>
      <c r="DG90" s="582"/>
      <c r="DI90" s="582"/>
      <c r="DJ90" s="582"/>
      <c r="DK90" s="582"/>
      <c r="DL90" s="582"/>
      <c r="DN90" s="582"/>
      <c r="DO90" s="582"/>
      <c r="DP90" s="582"/>
      <c r="DQ90" s="582"/>
      <c r="DS90" s="582"/>
      <c r="DT90" s="582"/>
      <c r="DU90" s="582"/>
      <c r="DV90" s="582"/>
      <c r="DX90" s="582"/>
      <c r="DY90" s="582"/>
      <c r="DZ90" s="582"/>
      <c r="EA90" s="582"/>
      <c r="EC90" s="582"/>
      <c r="ED90" s="582"/>
      <c r="EE90" s="582"/>
      <c r="EF90" s="582"/>
      <c r="EH90" s="582"/>
      <c r="EI90" s="582"/>
      <c r="EJ90" s="582"/>
      <c r="EK90" s="582"/>
      <c r="EM90" s="582"/>
      <c r="EN90" s="582"/>
      <c r="EO90" s="582"/>
      <c r="EP90" s="582"/>
      <c r="ER90" s="582"/>
      <c r="ES90" s="582"/>
      <c r="ET90" s="582"/>
      <c r="EU90" s="582"/>
      <c r="EW90" s="582"/>
      <c r="EX90" s="582"/>
      <c r="EY90" s="582"/>
      <c r="EZ90" s="582"/>
      <c r="FB90" s="582"/>
      <c r="FC90" s="582"/>
      <c r="FD90" s="582"/>
      <c r="FE90" s="582"/>
      <c r="FG90" s="582"/>
      <c r="FH90" s="582"/>
      <c r="FI90" s="582"/>
      <c r="FJ90" s="582"/>
      <c r="FL90" s="582"/>
      <c r="FM90" s="582"/>
      <c r="FN90" s="582"/>
      <c r="FO90" s="582"/>
      <c r="FQ90" s="582"/>
      <c r="FR90" s="582"/>
      <c r="FS90" s="582"/>
      <c r="FT90" s="582"/>
      <c r="FV90" s="582"/>
      <c r="FW90" s="582"/>
      <c r="FX90" s="582"/>
      <c r="FY90" s="582"/>
      <c r="GA90" s="582"/>
      <c r="GB90" s="582"/>
      <c r="GC90" s="582"/>
      <c r="GD90" s="582"/>
    </row>
    <row r="91" spans="1:187" s="564" customFormat="1" ht="12.75" customHeight="1">
      <c r="A91" s="583"/>
      <c r="B91" s="584"/>
      <c r="C91" s="105"/>
      <c r="D91" s="105"/>
      <c r="E91" s="105"/>
      <c r="F91" s="105"/>
      <c r="G91" s="585"/>
      <c r="H91" s="105"/>
      <c r="I91" s="105"/>
      <c r="J91" s="105"/>
      <c r="K91" s="105"/>
      <c r="L91" s="585"/>
      <c r="M91" s="105"/>
      <c r="N91" s="105"/>
      <c r="O91" s="105"/>
      <c r="P91" s="105"/>
      <c r="Q91" s="585"/>
      <c r="R91" s="105"/>
      <c r="S91" s="105"/>
      <c r="T91" s="105"/>
      <c r="U91" s="105"/>
      <c r="V91" s="585"/>
      <c r="W91" s="105"/>
      <c r="X91" s="105"/>
      <c r="Y91" s="105"/>
      <c r="Z91" s="105"/>
      <c r="AA91" s="585"/>
      <c r="AB91" s="105"/>
      <c r="AC91" s="105"/>
      <c r="AD91" s="105"/>
      <c r="AE91" s="105"/>
      <c r="AF91" s="585"/>
      <c r="AG91" s="105"/>
      <c r="AH91" s="105"/>
      <c r="AI91" s="105"/>
      <c r="AJ91" s="105"/>
      <c r="AK91" s="585"/>
      <c r="AL91" s="105"/>
      <c r="AM91" s="105"/>
      <c r="AN91" s="105"/>
      <c r="AO91" s="105"/>
      <c r="AP91" s="585"/>
      <c r="AQ91" s="105"/>
      <c r="AR91" s="105"/>
      <c r="AS91" s="105"/>
      <c r="AT91" s="105"/>
      <c r="AU91" s="585"/>
      <c r="AV91" s="105"/>
      <c r="AW91" s="105"/>
      <c r="AX91" s="105"/>
      <c r="AY91" s="105"/>
      <c r="AZ91" s="585"/>
      <c r="BA91" s="105"/>
      <c r="BB91" s="105"/>
      <c r="BC91" s="105"/>
      <c r="BD91" s="105"/>
      <c r="BE91" s="585"/>
      <c r="BF91" s="105"/>
      <c r="BG91" s="105"/>
      <c r="BH91" s="105"/>
      <c r="BI91" s="105"/>
      <c r="BJ91" s="585"/>
      <c r="BK91" s="105"/>
      <c r="BL91" s="105"/>
      <c r="BM91" s="105"/>
      <c r="BN91" s="105"/>
      <c r="BO91" s="585"/>
      <c r="BP91" s="105"/>
      <c r="BQ91" s="105"/>
      <c r="BR91" s="105"/>
      <c r="BS91" s="105"/>
      <c r="BT91" s="585"/>
      <c r="BU91" s="105"/>
      <c r="BV91" s="105"/>
      <c r="BW91" s="105"/>
      <c r="BX91" s="105"/>
      <c r="BY91" s="585"/>
      <c r="BZ91" s="105"/>
      <c r="CA91" s="105"/>
      <c r="CB91" s="105"/>
      <c r="CC91" s="105"/>
      <c r="CD91" s="585"/>
      <c r="CE91" s="105"/>
      <c r="CF91" s="105"/>
      <c r="CG91" s="105"/>
      <c r="CH91" s="105"/>
      <c r="CI91" s="585"/>
      <c r="CJ91" s="105"/>
      <c r="CK91" s="105"/>
      <c r="CL91" s="105"/>
      <c r="CM91" s="105"/>
      <c r="CN91" s="585"/>
      <c r="CO91" s="105"/>
      <c r="CP91" s="105"/>
      <c r="CQ91" s="105"/>
      <c r="CR91" s="105"/>
      <c r="CS91" s="585"/>
      <c r="CT91" s="105"/>
      <c r="CU91" s="105"/>
      <c r="CV91" s="105"/>
      <c r="CW91" s="105"/>
      <c r="CX91" s="585"/>
      <c r="CY91" s="105"/>
      <c r="CZ91" s="105"/>
      <c r="DA91" s="105"/>
      <c r="DB91" s="105"/>
      <c r="DC91" s="585"/>
      <c r="DD91" s="105"/>
      <c r="DE91" s="105"/>
      <c r="DF91" s="105"/>
      <c r="DG91" s="105"/>
      <c r="DH91" s="585"/>
      <c r="DI91" s="105"/>
      <c r="DJ91" s="105"/>
      <c r="DK91" s="105"/>
      <c r="DL91" s="105"/>
      <c r="DM91" s="585"/>
      <c r="DN91" s="105"/>
      <c r="DO91" s="105"/>
      <c r="DP91" s="105"/>
      <c r="DQ91" s="105"/>
      <c r="DR91" s="585"/>
      <c r="DS91" s="105"/>
      <c r="DT91" s="105"/>
      <c r="DU91" s="105"/>
      <c r="DV91" s="105"/>
      <c r="DW91" s="585"/>
      <c r="DX91" s="105"/>
      <c r="DY91" s="105"/>
      <c r="DZ91" s="105"/>
      <c r="EA91" s="105"/>
      <c r="EB91" s="585"/>
      <c r="EC91" s="105"/>
      <c r="ED91" s="105"/>
      <c r="EE91" s="105"/>
      <c r="EF91" s="105"/>
      <c r="EG91" s="585"/>
      <c r="EH91" s="105"/>
      <c r="EI91" s="105"/>
      <c r="EJ91" s="105"/>
      <c r="EK91" s="105"/>
      <c r="EL91" s="585"/>
      <c r="EM91" s="105"/>
      <c r="EN91" s="105"/>
      <c r="EO91" s="105"/>
      <c r="EP91" s="105"/>
      <c r="EQ91" s="585"/>
      <c r="ER91" s="105"/>
      <c r="ES91" s="105"/>
      <c r="ET91" s="105"/>
      <c r="EU91" s="105"/>
      <c r="EV91" s="585"/>
      <c r="EW91" s="105"/>
      <c r="EX91" s="105"/>
      <c r="EY91" s="105"/>
      <c r="EZ91" s="105"/>
      <c r="FA91" s="585"/>
      <c r="FB91" s="105"/>
      <c r="FC91" s="105"/>
      <c r="FD91" s="105"/>
      <c r="FE91" s="105"/>
      <c r="FF91" s="585"/>
      <c r="FG91" s="105"/>
      <c r="FH91" s="105"/>
      <c r="FI91" s="105"/>
      <c r="FJ91" s="105"/>
      <c r="FK91" s="585"/>
      <c r="FL91" s="105"/>
      <c r="FM91" s="105"/>
      <c r="FN91" s="105"/>
      <c r="FO91" s="105"/>
      <c r="FP91" s="585"/>
      <c r="FQ91" s="105"/>
      <c r="FR91" s="105"/>
      <c r="FS91" s="105"/>
      <c r="FT91" s="105"/>
      <c r="FU91" s="585"/>
      <c r="FV91" s="105"/>
      <c r="FW91" s="105"/>
      <c r="FX91" s="105"/>
      <c r="FY91" s="105"/>
      <c r="FZ91" s="585"/>
      <c r="GA91" s="105"/>
      <c r="GB91" s="105"/>
      <c r="GC91" s="105"/>
      <c r="GD91" s="105"/>
      <c r="GE91" s="585"/>
    </row>
    <row r="92" spans="1:187" ht="12.75" customHeight="1">
      <c r="C92" s="246"/>
      <c r="G92" s="100"/>
      <c r="H92" s="246"/>
      <c r="L92" s="100"/>
      <c r="M92" s="246"/>
      <c r="Q92" s="100"/>
      <c r="R92" s="246"/>
      <c r="V92" s="100"/>
      <c r="W92" s="246"/>
      <c r="AA92" s="100"/>
      <c r="AB92" s="246"/>
      <c r="AF92" s="100"/>
      <c r="AG92" s="246"/>
      <c r="AK92" s="100"/>
      <c r="AL92" s="246"/>
      <c r="AP92" s="100"/>
      <c r="AQ92" s="246"/>
      <c r="AU92" s="100"/>
      <c r="AV92" s="246"/>
      <c r="AZ92" s="100"/>
      <c r="BA92" s="246"/>
      <c r="BE92" s="100"/>
      <c r="BF92" s="246"/>
      <c r="BJ92" s="100"/>
      <c r="BK92" s="246"/>
      <c r="BO92" s="100"/>
      <c r="BP92" s="246"/>
      <c r="BT92" s="100"/>
      <c r="BU92" s="246"/>
      <c r="BY92" s="100"/>
      <c r="BZ92" s="246"/>
      <c r="CD92" s="100"/>
      <c r="CE92" s="246"/>
      <c r="CI92" s="100"/>
      <c r="CJ92" s="246"/>
      <c r="CN92" s="100"/>
      <c r="CO92" s="246"/>
      <c r="CS92" s="100"/>
      <c r="CT92" s="246"/>
      <c r="CX92" s="100"/>
      <c r="CY92" s="246"/>
      <c r="DC92" s="100"/>
      <c r="DD92" s="246"/>
      <c r="DH92" s="100"/>
      <c r="DI92" s="246"/>
      <c r="DM92" s="100"/>
      <c r="DN92" s="246"/>
      <c r="DR92" s="100"/>
      <c r="DS92" s="246"/>
      <c r="DW92" s="100"/>
      <c r="DX92" s="246"/>
      <c r="EB92" s="100"/>
      <c r="EC92" s="246"/>
      <c r="EG92" s="100"/>
      <c r="EH92" s="246"/>
      <c r="EL92" s="100"/>
      <c r="EM92" s="246"/>
      <c r="EQ92" s="100"/>
      <c r="ER92" s="246"/>
      <c r="EV92" s="100"/>
      <c r="EW92" s="246"/>
      <c r="FA92" s="100"/>
      <c r="FB92" s="246"/>
      <c r="FF92" s="100"/>
      <c r="FG92" s="246"/>
      <c r="FK92" s="100"/>
      <c r="FL92" s="246"/>
      <c r="FP92" s="100"/>
      <c r="FQ92" s="246"/>
      <c r="FU92" s="100"/>
      <c r="FV92" s="246"/>
      <c r="FZ92" s="100"/>
      <c r="GA92" s="246"/>
      <c r="GE92" s="100"/>
    </row>
    <row r="93" spans="1:187" s="587" customFormat="1" ht="12.75" customHeight="1">
      <c r="A93" s="586"/>
      <c r="B93" s="363"/>
      <c r="C93" s="243"/>
      <c r="D93" s="243"/>
      <c r="E93" s="243"/>
      <c r="F93" s="243"/>
      <c r="G93" s="568"/>
      <c r="H93" s="243"/>
      <c r="I93" s="243"/>
      <c r="J93" s="243"/>
      <c r="K93" s="243"/>
      <c r="L93" s="568"/>
      <c r="M93" s="243"/>
      <c r="N93" s="243"/>
      <c r="O93" s="243"/>
      <c r="P93" s="243"/>
      <c r="Q93" s="568"/>
      <c r="R93" s="243"/>
      <c r="S93" s="243"/>
      <c r="T93" s="243"/>
      <c r="U93" s="243"/>
      <c r="V93" s="568"/>
      <c r="W93" s="243"/>
      <c r="X93" s="243"/>
      <c r="Y93" s="243"/>
      <c r="Z93" s="243"/>
      <c r="AA93" s="568"/>
      <c r="AB93" s="243"/>
      <c r="AC93" s="243"/>
      <c r="AD93" s="243"/>
      <c r="AE93" s="243"/>
      <c r="AF93" s="568"/>
      <c r="AG93" s="243"/>
      <c r="AH93" s="243"/>
      <c r="AI93" s="243"/>
      <c r="AJ93" s="243"/>
      <c r="AK93" s="568"/>
      <c r="AL93" s="243"/>
      <c r="AM93" s="243"/>
      <c r="AN93" s="243"/>
      <c r="AO93" s="243"/>
      <c r="AP93" s="568"/>
      <c r="AQ93" s="243"/>
      <c r="AR93" s="243"/>
      <c r="AS93" s="243"/>
      <c r="AT93" s="243"/>
      <c r="AU93" s="568"/>
      <c r="AV93" s="243"/>
      <c r="AW93" s="243"/>
      <c r="AX93" s="243"/>
      <c r="AY93" s="243"/>
      <c r="AZ93" s="568"/>
      <c r="BA93" s="243"/>
      <c r="BB93" s="243"/>
      <c r="BC93" s="243"/>
      <c r="BD93" s="243"/>
      <c r="BE93" s="568"/>
      <c r="BF93" s="243"/>
      <c r="BG93" s="243"/>
      <c r="BH93" s="243"/>
      <c r="BI93" s="243"/>
      <c r="BJ93" s="568"/>
      <c r="BK93" s="243"/>
      <c r="BL93" s="243"/>
      <c r="BM93" s="243"/>
      <c r="BN93" s="243"/>
      <c r="BO93" s="568"/>
      <c r="BP93" s="243"/>
      <c r="BQ93" s="243"/>
      <c r="BR93" s="243"/>
      <c r="BS93" s="243"/>
      <c r="BT93" s="568"/>
      <c r="BU93" s="243"/>
      <c r="BV93" s="243"/>
      <c r="BW93" s="243"/>
      <c r="BX93" s="243"/>
      <c r="BY93" s="568"/>
      <c r="BZ93" s="243"/>
      <c r="CA93" s="243"/>
      <c r="CB93" s="243"/>
      <c r="CC93" s="243"/>
      <c r="CD93" s="568"/>
      <c r="CE93" s="243"/>
      <c r="CF93" s="243"/>
      <c r="CG93" s="243"/>
      <c r="CH93" s="243"/>
      <c r="CI93" s="568"/>
      <c r="CJ93" s="243"/>
      <c r="CK93" s="243"/>
      <c r="CL93" s="243"/>
      <c r="CM93" s="243"/>
      <c r="CN93" s="568"/>
      <c r="CO93" s="243"/>
      <c r="CP93" s="243"/>
      <c r="CQ93" s="243"/>
      <c r="CR93" s="243"/>
      <c r="CS93" s="568"/>
      <c r="CT93" s="243"/>
      <c r="CU93" s="243"/>
      <c r="CV93" s="243"/>
      <c r="CW93" s="243"/>
      <c r="CX93" s="568"/>
      <c r="CY93" s="243"/>
      <c r="CZ93" s="243"/>
      <c r="DA93" s="243"/>
      <c r="DB93" s="243"/>
      <c r="DC93" s="568"/>
      <c r="DD93" s="243"/>
      <c r="DE93" s="243"/>
      <c r="DF93" s="243"/>
      <c r="DG93" s="243"/>
      <c r="DH93" s="568"/>
      <c r="DI93" s="243"/>
      <c r="DJ93" s="243"/>
      <c r="DK93" s="243"/>
      <c r="DL93" s="243"/>
      <c r="DM93" s="568"/>
      <c r="DN93" s="243"/>
      <c r="DO93" s="243"/>
      <c r="DP93" s="243"/>
      <c r="DQ93" s="243"/>
      <c r="DR93" s="568"/>
      <c r="DS93" s="243"/>
      <c r="DT93" s="243"/>
      <c r="DU93" s="243"/>
      <c r="DV93" s="243"/>
      <c r="DW93" s="568"/>
      <c r="DX93" s="243"/>
      <c r="DY93" s="243"/>
      <c r="DZ93" s="243"/>
      <c r="EA93" s="243"/>
      <c r="EB93" s="568"/>
      <c r="EC93" s="243"/>
      <c r="ED93" s="243"/>
      <c r="EE93" s="243"/>
      <c r="EF93" s="243"/>
      <c r="EG93" s="568"/>
      <c r="EH93" s="243"/>
      <c r="EI93" s="243"/>
      <c r="EJ93" s="243"/>
      <c r="EK93" s="243"/>
      <c r="EL93" s="568"/>
      <c r="EM93" s="243"/>
      <c r="EN93" s="243"/>
      <c r="EO93" s="243"/>
      <c r="EP93" s="243"/>
      <c r="EQ93" s="568"/>
      <c r="ER93" s="243"/>
      <c r="ES93" s="243"/>
      <c r="ET93" s="243"/>
      <c r="EU93" s="243"/>
      <c r="EV93" s="568"/>
      <c r="EW93" s="243"/>
      <c r="EX93" s="243"/>
      <c r="EY93" s="243"/>
      <c r="EZ93" s="243"/>
      <c r="FA93" s="568"/>
      <c r="FB93" s="243"/>
      <c r="FC93" s="243"/>
      <c r="FD93" s="243"/>
      <c r="FE93" s="243"/>
      <c r="FF93" s="568"/>
      <c r="FG93" s="243"/>
      <c r="FH93" s="243"/>
      <c r="FI93" s="243"/>
      <c r="FJ93" s="243"/>
      <c r="FK93" s="568"/>
      <c r="FL93" s="243"/>
      <c r="FM93" s="243"/>
      <c r="FN93" s="243"/>
      <c r="FO93" s="243"/>
      <c r="FP93" s="568"/>
      <c r="FQ93" s="243"/>
      <c r="FR93" s="243"/>
      <c r="FS93" s="243"/>
      <c r="FT93" s="243"/>
      <c r="FU93" s="568"/>
      <c r="FV93" s="243"/>
      <c r="FW93" s="243"/>
      <c r="FX93" s="243"/>
      <c r="FY93" s="243"/>
      <c r="FZ93" s="568"/>
      <c r="GA93" s="243"/>
      <c r="GB93" s="243"/>
      <c r="GC93" s="243"/>
      <c r="GD93" s="243"/>
      <c r="GE93" s="568"/>
    </row>
    <row r="94" spans="1:187" s="145" customFormat="1" ht="12.75" customHeight="1">
      <c r="A94" s="144"/>
      <c r="B94" s="566"/>
      <c r="C94" s="139"/>
      <c r="D94" s="105"/>
      <c r="E94" s="105"/>
      <c r="F94" s="105"/>
      <c r="G94" s="570"/>
      <c r="H94" s="139"/>
      <c r="I94" s="105"/>
      <c r="J94" s="105"/>
      <c r="K94" s="105"/>
      <c r="L94" s="570"/>
      <c r="M94" s="139"/>
      <c r="N94" s="105"/>
      <c r="O94" s="105"/>
      <c r="P94" s="105"/>
      <c r="Q94" s="570"/>
      <c r="R94" s="139"/>
      <c r="S94" s="105"/>
      <c r="T94" s="105"/>
      <c r="U94" s="105"/>
      <c r="V94" s="570"/>
      <c r="W94" s="139"/>
      <c r="X94" s="105"/>
      <c r="Y94" s="105"/>
      <c r="Z94" s="105"/>
      <c r="AA94" s="570"/>
      <c r="AB94" s="139"/>
      <c r="AC94" s="105"/>
      <c r="AD94" s="105"/>
      <c r="AE94" s="105"/>
      <c r="AF94" s="570"/>
      <c r="AG94" s="139"/>
      <c r="AH94" s="105"/>
      <c r="AI94" s="105"/>
      <c r="AJ94" s="105"/>
      <c r="AK94" s="570"/>
      <c r="AL94" s="139"/>
      <c r="AM94" s="105"/>
      <c r="AN94" s="105"/>
      <c r="AO94" s="105"/>
      <c r="AP94" s="570"/>
      <c r="AQ94" s="139"/>
      <c r="AR94" s="105"/>
      <c r="AS94" s="105"/>
      <c r="AT94" s="105"/>
      <c r="AU94" s="570"/>
      <c r="AV94" s="139"/>
      <c r="AW94" s="105"/>
      <c r="AX94" s="105"/>
      <c r="AY94" s="105"/>
      <c r="AZ94" s="570"/>
      <c r="BA94" s="139"/>
      <c r="BB94" s="105"/>
      <c r="BC94" s="105"/>
      <c r="BD94" s="105"/>
      <c r="BE94" s="570"/>
      <c r="BF94" s="139"/>
      <c r="BG94" s="105"/>
      <c r="BH94" s="105"/>
      <c r="BI94" s="105"/>
      <c r="BJ94" s="570"/>
      <c r="BK94" s="139"/>
      <c r="BL94" s="105"/>
      <c r="BM94" s="105"/>
      <c r="BN94" s="105"/>
      <c r="BO94" s="570"/>
      <c r="BP94" s="139"/>
      <c r="BQ94" s="105"/>
      <c r="BR94" s="105"/>
      <c r="BS94" s="105"/>
      <c r="BT94" s="570"/>
      <c r="BU94" s="139"/>
      <c r="BV94" s="105"/>
      <c r="BW94" s="105"/>
      <c r="BX94" s="105"/>
      <c r="BY94" s="570"/>
      <c r="BZ94" s="139"/>
      <c r="CA94" s="105"/>
      <c r="CB94" s="105"/>
      <c r="CC94" s="105"/>
      <c r="CD94" s="570"/>
      <c r="CE94" s="139"/>
      <c r="CF94" s="105"/>
      <c r="CG94" s="105"/>
      <c r="CH94" s="105"/>
      <c r="CI94" s="570"/>
      <c r="CJ94" s="139"/>
      <c r="CK94" s="105"/>
      <c r="CL94" s="105"/>
      <c r="CM94" s="105"/>
      <c r="CN94" s="570"/>
      <c r="CO94" s="139"/>
      <c r="CP94" s="105"/>
      <c r="CQ94" s="105"/>
      <c r="CR94" s="105"/>
      <c r="CS94" s="570"/>
      <c r="CT94" s="139"/>
      <c r="CU94" s="105"/>
      <c r="CV94" s="105"/>
      <c r="CW94" s="105"/>
      <c r="CX94" s="570"/>
      <c r="CY94" s="139"/>
      <c r="CZ94" s="105"/>
      <c r="DA94" s="105"/>
      <c r="DB94" s="105"/>
      <c r="DC94" s="570"/>
      <c r="DD94" s="139"/>
      <c r="DE94" s="105"/>
      <c r="DF94" s="105"/>
      <c r="DG94" s="105"/>
      <c r="DH94" s="570"/>
      <c r="DI94" s="139"/>
      <c r="DJ94" s="105"/>
      <c r="DK94" s="105"/>
      <c r="DL94" s="105"/>
      <c r="DM94" s="570"/>
      <c r="DN94" s="139"/>
      <c r="DO94" s="105"/>
      <c r="DP94" s="105"/>
      <c r="DQ94" s="105"/>
      <c r="DR94" s="570"/>
      <c r="DS94" s="139"/>
      <c r="DT94" s="105"/>
      <c r="DU94" s="105"/>
      <c r="DV94" s="105"/>
      <c r="DW94" s="570"/>
      <c r="DX94" s="139"/>
      <c r="DY94" s="105"/>
      <c r="DZ94" s="105"/>
      <c r="EA94" s="105"/>
      <c r="EB94" s="570"/>
      <c r="EC94" s="139"/>
      <c r="ED94" s="105"/>
      <c r="EE94" s="105"/>
      <c r="EF94" s="105"/>
      <c r="EG94" s="570"/>
      <c r="EH94" s="139"/>
      <c r="EI94" s="105"/>
      <c r="EJ94" s="105"/>
      <c r="EK94" s="105"/>
      <c r="EL94" s="570"/>
      <c r="EM94" s="139"/>
      <c r="EN94" s="105"/>
      <c r="EO94" s="105"/>
      <c r="EP94" s="105"/>
      <c r="EQ94" s="570"/>
      <c r="ER94" s="139"/>
      <c r="ES94" s="105"/>
      <c r="ET94" s="105"/>
      <c r="EU94" s="105"/>
      <c r="EV94" s="570"/>
      <c r="EW94" s="139"/>
      <c r="EX94" s="105"/>
      <c r="EY94" s="105"/>
      <c r="EZ94" s="105"/>
      <c r="FA94" s="570"/>
      <c r="FB94" s="139"/>
      <c r="FC94" s="105"/>
      <c r="FD94" s="105"/>
      <c r="FE94" s="105"/>
      <c r="FF94" s="570"/>
      <c r="FG94" s="139"/>
      <c r="FH94" s="105"/>
      <c r="FI94" s="105"/>
      <c r="FJ94" s="105"/>
      <c r="FK94" s="570"/>
      <c r="FL94" s="139"/>
      <c r="FM94" s="105"/>
      <c r="FN94" s="105"/>
      <c r="FO94" s="105"/>
      <c r="FP94" s="570"/>
      <c r="FQ94" s="139"/>
      <c r="FR94" s="105"/>
      <c r="FS94" s="105"/>
      <c r="FT94" s="105"/>
      <c r="FU94" s="570"/>
      <c r="FV94" s="139"/>
      <c r="FW94" s="105"/>
      <c r="FX94" s="105"/>
      <c r="FY94" s="105"/>
      <c r="FZ94" s="570"/>
      <c r="GA94" s="139"/>
      <c r="GB94" s="105"/>
      <c r="GC94" s="105"/>
      <c r="GD94" s="105"/>
      <c r="GE94" s="570"/>
    </row>
    <row r="95" spans="1:187" ht="12.75" customHeight="1">
      <c r="B95" s="566"/>
      <c r="C95" s="580"/>
      <c r="D95" s="581"/>
      <c r="E95" s="581"/>
      <c r="F95" s="581"/>
      <c r="G95" s="100"/>
      <c r="H95" s="580"/>
      <c r="I95" s="581"/>
      <c r="J95" s="581"/>
      <c r="K95" s="581"/>
      <c r="L95" s="100"/>
      <c r="M95" s="580"/>
      <c r="N95" s="581"/>
      <c r="O95" s="581"/>
      <c r="P95" s="581"/>
      <c r="Q95" s="100"/>
      <c r="R95" s="580"/>
      <c r="S95" s="581"/>
      <c r="T95" s="581"/>
      <c r="U95" s="581"/>
      <c r="V95" s="100"/>
      <c r="W95" s="580"/>
      <c r="X95" s="581"/>
      <c r="Y95" s="581"/>
      <c r="Z95" s="581"/>
      <c r="AA95" s="100"/>
      <c r="AB95" s="580"/>
      <c r="AC95" s="581"/>
      <c r="AD95" s="581"/>
      <c r="AE95" s="581"/>
      <c r="AF95" s="100"/>
      <c r="AG95" s="580"/>
      <c r="AH95" s="581"/>
      <c r="AI95" s="581"/>
      <c r="AJ95" s="581"/>
      <c r="AK95" s="100"/>
      <c r="AL95" s="580"/>
      <c r="AM95" s="581"/>
      <c r="AN95" s="581"/>
      <c r="AO95" s="581"/>
      <c r="AP95" s="100"/>
      <c r="AQ95" s="580"/>
      <c r="AR95" s="581"/>
      <c r="AS95" s="581"/>
      <c r="AT95" s="581"/>
      <c r="AU95" s="100"/>
      <c r="AV95" s="580"/>
      <c r="AW95" s="581"/>
      <c r="AX95" s="581"/>
      <c r="AY95" s="581"/>
      <c r="AZ95" s="100"/>
      <c r="BA95" s="580"/>
      <c r="BB95" s="581"/>
      <c r="BC95" s="581"/>
      <c r="BD95" s="581"/>
      <c r="BE95" s="100"/>
      <c r="BF95" s="580"/>
      <c r="BG95" s="581"/>
      <c r="BH95" s="581"/>
      <c r="BI95" s="581"/>
      <c r="BJ95" s="100"/>
      <c r="BK95" s="580"/>
      <c r="BL95" s="581"/>
      <c r="BM95" s="581"/>
      <c r="BN95" s="581"/>
      <c r="BO95" s="100"/>
      <c r="BP95" s="580"/>
      <c r="BQ95" s="581"/>
      <c r="BR95" s="581"/>
      <c r="BS95" s="581"/>
      <c r="BT95" s="100"/>
      <c r="BU95" s="580"/>
      <c r="BV95" s="581"/>
      <c r="BW95" s="581"/>
      <c r="BX95" s="581"/>
      <c r="BY95" s="100"/>
      <c r="BZ95" s="580"/>
      <c r="CA95" s="581"/>
      <c r="CB95" s="581"/>
      <c r="CC95" s="581"/>
      <c r="CD95" s="100"/>
      <c r="CE95" s="580"/>
      <c r="CF95" s="581"/>
      <c r="CG95" s="581"/>
      <c r="CH95" s="581"/>
      <c r="CI95" s="100"/>
      <c r="CJ95" s="580"/>
      <c r="CK95" s="581"/>
      <c r="CL95" s="581"/>
      <c r="CM95" s="581"/>
      <c r="CN95" s="100"/>
      <c r="CO95" s="580"/>
      <c r="CP95" s="581"/>
      <c r="CQ95" s="581"/>
      <c r="CR95" s="581"/>
      <c r="CS95" s="100"/>
      <c r="CT95" s="580"/>
      <c r="CU95" s="581"/>
      <c r="CV95" s="581"/>
      <c r="CW95" s="581"/>
      <c r="CX95" s="100"/>
      <c r="CY95" s="580"/>
      <c r="CZ95" s="581"/>
      <c r="DA95" s="581"/>
      <c r="DB95" s="581"/>
      <c r="DC95" s="100"/>
      <c r="DD95" s="580"/>
      <c r="DE95" s="581"/>
      <c r="DF95" s="581"/>
      <c r="DG95" s="581"/>
      <c r="DH95" s="100"/>
      <c r="DI95" s="580"/>
      <c r="DJ95" s="581"/>
      <c r="DK95" s="581"/>
      <c r="DL95" s="581"/>
      <c r="DM95" s="100"/>
      <c r="DN95" s="580"/>
      <c r="DO95" s="581"/>
      <c r="DP95" s="581"/>
      <c r="DQ95" s="581"/>
      <c r="DR95" s="100"/>
      <c r="DS95" s="580"/>
      <c r="DT95" s="581"/>
      <c r="DU95" s="581"/>
      <c r="DV95" s="581"/>
      <c r="DW95" s="100"/>
      <c r="DX95" s="580"/>
      <c r="DY95" s="581"/>
      <c r="DZ95" s="581"/>
      <c r="EA95" s="581"/>
      <c r="EB95" s="100"/>
      <c r="EC95" s="580"/>
      <c r="ED95" s="581"/>
      <c r="EE95" s="581"/>
      <c r="EF95" s="581"/>
      <c r="EG95" s="100"/>
      <c r="EH95" s="580"/>
      <c r="EI95" s="581"/>
      <c r="EJ95" s="581"/>
      <c r="EK95" s="581"/>
      <c r="EL95" s="100"/>
      <c r="EM95" s="580"/>
      <c r="EN95" s="581"/>
      <c r="EO95" s="581"/>
      <c r="EP95" s="581"/>
      <c r="EQ95" s="100"/>
      <c r="ER95" s="580"/>
      <c r="ES95" s="581"/>
      <c r="ET95" s="581"/>
      <c r="EU95" s="581"/>
      <c r="EV95" s="100"/>
      <c r="EW95" s="580"/>
      <c r="EX95" s="581"/>
      <c r="EY95" s="581"/>
      <c r="EZ95" s="581"/>
      <c r="FA95" s="100"/>
      <c r="FB95" s="580"/>
      <c r="FC95" s="581"/>
      <c r="FD95" s="581"/>
      <c r="FE95" s="581"/>
      <c r="FF95" s="100"/>
      <c r="FG95" s="580"/>
      <c r="FH95" s="581"/>
      <c r="FI95" s="581"/>
      <c r="FJ95" s="581"/>
      <c r="FK95" s="100"/>
      <c r="FL95" s="580"/>
      <c r="FM95" s="581"/>
      <c r="FN95" s="581"/>
      <c r="FO95" s="581"/>
      <c r="FP95" s="100"/>
      <c r="FQ95" s="580"/>
      <c r="FR95" s="581"/>
      <c r="FS95" s="581"/>
      <c r="FT95" s="581"/>
      <c r="FU95" s="100"/>
      <c r="FV95" s="580"/>
      <c r="FW95" s="581"/>
      <c r="FX95" s="581"/>
      <c r="FY95" s="581"/>
      <c r="FZ95" s="100"/>
      <c r="GA95" s="580"/>
      <c r="GB95" s="581"/>
      <c r="GC95" s="581"/>
      <c r="GD95" s="581"/>
      <c r="GE95" s="100"/>
    </row>
    <row r="96" spans="1:187" s="588" customFormat="1" ht="12.75" customHeight="1">
      <c r="A96" s="63"/>
      <c r="C96" s="589"/>
      <c r="D96" s="590"/>
      <c r="E96" s="590"/>
      <c r="F96" s="590"/>
      <c r="G96" s="591"/>
      <c r="H96" s="589"/>
      <c r="I96" s="590"/>
      <c r="J96" s="590"/>
      <c r="K96" s="590"/>
      <c r="L96" s="591"/>
      <c r="M96" s="589"/>
      <c r="N96" s="590"/>
      <c r="O96" s="590"/>
      <c r="P96" s="590"/>
      <c r="Q96" s="591"/>
      <c r="R96" s="589"/>
      <c r="S96" s="590"/>
      <c r="T96" s="590"/>
      <c r="U96" s="590"/>
      <c r="V96" s="591"/>
      <c r="W96" s="589"/>
      <c r="X96" s="590"/>
      <c r="Y96" s="590"/>
      <c r="Z96" s="590"/>
      <c r="AA96" s="591"/>
      <c r="AB96" s="589"/>
      <c r="AC96" s="590"/>
      <c r="AD96" s="590"/>
      <c r="AE96" s="590"/>
      <c r="AF96" s="591"/>
      <c r="AG96" s="589"/>
      <c r="AH96" s="590"/>
      <c r="AI96" s="590"/>
      <c r="AJ96" s="590"/>
      <c r="AK96" s="591"/>
      <c r="AL96" s="589"/>
      <c r="AM96" s="590"/>
      <c r="AN96" s="590"/>
      <c r="AO96" s="590"/>
      <c r="AP96" s="591"/>
      <c r="AQ96" s="589"/>
      <c r="AR96" s="590"/>
      <c r="AS96" s="590"/>
      <c r="AT96" s="590"/>
      <c r="AU96" s="591"/>
      <c r="AV96" s="589"/>
      <c r="AW96" s="590"/>
      <c r="AX96" s="590"/>
      <c r="AY96" s="590"/>
      <c r="AZ96" s="591"/>
      <c r="BA96" s="589"/>
      <c r="BB96" s="590"/>
      <c r="BC96" s="590"/>
      <c r="BD96" s="590"/>
      <c r="BE96" s="591"/>
      <c r="BF96" s="589"/>
      <c r="BG96" s="590"/>
      <c r="BH96" s="590"/>
      <c r="BI96" s="590"/>
      <c r="BJ96" s="591"/>
      <c r="BK96" s="589"/>
      <c r="BL96" s="590"/>
      <c r="BM96" s="590"/>
      <c r="BN96" s="590"/>
      <c r="BO96" s="591"/>
      <c r="BP96" s="589"/>
      <c r="BQ96" s="590"/>
      <c r="BR96" s="590"/>
      <c r="BS96" s="590"/>
      <c r="BT96" s="591"/>
      <c r="BU96" s="589"/>
      <c r="BV96" s="590"/>
      <c r="BW96" s="590"/>
      <c r="BX96" s="590"/>
      <c r="BY96" s="591"/>
      <c r="BZ96" s="589"/>
      <c r="CA96" s="590"/>
      <c r="CB96" s="590"/>
      <c r="CC96" s="590"/>
      <c r="CD96" s="591"/>
      <c r="CE96" s="589"/>
      <c r="CF96" s="590"/>
      <c r="CG96" s="590"/>
      <c r="CH96" s="590"/>
      <c r="CI96" s="591"/>
      <c r="CJ96" s="589"/>
      <c r="CK96" s="590"/>
      <c r="CL96" s="590"/>
      <c r="CM96" s="590"/>
      <c r="CN96" s="591"/>
      <c r="CO96" s="589"/>
      <c r="CP96" s="590"/>
      <c r="CQ96" s="590"/>
      <c r="CR96" s="590"/>
      <c r="CS96" s="591"/>
      <c r="CT96" s="589"/>
      <c r="CU96" s="590"/>
      <c r="CV96" s="590"/>
      <c r="CW96" s="590"/>
      <c r="CX96" s="591"/>
      <c r="CY96" s="589"/>
      <c r="CZ96" s="590"/>
      <c r="DA96" s="590"/>
      <c r="DB96" s="590"/>
      <c r="DC96" s="591"/>
      <c r="DD96" s="589"/>
      <c r="DE96" s="590"/>
      <c r="DF96" s="590"/>
      <c r="DG96" s="590"/>
      <c r="DH96" s="591"/>
      <c r="DI96" s="589"/>
      <c r="DJ96" s="590"/>
      <c r="DK96" s="590"/>
      <c r="DL96" s="590"/>
      <c r="DM96" s="591"/>
      <c r="DN96" s="589"/>
      <c r="DO96" s="590"/>
      <c r="DP96" s="590"/>
      <c r="DQ96" s="590"/>
      <c r="DR96" s="591"/>
      <c r="DS96" s="589"/>
      <c r="DT96" s="590"/>
      <c r="DU96" s="590"/>
      <c r="DV96" s="590"/>
      <c r="DW96" s="591"/>
      <c r="DX96" s="589"/>
      <c r="DY96" s="590"/>
      <c r="DZ96" s="590"/>
      <c r="EA96" s="590"/>
      <c r="EB96" s="591"/>
      <c r="EC96" s="589"/>
      <c r="ED96" s="590"/>
      <c r="EE96" s="590"/>
      <c r="EF96" s="590"/>
      <c r="EG96" s="591"/>
      <c r="EH96" s="589"/>
      <c r="EI96" s="590"/>
      <c r="EJ96" s="590"/>
      <c r="EK96" s="590"/>
      <c r="EL96" s="591"/>
      <c r="EM96" s="589"/>
      <c r="EN96" s="590"/>
      <c r="EO96" s="590"/>
      <c r="EP96" s="590"/>
      <c r="EQ96" s="591"/>
      <c r="ER96" s="589"/>
      <c r="ES96" s="590"/>
      <c r="ET96" s="590"/>
      <c r="EU96" s="590"/>
      <c r="EV96" s="591"/>
      <c r="EW96" s="589"/>
      <c r="EX96" s="590"/>
      <c r="EY96" s="590"/>
      <c r="EZ96" s="590"/>
      <c r="FA96" s="591"/>
      <c r="FB96" s="589"/>
      <c r="FC96" s="590"/>
      <c r="FD96" s="590"/>
      <c r="FE96" s="590"/>
      <c r="FF96" s="591"/>
      <c r="FG96" s="589"/>
      <c r="FH96" s="590"/>
      <c r="FI96" s="590"/>
      <c r="FJ96" s="590"/>
      <c r="FK96" s="591"/>
      <c r="FL96" s="589"/>
      <c r="FM96" s="590"/>
      <c r="FN96" s="590"/>
      <c r="FO96" s="590"/>
      <c r="FP96" s="591"/>
      <c r="FQ96" s="589"/>
      <c r="FR96" s="590"/>
      <c r="FS96" s="590"/>
      <c r="FT96" s="590"/>
      <c r="FU96" s="591"/>
      <c r="FV96" s="589"/>
      <c r="FW96" s="590"/>
      <c r="FX96" s="590"/>
      <c r="FY96" s="590"/>
      <c r="FZ96" s="591"/>
      <c r="GA96" s="589"/>
      <c r="GB96" s="590"/>
      <c r="GC96" s="590"/>
      <c r="GD96" s="590"/>
      <c r="GE96" s="591"/>
    </row>
    <row r="97" spans="1:187" s="588" customFormat="1" ht="12.75" customHeight="1">
      <c r="A97" s="63"/>
      <c r="C97" s="592"/>
      <c r="D97" s="305"/>
      <c r="E97" s="305"/>
      <c r="F97" s="305"/>
      <c r="G97" s="591"/>
      <c r="H97" s="592"/>
      <c r="I97" s="305"/>
      <c r="J97" s="305"/>
      <c r="K97" s="305"/>
      <c r="L97" s="591"/>
      <c r="M97" s="592"/>
      <c r="N97" s="305"/>
      <c r="O97" s="305"/>
      <c r="P97" s="305"/>
      <c r="Q97" s="591"/>
      <c r="R97" s="592"/>
      <c r="S97" s="305"/>
      <c r="T97" s="305"/>
      <c r="U97" s="305"/>
      <c r="V97" s="591"/>
      <c r="W97" s="592"/>
      <c r="X97" s="305"/>
      <c r="Y97" s="305"/>
      <c r="Z97" s="305"/>
      <c r="AA97" s="591"/>
      <c r="AB97" s="592"/>
      <c r="AC97" s="305"/>
      <c r="AD97" s="305"/>
      <c r="AE97" s="305"/>
      <c r="AF97" s="591"/>
      <c r="AG97" s="592"/>
      <c r="AH97" s="305"/>
      <c r="AI97" s="305"/>
      <c r="AJ97" s="305"/>
      <c r="AK97" s="591"/>
      <c r="AL97" s="592"/>
      <c r="AM97" s="305"/>
      <c r="AN97" s="305"/>
      <c r="AO97" s="305"/>
      <c r="AP97" s="591"/>
      <c r="AQ97" s="592"/>
      <c r="AR97" s="305"/>
      <c r="AS97" s="305"/>
      <c r="AT97" s="305"/>
      <c r="AU97" s="591"/>
      <c r="AV97" s="592"/>
      <c r="AW97" s="305"/>
      <c r="AX97" s="305"/>
      <c r="AY97" s="305"/>
      <c r="AZ97" s="591"/>
      <c r="BA97" s="592"/>
      <c r="BB97" s="305"/>
      <c r="BC97" s="305"/>
      <c r="BD97" s="305"/>
      <c r="BE97" s="591"/>
      <c r="BF97" s="592"/>
      <c r="BG97" s="305"/>
      <c r="BH97" s="305"/>
      <c r="BI97" s="305"/>
      <c r="BJ97" s="591"/>
      <c r="BK97" s="592"/>
      <c r="BL97" s="305"/>
      <c r="BM97" s="305"/>
      <c r="BN97" s="305"/>
      <c r="BO97" s="591"/>
      <c r="BP97" s="592"/>
      <c r="BQ97" s="305"/>
      <c r="BR97" s="305"/>
      <c r="BS97" s="305"/>
      <c r="BT97" s="591"/>
      <c r="BU97" s="592"/>
      <c r="BV97" s="305"/>
      <c r="BW97" s="305"/>
      <c r="BX97" s="305"/>
      <c r="BY97" s="591"/>
      <c r="BZ97" s="592"/>
      <c r="CA97" s="305"/>
      <c r="CB97" s="305"/>
      <c r="CC97" s="305"/>
      <c r="CD97" s="591"/>
      <c r="CE97" s="592"/>
      <c r="CF97" s="305"/>
      <c r="CG97" s="305"/>
      <c r="CH97" s="305"/>
      <c r="CI97" s="591"/>
      <c r="CJ97" s="592"/>
      <c r="CK97" s="305"/>
      <c r="CL97" s="305"/>
      <c r="CM97" s="305"/>
      <c r="CN97" s="591"/>
      <c r="CO97" s="592"/>
      <c r="CP97" s="305"/>
      <c r="CQ97" s="305"/>
      <c r="CR97" s="305"/>
      <c r="CS97" s="591"/>
      <c r="CT97" s="592"/>
      <c r="CU97" s="305"/>
      <c r="CV97" s="305"/>
      <c r="CW97" s="305"/>
      <c r="CX97" s="591"/>
      <c r="CY97" s="592"/>
      <c r="CZ97" s="305"/>
      <c r="DA97" s="305"/>
      <c r="DB97" s="305"/>
      <c r="DC97" s="591"/>
      <c r="DD97" s="592"/>
      <c r="DE97" s="305"/>
      <c r="DF97" s="305"/>
      <c r="DG97" s="305"/>
      <c r="DH97" s="591"/>
      <c r="DI97" s="592"/>
      <c r="DJ97" s="305"/>
      <c r="DK97" s="305"/>
      <c r="DL97" s="305"/>
      <c r="DM97" s="591"/>
      <c r="DN97" s="592"/>
      <c r="DO97" s="305"/>
      <c r="DP97" s="305"/>
      <c r="DQ97" s="305"/>
      <c r="DR97" s="591"/>
      <c r="DS97" s="592"/>
      <c r="DT97" s="305"/>
      <c r="DU97" s="305"/>
      <c r="DV97" s="305"/>
      <c r="DW97" s="591"/>
      <c r="DX97" s="592"/>
      <c r="DY97" s="305"/>
      <c r="DZ97" s="305"/>
      <c r="EA97" s="305"/>
      <c r="EB97" s="591"/>
      <c r="EC97" s="592"/>
      <c r="ED97" s="305"/>
      <c r="EE97" s="305"/>
      <c r="EF97" s="305"/>
      <c r="EG97" s="591"/>
      <c r="EH97" s="592"/>
      <c r="EI97" s="305"/>
      <c r="EJ97" s="305"/>
      <c r="EK97" s="305"/>
      <c r="EL97" s="591"/>
      <c r="EM97" s="592"/>
      <c r="EN97" s="305"/>
      <c r="EO97" s="305"/>
      <c r="EP97" s="305"/>
      <c r="EQ97" s="591"/>
      <c r="ER97" s="592"/>
      <c r="ES97" s="305"/>
      <c r="ET97" s="305"/>
      <c r="EU97" s="305"/>
      <c r="EV97" s="591"/>
      <c r="EW97" s="592"/>
      <c r="EX97" s="305"/>
      <c r="EY97" s="305"/>
      <c r="EZ97" s="305"/>
      <c r="FA97" s="591"/>
      <c r="FB97" s="592"/>
      <c r="FC97" s="305"/>
      <c r="FD97" s="305"/>
      <c r="FE97" s="305"/>
      <c r="FF97" s="591"/>
      <c r="FG97" s="592"/>
      <c r="FH97" s="305"/>
      <c r="FI97" s="305"/>
      <c r="FJ97" s="305"/>
      <c r="FK97" s="591"/>
      <c r="FL97" s="592"/>
      <c r="FM97" s="305"/>
      <c r="FN97" s="305"/>
      <c r="FO97" s="305"/>
      <c r="FP97" s="591"/>
      <c r="FQ97" s="592"/>
      <c r="FR97" s="305"/>
      <c r="FS97" s="305"/>
      <c r="FT97" s="305"/>
      <c r="FU97" s="591"/>
      <c r="FV97" s="592"/>
      <c r="FW97" s="305"/>
      <c r="FX97" s="305"/>
      <c r="FY97" s="305"/>
      <c r="FZ97" s="591"/>
      <c r="GA97" s="592"/>
      <c r="GB97" s="305"/>
      <c r="GC97" s="305"/>
      <c r="GD97" s="305"/>
      <c r="GE97" s="591"/>
    </row>
    <row r="98" spans="1:187" ht="12.75" customHeight="1">
      <c r="C98" s="136"/>
      <c r="D98" s="105"/>
      <c r="E98" s="105"/>
      <c r="F98" s="105"/>
      <c r="G98" s="100"/>
      <c r="H98" s="136"/>
      <c r="I98" s="105"/>
      <c r="J98" s="105"/>
      <c r="K98" s="105"/>
      <c r="L98" s="100"/>
      <c r="M98" s="136"/>
      <c r="N98" s="105"/>
      <c r="O98" s="105"/>
      <c r="P98" s="105"/>
      <c r="Q98" s="100"/>
      <c r="R98" s="136"/>
      <c r="S98" s="105"/>
      <c r="T98" s="105"/>
      <c r="U98" s="105"/>
      <c r="V98" s="100"/>
      <c r="W98" s="136"/>
      <c r="X98" s="105"/>
      <c r="Y98" s="105"/>
      <c r="Z98" s="105"/>
      <c r="AA98" s="100"/>
      <c r="AB98" s="136"/>
      <c r="AC98" s="105"/>
      <c r="AD98" s="105"/>
      <c r="AE98" s="105"/>
      <c r="AF98" s="100"/>
      <c r="AG98" s="136"/>
      <c r="AH98" s="105"/>
      <c r="AI98" s="105"/>
      <c r="AJ98" s="105"/>
      <c r="AK98" s="100"/>
      <c r="AL98" s="136"/>
      <c r="AM98" s="105"/>
      <c r="AN98" s="105"/>
      <c r="AO98" s="105"/>
      <c r="AP98" s="100"/>
      <c r="AQ98" s="136"/>
      <c r="AR98" s="105"/>
      <c r="AS98" s="105"/>
      <c r="AT98" s="105"/>
      <c r="AU98" s="100"/>
      <c r="AV98" s="136"/>
      <c r="AW98" s="105"/>
      <c r="AX98" s="105"/>
      <c r="AY98" s="105"/>
      <c r="AZ98" s="100"/>
      <c r="BA98" s="136"/>
      <c r="BB98" s="105"/>
      <c r="BC98" s="105"/>
      <c r="BD98" s="105"/>
      <c r="BE98" s="100"/>
      <c r="BF98" s="136"/>
      <c r="BG98" s="105"/>
      <c r="BH98" s="105"/>
      <c r="BI98" s="105"/>
      <c r="BJ98" s="100"/>
      <c r="BK98" s="136"/>
      <c r="BL98" s="105"/>
      <c r="BM98" s="105"/>
      <c r="BN98" s="105"/>
      <c r="BO98" s="100"/>
      <c r="BP98" s="136"/>
      <c r="BQ98" s="105"/>
      <c r="BR98" s="105"/>
      <c r="BS98" s="105"/>
      <c r="BT98" s="100"/>
      <c r="BU98" s="136"/>
      <c r="BV98" s="105"/>
      <c r="BW98" s="105"/>
      <c r="BX98" s="105"/>
      <c r="BY98" s="100"/>
      <c r="BZ98" s="136"/>
      <c r="CA98" s="105"/>
      <c r="CB98" s="105"/>
      <c r="CC98" s="105"/>
      <c r="CD98" s="100"/>
      <c r="CE98" s="136"/>
      <c r="CF98" s="105"/>
      <c r="CG98" s="105"/>
      <c r="CH98" s="105"/>
      <c r="CI98" s="100"/>
      <c r="CJ98" s="136"/>
      <c r="CK98" s="105"/>
      <c r="CL98" s="105"/>
      <c r="CM98" s="105"/>
      <c r="CN98" s="100"/>
      <c r="CO98" s="136"/>
      <c r="CP98" s="105"/>
      <c r="CQ98" s="105"/>
      <c r="CR98" s="105"/>
      <c r="CS98" s="100"/>
      <c r="CT98" s="136"/>
      <c r="CU98" s="105"/>
      <c r="CV98" s="105"/>
      <c r="CW98" s="105"/>
      <c r="CX98" s="100"/>
      <c r="CY98" s="136"/>
      <c r="CZ98" s="105"/>
      <c r="DA98" s="105"/>
      <c r="DB98" s="105"/>
      <c r="DC98" s="100"/>
      <c r="DD98" s="136"/>
      <c r="DE98" s="105"/>
      <c r="DF98" s="105"/>
      <c r="DG98" s="105"/>
      <c r="DH98" s="100"/>
      <c r="DI98" s="136"/>
      <c r="DJ98" s="105"/>
      <c r="DK98" s="105"/>
      <c r="DL98" s="105"/>
      <c r="DM98" s="100"/>
      <c r="DN98" s="136"/>
      <c r="DO98" s="105"/>
      <c r="DP98" s="105"/>
      <c r="DQ98" s="105"/>
      <c r="DR98" s="100"/>
      <c r="DS98" s="136"/>
      <c r="DT98" s="105"/>
      <c r="DU98" s="105"/>
      <c r="DV98" s="105"/>
      <c r="DW98" s="100"/>
      <c r="DX98" s="136"/>
      <c r="DY98" s="105"/>
      <c r="DZ98" s="105"/>
      <c r="EA98" s="105"/>
      <c r="EB98" s="100"/>
      <c r="EC98" s="136"/>
      <c r="ED98" s="105"/>
      <c r="EE98" s="105"/>
      <c r="EF98" s="105"/>
      <c r="EG98" s="100"/>
      <c r="EH98" s="136"/>
      <c r="EI98" s="105"/>
      <c r="EJ98" s="105"/>
      <c r="EK98" s="105"/>
      <c r="EL98" s="100"/>
      <c r="EM98" s="136"/>
      <c r="EN98" s="105"/>
      <c r="EO98" s="105"/>
      <c r="EP98" s="105"/>
      <c r="EQ98" s="100"/>
      <c r="ER98" s="136"/>
      <c r="ES98" s="105"/>
      <c r="ET98" s="105"/>
      <c r="EU98" s="105"/>
      <c r="EV98" s="100"/>
      <c r="EW98" s="136"/>
      <c r="EX98" s="105"/>
      <c r="EY98" s="105"/>
      <c r="EZ98" s="105"/>
      <c r="FA98" s="100"/>
      <c r="FB98" s="136"/>
      <c r="FC98" s="105"/>
      <c r="FD98" s="105"/>
      <c r="FE98" s="105"/>
      <c r="FF98" s="100"/>
      <c r="FG98" s="136"/>
      <c r="FH98" s="105"/>
      <c r="FI98" s="105"/>
      <c r="FJ98" s="105"/>
      <c r="FK98" s="100"/>
      <c r="FL98" s="136"/>
      <c r="FM98" s="105"/>
      <c r="FN98" s="105"/>
      <c r="FO98" s="105"/>
      <c r="FP98" s="100"/>
      <c r="FQ98" s="136"/>
      <c r="FR98" s="105"/>
      <c r="FS98" s="105"/>
      <c r="FT98" s="105"/>
      <c r="FU98" s="100"/>
      <c r="FV98" s="136"/>
      <c r="FW98" s="105"/>
      <c r="FX98" s="105"/>
      <c r="FY98" s="105"/>
      <c r="FZ98" s="100"/>
      <c r="GA98" s="136"/>
      <c r="GB98" s="105"/>
      <c r="GC98" s="105"/>
      <c r="GD98" s="105"/>
      <c r="GE98" s="100"/>
    </row>
    <row r="99" spans="1:187" ht="12.75" customHeight="1">
      <c r="C99" s="246"/>
      <c r="G99" s="100"/>
      <c r="H99" s="246"/>
      <c r="L99" s="100"/>
      <c r="M99" s="246"/>
      <c r="Q99" s="100"/>
      <c r="R99" s="246"/>
      <c r="V99" s="100"/>
      <c r="W99" s="246"/>
      <c r="AA99" s="100"/>
      <c r="AB99" s="246"/>
      <c r="AF99" s="100"/>
      <c r="AG99" s="246"/>
      <c r="AK99" s="100"/>
      <c r="AL99" s="246"/>
      <c r="AP99" s="100"/>
      <c r="AQ99" s="246"/>
      <c r="AU99" s="100"/>
      <c r="AV99" s="246"/>
      <c r="AZ99" s="100"/>
      <c r="BA99" s="246"/>
      <c r="BE99" s="100"/>
      <c r="BF99" s="246"/>
      <c r="BJ99" s="100"/>
      <c r="BK99" s="246"/>
      <c r="BO99" s="100"/>
      <c r="BP99" s="246"/>
      <c r="BT99" s="100"/>
      <c r="BU99" s="246"/>
      <c r="BY99" s="100"/>
      <c r="BZ99" s="246"/>
      <c r="CD99" s="100"/>
      <c r="CE99" s="246"/>
      <c r="CI99" s="100"/>
      <c r="CJ99" s="246"/>
      <c r="CN99" s="100"/>
      <c r="CO99" s="246"/>
      <c r="CS99" s="100"/>
      <c r="CT99" s="246"/>
      <c r="CX99" s="100"/>
      <c r="CY99" s="246"/>
      <c r="DC99" s="100"/>
      <c r="DD99" s="246"/>
      <c r="DH99" s="100"/>
      <c r="DI99" s="246"/>
      <c r="DM99" s="100"/>
      <c r="DN99" s="246"/>
      <c r="DR99" s="100"/>
      <c r="DS99" s="246"/>
      <c r="DW99" s="100"/>
      <c r="DX99" s="246"/>
      <c r="EB99" s="100"/>
      <c r="EC99" s="246"/>
      <c r="EG99" s="100"/>
      <c r="EH99" s="246"/>
      <c r="EL99" s="100"/>
      <c r="EM99" s="246"/>
      <c r="EQ99" s="100"/>
      <c r="ER99" s="246"/>
      <c r="EV99" s="100"/>
      <c r="EW99" s="246"/>
      <c r="FA99" s="100"/>
      <c r="FB99" s="246"/>
      <c r="FF99" s="100"/>
      <c r="FG99" s="246"/>
      <c r="FK99" s="100"/>
      <c r="FL99" s="246"/>
      <c r="FP99" s="100"/>
      <c r="FQ99" s="246"/>
      <c r="FU99" s="100"/>
      <c r="FV99" s="246"/>
      <c r="FZ99" s="100"/>
      <c r="GA99" s="246"/>
      <c r="GE99" s="100"/>
    </row>
    <row r="100" spans="1:187" ht="12.75" customHeight="1">
      <c r="C100" s="580"/>
      <c r="D100" s="581"/>
      <c r="E100" s="581"/>
      <c r="F100" s="581"/>
      <c r="G100" s="100"/>
      <c r="H100" s="580"/>
      <c r="I100" s="581"/>
      <c r="J100" s="581"/>
      <c r="K100" s="581"/>
      <c r="L100" s="100"/>
      <c r="M100" s="580"/>
      <c r="N100" s="581"/>
      <c r="O100" s="581"/>
      <c r="P100" s="581"/>
      <c r="Q100" s="100"/>
      <c r="R100" s="580"/>
      <c r="S100" s="581"/>
      <c r="T100" s="581"/>
      <c r="U100" s="581"/>
      <c r="V100" s="100"/>
      <c r="W100" s="580"/>
      <c r="X100" s="581"/>
      <c r="Y100" s="581"/>
      <c r="Z100" s="581"/>
      <c r="AA100" s="100"/>
      <c r="AB100" s="580"/>
      <c r="AC100" s="581"/>
      <c r="AD100" s="581"/>
      <c r="AE100" s="581"/>
      <c r="AF100" s="100"/>
      <c r="AG100" s="580"/>
      <c r="AH100" s="581"/>
      <c r="AI100" s="581"/>
      <c r="AJ100" s="581"/>
      <c r="AK100" s="100"/>
      <c r="AL100" s="580"/>
      <c r="AM100" s="581"/>
      <c r="AN100" s="581"/>
      <c r="AO100" s="581"/>
      <c r="AP100" s="100"/>
      <c r="AQ100" s="580"/>
      <c r="AR100" s="581"/>
      <c r="AS100" s="581"/>
      <c r="AT100" s="581"/>
      <c r="AU100" s="100"/>
      <c r="AV100" s="580"/>
      <c r="AW100" s="581"/>
      <c r="AX100" s="581"/>
      <c r="AY100" s="581"/>
      <c r="AZ100" s="100"/>
      <c r="BA100" s="580"/>
      <c r="BB100" s="581"/>
      <c r="BC100" s="581"/>
      <c r="BD100" s="581"/>
      <c r="BE100" s="100"/>
      <c r="BF100" s="580"/>
      <c r="BG100" s="581"/>
      <c r="BH100" s="581"/>
      <c r="BI100" s="581"/>
      <c r="BJ100" s="100"/>
      <c r="BK100" s="580"/>
      <c r="BL100" s="581"/>
      <c r="BM100" s="581"/>
      <c r="BN100" s="581"/>
      <c r="BO100" s="100"/>
      <c r="BP100" s="580"/>
      <c r="BQ100" s="581"/>
      <c r="BR100" s="581"/>
      <c r="BS100" s="581"/>
      <c r="BT100" s="100"/>
      <c r="BU100" s="580"/>
      <c r="BV100" s="581"/>
      <c r="BW100" s="581"/>
      <c r="BX100" s="581"/>
      <c r="BY100" s="100"/>
      <c r="BZ100" s="580"/>
      <c r="CA100" s="581"/>
      <c r="CB100" s="581"/>
      <c r="CC100" s="581"/>
      <c r="CD100" s="100"/>
      <c r="CE100" s="580"/>
      <c r="CF100" s="581"/>
      <c r="CG100" s="581"/>
      <c r="CH100" s="581"/>
      <c r="CI100" s="100"/>
      <c r="CJ100" s="580"/>
      <c r="CK100" s="581"/>
      <c r="CL100" s="581"/>
      <c r="CM100" s="581"/>
      <c r="CN100" s="100"/>
      <c r="CO100" s="580"/>
      <c r="CP100" s="581"/>
      <c r="CQ100" s="581"/>
      <c r="CR100" s="581"/>
      <c r="CS100" s="100"/>
      <c r="CT100" s="580"/>
      <c r="CU100" s="581"/>
      <c r="CV100" s="581"/>
      <c r="CW100" s="581"/>
      <c r="CX100" s="100"/>
      <c r="CY100" s="580"/>
      <c r="CZ100" s="581"/>
      <c r="DA100" s="581"/>
      <c r="DB100" s="581"/>
      <c r="DC100" s="100"/>
      <c r="DD100" s="580"/>
      <c r="DE100" s="581"/>
      <c r="DF100" s="581"/>
      <c r="DG100" s="581"/>
      <c r="DH100" s="100"/>
      <c r="DI100" s="580"/>
      <c r="DJ100" s="581"/>
      <c r="DK100" s="581"/>
      <c r="DL100" s="581"/>
      <c r="DM100" s="100"/>
      <c r="DN100" s="580"/>
      <c r="DO100" s="581"/>
      <c r="DP100" s="581"/>
      <c r="DQ100" s="581"/>
      <c r="DR100" s="100"/>
      <c r="DS100" s="580"/>
      <c r="DT100" s="581"/>
      <c r="DU100" s="581"/>
      <c r="DV100" s="581"/>
      <c r="DW100" s="100"/>
      <c r="DX100" s="580"/>
      <c r="DY100" s="581"/>
      <c r="DZ100" s="581"/>
      <c r="EA100" s="581"/>
      <c r="EB100" s="100"/>
      <c r="EC100" s="580"/>
      <c r="ED100" s="581"/>
      <c r="EE100" s="581"/>
      <c r="EF100" s="581"/>
      <c r="EG100" s="100"/>
      <c r="EH100" s="580"/>
      <c r="EI100" s="581"/>
      <c r="EJ100" s="581"/>
      <c r="EK100" s="581"/>
      <c r="EL100" s="100"/>
      <c r="EM100" s="580"/>
      <c r="EN100" s="581"/>
      <c r="EO100" s="581"/>
      <c r="EP100" s="581"/>
      <c r="EQ100" s="100"/>
      <c r="ER100" s="580"/>
      <c r="ES100" s="581"/>
      <c r="ET100" s="581"/>
      <c r="EU100" s="581"/>
      <c r="EV100" s="100"/>
      <c r="EW100" s="580"/>
      <c r="EX100" s="581"/>
      <c r="EY100" s="581"/>
      <c r="EZ100" s="581"/>
      <c r="FA100" s="100"/>
      <c r="FB100" s="580"/>
      <c r="FC100" s="581"/>
      <c r="FD100" s="581"/>
      <c r="FE100" s="581"/>
      <c r="FF100" s="100"/>
      <c r="FG100" s="580"/>
      <c r="FH100" s="581"/>
      <c r="FI100" s="581"/>
      <c r="FJ100" s="581"/>
      <c r="FK100" s="100"/>
      <c r="FL100" s="580"/>
      <c r="FM100" s="581"/>
      <c r="FN100" s="581"/>
      <c r="FO100" s="581"/>
      <c r="FP100" s="100"/>
      <c r="FQ100" s="580"/>
      <c r="FR100" s="581"/>
      <c r="FS100" s="581"/>
      <c r="FT100" s="581"/>
      <c r="FU100" s="100"/>
      <c r="FV100" s="580"/>
      <c r="FW100" s="581"/>
      <c r="FX100" s="581"/>
      <c r="FY100" s="581"/>
      <c r="FZ100" s="100"/>
      <c r="GA100" s="580"/>
      <c r="GB100" s="581"/>
      <c r="GC100" s="581"/>
      <c r="GD100" s="581"/>
      <c r="GE100" s="100"/>
    </row>
    <row r="101" spans="1:187" ht="12.75" customHeight="1">
      <c r="C101" s="136"/>
      <c r="D101" s="105"/>
      <c r="E101" s="105"/>
      <c r="F101" s="105"/>
      <c r="G101" s="100"/>
      <c r="H101" s="136"/>
      <c r="I101" s="105"/>
      <c r="J101" s="105"/>
      <c r="K101" s="105"/>
      <c r="L101" s="100"/>
      <c r="M101" s="136"/>
      <c r="N101" s="105"/>
      <c r="O101" s="105"/>
      <c r="P101" s="105"/>
      <c r="Q101" s="100"/>
      <c r="R101" s="136"/>
      <c r="S101" s="105"/>
      <c r="T101" s="105"/>
      <c r="U101" s="105"/>
      <c r="V101" s="100"/>
      <c r="W101" s="136"/>
      <c r="X101" s="105"/>
      <c r="Y101" s="105"/>
      <c r="Z101" s="105"/>
      <c r="AA101" s="100"/>
      <c r="AB101" s="136"/>
      <c r="AC101" s="105"/>
      <c r="AD101" s="105"/>
      <c r="AE101" s="105"/>
      <c r="AF101" s="100"/>
      <c r="AG101" s="136"/>
      <c r="AH101" s="105"/>
      <c r="AI101" s="105"/>
      <c r="AJ101" s="105"/>
      <c r="AK101" s="100"/>
      <c r="AL101" s="136"/>
      <c r="AM101" s="105"/>
      <c r="AN101" s="105"/>
      <c r="AO101" s="105"/>
      <c r="AP101" s="100"/>
      <c r="AQ101" s="136"/>
      <c r="AR101" s="105"/>
      <c r="AS101" s="105"/>
      <c r="AT101" s="105"/>
      <c r="AU101" s="100"/>
      <c r="AV101" s="136"/>
      <c r="AW101" s="105"/>
      <c r="AX101" s="105"/>
      <c r="AY101" s="105"/>
      <c r="AZ101" s="100"/>
      <c r="BA101" s="136"/>
      <c r="BB101" s="105"/>
      <c r="BC101" s="105"/>
      <c r="BD101" s="105"/>
      <c r="BE101" s="100"/>
      <c r="BF101" s="136"/>
      <c r="BG101" s="105"/>
      <c r="BH101" s="105"/>
      <c r="BI101" s="105"/>
      <c r="BJ101" s="100"/>
      <c r="BK101" s="136"/>
      <c r="BL101" s="105"/>
      <c r="BM101" s="105"/>
      <c r="BN101" s="105"/>
      <c r="BO101" s="100"/>
      <c r="BP101" s="136"/>
      <c r="BQ101" s="105"/>
      <c r="BR101" s="105"/>
      <c r="BS101" s="105"/>
      <c r="BT101" s="100"/>
      <c r="BU101" s="136"/>
      <c r="BV101" s="105"/>
      <c r="BW101" s="105"/>
      <c r="BX101" s="105"/>
      <c r="BY101" s="100"/>
      <c r="BZ101" s="136"/>
      <c r="CA101" s="105"/>
      <c r="CB101" s="105"/>
      <c r="CC101" s="105"/>
      <c r="CD101" s="100"/>
      <c r="CE101" s="136"/>
      <c r="CF101" s="105"/>
      <c r="CG101" s="105"/>
      <c r="CH101" s="105"/>
      <c r="CI101" s="100"/>
      <c r="CJ101" s="136"/>
      <c r="CK101" s="105"/>
      <c r="CL101" s="105"/>
      <c r="CM101" s="105"/>
      <c r="CN101" s="100"/>
      <c r="CO101" s="136"/>
      <c r="CP101" s="105"/>
      <c r="CQ101" s="105"/>
      <c r="CR101" s="105"/>
      <c r="CS101" s="100"/>
      <c r="CT101" s="136"/>
      <c r="CU101" s="105"/>
      <c r="CV101" s="105"/>
      <c r="CW101" s="105"/>
      <c r="CX101" s="100"/>
      <c r="CY101" s="136"/>
      <c r="CZ101" s="105"/>
      <c r="DA101" s="105"/>
      <c r="DB101" s="105"/>
      <c r="DC101" s="100"/>
      <c r="DD101" s="136"/>
      <c r="DE101" s="105"/>
      <c r="DF101" s="105"/>
      <c r="DG101" s="105"/>
      <c r="DH101" s="100"/>
      <c r="DI101" s="136"/>
      <c r="DJ101" s="105"/>
      <c r="DK101" s="105"/>
      <c r="DL101" s="105"/>
      <c r="DM101" s="100"/>
      <c r="DN101" s="136"/>
      <c r="DO101" s="105"/>
      <c r="DP101" s="105"/>
      <c r="DQ101" s="105"/>
      <c r="DR101" s="100"/>
      <c r="DS101" s="136"/>
      <c r="DT101" s="105"/>
      <c r="DU101" s="105"/>
      <c r="DV101" s="105"/>
      <c r="DW101" s="100"/>
      <c r="DX101" s="136"/>
      <c r="DY101" s="105"/>
      <c r="DZ101" s="105"/>
      <c r="EA101" s="105"/>
      <c r="EB101" s="100"/>
      <c r="EC101" s="136"/>
      <c r="ED101" s="105"/>
      <c r="EE101" s="105"/>
      <c r="EF101" s="105"/>
      <c r="EG101" s="100"/>
      <c r="EH101" s="136"/>
      <c r="EI101" s="105"/>
      <c r="EJ101" s="105"/>
      <c r="EK101" s="105"/>
      <c r="EL101" s="100"/>
      <c r="EM101" s="136"/>
      <c r="EN101" s="105"/>
      <c r="EO101" s="105"/>
      <c r="EP101" s="105"/>
      <c r="EQ101" s="100"/>
      <c r="ER101" s="136"/>
      <c r="ES101" s="105"/>
      <c r="ET101" s="105"/>
      <c r="EU101" s="105"/>
      <c r="EV101" s="100"/>
      <c r="EW101" s="136"/>
      <c r="EX101" s="105"/>
      <c r="EY101" s="105"/>
      <c r="EZ101" s="105"/>
      <c r="FA101" s="100"/>
      <c r="FB101" s="136"/>
      <c r="FC101" s="105"/>
      <c r="FD101" s="105"/>
      <c r="FE101" s="105"/>
      <c r="FF101" s="100"/>
      <c r="FG101" s="136"/>
      <c r="FH101" s="105"/>
      <c r="FI101" s="105"/>
      <c r="FJ101" s="105"/>
      <c r="FK101" s="100"/>
      <c r="FL101" s="136"/>
      <c r="FM101" s="105"/>
      <c r="FN101" s="105"/>
      <c r="FO101" s="105"/>
      <c r="FP101" s="100"/>
      <c r="FQ101" s="136"/>
      <c r="FR101" s="105"/>
      <c r="FS101" s="105"/>
      <c r="FT101" s="105"/>
      <c r="FU101" s="100"/>
      <c r="FV101" s="136"/>
      <c r="FW101" s="105"/>
      <c r="FX101" s="105"/>
      <c r="FY101" s="105"/>
      <c r="FZ101" s="100"/>
      <c r="GA101" s="136"/>
      <c r="GB101" s="105"/>
      <c r="GC101" s="105"/>
      <c r="GD101" s="105"/>
      <c r="GE101" s="100"/>
    </row>
    <row r="102" spans="1:187" ht="12.75" customHeight="1">
      <c r="C102" s="246"/>
      <c r="G102" s="100"/>
      <c r="H102" s="246"/>
      <c r="L102" s="100"/>
      <c r="M102" s="246"/>
      <c r="Q102" s="100"/>
      <c r="R102" s="246"/>
      <c r="V102" s="100"/>
      <c r="W102" s="246"/>
      <c r="AA102" s="100"/>
      <c r="AB102" s="246"/>
      <c r="AF102" s="100"/>
      <c r="AG102" s="246"/>
      <c r="AK102" s="100"/>
      <c r="AL102" s="246"/>
      <c r="AP102" s="100"/>
      <c r="AQ102" s="246"/>
      <c r="AU102" s="100"/>
      <c r="AV102" s="246"/>
      <c r="AZ102" s="100"/>
      <c r="BA102" s="246"/>
      <c r="BE102" s="100"/>
      <c r="BF102" s="246"/>
      <c r="BJ102" s="100"/>
      <c r="BK102" s="246"/>
      <c r="BO102" s="100"/>
      <c r="BP102" s="246"/>
      <c r="BT102" s="100"/>
      <c r="BU102" s="246"/>
      <c r="BY102" s="100"/>
      <c r="BZ102" s="246"/>
      <c r="CD102" s="100"/>
      <c r="CE102" s="246"/>
      <c r="CI102" s="100"/>
      <c r="CJ102" s="246"/>
      <c r="CN102" s="100"/>
      <c r="CO102" s="246"/>
      <c r="CS102" s="100"/>
      <c r="CT102" s="246"/>
      <c r="CX102" s="100"/>
      <c r="CY102" s="246"/>
      <c r="DC102" s="100"/>
      <c r="DD102" s="246"/>
      <c r="DH102" s="100"/>
      <c r="DI102" s="246"/>
      <c r="DM102" s="100"/>
      <c r="DN102" s="246"/>
      <c r="DR102" s="100"/>
      <c r="DS102" s="246"/>
      <c r="DW102" s="100"/>
      <c r="DX102" s="246"/>
      <c r="EB102" s="100"/>
      <c r="EC102" s="246"/>
      <c r="EG102" s="100"/>
      <c r="EH102" s="246"/>
      <c r="EL102" s="100"/>
      <c r="EM102" s="246"/>
      <c r="EQ102" s="100"/>
      <c r="ER102" s="246"/>
      <c r="EV102" s="100"/>
      <c r="EW102" s="246"/>
      <c r="FA102" s="100"/>
      <c r="FB102" s="246"/>
      <c r="FF102" s="100"/>
      <c r="FG102" s="246"/>
      <c r="FK102" s="100"/>
      <c r="FL102" s="246"/>
      <c r="FP102" s="100"/>
      <c r="FQ102" s="246"/>
      <c r="FU102" s="100"/>
      <c r="FV102" s="246"/>
      <c r="FZ102" s="100"/>
      <c r="GA102" s="246"/>
      <c r="GE102" s="100"/>
    </row>
    <row r="103" spans="1:187" ht="12.75" customHeight="1">
      <c r="B103" s="593"/>
      <c r="C103" s="246"/>
      <c r="G103" s="100"/>
      <c r="H103" s="246"/>
      <c r="L103" s="100"/>
      <c r="M103" s="246"/>
      <c r="Q103" s="100"/>
      <c r="R103" s="246"/>
      <c r="V103" s="100"/>
      <c r="W103" s="246"/>
      <c r="AA103" s="100"/>
      <c r="AB103" s="246"/>
      <c r="AF103" s="100"/>
      <c r="AG103" s="246"/>
      <c r="AK103" s="100"/>
      <c r="AL103" s="246"/>
      <c r="AP103" s="100"/>
      <c r="AQ103" s="246"/>
      <c r="AU103" s="100"/>
      <c r="AV103" s="246"/>
      <c r="AZ103" s="100"/>
      <c r="BA103" s="246"/>
      <c r="BE103" s="100"/>
      <c r="BF103" s="246"/>
      <c r="BJ103" s="100"/>
      <c r="BK103" s="246"/>
      <c r="BO103" s="100"/>
      <c r="BP103" s="246"/>
      <c r="BT103" s="100"/>
      <c r="BU103" s="246"/>
      <c r="BY103" s="100"/>
      <c r="BZ103" s="246"/>
      <c r="CD103" s="100"/>
      <c r="CE103" s="246"/>
      <c r="CI103" s="100"/>
      <c r="CJ103" s="246"/>
      <c r="CN103" s="100"/>
      <c r="CO103" s="246"/>
      <c r="CS103" s="100"/>
      <c r="CT103" s="246"/>
      <c r="CX103" s="100"/>
      <c r="CY103" s="246"/>
      <c r="DC103" s="100"/>
      <c r="DD103" s="246"/>
      <c r="DH103" s="100"/>
      <c r="DI103" s="246"/>
      <c r="DM103" s="100"/>
      <c r="DN103" s="246"/>
      <c r="DR103" s="100"/>
      <c r="DS103" s="246"/>
      <c r="DW103" s="100"/>
      <c r="DX103" s="246"/>
      <c r="EB103" s="100"/>
      <c r="EC103" s="246"/>
      <c r="EG103" s="100"/>
      <c r="EH103" s="246"/>
      <c r="EL103" s="100"/>
      <c r="EM103" s="246"/>
      <c r="EQ103" s="100"/>
      <c r="ER103" s="246"/>
      <c r="EV103" s="100"/>
      <c r="EW103" s="246"/>
      <c r="FA103" s="100"/>
      <c r="FB103" s="246"/>
      <c r="FF103" s="100"/>
      <c r="FG103" s="246"/>
      <c r="FK103" s="100"/>
      <c r="FL103" s="246"/>
      <c r="FP103" s="100"/>
      <c r="FQ103" s="246"/>
      <c r="FU103" s="100"/>
      <c r="FV103" s="246"/>
      <c r="FZ103" s="100"/>
      <c r="GA103" s="246"/>
      <c r="GE103" s="100"/>
    </row>
    <row r="104" spans="1:187" s="595" customFormat="1" ht="12.75" customHeight="1" outlineLevel="1">
      <c r="A104" s="594"/>
      <c r="C104" s="596"/>
      <c r="D104" s="597"/>
      <c r="E104" s="597"/>
      <c r="F104" s="597"/>
      <c r="G104" s="598"/>
      <c r="H104" s="596"/>
      <c r="I104" s="597"/>
      <c r="J104" s="597"/>
      <c r="K104" s="597"/>
      <c r="L104" s="598"/>
      <c r="M104" s="596"/>
      <c r="N104" s="597"/>
      <c r="O104" s="597"/>
      <c r="P104" s="597"/>
      <c r="Q104" s="598"/>
      <c r="R104" s="596"/>
      <c r="S104" s="597"/>
      <c r="T104" s="597"/>
      <c r="U104" s="597"/>
      <c r="V104" s="598"/>
      <c r="W104" s="596"/>
      <c r="X104" s="597"/>
      <c r="Y104" s="597"/>
      <c r="Z104" s="597"/>
      <c r="AA104" s="598"/>
      <c r="AB104" s="596"/>
      <c r="AC104" s="597"/>
      <c r="AD104" s="597"/>
      <c r="AE104" s="597"/>
      <c r="AF104" s="598"/>
      <c r="AG104" s="596"/>
      <c r="AH104" s="597"/>
      <c r="AI104" s="597"/>
      <c r="AJ104" s="597"/>
      <c r="AK104" s="598"/>
      <c r="AL104" s="596"/>
      <c r="AM104" s="597"/>
      <c r="AN104" s="597"/>
      <c r="AO104" s="597"/>
      <c r="AP104" s="598"/>
      <c r="AQ104" s="596"/>
      <c r="AR104" s="597"/>
      <c r="AS104" s="597"/>
      <c r="AT104" s="597"/>
      <c r="AU104" s="598"/>
      <c r="AV104" s="596"/>
      <c r="AW104" s="597"/>
      <c r="AX104" s="597"/>
      <c r="AY104" s="597"/>
      <c r="AZ104" s="598"/>
      <c r="BA104" s="596"/>
      <c r="BB104" s="597"/>
      <c r="BC104" s="597"/>
      <c r="BD104" s="597"/>
      <c r="BE104" s="598"/>
      <c r="BF104" s="596"/>
      <c r="BG104" s="597"/>
      <c r="BH104" s="597"/>
      <c r="BI104" s="597"/>
      <c r="BJ104" s="598"/>
      <c r="BK104" s="596"/>
      <c r="BL104" s="597"/>
      <c r="BM104" s="597"/>
      <c r="BN104" s="597"/>
      <c r="BO104" s="598"/>
      <c r="BP104" s="596"/>
      <c r="BQ104" s="597"/>
      <c r="BR104" s="597"/>
      <c r="BS104" s="597"/>
      <c r="BT104" s="598"/>
      <c r="BU104" s="596"/>
      <c r="BV104" s="597"/>
      <c r="BW104" s="597"/>
      <c r="BX104" s="597"/>
      <c r="BY104" s="598"/>
      <c r="BZ104" s="596"/>
      <c r="CA104" s="597"/>
      <c r="CB104" s="597"/>
      <c r="CC104" s="597"/>
      <c r="CD104" s="598"/>
      <c r="CE104" s="596"/>
      <c r="CF104" s="597"/>
      <c r="CG104" s="597"/>
      <c r="CH104" s="597"/>
      <c r="CI104" s="598"/>
      <c r="CJ104" s="596"/>
      <c r="CK104" s="597"/>
      <c r="CL104" s="597"/>
      <c r="CM104" s="597"/>
      <c r="CN104" s="598"/>
      <c r="CO104" s="596"/>
      <c r="CP104" s="597"/>
      <c r="CQ104" s="597"/>
      <c r="CR104" s="597"/>
      <c r="CS104" s="598"/>
      <c r="CT104" s="596"/>
      <c r="CU104" s="597"/>
      <c r="CV104" s="597"/>
      <c r="CW104" s="597"/>
      <c r="CX104" s="598"/>
      <c r="CY104" s="596"/>
      <c r="CZ104" s="597"/>
      <c r="DA104" s="597"/>
      <c r="DB104" s="597"/>
      <c r="DC104" s="598"/>
      <c r="DD104" s="596"/>
      <c r="DE104" s="597"/>
      <c r="DF104" s="597"/>
      <c r="DG104" s="597"/>
      <c r="DH104" s="598"/>
      <c r="DI104" s="596"/>
      <c r="DJ104" s="597"/>
      <c r="DK104" s="597"/>
      <c r="DL104" s="597"/>
      <c r="DM104" s="598"/>
      <c r="DN104" s="596"/>
      <c r="DO104" s="597"/>
      <c r="DP104" s="597"/>
      <c r="DQ104" s="597"/>
      <c r="DR104" s="598"/>
      <c r="DS104" s="596"/>
      <c r="DT104" s="597"/>
      <c r="DU104" s="597"/>
      <c r="DV104" s="597"/>
      <c r="DW104" s="598"/>
      <c r="DX104" s="596"/>
      <c r="DY104" s="597"/>
      <c r="DZ104" s="597"/>
      <c r="EA104" s="597"/>
      <c r="EB104" s="598"/>
      <c r="EC104" s="596"/>
      <c r="ED104" s="597"/>
      <c r="EE104" s="597"/>
      <c r="EF104" s="597"/>
      <c r="EG104" s="598"/>
      <c r="EH104" s="596"/>
      <c r="EI104" s="597"/>
      <c r="EJ104" s="597"/>
      <c r="EK104" s="597"/>
      <c r="EL104" s="598"/>
      <c r="EM104" s="596"/>
      <c r="EN104" s="597"/>
      <c r="EO104" s="597"/>
      <c r="EP104" s="597"/>
      <c r="EQ104" s="598"/>
      <c r="ER104" s="596"/>
      <c r="ES104" s="597"/>
      <c r="ET104" s="597"/>
      <c r="EU104" s="597"/>
      <c r="EV104" s="598"/>
      <c r="EW104" s="596"/>
      <c r="EX104" s="597"/>
      <c r="EY104" s="597"/>
      <c r="EZ104" s="597"/>
      <c r="FA104" s="598"/>
      <c r="FB104" s="596"/>
      <c r="FC104" s="597"/>
      <c r="FD104" s="597"/>
      <c r="FE104" s="597"/>
      <c r="FF104" s="598"/>
      <c r="FG104" s="596"/>
      <c r="FH104" s="597"/>
      <c r="FI104" s="597"/>
      <c r="FJ104" s="597"/>
      <c r="FK104" s="598"/>
      <c r="FL104" s="596"/>
      <c r="FM104" s="597"/>
      <c r="FN104" s="597"/>
      <c r="FO104" s="597"/>
      <c r="FP104" s="598"/>
      <c r="FQ104" s="596"/>
      <c r="FR104" s="597"/>
      <c r="FS104" s="597"/>
      <c r="FT104" s="597"/>
      <c r="FU104" s="598"/>
      <c r="FV104" s="596"/>
      <c r="FW104" s="597"/>
      <c r="FX104" s="597"/>
      <c r="FY104" s="597"/>
      <c r="FZ104" s="598"/>
      <c r="GA104" s="596"/>
      <c r="GB104" s="597"/>
      <c r="GC104" s="597"/>
      <c r="GD104" s="597"/>
      <c r="GE104" s="598"/>
    </row>
    <row r="105" spans="1:187" s="595" customFormat="1" ht="12.75" customHeight="1" outlineLevel="1">
      <c r="A105" s="594"/>
      <c r="C105" s="599"/>
      <c r="D105" s="599"/>
      <c r="E105" s="599"/>
      <c r="F105" s="599"/>
      <c r="G105" s="598"/>
      <c r="H105" s="599"/>
      <c r="I105" s="599"/>
      <c r="J105" s="599"/>
      <c r="K105" s="599"/>
      <c r="L105" s="598"/>
      <c r="M105" s="599"/>
      <c r="N105" s="599"/>
      <c r="O105" s="599"/>
      <c r="P105" s="599"/>
      <c r="Q105" s="598"/>
      <c r="R105" s="599"/>
      <c r="S105" s="599"/>
      <c r="T105" s="599"/>
      <c r="U105" s="599"/>
      <c r="V105" s="598"/>
      <c r="W105" s="599"/>
      <c r="X105" s="599"/>
      <c r="Y105" s="599"/>
      <c r="Z105" s="599"/>
      <c r="AA105" s="598"/>
      <c r="AB105" s="599"/>
      <c r="AC105" s="599"/>
      <c r="AD105" s="599"/>
      <c r="AE105" s="599"/>
      <c r="AF105" s="598"/>
      <c r="AG105" s="599"/>
      <c r="AH105" s="599"/>
      <c r="AI105" s="599"/>
      <c r="AJ105" s="599"/>
      <c r="AK105" s="598"/>
      <c r="AL105" s="599"/>
      <c r="AM105" s="599"/>
      <c r="AN105" s="599"/>
      <c r="AO105" s="599"/>
      <c r="AP105" s="598"/>
      <c r="AQ105" s="599"/>
      <c r="AR105" s="599"/>
      <c r="AS105" s="599"/>
      <c r="AT105" s="599"/>
      <c r="AU105" s="598"/>
      <c r="AV105" s="599"/>
      <c r="AW105" s="599"/>
      <c r="AX105" s="599"/>
      <c r="AY105" s="599"/>
      <c r="AZ105" s="598"/>
      <c r="BA105" s="599"/>
      <c r="BB105" s="599"/>
      <c r="BC105" s="599"/>
      <c r="BD105" s="599"/>
      <c r="BE105" s="598"/>
      <c r="BF105" s="599"/>
      <c r="BG105" s="599"/>
      <c r="BH105" s="599"/>
      <c r="BI105" s="599"/>
      <c r="BJ105" s="598"/>
      <c r="BK105" s="599"/>
      <c r="BL105" s="599"/>
      <c r="BM105" s="599"/>
      <c r="BN105" s="599"/>
      <c r="BO105" s="598"/>
      <c r="BP105" s="599"/>
      <c r="BQ105" s="599"/>
      <c r="BR105" s="599"/>
      <c r="BS105" s="599"/>
      <c r="BT105" s="598"/>
      <c r="BU105" s="599"/>
      <c r="BV105" s="599"/>
      <c r="BW105" s="599"/>
      <c r="BX105" s="599"/>
      <c r="BY105" s="598"/>
      <c r="BZ105" s="599"/>
      <c r="CA105" s="599"/>
      <c r="CB105" s="599"/>
      <c r="CC105" s="599"/>
      <c r="CD105" s="598"/>
      <c r="CE105" s="599"/>
      <c r="CF105" s="599"/>
      <c r="CG105" s="599"/>
      <c r="CH105" s="599"/>
      <c r="CI105" s="598"/>
      <c r="CJ105" s="599"/>
      <c r="CK105" s="599"/>
      <c r="CL105" s="599"/>
      <c r="CM105" s="599"/>
      <c r="CN105" s="598"/>
      <c r="CO105" s="599"/>
      <c r="CP105" s="599"/>
      <c r="CQ105" s="599"/>
      <c r="CR105" s="599"/>
      <c r="CS105" s="598"/>
      <c r="CT105" s="599"/>
      <c r="CU105" s="599"/>
      <c r="CV105" s="599"/>
      <c r="CW105" s="599"/>
      <c r="CX105" s="598"/>
      <c r="CY105" s="599"/>
      <c r="CZ105" s="599"/>
      <c r="DA105" s="599"/>
      <c r="DB105" s="599"/>
      <c r="DC105" s="598"/>
      <c r="DD105" s="599"/>
      <c r="DE105" s="599"/>
      <c r="DF105" s="599"/>
      <c r="DG105" s="599"/>
      <c r="DH105" s="598"/>
      <c r="DI105" s="599"/>
      <c r="DJ105" s="599"/>
      <c r="DK105" s="599"/>
      <c r="DL105" s="599"/>
      <c r="DM105" s="598"/>
      <c r="DN105" s="599"/>
      <c r="DO105" s="599"/>
      <c r="DP105" s="599"/>
      <c r="DQ105" s="599"/>
      <c r="DR105" s="598"/>
      <c r="DS105" s="599"/>
      <c r="DT105" s="599"/>
      <c r="DU105" s="599"/>
      <c r="DV105" s="599"/>
      <c r="DW105" s="598"/>
      <c r="DX105" s="599"/>
      <c r="DY105" s="599"/>
      <c r="DZ105" s="599"/>
      <c r="EA105" s="599"/>
      <c r="EB105" s="598"/>
      <c r="EC105" s="599"/>
      <c r="ED105" s="599"/>
      <c r="EE105" s="599"/>
      <c r="EF105" s="599"/>
      <c r="EG105" s="598"/>
      <c r="EH105" s="599"/>
      <c r="EI105" s="599"/>
      <c r="EJ105" s="599"/>
      <c r="EK105" s="599"/>
      <c r="EL105" s="598"/>
      <c r="EM105" s="599"/>
      <c r="EN105" s="599"/>
      <c r="EO105" s="599"/>
      <c r="EP105" s="599"/>
      <c r="EQ105" s="598"/>
      <c r="ER105" s="599"/>
      <c r="ES105" s="599"/>
      <c r="ET105" s="599"/>
      <c r="EU105" s="599"/>
      <c r="EV105" s="598"/>
      <c r="EW105" s="599"/>
      <c r="EX105" s="599"/>
      <c r="EY105" s="599"/>
      <c r="EZ105" s="599"/>
      <c r="FA105" s="598"/>
      <c r="FB105" s="599"/>
      <c r="FC105" s="599"/>
      <c r="FD105" s="599"/>
      <c r="FE105" s="599"/>
      <c r="FF105" s="598"/>
      <c r="FG105" s="599"/>
      <c r="FH105" s="599"/>
      <c r="FI105" s="599"/>
      <c r="FJ105" s="599"/>
      <c r="FK105" s="598"/>
      <c r="FL105" s="599"/>
      <c r="FM105" s="599"/>
      <c r="FN105" s="599"/>
      <c r="FO105" s="599"/>
      <c r="FP105" s="598"/>
      <c r="FQ105" s="599"/>
      <c r="FR105" s="599"/>
      <c r="FS105" s="599"/>
      <c r="FT105" s="599"/>
      <c r="FU105" s="598"/>
      <c r="FV105" s="599"/>
      <c r="FW105" s="599"/>
      <c r="FX105" s="599"/>
      <c r="FY105" s="599"/>
      <c r="FZ105" s="598"/>
      <c r="GA105" s="599"/>
      <c r="GB105" s="599"/>
      <c r="GC105" s="599"/>
      <c r="GD105" s="599"/>
      <c r="GE105" s="598"/>
    </row>
    <row r="106" spans="1:187" s="595" customFormat="1" ht="12.75" customHeight="1" outlineLevel="1">
      <c r="A106" s="594"/>
      <c r="C106" s="600"/>
      <c r="D106" s="601"/>
      <c r="E106" s="601"/>
      <c r="F106" s="601"/>
      <c r="G106" s="598"/>
      <c r="H106" s="600"/>
      <c r="I106" s="601"/>
      <c r="J106" s="601"/>
      <c r="K106" s="601"/>
      <c r="L106" s="598"/>
      <c r="M106" s="600"/>
      <c r="N106" s="601"/>
      <c r="O106" s="601"/>
      <c r="P106" s="601"/>
      <c r="Q106" s="598"/>
      <c r="R106" s="600"/>
      <c r="S106" s="601"/>
      <c r="T106" s="601"/>
      <c r="U106" s="601"/>
      <c r="V106" s="598"/>
      <c r="W106" s="600"/>
      <c r="X106" s="601"/>
      <c r="Y106" s="601"/>
      <c r="Z106" s="601"/>
      <c r="AA106" s="598"/>
      <c r="AB106" s="600"/>
      <c r="AC106" s="601"/>
      <c r="AD106" s="601"/>
      <c r="AE106" s="601"/>
      <c r="AF106" s="598"/>
      <c r="AG106" s="600"/>
      <c r="AH106" s="601"/>
      <c r="AI106" s="601"/>
      <c r="AJ106" s="601"/>
      <c r="AK106" s="598"/>
      <c r="AL106" s="600"/>
      <c r="AM106" s="601"/>
      <c r="AN106" s="601"/>
      <c r="AO106" s="601"/>
      <c r="AP106" s="598"/>
      <c r="AQ106" s="600"/>
      <c r="AR106" s="601"/>
      <c r="AS106" s="601"/>
      <c r="AT106" s="601"/>
      <c r="AU106" s="598"/>
      <c r="AV106" s="600"/>
      <c r="AW106" s="601"/>
      <c r="AX106" s="601"/>
      <c r="AY106" s="601"/>
      <c r="AZ106" s="598"/>
      <c r="BA106" s="600"/>
      <c r="BB106" s="601"/>
      <c r="BC106" s="601"/>
      <c r="BD106" s="601"/>
      <c r="BE106" s="598"/>
      <c r="BF106" s="600"/>
      <c r="BG106" s="601"/>
      <c r="BH106" s="601"/>
      <c r="BI106" s="601"/>
      <c r="BJ106" s="598"/>
      <c r="BK106" s="600"/>
      <c r="BL106" s="601"/>
      <c r="BM106" s="601"/>
      <c r="BN106" s="601"/>
      <c r="BO106" s="598"/>
      <c r="BP106" s="600"/>
      <c r="BQ106" s="601"/>
      <c r="BR106" s="601"/>
      <c r="BS106" s="601"/>
      <c r="BT106" s="598"/>
      <c r="BU106" s="600"/>
      <c r="BV106" s="601"/>
      <c r="BW106" s="601"/>
      <c r="BX106" s="601"/>
      <c r="BY106" s="598"/>
      <c r="BZ106" s="600"/>
      <c r="CA106" s="601"/>
      <c r="CB106" s="601"/>
      <c r="CC106" s="601"/>
      <c r="CD106" s="598"/>
      <c r="CE106" s="600"/>
      <c r="CF106" s="601"/>
      <c r="CG106" s="601"/>
      <c r="CH106" s="601"/>
      <c r="CI106" s="598"/>
      <c r="CJ106" s="600"/>
      <c r="CK106" s="601"/>
      <c r="CL106" s="601"/>
      <c r="CM106" s="601"/>
      <c r="CN106" s="598"/>
      <c r="CO106" s="600"/>
      <c r="CP106" s="601"/>
      <c r="CQ106" s="601"/>
      <c r="CR106" s="601"/>
      <c r="CS106" s="598"/>
      <c r="CT106" s="600"/>
      <c r="CU106" s="601"/>
      <c r="CV106" s="601"/>
      <c r="CW106" s="601"/>
      <c r="CX106" s="598"/>
      <c r="CY106" s="600"/>
      <c r="CZ106" s="601"/>
      <c r="DA106" s="601"/>
      <c r="DB106" s="601"/>
      <c r="DC106" s="598"/>
      <c r="DD106" s="600"/>
      <c r="DE106" s="601"/>
      <c r="DF106" s="601"/>
      <c r="DG106" s="601"/>
      <c r="DH106" s="598"/>
      <c r="DI106" s="600"/>
      <c r="DJ106" s="601"/>
      <c r="DK106" s="601"/>
      <c r="DL106" s="601"/>
      <c r="DM106" s="598"/>
      <c r="DN106" s="600"/>
      <c r="DO106" s="601"/>
      <c r="DP106" s="601"/>
      <c r="DQ106" s="601"/>
      <c r="DR106" s="598"/>
      <c r="DS106" s="600"/>
      <c r="DT106" s="601"/>
      <c r="DU106" s="601"/>
      <c r="DV106" s="601"/>
      <c r="DW106" s="598"/>
      <c r="DX106" s="600"/>
      <c r="DY106" s="601"/>
      <c r="DZ106" s="601"/>
      <c r="EA106" s="601"/>
      <c r="EB106" s="598"/>
      <c r="EC106" s="600"/>
      <c r="ED106" s="601"/>
      <c r="EE106" s="601"/>
      <c r="EF106" s="601"/>
      <c r="EG106" s="598"/>
      <c r="EH106" s="600"/>
      <c r="EI106" s="601"/>
      <c r="EJ106" s="601"/>
      <c r="EK106" s="601"/>
      <c r="EL106" s="598"/>
      <c r="EM106" s="600"/>
      <c r="EN106" s="601"/>
      <c r="EO106" s="601"/>
      <c r="EP106" s="601"/>
      <c r="EQ106" s="598"/>
      <c r="ER106" s="600"/>
      <c r="ES106" s="601"/>
      <c r="ET106" s="601"/>
      <c r="EU106" s="601"/>
      <c r="EV106" s="598"/>
      <c r="EW106" s="600"/>
      <c r="EX106" s="601"/>
      <c r="EY106" s="601"/>
      <c r="EZ106" s="601"/>
      <c r="FA106" s="598"/>
      <c r="FB106" s="600"/>
      <c r="FC106" s="601"/>
      <c r="FD106" s="601"/>
      <c r="FE106" s="601"/>
      <c r="FF106" s="598"/>
      <c r="FG106" s="600"/>
      <c r="FH106" s="601"/>
      <c r="FI106" s="601"/>
      <c r="FJ106" s="601"/>
      <c r="FK106" s="598"/>
      <c r="FL106" s="600"/>
      <c r="FM106" s="601"/>
      <c r="FN106" s="601"/>
      <c r="FO106" s="601"/>
      <c r="FP106" s="598"/>
      <c r="FQ106" s="600"/>
      <c r="FR106" s="601"/>
      <c r="FS106" s="601"/>
      <c r="FT106" s="601"/>
      <c r="FU106" s="598"/>
      <c r="FV106" s="600"/>
      <c r="FW106" s="601"/>
      <c r="FX106" s="601"/>
      <c r="FY106" s="601"/>
      <c r="FZ106" s="598"/>
      <c r="GA106" s="600"/>
      <c r="GB106" s="601"/>
      <c r="GC106" s="601"/>
      <c r="GD106" s="601"/>
      <c r="GE106" s="598"/>
    </row>
    <row r="107" spans="1:187" s="595" customFormat="1" ht="12.75" customHeight="1" outlineLevel="1">
      <c r="A107" s="594"/>
      <c r="C107" s="600"/>
      <c r="D107" s="601"/>
      <c r="E107" s="601"/>
      <c r="F107" s="601"/>
      <c r="G107" s="598"/>
      <c r="H107" s="600"/>
      <c r="I107" s="601"/>
      <c r="J107" s="601"/>
      <c r="K107" s="601"/>
      <c r="L107" s="598"/>
      <c r="M107" s="600"/>
      <c r="N107" s="601"/>
      <c r="O107" s="601"/>
      <c r="P107" s="601"/>
      <c r="Q107" s="598"/>
      <c r="R107" s="600"/>
      <c r="S107" s="601"/>
      <c r="T107" s="601"/>
      <c r="U107" s="601"/>
      <c r="V107" s="598"/>
      <c r="W107" s="600"/>
      <c r="X107" s="601"/>
      <c r="Y107" s="601"/>
      <c r="Z107" s="601"/>
      <c r="AA107" s="598"/>
      <c r="AB107" s="600"/>
      <c r="AC107" s="601"/>
      <c r="AD107" s="601"/>
      <c r="AE107" s="601"/>
      <c r="AF107" s="598"/>
      <c r="AG107" s="600"/>
      <c r="AH107" s="601"/>
      <c r="AI107" s="601"/>
      <c r="AJ107" s="601"/>
      <c r="AK107" s="598"/>
      <c r="AL107" s="600"/>
      <c r="AM107" s="601"/>
      <c r="AN107" s="601"/>
      <c r="AO107" s="601"/>
      <c r="AP107" s="598"/>
      <c r="AQ107" s="600"/>
      <c r="AR107" s="601"/>
      <c r="AS107" s="601"/>
      <c r="AT107" s="601"/>
      <c r="AU107" s="598"/>
      <c r="AV107" s="600"/>
      <c r="AW107" s="601"/>
      <c r="AX107" s="601"/>
      <c r="AY107" s="601"/>
      <c r="AZ107" s="598"/>
      <c r="BA107" s="600"/>
      <c r="BB107" s="601"/>
      <c r="BC107" s="601"/>
      <c r="BD107" s="601"/>
      <c r="BE107" s="598"/>
      <c r="BF107" s="600"/>
      <c r="BG107" s="601"/>
      <c r="BH107" s="601"/>
      <c r="BI107" s="601"/>
      <c r="BJ107" s="598"/>
      <c r="BK107" s="600"/>
      <c r="BL107" s="601"/>
      <c r="BM107" s="601"/>
      <c r="BN107" s="601"/>
      <c r="BO107" s="598"/>
      <c r="BP107" s="600"/>
      <c r="BQ107" s="601"/>
      <c r="BR107" s="601"/>
      <c r="BS107" s="601"/>
      <c r="BT107" s="598"/>
      <c r="BU107" s="600"/>
      <c r="BV107" s="601"/>
      <c r="BW107" s="601"/>
      <c r="BX107" s="601"/>
      <c r="BY107" s="598"/>
      <c r="BZ107" s="600"/>
      <c r="CA107" s="601"/>
      <c r="CB107" s="601"/>
      <c r="CC107" s="601"/>
      <c r="CD107" s="598"/>
      <c r="CE107" s="600"/>
      <c r="CF107" s="601"/>
      <c r="CG107" s="601"/>
      <c r="CH107" s="601"/>
      <c r="CI107" s="598"/>
      <c r="CJ107" s="600"/>
      <c r="CK107" s="601"/>
      <c r="CL107" s="601"/>
      <c r="CM107" s="601"/>
      <c r="CN107" s="598"/>
      <c r="CO107" s="600"/>
      <c r="CP107" s="601"/>
      <c r="CQ107" s="601"/>
      <c r="CR107" s="601"/>
      <c r="CS107" s="598"/>
      <c r="CT107" s="600"/>
      <c r="CU107" s="601"/>
      <c r="CV107" s="601"/>
      <c r="CW107" s="601"/>
      <c r="CX107" s="598"/>
      <c r="CY107" s="600"/>
      <c r="CZ107" s="601"/>
      <c r="DA107" s="601"/>
      <c r="DB107" s="601"/>
      <c r="DC107" s="598"/>
      <c r="DD107" s="600"/>
      <c r="DE107" s="601"/>
      <c r="DF107" s="601"/>
      <c r="DG107" s="601"/>
      <c r="DH107" s="598"/>
      <c r="DI107" s="600"/>
      <c r="DJ107" s="601"/>
      <c r="DK107" s="601"/>
      <c r="DL107" s="601"/>
      <c r="DM107" s="598"/>
      <c r="DN107" s="600"/>
      <c r="DO107" s="601"/>
      <c r="DP107" s="601"/>
      <c r="DQ107" s="601"/>
      <c r="DR107" s="598"/>
      <c r="DS107" s="600"/>
      <c r="DT107" s="601"/>
      <c r="DU107" s="601"/>
      <c r="DV107" s="601"/>
      <c r="DW107" s="598"/>
      <c r="DX107" s="600"/>
      <c r="DY107" s="601"/>
      <c r="DZ107" s="601"/>
      <c r="EA107" s="601"/>
      <c r="EB107" s="598"/>
      <c r="EC107" s="600"/>
      <c r="ED107" s="601"/>
      <c r="EE107" s="601"/>
      <c r="EF107" s="601"/>
      <c r="EG107" s="598"/>
      <c r="EH107" s="600"/>
      <c r="EI107" s="601"/>
      <c r="EJ107" s="601"/>
      <c r="EK107" s="601"/>
      <c r="EL107" s="598"/>
      <c r="EM107" s="600"/>
      <c r="EN107" s="601"/>
      <c r="EO107" s="601"/>
      <c r="EP107" s="601"/>
      <c r="EQ107" s="598"/>
      <c r="ER107" s="600"/>
      <c r="ES107" s="601"/>
      <c r="ET107" s="601"/>
      <c r="EU107" s="601"/>
      <c r="EV107" s="598"/>
      <c r="EW107" s="600"/>
      <c r="EX107" s="601"/>
      <c r="EY107" s="601"/>
      <c r="EZ107" s="601"/>
      <c r="FA107" s="598"/>
      <c r="FB107" s="600"/>
      <c r="FC107" s="601"/>
      <c r="FD107" s="601"/>
      <c r="FE107" s="601"/>
      <c r="FF107" s="598"/>
      <c r="FG107" s="600"/>
      <c r="FH107" s="601"/>
      <c r="FI107" s="601"/>
      <c r="FJ107" s="601"/>
      <c r="FK107" s="598"/>
      <c r="FL107" s="600"/>
      <c r="FM107" s="601"/>
      <c r="FN107" s="601"/>
      <c r="FO107" s="601"/>
      <c r="FP107" s="598"/>
      <c r="FQ107" s="600"/>
      <c r="FR107" s="601"/>
      <c r="FS107" s="601"/>
      <c r="FT107" s="601"/>
      <c r="FU107" s="598"/>
      <c r="FV107" s="600"/>
      <c r="FW107" s="601"/>
      <c r="FX107" s="601"/>
      <c r="FY107" s="601"/>
      <c r="FZ107" s="598"/>
      <c r="GA107" s="600"/>
      <c r="GB107" s="601"/>
      <c r="GC107" s="601"/>
      <c r="GD107" s="601"/>
      <c r="GE107" s="598"/>
    </row>
    <row r="108" spans="1:187" s="595" customFormat="1" ht="12.75" customHeight="1" outlineLevel="1">
      <c r="A108" s="594"/>
      <c r="C108" s="600"/>
      <c r="D108" s="601"/>
      <c r="E108" s="601"/>
      <c r="F108" s="601"/>
      <c r="G108" s="598"/>
      <c r="H108" s="600"/>
      <c r="I108" s="601"/>
      <c r="J108" s="601"/>
      <c r="K108" s="601"/>
      <c r="L108" s="598"/>
      <c r="M108" s="600"/>
      <c r="N108" s="601"/>
      <c r="O108" s="601"/>
      <c r="P108" s="601"/>
      <c r="Q108" s="598"/>
      <c r="R108" s="600"/>
      <c r="S108" s="601"/>
      <c r="T108" s="601"/>
      <c r="U108" s="601"/>
      <c r="V108" s="598"/>
      <c r="W108" s="600"/>
      <c r="X108" s="601"/>
      <c r="Y108" s="601"/>
      <c r="Z108" s="601"/>
      <c r="AA108" s="598"/>
      <c r="AB108" s="600"/>
      <c r="AC108" s="601"/>
      <c r="AD108" s="601"/>
      <c r="AE108" s="601"/>
      <c r="AF108" s="598"/>
      <c r="AG108" s="600"/>
      <c r="AH108" s="601"/>
      <c r="AI108" s="601"/>
      <c r="AJ108" s="601"/>
      <c r="AK108" s="598"/>
      <c r="AL108" s="600"/>
      <c r="AM108" s="601"/>
      <c r="AN108" s="601"/>
      <c r="AO108" s="601"/>
      <c r="AP108" s="598"/>
      <c r="AQ108" s="600"/>
      <c r="AR108" s="601"/>
      <c r="AS108" s="601"/>
      <c r="AT108" s="601"/>
      <c r="AU108" s="598"/>
      <c r="AV108" s="600"/>
      <c r="AW108" s="601"/>
      <c r="AX108" s="601"/>
      <c r="AY108" s="601"/>
      <c r="AZ108" s="598"/>
      <c r="BA108" s="600"/>
      <c r="BB108" s="601"/>
      <c r="BC108" s="601"/>
      <c r="BD108" s="601"/>
      <c r="BE108" s="598"/>
      <c r="BF108" s="600"/>
      <c r="BG108" s="601"/>
      <c r="BH108" s="601"/>
      <c r="BI108" s="601"/>
      <c r="BJ108" s="598"/>
      <c r="BK108" s="600"/>
      <c r="BL108" s="601"/>
      <c r="BM108" s="601"/>
      <c r="BN108" s="601"/>
      <c r="BO108" s="598"/>
      <c r="BP108" s="600"/>
      <c r="BQ108" s="601"/>
      <c r="BR108" s="601"/>
      <c r="BS108" s="601"/>
      <c r="BT108" s="598"/>
      <c r="BU108" s="600"/>
      <c r="BV108" s="601"/>
      <c r="BW108" s="601"/>
      <c r="BX108" s="601"/>
      <c r="BY108" s="598"/>
      <c r="BZ108" s="600"/>
      <c r="CA108" s="601"/>
      <c r="CB108" s="601"/>
      <c r="CC108" s="601"/>
      <c r="CD108" s="598"/>
      <c r="CE108" s="600"/>
      <c r="CF108" s="601"/>
      <c r="CG108" s="601"/>
      <c r="CH108" s="601"/>
      <c r="CI108" s="598"/>
      <c r="CJ108" s="600"/>
      <c r="CK108" s="601"/>
      <c r="CL108" s="601"/>
      <c r="CM108" s="601"/>
      <c r="CN108" s="598"/>
      <c r="CO108" s="600"/>
      <c r="CP108" s="601"/>
      <c r="CQ108" s="601"/>
      <c r="CR108" s="601"/>
      <c r="CS108" s="598"/>
      <c r="CT108" s="600"/>
      <c r="CU108" s="601"/>
      <c r="CV108" s="601"/>
      <c r="CW108" s="601"/>
      <c r="CX108" s="598"/>
      <c r="CY108" s="600"/>
      <c r="CZ108" s="601"/>
      <c r="DA108" s="601"/>
      <c r="DB108" s="601"/>
      <c r="DC108" s="598"/>
      <c r="DD108" s="600"/>
      <c r="DE108" s="601"/>
      <c r="DF108" s="601"/>
      <c r="DG108" s="601"/>
      <c r="DH108" s="598"/>
      <c r="DI108" s="600"/>
      <c r="DJ108" s="601"/>
      <c r="DK108" s="601"/>
      <c r="DL108" s="601"/>
      <c r="DM108" s="598"/>
      <c r="DN108" s="600"/>
      <c r="DO108" s="601"/>
      <c r="DP108" s="601"/>
      <c r="DQ108" s="601"/>
      <c r="DR108" s="598"/>
      <c r="DS108" s="600"/>
      <c r="DT108" s="601"/>
      <c r="DU108" s="601"/>
      <c r="DV108" s="601"/>
      <c r="DW108" s="598"/>
      <c r="DX108" s="600"/>
      <c r="DY108" s="601"/>
      <c r="DZ108" s="601"/>
      <c r="EA108" s="601"/>
      <c r="EB108" s="598"/>
      <c r="EC108" s="600"/>
      <c r="ED108" s="601"/>
      <c r="EE108" s="601"/>
      <c r="EF108" s="601"/>
      <c r="EG108" s="598"/>
      <c r="EH108" s="600"/>
      <c r="EI108" s="601"/>
      <c r="EJ108" s="601"/>
      <c r="EK108" s="601"/>
      <c r="EL108" s="598"/>
      <c r="EM108" s="600"/>
      <c r="EN108" s="601"/>
      <c r="EO108" s="601"/>
      <c r="EP108" s="601"/>
      <c r="EQ108" s="598"/>
      <c r="ER108" s="600"/>
      <c r="ES108" s="601"/>
      <c r="ET108" s="601"/>
      <c r="EU108" s="601"/>
      <c r="EV108" s="598"/>
      <c r="EW108" s="600"/>
      <c r="EX108" s="601"/>
      <c r="EY108" s="601"/>
      <c r="EZ108" s="601"/>
      <c r="FA108" s="598"/>
      <c r="FB108" s="600"/>
      <c r="FC108" s="601"/>
      <c r="FD108" s="601"/>
      <c r="FE108" s="601"/>
      <c r="FF108" s="598"/>
      <c r="FG108" s="600"/>
      <c r="FH108" s="601"/>
      <c r="FI108" s="601"/>
      <c r="FJ108" s="601"/>
      <c r="FK108" s="598"/>
      <c r="FL108" s="600"/>
      <c r="FM108" s="601"/>
      <c r="FN108" s="601"/>
      <c r="FO108" s="601"/>
      <c r="FP108" s="598"/>
      <c r="FQ108" s="600"/>
      <c r="FR108" s="601"/>
      <c r="FS108" s="601"/>
      <c r="FT108" s="601"/>
      <c r="FU108" s="598"/>
      <c r="FV108" s="600"/>
      <c r="FW108" s="601"/>
      <c r="FX108" s="601"/>
      <c r="FY108" s="601"/>
      <c r="FZ108" s="598"/>
      <c r="GA108" s="600"/>
      <c r="GB108" s="601"/>
      <c r="GC108" s="601"/>
      <c r="GD108" s="601"/>
      <c r="GE108" s="598"/>
    </row>
    <row r="109" spans="1:187" s="595" customFormat="1" ht="12.75" customHeight="1" outlineLevel="1">
      <c r="A109" s="594"/>
      <c r="B109" s="598"/>
      <c r="C109" s="600"/>
      <c r="D109" s="601"/>
      <c r="E109" s="601"/>
      <c r="F109" s="601"/>
      <c r="G109" s="598"/>
      <c r="H109" s="600"/>
      <c r="I109" s="601"/>
      <c r="J109" s="601"/>
      <c r="K109" s="601"/>
      <c r="L109" s="598"/>
      <c r="M109" s="600"/>
      <c r="N109" s="601"/>
      <c r="O109" s="601"/>
      <c r="P109" s="601"/>
      <c r="Q109" s="598"/>
      <c r="R109" s="600"/>
      <c r="S109" s="601"/>
      <c r="T109" s="601"/>
      <c r="U109" s="601"/>
      <c r="V109" s="598"/>
      <c r="W109" s="600"/>
      <c r="X109" s="601"/>
      <c r="Y109" s="601"/>
      <c r="Z109" s="601"/>
      <c r="AA109" s="598"/>
      <c r="AB109" s="600"/>
      <c r="AC109" s="601"/>
      <c r="AD109" s="601"/>
      <c r="AE109" s="601"/>
      <c r="AF109" s="598"/>
      <c r="AG109" s="600"/>
      <c r="AH109" s="601"/>
      <c r="AI109" s="601"/>
      <c r="AJ109" s="601"/>
      <c r="AK109" s="598"/>
      <c r="AL109" s="600"/>
      <c r="AM109" s="601"/>
      <c r="AN109" s="601"/>
      <c r="AO109" s="601"/>
      <c r="AP109" s="598"/>
      <c r="AQ109" s="600"/>
      <c r="AR109" s="601"/>
      <c r="AS109" s="601"/>
      <c r="AT109" s="601"/>
      <c r="AU109" s="598"/>
      <c r="AV109" s="600"/>
      <c r="AW109" s="601"/>
      <c r="AX109" s="601"/>
      <c r="AY109" s="601"/>
      <c r="AZ109" s="598"/>
      <c r="BA109" s="600"/>
      <c r="BB109" s="601"/>
      <c r="BC109" s="601"/>
      <c r="BD109" s="601"/>
      <c r="BE109" s="598"/>
      <c r="BF109" s="600"/>
      <c r="BG109" s="601"/>
      <c r="BH109" s="601"/>
      <c r="BI109" s="601"/>
      <c r="BJ109" s="598"/>
      <c r="BK109" s="600"/>
      <c r="BL109" s="601"/>
      <c r="BM109" s="601"/>
      <c r="BN109" s="601"/>
      <c r="BO109" s="598"/>
      <c r="BP109" s="600"/>
      <c r="BQ109" s="601"/>
      <c r="BR109" s="601"/>
      <c r="BS109" s="601"/>
      <c r="BT109" s="598"/>
      <c r="BU109" s="600"/>
      <c r="BV109" s="601"/>
      <c r="BW109" s="601"/>
      <c r="BX109" s="601"/>
      <c r="BY109" s="598"/>
      <c r="BZ109" s="600"/>
      <c r="CA109" s="601"/>
      <c r="CB109" s="601"/>
      <c r="CC109" s="601"/>
      <c r="CD109" s="598"/>
      <c r="CE109" s="600"/>
      <c r="CF109" s="601"/>
      <c r="CG109" s="601"/>
      <c r="CH109" s="601"/>
      <c r="CI109" s="598"/>
      <c r="CJ109" s="600"/>
      <c r="CK109" s="601"/>
      <c r="CL109" s="601"/>
      <c r="CM109" s="601"/>
      <c r="CN109" s="598"/>
      <c r="CO109" s="600"/>
      <c r="CP109" s="601"/>
      <c r="CQ109" s="601"/>
      <c r="CR109" s="601"/>
      <c r="CS109" s="598"/>
      <c r="CT109" s="600"/>
      <c r="CU109" s="601"/>
      <c r="CV109" s="601"/>
      <c r="CW109" s="601"/>
      <c r="CX109" s="598"/>
      <c r="CY109" s="600"/>
      <c r="CZ109" s="601"/>
      <c r="DA109" s="601"/>
      <c r="DB109" s="601"/>
      <c r="DC109" s="598"/>
      <c r="DD109" s="600"/>
      <c r="DE109" s="601"/>
      <c r="DF109" s="601"/>
      <c r="DG109" s="601"/>
      <c r="DH109" s="598"/>
      <c r="DI109" s="600"/>
      <c r="DJ109" s="601"/>
      <c r="DK109" s="601"/>
      <c r="DL109" s="601"/>
      <c r="DM109" s="598"/>
      <c r="DN109" s="600"/>
      <c r="DO109" s="601"/>
      <c r="DP109" s="601"/>
      <c r="DQ109" s="601"/>
      <c r="DR109" s="598"/>
      <c r="DS109" s="600"/>
      <c r="DT109" s="601"/>
      <c r="DU109" s="601"/>
      <c r="DV109" s="601"/>
      <c r="DW109" s="598"/>
      <c r="DX109" s="600"/>
      <c r="DY109" s="601"/>
      <c r="DZ109" s="601"/>
      <c r="EA109" s="601"/>
      <c r="EB109" s="598"/>
      <c r="EC109" s="600"/>
      <c r="ED109" s="601"/>
      <c r="EE109" s="601"/>
      <c r="EF109" s="601"/>
      <c r="EG109" s="598"/>
      <c r="EH109" s="600"/>
      <c r="EI109" s="601"/>
      <c r="EJ109" s="601"/>
      <c r="EK109" s="601"/>
      <c r="EL109" s="598"/>
      <c r="EM109" s="600"/>
      <c r="EN109" s="601"/>
      <c r="EO109" s="601"/>
      <c r="EP109" s="601"/>
      <c r="EQ109" s="598"/>
      <c r="ER109" s="600"/>
      <c r="ES109" s="601"/>
      <c r="ET109" s="601"/>
      <c r="EU109" s="601"/>
      <c r="EV109" s="598"/>
      <c r="EW109" s="600"/>
      <c r="EX109" s="601"/>
      <c r="EY109" s="601"/>
      <c r="EZ109" s="601"/>
      <c r="FA109" s="598"/>
      <c r="FB109" s="600"/>
      <c r="FC109" s="601"/>
      <c r="FD109" s="601"/>
      <c r="FE109" s="601"/>
      <c r="FF109" s="598"/>
      <c r="FG109" s="600"/>
      <c r="FH109" s="601"/>
      <c r="FI109" s="601"/>
      <c r="FJ109" s="601"/>
      <c r="FK109" s="598"/>
      <c r="FL109" s="600"/>
      <c r="FM109" s="601"/>
      <c r="FN109" s="601"/>
      <c r="FO109" s="601"/>
      <c r="FP109" s="598"/>
      <c r="FQ109" s="600"/>
      <c r="FR109" s="601"/>
      <c r="FS109" s="601"/>
      <c r="FT109" s="601"/>
      <c r="FU109" s="598"/>
      <c r="FV109" s="600"/>
      <c r="FW109" s="601"/>
      <c r="FX109" s="601"/>
      <c r="FY109" s="601"/>
      <c r="FZ109" s="598"/>
      <c r="GA109" s="600"/>
      <c r="GB109" s="601"/>
      <c r="GC109" s="601"/>
      <c r="GD109" s="601"/>
      <c r="GE109" s="598"/>
    </row>
    <row r="110" spans="1:187" s="577" customFormat="1" ht="12.75" customHeight="1" outlineLevel="1">
      <c r="A110" s="576"/>
      <c r="C110" s="602"/>
      <c r="D110" s="582"/>
      <c r="E110" s="582"/>
      <c r="F110" s="582"/>
      <c r="G110" s="579"/>
      <c r="H110" s="602"/>
      <c r="I110" s="582"/>
      <c r="J110" s="582"/>
      <c r="K110" s="582"/>
      <c r="L110" s="579"/>
      <c r="M110" s="602"/>
      <c r="N110" s="582"/>
      <c r="O110" s="582"/>
      <c r="P110" s="582"/>
      <c r="Q110" s="579"/>
      <c r="R110" s="602"/>
      <c r="S110" s="582"/>
      <c r="T110" s="582"/>
      <c r="U110" s="582"/>
      <c r="V110" s="579"/>
      <c r="W110" s="602"/>
      <c r="X110" s="582"/>
      <c r="Y110" s="582"/>
      <c r="Z110" s="582"/>
      <c r="AA110" s="579"/>
      <c r="AB110" s="602"/>
      <c r="AC110" s="582"/>
      <c r="AD110" s="582"/>
      <c r="AE110" s="582"/>
      <c r="AF110" s="579"/>
      <c r="AG110" s="602"/>
      <c r="AH110" s="582"/>
      <c r="AI110" s="582"/>
      <c r="AJ110" s="582"/>
      <c r="AK110" s="579"/>
      <c r="AL110" s="602"/>
      <c r="AM110" s="582"/>
      <c r="AN110" s="582"/>
      <c r="AO110" s="582"/>
      <c r="AP110" s="579"/>
      <c r="AQ110" s="602"/>
      <c r="AR110" s="582"/>
      <c r="AS110" s="582"/>
      <c r="AT110" s="582"/>
      <c r="AU110" s="579"/>
      <c r="AV110" s="602"/>
      <c r="AW110" s="582"/>
      <c r="AX110" s="582"/>
      <c r="AY110" s="582"/>
      <c r="AZ110" s="579"/>
      <c r="BA110" s="602"/>
      <c r="BB110" s="582"/>
      <c r="BC110" s="582"/>
      <c r="BD110" s="582"/>
      <c r="BE110" s="579"/>
      <c r="BF110" s="602"/>
      <c r="BG110" s="582"/>
      <c r="BH110" s="582"/>
      <c r="BI110" s="582"/>
      <c r="BJ110" s="579"/>
      <c r="BK110" s="602"/>
      <c r="BL110" s="582"/>
      <c r="BM110" s="582"/>
      <c r="BN110" s="582"/>
      <c r="BO110" s="579"/>
      <c r="BP110" s="602"/>
      <c r="BQ110" s="582"/>
      <c r="BR110" s="582"/>
      <c r="BS110" s="582"/>
      <c r="BT110" s="579"/>
      <c r="BU110" s="602"/>
      <c r="BV110" s="582"/>
      <c r="BW110" s="582"/>
      <c r="BX110" s="582"/>
      <c r="BY110" s="579"/>
      <c r="BZ110" s="602"/>
      <c r="CA110" s="582"/>
      <c r="CB110" s="582"/>
      <c r="CC110" s="582"/>
      <c r="CD110" s="579"/>
      <c r="CE110" s="602"/>
      <c r="CF110" s="582"/>
      <c r="CG110" s="582"/>
      <c r="CH110" s="582"/>
      <c r="CI110" s="579"/>
      <c r="CJ110" s="602"/>
      <c r="CK110" s="582"/>
      <c r="CL110" s="582"/>
      <c r="CM110" s="582"/>
      <c r="CN110" s="579"/>
      <c r="CO110" s="602"/>
      <c r="CP110" s="582"/>
      <c r="CQ110" s="582"/>
      <c r="CR110" s="582"/>
      <c r="CS110" s="579"/>
      <c r="CT110" s="602"/>
      <c r="CU110" s="582"/>
      <c r="CV110" s="582"/>
      <c r="CW110" s="582"/>
      <c r="CX110" s="579"/>
      <c r="CY110" s="602"/>
      <c r="CZ110" s="582"/>
      <c r="DA110" s="582"/>
      <c r="DB110" s="582"/>
      <c r="DC110" s="579"/>
      <c r="DD110" s="602"/>
      <c r="DE110" s="582"/>
      <c r="DF110" s="582"/>
      <c r="DG110" s="582"/>
      <c r="DH110" s="579"/>
      <c r="DI110" s="602"/>
      <c r="DJ110" s="582"/>
      <c r="DK110" s="582"/>
      <c r="DL110" s="582"/>
      <c r="DM110" s="579"/>
      <c r="DN110" s="602"/>
      <c r="DO110" s="582"/>
      <c r="DP110" s="582"/>
      <c r="DQ110" s="582"/>
      <c r="DR110" s="579"/>
      <c r="DS110" s="602"/>
      <c r="DT110" s="582"/>
      <c r="DU110" s="582"/>
      <c r="DV110" s="582"/>
      <c r="DW110" s="579"/>
      <c r="DX110" s="602"/>
      <c r="DY110" s="582"/>
      <c r="DZ110" s="582"/>
      <c r="EA110" s="582"/>
      <c r="EB110" s="579"/>
      <c r="EC110" s="602"/>
      <c r="ED110" s="582"/>
      <c r="EE110" s="582"/>
      <c r="EF110" s="582"/>
      <c r="EG110" s="579"/>
      <c r="EH110" s="602"/>
      <c r="EI110" s="582"/>
      <c r="EJ110" s="582"/>
      <c r="EK110" s="582"/>
      <c r="EL110" s="579"/>
      <c r="EM110" s="602"/>
      <c r="EN110" s="582"/>
      <c r="EO110" s="582"/>
      <c r="EP110" s="582"/>
      <c r="EQ110" s="579"/>
      <c r="ER110" s="602"/>
      <c r="ES110" s="582"/>
      <c r="ET110" s="582"/>
      <c r="EU110" s="582"/>
      <c r="EV110" s="579"/>
      <c r="EW110" s="602"/>
      <c r="EX110" s="582"/>
      <c r="EY110" s="582"/>
      <c r="EZ110" s="582"/>
      <c r="FA110" s="579"/>
      <c r="FB110" s="602"/>
      <c r="FC110" s="582"/>
      <c r="FD110" s="582"/>
      <c r="FE110" s="582"/>
      <c r="FF110" s="579"/>
      <c r="FG110" s="602"/>
      <c r="FH110" s="582"/>
      <c r="FI110" s="582"/>
      <c r="FJ110" s="582"/>
      <c r="FK110" s="579"/>
      <c r="FL110" s="602"/>
      <c r="FM110" s="582"/>
      <c r="FN110" s="582"/>
      <c r="FO110" s="582"/>
      <c r="FP110" s="579"/>
      <c r="FQ110" s="602"/>
      <c r="FR110" s="582"/>
      <c r="FS110" s="582"/>
      <c r="FT110" s="582"/>
      <c r="FU110" s="579"/>
      <c r="FV110" s="602"/>
      <c r="FW110" s="582"/>
      <c r="FX110" s="582"/>
      <c r="FY110" s="582"/>
      <c r="FZ110" s="579"/>
      <c r="GA110" s="602"/>
      <c r="GB110" s="582"/>
      <c r="GC110" s="582"/>
      <c r="GD110" s="582"/>
      <c r="GE110" s="579"/>
    </row>
    <row r="111" spans="1:187" ht="12.75" customHeight="1">
      <c r="C111" s="139"/>
      <c r="D111" s="105"/>
      <c r="E111" s="105"/>
      <c r="F111" s="105"/>
      <c r="G111" s="100"/>
      <c r="H111" s="139"/>
      <c r="I111" s="105"/>
      <c r="J111" s="105"/>
      <c r="K111" s="105"/>
      <c r="L111" s="100"/>
      <c r="M111" s="139"/>
      <c r="N111" s="105"/>
      <c r="O111" s="105"/>
      <c r="P111" s="105"/>
      <c r="Q111" s="100"/>
      <c r="R111" s="139"/>
      <c r="S111" s="105"/>
      <c r="T111" s="105"/>
      <c r="U111" s="105"/>
      <c r="V111" s="100"/>
      <c r="W111" s="139"/>
      <c r="X111" s="105"/>
      <c r="Y111" s="105"/>
      <c r="Z111" s="105"/>
      <c r="AA111" s="100"/>
      <c r="AB111" s="139"/>
      <c r="AC111" s="105"/>
      <c r="AD111" s="105"/>
      <c r="AE111" s="105"/>
      <c r="AF111" s="100"/>
      <c r="AG111" s="139"/>
      <c r="AH111" s="105"/>
      <c r="AI111" s="105"/>
      <c r="AJ111" s="105"/>
      <c r="AK111" s="100"/>
      <c r="AL111" s="139"/>
      <c r="AM111" s="105"/>
      <c r="AN111" s="105"/>
      <c r="AO111" s="105"/>
      <c r="AP111" s="100"/>
      <c r="AQ111" s="139"/>
      <c r="AR111" s="105"/>
      <c r="AS111" s="105"/>
      <c r="AT111" s="105"/>
      <c r="AU111" s="100"/>
      <c r="AV111" s="139"/>
      <c r="AW111" s="105"/>
      <c r="AX111" s="105"/>
      <c r="AY111" s="105"/>
      <c r="AZ111" s="100"/>
      <c r="BA111" s="139"/>
      <c r="BB111" s="105"/>
      <c r="BC111" s="105"/>
      <c r="BD111" s="105"/>
      <c r="BE111" s="100"/>
      <c r="BF111" s="139"/>
      <c r="BG111" s="105"/>
      <c r="BH111" s="105"/>
      <c r="BI111" s="105"/>
      <c r="BJ111" s="100"/>
      <c r="BK111" s="139"/>
      <c r="BL111" s="105"/>
      <c r="BM111" s="105"/>
      <c r="BN111" s="105"/>
      <c r="BO111" s="100"/>
      <c r="BP111" s="139"/>
      <c r="BQ111" s="105"/>
      <c r="BR111" s="105"/>
      <c r="BS111" s="105"/>
      <c r="BT111" s="100"/>
      <c r="BU111" s="139"/>
      <c r="BV111" s="105"/>
      <c r="BW111" s="105"/>
      <c r="BX111" s="105"/>
      <c r="BY111" s="100"/>
      <c r="BZ111" s="139"/>
      <c r="CA111" s="105"/>
      <c r="CB111" s="105"/>
      <c r="CC111" s="105"/>
      <c r="CD111" s="100"/>
      <c r="CE111" s="139"/>
      <c r="CF111" s="105"/>
      <c r="CG111" s="105"/>
      <c r="CH111" s="105"/>
      <c r="CI111" s="100"/>
      <c r="CJ111" s="139"/>
      <c r="CK111" s="105"/>
      <c r="CL111" s="105"/>
      <c r="CM111" s="105"/>
      <c r="CN111" s="100"/>
      <c r="CO111" s="139"/>
      <c r="CP111" s="105"/>
      <c r="CQ111" s="105"/>
      <c r="CR111" s="105"/>
      <c r="CS111" s="100"/>
      <c r="CT111" s="139"/>
      <c r="CU111" s="105"/>
      <c r="CV111" s="105"/>
      <c r="CW111" s="105"/>
      <c r="CX111" s="100"/>
      <c r="CY111" s="139"/>
      <c r="CZ111" s="105"/>
      <c r="DA111" s="105"/>
      <c r="DB111" s="105"/>
      <c r="DC111" s="100"/>
      <c r="DD111" s="139"/>
      <c r="DE111" s="105"/>
      <c r="DF111" s="105"/>
      <c r="DG111" s="105"/>
      <c r="DH111" s="100"/>
      <c r="DI111" s="139"/>
      <c r="DJ111" s="105"/>
      <c r="DK111" s="105"/>
      <c r="DL111" s="105"/>
      <c r="DM111" s="100"/>
      <c r="DN111" s="139"/>
      <c r="DO111" s="105"/>
      <c r="DP111" s="105"/>
      <c r="DQ111" s="105"/>
      <c r="DR111" s="100"/>
      <c r="DS111" s="139"/>
      <c r="DT111" s="105"/>
      <c r="DU111" s="105"/>
      <c r="DV111" s="105"/>
      <c r="DW111" s="100"/>
      <c r="DX111" s="139"/>
      <c r="DY111" s="105"/>
      <c r="DZ111" s="105"/>
      <c r="EA111" s="105"/>
      <c r="EB111" s="100"/>
      <c r="EC111" s="139"/>
      <c r="ED111" s="105"/>
      <c r="EE111" s="105"/>
      <c r="EF111" s="105"/>
      <c r="EG111" s="100"/>
      <c r="EH111" s="139"/>
      <c r="EI111" s="105"/>
      <c r="EJ111" s="105"/>
      <c r="EK111" s="105"/>
      <c r="EL111" s="100"/>
      <c r="EM111" s="139"/>
      <c r="EN111" s="105"/>
      <c r="EO111" s="105"/>
      <c r="EP111" s="105"/>
      <c r="EQ111" s="100"/>
      <c r="ER111" s="139"/>
      <c r="ES111" s="105"/>
      <c r="ET111" s="105"/>
      <c r="EU111" s="105"/>
      <c r="EV111" s="100"/>
      <c r="EW111" s="139"/>
      <c r="EX111" s="105"/>
      <c r="EY111" s="105"/>
      <c r="EZ111" s="105"/>
      <c r="FA111" s="100"/>
      <c r="FB111" s="139"/>
      <c r="FC111" s="105"/>
      <c r="FD111" s="105"/>
      <c r="FE111" s="105"/>
      <c r="FF111" s="100"/>
      <c r="FG111" s="139"/>
      <c r="FH111" s="105"/>
      <c r="FI111" s="105"/>
      <c r="FJ111" s="105"/>
      <c r="FK111" s="100"/>
      <c r="FL111" s="139"/>
      <c r="FM111" s="105"/>
      <c r="FN111" s="105"/>
      <c r="FO111" s="105"/>
      <c r="FP111" s="100"/>
      <c r="FQ111" s="139"/>
      <c r="FR111" s="105"/>
      <c r="FS111" s="105"/>
      <c r="FT111" s="105"/>
      <c r="FU111" s="100"/>
      <c r="FV111" s="139"/>
      <c r="FW111" s="105"/>
      <c r="FX111" s="105"/>
      <c r="FY111" s="105"/>
      <c r="FZ111" s="100"/>
      <c r="GA111" s="139"/>
      <c r="GB111" s="105"/>
      <c r="GC111" s="105"/>
      <c r="GD111" s="105"/>
      <c r="GE111" s="100"/>
    </row>
    <row r="112" spans="1:187" ht="12.75" customHeight="1">
      <c r="B112" s="593"/>
      <c r="G112" s="100"/>
      <c r="L112" s="100"/>
      <c r="Q112" s="100"/>
      <c r="V112" s="100"/>
      <c r="AA112" s="100"/>
      <c r="AF112" s="100"/>
      <c r="AK112" s="100"/>
      <c r="AP112" s="100"/>
      <c r="AU112" s="100"/>
      <c r="AZ112" s="100"/>
      <c r="BE112" s="100"/>
      <c r="BJ112" s="100"/>
      <c r="BO112" s="100"/>
      <c r="BT112" s="100"/>
      <c r="BY112" s="100"/>
      <c r="CD112" s="100"/>
      <c r="CI112" s="100"/>
      <c r="CN112" s="100"/>
      <c r="CS112" s="100"/>
      <c r="CX112" s="100"/>
      <c r="DC112" s="100"/>
      <c r="DH112" s="100"/>
      <c r="DM112" s="100"/>
      <c r="DR112" s="100"/>
      <c r="DW112" s="100"/>
      <c r="EB112" s="100"/>
      <c r="EG112" s="100"/>
      <c r="EL112" s="100"/>
      <c r="EQ112" s="100"/>
      <c r="EV112" s="100"/>
      <c r="FA112" s="100"/>
      <c r="FF112" s="100"/>
      <c r="FK112" s="100"/>
      <c r="FP112" s="100"/>
      <c r="FU112" s="100"/>
      <c r="FZ112" s="100"/>
      <c r="GE112" s="100"/>
    </row>
    <row r="113" spans="1:187" ht="12.75" customHeight="1" outlineLevel="1">
      <c r="B113" s="595"/>
      <c r="G113" s="100"/>
      <c r="L113" s="100"/>
      <c r="Q113" s="100"/>
      <c r="V113" s="100"/>
      <c r="AA113" s="100"/>
      <c r="AF113" s="100"/>
      <c r="AK113" s="100"/>
      <c r="AP113" s="100"/>
      <c r="AU113" s="100"/>
      <c r="AZ113" s="100"/>
      <c r="BE113" s="100"/>
      <c r="BJ113" s="100"/>
      <c r="BO113" s="100"/>
      <c r="BT113" s="100"/>
      <c r="BY113" s="100"/>
      <c r="CD113" s="100"/>
      <c r="CI113" s="100"/>
      <c r="CN113" s="100"/>
      <c r="CS113" s="100"/>
      <c r="CX113" s="100"/>
      <c r="DC113" s="100"/>
      <c r="DH113" s="100"/>
      <c r="DM113" s="100"/>
      <c r="DR113" s="100"/>
      <c r="DW113" s="100"/>
      <c r="EB113" s="100"/>
      <c r="EG113" s="100"/>
      <c r="EL113" s="100"/>
      <c r="EQ113" s="100"/>
      <c r="EV113" s="100"/>
      <c r="FA113" s="100"/>
      <c r="FF113" s="100"/>
      <c r="FK113" s="100"/>
      <c r="FP113" s="100"/>
      <c r="FU113" s="100"/>
      <c r="FZ113" s="100"/>
      <c r="GE113" s="100"/>
    </row>
    <row r="114" spans="1:187" ht="12.75" customHeight="1" outlineLevel="1">
      <c r="B114" s="595"/>
      <c r="C114" s="580"/>
      <c r="D114" s="581"/>
      <c r="E114" s="581"/>
      <c r="F114" s="581"/>
      <c r="G114" s="100"/>
      <c r="H114" s="580"/>
      <c r="I114" s="581"/>
      <c r="J114" s="581"/>
      <c r="K114" s="581"/>
      <c r="L114" s="100"/>
      <c r="M114" s="580"/>
      <c r="N114" s="581"/>
      <c r="O114" s="581"/>
      <c r="P114" s="581"/>
      <c r="Q114" s="100"/>
      <c r="R114" s="580"/>
      <c r="S114" s="581"/>
      <c r="T114" s="581"/>
      <c r="U114" s="581"/>
      <c r="V114" s="100"/>
      <c r="W114" s="580"/>
      <c r="X114" s="581"/>
      <c r="Y114" s="581"/>
      <c r="Z114" s="581"/>
      <c r="AA114" s="100"/>
      <c r="AB114" s="580"/>
      <c r="AC114" s="581"/>
      <c r="AD114" s="581"/>
      <c r="AE114" s="581"/>
      <c r="AF114" s="100"/>
      <c r="AG114" s="580"/>
      <c r="AH114" s="581"/>
      <c r="AI114" s="581"/>
      <c r="AJ114" s="581"/>
      <c r="AK114" s="100"/>
      <c r="AL114" s="580"/>
      <c r="AM114" s="581"/>
      <c r="AN114" s="581"/>
      <c r="AO114" s="581"/>
      <c r="AP114" s="100"/>
      <c r="AQ114" s="580"/>
      <c r="AR114" s="581"/>
      <c r="AS114" s="581"/>
      <c r="AT114" s="581"/>
      <c r="AU114" s="100"/>
      <c r="AV114" s="580"/>
      <c r="AW114" s="581"/>
      <c r="AX114" s="581"/>
      <c r="AY114" s="581"/>
      <c r="AZ114" s="100"/>
      <c r="BA114" s="580"/>
      <c r="BB114" s="581"/>
      <c r="BC114" s="581"/>
      <c r="BD114" s="581"/>
      <c r="BE114" s="100"/>
      <c r="BF114" s="580"/>
      <c r="BG114" s="581"/>
      <c r="BH114" s="581"/>
      <c r="BI114" s="581"/>
      <c r="BJ114" s="100"/>
      <c r="BK114" s="580"/>
      <c r="BL114" s="581"/>
      <c r="BM114" s="581"/>
      <c r="BN114" s="581"/>
      <c r="BO114" s="100"/>
      <c r="BP114" s="580"/>
      <c r="BQ114" s="581"/>
      <c r="BR114" s="581"/>
      <c r="BS114" s="581"/>
      <c r="BT114" s="100"/>
      <c r="BU114" s="580"/>
      <c r="BV114" s="581"/>
      <c r="BW114" s="581"/>
      <c r="BX114" s="581"/>
      <c r="BY114" s="100"/>
      <c r="BZ114" s="580"/>
      <c r="CA114" s="581"/>
      <c r="CB114" s="581"/>
      <c r="CC114" s="581"/>
      <c r="CD114" s="100"/>
      <c r="CE114" s="580"/>
      <c r="CF114" s="581"/>
      <c r="CG114" s="581"/>
      <c r="CH114" s="581"/>
      <c r="CI114" s="100"/>
      <c r="CJ114" s="580"/>
      <c r="CK114" s="581"/>
      <c r="CL114" s="581"/>
      <c r="CM114" s="581"/>
      <c r="CN114" s="100"/>
      <c r="CO114" s="580"/>
      <c r="CP114" s="581"/>
      <c r="CQ114" s="581"/>
      <c r="CR114" s="581"/>
      <c r="CS114" s="100"/>
      <c r="CT114" s="580"/>
      <c r="CU114" s="581"/>
      <c r="CV114" s="581"/>
      <c r="CW114" s="581"/>
      <c r="CX114" s="100"/>
      <c r="CY114" s="580"/>
      <c r="CZ114" s="581"/>
      <c r="DA114" s="581"/>
      <c r="DB114" s="581"/>
      <c r="DC114" s="100"/>
      <c r="DD114" s="580"/>
      <c r="DE114" s="581"/>
      <c r="DF114" s="581"/>
      <c r="DG114" s="581"/>
      <c r="DH114" s="100"/>
      <c r="DI114" s="580"/>
      <c r="DJ114" s="581"/>
      <c r="DK114" s="581"/>
      <c r="DL114" s="581"/>
      <c r="DM114" s="100"/>
      <c r="DN114" s="580"/>
      <c r="DO114" s="581"/>
      <c r="DP114" s="581"/>
      <c r="DQ114" s="581"/>
      <c r="DR114" s="100"/>
      <c r="DS114" s="580"/>
      <c r="DT114" s="581"/>
      <c r="DU114" s="581"/>
      <c r="DV114" s="581"/>
      <c r="DW114" s="100"/>
      <c r="DX114" s="580"/>
      <c r="DY114" s="581"/>
      <c r="DZ114" s="581"/>
      <c r="EA114" s="581"/>
      <c r="EB114" s="100"/>
      <c r="EC114" s="580"/>
      <c r="ED114" s="581"/>
      <c r="EE114" s="581"/>
      <c r="EF114" s="581"/>
      <c r="EG114" s="100"/>
      <c r="EH114" s="580"/>
      <c r="EI114" s="581"/>
      <c r="EJ114" s="581"/>
      <c r="EK114" s="581"/>
      <c r="EL114" s="100"/>
      <c r="EM114" s="580"/>
      <c r="EN114" s="581"/>
      <c r="EO114" s="581"/>
      <c r="EP114" s="581"/>
      <c r="EQ114" s="100"/>
      <c r="ER114" s="580"/>
      <c r="ES114" s="581"/>
      <c r="ET114" s="581"/>
      <c r="EU114" s="581"/>
      <c r="EV114" s="100"/>
      <c r="EW114" s="580"/>
      <c r="EX114" s="581"/>
      <c r="EY114" s="581"/>
      <c r="EZ114" s="581"/>
      <c r="FA114" s="100"/>
      <c r="FB114" s="580"/>
      <c r="FC114" s="581"/>
      <c r="FD114" s="581"/>
      <c r="FE114" s="581"/>
      <c r="FF114" s="100"/>
      <c r="FG114" s="580"/>
      <c r="FH114" s="581"/>
      <c r="FI114" s="581"/>
      <c r="FJ114" s="581"/>
      <c r="FK114" s="100"/>
      <c r="FL114" s="580"/>
      <c r="FM114" s="581"/>
      <c r="FN114" s="581"/>
      <c r="FO114" s="581"/>
      <c r="FP114" s="100"/>
      <c r="FQ114" s="580"/>
      <c r="FR114" s="581"/>
      <c r="FS114" s="581"/>
      <c r="FT114" s="581"/>
      <c r="FU114" s="100"/>
      <c r="FV114" s="580"/>
      <c r="FW114" s="581"/>
      <c r="FX114" s="581"/>
      <c r="FY114" s="581"/>
      <c r="FZ114" s="100"/>
      <c r="GA114" s="580"/>
      <c r="GB114" s="581"/>
      <c r="GC114" s="581"/>
      <c r="GD114" s="581"/>
      <c r="GE114" s="100"/>
    </row>
    <row r="115" spans="1:187" ht="12.75" customHeight="1" outlineLevel="1">
      <c r="B115" s="595"/>
      <c r="C115" s="580"/>
      <c r="D115" s="581"/>
      <c r="E115" s="581"/>
      <c r="F115" s="581"/>
      <c r="G115" s="100"/>
      <c r="H115" s="580"/>
      <c r="I115" s="581"/>
      <c r="J115" s="581"/>
      <c r="K115" s="581"/>
      <c r="L115" s="100"/>
      <c r="M115" s="580"/>
      <c r="N115" s="581"/>
      <c r="O115" s="581"/>
      <c r="P115" s="581"/>
      <c r="Q115" s="100"/>
      <c r="R115" s="580"/>
      <c r="S115" s="581"/>
      <c r="T115" s="581"/>
      <c r="U115" s="581"/>
      <c r="V115" s="100"/>
      <c r="W115" s="580"/>
      <c r="X115" s="581"/>
      <c r="Y115" s="581"/>
      <c r="Z115" s="581"/>
      <c r="AA115" s="100"/>
      <c r="AB115" s="580"/>
      <c r="AC115" s="581"/>
      <c r="AD115" s="581"/>
      <c r="AE115" s="581"/>
      <c r="AF115" s="100"/>
      <c r="AG115" s="580"/>
      <c r="AH115" s="581"/>
      <c r="AI115" s="581"/>
      <c r="AJ115" s="581"/>
      <c r="AK115" s="100"/>
      <c r="AL115" s="580"/>
      <c r="AM115" s="581"/>
      <c r="AN115" s="581"/>
      <c r="AO115" s="581"/>
      <c r="AP115" s="100"/>
      <c r="AQ115" s="580"/>
      <c r="AR115" s="581"/>
      <c r="AS115" s="581"/>
      <c r="AT115" s="581"/>
      <c r="AU115" s="100"/>
      <c r="AV115" s="580"/>
      <c r="AW115" s="581"/>
      <c r="AX115" s="581"/>
      <c r="AY115" s="581"/>
      <c r="AZ115" s="100"/>
      <c r="BA115" s="580"/>
      <c r="BB115" s="581"/>
      <c r="BC115" s="581"/>
      <c r="BD115" s="581"/>
      <c r="BE115" s="100"/>
      <c r="BF115" s="580"/>
      <c r="BG115" s="581"/>
      <c r="BH115" s="581"/>
      <c r="BI115" s="581"/>
      <c r="BJ115" s="100"/>
      <c r="BK115" s="580"/>
      <c r="BL115" s="581"/>
      <c r="BM115" s="581"/>
      <c r="BN115" s="581"/>
      <c r="BO115" s="100"/>
      <c r="BP115" s="580"/>
      <c r="BQ115" s="581"/>
      <c r="BR115" s="581"/>
      <c r="BS115" s="581"/>
      <c r="BT115" s="100"/>
      <c r="BU115" s="580"/>
      <c r="BV115" s="581"/>
      <c r="BW115" s="581"/>
      <c r="BX115" s="581"/>
      <c r="BY115" s="100"/>
      <c r="BZ115" s="580"/>
      <c r="CA115" s="581"/>
      <c r="CB115" s="581"/>
      <c r="CC115" s="581"/>
      <c r="CD115" s="100"/>
      <c r="CE115" s="580"/>
      <c r="CF115" s="581"/>
      <c r="CG115" s="581"/>
      <c r="CH115" s="581"/>
      <c r="CI115" s="100"/>
      <c r="CJ115" s="580"/>
      <c r="CK115" s="581"/>
      <c r="CL115" s="581"/>
      <c r="CM115" s="581"/>
      <c r="CN115" s="100"/>
      <c r="CO115" s="580"/>
      <c r="CP115" s="581"/>
      <c r="CQ115" s="581"/>
      <c r="CR115" s="581"/>
      <c r="CS115" s="100"/>
      <c r="CT115" s="580"/>
      <c r="CU115" s="581"/>
      <c r="CV115" s="581"/>
      <c r="CW115" s="581"/>
      <c r="CX115" s="100"/>
      <c r="CY115" s="580"/>
      <c r="CZ115" s="581"/>
      <c r="DA115" s="581"/>
      <c r="DB115" s="581"/>
      <c r="DC115" s="100"/>
      <c r="DD115" s="580"/>
      <c r="DE115" s="581"/>
      <c r="DF115" s="581"/>
      <c r="DG115" s="581"/>
      <c r="DH115" s="100"/>
      <c r="DI115" s="580"/>
      <c r="DJ115" s="581"/>
      <c r="DK115" s="581"/>
      <c r="DL115" s="581"/>
      <c r="DM115" s="100"/>
      <c r="DN115" s="580"/>
      <c r="DO115" s="581"/>
      <c r="DP115" s="581"/>
      <c r="DQ115" s="581"/>
      <c r="DR115" s="100"/>
      <c r="DS115" s="580"/>
      <c r="DT115" s="581"/>
      <c r="DU115" s="581"/>
      <c r="DV115" s="581"/>
      <c r="DW115" s="100"/>
      <c r="DX115" s="580"/>
      <c r="DY115" s="581"/>
      <c r="DZ115" s="581"/>
      <c r="EA115" s="581"/>
      <c r="EB115" s="100"/>
      <c r="EC115" s="580"/>
      <c r="ED115" s="581"/>
      <c r="EE115" s="581"/>
      <c r="EF115" s="581"/>
      <c r="EG115" s="100"/>
      <c r="EH115" s="580"/>
      <c r="EI115" s="581"/>
      <c r="EJ115" s="581"/>
      <c r="EK115" s="581"/>
      <c r="EL115" s="100"/>
      <c r="EM115" s="580"/>
      <c r="EN115" s="581"/>
      <c r="EO115" s="581"/>
      <c r="EP115" s="581"/>
      <c r="EQ115" s="100"/>
      <c r="ER115" s="580"/>
      <c r="ES115" s="581"/>
      <c r="ET115" s="581"/>
      <c r="EU115" s="581"/>
      <c r="EV115" s="100"/>
      <c r="EW115" s="580"/>
      <c r="EX115" s="581"/>
      <c r="EY115" s="581"/>
      <c r="EZ115" s="581"/>
      <c r="FA115" s="100"/>
      <c r="FB115" s="580"/>
      <c r="FC115" s="581"/>
      <c r="FD115" s="581"/>
      <c r="FE115" s="581"/>
      <c r="FF115" s="100"/>
      <c r="FG115" s="580"/>
      <c r="FH115" s="581"/>
      <c r="FI115" s="581"/>
      <c r="FJ115" s="581"/>
      <c r="FK115" s="100"/>
      <c r="FL115" s="580"/>
      <c r="FM115" s="581"/>
      <c r="FN115" s="581"/>
      <c r="FO115" s="581"/>
      <c r="FP115" s="100"/>
      <c r="FQ115" s="580"/>
      <c r="FR115" s="581"/>
      <c r="FS115" s="581"/>
      <c r="FT115" s="581"/>
      <c r="FU115" s="100"/>
      <c r="FV115" s="580"/>
      <c r="FW115" s="581"/>
      <c r="FX115" s="581"/>
      <c r="FY115" s="581"/>
      <c r="FZ115" s="100"/>
      <c r="GA115" s="580"/>
      <c r="GB115" s="581"/>
      <c r="GC115" s="581"/>
      <c r="GD115" s="581"/>
      <c r="GE115" s="100"/>
    </row>
    <row r="116" spans="1:187" ht="12.75" customHeight="1" outlineLevel="1">
      <c r="B116" s="595"/>
      <c r="C116" s="580"/>
      <c r="D116" s="581"/>
      <c r="E116" s="581"/>
      <c r="F116" s="581"/>
      <c r="G116" s="100"/>
      <c r="H116" s="580"/>
      <c r="I116" s="581"/>
      <c r="J116" s="581"/>
      <c r="K116" s="581"/>
      <c r="L116" s="100"/>
      <c r="M116" s="580"/>
      <c r="N116" s="581"/>
      <c r="O116" s="581"/>
      <c r="P116" s="581"/>
      <c r="Q116" s="100"/>
      <c r="R116" s="580"/>
      <c r="S116" s="581"/>
      <c r="T116" s="581"/>
      <c r="U116" s="581"/>
      <c r="V116" s="100"/>
      <c r="W116" s="580"/>
      <c r="X116" s="581"/>
      <c r="Y116" s="581"/>
      <c r="Z116" s="581"/>
      <c r="AA116" s="100"/>
      <c r="AB116" s="580"/>
      <c r="AC116" s="581"/>
      <c r="AD116" s="581"/>
      <c r="AE116" s="581"/>
      <c r="AF116" s="100"/>
      <c r="AG116" s="580"/>
      <c r="AH116" s="581"/>
      <c r="AI116" s="581"/>
      <c r="AJ116" s="581"/>
      <c r="AK116" s="100"/>
      <c r="AL116" s="580"/>
      <c r="AM116" s="581"/>
      <c r="AN116" s="581"/>
      <c r="AO116" s="581"/>
      <c r="AP116" s="100"/>
      <c r="AQ116" s="580"/>
      <c r="AR116" s="581"/>
      <c r="AS116" s="581"/>
      <c r="AT116" s="581"/>
      <c r="AU116" s="100"/>
      <c r="AV116" s="580"/>
      <c r="AW116" s="581"/>
      <c r="AX116" s="581"/>
      <c r="AY116" s="581"/>
      <c r="AZ116" s="100"/>
      <c r="BA116" s="580"/>
      <c r="BB116" s="581"/>
      <c r="BC116" s="581"/>
      <c r="BD116" s="581"/>
      <c r="BE116" s="100"/>
      <c r="BF116" s="580"/>
      <c r="BG116" s="581"/>
      <c r="BH116" s="581"/>
      <c r="BI116" s="581"/>
      <c r="BJ116" s="100"/>
      <c r="BK116" s="580"/>
      <c r="BL116" s="581"/>
      <c r="BM116" s="581"/>
      <c r="BN116" s="581"/>
      <c r="BO116" s="100"/>
      <c r="BP116" s="580"/>
      <c r="BQ116" s="581"/>
      <c r="BR116" s="581"/>
      <c r="BS116" s="581"/>
      <c r="BT116" s="100"/>
      <c r="BU116" s="580"/>
      <c r="BV116" s="581"/>
      <c r="BW116" s="581"/>
      <c r="BX116" s="581"/>
      <c r="BY116" s="100"/>
      <c r="BZ116" s="580"/>
      <c r="CA116" s="581"/>
      <c r="CB116" s="581"/>
      <c r="CC116" s="581"/>
      <c r="CD116" s="100"/>
      <c r="CE116" s="580"/>
      <c r="CF116" s="581"/>
      <c r="CG116" s="581"/>
      <c r="CH116" s="581"/>
      <c r="CI116" s="100"/>
      <c r="CJ116" s="580"/>
      <c r="CK116" s="581"/>
      <c r="CL116" s="581"/>
      <c r="CM116" s="581"/>
      <c r="CN116" s="100"/>
      <c r="CO116" s="580"/>
      <c r="CP116" s="581"/>
      <c r="CQ116" s="581"/>
      <c r="CR116" s="581"/>
      <c r="CS116" s="100"/>
      <c r="CT116" s="580"/>
      <c r="CU116" s="581"/>
      <c r="CV116" s="581"/>
      <c r="CW116" s="581"/>
      <c r="CX116" s="100"/>
      <c r="CY116" s="580"/>
      <c r="CZ116" s="581"/>
      <c r="DA116" s="581"/>
      <c r="DB116" s="581"/>
      <c r="DC116" s="100"/>
      <c r="DD116" s="580"/>
      <c r="DE116" s="581"/>
      <c r="DF116" s="581"/>
      <c r="DG116" s="581"/>
      <c r="DH116" s="100"/>
      <c r="DI116" s="580"/>
      <c r="DJ116" s="581"/>
      <c r="DK116" s="581"/>
      <c r="DL116" s="581"/>
      <c r="DM116" s="100"/>
      <c r="DN116" s="580"/>
      <c r="DO116" s="581"/>
      <c r="DP116" s="581"/>
      <c r="DQ116" s="581"/>
      <c r="DR116" s="100"/>
      <c r="DS116" s="580"/>
      <c r="DT116" s="581"/>
      <c r="DU116" s="581"/>
      <c r="DV116" s="581"/>
      <c r="DW116" s="100"/>
      <c r="DX116" s="580"/>
      <c r="DY116" s="581"/>
      <c r="DZ116" s="581"/>
      <c r="EA116" s="581"/>
      <c r="EB116" s="100"/>
      <c r="EC116" s="580"/>
      <c r="ED116" s="581"/>
      <c r="EE116" s="581"/>
      <c r="EF116" s="581"/>
      <c r="EG116" s="100"/>
      <c r="EH116" s="580"/>
      <c r="EI116" s="581"/>
      <c r="EJ116" s="581"/>
      <c r="EK116" s="581"/>
      <c r="EL116" s="100"/>
      <c r="EM116" s="580"/>
      <c r="EN116" s="581"/>
      <c r="EO116" s="581"/>
      <c r="EP116" s="581"/>
      <c r="EQ116" s="100"/>
      <c r="ER116" s="580"/>
      <c r="ES116" s="581"/>
      <c r="ET116" s="581"/>
      <c r="EU116" s="581"/>
      <c r="EV116" s="100"/>
      <c r="EW116" s="580"/>
      <c r="EX116" s="581"/>
      <c r="EY116" s="581"/>
      <c r="EZ116" s="581"/>
      <c r="FA116" s="100"/>
      <c r="FB116" s="580"/>
      <c r="FC116" s="581"/>
      <c r="FD116" s="581"/>
      <c r="FE116" s="581"/>
      <c r="FF116" s="100"/>
      <c r="FG116" s="580"/>
      <c r="FH116" s="581"/>
      <c r="FI116" s="581"/>
      <c r="FJ116" s="581"/>
      <c r="FK116" s="100"/>
      <c r="FL116" s="580"/>
      <c r="FM116" s="581"/>
      <c r="FN116" s="581"/>
      <c r="FO116" s="581"/>
      <c r="FP116" s="100"/>
      <c r="FQ116" s="580"/>
      <c r="FR116" s="581"/>
      <c r="FS116" s="581"/>
      <c r="FT116" s="581"/>
      <c r="FU116" s="100"/>
      <c r="FV116" s="580"/>
      <c r="FW116" s="581"/>
      <c r="FX116" s="581"/>
      <c r="FY116" s="581"/>
      <c r="FZ116" s="100"/>
      <c r="GA116" s="580"/>
      <c r="GB116" s="581"/>
      <c r="GC116" s="581"/>
      <c r="GD116" s="581"/>
      <c r="GE116" s="100"/>
    </row>
    <row r="117" spans="1:187" ht="12.75" customHeight="1" outlineLevel="1">
      <c r="B117" s="595"/>
      <c r="C117" s="580"/>
      <c r="D117" s="581"/>
      <c r="E117" s="581"/>
      <c r="F117" s="581"/>
      <c r="G117" s="100"/>
      <c r="H117" s="580"/>
      <c r="I117" s="581"/>
      <c r="J117" s="581"/>
      <c r="K117" s="581"/>
      <c r="L117" s="100"/>
      <c r="M117" s="580"/>
      <c r="N117" s="581"/>
      <c r="O117" s="581"/>
      <c r="P117" s="581"/>
      <c r="Q117" s="100"/>
      <c r="R117" s="580"/>
      <c r="S117" s="581"/>
      <c r="T117" s="581"/>
      <c r="U117" s="581"/>
      <c r="V117" s="100"/>
      <c r="W117" s="580"/>
      <c r="X117" s="581"/>
      <c r="Y117" s="581"/>
      <c r="Z117" s="581"/>
      <c r="AA117" s="100"/>
      <c r="AB117" s="580"/>
      <c r="AC117" s="581"/>
      <c r="AD117" s="581"/>
      <c r="AE117" s="581"/>
      <c r="AF117" s="100"/>
      <c r="AG117" s="580"/>
      <c r="AH117" s="581"/>
      <c r="AI117" s="581"/>
      <c r="AJ117" s="581"/>
      <c r="AK117" s="100"/>
      <c r="AL117" s="580"/>
      <c r="AM117" s="581"/>
      <c r="AN117" s="581"/>
      <c r="AO117" s="581"/>
      <c r="AP117" s="100"/>
      <c r="AQ117" s="580"/>
      <c r="AR117" s="581"/>
      <c r="AS117" s="581"/>
      <c r="AT117" s="581"/>
      <c r="AU117" s="100"/>
      <c r="AV117" s="580"/>
      <c r="AW117" s="581"/>
      <c r="AX117" s="581"/>
      <c r="AY117" s="581"/>
      <c r="AZ117" s="100"/>
      <c r="BA117" s="580"/>
      <c r="BB117" s="581"/>
      <c r="BC117" s="581"/>
      <c r="BD117" s="581"/>
      <c r="BE117" s="100"/>
      <c r="BF117" s="580"/>
      <c r="BG117" s="581"/>
      <c r="BH117" s="581"/>
      <c r="BI117" s="581"/>
      <c r="BJ117" s="100"/>
      <c r="BK117" s="580"/>
      <c r="BL117" s="581"/>
      <c r="BM117" s="581"/>
      <c r="BN117" s="581"/>
      <c r="BO117" s="100"/>
      <c r="BP117" s="580"/>
      <c r="BQ117" s="581"/>
      <c r="BR117" s="581"/>
      <c r="BS117" s="581"/>
      <c r="BT117" s="100"/>
      <c r="BU117" s="580"/>
      <c r="BV117" s="581"/>
      <c r="BW117" s="581"/>
      <c r="BX117" s="581"/>
      <c r="BY117" s="100"/>
      <c r="BZ117" s="580"/>
      <c r="CA117" s="581"/>
      <c r="CB117" s="581"/>
      <c r="CC117" s="581"/>
      <c r="CD117" s="100"/>
      <c r="CE117" s="580"/>
      <c r="CF117" s="581"/>
      <c r="CG117" s="581"/>
      <c r="CH117" s="581"/>
      <c r="CI117" s="100"/>
      <c r="CJ117" s="580"/>
      <c r="CK117" s="581"/>
      <c r="CL117" s="581"/>
      <c r="CM117" s="581"/>
      <c r="CN117" s="100"/>
      <c r="CO117" s="580"/>
      <c r="CP117" s="581"/>
      <c r="CQ117" s="581"/>
      <c r="CR117" s="581"/>
      <c r="CS117" s="100"/>
      <c r="CT117" s="580"/>
      <c r="CU117" s="581"/>
      <c r="CV117" s="581"/>
      <c r="CW117" s="581"/>
      <c r="CX117" s="100"/>
      <c r="CY117" s="580"/>
      <c r="CZ117" s="581"/>
      <c r="DA117" s="581"/>
      <c r="DB117" s="581"/>
      <c r="DC117" s="100"/>
      <c r="DD117" s="580"/>
      <c r="DE117" s="581"/>
      <c r="DF117" s="581"/>
      <c r="DG117" s="581"/>
      <c r="DH117" s="100"/>
      <c r="DI117" s="580"/>
      <c r="DJ117" s="581"/>
      <c r="DK117" s="581"/>
      <c r="DL117" s="581"/>
      <c r="DM117" s="100"/>
      <c r="DN117" s="580"/>
      <c r="DO117" s="581"/>
      <c r="DP117" s="581"/>
      <c r="DQ117" s="581"/>
      <c r="DR117" s="100"/>
      <c r="DS117" s="580"/>
      <c r="DT117" s="581"/>
      <c r="DU117" s="581"/>
      <c r="DV117" s="581"/>
      <c r="DW117" s="100"/>
      <c r="DX117" s="580"/>
      <c r="DY117" s="581"/>
      <c r="DZ117" s="581"/>
      <c r="EA117" s="581"/>
      <c r="EB117" s="100"/>
      <c r="EC117" s="580"/>
      <c r="ED117" s="581"/>
      <c r="EE117" s="581"/>
      <c r="EF117" s="581"/>
      <c r="EG117" s="100"/>
      <c r="EH117" s="580"/>
      <c r="EI117" s="581"/>
      <c r="EJ117" s="581"/>
      <c r="EK117" s="581"/>
      <c r="EL117" s="100"/>
      <c r="EM117" s="580"/>
      <c r="EN117" s="581"/>
      <c r="EO117" s="581"/>
      <c r="EP117" s="581"/>
      <c r="EQ117" s="100"/>
      <c r="ER117" s="580"/>
      <c r="ES117" s="581"/>
      <c r="ET117" s="581"/>
      <c r="EU117" s="581"/>
      <c r="EV117" s="100"/>
      <c r="EW117" s="580"/>
      <c r="EX117" s="581"/>
      <c r="EY117" s="581"/>
      <c r="EZ117" s="581"/>
      <c r="FA117" s="100"/>
      <c r="FB117" s="580"/>
      <c r="FC117" s="581"/>
      <c r="FD117" s="581"/>
      <c r="FE117" s="581"/>
      <c r="FF117" s="100"/>
      <c r="FG117" s="580"/>
      <c r="FH117" s="581"/>
      <c r="FI117" s="581"/>
      <c r="FJ117" s="581"/>
      <c r="FK117" s="100"/>
      <c r="FL117" s="580"/>
      <c r="FM117" s="581"/>
      <c r="FN117" s="581"/>
      <c r="FO117" s="581"/>
      <c r="FP117" s="100"/>
      <c r="FQ117" s="580"/>
      <c r="FR117" s="581"/>
      <c r="FS117" s="581"/>
      <c r="FT117" s="581"/>
      <c r="FU117" s="100"/>
      <c r="FV117" s="580"/>
      <c r="FW117" s="581"/>
      <c r="FX117" s="581"/>
      <c r="FY117" s="581"/>
      <c r="FZ117" s="100"/>
      <c r="GA117" s="580"/>
      <c r="GB117" s="581"/>
      <c r="GC117" s="581"/>
      <c r="GD117" s="581"/>
      <c r="GE117" s="100"/>
    </row>
    <row r="118" spans="1:187" ht="12.75" customHeight="1" outlineLevel="1">
      <c r="B118" s="595"/>
      <c r="C118" s="580"/>
      <c r="D118" s="581"/>
      <c r="E118" s="581"/>
      <c r="F118" s="581"/>
      <c r="G118" s="100"/>
      <c r="H118" s="580"/>
      <c r="I118" s="581"/>
      <c r="J118" s="581"/>
      <c r="K118" s="581"/>
      <c r="L118" s="100"/>
      <c r="M118" s="580"/>
      <c r="N118" s="581"/>
      <c r="O118" s="581"/>
      <c r="P118" s="581"/>
      <c r="Q118" s="100"/>
      <c r="R118" s="580"/>
      <c r="S118" s="581"/>
      <c r="T118" s="581"/>
      <c r="U118" s="581"/>
      <c r="V118" s="100"/>
      <c r="W118" s="580"/>
      <c r="X118" s="581"/>
      <c r="Y118" s="581"/>
      <c r="Z118" s="581"/>
      <c r="AA118" s="100"/>
      <c r="AB118" s="580"/>
      <c r="AC118" s="581"/>
      <c r="AD118" s="581"/>
      <c r="AE118" s="581"/>
      <c r="AF118" s="100"/>
      <c r="AG118" s="580"/>
      <c r="AH118" s="581"/>
      <c r="AI118" s="581"/>
      <c r="AJ118" s="581"/>
      <c r="AK118" s="100"/>
      <c r="AL118" s="580"/>
      <c r="AM118" s="581"/>
      <c r="AN118" s="581"/>
      <c r="AO118" s="581"/>
      <c r="AP118" s="100"/>
      <c r="AQ118" s="580"/>
      <c r="AR118" s="581"/>
      <c r="AS118" s="581"/>
      <c r="AT118" s="581"/>
      <c r="AU118" s="100"/>
      <c r="AV118" s="580"/>
      <c r="AW118" s="581"/>
      <c r="AX118" s="581"/>
      <c r="AY118" s="581"/>
      <c r="AZ118" s="100"/>
      <c r="BA118" s="580"/>
      <c r="BB118" s="581"/>
      <c r="BC118" s="581"/>
      <c r="BD118" s="581"/>
      <c r="BE118" s="100"/>
      <c r="BF118" s="580"/>
      <c r="BG118" s="581"/>
      <c r="BH118" s="581"/>
      <c r="BI118" s="581"/>
      <c r="BJ118" s="100"/>
      <c r="BK118" s="580"/>
      <c r="BL118" s="581"/>
      <c r="BM118" s="581"/>
      <c r="BN118" s="581"/>
      <c r="BO118" s="100"/>
      <c r="BP118" s="580"/>
      <c r="BQ118" s="581"/>
      <c r="BR118" s="581"/>
      <c r="BS118" s="581"/>
      <c r="BT118" s="100"/>
      <c r="BU118" s="580"/>
      <c r="BV118" s="581"/>
      <c r="BW118" s="581"/>
      <c r="BX118" s="581"/>
      <c r="BY118" s="100"/>
      <c r="BZ118" s="580"/>
      <c r="CA118" s="581"/>
      <c r="CB118" s="581"/>
      <c r="CC118" s="581"/>
      <c r="CD118" s="100"/>
      <c r="CE118" s="580"/>
      <c r="CF118" s="581"/>
      <c r="CG118" s="581"/>
      <c r="CH118" s="581"/>
      <c r="CI118" s="100"/>
      <c r="CJ118" s="580"/>
      <c r="CK118" s="581"/>
      <c r="CL118" s="581"/>
      <c r="CM118" s="581"/>
      <c r="CN118" s="100"/>
      <c r="CO118" s="580"/>
      <c r="CP118" s="581"/>
      <c r="CQ118" s="581"/>
      <c r="CR118" s="581"/>
      <c r="CS118" s="100"/>
      <c r="CT118" s="580"/>
      <c r="CU118" s="581"/>
      <c r="CV118" s="581"/>
      <c r="CW118" s="581"/>
      <c r="CX118" s="100"/>
      <c r="CY118" s="580"/>
      <c r="CZ118" s="581"/>
      <c r="DA118" s="581"/>
      <c r="DB118" s="581"/>
      <c r="DC118" s="100"/>
      <c r="DD118" s="580"/>
      <c r="DE118" s="581"/>
      <c r="DF118" s="581"/>
      <c r="DG118" s="581"/>
      <c r="DH118" s="100"/>
      <c r="DI118" s="580"/>
      <c r="DJ118" s="581"/>
      <c r="DK118" s="581"/>
      <c r="DL118" s="581"/>
      <c r="DM118" s="100"/>
      <c r="DN118" s="580"/>
      <c r="DO118" s="581"/>
      <c r="DP118" s="581"/>
      <c r="DQ118" s="581"/>
      <c r="DR118" s="100"/>
      <c r="DS118" s="580"/>
      <c r="DT118" s="581"/>
      <c r="DU118" s="581"/>
      <c r="DV118" s="581"/>
      <c r="DW118" s="100"/>
      <c r="DX118" s="580"/>
      <c r="DY118" s="581"/>
      <c r="DZ118" s="581"/>
      <c r="EA118" s="581"/>
      <c r="EB118" s="100"/>
      <c r="EC118" s="580"/>
      <c r="ED118" s="581"/>
      <c r="EE118" s="581"/>
      <c r="EF118" s="581"/>
      <c r="EG118" s="100"/>
      <c r="EH118" s="580"/>
      <c r="EI118" s="581"/>
      <c r="EJ118" s="581"/>
      <c r="EK118" s="581"/>
      <c r="EL118" s="100"/>
      <c r="EM118" s="580"/>
      <c r="EN118" s="581"/>
      <c r="EO118" s="581"/>
      <c r="EP118" s="581"/>
      <c r="EQ118" s="100"/>
      <c r="ER118" s="580"/>
      <c r="ES118" s="581"/>
      <c r="ET118" s="581"/>
      <c r="EU118" s="581"/>
      <c r="EV118" s="100"/>
      <c r="EW118" s="580"/>
      <c r="EX118" s="581"/>
      <c r="EY118" s="581"/>
      <c r="EZ118" s="581"/>
      <c r="FA118" s="100"/>
      <c r="FB118" s="580"/>
      <c r="FC118" s="581"/>
      <c r="FD118" s="581"/>
      <c r="FE118" s="581"/>
      <c r="FF118" s="100"/>
      <c r="FG118" s="580"/>
      <c r="FH118" s="581"/>
      <c r="FI118" s="581"/>
      <c r="FJ118" s="581"/>
      <c r="FK118" s="100"/>
      <c r="FL118" s="580"/>
      <c r="FM118" s="581"/>
      <c r="FN118" s="581"/>
      <c r="FO118" s="581"/>
      <c r="FP118" s="100"/>
      <c r="FQ118" s="580"/>
      <c r="FR118" s="581"/>
      <c r="FS118" s="581"/>
      <c r="FT118" s="581"/>
      <c r="FU118" s="100"/>
      <c r="FV118" s="580"/>
      <c r="FW118" s="581"/>
      <c r="FX118" s="581"/>
      <c r="FY118" s="581"/>
      <c r="FZ118" s="100"/>
      <c r="GA118" s="580"/>
      <c r="GB118" s="581"/>
      <c r="GC118" s="581"/>
      <c r="GD118" s="581"/>
      <c r="GE118" s="100"/>
    </row>
    <row r="119" spans="1:187" ht="12.75" customHeight="1" outlineLevel="1">
      <c r="B119" s="595"/>
      <c r="C119" s="580"/>
      <c r="D119" s="581"/>
      <c r="E119" s="581"/>
      <c r="F119" s="581"/>
      <c r="G119" s="100"/>
      <c r="H119" s="580"/>
      <c r="I119" s="581"/>
      <c r="J119" s="581"/>
      <c r="K119" s="581"/>
      <c r="L119" s="100"/>
      <c r="M119" s="580"/>
      <c r="N119" s="581"/>
      <c r="O119" s="581"/>
      <c r="P119" s="581"/>
      <c r="Q119" s="100"/>
      <c r="R119" s="580"/>
      <c r="S119" s="581"/>
      <c r="T119" s="581"/>
      <c r="U119" s="581"/>
      <c r="V119" s="100"/>
      <c r="W119" s="580"/>
      <c r="X119" s="581"/>
      <c r="Y119" s="581"/>
      <c r="Z119" s="581"/>
      <c r="AA119" s="100"/>
      <c r="AB119" s="580"/>
      <c r="AC119" s="581"/>
      <c r="AD119" s="581"/>
      <c r="AE119" s="581"/>
      <c r="AF119" s="100"/>
      <c r="AG119" s="580"/>
      <c r="AH119" s="581"/>
      <c r="AI119" s="581"/>
      <c r="AJ119" s="581"/>
      <c r="AK119" s="100"/>
      <c r="AL119" s="580"/>
      <c r="AM119" s="581"/>
      <c r="AN119" s="581"/>
      <c r="AO119" s="581"/>
      <c r="AP119" s="100"/>
      <c r="AQ119" s="580"/>
      <c r="AR119" s="581"/>
      <c r="AS119" s="581"/>
      <c r="AT119" s="581"/>
      <c r="AU119" s="100"/>
      <c r="AV119" s="580"/>
      <c r="AW119" s="581"/>
      <c r="AX119" s="581"/>
      <c r="AY119" s="581"/>
      <c r="AZ119" s="100"/>
      <c r="BA119" s="580"/>
      <c r="BB119" s="581"/>
      <c r="BC119" s="581"/>
      <c r="BD119" s="581"/>
      <c r="BE119" s="100"/>
      <c r="BF119" s="580"/>
      <c r="BG119" s="581"/>
      <c r="BH119" s="581"/>
      <c r="BI119" s="581"/>
      <c r="BJ119" s="100"/>
      <c r="BK119" s="580"/>
      <c r="BL119" s="581"/>
      <c r="BM119" s="581"/>
      <c r="BN119" s="581"/>
      <c r="BO119" s="100"/>
      <c r="BP119" s="580"/>
      <c r="BQ119" s="581"/>
      <c r="BR119" s="581"/>
      <c r="BS119" s="581"/>
      <c r="BT119" s="100"/>
      <c r="BU119" s="580"/>
      <c r="BV119" s="581"/>
      <c r="BW119" s="581"/>
      <c r="BX119" s="581"/>
      <c r="BY119" s="100"/>
      <c r="BZ119" s="580"/>
      <c r="CA119" s="581"/>
      <c r="CB119" s="581"/>
      <c r="CC119" s="581"/>
      <c r="CD119" s="100"/>
      <c r="CE119" s="580"/>
      <c r="CF119" s="581"/>
      <c r="CG119" s="581"/>
      <c r="CH119" s="581"/>
      <c r="CI119" s="100"/>
      <c r="CJ119" s="580"/>
      <c r="CK119" s="581"/>
      <c r="CL119" s="581"/>
      <c r="CM119" s="581"/>
      <c r="CN119" s="100"/>
      <c r="CO119" s="580"/>
      <c r="CP119" s="581"/>
      <c r="CQ119" s="581"/>
      <c r="CR119" s="581"/>
      <c r="CS119" s="100"/>
      <c r="CT119" s="580"/>
      <c r="CU119" s="581"/>
      <c r="CV119" s="581"/>
      <c r="CW119" s="581"/>
      <c r="CX119" s="100"/>
      <c r="CY119" s="580"/>
      <c r="CZ119" s="581"/>
      <c r="DA119" s="581"/>
      <c r="DB119" s="581"/>
      <c r="DC119" s="100"/>
      <c r="DD119" s="580"/>
      <c r="DE119" s="581"/>
      <c r="DF119" s="581"/>
      <c r="DG119" s="581"/>
      <c r="DH119" s="100"/>
      <c r="DI119" s="580"/>
      <c r="DJ119" s="581"/>
      <c r="DK119" s="581"/>
      <c r="DL119" s="581"/>
      <c r="DM119" s="100"/>
      <c r="DN119" s="580"/>
      <c r="DO119" s="581"/>
      <c r="DP119" s="581"/>
      <c r="DQ119" s="581"/>
      <c r="DR119" s="100"/>
      <c r="DS119" s="580"/>
      <c r="DT119" s="581"/>
      <c r="DU119" s="581"/>
      <c r="DV119" s="581"/>
      <c r="DW119" s="100"/>
      <c r="DX119" s="580"/>
      <c r="DY119" s="581"/>
      <c r="DZ119" s="581"/>
      <c r="EA119" s="581"/>
      <c r="EB119" s="100"/>
      <c r="EC119" s="580"/>
      <c r="ED119" s="581"/>
      <c r="EE119" s="581"/>
      <c r="EF119" s="581"/>
      <c r="EG119" s="100"/>
      <c r="EH119" s="580"/>
      <c r="EI119" s="581"/>
      <c r="EJ119" s="581"/>
      <c r="EK119" s="581"/>
      <c r="EL119" s="100"/>
      <c r="EM119" s="580"/>
      <c r="EN119" s="581"/>
      <c r="EO119" s="581"/>
      <c r="EP119" s="581"/>
      <c r="EQ119" s="100"/>
      <c r="ER119" s="580"/>
      <c r="ES119" s="581"/>
      <c r="ET119" s="581"/>
      <c r="EU119" s="581"/>
      <c r="EV119" s="100"/>
      <c r="EW119" s="580"/>
      <c r="EX119" s="581"/>
      <c r="EY119" s="581"/>
      <c r="EZ119" s="581"/>
      <c r="FA119" s="100"/>
      <c r="FB119" s="580"/>
      <c r="FC119" s="581"/>
      <c r="FD119" s="581"/>
      <c r="FE119" s="581"/>
      <c r="FF119" s="100"/>
      <c r="FG119" s="580"/>
      <c r="FH119" s="581"/>
      <c r="FI119" s="581"/>
      <c r="FJ119" s="581"/>
      <c r="FK119" s="100"/>
      <c r="FL119" s="580"/>
      <c r="FM119" s="581"/>
      <c r="FN119" s="581"/>
      <c r="FO119" s="581"/>
      <c r="FP119" s="100"/>
      <c r="FQ119" s="580"/>
      <c r="FR119" s="581"/>
      <c r="FS119" s="581"/>
      <c r="FT119" s="581"/>
      <c r="FU119" s="100"/>
      <c r="FV119" s="580"/>
      <c r="FW119" s="581"/>
      <c r="FX119" s="581"/>
      <c r="FY119" s="581"/>
      <c r="FZ119" s="100"/>
      <c r="GA119" s="580"/>
      <c r="GB119" s="581"/>
      <c r="GC119" s="581"/>
      <c r="GD119" s="581"/>
      <c r="GE119" s="100"/>
    </row>
    <row r="120" spans="1:187" ht="12.75" customHeight="1" outlineLevel="1">
      <c r="B120" s="595"/>
      <c r="C120" s="580"/>
      <c r="D120" s="581"/>
      <c r="E120" s="581"/>
      <c r="F120" s="581"/>
      <c r="G120" s="100"/>
      <c r="H120" s="580"/>
      <c r="I120" s="581"/>
      <c r="J120" s="581"/>
      <c r="K120" s="581"/>
      <c r="L120" s="100"/>
      <c r="M120" s="580"/>
      <c r="N120" s="581"/>
      <c r="O120" s="581"/>
      <c r="P120" s="581"/>
      <c r="Q120" s="100"/>
      <c r="R120" s="580"/>
      <c r="S120" s="581"/>
      <c r="T120" s="581"/>
      <c r="U120" s="581"/>
      <c r="V120" s="100"/>
      <c r="W120" s="580"/>
      <c r="X120" s="581"/>
      <c r="Y120" s="581"/>
      <c r="Z120" s="581"/>
      <c r="AA120" s="100"/>
      <c r="AB120" s="580"/>
      <c r="AC120" s="581"/>
      <c r="AD120" s="581"/>
      <c r="AE120" s="581"/>
      <c r="AF120" s="100"/>
      <c r="AG120" s="580"/>
      <c r="AH120" s="581"/>
      <c r="AI120" s="581"/>
      <c r="AJ120" s="581"/>
      <c r="AK120" s="100"/>
      <c r="AL120" s="580"/>
      <c r="AM120" s="581"/>
      <c r="AN120" s="581"/>
      <c r="AO120" s="581"/>
      <c r="AP120" s="100"/>
      <c r="AQ120" s="580"/>
      <c r="AR120" s="581"/>
      <c r="AS120" s="581"/>
      <c r="AT120" s="581"/>
      <c r="AU120" s="100"/>
      <c r="AV120" s="580"/>
      <c r="AW120" s="581"/>
      <c r="AX120" s="581"/>
      <c r="AY120" s="581"/>
      <c r="AZ120" s="100"/>
      <c r="BA120" s="580"/>
      <c r="BB120" s="581"/>
      <c r="BC120" s="581"/>
      <c r="BD120" s="581"/>
      <c r="BE120" s="100"/>
      <c r="BF120" s="580"/>
      <c r="BG120" s="581"/>
      <c r="BH120" s="581"/>
      <c r="BI120" s="581"/>
      <c r="BJ120" s="100"/>
      <c r="BK120" s="580"/>
      <c r="BL120" s="581"/>
      <c r="BM120" s="581"/>
      <c r="BN120" s="581"/>
      <c r="BO120" s="100"/>
      <c r="BP120" s="580"/>
      <c r="BQ120" s="581"/>
      <c r="BR120" s="581"/>
      <c r="BS120" s="581"/>
      <c r="BT120" s="100"/>
      <c r="BU120" s="580"/>
      <c r="BV120" s="581"/>
      <c r="BW120" s="581"/>
      <c r="BX120" s="581"/>
      <c r="BY120" s="100"/>
      <c r="BZ120" s="580"/>
      <c r="CA120" s="581"/>
      <c r="CB120" s="581"/>
      <c r="CC120" s="581"/>
      <c r="CD120" s="100"/>
      <c r="CE120" s="580"/>
      <c r="CF120" s="581"/>
      <c r="CG120" s="581"/>
      <c r="CH120" s="581"/>
      <c r="CI120" s="100"/>
      <c r="CJ120" s="580"/>
      <c r="CK120" s="581"/>
      <c r="CL120" s="581"/>
      <c r="CM120" s="581"/>
      <c r="CN120" s="100"/>
      <c r="CO120" s="580"/>
      <c r="CP120" s="581"/>
      <c r="CQ120" s="581"/>
      <c r="CR120" s="581"/>
      <c r="CS120" s="100"/>
      <c r="CT120" s="580"/>
      <c r="CU120" s="581"/>
      <c r="CV120" s="581"/>
      <c r="CW120" s="581"/>
      <c r="CX120" s="100"/>
      <c r="CY120" s="580"/>
      <c r="CZ120" s="581"/>
      <c r="DA120" s="581"/>
      <c r="DB120" s="581"/>
      <c r="DC120" s="100"/>
      <c r="DD120" s="580"/>
      <c r="DE120" s="581"/>
      <c r="DF120" s="581"/>
      <c r="DG120" s="581"/>
      <c r="DH120" s="100"/>
      <c r="DI120" s="580"/>
      <c r="DJ120" s="581"/>
      <c r="DK120" s="581"/>
      <c r="DL120" s="581"/>
      <c r="DM120" s="100"/>
      <c r="DN120" s="580"/>
      <c r="DO120" s="581"/>
      <c r="DP120" s="581"/>
      <c r="DQ120" s="581"/>
      <c r="DR120" s="100"/>
      <c r="DS120" s="580"/>
      <c r="DT120" s="581"/>
      <c r="DU120" s="581"/>
      <c r="DV120" s="581"/>
      <c r="DW120" s="100"/>
      <c r="DX120" s="580"/>
      <c r="DY120" s="581"/>
      <c r="DZ120" s="581"/>
      <c r="EA120" s="581"/>
      <c r="EB120" s="100"/>
      <c r="EC120" s="580"/>
      <c r="ED120" s="581"/>
      <c r="EE120" s="581"/>
      <c r="EF120" s="581"/>
      <c r="EG120" s="100"/>
      <c r="EH120" s="580"/>
      <c r="EI120" s="581"/>
      <c r="EJ120" s="581"/>
      <c r="EK120" s="581"/>
      <c r="EL120" s="100"/>
      <c r="EM120" s="580"/>
      <c r="EN120" s="581"/>
      <c r="EO120" s="581"/>
      <c r="EP120" s="581"/>
      <c r="EQ120" s="100"/>
      <c r="ER120" s="580"/>
      <c r="ES120" s="581"/>
      <c r="ET120" s="581"/>
      <c r="EU120" s="581"/>
      <c r="EV120" s="100"/>
      <c r="EW120" s="580"/>
      <c r="EX120" s="581"/>
      <c r="EY120" s="581"/>
      <c r="EZ120" s="581"/>
      <c r="FA120" s="100"/>
      <c r="FB120" s="580"/>
      <c r="FC120" s="581"/>
      <c r="FD120" s="581"/>
      <c r="FE120" s="581"/>
      <c r="FF120" s="100"/>
      <c r="FG120" s="580"/>
      <c r="FH120" s="581"/>
      <c r="FI120" s="581"/>
      <c r="FJ120" s="581"/>
      <c r="FK120" s="100"/>
      <c r="FL120" s="580"/>
      <c r="FM120" s="581"/>
      <c r="FN120" s="581"/>
      <c r="FO120" s="581"/>
      <c r="FP120" s="100"/>
      <c r="FQ120" s="580"/>
      <c r="FR120" s="581"/>
      <c r="FS120" s="581"/>
      <c r="FT120" s="581"/>
      <c r="FU120" s="100"/>
      <c r="FV120" s="580"/>
      <c r="FW120" s="581"/>
      <c r="FX120" s="581"/>
      <c r="FY120" s="581"/>
      <c r="FZ120" s="100"/>
      <c r="GA120" s="580"/>
      <c r="GB120" s="581"/>
      <c r="GC120" s="581"/>
      <c r="GD120" s="581"/>
      <c r="GE120" s="100"/>
    </row>
    <row r="121" spans="1:187" ht="12.75" customHeight="1" outlineLevel="1">
      <c r="B121" s="595"/>
      <c r="C121" s="580"/>
      <c r="D121" s="581"/>
      <c r="E121" s="581"/>
      <c r="F121" s="581"/>
      <c r="G121" s="100"/>
      <c r="H121" s="580"/>
      <c r="I121" s="581"/>
      <c r="J121" s="581"/>
      <c r="K121" s="581"/>
      <c r="L121" s="100"/>
      <c r="M121" s="580"/>
      <c r="N121" s="581"/>
      <c r="O121" s="581"/>
      <c r="P121" s="581"/>
      <c r="Q121" s="100"/>
      <c r="R121" s="580"/>
      <c r="S121" s="581"/>
      <c r="T121" s="581"/>
      <c r="U121" s="581"/>
      <c r="V121" s="100"/>
      <c r="W121" s="580"/>
      <c r="X121" s="581"/>
      <c r="Y121" s="581"/>
      <c r="Z121" s="581"/>
      <c r="AA121" s="100"/>
      <c r="AB121" s="580"/>
      <c r="AC121" s="581"/>
      <c r="AD121" s="581"/>
      <c r="AE121" s="581"/>
      <c r="AF121" s="100"/>
      <c r="AG121" s="580"/>
      <c r="AH121" s="581"/>
      <c r="AI121" s="581"/>
      <c r="AJ121" s="581"/>
      <c r="AK121" s="100"/>
      <c r="AL121" s="580"/>
      <c r="AM121" s="581"/>
      <c r="AN121" s="581"/>
      <c r="AO121" s="581"/>
      <c r="AP121" s="100"/>
      <c r="AQ121" s="580"/>
      <c r="AR121" s="581"/>
      <c r="AS121" s="581"/>
      <c r="AT121" s="581"/>
      <c r="AU121" s="100"/>
      <c r="AV121" s="580"/>
      <c r="AW121" s="581"/>
      <c r="AX121" s="581"/>
      <c r="AY121" s="581"/>
      <c r="AZ121" s="100"/>
      <c r="BA121" s="580"/>
      <c r="BB121" s="581"/>
      <c r="BC121" s="581"/>
      <c r="BD121" s="581"/>
      <c r="BE121" s="100"/>
      <c r="BF121" s="580"/>
      <c r="BG121" s="581"/>
      <c r="BH121" s="581"/>
      <c r="BI121" s="581"/>
      <c r="BJ121" s="100"/>
      <c r="BK121" s="580"/>
      <c r="BL121" s="581"/>
      <c r="BM121" s="581"/>
      <c r="BN121" s="581"/>
      <c r="BO121" s="100"/>
      <c r="BP121" s="580"/>
      <c r="BQ121" s="581"/>
      <c r="BR121" s="581"/>
      <c r="BS121" s="581"/>
      <c r="BT121" s="100"/>
      <c r="BU121" s="580"/>
      <c r="BV121" s="581"/>
      <c r="BW121" s="581"/>
      <c r="BX121" s="581"/>
      <c r="BY121" s="100"/>
      <c r="BZ121" s="580"/>
      <c r="CA121" s="581"/>
      <c r="CB121" s="581"/>
      <c r="CC121" s="581"/>
      <c r="CD121" s="100"/>
      <c r="CE121" s="580"/>
      <c r="CF121" s="581"/>
      <c r="CG121" s="581"/>
      <c r="CH121" s="581"/>
      <c r="CI121" s="100"/>
      <c r="CJ121" s="580"/>
      <c r="CK121" s="581"/>
      <c r="CL121" s="581"/>
      <c r="CM121" s="581"/>
      <c r="CN121" s="100"/>
      <c r="CO121" s="580"/>
      <c r="CP121" s="581"/>
      <c r="CQ121" s="581"/>
      <c r="CR121" s="581"/>
      <c r="CS121" s="100"/>
      <c r="CT121" s="580"/>
      <c r="CU121" s="581"/>
      <c r="CV121" s="581"/>
      <c r="CW121" s="581"/>
      <c r="CX121" s="100"/>
      <c r="CY121" s="580"/>
      <c r="CZ121" s="581"/>
      <c r="DA121" s="581"/>
      <c r="DB121" s="581"/>
      <c r="DC121" s="100"/>
      <c r="DD121" s="580"/>
      <c r="DE121" s="581"/>
      <c r="DF121" s="581"/>
      <c r="DG121" s="581"/>
      <c r="DH121" s="100"/>
      <c r="DI121" s="580"/>
      <c r="DJ121" s="581"/>
      <c r="DK121" s="581"/>
      <c r="DL121" s="581"/>
      <c r="DM121" s="100"/>
      <c r="DN121" s="580"/>
      <c r="DO121" s="581"/>
      <c r="DP121" s="581"/>
      <c r="DQ121" s="581"/>
      <c r="DR121" s="100"/>
      <c r="DS121" s="580"/>
      <c r="DT121" s="581"/>
      <c r="DU121" s="581"/>
      <c r="DV121" s="581"/>
      <c r="DW121" s="100"/>
      <c r="DX121" s="580"/>
      <c r="DY121" s="581"/>
      <c r="DZ121" s="581"/>
      <c r="EA121" s="581"/>
      <c r="EB121" s="100"/>
      <c r="EC121" s="580"/>
      <c r="ED121" s="581"/>
      <c r="EE121" s="581"/>
      <c r="EF121" s="581"/>
      <c r="EG121" s="100"/>
      <c r="EH121" s="580"/>
      <c r="EI121" s="581"/>
      <c r="EJ121" s="581"/>
      <c r="EK121" s="581"/>
      <c r="EL121" s="100"/>
      <c r="EM121" s="580"/>
      <c r="EN121" s="581"/>
      <c r="EO121" s="581"/>
      <c r="EP121" s="581"/>
      <c r="EQ121" s="100"/>
      <c r="ER121" s="580"/>
      <c r="ES121" s="581"/>
      <c r="ET121" s="581"/>
      <c r="EU121" s="581"/>
      <c r="EV121" s="100"/>
      <c r="EW121" s="580"/>
      <c r="EX121" s="581"/>
      <c r="EY121" s="581"/>
      <c r="EZ121" s="581"/>
      <c r="FA121" s="100"/>
      <c r="FB121" s="580"/>
      <c r="FC121" s="581"/>
      <c r="FD121" s="581"/>
      <c r="FE121" s="581"/>
      <c r="FF121" s="100"/>
      <c r="FG121" s="580"/>
      <c r="FH121" s="581"/>
      <c r="FI121" s="581"/>
      <c r="FJ121" s="581"/>
      <c r="FK121" s="100"/>
      <c r="FL121" s="580"/>
      <c r="FM121" s="581"/>
      <c r="FN121" s="581"/>
      <c r="FO121" s="581"/>
      <c r="FP121" s="100"/>
      <c r="FQ121" s="580"/>
      <c r="FR121" s="581"/>
      <c r="FS121" s="581"/>
      <c r="FT121" s="581"/>
      <c r="FU121" s="100"/>
      <c r="FV121" s="580"/>
      <c r="FW121" s="581"/>
      <c r="FX121" s="581"/>
      <c r="FY121" s="581"/>
      <c r="FZ121" s="100"/>
      <c r="GA121" s="580"/>
      <c r="GB121" s="581"/>
      <c r="GC121" s="581"/>
      <c r="GD121" s="581"/>
      <c r="GE121" s="100"/>
    </row>
    <row r="122" spans="1:187" ht="12.75" customHeight="1" outlineLevel="1">
      <c r="B122" s="595"/>
      <c r="C122" s="580"/>
      <c r="D122" s="581"/>
      <c r="E122" s="581"/>
      <c r="F122" s="581"/>
      <c r="G122" s="100"/>
      <c r="H122" s="580"/>
      <c r="I122" s="581"/>
      <c r="J122" s="581"/>
      <c r="K122" s="581"/>
      <c r="L122" s="100"/>
      <c r="M122" s="580"/>
      <c r="N122" s="581"/>
      <c r="O122" s="581"/>
      <c r="P122" s="581"/>
      <c r="Q122" s="100"/>
      <c r="R122" s="580"/>
      <c r="S122" s="581"/>
      <c r="T122" s="581"/>
      <c r="U122" s="581"/>
      <c r="V122" s="100"/>
      <c r="W122" s="580"/>
      <c r="X122" s="581"/>
      <c r="Y122" s="581"/>
      <c r="Z122" s="581"/>
      <c r="AA122" s="100"/>
      <c r="AB122" s="580"/>
      <c r="AC122" s="581"/>
      <c r="AD122" s="581"/>
      <c r="AE122" s="581"/>
      <c r="AF122" s="100"/>
      <c r="AG122" s="580"/>
      <c r="AH122" s="581"/>
      <c r="AI122" s="581"/>
      <c r="AJ122" s="581"/>
      <c r="AK122" s="100"/>
      <c r="AL122" s="580"/>
      <c r="AM122" s="581"/>
      <c r="AN122" s="581"/>
      <c r="AO122" s="581"/>
      <c r="AP122" s="100"/>
      <c r="AQ122" s="580"/>
      <c r="AR122" s="581"/>
      <c r="AS122" s="581"/>
      <c r="AT122" s="581"/>
      <c r="AU122" s="100"/>
      <c r="AV122" s="580"/>
      <c r="AW122" s="581"/>
      <c r="AX122" s="581"/>
      <c r="AY122" s="581"/>
      <c r="AZ122" s="100"/>
      <c r="BA122" s="580"/>
      <c r="BB122" s="581"/>
      <c r="BC122" s="581"/>
      <c r="BD122" s="581"/>
      <c r="BE122" s="100"/>
      <c r="BF122" s="580"/>
      <c r="BG122" s="581"/>
      <c r="BH122" s="581"/>
      <c r="BI122" s="581"/>
      <c r="BJ122" s="100"/>
      <c r="BK122" s="580"/>
      <c r="BL122" s="581"/>
      <c r="BM122" s="581"/>
      <c r="BN122" s="581"/>
      <c r="BO122" s="100"/>
      <c r="BP122" s="580"/>
      <c r="BQ122" s="581"/>
      <c r="BR122" s="581"/>
      <c r="BS122" s="581"/>
      <c r="BT122" s="100"/>
      <c r="BU122" s="580"/>
      <c r="BV122" s="581"/>
      <c r="BW122" s="581"/>
      <c r="BX122" s="581"/>
      <c r="BY122" s="100"/>
      <c r="BZ122" s="580"/>
      <c r="CA122" s="581"/>
      <c r="CB122" s="581"/>
      <c r="CC122" s="581"/>
      <c r="CD122" s="100"/>
      <c r="CE122" s="580"/>
      <c r="CF122" s="581"/>
      <c r="CG122" s="581"/>
      <c r="CH122" s="581"/>
      <c r="CI122" s="100"/>
      <c r="CJ122" s="580"/>
      <c r="CK122" s="581"/>
      <c r="CL122" s="581"/>
      <c r="CM122" s="581"/>
      <c r="CN122" s="100"/>
      <c r="CO122" s="580"/>
      <c r="CP122" s="581"/>
      <c r="CQ122" s="581"/>
      <c r="CR122" s="581"/>
      <c r="CS122" s="100"/>
      <c r="CT122" s="580"/>
      <c r="CU122" s="581"/>
      <c r="CV122" s="581"/>
      <c r="CW122" s="581"/>
      <c r="CX122" s="100"/>
      <c r="CY122" s="580"/>
      <c r="CZ122" s="581"/>
      <c r="DA122" s="581"/>
      <c r="DB122" s="581"/>
      <c r="DC122" s="100"/>
      <c r="DD122" s="580"/>
      <c r="DE122" s="581"/>
      <c r="DF122" s="581"/>
      <c r="DG122" s="581"/>
      <c r="DH122" s="100"/>
      <c r="DI122" s="580"/>
      <c r="DJ122" s="581"/>
      <c r="DK122" s="581"/>
      <c r="DL122" s="581"/>
      <c r="DM122" s="100"/>
      <c r="DN122" s="580"/>
      <c r="DO122" s="581"/>
      <c r="DP122" s="581"/>
      <c r="DQ122" s="581"/>
      <c r="DR122" s="100"/>
      <c r="DS122" s="580"/>
      <c r="DT122" s="581"/>
      <c r="DU122" s="581"/>
      <c r="DV122" s="581"/>
      <c r="DW122" s="100"/>
      <c r="DX122" s="580"/>
      <c r="DY122" s="581"/>
      <c r="DZ122" s="581"/>
      <c r="EA122" s="581"/>
      <c r="EB122" s="100"/>
      <c r="EC122" s="580"/>
      <c r="ED122" s="581"/>
      <c r="EE122" s="581"/>
      <c r="EF122" s="581"/>
      <c r="EG122" s="100"/>
      <c r="EH122" s="580"/>
      <c r="EI122" s="581"/>
      <c r="EJ122" s="581"/>
      <c r="EK122" s="581"/>
      <c r="EL122" s="100"/>
      <c r="EM122" s="580"/>
      <c r="EN122" s="581"/>
      <c r="EO122" s="581"/>
      <c r="EP122" s="581"/>
      <c r="EQ122" s="100"/>
      <c r="ER122" s="580"/>
      <c r="ES122" s="581"/>
      <c r="ET122" s="581"/>
      <c r="EU122" s="581"/>
      <c r="EV122" s="100"/>
      <c r="EW122" s="580"/>
      <c r="EX122" s="581"/>
      <c r="EY122" s="581"/>
      <c r="EZ122" s="581"/>
      <c r="FA122" s="100"/>
      <c r="FB122" s="580"/>
      <c r="FC122" s="581"/>
      <c r="FD122" s="581"/>
      <c r="FE122" s="581"/>
      <c r="FF122" s="100"/>
      <c r="FG122" s="580"/>
      <c r="FH122" s="581"/>
      <c r="FI122" s="581"/>
      <c r="FJ122" s="581"/>
      <c r="FK122" s="100"/>
      <c r="FL122" s="580"/>
      <c r="FM122" s="581"/>
      <c r="FN122" s="581"/>
      <c r="FO122" s="581"/>
      <c r="FP122" s="100"/>
      <c r="FQ122" s="580"/>
      <c r="FR122" s="581"/>
      <c r="FS122" s="581"/>
      <c r="FT122" s="581"/>
      <c r="FU122" s="100"/>
      <c r="FV122" s="580"/>
      <c r="FW122" s="581"/>
      <c r="FX122" s="581"/>
      <c r="FY122" s="581"/>
      <c r="FZ122" s="100"/>
      <c r="GA122" s="580"/>
      <c r="GB122" s="581"/>
      <c r="GC122" s="581"/>
      <c r="GD122" s="581"/>
      <c r="GE122" s="100"/>
    </row>
    <row r="123" spans="1:187" ht="12.75" customHeight="1" outlineLevel="1">
      <c r="B123" s="595"/>
      <c r="C123" s="580"/>
      <c r="D123" s="581"/>
      <c r="E123" s="581"/>
      <c r="F123" s="581"/>
      <c r="G123" s="100"/>
      <c r="H123" s="580"/>
      <c r="I123" s="581"/>
      <c r="J123" s="581"/>
      <c r="K123" s="581"/>
      <c r="L123" s="100"/>
      <c r="M123" s="580"/>
      <c r="N123" s="581"/>
      <c r="O123" s="581"/>
      <c r="P123" s="581"/>
      <c r="Q123" s="100"/>
      <c r="R123" s="580"/>
      <c r="S123" s="581"/>
      <c r="T123" s="581"/>
      <c r="U123" s="581"/>
      <c r="V123" s="100"/>
      <c r="W123" s="580"/>
      <c r="X123" s="581"/>
      <c r="Y123" s="581"/>
      <c r="Z123" s="581"/>
      <c r="AA123" s="100"/>
      <c r="AB123" s="580"/>
      <c r="AC123" s="581"/>
      <c r="AD123" s="581"/>
      <c r="AE123" s="581"/>
      <c r="AF123" s="100"/>
      <c r="AG123" s="580"/>
      <c r="AH123" s="581"/>
      <c r="AI123" s="581"/>
      <c r="AJ123" s="581"/>
      <c r="AK123" s="100"/>
      <c r="AL123" s="580"/>
      <c r="AM123" s="581"/>
      <c r="AN123" s="581"/>
      <c r="AO123" s="581"/>
      <c r="AP123" s="100"/>
      <c r="AQ123" s="580"/>
      <c r="AR123" s="581"/>
      <c r="AS123" s="581"/>
      <c r="AT123" s="581"/>
      <c r="AU123" s="100"/>
      <c r="AV123" s="580"/>
      <c r="AW123" s="581"/>
      <c r="AX123" s="581"/>
      <c r="AY123" s="581"/>
      <c r="AZ123" s="100"/>
      <c r="BA123" s="580"/>
      <c r="BB123" s="581"/>
      <c r="BC123" s="581"/>
      <c r="BD123" s="581"/>
      <c r="BE123" s="100"/>
      <c r="BF123" s="580"/>
      <c r="BG123" s="581"/>
      <c r="BH123" s="581"/>
      <c r="BI123" s="581"/>
      <c r="BJ123" s="100"/>
      <c r="BK123" s="580"/>
      <c r="BL123" s="581"/>
      <c r="BM123" s="581"/>
      <c r="BN123" s="581"/>
      <c r="BO123" s="100"/>
      <c r="BP123" s="580"/>
      <c r="BQ123" s="581"/>
      <c r="BR123" s="581"/>
      <c r="BS123" s="581"/>
      <c r="BT123" s="100"/>
      <c r="BU123" s="580"/>
      <c r="BV123" s="581"/>
      <c r="BW123" s="581"/>
      <c r="BX123" s="581"/>
      <c r="BY123" s="100"/>
      <c r="BZ123" s="580"/>
      <c r="CA123" s="581"/>
      <c r="CB123" s="581"/>
      <c r="CC123" s="581"/>
      <c r="CD123" s="100"/>
      <c r="CE123" s="580"/>
      <c r="CF123" s="581"/>
      <c r="CG123" s="581"/>
      <c r="CH123" s="581"/>
      <c r="CI123" s="100"/>
      <c r="CJ123" s="580"/>
      <c r="CK123" s="581"/>
      <c r="CL123" s="581"/>
      <c r="CM123" s="581"/>
      <c r="CN123" s="100"/>
      <c r="CO123" s="580"/>
      <c r="CP123" s="581"/>
      <c r="CQ123" s="581"/>
      <c r="CR123" s="581"/>
      <c r="CS123" s="100"/>
      <c r="CT123" s="580"/>
      <c r="CU123" s="581"/>
      <c r="CV123" s="581"/>
      <c r="CW123" s="581"/>
      <c r="CX123" s="100"/>
      <c r="CY123" s="580"/>
      <c r="CZ123" s="581"/>
      <c r="DA123" s="581"/>
      <c r="DB123" s="581"/>
      <c r="DC123" s="100"/>
      <c r="DD123" s="580"/>
      <c r="DE123" s="581"/>
      <c r="DF123" s="581"/>
      <c r="DG123" s="581"/>
      <c r="DH123" s="100"/>
      <c r="DI123" s="580"/>
      <c r="DJ123" s="581"/>
      <c r="DK123" s="581"/>
      <c r="DL123" s="581"/>
      <c r="DM123" s="100"/>
      <c r="DN123" s="580"/>
      <c r="DO123" s="581"/>
      <c r="DP123" s="581"/>
      <c r="DQ123" s="581"/>
      <c r="DR123" s="100"/>
      <c r="DS123" s="580"/>
      <c r="DT123" s="581"/>
      <c r="DU123" s="581"/>
      <c r="DV123" s="581"/>
      <c r="DW123" s="100"/>
      <c r="DX123" s="580"/>
      <c r="DY123" s="581"/>
      <c r="DZ123" s="581"/>
      <c r="EA123" s="581"/>
      <c r="EB123" s="100"/>
      <c r="EC123" s="580"/>
      <c r="ED123" s="581"/>
      <c r="EE123" s="581"/>
      <c r="EF123" s="581"/>
      <c r="EG123" s="100"/>
      <c r="EH123" s="580"/>
      <c r="EI123" s="581"/>
      <c r="EJ123" s="581"/>
      <c r="EK123" s="581"/>
      <c r="EL123" s="100"/>
      <c r="EM123" s="580"/>
      <c r="EN123" s="581"/>
      <c r="EO123" s="581"/>
      <c r="EP123" s="581"/>
      <c r="EQ123" s="100"/>
      <c r="ER123" s="580"/>
      <c r="ES123" s="581"/>
      <c r="ET123" s="581"/>
      <c r="EU123" s="581"/>
      <c r="EV123" s="100"/>
      <c r="EW123" s="580"/>
      <c r="EX123" s="581"/>
      <c r="EY123" s="581"/>
      <c r="EZ123" s="581"/>
      <c r="FA123" s="100"/>
      <c r="FB123" s="580"/>
      <c r="FC123" s="581"/>
      <c r="FD123" s="581"/>
      <c r="FE123" s="581"/>
      <c r="FF123" s="100"/>
      <c r="FG123" s="580"/>
      <c r="FH123" s="581"/>
      <c r="FI123" s="581"/>
      <c r="FJ123" s="581"/>
      <c r="FK123" s="100"/>
      <c r="FL123" s="580"/>
      <c r="FM123" s="581"/>
      <c r="FN123" s="581"/>
      <c r="FO123" s="581"/>
      <c r="FP123" s="100"/>
      <c r="FQ123" s="580"/>
      <c r="FR123" s="581"/>
      <c r="FS123" s="581"/>
      <c r="FT123" s="581"/>
      <c r="FU123" s="100"/>
      <c r="FV123" s="580"/>
      <c r="FW123" s="581"/>
      <c r="FX123" s="581"/>
      <c r="FY123" s="581"/>
      <c r="FZ123" s="100"/>
      <c r="GA123" s="580"/>
      <c r="GB123" s="581"/>
      <c r="GC123" s="581"/>
      <c r="GD123" s="581"/>
      <c r="GE123" s="100"/>
    </row>
    <row r="124" spans="1:187" s="577" customFormat="1" ht="12.75" customHeight="1" outlineLevel="1">
      <c r="A124" s="576"/>
      <c r="B124" s="579"/>
      <c r="C124" s="602"/>
      <c r="D124" s="582"/>
      <c r="E124" s="582"/>
      <c r="F124" s="582"/>
      <c r="G124" s="579"/>
      <c r="H124" s="602"/>
      <c r="I124" s="582"/>
      <c r="J124" s="582"/>
      <c r="K124" s="582"/>
      <c r="L124" s="579"/>
      <c r="M124" s="602"/>
      <c r="N124" s="582"/>
      <c r="O124" s="582"/>
      <c r="P124" s="582"/>
      <c r="Q124" s="579"/>
      <c r="R124" s="602"/>
      <c r="S124" s="582"/>
      <c r="T124" s="582"/>
      <c r="U124" s="582"/>
      <c r="V124" s="579"/>
      <c r="W124" s="602"/>
      <c r="X124" s="582"/>
      <c r="Y124" s="582"/>
      <c r="Z124" s="582"/>
      <c r="AA124" s="579"/>
      <c r="AB124" s="602"/>
      <c r="AC124" s="582"/>
      <c r="AD124" s="582"/>
      <c r="AE124" s="582"/>
      <c r="AF124" s="579"/>
      <c r="AG124" s="602"/>
      <c r="AH124" s="582"/>
      <c r="AI124" s="582"/>
      <c r="AJ124" s="582"/>
      <c r="AK124" s="579"/>
      <c r="AL124" s="602"/>
      <c r="AM124" s="582"/>
      <c r="AN124" s="582"/>
      <c r="AO124" s="582"/>
      <c r="AP124" s="579"/>
      <c r="AQ124" s="602"/>
      <c r="AR124" s="582"/>
      <c r="AS124" s="582"/>
      <c r="AT124" s="582"/>
      <c r="AU124" s="579"/>
      <c r="AV124" s="602"/>
      <c r="AW124" s="582"/>
      <c r="AX124" s="582"/>
      <c r="AY124" s="582"/>
      <c r="AZ124" s="579"/>
      <c r="BA124" s="602"/>
      <c r="BB124" s="582"/>
      <c r="BC124" s="582"/>
      <c r="BD124" s="582"/>
      <c r="BE124" s="579"/>
      <c r="BF124" s="602"/>
      <c r="BG124" s="582"/>
      <c r="BH124" s="582"/>
      <c r="BI124" s="582"/>
      <c r="BJ124" s="579"/>
      <c r="BK124" s="602"/>
      <c r="BL124" s="582"/>
      <c r="BM124" s="582"/>
      <c r="BN124" s="582"/>
      <c r="BO124" s="579"/>
      <c r="BP124" s="602"/>
      <c r="BQ124" s="582"/>
      <c r="BR124" s="582"/>
      <c r="BS124" s="582"/>
      <c r="BT124" s="579"/>
      <c r="BU124" s="602"/>
      <c r="BV124" s="582"/>
      <c r="BW124" s="582"/>
      <c r="BX124" s="582"/>
      <c r="BY124" s="579"/>
      <c r="BZ124" s="602"/>
      <c r="CA124" s="582"/>
      <c r="CB124" s="582"/>
      <c r="CC124" s="582"/>
      <c r="CD124" s="579"/>
      <c r="CE124" s="602"/>
      <c r="CF124" s="582"/>
      <c r="CG124" s="582"/>
      <c r="CH124" s="582"/>
      <c r="CI124" s="579"/>
      <c r="CJ124" s="602"/>
      <c r="CK124" s="582"/>
      <c r="CL124" s="582"/>
      <c r="CM124" s="582"/>
      <c r="CN124" s="579"/>
      <c r="CO124" s="602"/>
      <c r="CP124" s="582"/>
      <c r="CQ124" s="582"/>
      <c r="CR124" s="582"/>
      <c r="CS124" s="579"/>
      <c r="CT124" s="602"/>
      <c r="CU124" s="582"/>
      <c r="CV124" s="582"/>
      <c r="CW124" s="582"/>
      <c r="CX124" s="579"/>
      <c r="CY124" s="602"/>
      <c r="CZ124" s="582"/>
      <c r="DA124" s="582"/>
      <c r="DB124" s="582"/>
      <c r="DC124" s="579"/>
      <c r="DD124" s="602"/>
      <c r="DE124" s="582"/>
      <c r="DF124" s="582"/>
      <c r="DG124" s="582"/>
      <c r="DH124" s="579"/>
      <c r="DI124" s="602"/>
      <c r="DJ124" s="582"/>
      <c r="DK124" s="582"/>
      <c r="DL124" s="582"/>
      <c r="DM124" s="579"/>
      <c r="DN124" s="602"/>
      <c r="DO124" s="582"/>
      <c r="DP124" s="582"/>
      <c r="DQ124" s="582"/>
      <c r="DR124" s="579"/>
      <c r="DS124" s="602"/>
      <c r="DT124" s="582"/>
      <c r="DU124" s="582"/>
      <c r="DV124" s="582"/>
      <c r="DW124" s="579"/>
      <c r="DX124" s="602"/>
      <c r="DY124" s="582"/>
      <c r="DZ124" s="582"/>
      <c r="EA124" s="582"/>
      <c r="EB124" s="579"/>
      <c r="EC124" s="602"/>
      <c r="ED124" s="582"/>
      <c r="EE124" s="582"/>
      <c r="EF124" s="582"/>
      <c r="EG124" s="579"/>
      <c r="EH124" s="602"/>
      <c r="EI124" s="582"/>
      <c r="EJ124" s="582"/>
      <c r="EK124" s="582"/>
      <c r="EL124" s="579"/>
      <c r="EM124" s="602"/>
      <c r="EN124" s="582"/>
      <c r="EO124" s="582"/>
      <c r="EP124" s="582"/>
      <c r="EQ124" s="579"/>
      <c r="ER124" s="602"/>
      <c r="ES124" s="582"/>
      <c r="ET124" s="582"/>
      <c r="EU124" s="582"/>
      <c r="EV124" s="579"/>
      <c r="EW124" s="602"/>
      <c r="EX124" s="582"/>
      <c r="EY124" s="582"/>
      <c r="EZ124" s="582"/>
      <c r="FA124" s="579"/>
      <c r="FB124" s="602"/>
      <c r="FC124" s="582"/>
      <c r="FD124" s="582"/>
      <c r="FE124" s="582"/>
      <c r="FF124" s="579"/>
      <c r="FG124" s="602"/>
      <c r="FH124" s="582"/>
      <c r="FI124" s="582"/>
      <c r="FJ124" s="582"/>
      <c r="FK124" s="579"/>
      <c r="FL124" s="602"/>
      <c r="FM124" s="582"/>
      <c r="FN124" s="582"/>
      <c r="FO124" s="582"/>
      <c r="FP124" s="579"/>
      <c r="FQ124" s="602"/>
      <c r="FR124" s="582"/>
      <c r="FS124" s="582"/>
      <c r="FT124" s="582"/>
      <c r="FU124" s="579"/>
      <c r="FV124" s="602"/>
      <c r="FW124" s="582"/>
      <c r="FX124" s="582"/>
      <c r="FY124" s="582"/>
      <c r="FZ124" s="579"/>
      <c r="GA124" s="602"/>
      <c r="GB124" s="582"/>
      <c r="GC124" s="582"/>
      <c r="GD124" s="582"/>
      <c r="GE124" s="579"/>
    </row>
    <row r="125" spans="1:187" ht="12.75" customHeight="1">
      <c r="G125" s="100"/>
      <c r="L125" s="100"/>
      <c r="Q125" s="100"/>
      <c r="V125" s="100"/>
      <c r="AA125" s="100"/>
      <c r="AF125" s="100"/>
      <c r="AK125" s="100"/>
      <c r="AP125" s="100"/>
      <c r="AU125" s="100"/>
      <c r="AZ125" s="100"/>
      <c r="BE125" s="100"/>
      <c r="BJ125" s="100"/>
      <c r="BO125" s="100"/>
      <c r="BT125" s="100"/>
      <c r="BY125" s="100"/>
      <c r="CD125" s="100"/>
      <c r="CI125" s="100"/>
      <c r="CN125" s="100"/>
      <c r="CS125" s="100"/>
      <c r="CX125" s="100"/>
      <c r="DC125" s="100"/>
      <c r="DH125" s="100"/>
      <c r="DM125" s="100"/>
      <c r="DR125" s="100"/>
      <c r="DW125" s="100"/>
      <c r="EB125" s="100"/>
      <c r="EG125" s="100"/>
      <c r="EL125" s="100"/>
      <c r="EQ125" s="100"/>
      <c r="EV125" s="100"/>
      <c r="FA125" s="100"/>
      <c r="FF125" s="100"/>
      <c r="FK125" s="100"/>
      <c r="FP125" s="100"/>
      <c r="FU125" s="100"/>
      <c r="FZ125" s="100"/>
      <c r="GE125" s="100"/>
    </row>
    <row r="126" spans="1:187" ht="12.75" customHeight="1">
      <c r="G126" s="100"/>
      <c r="L126" s="100"/>
      <c r="Q126" s="100"/>
      <c r="V126" s="100"/>
      <c r="AA126" s="100"/>
      <c r="AF126" s="100"/>
      <c r="AK126" s="100"/>
      <c r="AP126" s="100"/>
      <c r="AU126" s="100"/>
      <c r="AZ126" s="100"/>
      <c r="BE126" s="100"/>
      <c r="BJ126" s="100"/>
      <c r="BO126" s="100"/>
      <c r="BT126" s="100"/>
      <c r="BY126" s="100"/>
      <c r="CD126" s="100"/>
      <c r="CI126" s="100"/>
      <c r="CN126" s="100"/>
      <c r="CS126" s="100"/>
      <c r="CX126" s="100"/>
      <c r="DC126" s="100"/>
      <c r="DH126" s="100"/>
      <c r="DM126" s="100"/>
      <c r="DR126" s="100"/>
      <c r="DW126" s="100"/>
      <c r="EB126" s="100"/>
      <c r="EG126" s="100"/>
      <c r="EL126" s="100"/>
      <c r="EQ126" s="100"/>
      <c r="EV126" s="100"/>
      <c r="FA126" s="100"/>
      <c r="FF126" s="100"/>
      <c r="FK126" s="100"/>
      <c r="FP126" s="100"/>
      <c r="FU126" s="100"/>
      <c r="FZ126" s="100"/>
      <c r="GE126" s="100"/>
    </row>
    <row r="127" spans="1:187" ht="12.75" customHeight="1">
      <c r="G127" s="100"/>
      <c r="L127" s="100"/>
      <c r="Q127" s="100"/>
      <c r="V127" s="100"/>
      <c r="AA127" s="100"/>
      <c r="AF127" s="100"/>
      <c r="AK127" s="100"/>
      <c r="AP127" s="100"/>
      <c r="AU127" s="100"/>
      <c r="AZ127" s="100"/>
      <c r="BE127" s="100"/>
      <c r="BJ127" s="100"/>
      <c r="BO127" s="100"/>
      <c r="BT127" s="100"/>
      <c r="BY127" s="100"/>
      <c r="CD127" s="100"/>
      <c r="CI127" s="100"/>
      <c r="CN127" s="100"/>
      <c r="CS127" s="100"/>
      <c r="CX127" s="100"/>
      <c r="DC127" s="100"/>
      <c r="DH127" s="100"/>
      <c r="DM127" s="100"/>
      <c r="DR127" s="100"/>
      <c r="DW127" s="100"/>
      <c r="EB127" s="100"/>
      <c r="EG127" s="100"/>
      <c r="EL127" s="100"/>
      <c r="EQ127" s="100"/>
      <c r="EV127" s="100"/>
      <c r="FA127" s="100"/>
      <c r="FF127" s="100"/>
      <c r="FK127" s="100"/>
      <c r="FP127" s="100"/>
      <c r="FU127" s="100"/>
      <c r="FZ127" s="100"/>
      <c r="GE127" s="100"/>
    </row>
    <row r="128" spans="1:187" ht="12.75" customHeight="1">
      <c r="C128" s="174"/>
      <c r="D128" s="175"/>
      <c r="E128" s="175"/>
      <c r="F128" s="175"/>
      <c r="G128" s="100"/>
      <c r="H128" s="174"/>
      <c r="I128" s="175"/>
      <c r="J128" s="175"/>
      <c r="K128" s="175"/>
      <c r="L128" s="100"/>
      <c r="M128" s="174"/>
      <c r="N128" s="175"/>
      <c r="O128" s="175"/>
      <c r="P128" s="175"/>
      <c r="Q128" s="100"/>
      <c r="R128" s="174"/>
      <c r="S128" s="175"/>
      <c r="T128" s="175"/>
      <c r="U128" s="175"/>
      <c r="V128" s="100"/>
      <c r="W128" s="174"/>
      <c r="X128" s="175"/>
      <c r="Y128" s="175"/>
      <c r="Z128" s="175"/>
      <c r="AA128" s="100"/>
      <c r="AB128" s="174"/>
      <c r="AC128" s="175"/>
      <c r="AD128" s="175"/>
      <c r="AE128" s="175"/>
      <c r="AF128" s="100"/>
      <c r="AG128" s="174"/>
      <c r="AH128" s="175"/>
      <c r="AI128" s="175"/>
      <c r="AJ128" s="175"/>
      <c r="AK128" s="100"/>
      <c r="AL128" s="174"/>
      <c r="AM128" s="175"/>
      <c r="AN128" s="175"/>
      <c r="AO128" s="175"/>
      <c r="AP128" s="100"/>
      <c r="AQ128" s="174"/>
      <c r="AR128" s="175"/>
      <c r="AS128" s="175"/>
      <c r="AT128" s="175"/>
      <c r="AU128" s="100"/>
      <c r="AV128" s="174"/>
      <c r="AW128" s="175"/>
      <c r="AX128" s="175"/>
      <c r="AY128" s="175"/>
      <c r="AZ128" s="100"/>
      <c r="BA128" s="174"/>
      <c r="BB128" s="175"/>
      <c r="BC128" s="175"/>
      <c r="BD128" s="175"/>
      <c r="BE128" s="100"/>
      <c r="BF128" s="174"/>
      <c r="BG128" s="175"/>
      <c r="BH128" s="175"/>
      <c r="BI128" s="175"/>
      <c r="BJ128" s="100"/>
      <c r="BK128" s="174"/>
      <c r="BL128" s="175"/>
      <c r="BM128" s="175"/>
      <c r="BN128" s="175"/>
      <c r="BO128" s="100"/>
      <c r="BP128" s="174"/>
      <c r="BQ128" s="175"/>
      <c r="BR128" s="175"/>
      <c r="BS128" s="175"/>
      <c r="BT128" s="100"/>
      <c r="BU128" s="174"/>
      <c r="BV128" s="175"/>
      <c r="BW128" s="175"/>
      <c r="BX128" s="175"/>
      <c r="BY128" s="100"/>
      <c r="BZ128" s="174"/>
      <c r="CA128" s="175"/>
      <c r="CB128" s="175"/>
      <c r="CC128" s="175"/>
      <c r="CD128" s="100"/>
      <c r="CE128" s="174"/>
      <c r="CF128" s="175"/>
      <c r="CG128" s="175"/>
      <c r="CH128" s="175"/>
      <c r="CI128" s="100"/>
      <c r="CJ128" s="174"/>
      <c r="CK128" s="175"/>
      <c r="CL128" s="175"/>
      <c r="CM128" s="175"/>
      <c r="CN128" s="100"/>
      <c r="CO128" s="174"/>
      <c r="CP128" s="175"/>
      <c r="CQ128" s="175"/>
      <c r="CR128" s="175"/>
      <c r="CS128" s="100"/>
      <c r="CT128" s="174"/>
      <c r="CU128" s="175"/>
      <c r="CV128" s="175"/>
      <c r="CW128" s="175"/>
      <c r="CX128" s="100"/>
      <c r="CY128" s="174"/>
      <c r="CZ128" s="175"/>
      <c r="DA128" s="175"/>
      <c r="DB128" s="175"/>
      <c r="DC128" s="100"/>
      <c r="DD128" s="174"/>
      <c r="DE128" s="175"/>
      <c r="DF128" s="175"/>
      <c r="DG128" s="175"/>
      <c r="DH128" s="100"/>
      <c r="DI128" s="174"/>
      <c r="DJ128" s="175"/>
      <c r="DK128" s="175"/>
      <c r="DL128" s="175"/>
      <c r="DM128" s="100"/>
      <c r="DN128" s="174"/>
      <c r="DO128" s="175"/>
      <c r="DP128" s="175"/>
      <c r="DQ128" s="175"/>
      <c r="DR128" s="100"/>
      <c r="DS128" s="174"/>
      <c r="DT128" s="175"/>
      <c r="DU128" s="175"/>
      <c r="DV128" s="175"/>
      <c r="DW128" s="100"/>
      <c r="DX128" s="174"/>
      <c r="DY128" s="175"/>
      <c r="DZ128" s="175"/>
      <c r="EA128" s="175"/>
      <c r="EB128" s="100"/>
      <c r="EC128" s="174"/>
      <c r="ED128" s="175"/>
      <c r="EE128" s="175"/>
      <c r="EF128" s="175"/>
      <c r="EG128" s="100"/>
      <c r="EH128" s="174"/>
      <c r="EI128" s="175"/>
      <c r="EJ128" s="175"/>
      <c r="EK128" s="175"/>
      <c r="EL128" s="100"/>
      <c r="EM128" s="174"/>
      <c r="EN128" s="175"/>
      <c r="EO128" s="175"/>
      <c r="EP128" s="175"/>
      <c r="EQ128" s="100"/>
      <c r="ER128" s="174"/>
      <c r="ES128" s="175"/>
      <c r="ET128" s="175"/>
      <c r="EU128" s="175"/>
      <c r="EV128" s="100"/>
      <c r="EW128" s="174"/>
      <c r="EX128" s="175"/>
      <c r="EY128" s="175"/>
      <c r="EZ128" s="175"/>
      <c r="FA128" s="100"/>
      <c r="FB128" s="174"/>
      <c r="FC128" s="175"/>
      <c r="FD128" s="175"/>
      <c r="FE128" s="175"/>
      <c r="FF128" s="100"/>
      <c r="FG128" s="174"/>
      <c r="FH128" s="175"/>
      <c r="FI128" s="175"/>
      <c r="FJ128" s="175"/>
      <c r="FK128" s="100"/>
      <c r="FL128" s="174"/>
      <c r="FM128" s="175"/>
      <c r="FN128" s="175"/>
      <c r="FO128" s="175"/>
      <c r="FP128" s="100"/>
      <c r="FQ128" s="174"/>
      <c r="FR128" s="175"/>
      <c r="FS128" s="175"/>
      <c r="FT128" s="175"/>
      <c r="FU128" s="100"/>
      <c r="FV128" s="174"/>
      <c r="FW128" s="175"/>
      <c r="FX128" s="175"/>
      <c r="FY128" s="175"/>
      <c r="FZ128" s="100"/>
      <c r="GA128" s="174"/>
      <c r="GB128" s="175"/>
      <c r="GC128" s="175"/>
      <c r="GD128" s="175"/>
      <c r="GE128" s="100"/>
    </row>
    <row r="129" spans="3:187" ht="12.75" customHeight="1">
      <c r="C129" s="580"/>
      <c r="D129" s="581"/>
      <c r="E129" s="581"/>
      <c r="F129" s="581"/>
      <c r="G129" s="100"/>
      <c r="H129" s="580"/>
      <c r="I129" s="581"/>
      <c r="J129" s="581"/>
      <c r="K129" s="581"/>
      <c r="L129" s="100"/>
      <c r="M129" s="580"/>
      <c r="N129" s="581"/>
      <c r="O129" s="581"/>
      <c r="P129" s="581"/>
      <c r="Q129" s="100"/>
      <c r="R129" s="580"/>
      <c r="S129" s="581"/>
      <c r="T129" s="581"/>
      <c r="U129" s="581"/>
      <c r="V129" s="100"/>
      <c r="W129" s="580"/>
      <c r="X129" s="581"/>
      <c r="Y129" s="581"/>
      <c r="Z129" s="581"/>
      <c r="AA129" s="100"/>
      <c r="AB129" s="580"/>
      <c r="AC129" s="581"/>
      <c r="AD129" s="581"/>
      <c r="AE129" s="581"/>
      <c r="AF129" s="100"/>
      <c r="AG129" s="580"/>
      <c r="AH129" s="581"/>
      <c r="AI129" s="581"/>
      <c r="AJ129" s="581"/>
      <c r="AK129" s="100"/>
      <c r="AL129" s="580"/>
      <c r="AM129" s="581"/>
      <c r="AN129" s="581"/>
      <c r="AO129" s="581"/>
      <c r="AP129" s="100"/>
      <c r="AQ129" s="580"/>
      <c r="AR129" s="581"/>
      <c r="AS129" s="581"/>
      <c r="AT129" s="581"/>
      <c r="AU129" s="100"/>
      <c r="AV129" s="580"/>
      <c r="AW129" s="581"/>
      <c r="AX129" s="581"/>
      <c r="AY129" s="581"/>
      <c r="AZ129" s="100"/>
      <c r="BA129" s="580"/>
      <c r="BB129" s="581"/>
      <c r="BC129" s="581"/>
      <c r="BD129" s="581"/>
      <c r="BE129" s="100"/>
      <c r="BF129" s="580"/>
      <c r="BG129" s="581"/>
      <c r="BH129" s="581"/>
      <c r="BI129" s="581"/>
      <c r="BJ129" s="100"/>
      <c r="BK129" s="580"/>
      <c r="BL129" s="581"/>
      <c r="BM129" s="581"/>
      <c r="BN129" s="581"/>
      <c r="BO129" s="100"/>
      <c r="BP129" s="580"/>
      <c r="BQ129" s="581"/>
      <c r="BR129" s="581"/>
      <c r="BS129" s="581"/>
      <c r="BT129" s="100"/>
      <c r="BU129" s="580"/>
      <c r="BV129" s="581"/>
      <c r="BW129" s="581"/>
      <c r="BX129" s="581"/>
      <c r="BY129" s="100"/>
      <c r="BZ129" s="580"/>
      <c r="CA129" s="581"/>
      <c r="CB129" s="581"/>
      <c r="CC129" s="581"/>
      <c r="CD129" s="100"/>
      <c r="CE129" s="580"/>
      <c r="CF129" s="581"/>
      <c r="CG129" s="581"/>
      <c r="CH129" s="581"/>
      <c r="CI129" s="100"/>
      <c r="CJ129" s="580"/>
      <c r="CK129" s="581"/>
      <c r="CL129" s="581"/>
      <c r="CM129" s="581"/>
      <c r="CN129" s="100"/>
      <c r="CO129" s="580"/>
      <c r="CP129" s="581"/>
      <c r="CQ129" s="581"/>
      <c r="CR129" s="581"/>
      <c r="CS129" s="100"/>
      <c r="CT129" s="580"/>
      <c r="CU129" s="581"/>
      <c r="CV129" s="581"/>
      <c r="CW129" s="581"/>
      <c r="CX129" s="100"/>
      <c r="CY129" s="580"/>
      <c r="CZ129" s="581"/>
      <c r="DA129" s="581"/>
      <c r="DB129" s="581"/>
      <c r="DC129" s="100"/>
      <c r="DD129" s="580"/>
      <c r="DE129" s="581"/>
      <c r="DF129" s="581"/>
      <c r="DG129" s="581"/>
      <c r="DH129" s="100"/>
      <c r="DI129" s="580"/>
      <c r="DJ129" s="581"/>
      <c r="DK129" s="581"/>
      <c r="DL129" s="581"/>
      <c r="DM129" s="100"/>
      <c r="DN129" s="580"/>
      <c r="DO129" s="581"/>
      <c r="DP129" s="581"/>
      <c r="DQ129" s="581"/>
      <c r="DR129" s="100"/>
      <c r="DS129" s="580"/>
      <c r="DT129" s="581"/>
      <c r="DU129" s="581"/>
      <c r="DV129" s="581"/>
      <c r="DW129" s="100"/>
      <c r="DX129" s="580"/>
      <c r="DY129" s="581"/>
      <c r="DZ129" s="581"/>
      <c r="EA129" s="581"/>
      <c r="EB129" s="100"/>
      <c r="EC129" s="580"/>
      <c r="ED129" s="581"/>
      <c r="EE129" s="581"/>
      <c r="EF129" s="581"/>
      <c r="EG129" s="100"/>
      <c r="EH129" s="580"/>
      <c r="EI129" s="581"/>
      <c r="EJ129" s="581"/>
      <c r="EK129" s="581"/>
      <c r="EL129" s="100"/>
      <c r="EM129" s="580"/>
      <c r="EN129" s="581"/>
      <c r="EO129" s="581"/>
      <c r="EP129" s="581"/>
      <c r="EQ129" s="100"/>
      <c r="ER129" s="580"/>
      <c r="ES129" s="581"/>
      <c r="ET129" s="581"/>
      <c r="EU129" s="581"/>
      <c r="EV129" s="100"/>
      <c r="EW129" s="580"/>
      <c r="EX129" s="581"/>
      <c r="EY129" s="581"/>
      <c r="EZ129" s="581"/>
      <c r="FA129" s="100"/>
      <c r="FB129" s="580"/>
      <c r="FC129" s="581"/>
      <c r="FD129" s="581"/>
      <c r="FE129" s="581"/>
      <c r="FF129" s="100"/>
      <c r="FG129" s="580"/>
      <c r="FH129" s="581"/>
      <c r="FI129" s="581"/>
      <c r="FJ129" s="581"/>
      <c r="FK129" s="100"/>
      <c r="FL129" s="580"/>
      <c r="FM129" s="581"/>
      <c r="FN129" s="581"/>
      <c r="FO129" s="581"/>
      <c r="FP129" s="100"/>
      <c r="FQ129" s="580"/>
      <c r="FR129" s="581"/>
      <c r="FS129" s="581"/>
      <c r="FT129" s="581"/>
      <c r="FU129" s="100"/>
      <c r="FV129" s="580"/>
      <c r="FW129" s="581"/>
      <c r="FX129" s="581"/>
      <c r="FY129" s="581"/>
      <c r="FZ129" s="100"/>
      <c r="GA129" s="580"/>
      <c r="GB129" s="581"/>
      <c r="GC129" s="581"/>
      <c r="GD129" s="581"/>
      <c r="GE129" s="100"/>
    </row>
    <row r="130" spans="3:187" ht="12.75" customHeight="1">
      <c r="C130" s="139"/>
      <c r="D130" s="105"/>
      <c r="E130" s="105"/>
      <c r="F130" s="105"/>
      <c r="G130" s="100"/>
      <c r="H130" s="139"/>
      <c r="I130" s="105"/>
      <c r="J130" s="105"/>
      <c r="K130" s="105"/>
      <c r="L130" s="100"/>
      <c r="M130" s="139"/>
      <c r="N130" s="105"/>
      <c r="O130" s="105"/>
      <c r="P130" s="105"/>
      <c r="Q130" s="100"/>
      <c r="R130" s="139"/>
      <c r="S130" s="105"/>
      <c r="T130" s="105"/>
      <c r="U130" s="105"/>
      <c r="V130" s="100"/>
      <c r="W130" s="139"/>
      <c r="X130" s="105"/>
      <c r="Y130" s="105"/>
      <c r="Z130" s="105"/>
      <c r="AA130" s="100"/>
      <c r="AB130" s="139"/>
      <c r="AC130" s="105"/>
      <c r="AD130" s="105"/>
      <c r="AE130" s="105"/>
      <c r="AF130" s="100"/>
      <c r="AG130" s="139"/>
      <c r="AH130" s="105"/>
      <c r="AI130" s="105"/>
      <c r="AJ130" s="105"/>
      <c r="AK130" s="100"/>
      <c r="AL130" s="139"/>
      <c r="AM130" s="105"/>
      <c r="AN130" s="105"/>
      <c r="AO130" s="105"/>
      <c r="AP130" s="100"/>
      <c r="AQ130" s="139"/>
      <c r="AR130" s="105"/>
      <c r="AS130" s="105"/>
      <c r="AT130" s="105"/>
      <c r="AU130" s="100"/>
      <c r="AV130" s="139"/>
      <c r="AW130" s="105"/>
      <c r="AX130" s="105"/>
      <c r="AY130" s="105"/>
      <c r="AZ130" s="100"/>
      <c r="BA130" s="139"/>
      <c r="BB130" s="105"/>
      <c r="BC130" s="105"/>
      <c r="BD130" s="105"/>
      <c r="BE130" s="100"/>
      <c r="BF130" s="139"/>
      <c r="BG130" s="105"/>
      <c r="BH130" s="105"/>
      <c r="BI130" s="105"/>
      <c r="BJ130" s="100"/>
      <c r="BK130" s="139"/>
      <c r="BL130" s="105"/>
      <c r="BM130" s="105"/>
      <c r="BN130" s="105"/>
      <c r="BO130" s="100"/>
      <c r="BP130" s="139"/>
      <c r="BQ130" s="105"/>
      <c r="BR130" s="105"/>
      <c r="BS130" s="105"/>
      <c r="BT130" s="100"/>
      <c r="BU130" s="139"/>
      <c r="BV130" s="105"/>
      <c r="BW130" s="105"/>
      <c r="BX130" s="105"/>
      <c r="BY130" s="100"/>
      <c r="BZ130" s="139"/>
      <c r="CA130" s="105"/>
      <c r="CB130" s="105"/>
      <c r="CC130" s="105"/>
      <c r="CD130" s="100"/>
      <c r="CE130" s="139"/>
      <c r="CF130" s="105"/>
      <c r="CG130" s="105"/>
      <c r="CH130" s="105"/>
      <c r="CI130" s="100"/>
      <c r="CJ130" s="139"/>
      <c r="CK130" s="105"/>
      <c r="CL130" s="105"/>
      <c r="CM130" s="105"/>
      <c r="CN130" s="100"/>
      <c r="CO130" s="139"/>
      <c r="CP130" s="105"/>
      <c r="CQ130" s="105"/>
      <c r="CR130" s="105"/>
      <c r="CS130" s="100"/>
      <c r="CT130" s="139"/>
      <c r="CU130" s="105"/>
      <c r="CV130" s="105"/>
      <c r="CW130" s="105"/>
      <c r="CX130" s="100"/>
      <c r="CY130" s="139"/>
      <c r="CZ130" s="105"/>
      <c r="DA130" s="105"/>
      <c r="DB130" s="105"/>
      <c r="DC130" s="100"/>
      <c r="DD130" s="139"/>
      <c r="DE130" s="105"/>
      <c r="DF130" s="105"/>
      <c r="DG130" s="105"/>
      <c r="DH130" s="100"/>
      <c r="DI130" s="139"/>
      <c r="DJ130" s="105"/>
      <c r="DK130" s="105"/>
      <c r="DL130" s="105"/>
      <c r="DM130" s="100"/>
      <c r="DN130" s="139"/>
      <c r="DO130" s="105"/>
      <c r="DP130" s="105"/>
      <c r="DQ130" s="105"/>
      <c r="DR130" s="100"/>
      <c r="DS130" s="139"/>
      <c r="DT130" s="105"/>
      <c r="DU130" s="105"/>
      <c r="DV130" s="105"/>
      <c r="DW130" s="100"/>
      <c r="DX130" s="139"/>
      <c r="DY130" s="105"/>
      <c r="DZ130" s="105"/>
      <c r="EA130" s="105"/>
      <c r="EB130" s="100"/>
      <c r="EC130" s="139"/>
      <c r="ED130" s="105"/>
      <c r="EE130" s="105"/>
      <c r="EF130" s="105"/>
      <c r="EG130" s="100"/>
      <c r="EH130" s="139"/>
      <c r="EI130" s="105"/>
      <c r="EJ130" s="105"/>
      <c r="EK130" s="105"/>
      <c r="EL130" s="100"/>
      <c r="EM130" s="139"/>
      <c r="EN130" s="105"/>
      <c r="EO130" s="105"/>
      <c r="EP130" s="105"/>
      <c r="EQ130" s="100"/>
      <c r="ER130" s="139"/>
      <c r="ES130" s="105"/>
      <c r="ET130" s="105"/>
      <c r="EU130" s="105"/>
      <c r="EV130" s="100"/>
      <c r="EW130" s="139"/>
      <c r="EX130" s="105"/>
      <c r="EY130" s="105"/>
      <c r="EZ130" s="105"/>
      <c r="FA130" s="100"/>
      <c r="FB130" s="139"/>
      <c r="FC130" s="105"/>
      <c r="FD130" s="105"/>
      <c r="FE130" s="105"/>
      <c r="FF130" s="100"/>
      <c r="FG130" s="139"/>
      <c r="FH130" s="105"/>
      <c r="FI130" s="105"/>
      <c r="FJ130" s="105"/>
      <c r="FK130" s="100"/>
      <c r="FL130" s="139"/>
      <c r="FM130" s="105"/>
      <c r="FN130" s="105"/>
      <c r="FO130" s="105"/>
      <c r="FP130" s="100"/>
      <c r="FQ130" s="139"/>
      <c r="FR130" s="105"/>
      <c r="FS130" s="105"/>
      <c r="FT130" s="105"/>
      <c r="FU130" s="100"/>
      <c r="FV130" s="139"/>
      <c r="FW130" s="105"/>
      <c r="FX130" s="105"/>
      <c r="FY130" s="105"/>
      <c r="FZ130" s="100"/>
      <c r="GA130" s="139"/>
      <c r="GB130" s="105"/>
      <c r="GC130" s="105"/>
      <c r="GD130" s="105"/>
      <c r="GE130" s="100"/>
    </row>
    <row r="131" spans="3:187" ht="12.75" customHeight="1">
      <c r="G131" s="100"/>
      <c r="L131" s="100"/>
      <c r="Q131" s="100"/>
      <c r="V131" s="100"/>
      <c r="AA131" s="100"/>
      <c r="AF131" s="100"/>
      <c r="AK131" s="100"/>
      <c r="AP131" s="100"/>
      <c r="AU131" s="100"/>
      <c r="AZ131" s="100"/>
      <c r="BE131" s="100"/>
      <c r="BJ131" s="100"/>
      <c r="BO131" s="100"/>
      <c r="BT131" s="100"/>
      <c r="BY131" s="100"/>
      <c r="CD131" s="100"/>
      <c r="CI131" s="100"/>
      <c r="CN131" s="100"/>
      <c r="CS131" s="100"/>
      <c r="CX131" s="100"/>
      <c r="DC131" s="100"/>
      <c r="DH131" s="100"/>
      <c r="DM131" s="100"/>
      <c r="DR131" s="100"/>
      <c r="DW131" s="100"/>
      <c r="EB131" s="100"/>
      <c r="EG131" s="100"/>
      <c r="EL131" s="100"/>
      <c r="EQ131" s="100"/>
      <c r="EV131" s="100"/>
      <c r="FA131" s="100"/>
      <c r="FF131" s="100"/>
      <c r="FK131" s="100"/>
      <c r="FP131" s="100"/>
      <c r="FU131" s="100"/>
      <c r="FZ131" s="100"/>
      <c r="GE131" s="100"/>
    </row>
    <row r="132" spans="3:187" ht="12.75" customHeight="1">
      <c r="G132" s="100"/>
      <c r="L132" s="100"/>
      <c r="Q132" s="100"/>
      <c r="V132" s="100"/>
      <c r="AA132" s="100"/>
      <c r="AF132" s="100"/>
      <c r="AK132" s="100"/>
      <c r="AP132" s="100"/>
      <c r="AU132" s="100"/>
      <c r="AZ132" s="100"/>
      <c r="BE132" s="100"/>
      <c r="BJ132" s="100"/>
      <c r="BO132" s="100"/>
      <c r="BT132" s="100"/>
      <c r="BY132" s="100"/>
      <c r="CD132" s="100"/>
      <c r="CI132" s="100"/>
      <c r="CN132" s="100"/>
      <c r="CS132" s="100"/>
      <c r="CX132" s="100"/>
      <c r="DC132" s="100"/>
      <c r="DH132" s="100"/>
      <c r="DM132" s="100"/>
      <c r="DR132" s="100"/>
      <c r="DW132" s="100"/>
      <c r="EB132" s="100"/>
      <c r="EG132" s="100"/>
      <c r="EL132" s="100"/>
      <c r="EQ132" s="100"/>
      <c r="EV132" s="100"/>
      <c r="FA132" s="100"/>
      <c r="FF132" s="100"/>
      <c r="FK132" s="100"/>
      <c r="FP132" s="100"/>
      <c r="FU132" s="100"/>
      <c r="FZ132" s="100"/>
      <c r="GE132" s="100"/>
    </row>
    <row r="133" spans="3:187" ht="12.75" customHeight="1">
      <c r="G133" s="100"/>
      <c r="L133" s="100"/>
      <c r="Q133" s="100"/>
      <c r="V133" s="100"/>
      <c r="AA133" s="100"/>
      <c r="AF133" s="100"/>
      <c r="AK133" s="100"/>
      <c r="AP133" s="100"/>
      <c r="AU133" s="100"/>
      <c r="AZ133" s="100"/>
      <c r="BE133" s="100"/>
      <c r="BJ133" s="100"/>
      <c r="BO133" s="100"/>
      <c r="BT133" s="100"/>
      <c r="BY133" s="100"/>
      <c r="CD133" s="100"/>
      <c r="CI133" s="100"/>
      <c r="CN133" s="100"/>
      <c r="CS133" s="100"/>
      <c r="CX133" s="100"/>
      <c r="DC133" s="100"/>
      <c r="DH133" s="100"/>
      <c r="DM133" s="100"/>
      <c r="DR133" s="100"/>
      <c r="DW133" s="100"/>
      <c r="EB133" s="100"/>
      <c r="EG133" s="100"/>
      <c r="EL133" s="100"/>
      <c r="EQ133" s="100"/>
      <c r="EV133" s="100"/>
      <c r="FA133" s="100"/>
      <c r="FF133" s="100"/>
      <c r="FK133" s="100"/>
      <c r="FP133" s="100"/>
      <c r="FU133" s="100"/>
      <c r="FZ133" s="100"/>
      <c r="GE133" s="100"/>
    </row>
    <row r="134" spans="3:187" ht="12.75" customHeight="1">
      <c r="C134" s="580"/>
      <c r="D134" s="581"/>
      <c r="E134" s="581"/>
      <c r="F134" s="581"/>
      <c r="G134" s="100"/>
      <c r="H134" s="580"/>
      <c r="I134" s="581"/>
      <c r="J134" s="581"/>
      <c r="K134" s="581"/>
      <c r="L134" s="100"/>
      <c r="M134" s="580"/>
      <c r="N134" s="581"/>
      <c r="O134" s="581"/>
      <c r="P134" s="581"/>
      <c r="Q134" s="100"/>
      <c r="R134" s="580"/>
      <c r="S134" s="581"/>
      <c r="T134" s="581"/>
      <c r="U134" s="581"/>
      <c r="V134" s="100"/>
      <c r="W134" s="580"/>
      <c r="X134" s="581"/>
      <c r="Y134" s="581"/>
      <c r="Z134" s="581"/>
      <c r="AA134" s="100"/>
      <c r="AB134" s="580"/>
      <c r="AC134" s="581"/>
      <c r="AD134" s="581"/>
      <c r="AE134" s="581"/>
      <c r="AF134" s="100"/>
      <c r="AG134" s="580"/>
      <c r="AH134" s="581"/>
      <c r="AI134" s="581"/>
      <c r="AJ134" s="581"/>
      <c r="AK134" s="100"/>
      <c r="AL134" s="580"/>
      <c r="AM134" s="581"/>
      <c r="AN134" s="581"/>
      <c r="AO134" s="581"/>
      <c r="AP134" s="100"/>
      <c r="AQ134" s="580"/>
      <c r="AR134" s="581"/>
      <c r="AS134" s="581"/>
      <c r="AT134" s="581"/>
      <c r="AU134" s="100"/>
      <c r="AV134" s="580"/>
      <c r="AW134" s="581"/>
      <c r="AX134" s="581"/>
      <c r="AY134" s="581"/>
      <c r="AZ134" s="100"/>
      <c r="BA134" s="580"/>
      <c r="BB134" s="581"/>
      <c r="BC134" s="581"/>
      <c r="BD134" s="581"/>
      <c r="BE134" s="100"/>
      <c r="BF134" s="580"/>
      <c r="BG134" s="581"/>
      <c r="BH134" s="581"/>
      <c r="BI134" s="581"/>
      <c r="BJ134" s="100"/>
      <c r="BK134" s="580"/>
      <c r="BL134" s="581"/>
      <c r="BM134" s="581"/>
      <c r="BN134" s="581"/>
      <c r="BO134" s="100"/>
      <c r="BP134" s="580"/>
      <c r="BQ134" s="581"/>
      <c r="BR134" s="581"/>
      <c r="BS134" s="581"/>
      <c r="BT134" s="100"/>
      <c r="BU134" s="580"/>
      <c r="BV134" s="581"/>
      <c r="BW134" s="581"/>
      <c r="BX134" s="581"/>
      <c r="BY134" s="100"/>
      <c r="BZ134" s="580"/>
      <c r="CA134" s="581"/>
      <c r="CB134" s="581"/>
      <c r="CC134" s="581"/>
      <c r="CD134" s="100"/>
      <c r="CE134" s="580"/>
      <c r="CF134" s="581"/>
      <c r="CG134" s="581"/>
      <c r="CH134" s="581"/>
      <c r="CI134" s="100"/>
      <c r="CJ134" s="580"/>
      <c r="CK134" s="581"/>
      <c r="CL134" s="581"/>
      <c r="CM134" s="581"/>
      <c r="CN134" s="100"/>
      <c r="CO134" s="580"/>
      <c r="CP134" s="581"/>
      <c r="CQ134" s="581"/>
      <c r="CR134" s="581"/>
      <c r="CS134" s="100"/>
      <c r="CT134" s="580"/>
      <c r="CU134" s="581"/>
      <c r="CV134" s="581"/>
      <c r="CW134" s="581"/>
      <c r="CX134" s="100"/>
      <c r="CY134" s="580"/>
      <c r="CZ134" s="581"/>
      <c r="DA134" s="581"/>
      <c r="DB134" s="581"/>
      <c r="DC134" s="100"/>
      <c r="DD134" s="580"/>
      <c r="DE134" s="581"/>
      <c r="DF134" s="581"/>
      <c r="DG134" s="581"/>
      <c r="DH134" s="100"/>
      <c r="DI134" s="580"/>
      <c r="DJ134" s="581"/>
      <c r="DK134" s="581"/>
      <c r="DL134" s="581"/>
      <c r="DM134" s="100"/>
      <c r="DN134" s="580"/>
      <c r="DO134" s="581"/>
      <c r="DP134" s="581"/>
      <c r="DQ134" s="581"/>
      <c r="DR134" s="100"/>
      <c r="DS134" s="580"/>
      <c r="DT134" s="581"/>
      <c r="DU134" s="581"/>
      <c r="DV134" s="581"/>
      <c r="DW134" s="100"/>
      <c r="DX134" s="580"/>
      <c r="DY134" s="581"/>
      <c r="DZ134" s="581"/>
      <c r="EA134" s="581"/>
      <c r="EB134" s="100"/>
      <c r="EC134" s="580"/>
      <c r="ED134" s="581"/>
      <c r="EE134" s="581"/>
      <c r="EF134" s="581"/>
      <c r="EG134" s="100"/>
      <c r="EH134" s="580"/>
      <c r="EI134" s="581"/>
      <c r="EJ134" s="581"/>
      <c r="EK134" s="581"/>
      <c r="EL134" s="100"/>
      <c r="EM134" s="580"/>
      <c r="EN134" s="581"/>
      <c r="EO134" s="581"/>
      <c r="EP134" s="581"/>
      <c r="EQ134" s="100"/>
      <c r="ER134" s="580"/>
      <c r="ES134" s="581"/>
      <c r="ET134" s="581"/>
      <c r="EU134" s="581"/>
      <c r="EV134" s="100"/>
      <c r="EW134" s="580"/>
      <c r="EX134" s="581"/>
      <c r="EY134" s="581"/>
      <c r="EZ134" s="581"/>
      <c r="FA134" s="100"/>
      <c r="FB134" s="580"/>
      <c r="FC134" s="581"/>
      <c r="FD134" s="581"/>
      <c r="FE134" s="581"/>
      <c r="FF134" s="100"/>
      <c r="FG134" s="580"/>
      <c r="FH134" s="581"/>
      <c r="FI134" s="581"/>
      <c r="FJ134" s="581"/>
      <c r="FK134" s="100"/>
      <c r="FL134" s="580"/>
      <c r="FM134" s="581"/>
      <c r="FN134" s="581"/>
      <c r="FO134" s="581"/>
      <c r="FP134" s="100"/>
      <c r="FQ134" s="580"/>
      <c r="FR134" s="581"/>
      <c r="FS134" s="581"/>
      <c r="FT134" s="581"/>
      <c r="FU134" s="100"/>
      <c r="FV134" s="580"/>
      <c r="FW134" s="581"/>
      <c r="FX134" s="581"/>
      <c r="FY134" s="581"/>
      <c r="FZ134" s="100"/>
      <c r="GA134" s="580"/>
      <c r="GB134" s="581"/>
      <c r="GC134" s="581"/>
      <c r="GD134" s="581"/>
      <c r="GE134" s="100"/>
    </row>
    <row r="135" spans="3:187" ht="12.75" customHeight="1">
      <c r="G135" s="100"/>
      <c r="L135" s="100"/>
      <c r="Q135" s="100"/>
      <c r="V135" s="100"/>
      <c r="AA135" s="100"/>
      <c r="AF135" s="100"/>
      <c r="AK135" s="100"/>
      <c r="AP135" s="100"/>
      <c r="AU135" s="100"/>
      <c r="AZ135" s="100"/>
      <c r="BE135" s="100"/>
      <c r="BJ135" s="100"/>
      <c r="BO135" s="100"/>
      <c r="BT135" s="100"/>
      <c r="BY135" s="100"/>
      <c r="CD135" s="100"/>
      <c r="CI135" s="100"/>
      <c r="CN135" s="100"/>
      <c r="CS135" s="100"/>
      <c r="CX135" s="100"/>
      <c r="DC135" s="100"/>
      <c r="DH135" s="100"/>
      <c r="DM135" s="100"/>
      <c r="DR135" s="100"/>
      <c r="DW135" s="100"/>
      <c r="EB135" s="100"/>
      <c r="EG135" s="100"/>
      <c r="EL135" s="100"/>
      <c r="EQ135" s="100"/>
      <c r="EV135" s="100"/>
      <c r="FA135" s="100"/>
      <c r="FF135" s="100"/>
      <c r="FK135" s="100"/>
      <c r="FP135" s="100"/>
      <c r="FU135" s="100"/>
      <c r="FZ135" s="100"/>
      <c r="GE135" s="100"/>
    </row>
    <row r="136" spans="3:187" ht="12.75" customHeight="1">
      <c r="G136" s="100"/>
      <c r="L136" s="100"/>
      <c r="Q136" s="100"/>
      <c r="V136" s="100"/>
      <c r="AA136" s="100"/>
      <c r="AF136" s="100"/>
      <c r="AK136" s="100"/>
      <c r="AP136" s="100"/>
      <c r="AU136" s="100"/>
      <c r="AZ136" s="100"/>
      <c r="BE136" s="100"/>
      <c r="BJ136" s="100"/>
      <c r="BO136" s="100"/>
      <c r="BT136" s="100"/>
      <c r="BY136" s="100"/>
      <c r="CD136" s="100"/>
      <c r="CI136" s="100"/>
      <c r="CN136" s="100"/>
      <c r="CS136" s="100"/>
      <c r="CX136" s="100"/>
      <c r="DC136" s="100"/>
      <c r="DH136" s="100"/>
      <c r="DM136" s="100"/>
      <c r="DR136" s="100"/>
      <c r="DW136" s="100"/>
      <c r="EB136" s="100"/>
      <c r="EG136" s="100"/>
      <c r="EL136" s="100"/>
      <c r="EQ136" s="100"/>
      <c r="EV136" s="100"/>
      <c r="FA136" s="100"/>
      <c r="FF136" s="100"/>
      <c r="FK136" s="100"/>
      <c r="FP136" s="100"/>
      <c r="FU136" s="100"/>
      <c r="FZ136" s="100"/>
      <c r="GE136" s="100"/>
    </row>
    <row r="137" spans="3:187" ht="12.75" customHeight="1">
      <c r="G137" s="100"/>
      <c r="L137" s="100"/>
      <c r="Q137" s="100"/>
      <c r="V137" s="100"/>
      <c r="AA137" s="100"/>
      <c r="AF137" s="100"/>
      <c r="AK137" s="100"/>
      <c r="AP137" s="100"/>
      <c r="AU137" s="100"/>
      <c r="AZ137" s="100"/>
      <c r="BE137" s="100"/>
      <c r="BJ137" s="100"/>
      <c r="BO137" s="100"/>
      <c r="BT137" s="100"/>
      <c r="BY137" s="100"/>
      <c r="CD137" s="100"/>
      <c r="CI137" s="100"/>
      <c r="CN137" s="100"/>
      <c r="CS137" s="100"/>
      <c r="CX137" s="100"/>
      <c r="DC137" s="100"/>
      <c r="DH137" s="100"/>
      <c r="DM137" s="100"/>
      <c r="DR137" s="100"/>
      <c r="DW137" s="100"/>
      <c r="EB137" s="100"/>
      <c r="EG137" s="100"/>
      <c r="EL137" s="100"/>
      <c r="EQ137" s="100"/>
      <c r="EV137" s="100"/>
      <c r="FA137" s="100"/>
      <c r="FF137" s="100"/>
      <c r="FK137" s="100"/>
      <c r="FP137" s="100"/>
      <c r="FU137" s="100"/>
      <c r="FZ137" s="100"/>
      <c r="GE137" s="100"/>
    </row>
    <row r="213" spans="3:187" ht="12.75" customHeight="1">
      <c r="C213" s="148"/>
      <c r="D213" s="148"/>
      <c r="E213" s="148"/>
      <c r="F213" s="148"/>
      <c r="G213" s="148"/>
      <c r="H213" s="148"/>
      <c r="I213" s="148"/>
      <c r="J213" s="148"/>
      <c r="K213" s="148"/>
      <c r="L213" s="148"/>
      <c r="M213" s="148"/>
      <c r="N213" s="148"/>
      <c r="O213" s="148"/>
      <c r="P213" s="148"/>
      <c r="Q213" s="148"/>
      <c r="R213" s="148"/>
      <c r="S213" s="148"/>
      <c r="T213" s="148"/>
      <c r="U213" s="148"/>
      <c r="V213" s="148"/>
      <c r="W213" s="148"/>
      <c r="X213" s="148"/>
      <c r="Y213" s="148"/>
      <c r="Z213" s="148"/>
      <c r="AA213" s="148"/>
      <c r="AB213" s="148"/>
      <c r="AC213" s="148"/>
      <c r="AD213" s="148"/>
      <c r="AE213" s="148"/>
      <c r="AF213" s="148"/>
      <c r="AG213" s="148"/>
      <c r="AH213" s="148"/>
      <c r="AI213" s="148"/>
      <c r="AJ213" s="148"/>
      <c r="AK213" s="148"/>
      <c r="AL213" s="148"/>
      <c r="AM213" s="148"/>
      <c r="AN213" s="148"/>
      <c r="AO213" s="148"/>
      <c r="AP213" s="148"/>
      <c r="AQ213" s="148"/>
      <c r="AR213" s="148"/>
      <c r="AS213" s="148"/>
      <c r="AT213" s="148"/>
      <c r="AU213" s="148"/>
      <c r="AV213" s="148"/>
      <c r="AW213" s="148"/>
      <c r="AX213" s="148"/>
      <c r="AY213" s="148"/>
      <c r="AZ213" s="148"/>
      <c r="BA213" s="148"/>
      <c r="BB213" s="148"/>
      <c r="BC213" s="148"/>
      <c r="BD213" s="148"/>
      <c r="BE213" s="148"/>
      <c r="BF213" s="148"/>
      <c r="BG213" s="148"/>
      <c r="BH213" s="148"/>
      <c r="BI213" s="148"/>
      <c r="BJ213" s="148"/>
      <c r="BK213" s="148"/>
      <c r="BL213" s="148"/>
      <c r="BM213" s="148"/>
      <c r="BN213" s="148"/>
      <c r="BO213" s="148"/>
      <c r="BP213" s="148"/>
      <c r="BQ213" s="148"/>
      <c r="BR213" s="148"/>
      <c r="BS213" s="148"/>
      <c r="BT213" s="148"/>
      <c r="BU213" s="148"/>
      <c r="BV213" s="148"/>
      <c r="BW213" s="148"/>
      <c r="BX213" s="148"/>
      <c r="BY213" s="148"/>
      <c r="BZ213" s="148"/>
      <c r="CA213" s="148"/>
      <c r="CB213" s="148"/>
      <c r="CC213" s="148"/>
      <c r="CD213" s="148"/>
      <c r="CE213" s="148"/>
      <c r="CF213" s="148"/>
      <c r="CG213" s="148"/>
      <c r="CH213" s="148"/>
      <c r="CI213" s="148"/>
      <c r="CJ213" s="148"/>
      <c r="CK213" s="148"/>
      <c r="CL213" s="148"/>
      <c r="CM213" s="148"/>
      <c r="CN213" s="148"/>
      <c r="CO213" s="148"/>
      <c r="CP213" s="148"/>
      <c r="CQ213" s="148"/>
      <c r="CR213" s="148"/>
      <c r="CS213" s="148"/>
      <c r="CT213" s="148"/>
      <c r="CU213" s="148"/>
      <c r="CV213" s="148"/>
      <c r="CW213" s="148"/>
      <c r="CX213" s="148"/>
      <c r="CY213" s="148"/>
      <c r="CZ213" s="148"/>
      <c r="DA213" s="148"/>
      <c r="DB213" s="148"/>
      <c r="DC213" s="148"/>
      <c r="DD213" s="148"/>
      <c r="DE213" s="148"/>
      <c r="DF213" s="148"/>
      <c r="DG213" s="148"/>
      <c r="DH213" s="148"/>
      <c r="DI213" s="148"/>
      <c r="DJ213" s="148"/>
      <c r="DK213" s="148"/>
      <c r="DL213" s="148"/>
      <c r="DM213" s="148"/>
      <c r="DN213" s="148"/>
      <c r="DO213" s="148"/>
      <c r="DP213" s="148"/>
      <c r="DQ213" s="148"/>
      <c r="DR213" s="148"/>
      <c r="DS213" s="148"/>
      <c r="DT213" s="148"/>
      <c r="DU213" s="148"/>
      <c r="DV213" s="148"/>
      <c r="DW213" s="148"/>
      <c r="DX213" s="148"/>
      <c r="DY213" s="148"/>
      <c r="DZ213" s="148"/>
      <c r="EA213" s="148"/>
      <c r="EB213" s="148"/>
      <c r="EC213" s="148"/>
      <c r="ED213" s="148"/>
      <c r="EE213" s="148"/>
      <c r="EF213" s="148"/>
      <c r="EG213" s="148"/>
      <c r="EH213" s="148"/>
      <c r="EI213" s="148"/>
      <c r="EJ213" s="148"/>
      <c r="EK213" s="148"/>
      <c r="EL213" s="148"/>
      <c r="EM213" s="148"/>
      <c r="EN213" s="148"/>
      <c r="EO213" s="148"/>
      <c r="EP213" s="148"/>
      <c r="EQ213" s="148"/>
      <c r="ER213" s="148"/>
      <c r="ES213" s="148"/>
      <c r="ET213" s="148"/>
      <c r="EU213" s="148"/>
      <c r="EV213" s="148"/>
      <c r="EW213" s="148"/>
      <c r="EX213" s="148"/>
      <c r="EY213" s="148"/>
      <c r="EZ213" s="148"/>
      <c r="FA213" s="148"/>
      <c r="FB213" s="148"/>
      <c r="FC213" s="148"/>
      <c r="FD213" s="148"/>
      <c r="FE213" s="148"/>
      <c r="FF213" s="148"/>
      <c r="FG213" s="148"/>
      <c r="FH213" s="148"/>
      <c r="FI213" s="148"/>
      <c r="FJ213" s="148"/>
      <c r="FK213" s="148"/>
      <c r="FL213" s="148"/>
      <c r="FM213" s="148"/>
      <c r="FN213" s="148"/>
      <c r="FO213" s="148"/>
      <c r="FP213" s="148"/>
      <c r="FQ213" s="148"/>
      <c r="FR213" s="148"/>
      <c r="FS213" s="148"/>
      <c r="FT213" s="148"/>
      <c r="FU213" s="148"/>
      <c r="FV213" s="148"/>
      <c r="FW213" s="148"/>
      <c r="FX213" s="148"/>
      <c r="FY213" s="148"/>
      <c r="FZ213" s="148"/>
      <c r="GA213" s="148"/>
      <c r="GB213" s="148"/>
      <c r="GC213" s="148"/>
      <c r="GD213" s="148"/>
      <c r="GE213" s="148"/>
    </row>
    <row r="214" spans="3:187" ht="12.75" customHeight="1">
      <c r="C214" s="148"/>
      <c r="D214" s="148"/>
      <c r="E214" s="148"/>
      <c r="F214" s="148"/>
      <c r="G214" s="148"/>
      <c r="H214" s="148"/>
      <c r="I214" s="148"/>
      <c r="J214" s="148"/>
      <c r="K214" s="148"/>
      <c r="L214" s="148"/>
      <c r="M214" s="148"/>
      <c r="N214" s="148"/>
      <c r="O214" s="148"/>
      <c r="P214" s="148"/>
      <c r="Q214" s="148"/>
      <c r="R214" s="148"/>
      <c r="S214" s="148"/>
      <c r="T214" s="148"/>
      <c r="U214" s="148"/>
      <c r="V214" s="148"/>
      <c r="W214" s="148"/>
      <c r="X214" s="148"/>
      <c r="Y214" s="148"/>
      <c r="Z214" s="148"/>
      <c r="AA214" s="148"/>
      <c r="AB214" s="148"/>
      <c r="AC214" s="148"/>
      <c r="AD214" s="148"/>
      <c r="AE214" s="148"/>
      <c r="AF214" s="148"/>
      <c r="AG214" s="148"/>
      <c r="AH214" s="148"/>
      <c r="AI214" s="148"/>
      <c r="AJ214" s="148"/>
      <c r="AK214" s="148"/>
      <c r="AL214" s="148"/>
      <c r="AM214" s="148"/>
      <c r="AN214" s="148"/>
      <c r="AO214" s="148"/>
      <c r="AP214" s="148"/>
      <c r="AQ214" s="148"/>
      <c r="AR214" s="148"/>
      <c r="AS214" s="148"/>
      <c r="AT214" s="148"/>
      <c r="AU214" s="148"/>
      <c r="AV214" s="148"/>
      <c r="AW214" s="148"/>
      <c r="AX214" s="148"/>
      <c r="AY214" s="148"/>
      <c r="AZ214" s="148"/>
      <c r="BA214" s="148"/>
      <c r="BB214" s="148"/>
      <c r="BC214" s="148"/>
      <c r="BD214" s="148"/>
      <c r="BE214" s="148"/>
      <c r="BF214" s="148"/>
      <c r="BG214" s="148"/>
      <c r="BH214" s="148"/>
      <c r="BI214" s="148"/>
      <c r="BJ214" s="148"/>
      <c r="BK214" s="148"/>
      <c r="BL214" s="148"/>
      <c r="BM214" s="148"/>
      <c r="BN214" s="148"/>
      <c r="BO214" s="148"/>
      <c r="BP214" s="148"/>
      <c r="BQ214" s="148"/>
      <c r="BR214" s="148"/>
      <c r="BS214" s="148"/>
      <c r="BT214" s="148"/>
      <c r="BU214" s="148"/>
      <c r="BV214" s="148"/>
      <c r="BW214" s="148"/>
      <c r="BX214" s="148"/>
      <c r="BY214" s="148"/>
      <c r="BZ214" s="148"/>
      <c r="CA214" s="148"/>
      <c r="CB214" s="148"/>
      <c r="CC214" s="148"/>
      <c r="CD214" s="148"/>
      <c r="CE214" s="148"/>
      <c r="CF214" s="148"/>
      <c r="CG214" s="148"/>
      <c r="CH214" s="148"/>
      <c r="CI214" s="148"/>
      <c r="CJ214" s="148"/>
      <c r="CK214" s="148"/>
      <c r="CL214" s="148"/>
      <c r="CM214" s="148"/>
      <c r="CN214" s="148"/>
      <c r="CO214" s="148"/>
      <c r="CP214" s="148"/>
      <c r="CQ214" s="148"/>
      <c r="CR214" s="148"/>
      <c r="CS214" s="148"/>
      <c r="CT214" s="148"/>
      <c r="CU214" s="148"/>
      <c r="CV214" s="148"/>
      <c r="CW214" s="148"/>
      <c r="CX214" s="148"/>
      <c r="CY214" s="148"/>
      <c r="CZ214" s="148"/>
      <c r="DA214" s="148"/>
      <c r="DB214" s="148"/>
      <c r="DC214" s="148"/>
      <c r="DD214" s="148"/>
      <c r="DE214" s="148"/>
      <c r="DF214" s="148"/>
      <c r="DG214" s="148"/>
      <c r="DH214" s="148"/>
      <c r="DI214" s="148"/>
      <c r="DJ214" s="148"/>
      <c r="DK214" s="148"/>
      <c r="DL214" s="148"/>
      <c r="DM214" s="148"/>
      <c r="DN214" s="148"/>
      <c r="DO214" s="148"/>
      <c r="DP214" s="148"/>
      <c r="DQ214" s="148"/>
      <c r="DR214" s="148"/>
      <c r="DS214" s="148"/>
      <c r="DT214" s="148"/>
      <c r="DU214" s="148"/>
      <c r="DV214" s="148"/>
      <c r="DW214" s="148"/>
      <c r="DX214" s="148"/>
      <c r="DY214" s="148"/>
      <c r="DZ214" s="148"/>
      <c r="EA214" s="148"/>
      <c r="EB214" s="148"/>
      <c r="EC214" s="148"/>
      <c r="ED214" s="148"/>
      <c r="EE214" s="148"/>
      <c r="EF214" s="148"/>
      <c r="EG214" s="148"/>
      <c r="EH214" s="148"/>
      <c r="EI214" s="148"/>
      <c r="EJ214" s="148"/>
      <c r="EK214" s="148"/>
      <c r="EL214" s="148"/>
      <c r="EM214" s="148"/>
      <c r="EN214" s="148"/>
      <c r="EO214" s="148"/>
      <c r="EP214" s="148"/>
      <c r="EQ214" s="148"/>
      <c r="ER214" s="148"/>
      <c r="ES214" s="148"/>
      <c r="ET214" s="148"/>
      <c r="EU214" s="148"/>
      <c r="EV214" s="148"/>
      <c r="EW214" s="148"/>
      <c r="EX214" s="148"/>
      <c r="EY214" s="148"/>
      <c r="EZ214" s="148"/>
      <c r="FA214" s="148"/>
      <c r="FB214" s="148"/>
      <c r="FC214" s="148"/>
      <c r="FD214" s="148"/>
      <c r="FE214" s="148"/>
      <c r="FF214" s="148"/>
      <c r="FG214" s="148"/>
      <c r="FH214" s="148"/>
      <c r="FI214" s="148"/>
      <c r="FJ214" s="148"/>
      <c r="FK214" s="148"/>
      <c r="FL214" s="148"/>
      <c r="FM214" s="148"/>
      <c r="FN214" s="148"/>
      <c r="FO214" s="148"/>
      <c r="FP214" s="148"/>
      <c r="FQ214" s="148"/>
      <c r="FR214" s="148"/>
      <c r="FS214" s="148"/>
      <c r="FT214" s="148"/>
      <c r="FU214" s="148"/>
      <c r="FV214" s="148"/>
      <c r="FW214" s="148"/>
      <c r="FX214" s="148"/>
      <c r="FY214" s="148"/>
      <c r="FZ214" s="148"/>
      <c r="GA214" s="148"/>
      <c r="GB214" s="148"/>
      <c r="GC214" s="148"/>
      <c r="GD214" s="148"/>
      <c r="GE214" s="148"/>
    </row>
    <row r="215" spans="3:187" ht="12.75" customHeight="1">
      <c r="C215" s="149"/>
      <c r="D215" s="148"/>
      <c r="E215" s="148"/>
      <c r="F215" s="148"/>
      <c r="G215" s="148"/>
      <c r="H215" s="149"/>
      <c r="I215" s="148"/>
      <c r="J215" s="148"/>
      <c r="K215" s="148"/>
      <c r="L215" s="148"/>
      <c r="M215" s="149"/>
      <c r="N215" s="148"/>
      <c r="O215" s="148"/>
      <c r="P215" s="148"/>
      <c r="Q215" s="148"/>
      <c r="R215" s="149"/>
      <c r="S215" s="148"/>
      <c r="T215" s="148"/>
      <c r="U215" s="148"/>
      <c r="V215" s="148"/>
      <c r="W215" s="149"/>
      <c r="X215" s="148"/>
      <c r="Y215" s="148"/>
      <c r="Z215" s="148"/>
      <c r="AA215" s="148"/>
      <c r="AB215" s="149"/>
      <c r="AC215" s="148"/>
      <c r="AD215" s="148"/>
      <c r="AE215" s="148"/>
      <c r="AF215" s="148"/>
      <c r="AG215" s="149"/>
      <c r="AH215" s="148"/>
      <c r="AI215" s="148"/>
      <c r="AJ215" s="148"/>
      <c r="AK215" s="148"/>
      <c r="AL215" s="149"/>
      <c r="AM215" s="148"/>
      <c r="AN215" s="148"/>
      <c r="AO215" s="148"/>
      <c r="AP215" s="148"/>
      <c r="AQ215" s="149"/>
      <c r="AR215" s="148"/>
      <c r="AS215" s="148"/>
      <c r="AT215" s="148"/>
      <c r="AU215" s="148"/>
      <c r="AV215" s="149"/>
      <c r="AW215" s="148"/>
      <c r="AX215" s="148"/>
      <c r="AY215" s="148"/>
      <c r="AZ215" s="148"/>
      <c r="BA215" s="149"/>
      <c r="BB215" s="148"/>
      <c r="BC215" s="148"/>
      <c r="BD215" s="148"/>
      <c r="BE215" s="148"/>
      <c r="BF215" s="149"/>
      <c r="BG215" s="148"/>
      <c r="BH215" s="148"/>
      <c r="BI215" s="148"/>
      <c r="BJ215" s="148"/>
      <c r="BK215" s="149"/>
      <c r="BL215" s="148"/>
      <c r="BM215" s="148"/>
      <c r="BN215" s="148"/>
      <c r="BO215" s="148"/>
      <c r="BP215" s="149"/>
      <c r="BQ215" s="148"/>
      <c r="BR215" s="148"/>
      <c r="BS215" s="148"/>
      <c r="BT215" s="148"/>
      <c r="BU215" s="149"/>
      <c r="BV215" s="148"/>
      <c r="BW215" s="148"/>
      <c r="BX215" s="148"/>
      <c r="BY215" s="148"/>
      <c r="BZ215" s="149"/>
      <c r="CA215" s="148"/>
      <c r="CB215" s="148"/>
      <c r="CC215" s="148"/>
      <c r="CD215" s="148"/>
      <c r="CE215" s="149"/>
      <c r="CF215" s="148"/>
      <c r="CG215" s="148"/>
      <c r="CH215" s="148"/>
      <c r="CI215" s="148"/>
      <c r="CJ215" s="149"/>
      <c r="CK215" s="148"/>
      <c r="CL215" s="148"/>
      <c r="CM215" s="148"/>
      <c r="CN215" s="148"/>
      <c r="CO215" s="149"/>
      <c r="CP215" s="148"/>
      <c r="CQ215" s="148"/>
      <c r="CR215" s="148"/>
      <c r="CS215" s="148"/>
      <c r="CT215" s="149"/>
      <c r="CU215" s="148"/>
      <c r="CV215" s="148"/>
      <c r="CW215" s="148"/>
      <c r="CX215" s="148"/>
      <c r="CY215" s="149"/>
      <c r="CZ215" s="148"/>
      <c r="DA215" s="148"/>
      <c r="DB215" s="148"/>
      <c r="DC215" s="148"/>
      <c r="DD215" s="149"/>
      <c r="DE215" s="148"/>
      <c r="DF215" s="148"/>
      <c r="DG215" s="148"/>
      <c r="DH215" s="148"/>
      <c r="DI215" s="149"/>
      <c r="DJ215" s="148"/>
      <c r="DK215" s="148"/>
      <c r="DL215" s="148"/>
      <c r="DM215" s="148"/>
      <c r="DN215" s="149"/>
      <c r="DO215" s="148"/>
      <c r="DP215" s="148"/>
      <c r="DQ215" s="148"/>
      <c r="DR215" s="148"/>
      <c r="DS215" s="149"/>
      <c r="DT215" s="148"/>
      <c r="DU215" s="148"/>
      <c r="DV215" s="148"/>
      <c r="DW215" s="148"/>
      <c r="DX215" s="149"/>
      <c r="DY215" s="148"/>
      <c r="DZ215" s="148"/>
      <c r="EA215" s="148"/>
      <c r="EB215" s="148"/>
      <c r="EC215" s="149"/>
      <c r="ED215" s="148"/>
      <c r="EE215" s="148"/>
      <c r="EF215" s="148"/>
      <c r="EG215" s="148"/>
      <c r="EH215" s="149"/>
      <c r="EI215" s="148"/>
      <c r="EJ215" s="148"/>
      <c r="EK215" s="148"/>
      <c r="EL215" s="148"/>
      <c r="EM215" s="149"/>
      <c r="EN215" s="148"/>
      <c r="EO215" s="148"/>
      <c r="EP215" s="148"/>
      <c r="EQ215" s="148"/>
      <c r="ER215" s="149"/>
      <c r="ES215" s="148"/>
      <c r="ET215" s="148"/>
      <c r="EU215" s="148"/>
      <c r="EV215" s="148"/>
      <c r="EW215" s="149"/>
      <c r="EX215" s="148"/>
      <c r="EY215" s="148"/>
      <c r="EZ215" s="148"/>
      <c r="FA215" s="148"/>
      <c r="FB215" s="149"/>
      <c r="FC215" s="148"/>
      <c r="FD215" s="148"/>
      <c r="FE215" s="148"/>
      <c r="FF215" s="148"/>
      <c r="FG215" s="149"/>
      <c r="FH215" s="148"/>
      <c r="FI215" s="148"/>
      <c r="FJ215" s="148"/>
      <c r="FK215" s="148"/>
      <c r="FL215" s="149"/>
      <c r="FM215" s="148"/>
      <c r="FN215" s="148"/>
      <c r="FO215" s="148"/>
      <c r="FP215" s="148"/>
      <c r="FQ215" s="149"/>
      <c r="FR215" s="148"/>
      <c r="FS215" s="148"/>
      <c r="FT215" s="148"/>
      <c r="FU215" s="148"/>
      <c r="FV215" s="149"/>
      <c r="FW215" s="148"/>
      <c r="FX215" s="148"/>
      <c r="FY215" s="148"/>
      <c r="FZ215" s="148"/>
      <c r="GA215" s="149"/>
      <c r="GB215" s="148"/>
      <c r="GC215" s="148"/>
      <c r="GD215" s="148"/>
      <c r="GE215" s="148"/>
    </row>
    <row r="216" spans="3:187" ht="12.75" customHeight="1">
      <c r="C216" s="603"/>
      <c r="D216" s="148"/>
      <c r="E216" s="148"/>
      <c r="F216" s="148"/>
      <c r="G216" s="148"/>
      <c r="H216" s="603"/>
      <c r="I216" s="148"/>
      <c r="J216" s="148"/>
      <c r="K216" s="148"/>
      <c r="L216" s="148"/>
      <c r="M216" s="603"/>
      <c r="N216" s="148"/>
      <c r="O216" s="148"/>
      <c r="P216" s="148"/>
      <c r="Q216" s="148"/>
      <c r="R216" s="603"/>
      <c r="S216" s="148"/>
      <c r="T216" s="148"/>
      <c r="U216" s="148"/>
      <c r="V216" s="148"/>
      <c r="W216" s="603"/>
      <c r="X216" s="148"/>
      <c r="Y216" s="148"/>
      <c r="Z216" s="148"/>
      <c r="AA216" s="148"/>
      <c r="AB216" s="603"/>
      <c r="AC216" s="148"/>
      <c r="AD216" s="148"/>
      <c r="AE216" s="148"/>
      <c r="AF216" s="148"/>
      <c r="AG216" s="603"/>
      <c r="AH216" s="148"/>
      <c r="AI216" s="148"/>
      <c r="AJ216" s="148"/>
      <c r="AK216" s="148"/>
      <c r="AL216" s="603"/>
      <c r="AM216" s="148"/>
      <c r="AN216" s="148"/>
      <c r="AO216" s="148"/>
      <c r="AP216" s="148"/>
      <c r="AQ216" s="603"/>
      <c r="AR216" s="148"/>
      <c r="AS216" s="148"/>
      <c r="AT216" s="148"/>
      <c r="AU216" s="148"/>
      <c r="AV216" s="603"/>
      <c r="AW216" s="148"/>
      <c r="AX216" s="148"/>
      <c r="AY216" s="148"/>
      <c r="AZ216" s="148"/>
      <c r="BA216" s="603"/>
      <c r="BB216" s="148"/>
      <c r="BC216" s="148"/>
      <c r="BD216" s="148"/>
      <c r="BE216" s="148"/>
      <c r="BF216" s="603"/>
      <c r="BG216" s="148"/>
      <c r="BH216" s="148"/>
      <c r="BI216" s="148"/>
      <c r="BJ216" s="148"/>
      <c r="BK216" s="603"/>
      <c r="BL216" s="148"/>
      <c r="BM216" s="148"/>
      <c r="BN216" s="148"/>
      <c r="BO216" s="148"/>
      <c r="BP216" s="603"/>
      <c r="BQ216" s="148"/>
      <c r="BR216" s="148"/>
      <c r="BS216" s="148"/>
      <c r="BT216" s="148"/>
      <c r="BU216" s="603"/>
      <c r="BV216" s="148"/>
      <c r="BW216" s="148"/>
      <c r="BX216" s="148"/>
      <c r="BY216" s="148"/>
      <c r="BZ216" s="603"/>
      <c r="CA216" s="148"/>
      <c r="CB216" s="148"/>
      <c r="CC216" s="148"/>
      <c r="CD216" s="148"/>
      <c r="CE216" s="603"/>
      <c r="CF216" s="148"/>
      <c r="CG216" s="148"/>
      <c r="CH216" s="148"/>
      <c r="CI216" s="148"/>
      <c r="CJ216" s="603"/>
      <c r="CK216" s="148"/>
      <c r="CL216" s="148"/>
      <c r="CM216" s="148"/>
      <c r="CN216" s="148"/>
      <c r="CO216" s="603"/>
      <c r="CP216" s="148"/>
      <c r="CQ216" s="148"/>
      <c r="CR216" s="148"/>
      <c r="CS216" s="148"/>
      <c r="CT216" s="603"/>
      <c r="CU216" s="148"/>
      <c r="CV216" s="148"/>
      <c r="CW216" s="148"/>
      <c r="CX216" s="148"/>
      <c r="CY216" s="603"/>
      <c r="CZ216" s="148"/>
      <c r="DA216" s="148"/>
      <c r="DB216" s="148"/>
      <c r="DC216" s="148"/>
      <c r="DD216" s="603"/>
      <c r="DE216" s="148"/>
      <c r="DF216" s="148"/>
      <c r="DG216" s="148"/>
      <c r="DH216" s="148"/>
      <c r="DI216" s="603"/>
      <c r="DJ216" s="148"/>
      <c r="DK216" s="148"/>
      <c r="DL216" s="148"/>
      <c r="DM216" s="148"/>
      <c r="DN216" s="603"/>
      <c r="DO216" s="148"/>
      <c r="DP216" s="148"/>
      <c r="DQ216" s="148"/>
      <c r="DR216" s="148"/>
      <c r="DS216" s="603"/>
      <c r="DT216" s="148"/>
      <c r="DU216" s="148"/>
      <c r="DV216" s="148"/>
      <c r="DW216" s="148"/>
      <c r="DX216" s="603"/>
      <c r="DY216" s="148"/>
      <c r="DZ216" s="148"/>
      <c r="EA216" s="148"/>
      <c r="EB216" s="148"/>
      <c r="EC216" s="603"/>
      <c r="ED216" s="148"/>
      <c r="EE216" s="148"/>
      <c r="EF216" s="148"/>
      <c r="EG216" s="148"/>
      <c r="EH216" s="603"/>
      <c r="EI216" s="148"/>
      <c r="EJ216" s="148"/>
      <c r="EK216" s="148"/>
      <c r="EL216" s="148"/>
      <c r="EM216" s="603"/>
      <c r="EN216" s="148"/>
      <c r="EO216" s="148"/>
      <c r="EP216" s="148"/>
      <c r="EQ216" s="148"/>
      <c r="ER216" s="603"/>
      <c r="ES216" s="148"/>
      <c r="ET216" s="148"/>
      <c r="EU216" s="148"/>
      <c r="EV216" s="148"/>
      <c r="EW216" s="603"/>
      <c r="EX216" s="148"/>
      <c r="EY216" s="148"/>
      <c r="EZ216" s="148"/>
      <c r="FA216" s="148"/>
      <c r="FB216" s="603"/>
      <c r="FC216" s="148"/>
      <c r="FD216" s="148"/>
      <c r="FE216" s="148"/>
      <c r="FF216" s="148"/>
      <c r="FG216" s="603"/>
      <c r="FH216" s="148"/>
      <c r="FI216" s="148"/>
      <c r="FJ216" s="148"/>
      <c r="FK216" s="148"/>
      <c r="FL216" s="603"/>
      <c r="FM216" s="148"/>
      <c r="FN216" s="148"/>
      <c r="FO216" s="148"/>
      <c r="FP216" s="148"/>
      <c r="FQ216" s="603"/>
      <c r="FR216" s="148"/>
      <c r="FS216" s="148"/>
      <c r="FT216" s="148"/>
      <c r="FU216" s="148"/>
      <c r="FV216" s="603"/>
      <c r="FW216" s="148"/>
      <c r="FX216" s="148"/>
      <c r="FY216" s="148"/>
      <c r="FZ216" s="148"/>
      <c r="GA216" s="603"/>
      <c r="GB216" s="148"/>
      <c r="GC216" s="148"/>
      <c r="GD216" s="148"/>
      <c r="GE216" s="148"/>
    </row>
    <row r="217" spans="3:187" ht="12.75" customHeight="1">
      <c r="C217" s="151"/>
      <c r="D217" s="152"/>
      <c r="E217" s="152"/>
      <c r="F217" s="152"/>
      <c r="G217" s="152"/>
      <c r="H217" s="151"/>
      <c r="I217" s="152"/>
      <c r="J217" s="152"/>
      <c r="K217" s="152"/>
      <c r="L217" s="152"/>
      <c r="M217" s="151"/>
      <c r="N217" s="152"/>
      <c r="O217" s="152"/>
      <c r="P217" s="152"/>
      <c r="Q217" s="152"/>
      <c r="R217" s="151"/>
      <c r="S217" s="152"/>
      <c r="T217" s="152"/>
      <c r="U217" s="152"/>
      <c r="V217" s="152"/>
      <c r="W217" s="151"/>
      <c r="X217" s="152"/>
      <c r="Y217" s="152"/>
      <c r="Z217" s="152"/>
      <c r="AA217" s="152"/>
      <c r="AB217" s="151"/>
      <c r="AC217" s="152"/>
      <c r="AD217" s="152"/>
      <c r="AE217" s="152"/>
      <c r="AF217" s="152"/>
      <c r="AG217" s="151"/>
      <c r="AH217" s="152"/>
      <c r="AI217" s="152"/>
      <c r="AJ217" s="152"/>
      <c r="AK217" s="152"/>
      <c r="AL217" s="151"/>
      <c r="AM217" s="152"/>
      <c r="AN217" s="152"/>
      <c r="AO217" s="152"/>
      <c r="AP217" s="152"/>
      <c r="AQ217" s="151"/>
      <c r="AR217" s="152"/>
      <c r="AS217" s="152"/>
      <c r="AT217" s="152"/>
      <c r="AU217" s="152"/>
      <c r="AV217" s="151"/>
      <c r="AW217" s="152"/>
      <c r="AX217" s="152"/>
      <c r="AY217" s="152"/>
      <c r="AZ217" s="152"/>
      <c r="BA217" s="151"/>
      <c r="BB217" s="152"/>
      <c r="BC217" s="152"/>
      <c r="BD217" s="152"/>
      <c r="BE217" s="152"/>
      <c r="BF217" s="151"/>
      <c r="BG217" s="152"/>
      <c r="BH217" s="152"/>
      <c r="BI217" s="152"/>
      <c r="BJ217" s="152"/>
      <c r="BK217" s="151"/>
      <c r="BL217" s="152"/>
      <c r="BM217" s="152"/>
      <c r="BN217" s="152"/>
      <c r="BO217" s="152"/>
      <c r="BP217" s="151"/>
      <c r="BQ217" s="152"/>
      <c r="BR217" s="152"/>
      <c r="BS217" s="152"/>
      <c r="BT217" s="152"/>
      <c r="BU217" s="151"/>
      <c r="BV217" s="152"/>
      <c r="BW217" s="152"/>
      <c r="BX217" s="152"/>
      <c r="BY217" s="152"/>
      <c r="BZ217" s="151"/>
      <c r="CA217" s="152"/>
      <c r="CB217" s="152"/>
      <c r="CC217" s="152"/>
      <c r="CD217" s="152"/>
      <c r="CE217" s="151"/>
      <c r="CF217" s="152"/>
      <c r="CG217" s="152"/>
      <c r="CH217" s="152"/>
      <c r="CI217" s="152"/>
      <c r="CJ217" s="151"/>
      <c r="CK217" s="152"/>
      <c r="CL217" s="152"/>
      <c r="CM217" s="152"/>
      <c r="CN217" s="152"/>
      <c r="CO217" s="151"/>
      <c r="CP217" s="152"/>
      <c r="CQ217" s="152"/>
      <c r="CR217" s="152"/>
      <c r="CS217" s="152"/>
      <c r="CT217" s="151"/>
      <c r="CU217" s="152"/>
      <c r="CV217" s="152"/>
      <c r="CW217" s="152"/>
      <c r="CX217" s="152"/>
      <c r="CY217" s="151"/>
      <c r="CZ217" s="152"/>
      <c r="DA217" s="152"/>
      <c r="DB217" s="152"/>
      <c r="DC217" s="152"/>
      <c r="DD217" s="151"/>
      <c r="DE217" s="152"/>
      <c r="DF217" s="152"/>
      <c r="DG217" s="152"/>
      <c r="DH217" s="152"/>
      <c r="DI217" s="151"/>
      <c r="DJ217" s="152"/>
      <c r="DK217" s="152"/>
      <c r="DL217" s="152"/>
      <c r="DM217" s="152"/>
      <c r="DN217" s="151"/>
      <c r="DO217" s="152"/>
      <c r="DP217" s="152"/>
      <c r="DQ217" s="152"/>
      <c r="DR217" s="152"/>
      <c r="DS217" s="151"/>
      <c r="DT217" s="152"/>
      <c r="DU217" s="152"/>
      <c r="DV217" s="152"/>
      <c r="DW217" s="152"/>
      <c r="DX217" s="151"/>
      <c r="DY217" s="152"/>
      <c r="DZ217" s="152"/>
      <c r="EA217" s="152"/>
      <c r="EB217" s="152"/>
      <c r="EC217" s="151"/>
      <c r="ED217" s="152"/>
      <c r="EE217" s="152"/>
      <c r="EF217" s="152"/>
      <c r="EG217" s="152"/>
      <c r="EH217" s="151"/>
      <c r="EI217" s="152"/>
      <c r="EJ217" s="152"/>
      <c r="EK217" s="152"/>
      <c r="EL217" s="152"/>
      <c r="EM217" s="151"/>
      <c r="EN217" s="152"/>
      <c r="EO217" s="152"/>
      <c r="EP217" s="152"/>
      <c r="EQ217" s="152"/>
      <c r="ER217" s="151"/>
      <c r="ES217" s="152"/>
      <c r="ET217" s="152"/>
      <c r="EU217" s="152"/>
      <c r="EV217" s="152"/>
      <c r="EW217" s="151"/>
      <c r="EX217" s="152"/>
      <c r="EY217" s="152"/>
      <c r="EZ217" s="152"/>
      <c r="FA217" s="152"/>
      <c r="FB217" s="151"/>
      <c r="FC217" s="152"/>
      <c r="FD217" s="152"/>
      <c r="FE217" s="152"/>
      <c r="FF217" s="152"/>
      <c r="FG217" s="151"/>
      <c r="FH217" s="152"/>
      <c r="FI217" s="152"/>
      <c r="FJ217" s="152"/>
      <c r="FK217" s="152"/>
      <c r="FL217" s="151"/>
      <c r="FM217" s="152"/>
      <c r="FN217" s="152"/>
      <c r="FO217" s="152"/>
      <c r="FP217" s="152"/>
      <c r="FQ217" s="151"/>
      <c r="FR217" s="152"/>
      <c r="FS217" s="152"/>
      <c r="FT217" s="152"/>
      <c r="FU217" s="152"/>
      <c r="FV217" s="151"/>
      <c r="FW217" s="152"/>
      <c r="FX217" s="152"/>
      <c r="FY217" s="152"/>
      <c r="FZ217" s="152"/>
      <c r="GA217" s="151"/>
      <c r="GB217" s="152"/>
      <c r="GC217" s="152"/>
      <c r="GD217" s="152"/>
      <c r="GE217" s="152"/>
    </row>
    <row r="218" spans="3:187" ht="12.75" customHeight="1">
      <c r="C218" s="153"/>
      <c r="D218" s="154"/>
      <c r="E218" s="154"/>
      <c r="F218" s="154"/>
      <c r="G218" s="154"/>
      <c r="H218" s="153"/>
      <c r="I218" s="154"/>
      <c r="J218" s="154"/>
      <c r="K218" s="154"/>
      <c r="L218" s="154"/>
      <c r="M218" s="153"/>
      <c r="N218" s="154"/>
      <c r="O218" s="154"/>
      <c r="P218" s="154"/>
      <c r="Q218" s="154"/>
      <c r="R218" s="153"/>
      <c r="S218" s="154"/>
      <c r="T218" s="154"/>
      <c r="U218" s="154"/>
      <c r="V218" s="154"/>
      <c r="W218" s="153"/>
      <c r="X218" s="154"/>
      <c r="Y218" s="154"/>
      <c r="Z218" s="154"/>
      <c r="AA218" s="154"/>
      <c r="AB218" s="153"/>
      <c r="AC218" s="154"/>
      <c r="AD218" s="154"/>
      <c r="AE218" s="154"/>
      <c r="AF218" s="154"/>
      <c r="AG218" s="153"/>
      <c r="AH218" s="154"/>
      <c r="AI218" s="154"/>
      <c r="AJ218" s="154"/>
      <c r="AK218" s="154"/>
      <c r="AL218" s="153"/>
      <c r="AM218" s="154"/>
      <c r="AN218" s="154"/>
      <c r="AO218" s="154"/>
      <c r="AP218" s="154"/>
      <c r="AQ218" s="153"/>
      <c r="AR218" s="154"/>
      <c r="AS218" s="154"/>
      <c r="AT218" s="154"/>
      <c r="AU218" s="154"/>
      <c r="AV218" s="153"/>
      <c r="AW218" s="154"/>
      <c r="AX218" s="154"/>
      <c r="AY218" s="154"/>
      <c r="AZ218" s="154"/>
      <c r="BA218" s="153"/>
      <c r="BB218" s="154"/>
      <c r="BC218" s="154"/>
      <c r="BD218" s="154"/>
      <c r="BE218" s="154"/>
      <c r="BF218" s="153"/>
      <c r="BG218" s="154"/>
      <c r="BH218" s="154"/>
      <c r="BI218" s="154"/>
      <c r="BJ218" s="154"/>
      <c r="BK218" s="153"/>
      <c r="BL218" s="154"/>
      <c r="BM218" s="154"/>
      <c r="BN218" s="154"/>
      <c r="BO218" s="154"/>
      <c r="BP218" s="153"/>
      <c r="BQ218" s="154"/>
      <c r="BR218" s="154"/>
      <c r="BS218" s="154"/>
      <c r="BT218" s="154"/>
      <c r="BU218" s="153"/>
      <c r="BV218" s="154"/>
      <c r="BW218" s="154"/>
      <c r="BX218" s="154"/>
      <c r="BY218" s="154"/>
      <c r="BZ218" s="153"/>
      <c r="CA218" s="154"/>
      <c r="CB218" s="154"/>
      <c r="CC218" s="154"/>
      <c r="CD218" s="154"/>
      <c r="CE218" s="153"/>
      <c r="CF218" s="154"/>
      <c r="CG218" s="154"/>
      <c r="CH218" s="154"/>
      <c r="CI218" s="154"/>
      <c r="CJ218" s="153"/>
      <c r="CK218" s="154"/>
      <c r="CL218" s="154"/>
      <c r="CM218" s="154"/>
      <c r="CN218" s="154"/>
      <c r="CO218" s="153"/>
      <c r="CP218" s="154"/>
      <c r="CQ218" s="154"/>
      <c r="CR218" s="154"/>
      <c r="CS218" s="154"/>
      <c r="CT218" s="153"/>
      <c r="CU218" s="154"/>
      <c r="CV218" s="154"/>
      <c r="CW218" s="154"/>
      <c r="CX218" s="154"/>
      <c r="CY218" s="153"/>
      <c r="CZ218" s="154"/>
      <c r="DA218" s="154"/>
      <c r="DB218" s="154"/>
      <c r="DC218" s="154"/>
      <c r="DD218" s="153"/>
      <c r="DE218" s="154"/>
      <c r="DF218" s="154"/>
      <c r="DG218" s="154"/>
      <c r="DH218" s="154"/>
      <c r="DI218" s="153"/>
      <c r="DJ218" s="154"/>
      <c r="DK218" s="154"/>
      <c r="DL218" s="154"/>
      <c r="DM218" s="154"/>
      <c r="DN218" s="153"/>
      <c r="DO218" s="154"/>
      <c r="DP218" s="154"/>
      <c r="DQ218" s="154"/>
      <c r="DR218" s="154"/>
      <c r="DS218" s="153"/>
      <c r="DT218" s="154"/>
      <c r="DU218" s="154"/>
      <c r="DV218" s="154"/>
      <c r="DW218" s="154"/>
      <c r="DX218" s="153"/>
      <c r="DY218" s="154"/>
      <c r="DZ218" s="154"/>
      <c r="EA218" s="154"/>
      <c r="EB218" s="154"/>
      <c r="EC218" s="153"/>
      <c r="ED218" s="154"/>
      <c r="EE218" s="154"/>
      <c r="EF218" s="154"/>
      <c r="EG218" s="154"/>
      <c r="EH218" s="153"/>
      <c r="EI218" s="154"/>
      <c r="EJ218" s="154"/>
      <c r="EK218" s="154"/>
      <c r="EL218" s="154"/>
      <c r="EM218" s="153"/>
      <c r="EN218" s="154"/>
      <c r="EO218" s="154"/>
      <c r="EP218" s="154"/>
      <c r="EQ218" s="154"/>
      <c r="ER218" s="153"/>
      <c r="ES218" s="154"/>
      <c r="ET218" s="154"/>
      <c r="EU218" s="154"/>
      <c r="EV218" s="154"/>
      <c r="EW218" s="153"/>
      <c r="EX218" s="154"/>
      <c r="EY218" s="154"/>
      <c r="EZ218" s="154"/>
      <c r="FA218" s="154"/>
      <c r="FB218" s="153"/>
      <c r="FC218" s="154"/>
      <c r="FD218" s="154"/>
      <c r="FE218" s="154"/>
      <c r="FF218" s="154"/>
      <c r="FG218" s="153"/>
      <c r="FH218" s="154"/>
      <c r="FI218" s="154"/>
      <c r="FJ218" s="154"/>
      <c r="FK218" s="154"/>
      <c r="FL218" s="153"/>
      <c r="FM218" s="154"/>
      <c r="FN218" s="154"/>
      <c r="FO218" s="154"/>
      <c r="FP218" s="154"/>
      <c r="FQ218" s="153"/>
      <c r="FR218" s="154"/>
      <c r="FS218" s="154"/>
      <c r="FT218" s="154"/>
      <c r="FU218" s="154"/>
      <c r="FV218" s="153"/>
      <c r="FW218" s="154"/>
      <c r="FX218" s="154"/>
      <c r="FY218" s="154"/>
      <c r="FZ218" s="154"/>
      <c r="GA218" s="153"/>
      <c r="GB218" s="154"/>
      <c r="GC218" s="154"/>
      <c r="GD218" s="154"/>
      <c r="GE218" s="154"/>
    </row>
    <row r="219" spans="3:187" ht="12.75" customHeight="1">
      <c r="C219" s="153"/>
      <c r="D219" s="154"/>
      <c r="E219" s="154"/>
      <c r="F219" s="154"/>
      <c r="G219" s="154"/>
      <c r="H219" s="153"/>
      <c r="I219" s="154"/>
      <c r="J219" s="154"/>
      <c r="K219" s="154"/>
      <c r="L219" s="154"/>
      <c r="M219" s="153"/>
      <c r="N219" s="154"/>
      <c r="O219" s="154"/>
      <c r="P219" s="154"/>
      <c r="Q219" s="154"/>
      <c r="R219" s="153"/>
      <c r="S219" s="154"/>
      <c r="T219" s="154"/>
      <c r="U219" s="154"/>
      <c r="V219" s="154"/>
      <c r="W219" s="153"/>
      <c r="X219" s="154"/>
      <c r="Y219" s="154"/>
      <c r="Z219" s="154"/>
      <c r="AA219" s="154"/>
      <c r="AB219" s="153"/>
      <c r="AC219" s="154"/>
      <c r="AD219" s="154"/>
      <c r="AE219" s="154"/>
      <c r="AF219" s="154"/>
      <c r="AG219" s="153"/>
      <c r="AH219" s="154"/>
      <c r="AI219" s="154"/>
      <c r="AJ219" s="154"/>
      <c r="AK219" s="154"/>
      <c r="AL219" s="153"/>
      <c r="AM219" s="154"/>
      <c r="AN219" s="154"/>
      <c r="AO219" s="154"/>
      <c r="AP219" s="154"/>
      <c r="AQ219" s="153"/>
      <c r="AR219" s="154"/>
      <c r="AS219" s="154"/>
      <c r="AT219" s="154"/>
      <c r="AU219" s="154"/>
      <c r="AV219" s="153"/>
      <c r="AW219" s="154"/>
      <c r="AX219" s="154"/>
      <c r="AY219" s="154"/>
      <c r="AZ219" s="154"/>
      <c r="BA219" s="153"/>
      <c r="BB219" s="154"/>
      <c r="BC219" s="154"/>
      <c r="BD219" s="154"/>
      <c r="BE219" s="154"/>
      <c r="BF219" s="153"/>
      <c r="BG219" s="154"/>
      <c r="BH219" s="154"/>
      <c r="BI219" s="154"/>
      <c r="BJ219" s="154"/>
      <c r="BK219" s="153"/>
      <c r="BL219" s="154"/>
      <c r="BM219" s="154"/>
      <c r="BN219" s="154"/>
      <c r="BO219" s="154"/>
      <c r="BP219" s="153"/>
      <c r="BQ219" s="154"/>
      <c r="BR219" s="154"/>
      <c r="BS219" s="154"/>
      <c r="BT219" s="154"/>
      <c r="BU219" s="153"/>
      <c r="BV219" s="154"/>
      <c r="BW219" s="154"/>
      <c r="BX219" s="154"/>
      <c r="BY219" s="154"/>
      <c r="BZ219" s="153"/>
      <c r="CA219" s="154"/>
      <c r="CB219" s="154"/>
      <c r="CC219" s="154"/>
      <c r="CD219" s="154"/>
      <c r="CE219" s="153"/>
      <c r="CF219" s="154"/>
      <c r="CG219" s="154"/>
      <c r="CH219" s="154"/>
      <c r="CI219" s="154"/>
      <c r="CJ219" s="153"/>
      <c r="CK219" s="154"/>
      <c r="CL219" s="154"/>
      <c r="CM219" s="154"/>
      <c r="CN219" s="154"/>
      <c r="CO219" s="153"/>
      <c r="CP219" s="154"/>
      <c r="CQ219" s="154"/>
      <c r="CR219" s="154"/>
      <c r="CS219" s="154"/>
      <c r="CT219" s="153"/>
      <c r="CU219" s="154"/>
      <c r="CV219" s="154"/>
      <c r="CW219" s="154"/>
      <c r="CX219" s="154"/>
      <c r="CY219" s="153"/>
      <c r="CZ219" s="154"/>
      <c r="DA219" s="154"/>
      <c r="DB219" s="154"/>
      <c r="DC219" s="154"/>
      <c r="DD219" s="153"/>
      <c r="DE219" s="154"/>
      <c r="DF219" s="154"/>
      <c r="DG219" s="154"/>
      <c r="DH219" s="154"/>
      <c r="DI219" s="153"/>
      <c r="DJ219" s="154"/>
      <c r="DK219" s="154"/>
      <c r="DL219" s="154"/>
      <c r="DM219" s="154"/>
      <c r="DN219" s="153"/>
      <c r="DO219" s="154"/>
      <c r="DP219" s="154"/>
      <c r="DQ219" s="154"/>
      <c r="DR219" s="154"/>
      <c r="DS219" s="153"/>
      <c r="DT219" s="154"/>
      <c r="DU219" s="154"/>
      <c r="DV219" s="154"/>
      <c r="DW219" s="154"/>
      <c r="DX219" s="153"/>
      <c r="DY219" s="154"/>
      <c r="DZ219" s="154"/>
      <c r="EA219" s="154"/>
      <c r="EB219" s="154"/>
      <c r="EC219" s="153"/>
      <c r="ED219" s="154"/>
      <c r="EE219" s="154"/>
      <c r="EF219" s="154"/>
      <c r="EG219" s="154"/>
      <c r="EH219" s="153"/>
      <c r="EI219" s="154"/>
      <c r="EJ219" s="154"/>
      <c r="EK219" s="154"/>
      <c r="EL219" s="154"/>
      <c r="EM219" s="153"/>
      <c r="EN219" s="154"/>
      <c r="EO219" s="154"/>
      <c r="EP219" s="154"/>
      <c r="EQ219" s="154"/>
      <c r="ER219" s="153"/>
      <c r="ES219" s="154"/>
      <c r="ET219" s="154"/>
      <c r="EU219" s="154"/>
      <c r="EV219" s="154"/>
      <c r="EW219" s="153"/>
      <c r="EX219" s="154"/>
      <c r="EY219" s="154"/>
      <c r="EZ219" s="154"/>
      <c r="FA219" s="154"/>
      <c r="FB219" s="153"/>
      <c r="FC219" s="154"/>
      <c r="FD219" s="154"/>
      <c r="FE219" s="154"/>
      <c r="FF219" s="154"/>
      <c r="FG219" s="153"/>
      <c r="FH219" s="154"/>
      <c r="FI219" s="154"/>
      <c r="FJ219" s="154"/>
      <c r="FK219" s="154"/>
      <c r="FL219" s="153"/>
      <c r="FM219" s="154"/>
      <c r="FN219" s="154"/>
      <c r="FO219" s="154"/>
      <c r="FP219" s="154"/>
      <c r="FQ219" s="153"/>
      <c r="FR219" s="154"/>
      <c r="FS219" s="154"/>
      <c r="FT219" s="154"/>
      <c r="FU219" s="154"/>
      <c r="FV219" s="153"/>
      <c r="FW219" s="154"/>
      <c r="FX219" s="154"/>
      <c r="FY219" s="154"/>
      <c r="FZ219" s="154"/>
      <c r="GA219" s="153"/>
      <c r="GB219" s="154"/>
      <c r="GC219" s="154"/>
      <c r="GD219" s="154"/>
      <c r="GE219" s="154"/>
    </row>
    <row r="220" spans="3:187" ht="12.75" customHeight="1">
      <c r="C220" s="153"/>
      <c r="D220" s="154"/>
      <c r="E220" s="154"/>
      <c r="F220" s="154"/>
      <c r="G220" s="154"/>
      <c r="H220" s="153"/>
      <c r="I220" s="154"/>
      <c r="J220" s="154"/>
      <c r="K220" s="154"/>
      <c r="L220" s="154"/>
      <c r="M220" s="153"/>
      <c r="N220" s="154"/>
      <c r="O220" s="154"/>
      <c r="P220" s="154"/>
      <c r="Q220" s="154"/>
      <c r="R220" s="153"/>
      <c r="S220" s="154"/>
      <c r="T220" s="154"/>
      <c r="U220" s="154"/>
      <c r="V220" s="154"/>
      <c r="W220" s="153"/>
      <c r="X220" s="154"/>
      <c r="Y220" s="154"/>
      <c r="Z220" s="154"/>
      <c r="AA220" s="154"/>
      <c r="AB220" s="153"/>
      <c r="AC220" s="154"/>
      <c r="AD220" s="154"/>
      <c r="AE220" s="154"/>
      <c r="AF220" s="154"/>
      <c r="AG220" s="153"/>
      <c r="AH220" s="154"/>
      <c r="AI220" s="154"/>
      <c r="AJ220" s="154"/>
      <c r="AK220" s="154"/>
      <c r="AL220" s="153"/>
      <c r="AM220" s="154"/>
      <c r="AN220" s="154"/>
      <c r="AO220" s="154"/>
      <c r="AP220" s="154"/>
      <c r="AQ220" s="153"/>
      <c r="AR220" s="154"/>
      <c r="AS220" s="154"/>
      <c r="AT220" s="154"/>
      <c r="AU220" s="154"/>
      <c r="AV220" s="153"/>
      <c r="AW220" s="154"/>
      <c r="AX220" s="154"/>
      <c r="AY220" s="154"/>
      <c r="AZ220" s="154"/>
      <c r="BA220" s="153"/>
      <c r="BB220" s="154"/>
      <c r="BC220" s="154"/>
      <c r="BD220" s="154"/>
      <c r="BE220" s="154"/>
      <c r="BF220" s="153"/>
      <c r="BG220" s="154"/>
      <c r="BH220" s="154"/>
      <c r="BI220" s="154"/>
      <c r="BJ220" s="154"/>
      <c r="BK220" s="153"/>
      <c r="BL220" s="154"/>
      <c r="BM220" s="154"/>
      <c r="BN220" s="154"/>
      <c r="BO220" s="154"/>
      <c r="BP220" s="153"/>
      <c r="BQ220" s="154"/>
      <c r="BR220" s="154"/>
      <c r="BS220" s="154"/>
      <c r="BT220" s="154"/>
      <c r="BU220" s="153"/>
      <c r="BV220" s="154"/>
      <c r="BW220" s="154"/>
      <c r="BX220" s="154"/>
      <c r="BY220" s="154"/>
      <c r="BZ220" s="153"/>
      <c r="CA220" s="154"/>
      <c r="CB220" s="154"/>
      <c r="CC220" s="154"/>
      <c r="CD220" s="154"/>
      <c r="CE220" s="153"/>
      <c r="CF220" s="154"/>
      <c r="CG220" s="154"/>
      <c r="CH220" s="154"/>
      <c r="CI220" s="154"/>
      <c r="CJ220" s="153"/>
      <c r="CK220" s="154"/>
      <c r="CL220" s="154"/>
      <c r="CM220" s="154"/>
      <c r="CN220" s="154"/>
      <c r="CO220" s="153"/>
      <c r="CP220" s="154"/>
      <c r="CQ220" s="154"/>
      <c r="CR220" s="154"/>
      <c r="CS220" s="154"/>
      <c r="CT220" s="153"/>
      <c r="CU220" s="154"/>
      <c r="CV220" s="154"/>
      <c r="CW220" s="154"/>
      <c r="CX220" s="154"/>
      <c r="CY220" s="153"/>
      <c r="CZ220" s="154"/>
      <c r="DA220" s="154"/>
      <c r="DB220" s="154"/>
      <c r="DC220" s="154"/>
      <c r="DD220" s="153"/>
      <c r="DE220" s="154"/>
      <c r="DF220" s="154"/>
      <c r="DG220" s="154"/>
      <c r="DH220" s="154"/>
      <c r="DI220" s="153"/>
      <c r="DJ220" s="154"/>
      <c r="DK220" s="154"/>
      <c r="DL220" s="154"/>
      <c r="DM220" s="154"/>
      <c r="DN220" s="153"/>
      <c r="DO220" s="154"/>
      <c r="DP220" s="154"/>
      <c r="DQ220" s="154"/>
      <c r="DR220" s="154"/>
      <c r="DS220" s="153"/>
      <c r="DT220" s="154"/>
      <c r="DU220" s="154"/>
      <c r="DV220" s="154"/>
      <c r="DW220" s="154"/>
      <c r="DX220" s="153"/>
      <c r="DY220" s="154"/>
      <c r="DZ220" s="154"/>
      <c r="EA220" s="154"/>
      <c r="EB220" s="154"/>
      <c r="EC220" s="153"/>
      <c r="ED220" s="154"/>
      <c r="EE220" s="154"/>
      <c r="EF220" s="154"/>
      <c r="EG220" s="154"/>
      <c r="EH220" s="153"/>
      <c r="EI220" s="154"/>
      <c r="EJ220" s="154"/>
      <c r="EK220" s="154"/>
      <c r="EL220" s="154"/>
      <c r="EM220" s="153"/>
      <c r="EN220" s="154"/>
      <c r="EO220" s="154"/>
      <c r="EP220" s="154"/>
      <c r="EQ220" s="154"/>
      <c r="ER220" s="153"/>
      <c r="ES220" s="154"/>
      <c r="ET220" s="154"/>
      <c r="EU220" s="154"/>
      <c r="EV220" s="154"/>
      <c r="EW220" s="153"/>
      <c r="EX220" s="154"/>
      <c r="EY220" s="154"/>
      <c r="EZ220" s="154"/>
      <c r="FA220" s="154"/>
      <c r="FB220" s="153"/>
      <c r="FC220" s="154"/>
      <c r="FD220" s="154"/>
      <c r="FE220" s="154"/>
      <c r="FF220" s="154"/>
      <c r="FG220" s="153"/>
      <c r="FH220" s="154"/>
      <c r="FI220" s="154"/>
      <c r="FJ220" s="154"/>
      <c r="FK220" s="154"/>
      <c r="FL220" s="153"/>
      <c r="FM220" s="154"/>
      <c r="FN220" s="154"/>
      <c r="FO220" s="154"/>
      <c r="FP220" s="154"/>
      <c r="FQ220" s="153"/>
      <c r="FR220" s="154"/>
      <c r="FS220" s="154"/>
      <c r="FT220" s="154"/>
      <c r="FU220" s="154"/>
      <c r="FV220" s="153"/>
      <c r="FW220" s="154"/>
      <c r="FX220" s="154"/>
      <c r="FY220" s="154"/>
      <c r="FZ220" s="154"/>
      <c r="GA220" s="153"/>
      <c r="GB220" s="154"/>
      <c r="GC220" s="154"/>
      <c r="GD220" s="154"/>
      <c r="GE220" s="154"/>
    </row>
    <row r="221" spans="3:187" ht="12.75" customHeight="1">
      <c r="C221" s="155"/>
      <c r="D221" s="156"/>
      <c r="E221" s="156"/>
      <c r="F221" s="156"/>
      <c r="G221" s="156"/>
      <c r="H221" s="155"/>
      <c r="I221" s="156"/>
      <c r="J221" s="156"/>
      <c r="K221" s="156"/>
      <c r="L221" s="156"/>
      <c r="M221" s="155"/>
      <c r="N221" s="156"/>
      <c r="O221" s="156"/>
      <c r="P221" s="156"/>
      <c r="Q221" s="156"/>
      <c r="R221" s="155"/>
      <c r="S221" s="156"/>
      <c r="T221" s="156"/>
      <c r="U221" s="156"/>
      <c r="V221" s="156"/>
      <c r="W221" s="155"/>
      <c r="X221" s="156"/>
      <c r="Y221" s="156"/>
      <c r="Z221" s="156"/>
      <c r="AA221" s="156"/>
      <c r="AB221" s="155"/>
      <c r="AC221" s="156"/>
      <c r="AD221" s="156"/>
      <c r="AE221" s="156"/>
      <c r="AF221" s="156"/>
      <c r="AG221" s="155"/>
      <c r="AH221" s="156"/>
      <c r="AI221" s="156"/>
      <c r="AJ221" s="156"/>
      <c r="AK221" s="156"/>
      <c r="AL221" s="155"/>
      <c r="AM221" s="156"/>
      <c r="AN221" s="156"/>
      <c r="AO221" s="156"/>
      <c r="AP221" s="156"/>
      <c r="AQ221" s="155"/>
      <c r="AR221" s="156"/>
      <c r="AS221" s="156"/>
      <c r="AT221" s="156"/>
      <c r="AU221" s="156"/>
      <c r="AV221" s="155"/>
      <c r="AW221" s="156"/>
      <c r="AX221" s="156"/>
      <c r="AY221" s="156"/>
      <c r="AZ221" s="156"/>
      <c r="BA221" s="155"/>
      <c r="BB221" s="156"/>
      <c r="BC221" s="156"/>
      <c r="BD221" s="156"/>
      <c r="BE221" s="156"/>
      <c r="BF221" s="155"/>
      <c r="BG221" s="156"/>
      <c r="BH221" s="156"/>
      <c r="BI221" s="156"/>
      <c r="BJ221" s="156"/>
      <c r="BK221" s="155"/>
      <c r="BL221" s="156"/>
      <c r="BM221" s="156"/>
      <c r="BN221" s="156"/>
      <c r="BO221" s="156"/>
      <c r="BP221" s="155"/>
      <c r="BQ221" s="156"/>
      <c r="BR221" s="156"/>
      <c r="BS221" s="156"/>
      <c r="BT221" s="156"/>
      <c r="BU221" s="155"/>
      <c r="BV221" s="156"/>
      <c r="BW221" s="156"/>
      <c r="BX221" s="156"/>
      <c r="BY221" s="156"/>
      <c r="BZ221" s="155"/>
      <c r="CA221" s="156"/>
      <c r="CB221" s="156"/>
      <c r="CC221" s="156"/>
      <c r="CD221" s="156"/>
      <c r="CE221" s="155"/>
      <c r="CF221" s="156"/>
      <c r="CG221" s="156"/>
      <c r="CH221" s="156"/>
      <c r="CI221" s="156"/>
      <c r="CJ221" s="155"/>
      <c r="CK221" s="156"/>
      <c r="CL221" s="156"/>
      <c r="CM221" s="156"/>
      <c r="CN221" s="156"/>
      <c r="CO221" s="155"/>
      <c r="CP221" s="156"/>
      <c r="CQ221" s="156"/>
      <c r="CR221" s="156"/>
      <c r="CS221" s="156"/>
      <c r="CT221" s="155"/>
      <c r="CU221" s="156"/>
      <c r="CV221" s="156"/>
      <c r="CW221" s="156"/>
      <c r="CX221" s="156"/>
      <c r="CY221" s="155"/>
      <c r="CZ221" s="156"/>
      <c r="DA221" s="156"/>
      <c r="DB221" s="156"/>
      <c r="DC221" s="156"/>
      <c r="DD221" s="155"/>
      <c r="DE221" s="156"/>
      <c r="DF221" s="156"/>
      <c r="DG221" s="156"/>
      <c r="DH221" s="156"/>
      <c r="DI221" s="155"/>
      <c r="DJ221" s="156"/>
      <c r="DK221" s="156"/>
      <c r="DL221" s="156"/>
      <c r="DM221" s="156"/>
      <c r="DN221" s="155"/>
      <c r="DO221" s="156"/>
      <c r="DP221" s="156"/>
      <c r="DQ221" s="156"/>
      <c r="DR221" s="156"/>
      <c r="DS221" s="155"/>
      <c r="DT221" s="156"/>
      <c r="DU221" s="156"/>
      <c r="DV221" s="156"/>
      <c r="DW221" s="156"/>
      <c r="DX221" s="155"/>
      <c r="DY221" s="156"/>
      <c r="DZ221" s="156"/>
      <c r="EA221" s="156"/>
      <c r="EB221" s="156"/>
      <c r="EC221" s="155"/>
      <c r="ED221" s="156"/>
      <c r="EE221" s="156"/>
      <c r="EF221" s="156"/>
      <c r="EG221" s="156"/>
      <c r="EH221" s="155"/>
      <c r="EI221" s="156"/>
      <c r="EJ221" s="156"/>
      <c r="EK221" s="156"/>
      <c r="EL221" s="156"/>
      <c r="EM221" s="155"/>
      <c r="EN221" s="156"/>
      <c r="EO221" s="156"/>
      <c r="EP221" s="156"/>
      <c r="EQ221" s="156"/>
      <c r="ER221" s="155"/>
      <c r="ES221" s="156"/>
      <c r="ET221" s="156"/>
      <c r="EU221" s="156"/>
      <c r="EV221" s="156"/>
      <c r="EW221" s="155"/>
      <c r="EX221" s="156"/>
      <c r="EY221" s="156"/>
      <c r="EZ221" s="156"/>
      <c r="FA221" s="156"/>
      <c r="FB221" s="155"/>
      <c r="FC221" s="156"/>
      <c r="FD221" s="156"/>
      <c r="FE221" s="156"/>
      <c r="FF221" s="156"/>
      <c r="FG221" s="155"/>
      <c r="FH221" s="156"/>
      <c r="FI221" s="156"/>
      <c r="FJ221" s="156"/>
      <c r="FK221" s="156"/>
      <c r="FL221" s="155"/>
      <c r="FM221" s="156"/>
      <c r="FN221" s="156"/>
      <c r="FO221" s="156"/>
      <c r="FP221" s="156"/>
      <c r="FQ221" s="155"/>
      <c r="FR221" s="156"/>
      <c r="FS221" s="156"/>
      <c r="FT221" s="156"/>
      <c r="FU221" s="156"/>
      <c r="FV221" s="155"/>
      <c r="FW221" s="156"/>
      <c r="FX221" s="156"/>
      <c r="FY221" s="156"/>
      <c r="FZ221" s="156"/>
      <c r="GA221" s="155"/>
      <c r="GB221" s="156"/>
      <c r="GC221" s="156"/>
      <c r="GD221" s="156"/>
      <c r="GE221" s="156"/>
    </row>
    <row r="222" spans="3:187" ht="12.75" customHeight="1">
      <c r="C222" s="157"/>
      <c r="D222" s="154"/>
      <c r="E222" s="154"/>
      <c r="F222" s="154"/>
      <c r="G222" s="154"/>
      <c r="H222" s="157"/>
      <c r="I222" s="154"/>
      <c r="J222" s="154"/>
      <c r="K222" s="154"/>
      <c r="L222" s="154"/>
      <c r="M222" s="157"/>
      <c r="N222" s="154"/>
      <c r="O222" s="154"/>
      <c r="P222" s="154"/>
      <c r="Q222" s="154"/>
      <c r="R222" s="157"/>
      <c r="S222" s="154"/>
      <c r="T222" s="154"/>
      <c r="U222" s="154"/>
      <c r="V222" s="154"/>
      <c r="W222" s="157"/>
      <c r="X222" s="154"/>
      <c r="Y222" s="154"/>
      <c r="Z222" s="154"/>
      <c r="AA222" s="154"/>
      <c r="AB222" s="157"/>
      <c r="AC222" s="154"/>
      <c r="AD222" s="154"/>
      <c r="AE222" s="154"/>
      <c r="AF222" s="154"/>
      <c r="AG222" s="157"/>
      <c r="AH222" s="154"/>
      <c r="AI222" s="154"/>
      <c r="AJ222" s="154"/>
      <c r="AK222" s="154"/>
      <c r="AL222" s="157"/>
      <c r="AM222" s="154"/>
      <c r="AN222" s="154"/>
      <c r="AO222" s="154"/>
      <c r="AP222" s="154"/>
      <c r="AQ222" s="157"/>
      <c r="AR222" s="154"/>
      <c r="AS222" s="154"/>
      <c r="AT222" s="154"/>
      <c r="AU222" s="154"/>
      <c r="AV222" s="157"/>
      <c r="AW222" s="154"/>
      <c r="AX222" s="154"/>
      <c r="AY222" s="154"/>
      <c r="AZ222" s="154"/>
      <c r="BA222" s="157"/>
      <c r="BB222" s="154"/>
      <c r="BC222" s="154"/>
      <c r="BD222" s="154"/>
      <c r="BE222" s="154"/>
      <c r="BF222" s="157"/>
      <c r="BG222" s="154"/>
      <c r="BH222" s="154"/>
      <c r="BI222" s="154"/>
      <c r="BJ222" s="154"/>
      <c r="BK222" s="157"/>
      <c r="BL222" s="154"/>
      <c r="BM222" s="154"/>
      <c r="BN222" s="154"/>
      <c r="BO222" s="154"/>
      <c r="BP222" s="157"/>
      <c r="BQ222" s="154"/>
      <c r="BR222" s="154"/>
      <c r="BS222" s="154"/>
      <c r="BT222" s="154"/>
      <c r="BU222" s="157"/>
      <c r="BV222" s="154"/>
      <c r="BW222" s="154"/>
      <c r="BX222" s="154"/>
      <c r="BY222" s="154"/>
      <c r="BZ222" s="157"/>
      <c r="CA222" s="154"/>
      <c r="CB222" s="154"/>
      <c r="CC222" s="154"/>
      <c r="CD222" s="154"/>
      <c r="CE222" s="157"/>
      <c r="CF222" s="154"/>
      <c r="CG222" s="154"/>
      <c r="CH222" s="154"/>
      <c r="CI222" s="154"/>
      <c r="CJ222" s="157"/>
      <c r="CK222" s="154"/>
      <c r="CL222" s="154"/>
      <c r="CM222" s="154"/>
      <c r="CN222" s="154"/>
      <c r="CO222" s="157"/>
      <c r="CP222" s="154"/>
      <c r="CQ222" s="154"/>
      <c r="CR222" s="154"/>
      <c r="CS222" s="154"/>
      <c r="CT222" s="157"/>
      <c r="CU222" s="154"/>
      <c r="CV222" s="154"/>
      <c r="CW222" s="154"/>
      <c r="CX222" s="154"/>
      <c r="CY222" s="157"/>
      <c r="CZ222" s="154"/>
      <c r="DA222" s="154"/>
      <c r="DB222" s="154"/>
      <c r="DC222" s="154"/>
      <c r="DD222" s="157"/>
      <c r="DE222" s="154"/>
      <c r="DF222" s="154"/>
      <c r="DG222" s="154"/>
      <c r="DH222" s="154"/>
      <c r="DI222" s="157"/>
      <c r="DJ222" s="154"/>
      <c r="DK222" s="154"/>
      <c r="DL222" s="154"/>
      <c r="DM222" s="154"/>
      <c r="DN222" s="157"/>
      <c r="DO222" s="154"/>
      <c r="DP222" s="154"/>
      <c r="DQ222" s="154"/>
      <c r="DR222" s="154"/>
      <c r="DS222" s="157"/>
      <c r="DT222" s="154"/>
      <c r="DU222" s="154"/>
      <c r="DV222" s="154"/>
      <c r="DW222" s="154"/>
      <c r="DX222" s="157"/>
      <c r="DY222" s="154"/>
      <c r="DZ222" s="154"/>
      <c r="EA222" s="154"/>
      <c r="EB222" s="154"/>
      <c r="EC222" s="157"/>
      <c r="ED222" s="154"/>
      <c r="EE222" s="154"/>
      <c r="EF222" s="154"/>
      <c r="EG222" s="154"/>
      <c r="EH222" s="157"/>
      <c r="EI222" s="154"/>
      <c r="EJ222" s="154"/>
      <c r="EK222" s="154"/>
      <c r="EL222" s="154"/>
      <c r="EM222" s="157"/>
      <c r="EN222" s="154"/>
      <c r="EO222" s="154"/>
      <c r="EP222" s="154"/>
      <c r="EQ222" s="154"/>
      <c r="ER222" s="157"/>
      <c r="ES222" s="154"/>
      <c r="ET222" s="154"/>
      <c r="EU222" s="154"/>
      <c r="EV222" s="154"/>
      <c r="EW222" s="157"/>
      <c r="EX222" s="154"/>
      <c r="EY222" s="154"/>
      <c r="EZ222" s="154"/>
      <c r="FA222" s="154"/>
      <c r="FB222" s="157"/>
      <c r="FC222" s="154"/>
      <c r="FD222" s="154"/>
      <c r="FE222" s="154"/>
      <c r="FF222" s="154"/>
      <c r="FG222" s="157"/>
      <c r="FH222" s="154"/>
      <c r="FI222" s="154"/>
      <c r="FJ222" s="154"/>
      <c r="FK222" s="154"/>
      <c r="FL222" s="157"/>
      <c r="FM222" s="154"/>
      <c r="FN222" s="154"/>
      <c r="FO222" s="154"/>
      <c r="FP222" s="154"/>
      <c r="FQ222" s="157"/>
      <c r="FR222" s="154"/>
      <c r="FS222" s="154"/>
      <c r="FT222" s="154"/>
      <c r="FU222" s="154"/>
      <c r="FV222" s="157"/>
      <c r="FW222" s="154"/>
      <c r="FX222" s="154"/>
      <c r="FY222" s="154"/>
      <c r="FZ222" s="154"/>
      <c r="GA222" s="157"/>
      <c r="GB222" s="154"/>
      <c r="GC222" s="154"/>
      <c r="GD222" s="154"/>
      <c r="GE222" s="154"/>
    </row>
    <row r="223" spans="3:187" ht="12.75" customHeight="1">
      <c r="C223" s="157"/>
      <c r="D223" s="154"/>
      <c r="E223" s="154"/>
      <c r="F223" s="154"/>
      <c r="G223" s="154"/>
      <c r="H223" s="157"/>
      <c r="I223" s="154"/>
      <c r="J223" s="154"/>
      <c r="K223" s="154"/>
      <c r="L223" s="154"/>
      <c r="M223" s="157"/>
      <c r="N223" s="154"/>
      <c r="O223" s="154"/>
      <c r="P223" s="154"/>
      <c r="Q223" s="154"/>
      <c r="R223" s="157"/>
      <c r="S223" s="154"/>
      <c r="T223" s="154"/>
      <c r="U223" s="154"/>
      <c r="V223" s="154"/>
      <c r="W223" s="157"/>
      <c r="X223" s="154"/>
      <c r="Y223" s="154"/>
      <c r="Z223" s="154"/>
      <c r="AA223" s="154"/>
      <c r="AB223" s="157"/>
      <c r="AC223" s="154"/>
      <c r="AD223" s="154"/>
      <c r="AE223" s="154"/>
      <c r="AF223" s="154"/>
      <c r="AG223" s="157"/>
      <c r="AH223" s="154"/>
      <c r="AI223" s="154"/>
      <c r="AJ223" s="154"/>
      <c r="AK223" s="154"/>
      <c r="AL223" s="157"/>
      <c r="AM223" s="154"/>
      <c r="AN223" s="154"/>
      <c r="AO223" s="154"/>
      <c r="AP223" s="154"/>
      <c r="AQ223" s="157"/>
      <c r="AR223" s="154"/>
      <c r="AS223" s="154"/>
      <c r="AT223" s="154"/>
      <c r="AU223" s="154"/>
      <c r="AV223" s="157"/>
      <c r="AW223" s="154"/>
      <c r="AX223" s="154"/>
      <c r="AY223" s="154"/>
      <c r="AZ223" s="154"/>
      <c r="BA223" s="157"/>
      <c r="BB223" s="154"/>
      <c r="BC223" s="154"/>
      <c r="BD223" s="154"/>
      <c r="BE223" s="154"/>
      <c r="BF223" s="157"/>
      <c r="BG223" s="154"/>
      <c r="BH223" s="154"/>
      <c r="BI223" s="154"/>
      <c r="BJ223" s="154"/>
      <c r="BK223" s="157"/>
      <c r="BL223" s="154"/>
      <c r="BM223" s="154"/>
      <c r="BN223" s="154"/>
      <c r="BO223" s="154"/>
      <c r="BP223" s="157"/>
      <c r="BQ223" s="154"/>
      <c r="BR223" s="154"/>
      <c r="BS223" s="154"/>
      <c r="BT223" s="154"/>
      <c r="BU223" s="157"/>
      <c r="BV223" s="154"/>
      <c r="BW223" s="154"/>
      <c r="BX223" s="154"/>
      <c r="BY223" s="154"/>
      <c r="BZ223" s="157"/>
      <c r="CA223" s="154"/>
      <c r="CB223" s="154"/>
      <c r="CC223" s="154"/>
      <c r="CD223" s="154"/>
      <c r="CE223" s="157"/>
      <c r="CF223" s="154"/>
      <c r="CG223" s="154"/>
      <c r="CH223" s="154"/>
      <c r="CI223" s="154"/>
      <c r="CJ223" s="157"/>
      <c r="CK223" s="154"/>
      <c r="CL223" s="154"/>
      <c r="CM223" s="154"/>
      <c r="CN223" s="154"/>
      <c r="CO223" s="157"/>
      <c r="CP223" s="154"/>
      <c r="CQ223" s="154"/>
      <c r="CR223" s="154"/>
      <c r="CS223" s="154"/>
      <c r="CT223" s="157"/>
      <c r="CU223" s="154"/>
      <c r="CV223" s="154"/>
      <c r="CW223" s="154"/>
      <c r="CX223" s="154"/>
      <c r="CY223" s="157"/>
      <c r="CZ223" s="154"/>
      <c r="DA223" s="154"/>
      <c r="DB223" s="154"/>
      <c r="DC223" s="154"/>
      <c r="DD223" s="157"/>
      <c r="DE223" s="154"/>
      <c r="DF223" s="154"/>
      <c r="DG223" s="154"/>
      <c r="DH223" s="154"/>
      <c r="DI223" s="157"/>
      <c r="DJ223" s="154"/>
      <c r="DK223" s="154"/>
      <c r="DL223" s="154"/>
      <c r="DM223" s="154"/>
      <c r="DN223" s="157"/>
      <c r="DO223" s="154"/>
      <c r="DP223" s="154"/>
      <c r="DQ223" s="154"/>
      <c r="DR223" s="154"/>
      <c r="DS223" s="157"/>
      <c r="DT223" s="154"/>
      <c r="DU223" s="154"/>
      <c r="DV223" s="154"/>
      <c r="DW223" s="154"/>
      <c r="DX223" s="157"/>
      <c r="DY223" s="154"/>
      <c r="DZ223" s="154"/>
      <c r="EA223" s="154"/>
      <c r="EB223" s="154"/>
      <c r="EC223" s="157"/>
      <c r="ED223" s="154"/>
      <c r="EE223" s="154"/>
      <c r="EF223" s="154"/>
      <c r="EG223" s="154"/>
      <c r="EH223" s="157"/>
      <c r="EI223" s="154"/>
      <c r="EJ223" s="154"/>
      <c r="EK223" s="154"/>
      <c r="EL223" s="154"/>
      <c r="EM223" s="157"/>
      <c r="EN223" s="154"/>
      <c r="EO223" s="154"/>
      <c r="EP223" s="154"/>
      <c r="EQ223" s="154"/>
      <c r="ER223" s="157"/>
      <c r="ES223" s="154"/>
      <c r="ET223" s="154"/>
      <c r="EU223" s="154"/>
      <c r="EV223" s="154"/>
      <c r="EW223" s="157"/>
      <c r="EX223" s="154"/>
      <c r="EY223" s="154"/>
      <c r="EZ223" s="154"/>
      <c r="FA223" s="154"/>
      <c r="FB223" s="157"/>
      <c r="FC223" s="154"/>
      <c r="FD223" s="154"/>
      <c r="FE223" s="154"/>
      <c r="FF223" s="154"/>
      <c r="FG223" s="157"/>
      <c r="FH223" s="154"/>
      <c r="FI223" s="154"/>
      <c r="FJ223" s="154"/>
      <c r="FK223" s="154"/>
      <c r="FL223" s="157"/>
      <c r="FM223" s="154"/>
      <c r="FN223" s="154"/>
      <c r="FO223" s="154"/>
      <c r="FP223" s="154"/>
      <c r="FQ223" s="157"/>
      <c r="FR223" s="154"/>
      <c r="FS223" s="154"/>
      <c r="FT223" s="154"/>
      <c r="FU223" s="154"/>
      <c r="FV223" s="157"/>
      <c r="FW223" s="154"/>
      <c r="FX223" s="154"/>
      <c r="FY223" s="154"/>
      <c r="FZ223" s="154"/>
      <c r="GA223" s="157"/>
      <c r="GB223" s="154"/>
      <c r="GC223" s="154"/>
      <c r="GD223" s="154"/>
      <c r="GE223" s="154"/>
    </row>
    <row r="224" spans="3:187" ht="12.75" customHeight="1">
      <c r="C224" s="157"/>
      <c r="D224" s="154"/>
      <c r="E224" s="154"/>
      <c r="F224" s="154"/>
      <c r="G224" s="154"/>
      <c r="H224" s="157"/>
      <c r="I224" s="154"/>
      <c r="J224" s="154"/>
      <c r="K224" s="154"/>
      <c r="L224" s="154"/>
      <c r="M224" s="157"/>
      <c r="N224" s="154"/>
      <c r="O224" s="154"/>
      <c r="P224" s="154"/>
      <c r="Q224" s="154"/>
      <c r="R224" s="157"/>
      <c r="S224" s="154"/>
      <c r="T224" s="154"/>
      <c r="U224" s="154"/>
      <c r="V224" s="154"/>
      <c r="W224" s="157"/>
      <c r="X224" s="154"/>
      <c r="Y224" s="154"/>
      <c r="Z224" s="154"/>
      <c r="AA224" s="154"/>
      <c r="AB224" s="157"/>
      <c r="AC224" s="154"/>
      <c r="AD224" s="154"/>
      <c r="AE224" s="154"/>
      <c r="AF224" s="154"/>
      <c r="AG224" s="157"/>
      <c r="AH224" s="154"/>
      <c r="AI224" s="154"/>
      <c r="AJ224" s="154"/>
      <c r="AK224" s="154"/>
      <c r="AL224" s="157"/>
      <c r="AM224" s="154"/>
      <c r="AN224" s="154"/>
      <c r="AO224" s="154"/>
      <c r="AP224" s="154"/>
      <c r="AQ224" s="157"/>
      <c r="AR224" s="154"/>
      <c r="AS224" s="154"/>
      <c r="AT224" s="154"/>
      <c r="AU224" s="154"/>
      <c r="AV224" s="157"/>
      <c r="AW224" s="154"/>
      <c r="AX224" s="154"/>
      <c r="AY224" s="154"/>
      <c r="AZ224" s="154"/>
      <c r="BA224" s="157"/>
      <c r="BB224" s="154"/>
      <c r="BC224" s="154"/>
      <c r="BD224" s="154"/>
      <c r="BE224" s="154"/>
      <c r="BF224" s="157"/>
      <c r="BG224" s="154"/>
      <c r="BH224" s="154"/>
      <c r="BI224" s="154"/>
      <c r="BJ224" s="154"/>
      <c r="BK224" s="157"/>
      <c r="BL224" s="154"/>
      <c r="BM224" s="154"/>
      <c r="BN224" s="154"/>
      <c r="BO224" s="154"/>
      <c r="BP224" s="157"/>
      <c r="BQ224" s="154"/>
      <c r="BR224" s="154"/>
      <c r="BS224" s="154"/>
      <c r="BT224" s="154"/>
      <c r="BU224" s="157"/>
      <c r="BV224" s="154"/>
      <c r="BW224" s="154"/>
      <c r="BX224" s="154"/>
      <c r="BY224" s="154"/>
      <c r="BZ224" s="157"/>
      <c r="CA224" s="154"/>
      <c r="CB224" s="154"/>
      <c r="CC224" s="154"/>
      <c r="CD224" s="154"/>
      <c r="CE224" s="157"/>
      <c r="CF224" s="154"/>
      <c r="CG224" s="154"/>
      <c r="CH224" s="154"/>
      <c r="CI224" s="154"/>
      <c r="CJ224" s="157"/>
      <c r="CK224" s="154"/>
      <c r="CL224" s="154"/>
      <c r="CM224" s="154"/>
      <c r="CN224" s="154"/>
      <c r="CO224" s="157"/>
      <c r="CP224" s="154"/>
      <c r="CQ224" s="154"/>
      <c r="CR224" s="154"/>
      <c r="CS224" s="154"/>
      <c r="CT224" s="157"/>
      <c r="CU224" s="154"/>
      <c r="CV224" s="154"/>
      <c r="CW224" s="154"/>
      <c r="CX224" s="154"/>
      <c r="CY224" s="157"/>
      <c r="CZ224" s="154"/>
      <c r="DA224" s="154"/>
      <c r="DB224" s="154"/>
      <c r="DC224" s="154"/>
      <c r="DD224" s="157"/>
      <c r="DE224" s="154"/>
      <c r="DF224" s="154"/>
      <c r="DG224" s="154"/>
      <c r="DH224" s="154"/>
      <c r="DI224" s="157"/>
      <c r="DJ224" s="154"/>
      <c r="DK224" s="154"/>
      <c r="DL224" s="154"/>
      <c r="DM224" s="154"/>
      <c r="DN224" s="157"/>
      <c r="DO224" s="154"/>
      <c r="DP224" s="154"/>
      <c r="DQ224" s="154"/>
      <c r="DR224" s="154"/>
      <c r="DS224" s="157"/>
      <c r="DT224" s="154"/>
      <c r="DU224" s="154"/>
      <c r="DV224" s="154"/>
      <c r="DW224" s="154"/>
      <c r="DX224" s="157"/>
      <c r="DY224" s="154"/>
      <c r="DZ224" s="154"/>
      <c r="EA224" s="154"/>
      <c r="EB224" s="154"/>
      <c r="EC224" s="157"/>
      <c r="ED224" s="154"/>
      <c r="EE224" s="154"/>
      <c r="EF224" s="154"/>
      <c r="EG224" s="154"/>
      <c r="EH224" s="157"/>
      <c r="EI224" s="154"/>
      <c r="EJ224" s="154"/>
      <c r="EK224" s="154"/>
      <c r="EL224" s="154"/>
      <c r="EM224" s="157"/>
      <c r="EN224" s="154"/>
      <c r="EO224" s="154"/>
      <c r="EP224" s="154"/>
      <c r="EQ224" s="154"/>
      <c r="ER224" s="157"/>
      <c r="ES224" s="154"/>
      <c r="ET224" s="154"/>
      <c r="EU224" s="154"/>
      <c r="EV224" s="154"/>
      <c r="EW224" s="157"/>
      <c r="EX224" s="154"/>
      <c r="EY224" s="154"/>
      <c r="EZ224" s="154"/>
      <c r="FA224" s="154"/>
      <c r="FB224" s="157"/>
      <c r="FC224" s="154"/>
      <c r="FD224" s="154"/>
      <c r="FE224" s="154"/>
      <c r="FF224" s="154"/>
      <c r="FG224" s="157"/>
      <c r="FH224" s="154"/>
      <c r="FI224" s="154"/>
      <c r="FJ224" s="154"/>
      <c r="FK224" s="154"/>
      <c r="FL224" s="157"/>
      <c r="FM224" s="154"/>
      <c r="FN224" s="154"/>
      <c r="FO224" s="154"/>
      <c r="FP224" s="154"/>
      <c r="FQ224" s="157"/>
      <c r="FR224" s="154"/>
      <c r="FS224" s="154"/>
      <c r="FT224" s="154"/>
      <c r="FU224" s="154"/>
      <c r="FV224" s="157"/>
      <c r="FW224" s="154"/>
      <c r="FX224" s="154"/>
      <c r="FY224" s="154"/>
      <c r="FZ224" s="154"/>
      <c r="GA224" s="157"/>
      <c r="GB224" s="154"/>
      <c r="GC224" s="154"/>
      <c r="GD224" s="154"/>
      <c r="GE224" s="154"/>
    </row>
    <row r="225" spans="3:187" ht="12.75" customHeight="1">
      <c r="C225" s="155"/>
      <c r="D225" s="156"/>
      <c r="E225" s="156"/>
      <c r="F225" s="156"/>
      <c r="G225" s="156"/>
      <c r="H225" s="155"/>
      <c r="I225" s="156"/>
      <c r="J225" s="156"/>
      <c r="K225" s="156"/>
      <c r="L225" s="156"/>
      <c r="M225" s="155"/>
      <c r="N225" s="156"/>
      <c r="O225" s="156"/>
      <c r="P225" s="156"/>
      <c r="Q225" s="156"/>
      <c r="R225" s="155"/>
      <c r="S225" s="156"/>
      <c r="T225" s="156"/>
      <c r="U225" s="156"/>
      <c r="V225" s="156"/>
      <c r="W225" s="155"/>
      <c r="X225" s="156"/>
      <c r="Y225" s="156"/>
      <c r="Z225" s="156"/>
      <c r="AA225" s="156"/>
      <c r="AB225" s="155"/>
      <c r="AC225" s="156"/>
      <c r="AD225" s="156"/>
      <c r="AE225" s="156"/>
      <c r="AF225" s="156"/>
      <c r="AG225" s="155"/>
      <c r="AH225" s="156"/>
      <c r="AI225" s="156"/>
      <c r="AJ225" s="156"/>
      <c r="AK225" s="156"/>
      <c r="AL225" s="155"/>
      <c r="AM225" s="156"/>
      <c r="AN225" s="156"/>
      <c r="AO225" s="156"/>
      <c r="AP225" s="156"/>
      <c r="AQ225" s="155"/>
      <c r="AR225" s="156"/>
      <c r="AS225" s="156"/>
      <c r="AT225" s="156"/>
      <c r="AU225" s="156"/>
      <c r="AV225" s="155"/>
      <c r="AW225" s="156"/>
      <c r="AX225" s="156"/>
      <c r="AY225" s="156"/>
      <c r="AZ225" s="156"/>
      <c r="BA225" s="155"/>
      <c r="BB225" s="156"/>
      <c r="BC225" s="156"/>
      <c r="BD225" s="156"/>
      <c r="BE225" s="156"/>
      <c r="BF225" s="155"/>
      <c r="BG225" s="156"/>
      <c r="BH225" s="156"/>
      <c r="BI225" s="156"/>
      <c r="BJ225" s="156"/>
      <c r="BK225" s="155"/>
      <c r="BL225" s="156"/>
      <c r="BM225" s="156"/>
      <c r="BN225" s="156"/>
      <c r="BO225" s="156"/>
      <c r="BP225" s="155"/>
      <c r="BQ225" s="156"/>
      <c r="BR225" s="156"/>
      <c r="BS225" s="156"/>
      <c r="BT225" s="156"/>
      <c r="BU225" s="155"/>
      <c r="BV225" s="156"/>
      <c r="BW225" s="156"/>
      <c r="BX225" s="156"/>
      <c r="BY225" s="156"/>
      <c r="BZ225" s="155"/>
      <c r="CA225" s="156"/>
      <c r="CB225" s="156"/>
      <c r="CC225" s="156"/>
      <c r="CD225" s="156"/>
      <c r="CE225" s="155"/>
      <c r="CF225" s="156"/>
      <c r="CG225" s="156"/>
      <c r="CH225" s="156"/>
      <c r="CI225" s="156"/>
      <c r="CJ225" s="155"/>
      <c r="CK225" s="156"/>
      <c r="CL225" s="156"/>
      <c r="CM225" s="156"/>
      <c r="CN225" s="156"/>
      <c r="CO225" s="155"/>
      <c r="CP225" s="156"/>
      <c r="CQ225" s="156"/>
      <c r="CR225" s="156"/>
      <c r="CS225" s="156"/>
      <c r="CT225" s="155"/>
      <c r="CU225" s="156"/>
      <c r="CV225" s="156"/>
      <c r="CW225" s="156"/>
      <c r="CX225" s="156"/>
      <c r="CY225" s="155"/>
      <c r="CZ225" s="156"/>
      <c r="DA225" s="156"/>
      <c r="DB225" s="156"/>
      <c r="DC225" s="156"/>
      <c r="DD225" s="155"/>
      <c r="DE225" s="156"/>
      <c r="DF225" s="156"/>
      <c r="DG225" s="156"/>
      <c r="DH225" s="156"/>
      <c r="DI225" s="155"/>
      <c r="DJ225" s="156"/>
      <c r="DK225" s="156"/>
      <c r="DL225" s="156"/>
      <c r="DM225" s="156"/>
      <c r="DN225" s="155"/>
      <c r="DO225" s="156"/>
      <c r="DP225" s="156"/>
      <c r="DQ225" s="156"/>
      <c r="DR225" s="156"/>
      <c r="DS225" s="155"/>
      <c r="DT225" s="156"/>
      <c r="DU225" s="156"/>
      <c r="DV225" s="156"/>
      <c r="DW225" s="156"/>
      <c r="DX225" s="155"/>
      <c r="DY225" s="156"/>
      <c r="DZ225" s="156"/>
      <c r="EA225" s="156"/>
      <c r="EB225" s="156"/>
      <c r="EC225" s="155"/>
      <c r="ED225" s="156"/>
      <c r="EE225" s="156"/>
      <c r="EF225" s="156"/>
      <c r="EG225" s="156"/>
      <c r="EH225" s="155"/>
      <c r="EI225" s="156"/>
      <c r="EJ225" s="156"/>
      <c r="EK225" s="156"/>
      <c r="EL225" s="156"/>
      <c r="EM225" s="155"/>
      <c r="EN225" s="156"/>
      <c r="EO225" s="156"/>
      <c r="EP225" s="156"/>
      <c r="EQ225" s="156"/>
      <c r="ER225" s="155"/>
      <c r="ES225" s="156"/>
      <c r="ET225" s="156"/>
      <c r="EU225" s="156"/>
      <c r="EV225" s="156"/>
      <c r="EW225" s="155"/>
      <c r="EX225" s="156"/>
      <c r="EY225" s="156"/>
      <c r="EZ225" s="156"/>
      <c r="FA225" s="156"/>
      <c r="FB225" s="155"/>
      <c r="FC225" s="156"/>
      <c r="FD225" s="156"/>
      <c r="FE225" s="156"/>
      <c r="FF225" s="156"/>
      <c r="FG225" s="155"/>
      <c r="FH225" s="156"/>
      <c r="FI225" s="156"/>
      <c r="FJ225" s="156"/>
      <c r="FK225" s="156"/>
      <c r="FL225" s="155"/>
      <c r="FM225" s="156"/>
      <c r="FN225" s="156"/>
      <c r="FO225" s="156"/>
      <c r="FP225" s="156"/>
      <c r="FQ225" s="155"/>
      <c r="FR225" s="156"/>
      <c r="FS225" s="156"/>
      <c r="FT225" s="156"/>
      <c r="FU225" s="156"/>
      <c r="FV225" s="155"/>
      <c r="FW225" s="156"/>
      <c r="FX225" s="156"/>
      <c r="FY225" s="156"/>
      <c r="FZ225" s="156"/>
      <c r="GA225" s="155"/>
      <c r="GB225" s="156"/>
      <c r="GC225" s="156"/>
      <c r="GD225" s="156"/>
      <c r="GE225" s="156"/>
    </row>
    <row r="226" spans="3:187" ht="12.75" customHeight="1">
      <c r="C226" s="158"/>
      <c r="D226" s="154"/>
      <c r="E226" s="154"/>
      <c r="F226" s="154"/>
      <c r="G226" s="154"/>
      <c r="H226" s="158"/>
      <c r="I226" s="154"/>
      <c r="J226" s="154"/>
      <c r="K226" s="154"/>
      <c r="L226" s="154"/>
      <c r="M226" s="158"/>
      <c r="N226" s="154"/>
      <c r="O226" s="154"/>
      <c r="P226" s="154"/>
      <c r="Q226" s="154"/>
      <c r="R226" s="158"/>
      <c r="S226" s="154"/>
      <c r="T226" s="154"/>
      <c r="U226" s="154"/>
      <c r="V226" s="154"/>
      <c r="W226" s="158"/>
      <c r="X226" s="154"/>
      <c r="Y226" s="154"/>
      <c r="Z226" s="154"/>
      <c r="AA226" s="154"/>
      <c r="AB226" s="158"/>
      <c r="AC226" s="154"/>
      <c r="AD226" s="154"/>
      <c r="AE226" s="154"/>
      <c r="AF226" s="154"/>
      <c r="AG226" s="158"/>
      <c r="AH226" s="154"/>
      <c r="AI226" s="154"/>
      <c r="AJ226" s="154"/>
      <c r="AK226" s="154"/>
      <c r="AL226" s="158"/>
      <c r="AM226" s="154"/>
      <c r="AN226" s="154"/>
      <c r="AO226" s="154"/>
      <c r="AP226" s="154"/>
      <c r="AQ226" s="158"/>
      <c r="AR226" s="154"/>
      <c r="AS226" s="154"/>
      <c r="AT226" s="154"/>
      <c r="AU226" s="154"/>
      <c r="AV226" s="158"/>
      <c r="AW226" s="154"/>
      <c r="AX226" s="154"/>
      <c r="AY226" s="154"/>
      <c r="AZ226" s="154"/>
      <c r="BA226" s="158"/>
      <c r="BB226" s="154"/>
      <c r="BC226" s="154"/>
      <c r="BD226" s="154"/>
      <c r="BE226" s="154"/>
      <c r="BF226" s="158"/>
      <c r="BG226" s="154"/>
      <c r="BH226" s="154"/>
      <c r="BI226" s="154"/>
      <c r="BJ226" s="154"/>
      <c r="BK226" s="158"/>
      <c r="BL226" s="154"/>
      <c r="BM226" s="154"/>
      <c r="BN226" s="154"/>
      <c r="BO226" s="154"/>
      <c r="BP226" s="158"/>
      <c r="BQ226" s="154"/>
      <c r="BR226" s="154"/>
      <c r="BS226" s="154"/>
      <c r="BT226" s="154"/>
      <c r="BU226" s="158"/>
      <c r="BV226" s="154"/>
      <c r="BW226" s="154"/>
      <c r="BX226" s="154"/>
      <c r="BY226" s="154"/>
      <c r="BZ226" s="158"/>
      <c r="CA226" s="154"/>
      <c r="CB226" s="154"/>
      <c r="CC226" s="154"/>
      <c r="CD226" s="154"/>
      <c r="CE226" s="158"/>
      <c r="CF226" s="154"/>
      <c r="CG226" s="154"/>
      <c r="CH226" s="154"/>
      <c r="CI226" s="154"/>
      <c r="CJ226" s="158"/>
      <c r="CK226" s="154"/>
      <c r="CL226" s="154"/>
      <c r="CM226" s="154"/>
      <c r="CN226" s="154"/>
      <c r="CO226" s="158"/>
      <c r="CP226" s="154"/>
      <c r="CQ226" s="154"/>
      <c r="CR226" s="154"/>
      <c r="CS226" s="154"/>
      <c r="CT226" s="158"/>
      <c r="CU226" s="154"/>
      <c r="CV226" s="154"/>
      <c r="CW226" s="154"/>
      <c r="CX226" s="154"/>
      <c r="CY226" s="158"/>
      <c r="CZ226" s="154"/>
      <c r="DA226" s="154"/>
      <c r="DB226" s="154"/>
      <c r="DC226" s="154"/>
      <c r="DD226" s="158"/>
      <c r="DE226" s="154"/>
      <c r="DF226" s="154"/>
      <c r="DG226" s="154"/>
      <c r="DH226" s="154"/>
      <c r="DI226" s="158"/>
      <c r="DJ226" s="154"/>
      <c r="DK226" s="154"/>
      <c r="DL226" s="154"/>
      <c r="DM226" s="154"/>
      <c r="DN226" s="158"/>
      <c r="DO226" s="154"/>
      <c r="DP226" s="154"/>
      <c r="DQ226" s="154"/>
      <c r="DR226" s="154"/>
      <c r="DS226" s="158"/>
      <c r="DT226" s="154"/>
      <c r="DU226" s="154"/>
      <c r="DV226" s="154"/>
      <c r="DW226" s="154"/>
      <c r="DX226" s="158"/>
      <c r="DY226" s="154"/>
      <c r="DZ226" s="154"/>
      <c r="EA226" s="154"/>
      <c r="EB226" s="154"/>
      <c r="EC226" s="158"/>
      <c r="ED226" s="154"/>
      <c r="EE226" s="154"/>
      <c r="EF226" s="154"/>
      <c r="EG226" s="154"/>
      <c r="EH226" s="158"/>
      <c r="EI226" s="154"/>
      <c r="EJ226" s="154"/>
      <c r="EK226" s="154"/>
      <c r="EL226" s="154"/>
      <c r="EM226" s="158"/>
      <c r="EN226" s="154"/>
      <c r="EO226" s="154"/>
      <c r="EP226" s="154"/>
      <c r="EQ226" s="154"/>
      <c r="ER226" s="158"/>
      <c r="ES226" s="154"/>
      <c r="ET226" s="154"/>
      <c r="EU226" s="154"/>
      <c r="EV226" s="154"/>
      <c r="EW226" s="158"/>
      <c r="EX226" s="154"/>
      <c r="EY226" s="154"/>
      <c r="EZ226" s="154"/>
      <c r="FA226" s="154"/>
      <c r="FB226" s="158"/>
      <c r="FC226" s="154"/>
      <c r="FD226" s="154"/>
      <c r="FE226" s="154"/>
      <c r="FF226" s="154"/>
      <c r="FG226" s="158"/>
      <c r="FH226" s="154"/>
      <c r="FI226" s="154"/>
      <c r="FJ226" s="154"/>
      <c r="FK226" s="154"/>
      <c r="FL226" s="158"/>
      <c r="FM226" s="154"/>
      <c r="FN226" s="154"/>
      <c r="FO226" s="154"/>
      <c r="FP226" s="154"/>
      <c r="FQ226" s="158"/>
      <c r="FR226" s="154"/>
      <c r="FS226" s="154"/>
      <c r="FT226" s="154"/>
      <c r="FU226" s="154"/>
      <c r="FV226" s="158"/>
      <c r="FW226" s="154"/>
      <c r="FX226" s="154"/>
      <c r="FY226" s="154"/>
      <c r="FZ226" s="154"/>
      <c r="GA226" s="158"/>
      <c r="GB226" s="154"/>
      <c r="GC226" s="154"/>
      <c r="GD226" s="154"/>
      <c r="GE226" s="154"/>
    </row>
    <row r="227" spans="3:187" ht="12.75" customHeight="1">
      <c r="C227" s="158"/>
      <c r="D227" s="154"/>
      <c r="E227" s="154"/>
      <c r="F227" s="154"/>
      <c r="G227" s="154"/>
      <c r="H227" s="158"/>
      <c r="I227" s="154"/>
      <c r="J227" s="154"/>
      <c r="K227" s="154"/>
      <c r="L227" s="154"/>
      <c r="M227" s="158"/>
      <c r="N227" s="154"/>
      <c r="O227" s="154"/>
      <c r="P227" s="154"/>
      <c r="Q227" s="154"/>
      <c r="R227" s="158"/>
      <c r="S227" s="154"/>
      <c r="T227" s="154"/>
      <c r="U227" s="154"/>
      <c r="V227" s="154"/>
      <c r="W227" s="158"/>
      <c r="X227" s="154"/>
      <c r="Y227" s="154"/>
      <c r="Z227" s="154"/>
      <c r="AA227" s="154"/>
      <c r="AB227" s="158"/>
      <c r="AC227" s="154"/>
      <c r="AD227" s="154"/>
      <c r="AE227" s="154"/>
      <c r="AF227" s="154"/>
      <c r="AG227" s="158"/>
      <c r="AH227" s="154"/>
      <c r="AI227" s="154"/>
      <c r="AJ227" s="154"/>
      <c r="AK227" s="154"/>
      <c r="AL227" s="158"/>
      <c r="AM227" s="154"/>
      <c r="AN227" s="154"/>
      <c r="AO227" s="154"/>
      <c r="AP227" s="154"/>
      <c r="AQ227" s="158"/>
      <c r="AR227" s="154"/>
      <c r="AS227" s="154"/>
      <c r="AT227" s="154"/>
      <c r="AU227" s="154"/>
      <c r="AV227" s="158"/>
      <c r="AW227" s="154"/>
      <c r="AX227" s="154"/>
      <c r="AY227" s="154"/>
      <c r="AZ227" s="154"/>
      <c r="BA227" s="158"/>
      <c r="BB227" s="154"/>
      <c r="BC227" s="154"/>
      <c r="BD227" s="154"/>
      <c r="BE227" s="154"/>
      <c r="BF227" s="158"/>
      <c r="BG227" s="154"/>
      <c r="BH227" s="154"/>
      <c r="BI227" s="154"/>
      <c r="BJ227" s="154"/>
      <c r="BK227" s="158"/>
      <c r="BL227" s="154"/>
      <c r="BM227" s="154"/>
      <c r="BN227" s="154"/>
      <c r="BO227" s="154"/>
      <c r="BP227" s="158"/>
      <c r="BQ227" s="154"/>
      <c r="BR227" s="154"/>
      <c r="BS227" s="154"/>
      <c r="BT227" s="154"/>
      <c r="BU227" s="158"/>
      <c r="BV227" s="154"/>
      <c r="BW227" s="154"/>
      <c r="BX227" s="154"/>
      <c r="BY227" s="154"/>
      <c r="BZ227" s="158"/>
      <c r="CA227" s="154"/>
      <c r="CB227" s="154"/>
      <c r="CC227" s="154"/>
      <c r="CD227" s="154"/>
      <c r="CE227" s="158"/>
      <c r="CF227" s="154"/>
      <c r="CG227" s="154"/>
      <c r="CH227" s="154"/>
      <c r="CI227" s="154"/>
      <c r="CJ227" s="158"/>
      <c r="CK227" s="154"/>
      <c r="CL227" s="154"/>
      <c r="CM227" s="154"/>
      <c r="CN227" s="154"/>
      <c r="CO227" s="158"/>
      <c r="CP227" s="154"/>
      <c r="CQ227" s="154"/>
      <c r="CR227" s="154"/>
      <c r="CS227" s="154"/>
      <c r="CT227" s="158"/>
      <c r="CU227" s="154"/>
      <c r="CV227" s="154"/>
      <c r="CW227" s="154"/>
      <c r="CX227" s="154"/>
      <c r="CY227" s="158"/>
      <c r="CZ227" s="154"/>
      <c r="DA227" s="154"/>
      <c r="DB227" s="154"/>
      <c r="DC227" s="154"/>
      <c r="DD227" s="158"/>
      <c r="DE227" s="154"/>
      <c r="DF227" s="154"/>
      <c r="DG227" s="154"/>
      <c r="DH227" s="154"/>
      <c r="DI227" s="158"/>
      <c r="DJ227" s="154"/>
      <c r="DK227" s="154"/>
      <c r="DL227" s="154"/>
      <c r="DM227" s="154"/>
      <c r="DN227" s="158"/>
      <c r="DO227" s="154"/>
      <c r="DP227" s="154"/>
      <c r="DQ227" s="154"/>
      <c r="DR227" s="154"/>
      <c r="DS227" s="158"/>
      <c r="DT227" s="154"/>
      <c r="DU227" s="154"/>
      <c r="DV227" s="154"/>
      <c r="DW227" s="154"/>
      <c r="DX227" s="158"/>
      <c r="DY227" s="154"/>
      <c r="DZ227" s="154"/>
      <c r="EA227" s="154"/>
      <c r="EB227" s="154"/>
      <c r="EC227" s="158"/>
      <c r="ED227" s="154"/>
      <c r="EE227" s="154"/>
      <c r="EF227" s="154"/>
      <c r="EG227" s="154"/>
      <c r="EH227" s="158"/>
      <c r="EI227" s="154"/>
      <c r="EJ227" s="154"/>
      <c r="EK227" s="154"/>
      <c r="EL227" s="154"/>
      <c r="EM227" s="158"/>
      <c r="EN227" s="154"/>
      <c r="EO227" s="154"/>
      <c r="EP227" s="154"/>
      <c r="EQ227" s="154"/>
      <c r="ER227" s="158"/>
      <c r="ES227" s="154"/>
      <c r="ET227" s="154"/>
      <c r="EU227" s="154"/>
      <c r="EV227" s="154"/>
      <c r="EW227" s="158"/>
      <c r="EX227" s="154"/>
      <c r="EY227" s="154"/>
      <c r="EZ227" s="154"/>
      <c r="FA227" s="154"/>
      <c r="FB227" s="158"/>
      <c r="FC227" s="154"/>
      <c r="FD227" s="154"/>
      <c r="FE227" s="154"/>
      <c r="FF227" s="154"/>
      <c r="FG227" s="158"/>
      <c r="FH227" s="154"/>
      <c r="FI227" s="154"/>
      <c r="FJ227" s="154"/>
      <c r="FK227" s="154"/>
      <c r="FL227" s="158"/>
      <c r="FM227" s="154"/>
      <c r="FN227" s="154"/>
      <c r="FO227" s="154"/>
      <c r="FP227" s="154"/>
      <c r="FQ227" s="158"/>
      <c r="FR227" s="154"/>
      <c r="FS227" s="154"/>
      <c r="FT227" s="154"/>
      <c r="FU227" s="154"/>
      <c r="FV227" s="158"/>
      <c r="FW227" s="154"/>
      <c r="FX227" s="154"/>
      <c r="FY227" s="154"/>
      <c r="FZ227" s="154"/>
      <c r="GA227" s="158"/>
      <c r="GB227" s="154"/>
      <c r="GC227" s="154"/>
      <c r="GD227" s="154"/>
      <c r="GE227" s="154"/>
    </row>
    <row r="228" spans="3:187" ht="12.75" customHeight="1">
      <c r="C228" s="158"/>
      <c r="D228" s="154"/>
      <c r="E228" s="154"/>
      <c r="F228" s="154"/>
      <c r="G228" s="154"/>
      <c r="H228" s="158"/>
      <c r="I228" s="154"/>
      <c r="J228" s="154"/>
      <c r="K228" s="154"/>
      <c r="L228" s="154"/>
      <c r="M228" s="158"/>
      <c r="N228" s="154"/>
      <c r="O228" s="154"/>
      <c r="P228" s="154"/>
      <c r="Q228" s="154"/>
      <c r="R228" s="158"/>
      <c r="S228" s="154"/>
      <c r="T228" s="154"/>
      <c r="U228" s="154"/>
      <c r="V228" s="154"/>
      <c r="W228" s="158"/>
      <c r="X228" s="154"/>
      <c r="Y228" s="154"/>
      <c r="Z228" s="154"/>
      <c r="AA228" s="154"/>
      <c r="AB228" s="158"/>
      <c r="AC228" s="154"/>
      <c r="AD228" s="154"/>
      <c r="AE228" s="154"/>
      <c r="AF228" s="154"/>
      <c r="AG228" s="158"/>
      <c r="AH228" s="154"/>
      <c r="AI228" s="154"/>
      <c r="AJ228" s="154"/>
      <c r="AK228" s="154"/>
      <c r="AL228" s="158"/>
      <c r="AM228" s="154"/>
      <c r="AN228" s="154"/>
      <c r="AO228" s="154"/>
      <c r="AP228" s="154"/>
      <c r="AQ228" s="158"/>
      <c r="AR228" s="154"/>
      <c r="AS228" s="154"/>
      <c r="AT228" s="154"/>
      <c r="AU228" s="154"/>
      <c r="AV228" s="158"/>
      <c r="AW228" s="154"/>
      <c r="AX228" s="154"/>
      <c r="AY228" s="154"/>
      <c r="AZ228" s="154"/>
      <c r="BA228" s="158"/>
      <c r="BB228" s="154"/>
      <c r="BC228" s="154"/>
      <c r="BD228" s="154"/>
      <c r="BE228" s="154"/>
      <c r="BF228" s="158"/>
      <c r="BG228" s="154"/>
      <c r="BH228" s="154"/>
      <c r="BI228" s="154"/>
      <c r="BJ228" s="154"/>
      <c r="BK228" s="158"/>
      <c r="BL228" s="154"/>
      <c r="BM228" s="154"/>
      <c r="BN228" s="154"/>
      <c r="BO228" s="154"/>
      <c r="BP228" s="158"/>
      <c r="BQ228" s="154"/>
      <c r="BR228" s="154"/>
      <c r="BS228" s="154"/>
      <c r="BT228" s="154"/>
      <c r="BU228" s="158"/>
      <c r="BV228" s="154"/>
      <c r="BW228" s="154"/>
      <c r="BX228" s="154"/>
      <c r="BY228" s="154"/>
      <c r="BZ228" s="158"/>
      <c r="CA228" s="154"/>
      <c r="CB228" s="154"/>
      <c r="CC228" s="154"/>
      <c r="CD228" s="154"/>
      <c r="CE228" s="158"/>
      <c r="CF228" s="154"/>
      <c r="CG228" s="154"/>
      <c r="CH228" s="154"/>
      <c r="CI228" s="154"/>
      <c r="CJ228" s="158"/>
      <c r="CK228" s="154"/>
      <c r="CL228" s="154"/>
      <c r="CM228" s="154"/>
      <c r="CN228" s="154"/>
      <c r="CO228" s="158"/>
      <c r="CP228" s="154"/>
      <c r="CQ228" s="154"/>
      <c r="CR228" s="154"/>
      <c r="CS228" s="154"/>
      <c r="CT228" s="158"/>
      <c r="CU228" s="154"/>
      <c r="CV228" s="154"/>
      <c r="CW228" s="154"/>
      <c r="CX228" s="154"/>
      <c r="CY228" s="158"/>
      <c r="CZ228" s="154"/>
      <c r="DA228" s="154"/>
      <c r="DB228" s="154"/>
      <c r="DC228" s="154"/>
      <c r="DD228" s="158"/>
      <c r="DE228" s="154"/>
      <c r="DF228" s="154"/>
      <c r="DG228" s="154"/>
      <c r="DH228" s="154"/>
      <c r="DI228" s="158"/>
      <c r="DJ228" s="154"/>
      <c r="DK228" s="154"/>
      <c r="DL228" s="154"/>
      <c r="DM228" s="154"/>
      <c r="DN228" s="158"/>
      <c r="DO228" s="154"/>
      <c r="DP228" s="154"/>
      <c r="DQ228" s="154"/>
      <c r="DR228" s="154"/>
      <c r="DS228" s="158"/>
      <c r="DT228" s="154"/>
      <c r="DU228" s="154"/>
      <c r="DV228" s="154"/>
      <c r="DW228" s="154"/>
      <c r="DX228" s="158"/>
      <c r="DY228" s="154"/>
      <c r="DZ228" s="154"/>
      <c r="EA228" s="154"/>
      <c r="EB228" s="154"/>
      <c r="EC228" s="158"/>
      <c r="ED228" s="154"/>
      <c r="EE228" s="154"/>
      <c r="EF228" s="154"/>
      <c r="EG228" s="154"/>
      <c r="EH228" s="158"/>
      <c r="EI228" s="154"/>
      <c r="EJ228" s="154"/>
      <c r="EK228" s="154"/>
      <c r="EL228" s="154"/>
      <c r="EM228" s="158"/>
      <c r="EN228" s="154"/>
      <c r="EO228" s="154"/>
      <c r="EP228" s="154"/>
      <c r="EQ228" s="154"/>
      <c r="ER228" s="158"/>
      <c r="ES228" s="154"/>
      <c r="ET228" s="154"/>
      <c r="EU228" s="154"/>
      <c r="EV228" s="154"/>
      <c r="EW228" s="158"/>
      <c r="EX228" s="154"/>
      <c r="EY228" s="154"/>
      <c r="EZ228" s="154"/>
      <c r="FA228" s="154"/>
      <c r="FB228" s="158"/>
      <c r="FC228" s="154"/>
      <c r="FD228" s="154"/>
      <c r="FE228" s="154"/>
      <c r="FF228" s="154"/>
      <c r="FG228" s="158"/>
      <c r="FH228" s="154"/>
      <c r="FI228" s="154"/>
      <c r="FJ228" s="154"/>
      <c r="FK228" s="154"/>
      <c r="FL228" s="158"/>
      <c r="FM228" s="154"/>
      <c r="FN228" s="154"/>
      <c r="FO228" s="154"/>
      <c r="FP228" s="154"/>
      <c r="FQ228" s="158"/>
      <c r="FR228" s="154"/>
      <c r="FS228" s="154"/>
      <c r="FT228" s="154"/>
      <c r="FU228" s="154"/>
      <c r="FV228" s="158"/>
      <c r="FW228" s="154"/>
      <c r="FX228" s="154"/>
      <c r="FY228" s="154"/>
      <c r="FZ228" s="154"/>
      <c r="GA228" s="158"/>
      <c r="GB228" s="154"/>
      <c r="GC228" s="154"/>
      <c r="GD228" s="154"/>
      <c r="GE228" s="154"/>
    </row>
    <row r="229" spans="3:187" ht="12.75" customHeight="1">
      <c r="C229" s="155"/>
      <c r="D229" s="156"/>
      <c r="E229" s="156"/>
      <c r="F229" s="156"/>
      <c r="G229" s="156"/>
      <c r="H229" s="155"/>
      <c r="I229" s="156"/>
      <c r="J229" s="156"/>
      <c r="K229" s="156"/>
      <c r="L229" s="156"/>
      <c r="M229" s="155"/>
      <c r="N229" s="156"/>
      <c r="O229" s="156"/>
      <c r="P229" s="156"/>
      <c r="Q229" s="156"/>
      <c r="R229" s="155"/>
      <c r="S229" s="156"/>
      <c r="T229" s="156"/>
      <c r="U229" s="156"/>
      <c r="V229" s="156"/>
      <c r="W229" s="155"/>
      <c r="X229" s="156"/>
      <c r="Y229" s="156"/>
      <c r="Z229" s="156"/>
      <c r="AA229" s="156"/>
      <c r="AB229" s="155"/>
      <c r="AC229" s="156"/>
      <c r="AD229" s="156"/>
      <c r="AE229" s="156"/>
      <c r="AF229" s="156"/>
      <c r="AG229" s="155"/>
      <c r="AH229" s="156"/>
      <c r="AI229" s="156"/>
      <c r="AJ229" s="156"/>
      <c r="AK229" s="156"/>
      <c r="AL229" s="155"/>
      <c r="AM229" s="156"/>
      <c r="AN229" s="156"/>
      <c r="AO229" s="156"/>
      <c r="AP229" s="156"/>
      <c r="AQ229" s="155"/>
      <c r="AR229" s="156"/>
      <c r="AS229" s="156"/>
      <c r="AT229" s="156"/>
      <c r="AU229" s="156"/>
      <c r="AV229" s="155"/>
      <c r="AW229" s="156"/>
      <c r="AX229" s="156"/>
      <c r="AY229" s="156"/>
      <c r="AZ229" s="156"/>
      <c r="BA229" s="155"/>
      <c r="BB229" s="156"/>
      <c r="BC229" s="156"/>
      <c r="BD229" s="156"/>
      <c r="BE229" s="156"/>
      <c r="BF229" s="155"/>
      <c r="BG229" s="156"/>
      <c r="BH229" s="156"/>
      <c r="BI229" s="156"/>
      <c r="BJ229" s="156"/>
      <c r="BK229" s="155"/>
      <c r="BL229" s="156"/>
      <c r="BM229" s="156"/>
      <c r="BN229" s="156"/>
      <c r="BO229" s="156"/>
      <c r="BP229" s="155"/>
      <c r="BQ229" s="156"/>
      <c r="BR229" s="156"/>
      <c r="BS229" s="156"/>
      <c r="BT229" s="156"/>
      <c r="BU229" s="155"/>
      <c r="BV229" s="156"/>
      <c r="BW229" s="156"/>
      <c r="BX229" s="156"/>
      <c r="BY229" s="156"/>
      <c r="BZ229" s="155"/>
      <c r="CA229" s="156"/>
      <c r="CB229" s="156"/>
      <c r="CC229" s="156"/>
      <c r="CD229" s="156"/>
      <c r="CE229" s="155"/>
      <c r="CF229" s="156"/>
      <c r="CG229" s="156"/>
      <c r="CH229" s="156"/>
      <c r="CI229" s="156"/>
      <c r="CJ229" s="155"/>
      <c r="CK229" s="156"/>
      <c r="CL229" s="156"/>
      <c r="CM229" s="156"/>
      <c r="CN229" s="156"/>
      <c r="CO229" s="155"/>
      <c r="CP229" s="156"/>
      <c r="CQ229" s="156"/>
      <c r="CR229" s="156"/>
      <c r="CS229" s="156"/>
      <c r="CT229" s="155"/>
      <c r="CU229" s="156"/>
      <c r="CV229" s="156"/>
      <c r="CW229" s="156"/>
      <c r="CX229" s="156"/>
      <c r="CY229" s="155"/>
      <c r="CZ229" s="156"/>
      <c r="DA229" s="156"/>
      <c r="DB229" s="156"/>
      <c r="DC229" s="156"/>
      <c r="DD229" s="155"/>
      <c r="DE229" s="156"/>
      <c r="DF229" s="156"/>
      <c r="DG229" s="156"/>
      <c r="DH229" s="156"/>
      <c r="DI229" s="155"/>
      <c r="DJ229" s="156"/>
      <c r="DK229" s="156"/>
      <c r="DL229" s="156"/>
      <c r="DM229" s="156"/>
      <c r="DN229" s="155"/>
      <c r="DO229" s="156"/>
      <c r="DP229" s="156"/>
      <c r="DQ229" s="156"/>
      <c r="DR229" s="156"/>
      <c r="DS229" s="155"/>
      <c r="DT229" s="156"/>
      <c r="DU229" s="156"/>
      <c r="DV229" s="156"/>
      <c r="DW229" s="156"/>
      <c r="DX229" s="155"/>
      <c r="DY229" s="156"/>
      <c r="DZ229" s="156"/>
      <c r="EA229" s="156"/>
      <c r="EB229" s="156"/>
      <c r="EC229" s="155"/>
      <c r="ED229" s="156"/>
      <c r="EE229" s="156"/>
      <c r="EF229" s="156"/>
      <c r="EG229" s="156"/>
      <c r="EH229" s="155"/>
      <c r="EI229" s="156"/>
      <c r="EJ229" s="156"/>
      <c r="EK229" s="156"/>
      <c r="EL229" s="156"/>
      <c r="EM229" s="155"/>
      <c r="EN229" s="156"/>
      <c r="EO229" s="156"/>
      <c r="EP229" s="156"/>
      <c r="EQ229" s="156"/>
      <c r="ER229" s="155"/>
      <c r="ES229" s="156"/>
      <c r="ET229" s="156"/>
      <c r="EU229" s="156"/>
      <c r="EV229" s="156"/>
      <c r="EW229" s="155"/>
      <c r="EX229" s="156"/>
      <c r="EY229" s="156"/>
      <c r="EZ229" s="156"/>
      <c r="FA229" s="156"/>
      <c r="FB229" s="155"/>
      <c r="FC229" s="156"/>
      <c r="FD229" s="156"/>
      <c r="FE229" s="156"/>
      <c r="FF229" s="156"/>
      <c r="FG229" s="155"/>
      <c r="FH229" s="156"/>
      <c r="FI229" s="156"/>
      <c r="FJ229" s="156"/>
      <c r="FK229" s="156"/>
      <c r="FL229" s="155"/>
      <c r="FM229" s="156"/>
      <c r="FN229" s="156"/>
      <c r="FO229" s="156"/>
      <c r="FP229" s="156"/>
      <c r="FQ229" s="155"/>
      <c r="FR229" s="156"/>
      <c r="FS229" s="156"/>
      <c r="FT229" s="156"/>
      <c r="FU229" s="156"/>
      <c r="FV229" s="155"/>
      <c r="FW229" s="156"/>
      <c r="FX229" s="156"/>
      <c r="FY229" s="156"/>
      <c r="FZ229" s="156"/>
      <c r="GA229" s="155"/>
      <c r="GB229" s="156"/>
      <c r="GC229" s="156"/>
      <c r="GD229" s="156"/>
      <c r="GE229" s="156"/>
    </row>
    <row r="230" spans="3:187" ht="12.75" customHeight="1">
      <c r="C230" s="158"/>
      <c r="D230" s="154"/>
      <c r="E230" s="154"/>
      <c r="F230" s="154"/>
      <c r="G230" s="154"/>
      <c r="H230" s="158"/>
      <c r="I230" s="154"/>
      <c r="J230" s="154"/>
      <c r="K230" s="154"/>
      <c r="L230" s="154"/>
      <c r="M230" s="158"/>
      <c r="N230" s="154"/>
      <c r="O230" s="154"/>
      <c r="P230" s="154"/>
      <c r="Q230" s="154"/>
      <c r="R230" s="158"/>
      <c r="S230" s="154"/>
      <c r="T230" s="154"/>
      <c r="U230" s="154"/>
      <c r="V230" s="154"/>
      <c r="W230" s="158"/>
      <c r="X230" s="154"/>
      <c r="Y230" s="154"/>
      <c r="Z230" s="154"/>
      <c r="AA230" s="154"/>
      <c r="AB230" s="158"/>
      <c r="AC230" s="154"/>
      <c r="AD230" s="154"/>
      <c r="AE230" s="154"/>
      <c r="AF230" s="154"/>
      <c r="AG230" s="158"/>
      <c r="AH230" s="154"/>
      <c r="AI230" s="154"/>
      <c r="AJ230" s="154"/>
      <c r="AK230" s="154"/>
      <c r="AL230" s="158"/>
      <c r="AM230" s="154"/>
      <c r="AN230" s="154"/>
      <c r="AO230" s="154"/>
      <c r="AP230" s="154"/>
      <c r="AQ230" s="158"/>
      <c r="AR230" s="154"/>
      <c r="AS230" s="154"/>
      <c r="AT230" s="154"/>
      <c r="AU230" s="154"/>
      <c r="AV230" s="158"/>
      <c r="AW230" s="154"/>
      <c r="AX230" s="154"/>
      <c r="AY230" s="154"/>
      <c r="AZ230" s="154"/>
      <c r="BA230" s="158"/>
      <c r="BB230" s="154"/>
      <c r="BC230" s="154"/>
      <c r="BD230" s="154"/>
      <c r="BE230" s="154"/>
      <c r="BF230" s="158"/>
      <c r="BG230" s="154"/>
      <c r="BH230" s="154"/>
      <c r="BI230" s="154"/>
      <c r="BJ230" s="154"/>
      <c r="BK230" s="158"/>
      <c r="BL230" s="154"/>
      <c r="BM230" s="154"/>
      <c r="BN230" s="154"/>
      <c r="BO230" s="154"/>
      <c r="BP230" s="158"/>
      <c r="BQ230" s="154"/>
      <c r="BR230" s="154"/>
      <c r="BS230" s="154"/>
      <c r="BT230" s="154"/>
      <c r="BU230" s="158"/>
      <c r="BV230" s="154"/>
      <c r="BW230" s="154"/>
      <c r="BX230" s="154"/>
      <c r="BY230" s="154"/>
      <c r="BZ230" s="158"/>
      <c r="CA230" s="154"/>
      <c r="CB230" s="154"/>
      <c r="CC230" s="154"/>
      <c r="CD230" s="154"/>
      <c r="CE230" s="158"/>
      <c r="CF230" s="154"/>
      <c r="CG230" s="154"/>
      <c r="CH230" s="154"/>
      <c r="CI230" s="154"/>
      <c r="CJ230" s="158"/>
      <c r="CK230" s="154"/>
      <c r="CL230" s="154"/>
      <c r="CM230" s="154"/>
      <c r="CN230" s="154"/>
      <c r="CO230" s="158"/>
      <c r="CP230" s="154"/>
      <c r="CQ230" s="154"/>
      <c r="CR230" s="154"/>
      <c r="CS230" s="154"/>
      <c r="CT230" s="158"/>
      <c r="CU230" s="154"/>
      <c r="CV230" s="154"/>
      <c r="CW230" s="154"/>
      <c r="CX230" s="154"/>
      <c r="CY230" s="158"/>
      <c r="CZ230" s="154"/>
      <c r="DA230" s="154"/>
      <c r="DB230" s="154"/>
      <c r="DC230" s="154"/>
      <c r="DD230" s="158"/>
      <c r="DE230" s="154"/>
      <c r="DF230" s="154"/>
      <c r="DG230" s="154"/>
      <c r="DH230" s="154"/>
      <c r="DI230" s="158"/>
      <c r="DJ230" s="154"/>
      <c r="DK230" s="154"/>
      <c r="DL230" s="154"/>
      <c r="DM230" s="154"/>
      <c r="DN230" s="158"/>
      <c r="DO230" s="154"/>
      <c r="DP230" s="154"/>
      <c r="DQ230" s="154"/>
      <c r="DR230" s="154"/>
      <c r="DS230" s="158"/>
      <c r="DT230" s="154"/>
      <c r="DU230" s="154"/>
      <c r="DV230" s="154"/>
      <c r="DW230" s="154"/>
      <c r="DX230" s="158"/>
      <c r="DY230" s="154"/>
      <c r="DZ230" s="154"/>
      <c r="EA230" s="154"/>
      <c r="EB230" s="154"/>
      <c r="EC230" s="158"/>
      <c r="ED230" s="154"/>
      <c r="EE230" s="154"/>
      <c r="EF230" s="154"/>
      <c r="EG230" s="154"/>
      <c r="EH230" s="158"/>
      <c r="EI230" s="154"/>
      <c r="EJ230" s="154"/>
      <c r="EK230" s="154"/>
      <c r="EL230" s="154"/>
      <c r="EM230" s="158"/>
      <c r="EN230" s="154"/>
      <c r="EO230" s="154"/>
      <c r="EP230" s="154"/>
      <c r="EQ230" s="154"/>
      <c r="ER230" s="158"/>
      <c r="ES230" s="154"/>
      <c r="ET230" s="154"/>
      <c r="EU230" s="154"/>
      <c r="EV230" s="154"/>
      <c r="EW230" s="158"/>
      <c r="EX230" s="154"/>
      <c r="EY230" s="154"/>
      <c r="EZ230" s="154"/>
      <c r="FA230" s="154"/>
      <c r="FB230" s="158"/>
      <c r="FC230" s="154"/>
      <c r="FD230" s="154"/>
      <c r="FE230" s="154"/>
      <c r="FF230" s="154"/>
      <c r="FG230" s="158"/>
      <c r="FH230" s="154"/>
      <c r="FI230" s="154"/>
      <c r="FJ230" s="154"/>
      <c r="FK230" s="154"/>
      <c r="FL230" s="158"/>
      <c r="FM230" s="154"/>
      <c r="FN230" s="154"/>
      <c r="FO230" s="154"/>
      <c r="FP230" s="154"/>
      <c r="FQ230" s="158"/>
      <c r="FR230" s="154"/>
      <c r="FS230" s="154"/>
      <c r="FT230" s="154"/>
      <c r="FU230" s="154"/>
      <c r="FV230" s="158"/>
      <c r="FW230" s="154"/>
      <c r="FX230" s="154"/>
      <c r="FY230" s="154"/>
      <c r="FZ230" s="154"/>
      <c r="GA230" s="158"/>
      <c r="GB230" s="154"/>
      <c r="GC230" s="154"/>
      <c r="GD230" s="154"/>
      <c r="GE230" s="154"/>
    </row>
    <row r="231" spans="3:187" ht="12.75" customHeight="1">
      <c r="C231" s="158"/>
      <c r="D231" s="154"/>
      <c r="E231" s="154"/>
      <c r="F231" s="154"/>
      <c r="G231" s="154"/>
      <c r="H231" s="158"/>
      <c r="I231" s="154"/>
      <c r="J231" s="154"/>
      <c r="K231" s="154"/>
      <c r="L231" s="154"/>
      <c r="M231" s="158"/>
      <c r="N231" s="154"/>
      <c r="O231" s="154"/>
      <c r="P231" s="154"/>
      <c r="Q231" s="154"/>
      <c r="R231" s="158"/>
      <c r="S231" s="154"/>
      <c r="T231" s="154"/>
      <c r="U231" s="154"/>
      <c r="V231" s="154"/>
      <c r="W231" s="158"/>
      <c r="X231" s="154"/>
      <c r="Y231" s="154"/>
      <c r="Z231" s="154"/>
      <c r="AA231" s="154"/>
      <c r="AB231" s="158"/>
      <c r="AC231" s="154"/>
      <c r="AD231" s="154"/>
      <c r="AE231" s="154"/>
      <c r="AF231" s="154"/>
      <c r="AG231" s="158"/>
      <c r="AH231" s="154"/>
      <c r="AI231" s="154"/>
      <c r="AJ231" s="154"/>
      <c r="AK231" s="154"/>
      <c r="AL231" s="158"/>
      <c r="AM231" s="154"/>
      <c r="AN231" s="154"/>
      <c r="AO231" s="154"/>
      <c r="AP231" s="154"/>
      <c r="AQ231" s="158"/>
      <c r="AR231" s="154"/>
      <c r="AS231" s="154"/>
      <c r="AT231" s="154"/>
      <c r="AU231" s="154"/>
      <c r="AV231" s="158"/>
      <c r="AW231" s="154"/>
      <c r="AX231" s="154"/>
      <c r="AY231" s="154"/>
      <c r="AZ231" s="154"/>
      <c r="BA231" s="158"/>
      <c r="BB231" s="154"/>
      <c r="BC231" s="154"/>
      <c r="BD231" s="154"/>
      <c r="BE231" s="154"/>
      <c r="BF231" s="158"/>
      <c r="BG231" s="154"/>
      <c r="BH231" s="154"/>
      <c r="BI231" s="154"/>
      <c r="BJ231" s="154"/>
      <c r="BK231" s="158"/>
      <c r="BL231" s="154"/>
      <c r="BM231" s="154"/>
      <c r="BN231" s="154"/>
      <c r="BO231" s="154"/>
      <c r="BP231" s="158"/>
      <c r="BQ231" s="154"/>
      <c r="BR231" s="154"/>
      <c r="BS231" s="154"/>
      <c r="BT231" s="154"/>
      <c r="BU231" s="158"/>
      <c r="BV231" s="154"/>
      <c r="BW231" s="154"/>
      <c r="BX231" s="154"/>
      <c r="BY231" s="154"/>
      <c r="BZ231" s="158"/>
      <c r="CA231" s="154"/>
      <c r="CB231" s="154"/>
      <c r="CC231" s="154"/>
      <c r="CD231" s="154"/>
      <c r="CE231" s="158"/>
      <c r="CF231" s="154"/>
      <c r="CG231" s="154"/>
      <c r="CH231" s="154"/>
      <c r="CI231" s="154"/>
      <c r="CJ231" s="158"/>
      <c r="CK231" s="154"/>
      <c r="CL231" s="154"/>
      <c r="CM231" s="154"/>
      <c r="CN231" s="154"/>
      <c r="CO231" s="158"/>
      <c r="CP231" s="154"/>
      <c r="CQ231" s="154"/>
      <c r="CR231" s="154"/>
      <c r="CS231" s="154"/>
      <c r="CT231" s="158"/>
      <c r="CU231" s="154"/>
      <c r="CV231" s="154"/>
      <c r="CW231" s="154"/>
      <c r="CX231" s="154"/>
      <c r="CY231" s="158"/>
      <c r="CZ231" s="154"/>
      <c r="DA231" s="154"/>
      <c r="DB231" s="154"/>
      <c r="DC231" s="154"/>
      <c r="DD231" s="158"/>
      <c r="DE231" s="154"/>
      <c r="DF231" s="154"/>
      <c r="DG231" s="154"/>
      <c r="DH231" s="154"/>
      <c r="DI231" s="158"/>
      <c r="DJ231" s="154"/>
      <c r="DK231" s="154"/>
      <c r="DL231" s="154"/>
      <c r="DM231" s="154"/>
      <c r="DN231" s="158"/>
      <c r="DO231" s="154"/>
      <c r="DP231" s="154"/>
      <c r="DQ231" s="154"/>
      <c r="DR231" s="154"/>
      <c r="DS231" s="158"/>
      <c r="DT231" s="154"/>
      <c r="DU231" s="154"/>
      <c r="DV231" s="154"/>
      <c r="DW231" s="154"/>
      <c r="DX231" s="158"/>
      <c r="DY231" s="154"/>
      <c r="DZ231" s="154"/>
      <c r="EA231" s="154"/>
      <c r="EB231" s="154"/>
      <c r="EC231" s="158"/>
      <c r="ED231" s="154"/>
      <c r="EE231" s="154"/>
      <c r="EF231" s="154"/>
      <c r="EG231" s="154"/>
      <c r="EH231" s="158"/>
      <c r="EI231" s="154"/>
      <c r="EJ231" s="154"/>
      <c r="EK231" s="154"/>
      <c r="EL231" s="154"/>
      <c r="EM231" s="158"/>
      <c r="EN231" s="154"/>
      <c r="EO231" s="154"/>
      <c r="EP231" s="154"/>
      <c r="EQ231" s="154"/>
      <c r="ER231" s="158"/>
      <c r="ES231" s="154"/>
      <c r="ET231" s="154"/>
      <c r="EU231" s="154"/>
      <c r="EV231" s="154"/>
      <c r="EW231" s="158"/>
      <c r="EX231" s="154"/>
      <c r="EY231" s="154"/>
      <c r="EZ231" s="154"/>
      <c r="FA231" s="154"/>
      <c r="FB231" s="158"/>
      <c r="FC231" s="154"/>
      <c r="FD231" s="154"/>
      <c r="FE231" s="154"/>
      <c r="FF231" s="154"/>
      <c r="FG231" s="158"/>
      <c r="FH231" s="154"/>
      <c r="FI231" s="154"/>
      <c r="FJ231" s="154"/>
      <c r="FK231" s="154"/>
      <c r="FL231" s="158"/>
      <c r="FM231" s="154"/>
      <c r="FN231" s="154"/>
      <c r="FO231" s="154"/>
      <c r="FP231" s="154"/>
      <c r="FQ231" s="158"/>
      <c r="FR231" s="154"/>
      <c r="FS231" s="154"/>
      <c r="FT231" s="154"/>
      <c r="FU231" s="154"/>
      <c r="FV231" s="158"/>
      <c r="FW231" s="154"/>
      <c r="FX231" s="154"/>
      <c r="FY231" s="154"/>
      <c r="FZ231" s="154"/>
      <c r="GA231" s="158"/>
      <c r="GB231" s="154"/>
      <c r="GC231" s="154"/>
      <c r="GD231" s="154"/>
      <c r="GE231" s="154"/>
    </row>
    <row r="232" spans="3:187" ht="12.75" customHeight="1">
      <c r="C232" s="158"/>
      <c r="D232" s="154"/>
      <c r="E232" s="154"/>
      <c r="F232" s="154"/>
      <c r="G232" s="154"/>
      <c r="H232" s="158"/>
      <c r="I232" s="154"/>
      <c r="J232" s="154"/>
      <c r="K232" s="154"/>
      <c r="L232" s="154"/>
      <c r="M232" s="158"/>
      <c r="N232" s="154"/>
      <c r="O232" s="154"/>
      <c r="P232" s="154"/>
      <c r="Q232" s="154"/>
      <c r="R232" s="158"/>
      <c r="S232" s="154"/>
      <c r="T232" s="154"/>
      <c r="U232" s="154"/>
      <c r="V232" s="154"/>
      <c r="W232" s="158"/>
      <c r="X232" s="154"/>
      <c r="Y232" s="154"/>
      <c r="Z232" s="154"/>
      <c r="AA232" s="154"/>
      <c r="AB232" s="158"/>
      <c r="AC232" s="154"/>
      <c r="AD232" s="154"/>
      <c r="AE232" s="154"/>
      <c r="AF232" s="154"/>
      <c r="AG232" s="158"/>
      <c r="AH232" s="154"/>
      <c r="AI232" s="154"/>
      <c r="AJ232" s="154"/>
      <c r="AK232" s="154"/>
      <c r="AL232" s="158"/>
      <c r="AM232" s="154"/>
      <c r="AN232" s="154"/>
      <c r="AO232" s="154"/>
      <c r="AP232" s="154"/>
      <c r="AQ232" s="158"/>
      <c r="AR232" s="154"/>
      <c r="AS232" s="154"/>
      <c r="AT232" s="154"/>
      <c r="AU232" s="154"/>
      <c r="AV232" s="158"/>
      <c r="AW232" s="154"/>
      <c r="AX232" s="154"/>
      <c r="AY232" s="154"/>
      <c r="AZ232" s="154"/>
      <c r="BA232" s="158"/>
      <c r="BB232" s="154"/>
      <c r="BC232" s="154"/>
      <c r="BD232" s="154"/>
      <c r="BE232" s="154"/>
      <c r="BF232" s="158"/>
      <c r="BG232" s="154"/>
      <c r="BH232" s="154"/>
      <c r="BI232" s="154"/>
      <c r="BJ232" s="154"/>
      <c r="BK232" s="158"/>
      <c r="BL232" s="154"/>
      <c r="BM232" s="154"/>
      <c r="BN232" s="154"/>
      <c r="BO232" s="154"/>
      <c r="BP232" s="158"/>
      <c r="BQ232" s="154"/>
      <c r="BR232" s="154"/>
      <c r="BS232" s="154"/>
      <c r="BT232" s="154"/>
      <c r="BU232" s="158"/>
      <c r="BV232" s="154"/>
      <c r="BW232" s="154"/>
      <c r="BX232" s="154"/>
      <c r="BY232" s="154"/>
      <c r="BZ232" s="158"/>
      <c r="CA232" s="154"/>
      <c r="CB232" s="154"/>
      <c r="CC232" s="154"/>
      <c r="CD232" s="154"/>
      <c r="CE232" s="158"/>
      <c r="CF232" s="154"/>
      <c r="CG232" s="154"/>
      <c r="CH232" s="154"/>
      <c r="CI232" s="154"/>
      <c r="CJ232" s="158"/>
      <c r="CK232" s="154"/>
      <c r="CL232" s="154"/>
      <c r="CM232" s="154"/>
      <c r="CN232" s="154"/>
      <c r="CO232" s="158"/>
      <c r="CP232" s="154"/>
      <c r="CQ232" s="154"/>
      <c r="CR232" s="154"/>
      <c r="CS232" s="154"/>
      <c r="CT232" s="158"/>
      <c r="CU232" s="154"/>
      <c r="CV232" s="154"/>
      <c r="CW232" s="154"/>
      <c r="CX232" s="154"/>
      <c r="CY232" s="158"/>
      <c r="CZ232" s="154"/>
      <c r="DA232" s="154"/>
      <c r="DB232" s="154"/>
      <c r="DC232" s="154"/>
      <c r="DD232" s="158"/>
      <c r="DE232" s="154"/>
      <c r="DF232" s="154"/>
      <c r="DG232" s="154"/>
      <c r="DH232" s="154"/>
      <c r="DI232" s="158"/>
      <c r="DJ232" s="154"/>
      <c r="DK232" s="154"/>
      <c r="DL232" s="154"/>
      <c r="DM232" s="154"/>
      <c r="DN232" s="158"/>
      <c r="DO232" s="154"/>
      <c r="DP232" s="154"/>
      <c r="DQ232" s="154"/>
      <c r="DR232" s="154"/>
      <c r="DS232" s="158"/>
      <c r="DT232" s="154"/>
      <c r="DU232" s="154"/>
      <c r="DV232" s="154"/>
      <c r="DW232" s="154"/>
      <c r="DX232" s="158"/>
      <c r="DY232" s="154"/>
      <c r="DZ232" s="154"/>
      <c r="EA232" s="154"/>
      <c r="EB232" s="154"/>
      <c r="EC232" s="158"/>
      <c r="ED232" s="154"/>
      <c r="EE232" s="154"/>
      <c r="EF232" s="154"/>
      <c r="EG232" s="154"/>
      <c r="EH232" s="158"/>
      <c r="EI232" s="154"/>
      <c r="EJ232" s="154"/>
      <c r="EK232" s="154"/>
      <c r="EL232" s="154"/>
      <c r="EM232" s="158"/>
      <c r="EN232" s="154"/>
      <c r="EO232" s="154"/>
      <c r="EP232" s="154"/>
      <c r="EQ232" s="154"/>
      <c r="ER232" s="158"/>
      <c r="ES232" s="154"/>
      <c r="ET232" s="154"/>
      <c r="EU232" s="154"/>
      <c r="EV232" s="154"/>
      <c r="EW232" s="158"/>
      <c r="EX232" s="154"/>
      <c r="EY232" s="154"/>
      <c r="EZ232" s="154"/>
      <c r="FA232" s="154"/>
      <c r="FB232" s="158"/>
      <c r="FC232" s="154"/>
      <c r="FD232" s="154"/>
      <c r="FE232" s="154"/>
      <c r="FF232" s="154"/>
      <c r="FG232" s="158"/>
      <c r="FH232" s="154"/>
      <c r="FI232" s="154"/>
      <c r="FJ232" s="154"/>
      <c r="FK232" s="154"/>
      <c r="FL232" s="158"/>
      <c r="FM232" s="154"/>
      <c r="FN232" s="154"/>
      <c r="FO232" s="154"/>
      <c r="FP232" s="154"/>
      <c r="FQ232" s="158"/>
      <c r="FR232" s="154"/>
      <c r="FS232" s="154"/>
      <c r="FT232" s="154"/>
      <c r="FU232" s="154"/>
      <c r="FV232" s="158"/>
      <c r="FW232" s="154"/>
      <c r="FX232" s="154"/>
      <c r="FY232" s="154"/>
      <c r="FZ232" s="154"/>
      <c r="GA232" s="158"/>
      <c r="GB232" s="154"/>
      <c r="GC232" s="154"/>
      <c r="GD232" s="154"/>
      <c r="GE232" s="154"/>
    </row>
    <row r="233" spans="3:187" ht="12.75" customHeight="1">
      <c r="C233" s="151"/>
      <c r="D233" s="156"/>
      <c r="E233" s="156"/>
      <c r="F233" s="156"/>
      <c r="G233" s="156"/>
      <c r="H233" s="151"/>
      <c r="I233" s="156"/>
      <c r="J233" s="156"/>
      <c r="K233" s="156"/>
      <c r="L233" s="156"/>
      <c r="M233" s="151"/>
      <c r="N233" s="156"/>
      <c r="O233" s="156"/>
      <c r="P233" s="156"/>
      <c r="Q233" s="156"/>
      <c r="R233" s="151"/>
      <c r="S233" s="156"/>
      <c r="T233" s="156"/>
      <c r="U233" s="156"/>
      <c r="V233" s="156"/>
      <c r="W233" s="151"/>
      <c r="X233" s="156"/>
      <c r="Y233" s="156"/>
      <c r="Z233" s="156"/>
      <c r="AA233" s="156"/>
      <c r="AB233" s="151"/>
      <c r="AC233" s="156"/>
      <c r="AD233" s="156"/>
      <c r="AE233" s="156"/>
      <c r="AF233" s="156"/>
      <c r="AG233" s="151"/>
      <c r="AH233" s="156"/>
      <c r="AI233" s="156"/>
      <c r="AJ233" s="156"/>
      <c r="AK233" s="156"/>
      <c r="AL233" s="151"/>
      <c r="AM233" s="156"/>
      <c r="AN233" s="156"/>
      <c r="AO233" s="156"/>
      <c r="AP233" s="156"/>
      <c r="AQ233" s="151"/>
      <c r="AR233" s="156"/>
      <c r="AS233" s="156"/>
      <c r="AT233" s="156"/>
      <c r="AU233" s="156"/>
      <c r="AV233" s="151"/>
      <c r="AW233" s="156"/>
      <c r="AX233" s="156"/>
      <c r="AY233" s="156"/>
      <c r="AZ233" s="156"/>
      <c r="BA233" s="151"/>
      <c r="BB233" s="156"/>
      <c r="BC233" s="156"/>
      <c r="BD233" s="156"/>
      <c r="BE233" s="156"/>
      <c r="BF233" s="151"/>
      <c r="BG233" s="156"/>
      <c r="BH233" s="156"/>
      <c r="BI233" s="156"/>
      <c r="BJ233" s="156"/>
      <c r="BK233" s="151"/>
      <c r="BL233" s="156"/>
      <c r="BM233" s="156"/>
      <c r="BN233" s="156"/>
      <c r="BO233" s="156"/>
      <c r="BP233" s="151"/>
      <c r="BQ233" s="156"/>
      <c r="BR233" s="156"/>
      <c r="BS233" s="156"/>
      <c r="BT233" s="156"/>
      <c r="BU233" s="151"/>
      <c r="BV233" s="156"/>
      <c r="BW233" s="156"/>
      <c r="BX233" s="156"/>
      <c r="BY233" s="156"/>
      <c r="BZ233" s="151"/>
      <c r="CA233" s="156"/>
      <c r="CB233" s="156"/>
      <c r="CC233" s="156"/>
      <c r="CD233" s="156"/>
      <c r="CE233" s="151"/>
      <c r="CF233" s="156"/>
      <c r="CG233" s="156"/>
      <c r="CH233" s="156"/>
      <c r="CI233" s="156"/>
      <c r="CJ233" s="151"/>
      <c r="CK233" s="156"/>
      <c r="CL233" s="156"/>
      <c r="CM233" s="156"/>
      <c r="CN233" s="156"/>
      <c r="CO233" s="151"/>
      <c r="CP233" s="156"/>
      <c r="CQ233" s="156"/>
      <c r="CR233" s="156"/>
      <c r="CS233" s="156"/>
      <c r="CT233" s="151"/>
      <c r="CU233" s="156"/>
      <c r="CV233" s="156"/>
      <c r="CW233" s="156"/>
      <c r="CX233" s="156"/>
      <c r="CY233" s="151"/>
      <c r="CZ233" s="156"/>
      <c r="DA233" s="156"/>
      <c r="DB233" s="156"/>
      <c r="DC233" s="156"/>
      <c r="DD233" s="151"/>
      <c r="DE233" s="156"/>
      <c r="DF233" s="156"/>
      <c r="DG233" s="156"/>
      <c r="DH233" s="156"/>
      <c r="DI233" s="151"/>
      <c r="DJ233" s="156"/>
      <c r="DK233" s="156"/>
      <c r="DL233" s="156"/>
      <c r="DM233" s="156"/>
      <c r="DN233" s="151"/>
      <c r="DO233" s="156"/>
      <c r="DP233" s="156"/>
      <c r="DQ233" s="156"/>
      <c r="DR233" s="156"/>
      <c r="DS233" s="151"/>
      <c r="DT233" s="156"/>
      <c r="DU233" s="156"/>
      <c r="DV233" s="156"/>
      <c r="DW233" s="156"/>
      <c r="DX233" s="151"/>
      <c r="DY233" s="156"/>
      <c r="DZ233" s="156"/>
      <c r="EA233" s="156"/>
      <c r="EB233" s="156"/>
      <c r="EC233" s="151"/>
      <c r="ED233" s="156"/>
      <c r="EE233" s="156"/>
      <c r="EF233" s="156"/>
      <c r="EG233" s="156"/>
      <c r="EH233" s="151"/>
      <c r="EI233" s="156"/>
      <c r="EJ233" s="156"/>
      <c r="EK233" s="156"/>
      <c r="EL233" s="156"/>
      <c r="EM233" s="151"/>
      <c r="EN233" s="156"/>
      <c r="EO233" s="156"/>
      <c r="EP233" s="156"/>
      <c r="EQ233" s="156"/>
      <c r="ER233" s="151"/>
      <c r="ES233" s="156"/>
      <c r="ET233" s="156"/>
      <c r="EU233" s="156"/>
      <c r="EV233" s="156"/>
      <c r="EW233" s="151"/>
      <c r="EX233" s="156"/>
      <c r="EY233" s="156"/>
      <c r="EZ233" s="156"/>
      <c r="FA233" s="156"/>
      <c r="FB233" s="151"/>
      <c r="FC233" s="156"/>
      <c r="FD233" s="156"/>
      <c r="FE233" s="156"/>
      <c r="FF233" s="156"/>
      <c r="FG233" s="151"/>
      <c r="FH233" s="156"/>
      <c r="FI233" s="156"/>
      <c r="FJ233" s="156"/>
      <c r="FK233" s="156"/>
      <c r="FL233" s="151"/>
      <c r="FM233" s="156"/>
      <c r="FN233" s="156"/>
      <c r="FO233" s="156"/>
      <c r="FP233" s="156"/>
      <c r="FQ233" s="151"/>
      <c r="FR233" s="156"/>
      <c r="FS233" s="156"/>
      <c r="FT233" s="156"/>
      <c r="FU233" s="156"/>
      <c r="FV233" s="151"/>
      <c r="FW233" s="156"/>
      <c r="FX233" s="156"/>
      <c r="FY233" s="156"/>
      <c r="FZ233" s="156"/>
      <c r="GA233" s="151"/>
      <c r="GB233" s="156"/>
      <c r="GC233" s="156"/>
      <c r="GD233" s="156"/>
      <c r="GE233" s="156"/>
    </row>
    <row r="234" spans="3:187" ht="12.75" customHeight="1">
      <c r="C234" s="153"/>
      <c r="D234" s="154"/>
      <c r="E234" s="154"/>
      <c r="F234" s="154"/>
      <c r="G234" s="154"/>
      <c r="H234" s="153"/>
      <c r="I234" s="154"/>
      <c r="J234" s="154"/>
      <c r="K234" s="154"/>
      <c r="L234" s="154"/>
      <c r="M234" s="153"/>
      <c r="N234" s="154"/>
      <c r="O234" s="154"/>
      <c r="P234" s="154"/>
      <c r="Q234" s="154"/>
      <c r="R234" s="153"/>
      <c r="S234" s="154"/>
      <c r="T234" s="154"/>
      <c r="U234" s="154"/>
      <c r="V234" s="154"/>
      <c r="W234" s="153"/>
      <c r="X234" s="154"/>
      <c r="Y234" s="154"/>
      <c r="Z234" s="154"/>
      <c r="AA234" s="154"/>
      <c r="AB234" s="153"/>
      <c r="AC234" s="154"/>
      <c r="AD234" s="154"/>
      <c r="AE234" s="154"/>
      <c r="AF234" s="154"/>
      <c r="AG234" s="153"/>
      <c r="AH234" s="154"/>
      <c r="AI234" s="154"/>
      <c r="AJ234" s="154"/>
      <c r="AK234" s="154"/>
      <c r="AL234" s="153"/>
      <c r="AM234" s="154"/>
      <c r="AN234" s="154"/>
      <c r="AO234" s="154"/>
      <c r="AP234" s="154"/>
      <c r="AQ234" s="153"/>
      <c r="AR234" s="154"/>
      <c r="AS234" s="154"/>
      <c r="AT234" s="154"/>
      <c r="AU234" s="154"/>
      <c r="AV234" s="153"/>
      <c r="AW234" s="154"/>
      <c r="AX234" s="154"/>
      <c r="AY234" s="154"/>
      <c r="AZ234" s="154"/>
      <c r="BA234" s="153"/>
      <c r="BB234" s="154"/>
      <c r="BC234" s="154"/>
      <c r="BD234" s="154"/>
      <c r="BE234" s="154"/>
      <c r="BF234" s="153"/>
      <c r="BG234" s="154"/>
      <c r="BH234" s="154"/>
      <c r="BI234" s="154"/>
      <c r="BJ234" s="154"/>
      <c r="BK234" s="153"/>
      <c r="BL234" s="154"/>
      <c r="BM234" s="154"/>
      <c r="BN234" s="154"/>
      <c r="BO234" s="154"/>
      <c r="BP234" s="153"/>
      <c r="BQ234" s="154"/>
      <c r="BR234" s="154"/>
      <c r="BS234" s="154"/>
      <c r="BT234" s="154"/>
      <c r="BU234" s="153"/>
      <c r="BV234" s="154"/>
      <c r="BW234" s="154"/>
      <c r="BX234" s="154"/>
      <c r="BY234" s="154"/>
      <c r="BZ234" s="153"/>
      <c r="CA234" s="154"/>
      <c r="CB234" s="154"/>
      <c r="CC234" s="154"/>
      <c r="CD234" s="154"/>
      <c r="CE234" s="153"/>
      <c r="CF234" s="154"/>
      <c r="CG234" s="154"/>
      <c r="CH234" s="154"/>
      <c r="CI234" s="154"/>
      <c r="CJ234" s="153"/>
      <c r="CK234" s="154"/>
      <c r="CL234" s="154"/>
      <c r="CM234" s="154"/>
      <c r="CN234" s="154"/>
      <c r="CO234" s="153"/>
      <c r="CP234" s="154"/>
      <c r="CQ234" s="154"/>
      <c r="CR234" s="154"/>
      <c r="CS234" s="154"/>
      <c r="CT234" s="153"/>
      <c r="CU234" s="154"/>
      <c r="CV234" s="154"/>
      <c r="CW234" s="154"/>
      <c r="CX234" s="154"/>
      <c r="CY234" s="153"/>
      <c r="CZ234" s="154"/>
      <c r="DA234" s="154"/>
      <c r="DB234" s="154"/>
      <c r="DC234" s="154"/>
      <c r="DD234" s="153"/>
      <c r="DE234" s="154"/>
      <c r="DF234" s="154"/>
      <c r="DG234" s="154"/>
      <c r="DH234" s="154"/>
      <c r="DI234" s="153"/>
      <c r="DJ234" s="154"/>
      <c r="DK234" s="154"/>
      <c r="DL234" s="154"/>
      <c r="DM234" s="154"/>
      <c r="DN234" s="153"/>
      <c r="DO234" s="154"/>
      <c r="DP234" s="154"/>
      <c r="DQ234" s="154"/>
      <c r="DR234" s="154"/>
      <c r="DS234" s="153"/>
      <c r="DT234" s="154"/>
      <c r="DU234" s="154"/>
      <c r="DV234" s="154"/>
      <c r="DW234" s="154"/>
      <c r="DX234" s="153"/>
      <c r="DY234" s="154"/>
      <c r="DZ234" s="154"/>
      <c r="EA234" s="154"/>
      <c r="EB234" s="154"/>
      <c r="EC234" s="153"/>
      <c r="ED234" s="154"/>
      <c r="EE234" s="154"/>
      <c r="EF234" s="154"/>
      <c r="EG234" s="154"/>
      <c r="EH234" s="153"/>
      <c r="EI234" s="154"/>
      <c r="EJ234" s="154"/>
      <c r="EK234" s="154"/>
      <c r="EL234" s="154"/>
      <c r="EM234" s="153"/>
      <c r="EN234" s="154"/>
      <c r="EO234" s="154"/>
      <c r="EP234" s="154"/>
      <c r="EQ234" s="154"/>
      <c r="ER234" s="153"/>
      <c r="ES234" s="154"/>
      <c r="ET234" s="154"/>
      <c r="EU234" s="154"/>
      <c r="EV234" s="154"/>
      <c r="EW234" s="153"/>
      <c r="EX234" s="154"/>
      <c r="EY234" s="154"/>
      <c r="EZ234" s="154"/>
      <c r="FA234" s="154"/>
      <c r="FB234" s="153"/>
      <c r="FC234" s="154"/>
      <c r="FD234" s="154"/>
      <c r="FE234" s="154"/>
      <c r="FF234" s="154"/>
      <c r="FG234" s="153"/>
      <c r="FH234" s="154"/>
      <c r="FI234" s="154"/>
      <c r="FJ234" s="154"/>
      <c r="FK234" s="154"/>
      <c r="FL234" s="153"/>
      <c r="FM234" s="154"/>
      <c r="FN234" s="154"/>
      <c r="FO234" s="154"/>
      <c r="FP234" s="154"/>
      <c r="FQ234" s="153"/>
      <c r="FR234" s="154"/>
      <c r="FS234" s="154"/>
      <c r="FT234" s="154"/>
      <c r="FU234" s="154"/>
      <c r="FV234" s="153"/>
      <c r="FW234" s="154"/>
      <c r="FX234" s="154"/>
      <c r="FY234" s="154"/>
      <c r="FZ234" s="154"/>
      <c r="GA234" s="153"/>
      <c r="GB234" s="154"/>
      <c r="GC234" s="154"/>
      <c r="GD234" s="154"/>
      <c r="GE234" s="154"/>
    </row>
    <row r="235" spans="3:187" ht="12.75" customHeight="1">
      <c r="C235" s="153"/>
      <c r="D235" s="154"/>
      <c r="E235" s="154"/>
      <c r="F235" s="154"/>
      <c r="G235" s="154"/>
      <c r="H235" s="153"/>
      <c r="I235" s="154"/>
      <c r="J235" s="154"/>
      <c r="K235" s="154"/>
      <c r="L235" s="154"/>
      <c r="M235" s="153"/>
      <c r="N235" s="154"/>
      <c r="O235" s="154"/>
      <c r="P235" s="154"/>
      <c r="Q235" s="154"/>
      <c r="R235" s="153"/>
      <c r="S235" s="154"/>
      <c r="T235" s="154"/>
      <c r="U235" s="154"/>
      <c r="V235" s="154"/>
      <c r="W235" s="153"/>
      <c r="X235" s="154"/>
      <c r="Y235" s="154"/>
      <c r="Z235" s="154"/>
      <c r="AA235" s="154"/>
      <c r="AB235" s="153"/>
      <c r="AC235" s="154"/>
      <c r="AD235" s="154"/>
      <c r="AE235" s="154"/>
      <c r="AF235" s="154"/>
      <c r="AG235" s="153"/>
      <c r="AH235" s="154"/>
      <c r="AI235" s="154"/>
      <c r="AJ235" s="154"/>
      <c r="AK235" s="154"/>
      <c r="AL235" s="153"/>
      <c r="AM235" s="154"/>
      <c r="AN235" s="154"/>
      <c r="AO235" s="154"/>
      <c r="AP235" s="154"/>
      <c r="AQ235" s="153"/>
      <c r="AR235" s="154"/>
      <c r="AS235" s="154"/>
      <c r="AT235" s="154"/>
      <c r="AU235" s="154"/>
      <c r="AV235" s="153"/>
      <c r="AW235" s="154"/>
      <c r="AX235" s="154"/>
      <c r="AY235" s="154"/>
      <c r="AZ235" s="154"/>
      <c r="BA235" s="153"/>
      <c r="BB235" s="154"/>
      <c r="BC235" s="154"/>
      <c r="BD235" s="154"/>
      <c r="BE235" s="154"/>
      <c r="BF235" s="153"/>
      <c r="BG235" s="154"/>
      <c r="BH235" s="154"/>
      <c r="BI235" s="154"/>
      <c r="BJ235" s="154"/>
      <c r="BK235" s="153"/>
      <c r="BL235" s="154"/>
      <c r="BM235" s="154"/>
      <c r="BN235" s="154"/>
      <c r="BO235" s="154"/>
      <c r="BP235" s="153"/>
      <c r="BQ235" s="154"/>
      <c r="BR235" s="154"/>
      <c r="BS235" s="154"/>
      <c r="BT235" s="154"/>
      <c r="BU235" s="153"/>
      <c r="BV235" s="154"/>
      <c r="BW235" s="154"/>
      <c r="BX235" s="154"/>
      <c r="BY235" s="154"/>
      <c r="BZ235" s="153"/>
      <c r="CA235" s="154"/>
      <c r="CB235" s="154"/>
      <c r="CC235" s="154"/>
      <c r="CD235" s="154"/>
      <c r="CE235" s="153"/>
      <c r="CF235" s="154"/>
      <c r="CG235" s="154"/>
      <c r="CH235" s="154"/>
      <c r="CI235" s="154"/>
      <c r="CJ235" s="153"/>
      <c r="CK235" s="154"/>
      <c r="CL235" s="154"/>
      <c r="CM235" s="154"/>
      <c r="CN235" s="154"/>
      <c r="CO235" s="153"/>
      <c r="CP235" s="154"/>
      <c r="CQ235" s="154"/>
      <c r="CR235" s="154"/>
      <c r="CS235" s="154"/>
      <c r="CT235" s="153"/>
      <c r="CU235" s="154"/>
      <c r="CV235" s="154"/>
      <c r="CW235" s="154"/>
      <c r="CX235" s="154"/>
      <c r="CY235" s="153"/>
      <c r="CZ235" s="154"/>
      <c r="DA235" s="154"/>
      <c r="DB235" s="154"/>
      <c r="DC235" s="154"/>
      <c r="DD235" s="153"/>
      <c r="DE235" s="154"/>
      <c r="DF235" s="154"/>
      <c r="DG235" s="154"/>
      <c r="DH235" s="154"/>
      <c r="DI235" s="153"/>
      <c r="DJ235" s="154"/>
      <c r="DK235" s="154"/>
      <c r="DL235" s="154"/>
      <c r="DM235" s="154"/>
      <c r="DN235" s="153"/>
      <c r="DO235" s="154"/>
      <c r="DP235" s="154"/>
      <c r="DQ235" s="154"/>
      <c r="DR235" s="154"/>
      <c r="DS235" s="153"/>
      <c r="DT235" s="154"/>
      <c r="DU235" s="154"/>
      <c r="DV235" s="154"/>
      <c r="DW235" s="154"/>
      <c r="DX235" s="153"/>
      <c r="DY235" s="154"/>
      <c r="DZ235" s="154"/>
      <c r="EA235" s="154"/>
      <c r="EB235" s="154"/>
      <c r="EC235" s="153"/>
      <c r="ED235" s="154"/>
      <c r="EE235" s="154"/>
      <c r="EF235" s="154"/>
      <c r="EG235" s="154"/>
      <c r="EH235" s="153"/>
      <c r="EI235" s="154"/>
      <c r="EJ235" s="154"/>
      <c r="EK235" s="154"/>
      <c r="EL235" s="154"/>
      <c r="EM235" s="153"/>
      <c r="EN235" s="154"/>
      <c r="EO235" s="154"/>
      <c r="EP235" s="154"/>
      <c r="EQ235" s="154"/>
      <c r="ER235" s="153"/>
      <c r="ES235" s="154"/>
      <c r="ET235" s="154"/>
      <c r="EU235" s="154"/>
      <c r="EV235" s="154"/>
      <c r="EW235" s="153"/>
      <c r="EX235" s="154"/>
      <c r="EY235" s="154"/>
      <c r="EZ235" s="154"/>
      <c r="FA235" s="154"/>
      <c r="FB235" s="153"/>
      <c r="FC235" s="154"/>
      <c r="FD235" s="154"/>
      <c r="FE235" s="154"/>
      <c r="FF235" s="154"/>
      <c r="FG235" s="153"/>
      <c r="FH235" s="154"/>
      <c r="FI235" s="154"/>
      <c r="FJ235" s="154"/>
      <c r="FK235" s="154"/>
      <c r="FL235" s="153"/>
      <c r="FM235" s="154"/>
      <c r="FN235" s="154"/>
      <c r="FO235" s="154"/>
      <c r="FP235" s="154"/>
      <c r="FQ235" s="153"/>
      <c r="FR235" s="154"/>
      <c r="FS235" s="154"/>
      <c r="FT235" s="154"/>
      <c r="FU235" s="154"/>
      <c r="FV235" s="153"/>
      <c r="FW235" s="154"/>
      <c r="FX235" s="154"/>
      <c r="FY235" s="154"/>
      <c r="FZ235" s="154"/>
      <c r="GA235" s="153"/>
      <c r="GB235" s="154"/>
      <c r="GC235" s="154"/>
      <c r="GD235" s="154"/>
      <c r="GE235" s="154"/>
    </row>
    <row r="236" spans="3:187" ht="12.75" customHeight="1">
      <c r="C236" s="153"/>
      <c r="D236" s="154"/>
      <c r="E236" s="154"/>
      <c r="F236" s="154"/>
      <c r="G236" s="154"/>
      <c r="H236" s="153"/>
      <c r="I236" s="154"/>
      <c r="J236" s="154"/>
      <c r="K236" s="154"/>
      <c r="L236" s="154"/>
      <c r="M236" s="153"/>
      <c r="N236" s="154"/>
      <c r="O236" s="154"/>
      <c r="P236" s="154"/>
      <c r="Q236" s="154"/>
      <c r="R236" s="153"/>
      <c r="S236" s="154"/>
      <c r="T236" s="154"/>
      <c r="U236" s="154"/>
      <c r="V236" s="154"/>
      <c r="W236" s="153"/>
      <c r="X236" s="154"/>
      <c r="Y236" s="154"/>
      <c r="Z236" s="154"/>
      <c r="AA236" s="154"/>
      <c r="AB236" s="153"/>
      <c r="AC236" s="154"/>
      <c r="AD236" s="154"/>
      <c r="AE236" s="154"/>
      <c r="AF236" s="154"/>
      <c r="AG236" s="153"/>
      <c r="AH236" s="154"/>
      <c r="AI236" s="154"/>
      <c r="AJ236" s="154"/>
      <c r="AK236" s="154"/>
      <c r="AL236" s="153"/>
      <c r="AM236" s="154"/>
      <c r="AN236" s="154"/>
      <c r="AO236" s="154"/>
      <c r="AP236" s="154"/>
      <c r="AQ236" s="153"/>
      <c r="AR236" s="154"/>
      <c r="AS236" s="154"/>
      <c r="AT236" s="154"/>
      <c r="AU236" s="154"/>
      <c r="AV236" s="153"/>
      <c r="AW236" s="154"/>
      <c r="AX236" s="154"/>
      <c r="AY236" s="154"/>
      <c r="AZ236" s="154"/>
      <c r="BA236" s="153"/>
      <c r="BB236" s="154"/>
      <c r="BC236" s="154"/>
      <c r="BD236" s="154"/>
      <c r="BE236" s="154"/>
      <c r="BF236" s="153"/>
      <c r="BG236" s="154"/>
      <c r="BH236" s="154"/>
      <c r="BI236" s="154"/>
      <c r="BJ236" s="154"/>
      <c r="BK236" s="153"/>
      <c r="BL236" s="154"/>
      <c r="BM236" s="154"/>
      <c r="BN236" s="154"/>
      <c r="BO236" s="154"/>
      <c r="BP236" s="153"/>
      <c r="BQ236" s="154"/>
      <c r="BR236" s="154"/>
      <c r="BS236" s="154"/>
      <c r="BT236" s="154"/>
      <c r="BU236" s="153"/>
      <c r="BV236" s="154"/>
      <c r="BW236" s="154"/>
      <c r="BX236" s="154"/>
      <c r="BY236" s="154"/>
      <c r="BZ236" s="153"/>
      <c r="CA236" s="154"/>
      <c r="CB236" s="154"/>
      <c r="CC236" s="154"/>
      <c r="CD236" s="154"/>
      <c r="CE236" s="153"/>
      <c r="CF236" s="154"/>
      <c r="CG236" s="154"/>
      <c r="CH236" s="154"/>
      <c r="CI236" s="154"/>
      <c r="CJ236" s="153"/>
      <c r="CK236" s="154"/>
      <c r="CL236" s="154"/>
      <c r="CM236" s="154"/>
      <c r="CN236" s="154"/>
      <c r="CO236" s="153"/>
      <c r="CP236" s="154"/>
      <c r="CQ236" s="154"/>
      <c r="CR236" s="154"/>
      <c r="CS236" s="154"/>
      <c r="CT236" s="153"/>
      <c r="CU236" s="154"/>
      <c r="CV236" s="154"/>
      <c r="CW236" s="154"/>
      <c r="CX236" s="154"/>
      <c r="CY236" s="153"/>
      <c r="CZ236" s="154"/>
      <c r="DA236" s="154"/>
      <c r="DB236" s="154"/>
      <c r="DC236" s="154"/>
      <c r="DD236" s="153"/>
      <c r="DE236" s="154"/>
      <c r="DF236" s="154"/>
      <c r="DG236" s="154"/>
      <c r="DH236" s="154"/>
      <c r="DI236" s="153"/>
      <c r="DJ236" s="154"/>
      <c r="DK236" s="154"/>
      <c r="DL236" s="154"/>
      <c r="DM236" s="154"/>
      <c r="DN236" s="153"/>
      <c r="DO236" s="154"/>
      <c r="DP236" s="154"/>
      <c r="DQ236" s="154"/>
      <c r="DR236" s="154"/>
      <c r="DS236" s="153"/>
      <c r="DT236" s="154"/>
      <c r="DU236" s="154"/>
      <c r="DV236" s="154"/>
      <c r="DW236" s="154"/>
      <c r="DX236" s="153"/>
      <c r="DY236" s="154"/>
      <c r="DZ236" s="154"/>
      <c r="EA236" s="154"/>
      <c r="EB236" s="154"/>
      <c r="EC236" s="153"/>
      <c r="ED236" s="154"/>
      <c r="EE236" s="154"/>
      <c r="EF236" s="154"/>
      <c r="EG236" s="154"/>
      <c r="EH236" s="153"/>
      <c r="EI236" s="154"/>
      <c r="EJ236" s="154"/>
      <c r="EK236" s="154"/>
      <c r="EL236" s="154"/>
      <c r="EM236" s="153"/>
      <c r="EN236" s="154"/>
      <c r="EO236" s="154"/>
      <c r="EP236" s="154"/>
      <c r="EQ236" s="154"/>
      <c r="ER236" s="153"/>
      <c r="ES236" s="154"/>
      <c r="ET236" s="154"/>
      <c r="EU236" s="154"/>
      <c r="EV236" s="154"/>
      <c r="EW236" s="153"/>
      <c r="EX236" s="154"/>
      <c r="EY236" s="154"/>
      <c r="EZ236" s="154"/>
      <c r="FA236" s="154"/>
      <c r="FB236" s="153"/>
      <c r="FC236" s="154"/>
      <c r="FD236" s="154"/>
      <c r="FE236" s="154"/>
      <c r="FF236" s="154"/>
      <c r="FG236" s="153"/>
      <c r="FH236" s="154"/>
      <c r="FI236" s="154"/>
      <c r="FJ236" s="154"/>
      <c r="FK236" s="154"/>
      <c r="FL236" s="153"/>
      <c r="FM236" s="154"/>
      <c r="FN236" s="154"/>
      <c r="FO236" s="154"/>
      <c r="FP236" s="154"/>
      <c r="FQ236" s="153"/>
      <c r="FR236" s="154"/>
      <c r="FS236" s="154"/>
      <c r="FT236" s="154"/>
      <c r="FU236" s="154"/>
      <c r="FV236" s="153"/>
      <c r="FW236" s="154"/>
      <c r="FX236" s="154"/>
      <c r="FY236" s="154"/>
      <c r="FZ236" s="154"/>
      <c r="GA236" s="153"/>
      <c r="GB236" s="154"/>
      <c r="GC236" s="154"/>
      <c r="GD236" s="154"/>
      <c r="GE236" s="154"/>
    </row>
    <row r="237" spans="3:187" ht="12.75" customHeight="1">
      <c r="C237" s="159"/>
      <c r="D237" s="160"/>
      <c r="E237" s="160"/>
      <c r="F237" s="160"/>
      <c r="G237" s="160"/>
      <c r="H237" s="159"/>
      <c r="I237" s="160"/>
      <c r="J237" s="160"/>
      <c r="K237" s="160"/>
      <c r="L237" s="160"/>
      <c r="M237" s="159"/>
      <c r="N237" s="160"/>
      <c r="O237" s="160"/>
      <c r="P237" s="160"/>
      <c r="Q237" s="160"/>
      <c r="R237" s="159"/>
      <c r="S237" s="160"/>
      <c r="T237" s="160"/>
      <c r="U237" s="160"/>
      <c r="V237" s="160"/>
      <c r="W237" s="159"/>
      <c r="X237" s="160"/>
      <c r="Y237" s="160"/>
      <c r="Z237" s="160"/>
      <c r="AA237" s="160"/>
      <c r="AB237" s="159"/>
      <c r="AC237" s="160"/>
      <c r="AD237" s="160"/>
      <c r="AE237" s="160"/>
      <c r="AF237" s="160"/>
      <c r="AG237" s="159"/>
      <c r="AH237" s="160"/>
      <c r="AI237" s="160"/>
      <c r="AJ237" s="160"/>
      <c r="AK237" s="160"/>
      <c r="AL237" s="159"/>
      <c r="AM237" s="160"/>
      <c r="AN237" s="160"/>
      <c r="AO237" s="160"/>
      <c r="AP237" s="160"/>
      <c r="AQ237" s="159"/>
      <c r="AR237" s="160"/>
      <c r="AS237" s="160"/>
      <c r="AT237" s="160"/>
      <c r="AU237" s="160"/>
      <c r="AV237" s="159"/>
      <c r="AW237" s="160"/>
      <c r="AX237" s="160"/>
      <c r="AY237" s="160"/>
      <c r="AZ237" s="160"/>
      <c r="BA237" s="159"/>
      <c r="BB237" s="160"/>
      <c r="BC237" s="160"/>
      <c r="BD237" s="160"/>
      <c r="BE237" s="160"/>
      <c r="BF237" s="159"/>
      <c r="BG237" s="160"/>
      <c r="BH237" s="160"/>
      <c r="BI237" s="160"/>
      <c r="BJ237" s="160"/>
      <c r="BK237" s="159"/>
      <c r="BL237" s="160"/>
      <c r="BM237" s="160"/>
      <c r="BN237" s="160"/>
      <c r="BO237" s="160"/>
      <c r="BP237" s="159"/>
      <c r="BQ237" s="160"/>
      <c r="BR237" s="160"/>
      <c r="BS237" s="160"/>
      <c r="BT237" s="160"/>
      <c r="BU237" s="159"/>
      <c r="BV237" s="160"/>
      <c r="BW237" s="160"/>
      <c r="BX237" s="160"/>
      <c r="BY237" s="160"/>
      <c r="BZ237" s="159"/>
      <c r="CA237" s="160"/>
      <c r="CB237" s="160"/>
      <c r="CC237" s="160"/>
      <c r="CD237" s="160"/>
      <c r="CE237" s="159"/>
      <c r="CF237" s="160"/>
      <c r="CG237" s="160"/>
      <c r="CH237" s="160"/>
      <c r="CI237" s="160"/>
      <c r="CJ237" s="159"/>
      <c r="CK237" s="160"/>
      <c r="CL237" s="160"/>
      <c r="CM237" s="160"/>
      <c r="CN237" s="160"/>
      <c r="CO237" s="159"/>
      <c r="CP237" s="160"/>
      <c r="CQ237" s="160"/>
      <c r="CR237" s="160"/>
      <c r="CS237" s="160"/>
      <c r="CT237" s="159"/>
      <c r="CU237" s="160"/>
      <c r="CV237" s="160"/>
      <c r="CW237" s="160"/>
      <c r="CX237" s="160"/>
      <c r="CY237" s="159"/>
      <c r="CZ237" s="160"/>
      <c r="DA237" s="160"/>
      <c r="DB237" s="160"/>
      <c r="DC237" s="160"/>
      <c r="DD237" s="159"/>
      <c r="DE237" s="160"/>
      <c r="DF237" s="160"/>
      <c r="DG237" s="160"/>
      <c r="DH237" s="160"/>
      <c r="DI237" s="159"/>
      <c r="DJ237" s="160"/>
      <c r="DK237" s="160"/>
      <c r="DL237" s="160"/>
      <c r="DM237" s="160"/>
      <c r="DN237" s="159"/>
      <c r="DO237" s="160"/>
      <c r="DP237" s="160"/>
      <c r="DQ237" s="160"/>
      <c r="DR237" s="160"/>
      <c r="DS237" s="159"/>
      <c r="DT237" s="160"/>
      <c r="DU237" s="160"/>
      <c r="DV237" s="160"/>
      <c r="DW237" s="160"/>
      <c r="DX237" s="159"/>
      <c r="DY237" s="160"/>
      <c r="DZ237" s="160"/>
      <c r="EA237" s="160"/>
      <c r="EB237" s="160"/>
      <c r="EC237" s="159"/>
      <c r="ED237" s="160"/>
      <c r="EE237" s="160"/>
      <c r="EF237" s="160"/>
      <c r="EG237" s="160"/>
      <c r="EH237" s="159"/>
      <c r="EI237" s="160"/>
      <c r="EJ237" s="160"/>
      <c r="EK237" s="160"/>
      <c r="EL237" s="160"/>
      <c r="EM237" s="159"/>
      <c r="EN237" s="160"/>
      <c r="EO237" s="160"/>
      <c r="EP237" s="160"/>
      <c r="EQ237" s="160"/>
      <c r="ER237" s="159"/>
      <c r="ES237" s="160"/>
      <c r="ET237" s="160"/>
      <c r="EU237" s="160"/>
      <c r="EV237" s="160"/>
      <c r="EW237" s="159"/>
      <c r="EX237" s="160"/>
      <c r="EY237" s="160"/>
      <c r="EZ237" s="160"/>
      <c r="FA237" s="160"/>
      <c r="FB237" s="159"/>
      <c r="FC237" s="160"/>
      <c r="FD237" s="160"/>
      <c r="FE237" s="160"/>
      <c r="FF237" s="160"/>
      <c r="FG237" s="159"/>
      <c r="FH237" s="160"/>
      <c r="FI237" s="160"/>
      <c r="FJ237" s="160"/>
      <c r="FK237" s="160"/>
      <c r="FL237" s="159"/>
      <c r="FM237" s="160"/>
      <c r="FN237" s="160"/>
      <c r="FO237" s="160"/>
      <c r="FP237" s="160"/>
      <c r="FQ237" s="159"/>
      <c r="FR237" s="160"/>
      <c r="FS237" s="160"/>
      <c r="FT237" s="160"/>
      <c r="FU237" s="160"/>
      <c r="FV237" s="159"/>
      <c r="FW237" s="160"/>
      <c r="FX237" s="160"/>
      <c r="FY237" s="160"/>
      <c r="FZ237" s="160"/>
      <c r="GA237" s="159"/>
      <c r="GB237" s="160"/>
      <c r="GC237" s="160"/>
      <c r="GD237" s="160"/>
      <c r="GE237" s="160"/>
    </row>
    <row r="238" spans="3:187" ht="12.75" customHeight="1">
      <c r="C238" s="153"/>
      <c r="D238" s="154"/>
      <c r="E238" s="154"/>
      <c r="F238" s="154"/>
      <c r="G238" s="154"/>
      <c r="H238" s="153"/>
      <c r="I238" s="154"/>
      <c r="J238" s="154"/>
      <c r="K238" s="154"/>
      <c r="L238" s="154"/>
      <c r="M238" s="153"/>
      <c r="N238" s="154"/>
      <c r="O238" s="154"/>
      <c r="P238" s="154"/>
      <c r="Q238" s="154"/>
      <c r="R238" s="153"/>
      <c r="S238" s="154"/>
      <c r="T238" s="154"/>
      <c r="U238" s="154"/>
      <c r="V238" s="154"/>
      <c r="W238" s="153"/>
      <c r="X238" s="154"/>
      <c r="Y238" s="154"/>
      <c r="Z238" s="154"/>
      <c r="AA238" s="154"/>
      <c r="AB238" s="153"/>
      <c r="AC238" s="154"/>
      <c r="AD238" s="154"/>
      <c r="AE238" s="154"/>
      <c r="AF238" s="154"/>
      <c r="AG238" s="153"/>
      <c r="AH238" s="154"/>
      <c r="AI238" s="154"/>
      <c r="AJ238" s="154"/>
      <c r="AK238" s="154"/>
      <c r="AL238" s="153"/>
      <c r="AM238" s="154"/>
      <c r="AN238" s="154"/>
      <c r="AO238" s="154"/>
      <c r="AP238" s="154"/>
      <c r="AQ238" s="153"/>
      <c r="AR238" s="154"/>
      <c r="AS238" s="154"/>
      <c r="AT238" s="154"/>
      <c r="AU238" s="154"/>
      <c r="AV238" s="153"/>
      <c r="AW238" s="154"/>
      <c r="AX238" s="154"/>
      <c r="AY238" s="154"/>
      <c r="AZ238" s="154"/>
      <c r="BA238" s="153"/>
      <c r="BB238" s="154"/>
      <c r="BC238" s="154"/>
      <c r="BD238" s="154"/>
      <c r="BE238" s="154"/>
      <c r="BF238" s="153"/>
      <c r="BG238" s="154"/>
      <c r="BH238" s="154"/>
      <c r="BI238" s="154"/>
      <c r="BJ238" s="154"/>
      <c r="BK238" s="153"/>
      <c r="BL238" s="154"/>
      <c r="BM238" s="154"/>
      <c r="BN238" s="154"/>
      <c r="BO238" s="154"/>
      <c r="BP238" s="153"/>
      <c r="BQ238" s="154"/>
      <c r="BR238" s="154"/>
      <c r="BS238" s="154"/>
      <c r="BT238" s="154"/>
      <c r="BU238" s="153"/>
      <c r="BV238" s="154"/>
      <c r="BW238" s="154"/>
      <c r="BX238" s="154"/>
      <c r="BY238" s="154"/>
      <c r="BZ238" s="153"/>
      <c r="CA238" s="154"/>
      <c r="CB238" s="154"/>
      <c r="CC238" s="154"/>
      <c r="CD238" s="154"/>
      <c r="CE238" s="153"/>
      <c r="CF238" s="154"/>
      <c r="CG238" s="154"/>
      <c r="CH238" s="154"/>
      <c r="CI238" s="154"/>
      <c r="CJ238" s="153"/>
      <c r="CK238" s="154"/>
      <c r="CL238" s="154"/>
      <c r="CM238" s="154"/>
      <c r="CN238" s="154"/>
      <c r="CO238" s="153"/>
      <c r="CP238" s="154"/>
      <c r="CQ238" s="154"/>
      <c r="CR238" s="154"/>
      <c r="CS238" s="154"/>
      <c r="CT238" s="153"/>
      <c r="CU238" s="154"/>
      <c r="CV238" s="154"/>
      <c r="CW238" s="154"/>
      <c r="CX238" s="154"/>
      <c r="CY238" s="153"/>
      <c r="CZ238" s="154"/>
      <c r="DA238" s="154"/>
      <c r="DB238" s="154"/>
      <c r="DC238" s="154"/>
      <c r="DD238" s="153"/>
      <c r="DE238" s="154"/>
      <c r="DF238" s="154"/>
      <c r="DG238" s="154"/>
      <c r="DH238" s="154"/>
      <c r="DI238" s="153"/>
      <c r="DJ238" s="154"/>
      <c r="DK238" s="154"/>
      <c r="DL238" s="154"/>
      <c r="DM238" s="154"/>
      <c r="DN238" s="153"/>
      <c r="DO238" s="154"/>
      <c r="DP238" s="154"/>
      <c r="DQ238" s="154"/>
      <c r="DR238" s="154"/>
      <c r="DS238" s="153"/>
      <c r="DT238" s="154"/>
      <c r="DU238" s="154"/>
      <c r="DV238" s="154"/>
      <c r="DW238" s="154"/>
      <c r="DX238" s="153"/>
      <c r="DY238" s="154"/>
      <c r="DZ238" s="154"/>
      <c r="EA238" s="154"/>
      <c r="EB238" s="154"/>
      <c r="EC238" s="153"/>
      <c r="ED238" s="154"/>
      <c r="EE238" s="154"/>
      <c r="EF238" s="154"/>
      <c r="EG238" s="154"/>
      <c r="EH238" s="153"/>
      <c r="EI238" s="154"/>
      <c r="EJ238" s="154"/>
      <c r="EK238" s="154"/>
      <c r="EL238" s="154"/>
      <c r="EM238" s="153"/>
      <c r="EN238" s="154"/>
      <c r="EO238" s="154"/>
      <c r="EP238" s="154"/>
      <c r="EQ238" s="154"/>
      <c r="ER238" s="153"/>
      <c r="ES238" s="154"/>
      <c r="ET238" s="154"/>
      <c r="EU238" s="154"/>
      <c r="EV238" s="154"/>
      <c r="EW238" s="153"/>
      <c r="EX238" s="154"/>
      <c r="EY238" s="154"/>
      <c r="EZ238" s="154"/>
      <c r="FA238" s="154"/>
      <c r="FB238" s="153"/>
      <c r="FC238" s="154"/>
      <c r="FD238" s="154"/>
      <c r="FE238" s="154"/>
      <c r="FF238" s="154"/>
      <c r="FG238" s="153"/>
      <c r="FH238" s="154"/>
      <c r="FI238" s="154"/>
      <c r="FJ238" s="154"/>
      <c r="FK238" s="154"/>
      <c r="FL238" s="153"/>
      <c r="FM238" s="154"/>
      <c r="FN238" s="154"/>
      <c r="FO238" s="154"/>
      <c r="FP238" s="154"/>
      <c r="FQ238" s="153"/>
      <c r="FR238" s="154"/>
      <c r="FS238" s="154"/>
      <c r="FT238" s="154"/>
      <c r="FU238" s="154"/>
      <c r="FV238" s="153"/>
      <c r="FW238" s="154"/>
      <c r="FX238" s="154"/>
      <c r="FY238" s="154"/>
      <c r="FZ238" s="154"/>
      <c r="GA238" s="153"/>
      <c r="GB238" s="154"/>
      <c r="GC238" s="154"/>
      <c r="GD238" s="154"/>
      <c r="GE238" s="154"/>
    </row>
    <row r="239" spans="3:187" ht="12.75" customHeight="1">
      <c r="C239" s="153"/>
      <c r="D239" s="154"/>
      <c r="E239" s="154"/>
      <c r="F239" s="154"/>
      <c r="G239" s="154"/>
      <c r="H239" s="153"/>
      <c r="I239" s="154"/>
      <c r="J239" s="154"/>
      <c r="K239" s="154"/>
      <c r="L239" s="154"/>
      <c r="M239" s="153"/>
      <c r="N239" s="154"/>
      <c r="O239" s="154"/>
      <c r="P239" s="154"/>
      <c r="Q239" s="154"/>
      <c r="R239" s="153"/>
      <c r="S239" s="154"/>
      <c r="T239" s="154"/>
      <c r="U239" s="154"/>
      <c r="V239" s="154"/>
      <c r="W239" s="153"/>
      <c r="X239" s="154"/>
      <c r="Y239" s="154"/>
      <c r="Z239" s="154"/>
      <c r="AA239" s="154"/>
      <c r="AB239" s="153"/>
      <c r="AC239" s="154"/>
      <c r="AD239" s="154"/>
      <c r="AE239" s="154"/>
      <c r="AF239" s="154"/>
      <c r="AG239" s="153"/>
      <c r="AH239" s="154"/>
      <c r="AI239" s="154"/>
      <c r="AJ239" s="154"/>
      <c r="AK239" s="154"/>
      <c r="AL239" s="153"/>
      <c r="AM239" s="154"/>
      <c r="AN239" s="154"/>
      <c r="AO239" s="154"/>
      <c r="AP239" s="154"/>
      <c r="AQ239" s="153"/>
      <c r="AR239" s="154"/>
      <c r="AS239" s="154"/>
      <c r="AT239" s="154"/>
      <c r="AU239" s="154"/>
      <c r="AV239" s="153"/>
      <c r="AW239" s="154"/>
      <c r="AX239" s="154"/>
      <c r="AY239" s="154"/>
      <c r="AZ239" s="154"/>
      <c r="BA239" s="153"/>
      <c r="BB239" s="154"/>
      <c r="BC239" s="154"/>
      <c r="BD239" s="154"/>
      <c r="BE239" s="154"/>
      <c r="BF239" s="153"/>
      <c r="BG239" s="154"/>
      <c r="BH239" s="154"/>
      <c r="BI239" s="154"/>
      <c r="BJ239" s="154"/>
      <c r="BK239" s="153"/>
      <c r="BL239" s="154"/>
      <c r="BM239" s="154"/>
      <c r="BN239" s="154"/>
      <c r="BO239" s="154"/>
      <c r="BP239" s="153"/>
      <c r="BQ239" s="154"/>
      <c r="BR239" s="154"/>
      <c r="BS239" s="154"/>
      <c r="BT239" s="154"/>
      <c r="BU239" s="153"/>
      <c r="BV239" s="154"/>
      <c r="BW239" s="154"/>
      <c r="BX239" s="154"/>
      <c r="BY239" s="154"/>
      <c r="BZ239" s="153"/>
      <c r="CA239" s="154"/>
      <c r="CB239" s="154"/>
      <c r="CC239" s="154"/>
      <c r="CD239" s="154"/>
      <c r="CE239" s="153"/>
      <c r="CF239" s="154"/>
      <c r="CG239" s="154"/>
      <c r="CH239" s="154"/>
      <c r="CI239" s="154"/>
      <c r="CJ239" s="153"/>
      <c r="CK239" s="154"/>
      <c r="CL239" s="154"/>
      <c r="CM239" s="154"/>
      <c r="CN239" s="154"/>
      <c r="CO239" s="153"/>
      <c r="CP239" s="154"/>
      <c r="CQ239" s="154"/>
      <c r="CR239" s="154"/>
      <c r="CS239" s="154"/>
      <c r="CT239" s="153"/>
      <c r="CU239" s="154"/>
      <c r="CV239" s="154"/>
      <c r="CW239" s="154"/>
      <c r="CX239" s="154"/>
      <c r="CY239" s="153"/>
      <c r="CZ239" s="154"/>
      <c r="DA239" s="154"/>
      <c r="DB239" s="154"/>
      <c r="DC239" s="154"/>
      <c r="DD239" s="153"/>
      <c r="DE239" s="154"/>
      <c r="DF239" s="154"/>
      <c r="DG239" s="154"/>
      <c r="DH239" s="154"/>
      <c r="DI239" s="153"/>
      <c r="DJ239" s="154"/>
      <c r="DK239" s="154"/>
      <c r="DL239" s="154"/>
      <c r="DM239" s="154"/>
      <c r="DN239" s="153"/>
      <c r="DO239" s="154"/>
      <c r="DP239" s="154"/>
      <c r="DQ239" s="154"/>
      <c r="DR239" s="154"/>
      <c r="DS239" s="153"/>
      <c r="DT239" s="154"/>
      <c r="DU239" s="154"/>
      <c r="DV239" s="154"/>
      <c r="DW239" s="154"/>
      <c r="DX239" s="153"/>
      <c r="DY239" s="154"/>
      <c r="DZ239" s="154"/>
      <c r="EA239" s="154"/>
      <c r="EB239" s="154"/>
      <c r="EC239" s="153"/>
      <c r="ED239" s="154"/>
      <c r="EE239" s="154"/>
      <c r="EF239" s="154"/>
      <c r="EG239" s="154"/>
      <c r="EH239" s="153"/>
      <c r="EI239" s="154"/>
      <c r="EJ239" s="154"/>
      <c r="EK239" s="154"/>
      <c r="EL239" s="154"/>
      <c r="EM239" s="153"/>
      <c r="EN239" s="154"/>
      <c r="EO239" s="154"/>
      <c r="EP239" s="154"/>
      <c r="EQ239" s="154"/>
      <c r="ER239" s="153"/>
      <c r="ES239" s="154"/>
      <c r="ET239" s="154"/>
      <c r="EU239" s="154"/>
      <c r="EV239" s="154"/>
      <c r="EW239" s="153"/>
      <c r="EX239" s="154"/>
      <c r="EY239" s="154"/>
      <c r="EZ239" s="154"/>
      <c r="FA239" s="154"/>
      <c r="FB239" s="153"/>
      <c r="FC239" s="154"/>
      <c r="FD239" s="154"/>
      <c r="FE239" s="154"/>
      <c r="FF239" s="154"/>
      <c r="FG239" s="153"/>
      <c r="FH239" s="154"/>
      <c r="FI239" s="154"/>
      <c r="FJ239" s="154"/>
      <c r="FK239" s="154"/>
      <c r="FL239" s="153"/>
      <c r="FM239" s="154"/>
      <c r="FN239" s="154"/>
      <c r="FO239" s="154"/>
      <c r="FP239" s="154"/>
      <c r="FQ239" s="153"/>
      <c r="FR239" s="154"/>
      <c r="FS239" s="154"/>
      <c r="FT239" s="154"/>
      <c r="FU239" s="154"/>
      <c r="FV239" s="153"/>
      <c r="FW239" s="154"/>
      <c r="FX239" s="154"/>
      <c r="FY239" s="154"/>
      <c r="FZ239" s="154"/>
      <c r="GA239" s="153"/>
      <c r="GB239" s="154"/>
      <c r="GC239" s="154"/>
      <c r="GD239" s="154"/>
      <c r="GE239" s="154"/>
    </row>
    <row r="240" spans="3:187" ht="12.75" customHeight="1">
      <c r="C240" s="153"/>
      <c r="D240" s="154"/>
      <c r="E240" s="154"/>
      <c r="F240" s="154"/>
      <c r="G240" s="154"/>
      <c r="H240" s="153"/>
      <c r="I240" s="154"/>
      <c r="J240" s="154"/>
      <c r="K240" s="154"/>
      <c r="L240" s="154"/>
      <c r="M240" s="153"/>
      <c r="N240" s="154"/>
      <c r="O240" s="154"/>
      <c r="P240" s="154"/>
      <c r="Q240" s="154"/>
      <c r="R240" s="153"/>
      <c r="S240" s="154"/>
      <c r="T240" s="154"/>
      <c r="U240" s="154"/>
      <c r="V240" s="154"/>
      <c r="W240" s="153"/>
      <c r="X240" s="154"/>
      <c r="Y240" s="154"/>
      <c r="Z240" s="154"/>
      <c r="AA240" s="154"/>
      <c r="AB240" s="153"/>
      <c r="AC240" s="154"/>
      <c r="AD240" s="154"/>
      <c r="AE240" s="154"/>
      <c r="AF240" s="154"/>
      <c r="AG240" s="153"/>
      <c r="AH240" s="154"/>
      <c r="AI240" s="154"/>
      <c r="AJ240" s="154"/>
      <c r="AK240" s="154"/>
      <c r="AL240" s="153"/>
      <c r="AM240" s="154"/>
      <c r="AN240" s="154"/>
      <c r="AO240" s="154"/>
      <c r="AP240" s="154"/>
      <c r="AQ240" s="153"/>
      <c r="AR240" s="154"/>
      <c r="AS240" s="154"/>
      <c r="AT240" s="154"/>
      <c r="AU240" s="154"/>
      <c r="AV240" s="153"/>
      <c r="AW240" s="154"/>
      <c r="AX240" s="154"/>
      <c r="AY240" s="154"/>
      <c r="AZ240" s="154"/>
      <c r="BA240" s="153"/>
      <c r="BB240" s="154"/>
      <c r="BC240" s="154"/>
      <c r="BD240" s="154"/>
      <c r="BE240" s="154"/>
      <c r="BF240" s="153"/>
      <c r="BG240" s="154"/>
      <c r="BH240" s="154"/>
      <c r="BI240" s="154"/>
      <c r="BJ240" s="154"/>
      <c r="BK240" s="153"/>
      <c r="BL240" s="154"/>
      <c r="BM240" s="154"/>
      <c r="BN240" s="154"/>
      <c r="BO240" s="154"/>
      <c r="BP240" s="153"/>
      <c r="BQ240" s="154"/>
      <c r="BR240" s="154"/>
      <c r="BS240" s="154"/>
      <c r="BT240" s="154"/>
      <c r="BU240" s="153"/>
      <c r="BV240" s="154"/>
      <c r="BW240" s="154"/>
      <c r="BX240" s="154"/>
      <c r="BY240" s="154"/>
      <c r="BZ240" s="153"/>
      <c r="CA240" s="154"/>
      <c r="CB240" s="154"/>
      <c r="CC240" s="154"/>
      <c r="CD240" s="154"/>
      <c r="CE240" s="153"/>
      <c r="CF240" s="154"/>
      <c r="CG240" s="154"/>
      <c r="CH240" s="154"/>
      <c r="CI240" s="154"/>
      <c r="CJ240" s="153"/>
      <c r="CK240" s="154"/>
      <c r="CL240" s="154"/>
      <c r="CM240" s="154"/>
      <c r="CN240" s="154"/>
      <c r="CO240" s="153"/>
      <c r="CP240" s="154"/>
      <c r="CQ240" s="154"/>
      <c r="CR240" s="154"/>
      <c r="CS240" s="154"/>
      <c r="CT240" s="153"/>
      <c r="CU240" s="154"/>
      <c r="CV240" s="154"/>
      <c r="CW240" s="154"/>
      <c r="CX240" s="154"/>
      <c r="CY240" s="153"/>
      <c r="CZ240" s="154"/>
      <c r="DA240" s="154"/>
      <c r="DB240" s="154"/>
      <c r="DC240" s="154"/>
      <c r="DD240" s="153"/>
      <c r="DE240" s="154"/>
      <c r="DF240" s="154"/>
      <c r="DG240" s="154"/>
      <c r="DH240" s="154"/>
      <c r="DI240" s="153"/>
      <c r="DJ240" s="154"/>
      <c r="DK240" s="154"/>
      <c r="DL240" s="154"/>
      <c r="DM240" s="154"/>
      <c r="DN240" s="153"/>
      <c r="DO240" s="154"/>
      <c r="DP240" s="154"/>
      <c r="DQ240" s="154"/>
      <c r="DR240" s="154"/>
      <c r="DS240" s="153"/>
      <c r="DT240" s="154"/>
      <c r="DU240" s="154"/>
      <c r="DV240" s="154"/>
      <c r="DW240" s="154"/>
      <c r="DX240" s="153"/>
      <c r="DY240" s="154"/>
      <c r="DZ240" s="154"/>
      <c r="EA240" s="154"/>
      <c r="EB240" s="154"/>
      <c r="EC240" s="153"/>
      <c r="ED240" s="154"/>
      <c r="EE240" s="154"/>
      <c r="EF240" s="154"/>
      <c r="EG240" s="154"/>
      <c r="EH240" s="153"/>
      <c r="EI240" s="154"/>
      <c r="EJ240" s="154"/>
      <c r="EK240" s="154"/>
      <c r="EL240" s="154"/>
      <c r="EM240" s="153"/>
      <c r="EN240" s="154"/>
      <c r="EO240" s="154"/>
      <c r="EP240" s="154"/>
      <c r="EQ240" s="154"/>
      <c r="ER240" s="153"/>
      <c r="ES240" s="154"/>
      <c r="ET240" s="154"/>
      <c r="EU240" s="154"/>
      <c r="EV240" s="154"/>
      <c r="EW240" s="153"/>
      <c r="EX240" s="154"/>
      <c r="EY240" s="154"/>
      <c r="EZ240" s="154"/>
      <c r="FA240" s="154"/>
      <c r="FB240" s="153"/>
      <c r="FC240" s="154"/>
      <c r="FD240" s="154"/>
      <c r="FE240" s="154"/>
      <c r="FF240" s="154"/>
      <c r="FG240" s="153"/>
      <c r="FH240" s="154"/>
      <c r="FI240" s="154"/>
      <c r="FJ240" s="154"/>
      <c r="FK240" s="154"/>
      <c r="FL240" s="153"/>
      <c r="FM240" s="154"/>
      <c r="FN240" s="154"/>
      <c r="FO240" s="154"/>
      <c r="FP240" s="154"/>
      <c r="FQ240" s="153"/>
      <c r="FR240" s="154"/>
      <c r="FS240" s="154"/>
      <c r="FT240" s="154"/>
      <c r="FU240" s="154"/>
      <c r="FV240" s="153"/>
      <c r="FW240" s="154"/>
      <c r="FX240" s="154"/>
      <c r="FY240" s="154"/>
      <c r="FZ240" s="154"/>
      <c r="GA240" s="153"/>
      <c r="GB240" s="154"/>
      <c r="GC240" s="154"/>
      <c r="GD240" s="154"/>
      <c r="GE240" s="154"/>
    </row>
    <row r="241" spans="3:187" ht="12.75" customHeight="1">
      <c r="C241" s="151"/>
      <c r="D241" s="156"/>
      <c r="E241" s="156"/>
      <c r="F241" s="156"/>
      <c r="G241" s="156"/>
      <c r="H241" s="151"/>
      <c r="I241" s="156"/>
      <c r="J241" s="156"/>
      <c r="K241" s="156"/>
      <c r="L241" s="156"/>
      <c r="M241" s="151"/>
      <c r="N241" s="156"/>
      <c r="O241" s="156"/>
      <c r="P241" s="156"/>
      <c r="Q241" s="156"/>
      <c r="R241" s="151"/>
      <c r="S241" s="156"/>
      <c r="T241" s="156"/>
      <c r="U241" s="156"/>
      <c r="V241" s="156"/>
      <c r="W241" s="151"/>
      <c r="X241" s="156"/>
      <c r="Y241" s="156"/>
      <c r="Z241" s="156"/>
      <c r="AA241" s="156"/>
      <c r="AB241" s="151"/>
      <c r="AC241" s="156"/>
      <c r="AD241" s="156"/>
      <c r="AE241" s="156"/>
      <c r="AF241" s="156"/>
      <c r="AG241" s="151"/>
      <c r="AH241" s="156"/>
      <c r="AI241" s="156"/>
      <c r="AJ241" s="156"/>
      <c r="AK241" s="156"/>
      <c r="AL241" s="151"/>
      <c r="AM241" s="156"/>
      <c r="AN241" s="156"/>
      <c r="AO241" s="156"/>
      <c r="AP241" s="156"/>
      <c r="AQ241" s="151"/>
      <c r="AR241" s="156"/>
      <c r="AS241" s="156"/>
      <c r="AT241" s="156"/>
      <c r="AU241" s="156"/>
      <c r="AV241" s="151"/>
      <c r="AW241" s="156"/>
      <c r="AX241" s="156"/>
      <c r="AY241" s="156"/>
      <c r="AZ241" s="156"/>
      <c r="BA241" s="151"/>
      <c r="BB241" s="156"/>
      <c r="BC241" s="156"/>
      <c r="BD241" s="156"/>
      <c r="BE241" s="156"/>
      <c r="BF241" s="151"/>
      <c r="BG241" s="156"/>
      <c r="BH241" s="156"/>
      <c r="BI241" s="156"/>
      <c r="BJ241" s="156"/>
      <c r="BK241" s="151"/>
      <c r="BL241" s="156"/>
      <c r="BM241" s="156"/>
      <c r="BN241" s="156"/>
      <c r="BO241" s="156"/>
      <c r="BP241" s="151"/>
      <c r="BQ241" s="156"/>
      <c r="BR241" s="156"/>
      <c r="BS241" s="156"/>
      <c r="BT241" s="156"/>
      <c r="BU241" s="151"/>
      <c r="BV241" s="156"/>
      <c r="BW241" s="156"/>
      <c r="BX241" s="156"/>
      <c r="BY241" s="156"/>
      <c r="BZ241" s="151"/>
      <c r="CA241" s="156"/>
      <c r="CB241" s="156"/>
      <c r="CC241" s="156"/>
      <c r="CD241" s="156"/>
      <c r="CE241" s="151"/>
      <c r="CF241" s="156"/>
      <c r="CG241" s="156"/>
      <c r="CH241" s="156"/>
      <c r="CI241" s="156"/>
      <c r="CJ241" s="151"/>
      <c r="CK241" s="156"/>
      <c r="CL241" s="156"/>
      <c r="CM241" s="156"/>
      <c r="CN241" s="156"/>
      <c r="CO241" s="151"/>
      <c r="CP241" s="156"/>
      <c r="CQ241" s="156"/>
      <c r="CR241" s="156"/>
      <c r="CS241" s="156"/>
      <c r="CT241" s="151"/>
      <c r="CU241" s="156"/>
      <c r="CV241" s="156"/>
      <c r="CW241" s="156"/>
      <c r="CX241" s="156"/>
      <c r="CY241" s="151"/>
      <c r="CZ241" s="156"/>
      <c r="DA241" s="156"/>
      <c r="DB241" s="156"/>
      <c r="DC241" s="156"/>
      <c r="DD241" s="151"/>
      <c r="DE241" s="156"/>
      <c r="DF241" s="156"/>
      <c r="DG241" s="156"/>
      <c r="DH241" s="156"/>
      <c r="DI241" s="151"/>
      <c r="DJ241" s="156"/>
      <c r="DK241" s="156"/>
      <c r="DL241" s="156"/>
      <c r="DM241" s="156"/>
      <c r="DN241" s="151"/>
      <c r="DO241" s="156"/>
      <c r="DP241" s="156"/>
      <c r="DQ241" s="156"/>
      <c r="DR241" s="156"/>
      <c r="DS241" s="151"/>
      <c r="DT241" s="156"/>
      <c r="DU241" s="156"/>
      <c r="DV241" s="156"/>
      <c r="DW241" s="156"/>
      <c r="DX241" s="151"/>
      <c r="DY241" s="156"/>
      <c r="DZ241" s="156"/>
      <c r="EA241" s="156"/>
      <c r="EB241" s="156"/>
      <c r="EC241" s="151"/>
      <c r="ED241" s="156"/>
      <c r="EE241" s="156"/>
      <c r="EF241" s="156"/>
      <c r="EG241" s="156"/>
      <c r="EH241" s="151"/>
      <c r="EI241" s="156"/>
      <c r="EJ241" s="156"/>
      <c r="EK241" s="156"/>
      <c r="EL241" s="156"/>
      <c r="EM241" s="151"/>
      <c r="EN241" s="156"/>
      <c r="EO241" s="156"/>
      <c r="EP241" s="156"/>
      <c r="EQ241" s="156"/>
      <c r="ER241" s="151"/>
      <c r="ES241" s="156"/>
      <c r="ET241" s="156"/>
      <c r="EU241" s="156"/>
      <c r="EV241" s="156"/>
      <c r="EW241" s="151"/>
      <c r="EX241" s="156"/>
      <c r="EY241" s="156"/>
      <c r="EZ241" s="156"/>
      <c r="FA241" s="156"/>
      <c r="FB241" s="151"/>
      <c r="FC241" s="156"/>
      <c r="FD241" s="156"/>
      <c r="FE241" s="156"/>
      <c r="FF241" s="156"/>
      <c r="FG241" s="151"/>
      <c r="FH241" s="156"/>
      <c r="FI241" s="156"/>
      <c r="FJ241" s="156"/>
      <c r="FK241" s="156"/>
      <c r="FL241" s="151"/>
      <c r="FM241" s="156"/>
      <c r="FN241" s="156"/>
      <c r="FO241" s="156"/>
      <c r="FP241" s="156"/>
      <c r="FQ241" s="151"/>
      <c r="FR241" s="156"/>
      <c r="FS241" s="156"/>
      <c r="FT241" s="156"/>
      <c r="FU241" s="156"/>
      <c r="FV241" s="151"/>
      <c r="FW241" s="156"/>
      <c r="FX241" s="156"/>
      <c r="FY241" s="156"/>
      <c r="FZ241" s="156"/>
      <c r="GA241" s="151"/>
      <c r="GB241" s="156"/>
      <c r="GC241" s="156"/>
      <c r="GD241" s="156"/>
      <c r="GE241" s="156"/>
    </row>
    <row r="242" spans="3:187" ht="12.75" customHeight="1">
      <c r="C242" s="153"/>
      <c r="D242" s="154"/>
      <c r="E242" s="154"/>
      <c r="F242" s="154"/>
      <c r="G242" s="154"/>
      <c r="H242" s="153"/>
      <c r="I242" s="154"/>
      <c r="J242" s="154"/>
      <c r="K242" s="154"/>
      <c r="L242" s="154"/>
      <c r="M242" s="153"/>
      <c r="N242" s="154"/>
      <c r="O242" s="154"/>
      <c r="P242" s="154"/>
      <c r="Q242" s="154"/>
      <c r="R242" s="153"/>
      <c r="S242" s="154"/>
      <c r="T242" s="154"/>
      <c r="U242" s="154"/>
      <c r="V242" s="154"/>
      <c r="W242" s="153"/>
      <c r="X242" s="154"/>
      <c r="Y242" s="154"/>
      <c r="Z242" s="154"/>
      <c r="AA242" s="154"/>
      <c r="AB242" s="153"/>
      <c r="AC242" s="154"/>
      <c r="AD242" s="154"/>
      <c r="AE242" s="154"/>
      <c r="AF242" s="154"/>
      <c r="AG242" s="153"/>
      <c r="AH242" s="154"/>
      <c r="AI242" s="154"/>
      <c r="AJ242" s="154"/>
      <c r="AK242" s="154"/>
      <c r="AL242" s="153"/>
      <c r="AM242" s="154"/>
      <c r="AN242" s="154"/>
      <c r="AO242" s="154"/>
      <c r="AP242" s="154"/>
      <c r="AQ242" s="153"/>
      <c r="AR242" s="154"/>
      <c r="AS242" s="154"/>
      <c r="AT242" s="154"/>
      <c r="AU242" s="154"/>
      <c r="AV242" s="153"/>
      <c r="AW242" s="154"/>
      <c r="AX242" s="154"/>
      <c r="AY242" s="154"/>
      <c r="AZ242" s="154"/>
      <c r="BA242" s="153"/>
      <c r="BB242" s="154"/>
      <c r="BC242" s="154"/>
      <c r="BD242" s="154"/>
      <c r="BE242" s="154"/>
      <c r="BF242" s="153"/>
      <c r="BG242" s="154"/>
      <c r="BH242" s="154"/>
      <c r="BI242" s="154"/>
      <c r="BJ242" s="154"/>
      <c r="BK242" s="153"/>
      <c r="BL242" s="154"/>
      <c r="BM242" s="154"/>
      <c r="BN242" s="154"/>
      <c r="BO242" s="154"/>
      <c r="BP242" s="153"/>
      <c r="BQ242" s="154"/>
      <c r="BR242" s="154"/>
      <c r="BS242" s="154"/>
      <c r="BT242" s="154"/>
      <c r="BU242" s="153"/>
      <c r="BV242" s="154"/>
      <c r="BW242" s="154"/>
      <c r="BX242" s="154"/>
      <c r="BY242" s="154"/>
      <c r="BZ242" s="153"/>
      <c r="CA242" s="154"/>
      <c r="CB242" s="154"/>
      <c r="CC242" s="154"/>
      <c r="CD242" s="154"/>
      <c r="CE242" s="153"/>
      <c r="CF242" s="154"/>
      <c r="CG242" s="154"/>
      <c r="CH242" s="154"/>
      <c r="CI242" s="154"/>
      <c r="CJ242" s="153"/>
      <c r="CK242" s="154"/>
      <c r="CL242" s="154"/>
      <c r="CM242" s="154"/>
      <c r="CN242" s="154"/>
      <c r="CO242" s="153"/>
      <c r="CP242" s="154"/>
      <c r="CQ242" s="154"/>
      <c r="CR242" s="154"/>
      <c r="CS242" s="154"/>
      <c r="CT242" s="153"/>
      <c r="CU242" s="154"/>
      <c r="CV242" s="154"/>
      <c r="CW242" s="154"/>
      <c r="CX242" s="154"/>
      <c r="CY242" s="153"/>
      <c r="CZ242" s="154"/>
      <c r="DA242" s="154"/>
      <c r="DB242" s="154"/>
      <c r="DC242" s="154"/>
      <c r="DD242" s="153"/>
      <c r="DE242" s="154"/>
      <c r="DF242" s="154"/>
      <c r="DG242" s="154"/>
      <c r="DH242" s="154"/>
      <c r="DI242" s="153"/>
      <c r="DJ242" s="154"/>
      <c r="DK242" s="154"/>
      <c r="DL242" s="154"/>
      <c r="DM242" s="154"/>
      <c r="DN242" s="153"/>
      <c r="DO242" s="154"/>
      <c r="DP242" s="154"/>
      <c r="DQ242" s="154"/>
      <c r="DR242" s="154"/>
      <c r="DS242" s="153"/>
      <c r="DT242" s="154"/>
      <c r="DU242" s="154"/>
      <c r="DV242" s="154"/>
      <c r="DW242" s="154"/>
      <c r="DX242" s="153"/>
      <c r="DY242" s="154"/>
      <c r="DZ242" s="154"/>
      <c r="EA242" s="154"/>
      <c r="EB242" s="154"/>
      <c r="EC242" s="153"/>
      <c r="ED242" s="154"/>
      <c r="EE242" s="154"/>
      <c r="EF242" s="154"/>
      <c r="EG242" s="154"/>
      <c r="EH242" s="153"/>
      <c r="EI242" s="154"/>
      <c r="EJ242" s="154"/>
      <c r="EK242" s="154"/>
      <c r="EL242" s="154"/>
      <c r="EM242" s="153"/>
      <c r="EN242" s="154"/>
      <c r="EO242" s="154"/>
      <c r="EP242" s="154"/>
      <c r="EQ242" s="154"/>
      <c r="ER242" s="153"/>
      <c r="ES242" s="154"/>
      <c r="ET242" s="154"/>
      <c r="EU242" s="154"/>
      <c r="EV242" s="154"/>
      <c r="EW242" s="153"/>
      <c r="EX242" s="154"/>
      <c r="EY242" s="154"/>
      <c r="EZ242" s="154"/>
      <c r="FA242" s="154"/>
      <c r="FB242" s="153"/>
      <c r="FC242" s="154"/>
      <c r="FD242" s="154"/>
      <c r="FE242" s="154"/>
      <c r="FF242" s="154"/>
      <c r="FG242" s="153"/>
      <c r="FH242" s="154"/>
      <c r="FI242" s="154"/>
      <c r="FJ242" s="154"/>
      <c r="FK242" s="154"/>
      <c r="FL242" s="153"/>
      <c r="FM242" s="154"/>
      <c r="FN242" s="154"/>
      <c r="FO242" s="154"/>
      <c r="FP242" s="154"/>
      <c r="FQ242" s="153"/>
      <c r="FR242" s="154"/>
      <c r="FS242" s="154"/>
      <c r="FT242" s="154"/>
      <c r="FU242" s="154"/>
      <c r="FV242" s="153"/>
      <c r="FW242" s="154"/>
      <c r="FX242" s="154"/>
      <c r="FY242" s="154"/>
      <c r="FZ242" s="154"/>
      <c r="GA242" s="153"/>
      <c r="GB242" s="154"/>
      <c r="GC242" s="154"/>
      <c r="GD242" s="154"/>
      <c r="GE242" s="154"/>
    </row>
    <row r="243" spans="3:187" ht="12.75" customHeight="1">
      <c r="C243" s="153"/>
      <c r="D243" s="154"/>
      <c r="E243" s="154"/>
      <c r="F243" s="154"/>
      <c r="G243" s="154"/>
      <c r="H243" s="153"/>
      <c r="I243" s="154"/>
      <c r="J243" s="154"/>
      <c r="K243" s="154"/>
      <c r="L243" s="154"/>
      <c r="M243" s="153"/>
      <c r="N243" s="154"/>
      <c r="O243" s="154"/>
      <c r="P243" s="154"/>
      <c r="Q243" s="154"/>
      <c r="R243" s="153"/>
      <c r="S243" s="154"/>
      <c r="T243" s="154"/>
      <c r="U243" s="154"/>
      <c r="V243" s="154"/>
      <c r="W243" s="153"/>
      <c r="X243" s="154"/>
      <c r="Y243" s="154"/>
      <c r="Z243" s="154"/>
      <c r="AA243" s="154"/>
      <c r="AB243" s="153"/>
      <c r="AC243" s="154"/>
      <c r="AD243" s="154"/>
      <c r="AE243" s="154"/>
      <c r="AF243" s="154"/>
      <c r="AG243" s="153"/>
      <c r="AH243" s="154"/>
      <c r="AI243" s="154"/>
      <c r="AJ243" s="154"/>
      <c r="AK243" s="154"/>
      <c r="AL243" s="153"/>
      <c r="AM243" s="154"/>
      <c r="AN243" s="154"/>
      <c r="AO243" s="154"/>
      <c r="AP243" s="154"/>
      <c r="AQ243" s="153"/>
      <c r="AR243" s="154"/>
      <c r="AS243" s="154"/>
      <c r="AT243" s="154"/>
      <c r="AU243" s="154"/>
      <c r="AV243" s="153"/>
      <c r="AW243" s="154"/>
      <c r="AX243" s="154"/>
      <c r="AY243" s="154"/>
      <c r="AZ243" s="154"/>
      <c r="BA243" s="153"/>
      <c r="BB243" s="154"/>
      <c r="BC243" s="154"/>
      <c r="BD243" s="154"/>
      <c r="BE243" s="154"/>
      <c r="BF243" s="153"/>
      <c r="BG243" s="154"/>
      <c r="BH243" s="154"/>
      <c r="BI243" s="154"/>
      <c r="BJ243" s="154"/>
      <c r="BK243" s="153"/>
      <c r="BL243" s="154"/>
      <c r="BM243" s="154"/>
      <c r="BN243" s="154"/>
      <c r="BO243" s="154"/>
      <c r="BP243" s="153"/>
      <c r="BQ243" s="154"/>
      <c r="BR243" s="154"/>
      <c r="BS243" s="154"/>
      <c r="BT243" s="154"/>
      <c r="BU243" s="153"/>
      <c r="BV243" s="154"/>
      <c r="BW243" s="154"/>
      <c r="BX243" s="154"/>
      <c r="BY243" s="154"/>
      <c r="BZ243" s="153"/>
      <c r="CA243" s="154"/>
      <c r="CB243" s="154"/>
      <c r="CC243" s="154"/>
      <c r="CD243" s="154"/>
      <c r="CE243" s="153"/>
      <c r="CF243" s="154"/>
      <c r="CG243" s="154"/>
      <c r="CH243" s="154"/>
      <c r="CI243" s="154"/>
      <c r="CJ243" s="153"/>
      <c r="CK243" s="154"/>
      <c r="CL243" s="154"/>
      <c r="CM243" s="154"/>
      <c r="CN243" s="154"/>
      <c r="CO243" s="153"/>
      <c r="CP243" s="154"/>
      <c r="CQ243" s="154"/>
      <c r="CR243" s="154"/>
      <c r="CS243" s="154"/>
      <c r="CT243" s="153"/>
      <c r="CU243" s="154"/>
      <c r="CV243" s="154"/>
      <c r="CW243" s="154"/>
      <c r="CX243" s="154"/>
      <c r="CY243" s="153"/>
      <c r="CZ243" s="154"/>
      <c r="DA243" s="154"/>
      <c r="DB243" s="154"/>
      <c r="DC243" s="154"/>
      <c r="DD243" s="153"/>
      <c r="DE243" s="154"/>
      <c r="DF243" s="154"/>
      <c r="DG243" s="154"/>
      <c r="DH243" s="154"/>
      <c r="DI243" s="153"/>
      <c r="DJ243" s="154"/>
      <c r="DK243" s="154"/>
      <c r="DL243" s="154"/>
      <c r="DM243" s="154"/>
      <c r="DN243" s="153"/>
      <c r="DO243" s="154"/>
      <c r="DP243" s="154"/>
      <c r="DQ243" s="154"/>
      <c r="DR243" s="154"/>
      <c r="DS243" s="153"/>
      <c r="DT243" s="154"/>
      <c r="DU243" s="154"/>
      <c r="DV243" s="154"/>
      <c r="DW243" s="154"/>
      <c r="DX243" s="153"/>
      <c r="DY243" s="154"/>
      <c r="DZ243" s="154"/>
      <c r="EA243" s="154"/>
      <c r="EB243" s="154"/>
      <c r="EC243" s="153"/>
      <c r="ED243" s="154"/>
      <c r="EE243" s="154"/>
      <c r="EF243" s="154"/>
      <c r="EG243" s="154"/>
      <c r="EH243" s="153"/>
      <c r="EI243" s="154"/>
      <c r="EJ243" s="154"/>
      <c r="EK243" s="154"/>
      <c r="EL243" s="154"/>
      <c r="EM243" s="153"/>
      <c r="EN243" s="154"/>
      <c r="EO243" s="154"/>
      <c r="EP243" s="154"/>
      <c r="EQ243" s="154"/>
      <c r="ER243" s="153"/>
      <c r="ES243" s="154"/>
      <c r="ET243" s="154"/>
      <c r="EU243" s="154"/>
      <c r="EV243" s="154"/>
      <c r="EW243" s="153"/>
      <c r="EX243" s="154"/>
      <c r="EY243" s="154"/>
      <c r="EZ243" s="154"/>
      <c r="FA243" s="154"/>
      <c r="FB243" s="153"/>
      <c r="FC243" s="154"/>
      <c r="FD243" s="154"/>
      <c r="FE243" s="154"/>
      <c r="FF243" s="154"/>
      <c r="FG243" s="153"/>
      <c r="FH243" s="154"/>
      <c r="FI243" s="154"/>
      <c r="FJ243" s="154"/>
      <c r="FK243" s="154"/>
      <c r="FL243" s="153"/>
      <c r="FM243" s="154"/>
      <c r="FN243" s="154"/>
      <c r="FO243" s="154"/>
      <c r="FP243" s="154"/>
      <c r="FQ243" s="153"/>
      <c r="FR243" s="154"/>
      <c r="FS243" s="154"/>
      <c r="FT243" s="154"/>
      <c r="FU243" s="154"/>
      <c r="FV243" s="153"/>
      <c r="FW243" s="154"/>
      <c r="FX243" s="154"/>
      <c r="FY243" s="154"/>
      <c r="FZ243" s="154"/>
      <c r="GA243" s="153"/>
      <c r="GB243" s="154"/>
      <c r="GC243" s="154"/>
      <c r="GD243" s="154"/>
      <c r="GE243" s="154"/>
    </row>
    <row r="244" spans="3:187" ht="12.75" customHeight="1">
      <c r="C244" s="153"/>
      <c r="D244" s="154"/>
      <c r="E244" s="154"/>
      <c r="F244" s="154"/>
      <c r="G244" s="154"/>
      <c r="H244" s="153"/>
      <c r="I244" s="154"/>
      <c r="J244" s="154"/>
      <c r="K244" s="154"/>
      <c r="L244" s="154"/>
      <c r="M244" s="153"/>
      <c r="N244" s="154"/>
      <c r="O244" s="154"/>
      <c r="P244" s="154"/>
      <c r="Q244" s="154"/>
      <c r="R244" s="153"/>
      <c r="S244" s="154"/>
      <c r="T244" s="154"/>
      <c r="U244" s="154"/>
      <c r="V244" s="154"/>
      <c r="W244" s="153"/>
      <c r="X244" s="154"/>
      <c r="Y244" s="154"/>
      <c r="Z244" s="154"/>
      <c r="AA244" s="154"/>
      <c r="AB244" s="153"/>
      <c r="AC244" s="154"/>
      <c r="AD244" s="154"/>
      <c r="AE244" s="154"/>
      <c r="AF244" s="154"/>
      <c r="AG244" s="153"/>
      <c r="AH244" s="154"/>
      <c r="AI244" s="154"/>
      <c r="AJ244" s="154"/>
      <c r="AK244" s="154"/>
      <c r="AL244" s="153"/>
      <c r="AM244" s="154"/>
      <c r="AN244" s="154"/>
      <c r="AO244" s="154"/>
      <c r="AP244" s="154"/>
      <c r="AQ244" s="153"/>
      <c r="AR244" s="154"/>
      <c r="AS244" s="154"/>
      <c r="AT244" s="154"/>
      <c r="AU244" s="154"/>
      <c r="AV244" s="153"/>
      <c r="AW244" s="154"/>
      <c r="AX244" s="154"/>
      <c r="AY244" s="154"/>
      <c r="AZ244" s="154"/>
      <c r="BA244" s="153"/>
      <c r="BB244" s="154"/>
      <c r="BC244" s="154"/>
      <c r="BD244" s="154"/>
      <c r="BE244" s="154"/>
      <c r="BF244" s="153"/>
      <c r="BG244" s="154"/>
      <c r="BH244" s="154"/>
      <c r="BI244" s="154"/>
      <c r="BJ244" s="154"/>
      <c r="BK244" s="153"/>
      <c r="BL244" s="154"/>
      <c r="BM244" s="154"/>
      <c r="BN244" s="154"/>
      <c r="BO244" s="154"/>
      <c r="BP244" s="153"/>
      <c r="BQ244" s="154"/>
      <c r="BR244" s="154"/>
      <c r="BS244" s="154"/>
      <c r="BT244" s="154"/>
      <c r="BU244" s="153"/>
      <c r="BV244" s="154"/>
      <c r="BW244" s="154"/>
      <c r="BX244" s="154"/>
      <c r="BY244" s="154"/>
      <c r="BZ244" s="153"/>
      <c r="CA244" s="154"/>
      <c r="CB244" s="154"/>
      <c r="CC244" s="154"/>
      <c r="CD244" s="154"/>
      <c r="CE244" s="153"/>
      <c r="CF244" s="154"/>
      <c r="CG244" s="154"/>
      <c r="CH244" s="154"/>
      <c r="CI244" s="154"/>
      <c r="CJ244" s="153"/>
      <c r="CK244" s="154"/>
      <c r="CL244" s="154"/>
      <c r="CM244" s="154"/>
      <c r="CN244" s="154"/>
      <c r="CO244" s="153"/>
      <c r="CP244" s="154"/>
      <c r="CQ244" s="154"/>
      <c r="CR244" s="154"/>
      <c r="CS244" s="154"/>
      <c r="CT244" s="153"/>
      <c r="CU244" s="154"/>
      <c r="CV244" s="154"/>
      <c r="CW244" s="154"/>
      <c r="CX244" s="154"/>
      <c r="CY244" s="153"/>
      <c r="CZ244" s="154"/>
      <c r="DA244" s="154"/>
      <c r="DB244" s="154"/>
      <c r="DC244" s="154"/>
      <c r="DD244" s="153"/>
      <c r="DE244" s="154"/>
      <c r="DF244" s="154"/>
      <c r="DG244" s="154"/>
      <c r="DH244" s="154"/>
      <c r="DI244" s="153"/>
      <c r="DJ244" s="154"/>
      <c r="DK244" s="154"/>
      <c r="DL244" s="154"/>
      <c r="DM244" s="154"/>
      <c r="DN244" s="153"/>
      <c r="DO244" s="154"/>
      <c r="DP244" s="154"/>
      <c r="DQ244" s="154"/>
      <c r="DR244" s="154"/>
      <c r="DS244" s="153"/>
      <c r="DT244" s="154"/>
      <c r="DU244" s="154"/>
      <c r="DV244" s="154"/>
      <c r="DW244" s="154"/>
      <c r="DX244" s="153"/>
      <c r="DY244" s="154"/>
      <c r="DZ244" s="154"/>
      <c r="EA244" s="154"/>
      <c r="EB244" s="154"/>
      <c r="EC244" s="153"/>
      <c r="ED244" s="154"/>
      <c r="EE244" s="154"/>
      <c r="EF244" s="154"/>
      <c r="EG244" s="154"/>
      <c r="EH244" s="153"/>
      <c r="EI244" s="154"/>
      <c r="EJ244" s="154"/>
      <c r="EK244" s="154"/>
      <c r="EL244" s="154"/>
      <c r="EM244" s="153"/>
      <c r="EN244" s="154"/>
      <c r="EO244" s="154"/>
      <c r="EP244" s="154"/>
      <c r="EQ244" s="154"/>
      <c r="ER244" s="153"/>
      <c r="ES244" s="154"/>
      <c r="ET244" s="154"/>
      <c r="EU244" s="154"/>
      <c r="EV244" s="154"/>
      <c r="EW244" s="153"/>
      <c r="EX244" s="154"/>
      <c r="EY244" s="154"/>
      <c r="EZ244" s="154"/>
      <c r="FA244" s="154"/>
      <c r="FB244" s="153"/>
      <c r="FC244" s="154"/>
      <c r="FD244" s="154"/>
      <c r="FE244" s="154"/>
      <c r="FF244" s="154"/>
      <c r="FG244" s="153"/>
      <c r="FH244" s="154"/>
      <c r="FI244" s="154"/>
      <c r="FJ244" s="154"/>
      <c r="FK244" s="154"/>
      <c r="FL244" s="153"/>
      <c r="FM244" s="154"/>
      <c r="FN244" s="154"/>
      <c r="FO244" s="154"/>
      <c r="FP244" s="154"/>
      <c r="FQ244" s="153"/>
      <c r="FR244" s="154"/>
      <c r="FS244" s="154"/>
      <c r="FT244" s="154"/>
      <c r="FU244" s="154"/>
      <c r="FV244" s="153"/>
      <c r="FW244" s="154"/>
      <c r="FX244" s="154"/>
      <c r="FY244" s="154"/>
      <c r="FZ244" s="154"/>
      <c r="GA244" s="153"/>
      <c r="GB244" s="154"/>
      <c r="GC244" s="154"/>
      <c r="GD244" s="154"/>
      <c r="GE244" s="154"/>
    </row>
    <row r="245" spans="3:187" ht="12.75" customHeight="1">
      <c r="C245" s="161"/>
      <c r="D245" s="162"/>
      <c r="E245" s="162"/>
      <c r="F245" s="162"/>
      <c r="G245" s="162"/>
      <c r="H245" s="161"/>
      <c r="I245" s="162"/>
      <c r="J245" s="162"/>
      <c r="K245" s="162"/>
      <c r="L245" s="162"/>
      <c r="M245" s="161"/>
      <c r="N245" s="162"/>
      <c r="O245" s="162"/>
      <c r="P245" s="162"/>
      <c r="Q245" s="162"/>
      <c r="R245" s="161"/>
      <c r="S245" s="162"/>
      <c r="T245" s="162"/>
      <c r="U245" s="162"/>
      <c r="V245" s="162"/>
      <c r="W245" s="161"/>
      <c r="X245" s="162"/>
      <c r="Y245" s="162"/>
      <c r="Z245" s="162"/>
      <c r="AA245" s="162"/>
      <c r="AB245" s="161"/>
      <c r="AC245" s="162"/>
      <c r="AD245" s="162"/>
      <c r="AE245" s="162"/>
      <c r="AF245" s="162"/>
      <c r="AG245" s="161"/>
      <c r="AH245" s="162"/>
      <c r="AI245" s="162"/>
      <c r="AJ245" s="162"/>
      <c r="AK245" s="162"/>
      <c r="AL245" s="161"/>
      <c r="AM245" s="162"/>
      <c r="AN245" s="162"/>
      <c r="AO245" s="162"/>
      <c r="AP245" s="162"/>
      <c r="AQ245" s="161"/>
      <c r="AR245" s="162"/>
      <c r="AS245" s="162"/>
      <c r="AT245" s="162"/>
      <c r="AU245" s="162"/>
      <c r="AV245" s="161"/>
      <c r="AW245" s="162"/>
      <c r="AX245" s="162"/>
      <c r="AY245" s="162"/>
      <c r="AZ245" s="162"/>
      <c r="BA245" s="161"/>
      <c r="BB245" s="162"/>
      <c r="BC245" s="162"/>
      <c r="BD245" s="162"/>
      <c r="BE245" s="162"/>
      <c r="BF245" s="161"/>
      <c r="BG245" s="162"/>
      <c r="BH245" s="162"/>
      <c r="BI245" s="162"/>
      <c r="BJ245" s="162"/>
      <c r="BK245" s="161"/>
      <c r="BL245" s="162"/>
      <c r="BM245" s="162"/>
      <c r="BN245" s="162"/>
      <c r="BO245" s="162"/>
      <c r="BP245" s="161"/>
      <c r="BQ245" s="162"/>
      <c r="BR245" s="162"/>
      <c r="BS245" s="162"/>
      <c r="BT245" s="162"/>
      <c r="BU245" s="161"/>
      <c r="BV245" s="162"/>
      <c r="BW245" s="162"/>
      <c r="BX245" s="162"/>
      <c r="BY245" s="162"/>
      <c r="BZ245" s="161"/>
      <c r="CA245" s="162"/>
      <c r="CB245" s="162"/>
      <c r="CC245" s="162"/>
      <c r="CD245" s="162"/>
      <c r="CE245" s="161"/>
      <c r="CF245" s="162"/>
      <c r="CG245" s="162"/>
      <c r="CH245" s="162"/>
      <c r="CI245" s="162"/>
      <c r="CJ245" s="161"/>
      <c r="CK245" s="162"/>
      <c r="CL245" s="162"/>
      <c r="CM245" s="162"/>
      <c r="CN245" s="162"/>
      <c r="CO245" s="161"/>
      <c r="CP245" s="162"/>
      <c r="CQ245" s="162"/>
      <c r="CR245" s="162"/>
      <c r="CS245" s="162"/>
      <c r="CT245" s="161"/>
      <c r="CU245" s="162"/>
      <c r="CV245" s="162"/>
      <c r="CW245" s="162"/>
      <c r="CX245" s="162"/>
      <c r="CY245" s="161"/>
      <c r="CZ245" s="162"/>
      <c r="DA245" s="162"/>
      <c r="DB245" s="162"/>
      <c r="DC245" s="162"/>
      <c r="DD245" s="161"/>
      <c r="DE245" s="162"/>
      <c r="DF245" s="162"/>
      <c r="DG245" s="162"/>
      <c r="DH245" s="162"/>
      <c r="DI245" s="161"/>
      <c r="DJ245" s="162"/>
      <c r="DK245" s="162"/>
      <c r="DL245" s="162"/>
      <c r="DM245" s="162"/>
      <c r="DN245" s="161"/>
      <c r="DO245" s="162"/>
      <c r="DP245" s="162"/>
      <c r="DQ245" s="162"/>
      <c r="DR245" s="162"/>
      <c r="DS245" s="161"/>
      <c r="DT245" s="162"/>
      <c r="DU245" s="162"/>
      <c r="DV245" s="162"/>
      <c r="DW245" s="162"/>
      <c r="DX245" s="161"/>
      <c r="DY245" s="162"/>
      <c r="DZ245" s="162"/>
      <c r="EA245" s="162"/>
      <c r="EB245" s="162"/>
      <c r="EC245" s="161"/>
      <c r="ED245" s="162"/>
      <c r="EE245" s="162"/>
      <c r="EF245" s="162"/>
      <c r="EG245" s="162"/>
      <c r="EH245" s="161"/>
      <c r="EI245" s="162"/>
      <c r="EJ245" s="162"/>
      <c r="EK245" s="162"/>
      <c r="EL245" s="162"/>
      <c r="EM245" s="161"/>
      <c r="EN245" s="162"/>
      <c r="EO245" s="162"/>
      <c r="EP245" s="162"/>
      <c r="EQ245" s="162"/>
      <c r="ER245" s="161"/>
      <c r="ES245" s="162"/>
      <c r="ET245" s="162"/>
      <c r="EU245" s="162"/>
      <c r="EV245" s="162"/>
      <c r="EW245" s="161"/>
      <c r="EX245" s="162"/>
      <c r="EY245" s="162"/>
      <c r="EZ245" s="162"/>
      <c r="FA245" s="162"/>
      <c r="FB245" s="161"/>
      <c r="FC245" s="162"/>
      <c r="FD245" s="162"/>
      <c r="FE245" s="162"/>
      <c r="FF245" s="162"/>
      <c r="FG245" s="161"/>
      <c r="FH245" s="162"/>
      <c r="FI245" s="162"/>
      <c r="FJ245" s="162"/>
      <c r="FK245" s="162"/>
      <c r="FL245" s="161"/>
      <c r="FM245" s="162"/>
      <c r="FN245" s="162"/>
      <c r="FO245" s="162"/>
      <c r="FP245" s="162"/>
      <c r="FQ245" s="161"/>
      <c r="FR245" s="162"/>
      <c r="FS245" s="162"/>
      <c r="FT245" s="162"/>
      <c r="FU245" s="162"/>
      <c r="FV245" s="161"/>
      <c r="FW245" s="162"/>
      <c r="FX245" s="162"/>
      <c r="FY245" s="162"/>
      <c r="FZ245" s="162"/>
      <c r="GA245" s="161"/>
      <c r="GB245" s="162"/>
      <c r="GC245" s="162"/>
      <c r="GD245" s="162"/>
      <c r="GE245" s="162"/>
    </row>
    <row r="246" spans="3:187" ht="12.75" customHeight="1">
      <c r="C246" s="153"/>
      <c r="D246" s="154"/>
      <c r="E246" s="154"/>
      <c r="F246" s="154"/>
      <c r="G246" s="154"/>
      <c r="H246" s="153"/>
      <c r="I246" s="154"/>
      <c r="J246" s="154"/>
      <c r="K246" s="154"/>
      <c r="L246" s="154"/>
      <c r="M246" s="153"/>
      <c r="N246" s="154"/>
      <c r="O246" s="154"/>
      <c r="P246" s="154"/>
      <c r="Q246" s="154"/>
      <c r="R246" s="153"/>
      <c r="S246" s="154"/>
      <c r="T246" s="154"/>
      <c r="U246" s="154"/>
      <c r="V246" s="154"/>
      <c r="W246" s="153"/>
      <c r="X246" s="154"/>
      <c r="Y246" s="154"/>
      <c r="Z246" s="154"/>
      <c r="AA246" s="154"/>
      <c r="AB246" s="153"/>
      <c r="AC246" s="154"/>
      <c r="AD246" s="154"/>
      <c r="AE246" s="154"/>
      <c r="AF246" s="154"/>
      <c r="AG246" s="153"/>
      <c r="AH246" s="154"/>
      <c r="AI246" s="154"/>
      <c r="AJ246" s="154"/>
      <c r="AK246" s="154"/>
      <c r="AL246" s="153"/>
      <c r="AM246" s="154"/>
      <c r="AN246" s="154"/>
      <c r="AO246" s="154"/>
      <c r="AP246" s="154"/>
      <c r="AQ246" s="153"/>
      <c r="AR246" s="154"/>
      <c r="AS246" s="154"/>
      <c r="AT246" s="154"/>
      <c r="AU246" s="154"/>
      <c r="AV246" s="153"/>
      <c r="AW246" s="154"/>
      <c r="AX246" s="154"/>
      <c r="AY246" s="154"/>
      <c r="AZ246" s="154"/>
      <c r="BA246" s="153"/>
      <c r="BB246" s="154"/>
      <c r="BC246" s="154"/>
      <c r="BD246" s="154"/>
      <c r="BE246" s="154"/>
      <c r="BF246" s="153"/>
      <c r="BG246" s="154"/>
      <c r="BH246" s="154"/>
      <c r="BI246" s="154"/>
      <c r="BJ246" s="154"/>
      <c r="BK246" s="153"/>
      <c r="BL246" s="154"/>
      <c r="BM246" s="154"/>
      <c r="BN246" s="154"/>
      <c r="BO246" s="154"/>
      <c r="BP246" s="153"/>
      <c r="BQ246" s="154"/>
      <c r="BR246" s="154"/>
      <c r="BS246" s="154"/>
      <c r="BT246" s="154"/>
      <c r="BU246" s="153"/>
      <c r="BV246" s="154"/>
      <c r="BW246" s="154"/>
      <c r="BX246" s="154"/>
      <c r="BY246" s="154"/>
      <c r="BZ246" s="153"/>
      <c r="CA246" s="154"/>
      <c r="CB246" s="154"/>
      <c r="CC246" s="154"/>
      <c r="CD246" s="154"/>
      <c r="CE246" s="153"/>
      <c r="CF246" s="154"/>
      <c r="CG246" s="154"/>
      <c r="CH246" s="154"/>
      <c r="CI246" s="154"/>
      <c r="CJ246" s="153"/>
      <c r="CK246" s="154"/>
      <c r="CL246" s="154"/>
      <c r="CM246" s="154"/>
      <c r="CN246" s="154"/>
      <c r="CO246" s="153"/>
      <c r="CP246" s="154"/>
      <c r="CQ246" s="154"/>
      <c r="CR246" s="154"/>
      <c r="CS246" s="154"/>
      <c r="CT246" s="153"/>
      <c r="CU246" s="154"/>
      <c r="CV246" s="154"/>
      <c r="CW246" s="154"/>
      <c r="CX246" s="154"/>
      <c r="CY246" s="153"/>
      <c r="CZ246" s="154"/>
      <c r="DA246" s="154"/>
      <c r="DB246" s="154"/>
      <c r="DC246" s="154"/>
      <c r="DD246" s="153"/>
      <c r="DE246" s="154"/>
      <c r="DF246" s="154"/>
      <c r="DG246" s="154"/>
      <c r="DH246" s="154"/>
      <c r="DI246" s="153"/>
      <c r="DJ246" s="154"/>
      <c r="DK246" s="154"/>
      <c r="DL246" s="154"/>
      <c r="DM246" s="154"/>
      <c r="DN246" s="153"/>
      <c r="DO246" s="154"/>
      <c r="DP246" s="154"/>
      <c r="DQ246" s="154"/>
      <c r="DR246" s="154"/>
      <c r="DS246" s="153"/>
      <c r="DT246" s="154"/>
      <c r="DU246" s="154"/>
      <c r="DV246" s="154"/>
      <c r="DW246" s="154"/>
      <c r="DX246" s="153"/>
      <c r="DY246" s="154"/>
      <c r="DZ246" s="154"/>
      <c r="EA246" s="154"/>
      <c r="EB246" s="154"/>
      <c r="EC246" s="153"/>
      <c r="ED246" s="154"/>
      <c r="EE246" s="154"/>
      <c r="EF246" s="154"/>
      <c r="EG246" s="154"/>
      <c r="EH246" s="153"/>
      <c r="EI246" s="154"/>
      <c r="EJ246" s="154"/>
      <c r="EK246" s="154"/>
      <c r="EL246" s="154"/>
      <c r="EM246" s="153"/>
      <c r="EN246" s="154"/>
      <c r="EO246" s="154"/>
      <c r="EP246" s="154"/>
      <c r="EQ246" s="154"/>
      <c r="ER246" s="153"/>
      <c r="ES246" s="154"/>
      <c r="ET246" s="154"/>
      <c r="EU246" s="154"/>
      <c r="EV246" s="154"/>
      <c r="EW246" s="153"/>
      <c r="EX246" s="154"/>
      <c r="EY246" s="154"/>
      <c r="EZ246" s="154"/>
      <c r="FA246" s="154"/>
      <c r="FB246" s="153"/>
      <c r="FC246" s="154"/>
      <c r="FD246" s="154"/>
      <c r="FE246" s="154"/>
      <c r="FF246" s="154"/>
      <c r="FG246" s="153"/>
      <c r="FH246" s="154"/>
      <c r="FI246" s="154"/>
      <c r="FJ246" s="154"/>
      <c r="FK246" s="154"/>
      <c r="FL246" s="153"/>
      <c r="FM246" s="154"/>
      <c r="FN246" s="154"/>
      <c r="FO246" s="154"/>
      <c r="FP246" s="154"/>
      <c r="FQ246" s="153"/>
      <c r="FR246" s="154"/>
      <c r="FS246" s="154"/>
      <c r="FT246" s="154"/>
      <c r="FU246" s="154"/>
      <c r="FV246" s="153"/>
      <c r="FW246" s="154"/>
      <c r="FX246" s="154"/>
      <c r="FY246" s="154"/>
      <c r="FZ246" s="154"/>
      <c r="GA246" s="153"/>
      <c r="GB246" s="154"/>
      <c r="GC246" s="154"/>
      <c r="GD246" s="154"/>
      <c r="GE246" s="154"/>
    </row>
    <row r="247" spans="3:187" ht="12.75" customHeight="1">
      <c r="C247" s="153"/>
      <c r="D247" s="154"/>
      <c r="E247" s="154"/>
      <c r="F247" s="154"/>
      <c r="G247" s="154"/>
      <c r="H247" s="153"/>
      <c r="I247" s="154"/>
      <c r="J247" s="154"/>
      <c r="K247" s="154"/>
      <c r="L247" s="154"/>
      <c r="M247" s="153"/>
      <c r="N247" s="154"/>
      <c r="O247" s="154"/>
      <c r="P247" s="154"/>
      <c r="Q247" s="154"/>
      <c r="R247" s="153"/>
      <c r="S247" s="154"/>
      <c r="T247" s="154"/>
      <c r="U247" s="154"/>
      <c r="V247" s="154"/>
      <c r="W247" s="153"/>
      <c r="X247" s="154"/>
      <c r="Y247" s="154"/>
      <c r="Z247" s="154"/>
      <c r="AA247" s="154"/>
      <c r="AB247" s="153"/>
      <c r="AC247" s="154"/>
      <c r="AD247" s="154"/>
      <c r="AE247" s="154"/>
      <c r="AF247" s="154"/>
      <c r="AG247" s="153"/>
      <c r="AH247" s="154"/>
      <c r="AI247" s="154"/>
      <c r="AJ247" s="154"/>
      <c r="AK247" s="154"/>
      <c r="AL247" s="153"/>
      <c r="AM247" s="154"/>
      <c r="AN247" s="154"/>
      <c r="AO247" s="154"/>
      <c r="AP247" s="154"/>
      <c r="AQ247" s="153"/>
      <c r="AR247" s="154"/>
      <c r="AS247" s="154"/>
      <c r="AT247" s="154"/>
      <c r="AU247" s="154"/>
      <c r="AV247" s="153"/>
      <c r="AW247" s="154"/>
      <c r="AX247" s="154"/>
      <c r="AY247" s="154"/>
      <c r="AZ247" s="154"/>
      <c r="BA247" s="153"/>
      <c r="BB247" s="154"/>
      <c r="BC247" s="154"/>
      <c r="BD247" s="154"/>
      <c r="BE247" s="154"/>
      <c r="BF247" s="153"/>
      <c r="BG247" s="154"/>
      <c r="BH247" s="154"/>
      <c r="BI247" s="154"/>
      <c r="BJ247" s="154"/>
      <c r="BK247" s="153"/>
      <c r="BL247" s="154"/>
      <c r="BM247" s="154"/>
      <c r="BN247" s="154"/>
      <c r="BO247" s="154"/>
      <c r="BP247" s="153"/>
      <c r="BQ247" s="154"/>
      <c r="BR247" s="154"/>
      <c r="BS247" s="154"/>
      <c r="BT247" s="154"/>
      <c r="BU247" s="153"/>
      <c r="BV247" s="154"/>
      <c r="BW247" s="154"/>
      <c r="BX247" s="154"/>
      <c r="BY247" s="154"/>
      <c r="BZ247" s="153"/>
      <c r="CA247" s="154"/>
      <c r="CB247" s="154"/>
      <c r="CC247" s="154"/>
      <c r="CD247" s="154"/>
      <c r="CE247" s="153"/>
      <c r="CF247" s="154"/>
      <c r="CG247" s="154"/>
      <c r="CH247" s="154"/>
      <c r="CI247" s="154"/>
      <c r="CJ247" s="153"/>
      <c r="CK247" s="154"/>
      <c r="CL247" s="154"/>
      <c r="CM247" s="154"/>
      <c r="CN247" s="154"/>
      <c r="CO247" s="153"/>
      <c r="CP247" s="154"/>
      <c r="CQ247" s="154"/>
      <c r="CR247" s="154"/>
      <c r="CS247" s="154"/>
      <c r="CT247" s="153"/>
      <c r="CU247" s="154"/>
      <c r="CV247" s="154"/>
      <c r="CW247" s="154"/>
      <c r="CX247" s="154"/>
      <c r="CY247" s="153"/>
      <c r="CZ247" s="154"/>
      <c r="DA247" s="154"/>
      <c r="DB247" s="154"/>
      <c r="DC247" s="154"/>
      <c r="DD247" s="153"/>
      <c r="DE247" s="154"/>
      <c r="DF247" s="154"/>
      <c r="DG247" s="154"/>
      <c r="DH247" s="154"/>
      <c r="DI247" s="153"/>
      <c r="DJ247" s="154"/>
      <c r="DK247" s="154"/>
      <c r="DL247" s="154"/>
      <c r="DM247" s="154"/>
      <c r="DN247" s="153"/>
      <c r="DO247" s="154"/>
      <c r="DP247" s="154"/>
      <c r="DQ247" s="154"/>
      <c r="DR247" s="154"/>
      <c r="DS247" s="153"/>
      <c r="DT247" s="154"/>
      <c r="DU247" s="154"/>
      <c r="DV247" s="154"/>
      <c r="DW247" s="154"/>
      <c r="DX247" s="153"/>
      <c r="DY247" s="154"/>
      <c r="DZ247" s="154"/>
      <c r="EA247" s="154"/>
      <c r="EB247" s="154"/>
      <c r="EC247" s="153"/>
      <c r="ED247" s="154"/>
      <c r="EE247" s="154"/>
      <c r="EF247" s="154"/>
      <c r="EG247" s="154"/>
      <c r="EH247" s="153"/>
      <c r="EI247" s="154"/>
      <c r="EJ247" s="154"/>
      <c r="EK247" s="154"/>
      <c r="EL247" s="154"/>
      <c r="EM247" s="153"/>
      <c r="EN247" s="154"/>
      <c r="EO247" s="154"/>
      <c r="EP247" s="154"/>
      <c r="EQ247" s="154"/>
      <c r="ER247" s="153"/>
      <c r="ES247" s="154"/>
      <c r="ET247" s="154"/>
      <c r="EU247" s="154"/>
      <c r="EV247" s="154"/>
      <c r="EW247" s="153"/>
      <c r="EX247" s="154"/>
      <c r="EY247" s="154"/>
      <c r="EZ247" s="154"/>
      <c r="FA247" s="154"/>
      <c r="FB247" s="153"/>
      <c r="FC247" s="154"/>
      <c r="FD247" s="154"/>
      <c r="FE247" s="154"/>
      <c r="FF247" s="154"/>
      <c r="FG247" s="153"/>
      <c r="FH247" s="154"/>
      <c r="FI247" s="154"/>
      <c r="FJ247" s="154"/>
      <c r="FK247" s="154"/>
      <c r="FL247" s="153"/>
      <c r="FM247" s="154"/>
      <c r="FN247" s="154"/>
      <c r="FO247" s="154"/>
      <c r="FP247" s="154"/>
      <c r="FQ247" s="153"/>
      <c r="FR247" s="154"/>
      <c r="FS247" s="154"/>
      <c r="FT247" s="154"/>
      <c r="FU247" s="154"/>
      <c r="FV247" s="153"/>
      <c r="FW247" s="154"/>
      <c r="FX247" s="154"/>
      <c r="FY247" s="154"/>
      <c r="FZ247" s="154"/>
      <c r="GA247" s="153"/>
      <c r="GB247" s="154"/>
      <c r="GC247" s="154"/>
      <c r="GD247" s="154"/>
      <c r="GE247" s="154"/>
    </row>
    <row r="248" spans="3:187" ht="12.75" customHeight="1">
      <c r="C248" s="163"/>
      <c r="D248" s="164"/>
      <c r="E248" s="164"/>
      <c r="F248" s="164"/>
      <c r="G248" s="164"/>
      <c r="H248" s="163"/>
      <c r="I248" s="164"/>
      <c r="J248" s="164"/>
      <c r="K248" s="164"/>
      <c r="L248" s="164"/>
      <c r="M248" s="163"/>
      <c r="N248" s="164"/>
      <c r="O248" s="164"/>
      <c r="P248" s="164"/>
      <c r="Q248" s="164"/>
      <c r="R248" s="163"/>
      <c r="S248" s="164"/>
      <c r="T248" s="164"/>
      <c r="U248" s="164"/>
      <c r="V248" s="164"/>
      <c r="W248" s="163"/>
      <c r="X248" s="164"/>
      <c r="Y248" s="164"/>
      <c r="Z248" s="164"/>
      <c r="AA248" s="164"/>
      <c r="AB248" s="163"/>
      <c r="AC248" s="164"/>
      <c r="AD248" s="164"/>
      <c r="AE248" s="164"/>
      <c r="AF248" s="164"/>
      <c r="AG248" s="163"/>
      <c r="AH248" s="164"/>
      <c r="AI248" s="164"/>
      <c r="AJ248" s="164"/>
      <c r="AK248" s="164"/>
      <c r="AL248" s="163"/>
      <c r="AM248" s="164"/>
      <c r="AN248" s="164"/>
      <c r="AO248" s="164"/>
      <c r="AP248" s="164"/>
      <c r="AQ248" s="163"/>
      <c r="AR248" s="164"/>
      <c r="AS248" s="164"/>
      <c r="AT248" s="164"/>
      <c r="AU248" s="164"/>
      <c r="AV248" s="163"/>
      <c r="AW248" s="164"/>
      <c r="AX248" s="164"/>
      <c r="AY248" s="164"/>
      <c r="AZ248" s="164"/>
      <c r="BA248" s="163"/>
      <c r="BB248" s="164"/>
      <c r="BC248" s="164"/>
      <c r="BD248" s="164"/>
      <c r="BE248" s="164"/>
      <c r="BF248" s="163"/>
      <c r="BG248" s="164"/>
      <c r="BH248" s="164"/>
      <c r="BI248" s="164"/>
      <c r="BJ248" s="164"/>
      <c r="BK248" s="163"/>
      <c r="BL248" s="164"/>
      <c r="BM248" s="164"/>
      <c r="BN248" s="164"/>
      <c r="BO248" s="164"/>
      <c r="BP248" s="163"/>
      <c r="BQ248" s="164"/>
      <c r="BR248" s="164"/>
      <c r="BS248" s="164"/>
      <c r="BT248" s="164"/>
      <c r="BU248" s="163"/>
      <c r="BV248" s="164"/>
      <c r="BW248" s="164"/>
      <c r="BX248" s="164"/>
      <c r="BY248" s="164"/>
      <c r="BZ248" s="163"/>
      <c r="CA248" s="164"/>
      <c r="CB248" s="164"/>
      <c r="CC248" s="164"/>
      <c r="CD248" s="164"/>
      <c r="CE248" s="163"/>
      <c r="CF248" s="164"/>
      <c r="CG248" s="164"/>
      <c r="CH248" s="164"/>
      <c r="CI248" s="164"/>
      <c r="CJ248" s="163"/>
      <c r="CK248" s="164"/>
      <c r="CL248" s="164"/>
      <c r="CM248" s="164"/>
      <c r="CN248" s="164"/>
      <c r="CO248" s="163"/>
      <c r="CP248" s="164"/>
      <c r="CQ248" s="164"/>
      <c r="CR248" s="164"/>
      <c r="CS248" s="164"/>
      <c r="CT248" s="163"/>
      <c r="CU248" s="164"/>
      <c r="CV248" s="164"/>
      <c r="CW248" s="164"/>
      <c r="CX248" s="164"/>
      <c r="CY248" s="163"/>
      <c r="CZ248" s="164"/>
      <c r="DA248" s="164"/>
      <c r="DB248" s="164"/>
      <c r="DC248" s="164"/>
      <c r="DD248" s="163"/>
      <c r="DE248" s="164"/>
      <c r="DF248" s="164"/>
      <c r="DG248" s="164"/>
      <c r="DH248" s="164"/>
      <c r="DI248" s="163"/>
      <c r="DJ248" s="164"/>
      <c r="DK248" s="164"/>
      <c r="DL248" s="164"/>
      <c r="DM248" s="164"/>
      <c r="DN248" s="163"/>
      <c r="DO248" s="164"/>
      <c r="DP248" s="164"/>
      <c r="DQ248" s="164"/>
      <c r="DR248" s="164"/>
      <c r="DS248" s="163"/>
      <c r="DT248" s="164"/>
      <c r="DU248" s="164"/>
      <c r="DV248" s="164"/>
      <c r="DW248" s="164"/>
      <c r="DX248" s="163"/>
      <c r="DY248" s="164"/>
      <c r="DZ248" s="164"/>
      <c r="EA248" s="164"/>
      <c r="EB248" s="164"/>
      <c r="EC248" s="163"/>
      <c r="ED248" s="164"/>
      <c r="EE248" s="164"/>
      <c r="EF248" s="164"/>
      <c r="EG248" s="164"/>
      <c r="EH248" s="163"/>
      <c r="EI248" s="164"/>
      <c r="EJ248" s="164"/>
      <c r="EK248" s="164"/>
      <c r="EL248" s="164"/>
      <c r="EM248" s="163"/>
      <c r="EN248" s="164"/>
      <c r="EO248" s="164"/>
      <c r="EP248" s="164"/>
      <c r="EQ248" s="164"/>
      <c r="ER248" s="163"/>
      <c r="ES248" s="164"/>
      <c r="ET248" s="164"/>
      <c r="EU248" s="164"/>
      <c r="EV248" s="164"/>
      <c r="EW248" s="163"/>
      <c r="EX248" s="164"/>
      <c r="EY248" s="164"/>
      <c r="EZ248" s="164"/>
      <c r="FA248" s="164"/>
      <c r="FB248" s="163"/>
      <c r="FC248" s="164"/>
      <c r="FD248" s="164"/>
      <c r="FE248" s="164"/>
      <c r="FF248" s="164"/>
      <c r="FG248" s="163"/>
      <c r="FH248" s="164"/>
      <c r="FI248" s="164"/>
      <c r="FJ248" s="164"/>
      <c r="FK248" s="164"/>
      <c r="FL248" s="163"/>
      <c r="FM248" s="164"/>
      <c r="FN248" s="164"/>
      <c r="FO248" s="164"/>
      <c r="FP248" s="164"/>
      <c r="FQ248" s="163"/>
      <c r="FR248" s="164"/>
      <c r="FS248" s="164"/>
      <c r="FT248" s="164"/>
      <c r="FU248" s="164"/>
      <c r="FV248" s="163"/>
      <c r="FW248" s="164"/>
      <c r="FX248" s="164"/>
      <c r="FY248" s="164"/>
      <c r="FZ248" s="164"/>
      <c r="GA248" s="163"/>
      <c r="GB248" s="164"/>
      <c r="GC248" s="164"/>
      <c r="GD248" s="164"/>
      <c r="GE248" s="164"/>
    </row>
    <row r="250" spans="3:187" ht="12.75" customHeight="1">
      <c r="C250" s="165"/>
      <c r="D250" s="166"/>
      <c r="E250" s="166"/>
      <c r="F250" s="166"/>
      <c r="G250" s="166"/>
      <c r="H250" s="165"/>
      <c r="I250" s="166"/>
      <c r="J250" s="166"/>
      <c r="K250" s="166"/>
      <c r="L250" s="166"/>
      <c r="M250" s="165"/>
      <c r="N250" s="166"/>
      <c r="O250" s="166"/>
      <c r="P250" s="166"/>
      <c r="Q250" s="166"/>
      <c r="R250" s="165"/>
      <c r="S250" s="166"/>
      <c r="T250" s="166"/>
      <c r="U250" s="166"/>
      <c r="V250" s="166"/>
      <c r="W250" s="165"/>
      <c r="X250" s="166"/>
      <c r="Y250" s="166"/>
      <c r="Z250" s="166"/>
      <c r="AA250" s="166"/>
      <c r="AB250" s="165"/>
      <c r="AC250" s="166"/>
      <c r="AD250" s="166"/>
      <c r="AE250" s="166"/>
      <c r="AF250" s="166"/>
      <c r="AG250" s="165"/>
      <c r="AH250" s="166"/>
      <c r="AI250" s="166"/>
      <c r="AJ250" s="166"/>
      <c r="AK250" s="166"/>
      <c r="AL250" s="165"/>
      <c r="AM250" s="166"/>
      <c r="AN250" s="166"/>
      <c r="AO250" s="166"/>
      <c r="AP250" s="166"/>
      <c r="AQ250" s="165"/>
      <c r="AR250" s="166"/>
      <c r="AS250" s="166"/>
      <c r="AT250" s="166"/>
      <c r="AU250" s="166"/>
      <c r="AV250" s="165"/>
      <c r="AW250" s="166"/>
      <c r="AX250" s="166"/>
      <c r="AY250" s="166"/>
      <c r="AZ250" s="166"/>
      <c r="BA250" s="165"/>
      <c r="BB250" s="166"/>
      <c r="BC250" s="166"/>
      <c r="BD250" s="166"/>
      <c r="BE250" s="166"/>
      <c r="BF250" s="165"/>
      <c r="BG250" s="166"/>
      <c r="BH250" s="166"/>
      <c r="BI250" s="166"/>
      <c r="BJ250" s="166"/>
      <c r="BK250" s="165"/>
      <c r="BL250" s="166"/>
      <c r="BM250" s="166"/>
      <c r="BN250" s="166"/>
      <c r="BO250" s="166"/>
      <c r="BP250" s="165"/>
      <c r="BQ250" s="166"/>
      <c r="BR250" s="166"/>
      <c r="BS250" s="166"/>
      <c r="BT250" s="166"/>
      <c r="BU250" s="165"/>
      <c r="BV250" s="166"/>
      <c r="BW250" s="166"/>
      <c r="BX250" s="166"/>
      <c r="BY250" s="166"/>
      <c r="BZ250" s="165"/>
      <c r="CA250" s="166"/>
      <c r="CB250" s="166"/>
      <c r="CC250" s="166"/>
      <c r="CD250" s="166"/>
      <c r="CE250" s="165"/>
      <c r="CF250" s="166"/>
      <c r="CG250" s="166"/>
      <c r="CH250" s="166"/>
      <c r="CI250" s="166"/>
      <c r="CJ250" s="165"/>
      <c r="CK250" s="166"/>
      <c r="CL250" s="166"/>
      <c r="CM250" s="166"/>
      <c r="CN250" s="166"/>
      <c r="CO250" s="165"/>
      <c r="CP250" s="166"/>
      <c r="CQ250" s="166"/>
      <c r="CR250" s="166"/>
      <c r="CS250" s="166"/>
      <c r="CT250" s="165"/>
      <c r="CU250" s="166"/>
      <c r="CV250" s="166"/>
      <c r="CW250" s="166"/>
      <c r="CX250" s="166"/>
      <c r="CY250" s="165"/>
      <c r="CZ250" s="166"/>
      <c r="DA250" s="166"/>
      <c r="DB250" s="166"/>
      <c r="DC250" s="166"/>
      <c r="DD250" s="165"/>
      <c r="DE250" s="166"/>
      <c r="DF250" s="166"/>
      <c r="DG250" s="166"/>
      <c r="DH250" s="166"/>
      <c r="DI250" s="165"/>
      <c r="DJ250" s="166"/>
      <c r="DK250" s="166"/>
      <c r="DL250" s="166"/>
      <c r="DM250" s="166"/>
      <c r="DN250" s="165"/>
      <c r="DO250" s="166"/>
      <c r="DP250" s="166"/>
      <c r="DQ250" s="166"/>
      <c r="DR250" s="166"/>
      <c r="DS250" s="165"/>
      <c r="DT250" s="166"/>
      <c r="DU250" s="166"/>
      <c r="DV250" s="166"/>
      <c r="DW250" s="166"/>
      <c r="DX250" s="165"/>
      <c r="DY250" s="166"/>
      <c r="DZ250" s="166"/>
      <c r="EA250" s="166"/>
      <c r="EB250" s="166"/>
      <c r="EC250" s="165"/>
      <c r="ED250" s="166"/>
      <c r="EE250" s="166"/>
      <c r="EF250" s="166"/>
      <c r="EG250" s="166"/>
      <c r="EH250" s="165"/>
      <c r="EI250" s="166"/>
      <c r="EJ250" s="166"/>
      <c r="EK250" s="166"/>
      <c r="EL250" s="166"/>
      <c r="EM250" s="165"/>
      <c r="EN250" s="166"/>
      <c r="EO250" s="166"/>
      <c r="EP250" s="166"/>
      <c r="EQ250" s="166"/>
      <c r="ER250" s="165"/>
      <c r="ES250" s="166"/>
      <c r="ET250" s="166"/>
      <c r="EU250" s="166"/>
      <c r="EV250" s="166"/>
      <c r="EW250" s="165"/>
      <c r="EX250" s="166"/>
      <c r="EY250" s="166"/>
      <c r="EZ250" s="166"/>
      <c r="FA250" s="166"/>
      <c r="FB250" s="165"/>
      <c r="FC250" s="166"/>
      <c r="FD250" s="166"/>
      <c r="FE250" s="166"/>
      <c r="FF250" s="166"/>
      <c r="FG250" s="165"/>
      <c r="FH250" s="166"/>
      <c r="FI250" s="166"/>
      <c r="FJ250" s="166"/>
      <c r="FK250" s="166"/>
      <c r="FL250" s="165"/>
      <c r="FM250" s="166"/>
      <c r="FN250" s="166"/>
      <c r="FO250" s="166"/>
      <c r="FP250" s="166"/>
      <c r="FQ250" s="165"/>
      <c r="FR250" s="166"/>
      <c r="FS250" s="166"/>
      <c r="FT250" s="166"/>
      <c r="FU250" s="166"/>
      <c r="FV250" s="165"/>
      <c r="FW250" s="166"/>
      <c r="FX250" s="166"/>
      <c r="FY250" s="166"/>
      <c r="FZ250" s="166"/>
      <c r="GA250" s="165"/>
      <c r="GB250" s="166"/>
      <c r="GC250" s="166"/>
      <c r="GD250" s="166"/>
      <c r="GE250" s="166"/>
    </row>
    <row r="251" spans="3:187" ht="12.75" customHeight="1">
      <c r="C251" s="167"/>
      <c r="D251" s="168"/>
      <c r="E251" s="168"/>
      <c r="F251" s="168"/>
      <c r="G251" s="168"/>
      <c r="H251" s="167"/>
      <c r="I251" s="168"/>
      <c r="J251" s="168"/>
      <c r="K251" s="168"/>
      <c r="L251" s="168"/>
      <c r="M251" s="167"/>
      <c r="N251" s="168"/>
      <c r="O251" s="168"/>
      <c r="P251" s="168"/>
      <c r="Q251" s="168"/>
      <c r="R251" s="167"/>
      <c r="S251" s="168"/>
      <c r="T251" s="168"/>
      <c r="U251" s="168"/>
      <c r="V251" s="168"/>
      <c r="W251" s="167"/>
      <c r="X251" s="168"/>
      <c r="Y251" s="168"/>
      <c r="Z251" s="168"/>
      <c r="AA251" s="168"/>
      <c r="AB251" s="167"/>
      <c r="AC251" s="168"/>
      <c r="AD251" s="168"/>
      <c r="AE251" s="168"/>
      <c r="AF251" s="168"/>
      <c r="AG251" s="167"/>
      <c r="AH251" s="168"/>
      <c r="AI251" s="168"/>
      <c r="AJ251" s="168"/>
      <c r="AK251" s="168"/>
      <c r="AL251" s="167"/>
      <c r="AM251" s="168"/>
      <c r="AN251" s="168"/>
      <c r="AO251" s="168"/>
      <c r="AP251" s="168"/>
      <c r="AQ251" s="167"/>
      <c r="AR251" s="168"/>
      <c r="AS251" s="168"/>
      <c r="AT251" s="168"/>
      <c r="AU251" s="168"/>
      <c r="AV251" s="167"/>
      <c r="AW251" s="168"/>
      <c r="AX251" s="168"/>
      <c r="AY251" s="168"/>
      <c r="AZ251" s="168"/>
      <c r="BA251" s="167"/>
      <c r="BB251" s="168"/>
      <c r="BC251" s="168"/>
      <c r="BD251" s="168"/>
      <c r="BE251" s="168"/>
      <c r="BF251" s="167"/>
      <c r="BG251" s="168"/>
      <c r="BH251" s="168"/>
      <c r="BI251" s="168"/>
      <c r="BJ251" s="168"/>
      <c r="BK251" s="167"/>
      <c r="BL251" s="168"/>
      <c r="BM251" s="168"/>
      <c r="BN251" s="168"/>
      <c r="BO251" s="168"/>
      <c r="BP251" s="167"/>
      <c r="BQ251" s="168"/>
      <c r="BR251" s="168"/>
      <c r="BS251" s="168"/>
      <c r="BT251" s="168"/>
      <c r="BU251" s="167"/>
      <c r="BV251" s="168"/>
      <c r="BW251" s="168"/>
      <c r="BX251" s="168"/>
      <c r="BY251" s="168"/>
      <c r="BZ251" s="167"/>
      <c r="CA251" s="168"/>
      <c r="CB251" s="168"/>
      <c r="CC251" s="168"/>
      <c r="CD251" s="168"/>
      <c r="CE251" s="167"/>
      <c r="CF251" s="168"/>
      <c r="CG251" s="168"/>
      <c r="CH251" s="168"/>
      <c r="CI251" s="168"/>
      <c r="CJ251" s="167"/>
      <c r="CK251" s="168"/>
      <c r="CL251" s="168"/>
      <c r="CM251" s="168"/>
      <c r="CN251" s="168"/>
      <c r="CO251" s="167"/>
      <c r="CP251" s="168"/>
      <c r="CQ251" s="168"/>
      <c r="CR251" s="168"/>
      <c r="CS251" s="168"/>
      <c r="CT251" s="167"/>
      <c r="CU251" s="168"/>
      <c r="CV251" s="168"/>
      <c r="CW251" s="168"/>
      <c r="CX251" s="168"/>
      <c r="CY251" s="167"/>
      <c r="CZ251" s="168"/>
      <c r="DA251" s="168"/>
      <c r="DB251" s="168"/>
      <c r="DC251" s="168"/>
      <c r="DD251" s="167"/>
      <c r="DE251" s="168"/>
      <c r="DF251" s="168"/>
      <c r="DG251" s="168"/>
      <c r="DH251" s="168"/>
      <c r="DI251" s="167"/>
      <c r="DJ251" s="168"/>
      <c r="DK251" s="168"/>
      <c r="DL251" s="168"/>
      <c r="DM251" s="168"/>
      <c r="DN251" s="167"/>
      <c r="DO251" s="168"/>
      <c r="DP251" s="168"/>
      <c r="DQ251" s="168"/>
      <c r="DR251" s="168"/>
      <c r="DS251" s="167"/>
      <c r="DT251" s="168"/>
      <c r="DU251" s="168"/>
      <c r="DV251" s="168"/>
      <c r="DW251" s="168"/>
      <c r="DX251" s="167"/>
      <c r="DY251" s="168"/>
      <c r="DZ251" s="168"/>
      <c r="EA251" s="168"/>
      <c r="EB251" s="168"/>
      <c r="EC251" s="167"/>
      <c r="ED251" s="168"/>
      <c r="EE251" s="168"/>
      <c r="EF251" s="168"/>
      <c r="EG251" s="168"/>
      <c r="EH251" s="167"/>
      <c r="EI251" s="168"/>
      <c r="EJ251" s="168"/>
      <c r="EK251" s="168"/>
      <c r="EL251" s="168"/>
      <c r="EM251" s="167"/>
      <c r="EN251" s="168"/>
      <c r="EO251" s="168"/>
      <c r="EP251" s="168"/>
      <c r="EQ251" s="168"/>
      <c r="ER251" s="167"/>
      <c r="ES251" s="168"/>
      <c r="ET251" s="168"/>
      <c r="EU251" s="168"/>
      <c r="EV251" s="168"/>
      <c r="EW251" s="167"/>
      <c r="EX251" s="168"/>
      <c r="EY251" s="168"/>
      <c r="EZ251" s="168"/>
      <c r="FA251" s="168"/>
      <c r="FB251" s="167"/>
      <c r="FC251" s="168"/>
      <c r="FD251" s="168"/>
      <c r="FE251" s="168"/>
      <c r="FF251" s="168"/>
      <c r="FG251" s="167"/>
      <c r="FH251" s="168"/>
      <c r="FI251" s="168"/>
      <c r="FJ251" s="168"/>
      <c r="FK251" s="168"/>
      <c r="FL251" s="167"/>
      <c r="FM251" s="168"/>
      <c r="FN251" s="168"/>
      <c r="FO251" s="168"/>
      <c r="FP251" s="168"/>
      <c r="FQ251" s="167"/>
      <c r="FR251" s="168"/>
      <c r="FS251" s="168"/>
      <c r="FT251" s="168"/>
      <c r="FU251" s="168"/>
      <c r="FV251" s="167"/>
      <c r="FW251" s="168"/>
      <c r="FX251" s="168"/>
      <c r="FY251" s="168"/>
      <c r="FZ251" s="168"/>
      <c r="GA251" s="167"/>
      <c r="GB251" s="168"/>
      <c r="GC251" s="168"/>
      <c r="GD251" s="168"/>
      <c r="GE251" s="168"/>
    </row>
    <row r="252" spans="3:187" ht="12.75" customHeight="1">
      <c r="C252" s="169"/>
      <c r="D252" s="170"/>
      <c r="E252" s="170"/>
      <c r="F252" s="170"/>
      <c r="G252" s="170"/>
      <c r="H252" s="169"/>
      <c r="I252" s="170"/>
      <c r="J252" s="170"/>
      <c r="K252" s="170"/>
      <c r="L252" s="170"/>
      <c r="M252" s="169"/>
      <c r="N252" s="170"/>
      <c r="O252" s="170"/>
      <c r="P252" s="170"/>
      <c r="Q252" s="170"/>
      <c r="R252" s="169"/>
      <c r="S252" s="170"/>
      <c r="T252" s="170"/>
      <c r="U252" s="170"/>
      <c r="V252" s="170"/>
      <c r="W252" s="169"/>
      <c r="X252" s="170"/>
      <c r="Y252" s="170"/>
      <c r="Z252" s="170"/>
      <c r="AA252" s="170"/>
      <c r="AB252" s="169"/>
      <c r="AC252" s="170"/>
      <c r="AD252" s="170"/>
      <c r="AE252" s="170"/>
      <c r="AF252" s="170"/>
      <c r="AG252" s="169"/>
      <c r="AH252" s="170"/>
      <c r="AI252" s="170"/>
      <c r="AJ252" s="170"/>
      <c r="AK252" s="170"/>
      <c r="AL252" s="169"/>
      <c r="AM252" s="170"/>
      <c r="AN252" s="170"/>
      <c r="AO252" s="170"/>
      <c r="AP252" s="170"/>
      <c r="AQ252" s="169"/>
      <c r="AR252" s="170"/>
      <c r="AS252" s="170"/>
      <c r="AT252" s="170"/>
      <c r="AU252" s="170"/>
      <c r="AV252" s="169"/>
      <c r="AW252" s="170"/>
      <c r="AX252" s="170"/>
      <c r="AY252" s="170"/>
      <c r="AZ252" s="170"/>
      <c r="BA252" s="169"/>
      <c r="BB252" s="170"/>
      <c r="BC252" s="170"/>
      <c r="BD252" s="170"/>
      <c r="BE252" s="170"/>
      <c r="BF252" s="169"/>
      <c r="BG252" s="170"/>
      <c r="BH252" s="170"/>
      <c r="BI252" s="170"/>
      <c r="BJ252" s="170"/>
      <c r="BK252" s="169"/>
      <c r="BL252" s="170"/>
      <c r="BM252" s="170"/>
      <c r="BN252" s="170"/>
      <c r="BO252" s="170"/>
      <c r="BP252" s="169"/>
      <c r="BQ252" s="170"/>
      <c r="BR252" s="170"/>
      <c r="BS252" s="170"/>
      <c r="BT252" s="170"/>
      <c r="BU252" s="169"/>
      <c r="BV252" s="170"/>
      <c r="BW252" s="170"/>
      <c r="BX252" s="170"/>
      <c r="BY252" s="170"/>
      <c r="BZ252" s="169"/>
      <c r="CA252" s="170"/>
      <c r="CB252" s="170"/>
      <c r="CC252" s="170"/>
      <c r="CD252" s="170"/>
      <c r="CE252" s="169"/>
      <c r="CF252" s="170"/>
      <c r="CG252" s="170"/>
      <c r="CH252" s="170"/>
      <c r="CI252" s="170"/>
      <c r="CJ252" s="169"/>
      <c r="CK252" s="170"/>
      <c r="CL252" s="170"/>
      <c r="CM252" s="170"/>
      <c r="CN252" s="170"/>
      <c r="CO252" s="169"/>
      <c r="CP252" s="170"/>
      <c r="CQ252" s="170"/>
      <c r="CR252" s="170"/>
      <c r="CS252" s="170"/>
      <c r="CT252" s="169"/>
      <c r="CU252" s="170"/>
      <c r="CV252" s="170"/>
      <c r="CW252" s="170"/>
      <c r="CX252" s="170"/>
      <c r="CY252" s="169"/>
      <c r="CZ252" s="170"/>
      <c r="DA252" s="170"/>
      <c r="DB252" s="170"/>
      <c r="DC252" s="170"/>
      <c r="DD252" s="169"/>
      <c r="DE252" s="170"/>
      <c r="DF252" s="170"/>
      <c r="DG252" s="170"/>
      <c r="DH252" s="170"/>
      <c r="DI252" s="169"/>
      <c r="DJ252" s="170"/>
      <c r="DK252" s="170"/>
      <c r="DL252" s="170"/>
      <c r="DM252" s="170"/>
      <c r="DN252" s="169"/>
      <c r="DO252" s="170"/>
      <c r="DP252" s="170"/>
      <c r="DQ252" s="170"/>
      <c r="DR252" s="170"/>
      <c r="DS252" s="169"/>
      <c r="DT252" s="170"/>
      <c r="DU252" s="170"/>
      <c r="DV252" s="170"/>
      <c r="DW252" s="170"/>
      <c r="DX252" s="169"/>
      <c r="DY252" s="170"/>
      <c r="DZ252" s="170"/>
      <c r="EA252" s="170"/>
      <c r="EB252" s="170"/>
      <c r="EC252" s="169"/>
      <c r="ED252" s="170"/>
      <c r="EE252" s="170"/>
      <c r="EF252" s="170"/>
      <c r="EG252" s="170"/>
      <c r="EH252" s="169"/>
      <c r="EI252" s="170"/>
      <c r="EJ252" s="170"/>
      <c r="EK252" s="170"/>
      <c r="EL252" s="170"/>
      <c r="EM252" s="169"/>
      <c r="EN252" s="170"/>
      <c r="EO252" s="170"/>
      <c r="EP252" s="170"/>
      <c r="EQ252" s="170"/>
      <c r="ER252" s="169"/>
      <c r="ES252" s="170"/>
      <c r="ET252" s="170"/>
      <c r="EU252" s="170"/>
      <c r="EV252" s="170"/>
      <c r="EW252" s="169"/>
      <c r="EX252" s="170"/>
      <c r="EY252" s="170"/>
      <c r="EZ252" s="170"/>
      <c r="FA252" s="170"/>
      <c r="FB252" s="169"/>
      <c r="FC252" s="170"/>
      <c r="FD252" s="170"/>
      <c r="FE252" s="170"/>
      <c r="FF252" s="170"/>
      <c r="FG252" s="169"/>
      <c r="FH252" s="170"/>
      <c r="FI252" s="170"/>
      <c r="FJ252" s="170"/>
      <c r="FK252" s="170"/>
      <c r="FL252" s="169"/>
      <c r="FM252" s="170"/>
      <c r="FN252" s="170"/>
      <c r="FO252" s="170"/>
      <c r="FP252" s="170"/>
      <c r="FQ252" s="169"/>
      <c r="FR252" s="170"/>
      <c r="FS252" s="170"/>
      <c r="FT252" s="170"/>
      <c r="FU252" s="170"/>
      <c r="FV252" s="169"/>
      <c r="FW252" s="170"/>
      <c r="FX252" s="170"/>
      <c r="FY252" s="170"/>
      <c r="FZ252" s="170"/>
      <c r="GA252" s="169"/>
      <c r="GB252" s="170"/>
      <c r="GC252" s="170"/>
      <c r="GD252" s="170"/>
      <c r="GE252" s="170"/>
    </row>
    <row r="253" spans="3:187" ht="12.75" customHeight="1">
      <c r="C253" s="171"/>
      <c r="D253" s="171"/>
      <c r="E253" s="171"/>
      <c r="F253" s="171"/>
      <c r="G253" s="171"/>
      <c r="H253" s="171"/>
      <c r="I253" s="171"/>
      <c r="J253" s="171"/>
      <c r="K253" s="171"/>
      <c r="L253" s="171"/>
      <c r="M253" s="171"/>
      <c r="N253" s="171"/>
      <c r="O253" s="171"/>
      <c r="P253" s="171"/>
      <c r="Q253" s="171"/>
      <c r="R253" s="171"/>
      <c r="S253" s="171"/>
      <c r="T253" s="171"/>
      <c r="U253" s="171"/>
      <c r="V253" s="171"/>
      <c r="W253" s="171"/>
      <c r="X253" s="171"/>
      <c r="Y253" s="171"/>
      <c r="Z253" s="171"/>
      <c r="AA253" s="171"/>
      <c r="AB253" s="171"/>
      <c r="AC253" s="171"/>
      <c r="AD253" s="171"/>
      <c r="AE253" s="171"/>
      <c r="AF253" s="171"/>
      <c r="AG253" s="171"/>
      <c r="AH253" s="171"/>
      <c r="AI253" s="171"/>
      <c r="AJ253" s="171"/>
      <c r="AK253" s="171"/>
      <c r="AL253" s="171"/>
      <c r="AM253" s="171"/>
      <c r="AN253" s="171"/>
      <c r="AO253" s="171"/>
      <c r="AP253" s="171"/>
      <c r="AQ253" s="171"/>
      <c r="AR253" s="171"/>
      <c r="AS253" s="171"/>
      <c r="AT253" s="171"/>
      <c r="AU253" s="171"/>
      <c r="AV253" s="171"/>
      <c r="AW253" s="171"/>
      <c r="AX253" s="171"/>
      <c r="AY253" s="171"/>
      <c r="AZ253" s="171"/>
      <c r="BA253" s="171"/>
      <c r="BB253" s="171"/>
      <c r="BC253" s="171"/>
      <c r="BD253" s="171"/>
      <c r="BE253" s="171"/>
      <c r="BF253" s="171"/>
      <c r="BG253" s="171"/>
      <c r="BH253" s="171"/>
      <c r="BI253" s="171"/>
      <c r="BJ253" s="171"/>
      <c r="BK253" s="171"/>
      <c r="BL253" s="171"/>
      <c r="BM253" s="171"/>
      <c r="BN253" s="171"/>
      <c r="BO253" s="171"/>
      <c r="BP253" s="171"/>
      <c r="BQ253" s="171"/>
      <c r="BR253" s="171"/>
      <c r="BS253" s="171"/>
      <c r="BT253" s="171"/>
      <c r="BU253" s="171"/>
      <c r="BV253" s="171"/>
      <c r="BW253" s="171"/>
      <c r="BX253" s="171"/>
      <c r="BY253" s="171"/>
      <c r="BZ253" s="171"/>
      <c r="CA253" s="171"/>
      <c r="CB253" s="171"/>
      <c r="CC253" s="171"/>
      <c r="CD253" s="171"/>
      <c r="CE253" s="171"/>
      <c r="CF253" s="171"/>
      <c r="CG253" s="171"/>
      <c r="CH253" s="171"/>
      <c r="CI253" s="171"/>
      <c r="CJ253" s="171"/>
      <c r="CK253" s="171"/>
      <c r="CL253" s="171"/>
      <c r="CM253" s="171"/>
      <c r="CN253" s="171"/>
      <c r="CO253" s="171"/>
      <c r="CP253" s="171"/>
      <c r="CQ253" s="171"/>
      <c r="CR253" s="171"/>
      <c r="CS253" s="171"/>
      <c r="CT253" s="171"/>
      <c r="CU253" s="171"/>
      <c r="CV253" s="171"/>
      <c r="CW253" s="171"/>
      <c r="CX253" s="171"/>
      <c r="CY253" s="171"/>
      <c r="CZ253" s="171"/>
      <c r="DA253" s="171"/>
      <c r="DB253" s="171"/>
      <c r="DC253" s="171"/>
      <c r="DD253" s="171"/>
      <c r="DE253" s="171"/>
      <c r="DF253" s="171"/>
      <c r="DG253" s="171"/>
      <c r="DH253" s="171"/>
      <c r="DI253" s="171"/>
      <c r="DJ253" s="171"/>
      <c r="DK253" s="171"/>
      <c r="DL253" s="171"/>
      <c r="DM253" s="171"/>
      <c r="DN253" s="171"/>
      <c r="DO253" s="171"/>
      <c r="DP253" s="171"/>
      <c r="DQ253" s="171"/>
      <c r="DR253" s="171"/>
      <c r="DS253" s="171"/>
      <c r="DT253" s="171"/>
      <c r="DU253" s="171"/>
      <c r="DV253" s="171"/>
      <c r="DW253" s="171"/>
      <c r="DX253" s="171"/>
      <c r="DY253" s="171"/>
      <c r="DZ253" s="171"/>
      <c r="EA253" s="171"/>
      <c r="EB253" s="171"/>
      <c r="EC253" s="171"/>
      <c r="ED253" s="171"/>
      <c r="EE253" s="171"/>
      <c r="EF253" s="171"/>
      <c r="EG253" s="171"/>
      <c r="EH253" s="171"/>
      <c r="EI253" s="171"/>
      <c r="EJ253" s="171"/>
      <c r="EK253" s="171"/>
      <c r="EL253" s="171"/>
      <c r="EM253" s="171"/>
      <c r="EN253" s="171"/>
      <c r="EO253" s="171"/>
      <c r="EP253" s="171"/>
      <c r="EQ253" s="171"/>
      <c r="ER253" s="171"/>
      <c r="ES253" s="171"/>
      <c r="ET253" s="171"/>
      <c r="EU253" s="171"/>
      <c r="EV253" s="171"/>
      <c r="EW253" s="171"/>
      <c r="EX253" s="171"/>
      <c r="EY253" s="171"/>
      <c r="EZ253" s="171"/>
      <c r="FA253" s="171"/>
      <c r="FB253" s="171"/>
      <c r="FC253" s="171"/>
      <c r="FD253" s="171"/>
      <c r="FE253" s="171"/>
      <c r="FF253" s="171"/>
      <c r="FG253" s="171"/>
      <c r="FH253" s="171"/>
      <c r="FI253" s="171"/>
      <c r="FJ253" s="171"/>
      <c r="FK253" s="171"/>
      <c r="FL253" s="171"/>
      <c r="FM253" s="171"/>
      <c r="FN253" s="171"/>
      <c r="FO253" s="171"/>
      <c r="FP253" s="171"/>
      <c r="FQ253" s="171"/>
      <c r="FR253" s="171"/>
      <c r="FS253" s="171"/>
      <c r="FT253" s="171"/>
      <c r="FU253" s="171"/>
      <c r="FV253" s="171"/>
      <c r="FW253" s="171"/>
      <c r="FX253" s="171"/>
      <c r="FY253" s="171"/>
      <c r="FZ253" s="171"/>
      <c r="GA253" s="171"/>
      <c r="GB253" s="171"/>
      <c r="GC253" s="171"/>
      <c r="GD253" s="171"/>
      <c r="GE253" s="171"/>
    </row>
    <row r="254" spans="3:187" ht="12.75" customHeight="1">
      <c r="D254" s="172"/>
      <c r="E254" s="172"/>
      <c r="F254" s="172"/>
      <c r="G254" s="172"/>
      <c r="I254" s="172"/>
      <c r="J254" s="172"/>
      <c r="K254" s="172"/>
      <c r="L254" s="172"/>
      <c r="N254" s="172"/>
      <c r="O254" s="172"/>
      <c r="P254" s="172"/>
      <c r="Q254" s="172"/>
      <c r="S254" s="172"/>
      <c r="T254" s="172"/>
      <c r="U254" s="172"/>
      <c r="V254" s="172"/>
      <c r="X254" s="172"/>
      <c r="Y254" s="172"/>
      <c r="Z254" s="172"/>
      <c r="AA254" s="172"/>
      <c r="AC254" s="172"/>
      <c r="AD254" s="172"/>
      <c r="AE254" s="172"/>
      <c r="AF254" s="172"/>
      <c r="AH254" s="172"/>
      <c r="AI254" s="172"/>
      <c r="AJ254" s="172"/>
      <c r="AK254" s="172"/>
      <c r="AM254" s="172"/>
      <c r="AN254" s="172"/>
      <c r="AO254" s="172"/>
      <c r="AP254" s="172"/>
      <c r="AR254" s="172"/>
      <c r="AS254" s="172"/>
      <c r="AT254" s="172"/>
      <c r="AU254" s="172"/>
      <c r="AW254" s="172"/>
      <c r="AX254" s="172"/>
      <c r="AY254" s="172"/>
      <c r="AZ254" s="172"/>
      <c r="BB254" s="172"/>
      <c r="BC254" s="172"/>
      <c r="BD254" s="172"/>
      <c r="BE254" s="172"/>
      <c r="BG254" s="172"/>
      <c r="BH254" s="172"/>
      <c r="BI254" s="172"/>
      <c r="BJ254" s="172"/>
      <c r="BL254" s="172"/>
      <c r="BM254" s="172"/>
      <c r="BN254" s="172"/>
      <c r="BO254" s="172"/>
      <c r="BQ254" s="172"/>
      <c r="BR254" s="172"/>
      <c r="BS254" s="172"/>
      <c r="BT254" s="172"/>
      <c r="BV254" s="172"/>
      <c r="BW254" s="172"/>
      <c r="BX254" s="172"/>
      <c r="BY254" s="172"/>
      <c r="CA254" s="172"/>
      <c r="CB254" s="172"/>
      <c r="CC254" s="172"/>
      <c r="CD254" s="172"/>
      <c r="CF254" s="172"/>
      <c r="CG254" s="172"/>
      <c r="CH254" s="172"/>
      <c r="CI254" s="172"/>
      <c r="CK254" s="172"/>
      <c r="CL254" s="172"/>
      <c r="CM254" s="172"/>
      <c r="CN254" s="172"/>
      <c r="CP254" s="172"/>
      <c r="CQ254" s="172"/>
      <c r="CR254" s="172"/>
      <c r="CS254" s="172"/>
      <c r="CU254" s="172"/>
      <c r="CV254" s="172"/>
      <c r="CW254" s="172"/>
      <c r="CX254" s="172"/>
      <c r="CZ254" s="172"/>
      <c r="DA254" s="172"/>
      <c r="DB254" s="172"/>
      <c r="DC254" s="172"/>
      <c r="DE254" s="172"/>
      <c r="DF254" s="172"/>
      <c r="DG254" s="172"/>
      <c r="DH254" s="172"/>
      <c r="DJ254" s="172"/>
      <c r="DK254" s="172"/>
      <c r="DL254" s="172"/>
      <c r="DM254" s="172"/>
      <c r="DO254" s="172"/>
      <c r="DP254" s="172"/>
      <c r="DQ254" s="172"/>
      <c r="DR254" s="172"/>
      <c r="DT254" s="172"/>
      <c r="DU254" s="172"/>
      <c r="DV254" s="172"/>
      <c r="DW254" s="172"/>
      <c r="DY254" s="172"/>
      <c r="DZ254" s="172"/>
      <c r="EA254" s="172"/>
      <c r="EB254" s="172"/>
      <c r="ED254" s="172"/>
      <c r="EE254" s="172"/>
      <c r="EF254" s="172"/>
      <c r="EG254" s="172"/>
      <c r="EI254" s="172"/>
      <c r="EJ254" s="172"/>
      <c r="EK254" s="172"/>
      <c r="EL254" s="172"/>
      <c r="EN254" s="172"/>
      <c r="EO254" s="172"/>
      <c r="EP254" s="172"/>
      <c r="EQ254" s="172"/>
      <c r="ES254" s="172"/>
      <c r="ET254" s="172"/>
      <c r="EU254" s="172"/>
      <c r="EV254" s="172"/>
      <c r="EX254" s="172"/>
      <c r="EY254" s="172"/>
      <c r="EZ254" s="172"/>
      <c r="FA254" s="172"/>
      <c r="FC254" s="172"/>
      <c r="FD254" s="172"/>
      <c r="FE254" s="172"/>
      <c r="FF254" s="172"/>
      <c r="FH254" s="172"/>
      <c r="FI254" s="172"/>
      <c r="FJ254" s="172"/>
      <c r="FK254" s="172"/>
      <c r="FM254" s="172"/>
      <c r="FN254" s="172"/>
      <c r="FO254" s="172"/>
      <c r="FP254" s="172"/>
      <c r="FR254" s="172"/>
      <c r="FS254" s="172"/>
      <c r="FT254" s="172"/>
      <c r="FU254" s="172"/>
      <c r="FW254" s="172"/>
      <c r="FX254" s="172"/>
      <c r="FY254" s="172"/>
      <c r="FZ254" s="172"/>
      <c r="GB254" s="172"/>
      <c r="GC254" s="172"/>
      <c r="GD254" s="172"/>
      <c r="GE254" s="172"/>
    </row>
    <row r="255" spans="3:187" ht="12.75" customHeight="1">
      <c r="C255" s="158"/>
      <c r="D255" s="153"/>
      <c r="E255" s="153"/>
      <c r="F255" s="153"/>
      <c r="G255" s="153"/>
      <c r="H255" s="158"/>
      <c r="I255" s="153"/>
      <c r="J255" s="153"/>
      <c r="K255" s="153"/>
      <c r="L255" s="153"/>
      <c r="M255" s="158"/>
      <c r="N255" s="153"/>
      <c r="O255" s="153"/>
      <c r="P255" s="153"/>
      <c r="Q255" s="153"/>
      <c r="R255" s="158"/>
      <c r="S255" s="153"/>
      <c r="T255" s="153"/>
      <c r="U255" s="153"/>
      <c r="V255" s="153"/>
      <c r="W255" s="158"/>
      <c r="X255" s="153"/>
      <c r="Y255" s="153"/>
      <c r="Z255" s="153"/>
      <c r="AA255" s="153"/>
      <c r="AB255" s="158"/>
      <c r="AC255" s="153"/>
      <c r="AD255" s="153"/>
      <c r="AE255" s="153"/>
      <c r="AF255" s="153"/>
      <c r="AG255" s="158"/>
      <c r="AH255" s="153"/>
      <c r="AI255" s="153"/>
      <c r="AJ255" s="153"/>
      <c r="AK255" s="153"/>
      <c r="AL255" s="158"/>
      <c r="AM255" s="153"/>
      <c r="AN255" s="153"/>
      <c r="AO255" s="153"/>
      <c r="AP255" s="153"/>
      <c r="AQ255" s="158"/>
      <c r="AR255" s="153"/>
      <c r="AS255" s="153"/>
      <c r="AT255" s="153"/>
      <c r="AU255" s="153"/>
      <c r="AV255" s="158"/>
      <c r="AW255" s="153"/>
      <c r="AX255" s="153"/>
      <c r="AY255" s="153"/>
      <c r="AZ255" s="153"/>
      <c r="BA255" s="158"/>
      <c r="BB255" s="153"/>
      <c r="BC255" s="153"/>
      <c r="BD255" s="153"/>
      <c r="BE255" s="153"/>
      <c r="BF255" s="158"/>
      <c r="BG255" s="153"/>
      <c r="BH255" s="153"/>
      <c r="BI255" s="153"/>
      <c r="BJ255" s="153"/>
      <c r="BK255" s="158"/>
      <c r="BL255" s="153"/>
      <c r="BM255" s="153"/>
      <c r="BN255" s="153"/>
      <c r="BO255" s="153"/>
      <c r="BP255" s="158"/>
      <c r="BQ255" s="153"/>
      <c r="BR255" s="153"/>
      <c r="BS255" s="153"/>
      <c r="BT255" s="153"/>
      <c r="BU255" s="158"/>
      <c r="BV255" s="153"/>
      <c r="BW255" s="153"/>
      <c r="BX255" s="153"/>
      <c r="BY255" s="153"/>
      <c r="BZ255" s="158"/>
      <c r="CA255" s="153"/>
      <c r="CB255" s="153"/>
      <c r="CC255" s="153"/>
      <c r="CD255" s="153"/>
      <c r="CE255" s="158"/>
      <c r="CF255" s="153"/>
      <c r="CG255" s="153"/>
      <c r="CH255" s="153"/>
      <c r="CI255" s="153"/>
      <c r="CJ255" s="158"/>
      <c r="CK255" s="153"/>
      <c r="CL255" s="153"/>
      <c r="CM255" s="153"/>
      <c r="CN255" s="153"/>
      <c r="CO255" s="158"/>
      <c r="CP255" s="153"/>
      <c r="CQ255" s="153"/>
      <c r="CR255" s="153"/>
      <c r="CS255" s="153"/>
      <c r="CT255" s="158"/>
      <c r="CU255" s="153"/>
      <c r="CV255" s="153"/>
      <c r="CW255" s="153"/>
      <c r="CX255" s="153"/>
      <c r="CY255" s="158"/>
      <c r="CZ255" s="153"/>
      <c r="DA255" s="153"/>
      <c r="DB255" s="153"/>
      <c r="DC255" s="153"/>
      <c r="DD255" s="158"/>
      <c r="DE255" s="153"/>
      <c r="DF255" s="153"/>
      <c r="DG255" s="153"/>
      <c r="DH255" s="153"/>
      <c r="DI255" s="158"/>
      <c r="DJ255" s="153"/>
      <c r="DK255" s="153"/>
      <c r="DL255" s="153"/>
      <c r="DM255" s="153"/>
      <c r="DN255" s="158"/>
      <c r="DO255" s="153"/>
      <c r="DP255" s="153"/>
      <c r="DQ255" s="153"/>
      <c r="DR255" s="153"/>
      <c r="DS255" s="158"/>
      <c r="DT255" s="153"/>
      <c r="DU255" s="153"/>
      <c r="DV255" s="153"/>
      <c r="DW255" s="153"/>
      <c r="DX255" s="158"/>
      <c r="DY255" s="153"/>
      <c r="DZ255" s="153"/>
      <c r="EA255" s="153"/>
      <c r="EB255" s="153"/>
      <c r="EC255" s="158"/>
      <c r="ED255" s="153"/>
      <c r="EE255" s="153"/>
      <c r="EF255" s="153"/>
      <c r="EG255" s="153"/>
      <c r="EH255" s="158"/>
      <c r="EI255" s="153"/>
      <c r="EJ255" s="153"/>
      <c r="EK255" s="153"/>
      <c r="EL255" s="153"/>
      <c r="EM255" s="158"/>
      <c r="EN255" s="153"/>
      <c r="EO255" s="153"/>
      <c r="EP255" s="153"/>
      <c r="EQ255" s="153"/>
      <c r="ER255" s="158"/>
      <c r="ES255" s="153"/>
      <c r="ET255" s="153"/>
      <c r="EU255" s="153"/>
      <c r="EV255" s="153"/>
      <c r="EW255" s="158"/>
      <c r="EX255" s="153"/>
      <c r="EY255" s="153"/>
      <c r="EZ255" s="153"/>
      <c r="FA255" s="153"/>
      <c r="FB255" s="158"/>
      <c r="FC255" s="153"/>
      <c r="FD255" s="153"/>
      <c r="FE255" s="153"/>
      <c r="FF255" s="153"/>
      <c r="FG255" s="158"/>
      <c r="FH255" s="153"/>
      <c r="FI255" s="153"/>
      <c r="FJ255" s="153"/>
      <c r="FK255" s="153"/>
      <c r="FL255" s="158"/>
      <c r="FM255" s="153"/>
      <c r="FN255" s="153"/>
      <c r="FO255" s="153"/>
      <c r="FP255" s="153"/>
      <c r="FQ255" s="158"/>
      <c r="FR255" s="153"/>
      <c r="FS255" s="153"/>
      <c r="FT255" s="153"/>
      <c r="FU255" s="153"/>
      <c r="FV255" s="158"/>
      <c r="FW255" s="153"/>
      <c r="FX255" s="153"/>
      <c r="FY255" s="153"/>
      <c r="FZ255" s="153"/>
      <c r="GA255" s="158"/>
      <c r="GB255" s="153"/>
      <c r="GC255" s="153"/>
      <c r="GD255" s="153"/>
      <c r="GE255" s="153"/>
    </row>
    <row r="256" spans="3:187" ht="12.75" customHeight="1">
      <c r="C256" s="158"/>
      <c r="D256" s="153"/>
      <c r="E256" s="153"/>
      <c r="F256" s="153"/>
      <c r="G256" s="153"/>
      <c r="H256" s="158"/>
      <c r="I256" s="153"/>
      <c r="J256" s="153"/>
      <c r="K256" s="153"/>
      <c r="L256" s="153"/>
      <c r="M256" s="158"/>
      <c r="N256" s="153"/>
      <c r="O256" s="153"/>
      <c r="P256" s="153"/>
      <c r="Q256" s="153"/>
      <c r="R256" s="158"/>
      <c r="S256" s="153"/>
      <c r="T256" s="153"/>
      <c r="U256" s="153"/>
      <c r="V256" s="153"/>
      <c r="W256" s="158"/>
      <c r="X256" s="153"/>
      <c r="Y256" s="153"/>
      <c r="Z256" s="153"/>
      <c r="AA256" s="153"/>
      <c r="AB256" s="158"/>
      <c r="AC256" s="153"/>
      <c r="AD256" s="153"/>
      <c r="AE256" s="153"/>
      <c r="AF256" s="153"/>
      <c r="AG256" s="158"/>
      <c r="AH256" s="153"/>
      <c r="AI256" s="153"/>
      <c r="AJ256" s="153"/>
      <c r="AK256" s="153"/>
      <c r="AL256" s="158"/>
      <c r="AM256" s="153"/>
      <c r="AN256" s="153"/>
      <c r="AO256" s="153"/>
      <c r="AP256" s="153"/>
      <c r="AQ256" s="158"/>
      <c r="AR256" s="153"/>
      <c r="AS256" s="153"/>
      <c r="AT256" s="153"/>
      <c r="AU256" s="153"/>
      <c r="AV256" s="158"/>
      <c r="AW256" s="153"/>
      <c r="AX256" s="153"/>
      <c r="AY256" s="153"/>
      <c r="AZ256" s="153"/>
      <c r="BA256" s="158"/>
      <c r="BB256" s="153"/>
      <c r="BC256" s="153"/>
      <c r="BD256" s="153"/>
      <c r="BE256" s="153"/>
      <c r="BF256" s="158"/>
      <c r="BG256" s="153"/>
      <c r="BH256" s="153"/>
      <c r="BI256" s="153"/>
      <c r="BJ256" s="153"/>
      <c r="BK256" s="158"/>
      <c r="BL256" s="153"/>
      <c r="BM256" s="153"/>
      <c r="BN256" s="153"/>
      <c r="BO256" s="153"/>
      <c r="BP256" s="158"/>
      <c r="BQ256" s="153"/>
      <c r="BR256" s="153"/>
      <c r="BS256" s="153"/>
      <c r="BT256" s="153"/>
      <c r="BU256" s="158"/>
      <c r="BV256" s="153"/>
      <c r="BW256" s="153"/>
      <c r="BX256" s="153"/>
      <c r="BY256" s="153"/>
      <c r="BZ256" s="158"/>
      <c r="CA256" s="153"/>
      <c r="CB256" s="153"/>
      <c r="CC256" s="153"/>
      <c r="CD256" s="153"/>
      <c r="CE256" s="158"/>
      <c r="CF256" s="153"/>
      <c r="CG256" s="153"/>
      <c r="CH256" s="153"/>
      <c r="CI256" s="153"/>
      <c r="CJ256" s="158"/>
      <c r="CK256" s="153"/>
      <c r="CL256" s="153"/>
      <c r="CM256" s="153"/>
      <c r="CN256" s="153"/>
      <c r="CO256" s="158"/>
      <c r="CP256" s="153"/>
      <c r="CQ256" s="153"/>
      <c r="CR256" s="153"/>
      <c r="CS256" s="153"/>
      <c r="CT256" s="158"/>
      <c r="CU256" s="153"/>
      <c r="CV256" s="153"/>
      <c r="CW256" s="153"/>
      <c r="CX256" s="153"/>
      <c r="CY256" s="158"/>
      <c r="CZ256" s="153"/>
      <c r="DA256" s="153"/>
      <c r="DB256" s="153"/>
      <c r="DC256" s="153"/>
      <c r="DD256" s="158"/>
      <c r="DE256" s="153"/>
      <c r="DF256" s="153"/>
      <c r="DG256" s="153"/>
      <c r="DH256" s="153"/>
      <c r="DI256" s="158"/>
      <c r="DJ256" s="153"/>
      <c r="DK256" s="153"/>
      <c r="DL256" s="153"/>
      <c r="DM256" s="153"/>
      <c r="DN256" s="158"/>
      <c r="DO256" s="153"/>
      <c r="DP256" s="153"/>
      <c r="DQ256" s="153"/>
      <c r="DR256" s="153"/>
      <c r="DS256" s="158"/>
      <c r="DT256" s="153"/>
      <c r="DU256" s="153"/>
      <c r="DV256" s="153"/>
      <c r="DW256" s="153"/>
      <c r="DX256" s="158"/>
      <c r="DY256" s="153"/>
      <c r="DZ256" s="153"/>
      <c r="EA256" s="153"/>
      <c r="EB256" s="153"/>
      <c r="EC256" s="158"/>
      <c r="ED256" s="153"/>
      <c r="EE256" s="153"/>
      <c r="EF256" s="153"/>
      <c r="EG256" s="153"/>
      <c r="EH256" s="158"/>
      <c r="EI256" s="153"/>
      <c r="EJ256" s="153"/>
      <c r="EK256" s="153"/>
      <c r="EL256" s="153"/>
      <c r="EM256" s="158"/>
      <c r="EN256" s="153"/>
      <c r="EO256" s="153"/>
      <c r="EP256" s="153"/>
      <c r="EQ256" s="153"/>
      <c r="ER256" s="158"/>
      <c r="ES256" s="153"/>
      <c r="ET256" s="153"/>
      <c r="EU256" s="153"/>
      <c r="EV256" s="153"/>
      <c r="EW256" s="158"/>
      <c r="EX256" s="153"/>
      <c r="EY256" s="153"/>
      <c r="EZ256" s="153"/>
      <c r="FA256" s="153"/>
      <c r="FB256" s="158"/>
      <c r="FC256" s="153"/>
      <c r="FD256" s="153"/>
      <c r="FE256" s="153"/>
      <c r="FF256" s="153"/>
      <c r="FG256" s="158"/>
      <c r="FH256" s="153"/>
      <c r="FI256" s="153"/>
      <c r="FJ256" s="153"/>
      <c r="FK256" s="153"/>
      <c r="FL256" s="158"/>
      <c r="FM256" s="153"/>
      <c r="FN256" s="153"/>
      <c r="FO256" s="153"/>
      <c r="FP256" s="153"/>
      <c r="FQ256" s="158"/>
      <c r="FR256" s="153"/>
      <c r="FS256" s="153"/>
      <c r="FT256" s="153"/>
      <c r="FU256" s="153"/>
      <c r="FV256" s="158"/>
      <c r="FW256" s="153"/>
      <c r="FX256" s="153"/>
      <c r="FY256" s="153"/>
      <c r="FZ256" s="153"/>
      <c r="GA256" s="158"/>
      <c r="GB256" s="153"/>
      <c r="GC256" s="153"/>
      <c r="GD256" s="153"/>
      <c r="GE256" s="153"/>
    </row>
    <row r="257" spans="3:187" ht="12.75" customHeight="1">
      <c r="C257" s="158"/>
      <c r="D257" s="153"/>
      <c r="E257" s="153"/>
      <c r="F257" s="153"/>
      <c r="G257" s="153"/>
      <c r="H257" s="158"/>
      <c r="I257" s="153"/>
      <c r="J257" s="153"/>
      <c r="K257" s="153"/>
      <c r="L257" s="153"/>
      <c r="M257" s="158"/>
      <c r="N257" s="153"/>
      <c r="O257" s="153"/>
      <c r="P257" s="153"/>
      <c r="Q257" s="153"/>
      <c r="R257" s="158"/>
      <c r="S257" s="153"/>
      <c r="T257" s="153"/>
      <c r="U257" s="153"/>
      <c r="V257" s="153"/>
      <c r="W257" s="158"/>
      <c r="X257" s="153"/>
      <c r="Y257" s="153"/>
      <c r="Z257" s="153"/>
      <c r="AA257" s="153"/>
      <c r="AB257" s="158"/>
      <c r="AC257" s="153"/>
      <c r="AD257" s="153"/>
      <c r="AE257" s="153"/>
      <c r="AF257" s="153"/>
      <c r="AG257" s="158"/>
      <c r="AH257" s="153"/>
      <c r="AI257" s="153"/>
      <c r="AJ257" s="153"/>
      <c r="AK257" s="153"/>
      <c r="AL257" s="158"/>
      <c r="AM257" s="153"/>
      <c r="AN257" s="153"/>
      <c r="AO257" s="153"/>
      <c r="AP257" s="153"/>
      <c r="AQ257" s="158"/>
      <c r="AR257" s="153"/>
      <c r="AS257" s="153"/>
      <c r="AT257" s="153"/>
      <c r="AU257" s="153"/>
      <c r="AV257" s="158"/>
      <c r="AW257" s="153"/>
      <c r="AX257" s="153"/>
      <c r="AY257" s="153"/>
      <c r="AZ257" s="153"/>
      <c r="BA257" s="158"/>
      <c r="BB257" s="153"/>
      <c r="BC257" s="153"/>
      <c r="BD257" s="153"/>
      <c r="BE257" s="153"/>
      <c r="BF257" s="158"/>
      <c r="BG257" s="153"/>
      <c r="BH257" s="153"/>
      <c r="BI257" s="153"/>
      <c r="BJ257" s="153"/>
      <c r="BK257" s="158"/>
      <c r="BL257" s="153"/>
      <c r="BM257" s="153"/>
      <c r="BN257" s="153"/>
      <c r="BO257" s="153"/>
      <c r="BP257" s="158"/>
      <c r="BQ257" s="153"/>
      <c r="BR257" s="153"/>
      <c r="BS257" s="153"/>
      <c r="BT257" s="153"/>
      <c r="BU257" s="158"/>
      <c r="BV257" s="153"/>
      <c r="BW257" s="153"/>
      <c r="BX257" s="153"/>
      <c r="BY257" s="153"/>
      <c r="BZ257" s="158"/>
      <c r="CA257" s="153"/>
      <c r="CB257" s="153"/>
      <c r="CC257" s="153"/>
      <c r="CD257" s="153"/>
      <c r="CE257" s="158"/>
      <c r="CF257" s="153"/>
      <c r="CG257" s="153"/>
      <c r="CH257" s="153"/>
      <c r="CI257" s="153"/>
      <c r="CJ257" s="158"/>
      <c r="CK257" s="153"/>
      <c r="CL257" s="153"/>
      <c r="CM257" s="153"/>
      <c r="CN257" s="153"/>
      <c r="CO257" s="158"/>
      <c r="CP257" s="153"/>
      <c r="CQ257" s="153"/>
      <c r="CR257" s="153"/>
      <c r="CS257" s="153"/>
      <c r="CT257" s="158"/>
      <c r="CU257" s="153"/>
      <c r="CV257" s="153"/>
      <c r="CW257" s="153"/>
      <c r="CX257" s="153"/>
      <c r="CY257" s="158"/>
      <c r="CZ257" s="153"/>
      <c r="DA257" s="153"/>
      <c r="DB257" s="153"/>
      <c r="DC257" s="153"/>
      <c r="DD257" s="158"/>
      <c r="DE257" s="153"/>
      <c r="DF257" s="153"/>
      <c r="DG257" s="153"/>
      <c r="DH257" s="153"/>
      <c r="DI257" s="158"/>
      <c r="DJ257" s="153"/>
      <c r="DK257" s="153"/>
      <c r="DL257" s="153"/>
      <c r="DM257" s="153"/>
      <c r="DN257" s="158"/>
      <c r="DO257" s="153"/>
      <c r="DP257" s="153"/>
      <c r="DQ257" s="153"/>
      <c r="DR257" s="153"/>
      <c r="DS257" s="158"/>
      <c r="DT257" s="153"/>
      <c r="DU257" s="153"/>
      <c r="DV257" s="153"/>
      <c r="DW257" s="153"/>
      <c r="DX257" s="158"/>
      <c r="DY257" s="153"/>
      <c r="DZ257" s="153"/>
      <c r="EA257" s="153"/>
      <c r="EB257" s="153"/>
      <c r="EC257" s="158"/>
      <c r="ED257" s="153"/>
      <c r="EE257" s="153"/>
      <c r="EF257" s="153"/>
      <c r="EG257" s="153"/>
      <c r="EH257" s="158"/>
      <c r="EI257" s="153"/>
      <c r="EJ257" s="153"/>
      <c r="EK257" s="153"/>
      <c r="EL257" s="153"/>
      <c r="EM257" s="158"/>
      <c r="EN257" s="153"/>
      <c r="EO257" s="153"/>
      <c r="EP257" s="153"/>
      <c r="EQ257" s="153"/>
      <c r="ER257" s="158"/>
      <c r="ES257" s="153"/>
      <c r="ET257" s="153"/>
      <c r="EU257" s="153"/>
      <c r="EV257" s="153"/>
      <c r="EW257" s="158"/>
      <c r="EX257" s="153"/>
      <c r="EY257" s="153"/>
      <c r="EZ257" s="153"/>
      <c r="FA257" s="153"/>
      <c r="FB257" s="158"/>
      <c r="FC257" s="153"/>
      <c r="FD257" s="153"/>
      <c r="FE257" s="153"/>
      <c r="FF257" s="153"/>
      <c r="FG257" s="158"/>
      <c r="FH257" s="153"/>
      <c r="FI257" s="153"/>
      <c r="FJ257" s="153"/>
      <c r="FK257" s="153"/>
      <c r="FL257" s="158"/>
      <c r="FM257" s="153"/>
      <c r="FN257" s="153"/>
      <c r="FO257" s="153"/>
      <c r="FP257" s="153"/>
      <c r="FQ257" s="158"/>
      <c r="FR257" s="153"/>
      <c r="FS257" s="153"/>
      <c r="FT257" s="153"/>
      <c r="FU257" s="153"/>
      <c r="FV257" s="158"/>
      <c r="FW257" s="153"/>
      <c r="FX257" s="153"/>
      <c r="FY257" s="153"/>
      <c r="FZ257" s="153"/>
      <c r="GA257" s="158"/>
      <c r="GB257" s="153"/>
      <c r="GC257" s="153"/>
      <c r="GD257" s="153"/>
      <c r="GE257" s="153"/>
    </row>
    <row r="258" spans="3:187" ht="12.75" customHeight="1">
      <c r="C258" s="158"/>
      <c r="D258" s="153"/>
      <c r="E258" s="153"/>
      <c r="F258" s="153"/>
      <c r="G258" s="153"/>
      <c r="H258" s="158"/>
      <c r="I258" s="153"/>
      <c r="J258" s="153"/>
      <c r="K258" s="153"/>
      <c r="L258" s="153"/>
      <c r="M258" s="158"/>
      <c r="N258" s="153"/>
      <c r="O258" s="153"/>
      <c r="P258" s="153"/>
      <c r="Q258" s="153"/>
      <c r="R258" s="158"/>
      <c r="S258" s="153"/>
      <c r="T258" s="153"/>
      <c r="U258" s="153"/>
      <c r="V258" s="153"/>
      <c r="W258" s="158"/>
      <c r="X258" s="153"/>
      <c r="Y258" s="153"/>
      <c r="Z258" s="153"/>
      <c r="AA258" s="153"/>
      <c r="AB258" s="158"/>
      <c r="AC258" s="153"/>
      <c r="AD258" s="153"/>
      <c r="AE258" s="153"/>
      <c r="AF258" s="153"/>
      <c r="AG258" s="158"/>
      <c r="AH258" s="153"/>
      <c r="AI258" s="153"/>
      <c r="AJ258" s="153"/>
      <c r="AK258" s="153"/>
      <c r="AL258" s="158"/>
      <c r="AM258" s="153"/>
      <c r="AN258" s="153"/>
      <c r="AO258" s="153"/>
      <c r="AP258" s="153"/>
      <c r="AQ258" s="158"/>
      <c r="AR258" s="153"/>
      <c r="AS258" s="153"/>
      <c r="AT258" s="153"/>
      <c r="AU258" s="153"/>
      <c r="AV258" s="158"/>
      <c r="AW258" s="153"/>
      <c r="AX258" s="153"/>
      <c r="AY258" s="153"/>
      <c r="AZ258" s="153"/>
      <c r="BA258" s="158"/>
      <c r="BB258" s="153"/>
      <c r="BC258" s="153"/>
      <c r="BD258" s="153"/>
      <c r="BE258" s="153"/>
      <c r="BF258" s="158"/>
      <c r="BG258" s="153"/>
      <c r="BH258" s="153"/>
      <c r="BI258" s="153"/>
      <c r="BJ258" s="153"/>
      <c r="BK258" s="158"/>
      <c r="BL258" s="153"/>
      <c r="BM258" s="153"/>
      <c r="BN258" s="153"/>
      <c r="BO258" s="153"/>
      <c r="BP258" s="158"/>
      <c r="BQ258" s="153"/>
      <c r="BR258" s="153"/>
      <c r="BS258" s="153"/>
      <c r="BT258" s="153"/>
      <c r="BU258" s="158"/>
      <c r="BV258" s="153"/>
      <c r="BW258" s="153"/>
      <c r="BX258" s="153"/>
      <c r="BY258" s="153"/>
      <c r="BZ258" s="158"/>
      <c r="CA258" s="153"/>
      <c r="CB258" s="153"/>
      <c r="CC258" s="153"/>
      <c r="CD258" s="153"/>
      <c r="CE258" s="158"/>
      <c r="CF258" s="153"/>
      <c r="CG258" s="153"/>
      <c r="CH258" s="153"/>
      <c r="CI258" s="153"/>
      <c r="CJ258" s="158"/>
      <c r="CK258" s="153"/>
      <c r="CL258" s="153"/>
      <c r="CM258" s="153"/>
      <c r="CN258" s="153"/>
      <c r="CO258" s="158"/>
      <c r="CP258" s="153"/>
      <c r="CQ258" s="153"/>
      <c r="CR258" s="153"/>
      <c r="CS258" s="153"/>
      <c r="CT258" s="158"/>
      <c r="CU258" s="153"/>
      <c r="CV258" s="153"/>
      <c r="CW258" s="153"/>
      <c r="CX258" s="153"/>
      <c r="CY258" s="158"/>
      <c r="CZ258" s="153"/>
      <c r="DA258" s="153"/>
      <c r="DB258" s="153"/>
      <c r="DC258" s="153"/>
      <c r="DD258" s="158"/>
      <c r="DE258" s="153"/>
      <c r="DF258" s="153"/>
      <c r="DG258" s="153"/>
      <c r="DH258" s="153"/>
      <c r="DI258" s="158"/>
      <c r="DJ258" s="153"/>
      <c r="DK258" s="153"/>
      <c r="DL258" s="153"/>
      <c r="DM258" s="153"/>
      <c r="DN258" s="158"/>
      <c r="DO258" s="153"/>
      <c r="DP258" s="153"/>
      <c r="DQ258" s="153"/>
      <c r="DR258" s="153"/>
      <c r="DS258" s="158"/>
      <c r="DT258" s="153"/>
      <c r="DU258" s="153"/>
      <c r="DV258" s="153"/>
      <c r="DW258" s="153"/>
      <c r="DX258" s="158"/>
      <c r="DY258" s="153"/>
      <c r="DZ258" s="153"/>
      <c r="EA258" s="153"/>
      <c r="EB258" s="153"/>
      <c r="EC258" s="158"/>
      <c r="ED258" s="153"/>
      <c r="EE258" s="153"/>
      <c r="EF258" s="153"/>
      <c r="EG258" s="153"/>
      <c r="EH258" s="158"/>
      <c r="EI258" s="153"/>
      <c r="EJ258" s="153"/>
      <c r="EK258" s="153"/>
      <c r="EL258" s="153"/>
      <c r="EM258" s="158"/>
      <c r="EN258" s="153"/>
      <c r="EO258" s="153"/>
      <c r="EP258" s="153"/>
      <c r="EQ258" s="153"/>
      <c r="ER258" s="158"/>
      <c r="ES258" s="153"/>
      <c r="ET258" s="153"/>
      <c r="EU258" s="153"/>
      <c r="EV258" s="153"/>
      <c r="EW258" s="158"/>
      <c r="EX258" s="153"/>
      <c r="EY258" s="153"/>
      <c r="EZ258" s="153"/>
      <c r="FA258" s="153"/>
      <c r="FB258" s="158"/>
      <c r="FC258" s="153"/>
      <c r="FD258" s="153"/>
      <c r="FE258" s="153"/>
      <c r="FF258" s="153"/>
      <c r="FG258" s="158"/>
      <c r="FH258" s="153"/>
      <c r="FI258" s="153"/>
      <c r="FJ258" s="153"/>
      <c r="FK258" s="153"/>
      <c r="FL258" s="158"/>
      <c r="FM258" s="153"/>
      <c r="FN258" s="153"/>
      <c r="FO258" s="153"/>
      <c r="FP258" s="153"/>
      <c r="FQ258" s="158"/>
      <c r="FR258" s="153"/>
      <c r="FS258" s="153"/>
      <c r="FT258" s="153"/>
      <c r="FU258" s="153"/>
      <c r="FV258" s="158"/>
      <c r="FW258" s="153"/>
      <c r="FX258" s="153"/>
      <c r="FY258" s="153"/>
      <c r="FZ258" s="153"/>
      <c r="GA258" s="158"/>
      <c r="GB258" s="153"/>
      <c r="GC258" s="153"/>
      <c r="GD258" s="153"/>
      <c r="GE258" s="153"/>
    </row>
    <row r="259" spans="3:187" ht="12.75" customHeight="1">
      <c r="C259" s="158"/>
      <c r="D259" s="153"/>
      <c r="E259" s="153"/>
      <c r="F259" s="153"/>
      <c r="G259" s="153"/>
      <c r="H259" s="158"/>
      <c r="I259" s="153"/>
      <c r="J259" s="153"/>
      <c r="K259" s="153"/>
      <c r="L259" s="153"/>
      <c r="M259" s="158"/>
      <c r="N259" s="153"/>
      <c r="O259" s="153"/>
      <c r="P259" s="153"/>
      <c r="Q259" s="153"/>
      <c r="R259" s="158"/>
      <c r="S259" s="153"/>
      <c r="T259" s="153"/>
      <c r="U259" s="153"/>
      <c r="V259" s="153"/>
      <c r="W259" s="158"/>
      <c r="X259" s="153"/>
      <c r="Y259" s="153"/>
      <c r="Z259" s="153"/>
      <c r="AA259" s="153"/>
      <c r="AB259" s="158"/>
      <c r="AC259" s="153"/>
      <c r="AD259" s="153"/>
      <c r="AE259" s="153"/>
      <c r="AF259" s="153"/>
      <c r="AG259" s="158"/>
      <c r="AH259" s="153"/>
      <c r="AI259" s="153"/>
      <c r="AJ259" s="153"/>
      <c r="AK259" s="153"/>
      <c r="AL259" s="158"/>
      <c r="AM259" s="153"/>
      <c r="AN259" s="153"/>
      <c r="AO259" s="153"/>
      <c r="AP259" s="153"/>
      <c r="AQ259" s="158"/>
      <c r="AR259" s="153"/>
      <c r="AS259" s="153"/>
      <c r="AT259" s="153"/>
      <c r="AU259" s="153"/>
      <c r="AV259" s="158"/>
      <c r="AW259" s="153"/>
      <c r="AX259" s="153"/>
      <c r="AY259" s="153"/>
      <c r="AZ259" s="153"/>
      <c r="BA259" s="158"/>
      <c r="BB259" s="153"/>
      <c r="BC259" s="153"/>
      <c r="BD259" s="153"/>
      <c r="BE259" s="153"/>
      <c r="BF259" s="158"/>
      <c r="BG259" s="153"/>
      <c r="BH259" s="153"/>
      <c r="BI259" s="153"/>
      <c r="BJ259" s="153"/>
      <c r="BK259" s="158"/>
      <c r="BL259" s="153"/>
      <c r="BM259" s="153"/>
      <c r="BN259" s="153"/>
      <c r="BO259" s="153"/>
      <c r="BP259" s="158"/>
      <c r="BQ259" s="153"/>
      <c r="BR259" s="153"/>
      <c r="BS259" s="153"/>
      <c r="BT259" s="153"/>
      <c r="BU259" s="158"/>
      <c r="BV259" s="153"/>
      <c r="BW259" s="153"/>
      <c r="BX259" s="153"/>
      <c r="BY259" s="153"/>
      <c r="BZ259" s="158"/>
      <c r="CA259" s="153"/>
      <c r="CB259" s="153"/>
      <c r="CC259" s="153"/>
      <c r="CD259" s="153"/>
      <c r="CE259" s="158"/>
      <c r="CF259" s="153"/>
      <c r="CG259" s="153"/>
      <c r="CH259" s="153"/>
      <c r="CI259" s="153"/>
      <c r="CJ259" s="158"/>
      <c r="CK259" s="153"/>
      <c r="CL259" s="153"/>
      <c r="CM259" s="153"/>
      <c r="CN259" s="153"/>
      <c r="CO259" s="158"/>
      <c r="CP259" s="153"/>
      <c r="CQ259" s="153"/>
      <c r="CR259" s="153"/>
      <c r="CS259" s="153"/>
      <c r="CT259" s="158"/>
      <c r="CU259" s="153"/>
      <c r="CV259" s="153"/>
      <c r="CW259" s="153"/>
      <c r="CX259" s="153"/>
      <c r="CY259" s="158"/>
      <c r="CZ259" s="153"/>
      <c r="DA259" s="153"/>
      <c r="DB259" s="153"/>
      <c r="DC259" s="153"/>
      <c r="DD259" s="158"/>
      <c r="DE259" s="153"/>
      <c r="DF259" s="153"/>
      <c r="DG259" s="153"/>
      <c r="DH259" s="153"/>
      <c r="DI259" s="158"/>
      <c r="DJ259" s="153"/>
      <c r="DK259" s="153"/>
      <c r="DL259" s="153"/>
      <c r="DM259" s="153"/>
      <c r="DN259" s="158"/>
      <c r="DO259" s="153"/>
      <c r="DP259" s="153"/>
      <c r="DQ259" s="153"/>
      <c r="DR259" s="153"/>
      <c r="DS259" s="158"/>
      <c r="DT259" s="153"/>
      <c r="DU259" s="153"/>
      <c r="DV259" s="153"/>
      <c r="DW259" s="153"/>
      <c r="DX259" s="158"/>
      <c r="DY259" s="153"/>
      <c r="DZ259" s="153"/>
      <c r="EA259" s="153"/>
      <c r="EB259" s="153"/>
      <c r="EC259" s="158"/>
      <c r="ED259" s="153"/>
      <c r="EE259" s="153"/>
      <c r="EF259" s="153"/>
      <c r="EG259" s="153"/>
      <c r="EH259" s="158"/>
      <c r="EI259" s="153"/>
      <c r="EJ259" s="153"/>
      <c r="EK259" s="153"/>
      <c r="EL259" s="153"/>
      <c r="EM259" s="158"/>
      <c r="EN259" s="153"/>
      <c r="EO259" s="153"/>
      <c r="EP259" s="153"/>
      <c r="EQ259" s="153"/>
      <c r="ER259" s="158"/>
      <c r="ES259" s="153"/>
      <c r="ET259" s="153"/>
      <c r="EU259" s="153"/>
      <c r="EV259" s="153"/>
      <c r="EW259" s="158"/>
      <c r="EX259" s="153"/>
      <c r="EY259" s="153"/>
      <c r="EZ259" s="153"/>
      <c r="FA259" s="153"/>
      <c r="FB259" s="158"/>
      <c r="FC259" s="153"/>
      <c r="FD259" s="153"/>
      <c r="FE259" s="153"/>
      <c r="FF259" s="153"/>
      <c r="FG259" s="158"/>
      <c r="FH259" s="153"/>
      <c r="FI259" s="153"/>
      <c r="FJ259" s="153"/>
      <c r="FK259" s="153"/>
      <c r="FL259" s="158"/>
      <c r="FM259" s="153"/>
      <c r="FN259" s="153"/>
      <c r="FO259" s="153"/>
      <c r="FP259" s="153"/>
      <c r="FQ259" s="158"/>
      <c r="FR259" s="153"/>
      <c r="FS259" s="153"/>
      <c r="FT259" s="153"/>
      <c r="FU259" s="153"/>
      <c r="FV259" s="158"/>
      <c r="FW259" s="153"/>
      <c r="FX259" s="153"/>
      <c r="FY259" s="153"/>
      <c r="FZ259" s="153"/>
      <c r="GA259" s="158"/>
      <c r="GB259" s="153"/>
      <c r="GC259" s="153"/>
      <c r="GD259" s="153"/>
      <c r="GE259" s="153"/>
    </row>
    <row r="261" spans="3:187" ht="12.75" customHeight="1">
      <c r="C261" s="173"/>
      <c r="D261" s="173"/>
      <c r="E261" s="173"/>
      <c r="F261" s="173"/>
      <c r="G261" s="173"/>
      <c r="H261" s="173"/>
      <c r="I261" s="173"/>
      <c r="J261" s="173"/>
      <c r="K261" s="173"/>
      <c r="L261" s="173"/>
      <c r="M261" s="173"/>
      <c r="N261" s="173"/>
      <c r="O261" s="173"/>
      <c r="P261" s="173"/>
      <c r="Q261" s="173"/>
      <c r="R261" s="173"/>
      <c r="S261" s="173"/>
      <c r="T261" s="173"/>
      <c r="U261" s="173"/>
      <c r="V261" s="173"/>
      <c r="W261" s="173"/>
      <c r="X261" s="173"/>
      <c r="Y261" s="173"/>
      <c r="Z261" s="173"/>
      <c r="AA261" s="173"/>
      <c r="AB261" s="173"/>
      <c r="AC261" s="173"/>
      <c r="AD261" s="173"/>
      <c r="AE261" s="173"/>
      <c r="AF261" s="173"/>
      <c r="AG261" s="173"/>
      <c r="AH261" s="173"/>
      <c r="AI261" s="173"/>
      <c r="AJ261" s="173"/>
      <c r="AK261" s="173"/>
      <c r="AL261" s="173"/>
      <c r="AM261" s="173"/>
      <c r="AN261" s="173"/>
      <c r="AO261" s="173"/>
      <c r="AP261" s="173"/>
      <c r="AQ261" s="173"/>
      <c r="AR261" s="173"/>
      <c r="AS261" s="173"/>
      <c r="AT261" s="173"/>
      <c r="AU261" s="173"/>
      <c r="AV261" s="173"/>
      <c r="AW261" s="173"/>
      <c r="AX261" s="173"/>
      <c r="AY261" s="173"/>
      <c r="AZ261" s="173"/>
      <c r="BA261" s="173"/>
      <c r="BB261" s="173"/>
      <c r="BC261" s="173"/>
      <c r="BD261" s="173"/>
      <c r="BE261" s="173"/>
      <c r="BF261" s="173"/>
      <c r="BG261" s="173"/>
      <c r="BH261" s="173"/>
      <c r="BI261" s="173"/>
      <c r="BJ261" s="173"/>
      <c r="BK261" s="173"/>
      <c r="BL261" s="173"/>
      <c r="BM261" s="173"/>
      <c r="BN261" s="173"/>
      <c r="BO261" s="173"/>
      <c r="BP261" s="173"/>
      <c r="BQ261" s="173"/>
      <c r="BR261" s="173"/>
      <c r="BS261" s="173"/>
      <c r="BT261" s="173"/>
      <c r="BU261" s="173"/>
      <c r="BV261" s="173"/>
      <c r="BW261" s="173"/>
      <c r="BX261" s="173"/>
      <c r="BY261" s="173"/>
      <c r="BZ261" s="173"/>
      <c r="CA261" s="173"/>
      <c r="CB261" s="173"/>
      <c r="CC261" s="173"/>
      <c r="CD261" s="173"/>
      <c r="CE261" s="173"/>
      <c r="CF261" s="173"/>
      <c r="CG261" s="173"/>
      <c r="CH261" s="173"/>
      <c r="CI261" s="173"/>
      <c r="CJ261" s="173"/>
      <c r="CK261" s="173"/>
      <c r="CL261" s="173"/>
      <c r="CM261" s="173"/>
      <c r="CN261" s="173"/>
      <c r="CO261" s="173"/>
      <c r="CP261" s="173"/>
      <c r="CQ261" s="173"/>
      <c r="CR261" s="173"/>
      <c r="CS261" s="173"/>
      <c r="CT261" s="173"/>
      <c r="CU261" s="173"/>
      <c r="CV261" s="173"/>
      <c r="CW261" s="173"/>
      <c r="CX261" s="173"/>
      <c r="CY261" s="173"/>
      <c r="CZ261" s="173"/>
      <c r="DA261" s="173"/>
      <c r="DB261" s="173"/>
      <c r="DC261" s="173"/>
      <c r="DD261" s="173"/>
      <c r="DE261" s="173"/>
      <c r="DF261" s="173"/>
      <c r="DG261" s="173"/>
      <c r="DH261" s="173"/>
      <c r="DI261" s="173"/>
      <c r="DJ261" s="173"/>
      <c r="DK261" s="173"/>
      <c r="DL261" s="173"/>
      <c r="DM261" s="173"/>
      <c r="DN261" s="173"/>
      <c r="DO261" s="173"/>
      <c r="DP261" s="173"/>
      <c r="DQ261" s="173"/>
      <c r="DR261" s="173"/>
      <c r="DS261" s="173"/>
      <c r="DT261" s="173"/>
      <c r="DU261" s="173"/>
      <c r="DV261" s="173"/>
      <c r="DW261" s="173"/>
      <c r="DX261" s="173"/>
      <c r="DY261" s="173"/>
      <c r="DZ261" s="173"/>
      <c r="EA261" s="173"/>
      <c r="EB261" s="173"/>
      <c r="EC261" s="173"/>
      <c r="ED261" s="173"/>
      <c r="EE261" s="173"/>
      <c r="EF261" s="173"/>
      <c r="EG261" s="173"/>
      <c r="EH261" s="173"/>
      <c r="EI261" s="173"/>
      <c r="EJ261" s="173"/>
      <c r="EK261" s="173"/>
      <c r="EL261" s="173"/>
      <c r="EM261" s="173"/>
      <c r="EN261" s="173"/>
      <c r="EO261" s="173"/>
      <c r="EP261" s="173"/>
      <c r="EQ261" s="173"/>
      <c r="ER261" s="173"/>
      <c r="ES261" s="173"/>
      <c r="ET261" s="173"/>
      <c r="EU261" s="173"/>
      <c r="EV261" s="173"/>
      <c r="EW261" s="173"/>
      <c r="EX261" s="173"/>
      <c r="EY261" s="173"/>
      <c r="EZ261" s="173"/>
      <c r="FA261" s="173"/>
      <c r="FB261" s="173"/>
      <c r="FC261" s="173"/>
      <c r="FD261" s="173"/>
      <c r="FE261" s="173"/>
      <c r="FF261" s="173"/>
      <c r="FG261" s="173"/>
      <c r="FH261" s="173"/>
      <c r="FI261" s="173"/>
      <c r="FJ261" s="173"/>
      <c r="FK261" s="173"/>
      <c r="FL261" s="173"/>
      <c r="FM261" s="173"/>
      <c r="FN261" s="173"/>
      <c r="FO261" s="173"/>
      <c r="FP261" s="173"/>
      <c r="FQ261" s="173"/>
      <c r="FR261" s="173"/>
      <c r="FS261" s="173"/>
      <c r="FT261" s="173"/>
      <c r="FU261" s="173"/>
      <c r="FV261" s="173"/>
      <c r="FW261" s="173"/>
      <c r="FX261" s="173"/>
      <c r="FY261" s="173"/>
      <c r="FZ261" s="173"/>
      <c r="GA261" s="173"/>
      <c r="GB261" s="173"/>
      <c r="GC261" s="173"/>
      <c r="GD261" s="173"/>
      <c r="GE261" s="173"/>
    </row>
    <row r="262" spans="3:187" ht="12.75" customHeight="1">
      <c r="C262" s="169"/>
      <c r="D262" s="169"/>
      <c r="E262" s="169"/>
      <c r="F262" s="169"/>
      <c r="G262" s="169"/>
      <c r="H262" s="169"/>
      <c r="I262" s="169"/>
      <c r="J262" s="169"/>
      <c r="K262" s="169"/>
      <c r="L262" s="169"/>
      <c r="M262" s="169"/>
      <c r="N262" s="169"/>
      <c r="O262" s="169"/>
      <c r="P262" s="169"/>
      <c r="Q262" s="169"/>
      <c r="R262" s="169"/>
      <c r="S262" s="169"/>
      <c r="T262" s="169"/>
      <c r="U262" s="169"/>
      <c r="V262" s="169"/>
      <c r="W262" s="169"/>
      <c r="X262" s="169"/>
      <c r="Y262" s="169"/>
      <c r="Z262" s="169"/>
      <c r="AA262" s="169"/>
      <c r="AB262" s="169"/>
      <c r="AC262" s="169"/>
      <c r="AD262" s="169"/>
      <c r="AE262" s="169"/>
      <c r="AF262" s="169"/>
      <c r="AG262" s="169"/>
      <c r="AH262" s="169"/>
      <c r="AI262" s="169"/>
      <c r="AJ262" s="169"/>
      <c r="AK262" s="169"/>
      <c r="AL262" s="169"/>
      <c r="AM262" s="169"/>
      <c r="AN262" s="169"/>
      <c r="AO262" s="169"/>
      <c r="AP262" s="169"/>
      <c r="AQ262" s="169"/>
      <c r="AR262" s="169"/>
      <c r="AS262" s="169"/>
      <c r="AT262" s="169"/>
      <c r="AU262" s="169"/>
      <c r="AV262" s="169"/>
      <c r="AW262" s="169"/>
      <c r="AX262" s="169"/>
      <c r="AY262" s="169"/>
      <c r="AZ262" s="169"/>
      <c r="BA262" s="169"/>
      <c r="BB262" s="169"/>
      <c r="BC262" s="169"/>
      <c r="BD262" s="169"/>
      <c r="BE262" s="169"/>
      <c r="BF262" s="169"/>
      <c r="BG262" s="169"/>
      <c r="BH262" s="169"/>
      <c r="BI262" s="169"/>
      <c r="BJ262" s="169"/>
      <c r="BK262" s="169"/>
      <c r="BL262" s="169"/>
      <c r="BM262" s="169"/>
      <c r="BN262" s="169"/>
      <c r="BO262" s="169"/>
      <c r="BP262" s="169"/>
      <c r="BQ262" s="169"/>
      <c r="BR262" s="169"/>
      <c r="BS262" s="169"/>
      <c r="BT262" s="169"/>
      <c r="BU262" s="169"/>
      <c r="BV262" s="169"/>
      <c r="BW262" s="169"/>
      <c r="BX262" s="169"/>
      <c r="BY262" s="169"/>
      <c r="BZ262" s="169"/>
      <c r="CA262" s="169"/>
      <c r="CB262" s="169"/>
      <c r="CC262" s="169"/>
      <c r="CD262" s="169"/>
      <c r="CE262" s="169"/>
      <c r="CF262" s="169"/>
      <c r="CG262" s="169"/>
      <c r="CH262" s="169"/>
      <c r="CI262" s="169"/>
      <c r="CJ262" s="169"/>
      <c r="CK262" s="169"/>
      <c r="CL262" s="169"/>
      <c r="CM262" s="169"/>
      <c r="CN262" s="169"/>
      <c r="CO262" s="169"/>
      <c r="CP262" s="169"/>
      <c r="CQ262" s="169"/>
      <c r="CR262" s="169"/>
      <c r="CS262" s="169"/>
      <c r="CT262" s="169"/>
      <c r="CU262" s="169"/>
      <c r="CV262" s="169"/>
      <c r="CW262" s="169"/>
      <c r="CX262" s="169"/>
      <c r="CY262" s="169"/>
      <c r="CZ262" s="169"/>
      <c r="DA262" s="169"/>
      <c r="DB262" s="169"/>
      <c r="DC262" s="169"/>
      <c r="DD262" s="169"/>
      <c r="DE262" s="169"/>
      <c r="DF262" s="169"/>
      <c r="DG262" s="169"/>
      <c r="DH262" s="169"/>
      <c r="DI262" s="169"/>
      <c r="DJ262" s="169"/>
      <c r="DK262" s="169"/>
      <c r="DL262" s="169"/>
      <c r="DM262" s="169"/>
      <c r="DN262" s="169"/>
      <c r="DO262" s="169"/>
      <c r="DP262" s="169"/>
      <c r="DQ262" s="169"/>
      <c r="DR262" s="169"/>
      <c r="DS262" s="169"/>
      <c r="DT262" s="169"/>
      <c r="DU262" s="169"/>
      <c r="DV262" s="169"/>
      <c r="DW262" s="169"/>
      <c r="DX262" s="169"/>
      <c r="DY262" s="169"/>
      <c r="DZ262" s="169"/>
      <c r="EA262" s="169"/>
      <c r="EB262" s="169"/>
      <c r="EC262" s="169"/>
      <c r="ED262" s="169"/>
      <c r="EE262" s="169"/>
      <c r="EF262" s="169"/>
      <c r="EG262" s="169"/>
      <c r="EH262" s="169"/>
      <c r="EI262" s="169"/>
      <c r="EJ262" s="169"/>
      <c r="EK262" s="169"/>
      <c r="EL262" s="169"/>
      <c r="EM262" s="169"/>
      <c r="EN262" s="169"/>
      <c r="EO262" s="169"/>
      <c r="EP262" s="169"/>
      <c r="EQ262" s="169"/>
      <c r="ER262" s="169"/>
      <c r="ES262" s="169"/>
      <c r="ET262" s="169"/>
      <c r="EU262" s="169"/>
      <c r="EV262" s="169"/>
      <c r="EW262" s="169"/>
      <c r="EX262" s="169"/>
      <c r="EY262" s="169"/>
      <c r="EZ262" s="169"/>
      <c r="FA262" s="169"/>
      <c r="FB262" s="169"/>
      <c r="FC262" s="169"/>
      <c r="FD262" s="169"/>
      <c r="FE262" s="169"/>
      <c r="FF262" s="169"/>
      <c r="FG262" s="169"/>
      <c r="FH262" s="169"/>
      <c r="FI262" s="169"/>
      <c r="FJ262" s="169"/>
      <c r="FK262" s="169"/>
      <c r="FL262" s="169"/>
      <c r="FM262" s="169"/>
      <c r="FN262" s="169"/>
      <c r="FO262" s="169"/>
      <c r="FP262" s="169"/>
      <c r="FQ262" s="169"/>
      <c r="FR262" s="169"/>
      <c r="FS262" s="169"/>
      <c r="FT262" s="169"/>
      <c r="FU262" s="169"/>
      <c r="FV262" s="169"/>
      <c r="FW262" s="169"/>
      <c r="FX262" s="169"/>
      <c r="FY262" s="169"/>
      <c r="FZ262" s="169"/>
      <c r="GA262" s="169"/>
      <c r="GB262" s="169"/>
      <c r="GC262" s="169"/>
      <c r="GD262" s="169"/>
      <c r="GE262" s="169"/>
    </row>
    <row r="263" spans="3:187" ht="12.75" customHeight="1">
      <c r="C263" s="169"/>
      <c r="D263" s="169"/>
      <c r="E263" s="169"/>
      <c r="F263" s="169"/>
      <c r="G263" s="169"/>
      <c r="H263" s="169"/>
      <c r="I263" s="169"/>
      <c r="J263" s="169"/>
      <c r="K263" s="169"/>
      <c r="L263" s="169"/>
      <c r="M263" s="169"/>
      <c r="N263" s="169"/>
      <c r="O263" s="169"/>
      <c r="P263" s="169"/>
      <c r="Q263" s="169"/>
      <c r="R263" s="169"/>
      <c r="S263" s="169"/>
      <c r="T263" s="169"/>
      <c r="U263" s="169"/>
      <c r="V263" s="169"/>
      <c r="W263" s="169"/>
      <c r="X263" s="169"/>
      <c r="Y263" s="169"/>
      <c r="Z263" s="169"/>
      <c r="AA263" s="169"/>
      <c r="AB263" s="169"/>
      <c r="AC263" s="169"/>
      <c r="AD263" s="169"/>
      <c r="AE263" s="169"/>
      <c r="AF263" s="169"/>
      <c r="AG263" s="169"/>
      <c r="AH263" s="169"/>
      <c r="AI263" s="169"/>
      <c r="AJ263" s="169"/>
      <c r="AK263" s="169"/>
      <c r="AL263" s="169"/>
      <c r="AM263" s="169"/>
      <c r="AN263" s="169"/>
      <c r="AO263" s="169"/>
      <c r="AP263" s="169"/>
      <c r="AQ263" s="169"/>
      <c r="AR263" s="169"/>
      <c r="AS263" s="169"/>
      <c r="AT263" s="169"/>
      <c r="AU263" s="169"/>
      <c r="AV263" s="169"/>
      <c r="AW263" s="169"/>
      <c r="AX263" s="169"/>
      <c r="AY263" s="169"/>
      <c r="AZ263" s="169"/>
      <c r="BA263" s="169"/>
      <c r="BB263" s="169"/>
      <c r="BC263" s="169"/>
      <c r="BD263" s="169"/>
      <c r="BE263" s="169"/>
      <c r="BF263" s="169"/>
      <c r="BG263" s="169"/>
      <c r="BH263" s="169"/>
      <c r="BI263" s="169"/>
      <c r="BJ263" s="169"/>
      <c r="BK263" s="169"/>
      <c r="BL263" s="169"/>
      <c r="BM263" s="169"/>
      <c r="BN263" s="169"/>
      <c r="BO263" s="169"/>
      <c r="BP263" s="169"/>
      <c r="BQ263" s="169"/>
      <c r="BR263" s="169"/>
      <c r="BS263" s="169"/>
      <c r="BT263" s="169"/>
      <c r="BU263" s="169"/>
      <c r="BV263" s="169"/>
      <c r="BW263" s="169"/>
      <c r="BX263" s="169"/>
      <c r="BY263" s="169"/>
      <c r="BZ263" s="169"/>
      <c r="CA263" s="169"/>
      <c r="CB263" s="169"/>
      <c r="CC263" s="169"/>
      <c r="CD263" s="169"/>
      <c r="CE263" s="169"/>
      <c r="CF263" s="169"/>
      <c r="CG263" s="169"/>
      <c r="CH263" s="169"/>
      <c r="CI263" s="169"/>
      <c r="CJ263" s="169"/>
      <c r="CK263" s="169"/>
      <c r="CL263" s="169"/>
      <c r="CM263" s="169"/>
      <c r="CN263" s="169"/>
      <c r="CO263" s="169"/>
      <c r="CP263" s="169"/>
      <c r="CQ263" s="169"/>
      <c r="CR263" s="169"/>
      <c r="CS263" s="169"/>
      <c r="CT263" s="169"/>
      <c r="CU263" s="169"/>
      <c r="CV263" s="169"/>
      <c r="CW263" s="169"/>
      <c r="CX263" s="169"/>
      <c r="CY263" s="169"/>
      <c r="CZ263" s="169"/>
      <c r="DA263" s="169"/>
      <c r="DB263" s="169"/>
      <c r="DC263" s="169"/>
      <c r="DD263" s="169"/>
      <c r="DE263" s="169"/>
      <c r="DF263" s="169"/>
      <c r="DG263" s="169"/>
      <c r="DH263" s="169"/>
      <c r="DI263" s="169"/>
      <c r="DJ263" s="169"/>
      <c r="DK263" s="169"/>
      <c r="DL263" s="169"/>
      <c r="DM263" s="169"/>
      <c r="DN263" s="169"/>
      <c r="DO263" s="169"/>
      <c r="DP263" s="169"/>
      <c r="DQ263" s="169"/>
      <c r="DR263" s="169"/>
      <c r="DS263" s="169"/>
      <c r="DT263" s="169"/>
      <c r="DU263" s="169"/>
      <c r="DV263" s="169"/>
      <c r="DW263" s="169"/>
      <c r="DX263" s="169"/>
      <c r="DY263" s="169"/>
      <c r="DZ263" s="169"/>
      <c r="EA263" s="169"/>
      <c r="EB263" s="169"/>
      <c r="EC263" s="169"/>
      <c r="ED263" s="169"/>
      <c r="EE263" s="169"/>
      <c r="EF263" s="169"/>
      <c r="EG263" s="169"/>
      <c r="EH263" s="169"/>
      <c r="EI263" s="169"/>
      <c r="EJ263" s="169"/>
      <c r="EK263" s="169"/>
      <c r="EL263" s="169"/>
      <c r="EM263" s="169"/>
      <c r="EN263" s="169"/>
      <c r="EO263" s="169"/>
      <c r="EP263" s="169"/>
      <c r="EQ263" s="169"/>
      <c r="ER263" s="169"/>
      <c r="ES263" s="169"/>
      <c r="ET263" s="169"/>
      <c r="EU263" s="169"/>
      <c r="EV263" s="169"/>
      <c r="EW263" s="169"/>
      <c r="EX263" s="169"/>
      <c r="EY263" s="169"/>
      <c r="EZ263" s="169"/>
      <c r="FA263" s="169"/>
      <c r="FB263" s="169"/>
      <c r="FC263" s="169"/>
      <c r="FD263" s="169"/>
      <c r="FE263" s="169"/>
      <c r="FF263" s="169"/>
      <c r="FG263" s="169"/>
      <c r="FH263" s="169"/>
      <c r="FI263" s="169"/>
      <c r="FJ263" s="169"/>
      <c r="FK263" s="169"/>
      <c r="FL263" s="169"/>
      <c r="FM263" s="169"/>
      <c r="FN263" s="169"/>
      <c r="FO263" s="169"/>
      <c r="FP263" s="169"/>
      <c r="FQ263" s="169"/>
      <c r="FR263" s="169"/>
      <c r="FS263" s="169"/>
      <c r="FT263" s="169"/>
      <c r="FU263" s="169"/>
      <c r="FV263" s="169"/>
      <c r="FW263" s="169"/>
      <c r="FX263" s="169"/>
      <c r="FY263" s="169"/>
      <c r="FZ263" s="169"/>
      <c r="GA263" s="169"/>
      <c r="GB263" s="169"/>
      <c r="GC263" s="169"/>
      <c r="GD263" s="169"/>
      <c r="GE263" s="169"/>
    </row>
    <row r="265" spans="3:187" ht="12.75" customHeight="1">
      <c r="C265" s="174"/>
      <c r="D265" s="175"/>
      <c r="E265" s="175"/>
      <c r="F265" s="175"/>
      <c r="G265" s="175"/>
      <c r="H265" s="174"/>
      <c r="I265" s="175"/>
      <c r="J265" s="175"/>
      <c r="K265" s="175"/>
      <c r="L265" s="175"/>
      <c r="M265" s="174"/>
      <c r="N265" s="175"/>
      <c r="O265" s="175"/>
      <c r="P265" s="175"/>
      <c r="Q265" s="175"/>
      <c r="R265" s="174"/>
      <c r="S265" s="175"/>
      <c r="T265" s="175"/>
      <c r="U265" s="175"/>
      <c r="V265" s="175"/>
      <c r="W265" s="174"/>
      <c r="X265" s="175"/>
      <c r="Y265" s="175"/>
      <c r="Z265" s="175"/>
      <c r="AA265" s="175"/>
      <c r="AB265" s="174"/>
      <c r="AC265" s="175"/>
      <c r="AD265" s="175"/>
      <c r="AE265" s="175"/>
      <c r="AF265" s="175"/>
      <c r="AG265" s="174"/>
      <c r="AH265" s="175"/>
      <c r="AI265" s="175"/>
      <c r="AJ265" s="175"/>
      <c r="AK265" s="175"/>
      <c r="AL265" s="174"/>
      <c r="AM265" s="175"/>
      <c r="AN265" s="175"/>
      <c r="AO265" s="175"/>
      <c r="AP265" s="175"/>
      <c r="AQ265" s="174"/>
      <c r="AR265" s="175"/>
      <c r="AS265" s="175"/>
      <c r="AT265" s="175"/>
      <c r="AU265" s="175"/>
      <c r="AV265" s="174"/>
      <c r="AW265" s="175"/>
      <c r="AX265" s="175"/>
      <c r="AY265" s="175"/>
      <c r="AZ265" s="175"/>
      <c r="BA265" s="174"/>
      <c r="BB265" s="175"/>
      <c r="BC265" s="175"/>
      <c r="BD265" s="175"/>
      <c r="BE265" s="175"/>
      <c r="BF265" s="174"/>
      <c r="BG265" s="175"/>
      <c r="BH265" s="175"/>
      <c r="BI265" s="175"/>
      <c r="BJ265" s="175"/>
      <c r="BK265" s="174"/>
      <c r="BL265" s="175"/>
      <c r="BM265" s="175"/>
      <c r="BN265" s="175"/>
      <c r="BO265" s="175"/>
      <c r="BP265" s="174"/>
      <c r="BQ265" s="175"/>
      <c r="BR265" s="175"/>
      <c r="BS265" s="175"/>
      <c r="BT265" s="175"/>
      <c r="BU265" s="174"/>
      <c r="BV265" s="175"/>
      <c r="BW265" s="175"/>
      <c r="BX265" s="175"/>
      <c r="BY265" s="175"/>
      <c r="BZ265" s="174"/>
      <c r="CA265" s="175"/>
      <c r="CB265" s="175"/>
      <c r="CC265" s="175"/>
      <c r="CD265" s="175"/>
      <c r="CE265" s="174"/>
      <c r="CF265" s="175"/>
      <c r="CG265" s="175"/>
      <c r="CH265" s="175"/>
      <c r="CI265" s="175"/>
      <c r="CJ265" s="174"/>
      <c r="CK265" s="175"/>
      <c r="CL265" s="175"/>
      <c r="CM265" s="175"/>
      <c r="CN265" s="175"/>
      <c r="CO265" s="174"/>
      <c r="CP265" s="175"/>
      <c r="CQ265" s="175"/>
      <c r="CR265" s="175"/>
      <c r="CS265" s="175"/>
      <c r="CT265" s="174"/>
      <c r="CU265" s="175"/>
      <c r="CV265" s="175"/>
      <c r="CW265" s="175"/>
      <c r="CX265" s="175"/>
      <c r="CY265" s="174"/>
      <c r="CZ265" s="175"/>
      <c r="DA265" s="175"/>
      <c r="DB265" s="175"/>
      <c r="DC265" s="175"/>
      <c r="DD265" s="174"/>
      <c r="DE265" s="175"/>
      <c r="DF265" s="175"/>
      <c r="DG265" s="175"/>
      <c r="DH265" s="175"/>
      <c r="DI265" s="174"/>
      <c r="DJ265" s="175"/>
      <c r="DK265" s="175"/>
      <c r="DL265" s="175"/>
      <c r="DM265" s="175"/>
      <c r="DN265" s="174"/>
      <c r="DO265" s="175"/>
      <c r="DP265" s="175"/>
      <c r="DQ265" s="175"/>
      <c r="DR265" s="175"/>
      <c r="DS265" s="174"/>
      <c r="DT265" s="175"/>
      <c r="DU265" s="175"/>
      <c r="DV265" s="175"/>
      <c r="DW265" s="175"/>
      <c r="DX265" s="174"/>
      <c r="DY265" s="175"/>
      <c r="DZ265" s="175"/>
      <c r="EA265" s="175"/>
      <c r="EB265" s="175"/>
      <c r="EC265" s="174"/>
      <c r="ED265" s="175"/>
      <c r="EE265" s="175"/>
      <c r="EF265" s="175"/>
      <c r="EG265" s="175"/>
      <c r="EH265" s="174"/>
      <c r="EI265" s="175"/>
      <c r="EJ265" s="175"/>
      <c r="EK265" s="175"/>
      <c r="EL265" s="175"/>
      <c r="EM265" s="174"/>
      <c r="EN265" s="175"/>
      <c r="EO265" s="175"/>
      <c r="EP265" s="175"/>
      <c r="EQ265" s="175"/>
      <c r="ER265" s="174"/>
      <c r="ES265" s="175"/>
      <c r="ET265" s="175"/>
      <c r="EU265" s="175"/>
      <c r="EV265" s="175"/>
      <c r="EW265" s="174"/>
      <c r="EX265" s="175"/>
      <c r="EY265" s="175"/>
      <c r="EZ265" s="175"/>
      <c r="FA265" s="175"/>
      <c r="FB265" s="174"/>
      <c r="FC265" s="175"/>
      <c r="FD265" s="175"/>
      <c r="FE265" s="175"/>
      <c r="FF265" s="175"/>
      <c r="FG265" s="174"/>
      <c r="FH265" s="175"/>
      <c r="FI265" s="175"/>
      <c r="FJ265" s="175"/>
      <c r="FK265" s="175"/>
      <c r="FL265" s="174"/>
      <c r="FM265" s="175"/>
      <c r="FN265" s="175"/>
      <c r="FO265" s="175"/>
      <c r="FP265" s="175"/>
      <c r="FQ265" s="174"/>
      <c r="FR265" s="175"/>
      <c r="FS265" s="175"/>
      <c r="FT265" s="175"/>
      <c r="FU265" s="175"/>
      <c r="FV265" s="174"/>
      <c r="FW265" s="175"/>
      <c r="FX265" s="175"/>
      <c r="FY265" s="175"/>
      <c r="FZ265" s="175"/>
      <c r="GA265" s="174"/>
      <c r="GB265" s="175"/>
      <c r="GC265" s="175"/>
      <c r="GD265" s="175"/>
      <c r="GE265" s="175"/>
    </row>
    <row r="266" spans="3:187" ht="12.75" customHeight="1">
      <c r="C266" s="176"/>
      <c r="D266" s="177"/>
      <c r="E266" s="177"/>
      <c r="F266" s="177"/>
      <c r="G266" s="177"/>
      <c r="H266" s="176"/>
      <c r="I266" s="177"/>
      <c r="J266" s="177"/>
      <c r="K266" s="177"/>
      <c r="L266" s="177"/>
      <c r="M266" s="176"/>
      <c r="N266" s="177"/>
      <c r="O266" s="177"/>
      <c r="P266" s="177"/>
      <c r="Q266" s="177"/>
      <c r="R266" s="176"/>
      <c r="S266" s="177"/>
      <c r="T266" s="177"/>
      <c r="U266" s="177"/>
      <c r="V266" s="177"/>
      <c r="W266" s="176"/>
      <c r="X266" s="177"/>
      <c r="Y266" s="177"/>
      <c r="Z266" s="177"/>
      <c r="AA266" s="177"/>
      <c r="AB266" s="176"/>
      <c r="AC266" s="177"/>
      <c r="AD266" s="177"/>
      <c r="AE266" s="177"/>
      <c r="AF266" s="177"/>
      <c r="AG266" s="176"/>
      <c r="AH266" s="177"/>
      <c r="AI266" s="177"/>
      <c r="AJ266" s="177"/>
      <c r="AK266" s="177"/>
      <c r="AL266" s="176"/>
      <c r="AM266" s="177"/>
      <c r="AN266" s="177"/>
      <c r="AO266" s="177"/>
      <c r="AP266" s="177"/>
      <c r="AQ266" s="176"/>
      <c r="AR266" s="177"/>
      <c r="AS266" s="177"/>
      <c r="AT266" s="177"/>
      <c r="AU266" s="177"/>
      <c r="AV266" s="176"/>
      <c r="AW266" s="177"/>
      <c r="AX266" s="177"/>
      <c r="AY266" s="177"/>
      <c r="AZ266" s="177"/>
      <c r="BA266" s="176"/>
      <c r="BB266" s="177"/>
      <c r="BC266" s="177"/>
      <c r="BD266" s="177"/>
      <c r="BE266" s="177"/>
      <c r="BF266" s="176"/>
      <c r="BG266" s="177"/>
      <c r="BH266" s="177"/>
      <c r="BI266" s="177"/>
      <c r="BJ266" s="177"/>
      <c r="BK266" s="176"/>
      <c r="BL266" s="177"/>
      <c r="BM266" s="177"/>
      <c r="BN266" s="177"/>
      <c r="BO266" s="177"/>
      <c r="BP266" s="176"/>
      <c r="BQ266" s="177"/>
      <c r="BR266" s="177"/>
      <c r="BS266" s="177"/>
      <c r="BT266" s="177"/>
      <c r="BU266" s="176"/>
      <c r="BV266" s="177"/>
      <c r="BW266" s="177"/>
      <c r="BX266" s="177"/>
      <c r="BY266" s="177"/>
      <c r="BZ266" s="176"/>
      <c r="CA266" s="177"/>
      <c r="CB266" s="177"/>
      <c r="CC266" s="177"/>
      <c r="CD266" s="177"/>
      <c r="CE266" s="176"/>
      <c r="CF266" s="177"/>
      <c r="CG266" s="177"/>
      <c r="CH266" s="177"/>
      <c r="CI266" s="177"/>
      <c r="CJ266" s="176"/>
      <c r="CK266" s="177"/>
      <c r="CL266" s="177"/>
      <c r="CM266" s="177"/>
      <c r="CN266" s="177"/>
      <c r="CO266" s="176"/>
      <c r="CP266" s="177"/>
      <c r="CQ266" s="177"/>
      <c r="CR266" s="177"/>
      <c r="CS266" s="177"/>
      <c r="CT266" s="176"/>
      <c r="CU266" s="177"/>
      <c r="CV266" s="177"/>
      <c r="CW266" s="177"/>
      <c r="CX266" s="177"/>
      <c r="CY266" s="176"/>
      <c r="CZ266" s="177"/>
      <c r="DA266" s="177"/>
      <c r="DB266" s="177"/>
      <c r="DC266" s="177"/>
      <c r="DD266" s="176"/>
      <c r="DE266" s="177"/>
      <c r="DF266" s="177"/>
      <c r="DG266" s="177"/>
      <c r="DH266" s="177"/>
      <c r="DI266" s="176"/>
      <c r="DJ266" s="177"/>
      <c r="DK266" s="177"/>
      <c r="DL266" s="177"/>
      <c r="DM266" s="177"/>
      <c r="DN266" s="176"/>
      <c r="DO266" s="177"/>
      <c r="DP266" s="177"/>
      <c r="DQ266" s="177"/>
      <c r="DR266" s="177"/>
      <c r="DS266" s="176"/>
      <c r="DT266" s="177"/>
      <c r="DU266" s="177"/>
      <c r="DV266" s="177"/>
      <c r="DW266" s="177"/>
      <c r="DX266" s="176"/>
      <c r="DY266" s="177"/>
      <c r="DZ266" s="177"/>
      <c r="EA266" s="177"/>
      <c r="EB266" s="177"/>
      <c r="EC266" s="176"/>
      <c r="ED266" s="177"/>
      <c r="EE266" s="177"/>
      <c r="EF266" s="177"/>
      <c r="EG266" s="177"/>
      <c r="EH266" s="176"/>
      <c r="EI266" s="177"/>
      <c r="EJ266" s="177"/>
      <c r="EK266" s="177"/>
      <c r="EL266" s="177"/>
      <c r="EM266" s="176"/>
      <c r="EN266" s="177"/>
      <c r="EO266" s="177"/>
      <c r="EP266" s="177"/>
      <c r="EQ266" s="177"/>
      <c r="ER266" s="176"/>
      <c r="ES266" s="177"/>
      <c r="ET266" s="177"/>
      <c r="EU266" s="177"/>
      <c r="EV266" s="177"/>
      <c r="EW266" s="176"/>
      <c r="EX266" s="177"/>
      <c r="EY266" s="177"/>
      <c r="EZ266" s="177"/>
      <c r="FA266" s="177"/>
      <c r="FB266" s="176"/>
      <c r="FC266" s="177"/>
      <c r="FD266" s="177"/>
      <c r="FE266" s="177"/>
      <c r="FF266" s="177"/>
      <c r="FG266" s="176"/>
      <c r="FH266" s="177"/>
      <c r="FI266" s="177"/>
      <c r="FJ266" s="177"/>
      <c r="FK266" s="177"/>
      <c r="FL266" s="176"/>
      <c r="FM266" s="177"/>
      <c r="FN266" s="177"/>
      <c r="FO266" s="177"/>
      <c r="FP266" s="177"/>
      <c r="FQ266" s="176"/>
      <c r="FR266" s="177"/>
      <c r="FS266" s="177"/>
      <c r="FT266" s="177"/>
      <c r="FU266" s="177"/>
      <c r="FV266" s="176"/>
      <c r="FW266" s="177"/>
      <c r="FX266" s="177"/>
      <c r="FY266" s="177"/>
      <c r="FZ266" s="177"/>
      <c r="GA266" s="176"/>
      <c r="GB266" s="177"/>
      <c r="GC266" s="177"/>
      <c r="GD266" s="177"/>
      <c r="GE266" s="177"/>
    </row>
    <row r="267" spans="3:187" ht="12.75" customHeight="1">
      <c r="C267" s="139"/>
      <c r="D267" s="105"/>
      <c r="E267" s="105"/>
      <c r="F267" s="105"/>
      <c r="G267" s="105"/>
      <c r="H267" s="139"/>
      <c r="I267" s="105"/>
      <c r="J267" s="105"/>
      <c r="K267" s="105"/>
      <c r="L267" s="105"/>
      <c r="M267" s="139"/>
      <c r="N267" s="105"/>
      <c r="O267" s="105"/>
      <c r="P267" s="105"/>
      <c r="Q267" s="105"/>
      <c r="R267" s="139"/>
      <c r="S267" s="105"/>
      <c r="T267" s="105"/>
      <c r="U267" s="105"/>
      <c r="V267" s="105"/>
      <c r="W267" s="139"/>
      <c r="X267" s="105"/>
      <c r="Y267" s="105"/>
      <c r="Z267" s="105"/>
      <c r="AA267" s="105"/>
      <c r="AB267" s="139"/>
      <c r="AC267" s="105"/>
      <c r="AD267" s="105"/>
      <c r="AE267" s="105"/>
      <c r="AF267" s="105"/>
      <c r="AG267" s="139"/>
      <c r="AH267" s="105"/>
      <c r="AI267" s="105"/>
      <c r="AJ267" s="105"/>
      <c r="AK267" s="105"/>
      <c r="AL267" s="139"/>
      <c r="AM267" s="105"/>
      <c r="AN267" s="105"/>
      <c r="AO267" s="105"/>
      <c r="AP267" s="105"/>
      <c r="AQ267" s="139"/>
      <c r="AR267" s="105"/>
      <c r="AS267" s="105"/>
      <c r="AT267" s="105"/>
      <c r="AU267" s="105"/>
      <c r="AV267" s="139"/>
      <c r="AW267" s="105"/>
      <c r="AX267" s="105"/>
      <c r="AY267" s="105"/>
      <c r="AZ267" s="105"/>
      <c r="BA267" s="139"/>
      <c r="BB267" s="105"/>
      <c r="BC267" s="105"/>
      <c r="BD267" s="105"/>
      <c r="BE267" s="105"/>
      <c r="BF267" s="139"/>
      <c r="BG267" s="105"/>
      <c r="BH267" s="105"/>
      <c r="BI267" s="105"/>
      <c r="BJ267" s="105"/>
      <c r="BK267" s="139"/>
      <c r="BL267" s="105"/>
      <c r="BM267" s="105"/>
      <c r="BN267" s="105"/>
      <c r="BO267" s="105"/>
      <c r="BP267" s="139"/>
      <c r="BQ267" s="105"/>
      <c r="BR267" s="105"/>
      <c r="BS267" s="105"/>
      <c r="BT267" s="105"/>
      <c r="BU267" s="139"/>
      <c r="BV267" s="105"/>
      <c r="BW267" s="105"/>
      <c r="BX267" s="105"/>
      <c r="BY267" s="105"/>
      <c r="BZ267" s="139"/>
      <c r="CA267" s="105"/>
      <c r="CB267" s="105"/>
      <c r="CC267" s="105"/>
      <c r="CD267" s="105"/>
      <c r="CE267" s="139"/>
      <c r="CF267" s="105"/>
      <c r="CG267" s="105"/>
      <c r="CH267" s="105"/>
      <c r="CI267" s="105"/>
      <c r="CJ267" s="139"/>
      <c r="CK267" s="105"/>
      <c r="CL267" s="105"/>
      <c r="CM267" s="105"/>
      <c r="CN267" s="105"/>
      <c r="CO267" s="139"/>
      <c r="CP267" s="105"/>
      <c r="CQ267" s="105"/>
      <c r="CR267" s="105"/>
      <c r="CS267" s="105"/>
      <c r="CT267" s="139"/>
      <c r="CU267" s="105"/>
      <c r="CV267" s="105"/>
      <c r="CW267" s="105"/>
      <c r="CX267" s="105"/>
      <c r="CY267" s="139"/>
      <c r="CZ267" s="105"/>
      <c r="DA267" s="105"/>
      <c r="DB267" s="105"/>
      <c r="DC267" s="105"/>
      <c r="DD267" s="139"/>
      <c r="DE267" s="105"/>
      <c r="DF267" s="105"/>
      <c r="DG267" s="105"/>
      <c r="DH267" s="105"/>
      <c r="DI267" s="139"/>
      <c r="DJ267" s="105"/>
      <c r="DK267" s="105"/>
      <c r="DL267" s="105"/>
      <c r="DM267" s="105"/>
      <c r="DN267" s="139"/>
      <c r="DO267" s="105"/>
      <c r="DP267" s="105"/>
      <c r="DQ267" s="105"/>
      <c r="DR267" s="105"/>
      <c r="DS267" s="139"/>
      <c r="DT267" s="105"/>
      <c r="DU267" s="105"/>
      <c r="DV267" s="105"/>
      <c r="DW267" s="105"/>
      <c r="DX267" s="139"/>
      <c r="DY267" s="105"/>
      <c r="DZ267" s="105"/>
      <c r="EA267" s="105"/>
      <c r="EB267" s="105"/>
      <c r="EC267" s="139"/>
      <c r="ED267" s="105"/>
      <c r="EE267" s="105"/>
      <c r="EF267" s="105"/>
      <c r="EG267" s="105"/>
      <c r="EH267" s="139"/>
      <c r="EI267" s="105"/>
      <c r="EJ267" s="105"/>
      <c r="EK267" s="105"/>
      <c r="EL267" s="105"/>
      <c r="EM267" s="139"/>
      <c r="EN267" s="105"/>
      <c r="EO267" s="105"/>
      <c r="EP267" s="105"/>
      <c r="EQ267" s="105"/>
      <c r="ER267" s="139"/>
      <c r="ES267" s="105"/>
      <c r="ET267" s="105"/>
      <c r="EU267" s="105"/>
      <c r="EV267" s="105"/>
      <c r="EW267" s="139"/>
      <c r="EX267" s="105"/>
      <c r="EY267" s="105"/>
      <c r="EZ267" s="105"/>
      <c r="FA267" s="105"/>
      <c r="FB267" s="139"/>
      <c r="FC267" s="105"/>
      <c r="FD267" s="105"/>
      <c r="FE267" s="105"/>
      <c r="FF267" s="105"/>
      <c r="FG267" s="139"/>
      <c r="FH267" s="105"/>
      <c r="FI267" s="105"/>
      <c r="FJ267" s="105"/>
      <c r="FK267" s="105"/>
      <c r="FL267" s="139"/>
      <c r="FM267" s="105"/>
      <c r="FN267" s="105"/>
      <c r="FO267" s="105"/>
      <c r="FP267" s="105"/>
      <c r="FQ267" s="139"/>
      <c r="FR267" s="105"/>
      <c r="FS267" s="105"/>
      <c r="FT267" s="105"/>
      <c r="FU267" s="105"/>
      <c r="FV267" s="139"/>
      <c r="FW267" s="105"/>
      <c r="FX267" s="105"/>
      <c r="FY267" s="105"/>
      <c r="FZ267" s="105"/>
      <c r="GA267" s="139"/>
      <c r="GB267" s="105"/>
      <c r="GC267" s="105"/>
      <c r="GD267" s="105"/>
      <c r="GE267" s="105"/>
    </row>
    <row r="268" spans="3:187" ht="12.75" customHeight="1">
      <c r="C268" s="139"/>
      <c r="D268" s="105"/>
      <c r="E268" s="105"/>
      <c r="F268" s="105"/>
      <c r="G268" s="105"/>
      <c r="H268" s="139"/>
      <c r="I268" s="105"/>
      <c r="J268" s="105"/>
      <c r="K268" s="105"/>
      <c r="L268" s="105"/>
      <c r="M268" s="139"/>
      <c r="N268" s="105"/>
      <c r="O268" s="105"/>
      <c r="P268" s="105"/>
      <c r="Q268" s="105"/>
      <c r="R268" s="139"/>
      <c r="S268" s="105"/>
      <c r="T268" s="105"/>
      <c r="U268" s="105"/>
      <c r="V268" s="105"/>
      <c r="W268" s="139"/>
      <c r="X268" s="105"/>
      <c r="Y268" s="105"/>
      <c r="Z268" s="105"/>
      <c r="AA268" s="105"/>
      <c r="AB268" s="139"/>
      <c r="AC268" s="105"/>
      <c r="AD268" s="105"/>
      <c r="AE268" s="105"/>
      <c r="AF268" s="105"/>
      <c r="AG268" s="139"/>
      <c r="AH268" s="105"/>
      <c r="AI268" s="105"/>
      <c r="AJ268" s="105"/>
      <c r="AK268" s="105"/>
      <c r="AL268" s="139"/>
      <c r="AM268" s="105"/>
      <c r="AN268" s="105"/>
      <c r="AO268" s="105"/>
      <c r="AP268" s="105"/>
      <c r="AQ268" s="139"/>
      <c r="AR268" s="105"/>
      <c r="AS268" s="105"/>
      <c r="AT268" s="105"/>
      <c r="AU268" s="105"/>
      <c r="AV268" s="139"/>
      <c r="AW268" s="105"/>
      <c r="AX268" s="105"/>
      <c r="AY268" s="105"/>
      <c r="AZ268" s="105"/>
      <c r="BA268" s="139"/>
      <c r="BB268" s="105"/>
      <c r="BC268" s="105"/>
      <c r="BD268" s="105"/>
      <c r="BE268" s="105"/>
      <c r="BF268" s="139"/>
      <c r="BG268" s="105"/>
      <c r="BH268" s="105"/>
      <c r="BI268" s="105"/>
      <c r="BJ268" s="105"/>
      <c r="BK268" s="139"/>
      <c r="BL268" s="105"/>
      <c r="BM268" s="105"/>
      <c r="BN268" s="105"/>
      <c r="BO268" s="105"/>
      <c r="BP268" s="139"/>
      <c r="BQ268" s="105"/>
      <c r="BR268" s="105"/>
      <c r="BS268" s="105"/>
      <c r="BT268" s="105"/>
      <c r="BU268" s="139"/>
      <c r="BV268" s="105"/>
      <c r="BW268" s="105"/>
      <c r="BX268" s="105"/>
      <c r="BY268" s="105"/>
      <c r="BZ268" s="139"/>
      <c r="CA268" s="105"/>
      <c r="CB268" s="105"/>
      <c r="CC268" s="105"/>
      <c r="CD268" s="105"/>
      <c r="CE268" s="139"/>
      <c r="CF268" s="105"/>
      <c r="CG268" s="105"/>
      <c r="CH268" s="105"/>
      <c r="CI268" s="105"/>
      <c r="CJ268" s="139"/>
      <c r="CK268" s="105"/>
      <c r="CL268" s="105"/>
      <c r="CM268" s="105"/>
      <c r="CN268" s="105"/>
      <c r="CO268" s="139"/>
      <c r="CP268" s="105"/>
      <c r="CQ268" s="105"/>
      <c r="CR268" s="105"/>
      <c r="CS268" s="105"/>
      <c r="CT268" s="139"/>
      <c r="CU268" s="105"/>
      <c r="CV268" s="105"/>
      <c r="CW268" s="105"/>
      <c r="CX268" s="105"/>
      <c r="CY268" s="139"/>
      <c r="CZ268" s="105"/>
      <c r="DA268" s="105"/>
      <c r="DB268" s="105"/>
      <c r="DC268" s="105"/>
      <c r="DD268" s="139"/>
      <c r="DE268" s="105"/>
      <c r="DF268" s="105"/>
      <c r="DG268" s="105"/>
      <c r="DH268" s="105"/>
      <c r="DI268" s="139"/>
      <c r="DJ268" s="105"/>
      <c r="DK268" s="105"/>
      <c r="DL268" s="105"/>
      <c r="DM268" s="105"/>
      <c r="DN268" s="139"/>
      <c r="DO268" s="105"/>
      <c r="DP268" s="105"/>
      <c r="DQ268" s="105"/>
      <c r="DR268" s="105"/>
      <c r="DS268" s="139"/>
      <c r="DT268" s="105"/>
      <c r="DU268" s="105"/>
      <c r="DV268" s="105"/>
      <c r="DW268" s="105"/>
      <c r="DX268" s="139"/>
      <c r="DY268" s="105"/>
      <c r="DZ268" s="105"/>
      <c r="EA268" s="105"/>
      <c r="EB268" s="105"/>
      <c r="EC268" s="139"/>
      <c r="ED268" s="105"/>
      <c r="EE268" s="105"/>
      <c r="EF268" s="105"/>
      <c r="EG268" s="105"/>
      <c r="EH268" s="139"/>
      <c r="EI268" s="105"/>
      <c r="EJ268" s="105"/>
      <c r="EK268" s="105"/>
      <c r="EL268" s="105"/>
      <c r="EM268" s="139"/>
      <c r="EN268" s="105"/>
      <c r="EO268" s="105"/>
      <c r="EP268" s="105"/>
      <c r="EQ268" s="105"/>
      <c r="ER268" s="139"/>
      <c r="ES268" s="105"/>
      <c r="ET268" s="105"/>
      <c r="EU268" s="105"/>
      <c r="EV268" s="105"/>
      <c r="EW268" s="139"/>
      <c r="EX268" s="105"/>
      <c r="EY268" s="105"/>
      <c r="EZ268" s="105"/>
      <c r="FA268" s="105"/>
      <c r="FB268" s="139"/>
      <c r="FC268" s="105"/>
      <c r="FD268" s="105"/>
      <c r="FE268" s="105"/>
      <c r="FF268" s="105"/>
      <c r="FG268" s="139"/>
      <c r="FH268" s="105"/>
      <c r="FI268" s="105"/>
      <c r="FJ268" s="105"/>
      <c r="FK268" s="105"/>
      <c r="FL268" s="139"/>
      <c r="FM268" s="105"/>
      <c r="FN268" s="105"/>
      <c r="FO268" s="105"/>
      <c r="FP268" s="105"/>
      <c r="FQ268" s="139"/>
      <c r="FR268" s="105"/>
      <c r="FS268" s="105"/>
      <c r="FT268" s="105"/>
      <c r="FU268" s="105"/>
      <c r="FV268" s="139"/>
      <c r="FW268" s="105"/>
      <c r="FX268" s="105"/>
      <c r="FY268" s="105"/>
      <c r="FZ268" s="105"/>
      <c r="GA268" s="139"/>
      <c r="GB268" s="105"/>
      <c r="GC268" s="105"/>
      <c r="GD268" s="105"/>
      <c r="GE268" s="105"/>
    </row>
    <row r="269" spans="3:187" ht="12.75" customHeight="1">
      <c r="C269" s="139"/>
      <c r="D269" s="105"/>
      <c r="E269" s="105"/>
      <c r="F269" s="105"/>
      <c r="G269" s="105"/>
      <c r="H269" s="139"/>
      <c r="I269" s="105"/>
      <c r="J269" s="105"/>
      <c r="K269" s="105"/>
      <c r="L269" s="105"/>
      <c r="M269" s="139"/>
      <c r="N269" s="105"/>
      <c r="O269" s="105"/>
      <c r="P269" s="105"/>
      <c r="Q269" s="105"/>
      <c r="R269" s="139"/>
      <c r="S269" s="105"/>
      <c r="T269" s="105"/>
      <c r="U269" s="105"/>
      <c r="V269" s="105"/>
      <c r="W269" s="139"/>
      <c r="X269" s="105"/>
      <c r="Y269" s="105"/>
      <c r="Z269" s="105"/>
      <c r="AA269" s="105"/>
      <c r="AB269" s="139"/>
      <c r="AC269" s="105"/>
      <c r="AD269" s="105"/>
      <c r="AE269" s="105"/>
      <c r="AF269" s="105"/>
      <c r="AG269" s="139"/>
      <c r="AH269" s="105"/>
      <c r="AI269" s="105"/>
      <c r="AJ269" s="105"/>
      <c r="AK269" s="105"/>
      <c r="AL269" s="139"/>
      <c r="AM269" s="105"/>
      <c r="AN269" s="105"/>
      <c r="AO269" s="105"/>
      <c r="AP269" s="105"/>
      <c r="AQ269" s="139"/>
      <c r="AR269" s="105"/>
      <c r="AS269" s="105"/>
      <c r="AT269" s="105"/>
      <c r="AU269" s="105"/>
      <c r="AV269" s="139"/>
      <c r="AW269" s="105"/>
      <c r="AX269" s="105"/>
      <c r="AY269" s="105"/>
      <c r="AZ269" s="105"/>
      <c r="BA269" s="139"/>
      <c r="BB269" s="105"/>
      <c r="BC269" s="105"/>
      <c r="BD269" s="105"/>
      <c r="BE269" s="105"/>
      <c r="BF269" s="139"/>
      <c r="BG269" s="105"/>
      <c r="BH269" s="105"/>
      <c r="BI269" s="105"/>
      <c r="BJ269" s="105"/>
      <c r="BK269" s="139"/>
      <c r="BL269" s="105"/>
      <c r="BM269" s="105"/>
      <c r="BN269" s="105"/>
      <c r="BO269" s="105"/>
      <c r="BP269" s="139"/>
      <c r="BQ269" s="105"/>
      <c r="BR269" s="105"/>
      <c r="BS269" s="105"/>
      <c r="BT269" s="105"/>
      <c r="BU269" s="139"/>
      <c r="BV269" s="105"/>
      <c r="BW269" s="105"/>
      <c r="BX269" s="105"/>
      <c r="BY269" s="105"/>
      <c r="BZ269" s="139"/>
      <c r="CA269" s="105"/>
      <c r="CB269" s="105"/>
      <c r="CC269" s="105"/>
      <c r="CD269" s="105"/>
      <c r="CE269" s="139"/>
      <c r="CF269" s="105"/>
      <c r="CG269" s="105"/>
      <c r="CH269" s="105"/>
      <c r="CI269" s="105"/>
      <c r="CJ269" s="139"/>
      <c r="CK269" s="105"/>
      <c r="CL269" s="105"/>
      <c r="CM269" s="105"/>
      <c r="CN269" s="105"/>
      <c r="CO269" s="139"/>
      <c r="CP269" s="105"/>
      <c r="CQ269" s="105"/>
      <c r="CR269" s="105"/>
      <c r="CS269" s="105"/>
      <c r="CT269" s="139"/>
      <c r="CU269" s="105"/>
      <c r="CV269" s="105"/>
      <c r="CW269" s="105"/>
      <c r="CX269" s="105"/>
      <c r="CY269" s="139"/>
      <c r="CZ269" s="105"/>
      <c r="DA269" s="105"/>
      <c r="DB269" s="105"/>
      <c r="DC269" s="105"/>
      <c r="DD269" s="139"/>
      <c r="DE269" s="105"/>
      <c r="DF269" s="105"/>
      <c r="DG269" s="105"/>
      <c r="DH269" s="105"/>
      <c r="DI269" s="139"/>
      <c r="DJ269" s="105"/>
      <c r="DK269" s="105"/>
      <c r="DL269" s="105"/>
      <c r="DM269" s="105"/>
      <c r="DN269" s="139"/>
      <c r="DO269" s="105"/>
      <c r="DP269" s="105"/>
      <c r="DQ269" s="105"/>
      <c r="DR269" s="105"/>
      <c r="DS269" s="139"/>
      <c r="DT269" s="105"/>
      <c r="DU269" s="105"/>
      <c r="DV269" s="105"/>
      <c r="DW269" s="105"/>
      <c r="DX269" s="139"/>
      <c r="DY269" s="105"/>
      <c r="DZ269" s="105"/>
      <c r="EA269" s="105"/>
      <c r="EB269" s="105"/>
      <c r="EC269" s="139"/>
      <c r="ED269" s="105"/>
      <c r="EE269" s="105"/>
      <c r="EF269" s="105"/>
      <c r="EG269" s="105"/>
      <c r="EH269" s="139"/>
      <c r="EI269" s="105"/>
      <c r="EJ269" s="105"/>
      <c r="EK269" s="105"/>
      <c r="EL269" s="105"/>
      <c r="EM269" s="139"/>
      <c r="EN269" s="105"/>
      <c r="EO269" s="105"/>
      <c r="EP269" s="105"/>
      <c r="EQ269" s="105"/>
      <c r="ER269" s="139"/>
      <c r="ES269" s="105"/>
      <c r="ET269" s="105"/>
      <c r="EU269" s="105"/>
      <c r="EV269" s="105"/>
      <c r="EW269" s="139"/>
      <c r="EX269" s="105"/>
      <c r="EY269" s="105"/>
      <c r="EZ269" s="105"/>
      <c r="FA269" s="105"/>
      <c r="FB269" s="139"/>
      <c r="FC269" s="105"/>
      <c r="FD269" s="105"/>
      <c r="FE269" s="105"/>
      <c r="FF269" s="105"/>
      <c r="FG269" s="139"/>
      <c r="FH269" s="105"/>
      <c r="FI269" s="105"/>
      <c r="FJ269" s="105"/>
      <c r="FK269" s="105"/>
      <c r="FL269" s="139"/>
      <c r="FM269" s="105"/>
      <c r="FN269" s="105"/>
      <c r="FO269" s="105"/>
      <c r="FP269" s="105"/>
      <c r="FQ269" s="139"/>
      <c r="FR269" s="105"/>
      <c r="FS269" s="105"/>
      <c r="FT269" s="105"/>
      <c r="FU269" s="105"/>
      <c r="FV269" s="139"/>
      <c r="FW269" s="105"/>
      <c r="FX269" s="105"/>
      <c r="FY269" s="105"/>
      <c r="FZ269" s="105"/>
      <c r="GA269" s="139"/>
      <c r="GB269" s="105"/>
      <c r="GC269" s="105"/>
      <c r="GD269" s="105"/>
      <c r="GE269" s="105"/>
    </row>
    <row r="270" spans="3:187" ht="12.75" customHeight="1">
      <c r="C270" s="176"/>
      <c r="D270" s="177"/>
      <c r="E270" s="177"/>
      <c r="F270" s="177"/>
      <c r="G270" s="177"/>
      <c r="H270" s="176"/>
      <c r="I270" s="177"/>
      <c r="J270" s="177"/>
      <c r="K270" s="177"/>
      <c r="L270" s="177"/>
      <c r="M270" s="176"/>
      <c r="N270" s="177"/>
      <c r="O270" s="177"/>
      <c r="P270" s="177"/>
      <c r="Q270" s="177"/>
      <c r="R270" s="176"/>
      <c r="S270" s="177"/>
      <c r="T270" s="177"/>
      <c r="U270" s="177"/>
      <c r="V270" s="177"/>
      <c r="W270" s="176"/>
      <c r="X270" s="177"/>
      <c r="Y270" s="177"/>
      <c r="Z270" s="177"/>
      <c r="AA270" s="177"/>
      <c r="AB270" s="176"/>
      <c r="AC270" s="177"/>
      <c r="AD270" s="177"/>
      <c r="AE270" s="177"/>
      <c r="AF270" s="177"/>
      <c r="AG270" s="176"/>
      <c r="AH270" s="177"/>
      <c r="AI270" s="177"/>
      <c r="AJ270" s="177"/>
      <c r="AK270" s="177"/>
      <c r="AL270" s="176"/>
      <c r="AM270" s="177"/>
      <c r="AN270" s="177"/>
      <c r="AO270" s="177"/>
      <c r="AP270" s="177"/>
      <c r="AQ270" s="176"/>
      <c r="AR270" s="177"/>
      <c r="AS270" s="177"/>
      <c r="AT270" s="177"/>
      <c r="AU270" s="177"/>
      <c r="AV270" s="176"/>
      <c r="AW270" s="177"/>
      <c r="AX270" s="177"/>
      <c r="AY270" s="177"/>
      <c r="AZ270" s="177"/>
      <c r="BA270" s="176"/>
      <c r="BB270" s="177"/>
      <c r="BC270" s="177"/>
      <c r="BD270" s="177"/>
      <c r="BE270" s="177"/>
      <c r="BF270" s="176"/>
      <c r="BG270" s="177"/>
      <c r="BH270" s="177"/>
      <c r="BI270" s="177"/>
      <c r="BJ270" s="177"/>
      <c r="BK270" s="176"/>
      <c r="BL270" s="177"/>
      <c r="BM270" s="177"/>
      <c r="BN270" s="177"/>
      <c r="BO270" s="177"/>
      <c r="BP270" s="176"/>
      <c r="BQ270" s="177"/>
      <c r="BR270" s="177"/>
      <c r="BS270" s="177"/>
      <c r="BT270" s="177"/>
      <c r="BU270" s="176"/>
      <c r="BV270" s="177"/>
      <c r="BW270" s="177"/>
      <c r="BX270" s="177"/>
      <c r="BY270" s="177"/>
      <c r="BZ270" s="176"/>
      <c r="CA270" s="177"/>
      <c r="CB270" s="177"/>
      <c r="CC270" s="177"/>
      <c r="CD270" s="177"/>
      <c r="CE270" s="176"/>
      <c r="CF270" s="177"/>
      <c r="CG270" s="177"/>
      <c r="CH270" s="177"/>
      <c r="CI270" s="177"/>
      <c r="CJ270" s="176"/>
      <c r="CK270" s="177"/>
      <c r="CL270" s="177"/>
      <c r="CM270" s="177"/>
      <c r="CN270" s="177"/>
      <c r="CO270" s="176"/>
      <c r="CP270" s="177"/>
      <c r="CQ270" s="177"/>
      <c r="CR270" s="177"/>
      <c r="CS270" s="177"/>
      <c r="CT270" s="176"/>
      <c r="CU270" s="177"/>
      <c r="CV270" s="177"/>
      <c r="CW270" s="177"/>
      <c r="CX270" s="177"/>
      <c r="CY270" s="176"/>
      <c r="CZ270" s="177"/>
      <c r="DA270" s="177"/>
      <c r="DB270" s="177"/>
      <c r="DC270" s="177"/>
      <c r="DD270" s="176"/>
      <c r="DE270" s="177"/>
      <c r="DF270" s="177"/>
      <c r="DG270" s="177"/>
      <c r="DH270" s="177"/>
      <c r="DI270" s="176"/>
      <c r="DJ270" s="177"/>
      <c r="DK270" s="177"/>
      <c r="DL270" s="177"/>
      <c r="DM270" s="177"/>
      <c r="DN270" s="176"/>
      <c r="DO270" s="177"/>
      <c r="DP270" s="177"/>
      <c r="DQ270" s="177"/>
      <c r="DR270" s="177"/>
      <c r="DS270" s="176"/>
      <c r="DT270" s="177"/>
      <c r="DU270" s="177"/>
      <c r="DV270" s="177"/>
      <c r="DW270" s="177"/>
      <c r="DX270" s="176"/>
      <c r="DY270" s="177"/>
      <c r="DZ270" s="177"/>
      <c r="EA270" s="177"/>
      <c r="EB270" s="177"/>
      <c r="EC270" s="176"/>
      <c r="ED270" s="177"/>
      <c r="EE270" s="177"/>
      <c r="EF270" s="177"/>
      <c r="EG270" s="177"/>
      <c r="EH270" s="176"/>
      <c r="EI270" s="177"/>
      <c r="EJ270" s="177"/>
      <c r="EK270" s="177"/>
      <c r="EL270" s="177"/>
      <c r="EM270" s="176"/>
      <c r="EN270" s="177"/>
      <c r="EO270" s="177"/>
      <c r="EP270" s="177"/>
      <c r="EQ270" s="177"/>
      <c r="ER270" s="176"/>
      <c r="ES270" s="177"/>
      <c r="ET270" s="177"/>
      <c r="EU270" s="177"/>
      <c r="EV270" s="177"/>
      <c r="EW270" s="176"/>
      <c r="EX270" s="177"/>
      <c r="EY270" s="177"/>
      <c r="EZ270" s="177"/>
      <c r="FA270" s="177"/>
      <c r="FB270" s="176"/>
      <c r="FC270" s="177"/>
      <c r="FD270" s="177"/>
      <c r="FE270" s="177"/>
      <c r="FF270" s="177"/>
      <c r="FG270" s="176"/>
      <c r="FH270" s="177"/>
      <c r="FI270" s="177"/>
      <c r="FJ270" s="177"/>
      <c r="FK270" s="177"/>
      <c r="FL270" s="176"/>
      <c r="FM270" s="177"/>
      <c r="FN270" s="177"/>
      <c r="FO270" s="177"/>
      <c r="FP270" s="177"/>
      <c r="FQ270" s="176"/>
      <c r="FR270" s="177"/>
      <c r="FS270" s="177"/>
      <c r="FT270" s="177"/>
      <c r="FU270" s="177"/>
      <c r="FV270" s="176"/>
      <c r="FW270" s="177"/>
      <c r="FX270" s="177"/>
      <c r="FY270" s="177"/>
      <c r="FZ270" s="177"/>
      <c r="GA270" s="176"/>
      <c r="GB270" s="177"/>
      <c r="GC270" s="177"/>
      <c r="GD270" s="177"/>
      <c r="GE270" s="177"/>
    </row>
    <row r="271" spans="3:187" ht="12.75" customHeight="1">
      <c r="C271" s="106"/>
      <c r="D271" s="107"/>
      <c r="E271" s="107"/>
      <c r="F271" s="107"/>
      <c r="G271" s="107"/>
      <c r="H271" s="106"/>
      <c r="I271" s="107"/>
      <c r="J271" s="107"/>
      <c r="K271" s="107"/>
      <c r="L271" s="107"/>
      <c r="M271" s="106"/>
      <c r="N271" s="107"/>
      <c r="O271" s="107"/>
      <c r="P271" s="107"/>
      <c r="Q271" s="107"/>
      <c r="R271" s="106"/>
      <c r="S271" s="107"/>
      <c r="T271" s="107"/>
      <c r="U271" s="107"/>
      <c r="V271" s="107"/>
      <c r="W271" s="106"/>
      <c r="X271" s="107"/>
      <c r="Y271" s="107"/>
      <c r="Z271" s="107"/>
      <c r="AA271" s="107"/>
      <c r="AB271" s="106"/>
      <c r="AC271" s="107"/>
      <c r="AD271" s="107"/>
      <c r="AE271" s="107"/>
      <c r="AF271" s="107"/>
      <c r="AG271" s="106"/>
      <c r="AH271" s="107"/>
      <c r="AI271" s="107"/>
      <c r="AJ271" s="107"/>
      <c r="AK271" s="107"/>
      <c r="AL271" s="106"/>
      <c r="AM271" s="107"/>
      <c r="AN271" s="107"/>
      <c r="AO271" s="107"/>
      <c r="AP271" s="107"/>
      <c r="AQ271" s="106"/>
      <c r="AR271" s="107"/>
      <c r="AS271" s="107"/>
      <c r="AT271" s="107"/>
      <c r="AU271" s="107"/>
      <c r="AV271" s="106"/>
      <c r="AW271" s="107"/>
      <c r="AX271" s="107"/>
      <c r="AY271" s="107"/>
      <c r="AZ271" s="107"/>
      <c r="BA271" s="106"/>
      <c r="BB271" s="107"/>
      <c r="BC271" s="107"/>
      <c r="BD271" s="107"/>
      <c r="BE271" s="107"/>
      <c r="BF271" s="106"/>
      <c r="BG271" s="107"/>
      <c r="BH271" s="107"/>
      <c r="BI271" s="107"/>
      <c r="BJ271" s="107"/>
      <c r="BK271" s="106"/>
      <c r="BL271" s="107"/>
      <c r="BM271" s="107"/>
      <c r="BN271" s="107"/>
      <c r="BO271" s="107"/>
      <c r="BP271" s="106"/>
      <c r="BQ271" s="107"/>
      <c r="BR271" s="107"/>
      <c r="BS271" s="107"/>
      <c r="BT271" s="107"/>
      <c r="BU271" s="106"/>
      <c r="BV271" s="107"/>
      <c r="BW271" s="107"/>
      <c r="BX271" s="107"/>
      <c r="BY271" s="107"/>
      <c r="BZ271" s="106"/>
      <c r="CA271" s="107"/>
      <c r="CB271" s="107"/>
      <c r="CC271" s="107"/>
      <c r="CD271" s="107"/>
      <c r="CE271" s="106"/>
      <c r="CF271" s="107"/>
      <c r="CG271" s="107"/>
      <c r="CH271" s="107"/>
      <c r="CI271" s="107"/>
      <c r="CJ271" s="106"/>
      <c r="CK271" s="107"/>
      <c r="CL271" s="107"/>
      <c r="CM271" s="107"/>
      <c r="CN271" s="107"/>
      <c r="CO271" s="106"/>
      <c r="CP271" s="107"/>
      <c r="CQ271" s="107"/>
      <c r="CR271" s="107"/>
      <c r="CS271" s="107"/>
      <c r="CT271" s="106"/>
      <c r="CU271" s="107"/>
      <c r="CV271" s="107"/>
      <c r="CW271" s="107"/>
      <c r="CX271" s="107"/>
      <c r="CY271" s="106"/>
      <c r="CZ271" s="107"/>
      <c r="DA271" s="107"/>
      <c r="DB271" s="107"/>
      <c r="DC271" s="107"/>
      <c r="DD271" s="106"/>
      <c r="DE271" s="107"/>
      <c r="DF271" s="107"/>
      <c r="DG271" s="107"/>
      <c r="DH271" s="107"/>
      <c r="DI271" s="106"/>
      <c r="DJ271" s="107"/>
      <c r="DK271" s="107"/>
      <c r="DL271" s="107"/>
      <c r="DM271" s="107"/>
      <c r="DN271" s="106"/>
      <c r="DO271" s="107"/>
      <c r="DP271" s="107"/>
      <c r="DQ271" s="107"/>
      <c r="DR271" s="107"/>
      <c r="DS271" s="106"/>
      <c r="DT271" s="107"/>
      <c r="DU271" s="107"/>
      <c r="DV271" s="107"/>
      <c r="DW271" s="107"/>
      <c r="DX271" s="106"/>
      <c r="DY271" s="107"/>
      <c r="DZ271" s="107"/>
      <c r="EA271" s="107"/>
      <c r="EB271" s="107"/>
      <c r="EC271" s="106"/>
      <c r="ED271" s="107"/>
      <c r="EE271" s="107"/>
      <c r="EF271" s="107"/>
      <c r="EG271" s="107"/>
      <c r="EH271" s="106"/>
      <c r="EI271" s="107"/>
      <c r="EJ271" s="107"/>
      <c r="EK271" s="107"/>
      <c r="EL271" s="107"/>
      <c r="EM271" s="106"/>
      <c r="EN271" s="107"/>
      <c r="EO271" s="107"/>
      <c r="EP271" s="107"/>
      <c r="EQ271" s="107"/>
      <c r="ER271" s="106"/>
      <c r="ES271" s="107"/>
      <c r="ET271" s="107"/>
      <c r="EU271" s="107"/>
      <c r="EV271" s="107"/>
      <c r="EW271" s="106"/>
      <c r="EX271" s="107"/>
      <c r="EY271" s="107"/>
      <c r="EZ271" s="107"/>
      <c r="FA271" s="107"/>
      <c r="FB271" s="106"/>
      <c r="FC271" s="107"/>
      <c r="FD271" s="107"/>
      <c r="FE271" s="107"/>
      <c r="FF271" s="107"/>
      <c r="FG271" s="106"/>
      <c r="FH271" s="107"/>
      <c r="FI271" s="107"/>
      <c r="FJ271" s="107"/>
      <c r="FK271" s="107"/>
      <c r="FL271" s="106"/>
      <c r="FM271" s="107"/>
      <c r="FN271" s="107"/>
      <c r="FO271" s="107"/>
      <c r="FP271" s="107"/>
      <c r="FQ271" s="106"/>
      <c r="FR271" s="107"/>
      <c r="FS271" s="107"/>
      <c r="FT271" s="107"/>
      <c r="FU271" s="107"/>
      <c r="FV271" s="106"/>
      <c r="FW271" s="107"/>
      <c r="FX271" s="107"/>
      <c r="FY271" s="107"/>
      <c r="FZ271" s="107"/>
      <c r="GA271" s="106"/>
      <c r="GB271" s="107"/>
      <c r="GC271" s="107"/>
      <c r="GD271" s="107"/>
      <c r="GE271" s="107"/>
    </row>
    <row r="272" spans="3:187" ht="12.75" customHeight="1">
      <c r="C272" s="106"/>
      <c r="D272" s="107"/>
      <c r="E272" s="107"/>
      <c r="F272" s="107"/>
      <c r="G272" s="107"/>
      <c r="H272" s="106"/>
      <c r="I272" s="107"/>
      <c r="J272" s="107"/>
      <c r="K272" s="107"/>
      <c r="L272" s="107"/>
      <c r="M272" s="106"/>
      <c r="N272" s="107"/>
      <c r="O272" s="107"/>
      <c r="P272" s="107"/>
      <c r="Q272" s="107"/>
      <c r="R272" s="106"/>
      <c r="S272" s="107"/>
      <c r="T272" s="107"/>
      <c r="U272" s="107"/>
      <c r="V272" s="107"/>
      <c r="W272" s="106"/>
      <c r="X272" s="107"/>
      <c r="Y272" s="107"/>
      <c r="Z272" s="107"/>
      <c r="AA272" s="107"/>
      <c r="AB272" s="106"/>
      <c r="AC272" s="107"/>
      <c r="AD272" s="107"/>
      <c r="AE272" s="107"/>
      <c r="AF272" s="107"/>
      <c r="AG272" s="106"/>
      <c r="AH272" s="107"/>
      <c r="AI272" s="107"/>
      <c r="AJ272" s="107"/>
      <c r="AK272" s="107"/>
      <c r="AL272" s="106"/>
      <c r="AM272" s="107"/>
      <c r="AN272" s="107"/>
      <c r="AO272" s="107"/>
      <c r="AP272" s="107"/>
      <c r="AQ272" s="106"/>
      <c r="AR272" s="107"/>
      <c r="AS272" s="107"/>
      <c r="AT272" s="107"/>
      <c r="AU272" s="107"/>
      <c r="AV272" s="106"/>
      <c r="AW272" s="107"/>
      <c r="AX272" s="107"/>
      <c r="AY272" s="107"/>
      <c r="AZ272" s="107"/>
      <c r="BA272" s="106"/>
      <c r="BB272" s="107"/>
      <c r="BC272" s="107"/>
      <c r="BD272" s="107"/>
      <c r="BE272" s="107"/>
      <c r="BF272" s="106"/>
      <c r="BG272" s="107"/>
      <c r="BH272" s="107"/>
      <c r="BI272" s="107"/>
      <c r="BJ272" s="107"/>
      <c r="BK272" s="106"/>
      <c r="BL272" s="107"/>
      <c r="BM272" s="107"/>
      <c r="BN272" s="107"/>
      <c r="BO272" s="107"/>
      <c r="BP272" s="106"/>
      <c r="BQ272" s="107"/>
      <c r="BR272" s="107"/>
      <c r="BS272" s="107"/>
      <c r="BT272" s="107"/>
      <c r="BU272" s="106"/>
      <c r="BV272" s="107"/>
      <c r="BW272" s="107"/>
      <c r="BX272" s="107"/>
      <c r="BY272" s="107"/>
      <c r="BZ272" s="106"/>
      <c r="CA272" s="107"/>
      <c r="CB272" s="107"/>
      <c r="CC272" s="107"/>
      <c r="CD272" s="107"/>
      <c r="CE272" s="106"/>
      <c r="CF272" s="107"/>
      <c r="CG272" s="107"/>
      <c r="CH272" s="107"/>
      <c r="CI272" s="107"/>
      <c r="CJ272" s="106"/>
      <c r="CK272" s="107"/>
      <c r="CL272" s="107"/>
      <c r="CM272" s="107"/>
      <c r="CN272" s="107"/>
      <c r="CO272" s="106"/>
      <c r="CP272" s="107"/>
      <c r="CQ272" s="107"/>
      <c r="CR272" s="107"/>
      <c r="CS272" s="107"/>
      <c r="CT272" s="106"/>
      <c r="CU272" s="107"/>
      <c r="CV272" s="107"/>
      <c r="CW272" s="107"/>
      <c r="CX272" s="107"/>
      <c r="CY272" s="106"/>
      <c r="CZ272" s="107"/>
      <c r="DA272" s="107"/>
      <c r="DB272" s="107"/>
      <c r="DC272" s="107"/>
      <c r="DD272" s="106"/>
      <c r="DE272" s="107"/>
      <c r="DF272" s="107"/>
      <c r="DG272" s="107"/>
      <c r="DH272" s="107"/>
      <c r="DI272" s="106"/>
      <c r="DJ272" s="107"/>
      <c r="DK272" s="107"/>
      <c r="DL272" s="107"/>
      <c r="DM272" s="107"/>
      <c r="DN272" s="106"/>
      <c r="DO272" s="107"/>
      <c r="DP272" s="107"/>
      <c r="DQ272" s="107"/>
      <c r="DR272" s="107"/>
      <c r="DS272" s="106"/>
      <c r="DT272" s="107"/>
      <c r="DU272" s="107"/>
      <c r="DV272" s="107"/>
      <c r="DW272" s="107"/>
      <c r="DX272" s="106"/>
      <c r="DY272" s="107"/>
      <c r="DZ272" s="107"/>
      <c r="EA272" s="107"/>
      <c r="EB272" s="107"/>
      <c r="EC272" s="106"/>
      <c r="ED272" s="107"/>
      <c r="EE272" s="107"/>
      <c r="EF272" s="107"/>
      <c r="EG272" s="107"/>
      <c r="EH272" s="106"/>
      <c r="EI272" s="107"/>
      <c r="EJ272" s="107"/>
      <c r="EK272" s="107"/>
      <c r="EL272" s="107"/>
      <c r="EM272" s="106"/>
      <c r="EN272" s="107"/>
      <c r="EO272" s="107"/>
      <c r="EP272" s="107"/>
      <c r="EQ272" s="107"/>
      <c r="ER272" s="106"/>
      <c r="ES272" s="107"/>
      <c r="ET272" s="107"/>
      <c r="EU272" s="107"/>
      <c r="EV272" s="107"/>
      <c r="EW272" s="106"/>
      <c r="EX272" s="107"/>
      <c r="EY272" s="107"/>
      <c r="EZ272" s="107"/>
      <c r="FA272" s="107"/>
      <c r="FB272" s="106"/>
      <c r="FC272" s="107"/>
      <c r="FD272" s="107"/>
      <c r="FE272" s="107"/>
      <c r="FF272" s="107"/>
      <c r="FG272" s="106"/>
      <c r="FH272" s="107"/>
      <c r="FI272" s="107"/>
      <c r="FJ272" s="107"/>
      <c r="FK272" s="107"/>
      <c r="FL272" s="106"/>
      <c r="FM272" s="107"/>
      <c r="FN272" s="107"/>
      <c r="FO272" s="107"/>
      <c r="FP272" s="107"/>
      <c r="FQ272" s="106"/>
      <c r="FR272" s="107"/>
      <c r="FS272" s="107"/>
      <c r="FT272" s="107"/>
      <c r="FU272" s="107"/>
      <c r="FV272" s="106"/>
      <c r="FW272" s="107"/>
      <c r="FX272" s="107"/>
      <c r="FY272" s="107"/>
      <c r="FZ272" s="107"/>
      <c r="GA272" s="106"/>
      <c r="GB272" s="107"/>
      <c r="GC272" s="107"/>
      <c r="GD272" s="107"/>
      <c r="GE272" s="107"/>
    </row>
    <row r="273" spans="3:187" ht="12.75" customHeight="1">
      <c r="C273" s="106"/>
      <c r="D273" s="107"/>
      <c r="E273" s="107"/>
      <c r="F273" s="107"/>
      <c r="G273" s="107"/>
      <c r="H273" s="106"/>
      <c r="I273" s="107"/>
      <c r="J273" s="107"/>
      <c r="K273" s="107"/>
      <c r="L273" s="107"/>
      <c r="M273" s="106"/>
      <c r="N273" s="107"/>
      <c r="O273" s="107"/>
      <c r="P273" s="107"/>
      <c r="Q273" s="107"/>
      <c r="R273" s="106"/>
      <c r="S273" s="107"/>
      <c r="T273" s="107"/>
      <c r="U273" s="107"/>
      <c r="V273" s="107"/>
      <c r="W273" s="106"/>
      <c r="X273" s="107"/>
      <c r="Y273" s="107"/>
      <c r="Z273" s="107"/>
      <c r="AA273" s="107"/>
      <c r="AB273" s="106"/>
      <c r="AC273" s="107"/>
      <c r="AD273" s="107"/>
      <c r="AE273" s="107"/>
      <c r="AF273" s="107"/>
      <c r="AG273" s="106"/>
      <c r="AH273" s="107"/>
      <c r="AI273" s="107"/>
      <c r="AJ273" s="107"/>
      <c r="AK273" s="107"/>
      <c r="AL273" s="106"/>
      <c r="AM273" s="107"/>
      <c r="AN273" s="107"/>
      <c r="AO273" s="107"/>
      <c r="AP273" s="107"/>
      <c r="AQ273" s="106"/>
      <c r="AR273" s="107"/>
      <c r="AS273" s="107"/>
      <c r="AT273" s="107"/>
      <c r="AU273" s="107"/>
      <c r="AV273" s="106"/>
      <c r="AW273" s="107"/>
      <c r="AX273" s="107"/>
      <c r="AY273" s="107"/>
      <c r="AZ273" s="107"/>
      <c r="BA273" s="106"/>
      <c r="BB273" s="107"/>
      <c r="BC273" s="107"/>
      <c r="BD273" s="107"/>
      <c r="BE273" s="107"/>
      <c r="BF273" s="106"/>
      <c r="BG273" s="107"/>
      <c r="BH273" s="107"/>
      <c r="BI273" s="107"/>
      <c r="BJ273" s="107"/>
      <c r="BK273" s="106"/>
      <c r="BL273" s="107"/>
      <c r="BM273" s="107"/>
      <c r="BN273" s="107"/>
      <c r="BO273" s="107"/>
      <c r="BP273" s="106"/>
      <c r="BQ273" s="107"/>
      <c r="BR273" s="107"/>
      <c r="BS273" s="107"/>
      <c r="BT273" s="107"/>
      <c r="BU273" s="106"/>
      <c r="BV273" s="107"/>
      <c r="BW273" s="107"/>
      <c r="BX273" s="107"/>
      <c r="BY273" s="107"/>
      <c r="BZ273" s="106"/>
      <c r="CA273" s="107"/>
      <c r="CB273" s="107"/>
      <c r="CC273" s="107"/>
      <c r="CD273" s="107"/>
      <c r="CE273" s="106"/>
      <c r="CF273" s="107"/>
      <c r="CG273" s="107"/>
      <c r="CH273" s="107"/>
      <c r="CI273" s="107"/>
      <c r="CJ273" s="106"/>
      <c r="CK273" s="107"/>
      <c r="CL273" s="107"/>
      <c r="CM273" s="107"/>
      <c r="CN273" s="107"/>
      <c r="CO273" s="106"/>
      <c r="CP273" s="107"/>
      <c r="CQ273" s="107"/>
      <c r="CR273" s="107"/>
      <c r="CS273" s="107"/>
      <c r="CT273" s="106"/>
      <c r="CU273" s="107"/>
      <c r="CV273" s="107"/>
      <c r="CW273" s="107"/>
      <c r="CX273" s="107"/>
      <c r="CY273" s="106"/>
      <c r="CZ273" s="107"/>
      <c r="DA273" s="107"/>
      <c r="DB273" s="107"/>
      <c r="DC273" s="107"/>
      <c r="DD273" s="106"/>
      <c r="DE273" s="107"/>
      <c r="DF273" s="107"/>
      <c r="DG273" s="107"/>
      <c r="DH273" s="107"/>
      <c r="DI273" s="106"/>
      <c r="DJ273" s="107"/>
      <c r="DK273" s="107"/>
      <c r="DL273" s="107"/>
      <c r="DM273" s="107"/>
      <c r="DN273" s="106"/>
      <c r="DO273" s="107"/>
      <c r="DP273" s="107"/>
      <c r="DQ273" s="107"/>
      <c r="DR273" s="107"/>
      <c r="DS273" s="106"/>
      <c r="DT273" s="107"/>
      <c r="DU273" s="107"/>
      <c r="DV273" s="107"/>
      <c r="DW273" s="107"/>
      <c r="DX273" s="106"/>
      <c r="DY273" s="107"/>
      <c r="DZ273" s="107"/>
      <c r="EA273" s="107"/>
      <c r="EB273" s="107"/>
      <c r="EC273" s="106"/>
      <c r="ED273" s="107"/>
      <c r="EE273" s="107"/>
      <c r="EF273" s="107"/>
      <c r="EG273" s="107"/>
      <c r="EH273" s="106"/>
      <c r="EI273" s="107"/>
      <c r="EJ273" s="107"/>
      <c r="EK273" s="107"/>
      <c r="EL273" s="107"/>
      <c r="EM273" s="106"/>
      <c r="EN273" s="107"/>
      <c r="EO273" s="107"/>
      <c r="EP273" s="107"/>
      <c r="EQ273" s="107"/>
      <c r="ER273" s="106"/>
      <c r="ES273" s="107"/>
      <c r="ET273" s="107"/>
      <c r="EU273" s="107"/>
      <c r="EV273" s="107"/>
      <c r="EW273" s="106"/>
      <c r="EX273" s="107"/>
      <c r="EY273" s="107"/>
      <c r="EZ273" s="107"/>
      <c r="FA273" s="107"/>
      <c r="FB273" s="106"/>
      <c r="FC273" s="107"/>
      <c r="FD273" s="107"/>
      <c r="FE273" s="107"/>
      <c r="FF273" s="107"/>
      <c r="FG273" s="106"/>
      <c r="FH273" s="107"/>
      <c r="FI273" s="107"/>
      <c r="FJ273" s="107"/>
      <c r="FK273" s="107"/>
      <c r="FL273" s="106"/>
      <c r="FM273" s="107"/>
      <c r="FN273" s="107"/>
      <c r="FO273" s="107"/>
      <c r="FP273" s="107"/>
      <c r="FQ273" s="106"/>
      <c r="FR273" s="107"/>
      <c r="FS273" s="107"/>
      <c r="FT273" s="107"/>
      <c r="FU273" s="107"/>
      <c r="FV273" s="106"/>
      <c r="FW273" s="107"/>
      <c r="FX273" s="107"/>
      <c r="FY273" s="107"/>
      <c r="FZ273" s="107"/>
      <c r="GA273" s="106"/>
      <c r="GB273" s="107"/>
      <c r="GC273" s="107"/>
      <c r="GD273" s="107"/>
      <c r="GE273" s="107"/>
    </row>
    <row r="274" spans="3:187" ht="12.75" customHeight="1">
      <c r="C274" s="178"/>
      <c r="D274" s="179"/>
      <c r="E274" s="179"/>
      <c r="F274" s="179"/>
      <c r="G274" s="179"/>
      <c r="H274" s="178"/>
      <c r="I274" s="179"/>
      <c r="J274" s="179"/>
      <c r="K274" s="179"/>
      <c r="L274" s="179"/>
      <c r="M274" s="178"/>
      <c r="N274" s="179"/>
      <c r="O274" s="179"/>
      <c r="P274" s="179"/>
      <c r="Q274" s="179"/>
      <c r="R274" s="178"/>
      <c r="S274" s="179"/>
      <c r="T274" s="179"/>
      <c r="U274" s="179"/>
      <c r="V274" s="179"/>
      <c r="W274" s="178"/>
      <c r="X274" s="179"/>
      <c r="Y274" s="179"/>
      <c r="Z274" s="179"/>
      <c r="AA274" s="179"/>
      <c r="AB274" s="178"/>
      <c r="AC274" s="179"/>
      <c r="AD274" s="179"/>
      <c r="AE274" s="179"/>
      <c r="AF274" s="179"/>
      <c r="AG274" s="178"/>
      <c r="AH274" s="179"/>
      <c r="AI274" s="179"/>
      <c r="AJ274" s="179"/>
      <c r="AK274" s="179"/>
      <c r="AL274" s="178"/>
      <c r="AM274" s="179"/>
      <c r="AN274" s="179"/>
      <c r="AO274" s="179"/>
      <c r="AP274" s="179"/>
      <c r="AQ274" s="178"/>
      <c r="AR274" s="179"/>
      <c r="AS274" s="179"/>
      <c r="AT274" s="179"/>
      <c r="AU274" s="179"/>
      <c r="AV274" s="178"/>
      <c r="AW274" s="179"/>
      <c r="AX274" s="179"/>
      <c r="AY274" s="179"/>
      <c r="AZ274" s="179"/>
      <c r="BA274" s="178"/>
      <c r="BB274" s="179"/>
      <c r="BC274" s="179"/>
      <c r="BD274" s="179"/>
      <c r="BE274" s="179"/>
      <c r="BF274" s="178"/>
      <c r="BG274" s="179"/>
      <c r="BH274" s="179"/>
      <c r="BI274" s="179"/>
      <c r="BJ274" s="179"/>
      <c r="BK274" s="178"/>
      <c r="BL274" s="179"/>
      <c r="BM274" s="179"/>
      <c r="BN274" s="179"/>
      <c r="BO274" s="179"/>
      <c r="BP274" s="178"/>
      <c r="BQ274" s="179"/>
      <c r="BR274" s="179"/>
      <c r="BS274" s="179"/>
      <c r="BT274" s="179"/>
      <c r="BU274" s="178"/>
      <c r="BV274" s="179"/>
      <c r="BW274" s="179"/>
      <c r="BX274" s="179"/>
      <c r="BY274" s="179"/>
      <c r="BZ274" s="178"/>
      <c r="CA274" s="179"/>
      <c r="CB274" s="179"/>
      <c r="CC274" s="179"/>
      <c r="CD274" s="179"/>
      <c r="CE274" s="178"/>
      <c r="CF274" s="179"/>
      <c r="CG274" s="179"/>
      <c r="CH274" s="179"/>
      <c r="CI274" s="179"/>
      <c r="CJ274" s="178"/>
      <c r="CK274" s="179"/>
      <c r="CL274" s="179"/>
      <c r="CM274" s="179"/>
      <c r="CN274" s="179"/>
      <c r="CO274" s="178"/>
      <c r="CP274" s="179"/>
      <c r="CQ274" s="179"/>
      <c r="CR274" s="179"/>
      <c r="CS274" s="179"/>
      <c r="CT274" s="178"/>
      <c r="CU274" s="179"/>
      <c r="CV274" s="179"/>
      <c r="CW274" s="179"/>
      <c r="CX274" s="179"/>
      <c r="CY274" s="178"/>
      <c r="CZ274" s="179"/>
      <c r="DA274" s="179"/>
      <c r="DB274" s="179"/>
      <c r="DC274" s="179"/>
      <c r="DD274" s="178"/>
      <c r="DE274" s="179"/>
      <c r="DF274" s="179"/>
      <c r="DG274" s="179"/>
      <c r="DH274" s="179"/>
      <c r="DI274" s="178"/>
      <c r="DJ274" s="179"/>
      <c r="DK274" s="179"/>
      <c r="DL274" s="179"/>
      <c r="DM274" s="179"/>
      <c r="DN274" s="178"/>
      <c r="DO274" s="179"/>
      <c r="DP274" s="179"/>
      <c r="DQ274" s="179"/>
      <c r="DR274" s="179"/>
      <c r="DS274" s="178"/>
      <c r="DT274" s="179"/>
      <c r="DU274" s="179"/>
      <c r="DV274" s="179"/>
      <c r="DW274" s="179"/>
      <c r="DX274" s="178"/>
      <c r="DY274" s="179"/>
      <c r="DZ274" s="179"/>
      <c r="EA274" s="179"/>
      <c r="EB274" s="179"/>
      <c r="EC274" s="178"/>
      <c r="ED274" s="179"/>
      <c r="EE274" s="179"/>
      <c r="EF274" s="179"/>
      <c r="EG274" s="179"/>
      <c r="EH274" s="178"/>
      <c r="EI274" s="179"/>
      <c r="EJ274" s="179"/>
      <c r="EK274" s="179"/>
      <c r="EL274" s="179"/>
      <c r="EM274" s="178"/>
      <c r="EN274" s="179"/>
      <c r="EO274" s="179"/>
      <c r="EP274" s="179"/>
      <c r="EQ274" s="179"/>
      <c r="ER274" s="178"/>
      <c r="ES274" s="179"/>
      <c r="ET274" s="179"/>
      <c r="EU274" s="179"/>
      <c r="EV274" s="179"/>
      <c r="EW274" s="178"/>
      <c r="EX274" s="179"/>
      <c r="EY274" s="179"/>
      <c r="EZ274" s="179"/>
      <c r="FA274" s="179"/>
      <c r="FB274" s="178"/>
      <c r="FC274" s="179"/>
      <c r="FD274" s="179"/>
      <c r="FE274" s="179"/>
      <c r="FF274" s="179"/>
      <c r="FG274" s="178"/>
      <c r="FH274" s="179"/>
      <c r="FI274" s="179"/>
      <c r="FJ274" s="179"/>
      <c r="FK274" s="179"/>
      <c r="FL274" s="178"/>
      <c r="FM274" s="179"/>
      <c r="FN274" s="179"/>
      <c r="FO274" s="179"/>
      <c r="FP274" s="179"/>
      <c r="FQ274" s="178"/>
      <c r="FR274" s="179"/>
      <c r="FS274" s="179"/>
      <c r="FT274" s="179"/>
      <c r="FU274" s="179"/>
      <c r="FV274" s="178"/>
      <c r="FW274" s="179"/>
      <c r="FX274" s="179"/>
      <c r="FY274" s="179"/>
      <c r="FZ274" s="179"/>
      <c r="GA274" s="178"/>
      <c r="GB274" s="179"/>
      <c r="GC274" s="179"/>
      <c r="GD274" s="179"/>
      <c r="GE274" s="179"/>
    </row>
    <row r="275" spans="3:187" ht="12.75" customHeight="1">
      <c r="C275" s="106"/>
      <c r="D275" s="107"/>
      <c r="E275" s="107"/>
      <c r="F275" s="107"/>
      <c r="G275" s="107"/>
      <c r="H275" s="106"/>
      <c r="I275" s="107"/>
      <c r="J275" s="107"/>
      <c r="K275" s="107"/>
      <c r="L275" s="107"/>
      <c r="M275" s="106"/>
      <c r="N275" s="107"/>
      <c r="O275" s="107"/>
      <c r="P275" s="107"/>
      <c r="Q275" s="107"/>
      <c r="R275" s="106"/>
      <c r="S275" s="107"/>
      <c r="T275" s="107"/>
      <c r="U275" s="107"/>
      <c r="V275" s="107"/>
      <c r="W275" s="106"/>
      <c r="X275" s="107"/>
      <c r="Y275" s="107"/>
      <c r="Z275" s="107"/>
      <c r="AA275" s="107"/>
      <c r="AB275" s="106"/>
      <c r="AC275" s="107"/>
      <c r="AD275" s="107"/>
      <c r="AE275" s="107"/>
      <c r="AF275" s="107"/>
      <c r="AG275" s="106"/>
      <c r="AH275" s="107"/>
      <c r="AI275" s="107"/>
      <c r="AJ275" s="107"/>
      <c r="AK275" s="107"/>
      <c r="AL275" s="106"/>
      <c r="AM275" s="107"/>
      <c r="AN275" s="107"/>
      <c r="AO275" s="107"/>
      <c r="AP275" s="107"/>
      <c r="AQ275" s="106"/>
      <c r="AR275" s="107"/>
      <c r="AS275" s="107"/>
      <c r="AT275" s="107"/>
      <c r="AU275" s="107"/>
      <c r="AV275" s="106"/>
      <c r="AW275" s="107"/>
      <c r="AX275" s="107"/>
      <c r="AY275" s="107"/>
      <c r="AZ275" s="107"/>
      <c r="BA275" s="106"/>
      <c r="BB275" s="107"/>
      <c r="BC275" s="107"/>
      <c r="BD275" s="107"/>
      <c r="BE275" s="107"/>
      <c r="BF275" s="106"/>
      <c r="BG275" s="107"/>
      <c r="BH275" s="107"/>
      <c r="BI275" s="107"/>
      <c r="BJ275" s="107"/>
      <c r="BK275" s="106"/>
      <c r="BL275" s="107"/>
      <c r="BM275" s="107"/>
      <c r="BN275" s="107"/>
      <c r="BO275" s="107"/>
      <c r="BP275" s="106"/>
      <c r="BQ275" s="107"/>
      <c r="BR275" s="107"/>
      <c r="BS275" s="107"/>
      <c r="BT275" s="107"/>
      <c r="BU275" s="106"/>
      <c r="BV275" s="107"/>
      <c r="BW275" s="107"/>
      <c r="BX275" s="107"/>
      <c r="BY275" s="107"/>
      <c r="BZ275" s="106"/>
      <c r="CA275" s="107"/>
      <c r="CB275" s="107"/>
      <c r="CC275" s="107"/>
      <c r="CD275" s="107"/>
      <c r="CE275" s="106"/>
      <c r="CF275" s="107"/>
      <c r="CG275" s="107"/>
      <c r="CH275" s="107"/>
      <c r="CI275" s="107"/>
      <c r="CJ275" s="106"/>
      <c r="CK275" s="107"/>
      <c r="CL275" s="107"/>
      <c r="CM275" s="107"/>
      <c r="CN275" s="107"/>
      <c r="CO275" s="106"/>
      <c r="CP275" s="107"/>
      <c r="CQ275" s="107"/>
      <c r="CR275" s="107"/>
      <c r="CS275" s="107"/>
      <c r="CT275" s="106"/>
      <c r="CU275" s="107"/>
      <c r="CV275" s="107"/>
      <c r="CW275" s="107"/>
      <c r="CX275" s="107"/>
      <c r="CY275" s="106"/>
      <c r="CZ275" s="107"/>
      <c r="DA275" s="107"/>
      <c r="DB275" s="107"/>
      <c r="DC275" s="107"/>
      <c r="DD275" s="106"/>
      <c r="DE275" s="107"/>
      <c r="DF275" s="107"/>
      <c r="DG275" s="107"/>
      <c r="DH275" s="107"/>
      <c r="DI275" s="106"/>
      <c r="DJ275" s="107"/>
      <c r="DK275" s="107"/>
      <c r="DL275" s="107"/>
      <c r="DM275" s="107"/>
      <c r="DN275" s="106"/>
      <c r="DO275" s="107"/>
      <c r="DP275" s="107"/>
      <c r="DQ275" s="107"/>
      <c r="DR275" s="107"/>
      <c r="DS275" s="106"/>
      <c r="DT275" s="107"/>
      <c r="DU275" s="107"/>
      <c r="DV275" s="107"/>
      <c r="DW275" s="107"/>
      <c r="DX275" s="106"/>
      <c r="DY275" s="107"/>
      <c r="DZ275" s="107"/>
      <c r="EA275" s="107"/>
      <c r="EB275" s="107"/>
      <c r="EC275" s="106"/>
      <c r="ED275" s="107"/>
      <c r="EE275" s="107"/>
      <c r="EF275" s="107"/>
      <c r="EG275" s="107"/>
      <c r="EH275" s="106"/>
      <c r="EI275" s="107"/>
      <c r="EJ275" s="107"/>
      <c r="EK275" s="107"/>
      <c r="EL275" s="107"/>
      <c r="EM275" s="106"/>
      <c r="EN275" s="107"/>
      <c r="EO275" s="107"/>
      <c r="EP275" s="107"/>
      <c r="EQ275" s="107"/>
      <c r="ER275" s="106"/>
      <c r="ES275" s="107"/>
      <c r="ET275" s="107"/>
      <c r="EU275" s="107"/>
      <c r="EV275" s="107"/>
      <c r="EW275" s="106"/>
      <c r="EX275" s="107"/>
      <c r="EY275" s="107"/>
      <c r="EZ275" s="107"/>
      <c r="FA275" s="107"/>
      <c r="FB275" s="106"/>
      <c r="FC275" s="107"/>
      <c r="FD275" s="107"/>
      <c r="FE275" s="107"/>
      <c r="FF275" s="107"/>
      <c r="FG275" s="106"/>
      <c r="FH275" s="107"/>
      <c r="FI275" s="107"/>
      <c r="FJ275" s="107"/>
      <c r="FK275" s="107"/>
      <c r="FL275" s="106"/>
      <c r="FM275" s="107"/>
      <c r="FN275" s="107"/>
      <c r="FO275" s="107"/>
      <c r="FP275" s="107"/>
      <c r="FQ275" s="106"/>
      <c r="FR275" s="107"/>
      <c r="FS275" s="107"/>
      <c r="FT275" s="107"/>
      <c r="FU275" s="107"/>
      <c r="FV275" s="106"/>
      <c r="FW275" s="107"/>
      <c r="FX275" s="107"/>
      <c r="FY275" s="107"/>
      <c r="FZ275" s="107"/>
      <c r="GA275" s="106"/>
      <c r="GB275" s="107"/>
      <c r="GC275" s="107"/>
      <c r="GD275" s="107"/>
      <c r="GE275" s="107"/>
    </row>
    <row r="276" spans="3:187" ht="12.75" customHeight="1">
      <c r="C276" s="176"/>
      <c r="D276" s="107"/>
      <c r="E276" s="107"/>
      <c r="F276" s="107"/>
      <c r="G276" s="107"/>
      <c r="H276" s="176"/>
      <c r="I276" s="107"/>
      <c r="J276" s="107"/>
      <c r="K276" s="107"/>
      <c r="L276" s="107"/>
      <c r="M276" s="176"/>
      <c r="N276" s="107"/>
      <c r="O276" s="107"/>
      <c r="P276" s="107"/>
      <c r="Q276" s="107"/>
      <c r="R276" s="176"/>
      <c r="S276" s="107"/>
      <c r="T276" s="107"/>
      <c r="U276" s="107"/>
      <c r="V276" s="107"/>
      <c r="W276" s="176"/>
      <c r="X276" s="107"/>
      <c r="Y276" s="107"/>
      <c r="Z276" s="107"/>
      <c r="AA276" s="107"/>
      <c r="AB276" s="176"/>
      <c r="AC276" s="107"/>
      <c r="AD276" s="107"/>
      <c r="AE276" s="107"/>
      <c r="AF276" s="107"/>
      <c r="AG276" s="176"/>
      <c r="AH276" s="107"/>
      <c r="AI276" s="107"/>
      <c r="AJ276" s="107"/>
      <c r="AK276" s="107"/>
      <c r="AL276" s="176"/>
      <c r="AM276" s="107"/>
      <c r="AN276" s="107"/>
      <c r="AO276" s="107"/>
      <c r="AP276" s="107"/>
      <c r="AQ276" s="176"/>
      <c r="AR276" s="107"/>
      <c r="AS276" s="107"/>
      <c r="AT276" s="107"/>
      <c r="AU276" s="107"/>
      <c r="AV276" s="176"/>
      <c r="AW276" s="107"/>
      <c r="AX276" s="107"/>
      <c r="AY276" s="107"/>
      <c r="AZ276" s="107"/>
      <c r="BA276" s="176"/>
      <c r="BB276" s="107"/>
      <c r="BC276" s="107"/>
      <c r="BD276" s="107"/>
      <c r="BE276" s="107"/>
      <c r="BF276" s="176"/>
      <c r="BG276" s="107"/>
      <c r="BH276" s="107"/>
      <c r="BI276" s="107"/>
      <c r="BJ276" s="107"/>
      <c r="BK276" s="176"/>
      <c r="BL276" s="107"/>
      <c r="BM276" s="107"/>
      <c r="BN276" s="107"/>
      <c r="BO276" s="107"/>
      <c r="BP276" s="176"/>
      <c r="BQ276" s="107"/>
      <c r="BR276" s="107"/>
      <c r="BS276" s="107"/>
      <c r="BT276" s="107"/>
      <c r="BU276" s="176"/>
      <c r="BV276" s="107"/>
      <c r="BW276" s="107"/>
      <c r="BX276" s="107"/>
      <c r="BY276" s="107"/>
      <c r="BZ276" s="176"/>
      <c r="CA276" s="107"/>
      <c r="CB276" s="107"/>
      <c r="CC276" s="107"/>
      <c r="CD276" s="107"/>
      <c r="CE276" s="176"/>
      <c r="CF276" s="107"/>
      <c r="CG276" s="107"/>
      <c r="CH276" s="107"/>
      <c r="CI276" s="107"/>
      <c r="CJ276" s="176"/>
      <c r="CK276" s="107"/>
      <c r="CL276" s="107"/>
      <c r="CM276" s="107"/>
      <c r="CN276" s="107"/>
      <c r="CO276" s="176"/>
      <c r="CP276" s="107"/>
      <c r="CQ276" s="107"/>
      <c r="CR276" s="107"/>
      <c r="CS276" s="107"/>
      <c r="CT276" s="176"/>
      <c r="CU276" s="107"/>
      <c r="CV276" s="107"/>
      <c r="CW276" s="107"/>
      <c r="CX276" s="107"/>
      <c r="CY276" s="176"/>
      <c r="CZ276" s="107"/>
      <c r="DA276" s="107"/>
      <c r="DB276" s="107"/>
      <c r="DC276" s="107"/>
      <c r="DD276" s="176"/>
      <c r="DE276" s="107"/>
      <c r="DF276" s="107"/>
      <c r="DG276" s="107"/>
      <c r="DH276" s="107"/>
      <c r="DI276" s="176"/>
      <c r="DJ276" s="107"/>
      <c r="DK276" s="107"/>
      <c r="DL276" s="107"/>
      <c r="DM276" s="107"/>
      <c r="DN276" s="176"/>
      <c r="DO276" s="107"/>
      <c r="DP276" s="107"/>
      <c r="DQ276" s="107"/>
      <c r="DR276" s="107"/>
      <c r="DS276" s="176"/>
      <c r="DT276" s="107"/>
      <c r="DU276" s="107"/>
      <c r="DV276" s="107"/>
      <c r="DW276" s="107"/>
      <c r="DX276" s="176"/>
      <c r="DY276" s="107"/>
      <c r="DZ276" s="107"/>
      <c r="EA276" s="107"/>
      <c r="EB276" s="107"/>
      <c r="EC276" s="176"/>
      <c r="ED276" s="107"/>
      <c r="EE276" s="107"/>
      <c r="EF276" s="107"/>
      <c r="EG276" s="107"/>
      <c r="EH276" s="176"/>
      <c r="EI276" s="107"/>
      <c r="EJ276" s="107"/>
      <c r="EK276" s="107"/>
      <c r="EL276" s="107"/>
      <c r="EM276" s="176"/>
      <c r="EN276" s="107"/>
      <c r="EO276" s="107"/>
      <c r="EP276" s="107"/>
      <c r="EQ276" s="107"/>
      <c r="ER276" s="176"/>
      <c r="ES276" s="107"/>
      <c r="ET276" s="107"/>
      <c r="EU276" s="107"/>
      <c r="EV276" s="107"/>
      <c r="EW276" s="176"/>
      <c r="EX276" s="107"/>
      <c r="EY276" s="107"/>
      <c r="EZ276" s="107"/>
      <c r="FA276" s="107"/>
      <c r="FB276" s="176"/>
      <c r="FC276" s="107"/>
      <c r="FD276" s="107"/>
      <c r="FE276" s="107"/>
      <c r="FF276" s="107"/>
      <c r="FG276" s="176"/>
      <c r="FH276" s="107"/>
      <c r="FI276" s="107"/>
      <c r="FJ276" s="107"/>
      <c r="FK276" s="107"/>
      <c r="FL276" s="176"/>
      <c r="FM276" s="107"/>
      <c r="FN276" s="107"/>
      <c r="FO276" s="107"/>
      <c r="FP276" s="107"/>
      <c r="FQ276" s="176"/>
      <c r="FR276" s="107"/>
      <c r="FS276" s="107"/>
      <c r="FT276" s="107"/>
      <c r="FU276" s="107"/>
      <c r="FV276" s="176"/>
      <c r="FW276" s="107"/>
      <c r="FX276" s="107"/>
      <c r="FY276" s="107"/>
      <c r="FZ276" s="107"/>
      <c r="GA276" s="176"/>
      <c r="GB276" s="107"/>
      <c r="GC276" s="107"/>
      <c r="GD276" s="107"/>
      <c r="GE276" s="107"/>
    </row>
    <row r="277" spans="3:187" ht="12.75" customHeight="1">
      <c r="C277" s="106"/>
      <c r="D277" s="107"/>
      <c r="E277" s="107"/>
      <c r="F277" s="107"/>
      <c r="G277" s="107"/>
      <c r="H277" s="106"/>
      <c r="I277" s="107"/>
      <c r="J277" s="107"/>
      <c r="K277" s="107"/>
      <c r="L277" s="107"/>
      <c r="M277" s="106"/>
      <c r="N277" s="107"/>
      <c r="O277" s="107"/>
      <c r="P277" s="107"/>
      <c r="Q277" s="107"/>
      <c r="R277" s="106"/>
      <c r="S277" s="107"/>
      <c r="T277" s="107"/>
      <c r="U277" s="107"/>
      <c r="V277" s="107"/>
      <c r="W277" s="106"/>
      <c r="X277" s="107"/>
      <c r="Y277" s="107"/>
      <c r="Z277" s="107"/>
      <c r="AA277" s="107"/>
      <c r="AB277" s="106"/>
      <c r="AC277" s="107"/>
      <c r="AD277" s="107"/>
      <c r="AE277" s="107"/>
      <c r="AF277" s="107"/>
      <c r="AG277" s="106"/>
      <c r="AH277" s="107"/>
      <c r="AI277" s="107"/>
      <c r="AJ277" s="107"/>
      <c r="AK277" s="107"/>
      <c r="AL277" s="106"/>
      <c r="AM277" s="107"/>
      <c r="AN277" s="107"/>
      <c r="AO277" s="107"/>
      <c r="AP277" s="107"/>
      <c r="AQ277" s="106"/>
      <c r="AR277" s="107"/>
      <c r="AS277" s="107"/>
      <c r="AT277" s="107"/>
      <c r="AU277" s="107"/>
      <c r="AV277" s="106"/>
      <c r="AW277" s="107"/>
      <c r="AX277" s="107"/>
      <c r="AY277" s="107"/>
      <c r="AZ277" s="107"/>
      <c r="BA277" s="106"/>
      <c r="BB277" s="107"/>
      <c r="BC277" s="107"/>
      <c r="BD277" s="107"/>
      <c r="BE277" s="107"/>
      <c r="BF277" s="106"/>
      <c r="BG277" s="107"/>
      <c r="BH277" s="107"/>
      <c r="BI277" s="107"/>
      <c r="BJ277" s="107"/>
      <c r="BK277" s="106"/>
      <c r="BL277" s="107"/>
      <c r="BM277" s="107"/>
      <c r="BN277" s="107"/>
      <c r="BO277" s="107"/>
      <c r="BP277" s="106"/>
      <c r="BQ277" s="107"/>
      <c r="BR277" s="107"/>
      <c r="BS277" s="107"/>
      <c r="BT277" s="107"/>
      <c r="BU277" s="106"/>
      <c r="BV277" s="107"/>
      <c r="BW277" s="107"/>
      <c r="BX277" s="107"/>
      <c r="BY277" s="107"/>
      <c r="BZ277" s="106"/>
      <c r="CA277" s="107"/>
      <c r="CB277" s="107"/>
      <c r="CC277" s="107"/>
      <c r="CD277" s="107"/>
      <c r="CE277" s="106"/>
      <c r="CF277" s="107"/>
      <c r="CG277" s="107"/>
      <c r="CH277" s="107"/>
      <c r="CI277" s="107"/>
      <c r="CJ277" s="106"/>
      <c r="CK277" s="107"/>
      <c r="CL277" s="107"/>
      <c r="CM277" s="107"/>
      <c r="CN277" s="107"/>
      <c r="CO277" s="106"/>
      <c r="CP277" s="107"/>
      <c r="CQ277" s="107"/>
      <c r="CR277" s="107"/>
      <c r="CS277" s="107"/>
      <c r="CT277" s="106"/>
      <c r="CU277" s="107"/>
      <c r="CV277" s="107"/>
      <c r="CW277" s="107"/>
      <c r="CX277" s="107"/>
      <c r="CY277" s="106"/>
      <c r="CZ277" s="107"/>
      <c r="DA277" s="107"/>
      <c r="DB277" s="107"/>
      <c r="DC277" s="107"/>
      <c r="DD277" s="106"/>
      <c r="DE277" s="107"/>
      <c r="DF277" s="107"/>
      <c r="DG277" s="107"/>
      <c r="DH277" s="107"/>
      <c r="DI277" s="106"/>
      <c r="DJ277" s="107"/>
      <c r="DK277" s="107"/>
      <c r="DL277" s="107"/>
      <c r="DM277" s="107"/>
      <c r="DN277" s="106"/>
      <c r="DO277" s="107"/>
      <c r="DP277" s="107"/>
      <c r="DQ277" s="107"/>
      <c r="DR277" s="107"/>
      <c r="DS277" s="106"/>
      <c r="DT277" s="107"/>
      <c r="DU277" s="107"/>
      <c r="DV277" s="107"/>
      <c r="DW277" s="107"/>
      <c r="DX277" s="106"/>
      <c r="DY277" s="107"/>
      <c r="DZ277" s="107"/>
      <c r="EA277" s="107"/>
      <c r="EB277" s="107"/>
      <c r="EC277" s="106"/>
      <c r="ED277" s="107"/>
      <c r="EE277" s="107"/>
      <c r="EF277" s="107"/>
      <c r="EG277" s="107"/>
      <c r="EH277" s="106"/>
      <c r="EI277" s="107"/>
      <c r="EJ277" s="107"/>
      <c r="EK277" s="107"/>
      <c r="EL277" s="107"/>
      <c r="EM277" s="106"/>
      <c r="EN277" s="107"/>
      <c r="EO277" s="107"/>
      <c r="EP277" s="107"/>
      <c r="EQ277" s="107"/>
      <c r="ER277" s="106"/>
      <c r="ES277" s="107"/>
      <c r="ET277" s="107"/>
      <c r="EU277" s="107"/>
      <c r="EV277" s="107"/>
      <c r="EW277" s="106"/>
      <c r="EX277" s="107"/>
      <c r="EY277" s="107"/>
      <c r="EZ277" s="107"/>
      <c r="FA277" s="107"/>
      <c r="FB277" s="106"/>
      <c r="FC277" s="107"/>
      <c r="FD277" s="107"/>
      <c r="FE277" s="107"/>
      <c r="FF277" s="107"/>
      <c r="FG277" s="106"/>
      <c r="FH277" s="107"/>
      <c r="FI277" s="107"/>
      <c r="FJ277" s="107"/>
      <c r="FK277" s="107"/>
      <c r="FL277" s="106"/>
      <c r="FM277" s="107"/>
      <c r="FN277" s="107"/>
      <c r="FO277" s="107"/>
      <c r="FP277" s="107"/>
      <c r="FQ277" s="106"/>
      <c r="FR277" s="107"/>
      <c r="FS277" s="107"/>
      <c r="FT277" s="107"/>
      <c r="FU277" s="107"/>
      <c r="FV277" s="106"/>
      <c r="FW277" s="107"/>
      <c r="FX277" s="107"/>
      <c r="FY277" s="107"/>
      <c r="FZ277" s="107"/>
      <c r="GA277" s="106"/>
      <c r="GB277" s="107"/>
      <c r="GC277" s="107"/>
      <c r="GD277" s="107"/>
      <c r="GE277" s="107"/>
    </row>
    <row r="278" spans="3:187" ht="12.75" customHeight="1">
      <c r="C278" s="106"/>
      <c r="D278" s="180"/>
      <c r="E278" s="180"/>
      <c r="F278" s="180"/>
      <c r="G278" s="180"/>
      <c r="H278" s="106"/>
      <c r="I278" s="180"/>
      <c r="J278" s="180"/>
      <c r="K278" s="180"/>
      <c r="L278" s="180"/>
      <c r="M278" s="106"/>
      <c r="N278" s="180"/>
      <c r="O278" s="180"/>
      <c r="P278" s="180"/>
      <c r="Q278" s="180"/>
      <c r="R278" s="106"/>
      <c r="S278" s="180"/>
      <c r="T278" s="180"/>
      <c r="U278" s="180"/>
      <c r="V278" s="180"/>
      <c r="W278" s="106"/>
      <c r="X278" s="180"/>
      <c r="Y278" s="180"/>
      <c r="Z278" s="180"/>
      <c r="AA278" s="180"/>
      <c r="AB278" s="106"/>
      <c r="AC278" s="180"/>
      <c r="AD278" s="180"/>
      <c r="AE278" s="180"/>
      <c r="AF278" s="180"/>
      <c r="AG278" s="106"/>
      <c r="AH278" s="180"/>
      <c r="AI278" s="180"/>
      <c r="AJ278" s="180"/>
      <c r="AK278" s="180"/>
      <c r="AL278" s="106"/>
      <c r="AM278" s="180"/>
      <c r="AN278" s="180"/>
      <c r="AO278" s="180"/>
      <c r="AP278" s="180"/>
      <c r="AQ278" s="106"/>
      <c r="AR278" s="180"/>
      <c r="AS278" s="180"/>
      <c r="AT278" s="180"/>
      <c r="AU278" s="180"/>
      <c r="AV278" s="106"/>
      <c r="AW278" s="180"/>
      <c r="AX278" s="180"/>
      <c r="AY278" s="180"/>
      <c r="AZ278" s="180"/>
      <c r="BA278" s="106"/>
      <c r="BB278" s="180"/>
      <c r="BC278" s="180"/>
      <c r="BD278" s="180"/>
      <c r="BE278" s="180"/>
      <c r="BF278" s="106"/>
      <c r="BG278" s="180"/>
      <c r="BH278" s="180"/>
      <c r="BI278" s="180"/>
      <c r="BJ278" s="180"/>
      <c r="BK278" s="106"/>
      <c r="BL278" s="180"/>
      <c r="BM278" s="180"/>
      <c r="BN278" s="180"/>
      <c r="BO278" s="180"/>
      <c r="BP278" s="106"/>
      <c r="BQ278" s="180"/>
      <c r="BR278" s="180"/>
      <c r="BS278" s="180"/>
      <c r="BT278" s="180"/>
      <c r="BU278" s="106"/>
      <c r="BV278" s="180"/>
      <c r="BW278" s="180"/>
      <c r="BX278" s="180"/>
      <c r="BY278" s="180"/>
      <c r="BZ278" s="106"/>
      <c r="CA278" s="180"/>
      <c r="CB278" s="180"/>
      <c r="CC278" s="180"/>
      <c r="CD278" s="180"/>
      <c r="CE278" s="106"/>
      <c r="CF278" s="180"/>
      <c r="CG278" s="180"/>
      <c r="CH278" s="180"/>
      <c r="CI278" s="180"/>
      <c r="CJ278" s="106"/>
      <c r="CK278" s="180"/>
      <c r="CL278" s="180"/>
      <c r="CM278" s="180"/>
      <c r="CN278" s="180"/>
      <c r="CO278" s="106"/>
      <c r="CP278" s="180"/>
      <c r="CQ278" s="180"/>
      <c r="CR278" s="180"/>
      <c r="CS278" s="180"/>
      <c r="CT278" s="106"/>
      <c r="CU278" s="180"/>
      <c r="CV278" s="180"/>
      <c r="CW278" s="180"/>
      <c r="CX278" s="180"/>
      <c r="CY278" s="106"/>
      <c r="CZ278" s="180"/>
      <c r="DA278" s="180"/>
      <c r="DB278" s="180"/>
      <c r="DC278" s="180"/>
      <c r="DD278" s="106"/>
      <c r="DE278" s="180"/>
      <c r="DF278" s="180"/>
      <c r="DG278" s="180"/>
      <c r="DH278" s="180"/>
      <c r="DI278" s="106"/>
      <c r="DJ278" s="180"/>
      <c r="DK278" s="180"/>
      <c r="DL278" s="180"/>
      <c r="DM278" s="180"/>
      <c r="DN278" s="106"/>
      <c r="DO278" s="180"/>
      <c r="DP278" s="180"/>
      <c r="DQ278" s="180"/>
      <c r="DR278" s="180"/>
      <c r="DS278" s="106"/>
      <c r="DT278" s="180"/>
      <c r="DU278" s="180"/>
      <c r="DV278" s="180"/>
      <c r="DW278" s="180"/>
      <c r="DX278" s="106"/>
      <c r="DY278" s="180"/>
      <c r="DZ278" s="180"/>
      <c r="EA278" s="180"/>
      <c r="EB278" s="180"/>
      <c r="EC278" s="106"/>
      <c r="ED278" s="180"/>
      <c r="EE278" s="180"/>
      <c r="EF278" s="180"/>
      <c r="EG278" s="180"/>
      <c r="EH278" s="106"/>
      <c r="EI278" s="180"/>
      <c r="EJ278" s="180"/>
      <c r="EK278" s="180"/>
      <c r="EL278" s="180"/>
      <c r="EM278" s="106"/>
      <c r="EN278" s="180"/>
      <c r="EO278" s="180"/>
      <c r="EP278" s="180"/>
      <c r="EQ278" s="180"/>
      <c r="ER278" s="106"/>
      <c r="ES278" s="180"/>
      <c r="ET278" s="180"/>
      <c r="EU278" s="180"/>
      <c r="EV278" s="180"/>
      <c r="EW278" s="106"/>
      <c r="EX278" s="180"/>
      <c r="EY278" s="180"/>
      <c r="EZ278" s="180"/>
      <c r="FA278" s="180"/>
      <c r="FB278" s="106"/>
      <c r="FC278" s="180"/>
      <c r="FD278" s="180"/>
      <c r="FE278" s="180"/>
      <c r="FF278" s="180"/>
      <c r="FG278" s="106"/>
      <c r="FH278" s="180"/>
      <c r="FI278" s="180"/>
      <c r="FJ278" s="180"/>
      <c r="FK278" s="180"/>
      <c r="FL278" s="106"/>
      <c r="FM278" s="180"/>
      <c r="FN278" s="180"/>
      <c r="FO278" s="180"/>
      <c r="FP278" s="180"/>
      <c r="FQ278" s="106"/>
      <c r="FR278" s="180"/>
      <c r="FS278" s="180"/>
      <c r="FT278" s="180"/>
      <c r="FU278" s="180"/>
      <c r="FV278" s="106"/>
      <c r="FW278" s="180"/>
      <c r="FX278" s="180"/>
      <c r="FY278" s="180"/>
      <c r="FZ278" s="180"/>
      <c r="GA278" s="106"/>
      <c r="GB278" s="180"/>
      <c r="GC278" s="180"/>
      <c r="GD278" s="180"/>
      <c r="GE278" s="180"/>
    </row>
    <row r="279" spans="3:187" ht="12.75" customHeight="1">
      <c r="C279" s="181"/>
      <c r="D279" s="182"/>
      <c r="E279" s="182"/>
      <c r="F279" s="182"/>
      <c r="G279" s="182"/>
      <c r="H279" s="181"/>
      <c r="I279" s="182"/>
      <c r="J279" s="182"/>
      <c r="K279" s="182"/>
      <c r="L279" s="182"/>
      <c r="M279" s="181"/>
      <c r="N279" s="182"/>
      <c r="O279" s="182"/>
      <c r="P279" s="182"/>
      <c r="Q279" s="182"/>
      <c r="R279" s="181"/>
      <c r="S279" s="182"/>
      <c r="T279" s="182"/>
      <c r="U279" s="182"/>
      <c r="V279" s="182"/>
      <c r="W279" s="181"/>
      <c r="X279" s="182"/>
      <c r="Y279" s="182"/>
      <c r="Z279" s="182"/>
      <c r="AA279" s="182"/>
      <c r="AB279" s="181"/>
      <c r="AC279" s="182"/>
      <c r="AD279" s="182"/>
      <c r="AE279" s="182"/>
      <c r="AF279" s="182"/>
      <c r="AG279" s="181"/>
      <c r="AH279" s="182"/>
      <c r="AI279" s="182"/>
      <c r="AJ279" s="182"/>
      <c r="AK279" s="182"/>
      <c r="AL279" s="181"/>
      <c r="AM279" s="182"/>
      <c r="AN279" s="182"/>
      <c r="AO279" s="182"/>
      <c r="AP279" s="182"/>
      <c r="AQ279" s="181"/>
      <c r="AR279" s="182"/>
      <c r="AS279" s="182"/>
      <c r="AT279" s="182"/>
      <c r="AU279" s="182"/>
      <c r="AV279" s="181"/>
      <c r="AW279" s="182"/>
      <c r="AX279" s="182"/>
      <c r="AY279" s="182"/>
      <c r="AZ279" s="182"/>
      <c r="BA279" s="181"/>
      <c r="BB279" s="182"/>
      <c r="BC279" s="182"/>
      <c r="BD279" s="182"/>
      <c r="BE279" s="182"/>
      <c r="BF279" s="181"/>
      <c r="BG279" s="182"/>
      <c r="BH279" s="182"/>
      <c r="BI279" s="182"/>
      <c r="BJ279" s="182"/>
      <c r="BK279" s="181"/>
      <c r="BL279" s="182"/>
      <c r="BM279" s="182"/>
      <c r="BN279" s="182"/>
      <c r="BO279" s="182"/>
      <c r="BP279" s="181"/>
      <c r="BQ279" s="182"/>
      <c r="BR279" s="182"/>
      <c r="BS279" s="182"/>
      <c r="BT279" s="182"/>
      <c r="BU279" s="181"/>
      <c r="BV279" s="182"/>
      <c r="BW279" s="182"/>
      <c r="BX279" s="182"/>
      <c r="BY279" s="182"/>
      <c r="BZ279" s="181"/>
      <c r="CA279" s="182"/>
      <c r="CB279" s="182"/>
      <c r="CC279" s="182"/>
      <c r="CD279" s="182"/>
      <c r="CE279" s="181"/>
      <c r="CF279" s="182"/>
      <c r="CG279" s="182"/>
      <c r="CH279" s="182"/>
      <c r="CI279" s="182"/>
      <c r="CJ279" s="181"/>
      <c r="CK279" s="182"/>
      <c r="CL279" s="182"/>
      <c r="CM279" s="182"/>
      <c r="CN279" s="182"/>
      <c r="CO279" s="181"/>
      <c r="CP279" s="182"/>
      <c r="CQ279" s="182"/>
      <c r="CR279" s="182"/>
      <c r="CS279" s="182"/>
      <c r="CT279" s="181"/>
      <c r="CU279" s="182"/>
      <c r="CV279" s="182"/>
      <c r="CW279" s="182"/>
      <c r="CX279" s="182"/>
      <c r="CY279" s="181"/>
      <c r="CZ279" s="182"/>
      <c r="DA279" s="182"/>
      <c r="DB279" s="182"/>
      <c r="DC279" s="182"/>
      <c r="DD279" s="181"/>
      <c r="DE279" s="182"/>
      <c r="DF279" s="182"/>
      <c r="DG279" s="182"/>
      <c r="DH279" s="182"/>
      <c r="DI279" s="181"/>
      <c r="DJ279" s="182"/>
      <c r="DK279" s="182"/>
      <c r="DL279" s="182"/>
      <c r="DM279" s="182"/>
      <c r="DN279" s="181"/>
      <c r="DO279" s="182"/>
      <c r="DP279" s="182"/>
      <c r="DQ279" s="182"/>
      <c r="DR279" s="182"/>
      <c r="DS279" s="181"/>
      <c r="DT279" s="182"/>
      <c r="DU279" s="182"/>
      <c r="DV279" s="182"/>
      <c r="DW279" s="182"/>
      <c r="DX279" s="181"/>
      <c r="DY279" s="182"/>
      <c r="DZ279" s="182"/>
      <c r="EA279" s="182"/>
      <c r="EB279" s="182"/>
      <c r="EC279" s="181"/>
      <c r="ED279" s="182"/>
      <c r="EE279" s="182"/>
      <c r="EF279" s="182"/>
      <c r="EG279" s="182"/>
      <c r="EH279" s="181"/>
      <c r="EI279" s="182"/>
      <c r="EJ279" s="182"/>
      <c r="EK279" s="182"/>
      <c r="EL279" s="182"/>
      <c r="EM279" s="181"/>
      <c r="EN279" s="182"/>
      <c r="EO279" s="182"/>
      <c r="EP279" s="182"/>
      <c r="EQ279" s="182"/>
      <c r="ER279" s="181"/>
      <c r="ES279" s="182"/>
      <c r="ET279" s="182"/>
      <c r="EU279" s="182"/>
      <c r="EV279" s="182"/>
      <c r="EW279" s="181"/>
      <c r="EX279" s="182"/>
      <c r="EY279" s="182"/>
      <c r="EZ279" s="182"/>
      <c r="FA279" s="182"/>
      <c r="FB279" s="181"/>
      <c r="FC279" s="182"/>
      <c r="FD279" s="182"/>
      <c r="FE279" s="182"/>
      <c r="FF279" s="182"/>
      <c r="FG279" s="181"/>
      <c r="FH279" s="182"/>
      <c r="FI279" s="182"/>
      <c r="FJ279" s="182"/>
      <c r="FK279" s="182"/>
      <c r="FL279" s="181"/>
      <c r="FM279" s="182"/>
      <c r="FN279" s="182"/>
      <c r="FO279" s="182"/>
      <c r="FP279" s="182"/>
      <c r="FQ279" s="181"/>
      <c r="FR279" s="182"/>
      <c r="FS279" s="182"/>
      <c r="FT279" s="182"/>
      <c r="FU279" s="182"/>
      <c r="FV279" s="181"/>
      <c r="FW279" s="182"/>
      <c r="FX279" s="182"/>
      <c r="FY279" s="182"/>
      <c r="FZ279" s="182"/>
      <c r="GA279" s="181"/>
      <c r="GB279" s="182"/>
      <c r="GC279" s="182"/>
      <c r="GD279" s="182"/>
      <c r="GE279" s="182"/>
    </row>
    <row r="282" spans="3:187" ht="12.75" customHeight="1">
      <c r="C282" s="139"/>
      <c r="D282" s="105"/>
      <c r="E282" s="105"/>
      <c r="F282" s="105"/>
      <c r="G282" s="105"/>
      <c r="H282" s="139"/>
      <c r="I282" s="105"/>
      <c r="J282" s="105"/>
      <c r="K282" s="105"/>
      <c r="L282" s="105"/>
      <c r="M282" s="139"/>
      <c r="N282" s="105"/>
      <c r="O282" s="105"/>
      <c r="P282" s="105"/>
      <c r="Q282" s="105"/>
      <c r="R282" s="139"/>
      <c r="S282" s="105"/>
      <c r="T282" s="105"/>
      <c r="U282" s="105"/>
      <c r="V282" s="105"/>
      <c r="W282" s="139"/>
      <c r="X282" s="105"/>
      <c r="Y282" s="105"/>
      <c r="Z282" s="105"/>
      <c r="AA282" s="105"/>
      <c r="AB282" s="139"/>
      <c r="AC282" s="105"/>
      <c r="AD282" s="105"/>
      <c r="AE282" s="105"/>
      <c r="AF282" s="105"/>
      <c r="AG282" s="139"/>
      <c r="AH282" s="105"/>
      <c r="AI282" s="105"/>
      <c r="AJ282" s="105"/>
      <c r="AK282" s="105"/>
      <c r="AL282" s="139"/>
      <c r="AM282" s="105"/>
      <c r="AN282" s="105"/>
      <c r="AO282" s="105"/>
      <c r="AP282" s="105"/>
      <c r="AQ282" s="139"/>
      <c r="AR282" s="105"/>
      <c r="AS282" s="105"/>
      <c r="AT282" s="105"/>
      <c r="AU282" s="105"/>
      <c r="AV282" s="139"/>
      <c r="AW282" s="105"/>
      <c r="AX282" s="105"/>
      <c r="AY282" s="105"/>
      <c r="AZ282" s="105"/>
      <c r="BA282" s="139"/>
      <c r="BB282" s="105"/>
      <c r="BC282" s="105"/>
      <c r="BD282" s="105"/>
      <c r="BE282" s="105"/>
      <c r="BF282" s="139"/>
      <c r="BG282" s="105"/>
      <c r="BH282" s="105"/>
      <c r="BI282" s="105"/>
      <c r="BJ282" s="105"/>
      <c r="BK282" s="139"/>
      <c r="BL282" s="105"/>
      <c r="BM282" s="105"/>
      <c r="BN282" s="105"/>
      <c r="BO282" s="105"/>
      <c r="BP282" s="139"/>
      <c r="BQ282" s="105"/>
      <c r="BR282" s="105"/>
      <c r="BS282" s="105"/>
      <c r="BT282" s="105"/>
      <c r="BU282" s="139"/>
      <c r="BV282" s="105"/>
      <c r="BW282" s="105"/>
      <c r="BX282" s="105"/>
      <c r="BY282" s="105"/>
      <c r="BZ282" s="139"/>
      <c r="CA282" s="105"/>
      <c r="CB282" s="105"/>
      <c r="CC282" s="105"/>
      <c r="CD282" s="105"/>
      <c r="CE282" s="139"/>
      <c r="CF282" s="105"/>
      <c r="CG282" s="105"/>
      <c r="CH282" s="105"/>
      <c r="CI282" s="105"/>
      <c r="CJ282" s="139"/>
      <c r="CK282" s="105"/>
      <c r="CL282" s="105"/>
      <c r="CM282" s="105"/>
      <c r="CN282" s="105"/>
      <c r="CO282" s="139"/>
      <c r="CP282" s="105"/>
      <c r="CQ282" s="105"/>
      <c r="CR282" s="105"/>
      <c r="CS282" s="105"/>
      <c r="CT282" s="139"/>
      <c r="CU282" s="105"/>
      <c r="CV282" s="105"/>
      <c r="CW282" s="105"/>
      <c r="CX282" s="105"/>
      <c r="CY282" s="139"/>
      <c r="CZ282" s="105"/>
      <c r="DA282" s="105"/>
      <c r="DB282" s="105"/>
      <c r="DC282" s="105"/>
      <c r="DD282" s="139"/>
      <c r="DE282" s="105"/>
      <c r="DF282" s="105"/>
      <c r="DG282" s="105"/>
      <c r="DH282" s="105"/>
      <c r="DI282" s="139"/>
      <c r="DJ282" s="105"/>
      <c r="DK282" s="105"/>
      <c r="DL282" s="105"/>
      <c r="DM282" s="105"/>
      <c r="DN282" s="139"/>
      <c r="DO282" s="105"/>
      <c r="DP282" s="105"/>
      <c r="DQ282" s="105"/>
      <c r="DR282" s="105"/>
      <c r="DS282" s="139"/>
      <c r="DT282" s="105"/>
      <c r="DU282" s="105"/>
      <c r="DV282" s="105"/>
      <c r="DW282" s="105"/>
      <c r="DX282" s="139"/>
      <c r="DY282" s="105"/>
      <c r="DZ282" s="105"/>
      <c r="EA282" s="105"/>
      <c r="EB282" s="105"/>
      <c r="EC282" s="139"/>
      <c r="ED282" s="105"/>
      <c r="EE282" s="105"/>
      <c r="EF282" s="105"/>
      <c r="EG282" s="105"/>
      <c r="EH282" s="139"/>
      <c r="EI282" s="105"/>
      <c r="EJ282" s="105"/>
      <c r="EK282" s="105"/>
      <c r="EL282" s="105"/>
      <c r="EM282" s="139"/>
      <c r="EN282" s="105"/>
      <c r="EO282" s="105"/>
      <c r="EP282" s="105"/>
      <c r="EQ282" s="105"/>
      <c r="ER282" s="139"/>
      <c r="ES282" s="105"/>
      <c r="ET282" s="105"/>
      <c r="EU282" s="105"/>
      <c r="EV282" s="105"/>
      <c r="EW282" s="139"/>
      <c r="EX282" s="105"/>
      <c r="EY282" s="105"/>
      <c r="EZ282" s="105"/>
      <c r="FA282" s="105"/>
      <c r="FB282" s="139"/>
      <c r="FC282" s="105"/>
      <c r="FD282" s="105"/>
      <c r="FE282" s="105"/>
      <c r="FF282" s="105"/>
      <c r="FG282" s="139"/>
      <c r="FH282" s="105"/>
      <c r="FI282" s="105"/>
      <c r="FJ282" s="105"/>
      <c r="FK282" s="105"/>
      <c r="FL282" s="139"/>
      <c r="FM282" s="105"/>
      <c r="FN282" s="105"/>
      <c r="FO282" s="105"/>
      <c r="FP282" s="105"/>
      <c r="FQ282" s="139"/>
      <c r="FR282" s="105"/>
      <c r="FS282" s="105"/>
      <c r="FT282" s="105"/>
      <c r="FU282" s="105"/>
      <c r="FV282" s="139"/>
      <c r="FW282" s="105"/>
      <c r="FX282" s="105"/>
      <c r="FY282" s="105"/>
      <c r="FZ282" s="105"/>
      <c r="GA282" s="139"/>
      <c r="GB282" s="105"/>
      <c r="GC282" s="105"/>
      <c r="GD282" s="105"/>
      <c r="GE282" s="105"/>
    </row>
    <row r="285" spans="3:187" ht="12.75" customHeight="1">
      <c r="C285" s="183"/>
      <c r="D285" s="184"/>
      <c r="E285" s="184"/>
      <c r="F285" s="184"/>
      <c r="G285" s="184"/>
      <c r="H285" s="183"/>
      <c r="I285" s="184"/>
      <c r="J285" s="184"/>
      <c r="K285" s="184"/>
      <c r="L285" s="184"/>
      <c r="M285" s="183"/>
      <c r="N285" s="184"/>
      <c r="O285" s="184"/>
      <c r="P285" s="184"/>
      <c r="Q285" s="184"/>
      <c r="R285" s="183"/>
      <c r="S285" s="184"/>
      <c r="T285" s="184"/>
      <c r="U285" s="184"/>
      <c r="V285" s="184"/>
      <c r="W285" s="183"/>
      <c r="X285" s="184"/>
      <c r="Y285" s="184"/>
      <c r="Z285" s="184"/>
      <c r="AA285" s="184"/>
      <c r="AB285" s="183"/>
      <c r="AC285" s="184"/>
      <c r="AD285" s="184"/>
      <c r="AE285" s="184"/>
      <c r="AF285" s="184"/>
      <c r="AG285" s="183"/>
      <c r="AH285" s="184"/>
      <c r="AI285" s="184"/>
      <c r="AJ285" s="184"/>
      <c r="AK285" s="184"/>
      <c r="AL285" s="183"/>
      <c r="AM285" s="184"/>
      <c r="AN285" s="184"/>
      <c r="AO285" s="184"/>
      <c r="AP285" s="184"/>
      <c r="AQ285" s="183"/>
      <c r="AR285" s="184"/>
      <c r="AS285" s="184"/>
      <c r="AT285" s="184"/>
      <c r="AU285" s="184"/>
      <c r="AV285" s="183"/>
      <c r="AW285" s="184"/>
      <c r="AX285" s="184"/>
      <c r="AY285" s="184"/>
      <c r="AZ285" s="184"/>
      <c r="BA285" s="183"/>
      <c r="BB285" s="184"/>
      <c r="BC285" s="184"/>
      <c r="BD285" s="184"/>
      <c r="BE285" s="184"/>
      <c r="BF285" s="183"/>
      <c r="BG285" s="184"/>
      <c r="BH285" s="184"/>
      <c r="BI285" s="184"/>
      <c r="BJ285" s="184"/>
      <c r="BK285" s="183"/>
      <c r="BL285" s="184"/>
      <c r="BM285" s="184"/>
      <c r="BN285" s="184"/>
      <c r="BO285" s="184"/>
      <c r="BP285" s="183"/>
      <c r="BQ285" s="184"/>
      <c r="BR285" s="184"/>
      <c r="BS285" s="184"/>
      <c r="BT285" s="184"/>
      <c r="BU285" s="183"/>
      <c r="BV285" s="184"/>
      <c r="BW285" s="184"/>
      <c r="BX285" s="184"/>
      <c r="BY285" s="184"/>
      <c r="BZ285" s="183"/>
      <c r="CA285" s="184"/>
      <c r="CB285" s="184"/>
      <c r="CC285" s="184"/>
      <c r="CD285" s="184"/>
      <c r="CE285" s="183"/>
      <c r="CF285" s="184"/>
      <c r="CG285" s="184"/>
      <c r="CH285" s="184"/>
      <c r="CI285" s="184"/>
      <c r="CJ285" s="183"/>
      <c r="CK285" s="184"/>
      <c r="CL285" s="184"/>
      <c r="CM285" s="184"/>
      <c r="CN285" s="184"/>
      <c r="CO285" s="183"/>
      <c r="CP285" s="184"/>
      <c r="CQ285" s="184"/>
      <c r="CR285" s="184"/>
      <c r="CS285" s="184"/>
      <c r="CT285" s="183"/>
      <c r="CU285" s="184"/>
      <c r="CV285" s="184"/>
      <c r="CW285" s="184"/>
      <c r="CX285" s="184"/>
      <c r="CY285" s="183"/>
      <c r="CZ285" s="184"/>
      <c r="DA285" s="184"/>
      <c r="DB285" s="184"/>
      <c r="DC285" s="184"/>
      <c r="DD285" s="183"/>
      <c r="DE285" s="184"/>
      <c r="DF285" s="184"/>
      <c r="DG285" s="184"/>
      <c r="DH285" s="184"/>
      <c r="DI285" s="183"/>
      <c r="DJ285" s="184"/>
      <c r="DK285" s="184"/>
      <c r="DL285" s="184"/>
      <c r="DM285" s="184"/>
      <c r="DN285" s="183"/>
      <c r="DO285" s="184"/>
      <c r="DP285" s="184"/>
      <c r="DQ285" s="184"/>
      <c r="DR285" s="184"/>
      <c r="DS285" s="183"/>
      <c r="DT285" s="184"/>
      <c r="DU285" s="184"/>
      <c r="DV285" s="184"/>
      <c r="DW285" s="184"/>
      <c r="DX285" s="183"/>
      <c r="DY285" s="184"/>
      <c r="DZ285" s="184"/>
      <c r="EA285" s="184"/>
      <c r="EB285" s="184"/>
      <c r="EC285" s="183"/>
      <c r="ED285" s="184"/>
      <c r="EE285" s="184"/>
      <c r="EF285" s="184"/>
      <c r="EG285" s="184"/>
      <c r="EH285" s="183"/>
      <c r="EI285" s="184"/>
      <c r="EJ285" s="184"/>
      <c r="EK285" s="184"/>
      <c r="EL285" s="184"/>
      <c r="EM285" s="183"/>
      <c r="EN285" s="184"/>
      <c r="EO285" s="184"/>
      <c r="EP285" s="184"/>
      <c r="EQ285" s="184"/>
      <c r="ER285" s="183"/>
      <c r="ES285" s="184"/>
      <c r="ET285" s="184"/>
      <c r="EU285" s="184"/>
      <c r="EV285" s="184"/>
      <c r="EW285" s="183"/>
      <c r="EX285" s="184"/>
      <c r="EY285" s="184"/>
      <c r="EZ285" s="184"/>
      <c r="FA285" s="184"/>
      <c r="FB285" s="183"/>
      <c r="FC285" s="184"/>
      <c r="FD285" s="184"/>
      <c r="FE285" s="184"/>
      <c r="FF285" s="184"/>
      <c r="FG285" s="183"/>
      <c r="FH285" s="184"/>
      <c r="FI285" s="184"/>
      <c r="FJ285" s="184"/>
      <c r="FK285" s="184"/>
      <c r="FL285" s="183"/>
      <c r="FM285" s="184"/>
      <c r="FN285" s="184"/>
      <c r="FO285" s="184"/>
      <c r="FP285" s="184"/>
      <c r="FQ285" s="183"/>
      <c r="FR285" s="184"/>
      <c r="FS285" s="184"/>
      <c r="FT285" s="184"/>
      <c r="FU285" s="184"/>
      <c r="FV285" s="183"/>
      <c r="FW285" s="184"/>
      <c r="FX285" s="184"/>
      <c r="FY285" s="184"/>
      <c r="FZ285" s="184"/>
      <c r="GA285" s="183"/>
      <c r="GB285" s="184"/>
      <c r="GC285" s="184"/>
      <c r="GD285" s="184"/>
      <c r="GE285" s="184"/>
    </row>
    <row r="288" spans="3:187" ht="12.75" customHeight="1">
      <c r="C288" s="139"/>
      <c r="D288" s="105"/>
      <c r="E288" s="105"/>
      <c r="F288" s="105"/>
      <c r="G288" s="105"/>
      <c r="H288" s="139"/>
      <c r="I288" s="105"/>
      <c r="J288" s="105"/>
      <c r="K288" s="105"/>
      <c r="L288" s="105"/>
      <c r="M288" s="139"/>
      <c r="N288" s="105"/>
      <c r="O288" s="105"/>
      <c r="P288" s="105"/>
      <c r="Q288" s="105"/>
      <c r="R288" s="139"/>
      <c r="S288" s="105"/>
      <c r="T288" s="105"/>
      <c r="U288" s="105"/>
      <c r="V288" s="105"/>
      <c r="W288" s="139"/>
      <c r="X288" s="105"/>
      <c r="Y288" s="105"/>
      <c r="Z288" s="105"/>
      <c r="AA288" s="105"/>
      <c r="AB288" s="139"/>
      <c r="AC288" s="105"/>
      <c r="AD288" s="105"/>
      <c r="AE288" s="105"/>
      <c r="AF288" s="105"/>
      <c r="AG288" s="139"/>
      <c r="AH288" s="105"/>
      <c r="AI288" s="105"/>
      <c r="AJ288" s="105"/>
      <c r="AK288" s="105"/>
      <c r="AL288" s="139"/>
      <c r="AM288" s="105"/>
      <c r="AN288" s="105"/>
      <c r="AO288" s="105"/>
      <c r="AP288" s="105"/>
      <c r="AQ288" s="139"/>
      <c r="AR288" s="105"/>
      <c r="AS288" s="105"/>
      <c r="AT288" s="105"/>
      <c r="AU288" s="105"/>
      <c r="AV288" s="139"/>
      <c r="AW288" s="105"/>
      <c r="AX288" s="105"/>
      <c r="AY288" s="105"/>
      <c r="AZ288" s="105"/>
      <c r="BA288" s="139"/>
      <c r="BB288" s="105"/>
      <c r="BC288" s="105"/>
      <c r="BD288" s="105"/>
      <c r="BE288" s="105"/>
      <c r="BF288" s="139"/>
      <c r="BG288" s="105"/>
      <c r="BH288" s="105"/>
      <c r="BI288" s="105"/>
      <c r="BJ288" s="105"/>
      <c r="BK288" s="139"/>
      <c r="BL288" s="105"/>
      <c r="BM288" s="105"/>
      <c r="BN288" s="105"/>
      <c r="BO288" s="105"/>
      <c r="BP288" s="139"/>
      <c r="BQ288" s="105"/>
      <c r="BR288" s="105"/>
      <c r="BS288" s="105"/>
      <c r="BT288" s="105"/>
      <c r="BU288" s="139"/>
      <c r="BV288" s="105"/>
      <c r="BW288" s="105"/>
      <c r="BX288" s="105"/>
      <c r="BY288" s="105"/>
      <c r="BZ288" s="139"/>
      <c r="CA288" s="105"/>
      <c r="CB288" s="105"/>
      <c r="CC288" s="105"/>
      <c r="CD288" s="105"/>
      <c r="CE288" s="139"/>
      <c r="CF288" s="105"/>
      <c r="CG288" s="105"/>
      <c r="CH288" s="105"/>
      <c r="CI288" s="105"/>
      <c r="CJ288" s="139"/>
      <c r="CK288" s="105"/>
      <c r="CL288" s="105"/>
      <c r="CM288" s="105"/>
      <c r="CN288" s="105"/>
      <c r="CO288" s="139"/>
      <c r="CP288" s="105"/>
      <c r="CQ288" s="105"/>
      <c r="CR288" s="105"/>
      <c r="CS288" s="105"/>
      <c r="CT288" s="139"/>
      <c r="CU288" s="105"/>
      <c r="CV288" s="105"/>
      <c r="CW288" s="105"/>
      <c r="CX288" s="105"/>
      <c r="CY288" s="139"/>
      <c r="CZ288" s="105"/>
      <c r="DA288" s="105"/>
      <c r="DB288" s="105"/>
      <c r="DC288" s="105"/>
      <c r="DD288" s="139"/>
      <c r="DE288" s="105"/>
      <c r="DF288" s="105"/>
      <c r="DG288" s="105"/>
      <c r="DH288" s="105"/>
      <c r="DI288" s="139"/>
      <c r="DJ288" s="105"/>
      <c r="DK288" s="105"/>
      <c r="DL288" s="105"/>
      <c r="DM288" s="105"/>
      <c r="DN288" s="139"/>
      <c r="DO288" s="105"/>
      <c r="DP288" s="105"/>
      <c r="DQ288" s="105"/>
      <c r="DR288" s="105"/>
      <c r="DS288" s="139"/>
      <c r="DT288" s="105"/>
      <c r="DU288" s="105"/>
      <c r="DV288" s="105"/>
      <c r="DW288" s="105"/>
      <c r="DX288" s="139"/>
      <c r="DY288" s="105"/>
      <c r="DZ288" s="105"/>
      <c r="EA288" s="105"/>
      <c r="EB288" s="105"/>
      <c r="EC288" s="139"/>
      <c r="ED288" s="105"/>
      <c r="EE288" s="105"/>
      <c r="EF288" s="105"/>
      <c r="EG288" s="105"/>
      <c r="EH288" s="139"/>
      <c r="EI288" s="105"/>
      <c r="EJ288" s="105"/>
      <c r="EK288" s="105"/>
      <c r="EL288" s="105"/>
      <c r="EM288" s="139"/>
      <c r="EN288" s="105"/>
      <c r="EO288" s="105"/>
      <c r="EP288" s="105"/>
      <c r="EQ288" s="105"/>
      <c r="ER288" s="139"/>
      <c r="ES288" s="105"/>
      <c r="ET288" s="105"/>
      <c r="EU288" s="105"/>
      <c r="EV288" s="105"/>
      <c r="EW288" s="139"/>
      <c r="EX288" s="105"/>
      <c r="EY288" s="105"/>
      <c r="EZ288" s="105"/>
      <c r="FA288" s="105"/>
      <c r="FB288" s="139"/>
      <c r="FC288" s="105"/>
      <c r="FD288" s="105"/>
      <c r="FE288" s="105"/>
      <c r="FF288" s="105"/>
      <c r="FG288" s="139"/>
      <c r="FH288" s="105"/>
      <c r="FI288" s="105"/>
      <c r="FJ288" s="105"/>
      <c r="FK288" s="105"/>
      <c r="FL288" s="139"/>
      <c r="FM288" s="105"/>
      <c r="FN288" s="105"/>
      <c r="FO288" s="105"/>
      <c r="FP288" s="105"/>
      <c r="FQ288" s="139"/>
      <c r="FR288" s="105"/>
      <c r="FS288" s="105"/>
      <c r="FT288" s="105"/>
      <c r="FU288" s="105"/>
      <c r="FV288" s="139"/>
      <c r="FW288" s="105"/>
      <c r="FX288" s="105"/>
      <c r="FY288" s="105"/>
      <c r="FZ288" s="105"/>
      <c r="GA288" s="139"/>
      <c r="GB288" s="105"/>
      <c r="GC288" s="105"/>
      <c r="GD288" s="105"/>
      <c r="GE288" s="105"/>
    </row>
    <row r="289" spans="3:187" ht="12.75" customHeight="1">
      <c r="C289" s="185"/>
      <c r="D289" s="186"/>
      <c r="E289" s="186"/>
      <c r="F289" s="186"/>
      <c r="G289" s="186"/>
      <c r="H289" s="185"/>
      <c r="I289" s="186"/>
      <c r="J289" s="186"/>
      <c r="K289" s="186"/>
      <c r="L289" s="186"/>
      <c r="M289" s="185"/>
      <c r="N289" s="186"/>
      <c r="O289" s="186"/>
      <c r="P289" s="186"/>
      <c r="Q289" s="186"/>
      <c r="R289" s="185"/>
      <c r="S289" s="186"/>
      <c r="T289" s="186"/>
      <c r="U289" s="186"/>
      <c r="V289" s="186"/>
      <c r="W289" s="185"/>
      <c r="X289" s="186"/>
      <c r="Y289" s="186"/>
      <c r="Z289" s="186"/>
      <c r="AA289" s="186"/>
      <c r="AB289" s="185"/>
      <c r="AC289" s="186"/>
      <c r="AD289" s="186"/>
      <c r="AE289" s="186"/>
      <c r="AF289" s="186"/>
      <c r="AG289" s="185"/>
      <c r="AH289" s="186"/>
      <c r="AI289" s="186"/>
      <c r="AJ289" s="186"/>
      <c r="AK289" s="186"/>
      <c r="AL289" s="185"/>
      <c r="AM289" s="186"/>
      <c r="AN289" s="186"/>
      <c r="AO289" s="186"/>
      <c r="AP289" s="186"/>
      <c r="AQ289" s="185"/>
      <c r="AR289" s="186"/>
      <c r="AS289" s="186"/>
      <c r="AT289" s="186"/>
      <c r="AU289" s="186"/>
      <c r="AV289" s="185"/>
      <c r="AW289" s="186"/>
      <c r="AX289" s="186"/>
      <c r="AY289" s="186"/>
      <c r="AZ289" s="186"/>
      <c r="BA289" s="185"/>
      <c r="BB289" s="186"/>
      <c r="BC289" s="186"/>
      <c r="BD289" s="186"/>
      <c r="BE289" s="186"/>
      <c r="BF289" s="185"/>
      <c r="BG289" s="186"/>
      <c r="BH289" s="186"/>
      <c r="BI289" s="186"/>
      <c r="BJ289" s="186"/>
      <c r="BK289" s="185"/>
      <c r="BL289" s="186"/>
      <c r="BM289" s="186"/>
      <c r="BN289" s="186"/>
      <c r="BO289" s="186"/>
      <c r="BP289" s="185"/>
      <c r="BQ289" s="186"/>
      <c r="BR289" s="186"/>
      <c r="BS289" s="186"/>
      <c r="BT289" s="186"/>
      <c r="BU289" s="185"/>
      <c r="BV289" s="186"/>
      <c r="BW289" s="186"/>
      <c r="BX289" s="186"/>
      <c r="BY289" s="186"/>
      <c r="BZ289" s="185"/>
      <c r="CA289" s="186"/>
      <c r="CB289" s="186"/>
      <c r="CC289" s="186"/>
      <c r="CD289" s="186"/>
      <c r="CE289" s="185"/>
      <c r="CF289" s="186"/>
      <c r="CG289" s="186"/>
      <c r="CH289" s="186"/>
      <c r="CI289" s="186"/>
      <c r="CJ289" s="185"/>
      <c r="CK289" s="186"/>
      <c r="CL289" s="186"/>
      <c r="CM289" s="186"/>
      <c r="CN289" s="186"/>
      <c r="CO289" s="185"/>
      <c r="CP289" s="186"/>
      <c r="CQ289" s="186"/>
      <c r="CR289" s="186"/>
      <c r="CS289" s="186"/>
      <c r="CT289" s="185"/>
      <c r="CU289" s="186"/>
      <c r="CV289" s="186"/>
      <c r="CW289" s="186"/>
      <c r="CX289" s="186"/>
      <c r="CY289" s="185"/>
      <c r="CZ289" s="186"/>
      <c r="DA289" s="186"/>
      <c r="DB289" s="186"/>
      <c r="DC289" s="186"/>
      <c r="DD289" s="185"/>
      <c r="DE289" s="186"/>
      <c r="DF289" s="186"/>
      <c r="DG289" s="186"/>
      <c r="DH289" s="186"/>
      <c r="DI289" s="185"/>
      <c r="DJ289" s="186"/>
      <c r="DK289" s="186"/>
      <c r="DL289" s="186"/>
      <c r="DM289" s="186"/>
      <c r="DN289" s="185"/>
      <c r="DO289" s="186"/>
      <c r="DP289" s="186"/>
      <c r="DQ289" s="186"/>
      <c r="DR289" s="186"/>
      <c r="DS289" s="185"/>
      <c r="DT289" s="186"/>
      <c r="DU289" s="186"/>
      <c r="DV289" s="186"/>
      <c r="DW289" s="186"/>
      <c r="DX289" s="185"/>
      <c r="DY289" s="186"/>
      <c r="DZ289" s="186"/>
      <c r="EA289" s="186"/>
      <c r="EB289" s="186"/>
      <c r="EC289" s="185"/>
      <c r="ED289" s="186"/>
      <c r="EE289" s="186"/>
      <c r="EF289" s="186"/>
      <c r="EG289" s="186"/>
      <c r="EH289" s="185"/>
      <c r="EI289" s="186"/>
      <c r="EJ289" s="186"/>
      <c r="EK289" s="186"/>
      <c r="EL289" s="186"/>
      <c r="EM289" s="185"/>
      <c r="EN289" s="186"/>
      <c r="EO289" s="186"/>
      <c r="EP289" s="186"/>
      <c r="EQ289" s="186"/>
      <c r="ER289" s="185"/>
      <c r="ES289" s="186"/>
      <c r="ET289" s="186"/>
      <c r="EU289" s="186"/>
      <c r="EV289" s="186"/>
      <c r="EW289" s="185"/>
      <c r="EX289" s="186"/>
      <c r="EY289" s="186"/>
      <c r="EZ289" s="186"/>
      <c r="FA289" s="186"/>
      <c r="FB289" s="185"/>
      <c r="FC289" s="186"/>
      <c r="FD289" s="186"/>
      <c r="FE289" s="186"/>
      <c r="FF289" s="186"/>
      <c r="FG289" s="185"/>
      <c r="FH289" s="186"/>
      <c r="FI289" s="186"/>
      <c r="FJ289" s="186"/>
      <c r="FK289" s="186"/>
      <c r="FL289" s="185"/>
      <c r="FM289" s="186"/>
      <c r="FN289" s="186"/>
      <c r="FO289" s="186"/>
      <c r="FP289" s="186"/>
      <c r="FQ289" s="185"/>
      <c r="FR289" s="186"/>
      <c r="FS289" s="186"/>
      <c r="FT289" s="186"/>
      <c r="FU289" s="186"/>
      <c r="FV289" s="185"/>
      <c r="FW289" s="186"/>
      <c r="FX289" s="186"/>
      <c r="FY289" s="186"/>
      <c r="FZ289" s="186"/>
      <c r="GA289" s="185"/>
      <c r="GB289" s="186"/>
      <c r="GC289" s="186"/>
      <c r="GD289" s="186"/>
      <c r="GE289" s="186"/>
    </row>
    <row r="290" spans="3:187" ht="12.75" customHeight="1">
      <c r="C290" s="181"/>
      <c r="D290" s="105"/>
      <c r="E290" s="105"/>
      <c r="F290" s="105"/>
      <c r="G290" s="105"/>
      <c r="H290" s="181"/>
      <c r="I290" s="105"/>
      <c r="J290" s="105"/>
      <c r="K290" s="105"/>
      <c r="L290" s="105"/>
      <c r="M290" s="181"/>
      <c r="N290" s="105"/>
      <c r="O290" s="105"/>
      <c r="P290" s="105"/>
      <c r="Q290" s="105"/>
      <c r="R290" s="181"/>
      <c r="S290" s="105"/>
      <c r="T290" s="105"/>
      <c r="U290" s="105"/>
      <c r="V290" s="105"/>
      <c r="W290" s="181"/>
      <c r="X290" s="105"/>
      <c r="Y290" s="105"/>
      <c r="Z290" s="105"/>
      <c r="AA290" s="105"/>
      <c r="AB290" s="181"/>
      <c r="AC290" s="105"/>
      <c r="AD290" s="105"/>
      <c r="AE290" s="105"/>
      <c r="AF290" s="105"/>
      <c r="AG290" s="181"/>
      <c r="AH290" s="105"/>
      <c r="AI290" s="105"/>
      <c r="AJ290" s="105"/>
      <c r="AK290" s="105"/>
      <c r="AL290" s="181"/>
      <c r="AM290" s="105"/>
      <c r="AN290" s="105"/>
      <c r="AO290" s="105"/>
      <c r="AP290" s="105"/>
      <c r="AQ290" s="181"/>
      <c r="AR290" s="105"/>
      <c r="AS290" s="105"/>
      <c r="AT290" s="105"/>
      <c r="AU290" s="105"/>
      <c r="AV290" s="181"/>
      <c r="AW290" s="105"/>
      <c r="AX290" s="105"/>
      <c r="AY290" s="105"/>
      <c r="AZ290" s="105"/>
      <c r="BA290" s="181"/>
      <c r="BB290" s="105"/>
      <c r="BC290" s="105"/>
      <c r="BD290" s="105"/>
      <c r="BE290" s="105"/>
      <c r="BF290" s="181"/>
      <c r="BG290" s="105"/>
      <c r="BH290" s="105"/>
      <c r="BI290" s="105"/>
      <c r="BJ290" s="105"/>
      <c r="BK290" s="181"/>
      <c r="BL290" s="105"/>
      <c r="BM290" s="105"/>
      <c r="BN290" s="105"/>
      <c r="BO290" s="105"/>
      <c r="BP290" s="181"/>
      <c r="BQ290" s="105"/>
      <c r="BR290" s="105"/>
      <c r="BS290" s="105"/>
      <c r="BT290" s="105"/>
      <c r="BU290" s="181"/>
      <c r="BV290" s="105"/>
      <c r="BW290" s="105"/>
      <c r="BX290" s="105"/>
      <c r="BY290" s="105"/>
      <c r="BZ290" s="181"/>
      <c r="CA290" s="105"/>
      <c r="CB290" s="105"/>
      <c r="CC290" s="105"/>
      <c r="CD290" s="105"/>
      <c r="CE290" s="181"/>
      <c r="CF290" s="105"/>
      <c r="CG290" s="105"/>
      <c r="CH290" s="105"/>
      <c r="CI290" s="105"/>
      <c r="CJ290" s="181"/>
      <c r="CK290" s="105"/>
      <c r="CL290" s="105"/>
      <c r="CM290" s="105"/>
      <c r="CN290" s="105"/>
      <c r="CO290" s="181"/>
      <c r="CP290" s="105"/>
      <c r="CQ290" s="105"/>
      <c r="CR290" s="105"/>
      <c r="CS290" s="105"/>
      <c r="CT290" s="181"/>
      <c r="CU290" s="105"/>
      <c r="CV290" s="105"/>
      <c r="CW290" s="105"/>
      <c r="CX290" s="105"/>
      <c r="CY290" s="181"/>
      <c r="CZ290" s="105"/>
      <c r="DA290" s="105"/>
      <c r="DB290" s="105"/>
      <c r="DC290" s="105"/>
      <c r="DD290" s="181"/>
      <c r="DE290" s="105"/>
      <c r="DF290" s="105"/>
      <c r="DG290" s="105"/>
      <c r="DH290" s="105"/>
      <c r="DI290" s="181"/>
      <c r="DJ290" s="105"/>
      <c r="DK290" s="105"/>
      <c r="DL290" s="105"/>
      <c r="DM290" s="105"/>
      <c r="DN290" s="181"/>
      <c r="DO290" s="105"/>
      <c r="DP290" s="105"/>
      <c r="DQ290" s="105"/>
      <c r="DR290" s="105"/>
      <c r="DS290" s="181"/>
      <c r="DT290" s="105"/>
      <c r="DU290" s="105"/>
      <c r="DV290" s="105"/>
      <c r="DW290" s="105"/>
      <c r="DX290" s="181"/>
      <c r="DY290" s="105"/>
      <c r="DZ290" s="105"/>
      <c r="EA290" s="105"/>
      <c r="EB290" s="105"/>
      <c r="EC290" s="181"/>
      <c r="ED290" s="105"/>
      <c r="EE290" s="105"/>
      <c r="EF290" s="105"/>
      <c r="EG290" s="105"/>
      <c r="EH290" s="181"/>
      <c r="EI290" s="105"/>
      <c r="EJ290" s="105"/>
      <c r="EK290" s="105"/>
      <c r="EL290" s="105"/>
      <c r="EM290" s="181"/>
      <c r="EN290" s="105"/>
      <c r="EO290" s="105"/>
      <c r="EP290" s="105"/>
      <c r="EQ290" s="105"/>
      <c r="ER290" s="181"/>
      <c r="ES290" s="105"/>
      <c r="ET290" s="105"/>
      <c r="EU290" s="105"/>
      <c r="EV290" s="105"/>
      <c r="EW290" s="181"/>
      <c r="EX290" s="105"/>
      <c r="EY290" s="105"/>
      <c r="EZ290" s="105"/>
      <c r="FA290" s="105"/>
      <c r="FB290" s="181"/>
      <c r="FC290" s="105"/>
      <c r="FD290" s="105"/>
      <c r="FE290" s="105"/>
      <c r="FF290" s="105"/>
      <c r="FG290" s="181"/>
      <c r="FH290" s="105"/>
      <c r="FI290" s="105"/>
      <c r="FJ290" s="105"/>
      <c r="FK290" s="105"/>
      <c r="FL290" s="181"/>
      <c r="FM290" s="105"/>
      <c r="FN290" s="105"/>
      <c r="FO290" s="105"/>
      <c r="FP290" s="105"/>
      <c r="FQ290" s="181"/>
      <c r="FR290" s="105"/>
      <c r="FS290" s="105"/>
      <c r="FT290" s="105"/>
      <c r="FU290" s="105"/>
      <c r="FV290" s="181"/>
      <c r="FW290" s="105"/>
      <c r="FX290" s="105"/>
      <c r="FY290" s="105"/>
      <c r="FZ290" s="105"/>
      <c r="GA290" s="181"/>
      <c r="GB290" s="105"/>
      <c r="GC290" s="105"/>
      <c r="GD290" s="105"/>
      <c r="GE290" s="105"/>
    </row>
    <row r="292" spans="3:187" ht="12.75" customHeight="1">
      <c r="C292" s="176"/>
      <c r="D292" s="177"/>
      <c r="E292" s="177"/>
      <c r="F292" s="177"/>
      <c r="G292" s="177"/>
      <c r="H292" s="176"/>
      <c r="I292" s="177"/>
      <c r="J292" s="177"/>
      <c r="K292" s="177"/>
      <c r="L292" s="177"/>
      <c r="M292" s="176"/>
      <c r="N292" s="177"/>
      <c r="O292" s="177"/>
      <c r="P292" s="177"/>
      <c r="Q292" s="177"/>
      <c r="R292" s="176"/>
      <c r="S292" s="177"/>
      <c r="T292" s="177"/>
      <c r="U292" s="177"/>
      <c r="V292" s="177"/>
      <c r="W292" s="176"/>
      <c r="X292" s="177"/>
      <c r="Y292" s="177"/>
      <c r="Z292" s="177"/>
      <c r="AA292" s="177"/>
      <c r="AB292" s="176"/>
      <c r="AC292" s="177"/>
      <c r="AD292" s="177"/>
      <c r="AE292" s="177"/>
      <c r="AF292" s="177"/>
      <c r="AG292" s="176"/>
      <c r="AH292" s="177"/>
      <c r="AI292" s="177"/>
      <c r="AJ292" s="177"/>
      <c r="AK292" s="177"/>
      <c r="AL292" s="176"/>
      <c r="AM292" s="177"/>
      <c r="AN292" s="177"/>
      <c r="AO292" s="177"/>
      <c r="AP292" s="177"/>
      <c r="AQ292" s="176"/>
      <c r="AR292" s="177"/>
      <c r="AS292" s="177"/>
      <c r="AT292" s="177"/>
      <c r="AU292" s="177"/>
      <c r="AV292" s="176"/>
      <c r="AW292" s="177"/>
      <c r="AX292" s="177"/>
      <c r="AY292" s="177"/>
      <c r="AZ292" s="177"/>
      <c r="BA292" s="176"/>
      <c r="BB292" s="177"/>
      <c r="BC292" s="177"/>
      <c r="BD292" s="177"/>
      <c r="BE292" s="177"/>
      <c r="BF292" s="176"/>
      <c r="BG292" s="177"/>
      <c r="BH292" s="177"/>
      <c r="BI292" s="177"/>
      <c r="BJ292" s="177"/>
      <c r="BK292" s="176"/>
      <c r="BL292" s="177"/>
      <c r="BM292" s="177"/>
      <c r="BN292" s="177"/>
      <c r="BO292" s="177"/>
      <c r="BP292" s="176"/>
      <c r="BQ292" s="177"/>
      <c r="BR292" s="177"/>
      <c r="BS292" s="177"/>
      <c r="BT292" s="177"/>
      <c r="BU292" s="176"/>
      <c r="BV292" s="177"/>
      <c r="BW292" s="177"/>
      <c r="BX292" s="177"/>
      <c r="BY292" s="177"/>
      <c r="BZ292" s="176"/>
      <c r="CA292" s="177"/>
      <c r="CB292" s="177"/>
      <c r="CC292" s="177"/>
      <c r="CD292" s="177"/>
      <c r="CE292" s="176"/>
      <c r="CF292" s="177"/>
      <c r="CG292" s="177"/>
      <c r="CH292" s="177"/>
      <c r="CI292" s="177"/>
      <c r="CJ292" s="176"/>
      <c r="CK292" s="177"/>
      <c r="CL292" s="177"/>
      <c r="CM292" s="177"/>
      <c r="CN292" s="177"/>
      <c r="CO292" s="176"/>
      <c r="CP292" s="177"/>
      <c r="CQ292" s="177"/>
      <c r="CR292" s="177"/>
      <c r="CS292" s="177"/>
      <c r="CT292" s="176"/>
      <c r="CU292" s="177"/>
      <c r="CV292" s="177"/>
      <c r="CW292" s="177"/>
      <c r="CX292" s="177"/>
      <c r="CY292" s="176"/>
      <c r="CZ292" s="177"/>
      <c r="DA292" s="177"/>
      <c r="DB292" s="177"/>
      <c r="DC292" s="177"/>
      <c r="DD292" s="176"/>
      <c r="DE292" s="177"/>
      <c r="DF292" s="177"/>
      <c r="DG292" s="177"/>
      <c r="DH292" s="177"/>
      <c r="DI292" s="176"/>
      <c r="DJ292" s="177"/>
      <c r="DK292" s="177"/>
      <c r="DL292" s="177"/>
      <c r="DM292" s="177"/>
      <c r="DN292" s="176"/>
      <c r="DO292" s="177"/>
      <c r="DP292" s="177"/>
      <c r="DQ292" s="177"/>
      <c r="DR292" s="177"/>
      <c r="DS292" s="176"/>
      <c r="DT292" s="177"/>
      <c r="DU292" s="177"/>
      <c r="DV292" s="177"/>
      <c r="DW292" s="177"/>
      <c r="DX292" s="176"/>
      <c r="DY292" s="177"/>
      <c r="DZ292" s="177"/>
      <c r="EA292" s="177"/>
      <c r="EB292" s="177"/>
      <c r="EC292" s="176"/>
      <c r="ED292" s="177"/>
      <c r="EE292" s="177"/>
      <c r="EF292" s="177"/>
      <c r="EG292" s="177"/>
      <c r="EH292" s="176"/>
      <c r="EI292" s="177"/>
      <c r="EJ292" s="177"/>
      <c r="EK292" s="177"/>
      <c r="EL292" s="177"/>
      <c r="EM292" s="176"/>
      <c r="EN292" s="177"/>
      <c r="EO292" s="177"/>
      <c r="EP292" s="177"/>
      <c r="EQ292" s="177"/>
      <c r="ER292" s="176"/>
      <c r="ES292" s="177"/>
      <c r="ET292" s="177"/>
      <c r="EU292" s="177"/>
      <c r="EV292" s="177"/>
      <c r="EW292" s="176"/>
      <c r="EX292" s="177"/>
      <c r="EY292" s="177"/>
      <c r="EZ292" s="177"/>
      <c r="FA292" s="177"/>
      <c r="FB292" s="176"/>
      <c r="FC292" s="177"/>
      <c r="FD292" s="177"/>
      <c r="FE292" s="177"/>
      <c r="FF292" s="177"/>
      <c r="FG292" s="176"/>
      <c r="FH292" s="177"/>
      <c r="FI292" s="177"/>
      <c r="FJ292" s="177"/>
      <c r="FK292" s="177"/>
      <c r="FL292" s="176"/>
      <c r="FM292" s="177"/>
      <c r="FN292" s="177"/>
      <c r="FO292" s="177"/>
      <c r="FP292" s="177"/>
      <c r="FQ292" s="176"/>
      <c r="FR292" s="177"/>
      <c r="FS292" s="177"/>
      <c r="FT292" s="177"/>
      <c r="FU292" s="177"/>
      <c r="FV292" s="176"/>
      <c r="FW292" s="177"/>
      <c r="FX292" s="177"/>
      <c r="FY292" s="177"/>
      <c r="FZ292" s="177"/>
      <c r="GA292" s="176"/>
      <c r="GB292" s="177"/>
      <c r="GC292" s="177"/>
      <c r="GD292" s="177"/>
      <c r="GE292" s="177"/>
    </row>
    <row r="293" spans="3:187" ht="12.75" customHeight="1">
      <c r="C293" s="139"/>
      <c r="D293" s="105"/>
      <c r="E293" s="105"/>
      <c r="F293" s="105"/>
      <c r="G293" s="105"/>
      <c r="H293" s="139"/>
      <c r="I293" s="105"/>
      <c r="J293" s="105"/>
      <c r="K293" s="105"/>
      <c r="L293" s="105"/>
      <c r="M293" s="139"/>
      <c r="N293" s="105"/>
      <c r="O293" s="105"/>
      <c r="P293" s="105"/>
      <c r="Q293" s="105"/>
      <c r="R293" s="139"/>
      <c r="S293" s="105"/>
      <c r="T293" s="105"/>
      <c r="U293" s="105"/>
      <c r="V293" s="105"/>
      <c r="W293" s="139"/>
      <c r="X293" s="105"/>
      <c r="Y293" s="105"/>
      <c r="Z293" s="105"/>
      <c r="AA293" s="105"/>
      <c r="AB293" s="139"/>
      <c r="AC293" s="105"/>
      <c r="AD293" s="105"/>
      <c r="AE293" s="105"/>
      <c r="AF293" s="105"/>
      <c r="AG293" s="139"/>
      <c r="AH293" s="105"/>
      <c r="AI293" s="105"/>
      <c r="AJ293" s="105"/>
      <c r="AK293" s="105"/>
      <c r="AL293" s="139"/>
      <c r="AM293" s="105"/>
      <c r="AN293" s="105"/>
      <c r="AO293" s="105"/>
      <c r="AP293" s="105"/>
      <c r="AQ293" s="139"/>
      <c r="AR293" s="105"/>
      <c r="AS293" s="105"/>
      <c r="AT293" s="105"/>
      <c r="AU293" s="105"/>
      <c r="AV293" s="139"/>
      <c r="AW293" s="105"/>
      <c r="AX293" s="105"/>
      <c r="AY293" s="105"/>
      <c r="AZ293" s="105"/>
      <c r="BA293" s="139"/>
      <c r="BB293" s="105"/>
      <c r="BC293" s="105"/>
      <c r="BD293" s="105"/>
      <c r="BE293" s="105"/>
      <c r="BF293" s="139"/>
      <c r="BG293" s="105"/>
      <c r="BH293" s="105"/>
      <c r="BI293" s="105"/>
      <c r="BJ293" s="105"/>
      <c r="BK293" s="139"/>
      <c r="BL293" s="105"/>
      <c r="BM293" s="105"/>
      <c r="BN293" s="105"/>
      <c r="BO293" s="105"/>
      <c r="BP293" s="139"/>
      <c r="BQ293" s="105"/>
      <c r="BR293" s="105"/>
      <c r="BS293" s="105"/>
      <c r="BT293" s="105"/>
      <c r="BU293" s="139"/>
      <c r="BV293" s="105"/>
      <c r="BW293" s="105"/>
      <c r="BX293" s="105"/>
      <c r="BY293" s="105"/>
      <c r="BZ293" s="139"/>
      <c r="CA293" s="105"/>
      <c r="CB293" s="105"/>
      <c r="CC293" s="105"/>
      <c r="CD293" s="105"/>
      <c r="CE293" s="139"/>
      <c r="CF293" s="105"/>
      <c r="CG293" s="105"/>
      <c r="CH293" s="105"/>
      <c r="CI293" s="105"/>
      <c r="CJ293" s="139"/>
      <c r="CK293" s="105"/>
      <c r="CL293" s="105"/>
      <c r="CM293" s="105"/>
      <c r="CN293" s="105"/>
      <c r="CO293" s="139"/>
      <c r="CP293" s="105"/>
      <c r="CQ293" s="105"/>
      <c r="CR293" s="105"/>
      <c r="CS293" s="105"/>
      <c r="CT293" s="139"/>
      <c r="CU293" s="105"/>
      <c r="CV293" s="105"/>
      <c r="CW293" s="105"/>
      <c r="CX293" s="105"/>
      <c r="CY293" s="139"/>
      <c r="CZ293" s="105"/>
      <c r="DA293" s="105"/>
      <c r="DB293" s="105"/>
      <c r="DC293" s="105"/>
      <c r="DD293" s="139"/>
      <c r="DE293" s="105"/>
      <c r="DF293" s="105"/>
      <c r="DG293" s="105"/>
      <c r="DH293" s="105"/>
      <c r="DI293" s="139"/>
      <c r="DJ293" s="105"/>
      <c r="DK293" s="105"/>
      <c r="DL293" s="105"/>
      <c r="DM293" s="105"/>
      <c r="DN293" s="139"/>
      <c r="DO293" s="105"/>
      <c r="DP293" s="105"/>
      <c r="DQ293" s="105"/>
      <c r="DR293" s="105"/>
      <c r="DS293" s="139"/>
      <c r="DT293" s="105"/>
      <c r="DU293" s="105"/>
      <c r="DV293" s="105"/>
      <c r="DW293" s="105"/>
      <c r="DX293" s="139"/>
      <c r="DY293" s="105"/>
      <c r="DZ293" s="105"/>
      <c r="EA293" s="105"/>
      <c r="EB293" s="105"/>
      <c r="EC293" s="139"/>
      <c r="ED293" s="105"/>
      <c r="EE293" s="105"/>
      <c r="EF293" s="105"/>
      <c r="EG293" s="105"/>
      <c r="EH293" s="139"/>
      <c r="EI293" s="105"/>
      <c r="EJ293" s="105"/>
      <c r="EK293" s="105"/>
      <c r="EL293" s="105"/>
      <c r="EM293" s="139"/>
      <c r="EN293" s="105"/>
      <c r="EO293" s="105"/>
      <c r="EP293" s="105"/>
      <c r="EQ293" s="105"/>
      <c r="ER293" s="139"/>
      <c r="ES293" s="105"/>
      <c r="ET293" s="105"/>
      <c r="EU293" s="105"/>
      <c r="EV293" s="105"/>
      <c r="EW293" s="139"/>
      <c r="EX293" s="105"/>
      <c r="EY293" s="105"/>
      <c r="EZ293" s="105"/>
      <c r="FA293" s="105"/>
      <c r="FB293" s="139"/>
      <c r="FC293" s="105"/>
      <c r="FD293" s="105"/>
      <c r="FE293" s="105"/>
      <c r="FF293" s="105"/>
      <c r="FG293" s="139"/>
      <c r="FH293" s="105"/>
      <c r="FI293" s="105"/>
      <c r="FJ293" s="105"/>
      <c r="FK293" s="105"/>
      <c r="FL293" s="139"/>
      <c r="FM293" s="105"/>
      <c r="FN293" s="105"/>
      <c r="FO293" s="105"/>
      <c r="FP293" s="105"/>
      <c r="FQ293" s="139"/>
      <c r="FR293" s="105"/>
      <c r="FS293" s="105"/>
      <c r="FT293" s="105"/>
      <c r="FU293" s="105"/>
      <c r="FV293" s="139"/>
      <c r="FW293" s="105"/>
      <c r="FX293" s="105"/>
      <c r="FY293" s="105"/>
      <c r="FZ293" s="105"/>
      <c r="GA293" s="139"/>
      <c r="GB293" s="105"/>
      <c r="GC293" s="105"/>
      <c r="GD293" s="105"/>
      <c r="GE293" s="105"/>
    </row>
    <row r="295" spans="3:187" ht="12.75" customHeight="1">
      <c r="C295" s="187"/>
      <c r="D295" s="180"/>
      <c r="E295" s="180"/>
      <c r="F295" s="180"/>
      <c r="G295" s="180"/>
      <c r="H295" s="187"/>
      <c r="I295" s="180"/>
      <c r="J295" s="180"/>
      <c r="K295" s="180"/>
      <c r="L295" s="180"/>
      <c r="M295" s="187"/>
      <c r="N295" s="180"/>
      <c r="O295" s="180"/>
      <c r="P295" s="180"/>
      <c r="Q295" s="180"/>
      <c r="R295" s="187"/>
      <c r="S295" s="180"/>
      <c r="T295" s="180"/>
      <c r="U295" s="180"/>
      <c r="V295" s="180"/>
      <c r="W295" s="187"/>
      <c r="X295" s="180"/>
      <c r="Y295" s="180"/>
      <c r="Z295" s="180"/>
      <c r="AA295" s="180"/>
      <c r="AB295" s="187"/>
      <c r="AC295" s="180"/>
      <c r="AD295" s="180"/>
      <c r="AE295" s="180"/>
      <c r="AF295" s="180"/>
      <c r="AG295" s="187"/>
      <c r="AH295" s="180"/>
      <c r="AI295" s="180"/>
      <c r="AJ295" s="180"/>
      <c r="AK295" s="180"/>
      <c r="AL295" s="187"/>
      <c r="AM295" s="180"/>
      <c r="AN295" s="180"/>
      <c r="AO295" s="180"/>
      <c r="AP295" s="180"/>
      <c r="AQ295" s="187"/>
      <c r="AR295" s="180"/>
      <c r="AS295" s="180"/>
      <c r="AT295" s="180"/>
      <c r="AU295" s="180"/>
      <c r="AV295" s="187"/>
      <c r="AW295" s="180"/>
      <c r="AX295" s="180"/>
      <c r="AY295" s="180"/>
      <c r="AZ295" s="180"/>
      <c r="BA295" s="187"/>
      <c r="BB295" s="180"/>
      <c r="BC295" s="180"/>
      <c r="BD295" s="180"/>
      <c r="BE295" s="180"/>
      <c r="BF295" s="187"/>
      <c r="BG295" s="180"/>
      <c r="BH295" s="180"/>
      <c r="BI295" s="180"/>
      <c r="BJ295" s="180"/>
      <c r="BK295" s="187"/>
      <c r="BL295" s="180"/>
      <c r="BM295" s="180"/>
      <c r="BN295" s="180"/>
      <c r="BO295" s="180"/>
      <c r="BP295" s="187"/>
      <c r="BQ295" s="180"/>
      <c r="BR295" s="180"/>
      <c r="BS295" s="180"/>
      <c r="BT295" s="180"/>
      <c r="BU295" s="187"/>
      <c r="BV295" s="180"/>
      <c r="BW295" s="180"/>
      <c r="BX295" s="180"/>
      <c r="BY295" s="180"/>
      <c r="BZ295" s="187"/>
      <c r="CA295" s="180"/>
      <c r="CB295" s="180"/>
      <c r="CC295" s="180"/>
      <c r="CD295" s="180"/>
      <c r="CE295" s="187"/>
      <c r="CF295" s="180"/>
      <c r="CG295" s="180"/>
      <c r="CH295" s="180"/>
      <c r="CI295" s="180"/>
      <c r="CJ295" s="187"/>
      <c r="CK295" s="180"/>
      <c r="CL295" s="180"/>
      <c r="CM295" s="180"/>
      <c r="CN295" s="180"/>
      <c r="CO295" s="187"/>
      <c r="CP295" s="180"/>
      <c r="CQ295" s="180"/>
      <c r="CR295" s="180"/>
      <c r="CS295" s="180"/>
      <c r="CT295" s="187"/>
      <c r="CU295" s="180"/>
      <c r="CV295" s="180"/>
      <c r="CW295" s="180"/>
      <c r="CX295" s="180"/>
      <c r="CY295" s="187"/>
      <c r="CZ295" s="180"/>
      <c r="DA295" s="180"/>
      <c r="DB295" s="180"/>
      <c r="DC295" s="180"/>
      <c r="DD295" s="187"/>
      <c r="DE295" s="180"/>
      <c r="DF295" s="180"/>
      <c r="DG295" s="180"/>
      <c r="DH295" s="180"/>
      <c r="DI295" s="187"/>
      <c r="DJ295" s="180"/>
      <c r="DK295" s="180"/>
      <c r="DL295" s="180"/>
      <c r="DM295" s="180"/>
      <c r="DN295" s="187"/>
      <c r="DO295" s="180"/>
      <c r="DP295" s="180"/>
      <c r="DQ295" s="180"/>
      <c r="DR295" s="180"/>
      <c r="DS295" s="187"/>
      <c r="DT295" s="180"/>
      <c r="DU295" s="180"/>
      <c r="DV295" s="180"/>
      <c r="DW295" s="180"/>
      <c r="DX295" s="187"/>
      <c r="DY295" s="180"/>
      <c r="DZ295" s="180"/>
      <c r="EA295" s="180"/>
      <c r="EB295" s="180"/>
      <c r="EC295" s="187"/>
      <c r="ED295" s="180"/>
      <c r="EE295" s="180"/>
      <c r="EF295" s="180"/>
      <c r="EG295" s="180"/>
      <c r="EH295" s="187"/>
      <c r="EI295" s="180"/>
      <c r="EJ295" s="180"/>
      <c r="EK295" s="180"/>
      <c r="EL295" s="180"/>
      <c r="EM295" s="187"/>
      <c r="EN295" s="180"/>
      <c r="EO295" s="180"/>
      <c r="EP295" s="180"/>
      <c r="EQ295" s="180"/>
      <c r="ER295" s="187"/>
      <c r="ES295" s="180"/>
      <c r="ET295" s="180"/>
      <c r="EU295" s="180"/>
      <c r="EV295" s="180"/>
      <c r="EW295" s="187"/>
      <c r="EX295" s="180"/>
      <c r="EY295" s="180"/>
      <c r="EZ295" s="180"/>
      <c r="FA295" s="180"/>
      <c r="FB295" s="187"/>
      <c r="FC295" s="180"/>
      <c r="FD295" s="180"/>
      <c r="FE295" s="180"/>
      <c r="FF295" s="180"/>
      <c r="FG295" s="187"/>
      <c r="FH295" s="180"/>
      <c r="FI295" s="180"/>
      <c r="FJ295" s="180"/>
      <c r="FK295" s="180"/>
      <c r="FL295" s="187"/>
      <c r="FM295" s="180"/>
      <c r="FN295" s="180"/>
      <c r="FO295" s="180"/>
      <c r="FP295" s="180"/>
      <c r="FQ295" s="187"/>
      <c r="FR295" s="180"/>
      <c r="FS295" s="180"/>
      <c r="FT295" s="180"/>
      <c r="FU295" s="180"/>
      <c r="FV295" s="187"/>
      <c r="FW295" s="180"/>
      <c r="FX295" s="180"/>
      <c r="FY295" s="180"/>
      <c r="FZ295" s="180"/>
      <c r="GA295" s="187"/>
      <c r="GB295" s="180"/>
      <c r="GC295" s="180"/>
      <c r="GD295" s="180"/>
      <c r="GE295" s="180"/>
    </row>
    <row r="296" spans="3:187" ht="12.75" customHeight="1">
      <c r="C296" s="181"/>
      <c r="D296" s="182"/>
      <c r="E296" s="182"/>
      <c r="F296" s="182"/>
      <c r="G296" s="182"/>
      <c r="H296" s="181"/>
      <c r="I296" s="182"/>
      <c r="J296" s="182"/>
      <c r="K296" s="182"/>
      <c r="L296" s="182"/>
      <c r="M296" s="181"/>
      <c r="N296" s="182"/>
      <c r="O296" s="182"/>
      <c r="P296" s="182"/>
      <c r="Q296" s="182"/>
      <c r="R296" s="181"/>
      <c r="S296" s="182"/>
      <c r="T296" s="182"/>
      <c r="U296" s="182"/>
      <c r="V296" s="182"/>
      <c r="W296" s="181"/>
      <c r="X296" s="182"/>
      <c r="Y296" s="182"/>
      <c r="Z296" s="182"/>
      <c r="AA296" s="182"/>
      <c r="AB296" s="181"/>
      <c r="AC296" s="182"/>
      <c r="AD296" s="182"/>
      <c r="AE296" s="182"/>
      <c r="AF296" s="182"/>
      <c r="AG296" s="181"/>
      <c r="AH296" s="182"/>
      <c r="AI296" s="182"/>
      <c r="AJ296" s="182"/>
      <c r="AK296" s="182"/>
      <c r="AL296" s="181"/>
      <c r="AM296" s="182"/>
      <c r="AN296" s="182"/>
      <c r="AO296" s="182"/>
      <c r="AP296" s="182"/>
      <c r="AQ296" s="181"/>
      <c r="AR296" s="182"/>
      <c r="AS296" s="182"/>
      <c r="AT296" s="182"/>
      <c r="AU296" s="182"/>
      <c r="AV296" s="181"/>
      <c r="AW296" s="182"/>
      <c r="AX296" s="182"/>
      <c r="AY296" s="182"/>
      <c r="AZ296" s="182"/>
      <c r="BA296" s="181"/>
      <c r="BB296" s="182"/>
      <c r="BC296" s="182"/>
      <c r="BD296" s="182"/>
      <c r="BE296" s="182"/>
      <c r="BF296" s="181"/>
      <c r="BG296" s="182"/>
      <c r="BH296" s="182"/>
      <c r="BI296" s="182"/>
      <c r="BJ296" s="182"/>
      <c r="BK296" s="181"/>
      <c r="BL296" s="182"/>
      <c r="BM296" s="182"/>
      <c r="BN296" s="182"/>
      <c r="BO296" s="182"/>
      <c r="BP296" s="181"/>
      <c r="BQ296" s="182"/>
      <c r="BR296" s="182"/>
      <c r="BS296" s="182"/>
      <c r="BT296" s="182"/>
      <c r="BU296" s="181"/>
      <c r="BV296" s="182"/>
      <c r="BW296" s="182"/>
      <c r="BX296" s="182"/>
      <c r="BY296" s="182"/>
      <c r="BZ296" s="181"/>
      <c r="CA296" s="182"/>
      <c r="CB296" s="182"/>
      <c r="CC296" s="182"/>
      <c r="CD296" s="182"/>
      <c r="CE296" s="181"/>
      <c r="CF296" s="182"/>
      <c r="CG296" s="182"/>
      <c r="CH296" s="182"/>
      <c r="CI296" s="182"/>
      <c r="CJ296" s="181"/>
      <c r="CK296" s="182"/>
      <c r="CL296" s="182"/>
      <c r="CM296" s="182"/>
      <c r="CN296" s="182"/>
      <c r="CO296" s="181"/>
      <c r="CP296" s="182"/>
      <c r="CQ296" s="182"/>
      <c r="CR296" s="182"/>
      <c r="CS296" s="182"/>
      <c r="CT296" s="181"/>
      <c r="CU296" s="182"/>
      <c r="CV296" s="182"/>
      <c r="CW296" s="182"/>
      <c r="CX296" s="182"/>
      <c r="CY296" s="181"/>
      <c r="CZ296" s="182"/>
      <c r="DA296" s="182"/>
      <c r="DB296" s="182"/>
      <c r="DC296" s="182"/>
      <c r="DD296" s="181"/>
      <c r="DE296" s="182"/>
      <c r="DF296" s="182"/>
      <c r="DG296" s="182"/>
      <c r="DH296" s="182"/>
      <c r="DI296" s="181"/>
      <c r="DJ296" s="182"/>
      <c r="DK296" s="182"/>
      <c r="DL296" s="182"/>
      <c r="DM296" s="182"/>
      <c r="DN296" s="181"/>
      <c r="DO296" s="182"/>
      <c r="DP296" s="182"/>
      <c r="DQ296" s="182"/>
      <c r="DR296" s="182"/>
      <c r="DS296" s="181"/>
      <c r="DT296" s="182"/>
      <c r="DU296" s="182"/>
      <c r="DV296" s="182"/>
      <c r="DW296" s="182"/>
      <c r="DX296" s="181"/>
      <c r="DY296" s="182"/>
      <c r="DZ296" s="182"/>
      <c r="EA296" s="182"/>
      <c r="EB296" s="182"/>
      <c r="EC296" s="181"/>
      <c r="ED296" s="182"/>
      <c r="EE296" s="182"/>
      <c r="EF296" s="182"/>
      <c r="EG296" s="182"/>
      <c r="EH296" s="181"/>
      <c r="EI296" s="182"/>
      <c r="EJ296" s="182"/>
      <c r="EK296" s="182"/>
      <c r="EL296" s="182"/>
      <c r="EM296" s="181"/>
      <c r="EN296" s="182"/>
      <c r="EO296" s="182"/>
      <c r="EP296" s="182"/>
      <c r="EQ296" s="182"/>
      <c r="ER296" s="181"/>
      <c r="ES296" s="182"/>
      <c r="ET296" s="182"/>
      <c r="EU296" s="182"/>
      <c r="EV296" s="182"/>
      <c r="EW296" s="181"/>
      <c r="EX296" s="182"/>
      <c r="EY296" s="182"/>
      <c r="EZ296" s="182"/>
      <c r="FA296" s="182"/>
      <c r="FB296" s="181"/>
      <c r="FC296" s="182"/>
      <c r="FD296" s="182"/>
      <c r="FE296" s="182"/>
      <c r="FF296" s="182"/>
      <c r="FG296" s="181"/>
      <c r="FH296" s="182"/>
      <c r="FI296" s="182"/>
      <c r="FJ296" s="182"/>
      <c r="FK296" s="182"/>
      <c r="FL296" s="181"/>
      <c r="FM296" s="182"/>
      <c r="FN296" s="182"/>
      <c r="FO296" s="182"/>
      <c r="FP296" s="182"/>
      <c r="FQ296" s="181"/>
      <c r="FR296" s="182"/>
      <c r="FS296" s="182"/>
      <c r="FT296" s="182"/>
      <c r="FU296" s="182"/>
      <c r="FV296" s="181"/>
      <c r="FW296" s="182"/>
      <c r="FX296" s="182"/>
      <c r="FY296" s="182"/>
      <c r="FZ296" s="182"/>
      <c r="GA296" s="181"/>
      <c r="GB296" s="182"/>
      <c r="GC296" s="182"/>
      <c r="GD296" s="182"/>
      <c r="GE296" s="182"/>
    </row>
    <row r="298" spans="3:187" ht="12.75" customHeight="1">
      <c r="C298" s="176"/>
      <c r="D298" s="177"/>
      <c r="E298" s="177"/>
      <c r="F298" s="177"/>
      <c r="G298" s="177"/>
      <c r="H298" s="176"/>
      <c r="I298" s="177"/>
      <c r="J298" s="177"/>
      <c r="K298" s="177"/>
      <c r="L298" s="177"/>
      <c r="M298" s="176"/>
      <c r="N298" s="177"/>
      <c r="O298" s="177"/>
      <c r="P298" s="177"/>
      <c r="Q298" s="177"/>
      <c r="R298" s="176"/>
      <c r="S298" s="177"/>
      <c r="T298" s="177"/>
      <c r="U298" s="177"/>
      <c r="V298" s="177"/>
      <c r="W298" s="176"/>
      <c r="X298" s="177"/>
      <c r="Y298" s="177"/>
      <c r="Z298" s="177"/>
      <c r="AA298" s="177"/>
      <c r="AB298" s="176"/>
      <c r="AC298" s="177"/>
      <c r="AD298" s="177"/>
      <c r="AE298" s="177"/>
      <c r="AF298" s="177"/>
      <c r="AG298" s="176"/>
      <c r="AH298" s="177"/>
      <c r="AI298" s="177"/>
      <c r="AJ298" s="177"/>
      <c r="AK298" s="177"/>
      <c r="AL298" s="176"/>
      <c r="AM298" s="177"/>
      <c r="AN298" s="177"/>
      <c r="AO298" s="177"/>
      <c r="AP298" s="177"/>
      <c r="AQ298" s="176"/>
      <c r="AR298" s="177"/>
      <c r="AS298" s="177"/>
      <c r="AT298" s="177"/>
      <c r="AU298" s="177"/>
      <c r="AV298" s="176"/>
      <c r="AW298" s="177"/>
      <c r="AX298" s="177"/>
      <c r="AY298" s="177"/>
      <c r="AZ298" s="177"/>
      <c r="BA298" s="176"/>
      <c r="BB298" s="177"/>
      <c r="BC298" s="177"/>
      <c r="BD298" s="177"/>
      <c r="BE298" s="177"/>
      <c r="BF298" s="176"/>
      <c r="BG298" s="177"/>
      <c r="BH298" s="177"/>
      <c r="BI298" s="177"/>
      <c r="BJ298" s="177"/>
      <c r="BK298" s="176"/>
      <c r="BL298" s="177"/>
      <c r="BM298" s="177"/>
      <c r="BN298" s="177"/>
      <c r="BO298" s="177"/>
      <c r="BP298" s="176"/>
      <c r="BQ298" s="177"/>
      <c r="BR298" s="177"/>
      <c r="BS298" s="177"/>
      <c r="BT298" s="177"/>
      <c r="BU298" s="176"/>
      <c r="BV298" s="177"/>
      <c r="BW298" s="177"/>
      <c r="BX298" s="177"/>
      <c r="BY298" s="177"/>
      <c r="BZ298" s="176"/>
      <c r="CA298" s="177"/>
      <c r="CB298" s="177"/>
      <c r="CC298" s="177"/>
      <c r="CD298" s="177"/>
      <c r="CE298" s="176"/>
      <c r="CF298" s="177"/>
      <c r="CG298" s="177"/>
      <c r="CH298" s="177"/>
      <c r="CI298" s="177"/>
      <c r="CJ298" s="176"/>
      <c r="CK298" s="177"/>
      <c r="CL298" s="177"/>
      <c r="CM298" s="177"/>
      <c r="CN298" s="177"/>
      <c r="CO298" s="176"/>
      <c r="CP298" s="177"/>
      <c r="CQ298" s="177"/>
      <c r="CR298" s="177"/>
      <c r="CS298" s="177"/>
      <c r="CT298" s="176"/>
      <c r="CU298" s="177"/>
      <c r="CV298" s="177"/>
      <c r="CW298" s="177"/>
      <c r="CX298" s="177"/>
      <c r="CY298" s="176"/>
      <c r="CZ298" s="177"/>
      <c r="DA298" s="177"/>
      <c r="DB298" s="177"/>
      <c r="DC298" s="177"/>
      <c r="DD298" s="176"/>
      <c r="DE298" s="177"/>
      <c r="DF298" s="177"/>
      <c r="DG298" s="177"/>
      <c r="DH298" s="177"/>
      <c r="DI298" s="176"/>
      <c r="DJ298" s="177"/>
      <c r="DK298" s="177"/>
      <c r="DL298" s="177"/>
      <c r="DM298" s="177"/>
      <c r="DN298" s="176"/>
      <c r="DO298" s="177"/>
      <c r="DP298" s="177"/>
      <c r="DQ298" s="177"/>
      <c r="DR298" s="177"/>
      <c r="DS298" s="176"/>
      <c r="DT298" s="177"/>
      <c r="DU298" s="177"/>
      <c r="DV298" s="177"/>
      <c r="DW298" s="177"/>
      <c r="DX298" s="176"/>
      <c r="DY298" s="177"/>
      <c r="DZ298" s="177"/>
      <c r="EA298" s="177"/>
      <c r="EB298" s="177"/>
      <c r="EC298" s="176"/>
      <c r="ED298" s="177"/>
      <c r="EE298" s="177"/>
      <c r="EF298" s="177"/>
      <c r="EG298" s="177"/>
      <c r="EH298" s="176"/>
      <c r="EI298" s="177"/>
      <c r="EJ298" s="177"/>
      <c r="EK298" s="177"/>
      <c r="EL298" s="177"/>
      <c r="EM298" s="176"/>
      <c r="EN298" s="177"/>
      <c r="EO298" s="177"/>
      <c r="EP298" s="177"/>
      <c r="EQ298" s="177"/>
      <c r="ER298" s="176"/>
      <c r="ES298" s="177"/>
      <c r="ET298" s="177"/>
      <c r="EU298" s="177"/>
      <c r="EV298" s="177"/>
      <c r="EW298" s="176"/>
      <c r="EX298" s="177"/>
      <c r="EY298" s="177"/>
      <c r="EZ298" s="177"/>
      <c r="FA298" s="177"/>
      <c r="FB298" s="176"/>
      <c r="FC298" s="177"/>
      <c r="FD298" s="177"/>
      <c r="FE298" s="177"/>
      <c r="FF298" s="177"/>
      <c r="FG298" s="176"/>
      <c r="FH298" s="177"/>
      <c r="FI298" s="177"/>
      <c r="FJ298" s="177"/>
      <c r="FK298" s="177"/>
      <c r="FL298" s="176"/>
      <c r="FM298" s="177"/>
      <c r="FN298" s="177"/>
      <c r="FO298" s="177"/>
      <c r="FP298" s="177"/>
      <c r="FQ298" s="176"/>
      <c r="FR298" s="177"/>
      <c r="FS298" s="177"/>
      <c r="FT298" s="177"/>
      <c r="FU298" s="177"/>
      <c r="FV298" s="176"/>
      <c r="FW298" s="177"/>
      <c r="FX298" s="177"/>
      <c r="FY298" s="177"/>
      <c r="FZ298" s="177"/>
      <c r="GA298" s="176"/>
      <c r="GB298" s="177"/>
      <c r="GC298" s="177"/>
      <c r="GD298" s="177"/>
      <c r="GE298" s="177"/>
    </row>
    <row r="299" spans="3:187" ht="12.75" customHeight="1">
      <c r="C299" s="139"/>
      <c r="D299" s="105"/>
      <c r="E299" s="105"/>
      <c r="F299" s="105"/>
      <c r="G299" s="105"/>
      <c r="H299" s="139"/>
      <c r="I299" s="105"/>
      <c r="J299" s="105"/>
      <c r="K299" s="105"/>
      <c r="L299" s="105"/>
      <c r="M299" s="139"/>
      <c r="N299" s="105"/>
      <c r="O299" s="105"/>
      <c r="P299" s="105"/>
      <c r="Q299" s="105"/>
      <c r="R299" s="139"/>
      <c r="S299" s="105"/>
      <c r="T299" s="105"/>
      <c r="U299" s="105"/>
      <c r="V299" s="105"/>
      <c r="W299" s="139"/>
      <c r="X299" s="105"/>
      <c r="Y299" s="105"/>
      <c r="Z299" s="105"/>
      <c r="AA299" s="105"/>
      <c r="AB299" s="139"/>
      <c r="AC299" s="105"/>
      <c r="AD299" s="105"/>
      <c r="AE299" s="105"/>
      <c r="AF299" s="105"/>
      <c r="AG299" s="139"/>
      <c r="AH299" s="105"/>
      <c r="AI299" s="105"/>
      <c r="AJ299" s="105"/>
      <c r="AK299" s="105"/>
      <c r="AL299" s="139"/>
      <c r="AM299" s="105"/>
      <c r="AN299" s="105"/>
      <c r="AO299" s="105"/>
      <c r="AP299" s="105"/>
      <c r="AQ299" s="139"/>
      <c r="AR299" s="105"/>
      <c r="AS299" s="105"/>
      <c r="AT299" s="105"/>
      <c r="AU299" s="105"/>
      <c r="AV299" s="139"/>
      <c r="AW299" s="105"/>
      <c r="AX299" s="105"/>
      <c r="AY299" s="105"/>
      <c r="AZ299" s="105"/>
      <c r="BA299" s="139"/>
      <c r="BB299" s="105"/>
      <c r="BC299" s="105"/>
      <c r="BD299" s="105"/>
      <c r="BE299" s="105"/>
      <c r="BF299" s="139"/>
      <c r="BG299" s="105"/>
      <c r="BH299" s="105"/>
      <c r="BI299" s="105"/>
      <c r="BJ299" s="105"/>
      <c r="BK299" s="139"/>
      <c r="BL299" s="105"/>
      <c r="BM299" s="105"/>
      <c r="BN299" s="105"/>
      <c r="BO299" s="105"/>
      <c r="BP299" s="139"/>
      <c r="BQ299" s="105"/>
      <c r="BR299" s="105"/>
      <c r="BS299" s="105"/>
      <c r="BT299" s="105"/>
      <c r="BU299" s="139"/>
      <c r="BV299" s="105"/>
      <c r="BW299" s="105"/>
      <c r="BX299" s="105"/>
      <c r="BY299" s="105"/>
      <c r="BZ299" s="139"/>
      <c r="CA299" s="105"/>
      <c r="CB299" s="105"/>
      <c r="CC299" s="105"/>
      <c r="CD299" s="105"/>
      <c r="CE299" s="139"/>
      <c r="CF299" s="105"/>
      <c r="CG299" s="105"/>
      <c r="CH299" s="105"/>
      <c r="CI299" s="105"/>
      <c r="CJ299" s="139"/>
      <c r="CK299" s="105"/>
      <c r="CL299" s="105"/>
      <c r="CM299" s="105"/>
      <c r="CN299" s="105"/>
      <c r="CO299" s="139"/>
      <c r="CP299" s="105"/>
      <c r="CQ299" s="105"/>
      <c r="CR299" s="105"/>
      <c r="CS299" s="105"/>
      <c r="CT299" s="139"/>
      <c r="CU299" s="105"/>
      <c r="CV299" s="105"/>
      <c r="CW299" s="105"/>
      <c r="CX299" s="105"/>
      <c r="CY299" s="139"/>
      <c r="CZ299" s="105"/>
      <c r="DA299" s="105"/>
      <c r="DB299" s="105"/>
      <c r="DC299" s="105"/>
      <c r="DD299" s="139"/>
      <c r="DE299" s="105"/>
      <c r="DF299" s="105"/>
      <c r="DG299" s="105"/>
      <c r="DH299" s="105"/>
      <c r="DI299" s="139"/>
      <c r="DJ299" s="105"/>
      <c r="DK299" s="105"/>
      <c r="DL299" s="105"/>
      <c r="DM299" s="105"/>
      <c r="DN299" s="139"/>
      <c r="DO299" s="105"/>
      <c r="DP299" s="105"/>
      <c r="DQ299" s="105"/>
      <c r="DR299" s="105"/>
      <c r="DS299" s="139"/>
      <c r="DT299" s="105"/>
      <c r="DU299" s="105"/>
      <c r="DV299" s="105"/>
      <c r="DW299" s="105"/>
      <c r="DX299" s="139"/>
      <c r="DY299" s="105"/>
      <c r="DZ299" s="105"/>
      <c r="EA299" s="105"/>
      <c r="EB299" s="105"/>
      <c r="EC299" s="139"/>
      <c r="ED299" s="105"/>
      <c r="EE299" s="105"/>
      <c r="EF299" s="105"/>
      <c r="EG299" s="105"/>
      <c r="EH299" s="139"/>
      <c r="EI299" s="105"/>
      <c r="EJ299" s="105"/>
      <c r="EK299" s="105"/>
      <c r="EL299" s="105"/>
      <c r="EM299" s="139"/>
      <c r="EN299" s="105"/>
      <c r="EO299" s="105"/>
      <c r="EP299" s="105"/>
      <c r="EQ299" s="105"/>
      <c r="ER299" s="139"/>
      <c r="ES299" s="105"/>
      <c r="ET299" s="105"/>
      <c r="EU299" s="105"/>
      <c r="EV299" s="105"/>
      <c r="EW299" s="139"/>
      <c r="EX299" s="105"/>
      <c r="EY299" s="105"/>
      <c r="EZ299" s="105"/>
      <c r="FA299" s="105"/>
      <c r="FB299" s="139"/>
      <c r="FC299" s="105"/>
      <c r="FD299" s="105"/>
      <c r="FE299" s="105"/>
      <c r="FF299" s="105"/>
      <c r="FG299" s="139"/>
      <c r="FH299" s="105"/>
      <c r="FI299" s="105"/>
      <c r="FJ299" s="105"/>
      <c r="FK299" s="105"/>
      <c r="FL299" s="139"/>
      <c r="FM299" s="105"/>
      <c r="FN299" s="105"/>
      <c r="FO299" s="105"/>
      <c r="FP299" s="105"/>
      <c r="FQ299" s="139"/>
      <c r="FR299" s="105"/>
      <c r="FS299" s="105"/>
      <c r="FT299" s="105"/>
      <c r="FU299" s="105"/>
      <c r="FV299" s="139"/>
      <c r="FW299" s="105"/>
      <c r="FX299" s="105"/>
      <c r="FY299" s="105"/>
      <c r="FZ299" s="105"/>
      <c r="GA299" s="139"/>
      <c r="GB299" s="105"/>
      <c r="GC299" s="105"/>
      <c r="GD299" s="105"/>
      <c r="GE299" s="105"/>
    </row>
    <row r="301" spans="3:187" ht="12.75" customHeight="1">
      <c r="C301" s="139"/>
      <c r="D301" s="105"/>
      <c r="E301" s="105"/>
      <c r="F301" s="105"/>
      <c r="G301" s="105"/>
      <c r="H301" s="139"/>
      <c r="I301" s="105"/>
      <c r="J301" s="105"/>
      <c r="K301" s="105"/>
      <c r="L301" s="105"/>
      <c r="M301" s="139"/>
      <c r="N301" s="105"/>
      <c r="O301" s="105"/>
      <c r="P301" s="105"/>
      <c r="Q301" s="105"/>
      <c r="R301" s="139"/>
      <c r="S301" s="105"/>
      <c r="T301" s="105"/>
      <c r="U301" s="105"/>
      <c r="V301" s="105"/>
      <c r="W301" s="139"/>
      <c r="X301" s="105"/>
      <c r="Y301" s="105"/>
      <c r="Z301" s="105"/>
      <c r="AA301" s="105"/>
      <c r="AB301" s="139"/>
      <c r="AC301" s="105"/>
      <c r="AD301" s="105"/>
      <c r="AE301" s="105"/>
      <c r="AF301" s="105"/>
      <c r="AG301" s="139"/>
      <c r="AH301" s="105"/>
      <c r="AI301" s="105"/>
      <c r="AJ301" s="105"/>
      <c r="AK301" s="105"/>
      <c r="AL301" s="139"/>
      <c r="AM301" s="105"/>
      <c r="AN301" s="105"/>
      <c r="AO301" s="105"/>
      <c r="AP301" s="105"/>
      <c r="AQ301" s="139"/>
      <c r="AR301" s="105"/>
      <c r="AS301" s="105"/>
      <c r="AT301" s="105"/>
      <c r="AU301" s="105"/>
      <c r="AV301" s="139"/>
      <c r="AW301" s="105"/>
      <c r="AX301" s="105"/>
      <c r="AY301" s="105"/>
      <c r="AZ301" s="105"/>
      <c r="BA301" s="139"/>
      <c r="BB301" s="105"/>
      <c r="BC301" s="105"/>
      <c r="BD301" s="105"/>
      <c r="BE301" s="105"/>
      <c r="BF301" s="139"/>
      <c r="BG301" s="105"/>
      <c r="BH301" s="105"/>
      <c r="BI301" s="105"/>
      <c r="BJ301" s="105"/>
      <c r="BK301" s="139"/>
      <c r="BL301" s="105"/>
      <c r="BM301" s="105"/>
      <c r="BN301" s="105"/>
      <c r="BO301" s="105"/>
      <c r="BP301" s="139"/>
      <c r="BQ301" s="105"/>
      <c r="BR301" s="105"/>
      <c r="BS301" s="105"/>
      <c r="BT301" s="105"/>
      <c r="BU301" s="139"/>
      <c r="BV301" s="105"/>
      <c r="BW301" s="105"/>
      <c r="BX301" s="105"/>
      <c r="BY301" s="105"/>
      <c r="BZ301" s="139"/>
      <c r="CA301" s="105"/>
      <c r="CB301" s="105"/>
      <c r="CC301" s="105"/>
      <c r="CD301" s="105"/>
      <c r="CE301" s="139"/>
      <c r="CF301" s="105"/>
      <c r="CG301" s="105"/>
      <c r="CH301" s="105"/>
      <c r="CI301" s="105"/>
      <c r="CJ301" s="139"/>
      <c r="CK301" s="105"/>
      <c r="CL301" s="105"/>
      <c r="CM301" s="105"/>
      <c r="CN301" s="105"/>
      <c r="CO301" s="139"/>
      <c r="CP301" s="105"/>
      <c r="CQ301" s="105"/>
      <c r="CR301" s="105"/>
      <c r="CS301" s="105"/>
      <c r="CT301" s="139"/>
      <c r="CU301" s="105"/>
      <c r="CV301" s="105"/>
      <c r="CW301" s="105"/>
      <c r="CX301" s="105"/>
      <c r="CY301" s="139"/>
      <c r="CZ301" s="105"/>
      <c r="DA301" s="105"/>
      <c r="DB301" s="105"/>
      <c r="DC301" s="105"/>
      <c r="DD301" s="139"/>
      <c r="DE301" s="105"/>
      <c r="DF301" s="105"/>
      <c r="DG301" s="105"/>
      <c r="DH301" s="105"/>
      <c r="DI301" s="139"/>
      <c r="DJ301" s="105"/>
      <c r="DK301" s="105"/>
      <c r="DL301" s="105"/>
      <c r="DM301" s="105"/>
      <c r="DN301" s="139"/>
      <c r="DO301" s="105"/>
      <c r="DP301" s="105"/>
      <c r="DQ301" s="105"/>
      <c r="DR301" s="105"/>
      <c r="DS301" s="139"/>
      <c r="DT301" s="105"/>
      <c r="DU301" s="105"/>
      <c r="DV301" s="105"/>
      <c r="DW301" s="105"/>
      <c r="DX301" s="139"/>
      <c r="DY301" s="105"/>
      <c r="DZ301" s="105"/>
      <c r="EA301" s="105"/>
      <c r="EB301" s="105"/>
      <c r="EC301" s="139"/>
      <c r="ED301" s="105"/>
      <c r="EE301" s="105"/>
      <c r="EF301" s="105"/>
      <c r="EG301" s="105"/>
      <c r="EH301" s="139"/>
      <c r="EI301" s="105"/>
      <c r="EJ301" s="105"/>
      <c r="EK301" s="105"/>
      <c r="EL301" s="105"/>
      <c r="EM301" s="139"/>
      <c r="EN301" s="105"/>
      <c r="EO301" s="105"/>
      <c r="EP301" s="105"/>
      <c r="EQ301" s="105"/>
      <c r="ER301" s="139"/>
      <c r="ES301" s="105"/>
      <c r="ET301" s="105"/>
      <c r="EU301" s="105"/>
      <c r="EV301" s="105"/>
      <c r="EW301" s="139"/>
      <c r="EX301" s="105"/>
      <c r="EY301" s="105"/>
      <c r="EZ301" s="105"/>
      <c r="FA301" s="105"/>
      <c r="FB301" s="139"/>
      <c r="FC301" s="105"/>
      <c r="FD301" s="105"/>
      <c r="FE301" s="105"/>
      <c r="FF301" s="105"/>
      <c r="FG301" s="139"/>
      <c r="FH301" s="105"/>
      <c r="FI301" s="105"/>
      <c r="FJ301" s="105"/>
      <c r="FK301" s="105"/>
      <c r="FL301" s="139"/>
      <c r="FM301" s="105"/>
      <c r="FN301" s="105"/>
      <c r="FO301" s="105"/>
      <c r="FP301" s="105"/>
      <c r="FQ301" s="139"/>
      <c r="FR301" s="105"/>
      <c r="FS301" s="105"/>
      <c r="FT301" s="105"/>
      <c r="FU301" s="105"/>
      <c r="FV301" s="139"/>
      <c r="FW301" s="105"/>
      <c r="FX301" s="105"/>
      <c r="FY301" s="105"/>
      <c r="FZ301" s="105"/>
      <c r="GA301" s="139"/>
      <c r="GB301" s="105"/>
      <c r="GC301" s="105"/>
      <c r="GD301" s="105"/>
      <c r="GE301" s="105"/>
    </row>
    <row r="304" spans="3:187" ht="12.75" customHeight="1">
      <c r="C304" s="188"/>
      <c r="D304" s="189"/>
      <c r="E304" s="189"/>
      <c r="F304" s="189"/>
      <c r="G304" s="189"/>
      <c r="H304" s="188"/>
      <c r="I304" s="189"/>
      <c r="J304" s="189"/>
      <c r="K304" s="189"/>
      <c r="L304" s="189"/>
      <c r="M304" s="188"/>
      <c r="N304" s="189"/>
      <c r="O304" s="189"/>
      <c r="P304" s="189"/>
      <c r="Q304" s="189"/>
      <c r="R304" s="188"/>
      <c r="S304" s="189"/>
      <c r="T304" s="189"/>
      <c r="U304" s="189"/>
      <c r="V304" s="189"/>
      <c r="W304" s="188"/>
      <c r="X304" s="189"/>
      <c r="Y304" s="189"/>
      <c r="Z304" s="189"/>
      <c r="AA304" s="189"/>
      <c r="AB304" s="188"/>
      <c r="AC304" s="189"/>
      <c r="AD304" s="189"/>
      <c r="AE304" s="189"/>
      <c r="AF304" s="189"/>
      <c r="AG304" s="188"/>
      <c r="AH304" s="189"/>
      <c r="AI304" s="189"/>
      <c r="AJ304" s="189"/>
      <c r="AK304" s="189"/>
      <c r="AL304" s="188"/>
      <c r="AM304" s="189"/>
      <c r="AN304" s="189"/>
      <c r="AO304" s="189"/>
      <c r="AP304" s="189"/>
      <c r="AQ304" s="188"/>
      <c r="AR304" s="189"/>
      <c r="AS304" s="189"/>
      <c r="AT304" s="189"/>
      <c r="AU304" s="189"/>
      <c r="AV304" s="188"/>
      <c r="AW304" s="189"/>
      <c r="AX304" s="189"/>
      <c r="AY304" s="189"/>
      <c r="AZ304" s="189"/>
      <c r="BA304" s="188"/>
      <c r="BB304" s="189"/>
      <c r="BC304" s="189"/>
      <c r="BD304" s="189"/>
      <c r="BE304" s="189"/>
      <c r="BF304" s="188"/>
      <c r="BG304" s="189"/>
      <c r="BH304" s="189"/>
      <c r="BI304" s="189"/>
      <c r="BJ304" s="189"/>
      <c r="BK304" s="188"/>
      <c r="BL304" s="189"/>
      <c r="BM304" s="189"/>
      <c r="BN304" s="189"/>
      <c r="BO304" s="189"/>
      <c r="BP304" s="188"/>
      <c r="BQ304" s="189"/>
      <c r="BR304" s="189"/>
      <c r="BS304" s="189"/>
      <c r="BT304" s="189"/>
      <c r="BU304" s="188"/>
      <c r="BV304" s="189"/>
      <c r="BW304" s="189"/>
      <c r="BX304" s="189"/>
      <c r="BY304" s="189"/>
      <c r="BZ304" s="188"/>
      <c r="CA304" s="189"/>
      <c r="CB304" s="189"/>
      <c r="CC304" s="189"/>
      <c r="CD304" s="189"/>
      <c r="CE304" s="188"/>
      <c r="CF304" s="189"/>
      <c r="CG304" s="189"/>
      <c r="CH304" s="189"/>
      <c r="CI304" s="189"/>
      <c r="CJ304" s="188"/>
      <c r="CK304" s="189"/>
      <c r="CL304" s="189"/>
      <c r="CM304" s="189"/>
      <c r="CN304" s="189"/>
      <c r="CO304" s="188"/>
      <c r="CP304" s="189"/>
      <c r="CQ304" s="189"/>
      <c r="CR304" s="189"/>
      <c r="CS304" s="189"/>
      <c r="CT304" s="188"/>
      <c r="CU304" s="189"/>
      <c r="CV304" s="189"/>
      <c r="CW304" s="189"/>
      <c r="CX304" s="189"/>
      <c r="CY304" s="188"/>
      <c r="CZ304" s="189"/>
      <c r="DA304" s="189"/>
      <c r="DB304" s="189"/>
      <c r="DC304" s="189"/>
      <c r="DD304" s="188"/>
      <c r="DE304" s="189"/>
      <c r="DF304" s="189"/>
      <c r="DG304" s="189"/>
      <c r="DH304" s="189"/>
      <c r="DI304" s="188"/>
      <c r="DJ304" s="189"/>
      <c r="DK304" s="189"/>
      <c r="DL304" s="189"/>
      <c r="DM304" s="189"/>
      <c r="DN304" s="188"/>
      <c r="DO304" s="189"/>
      <c r="DP304" s="189"/>
      <c r="DQ304" s="189"/>
      <c r="DR304" s="189"/>
      <c r="DS304" s="188"/>
      <c r="DT304" s="189"/>
      <c r="DU304" s="189"/>
      <c r="DV304" s="189"/>
      <c r="DW304" s="189"/>
      <c r="DX304" s="188"/>
      <c r="DY304" s="189"/>
      <c r="DZ304" s="189"/>
      <c r="EA304" s="189"/>
      <c r="EB304" s="189"/>
      <c r="EC304" s="188"/>
      <c r="ED304" s="189"/>
      <c r="EE304" s="189"/>
      <c r="EF304" s="189"/>
      <c r="EG304" s="189"/>
      <c r="EH304" s="188"/>
      <c r="EI304" s="189"/>
      <c r="EJ304" s="189"/>
      <c r="EK304" s="189"/>
      <c r="EL304" s="189"/>
      <c r="EM304" s="188"/>
      <c r="EN304" s="189"/>
      <c r="EO304" s="189"/>
      <c r="EP304" s="189"/>
      <c r="EQ304" s="189"/>
      <c r="ER304" s="188"/>
      <c r="ES304" s="189"/>
      <c r="ET304" s="189"/>
      <c r="EU304" s="189"/>
      <c r="EV304" s="189"/>
      <c r="EW304" s="188"/>
      <c r="EX304" s="189"/>
      <c r="EY304" s="189"/>
      <c r="EZ304" s="189"/>
      <c r="FA304" s="189"/>
      <c r="FB304" s="188"/>
      <c r="FC304" s="189"/>
      <c r="FD304" s="189"/>
      <c r="FE304" s="189"/>
      <c r="FF304" s="189"/>
      <c r="FG304" s="188"/>
      <c r="FH304" s="189"/>
      <c r="FI304" s="189"/>
      <c r="FJ304" s="189"/>
      <c r="FK304" s="189"/>
      <c r="FL304" s="188"/>
      <c r="FM304" s="189"/>
      <c r="FN304" s="189"/>
      <c r="FO304" s="189"/>
      <c r="FP304" s="189"/>
      <c r="FQ304" s="188"/>
      <c r="FR304" s="189"/>
      <c r="FS304" s="189"/>
      <c r="FT304" s="189"/>
      <c r="FU304" s="189"/>
      <c r="FV304" s="188"/>
      <c r="FW304" s="189"/>
      <c r="FX304" s="189"/>
      <c r="FY304" s="189"/>
      <c r="FZ304" s="189"/>
      <c r="GA304" s="188"/>
      <c r="GB304" s="189"/>
      <c r="GC304" s="189"/>
      <c r="GD304" s="189"/>
      <c r="GE304" s="189"/>
    </row>
    <row r="305" spans="3:187" ht="12.75" customHeight="1">
      <c r="C305" s="139"/>
      <c r="D305" s="105"/>
      <c r="E305" s="105"/>
      <c r="F305" s="105"/>
      <c r="G305" s="105"/>
      <c r="H305" s="139"/>
      <c r="I305" s="105"/>
      <c r="J305" s="105"/>
      <c r="K305" s="105"/>
      <c r="L305" s="105"/>
      <c r="M305" s="139"/>
      <c r="N305" s="105"/>
      <c r="O305" s="105"/>
      <c r="P305" s="105"/>
      <c r="Q305" s="105"/>
      <c r="R305" s="139"/>
      <c r="S305" s="105"/>
      <c r="T305" s="105"/>
      <c r="U305" s="105"/>
      <c r="V305" s="105"/>
      <c r="W305" s="139"/>
      <c r="X305" s="105"/>
      <c r="Y305" s="105"/>
      <c r="Z305" s="105"/>
      <c r="AA305" s="105"/>
      <c r="AB305" s="139"/>
      <c r="AC305" s="105"/>
      <c r="AD305" s="105"/>
      <c r="AE305" s="105"/>
      <c r="AF305" s="105"/>
      <c r="AG305" s="139"/>
      <c r="AH305" s="105"/>
      <c r="AI305" s="105"/>
      <c r="AJ305" s="105"/>
      <c r="AK305" s="105"/>
      <c r="AL305" s="139"/>
      <c r="AM305" s="105"/>
      <c r="AN305" s="105"/>
      <c r="AO305" s="105"/>
      <c r="AP305" s="105"/>
      <c r="AQ305" s="139"/>
      <c r="AR305" s="105"/>
      <c r="AS305" s="105"/>
      <c r="AT305" s="105"/>
      <c r="AU305" s="105"/>
      <c r="AV305" s="139"/>
      <c r="AW305" s="105"/>
      <c r="AX305" s="105"/>
      <c r="AY305" s="105"/>
      <c r="AZ305" s="105"/>
      <c r="BA305" s="139"/>
      <c r="BB305" s="105"/>
      <c r="BC305" s="105"/>
      <c r="BD305" s="105"/>
      <c r="BE305" s="105"/>
      <c r="BF305" s="139"/>
      <c r="BG305" s="105"/>
      <c r="BH305" s="105"/>
      <c r="BI305" s="105"/>
      <c r="BJ305" s="105"/>
      <c r="BK305" s="139"/>
      <c r="BL305" s="105"/>
      <c r="BM305" s="105"/>
      <c r="BN305" s="105"/>
      <c r="BO305" s="105"/>
      <c r="BP305" s="139"/>
      <c r="BQ305" s="105"/>
      <c r="BR305" s="105"/>
      <c r="BS305" s="105"/>
      <c r="BT305" s="105"/>
      <c r="BU305" s="139"/>
      <c r="BV305" s="105"/>
      <c r="BW305" s="105"/>
      <c r="BX305" s="105"/>
      <c r="BY305" s="105"/>
      <c r="BZ305" s="139"/>
      <c r="CA305" s="105"/>
      <c r="CB305" s="105"/>
      <c r="CC305" s="105"/>
      <c r="CD305" s="105"/>
      <c r="CE305" s="139"/>
      <c r="CF305" s="105"/>
      <c r="CG305" s="105"/>
      <c r="CH305" s="105"/>
      <c r="CI305" s="105"/>
      <c r="CJ305" s="139"/>
      <c r="CK305" s="105"/>
      <c r="CL305" s="105"/>
      <c r="CM305" s="105"/>
      <c r="CN305" s="105"/>
      <c r="CO305" s="139"/>
      <c r="CP305" s="105"/>
      <c r="CQ305" s="105"/>
      <c r="CR305" s="105"/>
      <c r="CS305" s="105"/>
      <c r="CT305" s="139"/>
      <c r="CU305" s="105"/>
      <c r="CV305" s="105"/>
      <c r="CW305" s="105"/>
      <c r="CX305" s="105"/>
      <c r="CY305" s="139"/>
      <c r="CZ305" s="105"/>
      <c r="DA305" s="105"/>
      <c r="DB305" s="105"/>
      <c r="DC305" s="105"/>
      <c r="DD305" s="139"/>
      <c r="DE305" s="105"/>
      <c r="DF305" s="105"/>
      <c r="DG305" s="105"/>
      <c r="DH305" s="105"/>
      <c r="DI305" s="139"/>
      <c r="DJ305" s="105"/>
      <c r="DK305" s="105"/>
      <c r="DL305" s="105"/>
      <c r="DM305" s="105"/>
      <c r="DN305" s="139"/>
      <c r="DO305" s="105"/>
      <c r="DP305" s="105"/>
      <c r="DQ305" s="105"/>
      <c r="DR305" s="105"/>
      <c r="DS305" s="139"/>
      <c r="DT305" s="105"/>
      <c r="DU305" s="105"/>
      <c r="DV305" s="105"/>
      <c r="DW305" s="105"/>
      <c r="DX305" s="139"/>
      <c r="DY305" s="105"/>
      <c r="DZ305" s="105"/>
      <c r="EA305" s="105"/>
      <c r="EB305" s="105"/>
      <c r="EC305" s="139"/>
      <c r="ED305" s="105"/>
      <c r="EE305" s="105"/>
      <c r="EF305" s="105"/>
      <c r="EG305" s="105"/>
      <c r="EH305" s="139"/>
      <c r="EI305" s="105"/>
      <c r="EJ305" s="105"/>
      <c r="EK305" s="105"/>
      <c r="EL305" s="105"/>
      <c r="EM305" s="139"/>
      <c r="EN305" s="105"/>
      <c r="EO305" s="105"/>
      <c r="EP305" s="105"/>
      <c r="EQ305" s="105"/>
      <c r="ER305" s="139"/>
      <c r="ES305" s="105"/>
      <c r="ET305" s="105"/>
      <c r="EU305" s="105"/>
      <c r="EV305" s="105"/>
      <c r="EW305" s="139"/>
      <c r="EX305" s="105"/>
      <c r="EY305" s="105"/>
      <c r="EZ305" s="105"/>
      <c r="FA305" s="105"/>
      <c r="FB305" s="139"/>
      <c r="FC305" s="105"/>
      <c r="FD305" s="105"/>
      <c r="FE305" s="105"/>
      <c r="FF305" s="105"/>
      <c r="FG305" s="139"/>
      <c r="FH305" s="105"/>
      <c r="FI305" s="105"/>
      <c r="FJ305" s="105"/>
      <c r="FK305" s="105"/>
      <c r="FL305" s="139"/>
      <c r="FM305" s="105"/>
      <c r="FN305" s="105"/>
      <c r="FO305" s="105"/>
      <c r="FP305" s="105"/>
      <c r="FQ305" s="139"/>
      <c r="FR305" s="105"/>
      <c r="FS305" s="105"/>
      <c r="FT305" s="105"/>
      <c r="FU305" s="105"/>
      <c r="FV305" s="139"/>
      <c r="FW305" s="105"/>
      <c r="FX305" s="105"/>
      <c r="FY305" s="105"/>
      <c r="FZ305" s="105"/>
      <c r="GA305" s="139"/>
      <c r="GB305" s="105"/>
      <c r="GC305" s="105"/>
      <c r="GD305" s="105"/>
      <c r="GE305" s="105"/>
    </row>
    <row r="308" spans="3:187" ht="12.75" customHeight="1">
      <c r="C308" s="176"/>
      <c r="D308" s="177"/>
      <c r="E308" s="177"/>
      <c r="F308" s="177"/>
      <c r="G308" s="177"/>
      <c r="H308" s="176"/>
      <c r="I308" s="177"/>
      <c r="J308" s="177"/>
      <c r="K308" s="177"/>
      <c r="L308" s="177"/>
      <c r="M308" s="176"/>
      <c r="N308" s="177"/>
      <c r="O308" s="177"/>
      <c r="P308" s="177"/>
      <c r="Q308" s="177"/>
      <c r="R308" s="176"/>
      <c r="S308" s="177"/>
      <c r="T308" s="177"/>
      <c r="U308" s="177"/>
      <c r="V308" s="177"/>
      <c r="W308" s="176"/>
      <c r="X308" s="177"/>
      <c r="Y308" s="177"/>
      <c r="Z308" s="177"/>
      <c r="AA308" s="177"/>
      <c r="AB308" s="176"/>
      <c r="AC308" s="177"/>
      <c r="AD308" s="177"/>
      <c r="AE308" s="177"/>
      <c r="AF308" s="177"/>
      <c r="AG308" s="176"/>
      <c r="AH308" s="177"/>
      <c r="AI308" s="177"/>
      <c r="AJ308" s="177"/>
      <c r="AK308" s="177"/>
      <c r="AL308" s="176"/>
      <c r="AM308" s="177"/>
      <c r="AN308" s="177"/>
      <c r="AO308" s="177"/>
      <c r="AP308" s="177"/>
      <c r="AQ308" s="176"/>
      <c r="AR308" s="177"/>
      <c r="AS308" s="177"/>
      <c r="AT308" s="177"/>
      <c r="AU308" s="177"/>
      <c r="AV308" s="176"/>
      <c r="AW308" s="177"/>
      <c r="AX308" s="177"/>
      <c r="AY308" s="177"/>
      <c r="AZ308" s="177"/>
      <c r="BA308" s="176"/>
      <c r="BB308" s="177"/>
      <c r="BC308" s="177"/>
      <c r="BD308" s="177"/>
      <c r="BE308" s="177"/>
      <c r="BF308" s="176"/>
      <c r="BG308" s="177"/>
      <c r="BH308" s="177"/>
      <c r="BI308" s="177"/>
      <c r="BJ308" s="177"/>
      <c r="BK308" s="176"/>
      <c r="BL308" s="177"/>
      <c r="BM308" s="177"/>
      <c r="BN308" s="177"/>
      <c r="BO308" s="177"/>
      <c r="BP308" s="176"/>
      <c r="BQ308" s="177"/>
      <c r="BR308" s="177"/>
      <c r="BS308" s="177"/>
      <c r="BT308" s="177"/>
      <c r="BU308" s="176"/>
      <c r="BV308" s="177"/>
      <c r="BW308" s="177"/>
      <c r="BX308" s="177"/>
      <c r="BY308" s="177"/>
      <c r="BZ308" s="176"/>
      <c r="CA308" s="177"/>
      <c r="CB308" s="177"/>
      <c r="CC308" s="177"/>
      <c r="CD308" s="177"/>
      <c r="CE308" s="176"/>
      <c r="CF308" s="177"/>
      <c r="CG308" s="177"/>
      <c r="CH308" s="177"/>
      <c r="CI308" s="177"/>
      <c r="CJ308" s="176"/>
      <c r="CK308" s="177"/>
      <c r="CL308" s="177"/>
      <c r="CM308" s="177"/>
      <c r="CN308" s="177"/>
      <c r="CO308" s="176"/>
      <c r="CP308" s="177"/>
      <c r="CQ308" s="177"/>
      <c r="CR308" s="177"/>
      <c r="CS308" s="177"/>
      <c r="CT308" s="176"/>
      <c r="CU308" s="177"/>
      <c r="CV308" s="177"/>
      <c r="CW308" s="177"/>
      <c r="CX308" s="177"/>
      <c r="CY308" s="176"/>
      <c r="CZ308" s="177"/>
      <c r="DA308" s="177"/>
      <c r="DB308" s="177"/>
      <c r="DC308" s="177"/>
      <c r="DD308" s="176"/>
      <c r="DE308" s="177"/>
      <c r="DF308" s="177"/>
      <c r="DG308" s="177"/>
      <c r="DH308" s="177"/>
      <c r="DI308" s="176"/>
      <c r="DJ308" s="177"/>
      <c r="DK308" s="177"/>
      <c r="DL308" s="177"/>
      <c r="DM308" s="177"/>
      <c r="DN308" s="176"/>
      <c r="DO308" s="177"/>
      <c r="DP308" s="177"/>
      <c r="DQ308" s="177"/>
      <c r="DR308" s="177"/>
      <c r="DS308" s="176"/>
      <c r="DT308" s="177"/>
      <c r="DU308" s="177"/>
      <c r="DV308" s="177"/>
      <c r="DW308" s="177"/>
      <c r="DX308" s="176"/>
      <c r="DY308" s="177"/>
      <c r="DZ308" s="177"/>
      <c r="EA308" s="177"/>
      <c r="EB308" s="177"/>
      <c r="EC308" s="176"/>
      <c r="ED308" s="177"/>
      <c r="EE308" s="177"/>
      <c r="EF308" s="177"/>
      <c r="EG308" s="177"/>
      <c r="EH308" s="176"/>
      <c r="EI308" s="177"/>
      <c r="EJ308" s="177"/>
      <c r="EK308" s="177"/>
      <c r="EL308" s="177"/>
      <c r="EM308" s="176"/>
      <c r="EN308" s="177"/>
      <c r="EO308" s="177"/>
      <c r="EP308" s="177"/>
      <c r="EQ308" s="177"/>
      <c r="ER308" s="176"/>
      <c r="ES308" s="177"/>
      <c r="ET308" s="177"/>
      <c r="EU308" s="177"/>
      <c r="EV308" s="177"/>
      <c r="EW308" s="176"/>
      <c r="EX308" s="177"/>
      <c r="EY308" s="177"/>
      <c r="EZ308" s="177"/>
      <c r="FA308" s="177"/>
      <c r="FB308" s="176"/>
      <c r="FC308" s="177"/>
      <c r="FD308" s="177"/>
      <c r="FE308" s="177"/>
      <c r="FF308" s="177"/>
      <c r="FG308" s="176"/>
      <c r="FH308" s="177"/>
      <c r="FI308" s="177"/>
      <c r="FJ308" s="177"/>
      <c r="FK308" s="177"/>
      <c r="FL308" s="176"/>
      <c r="FM308" s="177"/>
      <c r="FN308" s="177"/>
      <c r="FO308" s="177"/>
      <c r="FP308" s="177"/>
      <c r="FQ308" s="176"/>
      <c r="FR308" s="177"/>
      <c r="FS308" s="177"/>
      <c r="FT308" s="177"/>
      <c r="FU308" s="177"/>
      <c r="FV308" s="176"/>
      <c r="FW308" s="177"/>
      <c r="FX308" s="177"/>
      <c r="FY308" s="177"/>
      <c r="FZ308" s="177"/>
      <c r="GA308" s="176"/>
      <c r="GB308" s="177"/>
      <c r="GC308" s="177"/>
      <c r="GD308" s="177"/>
      <c r="GE308" s="177"/>
    </row>
    <row r="309" spans="3:187" ht="12.75" customHeight="1">
      <c r="C309" s="106"/>
      <c r="D309" s="107"/>
      <c r="E309" s="107"/>
      <c r="F309" s="107"/>
      <c r="G309" s="107"/>
      <c r="H309" s="106"/>
      <c r="I309" s="107"/>
      <c r="J309" s="107"/>
      <c r="K309" s="107"/>
      <c r="L309" s="107"/>
      <c r="M309" s="106"/>
      <c r="N309" s="107"/>
      <c r="O309" s="107"/>
      <c r="P309" s="107"/>
      <c r="Q309" s="107"/>
      <c r="R309" s="106"/>
      <c r="S309" s="107"/>
      <c r="T309" s="107"/>
      <c r="U309" s="107"/>
      <c r="V309" s="107"/>
      <c r="W309" s="106"/>
      <c r="X309" s="107"/>
      <c r="Y309" s="107"/>
      <c r="Z309" s="107"/>
      <c r="AA309" s="107"/>
      <c r="AB309" s="106"/>
      <c r="AC309" s="107"/>
      <c r="AD309" s="107"/>
      <c r="AE309" s="107"/>
      <c r="AF309" s="107"/>
      <c r="AG309" s="106"/>
      <c r="AH309" s="107"/>
      <c r="AI309" s="107"/>
      <c r="AJ309" s="107"/>
      <c r="AK309" s="107"/>
      <c r="AL309" s="106"/>
      <c r="AM309" s="107"/>
      <c r="AN309" s="107"/>
      <c r="AO309" s="107"/>
      <c r="AP309" s="107"/>
      <c r="AQ309" s="106"/>
      <c r="AR309" s="107"/>
      <c r="AS309" s="107"/>
      <c r="AT309" s="107"/>
      <c r="AU309" s="107"/>
      <c r="AV309" s="106"/>
      <c r="AW309" s="107"/>
      <c r="AX309" s="107"/>
      <c r="AY309" s="107"/>
      <c r="AZ309" s="107"/>
      <c r="BA309" s="106"/>
      <c r="BB309" s="107"/>
      <c r="BC309" s="107"/>
      <c r="BD309" s="107"/>
      <c r="BE309" s="107"/>
      <c r="BF309" s="106"/>
      <c r="BG309" s="107"/>
      <c r="BH309" s="107"/>
      <c r="BI309" s="107"/>
      <c r="BJ309" s="107"/>
      <c r="BK309" s="106"/>
      <c r="BL309" s="107"/>
      <c r="BM309" s="107"/>
      <c r="BN309" s="107"/>
      <c r="BO309" s="107"/>
      <c r="BP309" s="106"/>
      <c r="BQ309" s="107"/>
      <c r="BR309" s="107"/>
      <c r="BS309" s="107"/>
      <c r="BT309" s="107"/>
      <c r="BU309" s="106"/>
      <c r="BV309" s="107"/>
      <c r="BW309" s="107"/>
      <c r="BX309" s="107"/>
      <c r="BY309" s="107"/>
      <c r="BZ309" s="106"/>
      <c r="CA309" s="107"/>
      <c r="CB309" s="107"/>
      <c r="CC309" s="107"/>
      <c r="CD309" s="107"/>
      <c r="CE309" s="106"/>
      <c r="CF309" s="107"/>
      <c r="CG309" s="107"/>
      <c r="CH309" s="107"/>
      <c r="CI309" s="107"/>
      <c r="CJ309" s="106"/>
      <c r="CK309" s="107"/>
      <c r="CL309" s="107"/>
      <c r="CM309" s="107"/>
      <c r="CN309" s="107"/>
      <c r="CO309" s="106"/>
      <c r="CP309" s="107"/>
      <c r="CQ309" s="107"/>
      <c r="CR309" s="107"/>
      <c r="CS309" s="107"/>
      <c r="CT309" s="106"/>
      <c r="CU309" s="107"/>
      <c r="CV309" s="107"/>
      <c r="CW309" s="107"/>
      <c r="CX309" s="107"/>
      <c r="CY309" s="106"/>
      <c r="CZ309" s="107"/>
      <c r="DA309" s="107"/>
      <c r="DB309" s="107"/>
      <c r="DC309" s="107"/>
      <c r="DD309" s="106"/>
      <c r="DE309" s="107"/>
      <c r="DF309" s="107"/>
      <c r="DG309" s="107"/>
      <c r="DH309" s="107"/>
      <c r="DI309" s="106"/>
      <c r="DJ309" s="107"/>
      <c r="DK309" s="107"/>
      <c r="DL309" s="107"/>
      <c r="DM309" s="107"/>
      <c r="DN309" s="106"/>
      <c r="DO309" s="107"/>
      <c r="DP309" s="107"/>
      <c r="DQ309" s="107"/>
      <c r="DR309" s="107"/>
      <c r="DS309" s="106"/>
      <c r="DT309" s="107"/>
      <c r="DU309" s="107"/>
      <c r="DV309" s="107"/>
      <c r="DW309" s="107"/>
      <c r="DX309" s="106"/>
      <c r="DY309" s="107"/>
      <c r="DZ309" s="107"/>
      <c r="EA309" s="107"/>
      <c r="EB309" s="107"/>
      <c r="EC309" s="106"/>
      <c r="ED309" s="107"/>
      <c r="EE309" s="107"/>
      <c r="EF309" s="107"/>
      <c r="EG309" s="107"/>
      <c r="EH309" s="106"/>
      <c r="EI309" s="107"/>
      <c r="EJ309" s="107"/>
      <c r="EK309" s="107"/>
      <c r="EL309" s="107"/>
      <c r="EM309" s="106"/>
      <c r="EN309" s="107"/>
      <c r="EO309" s="107"/>
      <c r="EP309" s="107"/>
      <c r="EQ309" s="107"/>
      <c r="ER309" s="106"/>
      <c r="ES309" s="107"/>
      <c r="ET309" s="107"/>
      <c r="EU309" s="107"/>
      <c r="EV309" s="107"/>
      <c r="EW309" s="106"/>
      <c r="EX309" s="107"/>
      <c r="EY309" s="107"/>
      <c r="EZ309" s="107"/>
      <c r="FA309" s="107"/>
      <c r="FB309" s="106"/>
      <c r="FC309" s="107"/>
      <c r="FD309" s="107"/>
      <c r="FE309" s="107"/>
      <c r="FF309" s="107"/>
      <c r="FG309" s="106"/>
      <c r="FH309" s="107"/>
      <c r="FI309" s="107"/>
      <c r="FJ309" s="107"/>
      <c r="FK309" s="107"/>
      <c r="FL309" s="106"/>
      <c r="FM309" s="107"/>
      <c r="FN309" s="107"/>
      <c r="FO309" s="107"/>
      <c r="FP309" s="107"/>
      <c r="FQ309" s="106"/>
      <c r="FR309" s="107"/>
      <c r="FS309" s="107"/>
      <c r="FT309" s="107"/>
      <c r="FU309" s="107"/>
      <c r="FV309" s="106"/>
      <c r="FW309" s="107"/>
      <c r="FX309" s="107"/>
      <c r="FY309" s="107"/>
      <c r="FZ309" s="107"/>
      <c r="GA309" s="106"/>
      <c r="GB309" s="107"/>
      <c r="GC309" s="107"/>
      <c r="GD309" s="107"/>
      <c r="GE309" s="107"/>
    </row>
    <row r="310" spans="3:187" ht="12.75" customHeight="1">
      <c r="C310" s="106"/>
      <c r="D310" s="107"/>
      <c r="E310" s="107"/>
      <c r="F310" s="107"/>
      <c r="G310" s="107"/>
      <c r="H310" s="106"/>
      <c r="I310" s="107"/>
      <c r="J310" s="107"/>
      <c r="K310" s="107"/>
      <c r="L310" s="107"/>
      <c r="M310" s="106"/>
      <c r="N310" s="107"/>
      <c r="O310" s="107"/>
      <c r="P310" s="107"/>
      <c r="Q310" s="107"/>
      <c r="R310" s="106"/>
      <c r="S310" s="107"/>
      <c r="T310" s="107"/>
      <c r="U310" s="107"/>
      <c r="V310" s="107"/>
      <c r="W310" s="106"/>
      <c r="X310" s="107"/>
      <c r="Y310" s="107"/>
      <c r="Z310" s="107"/>
      <c r="AA310" s="107"/>
      <c r="AB310" s="106"/>
      <c r="AC310" s="107"/>
      <c r="AD310" s="107"/>
      <c r="AE310" s="107"/>
      <c r="AF310" s="107"/>
      <c r="AG310" s="106"/>
      <c r="AH310" s="107"/>
      <c r="AI310" s="107"/>
      <c r="AJ310" s="107"/>
      <c r="AK310" s="107"/>
      <c r="AL310" s="106"/>
      <c r="AM310" s="107"/>
      <c r="AN310" s="107"/>
      <c r="AO310" s="107"/>
      <c r="AP310" s="107"/>
      <c r="AQ310" s="106"/>
      <c r="AR310" s="107"/>
      <c r="AS310" s="107"/>
      <c r="AT310" s="107"/>
      <c r="AU310" s="107"/>
      <c r="AV310" s="106"/>
      <c r="AW310" s="107"/>
      <c r="AX310" s="107"/>
      <c r="AY310" s="107"/>
      <c r="AZ310" s="107"/>
      <c r="BA310" s="106"/>
      <c r="BB310" s="107"/>
      <c r="BC310" s="107"/>
      <c r="BD310" s="107"/>
      <c r="BE310" s="107"/>
      <c r="BF310" s="106"/>
      <c r="BG310" s="107"/>
      <c r="BH310" s="107"/>
      <c r="BI310" s="107"/>
      <c r="BJ310" s="107"/>
      <c r="BK310" s="106"/>
      <c r="BL310" s="107"/>
      <c r="BM310" s="107"/>
      <c r="BN310" s="107"/>
      <c r="BO310" s="107"/>
      <c r="BP310" s="106"/>
      <c r="BQ310" s="107"/>
      <c r="BR310" s="107"/>
      <c r="BS310" s="107"/>
      <c r="BT310" s="107"/>
      <c r="BU310" s="106"/>
      <c r="BV310" s="107"/>
      <c r="BW310" s="107"/>
      <c r="BX310" s="107"/>
      <c r="BY310" s="107"/>
      <c r="BZ310" s="106"/>
      <c r="CA310" s="107"/>
      <c r="CB310" s="107"/>
      <c r="CC310" s="107"/>
      <c r="CD310" s="107"/>
      <c r="CE310" s="106"/>
      <c r="CF310" s="107"/>
      <c r="CG310" s="107"/>
      <c r="CH310" s="107"/>
      <c r="CI310" s="107"/>
      <c r="CJ310" s="106"/>
      <c r="CK310" s="107"/>
      <c r="CL310" s="107"/>
      <c r="CM310" s="107"/>
      <c r="CN310" s="107"/>
      <c r="CO310" s="106"/>
      <c r="CP310" s="107"/>
      <c r="CQ310" s="107"/>
      <c r="CR310" s="107"/>
      <c r="CS310" s="107"/>
      <c r="CT310" s="106"/>
      <c r="CU310" s="107"/>
      <c r="CV310" s="107"/>
      <c r="CW310" s="107"/>
      <c r="CX310" s="107"/>
      <c r="CY310" s="106"/>
      <c r="CZ310" s="107"/>
      <c r="DA310" s="107"/>
      <c r="DB310" s="107"/>
      <c r="DC310" s="107"/>
      <c r="DD310" s="106"/>
      <c r="DE310" s="107"/>
      <c r="DF310" s="107"/>
      <c r="DG310" s="107"/>
      <c r="DH310" s="107"/>
      <c r="DI310" s="106"/>
      <c r="DJ310" s="107"/>
      <c r="DK310" s="107"/>
      <c r="DL310" s="107"/>
      <c r="DM310" s="107"/>
      <c r="DN310" s="106"/>
      <c r="DO310" s="107"/>
      <c r="DP310" s="107"/>
      <c r="DQ310" s="107"/>
      <c r="DR310" s="107"/>
      <c r="DS310" s="106"/>
      <c r="DT310" s="107"/>
      <c r="DU310" s="107"/>
      <c r="DV310" s="107"/>
      <c r="DW310" s="107"/>
      <c r="DX310" s="106"/>
      <c r="DY310" s="107"/>
      <c r="DZ310" s="107"/>
      <c r="EA310" s="107"/>
      <c r="EB310" s="107"/>
      <c r="EC310" s="106"/>
      <c r="ED310" s="107"/>
      <c r="EE310" s="107"/>
      <c r="EF310" s="107"/>
      <c r="EG310" s="107"/>
      <c r="EH310" s="106"/>
      <c r="EI310" s="107"/>
      <c r="EJ310" s="107"/>
      <c r="EK310" s="107"/>
      <c r="EL310" s="107"/>
      <c r="EM310" s="106"/>
      <c r="EN310" s="107"/>
      <c r="EO310" s="107"/>
      <c r="EP310" s="107"/>
      <c r="EQ310" s="107"/>
      <c r="ER310" s="106"/>
      <c r="ES310" s="107"/>
      <c r="ET310" s="107"/>
      <c r="EU310" s="107"/>
      <c r="EV310" s="107"/>
      <c r="EW310" s="106"/>
      <c r="EX310" s="107"/>
      <c r="EY310" s="107"/>
      <c r="EZ310" s="107"/>
      <c r="FA310" s="107"/>
      <c r="FB310" s="106"/>
      <c r="FC310" s="107"/>
      <c r="FD310" s="107"/>
      <c r="FE310" s="107"/>
      <c r="FF310" s="107"/>
      <c r="FG310" s="106"/>
      <c r="FH310" s="107"/>
      <c r="FI310" s="107"/>
      <c r="FJ310" s="107"/>
      <c r="FK310" s="107"/>
      <c r="FL310" s="106"/>
      <c r="FM310" s="107"/>
      <c r="FN310" s="107"/>
      <c r="FO310" s="107"/>
      <c r="FP310" s="107"/>
      <c r="FQ310" s="106"/>
      <c r="FR310" s="107"/>
      <c r="FS310" s="107"/>
      <c r="FT310" s="107"/>
      <c r="FU310" s="107"/>
      <c r="FV310" s="106"/>
      <c r="FW310" s="107"/>
      <c r="FX310" s="107"/>
      <c r="FY310" s="107"/>
      <c r="FZ310" s="107"/>
      <c r="GA310" s="106"/>
      <c r="GB310" s="107"/>
      <c r="GC310" s="107"/>
      <c r="GD310" s="107"/>
      <c r="GE310" s="107"/>
    </row>
    <row r="311" spans="3:187" ht="12.75" customHeight="1">
      <c r="C311" s="187"/>
      <c r="D311" s="180"/>
      <c r="E311" s="180"/>
      <c r="F311" s="180"/>
      <c r="G311" s="180"/>
      <c r="H311" s="187"/>
      <c r="I311" s="180"/>
      <c r="J311" s="180"/>
      <c r="K311" s="180"/>
      <c r="L311" s="180"/>
      <c r="M311" s="187"/>
      <c r="N311" s="180"/>
      <c r="O311" s="180"/>
      <c r="P311" s="180"/>
      <c r="Q311" s="180"/>
      <c r="R311" s="187"/>
      <c r="S311" s="180"/>
      <c r="T311" s="180"/>
      <c r="U311" s="180"/>
      <c r="V311" s="180"/>
      <c r="W311" s="187"/>
      <c r="X311" s="180"/>
      <c r="Y311" s="180"/>
      <c r="Z311" s="180"/>
      <c r="AA311" s="180"/>
      <c r="AB311" s="187"/>
      <c r="AC311" s="180"/>
      <c r="AD311" s="180"/>
      <c r="AE311" s="180"/>
      <c r="AF311" s="180"/>
      <c r="AG311" s="187"/>
      <c r="AH311" s="180"/>
      <c r="AI311" s="180"/>
      <c r="AJ311" s="180"/>
      <c r="AK311" s="180"/>
      <c r="AL311" s="187"/>
      <c r="AM311" s="180"/>
      <c r="AN311" s="180"/>
      <c r="AO311" s="180"/>
      <c r="AP311" s="180"/>
      <c r="AQ311" s="187"/>
      <c r="AR311" s="180"/>
      <c r="AS311" s="180"/>
      <c r="AT311" s="180"/>
      <c r="AU311" s="180"/>
      <c r="AV311" s="187"/>
      <c r="AW311" s="180"/>
      <c r="AX311" s="180"/>
      <c r="AY311" s="180"/>
      <c r="AZ311" s="180"/>
      <c r="BA311" s="187"/>
      <c r="BB311" s="180"/>
      <c r="BC311" s="180"/>
      <c r="BD311" s="180"/>
      <c r="BE311" s="180"/>
      <c r="BF311" s="187"/>
      <c r="BG311" s="180"/>
      <c r="BH311" s="180"/>
      <c r="BI311" s="180"/>
      <c r="BJ311" s="180"/>
      <c r="BK311" s="187"/>
      <c r="BL311" s="180"/>
      <c r="BM311" s="180"/>
      <c r="BN311" s="180"/>
      <c r="BO311" s="180"/>
      <c r="BP311" s="187"/>
      <c r="BQ311" s="180"/>
      <c r="BR311" s="180"/>
      <c r="BS311" s="180"/>
      <c r="BT311" s="180"/>
      <c r="BU311" s="187"/>
      <c r="BV311" s="180"/>
      <c r="BW311" s="180"/>
      <c r="BX311" s="180"/>
      <c r="BY311" s="180"/>
      <c r="BZ311" s="187"/>
      <c r="CA311" s="180"/>
      <c r="CB311" s="180"/>
      <c r="CC311" s="180"/>
      <c r="CD311" s="180"/>
      <c r="CE311" s="187"/>
      <c r="CF311" s="180"/>
      <c r="CG311" s="180"/>
      <c r="CH311" s="180"/>
      <c r="CI311" s="180"/>
      <c r="CJ311" s="187"/>
      <c r="CK311" s="180"/>
      <c r="CL311" s="180"/>
      <c r="CM311" s="180"/>
      <c r="CN311" s="180"/>
      <c r="CO311" s="187"/>
      <c r="CP311" s="180"/>
      <c r="CQ311" s="180"/>
      <c r="CR311" s="180"/>
      <c r="CS311" s="180"/>
      <c r="CT311" s="187"/>
      <c r="CU311" s="180"/>
      <c r="CV311" s="180"/>
      <c r="CW311" s="180"/>
      <c r="CX311" s="180"/>
      <c r="CY311" s="187"/>
      <c r="CZ311" s="180"/>
      <c r="DA311" s="180"/>
      <c r="DB311" s="180"/>
      <c r="DC311" s="180"/>
      <c r="DD311" s="187"/>
      <c r="DE311" s="180"/>
      <c r="DF311" s="180"/>
      <c r="DG311" s="180"/>
      <c r="DH311" s="180"/>
      <c r="DI311" s="187"/>
      <c r="DJ311" s="180"/>
      <c r="DK311" s="180"/>
      <c r="DL311" s="180"/>
      <c r="DM311" s="180"/>
      <c r="DN311" s="187"/>
      <c r="DO311" s="180"/>
      <c r="DP311" s="180"/>
      <c r="DQ311" s="180"/>
      <c r="DR311" s="180"/>
      <c r="DS311" s="187"/>
      <c r="DT311" s="180"/>
      <c r="DU311" s="180"/>
      <c r="DV311" s="180"/>
      <c r="DW311" s="180"/>
      <c r="DX311" s="187"/>
      <c r="DY311" s="180"/>
      <c r="DZ311" s="180"/>
      <c r="EA311" s="180"/>
      <c r="EB311" s="180"/>
      <c r="EC311" s="187"/>
      <c r="ED311" s="180"/>
      <c r="EE311" s="180"/>
      <c r="EF311" s="180"/>
      <c r="EG311" s="180"/>
      <c r="EH311" s="187"/>
      <c r="EI311" s="180"/>
      <c r="EJ311" s="180"/>
      <c r="EK311" s="180"/>
      <c r="EL311" s="180"/>
      <c r="EM311" s="187"/>
      <c r="EN311" s="180"/>
      <c r="EO311" s="180"/>
      <c r="EP311" s="180"/>
      <c r="EQ311" s="180"/>
      <c r="ER311" s="187"/>
      <c r="ES311" s="180"/>
      <c r="ET311" s="180"/>
      <c r="EU311" s="180"/>
      <c r="EV311" s="180"/>
      <c r="EW311" s="187"/>
      <c r="EX311" s="180"/>
      <c r="EY311" s="180"/>
      <c r="EZ311" s="180"/>
      <c r="FA311" s="180"/>
      <c r="FB311" s="187"/>
      <c r="FC311" s="180"/>
      <c r="FD311" s="180"/>
      <c r="FE311" s="180"/>
      <c r="FF311" s="180"/>
      <c r="FG311" s="187"/>
      <c r="FH311" s="180"/>
      <c r="FI311" s="180"/>
      <c r="FJ311" s="180"/>
      <c r="FK311" s="180"/>
      <c r="FL311" s="187"/>
      <c r="FM311" s="180"/>
      <c r="FN311" s="180"/>
      <c r="FO311" s="180"/>
      <c r="FP311" s="180"/>
      <c r="FQ311" s="187"/>
      <c r="FR311" s="180"/>
      <c r="FS311" s="180"/>
      <c r="FT311" s="180"/>
      <c r="FU311" s="180"/>
      <c r="FV311" s="187"/>
      <c r="FW311" s="180"/>
      <c r="FX311" s="180"/>
      <c r="FY311" s="180"/>
      <c r="FZ311" s="180"/>
      <c r="GA311" s="187"/>
      <c r="GB311" s="180"/>
      <c r="GC311" s="180"/>
      <c r="GD311" s="180"/>
      <c r="GE311" s="180"/>
    </row>
    <row r="312" spans="3:187" ht="12.75" customHeight="1">
      <c r="C312" s="181"/>
      <c r="D312" s="182"/>
      <c r="E312" s="182"/>
      <c r="F312" s="182"/>
      <c r="G312" s="182"/>
      <c r="H312" s="181"/>
      <c r="I312" s="182"/>
      <c r="J312" s="182"/>
      <c r="K312" s="182"/>
      <c r="L312" s="182"/>
      <c r="M312" s="181"/>
      <c r="N312" s="182"/>
      <c r="O312" s="182"/>
      <c r="P312" s="182"/>
      <c r="Q312" s="182"/>
      <c r="R312" s="181"/>
      <c r="S312" s="182"/>
      <c r="T312" s="182"/>
      <c r="U312" s="182"/>
      <c r="V312" s="182"/>
      <c r="W312" s="181"/>
      <c r="X312" s="182"/>
      <c r="Y312" s="182"/>
      <c r="Z312" s="182"/>
      <c r="AA312" s="182"/>
      <c r="AB312" s="181"/>
      <c r="AC312" s="182"/>
      <c r="AD312" s="182"/>
      <c r="AE312" s="182"/>
      <c r="AF312" s="182"/>
      <c r="AG312" s="181"/>
      <c r="AH312" s="182"/>
      <c r="AI312" s="182"/>
      <c r="AJ312" s="182"/>
      <c r="AK312" s="182"/>
      <c r="AL312" s="181"/>
      <c r="AM312" s="182"/>
      <c r="AN312" s="182"/>
      <c r="AO312" s="182"/>
      <c r="AP312" s="182"/>
      <c r="AQ312" s="181"/>
      <c r="AR312" s="182"/>
      <c r="AS312" s="182"/>
      <c r="AT312" s="182"/>
      <c r="AU312" s="182"/>
      <c r="AV312" s="181"/>
      <c r="AW312" s="182"/>
      <c r="AX312" s="182"/>
      <c r="AY312" s="182"/>
      <c r="AZ312" s="182"/>
      <c r="BA312" s="181"/>
      <c r="BB312" s="182"/>
      <c r="BC312" s="182"/>
      <c r="BD312" s="182"/>
      <c r="BE312" s="182"/>
      <c r="BF312" s="181"/>
      <c r="BG312" s="182"/>
      <c r="BH312" s="182"/>
      <c r="BI312" s="182"/>
      <c r="BJ312" s="182"/>
      <c r="BK312" s="181"/>
      <c r="BL312" s="182"/>
      <c r="BM312" s="182"/>
      <c r="BN312" s="182"/>
      <c r="BO312" s="182"/>
      <c r="BP312" s="181"/>
      <c r="BQ312" s="182"/>
      <c r="BR312" s="182"/>
      <c r="BS312" s="182"/>
      <c r="BT312" s="182"/>
      <c r="BU312" s="181"/>
      <c r="BV312" s="182"/>
      <c r="BW312" s="182"/>
      <c r="BX312" s="182"/>
      <c r="BY312" s="182"/>
      <c r="BZ312" s="181"/>
      <c r="CA312" s="182"/>
      <c r="CB312" s="182"/>
      <c r="CC312" s="182"/>
      <c r="CD312" s="182"/>
      <c r="CE312" s="181"/>
      <c r="CF312" s="182"/>
      <c r="CG312" s="182"/>
      <c r="CH312" s="182"/>
      <c r="CI312" s="182"/>
      <c r="CJ312" s="181"/>
      <c r="CK312" s="182"/>
      <c r="CL312" s="182"/>
      <c r="CM312" s="182"/>
      <c r="CN312" s="182"/>
      <c r="CO312" s="181"/>
      <c r="CP312" s="182"/>
      <c r="CQ312" s="182"/>
      <c r="CR312" s="182"/>
      <c r="CS312" s="182"/>
      <c r="CT312" s="181"/>
      <c r="CU312" s="182"/>
      <c r="CV312" s="182"/>
      <c r="CW312" s="182"/>
      <c r="CX312" s="182"/>
      <c r="CY312" s="181"/>
      <c r="CZ312" s="182"/>
      <c r="DA312" s="182"/>
      <c r="DB312" s="182"/>
      <c r="DC312" s="182"/>
      <c r="DD312" s="181"/>
      <c r="DE312" s="182"/>
      <c r="DF312" s="182"/>
      <c r="DG312" s="182"/>
      <c r="DH312" s="182"/>
      <c r="DI312" s="181"/>
      <c r="DJ312" s="182"/>
      <c r="DK312" s="182"/>
      <c r="DL312" s="182"/>
      <c r="DM312" s="182"/>
      <c r="DN312" s="181"/>
      <c r="DO312" s="182"/>
      <c r="DP312" s="182"/>
      <c r="DQ312" s="182"/>
      <c r="DR312" s="182"/>
      <c r="DS312" s="181"/>
      <c r="DT312" s="182"/>
      <c r="DU312" s="182"/>
      <c r="DV312" s="182"/>
      <c r="DW312" s="182"/>
      <c r="DX312" s="181"/>
      <c r="DY312" s="182"/>
      <c r="DZ312" s="182"/>
      <c r="EA312" s="182"/>
      <c r="EB312" s="182"/>
      <c r="EC312" s="181"/>
      <c r="ED312" s="182"/>
      <c r="EE312" s="182"/>
      <c r="EF312" s="182"/>
      <c r="EG312" s="182"/>
      <c r="EH312" s="181"/>
      <c r="EI312" s="182"/>
      <c r="EJ312" s="182"/>
      <c r="EK312" s="182"/>
      <c r="EL312" s="182"/>
      <c r="EM312" s="181"/>
      <c r="EN312" s="182"/>
      <c r="EO312" s="182"/>
      <c r="EP312" s="182"/>
      <c r="EQ312" s="182"/>
      <c r="ER312" s="181"/>
      <c r="ES312" s="182"/>
      <c r="ET312" s="182"/>
      <c r="EU312" s="182"/>
      <c r="EV312" s="182"/>
      <c r="EW312" s="181"/>
      <c r="EX312" s="182"/>
      <c r="EY312" s="182"/>
      <c r="EZ312" s="182"/>
      <c r="FA312" s="182"/>
      <c r="FB312" s="181"/>
      <c r="FC312" s="182"/>
      <c r="FD312" s="182"/>
      <c r="FE312" s="182"/>
      <c r="FF312" s="182"/>
      <c r="FG312" s="181"/>
      <c r="FH312" s="182"/>
      <c r="FI312" s="182"/>
      <c r="FJ312" s="182"/>
      <c r="FK312" s="182"/>
      <c r="FL312" s="181"/>
      <c r="FM312" s="182"/>
      <c r="FN312" s="182"/>
      <c r="FO312" s="182"/>
      <c r="FP312" s="182"/>
      <c r="FQ312" s="181"/>
      <c r="FR312" s="182"/>
      <c r="FS312" s="182"/>
      <c r="FT312" s="182"/>
      <c r="FU312" s="182"/>
      <c r="FV312" s="181"/>
      <c r="FW312" s="182"/>
      <c r="FX312" s="182"/>
      <c r="FY312" s="182"/>
      <c r="FZ312" s="182"/>
      <c r="GA312" s="181"/>
      <c r="GB312" s="182"/>
      <c r="GC312" s="182"/>
      <c r="GD312" s="182"/>
      <c r="GE312" s="182"/>
    </row>
    <row r="313" spans="3:187" ht="12.75" customHeight="1">
      <c r="C313" s="106"/>
      <c r="D313" s="107"/>
      <c r="E313" s="107"/>
      <c r="F313" s="107"/>
      <c r="G313" s="107"/>
      <c r="H313" s="106"/>
      <c r="I313" s="107"/>
      <c r="J313" s="107"/>
      <c r="K313" s="107"/>
      <c r="L313" s="107"/>
      <c r="M313" s="106"/>
      <c r="N313" s="107"/>
      <c r="O313" s="107"/>
      <c r="P313" s="107"/>
      <c r="Q313" s="107"/>
      <c r="R313" s="106"/>
      <c r="S313" s="107"/>
      <c r="T313" s="107"/>
      <c r="U313" s="107"/>
      <c r="V313" s="107"/>
      <c r="W313" s="106"/>
      <c r="X313" s="107"/>
      <c r="Y313" s="107"/>
      <c r="Z313" s="107"/>
      <c r="AA313" s="107"/>
      <c r="AB313" s="106"/>
      <c r="AC313" s="107"/>
      <c r="AD313" s="107"/>
      <c r="AE313" s="107"/>
      <c r="AF313" s="107"/>
      <c r="AG313" s="106"/>
      <c r="AH313" s="107"/>
      <c r="AI313" s="107"/>
      <c r="AJ313" s="107"/>
      <c r="AK313" s="107"/>
      <c r="AL313" s="106"/>
      <c r="AM313" s="107"/>
      <c r="AN313" s="107"/>
      <c r="AO313" s="107"/>
      <c r="AP313" s="107"/>
      <c r="AQ313" s="106"/>
      <c r="AR313" s="107"/>
      <c r="AS313" s="107"/>
      <c r="AT313" s="107"/>
      <c r="AU313" s="107"/>
      <c r="AV313" s="106"/>
      <c r="AW313" s="107"/>
      <c r="AX313" s="107"/>
      <c r="AY313" s="107"/>
      <c r="AZ313" s="107"/>
      <c r="BA313" s="106"/>
      <c r="BB313" s="107"/>
      <c r="BC313" s="107"/>
      <c r="BD313" s="107"/>
      <c r="BE313" s="107"/>
      <c r="BF313" s="106"/>
      <c r="BG313" s="107"/>
      <c r="BH313" s="107"/>
      <c r="BI313" s="107"/>
      <c r="BJ313" s="107"/>
      <c r="BK313" s="106"/>
      <c r="BL313" s="107"/>
      <c r="BM313" s="107"/>
      <c r="BN313" s="107"/>
      <c r="BO313" s="107"/>
      <c r="BP313" s="106"/>
      <c r="BQ313" s="107"/>
      <c r="BR313" s="107"/>
      <c r="BS313" s="107"/>
      <c r="BT313" s="107"/>
      <c r="BU313" s="106"/>
      <c r="BV313" s="107"/>
      <c r="BW313" s="107"/>
      <c r="BX313" s="107"/>
      <c r="BY313" s="107"/>
      <c r="BZ313" s="106"/>
      <c r="CA313" s="107"/>
      <c r="CB313" s="107"/>
      <c r="CC313" s="107"/>
      <c r="CD313" s="107"/>
      <c r="CE313" s="106"/>
      <c r="CF313" s="107"/>
      <c r="CG313" s="107"/>
      <c r="CH313" s="107"/>
      <c r="CI313" s="107"/>
      <c r="CJ313" s="106"/>
      <c r="CK313" s="107"/>
      <c r="CL313" s="107"/>
      <c r="CM313" s="107"/>
      <c r="CN313" s="107"/>
      <c r="CO313" s="106"/>
      <c r="CP313" s="107"/>
      <c r="CQ313" s="107"/>
      <c r="CR313" s="107"/>
      <c r="CS313" s="107"/>
      <c r="CT313" s="106"/>
      <c r="CU313" s="107"/>
      <c r="CV313" s="107"/>
      <c r="CW313" s="107"/>
      <c r="CX313" s="107"/>
      <c r="CY313" s="106"/>
      <c r="CZ313" s="107"/>
      <c r="DA313" s="107"/>
      <c r="DB313" s="107"/>
      <c r="DC313" s="107"/>
      <c r="DD313" s="106"/>
      <c r="DE313" s="107"/>
      <c r="DF313" s="107"/>
      <c r="DG313" s="107"/>
      <c r="DH313" s="107"/>
      <c r="DI313" s="106"/>
      <c r="DJ313" s="107"/>
      <c r="DK313" s="107"/>
      <c r="DL313" s="107"/>
      <c r="DM313" s="107"/>
      <c r="DN313" s="106"/>
      <c r="DO313" s="107"/>
      <c r="DP313" s="107"/>
      <c r="DQ313" s="107"/>
      <c r="DR313" s="107"/>
      <c r="DS313" s="106"/>
      <c r="DT313" s="107"/>
      <c r="DU313" s="107"/>
      <c r="DV313" s="107"/>
      <c r="DW313" s="107"/>
      <c r="DX313" s="106"/>
      <c r="DY313" s="107"/>
      <c r="DZ313" s="107"/>
      <c r="EA313" s="107"/>
      <c r="EB313" s="107"/>
      <c r="EC313" s="106"/>
      <c r="ED313" s="107"/>
      <c r="EE313" s="107"/>
      <c r="EF313" s="107"/>
      <c r="EG313" s="107"/>
      <c r="EH313" s="106"/>
      <c r="EI313" s="107"/>
      <c r="EJ313" s="107"/>
      <c r="EK313" s="107"/>
      <c r="EL313" s="107"/>
      <c r="EM313" s="106"/>
      <c r="EN313" s="107"/>
      <c r="EO313" s="107"/>
      <c r="EP313" s="107"/>
      <c r="EQ313" s="107"/>
      <c r="ER313" s="106"/>
      <c r="ES313" s="107"/>
      <c r="ET313" s="107"/>
      <c r="EU313" s="107"/>
      <c r="EV313" s="107"/>
      <c r="EW313" s="106"/>
      <c r="EX313" s="107"/>
      <c r="EY313" s="107"/>
      <c r="EZ313" s="107"/>
      <c r="FA313" s="107"/>
      <c r="FB313" s="106"/>
      <c r="FC313" s="107"/>
      <c r="FD313" s="107"/>
      <c r="FE313" s="107"/>
      <c r="FF313" s="107"/>
      <c r="FG313" s="106"/>
      <c r="FH313" s="107"/>
      <c r="FI313" s="107"/>
      <c r="FJ313" s="107"/>
      <c r="FK313" s="107"/>
      <c r="FL313" s="106"/>
      <c r="FM313" s="107"/>
      <c r="FN313" s="107"/>
      <c r="FO313" s="107"/>
      <c r="FP313" s="107"/>
      <c r="FQ313" s="106"/>
      <c r="FR313" s="107"/>
      <c r="FS313" s="107"/>
      <c r="FT313" s="107"/>
      <c r="FU313" s="107"/>
      <c r="FV313" s="106"/>
      <c r="FW313" s="107"/>
      <c r="FX313" s="107"/>
      <c r="FY313" s="107"/>
      <c r="FZ313" s="107"/>
      <c r="GA313" s="106"/>
      <c r="GB313" s="107"/>
      <c r="GC313" s="107"/>
      <c r="GD313" s="107"/>
      <c r="GE313" s="107"/>
    </row>
    <row r="314" spans="3:187" ht="12.75" customHeight="1">
      <c r="C314" s="188"/>
      <c r="D314" s="189"/>
      <c r="E314" s="189"/>
      <c r="F314" s="189"/>
      <c r="G314" s="189"/>
      <c r="H314" s="188"/>
      <c r="I314" s="189"/>
      <c r="J314" s="189"/>
      <c r="K314" s="189"/>
      <c r="L314" s="189"/>
      <c r="M314" s="188"/>
      <c r="N314" s="189"/>
      <c r="O314" s="189"/>
      <c r="P314" s="189"/>
      <c r="Q314" s="189"/>
      <c r="R314" s="188"/>
      <c r="S314" s="189"/>
      <c r="T314" s="189"/>
      <c r="U314" s="189"/>
      <c r="V314" s="189"/>
      <c r="W314" s="188"/>
      <c r="X314" s="189"/>
      <c r="Y314" s="189"/>
      <c r="Z314" s="189"/>
      <c r="AA314" s="189"/>
      <c r="AB314" s="188"/>
      <c r="AC314" s="189"/>
      <c r="AD314" s="189"/>
      <c r="AE314" s="189"/>
      <c r="AF314" s="189"/>
      <c r="AG314" s="188"/>
      <c r="AH314" s="189"/>
      <c r="AI314" s="189"/>
      <c r="AJ314" s="189"/>
      <c r="AK314" s="189"/>
      <c r="AL314" s="188"/>
      <c r="AM314" s="189"/>
      <c r="AN314" s="189"/>
      <c r="AO314" s="189"/>
      <c r="AP314" s="189"/>
      <c r="AQ314" s="188"/>
      <c r="AR314" s="189"/>
      <c r="AS314" s="189"/>
      <c r="AT314" s="189"/>
      <c r="AU314" s="189"/>
      <c r="AV314" s="188"/>
      <c r="AW314" s="189"/>
      <c r="AX314" s="189"/>
      <c r="AY314" s="189"/>
      <c r="AZ314" s="189"/>
      <c r="BA314" s="188"/>
      <c r="BB314" s="189"/>
      <c r="BC314" s="189"/>
      <c r="BD314" s="189"/>
      <c r="BE314" s="189"/>
      <c r="BF314" s="188"/>
      <c r="BG314" s="189"/>
      <c r="BH314" s="189"/>
      <c r="BI314" s="189"/>
      <c r="BJ314" s="189"/>
      <c r="BK314" s="188"/>
      <c r="BL314" s="189"/>
      <c r="BM314" s="189"/>
      <c r="BN314" s="189"/>
      <c r="BO314" s="189"/>
      <c r="BP314" s="188"/>
      <c r="BQ314" s="189"/>
      <c r="BR314" s="189"/>
      <c r="BS314" s="189"/>
      <c r="BT314" s="189"/>
      <c r="BU314" s="188"/>
      <c r="BV314" s="189"/>
      <c r="BW314" s="189"/>
      <c r="BX314" s="189"/>
      <c r="BY314" s="189"/>
      <c r="BZ314" s="188"/>
      <c r="CA314" s="189"/>
      <c r="CB314" s="189"/>
      <c r="CC314" s="189"/>
      <c r="CD314" s="189"/>
      <c r="CE314" s="188"/>
      <c r="CF314" s="189"/>
      <c r="CG314" s="189"/>
      <c r="CH314" s="189"/>
      <c r="CI314" s="189"/>
      <c r="CJ314" s="188"/>
      <c r="CK314" s="189"/>
      <c r="CL314" s="189"/>
      <c r="CM314" s="189"/>
      <c r="CN314" s="189"/>
      <c r="CO314" s="188"/>
      <c r="CP314" s="189"/>
      <c r="CQ314" s="189"/>
      <c r="CR314" s="189"/>
      <c r="CS314" s="189"/>
      <c r="CT314" s="188"/>
      <c r="CU314" s="189"/>
      <c r="CV314" s="189"/>
      <c r="CW314" s="189"/>
      <c r="CX314" s="189"/>
      <c r="CY314" s="188"/>
      <c r="CZ314" s="189"/>
      <c r="DA314" s="189"/>
      <c r="DB314" s="189"/>
      <c r="DC314" s="189"/>
      <c r="DD314" s="188"/>
      <c r="DE314" s="189"/>
      <c r="DF314" s="189"/>
      <c r="DG314" s="189"/>
      <c r="DH314" s="189"/>
      <c r="DI314" s="188"/>
      <c r="DJ314" s="189"/>
      <c r="DK314" s="189"/>
      <c r="DL314" s="189"/>
      <c r="DM314" s="189"/>
      <c r="DN314" s="188"/>
      <c r="DO314" s="189"/>
      <c r="DP314" s="189"/>
      <c r="DQ314" s="189"/>
      <c r="DR314" s="189"/>
      <c r="DS314" s="188"/>
      <c r="DT314" s="189"/>
      <c r="DU314" s="189"/>
      <c r="DV314" s="189"/>
      <c r="DW314" s="189"/>
      <c r="DX314" s="188"/>
      <c r="DY314" s="189"/>
      <c r="DZ314" s="189"/>
      <c r="EA314" s="189"/>
      <c r="EB314" s="189"/>
      <c r="EC314" s="188"/>
      <c r="ED314" s="189"/>
      <c r="EE314" s="189"/>
      <c r="EF314" s="189"/>
      <c r="EG314" s="189"/>
      <c r="EH314" s="188"/>
      <c r="EI314" s="189"/>
      <c r="EJ314" s="189"/>
      <c r="EK314" s="189"/>
      <c r="EL314" s="189"/>
      <c r="EM314" s="188"/>
      <c r="EN314" s="189"/>
      <c r="EO314" s="189"/>
      <c r="EP314" s="189"/>
      <c r="EQ314" s="189"/>
      <c r="ER314" s="188"/>
      <c r="ES314" s="189"/>
      <c r="ET314" s="189"/>
      <c r="EU314" s="189"/>
      <c r="EV314" s="189"/>
      <c r="EW314" s="188"/>
      <c r="EX314" s="189"/>
      <c r="EY314" s="189"/>
      <c r="EZ314" s="189"/>
      <c r="FA314" s="189"/>
      <c r="FB314" s="188"/>
      <c r="FC314" s="189"/>
      <c r="FD314" s="189"/>
      <c r="FE314" s="189"/>
      <c r="FF314" s="189"/>
      <c r="FG314" s="188"/>
      <c r="FH314" s="189"/>
      <c r="FI314" s="189"/>
      <c r="FJ314" s="189"/>
      <c r="FK314" s="189"/>
      <c r="FL314" s="188"/>
      <c r="FM314" s="189"/>
      <c r="FN314" s="189"/>
      <c r="FO314" s="189"/>
      <c r="FP314" s="189"/>
      <c r="FQ314" s="188"/>
      <c r="FR314" s="189"/>
      <c r="FS314" s="189"/>
      <c r="FT314" s="189"/>
      <c r="FU314" s="189"/>
      <c r="FV314" s="188"/>
      <c r="FW314" s="189"/>
      <c r="FX314" s="189"/>
      <c r="FY314" s="189"/>
      <c r="FZ314" s="189"/>
      <c r="GA314" s="188"/>
      <c r="GB314" s="189"/>
      <c r="GC314" s="189"/>
      <c r="GD314" s="189"/>
      <c r="GE314" s="189"/>
    </row>
    <row r="315" spans="3:187" ht="12.75" customHeight="1">
      <c r="C315" s="139"/>
      <c r="D315" s="105"/>
      <c r="E315" s="105"/>
      <c r="F315" s="105"/>
      <c r="G315" s="105"/>
      <c r="H315" s="139"/>
      <c r="I315" s="105"/>
      <c r="J315" s="105"/>
      <c r="K315" s="105"/>
      <c r="L315" s="105"/>
      <c r="M315" s="139"/>
      <c r="N315" s="105"/>
      <c r="O315" s="105"/>
      <c r="P315" s="105"/>
      <c r="Q315" s="105"/>
      <c r="R315" s="139"/>
      <c r="S315" s="105"/>
      <c r="T315" s="105"/>
      <c r="U315" s="105"/>
      <c r="V315" s="105"/>
      <c r="W315" s="139"/>
      <c r="X315" s="105"/>
      <c r="Y315" s="105"/>
      <c r="Z315" s="105"/>
      <c r="AA315" s="105"/>
      <c r="AB315" s="139"/>
      <c r="AC315" s="105"/>
      <c r="AD315" s="105"/>
      <c r="AE315" s="105"/>
      <c r="AF315" s="105"/>
      <c r="AG315" s="139"/>
      <c r="AH315" s="105"/>
      <c r="AI315" s="105"/>
      <c r="AJ315" s="105"/>
      <c r="AK315" s="105"/>
      <c r="AL315" s="139"/>
      <c r="AM315" s="105"/>
      <c r="AN315" s="105"/>
      <c r="AO315" s="105"/>
      <c r="AP315" s="105"/>
      <c r="AQ315" s="139"/>
      <c r="AR315" s="105"/>
      <c r="AS315" s="105"/>
      <c r="AT315" s="105"/>
      <c r="AU315" s="105"/>
      <c r="AV315" s="139"/>
      <c r="AW315" s="105"/>
      <c r="AX315" s="105"/>
      <c r="AY315" s="105"/>
      <c r="AZ315" s="105"/>
      <c r="BA315" s="139"/>
      <c r="BB315" s="105"/>
      <c r="BC315" s="105"/>
      <c r="BD315" s="105"/>
      <c r="BE315" s="105"/>
      <c r="BF315" s="139"/>
      <c r="BG315" s="105"/>
      <c r="BH315" s="105"/>
      <c r="BI315" s="105"/>
      <c r="BJ315" s="105"/>
      <c r="BK315" s="139"/>
      <c r="BL315" s="105"/>
      <c r="BM315" s="105"/>
      <c r="BN315" s="105"/>
      <c r="BO315" s="105"/>
      <c r="BP315" s="139"/>
      <c r="BQ315" s="105"/>
      <c r="BR315" s="105"/>
      <c r="BS315" s="105"/>
      <c r="BT315" s="105"/>
      <c r="BU315" s="139"/>
      <c r="BV315" s="105"/>
      <c r="BW315" s="105"/>
      <c r="BX315" s="105"/>
      <c r="BY315" s="105"/>
      <c r="BZ315" s="139"/>
      <c r="CA315" s="105"/>
      <c r="CB315" s="105"/>
      <c r="CC315" s="105"/>
      <c r="CD315" s="105"/>
      <c r="CE315" s="139"/>
      <c r="CF315" s="105"/>
      <c r="CG315" s="105"/>
      <c r="CH315" s="105"/>
      <c r="CI315" s="105"/>
      <c r="CJ315" s="139"/>
      <c r="CK315" s="105"/>
      <c r="CL315" s="105"/>
      <c r="CM315" s="105"/>
      <c r="CN315" s="105"/>
      <c r="CO315" s="139"/>
      <c r="CP315" s="105"/>
      <c r="CQ315" s="105"/>
      <c r="CR315" s="105"/>
      <c r="CS315" s="105"/>
      <c r="CT315" s="139"/>
      <c r="CU315" s="105"/>
      <c r="CV315" s="105"/>
      <c r="CW315" s="105"/>
      <c r="CX315" s="105"/>
      <c r="CY315" s="139"/>
      <c r="CZ315" s="105"/>
      <c r="DA315" s="105"/>
      <c r="DB315" s="105"/>
      <c r="DC315" s="105"/>
      <c r="DD315" s="139"/>
      <c r="DE315" s="105"/>
      <c r="DF315" s="105"/>
      <c r="DG315" s="105"/>
      <c r="DH315" s="105"/>
      <c r="DI315" s="139"/>
      <c r="DJ315" s="105"/>
      <c r="DK315" s="105"/>
      <c r="DL315" s="105"/>
      <c r="DM315" s="105"/>
      <c r="DN315" s="139"/>
      <c r="DO315" s="105"/>
      <c r="DP315" s="105"/>
      <c r="DQ315" s="105"/>
      <c r="DR315" s="105"/>
      <c r="DS315" s="139"/>
      <c r="DT315" s="105"/>
      <c r="DU315" s="105"/>
      <c r="DV315" s="105"/>
      <c r="DW315" s="105"/>
      <c r="DX315" s="139"/>
      <c r="DY315" s="105"/>
      <c r="DZ315" s="105"/>
      <c r="EA315" s="105"/>
      <c r="EB315" s="105"/>
      <c r="EC315" s="139"/>
      <c r="ED315" s="105"/>
      <c r="EE315" s="105"/>
      <c r="EF315" s="105"/>
      <c r="EG315" s="105"/>
      <c r="EH315" s="139"/>
      <c r="EI315" s="105"/>
      <c r="EJ315" s="105"/>
      <c r="EK315" s="105"/>
      <c r="EL315" s="105"/>
      <c r="EM315" s="139"/>
      <c r="EN315" s="105"/>
      <c r="EO315" s="105"/>
      <c r="EP315" s="105"/>
      <c r="EQ315" s="105"/>
      <c r="ER315" s="139"/>
      <c r="ES315" s="105"/>
      <c r="ET315" s="105"/>
      <c r="EU315" s="105"/>
      <c r="EV315" s="105"/>
      <c r="EW315" s="139"/>
      <c r="EX315" s="105"/>
      <c r="EY315" s="105"/>
      <c r="EZ315" s="105"/>
      <c r="FA315" s="105"/>
      <c r="FB315" s="139"/>
      <c r="FC315" s="105"/>
      <c r="FD315" s="105"/>
      <c r="FE315" s="105"/>
      <c r="FF315" s="105"/>
      <c r="FG315" s="139"/>
      <c r="FH315" s="105"/>
      <c r="FI315" s="105"/>
      <c r="FJ315" s="105"/>
      <c r="FK315" s="105"/>
      <c r="FL315" s="139"/>
      <c r="FM315" s="105"/>
      <c r="FN315" s="105"/>
      <c r="FO315" s="105"/>
      <c r="FP315" s="105"/>
      <c r="FQ315" s="139"/>
      <c r="FR315" s="105"/>
      <c r="FS315" s="105"/>
      <c r="FT315" s="105"/>
      <c r="FU315" s="105"/>
      <c r="FV315" s="139"/>
      <c r="FW315" s="105"/>
      <c r="FX315" s="105"/>
      <c r="FY315" s="105"/>
      <c r="FZ315" s="105"/>
      <c r="GA315" s="139"/>
      <c r="GB315" s="105"/>
      <c r="GC315" s="105"/>
      <c r="GD315" s="105"/>
      <c r="GE315" s="105"/>
    </row>
    <row r="321" spans="3:187" ht="12.75" customHeight="1">
      <c r="C321" s="190"/>
      <c r="D321" s="191"/>
      <c r="E321" s="191"/>
      <c r="F321" s="191"/>
      <c r="G321" s="191"/>
      <c r="H321" s="190"/>
      <c r="I321" s="191"/>
      <c r="J321" s="191"/>
      <c r="K321" s="191"/>
      <c r="L321" s="191"/>
      <c r="M321" s="190"/>
      <c r="N321" s="191"/>
      <c r="O321" s="191"/>
      <c r="P321" s="191"/>
      <c r="Q321" s="191"/>
      <c r="R321" s="190"/>
      <c r="S321" s="191"/>
      <c r="T321" s="191"/>
      <c r="U321" s="191"/>
      <c r="V321" s="191"/>
      <c r="W321" s="190"/>
      <c r="X321" s="191"/>
      <c r="Y321" s="191"/>
      <c r="Z321" s="191"/>
      <c r="AA321" s="191"/>
      <c r="AB321" s="190"/>
      <c r="AC321" s="191"/>
      <c r="AD321" s="191"/>
      <c r="AE321" s="191"/>
      <c r="AF321" s="191"/>
      <c r="AG321" s="190"/>
      <c r="AH321" s="191"/>
      <c r="AI321" s="191"/>
      <c r="AJ321" s="191"/>
      <c r="AK321" s="191"/>
      <c r="AL321" s="190"/>
      <c r="AM321" s="191"/>
      <c r="AN321" s="191"/>
      <c r="AO321" s="191"/>
      <c r="AP321" s="191"/>
      <c r="AQ321" s="190"/>
      <c r="AR321" s="191"/>
      <c r="AS321" s="191"/>
      <c r="AT321" s="191"/>
      <c r="AU321" s="191"/>
      <c r="AV321" s="190"/>
      <c r="AW321" s="191"/>
      <c r="AX321" s="191"/>
      <c r="AY321" s="191"/>
      <c r="AZ321" s="191"/>
      <c r="BA321" s="190"/>
      <c r="BB321" s="191"/>
      <c r="BC321" s="191"/>
      <c r="BD321" s="191"/>
      <c r="BE321" s="191"/>
      <c r="BF321" s="190"/>
      <c r="BG321" s="191"/>
      <c r="BH321" s="191"/>
      <c r="BI321" s="191"/>
      <c r="BJ321" s="191"/>
      <c r="BK321" s="190"/>
      <c r="BL321" s="191"/>
      <c r="BM321" s="191"/>
      <c r="BN321" s="191"/>
      <c r="BO321" s="191"/>
      <c r="BP321" s="190"/>
      <c r="BQ321" s="191"/>
      <c r="BR321" s="191"/>
      <c r="BS321" s="191"/>
      <c r="BT321" s="191"/>
      <c r="BU321" s="190"/>
      <c r="BV321" s="191"/>
      <c r="BW321" s="191"/>
      <c r="BX321" s="191"/>
      <c r="BY321" s="191"/>
      <c r="BZ321" s="190"/>
      <c r="CA321" s="191"/>
      <c r="CB321" s="191"/>
      <c r="CC321" s="191"/>
      <c r="CD321" s="191"/>
      <c r="CE321" s="190"/>
      <c r="CF321" s="191"/>
      <c r="CG321" s="191"/>
      <c r="CH321" s="191"/>
      <c r="CI321" s="191"/>
      <c r="CJ321" s="190"/>
      <c r="CK321" s="191"/>
      <c r="CL321" s="191"/>
      <c r="CM321" s="191"/>
      <c r="CN321" s="191"/>
      <c r="CO321" s="190"/>
      <c r="CP321" s="191"/>
      <c r="CQ321" s="191"/>
      <c r="CR321" s="191"/>
      <c r="CS321" s="191"/>
      <c r="CT321" s="190"/>
      <c r="CU321" s="191"/>
      <c r="CV321" s="191"/>
      <c r="CW321" s="191"/>
      <c r="CX321" s="191"/>
      <c r="CY321" s="190"/>
      <c r="CZ321" s="191"/>
      <c r="DA321" s="191"/>
      <c r="DB321" s="191"/>
      <c r="DC321" s="191"/>
      <c r="DD321" s="190"/>
      <c r="DE321" s="191"/>
      <c r="DF321" s="191"/>
      <c r="DG321" s="191"/>
      <c r="DH321" s="191"/>
      <c r="DI321" s="190"/>
      <c r="DJ321" s="191"/>
      <c r="DK321" s="191"/>
      <c r="DL321" s="191"/>
      <c r="DM321" s="191"/>
      <c r="DN321" s="190"/>
      <c r="DO321" s="191"/>
      <c r="DP321" s="191"/>
      <c r="DQ321" s="191"/>
      <c r="DR321" s="191"/>
      <c r="DS321" s="190"/>
      <c r="DT321" s="191"/>
      <c r="DU321" s="191"/>
      <c r="DV321" s="191"/>
      <c r="DW321" s="191"/>
      <c r="DX321" s="190"/>
      <c r="DY321" s="191"/>
      <c r="DZ321" s="191"/>
      <c r="EA321" s="191"/>
      <c r="EB321" s="191"/>
      <c r="EC321" s="190"/>
      <c r="ED321" s="191"/>
      <c r="EE321" s="191"/>
      <c r="EF321" s="191"/>
      <c r="EG321" s="191"/>
      <c r="EH321" s="190"/>
      <c r="EI321" s="191"/>
      <c r="EJ321" s="191"/>
      <c r="EK321" s="191"/>
      <c r="EL321" s="191"/>
      <c r="EM321" s="190"/>
      <c r="EN321" s="191"/>
      <c r="EO321" s="191"/>
      <c r="EP321" s="191"/>
      <c r="EQ321" s="191"/>
      <c r="ER321" s="190"/>
      <c r="ES321" s="191"/>
      <c r="ET321" s="191"/>
      <c r="EU321" s="191"/>
      <c r="EV321" s="191"/>
      <c r="EW321" s="190"/>
      <c r="EX321" s="191"/>
      <c r="EY321" s="191"/>
      <c r="EZ321" s="191"/>
      <c r="FA321" s="191"/>
      <c r="FB321" s="190"/>
      <c r="FC321" s="191"/>
      <c r="FD321" s="191"/>
      <c r="FE321" s="191"/>
      <c r="FF321" s="191"/>
      <c r="FG321" s="190"/>
      <c r="FH321" s="191"/>
      <c r="FI321" s="191"/>
      <c r="FJ321" s="191"/>
      <c r="FK321" s="191"/>
      <c r="FL321" s="190"/>
      <c r="FM321" s="191"/>
      <c r="FN321" s="191"/>
      <c r="FO321" s="191"/>
      <c r="FP321" s="191"/>
      <c r="FQ321" s="190"/>
      <c r="FR321" s="191"/>
      <c r="FS321" s="191"/>
      <c r="FT321" s="191"/>
      <c r="FU321" s="191"/>
      <c r="FV321" s="190"/>
      <c r="FW321" s="191"/>
      <c r="FX321" s="191"/>
      <c r="FY321" s="191"/>
      <c r="FZ321" s="191"/>
      <c r="GA321" s="190"/>
      <c r="GB321" s="191"/>
      <c r="GC321" s="191"/>
      <c r="GD321" s="191"/>
      <c r="GE321" s="191"/>
    </row>
    <row r="322" spans="3:187" ht="12.75" customHeight="1">
      <c r="C322" s="192"/>
      <c r="D322" s="193"/>
      <c r="E322" s="193"/>
      <c r="F322" s="193"/>
      <c r="G322" s="193"/>
      <c r="H322" s="192"/>
      <c r="I322" s="193"/>
      <c r="J322" s="193"/>
      <c r="K322" s="193"/>
      <c r="L322" s="193"/>
      <c r="M322" s="192"/>
      <c r="N322" s="193"/>
      <c r="O322" s="193"/>
      <c r="P322" s="193"/>
      <c r="Q322" s="193"/>
      <c r="R322" s="192"/>
      <c r="S322" s="193"/>
      <c r="T322" s="193"/>
      <c r="U322" s="193"/>
      <c r="V322" s="193"/>
      <c r="W322" s="192"/>
      <c r="X322" s="193"/>
      <c r="Y322" s="193"/>
      <c r="Z322" s="193"/>
      <c r="AA322" s="193"/>
      <c r="AB322" s="192"/>
      <c r="AC322" s="193"/>
      <c r="AD322" s="193"/>
      <c r="AE322" s="193"/>
      <c r="AF322" s="193"/>
      <c r="AG322" s="192"/>
      <c r="AH322" s="193"/>
      <c r="AI322" s="193"/>
      <c r="AJ322" s="193"/>
      <c r="AK322" s="193"/>
      <c r="AL322" s="192"/>
      <c r="AM322" s="193"/>
      <c r="AN322" s="193"/>
      <c r="AO322" s="193"/>
      <c r="AP322" s="193"/>
      <c r="AQ322" s="192"/>
      <c r="AR322" s="193"/>
      <c r="AS322" s="193"/>
      <c r="AT322" s="193"/>
      <c r="AU322" s="193"/>
      <c r="AV322" s="192"/>
      <c r="AW322" s="193"/>
      <c r="AX322" s="193"/>
      <c r="AY322" s="193"/>
      <c r="AZ322" s="193"/>
      <c r="BA322" s="192"/>
      <c r="BB322" s="193"/>
      <c r="BC322" s="193"/>
      <c r="BD322" s="193"/>
      <c r="BE322" s="193"/>
      <c r="BF322" s="192"/>
      <c r="BG322" s="193"/>
      <c r="BH322" s="193"/>
      <c r="BI322" s="193"/>
      <c r="BJ322" s="193"/>
      <c r="BK322" s="192"/>
      <c r="BL322" s="193"/>
      <c r="BM322" s="193"/>
      <c r="BN322" s="193"/>
      <c r="BO322" s="193"/>
      <c r="BP322" s="192"/>
      <c r="BQ322" s="193"/>
      <c r="BR322" s="193"/>
      <c r="BS322" s="193"/>
      <c r="BT322" s="193"/>
      <c r="BU322" s="192"/>
      <c r="BV322" s="193"/>
      <c r="BW322" s="193"/>
      <c r="BX322" s="193"/>
      <c r="BY322" s="193"/>
      <c r="BZ322" s="192"/>
      <c r="CA322" s="193"/>
      <c r="CB322" s="193"/>
      <c r="CC322" s="193"/>
      <c r="CD322" s="193"/>
      <c r="CE322" s="192"/>
      <c r="CF322" s="193"/>
      <c r="CG322" s="193"/>
      <c r="CH322" s="193"/>
      <c r="CI322" s="193"/>
      <c r="CJ322" s="192"/>
      <c r="CK322" s="193"/>
      <c r="CL322" s="193"/>
      <c r="CM322" s="193"/>
      <c r="CN322" s="193"/>
      <c r="CO322" s="192"/>
      <c r="CP322" s="193"/>
      <c r="CQ322" s="193"/>
      <c r="CR322" s="193"/>
      <c r="CS322" s="193"/>
      <c r="CT322" s="192"/>
      <c r="CU322" s="193"/>
      <c r="CV322" s="193"/>
      <c r="CW322" s="193"/>
      <c r="CX322" s="193"/>
      <c r="CY322" s="192"/>
      <c r="CZ322" s="193"/>
      <c r="DA322" s="193"/>
      <c r="DB322" s="193"/>
      <c r="DC322" s="193"/>
      <c r="DD322" s="192"/>
      <c r="DE322" s="193"/>
      <c r="DF322" s="193"/>
      <c r="DG322" s="193"/>
      <c r="DH322" s="193"/>
      <c r="DI322" s="192"/>
      <c r="DJ322" s="193"/>
      <c r="DK322" s="193"/>
      <c r="DL322" s="193"/>
      <c r="DM322" s="193"/>
      <c r="DN322" s="192"/>
      <c r="DO322" s="193"/>
      <c r="DP322" s="193"/>
      <c r="DQ322" s="193"/>
      <c r="DR322" s="193"/>
      <c r="DS322" s="192"/>
      <c r="DT322" s="193"/>
      <c r="DU322" s="193"/>
      <c r="DV322" s="193"/>
      <c r="DW322" s="193"/>
      <c r="DX322" s="192"/>
      <c r="DY322" s="193"/>
      <c r="DZ322" s="193"/>
      <c r="EA322" s="193"/>
      <c r="EB322" s="193"/>
      <c r="EC322" s="192"/>
      <c r="ED322" s="193"/>
      <c r="EE322" s="193"/>
      <c r="EF322" s="193"/>
      <c r="EG322" s="193"/>
      <c r="EH322" s="192"/>
      <c r="EI322" s="193"/>
      <c r="EJ322" s="193"/>
      <c r="EK322" s="193"/>
      <c r="EL322" s="193"/>
      <c r="EM322" s="192"/>
      <c r="EN322" s="193"/>
      <c r="EO322" s="193"/>
      <c r="EP322" s="193"/>
      <c r="EQ322" s="193"/>
      <c r="ER322" s="192"/>
      <c r="ES322" s="193"/>
      <c r="ET322" s="193"/>
      <c r="EU322" s="193"/>
      <c r="EV322" s="193"/>
      <c r="EW322" s="192"/>
      <c r="EX322" s="193"/>
      <c r="EY322" s="193"/>
      <c r="EZ322" s="193"/>
      <c r="FA322" s="193"/>
      <c r="FB322" s="192"/>
      <c r="FC322" s="193"/>
      <c r="FD322" s="193"/>
      <c r="FE322" s="193"/>
      <c r="FF322" s="193"/>
      <c r="FG322" s="192"/>
      <c r="FH322" s="193"/>
      <c r="FI322" s="193"/>
      <c r="FJ322" s="193"/>
      <c r="FK322" s="193"/>
      <c r="FL322" s="192"/>
      <c r="FM322" s="193"/>
      <c r="FN322" s="193"/>
      <c r="FO322" s="193"/>
      <c r="FP322" s="193"/>
      <c r="FQ322" s="192"/>
      <c r="FR322" s="193"/>
      <c r="FS322" s="193"/>
      <c r="FT322" s="193"/>
      <c r="FU322" s="193"/>
      <c r="FV322" s="192"/>
      <c r="FW322" s="193"/>
      <c r="FX322" s="193"/>
      <c r="FY322" s="193"/>
      <c r="FZ322" s="193"/>
      <c r="GA322" s="192"/>
      <c r="GB322" s="193"/>
      <c r="GC322" s="193"/>
      <c r="GD322" s="193"/>
      <c r="GE322" s="193"/>
    </row>
    <row r="323" spans="3:187" ht="12.75" customHeight="1">
      <c r="C323" s="181"/>
      <c r="D323" s="182"/>
      <c r="E323" s="182"/>
      <c r="F323" s="182"/>
      <c r="G323" s="182"/>
      <c r="H323" s="181"/>
      <c r="I323" s="182"/>
      <c r="J323" s="182"/>
      <c r="K323" s="182"/>
      <c r="L323" s="182"/>
      <c r="M323" s="181"/>
      <c r="N323" s="182"/>
      <c r="O323" s="182"/>
      <c r="P323" s="182"/>
      <c r="Q323" s="182"/>
      <c r="R323" s="181"/>
      <c r="S323" s="182"/>
      <c r="T323" s="182"/>
      <c r="U323" s="182"/>
      <c r="V323" s="182"/>
      <c r="W323" s="181"/>
      <c r="X323" s="182"/>
      <c r="Y323" s="182"/>
      <c r="Z323" s="182"/>
      <c r="AA323" s="182"/>
      <c r="AB323" s="181"/>
      <c r="AC323" s="182"/>
      <c r="AD323" s="182"/>
      <c r="AE323" s="182"/>
      <c r="AF323" s="182"/>
      <c r="AG323" s="181"/>
      <c r="AH323" s="182"/>
      <c r="AI323" s="182"/>
      <c r="AJ323" s="182"/>
      <c r="AK323" s="182"/>
      <c r="AL323" s="181"/>
      <c r="AM323" s="182"/>
      <c r="AN323" s="182"/>
      <c r="AO323" s="182"/>
      <c r="AP323" s="182"/>
      <c r="AQ323" s="181"/>
      <c r="AR323" s="182"/>
      <c r="AS323" s="182"/>
      <c r="AT323" s="182"/>
      <c r="AU323" s="182"/>
      <c r="AV323" s="181"/>
      <c r="AW323" s="182"/>
      <c r="AX323" s="182"/>
      <c r="AY323" s="182"/>
      <c r="AZ323" s="182"/>
      <c r="BA323" s="181"/>
      <c r="BB323" s="182"/>
      <c r="BC323" s="182"/>
      <c r="BD323" s="182"/>
      <c r="BE323" s="182"/>
      <c r="BF323" s="181"/>
      <c r="BG323" s="182"/>
      <c r="BH323" s="182"/>
      <c r="BI323" s="182"/>
      <c r="BJ323" s="182"/>
      <c r="BK323" s="181"/>
      <c r="BL323" s="182"/>
      <c r="BM323" s="182"/>
      <c r="BN323" s="182"/>
      <c r="BO323" s="182"/>
      <c r="BP323" s="181"/>
      <c r="BQ323" s="182"/>
      <c r="BR323" s="182"/>
      <c r="BS323" s="182"/>
      <c r="BT323" s="182"/>
      <c r="BU323" s="181"/>
      <c r="BV323" s="182"/>
      <c r="BW323" s="182"/>
      <c r="BX323" s="182"/>
      <c r="BY323" s="182"/>
      <c r="BZ323" s="181"/>
      <c r="CA323" s="182"/>
      <c r="CB323" s="182"/>
      <c r="CC323" s="182"/>
      <c r="CD323" s="182"/>
      <c r="CE323" s="181"/>
      <c r="CF323" s="182"/>
      <c r="CG323" s="182"/>
      <c r="CH323" s="182"/>
      <c r="CI323" s="182"/>
      <c r="CJ323" s="181"/>
      <c r="CK323" s="182"/>
      <c r="CL323" s="182"/>
      <c r="CM323" s="182"/>
      <c r="CN323" s="182"/>
      <c r="CO323" s="181"/>
      <c r="CP323" s="182"/>
      <c r="CQ323" s="182"/>
      <c r="CR323" s="182"/>
      <c r="CS323" s="182"/>
      <c r="CT323" s="181"/>
      <c r="CU323" s="182"/>
      <c r="CV323" s="182"/>
      <c r="CW323" s="182"/>
      <c r="CX323" s="182"/>
      <c r="CY323" s="181"/>
      <c r="CZ323" s="182"/>
      <c r="DA323" s="182"/>
      <c r="DB323" s="182"/>
      <c r="DC323" s="182"/>
      <c r="DD323" s="181"/>
      <c r="DE323" s="182"/>
      <c r="DF323" s="182"/>
      <c r="DG323" s="182"/>
      <c r="DH323" s="182"/>
      <c r="DI323" s="181"/>
      <c r="DJ323" s="182"/>
      <c r="DK323" s="182"/>
      <c r="DL323" s="182"/>
      <c r="DM323" s="182"/>
      <c r="DN323" s="181"/>
      <c r="DO323" s="182"/>
      <c r="DP323" s="182"/>
      <c r="DQ323" s="182"/>
      <c r="DR323" s="182"/>
      <c r="DS323" s="181"/>
      <c r="DT323" s="182"/>
      <c r="DU323" s="182"/>
      <c r="DV323" s="182"/>
      <c r="DW323" s="182"/>
      <c r="DX323" s="181"/>
      <c r="DY323" s="182"/>
      <c r="DZ323" s="182"/>
      <c r="EA323" s="182"/>
      <c r="EB323" s="182"/>
      <c r="EC323" s="181"/>
      <c r="ED323" s="182"/>
      <c r="EE323" s="182"/>
      <c r="EF323" s="182"/>
      <c r="EG323" s="182"/>
      <c r="EH323" s="181"/>
      <c r="EI323" s="182"/>
      <c r="EJ323" s="182"/>
      <c r="EK323" s="182"/>
      <c r="EL323" s="182"/>
      <c r="EM323" s="181"/>
      <c r="EN323" s="182"/>
      <c r="EO323" s="182"/>
      <c r="EP323" s="182"/>
      <c r="EQ323" s="182"/>
      <c r="ER323" s="181"/>
      <c r="ES323" s="182"/>
      <c r="ET323" s="182"/>
      <c r="EU323" s="182"/>
      <c r="EV323" s="182"/>
      <c r="EW323" s="181"/>
      <c r="EX323" s="182"/>
      <c r="EY323" s="182"/>
      <c r="EZ323" s="182"/>
      <c r="FA323" s="182"/>
      <c r="FB323" s="181"/>
      <c r="FC323" s="182"/>
      <c r="FD323" s="182"/>
      <c r="FE323" s="182"/>
      <c r="FF323" s="182"/>
      <c r="FG323" s="181"/>
      <c r="FH323" s="182"/>
      <c r="FI323" s="182"/>
      <c r="FJ323" s="182"/>
      <c r="FK323" s="182"/>
      <c r="FL323" s="181"/>
      <c r="FM323" s="182"/>
      <c r="FN323" s="182"/>
      <c r="FO323" s="182"/>
      <c r="FP323" s="182"/>
      <c r="FQ323" s="181"/>
      <c r="FR323" s="182"/>
      <c r="FS323" s="182"/>
      <c r="FT323" s="182"/>
      <c r="FU323" s="182"/>
      <c r="FV323" s="181"/>
      <c r="FW323" s="182"/>
      <c r="FX323" s="182"/>
      <c r="FY323" s="182"/>
      <c r="FZ323" s="182"/>
      <c r="GA323" s="181"/>
      <c r="GB323" s="182"/>
      <c r="GC323" s="182"/>
      <c r="GD323" s="182"/>
      <c r="GE323" s="182"/>
    </row>
    <row r="325" spans="3:187" ht="12.75" customHeight="1">
      <c r="C325" s="176"/>
      <c r="D325" s="177"/>
      <c r="E325" s="177"/>
      <c r="F325" s="177"/>
      <c r="G325" s="177"/>
      <c r="H325" s="176"/>
      <c r="I325" s="177"/>
      <c r="J325" s="177"/>
      <c r="K325" s="177"/>
      <c r="L325" s="177"/>
      <c r="M325" s="176"/>
      <c r="N325" s="177"/>
      <c r="O325" s="177"/>
      <c r="P325" s="177"/>
      <c r="Q325" s="177"/>
      <c r="R325" s="176"/>
      <c r="S325" s="177"/>
      <c r="T325" s="177"/>
      <c r="U325" s="177"/>
      <c r="V325" s="177"/>
      <c r="W325" s="176"/>
      <c r="X325" s="177"/>
      <c r="Y325" s="177"/>
      <c r="Z325" s="177"/>
      <c r="AA325" s="177"/>
      <c r="AB325" s="176"/>
      <c r="AC325" s="177"/>
      <c r="AD325" s="177"/>
      <c r="AE325" s="177"/>
      <c r="AF325" s="177"/>
      <c r="AG325" s="176"/>
      <c r="AH325" s="177"/>
      <c r="AI325" s="177"/>
      <c r="AJ325" s="177"/>
      <c r="AK325" s="177"/>
      <c r="AL325" s="176"/>
      <c r="AM325" s="177"/>
      <c r="AN325" s="177"/>
      <c r="AO325" s="177"/>
      <c r="AP325" s="177"/>
      <c r="AQ325" s="176"/>
      <c r="AR325" s="177"/>
      <c r="AS325" s="177"/>
      <c r="AT325" s="177"/>
      <c r="AU325" s="177"/>
      <c r="AV325" s="176"/>
      <c r="AW325" s="177"/>
      <c r="AX325" s="177"/>
      <c r="AY325" s="177"/>
      <c r="AZ325" s="177"/>
      <c r="BA325" s="176"/>
      <c r="BB325" s="177"/>
      <c r="BC325" s="177"/>
      <c r="BD325" s="177"/>
      <c r="BE325" s="177"/>
      <c r="BF325" s="176"/>
      <c r="BG325" s="177"/>
      <c r="BH325" s="177"/>
      <c r="BI325" s="177"/>
      <c r="BJ325" s="177"/>
      <c r="BK325" s="176"/>
      <c r="BL325" s="177"/>
      <c r="BM325" s="177"/>
      <c r="BN325" s="177"/>
      <c r="BO325" s="177"/>
      <c r="BP325" s="176"/>
      <c r="BQ325" s="177"/>
      <c r="BR325" s="177"/>
      <c r="BS325" s="177"/>
      <c r="BT325" s="177"/>
      <c r="BU325" s="176"/>
      <c r="BV325" s="177"/>
      <c r="BW325" s="177"/>
      <c r="BX325" s="177"/>
      <c r="BY325" s="177"/>
      <c r="BZ325" s="176"/>
      <c r="CA325" s="177"/>
      <c r="CB325" s="177"/>
      <c r="CC325" s="177"/>
      <c r="CD325" s="177"/>
      <c r="CE325" s="176"/>
      <c r="CF325" s="177"/>
      <c r="CG325" s="177"/>
      <c r="CH325" s="177"/>
      <c r="CI325" s="177"/>
      <c r="CJ325" s="176"/>
      <c r="CK325" s="177"/>
      <c r="CL325" s="177"/>
      <c r="CM325" s="177"/>
      <c r="CN325" s="177"/>
      <c r="CO325" s="176"/>
      <c r="CP325" s="177"/>
      <c r="CQ325" s="177"/>
      <c r="CR325" s="177"/>
      <c r="CS325" s="177"/>
      <c r="CT325" s="176"/>
      <c r="CU325" s="177"/>
      <c r="CV325" s="177"/>
      <c r="CW325" s="177"/>
      <c r="CX325" s="177"/>
      <c r="CY325" s="176"/>
      <c r="CZ325" s="177"/>
      <c r="DA325" s="177"/>
      <c r="DB325" s="177"/>
      <c r="DC325" s="177"/>
      <c r="DD325" s="176"/>
      <c r="DE325" s="177"/>
      <c r="DF325" s="177"/>
      <c r="DG325" s="177"/>
      <c r="DH325" s="177"/>
      <c r="DI325" s="176"/>
      <c r="DJ325" s="177"/>
      <c r="DK325" s="177"/>
      <c r="DL325" s="177"/>
      <c r="DM325" s="177"/>
      <c r="DN325" s="176"/>
      <c r="DO325" s="177"/>
      <c r="DP325" s="177"/>
      <c r="DQ325" s="177"/>
      <c r="DR325" s="177"/>
      <c r="DS325" s="176"/>
      <c r="DT325" s="177"/>
      <c r="DU325" s="177"/>
      <c r="DV325" s="177"/>
      <c r="DW325" s="177"/>
      <c r="DX325" s="176"/>
      <c r="DY325" s="177"/>
      <c r="DZ325" s="177"/>
      <c r="EA325" s="177"/>
      <c r="EB325" s="177"/>
      <c r="EC325" s="176"/>
      <c r="ED325" s="177"/>
      <c r="EE325" s="177"/>
      <c r="EF325" s="177"/>
      <c r="EG325" s="177"/>
      <c r="EH325" s="176"/>
      <c r="EI325" s="177"/>
      <c r="EJ325" s="177"/>
      <c r="EK325" s="177"/>
      <c r="EL325" s="177"/>
      <c r="EM325" s="176"/>
      <c r="EN325" s="177"/>
      <c r="EO325" s="177"/>
      <c r="EP325" s="177"/>
      <c r="EQ325" s="177"/>
      <c r="ER325" s="176"/>
      <c r="ES325" s="177"/>
      <c r="ET325" s="177"/>
      <c r="EU325" s="177"/>
      <c r="EV325" s="177"/>
      <c r="EW325" s="176"/>
      <c r="EX325" s="177"/>
      <c r="EY325" s="177"/>
      <c r="EZ325" s="177"/>
      <c r="FA325" s="177"/>
      <c r="FB325" s="176"/>
      <c r="FC325" s="177"/>
      <c r="FD325" s="177"/>
      <c r="FE325" s="177"/>
      <c r="FF325" s="177"/>
      <c r="FG325" s="176"/>
      <c r="FH325" s="177"/>
      <c r="FI325" s="177"/>
      <c r="FJ325" s="177"/>
      <c r="FK325" s="177"/>
      <c r="FL325" s="176"/>
      <c r="FM325" s="177"/>
      <c r="FN325" s="177"/>
      <c r="FO325" s="177"/>
      <c r="FP325" s="177"/>
      <c r="FQ325" s="176"/>
      <c r="FR325" s="177"/>
      <c r="FS325" s="177"/>
      <c r="FT325" s="177"/>
      <c r="FU325" s="177"/>
      <c r="FV325" s="176"/>
      <c r="FW325" s="177"/>
      <c r="FX325" s="177"/>
      <c r="FY325" s="177"/>
      <c r="FZ325" s="177"/>
      <c r="GA325" s="176"/>
      <c r="GB325" s="177"/>
      <c r="GC325" s="177"/>
      <c r="GD325" s="177"/>
      <c r="GE325" s="177"/>
    </row>
    <row r="326" spans="3:187" ht="12.75" customHeight="1">
      <c r="C326" s="139"/>
      <c r="D326" s="105"/>
      <c r="E326" s="105"/>
      <c r="F326" s="105"/>
      <c r="G326" s="105"/>
      <c r="H326" s="139"/>
      <c r="I326" s="105"/>
      <c r="J326" s="105"/>
      <c r="K326" s="105"/>
      <c r="L326" s="105"/>
      <c r="M326" s="139"/>
      <c r="N326" s="105"/>
      <c r="O326" s="105"/>
      <c r="P326" s="105"/>
      <c r="Q326" s="105"/>
      <c r="R326" s="139"/>
      <c r="S326" s="105"/>
      <c r="T326" s="105"/>
      <c r="U326" s="105"/>
      <c r="V326" s="105"/>
      <c r="W326" s="139"/>
      <c r="X326" s="105"/>
      <c r="Y326" s="105"/>
      <c r="Z326" s="105"/>
      <c r="AA326" s="105"/>
      <c r="AB326" s="139"/>
      <c r="AC326" s="105"/>
      <c r="AD326" s="105"/>
      <c r="AE326" s="105"/>
      <c r="AF326" s="105"/>
      <c r="AG326" s="139"/>
      <c r="AH326" s="105"/>
      <c r="AI326" s="105"/>
      <c r="AJ326" s="105"/>
      <c r="AK326" s="105"/>
      <c r="AL326" s="139"/>
      <c r="AM326" s="105"/>
      <c r="AN326" s="105"/>
      <c r="AO326" s="105"/>
      <c r="AP326" s="105"/>
      <c r="AQ326" s="139"/>
      <c r="AR326" s="105"/>
      <c r="AS326" s="105"/>
      <c r="AT326" s="105"/>
      <c r="AU326" s="105"/>
      <c r="AV326" s="139"/>
      <c r="AW326" s="105"/>
      <c r="AX326" s="105"/>
      <c r="AY326" s="105"/>
      <c r="AZ326" s="105"/>
      <c r="BA326" s="139"/>
      <c r="BB326" s="105"/>
      <c r="BC326" s="105"/>
      <c r="BD326" s="105"/>
      <c r="BE326" s="105"/>
      <c r="BF326" s="139"/>
      <c r="BG326" s="105"/>
      <c r="BH326" s="105"/>
      <c r="BI326" s="105"/>
      <c r="BJ326" s="105"/>
      <c r="BK326" s="139"/>
      <c r="BL326" s="105"/>
      <c r="BM326" s="105"/>
      <c r="BN326" s="105"/>
      <c r="BO326" s="105"/>
      <c r="BP326" s="139"/>
      <c r="BQ326" s="105"/>
      <c r="BR326" s="105"/>
      <c r="BS326" s="105"/>
      <c r="BT326" s="105"/>
      <c r="BU326" s="139"/>
      <c r="BV326" s="105"/>
      <c r="BW326" s="105"/>
      <c r="BX326" s="105"/>
      <c r="BY326" s="105"/>
      <c r="BZ326" s="139"/>
      <c r="CA326" s="105"/>
      <c r="CB326" s="105"/>
      <c r="CC326" s="105"/>
      <c r="CD326" s="105"/>
      <c r="CE326" s="139"/>
      <c r="CF326" s="105"/>
      <c r="CG326" s="105"/>
      <c r="CH326" s="105"/>
      <c r="CI326" s="105"/>
      <c r="CJ326" s="139"/>
      <c r="CK326" s="105"/>
      <c r="CL326" s="105"/>
      <c r="CM326" s="105"/>
      <c r="CN326" s="105"/>
      <c r="CO326" s="139"/>
      <c r="CP326" s="105"/>
      <c r="CQ326" s="105"/>
      <c r="CR326" s="105"/>
      <c r="CS326" s="105"/>
      <c r="CT326" s="139"/>
      <c r="CU326" s="105"/>
      <c r="CV326" s="105"/>
      <c r="CW326" s="105"/>
      <c r="CX326" s="105"/>
      <c r="CY326" s="139"/>
      <c r="CZ326" s="105"/>
      <c r="DA326" s="105"/>
      <c r="DB326" s="105"/>
      <c r="DC326" s="105"/>
      <c r="DD326" s="139"/>
      <c r="DE326" s="105"/>
      <c r="DF326" s="105"/>
      <c r="DG326" s="105"/>
      <c r="DH326" s="105"/>
      <c r="DI326" s="139"/>
      <c r="DJ326" s="105"/>
      <c r="DK326" s="105"/>
      <c r="DL326" s="105"/>
      <c r="DM326" s="105"/>
      <c r="DN326" s="139"/>
      <c r="DO326" s="105"/>
      <c r="DP326" s="105"/>
      <c r="DQ326" s="105"/>
      <c r="DR326" s="105"/>
      <c r="DS326" s="139"/>
      <c r="DT326" s="105"/>
      <c r="DU326" s="105"/>
      <c r="DV326" s="105"/>
      <c r="DW326" s="105"/>
      <c r="DX326" s="139"/>
      <c r="DY326" s="105"/>
      <c r="DZ326" s="105"/>
      <c r="EA326" s="105"/>
      <c r="EB326" s="105"/>
      <c r="EC326" s="139"/>
      <c r="ED326" s="105"/>
      <c r="EE326" s="105"/>
      <c r="EF326" s="105"/>
      <c r="EG326" s="105"/>
      <c r="EH326" s="139"/>
      <c r="EI326" s="105"/>
      <c r="EJ326" s="105"/>
      <c r="EK326" s="105"/>
      <c r="EL326" s="105"/>
      <c r="EM326" s="139"/>
      <c r="EN326" s="105"/>
      <c r="EO326" s="105"/>
      <c r="EP326" s="105"/>
      <c r="EQ326" s="105"/>
      <c r="ER326" s="139"/>
      <c r="ES326" s="105"/>
      <c r="ET326" s="105"/>
      <c r="EU326" s="105"/>
      <c r="EV326" s="105"/>
      <c r="EW326" s="139"/>
      <c r="EX326" s="105"/>
      <c r="EY326" s="105"/>
      <c r="EZ326" s="105"/>
      <c r="FA326" s="105"/>
      <c r="FB326" s="139"/>
      <c r="FC326" s="105"/>
      <c r="FD326" s="105"/>
      <c r="FE326" s="105"/>
      <c r="FF326" s="105"/>
      <c r="FG326" s="139"/>
      <c r="FH326" s="105"/>
      <c r="FI326" s="105"/>
      <c r="FJ326" s="105"/>
      <c r="FK326" s="105"/>
      <c r="FL326" s="139"/>
      <c r="FM326" s="105"/>
      <c r="FN326" s="105"/>
      <c r="FO326" s="105"/>
      <c r="FP326" s="105"/>
      <c r="FQ326" s="139"/>
      <c r="FR326" s="105"/>
      <c r="FS326" s="105"/>
      <c r="FT326" s="105"/>
      <c r="FU326" s="105"/>
      <c r="FV326" s="139"/>
      <c r="FW326" s="105"/>
      <c r="FX326" s="105"/>
      <c r="FY326" s="105"/>
      <c r="FZ326" s="105"/>
      <c r="GA326" s="139"/>
      <c r="GB326" s="105"/>
      <c r="GC326" s="105"/>
      <c r="GD326" s="105"/>
      <c r="GE326" s="105"/>
    </row>
    <row r="328" spans="3:187" ht="12.75" customHeight="1">
      <c r="C328" s="187"/>
      <c r="D328" s="180"/>
      <c r="E328" s="180"/>
      <c r="F328" s="180"/>
      <c r="G328" s="180"/>
      <c r="H328" s="187"/>
      <c r="I328" s="180"/>
      <c r="J328" s="180"/>
      <c r="K328" s="180"/>
      <c r="L328" s="180"/>
      <c r="M328" s="187"/>
      <c r="N328" s="180"/>
      <c r="O328" s="180"/>
      <c r="P328" s="180"/>
      <c r="Q328" s="180"/>
      <c r="R328" s="187"/>
      <c r="S328" s="180"/>
      <c r="T328" s="180"/>
      <c r="U328" s="180"/>
      <c r="V328" s="180"/>
      <c r="W328" s="187"/>
      <c r="X328" s="180"/>
      <c r="Y328" s="180"/>
      <c r="Z328" s="180"/>
      <c r="AA328" s="180"/>
      <c r="AB328" s="187"/>
      <c r="AC328" s="180"/>
      <c r="AD328" s="180"/>
      <c r="AE328" s="180"/>
      <c r="AF328" s="180"/>
      <c r="AG328" s="187"/>
      <c r="AH328" s="180"/>
      <c r="AI328" s="180"/>
      <c r="AJ328" s="180"/>
      <c r="AK328" s="180"/>
      <c r="AL328" s="187"/>
      <c r="AM328" s="180"/>
      <c r="AN328" s="180"/>
      <c r="AO328" s="180"/>
      <c r="AP328" s="180"/>
      <c r="AQ328" s="187"/>
      <c r="AR328" s="180"/>
      <c r="AS328" s="180"/>
      <c r="AT328" s="180"/>
      <c r="AU328" s="180"/>
      <c r="AV328" s="187"/>
      <c r="AW328" s="180"/>
      <c r="AX328" s="180"/>
      <c r="AY328" s="180"/>
      <c r="AZ328" s="180"/>
      <c r="BA328" s="187"/>
      <c r="BB328" s="180"/>
      <c r="BC328" s="180"/>
      <c r="BD328" s="180"/>
      <c r="BE328" s="180"/>
      <c r="BF328" s="187"/>
      <c r="BG328" s="180"/>
      <c r="BH328" s="180"/>
      <c r="BI328" s="180"/>
      <c r="BJ328" s="180"/>
      <c r="BK328" s="187"/>
      <c r="BL328" s="180"/>
      <c r="BM328" s="180"/>
      <c r="BN328" s="180"/>
      <c r="BO328" s="180"/>
      <c r="BP328" s="187"/>
      <c r="BQ328" s="180"/>
      <c r="BR328" s="180"/>
      <c r="BS328" s="180"/>
      <c r="BT328" s="180"/>
      <c r="BU328" s="187"/>
      <c r="BV328" s="180"/>
      <c r="BW328" s="180"/>
      <c r="BX328" s="180"/>
      <c r="BY328" s="180"/>
      <c r="BZ328" s="187"/>
      <c r="CA328" s="180"/>
      <c r="CB328" s="180"/>
      <c r="CC328" s="180"/>
      <c r="CD328" s="180"/>
      <c r="CE328" s="187"/>
      <c r="CF328" s="180"/>
      <c r="CG328" s="180"/>
      <c r="CH328" s="180"/>
      <c r="CI328" s="180"/>
      <c r="CJ328" s="187"/>
      <c r="CK328" s="180"/>
      <c r="CL328" s="180"/>
      <c r="CM328" s="180"/>
      <c r="CN328" s="180"/>
      <c r="CO328" s="187"/>
      <c r="CP328" s="180"/>
      <c r="CQ328" s="180"/>
      <c r="CR328" s="180"/>
      <c r="CS328" s="180"/>
      <c r="CT328" s="187"/>
      <c r="CU328" s="180"/>
      <c r="CV328" s="180"/>
      <c r="CW328" s="180"/>
      <c r="CX328" s="180"/>
      <c r="CY328" s="187"/>
      <c r="CZ328" s="180"/>
      <c r="DA328" s="180"/>
      <c r="DB328" s="180"/>
      <c r="DC328" s="180"/>
      <c r="DD328" s="187"/>
      <c r="DE328" s="180"/>
      <c r="DF328" s="180"/>
      <c r="DG328" s="180"/>
      <c r="DH328" s="180"/>
      <c r="DI328" s="187"/>
      <c r="DJ328" s="180"/>
      <c r="DK328" s="180"/>
      <c r="DL328" s="180"/>
      <c r="DM328" s="180"/>
      <c r="DN328" s="187"/>
      <c r="DO328" s="180"/>
      <c r="DP328" s="180"/>
      <c r="DQ328" s="180"/>
      <c r="DR328" s="180"/>
      <c r="DS328" s="187"/>
      <c r="DT328" s="180"/>
      <c r="DU328" s="180"/>
      <c r="DV328" s="180"/>
      <c r="DW328" s="180"/>
      <c r="DX328" s="187"/>
      <c r="DY328" s="180"/>
      <c r="DZ328" s="180"/>
      <c r="EA328" s="180"/>
      <c r="EB328" s="180"/>
      <c r="EC328" s="187"/>
      <c r="ED328" s="180"/>
      <c r="EE328" s="180"/>
      <c r="EF328" s="180"/>
      <c r="EG328" s="180"/>
      <c r="EH328" s="187"/>
      <c r="EI328" s="180"/>
      <c r="EJ328" s="180"/>
      <c r="EK328" s="180"/>
      <c r="EL328" s="180"/>
      <c r="EM328" s="187"/>
      <c r="EN328" s="180"/>
      <c r="EO328" s="180"/>
      <c r="EP328" s="180"/>
      <c r="EQ328" s="180"/>
      <c r="ER328" s="187"/>
      <c r="ES328" s="180"/>
      <c r="ET328" s="180"/>
      <c r="EU328" s="180"/>
      <c r="EV328" s="180"/>
      <c r="EW328" s="187"/>
      <c r="EX328" s="180"/>
      <c r="EY328" s="180"/>
      <c r="EZ328" s="180"/>
      <c r="FA328" s="180"/>
      <c r="FB328" s="187"/>
      <c r="FC328" s="180"/>
      <c r="FD328" s="180"/>
      <c r="FE328" s="180"/>
      <c r="FF328" s="180"/>
      <c r="FG328" s="187"/>
      <c r="FH328" s="180"/>
      <c r="FI328" s="180"/>
      <c r="FJ328" s="180"/>
      <c r="FK328" s="180"/>
      <c r="FL328" s="187"/>
      <c r="FM328" s="180"/>
      <c r="FN328" s="180"/>
      <c r="FO328" s="180"/>
      <c r="FP328" s="180"/>
      <c r="FQ328" s="187"/>
      <c r="FR328" s="180"/>
      <c r="FS328" s="180"/>
      <c r="FT328" s="180"/>
      <c r="FU328" s="180"/>
      <c r="FV328" s="187"/>
      <c r="FW328" s="180"/>
      <c r="FX328" s="180"/>
      <c r="FY328" s="180"/>
      <c r="FZ328" s="180"/>
      <c r="GA328" s="187"/>
      <c r="GB328" s="180"/>
      <c r="GC328" s="180"/>
      <c r="GD328" s="180"/>
      <c r="GE328" s="180"/>
    </row>
    <row r="329" spans="3:187" ht="12.75" customHeight="1">
      <c r="C329" s="181"/>
      <c r="D329" s="182"/>
      <c r="E329" s="182"/>
      <c r="F329" s="182"/>
      <c r="G329" s="182"/>
      <c r="H329" s="181"/>
      <c r="I329" s="182"/>
      <c r="J329" s="182"/>
      <c r="K329" s="182"/>
      <c r="L329" s="182"/>
      <c r="M329" s="181"/>
      <c r="N329" s="182"/>
      <c r="O329" s="182"/>
      <c r="P329" s="182"/>
      <c r="Q329" s="182"/>
      <c r="R329" s="181"/>
      <c r="S329" s="182"/>
      <c r="T329" s="182"/>
      <c r="U329" s="182"/>
      <c r="V329" s="182"/>
      <c r="W329" s="181"/>
      <c r="X329" s="182"/>
      <c r="Y329" s="182"/>
      <c r="Z329" s="182"/>
      <c r="AA329" s="182"/>
      <c r="AB329" s="181"/>
      <c r="AC329" s="182"/>
      <c r="AD329" s="182"/>
      <c r="AE329" s="182"/>
      <c r="AF329" s="182"/>
      <c r="AG329" s="181"/>
      <c r="AH329" s="182"/>
      <c r="AI329" s="182"/>
      <c r="AJ329" s="182"/>
      <c r="AK329" s="182"/>
      <c r="AL329" s="181"/>
      <c r="AM329" s="182"/>
      <c r="AN329" s="182"/>
      <c r="AO329" s="182"/>
      <c r="AP329" s="182"/>
      <c r="AQ329" s="181"/>
      <c r="AR329" s="182"/>
      <c r="AS329" s="182"/>
      <c r="AT329" s="182"/>
      <c r="AU329" s="182"/>
      <c r="AV329" s="181"/>
      <c r="AW329" s="182"/>
      <c r="AX329" s="182"/>
      <c r="AY329" s="182"/>
      <c r="AZ329" s="182"/>
      <c r="BA329" s="181"/>
      <c r="BB329" s="182"/>
      <c r="BC329" s="182"/>
      <c r="BD329" s="182"/>
      <c r="BE329" s="182"/>
      <c r="BF329" s="181"/>
      <c r="BG329" s="182"/>
      <c r="BH329" s="182"/>
      <c r="BI329" s="182"/>
      <c r="BJ329" s="182"/>
      <c r="BK329" s="181"/>
      <c r="BL329" s="182"/>
      <c r="BM329" s="182"/>
      <c r="BN329" s="182"/>
      <c r="BO329" s="182"/>
      <c r="BP329" s="181"/>
      <c r="BQ329" s="182"/>
      <c r="BR329" s="182"/>
      <c r="BS329" s="182"/>
      <c r="BT329" s="182"/>
      <c r="BU329" s="181"/>
      <c r="BV329" s="182"/>
      <c r="BW329" s="182"/>
      <c r="BX329" s="182"/>
      <c r="BY329" s="182"/>
      <c r="BZ329" s="181"/>
      <c r="CA329" s="182"/>
      <c r="CB329" s="182"/>
      <c r="CC329" s="182"/>
      <c r="CD329" s="182"/>
      <c r="CE329" s="181"/>
      <c r="CF329" s="182"/>
      <c r="CG329" s="182"/>
      <c r="CH329" s="182"/>
      <c r="CI329" s="182"/>
      <c r="CJ329" s="181"/>
      <c r="CK329" s="182"/>
      <c r="CL329" s="182"/>
      <c r="CM329" s="182"/>
      <c r="CN329" s="182"/>
      <c r="CO329" s="181"/>
      <c r="CP329" s="182"/>
      <c r="CQ329" s="182"/>
      <c r="CR329" s="182"/>
      <c r="CS329" s="182"/>
      <c r="CT329" s="181"/>
      <c r="CU329" s="182"/>
      <c r="CV329" s="182"/>
      <c r="CW329" s="182"/>
      <c r="CX329" s="182"/>
      <c r="CY329" s="181"/>
      <c r="CZ329" s="182"/>
      <c r="DA329" s="182"/>
      <c r="DB329" s="182"/>
      <c r="DC329" s="182"/>
      <c r="DD329" s="181"/>
      <c r="DE329" s="182"/>
      <c r="DF329" s="182"/>
      <c r="DG329" s="182"/>
      <c r="DH329" s="182"/>
      <c r="DI329" s="181"/>
      <c r="DJ329" s="182"/>
      <c r="DK329" s="182"/>
      <c r="DL329" s="182"/>
      <c r="DM329" s="182"/>
      <c r="DN329" s="181"/>
      <c r="DO329" s="182"/>
      <c r="DP329" s="182"/>
      <c r="DQ329" s="182"/>
      <c r="DR329" s="182"/>
      <c r="DS329" s="181"/>
      <c r="DT329" s="182"/>
      <c r="DU329" s="182"/>
      <c r="DV329" s="182"/>
      <c r="DW329" s="182"/>
      <c r="DX329" s="181"/>
      <c r="DY329" s="182"/>
      <c r="DZ329" s="182"/>
      <c r="EA329" s="182"/>
      <c r="EB329" s="182"/>
      <c r="EC329" s="181"/>
      <c r="ED329" s="182"/>
      <c r="EE329" s="182"/>
      <c r="EF329" s="182"/>
      <c r="EG329" s="182"/>
      <c r="EH329" s="181"/>
      <c r="EI329" s="182"/>
      <c r="EJ329" s="182"/>
      <c r="EK329" s="182"/>
      <c r="EL329" s="182"/>
      <c r="EM329" s="181"/>
      <c r="EN329" s="182"/>
      <c r="EO329" s="182"/>
      <c r="EP329" s="182"/>
      <c r="EQ329" s="182"/>
      <c r="ER329" s="181"/>
      <c r="ES329" s="182"/>
      <c r="ET329" s="182"/>
      <c r="EU329" s="182"/>
      <c r="EV329" s="182"/>
      <c r="EW329" s="181"/>
      <c r="EX329" s="182"/>
      <c r="EY329" s="182"/>
      <c r="EZ329" s="182"/>
      <c r="FA329" s="182"/>
      <c r="FB329" s="181"/>
      <c r="FC329" s="182"/>
      <c r="FD329" s="182"/>
      <c r="FE329" s="182"/>
      <c r="FF329" s="182"/>
      <c r="FG329" s="181"/>
      <c r="FH329" s="182"/>
      <c r="FI329" s="182"/>
      <c r="FJ329" s="182"/>
      <c r="FK329" s="182"/>
      <c r="FL329" s="181"/>
      <c r="FM329" s="182"/>
      <c r="FN329" s="182"/>
      <c r="FO329" s="182"/>
      <c r="FP329" s="182"/>
      <c r="FQ329" s="181"/>
      <c r="FR329" s="182"/>
      <c r="FS329" s="182"/>
      <c r="FT329" s="182"/>
      <c r="FU329" s="182"/>
      <c r="FV329" s="181"/>
      <c r="FW329" s="182"/>
      <c r="FX329" s="182"/>
      <c r="FY329" s="182"/>
      <c r="FZ329" s="182"/>
      <c r="GA329" s="181"/>
      <c r="GB329" s="182"/>
      <c r="GC329" s="182"/>
      <c r="GD329" s="182"/>
      <c r="GE329" s="182"/>
    </row>
    <row r="331" spans="3:187" ht="12.75" customHeight="1">
      <c r="C331" s="176"/>
      <c r="D331" s="177"/>
      <c r="E331" s="177"/>
      <c r="F331" s="177"/>
      <c r="G331" s="177"/>
      <c r="H331" s="176"/>
      <c r="I331" s="177"/>
      <c r="J331" s="177"/>
      <c r="K331" s="177"/>
      <c r="L331" s="177"/>
      <c r="M331" s="176"/>
      <c r="N331" s="177"/>
      <c r="O331" s="177"/>
      <c r="P331" s="177"/>
      <c r="Q331" s="177"/>
      <c r="R331" s="176"/>
      <c r="S331" s="177"/>
      <c r="T331" s="177"/>
      <c r="U331" s="177"/>
      <c r="V331" s="177"/>
      <c r="W331" s="176"/>
      <c r="X331" s="177"/>
      <c r="Y331" s="177"/>
      <c r="Z331" s="177"/>
      <c r="AA331" s="177"/>
      <c r="AB331" s="176"/>
      <c r="AC331" s="177"/>
      <c r="AD331" s="177"/>
      <c r="AE331" s="177"/>
      <c r="AF331" s="177"/>
      <c r="AG331" s="176"/>
      <c r="AH331" s="177"/>
      <c r="AI331" s="177"/>
      <c r="AJ331" s="177"/>
      <c r="AK331" s="177"/>
      <c r="AL331" s="176"/>
      <c r="AM331" s="177"/>
      <c r="AN331" s="177"/>
      <c r="AO331" s="177"/>
      <c r="AP331" s="177"/>
      <c r="AQ331" s="176"/>
      <c r="AR331" s="177"/>
      <c r="AS331" s="177"/>
      <c r="AT331" s="177"/>
      <c r="AU331" s="177"/>
      <c r="AV331" s="176"/>
      <c r="AW331" s="177"/>
      <c r="AX331" s="177"/>
      <c r="AY331" s="177"/>
      <c r="AZ331" s="177"/>
      <c r="BA331" s="176"/>
      <c r="BB331" s="177"/>
      <c r="BC331" s="177"/>
      <c r="BD331" s="177"/>
      <c r="BE331" s="177"/>
      <c r="BF331" s="176"/>
      <c r="BG331" s="177"/>
      <c r="BH331" s="177"/>
      <c r="BI331" s="177"/>
      <c r="BJ331" s="177"/>
      <c r="BK331" s="176"/>
      <c r="BL331" s="177"/>
      <c r="BM331" s="177"/>
      <c r="BN331" s="177"/>
      <c r="BO331" s="177"/>
      <c r="BP331" s="176"/>
      <c r="BQ331" s="177"/>
      <c r="BR331" s="177"/>
      <c r="BS331" s="177"/>
      <c r="BT331" s="177"/>
      <c r="BU331" s="176"/>
      <c r="BV331" s="177"/>
      <c r="BW331" s="177"/>
      <c r="BX331" s="177"/>
      <c r="BY331" s="177"/>
      <c r="BZ331" s="176"/>
      <c r="CA331" s="177"/>
      <c r="CB331" s="177"/>
      <c r="CC331" s="177"/>
      <c r="CD331" s="177"/>
      <c r="CE331" s="176"/>
      <c r="CF331" s="177"/>
      <c r="CG331" s="177"/>
      <c r="CH331" s="177"/>
      <c r="CI331" s="177"/>
      <c r="CJ331" s="176"/>
      <c r="CK331" s="177"/>
      <c r="CL331" s="177"/>
      <c r="CM331" s="177"/>
      <c r="CN331" s="177"/>
      <c r="CO331" s="176"/>
      <c r="CP331" s="177"/>
      <c r="CQ331" s="177"/>
      <c r="CR331" s="177"/>
      <c r="CS331" s="177"/>
      <c r="CT331" s="176"/>
      <c r="CU331" s="177"/>
      <c r="CV331" s="177"/>
      <c r="CW331" s="177"/>
      <c r="CX331" s="177"/>
      <c r="CY331" s="176"/>
      <c r="CZ331" s="177"/>
      <c r="DA331" s="177"/>
      <c r="DB331" s="177"/>
      <c r="DC331" s="177"/>
      <c r="DD331" s="176"/>
      <c r="DE331" s="177"/>
      <c r="DF331" s="177"/>
      <c r="DG331" s="177"/>
      <c r="DH331" s="177"/>
      <c r="DI331" s="176"/>
      <c r="DJ331" s="177"/>
      <c r="DK331" s="177"/>
      <c r="DL331" s="177"/>
      <c r="DM331" s="177"/>
      <c r="DN331" s="176"/>
      <c r="DO331" s="177"/>
      <c r="DP331" s="177"/>
      <c r="DQ331" s="177"/>
      <c r="DR331" s="177"/>
      <c r="DS331" s="176"/>
      <c r="DT331" s="177"/>
      <c r="DU331" s="177"/>
      <c r="DV331" s="177"/>
      <c r="DW331" s="177"/>
      <c r="DX331" s="176"/>
      <c r="DY331" s="177"/>
      <c r="DZ331" s="177"/>
      <c r="EA331" s="177"/>
      <c r="EB331" s="177"/>
      <c r="EC331" s="176"/>
      <c r="ED331" s="177"/>
      <c r="EE331" s="177"/>
      <c r="EF331" s="177"/>
      <c r="EG331" s="177"/>
      <c r="EH331" s="176"/>
      <c r="EI331" s="177"/>
      <c r="EJ331" s="177"/>
      <c r="EK331" s="177"/>
      <c r="EL331" s="177"/>
      <c r="EM331" s="176"/>
      <c r="EN331" s="177"/>
      <c r="EO331" s="177"/>
      <c r="EP331" s="177"/>
      <c r="EQ331" s="177"/>
      <c r="ER331" s="176"/>
      <c r="ES331" s="177"/>
      <c r="ET331" s="177"/>
      <c r="EU331" s="177"/>
      <c r="EV331" s="177"/>
      <c r="EW331" s="176"/>
      <c r="EX331" s="177"/>
      <c r="EY331" s="177"/>
      <c r="EZ331" s="177"/>
      <c r="FA331" s="177"/>
      <c r="FB331" s="176"/>
      <c r="FC331" s="177"/>
      <c r="FD331" s="177"/>
      <c r="FE331" s="177"/>
      <c r="FF331" s="177"/>
      <c r="FG331" s="176"/>
      <c r="FH331" s="177"/>
      <c r="FI331" s="177"/>
      <c r="FJ331" s="177"/>
      <c r="FK331" s="177"/>
      <c r="FL331" s="176"/>
      <c r="FM331" s="177"/>
      <c r="FN331" s="177"/>
      <c r="FO331" s="177"/>
      <c r="FP331" s="177"/>
      <c r="FQ331" s="176"/>
      <c r="FR331" s="177"/>
      <c r="FS331" s="177"/>
      <c r="FT331" s="177"/>
      <c r="FU331" s="177"/>
      <c r="FV331" s="176"/>
      <c r="FW331" s="177"/>
      <c r="FX331" s="177"/>
      <c r="FY331" s="177"/>
      <c r="FZ331" s="177"/>
      <c r="GA331" s="176"/>
      <c r="GB331" s="177"/>
      <c r="GC331" s="177"/>
      <c r="GD331" s="177"/>
      <c r="GE331" s="177"/>
    </row>
    <row r="332" spans="3:187" ht="12.75" customHeight="1">
      <c r="C332" s="139"/>
      <c r="D332" s="105"/>
      <c r="E332" s="105"/>
      <c r="F332" s="105"/>
      <c r="G332" s="105"/>
      <c r="H332" s="139"/>
      <c r="I332" s="105"/>
      <c r="J332" s="105"/>
      <c r="K332" s="105"/>
      <c r="L332" s="105"/>
      <c r="M332" s="139"/>
      <c r="N332" s="105"/>
      <c r="O332" s="105"/>
      <c r="P332" s="105"/>
      <c r="Q332" s="105"/>
      <c r="R332" s="139"/>
      <c r="S332" s="105"/>
      <c r="T332" s="105"/>
      <c r="U332" s="105"/>
      <c r="V332" s="105"/>
      <c r="W332" s="139"/>
      <c r="X332" s="105"/>
      <c r="Y332" s="105"/>
      <c r="Z332" s="105"/>
      <c r="AA332" s="105"/>
      <c r="AB332" s="139"/>
      <c r="AC332" s="105"/>
      <c r="AD332" s="105"/>
      <c r="AE332" s="105"/>
      <c r="AF332" s="105"/>
      <c r="AG332" s="139"/>
      <c r="AH332" s="105"/>
      <c r="AI332" s="105"/>
      <c r="AJ332" s="105"/>
      <c r="AK332" s="105"/>
      <c r="AL332" s="139"/>
      <c r="AM332" s="105"/>
      <c r="AN332" s="105"/>
      <c r="AO332" s="105"/>
      <c r="AP332" s="105"/>
      <c r="AQ332" s="139"/>
      <c r="AR332" s="105"/>
      <c r="AS332" s="105"/>
      <c r="AT332" s="105"/>
      <c r="AU332" s="105"/>
      <c r="AV332" s="139"/>
      <c r="AW332" s="105"/>
      <c r="AX332" s="105"/>
      <c r="AY332" s="105"/>
      <c r="AZ332" s="105"/>
      <c r="BA332" s="139"/>
      <c r="BB332" s="105"/>
      <c r="BC332" s="105"/>
      <c r="BD332" s="105"/>
      <c r="BE332" s="105"/>
      <c r="BF332" s="139"/>
      <c r="BG332" s="105"/>
      <c r="BH332" s="105"/>
      <c r="BI332" s="105"/>
      <c r="BJ332" s="105"/>
      <c r="BK332" s="139"/>
      <c r="BL332" s="105"/>
      <c r="BM332" s="105"/>
      <c r="BN332" s="105"/>
      <c r="BO332" s="105"/>
      <c r="BP332" s="139"/>
      <c r="BQ332" s="105"/>
      <c r="BR332" s="105"/>
      <c r="BS332" s="105"/>
      <c r="BT332" s="105"/>
      <c r="BU332" s="139"/>
      <c r="BV332" s="105"/>
      <c r="BW332" s="105"/>
      <c r="BX332" s="105"/>
      <c r="BY332" s="105"/>
      <c r="BZ332" s="139"/>
      <c r="CA332" s="105"/>
      <c r="CB332" s="105"/>
      <c r="CC332" s="105"/>
      <c r="CD332" s="105"/>
      <c r="CE332" s="139"/>
      <c r="CF332" s="105"/>
      <c r="CG332" s="105"/>
      <c r="CH332" s="105"/>
      <c r="CI332" s="105"/>
      <c r="CJ332" s="139"/>
      <c r="CK332" s="105"/>
      <c r="CL332" s="105"/>
      <c r="CM332" s="105"/>
      <c r="CN332" s="105"/>
      <c r="CO332" s="139"/>
      <c r="CP332" s="105"/>
      <c r="CQ332" s="105"/>
      <c r="CR332" s="105"/>
      <c r="CS332" s="105"/>
      <c r="CT332" s="139"/>
      <c r="CU332" s="105"/>
      <c r="CV332" s="105"/>
      <c r="CW332" s="105"/>
      <c r="CX332" s="105"/>
      <c r="CY332" s="139"/>
      <c r="CZ332" s="105"/>
      <c r="DA332" s="105"/>
      <c r="DB332" s="105"/>
      <c r="DC332" s="105"/>
      <c r="DD332" s="139"/>
      <c r="DE332" s="105"/>
      <c r="DF332" s="105"/>
      <c r="DG332" s="105"/>
      <c r="DH332" s="105"/>
      <c r="DI332" s="139"/>
      <c r="DJ332" s="105"/>
      <c r="DK332" s="105"/>
      <c r="DL332" s="105"/>
      <c r="DM332" s="105"/>
      <c r="DN332" s="139"/>
      <c r="DO332" s="105"/>
      <c r="DP332" s="105"/>
      <c r="DQ332" s="105"/>
      <c r="DR332" s="105"/>
      <c r="DS332" s="139"/>
      <c r="DT332" s="105"/>
      <c r="DU332" s="105"/>
      <c r="DV332" s="105"/>
      <c r="DW332" s="105"/>
      <c r="DX332" s="139"/>
      <c r="DY332" s="105"/>
      <c r="DZ332" s="105"/>
      <c r="EA332" s="105"/>
      <c r="EB332" s="105"/>
      <c r="EC332" s="139"/>
      <c r="ED332" s="105"/>
      <c r="EE332" s="105"/>
      <c r="EF332" s="105"/>
      <c r="EG332" s="105"/>
      <c r="EH332" s="139"/>
      <c r="EI332" s="105"/>
      <c r="EJ332" s="105"/>
      <c r="EK332" s="105"/>
      <c r="EL332" s="105"/>
      <c r="EM332" s="139"/>
      <c r="EN332" s="105"/>
      <c r="EO332" s="105"/>
      <c r="EP332" s="105"/>
      <c r="EQ332" s="105"/>
      <c r="ER332" s="139"/>
      <c r="ES332" s="105"/>
      <c r="ET332" s="105"/>
      <c r="EU332" s="105"/>
      <c r="EV332" s="105"/>
      <c r="EW332" s="139"/>
      <c r="EX332" s="105"/>
      <c r="EY332" s="105"/>
      <c r="EZ332" s="105"/>
      <c r="FA332" s="105"/>
      <c r="FB332" s="139"/>
      <c r="FC332" s="105"/>
      <c r="FD332" s="105"/>
      <c r="FE332" s="105"/>
      <c r="FF332" s="105"/>
      <c r="FG332" s="139"/>
      <c r="FH332" s="105"/>
      <c r="FI332" s="105"/>
      <c r="FJ332" s="105"/>
      <c r="FK332" s="105"/>
      <c r="FL332" s="139"/>
      <c r="FM332" s="105"/>
      <c r="FN332" s="105"/>
      <c r="FO332" s="105"/>
      <c r="FP332" s="105"/>
      <c r="FQ332" s="139"/>
      <c r="FR332" s="105"/>
      <c r="FS332" s="105"/>
      <c r="FT332" s="105"/>
      <c r="FU332" s="105"/>
      <c r="FV332" s="139"/>
      <c r="FW332" s="105"/>
      <c r="FX332" s="105"/>
      <c r="FY332" s="105"/>
      <c r="FZ332" s="105"/>
      <c r="GA332" s="139"/>
      <c r="GB332" s="105"/>
      <c r="GC332" s="105"/>
      <c r="GD332" s="105"/>
      <c r="GE332" s="105"/>
    </row>
    <row r="336" spans="3:187" ht="12.75" customHeight="1">
      <c r="C336" s="183"/>
      <c r="D336" s="184"/>
      <c r="E336" s="184"/>
      <c r="F336" s="184"/>
      <c r="G336" s="184"/>
      <c r="H336" s="183"/>
      <c r="I336" s="184"/>
      <c r="J336" s="184"/>
      <c r="K336" s="184"/>
      <c r="L336" s="184"/>
      <c r="M336" s="183"/>
      <c r="N336" s="184"/>
      <c r="O336" s="184"/>
      <c r="P336" s="184"/>
      <c r="Q336" s="184"/>
      <c r="R336" s="183"/>
      <c r="S336" s="184"/>
      <c r="T336" s="184"/>
      <c r="U336" s="184"/>
      <c r="V336" s="184"/>
      <c r="W336" s="183"/>
      <c r="X336" s="184"/>
      <c r="Y336" s="184"/>
      <c r="Z336" s="184"/>
      <c r="AA336" s="184"/>
      <c r="AB336" s="183"/>
      <c r="AC336" s="184"/>
      <c r="AD336" s="184"/>
      <c r="AE336" s="184"/>
      <c r="AF336" s="184"/>
      <c r="AG336" s="183"/>
      <c r="AH336" s="184"/>
      <c r="AI336" s="184"/>
      <c r="AJ336" s="184"/>
      <c r="AK336" s="184"/>
      <c r="AL336" s="183"/>
      <c r="AM336" s="184"/>
      <c r="AN336" s="184"/>
      <c r="AO336" s="184"/>
      <c r="AP336" s="184"/>
      <c r="AQ336" s="183"/>
      <c r="AR336" s="184"/>
      <c r="AS336" s="184"/>
      <c r="AT336" s="184"/>
      <c r="AU336" s="184"/>
      <c r="AV336" s="183"/>
      <c r="AW336" s="184"/>
      <c r="AX336" s="184"/>
      <c r="AY336" s="184"/>
      <c r="AZ336" s="184"/>
      <c r="BA336" s="183"/>
      <c r="BB336" s="184"/>
      <c r="BC336" s="184"/>
      <c r="BD336" s="184"/>
      <c r="BE336" s="184"/>
      <c r="BF336" s="183"/>
      <c r="BG336" s="184"/>
      <c r="BH336" s="184"/>
      <c r="BI336" s="184"/>
      <c r="BJ336" s="184"/>
      <c r="BK336" s="183"/>
      <c r="BL336" s="184"/>
      <c r="BM336" s="184"/>
      <c r="BN336" s="184"/>
      <c r="BO336" s="184"/>
      <c r="BP336" s="183"/>
      <c r="BQ336" s="184"/>
      <c r="BR336" s="184"/>
      <c r="BS336" s="184"/>
      <c r="BT336" s="184"/>
      <c r="BU336" s="183"/>
      <c r="BV336" s="184"/>
      <c r="BW336" s="184"/>
      <c r="BX336" s="184"/>
      <c r="BY336" s="184"/>
      <c r="BZ336" s="183"/>
      <c r="CA336" s="184"/>
      <c r="CB336" s="184"/>
      <c r="CC336" s="184"/>
      <c r="CD336" s="184"/>
      <c r="CE336" s="183"/>
      <c r="CF336" s="184"/>
      <c r="CG336" s="184"/>
      <c r="CH336" s="184"/>
      <c r="CI336" s="184"/>
      <c r="CJ336" s="183"/>
      <c r="CK336" s="184"/>
      <c r="CL336" s="184"/>
      <c r="CM336" s="184"/>
      <c r="CN336" s="184"/>
      <c r="CO336" s="183"/>
      <c r="CP336" s="184"/>
      <c r="CQ336" s="184"/>
      <c r="CR336" s="184"/>
      <c r="CS336" s="184"/>
      <c r="CT336" s="183"/>
      <c r="CU336" s="184"/>
      <c r="CV336" s="184"/>
      <c r="CW336" s="184"/>
      <c r="CX336" s="184"/>
      <c r="CY336" s="183"/>
      <c r="CZ336" s="184"/>
      <c r="DA336" s="184"/>
      <c r="DB336" s="184"/>
      <c r="DC336" s="184"/>
      <c r="DD336" s="183"/>
      <c r="DE336" s="184"/>
      <c r="DF336" s="184"/>
      <c r="DG336" s="184"/>
      <c r="DH336" s="184"/>
      <c r="DI336" s="183"/>
      <c r="DJ336" s="184"/>
      <c r="DK336" s="184"/>
      <c r="DL336" s="184"/>
      <c r="DM336" s="184"/>
      <c r="DN336" s="183"/>
      <c r="DO336" s="184"/>
      <c r="DP336" s="184"/>
      <c r="DQ336" s="184"/>
      <c r="DR336" s="184"/>
      <c r="DS336" s="183"/>
      <c r="DT336" s="184"/>
      <c r="DU336" s="184"/>
      <c r="DV336" s="184"/>
      <c r="DW336" s="184"/>
      <c r="DX336" s="183"/>
      <c r="DY336" s="184"/>
      <c r="DZ336" s="184"/>
      <c r="EA336" s="184"/>
      <c r="EB336" s="184"/>
      <c r="EC336" s="183"/>
      <c r="ED336" s="184"/>
      <c r="EE336" s="184"/>
      <c r="EF336" s="184"/>
      <c r="EG336" s="184"/>
      <c r="EH336" s="183"/>
      <c r="EI336" s="184"/>
      <c r="EJ336" s="184"/>
      <c r="EK336" s="184"/>
      <c r="EL336" s="184"/>
      <c r="EM336" s="183"/>
      <c r="EN336" s="184"/>
      <c r="EO336" s="184"/>
      <c r="EP336" s="184"/>
      <c r="EQ336" s="184"/>
      <c r="ER336" s="183"/>
      <c r="ES336" s="184"/>
      <c r="ET336" s="184"/>
      <c r="EU336" s="184"/>
      <c r="EV336" s="184"/>
      <c r="EW336" s="183"/>
      <c r="EX336" s="184"/>
      <c r="EY336" s="184"/>
      <c r="EZ336" s="184"/>
      <c r="FA336" s="184"/>
      <c r="FB336" s="183"/>
      <c r="FC336" s="184"/>
      <c r="FD336" s="184"/>
      <c r="FE336" s="184"/>
      <c r="FF336" s="184"/>
      <c r="FG336" s="183"/>
      <c r="FH336" s="184"/>
      <c r="FI336" s="184"/>
      <c r="FJ336" s="184"/>
      <c r="FK336" s="184"/>
      <c r="FL336" s="183"/>
      <c r="FM336" s="184"/>
      <c r="FN336" s="184"/>
      <c r="FO336" s="184"/>
      <c r="FP336" s="184"/>
      <c r="FQ336" s="183"/>
      <c r="FR336" s="184"/>
      <c r="FS336" s="184"/>
      <c r="FT336" s="184"/>
      <c r="FU336" s="184"/>
      <c r="FV336" s="183"/>
      <c r="FW336" s="184"/>
      <c r="FX336" s="184"/>
      <c r="FY336" s="184"/>
      <c r="FZ336" s="184"/>
      <c r="GA336" s="183"/>
      <c r="GB336" s="184"/>
      <c r="GC336" s="184"/>
      <c r="GD336" s="184"/>
      <c r="GE336" s="184"/>
    </row>
    <row r="337" spans="3:187" ht="12.75" customHeight="1">
      <c r="C337" s="188"/>
      <c r="D337" s="189"/>
      <c r="E337" s="189"/>
      <c r="F337" s="189"/>
      <c r="G337" s="189"/>
      <c r="H337" s="188"/>
      <c r="I337" s="189"/>
      <c r="J337" s="189"/>
      <c r="K337" s="189"/>
      <c r="L337" s="189"/>
      <c r="M337" s="188"/>
      <c r="N337" s="189"/>
      <c r="O337" s="189"/>
      <c r="P337" s="189"/>
      <c r="Q337" s="189"/>
      <c r="R337" s="188"/>
      <c r="S337" s="189"/>
      <c r="T337" s="189"/>
      <c r="U337" s="189"/>
      <c r="V337" s="189"/>
      <c r="W337" s="188"/>
      <c r="X337" s="189"/>
      <c r="Y337" s="189"/>
      <c r="Z337" s="189"/>
      <c r="AA337" s="189"/>
      <c r="AB337" s="188"/>
      <c r="AC337" s="189"/>
      <c r="AD337" s="189"/>
      <c r="AE337" s="189"/>
      <c r="AF337" s="189"/>
      <c r="AG337" s="188"/>
      <c r="AH337" s="189"/>
      <c r="AI337" s="189"/>
      <c r="AJ337" s="189"/>
      <c r="AK337" s="189"/>
      <c r="AL337" s="188"/>
      <c r="AM337" s="189"/>
      <c r="AN337" s="189"/>
      <c r="AO337" s="189"/>
      <c r="AP337" s="189"/>
      <c r="AQ337" s="188"/>
      <c r="AR337" s="189"/>
      <c r="AS337" s="189"/>
      <c r="AT337" s="189"/>
      <c r="AU337" s="189"/>
      <c r="AV337" s="188"/>
      <c r="AW337" s="189"/>
      <c r="AX337" s="189"/>
      <c r="AY337" s="189"/>
      <c r="AZ337" s="189"/>
      <c r="BA337" s="188"/>
      <c r="BB337" s="189"/>
      <c r="BC337" s="189"/>
      <c r="BD337" s="189"/>
      <c r="BE337" s="189"/>
      <c r="BF337" s="188"/>
      <c r="BG337" s="189"/>
      <c r="BH337" s="189"/>
      <c r="BI337" s="189"/>
      <c r="BJ337" s="189"/>
      <c r="BK337" s="188"/>
      <c r="BL337" s="189"/>
      <c r="BM337" s="189"/>
      <c r="BN337" s="189"/>
      <c r="BO337" s="189"/>
      <c r="BP337" s="188"/>
      <c r="BQ337" s="189"/>
      <c r="BR337" s="189"/>
      <c r="BS337" s="189"/>
      <c r="BT337" s="189"/>
      <c r="BU337" s="188"/>
      <c r="BV337" s="189"/>
      <c r="BW337" s="189"/>
      <c r="BX337" s="189"/>
      <c r="BY337" s="189"/>
      <c r="BZ337" s="188"/>
      <c r="CA337" s="189"/>
      <c r="CB337" s="189"/>
      <c r="CC337" s="189"/>
      <c r="CD337" s="189"/>
      <c r="CE337" s="188"/>
      <c r="CF337" s="189"/>
      <c r="CG337" s="189"/>
      <c r="CH337" s="189"/>
      <c r="CI337" s="189"/>
      <c r="CJ337" s="188"/>
      <c r="CK337" s="189"/>
      <c r="CL337" s="189"/>
      <c r="CM337" s="189"/>
      <c r="CN337" s="189"/>
      <c r="CO337" s="188"/>
      <c r="CP337" s="189"/>
      <c r="CQ337" s="189"/>
      <c r="CR337" s="189"/>
      <c r="CS337" s="189"/>
      <c r="CT337" s="188"/>
      <c r="CU337" s="189"/>
      <c r="CV337" s="189"/>
      <c r="CW337" s="189"/>
      <c r="CX337" s="189"/>
      <c r="CY337" s="188"/>
      <c r="CZ337" s="189"/>
      <c r="DA337" s="189"/>
      <c r="DB337" s="189"/>
      <c r="DC337" s="189"/>
      <c r="DD337" s="188"/>
      <c r="DE337" s="189"/>
      <c r="DF337" s="189"/>
      <c r="DG337" s="189"/>
      <c r="DH337" s="189"/>
      <c r="DI337" s="188"/>
      <c r="DJ337" s="189"/>
      <c r="DK337" s="189"/>
      <c r="DL337" s="189"/>
      <c r="DM337" s="189"/>
      <c r="DN337" s="188"/>
      <c r="DO337" s="189"/>
      <c r="DP337" s="189"/>
      <c r="DQ337" s="189"/>
      <c r="DR337" s="189"/>
      <c r="DS337" s="188"/>
      <c r="DT337" s="189"/>
      <c r="DU337" s="189"/>
      <c r="DV337" s="189"/>
      <c r="DW337" s="189"/>
      <c r="DX337" s="188"/>
      <c r="DY337" s="189"/>
      <c r="DZ337" s="189"/>
      <c r="EA337" s="189"/>
      <c r="EB337" s="189"/>
      <c r="EC337" s="188"/>
      <c r="ED337" s="189"/>
      <c r="EE337" s="189"/>
      <c r="EF337" s="189"/>
      <c r="EG337" s="189"/>
      <c r="EH337" s="188"/>
      <c r="EI337" s="189"/>
      <c r="EJ337" s="189"/>
      <c r="EK337" s="189"/>
      <c r="EL337" s="189"/>
      <c r="EM337" s="188"/>
      <c r="EN337" s="189"/>
      <c r="EO337" s="189"/>
      <c r="EP337" s="189"/>
      <c r="EQ337" s="189"/>
      <c r="ER337" s="188"/>
      <c r="ES337" s="189"/>
      <c r="ET337" s="189"/>
      <c r="EU337" s="189"/>
      <c r="EV337" s="189"/>
      <c r="EW337" s="188"/>
      <c r="EX337" s="189"/>
      <c r="EY337" s="189"/>
      <c r="EZ337" s="189"/>
      <c r="FA337" s="189"/>
      <c r="FB337" s="188"/>
      <c r="FC337" s="189"/>
      <c r="FD337" s="189"/>
      <c r="FE337" s="189"/>
      <c r="FF337" s="189"/>
      <c r="FG337" s="188"/>
      <c r="FH337" s="189"/>
      <c r="FI337" s="189"/>
      <c r="FJ337" s="189"/>
      <c r="FK337" s="189"/>
      <c r="FL337" s="188"/>
      <c r="FM337" s="189"/>
      <c r="FN337" s="189"/>
      <c r="FO337" s="189"/>
      <c r="FP337" s="189"/>
      <c r="FQ337" s="188"/>
      <c r="FR337" s="189"/>
      <c r="FS337" s="189"/>
      <c r="FT337" s="189"/>
      <c r="FU337" s="189"/>
      <c r="FV337" s="188"/>
      <c r="FW337" s="189"/>
      <c r="FX337" s="189"/>
      <c r="FY337" s="189"/>
      <c r="FZ337" s="189"/>
      <c r="GA337" s="188"/>
      <c r="GB337" s="189"/>
      <c r="GC337" s="189"/>
      <c r="GD337" s="189"/>
      <c r="GE337" s="189"/>
    </row>
    <row r="338" spans="3:187" ht="12.75" customHeight="1">
      <c r="C338" s="139"/>
      <c r="D338" s="105"/>
      <c r="E338" s="105"/>
      <c r="F338" s="105"/>
      <c r="G338" s="105"/>
      <c r="H338" s="139"/>
      <c r="I338" s="105"/>
      <c r="J338" s="105"/>
      <c r="K338" s="105"/>
      <c r="L338" s="105"/>
      <c r="M338" s="139"/>
      <c r="N338" s="105"/>
      <c r="O338" s="105"/>
      <c r="P338" s="105"/>
      <c r="Q338" s="105"/>
      <c r="R338" s="139"/>
      <c r="S338" s="105"/>
      <c r="T338" s="105"/>
      <c r="U338" s="105"/>
      <c r="V338" s="105"/>
      <c r="W338" s="139"/>
      <c r="X338" s="105"/>
      <c r="Y338" s="105"/>
      <c r="Z338" s="105"/>
      <c r="AA338" s="105"/>
      <c r="AB338" s="139"/>
      <c r="AC338" s="105"/>
      <c r="AD338" s="105"/>
      <c r="AE338" s="105"/>
      <c r="AF338" s="105"/>
      <c r="AG338" s="139"/>
      <c r="AH338" s="105"/>
      <c r="AI338" s="105"/>
      <c r="AJ338" s="105"/>
      <c r="AK338" s="105"/>
      <c r="AL338" s="139"/>
      <c r="AM338" s="105"/>
      <c r="AN338" s="105"/>
      <c r="AO338" s="105"/>
      <c r="AP338" s="105"/>
      <c r="AQ338" s="139"/>
      <c r="AR338" s="105"/>
      <c r="AS338" s="105"/>
      <c r="AT338" s="105"/>
      <c r="AU338" s="105"/>
      <c r="AV338" s="139"/>
      <c r="AW338" s="105"/>
      <c r="AX338" s="105"/>
      <c r="AY338" s="105"/>
      <c r="AZ338" s="105"/>
      <c r="BA338" s="139"/>
      <c r="BB338" s="105"/>
      <c r="BC338" s="105"/>
      <c r="BD338" s="105"/>
      <c r="BE338" s="105"/>
      <c r="BF338" s="139"/>
      <c r="BG338" s="105"/>
      <c r="BH338" s="105"/>
      <c r="BI338" s="105"/>
      <c r="BJ338" s="105"/>
      <c r="BK338" s="139"/>
      <c r="BL338" s="105"/>
      <c r="BM338" s="105"/>
      <c r="BN338" s="105"/>
      <c r="BO338" s="105"/>
      <c r="BP338" s="139"/>
      <c r="BQ338" s="105"/>
      <c r="BR338" s="105"/>
      <c r="BS338" s="105"/>
      <c r="BT338" s="105"/>
      <c r="BU338" s="139"/>
      <c r="BV338" s="105"/>
      <c r="BW338" s="105"/>
      <c r="BX338" s="105"/>
      <c r="BY338" s="105"/>
      <c r="BZ338" s="139"/>
      <c r="CA338" s="105"/>
      <c r="CB338" s="105"/>
      <c r="CC338" s="105"/>
      <c r="CD338" s="105"/>
      <c r="CE338" s="139"/>
      <c r="CF338" s="105"/>
      <c r="CG338" s="105"/>
      <c r="CH338" s="105"/>
      <c r="CI338" s="105"/>
      <c r="CJ338" s="139"/>
      <c r="CK338" s="105"/>
      <c r="CL338" s="105"/>
      <c r="CM338" s="105"/>
      <c r="CN338" s="105"/>
      <c r="CO338" s="139"/>
      <c r="CP338" s="105"/>
      <c r="CQ338" s="105"/>
      <c r="CR338" s="105"/>
      <c r="CS338" s="105"/>
      <c r="CT338" s="139"/>
      <c r="CU338" s="105"/>
      <c r="CV338" s="105"/>
      <c r="CW338" s="105"/>
      <c r="CX338" s="105"/>
      <c r="CY338" s="139"/>
      <c r="CZ338" s="105"/>
      <c r="DA338" s="105"/>
      <c r="DB338" s="105"/>
      <c r="DC338" s="105"/>
      <c r="DD338" s="139"/>
      <c r="DE338" s="105"/>
      <c r="DF338" s="105"/>
      <c r="DG338" s="105"/>
      <c r="DH338" s="105"/>
      <c r="DI338" s="139"/>
      <c r="DJ338" s="105"/>
      <c r="DK338" s="105"/>
      <c r="DL338" s="105"/>
      <c r="DM338" s="105"/>
      <c r="DN338" s="139"/>
      <c r="DO338" s="105"/>
      <c r="DP338" s="105"/>
      <c r="DQ338" s="105"/>
      <c r="DR338" s="105"/>
      <c r="DS338" s="139"/>
      <c r="DT338" s="105"/>
      <c r="DU338" s="105"/>
      <c r="DV338" s="105"/>
      <c r="DW338" s="105"/>
      <c r="DX338" s="139"/>
      <c r="DY338" s="105"/>
      <c r="DZ338" s="105"/>
      <c r="EA338" s="105"/>
      <c r="EB338" s="105"/>
      <c r="EC338" s="139"/>
      <c r="ED338" s="105"/>
      <c r="EE338" s="105"/>
      <c r="EF338" s="105"/>
      <c r="EG338" s="105"/>
      <c r="EH338" s="139"/>
      <c r="EI338" s="105"/>
      <c r="EJ338" s="105"/>
      <c r="EK338" s="105"/>
      <c r="EL338" s="105"/>
      <c r="EM338" s="139"/>
      <c r="EN338" s="105"/>
      <c r="EO338" s="105"/>
      <c r="EP338" s="105"/>
      <c r="EQ338" s="105"/>
      <c r="ER338" s="139"/>
      <c r="ES338" s="105"/>
      <c r="ET338" s="105"/>
      <c r="EU338" s="105"/>
      <c r="EV338" s="105"/>
      <c r="EW338" s="139"/>
      <c r="EX338" s="105"/>
      <c r="EY338" s="105"/>
      <c r="EZ338" s="105"/>
      <c r="FA338" s="105"/>
      <c r="FB338" s="139"/>
      <c r="FC338" s="105"/>
      <c r="FD338" s="105"/>
      <c r="FE338" s="105"/>
      <c r="FF338" s="105"/>
      <c r="FG338" s="139"/>
      <c r="FH338" s="105"/>
      <c r="FI338" s="105"/>
      <c r="FJ338" s="105"/>
      <c r="FK338" s="105"/>
      <c r="FL338" s="139"/>
      <c r="FM338" s="105"/>
      <c r="FN338" s="105"/>
      <c r="FO338" s="105"/>
      <c r="FP338" s="105"/>
      <c r="FQ338" s="139"/>
      <c r="FR338" s="105"/>
      <c r="FS338" s="105"/>
      <c r="FT338" s="105"/>
      <c r="FU338" s="105"/>
      <c r="FV338" s="139"/>
      <c r="FW338" s="105"/>
      <c r="FX338" s="105"/>
      <c r="FY338" s="105"/>
      <c r="FZ338" s="105"/>
      <c r="GA338" s="139"/>
      <c r="GB338" s="105"/>
      <c r="GC338" s="105"/>
      <c r="GD338" s="105"/>
      <c r="GE338" s="105"/>
    </row>
    <row r="341" spans="3:187" ht="12.75" customHeight="1">
      <c r="C341" s="176"/>
      <c r="D341" s="177"/>
      <c r="E341" s="177"/>
      <c r="F341" s="177"/>
      <c r="G341" s="177"/>
      <c r="H341" s="176"/>
      <c r="I341" s="177"/>
      <c r="J341" s="177"/>
      <c r="K341" s="177"/>
      <c r="L341" s="177"/>
      <c r="M341" s="176"/>
      <c r="N341" s="177"/>
      <c r="O341" s="177"/>
      <c r="P341" s="177"/>
      <c r="Q341" s="177"/>
      <c r="R341" s="176"/>
      <c r="S341" s="177"/>
      <c r="T341" s="177"/>
      <c r="U341" s="177"/>
      <c r="V341" s="177"/>
      <c r="W341" s="176"/>
      <c r="X341" s="177"/>
      <c r="Y341" s="177"/>
      <c r="Z341" s="177"/>
      <c r="AA341" s="177"/>
      <c r="AB341" s="176"/>
      <c r="AC341" s="177"/>
      <c r="AD341" s="177"/>
      <c r="AE341" s="177"/>
      <c r="AF341" s="177"/>
      <c r="AG341" s="176"/>
      <c r="AH341" s="177"/>
      <c r="AI341" s="177"/>
      <c r="AJ341" s="177"/>
      <c r="AK341" s="177"/>
      <c r="AL341" s="176"/>
      <c r="AM341" s="177"/>
      <c r="AN341" s="177"/>
      <c r="AO341" s="177"/>
      <c r="AP341" s="177"/>
      <c r="AQ341" s="176"/>
      <c r="AR341" s="177"/>
      <c r="AS341" s="177"/>
      <c r="AT341" s="177"/>
      <c r="AU341" s="177"/>
      <c r="AV341" s="176"/>
      <c r="AW341" s="177"/>
      <c r="AX341" s="177"/>
      <c r="AY341" s="177"/>
      <c r="AZ341" s="177"/>
      <c r="BA341" s="176"/>
      <c r="BB341" s="177"/>
      <c r="BC341" s="177"/>
      <c r="BD341" s="177"/>
      <c r="BE341" s="177"/>
      <c r="BF341" s="176"/>
      <c r="BG341" s="177"/>
      <c r="BH341" s="177"/>
      <c r="BI341" s="177"/>
      <c r="BJ341" s="177"/>
      <c r="BK341" s="176"/>
      <c r="BL341" s="177"/>
      <c r="BM341" s="177"/>
      <c r="BN341" s="177"/>
      <c r="BO341" s="177"/>
      <c r="BP341" s="176"/>
      <c r="BQ341" s="177"/>
      <c r="BR341" s="177"/>
      <c r="BS341" s="177"/>
      <c r="BT341" s="177"/>
      <c r="BU341" s="176"/>
      <c r="BV341" s="177"/>
      <c r="BW341" s="177"/>
      <c r="BX341" s="177"/>
      <c r="BY341" s="177"/>
      <c r="BZ341" s="176"/>
      <c r="CA341" s="177"/>
      <c r="CB341" s="177"/>
      <c r="CC341" s="177"/>
      <c r="CD341" s="177"/>
      <c r="CE341" s="176"/>
      <c r="CF341" s="177"/>
      <c r="CG341" s="177"/>
      <c r="CH341" s="177"/>
      <c r="CI341" s="177"/>
      <c r="CJ341" s="176"/>
      <c r="CK341" s="177"/>
      <c r="CL341" s="177"/>
      <c r="CM341" s="177"/>
      <c r="CN341" s="177"/>
      <c r="CO341" s="176"/>
      <c r="CP341" s="177"/>
      <c r="CQ341" s="177"/>
      <c r="CR341" s="177"/>
      <c r="CS341" s="177"/>
      <c r="CT341" s="176"/>
      <c r="CU341" s="177"/>
      <c r="CV341" s="177"/>
      <c r="CW341" s="177"/>
      <c r="CX341" s="177"/>
      <c r="CY341" s="176"/>
      <c r="CZ341" s="177"/>
      <c r="DA341" s="177"/>
      <c r="DB341" s="177"/>
      <c r="DC341" s="177"/>
      <c r="DD341" s="176"/>
      <c r="DE341" s="177"/>
      <c r="DF341" s="177"/>
      <c r="DG341" s="177"/>
      <c r="DH341" s="177"/>
      <c r="DI341" s="176"/>
      <c r="DJ341" s="177"/>
      <c r="DK341" s="177"/>
      <c r="DL341" s="177"/>
      <c r="DM341" s="177"/>
      <c r="DN341" s="176"/>
      <c r="DO341" s="177"/>
      <c r="DP341" s="177"/>
      <c r="DQ341" s="177"/>
      <c r="DR341" s="177"/>
      <c r="DS341" s="176"/>
      <c r="DT341" s="177"/>
      <c r="DU341" s="177"/>
      <c r="DV341" s="177"/>
      <c r="DW341" s="177"/>
      <c r="DX341" s="176"/>
      <c r="DY341" s="177"/>
      <c r="DZ341" s="177"/>
      <c r="EA341" s="177"/>
      <c r="EB341" s="177"/>
      <c r="EC341" s="176"/>
      <c r="ED341" s="177"/>
      <c r="EE341" s="177"/>
      <c r="EF341" s="177"/>
      <c r="EG341" s="177"/>
      <c r="EH341" s="176"/>
      <c r="EI341" s="177"/>
      <c r="EJ341" s="177"/>
      <c r="EK341" s="177"/>
      <c r="EL341" s="177"/>
      <c r="EM341" s="176"/>
      <c r="EN341" s="177"/>
      <c r="EO341" s="177"/>
      <c r="EP341" s="177"/>
      <c r="EQ341" s="177"/>
      <c r="ER341" s="176"/>
      <c r="ES341" s="177"/>
      <c r="ET341" s="177"/>
      <c r="EU341" s="177"/>
      <c r="EV341" s="177"/>
      <c r="EW341" s="176"/>
      <c r="EX341" s="177"/>
      <c r="EY341" s="177"/>
      <c r="EZ341" s="177"/>
      <c r="FA341" s="177"/>
      <c r="FB341" s="176"/>
      <c r="FC341" s="177"/>
      <c r="FD341" s="177"/>
      <c r="FE341" s="177"/>
      <c r="FF341" s="177"/>
      <c r="FG341" s="176"/>
      <c r="FH341" s="177"/>
      <c r="FI341" s="177"/>
      <c r="FJ341" s="177"/>
      <c r="FK341" s="177"/>
      <c r="FL341" s="176"/>
      <c r="FM341" s="177"/>
      <c r="FN341" s="177"/>
      <c r="FO341" s="177"/>
      <c r="FP341" s="177"/>
      <c r="FQ341" s="176"/>
      <c r="FR341" s="177"/>
      <c r="FS341" s="177"/>
      <c r="FT341" s="177"/>
      <c r="FU341" s="177"/>
      <c r="FV341" s="176"/>
      <c r="FW341" s="177"/>
      <c r="FX341" s="177"/>
      <c r="FY341" s="177"/>
      <c r="FZ341" s="177"/>
      <c r="GA341" s="176"/>
      <c r="GB341" s="177"/>
      <c r="GC341" s="177"/>
      <c r="GD341" s="177"/>
      <c r="GE341" s="177"/>
    </row>
    <row r="342" spans="3:187" ht="12.75" customHeight="1">
      <c r="C342" s="106"/>
      <c r="D342" s="107"/>
      <c r="E342" s="107"/>
      <c r="F342" s="107"/>
      <c r="G342" s="107"/>
      <c r="H342" s="106"/>
      <c r="I342" s="107"/>
      <c r="J342" s="107"/>
      <c r="K342" s="107"/>
      <c r="L342" s="107"/>
      <c r="M342" s="106"/>
      <c r="N342" s="107"/>
      <c r="O342" s="107"/>
      <c r="P342" s="107"/>
      <c r="Q342" s="107"/>
      <c r="R342" s="106"/>
      <c r="S342" s="107"/>
      <c r="T342" s="107"/>
      <c r="U342" s="107"/>
      <c r="V342" s="107"/>
      <c r="W342" s="106"/>
      <c r="X342" s="107"/>
      <c r="Y342" s="107"/>
      <c r="Z342" s="107"/>
      <c r="AA342" s="107"/>
      <c r="AB342" s="106"/>
      <c r="AC342" s="107"/>
      <c r="AD342" s="107"/>
      <c r="AE342" s="107"/>
      <c r="AF342" s="107"/>
      <c r="AG342" s="106"/>
      <c r="AH342" s="107"/>
      <c r="AI342" s="107"/>
      <c r="AJ342" s="107"/>
      <c r="AK342" s="107"/>
      <c r="AL342" s="106"/>
      <c r="AM342" s="107"/>
      <c r="AN342" s="107"/>
      <c r="AO342" s="107"/>
      <c r="AP342" s="107"/>
      <c r="AQ342" s="106"/>
      <c r="AR342" s="107"/>
      <c r="AS342" s="107"/>
      <c r="AT342" s="107"/>
      <c r="AU342" s="107"/>
      <c r="AV342" s="106"/>
      <c r="AW342" s="107"/>
      <c r="AX342" s="107"/>
      <c r="AY342" s="107"/>
      <c r="AZ342" s="107"/>
      <c r="BA342" s="106"/>
      <c r="BB342" s="107"/>
      <c r="BC342" s="107"/>
      <c r="BD342" s="107"/>
      <c r="BE342" s="107"/>
      <c r="BF342" s="106"/>
      <c r="BG342" s="107"/>
      <c r="BH342" s="107"/>
      <c r="BI342" s="107"/>
      <c r="BJ342" s="107"/>
      <c r="BK342" s="106"/>
      <c r="BL342" s="107"/>
      <c r="BM342" s="107"/>
      <c r="BN342" s="107"/>
      <c r="BO342" s="107"/>
      <c r="BP342" s="106"/>
      <c r="BQ342" s="107"/>
      <c r="BR342" s="107"/>
      <c r="BS342" s="107"/>
      <c r="BT342" s="107"/>
      <c r="BU342" s="106"/>
      <c r="BV342" s="107"/>
      <c r="BW342" s="107"/>
      <c r="BX342" s="107"/>
      <c r="BY342" s="107"/>
      <c r="BZ342" s="106"/>
      <c r="CA342" s="107"/>
      <c r="CB342" s="107"/>
      <c r="CC342" s="107"/>
      <c r="CD342" s="107"/>
      <c r="CE342" s="106"/>
      <c r="CF342" s="107"/>
      <c r="CG342" s="107"/>
      <c r="CH342" s="107"/>
      <c r="CI342" s="107"/>
      <c r="CJ342" s="106"/>
      <c r="CK342" s="107"/>
      <c r="CL342" s="107"/>
      <c r="CM342" s="107"/>
      <c r="CN342" s="107"/>
      <c r="CO342" s="106"/>
      <c r="CP342" s="107"/>
      <c r="CQ342" s="107"/>
      <c r="CR342" s="107"/>
      <c r="CS342" s="107"/>
      <c r="CT342" s="106"/>
      <c r="CU342" s="107"/>
      <c r="CV342" s="107"/>
      <c r="CW342" s="107"/>
      <c r="CX342" s="107"/>
      <c r="CY342" s="106"/>
      <c r="CZ342" s="107"/>
      <c r="DA342" s="107"/>
      <c r="DB342" s="107"/>
      <c r="DC342" s="107"/>
      <c r="DD342" s="106"/>
      <c r="DE342" s="107"/>
      <c r="DF342" s="107"/>
      <c r="DG342" s="107"/>
      <c r="DH342" s="107"/>
      <c r="DI342" s="106"/>
      <c r="DJ342" s="107"/>
      <c r="DK342" s="107"/>
      <c r="DL342" s="107"/>
      <c r="DM342" s="107"/>
      <c r="DN342" s="106"/>
      <c r="DO342" s="107"/>
      <c r="DP342" s="107"/>
      <c r="DQ342" s="107"/>
      <c r="DR342" s="107"/>
      <c r="DS342" s="106"/>
      <c r="DT342" s="107"/>
      <c r="DU342" s="107"/>
      <c r="DV342" s="107"/>
      <c r="DW342" s="107"/>
      <c r="DX342" s="106"/>
      <c r="DY342" s="107"/>
      <c r="DZ342" s="107"/>
      <c r="EA342" s="107"/>
      <c r="EB342" s="107"/>
      <c r="EC342" s="106"/>
      <c r="ED342" s="107"/>
      <c r="EE342" s="107"/>
      <c r="EF342" s="107"/>
      <c r="EG342" s="107"/>
      <c r="EH342" s="106"/>
      <c r="EI342" s="107"/>
      <c r="EJ342" s="107"/>
      <c r="EK342" s="107"/>
      <c r="EL342" s="107"/>
      <c r="EM342" s="106"/>
      <c r="EN342" s="107"/>
      <c r="EO342" s="107"/>
      <c r="EP342" s="107"/>
      <c r="EQ342" s="107"/>
      <c r="ER342" s="106"/>
      <c r="ES342" s="107"/>
      <c r="ET342" s="107"/>
      <c r="EU342" s="107"/>
      <c r="EV342" s="107"/>
      <c r="EW342" s="106"/>
      <c r="EX342" s="107"/>
      <c r="EY342" s="107"/>
      <c r="EZ342" s="107"/>
      <c r="FA342" s="107"/>
      <c r="FB342" s="106"/>
      <c r="FC342" s="107"/>
      <c r="FD342" s="107"/>
      <c r="FE342" s="107"/>
      <c r="FF342" s="107"/>
      <c r="FG342" s="106"/>
      <c r="FH342" s="107"/>
      <c r="FI342" s="107"/>
      <c r="FJ342" s="107"/>
      <c r="FK342" s="107"/>
      <c r="FL342" s="106"/>
      <c r="FM342" s="107"/>
      <c r="FN342" s="107"/>
      <c r="FO342" s="107"/>
      <c r="FP342" s="107"/>
      <c r="FQ342" s="106"/>
      <c r="FR342" s="107"/>
      <c r="FS342" s="107"/>
      <c r="FT342" s="107"/>
      <c r="FU342" s="107"/>
      <c r="FV342" s="106"/>
      <c r="FW342" s="107"/>
      <c r="FX342" s="107"/>
      <c r="FY342" s="107"/>
      <c r="FZ342" s="107"/>
      <c r="GA342" s="106"/>
      <c r="GB342" s="107"/>
      <c r="GC342" s="107"/>
      <c r="GD342" s="107"/>
      <c r="GE342" s="107"/>
    </row>
    <row r="343" spans="3:187" ht="12.75" customHeight="1">
      <c r="C343" s="106"/>
      <c r="D343" s="107"/>
      <c r="E343" s="107"/>
      <c r="F343" s="107"/>
      <c r="G343" s="107"/>
      <c r="H343" s="106"/>
      <c r="I343" s="107"/>
      <c r="J343" s="107"/>
      <c r="K343" s="107"/>
      <c r="L343" s="107"/>
      <c r="M343" s="106"/>
      <c r="N343" s="107"/>
      <c r="O343" s="107"/>
      <c r="P343" s="107"/>
      <c r="Q343" s="107"/>
      <c r="R343" s="106"/>
      <c r="S343" s="107"/>
      <c r="T343" s="107"/>
      <c r="U343" s="107"/>
      <c r="V343" s="107"/>
      <c r="W343" s="106"/>
      <c r="X343" s="107"/>
      <c r="Y343" s="107"/>
      <c r="Z343" s="107"/>
      <c r="AA343" s="107"/>
      <c r="AB343" s="106"/>
      <c r="AC343" s="107"/>
      <c r="AD343" s="107"/>
      <c r="AE343" s="107"/>
      <c r="AF343" s="107"/>
      <c r="AG343" s="106"/>
      <c r="AH343" s="107"/>
      <c r="AI343" s="107"/>
      <c r="AJ343" s="107"/>
      <c r="AK343" s="107"/>
      <c r="AL343" s="106"/>
      <c r="AM343" s="107"/>
      <c r="AN343" s="107"/>
      <c r="AO343" s="107"/>
      <c r="AP343" s="107"/>
      <c r="AQ343" s="106"/>
      <c r="AR343" s="107"/>
      <c r="AS343" s="107"/>
      <c r="AT343" s="107"/>
      <c r="AU343" s="107"/>
      <c r="AV343" s="106"/>
      <c r="AW343" s="107"/>
      <c r="AX343" s="107"/>
      <c r="AY343" s="107"/>
      <c r="AZ343" s="107"/>
      <c r="BA343" s="106"/>
      <c r="BB343" s="107"/>
      <c r="BC343" s="107"/>
      <c r="BD343" s="107"/>
      <c r="BE343" s="107"/>
      <c r="BF343" s="106"/>
      <c r="BG343" s="107"/>
      <c r="BH343" s="107"/>
      <c r="BI343" s="107"/>
      <c r="BJ343" s="107"/>
      <c r="BK343" s="106"/>
      <c r="BL343" s="107"/>
      <c r="BM343" s="107"/>
      <c r="BN343" s="107"/>
      <c r="BO343" s="107"/>
      <c r="BP343" s="106"/>
      <c r="BQ343" s="107"/>
      <c r="BR343" s="107"/>
      <c r="BS343" s="107"/>
      <c r="BT343" s="107"/>
      <c r="BU343" s="106"/>
      <c r="BV343" s="107"/>
      <c r="BW343" s="107"/>
      <c r="BX343" s="107"/>
      <c r="BY343" s="107"/>
      <c r="BZ343" s="106"/>
      <c r="CA343" s="107"/>
      <c r="CB343" s="107"/>
      <c r="CC343" s="107"/>
      <c r="CD343" s="107"/>
      <c r="CE343" s="106"/>
      <c r="CF343" s="107"/>
      <c r="CG343" s="107"/>
      <c r="CH343" s="107"/>
      <c r="CI343" s="107"/>
      <c r="CJ343" s="106"/>
      <c r="CK343" s="107"/>
      <c r="CL343" s="107"/>
      <c r="CM343" s="107"/>
      <c r="CN343" s="107"/>
      <c r="CO343" s="106"/>
      <c r="CP343" s="107"/>
      <c r="CQ343" s="107"/>
      <c r="CR343" s="107"/>
      <c r="CS343" s="107"/>
      <c r="CT343" s="106"/>
      <c r="CU343" s="107"/>
      <c r="CV343" s="107"/>
      <c r="CW343" s="107"/>
      <c r="CX343" s="107"/>
      <c r="CY343" s="106"/>
      <c r="CZ343" s="107"/>
      <c r="DA343" s="107"/>
      <c r="DB343" s="107"/>
      <c r="DC343" s="107"/>
      <c r="DD343" s="106"/>
      <c r="DE343" s="107"/>
      <c r="DF343" s="107"/>
      <c r="DG343" s="107"/>
      <c r="DH343" s="107"/>
      <c r="DI343" s="106"/>
      <c r="DJ343" s="107"/>
      <c r="DK343" s="107"/>
      <c r="DL343" s="107"/>
      <c r="DM343" s="107"/>
      <c r="DN343" s="106"/>
      <c r="DO343" s="107"/>
      <c r="DP343" s="107"/>
      <c r="DQ343" s="107"/>
      <c r="DR343" s="107"/>
      <c r="DS343" s="106"/>
      <c r="DT343" s="107"/>
      <c r="DU343" s="107"/>
      <c r="DV343" s="107"/>
      <c r="DW343" s="107"/>
      <c r="DX343" s="106"/>
      <c r="DY343" s="107"/>
      <c r="DZ343" s="107"/>
      <c r="EA343" s="107"/>
      <c r="EB343" s="107"/>
      <c r="EC343" s="106"/>
      <c r="ED343" s="107"/>
      <c r="EE343" s="107"/>
      <c r="EF343" s="107"/>
      <c r="EG343" s="107"/>
      <c r="EH343" s="106"/>
      <c r="EI343" s="107"/>
      <c r="EJ343" s="107"/>
      <c r="EK343" s="107"/>
      <c r="EL343" s="107"/>
      <c r="EM343" s="106"/>
      <c r="EN343" s="107"/>
      <c r="EO343" s="107"/>
      <c r="EP343" s="107"/>
      <c r="EQ343" s="107"/>
      <c r="ER343" s="106"/>
      <c r="ES343" s="107"/>
      <c r="ET343" s="107"/>
      <c r="EU343" s="107"/>
      <c r="EV343" s="107"/>
      <c r="EW343" s="106"/>
      <c r="EX343" s="107"/>
      <c r="EY343" s="107"/>
      <c r="EZ343" s="107"/>
      <c r="FA343" s="107"/>
      <c r="FB343" s="106"/>
      <c r="FC343" s="107"/>
      <c r="FD343" s="107"/>
      <c r="FE343" s="107"/>
      <c r="FF343" s="107"/>
      <c r="FG343" s="106"/>
      <c r="FH343" s="107"/>
      <c r="FI343" s="107"/>
      <c r="FJ343" s="107"/>
      <c r="FK343" s="107"/>
      <c r="FL343" s="106"/>
      <c r="FM343" s="107"/>
      <c r="FN343" s="107"/>
      <c r="FO343" s="107"/>
      <c r="FP343" s="107"/>
      <c r="FQ343" s="106"/>
      <c r="FR343" s="107"/>
      <c r="FS343" s="107"/>
      <c r="FT343" s="107"/>
      <c r="FU343" s="107"/>
      <c r="FV343" s="106"/>
      <c r="FW343" s="107"/>
      <c r="FX343" s="107"/>
      <c r="FY343" s="107"/>
      <c r="FZ343" s="107"/>
      <c r="GA343" s="106"/>
      <c r="GB343" s="107"/>
      <c r="GC343" s="107"/>
      <c r="GD343" s="107"/>
      <c r="GE343" s="107"/>
    </row>
    <row r="344" spans="3:187" ht="12.75" customHeight="1">
      <c r="C344" s="106"/>
      <c r="D344" s="107"/>
      <c r="E344" s="107"/>
      <c r="F344" s="107"/>
      <c r="G344" s="107"/>
      <c r="H344" s="106"/>
      <c r="I344" s="107"/>
      <c r="J344" s="107"/>
      <c r="K344" s="107"/>
      <c r="L344" s="107"/>
      <c r="M344" s="106"/>
      <c r="N344" s="107"/>
      <c r="O344" s="107"/>
      <c r="P344" s="107"/>
      <c r="Q344" s="107"/>
      <c r="R344" s="106"/>
      <c r="S344" s="107"/>
      <c r="T344" s="107"/>
      <c r="U344" s="107"/>
      <c r="V344" s="107"/>
      <c r="W344" s="106"/>
      <c r="X344" s="107"/>
      <c r="Y344" s="107"/>
      <c r="Z344" s="107"/>
      <c r="AA344" s="107"/>
      <c r="AB344" s="106"/>
      <c r="AC344" s="107"/>
      <c r="AD344" s="107"/>
      <c r="AE344" s="107"/>
      <c r="AF344" s="107"/>
      <c r="AG344" s="106"/>
      <c r="AH344" s="107"/>
      <c r="AI344" s="107"/>
      <c r="AJ344" s="107"/>
      <c r="AK344" s="107"/>
      <c r="AL344" s="106"/>
      <c r="AM344" s="107"/>
      <c r="AN344" s="107"/>
      <c r="AO344" s="107"/>
      <c r="AP344" s="107"/>
      <c r="AQ344" s="106"/>
      <c r="AR344" s="107"/>
      <c r="AS344" s="107"/>
      <c r="AT344" s="107"/>
      <c r="AU344" s="107"/>
      <c r="AV344" s="106"/>
      <c r="AW344" s="107"/>
      <c r="AX344" s="107"/>
      <c r="AY344" s="107"/>
      <c r="AZ344" s="107"/>
      <c r="BA344" s="106"/>
      <c r="BB344" s="107"/>
      <c r="BC344" s="107"/>
      <c r="BD344" s="107"/>
      <c r="BE344" s="107"/>
      <c r="BF344" s="106"/>
      <c r="BG344" s="107"/>
      <c r="BH344" s="107"/>
      <c r="BI344" s="107"/>
      <c r="BJ344" s="107"/>
      <c r="BK344" s="106"/>
      <c r="BL344" s="107"/>
      <c r="BM344" s="107"/>
      <c r="BN344" s="107"/>
      <c r="BO344" s="107"/>
      <c r="BP344" s="106"/>
      <c r="BQ344" s="107"/>
      <c r="BR344" s="107"/>
      <c r="BS344" s="107"/>
      <c r="BT344" s="107"/>
      <c r="BU344" s="106"/>
      <c r="BV344" s="107"/>
      <c r="BW344" s="107"/>
      <c r="BX344" s="107"/>
      <c r="BY344" s="107"/>
      <c r="BZ344" s="106"/>
      <c r="CA344" s="107"/>
      <c r="CB344" s="107"/>
      <c r="CC344" s="107"/>
      <c r="CD344" s="107"/>
      <c r="CE344" s="106"/>
      <c r="CF344" s="107"/>
      <c r="CG344" s="107"/>
      <c r="CH344" s="107"/>
      <c r="CI344" s="107"/>
      <c r="CJ344" s="106"/>
      <c r="CK344" s="107"/>
      <c r="CL344" s="107"/>
      <c r="CM344" s="107"/>
      <c r="CN344" s="107"/>
      <c r="CO344" s="106"/>
      <c r="CP344" s="107"/>
      <c r="CQ344" s="107"/>
      <c r="CR344" s="107"/>
      <c r="CS344" s="107"/>
      <c r="CT344" s="106"/>
      <c r="CU344" s="107"/>
      <c r="CV344" s="107"/>
      <c r="CW344" s="107"/>
      <c r="CX344" s="107"/>
      <c r="CY344" s="106"/>
      <c r="CZ344" s="107"/>
      <c r="DA344" s="107"/>
      <c r="DB344" s="107"/>
      <c r="DC344" s="107"/>
      <c r="DD344" s="106"/>
      <c r="DE344" s="107"/>
      <c r="DF344" s="107"/>
      <c r="DG344" s="107"/>
      <c r="DH344" s="107"/>
      <c r="DI344" s="106"/>
      <c r="DJ344" s="107"/>
      <c r="DK344" s="107"/>
      <c r="DL344" s="107"/>
      <c r="DM344" s="107"/>
      <c r="DN344" s="106"/>
      <c r="DO344" s="107"/>
      <c r="DP344" s="107"/>
      <c r="DQ344" s="107"/>
      <c r="DR344" s="107"/>
      <c r="DS344" s="106"/>
      <c r="DT344" s="107"/>
      <c r="DU344" s="107"/>
      <c r="DV344" s="107"/>
      <c r="DW344" s="107"/>
      <c r="DX344" s="106"/>
      <c r="DY344" s="107"/>
      <c r="DZ344" s="107"/>
      <c r="EA344" s="107"/>
      <c r="EB344" s="107"/>
      <c r="EC344" s="106"/>
      <c r="ED344" s="107"/>
      <c r="EE344" s="107"/>
      <c r="EF344" s="107"/>
      <c r="EG344" s="107"/>
      <c r="EH344" s="106"/>
      <c r="EI344" s="107"/>
      <c r="EJ344" s="107"/>
      <c r="EK344" s="107"/>
      <c r="EL344" s="107"/>
      <c r="EM344" s="106"/>
      <c r="EN344" s="107"/>
      <c r="EO344" s="107"/>
      <c r="EP344" s="107"/>
      <c r="EQ344" s="107"/>
      <c r="ER344" s="106"/>
      <c r="ES344" s="107"/>
      <c r="ET344" s="107"/>
      <c r="EU344" s="107"/>
      <c r="EV344" s="107"/>
      <c r="EW344" s="106"/>
      <c r="EX344" s="107"/>
      <c r="EY344" s="107"/>
      <c r="EZ344" s="107"/>
      <c r="FA344" s="107"/>
      <c r="FB344" s="106"/>
      <c r="FC344" s="107"/>
      <c r="FD344" s="107"/>
      <c r="FE344" s="107"/>
      <c r="FF344" s="107"/>
      <c r="FG344" s="106"/>
      <c r="FH344" s="107"/>
      <c r="FI344" s="107"/>
      <c r="FJ344" s="107"/>
      <c r="FK344" s="107"/>
      <c r="FL344" s="106"/>
      <c r="FM344" s="107"/>
      <c r="FN344" s="107"/>
      <c r="FO344" s="107"/>
      <c r="FP344" s="107"/>
      <c r="FQ344" s="106"/>
      <c r="FR344" s="107"/>
      <c r="FS344" s="107"/>
      <c r="FT344" s="107"/>
      <c r="FU344" s="107"/>
      <c r="FV344" s="106"/>
      <c r="FW344" s="107"/>
      <c r="FX344" s="107"/>
      <c r="FY344" s="107"/>
      <c r="FZ344" s="107"/>
      <c r="GA344" s="106"/>
      <c r="GB344" s="107"/>
      <c r="GC344" s="107"/>
      <c r="GD344" s="107"/>
      <c r="GE344" s="107"/>
    </row>
    <row r="345" spans="3:187" ht="12.75" customHeight="1">
      <c r="C345" s="178"/>
      <c r="D345" s="107"/>
      <c r="E345" s="107"/>
      <c r="F345" s="107"/>
      <c r="G345" s="107"/>
      <c r="H345" s="178"/>
      <c r="I345" s="107"/>
      <c r="J345" s="107"/>
      <c r="K345" s="107"/>
      <c r="L345" s="107"/>
      <c r="M345" s="178"/>
      <c r="N345" s="107"/>
      <c r="O345" s="107"/>
      <c r="P345" s="107"/>
      <c r="Q345" s="107"/>
      <c r="R345" s="178"/>
      <c r="S345" s="107"/>
      <c r="T345" s="107"/>
      <c r="U345" s="107"/>
      <c r="V345" s="107"/>
      <c r="W345" s="178"/>
      <c r="X345" s="107"/>
      <c r="Y345" s="107"/>
      <c r="Z345" s="107"/>
      <c r="AA345" s="107"/>
      <c r="AB345" s="178"/>
      <c r="AC345" s="107"/>
      <c r="AD345" s="107"/>
      <c r="AE345" s="107"/>
      <c r="AF345" s="107"/>
      <c r="AG345" s="178"/>
      <c r="AH345" s="107"/>
      <c r="AI345" s="107"/>
      <c r="AJ345" s="107"/>
      <c r="AK345" s="107"/>
      <c r="AL345" s="178"/>
      <c r="AM345" s="107"/>
      <c r="AN345" s="107"/>
      <c r="AO345" s="107"/>
      <c r="AP345" s="107"/>
      <c r="AQ345" s="178"/>
      <c r="AR345" s="107"/>
      <c r="AS345" s="107"/>
      <c r="AT345" s="107"/>
      <c r="AU345" s="107"/>
      <c r="AV345" s="178"/>
      <c r="AW345" s="107"/>
      <c r="AX345" s="107"/>
      <c r="AY345" s="107"/>
      <c r="AZ345" s="107"/>
      <c r="BA345" s="178"/>
      <c r="BB345" s="107"/>
      <c r="BC345" s="107"/>
      <c r="BD345" s="107"/>
      <c r="BE345" s="107"/>
      <c r="BF345" s="178"/>
      <c r="BG345" s="107"/>
      <c r="BH345" s="107"/>
      <c r="BI345" s="107"/>
      <c r="BJ345" s="107"/>
      <c r="BK345" s="178"/>
      <c r="BL345" s="107"/>
      <c r="BM345" s="107"/>
      <c r="BN345" s="107"/>
      <c r="BO345" s="107"/>
      <c r="BP345" s="178"/>
      <c r="BQ345" s="107"/>
      <c r="BR345" s="107"/>
      <c r="BS345" s="107"/>
      <c r="BT345" s="107"/>
      <c r="BU345" s="178"/>
      <c r="BV345" s="107"/>
      <c r="BW345" s="107"/>
      <c r="BX345" s="107"/>
      <c r="BY345" s="107"/>
      <c r="BZ345" s="178"/>
      <c r="CA345" s="107"/>
      <c r="CB345" s="107"/>
      <c r="CC345" s="107"/>
      <c r="CD345" s="107"/>
      <c r="CE345" s="178"/>
      <c r="CF345" s="107"/>
      <c r="CG345" s="107"/>
      <c r="CH345" s="107"/>
      <c r="CI345" s="107"/>
      <c r="CJ345" s="178"/>
      <c r="CK345" s="107"/>
      <c r="CL345" s="107"/>
      <c r="CM345" s="107"/>
      <c r="CN345" s="107"/>
      <c r="CO345" s="178"/>
      <c r="CP345" s="107"/>
      <c r="CQ345" s="107"/>
      <c r="CR345" s="107"/>
      <c r="CS345" s="107"/>
      <c r="CT345" s="178"/>
      <c r="CU345" s="107"/>
      <c r="CV345" s="107"/>
      <c r="CW345" s="107"/>
      <c r="CX345" s="107"/>
      <c r="CY345" s="178"/>
      <c r="CZ345" s="107"/>
      <c r="DA345" s="107"/>
      <c r="DB345" s="107"/>
      <c r="DC345" s="107"/>
      <c r="DD345" s="178"/>
      <c r="DE345" s="107"/>
      <c r="DF345" s="107"/>
      <c r="DG345" s="107"/>
      <c r="DH345" s="107"/>
      <c r="DI345" s="178"/>
      <c r="DJ345" s="107"/>
      <c r="DK345" s="107"/>
      <c r="DL345" s="107"/>
      <c r="DM345" s="107"/>
      <c r="DN345" s="178"/>
      <c r="DO345" s="107"/>
      <c r="DP345" s="107"/>
      <c r="DQ345" s="107"/>
      <c r="DR345" s="107"/>
      <c r="DS345" s="178"/>
      <c r="DT345" s="107"/>
      <c r="DU345" s="107"/>
      <c r="DV345" s="107"/>
      <c r="DW345" s="107"/>
      <c r="DX345" s="178"/>
      <c r="DY345" s="107"/>
      <c r="DZ345" s="107"/>
      <c r="EA345" s="107"/>
      <c r="EB345" s="107"/>
      <c r="EC345" s="178"/>
      <c r="ED345" s="107"/>
      <c r="EE345" s="107"/>
      <c r="EF345" s="107"/>
      <c r="EG345" s="107"/>
      <c r="EH345" s="178"/>
      <c r="EI345" s="107"/>
      <c r="EJ345" s="107"/>
      <c r="EK345" s="107"/>
      <c r="EL345" s="107"/>
      <c r="EM345" s="178"/>
      <c r="EN345" s="107"/>
      <c r="EO345" s="107"/>
      <c r="EP345" s="107"/>
      <c r="EQ345" s="107"/>
      <c r="ER345" s="178"/>
      <c r="ES345" s="107"/>
      <c r="ET345" s="107"/>
      <c r="EU345" s="107"/>
      <c r="EV345" s="107"/>
      <c r="EW345" s="178"/>
      <c r="EX345" s="107"/>
      <c r="EY345" s="107"/>
      <c r="EZ345" s="107"/>
      <c r="FA345" s="107"/>
      <c r="FB345" s="178"/>
      <c r="FC345" s="107"/>
      <c r="FD345" s="107"/>
      <c r="FE345" s="107"/>
      <c r="FF345" s="107"/>
      <c r="FG345" s="178"/>
      <c r="FH345" s="107"/>
      <c r="FI345" s="107"/>
      <c r="FJ345" s="107"/>
      <c r="FK345" s="107"/>
      <c r="FL345" s="178"/>
      <c r="FM345" s="107"/>
      <c r="FN345" s="107"/>
      <c r="FO345" s="107"/>
      <c r="FP345" s="107"/>
      <c r="FQ345" s="178"/>
      <c r="FR345" s="107"/>
      <c r="FS345" s="107"/>
      <c r="FT345" s="107"/>
      <c r="FU345" s="107"/>
      <c r="FV345" s="178"/>
      <c r="FW345" s="107"/>
      <c r="FX345" s="107"/>
      <c r="FY345" s="107"/>
      <c r="FZ345" s="107"/>
      <c r="GA345" s="178"/>
      <c r="GB345" s="107"/>
      <c r="GC345" s="107"/>
      <c r="GD345" s="107"/>
      <c r="GE345" s="107"/>
    </row>
    <row r="346" spans="3:187" ht="12.75" customHeight="1">
      <c r="C346" s="106"/>
      <c r="D346" s="107"/>
      <c r="E346" s="107"/>
      <c r="F346" s="107"/>
      <c r="G346" s="107"/>
      <c r="H346" s="106"/>
      <c r="I346" s="107"/>
      <c r="J346" s="107"/>
      <c r="K346" s="107"/>
      <c r="L346" s="107"/>
      <c r="M346" s="106"/>
      <c r="N346" s="107"/>
      <c r="O346" s="107"/>
      <c r="P346" s="107"/>
      <c r="Q346" s="107"/>
      <c r="R346" s="106"/>
      <c r="S346" s="107"/>
      <c r="T346" s="107"/>
      <c r="U346" s="107"/>
      <c r="V346" s="107"/>
      <c r="W346" s="106"/>
      <c r="X346" s="107"/>
      <c r="Y346" s="107"/>
      <c r="Z346" s="107"/>
      <c r="AA346" s="107"/>
      <c r="AB346" s="106"/>
      <c r="AC346" s="107"/>
      <c r="AD346" s="107"/>
      <c r="AE346" s="107"/>
      <c r="AF346" s="107"/>
      <c r="AG346" s="106"/>
      <c r="AH346" s="107"/>
      <c r="AI346" s="107"/>
      <c r="AJ346" s="107"/>
      <c r="AK346" s="107"/>
      <c r="AL346" s="106"/>
      <c r="AM346" s="107"/>
      <c r="AN346" s="107"/>
      <c r="AO346" s="107"/>
      <c r="AP346" s="107"/>
      <c r="AQ346" s="106"/>
      <c r="AR346" s="107"/>
      <c r="AS346" s="107"/>
      <c r="AT346" s="107"/>
      <c r="AU346" s="107"/>
      <c r="AV346" s="106"/>
      <c r="AW346" s="107"/>
      <c r="AX346" s="107"/>
      <c r="AY346" s="107"/>
      <c r="AZ346" s="107"/>
      <c r="BA346" s="106"/>
      <c r="BB346" s="107"/>
      <c r="BC346" s="107"/>
      <c r="BD346" s="107"/>
      <c r="BE346" s="107"/>
      <c r="BF346" s="106"/>
      <c r="BG346" s="107"/>
      <c r="BH346" s="107"/>
      <c r="BI346" s="107"/>
      <c r="BJ346" s="107"/>
      <c r="BK346" s="106"/>
      <c r="BL346" s="107"/>
      <c r="BM346" s="107"/>
      <c r="BN346" s="107"/>
      <c r="BO346" s="107"/>
      <c r="BP346" s="106"/>
      <c r="BQ346" s="107"/>
      <c r="BR346" s="107"/>
      <c r="BS346" s="107"/>
      <c r="BT346" s="107"/>
      <c r="BU346" s="106"/>
      <c r="BV346" s="107"/>
      <c r="BW346" s="107"/>
      <c r="BX346" s="107"/>
      <c r="BY346" s="107"/>
      <c r="BZ346" s="106"/>
      <c r="CA346" s="107"/>
      <c r="CB346" s="107"/>
      <c r="CC346" s="107"/>
      <c r="CD346" s="107"/>
      <c r="CE346" s="106"/>
      <c r="CF346" s="107"/>
      <c r="CG346" s="107"/>
      <c r="CH346" s="107"/>
      <c r="CI346" s="107"/>
      <c r="CJ346" s="106"/>
      <c r="CK346" s="107"/>
      <c r="CL346" s="107"/>
      <c r="CM346" s="107"/>
      <c r="CN346" s="107"/>
      <c r="CO346" s="106"/>
      <c r="CP346" s="107"/>
      <c r="CQ346" s="107"/>
      <c r="CR346" s="107"/>
      <c r="CS346" s="107"/>
      <c r="CT346" s="106"/>
      <c r="CU346" s="107"/>
      <c r="CV346" s="107"/>
      <c r="CW346" s="107"/>
      <c r="CX346" s="107"/>
      <c r="CY346" s="106"/>
      <c r="CZ346" s="107"/>
      <c r="DA346" s="107"/>
      <c r="DB346" s="107"/>
      <c r="DC346" s="107"/>
      <c r="DD346" s="106"/>
      <c r="DE346" s="107"/>
      <c r="DF346" s="107"/>
      <c r="DG346" s="107"/>
      <c r="DH346" s="107"/>
      <c r="DI346" s="106"/>
      <c r="DJ346" s="107"/>
      <c r="DK346" s="107"/>
      <c r="DL346" s="107"/>
      <c r="DM346" s="107"/>
      <c r="DN346" s="106"/>
      <c r="DO346" s="107"/>
      <c r="DP346" s="107"/>
      <c r="DQ346" s="107"/>
      <c r="DR346" s="107"/>
      <c r="DS346" s="106"/>
      <c r="DT346" s="107"/>
      <c r="DU346" s="107"/>
      <c r="DV346" s="107"/>
      <c r="DW346" s="107"/>
      <c r="DX346" s="106"/>
      <c r="DY346" s="107"/>
      <c r="DZ346" s="107"/>
      <c r="EA346" s="107"/>
      <c r="EB346" s="107"/>
      <c r="EC346" s="106"/>
      <c r="ED346" s="107"/>
      <c r="EE346" s="107"/>
      <c r="EF346" s="107"/>
      <c r="EG346" s="107"/>
      <c r="EH346" s="106"/>
      <c r="EI346" s="107"/>
      <c r="EJ346" s="107"/>
      <c r="EK346" s="107"/>
      <c r="EL346" s="107"/>
      <c r="EM346" s="106"/>
      <c r="EN346" s="107"/>
      <c r="EO346" s="107"/>
      <c r="EP346" s="107"/>
      <c r="EQ346" s="107"/>
      <c r="ER346" s="106"/>
      <c r="ES346" s="107"/>
      <c r="ET346" s="107"/>
      <c r="EU346" s="107"/>
      <c r="EV346" s="107"/>
      <c r="EW346" s="106"/>
      <c r="EX346" s="107"/>
      <c r="EY346" s="107"/>
      <c r="EZ346" s="107"/>
      <c r="FA346" s="107"/>
      <c r="FB346" s="106"/>
      <c r="FC346" s="107"/>
      <c r="FD346" s="107"/>
      <c r="FE346" s="107"/>
      <c r="FF346" s="107"/>
      <c r="FG346" s="106"/>
      <c r="FH346" s="107"/>
      <c r="FI346" s="107"/>
      <c r="FJ346" s="107"/>
      <c r="FK346" s="107"/>
      <c r="FL346" s="106"/>
      <c r="FM346" s="107"/>
      <c r="FN346" s="107"/>
      <c r="FO346" s="107"/>
      <c r="FP346" s="107"/>
      <c r="FQ346" s="106"/>
      <c r="FR346" s="107"/>
      <c r="FS346" s="107"/>
      <c r="FT346" s="107"/>
      <c r="FU346" s="107"/>
      <c r="FV346" s="106"/>
      <c r="FW346" s="107"/>
      <c r="FX346" s="107"/>
      <c r="FY346" s="107"/>
      <c r="FZ346" s="107"/>
      <c r="GA346" s="106"/>
      <c r="GB346" s="107"/>
      <c r="GC346" s="107"/>
      <c r="GD346" s="107"/>
      <c r="GE346" s="107"/>
    </row>
    <row r="347" spans="3:187" ht="12.75" customHeight="1">
      <c r="C347" s="176"/>
      <c r="D347" s="107"/>
      <c r="E347" s="107"/>
      <c r="F347" s="107"/>
      <c r="G347" s="107"/>
      <c r="H347" s="176"/>
      <c r="I347" s="107"/>
      <c r="J347" s="107"/>
      <c r="K347" s="107"/>
      <c r="L347" s="107"/>
      <c r="M347" s="176"/>
      <c r="N347" s="107"/>
      <c r="O347" s="107"/>
      <c r="P347" s="107"/>
      <c r="Q347" s="107"/>
      <c r="R347" s="176"/>
      <c r="S347" s="107"/>
      <c r="T347" s="107"/>
      <c r="U347" s="107"/>
      <c r="V347" s="107"/>
      <c r="W347" s="176"/>
      <c r="X347" s="107"/>
      <c r="Y347" s="107"/>
      <c r="Z347" s="107"/>
      <c r="AA347" s="107"/>
      <c r="AB347" s="176"/>
      <c r="AC347" s="107"/>
      <c r="AD347" s="107"/>
      <c r="AE347" s="107"/>
      <c r="AF347" s="107"/>
      <c r="AG347" s="176"/>
      <c r="AH347" s="107"/>
      <c r="AI347" s="107"/>
      <c r="AJ347" s="107"/>
      <c r="AK347" s="107"/>
      <c r="AL347" s="176"/>
      <c r="AM347" s="107"/>
      <c r="AN347" s="107"/>
      <c r="AO347" s="107"/>
      <c r="AP347" s="107"/>
      <c r="AQ347" s="176"/>
      <c r="AR347" s="107"/>
      <c r="AS347" s="107"/>
      <c r="AT347" s="107"/>
      <c r="AU347" s="107"/>
      <c r="AV347" s="176"/>
      <c r="AW347" s="107"/>
      <c r="AX347" s="107"/>
      <c r="AY347" s="107"/>
      <c r="AZ347" s="107"/>
      <c r="BA347" s="176"/>
      <c r="BB347" s="107"/>
      <c r="BC347" s="107"/>
      <c r="BD347" s="107"/>
      <c r="BE347" s="107"/>
      <c r="BF347" s="176"/>
      <c r="BG347" s="107"/>
      <c r="BH347" s="107"/>
      <c r="BI347" s="107"/>
      <c r="BJ347" s="107"/>
      <c r="BK347" s="176"/>
      <c r="BL347" s="107"/>
      <c r="BM347" s="107"/>
      <c r="BN347" s="107"/>
      <c r="BO347" s="107"/>
      <c r="BP347" s="176"/>
      <c r="BQ347" s="107"/>
      <c r="BR347" s="107"/>
      <c r="BS347" s="107"/>
      <c r="BT347" s="107"/>
      <c r="BU347" s="176"/>
      <c r="BV347" s="107"/>
      <c r="BW347" s="107"/>
      <c r="BX347" s="107"/>
      <c r="BY347" s="107"/>
      <c r="BZ347" s="176"/>
      <c r="CA347" s="107"/>
      <c r="CB347" s="107"/>
      <c r="CC347" s="107"/>
      <c r="CD347" s="107"/>
      <c r="CE347" s="176"/>
      <c r="CF347" s="107"/>
      <c r="CG347" s="107"/>
      <c r="CH347" s="107"/>
      <c r="CI347" s="107"/>
      <c r="CJ347" s="176"/>
      <c r="CK347" s="107"/>
      <c r="CL347" s="107"/>
      <c r="CM347" s="107"/>
      <c r="CN347" s="107"/>
      <c r="CO347" s="176"/>
      <c r="CP347" s="107"/>
      <c r="CQ347" s="107"/>
      <c r="CR347" s="107"/>
      <c r="CS347" s="107"/>
      <c r="CT347" s="176"/>
      <c r="CU347" s="107"/>
      <c r="CV347" s="107"/>
      <c r="CW347" s="107"/>
      <c r="CX347" s="107"/>
      <c r="CY347" s="176"/>
      <c r="CZ347" s="107"/>
      <c r="DA347" s="107"/>
      <c r="DB347" s="107"/>
      <c r="DC347" s="107"/>
      <c r="DD347" s="176"/>
      <c r="DE347" s="107"/>
      <c r="DF347" s="107"/>
      <c r="DG347" s="107"/>
      <c r="DH347" s="107"/>
      <c r="DI347" s="176"/>
      <c r="DJ347" s="107"/>
      <c r="DK347" s="107"/>
      <c r="DL347" s="107"/>
      <c r="DM347" s="107"/>
      <c r="DN347" s="176"/>
      <c r="DO347" s="107"/>
      <c r="DP347" s="107"/>
      <c r="DQ347" s="107"/>
      <c r="DR347" s="107"/>
      <c r="DS347" s="176"/>
      <c r="DT347" s="107"/>
      <c r="DU347" s="107"/>
      <c r="DV347" s="107"/>
      <c r="DW347" s="107"/>
      <c r="DX347" s="176"/>
      <c r="DY347" s="107"/>
      <c r="DZ347" s="107"/>
      <c r="EA347" s="107"/>
      <c r="EB347" s="107"/>
      <c r="EC347" s="176"/>
      <c r="ED347" s="107"/>
      <c r="EE347" s="107"/>
      <c r="EF347" s="107"/>
      <c r="EG347" s="107"/>
      <c r="EH347" s="176"/>
      <c r="EI347" s="107"/>
      <c r="EJ347" s="107"/>
      <c r="EK347" s="107"/>
      <c r="EL347" s="107"/>
      <c r="EM347" s="176"/>
      <c r="EN347" s="107"/>
      <c r="EO347" s="107"/>
      <c r="EP347" s="107"/>
      <c r="EQ347" s="107"/>
      <c r="ER347" s="176"/>
      <c r="ES347" s="107"/>
      <c r="ET347" s="107"/>
      <c r="EU347" s="107"/>
      <c r="EV347" s="107"/>
      <c r="EW347" s="176"/>
      <c r="EX347" s="107"/>
      <c r="EY347" s="107"/>
      <c r="EZ347" s="107"/>
      <c r="FA347" s="107"/>
      <c r="FB347" s="176"/>
      <c r="FC347" s="107"/>
      <c r="FD347" s="107"/>
      <c r="FE347" s="107"/>
      <c r="FF347" s="107"/>
      <c r="FG347" s="176"/>
      <c r="FH347" s="107"/>
      <c r="FI347" s="107"/>
      <c r="FJ347" s="107"/>
      <c r="FK347" s="107"/>
      <c r="FL347" s="176"/>
      <c r="FM347" s="107"/>
      <c r="FN347" s="107"/>
      <c r="FO347" s="107"/>
      <c r="FP347" s="107"/>
      <c r="FQ347" s="176"/>
      <c r="FR347" s="107"/>
      <c r="FS347" s="107"/>
      <c r="FT347" s="107"/>
      <c r="FU347" s="107"/>
      <c r="FV347" s="176"/>
      <c r="FW347" s="107"/>
      <c r="FX347" s="107"/>
      <c r="FY347" s="107"/>
      <c r="FZ347" s="107"/>
      <c r="GA347" s="176"/>
      <c r="GB347" s="107"/>
      <c r="GC347" s="107"/>
      <c r="GD347" s="107"/>
      <c r="GE347" s="107"/>
    </row>
    <row r="348" spans="3:187" ht="12.75" customHeight="1">
      <c r="C348" s="106"/>
      <c r="D348" s="107"/>
      <c r="E348" s="107"/>
      <c r="F348" s="107"/>
      <c r="G348" s="107"/>
      <c r="H348" s="106"/>
      <c r="I348" s="107"/>
      <c r="J348" s="107"/>
      <c r="K348" s="107"/>
      <c r="L348" s="107"/>
      <c r="M348" s="106"/>
      <c r="N348" s="107"/>
      <c r="O348" s="107"/>
      <c r="P348" s="107"/>
      <c r="Q348" s="107"/>
      <c r="R348" s="106"/>
      <c r="S348" s="107"/>
      <c r="T348" s="107"/>
      <c r="U348" s="107"/>
      <c r="V348" s="107"/>
      <c r="W348" s="106"/>
      <c r="X348" s="107"/>
      <c r="Y348" s="107"/>
      <c r="Z348" s="107"/>
      <c r="AA348" s="107"/>
      <c r="AB348" s="106"/>
      <c r="AC348" s="107"/>
      <c r="AD348" s="107"/>
      <c r="AE348" s="107"/>
      <c r="AF348" s="107"/>
      <c r="AG348" s="106"/>
      <c r="AH348" s="107"/>
      <c r="AI348" s="107"/>
      <c r="AJ348" s="107"/>
      <c r="AK348" s="107"/>
      <c r="AL348" s="106"/>
      <c r="AM348" s="107"/>
      <c r="AN348" s="107"/>
      <c r="AO348" s="107"/>
      <c r="AP348" s="107"/>
      <c r="AQ348" s="106"/>
      <c r="AR348" s="107"/>
      <c r="AS348" s="107"/>
      <c r="AT348" s="107"/>
      <c r="AU348" s="107"/>
      <c r="AV348" s="106"/>
      <c r="AW348" s="107"/>
      <c r="AX348" s="107"/>
      <c r="AY348" s="107"/>
      <c r="AZ348" s="107"/>
      <c r="BA348" s="106"/>
      <c r="BB348" s="107"/>
      <c r="BC348" s="107"/>
      <c r="BD348" s="107"/>
      <c r="BE348" s="107"/>
      <c r="BF348" s="106"/>
      <c r="BG348" s="107"/>
      <c r="BH348" s="107"/>
      <c r="BI348" s="107"/>
      <c r="BJ348" s="107"/>
      <c r="BK348" s="106"/>
      <c r="BL348" s="107"/>
      <c r="BM348" s="107"/>
      <c r="BN348" s="107"/>
      <c r="BO348" s="107"/>
      <c r="BP348" s="106"/>
      <c r="BQ348" s="107"/>
      <c r="BR348" s="107"/>
      <c r="BS348" s="107"/>
      <c r="BT348" s="107"/>
      <c r="BU348" s="106"/>
      <c r="BV348" s="107"/>
      <c r="BW348" s="107"/>
      <c r="BX348" s="107"/>
      <c r="BY348" s="107"/>
      <c r="BZ348" s="106"/>
      <c r="CA348" s="107"/>
      <c r="CB348" s="107"/>
      <c r="CC348" s="107"/>
      <c r="CD348" s="107"/>
      <c r="CE348" s="106"/>
      <c r="CF348" s="107"/>
      <c r="CG348" s="107"/>
      <c r="CH348" s="107"/>
      <c r="CI348" s="107"/>
      <c r="CJ348" s="106"/>
      <c r="CK348" s="107"/>
      <c r="CL348" s="107"/>
      <c r="CM348" s="107"/>
      <c r="CN348" s="107"/>
      <c r="CO348" s="106"/>
      <c r="CP348" s="107"/>
      <c r="CQ348" s="107"/>
      <c r="CR348" s="107"/>
      <c r="CS348" s="107"/>
      <c r="CT348" s="106"/>
      <c r="CU348" s="107"/>
      <c r="CV348" s="107"/>
      <c r="CW348" s="107"/>
      <c r="CX348" s="107"/>
      <c r="CY348" s="106"/>
      <c r="CZ348" s="107"/>
      <c r="DA348" s="107"/>
      <c r="DB348" s="107"/>
      <c r="DC348" s="107"/>
      <c r="DD348" s="106"/>
      <c r="DE348" s="107"/>
      <c r="DF348" s="107"/>
      <c r="DG348" s="107"/>
      <c r="DH348" s="107"/>
      <c r="DI348" s="106"/>
      <c r="DJ348" s="107"/>
      <c r="DK348" s="107"/>
      <c r="DL348" s="107"/>
      <c r="DM348" s="107"/>
      <c r="DN348" s="106"/>
      <c r="DO348" s="107"/>
      <c r="DP348" s="107"/>
      <c r="DQ348" s="107"/>
      <c r="DR348" s="107"/>
      <c r="DS348" s="106"/>
      <c r="DT348" s="107"/>
      <c r="DU348" s="107"/>
      <c r="DV348" s="107"/>
      <c r="DW348" s="107"/>
      <c r="DX348" s="106"/>
      <c r="DY348" s="107"/>
      <c r="DZ348" s="107"/>
      <c r="EA348" s="107"/>
      <c r="EB348" s="107"/>
      <c r="EC348" s="106"/>
      <c r="ED348" s="107"/>
      <c r="EE348" s="107"/>
      <c r="EF348" s="107"/>
      <c r="EG348" s="107"/>
      <c r="EH348" s="106"/>
      <c r="EI348" s="107"/>
      <c r="EJ348" s="107"/>
      <c r="EK348" s="107"/>
      <c r="EL348" s="107"/>
      <c r="EM348" s="106"/>
      <c r="EN348" s="107"/>
      <c r="EO348" s="107"/>
      <c r="EP348" s="107"/>
      <c r="EQ348" s="107"/>
      <c r="ER348" s="106"/>
      <c r="ES348" s="107"/>
      <c r="ET348" s="107"/>
      <c r="EU348" s="107"/>
      <c r="EV348" s="107"/>
      <c r="EW348" s="106"/>
      <c r="EX348" s="107"/>
      <c r="EY348" s="107"/>
      <c r="EZ348" s="107"/>
      <c r="FA348" s="107"/>
      <c r="FB348" s="106"/>
      <c r="FC348" s="107"/>
      <c r="FD348" s="107"/>
      <c r="FE348" s="107"/>
      <c r="FF348" s="107"/>
      <c r="FG348" s="106"/>
      <c r="FH348" s="107"/>
      <c r="FI348" s="107"/>
      <c r="FJ348" s="107"/>
      <c r="FK348" s="107"/>
      <c r="FL348" s="106"/>
      <c r="FM348" s="107"/>
      <c r="FN348" s="107"/>
      <c r="FO348" s="107"/>
      <c r="FP348" s="107"/>
      <c r="FQ348" s="106"/>
      <c r="FR348" s="107"/>
      <c r="FS348" s="107"/>
      <c r="FT348" s="107"/>
      <c r="FU348" s="107"/>
      <c r="FV348" s="106"/>
      <c r="FW348" s="107"/>
      <c r="FX348" s="107"/>
      <c r="FY348" s="107"/>
      <c r="FZ348" s="107"/>
      <c r="GA348" s="106"/>
      <c r="GB348" s="107"/>
      <c r="GC348" s="107"/>
      <c r="GD348" s="107"/>
      <c r="GE348" s="107"/>
    </row>
    <row r="349" spans="3:187" ht="12.75" customHeight="1">
      <c r="C349" s="106"/>
      <c r="D349" s="107"/>
      <c r="E349" s="107"/>
      <c r="F349" s="107"/>
      <c r="G349" s="107"/>
      <c r="H349" s="106"/>
      <c r="I349" s="107"/>
      <c r="J349" s="107"/>
      <c r="K349" s="107"/>
      <c r="L349" s="107"/>
      <c r="M349" s="106"/>
      <c r="N349" s="107"/>
      <c r="O349" s="107"/>
      <c r="P349" s="107"/>
      <c r="Q349" s="107"/>
      <c r="R349" s="106"/>
      <c r="S349" s="107"/>
      <c r="T349" s="107"/>
      <c r="U349" s="107"/>
      <c r="V349" s="107"/>
      <c r="W349" s="106"/>
      <c r="X349" s="107"/>
      <c r="Y349" s="107"/>
      <c r="Z349" s="107"/>
      <c r="AA349" s="107"/>
      <c r="AB349" s="106"/>
      <c r="AC349" s="107"/>
      <c r="AD349" s="107"/>
      <c r="AE349" s="107"/>
      <c r="AF349" s="107"/>
      <c r="AG349" s="106"/>
      <c r="AH349" s="107"/>
      <c r="AI349" s="107"/>
      <c r="AJ349" s="107"/>
      <c r="AK349" s="107"/>
      <c r="AL349" s="106"/>
      <c r="AM349" s="107"/>
      <c r="AN349" s="107"/>
      <c r="AO349" s="107"/>
      <c r="AP349" s="107"/>
      <c r="AQ349" s="106"/>
      <c r="AR349" s="107"/>
      <c r="AS349" s="107"/>
      <c r="AT349" s="107"/>
      <c r="AU349" s="107"/>
      <c r="AV349" s="106"/>
      <c r="AW349" s="107"/>
      <c r="AX349" s="107"/>
      <c r="AY349" s="107"/>
      <c r="AZ349" s="107"/>
      <c r="BA349" s="106"/>
      <c r="BB349" s="107"/>
      <c r="BC349" s="107"/>
      <c r="BD349" s="107"/>
      <c r="BE349" s="107"/>
      <c r="BF349" s="106"/>
      <c r="BG349" s="107"/>
      <c r="BH349" s="107"/>
      <c r="BI349" s="107"/>
      <c r="BJ349" s="107"/>
      <c r="BK349" s="106"/>
      <c r="BL349" s="107"/>
      <c r="BM349" s="107"/>
      <c r="BN349" s="107"/>
      <c r="BO349" s="107"/>
      <c r="BP349" s="106"/>
      <c r="BQ349" s="107"/>
      <c r="BR349" s="107"/>
      <c r="BS349" s="107"/>
      <c r="BT349" s="107"/>
      <c r="BU349" s="106"/>
      <c r="BV349" s="107"/>
      <c r="BW349" s="107"/>
      <c r="BX349" s="107"/>
      <c r="BY349" s="107"/>
      <c r="BZ349" s="106"/>
      <c r="CA349" s="107"/>
      <c r="CB349" s="107"/>
      <c r="CC349" s="107"/>
      <c r="CD349" s="107"/>
      <c r="CE349" s="106"/>
      <c r="CF349" s="107"/>
      <c r="CG349" s="107"/>
      <c r="CH349" s="107"/>
      <c r="CI349" s="107"/>
      <c r="CJ349" s="106"/>
      <c r="CK349" s="107"/>
      <c r="CL349" s="107"/>
      <c r="CM349" s="107"/>
      <c r="CN349" s="107"/>
      <c r="CO349" s="106"/>
      <c r="CP349" s="107"/>
      <c r="CQ349" s="107"/>
      <c r="CR349" s="107"/>
      <c r="CS349" s="107"/>
      <c r="CT349" s="106"/>
      <c r="CU349" s="107"/>
      <c r="CV349" s="107"/>
      <c r="CW349" s="107"/>
      <c r="CX349" s="107"/>
      <c r="CY349" s="106"/>
      <c r="CZ349" s="107"/>
      <c r="DA349" s="107"/>
      <c r="DB349" s="107"/>
      <c r="DC349" s="107"/>
      <c r="DD349" s="106"/>
      <c r="DE349" s="107"/>
      <c r="DF349" s="107"/>
      <c r="DG349" s="107"/>
      <c r="DH349" s="107"/>
      <c r="DI349" s="106"/>
      <c r="DJ349" s="107"/>
      <c r="DK349" s="107"/>
      <c r="DL349" s="107"/>
      <c r="DM349" s="107"/>
      <c r="DN349" s="106"/>
      <c r="DO349" s="107"/>
      <c r="DP349" s="107"/>
      <c r="DQ349" s="107"/>
      <c r="DR349" s="107"/>
      <c r="DS349" s="106"/>
      <c r="DT349" s="107"/>
      <c r="DU349" s="107"/>
      <c r="DV349" s="107"/>
      <c r="DW349" s="107"/>
      <c r="DX349" s="106"/>
      <c r="DY349" s="107"/>
      <c r="DZ349" s="107"/>
      <c r="EA349" s="107"/>
      <c r="EB349" s="107"/>
      <c r="EC349" s="106"/>
      <c r="ED349" s="107"/>
      <c r="EE349" s="107"/>
      <c r="EF349" s="107"/>
      <c r="EG349" s="107"/>
      <c r="EH349" s="106"/>
      <c r="EI349" s="107"/>
      <c r="EJ349" s="107"/>
      <c r="EK349" s="107"/>
      <c r="EL349" s="107"/>
      <c r="EM349" s="106"/>
      <c r="EN349" s="107"/>
      <c r="EO349" s="107"/>
      <c r="EP349" s="107"/>
      <c r="EQ349" s="107"/>
      <c r="ER349" s="106"/>
      <c r="ES349" s="107"/>
      <c r="ET349" s="107"/>
      <c r="EU349" s="107"/>
      <c r="EV349" s="107"/>
      <c r="EW349" s="106"/>
      <c r="EX349" s="107"/>
      <c r="EY349" s="107"/>
      <c r="EZ349" s="107"/>
      <c r="FA349" s="107"/>
      <c r="FB349" s="106"/>
      <c r="FC349" s="107"/>
      <c r="FD349" s="107"/>
      <c r="FE349" s="107"/>
      <c r="FF349" s="107"/>
      <c r="FG349" s="106"/>
      <c r="FH349" s="107"/>
      <c r="FI349" s="107"/>
      <c r="FJ349" s="107"/>
      <c r="FK349" s="107"/>
      <c r="FL349" s="106"/>
      <c r="FM349" s="107"/>
      <c r="FN349" s="107"/>
      <c r="FO349" s="107"/>
      <c r="FP349" s="107"/>
      <c r="FQ349" s="106"/>
      <c r="FR349" s="107"/>
      <c r="FS349" s="107"/>
      <c r="FT349" s="107"/>
      <c r="FU349" s="107"/>
      <c r="FV349" s="106"/>
      <c r="FW349" s="107"/>
      <c r="FX349" s="107"/>
      <c r="FY349" s="107"/>
      <c r="FZ349" s="107"/>
      <c r="GA349" s="106"/>
      <c r="GB349" s="107"/>
      <c r="GC349" s="107"/>
      <c r="GD349" s="107"/>
      <c r="GE349" s="107"/>
    </row>
    <row r="350" spans="3:187" ht="12.75" customHeight="1">
      <c r="C350" s="192"/>
      <c r="D350" s="193"/>
      <c r="E350" s="193"/>
      <c r="F350" s="193"/>
      <c r="G350" s="193"/>
      <c r="H350" s="192"/>
      <c r="I350" s="193"/>
      <c r="J350" s="193"/>
      <c r="K350" s="193"/>
      <c r="L350" s="193"/>
      <c r="M350" s="192"/>
      <c r="N350" s="193"/>
      <c r="O350" s="193"/>
      <c r="P350" s="193"/>
      <c r="Q350" s="193"/>
      <c r="R350" s="192"/>
      <c r="S350" s="193"/>
      <c r="T350" s="193"/>
      <c r="U350" s="193"/>
      <c r="V350" s="193"/>
      <c r="W350" s="192"/>
      <c r="X350" s="193"/>
      <c r="Y350" s="193"/>
      <c r="Z350" s="193"/>
      <c r="AA350" s="193"/>
      <c r="AB350" s="192"/>
      <c r="AC350" s="193"/>
      <c r="AD350" s="193"/>
      <c r="AE350" s="193"/>
      <c r="AF350" s="193"/>
      <c r="AG350" s="192"/>
      <c r="AH350" s="193"/>
      <c r="AI350" s="193"/>
      <c r="AJ350" s="193"/>
      <c r="AK350" s="193"/>
      <c r="AL350" s="192"/>
      <c r="AM350" s="193"/>
      <c r="AN350" s="193"/>
      <c r="AO350" s="193"/>
      <c r="AP350" s="193"/>
      <c r="AQ350" s="192"/>
      <c r="AR350" s="193"/>
      <c r="AS350" s="193"/>
      <c r="AT350" s="193"/>
      <c r="AU350" s="193"/>
      <c r="AV350" s="192"/>
      <c r="AW350" s="193"/>
      <c r="AX350" s="193"/>
      <c r="AY350" s="193"/>
      <c r="AZ350" s="193"/>
      <c r="BA350" s="192"/>
      <c r="BB350" s="193"/>
      <c r="BC350" s="193"/>
      <c r="BD350" s="193"/>
      <c r="BE350" s="193"/>
      <c r="BF350" s="192"/>
      <c r="BG350" s="193"/>
      <c r="BH350" s="193"/>
      <c r="BI350" s="193"/>
      <c r="BJ350" s="193"/>
      <c r="BK350" s="192"/>
      <c r="BL350" s="193"/>
      <c r="BM350" s="193"/>
      <c r="BN350" s="193"/>
      <c r="BO350" s="193"/>
      <c r="BP350" s="192"/>
      <c r="BQ350" s="193"/>
      <c r="BR350" s="193"/>
      <c r="BS350" s="193"/>
      <c r="BT350" s="193"/>
      <c r="BU350" s="192"/>
      <c r="BV350" s="193"/>
      <c r="BW350" s="193"/>
      <c r="BX350" s="193"/>
      <c r="BY350" s="193"/>
      <c r="BZ350" s="192"/>
      <c r="CA350" s="193"/>
      <c r="CB350" s="193"/>
      <c r="CC350" s="193"/>
      <c r="CD350" s="193"/>
      <c r="CE350" s="192"/>
      <c r="CF350" s="193"/>
      <c r="CG350" s="193"/>
      <c r="CH350" s="193"/>
      <c r="CI350" s="193"/>
      <c r="CJ350" s="192"/>
      <c r="CK350" s="193"/>
      <c r="CL350" s="193"/>
      <c r="CM350" s="193"/>
      <c r="CN350" s="193"/>
      <c r="CO350" s="192"/>
      <c r="CP350" s="193"/>
      <c r="CQ350" s="193"/>
      <c r="CR350" s="193"/>
      <c r="CS350" s="193"/>
      <c r="CT350" s="192"/>
      <c r="CU350" s="193"/>
      <c r="CV350" s="193"/>
      <c r="CW350" s="193"/>
      <c r="CX350" s="193"/>
      <c r="CY350" s="192"/>
      <c r="CZ350" s="193"/>
      <c r="DA350" s="193"/>
      <c r="DB350" s="193"/>
      <c r="DC350" s="193"/>
      <c r="DD350" s="192"/>
      <c r="DE350" s="193"/>
      <c r="DF350" s="193"/>
      <c r="DG350" s="193"/>
      <c r="DH350" s="193"/>
      <c r="DI350" s="192"/>
      <c r="DJ350" s="193"/>
      <c r="DK350" s="193"/>
      <c r="DL350" s="193"/>
      <c r="DM350" s="193"/>
      <c r="DN350" s="192"/>
      <c r="DO350" s="193"/>
      <c r="DP350" s="193"/>
      <c r="DQ350" s="193"/>
      <c r="DR350" s="193"/>
      <c r="DS350" s="192"/>
      <c r="DT350" s="193"/>
      <c r="DU350" s="193"/>
      <c r="DV350" s="193"/>
      <c r="DW350" s="193"/>
      <c r="DX350" s="192"/>
      <c r="DY350" s="193"/>
      <c r="DZ350" s="193"/>
      <c r="EA350" s="193"/>
      <c r="EB350" s="193"/>
      <c r="EC350" s="192"/>
      <c r="ED350" s="193"/>
      <c r="EE350" s="193"/>
      <c r="EF350" s="193"/>
      <c r="EG350" s="193"/>
      <c r="EH350" s="192"/>
      <c r="EI350" s="193"/>
      <c r="EJ350" s="193"/>
      <c r="EK350" s="193"/>
      <c r="EL350" s="193"/>
      <c r="EM350" s="192"/>
      <c r="EN350" s="193"/>
      <c r="EO350" s="193"/>
      <c r="EP350" s="193"/>
      <c r="EQ350" s="193"/>
      <c r="ER350" s="192"/>
      <c r="ES350" s="193"/>
      <c r="ET350" s="193"/>
      <c r="EU350" s="193"/>
      <c r="EV350" s="193"/>
      <c r="EW350" s="192"/>
      <c r="EX350" s="193"/>
      <c r="EY350" s="193"/>
      <c r="EZ350" s="193"/>
      <c r="FA350" s="193"/>
      <c r="FB350" s="192"/>
      <c r="FC350" s="193"/>
      <c r="FD350" s="193"/>
      <c r="FE350" s="193"/>
      <c r="FF350" s="193"/>
      <c r="FG350" s="192"/>
      <c r="FH350" s="193"/>
      <c r="FI350" s="193"/>
      <c r="FJ350" s="193"/>
      <c r="FK350" s="193"/>
      <c r="FL350" s="192"/>
      <c r="FM350" s="193"/>
      <c r="FN350" s="193"/>
      <c r="FO350" s="193"/>
      <c r="FP350" s="193"/>
      <c r="FQ350" s="192"/>
      <c r="FR350" s="193"/>
      <c r="FS350" s="193"/>
      <c r="FT350" s="193"/>
      <c r="FU350" s="193"/>
      <c r="FV350" s="192"/>
      <c r="FW350" s="193"/>
      <c r="FX350" s="193"/>
      <c r="FY350" s="193"/>
      <c r="FZ350" s="193"/>
      <c r="GA350" s="192"/>
      <c r="GB350" s="193"/>
      <c r="GC350" s="193"/>
      <c r="GD350" s="193"/>
      <c r="GE350" s="193"/>
    </row>
    <row r="351" spans="3:187" ht="12.75" customHeight="1">
      <c r="C351" s="181"/>
      <c r="D351" s="182"/>
      <c r="E351" s="182"/>
      <c r="F351" s="182"/>
      <c r="G351" s="182"/>
      <c r="H351" s="181"/>
      <c r="I351" s="182"/>
      <c r="J351" s="182"/>
      <c r="K351" s="182"/>
      <c r="L351" s="182"/>
      <c r="M351" s="181"/>
      <c r="N351" s="182"/>
      <c r="O351" s="182"/>
      <c r="P351" s="182"/>
      <c r="Q351" s="182"/>
      <c r="R351" s="181"/>
      <c r="S351" s="182"/>
      <c r="T351" s="182"/>
      <c r="U351" s="182"/>
      <c r="V351" s="182"/>
      <c r="W351" s="181"/>
      <c r="X351" s="182"/>
      <c r="Y351" s="182"/>
      <c r="Z351" s="182"/>
      <c r="AA351" s="182"/>
      <c r="AB351" s="181"/>
      <c r="AC351" s="182"/>
      <c r="AD351" s="182"/>
      <c r="AE351" s="182"/>
      <c r="AF351" s="182"/>
      <c r="AG351" s="181"/>
      <c r="AH351" s="182"/>
      <c r="AI351" s="182"/>
      <c r="AJ351" s="182"/>
      <c r="AK351" s="182"/>
      <c r="AL351" s="181"/>
      <c r="AM351" s="182"/>
      <c r="AN351" s="182"/>
      <c r="AO351" s="182"/>
      <c r="AP351" s="182"/>
      <c r="AQ351" s="181"/>
      <c r="AR351" s="182"/>
      <c r="AS351" s="182"/>
      <c r="AT351" s="182"/>
      <c r="AU351" s="182"/>
      <c r="AV351" s="181"/>
      <c r="AW351" s="182"/>
      <c r="AX351" s="182"/>
      <c r="AY351" s="182"/>
      <c r="AZ351" s="182"/>
      <c r="BA351" s="181"/>
      <c r="BB351" s="182"/>
      <c r="BC351" s="182"/>
      <c r="BD351" s="182"/>
      <c r="BE351" s="182"/>
      <c r="BF351" s="181"/>
      <c r="BG351" s="182"/>
      <c r="BH351" s="182"/>
      <c r="BI351" s="182"/>
      <c r="BJ351" s="182"/>
      <c r="BK351" s="181"/>
      <c r="BL351" s="182"/>
      <c r="BM351" s="182"/>
      <c r="BN351" s="182"/>
      <c r="BO351" s="182"/>
      <c r="BP351" s="181"/>
      <c r="BQ351" s="182"/>
      <c r="BR351" s="182"/>
      <c r="BS351" s="182"/>
      <c r="BT351" s="182"/>
      <c r="BU351" s="181"/>
      <c r="BV351" s="182"/>
      <c r="BW351" s="182"/>
      <c r="BX351" s="182"/>
      <c r="BY351" s="182"/>
      <c r="BZ351" s="181"/>
      <c r="CA351" s="182"/>
      <c r="CB351" s="182"/>
      <c r="CC351" s="182"/>
      <c r="CD351" s="182"/>
      <c r="CE351" s="181"/>
      <c r="CF351" s="182"/>
      <c r="CG351" s="182"/>
      <c r="CH351" s="182"/>
      <c r="CI351" s="182"/>
      <c r="CJ351" s="181"/>
      <c r="CK351" s="182"/>
      <c r="CL351" s="182"/>
      <c r="CM351" s="182"/>
      <c r="CN351" s="182"/>
      <c r="CO351" s="181"/>
      <c r="CP351" s="182"/>
      <c r="CQ351" s="182"/>
      <c r="CR351" s="182"/>
      <c r="CS351" s="182"/>
      <c r="CT351" s="181"/>
      <c r="CU351" s="182"/>
      <c r="CV351" s="182"/>
      <c r="CW351" s="182"/>
      <c r="CX351" s="182"/>
      <c r="CY351" s="181"/>
      <c r="CZ351" s="182"/>
      <c r="DA351" s="182"/>
      <c r="DB351" s="182"/>
      <c r="DC351" s="182"/>
      <c r="DD351" s="181"/>
      <c r="DE351" s="182"/>
      <c r="DF351" s="182"/>
      <c r="DG351" s="182"/>
      <c r="DH351" s="182"/>
      <c r="DI351" s="181"/>
      <c r="DJ351" s="182"/>
      <c r="DK351" s="182"/>
      <c r="DL351" s="182"/>
      <c r="DM351" s="182"/>
      <c r="DN351" s="181"/>
      <c r="DO351" s="182"/>
      <c r="DP351" s="182"/>
      <c r="DQ351" s="182"/>
      <c r="DR351" s="182"/>
      <c r="DS351" s="181"/>
      <c r="DT351" s="182"/>
      <c r="DU351" s="182"/>
      <c r="DV351" s="182"/>
      <c r="DW351" s="182"/>
      <c r="DX351" s="181"/>
      <c r="DY351" s="182"/>
      <c r="DZ351" s="182"/>
      <c r="EA351" s="182"/>
      <c r="EB351" s="182"/>
      <c r="EC351" s="181"/>
      <c r="ED351" s="182"/>
      <c r="EE351" s="182"/>
      <c r="EF351" s="182"/>
      <c r="EG351" s="182"/>
      <c r="EH351" s="181"/>
      <c r="EI351" s="182"/>
      <c r="EJ351" s="182"/>
      <c r="EK351" s="182"/>
      <c r="EL351" s="182"/>
      <c r="EM351" s="181"/>
      <c r="EN351" s="182"/>
      <c r="EO351" s="182"/>
      <c r="EP351" s="182"/>
      <c r="EQ351" s="182"/>
      <c r="ER351" s="181"/>
      <c r="ES351" s="182"/>
      <c r="ET351" s="182"/>
      <c r="EU351" s="182"/>
      <c r="EV351" s="182"/>
      <c r="EW351" s="181"/>
      <c r="EX351" s="182"/>
      <c r="EY351" s="182"/>
      <c r="EZ351" s="182"/>
      <c r="FA351" s="182"/>
      <c r="FB351" s="181"/>
      <c r="FC351" s="182"/>
      <c r="FD351" s="182"/>
      <c r="FE351" s="182"/>
      <c r="FF351" s="182"/>
      <c r="FG351" s="181"/>
      <c r="FH351" s="182"/>
      <c r="FI351" s="182"/>
      <c r="FJ351" s="182"/>
      <c r="FK351" s="182"/>
      <c r="FL351" s="181"/>
      <c r="FM351" s="182"/>
      <c r="FN351" s="182"/>
      <c r="FO351" s="182"/>
      <c r="FP351" s="182"/>
      <c r="FQ351" s="181"/>
      <c r="FR351" s="182"/>
      <c r="FS351" s="182"/>
      <c r="FT351" s="182"/>
      <c r="FU351" s="182"/>
      <c r="FV351" s="181"/>
      <c r="FW351" s="182"/>
      <c r="FX351" s="182"/>
      <c r="FY351" s="182"/>
      <c r="FZ351" s="182"/>
      <c r="GA351" s="181"/>
      <c r="GB351" s="182"/>
      <c r="GC351" s="182"/>
      <c r="GD351" s="182"/>
      <c r="GE351" s="182"/>
    </row>
    <row r="352" spans="3:187" ht="12.75" customHeight="1">
      <c r="C352" s="106"/>
      <c r="D352" s="107"/>
      <c r="E352" s="107"/>
      <c r="F352" s="107"/>
      <c r="G352" s="107"/>
      <c r="H352" s="106"/>
      <c r="I352" s="107"/>
      <c r="J352" s="107"/>
      <c r="K352" s="107"/>
      <c r="L352" s="107"/>
      <c r="M352" s="106"/>
      <c r="N352" s="107"/>
      <c r="O352" s="107"/>
      <c r="P352" s="107"/>
      <c r="Q352" s="107"/>
      <c r="R352" s="106"/>
      <c r="S352" s="107"/>
      <c r="T352" s="107"/>
      <c r="U352" s="107"/>
      <c r="V352" s="107"/>
      <c r="W352" s="106"/>
      <c r="X352" s="107"/>
      <c r="Y352" s="107"/>
      <c r="Z352" s="107"/>
      <c r="AA352" s="107"/>
      <c r="AB352" s="106"/>
      <c r="AC352" s="107"/>
      <c r="AD352" s="107"/>
      <c r="AE352" s="107"/>
      <c r="AF352" s="107"/>
      <c r="AG352" s="106"/>
      <c r="AH352" s="107"/>
      <c r="AI352" s="107"/>
      <c r="AJ352" s="107"/>
      <c r="AK352" s="107"/>
      <c r="AL352" s="106"/>
      <c r="AM352" s="107"/>
      <c r="AN352" s="107"/>
      <c r="AO352" s="107"/>
      <c r="AP352" s="107"/>
      <c r="AQ352" s="106"/>
      <c r="AR352" s="107"/>
      <c r="AS352" s="107"/>
      <c r="AT352" s="107"/>
      <c r="AU352" s="107"/>
      <c r="AV352" s="106"/>
      <c r="AW352" s="107"/>
      <c r="AX352" s="107"/>
      <c r="AY352" s="107"/>
      <c r="AZ352" s="107"/>
      <c r="BA352" s="106"/>
      <c r="BB352" s="107"/>
      <c r="BC352" s="107"/>
      <c r="BD352" s="107"/>
      <c r="BE352" s="107"/>
      <c r="BF352" s="106"/>
      <c r="BG352" s="107"/>
      <c r="BH352" s="107"/>
      <c r="BI352" s="107"/>
      <c r="BJ352" s="107"/>
      <c r="BK352" s="106"/>
      <c r="BL352" s="107"/>
      <c r="BM352" s="107"/>
      <c r="BN352" s="107"/>
      <c r="BO352" s="107"/>
      <c r="BP352" s="106"/>
      <c r="BQ352" s="107"/>
      <c r="BR352" s="107"/>
      <c r="BS352" s="107"/>
      <c r="BT352" s="107"/>
      <c r="BU352" s="106"/>
      <c r="BV352" s="107"/>
      <c r="BW352" s="107"/>
      <c r="BX352" s="107"/>
      <c r="BY352" s="107"/>
      <c r="BZ352" s="106"/>
      <c r="CA352" s="107"/>
      <c r="CB352" s="107"/>
      <c r="CC352" s="107"/>
      <c r="CD352" s="107"/>
      <c r="CE352" s="106"/>
      <c r="CF352" s="107"/>
      <c r="CG352" s="107"/>
      <c r="CH352" s="107"/>
      <c r="CI352" s="107"/>
      <c r="CJ352" s="106"/>
      <c r="CK352" s="107"/>
      <c r="CL352" s="107"/>
      <c r="CM352" s="107"/>
      <c r="CN352" s="107"/>
      <c r="CO352" s="106"/>
      <c r="CP352" s="107"/>
      <c r="CQ352" s="107"/>
      <c r="CR352" s="107"/>
      <c r="CS352" s="107"/>
      <c r="CT352" s="106"/>
      <c r="CU352" s="107"/>
      <c r="CV352" s="107"/>
      <c r="CW352" s="107"/>
      <c r="CX352" s="107"/>
      <c r="CY352" s="106"/>
      <c r="CZ352" s="107"/>
      <c r="DA352" s="107"/>
      <c r="DB352" s="107"/>
      <c r="DC352" s="107"/>
      <c r="DD352" s="106"/>
      <c r="DE352" s="107"/>
      <c r="DF352" s="107"/>
      <c r="DG352" s="107"/>
      <c r="DH352" s="107"/>
      <c r="DI352" s="106"/>
      <c r="DJ352" s="107"/>
      <c r="DK352" s="107"/>
      <c r="DL352" s="107"/>
      <c r="DM352" s="107"/>
      <c r="DN352" s="106"/>
      <c r="DO352" s="107"/>
      <c r="DP352" s="107"/>
      <c r="DQ352" s="107"/>
      <c r="DR352" s="107"/>
      <c r="DS352" s="106"/>
      <c r="DT352" s="107"/>
      <c r="DU352" s="107"/>
      <c r="DV352" s="107"/>
      <c r="DW352" s="107"/>
      <c r="DX352" s="106"/>
      <c r="DY352" s="107"/>
      <c r="DZ352" s="107"/>
      <c r="EA352" s="107"/>
      <c r="EB352" s="107"/>
      <c r="EC352" s="106"/>
      <c r="ED352" s="107"/>
      <c r="EE352" s="107"/>
      <c r="EF352" s="107"/>
      <c r="EG352" s="107"/>
      <c r="EH352" s="106"/>
      <c r="EI352" s="107"/>
      <c r="EJ352" s="107"/>
      <c r="EK352" s="107"/>
      <c r="EL352" s="107"/>
      <c r="EM352" s="106"/>
      <c r="EN352" s="107"/>
      <c r="EO352" s="107"/>
      <c r="EP352" s="107"/>
      <c r="EQ352" s="107"/>
      <c r="ER352" s="106"/>
      <c r="ES352" s="107"/>
      <c r="ET352" s="107"/>
      <c r="EU352" s="107"/>
      <c r="EV352" s="107"/>
      <c r="EW352" s="106"/>
      <c r="EX352" s="107"/>
      <c r="EY352" s="107"/>
      <c r="EZ352" s="107"/>
      <c r="FA352" s="107"/>
      <c r="FB352" s="106"/>
      <c r="FC352" s="107"/>
      <c r="FD352" s="107"/>
      <c r="FE352" s="107"/>
      <c r="FF352" s="107"/>
      <c r="FG352" s="106"/>
      <c r="FH352" s="107"/>
      <c r="FI352" s="107"/>
      <c r="FJ352" s="107"/>
      <c r="FK352" s="107"/>
      <c r="FL352" s="106"/>
      <c r="FM352" s="107"/>
      <c r="FN352" s="107"/>
      <c r="FO352" s="107"/>
      <c r="FP352" s="107"/>
      <c r="FQ352" s="106"/>
      <c r="FR352" s="107"/>
      <c r="FS352" s="107"/>
      <c r="FT352" s="107"/>
      <c r="FU352" s="107"/>
      <c r="FV352" s="106"/>
      <c r="FW352" s="107"/>
      <c r="FX352" s="107"/>
      <c r="FY352" s="107"/>
      <c r="FZ352" s="107"/>
      <c r="GA352" s="106"/>
      <c r="GB352" s="107"/>
      <c r="GC352" s="107"/>
      <c r="GD352" s="107"/>
      <c r="GE352" s="107"/>
    </row>
    <row r="353" spans="3:187" ht="12.75" customHeight="1">
      <c r="C353" s="139"/>
      <c r="D353" s="105"/>
      <c r="E353" s="105"/>
      <c r="F353" s="105"/>
      <c r="G353" s="105"/>
      <c r="H353" s="139"/>
      <c r="I353" s="105"/>
      <c r="J353" s="105"/>
      <c r="K353" s="105"/>
      <c r="L353" s="105"/>
      <c r="M353" s="139"/>
      <c r="N353" s="105"/>
      <c r="O353" s="105"/>
      <c r="P353" s="105"/>
      <c r="Q353" s="105"/>
      <c r="R353" s="139"/>
      <c r="S353" s="105"/>
      <c r="T353" s="105"/>
      <c r="U353" s="105"/>
      <c r="V353" s="105"/>
      <c r="W353" s="139"/>
      <c r="X353" s="105"/>
      <c r="Y353" s="105"/>
      <c r="Z353" s="105"/>
      <c r="AA353" s="105"/>
      <c r="AB353" s="139"/>
      <c r="AC353" s="105"/>
      <c r="AD353" s="105"/>
      <c r="AE353" s="105"/>
      <c r="AF353" s="105"/>
      <c r="AG353" s="139"/>
      <c r="AH353" s="105"/>
      <c r="AI353" s="105"/>
      <c r="AJ353" s="105"/>
      <c r="AK353" s="105"/>
      <c r="AL353" s="139"/>
      <c r="AM353" s="105"/>
      <c r="AN353" s="105"/>
      <c r="AO353" s="105"/>
      <c r="AP353" s="105"/>
      <c r="AQ353" s="139"/>
      <c r="AR353" s="105"/>
      <c r="AS353" s="105"/>
      <c r="AT353" s="105"/>
      <c r="AU353" s="105"/>
      <c r="AV353" s="139"/>
      <c r="AW353" s="105"/>
      <c r="AX353" s="105"/>
      <c r="AY353" s="105"/>
      <c r="AZ353" s="105"/>
      <c r="BA353" s="139"/>
      <c r="BB353" s="105"/>
      <c r="BC353" s="105"/>
      <c r="BD353" s="105"/>
      <c r="BE353" s="105"/>
      <c r="BF353" s="139"/>
      <c r="BG353" s="105"/>
      <c r="BH353" s="105"/>
      <c r="BI353" s="105"/>
      <c r="BJ353" s="105"/>
      <c r="BK353" s="139"/>
      <c r="BL353" s="105"/>
      <c r="BM353" s="105"/>
      <c r="BN353" s="105"/>
      <c r="BO353" s="105"/>
      <c r="BP353" s="139"/>
      <c r="BQ353" s="105"/>
      <c r="BR353" s="105"/>
      <c r="BS353" s="105"/>
      <c r="BT353" s="105"/>
      <c r="BU353" s="139"/>
      <c r="BV353" s="105"/>
      <c r="BW353" s="105"/>
      <c r="BX353" s="105"/>
      <c r="BY353" s="105"/>
      <c r="BZ353" s="139"/>
      <c r="CA353" s="105"/>
      <c r="CB353" s="105"/>
      <c r="CC353" s="105"/>
      <c r="CD353" s="105"/>
      <c r="CE353" s="139"/>
      <c r="CF353" s="105"/>
      <c r="CG353" s="105"/>
      <c r="CH353" s="105"/>
      <c r="CI353" s="105"/>
      <c r="CJ353" s="139"/>
      <c r="CK353" s="105"/>
      <c r="CL353" s="105"/>
      <c r="CM353" s="105"/>
      <c r="CN353" s="105"/>
      <c r="CO353" s="139"/>
      <c r="CP353" s="105"/>
      <c r="CQ353" s="105"/>
      <c r="CR353" s="105"/>
      <c r="CS353" s="105"/>
      <c r="CT353" s="139"/>
      <c r="CU353" s="105"/>
      <c r="CV353" s="105"/>
      <c r="CW353" s="105"/>
      <c r="CX353" s="105"/>
      <c r="CY353" s="139"/>
      <c r="CZ353" s="105"/>
      <c r="DA353" s="105"/>
      <c r="DB353" s="105"/>
      <c r="DC353" s="105"/>
      <c r="DD353" s="139"/>
      <c r="DE353" s="105"/>
      <c r="DF353" s="105"/>
      <c r="DG353" s="105"/>
      <c r="DH353" s="105"/>
      <c r="DI353" s="139"/>
      <c r="DJ353" s="105"/>
      <c r="DK353" s="105"/>
      <c r="DL353" s="105"/>
      <c r="DM353" s="105"/>
      <c r="DN353" s="139"/>
      <c r="DO353" s="105"/>
      <c r="DP353" s="105"/>
      <c r="DQ353" s="105"/>
      <c r="DR353" s="105"/>
      <c r="DS353" s="139"/>
      <c r="DT353" s="105"/>
      <c r="DU353" s="105"/>
      <c r="DV353" s="105"/>
      <c r="DW353" s="105"/>
      <c r="DX353" s="139"/>
      <c r="DY353" s="105"/>
      <c r="DZ353" s="105"/>
      <c r="EA353" s="105"/>
      <c r="EB353" s="105"/>
      <c r="EC353" s="139"/>
      <c r="ED353" s="105"/>
      <c r="EE353" s="105"/>
      <c r="EF353" s="105"/>
      <c r="EG353" s="105"/>
      <c r="EH353" s="139"/>
      <c r="EI353" s="105"/>
      <c r="EJ353" s="105"/>
      <c r="EK353" s="105"/>
      <c r="EL353" s="105"/>
      <c r="EM353" s="139"/>
      <c r="EN353" s="105"/>
      <c r="EO353" s="105"/>
      <c r="EP353" s="105"/>
      <c r="EQ353" s="105"/>
      <c r="ER353" s="139"/>
      <c r="ES353" s="105"/>
      <c r="ET353" s="105"/>
      <c r="EU353" s="105"/>
      <c r="EV353" s="105"/>
      <c r="EW353" s="139"/>
      <c r="EX353" s="105"/>
      <c r="EY353" s="105"/>
      <c r="EZ353" s="105"/>
      <c r="FA353" s="105"/>
      <c r="FB353" s="139"/>
      <c r="FC353" s="105"/>
      <c r="FD353" s="105"/>
      <c r="FE353" s="105"/>
      <c r="FF353" s="105"/>
      <c r="FG353" s="139"/>
      <c r="FH353" s="105"/>
      <c r="FI353" s="105"/>
      <c r="FJ353" s="105"/>
      <c r="FK353" s="105"/>
      <c r="FL353" s="139"/>
      <c r="FM353" s="105"/>
      <c r="FN353" s="105"/>
      <c r="FO353" s="105"/>
      <c r="FP353" s="105"/>
      <c r="FQ353" s="139"/>
      <c r="FR353" s="105"/>
      <c r="FS353" s="105"/>
      <c r="FT353" s="105"/>
      <c r="FU353" s="105"/>
      <c r="FV353" s="139"/>
      <c r="FW353" s="105"/>
      <c r="FX353" s="105"/>
      <c r="FY353" s="105"/>
      <c r="FZ353" s="105"/>
      <c r="GA353" s="139"/>
      <c r="GB353" s="105"/>
      <c r="GC353" s="105"/>
      <c r="GD353" s="105"/>
      <c r="GE353" s="105"/>
    </row>
    <row r="355" spans="3:187" ht="12.75" customHeight="1">
      <c r="C355" s="188"/>
      <c r="D355" s="189"/>
      <c r="E355" s="189"/>
      <c r="F355" s="189"/>
      <c r="G355" s="189"/>
      <c r="H355" s="188"/>
      <c r="I355" s="189"/>
      <c r="J355" s="189"/>
      <c r="K355" s="189"/>
      <c r="L355" s="189"/>
      <c r="M355" s="188"/>
      <c r="N355" s="189"/>
      <c r="O355" s="189"/>
      <c r="P355" s="189"/>
      <c r="Q355" s="189"/>
      <c r="R355" s="188"/>
      <c r="S355" s="189"/>
      <c r="T355" s="189"/>
      <c r="U355" s="189"/>
      <c r="V355" s="189"/>
      <c r="W355" s="188"/>
      <c r="X355" s="189"/>
      <c r="Y355" s="189"/>
      <c r="Z355" s="189"/>
      <c r="AA355" s="189"/>
      <c r="AB355" s="188"/>
      <c r="AC355" s="189"/>
      <c r="AD355" s="189"/>
      <c r="AE355" s="189"/>
      <c r="AF355" s="189"/>
      <c r="AG355" s="188"/>
      <c r="AH355" s="189"/>
      <c r="AI355" s="189"/>
      <c r="AJ355" s="189"/>
      <c r="AK355" s="189"/>
      <c r="AL355" s="188"/>
      <c r="AM355" s="189"/>
      <c r="AN355" s="189"/>
      <c r="AO355" s="189"/>
      <c r="AP355" s="189"/>
      <c r="AQ355" s="188"/>
      <c r="AR355" s="189"/>
      <c r="AS355" s="189"/>
      <c r="AT355" s="189"/>
      <c r="AU355" s="189"/>
      <c r="AV355" s="188"/>
      <c r="AW355" s="189"/>
      <c r="AX355" s="189"/>
      <c r="AY355" s="189"/>
      <c r="AZ355" s="189"/>
      <c r="BA355" s="188"/>
      <c r="BB355" s="189"/>
      <c r="BC355" s="189"/>
      <c r="BD355" s="189"/>
      <c r="BE355" s="189"/>
      <c r="BF355" s="188"/>
      <c r="BG355" s="189"/>
      <c r="BH355" s="189"/>
      <c r="BI355" s="189"/>
      <c r="BJ355" s="189"/>
      <c r="BK355" s="188"/>
      <c r="BL355" s="189"/>
      <c r="BM355" s="189"/>
      <c r="BN355" s="189"/>
      <c r="BO355" s="189"/>
      <c r="BP355" s="188"/>
      <c r="BQ355" s="189"/>
      <c r="BR355" s="189"/>
      <c r="BS355" s="189"/>
      <c r="BT355" s="189"/>
      <c r="BU355" s="188"/>
      <c r="BV355" s="189"/>
      <c r="BW355" s="189"/>
      <c r="BX355" s="189"/>
      <c r="BY355" s="189"/>
      <c r="BZ355" s="188"/>
      <c r="CA355" s="189"/>
      <c r="CB355" s="189"/>
      <c r="CC355" s="189"/>
      <c r="CD355" s="189"/>
      <c r="CE355" s="188"/>
      <c r="CF355" s="189"/>
      <c r="CG355" s="189"/>
      <c r="CH355" s="189"/>
      <c r="CI355" s="189"/>
      <c r="CJ355" s="188"/>
      <c r="CK355" s="189"/>
      <c r="CL355" s="189"/>
      <c r="CM355" s="189"/>
      <c r="CN355" s="189"/>
      <c r="CO355" s="188"/>
      <c r="CP355" s="189"/>
      <c r="CQ355" s="189"/>
      <c r="CR355" s="189"/>
      <c r="CS355" s="189"/>
      <c r="CT355" s="188"/>
      <c r="CU355" s="189"/>
      <c r="CV355" s="189"/>
      <c r="CW355" s="189"/>
      <c r="CX355" s="189"/>
      <c r="CY355" s="188"/>
      <c r="CZ355" s="189"/>
      <c r="DA355" s="189"/>
      <c r="DB355" s="189"/>
      <c r="DC355" s="189"/>
      <c r="DD355" s="188"/>
      <c r="DE355" s="189"/>
      <c r="DF355" s="189"/>
      <c r="DG355" s="189"/>
      <c r="DH355" s="189"/>
      <c r="DI355" s="188"/>
      <c r="DJ355" s="189"/>
      <c r="DK355" s="189"/>
      <c r="DL355" s="189"/>
      <c r="DM355" s="189"/>
      <c r="DN355" s="188"/>
      <c r="DO355" s="189"/>
      <c r="DP355" s="189"/>
      <c r="DQ355" s="189"/>
      <c r="DR355" s="189"/>
      <c r="DS355" s="188"/>
      <c r="DT355" s="189"/>
      <c r="DU355" s="189"/>
      <c r="DV355" s="189"/>
      <c r="DW355" s="189"/>
      <c r="DX355" s="188"/>
      <c r="DY355" s="189"/>
      <c r="DZ355" s="189"/>
      <c r="EA355" s="189"/>
      <c r="EB355" s="189"/>
      <c r="EC355" s="188"/>
      <c r="ED355" s="189"/>
      <c r="EE355" s="189"/>
      <c r="EF355" s="189"/>
      <c r="EG355" s="189"/>
      <c r="EH355" s="188"/>
      <c r="EI355" s="189"/>
      <c r="EJ355" s="189"/>
      <c r="EK355" s="189"/>
      <c r="EL355" s="189"/>
      <c r="EM355" s="188"/>
      <c r="EN355" s="189"/>
      <c r="EO355" s="189"/>
      <c r="EP355" s="189"/>
      <c r="EQ355" s="189"/>
      <c r="ER355" s="188"/>
      <c r="ES355" s="189"/>
      <c r="ET355" s="189"/>
      <c r="EU355" s="189"/>
      <c r="EV355" s="189"/>
      <c r="EW355" s="188"/>
      <c r="EX355" s="189"/>
      <c r="EY355" s="189"/>
      <c r="EZ355" s="189"/>
      <c r="FA355" s="189"/>
      <c r="FB355" s="188"/>
      <c r="FC355" s="189"/>
      <c r="FD355" s="189"/>
      <c r="FE355" s="189"/>
      <c r="FF355" s="189"/>
      <c r="FG355" s="188"/>
      <c r="FH355" s="189"/>
      <c r="FI355" s="189"/>
      <c r="FJ355" s="189"/>
      <c r="FK355" s="189"/>
      <c r="FL355" s="188"/>
      <c r="FM355" s="189"/>
      <c r="FN355" s="189"/>
      <c r="FO355" s="189"/>
      <c r="FP355" s="189"/>
      <c r="FQ355" s="188"/>
      <c r="FR355" s="189"/>
      <c r="FS355" s="189"/>
      <c r="FT355" s="189"/>
      <c r="FU355" s="189"/>
      <c r="FV355" s="188"/>
      <c r="FW355" s="189"/>
      <c r="FX355" s="189"/>
      <c r="FY355" s="189"/>
      <c r="FZ355" s="189"/>
      <c r="GA355" s="188"/>
      <c r="GB355" s="189"/>
      <c r="GC355" s="189"/>
      <c r="GD355" s="189"/>
      <c r="GE355" s="189"/>
    </row>
    <row r="356" spans="3:187" ht="12.75" customHeight="1">
      <c r="C356" s="139"/>
      <c r="D356" s="105"/>
      <c r="E356" s="105"/>
      <c r="F356" s="105"/>
      <c r="G356" s="105"/>
      <c r="H356" s="139"/>
      <c r="I356" s="105"/>
      <c r="J356" s="105"/>
      <c r="K356" s="105"/>
      <c r="L356" s="105"/>
      <c r="M356" s="139"/>
      <c r="N356" s="105"/>
      <c r="O356" s="105"/>
      <c r="P356" s="105"/>
      <c r="Q356" s="105"/>
      <c r="R356" s="139"/>
      <c r="S356" s="105"/>
      <c r="T356" s="105"/>
      <c r="U356" s="105"/>
      <c r="V356" s="105"/>
      <c r="W356" s="139"/>
      <c r="X356" s="105"/>
      <c r="Y356" s="105"/>
      <c r="Z356" s="105"/>
      <c r="AA356" s="105"/>
      <c r="AB356" s="139"/>
      <c r="AC356" s="105"/>
      <c r="AD356" s="105"/>
      <c r="AE356" s="105"/>
      <c r="AF356" s="105"/>
      <c r="AG356" s="139"/>
      <c r="AH356" s="105"/>
      <c r="AI356" s="105"/>
      <c r="AJ356" s="105"/>
      <c r="AK356" s="105"/>
      <c r="AL356" s="139"/>
      <c r="AM356" s="105"/>
      <c r="AN356" s="105"/>
      <c r="AO356" s="105"/>
      <c r="AP356" s="105"/>
      <c r="AQ356" s="139"/>
      <c r="AR356" s="105"/>
      <c r="AS356" s="105"/>
      <c r="AT356" s="105"/>
      <c r="AU356" s="105"/>
      <c r="AV356" s="139"/>
      <c r="AW356" s="105"/>
      <c r="AX356" s="105"/>
      <c r="AY356" s="105"/>
      <c r="AZ356" s="105"/>
      <c r="BA356" s="139"/>
      <c r="BB356" s="105"/>
      <c r="BC356" s="105"/>
      <c r="BD356" s="105"/>
      <c r="BE356" s="105"/>
      <c r="BF356" s="139"/>
      <c r="BG356" s="105"/>
      <c r="BH356" s="105"/>
      <c r="BI356" s="105"/>
      <c r="BJ356" s="105"/>
      <c r="BK356" s="139"/>
      <c r="BL356" s="105"/>
      <c r="BM356" s="105"/>
      <c r="BN356" s="105"/>
      <c r="BO356" s="105"/>
      <c r="BP356" s="139"/>
      <c r="BQ356" s="105"/>
      <c r="BR356" s="105"/>
      <c r="BS356" s="105"/>
      <c r="BT356" s="105"/>
      <c r="BU356" s="139"/>
      <c r="BV356" s="105"/>
      <c r="BW356" s="105"/>
      <c r="BX356" s="105"/>
      <c r="BY356" s="105"/>
      <c r="BZ356" s="139"/>
      <c r="CA356" s="105"/>
      <c r="CB356" s="105"/>
      <c r="CC356" s="105"/>
      <c r="CD356" s="105"/>
      <c r="CE356" s="139"/>
      <c r="CF356" s="105"/>
      <c r="CG356" s="105"/>
      <c r="CH356" s="105"/>
      <c r="CI356" s="105"/>
      <c r="CJ356" s="139"/>
      <c r="CK356" s="105"/>
      <c r="CL356" s="105"/>
      <c r="CM356" s="105"/>
      <c r="CN356" s="105"/>
      <c r="CO356" s="139"/>
      <c r="CP356" s="105"/>
      <c r="CQ356" s="105"/>
      <c r="CR356" s="105"/>
      <c r="CS356" s="105"/>
      <c r="CT356" s="139"/>
      <c r="CU356" s="105"/>
      <c r="CV356" s="105"/>
      <c r="CW356" s="105"/>
      <c r="CX356" s="105"/>
      <c r="CY356" s="139"/>
      <c r="CZ356" s="105"/>
      <c r="DA356" s="105"/>
      <c r="DB356" s="105"/>
      <c r="DC356" s="105"/>
      <c r="DD356" s="139"/>
      <c r="DE356" s="105"/>
      <c r="DF356" s="105"/>
      <c r="DG356" s="105"/>
      <c r="DH356" s="105"/>
      <c r="DI356" s="139"/>
      <c r="DJ356" s="105"/>
      <c r="DK356" s="105"/>
      <c r="DL356" s="105"/>
      <c r="DM356" s="105"/>
      <c r="DN356" s="139"/>
      <c r="DO356" s="105"/>
      <c r="DP356" s="105"/>
      <c r="DQ356" s="105"/>
      <c r="DR356" s="105"/>
      <c r="DS356" s="139"/>
      <c r="DT356" s="105"/>
      <c r="DU356" s="105"/>
      <c r="DV356" s="105"/>
      <c r="DW356" s="105"/>
      <c r="DX356" s="139"/>
      <c r="DY356" s="105"/>
      <c r="DZ356" s="105"/>
      <c r="EA356" s="105"/>
      <c r="EB356" s="105"/>
      <c r="EC356" s="139"/>
      <c r="ED356" s="105"/>
      <c r="EE356" s="105"/>
      <c r="EF356" s="105"/>
      <c r="EG356" s="105"/>
      <c r="EH356" s="139"/>
      <c r="EI356" s="105"/>
      <c r="EJ356" s="105"/>
      <c r="EK356" s="105"/>
      <c r="EL356" s="105"/>
      <c r="EM356" s="139"/>
      <c r="EN356" s="105"/>
      <c r="EO356" s="105"/>
      <c r="EP356" s="105"/>
      <c r="EQ356" s="105"/>
      <c r="ER356" s="139"/>
      <c r="ES356" s="105"/>
      <c r="ET356" s="105"/>
      <c r="EU356" s="105"/>
      <c r="EV356" s="105"/>
      <c r="EW356" s="139"/>
      <c r="EX356" s="105"/>
      <c r="EY356" s="105"/>
      <c r="EZ356" s="105"/>
      <c r="FA356" s="105"/>
      <c r="FB356" s="139"/>
      <c r="FC356" s="105"/>
      <c r="FD356" s="105"/>
      <c r="FE356" s="105"/>
      <c r="FF356" s="105"/>
      <c r="FG356" s="139"/>
      <c r="FH356" s="105"/>
      <c r="FI356" s="105"/>
      <c r="FJ356" s="105"/>
      <c r="FK356" s="105"/>
      <c r="FL356" s="139"/>
      <c r="FM356" s="105"/>
      <c r="FN356" s="105"/>
      <c r="FO356" s="105"/>
      <c r="FP356" s="105"/>
      <c r="FQ356" s="139"/>
      <c r="FR356" s="105"/>
      <c r="FS356" s="105"/>
      <c r="FT356" s="105"/>
      <c r="FU356" s="105"/>
      <c r="FV356" s="139"/>
      <c r="FW356" s="105"/>
      <c r="FX356" s="105"/>
      <c r="FY356" s="105"/>
      <c r="FZ356" s="105"/>
      <c r="GA356" s="139"/>
      <c r="GB356" s="105"/>
      <c r="GC356" s="105"/>
      <c r="GD356" s="105"/>
      <c r="GE356" s="105"/>
    </row>
    <row r="359" spans="3:187" ht="12.75" customHeight="1">
      <c r="C359" s="183"/>
      <c r="D359" s="184"/>
      <c r="E359" s="184"/>
      <c r="F359" s="184"/>
      <c r="G359" s="184"/>
      <c r="H359" s="183"/>
      <c r="I359" s="184"/>
      <c r="J359" s="184"/>
      <c r="K359" s="184"/>
      <c r="L359" s="184"/>
      <c r="M359" s="183"/>
      <c r="N359" s="184"/>
      <c r="O359" s="184"/>
      <c r="P359" s="184"/>
      <c r="Q359" s="184"/>
      <c r="R359" s="183"/>
      <c r="S359" s="184"/>
      <c r="T359" s="184"/>
      <c r="U359" s="184"/>
      <c r="V359" s="184"/>
      <c r="W359" s="183"/>
      <c r="X359" s="184"/>
      <c r="Y359" s="184"/>
      <c r="Z359" s="184"/>
      <c r="AA359" s="184"/>
      <c r="AB359" s="183"/>
      <c r="AC359" s="184"/>
      <c r="AD359" s="184"/>
      <c r="AE359" s="184"/>
      <c r="AF359" s="184"/>
      <c r="AG359" s="183"/>
      <c r="AH359" s="184"/>
      <c r="AI359" s="184"/>
      <c r="AJ359" s="184"/>
      <c r="AK359" s="184"/>
      <c r="AL359" s="183"/>
      <c r="AM359" s="184"/>
      <c r="AN359" s="184"/>
      <c r="AO359" s="184"/>
      <c r="AP359" s="184"/>
      <c r="AQ359" s="183"/>
      <c r="AR359" s="184"/>
      <c r="AS359" s="184"/>
      <c r="AT359" s="184"/>
      <c r="AU359" s="184"/>
      <c r="AV359" s="183"/>
      <c r="AW359" s="184"/>
      <c r="AX359" s="184"/>
      <c r="AY359" s="184"/>
      <c r="AZ359" s="184"/>
      <c r="BA359" s="183"/>
      <c r="BB359" s="184"/>
      <c r="BC359" s="184"/>
      <c r="BD359" s="184"/>
      <c r="BE359" s="184"/>
      <c r="BF359" s="183"/>
      <c r="BG359" s="184"/>
      <c r="BH359" s="184"/>
      <c r="BI359" s="184"/>
      <c r="BJ359" s="184"/>
      <c r="BK359" s="183"/>
      <c r="BL359" s="184"/>
      <c r="BM359" s="184"/>
      <c r="BN359" s="184"/>
      <c r="BO359" s="184"/>
      <c r="BP359" s="183"/>
      <c r="BQ359" s="184"/>
      <c r="BR359" s="184"/>
      <c r="BS359" s="184"/>
      <c r="BT359" s="184"/>
      <c r="BU359" s="183"/>
      <c r="BV359" s="184"/>
      <c r="BW359" s="184"/>
      <c r="BX359" s="184"/>
      <c r="BY359" s="184"/>
      <c r="BZ359" s="183"/>
      <c r="CA359" s="184"/>
      <c r="CB359" s="184"/>
      <c r="CC359" s="184"/>
      <c r="CD359" s="184"/>
      <c r="CE359" s="183"/>
      <c r="CF359" s="184"/>
      <c r="CG359" s="184"/>
      <c r="CH359" s="184"/>
      <c r="CI359" s="184"/>
      <c r="CJ359" s="183"/>
      <c r="CK359" s="184"/>
      <c r="CL359" s="184"/>
      <c r="CM359" s="184"/>
      <c r="CN359" s="184"/>
      <c r="CO359" s="183"/>
      <c r="CP359" s="184"/>
      <c r="CQ359" s="184"/>
      <c r="CR359" s="184"/>
      <c r="CS359" s="184"/>
      <c r="CT359" s="183"/>
      <c r="CU359" s="184"/>
      <c r="CV359" s="184"/>
      <c r="CW359" s="184"/>
      <c r="CX359" s="184"/>
      <c r="CY359" s="183"/>
      <c r="CZ359" s="184"/>
      <c r="DA359" s="184"/>
      <c r="DB359" s="184"/>
      <c r="DC359" s="184"/>
      <c r="DD359" s="183"/>
      <c r="DE359" s="184"/>
      <c r="DF359" s="184"/>
      <c r="DG359" s="184"/>
      <c r="DH359" s="184"/>
      <c r="DI359" s="183"/>
      <c r="DJ359" s="184"/>
      <c r="DK359" s="184"/>
      <c r="DL359" s="184"/>
      <c r="DM359" s="184"/>
      <c r="DN359" s="183"/>
      <c r="DO359" s="184"/>
      <c r="DP359" s="184"/>
      <c r="DQ359" s="184"/>
      <c r="DR359" s="184"/>
      <c r="DS359" s="183"/>
      <c r="DT359" s="184"/>
      <c r="DU359" s="184"/>
      <c r="DV359" s="184"/>
      <c r="DW359" s="184"/>
      <c r="DX359" s="183"/>
      <c r="DY359" s="184"/>
      <c r="DZ359" s="184"/>
      <c r="EA359" s="184"/>
      <c r="EB359" s="184"/>
      <c r="EC359" s="183"/>
      <c r="ED359" s="184"/>
      <c r="EE359" s="184"/>
      <c r="EF359" s="184"/>
      <c r="EG359" s="184"/>
      <c r="EH359" s="183"/>
      <c r="EI359" s="184"/>
      <c r="EJ359" s="184"/>
      <c r="EK359" s="184"/>
      <c r="EL359" s="184"/>
      <c r="EM359" s="183"/>
      <c r="EN359" s="184"/>
      <c r="EO359" s="184"/>
      <c r="EP359" s="184"/>
      <c r="EQ359" s="184"/>
      <c r="ER359" s="183"/>
      <c r="ES359" s="184"/>
      <c r="ET359" s="184"/>
      <c r="EU359" s="184"/>
      <c r="EV359" s="184"/>
      <c r="EW359" s="183"/>
      <c r="EX359" s="184"/>
      <c r="EY359" s="184"/>
      <c r="EZ359" s="184"/>
      <c r="FA359" s="184"/>
      <c r="FB359" s="183"/>
      <c r="FC359" s="184"/>
      <c r="FD359" s="184"/>
      <c r="FE359" s="184"/>
      <c r="FF359" s="184"/>
      <c r="FG359" s="183"/>
      <c r="FH359" s="184"/>
      <c r="FI359" s="184"/>
      <c r="FJ359" s="184"/>
      <c r="FK359" s="184"/>
      <c r="FL359" s="183"/>
      <c r="FM359" s="184"/>
      <c r="FN359" s="184"/>
      <c r="FO359" s="184"/>
      <c r="FP359" s="184"/>
      <c r="FQ359" s="183"/>
      <c r="FR359" s="184"/>
      <c r="FS359" s="184"/>
      <c r="FT359" s="184"/>
      <c r="FU359" s="184"/>
      <c r="FV359" s="183"/>
      <c r="FW359" s="184"/>
      <c r="FX359" s="184"/>
      <c r="FY359" s="184"/>
      <c r="FZ359" s="184"/>
      <c r="GA359" s="183"/>
      <c r="GB359" s="184"/>
      <c r="GC359" s="184"/>
      <c r="GD359" s="184"/>
      <c r="GE359" s="184"/>
    </row>
    <row r="362" spans="3:187" ht="12.75" customHeight="1">
      <c r="C362" s="192"/>
      <c r="D362" s="193"/>
      <c r="E362" s="193"/>
      <c r="F362" s="193"/>
      <c r="G362" s="193"/>
      <c r="H362" s="192"/>
      <c r="I362" s="193"/>
      <c r="J362" s="193"/>
      <c r="K362" s="193"/>
      <c r="L362" s="193"/>
      <c r="M362" s="192"/>
      <c r="N362" s="193"/>
      <c r="O362" s="193"/>
      <c r="P362" s="193"/>
      <c r="Q362" s="193"/>
      <c r="R362" s="192"/>
      <c r="S362" s="193"/>
      <c r="T362" s="193"/>
      <c r="U362" s="193"/>
      <c r="V362" s="193"/>
      <c r="W362" s="192"/>
      <c r="X362" s="193"/>
      <c r="Y362" s="193"/>
      <c r="Z362" s="193"/>
      <c r="AA362" s="193"/>
      <c r="AB362" s="192"/>
      <c r="AC362" s="193"/>
      <c r="AD362" s="193"/>
      <c r="AE362" s="193"/>
      <c r="AF362" s="193"/>
      <c r="AG362" s="192"/>
      <c r="AH362" s="193"/>
      <c r="AI362" s="193"/>
      <c r="AJ362" s="193"/>
      <c r="AK362" s="193"/>
      <c r="AL362" s="192"/>
      <c r="AM362" s="193"/>
      <c r="AN362" s="193"/>
      <c r="AO362" s="193"/>
      <c r="AP362" s="193"/>
      <c r="AQ362" s="192"/>
      <c r="AR362" s="193"/>
      <c r="AS362" s="193"/>
      <c r="AT362" s="193"/>
      <c r="AU362" s="193"/>
      <c r="AV362" s="192"/>
      <c r="AW362" s="193"/>
      <c r="AX362" s="193"/>
      <c r="AY362" s="193"/>
      <c r="AZ362" s="193"/>
      <c r="BA362" s="192"/>
      <c r="BB362" s="193"/>
      <c r="BC362" s="193"/>
      <c r="BD362" s="193"/>
      <c r="BE362" s="193"/>
      <c r="BF362" s="192"/>
      <c r="BG362" s="193"/>
      <c r="BH362" s="193"/>
      <c r="BI362" s="193"/>
      <c r="BJ362" s="193"/>
      <c r="BK362" s="192"/>
      <c r="BL362" s="193"/>
      <c r="BM362" s="193"/>
      <c r="BN362" s="193"/>
      <c r="BO362" s="193"/>
      <c r="BP362" s="192"/>
      <c r="BQ362" s="193"/>
      <c r="BR362" s="193"/>
      <c r="BS362" s="193"/>
      <c r="BT362" s="193"/>
      <c r="BU362" s="192"/>
      <c r="BV362" s="193"/>
      <c r="BW362" s="193"/>
      <c r="BX362" s="193"/>
      <c r="BY362" s="193"/>
      <c r="BZ362" s="192"/>
      <c r="CA362" s="193"/>
      <c r="CB362" s="193"/>
      <c r="CC362" s="193"/>
      <c r="CD362" s="193"/>
      <c r="CE362" s="192"/>
      <c r="CF362" s="193"/>
      <c r="CG362" s="193"/>
      <c r="CH362" s="193"/>
      <c r="CI362" s="193"/>
      <c r="CJ362" s="192"/>
      <c r="CK362" s="193"/>
      <c r="CL362" s="193"/>
      <c r="CM362" s="193"/>
      <c r="CN362" s="193"/>
      <c r="CO362" s="192"/>
      <c r="CP362" s="193"/>
      <c r="CQ362" s="193"/>
      <c r="CR362" s="193"/>
      <c r="CS362" s="193"/>
      <c r="CT362" s="192"/>
      <c r="CU362" s="193"/>
      <c r="CV362" s="193"/>
      <c r="CW362" s="193"/>
      <c r="CX362" s="193"/>
      <c r="CY362" s="192"/>
      <c r="CZ362" s="193"/>
      <c r="DA362" s="193"/>
      <c r="DB362" s="193"/>
      <c r="DC362" s="193"/>
      <c r="DD362" s="192"/>
      <c r="DE362" s="193"/>
      <c r="DF362" s="193"/>
      <c r="DG362" s="193"/>
      <c r="DH362" s="193"/>
      <c r="DI362" s="192"/>
      <c r="DJ362" s="193"/>
      <c r="DK362" s="193"/>
      <c r="DL362" s="193"/>
      <c r="DM362" s="193"/>
      <c r="DN362" s="192"/>
      <c r="DO362" s="193"/>
      <c r="DP362" s="193"/>
      <c r="DQ362" s="193"/>
      <c r="DR362" s="193"/>
      <c r="DS362" s="192"/>
      <c r="DT362" s="193"/>
      <c r="DU362" s="193"/>
      <c r="DV362" s="193"/>
      <c r="DW362" s="193"/>
      <c r="DX362" s="192"/>
      <c r="DY362" s="193"/>
      <c r="DZ362" s="193"/>
      <c r="EA362" s="193"/>
      <c r="EB362" s="193"/>
      <c r="EC362" s="192"/>
      <c r="ED362" s="193"/>
      <c r="EE362" s="193"/>
      <c r="EF362" s="193"/>
      <c r="EG362" s="193"/>
      <c r="EH362" s="192"/>
      <c r="EI362" s="193"/>
      <c r="EJ362" s="193"/>
      <c r="EK362" s="193"/>
      <c r="EL362" s="193"/>
      <c r="EM362" s="192"/>
      <c r="EN362" s="193"/>
      <c r="EO362" s="193"/>
      <c r="EP362" s="193"/>
      <c r="EQ362" s="193"/>
      <c r="ER362" s="192"/>
      <c r="ES362" s="193"/>
      <c r="ET362" s="193"/>
      <c r="EU362" s="193"/>
      <c r="EV362" s="193"/>
      <c r="EW362" s="192"/>
      <c r="EX362" s="193"/>
      <c r="EY362" s="193"/>
      <c r="EZ362" s="193"/>
      <c r="FA362" s="193"/>
      <c r="FB362" s="192"/>
      <c r="FC362" s="193"/>
      <c r="FD362" s="193"/>
      <c r="FE362" s="193"/>
      <c r="FF362" s="193"/>
      <c r="FG362" s="192"/>
      <c r="FH362" s="193"/>
      <c r="FI362" s="193"/>
      <c r="FJ362" s="193"/>
      <c r="FK362" s="193"/>
      <c r="FL362" s="192"/>
      <c r="FM362" s="193"/>
      <c r="FN362" s="193"/>
      <c r="FO362" s="193"/>
      <c r="FP362" s="193"/>
      <c r="FQ362" s="192"/>
      <c r="FR362" s="193"/>
      <c r="FS362" s="193"/>
      <c r="FT362" s="193"/>
      <c r="FU362" s="193"/>
      <c r="FV362" s="192"/>
      <c r="FW362" s="193"/>
      <c r="FX362" s="193"/>
      <c r="FY362" s="193"/>
      <c r="FZ362" s="193"/>
      <c r="GA362" s="192"/>
      <c r="GB362" s="193"/>
      <c r="GC362" s="193"/>
      <c r="GD362" s="193"/>
      <c r="GE362" s="193"/>
    </row>
    <row r="363" spans="3:187" ht="12.75" customHeight="1">
      <c r="C363" s="181"/>
      <c r="D363" s="182"/>
      <c r="E363" s="182"/>
      <c r="F363" s="182"/>
      <c r="G363" s="182"/>
      <c r="H363" s="181"/>
      <c r="I363" s="182"/>
      <c r="J363" s="182"/>
      <c r="K363" s="182"/>
      <c r="L363" s="182"/>
      <c r="M363" s="181"/>
      <c r="N363" s="182"/>
      <c r="O363" s="182"/>
      <c r="P363" s="182"/>
      <c r="Q363" s="182"/>
      <c r="R363" s="181"/>
      <c r="S363" s="182"/>
      <c r="T363" s="182"/>
      <c r="U363" s="182"/>
      <c r="V363" s="182"/>
      <c r="W363" s="181"/>
      <c r="X363" s="182"/>
      <c r="Y363" s="182"/>
      <c r="Z363" s="182"/>
      <c r="AA363" s="182"/>
      <c r="AB363" s="181"/>
      <c r="AC363" s="182"/>
      <c r="AD363" s="182"/>
      <c r="AE363" s="182"/>
      <c r="AF363" s="182"/>
      <c r="AG363" s="181"/>
      <c r="AH363" s="182"/>
      <c r="AI363" s="182"/>
      <c r="AJ363" s="182"/>
      <c r="AK363" s="182"/>
      <c r="AL363" s="181"/>
      <c r="AM363" s="182"/>
      <c r="AN363" s="182"/>
      <c r="AO363" s="182"/>
      <c r="AP363" s="182"/>
      <c r="AQ363" s="181"/>
      <c r="AR363" s="182"/>
      <c r="AS363" s="182"/>
      <c r="AT363" s="182"/>
      <c r="AU363" s="182"/>
      <c r="AV363" s="181"/>
      <c r="AW363" s="182"/>
      <c r="AX363" s="182"/>
      <c r="AY363" s="182"/>
      <c r="AZ363" s="182"/>
      <c r="BA363" s="181"/>
      <c r="BB363" s="182"/>
      <c r="BC363" s="182"/>
      <c r="BD363" s="182"/>
      <c r="BE363" s="182"/>
      <c r="BF363" s="181"/>
      <c r="BG363" s="182"/>
      <c r="BH363" s="182"/>
      <c r="BI363" s="182"/>
      <c r="BJ363" s="182"/>
      <c r="BK363" s="181"/>
      <c r="BL363" s="182"/>
      <c r="BM363" s="182"/>
      <c r="BN363" s="182"/>
      <c r="BO363" s="182"/>
      <c r="BP363" s="181"/>
      <c r="BQ363" s="182"/>
      <c r="BR363" s="182"/>
      <c r="BS363" s="182"/>
      <c r="BT363" s="182"/>
      <c r="BU363" s="181"/>
      <c r="BV363" s="182"/>
      <c r="BW363" s="182"/>
      <c r="BX363" s="182"/>
      <c r="BY363" s="182"/>
      <c r="BZ363" s="181"/>
      <c r="CA363" s="182"/>
      <c r="CB363" s="182"/>
      <c r="CC363" s="182"/>
      <c r="CD363" s="182"/>
      <c r="CE363" s="181"/>
      <c r="CF363" s="182"/>
      <c r="CG363" s="182"/>
      <c r="CH363" s="182"/>
      <c r="CI363" s="182"/>
      <c r="CJ363" s="181"/>
      <c r="CK363" s="182"/>
      <c r="CL363" s="182"/>
      <c r="CM363" s="182"/>
      <c r="CN363" s="182"/>
      <c r="CO363" s="181"/>
      <c r="CP363" s="182"/>
      <c r="CQ363" s="182"/>
      <c r="CR363" s="182"/>
      <c r="CS363" s="182"/>
      <c r="CT363" s="181"/>
      <c r="CU363" s="182"/>
      <c r="CV363" s="182"/>
      <c r="CW363" s="182"/>
      <c r="CX363" s="182"/>
      <c r="CY363" s="181"/>
      <c r="CZ363" s="182"/>
      <c r="DA363" s="182"/>
      <c r="DB363" s="182"/>
      <c r="DC363" s="182"/>
      <c r="DD363" s="181"/>
      <c r="DE363" s="182"/>
      <c r="DF363" s="182"/>
      <c r="DG363" s="182"/>
      <c r="DH363" s="182"/>
      <c r="DI363" s="181"/>
      <c r="DJ363" s="182"/>
      <c r="DK363" s="182"/>
      <c r="DL363" s="182"/>
      <c r="DM363" s="182"/>
      <c r="DN363" s="181"/>
      <c r="DO363" s="182"/>
      <c r="DP363" s="182"/>
      <c r="DQ363" s="182"/>
      <c r="DR363" s="182"/>
      <c r="DS363" s="181"/>
      <c r="DT363" s="182"/>
      <c r="DU363" s="182"/>
      <c r="DV363" s="182"/>
      <c r="DW363" s="182"/>
      <c r="DX363" s="181"/>
      <c r="DY363" s="182"/>
      <c r="DZ363" s="182"/>
      <c r="EA363" s="182"/>
      <c r="EB363" s="182"/>
      <c r="EC363" s="181"/>
      <c r="ED363" s="182"/>
      <c r="EE363" s="182"/>
      <c r="EF363" s="182"/>
      <c r="EG363" s="182"/>
      <c r="EH363" s="181"/>
      <c r="EI363" s="182"/>
      <c r="EJ363" s="182"/>
      <c r="EK363" s="182"/>
      <c r="EL363" s="182"/>
      <c r="EM363" s="181"/>
      <c r="EN363" s="182"/>
      <c r="EO363" s="182"/>
      <c r="EP363" s="182"/>
      <c r="EQ363" s="182"/>
      <c r="ER363" s="181"/>
      <c r="ES363" s="182"/>
      <c r="ET363" s="182"/>
      <c r="EU363" s="182"/>
      <c r="EV363" s="182"/>
      <c r="EW363" s="181"/>
      <c r="EX363" s="182"/>
      <c r="EY363" s="182"/>
      <c r="EZ363" s="182"/>
      <c r="FA363" s="182"/>
      <c r="FB363" s="181"/>
      <c r="FC363" s="182"/>
      <c r="FD363" s="182"/>
      <c r="FE363" s="182"/>
      <c r="FF363" s="182"/>
      <c r="FG363" s="181"/>
      <c r="FH363" s="182"/>
      <c r="FI363" s="182"/>
      <c r="FJ363" s="182"/>
      <c r="FK363" s="182"/>
      <c r="FL363" s="181"/>
      <c r="FM363" s="182"/>
      <c r="FN363" s="182"/>
      <c r="FO363" s="182"/>
      <c r="FP363" s="182"/>
      <c r="FQ363" s="181"/>
      <c r="FR363" s="182"/>
      <c r="FS363" s="182"/>
      <c r="FT363" s="182"/>
      <c r="FU363" s="182"/>
      <c r="FV363" s="181"/>
      <c r="FW363" s="182"/>
      <c r="FX363" s="182"/>
      <c r="FY363" s="182"/>
      <c r="FZ363" s="182"/>
      <c r="GA363" s="181"/>
      <c r="GB363" s="182"/>
      <c r="GC363" s="182"/>
      <c r="GD363" s="182"/>
      <c r="GE363" s="182"/>
    </row>
    <row r="365" spans="3:187" ht="12.75" customHeight="1">
      <c r="C365" s="139"/>
      <c r="D365" s="105"/>
      <c r="E365" s="105"/>
      <c r="F365" s="105"/>
      <c r="G365" s="105"/>
      <c r="H365" s="139"/>
      <c r="I365" s="105"/>
      <c r="J365" s="105"/>
      <c r="K365" s="105"/>
      <c r="L365" s="105"/>
      <c r="M365" s="139"/>
      <c r="N365" s="105"/>
      <c r="O365" s="105"/>
      <c r="P365" s="105"/>
      <c r="Q365" s="105"/>
      <c r="R365" s="139"/>
      <c r="S365" s="105"/>
      <c r="T365" s="105"/>
      <c r="U365" s="105"/>
      <c r="V365" s="105"/>
      <c r="W365" s="139"/>
      <c r="X365" s="105"/>
      <c r="Y365" s="105"/>
      <c r="Z365" s="105"/>
      <c r="AA365" s="105"/>
      <c r="AB365" s="139"/>
      <c r="AC365" s="105"/>
      <c r="AD365" s="105"/>
      <c r="AE365" s="105"/>
      <c r="AF365" s="105"/>
      <c r="AG365" s="139"/>
      <c r="AH365" s="105"/>
      <c r="AI365" s="105"/>
      <c r="AJ365" s="105"/>
      <c r="AK365" s="105"/>
      <c r="AL365" s="139"/>
      <c r="AM365" s="105"/>
      <c r="AN365" s="105"/>
      <c r="AO365" s="105"/>
      <c r="AP365" s="105"/>
      <c r="AQ365" s="139"/>
      <c r="AR365" s="105"/>
      <c r="AS365" s="105"/>
      <c r="AT365" s="105"/>
      <c r="AU365" s="105"/>
      <c r="AV365" s="139"/>
      <c r="AW365" s="105"/>
      <c r="AX365" s="105"/>
      <c r="AY365" s="105"/>
      <c r="AZ365" s="105"/>
      <c r="BA365" s="139"/>
      <c r="BB365" s="105"/>
      <c r="BC365" s="105"/>
      <c r="BD365" s="105"/>
      <c r="BE365" s="105"/>
      <c r="BF365" s="139"/>
      <c r="BG365" s="105"/>
      <c r="BH365" s="105"/>
      <c r="BI365" s="105"/>
      <c r="BJ365" s="105"/>
      <c r="BK365" s="139"/>
      <c r="BL365" s="105"/>
      <c r="BM365" s="105"/>
      <c r="BN365" s="105"/>
      <c r="BO365" s="105"/>
      <c r="BP365" s="139"/>
      <c r="BQ365" s="105"/>
      <c r="BR365" s="105"/>
      <c r="BS365" s="105"/>
      <c r="BT365" s="105"/>
      <c r="BU365" s="139"/>
      <c r="BV365" s="105"/>
      <c r="BW365" s="105"/>
      <c r="BX365" s="105"/>
      <c r="BY365" s="105"/>
      <c r="BZ365" s="139"/>
      <c r="CA365" s="105"/>
      <c r="CB365" s="105"/>
      <c r="CC365" s="105"/>
      <c r="CD365" s="105"/>
      <c r="CE365" s="139"/>
      <c r="CF365" s="105"/>
      <c r="CG365" s="105"/>
      <c r="CH365" s="105"/>
      <c r="CI365" s="105"/>
      <c r="CJ365" s="139"/>
      <c r="CK365" s="105"/>
      <c r="CL365" s="105"/>
      <c r="CM365" s="105"/>
      <c r="CN365" s="105"/>
      <c r="CO365" s="139"/>
      <c r="CP365" s="105"/>
      <c r="CQ365" s="105"/>
      <c r="CR365" s="105"/>
      <c r="CS365" s="105"/>
      <c r="CT365" s="139"/>
      <c r="CU365" s="105"/>
      <c r="CV365" s="105"/>
      <c r="CW365" s="105"/>
      <c r="CX365" s="105"/>
      <c r="CY365" s="139"/>
      <c r="CZ365" s="105"/>
      <c r="DA365" s="105"/>
      <c r="DB365" s="105"/>
      <c r="DC365" s="105"/>
      <c r="DD365" s="139"/>
      <c r="DE365" s="105"/>
      <c r="DF365" s="105"/>
      <c r="DG365" s="105"/>
      <c r="DH365" s="105"/>
      <c r="DI365" s="139"/>
      <c r="DJ365" s="105"/>
      <c r="DK365" s="105"/>
      <c r="DL365" s="105"/>
      <c r="DM365" s="105"/>
      <c r="DN365" s="139"/>
      <c r="DO365" s="105"/>
      <c r="DP365" s="105"/>
      <c r="DQ365" s="105"/>
      <c r="DR365" s="105"/>
      <c r="DS365" s="139"/>
      <c r="DT365" s="105"/>
      <c r="DU365" s="105"/>
      <c r="DV365" s="105"/>
      <c r="DW365" s="105"/>
      <c r="DX365" s="139"/>
      <c r="DY365" s="105"/>
      <c r="DZ365" s="105"/>
      <c r="EA365" s="105"/>
      <c r="EB365" s="105"/>
      <c r="EC365" s="139"/>
      <c r="ED365" s="105"/>
      <c r="EE365" s="105"/>
      <c r="EF365" s="105"/>
      <c r="EG365" s="105"/>
      <c r="EH365" s="139"/>
      <c r="EI365" s="105"/>
      <c r="EJ365" s="105"/>
      <c r="EK365" s="105"/>
      <c r="EL365" s="105"/>
      <c r="EM365" s="139"/>
      <c r="EN365" s="105"/>
      <c r="EO365" s="105"/>
      <c r="EP365" s="105"/>
      <c r="EQ365" s="105"/>
      <c r="ER365" s="139"/>
      <c r="ES365" s="105"/>
      <c r="ET365" s="105"/>
      <c r="EU365" s="105"/>
      <c r="EV365" s="105"/>
      <c r="EW365" s="139"/>
      <c r="EX365" s="105"/>
      <c r="EY365" s="105"/>
      <c r="EZ365" s="105"/>
      <c r="FA365" s="105"/>
      <c r="FB365" s="139"/>
      <c r="FC365" s="105"/>
      <c r="FD365" s="105"/>
      <c r="FE365" s="105"/>
      <c r="FF365" s="105"/>
      <c r="FG365" s="139"/>
      <c r="FH365" s="105"/>
      <c r="FI365" s="105"/>
      <c r="FJ365" s="105"/>
      <c r="FK365" s="105"/>
      <c r="FL365" s="139"/>
      <c r="FM365" s="105"/>
      <c r="FN365" s="105"/>
      <c r="FO365" s="105"/>
      <c r="FP365" s="105"/>
      <c r="FQ365" s="139"/>
      <c r="FR365" s="105"/>
      <c r="FS365" s="105"/>
      <c r="FT365" s="105"/>
      <c r="FU365" s="105"/>
      <c r="FV365" s="139"/>
      <c r="FW365" s="105"/>
      <c r="FX365" s="105"/>
      <c r="FY365" s="105"/>
      <c r="FZ365" s="105"/>
      <c r="GA365" s="139"/>
      <c r="GB365" s="105"/>
      <c r="GC365" s="105"/>
      <c r="GD365" s="105"/>
      <c r="GE365" s="105"/>
    </row>
    <row r="368" spans="3:187" ht="12.75" customHeight="1">
      <c r="C368" s="139"/>
      <c r="D368" s="105"/>
      <c r="E368" s="105"/>
      <c r="F368" s="105"/>
      <c r="G368" s="105"/>
      <c r="H368" s="139"/>
      <c r="I368" s="105"/>
      <c r="J368" s="105"/>
      <c r="K368" s="105"/>
      <c r="L368" s="105"/>
      <c r="M368" s="139"/>
      <c r="N368" s="105"/>
      <c r="O368" s="105"/>
      <c r="P368" s="105"/>
      <c r="Q368" s="105"/>
      <c r="R368" s="139"/>
      <c r="S368" s="105"/>
      <c r="T368" s="105"/>
      <c r="U368" s="105"/>
      <c r="V368" s="105"/>
      <c r="W368" s="139"/>
      <c r="X368" s="105"/>
      <c r="Y368" s="105"/>
      <c r="Z368" s="105"/>
      <c r="AA368" s="105"/>
      <c r="AB368" s="139"/>
      <c r="AC368" s="105"/>
      <c r="AD368" s="105"/>
      <c r="AE368" s="105"/>
      <c r="AF368" s="105"/>
      <c r="AG368" s="139"/>
      <c r="AH368" s="105"/>
      <c r="AI368" s="105"/>
      <c r="AJ368" s="105"/>
      <c r="AK368" s="105"/>
      <c r="AL368" s="139"/>
      <c r="AM368" s="105"/>
      <c r="AN368" s="105"/>
      <c r="AO368" s="105"/>
      <c r="AP368" s="105"/>
      <c r="AQ368" s="139"/>
      <c r="AR368" s="105"/>
      <c r="AS368" s="105"/>
      <c r="AT368" s="105"/>
      <c r="AU368" s="105"/>
      <c r="AV368" s="139"/>
      <c r="AW368" s="105"/>
      <c r="AX368" s="105"/>
      <c r="AY368" s="105"/>
      <c r="AZ368" s="105"/>
      <c r="BA368" s="139"/>
      <c r="BB368" s="105"/>
      <c r="BC368" s="105"/>
      <c r="BD368" s="105"/>
      <c r="BE368" s="105"/>
      <c r="BF368" s="139"/>
      <c r="BG368" s="105"/>
      <c r="BH368" s="105"/>
      <c r="BI368" s="105"/>
      <c r="BJ368" s="105"/>
      <c r="BK368" s="139"/>
      <c r="BL368" s="105"/>
      <c r="BM368" s="105"/>
      <c r="BN368" s="105"/>
      <c r="BO368" s="105"/>
      <c r="BP368" s="139"/>
      <c r="BQ368" s="105"/>
      <c r="BR368" s="105"/>
      <c r="BS368" s="105"/>
      <c r="BT368" s="105"/>
      <c r="BU368" s="139"/>
      <c r="BV368" s="105"/>
      <c r="BW368" s="105"/>
      <c r="BX368" s="105"/>
      <c r="BY368" s="105"/>
      <c r="BZ368" s="139"/>
      <c r="CA368" s="105"/>
      <c r="CB368" s="105"/>
      <c r="CC368" s="105"/>
      <c r="CD368" s="105"/>
      <c r="CE368" s="139"/>
      <c r="CF368" s="105"/>
      <c r="CG368" s="105"/>
      <c r="CH368" s="105"/>
      <c r="CI368" s="105"/>
      <c r="CJ368" s="139"/>
      <c r="CK368" s="105"/>
      <c r="CL368" s="105"/>
      <c r="CM368" s="105"/>
      <c r="CN368" s="105"/>
      <c r="CO368" s="139"/>
      <c r="CP368" s="105"/>
      <c r="CQ368" s="105"/>
      <c r="CR368" s="105"/>
      <c r="CS368" s="105"/>
      <c r="CT368" s="139"/>
      <c r="CU368" s="105"/>
      <c r="CV368" s="105"/>
      <c r="CW368" s="105"/>
      <c r="CX368" s="105"/>
      <c r="CY368" s="139"/>
      <c r="CZ368" s="105"/>
      <c r="DA368" s="105"/>
      <c r="DB368" s="105"/>
      <c r="DC368" s="105"/>
      <c r="DD368" s="139"/>
      <c r="DE368" s="105"/>
      <c r="DF368" s="105"/>
      <c r="DG368" s="105"/>
      <c r="DH368" s="105"/>
      <c r="DI368" s="139"/>
      <c r="DJ368" s="105"/>
      <c r="DK368" s="105"/>
      <c r="DL368" s="105"/>
      <c r="DM368" s="105"/>
      <c r="DN368" s="139"/>
      <c r="DO368" s="105"/>
      <c r="DP368" s="105"/>
      <c r="DQ368" s="105"/>
      <c r="DR368" s="105"/>
      <c r="DS368" s="139"/>
      <c r="DT368" s="105"/>
      <c r="DU368" s="105"/>
      <c r="DV368" s="105"/>
      <c r="DW368" s="105"/>
      <c r="DX368" s="139"/>
      <c r="DY368" s="105"/>
      <c r="DZ368" s="105"/>
      <c r="EA368" s="105"/>
      <c r="EB368" s="105"/>
      <c r="EC368" s="139"/>
      <c r="ED368" s="105"/>
      <c r="EE368" s="105"/>
      <c r="EF368" s="105"/>
      <c r="EG368" s="105"/>
      <c r="EH368" s="139"/>
      <c r="EI368" s="105"/>
      <c r="EJ368" s="105"/>
      <c r="EK368" s="105"/>
      <c r="EL368" s="105"/>
      <c r="EM368" s="139"/>
      <c r="EN368" s="105"/>
      <c r="EO368" s="105"/>
      <c r="EP368" s="105"/>
      <c r="EQ368" s="105"/>
      <c r="ER368" s="139"/>
      <c r="ES368" s="105"/>
      <c r="ET368" s="105"/>
      <c r="EU368" s="105"/>
      <c r="EV368" s="105"/>
      <c r="EW368" s="139"/>
      <c r="EX368" s="105"/>
      <c r="EY368" s="105"/>
      <c r="EZ368" s="105"/>
      <c r="FA368" s="105"/>
      <c r="FB368" s="139"/>
      <c r="FC368" s="105"/>
      <c r="FD368" s="105"/>
      <c r="FE368" s="105"/>
      <c r="FF368" s="105"/>
      <c r="FG368" s="139"/>
      <c r="FH368" s="105"/>
      <c r="FI368" s="105"/>
      <c r="FJ368" s="105"/>
      <c r="FK368" s="105"/>
      <c r="FL368" s="139"/>
      <c r="FM368" s="105"/>
      <c r="FN368" s="105"/>
      <c r="FO368" s="105"/>
      <c r="FP368" s="105"/>
      <c r="FQ368" s="139"/>
      <c r="FR368" s="105"/>
      <c r="FS368" s="105"/>
      <c r="FT368" s="105"/>
      <c r="FU368" s="105"/>
      <c r="FV368" s="139"/>
      <c r="FW368" s="105"/>
      <c r="FX368" s="105"/>
      <c r="FY368" s="105"/>
      <c r="FZ368" s="105"/>
      <c r="GA368" s="139"/>
      <c r="GB368" s="105"/>
      <c r="GC368" s="105"/>
      <c r="GD368" s="105"/>
      <c r="GE368" s="105"/>
    </row>
    <row r="370" spans="3:187" ht="12.75" customHeight="1">
      <c r="C370" s="187"/>
      <c r="D370" s="180"/>
      <c r="E370" s="180"/>
      <c r="F370" s="180"/>
      <c r="G370" s="180"/>
      <c r="H370" s="187"/>
      <c r="I370" s="180"/>
      <c r="J370" s="180"/>
      <c r="K370" s="180"/>
      <c r="L370" s="180"/>
      <c r="M370" s="187"/>
      <c r="N370" s="180"/>
      <c r="O370" s="180"/>
      <c r="P370" s="180"/>
      <c r="Q370" s="180"/>
      <c r="R370" s="187"/>
      <c r="S370" s="180"/>
      <c r="T370" s="180"/>
      <c r="U370" s="180"/>
      <c r="V370" s="180"/>
      <c r="W370" s="187"/>
      <c r="X370" s="180"/>
      <c r="Y370" s="180"/>
      <c r="Z370" s="180"/>
      <c r="AA370" s="180"/>
      <c r="AB370" s="187"/>
      <c r="AC370" s="180"/>
      <c r="AD370" s="180"/>
      <c r="AE370" s="180"/>
      <c r="AF370" s="180"/>
      <c r="AG370" s="187"/>
      <c r="AH370" s="180"/>
      <c r="AI370" s="180"/>
      <c r="AJ370" s="180"/>
      <c r="AK370" s="180"/>
      <c r="AL370" s="187"/>
      <c r="AM370" s="180"/>
      <c r="AN370" s="180"/>
      <c r="AO370" s="180"/>
      <c r="AP370" s="180"/>
      <c r="AQ370" s="187"/>
      <c r="AR370" s="180"/>
      <c r="AS370" s="180"/>
      <c r="AT370" s="180"/>
      <c r="AU370" s="180"/>
      <c r="AV370" s="187"/>
      <c r="AW370" s="180"/>
      <c r="AX370" s="180"/>
      <c r="AY370" s="180"/>
      <c r="AZ370" s="180"/>
      <c r="BA370" s="187"/>
      <c r="BB370" s="180"/>
      <c r="BC370" s="180"/>
      <c r="BD370" s="180"/>
      <c r="BE370" s="180"/>
      <c r="BF370" s="187"/>
      <c r="BG370" s="180"/>
      <c r="BH370" s="180"/>
      <c r="BI370" s="180"/>
      <c r="BJ370" s="180"/>
      <c r="BK370" s="187"/>
      <c r="BL370" s="180"/>
      <c r="BM370" s="180"/>
      <c r="BN370" s="180"/>
      <c r="BO370" s="180"/>
      <c r="BP370" s="187"/>
      <c r="BQ370" s="180"/>
      <c r="BR370" s="180"/>
      <c r="BS370" s="180"/>
      <c r="BT370" s="180"/>
      <c r="BU370" s="187"/>
      <c r="BV370" s="180"/>
      <c r="BW370" s="180"/>
      <c r="BX370" s="180"/>
      <c r="BY370" s="180"/>
      <c r="BZ370" s="187"/>
      <c r="CA370" s="180"/>
      <c r="CB370" s="180"/>
      <c r="CC370" s="180"/>
      <c r="CD370" s="180"/>
      <c r="CE370" s="187"/>
      <c r="CF370" s="180"/>
      <c r="CG370" s="180"/>
      <c r="CH370" s="180"/>
      <c r="CI370" s="180"/>
      <c r="CJ370" s="187"/>
      <c r="CK370" s="180"/>
      <c r="CL370" s="180"/>
      <c r="CM370" s="180"/>
      <c r="CN370" s="180"/>
      <c r="CO370" s="187"/>
      <c r="CP370" s="180"/>
      <c r="CQ370" s="180"/>
      <c r="CR370" s="180"/>
      <c r="CS370" s="180"/>
      <c r="CT370" s="187"/>
      <c r="CU370" s="180"/>
      <c r="CV370" s="180"/>
      <c r="CW370" s="180"/>
      <c r="CX370" s="180"/>
      <c r="CY370" s="187"/>
      <c r="CZ370" s="180"/>
      <c r="DA370" s="180"/>
      <c r="DB370" s="180"/>
      <c r="DC370" s="180"/>
      <c r="DD370" s="187"/>
      <c r="DE370" s="180"/>
      <c r="DF370" s="180"/>
      <c r="DG370" s="180"/>
      <c r="DH370" s="180"/>
      <c r="DI370" s="187"/>
      <c r="DJ370" s="180"/>
      <c r="DK370" s="180"/>
      <c r="DL370" s="180"/>
      <c r="DM370" s="180"/>
      <c r="DN370" s="187"/>
      <c r="DO370" s="180"/>
      <c r="DP370" s="180"/>
      <c r="DQ370" s="180"/>
      <c r="DR370" s="180"/>
      <c r="DS370" s="187"/>
      <c r="DT370" s="180"/>
      <c r="DU370" s="180"/>
      <c r="DV370" s="180"/>
      <c r="DW370" s="180"/>
      <c r="DX370" s="187"/>
      <c r="DY370" s="180"/>
      <c r="DZ370" s="180"/>
      <c r="EA370" s="180"/>
      <c r="EB370" s="180"/>
      <c r="EC370" s="187"/>
      <c r="ED370" s="180"/>
      <c r="EE370" s="180"/>
      <c r="EF370" s="180"/>
      <c r="EG370" s="180"/>
      <c r="EH370" s="187"/>
      <c r="EI370" s="180"/>
      <c r="EJ370" s="180"/>
      <c r="EK370" s="180"/>
      <c r="EL370" s="180"/>
      <c r="EM370" s="187"/>
      <c r="EN370" s="180"/>
      <c r="EO370" s="180"/>
      <c r="EP370" s="180"/>
      <c r="EQ370" s="180"/>
      <c r="ER370" s="187"/>
      <c r="ES370" s="180"/>
      <c r="ET370" s="180"/>
      <c r="EU370" s="180"/>
      <c r="EV370" s="180"/>
      <c r="EW370" s="187"/>
      <c r="EX370" s="180"/>
      <c r="EY370" s="180"/>
      <c r="EZ370" s="180"/>
      <c r="FA370" s="180"/>
      <c r="FB370" s="187"/>
      <c r="FC370" s="180"/>
      <c r="FD370" s="180"/>
      <c r="FE370" s="180"/>
      <c r="FF370" s="180"/>
      <c r="FG370" s="187"/>
      <c r="FH370" s="180"/>
      <c r="FI370" s="180"/>
      <c r="FJ370" s="180"/>
      <c r="FK370" s="180"/>
      <c r="FL370" s="187"/>
      <c r="FM370" s="180"/>
      <c r="FN370" s="180"/>
      <c r="FO370" s="180"/>
      <c r="FP370" s="180"/>
      <c r="FQ370" s="187"/>
      <c r="FR370" s="180"/>
      <c r="FS370" s="180"/>
      <c r="FT370" s="180"/>
      <c r="FU370" s="180"/>
      <c r="FV370" s="187"/>
      <c r="FW370" s="180"/>
      <c r="FX370" s="180"/>
      <c r="FY370" s="180"/>
      <c r="FZ370" s="180"/>
      <c r="GA370" s="187"/>
      <c r="GB370" s="180"/>
      <c r="GC370" s="180"/>
      <c r="GD370" s="180"/>
      <c r="GE370" s="180"/>
    </row>
    <row r="371" spans="3:187" ht="12.75" customHeight="1">
      <c r="C371" s="181"/>
      <c r="D371" s="182"/>
      <c r="E371" s="182"/>
      <c r="F371" s="182"/>
      <c r="G371" s="182"/>
      <c r="H371" s="181"/>
      <c r="I371" s="182"/>
      <c r="J371" s="182"/>
      <c r="K371" s="182"/>
      <c r="L371" s="182"/>
      <c r="M371" s="181"/>
      <c r="N371" s="182"/>
      <c r="O371" s="182"/>
      <c r="P371" s="182"/>
      <c r="Q371" s="182"/>
      <c r="R371" s="181"/>
      <c r="S371" s="182"/>
      <c r="T371" s="182"/>
      <c r="U371" s="182"/>
      <c r="V371" s="182"/>
      <c r="W371" s="181"/>
      <c r="X371" s="182"/>
      <c r="Y371" s="182"/>
      <c r="Z371" s="182"/>
      <c r="AA371" s="182"/>
      <c r="AB371" s="181"/>
      <c r="AC371" s="182"/>
      <c r="AD371" s="182"/>
      <c r="AE371" s="182"/>
      <c r="AF371" s="182"/>
      <c r="AG371" s="181"/>
      <c r="AH371" s="182"/>
      <c r="AI371" s="182"/>
      <c r="AJ371" s="182"/>
      <c r="AK371" s="182"/>
      <c r="AL371" s="181"/>
      <c r="AM371" s="182"/>
      <c r="AN371" s="182"/>
      <c r="AO371" s="182"/>
      <c r="AP371" s="182"/>
      <c r="AQ371" s="181"/>
      <c r="AR371" s="182"/>
      <c r="AS371" s="182"/>
      <c r="AT371" s="182"/>
      <c r="AU371" s="182"/>
      <c r="AV371" s="181"/>
      <c r="AW371" s="182"/>
      <c r="AX371" s="182"/>
      <c r="AY371" s="182"/>
      <c r="AZ371" s="182"/>
      <c r="BA371" s="181"/>
      <c r="BB371" s="182"/>
      <c r="BC371" s="182"/>
      <c r="BD371" s="182"/>
      <c r="BE371" s="182"/>
      <c r="BF371" s="181"/>
      <c r="BG371" s="182"/>
      <c r="BH371" s="182"/>
      <c r="BI371" s="182"/>
      <c r="BJ371" s="182"/>
      <c r="BK371" s="181"/>
      <c r="BL371" s="182"/>
      <c r="BM371" s="182"/>
      <c r="BN371" s="182"/>
      <c r="BO371" s="182"/>
      <c r="BP371" s="181"/>
      <c r="BQ371" s="182"/>
      <c r="BR371" s="182"/>
      <c r="BS371" s="182"/>
      <c r="BT371" s="182"/>
      <c r="BU371" s="181"/>
      <c r="BV371" s="182"/>
      <c r="BW371" s="182"/>
      <c r="BX371" s="182"/>
      <c r="BY371" s="182"/>
      <c r="BZ371" s="181"/>
      <c r="CA371" s="182"/>
      <c r="CB371" s="182"/>
      <c r="CC371" s="182"/>
      <c r="CD371" s="182"/>
      <c r="CE371" s="181"/>
      <c r="CF371" s="182"/>
      <c r="CG371" s="182"/>
      <c r="CH371" s="182"/>
      <c r="CI371" s="182"/>
      <c r="CJ371" s="181"/>
      <c r="CK371" s="182"/>
      <c r="CL371" s="182"/>
      <c r="CM371" s="182"/>
      <c r="CN371" s="182"/>
      <c r="CO371" s="181"/>
      <c r="CP371" s="182"/>
      <c r="CQ371" s="182"/>
      <c r="CR371" s="182"/>
      <c r="CS371" s="182"/>
      <c r="CT371" s="181"/>
      <c r="CU371" s="182"/>
      <c r="CV371" s="182"/>
      <c r="CW371" s="182"/>
      <c r="CX371" s="182"/>
      <c r="CY371" s="181"/>
      <c r="CZ371" s="182"/>
      <c r="DA371" s="182"/>
      <c r="DB371" s="182"/>
      <c r="DC371" s="182"/>
      <c r="DD371" s="181"/>
      <c r="DE371" s="182"/>
      <c r="DF371" s="182"/>
      <c r="DG371" s="182"/>
      <c r="DH371" s="182"/>
      <c r="DI371" s="181"/>
      <c r="DJ371" s="182"/>
      <c r="DK371" s="182"/>
      <c r="DL371" s="182"/>
      <c r="DM371" s="182"/>
      <c r="DN371" s="181"/>
      <c r="DO371" s="182"/>
      <c r="DP371" s="182"/>
      <c r="DQ371" s="182"/>
      <c r="DR371" s="182"/>
      <c r="DS371" s="181"/>
      <c r="DT371" s="182"/>
      <c r="DU371" s="182"/>
      <c r="DV371" s="182"/>
      <c r="DW371" s="182"/>
      <c r="DX371" s="181"/>
      <c r="DY371" s="182"/>
      <c r="DZ371" s="182"/>
      <c r="EA371" s="182"/>
      <c r="EB371" s="182"/>
      <c r="EC371" s="181"/>
      <c r="ED371" s="182"/>
      <c r="EE371" s="182"/>
      <c r="EF371" s="182"/>
      <c r="EG371" s="182"/>
      <c r="EH371" s="181"/>
      <c r="EI371" s="182"/>
      <c r="EJ371" s="182"/>
      <c r="EK371" s="182"/>
      <c r="EL371" s="182"/>
      <c r="EM371" s="181"/>
      <c r="EN371" s="182"/>
      <c r="EO371" s="182"/>
      <c r="EP371" s="182"/>
      <c r="EQ371" s="182"/>
      <c r="ER371" s="181"/>
      <c r="ES371" s="182"/>
      <c r="ET371" s="182"/>
      <c r="EU371" s="182"/>
      <c r="EV371" s="182"/>
      <c r="EW371" s="181"/>
      <c r="EX371" s="182"/>
      <c r="EY371" s="182"/>
      <c r="EZ371" s="182"/>
      <c r="FA371" s="182"/>
      <c r="FB371" s="181"/>
      <c r="FC371" s="182"/>
      <c r="FD371" s="182"/>
      <c r="FE371" s="182"/>
      <c r="FF371" s="182"/>
      <c r="FG371" s="181"/>
      <c r="FH371" s="182"/>
      <c r="FI371" s="182"/>
      <c r="FJ371" s="182"/>
      <c r="FK371" s="182"/>
      <c r="FL371" s="181"/>
      <c r="FM371" s="182"/>
      <c r="FN371" s="182"/>
      <c r="FO371" s="182"/>
      <c r="FP371" s="182"/>
      <c r="FQ371" s="181"/>
      <c r="FR371" s="182"/>
      <c r="FS371" s="182"/>
      <c r="FT371" s="182"/>
      <c r="FU371" s="182"/>
      <c r="FV371" s="181"/>
      <c r="FW371" s="182"/>
      <c r="FX371" s="182"/>
      <c r="FY371" s="182"/>
      <c r="FZ371" s="182"/>
      <c r="GA371" s="181"/>
      <c r="GB371" s="182"/>
      <c r="GC371" s="182"/>
      <c r="GD371" s="182"/>
      <c r="GE371" s="182"/>
    </row>
    <row r="373" spans="3:187" ht="12.75" customHeight="1">
      <c r="C373" s="139"/>
      <c r="D373" s="105"/>
      <c r="E373" s="105"/>
      <c r="F373" s="105"/>
      <c r="G373" s="105"/>
      <c r="H373" s="139"/>
      <c r="I373" s="105"/>
      <c r="J373" s="105"/>
      <c r="K373" s="105"/>
      <c r="L373" s="105"/>
      <c r="M373" s="139"/>
      <c r="N373" s="105"/>
      <c r="O373" s="105"/>
      <c r="P373" s="105"/>
      <c r="Q373" s="105"/>
      <c r="R373" s="139"/>
      <c r="S373" s="105"/>
      <c r="T373" s="105"/>
      <c r="U373" s="105"/>
      <c r="V373" s="105"/>
      <c r="W373" s="139"/>
      <c r="X373" s="105"/>
      <c r="Y373" s="105"/>
      <c r="Z373" s="105"/>
      <c r="AA373" s="105"/>
      <c r="AB373" s="139"/>
      <c r="AC373" s="105"/>
      <c r="AD373" s="105"/>
      <c r="AE373" s="105"/>
      <c r="AF373" s="105"/>
      <c r="AG373" s="139"/>
      <c r="AH373" s="105"/>
      <c r="AI373" s="105"/>
      <c r="AJ373" s="105"/>
      <c r="AK373" s="105"/>
      <c r="AL373" s="139"/>
      <c r="AM373" s="105"/>
      <c r="AN373" s="105"/>
      <c r="AO373" s="105"/>
      <c r="AP373" s="105"/>
      <c r="AQ373" s="139"/>
      <c r="AR373" s="105"/>
      <c r="AS373" s="105"/>
      <c r="AT373" s="105"/>
      <c r="AU373" s="105"/>
      <c r="AV373" s="139"/>
      <c r="AW373" s="105"/>
      <c r="AX373" s="105"/>
      <c r="AY373" s="105"/>
      <c r="AZ373" s="105"/>
      <c r="BA373" s="139"/>
      <c r="BB373" s="105"/>
      <c r="BC373" s="105"/>
      <c r="BD373" s="105"/>
      <c r="BE373" s="105"/>
      <c r="BF373" s="139"/>
      <c r="BG373" s="105"/>
      <c r="BH373" s="105"/>
      <c r="BI373" s="105"/>
      <c r="BJ373" s="105"/>
      <c r="BK373" s="139"/>
      <c r="BL373" s="105"/>
      <c r="BM373" s="105"/>
      <c r="BN373" s="105"/>
      <c r="BO373" s="105"/>
      <c r="BP373" s="139"/>
      <c r="BQ373" s="105"/>
      <c r="BR373" s="105"/>
      <c r="BS373" s="105"/>
      <c r="BT373" s="105"/>
      <c r="BU373" s="139"/>
      <c r="BV373" s="105"/>
      <c r="BW373" s="105"/>
      <c r="BX373" s="105"/>
      <c r="BY373" s="105"/>
      <c r="BZ373" s="139"/>
      <c r="CA373" s="105"/>
      <c r="CB373" s="105"/>
      <c r="CC373" s="105"/>
      <c r="CD373" s="105"/>
      <c r="CE373" s="139"/>
      <c r="CF373" s="105"/>
      <c r="CG373" s="105"/>
      <c r="CH373" s="105"/>
      <c r="CI373" s="105"/>
      <c r="CJ373" s="139"/>
      <c r="CK373" s="105"/>
      <c r="CL373" s="105"/>
      <c r="CM373" s="105"/>
      <c r="CN373" s="105"/>
      <c r="CO373" s="139"/>
      <c r="CP373" s="105"/>
      <c r="CQ373" s="105"/>
      <c r="CR373" s="105"/>
      <c r="CS373" s="105"/>
      <c r="CT373" s="139"/>
      <c r="CU373" s="105"/>
      <c r="CV373" s="105"/>
      <c r="CW373" s="105"/>
      <c r="CX373" s="105"/>
      <c r="CY373" s="139"/>
      <c r="CZ373" s="105"/>
      <c r="DA373" s="105"/>
      <c r="DB373" s="105"/>
      <c r="DC373" s="105"/>
      <c r="DD373" s="139"/>
      <c r="DE373" s="105"/>
      <c r="DF373" s="105"/>
      <c r="DG373" s="105"/>
      <c r="DH373" s="105"/>
      <c r="DI373" s="139"/>
      <c r="DJ373" s="105"/>
      <c r="DK373" s="105"/>
      <c r="DL373" s="105"/>
      <c r="DM373" s="105"/>
      <c r="DN373" s="139"/>
      <c r="DO373" s="105"/>
      <c r="DP373" s="105"/>
      <c r="DQ373" s="105"/>
      <c r="DR373" s="105"/>
      <c r="DS373" s="139"/>
      <c r="DT373" s="105"/>
      <c r="DU373" s="105"/>
      <c r="DV373" s="105"/>
      <c r="DW373" s="105"/>
      <c r="DX373" s="139"/>
      <c r="DY373" s="105"/>
      <c r="DZ373" s="105"/>
      <c r="EA373" s="105"/>
      <c r="EB373" s="105"/>
      <c r="EC373" s="139"/>
      <c r="ED373" s="105"/>
      <c r="EE373" s="105"/>
      <c r="EF373" s="105"/>
      <c r="EG373" s="105"/>
      <c r="EH373" s="139"/>
      <c r="EI373" s="105"/>
      <c r="EJ373" s="105"/>
      <c r="EK373" s="105"/>
      <c r="EL373" s="105"/>
      <c r="EM373" s="139"/>
      <c r="EN373" s="105"/>
      <c r="EO373" s="105"/>
      <c r="EP373" s="105"/>
      <c r="EQ373" s="105"/>
      <c r="ER373" s="139"/>
      <c r="ES373" s="105"/>
      <c r="ET373" s="105"/>
      <c r="EU373" s="105"/>
      <c r="EV373" s="105"/>
      <c r="EW373" s="139"/>
      <c r="EX373" s="105"/>
      <c r="EY373" s="105"/>
      <c r="EZ373" s="105"/>
      <c r="FA373" s="105"/>
      <c r="FB373" s="139"/>
      <c r="FC373" s="105"/>
      <c r="FD373" s="105"/>
      <c r="FE373" s="105"/>
      <c r="FF373" s="105"/>
      <c r="FG373" s="139"/>
      <c r="FH373" s="105"/>
      <c r="FI373" s="105"/>
      <c r="FJ373" s="105"/>
      <c r="FK373" s="105"/>
      <c r="FL373" s="139"/>
      <c r="FM373" s="105"/>
      <c r="FN373" s="105"/>
      <c r="FO373" s="105"/>
      <c r="FP373" s="105"/>
      <c r="FQ373" s="139"/>
      <c r="FR373" s="105"/>
      <c r="FS373" s="105"/>
      <c r="FT373" s="105"/>
      <c r="FU373" s="105"/>
      <c r="FV373" s="139"/>
      <c r="FW373" s="105"/>
      <c r="FX373" s="105"/>
      <c r="FY373" s="105"/>
      <c r="FZ373" s="105"/>
      <c r="GA373" s="139"/>
      <c r="GB373" s="105"/>
      <c r="GC373" s="105"/>
      <c r="GD373" s="105"/>
      <c r="GE373" s="105"/>
    </row>
    <row r="375" spans="3:187" ht="12.75" customHeight="1">
      <c r="C375" s="176"/>
      <c r="D375" s="177"/>
      <c r="E375" s="177"/>
      <c r="F375" s="177"/>
      <c r="G375" s="177"/>
      <c r="H375" s="176"/>
      <c r="I375" s="177"/>
      <c r="J375" s="177"/>
      <c r="K375" s="177"/>
      <c r="L375" s="177"/>
      <c r="M375" s="176"/>
      <c r="N375" s="177"/>
      <c r="O375" s="177"/>
      <c r="P375" s="177"/>
      <c r="Q375" s="177"/>
      <c r="R375" s="176"/>
      <c r="S375" s="177"/>
      <c r="T375" s="177"/>
      <c r="U375" s="177"/>
      <c r="V375" s="177"/>
      <c r="W375" s="176"/>
      <c r="X375" s="177"/>
      <c r="Y375" s="177"/>
      <c r="Z375" s="177"/>
      <c r="AA375" s="177"/>
      <c r="AB375" s="176"/>
      <c r="AC375" s="177"/>
      <c r="AD375" s="177"/>
      <c r="AE375" s="177"/>
      <c r="AF375" s="177"/>
      <c r="AG375" s="176"/>
      <c r="AH375" s="177"/>
      <c r="AI375" s="177"/>
      <c r="AJ375" s="177"/>
      <c r="AK375" s="177"/>
      <c r="AL375" s="176"/>
      <c r="AM375" s="177"/>
      <c r="AN375" s="177"/>
      <c r="AO375" s="177"/>
      <c r="AP375" s="177"/>
      <c r="AQ375" s="176"/>
      <c r="AR375" s="177"/>
      <c r="AS375" s="177"/>
      <c r="AT375" s="177"/>
      <c r="AU375" s="177"/>
      <c r="AV375" s="176"/>
      <c r="AW375" s="177"/>
      <c r="AX375" s="177"/>
      <c r="AY375" s="177"/>
      <c r="AZ375" s="177"/>
      <c r="BA375" s="176"/>
      <c r="BB375" s="177"/>
      <c r="BC375" s="177"/>
      <c r="BD375" s="177"/>
      <c r="BE375" s="177"/>
      <c r="BF375" s="176"/>
      <c r="BG375" s="177"/>
      <c r="BH375" s="177"/>
      <c r="BI375" s="177"/>
      <c r="BJ375" s="177"/>
      <c r="BK375" s="176"/>
      <c r="BL375" s="177"/>
      <c r="BM375" s="177"/>
      <c r="BN375" s="177"/>
      <c r="BO375" s="177"/>
      <c r="BP375" s="176"/>
      <c r="BQ375" s="177"/>
      <c r="BR375" s="177"/>
      <c r="BS375" s="177"/>
      <c r="BT375" s="177"/>
      <c r="BU375" s="176"/>
      <c r="BV375" s="177"/>
      <c r="BW375" s="177"/>
      <c r="BX375" s="177"/>
      <c r="BY375" s="177"/>
      <c r="BZ375" s="176"/>
      <c r="CA375" s="177"/>
      <c r="CB375" s="177"/>
      <c r="CC375" s="177"/>
      <c r="CD375" s="177"/>
      <c r="CE375" s="176"/>
      <c r="CF375" s="177"/>
      <c r="CG375" s="177"/>
      <c r="CH375" s="177"/>
      <c r="CI375" s="177"/>
      <c r="CJ375" s="176"/>
      <c r="CK375" s="177"/>
      <c r="CL375" s="177"/>
      <c r="CM375" s="177"/>
      <c r="CN375" s="177"/>
      <c r="CO375" s="176"/>
      <c r="CP375" s="177"/>
      <c r="CQ375" s="177"/>
      <c r="CR375" s="177"/>
      <c r="CS375" s="177"/>
      <c r="CT375" s="176"/>
      <c r="CU375" s="177"/>
      <c r="CV375" s="177"/>
      <c r="CW375" s="177"/>
      <c r="CX375" s="177"/>
      <c r="CY375" s="176"/>
      <c r="CZ375" s="177"/>
      <c r="DA375" s="177"/>
      <c r="DB375" s="177"/>
      <c r="DC375" s="177"/>
      <c r="DD375" s="176"/>
      <c r="DE375" s="177"/>
      <c r="DF375" s="177"/>
      <c r="DG375" s="177"/>
      <c r="DH375" s="177"/>
      <c r="DI375" s="176"/>
      <c r="DJ375" s="177"/>
      <c r="DK375" s="177"/>
      <c r="DL375" s="177"/>
      <c r="DM375" s="177"/>
      <c r="DN375" s="176"/>
      <c r="DO375" s="177"/>
      <c r="DP375" s="177"/>
      <c r="DQ375" s="177"/>
      <c r="DR375" s="177"/>
      <c r="DS375" s="176"/>
      <c r="DT375" s="177"/>
      <c r="DU375" s="177"/>
      <c r="DV375" s="177"/>
      <c r="DW375" s="177"/>
      <c r="DX375" s="176"/>
      <c r="DY375" s="177"/>
      <c r="DZ375" s="177"/>
      <c r="EA375" s="177"/>
      <c r="EB375" s="177"/>
      <c r="EC375" s="176"/>
      <c r="ED375" s="177"/>
      <c r="EE375" s="177"/>
      <c r="EF375" s="177"/>
      <c r="EG375" s="177"/>
      <c r="EH375" s="176"/>
      <c r="EI375" s="177"/>
      <c r="EJ375" s="177"/>
      <c r="EK375" s="177"/>
      <c r="EL375" s="177"/>
      <c r="EM375" s="176"/>
      <c r="EN375" s="177"/>
      <c r="EO375" s="177"/>
      <c r="EP375" s="177"/>
      <c r="EQ375" s="177"/>
      <c r="ER375" s="176"/>
      <c r="ES375" s="177"/>
      <c r="ET375" s="177"/>
      <c r="EU375" s="177"/>
      <c r="EV375" s="177"/>
      <c r="EW375" s="176"/>
      <c r="EX375" s="177"/>
      <c r="EY375" s="177"/>
      <c r="EZ375" s="177"/>
      <c r="FA375" s="177"/>
      <c r="FB375" s="176"/>
      <c r="FC375" s="177"/>
      <c r="FD375" s="177"/>
      <c r="FE375" s="177"/>
      <c r="FF375" s="177"/>
      <c r="FG375" s="176"/>
      <c r="FH375" s="177"/>
      <c r="FI375" s="177"/>
      <c r="FJ375" s="177"/>
      <c r="FK375" s="177"/>
      <c r="FL375" s="176"/>
      <c r="FM375" s="177"/>
      <c r="FN375" s="177"/>
      <c r="FO375" s="177"/>
      <c r="FP375" s="177"/>
      <c r="FQ375" s="176"/>
      <c r="FR375" s="177"/>
      <c r="FS375" s="177"/>
      <c r="FT375" s="177"/>
      <c r="FU375" s="177"/>
      <c r="FV375" s="176"/>
      <c r="FW375" s="177"/>
      <c r="FX375" s="177"/>
      <c r="FY375" s="177"/>
      <c r="FZ375" s="177"/>
      <c r="GA375" s="176"/>
      <c r="GB375" s="177"/>
      <c r="GC375" s="177"/>
      <c r="GD375" s="177"/>
      <c r="GE375" s="177"/>
    </row>
    <row r="376" spans="3:187" ht="12.75" customHeight="1">
      <c r="C376" s="139"/>
      <c r="D376" s="105"/>
      <c r="E376" s="105"/>
      <c r="F376" s="105"/>
      <c r="G376" s="105"/>
      <c r="H376" s="139"/>
      <c r="I376" s="105"/>
      <c r="J376" s="105"/>
      <c r="K376" s="105"/>
      <c r="L376" s="105"/>
      <c r="M376" s="139"/>
      <c r="N376" s="105"/>
      <c r="O376" s="105"/>
      <c r="P376" s="105"/>
      <c r="Q376" s="105"/>
      <c r="R376" s="139"/>
      <c r="S376" s="105"/>
      <c r="T376" s="105"/>
      <c r="U376" s="105"/>
      <c r="V376" s="105"/>
      <c r="W376" s="139"/>
      <c r="X376" s="105"/>
      <c r="Y376" s="105"/>
      <c r="Z376" s="105"/>
      <c r="AA376" s="105"/>
      <c r="AB376" s="139"/>
      <c r="AC376" s="105"/>
      <c r="AD376" s="105"/>
      <c r="AE376" s="105"/>
      <c r="AF376" s="105"/>
      <c r="AG376" s="139"/>
      <c r="AH376" s="105"/>
      <c r="AI376" s="105"/>
      <c r="AJ376" s="105"/>
      <c r="AK376" s="105"/>
      <c r="AL376" s="139"/>
      <c r="AM376" s="105"/>
      <c r="AN376" s="105"/>
      <c r="AO376" s="105"/>
      <c r="AP376" s="105"/>
      <c r="AQ376" s="139"/>
      <c r="AR376" s="105"/>
      <c r="AS376" s="105"/>
      <c r="AT376" s="105"/>
      <c r="AU376" s="105"/>
      <c r="AV376" s="139"/>
      <c r="AW376" s="105"/>
      <c r="AX376" s="105"/>
      <c r="AY376" s="105"/>
      <c r="AZ376" s="105"/>
      <c r="BA376" s="139"/>
      <c r="BB376" s="105"/>
      <c r="BC376" s="105"/>
      <c r="BD376" s="105"/>
      <c r="BE376" s="105"/>
      <c r="BF376" s="139"/>
      <c r="BG376" s="105"/>
      <c r="BH376" s="105"/>
      <c r="BI376" s="105"/>
      <c r="BJ376" s="105"/>
      <c r="BK376" s="139"/>
      <c r="BL376" s="105"/>
      <c r="BM376" s="105"/>
      <c r="BN376" s="105"/>
      <c r="BO376" s="105"/>
      <c r="BP376" s="139"/>
      <c r="BQ376" s="105"/>
      <c r="BR376" s="105"/>
      <c r="BS376" s="105"/>
      <c r="BT376" s="105"/>
      <c r="BU376" s="139"/>
      <c r="BV376" s="105"/>
      <c r="BW376" s="105"/>
      <c r="BX376" s="105"/>
      <c r="BY376" s="105"/>
      <c r="BZ376" s="139"/>
      <c r="CA376" s="105"/>
      <c r="CB376" s="105"/>
      <c r="CC376" s="105"/>
      <c r="CD376" s="105"/>
      <c r="CE376" s="139"/>
      <c r="CF376" s="105"/>
      <c r="CG376" s="105"/>
      <c r="CH376" s="105"/>
      <c r="CI376" s="105"/>
      <c r="CJ376" s="139"/>
      <c r="CK376" s="105"/>
      <c r="CL376" s="105"/>
      <c r="CM376" s="105"/>
      <c r="CN376" s="105"/>
      <c r="CO376" s="139"/>
      <c r="CP376" s="105"/>
      <c r="CQ376" s="105"/>
      <c r="CR376" s="105"/>
      <c r="CS376" s="105"/>
      <c r="CT376" s="139"/>
      <c r="CU376" s="105"/>
      <c r="CV376" s="105"/>
      <c r="CW376" s="105"/>
      <c r="CX376" s="105"/>
      <c r="CY376" s="139"/>
      <c r="CZ376" s="105"/>
      <c r="DA376" s="105"/>
      <c r="DB376" s="105"/>
      <c r="DC376" s="105"/>
      <c r="DD376" s="139"/>
      <c r="DE376" s="105"/>
      <c r="DF376" s="105"/>
      <c r="DG376" s="105"/>
      <c r="DH376" s="105"/>
      <c r="DI376" s="139"/>
      <c r="DJ376" s="105"/>
      <c r="DK376" s="105"/>
      <c r="DL376" s="105"/>
      <c r="DM376" s="105"/>
      <c r="DN376" s="139"/>
      <c r="DO376" s="105"/>
      <c r="DP376" s="105"/>
      <c r="DQ376" s="105"/>
      <c r="DR376" s="105"/>
      <c r="DS376" s="139"/>
      <c r="DT376" s="105"/>
      <c r="DU376" s="105"/>
      <c r="DV376" s="105"/>
      <c r="DW376" s="105"/>
      <c r="DX376" s="139"/>
      <c r="DY376" s="105"/>
      <c r="DZ376" s="105"/>
      <c r="EA376" s="105"/>
      <c r="EB376" s="105"/>
      <c r="EC376" s="139"/>
      <c r="ED376" s="105"/>
      <c r="EE376" s="105"/>
      <c r="EF376" s="105"/>
      <c r="EG376" s="105"/>
      <c r="EH376" s="139"/>
      <c r="EI376" s="105"/>
      <c r="EJ376" s="105"/>
      <c r="EK376" s="105"/>
      <c r="EL376" s="105"/>
      <c r="EM376" s="139"/>
      <c r="EN376" s="105"/>
      <c r="EO376" s="105"/>
      <c r="EP376" s="105"/>
      <c r="EQ376" s="105"/>
      <c r="ER376" s="139"/>
      <c r="ES376" s="105"/>
      <c r="ET376" s="105"/>
      <c r="EU376" s="105"/>
      <c r="EV376" s="105"/>
      <c r="EW376" s="139"/>
      <c r="EX376" s="105"/>
      <c r="EY376" s="105"/>
      <c r="EZ376" s="105"/>
      <c r="FA376" s="105"/>
      <c r="FB376" s="139"/>
      <c r="FC376" s="105"/>
      <c r="FD376" s="105"/>
      <c r="FE376" s="105"/>
      <c r="FF376" s="105"/>
      <c r="FG376" s="139"/>
      <c r="FH376" s="105"/>
      <c r="FI376" s="105"/>
      <c r="FJ376" s="105"/>
      <c r="FK376" s="105"/>
      <c r="FL376" s="139"/>
      <c r="FM376" s="105"/>
      <c r="FN376" s="105"/>
      <c r="FO376" s="105"/>
      <c r="FP376" s="105"/>
      <c r="FQ376" s="139"/>
      <c r="FR376" s="105"/>
      <c r="FS376" s="105"/>
      <c r="FT376" s="105"/>
      <c r="FU376" s="105"/>
      <c r="FV376" s="139"/>
      <c r="FW376" s="105"/>
      <c r="FX376" s="105"/>
      <c r="FY376" s="105"/>
      <c r="FZ376" s="105"/>
      <c r="GA376" s="139"/>
      <c r="GB376" s="105"/>
      <c r="GC376" s="105"/>
      <c r="GD376" s="105"/>
      <c r="GE376" s="105"/>
    </row>
    <row r="380" spans="3:187" ht="12.75" customHeight="1">
      <c r="C380" s="139"/>
      <c r="D380" s="105"/>
      <c r="E380" s="105"/>
      <c r="F380" s="105"/>
      <c r="G380" s="105"/>
      <c r="H380" s="139"/>
      <c r="I380" s="105"/>
      <c r="J380" s="105"/>
      <c r="K380" s="105"/>
      <c r="L380" s="105"/>
      <c r="M380" s="139"/>
      <c r="N380" s="105"/>
      <c r="O380" s="105"/>
      <c r="P380" s="105"/>
      <c r="Q380" s="105"/>
      <c r="R380" s="139"/>
      <c r="S380" s="105"/>
      <c r="T380" s="105"/>
      <c r="U380" s="105"/>
      <c r="V380" s="105"/>
      <c r="W380" s="139"/>
      <c r="X380" s="105"/>
      <c r="Y380" s="105"/>
      <c r="Z380" s="105"/>
      <c r="AA380" s="105"/>
      <c r="AB380" s="139"/>
      <c r="AC380" s="105"/>
      <c r="AD380" s="105"/>
      <c r="AE380" s="105"/>
      <c r="AF380" s="105"/>
      <c r="AG380" s="139"/>
      <c r="AH380" s="105"/>
      <c r="AI380" s="105"/>
      <c r="AJ380" s="105"/>
      <c r="AK380" s="105"/>
      <c r="AL380" s="139"/>
      <c r="AM380" s="105"/>
      <c r="AN380" s="105"/>
      <c r="AO380" s="105"/>
      <c r="AP380" s="105"/>
      <c r="AQ380" s="139"/>
      <c r="AR380" s="105"/>
      <c r="AS380" s="105"/>
      <c r="AT380" s="105"/>
      <c r="AU380" s="105"/>
      <c r="AV380" s="139"/>
      <c r="AW380" s="105"/>
      <c r="AX380" s="105"/>
      <c r="AY380" s="105"/>
      <c r="AZ380" s="105"/>
      <c r="BA380" s="139"/>
      <c r="BB380" s="105"/>
      <c r="BC380" s="105"/>
      <c r="BD380" s="105"/>
      <c r="BE380" s="105"/>
      <c r="BF380" s="139"/>
      <c r="BG380" s="105"/>
      <c r="BH380" s="105"/>
      <c r="BI380" s="105"/>
      <c r="BJ380" s="105"/>
      <c r="BK380" s="139"/>
      <c r="BL380" s="105"/>
      <c r="BM380" s="105"/>
      <c r="BN380" s="105"/>
      <c r="BO380" s="105"/>
      <c r="BP380" s="139"/>
      <c r="BQ380" s="105"/>
      <c r="BR380" s="105"/>
      <c r="BS380" s="105"/>
      <c r="BT380" s="105"/>
      <c r="BU380" s="139"/>
      <c r="BV380" s="105"/>
      <c r="BW380" s="105"/>
      <c r="BX380" s="105"/>
      <c r="BY380" s="105"/>
      <c r="BZ380" s="139"/>
      <c r="CA380" s="105"/>
      <c r="CB380" s="105"/>
      <c r="CC380" s="105"/>
      <c r="CD380" s="105"/>
      <c r="CE380" s="139"/>
      <c r="CF380" s="105"/>
      <c r="CG380" s="105"/>
      <c r="CH380" s="105"/>
      <c r="CI380" s="105"/>
      <c r="CJ380" s="139"/>
      <c r="CK380" s="105"/>
      <c r="CL380" s="105"/>
      <c r="CM380" s="105"/>
      <c r="CN380" s="105"/>
      <c r="CO380" s="139"/>
      <c r="CP380" s="105"/>
      <c r="CQ380" s="105"/>
      <c r="CR380" s="105"/>
      <c r="CS380" s="105"/>
      <c r="CT380" s="139"/>
      <c r="CU380" s="105"/>
      <c r="CV380" s="105"/>
      <c r="CW380" s="105"/>
      <c r="CX380" s="105"/>
      <c r="CY380" s="139"/>
      <c r="CZ380" s="105"/>
      <c r="DA380" s="105"/>
      <c r="DB380" s="105"/>
      <c r="DC380" s="105"/>
      <c r="DD380" s="139"/>
      <c r="DE380" s="105"/>
      <c r="DF380" s="105"/>
      <c r="DG380" s="105"/>
      <c r="DH380" s="105"/>
      <c r="DI380" s="139"/>
      <c r="DJ380" s="105"/>
      <c r="DK380" s="105"/>
      <c r="DL380" s="105"/>
      <c r="DM380" s="105"/>
      <c r="DN380" s="139"/>
      <c r="DO380" s="105"/>
      <c r="DP380" s="105"/>
      <c r="DQ380" s="105"/>
      <c r="DR380" s="105"/>
      <c r="DS380" s="139"/>
      <c r="DT380" s="105"/>
      <c r="DU380" s="105"/>
      <c r="DV380" s="105"/>
      <c r="DW380" s="105"/>
      <c r="DX380" s="139"/>
      <c r="DY380" s="105"/>
      <c r="DZ380" s="105"/>
      <c r="EA380" s="105"/>
      <c r="EB380" s="105"/>
      <c r="EC380" s="139"/>
      <c r="ED380" s="105"/>
      <c r="EE380" s="105"/>
      <c r="EF380" s="105"/>
      <c r="EG380" s="105"/>
      <c r="EH380" s="139"/>
      <c r="EI380" s="105"/>
      <c r="EJ380" s="105"/>
      <c r="EK380" s="105"/>
      <c r="EL380" s="105"/>
      <c r="EM380" s="139"/>
      <c r="EN380" s="105"/>
      <c r="EO380" s="105"/>
      <c r="EP380" s="105"/>
      <c r="EQ380" s="105"/>
      <c r="ER380" s="139"/>
      <c r="ES380" s="105"/>
      <c r="ET380" s="105"/>
      <c r="EU380" s="105"/>
      <c r="EV380" s="105"/>
      <c r="EW380" s="139"/>
      <c r="EX380" s="105"/>
      <c r="EY380" s="105"/>
      <c r="EZ380" s="105"/>
      <c r="FA380" s="105"/>
      <c r="FB380" s="139"/>
      <c r="FC380" s="105"/>
      <c r="FD380" s="105"/>
      <c r="FE380" s="105"/>
      <c r="FF380" s="105"/>
      <c r="FG380" s="139"/>
      <c r="FH380" s="105"/>
      <c r="FI380" s="105"/>
      <c r="FJ380" s="105"/>
      <c r="FK380" s="105"/>
      <c r="FL380" s="139"/>
      <c r="FM380" s="105"/>
      <c r="FN380" s="105"/>
      <c r="FO380" s="105"/>
      <c r="FP380" s="105"/>
      <c r="FQ380" s="139"/>
      <c r="FR380" s="105"/>
      <c r="FS380" s="105"/>
      <c r="FT380" s="105"/>
      <c r="FU380" s="105"/>
      <c r="FV380" s="139"/>
      <c r="FW380" s="105"/>
      <c r="FX380" s="105"/>
      <c r="FY380" s="105"/>
      <c r="FZ380" s="105"/>
      <c r="GA380" s="139"/>
      <c r="GB380" s="105"/>
      <c r="GC380" s="105"/>
      <c r="GD380" s="105"/>
      <c r="GE380" s="105"/>
    </row>
    <row r="381" spans="3:187" ht="12.75" customHeight="1">
      <c r="C381" s="139"/>
      <c r="D381" s="105"/>
      <c r="E381" s="105"/>
      <c r="F381" s="105"/>
      <c r="G381" s="105"/>
      <c r="H381" s="139"/>
      <c r="I381" s="105"/>
      <c r="J381" s="105"/>
      <c r="K381" s="105"/>
      <c r="L381" s="105"/>
      <c r="M381" s="139"/>
      <c r="N381" s="105"/>
      <c r="O381" s="105"/>
      <c r="P381" s="105"/>
      <c r="Q381" s="105"/>
      <c r="R381" s="139"/>
      <c r="S381" s="105"/>
      <c r="T381" s="105"/>
      <c r="U381" s="105"/>
      <c r="V381" s="105"/>
      <c r="W381" s="139"/>
      <c r="X381" s="105"/>
      <c r="Y381" s="105"/>
      <c r="Z381" s="105"/>
      <c r="AA381" s="105"/>
      <c r="AB381" s="139"/>
      <c r="AC381" s="105"/>
      <c r="AD381" s="105"/>
      <c r="AE381" s="105"/>
      <c r="AF381" s="105"/>
      <c r="AG381" s="139"/>
      <c r="AH381" s="105"/>
      <c r="AI381" s="105"/>
      <c r="AJ381" s="105"/>
      <c r="AK381" s="105"/>
      <c r="AL381" s="139"/>
      <c r="AM381" s="105"/>
      <c r="AN381" s="105"/>
      <c r="AO381" s="105"/>
      <c r="AP381" s="105"/>
      <c r="AQ381" s="139"/>
      <c r="AR381" s="105"/>
      <c r="AS381" s="105"/>
      <c r="AT381" s="105"/>
      <c r="AU381" s="105"/>
      <c r="AV381" s="139"/>
      <c r="AW381" s="105"/>
      <c r="AX381" s="105"/>
      <c r="AY381" s="105"/>
      <c r="AZ381" s="105"/>
      <c r="BA381" s="139"/>
      <c r="BB381" s="105"/>
      <c r="BC381" s="105"/>
      <c r="BD381" s="105"/>
      <c r="BE381" s="105"/>
      <c r="BF381" s="139"/>
      <c r="BG381" s="105"/>
      <c r="BH381" s="105"/>
      <c r="BI381" s="105"/>
      <c r="BJ381" s="105"/>
      <c r="BK381" s="139"/>
      <c r="BL381" s="105"/>
      <c r="BM381" s="105"/>
      <c r="BN381" s="105"/>
      <c r="BO381" s="105"/>
      <c r="BP381" s="139"/>
      <c r="BQ381" s="105"/>
      <c r="BR381" s="105"/>
      <c r="BS381" s="105"/>
      <c r="BT381" s="105"/>
      <c r="BU381" s="139"/>
      <c r="BV381" s="105"/>
      <c r="BW381" s="105"/>
      <c r="BX381" s="105"/>
      <c r="BY381" s="105"/>
      <c r="BZ381" s="139"/>
      <c r="CA381" s="105"/>
      <c r="CB381" s="105"/>
      <c r="CC381" s="105"/>
      <c r="CD381" s="105"/>
      <c r="CE381" s="139"/>
      <c r="CF381" s="105"/>
      <c r="CG381" s="105"/>
      <c r="CH381" s="105"/>
      <c r="CI381" s="105"/>
      <c r="CJ381" s="139"/>
      <c r="CK381" s="105"/>
      <c r="CL381" s="105"/>
      <c r="CM381" s="105"/>
      <c r="CN381" s="105"/>
      <c r="CO381" s="139"/>
      <c r="CP381" s="105"/>
      <c r="CQ381" s="105"/>
      <c r="CR381" s="105"/>
      <c r="CS381" s="105"/>
      <c r="CT381" s="139"/>
      <c r="CU381" s="105"/>
      <c r="CV381" s="105"/>
      <c r="CW381" s="105"/>
      <c r="CX381" s="105"/>
      <c r="CY381" s="139"/>
      <c r="CZ381" s="105"/>
      <c r="DA381" s="105"/>
      <c r="DB381" s="105"/>
      <c r="DC381" s="105"/>
      <c r="DD381" s="139"/>
      <c r="DE381" s="105"/>
      <c r="DF381" s="105"/>
      <c r="DG381" s="105"/>
      <c r="DH381" s="105"/>
      <c r="DI381" s="139"/>
      <c r="DJ381" s="105"/>
      <c r="DK381" s="105"/>
      <c r="DL381" s="105"/>
      <c r="DM381" s="105"/>
      <c r="DN381" s="139"/>
      <c r="DO381" s="105"/>
      <c r="DP381" s="105"/>
      <c r="DQ381" s="105"/>
      <c r="DR381" s="105"/>
      <c r="DS381" s="139"/>
      <c r="DT381" s="105"/>
      <c r="DU381" s="105"/>
      <c r="DV381" s="105"/>
      <c r="DW381" s="105"/>
      <c r="DX381" s="139"/>
      <c r="DY381" s="105"/>
      <c r="DZ381" s="105"/>
      <c r="EA381" s="105"/>
      <c r="EB381" s="105"/>
      <c r="EC381" s="139"/>
      <c r="ED381" s="105"/>
      <c r="EE381" s="105"/>
      <c r="EF381" s="105"/>
      <c r="EG381" s="105"/>
      <c r="EH381" s="139"/>
      <c r="EI381" s="105"/>
      <c r="EJ381" s="105"/>
      <c r="EK381" s="105"/>
      <c r="EL381" s="105"/>
      <c r="EM381" s="139"/>
      <c r="EN381" s="105"/>
      <c r="EO381" s="105"/>
      <c r="EP381" s="105"/>
      <c r="EQ381" s="105"/>
      <c r="ER381" s="139"/>
      <c r="ES381" s="105"/>
      <c r="ET381" s="105"/>
      <c r="EU381" s="105"/>
      <c r="EV381" s="105"/>
      <c r="EW381" s="139"/>
      <c r="EX381" s="105"/>
      <c r="EY381" s="105"/>
      <c r="EZ381" s="105"/>
      <c r="FA381" s="105"/>
      <c r="FB381" s="139"/>
      <c r="FC381" s="105"/>
      <c r="FD381" s="105"/>
      <c r="FE381" s="105"/>
      <c r="FF381" s="105"/>
      <c r="FG381" s="139"/>
      <c r="FH381" s="105"/>
      <c r="FI381" s="105"/>
      <c r="FJ381" s="105"/>
      <c r="FK381" s="105"/>
      <c r="FL381" s="139"/>
      <c r="FM381" s="105"/>
      <c r="FN381" s="105"/>
      <c r="FO381" s="105"/>
      <c r="FP381" s="105"/>
      <c r="FQ381" s="139"/>
      <c r="FR381" s="105"/>
      <c r="FS381" s="105"/>
      <c r="FT381" s="105"/>
      <c r="FU381" s="105"/>
      <c r="FV381" s="139"/>
      <c r="FW381" s="105"/>
      <c r="FX381" s="105"/>
      <c r="FY381" s="105"/>
      <c r="FZ381" s="105"/>
      <c r="GA381" s="139"/>
      <c r="GB381" s="105"/>
      <c r="GC381" s="105"/>
      <c r="GD381" s="105"/>
      <c r="GE381" s="105"/>
    </row>
    <row r="382" spans="3:187" ht="12.75" customHeight="1">
      <c r="C382" s="183"/>
      <c r="D382" s="184"/>
      <c r="E382" s="184"/>
      <c r="F382" s="184"/>
      <c r="G382" s="184"/>
      <c r="H382" s="183"/>
      <c r="I382" s="184"/>
      <c r="J382" s="184"/>
      <c r="K382" s="184"/>
      <c r="L382" s="184"/>
      <c r="M382" s="183"/>
      <c r="N382" s="184"/>
      <c r="O382" s="184"/>
      <c r="P382" s="184"/>
      <c r="Q382" s="184"/>
      <c r="R382" s="183"/>
      <c r="S382" s="184"/>
      <c r="T382" s="184"/>
      <c r="U382" s="184"/>
      <c r="V382" s="184"/>
      <c r="W382" s="183"/>
      <c r="X382" s="184"/>
      <c r="Y382" s="184"/>
      <c r="Z382" s="184"/>
      <c r="AA382" s="184"/>
      <c r="AB382" s="183"/>
      <c r="AC382" s="184"/>
      <c r="AD382" s="184"/>
      <c r="AE382" s="184"/>
      <c r="AF382" s="184"/>
      <c r="AG382" s="183"/>
      <c r="AH382" s="184"/>
      <c r="AI382" s="184"/>
      <c r="AJ382" s="184"/>
      <c r="AK382" s="184"/>
      <c r="AL382" s="183"/>
      <c r="AM382" s="184"/>
      <c r="AN382" s="184"/>
      <c r="AO382" s="184"/>
      <c r="AP382" s="184"/>
      <c r="AQ382" s="183"/>
      <c r="AR382" s="184"/>
      <c r="AS382" s="184"/>
      <c r="AT382" s="184"/>
      <c r="AU382" s="184"/>
      <c r="AV382" s="183"/>
      <c r="AW382" s="184"/>
      <c r="AX382" s="184"/>
      <c r="AY382" s="184"/>
      <c r="AZ382" s="184"/>
      <c r="BA382" s="183"/>
      <c r="BB382" s="184"/>
      <c r="BC382" s="184"/>
      <c r="BD382" s="184"/>
      <c r="BE382" s="184"/>
      <c r="BF382" s="183"/>
      <c r="BG382" s="184"/>
      <c r="BH382" s="184"/>
      <c r="BI382" s="184"/>
      <c r="BJ382" s="184"/>
      <c r="BK382" s="183"/>
      <c r="BL382" s="184"/>
      <c r="BM382" s="184"/>
      <c r="BN382" s="184"/>
      <c r="BO382" s="184"/>
      <c r="BP382" s="183"/>
      <c r="BQ382" s="184"/>
      <c r="BR382" s="184"/>
      <c r="BS382" s="184"/>
      <c r="BT382" s="184"/>
      <c r="BU382" s="183"/>
      <c r="BV382" s="184"/>
      <c r="BW382" s="184"/>
      <c r="BX382" s="184"/>
      <c r="BY382" s="184"/>
      <c r="BZ382" s="183"/>
      <c r="CA382" s="184"/>
      <c r="CB382" s="184"/>
      <c r="CC382" s="184"/>
      <c r="CD382" s="184"/>
      <c r="CE382" s="183"/>
      <c r="CF382" s="184"/>
      <c r="CG382" s="184"/>
      <c r="CH382" s="184"/>
      <c r="CI382" s="184"/>
      <c r="CJ382" s="183"/>
      <c r="CK382" s="184"/>
      <c r="CL382" s="184"/>
      <c r="CM382" s="184"/>
      <c r="CN382" s="184"/>
      <c r="CO382" s="183"/>
      <c r="CP382" s="184"/>
      <c r="CQ382" s="184"/>
      <c r="CR382" s="184"/>
      <c r="CS382" s="184"/>
      <c r="CT382" s="183"/>
      <c r="CU382" s="184"/>
      <c r="CV382" s="184"/>
      <c r="CW382" s="184"/>
      <c r="CX382" s="184"/>
      <c r="CY382" s="183"/>
      <c r="CZ382" s="184"/>
      <c r="DA382" s="184"/>
      <c r="DB382" s="184"/>
      <c r="DC382" s="184"/>
      <c r="DD382" s="183"/>
      <c r="DE382" s="184"/>
      <c r="DF382" s="184"/>
      <c r="DG382" s="184"/>
      <c r="DH382" s="184"/>
      <c r="DI382" s="183"/>
      <c r="DJ382" s="184"/>
      <c r="DK382" s="184"/>
      <c r="DL382" s="184"/>
      <c r="DM382" s="184"/>
      <c r="DN382" s="183"/>
      <c r="DO382" s="184"/>
      <c r="DP382" s="184"/>
      <c r="DQ382" s="184"/>
      <c r="DR382" s="184"/>
      <c r="DS382" s="183"/>
      <c r="DT382" s="184"/>
      <c r="DU382" s="184"/>
      <c r="DV382" s="184"/>
      <c r="DW382" s="184"/>
      <c r="DX382" s="183"/>
      <c r="DY382" s="184"/>
      <c r="DZ382" s="184"/>
      <c r="EA382" s="184"/>
      <c r="EB382" s="184"/>
      <c r="EC382" s="183"/>
      <c r="ED382" s="184"/>
      <c r="EE382" s="184"/>
      <c r="EF382" s="184"/>
      <c r="EG382" s="184"/>
      <c r="EH382" s="183"/>
      <c r="EI382" s="184"/>
      <c r="EJ382" s="184"/>
      <c r="EK382" s="184"/>
      <c r="EL382" s="184"/>
      <c r="EM382" s="183"/>
      <c r="EN382" s="184"/>
      <c r="EO382" s="184"/>
      <c r="EP382" s="184"/>
      <c r="EQ382" s="184"/>
      <c r="ER382" s="183"/>
      <c r="ES382" s="184"/>
      <c r="ET382" s="184"/>
      <c r="EU382" s="184"/>
      <c r="EV382" s="184"/>
      <c r="EW382" s="183"/>
      <c r="EX382" s="184"/>
      <c r="EY382" s="184"/>
      <c r="EZ382" s="184"/>
      <c r="FA382" s="184"/>
      <c r="FB382" s="183"/>
      <c r="FC382" s="184"/>
      <c r="FD382" s="184"/>
      <c r="FE382" s="184"/>
      <c r="FF382" s="184"/>
      <c r="FG382" s="183"/>
      <c r="FH382" s="184"/>
      <c r="FI382" s="184"/>
      <c r="FJ382" s="184"/>
      <c r="FK382" s="184"/>
      <c r="FL382" s="183"/>
      <c r="FM382" s="184"/>
      <c r="FN382" s="184"/>
      <c r="FO382" s="184"/>
      <c r="FP382" s="184"/>
      <c r="FQ382" s="183"/>
      <c r="FR382" s="184"/>
      <c r="FS382" s="184"/>
      <c r="FT382" s="184"/>
      <c r="FU382" s="184"/>
      <c r="FV382" s="183"/>
      <c r="FW382" s="184"/>
      <c r="FX382" s="184"/>
      <c r="FY382" s="184"/>
      <c r="FZ382" s="184"/>
      <c r="GA382" s="183"/>
      <c r="GB382" s="184"/>
      <c r="GC382" s="184"/>
      <c r="GD382" s="184"/>
      <c r="GE382" s="184"/>
    </row>
    <row r="383" spans="3:187" ht="12.75" customHeight="1">
      <c r="C383" s="139"/>
      <c r="D383" s="105"/>
      <c r="E383" s="105"/>
      <c r="F383" s="105"/>
      <c r="G383" s="105"/>
      <c r="H383" s="139"/>
      <c r="I383" s="105"/>
      <c r="J383" s="105"/>
      <c r="K383" s="105"/>
      <c r="L383" s="105"/>
      <c r="M383" s="139"/>
      <c r="N383" s="105"/>
      <c r="O383" s="105"/>
      <c r="P383" s="105"/>
      <c r="Q383" s="105"/>
      <c r="R383" s="139"/>
      <c r="S383" s="105"/>
      <c r="T383" s="105"/>
      <c r="U383" s="105"/>
      <c r="V383" s="105"/>
      <c r="W383" s="139"/>
      <c r="X383" s="105"/>
      <c r="Y383" s="105"/>
      <c r="Z383" s="105"/>
      <c r="AA383" s="105"/>
      <c r="AB383" s="139"/>
      <c r="AC383" s="105"/>
      <c r="AD383" s="105"/>
      <c r="AE383" s="105"/>
      <c r="AF383" s="105"/>
      <c r="AG383" s="139"/>
      <c r="AH383" s="105"/>
      <c r="AI383" s="105"/>
      <c r="AJ383" s="105"/>
      <c r="AK383" s="105"/>
      <c r="AL383" s="139"/>
      <c r="AM383" s="105"/>
      <c r="AN383" s="105"/>
      <c r="AO383" s="105"/>
      <c r="AP383" s="105"/>
      <c r="AQ383" s="139"/>
      <c r="AR383" s="105"/>
      <c r="AS383" s="105"/>
      <c r="AT383" s="105"/>
      <c r="AU383" s="105"/>
      <c r="AV383" s="139"/>
      <c r="AW383" s="105"/>
      <c r="AX383" s="105"/>
      <c r="AY383" s="105"/>
      <c r="AZ383" s="105"/>
      <c r="BA383" s="139"/>
      <c r="BB383" s="105"/>
      <c r="BC383" s="105"/>
      <c r="BD383" s="105"/>
      <c r="BE383" s="105"/>
      <c r="BF383" s="139"/>
      <c r="BG383" s="105"/>
      <c r="BH383" s="105"/>
      <c r="BI383" s="105"/>
      <c r="BJ383" s="105"/>
      <c r="BK383" s="139"/>
      <c r="BL383" s="105"/>
      <c r="BM383" s="105"/>
      <c r="BN383" s="105"/>
      <c r="BO383" s="105"/>
      <c r="BP383" s="139"/>
      <c r="BQ383" s="105"/>
      <c r="BR383" s="105"/>
      <c r="BS383" s="105"/>
      <c r="BT383" s="105"/>
      <c r="BU383" s="139"/>
      <c r="BV383" s="105"/>
      <c r="BW383" s="105"/>
      <c r="BX383" s="105"/>
      <c r="BY383" s="105"/>
      <c r="BZ383" s="139"/>
      <c r="CA383" s="105"/>
      <c r="CB383" s="105"/>
      <c r="CC383" s="105"/>
      <c r="CD383" s="105"/>
      <c r="CE383" s="139"/>
      <c r="CF383" s="105"/>
      <c r="CG383" s="105"/>
      <c r="CH383" s="105"/>
      <c r="CI383" s="105"/>
      <c r="CJ383" s="139"/>
      <c r="CK383" s="105"/>
      <c r="CL383" s="105"/>
      <c r="CM383" s="105"/>
      <c r="CN383" s="105"/>
      <c r="CO383" s="139"/>
      <c r="CP383" s="105"/>
      <c r="CQ383" s="105"/>
      <c r="CR383" s="105"/>
      <c r="CS383" s="105"/>
      <c r="CT383" s="139"/>
      <c r="CU383" s="105"/>
      <c r="CV383" s="105"/>
      <c r="CW383" s="105"/>
      <c r="CX383" s="105"/>
      <c r="CY383" s="139"/>
      <c r="CZ383" s="105"/>
      <c r="DA383" s="105"/>
      <c r="DB383" s="105"/>
      <c r="DC383" s="105"/>
      <c r="DD383" s="139"/>
      <c r="DE383" s="105"/>
      <c r="DF383" s="105"/>
      <c r="DG383" s="105"/>
      <c r="DH383" s="105"/>
      <c r="DI383" s="139"/>
      <c r="DJ383" s="105"/>
      <c r="DK383" s="105"/>
      <c r="DL383" s="105"/>
      <c r="DM383" s="105"/>
      <c r="DN383" s="139"/>
      <c r="DO383" s="105"/>
      <c r="DP383" s="105"/>
      <c r="DQ383" s="105"/>
      <c r="DR383" s="105"/>
      <c r="DS383" s="139"/>
      <c r="DT383" s="105"/>
      <c r="DU383" s="105"/>
      <c r="DV383" s="105"/>
      <c r="DW383" s="105"/>
      <c r="DX383" s="139"/>
      <c r="DY383" s="105"/>
      <c r="DZ383" s="105"/>
      <c r="EA383" s="105"/>
      <c r="EB383" s="105"/>
      <c r="EC383" s="139"/>
      <c r="ED383" s="105"/>
      <c r="EE383" s="105"/>
      <c r="EF383" s="105"/>
      <c r="EG383" s="105"/>
      <c r="EH383" s="139"/>
      <c r="EI383" s="105"/>
      <c r="EJ383" s="105"/>
      <c r="EK383" s="105"/>
      <c r="EL383" s="105"/>
      <c r="EM383" s="139"/>
      <c r="EN383" s="105"/>
      <c r="EO383" s="105"/>
      <c r="EP383" s="105"/>
      <c r="EQ383" s="105"/>
      <c r="ER383" s="139"/>
      <c r="ES383" s="105"/>
      <c r="ET383" s="105"/>
      <c r="EU383" s="105"/>
      <c r="EV383" s="105"/>
      <c r="EW383" s="139"/>
      <c r="EX383" s="105"/>
      <c r="EY383" s="105"/>
      <c r="EZ383" s="105"/>
      <c r="FA383" s="105"/>
      <c r="FB383" s="139"/>
      <c r="FC383" s="105"/>
      <c r="FD383" s="105"/>
      <c r="FE383" s="105"/>
      <c r="FF383" s="105"/>
      <c r="FG383" s="139"/>
      <c r="FH383" s="105"/>
      <c r="FI383" s="105"/>
      <c r="FJ383" s="105"/>
      <c r="FK383" s="105"/>
      <c r="FL383" s="139"/>
      <c r="FM383" s="105"/>
      <c r="FN383" s="105"/>
      <c r="FO383" s="105"/>
      <c r="FP383" s="105"/>
      <c r="FQ383" s="139"/>
      <c r="FR383" s="105"/>
      <c r="FS383" s="105"/>
      <c r="FT383" s="105"/>
      <c r="FU383" s="105"/>
      <c r="FV383" s="139"/>
      <c r="FW383" s="105"/>
      <c r="FX383" s="105"/>
      <c r="FY383" s="105"/>
      <c r="FZ383" s="105"/>
      <c r="GA383" s="139"/>
      <c r="GB383" s="105"/>
      <c r="GC383" s="105"/>
      <c r="GD383" s="105"/>
      <c r="GE383" s="105"/>
    </row>
    <row r="384" spans="3:187" ht="12.75" customHeight="1">
      <c r="C384" s="190"/>
      <c r="D384" s="191"/>
      <c r="E384" s="191"/>
      <c r="F384" s="191"/>
      <c r="G384" s="191"/>
      <c r="H384" s="190"/>
      <c r="I384" s="191"/>
      <c r="J384" s="191"/>
      <c r="K384" s="191"/>
      <c r="L384" s="191"/>
      <c r="M384" s="190"/>
      <c r="N384" s="191"/>
      <c r="O384" s="191"/>
      <c r="P384" s="191"/>
      <c r="Q384" s="191"/>
      <c r="R384" s="190"/>
      <c r="S384" s="191"/>
      <c r="T384" s="191"/>
      <c r="U384" s="191"/>
      <c r="V384" s="191"/>
      <c r="W384" s="190"/>
      <c r="X384" s="191"/>
      <c r="Y384" s="191"/>
      <c r="Z384" s="191"/>
      <c r="AA384" s="191"/>
      <c r="AB384" s="190"/>
      <c r="AC384" s="191"/>
      <c r="AD384" s="191"/>
      <c r="AE384" s="191"/>
      <c r="AF384" s="191"/>
      <c r="AG384" s="190"/>
      <c r="AH384" s="191"/>
      <c r="AI384" s="191"/>
      <c r="AJ384" s="191"/>
      <c r="AK384" s="191"/>
      <c r="AL384" s="190"/>
      <c r="AM384" s="191"/>
      <c r="AN384" s="191"/>
      <c r="AO384" s="191"/>
      <c r="AP384" s="191"/>
      <c r="AQ384" s="190"/>
      <c r="AR384" s="191"/>
      <c r="AS384" s="191"/>
      <c r="AT384" s="191"/>
      <c r="AU384" s="191"/>
      <c r="AV384" s="190"/>
      <c r="AW384" s="191"/>
      <c r="AX384" s="191"/>
      <c r="AY384" s="191"/>
      <c r="AZ384" s="191"/>
      <c r="BA384" s="190"/>
      <c r="BB384" s="191"/>
      <c r="BC384" s="191"/>
      <c r="BD384" s="191"/>
      <c r="BE384" s="191"/>
      <c r="BF384" s="190"/>
      <c r="BG384" s="191"/>
      <c r="BH384" s="191"/>
      <c r="BI384" s="191"/>
      <c r="BJ384" s="191"/>
      <c r="BK384" s="190"/>
      <c r="BL384" s="191"/>
      <c r="BM384" s="191"/>
      <c r="BN384" s="191"/>
      <c r="BO384" s="191"/>
      <c r="BP384" s="190"/>
      <c r="BQ384" s="191"/>
      <c r="BR384" s="191"/>
      <c r="BS384" s="191"/>
      <c r="BT384" s="191"/>
      <c r="BU384" s="190"/>
      <c r="BV384" s="191"/>
      <c r="BW384" s="191"/>
      <c r="BX384" s="191"/>
      <c r="BY384" s="191"/>
      <c r="BZ384" s="190"/>
      <c r="CA384" s="191"/>
      <c r="CB384" s="191"/>
      <c r="CC384" s="191"/>
      <c r="CD384" s="191"/>
      <c r="CE384" s="190"/>
      <c r="CF384" s="191"/>
      <c r="CG384" s="191"/>
      <c r="CH384" s="191"/>
      <c r="CI384" s="191"/>
      <c r="CJ384" s="190"/>
      <c r="CK384" s="191"/>
      <c r="CL384" s="191"/>
      <c r="CM384" s="191"/>
      <c r="CN384" s="191"/>
      <c r="CO384" s="190"/>
      <c r="CP384" s="191"/>
      <c r="CQ384" s="191"/>
      <c r="CR384" s="191"/>
      <c r="CS384" s="191"/>
      <c r="CT384" s="190"/>
      <c r="CU384" s="191"/>
      <c r="CV384" s="191"/>
      <c r="CW384" s="191"/>
      <c r="CX384" s="191"/>
      <c r="CY384" s="190"/>
      <c r="CZ384" s="191"/>
      <c r="DA384" s="191"/>
      <c r="DB384" s="191"/>
      <c r="DC384" s="191"/>
      <c r="DD384" s="190"/>
      <c r="DE384" s="191"/>
      <c r="DF384" s="191"/>
      <c r="DG384" s="191"/>
      <c r="DH384" s="191"/>
      <c r="DI384" s="190"/>
      <c r="DJ384" s="191"/>
      <c r="DK384" s="191"/>
      <c r="DL384" s="191"/>
      <c r="DM384" s="191"/>
      <c r="DN384" s="190"/>
      <c r="DO384" s="191"/>
      <c r="DP384" s="191"/>
      <c r="DQ384" s="191"/>
      <c r="DR384" s="191"/>
      <c r="DS384" s="190"/>
      <c r="DT384" s="191"/>
      <c r="DU384" s="191"/>
      <c r="DV384" s="191"/>
      <c r="DW384" s="191"/>
      <c r="DX384" s="190"/>
      <c r="DY384" s="191"/>
      <c r="DZ384" s="191"/>
      <c r="EA384" s="191"/>
      <c r="EB384" s="191"/>
      <c r="EC384" s="190"/>
      <c r="ED384" s="191"/>
      <c r="EE384" s="191"/>
      <c r="EF384" s="191"/>
      <c r="EG384" s="191"/>
      <c r="EH384" s="190"/>
      <c r="EI384" s="191"/>
      <c r="EJ384" s="191"/>
      <c r="EK384" s="191"/>
      <c r="EL384" s="191"/>
      <c r="EM384" s="190"/>
      <c r="EN384" s="191"/>
      <c r="EO384" s="191"/>
      <c r="EP384" s="191"/>
      <c r="EQ384" s="191"/>
      <c r="ER384" s="190"/>
      <c r="ES384" s="191"/>
      <c r="ET384" s="191"/>
      <c r="EU384" s="191"/>
      <c r="EV384" s="191"/>
      <c r="EW384" s="190"/>
      <c r="EX384" s="191"/>
      <c r="EY384" s="191"/>
      <c r="EZ384" s="191"/>
      <c r="FA384" s="191"/>
      <c r="FB384" s="190"/>
      <c r="FC384" s="191"/>
      <c r="FD384" s="191"/>
      <c r="FE384" s="191"/>
      <c r="FF384" s="191"/>
      <c r="FG384" s="190"/>
      <c r="FH384" s="191"/>
      <c r="FI384" s="191"/>
      <c r="FJ384" s="191"/>
      <c r="FK384" s="191"/>
      <c r="FL384" s="190"/>
      <c r="FM384" s="191"/>
      <c r="FN384" s="191"/>
      <c r="FO384" s="191"/>
      <c r="FP384" s="191"/>
      <c r="FQ384" s="190"/>
      <c r="FR384" s="191"/>
      <c r="FS384" s="191"/>
      <c r="FT384" s="191"/>
      <c r="FU384" s="191"/>
      <c r="FV384" s="190"/>
      <c r="FW384" s="191"/>
      <c r="FX384" s="191"/>
      <c r="FY384" s="191"/>
      <c r="FZ384" s="191"/>
      <c r="GA384" s="190"/>
      <c r="GB384" s="191"/>
      <c r="GC384" s="191"/>
      <c r="GD384" s="191"/>
      <c r="GE384" s="191"/>
    </row>
    <row r="387" spans="3:187" ht="12.75" customHeight="1">
      <c r="C387" s="183"/>
      <c r="D387" s="184"/>
      <c r="E387" s="184"/>
      <c r="F387" s="184"/>
      <c r="G387" s="184"/>
      <c r="H387" s="183"/>
      <c r="I387" s="184"/>
      <c r="J387" s="184"/>
      <c r="K387" s="184"/>
      <c r="L387" s="184"/>
      <c r="M387" s="183"/>
      <c r="N387" s="184"/>
      <c r="O387" s="184"/>
      <c r="P387" s="184"/>
      <c r="Q387" s="184"/>
      <c r="R387" s="183"/>
      <c r="S387" s="184"/>
      <c r="T387" s="184"/>
      <c r="U387" s="184"/>
      <c r="V387" s="184"/>
      <c r="W387" s="183"/>
      <c r="X387" s="184"/>
      <c r="Y387" s="184"/>
      <c r="Z387" s="184"/>
      <c r="AA387" s="184"/>
      <c r="AB387" s="183"/>
      <c r="AC387" s="184"/>
      <c r="AD387" s="184"/>
      <c r="AE387" s="184"/>
      <c r="AF387" s="184"/>
      <c r="AG387" s="183"/>
      <c r="AH387" s="184"/>
      <c r="AI387" s="184"/>
      <c r="AJ387" s="184"/>
      <c r="AK387" s="184"/>
      <c r="AL387" s="183"/>
      <c r="AM387" s="184"/>
      <c r="AN387" s="184"/>
      <c r="AO387" s="184"/>
      <c r="AP387" s="184"/>
      <c r="AQ387" s="183"/>
      <c r="AR387" s="184"/>
      <c r="AS387" s="184"/>
      <c r="AT387" s="184"/>
      <c r="AU387" s="184"/>
      <c r="AV387" s="183"/>
      <c r="AW387" s="184"/>
      <c r="AX387" s="184"/>
      <c r="AY387" s="184"/>
      <c r="AZ387" s="184"/>
      <c r="BA387" s="183"/>
      <c r="BB387" s="184"/>
      <c r="BC387" s="184"/>
      <c r="BD387" s="184"/>
      <c r="BE387" s="184"/>
      <c r="BF387" s="183"/>
      <c r="BG387" s="184"/>
      <c r="BH387" s="184"/>
      <c r="BI387" s="184"/>
      <c r="BJ387" s="184"/>
      <c r="BK387" s="183"/>
      <c r="BL387" s="184"/>
      <c r="BM387" s="184"/>
      <c r="BN387" s="184"/>
      <c r="BO387" s="184"/>
      <c r="BP387" s="183"/>
      <c r="BQ387" s="184"/>
      <c r="BR387" s="184"/>
      <c r="BS387" s="184"/>
      <c r="BT387" s="184"/>
      <c r="BU387" s="183"/>
      <c r="BV387" s="184"/>
      <c r="BW387" s="184"/>
      <c r="BX387" s="184"/>
      <c r="BY387" s="184"/>
      <c r="BZ387" s="183"/>
      <c r="CA387" s="184"/>
      <c r="CB387" s="184"/>
      <c r="CC387" s="184"/>
      <c r="CD387" s="184"/>
      <c r="CE387" s="183"/>
      <c r="CF387" s="184"/>
      <c r="CG387" s="184"/>
      <c r="CH387" s="184"/>
      <c r="CI387" s="184"/>
      <c r="CJ387" s="183"/>
      <c r="CK387" s="184"/>
      <c r="CL387" s="184"/>
      <c r="CM387" s="184"/>
      <c r="CN387" s="184"/>
      <c r="CO387" s="183"/>
      <c r="CP387" s="184"/>
      <c r="CQ387" s="184"/>
      <c r="CR387" s="184"/>
      <c r="CS387" s="184"/>
      <c r="CT387" s="183"/>
      <c r="CU387" s="184"/>
      <c r="CV387" s="184"/>
      <c r="CW387" s="184"/>
      <c r="CX387" s="184"/>
      <c r="CY387" s="183"/>
      <c r="CZ387" s="184"/>
      <c r="DA387" s="184"/>
      <c r="DB387" s="184"/>
      <c r="DC387" s="184"/>
      <c r="DD387" s="183"/>
      <c r="DE387" s="184"/>
      <c r="DF387" s="184"/>
      <c r="DG387" s="184"/>
      <c r="DH387" s="184"/>
      <c r="DI387" s="183"/>
      <c r="DJ387" s="184"/>
      <c r="DK387" s="184"/>
      <c r="DL387" s="184"/>
      <c r="DM387" s="184"/>
      <c r="DN387" s="183"/>
      <c r="DO387" s="184"/>
      <c r="DP387" s="184"/>
      <c r="DQ387" s="184"/>
      <c r="DR387" s="184"/>
      <c r="DS387" s="183"/>
      <c r="DT387" s="184"/>
      <c r="DU387" s="184"/>
      <c r="DV387" s="184"/>
      <c r="DW387" s="184"/>
      <c r="DX387" s="183"/>
      <c r="DY387" s="184"/>
      <c r="DZ387" s="184"/>
      <c r="EA387" s="184"/>
      <c r="EB387" s="184"/>
      <c r="EC387" s="183"/>
      <c r="ED387" s="184"/>
      <c r="EE387" s="184"/>
      <c r="EF387" s="184"/>
      <c r="EG387" s="184"/>
      <c r="EH387" s="183"/>
      <c r="EI387" s="184"/>
      <c r="EJ387" s="184"/>
      <c r="EK387" s="184"/>
      <c r="EL387" s="184"/>
      <c r="EM387" s="183"/>
      <c r="EN387" s="184"/>
      <c r="EO387" s="184"/>
      <c r="EP387" s="184"/>
      <c r="EQ387" s="184"/>
      <c r="ER387" s="183"/>
      <c r="ES387" s="184"/>
      <c r="ET387" s="184"/>
      <c r="EU387" s="184"/>
      <c r="EV387" s="184"/>
      <c r="EW387" s="183"/>
      <c r="EX387" s="184"/>
      <c r="EY387" s="184"/>
      <c r="EZ387" s="184"/>
      <c r="FA387" s="184"/>
      <c r="FB387" s="183"/>
      <c r="FC387" s="184"/>
      <c r="FD387" s="184"/>
      <c r="FE387" s="184"/>
      <c r="FF387" s="184"/>
      <c r="FG387" s="183"/>
      <c r="FH387" s="184"/>
      <c r="FI387" s="184"/>
      <c r="FJ387" s="184"/>
      <c r="FK387" s="184"/>
      <c r="FL387" s="183"/>
      <c r="FM387" s="184"/>
      <c r="FN387" s="184"/>
      <c r="FO387" s="184"/>
      <c r="FP387" s="184"/>
      <c r="FQ387" s="183"/>
      <c r="FR387" s="184"/>
      <c r="FS387" s="184"/>
      <c r="FT387" s="184"/>
      <c r="FU387" s="184"/>
      <c r="FV387" s="183"/>
      <c r="FW387" s="184"/>
      <c r="FX387" s="184"/>
      <c r="FY387" s="184"/>
      <c r="FZ387" s="184"/>
      <c r="GA387" s="183"/>
      <c r="GB387" s="184"/>
      <c r="GC387" s="184"/>
      <c r="GD387" s="184"/>
      <c r="GE387" s="184"/>
    </row>
    <row r="388" spans="3:187" ht="12.75" customHeight="1">
      <c r="C388" s="139"/>
      <c r="D388" s="105"/>
      <c r="E388" s="105"/>
      <c r="F388" s="105"/>
      <c r="G388" s="105"/>
      <c r="H388" s="139"/>
      <c r="I388" s="105"/>
      <c r="J388" s="105"/>
      <c r="K388" s="105"/>
      <c r="L388" s="105"/>
      <c r="M388" s="139"/>
      <c r="N388" s="105"/>
      <c r="O388" s="105"/>
      <c r="P388" s="105"/>
      <c r="Q388" s="105"/>
      <c r="R388" s="139"/>
      <c r="S388" s="105"/>
      <c r="T388" s="105"/>
      <c r="U388" s="105"/>
      <c r="V388" s="105"/>
      <c r="W388" s="139"/>
      <c r="X388" s="105"/>
      <c r="Y388" s="105"/>
      <c r="Z388" s="105"/>
      <c r="AA388" s="105"/>
      <c r="AB388" s="139"/>
      <c r="AC388" s="105"/>
      <c r="AD388" s="105"/>
      <c r="AE388" s="105"/>
      <c r="AF388" s="105"/>
      <c r="AG388" s="139"/>
      <c r="AH388" s="105"/>
      <c r="AI388" s="105"/>
      <c r="AJ388" s="105"/>
      <c r="AK388" s="105"/>
      <c r="AL388" s="139"/>
      <c r="AM388" s="105"/>
      <c r="AN388" s="105"/>
      <c r="AO388" s="105"/>
      <c r="AP388" s="105"/>
      <c r="AQ388" s="139"/>
      <c r="AR388" s="105"/>
      <c r="AS388" s="105"/>
      <c r="AT388" s="105"/>
      <c r="AU388" s="105"/>
      <c r="AV388" s="139"/>
      <c r="AW388" s="105"/>
      <c r="AX388" s="105"/>
      <c r="AY388" s="105"/>
      <c r="AZ388" s="105"/>
      <c r="BA388" s="139"/>
      <c r="BB388" s="105"/>
      <c r="BC388" s="105"/>
      <c r="BD388" s="105"/>
      <c r="BE388" s="105"/>
      <c r="BF388" s="139"/>
      <c r="BG388" s="105"/>
      <c r="BH388" s="105"/>
      <c r="BI388" s="105"/>
      <c r="BJ388" s="105"/>
      <c r="BK388" s="139"/>
      <c r="BL388" s="105"/>
      <c r="BM388" s="105"/>
      <c r="BN388" s="105"/>
      <c r="BO388" s="105"/>
      <c r="BP388" s="139"/>
      <c r="BQ388" s="105"/>
      <c r="BR388" s="105"/>
      <c r="BS388" s="105"/>
      <c r="BT388" s="105"/>
      <c r="BU388" s="139"/>
      <c r="BV388" s="105"/>
      <c r="BW388" s="105"/>
      <c r="BX388" s="105"/>
      <c r="BY388" s="105"/>
      <c r="BZ388" s="139"/>
      <c r="CA388" s="105"/>
      <c r="CB388" s="105"/>
      <c r="CC388" s="105"/>
      <c r="CD388" s="105"/>
      <c r="CE388" s="139"/>
      <c r="CF388" s="105"/>
      <c r="CG388" s="105"/>
      <c r="CH388" s="105"/>
      <c r="CI388" s="105"/>
      <c r="CJ388" s="139"/>
      <c r="CK388" s="105"/>
      <c r="CL388" s="105"/>
      <c r="CM388" s="105"/>
      <c r="CN388" s="105"/>
      <c r="CO388" s="139"/>
      <c r="CP388" s="105"/>
      <c r="CQ388" s="105"/>
      <c r="CR388" s="105"/>
      <c r="CS388" s="105"/>
      <c r="CT388" s="139"/>
      <c r="CU388" s="105"/>
      <c r="CV388" s="105"/>
      <c r="CW388" s="105"/>
      <c r="CX388" s="105"/>
      <c r="CY388" s="139"/>
      <c r="CZ388" s="105"/>
      <c r="DA388" s="105"/>
      <c r="DB388" s="105"/>
      <c r="DC388" s="105"/>
      <c r="DD388" s="139"/>
      <c r="DE388" s="105"/>
      <c r="DF388" s="105"/>
      <c r="DG388" s="105"/>
      <c r="DH388" s="105"/>
      <c r="DI388" s="139"/>
      <c r="DJ388" s="105"/>
      <c r="DK388" s="105"/>
      <c r="DL388" s="105"/>
      <c r="DM388" s="105"/>
      <c r="DN388" s="139"/>
      <c r="DO388" s="105"/>
      <c r="DP388" s="105"/>
      <c r="DQ388" s="105"/>
      <c r="DR388" s="105"/>
      <c r="DS388" s="139"/>
      <c r="DT388" s="105"/>
      <c r="DU388" s="105"/>
      <c r="DV388" s="105"/>
      <c r="DW388" s="105"/>
      <c r="DX388" s="139"/>
      <c r="DY388" s="105"/>
      <c r="DZ388" s="105"/>
      <c r="EA388" s="105"/>
      <c r="EB388" s="105"/>
      <c r="EC388" s="139"/>
      <c r="ED388" s="105"/>
      <c r="EE388" s="105"/>
      <c r="EF388" s="105"/>
      <c r="EG388" s="105"/>
      <c r="EH388" s="139"/>
      <c r="EI388" s="105"/>
      <c r="EJ388" s="105"/>
      <c r="EK388" s="105"/>
      <c r="EL388" s="105"/>
      <c r="EM388" s="139"/>
      <c r="EN388" s="105"/>
      <c r="EO388" s="105"/>
      <c r="EP388" s="105"/>
      <c r="EQ388" s="105"/>
      <c r="ER388" s="139"/>
      <c r="ES388" s="105"/>
      <c r="ET388" s="105"/>
      <c r="EU388" s="105"/>
      <c r="EV388" s="105"/>
      <c r="EW388" s="139"/>
      <c r="EX388" s="105"/>
      <c r="EY388" s="105"/>
      <c r="EZ388" s="105"/>
      <c r="FA388" s="105"/>
      <c r="FB388" s="139"/>
      <c r="FC388" s="105"/>
      <c r="FD388" s="105"/>
      <c r="FE388" s="105"/>
      <c r="FF388" s="105"/>
      <c r="FG388" s="139"/>
      <c r="FH388" s="105"/>
      <c r="FI388" s="105"/>
      <c r="FJ388" s="105"/>
      <c r="FK388" s="105"/>
      <c r="FL388" s="139"/>
      <c r="FM388" s="105"/>
      <c r="FN388" s="105"/>
      <c r="FO388" s="105"/>
      <c r="FP388" s="105"/>
      <c r="FQ388" s="139"/>
      <c r="FR388" s="105"/>
      <c r="FS388" s="105"/>
      <c r="FT388" s="105"/>
      <c r="FU388" s="105"/>
      <c r="FV388" s="139"/>
      <c r="FW388" s="105"/>
      <c r="FX388" s="105"/>
      <c r="FY388" s="105"/>
      <c r="FZ388" s="105"/>
      <c r="GA388" s="139"/>
      <c r="GB388" s="105"/>
      <c r="GC388" s="105"/>
      <c r="GD388" s="105"/>
      <c r="GE388" s="105"/>
    </row>
    <row r="389" spans="3:187" ht="12.75" customHeight="1">
      <c r="C389" s="190"/>
      <c r="D389" s="191"/>
      <c r="E389" s="191"/>
      <c r="F389" s="191"/>
      <c r="G389" s="191"/>
      <c r="H389" s="190"/>
      <c r="I389" s="191"/>
      <c r="J389" s="191"/>
      <c r="K389" s="191"/>
      <c r="L389" s="191"/>
      <c r="M389" s="190"/>
      <c r="N389" s="191"/>
      <c r="O389" s="191"/>
      <c r="P389" s="191"/>
      <c r="Q389" s="191"/>
      <c r="R389" s="190"/>
      <c r="S389" s="191"/>
      <c r="T389" s="191"/>
      <c r="U389" s="191"/>
      <c r="V389" s="191"/>
      <c r="W389" s="190"/>
      <c r="X389" s="191"/>
      <c r="Y389" s="191"/>
      <c r="Z389" s="191"/>
      <c r="AA389" s="191"/>
      <c r="AB389" s="190"/>
      <c r="AC389" s="191"/>
      <c r="AD389" s="191"/>
      <c r="AE389" s="191"/>
      <c r="AF389" s="191"/>
      <c r="AG389" s="190"/>
      <c r="AH389" s="191"/>
      <c r="AI389" s="191"/>
      <c r="AJ389" s="191"/>
      <c r="AK389" s="191"/>
      <c r="AL389" s="190"/>
      <c r="AM389" s="191"/>
      <c r="AN389" s="191"/>
      <c r="AO389" s="191"/>
      <c r="AP389" s="191"/>
      <c r="AQ389" s="190"/>
      <c r="AR389" s="191"/>
      <c r="AS389" s="191"/>
      <c r="AT389" s="191"/>
      <c r="AU389" s="191"/>
      <c r="AV389" s="190"/>
      <c r="AW389" s="191"/>
      <c r="AX389" s="191"/>
      <c r="AY389" s="191"/>
      <c r="AZ389" s="191"/>
      <c r="BA389" s="190"/>
      <c r="BB389" s="191"/>
      <c r="BC389" s="191"/>
      <c r="BD389" s="191"/>
      <c r="BE389" s="191"/>
      <c r="BF389" s="190"/>
      <c r="BG389" s="191"/>
      <c r="BH389" s="191"/>
      <c r="BI389" s="191"/>
      <c r="BJ389" s="191"/>
      <c r="BK389" s="190"/>
      <c r="BL389" s="191"/>
      <c r="BM389" s="191"/>
      <c r="BN389" s="191"/>
      <c r="BO389" s="191"/>
      <c r="BP389" s="190"/>
      <c r="BQ389" s="191"/>
      <c r="BR389" s="191"/>
      <c r="BS389" s="191"/>
      <c r="BT389" s="191"/>
      <c r="BU389" s="190"/>
      <c r="BV389" s="191"/>
      <c r="BW389" s="191"/>
      <c r="BX389" s="191"/>
      <c r="BY389" s="191"/>
      <c r="BZ389" s="190"/>
      <c r="CA389" s="191"/>
      <c r="CB389" s="191"/>
      <c r="CC389" s="191"/>
      <c r="CD389" s="191"/>
      <c r="CE389" s="190"/>
      <c r="CF389" s="191"/>
      <c r="CG389" s="191"/>
      <c r="CH389" s="191"/>
      <c r="CI389" s="191"/>
      <c r="CJ389" s="190"/>
      <c r="CK389" s="191"/>
      <c r="CL389" s="191"/>
      <c r="CM389" s="191"/>
      <c r="CN389" s="191"/>
      <c r="CO389" s="190"/>
      <c r="CP389" s="191"/>
      <c r="CQ389" s="191"/>
      <c r="CR389" s="191"/>
      <c r="CS389" s="191"/>
      <c r="CT389" s="190"/>
      <c r="CU389" s="191"/>
      <c r="CV389" s="191"/>
      <c r="CW389" s="191"/>
      <c r="CX389" s="191"/>
      <c r="CY389" s="190"/>
      <c r="CZ389" s="191"/>
      <c r="DA389" s="191"/>
      <c r="DB389" s="191"/>
      <c r="DC389" s="191"/>
      <c r="DD389" s="190"/>
      <c r="DE389" s="191"/>
      <c r="DF389" s="191"/>
      <c r="DG389" s="191"/>
      <c r="DH389" s="191"/>
      <c r="DI389" s="190"/>
      <c r="DJ389" s="191"/>
      <c r="DK389" s="191"/>
      <c r="DL389" s="191"/>
      <c r="DM389" s="191"/>
      <c r="DN389" s="190"/>
      <c r="DO389" s="191"/>
      <c r="DP389" s="191"/>
      <c r="DQ389" s="191"/>
      <c r="DR389" s="191"/>
      <c r="DS389" s="190"/>
      <c r="DT389" s="191"/>
      <c r="DU389" s="191"/>
      <c r="DV389" s="191"/>
      <c r="DW389" s="191"/>
      <c r="DX389" s="190"/>
      <c r="DY389" s="191"/>
      <c r="DZ389" s="191"/>
      <c r="EA389" s="191"/>
      <c r="EB389" s="191"/>
      <c r="EC389" s="190"/>
      <c r="ED389" s="191"/>
      <c r="EE389" s="191"/>
      <c r="EF389" s="191"/>
      <c r="EG389" s="191"/>
      <c r="EH389" s="190"/>
      <c r="EI389" s="191"/>
      <c r="EJ389" s="191"/>
      <c r="EK389" s="191"/>
      <c r="EL389" s="191"/>
      <c r="EM389" s="190"/>
      <c r="EN389" s="191"/>
      <c r="EO389" s="191"/>
      <c r="EP389" s="191"/>
      <c r="EQ389" s="191"/>
      <c r="ER389" s="190"/>
      <c r="ES389" s="191"/>
      <c r="ET389" s="191"/>
      <c r="EU389" s="191"/>
      <c r="EV389" s="191"/>
      <c r="EW389" s="190"/>
      <c r="EX389" s="191"/>
      <c r="EY389" s="191"/>
      <c r="EZ389" s="191"/>
      <c r="FA389" s="191"/>
      <c r="FB389" s="190"/>
      <c r="FC389" s="191"/>
      <c r="FD389" s="191"/>
      <c r="FE389" s="191"/>
      <c r="FF389" s="191"/>
      <c r="FG389" s="190"/>
      <c r="FH389" s="191"/>
      <c r="FI389" s="191"/>
      <c r="FJ389" s="191"/>
      <c r="FK389" s="191"/>
      <c r="FL389" s="190"/>
      <c r="FM389" s="191"/>
      <c r="FN389" s="191"/>
      <c r="FO389" s="191"/>
      <c r="FP389" s="191"/>
      <c r="FQ389" s="190"/>
      <c r="FR389" s="191"/>
      <c r="FS389" s="191"/>
      <c r="FT389" s="191"/>
      <c r="FU389" s="191"/>
      <c r="FV389" s="190"/>
      <c r="FW389" s="191"/>
      <c r="FX389" s="191"/>
      <c r="FY389" s="191"/>
      <c r="FZ389" s="191"/>
      <c r="GA389" s="190"/>
      <c r="GB389" s="191"/>
      <c r="GC389" s="191"/>
      <c r="GD389" s="191"/>
      <c r="GE389" s="191"/>
    </row>
    <row r="391" spans="3:187" ht="12.75" customHeight="1">
      <c r="C391" s="194"/>
      <c r="D391" s="195"/>
      <c r="E391" s="195"/>
      <c r="F391" s="195"/>
      <c r="G391" s="195"/>
      <c r="H391" s="194"/>
      <c r="I391" s="195"/>
      <c r="J391" s="195"/>
      <c r="K391" s="195"/>
      <c r="L391" s="195"/>
      <c r="M391" s="194"/>
      <c r="N391" s="195"/>
      <c r="O391" s="195"/>
      <c r="P391" s="195"/>
      <c r="Q391" s="195"/>
      <c r="R391" s="194"/>
      <c r="S391" s="195"/>
      <c r="T391" s="195"/>
      <c r="U391" s="195"/>
      <c r="V391" s="195"/>
      <c r="W391" s="194"/>
      <c r="X391" s="195"/>
      <c r="Y391" s="195"/>
      <c r="Z391" s="195"/>
      <c r="AA391" s="195"/>
      <c r="AB391" s="194"/>
      <c r="AC391" s="195"/>
      <c r="AD391" s="195"/>
      <c r="AE391" s="195"/>
      <c r="AF391" s="195"/>
      <c r="AG391" s="194"/>
      <c r="AH391" s="195"/>
      <c r="AI391" s="195"/>
      <c r="AJ391" s="195"/>
      <c r="AK391" s="195"/>
      <c r="AL391" s="194"/>
      <c r="AM391" s="195"/>
      <c r="AN391" s="195"/>
      <c r="AO391" s="195"/>
      <c r="AP391" s="195"/>
      <c r="AQ391" s="194"/>
      <c r="AR391" s="195"/>
      <c r="AS391" s="195"/>
      <c r="AT391" s="195"/>
      <c r="AU391" s="195"/>
      <c r="AV391" s="194"/>
      <c r="AW391" s="195"/>
      <c r="AX391" s="195"/>
      <c r="AY391" s="195"/>
      <c r="AZ391" s="195"/>
      <c r="BA391" s="194"/>
      <c r="BB391" s="195"/>
      <c r="BC391" s="195"/>
      <c r="BD391" s="195"/>
      <c r="BE391" s="195"/>
      <c r="BF391" s="194"/>
      <c r="BG391" s="195"/>
      <c r="BH391" s="195"/>
      <c r="BI391" s="195"/>
      <c r="BJ391" s="195"/>
      <c r="BK391" s="194"/>
      <c r="BL391" s="195"/>
      <c r="BM391" s="195"/>
      <c r="BN391" s="195"/>
      <c r="BO391" s="195"/>
      <c r="BP391" s="194"/>
      <c r="BQ391" s="195"/>
      <c r="BR391" s="195"/>
      <c r="BS391" s="195"/>
      <c r="BT391" s="195"/>
      <c r="BU391" s="194"/>
      <c r="BV391" s="195"/>
      <c r="BW391" s="195"/>
      <c r="BX391" s="195"/>
      <c r="BY391" s="195"/>
      <c r="BZ391" s="194"/>
      <c r="CA391" s="195"/>
      <c r="CB391" s="195"/>
      <c r="CC391" s="195"/>
      <c r="CD391" s="195"/>
      <c r="CE391" s="194"/>
      <c r="CF391" s="195"/>
      <c r="CG391" s="195"/>
      <c r="CH391" s="195"/>
      <c r="CI391" s="195"/>
      <c r="CJ391" s="194"/>
      <c r="CK391" s="195"/>
      <c r="CL391" s="195"/>
      <c r="CM391" s="195"/>
      <c r="CN391" s="195"/>
      <c r="CO391" s="194"/>
      <c r="CP391" s="195"/>
      <c r="CQ391" s="195"/>
      <c r="CR391" s="195"/>
      <c r="CS391" s="195"/>
      <c r="CT391" s="194"/>
      <c r="CU391" s="195"/>
      <c r="CV391" s="195"/>
      <c r="CW391" s="195"/>
      <c r="CX391" s="195"/>
      <c r="CY391" s="194"/>
      <c r="CZ391" s="195"/>
      <c r="DA391" s="195"/>
      <c r="DB391" s="195"/>
      <c r="DC391" s="195"/>
      <c r="DD391" s="194"/>
      <c r="DE391" s="195"/>
      <c r="DF391" s="195"/>
      <c r="DG391" s="195"/>
      <c r="DH391" s="195"/>
      <c r="DI391" s="194"/>
      <c r="DJ391" s="195"/>
      <c r="DK391" s="195"/>
      <c r="DL391" s="195"/>
      <c r="DM391" s="195"/>
      <c r="DN391" s="194"/>
      <c r="DO391" s="195"/>
      <c r="DP391" s="195"/>
      <c r="DQ391" s="195"/>
      <c r="DR391" s="195"/>
      <c r="DS391" s="194"/>
      <c r="DT391" s="195"/>
      <c r="DU391" s="195"/>
      <c r="DV391" s="195"/>
      <c r="DW391" s="195"/>
      <c r="DX391" s="194"/>
      <c r="DY391" s="195"/>
      <c r="DZ391" s="195"/>
      <c r="EA391" s="195"/>
      <c r="EB391" s="195"/>
      <c r="EC391" s="194"/>
      <c r="ED391" s="195"/>
      <c r="EE391" s="195"/>
      <c r="EF391" s="195"/>
      <c r="EG391" s="195"/>
      <c r="EH391" s="194"/>
      <c r="EI391" s="195"/>
      <c r="EJ391" s="195"/>
      <c r="EK391" s="195"/>
      <c r="EL391" s="195"/>
      <c r="EM391" s="194"/>
      <c r="EN391" s="195"/>
      <c r="EO391" s="195"/>
      <c r="EP391" s="195"/>
      <c r="EQ391" s="195"/>
      <c r="ER391" s="194"/>
      <c r="ES391" s="195"/>
      <c r="ET391" s="195"/>
      <c r="EU391" s="195"/>
      <c r="EV391" s="195"/>
      <c r="EW391" s="194"/>
      <c r="EX391" s="195"/>
      <c r="EY391" s="195"/>
      <c r="EZ391" s="195"/>
      <c r="FA391" s="195"/>
      <c r="FB391" s="194"/>
      <c r="FC391" s="195"/>
      <c r="FD391" s="195"/>
      <c r="FE391" s="195"/>
      <c r="FF391" s="195"/>
      <c r="FG391" s="194"/>
      <c r="FH391" s="195"/>
      <c r="FI391" s="195"/>
      <c r="FJ391" s="195"/>
      <c r="FK391" s="195"/>
      <c r="FL391" s="194"/>
      <c r="FM391" s="195"/>
      <c r="FN391" s="195"/>
      <c r="FO391" s="195"/>
      <c r="FP391" s="195"/>
      <c r="FQ391" s="194"/>
      <c r="FR391" s="195"/>
      <c r="FS391" s="195"/>
      <c r="FT391" s="195"/>
      <c r="FU391" s="195"/>
      <c r="FV391" s="194"/>
      <c r="FW391" s="195"/>
      <c r="FX391" s="195"/>
      <c r="FY391" s="195"/>
      <c r="FZ391" s="195"/>
      <c r="GA391" s="194"/>
      <c r="GB391" s="195"/>
      <c r="GC391" s="195"/>
      <c r="GD391" s="195"/>
      <c r="GE391" s="195"/>
    </row>
    <row r="392" spans="3:187" ht="12.75" customHeight="1">
      <c r="C392" s="188"/>
      <c r="D392" s="189"/>
      <c r="E392" s="189"/>
      <c r="F392" s="189"/>
      <c r="G392" s="189"/>
      <c r="H392" s="188"/>
      <c r="I392" s="189"/>
      <c r="J392" s="189"/>
      <c r="K392" s="189"/>
      <c r="L392" s="189"/>
      <c r="M392" s="188"/>
      <c r="N392" s="189"/>
      <c r="O392" s="189"/>
      <c r="P392" s="189"/>
      <c r="Q392" s="189"/>
      <c r="R392" s="188"/>
      <c r="S392" s="189"/>
      <c r="T392" s="189"/>
      <c r="U392" s="189"/>
      <c r="V392" s="189"/>
      <c r="W392" s="188"/>
      <c r="X392" s="189"/>
      <c r="Y392" s="189"/>
      <c r="Z392" s="189"/>
      <c r="AA392" s="189"/>
      <c r="AB392" s="188"/>
      <c r="AC392" s="189"/>
      <c r="AD392" s="189"/>
      <c r="AE392" s="189"/>
      <c r="AF392" s="189"/>
      <c r="AG392" s="188"/>
      <c r="AH392" s="189"/>
      <c r="AI392" s="189"/>
      <c r="AJ392" s="189"/>
      <c r="AK392" s="189"/>
      <c r="AL392" s="188"/>
      <c r="AM392" s="189"/>
      <c r="AN392" s="189"/>
      <c r="AO392" s="189"/>
      <c r="AP392" s="189"/>
      <c r="AQ392" s="188"/>
      <c r="AR392" s="189"/>
      <c r="AS392" s="189"/>
      <c r="AT392" s="189"/>
      <c r="AU392" s="189"/>
      <c r="AV392" s="188"/>
      <c r="AW392" s="189"/>
      <c r="AX392" s="189"/>
      <c r="AY392" s="189"/>
      <c r="AZ392" s="189"/>
      <c r="BA392" s="188"/>
      <c r="BB392" s="189"/>
      <c r="BC392" s="189"/>
      <c r="BD392" s="189"/>
      <c r="BE392" s="189"/>
      <c r="BF392" s="188"/>
      <c r="BG392" s="189"/>
      <c r="BH392" s="189"/>
      <c r="BI392" s="189"/>
      <c r="BJ392" s="189"/>
      <c r="BK392" s="188"/>
      <c r="BL392" s="189"/>
      <c r="BM392" s="189"/>
      <c r="BN392" s="189"/>
      <c r="BO392" s="189"/>
      <c r="BP392" s="188"/>
      <c r="BQ392" s="189"/>
      <c r="BR392" s="189"/>
      <c r="BS392" s="189"/>
      <c r="BT392" s="189"/>
      <c r="BU392" s="188"/>
      <c r="BV392" s="189"/>
      <c r="BW392" s="189"/>
      <c r="BX392" s="189"/>
      <c r="BY392" s="189"/>
      <c r="BZ392" s="188"/>
      <c r="CA392" s="189"/>
      <c r="CB392" s="189"/>
      <c r="CC392" s="189"/>
      <c r="CD392" s="189"/>
      <c r="CE392" s="188"/>
      <c r="CF392" s="189"/>
      <c r="CG392" s="189"/>
      <c r="CH392" s="189"/>
      <c r="CI392" s="189"/>
      <c r="CJ392" s="188"/>
      <c r="CK392" s="189"/>
      <c r="CL392" s="189"/>
      <c r="CM392" s="189"/>
      <c r="CN392" s="189"/>
      <c r="CO392" s="188"/>
      <c r="CP392" s="189"/>
      <c r="CQ392" s="189"/>
      <c r="CR392" s="189"/>
      <c r="CS392" s="189"/>
      <c r="CT392" s="188"/>
      <c r="CU392" s="189"/>
      <c r="CV392" s="189"/>
      <c r="CW392" s="189"/>
      <c r="CX392" s="189"/>
      <c r="CY392" s="188"/>
      <c r="CZ392" s="189"/>
      <c r="DA392" s="189"/>
      <c r="DB392" s="189"/>
      <c r="DC392" s="189"/>
      <c r="DD392" s="188"/>
      <c r="DE392" s="189"/>
      <c r="DF392" s="189"/>
      <c r="DG392" s="189"/>
      <c r="DH392" s="189"/>
      <c r="DI392" s="188"/>
      <c r="DJ392" s="189"/>
      <c r="DK392" s="189"/>
      <c r="DL392" s="189"/>
      <c r="DM392" s="189"/>
      <c r="DN392" s="188"/>
      <c r="DO392" s="189"/>
      <c r="DP392" s="189"/>
      <c r="DQ392" s="189"/>
      <c r="DR392" s="189"/>
      <c r="DS392" s="188"/>
      <c r="DT392" s="189"/>
      <c r="DU392" s="189"/>
      <c r="DV392" s="189"/>
      <c r="DW392" s="189"/>
      <c r="DX392" s="188"/>
      <c r="DY392" s="189"/>
      <c r="DZ392" s="189"/>
      <c r="EA392" s="189"/>
      <c r="EB392" s="189"/>
      <c r="EC392" s="188"/>
      <c r="ED392" s="189"/>
      <c r="EE392" s="189"/>
      <c r="EF392" s="189"/>
      <c r="EG392" s="189"/>
      <c r="EH392" s="188"/>
      <c r="EI392" s="189"/>
      <c r="EJ392" s="189"/>
      <c r="EK392" s="189"/>
      <c r="EL392" s="189"/>
      <c r="EM392" s="188"/>
      <c r="EN392" s="189"/>
      <c r="EO392" s="189"/>
      <c r="EP392" s="189"/>
      <c r="EQ392" s="189"/>
      <c r="ER392" s="188"/>
      <c r="ES392" s="189"/>
      <c r="ET392" s="189"/>
      <c r="EU392" s="189"/>
      <c r="EV392" s="189"/>
      <c r="EW392" s="188"/>
      <c r="EX392" s="189"/>
      <c r="EY392" s="189"/>
      <c r="EZ392" s="189"/>
      <c r="FA392" s="189"/>
      <c r="FB392" s="188"/>
      <c r="FC392" s="189"/>
      <c r="FD392" s="189"/>
      <c r="FE392" s="189"/>
      <c r="FF392" s="189"/>
      <c r="FG392" s="188"/>
      <c r="FH392" s="189"/>
      <c r="FI392" s="189"/>
      <c r="FJ392" s="189"/>
      <c r="FK392" s="189"/>
      <c r="FL392" s="188"/>
      <c r="FM392" s="189"/>
      <c r="FN392" s="189"/>
      <c r="FO392" s="189"/>
      <c r="FP392" s="189"/>
      <c r="FQ392" s="188"/>
      <c r="FR392" s="189"/>
      <c r="FS392" s="189"/>
      <c r="FT392" s="189"/>
      <c r="FU392" s="189"/>
      <c r="FV392" s="188"/>
      <c r="FW392" s="189"/>
      <c r="FX392" s="189"/>
      <c r="FY392" s="189"/>
      <c r="FZ392" s="189"/>
      <c r="GA392" s="188"/>
      <c r="GB392" s="189"/>
      <c r="GC392" s="189"/>
      <c r="GD392" s="189"/>
      <c r="GE392" s="189"/>
    </row>
    <row r="393" spans="3:187" ht="12.75" customHeight="1">
      <c r="C393" s="139"/>
      <c r="D393" s="105"/>
      <c r="E393" s="105"/>
      <c r="F393" s="105"/>
      <c r="G393" s="105"/>
      <c r="H393" s="139"/>
      <c r="I393" s="105"/>
      <c r="J393" s="105"/>
      <c r="K393" s="105"/>
      <c r="L393" s="105"/>
      <c r="M393" s="139"/>
      <c r="N393" s="105"/>
      <c r="O393" s="105"/>
      <c r="P393" s="105"/>
      <c r="Q393" s="105"/>
      <c r="R393" s="139"/>
      <c r="S393" s="105"/>
      <c r="T393" s="105"/>
      <c r="U393" s="105"/>
      <c r="V393" s="105"/>
      <c r="W393" s="139"/>
      <c r="X393" s="105"/>
      <c r="Y393" s="105"/>
      <c r="Z393" s="105"/>
      <c r="AA393" s="105"/>
      <c r="AB393" s="139"/>
      <c r="AC393" s="105"/>
      <c r="AD393" s="105"/>
      <c r="AE393" s="105"/>
      <c r="AF393" s="105"/>
      <c r="AG393" s="139"/>
      <c r="AH393" s="105"/>
      <c r="AI393" s="105"/>
      <c r="AJ393" s="105"/>
      <c r="AK393" s="105"/>
      <c r="AL393" s="139"/>
      <c r="AM393" s="105"/>
      <c r="AN393" s="105"/>
      <c r="AO393" s="105"/>
      <c r="AP393" s="105"/>
      <c r="AQ393" s="139"/>
      <c r="AR393" s="105"/>
      <c r="AS393" s="105"/>
      <c r="AT393" s="105"/>
      <c r="AU393" s="105"/>
      <c r="AV393" s="139"/>
      <c r="AW393" s="105"/>
      <c r="AX393" s="105"/>
      <c r="AY393" s="105"/>
      <c r="AZ393" s="105"/>
      <c r="BA393" s="139"/>
      <c r="BB393" s="105"/>
      <c r="BC393" s="105"/>
      <c r="BD393" s="105"/>
      <c r="BE393" s="105"/>
      <c r="BF393" s="139"/>
      <c r="BG393" s="105"/>
      <c r="BH393" s="105"/>
      <c r="BI393" s="105"/>
      <c r="BJ393" s="105"/>
      <c r="BK393" s="139"/>
      <c r="BL393" s="105"/>
      <c r="BM393" s="105"/>
      <c r="BN393" s="105"/>
      <c r="BO393" s="105"/>
      <c r="BP393" s="139"/>
      <c r="BQ393" s="105"/>
      <c r="BR393" s="105"/>
      <c r="BS393" s="105"/>
      <c r="BT393" s="105"/>
      <c r="BU393" s="139"/>
      <c r="BV393" s="105"/>
      <c r="BW393" s="105"/>
      <c r="BX393" s="105"/>
      <c r="BY393" s="105"/>
      <c r="BZ393" s="139"/>
      <c r="CA393" s="105"/>
      <c r="CB393" s="105"/>
      <c r="CC393" s="105"/>
      <c r="CD393" s="105"/>
      <c r="CE393" s="139"/>
      <c r="CF393" s="105"/>
      <c r="CG393" s="105"/>
      <c r="CH393" s="105"/>
      <c r="CI393" s="105"/>
      <c r="CJ393" s="139"/>
      <c r="CK393" s="105"/>
      <c r="CL393" s="105"/>
      <c r="CM393" s="105"/>
      <c r="CN393" s="105"/>
      <c r="CO393" s="139"/>
      <c r="CP393" s="105"/>
      <c r="CQ393" s="105"/>
      <c r="CR393" s="105"/>
      <c r="CS393" s="105"/>
      <c r="CT393" s="139"/>
      <c r="CU393" s="105"/>
      <c r="CV393" s="105"/>
      <c r="CW393" s="105"/>
      <c r="CX393" s="105"/>
      <c r="CY393" s="139"/>
      <c r="CZ393" s="105"/>
      <c r="DA393" s="105"/>
      <c r="DB393" s="105"/>
      <c r="DC393" s="105"/>
      <c r="DD393" s="139"/>
      <c r="DE393" s="105"/>
      <c r="DF393" s="105"/>
      <c r="DG393" s="105"/>
      <c r="DH393" s="105"/>
      <c r="DI393" s="139"/>
      <c r="DJ393" s="105"/>
      <c r="DK393" s="105"/>
      <c r="DL393" s="105"/>
      <c r="DM393" s="105"/>
      <c r="DN393" s="139"/>
      <c r="DO393" s="105"/>
      <c r="DP393" s="105"/>
      <c r="DQ393" s="105"/>
      <c r="DR393" s="105"/>
      <c r="DS393" s="139"/>
      <c r="DT393" s="105"/>
      <c r="DU393" s="105"/>
      <c r="DV393" s="105"/>
      <c r="DW393" s="105"/>
      <c r="DX393" s="139"/>
      <c r="DY393" s="105"/>
      <c r="DZ393" s="105"/>
      <c r="EA393" s="105"/>
      <c r="EB393" s="105"/>
      <c r="EC393" s="139"/>
      <c r="ED393" s="105"/>
      <c r="EE393" s="105"/>
      <c r="EF393" s="105"/>
      <c r="EG393" s="105"/>
      <c r="EH393" s="139"/>
      <c r="EI393" s="105"/>
      <c r="EJ393" s="105"/>
      <c r="EK393" s="105"/>
      <c r="EL393" s="105"/>
      <c r="EM393" s="139"/>
      <c r="EN393" s="105"/>
      <c r="EO393" s="105"/>
      <c r="EP393" s="105"/>
      <c r="EQ393" s="105"/>
      <c r="ER393" s="139"/>
      <c r="ES393" s="105"/>
      <c r="ET393" s="105"/>
      <c r="EU393" s="105"/>
      <c r="EV393" s="105"/>
      <c r="EW393" s="139"/>
      <c r="EX393" s="105"/>
      <c r="EY393" s="105"/>
      <c r="EZ393" s="105"/>
      <c r="FA393" s="105"/>
      <c r="FB393" s="139"/>
      <c r="FC393" s="105"/>
      <c r="FD393" s="105"/>
      <c r="FE393" s="105"/>
      <c r="FF393" s="105"/>
      <c r="FG393" s="139"/>
      <c r="FH393" s="105"/>
      <c r="FI393" s="105"/>
      <c r="FJ393" s="105"/>
      <c r="FK393" s="105"/>
      <c r="FL393" s="139"/>
      <c r="FM393" s="105"/>
      <c r="FN393" s="105"/>
      <c r="FO393" s="105"/>
      <c r="FP393" s="105"/>
      <c r="FQ393" s="139"/>
      <c r="FR393" s="105"/>
      <c r="FS393" s="105"/>
      <c r="FT393" s="105"/>
      <c r="FU393" s="105"/>
      <c r="FV393" s="139"/>
      <c r="FW393" s="105"/>
      <c r="FX393" s="105"/>
      <c r="FY393" s="105"/>
      <c r="FZ393" s="105"/>
      <c r="GA393" s="139"/>
      <c r="GB393" s="105"/>
      <c r="GC393" s="105"/>
      <c r="GD393" s="105"/>
      <c r="GE393" s="105"/>
    </row>
    <row r="394" spans="3:187" ht="12.75" customHeight="1">
      <c r="C394" s="190"/>
      <c r="D394" s="191"/>
      <c r="E394" s="191"/>
      <c r="F394" s="191"/>
      <c r="G394" s="191"/>
      <c r="H394" s="190"/>
      <c r="I394" s="191"/>
      <c r="J394" s="191"/>
      <c r="K394" s="191"/>
      <c r="L394" s="191"/>
      <c r="M394" s="190"/>
      <c r="N394" s="191"/>
      <c r="O394" s="191"/>
      <c r="P394" s="191"/>
      <c r="Q394" s="191"/>
      <c r="R394" s="190"/>
      <c r="S394" s="191"/>
      <c r="T394" s="191"/>
      <c r="U394" s="191"/>
      <c r="V394" s="191"/>
      <c r="W394" s="190"/>
      <c r="X394" s="191"/>
      <c r="Y394" s="191"/>
      <c r="Z394" s="191"/>
      <c r="AA394" s="191"/>
      <c r="AB394" s="190"/>
      <c r="AC394" s="191"/>
      <c r="AD394" s="191"/>
      <c r="AE394" s="191"/>
      <c r="AF394" s="191"/>
      <c r="AG394" s="190"/>
      <c r="AH394" s="191"/>
      <c r="AI394" s="191"/>
      <c r="AJ394" s="191"/>
      <c r="AK394" s="191"/>
      <c r="AL394" s="190"/>
      <c r="AM394" s="191"/>
      <c r="AN394" s="191"/>
      <c r="AO394" s="191"/>
      <c r="AP394" s="191"/>
      <c r="AQ394" s="190"/>
      <c r="AR394" s="191"/>
      <c r="AS394" s="191"/>
      <c r="AT394" s="191"/>
      <c r="AU394" s="191"/>
      <c r="AV394" s="190"/>
      <c r="AW394" s="191"/>
      <c r="AX394" s="191"/>
      <c r="AY394" s="191"/>
      <c r="AZ394" s="191"/>
      <c r="BA394" s="190"/>
      <c r="BB394" s="191"/>
      <c r="BC394" s="191"/>
      <c r="BD394" s="191"/>
      <c r="BE394" s="191"/>
      <c r="BF394" s="190"/>
      <c r="BG394" s="191"/>
      <c r="BH394" s="191"/>
      <c r="BI394" s="191"/>
      <c r="BJ394" s="191"/>
      <c r="BK394" s="190"/>
      <c r="BL394" s="191"/>
      <c r="BM394" s="191"/>
      <c r="BN394" s="191"/>
      <c r="BO394" s="191"/>
      <c r="BP394" s="190"/>
      <c r="BQ394" s="191"/>
      <c r="BR394" s="191"/>
      <c r="BS394" s="191"/>
      <c r="BT394" s="191"/>
      <c r="BU394" s="190"/>
      <c r="BV394" s="191"/>
      <c r="BW394" s="191"/>
      <c r="BX394" s="191"/>
      <c r="BY394" s="191"/>
      <c r="BZ394" s="190"/>
      <c r="CA394" s="191"/>
      <c r="CB394" s="191"/>
      <c r="CC394" s="191"/>
      <c r="CD394" s="191"/>
      <c r="CE394" s="190"/>
      <c r="CF394" s="191"/>
      <c r="CG394" s="191"/>
      <c r="CH394" s="191"/>
      <c r="CI394" s="191"/>
      <c r="CJ394" s="190"/>
      <c r="CK394" s="191"/>
      <c r="CL394" s="191"/>
      <c r="CM394" s="191"/>
      <c r="CN394" s="191"/>
      <c r="CO394" s="190"/>
      <c r="CP394" s="191"/>
      <c r="CQ394" s="191"/>
      <c r="CR394" s="191"/>
      <c r="CS394" s="191"/>
      <c r="CT394" s="190"/>
      <c r="CU394" s="191"/>
      <c r="CV394" s="191"/>
      <c r="CW394" s="191"/>
      <c r="CX394" s="191"/>
      <c r="CY394" s="190"/>
      <c r="CZ394" s="191"/>
      <c r="DA394" s="191"/>
      <c r="DB394" s="191"/>
      <c r="DC394" s="191"/>
      <c r="DD394" s="190"/>
      <c r="DE394" s="191"/>
      <c r="DF394" s="191"/>
      <c r="DG394" s="191"/>
      <c r="DH394" s="191"/>
      <c r="DI394" s="190"/>
      <c r="DJ394" s="191"/>
      <c r="DK394" s="191"/>
      <c r="DL394" s="191"/>
      <c r="DM394" s="191"/>
      <c r="DN394" s="190"/>
      <c r="DO394" s="191"/>
      <c r="DP394" s="191"/>
      <c r="DQ394" s="191"/>
      <c r="DR394" s="191"/>
      <c r="DS394" s="190"/>
      <c r="DT394" s="191"/>
      <c r="DU394" s="191"/>
      <c r="DV394" s="191"/>
      <c r="DW394" s="191"/>
      <c r="DX394" s="190"/>
      <c r="DY394" s="191"/>
      <c r="DZ394" s="191"/>
      <c r="EA394" s="191"/>
      <c r="EB394" s="191"/>
      <c r="EC394" s="190"/>
      <c r="ED394" s="191"/>
      <c r="EE394" s="191"/>
      <c r="EF394" s="191"/>
      <c r="EG394" s="191"/>
      <c r="EH394" s="190"/>
      <c r="EI394" s="191"/>
      <c r="EJ394" s="191"/>
      <c r="EK394" s="191"/>
      <c r="EL394" s="191"/>
      <c r="EM394" s="190"/>
      <c r="EN394" s="191"/>
      <c r="EO394" s="191"/>
      <c r="EP394" s="191"/>
      <c r="EQ394" s="191"/>
      <c r="ER394" s="190"/>
      <c r="ES394" s="191"/>
      <c r="ET394" s="191"/>
      <c r="EU394" s="191"/>
      <c r="EV394" s="191"/>
      <c r="EW394" s="190"/>
      <c r="EX394" s="191"/>
      <c r="EY394" s="191"/>
      <c r="EZ394" s="191"/>
      <c r="FA394" s="191"/>
      <c r="FB394" s="190"/>
      <c r="FC394" s="191"/>
      <c r="FD394" s="191"/>
      <c r="FE394" s="191"/>
      <c r="FF394" s="191"/>
      <c r="FG394" s="190"/>
      <c r="FH394" s="191"/>
      <c r="FI394" s="191"/>
      <c r="FJ394" s="191"/>
      <c r="FK394" s="191"/>
      <c r="FL394" s="190"/>
      <c r="FM394" s="191"/>
      <c r="FN394" s="191"/>
      <c r="FO394" s="191"/>
      <c r="FP394" s="191"/>
      <c r="FQ394" s="190"/>
      <c r="FR394" s="191"/>
      <c r="FS394" s="191"/>
      <c r="FT394" s="191"/>
      <c r="FU394" s="191"/>
      <c r="FV394" s="190"/>
      <c r="FW394" s="191"/>
      <c r="FX394" s="191"/>
      <c r="FY394" s="191"/>
      <c r="FZ394" s="191"/>
      <c r="GA394" s="190"/>
      <c r="GB394" s="191"/>
      <c r="GC394" s="191"/>
      <c r="GD394" s="191"/>
      <c r="GE394" s="191"/>
    </row>
    <row r="396" spans="3:187" ht="12.75" customHeight="1">
      <c r="C396" s="196"/>
      <c r="D396" s="197"/>
      <c r="E396" s="197"/>
      <c r="F396" s="197"/>
      <c r="G396" s="197"/>
      <c r="H396" s="196"/>
      <c r="I396" s="197"/>
      <c r="J396" s="197"/>
      <c r="K396" s="197"/>
      <c r="L396" s="197"/>
      <c r="M396" s="196"/>
      <c r="N396" s="197"/>
      <c r="O396" s="197"/>
      <c r="P396" s="197"/>
      <c r="Q396" s="197"/>
      <c r="R396" s="196"/>
      <c r="S396" s="197"/>
      <c r="T396" s="197"/>
      <c r="U396" s="197"/>
      <c r="V396" s="197"/>
      <c r="W396" s="196"/>
      <c r="X396" s="197"/>
      <c r="Y396" s="197"/>
      <c r="Z396" s="197"/>
      <c r="AA396" s="197"/>
      <c r="AB396" s="196"/>
      <c r="AC396" s="197"/>
      <c r="AD396" s="197"/>
      <c r="AE396" s="197"/>
      <c r="AF396" s="197"/>
      <c r="AG396" s="196"/>
      <c r="AH396" s="197"/>
      <c r="AI396" s="197"/>
      <c r="AJ396" s="197"/>
      <c r="AK396" s="197"/>
      <c r="AL396" s="196"/>
      <c r="AM396" s="197"/>
      <c r="AN396" s="197"/>
      <c r="AO396" s="197"/>
      <c r="AP396" s="197"/>
      <c r="AQ396" s="196"/>
      <c r="AR396" s="197"/>
      <c r="AS396" s="197"/>
      <c r="AT396" s="197"/>
      <c r="AU396" s="197"/>
      <c r="AV396" s="196"/>
      <c r="AW396" s="197"/>
      <c r="AX396" s="197"/>
      <c r="AY396" s="197"/>
      <c r="AZ396" s="197"/>
      <c r="BA396" s="196"/>
      <c r="BB396" s="197"/>
      <c r="BC396" s="197"/>
      <c r="BD396" s="197"/>
      <c r="BE396" s="197"/>
      <c r="BF396" s="196"/>
      <c r="BG396" s="197"/>
      <c r="BH396" s="197"/>
      <c r="BI396" s="197"/>
      <c r="BJ396" s="197"/>
      <c r="BK396" s="196"/>
      <c r="BL396" s="197"/>
      <c r="BM396" s="197"/>
      <c r="BN396" s="197"/>
      <c r="BO396" s="197"/>
      <c r="BP396" s="196"/>
      <c r="BQ396" s="197"/>
      <c r="BR396" s="197"/>
      <c r="BS396" s="197"/>
      <c r="BT396" s="197"/>
      <c r="BU396" s="196"/>
      <c r="BV396" s="197"/>
      <c r="BW396" s="197"/>
      <c r="BX396" s="197"/>
      <c r="BY396" s="197"/>
      <c r="BZ396" s="196"/>
      <c r="CA396" s="197"/>
      <c r="CB396" s="197"/>
      <c r="CC396" s="197"/>
      <c r="CD396" s="197"/>
      <c r="CE396" s="196"/>
      <c r="CF396" s="197"/>
      <c r="CG396" s="197"/>
      <c r="CH396" s="197"/>
      <c r="CI396" s="197"/>
      <c r="CJ396" s="196"/>
      <c r="CK396" s="197"/>
      <c r="CL396" s="197"/>
      <c r="CM396" s="197"/>
      <c r="CN396" s="197"/>
      <c r="CO396" s="196"/>
      <c r="CP396" s="197"/>
      <c r="CQ396" s="197"/>
      <c r="CR396" s="197"/>
      <c r="CS396" s="197"/>
      <c r="CT396" s="196"/>
      <c r="CU396" s="197"/>
      <c r="CV396" s="197"/>
      <c r="CW396" s="197"/>
      <c r="CX396" s="197"/>
      <c r="CY396" s="196"/>
      <c r="CZ396" s="197"/>
      <c r="DA396" s="197"/>
      <c r="DB396" s="197"/>
      <c r="DC396" s="197"/>
      <c r="DD396" s="196"/>
      <c r="DE396" s="197"/>
      <c r="DF396" s="197"/>
      <c r="DG396" s="197"/>
      <c r="DH396" s="197"/>
      <c r="DI396" s="196"/>
      <c r="DJ396" s="197"/>
      <c r="DK396" s="197"/>
      <c r="DL396" s="197"/>
      <c r="DM396" s="197"/>
      <c r="DN396" s="196"/>
      <c r="DO396" s="197"/>
      <c r="DP396" s="197"/>
      <c r="DQ396" s="197"/>
      <c r="DR396" s="197"/>
      <c r="DS396" s="196"/>
      <c r="DT396" s="197"/>
      <c r="DU396" s="197"/>
      <c r="DV396" s="197"/>
      <c r="DW396" s="197"/>
      <c r="DX396" s="196"/>
      <c r="DY396" s="197"/>
      <c r="DZ396" s="197"/>
      <c r="EA396" s="197"/>
      <c r="EB396" s="197"/>
      <c r="EC396" s="196"/>
      <c r="ED396" s="197"/>
      <c r="EE396" s="197"/>
      <c r="EF396" s="197"/>
      <c r="EG396" s="197"/>
      <c r="EH396" s="196"/>
      <c r="EI396" s="197"/>
      <c r="EJ396" s="197"/>
      <c r="EK396" s="197"/>
      <c r="EL396" s="197"/>
      <c r="EM396" s="196"/>
      <c r="EN396" s="197"/>
      <c r="EO396" s="197"/>
      <c r="EP396" s="197"/>
      <c r="EQ396" s="197"/>
      <c r="ER396" s="196"/>
      <c r="ES396" s="197"/>
      <c r="ET396" s="197"/>
      <c r="EU396" s="197"/>
      <c r="EV396" s="197"/>
      <c r="EW396" s="196"/>
      <c r="EX396" s="197"/>
      <c r="EY396" s="197"/>
      <c r="EZ396" s="197"/>
      <c r="FA396" s="197"/>
      <c r="FB396" s="196"/>
      <c r="FC396" s="197"/>
      <c r="FD396" s="197"/>
      <c r="FE396" s="197"/>
      <c r="FF396" s="197"/>
      <c r="FG396" s="196"/>
      <c r="FH396" s="197"/>
      <c r="FI396" s="197"/>
      <c r="FJ396" s="197"/>
      <c r="FK396" s="197"/>
      <c r="FL396" s="196"/>
      <c r="FM396" s="197"/>
      <c r="FN396" s="197"/>
      <c r="FO396" s="197"/>
      <c r="FP396" s="197"/>
      <c r="FQ396" s="196"/>
      <c r="FR396" s="197"/>
      <c r="FS396" s="197"/>
      <c r="FT396" s="197"/>
      <c r="FU396" s="197"/>
      <c r="FV396" s="196"/>
      <c r="FW396" s="197"/>
      <c r="FX396" s="197"/>
      <c r="FY396" s="197"/>
      <c r="FZ396" s="197"/>
      <c r="GA396" s="196"/>
      <c r="GB396" s="197"/>
      <c r="GC396" s="197"/>
      <c r="GD396" s="197"/>
      <c r="GE396" s="197"/>
    </row>
    <row r="397" spans="3:187" ht="12.75" customHeight="1">
      <c r="C397" s="198"/>
      <c r="D397" s="199"/>
      <c r="E397" s="199"/>
      <c r="F397" s="199"/>
      <c r="G397" s="199"/>
      <c r="H397" s="198"/>
      <c r="I397" s="199"/>
      <c r="J397" s="199"/>
      <c r="K397" s="199"/>
      <c r="L397" s="199"/>
      <c r="M397" s="198"/>
      <c r="N397" s="199"/>
      <c r="O397" s="199"/>
      <c r="P397" s="199"/>
      <c r="Q397" s="199"/>
      <c r="R397" s="198"/>
      <c r="S397" s="199"/>
      <c r="T397" s="199"/>
      <c r="U397" s="199"/>
      <c r="V397" s="199"/>
      <c r="W397" s="198"/>
      <c r="X397" s="199"/>
      <c r="Y397" s="199"/>
      <c r="Z397" s="199"/>
      <c r="AA397" s="199"/>
      <c r="AB397" s="198"/>
      <c r="AC397" s="199"/>
      <c r="AD397" s="199"/>
      <c r="AE397" s="199"/>
      <c r="AF397" s="199"/>
      <c r="AG397" s="198"/>
      <c r="AH397" s="199"/>
      <c r="AI397" s="199"/>
      <c r="AJ397" s="199"/>
      <c r="AK397" s="199"/>
      <c r="AL397" s="198"/>
      <c r="AM397" s="199"/>
      <c r="AN397" s="199"/>
      <c r="AO397" s="199"/>
      <c r="AP397" s="199"/>
      <c r="AQ397" s="198"/>
      <c r="AR397" s="199"/>
      <c r="AS397" s="199"/>
      <c r="AT397" s="199"/>
      <c r="AU397" s="199"/>
      <c r="AV397" s="198"/>
      <c r="AW397" s="199"/>
      <c r="AX397" s="199"/>
      <c r="AY397" s="199"/>
      <c r="AZ397" s="199"/>
      <c r="BA397" s="198"/>
      <c r="BB397" s="199"/>
      <c r="BC397" s="199"/>
      <c r="BD397" s="199"/>
      <c r="BE397" s="199"/>
      <c r="BF397" s="198"/>
      <c r="BG397" s="199"/>
      <c r="BH397" s="199"/>
      <c r="BI397" s="199"/>
      <c r="BJ397" s="199"/>
      <c r="BK397" s="198"/>
      <c r="BL397" s="199"/>
      <c r="BM397" s="199"/>
      <c r="BN397" s="199"/>
      <c r="BO397" s="199"/>
      <c r="BP397" s="198"/>
      <c r="BQ397" s="199"/>
      <c r="BR397" s="199"/>
      <c r="BS397" s="199"/>
      <c r="BT397" s="199"/>
      <c r="BU397" s="198"/>
      <c r="BV397" s="199"/>
      <c r="BW397" s="199"/>
      <c r="BX397" s="199"/>
      <c r="BY397" s="199"/>
      <c r="BZ397" s="198"/>
      <c r="CA397" s="199"/>
      <c r="CB397" s="199"/>
      <c r="CC397" s="199"/>
      <c r="CD397" s="199"/>
      <c r="CE397" s="198"/>
      <c r="CF397" s="199"/>
      <c r="CG397" s="199"/>
      <c r="CH397" s="199"/>
      <c r="CI397" s="199"/>
      <c r="CJ397" s="198"/>
      <c r="CK397" s="199"/>
      <c r="CL397" s="199"/>
      <c r="CM397" s="199"/>
      <c r="CN397" s="199"/>
      <c r="CO397" s="198"/>
      <c r="CP397" s="199"/>
      <c r="CQ397" s="199"/>
      <c r="CR397" s="199"/>
      <c r="CS397" s="199"/>
      <c r="CT397" s="198"/>
      <c r="CU397" s="199"/>
      <c r="CV397" s="199"/>
      <c r="CW397" s="199"/>
      <c r="CX397" s="199"/>
      <c r="CY397" s="198"/>
      <c r="CZ397" s="199"/>
      <c r="DA397" s="199"/>
      <c r="DB397" s="199"/>
      <c r="DC397" s="199"/>
      <c r="DD397" s="198"/>
      <c r="DE397" s="199"/>
      <c r="DF397" s="199"/>
      <c r="DG397" s="199"/>
      <c r="DH397" s="199"/>
      <c r="DI397" s="198"/>
      <c r="DJ397" s="199"/>
      <c r="DK397" s="199"/>
      <c r="DL397" s="199"/>
      <c r="DM397" s="199"/>
      <c r="DN397" s="198"/>
      <c r="DO397" s="199"/>
      <c r="DP397" s="199"/>
      <c r="DQ397" s="199"/>
      <c r="DR397" s="199"/>
      <c r="DS397" s="198"/>
      <c r="DT397" s="199"/>
      <c r="DU397" s="199"/>
      <c r="DV397" s="199"/>
      <c r="DW397" s="199"/>
      <c r="DX397" s="198"/>
      <c r="DY397" s="199"/>
      <c r="DZ397" s="199"/>
      <c r="EA397" s="199"/>
      <c r="EB397" s="199"/>
      <c r="EC397" s="198"/>
      <c r="ED397" s="199"/>
      <c r="EE397" s="199"/>
      <c r="EF397" s="199"/>
      <c r="EG397" s="199"/>
      <c r="EH397" s="198"/>
      <c r="EI397" s="199"/>
      <c r="EJ397" s="199"/>
      <c r="EK397" s="199"/>
      <c r="EL397" s="199"/>
      <c r="EM397" s="198"/>
      <c r="EN397" s="199"/>
      <c r="EO397" s="199"/>
      <c r="EP397" s="199"/>
      <c r="EQ397" s="199"/>
      <c r="ER397" s="198"/>
      <c r="ES397" s="199"/>
      <c r="ET397" s="199"/>
      <c r="EU397" s="199"/>
      <c r="EV397" s="199"/>
      <c r="EW397" s="198"/>
      <c r="EX397" s="199"/>
      <c r="EY397" s="199"/>
      <c r="EZ397" s="199"/>
      <c r="FA397" s="199"/>
      <c r="FB397" s="198"/>
      <c r="FC397" s="199"/>
      <c r="FD397" s="199"/>
      <c r="FE397" s="199"/>
      <c r="FF397" s="199"/>
      <c r="FG397" s="198"/>
      <c r="FH397" s="199"/>
      <c r="FI397" s="199"/>
      <c r="FJ397" s="199"/>
      <c r="FK397" s="199"/>
      <c r="FL397" s="198"/>
      <c r="FM397" s="199"/>
      <c r="FN397" s="199"/>
      <c r="FO397" s="199"/>
      <c r="FP397" s="199"/>
      <c r="FQ397" s="198"/>
      <c r="FR397" s="199"/>
      <c r="FS397" s="199"/>
      <c r="FT397" s="199"/>
      <c r="FU397" s="199"/>
      <c r="FV397" s="198"/>
      <c r="FW397" s="199"/>
      <c r="FX397" s="199"/>
      <c r="FY397" s="199"/>
      <c r="FZ397" s="199"/>
      <c r="GA397" s="198"/>
      <c r="GB397" s="199"/>
      <c r="GC397" s="199"/>
      <c r="GD397" s="199"/>
      <c r="GE397" s="199"/>
    </row>
    <row r="398" spans="3:187" ht="12.75" customHeight="1">
      <c r="C398" s="139"/>
      <c r="D398" s="105"/>
      <c r="E398" s="105"/>
      <c r="F398" s="105"/>
      <c r="G398" s="105"/>
      <c r="H398" s="139"/>
      <c r="I398" s="105"/>
      <c r="J398" s="105"/>
      <c r="K398" s="105"/>
      <c r="L398" s="105"/>
      <c r="M398" s="139"/>
      <c r="N398" s="105"/>
      <c r="O398" s="105"/>
      <c r="P398" s="105"/>
      <c r="Q398" s="105"/>
      <c r="R398" s="139"/>
      <c r="S398" s="105"/>
      <c r="T398" s="105"/>
      <c r="U398" s="105"/>
      <c r="V398" s="105"/>
      <c r="W398" s="139"/>
      <c r="X398" s="105"/>
      <c r="Y398" s="105"/>
      <c r="Z398" s="105"/>
      <c r="AA398" s="105"/>
      <c r="AB398" s="139"/>
      <c r="AC398" s="105"/>
      <c r="AD398" s="105"/>
      <c r="AE398" s="105"/>
      <c r="AF398" s="105"/>
      <c r="AG398" s="139"/>
      <c r="AH398" s="105"/>
      <c r="AI398" s="105"/>
      <c r="AJ398" s="105"/>
      <c r="AK398" s="105"/>
      <c r="AL398" s="139"/>
      <c r="AM398" s="105"/>
      <c r="AN398" s="105"/>
      <c r="AO398" s="105"/>
      <c r="AP398" s="105"/>
      <c r="AQ398" s="139"/>
      <c r="AR398" s="105"/>
      <c r="AS398" s="105"/>
      <c r="AT398" s="105"/>
      <c r="AU398" s="105"/>
      <c r="AV398" s="139"/>
      <c r="AW398" s="105"/>
      <c r="AX398" s="105"/>
      <c r="AY398" s="105"/>
      <c r="AZ398" s="105"/>
      <c r="BA398" s="139"/>
      <c r="BB398" s="105"/>
      <c r="BC398" s="105"/>
      <c r="BD398" s="105"/>
      <c r="BE398" s="105"/>
      <c r="BF398" s="139"/>
      <c r="BG398" s="105"/>
      <c r="BH398" s="105"/>
      <c r="BI398" s="105"/>
      <c r="BJ398" s="105"/>
      <c r="BK398" s="139"/>
      <c r="BL398" s="105"/>
      <c r="BM398" s="105"/>
      <c r="BN398" s="105"/>
      <c r="BO398" s="105"/>
      <c r="BP398" s="139"/>
      <c r="BQ398" s="105"/>
      <c r="BR398" s="105"/>
      <c r="BS398" s="105"/>
      <c r="BT398" s="105"/>
      <c r="BU398" s="139"/>
      <c r="BV398" s="105"/>
      <c r="BW398" s="105"/>
      <c r="BX398" s="105"/>
      <c r="BY398" s="105"/>
      <c r="BZ398" s="139"/>
      <c r="CA398" s="105"/>
      <c r="CB398" s="105"/>
      <c r="CC398" s="105"/>
      <c r="CD398" s="105"/>
      <c r="CE398" s="139"/>
      <c r="CF398" s="105"/>
      <c r="CG398" s="105"/>
      <c r="CH398" s="105"/>
      <c r="CI398" s="105"/>
      <c r="CJ398" s="139"/>
      <c r="CK398" s="105"/>
      <c r="CL398" s="105"/>
      <c r="CM398" s="105"/>
      <c r="CN398" s="105"/>
      <c r="CO398" s="139"/>
      <c r="CP398" s="105"/>
      <c r="CQ398" s="105"/>
      <c r="CR398" s="105"/>
      <c r="CS398" s="105"/>
      <c r="CT398" s="139"/>
      <c r="CU398" s="105"/>
      <c r="CV398" s="105"/>
      <c r="CW398" s="105"/>
      <c r="CX398" s="105"/>
      <c r="CY398" s="139"/>
      <c r="CZ398" s="105"/>
      <c r="DA398" s="105"/>
      <c r="DB398" s="105"/>
      <c r="DC398" s="105"/>
      <c r="DD398" s="139"/>
      <c r="DE398" s="105"/>
      <c r="DF398" s="105"/>
      <c r="DG398" s="105"/>
      <c r="DH398" s="105"/>
      <c r="DI398" s="139"/>
      <c r="DJ398" s="105"/>
      <c r="DK398" s="105"/>
      <c r="DL398" s="105"/>
      <c r="DM398" s="105"/>
      <c r="DN398" s="139"/>
      <c r="DO398" s="105"/>
      <c r="DP398" s="105"/>
      <c r="DQ398" s="105"/>
      <c r="DR398" s="105"/>
      <c r="DS398" s="139"/>
      <c r="DT398" s="105"/>
      <c r="DU398" s="105"/>
      <c r="DV398" s="105"/>
      <c r="DW398" s="105"/>
      <c r="DX398" s="139"/>
      <c r="DY398" s="105"/>
      <c r="DZ398" s="105"/>
      <c r="EA398" s="105"/>
      <c r="EB398" s="105"/>
      <c r="EC398" s="139"/>
      <c r="ED398" s="105"/>
      <c r="EE398" s="105"/>
      <c r="EF398" s="105"/>
      <c r="EG398" s="105"/>
      <c r="EH398" s="139"/>
      <c r="EI398" s="105"/>
      <c r="EJ398" s="105"/>
      <c r="EK398" s="105"/>
      <c r="EL398" s="105"/>
      <c r="EM398" s="139"/>
      <c r="EN398" s="105"/>
      <c r="EO398" s="105"/>
      <c r="EP398" s="105"/>
      <c r="EQ398" s="105"/>
      <c r="ER398" s="139"/>
      <c r="ES398" s="105"/>
      <c r="ET398" s="105"/>
      <c r="EU398" s="105"/>
      <c r="EV398" s="105"/>
      <c r="EW398" s="139"/>
      <c r="EX398" s="105"/>
      <c r="EY398" s="105"/>
      <c r="EZ398" s="105"/>
      <c r="FA398" s="105"/>
      <c r="FB398" s="139"/>
      <c r="FC398" s="105"/>
      <c r="FD398" s="105"/>
      <c r="FE398" s="105"/>
      <c r="FF398" s="105"/>
      <c r="FG398" s="139"/>
      <c r="FH398" s="105"/>
      <c r="FI398" s="105"/>
      <c r="FJ398" s="105"/>
      <c r="FK398" s="105"/>
      <c r="FL398" s="139"/>
      <c r="FM398" s="105"/>
      <c r="FN398" s="105"/>
      <c r="FO398" s="105"/>
      <c r="FP398" s="105"/>
      <c r="FQ398" s="139"/>
      <c r="FR398" s="105"/>
      <c r="FS398" s="105"/>
      <c r="FT398" s="105"/>
      <c r="FU398" s="105"/>
      <c r="FV398" s="139"/>
      <c r="FW398" s="105"/>
      <c r="FX398" s="105"/>
      <c r="FY398" s="105"/>
      <c r="FZ398" s="105"/>
      <c r="GA398" s="139"/>
      <c r="GB398" s="105"/>
      <c r="GC398" s="105"/>
      <c r="GD398" s="105"/>
      <c r="GE398" s="105"/>
    </row>
    <row r="399" spans="3:187" ht="12.75" customHeight="1">
      <c r="C399" s="139"/>
      <c r="D399" s="105"/>
      <c r="E399" s="105"/>
      <c r="F399" s="105"/>
      <c r="G399" s="105"/>
      <c r="H399" s="139"/>
      <c r="I399" s="105"/>
      <c r="J399" s="105"/>
      <c r="K399" s="105"/>
      <c r="L399" s="105"/>
      <c r="M399" s="139"/>
      <c r="N399" s="105"/>
      <c r="O399" s="105"/>
      <c r="P399" s="105"/>
      <c r="Q399" s="105"/>
      <c r="R399" s="139"/>
      <c r="S399" s="105"/>
      <c r="T399" s="105"/>
      <c r="U399" s="105"/>
      <c r="V399" s="105"/>
      <c r="W399" s="139"/>
      <c r="X399" s="105"/>
      <c r="Y399" s="105"/>
      <c r="Z399" s="105"/>
      <c r="AA399" s="105"/>
      <c r="AB399" s="139"/>
      <c r="AC399" s="105"/>
      <c r="AD399" s="105"/>
      <c r="AE399" s="105"/>
      <c r="AF399" s="105"/>
      <c r="AG399" s="139"/>
      <c r="AH399" s="105"/>
      <c r="AI399" s="105"/>
      <c r="AJ399" s="105"/>
      <c r="AK399" s="105"/>
      <c r="AL399" s="139"/>
      <c r="AM399" s="105"/>
      <c r="AN399" s="105"/>
      <c r="AO399" s="105"/>
      <c r="AP399" s="105"/>
      <c r="AQ399" s="139"/>
      <c r="AR399" s="105"/>
      <c r="AS399" s="105"/>
      <c r="AT399" s="105"/>
      <c r="AU399" s="105"/>
      <c r="AV399" s="139"/>
      <c r="AW399" s="105"/>
      <c r="AX399" s="105"/>
      <c r="AY399" s="105"/>
      <c r="AZ399" s="105"/>
      <c r="BA399" s="139"/>
      <c r="BB399" s="105"/>
      <c r="BC399" s="105"/>
      <c r="BD399" s="105"/>
      <c r="BE399" s="105"/>
      <c r="BF399" s="139"/>
      <c r="BG399" s="105"/>
      <c r="BH399" s="105"/>
      <c r="BI399" s="105"/>
      <c r="BJ399" s="105"/>
      <c r="BK399" s="139"/>
      <c r="BL399" s="105"/>
      <c r="BM399" s="105"/>
      <c r="BN399" s="105"/>
      <c r="BO399" s="105"/>
      <c r="BP399" s="139"/>
      <c r="BQ399" s="105"/>
      <c r="BR399" s="105"/>
      <c r="BS399" s="105"/>
      <c r="BT399" s="105"/>
      <c r="BU399" s="139"/>
      <c r="BV399" s="105"/>
      <c r="BW399" s="105"/>
      <c r="BX399" s="105"/>
      <c r="BY399" s="105"/>
      <c r="BZ399" s="139"/>
      <c r="CA399" s="105"/>
      <c r="CB399" s="105"/>
      <c r="CC399" s="105"/>
      <c r="CD399" s="105"/>
      <c r="CE399" s="139"/>
      <c r="CF399" s="105"/>
      <c r="CG399" s="105"/>
      <c r="CH399" s="105"/>
      <c r="CI399" s="105"/>
      <c r="CJ399" s="139"/>
      <c r="CK399" s="105"/>
      <c r="CL399" s="105"/>
      <c r="CM399" s="105"/>
      <c r="CN399" s="105"/>
      <c r="CO399" s="139"/>
      <c r="CP399" s="105"/>
      <c r="CQ399" s="105"/>
      <c r="CR399" s="105"/>
      <c r="CS399" s="105"/>
      <c r="CT399" s="139"/>
      <c r="CU399" s="105"/>
      <c r="CV399" s="105"/>
      <c r="CW399" s="105"/>
      <c r="CX399" s="105"/>
      <c r="CY399" s="139"/>
      <c r="CZ399" s="105"/>
      <c r="DA399" s="105"/>
      <c r="DB399" s="105"/>
      <c r="DC399" s="105"/>
      <c r="DD399" s="139"/>
      <c r="DE399" s="105"/>
      <c r="DF399" s="105"/>
      <c r="DG399" s="105"/>
      <c r="DH399" s="105"/>
      <c r="DI399" s="139"/>
      <c r="DJ399" s="105"/>
      <c r="DK399" s="105"/>
      <c r="DL399" s="105"/>
      <c r="DM399" s="105"/>
      <c r="DN399" s="139"/>
      <c r="DO399" s="105"/>
      <c r="DP399" s="105"/>
      <c r="DQ399" s="105"/>
      <c r="DR399" s="105"/>
      <c r="DS399" s="139"/>
      <c r="DT399" s="105"/>
      <c r="DU399" s="105"/>
      <c r="DV399" s="105"/>
      <c r="DW399" s="105"/>
      <c r="DX399" s="139"/>
      <c r="DY399" s="105"/>
      <c r="DZ399" s="105"/>
      <c r="EA399" s="105"/>
      <c r="EB399" s="105"/>
      <c r="EC399" s="139"/>
      <c r="ED399" s="105"/>
      <c r="EE399" s="105"/>
      <c r="EF399" s="105"/>
      <c r="EG399" s="105"/>
      <c r="EH399" s="139"/>
      <c r="EI399" s="105"/>
      <c r="EJ399" s="105"/>
      <c r="EK399" s="105"/>
      <c r="EL399" s="105"/>
      <c r="EM399" s="139"/>
      <c r="EN399" s="105"/>
      <c r="EO399" s="105"/>
      <c r="EP399" s="105"/>
      <c r="EQ399" s="105"/>
      <c r="ER399" s="139"/>
      <c r="ES399" s="105"/>
      <c r="ET399" s="105"/>
      <c r="EU399" s="105"/>
      <c r="EV399" s="105"/>
      <c r="EW399" s="139"/>
      <c r="EX399" s="105"/>
      <c r="EY399" s="105"/>
      <c r="EZ399" s="105"/>
      <c r="FA399" s="105"/>
      <c r="FB399" s="139"/>
      <c r="FC399" s="105"/>
      <c r="FD399" s="105"/>
      <c r="FE399" s="105"/>
      <c r="FF399" s="105"/>
      <c r="FG399" s="139"/>
      <c r="FH399" s="105"/>
      <c r="FI399" s="105"/>
      <c r="FJ399" s="105"/>
      <c r="FK399" s="105"/>
      <c r="FL399" s="139"/>
      <c r="FM399" s="105"/>
      <c r="FN399" s="105"/>
      <c r="FO399" s="105"/>
      <c r="FP399" s="105"/>
      <c r="FQ399" s="139"/>
      <c r="FR399" s="105"/>
      <c r="FS399" s="105"/>
      <c r="FT399" s="105"/>
      <c r="FU399" s="105"/>
      <c r="FV399" s="139"/>
      <c r="FW399" s="105"/>
      <c r="FX399" s="105"/>
      <c r="FY399" s="105"/>
      <c r="FZ399" s="105"/>
      <c r="GA399" s="139"/>
      <c r="GB399" s="105"/>
      <c r="GC399" s="105"/>
      <c r="GD399" s="105"/>
      <c r="GE399" s="105"/>
    </row>
    <row r="400" spans="3:187" ht="12.75" customHeight="1">
      <c r="C400" s="139"/>
      <c r="D400" s="105"/>
      <c r="E400" s="105"/>
      <c r="F400" s="105"/>
      <c r="G400" s="105"/>
      <c r="H400" s="139"/>
      <c r="I400" s="105"/>
      <c r="J400" s="105"/>
      <c r="K400" s="105"/>
      <c r="L400" s="105"/>
      <c r="M400" s="139"/>
      <c r="N400" s="105"/>
      <c r="O400" s="105"/>
      <c r="P400" s="105"/>
      <c r="Q400" s="105"/>
      <c r="R400" s="139"/>
      <c r="S400" s="105"/>
      <c r="T400" s="105"/>
      <c r="U400" s="105"/>
      <c r="V400" s="105"/>
      <c r="W400" s="139"/>
      <c r="X400" s="105"/>
      <c r="Y400" s="105"/>
      <c r="Z400" s="105"/>
      <c r="AA400" s="105"/>
      <c r="AB400" s="139"/>
      <c r="AC400" s="105"/>
      <c r="AD400" s="105"/>
      <c r="AE400" s="105"/>
      <c r="AF400" s="105"/>
      <c r="AG400" s="139"/>
      <c r="AH400" s="105"/>
      <c r="AI400" s="105"/>
      <c r="AJ400" s="105"/>
      <c r="AK400" s="105"/>
      <c r="AL400" s="139"/>
      <c r="AM400" s="105"/>
      <c r="AN400" s="105"/>
      <c r="AO400" s="105"/>
      <c r="AP400" s="105"/>
      <c r="AQ400" s="139"/>
      <c r="AR400" s="105"/>
      <c r="AS400" s="105"/>
      <c r="AT400" s="105"/>
      <c r="AU400" s="105"/>
      <c r="AV400" s="139"/>
      <c r="AW400" s="105"/>
      <c r="AX400" s="105"/>
      <c r="AY400" s="105"/>
      <c r="AZ400" s="105"/>
      <c r="BA400" s="139"/>
      <c r="BB400" s="105"/>
      <c r="BC400" s="105"/>
      <c r="BD400" s="105"/>
      <c r="BE400" s="105"/>
      <c r="BF400" s="139"/>
      <c r="BG400" s="105"/>
      <c r="BH400" s="105"/>
      <c r="BI400" s="105"/>
      <c r="BJ400" s="105"/>
      <c r="BK400" s="139"/>
      <c r="BL400" s="105"/>
      <c r="BM400" s="105"/>
      <c r="BN400" s="105"/>
      <c r="BO400" s="105"/>
      <c r="BP400" s="139"/>
      <c r="BQ400" s="105"/>
      <c r="BR400" s="105"/>
      <c r="BS400" s="105"/>
      <c r="BT400" s="105"/>
      <c r="BU400" s="139"/>
      <c r="BV400" s="105"/>
      <c r="BW400" s="105"/>
      <c r="BX400" s="105"/>
      <c r="BY400" s="105"/>
      <c r="BZ400" s="139"/>
      <c r="CA400" s="105"/>
      <c r="CB400" s="105"/>
      <c r="CC400" s="105"/>
      <c r="CD400" s="105"/>
      <c r="CE400" s="139"/>
      <c r="CF400" s="105"/>
      <c r="CG400" s="105"/>
      <c r="CH400" s="105"/>
      <c r="CI400" s="105"/>
      <c r="CJ400" s="139"/>
      <c r="CK400" s="105"/>
      <c r="CL400" s="105"/>
      <c r="CM400" s="105"/>
      <c r="CN400" s="105"/>
      <c r="CO400" s="139"/>
      <c r="CP400" s="105"/>
      <c r="CQ400" s="105"/>
      <c r="CR400" s="105"/>
      <c r="CS400" s="105"/>
      <c r="CT400" s="139"/>
      <c r="CU400" s="105"/>
      <c r="CV400" s="105"/>
      <c r="CW400" s="105"/>
      <c r="CX400" s="105"/>
      <c r="CY400" s="139"/>
      <c r="CZ400" s="105"/>
      <c r="DA400" s="105"/>
      <c r="DB400" s="105"/>
      <c r="DC400" s="105"/>
      <c r="DD400" s="139"/>
      <c r="DE400" s="105"/>
      <c r="DF400" s="105"/>
      <c r="DG400" s="105"/>
      <c r="DH400" s="105"/>
      <c r="DI400" s="139"/>
      <c r="DJ400" s="105"/>
      <c r="DK400" s="105"/>
      <c r="DL400" s="105"/>
      <c r="DM400" s="105"/>
      <c r="DN400" s="139"/>
      <c r="DO400" s="105"/>
      <c r="DP400" s="105"/>
      <c r="DQ400" s="105"/>
      <c r="DR400" s="105"/>
      <c r="DS400" s="139"/>
      <c r="DT400" s="105"/>
      <c r="DU400" s="105"/>
      <c r="DV400" s="105"/>
      <c r="DW400" s="105"/>
      <c r="DX400" s="139"/>
      <c r="DY400" s="105"/>
      <c r="DZ400" s="105"/>
      <c r="EA400" s="105"/>
      <c r="EB400" s="105"/>
      <c r="EC400" s="139"/>
      <c r="ED400" s="105"/>
      <c r="EE400" s="105"/>
      <c r="EF400" s="105"/>
      <c r="EG400" s="105"/>
      <c r="EH400" s="139"/>
      <c r="EI400" s="105"/>
      <c r="EJ400" s="105"/>
      <c r="EK400" s="105"/>
      <c r="EL400" s="105"/>
      <c r="EM400" s="139"/>
      <c r="EN400" s="105"/>
      <c r="EO400" s="105"/>
      <c r="EP400" s="105"/>
      <c r="EQ400" s="105"/>
      <c r="ER400" s="139"/>
      <c r="ES400" s="105"/>
      <c r="ET400" s="105"/>
      <c r="EU400" s="105"/>
      <c r="EV400" s="105"/>
      <c r="EW400" s="139"/>
      <c r="EX400" s="105"/>
      <c r="EY400" s="105"/>
      <c r="EZ400" s="105"/>
      <c r="FA400" s="105"/>
      <c r="FB400" s="139"/>
      <c r="FC400" s="105"/>
      <c r="FD400" s="105"/>
      <c r="FE400" s="105"/>
      <c r="FF400" s="105"/>
      <c r="FG400" s="139"/>
      <c r="FH400" s="105"/>
      <c r="FI400" s="105"/>
      <c r="FJ400" s="105"/>
      <c r="FK400" s="105"/>
      <c r="FL400" s="139"/>
      <c r="FM400" s="105"/>
      <c r="FN400" s="105"/>
      <c r="FO400" s="105"/>
      <c r="FP400" s="105"/>
      <c r="FQ400" s="139"/>
      <c r="FR400" s="105"/>
      <c r="FS400" s="105"/>
      <c r="FT400" s="105"/>
      <c r="FU400" s="105"/>
      <c r="FV400" s="139"/>
      <c r="FW400" s="105"/>
      <c r="FX400" s="105"/>
      <c r="FY400" s="105"/>
      <c r="FZ400" s="105"/>
      <c r="GA400" s="139"/>
      <c r="GB400" s="105"/>
      <c r="GC400" s="105"/>
      <c r="GD400" s="105"/>
      <c r="GE400" s="105"/>
    </row>
    <row r="401" spans="3:187" ht="12.75" customHeight="1">
      <c r="C401" s="139"/>
      <c r="D401" s="105"/>
      <c r="E401" s="105"/>
      <c r="F401" s="105"/>
      <c r="G401" s="105"/>
      <c r="H401" s="139"/>
      <c r="I401" s="105"/>
      <c r="J401" s="105"/>
      <c r="K401" s="105"/>
      <c r="L401" s="105"/>
      <c r="M401" s="139"/>
      <c r="N401" s="105"/>
      <c r="O401" s="105"/>
      <c r="P401" s="105"/>
      <c r="Q401" s="105"/>
      <c r="R401" s="139"/>
      <c r="S401" s="105"/>
      <c r="T401" s="105"/>
      <c r="U401" s="105"/>
      <c r="V401" s="105"/>
      <c r="W401" s="139"/>
      <c r="X401" s="105"/>
      <c r="Y401" s="105"/>
      <c r="Z401" s="105"/>
      <c r="AA401" s="105"/>
      <c r="AB401" s="139"/>
      <c r="AC401" s="105"/>
      <c r="AD401" s="105"/>
      <c r="AE401" s="105"/>
      <c r="AF401" s="105"/>
      <c r="AG401" s="139"/>
      <c r="AH401" s="105"/>
      <c r="AI401" s="105"/>
      <c r="AJ401" s="105"/>
      <c r="AK401" s="105"/>
      <c r="AL401" s="139"/>
      <c r="AM401" s="105"/>
      <c r="AN401" s="105"/>
      <c r="AO401" s="105"/>
      <c r="AP401" s="105"/>
      <c r="AQ401" s="139"/>
      <c r="AR401" s="105"/>
      <c r="AS401" s="105"/>
      <c r="AT401" s="105"/>
      <c r="AU401" s="105"/>
      <c r="AV401" s="139"/>
      <c r="AW401" s="105"/>
      <c r="AX401" s="105"/>
      <c r="AY401" s="105"/>
      <c r="AZ401" s="105"/>
      <c r="BA401" s="139"/>
      <c r="BB401" s="105"/>
      <c r="BC401" s="105"/>
      <c r="BD401" s="105"/>
      <c r="BE401" s="105"/>
      <c r="BF401" s="139"/>
      <c r="BG401" s="105"/>
      <c r="BH401" s="105"/>
      <c r="BI401" s="105"/>
      <c r="BJ401" s="105"/>
      <c r="BK401" s="139"/>
      <c r="BL401" s="105"/>
      <c r="BM401" s="105"/>
      <c r="BN401" s="105"/>
      <c r="BO401" s="105"/>
      <c r="BP401" s="139"/>
      <c r="BQ401" s="105"/>
      <c r="BR401" s="105"/>
      <c r="BS401" s="105"/>
      <c r="BT401" s="105"/>
      <c r="BU401" s="139"/>
      <c r="BV401" s="105"/>
      <c r="BW401" s="105"/>
      <c r="BX401" s="105"/>
      <c r="BY401" s="105"/>
      <c r="BZ401" s="139"/>
      <c r="CA401" s="105"/>
      <c r="CB401" s="105"/>
      <c r="CC401" s="105"/>
      <c r="CD401" s="105"/>
      <c r="CE401" s="139"/>
      <c r="CF401" s="105"/>
      <c r="CG401" s="105"/>
      <c r="CH401" s="105"/>
      <c r="CI401" s="105"/>
      <c r="CJ401" s="139"/>
      <c r="CK401" s="105"/>
      <c r="CL401" s="105"/>
      <c r="CM401" s="105"/>
      <c r="CN401" s="105"/>
      <c r="CO401" s="139"/>
      <c r="CP401" s="105"/>
      <c r="CQ401" s="105"/>
      <c r="CR401" s="105"/>
      <c r="CS401" s="105"/>
      <c r="CT401" s="139"/>
      <c r="CU401" s="105"/>
      <c r="CV401" s="105"/>
      <c r="CW401" s="105"/>
      <c r="CX401" s="105"/>
      <c r="CY401" s="139"/>
      <c r="CZ401" s="105"/>
      <c r="DA401" s="105"/>
      <c r="DB401" s="105"/>
      <c r="DC401" s="105"/>
      <c r="DD401" s="139"/>
      <c r="DE401" s="105"/>
      <c r="DF401" s="105"/>
      <c r="DG401" s="105"/>
      <c r="DH401" s="105"/>
      <c r="DI401" s="139"/>
      <c r="DJ401" s="105"/>
      <c r="DK401" s="105"/>
      <c r="DL401" s="105"/>
      <c r="DM401" s="105"/>
      <c r="DN401" s="139"/>
      <c r="DO401" s="105"/>
      <c r="DP401" s="105"/>
      <c r="DQ401" s="105"/>
      <c r="DR401" s="105"/>
      <c r="DS401" s="139"/>
      <c r="DT401" s="105"/>
      <c r="DU401" s="105"/>
      <c r="DV401" s="105"/>
      <c r="DW401" s="105"/>
      <c r="DX401" s="139"/>
      <c r="DY401" s="105"/>
      <c r="DZ401" s="105"/>
      <c r="EA401" s="105"/>
      <c r="EB401" s="105"/>
      <c r="EC401" s="139"/>
      <c r="ED401" s="105"/>
      <c r="EE401" s="105"/>
      <c r="EF401" s="105"/>
      <c r="EG401" s="105"/>
      <c r="EH401" s="139"/>
      <c r="EI401" s="105"/>
      <c r="EJ401" s="105"/>
      <c r="EK401" s="105"/>
      <c r="EL401" s="105"/>
      <c r="EM401" s="139"/>
      <c r="EN401" s="105"/>
      <c r="EO401" s="105"/>
      <c r="EP401" s="105"/>
      <c r="EQ401" s="105"/>
      <c r="ER401" s="139"/>
      <c r="ES401" s="105"/>
      <c r="ET401" s="105"/>
      <c r="EU401" s="105"/>
      <c r="EV401" s="105"/>
      <c r="EW401" s="139"/>
      <c r="EX401" s="105"/>
      <c r="EY401" s="105"/>
      <c r="EZ401" s="105"/>
      <c r="FA401" s="105"/>
      <c r="FB401" s="139"/>
      <c r="FC401" s="105"/>
      <c r="FD401" s="105"/>
      <c r="FE401" s="105"/>
      <c r="FF401" s="105"/>
      <c r="FG401" s="139"/>
      <c r="FH401" s="105"/>
      <c r="FI401" s="105"/>
      <c r="FJ401" s="105"/>
      <c r="FK401" s="105"/>
      <c r="FL401" s="139"/>
      <c r="FM401" s="105"/>
      <c r="FN401" s="105"/>
      <c r="FO401" s="105"/>
      <c r="FP401" s="105"/>
      <c r="FQ401" s="139"/>
      <c r="FR401" s="105"/>
      <c r="FS401" s="105"/>
      <c r="FT401" s="105"/>
      <c r="FU401" s="105"/>
      <c r="FV401" s="139"/>
      <c r="FW401" s="105"/>
      <c r="FX401" s="105"/>
      <c r="FY401" s="105"/>
      <c r="FZ401" s="105"/>
      <c r="GA401" s="139"/>
      <c r="GB401" s="105"/>
      <c r="GC401" s="105"/>
      <c r="GD401" s="105"/>
      <c r="GE401" s="105"/>
    </row>
    <row r="402" spans="3:187" ht="12.75" customHeight="1">
      <c r="C402" s="200"/>
      <c r="D402" s="201"/>
      <c r="E402" s="201"/>
      <c r="F402" s="201"/>
      <c r="G402" s="201"/>
      <c r="H402" s="200"/>
      <c r="I402" s="201"/>
      <c r="J402" s="201"/>
      <c r="K402" s="201"/>
      <c r="L402" s="201"/>
      <c r="M402" s="200"/>
      <c r="N402" s="201"/>
      <c r="O402" s="201"/>
      <c r="P402" s="201"/>
      <c r="Q402" s="201"/>
      <c r="R402" s="200"/>
      <c r="S402" s="201"/>
      <c r="T402" s="201"/>
      <c r="U402" s="201"/>
      <c r="V402" s="201"/>
      <c r="W402" s="200"/>
      <c r="X402" s="201"/>
      <c r="Y402" s="201"/>
      <c r="Z402" s="201"/>
      <c r="AA402" s="201"/>
      <c r="AB402" s="200"/>
      <c r="AC402" s="201"/>
      <c r="AD402" s="201"/>
      <c r="AE402" s="201"/>
      <c r="AF402" s="201"/>
      <c r="AG402" s="200"/>
      <c r="AH402" s="201"/>
      <c r="AI402" s="201"/>
      <c r="AJ402" s="201"/>
      <c r="AK402" s="201"/>
      <c r="AL402" s="200"/>
      <c r="AM402" s="201"/>
      <c r="AN402" s="201"/>
      <c r="AO402" s="201"/>
      <c r="AP402" s="201"/>
      <c r="AQ402" s="200"/>
      <c r="AR402" s="201"/>
      <c r="AS402" s="201"/>
      <c r="AT402" s="201"/>
      <c r="AU402" s="201"/>
      <c r="AV402" s="200"/>
      <c r="AW402" s="201"/>
      <c r="AX402" s="201"/>
      <c r="AY402" s="201"/>
      <c r="AZ402" s="201"/>
      <c r="BA402" s="200"/>
      <c r="BB402" s="201"/>
      <c r="BC402" s="201"/>
      <c r="BD402" s="201"/>
      <c r="BE402" s="201"/>
      <c r="BF402" s="200"/>
      <c r="BG402" s="201"/>
      <c r="BH402" s="201"/>
      <c r="BI402" s="201"/>
      <c r="BJ402" s="201"/>
      <c r="BK402" s="200"/>
      <c r="BL402" s="201"/>
      <c r="BM402" s="201"/>
      <c r="BN402" s="201"/>
      <c r="BO402" s="201"/>
      <c r="BP402" s="200"/>
      <c r="BQ402" s="201"/>
      <c r="BR402" s="201"/>
      <c r="BS402" s="201"/>
      <c r="BT402" s="201"/>
      <c r="BU402" s="200"/>
      <c r="BV402" s="201"/>
      <c r="BW402" s="201"/>
      <c r="BX402" s="201"/>
      <c r="BY402" s="201"/>
      <c r="BZ402" s="200"/>
      <c r="CA402" s="201"/>
      <c r="CB402" s="201"/>
      <c r="CC402" s="201"/>
      <c r="CD402" s="201"/>
      <c r="CE402" s="200"/>
      <c r="CF402" s="201"/>
      <c r="CG402" s="201"/>
      <c r="CH402" s="201"/>
      <c r="CI402" s="201"/>
      <c r="CJ402" s="200"/>
      <c r="CK402" s="201"/>
      <c r="CL402" s="201"/>
      <c r="CM402" s="201"/>
      <c r="CN402" s="201"/>
      <c r="CO402" s="200"/>
      <c r="CP402" s="201"/>
      <c r="CQ402" s="201"/>
      <c r="CR402" s="201"/>
      <c r="CS402" s="201"/>
      <c r="CT402" s="200"/>
      <c r="CU402" s="201"/>
      <c r="CV402" s="201"/>
      <c r="CW402" s="201"/>
      <c r="CX402" s="201"/>
      <c r="CY402" s="200"/>
      <c r="CZ402" s="201"/>
      <c r="DA402" s="201"/>
      <c r="DB402" s="201"/>
      <c r="DC402" s="201"/>
      <c r="DD402" s="200"/>
      <c r="DE402" s="201"/>
      <c r="DF402" s="201"/>
      <c r="DG402" s="201"/>
      <c r="DH402" s="201"/>
      <c r="DI402" s="200"/>
      <c r="DJ402" s="201"/>
      <c r="DK402" s="201"/>
      <c r="DL402" s="201"/>
      <c r="DM402" s="201"/>
      <c r="DN402" s="200"/>
      <c r="DO402" s="201"/>
      <c r="DP402" s="201"/>
      <c r="DQ402" s="201"/>
      <c r="DR402" s="201"/>
      <c r="DS402" s="200"/>
      <c r="DT402" s="201"/>
      <c r="DU402" s="201"/>
      <c r="DV402" s="201"/>
      <c r="DW402" s="201"/>
      <c r="DX402" s="200"/>
      <c r="DY402" s="201"/>
      <c r="DZ402" s="201"/>
      <c r="EA402" s="201"/>
      <c r="EB402" s="201"/>
      <c r="EC402" s="200"/>
      <c r="ED402" s="201"/>
      <c r="EE402" s="201"/>
      <c r="EF402" s="201"/>
      <c r="EG402" s="201"/>
      <c r="EH402" s="200"/>
      <c r="EI402" s="201"/>
      <c r="EJ402" s="201"/>
      <c r="EK402" s="201"/>
      <c r="EL402" s="201"/>
      <c r="EM402" s="200"/>
      <c r="EN402" s="201"/>
      <c r="EO402" s="201"/>
      <c r="EP402" s="201"/>
      <c r="EQ402" s="201"/>
      <c r="ER402" s="200"/>
      <c r="ES402" s="201"/>
      <c r="ET402" s="201"/>
      <c r="EU402" s="201"/>
      <c r="EV402" s="201"/>
      <c r="EW402" s="200"/>
      <c r="EX402" s="201"/>
      <c r="EY402" s="201"/>
      <c r="EZ402" s="201"/>
      <c r="FA402" s="201"/>
      <c r="FB402" s="200"/>
      <c r="FC402" s="201"/>
      <c r="FD402" s="201"/>
      <c r="FE402" s="201"/>
      <c r="FF402" s="201"/>
      <c r="FG402" s="200"/>
      <c r="FH402" s="201"/>
      <c r="FI402" s="201"/>
      <c r="FJ402" s="201"/>
      <c r="FK402" s="201"/>
      <c r="FL402" s="200"/>
      <c r="FM402" s="201"/>
      <c r="FN402" s="201"/>
      <c r="FO402" s="201"/>
      <c r="FP402" s="201"/>
      <c r="FQ402" s="200"/>
      <c r="FR402" s="201"/>
      <c r="FS402" s="201"/>
      <c r="FT402" s="201"/>
      <c r="FU402" s="201"/>
      <c r="FV402" s="200"/>
      <c r="FW402" s="201"/>
      <c r="FX402" s="201"/>
      <c r="FY402" s="201"/>
      <c r="FZ402" s="201"/>
      <c r="GA402" s="200"/>
      <c r="GB402" s="201"/>
      <c r="GC402" s="201"/>
      <c r="GD402" s="201"/>
      <c r="GE402" s="201"/>
    </row>
    <row r="403" spans="3:187" ht="12.75" customHeight="1">
      <c r="C403" s="202"/>
      <c r="H403" s="202"/>
      <c r="M403" s="202"/>
      <c r="R403" s="202"/>
      <c r="W403" s="202"/>
      <c r="AB403" s="202"/>
      <c r="AG403" s="202"/>
      <c r="AL403" s="202"/>
      <c r="AQ403" s="202"/>
      <c r="AV403" s="202"/>
      <c r="BA403" s="202"/>
      <c r="BF403" s="202"/>
      <c r="BK403" s="202"/>
      <c r="BP403" s="202"/>
      <c r="BU403" s="202"/>
      <c r="BZ403" s="202"/>
      <c r="CE403" s="202"/>
      <c r="CJ403" s="202"/>
      <c r="CO403" s="202"/>
      <c r="CT403" s="202"/>
      <c r="CY403" s="202"/>
      <c r="DD403" s="202"/>
      <c r="DI403" s="202"/>
      <c r="DN403" s="202"/>
      <c r="DS403" s="202"/>
      <c r="DX403" s="202"/>
      <c r="EC403" s="202"/>
      <c r="EH403" s="202"/>
      <c r="EM403" s="202"/>
      <c r="ER403" s="202"/>
      <c r="EW403" s="202"/>
      <c r="FB403" s="202"/>
      <c r="FG403" s="202"/>
      <c r="FL403" s="202"/>
      <c r="FQ403" s="202"/>
      <c r="FV403" s="202"/>
      <c r="GA403" s="202"/>
    </row>
    <row r="404" spans="3:187" ht="12.75" customHeight="1">
      <c r="C404" s="202"/>
      <c r="H404" s="202"/>
      <c r="M404" s="202"/>
      <c r="R404" s="202"/>
      <c r="W404" s="202"/>
      <c r="AB404" s="202"/>
      <c r="AG404" s="202"/>
      <c r="AL404" s="202"/>
      <c r="AQ404" s="202"/>
      <c r="AV404" s="202"/>
      <c r="BA404" s="202"/>
      <c r="BF404" s="202"/>
      <c r="BK404" s="202"/>
      <c r="BP404" s="202"/>
      <c r="BU404" s="202"/>
      <c r="BZ404" s="202"/>
      <c r="CE404" s="202"/>
      <c r="CJ404" s="202"/>
      <c r="CO404" s="202"/>
      <c r="CT404" s="202"/>
      <c r="CY404" s="202"/>
      <c r="DD404" s="202"/>
      <c r="DI404" s="202"/>
      <c r="DN404" s="202"/>
      <c r="DS404" s="202"/>
      <c r="DX404" s="202"/>
      <c r="EC404" s="202"/>
      <c r="EH404" s="202"/>
      <c r="EM404" s="202"/>
      <c r="ER404" s="202"/>
      <c r="EW404" s="202"/>
      <c r="FB404" s="202"/>
      <c r="FG404" s="202"/>
      <c r="FL404" s="202"/>
      <c r="FQ404" s="202"/>
      <c r="FV404" s="202"/>
      <c r="GA404" s="202"/>
    </row>
    <row r="405" spans="3:187" ht="12.75" customHeight="1">
      <c r="C405" s="203"/>
      <c r="D405" s="105"/>
      <c r="E405" s="105"/>
      <c r="F405" s="105"/>
      <c r="G405" s="105"/>
      <c r="H405" s="203"/>
      <c r="I405" s="105"/>
      <c r="J405" s="105"/>
      <c r="K405" s="105"/>
      <c r="L405" s="105"/>
      <c r="M405" s="203"/>
      <c r="N405" s="105"/>
      <c r="O405" s="105"/>
      <c r="P405" s="105"/>
      <c r="Q405" s="105"/>
      <c r="R405" s="203"/>
      <c r="S405" s="105"/>
      <c r="T405" s="105"/>
      <c r="U405" s="105"/>
      <c r="V405" s="105"/>
      <c r="W405" s="203"/>
      <c r="X405" s="105"/>
      <c r="Y405" s="105"/>
      <c r="Z405" s="105"/>
      <c r="AA405" s="105"/>
      <c r="AB405" s="203"/>
      <c r="AC405" s="105"/>
      <c r="AD405" s="105"/>
      <c r="AE405" s="105"/>
      <c r="AF405" s="105"/>
      <c r="AG405" s="203"/>
      <c r="AH405" s="105"/>
      <c r="AI405" s="105"/>
      <c r="AJ405" s="105"/>
      <c r="AK405" s="105"/>
      <c r="AL405" s="203"/>
      <c r="AM405" s="105"/>
      <c r="AN405" s="105"/>
      <c r="AO405" s="105"/>
      <c r="AP405" s="105"/>
      <c r="AQ405" s="203"/>
      <c r="AR405" s="105"/>
      <c r="AS405" s="105"/>
      <c r="AT405" s="105"/>
      <c r="AU405" s="105"/>
      <c r="AV405" s="203"/>
      <c r="AW405" s="105"/>
      <c r="AX405" s="105"/>
      <c r="AY405" s="105"/>
      <c r="AZ405" s="105"/>
      <c r="BA405" s="203"/>
      <c r="BB405" s="105"/>
      <c r="BC405" s="105"/>
      <c r="BD405" s="105"/>
      <c r="BE405" s="105"/>
      <c r="BF405" s="203"/>
      <c r="BG405" s="105"/>
      <c r="BH405" s="105"/>
      <c r="BI405" s="105"/>
      <c r="BJ405" s="105"/>
      <c r="BK405" s="203"/>
      <c r="BL405" s="105"/>
      <c r="BM405" s="105"/>
      <c r="BN405" s="105"/>
      <c r="BO405" s="105"/>
      <c r="BP405" s="203"/>
      <c r="BQ405" s="105"/>
      <c r="BR405" s="105"/>
      <c r="BS405" s="105"/>
      <c r="BT405" s="105"/>
      <c r="BU405" s="203"/>
      <c r="BV405" s="105"/>
      <c r="BW405" s="105"/>
      <c r="BX405" s="105"/>
      <c r="BY405" s="105"/>
      <c r="BZ405" s="203"/>
      <c r="CA405" s="105"/>
      <c r="CB405" s="105"/>
      <c r="CC405" s="105"/>
      <c r="CD405" s="105"/>
      <c r="CE405" s="203"/>
      <c r="CF405" s="105"/>
      <c r="CG405" s="105"/>
      <c r="CH405" s="105"/>
      <c r="CI405" s="105"/>
      <c r="CJ405" s="203"/>
      <c r="CK405" s="105"/>
      <c r="CL405" s="105"/>
      <c r="CM405" s="105"/>
      <c r="CN405" s="105"/>
      <c r="CO405" s="203"/>
      <c r="CP405" s="105"/>
      <c r="CQ405" s="105"/>
      <c r="CR405" s="105"/>
      <c r="CS405" s="105"/>
      <c r="CT405" s="203"/>
      <c r="CU405" s="105"/>
      <c r="CV405" s="105"/>
      <c r="CW405" s="105"/>
      <c r="CX405" s="105"/>
      <c r="CY405" s="203"/>
      <c r="CZ405" s="105"/>
      <c r="DA405" s="105"/>
      <c r="DB405" s="105"/>
      <c r="DC405" s="105"/>
      <c r="DD405" s="203"/>
      <c r="DE405" s="105"/>
      <c r="DF405" s="105"/>
      <c r="DG405" s="105"/>
      <c r="DH405" s="105"/>
      <c r="DI405" s="203"/>
      <c r="DJ405" s="105"/>
      <c r="DK405" s="105"/>
      <c r="DL405" s="105"/>
      <c r="DM405" s="105"/>
      <c r="DN405" s="203"/>
      <c r="DO405" s="105"/>
      <c r="DP405" s="105"/>
      <c r="DQ405" s="105"/>
      <c r="DR405" s="105"/>
      <c r="DS405" s="203"/>
      <c r="DT405" s="105"/>
      <c r="DU405" s="105"/>
      <c r="DV405" s="105"/>
      <c r="DW405" s="105"/>
      <c r="DX405" s="203"/>
      <c r="DY405" s="105"/>
      <c r="DZ405" s="105"/>
      <c r="EA405" s="105"/>
      <c r="EB405" s="105"/>
      <c r="EC405" s="203"/>
      <c r="ED405" s="105"/>
      <c r="EE405" s="105"/>
      <c r="EF405" s="105"/>
      <c r="EG405" s="105"/>
      <c r="EH405" s="203"/>
      <c r="EI405" s="105"/>
      <c r="EJ405" s="105"/>
      <c r="EK405" s="105"/>
      <c r="EL405" s="105"/>
      <c r="EM405" s="203"/>
      <c r="EN405" s="105"/>
      <c r="EO405" s="105"/>
      <c r="EP405" s="105"/>
      <c r="EQ405" s="105"/>
      <c r="ER405" s="203"/>
      <c r="ES405" s="105"/>
      <c r="ET405" s="105"/>
      <c r="EU405" s="105"/>
      <c r="EV405" s="105"/>
      <c r="EW405" s="203"/>
      <c r="EX405" s="105"/>
      <c r="EY405" s="105"/>
      <c r="EZ405" s="105"/>
      <c r="FA405" s="105"/>
      <c r="FB405" s="203"/>
      <c r="FC405" s="105"/>
      <c r="FD405" s="105"/>
      <c r="FE405" s="105"/>
      <c r="FF405" s="105"/>
      <c r="FG405" s="203"/>
      <c r="FH405" s="105"/>
      <c r="FI405" s="105"/>
      <c r="FJ405" s="105"/>
      <c r="FK405" s="105"/>
      <c r="FL405" s="203"/>
      <c r="FM405" s="105"/>
      <c r="FN405" s="105"/>
      <c r="FO405" s="105"/>
      <c r="FP405" s="105"/>
      <c r="FQ405" s="203"/>
      <c r="FR405" s="105"/>
      <c r="FS405" s="105"/>
      <c r="FT405" s="105"/>
      <c r="FU405" s="105"/>
      <c r="FV405" s="203"/>
      <c r="FW405" s="105"/>
      <c r="FX405" s="105"/>
      <c r="FY405" s="105"/>
      <c r="FZ405" s="105"/>
      <c r="GA405" s="203"/>
      <c r="GB405" s="105"/>
      <c r="GC405" s="105"/>
      <c r="GD405" s="105"/>
      <c r="GE405" s="105"/>
    </row>
    <row r="407" spans="3:187" ht="12.75" customHeight="1">
      <c r="C407" s="204"/>
      <c r="D407" s="201"/>
      <c r="E407" s="201"/>
      <c r="F407" s="201"/>
      <c r="G407" s="201"/>
      <c r="H407" s="204"/>
      <c r="I407" s="201"/>
      <c r="J407" s="201"/>
      <c r="K407" s="201"/>
      <c r="L407" s="201"/>
      <c r="M407" s="204"/>
      <c r="N407" s="201"/>
      <c r="O407" s="201"/>
      <c r="P407" s="201"/>
      <c r="Q407" s="201"/>
      <c r="R407" s="204"/>
      <c r="S407" s="201"/>
      <c r="T407" s="201"/>
      <c r="U407" s="201"/>
      <c r="V407" s="201"/>
      <c r="W407" s="204"/>
      <c r="X407" s="201"/>
      <c r="Y407" s="201"/>
      <c r="Z407" s="201"/>
      <c r="AA407" s="201"/>
      <c r="AB407" s="204"/>
      <c r="AC407" s="201"/>
      <c r="AD407" s="201"/>
      <c r="AE407" s="201"/>
      <c r="AF407" s="201"/>
      <c r="AG407" s="204"/>
      <c r="AH407" s="201"/>
      <c r="AI407" s="201"/>
      <c r="AJ407" s="201"/>
      <c r="AK407" s="201"/>
      <c r="AL407" s="204"/>
      <c r="AM407" s="201"/>
      <c r="AN407" s="201"/>
      <c r="AO407" s="201"/>
      <c r="AP407" s="201"/>
      <c r="AQ407" s="204"/>
      <c r="AR407" s="201"/>
      <c r="AS407" s="201"/>
      <c r="AT407" s="201"/>
      <c r="AU407" s="201"/>
      <c r="AV407" s="204"/>
      <c r="AW407" s="201"/>
      <c r="AX407" s="201"/>
      <c r="AY407" s="201"/>
      <c r="AZ407" s="201"/>
      <c r="BA407" s="204"/>
      <c r="BB407" s="201"/>
      <c r="BC407" s="201"/>
      <c r="BD407" s="201"/>
      <c r="BE407" s="201"/>
      <c r="BF407" s="204"/>
      <c r="BG407" s="201"/>
      <c r="BH407" s="201"/>
      <c r="BI407" s="201"/>
      <c r="BJ407" s="201"/>
      <c r="BK407" s="204"/>
      <c r="BL407" s="201"/>
      <c r="BM407" s="201"/>
      <c r="BN407" s="201"/>
      <c r="BO407" s="201"/>
      <c r="BP407" s="204"/>
      <c r="BQ407" s="201"/>
      <c r="BR407" s="201"/>
      <c r="BS407" s="201"/>
      <c r="BT407" s="201"/>
      <c r="BU407" s="204"/>
      <c r="BV407" s="201"/>
      <c r="BW407" s="201"/>
      <c r="BX407" s="201"/>
      <c r="BY407" s="201"/>
      <c r="BZ407" s="204"/>
      <c r="CA407" s="201"/>
      <c r="CB407" s="201"/>
      <c r="CC407" s="201"/>
      <c r="CD407" s="201"/>
      <c r="CE407" s="204"/>
      <c r="CF407" s="201"/>
      <c r="CG407" s="201"/>
      <c r="CH407" s="201"/>
      <c r="CI407" s="201"/>
      <c r="CJ407" s="204"/>
      <c r="CK407" s="201"/>
      <c r="CL407" s="201"/>
      <c r="CM407" s="201"/>
      <c r="CN407" s="201"/>
      <c r="CO407" s="204"/>
      <c r="CP407" s="201"/>
      <c r="CQ407" s="201"/>
      <c r="CR407" s="201"/>
      <c r="CS407" s="201"/>
      <c r="CT407" s="204"/>
      <c r="CU407" s="201"/>
      <c r="CV407" s="201"/>
      <c r="CW407" s="201"/>
      <c r="CX407" s="201"/>
      <c r="CY407" s="204"/>
      <c r="CZ407" s="201"/>
      <c r="DA407" s="201"/>
      <c r="DB407" s="201"/>
      <c r="DC407" s="201"/>
      <c r="DD407" s="204"/>
      <c r="DE407" s="201"/>
      <c r="DF407" s="201"/>
      <c r="DG407" s="201"/>
      <c r="DH407" s="201"/>
      <c r="DI407" s="204"/>
      <c r="DJ407" s="201"/>
      <c r="DK407" s="201"/>
      <c r="DL407" s="201"/>
      <c r="DM407" s="201"/>
      <c r="DN407" s="204"/>
      <c r="DO407" s="201"/>
      <c r="DP407" s="201"/>
      <c r="DQ407" s="201"/>
      <c r="DR407" s="201"/>
      <c r="DS407" s="204"/>
      <c r="DT407" s="201"/>
      <c r="DU407" s="201"/>
      <c r="DV407" s="201"/>
      <c r="DW407" s="201"/>
      <c r="DX407" s="204"/>
      <c r="DY407" s="201"/>
      <c r="DZ407" s="201"/>
      <c r="EA407" s="201"/>
      <c r="EB407" s="201"/>
      <c r="EC407" s="204"/>
      <c r="ED407" s="201"/>
      <c r="EE407" s="201"/>
      <c r="EF407" s="201"/>
      <c r="EG407" s="201"/>
      <c r="EH407" s="204"/>
      <c r="EI407" s="201"/>
      <c r="EJ407" s="201"/>
      <c r="EK407" s="201"/>
      <c r="EL407" s="201"/>
      <c r="EM407" s="204"/>
      <c r="EN407" s="201"/>
      <c r="EO407" s="201"/>
      <c r="EP407" s="201"/>
      <c r="EQ407" s="201"/>
      <c r="ER407" s="204"/>
      <c r="ES407" s="201"/>
      <c r="ET407" s="201"/>
      <c r="EU407" s="201"/>
      <c r="EV407" s="201"/>
      <c r="EW407" s="204"/>
      <c r="EX407" s="201"/>
      <c r="EY407" s="201"/>
      <c r="EZ407" s="201"/>
      <c r="FA407" s="201"/>
      <c r="FB407" s="204"/>
      <c r="FC407" s="201"/>
      <c r="FD407" s="201"/>
      <c r="FE407" s="201"/>
      <c r="FF407" s="201"/>
      <c r="FG407" s="204"/>
      <c r="FH407" s="201"/>
      <c r="FI407" s="201"/>
      <c r="FJ407" s="201"/>
      <c r="FK407" s="201"/>
      <c r="FL407" s="204"/>
      <c r="FM407" s="201"/>
      <c r="FN407" s="201"/>
      <c r="FO407" s="201"/>
      <c r="FP407" s="201"/>
      <c r="FQ407" s="204"/>
      <c r="FR407" s="201"/>
      <c r="FS407" s="201"/>
      <c r="FT407" s="201"/>
      <c r="FU407" s="201"/>
      <c r="FV407" s="204"/>
      <c r="FW407" s="201"/>
      <c r="FX407" s="201"/>
      <c r="FY407" s="201"/>
      <c r="FZ407" s="201"/>
      <c r="GA407" s="204"/>
      <c r="GB407" s="201"/>
      <c r="GC407" s="201"/>
      <c r="GD407" s="201"/>
      <c r="GE407" s="201"/>
    </row>
    <row r="412" spans="3:187" ht="12.75" customHeight="1">
      <c r="C412" s="204"/>
      <c r="D412" s="201"/>
      <c r="E412" s="201"/>
      <c r="F412" s="201"/>
      <c r="G412" s="201"/>
      <c r="H412" s="204"/>
      <c r="I412" s="201"/>
      <c r="J412" s="201"/>
      <c r="K412" s="201"/>
      <c r="L412" s="201"/>
      <c r="M412" s="204"/>
      <c r="N412" s="201"/>
      <c r="O412" s="201"/>
      <c r="P412" s="201"/>
      <c r="Q412" s="201"/>
      <c r="R412" s="204"/>
      <c r="S412" s="201"/>
      <c r="T412" s="201"/>
      <c r="U412" s="201"/>
      <c r="V412" s="201"/>
      <c r="W412" s="204"/>
      <c r="X412" s="201"/>
      <c r="Y412" s="201"/>
      <c r="Z412" s="201"/>
      <c r="AA412" s="201"/>
      <c r="AB412" s="204"/>
      <c r="AC412" s="201"/>
      <c r="AD412" s="201"/>
      <c r="AE412" s="201"/>
      <c r="AF412" s="201"/>
      <c r="AG412" s="204"/>
      <c r="AH412" s="201"/>
      <c r="AI412" s="201"/>
      <c r="AJ412" s="201"/>
      <c r="AK412" s="201"/>
      <c r="AL412" s="204"/>
      <c r="AM412" s="201"/>
      <c r="AN412" s="201"/>
      <c r="AO412" s="201"/>
      <c r="AP412" s="201"/>
      <c r="AQ412" s="204"/>
      <c r="AR412" s="201"/>
      <c r="AS412" s="201"/>
      <c r="AT412" s="201"/>
      <c r="AU412" s="201"/>
      <c r="AV412" s="204"/>
      <c r="AW412" s="201"/>
      <c r="AX412" s="201"/>
      <c r="AY412" s="201"/>
      <c r="AZ412" s="201"/>
      <c r="BA412" s="204"/>
      <c r="BB412" s="201"/>
      <c r="BC412" s="201"/>
      <c r="BD412" s="201"/>
      <c r="BE412" s="201"/>
      <c r="BF412" s="204"/>
      <c r="BG412" s="201"/>
      <c r="BH412" s="201"/>
      <c r="BI412" s="201"/>
      <c r="BJ412" s="201"/>
      <c r="BK412" s="204"/>
      <c r="BL412" s="201"/>
      <c r="BM412" s="201"/>
      <c r="BN412" s="201"/>
      <c r="BO412" s="201"/>
      <c r="BP412" s="204"/>
      <c r="BQ412" s="201"/>
      <c r="BR412" s="201"/>
      <c r="BS412" s="201"/>
      <c r="BT412" s="201"/>
      <c r="BU412" s="204"/>
      <c r="BV412" s="201"/>
      <c r="BW412" s="201"/>
      <c r="BX412" s="201"/>
      <c r="BY412" s="201"/>
      <c r="BZ412" s="204"/>
      <c r="CA412" s="201"/>
      <c r="CB412" s="201"/>
      <c r="CC412" s="201"/>
      <c r="CD412" s="201"/>
      <c r="CE412" s="204"/>
      <c r="CF412" s="201"/>
      <c r="CG412" s="201"/>
      <c r="CH412" s="201"/>
      <c r="CI412" s="201"/>
      <c r="CJ412" s="204"/>
      <c r="CK412" s="201"/>
      <c r="CL412" s="201"/>
      <c r="CM412" s="201"/>
      <c r="CN412" s="201"/>
      <c r="CO412" s="204"/>
      <c r="CP412" s="201"/>
      <c r="CQ412" s="201"/>
      <c r="CR412" s="201"/>
      <c r="CS412" s="201"/>
      <c r="CT412" s="204"/>
      <c r="CU412" s="201"/>
      <c r="CV412" s="201"/>
      <c r="CW412" s="201"/>
      <c r="CX412" s="201"/>
      <c r="CY412" s="204"/>
      <c r="CZ412" s="201"/>
      <c r="DA412" s="201"/>
      <c r="DB412" s="201"/>
      <c r="DC412" s="201"/>
      <c r="DD412" s="204"/>
      <c r="DE412" s="201"/>
      <c r="DF412" s="201"/>
      <c r="DG412" s="201"/>
      <c r="DH412" s="201"/>
      <c r="DI412" s="204"/>
      <c r="DJ412" s="201"/>
      <c r="DK412" s="201"/>
      <c r="DL412" s="201"/>
      <c r="DM412" s="201"/>
      <c r="DN412" s="204"/>
      <c r="DO412" s="201"/>
      <c r="DP412" s="201"/>
      <c r="DQ412" s="201"/>
      <c r="DR412" s="201"/>
      <c r="DS412" s="204"/>
      <c r="DT412" s="201"/>
      <c r="DU412" s="201"/>
      <c r="DV412" s="201"/>
      <c r="DW412" s="201"/>
      <c r="DX412" s="204"/>
      <c r="DY412" s="201"/>
      <c r="DZ412" s="201"/>
      <c r="EA412" s="201"/>
      <c r="EB412" s="201"/>
      <c r="EC412" s="204"/>
      <c r="ED412" s="201"/>
      <c r="EE412" s="201"/>
      <c r="EF412" s="201"/>
      <c r="EG412" s="201"/>
      <c r="EH412" s="204"/>
      <c r="EI412" s="201"/>
      <c r="EJ412" s="201"/>
      <c r="EK412" s="201"/>
      <c r="EL412" s="201"/>
      <c r="EM412" s="204"/>
      <c r="EN412" s="201"/>
      <c r="EO412" s="201"/>
      <c r="EP412" s="201"/>
      <c r="EQ412" s="201"/>
      <c r="ER412" s="204"/>
      <c r="ES412" s="201"/>
      <c r="ET412" s="201"/>
      <c r="EU412" s="201"/>
      <c r="EV412" s="201"/>
      <c r="EW412" s="204"/>
      <c r="EX412" s="201"/>
      <c r="EY412" s="201"/>
      <c r="EZ412" s="201"/>
      <c r="FA412" s="201"/>
      <c r="FB412" s="204"/>
      <c r="FC412" s="201"/>
      <c r="FD412" s="201"/>
      <c r="FE412" s="201"/>
      <c r="FF412" s="201"/>
      <c r="FG412" s="204"/>
      <c r="FH412" s="201"/>
      <c r="FI412" s="201"/>
      <c r="FJ412" s="201"/>
      <c r="FK412" s="201"/>
      <c r="FL412" s="204"/>
      <c r="FM412" s="201"/>
      <c r="FN412" s="201"/>
      <c r="FO412" s="201"/>
      <c r="FP412" s="201"/>
      <c r="FQ412" s="204"/>
      <c r="FR412" s="201"/>
      <c r="FS412" s="201"/>
      <c r="FT412" s="201"/>
      <c r="FU412" s="201"/>
      <c r="FV412" s="204"/>
      <c r="FW412" s="201"/>
      <c r="FX412" s="201"/>
      <c r="FY412" s="201"/>
      <c r="FZ412" s="201"/>
      <c r="GA412" s="204"/>
      <c r="GB412" s="201"/>
      <c r="GC412" s="201"/>
      <c r="GD412" s="201"/>
      <c r="GE412" s="201"/>
    </row>
    <row r="413" spans="3:187" ht="12.75" customHeight="1">
      <c r="C413" s="139"/>
      <c r="D413" s="105"/>
      <c r="E413" s="105"/>
      <c r="F413" s="105"/>
      <c r="G413" s="105"/>
      <c r="H413" s="139"/>
      <c r="I413" s="105"/>
      <c r="J413" s="105"/>
      <c r="K413" s="105"/>
      <c r="L413" s="105"/>
      <c r="M413" s="139"/>
      <c r="N413" s="105"/>
      <c r="O413" s="105"/>
      <c r="P413" s="105"/>
      <c r="Q413" s="105"/>
      <c r="R413" s="139"/>
      <c r="S413" s="105"/>
      <c r="T413" s="105"/>
      <c r="U413" s="105"/>
      <c r="V413" s="105"/>
      <c r="W413" s="139"/>
      <c r="X413" s="105"/>
      <c r="Y413" s="105"/>
      <c r="Z413" s="105"/>
      <c r="AA413" s="105"/>
      <c r="AB413" s="139"/>
      <c r="AC413" s="105"/>
      <c r="AD413" s="105"/>
      <c r="AE413" s="105"/>
      <c r="AF413" s="105"/>
      <c r="AG413" s="139"/>
      <c r="AH413" s="105"/>
      <c r="AI413" s="105"/>
      <c r="AJ413" s="105"/>
      <c r="AK413" s="105"/>
      <c r="AL413" s="139"/>
      <c r="AM413" s="105"/>
      <c r="AN413" s="105"/>
      <c r="AO413" s="105"/>
      <c r="AP413" s="105"/>
      <c r="AQ413" s="139"/>
      <c r="AR413" s="105"/>
      <c r="AS413" s="105"/>
      <c r="AT413" s="105"/>
      <c r="AU413" s="105"/>
      <c r="AV413" s="139"/>
      <c r="AW413" s="105"/>
      <c r="AX413" s="105"/>
      <c r="AY413" s="105"/>
      <c r="AZ413" s="105"/>
      <c r="BA413" s="139"/>
      <c r="BB413" s="105"/>
      <c r="BC413" s="105"/>
      <c r="BD413" s="105"/>
      <c r="BE413" s="105"/>
      <c r="BF413" s="139"/>
      <c r="BG413" s="105"/>
      <c r="BH413" s="105"/>
      <c r="BI413" s="105"/>
      <c r="BJ413" s="105"/>
      <c r="BK413" s="139"/>
      <c r="BL413" s="105"/>
      <c r="BM413" s="105"/>
      <c r="BN413" s="105"/>
      <c r="BO413" s="105"/>
      <c r="BP413" s="139"/>
      <c r="BQ413" s="105"/>
      <c r="BR413" s="105"/>
      <c r="BS413" s="105"/>
      <c r="BT413" s="105"/>
      <c r="BU413" s="139"/>
      <c r="BV413" s="105"/>
      <c r="BW413" s="105"/>
      <c r="BX413" s="105"/>
      <c r="BY413" s="105"/>
      <c r="BZ413" s="139"/>
      <c r="CA413" s="105"/>
      <c r="CB413" s="105"/>
      <c r="CC413" s="105"/>
      <c r="CD413" s="105"/>
      <c r="CE413" s="139"/>
      <c r="CF413" s="105"/>
      <c r="CG413" s="105"/>
      <c r="CH413" s="105"/>
      <c r="CI413" s="105"/>
      <c r="CJ413" s="139"/>
      <c r="CK413" s="105"/>
      <c r="CL413" s="105"/>
      <c r="CM413" s="105"/>
      <c r="CN413" s="105"/>
      <c r="CO413" s="139"/>
      <c r="CP413" s="105"/>
      <c r="CQ413" s="105"/>
      <c r="CR413" s="105"/>
      <c r="CS413" s="105"/>
      <c r="CT413" s="139"/>
      <c r="CU413" s="105"/>
      <c r="CV413" s="105"/>
      <c r="CW413" s="105"/>
      <c r="CX413" s="105"/>
      <c r="CY413" s="139"/>
      <c r="CZ413" s="105"/>
      <c r="DA413" s="105"/>
      <c r="DB413" s="105"/>
      <c r="DC413" s="105"/>
      <c r="DD413" s="139"/>
      <c r="DE413" s="105"/>
      <c r="DF413" s="105"/>
      <c r="DG413" s="105"/>
      <c r="DH413" s="105"/>
      <c r="DI413" s="139"/>
      <c r="DJ413" s="105"/>
      <c r="DK413" s="105"/>
      <c r="DL413" s="105"/>
      <c r="DM413" s="105"/>
      <c r="DN413" s="139"/>
      <c r="DO413" s="105"/>
      <c r="DP413" s="105"/>
      <c r="DQ413" s="105"/>
      <c r="DR413" s="105"/>
      <c r="DS413" s="139"/>
      <c r="DT413" s="105"/>
      <c r="DU413" s="105"/>
      <c r="DV413" s="105"/>
      <c r="DW413" s="105"/>
      <c r="DX413" s="139"/>
      <c r="DY413" s="105"/>
      <c r="DZ413" s="105"/>
      <c r="EA413" s="105"/>
      <c r="EB413" s="105"/>
      <c r="EC413" s="139"/>
      <c r="ED413" s="105"/>
      <c r="EE413" s="105"/>
      <c r="EF413" s="105"/>
      <c r="EG413" s="105"/>
      <c r="EH413" s="139"/>
      <c r="EI413" s="105"/>
      <c r="EJ413" s="105"/>
      <c r="EK413" s="105"/>
      <c r="EL413" s="105"/>
      <c r="EM413" s="139"/>
      <c r="EN413" s="105"/>
      <c r="EO413" s="105"/>
      <c r="EP413" s="105"/>
      <c r="EQ413" s="105"/>
      <c r="ER413" s="139"/>
      <c r="ES413" s="105"/>
      <c r="ET413" s="105"/>
      <c r="EU413" s="105"/>
      <c r="EV413" s="105"/>
      <c r="EW413" s="139"/>
      <c r="EX413" s="105"/>
      <c r="EY413" s="105"/>
      <c r="EZ413" s="105"/>
      <c r="FA413" s="105"/>
      <c r="FB413" s="139"/>
      <c r="FC413" s="105"/>
      <c r="FD413" s="105"/>
      <c r="FE413" s="105"/>
      <c r="FF413" s="105"/>
      <c r="FG413" s="139"/>
      <c r="FH413" s="105"/>
      <c r="FI413" s="105"/>
      <c r="FJ413" s="105"/>
      <c r="FK413" s="105"/>
      <c r="FL413" s="139"/>
      <c r="FM413" s="105"/>
      <c r="FN413" s="105"/>
      <c r="FO413" s="105"/>
      <c r="FP413" s="105"/>
      <c r="FQ413" s="139"/>
      <c r="FR413" s="105"/>
      <c r="FS413" s="105"/>
      <c r="FT413" s="105"/>
      <c r="FU413" s="105"/>
      <c r="FV413" s="139"/>
      <c r="FW413" s="105"/>
      <c r="FX413" s="105"/>
      <c r="FY413" s="105"/>
      <c r="FZ413" s="105"/>
      <c r="GA413" s="139"/>
      <c r="GB413" s="105"/>
      <c r="GC413" s="105"/>
      <c r="GD413" s="105"/>
      <c r="GE413" s="105"/>
    </row>
    <row r="414" spans="3:187" ht="12.75" customHeight="1">
      <c r="C414" s="139"/>
      <c r="D414" s="105"/>
      <c r="E414" s="105"/>
      <c r="F414" s="105"/>
      <c r="G414" s="105"/>
      <c r="H414" s="139"/>
      <c r="I414" s="105"/>
      <c r="J414" s="105"/>
      <c r="K414" s="105"/>
      <c r="L414" s="105"/>
      <c r="M414" s="139"/>
      <c r="N414" s="105"/>
      <c r="O414" s="105"/>
      <c r="P414" s="105"/>
      <c r="Q414" s="105"/>
      <c r="R414" s="139"/>
      <c r="S414" s="105"/>
      <c r="T414" s="105"/>
      <c r="U414" s="105"/>
      <c r="V414" s="105"/>
      <c r="W414" s="139"/>
      <c r="X414" s="105"/>
      <c r="Y414" s="105"/>
      <c r="Z414" s="105"/>
      <c r="AA414" s="105"/>
      <c r="AB414" s="139"/>
      <c r="AC414" s="105"/>
      <c r="AD414" s="105"/>
      <c r="AE414" s="105"/>
      <c r="AF414" s="105"/>
      <c r="AG414" s="139"/>
      <c r="AH414" s="105"/>
      <c r="AI414" s="105"/>
      <c r="AJ414" s="105"/>
      <c r="AK414" s="105"/>
      <c r="AL414" s="139"/>
      <c r="AM414" s="105"/>
      <c r="AN414" s="105"/>
      <c r="AO414" s="105"/>
      <c r="AP414" s="105"/>
      <c r="AQ414" s="139"/>
      <c r="AR414" s="105"/>
      <c r="AS414" s="105"/>
      <c r="AT414" s="105"/>
      <c r="AU414" s="105"/>
      <c r="AV414" s="139"/>
      <c r="AW414" s="105"/>
      <c r="AX414" s="105"/>
      <c r="AY414" s="105"/>
      <c r="AZ414" s="105"/>
      <c r="BA414" s="139"/>
      <c r="BB414" s="105"/>
      <c r="BC414" s="105"/>
      <c r="BD414" s="105"/>
      <c r="BE414" s="105"/>
      <c r="BF414" s="139"/>
      <c r="BG414" s="105"/>
      <c r="BH414" s="105"/>
      <c r="BI414" s="105"/>
      <c r="BJ414" s="105"/>
      <c r="BK414" s="139"/>
      <c r="BL414" s="105"/>
      <c r="BM414" s="105"/>
      <c r="BN414" s="105"/>
      <c r="BO414" s="105"/>
      <c r="BP414" s="139"/>
      <c r="BQ414" s="105"/>
      <c r="BR414" s="105"/>
      <c r="BS414" s="105"/>
      <c r="BT414" s="105"/>
      <c r="BU414" s="139"/>
      <c r="BV414" s="105"/>
      <c r="BW414" s="105"/>
      <c r="BX414" s="105"/>
      <c r="BY414" s="105"/>
      <c r="BZ414" s="139"/>
      <c r="CA414" s="105"/>
      <c r="CB414" s="105"/>
      <c r="CC414" s="105"/>
      <c r="CD414" s="105"/>
      <c r="CE414" s="139"/>
      <c r="CF414" s="105"/>
      <c r="CG414" s="105"/>
      <c r="CH414" s="105"/>
      <c r="CI414" s="105"/>
      <c r="CJ414" s="139"/>
      <c r="CK414" s="105"/>
      <c r="CL414" s="105"/>
      <c r="CM414" s="105"/>
      <c r="CN414" s="105"/>
      <c r="CO414" s="139"/>
      <c r="CP414" s="105"/>
      <c r="CQ414" s="105"/>
      <c r="CR414" s="105"/>
      <c r="CS414" s="105"/>
      <c r="CT414" s="139"/>
      <c r="CU414" s="105"/>
      <c r="CV414" s="105"/>
      <c r="CW414" s="105"/>
      <c r="CX414" s="105"/>
      <c r="CY414" s="139"/>
      <c r="CZ414" s="105"/>
      <c r="DA414" s="105"/>
      <c r="DB414" s="105"/>
      <c r="DC414" s="105"/>
      <c r="DD414" s="139"/>
      <c r="DE414" s="105"/>
      <c r="DF414" s="105"/>
      <c r="DG414" s="105"/>
      <c r="DH414" s="105"/>
      <c r="DI414" s="139"/>
      <c r="DJ414" s="105"/>
      <c r="DK414" s="105"/>
      <c r="DL414" s="105"/>
      <c r="DM414" s="105"/>
      <c r="DN414" s="139"/>
      <c r="DO414" s="105"/>
      <c r="DP414" s="105"/>
      <c r="DQ414" s="105"/>
      <c r="DR414" s="105"/>
      <c r="DS414" s="139"/>
      <c r="DT414" s="105"/>
      <c r="DU414" s="105"/>
      <c r="DV414" s="105"/>
      <c r="DW414" s="105"/>
      <c r="DX414" s="139"/>
      <c r="DY414" s="105"/>
      <c r="DZ414" s="105"/>
      <c r="EA414" s="105"/>
      <c r="EB414" s="105"/>
      <c r="EC414" s="139"/>
      <c r="ED414" s="105"/>
      <c r="EE414" s="105"/>
      <c r="EF414" s="105"/>
      <c r="EG414" s="105"/>
      <c r="EH414" s="139"/>
      <c r="EI414" s="105"/>
      <c r="EJ414" s="105"/>
      <c r="EK414" s="105"/>
      <c r="EL414" s="105"/>
      <c r="EM414" s="139"/>
      <c r="EN414" s="105"/>
      <c r="EO414" s="105"/>
      <c r="EP414" s="105"/>
      <c r="EQ414" s="105"/>
      <c r="ER414" s="139"/>
      <c r="ES414" s="105"/>
      <c r="ET414" s="105"/>
      <c r="EU414" s="105"/>
      <c r="EV414" s="105"/>
      <c r="EW414" s="139"/>
      <c r="EX414" s="105"/>
      <c r="EY414" s="105"/>
      <c r="EZ414" s="105"/>
      <c r="FA414" s="105"/>
      <c r="FB414" s="139"/>
      <c r="FC414" s="105"/>
      <c r="FD414" s="105"/>
      <c r="FE414" s="105"/>
      <c r="FF414" s="105"/>
      <c r="FG414" s="139"/>
      <c r="FH414" s="105"/>
      <c r="FI414" s="105"/>
      <c r="FJ414" s="105"/>
      <c r="FK414" s="105"/>
      <c r="FL414" s="139"/>
      <c r="FM414" s="105"/>
      <c r="FN414" s="105"/>
      <c r="FO414" s="105"/>
      <c r="FP414" s="105"/>
      <c r="FQ414" s="139"/>
      <c r="FR414" s="105"/>
      <c r="FS414" s="105"/>
      <c r="FT414" s="105"/>
      <c r="FU414" s="105"/>
      <c r="FV414" s="139"/>
      <c r="FW414" s="105"/>
      <c r="FX414" s="105"/>
      <c r="FY414" s="105"/>
      <c r="FZ414" s="105"/>
      <c r="GA414" s="139"/>
      <c r="GB414" s="105"/>
      <c r="GC414" s="105"/>
      <c r="GD414" s="105"/>
      <c r="GE414" s="105"/>
    </row>
    <row r="415" spans="3:187" ht="12.75" customHeight="1">
      <c r="C415" s="139"/>
      <c r="D415" s="105"/>
      <c r="E415" s="105"/>
      <c r="F415" s="105"/>
      <c r="G415" s="105"/>
      <c r="H415" s="139"/>
      <c r="I415" s="105"/>
      <c r="J415" s="105"/>
      <c r="K415" s="105"/>
      <c r="L415" s="105"/>
      <c r="M415" s="139"/>
      <c r="N415" s="105"/>
      <c r="O415" s="105"/>
      <c r="P415" s="105"/>
      <c r="Q415" s="105"/>
      <c r="R415" s="139"/>
      <c r="S415" s="105"/>
      <c r="T415" s="105"/>
      <c r="U415" s="105"/>
      <c r="V415" s="105"/>
      <c r="W415" s="139"/>
      <c r="X415" s="105"/>
      <c r="Y415" s="105"/>
      <c r="Z415" s="105"/>
      <c r="AA415" s="105"/>
      <c r="AB415" s="139"/>
      <c r="AC415" s="105"/>
      <c r="AD415" s="105"/>
      <c r="AE415" s="105"/>
      <c r="AF415" s="105"/>
      <c r="AG415" s="139"/>
      <c r="AH415" s="105"/>
      <c r="AI415" s="105"/>
      <c r="AJ415" s="105"/>
      <c r="AK415" s="105"/>
      <c r="AL415" s="139"/>
      <c r="AM415" s="105"/>
      <c r="AN415" s="105"/>
      <c r="AO415" s="105"/>
      <c r="AP415" s="105"/>
      <c r="AQ415" s="139"/>
      <c r="AR415" s="105"/>
      <c r="AS415" s="105"/>
      <c r="AT415" s="105"/>
      <c r="AU415" s="105"/>
      <c r="AV415" s="139"/>
      <c r="AW415" s="105"/>
      <c r="AX415" s="105"/>
      <c r="AY415" s="105"/>
      <c r="AZ415" s="105"/>
      <c r="BA415" s="139"/>
      <c r="BB415" s="105"/>
      <c r="BC415" s="105"/>
      <c r="BD415" s="105"/>
      <c r="BE415" s="105"/>
      <c r="BF415" s="139"/>
      <c r="BG415" s="105"/>
      <c r="BH415" s="105"/>
      <c r="BI415" s="105"/>
      <c r="BJ415" s="105"/>
      <c r="BK415" s="139"/>
      <c r="BL415" s="105"/>
      <c r="BM415" s="105"/>
      <c r="BN415" s="105"/>
      <c r="BO415" s="105"/>
      <c r="BP415" s="139"/>
      <c r="BQ415" s="105"/>
      <c r="BR415" s="105"/>
      <c r="BS415" s="105"/>
      <c r="BT415" s="105"/>
      <c r="BU415" s="139"/>
      <c r="BV415" s="105"/>
      <c r="BW415" s="105"/>
      <c r="BX415" s="105"/>
      <c r="BY415" s="105"/>
      <c r="BZ415" s="139"/>
      <c r="CA415" s="105"/>
      <c r="CB415" s="105"/>
      <c r="CC415" s="105"/>
      <c r="CD415" s="105"/>
      <c r="CE415" s="139"/>
      <c r="CF415" s="105"/>
      <c r="CG415" s="105"/>
      <c r="CH415" s="105"/>
      <c r="CI415" s="105"/>
      <c r="CJ415" s="139"/>
      <c r="CK415" s="105"/>
      <c r="CL415" s="105"/>
      <c r="CM415" s="105"/>
      <c r="CN415" s="105"/>
      <c r="CO415" s="139"/>
      <c r="CP415" s="105"/>
      <c r="CQ415" s="105"/>
      <c r="CR415" s="105"/>
      <c r="CS415" s="105"/>
      <c r="CT415" s="139"/>
      <c r="CU415" s="105"/>
      <c r="CV415" s="105"/>
      <c r="CW415" s="105"/>
      <c r="CX415" s="105"/>
      <c r="CY415" s="139"/>
      <c r="CZ415" s="105"/>
      <c r="DA415" s="105"/>
      <c r="DB415" s="105"/>
      <c r="DC415" s="105"/>
      <c r="DD415" s="139"/>
      <c r="DE415" s="105"/>
      <c r="DF415" s="105"/>
      <c r="DG415" s="105"/>
      <c r="DH415" s="105"/>
      <c r="DI415" s="139"/>
      <c r="DJ415" s="105"/>
      <c r="DK415" s="105"/>
      <c r="DL415" s="105"/>
      <c r="DM415" s="105"/>
      <c r="DN415" s="139"/>
      <c r="DO415" s="105"/>
      <c r="DP415" s="105"/>
      <c r="DQ415" s="105"/>
      <c r="DR415" s="105"/>
      <c r="DS415" s="139"/>
      <c r="DT415" s="105"/>
      <c r="DU415" s="105"/>
      <c r="DV415" s="105"/>
      <c r="DW415" s="105"/>
      <c r="DX415" s="139"/>
      <c r="DY415" s="105"/>
      <c r="DZ415" s="105"/>
      <c r="EA415" s="105"/>
      <c r="EB415" s="105"/>
      <c r="EC415" s="139"/>
      <c r="ED415" s="105"/>
      <c r="EE415" s="105"/>
      <c r="EF415" s="105"/>
      <c r="EG415" s="105"/>
      <c r="EH415" s="139"/>
      <c r="EI415" s="105"/>
      <c r="EJ415" s="105"/>
      <c r="EK415" s="105"/>
      <c r="EL415" s="105"/>
      <c r="EM415" s="139"/>
      <c r="EN415" s="105"/>
      <c r="EO415" s="105"/>
      <c r="EP415" s="105"/>
      <c r="EQ415" s="105"/>
      <c r="ER415" s="139"/>
      <c r="ES415" s="105"/>
      <c r="ET415" s="105"/>
      <c r="EU415" s="105"/>
      <c r="EV415" s="105"/>
      <c r="EW415" s="139"/>
      <c r="EX415" s="105"/>
      <c r="EY415" s="105"/>
      <c r="EZ415" s="105"/>
      <c r="FA415" s="105"/>
      <c r="FB415" s="139"/>
      <c r="FC415" s="105"/>
      <c r="FD415" s="105"/>
      <c r="FE415" s="105"/>
      <c r="FF415" s="105"/>
      <c r="FG415" s="139"/>
      <c r="FH415" s="105"/>
      <c r="FI415" s="105"/>
      <c r="FJ415" s="105"/>
      <c r="FK415" s="105"/>
      <c r="FL415" s="139"/>
      <c r="FM415" s="105"/>
      <c r="FN415" s="105"/>
      <c r="FO415" s="105"/>
      <c r="FP415" s="105"/>
      <c r="FQ415" s="139"/>
      <c r="FR415" s="105"/>
      <c r="FS415" s="105"/>
      <c r="FT415" s="105"/>
      <c r="FU415" s="105"/>
      <c r="FV415" s="139"/>
      <c r="FW415" s="105"/>
      <c r="FX415" s="105"/>
      <c r="FY415" s="105"/>
      <c r="FZ415" s="105"/>
      <c r="GA415" s="139"/>
      <c r="GB415" s="105"/>
      <c r="GC415" s="105"/>
      <c r="GD415" s="105"/>
      <c r="GE415" s="105"/>
    </row>
    <row r="417" spans="3:187" ht="12.75" customHeight="1">
      <c r="C417" s="205"/>
      <c r="D417" s="206"/>
      <c r="E417" s="206"/>
      <c r="F417" s="206"/>
      <c r="G417" s="206"/>
      <c r="H417" s="205"/>
      <c r="I417" s="206"/>
      <c r="J417" s="206"/>
      <c r="K417" s="206"/>
      <c r="L417" s="206"/>
      <c r="M417" s="205"/>
      <c r="N417" s="206"/>
      <c r="O417" s="206"/>
      <c r="P417" s="206"/>
      <c r="Q417" s="206"/>
      <c r="R417" s="205"/>
      <c r="S417" s="206"/>
      <c r="T417" s="206"/>
      <c r="U417" s="206"/>
      <c r="V417" s="206"/>
      <c r="W417" s="205"/>
      <c r="X417" s="206"/>
      <c r="Y417" s="206"/>
      <c r="Z417" s="206"/>
      <c r="AA417" s="206"/>
      <c r="AB417" s="205"/>
      <c r="AC417" s="206"/>
      <c r="AD417" s="206"/>
      <c r="AE417" s="206"/>
      <c r="AF417" s="206"/>
      <c r="AG417" s="205"/>
      <c r="AH417" s="206"/>
      <c r="AI417" s="206"/>
      <c r="AJ417" s="206"/>
      <c r="AK417" s="206"/>
      <c r="AL417" s="205"/>
      <c r="AM417" s="206"/>
      <c r="AN417" s="206"/>
      <c r="AO417" s="206"/>
      <c r="AP417" s="206"/>
      <c r="AQ417" s="205"/>
      <c r="AR417" s="206"/>
      <c r="AS417" s="206"/>
      <c r="AT417" s="206"/>
      <c r="AU417" s="206"/>
      <c r="AV417" s="205"/>
      <c r="AW417" s="206"/>
      <c r="AX417" s="206"/>
      <c r="AY417" s="206"/>
      <c r="AZ417" s="206"/>
      <c r="BA417" s="205"/>
      <c r="BB417" s="206"/>
      <c r="BC417" s="206"/>
      <c r="BD417" s="206"/>
      <c r="BE417" s="206"/>
      <c r="BF417" s="205"/>
      <c r="BG417" s="206"/>
      <c r="BH417" s="206"/>
      <c r="BI417" s="206"/>
      <c r="BJ417" s="206"/>
      <c r="BK417" s="205"/>
      <c r="BL417" s="206"/>
      <c r="BM417" s="206"/>
      <c r="BN417" s="206"/>
      <c r="BO417" s="206"/>
      <c r="BP417" s="205"/>
      <c r="BQ417" s="206"/>
      <c r="BR417" s="206"/>
      <c r="BS417" s="206"/>
      <c r="BT417" s="206"/>
      <c r="BU417" s="205"/>
      <c r="BV417" s="206"/>
      <c r="BW417" s="206"/>
      <c r="BX417" s="206"/>
      <c r="BY417" s="206"/>
      <c r="BZ417" s="205"/>
      <c r="CA417" s="206"/>
      <c r="CB417" s="206"/>
      <c r="CC417" s="206"/>
      <c r="CD417" s="206"/>
      <c r="CE417" s="205"/>
      <c r="CF417" s="206"/>
      <c r="CG417" s="206"/>
      <c r="CH417" s="206"/>
      <c r="CI417" s="206"/>
      <c r="CJ417" s="205"/>
      <c r="CK417" s="206"/>
      <c r="CL417" s="206"/>
      <c r="CM417" s="206"/>
      <c r="CN417" s="206"/>
      <c r="CO417" s="205"/>
      <c r="CP417" s="206"/>
      <c r="CQ417" s="206"/>
      <c r="CR417" s="206"/>
      <c r="CS417" s="206"/>
      <c r="CT417" s="205"/>
      <c r="CU417" s="206"/>
      <c r="CV417" s="206"/>
      <c r="CW417" s="206"/>
      <c r="CX417" s="206"/>
      <c r="CY417" s="205"/>
      <c r="CZ417" s="206"/>
      <c r="DA417" s="206"/>
      <c r="DB417" s="206"/>
      <c r="DC417" s="206"/>
      <c r="DD417" s="205"/>
      <c r="DE417" s="206"/>
      <c r="DF417" s="206"/>
      <c r="DG417" s="206"/>
      <c r="DH417" s="206"/>
      <c r="DI417" s="205"/>
      <c r="DJ417" s="206"/>
      <c r="DK417" s="206"/>
      <c r="DL417" s="206"/>
      <c r="DM417" s="206"/>
      <c r="DN417" s="205"/>
      <c r="DO417" s="206"/>
      <c r="DP417" s="206"/>
      <c r="DQ417" s="206"/>
      <c r="DR417" s="206"/>
      <c r="DS417" s="205"/>
      <c r="DT417" s="206"/>
      <c r="DU417" s="206"/>
      <c r="DV417" s="206"/>
      <c r="DW417" s="206"/>
      <c r="DX417" s="205"/>
      <c r="DY417" s="206"/>
      <c r="DZ417" s="206"/>
      <c r="EA417" s="206"/>
      <c r="EB417" s="206"/>
      <c r="EC417" s="205"/>
      <c r="ED417" s="206"/>
      <c r="EE417" s="206"/>
      <c r="EF417" s="206"/>
      <c r="EG417" s="206"/>
      <c r="EH417" s="205"/>
      <c r="EI417" s="206"/>
      <c r="EJ417" s="206"/>
      <c r="EK417" s="206"/>
      <c r="EL417" s="206"/>
      <c r="EM417" s="205"/>
      <c r="EN417" s="206"/>
      <c r="EO417" s="206"/>
      <c r="EP417" s="206"/>
      <c r="EQ417" s="206"/>
      <c r="ER417" s="205"/>
      <c r="ES417" s="206"/>
      <c r="ET417" s="206"/>
      <c r="EU417" s="206"/>
      <c r="EV417" s="206"/>
      <c r="EW417" s="205"/>
      <c r="EX417" s="206"/>
      <c r="EY417" s="206"/>
      <c r="EZ417" s="206"/>
      <c r="FA417" s="206"/>
      <c r="FB417" s="205"/>
      <c r="FC417" s="206"/>
      <c r="FD417" s="206"/>
      <c r="FE417" s="206"/>
      <c r="FF417" s="206"/>
      <c r="FG417" s="205"/>
      <c r="FH417" s="206"/>
      <c r="FI417" s="206"/>
      <c r="FJ417" s="206"/>
      <c r="FK417" s="206"/>
      <c r="FL417" s="205"/>
      <c r="FM417" s="206"/>
      <c r="FN417" s="206"/>
      <c r="FO417" s="206"/>
      <c r="FP417" s="206"/>
      <c r="FQ417" s="205"/>
      <c r="FR417" s="206"/>
      <c r="FS417" s="206"/>
      <c r="FT417" s="206"/>
      <c r="FU417" s="206"/>
      <c r="FV417" s="205"/>
      <c r="FW417" s="206"/>
      <c r="FX417" s="206"/>
      <c r="FY417" s="206"/>
      <c r="FZ417" s="206"/>
      <c r="GA417" s="205"/>
      <c r="GB417" s="206"/>
      <c r="GC417" s="206"/>
      <c r="GD417" s="206"/>
      <c r="GE417" s="206"/>
    </row>
    <row r="418" spans="3:187" ht="12.75" customHeight="1">
      <c r="C418" s="203"/>
      <c r="D418" s="105"/>
      <c r="E418" s="105"/>
      <c r="F418" s="105"/>
      <c r="G418" s="105"/>
      <c r="H418" s="203"/>
      <c r="I418" s="105"/>
      <c r="J418" s="105"/>
      <c r="K418" s="105"/>
      <c r="L418" s="105"/>
      <c r="M418" s="203"/>
      <c r="N418" s="105"/>
      <c r="O418" s="105"/>
      <c r="P418" s="105"/>
      <c r="Q418" s="105"/>
      <c r="R418" s="203"/>
      <c r="S418" s="105"/>
      <c r="T418" s="105"/>
      <c r="U418" s="105"/>
      <c r="V418" s="105"/>
      <c r="W418" s="203"/>
      <c r="X418" s="105"/>
      <c r="Y418" s="105"/>
      <c r="Z418" s="105"/>
      <c r="AA418" s="105"/>
      <c r="AB418" s="203"/>
      <c r="AC418" s="105"/>
      <c r="AD418" s="105"/>
      <c r="AE418" s="105"/>
      <c r="AF418" s="105"/>
      <c r="AG418" s="203"/>
      <c r="AH418" s="105"/>
      <c r="AI418" s="105"/>
      <c r="AJ418" s="105"/>
      <c r="AK418" s="105"/>
      <c r="AL418" s="203"/>
      <c r="AM418" s="105"/>
      <c r="AN418" s="105"/>
      <c r="AO418" s="105"/>
      <c r="AP418" s="105"/>
      <c r="AQ418" s="203"/>
      <c r="AR418" s="105"/>
      <c r="AS418" s="105"/>
      <c r="AT418" s="105"/>
      <c r="AU418" s="105"/>
      <c r="AV418" s="203"/>
      <c r="AW418" s="105"/>
      <c r="AX418" s="105"/>
      <c r="AY418" s="105"/>
      <c r="AZ418" s="105"/>
      <c r="BA418" s="203"/>
      <c r="BB418" s="105"/>
      <c r="BC418" s="105"/>
      <c r="BD418" s="105"/>
      <c r="BE418" s="105"/>
      <c r="BF418" s="203"/>
      <c r="BG418" s="105"/>
      <c r="BH418" s="105"/>
      <c r="BI418" s="105"/>
      <c r="BJ418" s="105"/>
      <c r="BK418" s="203"/>
      <c r="BL418" s="105"/>
      <c r="BM418" s="105"/>
      <c r="BN418" s="105"/>
      <c r="BO418" s="105"/>
      <c r="BP418" s="203"/>
      <c r="BQ418" s="105"/>
      <c r="BR418" s="105"/>
      <c r="BS418" s="105"/>
      <c r="BT418" s="105"/>
      <c r="BU418" s="203"/>
      <c r="BV418" s="105"/>
      <c r="BW418" s="105"/>
      <c r="BX418" s="105"/>
      <c r="BY418" s="105"/>
      <c r="BZ418" s="203"/>
      <c r="CA418" s="105"/>
      <c r="CB418" s="105"/>
      <c r="CC418" s="105"/>
      <c r="CD418" s="105"/>
      <c r="CE418" s="203"/>
      <c r="CF418" s="105"/>
      <c r="CG418" s="105"/>
      <c r="CH418" s="105"/>
      <c r="CI418" s="105"/>
      <c r="CJ418" s="203"/>
      <c r="CK418" s="105"/>
      <c r="CL418" s="105"/>
      <c r="CM418" s="105"/>
      <c r="CN418" s="105"/>
      <c r="CO418" s="203"/>
      <c r="CP418" s="105"/>
      <c r="CQ418" s="105"/>
      <c r="CR418" s="105"/>
      <c r="CS418" s="105"/>
      <c r="CT418" s="203"/>
      <c r="CU418" s="105"/>
      <c r="CV418" s="105"/>
      <c r="CW418" s="105"/>
      <c r="CX418" s="105"/>
      <c r="CY418" s="203"/>
      <c r="CZ418" s="105"/>
      <c r="DA418" s="105"/>
      <c r="DB418" s="105"/>
      <c r="DC418" s="105"/>
      <c r="DD418" s="203"/>
      <c r="DE418" s="105"/>
      <c r="DF418" s="105"/>
      <c r="DG418" s="105"/>
      <c r="DH418" s="105"/>
      <c r="DI418" s="203"/>
      <c r="DJ418" s="105"/>
      <c r="DK418" s="105"/>
      <c r="DL418" s="105"/>
      <c r="DM418" s="105"/>
      <c r="DN418" s="203"/>
      <c r="DO418" s="105"/>
      <c r="DP418" s="105"/>
      <c r="DQ418" s="105"/>
      <c r="DR418" s="105"/>
      <c r="DS418" s="203"/>
      <c r="DT418" s="105"/>
      <c r="DU418" s="105"/>
      <c r="DV418" s="105"/>
      <c r="DW418" s="105"/>
      <c r="DX418" s="203"/>
      <c r="DY418" s="105"/>
      <c r="DZ418" s="105"/>
      <c r="EA418" s="105"/>
      <c r="EB418" s="105"/>
      <c r="EC418" s="203"/>
      <c r="ED418" s="105"/>
      <c r="EE418" s="105"/>
      <c r="EF418" s="105"/>
      <c r="EG418" s="105"/>
      <c r="EH418" s="203"/>
      <c r="EI418" s="105"/>
      <c r="EJ418" s="105"/>
      <c r="EK418" s="105"/>
      <c r="EL418" s="105"/>
      <c r="EM418" s="203"/>
      <c r="EN418" s="105"/>
      <c r="EO418" s="105"/>
      <c r="EP418" s="105"/>
      <c r="EQ418" s="105"/>
      <c r="ER418" s="203"/>
      <c r="ES418" s="105"/>
      <c r="ET418" s="105"/>
      <c r="EU418" s="105"/>
      <c r="EV418" s="105"/>
      <c r="EW418" s="203"/>
      <c r="EX418" s="105"/>
      <c r="EY418" s="105"/>
      <c r="EZ418" s="105"/>
      <c r="FA418" s="105"/>
      <c r="FB418" s="203"/>
      <c r="FC418" s="105"/>
      <c r="FD418" s="105"/>
      <c r="FE418" s="105"/>
      <c r="FF418" s="105"/>
      <c r="FG418" s="203"/>
      <c r="FH418" s="105"/>
      <c r="FI418" s="105"/>
      <c r="FJ418" s="105"/>
      <c r="FK418" s="105"/>
      <c r="FL418" s="203"/>
      <c r="FM418" s="105"/>
      <c r="FN418" s="105"/>
      <c r="FO418" s="105"/>
      <c r="FP418" s="105"/>
      <c r="FQ418" s="203"/>
      <c r="FR418" s="105"/>
      <c r="FS418" s="105"/>
      <c r="FT418" s="105"/>
      <c r="FU418" s="105"/>
      <c r="FV418" s="203"/>
      <c r="FW418" s="105"/>
      <c r="FX418" s="105"/>
      <c r="FY418" s="105"/>
      <c r="FZ418" s="105"/>
      <c r="GA418" s="203"/>
      <c r="GB418" s="105"/>
      <c r="GC418" s="105"/>
      <c r="GD418" s="105"/>
      <c r="GE418" s="105"/>
    </row>
    <row r="419" spans="3:187" ht="12.75" customHeight="1">
      <c r="C419" s="203"/>
      <c r="D419" s="105"/>
      <c r="E419" s="105"/>
      <c r="F419" s="105"/>
      <c r="G419" s="105"/>
      <c r="H419" s="203"/>
      <c r="I419" s="105"/>
      <c r="J419" s="105"/>
      <c r="K419" s="105"/>
      <c r="L419" s="105"/>
      <c r="M419" s="203"/>
      <c r="N419" s="105"/>
      <c r="O419" s="105"/>
      <c r="P419" s="105"/>
      <c r="Q419" s="105"/>
      <c r="R419" s="203"/>
      <c r="S419" s="105"/>
      <c r="T419" s="105"/>
      <c r="U419" s="105"/>
      <c r="V419" s="105"/>
      <c r="W419" s="203"/>
      <c r="X419" s="105"/>
      <c r="Y419" s="105"/>
      <c r="Z419" s="105"/>
      <c r="AA419" s="105"/>
      <c r="AB419" s="203"/>
      <c r="AC419" s="105"/>
      <c r="AD419" s="105"/>
      <c r="AE419" s="105"/>
      <c r="AF419" s="105"/>
      <c r="AG419" s="203"/>
      <c r="AH419" s="105"/>
      <c r="AI419" s="105"/>
      <c r="AJ419" s="105"/>
      <c r="AK419" s="105"/>
      <c r="AL419" s="203"/>
      <c r="AM419" s="105"/>
      <c r="AN419" s="105"/>
      <c r="AO419" s="105"/>
      <c r="AP419" s="105"/>
      <c r="AQ419" s="203"/>
      <c r="AR419" s="105"/>
      <c r="AS419" s="105"/>
      <c r="AT419" s="105"/>
      <c r="AU419" s="105"/>
      <c r="AV419" s="203"/>
      <c r="AW419" s="105"/>
      <c r="AX419" s="105"/>
      <c r="AY419" s="105"/>
      <c r="AZ419" s="105"/>
      <c r="BA419" s="203"/>
      <c r="BB419" s="105"/>
      <c r="BC419" s="105"/>
      <c r="BD419" s="105"/>
      <c r="BE419" s="105"/>
      <c r="BF419" s="203"/>
      <c r="BG419" s="105"/>
      <c r="BH419" s="105"/>
      <c r="BI419" s="105"/>
      <c r="BJ419" s="105"/>
      <c r="BK419" s="203"/>
      <c r="BL419" s="105"/>
      <c r="BM419" s="105"/>
      <c r="BN419" s="105"/>
      <c r="BO419" s="105"/>
      <c r="BP419" s="203"/>
      <c r="BQ419" s="105"/>
      <c r="BR419" s="105"/>
      <c r="BS419" s="105"/>
      <c r="BT419" s="105"/>
      <c r="BU419" s="203"/>
      <c r="BV419" s="105"/>
      <c r="BW419" s="105"/>
      <c r="BX419" s="105"/>
      <c r="BY419" s="105"/>
      <c r="BZ419" s="203"/>
      <c r="CA419" s="105"/>
      <c r="CB419" s="105"/>
      <c r="CC419" s="105"/>
      <c r="CD419" s="105"/>
      <c r="CE419" s="203"/>
      <c r="CF419" s="105"/>
      <c r="CG419" s="105"/>
      <c r="CH419" s="105"/>
      <c r="CI419" s="105"/>
      <c r="CJ419" s="203"/>
      <c r="CK419" s="105"/>
      <c r="CL419" s="105"/>
      <c r="CM419" s="105"/>
      <c r="CN419" s="105"/>
      <c r="CO419" s="203"/>
      <c r="CP419" s="105"/>
      <c r="CQ419" s="105"/>
      <c r="CR419" s="105"/>
      <c r="CS419" s="105"/>
      <c r="CT419" s="203"/>
      <c r="CU419" s="105"/>
      <c r="CV419" s="105"/>
      <c r="CW419" s="105"/>
      <c r="CX419" s="105"/>
      <c r="CY419" s="203"/>
      <c r="CZ419" s="105"/>
      <c r="DA419" s="105"/>
      <c r="DB419" s="105"/>
      <c r="DC419" s="105"/>
      <c r="DD419" s="203"/>
      <c r="DE419" s="105"/>
      <c r="DF419" s="105"/>
      <c r="DG419" s="105"/>
      <c r="DH419" s="105"/>
      <c r="DI419" s="203"/>
      <c r="DJ419" s="105"/>
      <c r="DK419" s="105"/>
      <c r="DL419" s="105"/>
      <c r="DM419" s="105"/>
      <c r="DN419" s="203"/>
      <c r="DO419" s="105"/>
      <c r="DP419" s="105"/>
      <c r="DQ419" s="105"/>
      <c r="DR419" s="105"/>
      <c r="DS419" s="203"/>
      <c r="DT419" s="105"/>
      <c r="DU419" s="105"/>
      <c r="DV419" s="105"/>
      <c r="DW419" s="105"/>
      <c r="DX419" s="203"/>
      <c r="DY419" s="105"/>
      <c r="DZ419" s="105"/>
      <c r="EA419" s="105"/>
      <c r="EB419" s="105"/>
      <c r="EC419" s="203"/>
      <c r="ED419" s="105"/>
      <c r="EE419" s="105"/>
      <c r="EF419" s="105"/>
      <c r="EG419" s="105"/>
      <c r="EH419" s="203"/>
      <c r="EI419" s="105"/>
      <c r="EJ419" s="105"/>
      <c r="EK419" s="105"/>
      <c r="EL419" s="105"/>
      <c r="EM419" s="203"/>
      <c r="EN419" s="105"/>
      <c r="EO419" s="105"/>
      <c r="EP419" s="105"/>
      <c r="EQ419" s="105"/>
      <c r="ER419" s="203"/>
      <c r="ES419" s="105"/>
      <c r="ET419" s="105"/>
      <c r="EU419" s="105"/>
      <c r="EV419" s="105"/>
      <c r="EW419" s="203"/>
      <c r="EX419" s="105"/>
      <c r="EY419" s="105"/>
      <c r="EZ419" s="105"/>
      <c r="FA419" s="105"/>
      <c r="FB419" s="203"/>
      <c r="FC419" s="105"/>
      <c r="FD419" s="105"/>
      <c r="FE419" s="105"/>
      <c r="FF419" s="105"/>
      <c r="FG419" s="203"/>
      <c r="FH419" s="105"/>
      <c r="FI419" s="105"/>
      <c r="FJ419" s="105"/>
      <c r="FK419" s="105"/>
      <c r="FL419" s="203"/>
      <c r="FM419" s="105"/>
      <c r="FN419" s="105"/>
      <c r="FO419" s="105"/>
      <c r="FP419" s="105"/>
      <c r="FQ419" s="203"/>
      <c r="FR419" s="105"/>
      <c r="FS419" s="105"/>
      <c r="FT419" s="105"/>
      <c r="FU419" s="105"/>
      <c r="FV419" s="203"/>
      <c r="FW419" s="105"/>
      <c r="FX419" s="105"/>
      <c r="FY419" s="105"/>
      <c r="FZ419" s="105"/>
      <c r="GA419" s="203"/>
      <c r="GB419" s="105"/>
      <c r="GC419" s="105"/>
      <c r="GD419" s="105"/>
      <c r="GE419" s="105"/>
    </row>
    <row r="420" spans="3:187" ht="12.75" customHeight="1">
      <c r="C420" s="203"/>
      <c r="D420" s="105"/>
      <c r="E420" s="105"/>
      <c r="F420" s="105"/>
      <c r="G420" s="105"/>
      <c r="H420" s="203"/>
      <c r="I420" s="105"/>
      <c r="J420" s="105"/>
      <c r="K420" s="105"/>
      <c r="L420" s="105"/>
      <c r="M420" s="203"/>
      <c r="N420" s="105"/>
      <c r="O420" s="105"/>
      <c r="P420" s="105"/>
      <c r="Q420" s="105"/>
      <c r="R420" s="203"/>
      <c r="S420" s="105"/>
      <c r="T420" s="105"/>
      <c r="U420" s="105"/>
      <c r="V420" s="105"/>
      <c r="W420" s="203"/>
      <c r="X420" s="105"/>
      <c r="Y420" s="105"/>
      <c r="Z420" s="105"/>
      <c r="AA420" s="105"/>
      <c r="AB420" s="203"/>
      <c r="AC420" s="105"/>
      <c r="AD420" s="105"/>
      <c r="AE420" s="105"/>
      <c r="AF420" s="105"/>
      <c r="AG420" s="203"/>
      <c r="AH420" s="105"/>
      <c r="AI420" s="105"/>
      <c r="AJ420" s="105"/>
      <c r="AK420" s="105"/>
      <c r="AL420" s="203"/>
      <c r="AM420" s="105"/>
      <c r="AN420" s="105"/>
      <c r="AO420" s="105"/>
      <c r="AP420" s="105"/>
      <c r="AQ420" s="203"/>
      <c r="AR420" s="105"/>
      <c r="AS420" s="105"/>
      <c r="AT420" s="105"/>
      <c r="AU420" s="105"/>
      <c r="AV420" s="203"/>
      <c r="AW420" s="105"/>
      <c r="AX420" s="105"/>
      <c r="AY420" s="105"/>
      <c r="AZ420" s="105"/>
      <c r="BA420" s="203"/>
      <c r="BB420" s="105"/>
      <c r="BC420" s="105"/>
      <c r="BD420" s="105"/>
      <c r="BE420" s="105"/>
      <c r="BF420" s="203"/>
      <c r="BG420" s="105"/>
      <c r="BH420" s="105"/>
      <c r="BI420" s="105"/>
      <c r="BJ420" s="105"/>
      <c r="BK420" s="203"/>
      <c r="BL420" s="105"/>
      <c r="BM420" s="105"/>
      <c r="BN420" s="105"/>
      <c r="BO420" s="105"/>
      <c r="BP420" s="203"/>
      <c r="BQ420" s="105"/>
      <c r="BR420" s="105"/>
      <c r="BS420" s="105"/>
      <c r="BT420" s="105"/>
      <c r="BU420" s="203"/>
      <c r="BV420" s="105"/>
      <c r="BW420" s="105"/>
      <c r="BX420" s="105"/>
      <c r="BY420" s="105"/>
      <c r="BZ420" s="203"/>
      <c r="CA420" s="105"/>
      <c r="CB420" s="105"/>
      <c r="CC420" s="105"/>
      <c r="CD420" s="105"/>
      <c r="CE420" s="203"/>
      <c r="CF420" s="105"/>
      <c r="CG420" s="105"/>
      <c r="CH420" s="105"/>
      <c r="CI420" s="105"/>
      <c r="CJ420" s="203"/>
      <c r="CK420" s="105"/>
      <c r="CL420" s="105"/>
      <c r="CM420" s="105"/>
      <c r="CN420" s="105"/>
      <c r="CO420" s="203"/>
      <c r="CP420" s="105"/>
      <c r="CQ420" s="105"/>
      <c r="CR420" s="105"/>
      <c r="CS420" s="105"/>
      <c r="CT420" s="203"/>
      <c r="CU420" s="105"/>
      <c r="CV420" s="105"/>
      <c r="CW420" s="105"/>
      <c r="CX420" s="105"/>
      <c r="CY420" s="203"/>
      <c r="CZ420" s="105"/>
      <c r="DA420" s="105"/>
      <c r="DB420" s="105"/>
      <c r="DC420" s="105"/>
      <c r="DD420" s="203"/>
      <c r="DE420" s="105"/>
      <c r="DF420" s="105"/>
      <c r="DG420" s="105"/>
      <c r="DH420" s="105"/>
      <c r="DI420" s="203"/>
      <c r="DJ420" s="105"/>
      <c r="DK420" s="105"/>
      <c r="DL420" s="105"/>
      <c r="DM420" s="105"/>
      <c r="DN420" s="203"/>
      <c r="DO420" s="105"/>
      <c r="DP420" s="105"/>
      <c r="DQ420" s="105"/>
      <c r="DR420" s="105"/>
      <c r="DS420" s="203"/>
      <c r="DT420" s="105"/>
      <c r="DU420" s="105"/>
      <c r="DV420" s="105"/>
      <c r="DW420" s="105"/>
      <c r="DX420" s="203"/>
      <c r="DY420" s="105"/>
      <c r="DZ420" s="105"/>
      <c r="EA420" s="105"/>
      <c r="EB420" s="105"/>
      <c r="EC420" s="203"/>
      <c r="ED420" s="105"/>
      <c r="EE420" s="105"/>
      <c r="EF420" s="105"/>
      <c r="EG420" s="105"/>
      <c r="EH420" s="203"/>
      <c r="EI420" s="105"/>
      <c r="EJ420" s="105"/>
      <c r="EK420" s="105"/>
      <c r="EL420" s="105"/>
      <c r="EM420" s="203"/>
      <c r="EN420" s="105"/>
      <c r="EO420" s="105"/>
      <c r="EP420" s="105"/>
      <c r="EQ420" s="105"/>
      <c r="ER420" s="203"/>
      <c r="ES420" s="105"/>
      <c r="ET420" s="105"/>
      <c r="EU420" s="105"/>
      <c r="EV420" s="105"/>
      <c r="EW420" s="203"/>
      <c r="EX420" s="105"/>
      <c r="EY420" s="105"/>
      <c r="EZ420" s="105"/>
      <c r="FA420" s="105"/>
      <c r="FB420" s="203"/>
      <c r="FC420" s="105"/>
      <c r="FD420" s="105"/>
      <c r="FE420" s="105"/>
      <c r="FF420" s="105"/>
      <c r="FG420" s="203"/>
      <c r="FH420" s="105"/>
      <c r="FI420" s="105"/>
      <c r="FJ420" s="105"/>
      <c r="FK420" s="105"/>
      <c r="FL420" s="203"/>
      <c r="FM420" s="105"/>
      <c r="FN420" s="105"/>
      <c r="FO420" s="105"/>
      <c r="FP420" s="105"/>
      <c r="FQ420" s="203"/>
      <c r="FR420" s="105"/>
      <c r="FS420" s="105"/>
      <c r="FT420" s="105"/>
      <c r="FU420" s="105"/>
      <c r="FV420" s="203"/>
      <c r="FW420" s="105"/>
      <c r="FX420" s="105"/>
      <c r="FY420" s="105"/>
      <c r="FZ420" s="105"/>
      <c r="GA420" s="203"/>
      <c r="GB420" s="105"/>
      <c r="GC420" s="105"/>
      <c r="GD420" s="105"/>
      <c r="GE420" s="105"/>
    </row>
    <row r="422" spans="3:187" ht="12.75" customHeight="1">
      <c r="C422" s="207"/>
      <c r="D422" s="177"/>
      <c r="E422" s="177"/>
      <c r="F422" s="177"/>
      <c r="G422" s="177"/>
      <c r="H422" s="207"/>
      <c r="I422" s="177"/>
      <c r="J422" s="177"/>
      <c r="K422" s="177"/>
      <c r="L422" s="177"/>
      <c r="M422" s="207"/>
      <c r="N422" s="177"/>
      <c r="O422" s="177"/>
      <c r="P422" s="177"/>
      <c r="Q422" s="177"/>
      <c r="R422" s="207"/>
      <c r="S422" s="177"/>
      <c r="T422" s="177"/>
      <c r="U422" s="177"/>
      <c r="V422" s="177"/>
      <c r="W422" s="207"/>
      <c r="X422" s="177"/>
      <c r="Y422" s="177"/>
      <c r="Z422" s="177"/>
      <c r="AA422" s="177"/>
      <c r="AB422" s="207"/>
      <c r="AC422" s="177"/>
      <c r="AD422" s="177"/>
      <c r="AE422" s="177"/>
      <c r="AF422" s="177"/>
      <c r="AG422" s="207"/>
      <c r="AH422" s="177"/>
      <c r="AI422" s="177"/>
      <c r="AJ422" s="177"/>
      <c r="AK422" s="177"/>
      <c r="AL422" s="207"/>
      <c r="AM422" s="177"/>
      <c r="AN422" s="177"/>
      <c r="AO422" s="177"/>
      <c r="AP422" s="177"/>
      <c r="AQ422" s="207"/>
      <c r="AR422" s="177"/>
      <c r="AS422" s="177"/>
      <c r="AT422" s="177"/>
      <c r="AU422" s="177"/>
      <c r="AV422" s="207"/>
      <c r="AW422" s="177"/>
      <c r="AX422" s="177"/>
      <c r="AY422" s="177"/>
      <c r="AZ422" s="177"/>
      <c r="BA422" s="207"/>
      <c r="BB422" s="177"/>
      <c r="BC422" s="177"/>
      <c r="BD422" s="177"/>
      <c r="BE422" s="177"/>
      <c r="BF422" s="207"/>
      <c r="BG422" s="177"/>
      <c r="BH422" s="177"/>
      <c r="BI422" s="177"/>
      <c r="BJ422" s="177"/>
      <c r="BK422" s="207"/>
      <c r="BL422" s="177"/>
      <c r="BM422" s="177"/>
      <c r="BN422" s="177"/>
      <c r="BO422" s="177"/>
      <c r="BP422" s="207"/>
      <c r="BQ422" s="177"/>
      <c r="BR422" s="177"/>
      <c r="BS422" s="177"/>
      <c r="BT422" s="177"/>
      <c r="BU422" s="207"/>
      <c r="BV422" s="177"/>
      <c r="BW422" s="177"/>
      <c r="BX422" s="177"/>
      <c r="BY422" s="177"/>
      <c r="BZ422" s="207"/>
      <c r="CA422" s="177"/>
      <c r="CB422" s="177"/>
      <c r="CC422" s="177"/>
      <c r="CD422" s="177"/>
      <c r="CE422" s="207"/>
      <c r="CF422" s="177"/>
      <c r="CG422" s="177"/>
      <c r="CH422" s="177"/>
      <c r="CI422" s="177"/>
      <c r="CJ422" s="207"/>
      <c r="CK422" s="177"/>
      <c r="CL422" s="177"/>
      <c r="CM422" s="177"/>
      <c r="CN422" s="177"/>
      <c r="CO422" s="207"/>
      <c r="CP422" s="177"/>
      <c r="CQ422" s="177"/>
      <c r="CR422" s="177"/>
      <c r="CS422" s="177"/>
      <c r="CT422" s="207"/>
      <c r="CU422" s="177"/>
      <c r="CV422" s="177"/>
      <c r="CW422" s="177"/>
      <c r="CX422" s="177"/>
      <c r="CY422" s="207"/>
      <c r="CZ422" s="177"/>
      <c r="DA422" s="177"/>
      <c r="DB422" s="177"/>
      <c r="DC422" s="177"/>
      <c r="DD422" s="207"/>
      <c r="DE422" s="177"/>
      <c r="DF422" s="177"/>
      <c r="DG422" s="177"/>
      <c r="DH422" s="177"/>
      <c r="DI422" s="207"/>
      <c r="DJ422" s="177"/>
      <c r="DK422" s="177"/>
      <c r="DL422" s="177"/>
      <c r="DM422" s="177"/>
      <c r="DN422" s="207"/>
      <c r="DO422" s="177"/>
      <c r="DP422" s="177"/>
      <c r="DQ422" s="177"/>
      <c r="DR422" s="177"/>
      <c r="DS422" s="207"/>
      <c r="DT422" s="177"/>
      <c r="DU422" s="177"/>
      <c r="DV422" s="177"/>
      <c r="DW422" s="177"/>
      <c r="DX422" s="207"/>
      <c r="DY422" s="177"/>
      <c r="DZ422" s="177"/>
      <c r="EA422" s="177"/>
      <c r="EB422" s="177"/>
      <c r="EC422" s="207"/>
      <c r="ED422" s="177"/>
      <c r="EE422" s="177"/>
      <c r="EF422" s="177"/>
      <c r="EG422" s="177"/>
      <c r="EH422" s="207"/>
      <c r="EI422" s="177"/>
      <c r="EJ422" s="177"/>
      <c r="EK422" s="177"/>
      <c r="EL422" s="177"/>
      <c r="EM422" s="207"/>
      <c r="EN422" s="177"/>
      <c r="EO422" s="177"/>
      <c r="EP422" s="177"/>
      <c r="EQ422" s="177"/>
      <c r="ER422" s="207"/>
      <c r="ES422" s="177"/>
      <c r="ET422" s="177"/>
      <c r="EU422" s="177"/>
      <c r="EV422" s="177"/>
      <c r="EW422" s="207"/>
      <c r="EX422" s="177"/>
      <c r="EY422" s="177"/>
      <c r="EZ422" s="177"/>
      <c r="FA422" s="177"/>
      <c r="FB422" s="207"/>
      <c r="FC422" s="177"/>
      <c r="FD422" s="177"/>
      <c r="FE422" s="177"/>
      <c r="FF422" s="177"/>
      <c r="FG422" s="207"/>
      <c r="FH422" s="177"/>
      <c r="FI422" s="177"/>
      <c r="FJ422" s="177"/>
      <c r="FK422" s="177"/>
      <c r="FL422" s="207"/>
      <c r="FM422" s="177"/>
      <c r="FN422" s="177"/>
      <c r="FO422" s="177"/>
      <c r="FP422" s="177"/>
      <c r="FQ422" s="207"/>
      <c r="FR422" s="177"/>
      <c r="FS422" s="177"/>
      <c r="FT422" s="177"/>
      <c r="FU422" s="177"/>
      <c r="FV422" s="207"/>
      <c r="FW422" s="177"/>
      <c r="FX422" s="177"/>
      <c r="FY422" s="177"/>
      <c r="FZ422" s="177"/>
      <c r="GA422" s="207"/>
      <c r="GB422" s="177"/>
      <c r="GC422" s="177"/>
      <c r="GD422" s="177"/>
      <c r="GE422" s="177"/>
    </row>
    <row r="423" spans="3:187" ht="12.75" customHeight="1">
      <c r="C423" s="208"/>
      <c r="H423" s="208"/>
      <c r="M423" s="208"/>
      <c r="R423" s="208"/>
      <c r="W423" s="208"/>
      <c r="AB423" s="208"/>
      <c r="AG423" s="208"/>
      <c r="AL423" s="208"/>
      <c r="AQ423" s="208"/>
      <c r="AV423" s="208"/>
      <c r="BA423" s="208"/>
      <c r="BF423" s="208"/>
      <c r="BK423" s="208"/>
      <c r="BP423" s="208"/>
      <c r="BU423" s="208"/>
      <c r="BZ423" s="208"/>
      <c r="CE423" s="208"/>
      <c r="CJ423" s="208"/>
      <c r="CO423" s="208"/>
      <c r="CT423" s="208"/>
      <c r="CY423" s="208"/>
      <c r="DD423" s="208"/>
      <c r="DI423" s="208"/>
      <c r="DN423" s="208"/>
      <c r="DS423" s="208"/>
      <c r="DX423" s="208"/>
      <c r="EC423" s="208"/>
      <c r="EH423" s="208"/>
      <c r="EM423" s="208"/>
      <c r="ER423" s="208"/>
      <c r="EW423" s="208"/>
      <c r="FB423" s="208"/>
      <c r="FG423" s="208"/>
      <c r="FL423" s="208"/>
      <c r="FQ423" s="208"/>
      <c r="FV423" s="208"/>
      <c r="GA423" s="208"/>
    </row>
    <row r="424" spans="3:187" ht="12.75" customHeight="1">
      <c r="C424" s="208"/>
      <c r="H424" s="208"/>
      <c r="M424" s="208"/>
      <c r="R424" s="208"/>
      <c r="W424" s="208"/>
      <c r="AB424" s="208"/>
      <c r="AG424" s="208"/>
      <c r="AL424" s="208"/>
      <c r="AQ424" s="208"/>
      <c r="AV424" s="208"/>
      <c r="BA424" s="208"/>
      <c r="BF424" s="208"/>
      <c r="BK424" s="208"/>
      <c r="BP424" s="208"/>
      <c r="BU424" s="208"/>
      <c r="BZ424" s="208"/>
      <c r="CE424" s="208"/>
      <c r="CJ424" s="208"/>
      <c r="CO424" s="208"/>
      <c r="CT424" s="208"/>
      <c r="CY424" s="208"/>
      <c r="DD424" s="208"/>
      <c r="DI424" s="208"/>
      <c r="DN424" s="208"/>
      <c r="DS424" s="208"/>
      <c r="DX424" s="208"/>
      <c r="EC424" s="208"/>
      <c r="EH424" s="208"/>
      <c r="EM424" s="208"/>
      <c r="ER424" s="208"/>
      <c r="EW424" s="208"/>
      <c r="FB424" s="208"/>
      <c r="FG424" s="208"/>
      <c r="FL424" s="208"/>
      <c r="FQ424" s="208"/>
      <c r="FV424" s="208"/>
      <c r="GA424" s="208"/>
    </row>
    <row r="426" spans="3:187" ht="12.75" customHeight="1">
      <c r="C426" s="209"/>
      <c r="D426" s="210"/>
      <c r="E426" s="210"/>
      <c r="F426" s="210"/>
      <c r="G426" s="210"/>
      <c r="H426" s="209"/>
      <c r="I426" s="210"/>
      <c r="J426" s="210"/>
      <c r="K426" s="210"/>
      <c r="L426" s="210"/>
      <c r="M426" s="209"/>
      <c r="N426" s="210"/>
      <c r="O426" s="210"/>
      <c r="P426" s="210"/>
      <c r="Q426" s="210"/>
      <c r="R426" s="209"/>
      <c r="S426" s="210"/>
      <c r="T426" s="210"/>
      <c r="U426" s="210"/>
      <c r="V426" s="210"/>
      <c r="W426" s="209"/>
      <c r="X426" s="210"/>
      <c r="Y426" s="210"/>
      <c r="Z426" s="210"/>
      <c r="AA426" s="210"/>
      <c r="AB426" s="209"/>
      <c r="AC426" s="210"/>
      <c r="AD426" s="210"/>
      <c r="AE426" s="210"/>
      <c r="AF426" s="210"/>
      <c r="AG426" s="209"/>
      <c r="AH426" s="210"/>
      <c r="AI426" s="210"/>
      <c r="AJ426" s="210"/>
      <c r="AK426" s="210"/>
      <c r="AL426" s="209"/>
      <c r="AM426" s="210"/>
      <c r="AN426" s="210"/>
      <c r="AO426" s="210"/>
      <c r="AP426" s="210"/>
      <c r="AQ426" s="209"/>
      <c r="AR426" s="210"/>
      <c r="AS426" s="210"/>
      <c r="AT426" s="210"/>
      <c r="AU426" s="210"/>
      <c r="AV426" s="209"/>
      <c r="AW426" s="210"/>
      <c r="AX426" s="210"/>
      <c r="AY426" s="210"/>
      <c r="AZ426" s="210"/>
      <c r="BA426" s="209"/>
      <c r="BB426" s="210"/>
      <c r="BC426" s="210"/>
      <c r="BD426" s="210"/>
      <c r="BE426" s="210"/>
      <c r="BF426" s="209"/>
      <c r="BG426" s="210"/>
      <c r="BH426" s="210"/>
      <c r="BI426" s="210"/>
      <c r="BJ426" s="210"/>
      <c r="BK426" s="209"/>
      <c r="BL426" s="210"/>
      <c r="BM426" s="210"/>
      <c r="BN426" s="210"/>
      <c r="BO426" s="210"/>
      <c r="BP426" s="209"/>
      <c r="BQ426" s="210"/>
      <c r="BR426" s="210"/>
      <c r="BS426" s="210"/>
      <c r="BT426" s="210"/>
      <c r="BU426" s="209"/>
      <c r="BV426" s="210"/>
      <c r="BW426" s="210"/>
      <c r="BX426" s="210"/>
      <c r="BY426" s="210"/>
      <c r="BZ426" s="209"/>
      <c r="CA426" s="210"/>
      <c r="CB426" s="210"/>
      <c r="CC426" s="210"/>
      <c r="CD426" s="210"/>
      <c r="CE426" s="209"/>
      <c r="CF426" s="210"/>
      <c r="CG426" s="210"/>
      <c r="CH426" s="210"/>
      <c r="CI426" s="210"/>
      <c r="CJ426" s="209"/>
      <c r="CK426" s="210"/>
      <c r="CL426" s="210"/>
      <c r="CM426" s="210"/>
      <c r="CN426" s="210"/>
      <c r="CO426" s="209"/>
      <c r="CP426" s="210"/>
      <c r="CQ426" s="210"/>
      <c r="CR426" s="210"/>
      <c r="CS426" s="210"/>
      <c r="CT426" s="209"/>
      <c r="CU426" s="210"/>
      <c r="CV426" s="210"/>
      <c r="CW426" s="210"/>
      <c r="CX426" s="210"/>
      <c r="CY426" s="209"/>
      <c r="CZ426" s="210"/>
      <c r="DA426" s="210"/>
      <c r="DB426" s="210"/>
      <c r="DC426" s="210"/>
      <c r="DD426" s="209"/>
      <c r="DE426" s="210"/>
      <c r="DF426" s="210"/>
      <c r="DG426" s="210"/>
      <c r="DH426" s="210"/>
      <c r="DI426" s="209"/>
      <c r="DJ426" s="210"/>
      <c r="DK426" s="210"/>
      <c r="DL426" s="210"/>
      <c r="DM426" s="210"/>
      <c r="DN426" s="209"/>
      <c r="DO426" s="210"/>
      <c r="DP426" s="210"/>
      <c r="DQ426" s="210"/>
      <c r="DR426" s="210"/>
      <c r="DS426" s="209"/>
      <c r="DT426" s="210"/>
      <c r="DU426" s="210"/>
      <c r="DV426" s="210"/>
      <c r="DW426" s="210"/>
      <c r="DX426" s="209"/>
      <c r="DY426" s="210"/>
      <c r="DZ426" s="210"/>
      <c r="EA426" s="210"/>
      <c r="EB426" s="210"/>
      <c r="EC426" s="209"/>
      <c r="ED426" s="210"/>
      <c r="EE426" s="210"/>
      <c r="EF426" s="210"/>
      <c r="EG426" s="210"/>
      <c r="EH426" s="209"/>
      <c r="EI426" s="210"/>
      <c r="EJ426" s="210"/>
      <c r="EK426" s="210"/>
      <c r="EL426" s="210"/>
      <c r="EM426" s="209"/>
      <c r="EN426" s="210"/>
      <c r="EO426" s="210"/>
      <c r="EP426" s="210"/>
      <c r="EQ426" s="210"/>
      <c r="ER426" s="209"/>
      <c r="ES426" s="210"/>
      <c r="ET426" s="210"/>
      <c r="EU426" s="210"/>
      <c r="EV426" s="210"/>
      <c r="EW426" s="209"/>
      <c r="EX426" s="210"/>
      <c r="EY426" s="210"/>
      <c r="EZ426" s="210"/>
      <c r="FA426" s="210"/>
      <c r="FB426" s="209"/>
      <c r="FC426" s="210"/>
      <c r="FD426" s="210"/>
      <c r="FE426" s="210"/>
      <c r="FF426" s="210"/>
      <c r="FG426" s="209"/>
      <c r="FH426" s="210"/>
      <c r="FI426" s="210"/>
      <c r="FJ426" s="210"/>
      <c r="FK426" s="210"/>
      <c r="FL426" s="209"/>
      <c r="FM426" s="210"/>
      <c r="FN426" s="210"/>
      <c r="FO426" s="210"/>
      <c r="FP426" s="210"/>
      <c r="FQ426" s="209"/>
      <c r="FR426" s="210"/>
      <c r="FS426" s="210"/>
      <c r="FT426" s="210"/>
      <c r="FU426" s="210"/>
      <c r="FV426" s="209"/>
      <c r="FW426" s="210"/>
      <c r="FX426" s="210"/>
      <c r="FY426" s="210"/>
      <c r="FZ426" s="210"/>
      <c r="GA426" s="209"/>
      <c r="GB426" s="210"/>
      <c r="GC426" s="210"/>
      <c r="GD426" s="210"/>
      <c r="GE426" s="210"/>
    </row>
    <row r="427" spans="3:187" ht="12.75" customHeight="1">
      <c r="C427" s="211"/>
      <c r="D427" s="212"/>
      <c r="E427" s="212"/>
      <c r="F427" s="212"/>
      <c r="G427" s="212"/>
      <c r="H427" s="211"/>
      <c r="I427" s="212"/>
      <c r="J427" s="212"/>
      <c r="K427" s="212"/>
      <c r="L427" s="212"/>
      <c r="M427" s="211"/>
      <c r="N427" s="212"/>
      <c r="O427" s="212"/>
      <c r="P427" s="212"/>
      <c r="Q427" s="212"/>
      <c r="R427" s="211"/>
      <c r="S427" s="212"/>
      <c r="T427" s="212"/>
      <c r="U427" s="212"/>
      <c r="V427" s="212"/>
      <c r="W427" s="211"/>
      <c r="X427" s="212"/>
      <c r="Y427" s="212"/>
      <c r="Z427" s="212"/>
      <c r="AA427" s="212"/>
      <c r="AB427" s="211"/>
      <c r="AC427" s="212"/>
      <c r="AD427" s="212"/>
      <c r="AE427" s="212"/>
      <c r="AF427" s="212"/>
      <c r="AG427" s="211"/>
      <c r="AH427" s="212"/>
      <c r="AI427" s="212"/>
      <c r="AJ427" s="212"/>
      <c r="AK427" s="212"/>
      <c r="AL427" s="211"/>
      <c r="AM427" s="212"/>
      <c r="AN427" s="212"/>
      <c r="AO427" s="212"/>
      <c r="AP427" s="212"/>
      <c r="AQ427" s="211"/>
      <c r="AR427" s="212"/>
      <c r="AS427" s="212"/>
      <c r="AT427" s="212"/>
      <c r="AU427" s="212"/>
      <c r="AV427" s="211"/>
      <c r="AW427" s="212"/>
      <c r="AX427" s="212"/>
      <c r="AY427" s="212"/>
      <c r="AZ427" s="212"/>
      <c r="BA427" s="211"/>
      <c r="BB427" s="212"/>
      <c r="BC427" s="212"/>
      <c r="BD427" s="212"/>
      <c r="BE427" s="212"/>
      <c r="BF427" s="211"/>
      <c r="BG427" s="212"/>
      <c r="BH427" s="212"/>
      <c r="BI427" s="212"/>
      <c r="BJ427" s="212"/>
      <c r="BK427" s="211"/>
      <c r="BL427" s="212"/>
      <c r="BM427" s="212"/>
      <c r="BN427" s="212"/>
      <c r="BO427" s="212"/>
      <c r="BP427" s="211"/>
      <c r="BQ427" s="212"/>
      <c r="BR427" s="212"/>
      <c r="BS427" s="212"/>
      <c r="BT427" s="212"/>
      <c r="BU427" s="211"/>
      <c r="BV427" s="212"/>
      <c r="BW427" s="212"/>
      <c r="BX427" s="212"/>
      <c r="BY427" s="212"/>
      <c r="BZ427" s="211"/>
      <c r="CA427" s="212"/>
      <c r="CB427" s="212"/>
      <c r="CC427" s="212"/>
      <c r="CD427" s="212"/>
      <c r="CE427" s="211"/>
      <c r="CF427" s="212"/>
      <c r="CG427" s="212"/>
      <c r="CH427" s="212"/>
      <c r="CI427" s="212"/>
      <c r="CJ427" s="211"/>
      <c r="CK427" s="212"/>
      <c r="CL427" s="212"/>
      <c r="CM427" s="212"/>
      <c r="CN427" s="212"/>
      <c r="CO427" s="211"/>
      <c r="CP427" s="212"/>
      <c r="CQ427" s="212"/>
      <c r="CR427" s="212"/>
      <c r="CS427" s="212"/>
      <c r="CT427" s="211"/>
      <c r="CU427" s="212"/>
      <c r="CV427" s="212"/>
      <c r="CW427" s="212"/>
      <c r="CX427" s="212"/>
      <c r="CY427" s="211"/>
      <c r="CZ427" s="212"/>
      <c r="DA427" s="212"/>
      <c r="DB427" s="212"/>
      <c r="DC427" s="212"/>
      <c r="DD427" s="211"/>
      <c r="DE427" s="212"/>
      <c r="DF427" s="212"/>
      <c r="DG427" s="212"/>
      <c r="DH427" s="212"/>
      <c r="DI427" s="211"/>
      <c r="DJ427" s="212"/>
      <c r="DK427" s="212"/>
      <c r="DL427" s="212"/>
      <c r="DM427" s="212"/>
      <c r="DN427" s="211"/>
      <c r="DO427" s="212"/>
      <c r="DP427" s="212"/>
      <c r="DQ427" s="212"/>
      <c r="DR427" s="212"/>
      <c r="DS427" s="211"/>
      <c r="DT427" s="212"/>
      <c r="DU427" s="212"/>
      <c r="DV427" s="212"/>
      <c r="DW427" s="212"/>
      <c r="DX427" s="211"/>
      <c r="DY427" s="212"/>
      <c r="DZ427" s="212"/>
      <c r="EA427" s="212"/>
      <c r="EB427" s="212"/>
      <c r="EC427" s="211"/>
      <c r="ED427" s="212"/>
      <c r="EE427" s="212"/>
      <c r="EF427" s="212"/>
      <c r="EG427" s="212"/>
      <c r="EH427" s="211"/>
      <c r="EI427" s="212"/>
      <c r="EJ427" s="212"/>
      <c r="EK427" s="212"/>
      <c r="EL427" s="212"/>
      <c r="EM427" s="211"/>
      <c r="EN427" s="212"/>
      <c r="EO427" s="212"/>
      <c r="EP427" s="212"/>
      <c r="EQ427" s="212"/>
      <c r="ER427" s="211"/>
      <c r="ES427" s="212"/>
      <c r="ET427" s="212"/>
      <c r="EU427" s="212"/>
      <c r="EV427" s="212"/>
      <c r="EW427" s="211"/>
      <c r="EX427" s="212"/>
      <c r="EY427" s="212"/>
      <c r="EZ427" s="212"/>
      <c r="FA427" s="212"/>
      <c r="FB427" s="211"/>
      <c r="FC427" s="212"/>
      <c r="FD427" s="212"/>
      <c r="FE427" s="212"/>
      <c r="FF427" s="212"/>
      <c r="FG427" s="211"/>
      <c r="FH427" s="212"/>
      <c r="FI427" s="212"/>
      <c r="FJ427" s="212"/>
      <c r="FK427" s="212"/>
      <c r="FL427" s="211"/>
      <c r="FM427" s="212"/>
      <c r="FN427" s="212"/>
      <c r="FO427" s="212"/>
      <c r="FP427" s="212"/>
      <c r="FQ427" s="211"/>
      <c r="FR427" s="212"/>
      <c r="FS427" s="212"/>
      <c r="FT427" s="212"/>
      <c r="FU427" s="212"/>
      <c r="FV427" s="211"/>
      <c r="FW427" s="212"/>
      <c r="FX427" s="212"/>
      <c r="FY427" s="212"/>
      <c r="FZ427" s="212"/>
      <c r="GA427" s="211"/>
      <c r="GB427" s="212"/>
      <c r="GC427" s="212"/>
      <c r="GD427" s="212"/>
      <c r="GE427" s="212"/>
    </row>
    <row r="434" spans="3:187" ht="12.75" customHeight="1">
      <c r="C434" s="139"/>
      <c r="D434" s="105"/>
      <c r="E434" s="105"/>
      <c r="F434" s="105"/>
      <c r="G434" s="105"/>
      <c r="H434" s="139"/>
      <c r="I434" s="105"/>
      <c r="J434" s="105"/>
      <c r="K434" s="105"/>
      <c r="L434" s="105"/>
      <c r="M434" s="139"/>
      <c r="N434" s="105"/>
      <c r="O434" s="105"/>
      <c r="P434" s="105"/>
      <c r="Q434" s="105"/>
      <c r="R434" s="139"/>
      <c r="S434" s="105"/>
      <c r="T434" s="105"/>
      <c r="U434" s="105"/>
      <c r="V434" s="105"/>
      <c r="W434" s="139"/>
      <c r="X434" s="105"/>
      <c r="Y434" s="105"/>
      <c r="Z434" s="105"/>
      <c r="AA434" s="105"/>
      <c r="AB434" s="139"/>
      <c r="AC434" s="105"/>
      <c r="AD434" s="105"/>
      <c r="AE434" s="105"/>
      <c r="AF434" s="105"/>
      <c r="AG434" s="139"/>
      <c r="AH434" s="105"/>
      <c r="AI434" s="105"/>
      <c r="AJ434" s="105"/>
      <c r="AK434" s="105"/>
      <c r="AL434" s="139"/>
      <c r="AM434" s="105"/>
      <c r="AN434" s="105"/>
      <c r="AO434" s="105"/>
      <c r="AP434" s="105"/>
      <c r="AQ434" s="139"/>
      <c r="AR434" s="105"/>
      <c r="AS434" s="105"/>
      <c r="AT434" s="105"/>
      <c r="AU434" s="105"/>
      <c r="AV434" s="139"/>
      <c r="AW434" s="105"/>
      <c r="AX434" s="105"/>
      <c r="AY434" s="105"/>
      <c r="AZ434" s="105"/>
      <c r="BA434" s="139"/>
      <c r="BB434" s="105"/>
      <c r="BC434" s="105"/>
      <c r="BD434" s="105"/>
      <c r="BE434" s="105"/>
      <c r="BF434" s="139"/>
      <c r="BG434" s="105"/>
      <c r="BH434" s="105"/>
      <c r="BI434" s="105"/>
      <c r="BJ434" s="105"/>
      <c r="BK434" s="139"/>
      <c r="BL434" s="105"/>
      <c r="BM434" s="105"/>
      <c r="BN434" s="105"/>
      <c r="BO434" s="105"/>
      <c r="BP434" s="139"/>
      <c r="BQ434" s="105"/>
      <c r="BR434" s="105"/>
      <c r="BS434" s="105"/>
      <c r="BT434" s="105"/>
      <c r="BU434" s="139"/>
      <c r="BV434" s="105"/>
      <c r="BW434" s="105"/>
      <c r="BX434" s="105"/>
      <c r="BY434" s="105"/>
      <c r="BZ434" s="139"/>
      <c r="CA434" s="105"/>
      <c r="CB434" s="105"/>
      <c r="CC434" s="105"/>
      <c r="CD434" s="105"/>
      <c r="CE434" s="139"/>
      <c r="CF434" s="105"/>
      <c r="CG434" s="105"/>
      <c r="CH434" s="105"/>
      <c r="CI434" s="105"/>
      <c r="CJ434" s="139"/>
      <c r="CK434" s="105"/>
      <c r="CL434" s="105"/>
      <c r="CM434" s="105"/>
      <c r="CN434" s="105"/>
      <c r="CO434" s="139"/>
      <c r="CP434" s="105"/>
      <c r="CQ434" s="105"/>
      <c r="CR434" s="105"/>
      <c r="CS434" s="105"/>
      <c r="CT434" s="139"/>
      <c r="CU434" s="105"/>
      <c r="CV434" s="105"/>
      <c r="CW434" s="105"/>
      <c r="CX434" s="105"/>
      <c r="CY434" s="139"/>
      <c r="CZ434" s="105"/>
      <c r="DA434" s="105"/>
      <c r="DB434" s="105"/>
      <c r="DC434" s="105"/>
      <c r="DD434" s="139"/>
      <c r="DE434" s="105"/>
      <c r="DF434" s="105"/>
      <c r="DG434" s="105"/>
      <c r="DH434" s="105"/>
      <c r="DI434" s="139"/>
      <c r="DJ434" s="105"/>
      <c r="DK434" s="105"/>
      <c r="DL434" s="105"/>
      <c r="DM434" s="105"/>
      <c r="DN434" s="139"/>
      <c r="DO434" s="105"/>
      <c r="DP434" s="105"/>
      <c r="DQ434" s="105"/>
      <c r="DR434" s="105"/>
      <c r="DS434" s="139"/>
      <c r="DT434" s="105"/>
      <c r="DU434" s="105"/>
      <c r="DV434" s="105"/>
      <c r="DW434" s="105"/>
      <c r="DX434" s="139"/>
      <c r="DY434" s="105"/>
      <c r="DZ434" s="105"/>
      <c r="EA434" s="105"/>
      <c r="EB434" s="105"/>
      <c r="EC434" s="139"/>
      <c r="ED434" s="105"/>
      <c r="EE434" s="105"/>
      <c r="EF434" s="105"/>
      <c r="EG434" s="105"/>
      <c r="EH434" s="139"/>
      <c r="EI434" s="105"/>
      <c r="EJ434" s="105"/>
      <c r="EK434" s="105"/>
      <c r="EL434" s="105"/>
      <c r="EM434" s="139"/>
      <c r="EN434" s="105"/>
      <c r="EO434" s="105"/>
      <c r="EP434" s="105"/>
      <c r="EQ434" s="105"/>
      <c r="ER434" s="139"/>
      <c r="ES434" s="105"/>
      <c r="ET434" s="105"/>
      <c r="EU434" s="105"/>
      <c r="EV434" s="105"/>
      <c r="EW434" s="139"/>
      <c r="EX434" s="105"/>
      <c r="EY434" s="105"/>
      <c r="EZ434" s="105"/>
      <c r="FA434" s="105"/>
      <c r="FB434" s="139"/>
      <c r="FC434" s="105"/>
      <c r="FD434" s="105"/>
      <c r="FE434" s="105"/>
      <c r="FF434" s="105"/>
      <c r="FG434" s="139"/>
      <c r="FH434" s="105"/>
      <c r="FI434" s="105"/>
      <c r="FJ434" s="105"/>
      <c r="FK434" s="105"/>
      <c r="FL434" s="139"/>
      <c r="FM434" s="105"/>
      <c r="FN434" s="105"/>
      <c r="FO434" s="105"/>
      <c r="FP434" s="105"/>
      <c r="FQ434" s="139"/>
      <c r="FR434" s="105"/>
      <c r="FS434" s="105"/>
      <c r="FT434" s="105"/>
      <c r="FU434" s="105"/>
      <c r="FV434" s="139"/>
      <c r="FW434" s="105"/>
      <c r="FX434" s="105"/>
      <c r="FY434" s="105"/>
      <c r="FZ434" s="105"/>
      <c r="GA434" s="139"/>
      <c r="GB434" s="105"/>
      <c r="GC434" s="105"/>
      <c r="GD434" s="105"/>
      <c r="GE434" s="105"/>
    </row>
    <row r="435" spans="3:187" ht="12.75" customHeight="1">
      <c r="C435" s="139"/>
      <c r="D435" s="105"/>
      <c r="E435" s="105"/>
      <c r="F435" s="105"/>
      <c r="G435" s="105"/>
      <c r="H435" s="139"/>
      <c r="I435" s="105"/>
      <c r="J435" s="105"/>
      <c r="K435" s="105"/>
      <c r="L435" s="105"/>
      <c r="M435" s="139"/>
      <c r="N435" s="105"/>
      <c r="O435" s="105"/>
      <c r="P435" s="105"/>
      <c r="Q435" s="105"/>
      <c r="R435" s="139"/>
      <c r="S435" s="105"/>
      <c r="T435" s="105"/>
      <c r="U435" s="105"/>
      <c r="V435" s="105"/>
      <c r="W435" s="139"/>
      <c r="X435" s="105"/>
      <c r="Y435" s="105"/>
      <c r="Z435" s="105"/>
      <c r="AA435" s="105"/>
      <c r="AB435" s="139"/>
      <c r="AC435" s="105"/>
      <c r="AD435" s="105"/>
      <c r="AE435" s="105"/>
      <c r="AF435" s="105"/>
      <c r="AG435" s="139"/>
      <c r="AH435" s="105"/>
      <c r="AI435" s="105"/>
      <c r="AJ435" s="105"/>
      <c r="AK435" s="105"/>
      <c r="AL435" s="139"/>
      <c r="AM435" s="105"/>
      <c r="AN435" s="105"/>
      <c r="AO435" s="105"/>
      <c r="AP435" s="105"/>
      <c r="AQ435" s="139"/>
      <c r="AR435" s="105"/>
      <c r="AS435" s="105"/>
      <c r="AT435" s="105"/>
      <c r="AU435" s="105"/>
      <c r="AV435" s="139"/>
      <c r="AW435" s="105"/>
      <c r="AX435" s="105"/>
      <c r="AY435" s="105"/>
      <c r="AZ435" s="105"/>
      <c r="BA435" s="139"/>
      <c r="BB435" s="105"/>
      <c r="BC435" s="105"/>
      <c r="BD435" s="105"/>
      <c r="BE435" s="105"/>
      <c r="BF435" s="139"/>
      <c r="BG435" s="105"/>
      <c r="BH435" s="105"/>
      <c r="BI435" s="105"/>
      <c r="BJ435" s="105"/>
      <c r="BK435" s="139"/>
      <c r="BL435" s="105"/>
      <c r="BM435" s="105"/>
      <c r="BN435" s="105"/>
      <c r="BO435" s="105"/>
      <c r="BP435" s="139"/>
      <c r="BQ435" s="105"/>
      <c r="BR435" s="105"/>
      <c r="BS435" s="105"/>
      <c r="BT435" s="105"/>
      <c r="BU435" s="139"/>
      <c r="BV435" s="105"/>
      <c r="BW435" s="105"/>
      <c r="BX435" s="105"/>
      <c r="BY435" s="105"/>
      <c r="BZ435" s="139"/>
      <c r="CA435" s="105"/>
      <c r="CB435" s="105"/>
      <c r="CC435" s="105"/>
      <c r="CD435" s="105"/>
      <c r="CE435" s="139"/>
      <c r="CF435" s="105"/>
      <c r="CG435" s="105"/>
      <c r="CH435" s="105"/>
      <c r="CI435" s="105"/>
      <c r="CJ435" s="139"/>
      <c r="CK435" s="105"/>
      <c r="CL435" s="105"/>
      <c r="CM435" s="105"/>
      <c r="CN435" s="105"/>
      <c r="CO435" s="139"/>
      <c r="CP435" s="105"/>
      <c r="CQ435" s="105"/>
      <c r="CR435" s="105"/>
      <c r="CS435" s="105"/>
      <c r="CT435" s="139"/>
      <c r="CU435" s="105"/>
      <c r="CV435" s="105"/>
      <c r="CW435" s="105"/>
      <c r="CX435" s="105"/>
      <c r="CY435" s="139"/>
      <c r="CZ435" s="105"/>
      <c r="DA435" s="105"/>
      <c r="DB435" s="105"/>
      <c r="DC435" s="105"/>
      <c r="DD435" s="139"/>
      <c r="DE435" s="105"/>
      <c r="DF435" s="105"/>
      <c r="DG435" s="105"/>
      <c r="DH435" s="105"/>
      <c r="DI435" s="139"/>
      <c r="DJ435" s="105"/>
      <c r="DK435" s="105"/>
      <c r="DL435" s="105"/>
      <c r="DM435" s="105"/>
      <c r="DN435" s="139"/>
      <c r="DO435" s="105"/>
      <c r="DP435" s="105"/>
      <c r="DQ435" s="105"/>
      <c r="DR435" s="105"/>
      <c r="DS435" s="139"/>
      <c r="DT435" s="105"/>
      <c r="DU435" s="105"/>
      <c r="DV435" s="105"/>
      <c r="DW435" s="105"/>
      <c r="DX435" s="139"/>
      <c r="DY435" s="105"/>
      <c r="DZ435" s="105"/>
      <c r="EA435" s="105"/>
      <c r="EB435" s="105"/>
      <c r="EC435" s="139"/>
      <c r="ED435" s="105"/>
      <c r="EE435" s="105"/>
      <c r="EF435" s="105"/>
      <c r="EG435" s="105"/>
      <c r="EH435" s="139"/>
      <c r="EI435" s="105"/>
      <c r="EJ435" s="105"/>
      <c r="EK435" s="105"/>
      <c r="EL435" s="105"/>
      <c r="EM435" s="139"/>
      <c r="EN435" s="105"/>
      <c r="EO435" s="105"/>
      <c r="EP435" s="105"/>
      <c r="EQ435" s="105"/>
      <c r="ER435" s="139"/>
      <c r="ES435" s="105"/>
      <c r="ET435" s="105"/>
      <c r="EU435" s="105"/>
      <c r="EV435" s="105"/>
      <c r="EW435" s="139"/>
      <c r="EX435" s="105"/>
      <c r="EY435" s="105"/>
      <c r="EZ435" s="105"/>
      <c r="FA435" s="105"/>
      <c r="FB435" s="139"/>
      <c r="FC435" s="105"/>
      <c r="FD435" s="105"/>
      <c r="FE435" s="105"/>
      <c r="FF435" s="105"/>
      <c r="FG435" s="139"/>
      <c r="FH435" s="105"/>
      <c r="FI435" s="105"/>
      <c r="FJ435" s="105"/>
      <c r="FK435" s="105"/>
      <c r="FL435" s="139"/>
      <c r="FM435" s="105"/>
      <c r="FN435" s="105"/>
      <c r="FO435" s="105"/>
      <c r="FP435" s="105"/>
      <c r="FQ435" s="139"/>
      <c r="FR435" s="105"/>
      <c r="FS435" s="105"/>
      <c r="FT435" s="105"/>
      <c r="FU435" s="105"/>
      <c r="FV435" s="139"/>
      <c r="FW435" s="105"/>
      <c r="FX435" s="105"/>
      <c r="FY435" s="105"/>
      <c r="FZ435" s="105"/>
      <c r="GA435" s="139"/>
      <c r="GB435" s="105"/>
      <c r="GC435" s="105"/>
      <c r="GD435" s="105"/>
      <c r="GE435" s="105"/>
    </row>
    <row r="437" spans="3:187" ht="12.75" customHeight="1">
      <c r="C437" s="139"/>
      <c r="D437" s="105"/>
      <c r="E437" s="105"/>
      <c r="F437" s="105"/>
      <c r="G437" s="105"/>
      <c r="H437" s="139"/>
      <c r="I437" s="105"/>
      <c r="J437" s="105"/>
      <c r="K437" s="105"/>
      <c r="L437" s="105"/>
      <c r="M437" s="139"/>
      <c r="N437" s="105"/>
      <c r="O437" s="105"/>
      <c r="P437" s="105"/>
      <c r="Q437" s="105"/>
      <c r="R437" s="139"/>
      <c r="S437" s="105"/>
      <c r="T437" s="105"/>
      <c r="U437" s="105"/>
      <c r="V437" s="105"/>
      <c r="W437" s="139"/>
      <c r="X437" s="105"/>
      <c r="Y437" s="105"/>
      <c r="Z437" s="105"/>
      <c r="AA437" s="105"/>
      <c r="AB437" s="139"/>
      <c r="AC437" s="105"/>
      <c r="AD437" s="105"/>
      <c r="AE437" s="105"/>
      <c r="AF437" s="105"/>
      <c r="AG437" s="139"/>
      <c r="AH437" s="105"/>
      <c r="AI437" s="105"/>
      <c r="AJ437" s="105"/>
      <c r="AK437" s="105"/>
      <c r="AL437" s="139"/>
      <c r="AM437" s="105"/>
      <c r="AN437" s="105"/>
      <c r="AO437" s="105"/>
      <c r="AP437" s="105"/>
      <c r="AQ437" s="139"/>
      <c r="AR437" s="105"/>
      <c r="AS437" s="105"/>
      <c r="AT437" s="105"/>
      <c r="AU437" s="105"/>
      <c r="AV437" s="139"/>
      <c r="AW437" s="105"/>
      <c r="AX437" s="105"/>
      <c r="AY437" s="105"/>
      <c r="AZ437" s="105"/>
      <c r="BA437" s="139"/>
      <c r="BB437" s="105"/>
      <c r="BC437" s="105"/>
      <c r="BD437" s="105"/>
      <c r="BE437" s="105"/>
      <c r="BF437" s="139"/>
      <c r="BG437" s="105"/>
      <c r="BH437" s="105"/>
      <c r="BI437" s="105"/>
      <c r="BJ437" s="105"/>
      <c r="BK437" s="139"/>
      <c r="BL437" s="105"/>
      <c r="BM437" s="105"/>
      <c r="BN437" s="105"/>
      <c r="BO437" s="105"/>
      <c r="BP437" s="139"/>
      <c r="BQ437" s="105"/>
      <c r="BR437" s="105"/>
      <c r="BS437" s="105"/>
      <c r="BT437" s="105"/>
      <c r="BU437" s="139"/>
      <c r="BV437" s="105"/>
      <c r="BW437" s="105"/>
      <c r="BX437" s="105"/>
      <c r="BY437" s="105"/>
      <c r="BZ437" s="139"/>
      <c r="CA437" s="105"/>
      <c r="CB437" s="105"/>
      <c r="CC437" s="105"/>
      <c r="CD437" s="105"/>
      <c r="CE437" s="139"/>
      <c r="CF437" s="105"/>
      <c r="CG437" s="105"/>
      <c r="CH437" s="105"/>
      <c r="CI437" s="105"/>
      <c r="CJ437" s="139"/>
      <c r="CK437" s="105"/>
      <c r="CL437" s="105"/>
      <c r="CM437" s="105"/>
      <c r="CN437" s="105"/>
      <c r="CO437" s="139"/>
      <c r="CP437" s="105"/>
      <c r="CQ437" s="105"/>
      <c r="CR437" s="105"/>
      <c r="CS437" s="105"/>
      <c r="CT437" s="139"/>
      <c r="CU437" s="105"/>
      <c r="CV437" s="105"/>
      <c r="CW437" s="105"/>
      <c r="CX437" s="105"/>
      <c r="CY437" s="139"/>
      <c r="CZ437" s="105"/>
      <c r="DA437" s="105"/>
      <c r="DB437" s="105"/>
      <c r="DC437" s="105"/>
      <c r="DD437" s="139"/>
      <c r="DE437" s="105"/>
      <c r="DF437" s="105"/>
      <c r="DG437" s="105"/>
      <c r="DH437" s="105"/>
      <c r="DI437" s="139"/>
      <c r="DJ437" s="105"/>
      <c r="DK437" s="105"/>
      <c r="DL437" s="105"/>
      <c r="DM437" s="105"/>
      <c r="DN437" s="139"/>
      <c r="DO437" s="105"/>
      <c r="DP437" s="105"/>
      <c r="DQ437" s="105"/>
      <c r="DR437" s="105"/>
      <c r="DS437" s="139"/>
      <c r="DT437" s="105"/>
      <c r="DU437" s="105"/>
      <c r="DV437" s="105"/>
      <c r="DW437" s="105"/>
      <c r="DX437" s="139"/>
      <c r="DY437" s="105"/>
      <c r="DZ437" s="105"/>
      <c r="EA437" s="105"/>
      <c r="EB437" s="105"/>
      <c r="EC437" s="139"/>
      <c r="ED437" s="105"/>
      <c r="EE437" s="105"/>
      <c r="EF437" s="105"/>
      <c r="EG437" s="105"/>
      <c r="EH437" s="139"/>
      <c r="EI437" s="105"/>
      <c r="EJ437" s="105"/>
      <c r="EK437" s="105"/>
      <c r="EL437" s="105"/>
      <c r="EM437" s="139"/>
      <c r="EN437" s="105"/>
      <c r="EO437" s="105"/>
      <c r="EP437" s="105"/>
      <c r="EQ437" s="105"/>
      <c r="ER437" s="139"/>
      <c r="ES437" s="105"/>
      <c r="ET437" s="105"/>
      <c r="EU437" s="105"/>
      <c r="EV437" s="105"/>
      <c r="EW437" s="139"/>
      <c r="EX437" s="105"/>
      <c r="EY437" s="105"/>
      <c r="EZ437" s="105"/>
      <c r="FA437" s="105"/>
      <c r="FB437" s="139"/>
      <c r="FC437" s="105"/>
      <c r="FD437" s="105"/>
      <c r="FE437" s="105"/>
      <c r="FF437" s="105"/>
      <c r="FG437" s="139"/>
      <c r="FH437" s="105"/>
      <c r="FI437" s="105"/>
      <c r="FJ437" s="105"/>
      <c r="FK437" s="105"/>
      <c r="FL437" s="139"/>
      <c r="FM437" s="105"/>
      <c r="FN437" s="105"/>
      <c r="FO437" s="105"/>
      <c r="FP437" s="105"/>
      <c r="FQ437" s="139"/>
      <c r="FR437" s="105"/>
      <c r="FS437" s="105"/>
      <c r="FT437" s="105"/>
      <c r="FU437" s="105"/>
      <c r="FV437" s="139"/>
      <c r="FW437" s="105"/>
      <c r="FX437" s="105"/>
      <c r="FY437" s="105"/>
      <c r="FZ437" s="105"/>
      <c r="GA437" s="139"/>
      <c r="GB437" s="105"/>
      <c r="GC437" s="105"/>
      <c r="GD437" s="105"/>
      <c r="GE437" s="105"/>
    </row>
    <row r="438" spans="3:187" ht="12.75" customHeight="1">
      <c r="C438" s="139"/>
      <c r="D438" s="105"/>
      <c r="E438" s="105"/>
      <c r="F438" s="105"/>
      <c r="G438" s="105"/>
      <c r="H438" s="139"/>
      <c r="I438" s="105"/>
      <c r="J438" s="105"/>
      <c r="K438" s="105"/>
      <c r="L438" s="105"/>
      <c r="M438" s="139"/>
      <c r="N438" s="105"/>
      <c r="O438" s="105"/>
      <c r="P438" s="105"/>
      <c r="Q438" s="105"/>
      <c r="R438" s="139"/>
      <c r="S438" s="105"/>
      <c r="T438" s="105"/>
      <c r="U438" s="105"/>
      <c r="V438" s="105"/>
      <c r="W438" s="139"/>
      <c r="X438" s="105"/>
      <c r="Y438" s="105"/>
      <c r="Z438" s="105"/>
      <c r="AA438" s="105"/>
      <c r="AB438" s="139"/>
      <c r="AC438" s="105"/>
      <c r="AD438" s="105"/>
      <c r="AE438" s="105"/>
      <c r="AF438" s="105"/>
      <c r="AG438" s="139"/>
      <c r="AH438" s="105"/>
      <c r="AI438" s="105"/>
      <c r="AJ438" s="105"/>
      <c r="AK438" s="105"/>
      <c r="AL438" s="139"/>
      <c r="AM438" s="105"/>
      <c r="AN438" s="105"/>
      <c r="AO438" s="105"/>
      <c r="AP438" s="105"/>
      <c r="AQ438" s="139"/>
      <c r="AR438" s="105"/>
      <c r="AS438" s="105"/>
      <c r="AT438" s="105"/>
      <c r="AU438" s="105"/>
      <c r="AV438" s="139"/>
      <c r="AW438" s="105"/>
      <c r="AX438" s="105"/>
      <c r="AY438" s="105"/>
      <c r="AZ438" s="105"/>
      <c r="BA438" s="139"/>
      <c r="BB438" s="105"/>
      <c r="BC438" s="105"/>
      <c r="BD438" s="105"/>
      <c r="BE438" s="105"/>
      <c r="BF438" s="139"/>
      <c r="BG438" s="105"/>
      <c r="BH438" s="105"/>
      <c r="BI438" s="105"/>
      <c r="BJ438" s="105"/>
      <c r="BK438" s="139"/>
      <c r="BL438" s="105"/>
      <c r="BM438" s="105"/>
      <c r="BN438" s="105"/>
      <c r="BO438" s="105"/>
      <c r="BP438" s="139"/>
      <c r="BQ438" s="105"/>
      <c r="BR438" s="105"/>
      <c r="BS438" s="105"/>
      <c r="BT438" s="105"/>
      <c r="BU438" s="139"/>
      <c r="BV438" s="105"/>
      <c r="BW438" s="105"/>
      <c r="BX438" s="105"/>
      <c r="BY438" s="105"/>
      <c r="BZ438" s="139"/>
      <c r="CA438" s="105"/>
      <c r="CB438" s="105"/>
      <c r="CC438" s="105"/>
      <c r="CD438" s="105"/>
      <c r="CE438" s="139"/>
      <c r="CF438" s="105"/>
      <c r="CG438" s="105"/>
      <c r="CH438" s="105"/>
      <c r="CI438" s="105"/>
      <c r="CJ438" s="139"/>
      <c r="CK438" s="105"/>
      <c r="CL438" s="105"/>
      <c r="CM438" s="105"/>
      <c r="CN438" s="105"/>
      <c r="CO438" s="139"/>
      <c r="CP438" s="105"/>
      <c r="CQ438" s="105"/>
      <c r="CR438" s="105"/>
      <c r="CS438" s="105"/>
      <c r="CT438" s="139"/>
      <c r="CU438" s="105"/>
      <c r="CV438" s="105"/>
      <c r="CW438" s="105"/>
      <c r="CX438" s="105"/>
      <c r="CY438" s="139"/>
      <c r="CZ438" s="105"/>
      <c r="DA438" s="105"/>
      <c r="DB438" s="105"/>
      <c r="DC438" s="105"/>
      <c r="DD438" s="139"/>
      <c r="DE438" s="105"/>
      <c r="DF438" s="105"/>
      <c r="DG438" s="105"/>
      <c r="DH438" s="105"/>
      <c r="DI438" s="139"/>
      <c r="DJ438" s="105"/>
      <c r="DK438" s="105"/>
      <c r="DL438" s="105"/>
      <c r="DM438" s="105"/>
      <c r="DN438" s="139"/>
      <c r="DO438" s="105"/>
      <c r="DP438" s="105"/>
      <c r="DQ438" s="105"/>
      <c r="DR438" s="105"/>
      <c r="DS438" s="139"/>
      <c r="DT438" s="105"/>
      <c r="DU438" s="105"/>
      <c r="DV438" s="105"/>
      <c r="DW438" s="105"/>
      <c r="DX438" s="139"/>
      <c r="DY438" s="105"/>
      <c r="DZ438" s="105"/>
      <c r="EA438" s="105"/>
      <c r="EB438" s="105"/>
      <c r="EC438" s="139"/>
      <c r="ED438" s="105"/>
      <c r="EE438" s="105"/>
      <c r="EF438" s="105"/>
      <c r="EG438" s="105"/>
      <c r="EH438" s="139"/>
      <c r="EI438" s="105"/>
      <c r="EJ438" s="105"/>
      <c r="EK438" s="105"/>
      <c r="EL438" s="105"/>
      <c r="EM438" s="139"/>
      <c r="EN438" s="105"/>
      <c r="EO438" s="105"/>
      <c r="EP438" s="105"/>
      <c r="EQ438" s="105"/>
      <c r="ER438" s="139"/>
      <c r="ES438" s="105"/>
      <c r="ET438" s="105"/>
      <c r="EU438" s="105"/>
      <c r="EV438" s="105"/>
      <c r="EW438" s="139"/>
      <c r="EX438" s="105"/>
      <c r="EY438" s="105"/>
      <c r="EZ438" s="105"/>
      <c r="FA438" s="105"/>
      <c r="FB438" s="139"/>
      <c r="FC438" s="105"/>
      <c r="FD438" s="105"/>
      <c r="FE438" s="105"/>
      <c r="FF438" s="105"/>
      <c r="FG438" s="139"/>
      <c r="FH438" s="105"/>
      <c r="FI438" s="105"/>
      <c r="FJ438" s="105"/>
      <c r="FK438" s="105"/>
      <c r="FL438" s="139"/>
      <c r="FM438" s="105"/>
      <c r="FN438" s="105"/>
      <c r="FO438" s="105"/>
      <c r="FP438" s="105"/>
      <c r="FQ438" s="139"/>
      <c r="FR438" s="105"/>
      <c r="FS438" s="105"/>
      <c r="FT438" s="105"/>
      <c r="FU438" s="105"/>
      <c r="FV438" s="139"/>
      <c r="FW438" s="105"/>
      <c r="FX438" s="105"/>
      <c r="FY438" s="105"/>
      <c r="FZ438" s="105"/>
      <c r="GA438" s="139"/>
      <c r="GB438" s="105"/>
      <c r="GC438" s="105"/>
      <c r="GD438" s="105"/>
      <c r="GE438" s="105"/>
    </row>
    <row r="439" spans="3:187" ht="12.75" customHeight="1">
      <c r="C439" s="213"/>
      <c r="D439" s="214"/>
      <c r="E439" s="214"/>
      <c r="F439" s="214"/>
      <c r="G439" s="214"/>
      <c r="H439" s="213"/>
      <c r="I439" s="214"/>
      <c r="J439" s="214"/>
      <c r="K439" s="214"/>
      <c r="L439" s="214"/>
      <c r="M439" s="213"/>
      <c r="N439" s="214"/>
      <c r="O439" s="214"/>
      <c r="P439" s="214"/>
      <c r="Q439" s="214"/>
      <c r="R439" s="213"/>
      <c r="S439" s="214"/>
      <c r="T439" s="214"/>
      <c r="U439" s="214"/>
      <c r="V439" s="214"/>
      <c r="W439" s="213"/>
      <c r="X439" s="214"/>
      <c r="Y439" s="214"/>
      <c r="Z439" s="214"/>
      <c r="AA439" s="214"/>
      <c r="AB439" s="213"/>
      <c r="AC439" s="214"/>
      <c r="AD439" s="214"/>
      <c r="AE439" s="214"/>
      <c r="AF439" s="214"/>
      <c r="AG439" s="213"/>
      <c r="AH439" s="214"/>
      <c r="AI439" s="214"/>
      <c r="AJ439" s="214"/>
      <c r="AK439" s="214"/>
      <c r="AL439" s="213"/>
      <c r="AM439" s="214"/>
      <c r="AN439" s="214"/>
      <c r="AO439" s="214"/>
      <c r="AP439" s="214"/>
      <c r="AQ439" s="213"/>
      <c r="AR439" s="214"/>
      <c r="AS439" s="214"/>
      <c r="AT439" s="214"/>
      <c r="AU439" s="214"/>
      <c r="AV439" s="213"/>
      <c r="AW439" s="214"/>
      <c r="AX439" s="214"/>
      <c r="AY439" s="214"/>
      <c r="AZ439" s="214"/>
      <c r="BA439" s="213"/>
      <c r="BB439" s="214"/>
      <c r="BC439" s="214"/>
      <c r="BD439" s="214"/>
      <c r="BE439" s="214"/>
      <c r="BF439" s="213"/>
      <c r="BG439" s="214"/>
      <c r="BH439" s="214"/>
      <c r="BI439" s="214"/>
      <c r="BJ439" s="214"/>
      <c r="BK439" s="213"/>
      <c r="BL439" s="214"/>
      <c r="BM439" s="214"/>
      <c r="BN439" s="214"/>
      <c r="BO439" s="214"/>
      <c r="BP439" s="213"/>
      <c r="BQ439" s="214"/>
      <c r="BR439" s="214"/>
      <c r="BS439" s="214"/>
      <c r="BT439" s="214"/>
      <c r="BU439" s="213"/>
      <c r="BV439" s="214"/>
      <c r="BW439" s="214"/>
      <c r="BX439" s="214"/>
      <c r="BY439" s="214"/>
      <c r="BZ439" s="213"/>
      <c r="CA439" s="214"/>
      <c r="CB439" s="214"/>
      <c r="CC439" s="214"/>
      <c r="CD439" s="214"/>
      <c r="CE439" s="213"/>
      <c r="CF439" s="214"/>
      <c r="CG439" s="214"/>
      <c r="CH439" s="214"/>
      <c r="CI439" s="214"/>
      <c r="CJ439" s="213"/>
      <c r="CK439" s="214"/>
      <c r="CL439" s="214"/>
      <c r="CM439" s="214"/>
      <c r="CN439" s="214"/>
      <c r="CO439" s="213"/>
      <c r="CP439" s="214"/>
      <c r="CQ439" s="214"/>
      <c r="CR439" s="214"/>
      <c r="CS439" s="214"/>
      <c r="CT439" s="213"/>
      <c r="CU439" s="214"/>
      <c r="CV439" s="214"/>
      <c r="CW439" s="214"/>
      <c r="CX439" s="214"/>
      <c r="CY439" s="213"/>
      <c r="CZ439" s="214"/>
      <c r="DA439" s="214"/>
      <c r="DB439" s="214"/>
      <c r="DC439" s="214"/>
      <c r="DD439" s="213"/>
      <c r="DE439" s="214"/>
      <c r="DF439" s="214"/>
      <c r="DG439" s="214"/>
      <c r="DH439" s="214"/>
      <c r="DI439" s="213"/>
      <c r="DJ439" s="214"/>
      <c r="DK439" s="214"/>
      <c r="DL439" s="214"/>
      <c r="DM439" s="214"/>
      <c r="DN439" s="213"/>
      <c r="DO439" s="214"/>
      <c r="DP439" s="214"/>
      <c r="DQ439" s="214"/>
      <c r="DR439" s="214"/>
      <c r="DS439" s="213"/>
      <c r="DT439" s="214"/>
      <c r="DU439" s="214"/>
      <c r="DV439" s="214"/>
      <c r="DW439" s="214"/>
      <c r="DX439" s="213"/>
      <c r="DY439" s="214"/>
      <c r="DZ439" s="214"/>
      <c r="EA439" s="214"/>
      <c r="EB439" s="214"/>
      <c r="EC439" s="213"/>
      <c r="ED439" s="214"/>
      <c r="EE439" s="214"/>
      <c r="EF439" s="214"/>
      <c r="EG439" s="214"/>
      <c r="EH439" s="213"/>
      <c r="EI439" s="214"/>
      <c r="EJ439" s="214"/>
      <c r="EK439" s="214"/>
      <c r="EL439" s="214"/>
      <c r="EM439" s="213"/>
      <c r="EN439" s="214"/>
      <c r="EO439" s="214"/>
      <c r="EP439" s="214"/>
      <c r="EQ439" s="214"/>
      <c r="ER439" s="213"/>
      <c r="ES439" s="214"/>
      <c r="ET439" s="214"/>
      <c r="EU439" s="214"/>
      <c r="EV439" s="214"/>
      <c r="EW439" s="213"/>
      <c r="EX439" s="214"/>
      <c r="EY439" s="214"/>
      <c r="EZ439" s="214"/>
      <c r="FA439" s="214"/>
      <c r="FB439" s="213"/>
      <c r="FC439" s="214"/>
      <c r="FD439" s="214"/>
      <c r="FE439" s="214"/>
      <c r="FF439" s="214"/>
      <c r="FG439" s="213"/>
      <c r="FH439" s="214"/>
      <c r="FI439" s="214"/>
      <c r="FJ439" s="214"/>
      <c r="FK439" s="214"/>
      <c r="FL439" s="213"/>
      <c r="FM439" s="214"/>
      <c r="FN439" s="214"/>
      <c r="FO439" s="214"/>
      <c r="FP439" s="214"/>
      <c r="FQ439" s="213"/>
      <c r="FR439" s="214"/>
      <c r="FS439" s="214"/>
      <c r="FT439" s="214"/>
      <c r="FU439" s="214"/>
      <c r="FV439" s="213"/>
      <c r="FW439" s="214"/>
      <c r="FX439" s="214"/>
      <c r="FY439" s="214"/>
      <c r="FZ439" s="214"/>
      <c r="GA439" s="213"/>
      <c r="GB439" s="214"/>
      <c r="GC439" s="214"/>
      <c r="GD439" s="214"/>
      <c r="GE439" s="214"/>
    </row>
    <row r="440" spans="3:187" ht="12.75" customHeight="1">
      <c r="C440" s="139"/>
      <c r="D440" s="105"/>
      <c r="E440" s="105"/>
      <c r="F440" s="105"/>
      <c r="G440" s="105"/>
      <c r="H440" s="139"/>
      <c r="I440" s="105"/>
      <c r="J440" s="105"/>
      <c r="K440" s="105"/>
      <c r="L440" s="105"/>
      <c r="M440" s="139"/>
      <c r="N440" s="105"/>
      <c r="O440" s="105"/>
      <c r="P440" s="105"/>
      <c r="Q440" s="105"/>
      <c r="R440" s="139"/>
      <c r="S440" s="105"/>
      <c r="T440" s="105"/>
      <c r="U440" s="105"/>
      <c r="V440" s="105"/>
      <c r="W440" s="139"/>
      <c r="X440" s="105"/>
      <c r="Y440" s="105"/>
      <c r="Z440" s="105"/>
      <c r="AA440" s="105"/>
      <c r="AB440" s="139"/>
      <c r="AC440" s="105"/>
      <c r="AD440" s="105"/>
      <c r="AE440" s="105"/>
      <c r="AF440" s="105"/>
      <c r="AG440" s="139"/>
      <c r="AH440" s="105"/>
      <c r="AI440" s="105"/>
      <c r="AJ440" s="105"/>
      <c r="AK440" s="105"/>
      <c r="AL440" s="139"/>
      <c r="AM440" s="105"/>
      <c r="AN440" s="105"/>
      <c r="AO440" s="105"/>
      <c r="AP440" s="105"/>
      <c r="AQ440" s="139"/>
      <c r="AR440" s="105"/>
      <c r="AS440" s="105"/>
      <c r="AT440" s="105"/>
      <c r="AU440" s="105"/>
      <c r="AV440" s="139"/>
      <c r="AW440" s="105"/>
      <c r="AX440" s="105"/>
      <c r="AY440" s="105"/>
      <c r="AZ440" s="105"/>
      <c r="BA440" s="139"/>
      <c r="BB440" s="105"/>
      <c r="BC440" s="105"/>
      <c r="BD440" s="105"/>
      <c r="BE440" s="105"/>
      <c r="BF440" s="139"/>
      <c r="BG440" s="105"/>
      <c r="BH440" s="105"/>
      <c r="BI440" s="105"/>
      <c r="BJ440" s="105"/>
      <c r="BK440" s="139"/>
      <c r="BL440" s="105"/>
      <c r="BM440" s="105"/>
      <c r="BN440" s="105"/>
      <c r="BO440" s="105"/>
      <c r="BP440" s="139"/>
      <c r="BQ440" s="105"/>
      <c r="BR440" s="105"/>
      <c r="BS440" s="105"/>
      <c r="BT440" s="105"/>
      <c r="BU440" s="139"/>
      <c r="BV440" s="105"/>
      <c r="BW440" s="105"/>
      <c r="BX440" s="105"/>
      <c r="BY440" s="105"/>
      <c r="BZ440" s="139"/>
      <c r="CA440" s="105"/>
      <c r="CB440" s="105"/>
      <c r="CC440" s="105"/>
      <c r="CD440" s="105"/>
      <c r="CE440" s="139"/>
      <c r="CF440" s="105"/>
      <c r="CG440" s="105"/>
      <c r="CH440" s="105"/>
      <c r="CI440" s="105"/>
      <c r="CJ440" s="139"/>
      <c r="CK440" s="105"/>
      <c r="CL440" s="105"/>
      <c r="CM440" s="105"/>
      <c r="CN440" s="105"/>
      <c r="CO440" s="139"/>
      <c r="CP440" s="105"/>
      <c r="CQ440" s="105"/>
      <c r="CR440" s="105"/>
      <c r="CS440" s="105"/>
      <c r="CT440" s="139"/>
      <c r="CU440" s="105"/>
      <c r="CV440" s="105"/>
      <c r="CW440" s="105"/>
      <c r="CX440" s="105"/>
      <c r="CY440" s="139"/>
      <c r="CZ440" s="105"/>
      <c r="DA440" s="105"/>
      <c r="DB440" s="105"/>
      <c r="DC440" s="105"/>
      <c r="DD440" s="139"/>
      <c r="DE440" s="105"/>
      <c r="DF440" s="105"/>
      <c r="DG440" s="105"/>
      <c r="DH440" s="105"/>
      <c r="DI440" s="139"/>
      <c r="DJ440" s="105"/>
      <c r="DK440" s="105"/>
      <c r="DL440" s="105"/>
      <c r="DM440" s="105"/>
      <c r="DN440" s="139"/>
      <c r="DO440" s="105"/>
      <c r="DP440" s="105"/>
      <c r="DQ440" s="105"/>
      <c r="DR440" s="105"/>
      <c r="DS440" s="139"/>
      <c r="DT440" s="105"/>
      <c r="DU440" s="105"/>
      <c r="DV440" s="105"/>
      <c r="DW440" s="105"/>
      <c r="DX440" s="139"/>
      <c r="DY440" s="105"/>
      <c r="DZ440" s="105"/>
      <c r="EA440" s="105"/>
      <c r="EB440" s="105"/>
      <c r="EC440" s="139"/>
      <c r="ED440" s="105"/>
      <c r="EE440" s="105"/>
      <c r="EF440" s="105"/>
      <c r="EG440" s="105"/>
      <c r="EH440" s="139"/>
      <c r="EI440" s="105"/>
      <c r="EJ440" s="105"/>
      <c r="EK440" s="105"/>
      <c r="EL440" s="105"/>
      <c r="EM440" s="139"/>
      <c r="EN440" s="105"/>
      <c r="EO440" s="105"/>
      <c r="EP440" s="105"/>
      <c r="EQ440" s="105"/>
      <c r="ER440" s="139"/>
      <c r="ES440" s="105"/>
      <c r="ET440" s="105"/>
      <c r="EU440" s="105"/>
      <c r="EV440" s="105"/>
      <c r="EW440" s="139"/>
      <c r="EX440" s="105"/>
      <c r="EY440" s="105"/>
      <c r="EZ440" s="105"/>
      <c r="FA440" s="105"/>
      <c r="FB440" s="139"/>
      <c r="FC440" s="105"/>
      <c r="FD440" s="105"/>
      <c r="FE440" s="105"/>
      <c r="FF440" s="105"/>
      <c r="FG440" s="139"/>
      <c r="FH440" s="105"/>
      <c r="FI440" s="105"/>
      <c r="FJ440" s="105"/>
      <c r="FK440" s="105"/>
      <c r="FL440" s="139"/>
      <c r="FM440" s="105"/>
      <c r="FN440" s="105"/>
      <c r="FO440" s="105"/>
      <c r="FP440" s="105"/>
      <c r="FQ440" s="139"/>
      <c r="FR440" s="105"/>
      <c r="FS440" s="105"/>
      <c r="FT440" s="105"/>
      <c r="FU440" s="105"/>
      <c r="FV440" s="139"/>
      <c r="FW440" s="105"/>
      <c r="FX440" s="105"/>
      <c r="FY440" s="105"/>
      <c r="FZ440" s="105"/>
      <c r="GA440" s="139"/>
      <c r="GB440" s="105"/>
      <c r="GC440" s="105"/>
      <c r="GD440" s="105"/>
      <c r="GE440" s="105"/>
    </row>
    <row r="443" spans="3:187" ht="12.75" customHeight="1">
      <c r="C443" s="215"/>
      <c r="D443" s="216"/>
      <c r="E443" s="216"/>
      <c r="F443" s="216"/>
      <c r="G443" s="216"/>
      <c r="H443" s="215"/>
      <c r="I443" s="216"/>
      <c r="J443" s="216"/>
      <c r="K443" s="216"/>
      <c r="L443" s="216"/>
      <c r="M443" s="215"/>
      <c r="N443" s="216"/>
      <c r="O443" s="216"/>
      <c r="P443" s="216"/>
      <c r="Q443" s="216"/>
      <c r="R443" s="215"/>
      <c r="S443" s="216"/>
      <c r="T443" s="216"/>
      <c r="U443" s="216"/>
      <c r="V443" s="216"/>
      <c r="W443" s="215"/>
      <c r="X443" s="216"/>
      <c r="Y443" s="216"/>
      <c r="Z443" s="216"/>
      <c r="AA443" s="216"/>
      <c r="AB443" s="215"/>
      <c r="AC443" s="216"/>
      <c r="AD443" s="216"/>
      <c r="AE443" s="216"/>
      <c r="AF443" s="216"/>
      <c r="AG443" s="215"/>
      <c r="AH443" s="216"/>
      <c r="AI443" s="216"/>
      <c r="AJ443" s="216"/>
      <c r="AK443" s="216"/>
      <c r="AL443" s="215"/>
      <c r="AM443" s="216"/>
      <c r="AN443" s="216"/>
      <c r="AO443" s="216"/>
      <c r="AP443" s="216"/>
      <c r="AQ443" s="215"/>
      <c r="AR443" s="216"/>
      <c r="AS443" s="216"/>
      <c r="AT443" s="216"/>
      <c r="AU443" s="216"/>
      <c r="AV443" s="215"/>
      <c r="AW443" s="216"/>
      <c r="AX443" s="216"/>
      <c r="AY443" s="216"/>
      <c r="AZ443" s="216"/>
      <c r="BA443" s="215"/>
      <c r="BB443" s="216"/>
      <c r="BC443" s="216"/>
      <c r="BD443" s="216"/>
      <c r="BE443" s="216"/>
      <c r="BF443" s="215"/>
      <c r="BG443" s="216"/>
      <c r="BH443" s="216"/>
      <c r="BI443" s="216"/>
      <c r="BJ443" s="216"/>
      <c r="BK443" s="215"/>
      <c r="BL443" s="216"/>
      <c r="BM443" s="216"/>
      <c r="BN443" s="216"/>
      <c r="BO443" s="216"/>
      <c r="BP443" s="215"/>
      <c r="BQ443" s="216"/>
      <c r="BR443" s="216"/>
      <c r="BS443" s="216"/>
      <c r="BT443" s="216"/>
      <c r="BU443" s="215"/>
      <c r="BV443" s="216"/>
      <c r="BW443" s="216"/>
      <c r="BX443" s="216"/>
      <c r="BY443" s="216"/>
      <c r="BZ443" s="215"/>
      <c r="CA443" s="216"/>
      <c r="CB443" s="216"/>
      <c r="CC443" s="216"/>
      <c r="CD443" s="216"/>
      <c r="CE443" s="215"/>
      <c r="CF443" s="216"/>
      <c r="CG443" s="216"/>
      <c r="CH443" s="216"/>
      <c r="CI443" s="216"/>
      <c r="CJ443" s="215"/>
      <c r="CK443" s="216"/>
      <c r="CL443" s="216"/>
      <c r="CM443" s="216"/>
      <c r="CN443" s="216"/>
      <c r="CO443" s="215"/>
      <c r="CP443" s="216"/>
      <c r="CQ443" s="216"/>
      <c r="CR443" s="216"/>
      <c r="CS443" s="216"/>
      <c r="CT443" s="215"/>
      <c r="CU443" s="216"/>
      <c r="CV443" s="216"/>
      <c r="CW443" s="216"/>
      <c r="CX443" s="216"/>
      <c r="CY443" s="215"/>
      <c r="CZ443" s="216"/>
      <c r="DA443" s="216"/>
      <c r="DB443" s="216"/>
      <c r="DC443" s="216"/>
      <c r="DD443" s="215"/>
      <c r="DE443" s="216"/>
      <c r="DF443" s="216"/>
      <c r="DG443" s="216"/>
      <c r="DH443" s="216"/>
      <c r="DI443" s="215"/>
      <c r="DJ443" s="216"/>
      <c r="DK443" s="216"/>
      <c r="DL443" s="216"/>
      <c r="DM443" s="216"/>
      <c r="DN443" s="215"/>
      <c r="DO443" s="216"/>
      <c r="DP443" s="216"/>
      <c r="DQ443" s="216"/>
      <c r="DR443" s="216"/>
      <c r="DS443" s="215"/>
      <c r="DT443" s="216"/>
      <c r="DU443" s="216"/>
      <c r="DV443" s="216"/>
      <c r="DW443" s="216"/>
      <c r="DX443" s="215"/>
      <c r="DY443" s="216"/>
      <c r="DZ443" s="216"/>
      <c r="EA443" s="216"/>
      <c r="EB443" s="216"/>
      <c r="EC443" s="215"/>
      <c r="ED443" s="216"/>
      <c r="EE443" s="216"/>
      <c r="EF443" s="216"/>
      <c r="EG443" s="216"/>
      <c r="EH443" s="215"/>
      <c r="EI443" s="216"/>
      <c r="EJ443" s="216"/>
      <c r="EK443" s="216"/>
      <c r="EL443" s="216"/>
      <c r="EM443" s="215"/>
      <c r="EN443" s="216"/>
      <c r="EO443" s="216"/>
      <c r="EP443" s="216"/>
      <c r="EQ443" s="216"/>
      <c r="ER443" s="215"/>
      <c r="ES443" s="216"/>
      <c r="ET443" s="216"/>
      <c r="EU443" s="216"/>
      <c r="EV443" s="216"/>
      <c r="EW443" s="215"/>
      <c r="EX443" s="216"/>
      <c r="EY443" s="216"/>
      <c r="EZ443" s="216"/>
      <c r="FA443" s="216"/>
      <c r="FB443" s="215"/>
      <c r="FC443" s="216"/>
      <c r="FD443" s="216"/>
      <c r="FE443" s="216"/>
      <c r="FF443" s="216"/>
      <c r="FG443" s="215"/>
      <c r="FH443" s="216"/>
      <c r="FI443" s="216"/>
      <c r="FJ443" s="216"/>
      <c r="FK443" s="216"/>
      <c r="FL443" s="215"/>
      <c r="FM443" s="216"/>
      <c r="FN443" s="216"/>
      <c r="FO443" s="216"/>
      <c r="FP443" s="216"/>
      <c r="FQ443" s="215"/>
      <c r="FR443" s="216"/>
      <c r="FS443" s="216"/>
      <c r="FT443" s="216"/>
      <c r="FU443" s="216"/>
      <c r="FV443" s="215"/>
      <c r="FW443" s="216"/>
      <c r="FX443" s="216"/>
      <c r="FY443" s="216"/>
      <c r="FZ443" s="216"/>
      <c r="GA443" s="215"/>
      <c r="GB443" s="216"/>
      <c r="GC443" s="216"/>
      <c r="GD443" s="216"/>
      <c r="GE443" s="216"/>
    </row>
    <row r="444" spans="3:187" ht="12.75" customHeight="1">
      <c r="C444" s="139"/>
      <c r="D444" s="105"/>
      <c r="E444" s="105"/>
      <c r="F444" s="105"/>
      <c r="G444" s="105"/>
      <c r="H444" s="139"/>
      <c r="I444" s="105"/>
      <c r="J444" s="105"/>
      <c r="K444" s="105"/>
      <c r="L444" s="105"/>
      <c r="M444" s="139"/>
      <c r="N444" s="105"/>
      <c r="O444" s="105"/>
      <c r="P444" s="105"/>
      <c r="Q444" s="105"/>
      <c r="R444" s="139"/>
      <c r="S444" s="105"/>
      <c r="T444" s="105"/>
      <c r="U444" s="105"/>
      <c r="V444" s="105"/>
      <c r="W444" s="139"/>
      <c r="X444" s="105"/>
      <c r="Y444" s="105"/>
      <c r="Z444" s="105"/>
      <c r="AA444" s="105"/>
      <c r="AB444" s="139"/>
      <c r="AC444" s="105"/>
      <c r="AD444" s="105"/>
      <c r="AE444" s="105"/>
      <c r="AF444" s="105"/>
      <c r="AG444" s="139"/>
      <c r="AH444" s="105"/>
      <c r="AI444" s="105"/>
      <c r="AJ444" s="105"/>
      <c r="AK444" s="105"/>
      <c r="AL444" s="139"/>
      <c r="AM444" s="105"/>
      <c r="AN444" s="105"/>
      <c r="AO444" s="105"/>
      <c r="AP444" s="105"/>
      <c r="AQ444" s="139"/>
      <c r="AR444" s="105"/>
      <c r="AS444" s="105"/>
      <c r="AT444" s="105"/>
      <c r="AU444" s="105"/>
      <c r="AV444" s="139"/>
      <c r="AW444" s="105"/>
      <c r="AX444" s="105"/>
      <c r="AY444" s="105"/>
      <c r="AZ444" s="105"/>
      <c r="BA444" s="139"/>
      <c r="BB444" s="105"/>
      <c r="BC444" s="105"/>
      <c r="BD444" s="105"/>
      <c r="BE444" s="105"/>
      <c r="BF444" s="139"/>
      <c r="BG444" s="105"/>
      <c r="BH444" s="105"/>
      <c r="BI444" s="105"/>
      <c r="BJ444" s="105"/>
      <c r="BK444" s="139"/>
      <c r="BL444" s="105"/>
      <c r="BM444" s="105"/>
      <c r="BN444" s="105"/>
      <c r="BO444" s="105"/>
      <c r="BP444" s="139"/>
      <c r="BQ444" s="105"/>
      <c r="BR444" s="105"/>
      <c r="BS444" s="105"/>
      <c r="BT444" s="105"/>
      <c r="BU444" s="139"/>
      <c r="BV444" s="105"/>
      <c r="BW444" s="105"/>
      <c r="BX444" s="105"/>
      <c r="BY444" s="105"/>
      <c r="BZ444" s="139"/>
      <c r="CA444" s="105"/>
      <c r="CB444" s="105"/>
      <c r="CC444" s="105"/>
      <c r="CD444" s="105"/>
      <c r="CE444" s="139"/>
      <c r="CF444" s="105"/>
      <c r="CG444" s="105"/>
      <c r="CH444" s="105"/>
      <c r="CI444" s="105"/>
      <c r="CJ444" s="139"/>
      <c r="CK444" s="105"/>
      <c r="CL444" s="105"/>
      <c r="CM444" s="105"/>
      <c r="CN444" s="105"/>
      <c r="CO444" s="139"/>
      <c r="CP444" s="105"/>
      <c r="CQ444" s="105"/>
      <c r="CR444" s="105"/>
      <c r="CS444" s="105"/>
      <c r="CT444" s="139"/>
      <c r="CU444" s="105"/>
      <c r="CV444" s="105"/>
      <c r="CW444" s="105"/>
      <c r="CX444" s="105"/>
      <c r="CY444" s="139"/>
      <c r="CZ444" s="105"/>
      <c r="DA444" s="105"/>
      <c r="DB444" s="105"/>
      <c r="DC444" s="105"/>
      <c r="DD444" s="139"/>
      <c r="DE444" s="105"/>
      <c r="DF444" s="105"/>
      <c r="DG444" s="105"/>
      <c r="DH444" s="105"/>
      <c r="DI444" s="139"/>
      <c r="DJ444" s="105"/>
      <c r="DK444" s="105"/>
      <c r="DL444" s="105"/>
      <c r="DM444" s="105"/>
      <c r="DN444" s="139"/>
      <c r="DO444" s="105"/>
      <c r="DP444" s="105"/>
      <c r="DQ444" s="105"/>
      <c r="DR444" s="105"/>
      <c r="DS444" s="139"/>
      <c r="DT444" s="105"/>
      <c r="DU444" s="105"/>
      <c r="DV444" s="105"/>
      <c r="DW444" s="105"/>
      <c r="DX444" s="139"/>
      <c r="DY444" s="105"/>
      <c r="DZ444" s="105"/>
      <c r="EA444" s="105"/>
      <c r="EB444" s="105"/>
      <c r="EC444" s="139"/>
      <c r="ED444" s="105"/>
      <c r="EE444" s="105"/>
      <c r="EF444" s="105"/>
      <c r="EG444" s="105"/>
      <c r="EH444" s="139"/>
      <c r="EI444" s="105"/>
      <c r="EJ444" s="105"/>
      <c r="EK444" s="105"/>
      <c r="EL444" s="105"/>
      <c r="EM444" s="139"/>
      <c r="EN444" s="105"/>
      <c r="EO444" s="105"/>
      <c r="EP444" s="105"/>
      <c r="EQ444" s="105"/>
      <c r="ER444" s="139"/>
      <c r="ES444" s="105"/>
      <c r="ET444" s="105"/>
      <c r="EU444" s="105"/>
      <c r="EV444" s="105"/>
      <c r="EW444" s="139"/>
      <c r="EX444" s="105"/>
      <c r="EY444" s="105"/>
      <c r="EZ444" s="105"/>
      <c r="FA444" s="105"/>
      <c r="FB444" s="139"/>
      <c r="FC444" s="105"/>
      <c r="FD444" s="105"/>
      <c r="FE444" s="105"/>
      <c r="FF444" s="105"/>
      <c r="FG444" s="139"/>
      <c r="FH444" s="105"/>
      <c r="FI444" s="105"/>
      <c r="FJ444" s="105"/>
      <c r="FK444" s="105"/>
      <c r="FL444" s="139"/>
      <c r="FM444" s="105"/>
      <c r="FN444" s="105"/>
      <c r="FO444" s="105"/>
      <c r="FP444" s="105"/>
      <c r="FQ444" s="139"/>
      <c r="FR444" s="105"/>
      <c r="FS444" s="105"/>
      <c r="FT444" s="105"/>
      <c r="FU444" s="105"/>
      <c r="FV444" s="139"/>
      <c r="FW444" s="105"/>
      <c r="FX444" s="105"/>
      <c r="FY444" s="105"/>
      <c r="FZ444" s="105"/>
      <c r="GA444" s="139"/>
      <c r="GB444" s="105"/>
      <c r="GC444" s="105"/>
      <c r="GD444" s="105"/>
      <c r="GE444" s="105"/>
    </row>
    <row r="445" spans="3:187" ht="12.75" customHeight="1">
      <c r="C445" s="139"/>
      <c r="D445" s="105"/>
      <c r="E445" s="105"/>
      <c r="F445" s="105"/>
      <c r="G445" s="105"/>
      <c r="H445" s="139"/>
      <c r="I445" s="105"/>
      <c r="J445" s="105"/>
      <c r="K445" s="105"/>
      <c r="L445" s="105"/>
      <c r="M445" s="139"/>
      <c r="N445" s="105"/>
      <c r="O445" s="105"/>
      <c r="P445" s="105"/>
      <c r="Q445" s="105"/>
      <c r="R445" s="139"/>
      <c r="S445" s="105"/>
      <c r="T445" s="105"/>
      <c r="U445" s="105"/>
      <c r="V445" s="105"/>
      <c r="W445" s="139"/>
      <c r="X445" s="105"/>
      <c r="Y445" s="105"/>
      <c r="Z445" s="105"/>
      <c r="AA445" s="105"/>
      <c r="AB445" s="139"/>
      <c r="AC445" s="105"/>
      <c r="AD445" s="105"/>
      <c r="AE445" s="105"/>
      <c r="AF445" s="105"/>
      <c r="AG445" s="139"/>
      <c r="AH445" s="105"/>
      <c r="AI445" s="105"/>
      <c r="AJ445" s="105"/>
      <c r="AK445" s="105"/>
      <c r="AL445" s="139"/>
      <c r="AM445" s="105"/>
      <c r="AN445" s="105"/>
      <c r="AO445" s="105"/>
      <c r="AP445" s="105"/>
      <c r="AQ445" s="139"/>
      <c r="AR445" s="105"/>
      <c r="AS445" s="105"/>
      <c r="AT445" s="105"/>
      <c r="AU445" s="105"/>
      <c r="AV445" s="139"/>
      <c r="AW445" s="105"/>
      <c r="AX445" s="105"/>
      <c r="AY445" s="105"/>
      <c r="AZ445" s="105"/>
      <c r="BA445" s="139"/>
      <c r="BB445" s="105"/>
      <c r="BC445" s="105"/>
      <c r="BD445" s="105"/>
      <c r="BE445" s="105"/>
      <c r="BF445" s="139"/>
      <c r="BG445" s="105"/>
      <c r="BH445" s="105"/>
      <c r="BI445" s="105"/>
      <c r="BJ445" s="105"/>
      <c r="BK445" s="139"/>
      <c r="BL445" s="105"/>
      <c r="BM445" s="105"/>
      <c r="BN445" s="105"/>
      <c r="BO445" s="105"/>
      <c r="BP445" s="139"/>
      <c r="BQ445" s="105"/>
      <c r="BR445" s="105"/>
      <c r="BS445" s="105"/>
      <c r="BT445" s="105"/>
      <c r="BU445" s="139"/>
      <c r="BV445" s="105"/>
      <c r="BW445" s="105"/>
      <c r="BX445" s="105"/>
      <c r="BY445" s="105"/>
      <c r="BZ445" s="139"/>
      <c r="CA445" s="105"/>
      <c r="CB445" s="105"/>
      <c r="CC445" s="105"/>
      <c r="CD445" s="105"/>
      <c r="CE445" s="139"/>
      <c r="CF445" s="105"/>
      <c r="CG445" s="105"/>
      <c r="CH445" s="105"/>
      <c r="CI445" s="105"/>
      <c r="CJ445" s="139"/>
      <c r="CK445" s="105"/>
      <c r="CL445" s="105"/>
      <c r="CM445" s="105"/>
      <c r="CN445" s="105"/>
      <c r="CO445" s="139"/>
      <c r="CP445" s="105"/>
      <c r="CQ445" s="105"/>
      <c r="CR445" s="105"/>
      <c r="CS445" s="105"/>
      <c r="CT445" s="139"/>
      <c r="CU445" s="105"/>
      <c r="CV445" s="105"/>
      <c r="CW445" s="105"/>
      <c r="CX445" s="105"/>
      <c r="CY445" s="139"/>
      <c r="CZ445" s="105"/>
      <c r="DA445" s="105"/>
      <c r="DB445" s="105"/>
      <c r="DC445" s="105"/>
      <c r="DD445" s="139"/>
      <c r="DE445" s="105"/>
      <c r="DF445" s="105"/>
      <c r="DG445" s="105"/>
      <c r="DH445" s="105"/>
      <c r="DI445" s="139"/>
      <c r="DJ445" s="105"/>
      <c r="DK445" s="105"/>
      <c r="DL445" s="105"/>
      <c r="DM445" s="105"/>
      <c r="DN445" s="139"/>
      <c r="DO445" s="105"/>
      <c r="DP445" s="105"/>
      <c r="DQ445" s="105"/>
      <c r="DR445" s="105"/>
      <c r="DS445" s="139"/>
      <c r="DT445" s="105"/>
      <c r="DU445" s="105"/>
      <c r="DV445" s="105"/>
      <c r="DW445" s="105"/>
      <c r="DX445" s="139"/>
      <c r="DY445" s="105"/>
      <c r="DZ445" s="105"/>
      <c r="EA445" s="105"/>
      <c r="EB445" s="105"/>
      <c r="EC445" s="139"/>
      <c r="ED445" s="105"/>
      <c r="EE445" s="105"/>
      <c r="EF445" s="105"/>
      <c r="EG445" s="105"/>
      <c r="EH445" s="139"/>
      <c r="EI445" s="105"/>
      <c r="EJ445" s="105"/>
      <c r="EK445" s="105"/>
      <c r="EL445" s="105"/>
      <c r="EM445" s="139"/>
      <c r="EN445" s="105"/>
      <c r="EO445" s="105"/>
      <c r="EP445" s="105"/>
      <c r="EQ445" s="105"/>
      <c r="ER445" s="139"/>
      <c r="ES445" s="105"/>
      <c r="ET445" s="105"/>
      <c r="EU445" s="105"/>
      <c r="EV445" s="105"/>
      <c r="EW445" s="139"/>
      <c r="EX445" s="105"/>
      <c r="EY445" s="105"/>
      <c r="EZ445" s="105"/>
      <c r="FA445" s="105"/>
      <c r="FB445" s="139"/>
      <c r="FC445" s="105"/>
      <c r="FD445" s="105"/>
      <c r="FE445" s="105"/>
      <c r="FF445" s="105"/>
      <c r="FG445" s="139"/>
      <c r="FH445" s="105"/>
      <c r="FI445" s="105"/>
      <c r="FJ445" s="105"/>
      <c r="FK445" s="105"/>
      <c r="FL445" s="139"/>
      <c r="FM445" s="105"/>
      <c r="FN445" s="105"/>
      <c r="FO445" s="105"/>
      <c r="FP445" s="105"/>
      <c r="FQ445" s="139"/>
      <c r="FR445" s="105"/>
      <c r="FS445" s="105"/>
      <c r="FT445" s="105"/>
      <c r="FU445" s="105"/>
      <c r="FV445" s="139"/>
      <c r="FW445" s="105"/>
      <c r="FX445" s="105"/>
      <c r="FY445" s="105"/>
      <c r="FZ445" s="105"/>
      <c r="GA445" s="139"/>
      <c r="GB445" s="105"/>
      <c r="GC445" s="105"/>
      <c r="GD445" s="105"/>
      <c r="GE445" s="105"/>
    </row>
    <row r="446" spans="3:187" ht="12.75" customHeight="1">
      <c r="C446" s="215"/>
      <c r="D446" s="216"/>
      <c r="E446" s="216"/>
      <c r="F446" s="216"/>
      <c r="G446" s="216"/>
      <c r="H446" s="215"/>
      <c r="I446" s="216"/>
      <c r="J446" s="216"/>
      <c r="K446" s="216"/>
      <c r="L446" s="216"/>
      <c r="M446" s="215"/>
      <c r="N446" s="216"/>
      <c r="O446" s="216"/>
      <c r="P446" s="216"/>
      <c r="Q446" s="216"/>
      <c r="R446" s="215"/>
      <c r="S446" s="216"/>
      <c r="T446" s="216"/>
      <c r="U446" s="216"/>
      <c r="V446" s="216"/>
      <c r="W446" s="215"/>
      <c r="X446" s="216"/>
      <c r="Y446" s="216"/>
      <c r="Z446" s="216"/>
      <c r="AA446" s="216"/>
      <c r="AB446" s="215"/>
      <c r="AC446" s="216"/>
      <c r="AD446" s="216"/>
      <c r="AE446" s="216"/>
      <c r="AF446" s="216"/>
      <c r="AG446" s="215"/>
      <c r="AH446" s="216"/>
      <c r="AI446" s="216"/>
      <c r="AJ446" s="216"/>
      <c r="AK446" s="216"/>
      <c r="AL446" s="215"/>
      <c r="AM446" s="216"/>
      <c r="AN446" s="216"/>
      <c r="AO446" s="216"/>
      <c r="AP446" s="216"/>
      <c r="AQ446" s="215"/>
      <c r="AR446" s="216"/>
      <c r="AS446" s="216"/>
      <c r="AT446" s="216"/>
      <c r="AU446" s="216"/>
      <c r="AV446" s="215"/>
      <c r="AW446" s="216"/>
      <c r="AX446" s="216"/>
      <c r="AY446" s="216"/>
      <c r="AZ446" s="216"/>
      <c r="BA446" s="215"/>
      <c r="BB446" s="216"/>
      <c r="BC446" s="216"/>
      <c r="BD446" s="216"/>
      <c r="BE446" s="216"/>
      <c r="BF446" s="215"/>
      <c r="BG446" s="216"/>
      <c r="BH446" s="216"/>
      <c r="BI446" s="216"/>
      <c r="BJ446" s="216"/>
      <c r="BK446" s="215"/>
      <c r="BL446" s="216"/>
      <c r="BM446" s="216"/>
      <c r="BN446" s="216"/>
      <c r="BO446" s="216"/>
      <c r="BP446" s="215"/>
      <c r="BQ446" s="216"/>
      <c r="BR446" s="216"/>
      <c r="BS446" s="216"/>
      <c r="BT446" s="216"/>
      <c r="BU446" s="215"/>
      <c r="BV446" s="216"/>
      <c r="BW446" s="216"/>
      <c r="BX446" s="216"/>
      <c r="BY446" s="216"/>
      <c r="BZ446" s="215"/>
      <c r="CA446" s="216"/>
      <c r="CB446" s="216"/>
      <c r="CC446" s="216"/>
      <c r="CD446" s="216"/>
      <c r="CE446" s="215"/>
      <c r="CF446" s="216"/>
      <c r="CG446" s="216"/>
      <c r="CH446" s="216"/>
      <c r="CI446" s="216"/>
      <c r="CJ446" s="215"/>
      <c r="CK446" s="216"/>
      <c r="CL446" s="216"/>
      <c r="CM446" s="216"/>
      <c r="CN446" s="216"/>
      <c r="CO446" s="215"/>
      <c r="CP446" s="216"/>
      <c r="CQ446" s="216"/>
      <c r="CR446" s="216"/>
      <c r="CS446" s="216"/>
      <c r="CT446" s="215"/>
      <c r="CU446" s="216"/>
      <c r="CV446" s="216"/>
      <c r="CW446" s="216"/>
      <c r="CX446" s="216"/>
      <c r="CY446" s="215"/>
      <c r="CZ446" s="216"/>
      <c r="DA446" s="216"/>
      <c r="DB446" s="216"/>
      <c r="DC446" s="216"/>
      <c r="DD446" s="215"/>
      <c r="DE446" s="216"/>
      <c r="DF446" s="216"/>
      <c r="DG446" s="216"/>
      <c r="DH446" s="216"/>
      <c r="DI446" s="215"/>
      <c r="DJ446" s="216"/>
      <c r="DK446" s="216"/>
      <c r="DL446" s="216"/>
      <c r="DM446" s="216"/>
      <c r="DN446" s="215"/>
      <c r="DO446" s="216"/>
      <c r="DP446" s="216"/>
      <c r="DQ446" s="216"/>
      <c r="DR446" s="216"/>
      <c r="DS446" s="215"/>
      <c r="DT446" s="216"/>
      <c r="DU446" s="216"/>
      <c r="DV446" s="216"/>
      <c r="DW446" s="216"/>
      <c r="DX446" s="215"/>
      <c r="DY446" s="216"/>
      <c r="DZ446" s="216"/>
      <c r="EA446" s="216"/>
      <c r="EB446" s="216"/>
      <c r="EC446" s="215"/>
      <c r="ED446" s="216"/>
      <c r="EE446" s="216"/>
      <c r="EF446" s="216"/>
      <c r="EG446" s="216"/>
      <c r="EH446" s="215"/>
      <c r="EI446" s="216"/>
      <c r="EJ446" s="216"/>
      <c r="EK446" s="216"/>
      <c r="EL446" s="216"/>
      <c r="EM446" s="215"/>
      <c r="EN446" s="216"/>
      <c r="EO446" s="216"/>
      <c r="EP446" s="216"/>
      <c r="EQ446" s="216"/>
      <c r="ER446" s="215"/>
      <c r="ES446" s="216"/>
      <c r="ET446" s="216"/>
      <c r="EU446" s="216"/>
      <c r="EV446" s="216"/>
      <c r="EW446" s="215"/>
      <c r="EX446" s="216"/>
      <c r="EY446" s="216"/>
      <c r="EZ446" s="216"/>
      <c r="FA446" s="216"/>
      <c r="FB446" s="215"/>
      <c r="FC446" s="216"/>
      <c r="FD446" s="216"/>
      <c r="FE446" s="216"/>
      <c r="FF446" s="216"/>
      <c r="FG446" s="215"/>
      <c r="FH446" s="216"/>
      <c r="FI446" s="216"/>
      <c r="FJ446" s="216"/>
      <c r="FK446" s="216"/>
      <c r="FL446" s="215"/>
      <c r="FM446" s="216"/>
      <c r="FN446" s="216"/>
      <c r="FO446" s="216"/>
      <c r="FP446" s="216"/>
      <c r="FQ446" s="215"/>
      <c r="FR446" s="216"/>
      <c r="FS446" s="216"/>
      <c r="FT446" s="216"/>
      <c r="FU446" s="216"/>
      <c r="FV446" s="215"/>
      <c r="FW446" s="216"/>
      <c r="FX446" s="216"/>
      <c r="FY446" s="216"/>
      <c r="FZ446" s="216"/>
      <c r="GA446" s="215"/>
      <c r="GB446" s="216"/>
      <c r="GC446" s="216"/>
      <c r="GD446" s="216"/>
      <c r="GE446" s="216"/>
    </row>
    <row r="447" spans="3:187" ht="12.75" customHeight="1">
      <c r="C447" s="139"/>
      <c r="D447" s="105"/>
      <c r="E447" s="105"/>
      <c r="F447" s="105"/>
      <c r="G447" s="105"/>
      <c r="H447" s="139"/>
      <c r="I447" s="105"/>
      <c r="J447" s="105"/>
      <c r="K447" s="105"/>
      <c r="L447" s="105"/>
      <c r="M447" s="139"/>
      <c r="N447" s="105"/>
      <c r="O447" s="105"/>
      <c r="P447" s="105"/>
      <c r="Q447" s="105"/>
      <c r="R447" s="139"/>
      <c r="S447" s="105"/>
      <c r="T447" s="105"/>
      <c r="U447" s="105"/>
      <c r="V447" s="105"/>
      <c r="W447" s="139"/>
      <c r="X447" s="105"/>
      <c r="Y447" s="105"/>
      <c r="Z447" s="105"/>
      <c r="AA447" s="105"/>
      <c r="AB447" s="139"/>
      <c r="AC447" s="105"/>
      <c r="AD447" s="105"/>
      <c r="AE447" s="105"/>
      <c r="AF447" s="105"/>
      <c r="AG447" s="139"/>
      <c r="AH447" s="105"/>
      <c r="AI447" s="105"/>
      <c r="AJ447" s="105"/>
      <c r="AK447" s="105"/>
      <c r="AL447" s="139"/>
      <c r="AM447" s="105"/>
      <c r="AN447" s="105"/>
      <c r="AO447" s="105"/>
      <c r="AP447" s="105"/>
      <c r="AQ447" s="139"/>
      <c r="AR447" s="105"/>
      <c r="AS447" s="105"/>
      <c r="AT447" s="105"/>
      <c r="AU447" s="105"/>
      <c r="AV447" s="139"/>
      <c r="AW447" s="105"/>
      <c r="AX447" s="105"/>
      <c r="AY447" s="105"/>
      <c r="AZ447" s="105"/>
      <c r="BA447" s="139"/>
      <c r="BB447" s="105"/>
      <c r="BC447" s="105"/>
      <c r="BD447" s="105"/>
      <c r="BE447" s="105"/>
      <c r="BF447" s="139"/>
      <c r="BG447" s="105"/>
      <c r="BH447" s="105"/>
      <c r="BI447" s="105"/>
      <c r="BJ447" s="105"/>
      <c r="BK447" s="139"/>
      <c r="BL447" s="105"/>
      <c r="BM447" s="105"/>
      <c r="BN447" s="105"/>
      <c r="BO447" s="105"/>
      <c r="BP447" s="139"/>
      <c r="BQ447" s="105"/>
      <c r="BR447" s="105"/>
      <c r="BS447" s="105"/>
      <c r="BT447" s="105"/>
      <c r="BU447" s="139"/>
      <c r="BV447" s="105"/>
      <c r="BW447" s="105"/>
      <c r="BX447" s="105"/>
      <c r="BY447" s="105"/>
      <c r="BZ447" s="139"/>
      <c r="CA447" s="105"/>
      <c r="CB447" s="105"/>
      <c r="CC447" s="105"/>
      <c r="CD447" s="105"/>
      <c r="CE447" s="139"/>
      <c r="CF447" s="105"/>
      <c r="CG447" s="105"/>
      <c r="CH447" s="105"/>
      <c r="CI447" s="105"/>
      <c r="CJ447" s="139"/>
      <c r="CK447" s="105"/>
      <c r="CL447" s="105"/>
      <c r="CM447" s="105"/>
      <c r="CN447" s="105"/>
      <c r="CO447" s="139"/>
      <c r="CP447" s="105"/>
      <c r="CQ447" s="105"/>
      <c r="CR447" s="105"/>
      <c r="CS447" s="105"/>
      <c r="CT447" s="139"/>
      <c r="CU447" s="105"/>
      <c r="CV447" s="105"/>
      <c r="CW447" s="105"/>
      <c r="CX447" s="105"/>
      <c r="CY447" s="139"/>
      <c r="CZ447" s="105"/>
      <c r="DA447" s="105"/>
      <c r="DB447" s="105"/>
      <c r="DC447" s="105"/>
      <c r="DD447" s="139"/>
      <c r="DE447" s="105"/>
      <c r="DF447" s="105"/>
      <c r="DG447" s="105"/>
      <c r="DH447" s="105"/>
      <c r="DI447" s="139"/>
      <c r="DJ447" s="105"/>
      <c r="DK447" s="105"/>
      <c r="DL447" s="105"/>
      <c r="DM447" s="105"/>
      <c r="DN447" s="139"/>
      <c r="DO447" s="105"/>
      <c r="DP447" s="105"/>
      <c r="DQ447" s="105"/>
      <c r="DR447" s="105"/>
      <c r="DS447" s="139"/>
      <c r="DT447" s="105"/>
      <c r="DU447" s="105"/>
      <c r="DV447" s="105"/>
      <c r="DW447" s="105"/>
      <c r="DX447" s="139"/>
      <c r="DY447" s="105"/>
      <c r="DZ447" s="105"/>
      <c r="EA447" s="105"/>
      <c r="EB447" s="105"/>
      <c r="EC447" s="139"/>
      <c r="ED447" s="105"/>
      <c r="EE447" s="105"/>
      <c r="EF447" s="105"/>
      <c r="EG447" s="105"/>
      <c r="EH447" s="139"/>
      <c r="EI447" s="105"/>
      <c r="EJ447" s="105"/>
      <c r="EK447" s="105"/>
      <c r="EL447" s="105"/>
      <c r="EM447" s="139"/>
      <c r="EN447" s="105"/>
      <c r="EO447" s="105"/>
      <c r="EP447" s="105"/>
      <c r="EQ447" s="105"/>
      <c r="ER447" s="139"/>
      <c r="ES447" s="105"/>
      <c r="ET447" s="105"/>
      <c r="EU447" s="105"/>
      <c r="EV447" s="105"/>
      <c r="EW447" s="139"/>
      <c r="EX447" s="105"/>
      <c r="EY447" s="105"/>
      <c r="EZ447" s="105"/>
      <c r="FA447" s="105"/>
      <c r="FB447" s="139"/>
      <c r="FC447" s="105"/>
      <c r="FD447" s="105"/>
      <c r="FE447" s="105"/>
      <c r="FF447" s="105"/>
      <c r="FG447" s="139"/>
      <c r="FH447" s="105"/>
      <c r="FI447" s="105"/>
      <c r="FJ447" s="105"/>
      <c r="FK447" s="105"/>
      <c r="FL447" s="139"/>
      <c r="FM447" s="105"/>
      <c r="FN447" s="105"/>
      <c r="FO447" s="105"/>
      <c r="FP447" s="105"/>
      <c r="FQ447" s="139"/>
      <c r="FR447" s="105"/>
      <c r="FS447" s="105"/>
      <c r="FT447" s="105"/>
      <c r="FU447" s="105"/>
      <c r="FV447" s="139"/>
      <c r="FW447" s="105"/>
      <c r="FX447" s="105"/>
      <c r="FY447" s="105"/>
      <c r="FZ447" s="105"/>
      <c r="GA447" s="139"/>
      <c r="GB447" s="105"/>
      <c r="GC447" s="105"/>
      <c r="GD447" s="105"/>
      <c r="GE447" s="105"/>
    </row>
    <row r="448" spans="3:187" ht="12.75" customHeight="1">
      <c r="C448" s="139"/>
      <c r="D448" s="105"/>
      <c r="E448" s="105"/>
      <c r="F448" s="105"/>
      <c r="G448" s="105"/>
      <c r="H448" s="139"/>
      <c r="I448" s="105"/>
      <c r="J448" s="105"/>
      <c r="K448" s="105"/>
      <c r="L448" s="105"/>
      <c r="M448" s="139"/>
      <c r="N448" s="105"/>
      <c r="O448" s="105"/>
      <c r="P448" s="105"/>
      <c r="Q448" s="105"/>
      <c r="R448" s="139"/>
      <c r="S448" s="105"/>
      <c r="T448" s="105"/>
      <c r="U448" s="105"/>
      <c r="V448" s="105"/>
      <c r="W448" s="139"/>
      <c r="X448" s="105"/>
      <c r="Y448" s="105"/>
      <c r="Z448" s="105"/>
      <c r="AA448" s="105"/>
      <c r="AB448" s="139"/>
      <c r="AC448" s="105"/>
      <c r="AD448" s="105"/>
      <c r="AE448" s="105"/>
      <c r="AF448" s="105"/>
      <c r="AG448" s="139"/>
      <c r="AH448" s="105"/>
      <c r="AI448" s="105"/>
      <c r="AJ448" s="105"/>
      <c r="AK448" s="105"/>
      <c r="AL448" s="139"/>
      <c r="AM448" s="105"/>
      <c r="AN448" s="105"/>
      <c r="AO448" s="105"/>
      <c r="AP448" s="105"/>
      <c r="AQ448" s="139"/>
      <c r="AR448" s="105"/>
      <c r="AS448" s="105"/>
      <c r="AT448" s="105"/>
      <c r="AU448" s="105"/>
      <c r="AV448" s="139"/>
      <c r="AW448" s="105"/>
      <c r="AX448" s="105"/>
      <c r="AY448" s="105"/>
      <c r="AZ448" s="105"/>
      <c r="BA448" s="139"/>
      <c r="BB448" s="105"/>
      <c r="BC448" s="105"/>
      <c r="BD448" s="105"/>
      <c r="BE448" s="105"/>
      <c r="BF448" s="139"/>
      <c r="BG448" s="105"/>
      <c r="BH448" s="105"/>
      <c r="BI448" s="105"/>
      <c r="BJ448" s="105"/>
      <c r="BK448" s="139"/>
      <c r="BL448" s="105"/>
      <c r="BM448" s="105"/>
      <c r="BN448" s="105"/>
      <c r="BO448" s="105"/>
      <c r="BP448" s="139"/>
      <c r="BQ448" s="105"/>
      <c r="BR448" s="105"/>
      <c r="BS448" s="105"/>
      <c r="BT448" s="105"/>
      <c r="BU448" s="139"/>
      <c r="BV448" s="105"/>
      <c r="BW448" s="105"/>
      <c r="BX448" s="105"/>
      <c r="BY448" s="105"/>
      <c r="BZ448" s="139"/>
      <c r="CA448" s="105"/>
      <c r="CB448" s="105"/>
      <c r="CC448" s="105"/>
      <c r="CD448" s="105"/>
      <c r="CE448" s="139"/>
      <c r="CF448" s="105"/>
      <c r="CG448" s="105"/>
      <c r="CH448" s="105"/>
      <c r="CI448" s="105"/>
      <c r="CJ448" s="139"/>
      <c r="CK448" s="105"/>
      <c r="CL448" s="105"/>
      <c r="CM448" s="105"/>
      <c r="CN448" s="105"/>
      <c r="CO448" s="139"/>
      <c r="CP448" s="105"/>
      <c r="CQ448" s="105"/>
      <c r="CR448" s="105"/>
      <c r="CS448" s="105"/>
      <c r="CT448" s="139"/>
      <c r="CU448" s="105"/>
      <c r="CV448" s="105"/>
      <c r="CW448" s="105"/>
      <c r="CX448" s="105"/>
      <c r="CY448" s="139"/>
      <c r="CZ448" s="105"/>
      <c r="DA448" s="105"/>
      <c r="DB448" s="105"/>
      <c r="DC448" s="105"/>
      <c r="DD448" s="139"/>
      <c r="DE448" s="105"/>
      <c r="DF448" s="105"/>
      <c r="DG448" s="105"/>
      <c r="DH448" s="105"/>
      <c r="DI448" s="139"/>
      <c r="DJ448" s="105"/>
      <c r="DK448" s="105"/>
      <c r="DL448" s="105"/>
      <c r="DM448" s="105"/>
      <c r="DN448" s="139"/>
      <c r="DO448" s="105"/>
      <c r="DP448" s="105"/>
      <c r="DQ448" s="105"/>
      <c r="DR448" s="105"/>
      <c r="DS448" s="139"/>
      <c r="DT448" s="105"/>
      <c r="DU448" s="105"/>
      <c r="DV448" s="105"/>
      <c r="DW448" s="105"/>
      <c r="DX448" s="139"/>
      <c r="DY448" s="105"/>
      <c r="DZ448" s="105"/>
      <c r="EA448" s="105"/>
      <c r="EB448" s="105"/>
      <c r="EC448" s="139"/>
      <c r="ED448" s="105"/>
      <c r="EE448" s="105"/>
      <c r="EF448" s="105"/>
      <c r="EG448" s="105"/>
      <c r="EH448" s="139"/>
      <c r="EI448" s="105"/>
      <c r="EJ448" s="105"/>
      <c r="EK448" s="105"/>
      <c r="EL448" s="105"/>
      <c r="EM448" s="139"/>
      <c r="EN448" s="105"/>
      <c r="EO448" s="105"/>
      <c r="EP448" s="105"/>
      <c r="EQ448" s="105"/>
      <c r="ER448" s="139"/>
      <c r="ES448" s="105"/>
      <c r="ET448" s="105"/>
      <c r="EU448" s="105"/>
      <c r="EV448" s="105"/>
      <c r="EW448" s="139"/>
      <c r="EX448" s="105"/>
      <c r="EY448" s="105"/>
      <c r="EZ448" s="105"/>
      <c r="FA448" s="105"/>
      <c r="FB448" s="139"/>
      <c r="FC448" s="105"/>
      <c r="FD448" s="105"/>
      <c r="FE448" s="105"/>
      <c r="FF448" s="105"/>
      <c r="FG448" s="139"/>
      <c r="FH448" s="105"/>
      <c r="FI448" s="105"/>
      <c r="FJ448" s="105"/>
      <c r="FK448" s="105"/>
      <c r="FL448" s="139"/>
      <c r="FM448" s="105"/>
      <c r="FN448" s="105"/>
      <c r="FO448" s="105"/>
      <c r="FP448" s="105"/>
      <c r="FQ448" s="139"/>
      <c r="FR448" s="105"/>
      <c r="FS448" s="105"/>
      <c r="FT448" s="105"/>
      <c r="FU448" s="105"/>
      <c r="FV448" s="139"/>
      <c r="FW448" s="105"/>
      <c r="FX448" s="105"/>
      <c r="FY448" s="105"/>
      <c r="FZ448" s="105"/>
      <c r="GA448" s="139"/>
      <c r="GB448" s="105"/>
      <c r="GC448" s="105"/>
      <c r="GD448" s="105"/>
      <c r="GE448" s="105"/>
    </row>
    <row r="450" spans="3:187" ht="12.75" customHeight="1">
      <c r="C450" s="139"/>
      <c r="D450" s="105"/>
      <c r="E450" s="105"/>
      <c r="F450" s="105"/>
      <c r="G450" s="105"/>
      <c r="H450" s="139"/>
      <c r="I450" s="105"/>
      <c r="J450" s="105"/>
      <c r="K450" s="105"/>
      <c r="L450" s="105"/>
      <c r="M450" s="139"/>
      <c r="N450" s="105"/>
      <c r="O450" s="105"/>
      <c r="P450" s="105"/>
      <c r="Q450" s="105"/>
      <c r="R450" s="139"/>
      <c r="S450" s="105"/>
      <c r="T450" s="105"/>
      <c r="U450" s="105"/>
      <c r="V450" s="105"/>
      <c r="W450" s="139"/>
      <c r="X450" s="105"/>
      <c r="Y450" s="105"/>
      <c r="Z450" s="105"/>
      <c r="AA450" s="105"/>
      <c r="AB450" s="139"/>
      <c r="AC450" s="105"/>
      <c r="AD450" s="105"/>
      <c r="AE450" s="105"/>
      <c r="AF450" s="105"/>
      <c r="AG450" s="139"/>
      <c r="AH450" s="105"/>
      <c r="AI450" s="105"/>
      <c r="AJ450" s="105"/>
      <c r="AK450" s="105"/>
      <c r="AL450" s="139"/>
      <c r="AM450" s="105"/>
      <c r="AN450" s="105"/>
      <c r="AO450" s="105"/>
      <c r="AP450" s="105"/>
      <c r="AQ450" s="139"/>
      <c r="AR450" s="105"/>
      <c r="AS450" s="105"/>
      <c r="AT450" s="105"/>
      <c r="AU450" s="105"/>
      <c r="AV450" s="139"/>
      <c r="AW450" s="105"/>
      <c r="AX450" s="105"/>
      <c r="AY450" s="105"/>
      <c r="AZ450" s="105"/>
      <c r="BA450" s="139"/>
      <c r="BB450" s="105"/>
      <c r="BC450" s="105"/>
      <c r="BD450" s="105"/>
      <c r="BE450" s="105"/>
      <c r="BF450" s="139"/>
      <c r="BG450" s="105"/>
      <c r="BH450" s="105"/>
      <c r="BI450" s="105"/>
      <c r="BJ450" s="105"/>
      <c r="BK450" s="139"/>
      <c r="BL450" s="105"/>
      <c r="BM450" s="105"/>
      <c r="BN450" s="105"/>
      <c r="BO450" s="105"/>
      <c r="BP450" s="139"/>
      <c r="BQ450" s="105"/>
      <c r="BR450" s="105"/>
      <c r="BS450" s="105"/>
      <c r="BT450" s="105"/>
      <c r="BU450" s="139"/>
      <c r="BV450" s="105"/>
      <c r="BW450" s="105"/>
      <c r="BX450" s="105"/>
      <c r="BY450" s="105"/>
      <c r="BZ450" s="139"/>
      <c r="CA450" s="105"/>
      <c r="CB450" s="105"/>
      <c r="CC450" s="105"/>
      <c r="CD450" s="105"/>
      <c r="CE450" s="139"/>
      <c r="CF450" s="105"/>
      <c r="CG450" s="105"/>
      <c r="CH450" s="105"/>
      <c r="CI450" s="105"/>
      <c r="CJ450" s="139"/>
      <c r="CK450" s="105"/>
      <c r="CL450" s="105"/>
      <c r="CM450" s="105"/>
      <c r="CN450" s="105"/>
      <c r="CO450" s="139"/>
      <c r="CP450" s="105"/>
      <c r="CQ450" s="105"/>
      <c r="CR450" s="105"/>
      <c r="CS450" s="105"/>
      <c r="CT450" s="139"/>
      <c r="CU450" s="105"/>
      <c r="CV450" s="105"/>
      <c r="CW450" s="105"/>
      <c r="CX450" s="105"/>
      <c r="CY450" s="139"/>
      <c r="CZ450" s="105"/>
      <c r="DA450" s="105"/>
      <c r="DB450" s="105"/>
      <c r="DC450" s="105"/>
      <c r="DD450" s="139"/>
      <c r="DE450" s="105"/>
      <c r="DF450" s="105"/>
      <c r="DG450" s="105"/>
      <c r="DH450" s="105"/>
      <c r="DI450" s="139"/>
      <c r="DJ450" s="105"/>
      <c r="DK450" s="105"/>
      <c r="DL450" s="105"/>
      <c r="DM450" s="105"/>
      <c r="DN450" s="139"/>
      <c r="DO450" s="105"/>
      <c r="DP450" s="105"/>
      <c r="DQ450" s="105"/>
      <c r="DR450" s="105"/>
      <c r="DS450" s="139"/>
      <c r="DT450" s="105"/>
      <c r="DU450" s="105"/>
      <c r="DV450" s="105"/>
      <c r="DW450" s="105"/>
      <c r="DX450" s="139"/>
      <c r="DY450" s="105"/>
      <c r="DZ450" s="105"/>
      <c r="EA450" s="105"/>
      <c r="EB450" s="105"/>
      <c r="EC450" s="139"/>
      <c r="ED450" s="105"/>
      <c r="EE450" s="105"/>
      <c r="EF450" s="105"/>
      <c r="EG450" s="105"/>
      <c r="EH450" s="139"/>
      <c r="EI450" s="105"/>
      <c r="EJ450" s="105"/>
      <c r="EK450" s="105"/>
      <c r="EL450" s="105"/>
      <c r="EM450" s="139"/>
      <c r="EN450" s="105"/>
      <c r="EO450" s="105"/>
      <c r="EP450" s="105"/>
      <c r="EQ450" s="105"/>
      <c r="ER450" s="139"/>
      <c r="ES450" s="105"/>
      <c r="ET450" s="105"/>
      <c r="EU450" s="105"/>
      <c r="EV450" s="105"/>
      <c r="EW450" s="139"/>
      <c r="EX450" s="105"/>
      <c r="EY450" s="105"/>
      <c r="EZ450" s="105"/>
      <c r="FA450" s="105"/>
      <c r="FB450" s="139"/>
      <c r="FC450" s="105"/>
      <c r="FD450" s="105"/>
      <c r="FE450" s="105"/>
      <c r="FF450" s="105"/>
      <c r="FG450" s="139"/>
      <c r="FH450" s="105"/>
      <c r="FI450" s="105"/>
      <c r="FJ450" s="105"/>
      <c r="FK450" s="105"/>
      <c r="FL450" s="139"/>
      <c r="FM450" s="105"/>
      <c r="FN450" s="105"/>
      <c r="FO450" s="105"/>
      <c r="FP450" s="105"/>
      <c r="FQ450" s="139"/>
      <c r="FR450" s="105"/>
      <c r="FS450" s="105"/>
      <c r="FT450" s="105"/>
      <c r="FU450" s="105"/>
      <c r="FV450" s="139"/>
      <c r="FW450" s="105"/>
      <c r="FX450" s="105"/>
      <c r="FY450" s="105"/>
      <c r="FZ450" s="105"/>
      <c r="GA450" s="139"/>
      <c r="GB450" s="105"/>
      <c r="GC450" s="105"/>
      <c r="GD450" s="105"/>
      <c r="GE450" s="105"/>
    </row>
    <row r="451" spans="3:187" ht="12.75" customHeight="1">
      <c r="C451" s="139"/>
      <c r="D451" s="105"/>
      <c r="E451" s="105"/>
      <c r="F451" s="105"/>
      <c r="G451" s="105"/>
      <c r="H451" s="139"/>
      <c r="I451" s="105"/>
      <c r="J451" s="105"/>
      <c r="K451" s="105"/>
      <c r="L451" s="105"/>
      <c r="M451" s="139"/>
      <c r="N451" s="105"/>
      <c r="O451" s="105"/>
      <c r="P451" s="105"/>
      <c r="Q451" s="105"/>
      <c r="R451" s="139"/>
      <c r="S451" s="105"/>
      <c r="T451" s="105"/>
      <c r="U451" s="105"/>
      <c r="V451" s="105"/>
      <c r="W451" s="139"/>
      <c r="X451" s="105"/>
      <c r="Y451" s="105"/>
      <c r="Z451" s="105"/>
      <c r="AA451" s="105"/>
      <c r="AB451" s="139"/>
      <c r="AC451" s="105"/>
      <c r="AD451" s="105"/>
      <c r="AE451" s="105"/>
      <c r="AF451" s="105"/>
      <c r="AG451" s="139"/>
      <c r="AH451" s="105"/>
      <c r="AI451" s="105"/>
      <c r="AJ451" s="105"/>
      <c r="AK451" s="105"/>
      <c r="AL451" s="139"/>
      <c r="AM451" s="105"/>
      <c r="AN451" s="105"/>
      <c r="AO451" s="105"/>
      <c r="AP451" s="105"/>
      <c r="AQ451" s="139"/>
      <c r="AR451" s="105"/>
      <c r="AS451" s="105"/>
      <c r="AT451" s="105"/>
      <c r="AU451" s="105"/>
      <c r="AV451" s="139"/>
      <c r="AW451" s="105"/>
      <c r="AX451" s="105"/>
      <c r="AY451" s="105"/>
      <c r="AZ451" s="105"/>
      <c r="BA451" s="139"/>
      <c r="BB451" s="105"/>
      <c r="BC451" s="105"/>
      <c r="BD451" s="105"/>
      <c r="BE451" s="105"/>
      <c r="BF451" s="139"/>
      <c r="BG451" s="105"/>
      <c r="BH451" s="105"/>
      <c r="BI451" s="105"/>
      <c r="BJ451" s="105"/>
      <c r="BK451" s="139"/>
      <c r="BL451" s="105"/>
      <c r="BM451" s="105"/>
      <c r="BN451" s="105"/>
      <c r="BO451" s="105"/>
      <c r="BP451" s="139"/>
      <c r="BQ451" s="105"/>
      <c r="BR451" s="105"/>
      <c r="BS451" s="105"/>
      <c r="BT451" s="105"/>
      <c r="BU451" s="139"/>
      <c r="BV451" s="105"/>
      <c r="BW451" s="105"/>
      <c r="BX451" s="105"/>
      <c r="BY451" s="105"/>
      <c r="BZ451" s="139"/>
      <c r="CA451" s="105"/>
      <c r="CB451" s="105"/>
      <c r="CC451" s="105"/>
      <c r="CD451" s="105"/>
      <c r="CE451" s="139"/>
      <c r="CF451" s="105"/>
      <c r="CG451" s="105"/>
      <c r="CH451" s="105"/>
      <c r="CI451" s="105"/>
      <c r="CJ451" s="139"/>
      <c r="CK451" s="105"/>
      <c r="CL451" s="105"/>
      <c r="CM451" s="105"/>
      <c r="CN451" s="105"/>
      <c r="CO451" s="139"/>
      <c r="CP451" s="105"/>
      <c r="CQ451" s="105"/>
      <c r="CR451" s="105"/>
      <c r="CS451" s="105"/>
      <c r="CT451" s="139"/>
      <c r="CU451" s="105"/>
      <c r="CV451" s="105"/>
      <c r="CW451" s="105"/>
      <c r="CX451" s="105"/>
      <c r="CY451" s="139"/>
      <c r="CZ451" s="105"/>
      <c r="DA451" s="105"/>
      <c r="DB451" s="105"/>
      <c r="DC451" s="105"/>
      <c r="DD451" s="139"/>
      <c r="DE451" s="105"/>
      <c r="DF451" s="105"/>
      <c r="DG451" s="105"/>
      <c r="DH451" s="105"/>
      <c r="DI451" s="139"/>
      <c r="DJ451" s="105"/>
      <c r="DK451" s="105"/>
      <c r="DL451" s="105"/>
      <c r="DM451" s="105"/>
      <c r="DN451" s="139"/>
      <c r="DO451" s="105"/>
      <c r="DP451" s="105"/>
      <c r="DQ451" s="105"/>
      <c r="DR451" s="105"/>
      <c r="DS451" s="139"/>
      <c r="DT451" s="105"/>
      <c r="DU451" s="105"/>
      <c r="DV451" s="105"/>
      <c r="DW451" s="105"/>
      <c r="DX451" s="139"/>
      <c r="DY451" s="105"/>
      <c r="DZ451" s="105"/>
      <c r="EA451" s="105"/>
      <c r="EB451" s="105"/>
      <c r="EC451" s="139"/>
      <c r="ED451" s="105"/>
      <c r="EE451" s="105"/>
      <c r="EF451" s="105"/>
      <c r="EG451" s="105"/>
      <c r="EH451" s="139"/>
      <c r="EI451" s="105"/>
      <c r="EJ451" s="105"/>
      <c r="EK451" s="105"/>
      <c r="EL451" s="105"/>
      <c r="EM451" s="139"/>
      <c r="EN451" s="105"/>
      <c r="EO451" s="105"/>
      <c r="EP451" s="105"/>
      <c r="EQ451" s="105"/>
      <c r="ER451" s="139"/>
      <c r="ES451" s="105"/>
      <c r="ET451" s="105"/>
      <c r="EU451" s="105"/>
      <c r="EV451" s="105"/>
      <c r="EW451" s="139"/>
      <c r="EX451" s="105"/>
      <c r="EY451" s="105"/>
      <c r="EZ451" s="105"/>
      <c r="FA451" s="105"/>
      <c r="FB451" s="139"/>
      <c r="FC451" s="105"/>
      <c r="FD451" s="105"/>
      <c r="FE451" s="105"/>
      <c r="FF451" s="105"/>
      <c r="FG451" s="139"/>
      <c r="FH451" s="105"/>
      <c r="FI451" s="105"/>
      <c r="FJ451" s="105"/>
      <c r="FK451" s="105"/>
      <c r="FL451" s="139"/>
      <c r="FM451" s="105"/>
      <c r="FN451" s="105"/>
      <c r="FO451" s="105"/>
      <c r="FP451" s="105"/>
      <c r="FQ451" s="139"/>
      <c r="FR451" s="105"/>
      <c r="FS451" s="105"/>
      <c r="FT451" s="105"/>
      <c r="FU451" s="105"/>
      <c r="FV451" s="139"/>
      <c r="FW451" s="105"/>
      <c r="FX451" s="105"/>
      <c r="FY451" s="105"/>
      <c r="FZ451" s="105"/>
      <c r="GA451" s="139"/>
      <c r="GB451" s="105"/>
      <c r="GC451" s="105"/>
      <c r="GD451" s="105"/>
      <c r="GE451" s="105"/>
    </row>
    <row r="452" spans="3:187" ht="12.75" customHeight="1">
      <c r="C452" s="139"/>
      <c r="D452" s="105"/>
      <c r="E452" s="105"/>
      <c r="F452" s="105"/>
      <c r="G452" s="105"/>
      <c r="H452" s="139"/>
      <c r="I452" s="105"/>
      <c r="J452" s="105"/>
      <c r="K452" s="105"/>
      <c r="L452" s="105"/>
      <c r="M452" s="139"/>
      <c r="N452" s="105"/>
      <c r="O452" s="105"/>
      <c r="P452" s="105"/>
      <c r="Q452" s="105"/>
      <c r="R452" s="139"/>
      <c r="S452" s="105"/>
      <c r="T452" s="105"/>
      <c r="U452" s="105"/>
      <c r="V452" s="105"/>
      <c r="W452" s="139"/>
      <c r="X452" s="105"/>
      <c r="Y452" s="105"/>
      <c r="Z452" s="105"/>
      <c r="AA452" s="105"/>
      <c r="AB452" s="139"/>
      <c r="AC452" s="105"/>
      <c r="AD452" s="105"/>
      <c r="AE452" s="105"/>
      <c r="AF452" s="105"/>
      <c r="AG452" s="139"/>
      <c r="AH452" s="105"/>
      <c r="AI452" s="105"/>
      <c r="AJ452" s="105"/>
      <c r="AK452" s="105"/>
      <c r="AL452" s="139"/>
      <c r="AM452" s="105"/>
      <c r="AN452" s="105"/>
      <c r="AO452" s="105"/>
      <c r="AP452" s="105"/>
      <c r="AQ452" s="139"/>
      <c r="AR452" s="105"/>
      <c r="AS452" s="105"/>
      <c r="AT452" s="105"/>
      <c r="AU452" s="105"/>
      <c r="AV452" s="139"/>
      <c r="AW452" s="105"/>
      <c r="AX452" s="105"/>
      <c r="AY452" s="105"/>
      <c r="AZ452" s="105"/>
      <c r="BA452" s="139"/>
      <c r="BB452" s="105"/>
      <c r="BC452" s="105"/>
      <c r="BD452" s="105"/>
      <c r="BE452" s="105"/>
      <c r="BF452" s="139"/>
      <c r="BG452" s="105"/>
      <c r="BH452" s="105"/>
      <c r="BI452" s="105"/>
      <c r="BJ452" s="105"/>
      <c r="BK452" s="139"/>
      <c r="BL452" s="105"/>
      <c r="BM452" s="105"/>
      <c r="BN452" s="105"/>
      <c r="BO452" s="105"/>
      <c r="BP452" s="139"/>
      <c r="BQ452" s="105"/>
      <c r="BR452" s="105"/>
      <c r="BS452" s="105"/>
      <c r="BT452" s="105"/>
      <c r="BU452" s="139"/>
      <c r="BV452" s="105"/>
      <c r="BW452" s="105"/>
      <c r="BX452" s="105"/>
      <c r="BY452" s="105"/>
      <c r="BZ452" s="139"/>
      <c r="CA452" s="105"/>
      <c r="CB452" s="105"/>
      <c r="CC452" s="105"/>
      <c r="CD452" s="105"/>
      <c r="CE452" s="139"/>
      <c r="CF452" s="105"/>
      <c r="CG452" s="105"/>
      <c r="CH452" s="105"/>
      <c r="CI452" s="105"/>
      <c r="CJ452" s="139"/>
      <c r="CK452" s="105"/>
      <c r="CL452" s="105"/>
      <c r="CM452" s="105"/>
      <c r="CN452" s="105"/>
      <c r="CO452" s="139"/>
      <c r="CP452" s="105"/>
      <c r="CQ452" s="105"/>
      <c r="CR452" s="105"/>
      <c r="CS452" s="105"/>
      <c r="CT452" s="139"/>
      <c r="CU452" s="105"/>
      <c r="CV452" s="105"/>
      <c r="CW452" s="105"/>
      <c r="CX452" s="105"/>
      <c r="CY452" s="139"/>
      <c r="CZ452" s="105"/>
      <c r="DA452" s="105"/>
      <c r="DB452" s="105"/>
      <c r="DC452" s="105"/>
      <c r="DD452" s="139"/>
      <c r="DE452" s="105"/>
      <c r="DF452" s="105"/>
      <c r="DG452" s="105"/>
      <c r="DH452" s="105"/>
      <c r="DI452" s="139"/>
      <c r="DJ452" s="105"/>
      <c r="DK452" s="105"/>
      <c r="DL452" s="105"/>
      <c r="DM452" s="105"/>
      <c r="DN452" s="139"/>
      <c r="DO452" s="105"/>
      <c r="DP452" s="105"/>
      <c r="DQ452" s="105"/>
      <c r="DR452" s="105"/>
      <c r="DS452" s="139"/>
      <c r="DT452" s="105"/>
      <c r="DU452" s="105"/>
      <c r="DV452" s="105"/>
      <c r="DW452" s="105"/>
      <c r="DX452" s="139"/>
      <c r="DY452" s="105"/>
      <c r="DZ452" s="105"/>
      <c r="EA452" s="105"/>
      <c r="EB452" s="105"/>
      <c r="EC452" s="139"/>
      <c r="ED452" s="105"/>
      <c r="EE452" s="105"/>
      <c r="EF452" s="105"/>
      <c r="EG452" s="105"/>
      <c r="EH452" s="139"/>
      <c r="EI452" s="105"/>
      <c r="EJ452" s="105"/>
      <c r="EK452" s="105"/>
      <c r="EL452" s="105"/>
      <c r="EM452" s="139"/>
      <c r="EN452" s="105"/>
      <c r="EO452" s="105"/>
      <c r="EP452" s="105"/>
      <c r="EQ452" s="105"/>
      <c r="ER452" s="139"/>
      <c r="ES452" s="105"/>
      <c r="ET452" s="105"/>
      <c r="EU452" s="105"/>
      <c r="EV452" s="105"/>
      <c r="EW452" s="139"/>
      <c r="EX452" s="105"/>
      <c r="EY452" s="105"/>
      <c r="EZ452" s="105"/>
      <c r="FA452" s="105"/>
      <c r="FB452" s="139"/>
      <c r="FC452" s="105"/>
      <c r="FD452" s="105"/>
      <c r="FE452" s="105"/>
      <c r="FF452" s="105"/>
      <c r="FG452" s="139"/>
      <c r="FH452" s="105"/>
      <c r="FI452" s="105"/>
      <c r="FJ452" s="105"/>
      <c r="FK452" s="105"/>
      <c r="FL452" s="139"/>
      <c r="FM452" s="105"/>
      <c r="FN452" s="105"/>
      <c r="FO452" s="105"/>
      <c r="FP452" s="105"/>
      <c r="FQ452" s="139"/>
      <c r="FR452" s="105"/>
      <c r="FS452" s="105"/>
      <c r="FT452" s="105"/>
      <c r="FU452" s="105"/>
      <c r="FV452" s="139"/>
      <c r="FW452" s="105"/>
      <c r="FX452" s="105"/>
      <c r="FY452" s="105"/>
      <c r="FZ452" s="105"/>
      <c r="GA452" s="139"/>
      <c r="GB452" s="105"/>
      <c r="GC452" s="105"/>
      <c r="GD452" s="105"/>
      <c r="GE452" s="105"/>
    </row>
    <row r="456" spans="3:187" ht="12.75" customHeight="1">
      <c r="C456" s="139"/>
      <c r="D456" s="105"/>
      <c r="E456" s="105"/>
      <c r="F456" s="105"/>
      <c r="G456" s="105"/>
      <c r="H456" s="139"/>
      <c r="I456" s="105"/>
      <c r="J456" s="105"/>
      <c r="K456" s="105"/>
      <c r="L456" s="105"/>
      <c r="M456" s="139"/>
      <c r="N456" s="105"/>
      <c r="O456" s="105"/>
      <c r="P456" s="105"/>
      <c r="Q456" s="105"/>
      <c r="R456" s="139"/>
      <c r="S456" s="105"/>
      <c r="T456" s="105"/>
      <c r="U456" s="105"/>
      <c r="V456" s="105"/>
      <c r="W456" s="139"/>
      <c r="X456" s="105"/>
      <c r="Y456" s="105"/>
      <c r="Z456" s="105"/>
      <c r="AA456" s="105"/>
      <c r="AB456" s="139"/>
      <c r="AC456" s="105"/>
      <c r="AD456" s="105"/>
      <c r="AE456" s="105"/>
      <c r="AF456" s="105"/>
      <c r="AG456" s="139"/>
      <c r="AH456" s="105"/>
      <c r="AI456" s="105"/>
      <c r="AJ456" s="105"/>
      <c r="AK456" s="105"/>
      <c r="AL456" s="139"/>
      <c r="AM456" s="105"/>
      <c r="AN456" s="105"/>
      <c r="AO456" s="105"/>
      <c r="AP456" s="105"/>
      <c r="AQ456" s="139"/>
      <c r="AR456" s="105"/>
      <c r="AS456" s="105"/>
      <c r="AT456" s="105"/>
      <c r="AU456" s="105"/>
      <c r="AV456" s="139"/>
      <c r="AW456" s="105"/>
      <c r="AX456" s="105"/>
      <c r="AY456" s="105"/>
      <c r="AZ456" s="105"/>
      <c r="BA456" s="139"/>
      <c r="BB456" s="105"/>
      <c r="BC456" s="105"/>
      <c r="BD456" s="105"/>
      <c r="BE456" s="105"/>
      <c r="BF456" s="139"/>
      <c r="BG456" s="105"/>
      <c r="BH456" s="105"/>
      <c r="BI456" s="105"/>
      <c r="BJ456" s="105"/>
      <c r="BK456" s="139"/>
      <c r="BL456" s="105"/>
      <c r="BM456" s="105"/>
      <c r="BN456" s="105"/>
      <c r="BO456" s="105"/>
      <c r="BP456" s="139"/>
      <c r="BQ456" s="105"/>
      <c r="BR456" s="105"/>
      <c r="BS456" s="105"/>
      <c r="BT456" s="105"/>
      <c r="BU456" s="139"/>
      <c r="BV456" s="105"/>
      <c r="BW456" s="105"/>
      <c r="BX456" s="105"/>
      <c r="BY456" s="105"/>
      <c r="BZ456" s="139"/>
      <c r="CA456" s="105"/>
      <c r="CB456" s="105"/>
      <c r="CC456" s="105"/>
      <c r="CD456" s="105"/>
      <c r="CE456" s="139"/>
      <c r="CF456" s="105"/>
      <c r="CG456" s="105"/>
      <c r="CH456" s="105"/>
      <c r="CI456" s="105"/>
      <c r="CJ456" s="139"/>
      <c r="CK456" s="105"/>
      <c r="CL456" s="105"/>
      <c r="CM456" s="105"/>
      <c r="CN456" s="105"/>
      <c r="CO456" s="139"/>
      <c r="CP456" s="105"/>
      <c r="CQ456" s="105"/>
      <c r="CR456" s="105"/>
      <c r="CS456" s="105"/>
      <c r="CT456" s="139"/>
      <c r="CU456" s="105"/>
      <c r="CV456" s="105"/>
      <c r="CW456" s="105"/>
      <c r="CX456" s="105"/>
      <c r="CY456" s="139"/>
      <c r="CZ456" s="105"/>
      <c r="DA456" s="105"/>
      <c r="DB456" s="105"/>
      <c r="DC456" s="105"/>
      <c r="DD456" s="139"/>
      <c r="DE456" s="105"/>
      <c r="DF456" s="105"/>
      <c r="DG456" s="105"/>
      <c r="DH456" s="105"/>
      <c r="DI456" s="139"/>
      <c r="DJ456" s="105"/>
      <c r="DK456" s="105"/>
      <c r="DL456" s="105"/>
      <c r="DM456" s="105"/>
      <c r="DN456" s="139"/>
      <c r="DO456" s="105"/>
      <c r="DP456" s="105"/>
      <c r="DQ456" s="105"/>
      <c r="DR456" s="105"/>
      <c r="DS456" s="139"/>
      <c r="DT456" s="105"/>
      <c r="DU456" s="105"/>
      <c r="DV456" s="105"/>
      <c r="DW456" s="105"/>
      <c r="DX456" s="139"/>
      <c r="DY456" s="105"/>
      <c r="DZ456" s="105"/>
      <c r="EA456" s="105"/>
      <c r="EB456" s="105"/>
      <c r="EC456" s="139"/>
      <c r="ED456" s="105"/>
      <c r="EE456" s="105"/>
      <c r="EF456" s="105"/>
      <c r="EG456" s="105"/>
      <c r="EH456" s="139"/>
      <c r="EI456" s="105"/>
      <c r="EJ456" s="105"/>
      <c r="EK456" s="105"/>
      <c r="EL456" s="105"/>
      <c r="EM456" s="139"/>
      <c r="EN456" s="105"/>
      <c r="EO456" s="105"/>
      <c r="EP456" s="105"/>
      <c r="EQ456" s="105"/>
      <c r="ER456" s="139"/>
      <c r="ES456" s="105"/>
      <c r="ET456" s="105"/>
      <c r="EU456" s="105"/>
      <c r="EV456" s="105"/>
      <c r="EW456" s="139"/>
      <c r="EX456" s="105"/>
      <c r="EY456" s="105"/>
      <c r="EZ456" s="105"/>
      <c r="FA456" s="105"/>
      <c r="FB456" s="139"/>
      <c r="FC456" s="105"/>
      <c r="FD456" s="105"/>
      <c r="FE456" s="105"/>
      <c r="FF456" s="105"/>
      <c r="FG456" s="139"/>
      <c r="FH456" s="105"/>
      <c r="FI456" s="105"/>
      <c r="FJ456" s="105"/>
      <c r="FK456" s="105"/>
      <c r="FL456" s="139"/>
      <c r="FM456" s="105"/>
      <c r="FN456" s="105"/>
      <c r="FO456" s="105"/>
      <c r="FP456" s="105"/>
      <c r="FQ456" s="139"/>
      <c r="FR456" s="105"/>
      <c r="FS456" s="105"/>
      <c r="FT456" s="105"/>
      <c r="FU456" s="105"/>
      <c r="FV456" s="139"/>
      <c r="FW456" s="105"/>
      <c r="FX456" s="105"/>
      <c r="FY456" s="105"/>
      <c r="FZ456" s="105"/>
      <c r="GA456" s="139"/>
      <c r="GB456" s="105"/>
      <c r="GC456" s="105"/>
      <c r="GD456" s="105"/>
      <c r="GE456" s="105"/>
    </row>
    <row r="457" spans="3:187" ht="12.75" customHeight="1">
      <c r="C457" s="139"/>
      <c r="D457" s="105"/>
      <c r="E457" s="105"/>
      <c r="F457" s="105"/>
      <c r="G457" s="105"/>
      <c r="H457" s="139"/>
      <c r="I457" s="105"/>
      <c r="J457" s="105"/>
      <c r="K457" s="105"/>
      <c r="L457" s="105"/>
      <c r="M457" s="139"/>
      <c r="N457" s="105"/>
      <c r="O457" s="105"/>
      <c r="P457" s="105"/>
      <c r="Q457" s="105"/>
      <c r="R457" s="139"/>
      <c r="S457" s="105"/>
      <c r="T457" s="105"/>
      <c r="U457" s="105"/>
      <c r="V457" s="105"/>
      <c r="W457" s="139"/>
      <c r="X457" s="105"/>
      <c r="Y457" s="105"/>
      <c r="Z457" s="105"/>
      <c r="AA457" s="105"/>
      <c r="AB457" s="139"/>
      <c r="AC457" s="105"/>
      <c r="AD457" s="105"/>
      <c r="AE457" s="105"/>
      <c r="AF457" s="105"/>
      <c r="AG457" s="139"/>
      <c r="AH457" s="105"/>
      <c r="AI457" s="105"/>
      <c r="AJ457" s="105"/>
      <c r="AK457" s="105"/>
      <c r="AL457" s="139"/>
      <c r="AM457" s="105"/>
      <c r="AN457" s="105"/>
      <c r="AO457" s="105"/>
      <c r="AP457" s="105"/>
      <c r="AQ457" s="139"/>
      <c r="AR457" s="105"/>
      <c r="AS457" s="105"/>
      <c r="AT457" s="105"/>
      <c r="AU457" s="105"/>
      <c r="AV457" s="139"/>
      <c r="AW457" s="105"/>
      <c r="AX457" s="105"/>
      <c r="AY457" s="105"/>
      <c r="AZ457" s="105"/>
      <c r="BA457" s="139"/>
      <c r="BB457" s="105"/>
      <c r="BC457" s="105"/>
      <c r="BD457" s="105"/>
      <c r="BE457" s="105"/>
      <c r="BF457" s="139"/>
      <c r="BG457" s="105"/>
      <c r="BH457" s="105"/>
      <c r="BI457" s="105"/>
      <c r="BJ457" s="105"/>
      <c r="BK457" s="139"/>
      <c r="BL457" s="105"/>
      <c r="BM457" s="105"/>
      <c r="BN457" s="105"/>
      <c r="BO457" s="105"/>
      <c r="BP457" s="139"/>
      <c r="BQ457" s="105"/>
      <c r="BR457" s="105"/>
      <c r="BS457" s="105"/>
      <c r="BT457" s="105"/>
      <c r="BU457" s="139"/>
      <c r="BV457" s="105"/>
      <c r="BW457" s="105"/>
      <c r="BX457" s="105"/>
      <c r="BY457" s="105"/>
      <c r="BZ457" s="139"/>
      <c r="CA457" s="105"/>
      <c r="CB457" s="105"/>
      <c r="CC457" s="105"/>
      <c r="CD457" s="105"/>
      <c r="CE457" s="139"/>
      <c r="CF457" s="105"/>
      <c r="CG457" s="105"/>
      <c r="CH457" s="105"/>
      <c r="CI457" s="105"/>
      <c r="CJ457" s="139"/>
      <c r="CK457" s="105"/>
      <c r="CL457" s="105"/>
      <c r="CM457" s="105"/>
      <c r="CN457" s="105"/>
      <c r="CO457" s="139"/>
      <c r="CP457" s="105"/>
      <c r="CQ457" s="105"/>
      <c r="CR457" s="105"/>
      <c r="CS457" s="105"/>
      <c r="CT457" s="139"/>
      <c r="CU457" s="105"/>
      <c r="CV457" s="105"/>
      <c r="CW457" s="105"/>
      <c r="CX457" s="105"/>
      <c r="CY457" s="139"/>
      <c r="CZ457" s="105"/>
      <c r="DA457" s="105"/>
      <c r="DB457" s="105"/>
      <c r="DC457" s="105"/>
      <c r="DD457" s="139"/>
      <c r="DE457" s="105"/>
      <c r="DF457" s="105"/>
      <c r="DG457" s="105"/>
      <c r="DH457" s="105"/>
      <c r="DI457" s="139"/>
      <c r="DJ457" s="105"/>
      <c r="DK457" s="105"/>
      <c r="DL457" s="105"/>
      <c r="DM457" s="105"/>
      <c r="DN457" s="139"/>
      <c r="DO457" s="105"/>
      <c r="DP457" s="105"/>
      <c r="DQ457" s="105"/>
      <c r="DR457" s="105"/>
      <c r="DS457" s="139"/>
      <c r="DT457" s="105"/>
      <c r="DU457" s="105"/>
      <c r="DV457" s="105"/>
      <c r="DW457" s="105"/>
      <c r="DX457" s="139"/>
      <c r="DY457" s="105"/>
      <c r="DZ457" s="105"/>
      <c r="EA457" s="105"/>
      <c r="EB457" s="105"/>
      <c r="EC457" s="139"/>
      <c r="ED457" s="105"/>
      <c r="EE457" s="105"/>
      <c r="EF457" s="105"/>
      <c r="EG457" s="105"/>
      <c r="EH457" s="139"/>
      <c r="EI457" s="105"/>
      <c r="EJ457" s="105"/>
      <c r="EK457" s="105"/>
      <c r="EL457" s="105"/>
      <c r="EM457" s="139"/>
      <c r="EN457" s="105"/>
      <c r="EO457" s="105"/>
      <c r="EP457" s="105"/>
      <c r="EQ457" s="105"/>
      <c r="ER457" s="139"/>
      <c r="ES457" s="105"/>
      <c r="ET457" s="105"/>
      <c r="EU457" s="105"/>
      <c r="EV457" s="105"/>
      <c r="EW457" s="139"/>
      <c r="EX457" s="105"/>
      <c r="EY457" s="105"/>
      <c r="EZ457" s="105"/>
      <c r="FA457" s="105"/>
      <c r="FB457" s="139"/>
      <c r="FC457" s="105"/>
      <c r="FD457" s="105"/>
      <c r="FE457" s="105"/>
      <c r="FF457" s="105"/>
      <c r="FG457" s="139"/>
      <c r="FH457" s="105"/>
      <c r="FI457" s="105"/>
      <c r="FJ457" s="105"/>
      <c r="FK457" s="105"/>
      <c r="FL457" s="139"/>
      <c r="FM457" s="105"/>
      <c r="FN457" s="105"/>
      <c r="FO457" s="105"/>
      <c r="FP457" s="105"/>
      <c r="FQ457" s="139"/>
      <c r="FR457" s="105"/>
      <c r="FS457" s="105"/>
      <c r="FT457" s="105"/>
      <c r="FU457" s="105"/>
      <c r="FV457" s="139"/>
      <c r="FW457" s="105"/>
      <c r="FX457" s="105"/>
      <c r="FY457" s="105"/>
      <c r="FZ457" s="105"/>
      <c r="GA457" s="139"/>
      <c r="GB457" s="105"/>
      <c r="GC457" s="105"/>
      <c r="GD457" s="105"/>
      <c r="GE457" s="105"/>
    </row>
    <row r="458" spans="3:187" ht="12.75" customHeight="1">
      <c r="C458" s="139"/>
      <c r="D458" s="105"/>
      <c r="E458" s="105"/>
      <c r="F458" s="105"/>
      <c r="G458" s="105"/>
      <c r="H458" s="139"/>
      <c r="I458" s="105"/>
      <c r="J458" s="105"/>
      <c r="K458" s="105"/>
      <c r="L458" s="105"/>
      <c r="M458" s="139"/>
      <c r="N458" s="105"/>
      <c r="O458" s="105"/>
      <c r="P458" s="105"/>
      <c r="Q458" s="105"/>
      <c r="R458" s="139"/>
      <c r="S458" s="105"/>
      <c r="T458" s="105"/>
      <c r="U458" s="105"/>
      <c r="V458" s="105"/>
      <c r="W458" s="139"/>
      <c r="X458" s="105"/>
      <c r="Y458" s="105"/>
      <c r="Z458" s="105"/>
      <c r="AA458" s="105"/>
      <c r="AB458" s="139"/>
      <c r="AC458" s="105"/>
      <c r="AD458" s="105"/>
      <c r="AE458" s="105"/>
      <c r="AF458" s="105"/>
      <c r="AG458" s="139"/>
      <c r="AH458" s="105"/>
      <c r="AI458" s="105"/>
      <c r="AJ458" s="105"/>
      <c r="AK458" s="105"/>
      <c r="AL458" s="139"/>
      <c r="AM458" s="105"/>
      <c r="AN458" s="105"/>
      <c r="AO458" s="105"/>
      <c r="AP458" s="105"/>
      <c r="AQ458" s="139"/>
      <c r="AR458" s="105"/>
      <c r="AS458" s="105"/>
      <c r="AT458" s="105"/>
      <c r="AU458" s="105"/>
      <c r="AV458" s="139"/>
      <c r="AW458" s="105"/>
      <c r="AX458" s="105"/>
      <c r="AY458" s="105"/>
      <c r="AZ458" s="105"/>
      <c r="BA458" s="139"/>
      <c r="BB458" s="105"/>
      <c r="BC458" s="105"/>
      <c r="BD458" s="105"/>
      <c r="BE458" s="105"/>
      <c r="BF458" s="139"/>
      <c r="BG458" s="105"/>
      <c r="BH458" s="105"/>
      <c r="BI458" s="105"/>
      <c r="BJ458" s="105"/>
      <c r="BK458" s="139"/>
      <c r="BL458" s="105"/>
      <c r="BM458" s="105"/>
      <c r="BN458" s="105"/>
      <c r="BO458" s="105"/>
      <c r="BP458" s="139"/>
      <c r="BQ458" s="105"/>
      <c r="BR458" s="105"/>
      <c r="BS458" s="105"/>
      <c r="BT458" s="105"/>
      <c r="BU458" s="139"/>
      <c r="BV458" s="105"/>
      <c r="BW458" s="105"/>
      <c r="BX458" s="105"/>
      <c r="BY458" s="105"/>
      <c r="BZ458" s="139"/>
      <c r="CA458" s="105"/>
      <c r="CB458" s="105"/>
      <c r="CC458" s="105"/>
      <c r="CD458" s="105"/>
      <c r="CE458" s="139"/>
      <c r="CF458" s="105"/>
      <c r="CG458" s="105"/>
      <c r="CH458" s="105"/>
      <c r="CI458" s="105"/>
      <c r="CJ458" s="139"/>
      <c r="CK458" s="105"/>
      <c r="CL458" s="105"/>
      <c r="CM458" s="105"/>
      <c r="CN458" s="105"/>
      <c r="CO458" s="139"/>
      <c r="CP458" s="105"/>
      <c r="CQ458" s="105"/>
      <c r="CR458" s="105"/>
      <c r="CS458" s="105"/>
      <c r="CT458" s="139"/>
      <c r="CU458" s="105"/>
      <c r="CV458" s="105"/>
      <c r="CW458" s="105"/>
      <c r="CX458" s="105"/>
      <c r="CY458" s="139"/>
      <c r="CZ458" s="105"/>
      <c r="DA458" s="105"/>
      <c r="DB458" s="105"/>
      <c r="DC458" s="105"/>
      <c r="DD458" s="139"/>
      <c r="DE458" s="105"/>
      <c r="DF458" s="105"/>
      <c r="DG458" s="105"/>
      <c r="DH458" s="105"/>
      <c r="DI458" s="139"/>
      <c r="DJ458" s="105"/>
      <c r="DK458" s="105"/>
      <c r="DL458" s="105"/>
      <c r="DM458" s="105"/>
      <c r="DN458" s="139"/>
      <c r="DO458" s="105"/>
      <c r="DP458" s="105"/>
      <c r="DQ458" s="105"/>
      <c r="DR458" s="105"/>
      <c r="DS458" s="139"/>
      <c r="DT458" s="105"/>
      <c r="DU458" s="105"/>
      <c r="DV458" s="105"/>
      <c r="DW458" s="105"/>
      <c r="DX458" s="139"/>
      <c r="DY458" s="105"/>
      <c r="DZ458" s="105"/>
      <c r="EA458" s="105"/>
      <c r="EB458" s="105"/>
      <c r="EC458" s="139"/>
      <c r="ED458" s="105"/>
      <c r="EE458" s="105"/>
      <c r="EF458" s="105"/>
      <c r="EG458" s="105"/>
      <c r="EH458" s="139"/>
      <c r="EI458" s="105"/>
      <c r="EJ458" s="105"/>
      <c r="EK458" s="105"/>
      <c r="EL458" s="105"/>
      <c r="EM458" s="139"/>
      <c r="EN458" s="105"/>
      <c r="EO458" s="105"/>
      <c r="EP458" s="105"/>
      <c r="EQ458" s="105"/>
      <c r="ER458" s="139"/>
      <c r="ES458" s="105"/>
      <c r="ET458" s="105"/>
      <c r="EU458" s="105"/>
      <c r="EV458" s="105"/>
      <c r="EW458" s="139"/>
      <c r="EX458" s="105"/>
      <c r="EY458" s="105"/>
      <c r="EZ458" s="105"/>
      <c r="FA458" s="105"/>
      <c r="FB458" s="139"/>
      <c r="FC458" s="105"/>
      <c r="FD458" s="105"/>
      <c r="FE458" s="105"/>
      <c r="FF458" s="105"/>
      <c r="FG458" s="139"/>
      <c r="FH458" s="105"/>
      <c r="FI458" s="105"/>
      <c r="FJ458" s="105"/>
      <c r="FK458" s="105"/>
      <c r="FL458" s="139"/>
      <c r="FM458" s="105"/>
      <c r="FN458" s="105"/>
      <c r="FO458" s="105"/>
      <c r="FP458" s="105"/>
      <c r="FQ458" s="139"/>
      <c r="FR458" s="105"/>
      <c r="FS458" s="105"/>
      <c r="FT458" s="105"/>
      <c r="FU458" s="105"/>
      <c r="FV458" s="139"/>
      <c r="FW458" s="105"/>
      <c r="FX458" s="105"/>
      <c r="FY458" s="105"/>
      <c r="FZ458" s="105"/>
      <c r="GA458" s="139"/>
      <c r="GB458" s="105"/>
      <c r="GC458" s="105"/>
      <c r="GD458" s="105"/>
      <c r="GE458" s="105"/>
    </row>
    <row r="459" spans="3:187" ht="12.75" customHeight="1">
      <c r="C459" s="139"/>
      <c r="D459" s="105"/>
      <c r="E459" s="105"/>
      <c r="F459" s="105"/>
      <c r="G459" s="105"/>
      <c r="H459" s="139"/>
      <c r="I459" s="105"/>
      <c r="J459" s="105"/>
      <c r="K459" s="105"/>
      <c r="L459" s="105"/>
      <c r="M459" s="139"/>
      <c r="N459" s="105"/>
      <c r="O459" s="105"/>
      <c r="P459" s="105"/>
      <c r="Q459" s="105"/>
      <c r="R459" s="139"/>
      <c r="S459" s="105"/>
      <c r="T459" s="105"/>
      <c r="U459" s="105"/>
      <c r="V459" s="105"/>
      <c r="W459" s="139"/>
      <c r="X459" s="105"/>
      <c r="Y459" s="105"/>
      <c r="Z459" s="105"/>
      <c r="AA459" s="105"/>
      <c r="AB459" s="139"/>
      <c r="AC459" s="105"/>
      <c r="AD459" s="105"/>
      <c r="AE459" s="105"/>
      <c r="AF459" s="105"/>
      <c r="AG459" s="139"/>
      <c r="AH459" s="105"/>
      <c r="AI459" s="105"/>
      <c r="AJ459" s="105"/>
      <c r="AK459" s="105"/>
      <c r="AL459" s="139"/>
      <c r="AM459" s="105"/>
      <c r="AN459" s="105"/>
      <c r="AO459" s="105"/>
      <c r="AP459" s="105"/>
      <c r="AQ459" s="139"/>
      <c r="AR459" s="105"/>
      <c r="AS459" s="105"/>
      <c r="AT459" s="105"/>
      <c r="AU459" s="105"/>
      <c r="AV459" s="139"/>
      <c r="AW459" s="105"/>
      <c r="AX459" s="105"/>
      <c r="AY459" s="105"/>
      <c r="AZ459" s="105"/>
      <c r="BA459" s="139"/>
      <c r="BB459" s="105"/>
      <c r="BC459" s="105"/>
      <c r="BD459" s="105"/>
      <c r="BE459" s="105"/>
      <c r="BF459" s="139"/>
      <c r="BG459" s="105"/>
      <c r="BH459" s="105"/>
      <c r="BI459" s="105"/>
      <c r="BJ459" s="105"/>
      <c r="BK459" s="139"/>
      <c r="BL459" s="105"/>
      <c r="BM459" s="105"/>
      <c r="BN459" s="105"/>
      <c r="BO459" s="105"/>
      <c r="BP459" s="139"/>
      <c r="BQ459" s="105"/>
      <c r="BR459" s="105"/>
      <c r="BS459" s="105"/>
      <c r="BT459" s="105"/>
      <c r="BU459" s="139"/>
      <c r="BV459" s="105"/>
      <c r="BW459" s="105"/>
      <c r="BX459" s="105"/>
      <c r="BY459" s="105"/>
      <c r="BZ459" s="139"/>
      <c r="CA459" s="105"/>
      <c r="CB459" s="105"/>
      <c r="CC459" s="105"/>
      <c r="CD459" s="105"/>
      <c r="CE459" s="139"/>
      <c r="CF459" s="105"/>
      <c r="CG459" s="105"/>
      <c r="CH459" s="105"/>
      <c r="CI459" s="105"/>
      <c r="CJ459" s="139"/>
      <c r="CK459" s="105"/>
      <c r="CL459" s="105"/>
      <c r="CM459" s="105"/>
      <c r="CN459" s="105"/>
      <c r="CO459" s="139"/>
      <c r="CP459" s="105"/>
      <c r="CQ459" s="105"/>
      <c r="CR459" s="105"/>
      <c r="CS459" s="105"/>
      <c r="CT459" s="139"/>
      <c r="CU459" s="105"/>
      <c r="CV459" s="105"/>
      <c r="CW459" s="105"/>
      <c r="CX459" s="105"/>
      <c r="CY459" s="139"/>
      <c r="CZ459" s="105"/>
      <c r="DA459" s="105"/>
      <c r="DB459" s="105"/>
      <c r="DC459" s="105"/>
      <c r="DD459" s="139"/>
      <c r="DE459" s="105"/>
      <c r="DF459" s="105"/>
      <c r="DG459" s="105"/>
      <c r="DH459" s="105"/>
      <c r="DI459" s="139"/>
      <c r="DJ459" s="105"/>
      <c r="DK459" s="105"/>
      <c r="DL459" s="105"/>
      <c r="DM459" s="105"/>
      <c r="DN459" s="139"/>
      <c r="DO459" s="105"/>
      <c r="DP459" s="105"/>
      <c r="DQ459" s="105"/>
      <c r="DR459" s="105"/>
      <c r="DS459" s="139"/>
      <c r="DT459" s="105"/>
      <c r="DU459" s="105"/>
      <c r="DV459" s="105"/>
      <c r="DW459" s="105"/>
      <c r="DX459" s="139"/>
      <c r="DY459" s="105"/>
      <c r="DZ459" s="105"/>
      <c r="EA459" s="105"/>
      <c r="EB459" s="105"/>
      <c r="EC459" s="139"/>
      <c r="ED459" s="105"/>
      <c r="EE459" s="105"/>
      <c r="EF459" s="105"/>
      <c r="EG459" s="105"/>
      <c r="EH459" s="139"/>
      <c r="EI459" s="105"/>
      <c r="EJ459" s="105"/>
      <c r="EK459" s="105"/>
      <c r="EL459" s="105"/>
      <c r="EM459" s="139"/>
      <c r="EN459" s="105"/>
      <c r="EO459" s="105"/>
      <c r="EP459" s="105"/>
      <c r="EQ459" s="105"/>
      <c r="ER459" s="139"/>
      <c r="ES459" s="105"/>
      <c r="ET459" s="105"/>
      <c r="EU459" s="105"/>
      <c r="EV459" s="105"/>
      <c r="EW459" s="139"/>
      <c r="EX459" s="105"/>
      <c r="EY459" s="105"/>
      <c r="EZ459" s="105"/>
      <c r="FA459" s="105"/>
      <c r="FB459" s="139"/>
      <c r="FC459" s="105"/>
      <c r="FD459" s="105"/>
      <c r="FE459" s="105"/>
      <c r="FF459" s="105"/>
      <c r="FG459" s="139"/>
      <c r="FH459" s="105"/>
      <c r="FI459" s="105"/>
      <c r="FJ459" s="105"/>
      <c r="FK459" s="105"/>
      <c r="FL459" s="139"/>
      <c r="FM459" s="105"/>
      <c r="FN459" s="105"/>
      <c r="FO459" s="105"/>
      <c r="FP459" s="105"/>
      <c r="FQ459" s="139"/>
      <c r="FR459" s="105"/>
      <c r="FS459" s="105"/>
      <c r="FT459" s="105"/>
      <c r="FU459" s="105"/>
      <c r="FV459" s="139"/>
      <c r="FW459" s="105"/>
      <c r="FX459" s="105"/>
      <c r="FY459" s="105"/>
      <c r="FZ459" s="105"/>
      <c r="GA459" s="139"/>
      <c r="GB459" s="105"/>
      <c r="GC459" s="105"/>
      <c r="GD459" s="105"/>
      <c r="GE459" s="105"/>
    </row>
    <row r="462" spans="3:187" ht="12.75" customHeight="1">
      <c r="C462" s="169"/>
      <c r="D462" s="169"/>
      <c r="E462" s="169"/>
      <c r="F462" s="169"/>
      <c r="G462" s="169"/>
      <c r="H462" s="169"/>
      <c r="I462" s="169"/>
      <c r="J462" s="169"/>
      <c r="K462" s="169"/>
      <c r="L462" s="169"/>
      <c r="M462" s="169"/>
      <c r="N462" s="169"/>
      <c r="O462" s="169"/>
      <c r="P462" s="169"/>
      <c r="Q462" s="169"/>
      <c r="R462" s="169"/>
      <c r="S462" s="169"/>
      <c r="T462" s="169"/>
      <c r="U462" s="169"/>
      <c r="V462" s="169"/>
      <c r="W462" s="169"/>
      <c r="X462" s="169"/>
      <c r="Y462" s="169"/>
      <c r="Z462" s="169"/>
      <c r="AA462" s="169"/>
      <c r="AB462" s="169"/>
      <c r="AC462" s="169"/>
      <c r="AD462" s="169"/>
      <c r="AE462" s="169"/>
      <c r="AF462" s="169"/>
      <c r="AG462" s="169"/>
      <c r="AH462" s="169"/>
      <c r="AI462" s="169"/>
      <c r="AJ462" s="169"/>
      <c r="AK462" s="169"/>
      <c r="AL462" s="169"/>
      <c r="AM462" s="169"/>
      <c r="AN462" s="169"/>
      <c r="AO462" s="169"/>
      <c r="AP462" s="169"/>
      <c r="AQ462" s="169"/>
      <c r="AR462" s="169"/>
      <c r="AS462" s="169"/>
      <c r="AT462" s="169"/>
      <c r="AU462" s="169"/>
      <c r="AV462" s="169"/>
      <c r="AW462" s="169"/>
      <c r="AX462" s="169"/>
      <c r="AY462" s="169"/>
      <c r="AZ462" s="169"/>
      <c r="BA462" s="169"/>
      <c r="BB462" s="169"/>
      <c r="BC462" s="169"/>
      <c r="BD462" s="169"/>
      <c r="BE462" s="169"/>
      <c r="BF462" s="169"/>
      <c r="BG462" s="169"/>
      <c r="BH462" s="169"/>
      <c r="BI462" s="169"/>
      <c r="BJ462" s="169"/>
      <c r="BK462" s="169"/>
      <c r="BL462" s="169"/>
      <c r="BM462" s="169"/>
      <c r="BN462" s="169"/>
      <c r="BO462" s="169"/>
      <c r="BP462" s="169"/>
      <c r="BQ462" s="169"/>
      <c r="BR462" s="169"/>
      <c r="BS462" s="169"/>
      <c r="BT462" s="169"/>
      <c r="BU462" s="169"/>
      <c r="BV462" s="169"/>
      <c r="BW462" s="169"/>
      <c r="BX462" s="169"/>
      <c r="BY462" s="169"/>
      <c r="BZ462" s="169"/>
      <c r="CA462" s="169"/>
      <c r="CB462" s="169"/>
      <c r="CC462" s="169"/>
      <c r="CD462" s="169"/>
      <c r="CE462" s="169"/>
      <c r="CF462" s="169"/>
      <c r="CG462" s="169"/>
      <c r="CH462" s="169"/>
      <c r="CI462" s="169"/>
      <c r="CJ462" s="169"/>
      <c r="CK462" s="169"/>
      <c r="CL462" s="169"/>
      <c r="CM462" s="169"/>
      <c r="CN462" s="169"/>
      <c r="CO462" s="169"/>
      <c r="CP462" s="169"/>
      <c r="CQ462" s="169"/>
      <c r="CR462" s="169"/>
      <c r="CS462" s="169"/>
      <c r="CT462" s="169"/>
      <c r="CU462" s="169"/>
      <c r="CV462" s="169"/>
      <c r="CW462" s="169"/>
      <c r="CX462" s="169"/>
      <c r="CY462" s="169"/>
      <c r="CZ462" s="169"/>
      <c r="DA462" s="169"/>
      <c r="DB462" s="169"/>
      <c r="DC462" s="169"/>
      <c r="DD462" s="169"/>
      <c r="DE462" s="169"/>
      <c r="DF462" s="169"/>
      <c r="DG462" s="169"/>
      <c r="DH462" s="169"/>
      <c r="DI462" s="169"/>
      <c r="DJ462" s="169"/>
      <c r="DK462" s="169"/>
      <c r="DL462" s="169"/>
      <c r="DM462" s="169"/>
      <c r="DN462" s="169"/>
      <c r="DO462" s="169"/>
      <c r="DP462" s="169"/>
      <c r="DQ462" s="169"/>
      <c r="DR462" s="169"/>
      <c r="DS462" s="169"/>
      <c r="DT462" s="169"/>
      <c r="DU462" s="169"/>
      <c r="DV462" s="169"/>
      <c r="DW462" s="169"/>
      <c r="DX462" s="169"/>
      <c r="DY462" s="169"/>
      <c r="DZ462" s="169"/>
      <c r="EA462" s="169"/>
      <c r="EB462" s="169"/>
      <c r="EC462" s="169"/>
      <c r="ED462" s="169"/>
      <c r="EE462" s="169"/>
      <c r="EF462" s="169"/>
      <c r="EG462" s="169"/>
      <c r="EH462" s="169"/>
      <c r="EI462" s="169"/>
      <c r="EJ462" s="169"/>
      <c r="EK462" s="169"/>
      <c r="EL462" s="169"/>
      <c r="EM462" s="169"/>
      <c r="EN462" s="169"/>
      <c r="EO462" s="169"/>
      <c r="EP462" s="169"/>
      <c r="EQ462" s="169"/>
      <c r="ER462" s="169"/>
      <c r="ES462" s="169"/>
      <c r="ET462" s="169"/>
      <c r="EU462" s="169"/>
      <c r="EV462" s="169"/>
      <c r="EW462" s="169"/>
      <c r="EX462" s="169"/>
      <c r="EY462" s="169"/>
      <c r="EZ462" s="169"/>
      <c r="FA462" s="169"/>
      <c r="FB462" s="169"/>
      <c r="FC462" s="169"/>
      <c r="FD462" s="169"/>
      <c r="FE462" s="169"/>
      <c r="FF462" s="169"/>
      <c r="FG462" s="169"/>
      <c r="FH462" s="169"/>
      <c r="FI462" s="169"/>
      <c r="FJ462" s="169"/>
      <c r="FK462" s="169"/>
      <c r="FL462" s="169"/>
      <c r="FM462" s="169"/>
      <c r="FN462" s="169"/>
      <c r="FO462" s="169"/>
      <c r="FP462" s="169"/>
      <c r="FQ462" s="169"/>
      <c r="FR462" s="169"/>
      <c r="FS462" s="169"/>
      <c r="FT462" s="169"/>
      <c r="FU462" s="169"/>
      <c r="FV462" s="169"/>
      <c r="FW462" s="169"/>
      <c r="FX462" s="169"/>
      <c r="FY462" s="169"/>
      <c r="FZ462" s="169"/>
      <c r="GA462" s="169"/>
      <c r="GB462" s="169"/>
      <c r="GC462" s="169"/>
      <c r="GD462" s="169"/>
      <c r="GE462" s="169"/>
    </row>
    <row r="463" spans="3:187" ht="12.75" customHeight="1">
      <c r="C463" s="169"/>
      <c r="D463" s="169"/>
      <c r="E463" s="169"/>
      <c r="F463" s="169"/>
      <c r="G463" s="169"/>
      <c r="H463" s="169"/>
      <c r="I463" s="169"/>
      <c r="J463" s="169"/>
      <c r="K463" s="169"/>
      <c r="L463" s="169"/>
      <c r="M463" s="169"/>
      <c r="N463" s="169"/>
      <c r="O463" s="169"/>
      <c r="P463" s="169"/>
      <c r="Q463" s="169"/>
      <c r="R463" s="169"/>
      <c r="S463" s="169"/>
      <c r="T463" s="169"/>
      <c r="U463" s="169"/>
      <c r="V463" s="169"/>
      <c r="W463" s="169"/>
      <c r="X463" s="169"/>
      <c r="Y463" s="169"/>
      <c r="Z463" s="169"/>
      <c r="AA463" s="169"/>
      <c r="AB463" s="169"/>
      <c r="AC463" s="169"/>
      <c r="AD463" s="169"/>
      <c r="AE463" s="169"/>
      <c r="AF463" s="169"/>
      <c r="AG463" s="169"/>
      <c r="AH463" s="169"/>
      <c r="AI463" s="169"/>
      <c r="AJ463" s="169"/>
      <c r="AK463" s="169"/>
      <c r="AL463" s="169"/>
      <c r="AM463" s="169"/>
      <c r="AN463" s="169"/>
      <c r="AO463" s="169"/>
      <c r="AP463" s="169"/>
      <c r="AQ463" s="169"/>
      <c r="AR463" s="169"/>
      <c r="AS463" s="169"/>
      <c r="AT463" s="169"/>
      <c r="AU463" s="169"/>
      <c r="AV463" s="169"/>
      <c r="AW463" s="169"/>
      <c r="AX463" s="169"/>
      <c r="AY463" s="169"/>
      <c r="AZ463" s="169"/>
      <c r="BA463" s="169"/>
      <c r="BB463" s="169"/>
      <c r="BC463" s="169"/>
      <c r="BD463" s="169"/>
      <c r="BE463" s="169"/>
      <c r="BF463" s="169"/>
      <c r="BG463" s="169"/>
      <c r="BH463" s="169"/>
      <c r="BI463" s="169"/>
      <c r="BJ463" s="169"/>
      <c r="BK463" s="169"/>
      <c r="BL463" s="169"/>
      <c r="BM463" s="169"/>
      <c r="BN463" s="169"/>
      <c r="BO463" s="169"/>
      <c r="BP463" s="169"/>
      <c r="BQ463" s="169"/>
      <c r="BR463" s="169"/>
      <c r="BS463" s="169"/>
      <c r="BT463" s="169"/>
      <c r="BU463" s="169"/>
      <c r="BV463" s="169"/>
      <c r="BW463" s="169"/>
      <c r="BX463" s="169"/>
      <c r="BY463" s="169"/>
      <c r="BZ463" s="169"/>
      <c r="CA463" s="169"/>
      <c r="CB463" s="169"/>
      <c r="CC463" s="169"/>
      <c r="CD463" s="169"/>
      <c r="CE463" s="169"/>
      <c r="CF463" s="169"/>
      <c r="CG463" s="169"/>
      <c r="CH463" s="169"/>
      <c r="CI463" s="169"/>
      <c r="CJ463" s="169"/>
      <c r="CK463" s="169"/>
      <c r="CL463" s="169"/>
      <c r="CM463" s="169"/>
      <c r="CN463" s="169"/>
      <c r="CO463" s="169"/>
      <c r="CP463" s="169"/>
      <c r="CQ463" s="169"/>
      <c r="CR463" s="169"/>
      <c r="CS463" s="169"/>
      <c r="CT463" s="169"/>
      <c r="CU463" s="169"/>
      <c r="CV463" s="169"/>
      <c r="CW463" s="169"/>
      <c r="CX463" s="169"/>
      <c r="CY463" s="169"/>
      <c r="CZ463" s="169"/>
      <c r="DA463" s="169"/>
      <c r="DB463" s="169"/>
      <c r="DC463" s="169"/>
      <c r="DD463" s="169"/>
      <c r="DE463" s="169"/>
      <c r="DF463" s="169"/>
      <c r="DG463" s="169"/>
      <c r="DH463" s="169"/>
      <c r="DI463" s="169"/>
      <c r="DJ463" s="169"/>
      <c r="DK463" s="169"/>
      <c r="DL463" s="169"/>
      <c r="DM463" s="169"/>
      <c r="DN463" s="169"/>
      <c r="DO463" s="169"/>
      <c r="DP463" s="169"/>
      <c r="DQ463" s="169"/>
      <c r="DR463" s="169"/>
      <c r="DS463" s="169"/>
      <c r="DT463" s="169"/>
      <c r="DU463" s="169"/>
      <c r="DV463" s="169"/>
      <c r="DW463" s="169"/>
      <c r="DX463" s="169"/>
      <c r="DY463" s="169"/>
      <c r="DZ463" s="169"/>
      <c r="EA463" s="169"/>
      <c r="EB463" s="169"/>
      <c r="EC463" s="169"/>
      <c r="ED463" s="169"/>
      <c r="EE463" s="169"/>
      <c r="EF463" s="169"/>
      <c r="EG463" s="169"/>
      <c r="EH463" s="169"/>
      <c r="EI463" s="169"/>
      <c r="EJ463" s="169"/>
      <c r="EK463" s="169"/>
      <c r="EL463" s="169"/>
      <c r="EM463" s="169"/>
      <c r="EN463" s="169"/>
      <c r="EO463" s="169"/>
      <c r="EP463" s="169"/>
      <c r="EQ463" s="169"/>
      <c r="ER463" s="169"/>
      <c r="ES463" s="169"/>
      <c r="ET463" s="169"/>
      <c r="EU463" s="169"/>
      <c r="EV463" s="169"/>
      <c r="EW463" s="169"/>
      <c r="EX463" s="169"/>
      <c r="EY463" s="169"/>
      <c r="EZ463" s="169"/>
      <c r="FA463" s="169"/>
      <c r="FB463" s="169"/>
      <c r="FC463" s="169"/>
      <c r="FD463" s="169"/>
      <c r="FE463" s="169"/>
      <c r="FF463" s="169"/>
      <c r="FG463" s="169"/>
      <c r="FH463" s="169"/>
      <c r="FI463" s="169"/>
      <c r="FJ463" s="169"/>
      <c r="FK463" s="169"/>
      <c r="FL463" s="169"/>
      <c r="FM463" s="169"/>
      <c r="FN463" s="169"/>
      <c r="FO463" s="169"/>
      <c r="FP463" s="169"/>
      <c r="FQ463" s="169"/>
      <c r="FR463" s="169"/>
      <c r="FS463" s="169"/>
      <c r="FT463" s="169"/>
      <c r="FU463" s="169"/>
      <c r="FV463" s="169"/>
      <c r="FW463" s="169"/>
      <c r="FX463" s="169"/>
      <c r="FY463" s="169"/>
      <c r="FZ463" s="169"/>
      <c r="GA463" s="169"/>
      <c r="GB463" s="169"/>
      <c r="GC463" s="169"/>
      <c r="GD463" s="169"/>
      <c r="GE463" s="169"/>
    </row>
    <row r="464" spans="3:187" ht="12.75" customHeight="1">
      <c r="C464" s="169"/>
      <c r="D464" s="169"/>
      <c r="E464" s="169"/>
      <c r="F464" s="169"/>
      <c r="G464" s="169"/>
      <c r="H464" s="169"/>
      <c r="I464" s="169"/>
      <c r="J464" s="169"/>
      <c r="K464" s="169"/>
      <c r="L464" s="169"/>
      <c r="M464" s="169"/>
      <c r="N464" s="169"/>
      <c r="O464" s="169"/>
      <c r="P464" s="169"/>
      <c r="Q464" s="169"/>
      <c r="R464" s="169"/>
      <c r="S464" s="169"/>
      <c r="T464" s="169"/>
      <c r="U464" s="169"/>
      <c r="V464" s="169"/>
      <c r="W464" s="169"/>
      <c r="X464" s="169"/>
      <c r="Y464" s="169"/>
      <c r="Z464" s="169"/>
      <c r="AA464" s="169"/>
      <c r="AB464" s="169"/>
      <c r="AC464" s="169"/>
      <c r="AD464" s="169"/>
      <c r="AE464" s="169"/>
      <c r="AF464" s="169"/>
      <c r="AG464" s="169"/>
      <c r="AH464" s="169"/>
      <c r="AI464" s="169"/>
      <c r="AJ464" s="169"/>
      <c r="AK464" s="169"/>
      <c r="AL464" s="169"/>
      <c r="AM464" s="169"/>
      <c r="AN464" s="169"/>
      <c r="AO464" s="169"/>
      <c r="AP464" s="169"/>
      <c r="AQ464" s="169"/>
      <c r="AR464" s="169"/>
      <c r="AS464" s="169"/>
      <c r="AT464" s="169"/>
      <c r="AU464" s="169"/>
      <c r="AV464" s="169"/>
      <c r="AW464" s="169"/>
      <c r="AX464" s="169"/>
      <c r="AY464" s="169"/>
      <c r="AZ464" s="169"/>
      <c r="BA464" s="169"/>
      <c r="BB464" s="169"/>
      <c r="BC464" s="169"/>
      <c r="BD464" s="169"/>
      <c r="BE464" s="169"/>
      <c r="BF464" s="169"/>
      <c r="BG464" s="169"/>
      <c r="BH464" s="169"/>
      <c r="BI464" s="169"/>
      <c r="BJ464" s="169"/>
      <c r="BK464" s="169"/>
      <c r="BL464" s="169"/>
      <c r="BM464" s="169"/>
      <c r="BN464" s="169"/>
      <c r="BO464" s="169"/>
      <c r="BP464" s="169"/>
      <c r="BQ464" s="169"/>
      <c r="BR464" s="169"/>
      <c r="BS464" s="169"/>
      <c r="BT464" s="169"/>
      <c r="BU464" s="169"/>
      <c r="BV464" s="169"/>
      <c r="BW464" s="169"/>
      <c r="BX464" s="169"/>
      <c r="BY464" s="169"/>
      <c r="BZ464" s="169"/>
      <c r="CA464" s="169"/>
      <c r="CB464" s="169"/>
      <c r="CC464" s="169"/>
      <c r="CD464" s="169"/>
      <c r="CE464" s="169"/>
      <c r="CF464" s="169"/>
      <c r="CG464" s="169"/>
      <c r="CH464" s="169"/>
      <c r="CI464" s="169"/>
      <c r="CJ464" s="169"/>
      <c r="CK464" s="169"/>
      <c r="CL464" s="169"/>
      <c r="CM464" s="169"/>
      <c r="CN464" s="169"/>
      <c r="CO464" s="169"/>
      <c r="CP464" s="169"/>
      <c r="CQ464" s="169"/>
      <c r="CR464" s="169"/>
      <c r="CS464" s="169"/>
      <c r="CT464" s="169"/>
      <c r="CU464" s="169"/>
      <c r="CV464" s="169"/>
      <c r="CW464" s="169"/>
      <c r="CX464" s="169"/>
      <c r="CY464" s="169"/>
      <c r="CZ464" s="169"/>
      <c r="DA464" s="169"/>
      <c r="DB464" s="169"/>
      <c r="DC464" s="169"/>
      <c r="DD464" s="169"/>
      <c r="DE464" s="169"/>
      <c r="DF464" s="169"/>
      <c r="DG464" s="169"/>
      <c r="DH464" s="169"/>
      <c r="DI464" s="169"/>
      <c r="DJ464" s="169"/>
      <c r="DK464" s="169"/>
      <c r="DL464" s="169"/>
      <c r="DM464" s="169"/>
      <c r="DN464" s="169"/>
      <c r="DO464" s="169"/>
      <c r="DP464" s="169"/>
      <c r="DQ464" s="169"/>
      <c r="DR464" s="169"/>
      <c r="DS464" s="169"/>
      <c r="DT464" s="169"/>
      <c r="DU464" s="169"/>
      <c r="DV464" s="169"/>
      <c r="DW464" s="169"/>
      <c r="DX464" s="169"/>
      <c r="DY464" s="169"/>
      <c r="DZ464" s="169"/>
      <c r="EA464" s="169"/>
      <c r="EB464" s="169"/>
      <c r="EC464" s="169"/>
      <c r="ED464" s="169"/>
      <c r="EE464" s="169"/>
      <c r="EF464" s="169"/>
      <c r="EG464" s="169"/>
      <c r="EH464" s="169"/>
      <c r="EI464" s="169"/>
      <c r="EJ464" s="169"/>
      <c r="EK464" s="169"/>
      <c r="EL464" s="169"/>
      <c r="EM464" s="169"/>
      <c r="EN464" s="169"/>
      <c r="EO464" s="169"/>
      <c r="EP464" s="169"/>
      <c r="EQ464" s="169"/>
      <c r="ER464" s="169"/>
      <c r="ES464" s="169"/>
      <c r="ET464" s="169"/>
      <c r="EU464" s="169"/>
      <c r="EV464" s="169"/>
      <c r="EW464" s="169"/>
      <c r="EX464" s="169"/>
      <c r="EY464" s="169"/>
      <c r="EZ464" s="169"/>
      <c r="FA464" s="169"/>
      <c r="FB464" s="169"/>
      <c r="FC464" s="169"/>
      <c r="FD464" s="169"/>
      <c r="FE464" s="169"/>
      <c r="FF464" s="169"/>
      <c r="FG464" s="169"/>
      <c r="FH464" s="169"/>
      <c r="FI464" s="169"/>
      <c r="FJ464" s="169"/>
      <c r="FK464" s="169"/>
      <c r="FL464" s="169"/>
      <c r="FM464" s="169"/>
      <c r="FN464" s="169"/>
      <c r="FO464" s="169"/>
      <c r="FP464" s="169"/>
      <c r="FQ464" s="169"/>
      <c r="FR464" s="169"/>
      <c r="FS464" s="169"/>
      <c r="FT464" s="169"/>
      <c r="FU464" s="169"/>
      <c r="FV464" s="169"/>
      <c r="FW464" s="169"/>
      <c r="FX464" s="169"/>
      <c r="FY464" s="169"/>
      <c r="FZ464" s="169"/>
      <c r="GA464" s="169"/>
      <c r="GB464" s="169"/>
      <c r="GC464" s="169"/>
      <c r="GD464" s="169"/>
      <c r="GE464" s="169"/>
    </row>
    <row r="465" spans="3:187" ht="12.75" customHeight="1">
      <c r="C465" s="106"/>
      <c r="D465" s="106"/>
      <c r="E465" s="106"/>
      <c r="F465" s="106"/>
      <c r="G465" s="106"/>
      <c r="H465" s="106"/>
      <c r="I465" s="106"/>
      <c r="J465" s="106"/>
      <c r="K465" s="106"/>
      <c r="L465" s="106"/>
      <c r="M465" s="106"/>
      <c r="N465" s="106"/>
      <c r="O465" s="106"/>
      <c r="P465" s="106"/>
      <c r="Q465" s="106"/>
      <c r="R465" s="106"/>
      <c r="S465" s="106"/>
      <c r="T465" s="106"/>
      <c r="U465" s="106"/>
      <c r="V465" s="106"/>
      <c r="W465" s="106"/>
      <c r="X465" s="106"/>
      <c r="Y465" s="106"/>
      <c r="Z465" s="106"/>
      <c r="AA465" s="106"/>
      <c r="AB465" s="106"/>
      <c r="AC465" s="106"/>
      <c r="AD465" s="106"/>
      <c r="AE465" s="106"/>
      <c r="AF465" s="106"/>
      <c r="AG465" s="106"/>
      <c r="AH465" s="106"/>
      <c r="AI465" s="106"/>
      <c r="AJ465" s="106"/>
      <c r="AK465" s="106"/>
      <c r="AL465" s="106"/>
      <c r="AM465" s="106"/>
      <c r="AN465" s="106"/>
      <c r="AO465" s="106"/>
      <c r="AP465" s="106"/>
      <c r="AQ465" s="106"/>
      <c r="AR465" s="106"/>
      <c r="AS465" s="106"/>
      <c r="AT465" s="106"/>
      <c r="AU465" s="106"/>
      <c r="AV465" s="106"/>
      <c r="AW465" s="106"/>
      <c r="AX465" s="106"/>
      <c r="AY465" s="106"/>
      <c r="AZ465" s="106"/>
      <c r="BA465" s="106"/>
      <c r="BB465" s="106"/>
      <c r="BC465" s="106"/>
      <c r="BD465" s="106"/>
      <c r="BE465" s="106"/>
      <c r="BF465" s="106"/>
      <c r="BG465" s="106"/>
      <c r="BH465" s="106"/>
      <c r="BI465" s="106"/>
      <c r="BJ465" s="106"/>
      <c r="BK465" s="106"/>
      <c r="BL465" s="106"/>
      <c r="BM465" s="106"/>
      <c r="BN465" s="106"/>
      <c r="BO465" s="106"/>
      <c r="BP465" s="106"/>
      <c r="BQ465" s="106"/>
      <c r="BR465" s="106"/>
      <c r="BS465" s="106"/>
      <c r="BT465" s="106"/>
      <c r="BU465" s="106"/>
      <c r="BV465" s="106"/>
      <c r="BW465" s="106"/>
      <c r="BX465" s="106"/>
      <c r="BY465" s="106"/>
      <c r="BZ465" s="106"/>
      <c r="CA465" s="106"/>
      <c r="CB465" s="106"/>
      <c r="CC465" s="106"/>
      <c r="CD465" s="106"/>
      <c r="CE465" s="106"/>
      <c r="CF465" s="106"/>
      <c r="CG465" s="106"/>
      <c r="CH465" s="106"/>
      <c r="CI465" s="106"/>
      <c r="CJ465" s="106"/>
      <c r="CK465" s="106"/>
      <c r="CL465" s="106"/>
      <c r="CM465" s="106"/>
      <c r="CN465" s="106"/>
      <c r="CO465" s="106"/>
      <c r="CP465" s="106"/>
      <c r="CQ465" s="106"/>
      <c r="CR465" s="106"/>
      <c r="CS465" s="106"/>
      <c r="CT465" s="106"/>
      <c r="CU465" s="106"/>
      <c r="CV465" s="106"/>
      <c r="CW465" s="106"/>
      <c r="CX465" s="106"/>
      <c r="CY465" s="106"/>
      <c r="CZ465" s="106"/>
      <c r="DA465" s="106"/>
      <c r="DB465" s="106"/>
      <c r="DC465" s="106"/>
      <c r="DD465" s="106"/>
      <c r="DE465" s="106"/>
      <c r="DF465" s="106"/>
      <c r="DG465" s="106"/>
      <c r="DH465" s="106"/>
      <c r="DI465" s="106"/>
      <c r="DJ465" s="106"/>
      <c r="DK465" s="106"/>
      <c r="DL465" s="106"/>
      <c r="DM465" s="106"/>
      <c r="DN465" s="106"/>
      <c r="DO465" s="106"/>
      <c r="DP465" s="106"/>
      <c r="DQ465" s="106"/>
      <c r="DR465" s="106"/>
      <c r="DS465" s="106"/>
      <c r="DT465" s="106"/>
      <c r="DU465" s="106"/>
      <c r="DV465" s="106"/>
      <c r="DW465" s="106"/>
      <c r="DX465" s="106"/>
      <c r="DY465" s="106"/>
      <c r="DZ465" s="106"/>
      <c r="EA465" s="106"/>
      <c r="EB465" s="106"/>
      <c r="EC465" s="106"/>
      <c r="ED465" s="106"/>
      <c r="EE465" s="106"/>
      <c r="EF465" s="106"/>
      <c r="EG465" s="106"/>
      <c r="EH465" s="106"/>
      <c r="EI465" s="106"/>
      <c r="EJ465" s="106"/>
      <c r="EK465" s="106"/>
      <c r="EL465" s="106"/>
      <c r="EM465" s="106"/>
      <c r="EN465" s="106"/>
      <c r="EO465" s="106"/>
      <c r="EP465" s="106"/>
      <c r="EQ465" s="106"/>
      <c r="ER465" s="106"/>
      <c r="ES465" s="106"/>
      <c r="ET465" s="106"/>
      <c r="EU465" s="106"/>
      <c r="EV465" s="106"/>
      <c r="EW465" s="106"/>
      <c r="EX465" s="106"/>
      <c r="EY465" s="106"/>
      <c r="EZ465" s="106"/>
      <c r="FA465" s="106"/>
      <c r="FB465" s="106"/>
      <c r="FC465" s="106"/>
      <c r="FD465" s="106"/>
      <c r="FE465" s="106"/>
      <c r="FF465" s="106"/>
      <c r="FG465" s="106"/>
      <c r="FH465" s="106"/>
      <c r="FI465" s="106"/>
      <c r="FJ465" s="106"/>
      <c r="FK465" s="106"/>
      <c r="FL465" s="106"/>
      <c r="FM465" s="106"/>
      <c r="FN465" s="106"/>
      <c r="FO465" s="106"/>
      <c r="FP465" s="106"/>
      <c r="FQ465" s="106"/>
      <c r="FR465" s="106"/>
      <c r="FS465" s="106"/>
      <c r="FT465" s="106"/>
      <c r="FU465" s="106"/>
      <c r="FV465" s="106"/>
      <c r="FW465" s="106"/>
      <c r="FX465" s="106"/>
      <c r="FY465" s="106"/>
      <c r="FZ465" s="106"/>
      <c r="GA465" s="106"/>
      <c r="GB465" s="106"/>
      <c r="GC465" s="106"/>
      <c r="GD465" s="106"/>
      <c r="GE465" s="106"/>
    </row>
    <row r="466" spans="3:187" ht="12.75" customHeight="1">
      <c r="C466" s="217"/>
      <c r="D466" s="217"/>
      <c r="E466" s="217"/>
      <c r="F466" s="217"/>
      <c r="G466" s="217"/>
      <c r="H466" s="217"/>
      <c r="I466" s="217"/>
      <c r="J466" s="217"/>
      <c r="K466" s="217"/>
      <c r="L466" s="217"/>
      <c r="M466" s="217"/>
      <c r="N466" s="217"/>
      <c r="O466" s="217"/>
      <c r="P466" s="217"/>
      <c r="Q466" s="217"/>
      <c r="R466" s="217"/>
      <c r="S466" s="217"/>
      <c r="T466" s="217"/>
      <c r="U466" s="217"/>
      <c r="V466" s="217"/>
      <c r="W466" s="217"/>
      <c r="X466" s="217"/>
      <c r="Y466" s="217"/>
      <c r="Z466" s="217"/>
      <c r="AA466" s="217"/>
      <c r="AB466" s="217"/>
      <c r="AC466" s="217"/>
      <c r="AD466" s="217"/>
      <c r="AE466" s="217"/>
      <c r="AF466" s="217"/>
      <c r="AG466" s="217"/>
      <c r="AH466" s="217"/>
      <c r="AI466" s="217"/>
      <c r="AJ466" s="217"/>
      <c r="AK466" s="217"/>
      <c r="AL466" s="217"/>
      <c r="AM466" s="217"/>
      <c r="AN466" s="217"/>
      <c r="AO466" s="217"/>
      <c r="AP466" s="217"/>
      <c r="AQ466" s="217"/>
      <c r="AR466" s="217"/>
      <c r="AS466" s="217"/>
      <c r="AT466" s="217"/>
      <c r="AU466" s="217"/>
      <c r="AV466" s="217"/>
      <c r="AW466" s="217"/>
      <c r="AX466" s="217"/>
      <c r="AY466" s="217"/>
      <c r="AZ466" s="217"/>
      <c r="BA466" s="217"/>
      <c r="BB466" s="217"/>
      <c r="BC466" s="217"/>
      <c r="BD466" s="217"/>
      <c r="BE466" s="217"/>
      <c r="BF466" s="217"/>
      <c r="BG466" s="217"/>
      <c r="BH466" s="217"/>
      <c r="BI466" s="217"/>
      <c r="BJ466" s="217"/>
      <c r="BK466" s="217"/>
      <c r="BL466" s="217"/>
      <c r="BM466" s="217"/>
      <c r="BN466" s="217"/>
      <c r="BO466" s="217"/>
      <c r="BP466" s="217"/>
      <c r="BQ466" s="217"/>
      <c r="BR466" s="217"/>
      <c r="BS466" s="217"/>
      <c r="BT466" s="217"/>
      <c r="BU466" s="217"/>
      <c r="BV466" s="217"/>
      <c r="BW466" s="217"/>
      <c r="BX466" s="217"/>
      <c r="BY466" s="217"/>
      <c r="BZ466" s="217"/>
      <c r="CA466" s="217"/>
      <c r="CB466" s="217"/>
      <c r="CC466" s="217"/>
      <c r="CD466" s="217"/>
      <c r="CE466" s="217"/>
      <c r="CF466" s="217"/>
      <c r="CG466" s="217"/>
      <c r="CH466" s="217"/>
      <c r="CI466" s="217"/>
      <c r="CJ466" s="217"/>
      <c r="CK466" s="217"/>
      <c r="CL466" s="217"/>
      <c r="CM466" s="217"/>
      <c r="CN466" s="217"/>
      <c r="CO466" s="217"/>
      <c r="CP466" s="217"/>
      <c r="CQ466" s="217"/>
      <c r="CR466" s="217"/>
      <c r="CS466" s="217"/>
      <c r="CT466" s="217"/>
      <c r="CU466" s="217"/>
      <c r="CV466" s="217"/>
      <c r="CW466" s="217"/>
      <c r="CX466" s="217"/>
      <c r="CY466" s="217"/>
      <c r="CZ466" s="217"/>
      <c r="DA466" s="217"/>
      <c r="DB466" s="217"/>
      <c r="DC466" s="217"/>
      <c r="DD466" s="217"/>
      <c r="DE466" s="217"/>
      <c r="DF466" s="217"/>
      <c r="DG466" s="217"/>
      <c r="DH466" s="217"/>
      <c r="DI466" s="217"/>
      <c r="DJ466" s="217"/>
      <c r="DK466" s="217"/>
      <c r="DL466" s="217"/>
      <c r="DM466" s="217"/>
      <c r="DN466" s="217"/>
      <c r="DO466" s="217"/>
      <c r="DP466" s="217"/>
      <c r="DQ466" s="217"/>
      <c r="DR466" s="217"/>
      <c r="DS466" s="217"/>
      <c r="DT466" s="217"/>
      <c r="DU466" s="217"/>
      <c r="DV466" s="217"/>
      <c r="DW466" s="217"/>
      <c r="DX466" s="217"/>
      <c r="DY466" s="217"/>
      <c r="DZ466" s="217"/>
      <c r="EA466" s="217"/>
      <c r="EB466" s="217"/>
      <c r="EC466" s="217"/>
      <c r="ED466" s="217"/>
      <c r="EE466" s="217"/>
      <c r="EF466" s="217"/>
      <c r="EG466" s="217"/>
      <c r="EH466" s="217"/>
      <c r="EI466" s="217"/>
      <c r="EJ466" s="217"/>
      <c r="EK466" s="217"/>
      <c r="EL466" s="217"/>
      <c r="EM466" s="217"/>
      <c r="EN466" s="217"/>
      <c r="EO466" s="217"/>
      <c r="EP466" s="217"/>
      <c r="EQ466" s="217"/>
      <c r="ER466" s="217"/>
      <c r="ES466" s="217"/>
      <c r="ET466" s="217"/>
      <c r="EU466" s="217"/>
      <c r="EV466" s="217"/>
      <c r="EW466" s="217"/>
      <c r="EX466" s="217"/>
      <c r="EY466" s="217"/>
      <c r="EZ466" s="217"/>
      <c r="FA466" s="217"/>
      <c r="FB466" s="217"/>
      <c r="FC466" s="217"/>
      <c r="FD466" s="217"/>
      <c r="FE466" s="217"/>
      <c r="FF466" s="217"/>
      <c r="FG466" s="217"/>
      <c r="FH466" s="217"/>
      <c r="FI466" s="217"/>
      <c r="FJ466" s="217"/>
      <c r="FK466" s="217"/>
      <c r="FL466" s="217"/>
      <c r="FM466" s="217"/>
      <c r="FN466" s="217"/>
      <c r="FO466" s="217"/>
      <c r="FP466" s="217"/>
      <c r="FQ466" s="217"/>
      <c r="FR466" s="217"/>
      <c r="FS466" s="217"/>
      <c r="FT466" s="217"/>
      <c r="FU466" s="217"/>
      <c r="FV466" s="217"/>
      <c r="FW466" s="217"/>
      <c r="FX466" s="217"/>
      <c r="FY466" s="217"/>
      <c r="FZ466" s="217"/>
      <c r="GA466" s="217"/>
      <c r="GB466" s="217"/>
      <c r="GC466" s="217"/>
      <c r="GD466" s="217"/>
      <c r="GE466" s="217"/>
    </row>
    <row r="467" spans="3:187" ht="12.75" customHeight="1">
      <c r="C467" s="169"/>
      <c r="D467" s="169"/>
      <c r="E467" s="169"/>
      <c r="F467" s="169"/>
      <c r="G467" s="169"/>
      <c r="H467" s="169"/>
      <c r="I467" s="169"/>
      <c r="J467" s="169"/>
      <c r="K467" s="169"/>
      <c r="L467" s="169"/>
      <c r="M467" s="169"/>
      <c r="N467" s="169"/>
      <c r="O467" s="169"/>
      <c r="P467" s="169"/>
      <c r="Q467" s="169"/>
      <c r="R467" s="169"/>
      <c r="S467" s="169"/>
      <c r="T467" s="169"/>
      <c r="U467" s="169"/>
      <c r="V467" s="169"/>
      <c r="W467" s="169"/>
      <c r="X467" s="169"/>
      <c r="Y467" s="169"/>
      <c r="Z467" s="169"/>
      <c r="AA467" s="169"/>
      <c r="AB467" s="169"/>
      <c r="AC467" s="169"/>
      <c r="AD467" s="169"/>
      <c r="AE467" s="169"/>
      <c r="AF467" s="169"/>
      <c r="AG467" s="169"/>
      <c r="AH467" s="169"/>
      <c r="AI467" s="169"/>
      <c r="AJ467" s="169"/>
      <c r="AK467" s="169"/>
      <c r="AL467" s="169"/>
      <c r="AM467" s="169"/>
      <c r="AN467" s="169"/>
      <c r="AO467" s="169"/>
      <c r="AP467" s="169"/>
      <c r="AQ467" s="169"/>
      <c r="AR467" s="169"/>
      <c r="AS467" s="169"/>
      <c r="AT467" s="169"/>
      <c r="AU467" s="169"/>
      <c r="AV467" s="169"/>
      <c r="AW467" s="169"/>
      <c r="AX467" s="169"/>
      <c r="AY467" s="169"/>
      <c r="AZ467" s="169"/>
      <c r="BA467" s="169"/>
      <c r="BB467" s="169"/>
      <c r="BC467" s="169"/>
      <c r="BD467" s="169"/>
      <c r="BE467" s="169"/>
      <c r="BF467" s="169"/>
      <c r="BG467" s="169"/>
      <c r="BH467" s="169"/>
      <c r="BI467" s="169"/>
      <c r="BJ467" s="169"/>
      <c r="BK467" s="169"/>
      <c r="BL467" s="169"/>
      <c r="BM467" s="169"/>
      <c r="BN467" s="169"/>
      <c r="BO467" s="169"/>
      <c r="BP467" s="169"/>
      <c r="BQ467" s="169"/>
      <c r="BR467" s="169"/>
      <c r="BS467" s="169"/>
      <c r="BT467" s="169"/>
      <c r="BU467" s="169"/>
      <c r="BV467" s="169"/>
      <c r="BW467" s="169"/>
      <c r="BX467" s="169"/>
      <c r="BY467" s="169"/>
      <c r="BZ467" s="169"/>
      <c r="CA467" s="169"/>
      <c r="CB467" s="169"/>
      <c r="CC467" s="169"/>
      <c r="CD467" s="169"/>
      <c r="CE467" s="169"/>
      <c r="CF467" s="169"/>
      <c r="CG467" s="169"/>
      <c r="CH467" s="169"/>
      <c r="CI467" s="169"/>
      <c r="CJ467" s="169"/>
      <c r="CK467" s="169"/>
      <c r="CL467" s="169"/>
      <c r="CM467" s="169"/>
      <c r="CN467" s="169"/>
      <c r="CO467" s="169"/>
      <c r="CP467" s="169"/>
      <c r="CQ467" s="169"/>
      <c r="CR467" s="169"/>
      <c r="CS467" s="169"/>
      <c r="CT467" s="169"/>
      <c r="CU467" s="169"/>
      <c r="CV467" s="169"/>
      <c r="CW467" s="169"/>
      <c r="CX467" s="169"/>
      <c r="CY467" s="169"/>
      <c r="CZ467" s="169"/>
      <c r="DA467" s="169"/>
      <c r="DB467" s="169"/>
      <c r="DC467" s="169"/>
      <c r="DD467" s="169"/>
      <c r="DE467" s="169"/>
      <c r="DF467" s="169"/>
      <c r="DG467" s="169"/>
      <c r="DH467" s="169"/>
      <c r="DI467" s="169"/>
      <c r="DJ467" s="169"/>
      <c r="DK467" s="169"/>
      <c r="DL467" s="169"/>
      <c r="DM467" s="169"/>
      <c r="DN467" s="169"/>
      <c r="DO467" s="169"/>
      <c r="DP467" s="169"/>
      <c r="DQ467" s="169"/>
      <c r="DR467" s="169"/>
      <c r="DS467" s="169"/>
      <c r="DT467" s="169"/>
      <c r="DU467" s="169"/>
      <c r="DV467" s="169"/>
      <c r="DW467" s="169"/>
      <c r="DX467" s="169"/>
      <c r="DY467" s="169"/>
      <c r="DZ467" s="169"/>
      <c r="EA467" s="169"/>
      <c r="EB467" s="169"/>
      <c r="EC467" s="169"/>
      <c r="ED467" s="169"/>
      <c r="EE467" s="169"/>
      <c r="EF467" s="169"/>
      <c r="EG467" s="169"/>
      <c r="EH467" s="169"/>
      <c r="EI467" s="169"/>
      <c r="EJ467" s="169"/>
      <c r="EK467" s="169"/>
      <c r="EL467" s="169"/>
      <c r="EM467" s="169"/>
      <c r="EN467" s="169"/>
      <c r="EO467" s="169"/>
      <c r="EP467" s="169"/>
      <c r="EQ467" s="169"/>
      <c r="ER467" s="169"/>
      <c r="ES467" s="169"/>
      <c r="ET467" s="169"/>
      <c r="EU467" s="169"/>
      <c r="EV467" s="169"/>
      <c r="EW467" s="169"/>
      <c r="EX467" s="169"/>
      <c r="EY467" s="169"/>
      <c r="EZ467" s="169"/>
      <c r="FA467" s="169"/>
      <c r="FB467" s="169"/>
      <c r="FC467" s="169"/>
      <c r="FD467" s="169"/>
      <c r="FE467" s="169"/>
      <c r="FF467" s="169"/>
      <c r="FG467" s="169"/>
      <c r="FH467" s="169"/>
      <c r="FI467" s="169"/>
      <c r="FJ467" s="169"/>
      <c r="FK467" s="169"/>
      <c r="FL467" s="169"/>
      <c r="FM467" s="169"/>
      <c r="FN467" s="169"/>
      <c r="FO467" s="169"/>
      <c r="FP467" s="169"/>
      <c r="FQ467" s="169"/>
      <c r="FR467" s="169"/>
      <c r="FS467" s="169"/>
      <c r="FT467" s="169"/>
      <c r="FU467" s="169"/>
      <c r="FV467" s="169"/>
      <c r="FW467" s="169"/>
      <c r="FX467" s="169"/>
      <c r="FY467" s="169"/>
      <c r="FZ467" s="169"/>
      <c r="GA467" s="169"/>
      <c r="GB467" s="169"/>
      <c r="GC467" s="169"/>
      <c r="GD467" s="169"/>
      <c r="GE467" s="169"/>
    </row>
    <row r="468" spans="3:187" ht="12.75" customHeight="1">
      <c r="C468" s="169"/>
      <c r="D468" s="169"/>
      <c r="E468" s="169"/>
      <c r="F468" s="169"/>
      <c r="G468" s="169"/>
      <c r="H468" s="169"/>
      <c r="I468" s="169"/>
      <c r="J468" s="169"/>
      <c r="K468" s="169"/>
      <c r="L468" s="169"/>
      <c r="M468" s="169"/>
      <c r="N468" s="169"/>
      <c r="O468" s="169"/>
      <c r="P468" s="169"/>
      <c r="Q468" s="169"/>
      <c r="R468" s="169"/>
      <c r="S468" s="169"/>
      <c r="T468" s="169"/>
      <c r="U468" s="169"/>
      <c r="V468" s="169"/>
      <c r="W468" s="169"/>
      <c r="X468" s="169"/>
      <c r="Y468" s="169"/>
      <c r="Z468" s="169"/>
      <c r="AA468" s="169"/>
      <c r="AB468" s="169"/>
      <c r="AC468" s="169"/>
      <c r="AD468" s="169"/>
      <c r="AE468" s="169"/>
      <c r="AF468" s="169"/>
      <c r="AG468" s="169"/>
      <c r="AH468" s="169"/>
      <c r="AI468" s="169"/>
      <c r="AJ468" s="169"/>
      <c r="AK468" s="169"/>
      <c r="AL468" s="169"/>
      <c r="AM468" s="169"/>
      <c r="AN468" s="169"/>
      <c r="AO468" s="169"/>
      <c r="AP468" s="169"/>
      <c r="AQ468" s="169"/>
      <c r="AR468" s="169"/>
      <c r="AS468" s="169"/>
      <c r="AT468" s="169"/>
      <c r="AU468" s="169"/>
      <c r="AV468" s="169"/>
      <c r="AW468" s="169"/>
      <c r="AX468" s="169"/>
      <c r="AY468" s="169"/>
      <c r="AZ468" s="169"/>
      <c r="BA468" s="169"/>
      <c r="BB468" s="169"/>
      <c r="BC468" s="169"/>
      <c r="BD468" s="169"/>
      <c r="BE468" s="169"/>
      <c r="BF468" s="169"/>
      <c r="BG468" s="169"/>
      <c r="BH468" s="169"/>
      <c r="BI468" s="169"/>
      <c r="BJ468" s="169"/>
      <c r="BK468" s="169"/>
      <c r="BL468" s="169"/>
      <c r="BM468" s="169"/>
      <c r="BN468" s="169"/>
      <c r="BO468" s="169"/>
      <c r="BP468" s="169"/>
      <c r="BQ468" s="169"/>
      <c r="BR468" s="169"/>
      <c r="BS468" s="169"/>
      <c r="BT468" s="169"/>
      <c r="BU468" s="169"/>
      <c r="BV468" s="169"/>
      <c r="BW468" s="169"/>
      <c r="BX468" s="169"/>
      <c r="BY468" s="169"/>
      <c r="BZ468" s="169"/>
      <c r="CA468" s="169"/>
      <c r="CB468" s="169"/>
      <c r="CC468" s="169"/>
      <c r="CD468" s="169"/>
      <c r="CE468" s="169"/>
      <c r="CF468" s="169"/>
      <c r="CG468" s="169"/>
      <c r="CH468" s="169"/>
      <c r="CI468" s="169"/>
      <c r="CJ468" s="169"/>
      <c r="CK468" s="169"/>
      <c r="CL468" s="169"/>
      <c r="CM468" s="169"/>
      <c r="CN468" s="169"/>
      <c r="CO468" s="169"/>
      <c r="CP468" s="169"/>
      <c r="CQ468" s="169"/>
      <c r="CR468" s="169"/>
      <c r="CS468" s="169"/>
      <c r="CT468" s="169"/>
      <c r="CU468" s="169"/>
      <c r="CV468" s="169"/>
      <c r="CW468" s="169"/>
      <c r="CX468" s="169"/>
      <c r="CY468" s="169"/>
      <c r="CZ468" s="169"/>
      <c r="DA468" s="169"/>
      <c r="DB468" s="169"/>
      <c r="DC468" s="169"/>
      <c r="DD468" s="169"/>
      <c r="DE468" s="169"/>
      <c r="DF468" s="169"/>
      <c r="DG468" s="169"/>
      <c r="DH468" s="169"/>
      <c r="DI468" s="169"/>
      <c r="DJ468" s="169"/>
      <c r="DK468" s="169"/>
      <c r="DL468" s="169"/>
      <c r="DM468" s="169"/>
      <c r="DN468" s="169"/>
      <c r="DO468" s="169"/>
      <c r="DP468" s="169"/>
      <c r="DQ468" s="169"/>
      <c r="DR468" s="169"/>
      <c r="DS468" s="169"/>
      <c r="DT468" s="169"/>
      <c r="DU468" s="169"/>
      <c r="DV468" s="169"/>
      <c r="DW468" s="169"/>
      <c r="DX468" s="169"/>
      <c r="DY468" s="169"/>
      <c r="DZ468" s="169"/>
      <c r="EA468" s="169"/>
      <c r="EB468" s="169"/>
      <c r="EC468" s="169"/>
      <c r="ED468" s="169"/>
      <c r="EE468" s="169"/>
      <c r="EF468" s="169"/>
      <c r="EG468" s="169"/>
      <c r="EH468" s="169"/>
      <c r="EI468" s="169"/>
      <c r="EJ468" s="169"/>
      <c r="EK468" s="169"/>
      <c r="EL468" s="169"/>
      <c r="EM468" s="169"/>
      <c r="EN468" s="169"/>
      <c r="EO468" s="169"/>
      <c r="EP468" s="169"/>
      <c r="EQ468" s="169"/>
      <c r="ER468" s="169"/>
      <c r="ES468" s="169"/>
      <c r="ET468" s="169"/>
      <c r="EU468" s="169"/>
      <c r="EV468" s="169"/>
      <c r="EW468" s="169"/>
      <c r="EX468" s="169"/>
      <c r="EY468" s="169"/>
      <c r="EZ468" s="169"/>
      <c r="FA468" s="169"/>
      <c r="FB468" s="169"/>
      <c r="FC468" s="169"/>
      <c r="FD468" s="169"/>
      <c r="FE468" s="169"/>
      <c r="FF468" s="169"/>
      <c r="FG468" s="169"/>
      <c r="FH468" s="169"/>
      <c r="FI468" s="169"/>
      <c r="FJ468" s="169"/>
      <c r="FK468" s="169"/>
      <c r="FL468" s="169"/>
      <c r="FM468" s="169"/>
      <c r="FN468" s="169"/>
      <c r="FO468" s="169"/>
      <c r="FP468" s="169"/>
      <c r="FQ468" s="169"/>
      <c r="FR468" s="169"/>
      <c r="FS468" s="169"/>
      <c r="FT468" s="169"/>
      <c r="FU468" s="169"/>
      <c r="FV468" s="169"/>
      <c r="FW468" s="169"/>
      <c r="FX468" s="169"/>
      <c r="FY468" s="169"/>
      <c r="FZ468" s="169"/>
      <c r="GA468" s="169"/>
      <c r="GB468" s="169"/>
      <c r="GC468" s="169"/>
      <c r="GD468" s="169"/>
      <c r="GE468" s="169"/>
    </row>
    <row r="469" spans="3:187" ht="12.75" customHeight="1">
      <c r="C469" s="106"/>
      <c r="D469" s="106"/>
      <c r="E469" s="106"/>
      <c r="F469" s="106"/>
      <c r="G469" s="106"/>
      <c r="H469" s="106"/>
      <c r="I469" s="106"/>
      <c r="J469" s="106"/>
      <c r="K469" s="106"/>
      <c r="L469" s="106"/>
      <c r="M469" s="106"/>
      <c r="N469" s="106"/>
      <c r="O469" s="106"/>
      <c r="P469" s="106"/>
      <c r="Q469" s="106"/>
      <c r="R469" s="106"/>
      <c r="S469" s="106"/>
      <c r="T469" s="106"/>
      <c r="U469" s="106"/>
      <c r="V469" s="106"/>
      <c r="W469" s="106"/>
      <c r="X469" s="106"/>
      <c r="Y469" s="106"/>
      <c r="Z469" s="106"/>
      <c r="AA469" s="106"/>
      <c r="AB469" s="106"/>
      <c r="AC469" s="106"/>
      <c r="AD469" s="106"/>
      <c r="AE469" s="106"/>
      <c r="AF469" s="106"/>
      <c r="AG469" s="106"/>
      <c r="AH469" s="106"/>
      <c r="AI469" s="106"/>
      <c r="AJ469" s="106"/>
      <c r="AK469" s="106"/>
      <c r="AL469" s="106"/>
      <c r="AM469" s="106"/>
      <c r="AN469" s="106"/>
      <c r="AO469" s="106"/>
      <c r="AP469" s="106"/>
      <c r="AQ469" s="106"/>
      <c r="AR469" s="106"/>
      <c r="AS469" s="106"/>
      <c r="AT469" s="106"/>
      <c r="AU469" s="106"/>
      <c r="AV469" s="106"/>
      <c r="AW469" s="106"/>
      <c r="AX469" s="106"/>
      <c r="AY469" s="106"/>
      <c r="AZ469" s="106"/>
      <c r="BA469" s="106"/>
      <c r="BB469" s="106"/>
      <c r="BC469" s="106"/>
      <c r="BD469" s="106"/>
      <c r="BE469" s="106"/>
      <c r="BF469" s="106"/>
      <c r="BG469" s="106"/>
      <c r="BH469" s="106"/>
      <c r="BI469" s="106"/>
      <c r="BJ469" s="106"/>
      <c r="BK469" s="106"/>
      <c r="BL469" s="106"/>
      <c r="BM469" s="106"/>
      <c r="BN469" s="106"/>
      <c r="BO469" s="106"/>
      <c r="BP469" s="106"/>
      <c r="BQ469" s="106"/>
      <c r="BR469" s="106"/>
      <c r="BS469" s="106"/>
      <c r="BT469" s="106"/>
      <c r="BU469" s="106"/>
      <c r="BV469" s="106"/>
      <c r="BW469" s="106"/>
      <c r="BX469" s="106"/>
      <c r="BY469" s="106"/>
      <c r="BZ469" s="106"/>
      <c r="CA469" s="106"/>
      <c r="CB469" s="106"/>
      <c r="CC469" s="106"/>
      <c r="CD469" s="106"/>
      <c r="CE469" s="106"/>
      <c r="CF469" s="106"/>
      <c r="CG469" s="106"/>
      <c r="CH469" s="106"/>
      <c r="CI469" s="106"/>
      <c r="CJ469" s="106"/>
      <c r="CK469" s="106"/>
      <c r="CL469" s="106"/>
      <c r="CM469" s="106"/>
      <c r="CN469" s="106"/>
      <c r="CO469" s="106"/>
      <c r="CP469" s="106"/>
      <c r="CQ469" s="106"/>
      <c r="CR469" s="106"/>
      <c r="CS469" s="106"/>
      <c r="CT469" s="106"/>
      <c r="CU469" s="106"/>
      <c r="CV469" s="106"/>
      <c r="CW469" s="106"/>
      <c r="CX469" s="106"/>
      <c r="CY469" s="106"/>
      <c r="CZ469" s="106"/>
      <c r="DA469" s="106"/>
      <c r="DB469" s="106"/>
      <c r="DC469" s="106"/>
      <c r="DD469" s="106"/>
      <c r="DE469" s="106"/>
      <c r="DF469" s="106"/>
      <c r="DG469" s="106"/>
      <c r="DH469" s="106"/>
      <c r="DI469" s="106"/>
      <c r="DJ469" s="106"/>
      <c r="DK469" s="106"/>
      <c r="DL469" s="106"/>
      <c r="DM469" s="106"/>
      <c r="DN469" s="106"/>
      <c r="DO469" s="106"/>
      <c r="DP469" s="106"/>
      <c r="DQ469" s="106"/>
      <c r="DR469" s="106"/>
      <c r="DS469" s="106"/>
      <c r="DT469" s="106"/>
      <c r="DU469" s="106"/>
      <c r="DV469" s="106"/>
      <c r="DW469" s="106"/>
      <c r="DX469" s="106"/>
      <c r="DY469" s="106"/>
      <c r="DZ469" s="106"/>
      <c r="EA469" s="106"/>
      <c r="EB469" s="106"/>
      <c r="EC469" s="106"/>
      <c r="ED469" s="106"/>
      <c r="EE469" s="106"/>
      <c r="EF469" s="106"/>
      <c r="EG469" s="106"/>
      <c r="EH469" s="106"/>
      <c r="EI469" s="106"/>
      <c r="EJ469" s="106"/>
      <c r="EK469" s="106"/>
      <c r="EL469" s="106"/>
      <c r="EM469" s="106"/>
      <c r="EN469" s="106"/>
      <c r="EO469" s="106"/>
      <c r="EP469" s="106"/>
      <c r="EQ469" s="106"/>
      <c r="ER469" s="106"/>
      <c r="ES469" s="106"/>
      <c r="ET469" s="106"/>
      <c r="EU469" s="106"/>
      <c r="EV469" s="106"/>
      <c r="EW469" s="106"/>
      <c r="EX469" s="106"/>
      <c r="EY469" s="106"/>
      <c r="EZ469" s="106"/>
      <c r="FA469" s="106"/>
      <c r="FB469" s="106"/>
      <c r="FC469" s="106"/>
      <c r="FD469" s="106"/>
      <c r="FE469" s="106"/>
      <c r="FF469" s="106"/>
      <c r="FG469" s="106"/>
      <c r="FH469" s="106"/>
      <c r="FI469" s="106"/>
      <c r="FJ469" s="106"/>
      <c r="FK469" s="106"/>
      <c r="FL469" s="106"/>
      <c r="FM469" s="106"/>
      <c r="FN469" s="106"/>
      <c r="FO469" s="106"/>
      <c r="FP469" s="106"/>
      <c r="FQ469" s="106"/>
      <c r="FR469" s="106"/>
      <c r="FS469" s="106"/>
      <c r="FT469" s="106"/>
      <c r="FU469" s="106"/>
      <c r="FV469" s="106"/>
      <c r="FW469" s="106"/>
      <c r="FX469" s="106"/>
      <c r="FY469" s="106"/>
      <c r="FZ469" s="106"/>
      <c r="GA469" s="106"/>
      <c r="GB469" s="106"/>
      <c r="GC469" s="106"/>
      <c r="GD469" s="106"/>
      <c r="GE469" s="106"/>
    </row>
    <row r="470" spans="3:187" ht="12.75" customHeight="1">
      <c r="C470" s="106"/>
      <c r="D470" s="106"/>
      <c r="E470" s="106"/>
      <c r="F470" s="106"/>
      <c r="G470" s="106"/>
      <c r="H470" s="106"/>
      <c r="I470" s="106"/>
      <c r="J470" s="106"/>
      <c r="K470" s="106"/>
      <c r="L470" s="106"/>
      <c r="M470" s="106"/>
      <c r="N470" s="106"/>
      <c r="O470" s="106"/>
      <c r="P470" s="106"/>
      <c r="Q470" s="106"/>
      <c r="R470" s="106"/>
      <c r="S470" s="106"/>
      <c r="T470" s="106"/>
      <c r="U470" s="106"/>
      <c r="V470" s="106"/>
      <c r="W470" s="106"/>
      <c r="X470" s="106"/>
      <c r="Y470" s="106"/>
      <c r="Z470" s="106"/>
      <c r="AA470" s="106"/>
      <c r="AB470" s="106"/>
      <c r="AC470" s="106"/>
      <c r="AD470" s="106"/>
      <c r="AE470" s="106"/>
      <c r="AF470" s="106"/>
      <c r="AG470" s="106"/>
      <c r="AH470" s="106"/>
      <c r="AI470" s="106"/>
      <c r="AJ470" s="106"/>
      <c r="AK470" s="106"/>
      <c r="AL470" s="106"/>
      <c r="AM470" s="106"/>
      <c r="AN470" s="106"/>
      <c r="AO470" s="106"/>
      <c r="AP470" s="106"/>
      <c r="AQ470" s="106"/>
      <c r="AR470" s="106"/>
      <c r="AS470" s="106"/>
      <c r="AT470" s="106"/>
      <c r="AU470" s="106"/>
      <c r="AV470" s="106"/>
      <c r="AW470" s="106"/>
      <c r="AX470" s="106"/>
      <c r="AY470" s="106"/>
      <c r="AZ470" s="106"/>
      <c r="BA470" s="106"/>
      <c r="BB470" s="106"/>
      <c r="BC470" s="106"/>
      <c r="BD470" s="106"/>
      <c r="BE470" s="106"/>
      <c r="BF470" s="106"/>
      <c r="BG470" s="106"/>
      <c r="BH470" s="106"/>
      <c r="BI470" s="106"/>
      <c r="BJ470" s="106"/>
      <c r="BK470" s="106"/>
      <c r="BL470" s="106"/>
      <c r="BM470" s="106"/>
      <c r="BN470" s="106"/>
      <c r="BO470" s="106"/>
      <c r="BP470" s="106"/>
      <c r="BQ470" s="106"/>
      <c r="BR470" s="106"/>
      <c r="BS470" s="106"/>
      <c r="BT470" s="106"/>
      <c r="BU470" s="106"/>
      <c r="BV470" s="106"/>
      <c r="BW470" s="106"/>
      <c r="BX470" s="106"/>
      <c r="BY470" s="106"/>
      <c r="BZ470" s="106"/>
      <c r="CA470" s="106"/>
      <c r="CB470" s="106"/>
      <c r="CC470" s="106"/>
      <c r="CD470" s="106"/>
      <c r="CE470" s="106"/>
      <c r="CF470" s="106"/>
      <c r="CG470" s="106"/>
      <c r="CH470" s="106"/>
      <c r="CI470" s="106"/>
      <c r="CJ470" s="106"/>
      <c r="CK470" s="106"/>
      <c r="CL470" s="106"/>
      <c r="CM470" s="106"/>
      <c r="CN470" s="106"/>
      <c r="CO470" s="106"/>
      <c r="CP470" s="106"/>
      <c r="CQ470" s="106"/>
      <c r="CR470" s="106"/>
      <c r="CS470" s="106"/>
      <c r="CT470" s="106"/>
      <c r="CU470" s="106"/>
      <c r="CV470" s="106"/>
      <c r="CW470" s="106"/>
      <c r="CX470" s="106"/>
      <c r="CY470" s="106"/>
      <c r="CZ470" s="106"/>
      <c r="DA470" s="106"/>
      <c r="DB470" s="106"/>
      <c r="DC470" s="106"/>
      <c r="DD470" s="106"/>
      <c r="DE470" s="106"/>
      <c r="DF470" s="106"/>
      <c r="DG470" s="106"/>
      <c r="DH470" s="106"/>
      <c r="DI470" s="106"/>
      <c r="DJ470" s="106"/>
      <c r="DK470" s="106"/>
      <c r="DL470" s="106"/>
      <c r="DM470" s="106"/>
      <c r="DN470" s="106"/>
      <c r="DO470" s="106"/>
      <c r="DP470" s="106"/>
      <c r="DQ470" s="106"/>
      <c r="DR470" s="106"/>
      <c r="DS470" s="106"/>
      <c r="DT470" s="106"/>
      <c r="DU470" s="106"/>
      <c r="DV470" s="106"/>
      <c r="DW470" s="106"/>
      <c r="DX470" s="106"/>
      <c r="DY470" s="106"/>
      <c r="DZ470" s="106"/>
      <c r="EA470" s="106"/>
      <c r="EB470" s="106"/>
      <c r="EC470" s="106"/>
      <c r="ED470" s="106"/>
      <c r="EE470" s="106"/>
      <c r="EF470" s="106"/>
      <c r="EG470" s="106"/>
      <c r="EH470" s="106"/>
      <c r="EI470" s="106"/>
      <c r="EJ470" s="106"/>
      <c r="EK470" s="106"/>
      <c r="EL470" s="106"/>
      <c r="EM470" s="106"/>
      <c r="EN470" s="106"/>
      <c r="EO470" s="106"/>
      <c r="EP470" s="106"/>
      <c r="EQ470" s="106"/>
      <c r="ER470" s="106"/>
      <c r="ES470" s="106"/>
      <c r="ET470" s="106"/>
      <c r="EU470" s="106"/>
      <c r="EV470" s="106"/>
      <c r="EW470" s="106"/>
      <c r="EX470" s="106"/>
      <c r="EY470" s="106"/>
      <c r="EZ470" s="106"/>
      <c r="FA470" s="106"/>
      <c r="FB470" s="106"/>
      <c r="FC470" s="106"/>
      <c r="FD470" s="106"/>
      <c r="FE470" s="106"/>
      <c r="FF470" s="106"/>
      <c r="FG470" s="106"/>
      <c r="FH470" s="106"/>
      <c r="FI470" s="106"/>
      <c r="FJ470" s="106"/>
      <c r="FK470" s="106"/>
      <c r="FL470" s="106"/>
      <c r="FM470" s="106"/>
      <c r="FN470" s="106"/>
      <c r="FO470" s="106"/>
      <c r="FP470" s="106"/>
      <c r="FQ470" s="106"/>
      <c r="FR470" s="106"/>
      <c r="FS470" s="106"/>
      <c r="FT470" s="106"/>
      <c r="FU470" s="106"/>
      <c r="FV470" s="106"/>
      <c r="FW470" s="106"/>
      <c r="FX470" s="106"/>
      <c r="FY470" s="106"/>
      <c r="FZ470" s="106"/>
      <c r="GA470" s="106"/>
      <c r="GB470" s="106"/>
      <c r="GC470" s="106"/>
      <c r="GD470" s="106"/>
      <c r="GE470" s="106"/>
    </row>
    <row r="471" spans="3:187" ht="12.75" customHeight="1">
      <c r="C471" s="169"/>
      <c r="D471" s="169"/>
      <c r="E471" s="169"/>
      <c r="F471" s="169"/>
      <c r="G471" s="169"/>
      <c r="H471" s="169"/>
      <c r="I471" s="169"/>
      <c r="J471" s="169"/>
      <c r="K471" s="169"/>
      <c r="L471" s="169"/>
      <c r="M471" s="169"/>
      <c r="N471" s="169"/>
      <c r="O471" s="169"/>
      <c r="P471" s="169"/>
      <c r="Q471" s="169"/>
      <c r="R471" s="169"/>
      <c r="S471" s="169"/>
      <c r="T471" s="169"/>
      <c r="U471" s="169"/>
      <c r="V471" s="169"/>
      <c r="W471" s="169"/>
      <c r="X471" s="169"/>
      <c r="Y471" s="169"/>
      <c r="Z471" s="169"/>
      <c r="AA471" s="169"/>
      <c r="AB471" s="169"/>
      <c r="AC471" s="169"/>
      <c r="AD471" s="169"/>
      <c r="AE471" s="169"/>
      <c r="AF471" s="169"/>
      <c r="AG471" s="169"/>
      <c r="AH471" s="169"/>
      <c r="AI471" s="169"/>
      <c r="AJ471" s="169"/>
      <c r="AK471" s="169"/>
      <c r="AL471" s="169"/>
      <c r="AM471" s="169"/>
      <c r="AN471" s="169"/>
      <c r="AO471" s="169"/>
      <c r="AP471" s="169"/>
      <c r="AQ471" s="169"/>
      <c r="AR471" s="169"/>
      <c r="AS471" s="169"/>
      <c r="AT471" s="169"/>
      <c r="AU471" s="169"/>
      <c r="AV471" s="169"/>
      <c r="AW471" s="169"/>
      <c r="AX471" s="169"/>
      <c r="AY471" s="169"/>
      <c r="AZ471" s="169"/>
      <c r="BA471" s="169"/>
      <c r="BB471" s="169"/>
      <c r="BC471" s="169"/>
      <c r="BD471" s="169"/>
      <c r="BE471" s="169"/>
      <c r="BF471" s="169"/>
      <c r="BG471" s="169"/>
      <c r="BH471" s="169"/>
      <c r="BI471" s="169"/>
      <c r="BJ471" s="169"/>
      <c r="BK471" s="169"/>
      <c r="BL471" s="169"/>
      <c r="BM471" s="169"/>
      <c r="BN471" s="169"/>
      <c r="BO471" s="169"/>
      <c r="BP471" s="169"/>
      <c r="BQ471" s="169"/>
      <c r="BR471" s="169"/>
      <c r="BS471" s="169"/>
      <c r="BT471" s="169"/>
      <c r="BU471" s="169"/>
      <c r="BV471" s="169"/>
      <c r="BW471" s="169"/>
      <c r="BX471" s="169"/>
      <c r="BY471" s="169"/>
      <c r="BZ471" s="169"/>
      <c r="CA471" s="169"/>
      <c r="CB471" s="169"/>
      <c r="CC471" s="169"/>
      <c r="CD471" s="169"/>
      <c r="CE471" s="169"/>
      <c r="CF471" s="169"/>
      <c r="CG471" s="169"/>
      <c r="CH471" s="169"/>
      <c r="CI471" s="169"/>
      <c r="CJ471" s="169"/>
      <c r="CK471" s="169"/>
      <c r="CL471" s="169"/>
      <c r="CM471" s="169"/>
      <c r="CN471" s="169"/>
      <c r="CO471" s="169"/>
      <c r="CP471" s="169"/>
      <c r="CQ471" s="169"/>
      <c r="CR471" s="169"/>
      <c r="CS471" s="169"/>
      <c r="CT471" s="169"/>
      <c r="CU471" s="169"/>
      <c r="CV471" s="169"/>
      <c r="CW471" s="169"/>
      <c r="CX471" s="169"/>
      <c r="CY471" s="169"/>
      <c r="CZ471" s="169"/>
      <c r="DA471" s="169"/>
      <c r="DB471" s="169"/>
      <c r="DC471" s="169"/>
      <c r="DD471" s="169"/>
      <c r="DE471" s="169"/>
      <c r="DF471" s="169"/>
      <c r="DG471" s="169"/>
      <c r="DH471" s="169"/>
      <c r="DI471" s="169"/>
      <c r="DJ471" s="169"/>
      <c r="DK471" s="169"/>
      <c r="DL471" s="169"/>
      <c r="DM471" s="169"/>
      <c r="DN471" s="169"/>
      <c r="DO471" s="169"/>
      <c r="DP471" s="169"/>
      <c r="DQ471" s="169"/>
      <c r="DR471" s="169"/>
      <c r="DS471" s="169"/>
      <c r="DT471" s="169"/>
      <c r="DU471" s="169"/>
      <c r="DV471" s="169"/>
      <c r="DW471" s="169"/>
      <c r="DX471" s="169"/>
      <c r="DY471" s="169"/>
      <c r="DZ471" s="169"/>
      <c r="EA471" s="169"/>
      <c r="EB471" s="169"/>
      <c r="EC471" s="169"/>
      <c r="ED471" s="169"/>
      <c r="EE471" s="169"/>
      <c r="EF471" s="169"/>
      <c r="EG471" s="169"/>
      <c r="EH471" s="169"/>
      <c r="EI471" s="169"/>
      <c r="EJ471" s="169"/>
      <c r="EK471" s="169"/>
      <c r="EL471" s="169"/>
      <c r="EM471" s="169"/>
      <c r="EN471" s="169"/>
      <c r="EO471" s="169"/>
      <c r="EP471" s="169"/>
      <c r="EQ471" s="169"/>
      <c r="ER471" s="169"/>
      <c r="ES471" s="169"/>
      <c r="ET471" s="169"/>
      <c r="EU471" s="169"/>
      <c r="EV471" s="169"/>
      <c r="EW471" s="169"/>
      <c r="EX471" s="169"/>
      <c r="EY471" s="169"/>
      <c r="EZ471" s="169"/>
      <c r="FA471" s="169"/>
      <c r="FB471" s="169"/>
      <c r="FC471" s="169"/>
      <c r="FD471" s="169"/>
      <c r="FE471" s="169"/>
      <c r="FF471" s="169"/>
      <c r="FG471" s="169"/>
      <c r="FH471" s="169"/>
      <c r="FI471" s="169"/>
      <c r="FJ471" s="169"/>
      <c r="FK471" s="169"/>
      <c r="FL471" s="169"/>
      <c r="FM471" s="169"/>
      <c r="FN471" s="169"/>
      <c r="FO471" s="169"/>
      <c r="FP471" s="169"/>
      <c r="FQ471" s="169"/>
      <c r="FR471" s="169"/>
      <c r="FS471" s="169"/>
      <c r="FT471" s="169"/>
      <c r="FU471" s="169"/>
      <c r="FV471" s="169"/>
      <c r="FW471" s="169"/>
      <c r="FX471" s="169"/>
      <c r="FY471" s="169"/>
      <c r="FZ471" s="169"/>
      <c r="GA471" s="169"/>
      <c r="GB471" s="169"/>
      <c r="GC471" s="169"/>
      <c r="GD471" s="169"/>
      <c r="GE471" s="169"/>
    </row>
    <row r="472" spans="3:187" ht="12.75" customHeight="1">
      <c r="C472" s="218"/>
      <c r="D472" s="218"/>
      <c r="E472" s="218"/>
      <c r="F472" s="218"/>
      <c r="G472" s="218"/>
      <c r="H472" s="218"/>
      <c r="I472" s="218"/>
      <c r="J472" s="218"/>
      <c r="K472" s="218"/>
      <c r="L472" s="218"/>
      <c r="M472" s="218"/>
      <c r="N472" s="218"/>
      <c r="O472" s="218"/>
      <c r="P472" s="218"/>
      <c r="Q472" s="218"/>
      <c r="R472" s="218"/>
      <c r="S472" s="218"/>
      <c r="T472" s="218"/>
      <c r="U472" s="218"/>
      <c r="V472" s="218"/>
      <c r="W472" s="218"/>
      <c r="X472" s="218"/>
      <c r="Y472" s="218"/>
      <c r="Z472" s="218"/>
      <c r="AA472" s="218"/>
      <c r="AB472" s="218"/>
      <c r="AC472" s="218"/>
      <c r="AD472" s="218"/>
      <c r="AE472" s="218"/>
      <c r="AF472" s="218"/>
      <c r="AG472" s="218"/>
      <c r="AH472" s="218"/>
      <c r="AI472" s="218"/>
      <c r="AJ472" s="218"/>
      <c r="AK472" s="218"/>
      <c r="AL472" s="218"/>
      <c r="AM472" s="218"/>
      <c r="AN472" s="218"/>
      <c r="AO472" s="218"/>
      <c r="AP472" s="218"/>
      <c r="AQ472" s="218"/>
      <c r="AR472" s="218"/>
      <c r="AS472" s="218"/>
      <c r="AT472" s="218"/>
      <c r="AU472" s="218"/>
      <c r="AV472" s="218"/>
      <c r="AW472" s="218"/>
      <c r="AX472" s="218"/>
      <c r="AY472" s="218"/>
      <c r="AZ472" s="218"/>
      <c r="BA472" s="218"/>
      <c r="BB472" s="218"/>
      <c r="BC472" s="218"/>
      <c r="BD472" s="218"/>
      <c r="BE472" s="218"/>
      <c r="BF472" s="218"/>
      <c r="BG472" s="218"/>
      <c r="BH472" s="218"/>
      <c r="BI472" s="218"/>
      <c r="BJ472" s="218"/>
      <c r="BK472" s="218"/>
      <c r="BL472" s="218"/>
      <c r="BM472" s="218"/>
      <c r="BN472" s="218"/>
      <c r="BO472" s="218"/>
      <c r="BP472" s="218"/>
      <c r="BQ472" s="218"/>
      <c r="BR472" s="218"/>
      <c r="BS472" s="218"/>
      <c r="BT472" s="218"/>
      <c r="BU472" s="218"/>
      <c r="BV472" s="218"/>
      <c r="BW472" s="218"/>
      <c r="BX472" s="218"/>
      <c r="BY472" s="218"/>
      <c r="BZ472" s="218"/>
      <c r="CA472" s="218"/>
      <c r="CB472" s="218"/>
      <c r="CC472" s="218"/>
      <c r="CD472" s="218"/>
      <c r="CE472" s="218"/>
      <c r="CF472" s="218"/>
      <c r="CG472" s="218"/>
      <c r="CH472" s="218"/>
      <c r="CI472" s="218"/>
      <c r="CJ472" s="218"/>
      <c r="CK472" s="218"/>
      <c r="CL472" s="218"/>
      <c r="CM472" s="218"/>
      <c r="CN472" s="218"/>
      <c r="CO472" s="218"/>
      <c r="CP472" s="218"/>
      <c r="CQ472" s="218"/>
      <c r="CR472" s="218"/>
      <c r="CS472" s="218"/>
      <c r="CT472" s="218"/>
      <c r="CU472" s="218"/>
      <c r="CV472" s="218"/>
      <c r="CW472" s="218"/>
      <c r="CX472" s="218"/>
      <c r="CY472" s="218"/>
      <c r="CZ472" s="218"/>
      <c r="DA472" s="218"/>
      <c r="DB472" s="218"/>
      <c r="DC472" s="218"/>
      <c r="DD472" s="218"/>
      <c r="DE472" s="218"/>
      <c r="DF472" s="218"/>
      <c r="DG472" s="218"/>
      <c r="DH472" s="218"/>
      <c r="DI472" s="218"/>
      <c r="DJ472" s="218"/>
      <c r="DK472" s="218"/>
      <c r="DL472" s="218"/>
      <c r="DM472" s="218"/>
      <c r="DN472" s="218"/>
      <c r="DO472" s="218"/>
      <c r="DP472" s="218"/>
      <c r="DQ472" s="218"/>
      <c r="DR472" s="218"/>
      <c r="DS472" s="218"/>
      <c r="DT472" s="218"/>
      <c r="DU472" s="218"/>
      <c r="DV472" s="218"/>
      <c r="DW472" s="218"/>
      <c r="DX472" s="218"/>
      <c r="DY472" s="218"/>
      <c r="DZ472" s="218"/>
      <c r="EA472" s="218"/>
      <c r="EB472" s="218"/>
      <c r="EC472" s="218"/>
      <c r="ED472" s="218"/>
      <c r="EE472" s="218"/>
      <c r="EF472" s="218"/>
      <c r="EG472" s="218"/>
      <c r="EH472" s="218"/>
      <c r="EI472" s="218"/>
      <c r="EJ472" s="218"/>
      <c r="EK472" s="218"/>
      <c r="EL472" s="218"/>
      <c r="EM472" s="218"/>
      <c r="EN472" s="218"/>
      <c r="EO472" s="218"/>
      <c r="EP472" s="218"/>
      <c r="EQ472" s="218"/>
      <c r="ER472" s="218"/>
      <c r="ES472" s="218"/>
      <c r="ET472" s="218"/>
      <c r="EU472" s="218"/>
      <c r="EV472" s="218"/>
      <c r="EW472" s="218"/>
      <c r="EX472" s="218"/>
      <c r="EY472" s="218"/>
      <c r="EZ472" s="218"/>
      <c r="FA472" s="218"/>
      <c r="FB472" s="218"/>
      <c r="FC472" s="218"/>
      <c r="FD472" s="218"/>
      <c r="FE472" s="218"/>
      <c r="FF472" s="218"/>
      <c r="FG472" s="218"/>
      <c r="FH472" s="218"/>
      <c r="FI472" s="218"/>
      <c r="FJ472" s="218"/>
      <c r="FK472" s="218"/>
      <c r="FL472" s="218"/>
      <c r="FM472" s="218"/>
      <c r="FN472" s="218"/>
      <c r="FO472" s="218"/>
      <c r="FP472" s="218"/>
      <c r="FQ472" s="218"/>
      <c r="FR472" s="218"/>
      <c r="FS472" s="218"/>
      <c r="FT472" s="218"/>
      <c r="FU472" s="218"/>
      <c r="FV472" s="218"/>
      <c r="FW472" s="218"/>
      <c r="FX472" s="218"/>
      <c r="FY472" s="218"/>
      <c r="FZ472" s="218"/>
      <c r="GA472" s="218"/>
      <c r="GB472" s="218"/>
      <c r="GC472" s="218"/>
      <c r="GD472" s="218"/>
      <c r="GE472" s="218"/>
    </row>
    <row r="473" spans="3:187" ht="12.75" customHeight="1">
      <c r="C473" s="106"/>
      <c r="D473" s="106"/>
      <c r="E473" s="106"/>
      <c r="F473" s="106"/>
      <c r="G473" s="106"/>
      <c r="H473" s="106"/>
      <c r="I473" s="106"/>
      <c r="J473" s="106"/>
      <c r="K473" s="106"/>
      <c r="L473" s="106"/>
      <c r="M473" s="106"/>
      <c r="N473" s="106"/>
      <c r="O473" s="106"/>
      <c r="P473" s="106"/>
      <c r="Q473" s="106"/>
      <c r="R473" s="106"/>
      <c r="S473" s="106"/>
      <c r="T473" s="106"/>
      <c r="U473" s="106"/>
      <c r="V473" s="106"/>
      <c r="W473" s="106"/>
      <c r="X473" s="106"/>
      <c r="Y473" s="106"/>
      <c r="Z473" s="106"/>
      <c r="AA473" s="106"/>
      <c r="AB473" s="106"/>
      <c r="AC473" s="106"/>
      <c r="AD473" s="106"/>
      <c r="AE473" s="106"/>
      <c r="AF473" s="106"/>
      <c r="AG473" s="106"/>
      <c r="AH473" s="106"/>
      <c r="AI473" s="106"/>
      <c r="AJ473" s="106"/>
      <c r="AK473" s="106"/>
      <c r="AL473" s="106"/>
      <c r="AM473" s="106"/>
      <c r="AN473" s="106"/>
      <c r="AO473" s="106"/>
      <c r="AP473" s="106"/>
      <c r="AQ473" s="106"/>
      <c r="AR473" s="106"/>
      <c r="AS473" s="106"/>
      <c r="AT473" s="106"/>
      <c r="AU473" s="106"/>
      <c r="AV473" s="106"/>
      <c r="AW473" s="106"/>
      <c r="AX473" s="106"/>
      <c r="AY473" s="106"/>
      <c r="AZ473" s="106"/>
      <c r="BA473" s="106"/>
      <c r="BB473" s="106"/>
      <c r="BC473" s="106"/>
      <c r="BD473" s="106"/>
      <c r="BE473" s="106"/>
      <c r="BF473" s="106"/>
      <c r="BG473" s="106"/>
      <c r="BH473" s="106"/>
      <c r="BI473" s="106"/>
      <c r="BJ473" s="106"/>
      <c r="BK473" s="106"/>
      <c r="BL473" s="106"/>
      <c r="BM473" s="106"/>
      <c r="BN473" s="106"/>
      <c r="BO473" s="106"/>
      <c r="BP473" s="106"/>
      <c r="BQ473" s="106"/>
      <c r="BR473" s="106"/>
      <c r="BS473" s="106"/>
      <c r="BT473" s="106"/>
      <c r="BU473" s="106"/>
      <c r="BV473" s="106"/>
      <c r="BW473" s="106"/>
      <c r="BX473" s="106"/>
      <c r="BY473" s="106"/>
      <c r="BZ473" s="106"/>
      <c r="CA473" s="106"/>
      <c r="CB473" s="106"/>
      <c r="CC473" s="106"/>
      <c r="CD473" s="106"/>
      <c r="CE473" s="106"/>
      <c r="CF473" s="106"/>
      <c r="CG473" s="106"/>
      <c r="CH473" s="106"/>
      <c r="CI473" s="106"/>
      <c r="CJ473" s="106"/>
      <c r="CK473" s="106"/>
      <c r="CL473" s="106"/>
      <c r="CM473" s="106"/>
      <c r="CN473" s="106"/>
      <c r="CO473" s="106"/>
      <c r="CP473" s="106"/>
      <c r="CQ473" s="106"/>
      <c r="CR473" s="106"/>
      <c r="CS473" s="106"/>
      <c r="CT473" s="106"/>
      <c r="CU473" s="106"/>
      <c r="CV473" s="106"/>
      <c r="CW473" s="106"/>
      <c r="CX473" s="106"/>
      <c r="CY473" s="106"/>
      <c r="CZ473" s="106"/>
      <c r="DA473" s="106"/>
      <c r="DB473" s="106"/>
      <c r="DC473" s="106"/>
      <c r="DD473" s="106"/>
      <c r="DE473" s="106"/>
      <c r="DF473" s="106"/>
      <c r="DG473" s="106"/>
      <c r="DH473" s="106"/>
      <c r="DI473" s="106"/>
      <c r="DJ473" s="106"/>
      <c r="DK473" s="106"/>
      <c r="DL473" s="106"/>
      <c r="DM473" s="106"/>
      <c r="DN473" s="106"/>
      <c r="DO473" s="106"/>
      <c r="DP473" s="106"/>
      <c r="DQ473" s="106"/>
      <c r="DR473" s="106"/>
      <c r="DS473" s="106"/>
      <c r="DT473" s="106"/>
      <c r="DU473" s="106"/>
      <c r="DV473" s="106"/>
      <c r="DW473" s="106"/>
      <c r="DX473" s="106"/>
      <c r="DY473" s="106"/>
      <c r="DZ473" s="106"/>
      <c r="EA473" s="106"/>
      <c r="EB473" s="106"/>
      <c r="EC473" s="106"/>
      <c r="ED473" s="106"/>
      <c r="EE473" s="106"/>
      <c r="EF473" s="106"/>
      <c r="EG473" s="106"/>
      <c r="EH473" s="106"/>
      <c r="EI473" s="106"/>
      <c r="EJ473" s="106"/>
      <c r="EK473" s="106"/>
      <c r="EL473" s="106"/>
      <c r="EM473" s="106"/>
      <c r="EN473" s="106"/>
      <c r="EO473" s="106"/>
      <c r="EP473" s="106"/>
      <c r="EQ473" s="106"/>
      <c r="ER473" s="106"/>
      <c r="ES473" s="106"/>
      <c r="ET473" s="106"/>
      <c r="EU473" s="106"/>
      <c r="EV473" s="106"/>
      <c r="EW473" s="106"/>
      <c r="EX473" s="106"/>
      <c r="EY473" s="106"/>
      <c r="EZ473" s="106"/>
      <c r="FA473" s="106"/>
      <c r="FB473" s="106"/>
      <c r="FC473" s="106"/>
      <c r="FD473" s="106"/>
      <c r="FE473" s="106"/>
      <c r="FF473" s="106"/>
      <c r="FG473" s="106"/>
      <c r="FH473" s="106"/>
      <c r="FI473" s="106"/>
      <c r="FJ473" s="106"/>
      <c r="FK473" s="106"/>
      <c r="FL473" s="106"/>
      <c r="FM473" s="106"/>
      <c r="FN473" s="106"/>
      <c r="FO473" s="106"/>
      <c r="FP473" s="106"/>
      <c r="FQ473" s="106"/>
      <c r="FR473" s="106"/>
      <c r="FS473" s="106"/>
      <c r="FT473" s="106"/>
      <c r="FU473" s="106"/>
      <c r="FV473" s="106"/>
      <c r="FW473" s="106"/>
      <c r="FX473" s="106"/>
      <c r="FY473" s="106"/>
      <c r="FZ473" s="106"/>
      <c r="GA473" s="106"/>
      <c r="GB473" s="106"/>
      <c r="GC473" s="106"/>
      <c r="GD473" s="106"/>
      <c r="GE473" s="106"/>
    </row>
    <row r="474" spans="3:187" ht="12.75" customHeight="1">
      <c r="C474" s="106"/>
      <c r="D474" s="106"/>
      <c r="E474" s="106"/>
      <c r="F474" s="106"/>
      <c r="G474" s="106"/>
      <c r="H474" s="106"/>
      <c r="I474" s="106"/>
      <c r="J474" s="106"/>
      <c r="K474" s="106"/>
      <c r="L474" s="106"/>
      <c r="M474" s="106"/>
      <c r="N474" s="106"/>
      <c r="O474" s="106"/>
      <c r="P474" s="106"/>
      <c r="Q474" s="106"/>
      <c r="R474" s="106"/>
      <c r="S474" s="106"/>
      <c r="T474" s="106"/>
      <c r="U474" s="106"/>
      <c r="V474" s="106"/>
      <c r="W474" s="106"/>
      <c r="X474" s="106"/>
      <c r="Y474" s="106"/>
      <c r="Z474" s="106"/>
      <c r="AA474" s="106"/>
      <c r="AB474" s="106"/>
      <c r="AC474" s="106"/>
      <c r="AD474" s="106"/>
      <c r="AE474" s="106"/>
      <c r="AF474" s="106"/>
      <c r="AG474" s="106"/>
      <c r="AH474" s="106"/>
      <c r="AI474" s="106"/>
      <c r="AJ474" s="106"/>
      <c r="AK474" s="106"/>
      <c r="AL474" s="106"/>
      <c r="AM474" s="106"/>
      <c r="AN474" s="106"/>
      <c r="AO474" s="106"/>
      <c r="AP474" s="106"/>
      <c r="AQ474" s="106"/>
      <c r="AR474" s="106"/>
      <c r="AS474" s="106"/>
      <c r="AT474" s="106"/>
      <c r="AU474" s="106"/>
      <c r="AV474" s="106"/>
      <c r="AW474" s="106"/>
      <c r="AX474" s="106"/>
      <c r="AY474" s="106"/>
      <c r="AZ474" s="106"/>
      <c r="BA474" s="106"/>
      <c r="BB474" s="106"/>
      <c r="BC474" s="106"/>
      <c r="BD474" s="106"/>
      <c r="BE474" s="106"/>
      <c r="BF474" s="106"/>
      <c r="BG474" s="106"/>
      <c r="BH474" s="106"/>
      <c r="BI474" s="106"/>
      <c r="BJ474" s="106"/>
      <c r="BK474" s="106"/>
      <c r="BL474" s="106"/>
      <c r="BM474" s="106"/>
      <c r="BN474" s="106"/>
      <c r="BO474" s="106"/>
      <c r="BP474" s="106"/>
      <c r="BQ474" s="106"/>
      <c r="BR474" s="106"/>
      <c r="BS474" s="106"/>
      <c r="BT474" s="106"/>
      <c r="BU474" s="106"/>
      <c r="BV474" s="106"/>
      <c r="BW474" s="106"/>
      <c r="BX474" s="106"/>
      <c r="BY474" s="106"/>
      <c r="BZ474" s="106"/>
      <c r="CA474" s="106"/>
      <c r="CB474" s="106"/>
      <c r="CC474" s="106"/>
      <c r="CD474" s="106"/>
      <c r="CE474" s="106"/>
      <c r="CF474" s="106"/>
      <c r="CG474" s="106"/>
      <c r="CH474" s="106"/>
      <c r="CI474" s="106"/>
      <c r="CJ474" s="106"/>
      <c r="CK474" s="106"/>
      <c r="CL474" s="106"/>
      <c r="CM474" s="106"/>
      <c r="CN474" s="106"/>
      <c r="CO474" s="106"/>
      <c r="CP474" s="106"/>
      <c r="CQ474" s="106"/>
      <c r="CR474" s="106"/>
      <c r="CS474" s="106"/>
      <c r="CT474" s="106"/>
      <c r="CU474" s="106"/>
      <c r="CV474" s="106"/>
      <c r="CW474" s="106"/>
      <c r="CX474" s="106"/>
      <c r="CY474" s="106"/>
      <c r="CZ474" s="106"/>
      <c r="DA474" s="106"/>
      <c r="DB474" s="106"/>
      <c r="DC474" s="106"/>
      <c r="DD474" s="106"/>
      <c r="DE474" s="106"/>
      <c r="DF474" s="106"/>
      <c r="DG474" s="106"/>
      <c r="DH474" s="106"/>
      <c r="DI474" s="106"/>
      <c r="DJ474" s="106"/>
      <c r="DK474" s="106"/>
      <c r="DL474" s="106"/>
      <c r="DM474" s="106"/>
      <c r="DN474" s="106"/>
      <c r="DO474" s="106"/>
      <c r="DP474" s="106"/>
      <c r="DQ474" s="106"/>
      <c r="DR474" s="106"/>
      <c r="DS474" s="106"/>
      <c r="DT474" s="106"/>
      <c r="DU474" s="106"/>
      <c r="DV474" s="106"/>
      <c r="DW474" s="106"/>
      <c r="DX474" s="106"/>
      <c r="DY474" s="106"/>
      <c r="DZ474" s="106"/>
      <c r="EA474" s="106"/>
      <c r="EB474" s="106"/>
      <c r="EC474" s="106"/>
      <c r="ED474" s="106"/>
      <c r="EE474" s="106"/>
      <c r="EF474" s="106"/>
      <c r="EG474" s="106"/>
      <c r="EH474" s="106"/>
      <c r="EI474" s="106"/>
      <c r="EJ474" s="106"/>
      <c r="EK474" s="106"/>
      <c r="EL474" s="106"/>
      <c r="EM474" s="106"/>
      <c r="EN474" s="106"/>
      <c r="EO474" s="106"/>
      <c r="EP474" s="106"/>
      <c r="EQ474" s="106"/>
      <c r="ER474" s="106"/>
      <c r="ES474" s="106"/>
      <c r="ET474" s="106"/>
      <c r="EU474" s="106"/>
      <c r="EV474" s="106"/>
      <c r="EW474" s="106"/>
      <c r="EX474" s="106"/>
      <c r="EY474" s="106"/>
      <c r="EZ474" s="106"/>
      <c r="FA474" s="106"/>
      <c r="FB474" s="106"/>
      <c r="FC474" s="106"/>
      <c r="FD474" s="106"/>
      <c r="FE474" s="106"/>
      <c r="FF474" s="106"/>
      <c r="FG474" s="106"/>
      <c r="FH474" s="106"/>
      <c r="FI474" s="106"/>
      <c r="FJ474" s="106"/>
      <c r="FK474" s="106"/>
      <c r="FL474" s="106"/>
      <c r="FM474" s="106"/>
      <c r="FN474" s="106"/>
      <c r="FO474" s="106"/>
      <c r="FP474" s="106"/>
      <c r="FQ474" s="106"/>
      <c r="FR474" s="106"/>
      <c r="FS474" s="106"/>
      <c r="FT474" s="106"/>
      <c r="FU474" s="106"/>
      <c r="FV474" s="106"/>
      <c r="FW474" s="106"/>
      <c r="FX474" s="106"/>
      <c r="FY474" s="106"/>
      <c r="FZ474" s="106"/>
      <c r="GA474" s="106"/>
      <c r="GB474" s="106"/>
      <c r="GC474" s="106"/>
      <c r="GD474" s="106"/>
      <c r="GE474" s="106"/>
    </row>
    <row r="475" spans="3:187" ht="12.75" customHeight="1">
      <c r="C475" s="219"/>
      <c r="D475" s="219"/>
      <c r="E475" s="219"/>
      <c r="F475" s="219"/>
      <c r="G475" s="219"/>
      <c r="H475" s="219"/>
      <c r="I475" s="219"/>
      <c r="J475" s="219"/>
      <c r="K475" s="219"/>
      <c r="L475" s="219"/>
      <c r="M475" s="219"/>
      <c r="N475" s="219"/>
      <c r="O475" s="219"/>
      <c r="P475" s="219"/>
      <c r="Q475" s="219"/>
      <c r="R475" s="219"/>
      <c r="S475" s="219"/>
      <c r="T475" s="219"/>
      <c r="U475" s="219"/>
      <c r="V475" s="219"/>
      <c r="W475" s="219"/>
      <c r="X475" s="219"/>
      <c r="Y475" s="219"/>
      <c r="Z475" s="219"/>
      <c r="AA475" s="219"/>
      <c r="AB475" s="219"/>
      <c r="AC475" s="219"/>
      <c r="AD475" s="219"/>
      <c r="AE475" s="219"/>
      <c r="AF475" s="219"/>
      <c r="AG475" s="219"/>
      <c r="AH475" s="219"/>
      <c r="AI475" s="219"/>
      <c r="AJ475" s="219"/>
      <c r="AK475" s="219"/>
      <c r="AL475" s="219"/>
      <c r="AM475" s="219"/>
      <c r="AN475" s="219"/>
      <c r="AO475" s="219"/>
      <c r="AP475" s="219"/>
      <c r="AQ475" s="219"/>
      <c r="AR475" s="219"/>
      <c r="AS475" s="219"/>
      <c r="AT475" s="219"/>
      <c r="AU475" s="219"/>
      <c r="AV475" s="219"/>
      <c r="AW475" s="219"/>
      <c r="AX475" s="219"/>
      <c r="AY475" s="219"/>
      <c r="AZ475" s="219"/>
      <c r="BA475" s="219"/>
      <c r="BB475" s="219"/>
      <c r="BC475" s="219"/>
      <c r="BD475" s="219"/>
      <c r="BE475" s="219"/>
      <c r="BF475" s="219"/>
      <c r="BG475" s="219"/>
      <c r="BH475" s="219"/>
      <c r="BI475" s="219"/>
      <c r="BJ475" s="219"/>
      <c r="BK475" s="219"/>
      <c r="BL475" s="219"/>
      <c r="BM475" s="219"/>
      <c r="BN475" s="219"/>
      <c r="BO475" s="219"/>
      <c r="BP475" s="219"/>
      <c r="BQ475" s="219"/>
      <c r="BR475" s="219"/>
      <c r="BS475" s="219"/>
      <c r="BT475" s="219"/>
      <c r="BU475" s="219"/>
      <c r="BV475" s="219"/>
      <c r="BW475" s="219"/>
      <c r="BX475" s="219"/>
      <c r="BY475" s="219"/>
      <c r="BZ475" s="219"/>
      <c r="CA475" s="219"/>
      <c r="CB475" s="219"/>
      <c r="CC475" s="219"/>
      <c r="CD475" s="219"/>
      <c r="CE475" s="219"/>
      <c r="CF475" s="219"/>
      <c r="CG475" s="219"/>
      <c r="CH475" s="219"/>
      <c r="CI475" s="219"/>
      <c r="CJ475" s="219"/>
      <c r="CK475" s="219"/>
      <c r="CL475" s="219"/>
      <c r="CM475" s="219"/>
      <c r="CN475" s="219"/>
      <c r="CO475" s="219"/>
      <c r="CP475" s="219"/>
      <c r="CQ475" s="219"/>
      <c r="CR475" s="219"/>
      <c r="CS475" s="219"/>
      <c r="CT475" s="219"/>
      <c r="CU475" s="219"/>
      <c r="CV475" s="219"/>
      <c r="CW475" s="219"/>
      <c r="CX475" s="219"/>
      <c r="CY475" s="219"/>
      <c r="CZ475" s="219"/>
      <c r="DA475" s="219"/>
      <c r="DB475" s="219"/>
      <c r="DC475" s="219"/>
      <c r="DD475" s="219"/>
      <c r="DE475" s="219"/>
      <c r="DF475" s="219"/>
      <c r="DG475" s="219"/>
      <c r="DH475" s="219"/>
      <c r="DI475" s="219"/>
      <c r="DJ475" s="219"/>
      <c r="DK475" s="219"/>
      <c r="DL475" s="219"/>
      <c r="DM475" s="219"/>
      <c r="DN475" s="219"/>
      <c r="DO475" s="219"/>
      <c r="DP475" s="219"/>
      <c r="DQ475" s="219"/>
      <c r="DR475" s="219"/>
      <c r="DS475" s="219"/>
      <c r="DT475" s="219"/>
      <c r="DU475" s="219"/>
      <c r="DV475" s="219"/>
      <c r="DW475" s="219"/>
      <c r="DX475" s="219"/>
      <c r="DY475" s="219"/>
      <c r="DZ475" s="219"/>
      <c r="EA475" s="219"/>
      <c r="EB475" s="219"/>
      <c r="EC475" s="219"/>
      <c r="ED475" s="219"/>
      <c r="EE475" s="219"/>
      <c r="EF475" s="219"/>
      <c r="EG475" s="219"/>
      <c r="EH475" s="219"/>
      <c r="EI475" s="219"/>
      <c r="EJ475" s="219"/>
      <c r="EK475" s="219"/>
      <c r="EL475" s="219"/>
      <c r="EM475" s="219"/>
      <c r="EN475" s="219"/>
      <c r="EO475" s="219"/>
      <c r="EP475" s="219"/>
      <c r="EQ475" s="219"/>
      <c r="ER475" s="219"/>
      <c r="ES475" s="219"/>
      <c r="ET475" s="219"/>
      <c r="EU475" s="219"/>
      <c r="EV475" s="219"/>
      <c r="EW475" s="219"/>
      <c r="EX475" s="219"/>
      <c r="EY475" s="219"/>
      <c r="EZ475" s="219"/>
      <c r="FA475" s="219"/>
      <c r="FB475" s="219"/>
      <c r="FC475" s="219"/>
      <c r="FD475" s="219"/>
      <c r="FE475" s="219"/>
      <c r="FF475" s="219"/>
      <c r="FG475" s="219"/>
      <c r="FH475" s="219"/>
      <c r="FI475" s="219"/>
      <c r="FJ475" s="219"/>
      <c r="FK475" s="219"/>
      <c r="FL475" s="219"/>
      <c r="FM475" s="219"/>
      <c r="FN475" s="219"/>
      <c r="FO475" s="219"/>
      <c r="FP475" s="219"/>
      <c r="FQ475" s="219"/>
      <c r="FR475" s="219"/>
      <c r="FS475" s="219"/>
      <c r="FT475" s="219"/>
      <c r="FU475" s="219"/>
      <c r="FV475" s="219"/>
      <c r="FW475" s="219"/>
      <c r="FX475" s="219"/>
      <c r="FY475" s="219"/>
      <c r="FZ475" s="219"/>
      <c r="GA475" s="219"/>
      <c r="GB475" s="219"/>
      <c r="GC475" s="219"/>
      <c r="GD475" s="219"/>
      <c r="GE475" s="219"/>
    </row>
    <row r="476" spans="3:187" ht="12.75" customHeight="1">
      <c r="C476" s="169"/>
      <c r="D476" s="169"/>
      <c r="E476" s="169"/>
      <c r="F476" s="169"/>
      <c r="G476" s="169"/>
      <c r="H476" s="169"/>
      <c r="I476" s="169"/>
      <c r="J476" s="169"/>
      <c r="K476" s="169"/>
      <c r="L476" s="169"/>
      <c r="M476" s="169"/>
      <c r="N476" s="169"/>
      <c r="O476" s="169"/>
      <c r="P476" s="169"/>
      <c r="Q476" s="169"/>
      <c r="R476" s="169"/>
      <c r="S476" s="169"/>
      <c r="T476" s="169"/>
      <c r="U476" s="169"/>
      <c r="V476" s="169"/>
      <c r="W476" s="169"/>
      <c r="X476" s="169"/>
      <c r="Y476" s="169"/>
      <c r="Z476" s="169"/>
      <c r="AA476" s="169"/>
      <c r="AB476" s="169"/>
      <c r="AC476" s="169"/>
      <c r="AD476" s="169"/>
      <c r="AE476" s="169"/>
      <c r="AF476" s="169"/>
      <c r="AG476" s="169"/>
      <c r="AH476" s="169"/>
      <c r="AI476" s="169"/>
      <c r="AJ476" s="169"/>
      <c r="AK476" s="169"/>
      <c r="AL476" s="169"/>
      <c r="AM476" s="169"/>
      <c r="AN476" s="169"/>
      <c r="AO476" s="169"/>
      <c r="AP476" s="169"/>
      <c r="AQ476" s="169"/>
      <c r="AR476" s="169"/>
      <c r="AS476" s="169"/>
      <c r="AT476" s="169"/>
      <c r="AU476" s="169"/>
      <c r="AV476" s="169"/>
      <c r="AW476" s="169"/>
      <c r="AX476" s="169"/>
      <c r="AY476" s="169"/>
      <c r="AZ476" s="169"/>
      <c r="BA476" s="169"/>
      <c r="BB476" s="169"/>
      <c r="BC476" s="169"/>
      <c r="BD476" s="169"/>
      <c r="BE476" s="169"/>
      <c r="BF476" s="169"/>
      <c r="BG476" s="169"/>
      <c r="BH476" s="169"/>
      <c r="BI476" s="169"/>
      <c r="BJ476" s="169"/>
      <c r="BK476" s="169"/>
      <c r="BL476" s="169"/>
      <c r="BM476" s="169"/>
      <c r="BN476" s="169"/>
      <c r="BO476" s="169"/>
      <c r="BP476" s="169"/>
      <c r="BQ476" s="169"/>
      <c r="BR476" s="169"/>
      <c r="BS476" s="169"/>
      <c r="BT476" s="169"/>
      <c r="BU476" s="169"/>
      <c r="BV476" s="169"/>
      <c r="BW476" s="169"/>
      <c r="BX476" s="169"/>
      <c r="BY476" s="169"/>
      <c r="BZ476" s="169"/>
      <c r="CA476" s="169"/>
      <c r="CB476" s="169"/>
      <c r="CC476" s="169"/>
      <c r="CD476" s="169"/>
      <c r="CE476" s="169"/>
      <c r="CF476" s="169"/>
      <c r="CG476" s="169"/>
      <c r="CH476" s="169"/>
      <c r="CI476" s="169"/>
      <c r="CJ476" s="169"/>
      <c r="CK476" s="169"/>
      <c r="CL476" s="169"/>
      <c r="CM476" s="169"/>
      <c r="CN476" s="169"/>
      <c r="CO476" s="169"/>
      <c r="CP476" s="169"/>
      <c r="CQ476" s="169"/>
      <c r="CR476" s="169"/>
      <c r="CS476" s="169"/>
      <c r="CT476" s="169"/>
      <c r="CU476" s="169"/>
      <c r="CV476" s="169"/>
      <c r="CW476" s="169"/>
      <c r="CX476" s="169"/>
      <c r="CY476" s="169"/>
      <c r="CZ476" s="169"/>
      <c r="DA476" s="169"/>
      <c r="DB476" s="169"/>
      <c r="DC476" s="169"/>
      <c r="DD476" s="169"/>
      <c r="DE476" s="169"/>
      <c r="DF476" s="169"/>
      <c r="DG476" s="169"/>
      <c r="DH476" s="169"/>
      <c r="DI476" s="169"/>
      <c r="DJ476" s="169"/>
      <c r="DK476" s="169"/>
      <c r="DL476" s="169"/>
      <c r="DM476" s="169"/>
      <c r="DN476" s="169"/>
      <c r="DO476" s="169"/>
      <c r="DP476" s="169"/>
      <c r="DQ476" s="169"/>
      <c r="DR476" s="169"/>
      <c r="DS476" s="169"/>
      <c r="DT476" s="169"/>
      <c r="DU476" s="169"/>
      <c r="DV476" s="169"/>
      <c r="DW476" s="169"/>
      <c r="DX476" s="169"/>
      <c r="DY476" s="169"/>
      <c r="DZ476" s="169"/>
      <c r="EA476" s="169"/>
      <c r="EB476" s="169"/>
      <c r="EC476" s="169"/>
      <c r="ED476" s="169"/>
      <c r="EE476" s="169"/>
      <c r="EF476" s="169"/>
      <c r="EG476" s="169"/>
      <c r="EH476" s="169"/>
      <c r="EI476" s="169"/>
      <c r="EJ476" s="169"/>
      <c r="EK476" s="169"/>
      <c r="EL476" s="169"/>
      <c r="EM476" s="169"/>
      <c r="EN476" s="169"/>
      <c r="EO476" s="169"/>
      <c r="EP476" s="169"/>
      <c r="EQ476" s="169"/>
      <c r="ER476" s="169"/>
      <c r="ES476" s="169"/>
      <c r="ET476" s="169"/>
      <c r="EU476" s="169"/>
      <c r="EV476" s="169"/>
      <c r="EW476" s="169"/>
      <c r="EX476" s="169"/>
      <c r="EY476" s="169"/>
      <c r="EZ476" s="169"/>
      <c r="FA476" s="169"/>
      <c r="FB476" s="169"/>
      <c r="FC476" s="169"/>
      <c r="FD476" s="169"/>
      <c r="FE476" s="169"/>
      <c r="FF476" s="169"/>
      <c r="FG476" s="169"/>
      <c r="FH476" s="169"/>
      <c r="FI476" s="169"/>
      <c r="FJ476" s="169"/>
      <c r="FK476" s="169"/>
      <c r="FL476" s="169"/>
      <c r="FM476" s="169"/>
      <c r="FN476" s="169"/>
      <c r="FO476" s="169"/>
      <c r="FP476" s="169"/>
      <c r="FQ476" s="169"/>
      <c r="FR476" s="169"/>
      <c r="FS476" s="169"/>
      <c r="FT476" s="169"/>
      <c r="FU476" s="169"/>
      <c r="FV476" s="169"/>
      <c r="FW476" s="169"/>
      <c r="FX476" s="169"/>
      <c r="FY476" s="169"/>
      <c r="FZ476" s="169"/>
      <c r="GA476" s="169"/>
      <c r="GB476" s="169"/>
      <c r="GC476" s="169"/>
      <c r="GD476" s="169"/>
      <c r="GE476" s="169"/>
    </row>
    <row r="477" spans="3:187" ht="12.75" customHeight="1">
      <c r="C477" s="169"/>
      <c r="D477" s="169"/>
      <c r="E477" s="169"/>
      <c r="F477" s="169"/>
      <c r="G477" s="169"/>
      <c r="H477" s="169"/>
      <c r="I477" s="169"/>
      <c r="J477" s="169"/>
      <c r="K477" s="169"/>
      <c r="L477" s="169"/>
      <c r="M477" s="169"/>
      <c r="N477" s="169"/>
      <c r="O477" s="169"/>
      <c r="P477" s="169"/>
      <c r="Q477" s="169"/>
      <c r="R477" s="169"/>
      <c r="S477" s="169"/>
      <c r="T477" s="169"/>
      <c r="U477" s="169"/>
      <c r="V477" s="169"/>
      <c r="W477" s="169"/>
      <c r="X477" s="169"/>
      <c r="Y477" s="169"/>
      <c r="Z477" s="169"/>
      <c r="AA477" s="169"/>
      <c r="AB477" s="169"/>
      <c r="AC477" s="169"/>
      <c r="AD477" s="169"/>
      <c r="AE477" s="169"/>
      <c r="AF477" s="169"/>
      <c r="AG477" s="169"/>
      <c r="AH477" s="169"/>
      <c r="AI477" s="169"/>
      <c r="AJ477" s="169"/>
      <c r="AK477" s="169"/>
      <c r="AL477" s="169"/>
      <c r="AM477" s="169"/>
      <c r="AN477" s="169"/>
      <c r="AO477" s="169"/>
      <c r="AP477" s="169"/>
      <c r="AQ477" s="169"/>
      <c r="AR477" s="169"/>
      <c r="AS477" s="169"/>
      <c r="AT477" s="169"/>
      <c r="AU477" s="169"/>
      <c r="AV477" s="169"/>
      <c r="AW477" s="169"/>
      <c r="AX477" s="169"/>
      <c r="AY477" s="169"/>
      <c r="AZ477" s="169"/>
      <c r="BA477" s="169"/>
      <c r="BB477" s="169"/>
      <c r="BC477" s="169"/>
      <c r="BD477" s="169"/>
      <c r="BE477" s="169"/>
      <c r="BF477" s="169"/>
      <c r="BG477" s="169"/>
      <c r="BH477" s="169"/>
      <c r="BI477" s="169"/>
      <c r="BJ477" s="169"/>
      <c r="BK477" s="169"/>
      <c r="BL477" s="169"/>
      <c r="BM477" s="169"/>
      <c r="BN477" s="169"/>
      <c r="BO477" s="169"/>
      <c r="BP477" s="169"/>
      <c r="BQ477" s="169"/>
      <c r="BR477" s="169"/>
      <c r="BS477" s="169"/>
      <c r="BT477" s="169"/>
      <c r="BU477" s="169"/>
      <c r="BV477" s="169"/>
      <c r="BW477" s="169"/>
      <c r="BX477" s="169"/>
      <c r="BY477" s="169"/>
      <c r="BZ477" s="169"/>
      <c r="CA477" s="169"/>
      <c r="CB477" s="169"/>
      <c r="CC477" s="169"/>
      <c r="CD477" s="169"/>
      <c r="CE477" s="169"/>
      <c r="CF477" s="169"/>
      <c r="CG477" s="169"/>
      <c r="CH477" s="169"/>
      <c r="CI477" s="169"/>
      <c r="CJ477" s="169"/>
      <c r="CK477" s="169"/>
      <c r="CL477" s="169"/>
      <c r="CM477" s="169"/>
      <c r="CN477" s="169"/>
      <c r="CO477" s="169"/>
      <c r="CP477" s="169"/>
      <c r="CQ477" s="169"/>
      <c r="CR477" s="169"/>
      <c r="CS477" s="169"/>
      <c r="CT477" s="169"/>
      <c r="CU477" s="169"/>
      <c r="CV477" s="169"/>
      <c r="CW477" s="169"/>
      <c r="CX477" s="169"/>
      <c r="CY477" s="169"/>
      <c r="CZ477" s="169"/>
      <c r="DA477" s="169"/>
      <c r="DB477" s="169"/>
      <c r="DC477" s="169"/>
      <c r="DD477" s="169"/>
      <c r="DE477" s="169"/>
      <c r="DF477" s="169"/>
      <c r="DG477" s="169"/>
      <c r="DH477" s="169"/>
      <c r="DI477" s="169"/>
      <c r="DJ477" s="169"/>
      <c r="DK477" s="169"/>
      <c r="DL477" s="169"/>
      <c r="DM477" s="169"/>
      <c r="DN477" s="169"/>
      <c r="DO477" s="169"/>
      <c r="DP477" s="169"/>
      <c r="DQ477" s="169"/>
      <c r="DR477" s="169"/>
      <c r="DS477" s="169"/>
      <c r="DT477" s="169"/>
      <c r="DU477" s="169"/>
      <c r="DV477" s="169"/>
      <c r="DW477" s="169"/>
      <c r="DX477" s="169"/>
      <c r="DY477" s="169"/>
      <c r="DZ477" s="169"/>
      <c r="EA477" s="169"/>
      <c r="EB477" s="169"/>
      <c r="EC477" s="169"/>
      <c r="ED477" s="169"/>
      <c r="EE477" s="169"/>
      <c r="EF477" s="169"/>
      <c r="EG477" s="169"/>
      <c r="EH477" s="169"/>
      <c r="EI477" s="169"/>
      <c r="EJ477" s="169"/>
      <c r="EK477" s="169"/>
      <c r="EL477" s="169"/>
      <c r="EM477" s="169"/>
      <c r="EN477" s="169"/>
      <c r="EO477" s="169"/>
      <c r="EP477" s="169"/>
      <c r="EQ477" s="169"/>
      <c r="ER477" s="169"/>
      <c r="ES477" s="169"/>
      <c r="ET477" s="169"/>
      <c r="EU477" s="169"/>
      <c r="EV477" s="169"/>
      <c r="EW477" s="169"/>
      <c r="EX477" s="169"/>
      <c r="EY477" s="169"/>
      <c r="EZ477" s="169"/>
      <c r="FA477" s="169"/>
      <c r="FB477" s="169"/>
      <c r="FC477" s="169"/>
      <c r="FD477" s="169"/>
      <c r="FE477" s="169"/>
      <c r="FF477" s="169"/>
      <c r="FG477" s="169"/>
      <c r="FH477" s="169"/>
      <c r="FI477" s="169"/>
      <c r="FJ477" s="169"/>
      <c r="FK477" s="169"/>
      <c r="FL477" s="169"/>
      <c r="FM477" s="169"/>
      <c r="FN477" s="169"/>
      <c r="FO477" s="169"/>
      <c r="FP477" s="169"/>
      <c r="FQ477" s="169"/>
      <c r="FR477" s="169"/>
      <c r="FS477" s="169"/>
      <c r="FT477" s="169"/>
      <c r="FU477" s="169"/>
      <c r="FV477" s="169"/>
      <c r="FW477" s="169"/>
      <c r="FX477" s="169"/>
      <c r="FY477" s="169"/>
      <c r="FZ477" s="169"/>
      <c r="GA477" s="169"/>
      <c r="GB477" s="169"/>
      <c r="GC477" s="169"/>
      <c r="GD477" s="169"/>
      <c r="GE477" s="169"/>
    </row>
    <row r="478" spans="3:187" ht="12.75" customHeight="1">
      <c r="C478" s="220"/>
      <c r="D478" s="220"/>
      <c r="E478" s="220"/>
      <c r="F478" s="220"/>
      <c r="G478" s="220"/>
      <c r="H478" s="220"/>
      <c r="I478" s="220"/>
      <c r="J478" s="220"/>
      <c r="K478" s="220"/>
      <c r="L478" s="220"/>
      <c r="M478" s="220"/>
      <c r="N478" s="220"/>
      <c r="O478" s="220"/>
      <c r="P478" s="220"/>
      <c r="Q478" s="220"/>
      <c r="R478" s="220"/>
      <c r="S478" s="220"/>
      <c r="T478" s="220"/>
      <c r="U478" s="220"/>
      <c r="V478" s="220"/>
      <c r="W478" s="220"/>
      <c r="X478" s="220"/>
      <c r="Y478" s="220"/>
      <c r="Z478" s="220"/>
      <c r="AA478" s="220"/>
      <c r="AB478" s="220"/>
      <c r="AC478" s="220"/>
      <c r="AD478" s="220"/>
      <c r="AE478" s="220"/>
      <c r="AF478" s="220"/>
      <c r="AG478" s="220"/>
      <c r="AH478" s="220"/>
      <c r="AI478" s="220"/>
      <c r="AJ478" s="220"/>
      <c r="AK478" s="220"/>
      <c r="AL478" s="220"/>
      <c r="AM478" s="220"/>
      <c r="AN478" s="220"/>
      <c r="AO478" s="220"/>
      <c r="AP478" s="220"/>
      <c r="AQ478" s="220"/>
      <c r="AR478" s="220"/>
      <c r="AS478" s="220"/>
      <c r="AT478" s="220"/>
      <c r="AU478" s="220"/>
      <c r="AV478" s="220"/>
      <c r="AW478" s="220"/>
      <c r="AX478" s="220"/>
      <c r="AY478" s="220"/>
      <c r="AZ478" s="220"/>
      <c r="BA478" s="220"/>
      <c r="BB478" s="220"/>
      <c r="BC478" s="220"/>
      <c r="BD478" s="220"/>
      <c r="BE478" s="220"/>
      <c r="BF478" s="220"/>
      <c r="BG478" s="220"/>
      <c r="BH478" s="220"/>
      <c r="BI478" s="220"/>
      <c r="BJ478" s="220"/>
      <c r="BK478" s="220"/>
      <c r="BL478" s="220"/>
      <c r="BM478" s="220"/>
      <c r="BN478" s="220"/>
      <c r="BO478" s="220"/>
      <c r="BP478" s="220"/>
      <c r="BQ478" s="220"/>
      <c r="BR478" s="220"/>
      <c r="BS478" s="220"/>
      <c r="BT478" s="220"/>
      <c r="BU478" s="220"/>
      <c r="BV478" s="220"/>
      <c r="BW478" s="220"/>
      <c r="BX478" s="220"/>
      <c r="BY478" s="220"/>
      <c r="BZ478" s="220"/>
      <c r="CA478" s="220"/>
      <c r="CB478" s="220"/>
      <c r="CC478" s="220"/>
      <c r="CD478" s="220"/>
      <c r="CE478" s="220"/>
      <c r="CF478" s="220"/>
      <c r="CG478" s="220"/>
      <c r="CH478" s="220"/>
      <c r="CI478" s="220"/>
      <c r="CJ478" s="220"/>
      <c r="CK478" s="220"/>
      <c r="CL478" s="220"/>
      <c r="CM478" s="220"/>
      <c r="CN478" s="220"/>
      <c r="CO478" s="220"/>
      <c r="CP478" s="220"/>
      <c r="CQ478" s="220"/>
      <c r="CR478" s="220"/>
      <c r="CS478" s="220"/>
      <c r="CT478" s="220"/>
      <c r="CU478" s="220"/>
      <c r="CV478" s="220"/>
      <c r="CW478" s="220"/>
      <c r="CX478" s="220"/>
      <c r="CY478" s="220"/>
      <c r="CZ478" s="220"/>
      <c r="DA478" s="220"/>
      <c r="DB478" s="220"/>
      <c r="DC478" s="220"/>
      <c r="DD478" s="220"/>
      <c r="DE478" s="220"/>
      <c r="DF478" s="220"/>
      <c r="DG478" s="220"/>
      <c r="DH478" s="220"/>
      <c r="DI478" s="220"/>
      <c r="DJ478" s="220"/>
      <c r="DK478" s="220"/>
      <c r="DL478" s="220"/>
      <c r="DM478" s="220"/>
      <c r="DN478" s="220"/>
      <c r="DO478" s="220"/>
      <c r="DP478" s="220"/>
      <c r="DQ478" s="220"/>
      <c r="DR478" s="220"/>
      <c r="DS478" s="220"/>
      <c r="DT478" s="220"/>
      <c r="DU478" s="220"/>
      <c r="DV478" s="220"/>
      <c r="DW478" s="220"/>
      <c r="DX478" s="220"/>
      <c r="DY478" s="220"/>
      <c r="DZ478" s="220"/>
      <c r="EA478" s="220"/>
      <c r="EB478" s="220"/>
      <c r="EC478" s="220"/>
      <c r="ED478" s="220"/>
      <c r="EE478" s="220"/>
      <c r="EF478" s="220"/>
      <c r="EG478" s="220"/>
      <c r="EH478" s="220"/>
      <c r="EI478" s="220"/>
      <c r="EJ478" s="220"/>
      <c r="EK478" s="220"/>
      <c r="EL478" s="220"/>
      <c r="EM478" s="220"/>
      <c r="EN478" s="220"/>
      <c r="EO478" s="220"/>
      <c r="EP478" s="220"/>
      <c r="EQ478" s="220"/>
      <c r="ER478" s="220"/>
      <c r="ES478" s="220"/>
      <c r="ET478" s="220"/>
      <c r="EU478" s="220"/>
      <c r="EV478" s="220"/>
      <c r="EW478" s="220"/>
      <c r="EX478" s="220"/>
      <c r="EY478" s="220"/>
      <c r="EZ478" s="220"/>
      <c r="FA478" s="220"/>
      <c r="FB478" s="220"/>
      <c r="FC478" s="220"/>
      <c r="FD478" s="220"/>
      <c r="FE478" s="220"/>
      <c r="FF478" s="220"/>
      <c r="FG478" s="220"/>
      <c r="FH478" s="220"/>
      <c r="FI478" s="220"/>
      <c r="FJ478" s="220"/>
      <c r="FK478" s="220"/>
      <c r="FL478" s="220"/>
      <c r="FM478" s="220"/>
      <c r="FN478" s="220"/>
      <c r="FO478" s="220"/>
      <c r="FP478" s="220"/>
      <c r="FQ478" s="220"/>
      <c r="FR478" s="220"/>
      <c r="FS478" s="220"/>
      <c r="FT478" s="220"/>
      <c r="FU478" s="220"/>
      <c r="FV478" s="220"/>
      <c r="FW478" s="220"/>
      <c r="FX478" s="220"/>
      <c r="FY478" s="220"/>
      <c r="FZ478" s="220"/>
      <c r="GA478" s="220"/>
      <c r="GB478" s="220"/>
      <c r="GC478" s="220"/>
      <c r="GD478" s="220"/>
      <c r="GE478" s="220"/>
    </row>
    <row r="479" spans="3:187" ht="12.75" customHeight="1">
      <c r="C479" s="106"/>
      <c r="D479" s="106"/>
      <c r="E479" s="106"/>
      <c r="F479" s="106"/>
      <c r="G479" s="106"/>
      <c r="H479" s="106"/>
      <c r="I479" s="106"/>
      <c r="J479" s="106"/>
      <c r="K479" s="106"/>
      <c r="L479" s="106"/>
      <c r="M479" s="106"/>
      <c r="N479" s="106"/>
      <c r="O479" s="106"/>
      <c r="P479" s="106"/>
      <c r="Q479" s="106"/>
      <c r="R479" s="106"/>
      <c r="S479" s="106"/>
      <c r="T479" s="106"/>
      <c r="U479" s="106"/>
      <c r="V479" s="106"/>
      <c r="W479" s="106"/>
      <c r="X479" s="106"/>
      <c r="Y479" s="106"/>
      <c r="Z479" s="106"/>
      <c r="AA479" s="106"/>
      <c r="AB479" s="106"/>
      <c r="AC479" s="106"/>
      <c r="AD479" s="106"/>
      <c r="AE479" s="106"/>
      <c r="AF479" s="106"/>
      <c r="AG479" s="106"/>
      <c r="AH479" s="106"/>
      <c r="AI479" s="106"/>
      <c r="AJ479" s="106"/>
      <c r="AK479" s="106"/>
      <c r="AL479" s="106"/>
      <c r="AM479" s="106"/>
      <c r="AN479" s="106"/>
      <c r="AO479" s="106"/>
      <c r="AP479" s="106"/>
      <c r="AQ479" s="106"/>
      <c r="AR479" s="106"/>
      <c r="AS479" s="106"/>
      <c r="AT479" s="106"/>
      <c r="AU479" s="106"/>
      <c r="AV479" s="106"/>
      <c r="AW479" s="106"/>
      <c r="AX479" s="106"/>
      <c r="AY479" s="106"/>
      <c r="AZ479" s="106"/>
      <c r="BA479" s="106"/>
      <c r="BB479" s="106"/>
      <c r="BC479" s="106"/>
      <c r="BD479" s="106"/>
      <c r="BE479" s="106"/>
      <c r="BF479" s="106"/>
      <c r="BG479" s="106"/>
      <c r="BH479" s="106"/>
      <c r="BI479" s="106"/>
      <c r="BJ479" s="106"/>
      <c r="BK479" s="106"/>
      <c r="BL479" s="106"/>
      <c r="BM479" s="106"/>
      <c r="BN479" s="106"/>
      <c r="BO479" s="106"/>
      <c r="BP479" s="106"/>
      <c r="BQ479" s="106"/>
      <c r="BR479" s="106"/>
      <c r="BS479" s="106"/>
      <c r="BT479" s="106"/>
      <c r="BU479" s="106"/>
      <c r="BV479" s="106"/>
      <c r="BW479" s="106"/>
      <c r="BX479" s="106"/>
      <c r="BY479" s="106"/>
      <c r="BZ479" s="106"/>
      <c r="CA479" s="106"/>
      <c r="CB479" s="106"/>
      <c r="CC479" s="106"/>
      <c r="CD479" s="106"/>
      <c r="CE479" s="106"/>
      <c r="CF479" s="106"/>
      <c r="CG479" s="106"/>
      <c r="CH479" s="106"/>
      <c r="CI479" s="106"/>
      <c r="CJ479" s="106"/>
      <c r="CK479" s="106"/>
      <c r="CL479" s="106"/>
      <c r="CM479" s="106"/>
      <c r="CN479" s="106"/>
      <c r="CO479" s="106"/>
      <c r="CP479" s="106"/>
      <c r="CQ479" s="106"/>
      <c r="CR479" s="106"/>
      <c r="CS479" s="106"/>
      <c r="CT479" s="106"/>
      <c r="CU479" s="106"/>
      <c r="CV479" s="106"/>
      <c r="CW479" s="106"/>
      <c r="CX479" s="106"/>
      <c r="CY479" s="106"/>
      <c r="CZ479" s="106"/>
      <c r="DA479" s="106"/>
      <c r="DB479" s="106"/>
      <c r="DC479" s="106"/>
      <c r="DD479" s="106"/>
      <c r="DE479" s="106"/>
      <c r="DF479" s="106"/>
      <c r="DG479" s="106"/>
      <c r="DH479" s="106"/>
      <c r="DI479" s="106"/>
      <c r="DJ479" s="106"/>
      <c r="DK479" s="106"/>
      <c r="DL479" s="106"/>
      <c r="DM479" s="106"/>
      <c r="DN479" s="106"/>
      <c r="DO479" s="106"/>
      <c r="DP479" s="106"/>
      <c r="DQ479" s="106"/>
      <c r="DR479" s="106"/>
      <c r="DS479" s="106"/>
      <c r="DT479" s="106"/>
      <c r="DU479" s="106"/>
      <c r="DV479" s="106"/>
      <c r="DW479" s="106"/>
      <c r="DX479" s="106"/>
      <c r="DY479" s="106"/>
      <c r="DZ479" s="106"/>
      <c r="EA479" s="106"/>
      <c r="EB479" s="106"/>
      <c r="EC479" s="106"/>
      <c r="ED479" s="106"/>
      <c r="EE479" s="106"/>
      <c r="EF479" s="106"/>
      <c r="EG479" s="106"/>
      <c r="EH479" s="106"/>
      <c r="EI479" s="106"/>
      <c r="EJ479" s="106"/>
      <c r="EK479" s="106"/>
      <c r="EL479" s="106"/>
      <c r="EM479" s="106"/>
      <c r="EN479" s="106"/>
      <c r="EO479" s="106"/>
      <c r="EP479" s="106"/>
      <c r="EQ479" s="106"/>
      <c r="ER479" s="106"/>
      <c r="ES479" s="106"/>
      <c r="ET479" s="106"/>
      <c r="EU479" s="106"/>
      <c r="EV479" s="106"/>
      <c r="EW479" s="106"/>
      <c r="EX479" s="106"/>
      <c r="EY479" s="106"/>
      <c r="EZ479" s="106"/>
      <c r="FA479" s="106"/>
      <c r="FB479" s="106"/>
      <c r="FC479" s="106"/>
      <c r="FD479" s="106"/>
      <c r="FE479" s="106"/>
      <c r="FF479" s="106"/>
      <c r="FG479" s="106"/>
      <c r="FH479" s="106"/>
      <c r="FI479" s="106"/>
      <c r="FJ479" s="106"/>
      <c r="FK479" s="106"/>
      <c r="FL479" s="106"/>
      <c r="FM479" s="106"/>
      <c r="FN479" s="106"/>
      <c r="FO479" s="106"/>
      <c r="FP479" s="106"/>
      <c r="FQ479" s="106"/>
      <c r="FR479" s="106"/>
      <c r="FS479" s="106"/>
      <c r="FT479" s="106"/>
      <c r="FU479" s="106"/>
      <c r="FV479" s="106"/>
      <c r="FW479" s="106"/>
      <c r="FX479" s="106"/>
      <c r="FY479" s="106"/>
      <c r="FZ479" s="106"/>
      <c r="GA479" s="106"/>
      <c r="GB479" s="106"/>
      <c r="GC479" s="106"/>
      <c r="GD479" s="106"/>
      <c r="GE479" s="106"/>
    </row>
    <row r="480" spans="3:187" ht="12.75" customHeight="1">
      <c r="C480" s="221"/>
      <c r="D480" s="221"/>
      <c r="E480" s="221"/>
      <c r="F480" s="221"/>
      <c r="G480" s="221"/>
      <c r="H480" s="221"/>
      <c r="I480" s="221"/>
      <c r="J480" s="221"/>
      <c r="K480" s="221"/>
      <c r="L480" s="221"/>
      <c r="M480" s="221"/>
      <c r="N480" s="221"/>
      <c r="O480" s="221"/>
      <c r="P480" s="221"/>
      <c r="Q480" s="221"/>
      <c r="R480" s="221"/>
      <c r="S480" s="221"/>
      <c r="T480" s="221"/>
      <c r="U480" s="221"/>
      <c r="V480" s="221"/>
      <c r="W480" s="221"/>
      <c r="X480" s="221"/>
      <c r="Y480" s="221"/>
      <c r="Z480" s="221"/>
      <c r="AA480" s="221"/>
      <c r="AB480" s="221"/>
      <c r="AC480" s="221"/>
      <c r="AD480" s="221"/>
      <c r="AE480" s="221"/>
      <c r="AF480" s="221"/>
      <c r="AG480" s="221"/>
      <c r="AH480" s="221"/>
      <c r="AI480" s="221"/>
      <c r="AJ480" s="221"/>
      <c r="AK480" s="221"/>
      <c r="AL480" s="221"/>
      <c r="AM480" s="221"/>
      <c r="AN480" s="221"/>
      <c r="AO480" s="221"/>
      <c r="AP480" s="221"/>
      <c r="AQ480" s="221"/>
      <c r="AR480" s="221"/>
      <c r="AS480" s="221"/>
      <c r="AT480" s="221"/>
      <c r="AU480" s="221"/>
      <c r="AV480" s="221"/>
      <c r="AW480" s="221"/>
      <c r="AX480" s="221"/>
      <c r="AY480" s="221"/>
      <c r="AZ480" s="221"/>
      <c r="BA480" s="221"/>
      <c r="BB480" s="221"/>
      <c r="BC480" s="221"/>
      <c r="BD480" s="221"/>
      <c r="BE480" s="221"/>
      <c r="BF480" s="221"/>
      <c r="BG480" s="221"/>
      <c r="BH480" s="221"/>
      <c r="BI480" s="221"/>
      <c r="BJ480" s="221"/>
      <c r="BK480" s="221"/>
      <c r="BL480" s="221"/>
      <c r="BM480" s="221"/>
      <c r="BN480" s="221"/>
      <c r="BO480" s="221"/>
      <c r="BP480" s="221"/>
      <c r="BQ480" s="221"/>
      <c r="BR480" s="221"/>
      <c r="BS480" s="221"/>
      <c r="BT480" s="221"/>
      <c r="BU480" s="221"/>
      <c r="BV480" s="221"/>
      <c r="BW480" s="221"/>
      <c r="BX480" s="221"/>
      <c r="BY480" s="221"/>
      <c r="BZ480" s="221"/>
      <c r="CA480" s="221"/>
      <c r="CB480" s="221"/>
      <c r="CC480" s="221"/>
      <c r="CD480" s="221"/>
      <c r="CE480" s="221"/>
      <c r="CF480" s="221"/>
      <c r="CG480" s="221"/>
      <c r="CH480" s="221"/>
      <c r="CI480" s="221"/>
      <c r="CJ480" s="221"/>
      <c r="CK480" s="221"/>
      <c r="CL480" s="221"/>
      <c r="CM480" s="221"/>
      <c r="CN480" s="221"/>
      <c r="CO480" s="221"/>
      <c r="CP480" s="221"/>
      <c r="CQ480" s="221"/>
      <c r="CR480" s="221"/>
      <c r="CS480" s="221"/>
      <c r="CT480" s="221"/>
      <c r="CU480" s="221"/>
      <c r="CV480" s="221"/>
      <c r="CW480" s="221"/>
      <c r="CX480" s="221"/>
      <c r="CY480" s="221"/>
      <c r="CZ480" s="221"/>
      <c r="DA480" s="221"/>
      <c r="DB480" s="221"/>
      <c r="DC480" s="221"/>
      <c r="DD480" s="221"/>
      <c r="DE480" s="221"/>
      <c r="DF480" s="221"/>
      <c r="DG480" s="221"/>
      <c r="DH480" s="221"/>
      <c r="DI480" s="221"/>
      <c r="DJ480" s="221"/>
      <c r="DK480" s="221"/>
      <c r="DL480" s="221"/>
      <c r="DM480" s="221"/>
      <c r="DN480" s="221"/>
      <c r="DO480" s="221"/>
      <c r="DP480" s="221"/>
      <c r="DQ480" s="221"/>
      <c r="DR480" s="221"/>
      <c r="DS480" s="221"/>
      <c r="DT480" s="221"/>
      <c r="DU480" s="221"/>
      <c r="DV480" s="221"/>
      <c r="DW480" s="221"/>
      <c r="DX480" s="221"/>
      <c r="DY480" s="221"/>
      <c r="DZ480" s="221"/>
      <c r="EA480" s="221"/>
      <c r="EB480" s="221"/>
      <c r="EC480" s="221"/>
      <c r="ED480" s="221"/>
      <c r="EE480" s="221"/>
      <c r="EF480" s="221"/>
      <c r="EG480" s="221"/>
      <c r="EH480" s="221"/>
      <c r="EI480" s="221"/>
      <c r="EJ480" s="221"/>
      <c r="EK480" s="221"/>
      <c r="EL480" s="221"/>
      <c r="EM480" s="221"/>
      <c r="EN480" s="221"/>
      <c r="EO480" s="221"/>
      <c r="EP480" s="221"/>
      <c r="EQ480" s="221"/>
      <c r="ER480" s="221"/>
      <c r="ES480" s="221"/>
      <c r="ET480" s="221"/>
      <c r="EU480" s="221"/>
      <c r="EV480" s="221"/>
      <c r="EW480" s="221"/>
      <c r="EX480" s="221"/>
      <c r="EY480" s="221"/>
      <c r="EZ480" s="221"/>
      <c r="FA480" s="221"/>
      <c r="FB480" s="221"/>
      <c r="FC480" s="221"/>
      <c r="FD480" s="221"/>
      <c r="FE480" s="221"/>
      <c r="FF480" s="221"/>
      <c r="FG480" s="221"/>
      <c r="FH480" s="221"/>
      <c r="FI480" s="221"/>
      <c r="FJ480" s="221"/>
      <c r="FK480" s="221"/>
      <c r="FL480" s="221"/>
      <c r="FM480" s="221"/>
      <c r="FN480" s="221"/>
      <c r="FO480" s="221"/>
      <c r="FP480" s="221"/>
      <c r="FQ480" s="221"/>
      <c r="FR480" s="221"/>
      <c r="FS480" s="221"/>
      <c r="FT480" s="221"/>
      <c r="FU480" s="221"/>
      <c r="FV480" s="221"/>
      <c r="FW480" s="221"/>
      <c r="FX480" s="221"/>
      <c r="FY480" s="221"/>
      <c r="FZ480" s="221"/>
      <c r="GA480" s="221"/>
      <c r="GB480" s="221"/>
      <c r="GC480" s="221"/>
      <c r="GD480" s="221"/>
      <c r="GE480" s="221"/>
    </row>
    <row r="481" spans="3:187" ht="12.75" customHeight="1">
      <c r="C481" s="222"/>
      <c r="D481" s="222"/>
      <c r="E481" s="222"/>
      <c r="F481" s="222"/>
      <c r="G481" s="222"/>
      <c r="H481" s="222"/>
      <c r="I481" s="222"/>
      <c r="J481" s="222"/>
      <c r="K481" s="222"/>
      <c r="L481" s="222"/>
      <c r="M481" s="222"/>
      <c r="N481" s="222"/>
      <c r="O481" s="222"/>
      <c r="P481" s="222"/>
      <c r="Q481" s="222"/>
      <c r="R481" s="222"/>
      <c r="S481" s="222"/>
      <c r="T481" s="222"/>
      <c r="U481" s="222"/>
      <c r="V481" s="222"/>
      <c r="W481" s="222"/>
      <c r="X481" s="222"/>
      <c r="Y481" s="222"/>
      <c r="Z481" s="222"/>
      <c r="AA481" s="222"/>
      <c r="AB481" s="222"/>
      <c r="AC481" s="222"/>
      <c r="AD481" s="222"/>
      <c r="AE481" s="222"/>
      <c r="AF481" s="222"/>
      <c r="AG481" s="222"/>
      <c r="AH481" s="222"/>
      <c r="AI481" s="222"/>
      <c r="AJ481" s="222"/>
      <c r="AK481" s="222"/>
      <c r="AL481" s="222"/>
      <c r="AM481" s="222"/>
      <c r="AN481" s="222"/>
      <c r="AO481" s="222"/>
      <c r="AP481" s="222"/>
      <c r="AQ481" s="222"/>
      <c r="AR481" s="222"/>
      <c r="AS481" s="222"/>
      <c r="AT481" s="222"/>
      <c r="AU481" s="222"/>
      <c r="AV481" s="222"/>
      <c r="AW481" s="222"/>
      <c r="AX481" s="222"/>
      <c r="AY481" s="222"/>
      <c r="AZ481" s="222"/>
      <c r="BA481" s="222"/>
      <c r="BB481" s="222"/>
      <c r="BC481" s="222"/>
      <c r="BD481" s="222"/>
      <c r="BE481" s="222"/>
      <c r="BF481" s="222"/>
      <c r="BG481" s="222"/>
      <c r="BH481" s="222"/>
      <c r="BI481" s="222"/>
      <c r="BJ481" s="222"/>
      <c r="BK481" s="222"/>
      <c r="BL481" s="222"/>
      <c r="BM481" s="222"/>
      <c r="BN481" s="222"/>
      <c r="BO481" s="222"/>
      <c r="BP481" s="222"/>
      <c r="BQ481" s="222"/>
      <c r="BR481" s="222"/>
      <c r="BS481" s="222"/>
      <c r="BT481" s="222"/>
      <c r="BU481" s="222"/>
      <c r="BV481" s="222"/>
      <c r="BW481" s="222"/>
      <c r="BX481" s="222"/>
      <c r="BY481" s="222"/>
      <c r="BZ481" s="222"/>
      <c r="CA481" s="222"/>
      <c r="CB481" s="222"/>
      <c r="CC481" s="222"/>
      <c r="CD481" s="222"/>
      <c r="CE481" s="222"/>
      <c r="CF481" s="222"/>
      <c r="CG481" s="222"/>
      <c r="CH481" s="222"/>
      <c r="CI481" s="222"/>
      <c r="CJ481" s="222"/>
      <c r="CK481" s="222"/>
      <c r="CL481" s="222"/>
      <c r="CM481" s="222"/>
      <c r="CN481" s="222"/>
      <c r="CO481" s="222"/>
      <c r="CP481" s="222"/>
      <c r="CQ481" s="222"/>
      <c r="CR481" s="222"/>
      <c r="CS481" s="222"/>
      <c r="CT481" s="222"/>
      <c r="CU481" s="222"/>
      <c r="CV481" s="222"/>
      <c r="CW481" s="222"/>
      <c r="CX481" s="222"/>
      <c r="CY481" s="222"/>
      <c r="CZ481" s="222"/>
      <c r="DA481" s="222"/>
      <c r="DB481" s="222"/>
      <c r="DC481" s="222"/>
      <c r="DD481" s="222"/>
      <c r="DE481" s="222"/>
      <c r="DF481" s="222"/>
      <c r="DG481" s="222"/>
      <c r="DH481" s="222"/>
      <c r="DI481" s="222"/>
      <c r="DJ481" s="222"/>
      <c r="DK481" s="222"/>
      <c r="DL481" s="222"/>
      <c r="DM481" s="222"/>
      <c r="DN481" s="222"/>
      <c r="DO481" s="222"/>
      <c r="DP481" s="222"/>
      <c r="DQ481" s="222"/>
      <c r="DR481" s="222"/>
      <c r="DS481" s="222"/>
      <c r="DT481" s="222"/>
      <c r="DU481" s="222"/>
      <c r="DV481" s="222"/>
      <c r="DW481" s="222"/>
      <c r="DX481" s="222"/>
      <c r="DY481" s="222"/>
      <c r="DZ481" s="222"/>
      <c r="EA481" s="222"/>
      <c r="EB481" s="222"/>
      <c r="EC481" s="222"/>
      <c r="ED481" s="222"/>
      <c r="EE481" s="222"/>
      <c r="EF481" s="222"/>
      <c r="EG481" s="222"/>
      <c r="EH481" s="222"/>
      <c r="EI481" s="222"/>
      <c r="EJ481" s="222"/>
      <c r="EK481" s="222"/>
      <c r="EL481" s="222"/>
      <c r="EM481" s="222"/>
      <c r="EN481" s="222"/>
      <c r="EO481" s="222"/>
      <c r="EP481" s="222"/>
      <c r="EQ481" s="222"/>
      <c r="ER481" s="222"/>
      <c r="ES481" s="222"/>
      <c r="ET481" s="222"/>
      <c r="EU481" s="222"/>
      <c r="EV481" s="222"/>
      <c r="EW481" s="222"/>
      <c r="EX481" s="222"/>
      <c r="EY481" s="222"/>
      <c r="EZ481" s="222"/>
      <c r="FA481" s="222"/>
      <c r="FB481" s="222"/>
      <c r="FC481" s="222"/>
      <c r="FD481" s="222"/>
      <c r="FE481" s="222"/>
      <c r="FF481" s="222"/>
      <c r="FG481" s="222"/>
      <c r="FH481" s="222"/>
      <c r="FI481" s="222"/>
      <c r="FJ481" s="222"/>
      <c r="FK481" s="222"/>
      <c r="FL481" s="222"/>
      <c r="FM481" s="222"/>
      <c r="FN481" s="222"/>
      <c r="FO481" s="222"/>
      <c r="FP481" s="222"/>
      <c r="FQ481" s="222"/>
      <c r="FR481" s="222"/>
      <c r="FS481" s="222"/>
      <c r="FT481" s="222"/>
      <c r="FU481" s="222"/>
      <c r="FV481" s="222"/>
      <c r="FW481" s="222"/>
      <c r="FX481" s="222"/>
      <c r="FY481" s="222"/>
      <c r="FZ481" s="222"/>
      <c r="GA481" s="222"/>
      <c r="GB481" s="222"/>
      <c r="GC481" s="222"/>
      <c r="GD481" s="222"/>
      <c r="GE481" s="222"/>
    </row>
    <row r="482" spans="3:187" ht="12.75" customHeight="1">
      <c r="C482" s="222"/>
      <c r="D482" s="222"/>
      <c r="E482" s="222"/>
      <c r="F482" s="222"/>
      <c r="G482" s="222"/>
      <c r="H482" s="222"/>
      <c r="I482" s="222"/>
      <c r="J482" s="222"/>
      <c r="K482" s="222"/>
      <c r="L482" s="222"/>
      <c r="M482" s="222"/>
      <c r="N482" s="222"/>
      <c r="O482" s="222"/>
      <c r="P482" s="222"/>
      <c r="Q482" s="222"/>
      <c r="R482" s="222"/>
      <c r="S482" s="222"/>
      <c r="T482" s="222"/>
      <c r="U482" s="222"/>
      <c r="V482" s="222"/>
      <c r="W482" s="222"/>
      <c r="X482" s="222"/>
      <c r="Y482" s="222"/>
      <c r="Z482" s="222"/>
      <c r="AA482" s="222"/>
      <c r="AB482" s="222"/>
      <c r="AC482" s="222"/>
      <c r="AD482" s="222"/>
      <c r="AE482" s="222"/>
      <c r="AF482" s="222"/>
      <c r="AG482" s="222"/>
      <c r="AH482" s="222"/>
      <c r="AI482" s="222"/>
      <c r="AJ482" s="222"/>
      <c r="AK482" s="222"/>
      <c r="AL482" s="222"/>
      <c r="AM482" s="222"/>
      <c r="AN482" s="222"/>
      <c r="AO482" s="222"/>
      <c r="AP482" s="222"/>
      <c r="AQ482" s="222"/>
      <c r="AR482" s="222"/>
      <c r="AS482" s="222"/>
      <c r="AT482" s="222"/>
      <c r="AU482" s="222"/>
      <c r="AV482" s="222"/>
      <c r="AW482" s="222"/>
      <c r="AX482" s="222"/>
      <c r="AY482" s="222"/>
      <c r="AZ482" s="222"/>
      <c r="BA482" s="222"/>
      <c r="BB482" s="222"/>
      <c r="BC482" s="222"/>
      <c r="BD482" s="222"/>
      <c r="BE482" s="222"/>
      <c r="BF482" s="222"/>
      <c r="BG482" s="222"/>
      <c r="BH482" s="222"/>
      <c r="BI482" s="222"/>
      <c r="BJ482" s="222"/>
      <c r="BK482" s="222"/>
      <c r="BL482" s="222"/>
      <c r="BM482" s="222"/>
      <c r="BN482" s="222"/>
      <c r="BO482" s="222"/>
      <c r="BP482" s="222"/>
      <c r="BQ482" s="222"/>
      <c r="BR482" s="222"/>
      <c r="BS482" s="222"/>
      <c r="BT482" s="222"/>
      <c r="BU482" s="222"/>
      <c r="BV482" s="222"/>
      <c r="BW482" s="222"/>
      <c r="BX482" s="222"/>
      <c r="BY482" s="222"/>
      <c r="BZ482" s="222"/>
      <c r="CA482" s="222"/>
      <c r="CB482" s="222"/>
      <c r="CC482" s="222"/>
      <c r="CD482" s="222"/>
      <c r="CE482" s="222"/>
      <c r="CF482" s="222"/>
      <c r="CG482" s="222"/>
      <c r="CH482" s="222"/>
      <c r="CI482" s="222"/>
      <c r="CJ482" s="222"/>
      <c r="CK482" s="222"/>
      <c r="CL482" s="222"/>
      <c r="CM482" s="222"/>
      <c r="CN482" s="222"/>
      <c r="CO482" s="222"/>
      <c r="CP482" s="222"/>
      <c r="CQ482" s="222"/>
      <c r="CR482" s="222"/>
      <c r="CS482" s="222"/>
      <c r="CT482" s="222"/>
      <c r="CU482" s="222"/>
      <c r="CV482" s="222"/>
      <c r="CW482" s="222"/>
      <c r="CX482" s="222"/>
      <c r="CY482" s="222"/>
      <c r="CZ482" s="222"/>
      <c r="DA482" s="222"/>
      <c r="DB482" s="222"/>
      <c r="DC482" s="222"/>
      <c r="DD482" s="222"/>
      <c r="DE482" s="222"/>
      <c r="DF482" s="222"/>
      <c r="DG482" s="222"/>
      <c r="DH482" s="222"/>
      <c r="DI482" s="222"/>
      <c r="DJ482" s="222"/>
      <c r="DK482" s="222"/>
      <c r="DL482" s="222"/>
      <c r="DM482" s="222"/>
      <c r="DN482" s="222"/>
      <c r="DO482" s="222"/>
      <c r="DP482" s="222"/>
      <c r="DQ482" s="222"/>
      <c r="DR482" s="222"/>
      <c r="DS482" s="222"/>
      <c r="DT482" s="222"/>
      <c r="DU482" s="222"/>
      <c r="DV482" s="222"/>
      <c r="DW482" s="222"/>
      <c r="DX482" s="222"/>
      <c r="DY482" s="222"/>
      <c r="DZ482" s="222"/>
      <c r="EA482" s="222"/>
      <c r="EB482" s="222"/>
      <c r="EC482" s="222"/>
      <c r="ED482" s="222"/>
      <c r="EE482" s="222"/>
      <c r="EF482" s="222"/>
      <c r="EG482" s="222"/>
      <c r="EH482" s="222"/>
      <c r="EI482" s="222"/>
      <c r="EJ482" s="222"/>
      <c r="EK482" s="222"/>
      <c r="EL482" s="222"/>
      <c r="EM482" s="222"/>
      <c r="EN482" s="222"/>
      <c r="EO482" s="222"/>
      <c r="EP482" s="222"/>
      <c r="EQ482" s="222"/>
      <c r="ER482" s="222"/>
      <c r="ES482" s="222"/>
      <c r="ET482" s="222"/>
      <c r="EU482" s="222"/>
      <c r="EV482" s="222"/>
      <c r="EW482" s="222"/>
      <c r="EX482" s="222"/>
      <c r="EY482" s="222"/>
      <c r="EZ482" s="222"/>
      <c r="FA482" s="222"/>
      <c r="FB482" s="222"/>
      <c r="FC482" s="222"/>
      <c r="FD482" s="222"/>
      <c r="FE482" s="222"/>
      <c r="FF482" s="222"/>
      <c r="FG482" s="222"/>
      <c r="FH482" s="222"/>
      <c r="FI482" s="222"/>
      <c r="FJ482" s="222"/>
      <c r="FK482" s="222"/>
      <c r="FL482" s="222"/>
      <c r="FM482" s="222"/>
      <c r="FN482" s="222"/>
      <c r="FO482" s="222"/>
      <c r="FP482" s="222"/>
      <c r="FQ482" s="222"/>
      <c r="FR482" s="222"/>
      <c r="FS482" s="222"/>
      <c r="FT482" s="222"/>
      <c r="FU482" s="222"/>
      <c r="FV482" s="222"/>
      <c r="FW482" s="222"/>
      <c r="FX482" s="222"/>
      <c r="FY482" s="222"/>
      <c r="FZ482" s="222"/>
      <c r="GA482" s="222"/>
      <c r="GB482" s="222"/>
      <c r="GC482" s="222"/>
      <c r="GD482" s="222"/>
      <c r="GE482" s="222"/>
    </row>
    <row r="483" spans="3:187" ht="12.75" customHeight="1">
      <c r="C483" s="222"/>
      <c r="D483" s="222"/>
      <c r="E483" s="222"/>
      <c r="F483" s="222"/>
      <c r="G483" s="222"/>
      <c r="H483" s="222"/>
      <c r="I483" s="222"/>
      <c r="J483" s="222"/>
      <c r="K483" s="222"/>
      <c r="L483" s="222"/>
      <c r="M483" s="222"/>
      <c r="N483" s="222"/>
      <c r="O483" s="222"/>
      <c r="P483" s="222"/>
      <c r="Q483" s="222"/>
      <c r="R483" s="222"/>
      <c r="S483" s="222"/>
      <c r="T483" s="222"/>
      <c r="U483" s="222"/>
      <c r="V483" s="222"/>
      <c r="W483" s="222"/>
      <c r="X483" s="222"/>
      <c r="Y483" s="222"/>
      <c r="Z483" s="222"/>
      <c r="AA483" s="222"/>
      <c r="AB483" s="222"/>
      <c r="AC483" s="222"/>
      <c r="AD483" s="222"/>
      <c r="AE483" s="222"/>
      <c r="AF483" s="222"/>
      <c r="AG483" s="222"/>
      <c r="AH483" s="222"/>
      <c r="AI483" s="222"/>
      <c r="AJ483" s="222"/>
      <c r="AK483" s="222"/>
      <c r="AL483" s="222"/>
      <c r="AM483" s="222"/>
      <c r="AN483" s="222"/>
      <c r="AO483" s="222"/>
      <c r="AP483" s="222"/>
      <c r="AQ483" s="222"/>
      <c r="AR483" s="222"/>
      <c r="AS483" s="222"/>
      <c r="AT483" s="222"/>
      <c r="AU483" s="222"/>
      <c r="AV483" s="222"/>
      <c r="AW483" s="222"/>
      <c r="AX483" s="222"/>
      <c r="AY483" s="222"/>
      <c r="AZ483" s="222"/>
      <c r="BA483" s="222"/>
      <c r="BB483" s="222"/>
      <c r="BC483" s="222"/>
      <c r="BD483" s="222"/>
      <c r="BE483" s="222"/>
      <c r="BF483" s="222"/>
      <c r="BG483" s="222"/>
      <c r="BH483" s="222"/>
      <c r="BI483" s="222"/>
      <c r="BJ483" s="222"/>
      <c r="BK483" s="222"/>
      <c r="BL483" s="222"/>
      <c r="BM483" s="222"/>
      <c r="BN483" s="222"/>
      <c r="BO483" s="222"/>
      <c r="BP483" s="222"/>
      <c r="BQ483" s="222"/>
      <c r="BR483" s="222"/>
      <c r="BS483" s="222"/>
      <c r="BT483" s="222"/>
      <c r="BU483" s="222"/>
      <c r="BV483" s="222"/>
      <c r="BW483" s="222"/>
      <c r="BX483" s="222"/>
      <c r="BY483" s="222"/>
      <c r="BZ483" s="222"/>
      <c r="CA483" s="222"/>
      <c r="CB483" s="222"/>
      <c r="CC483" s="222"/>
      <c r="CD483" s="222"/>
      <c r="CE483" s="222"/>
      <c r="CF483" s="222"/>
      <c r="CG483" s="222"/>
      <c r="CH483" s="222"/>
      <c r="CI483" s="222"/>
      <c r="CJ483" s="222"/>
      <c r="CK483" s="222"/>
      <c r="CL483" s="222"/>
      <c r="CM483" s="222"/>
      <c r="CN483" s="222"/>
      <c r="CO483" s="222"/>
      <c r="CP483" s="222"/>
      <c r="CQ483" s="222"/>
      <c r="CR483" s="222"/>
      <c r="CS483" s="222"/>
      <c r="CT483" s="222"/>
      <c r="CU483" s="222"/>
      <c r="CV483" s="222"/>
      <c r="CW483" s="222"/>
      <c r="CX483" s="222"/>
      <c r="CY483" s="222"/>
      <c r="CZ483" s="222"/>
      <c r="DA483" s="222"/>
      <c r="DB483" s="222"/>
      <c r="DC483" s="222"/>
      <c r="DD483" s="222"/>
      <c r="DE483" s="222"/>
      <c r="DF483" s="222"/>
      <c r="DG483" s="222"/>
      <c r="DH483" s="222"/>
      <c r="DI483" s="222"/>
      <c r="DJ483" s="222"/>
      <c r="DK483" s="222"/>
      <c r="DL483" s="222"/>
      <c r="DM483" s="222"/>
      <c r="DN483" s="222"/>
      <c r="DO483" s="222"/>
      <c r="DP483" s="222"/>
      <c r="DQ483" s="222"/>
      <c r="DR483" s="222"/>
      <c r="DS483" s="222"/>
      <c r="DT483" s="222"/>
      <c r="DU483" s="222"/>
      <c r="DV483" s="222"/>
      <c r="DW483" s="222"/>
      <c r="DX483" s="222"/>
      <c r="DY483" s="222"/>
      <c r="DZ483" s="222"/>
      <c r="EA483" s="222"/>
      <c r="EB483" s="222"/>
      <c r="EC483" s="222"/>
      <c r="ED483" s="222"/>
      <c r="EE483" s="222"/>
      <c r="EF483" s="222"/>
      <c r="EG483" s="222"/>
      <c r="EH483" s="222"/>
      <c r="EI483" s="222"/>
      <c r="EJ483" s="222"/>
      <c r="EK483" s="222"/>
      <c r="EL483" s="222"/>
      <c r="EM483" s="222"/>
      <c r="EN483" s="222"/>
      <c r="EO483" s="222"/>
      <c r="EP483" s="222"/>
      <c r="EQ483" s="222"/>
      <c r="ER483" s="222"/>
      <c r="ES483" s="222"/>
      <c r="ET483" s="222"/>
      <c r="EU483" s="222"/>
      <c r="EV483" s="222"/>
      <c r="EW483" s="222"/>
      <c r="EX483" s="222"/>
      <c r="EY483" s="222"/>
      <c r="EZ483" s="222"/>
      <c r="FA483" s="222"/>
      <c r="FB483" s="222"/>
      <c r="FC483" s="222"/>
      <c r="FD483" s="222"/>
      <c r="FE483" s="222"/>
      <c r="FF483" s="222"/>
      <c r="FG483" s="222"/>
      <c r="FH483" s="222"/>
      <c r="FI483" s="222"/>
      <c r="FJ483" s="222"/>
      <c r="FK483" s="222"/>
      <c r="FL483" s="222"/>
      <c r="FM483" s="222"/>
      <c r="FN483" s="222"/>
      <c r="FO483" s="222"/>
      <c r="FP483" s="222"/>
      <c r="FQ483" s="222"/>
      <c r="FR483" s="222"/>
      <c r="FS483" s="222"/>
      <c r="FT483" s="222"/>
      <c r="FU483" s="222"/>
      <c r="FV483" s="222"/>
      <c r="FW483" s="222"/>
      <c r="FX483" s="222"/>
      <c r="FY483" s="222"/>
      <c r="FZ483" s="222"/>
      <c r="GA483" s="222"/>
      <c r="GB483" s="222"/>
      <c r="GC483" s="222"/>
      <c r="GD483" s="222"/>
      <c r="GE483" s="222"/>
    </row>
    <row r="484" spans="3:187" ht="12.75" customHeight="1">
      <c r="C484" s="223"/>
      <c r="D484" s="224"/>
      <c r="E484" s="224"/>
      <c r="F484" s="224"/>
      <c r="G484" s="224"/>
      <c r="H484" s="223"/>
      <c r="I484" s="224"/>
      <c r="J484" s="224"/>
      <c r="K484" s="224"/>
      <c r="L484" s="224"/>
      <c r="M484" s="223"/>
      <c r="N484" s="224"/>
      <c r="O484" s="224"/>
      <c r="P484" s="224"/>
      <c r="Q484" s="224"/>
      <c r="R484" s="223"/>
      <c r="S484" s="224"/>
      <c r="T484" s="224"/>
      <c r="U484" s="224"/>
      <c r="V484" s="224"/>
      <c r="W484" s="223"/>
      <c r="X484" s="224"/>
      <c r="Y484" s="224"/>
      <c r="Z484" s="224"/>
      <c r="AA484" s="224"/>
      <c r="AB484" s="223"/>
      <c r="AC484" s="224"/>
      <c r="AD484" s="224"/>
      <c r="AE484" s="224"/>
      <c r="AF484" s="224"/>
      <c r="AG484" s="223"/>
      <c r="AH484" s="224"/>
      <c r="AI484" s="224"/>
      <c r="AJ484" s="224"/>
      <c r="AK484" s="224"/>
      <c r="AL484" s="223"/>
      <c r="AM484" s="224"/>
      <c r="AN484" s="224"/>
      <c r="AO484" s="224"/>
      <c r="AP484" s="224"/>
      <c r="AQ484" s="223"/>
      <c r="AR484" s="224"/>
      <c r="AS484" s="224"/>
      <c r="AT484" s="224"/>
      <c r="AU484" s="224"/>
      <c r="AV484" s="223"/>
      <c r="AW484" s="224"/>
      <c r="AX484" s="224"/>
      <c r="AY484" s="224"/>
      <c r="AZ484" s="224"/>
      <c r="BA484" s="223"/>
      <c r="BB484" s="224"/>
      <c r="BC484" s="224"/>
      <c r="BD484" s="224"/>
      <c r="BE484" s="224"/>
      <c r="BF484" s="223"/>
      <c r="BG484" s="224"/>
      <c r="BH484" s="224"/>
      <c r="BI484" s="224"/>
      <c r="BJ484" s="224"/>
      <c r="BK484" s="223"/>
      <c r="BL484" s="224"/>
      <c r="BM484" s="224"/>
      <c r="BN484" s="224"/>
      <c r="BO484" s="224"/>
      <c r="BP484" s="223"/>
      <c r="BQ484" s="224"/>
      <c r="BR484" s="224"/>
      <c r="BS484" s="224"/>
      <c r="BT484" s="224"/>
      <c r="BU484" s="223"/>
      <c r="BV484" s="224"/>
      <c r="BW484" s="224"/>
      <c r="BX484" s="224"/>
      <c r="BY484" s="224"/>
      <c r="BZ484" s="223"/>
      <c r="CA484" s="224"/>
      <c r="CB484" s="224"/>
      <c r="CC484" s="224"/>
      <c r="CD484" s="224"/>
      <c r="CE484" s="223"/>
      <c r="CF484" s="224"/>
      <c r="CG484" s="224"/>
      <c r="CH484" s="224"/>
      <c r="CI484" s="224"/>
      <c r="CJ484" s="223"/>
      <c r="CK484" s="224"/>
      <c r="CL484" s="224"/>
      <c r="CM484" s="224"/>
      <c r="CN484" s="224"/>
      <c r="CO484" s="223"/>
      <c r="CP484" s="224"/>
      <c r="CQ484" s="224"/>
      <c r="CR484" s="224"/>
      <c r="CS484" s="224"/>
      <c r="CT484" s="223"/>
      <c r="CU484" s="224"/>
      <c r="CV484" s="224"/>
      <c r="CW484" s="224"/>
      <c r="CX484" s="224"/>
      <c r="CY484" s="223"/>
      <c r="CZ484" s="224"/>
      <c r="DA484" s="224"/>
      <c r="DB484" s="224"/>
      <c r="DC484" s="224"/>
      <c r="DD484" s="223"/>
      <c r="DE484" s="224"/>
      <c r="DF484" s="224"/>
      <c r="DG484" s="224"/>
      <c r="DH484" s="224"/>
      <c r="DI484" s="223"/>
      <c r="DJ484" s="224"/>
      <c r="DK484" s="224"/>
      <c r="DL484" s="224"/>
      <c r="DM484" s="224"/>
      <c r="DN484" s="223"/>
      <c r="DO484" s="224"/>
      <c r="DP484" s="224"/>
      <c r="DQ484" s="224"/>
      <c r="DR484" s="224"/>
      <c r="DS484" s="223"/>
      <c r="DT484" s="224"/>
      <c r="DU484" s="224"/>
      <c r="DV484" s="224"/>
      <c r="DW484" s="224"/>
      <c r="DX484" s="223"/>
      <c r="DY484" s="224"/>
      <c r="DZ484" s="224"/>
      <c r="EA484" s="224"/>
      <c r="EB484" s="224"/>
      <c r="EC484" s="223"/>
      <c r="ED484" s="224"/>
      <c r="EE484" s="224"/>
      <c r="EF484" s="224"/>
      <c r="EG484" s="224"/>
      <c r="EH484" s="223"/>
      <c r="EI484" s="224"/>
      <c r="EJ484" s="224"/>
      <c r="EK484" s="224"/>
      <c r="EL484" s="224"/>
      <c r="EM484" s="223"/>
      <c r="EN484" s="224"/>
      <c r="EO484" s="224"/>
      <c r="EP484" s="224"/>
      <c r="EQ484" s="224"/>
      <c r="ER484" s="223"/>
      <c r="ES484" s="224"/>
      <c r="ET484" s="224"/>
      <c r="EU484" s="224"/>
      <c r="EV484" s="224"/>
      <c r="EW484" s="223"/>
      <c r="EX484" s="224"/>
      <c r="EY484" s="224"/>
      <c r="EZ484" s="224"/>
      <c r="FA484" s="224"/>
      <c r="FB484" s="223"/>
      <c r="FC484" s="224"/>
      <c r="FD484" s="224"/>
      <c r="FE484" s="224"/>
      <c r="FF484" s="224"/>
      <c r="FG484" s="223"/>
      <c r="FH484" s="224"/>
      <c r="FI484" s="224"/>
      <c r="FJ484" s="224"/>
      <c r="FK484" s="224"/>
      <c r="FL484" s="223"/>
      <c r="FM484" s="224"/>
      <c r="FN484" s="224"/>
      <c r="FO484" s="224"/>
      <c r="FP484" s="224"/>
      <c r="FQ484" s="223"/>
      <c r="FR484" s="224"/>
      <c r="FS484" s="224"/>
      <c r="FT484" s="224"/>
      <c r="FU484" s="224"/>
      <c r="FV484" s="223"/>
      <c r="FW484" s="224"/>
      <c r="FX484" s="224"/>
      <c r="FY484" s="224"/>
      <c r="FZ484" s="224"/>
      <c r="GA484" s="223"/>
      <c r="GB484" s="224"/>
      <c r="GC484" s="224"/>
      <c r="GD484" s="224"/>
      <c r="GE484" s="224"/>
    </row>
    <row r="485" spans="3:187" ht="12.75" customHeight="1">
      <c r="C485" s="223"/>
      <c r="D485" s="224"/>
      <c r="E485" s="224"/>
      <c r="F485" s="224"/>
      <c r="G485" s="224"/>
      <c r="H485" s="223"/>
      <c r="I485" s="224"/>
      <c r="J485" s="224"/>
      <c r="K485" s="224"/>
      <c r="L485" s="224"/>
      <c r="M485" s="223"/>
      <c r="N485" s="224"/>
      <c r="O485" s="224"/>
      <c r="P485" s="224"/>
      <c r="Q485" s="224"/>
      <c r="R485" s="223"/>
      <c r="S485" s="224"/>
      <c r="T485" s="224"/>
      <c r="U485" s="224"/>
      <c r="V485" s="224"/>
      <c r="W485" s="223"/>
      <c r="X485" s="224"/>
      <c r="Y485" s="224"/>
      <c r="Z485" s="224"/>
      <c r="AA485" s="224"/>
      <c r="AB485" s="223"/>
      <c r="AC485" s="224"/>
      <c r="AD485" s="224"/>
      <c r="AE485" s="224"/>
      <c r="AF485" s="224"/>
      <c r="AG485" s="223"/>
      <c r="AH485" s="224"/>
      <c r="AI485" s="224"/>
      <c r="AJ485" s="224"/>
      <c r="AK485" s="224"/>
      <c r="AL485" s="223"/>
      <c r="AM485" s="224"/>
      <c r="AN485" s="224"/>
      <c r="AO485" s="224"/>
      <c r="AP485" s="224"/>
      <c r="AQ485" s="223"/>
      <c r="AR485" s="224"/>
      <c r="AS485" s="224"/>
      <c r="AT485" s="224"/>
      <c r="AU485" s="224"/>
      <c r="AV485" s="223"/>
      <c r="AW485" s="224"/>
      <c r="AX485" s="224"/>
      <c r="AY485" s="224"/>
      <c r="AZ485" s="224"/>
      <c r="BA485" s="223"/>
      <c r="BB485" s="224"/>
      <c r="BC485" s="224"/>
      <c r="BD485" s="224"/>
      <c r="BE485" s="224"/>
      <c r="BF485" s="223"/>
      <c r="BG485" s="224"/>
      <c r="BH485" s="224"/>
      <c r="BI485" s="224"/>
      <c r="BJ485" s="224"/>
      <c r="BK485" s="223"/>
      <c r="BL485" s="224"/>
      <c r="BM485" s="224"/>
      <c r="BN485" s="224"/>
      <c r="BO485" s="224"/>
      <c r="BP485" s="223"/>
      <c r="BQ485" s="224"/>
      <c r="BR485" s="224"/>
      <c r="BS485" s="224"/>
      <c r="BT485" s="224"/>
      <c r="BU485" s="223"/>
      <c r="BV485" s="224"/>
      <c r="BW485" s="224"/>
      <c r="BX485" s="224"/>
      <c r="BY485" s="224"/>
      <c r="BZ485" s="223"/>
      <c r="CA485" s="224"/>
      <c r="CB485" s="224"/>
      <c r="CC485" s="224"/>
      <c r="CD485" s="224"/>
      <c r="CE485" s="223"/>
      <c r="CF485" s="224"/>
      <c r="CG485" s="224"/>
      <c r="CH485" s="224"/>
      <c r="CI485" s="224"/>
      <c r="CJ485" s="223"/>
      <c r="CK485" s="224"/>
      <c r="CL485" s="224"/>
      <c r="CM485" s="224"/>
      <c r="CN485" s="224"/>
      <c r="CO485" s="223"/>
      <c r="CP485" s="224"/>
      <c r="CQ485" s="224"/>
      <c r="CR485" s="224"/>
      <c r="CS485" s="224"/>
      <c r="CT485" s="223"/>
      <c r="CU485" s="224"/>
      <c r="CV485" s="224"/>
      <c r="CW485" s="224"/>
      <c r="CX485" s="224"/>
      <c r="CY485" s="223"/>
      <c r="CZ485" s="224"/>
      <c r="DA485" s="224"/>
      <c r="DB485" s="224"/>
      <c r="DC485" s="224"/>
      <c r="DD485" s="223"/>
      <c r="DE485" s="224"/>
      <c r="DF485" s="224"/>
      <c r="DG485" s="224"/>
      <c r="DH485" s="224"/>
      <c r="DI485" s="223"/>
      <c r="DJ485" s="224"/>
      <c r="DK485" s="224"/>
      <c r="DL485" s="224"/>
      <c r="DM485" s="224"/>
      <c r="DN485" s="223"/>
      <c r="DO485" s="224"/>
      <c r="DP485" s="224"/>
      <c r="DQ485" s="224"/>
      <c r="DR485" s="224"/>
      <c r="DS485" s="223"/>
      <c r="DT485" s="224"/>
      <c r="DU485" s="224"/>
      <c r="DV485" s="224"/>
      <c r="DW485" s="224"/>
      <c r="DX485" s="223"/>
      <c r="DY485" s="224"/>
      <c r="DZ485" s="224"/>
      <c r="EA485" s="224"/>
      <c r="EB485" s="224"/>
      <c r="EC485" s="223"/>
      <c r="ED485" s="224"/>
      <c r="EE485" s="224"/>
      <c r="EF485" s="224"/>
      <c r="EG485" s="224"/>
      <c r="EH485" s="223"/>
      <c r="EI485" s="224"/>
      <c r="EJ485" s="224"/>
      <c r="EK485" s="224"/>
      <c r="EL485" s="224"/>
      <c r="EM485" s="223"/>
      <c r="EN485" s="224"/>
      <c r="EO485" s="224"/>
      <c r="EP485" s="224"/>
      <c r="EQ485" s="224"/>
      <c r="ER485" s="223"/>
      <c r="ES485" s="224"/>
      <c r="ET485" s="224"/>
      <c r="EU485" s="224"/>
      <c r="EV485" s="224"/>
      <c r="EW485" s="223"/>
      <c r="EX485" s="224"/>
      <c r="EY485" s="224"/>
      <c r="EZ485" s="224"/>
      <c r="FA485" s="224"/>
      <c r="FB485" s="223"/>
      <c r="FC485" s="224"/>
      <c r="FD485" s="224"/>
      <c r="FE485" s="224"/>
      <c r="FF485" s="224"/>
      <c r="FG485" s="223"/>
      <c r="FH485" s="224"/>
      <c r="FI485" s="224"/>
      <c r="FJ485" s="224"/>
      <c r="FK485" s="224"/>
      <c r="FL485" s="223"/>
      <c r="FM485" s="224"/>
      <c r="FN485" s="224"/>
      <c r="FO485" s="224"/>
      <c r="FP485" s="224"/>
      <c r="FQ485" s="223"/>
      <c r="FR485" s="224"/>
      <c r="FS485" s="224"/>
      <c r="FT485" s="224"/>
      <c r="FU485" s="224"/>
      <c r="FV485" s="223"/>
      <c r="FW485" s="224"/>
      <c r="FX485" s="224"/>
      <c r="FY485" s="224"/>
      <c r="FZ485" s="224"/>
      <c r="GA485" s="223"/>
      <c r="GB485" s="224"/>
      <c r="GC485" s="224"/>
      <c r="GD485" s="224"/>
      <c r="GE485" s="224"/>
    </row>
    <row r="486" spans="3:187" ht="12.75" customHeight="1">
      <c r="C486" s="169"/>
      <c r="D486" s="169"/>
      <c r="E486" s="169"/>
      <c r="F486" s="169"/>
      <c r="G486" s="169"/>
      <c r="H486" s="169"/>
      <c r="I486" s="169"/>
      <c r="J486" s="169"/>
      <c r="K486" s="169"/>
      <c r="L486" s="169"/>
      <c r="M486" s="169"/>
      <c r="N486" s="169"/>
      <c r="O486" s="169"/>
      <c r="P486" s="169"/>
      <c r="Q486" s="169"/>
      <c r="R486" s="169"/>
      <c r="S486" s="169"/>
      <c r="T486" s="169"/>
      <c r="U486" s="169"/>
      <c r="V486" s="169"/>
      <c r="W486" s="169"/>
      <c r="X486" s="169"/>
      <c r="Y486" s="169"/>
      <c r="Z486" s="169"/>
      <c r="AA486" s="169"/>
      <c r="AB486" s="169"/>
      <c r="AC486" s="169"/>
      <c r="AD486" s="169"/>
      <c r="AE486" s="169"/>
      <c r="AF486" s="169"/>
      <c r="AG486" s="169"/>
      <c r="AH486" s="169"/>
      <c r="AI486" s="169"/>
      <c r="AJ486" s="169"/>
      <c r="AK486" s="169"/>
      <c r="AL486" s="169"/>
      <c r="AM486" s="169"/>
      <c r="AN486" s="169"/>
      <c r="AO486" s="169"/>
      <c r="AP486" s="169"/>
      <c r="AQ486" s="169"/>
      <c r="AR486" s="169"/>
      <c r="AS486" s="169"/>
      <c r="AT486" s="169"/>
      <c r="AU486" s="169"/>
      <c r="AV486" s="169"/>
      <c r="AW486" s="169"/>
      <c r="AX486" s="169"/>
      <c r="AY486" s="169"/>
      <c r="AZ486" s="169"/>
      <c r="BA486" s="169"/>
      <c r="BB486" s="169"/>
      <c r="BC486" s="169"/>
      <c r="BD486" s="169"/>
      <c r="BE486" s="169"/>
      <c r="BF486" s="169"/>
      <c r="BG486" s="169"/>
      <c r="BH486" s="169"/>
      <c r="BI486" s="169"/>
      <c r="BJ486" s="169"/>
      <c r="BK486" s="169"/>
      <c r="BL486" s="169"/>
      <c r="BM486" s="169"/>
      <c r="BN486" s="169"/>
      <c r="BO486" s="169"/>
      <c r="BP486" s="169"/>
      <c r="BQ486" s="169"/>
      <c r="BR486" s="169"/>
      <c r="BS486" s="169"/>
      <c r="BT486" s="169"/>
      <c r="BU486" s="169"/>
      <c r="BV486" s="169"/>
      <c r="BW486" s="169"/>
      <c r="BX486" s="169"/>
      <c r="BY486" s="169"/>
      <c r="BZ486" s="169"/>
      <c r="CA486" s="169"/>
      <c r="CB486" s="169"/>
      <c r="CC486" s="169"/>
      <c r="CD486" s="169"/>
      <c r="CE486" s="169"/>
      <c r="CF486" s="169"/>
      <c r="CG486" s="169"/>
      <c r="CH486" s="169"/>
      <c r="CI486" s="169"/>
      <c r="CJ486" s="169"/>
      <c r="CK486" s="169"/>
      <c r="CL486" s="169"/>
      <c r="CM486" s="169"/>
      <c r="CN486" s="169"/>
      <c r="CO486" s="169"/>
      <c r="CP486" s="169"/>
      <c r="CQ486" s="169"/>
      <c r="CR486" s="169"/>
      <c r="CS486" s="169"/>
      <c r="CT486" s="169"/>
      <c r="CU486" s="169"/>
      <c r="CV486" s="169"/>
      <c r="CW486" s="169"/>
      <c r="CX486" s="169"/>
      <c r="CY486" s="169"/>
      <c r="CZ486" s="169"/>
      <c r="DA486" s="169"/>
      <c r="DB486" s="169"/>
      <c r="DC486" s="169"/>
      <c r="DD486" s="169"/>
      <c r="DE486" s="169"/>
      <c r="DF486" s="169"/>
      <c r="DG486" s="169"/>
      <c r="DH486" s="169"/>
      <c r="DI486" s="169"/>
      <c r="DJ486" s="169"/>
      <c r="DK486" s="169"/>
      <c r="DL486" s="169"/>
      <c r="DM486" s="169"/>
      <c r="DN486" s="169"/>
      <c r="DO486" s="169"/>
      <c r="DP486" s="169"/>
      <c r="DQ486" s="169"/>
      <c r="DR486" s="169"/>
      <c r="DS486" s="169"/>
      <c r="DT486" s="169"/>
      <c r="DU486" s="169"/>
      <c r="DV486" s="169"/>
      <c r="DW486" s="169"/>
      <c r="DX486" s="169"/>
      <c r="DY486" s="169"/>
      <c r="DZ486" s="169"/>
      <c r="EA486" s="169"/>
      <c r="EB486" s="169"/>
      <c r="EC486" s="169"/>
      <c r="ED486" s="169"/>
      <c r="EE486" s="169"/>
      <c r="EF486" s="169"/>
      <c r="EG486" s="169"/>
      <c r="EH486" s="169"/>
      <c r="EI486" s="169"/>
      <c r="EJ486" s="169"/>
      <c r="EK486" s="169"/>
      <c r="EL486" s="169"/>
      <c r="EM486" s="169"/>
      <c r="EN486" s="169"/>
      <c r="EO486" s="169"/>
      <c r="EP486" s="169"/>
      <c r="EQ486" s="169"/>
      <c r="ER486" s="169"/>
      <c r="ES486" s="169"/>
      <c r="ET486" s="169"/>
      <c r="EU486" s="169"/>
      <c r="EV486" s="169"/>
      <c r="EW486" s="169"/>
      <c r="EX486" s="169"/>
      <c r="EY486" s="169"/>
      <c r="EZ486" s="169"/>
      <c r="FA486" s="169"/>
      <c r="FB486" s="169"/>
      <c r="FC486" s="169"/>
      <c r="FD486" s="169"/>
      <c r="FE486" s="169"/>
      <c r="FF486" s="169"/>
      <c r="FG486" s="169"/>
      <c r="FH486" s="169"/>
      <c r="FI486" s="169"/>
      <c r="FJ486" s="169"/>
      <c r="FK486" s="169"/>
      <c r="FL486" s="169"/>
      <c r="FM486" s="169"/>
      <c r="FN486" s="169"/>
      <c r="FO486" s="169"/>
      <c r="FP486" s="169"/>
      <c r="FQ486" s="169"/>
      <c r="FR486" s="169"/>
      <c r="FS486" s="169"/>
      <c r="FT486" s="169"/>
      <c r="FU486" s="169"/>
      <c r="FV486" s="169"/>
      <c r="FW486" s="169"/>
      <c r="FX486" s="169"/>
      <c r="FY486" s="169"/>
      <c r="FZ486" s="169"/>
      <c r="GA486" s="169"/>
      <c r="GB486" s="169"/>
      <c r="GC486" s="169"/>
      <c r="GD486" s="169"/>
      <c r="GE486" s="169"/>
    </row>
    <row r="487" spans="3:187" ht="12.75" customHeight="1">
      <c r="C487" s="167"/>
      <c r="D487" s="167"/>
      <c r="E487" s="167"/>
      <c r="F487" s="167"/>
      <c r="G487" s="167"/>
      <c r="H487" s="167"/>
      <c r="I487" s="167"/>
      <c r="J487" s="167"/>
      <c r="K487" s="167"/>
      <c r="L487" s="167"/>
      <c r="M487" s="167"/>
      <c r="N487" s="167"/>
      <c r="O487" s="167"/>
      <c r="P487" s="167"/>
      <c r="Q487" s="167"/>
      <c r="R487" s="167"/>
      <c r="S487" s="167"/>
      <c r="T487" s="167"/>
      <c r="U487" s="167"/>
      <c r="V487" s="167"/>
      <c r="W487" s="167"/>
      <c r="X487" s="167"/>
      <c r="Y487" s="167"/>
      <c r="Z487" s="167"/>
      <c r="AA487" s="167"/>
      <c r="AB487" s="167"/>
      <c r="AC487" s="167"/>
      <c r="AD487" s="167"/>
      <c r="AE487" s="167"/>
      <c r="AF487" s="167"/>
      <c r="AG487" s="167"/>
      <c r="AH487" s="167"/>
      <c r="AI487" s="167"/>
      <c r="AJ487" s="167"/>
      <c r="AK487" s="167"/>
      <c r="AL487" s="167"/>
      <c r="AM487" s="167"/>
      <c r="AN487" s="167"/>
      <c r="AO487" s="167"/>
      <c r="AP487" s="167"/>
      <c r="AQ487" s="167"/>
      <c r="AR487" s="167"/>
      <c r="AS487" s="167"/>
      <c r="AT487" s="167"/>
      <c r="AU487" s="167"/>
      <c r="AV487" s="167"/>
      <c r="AW487" s="167"/>
      <c r="AX487" s="167"/>
      <c r="AY487" s="167"/>
      <c r="AZ487" s="167"/>
      <c r="BA487" s="167"/>
      <c r="BB487" s="167"/>
      <c r="BC487" s="167"/>
      <c r="BD487" s="167"/>
      <c r="BE487" s="167"/>
      <c r="BF487" s="167"/>
      <c r="BG487" s="167"/>
      <c r="BH487" s="167"/>
      <c r="BI487" s="167"/>
      <c r="BJ487" s="167"/>
      <c r="BK487" s="167"/>
      <c r="BL487" s="167"/>
      <c r="BM487" s="167"/>
      <c r="BN487" s="167"/>
      <c r="BO487" s="167"/>
      <c r="BP487" s="167"/>
      <c r="BQ487" s="167"/>
      <c r="BR487" s="167"/>
      <c r="BS487" s="167"/>
      <c r="BT487" s="167"/>
      <c r="BU487" s="167"/>
      <c r="BV487" s="167"/>
      <c r="BW487" s="167"/>
      <c r="BX487" s="167"/>
      <c r="BY487" s="167"/>
      <c r="BZ487" s="167"/>
      <c r="CA487" s="167"/>
      <c r="CB487" s="167"/>
      <c r="CC487" s="167"/>
      <c r="CD487" s="167"/>
      <c r="CE487" s="167"/>
      <c r="CF487" s="167"/>
      <c r="CG487" s="167"/>
      <c r="CH487" s="167"/>
      <c r="CI487" s="167"/>
      <c r="CJ487" s="167"/>
      <c r="CK487" s="167"/>
      <c r="CL487" s="167"/>
      <c r="CM487" s="167"/>
      <c r="CN487" s="167"/>
      <c r="CO487" s="167"/>
      <c r="CP487" s="167"/>
      <c r="CQ487" s="167"/>
      <c r="CR487" s="167"/>
      <c r="CS487" s="167"/>
      <c r="CT487" s="167"/>
      <c r="CU487" s="167"/>
      <c r="CV487" s="167"/>
      <c r="CW487" s="167"/>
      <c r="CX487" s="167"/>
      <c r="CY487" s="167"/>
      <c r="CZ487" s="167"/>
      <c r="DA487" s="167"/>
      <c r="DB487" s="167"/>
      <c r="DC487" s="167"/>
      <c r="DD487" s="167"/>
      <c r="DE487" s="167"/>
      <c r="DF487" s="167"/>
      <c r="DG487" s="167"/>
      <c r="DH487" s="167"/>
      <c r="DI487" s="167"/>
      <c r="DJ487" s="167"/>
      <c r="DK487" s="167"/>
      <c r="DL487" s="167"/>
      <c r="DM487" s="167"/>
      <c r="DN487" s="167"/>
      <c r="DO487" s="167"/>
      <c r="DP487" s="167"/>
      <c r="DQ487" s="167"/>
      <c r="DR487" s="167"/>
      <c r="DS487" s="167"/>
      <c r="DT487" s="167"/>
      <c r="DU487" s="167"/>
      <c r="DV487" s="167"/>
      <c r="DW487" s="167"/>
      <c r="DX487" s="167"/>
      <c r="DY487" s="167"/>
      <c r="DZ487" s="167"/>
      <c r="EA487" s="167"/>
      <c r="EB487" s="167"/>
      <c r="EC487" s="167"/>
      <c r="ED487" s="167"/>
      <c r="EE487" s="167"/>
      <c r="EF487" s="167"/>
      <c r="EG487" s="167"/>
      <c r="EH487" s="167"/>
      <c r="EI487" s="167"/>
      <c r="EJ487" s="167"/>
      <c r="EK487" s="167"/>
      <c r="EL487" s="167"/>
      <c r="EM487" s="167"/>
      <c r="EN487" s="167"/>
      <c r="EO487" s="167"/>
      <c r="EP487" s="167"/>
      <c r="EQ487" s="167"/>
      <c r="ER487" s="167"/>
      <c r="ES487" s="167"/>
      <c r="ET487" s="167"/>
      <c r="EU487" s="167"/>
      <c r="EV487" s="167"/>
      <c r="EW487" s="167"/>
      <c r="EX487" s="167"/>
      <c r="EY487" s="167"/>
      <c r="EZ487" s="167"/>
      <c r="FA487" s="167"/>
      <c r="FB487" s="167"/>
      <c r="FC487" s="167"/>
      <c r="FD487" s="167"/>
      <c r="FE487" s="167"/>
      <c r="FF487" s="167"/>
      <c r="FG487" s="167"/>
      <c r="FH487" s="167"/>
      <c r="FI487" s="167"/>
      <c r="FJ487" s="167"/>
      <c r="FK487" s="167"/>
      <c r="FL487" s="167"/>
      <c r="FM487" s="167"/>
      <c r="FN487" s="167"/>
      <c r="FO487" s="167"/>
      <c r="FP487" s="167"/>
      <c r="FQ487" s="167"/>
      <c r="FR487" s="167"/>
      <c r="FS487" s="167"/>
      <c r="FT487" s="167"/>
      <c r="FU487" s="167"/>
      <c r="FV487" s="167"/>
      <c r="FW487" s="167"/>
      <c r="FX487" s="167"/>
      <c r="FY487" s="167"/>
      <c r="FZ487" s="167"/>
      <c r="GA487" s="167"/>
      <c r="GB487" s="167"/>
      <c r="GC487" s="167"/>
      <c r="GD487" s="167"/>
      <c r="GE487" s="167"/>
    </row>
    <row r="488" spans="3:187" ht="12.75" customHeight="1">
      <c r="C488" s="165"/>
      <c r="D488" s="165"/>
      <c r="E488" s="165"/>
      <c r="F488" s="165"/>
      <c r="G488" s="165"/>
      <c r="H488" s="165"/>
      <c r="I488" s="165"/>
      <c r="J488" s="165"/>
      <c r="K488" s="165"/>
      <c r="L488" s="165"/>
      <c r="M488" s="165"/>
      <c r="N488" s="165"/>
      <c r="O488" s="165"/>
      <c r="P488" s="165"/>
      <c r="Q488" s="165"/>
      <c r="R488" s="165"/>
      <c r="S488" s="165"/>
      <c r="T488" s="165"/>
      <c r="U488" s="165"/>
      <c r="V488" s="165"/>
      <c r="W488" s="165"/>
      <c r="X488" s="165"/>
      <c r="Y488" s="165"/>
      <c r="Z488" s="165"/>
      <c r="AA488" s="165"/>
      <c r="AB488" s="165"/>
      <c r="AC488" s="165"/>
      <c r="AD488" s="165"/>
      <c r="AE488" s="165"/>
      <c r="AF488" s="165"/>
      <c r="AG488" s="165"/>
      <c r="AH488" s="165"/>
      <c r="AI488" s="165"/>
      <c r="AJ488" s="165"/>
      <c r="AK488" s="165"/>
      <c r="AL488" s="165"/>
      <c r="AM488" s="165"/>
      <c r="AN488" s="165"/>
      <c r="AO488" s="165"/>
      <c r="AP488" s="165"/>
      <c r="AQ488" s="165"/>
      <c r="AR488" s="165"/>
      <c r="AS488" s="165"/>
      <c r="AT488" s="165"/>
      <c r="AU488" s="165"/>
      <c r="AV488" s="165"/>
      <c r="AW488" s="165"/>
      <c r="AX488" s="165"/>
      <c r="AY488" s="165"/>
      <c r="AZ488" s="165"/>
      <c r="BA488" s="165"/>
      <c r="BB488" s="165"/>
      <c r="BC488" s="165"/>
      <c r="BD488" s="165"/>
      <c r="BE488" s="165"/>
      <c r="BF488" s="165"/>
      <c r="BG488" s="165"/>
      <c r="BH488" s="165"/>
      <c r="BI488" s="165"/>
      <c r="BJ488" s="165"/>
      <c r="BK488" s="165"/>
      <c r="BL488" s="165"/>
      <c r="BM488" s="165"/>
      <c r="BN488" s="165"/>
      <c r="BO488" s="165"/>
      <c r="BP488" s="165"/>
      <c r="BQ488" s="165"/>
      <c r="BR488" s="165"/>
      <c r="BS488" s="165"/>
      <c r="BT488" s="165"/>
      <c r="BU488" s="165"/>
      <c r="BV488" s="165"/>
      <c r="BW488" s="165"/>
      <c r="BX488" s="165"/>
      <c r="BY488" s="165"/>
      <c r="BZ488" s="165"/>
      <c r="CA488" s="165"/>
      <c r="CB488" s="165"/>
      <c r="CC488" s="165"/>
      <c r="CD488" s="165"/>
      <c r="CE488" s="165"/>
      <c r="CF488" s="165"/>
      <c r="CG488" s="165"/>
      <c r="CH488" s="165"/>
      <c r="CI488" s="165"/>
      <c r="CJ488" s="165"/>
      <c r="CK488" s="165"/>
      <c r="CL488" s="165"/>
      <c r="CM488" s="165"/>
      <c r="CN488" s="165"/>
      <c r="CO488" s="165"/>
      <c r="CP488" s="165"/>
      <c r="CQ488" s="165"/>
      <c r="CR488" s="165"/>
      <c r="CS488" s="165"/>
      <c r="CT488" s="165"/>
      <c r="CU488" s="165"/>
      <c r="CV488" s="165"/>
      <c r="CW488" s="165"/>
      <c r="CX488" s="165"/>
      <c r="CY488" s="165"/>
      <c r="CZ488" s="165"/>
      <c r="DA488" s="165"/>
      <c r="DB488" s="165"/>
      <c r="DC488" s="165"/>
      <c r="DD488" s="165"/>
      <c r="DE488" s="165"/>
      <c r="DF488" s="165"/>
      <c r="DG488" s="165"/>
      <c r="DH488" s="165"/>
      <c r="DI488" s="165"/>
      <c r="DJ488" s="165"/>
      <c r="DK488" s="165"/>
      <c r="DL488" s="165"/>
      <c r="DM488" s="165"/>
      <c r="DN488" s="165"/>
      <c r="DO488" s="165"/>
      <c r="DP488" s="165"/>
      <c r="DQ488" s="165"/>
      <c r="DR488" s="165"/>
      <c r="DS488" s="165"/>
      <c r="DT488" s="165"/>
      <c r="DU488" s="165"/>
      <c r="DV488" s="165"/>
      <c r="DW488" s="165"/>
      <c r="DX488" s="165"/>
      <c r="DY488" s="165"/>
      <c r="DZ488" s="165"/>
      <c r="EA488" s="165"/>
      <c r="EB488" s="165"/>
      <c r="EC488" s="165"/>
      <c r="ED488" s="165"/>
      <c r="EE488" s="165"/>
      <c r="EF488" s="165"/>
      <c r="EG488" s="165"/>
      <c r="EH488" s="165"/>
      <c r="EI488" s="165"/>
      <c r="EJ488" s="165"/>
      <c r="EK488" s="165"/>
      <c r="EL488" s="165"/>
      <c r="EM488" s="165"/>
      <c r="EN488" s="165"/>
      <c r="EO488" s="165"/>
      <c r="EP488" s="165"/>
      <c r="EQ488" s="165"/>
      <c r="ER488" s="165"/>
      <c r="ES488" s="165"/>
      <c r="ET488" s="165"/>
      <c r="EU488" s="165"/>
      <c r="EV488" s="165"/>
      <c r="EW488" s="165"/>
      <c r="EX488" s="165"/>
      <c r="EY488" s="165"/>
      <c r="EZ488" s="165"/>
      <c r="FA488" s="165"/>
      <c r="FB488" s="165"/>
      <c r="FC488" s="165"/>
      <c r="FD488" s="165"/>
      <c r="FE488" s="165"/>
      <c r="FF488" s="165"/>
      <c r="FG488" s="165"/>
      <c r="FH488" s="165"/>
      <c r="FI488" s="165"/>
      <c r="FJ488" s="165"/>
      <c r="FK488" s="165"/>
      <c r="FL488" s="165"/>
      <c r="FM488" s="165"/>
      <c r="FN488" s="165"/>
      <c r="FO488" s="165"/>
      <c r="FP488" s="165"/>
      <c r="FQ488" s="165"/>
      <c r="FR488" s="165"/>
      <c r="FS488" s="165"/>
      <c r="FT488" s="165"/>
      <c r="FU488" s="165"/>
      <c r="FV488" s="165"/>
      <c r="FW488" s="165"/>
      <c r="FX488" s="165"/>
      <c r="FY488" s="165"/>
      <c r="FZ488" s="165"/>
      <c r="GA488" s="165"/>
      <c r="GB488" s="165"/>
      <c r="GC488" s="165"/>
      <c r="GD488" s="165"/>
      <c r="GE488" s="165"/>
    </row>
    <row r="489" spans="3:187" ht="12.75" customHeight="1">
      <c r="C489" s="169"/>
      <c r="D489" s="169"/>
      <c r="E489" s="169"/>
      <c r="F489" s="169"/>
      <c r="G489" s="169"/>
      <c r="H489" s="169"/>
      <c r="I489" s="169"/>
      <c r="J489" s="169"/>
      <c r="K489" s="169"/>
      <c r="L489" s="169"/>
      <c r="M489" s="169"/>
      <c r="N489" s="169"/>
      <c r="O489" s="169"/>
      <c r="P489" s="169"/>
      <c r="Q489" s="169"/>
      <c r="R489" s="169"/>
      <c r="S489" s="169"/>
      <c r="T489" s="169"/>
      <c r="U489" s="169"/>
      <c r="V489" s="169"/>
      <c r="W489" s="169"/>
      <c r="X489" s="169"/>
      <c r="Y489" s="169"/>
      <c r="Z489" s="169"/>
      <c r="AA489" s="169"/>
      <c r="AB489" s="169"/>
      <c r="AC489" s="169"/>
      <c r="AD489" s="169"/>
      <c r="AE489" s="169"/>
      <c r="AF489" s="169"/>
      <c r="AG489" s="169"/>
      <c r="AH489" s="169"/>
      <c r="AI489" s="169"/>
      <c r="AJ489" s="169"/>
      <c r="AK489" s="169"/>
      <c r="AL489" s="169"/>
      <c r="AM489" s="169"/>
      <c r="AN489" s="169"/>
      <c r="AO489" s="169"/>
      <c r="AP489" s="169"/>
      <c r="AQ489" s="169"/>
      <c r="AR489" s="169"/>
      <c r="AS489" s="169"/>
      <c r="AT489" s="169"/>
      <c r="AU489" s="169"/>
      <c r="AV489" s="169"/>
      <c r="AW489" s="169"/>
      <c r="AX489" s="169"/>
      <c r="AY489" s="169"/>
      <c r="AZ489" s="169"/>
      <c r="BA489" s="169"/>
      <c r="BB489" s="169"/>
      <c r="BC489" s="169"/>
      <c r="BD489" s="169"/>
      <c r="BE489" s="169"/>
      <c r="BF489" s="169"/>
      <c r="BG489" s="169"/>
      <c r="BH489" s="169"/>
      <c r="BI489" s="169"/>
      <c r="BJ489" s="169"/>
      <c r="BK489" s="169"/>
      <c r="BL489" s="169"/>
      <c r="BM489" s="169"/>
      <c r="BN489" s="169"/>
      <c r="BO489" s="169"/>
      <c r="BP489" s="169"/>
      <c r="BQ489" s="169"/>
      <c r="BR489" s="169"/>
      <c r="BS489" s="169"/>
      <c r="BT489" s="169"/>
      <c r="BU489" s="169"/>
      <c r="BV489" s="169"/>
      <c r="BW489" s="169"/>
      <c r="BX489" s="169"/>
      <c r="BY489" s="169"/>
      <c r="BZ489" s="169"/>
      <c r="CA489" s="169"/>
      <c r="CB489" s="169"/>
      <c r="CC489" s="169"/>
      <c r="CD489" s="169"/>
      <c r="CE489" s="169"/>
      <c r="CF489" s="169"/>
      <c r="CG489" s="169"/>
      <c r="CH489" s="169"/>
      <c r="CI489" s="169"/>
      <c r="CJ489" s="169"/>
      <c r="CK489" s="169"/>
      <c r="CL489" s="169"/>
      <c r="CM489" s="169"/>
      <c r="CN489" s="169"/>
      <c r="CO489" s="169"/>
      <c r="CP489" s="169"/>
      <c r="CQ489" s="169"/>
      <c r="CR489" s="169"/>
      <c r="CS489" s="169"/>
      <c r="CT489" s="169"/>
      <c r="CU489" s="169"/>
      <c r="CV489" s="169"/>
      <c r="CW489" s="169"/>
      <c r="CX489" s="169"/>
      <c r="CY489" s="169"/>
      <c r="CZ489" s="169"/>
      <c r="DA489" s="169"/>
      <c r="DB489" s="169"/>
      <c r="DC489" s="169"/>
      <c r="DD489" s="169"/>
      <c r="DE489" s="169"/>
      <c r="DF489" s="169"/>
      <c r="DG489" s="169"/>
      <c r="DH489" s="169"/>
      <c r="DI489" s="169"/>
      <c r="DJ489" s="169"/>
      <c r="DK489" s="169"/>
      <c r="DL489" s="169"/>
      <c r="DM489" s="169"/>
      <c r="DN489" s="169"/>
      <c r="DO489" s="169"/>
      <c r="DP489" s="169"/>
      <c r="DQ489" s="169"/>
      <c r="DR489" s="169"/>
      <c r="DS489" s="169"/>
      <c r="DT489" s="169"/>
      <c r="DU489" s="169"/>
      <c r="DV489" s="169"/>
      <c r="DW489" s="169"/>
      <c r="DX489" s="169"/>
      <c r="DY489" s="169"/>
      <c r="DZ489" s="169"/>
      <c r="EA489" s="169"/>
      <c r="EB489" s="169"/>
      <c r="EC489" s="169"/>
      <c r="ED489" s="169"/>
      <c r="EE489" s="169"/>
      <c r="EF489" s="169"/>
      <c r="EG489" s="169"/>
      <c r="EH489" s="169"/>
      <c r="EI489" s="169"/>
      <c r="EJ489" s="169"/>
      <c r="EK489" s="169"/>
      <c r="EL489" s="169"/>
      <c r="EM489" s="169"/>
      <c r="EN489" s="169"/>
      <c r="EO489" s="169"/>
      <c r="EP489" s="169"/>
      <c r="EQ489" s="169"/>
      <c r="ER489" s="169"/>
      <c r="ES489" s="169"/>
      <c r="ET489" s="169"/>
      <c r="EU489" s="169"/>
      <c r="EV489" s="169"/>
      <c r="EW489" s="169"/>
      <c r="EX489" s="169"/>
      <c r="EY489" s="169"/>
      <c r="EZ489" s="169"/>
      <c r="FA489" s="169"/>
      <c r="FB489" s="169"/>
      <c r="FC489" s="169"/>
      <c r="FD489" s="169"/>
      <c r="FE489" s="169"/>
      <c r="FF489" s="169"/>
      <c r="FG489" s="169"/>
      <c r="FH489" s="169"/>
      <c r="FI489" s="169"/>
      <c r="FJ489" s="169"/>
      <c r="FK489" s="169"/>
      <c r="FL489" s="169"/>
      <c r="FM489" s="169"/>
      <c r="FN489" s="169"/>
      <c r="FO489" s="169"/>
      <c r="FP489" s="169"/>
      <c r="FQ489" s="169"/>
      <c r="FR489" s="169"/>
      <c r="FS489" s="169"/>
      <c r="FT489" s="169"/>
      <c r="FU489" s="169"/>
      <c r="FV489" s="169"/>
      <c r="FW489" s="169"/>
      <c r="FX489" s="169"/>
      <c r="FY489" s="169"/>
      <c r="FZ489" s="169"/>
      <c r="GA489" s="169"/>
      <c r="GB489" s="169"/>
      <c r="GC489" s="169"/>
      <c r="GD489" s="169"/>
      <c r="GE489" s="169"/>
    </row>
    <row r="490" spans="3:187" ht="12.75" customHeight="1">
      <c r="C490" s="106"/>
      <c r="D490" s="106"/>
      <c r="E490" s="106"/>
      <c r="F490" s="106"/>
      <c r="G490" s="106"/>
      <c r="H490" s="106"/>
      <c r="I490" s="106"/>
      <c r="J490" s="106"/>
      <c r="K490" s="106"/>
      <c r="L490" s="106"/>
      <c r="M490" s="106"/>
      <c r="N490" s="106"/>
      <c r="O490" s="106"/>
      <c r="P490" s="106"/>
      <c r="Q490" s="106"/>
      <c r="R490" s="106"/>
      <c r="S490" s="106"/>
      <c r="T490" s="106"/>
      <c r="U490" s="106"/>
      <c r="V490" s="106"/>
      <c r="W490" s="106"/>
      <c r="X490" s="106"/>
      <c r="Y490" s="106"/>
      <c r="Z490" s="106"/>
      <c r="AA490" s="106"/>
      <c r="AB490" s="106"/>
      <c r="AC490" s="106"/>
      <c r="AD490" s="106"/>
      <c r="AE490" s="106"/>
      <c r="AF490" s="106"/>
      <c r="AG490" s="106"/>
      <c r="AH490" s="106"/>
      <c r="AI490" s="106"/>
      <c r="AJ490" s="106"/>
      <c r="AK490" s="106"/>
      <c r="AL490" s="106"/>
      <c r="AM490" s="106"/>
      <c r="AN490" s="106"/>
      <c r="AO490" s="106"/>
      <c r="AP490" s="106"/>
      <c r="AQ490" s="106"/>
      <c r="AR490" s="106"/>
      <c r="AS490" s="106"/>
      <c r="AT490" s="106"/>
      <c r="AU490" s="106"/>
      <c r="AV490" s="106"/>
      <c r="AW490" s="106"/>
      <c r="AX490" s="106"/>
      <c r="AY490" s="106"/>
      <c r="AZ490" s="106"/>
      <c r="BA490" s="106"/>
      <c r="BB490" s="106"/>
      <c r="BC490" s="106"/>
      <c r="BD490" s="106"/>
      <c r="BE490" s="106"/>
      <c r="BF490" s="106"/>
      <c r="BG490" s="106"/>
      <c r="BH490" s="106"/>
      <c r="BI490" s="106"/>
      <c r="BJ490" s="106"/>
      <c r="BK490" s="106"/>
      <c r="BL490" s="106"/>
      <c r="BM490" s="106"/>
      <c r="BN490" s="106"/>
      <c r="BO490" s="106"/>
      <c r="BP490" s="106"/>
      <c r="BQ490" s="106"/>
      <c r="BR490" s="106"/>
      <c r="BS490" s="106"/>
      <c r="BT490" s="106"/>
      <c r="BU490" s="106"/>
      <c r="BV490" s="106"/>
      <c r="BW490" s="106"/>
      <c r="BX490" s="106"/>
      <c r="BY490" s="106"/>
      <c r="BZ490" s="106"/>
      <c r="CA490" s="106"/>
      <c r="CB490" s="106"/>
      <c r="CC490" s="106"/>
      <c r="CD490" s="106"/>
      <c r="CE490" s="106"/>
      <c r="CF490" s="106"/>
      <c r="CG490" s="106"/>
      <c r="CH490" s="106"/>
      <c r="CI490" s="106"/>
      <c r="CJ490" s="106"/>
      <c r="CK490" s="106"/>
      <c r="CL490" s="106"/>
      <c r="CM490" s="106"/>
      <c r="CN490" s="106"/>
      <c r="CO490" s="106"/>
      <c r="CP490" s="106"/>
      <c r="CQ490" s="106"/>
      <c r="CR490" s="106"/>
      <c r="CS490" s="106"/>
      <c r="CT490" s="106"/>
      <c r="CU490" s="106"/>
      <c r="CV490" s="106"/>
      <c r="CW490" s="106"/>
      <c r="CX490" s="106"/>
      <c r="CY490" s="106"/>
      <c r="CZ490" s="106"/>
      <c r="DA490" s="106"/>
      <c r="DB490" s="106"/>
      <c r="DC490" s="106"/>
      <c r="DD490" s="106"/>
      <c r="DE490" s="106"/>
      <c r="DF490" s="106"/>
      <c r="DG490" s="106"/>
      <c r="DH490" s="106"/>
      <c r="DI490" s="106"/>
      <c r="DJ490" s="106"/>
      <c r="DK490" s="106"/>
      <c r="DL490" s="106"/>
      <c r="DM490" s="106"/>
      <c r="DN490" s="106"/>
      <c r="DO490" s="106"/>
      <c r="DP490" s="106"/>
      <c r="DQ490" s="106"/>
      <c r="DR490" s="106"/>
      <c r="DS490" s="106"/>
      <c r="DT490" s="106"/>
      <c r="DU490" s="106"/>
      <c r="DV490" s="106"/>
      <c r="DW490" s="106"/>
      <c r="DX490" s="106"/>
      <c r="DY490" s="106"/>
      <c r="DZ490" s="106"/>
      <c r="EA490" s="106"/>
      <c r="EB490" s="106"/>
      <c r="EC490" s="106"/>
      <c r="ED490" s="106"/>
      <c r="EE490" s="106"/>
      <c r="EF490" s="106"/>
      <c r="EG490" s="106"/>
      <c r="EH490" s="106"/>
      <c r="EI490" s="106"/>
      <c r="EJ490" s="106"/>
      <c r="EK490" s="106"/>
      <c r="EL490" s="106"/>
      <c r="EM490" s="106"/>
      <c r="EN490" s="106"/>
      <c r="EO490" s="106"/>
      <c r="EP490" s="106"/>
      <c r="EQ490" s="106"/>
      <c r="ER490" s="106"/>
      <c r="ES490" s="106"/>
      <c r="ET490" s="106"/>
      <c r="EU490" s="106"/>
      <c r="EV490" s="106"/>
      <c r="EW490" s="106"/>
      <c r="EX490" s="106"/>
      <c r="EY490" s="106"/>
      <c r="EZ490" s="106"/>
      <c r="FA490" s="106"/>
      <c r="FB490" s="106"/>
      <c r="FC490" s="106"/>
      <c r="FD490" s="106"/>
      <c r="FE490" s="106"/>
      <c r="FF490" s="106"/>
      <c r="FG490" s="106"/>
      <c r="FH490" s="106"/>
      <c r="FI490" s="106"/>
      <c r="FJ490" s="106"/>
      <c r="FK490" s="106"/>
      <c r="FL490" s="106"/>
      <c r="FM490" s="106"/>
      <c r="FN490" s="106"/>
      <c r="FO490" s="106"/>
      <c r="FP490" s="106"/>
      <c r="FQ490" s="106"/>
      <c r="FR490" s="106"/>
      <c r="FS490" s="106"/>
      <c r="FT490" s="106"/>
      <c r="FU490" s="106"/>
      <c r="FV490" s="106"/>
      <c r="FW490" s="106"/>
      <c r="FX490" s="106"/>
      <c r="FY490" s="106"/>
      <c r="FZ490" s="106"/>
      <c r="GA490" s="106"/>
      <c r="GB490" s="106"/>
      <c r="GC490" s="106"/>
      <c r="GD490" s="106"/>
      <c r="GE490" s="106"/>
    </row>
    <row r="491" spans="3:187" ht="12.75" customHeight="1">
      <c r="C491" s="169"/>
      <c r="D491" s="169"/>
      <c r="E491" s="169"/>
      <c r="F491" s="169"/>
      <c r="G491" s="169"/>
      <c r="H491" s="169"/>
      <c r="I491" s="169"/>
      <c r="J491" s="169"/>
      <c r="K491" s="169"/>
      <c r="L491" s="169"/>
      <c r="M491" s="169"/>
      <c r="N491" s="169"/>
      <c r="O491" s="169"/>
      <c r="P491" s="169"/>
      <c r="Q491" s="169"/>
      <c r="R491" s="169"/>
      <c r="S491" s="169"/>
      <c r="T491" s="169"/>
      <c r="U491" s="169"/>
      <c r="V491" s="169"/>
      <c r="W491" s="169"/>
      <c r="X491" s="169"/>
      <c r="Y491" s="169"/>
      <c r="Z491" s="169"/>
      <c r="AA491" s="169"/>
      <c r="AB491" s="169"/>
      <c r="AC491" s="169"/>
      <c r="AD491" s="169"/>
      <c r="AE491" s="169"/>
      <c r="AF491" s="169"/>
      <c r="AG491" s="169"/>
      <c r="AH491" s="169"/>
      <c r="AI491" s="169"/>
      <c r="AJ491" s="169"/>
      <c r="AK491" s="169"/>
      <c r="AL491" s="169"/>
      <c r="AM491" s="169"/>
      <c r="AN491" s="169"/>
      <c r="AO491" s="169"/>
      <c r="AP491" s="169"/>
      <c r="AQ491" s="169"/>
      <c r="AR491" s="169"/>
      <c r="AS491" s="169"/>
      <c r="AT491" s="169"/>
      <c r="AU491" s="169"/>
      <c r="AV491" s="169"/>
      <c r="AW491" s="169"/>
      <c r="AX491" s="169"/>
      <c r="AY491" s="169"/>
      <c r="AZ491" s="169"/>
      <c r="BA491" s="169"/>
      <c r="BB491" s="169"/>
      <c r="BC491" s="169"/>
      <c r="BD491" s="169"/>
      <c r="BE491" s="169"/>
      <c r="BF491" s="169"/>
      <c r="BG491" s="169"/>
      <c r="BH491" s="169"/>
      <c r="BI491" s="169"/>
      <c r="BJ491" s="169"/>
      <c r="BK491" s="169"/>
      <c r="BL491" s="169"/>
      <c r="BM491" s="169"/>
      <c r="BN491" s="169"/>
      <c r="BO491" s="169"/>
      <c r="BP491" s="169"/>
      <c r="BQ491" s="169"/>
      <c r="BR491" s="169"/>
      <c r="BS491" s="169"/>
      <c r="BT491" s="169"/>
      <c r="BU491" s="169"/>
      <c r="BV491" s="169"/>
      <c r="BW491" s="169"/>
      <c r="BX491" s="169"/>
      <c r="BY491" s="169"/>
      <c r="BZ491" s="169"/>
      <c r="CA491" s="169"/>
      <c r="CB491" s="169"/>
      <c r="CC491" s="169"/>
      <c r="CD491" s="169"/>
      <c r="CE491" s="169"/>
      <c r="CF491" s="169"/>
      <c r="CG491" s="169"/>
      <c r="CH491" s="169"/>
      <c r="CI491" s="169"/>
      <c r="CJ491" s="169"/>
      <c r="CK491" s="169"/>
      <c r="CL491" s="169"/>
      <c r="CM491" s="169"/>
      <c r="CN491" s="169"/>
      <c r="CO491" s="169"/>
      <c r="CP491" s="169"/>
      <c r="CQ491" s="169"/>
      <c r="CR491" s="169"/>
      <c r="CS491" s="169"/>
      <c r="CT491" s="169"/>
      <c r="CU491" s="169"/>
      <c r="CV491" s="169"/>
      <c r="CW491" s="169"/>
      <c r="CX491" s="169"/>
      <c r="CY491" s="169"/>
      <c r="CZ491" s="169"/>
      <c r="DA491" s="169"/>
      <c r="DB491" s="169"/>
      <c r="DC491" s="169"/>
      <c r="DD491" s="169"/>
      <c r="DE491" s="169"/>
      <c r="DF491" s="169"/>
      <c r="DG491" s="169"/>
      <c r="DH491" s="169"/>
      <c r="DI491" s="169"/>
      <c r="DJ491" s="169"/>
      <c r="DK491" s="169"/>
      <c r="DL491" s="169"/>
      <c r="DM491" s="169"/>
      <c r="DN491" s="169"/>
      <c r="DO491" s="169"/>
      <c r="DP491" s="169"/>
      <c r="DQ491" s="169"/>
      <c r="DR491" s="169"/>
      <c r="DS491" s="169"/>
      <c r="DT491" s="169"/>
      <c r="DU491" s="169"/>
      <c r="DV491" s="169"/>
      <c r="DW491" s="169"/>
      <c r="DX491" s="169"/>
      <c r="DY491" s="169"/>
      <c r="DZ491" s="169"/>
      <c r="EA491" s="169"/>
      <c r="EB491" s="169"/>
      <c r="EC491" s="169"/>
      <c r="ED491" s="169"/>
      <c r="EE491" s="169"/>
      <c r="EF491" s="169"/>
      <c r="EG491" s="169"/>
      <c r="EH491" s="169"/>
      <c r="EI491" s="169"/>
      <c r="EJ491" s="169"/>
      <c r="EK491" s="169"/>
      <c r="EL491" s="169"/>
      <c r="EM491" s="169"/>
      <c r="EN491" s="169"/>
      <c r="EO491" s="169"/>
      <c r="EP491" s="169"/>
      <c r="EQ491" s="169"/>
      <c r="ER491" s="169"/>
      <c r="ES491" s="169"/>
      <c r="ET491" s="169"/>
      <c r="EU491" s="169"/>
      <c r="EV491" s="169"/>
      <c r="EW491" s="169"/>
      <c r="EX491" s="169"/>
      <c r="EY491" s="169"/>
      <c r="EZ491" s="169"/>
      <c r="FA491" s="169"/>
      <c r="FB491" s="169"/>
      <c r="FC491" s="169"/>
      <c r="FD491" s="169"/>
      <c r="FE491" s="169"/>
      <c r="FF491" s="169"/>
      <c r="FG491" s="169"/>
      <c r="FH491" s="169"/>
      <c r="FI491" s="169"/>
      <c r="FJ491" s="169"/>
      <c r="FK491" s="169"/>
      <c r="FL491" s="169"/>
      <c r="FM491" s="169"/>
      <c r="FN491" s="169"/>
      <c r="FO491" s="169"/>
      <c r="FP491" s="169"/>
      <c r="FQ491" s="169"/>
      <c r="FR491" s="169"/>
      <c r="FS491" s="169"/>
      <c r="FT491" s="169"/>
      <c r="FU491" s="169"/>
      <c r="FV491" s="169"/>
      <c r="FW491" s="169"/>
      <c r="FX491" s="169"/>
      <c r="FY491" s="169"/>
      <c r="FZ491" s="169"/>
      <c r="GA491" s="169"/>
      <c r="GB491" s="169"/>
      <c r="GC491" s="169"/>
      <c r="GD491" s="169"/>
      <c r="GE491" s="169"/>
    </row>
    <row r="492" spans="3:187" ht="12.75" customHeight="1">
      <c r="C492" s="169"/>
      <c r="D492" s="169"/>
      <c r="E492" s="169"/>
      <c r="F492" s="169"/>
      <c r="G492" s="169"/>
      <c r="H492" s="169"/>
      <c r="I492" s="169"/>
      <c r="J492" s="169"/>
      <c r="K492" s="169"/>
      <c r="L492" s="169"/>
      <c r="M492" s="169"/>
      <c r="N492" s="169"/>
      <c r="O492" s="169"/>
      <c r="P492" s="169"/>
      <c r="Q492" s="169"/>
      <c r="R492" s="169"/>
      <c r="S492" s="169"/>
      <c r="T492" s="169"/>
      <c r="U492" s="169"/>
      <c r="V492" s="169"/>
      <c r="W492" s="169"/>
      <c r="X492" s="169"/>
      <c r="Y492" s="169"/>
      <c r="Z492" s="169"/>
      <c r="AA492" s="169"/>
      <c r="AB492" s="169"/>
      <c r="AC492" s="169"/>
      <c r="AD492" s="169"/>
      <c r="AE492" s="169"/>
      <c r="AF492" s="169"/>
      <c r="AG492" s="169"/>
      <c r="AH492" s="169"/>
      <c r="AI492" s="169"/>
      <c r="AJ492" s="169"/>
      <c r="AK492" s="169"/>
      <c r="AL492" s="169"/>
      <c r="AM492" s="169"/>
      <c r="AN492" s="169"/>
      <c r="AO492" s="169"/>
      <c r="AP492" s="169"/>
      <c r="AQ492" s="169"/>
      <c r="AR492" s="169"/>
      <c r="AS492" s="169"/>
      <c r="AT492" s="169"/>
      <c r="AU492" s="169"/>
      <c r="AV492" s="169"/>
      <c r="AW492" s="169"/>
      <c r="AX492" s="169"/>
      <c r="AY492" s="169"/>
      <c r="AZ492" s="169"/>
      <c r="BA492" s="169"/>
      <c r="BB492" s="169"/>
      <c r="BC492" s="169"/>
      <c r="BD492" s="169"/>
      <c r="BE492" s="169"/>
      <c r="BF492" s="169"/>
      <c r="BG492" s="169"/>
      <c r="BH492" s="169"/>
      <c r="BI492" s="169"/>
      <c r="BJ492" s="169"/>
      <c r="BK492" s="169"/>
      <c r="BL492" s="169"/>
      <c r="BM492" s="169"/>
      <c r="BN492" s="169"/>
      <c r="BO492" s="169"/>
      <c r="BP492" s="169"/>
      <c r="BQ492" s="169"/>
      <c r="BR492" s="169"/>
      <c r="BS492" s="169"/>
      <c r="BT492" s="169"/>
      <c r="BU492" s="169"/>
      <c r="BV492" s="169"/>
      <c r="BW492" s="169"/>
      <c r="BX492" s="169"/>
      <c r="BY492" s="169"/>
      <c r="BZ492" s="169"/>
      <c r="CA492" s="169"/>
      <c r="CB492" s="169"/>
      <c r="CC492" s="169"/>
      <c r="CD492" s="169"/>
      <c r="CE492" s="169"/>
      <c r="CF492" s="169"/>
      <c r="CG492" s="169"/>
      <c r="CH492" s="169"/>
      <c r="CI492" s="169"/>
      <c r="CJ492" s="169"/>
      <c r="CK492" s="169"/>
      <c r="CL492" s="169"/>
      <c r="CM492" s="169"/>
      <c r="CN492" s="169"/>
      <c r="CO492" s="169"/>
      <c r="CP492" s="169"/>
      <c r="CQ492" s="169"/>
      <c r="CR492" s="169"/>
      <c r="CS492" s="169"/>
      <c r="CT492" s="169"/>
      <c r="CU492" s="169"/>
      <c r="CV492" s="169"/>
      <c r="CW492" s="169"/>
      <c r="CX492" s="169"/>
      <c r="CY492" s="169"/>
      <c r="CZ492" s="169"/>
      <c r="DA492" s="169"/>
      <c r="DB492" s="169"/>
      <c r="DC492" s="169"/>
      <c r="DD492" s="169"/>
      <c r="DE492" s="169"/>
      <c r="DF492" s="169"/>
      <c r="DG492" s="169"/>
      <c r="DH492" s="169"/>
      <c r="DI492" s="169"/>
      <c r="DJ492" s="169"/>
      <c r="DK492" s="169"/>
      <c r="DL492" s="169"/>
      <c r="DM492" s="169"/>
      <c r="DN492" s="169"/>
      <c r="DO492" s="169"/>
      <c r="DP492" s="169"/>
      <c r="DQ492" s="169"/>
      <c r="DR492" s="169"/>
      <c r="DS492" s="169"/>
      <c r="DT492" s="169"/>
      <c r="DU492" s="169"/>
      <c r="DV492" s="169"/>
      <c r="DW492" s="169"/>
      <c r="DX492" s="169"/>
      <c r="DY492" s="169"/>
      <c r="DZ492" s="169"/>
      <c r="EA492" s="169"/>
      <c r="EB492" s="169"/>
      <c r="EC492" s="169"/>
      <c r="ED492" s="169"/>
      <c r="EE492" s="169"/>
      <c r="EF492" s="169"/>
      <c r="EG492" s="169"/>
      <c r="EH492" s="169"/>
      <c r="EI492" s="169"/>
      <c r="EJ492" s="169"/>
      <c r="EK492" s="169"/>
      <c r="EL492" s="169"/>
      <c r="EM492" s="169"/>
      <c r="EN492" s="169"/>
      <c r="EO492" s="169"/>
      <c r="EP492" s="169"/>
      <c r="EQ492" s="169"/>
      <c r="ER492" s="169"/>
      <c r="ES492" s="169"/>
      <c r="ET492" s="169"/>
      <c r="EU492" s="169"/>
      <c r="EV492" s="169"/>
      <c r="EW492" s="169"/>
      <c r="EX492" s="169"/>
      <c r="EY492" s="169"/>
      <c r="EZ492" s="169"/>
      <c r="FA492" s="169"/>
      <c r="FB492" s="169"/>
      <c r="FC492" s="169"/>
      <c r="FD492" s="169"/>
      <c r="FE492" s="169"/>
      <c r="FF492" s="169"/>
      <c r="FG492" s="169"/>
      <c r="FH492" s="169"/>
      <c r="FI492" s="169"/>
      <c r="FJ492" s="169"/>
      <c r="FK492" s="169"/>
      <c r="FL492" s="169"/>
      <c r="FM492" s="169"/>
      <c r="FN492" s="169"/>
      <c r="FO492" s="169"/>
      <c r="FP492" s="169"/>
      <c r="FQ492" s="169"/>
      <c r="FR492" s="169"/>
      <c r="FS492" s="169"/>
      <c r="FT492" s="169"/>
      <c r="FU492" s="169"/>
      <c r="FV492" s="169"/>
      <c r="FW492" s="169"/>
      <c r="FX492" s="169"/>
      <c r="FY492" s="169"/>
      <c r="FZ492" s="169"/>
      <c r="GA492" s="169"/>
      <c r="GB492" s="169"/>
      <c r="GC492" s="169"/>
      <c r="GD492" s="169"/>
      <c r="GE492" s="169"/>
    </row>
    <row r="493" spans="3:187" ht="12.75" customHeight="1">
      <c r="C493" s="169"/>
      <c r="D493" s="169"/>
      <c r="E493" s="169"/>
      <c r="F493" s="169"/>
      <c r="G493" s="169"/>
      <c r="H493" s="169"/>
      <c r="I493" s="169"/>
      <c r="J493" s="169"/>
      <c r="K493" s="169"/>
      <c r="L493" s="169"/>
      <c r="M493" s="169"/>
      <c r="N493" s="169"/>
      <c r="O493" s="169"/>
      <c r="P493" s="169"/>
      <c r="Q493" s="169"/>
      <c r="R493" s="169"/>
      <c r="S493" s="169"/>
      <c r="T493" s="169"/>
      <c r="U493" s="169"/>
      <c r="V493" s="169"/>
      <c r="W493" s="169"/>
      <c r="X493" s="169"/>
      <c r="Y493" s="169"/>
      <c r="Z493" s="169"/>
      <c r="AA493" s="169"/>
      <c r="AB493" s="169"/>
      <c r="AC493" s="169"/>
      <c r="AD493" s="169"/>
      <c r="AE493" s="169"/>
      <c r="AF493" s="169"/>
      <c r="AG493" s="169"/>
      <c r="AH493" s="169"/>
      <c r="AI493" s="169"/>
      <c r="AJ493" s="169"/>
      <c r="AK493" s="169"/>
      <c r="AL493" s="169"/>
      <c r="AM493" s="169"/>
      <c r="AN493" s="169"/>
      <c r="AO493" s="169"/>
      <c r="AP493" s="169"/>
      <c r="AQ493" s="169"/>
      <c r="AR493" s="169"/>
      <c r="AS493" s="169"/>
      <c r="AT493" s="169"/>
      <c r="AU493" s="169"/>
      <c r="AV493" s="169"/>
      <c r="AW493" s="169"/>
      <c r="AX493" s="169"/>
      <c r="AY493" s="169"/>
      <c r="AZ493" s="169"/>
      <c r="BA493" s="169"/>
      <c r="BB493" s="169"/>
      <c r="BC493" s="169"/>
      <c r="BD493" s="169"/>
      <c r="BE493" s="169"/>
      <c r="BF493" s="169"/>
      <c r="BG493" s="169"/>
      <c r="BH493" s="169"/>
      <c r="BI493" s="169"/>
      <c r="BJ493" s="169"/>
      <c r="BK493" s="169"/>
      <c r="BL493" s="169"/>
      <c r="BM493" s="169"/>
      <c r="BN493" s="169"/>
      <c r="BO493" s="169"/>
      <c r="BP493" s="169"/>
      <c r="BQ493" s="169"/>
      <c r="BR493" s="169"/>
      <c r="BS493" s="169"/>
      <c r="BT493" s="169"/>
      <c r="BU493" s="169"/>
      <c r="BV493" s="169"/>
      <c r="BW493" s="169"/>
      <c r="BX493" s="169"/>
      <c r="BY493" s="169"/>
      <c r="BZ493" s="169"/>
      <c r="CA493" s="169"/>
      <c r="CB493" s="169"/>
      <c r="CC493" s="169"/>
      <c r="CD493" s="169"/>
      <c r="CE493" s="169"/>
      <c r="CF493" s="169"/>
      <c r="CG493" s="169"/>
      <c r="CH493" s="169"/>
      <c r="CI493" s="169"/>
      <c r="CJ493" s="169"/>
      <c r="CK493" s="169"/>
      <c r="CL493" s="169"/>
      <c r="CM493" s="169"/>
      <c r="CN493" s="169"/>
      <c r="CO493" s="169"/>
      <c r="CP493" s="169"/>
      <c r="CQ493" s="169"/>
      <c r="CR493" s="169"/>
      <c r="CS493" s="169"/>
      <c r="CT493" s="169"/>
      <c r="CU493" s="169"/>
      <c r="CV493" s="169"/>
      <c r="CW493" s="169"/>
      <c r="CX493" s="169"/>
      <c r="CY493" s="169"/>
      <c r="CZ493" s="169"/>
      <c r="DA493" s="169"/>
      <c r="DB493" s="169"/>
      <c r="DC493" s="169"/>
      <c r="DD493" s="169"/>
      <c r="DE493" s="169"/>
      <c r="DF493" s="169"/>
      <c r="DG493" s="169"/>
      <c r="DH493" s="169"/>
      <c r="DI493" s="169"/>
      <c r="DJ493" s="169"/>
      <c r="DK493" s="169"/>
      <c r="DL493" s="169"/>
      <c r="DM493" s="169"/>
      <c r="DN493" s="169"/>
      <c r="DO493" s="169"/>
      <c r="DP493" s="169"/>
      <c r="DQ493" s="169"/>
      <c r="DR493" s="169"/>
      <c r="DS493" s="169"/>
      <c r="DT493" s="169"/>
      <c r="DU493" s="169"/>
      <c r="DV493" s="169"/>
      <c r="DW493" s="169"/>
      <c r="DX493" s="169"/>
      <c r="DY493" s="169"/>
      <c r="DZ493" s="169"/>
      <c r="EA493" s="169"/>
      <c r="EB493" s="169"/>
      <c r="EC493" s="169"/>
      <c r="ED493" s="169"/>
      <c r="EE493" s="169"/>
      <c r="EF493" s="169"/>
      <c r="EG493" s="169"/>
      <c r="EH493" s="169"/>
      <c r="EI493" s="169"/>
      <c r="EJ493" s="169"/>
      <c r="EK493" s="169"/>
      <c r="EL493" s="169"/>
      <c r="EM493" s="169"/>
      <c r="EN493" s="169"/>
      <c r="EO493" s="169"/>
      <c r="EP493" s="169"/>
      <c r="EQ493" s="169"/>
      <c r="ER493" s="169"/>
      <c r="ES493" s="169"/>
      <c r="ET493" s="169"/>
      <c r="EU493" s="169"/>
      <c r="EV493" s="169"/>
      <c r="EW493" s="169"/>
      <c r="EX493" s="169"/>
      <c r="EY493" s="169"/>
      <c r="EZ493" s="169"/>
      <c r="FA493" s="169"/>
      <c r="FB493" s="169"/>
      <c r="FC493" s="169"/>
      <c r="FD493" s="169"/>
      <c r="FE493" s="169"/>
      <c r="FF493" s="169"/>
      <c r="FG493" s="169"/>
      <c r="FH493" s="169"/>
      <c r="FI493" s="169"/>
      <c r="FJ493" s="169"/>
      <c r="FK493" s="169"/>
      <c r="FL493" s="169"/>
      <c r="FM493" s="169"/>
      <c r="FN493" s="169"/>
      <c r="FO493" s="169"/>
      <c r="FP493" s="169"/>
      <c r="FQ493" s="169"/>
      <c r="FR493" s="169"/>
      <c r="FS493" s="169"/>
      <c r="FT493" s="169"/>
      <c r="FU493" s="169"/>
      <c r="FV493" s="169"/>
      <c r="FW493" s="169"/>
      <c r="FX493" s="169"/>
      <c r="FY493" s="169"/>
      <c r="FZ493" s="169"/>
      <c r="GA493" s="169"/>
      <c r="GB493" s="169"/>
      <c r="GC493" s="169"/>
      <c r="GD493" s="169"/>
      <c r="GE493" s="169"/>
    </row>
    <row r="494" spans="3:187" ht="12.75" customHeight="1">
      <c r="C494" s="169"/>
      <c r="D494" s="169"/>
      <c r="E494" s="169"/>
      <c r="F494" s="169"/>
      <c r="G494" s="169"/>
      <c r="H494" s="169"/>
      <c r="I494" s="169"/>
      <c r="J494" s="169"/>
      <c r="K494" s="169"/>
      <c r="L494" s="169"/>
      <c r="M494" s="169"/>
      <c r="N494" s="169"/>
      <c r="O494" s="169"/>
      <c r="P494" s="169"/>
      <c r="Q494" s="169"/>
      <c r="R494" s="169"/>
      <c r="S494" s="169"/>
      <c r="T494" s="169"/>
      <c r="U494" s="169"/>
      <c r="V494" s="169"/>
      <c r="W494" s="169"/>
      <c r="X494" s="169"/>
      <c r="Y494" s="169"/>
      <c r="Z494" s="169"/>
      <c r="AA494" s="169"/>
      <c r="AB494" s="169"/>
      <c r="AC494" s="169"/>
      <c r="AD494" s="169"/>
      <c r="AE494" s="169"/>
      <c r="AF494" s="169"/>
      <c r="AG494" s="169"/>
      <c r="AH494" s="169"/>
      <c r="AI494" s="169"/>
      <c r="AJ494" s="169"/>
      <c r="AK494" s="169"/>
      <c r="AL494" s="169"/>
      <c r="AM494" s="169"/>
      <c r="AN494" s="169"/>
      <c r="AO494" s="169"/>
      <c r="AP494" s="169"/>
      <c r="AQ494" s="169"/>
      <c r="AR494" s="169"/>
      <c r="AS494" s="169"/>
      <c r="AT494" s="169"/>
      <c r="AU494" s="169"/>
      <c r="AV494" s="169"/>
      <c r="AW494" s="169"/>
      <c r="AX494" s="169"/>
      <c r="AY494" s="169"/>
      <c r="AZ494" s="169"/>
      <c r="BA494" s="169"/>
      <c r="BB494" s="169"/>
      <c r="BC494" s="169"/>
      <c r="BD494" s="169"/>
      <c r="BE494" s="169"/>
      <c r="BF494" s="169"/>
      <c r="BG494" s="169"/>
      <c r="BH494" s="169"/>
      <c r="BI494" s="169"/>
      <c r="BJ494" s="169"/>
      <c r="BK494" s="169"/>
      <c r="BL494" s="169"/>
      <c r="BM494" s="169"/>
      <c r="BN494" s="169"/>
      <c r="BO494" s="169"/>
      <c r="BP494" s="169"/>
      <c r="BQ494" s="169"/>
      <c r="BR494" s="169"/>
      <c r="BS494" s="169"/>
      <c r="BT494" s="169"/>
      <c r="BU494" s="169"/>
      <c r="BV494" s="169"/>
      <c r="BW494" s="169"/>
      <c r="BX494" s="169"/>
      <c r="BY494" s="169"/>
      <c r="BZ494" s="169"/>
      <c r="CA494" s="169"/>
      <c r="CB494" s="169"/>
      <c r="CC494" s="169"/>
      <c r="CD494" s="169"/>
      <c r="CE494" s="169"/>
      <c r="CF494" s="169"/>
      <c r="CG494" s="169"/>
      <c r="CH494" s="169"/>
      <c r="CI494" s="169"/>
      <c r="CJ494" s="169"/>
      <c r="CK494" s="169"/>
      <c r="CL494" s="169"/>
      <c r="CM494" s="169"/>
      <c r="CN494" s="169"/>
      <c r="CO494" s="169"/>
      <c r="CP494" s="169"/>
      <c r="CQ494" s="169"/>
      <c r="CR494" s="169"/>
      <c r="CS494" s="169"/>
      <c r="CT494" s="169"/>
      <c r="CU494" s="169"/>
      <c r="CV494" s="169"/>
      <c r="CW494" s="169"/>
      <c r="CX494" s="169"/>
      <c r="CY494" s="169"/>
      <c r="CZ494" s="169"/>
      <c r="DA494" s="169"/>
      <c r="DB494" s="169"/>
      <c r="DC494" s="169"/>
      <c r="DD494" s="169"/>
      <c r="DE494" s="169"/>
      <c r="DF494" s="169"/>
      <c r="DG494" s="169"/>
      <c r="DH494" s="169"/>
      <c r="DI494" s="169"/>
      <c r="DJ494" s="169"/>
      <c r="DK494" s="169"/>
      <c r="DL494" s="169"/>
      <c r="DM494" s="169"/>
      <c r="DN494" s="169"/>
      <c r="DO494" s="169"/>
      <c r="DP494" s="169"/>
      <c r="DQ494" s="169"/>
      <c r="DR494" s="169"/>
      <c r="DS494" s="169"/>
      <c r="DT494" s="169"/>
      <c r="DU494" s="169"/>
      <c r="DV494" s="169"/>
      <c r="DW494" s="169"/>
      <c r="DX494" s="169"/>
      <c r="DY494" s="169"/>
      <c r="DZ494" s="169"/>
      <c r="EA494" s="169"/>
      <c r="EB494" s="169"/>
      <c r="EC494" s="169"/>
      <c r="ED494" s="169"/>
      <c r="EE494" s="169"/>
      <c r="EF494" s="169"/>
      <c r="EG494" s="169"/>
      <c r="EH494" s="169"/>
      <c r="EI494" s="169"/>
      <c r="EJ494" s="169"/>
      <c r="EK494" s="169"/>
      <c r="EL494" s="169"/>
      <c r="EM494" s="169"/>
      <c r="EN494" s="169"/>
      <c r="EO494" s="169"/>
      <c r="EP494" s="169"/>
      <c r="EQ494" s="169"/>
      <c r="ER494" s="169"/>
      <c r="ES494" s="169"/>
      <c r="ET494" s="169"/>
      <c r="EU494" s="169"/>
      <c r="EV494" s="169"/>
      <c r="EW494" s="169"/>
      <c r="EX494" s="169"/>
      <c r="EY494" s="169"/>
      <c r="EZ494" s="169"/>
      <c r="FA494" s="169"/>
      <c r="FB494" s="169"/>
      <c r="FC494" s="169"/>
      <c r="FD494" s="169"/>
      <c r="FE494" s="169"/>
      <c r="FF494" s="169"/>
      <c r="FG494" s="169"/>
      <c r="FH494" s="169"/>
      <c r="FI494" s="169"/>
      <c r="FJ494" s="169"/>
      <c r="FK494" s="169"/>
      <c r="FL494" s="169"/>
      <c r="FM494" s="169"/>
      <c r="FN494" s="169"/>
      <c r="FO494" s="169"/>
      <c r="FP494" s="169"/>
      <c r="FQ494" s="169"/>
      <c r="FR494" s="169"/>
      <c r="FS494" s="169"/>
      <c r="FT494" s="169"/>
      <c r="FU494" s="169"/>
      <c r="FV494" s="169"/>
      <c r="FW494" s="169"/>
      <c r="FX494" s="169"/>
      <c r="FY494" s="169"/>
      <c r="FZ494" s="169"/>
      <c r="GA494" s="169"/>
      <c r="GB494" s="169"/>
      <c r="GC494" s="169"/>
      <c r="GD494" s="169"/>
      <c r="GE494" s="169"/>
    </row>
    <row r="495" spans="3:187" ht="12.75" customHeight="1">
      <c r="C495" s="169"/>
      <c r="D495" s="169"/>
      <c r="E495" s="169"/>
      <c r="F495" s="169"/>
      <c r="G495" s="169"/>
      <c r="H495" s="169"/>
      <c r="I495" s="169"/>
      <c r="J495" s="169"/>
      <c r="K495" s="169"/>
      <c r="L495" s="169"/>
      <c r="M495" s="169"/>
      <c r="N495" s="169"/>
      <c r="O495" s="169"/>
      <c r="P495" s="169"/>
      <c r="Q495" s="169"/>
      <c r="R495" s="169"/>
      <c r="S495" s="169"/>
      <c r="T495" s="169"/>
      <c r="U495" s="169"/>
      <c r="V495" s="169"/>
      <c r="W495" s="169"/>
      <c r="X495" s="169"/>
      <c r="Y495" s="169"/>
      <c r="Z495" s="169"/>
      <c r="AA495" s="169"/>
      <c r="AB495" s="169"/>
      <c r="AC495" s="169"/>
      <c r="AD495" s="169"/>
      <c r="AE495" s="169"/>
      <c r="AF495" s="169"/>
      <c r="AG495" s="169"/>
      <c r="AH495" s="169"/>
      <c r="AI495" s="169"/>
      <c r="AJ495" s="169"/>
      <c r="AK495" s="169"/>
      <c r="AL495" s="169"/>
      <c r="AM495" s="169"/>
      <c r="AN495" s="169"/>
      <c r="AO495" s="169"/>
      <c r="AP495" s="169"/>
      <c r="AQ495" s="169"/>
      <c r="AR495" s="169"/>
      <c r="AS495" s="169"/>
      <c r="AT495" s="169"/>
      <c r="AU495" s="169"/>
      <c r="AV495" s="169"/>
      <c r="AW495" s="169"/>
      <c r="AX495" s="169"/>
      <c r="AY495" s="169"/>
      <c r="AZ495" s="169"/>
      <c r="BA495" s="169"/>
      <c r="BB495" s="169"/>
      <c r="BC495" s="169"/>
      <c r="BD495" s="169"/>
      <c r="BE495" s="169"/>
      <c r="BF495" s="169"/>
      <c r="BG495" s="169"/>
      <c r="BH495" s="169"/>
      <c r="BI495" s="169"/>
      <c r="BJ495" s="169"/>
      <c r="BK495" s="169"/>
      <c r="BL495" s="169"/>
      <c r="BM495" s="169"/>
      <c r="BN495" s="169"/>
      <c r="BO495" s="169"/>
      <c r="BP495" s="169"/>
      <c r="BQ495" s="169"/>
      <c r="BR495" s="169"/>
      <c r="BS495" s="169"/>
      <c r="BT495" s="169"/>
      <c r="BU495" s="169"/>
      <c r="BV495" s="169"/>
      <c r="BW495" s="169"/>
      <c r="BX495" s="169"/>
      <c r="BY495" s="169"/>
      <c r="BZ495" s="169"/>
      <c r="CA495" s="169"/>
      <c r="CB495" s="169"/>
      <c r="CC495" s="169"/>
      <c r="CD495" s="169"/>
      <c r="CE495" s="169"/>
      <c r="CF495" s="169"/>
      <c r="CG495" s="169"/>
      <c r="CH495" s="169"/>
      <c r="CI495" s="169"/>
      <c r="CJ495" s="169"/>
      <c r="CK495" s="169"/>
      <c r="CL495" s="169"/>
      <c r="CM495" s="169"/>
      <c r="CN495" s="169"/>
      <c r="CO495" s="169"/>
      <c r="CP495" s="169"/>
      <c r="CQ495" s="169"/>
      <c r="CR495" s="169"/>
      <c r="CS495" s="169"/>
      <c r="CT495" s="169"/>
      <c r="CU495" s="169"/>
      <c r="CV495" s="169"/>
      <c r="CW495" s="169"/>
      <c r="CX495" s="169"/>
      <c r="CY495" s="169"/>
      <c r="CZ495" s="169"/>
      <c r="DA495" s="169"/>
      <c r="DB495" s="169"/>
      <c r="DC495" s="169"/>
      <c r="DD495" s="169"/>
      <c r="DE495" s="169"/>
      <c r="DF495" s="169"/>
      <c r="DG495" s="169"/>
      <c r="DH495" s="169"/>
      <c r="DI495" s="169"/>
      <c r="DJ495" s="169"/>
      <c r="DK495" s="169"/>
      <c r="DL495" s="169"/>
      <c r="DM495" s="169"/>
      <c r="DN495" s="169"/>
      <c r="DO495" s="169"/>
      <c r="DP495" s="169"/>
      <c r="DQ495" s="169"/>
      <c r="DR495" s="169"/>
      <c r="DS495" s="169"/>
      <c r="DT495" s="169"/>
      <c r="DU495" s="169"/>
      <c r="DV495" s="169"/>
      <c r="DW495" s="169"/>
      <c r="DX495" s="169"/>
      <c r="DY495" s="169"/>
      <c r="DZ495" s="169"/>
      <c r="EA495" s="169"/>
      <c r="EB495" s="169"/>
      <c r="EC495" s="169"/>
      <c r="ED495" s="169"/>
      <c r="EE495" s="169"/>
      <c r="EF495" s="169"/>
      <c r="EG495" s="169"/>
      <c r="EH495" s="169"/>
      <c r="EI495" s="169"/>
      <c r="EJ495" s="169"/>
      <c r="EK495" s="169"/>
      <c r="EL495" s="169"/>
      <c r="EM495" s="169"/>
      <c r="EN495" s="169"/>
      <c r="EO495" s="169"/>
      <c r="EP495" s="169"/>
      <c r="EQ495" s="169"/>
      <c r="ER495" s="169"/>
      <c r="ES495" s="169"/>
      <c r="ET495" s="169"/>
      <c r="EU495" s="169"/>
      <c r="EV495" s="169"/>
      <c r="EW495" s="169"/>
      <c r="EX495" s="169"/>
      <c r="EY495" s="169"/>
      <c r="EZ495" s="169"/>
      <c r="FA495" s="169"/>
      <c r="FB495" s="169"/>
      <c r="FC495" s="169"/>
      <c r="FD495" s="169"/>
      <c r="FE495" s="169"/>
      <c r="FF495" s="169"/>
      <c r="FG495" s="169"/>
      <c r="FH495" s="169"/>
      <c r="FI495" s="169"/>
      <c r="FJ495" s="169"/>
      <c r="FK495" s="169"/>
      <c r="FL495" s="169"/>
      <c r="FM495" s="169"/>
      <c r="FN495" s="169"/>
      <c r="FO495" s="169"/>
      <c r="FP495" s="169"/>
      <c r="FQ495" s="169"/>
      <c r="FR495" s="169"/>
      <c r="FS495" s="169"/>
      <c r="FT495" s="169"/>
      <c r="FU495" s="169"/>
      <c r="FV495" s="169"/>
      <c r="FW495" s="169"/>
      <c r="FX495" s="169"/>
      <c r="FY495" s="169"/>
      <c r="FZ495" s="169"/>
      <c r="GA495" s="169"/>
      <c r="GB495" s="169"/>
      <c r="GC495" s="169"/>
      <c r="GD495" s="169"/>
      <c r="GE495" s="169"/>
    </row>
    <row r="496" spans="3:187" ht="12.75" customHeight="1">
      <c r="C496" s="169"/>
      <c r="D496" s="169"/>
      <c r="E496" s="169"/>
      <c r="F496" s="169"/>
      <c r="G496" s="169"/>
      <c r="H496" s="169"/>
      <c r="I496" s="169"/>
      <c r="J496" s="169"/>
      <c r="K496" s="169"/>
      <c r="L496" s="169"/>
      <c r="M496" s="169"/>
      <c r="N496" s="169"/>
      <c r="O496" s="169"/>
      <c r="P496" s="169"/>
      <c r="Q496" s="169"/>
      <c r="R496" s="169"/>
      <c r="S496" s="169"/>
      <c r="T496" s="169"/>
      <c r="U496" s="169"/>
      <c r="V496" s="169"/>
      <c r="W496" s="169"/>
      <c r="X496" s="169"/>
      <c r="Y496" s="169"/>
      <c r="Z496" s="169"/>
      <c r="AA496" s="169"/>
      <c r="AB496" s="169"/>
      <c r="AC496" s="169"/>
      <c r="AD496" s="169"/>
      <c r="AE496" s="169"/>
      <c r="AF496" s="169"/>
      <c r="AG496" s="169"/>
      <c r="AH496" s="169"/>
      <c r="AI496" s="169"/>
      <c r="AJ496" s="169"/>
      <c r="AK496" s="169"/>
      <c r="AL496" s="169"/>
      <c r="AM496" s="169"/>
      <c r="AN496" s="169"/>
      <c r="AO496" s="169"/>
      <c r="AP496" s="169"/>
      <c r="AQ496" s="169"/>
      <c r="AR496" s="169"/>
      <c r="AS496" s="169"/>
      <c r="AT496" s="169"/>
      <c r="AU496" s="169"/>
      <c r="AV496" s="169"/>
      <c r="AW496" s="169"/>
      <c r="AX496" s="169"/>
      <c r="AY496" s="169"/>
      <c r="AZ496" s="169"/>
      <c r="BA496" s="169"/>
      <c r="BB496" s="169"/>
      <c r="BC496" s="169"/>
      <c r="BD496" s="169"/>
      <c r="BE496" s="169"/>
      <c r="BF496" s="169"/>
      <c r="BG496" s="169"/>
      <c r="BH496" s="169"/>
      <c r="BI496" s="169"/>
      <c r="BJ496" s="169"/>
      <c r="BK496" s="169"/>
      <c r="BL496" s="169"/>
      <c r="BM496" s="169"/>
      <c r="BN496" s="169"/>
      <c r="BO496" s="169"/>
      <c r="BP496" s="169"/>
      <c r="BQ496" s="169"/>
      <c r="BR496" s="169"/>
      <c r="BS496" s="169"/>
      <c r="BT496" s="169"/>
      <c r="BU496" s="169"/>
      <c r="BV496" s="169"/>
      <c r="BW496" s="169"/>
      <c r="BX496" s="169"/>
      <c r="BY496" s="169"/>
      <c r="BZ496" s="169"/>
      <c r="CA496" s="169"/>
      <c r="CB496" s="169"/>
      <c r="CC496" s="169"/>
      <c r="CD496" s="169"/>
      <c r="CE496" s="169"/>
      <c r="CF496" s="169"/>
      <c r="CG496" s="169"/>
      <c r="CH496" s="169"/>
      <c r="CI496" s="169"/>
      <c r="CJ496" s="169"/>
      <c r="CK496" s="169"/>
      <c r="CL496" s="169"/>
      <c r="CM496" s="169"/>
      <c r="CN496" s="169"/>
      <c r="CO496" s="169"/>
      <c r="CP496" s="169"/>
      <c r="CQ496" s="169"/>
      <c r="CR496" s="169"/>
      <c r="CS496" s="169"/>
      <c r="CT496" s="169"/>
      <c r="CU496" s="169"/>
      <c r="CV496" s="169"/>
      <c r="CW496" s="169"/>
      <c r="CX496" s="169"/>
      <c r="CY496" s="169"/>
      <c r="CZ496" s="169"/>
      <c r="DA496" s="169"/>
      <c r="DB496" s="169"/>
      <c r="DC496" s="169"/>
      <c r="DD496" s="169"/>
      <c r="DE496" s="169"/>
      <c r="DF496" s="169"/>
      <c r="DG496" s="169"/>
      <c r="DH496" s="169"/>
      <c r="DI496" s="169"/>
      <c r="DJ496" s="169"/>
      <c r="DK496" s="169"/>
      <c r="DL496" s="169"/>
      <c r="DM496" s="169"/>
      <c r="DN496" s="169"/>
      <c r="DO496" s="169"/>
      <c r="DP496" s="169"/>
      <c r="DQ496" s="169"/>
      <c r="DR496" s="169"/>
      <c r="DS496" s="169"/>
      <c r="DT496" s="169"/>
      <c r="DU496" s="169"/>
      <c r="DV496" s="169"/>
      <c r="DW496" s="169"/>
      <c r="DX496" s="169"/>
      <c r="DY496" s="169"/>
      <c r="DZ496" s="169"/>
      <c r="EA496" s="169"/>
      <c r="EB496" s="169"/>
      <c r="EC496" s="169"/>
      <c r="ED496" s="169"/>
      <c r="EE496" s="169"/>
      <c r="EF496" s="169"/>
      <c r="EG496" s="169"/>
      <c r="EH496" s="169"/>
      <c r="EI496" s="169"/>
      <c r="EJ496" s="169"/>
      <c r="EK496" s="169"/>
      <c r="EL496" s="169"/>
      <c r="EM496" s="169"/>
      <c r="EN496" s="169"/>
      <c r="EO496" s="169"/>
      <c r="EP496" s="169"/>
      <c r="EQ496" s="169"/>
      <c r="ER496" s="169"/>
      <c r="ES496" s="169"/>
      <c r="ET496" s="169"/>
      <c r="EU496" s="169"/>
      <c r="EV496" s="169"/>
      <c r="EW496" s="169"/>
      <c r="EX496" s="169"/>
      <c r="EY496" s="169"/>
      <c r="EZ496" s="169"/>
      <c r="FA496" s="169"/>
      <c r="FB496" s="169"/>
      <c r="FC496" s="169"/>
      <c r="FD496" s="169"/>
      <c r="FE496" s="169"/>
      <c r="FF496" s="169"/>
      <c r="FG496" s="169"/>
      <c r="FH496" s="169"/>
      <c r="FI496" s="169"/>
      <c r="FJ496" s="169"/>
      <c r="FK496" s="169"/>
      <c r="FL496" s="169"/>
      <c r="FM496" s="169"/>
      <c r="FN496" s="169"/>
      <c r="FO496" s="169"/>
      <c r="FP496" s="169"/>
      <c r="FQ496" s="169"/>
      <c r="FR496" s="169"/>
      <c r="FS496" s="169"/>
      <c r="FT496" s="169"/>
      <c r="FU496" s="169"/>
      <c r="FV496" s="169"/>
      <c r="FW496" s="169"/>
      <c r="FX496" s="169"/>
      <c r="FY496" s="169"/>
      <c r="FZ496" s="169"/>
      <c r="GA496" s="169"/>
      <c r="GB496" s="169"/>
      <c r="GC496" s="169"/>
      <c r="GD496" s="169"/>
      <c r="GE496" s="169"/>
    </row>
    <row r="497" spans="3:187" ht="12.75" customHeight="1">
      <c r="C497" s="225"/>
      <c r="D497" s="225"/>
      <c r="E497" s="225"/>
      <c r="F497" s="225"/>
      <c r="G497" s="225"/>
      <c r="H497" s="225"/>
      <c r="I497" s="225"/>
      <c r="J497" s="225"/>
      <c r="K497" s="225"/>
      <c r="L497" s="225"/>
      <c r="M497" s="225"/>
      <c r="N497" s="225"/>
      <c r="O497" s="225"/>
      <c r="P497" s="225"/>
      <c r="Q497" s="225"/>
      <c r="R497" s="225"/>
      <c r="S497" s="225"/>
      <c r="T497" s="225"/>
      <c r="U497" s="225"/>
      <c r="V497" s="225"/>
      <c r="W497" s="225"/>
      <c r="X497" s="225"/>
      <c r="Y497" s="225"/>
      <c r="Z497" s="225"/>
      <c r="AA497" s="225"/>
      <c r="AB497" s="225"/>
      <c r="AC497" s="225"/>
      <c r="AD497" s="225"/>
      <c r="AE497" s="225"/>
      <c r="AF497" s="225"/>
      <c r="AG497" s="225"/>
      <c r="AH497" s="225"/>
      <c r="AI497" s="225"/>
      <c r="AJ497" s="225"/>
      <c r="AK497" s="225"/>
      <c r="AL497" s="225"/>
      <c r="AM497" s="225"/>
      <c r="AN497" s="225"/>
      <c r="AO497" s="225"/>
      <c r="AP497" s="225"/>
      <c r="AQ497" s="225"/>
      <c r="AR497" s="225"/>
      <c r="AS497" s="225"/>
      <c r="AT497" s="225"/>
      <c r="AU497" s="225"/>
      <c r="AV497" s="225"/>
      <c r="AW497" s="225"/>
      <c r="AX497" s="225"/>
      <c r="AY497" s="225"/>
      <c r="AZ497" s="225"/>
      <c r="BA497" s="225"/>
      <c r="BB497" s="225"/>
      <c r="BC497" s="225"/>
      <c r="BD497" s="225"/>
      <c r="BE497" s="225"/>
      <c r="BF497" s="225"/>
      <c r="BG497" s="225"/>
      <c r="BH497" s="225"/>
      <c r="BI497" s="225"/>
      <c r="BJ497" s="225"/>
      <c r="BK497" s="225"/>
      <c r="BL497" s="225"/>
      <c r="BM497" s="225"/>
      <c r="BN497" s="225"/>
      <c r="BO497" s="225"/>
      <c r="BP497" s="225"/>
      <c r="BQ497" s="225"/>
      <c r="BR497" s="225"/>
      <c r="BS497" s="225"/>
      <c r="BT497" s="225"/>
      <c r="BU497" s="225"/>
      <c r="BV497" s="225"/>
      <c r="BW497" s="225"/>
      <c r="BX497" s="225"/>
      <c r="BY497" s="225"/>
      <c r="BZ497" s="225"/>
      <c r="CA497" s="225"/>
      <c r="CB497" s="225"/>
      <c r="CC497" s="225"/>
      <c r="CD497" s="225"/>
      <c r="CE497" s="225"/>
      <c r="CF497" s="225"/>
      <c r="CG497" s="225"/>
      <c r="CH497" s="225"/>
      <c r="CI497" s="225"/>
      <c r="CJ497" s="225"/>
      <c r="CK497" s="225"/>
      <c r="CL497" s="225"/>
      <c r="CM497" s="225"/>
      <c r="CN497" s="225"/>
      <c r="CO497" s="225"/>
      <c r="CP497" s="225"/>
      <c r="CQ497" s="225"/>
      <c r="CR497" s="225"/>
      <c r="CS497" s="225"/>
      <c r="CT497" s="225"/>
      <c r="CU497" s="225"/>
      <c r="CV497" s="225"/>
      <c r="CW497" s="225"/>
      <c r="CX497" s="225"/>
      <c r="CY497" s="225"/>
      <c r="CZ497" s="225"/>
      <c r="DA497" s="225"/>
      <c r="DB497" s="225"/>
      <c r="DC497" s="225"/>
      <c r="DD497" s="225"/>
      <c r="DE497" s="225"/>
      <c r="DF497" s="225"/>
      <c r="DG497" s="225"/>
      <c r="DH497" s="225"/>
      <c r="DI497" s="225"/>
      <c r="DJ497" s="225"/>
      <c r="DK497" s="225"/>
      <c r="DL497" s="225"/>
      <c r="DM497" s="225"/>
      <c r="DN497" s="225"/>
      <c r="DO497" s="225"/>
      <c r="DP497" s="225"/>
      <c r="DQ497" s="225"/>
      <c r="DR497" s="225"/>
      <c r="DS497" s="225"/>
      <c r="DT497" s="225"/>
      <c r="DU497" s="225"/>
      <c r="DV497" s="225"/>
      <c r="DW497" s="225"/>
      <c r="DX497" s="225"/>
      <c r="DY497" s="225"/>
      <c r="DZ497" s="225"/>
      <c r="EA497" s="225"/>
      <c r="EB497" s="225"/>
      <c r="EC497" s="225"/>
      <c r="ED497" s="225"/>
      <c r="EE497" s="225"/>
      <c r="EF497" s="225"/>
      <c r="EG497" s="225"/>
      <c r="EH497" s="225"/>
      <c r="EI497" s="225"/>
      <c r="EJ497" s="225"/>
      <c r="EK497" s="225"/>
      <c r="EL497" s="225"/>
      <c r="EM497" s="225"/>
      <c r="EN497" s="225"/>
      <c r="EO497" s="225"/>
      <c r="EP497" s="225"/>
      <c r="EQ497" s="225"/>
      <c r="ER497" s="225"/>
      <c r="ES497" s="225"/>
      <c r="ET497" s="225"/>
      <c r="EU497" s="225"/>
      <c r="EV497" s="225"/>
      <c r="EW497" s="225"/>
      <c r="EX497" s="225"/>
      <c r="EY497" s="225"/>
      <c r="EZ497" s="225"/>
      <c r="FA497" s="225"/>
      <c r="FB497" s="225"/>
      <c r="FC497" s="225"/>
      <c r="FD497" s="225"/>
      <c r="FE497" s="225"/>
      <c r="FF497" s="225"/>
      <c r="FG497" s="225"/>
      <c r="FH497" s="225"/>
      <c r="FI497" s="225"/>
      <c r="FJ497" s="225"/>
      <c r="FK497" s="225"/>
      <c r="FL497" s="225"/>
      <c r="FM497" s="225"/>
      <c r="FN497" s="225"/>
      <c r="FO497" s="225"/>
      <c r="FP497" s="225"/>
      <c r="FQ497" s="225"/>
      <c r="FR497" s="225"/>
      <c r="FS497" s="225"/>
      <c r="FT497" s="225"/>
      <c r="FU497" s="225"/>
      <c r="FV497" s="225"/>
      <c r="FW497" s="225"/>
      <c r="FX497" s="225"/>
      <c r="FY497" s="225"/>
      <c r="FZ497" s="225"/>
      <c r="GA497" s="225"/>
      <c r="GB497" s="225"/>
      <c r="GC497" s="225"/>
      <c r="GD497" s="225"/>
      <c r="GE497" s="225"/>
    </row>
    <row r="498" spans="3:187" ht="12.75" customHeight="1">
      <c r="C498" s="106"/>
      <c r="D498" s="106"/>
      <c r="E498" s="106"/>
      <c r="F498" s="106"/>
      <c r="G498" s="106"/>
      <c r="H498" s="106"/>
      <c r="I498" s="106"/>
      <c r="J498" s="106"/>
      <c r="K498" s="106"/>
      <c r="L498" s="106"/>
      <c r="M498" s="106"/>
      <c r="N498" s="106"/>
      <c r="O498" s="106"/>
      <c r="P498" s="106"/>
      <c r="Q498" s="106"/>
      <c r="R498" s="106"/>
      <c r="S498" s="106"/>
      <c r="T498" s="106"/>
      <c r="U498" s="106"/>
      <c r="V498" s="106"/>
      <c r="W498" s="106"/>
      <c r="X498" s="106"/>
      <c r="Y498" s="106"/>
      <c r="Z498" s="106"/>
      <c r="AA498" s="106"/>
      <c r="AB498" s="106"/>
      <c r="AC498" s="106"/>
      <c r="AD498" s="106"/>
      <c r="AE498" s="106"/>
      <c r="AF498" s="106"/>
      <c r="AG498" s="106"/>
      <c r="AH498" s="106"/>
      <c r="AI498" s="106"/>
      <c r="AJ498" s="106"/>
      <c r="AK498" s="106"/>
      <c r="AL498" s="106"/>
      <c r="AM498" s="106"/>
      <c r="AN498" s="106"/>
      <c r="AO498" s="106"/>
      <c r="AP498" s="106"/>
      <c r="AQ498" s="106"/>
      <c r="AR498" s="106"/>
      <c r="AS498" s="106"/>
      <c r="AT498" s="106"/>
      <c r="AU498" s="106"/>
      <c r="AV498" s="106"/>
      <c r="AW498" s="106"/>
      <c r="AX498" s="106"/>
      <c r="AY498" s="106"/>
      <c r="AZ498" s="106"/>
      <c r="BA498" s="106"/>
      <c r="BB498" s="106"/>
      <c r="BC498" s="106"/>
      <c r="BD498" s="106"/>
      <c r="BE498" s="106"/>
      <c r="BF498" s="106"/>
      <c r="BG498" s="106"/>
      <c r="BH498" s="106"/>
      <c r="BI498" s="106"/>
      <c r="BJ498" s="106"/>
      <c r="BK498" s="106"/>
      <c r="BL498" s="106"/>
      <c r="BM498" s="106"/>
      <c r="BN498" s="106"/>
      <c r="BO498" s="106"/>
      <c r="BP498" s="106"/>
      <c r="BQ498" s="106"/>
      <c r="BR498" s="106"/>
      <c r="BS498" s="106"/>
      <c r="BT498" s="106"/>
      <c r="BU498" s="106"/>
      <c r="BV498" s="106"/>
      <c r="BW498" s="106"/>
      <c r="BX498" s="106"/>
      <c r="BY498" s="106"/>
      <c r="BZ498" s="106"/>
      <c r="CA498" s="106"/>
      <c r="CB498" s="106"/>
      <c r="CC498" s="106"/>
      <c r="CD498" s="106"/>
      <c r="CE498" s="106"/>
      <c r="CF498" s="106"/>
      <c r="CG498" s="106"/>
      <c r="CH498" s="106"/>
      <c r="CI498" s="106"/>
      <c r="CJ498" s="106"/>
      <c r="CK498" s="106"/>
      <c r="CL498" s="106"/>
      <c r="CM498" s="106"/>
      <c r="CN498" s="106"/>
      <c r="CO498" s="106"/>
      <c r="CP498" s="106"/>
      <c r="CQ498" s="106"/>
      <c r="CR498" s="106"/>
      <c r="CS498" s="106"/>
      <c r="CT498" s="106"/>
      <c r="CU498" s="106"/>
      <c r="CV498" s="106"/>
      <c r="CW498" s="106"/>
      <c r="CX498" s="106"/>
      <c r="CY498" s="106"/>
      <c r="CZ498" s="106"/>
      <c r="DA498" s="106"/>
      <c r="DB498" s="106"/>
      <c r="DC498" s="106"/>
      <c r="DD498" s="106"/>
      <c r="DE498" s="106"/>
      <c r="DF498" s="106"/>
      <c r="DG498" s="106"/>
      <c r="DH498" s="106"/>
      <c r="DI498" s="106"/>
      <c r="DJ498" s="106"/>
      <c r="DK498" s="106"/>
      <c r="DL498" s="106"/>
      <c r="DM498" s="106"/>
      <c r="DN498" s="106"/>
      <c r="DO498" s="106"/>
      <c r="DP498" s="106"/>
      <c r="DQ498" s="106"/>
      <c r="DR498" s="106"/>
      <c r="DS498" s="106"/>
      <c r="DT498" s="106"/>
      <c r="DU498" s="106"/>
      <c r="DV498" s="106"/>
      <c r="DW498" s="106"/>
      <c r="DX498" s="106"/>
      <c r="DY498" s="106"/>
      <c r="DZ498" s="106"/>
      <c r="EA498" s="106"/>
      <c r="EB498" s="106"/>
      <c r="EC498" s="106"/>
      <c r="ED498" s="106"/>
      <c r="EE498" s="106"/>
      <c r="EF498" s="106"/>
      <c r="EG498" s="106"/>
      <c r="EH498" s="106"/>
      <c r="EI498" s="106"/>
      <c r="EJ498" s="106"/>
      <c r="EK498" s="106"/>
      <c r="EL498" s="106"/>
      <c r="EM498" s="106"/>
      <c r="EN498" s="106"/>
      <c r="EO498" s="106"/>
      <c r="EP498" s="106"/>
      <c r="EQ498" s="106"/>
      <c r="ER498" s="106"/>
      <c r="ES498" s="106"/>
      <c r="ET498" s="106"/>
      <c r="EU498" s="106"/>
      <c r="EV498" s="106"/>
      <c r="EW498" s="106"/>
      <c r="EX498" s="106"/>
      <c r="EY498" s="106"/>
      <c r="EZ498" s="106"/>
      <c r="FA498" s="106"/>
      <c r="FB498" s="106"/>
      <c r="FC498" s="106"/>
      <c r="FD498" s="106"/>
      <c r="FE498" s="106"/>
      <c r="FF498" s="106"/>
      <c r="FG498" s="106"/>
      <c r="FH498" s="106"/>
      <c r="FI498" s="106"/>
      <c r="FJ498" s="106"/>
      <c r="FK498" s="106"/>
      <c r="FL498" s="106"/>
      <c r="FM498" s="106"/>
      <c r="FN498" s="106"/>
      <c r="FO498" s="106"/>
      <c r="FP498" s="106"/>
      <c r="FQ498" s="106"/>
      <c r="FR498" s="106"/>
      <c r="FS498" s="106"/>
      <c r="FT498" s="106"/>
      <c r="FU498" s="106"/>
      <c r="FV498" s="106"/>
      <c r="FW498" s="106"/>
      <c r="FX498" s="106"/>
      <c r="FY498" s="106"/>
      <c r="FZ498" s="106"/>
      <c r="GA498" s="106"/>
      <c r="GB498" s="106"/>
      <c r="GC498" s="106"/>
      <c r="GD498" s="106"/>
      <c r="GE498" s="106"/>
    </row>
    <row r="499" spans="3:187" ht="12.75" customHeight="1">
      <c r="C499" s="106"/>
      <c r="D499" s="106"/>
      <c r="E499" s="106"/>
      <c r="F499" s="106"/>
      <c r="G499" s="106"/>
      <c r="H499" s="106"/>
      <c r="I499" s="106"/>
      <c r="J499" s="106"/>
      <c r="K499" s="106"/>
      <c r="L499" s="106"/>
      <c r="M499" s="106"/>
      <c r="N499" s="106"/>
      <c r="O499" s="106"/>
      <c r="P499" s="106"/>
      <c r="Q499" s="106"/>
      <c r="R499" s="106"/>
      <c r="S499" s="106"/>
      <c r="T499" s="106"/>
      <c r="U499" s="106"/>
      <c r="V499" s="106"/>
      <c r="W499" s="106"/>
      <c r="X499" s="106"/>
      <c r="Y499" s="106"/>
      <c r="Z499" s="106"/>
      <c r="AA499" s="106"/>
      <c r="AB499" s="106"/>
      <c r="AC499" s="106"/>
      <c r="AD499" s="106"/>
      <c r="AE499" s="106"/>
      <c r="AF499" s="106"/>
      <c r="AG499" s="106"/>
      <c r="AH499" s="106"/>
      <c r="AI499" s="106"/>
      <c r="AJ499" s="106"/>
      <c r="AK499" s="106"/>
      <c r="AL499" s="106"/>
      <c r="AM499" s="106"/>
      <c r="AN499" s="106"/>
      <c r="AO499" s="106"/>
      <c r="AP499" s="106"/>
      <c r="AQ499" s="106"/>
      <c r="AR499" s="106"/>
      <c r="AS499" s="106"/>
      <c r="AT499" s="106"/>
      <c r="AU499" s="106"/>
      <c r="AV499" s="106"/>
      <c r="AW499" s="106"/>
      <c r="AX499" s="106"/>
      <c r="AY499" s="106"/>
      <c r="AZ499" s="106"/>
      <c r="BA499" s="106"/>
      <c r="BB499" s="106"/>
      <c r="BC499" s="106"/>
      <c r="BD499" s="106"/>
      <c r="BE499" s="106"/>
      <c r="BF499" s="106"/>
      <c r="BG499" s="106"/>
      <c r="BH499" s="106"/>
      <c r="BI499" s="106"/>
      <c r="BJ499" s="106"/>
      <c r="BK499" s="106"/>
      <c r="BL499" s="106"/>
      <c r="BM499" s="106"/>
      <c r="BN499" s="106"/>
      <c r="BO499" s="106"/>
      <c r="BP499" s="106"/>
      <c r="BQ499" s="106"/>
      <c r="BR499" s="106"/>
      <c r="BS499" s="106"/>
      <c r="BT499" s="106"/>
      <c r="BU499" s="106"/>
      <c r="BV499" s="106"/>
      <c r="BW499" s="106"/>
      <c r="BX499" s="106"/>
      <c r="BY499" s="106"/>
      <c r="BZ499" s="106"/>
      <c r="CA499" s="106"/>
      <c r="CB499" s="106"/>
      <c r="CC499" s="106"/>
      <c r="CD499" s="106"/>
      <c r="CE499" s="106"/>
      <c r="CF499" s="106"/>
      <c r="CG499" s="106"/>
      <c r="CH499" s="106"/>
      <c r="CI499" s="106"/>
      <c r="CJ499" s="106"/>
      <c r="CK499" s="106"/>
      <c r="CL499" s="106"/>
      <c r="CM499" s="106"/>
      <c r="CN499" s="106"/>
      <c r="CO499" s="106"/>
      <c r="CP499" s="106"/>
      <c r="CQ499" s="106"/>
      <c r="CR499" s="106"/>
      <c r="CS499" s="106"/>
      <c r="CT499" s="106"/>
      <c r="CU499" s="106"/>
      <c r="CV499" s="106"/>
      <c r="CW499" s="106"/>
      <c r="CX499" s="106"/>
      <c r="CY499" s="106"/>
      <c r="CZ499" s="106"/>
      <c r="DA499" s="106"/>
      <c r="DB499" s="106"/>
      <c r="DC499" s="106"/>
      <c r="DD499" s="106"/>
      <c r="DE499" s="106"/>
      <c r="DF499" s="106"/>
      <c r="DG499" s="106"/>
      <c r="DH499" s="106"/>
      <c r="DI499" s="106"/>
      <c r="DJ499" s="106"/>
      <c r="DK499" s="106"/>
      <c r="DL499" s="106"/>
      <c r="DM499" s="106"/>
      <c r="DN499" s="106"/>
      <c r="DO499" s="106"/>
      <c r="DP499" s="106"/>
      <c r="DQ499" s="106"/>
      <c r="DR499" s="106"/>
      <c r="DS499" s="106"/>
      <c r="DT499" s="106"/>
      <c r="DU499" s="106"/>
      <c r="DV499" s="106"/>
      <c r="DW499" s="106"/>
      <c r="DX499" s="106"/>
      <c r="DY499" s="106"/>
      <c r="DZ499" s="106"/>
      <c r="EA499" s="106"/>
      <c r="EB499" s="106"/>
      <c r="EC499" s="106"/>
      <c r="ED499" s="106"/>
      <c r="EE499" s="106"/>
      <c r="EF499" s="106"/>
      <c r="EG499" s="106"/>
      <c r="EH499" s="106"/>
      <c r="EI499" s="106"/>
      <c r="EJ499" s="106"/>
      <c r="EK499" s="106"/>
      <c r="EL499" s="106"/>
      <c r="EM499" s="106"/>
      <c r="EN499" s="106"/>
      <c r="EO499" s="106"/>
      <c r="EP499" s="106"/>
      <c r="EQ499" s="106"/>
      <c r="ER499" s="106"/>
      <c r="ES499" s="106"/>
      <c r="ET499" s="106"/>
      <c r="EU499" s="106"/>
      <c r="EV499" s="106"/>
      <c r="EW499" s="106"/>
      <c r="EX499" s="106"/>
      <c r="EY499" s="106"/>
      <c r="EZ499" s="106"/>
      <c r="FA499" s="106"/>
      <c r="FB499" s="106"/>
      <c r="FC499" s="106"/>
      <c r="FD499" s="106"/>
      <c r="FE499" s="106"/>
      <c r="FF499" s="106"/>
      <c r="FG499" s="106"/>
      <c r="FH499" s="106"/>
      <c r="FI499" s="106"/>
      <c r="FJ499" s="106"/>
      <c r="FK499" s="106"/>
      <c r="FL499" s="106"/>
      <c r="FM499" s="106"/>
      <c r="FN499" s="106"/>
      <c r="FO499" s="106"/>
      <c r="FP499" s="106"/>
      <c r="FQ499" s="106"/>
      <c r="FR499" s="106"/>
      <c r="FS499" s="106"/>
      <c r="FT499" s="106"/>
      <c r="FU499" s="106"/>
      <c r="FV499" s="106"/>
      <c r="FW499" s="106"/>
      <c r="FX499" s="106"/>
      <c r="FY499" s="106"/>
      <c r="FZ499" s="106"/>
      <c r="GA499" s="106"/>
      <c r="GB499" s="106"/>
      <c r="GC499" s="106"/>
      <c r="GD499" s="106"/>
      <c r="GE499" s="106"/>
    </row>
    <row r="500" spans="3:187" ht="12.75" customHeight="1">
      <c r="C500" s="225"/>
      <c r="D500" s="225"/>
      <c r="E500" s="225"/>
      <c r="F500" s="225"/>
      <c r="G500" s="225"/>
      <c r="H500" s="225"/>
      <c r="I500" s="225"/>
      <c r="J500" s="225"/>
      <c r="K500" s="225"/>
      <c r="L500" s="225"/>
      <c r="M500" s="225"/>
      <c r="N500" s="225"/>
      <c r="O500" s="225"/>
      <c r="P500" s="225"/>
      <c r="Q500" s="225"/>
      <c r="R500" s="225"/>
      <c r="S500" s="225"/>
      <c r="T500" s="225"/>
      <c r="U500" s="225"/>
      <c r="V500" s="225"/>
      <c r="W500" s="225"/>
      <c r="X500" s="225"/>
      <c r="Y500" s="225"/>
      <c r="Z500" s="225"/>
      <c r="AA500" s="225"/>
      <c r="AB500" s="225"/>
      <c r="AC500" s="225"/>
      <c r="AD500" s="225"/>
      <c r="AE500" s="225"/>
      <c r="AF500" s="225"/>
      <c r="AG500" s="225"/>
      <c r="AH500" s="225"/>
      <c r="AI500" s="225"/>
      <c r="AJ500" s="225"/>
      <c r="AK500" s="225"/>
      <c r="AL500" s="225"/>
      <c r="AM500" s="225"/>
      <c r="AN500" s="225"/>
      <c r="AO500" s="225"/>
      <c r="AP500" s="225"/>
      <c r="AQ500" s="225"/>
      <c r="AR500" s="225"/>
      <c r="AS500" s="225"/>
      <c r="AT500" s="225"/>
      <c r="AU500" s="225"/>
      <c r="AV500" s="225"/>
      <c r="AW500" s="225"/>
      <c r="AX500" s="225"/>
      <c r="AY500" s="225"/>
      <c r="AZ500" s="225"/>
      <c r="BA500" s="225"/>
      <c r="BB500" s="225"/>
      <c r="BC500" s="225"/>
      <c r="BD500" s="225"/>
      <c r="BE500" s="225"/>
      <c r="BF500" s="225"/>
      <c r="BG500" s="225"/>
      <c r="BH500" s="225"/>
      <c r="BI500" s="225"/>
      <c r="BJ500" s="225"/>
      <c r="BK500" s="225"/>
      <c r="BL500" s="225"/>
      <c r="BM500" s="225"/>
      <c r="BN500" s="225"/>
      <c r="BO500" s="225"/>
      <c r="BP500" s="225"/>
      <c r="BQ500" s="225"/>
      <c r="BR500" s="225"/>
      <c r="BS500" s="225"/>
      <c r="BT500" s="225"/>
      <c r="BU500" s="225"/>
      <c r="BV500" s="225"/>
      <c r="BW500" s="225"/>
      <c r="BX500" s="225"/>
      <c r="BY500" s="225"/>
      <c r="BZ500" s="225"/>
      <c r="CA500" s="225"/>
      <c r="CB500" s="225"/>
      <c r="CC500" s="225"/>
      <c r="CD500" s="225"/>
      <c r="CE500" s="225"/>
      <c r="CF500" s="225"/>
      <c r="CG500" s="225"/>
      <c r="CH500" s="225"/>
      <c r="CI500" s="225"/>
      <c r="CJ500" s="225"/>
      <c r="CK500" s="225"/>
      <c r="CL500" s="225"/>
      <c r="CM500" s="225"/>
      <c r="CN500" s="225"/>
      <c r="CO500" s="225"/>
      <c r="CP500" s="225"/>
      <c r="CQ500" s="225"/>
      <c r="CR500" s="225"/>
      <c r="CS500" s="225"/>
      <c r="CT500" s="225"/>
      <c r="CU500" s="225"/>
      <c r="CV500" s="225"/>
      <c r="CW500" s="225"/>
      <c r="CX500" s="225"/>
      <c r="CY500" s="225"/>
      <c r="CZ500" s="225"/>
      <c r="DA500" s="225"/>
      <c r="DB500" s="225"/>
      <c r="DC500" s="225"/>
      <c r="DD500" s="225"/>
      <c r="DE500" s="225"/>
      <c r="DF500" s="225"/>
      <c r="DG500" s="225"/>
      <c r="DH500" s="225"/>
      <c r="DI500" s="225"/>
      <c r="DJ500" s="225"/>
      <c r="DK500" s="225"/>
      <c r="DL500" s="225"/>
      <c r="DM500" s="225"/>
      <c r="DN500" s="225"/>
      <c r="DO500" s="225"/>
      <c r="DP500" s="225"/>
      <c r="DQ500" s="225"/>
      <c r="DR500" s="225"/>
      <c r="DS500" s="225"/>
      <c r="DT500" s="225"/>
      <c r="DU500" s="225"/>
      <c r="DV500" s="225"/>
      <c r="DW500" s="225"/>
      <c r="DX500" s="225"/>
      <c r="DY500" s="225"/>
      <c r="DZ500" s="225"/>
      <c r="EA500" s="225"/>
      <c r="EB500" s="225"/>
      <c r="EC500" s="225"/>
      <c r="ED500" s="225"/>
      <c r="EE500" s="225"/>
      <c r="EF500" s="225"/>
      <c r="EG500" s="225"/>
      <c r="EH500" s="225"/>
      <c r="EI500" s="225"/>
      <c r="EJ500" s="225"/>
      <c r="EK500" s="225"/>
      <c r="EL500" s="225"/>
      <c r="EM500" s="225"/>
      <c r="EN500" s="225"/>
      <c r="EO500" s="225"/>
      <c r="EP500" s="225"/>
      <c r="EQ500" s="225"/>
      <c r="ER500" s="225"/>
      <c r="ES500" s="225"/>
      <c r="ET500" s="225"/>
      <c r="EU500" s="225"/>
      <c r="EV500" s="225"/>
      <c r="EW500" s="225"/>
      <c r="EX500" s="225"/>
      <c r="EY500" s="225"/>
      <c r="EZ500" s="225"/>
      <c r="FA500" s="225"/>
      <c r="FB500" s="225"/>
      <c r="FC500" s="225"/>
      <c r="FD500" s="225"/>
      <c r="FE500" s="225"/>
      <c r="FF500" s="225"/>
      <c r="FG500" s="225"/>
      <c r="FH500" s="225"/>
      <c r="FI500" s="225"/>
      <c r="FJ500" s="225"/>
      <c r="FK500" s="225"/>
      <c r="FL500" s="225"/>
      <c r="FM500" s="225"/>
      <c r="FN500" s="225"/>
      <c r="FO500" s="225"/>
      <c r="FP500" s="225"/>
      <c r="FQ500" s="225"/>
      <c r="FR500" s="225"/>
      <c r="FS500" s="225"/>
      <c r="FT500" s="225"/>
      <c r="FU500" s="225"/>
      <c r="FV500" s="225"/>
      <c r="FW500" s="225"/>
      <c r="FX500" s="225"/>
      <c r="FY500" s="225"/>
      <c r="FZ500" s="225"/>
      <c r="GA500" s="225"/>
      <c r="GB500" s="225"/>
      <c r="GC500" s="225"/>
      <c r="GD500" s="225"/>
      <c r="GE500" s="225"/>
    </row>
    <row r="501" spans="3:187" ht="12.75" customHeight="1">
      <c r="C501" s="225"/>
      <c r="D501" s="225"/>
      <c r="E501" s="225"/>
      <c r="F501" s="225"/>
      <c r="G501" s="225"/>
      <c r="H501" s="225"/>
      <c r="I501" s="225"/>
      <c r="J501" s="225"/>
      <c r="K501" s="225"/>
      <c r="L501" s="225"/>
      <c r="M501" s="225"/>
      <c r="N501" s="225"/>
      <c r="O501" s="225"/>
      <c r="P501" s="225"/>
      <c r="Q501" s="225"/>
      <c r="R501" s="225"/>
      <c r="S501" s="225"/>
      <c r="T501" s="225"/>
      <c r="U501" s="225"/>
      <c r="V501" s="225"/>
      <c r="W501" s="225"/>
      <c r="X501" s="225"/>
      <c r="Y501" s="225"/>
      <c r="Z501" s="225"/>
      <c r="AA501" s="225"/>
      <c r="AB501" s="225"/>
      <c r="AC501" s="225"/>
      <c r="AD501" s="225"/>
      <c r="AE501" s="225"/>
      <c r="AF501" s="225"/>
      <c r="AG501" s="225"/>
      <c r="AH501" s="225"/>
      <c r="AI501" s="225"/>
      <c r="AJ501" s="225"/>
      <c r="AK501" s="225"/>
      <c r="AL501" s="225"/>
      <c r="AM501" s="225"/>
      <c r="AN501" s="225"/>
      <c r="AO501" s="225"/>
      <c r="AP501" s="225"/>
      <c r="AQ501" s="225"/>
      <c r="AR501" s="225"/>
      <c r="AS501" s="225"/>
      <c r="AT501" s="225"/>
      <c r="AU501" s="225"/>
      <c r="AV501" s="225"/>
      <c r="AW501" s="225"/>
      <c r="AX501" s="225"/>
      <c r="AY501" s="225"/>
      <c r="AZ501" s="225"/>
      <c r="BA501" s="225"/>
      <c r="BB501" s="225"/>
      <c r="BC501" s="225"/>
      <c r="BD501" s="225"/>
      <c r="BE501" s="225"/>
      <c r="BF501" s="225"/>
      <c r="BG501" s="225"/>
      <c r="BH501" s="225"/>
      <c r="BI501" s="225"/>
      <c r="BJ501" s="225"/>
      <c r="BK501" s="225"/>
      <c r="BL501" s="225"/>
      <c r="BM501" s="225"/>
      <c r="BN501" s="225"/>
      <c r="BO501" s="225"/>
      <c r="BP501" s="225"/>
      <c r="BQ501" s="225"/>
      <c r="BR501" s="225"/>
      <c r="BS501" s="225"/>
      <c r="BT501" s="225"/>
      <c r="BU501" s="225"/>
      <c r="BV501" s="225"/>
      <c r="BW501" s="225"/>
      <c r="BX501" s="225"/>
      <c r="BY501" s="225"/>
      <c r="BZ501" s="225"/>
      <c r="CA501" s="225"/>
      <c r="CB501" s="225"/>
      <c r="CC501" s="225"/>
      <c r="CD501" s="225"/>
      <c r="CE501" s="225"/>
      <c r="CF501" s="225"/>
      <c r="CG501" s="225"/>
      <c r="CH501" s="225"/>
      <c r="CI501" s="225"/>
      <c r="CJ501" s="225"/>
      <c r="CK501" s="225"/>
      <c r="CL501" s="225"/>
      <c r="CM501" s="225"/>
      <c r="CN501" s="225"/>
      <c r="CO501" s="225"/>
      <c r="CP501" s="225"/>
      <c r="CQ501" s="225"/>
      <c r="CR501" s="225"/>
      <c r="CS501" s="225"/>
      <c r="CT501" s="225"/>
      <c r="CU501" s="225"/>
      <c r="CV501" s="225"/>
      <c r="CW501" s="225"/>
      <c r="CX501" s="225"/>
      <c r="CY501" s="225"/>
      <c r="CZ501" s="225"/>
      <c r="DA501" s="225"/>
      <c r="DB501" s="225"/>
      <c r="DC501" s="225"/>
      <c r="DD501" s="225"/>
      <c r="DE501" s="225"/>
      <c r="DF501" s="225"/>
      <c r="DG501" s="225"/>
      <c r="DH501" s="225"/>
      <c r="DI501" s="225"/>
      <c r="DJ501" s="225"/>
      <c r="DK501" s="225"/>
      <c r="DL501" s="225"/>
      <c r="DM501" s="225"/>
      <c r="DN501" s="225"/>
      <c r="DO501" s="225"/>
      <c r="DP501" s="225"/>
      <c r="DQ501" s="225"/>
      <c r="DR501" s="225"/>
      <c r="DS501" s="225"/>
      <c r="DT501" s="225"/>
      <c r="DU501" s="225"/>
      <c r="DV501" s="225"/>
      <c r="DW501" s="225"/>
      <c r="DX501" s="225"/>
      <c r="DY501" s="225"/>
      <c r="DZ501" s="225"/>
      <c r="EA501" s="225"/>
      <c r="EB501" s="225"/>
      <c r="EC501" s="225"/>
      <c r="ED501" s="225"/>
      <c r="EE501" s="225"/>
      <c r="EF501" s="225"/>
      <c r="EG501" s="225"/>
      <c r="EH501" s="225"/>
      <c r="EI501" s="225"/>
      <c r="EJ501" s="225"/>
      <c r="EK501" s="225"/>
      <c r="EL501" s="225"/>
      <c r="EM501" s="225"/>
      <c r="EN501" s="225"/>
      <c r="EO501" s="225"/>
      <c r="EP501" s="225"/>
      <c r="EQ501" s="225"/>
      <c r="ER501" s="225"/>
      <c r="ES501" s="225"/>
      <c r="ET501" s="225"/>
      <c r="EU501" s="225"/>
      <c r="EV501" s="225"/>
      <c r="EW501" s="225"/>
      <c r="EX501" s="225"/>
      <c r="EY501" s="225"/>
      <c r="EZ501" s="225"/>
      <c r="FA501" s="225"/>
      <c r="FB501" s="225"/>
      <c r="FC501" s="225"/>
      <c r="FD501" s="225"/>
      <c r="FE501" s="225"/>
      <c r="FF501" s="225"/>
      <c r="FG501" s="225"/>
      <c r="FH501" s="225"/>
      <c r="FI501" s="225"/>
      <c r="FJ501" s="225"/>
      <c r="FK501" s="225"/>
      <c r="FL501" s="225"/>
      <c r="FM501" s="225"/>
      <c r="FN501" s="225"/>
      <c r="FO501" s="225"/>
      <c r="FP501" s="225"/>
      <c r="FQ501" s="225"/>
      <c r="FR501" s="225"/>
      <c r="FS501" s="225"/>
      <c r="FT501" s="225"/>
      <c r="FU501" s="225"/>
      <c r="FV501" s="225"/>
      <c r="FW501" s="225"/>
      <c r="FX501" s="225"/>
      <c r="FY501" s="225"/>
      <c r="FZ501" s="225"/>
      <c r="GA501" s="225"/>
      <c r="GB501" s="225"/>
      <c r="GC501" s="225"/>
      <c r="GD501" s="225"/>
      <c r="GE501" s="225"/>
    </row>
    <row r="502" spans="3:187" ht="12.75" customHeight="1">
      <c r="C502" s="169"/>
      <c r="D502" s="169"/>
      <c r="E502" s="169"/>
      <c r="F502" s="169"/>
      <c r="G502" s="169"/>
      <c r="H502" s="169"/>
      <c r="I502" s="169"/>
      <c r="J502" s="169"/>
      <c r="K502" s="169"/>
      <c r="L502" s="169"/>
      <c r="M502" s="169"/>
      <c r="N502" s="169"/>
      <c r="O502" s="169"/>
      <c r="P502" s="169"/>
      <c r="Q502" s="169"/>
      <c r="R502" s="169"/>
      <c r="S502" s="169"/>
      <c r="T502" s="169"/>
      <c r="U502" s="169"/>
      <c r="V502" s="169"/>
      <c r="W502" s="169"/>
      <c r="X502" s="169"/>
      <c r="Y502" s="169"/>
      <c r="Z502" s="169"/>
      <c r="AA502" s="169"/>
      <c r="AB502" s="169"/>
      <c r="AC502" s="169"/>
      <c r="AD502" s="169"/>
      <c r="AE502" s="169"/>
      <c r="AF502" s="169"/>
      <c r="AG502" s="169"/>
      <c r="AH502" s="169"/>
      <c r="AI502" s="169"/>
      <c r="AJ502" s="169"/>
      <c r="AK502" s="169"/>
      <c r="AL502" s="169"/>
      <c r="AM502" s="169"/>
      <c r="AN502" s="169"/>
      <c r="AO502" s="169"/>
      <c r="AP502" s="169"/>
      <c r="AQ502" s="169"/>
      <c r="AR502" s="169"/>
      <c r="AS502" s="169"/>
      <c r="AT502" s="169"/>
      <c r="AU502" s="169"/>
      <c r="AV502" s="169"/>
      <c r="AW502" s="169"/>
      <c r="AX502" s="169"/>
      <c r="AY502" s="169"/>
      <c r="AZ502" s="169"/>
      <c r="BA502" s="169"/>
      <c r="BB502" s="169"/>
      <c r="BC502" s="169"/>
      <c r="BD502" s="169"/>
      <c r="BE502" s="169"/>
      <c r="BF502" s="169"/>
      <c r="BG502" s="169"/>
      <c r="BH502" s="169"/>
      <c r="BI502" s="169"/>
      <c r="BJ502" s="169"/>
      <c r="BK502" s="169"/>
      <c r="BL502" s="169"/>
      <c r="BM502" s="169"/>
      <c r="BN502" s="169"/>
      <c r="BO502" s="169"/>
      <c r="BP502" s="169"/>
      <c r="BQ502" s="169"/>
      <c r="BR502" s="169"/>
      <c r="BS502" s="169"/>
      <c r="BT502" s="169"/>
      <c r="BU502" s="169"/>
      <c r="BV502" s="169"/>
      <c r="BW502" s="169"/>
      <c r="BX502" s="169"/>
      <c r="BY502" s="169"/>
      <c r="BZ502" s="169"/>
      <c r="CA502" s="169"/>
      <c r="CB502" s="169"/>
      <c r="CC502" s="169"/>
      <c r="CD502" s="169"/>
      <c r="CE502" s="169"/>
      <c r="CF502" s="169"/>
      <c r="CG502" s="169"/>
      <c r="CH502" s="169"/>
      <c r="CI502" s="169"/>
      <c r="CJ502" s="169"/>
      <c r="CK502" s="169"/>
      <c r="CL502" s="169"/>
      <c r="CM502" s="169"/>
      <c r="CN502" s="169"/>
      <c r="CO502" s="169"/>
      <c r="CP502" s="169"/>
      <c r="CQ502" s="169"/>
      <c r="CR502" s="169"/>
      <c r="CS502" s="169"/>
      <c r="CT502" s="169"/>
      <c r="CU502" s="169"/>
      <c r="CV502" s="169"/>
      <c r="CW502" s="169"/>
      <c r="CX502" s="169"/>
      <c r="CY502" s="169"/>
      <c r="CZ502" s="169"/>
      <c r="DA502" s="169"/>
      <c r="DB502" s="169"/>
      <c r="DC502" s="169"/>
      <c r="DD502" s="169"/>
      <c r="DE502" s="169"/>
      <c r="DF502" s="169"/>
      <c r="DG502" s="169"/>
      <c r="DH502" s="169"/>
      <c r="DI502" s="169"/>
      <c r="DJ502" s="169"/>
      <c r="DK502" s="169"/>
      <c r="DL502" s="169"/>
      <c r="DM502" s="169"/>
      <c r="DN502" s="169"/>
      <c r="DO502" s="169"/>
      <c r="DP502" s="169"/>
      <c r="DQ502" s="169"/>
      <c r="DR502" s="169"/>
      <c r="DS502" s="169"/>
      <c r="DT502" s="169"/>
      <c r="DU502" s="169"/>
      <c r="DV502" s="169"/>
      <c r="DW502" s="169"/>
      <c r="DX502" s="169"/>
      <c r="DY502" s="169"/>
      <c r="DZ502" s="169"/>
      <c r="EA502" s="169"/>
      <c r="EB502" s="169"/>
      <c r="EC502" s="169"/>
      <c r="ED502" s="169"/>
      <c r="EE502" s="169"/>
      <c r="EF502" s="169"/>
      <c r="EG502" s="169"/>
      <c r="EH502" s="169"/>
      <c r="EI502" s="169"/>
      <c r="EJ502" s="169"/>
      <c r="EK502" s="169"/>
      <c r="EL502" s="169"/>
      <c r="EM502" s="169"/>
      <c r="EN502" s="169"/>
      <c r="EO502" s="169"/>
      <c r="EP502" s="169"/>
      <c r="EQ502" s="169"/>
      <c r="ER502" s="169"/>
      <c r="ES502" s="169"/>
      <c r="ET502" s="169"/>
      <c r="EU502" s="169"/>
      <c r="EV502" s="169"/>
      <c r="EW502" s="169"/>
      <c r="EX502" s="169"/>
      <c r="EY502" s="169"/>
      <c r="EZ502" s="169"/>
      <c r="FA502" s="169"/>
      <c r="FB502" s="169"/>
      <c r="FC502" s="169"/>
      <c r="FD502" s="169"/>
      <c r="FE502" s="169"/>
      <c r="FF502" s="169"/>
      <c r="FG502" s="169"/>
      <c r="FH502" s="169"/>
      <c r="FI502" s="169"/>
      <c r="FJ502" s="169"/>
      <c r="FK502" s="169"/>
      <c r="FL502" s="169"/>
      <c r="FM502" s="169"/>
      <c r="FN502" s="169"/>
      <c r="FO502" s="169"/>
      <c r="FP502" s="169"/>
      <c r="FQ502" s="169"/>
      <c r="FR502" s="169"/>
      <c r="FS502" s="169"/>
      <c r="FT502" s="169"/>
      <c r="FU502" s="169"/>
      <c r="FV502" s="169"/>
      <c r="FW502" s="169"/>
      <c r="FX502" s="169"/>
      <c r="FY502" s="169"/>
      <c r="FZ502" s="169"/>
      <c r="GA502" s="169"/>
      <c r="GB502" s="169"/>
      <c r="GC502" s="169"/>
      <c r="GD502" s="169"/>
      <c r="GE502" s="169"/>
    </row>
    <row r="503" spans="3:187" ht="12.75" customHeight="1">
      <c r="C503" s="169"/>
      <c r="D503" s="169"/>
      <c r="E503" s="169"/>
      <c r="F503" s="169"/>
      <c r="G503" s="169"/>
      <c r="H503" s="169"/>
      <c r="I503" s="169"/>
      <c r="J503" s="169"/>
      <c r="K503" s="169"/>
      <c r="L503" s="169"/>
      <c r="M503" s="169"/>
      <c r="N503" s="169"/>
      <c r="O503" s="169"/>
      <c r="P503" s="169"/>
      <c r="Q503" s="169"/>
      <c r="R503" s="169"/>
      <c r="S503" s="169"/>
      <c r="T503" s="169"/>
      <c r="U503" s="169"/>
      <c r="V503" s="169"/>
      <c r="W503" s="169"/>
      <c r="X503" s="169"/>
      <c r="Y503" s="169"/>
      <c r="Z503" s="169"/>
      <c r="AA503" s="169"/>
      <c r="AB503" s="169"/>
      <c r="AC503" s="169"/>
      <c r="AD503" s="169"/>
      <c r="AE503" s="169"/>
      <c r="AF503" s="169"/>
      <c r="AG503" s="169"/>
      <c r="AH503" s="169"/>
      <c r="AI503" s="169"/>
      <c r="AJ503" s="169"/>
      <c r="AK503" s="169"/>
      <c r="AL503" s="169"/>
      <c r="AM503" s="169"/>
      <c r="AN503" s="169"/>
      <c r="AO503" s="169"/>
      <c r="AP503" s="169"/>
      <c r="AQ503" s="169"/>
      <c r="AR503" s="169"/>
      <c r="AS503" s="169"/>
      <c r="AT503" s="169"/>
      <c r="AU503" s="169"/>
      <c r="AV503" s="169"/>
      <c r="AW503" s="169"/>
      <c r="AX503" s="169"/>
      <c r="AY503" s="169"/>
      <c r="AZ503" s="169"/>
      <c r="BA503" s="169"/>
      <c r="BB503" s="169"/>
      <c r="BC503" s="169"/>
      <c r="BD503" s="169"/>
      <c r="BE503" s="169"/>
      <c r="BF503" s="169"/>
      <c r="BG503" s="169"/>
      <c r="BH503" s="169"/>
      <c r="BI503" s="169"/>
      <c r="BJ503" s="169"/>
      <c r="BK503" s="169"/>
      <c r="BL503" s="169"/>
      <c r="BM503" s="169"/>
      <c r="BN503" s="169"/>
      <c r="BO503" s="169"/>
      <c r="BP503" s="169"/>
      <c r="BQ503" s="169"/>
      <c r="BR503" s="169"/>
      <c r="BS503" s="169"/>
      <c r="BT503" s="169"/>
      <c r="BU503" s="169"/>
      <c r="BV503" s="169"/>
      <c r="BW503" s="169"/>
      <c r="BX503" s="169"/>
      <c r="BY503" s="169"/>
      <c r="BZ503" s="169"/>
      <c r="CA503" s="169"/>
      <c r="CB503" s="169"/>
      <c r="CC503" s="169"/>
      <c r="CD503" s="169"/>
      <c r="CE503" s="169"/>
      <c r="CF503" s="169"/>
      <c r="CG503" s="169"/>
      <c r="CH503" s="169"/>
      <c r="CI503" s="169"/>
      <c r="CJ503" s="169"/>
      <c r="CK503" s="169"/>
      <c r="CL503" s="169"/>
      <c r="CM503" s="169"/>
      <c r="CN503" s="169"/>
      <c r="CO503" s="169"/>
      <c r="CP503" s="169"/>
      <c r="CQ503" s="169"/>
      <c r="CR503" s="169"/>
      <c r="CS503" s="169"/>
      <c r="CT503" s="169"/>
      <c r="CU503" s="169"/>
      <c r="CV503" s="169"/>
      <c r="CW503" s="169"/>
      <c r="CX503" s="169"/>
      <c r="CY503" s="169"/>
      <c r="CZ503" s="169"/>
      <c r="DA503" s="169"/>
      <c r="DB503" s="169"/>
      <c r="DC503" s="169"/>
      <c r="DD503" s="169"/>
      <c r="DE503" s="169"/>
      <c r="DF503" s="169"/>
      <c r="DG503" s="169"/>
      <c r="DH503" s="169"/>
      <c r="DI503" s="169"/>
      <c r="DJ503" s="169"/>
      <c r="DK503" s="169"/>
      <c r="DL503" s="169"/>
      <c r="DM503" s="169"/>
      <c r="DN503" s="169"/>
      <c r="DO503" s="169"/>
      <c r="DP503" s="169"/>
      <c r="DQ503" s="169"/>
      <c r="DR503" s="169"/>
      <c r="DS503" s="169"/>
      <c r="DT503" s="169"/>
      <c r="DU503" s="169"/>
      <c r="DV503" s="169"/>
      <c r="DW503" s="169"/>
      <c r="DX503" s="169"/>
      <c r="DY503" s="169"/>
      <c r="DZ503" s="169"/>
      <c r="EA503" s="169"/>
      <c r="EB503" s="169"/>
      <c r="EC503" s="169"/>
      <c r="ED503" s="169"/>
      <c r="EE503" s="169"/>
      <c r="EF503" s="169"/>
      <c r="EG503" s="169"/>
      <c r="EH503" s="169"/>
      <c r="EI503" s="169"/>
      <c r="EJ503" s="169"/>
      <c r="EK503" s="169"/>
      <c r="EL503" s="169"/>
      <c r="EM503" s="169"/>
      <c r="EN503" s="169"/>
      <c r="EO503" s="169"/>
      <c r="EP503" s="169"/>
      <c r="EQ503" s="169"/>
      <c r="ER503" s="169"/>
      <c r="ES503" s="169"/>
      <c r="ET503" s="169"/>
      <c r="EU503" s="169"/>
      <c r="EV503" s="169"/>
      <c r="EW503" s="169"/>
      <c r="EX503" s="169"/>
      <c r="EY503" s="169"/>
      <c r="EZ503" s="169"/>
      <c r="FA503" s="169"/>
      <c r="FB503" s="169"/>
      <c r="FC503" s="169"/>
      <c r="FD503" s="169"/>
      <c r="FE503" s="169"/>
      <c r="FF503" s="169"/>
      <c r="FG503" s="169"/>
      <c r="FH503" s="169"/>
      <c r="FI503" s="169"/>
      <c r="FJ503" s="169"/>
      <c r="FK503" s="169"/>
      <c r="FL503" s="169"/>
      <c r="FM503" s="169"/>
      <c r="FN503" s="169"/>
      <c r="FO503" s="169"/>
      <c r="FP503" s="169"/>
      <c r="FQ503" s="169"/>
      <c r="FR503" s="169"/>
      <c r="FS503" s="169"/>
      <c r="FT503" s="169"/>
      <c r="FU503" s="169"/>
      <c r="FV503" s="169"/>
      <c r="FW503" s="169"/>
      <c r="FX503" s="169"/>
      <c r="FY503" s="169"/>
      <c r="FZ503" s="169"/>
      <c r="GA503" s="169"/>
      <c r="GB503" s="169"/>
      <c r="GC503" s="169"/>
      <c r="GD503" s="169"/>
      <c r="GE503" s="169"/>
    </row>
    <row r="504" spans="3:187" ht="12.75" customHeight="1">
      <c r="C504" s="169"/>
      <c r="D504" s="169"/>
      <c r="E504" s="169"/>
      <c r="F504" s="169"/>
      <c r="G504" s="169"/>
      <c r="H504" s="169"/>
      <c r="I504" s="169"/>
      <c r="J504" s="169"/>
      <c r="K504" s="169"/>
      <c r="L504" s="169"/>
      <c r="M504" s="169"/>
      <c r="N504" s="169"/>
      <c r="O504" s="169"/>
      <c r="P504" s="169"/>
      <c r="Q504" s="169"/>
      <c r="R504" s="169"/>
      <c r="S504" s="169"/>
      <c r="T504" s="169"/>
      <c r="U504" s="169"/>
      <c r="V504" s="169"/>
      <c r="W504" s="169"/>
      <c r="X504" s="169"/>
      <c r="Y504" s="169"/>
      <c r="Z504" s="169"/>
      <c r="AA504" s="169"/>
      <c r="AB504" s="169"/>
      <c r="AC504" s="169"/>
      <c r="AD504" s="169"/>
      <c r="AE504" s="169"/>
      <c r="AF504" s="169"/>
      <c r="AG504" s="169"/>
      <c r="AH504" s="169"/>
      <c r="AI504" s="169"/>
      <c r="AJ504" s="169"/>
      <c r="AK504" s="169"/>
      <c r="AL504" s="169"/>
      <c r="AM504" s="169"/>
      <c r="AN504" s="169"/>
      <c r="AO504" s="169"/>
      <c r="AP504" s="169"/>
      <c r="AQ504" s="169"/>
      <c r="AR504" s="169"/>
      <c r="AS504" s="169"/>
      <c r="AT504" s="169"/>
      <c r="AU504" s="169"/>
      <c r="AV504" s="169"/>
      <c r="AW504" s="169"/>
      <c r="AX504" s="169"/>
      <c r="AY504" s="169"/>
      <c r="AZ504" s="169"/>
      <c r="BA504" s="169"/>
      <c r="BB504" s="169"/>
      <c r="BC504" s="169"/>
      <c r="BD504" s="169"/>
      <c r="BE504" s="169"/>
      <c r="BF504" s="169"/>
      <c r="BG504" s="169"/>
      <c r="BH504" s="169"/>
      <c r="BI504" s="169"/>
      <c r="BJ504" s="169"/>
      <c r="BK504" s="169"/>
      <c r="BL504" s="169"/>
      <c r="BM504" s="169"/>
      <c r="BN504" s="169"/>
      <c r="BO504" s="169"/>
      <c r="BP504" s="169"/>
      <c r="BQ504" s="169"/>
      <c r="BR504" s="169"/>
      <c r="BS504" s="169"/>
      <c r="BT504" s="169"/>
      <c r="BU504" s="169"/>
      <c r="BV504" s="169"/>
      <c r="BW504" s="169"/>
      <c r="BX504" s="169"/>
      <c r="BY504" s="169"/>
      <c r="BZ504" s="169"/>
      <c r="CA504" s="169"/>
      <c r="CB504" s="169"/>
      <c r="CC504" s="169"/>
      <c r="CD504" s="169"/>
      <c r="CE504" s="169"/>
      <c r="CF504" s="169"/>
      <c r="CG504" s="169"/>
      <c r="CH504" s="169"/>
      <c r="CI504" s="169"/>
      <c r="CJ504" s="169"/>
      <c r="CK504" s="169"/>
      <c r="CL504" s="169"/>
      <c r="CM504" s="169"/>
      <c r="CN504" s="169"/>
      <c r="CO504" s="169"/>
      <c r="CP504" s="169"/>
      <c r="CQ504" s="169"/>
      <c r="CR504" s="169"/>
      <c r="CS504" s="169"/>
      <c r="CT504" s="169"/>
      <c r="CU504" s="169"/>
      <c r="CV504" s="169"/>
      <c r="CW504" s="169"/>
      <c r="CX504" s="169"/>
      <c r="CY504" s="169"/>
      <c r="CZ504" s="169"/>
      <c r="DA504" s="169"/>
      <c r="DB504" s="169"/>
      <c r="DC504" s="169"/>
      <c r="DD504" s="169"/>
      <c r="DE504" s="169"/>
      <c r="DF504" s="169"/>
      <c r="DG504" s="169"/>
      <c r="DH504" s="169"/>
      <c r="DI504" s="169"/>
      <c r="DJ504" s="169"/>
      <c r="DK504" s="169"/>
      <c r="DL504" s="169"/>
      <c r="DM504" s="169"/>
      <c r="DN504" s="169"/>
      <c r="DO504" s="169"/>
      <c r="DP504" s="169"/>
      <c r="DQ504" s="169"/>
      <c r="DR504" s="169"/>
      <c r="DS504" s="169"/>
      <c r="DT504" s="169"/>
      <c r="DU504" s="169"/>
      <c r="DV504" s="169"/>
      <c r="DW504" s="169"/>
      <c r="DX504" s="169"/>
      <c r="DY504" s="169"/>
      <c r="DZ504" s="169"/>
      <c r="EA504" s="169"/>
      <c r="EB504" s="169"/>
      <c r="EC504" s="169"/>
      <c r="ED504" s="169"/>
      <c r="EE504" s="169"/>
      <c r="EF504" s="169"/>
      <c r="EG504" s="169"/>
      <c r="EH504" s="169"/>
      <c r="EI504" s="169"/>
      <c r="EJ504" s="169"/>
      <c r="EK504" s="169"/>
      <c r="EL504" s="169"/>
      <c r="EM504" s="169"/>
      <c r="EN504" s="169"/>
      <c r="EO504" s="169"/>
      <c r="EP504" s="169"/>
      <c r="EQ504" s="169"/>
      <c r="ER504" s="169"/>
      <c r="ES504" s="169"/>
      <c r="ET504" s="169"/>
      <c r="EU504" s="169"/>
      <c r="EV504" s="169"/>
      <c r="EW504" s="169"/>
      <c r="EX504" s="169"/>
      <c r="EY504" s="169"/>
      <c r="EZ504" s="169"/>
      <c r="FA504" s="169"/>
      <c r="FB504" s="169"/>
      <c r="FC504" s="169"/>
      <c r="FD504" s="169"/>
      <c r="FE504" s="169"/>
      <c r="FF504" s="169"/>
      <c r="FG504" s="169"/>
      <c r="FH504" s="169"/>
      <c r="FI504" s="169"/>
      <c r="FJ504" s="169"/>
      <c r="FK504" s="169"/>
      <c r="FL504" s="169"/>
      <c r="FM504" s="169"/>
      <c r="FN504" s="169"/>
      <c r="FO504" s="169"/>
      <c r="FP504" s="169"/>
      <c r="FQ504" s="169"/>
      <c r="FR504" s="169"/>
      <c r="FS504" s="169"/>
      <c r="FT504" s="169"/>
      <c r="FU504" s="169"/>
      <c r="FV504" s="169"/>
      <c r="FW504" s="169"/>
      <c r="FX504" s="169"/>
      <c r="FY504" s="169"/>
      <c r="FZ504" s="169"/>
      <c r="GA504" s="169"/>
      <c r="GB504" s="169"/>
      <c r="GC504" s="169"/>
      <c r="GD504" s="169"/>
      <c r="GE504" s="169"/>
    </row>
    <row r="505" spans="3:187" ht="12.75" customHeight="1">
      <c r="C505" s="106"/>
      <c r="D505" s="106"/>
      <c r="E505" s="106"/>
      <c r="F505" s="106"/>
      <c r="G505" s="106"/>
      <c r="H505" s="106"/>
      <c r="I505" s="106"/>
      <c r="J505" s="106"/>
      <c r="K505" s="106"/>
      <c r="L505" s="106"/>
      <c r="M505" s="106"/>
      <c r="N505" s="106"/>
      <c r="O505" s="106"/>
      <c r="P505" s="106"/>
      <c r="Q505" s="106"/>
      <c r="R505" s="106"/>
      <c r="S505" s="106"/>
      <c r="T505" s="106"/>
      <c r="U505" s="106"/>
      <c r="V505" s="106"/>
      <c r="W505" s="106"/>
      <c r="X505" s="106"/>
      <c r="Y505" s="106"/>
      <c r="Z505" s="106"/>
      <c r="AA505" s="106"/>
      <c r="AB505" s="106"/>
      <c r="AC505" s="106"/>
      <c r="AD505" s="106"/>
      <c r="AE505" s="106"/>
      <c r="AF505" s="106"/>
      <c r="AG505" s="106"/>
      <c r="AH505" s="106"/>
      <c r="AI505" s="106"/>
      <c r="AJ505" s="106"/>
      <c r="AK505" s="106"/>
      <c r="AL505" s="106"/>
      <c r="AM505" s="106"/>
      <c r="AN505" s="106"/>
      <c r="AO505" s="106"/>
      <c r="AP505" s="106"/>
      <c r="AQ505" s="106"/>
      <c r="AR505" s="106"/>
      <c r="AS505" s="106"/>
      <c r="AT505" s="106"/>
      <c r="AU505" s="106"/>
      <c r="AV505" s="106"/>
      <c r="AW505" s="106"/>
      <c r="AX505" s="106"/>
      <c r="AY505" s="106"/>
      <c r="AZ505" s="106"/>
      <c r="BA505" s="106"/>
      <c r="BB505" s="106"/>
      <c r="BC505" s="106"/>
      <c r="BD505" s="106"/>
      <c r="BE505" s="106"/>
      <c r="BF505" s="106"/>
      <c r="BG505" s="106"/>
      <c r="BH505" s="106"/>
      <c r="BI505" s="106"/>
      <c r="BJ505" s="106"/>
      <c r="BK505" s="106"/>
      <c r="BL505" s="106"/>
      <c r="BM505" s="106"/>
      <c r="BN505" s="106"/>
      <c r="BO505" s="106"/>
      <c r="BP505" s="106"/>
      <c r="BQ505" s="106"/>
      <c r="BR505" s="106"/>
      <c r="BS505" s="106"/>
      <c r="BT505" s="106"/>
      <c r="BU505" s="106"/>
      <c r="BV505" s="106"/>
      <c r="BW505" s="106"/>
      <c r="BX505" s="106"/>
      <c r="BY505" s="106"/>
      <c r="BZ505" s="106"/>
      <c r="CA505" s="106"/>
      <c r="CB505" s="106"/>
      <c r="CC505" s="106"/>
      <c r="CD505" s="106"/>
      <c r="CE505" s="106"/>
      <c r="CF505" s="106"/>
      <c r="CG505" s="106"/>
      <c r="CH505" s="106"/>
      <c r="CI505" s="106"/>
      <c r="CJ505" s="106"/>
      <c r="CK505" s="106"/>
      <c r="CL505" s="106"/>
      <c r="CM505" s="106"/>
      <c r="CN505" s="106"/>
      <c r="CO505" s="106"/>
      <c r="CP505" s="106"/>
      <c r="CQ505" s="106"/>
      <c r="CR505" s="106"/>
      <c r="CS505" s="106"/>
      <c r="CT505" s="106"/>
      <c r="CU505" s="106"/>
      <c r="CV505" s="106"/>
      <c r="CW505" s="106"/>
      <c r="CX505" s="106"/>
      <c r="CY505" s="106"/>
      <c r="CZ505" s="106"/>
      <c r="DA505" s="106"/>
      <c r="DB505" s="106"/>
      <c r="DC505" s="106"/>
      <c r="DD505" s="106"/>
      <c r="DE505" s="106"/>
      <c r="DF505" s="106"/>
      <c r="DG505" s="106"/>
      <c r="DH505" s="106"/>
      <c r="DI505" s="106"/>
      <c r="DJ505" s="106"/>
      <c r="DK505" s="106"/>
      <c r="DL505" s="106"/>
      <c r="DM505" s="106"/>
      <c r="DN505" s="106"/>
      <c r="DO505" s="106"/>
      <c r="DP505" s="106"/>
      <c r="DQ505" s="106"/>
      <c r="DR505" s="106"/>
      <c r="DS505" s="106"/>
      <c r="DT505" s="106"/>
      <c r="DU505" s="106"/>
      <c r="DV505" s="106"/>
      <c r="DW505" s="106"/>
      <c r="DX505" s="106"/>
      <c r="DY505" s="106"/>
      <c r="DZ505" s="106"/>
      <c r="EA505" s="106"/>
      <c r="EB505" s="106"/>
      <c r="EC505" s="106"/>
      <c r="ED505" s="106"/>
      <c r="EE505" s="106"/>
      <c r="EF505" s="106"/>
      <c r="EG505" s="106"/>
      <c r="EH505" s="106"/>
      <c r="EI505" s="106"/>
      <c r="EJ505" s="106"/>
      <c r="EK505" s="106"/>
      <c r="EL505" s="106"/>
      <c r="EM505" s="106"/>
      <c r="EN505" s="106"/>
      <c r="EO505" s="106"/>
      <c r="EP505" s="106"/>
      <c r="EQ505" s="106"/>
      <c r="ER505" s="106"/>
      <c r="ES505" s="106"/>
      <c r="ET505" s="106"/>
      <c r="EU505" s="106"/>
      <c r="EV505" s="106"/>
      <c r="EW505" s="106"/>
      <c r="EX505" s="106"/>
      <c r="EY505" s="106"/>
      <c r="EZ505" s="106"/>
      <c r="FA505" s="106"/>
      <c r="FB505" s="106"/>
      <c r="FC505" s="106"/>
      <c r="FD505" s="106"/>
      <c r="FE505" s="106"/>
      <c r="FF505" s="106"/>
      <c r="FG505" s="106"/>
      <c r="FH505" s="106"/>
      <c r="FI505" s="106"/>
      <c r="FJ505" s="106"/>
      <c r="FK505" s="106"/>
      <c r="FL505" s="106"/>
      <c r="FM505" s="106"/>
      <c r="FN505" s="106"/>
      <c r="FO505" s="106"/>
      <c r="FP505" s="106"/>
      <c r="FQ505" s="106"/>
      <c r="FR505" s="106"/>
      <c r="FS505" s="106"/>
      <c r="FT505" s="106"/>
      <c r="FU505" s="106"/>
      <c r="FV505" s="106"/>
      <c r="FW505" s="106"/>
      <c r="FX505" s="106"/>
      <c r="FY505" s="106"/>
      <c r="FZ505" s="106"/>
      <c r="GA505" s="106"/>
      <c r="GB505" s="106"/>
      <c r="GC505" s="106"/>
      <c r="GD505" s="106"/>
      <c r="GE505" s="106"/>
    </row>
    <row r="506" spans="3:187" ht="12.75" customHeight="1">
      <c r="C506" s="226"/>
      <c r="D506" s="106"/>
      <c r="E506" s="106"/>
      <c r="F506" s="106"/>
      <c r="G506" s="106"/>
      <c r="H506" s="226"/>
      <c r="I506" s="106"/>
      <c r="J506" s="106"/>
      <c r="K506" s="106"/>
      <c r="L506" s="106"/>
      <c r="M506" s="226"/>
      <c r="N506" s="106"/>
      <c r="O506" s="106"/>
      <c r="P506" s="106"/>
      <c r="Q506" s="106"/>
      <c r="R506" s="226"/>
      <c r="S506" s="106"/>
      <c r="T506" s="106"/>
      <c r="U506" s="106"/>
      <c r="V506" s="106"/>
      <c r="W506" s="226"/>
      <c r="X506" s="106"/>
      <c r="Y506" s="106"/>
      <c r="Z506" s="106"/>
      <c r="AA506" s="106"/>
      <c r="AB506" s="226"/>
      <c r="AC506" s="106"/>
      <c r="AD506" s="106"/>
      <c r="AE506" s="106"/>
      <c r="AF506" s="106"/>
      <c r="AG506" s="226"/>
      <c r="AH506" s="106"/>
      <c r="AI506" s="106"/>
      <c r="AJ506" s="106"/>
      <c r="AK506" s="106"/>
      <c r="AL506" s="226"/>
      <c r="AM506" s="106"/>
      <c r="AN506" s="106"/>
      <c r="AO506" s="106"/>
      <c r="AP506" s="106"/>
      <c r="AQ506" s="226"/>
      <c r="AR506" s="106"/>
      <c r="AS506" s="106"/>
      <c r="AT506" s="106"/>
      <c r="AU506" s="106"/>
      <c r="AV506" s="226"/>
      <c r="AW506" s="106"/>
      <c r="AX506" s="106"/>
      <c r="AY506" s="106"/>
      <c r="AZ506" s="106"/>
      <c r="BA506" s="226"/>
      <c r="BB506" s="106"/>
      <c r="BC506" s="106"/>
      <c r="BD506" s="106"/>
      <c r="BE506" s="106"/>
      <c r="BF506" s="226"/>
      <c r="BG506" s="106"/>
      <c r="BH506" s="106"/>
      <c r="BI506" s="106"/>
      <c r="BJ506" s="106"/>
      <c r="BK506" s="226"/>
      <c r="BL506" s="106"/>
      <c r="BM506" s="106"/>
      <c r="BN506" s="106"/>
      <c r="BO506" s="106"/>
      <c r="BP506" s="226"/>
      <c r="BQ506" s="106"/>
      <c r="BR506" s="106"/>
      <c r="BS506" s="106"/>
      <c r="BT506" s="106"/>
      <c r="BU506" s="226"/>
      <c r="BV506" s="106"/>
      <c r="BW506" s="106"/>
      <c r="BX506" s="106"/>
      <c r="BY506" s="106"/>
      <c r="BZ506" s="226"/>
      <c r="CA506" s="106"/>
      <c r="CB506" s="106"/>
      <c r="CC506" s="106"/>
      <c r="CD506" s="106"/>
      <c r="CE506" s="226"/>
      <c r="CF506" s="106"/>
      <c r="CG506" s="106"/>
      <c r="CH506" s="106"/>
      <c r="CI506" s="106"/>
      <c r="CJ506" s="226"/>
      <c r="CK506" s="106"/>
      <c r="CL506" s="106"/>
      <c r="CM506" s="106"/>
      <c r="CN506" s="106"/>
      <c r="CO506" s="226"/>
      <c r="CP506" s="106"/>
      <c r="CQ506" s="106"/>
      <c r="CR506" s="106"/>
      <c r="CS506" s="106"/>
      <c r="CT506" s="226"/>
      <c r="CU506" s="106"/>
      <c r="CV506" s="106"/>
      <c r="CW506" s="106"/>
      <c r="CX506" s="106"/>
      <c r="CY506" s="226"/>
      <c r="CZ506" s="106"/>
      <c r="DA506" s="106"/>
      <c r="DB506" s="106"/>
      <c r="DC506" s="106"/>
      <c r="DD506" s="226"/>
      <c r="DE506" s="106"/>
      <c r="DF506" s="106"/>
      <c r="DG506" s="106"/>
      <c r="DH506" s="106"/>
      <c r="DI506" s="226"/>
      <c r="DJ506" s="106"/>
      <c r="DK506" s="106"/>
      <c r="DL506" s="106"/>
      <c r="DM506" s="106"/>
      <c r="DN506" s="226"/>
      <c r="DO506" s="106"/>
      <c r="DP506" s="106"/>
      <c r="DQ506" s="106"/>
      <c r="DR506" s="106"/>
      <c r="DS506" s="226"/>
      <c r="DT506" s="106"/>
      <c r="DU506" s="106"/>
      <c r="DV506" s="106"/>
      <c r="DW506" s="106"/>
      <c r="DX506" s="226"/>
      <c r="DY506" s="106"/>
      <c r="DZ506" s="106"/>
      <c r="EA506" s="106"/>
      <c r="EB506" s="106"/>
      <c r="EC506" s="226"/>
      <c r="ED506" s="106"/>
      <c r="EE506" s="106"/>
      <c r="EF506" s="106"/>
      <c r="EG506" s="106"/>
      <c r="EH506" s="226"/>
      <c r="EI506" s="106"/>
      <c r="EJ506" s="106"/>
      <c r="EK506" s="106"/>
      <c r="EL506" s="106"/>
      <c r="EM506" s="226"/>
      <c r="EN506" s="106"/>
      <c r="EO506" s="106"/>
      <c r="EP506" s="106"/>
      <c r="EQ506" s="106"/>
      <c r="ER506" s="226"/>
      <c r="ES506" s="106"/>
      <c r="ET506" s="106"/>
      <c r="EU506" s="106"/>
      <c r="EV506" s="106"/>
      <c r="EW506" s="226"/>
      <c r="EX506" s="106"/>
      <c r="EY506" s="106"/>
      <c r="EZ506" s="106"/>
      <c r="FA506" s="106"/>
      <c r="FB506" s="226"/>
      <c r="FC506" s="106"/>
      <c r="FD506" s="106"/>
      <c r="FE506" s="106"/>
      <c r="FF506" s="106"/>
      <c r="FG506" s="226"/>
      <c r="FH506" s="106"/>
      <c r="FI506" s="106"/>
      <c r="FJ506" s="106"/>
      <c r="FK506" s="106"/>
      <c r="FL506" s="226"/>
      <c r="FM506" s="106"/>
      <c r="FN506" s="106"/>
      <c r="FO506" s="106"/>
      <c r="FP506" s="106"/>
      <c r="FQ506" s="226"/>
      <c r="FR506" s="106"/>
      <c r="FS506" s="106"/>
      <c r="FT506" s="106"/>
      <c r="FU506" s="106"/>
      <c r="FV506" s="226"/>
      <c r="FW506" s="106"/>
      <c r="FX506" s="106"/>
      <c r="FY506" s="106"/>
      <c r="FZ506" s="106"/>
      <c r="GA506" s="226"/>
      <c r="GB506" s="106"/>
      <c r="GC506" s="106"/>
      <c r="GD506" s="106"/>
      <c r="GE506" s="106"/>
    </row>
    <row r="507" spans="3:187" ht="12.75" customHeight="1">
      <c r="C507" s="106"/>
      <c r="D507" s="106"/>
      <c r="E507" s="106"/>
      <c r="F507" s="106"/>
      <c r="G507" s="106"/>
      <c r="H507" s="106"/>
      <c r="I507" s="106"/>
      <c r="J507" s="106"/>
      <c r="K507" s="106"/>
      <c r="L507" s="106"/>
      <c r="M507" s="106"/>
      <c r="N507" s="106"/>
      <c r="O507" s="106"/>
      <c r="P507" s="106"/>
      <c r="Q507" s="106"/>
      <c r="R507" s="106"/>
      <c r="S507" s="106"/>
      <c r="T507" s="106"/>
      <c r="U507" s="106"/>
      <c r="V507" s="106"/>
      <c r="W507" s="106"/>
      <c r="X507" s="106"/>
      <c r="Y507" s="106"/>
      <c r="Z507" s="106"/>
      <c r="AA507" s="106"/>
      <c r="AB507" s="106"/>
      <c r="AC507" s="106"/>
      <c r="AD507" s="106"/>
      <c r="AE507" s="106"/>
      <c r="AF507" s="106"/>
      <c r="AG507" s="106"/>
      <c r="AH507" s="106"/>
      <c r="AI507" s="106"/>
      <c r="AJ507" s="106"/>
      <c r="AK507" s="106"/>
      <c r="AL507" s="106"/>
      <c r="AM507" s="106"/>
      <c r="AN507" s="106"/>
      <c r="AO507" s="106"/>
      <c r="AP507" s="106"/>
      <c r="AQ507" s="106"/>
      <c r="AR507" s="106"/>
      <c r="AS507" s="106"/>
      <c r="AT507" s="106"/>
      <c r="AU507" s="106"/>
      <c r="AV507" s="106"/>
      <c r="AW507" s="106"/>
      <c r="AX507" s="106"/>
      <c r="AY507" s="106"/>
      <c r="AZ507" s="106"/>
      <c r="BA507" s="106"/>
      <c r="BB507" s="106"/>
      <c r="BC507" s="106"/>
      <c r="BD507" s="106"/>
      <c r="BE507" s="106"/>
      <c r="BF507" s="106"/>
      <c r="BG507" s="106"/>
      <c r="BH507" s="106"/>
      <c r="BI507" s="106"/>
      <c r="BJ507" s="106"/>
      <c r="BK507" s="106"/>
      <c r="BL507" s="106"/>
      <c r="BM507" s="106"/>
      <c r="BN507" s="106"/>
      <c r="BO507" s="106"/>
      <c r="BP507" s="106"/>
      <c r="BQ507" s="106"/>
      <c r="BR507" s="106"/>
      <c r="BS507" s="106"/>
      <c r="BT507" s="106"/>
      <c r="BU507" s="106"/>
      <c r="BV507" s="106"/>
      <c r="BW507" s="106"/>
      <c r="BX507" s="106"/>
      <c r="BY507" s="106"/>
      <c r="BZ507" s="106"/>
      <c r="CA507" s="106"/>
      <c r="CB507" s="106"/>
      <c r="CC507" s="106"/>
      <c r="CD507" s="106"/>
      <c r="CE507" s="106"/>
      <c r="CF507" s="106"/>
      <c r="CG507" s="106"/>
      <c r="CH507" s="106"/>
      <c r="CI507" s="106"/>
      <c r="CJ507" s="106"/>
      <c r="CK507" s="106"/>
      <c r="CL507" s="106"/>
      <c r="CM507" s="106"/>
      <c r="CN507" s="106"/>
      <c r="CO507" s="106"/>
      <c r="CP507" s="106"/>
      <c r="CQ507" s="106"/>
      <c r="CR507" s="106"/>
      <c r="CS507" s="106"/>
      <c r="CT507" s="106"/>
      <c r="CU507" s="106"/>
      <c r="CV507" s="106"/>
      <c r="CW507" s="106"/>
      <c r="CX507" s="106"/>
      <c r="CY507" s="106"/>
      <c r="CZ507" s="106"/>
      <c r="DA507" s="106"/>
      <c r="DB507" s="106"/>
      <c r="DC507" s="106"/>
      <c r="DD507" s="106"/>
      <c r="DE507" s="106"/>
      <c r="DF507" s="106"/>
      <c r="DG507" s="106"/>
      <c r="DH507" s="106"/>
      <c r="DI507" s="106"/>
      <c r="DJ507" s="106"/>
      <c r="DK507" s="106"/>
      <c r="DL507" s="106"/>
      <c r="DM507" s="106"/>
      <c r="DN507" s="106"/>
      <c r="DO507" s="106"/>
      <c r="DP507" s="106"/>
      <c r="DQ507" s="106"/>
      <c r="DR507" s="106"/>
      <c r="DS507" s="106"/>
      <c r="DT507" s="106"/>
      <c r="DU507" s="106"/>
      <c r="DV507" s="106"/>
      <c r="DW507" s="106"/>
      <c r="DX507" s="106"/>
      <c r="DY507" s="106"/>
      <c r="DZ507" s="106"/>
      <c r="EA507" s="106"/>
      <c r="EB507" s="106"/>
      <c r="EC507" s="106"/>
      <c r="ED507" s="106"/>
      <c r="EE507" s="106"/>
      <c r="EF507" s="106"/>
      <c r="EG507" s="106"/>
      <c r="EH507" s="106"/>
      <c r="EI507" s="106"/>
      <c r="EJ507" s="106"/>
      <c r="EK507" s="106"/>
      <c r="EL507" s="106"/>
      <c r="EM507" s="106"/>
      <c r="EN507" s="106"/>
      <c r="EO507" s="106"/>
      <c r="EP507" s="106"/>
      <c r="EQ507" s="106"/>
      <c r="ER507" s="106"/>
      <c r="ES507" s="106"/>
      <c r="ET507" s="106"/>
      <c r="EU507" s="106"/>
      <c r="EV507" s="106"/>
      <c r="EW507" s="106"/>
      <c r="EX507" s="106"/>
      <c r="EY507" s="106"/>
      <c r="EZ507" s="106"/>
      <c r="FA507" s="106"/>
      <c r="FB507" s="106"/>
      <c r="FC507" s="106"/>
      <c r="FD507" s="106"/>
      <c r="FE507" s="106"/>
      <c r="FF507" s="106"/>
      <c r="FG507" s="106"/>
      <c r="FH507" s="106"/>
      <c r="FI507" s="106"/>
      <c r="FJ507" s="106"/>
      <c r="FK507" s="106"/>
      <c r="FL507" s="106"/>
      <c r="FM507" s="106"/>
      <c r="FN507" s="106"/>
      <c r="FO507" s="106"/>
      <c r="FP507" s="106"/>
      <c r="FQ507" s="106"/>
      <c r="FR507" s="106"/>
      <c r="FS507" s="106"/>
      <c r="FT507" s="106"/>
      <c r="FU507" s="106"/>
      <c r="FV507" s="106"/>
      <c r="FW507" s="106"/>
      <c r="FX507" s="106"/>
      <c r="FY507" s="106"/>
      <c r="FZ507" s="106"/>
      <c r="GA507" s="106"/>
      <c r="GB507" s="106"/>
      <c r="GC507" s="106"/>
      <c r="GD507" s="106"/>
      <c r="GE507" s="106"/>
    </row>
    <row r="508" spans="3:187" ht="12.75" customHeight="1">
      <c r="C508" s="227"/>
      <c r="D508" s="222"/>
      <c r="E508" s="222"/>
      <c r="F508" s="222"/>
      <c r="G508" s="222"/>
      <c r="H508" s="227"/>
      <c r="I508" s="222"/>
      <c r="J508" s="222"/>
      <c r="K508" s="222"/>
      <c r="L508" s="222"/>
      <c r="M508" s="227"/>
      <c r="N508" s="222"/>
      <c r="O508" s="222"/>
      <c r="P508" s="222"/>
      <c r="Q508" s="222"/>
      <c r="R508" s="227"/>
      <c r="S508" s="222"/>
      <c r="T508" s="222"/>
      <c r="U508" s="222"/>
      <c r="V508" s="222"/>
      <c r="W508" s="227"/>
      <c r="X508" s="222"/>
      <c r="Y508" s="222"/>
      <c r="Z508" s="222"/>
      <c r="AA508" s="222"/>
      <c r="AB508" s="227"/>
      <c r="AC508" s="222"/>
      <c r="AD508" s="222"/>
      <c r="AE508" s="222"/>
      <c r="AF508" s="222"/>
      <c r="AG508" s="227"/>
      <c r="AH508" s="222"/>
      <c r="AI508" s="222"/>
      <c r="AJ508" s="222"/>
      <c r="AK508" s="222"/>
      <c r="AL508" s="227"/>
      <c r="AM508" s="222"/>
      <c r="AN508" s="222"/>
      <c r="AO508" s="222"/>
      <c r="AP508" s="222"/>
      <c r="AQ508" s="227"/>
      <c r="AR508" s="222"/>
      <c r="AS508" s="222"/>
      <c r="AT508" s="222"/>
      <c r="AU508" s="222"/>
      <c r="AV508" s="227"/>
      <c r="AW508" s="222"/>
      <c r="AX508" s="222"/>
      <c r="AY508" s="222"/>
      <c r="AZ508" s="222"/>
      <c r="BA508" s="227"/>
      <c r="BB508" s="222"/>
      <c r="BC508" s="222"/>
      <c r="BD508" s="222"/>
      <c r="BE508" s="222"/>
      <c r="BF508" s="227"/>
      <c r="BG508" s="222"/>
      <c r="BH508" s="222"/>
      <c r="BI508" s="222"/>
      <c r="BJ508" s="222"/>
      <c r="BK508" s="227"/>
      <c r="BL508" s="222"/>
      <c r="BM508" s="222"/>
      <c r="BN508" s="222"/>
      <c r="BO508" s="222"/>
      <c r="BP508" s="227"/>
      <c r="BQ508" s="222"/>
      <c r="BR508" s="222"/>
      <c r="BS508" s="222"/>
      <c r="BT508" s="222"/>
      <c r="BU508" s="227"/>
      <c r="BV508" s="222"/>
      <c r="BW508" s="222"/>
      <c r="BX508" s="222"/>
      <c r="BY508" s="222"/>
      <c r="BZ508" s="227"/>
      <c r="CA508" s="222"/>
      <c r="CB508" s="222"/>
      <c r="CC508" s="222"/>
      <c r="CD508" s="222"/>
      <c r="CE508" s="227"/>
      <c r="CF508" s="222"/>
      <c r="CG508" s="222"/>
      <c r="CH508" s="222"/>
      <c r="CI508" s="222"/>
      <c r="CJ508" s="227"/>
      <c r="CK508" s="222"/>
      <c r="CL508" s="222"/>
      <c r="CM508" s="222"/>
      <c r="CN508" s="222"/>
      <c r="CO508" s="227"/>
      <c r="CP508" s="222"/>
      <c r="CQ508" s="222"/>
      <c r="CR508" s="222"/>
      <c r="CS508" s="222"/>
      <c r="CT508" s="227"/>
      <c r="CU508" s="222"/>
      <c r="CV508" s="222"/>
      <c r="CW508" s="222"/>
      <c r="CX508" s="222"/>
      <c r="CY508" s="227"/>
      <c r="CZ508" s="222"/>
      <c r="DA508" s="222"/>
      <c r="DB508" s="222"/>
      <c r="DC508" s="222"/>
      <c r="DD508" s="227"/>
      <c r="DE508" s="222"/>
      <c r="DF508" s="222"/>
      <c r="DG508" s="222"/>
      <c r="DH508" s="222"/>
      <c r="DI508" s="227"/>
      <c r="DJ508" s="222"/>
      <c r="DK508" s="222"/>
      <c r="DL508" s="222"/>
      <c r="DM508" s="222"/>
      <c r="DN508" s="227"/>
      <c r="DO508" s="222"/>
      <c r="DP508" s="222"/>
      <c r="DQ508" s="222"/>
      <c r="DR508" s="222"/>
      <c r="DS508" s="227"/>
      <c r="DT508" s="222"/>
      <c r="DU508" s="222"/>
      <c r="DV508" s="222"/>
      <c r="DW508" s="222"/>
      <c r="DX508" s="227"/>
      <c r="DY508" s="222"/>
      <c r="DZ508" s="222"/>
      <c r="EA508" s="222"/>
      <c r="EB508" s="222"/>
      <c r="EC508" s="227"/>
      <c r="ED508" s="222"/>
      <c r="EE508" s="222"/>
      <c r="EF508" s="222"/>
      <c r="EG508" s="222"/>
      <c r="EH508" s="227"/>
      <c r="EI508" s="222"/>
      <c r="EJ508" s="222"/>
      <c r="EK508" s="222"/>
      <c r="EL508" s="222"/>
      <c r="EM508" s="227"/>
      <c r="EN508" s="222"/>
      <c r="EO508" s="222"/>
      <c r="EP508" s="222"/>
      <c r="EQ508" s="222"/>
      <c r="ER508" s="227"/>
      <c r="ES508" s="222"/>
      <c r="ET508" s="222"/>
      <c r="EU508" s="222"/>
      <c r="EV508" s="222"/>
      <c r="EW508" s="227"/>
      <c r="EX508" s="222"/>
      <c r="EY508" s="222"/>
      <c r="EZ508" s="222"/>
      <c r="FA508" s="222"/>
      <c r="FB508" s="227"/>
      <c r="FC508" s="222"/>
      <c r="FD508" s="222"/>
      <c r="FE508" s="222"/>
      <c r="FF508" s="222"/>
      <c r="FG508" s="227"/>
      <c r="FH508" s="222"/>
      <c r="FI508" s="222"/>
      <c r="FJ508" s="222"/>
      <c r="FK508" s="222"/>
      <c r="FL508" s="227"/>
      <c r="FM508" s="222"/>
      <c r="FN508" s="222"/>
      <c r="FO508" s="222"/>
      <c r="FP508" s="222"/>
      <c r="FQ508" s="227"/>
      <c r="FR508" s="222"/>
      <c r="FS508" s="222"/>
      <c r="FT508" s="222"/>
      <c r="FU508" s="222"/>
      <c r="FV508" s="227"/>
      <c r="FW508" s="222"/>
      <c r="FX508" s="222"/>
      <c r="FY508" s="222"/>
      <c r="FZ508" s="222"/>
      <c r="GA508" s="227"/>
      <c r="GB508" s="222"/>
      <c r="GC508" s="222"/>
      <c r="GD508" s="222"/>
      <c r="GE508" s="222"/>
    </row>
    <row r="509" spans="3:187" ht="12.75" customHeight="1">
      <c r="C509" s="226"/>
      <c r="D509" s="106"/>
      <c r="E509" s="106"/>
      <c r="F509" s="106"/>
      <c r="G509" s="106"/>
      <c r="H509" s="226"/>
      <c r="I509" s="106"/>
      <c r="J509" s="106"/>
      <c r="K509" s="106"/>
      <c r="L509" s="106"/>
      <c r="M509" s="226"/>
      <c r="N509" s="106"/>
      <c r="O509" s="106"/>
      <c r="P509" s="106"/>
      <c r="Q509" s="106"/>
      <c r="R509" s="226"/>
      <c r="S509" s="106"/>
      <c r="T509" s="106"/>
      <c r="U509" s="106"/>
      <c r="V509" s="106"/>
      <c r="W509" s="226"/>
      <c r="X509" s="106"/>
      <c r="Y509" s="106"/>
      <c r="Z509" s="106"/>
      <c r="AA509" s="106"/>
      <c r="AB509" s="226"/>
      <c r="AC509" s="106"/>
      <c r="AD509" s="106"/>
      <c r="AE509" s="106"/>
      <c r="AF509" s="106"/>
      <c r="AG509" s="226"/>
      <c r="AH509" s="106"/>
      <c r="AI509" s="106"/>
      <c r="AJ509" s="106"/>
      <c r="AK509" s="106"/>
      <c r="AL509" s="226"/>
      <c r="AM509" s="106"/>
      <c r="AN509" s="106"/>
      <c r="AO509" s="106"/>
      <c r="AP509" s="106"/>
      <c r="AQ509" s="226"/>
      <c r="AR509" s="106"/>
      <c r="AS509" s="106"/>
      <c r="AT509" s="106"/>
      <c r="AU509" s="106"/>
      <c r="AV509" s="226"/>
      <c r="AW509" s="106"/>
      <c r="AX509" s="106"/>
      <c r="AY509" s="106"/>
      <c r="AZ509" s="106"/>
      <c r="BA509" s="226"/>
      <c r="BB509" s="106"/>
      <c r="BC509" s="106"/>
      <c r="BD509" s="106"/>
      <c r="BE509" s="106"/>
      <c r="BF509" s="226"/>
      <c r="BG509" s="106"/>
      <c r="BH509" s="106"/>
      <c r="BI509" s="106"/>
      <c r="BJ509" s="106"/>
      <c r="BK509" s="226"/>
      <c r="BL509" s="106"/>
      <c r="BM509" s="106"/>
      <c r="BN509" s="106"/>
      <c r="BO509" s="106"/>
      <c r="BP509" s="226"/>
      <c r="BQ509" s="106"/>
      <c r="BR509" s="106"/>
      <c r="BS509" s="106"/>
      <c r="BT509" s="106"/>
      <c r="BU509" s="226"/>
      <c r="BV509" s="106"/>
      <c r="BW509" s="106"/>
      <c r="BX509" s="106"/>
      <c r="BY509" s="106"/>
      <c r="BZ509" s="226"/>
      <c r="CA509" s="106"/>
      <c r="CB509" s="106"/>
      <c r="CC509" s="106"/>
      <c r="CD509" s="106"/>
      <c r="CE509" s="226"/>
      <c r="CF509" s="106"/>
      <c r="CG509" s="106"/>
      <c r="CH509" s="106"/>
      <c r="CI509" s="106"/>
      <c r="CJ509" s="226"/>
      <c r="CK509" s="106"/>
      <c r="CL509" s="106"/>
      <c r="CM509" s="106"/>
      <c r="CN509" s="106"/>
      <c r="CO509" s="226"/>
      <c r="CP509" s="106"/>
      <c r="CQ509" s="106"/>
      <c r="CR509" s="106"/>
      <c r="CS509" s="106"/>
      <c r="CT509" s="226"/>
      <c r="CU509" s="106"/>
      <c r="CV509" s="106"/>
      <c r="CW509" s="106"/>
      <c r="CX509" s="106"/>
      <c r="CY509" s="226"/>
      <c r="CZ509" s="106"/>
      <c r="DA509" s="106"/>
      <c r="DB509" s="106"/>
      <c r="DC509" s="106"/>
      <c r="DD509" s="226"/>
      <c r="DE509" s="106"/>
      <c r="DF509" s="106"/>
      <c r="DG509" s="106"/>
      <c r="DH509" s="106"/>
      <c r="DI509" s="226"/>
      <c r="DJ509" s="106"/>
      <c r="DK509" s="106"/>
      <c r="DL509" s="106"/>
      <c r="DM509" s="106"/>
      <c r="DN509" s="226"/>
      <c r="DO509" s="106"/>
      <c r="DP509" s="106"/>
      <c r="DQ509" s="106"/>
      <c r="DR509" s="106"/>
      <c r="DS509" s="226"/>
      <c r="DT509" s="106"/>
      <c r="DU509" s="106"/>
      <c r="DV509" s="106"/>
      <c r="DW509" s="106"/>
      <c r="DX509" s="226"/>
      <c r="DY509" s="106"/>
      <c r="DZ509" s="106"/>
      <c r="EA509" s="106"/>
      <c r="EB509" s="106"/>
      <c r="EC509" s="226"/>
      <c r="ED509" s="106"/>
      <c r="EE509" s="106"/>
      <c r="EF509" s="106"/>
      <c r="EG509" s="106"/>
      <c r="EH509" s="226"/>
      <c r="EI509" s="106"/>
      <c r="EJ509" s="106"/>
      <c r="EK509" s="106"/>
      <c r="EL509" s="106"/>
      <c r="EM509" s="226"/>
      <c r="EN509" s="106"/>
      <c r="EO509" s="106"/>
      <c r="EP509" s="106"/>
      <c r="EQ509" s="106"/>
      <c r="ER509" s="226"/>
      <c r="ES509" s="106"/>
      <c r="ET509" s="106"/>
      <c r="EU509" s="106"/>
      <c r="EV509" s="106"/>
      <c r="EW509" s="226"/>
      <c r="EX509" s="106"/>
      <c r="EY509" s="106"/>
      <c r="EZ509" s="106"/>
      <c r="FA509" s="106"/>
      <c r="FB509" s="226"/>
      <c r="FC509" s="106"/>
      <c r="FD509" s="106"/>
      <c r="FE509" s="106"/>
      <c r="FF509" s="106"/>
      <c r="FG509" s="226"/>
      <c r="FH509" s="106"/>
      <c r="FI509" s="106"/>
      <c r="FJ509" s="106"/>
      <c r="FK509" s="106"/>
      <c r="FL509" s="226"/>
      <c r="FM509" s="106"/>
      <c r="FN509" s="106"/>
      <c r="FO509" s="106"/>
      <c r="FP509" s="106"/>
      <c r="FQ509" s="226"/>
      <c r="FR509" s="106"/>
      <c r="FS509" s="106"/>
      <c r="FT509" s="106"/>
      <c r="FU509" s="106"/>
      <c r="FV509" s="226"/>
      <c r="FW509" s="106"/>
      <c r="FX509" s="106"/>
      <c r="FY509" s="106"/>
      <c r="FZ509" s="106"/>
      <c r="GA509" s="226"/>
      <c r="GB509" s="106"/>
      <c r="GC509" s="106"/>
      <c r="GD509" s="106"/>
      <c r="GE509" s="106"/>
    </row>
    <row r="510" spans="3:187" ht="12.75" customHeight="1">
      <c r="C510" s="226"/>
      <c r="D510" s="106"/>
      <c r="E510" s="106"/>
      <c r="F510" s="106"/>
      <c r="G510" s="106"/>
      <c r="H510" s="226"/>
      <c r="I510" s="106"/>
      <c r="J510" s="106"/>
      <c r="K510" s="106"/>
      <c r="L510" s="106"/>
      <c r="M510" s="226"/>
      <c r="N510" s="106"/>
      <c r="O510" s="106"/>
      <c r="P510" s="106"/>
      <c r="Q510" s="106"/>
      <c r="R510" s="226"/>
      <c r="S510" s="106"/>
      <c r="T510" s="106"/>
      <c r="U510" s="106"/>
      <c r="V510" s="106"/>
      <c r="W510" s="226"/>
      <c r="X510" s="106"/>
      <c r="Y510" s="106"/>
      <c r="Z510" s="106"/>
      <c r="AA510" s="106"/>
      <c r="AB510" s="226"/>
      <c r="AC510" s="106"/>
      <c r="AD510" s="106"/>
      <c r="AE510" s="106"/>
      <c r="AF510" s="106"/>
      <c r="AG510" s="226"/>
      <c r="AH510" s="106"/>
      <c r="AI510" s="106"/>
      <c r="AJ510" s="106"/>
      <c r="AK510" s="106"/>
      <c r="AL510" s="226"/>
      <c r="AM510" s="106"/>
      <c r="AN510" s="106"/>
      <c r="AO510" s="106"/>
      <c r="AP510" s="106"/>
      <c r="AQ510" s="226"/>
      <c r="AR510" s="106"/>
      <c r="AS510" s="106"/>
      <c r="AT510" s="106"/>
      <c r="AU510" s="106"/>
      <c r="AV510" s="226"/>
      <c r="AW510" s="106"/>
      <c r="AX510" s="106"/>
      <c r="AY510" s="106"/>
      <c r="AZ510" s="106"/>
      <c r="BA510" s="226"/>
      <c r="BB510" s="106"/>
      <c r="BC510" s="106"/>
      <c r="BD510" s="106"/>
      <c r="BE510" s="106"/>
      <c r="BF510" s="226"/>
      <c r="BG510" s="106"/>
      <c r="BH510" s="106"/>
      <c r="BI510" s="106"/>
      <c r="BJ510" s="106"/>
      <c r="BK510" s="226"/>
      <c r="BL510" s="106"/>
      <c r="BM510" s="106"/>
      <c r="BN510" s="106"/>
      <c r="BO510" s="106"/>
      <c r="BP510" s="226"/>
      <c r="BQ510" s="106"/>
      <c r="BR510" s="106"/>
      <c r="BS510" s="106"/>
      <c r="BT510" s="106"/>
      <c r="BU510" s="226"/>
      <c r="BV510" s="106"/>
      <c r="BW510" s="106"/>
      <c r="BX510" s="106"/>
      <c r="BY510" s="106"/>
      <c r="BZ510" s="226"/>
      <c r="CA510" s="106"/>
      <c r="CB510" s="106"/>
      <c r="CC510" s="106"/>
      <c r="CD510" s="106"/>
      <c r="CE510" s="226"/>
      <c r="CF510" s="106"/>
      <c r="CG510" s="106"/>
      <c r="CH510" s="106"/>
      <c r="CI510" s="106"/>
      <c r="CJ510" s="226"/>
      <c r="CK510" s="106"/>
      <c r="CL510" s="106"/>
      <c r="CM510" s="106"/>
      <c r="CN510" s="106"/>
      <c r="CO510" s="226"/>
      <c r="CP510" s="106"/>
      <c r="CQ510" s="106"/>
      <c r="CR510" s="106"/>
      <c r="CS510" s="106"/>
      <c r="CT510" s="226"/>
      <c r="CU510" s="106"/>
      <c r="CV510" s="106"/>
      <c r="CW510" s="106"/>
      <c r="CX510" s="106"/>
      <c r="CY510" s="226"/>
      <c r="CZ510" s="106"/>
      <c r="DA510" s="106"/>
      <c r="DB510" s="106"/>
      <c r="DC510" s="106"/>
      <c r="DD510" s="226"/>
      <c r="DE510" s="106"/>
      <c r="DF510" s="106"/>
      <c r="DG510" s="106"/>
      <c r="DH510" s="106"/>
      <c r="DI510" s="226"/>
      <c r="DJ510" s="106"/>
      <c r="DK510" s="106"/>
      <c r="DL510" s="106"/>
      <c r="DM510" s="106"/>
      <c r="DN510" s="226"/>
      <c r="DO510" s="106"/>
      <c r="DP510" s="106"/>
      <c r="DQ510" s="106"/>
      <c r="DR510" s="106"/>
      <c r="DS510" s="226"/>
      <c r="DT510" s="106"/>
      <c r="DU510" s="106"/>
      <c r="DV510" s="106"/>
      <c r="DW510" s="106"/>
      <c r="DX510" s="226"/>
      <c r="DY510" s="106"/>
      <c r="DZ510" s="106"/>
      <c r="EA510" s="106"/>
      <c r="EB510" s="106"/>
      <c r="EC510" s="226"/>
      <c r="ED510" s="106"/>
      <c r="EE510" s="106"/>
      <c r="EF510" s="106"/>
      <c r="EG510" s="106"/>
      <c r="EH510" s="226"/>
      <c r="EI510" s="106"/>
      <c r="EJ510" s="106"/>
      <c r="EK510" s="106"/>
      <c r="EL510" s="106"/>
      <c r="EM510" s="226"/>
      <c r="EN510" s="106"/>
      <c r="EO510" s="106"/>
      <c r="EP510" s="106"/>
      <c r="EQ510" s="106"/>
      <c r="ER510" s="226"/>
      <c r="ES510" s="106"/>
      <c r="ET510" s="106"/>
      <c r="EU510" s="106"/>
      <c r="EV510" s="106"/>
      <c r="EW510" s="226"/>
      <c r="EX510" s="106"/>
      <c r="EY510" s="106"/>
      <c r="EZ510" s="106"/>
      <c r="FA510" s="106"/>
      <c r="FB510" s="226"/>
      <c r="FC510" s="106"/>
      <c r="FD510" s="106"/>
      <c r="FE510" s="106"/>
      <c r="FF510" s="106"/>
      <c r="FG510" s="226"/>
      <c r="FH510" s="106"/>
      <c r="FI510" s="106"/>
      <c r="FJ510" s="106"/>
      <c r="FK510" s="106"/>
      <c r="FL510" s="226"/>
      <c r="FM510" s="106"/>
      <c r="FN510" s="106"/>
      <c r="FO510" s="106"/>
      <c r="FP510" s="106"/>
      <c r="FQ510" s="226"/>
      <c r="FR510" s="106"/>
      <c r="FS510" s="106"/>
      <c r="FT510" s="106"/>
      <c r="FU510" s="106"/>
      <c r="FV510" s="226"/>
      <c r="FW510" s="106"/>
      <c r="FX510" s="106"/>
      <c r="FY510" s="106"/>
      <c r="FZ510" s="106"/>
      <c r="GA510" s="226"/>
      <c r="GB510" s="106"/>
      <c r="GC510" s="106"/>
      <c r="GD510" s="106"/>
      <c r="GE510" s="106"/>
    </row>
    <row r="511" spans="3:187" ht="12.75" customHeight="1">
      <c r="C511" s="106"/>
      <c r="D511" s="106"/>
      <c r="E511" s="106"/>
      <c r="F511" s="106"/>
      <c r="G511" s="106"/>
      <c r="H511" s="106"/>
      <c r="I511" s="106"/>
      <c r="J511" s="106"/>
      <c r="K511" s="106"/>
      <c r="L511" s="106"/>
      <c r="M511" s="106"/>
      <c r="N511" s="106"/>
      <c r="O511" s="106"/>
      <c r="P511" s="106"/>
      <c r="Q511" s="106"/>
      <c r="R511" s="106"/>
      <c r="S511" s="106"/>
      <c r="T511" s="106"/>
      <c r="U511" s="106"/>
      <c r="V511" s="106"/>
      <c r="W511" s="106"/>
      <c r="X511" s="106"/>
      <c r="Y511" s="106"/>
      <c r="Z511" s="106"/>
      <c r="AA511" s="106"/>
      <c r="AB511" s="106"/>
      <c r="AC511" s="106"/>
      <c r="AD511" s="106"/>
      <c r="AE511" s="106"/>
      <c r="AF511" s="106"/>
      <c r="AG511" s="106"/>
      <c r="AH511" s="106"/>
      <c r="AI511" s="106"/>
      <c r="AJ511" s="106"/>
      <c r="AK511" s="106"/>
      <c r="AL511" s="106"/>
      <c r="AM511" s="106"/>
      <c r="AN511" s="106"/>
      <c r="AO511" s="106"/>
      <c r="AP511" s="106"/>
      <c r="AQ511" s="106"/>
      <c r="AR511" s="106"/>
      <c r="AS511" s="106"/>
      <c r="AT511" s="106"/>
      <c r="AU511" s="106"/>
      <c r="AV511" s="106"/>
      <c r="AW511" s="106"/>
      <c r="AX511" s="106"/>
      <c r="AY511" s="106"/>
      <c r="AZ511" s="106"/>
      <c r="BA511" s="106"/>
      <c r="BB511" s="106"/>
      <c r="BC511" s="106"/>
      <c r="BD511" s="106"/>
      <c r="BE511" s="106"/>
      <c r="BF511" s="106"/>
      <c r="BG511" s="106"/>
      <c r="BH511" s="106"/>
      <c r="BI511" s="106"/>
      <c r="BJ511" s="106"/>
      <c r="BK511" s="106"/>
      <c r="BL511" s="106"/>
      <c r="BM511" s="106"/>
      <c r="BN511" s="106"/>
      <c r="BO511" s="106"/>
      <c r="BP511" s="106"/>
      <c r="BQ511" s="106"/>
      <c r="BR511" s="106"/>
      <c r="BS511" s="106"/>
      <c r="BT511" s="106"/>
      <c r="BU511" s="106"/>
      <c r="BV511" s="106"/>
      <c r="BW511" s="106"/>
      <c r="BX511" s="106"/>
      <c r="BY511" s="106"/>
      <c r="BZ511" s="106"/>
      <c r="CA511" s="106"/>
      <c r="CB511" s="106"/>
      <c r="CC511" s="106"/>
      <c r="CD511" s="106"/>
      <c r="CE511" s="106"/>
      <c r="CF511" s="106"/>
      <c r="CG511" s="106"/>
      <c r="CH511" s="106"/>
      <c r="CI511" s="106"/>
      <c r="CJ511" s="106"/>
      <c r="CK511" s="106"/>
      <c r="CL511" s="106"/>
      <c r="CM511" s="106"/>
      <c r="CN511" s="106"/>
      <c r="CO511" s="106"/>
      <c r="CP511" s="106"/>
      <c r="CQ511" s="106"/>
      <c r="CR511" s="106"/>
      <c r="CS511" s="106"/>
      <c r="CT511" s="106"/>
      <c r="CU511" s="106"/>
      <c r="CV511" s="106"/>
      <c r="CW511" s="106"/>
      <c r="CX511" s="106"/>
      <c r="CY511" s="106"/>
      <c r="CZ511" s="106"/>
      <c r="DA511" s="106"/>
      <c r="DB511" s="106"/>
      <c r="DC511" s="106"/>
      <c r="DD511" s="106"/>
      <c r="DE511" s="106"/>
      <c r="DF511" s="106"/>
      <c r="DG511" s="106"/>
      <c r="DH511" s="106"/>
      <c r="DI511" s="106"/>
      <c r="DJ511" s="106"/>
      <c r="DK511" s="106"/>
      <c r="DL511" s="106"/>
      <c r="DM511" s="106"/>
      <c r="DN511" s="106"/>
      <c r="DO511" s="106"/>
      <c r="DP511" s="106"/>
      <c r="DQ511" s="106"/>
      <c r="DR511" s="106"/>
      <c r="DS511" s="106"/>
      <c r="DT511" s="106"/>
      <c r="DU511" s="106"/>
      <c r="DV511" s="106"/>
      <c r="DW511" s="106"/>
      <c r="DX511" s="106"/>
      <c r="DY511" s="106"/>
      <c r="DZ511" s="106"/>
      <c r="EA511" s="106"/>
      <c r="EB511" s="106"/>
      <c r="EC511" s="106"/>
      <c r="ED511" s="106"/>
      <c r="EE511" s="106"/>
      <c r="EF511" s="106"/>
      <c r="EG511" s="106"/>
      <c r="EH511" s="106"/>
      <c r="EI511" s="106"/>
      <c r="EJ511" s="106"/>
      <c r="EK511" s="106"/>
      <c r="EL511" s="106"/>
      <c r="EM511" s="106"/>
      <c r="EN511" s="106"/>
      <c r="EO511" s="106"/>
      <c r="EP511" s="106"/>
      <c r="EQ511" s="106"/>
      <c r="ER511" s="106"/>
      <c r="ES511" s="106"/>
      <c r="ET511" s="106"/>
      <c r="EU511" s="106"/>
      <c r="EV511" s="106"/>
      <c r="EW511" s="106"/>
      <c r="EX511" s="106"/>
      <c r="EY511" s="106"/>
      <c r="EZ511" s="106"/>
      <c r="FA511" s="106"/>
      <c r="FB511" s="106"/>
      <c r="FC511" s="106"/>
      <c r="FD511" s="106"/>
      <c r="FE511" s="106"/>
      <c r="FF511" s="106"/>
      <c r="FG511" s="106"/>
      <c r="FH511" s="106"/>
      <c r="FI511" s="106"/>
      <c r="FJ511" s="106"/>
      <c r="FK511" s="106"/>
      <c r="FL511" s="106"/>
      <c r="FM511" s="106"/>
      <c r="FN511" s="106"/>
      <c r="FO511" s="106"/>
      <c r="FP511" s="106"/>
      <c r="FQ511" s="106"/>
      <c r="FR511" s="106"/>
      <c r="FS511" s="106"/>
      <c r="FT511" s="106"/>
      <c r="FU511" s="106"/>
      <c r="FV511" s="106"/>
      <c r="FW511" s="106"/>
      <c r="FX511" s="106"/>
      <c r="FY511" s="106"/>
      <c r="FZ511" s="106"/>
      <c r="GA511" s="106"/>
      <c r="GB511" s="106"/>
      <c r="GC511" s="106"/>
      <c r="GD511" s="106"/>
      <c r="GE511" s="106"/>
    </row>
    <row r="512" spans="3:187" ht="12.75" customHeight="1">
      <c r="C512" s="106"/>
      <c r="D512" s="106"/>
      <c r="E512" s="106"/>
      <c r="F512" s="106"/>
      <c r="G512" s="106"/>
      <c r="H512" s="106"/>
      <c r="I512" s="106"/>
      <c r="J512" s="106"/>
      <c r="K512" s="106"/>
      <c r="L512" s="106"/>
      <c r="M512" s="106"/>
      <c r="N512" s="106"/>
      <c r="O512" s="106"/>
      <c r="P512" s="106"/>
      <c r="Q512" s="106"/>
      <c r="R512" s="106"/>
      <c r="S512" s="106"/>
      <c r="T512" s="106"/>
      <c r="U512" s="106"/>
      <c r="V512" s="106"/>
      <c r="W512" s="106"/>
      <c r="X512" s="106"/>
      <c r="Y512" s="106"/>
      <c r="Z512" s="106"/>
      <c r="AA512" s="106"/>
      <c r="AB512" s="106"/>
      <c r="AC512" s="106"/>
      <c r="AD512" s="106"/>
      <c r="AE512" s="106"/>
      <c r="AF512" s="106"/>
      <c r="AG512" s="106"/>
      <c r="AH512" s="106"/>
      <c r="AI512" s="106"/>
      <c r="AJ512" s="106"/>
      <c r="AK512" s="106"/>
      <c r="AL512" s="106"/>
      <c r="AM512" s="106"/>
      <c r="AN512" s="106"/>
      <c r="AO512" s="106"/>
      <c r="AP512" s="106"/>
      <c r="AQ512" s="106"/>
      <c r="AR512" s="106"/>
      <c r="AS512" s="106"/>
      <c r="AT512" s="106"/>
      <c r="AU512" s="106"/>
      <c r="AV512" s="106"/>
      <c r="AW512" s="106"/>
      <c r="AX512" s="106"/>
      <c r="AY512" s="106"/>
      <c r="AZ512" s="106"/>
      <c r="BA512" s="106"/>
      <c r="BB512" s="106"/>
      <c r="BC512" s="106"/>
      <c r="BD512" s="106"/>
      <c r="BE512" s="106"/>
      <c r="BF512" s="106"/>
      <c r="BG512" s="106"/>
      <c r="BH512" s="106"/>
      <c r="BI512" s="106"/>
      <c r="BJ512" s="106"/>
      <c r="BK512" s="106"/>
      <c r="BL512" s="106"/>
      <c r="BM512" s="106"/>
      <c r="BN512" s="106"/>
      <c r="BO512" s="106"/>
      <c r="BP512" s="106"/>
      <c r="BQ512" s="106"/>
      <c r="BR512" s="106"/>
      <c r="BS512" s="106"/>
      <c r="BT512" s="106"/>
      <c r="BU512" s="106"/>
      <c r="BV512" s="106"/>
      <c r="BW512" s="106"/>
      <c r="BX512" s="106"/>
      <c r="BY512" s="106"/>
      <c r="BZ512" s="106"/>
      <c r="CA512" s="106"/>
      <c r="CB512" s="106"/>
      <c r="CC512" s="106"/>
      <c r="CD512" s="106"/>
      <c r="CE512" s="106"/>
      <c r="CF512" s="106"/>
      <c r="CG512" s="106"/>
      <c r="CH512" s="106"/>
      <c r="CI512" s="106"/>
      <c r="CJ512" s="106"/>
      <c r="CK512" s="106"/>
      <c r="CL512" s="106"/>
      <c r="CM512" s="106"/>
      <c r="CN512" s="106"/>
      <c r="CO512" s="106"/>
      <c r="CP512" s="106"/>
      <c r="CQ512" s="106"/>
      <c r="CR512" s="106"/>
      <c r="CS512" s="106"/>
      <c r="CT512" s="106"/>
      <c r="CU512" s="106"/>
      <c r="CV512" s="106"/>
      <c r="CW512" s="106"/>
      <c r="CX512" s="106"/>
      <c r="CY512" s="106"/>
      <c r="CZ512" s="106"/>
      <c r="DA512" s="106"/>
      <c r="DB512" s="106"/>
      <c r="DC512" s="106"/>
      <c r="DD512" s="106"/>
      <c r="DE512" s="106"/>
      <c r="DF512" s="106"/>
      <c r="DG512" s="106"/>
      <c r="DH512" s="106"/>
      <c r="DI512" s="106"/>
      <c r="DJ512" s="106"/>
      <c r="DK512" s="106"/>
      <c r="DL512" s="106"/>
      <c r="DM512" s="106"/>
      <c r="DN512" s="106"/>
      <c r="DO512" s="106"/>
      <c r="DP512" s="106"/>
      <c r="DQ512" s="106"/>
      <c r="DR512" s="106"/>
      <c r="DS512" s="106"/>
      <c r="DT512" s="106"/>
      <c r="DU512" s="106"/>
      <c r="DV512" s="106"/>
      <c r="DW512" s="106"/>
      <c r="DX512" s="106"/>
      <c r="DY512" s="106"/>
      <c r="DZ512" s="106"/>
      <c r="EA512" s="106"/>
      <c r="EB512" s="106"/>
      <c r="EC512" s="106"/>
      <c r="ED512" s="106"/>
      <c r="EE512" s="106"/>
      <c r="EF512" s="106"/>
      <c r="EG512" s="106"/>
      <c r="EH512" s="106"/>
      <c r="EI512" s="106"/>
      <c r="EJ512" s="106"/>
      <c r="EK512" s="106"/>
      <c r="EL512" s="106"/>
      <c r="EM512" s="106"/>
      <c r="EN512" s="106"/>
      <c r="EO512" s="106"/>
      <c r="EP512" s="106"/>
      <c r="EQ512" s="106"/>
      <c r="ER512" s="106"/>
      <c r="ES512" s="106"/>
      <c r="ET512" s="106"/>
      <c r="EU512" s="106"/>
      <c r="EV512" s="106"/>
      <c r="EW512" s="106"/>
      <c r="EX512" s="106"/>
      <c r="EY512" s="106"/>
      <c r="EZ512" s="106"/>
      <c r="FA512" s="106"/>
      <c r="FB512" s="106"/>
      <c r="FC512" s="106"/>
      <c r="FD512" s="106"/>
      <c r="FE512" s="106"/>
      <c r="FF512" s="106"/>
      <c r="FG512" s="106"/>
      <c r="FH512" s="106"/>
      <c r="FI512" s="106"/>
      <c r="FJ512" s="106"/>
      <c r="FK512" s="106"/>
      <c r="FL512" s="106"/>
      <c r="FM512" s="106"/>
      <c r="FN512" s="106"/>
      <c r="FO512" s="106"/>
      <c r="FP512" s="106"/>
      <c r="FQ512" s="106"/>
      <c r="FR512" s="106"/>
      <c r="FS512" s="106"/>
      <c r="FT512" s="106"/>
      <c r="FU512" s="106"/>
      <c r="FV512" s="106"/>
      <c r="FW512" s="106"/>
      <c r="FX512" s="106"/>
      <c r="FY512" s="106"/>
      <c r="FZ512" s="106"/>
      <c r="GA512" s="106"/>
      <c r="GB512" s="106"/>
      <c r="GC512" s="106"/>
      <c r="GD512" s="106"/>
      <c r="GE512" s="106"/>
    </row>
    <row r="513" spans="3:187" ht="12.75" customHeight="1">
      <c r="C513" s="106"/>
      <c r="D513" s="106"/>
      <c r="E513" s="106"/>
      <c r="F513" s="106"/>
      <c r="G513" s="106"/>
      <c r="H513" s="106"/>
      <c r="I513" s="106"/>
      <c r="J513" s="106"/>
      <c r="K513" s="106"/>
      <c r="L513" s="106"/>
      <c r="M513" s="106"/>
      <c r="N513" s="106"/>
      <c r="O513" s="106"/>
      <c r="P513" s="106"/>
      <c r="Q513" s="106"/>
      <c r="R513" s="106"/>
      <c r="S513" s="106"/>
      <c r="T513" s="106"/>
      <c r="U513" s="106"/>
      <c r="V513" s="106"/>
      <c r="W513" s="106"/>
      <c r="X513" s="106"/>
      <c r="Y513" s="106"/>
      <c r="Z513" s="106"/>
      <c r="AA513" s="106"/>
      <c r="AB513" s="106"/>
      <c r="AC513" s="106"/>
      <c r="AD513" s="106"/>
      <c r="AE513" s="106"/>
      <c r="AF513" s="106"/>
      <c r="AG513" s="106"/>
      <c r="AH513" s="106"/>
      <c r="AI513" s="106"/>
      <c r="AJ513" s="106"/>
      <c r="AK513" s="106"/>
      <c r="AL513" s="106"/>
      <c r="AM513" s="106"/>
      <c r="AN513" s="106"/>
      <c r="AO513" s="106"/>
      <c r="AP513" s="106"/>
      <c r="AQ513" s="106"/>
      <c r="AR513" s="106"/>
      <c r="AS513" s="106"/>
      <c r="AT513" s="106"/>
      <c r="AU513" s="106"/>
      <c r="AV513" s="106"/>
      <c r="AW513" s="106"/>
      <c r="AX513" s="106"/>
      <c r="AY513" s="106"/>
      <c r="AZ513" s="106"/>
      <c r="BA513" s="106"/>
      <c r="BB513" s="106"/>
      <c r="BC513" s="106"/>
      <c r="BD513" s="106"/>
      <c r="BE513" s="106"/>
      <c r="BF513" s="106"/>
      <c r="BG513" s="106"/>
      <c r="BH513" s="106"/>
      <c r="BI513" s="106"/>
      <c r="BJ513" s="106"/>
      <c r="BK513" s="106"/>
      <c r="BL513" s="106"/>
      <c r="BM513" s="106"/>
      <c r="BN513" s="106"/>
      <c r="BO513" s="106"/>
      <c r="BP513" s="106"/>
      <c r="BQ513" s="106"/>
      <c r="BR513" s="106"/>
      <c r="BS513" s="106"/>
      <c r="BT513" s="106"/>
      <c r="BU513" s="106"/>
      <c r="BV513" s="106"/>
      <c r="BW513" s="106"/>
      <c r="BX513" s="106"/>
      <c r="BY513" s="106"/>
      <c r="BZ513" s="106"/>
      <c r="CA513" s="106"/>
      <c r="CB513" s="106"/>
      <c r="CC513" s="106"/>
      <c r="CD513" s="106"/>
      <c r="CE513" s="106"/>
      <c r="CF513" s="106"/>
      <c r="CG513" s="106"/>
      <c r="CH513" s="106"/>
      <c r="CI513" s="106"/>
      <c r="CJ513" s="106"/>
      <c r="CK513" s="106"/>
      <c r="CL513" s="106"/>
      <c r="CM513" s="106"/>
      <c r="CN513" s="106"/>
      <c r="CO513" s="106"/>
      <c r="CP513" s="106"/>
      <c r="CQ513" s="106"/>
      <c r="CR513" s="106"/>
      <c r="CS513" s="106"/>
      <c r="CT513" s="106"/>
      <c r="CU513" s="106"/>
      <c r="CV513" s="106"/>
      <c r="CW513" s="106"/>
      <c r="CX513" s="106"/>
      <c r="CY513" s="106"/>
      <c r="CZ513" s="106"/>
      <c r="DA513" s="106"/>
      <c r="DB513" s="106"/>
      <c r="DC513" s="106"/>
      <c r="DD513" s="106"/>
      <c r="DE513" s="106"/>
      <c r="DF513" s="106"/>
      <c r="DG513" s="106"/>
      <c r="DH513" s="106"/>
      <c r="DI513" s="106"/>
      <c r="DJ513" s="106"/>
      <c r="DK513" s="106"/>
      <c r="DL513" s="106"/>
      <c r="DM513" s="106"/>
      <c r="DN513" s="106"/>
      <c r="DO513" s="106"/>
      <c r="DP513" s="106"/>
      <c r="DQ513" s="106"/>
      <c r="DR513" s="106"/>
      <c r="DS513" s="106"/>
      <c r="DT513" s="106"/>
      <c r="DU513" s="106"/>
      <c r="DV513" s="106"/>
      <c r="DW513" s="106"/>
      <c r="DX513" s="106"/>
      <c r="DY513" s="106"/>
      <c r="DZ513" s="106"/>
      <c r="EA513" s="106"/>
      <c r="EB513" s="106"/>
      <c r="EC513" s="106"/>
      <c r="ED513" s="106"/>
      <c r="EE513" s="106"/>
      <c r="EF513" s="106"/>
      <c r="EG513" s="106"/>
      <c r="EH513" s="106"/>
      <c r="EI513" s="106"/>
      <c r="EJ513" s="106"/>
      <c r="EK513" s="106"/>
      <c r="EL513" s="106"/>
      <c r="EM513" s="106"/>
      <c r="EN513" s="106"/>
      <c r="EO513" s="106"/>
      <c r="EP513" s="106"/>
      <c r="EQ513" s="106"/>
      <c r="ER513" s="106"/>
      <c r="ES513" s="106"/>
      <c r="ET513" s="106"/>
      <c r="EU513" s="106"/>
      <c r="EV513" s="106"/>
      <c r="EW513" s="106"/>
      <c r="EX513" s="106"/>
      <c r="EY513" s="106"/>
      <c r="EZ513" s="106"/>
      <c r="FA513" s="106"/>
      <c r="FB513" s="106"/>
      <c r="FC513" s="106"/>
      <c r="FD513" s="106"/>
      <c r="FE513" s="106"/>
      <c r="FF513" s="106"/>
      <c r="FG513" s="106"/>
      <c r="FH513" s="106"/>
      <c r="FI513" s="106"/>
      <c r="FJ513" s="106"/>
      <c r="FK513" s="106"/>
      <c r="FL513" s="106"/>
      <c r="FM513" s="106"/>
      <c r="FN513" s="106"/>
      <c r="FO513" s="106"/>
      <c r="FP513" s="106"/>
      <c r="FQ513" s="106"/>
      <c r="FR513" s="106"/>
      <c r="FS513" s="106"/>
      <c r="FT513" s="106"/>
      <c r="FU513" s="106"/>
      <c r="FV513" s="106"/>
      <c r="FW513" s="106"/>
      <c r="FX513" s="106"/>
      <c r="FY513" s="106"/>
      <c r="FZ513" s="106"/>
      <c r="GA513" s="106"/>
      <c r="GB513" s="106"/>
      <c r="GC513" s="106"/>
      <c r="GD513" s="106"/>
      <c r="GE513" s="106"/>
    </row>
    <row r="514" spans="3:187" ht="12.75" customHeight="1">
      <c r="C514" s="169"/>
      <c r="D514" s="106"/>
      <c r="E514" s="106"/>
      <c r="F514" s="106"/>
      <c r="G514" s="106"/>
      <c r="H514" s="169"/>
      <c r="I514" s="106"/>
      <c r="J514" s="106"/>
      <c r="K514" s="106"/>
      <c r="L514" s="106"/>
      <c r="M514" s="169"/>
      <c r="N514" s="106"/>
      <c r="O514" s="106"/>
      <c r="P514" s="106"/>
      <c r="Q514" s="106"/>
      <c r="R514" s="169"/>
      <c r="S514" s="106"/>
      <c r="T514" s="106"/>
      <c r="U514" s="106"/>
      <c r="V514" s="106"/>
      <c r="W514" s="169"/>
      <c r="X514" s="106"/>
      <c r="Y514" s="106"/>
      <c r="Z514" s="106"/>
      <c r="AA514" s="106"/>
      <c r="AB514" s="169"/>
      <c r="AC514" s="106"/>
      <c r="AD514" s="106"/>
      <c r="AE514" s="106"/>
      <c r="AF514" s="106"/>
      <c r="AG514" s="169"/>
      <c r="AH514" s="106"/>
      <c r="AI514" s="106"/>
      <c r="AJ514" s="106"/>
      <c r="AK514" s="106"/>
      <c r="AL514" s="169"/>
      <c r="AM514" s="106"/>
      <c r="AN514" s="106"/>
      <c r="AO514" s="106"/>
      <c r="AP514" s="106"/>
      <c r="AQ514" s="169"/>
      <c r="AR514" s="106"/>
      <c r="AS514" s="106"/>
      <c r="AT514" s="106"/>
      <c r="AU514" s="106"/>
      <c r="AV514" s="169"/>
      <c r="AW514" s="106"/>
      <c r="AX514" s="106"/>
      <c r="AY514" s="106"/>
      <c r="AZ514" s="106"/>
      <c r="BA514" s="169"/>
      <c r="BB514" s="106"/>
      <c r="BC514" s="106"/>
      <c r="BD514" s="106"/>
      <c r="BE514" s="106"/>
      <c r="BF514" s="169"/>
      <c r="BG514" s="106"/>
      <c r="BH514" s="106"/>
      <c r="BI514" s="106"/>
      <c r="BJ514" s="106"/>
      <c r="BK514" s="169"/>
      <c r="BL514" s="106"/>
      <c r="BM514" s="106"/>
      <c r="BN514" s="106"/>
      <c r="BO514" s="106"/>
      <c r="BP514" s="169"/>
      <c r="BQ514" s="106"/>
      <c r="BR514" s="106"/>
      <c r="BS514" s="106"/>
      <c r="BT514" s="106"/>
      <c r="BU514" s="169"/>
      <c r="BV514" s="106"/>
      <c r="BW514" s="106"/>
      <c r="BX514" s="106"/>
      <c r="BY514" s="106"/>
      <c r="BZ514" s="169"/>
      <c r="CA514" s="106"/>
      <c r="CB514" s="106"/>
      <c r="CC514" s="106"/>
      <c r="CD514" s="106"/>
      <c r="CE514" s="169"/>
      <c r="CF514" s="106"/>
      <c r="CG514" s="106"/>
      <c r="CH514" s="106"/>
      <c r="CI514" s="106"/>
      <c r="CJ514" s="169"/>
      <c r="CK514" s="106"/>
      <c r="CL514" s="106"/>
      <c r="CM514" s="106"/>
      <c r="CN514" s="106"/>
      <c r="CO514" s="169"/>
      <c r="CP514" s="106"/>
      <c r="CQ514" s="106"/>
      <c r="CR514" s="106"/>
      <c r="CS514" s="106"/>
      <c r="CT514" s="169"/>
      <c r="CU514" s="106"/>
      <c r="CV514" s="106"/>
      <c r="CW514" s="106"/>
      <c r="CX514" s="106"/>
      <c r="CY514" s="169"/>
      <c r="CZ514" s="106"/>
      <c r="DA514" s="106"/>
      <c r="DB514" s="106"/>
      <c r="DC514" s="106"/>
      <c r="DD514" s="169"/>
      <c r="DE514" s="106"/>
      <c r="DF514" s="106"/>
      <c r="DG514" s="106"/>
      <c r="DH514" s="106"/>
      <c r="DI514" s="169"/>
      <c r="DJ514" s="106"/>
      <c r="DK514" s="106"/>
      <c r="DL514" s="106"/>
      <c r="DM514" s="106"/>
      <c r="DN514" s="169"/>
      <c r="DO514" s="106"/>
      <c r="DP514" s="106"/>
      <c r="DQ514" s="106"/>
      <c r="DR514" s="106"/>
      <c r="DS514" s="169"/>
      <c r="DT514" s="106"/>
      <c r="DU514" s="106"/>
      <c r="DV514" s="106"/>
      <c r="DW514" s="106"/>
      <c r="DX514" s="169"/>
      <c r="DY514" s="106"/>
      <c r="DZ514" s="106"/>
      <c r="EA514" s="106"/>
      <c r="EB514" s="106"/>
      <c r="EC514" s="169"/>
      <c r="ED514" s="106"/>
      <c r="EE514" s="106"/>
      <c r="EF514" s="106"/>
      <c r="EG514" s="106"/>
      <c r="EH514" s="169"/>
      <c r="EI514" s="106"/>
      <c r="EJ514" s="106"/>
      <c r="EK514" s="106"/>
      <c r="EL514" s="106"/>
      <c r="EM514" s="169"/>
      <c r="EN514" s="106"/>
      <c r="EO514" s="106"/>
      <c r="EP514" s="106"/>
      <c r="EQ514" s="106"/>
      <c r="ER514" s="169"/>
      <c r="ES514" s="106"/>
      <c r="ET514" s="106"/>
      <c r="EU514" s="106"/>
      <c r="EV514" s="106"/>
      <c r="EW514" s="169"/>
      <c r="EX514" s="106"/>
      <c r="EY514" s="106"/>
      <c r="EZ514" s="106"/>
      <c r="FA514" s="106"/>
      <c r="FB514" s="169"/>
      <c r="FC514" s="106"/>
      <c r="FD514" s="106"/>
      <c r="FE514" s="106"/>
      <c r="FF514" s="106"/>
      <c r="FG514" s="169"/>
      <c r="FH514" s="106"/>
      <c r="FI514" s="106"/>
      <c r="FJ514" s="106"/>
      <c r="FK514" s="106"/>
      <c r="FL514" s="169"/>
      <c r="FM514" s="106"/>
      <c r="FN514" s="106"/>
      <c r="FO514" s="106"/>
      <c r="FP514" s="106"/>
      <c r="FQ514" s="169"/>
      <c r="FR514" s="106"/>
      <c r="FS514" s="106"/>
      <c r="FT514" s="106"/>
      <c r="FU514" s="106"/>
      <c r="FV514" s="169"/>
      <c r="FW514" s="106"/>
      <c r="FX514" s="106"/>
      <c r="FY514" s="106"/>
      <c r="FZ514" s="106"/>
      <c r="GA514" s="169"/>
      <c r="GB514" s="106"/>
      <c r="GC514" s="106"/>
      <c r="GD514" s="106"/>
      <c r="GE514" s="106"/>
    </row>
    <row r="515" spans="3:187" ht="12.75" customHeight="1">
      <c r="C515" s="226"/>
      <c r="D515" s="106"/>
      <c r="E515" s="106"/>
      <c r="F515" s="106"/>
      <c r="G515" s="106"/>
      <c r="H515" s="226"/>
      <c r="I515" s="106"/>
      <c r="J515" s="106"/>
      <c r="K515" s="106"/>
      <c r="L515" s="106"/>
      <c r="M515" s="226"/>
      <c r="N515" s="106"/>
      <c r="O515" s="106"/>
      <c r="P515" s="106"/>
      <c r="Q515" s="106"/>
      <c r="R515" s="226"/>
      <c r="S515" s="106"/>
      <c r="T515" s="106"/>
      <c r="U515" s="106"/>
      <c r="V515" s="106"/>
      <c r="W515" s="226"/>
      <c r="X515" s="106"/>
      <c r="Y515" s="106"/>
      <c r="Z515" s="106"/>
      <c r="AA515" s="106"/>
      <c r="AB515" s="226"/>
      <c r="AC515" s="106"/>
      <c r="AD515" s="106"/>
      <c r="AE515" s="106"/>
      <c r="AF515" s="106"/>
      <c r="AG515" s="226"/>
      <c r="AH515" s="106"/>
      <c r="AI515" s="106"/>
      <c r="AJ515" s="106"/>
      <c r="AK515" s="106"/>
      <c r="AL515" s="226"/>
      <c r="AM515" s="106"/>
      <c r="AN515" s="106"/>
      <c r="AO515" s="106"/>
      <c r="AP515" s="106"/>
      <c r="AQ515" s="226"/>
      <c r="AR515" s="106"/>
      <c r="AS515" s="106"/>
      <c r="AT515" s="106"/>
      <c r="AU515" s="106"/>
      <c r="AV515" s="226"/>
      <c r="AW515" s="106"/>
      <c r="AX515" s="106"/>
      <c r="AY515" s="106"/>
      <c r="AZ515" s="106"/>
      <c r="BA515" s="226"/>
      <c r="BB515" s="106"/>
      <c r="BC515" s="106"/>
      <c r="BD515" s="106"/>
      <c r="BE515" s="106"/>
      <c r="BF515" s="226"/>
      <c r="BG515" s="106"/>
      <c r="BH515" s="106"/>
      <c r="BI515" s="106"/>
      <c r="BJ515" s="106"/>
      <c r="BK515" s="226"/>
      <c r="BL515" s="106"/>
      <c r="BM515" s="106"/>
      <c r="BN515" s="106"/>
      <c r="BO515" s="106"/>
      <c r="BP515" s="226"/>
      <c r="BQ515" s="106"/>
      <c r="BR515" s="106"/>
      <c r="BS515" s="106"/>
      <c r="BT515" s="106"/>
      <c r="BU515" s="226"/>
      <c r="BV515" s="106"/>
      <c r="BW515" s="106"/>
      <c r="BX515" s="106"/>
      <c r="BY515" s="106"/>
      <c r="BZ515" s="226"/>
      <c r="CA515" s="106"/>
      <c r="CB515" s="106"/>
      <c r="CC515" s="106"/>
      <c r="CD515" s="106"/>
      <c r="CE515" s="226"/>
      <c r="CF515" s="106"/>
      <c r="CG515" s="106"/>
      <c r="CH515" s="106"/>
      <c r="CI515" s="106"/>
      <c r="CJ515" s="226"/>
      <c r="CK515" s="106"/>
      <c r="CL515" s="106"/>
      <c r="CM515" s="106"/>
      <c r="CN515" s="106"/>
      <c r="CO515" s="226"/>
      <c r="CP515" s="106"/>
      <c r="CQ515" s="106"/>
      <c r="CR515" s="106"/>
      <c r="CS515" s="106"/>
      <c r="CT515" s="226"/>
      <c r="CU515" s="106"/>
      <c r="CV515" s="106"/>
      <c r="CW515" s="106"/>
      <c r="CX515" s="106"/>
      <c r="CY515" s="226"/>
      <c r="CZ515" s="106"/>
      <c r="DA515" s="106"/>
      <c r="DB515" s="106"/>
      <c r="DC515" s="106"/>
      <c r="DD515" s="226"/>
      <c r="DE515" s="106"/>
      <c r="DF515" s="106"/>
      <c r="DG515" s="106"/>
      <c r="DH515" s="106"/>
      <c r="DI515" s="226"/>
      <c r="DJ515" s="106"/>
      <c r="DK515" s="106"/>
      <c r="DL515" s="106"/>
      <c r="DM515" s="106"/>
      <c r="DN515" s="226"/>
      <c r="DO515" s="106"/>
      <c r="DP515" s="106"/>
      <c r="DQ515" s="106"/>
      <c r="DR515" s="106"/>
      <c r="DS515" s="226"/>
      <c r="DT515" s="106"/>
      <c r="DU515" s="106"/>
      <c r="DV515" s="106"/>
      <c r="DW515" s="106"/>
      <c r="DX515" s="226"/>
      <c r="DY515" s="106"/>
      <c r="DZ515" s="106"/>
      <c r="EA515" s="106"/>
      <c r="EB515" s="106"/>
      <c r="EC515" s="226"/>
      <c r="ED515" s="106"/>
      <c r="EE515" s="106"/>
      <c r="EF515" s="106"/>
      <c r="EG515" s="106"/>
      <c r="EH515" s="226"/>
      <c r="EI515" s="106"/>
      <c r="EJ515" s="106"/>
      <c r="EK515" s="106"/>
      <c r="EL515" s="106"/>
      <c r="EM515" s="226"/>
      <c r="EN515" s="106"/>
      <c r="EO515" s="106"/>
      <c r="EP515" s="106"/>
      <c r="EQ515" s="106"/>
      <c r="ER515" s="226"/>
      <c r="ES515" s="106"/>
      <c r="ET515" s="106"/>
      <c r="EU515" s="106"/>
      <c r="EV515" s="106"/>
      <c r="EW515" s="226"/>
      <c r="EX515" s="106"/>
      <c r="EY515" s="106"/>
      <c r="EZ515" s="106"/>
      <c r="FA515" s="106"/>
      <c r="FB515" s="226"/>
      <c r="FC515" s="106"/>
      <c r="FD515" s="106"/>
      <c r="FE515" s="106"/>
      <c r="FF515" s="106"/>
      <c r="FG515" s="226"/>
      <c r="FH515" s="106"/>
      <c r="FI515" s="106"/>
      <c r="FJ515" s="106"/>
      <c r="FK515" s="106"/>
      <c r="FL515" s="226"/>
      <c r="FM515" s="106"/>
      <c r="FN515" s="106"/>
      <c r="FO515" s="106"/>
      <c r="FP515" s="106"/>
      <c r="FQ515" s="226"/>
      <c r="FR515" s="106"/>
      <c r="FS515" s="106"/>
      <c r="FT515" s="106"/>
      <c r="FU515" s="106"/>
      <c r="FV515" s="226"/>
      <c r="FW515" s="106"/>
      <c r="FX515" s="106"/>
      <c r="FY515" s="106"/>
      <c r="FZ515" s="106"/>
      <c r="GA515" s="226"/>
      <c r="GB515" s="106"/>
      <c r="GC515" s="106"/>
      <c r="GD515" s="106"/>
      <c r="GE515" s="106"/>
    </row>
    <row r="516" spans="3:187" ht="12.75" customHeight="1">
      <c r="C516" s="226"/>
      <c r="D516" s="106"/>
      <c r="E516" s="106"/>
      <c r="F516" s="106"/>
      <c r="G516" s="106"/>
      <c r="H516" s="226"/>
      <c r="I516" s="106"/>
      <c r="J516" s="106"/>
      <c r="K516" s="106"/>
      <c r="L516" s="106"/>
      <c r="M516" s="226"/>
      <c r="N516" s="106"/>
      <c r="O516" s="106"/>
      <c r="P516" s="106"/>
      <c r="Q516" s="106"/>
      <c r="R516" s="226"/>
      <c r="S516" s="106"/>
      <c r="T516" s="106"/>
      <c r="U516" s="106"/>
      <c r="V516" s="106"/>
      <c r="W516" s="226"/>
      <c r="X516" s="106"/>
      <c r="Y516" s="106"/>
      <c r="Z516" s="106"/>
      <c r="AA516" s="106"/>
      <c r="AB516" s="226"/>
      <c r="AC516" s="106"/>
      <c r="AD516" s="106"/>
      <c r="AE516" s="106"/>
      <c r="AF516" s="106"/>
      <c r="AG516" s="226"/>
      <c r="AH516" s="106"/>
      <c r="AI516" s="106"/>
      <c r="AJ516" s="106"/>
      <c r="AK516" s="106"/>
      <c r="AL516" s="226"/>
      <c r="AM516" s="106"/>
      <c r="AN516" s="106"/>
      <c r="AO516" s="106"/>
      <c r="AP516" s="106"/>
      <c r="AQ516" s="226"/>
      <c r="AR516" s="106"/>
      <c r="AS516" s="106"/>
      <c r="AT516" s="106"/>
      <c r="AU516" s="106"/>
      <c r="AV516" s="226"/>
      <c r="AW516" s="106"/>
      <c r="AX516" s="106"/>
      <c r="AY516" s="106"/>
      <c r="AZ516" s="106"/>
      <c r="BA516" s="226"/>
      <c r="BB516" s="106"/>
      <c r="BC516" s="106"/>
      <c r="BD516" s="106"/>
      <c r="BE516" s="106"/>
      <c r="BF516" s="226"/>
      <c r="BG516" s="106"/>
      <c r="BH516" s="106"/>
      <c r="BI516" s="106"/>
      <c r="BJ516" s="106"/>
      <c r="BK516" s="226"/>
      <c r="BL516" s="106"/>
      <c r="BM516" s="106"/>
      <c r="BN516" s="106"/>
      <c r="BO516" s="106"/>
      <c r="BP516" s="226"/>
      <c r="BQ516" s="106"/>
      <c r="BR516" s="106"/>
      <c r="BS516" s="106"/>
      <c r="BT516" s="106"/>
      <c r="BU516" s="226"/>
      <c r="BV516" s="106"/>
      <c r="BW516" s="106"/>
      <c r="BX516" s="106"/>
      <c r="BY516" s="106"/>
      <c r="BZ516" s="226"/>
      <c r="CA516" s="106"/>
      <c r="CB516" s="106"/>
      <c r="CC516" s="106"/>
      <c r="CD516" s="106"/>
      <c r="CE516" s="226"/>
      <c r="CF516" s="106"/>
      <c r="CG516" s="106"/>
      <c r="CH516" s="106"/>
      <c r="CI516" s="106"/>
      <c r="CJ516" s="226"/>
      <c r="CK516" s="106"/>
      <c r="CL516" s="106"/>
      <c r="CM516" s="106"/>
      <c r="CN516" s="106"/>
      <c r="CO516" s="226"/>
      <c r="CP516" s="106"/>
      <c r="CQ516" s="106"/>
      <c r="CR516" s="106"/>
      <c r="CS516" s="106"/>
      <c r="CT516" s="226"/>
      <c r="CU516" s="106"/>
      <c r="CV516" s="106"/>
      <c r="CW516" s="106"/>
      <c r="CX516" s="106"/>
      <c r="CY516" s="226"/>
      <c r="CZ516" s="106"/>
      <c r="DA516" s="106"/>
      <c r="DB516" s="106"/>
      <c r="DC516" s="106"/>
      <c r="DD516" s="226"/>
      <c r="DE516" s="106"/>
      <c r="DF516" s="106"/>
      <c r="DG516" s="106"/>
      <c r="DH516" s="106"/>
      <c r="DI516" s="226"/>
      <c r="DJ516" s="106"/>
      <c r="DK516" s="106"/>
      <c r="DL516" s="106"/>
      <c r="DM516" s="106"/>
      <c r="DN516" s="226"/>
      <c r="DO516" s="106"/>
      <c r="DP516" s="106"/>
      <c r="DQ516" s="106"/>
      <c r="DR516" s="106"/>
      <c r="DS516" s="226"/>
      <c r="DT516" s="106"/>
      <c r="DU516" s="106"/>
      <c r="DV516" s="106"/>
      <c r="DW516" s="106"/>
      <c r="DX516" s="226"/>
      <c r="DY516" s="106"/>
      <c r="DZ516" s="106"/>
      <c r="EA516" s="106"/>
      <c r="EB516" s="106"/>
      <c r="EC516" s="226"/>
      <c r="ED516" s="106"/>
      <c r="EE516" s="106"/>
      <c r="EF516" s="106"/>
      <c r="EG516" s="106"/>
      <c r="EH516" s="226"/>
      <c r="EI516" s="106"/>
      <c r="EJ516" s="106"/>
      <c r="EK516" s="106"/>
      <c r="EL516" s="106"/>
      <c r="EM516" s="226"/>
      <c r="EN516" s="106"/>
      <c r="EO516" s="106"/>
      <c r="EP516" s="106"/>
      <c r="EQ516" s="106"/>
      <c r="ER516" s="226"/>
      <c r="ES516" s="106"/>
      <c r="ET516" s="106"/>
      <c r="EU516" s="106"/>
      <c r="EV516" s="106"/>
      <c r="EW516" s="226"/>
      <c r="EX516" s="106"/>
      <c r="EY516" s="106"/>
      <c r="EZ516" s="106"/>
      <c r="FA516" s="106"/>
      <c r="FB516" s="226"/>
      <c r="FC516" s="106"/>
      <c r="FD516" s="106"/>
      <c r="FE516" s="106"/>
      <c r="FF516" s="106"/>
      <c r="FG516" s="226"/>
      <c r="FH516" s="106"/>
      <c r="FI516" s="106"/>
      <c r="FJ516" s="106"/>
      <c r="FK516" s="106"/>
      <c r="FL516" s="226"/>
      <c r="FM516" s="106"/>
      <c r="FN516" s="106"/>
      <c r="FO516" s="106"/>
      <c r="FP516" s="106"/>
      <c r="FQ516" s="226"/>
      <c r="FR516" s="106"/>
      <c r="FS516" s="106"/>
      <c r="FT516" s="106"/>
      <c r="FU516" s="106"/>
      <c r="FV516" s="226"/>
      <c r="FW516" s="106"/>
      <c r="FX516" s="106"/>
      <c r="FY516" s="106"/>
      <c r="FZ516" s="106"/>
      <c r="GA516" s="226"/>
      <c r="GB516" s="106"/>
      <c r="GC516" s="106"/>
      <c r="GD516" s="106"/>
      <c r="GE516" s="106"/>
    </row>
    <row r="517" spans="3:187" ht="12.75" customHeight="1">
      <c r="C517" s="106"/>
      <c r="D517" s="106"/>
      <c r="E517" s="106"/>
      <c r="F517" s="106"/>
      <c r="G517" s="106"/>
      <c r="H517" s="106"/>
      <c r="I517" s="106"/>
      <c r="J517" s="106"/>
      <c r="K517" s="106"/>
      <c r="L517" s="106"/>
      <c r="M517" s="106"/>
      <c r="N517" s="106"/>
      <c r="O517" s="106"/>
      <c r="P517" s="106"/>
      <c r="Q517" s="106"/>
      <c r="R517" s="106"/>
      <c r="S517" s="106"/>
      <c r="T517" s="106"/>
      <c r="U517" s="106"/>
      <c r="V517" s="106"/>
      <c r="W517" s="106"/>
      <c r="X517" s="106"/>
      <c r="Y517" s="106"/>
      <c r="Z517" s="106"/>
      <c r="AA517" s="106"/>
      <c r="AB517" s="106"/>
      <c r="AC517" s="106"/>
      <c r="AD517" s="106"/>
      <c r="AE517" s="106"/>
      <c r="AF517" s="106"/>
      <c r="AG517" s="106"/>
      <c r="AH517" s="106"/>
      <c r="AI517" s="106"/>
      <c r="AJ517" s="106"/>
      <c r="AK517" s="106"/>
      <c r="AL517" s="106"/>
      <c r="AM517" s="106"/>
      <c r="AN517" s="106"/>
      <c r="AO517" s="106"/>
      <c r="AP517" s="106"/>
      <c r="AQ517" s="106"/>
      <c r="AR517" s="106"/>
      <c r="AS517" s="106"/>
      <c r="AT517" s="106"/>
      <c r="AU517" s="106"/>
      <c r="AV517" s="106"/>
      <c r="AW517" s="106"/>
      <c r="AX517" s="106"/>
      <c r="AY517" s="106"/>
      <c r="AZ517" s="106"/>
      <c r="BA517" s="106"/>
      <c r="BB517" s="106"/>
      <c r="BC517" s="106"/>
      <c r="BD517" s="106"/>
      <c r="BE517" s="106"/>
      <c r="BF517" s="106"/>
      <c r="BG517" s="106"/>
      <c r="BH517" s="106"/>
      <c r="BI517" s="106"/>
      <c r="BJ517" s="106"/>
      <c r="BK517" s="106"/>
      <c r="BL517" s="106"/>
      <c r="BM517" s="106"/>
      <c r="BN517" s="106"/>
      <c r="BO517" s="106"/>
      <c r="BP517" s="106"/>
      <c r="BQ517" s="106"/>
      <c r="BR517" s="106"/>
      <c r="BS517" s="106"/>
      <c r="BT517" s="106"/>
      <c r="BU517" s="106"/>
      <c r="BV517" s="106"/>
      <c r="BW517" s="106"/>
      <c r="BX517" s="106"/>
      <c r="BY517" s="106"/>
      <c r="BZ517" s="106"/>
      <c r="CA517" s="106"/>
      <c r="CB517" s="106"/>
      <c r="CC517" s="106"/>
      <c r="CD517" s="106"/>
      <c r="CE517" s="106"/>
      <c r="CF517" s="106"/>
      <c r="CG517" s="106"/>
      <c r="CH517" s="106"/>
      <c r="CI517" s="106"/>
      <c r="CJ517" s="106"/>
      <c r="CK517" s="106"/>
      <c r="CL517" s="106"/>
      <c r="CM517" s="106"/>
      <c r="CN517" s="106"/>
      <c r="CO517" s="106"/>
      <c r="CP517" s="106"/>
      <c r="CQ517" s="106"/>
      <c r="CR517" s="106"/>
      <c r="CS517" s="106"/>
      <c r="CT517" s="106"/>
      <c r="CU517" s="106"/>
      <c r="CV517" s="106"/>
      <c r="CW517" s="106"/>
      <c r="CX517" s="106"/>
      <c r="CY517" s="106"/>
      <c r="CZ517" s="106"/>
      <c r="DA517" s="106"/>
      <c r="DB517" s="106"/>
      <c r="DC517" s="106"/>
      <c r="DD517" s="106"/>
      <c r="DE517" s="106"/>
      <c r="DF517" s="106"/>
      <c r="DG517" s="106"/>
      <c r="DH517" s="106"/>
      <c r="DI517" s="106"/>
      <c r="DJ517" s="106"/>
      <c r="DK517" s="106"/>
      <c r="DL517" s="106"/>
      <c r="DM517" s="106"/>
      <c r="DN517" s="106"/>
      <c r="DO517" s="106"/>
      <c r="DP517" s="106"/>
      <c r="DQ517" s="106"/>
      <c r="DR517" s="106"/>
      <c r="DS517" s="106"/>
      <c r="DT517" s="106"/>
      <c r="DU517" s="106"/>
      <c r="DV517" s="106"/>
      <c r="DW517" s="106"/>
      <c r="DX517" s="106"/>
      <c r="DY517" s="106"/>
      <c r="DZ517" s="106"/>
      <c r="EA517" s="106"/>
      <c r="EB517" s="106"/>
      <c r="EC517" s="106"/>
      <c r="ED517" s="106"/>
      <c r="EE517" s="106"/>
      <c r="EF517" s="106"/>
      <c r="EG517" s="106"/>
      <c r="EH517" s="106"/>
      <c r="EI517" s="106"/>
      <c r="EJ517" s="106"/>
      <c r="EK517" s="106"/>
      <c r="EL517" s="106"/>
      <c r="EM517" s="106"/>
      <c r="EN517" s="106"/>
      <c r="EO517" s="106"/>
      <c r="EP517" s="106"/>
      <c r="EQ517" s="106"/>
      <c r="ER517" s="106"/>
      <c r="ES517" s="106"/>
      <c r="ET517" s="106"/>
      <c r="EU517" s="106"/>
      <c r="EV517" s="106"/>
      <c r="EW517" s="106"/>
      <c r="EX517" s="106"/>
      <c r="EY517" s="106"/>
      <c r="EZ517" s="106"/>
      <c r="FA517" s="106"/>
      <c r="FB517" s="106"/>
      <c r="FC517" s="106"/>
      <c r="FD517" s="106"/>
      <c r="FE517" s="106"/>
      <c r="FF517" s="106"/>
      <c r="FG517" s="106"/>
      <c r="FH517" s="106"/>
      <c r="FI517" s="106"/>
      <c r="FJ517" s="106"/>
      <c r="FK517" s="106"/>
      <c r="FL517" s="106"/>
      <c r="FM517" s="106"/>
      <c r="FN517" s="106"/>
      <c r="FO517" s="106"/>
      <c r="FP517" s="106"/>
      <c r="FQ517" s="106"/>
      <c r="FR517" s="106"/>
      <c r="FS517" s="106"/>
      <c r="FT517" s="106"/>
      <c r="FU517" s="106"/>
      <c r="FV517" s="106"/>
      <c r="FW517" s="106"/>
      <c r="FX517" s="106"/>
      <c r="FY517" s="106"/>
      <c r="FZ517" s="106"/>
      <c r="GA517" s="106"/>
      <c r="GB517" s="106"/>
      <c r="GC517" s="106"/>
      <c r="GD517" s="106"/>
      <c r="GE517" s="106"/>
    </row>
    <row r="518" spans="3:187" ht="12.75" customHeight="1">
      <c r="C518" s="222"/>
      <c r="D518" s="222"/>
      <c r="E518" s="222"/>
      <c r="F518" s="222"/>
      <c r="G518" s="222"/>
      <c r="H518" s="222"/>
      <c r="I518" s="222"/>
      <c r="J518" s="222"/>
      <c r="K518" s="222"/>
      <c r="L518" s="222"/>
      <c r="M518" s="222"/>
      <c r="N518" s="222"/>
      <c r="O518" s="222"/>
      <c r="P518" s="222"/>
      <c r="Q518" s="222"/>
      <c r="R518" s="222"/>
      <c r="S518" s="222"/>
      <c r="T518" s="222"/>
      <c r="U518" s="222"/>
      <c r="V518" s="222"/>
      <c r="W518" s="222"/>
      <c r="X518" s="222"/>
      <c r="Y518" s="222"/>
      <c r="Z518" s="222"/>
      <c r="AA518" s="222"/>
      <c r="AB518" s="222"/>
      <c r="AC518" s="222"/>
      <c r="AD518" s="222"/>
      <c r="AE518" s="222"/>
      <c r="AF518" s="222"/>
      <c r="AG518" s="222"/>
      <c r="AH518" s="222"/>
      <c r="AI518" s="222"/>
      <c r="AJ518" s="222"/>
      <c r="AK518" s="222"/>
      <c r="AL518" s="222"/>
      <c r="AM518" s="222"/>
      <c r="AN518" s="222"/>
      <c r="AO518" s="222"/>
      <c r="AP518" s="222"/>
      <c r="AQ518" s="222"/>
      <c r="AR518" s="222"/>
      <c r="AS518" s="222"/>
      <c r="AT518" s="222"/>
      <c r="AU518" s="222"/>
      <c r="AV518" s="222"/>
      <c r="AW518" s="222"/>
      <c r="AX518" s="222"/>
      <c r="AY518" s="222"/>
      <c r="AZ518" s="222"/>
      <c r="BA518" s="222"/>
      <c r="BB518" s="222"/>
      <c r="BC518" s="222"/>
      <c r="BD518" s="222"/>
      <c r="BE518" s="222"/>
      <c r="BF518" s="222"/>
      <c r="BG518" s="222"/>
      <c r="BH518" s="222"/>
      <c r="BI518" s="222"/>
      <c r="BJ518" s="222"/>
      <c r="BK518" s="222"/>
      <c r="BL518" s="222"/>
      <c r="BM518" s="222"/>
      <c r="BN518" s="222"/>
      <c r="BO518" s="222"/>
      <c r="BP518" s="222"/>
      <c r="BQ518" s="222"/>
      <c r="BR518" s="222"/>
      <c r="BS518" s="222"/>
      <c r="BT518" s="222"/>
      <c r="BU518" s="222"/>
      <c r="BV518" s="222"/>
      <c r="BW518" s="222"/>
      <c r="BX518" s="222"/>
      <c r="BY518" s="222"/>
      <c r="BZ518" s="222"/>
      <c r="CA518" s="222"/>
      <c r="CB518" s="222"/>
      <c r="CC518" s="222"/>
      <c r="CD518" s="222"/>
      <c r="CE518" s="222"/>
      <c r="CF518" s="222"/>
      <c r="CG518" s="222"/>
      <c r="CH518" s="222"/>
      <c r="CI518" s="222"/>
      <c r="CJ518" s="222"/>
      <c r="CK518" s="222"/>
      <c r="CL518" s="222"/>
      <c r="CM518" s="222"/>
      <c r="CN518" s="222"/>
      <c r="CO518" s="222"/>
      <c r="CP518" s="222"/>
      <c r="CQ518" s="222"/>
      <c r="CR518" s="222"/>
      <c r="CS518" s="222"/>
      <c r="CT518" s="222"/>
      <c r="CU518" s="222"/>
      <c r="CV518" s="222"/>
      <c r="CW518" s="222"/>
      <c r="CX518" s="222"/>
      <c r="CY518" s="222"/>
      <c r="CZ518" s="222"/>
      <c r="DA518" s="222"/>
      <c r="DB518" s="222"/>
      <c r="DC518" s="222"/>
      <c r="DD518" s="222"/>
      <c r="DE518" s="222"/>
      <c r="DF518" s="222"/>
      <c r="DG518" s="222"/>
      <c r="DH518" s="222"/>
      <c r="DI518" s="222"/>
      <c r="DJ518" s="222"/>
      <c r="DK518" s="222"/>
      <c r="DL518" s="222"/>
      <c r="DM518" s="222"/>
      <c r="DN518" s="222"/>
      <c r="DO518" s="222"/>
      <c r="DP518" s="222"/>
      <c r="DQ518" s="222"/>
      <c r="DR518" s="222"/>
      <c r="DS518" s="222"/>
      <c r="DT518" s="222"/>
      <c r="DU518" s="222"/>
      <c r="DV518" s="222"/>
      <c r="DW518" s="222"/>
      <c r="DX518" s="222"/>
      <c r="DY518" s="222"/>
      <c r="DZ518" s="222"/>
      <c r="EA518" s="222"/>
      <c r="EB518" s="222"/>
      <c r="EC518" s="222"/>
      <c r="ED518" s="222"/>
      <c r="EE518" s="222"/>
      <c r="EF518" s="222"/>
      <c r="EG518" s="222"/>
      <c r="EH518" s="222"/>
      <c r="EI518" s="222"/>
      <c r="EJ518" s="222"/>
      <c r="EK518" s="222"/>
      <c r="EL518" s="222"/>
      <c r="EM518" s="222"/>
      <c r="EN518" s="222"/>
      <c r="EO518" s="222"/>
      <c r="EP518" s="222"/>
      <c r="EQ518" s="222"/>
      <c r="ER518" s="222"/>
      <c r="ES518" s="222"/>
      <c r="ET518" s="222"/>
      <c r="EU518" s="222"/>
      <c r="EV518" s="222"/>
      <c r="EW518" s="222"/>
      <c r="EX518" s="222"/>
      <c r="EY518" s="222"/>
      <c r="EZ518" s="222"/>
      <c r="FA518" s="222"/>
      <c r="FB518" s="222"/>
      <c r="FC518" s="222"/>
      <c r="FD518" s="222"/>
      <c r="FE518" s="222"/>
      <c r="FF518" s="222"/>
      <c r="FG518" s="222"/>
      <c r="FH518" s="222"/>
      <c r="FI518" s="222"/>
      <c r="FJ518" s="222"/>
      <c r="FK518" s="222"/>
      <c r="FL518" s="222"/>
      <c r="FM518" s="222"/>
      <c r="FN518" s="222"/>
      <c r="FO518" s="222"/>
      <c r="FP518" s="222"/>
      <c r="FQ518" s="222"/>
      <c r="FR518" s="222"/>
      <c r="FS518" s="222"/>
      <c r="FT518" s="222"/>
      <c r="FU518" s="222"/>
      <c r="FV518" s="222"/>
      <c r="FW518" s="222"/>
      <c r="FX518" s="222"/>
      <c r="FY518" s="222"/>
      <c r="FZ518" s="222"/>
      <c r="GA518" s="222"/>
      <c r="GB518" s="222"/>
      <c r="GC518" s="222"/>
      <c r="GD518" s="222"/>
      <c r="GE518" s="222"/>
    </row>
    <row r="519" spans="3:187" ht="12.75" customHeight="1">
      <c r="C519" s="226"/>
      <c r="D519" s="106"/>
      <c r="E519" s="106"/>
      <c r="F519" s="106"/>
      <c r="G519" s="106"/>
      <c r="H519" s="226"/>
      <c r="I519" s="106"/>
      <c r="J519" s="106"/>
      <c r="K519" s="106"/>
      <c r="L519" s="106"/>
      <c r="M519" s="226"/>
      <c r="N519" s="106"/>
      <c r="O519" s="106"/>
      <c r="P519" s="106"/>
      <c r="Q519" s="106"/>
      <c r="R519" s="226"/>
      <c r="S519" s="106"/>
      <c r="T519" s="106"/>
      <c r="U519" s="106"/>
      <c r="V519" s="106"/>
      <c r="W519" s="226"/>
      <c r="X519" s="106"/>
      <c r="Y519" s="106"/>
      <c r="Z519" s="106"/>
      <c r="AA519" s="106"/>
      <c r="AB519" s="226"/>
      <c r="AC519" s="106"/>
      <c r="AD519" s="106"/>
      <c r="AE519" s="106"/>
      <c r="AF519" s="106"/>
      <c r="AG519" s="226"/>
      <c r="AH519" s="106"/>
      <c r="AI519" s="106"/>
      <c r="AJ519" s="106"/>
      <c r="AK519" s="106"/>
      <c r="AL519" s="226"/>
      <c r="AM519" s="106"/>
      <c r="AN519" s="106"/>
      <c r="AO519" s="106"/>
      <c r="AP519" s="106"/>
      <c r="AQ519" s="226"/>
      <c r="AR519" s="106"/>
      <c r="AS519" s="106"/>
      <c r="AT519" s="106"/>
      <c r="AU519" s="106"/>
      <c r="AV519" s="226"/>
      <c r="AW519" s="106"/>
      <c r="AX519" s="106"/>
      <c r="AY519" s="106"/>
      <c r="AZ519" s="106"/>
      <c r="BA519" s="226"/>
      <c r="BB519" s="106"/>
      <c r="BC519" s="106"/>
      <c r="BD519" s="106"/>
      <c r="BE519" s="106"/>
      <c r="BF519" s="226"/>
      <c r="BG519" s="106"/>
      <c r="BH519" s="106"/>
      <c r="BI519" s="106"/>
      <c r="BJ519" s="106"/>
      <c r="BK519" s="226"/>
      <c r="BL519" s="106"/>
      <c r="BM519" s="106"/>
      <c r="BN519" s="106"/>
      <c r="BO519" s="106"/>
      <c r="BP519" s="226"/>
      <c r="BQ519" s="106"/>
      <c r="BR519" s="106"/>
      <c r="BS519" s="106"/>
      <c r="BT519" s="106"/>
      <c r="BU519" s="226"/>
      <c r="BV519" s="106"/>
      <c r="BW519" s="106"/>
      <c r="BX519" s="106"/>
      <c r="BY519" s="106"/>
      <c r="BZ519" s="226"/>
      <c r="CA519" s="106"/>
      <c r="CB519" s="106"/>
      <c r="CC519" s="106"/>
      <c r="CD519" s="106"/>
      <c r="CE519" s="226"/>
      <c r="CF519" s="106"/>
      <c r="CG519" s="106"/>
      <c r="CH519" s="106"/>
      <c r="CI519" s="106"/>
      <c r="CJ519" s="226"/>
      <c r="CK519" s="106"/>
      <c r="CL519" s="106"/>
      <c r="CM519" s="106"/>
      <c r="CN519" s="106"/>
      <c r="CO519" s="226"/>
      <c r="CP519" s="106"/>
      <c r="CQ519" s="106"/>
      <c r="CR519" s="106"/>
      <c r="CS519" s="106"/>
      <c r="CT519" s="226"/>
      <c r="CU519" s="106"/>
      <c r="CV519" s="106"/>
      <c r="CW519" s="106"/>
      <c r="CX519" s="106"/>
      <c r="CY519" s="226"/>
      <c r="CZ519" s="106"/>
      <c r="DA519" s="106"/>
      <c r="DB519" s="106"/>
      <c r="DC519" s="106"/>
      <c r="DD519" s="226"/>
      <c r="DE519" s="106"/>
      <c r="DF519" s="106"/>
      <c r="DG519" s="106"/>
      <c r="DH519" s="106"/>
      <c r="DI519" s="226"/>
      <c r="DJ519" s="106"/>
      <c r="DK519" s="106"/>
      <c r="DL519" s="106"/>
      <c r="DM519" s="106"/>
      <c r="DN519" s="226"/>
      <c r="DO519" s="106"/>
      <c r="DP519" s="106"/>
      <c r="DQ519" s="106"/>
      <c r="DR519" s="106"/>
      <c r="DS519" s="226"/>
      <c r="DT519" s="106"/>
      <c r="DU519" s="106"/>
      <c r="DV519" s="106"/>
      <c r="DW519" s="106"/>
      <c r="DX519" s="226"/>
      <c r="DY519" s="106"/>
      <c r="DZ519" s="106"/>
      <c r="EA519" s="106"/>
      <c r="EB519" s="106"/>
      <c r="EC519" s="226"/>
      <c r="ED519" s="106"/>
      <c r="EE519" s="106"/>
      <c r="EF519" s="106"/>
      <c r="EG519" s="106"/>
      <c r="EH519" s="226"/>
      <c r="EI519" s="106"/>
      <c r="EJ519" s="106"/>
      <c r="EK519" s="106"/>
      <c r="EL519" s="106"/>
      <c r="EM519" s="226"/>
      <c r="EN519" s="106"/>
      <c r="EO519" s="106"/>
      <c r="EP519" s="106"/>
      <c r="EQ519" s="106"/>
      <c r="ER519" s="226"/>
      <c r="ES519" s="106"/>
      <c r="ET519" s="106"/>
      <c r="EU519" s="106"/>
      <c r="EV519" s="106"/>
      <c r="EW519" s="226"/>
      <c r="EX519" s="106"/>
      <c r="EY519" s="106"/>
      <c r="EZ519" s="106"/>
      <c r="FA519" s="106"/>
      <c r="FB519" s="226"/>
      <c r="FC519" s="106"/>
      <c r="FD519" s="106"/>
      <c r="FE519" s="106"/>
      <c r="FF519" s="106"/>
      <c r="FG519" s="226"/>
      <c r="FH519" s="106"/>
      <c r="FI519" s="106"/>
      <c r="FJ519" s="106"/>
      <c r="FK519" s="106"/>
      <c r="FL519" s="226"/>
      <c r="FM519" s="106"/>
      <c r="FN519" s="106"/>
      <c r="FO519" s="106"/>
      <c r="FP519" s="106"/>
      <c r="FQ519" s="226"/>
      <c r="FR519" s="106"/>
      <c r="FS519" s="106"/>
      <c r="FT519" s="106"/>
      <c r="FU519" s="106"/>
      <c r="FV519" s="226"/>
      <c r="FW519" s="106"/>
      <c r="FX519" s="106"/>
      <c r="FY519" s="106"/>
      <c r="FZ519" s="106"/>
      <c r="GA519" s="226"/>
      <c r="GB519" s="106"/>
      <c r="GC519" s="106"/>
      <c r="GD519" s="106"/>
      <c r="GE519" s="106"/>
    </row>
    <row r="520" spans="3:187" ht="12.75" customHeight="1">
      <c r="C520" s="226"/>
      <c r="D520" s="106"/>
      <c r="E520" s="106"/>
      <c r="F520" s="106"/>
      <c r="G520" s="106"/>
      <c r="H520" s="226"/>
      <c r="I520" s="106"/>
      <c r="J520" s="106"/>
      <c r="K520" s="106"/>
      <c r="L520" s="106"/>
      <c r="M520" s="226"/>
      <c r="N520" s="106"/>
      <c r="O520" s="106"/>
      <c r="P520" s="106"/>
      <c r="Q520" s="106"/>
      <c r="R520" s="226"/>
      <c r="S520" s="106"/>
      <c r="T520" s="106"/>
      <c r="U520" s="106"/>
      <c r="V520" s="106"/>
      <c r="W520" s="226"/>
      <c r="X520" s="106"/>
      <c r="Y520" s="106"/>
      <c r="Z520" s="106"/>
      <c r="AA520" s="106"/>
      <c r="AB520" s="226"/>
      <c r="AC520" s="106"/>
      <c r="AD520" s="106"/>
      <c r="AE520" s="106"/>
      <c r="AF520" s="106"/>
      <c r="AG520" s="226"/>
      <c r="AH520" s="106"/>
      <c r="AI520" s="106"/>
      <c r="AJ520" s="106"/>
      <c r="AK520" s="106"/>
      <c r="AL520" s="226"/>
      <c r="AM520" s="106"/>
      <c r="AN520" s="106"/>
      <c r="AO520" s="106"/>
      <c r="AP520" s="106"/>
      <c r="AQ520" s="226"/>
      <c r="AR520" s="106"/>
      <c r="AS520" s="106"/>
      <c r="AT520" s="106"/>
      <c r="AU520" s="106"/>
      <c r="AV520" s="226"/>
      <c r="AW520" s="106"/>
      <c r="AX520" s="106"/>
      <c r="AY520" s="106"/>
      <c r="AZ520" s="106"/>
      <c r="BA520" s="226"/>
      <c r="BB520" s="106"/>
      <c r="BC520" s="106"/>
      <c r="BD520" s="106"/>
      <c r="BE520" s="106"/>
      <c r="BF520" s="226"/>
      <c r="BG520" s="106"/>
      <c r="BH520" s="106"/>
      <c r="BI520" s="106"/>
      <c r="BJ520" s="106"/>
      <c r="BK520" s="226"/>
      <c r="BL520" s="106"/>
      <c r="BM520" s="106"/>
      <c r="BN520" s="106"/>
      <c r="BO520" s="106"/>
      <c r="BP520" s="226"/>
      <c r="BQ520" s="106"/>
      <c r="BR520" s="106"/>
      <c r="BS520" s="106"/>
      <c r="BT520" s="106"/>
      <c r="BU520" s="226"/>
      <c r="BV520" s="106"/>
      <c r="BW520" s="106"/>
      <c r="BX520" s="106"/>
      <c r="BY520" s="106"/>
      <c r="BZ520" s="226"/>
      <c r="CA520" s="106"/>
      <c r="CB520" s="106"/>
      <c r="CC520" s="106"/>
      <c r="CD520" s="106"/>
      <c r="CE520" s="226"/>
      <c r="CF520" s="106"/>
      <c r="CG520" s="106"/>
      <c r="CH520" s="106"/>
      <c r="CI520" s="106"/>
      <c r="CJ520" s="226"/>
      <c r="CK520" s="106"/>
      <c r="CL520" s="106"/>
      <c r="CM520" s="106"/>
      <c r="CN520" s="106"/>
      <c r="CO520" s="226"/>
      <c r="CP520" s="106"/>
      <c r="CQ520" s="106"/>
      <c r="CR520" s="106"/>
      <c r="CS520" s="106"/>
      <c r="CT520" s="226"/>
      <c r="CU520" s="106"/>
      <c r="CV520" s="106"/>
      <c r="CW520" s="106"/>
      <c r="CX520" s="106"/>
      <c r="CY520" s="226"/>
      <c r="CZ520" s="106"/>
      <c r="DA520" s="106"/>
      <c r="DB520" s="106"/>
      <c r="DC520" s="106"/>
      <c r="DD520" s="226"/>
      <c r="DE520" s="106"/>
      <c r="DF520" s="106"/>
      <c r="DG520" s="106"/>
      <c r="DH520" s="106"/>
      <c r="DI520" s="226"/>
      <c r="DJ520" s="106"/>
      <c r="DK520" s="106"/>
      <c r="DL520" s="106"/>
      <c r="DM520" s="106"/>
      <c r="DN520" s="226"/>
      <c r="DO520" s="106"/>
      <c r="DP520" s="106"/>
      <c r="DQ520" s="106"/>
      <c r="DR520" s="106"/>
      <c r="DS520" s="226"/>
      <c r="DT520" s="106"/>
      <c r="DU520" s="106"/>
      <c r="DV520" s="106"/>
      <c r="DW520" s="106"/>
      <c r="DX520" s="226"/>
      <c r="DY520" s="106"/>
      <c r="DZ520" s="106"/>
      <c r="EA520" s="106"/>
      <c r="EB520" s="106"/>
      <c r="EC520" s="226"/>
      <c r="ED520" s="106"/>
      <c r="EE520" s="106"/>
      <c r="EF520" s="106"/>
      <c r="EG520" s="106"/>
      <c r="EH520" s="226"/>
      <c r="EI520" s="106"/>
      <c r="EJ520" s="106"/>
      <c r="EK520" s="106"/>
      <c r="EL520" s="106"/>
      <c r="EM520" s="226"/>
      <c r="EN520" s="106"/>
      <c r="EO520" s="106"/>
      <c r="EP520" s="106"/>
      <c r="EQ520" s="106"/>
      <c r="ER520" s="226"/>
      <c r="ES520" s="106"/>
      <c r="ET520" s="106"/>
      <c r="EU520" s="106"/>
      <c r="EV520" s="106"/>
      <c r="EW520" s="226"/>
      <c r="EX520" s="106"/>
      <c r="EY520" s="106"/>
      <c r="EZ520" s="106"/>
      <c r="FA520" s="106"/>
      <c r="FB520" s="226"/>
      <c r="FC520" s="106"/>
      <c r="FD520" s="106"/>
      <c r="FE520" s="106"/>
      <c r="FF520" s="106"/>
      <c r="FG520" s="226"/>
      <c r="FH520" s="106"/>
      <c r="FI520" s="106"/>
      <c r="FJ520" s="106"/>
      <c r="FK520" s="106"/>
      <c r="FL520" s="226"/>
      <c r="FM520" s="106"/>
      <c r="FN520" s="106"/>
      <c r="FO520" s="106"/>
      <c r="FP520" s="106"/>
      <c r="FQ520" s="226"/>
      <c r="FR520" s="106"/>
      <c r="FS520" s="106"/>
      <c r="FT520" s="106"/>
      <c r="FU520" s="106"/>
      <c r="FV520" s="226"/>
      <c r="FW520" s="106"/>
      <c r="FX520" s="106"/>
      <c r="FY520" s="106"/>
      <c r="FZ520" s="106"/>
      <c r="GA520" s="226"/>
      <c r="GB520" s="106"/>
      <c r="GC520" s="106"/>
      <c r="GD520" s="106"/>
      <c r="GE520" s="106"/>
    </row>
    <row r="521" spans="3:187" ht="12.75" customHeight="1">
      <c r="C521" s="225"/>
      <c r="D521" s="225"/>
      <c r="E521" s="225"/>
      <c r="F521" s="225"/>
      <c r="G521" s="225"/>
      <c r="H521" s="225"/>
      <c r="I521" s="225"/>
      <c r="J521" s="225"/>
      <c r="K521" s="225"/>
      <c r="L521" s="225"/>
      <c r="M521" s="225"/>
      <c r="N521" s="225"/>
      <c r="O521" s="225"/>
      <c r="P521" s="225"/>
      <c r="Q521" s="225"/>
      <c r="R521" s="225"/>
      <c r="S521" s="225"/>
      <c r="T521" s="225"/>
      <c r="U521" s="225"/>
      <c r="V521" s="225"/>
      <c r="W521" s="225"/>
      <c r="X521" s="225"/>
      <c r="Y521" s="225"/>
      <c r="Z521" s="225"/>
      <c r="AA521" s="225"/>
      <c r="AB521" s="225"/>
      <c r="AC521" s="225"/>
      <c r="AD521" s="225"/>
      <c r="AE521" s="225"/>
      <c r="AF521" s="225"/>
      <c r="AG521" s="225"/>
      <c r="AH521" s="225"/>
      <c r="AI521" s="225"/>
      <c r="AJ521" s="225"/>
      <c r="AK521" s="225"/>
      <c r="AL521" s="225"/>
      <c r="AM521" s="225"/>
      <c r="AN521" s="225"/>
      <c r="AO521" s="225"/>
      <c r="AP521" s="225"/>
      <c r="AQ521" s="225"/>
      <c r="AR521" s="225"/>
      <c r="AS521" s="225"/>
      <c r="AT521" s="225"/>
      <c r="AU521" s="225"/>
      <c r="AV521" s="225"/>
      <c r="AW521" s="225"/>
      <c r="AX521" s="225"/>
      <c r="AY521" s="225"/>
      <c r="AZ521" s="225"/>
      <c r="BA521" s="225"/>
      <c r="BB521" s="225"/>
      <c r="BC521" s="225"/>
      <c r="BD521" s="225"/>
      <c r="BE521" s="225"/>
      <c r="BF521" s="225"/>
      <c r="BG521" s="225"/>
      <c r="BH521" s="225"/>
      <c r="BI521" s="225"/>
      <c r="BJ521" s="225"/>
      <c r="BK521" s="225"/>
      <c r="BL521" s="225"/>
      <c r="BM521" s="225"/>
      <c r="BN521" s="225"/>
      <c r="BO521" s="225"/>
      <c r="BP521" s="225"/>
      <c r="BQ521" s="225"/>
      <c r="BR521" s="225"/>
      <c r="BS521" s="225"/>
      <c r="BT521" s="225"/>
      <c r="BU521" s="225"/>
      <c r="BV521" s="225"/>
      <c r="BW521" s="225"/>
      <c r="BX521" s="225"/>
      <c r="BY521" s="225"/>
      <c r="BZ521" s="225"/>
      <c r="CA521" s="225"/>
      <c r="CB521" s="225"/>
      <c r="CC521" s="225"/>
      <c r="CD521" s="225"/>
      <c r="CE521" s="225"/>
      <c r="CF521" s="225"/>
      <c r="CG521" s="225"/>
      <c r="CH521" s="225"/>
      <c r="CI521" s="225"/>
      <c r="CJ521" s="225"/>
      <c r="CK521" s="225"/>
      <c r="CL521" s="225"/>
      <c r="CM521" s="225"/>
      <c r="CN521" s="225"/>
      <c r="CO521" s="225"/>
      <c r="CP521" s="225"/>
      <c r="CQ521" s="225"/>
      <c r="CR521" s="225"/>
      <c r="CS521" s="225"/>
      <c r="CT521" s="225"/>
      <c r="CU521" s="225"/>
      <c r="CV521" s="225"/>
      <c r="CW521" s="225"/>
      <c r="CX521" s="225"/>
      <c r="CY521" s="225"/>
      <c r="CZ521" s="225"/>
      <c r="DA521" s="225"/>
      <c r="DB521" s="225"/>
      <c r="DC521" s="225"/>
      <c r="DD521" s="225"/>
      <c r="DE521" s="225"/>
      <c r="DF521" s="225"/>
      <c r="DG521" s="225"/>
      <c r="DH521" s="225"/>
      <c r="DI521" s="225"/>
      <c r="DJ521" s="225"/>
      <c r="DK521" s="225"/>
      <c r="DL521" s="225"/>
      <c r="DM521" s="225"/>
      <c r="DN521" s="225"/>
      <c r="DO521" s="225"/>
      <c r="DP521" s="225"/>
      <c r="DQ521" s="225"/>
      <c r="DR521" s="225"/>
      <c r="DS521" s="225"/>
      <c r="DT521" s="225"/>
      <c r="DU521" s="225"/>
      <c r="DV521" s="225"/>
      <c r="DW521" s="225"/>
      <c r="DX521" s="225"/>
      <c r="DY521" s="225"/>
      <c r="DZ521" s="225"/>
      <c r="EA521" s="225"/>
      <c r="EB521" s="225"/>
      <c r="EC521" s="225"/>
      <c r="ED521" s="225"/>
      <c r="EE521" s="225"/>
      <c r="EF521" s="225"/>
      <c r="EG521" s="225"/>
      <c r="EH521" s="225"/>
      <c r="EI521" s="225"/>
      <c r="EJ521" s="225"/>
      <c r="EK521" s="225"/>
      <c r="EL521" s="225"/>
      <c r="EM521" s="225"/>
      <c r="EN521" s="225"/>
      <c r="EO521" s="225"/>
      <c r="EP521" s="225"/>
      <c r="EQ521" s="225"/>
      <c r="ER521" s="225"/>
      <c r="ES521" s="225"/>
      <c r="ET521" s="225"/>
      <c r="EU521" s="225"/>
      <c r="EV521" s="225"/>
      <c r="EW521" s="225"/>
      <c r="EX521" s="225"/>
      <c r="EY521" s="225"/>
      <c r="EZ521" s="225"/>
      <c r="FA521" s="225"/>
      <c r="FB521" s="225"/>
      <c r="FC521" s="225"/>
      <c r="FD521" s="225"/>
      <c r="FE521" s="225"/>
      <c r="FF521" s="225"/>
      <c r="FG521" s="225"/>
      <c r="FH521" s="225"/>
      <c r="FI521" s="225"/>
      <c r="FJ521" s="225"/>
      <c r="FK521" s="225"/>
      <c r="FL521" s="225"/>
      <c r="FM521" s="225"/>
      <c r="FN521" s="225"/>
      <c r="FO521" s="225"/>
      <c r="FP521" s="225"/>
      <c r="FQ521" s="225"/>
      <c r="FR521" s="225"/>
      <c r="FS521" s="225"/>
      <c r="FT521" s="225"/>
      <c r="FU521" s="225"/>
      <c r="FV521" s="225"/>
      <c r="FW521" s="225"/>
      <c r="FX521" s="225"/>
      <c r="FY521" s="225"/>
      <c r="FZ521" s="225"/>
      <c r="GA521" s="225"/>
      <c r="GB521" s="225"/>
      <c r="GC521" s="225"/>
      <c r="GD521" s="225"/>
      <c r="GE521" s="225"/>
    </row>
    <row r="522" spans="3:187" ht="12.75" customHeight="1">
      <c r="C522" s="220"/>
      <c r="D522" s="220"/>
      <c r="E522" s="220"/>
      <c r="F522" s="220"/>
      <c r="G522" s="220"/>
      <c r="H522" s="220"/>
      <c r="I522" s="220"/>
      <c r="J522" s="220"/>
      <c r="K522" s="220"/>
      <c r="L522" s="220"/>
      <c r="M522" s="220"/>
      <c r="N522" s="220"/>
      <c r="O522" s="220"/>
      <c r="P522" s="220"/>
      <c r="Q522" s="220"/>
      <c r="R522" s="220"/>
      <c r="S522" s="220"/>
      <c r="T522" s="220"/>
      <c r="U522" s="220"/>
      <c r="V522" s="220"/>
      <c r="W522" s="220"/>
      <c r="X522" s="220"/>
      <c r="Y522" s="220"/>
      <c r="Z522" s="220"/>
      <c r="AA522" s="220"/>
      <c r="AB522" s="220"/>
      <c r="AC522" s="220"/>
      <c r="AD522" s="220"/>
      <c r="AE522" s="220"/>
      <c r="AF522" s="220"/>
      <c r="AG522" s="220"/>
      <c r="AH522" s="220"/>
      <c r="AI522" s="220"/>
      <c r="AJ522" s="220"/>
      <c r="AK522" s="220"/>
      <c r="AL522" s="220"/>
      <c r="AM522" s="220"/>
      <c r="AN522" s="220"/>
      <c r="AO522" s="220"/>
      <c r="AP522" s="220"/>
      <c r="AQ522" s="220"/>
      <c r="AR522" s="220"/>
      <c r="AS522" s="220"/>
      <c r="AT522" s="220"/>
      <c r="AU522" s="220"/>
      <c r="AV522" s="220"/>
      <c r="AW522" s="220"/>
      <c r="AX522" s="220"/>
      <c r="AY522" s="220"/>
      <c r="AZ522" s="220"/>
      <c r="BA522" s="220"/>
      <c r="BB522" s="220"/>
      <c r="BC522" s="220"/>
      <c r="BD522" s="220"/>
      <c r="BE522" s="220"/>
      <c r="BF522" s="220"/>
      <c r="BG522" s="220"/>
      <c r="BH522" s="220"/>
      <c r="BI522" s="220"/>
      <c r="BJ522" s="220"/>
      <c r="BK522" s="220"/>
      <c r="BL522" s="220"/>
      <c r="BM522" s="220"/>
      <c r="BN522" s="220"/>
      <c r="BO522" s="220"/>
      <c r="BP522" s="220"/>
      <c r="BQ522" s="220"/>
      <c r="BR522" s="220"/>
      <c r="BS522" s="220"/>
      <c r="BT522" s="220"/>
      <c r="BU522" s="220"/>
      <c r="BV522" s="220"/>
      <c r="BW522" s="220"/>
      <c r="BX522" s="220"/>
      <c r="BY522" s="220"/>
      <c r="BZ522" s="220"/>
      <c r="CA522" s="220"/>
      <c r="CB522" s="220"/>
      <c r="CC522" s="220"/>
      <c r="CD522" s="220"/>
      <c r="CE522" s="220"/>
      <c r="CF522" s="220"/>
      <c r="CG522" s="220"/>
      <c r="CH522" s="220"/>
      <c r="CI522" s="220"/>
      <c r="CJ522" s="220"/>
      <c r="CK522" s="220"/>
      <c r="CL522" s="220"/>
      <c r="CM522" s="220"/>
      <c r="CN522" s="220"/>
      <c r="CO522" s="220"/>
      <c r="CP522" s="220"/>
      <c r="CQ522" s="220"/>
      <c r="CR522" s="220"/>
      <c r="CS522" s="220"/>
      <c r="CT522" s="220"/>
      <c r="CU522" s="220"/>
      <c r="CV522" s="220"/>
      <c r="CW522" s="220"/>
      <c r="CX522" s="220"/>
      <c r="CY522" s="220"/>
      <c r="CZ522" s="220"/>
      <c r="DA522" s="220"/>
      <c r="DB522" s="220"/>
      <c r="DC522" s="220"/>
      <c r="DD522" s="220"/>
      <c r="DE522" s="220"/>
      <c r="DF522" s="220"/>
      <c r="DG522" s="220"/>
      <c r="DH522" s="220"/>
      <c r="DI522" s="220"/>
      <c r="DJ522" s="220"/>
      <c r="DK522" s="220"/>
      <c r="DL522" s="220"/>
      <c r="DM522" s="220"/>
      <c r="DN522" s="220"/>
      <c r="DO522" s="220"/>
      <c r="DP522" s="220"/>
      <c r="DQ522" s="220"/>
      <c r="DR522" s="220"/>
      <c r="DS522" s="220"/>
      <c r="DT522" s="220"/>
      <c r="DU522" s="220"/>
      <c r="DV522" s="220"/>
      <c r="DW522" s="220"/>
      <c r="DX522" s="220"/>
      <c r="DY522" s="220"/>
      <c r="DZ522" s="220"/>
      <c r="EA522" s="220"/>
      <c r="EB522" s="220"/>
      <c r="EC522" s="220"/>
      <c r="ED522" s="220"/>
      <c r="EE522" s="220"/>
      <c r="EF522" s="220"/>
      <c r="EG522" s="220"/>
      <c r="EH522" s="220"/>
      <c r="EI522" s="220"/>
      <c r="EJ522" s="220"/>
      <c r="EK522" s="220"/>
      <c r="EL522" s="220"/>
      <c r="EM522" s="220"/>
      <c r="EN522" s="220"/>
      <c r="EO522" s="220"/>
      <c r="EP522" s="220"/>
      <c r="EQ522" s="220"/>
      <c r="ER522" s="220"/>
      <c r="ES522" s="220"/>
      <c r="ET522" s="220"/>
      <c r="EU522" s="220"/>
      <c r="EV522" s="220"/>
      <c r="EW522" s="220"/>
      <c r="EX522" s="220"/>
      <c r="EY522" s="220"/>
      <c r="EZ522" s="220"/>
      <c r="FA522" s="220"/>
      <c r="FB522" s="220"/>
      <c r="FC522" s="220"/>
      <c r="FD522" s="220"/>
      <c r="FE522" s="220"/>
      <c r="FF522" s="220"/>
      <c r="FG522" s="220"/>
      <c r="FH522" s="220"/>
      <c r="FI522" s="220"/>
      <c r="FJ522" s="220"/>
      <c r="FK522" s="220"/>
      <c r="FL522" s="220"/>
      <c r="FM522" s="220"/>
      <c r="FN522" s="220"/>
      <c r="FO522" s="220"/>
      <c r="FP522" s="220"/>
      <c r="FQ522" s="220"/>
      <c r="FR522" s="220"/>
      <c r="FS522" s="220"/>
      <c r="FT522" s="220"/>
      <c r="FU522" s="220"/>
      <c r="FV522" s="220"/>
      <c r="FW522" s="220"/>
      <c r="FX522" s="220"/>
      <c r="FY522" s="220"/>
      <c r="FZ522" s="220"/>
      <c r="GA522" s="220"/>
      <c r="GB522" s="220"/>
      <c r="GC522" s="220"/>
      <c r="GD522" s="220"/>
      <c r="GE522" s="220"/>
    </row>
    <row r="523" spans="3:187" ht="12.75" customHeight="1">
      <c r="C523" s="106"/>
      <c r="D523" s="106"/>
      <c r="E523" s="106"/>
      <c r="F523" s="106"/>
      <c r="G523" s="106"/>
      <c r="H523" s="106"/>
      <c r="I523" s="106"/>
      <c r="J523" s="106"/>
      <c r="K523" s="106"/>
      <c r="L523" s="106"/>
      <c r="M523" s="106"/>
      <c r="N523" s="106"/>
      <c r="O523" s="106"/>
      <c r="P523" s="106"/>
      <c r="Q523" s="106"/>
      <c r="R523" s="106"/>
      <c r="S523" s="106"/>
      <c r="T523" s="106"/>
      <c r="U523" s="106"/>
      <c r="V523" s="106"/>
      <c r="W523" s="106"/>
      <c r="X523" s="106"/>
      <c r="Y523" s="106"/>
      <c r="Z523" s="106"/>
      <c r="AA523" s="106"/>
      <c r="AB523" s="106"/>
      <c r="AC523" s="106"/>
      <c r="AD523" s="106"/>
      <c r="AE523" s="106"/>
      <c r="AF523" s="106"/>
      <c r="AG523" s="106"/>
      <c r="AH523" s="106"/>
      <c r="AI523" s="106"/>
      <c r="AJ523" s="106"/>
      <c r="AK523" s="106"/>
      <c r="AL523" s="106"/>
      <c r="AM523" s="106"/>
      <c r="AN523" s="106"/>
      <c r="AO523" s="106"/>
      <c r="AP523" s="106"/>
      <c r="AQ523" s="106"/>
      <c r="AR523" s="106"/>
      <c r="AS523" s="106"/>
      <c r="AT523" s="106"/>
      <c r="AU523" s="106"/>
      <c r="AV523" s="106"/>
      <c r="AW523" s="106"/>
      <c r="AX523" s="106"/>
      <c r="AY523" s="106"/>
      <c r="AZ523" s="106"/>
      <c r="BA523" s="106"/>
      <c r="BB523" s="106"/>
      <c r="BC523" s="106"/>
      <c r="BD523" s="106"/>
      <c r="BE523" s="106"/>
      <c r="BF523" s="106"/>
      <c r="BG523" s="106"/>
      <c r="BH523" s="106"/>
      <c r="BI523" s="106"/>
      <c r="BJ523" s="106"/>
      <c r="BK523" s="106"/>
      <c r="BL523" s="106"/>
      <c r="BM523" s="106"/>
      <c r="BN523" s="106"/>
      <c r="BO523" s="106"/>
      <c r="BP523" s="106"/>
      <c r="BQ523" s="106"/>
      <c r="BR523" s="106"/>
      <c r="BS523" s="106"/>
      <c r="BT523" s="106"/>
      <c r="BU523" s="106"/>
      <c r="BV523" s="106"/>
      <c r="BW523" s="106"/>
      <c r="BX523" s="106"/>
      <c r="BY523" s="106"/>
      <c r="BZ523" s="106"/>
      <c r="CA523" s="106"/>
      <c r="CB523" s="106"/>
      <c r="CC523" s="106"/>
      <c r="CD523" s="106"/>
      <c r="CE523" s="106"/>
      <c r="CF523" s="106"/>
      <c r="CG523" s="106"/>
      <c r="CH523" s="106"/>
      <c r="CI523" s="106"/>
      <c r="CJ523" s="106"/>
      <c r="CK523" s="106"/>
      <c r="CL523" s="106"/>
      <c r="CM523" s="106"/>
      <c r="CN523" s="106"/>
      <c r="CO523" s="106"/>
      <c r="CP523" s="106"/>
      <c r="CQ523" s="106"/>
      <c r="CR523" s="106"/>
      <c r="CS523" s="106"/>
      <c r="CT523" s="106"/>
      <c r="CU523" s="106"/>
      <c r="CV523" s="106"/>
      <c r="CW523" s="106"/>
      <c r="CX523" s="106"/>
      <c r="CY523" s="106"/>
      <c r="CZ523" s="106"/>
      <c r="DA523" s="106"/>
      <c r="DB523" s="106"/>
      <c r="DC523" s="106"/>
      <c r="DD523" s="106"/>
      <c r="DE523" s="106"/>
      <c r="DF523" s="106"/>
      <c r="DG523" s="106"/>
      <c r="DH523" s="106"/>
      <c r="DI523" s="106"/>
      <c r="DJ523" s="106"/>
      <c r="DK523" s="106"/>
      <c r="DL523" s="106"/>
      <c r="DM523" s="106"/>
      <c r="DN523" s="106"/>
      <c r="DO523" s="106"/>
      <c r="DP523" s="106"/>
      <c r="DQ523" s="106"/>
      <c r="DR523" s="106"/>
      <c r="DS523" s="106"/>
      <c r="DT523" s="106"/>
      <c r="DU523" s="106"/>
      <c r="DV523" s="106"/>
      <c r="DW523" s="106"/>
      <c r="DX523" s="106"/>
      <c r="DY523" s="106"/>
      <c r="DZ523" s="106"/>
      <c r="EA523" s="106"/>
      <c r="EB523" s="106"/>
      <c r="EC523" s="106"/>
      <c r="ED523" s="106"/>
      <c r="EE523" s="106"/>
      <c r="EF523" s="106"/>
      <c r="EG523" s="106"/>
      <c r="EH523" s="106"/>
      <c r="EI523" s="106"/>
      <c r="EJ523" s="106"/>
      <c r="EK523" s="106"/>
      <c r="EL523" s="106"/>
      <c r="EM523" s="106"/>
      <c r="EN523" s="106"/>
      <c r="EO523" s="106"/>
      <c r="EP523" s="106"/>
      <c r="EQ523" s="106"/>
      <c r="ER523" s="106"/>
      <c r="ES523" s="106"/>
      <c r="ET523" s="106"/>
      <c r="EU523" s="106"/>
      <c r="EV523" s="106"/>
      <c r="EW523" s="106"/>
      <c r="EX523" s="106"/>
      <c r="EY523" s="106"/>
      <c r="EZ523" s="106"/>
      <c r="FA523" s="106"/>
      <c r="FB523" s="106"/>
      <c r="FC523" s="106"/>
      <c r="FD523" s="106"/>
      <c r="FE523" s="106"/>
      <c r="FF523" s="106"/>
      <c r="FG523" s="106"/>
      <c r="FH523" s="106"/>
      <c r="FI523" s="106"/>
      <c r="FJ523" s="106"/>
      <c r="FK523" s="106"/>
      <c r="FL523" s="106"/>
      <c r="FM523" s="106"/>
      <c r="FN523" s="106"/>
      <c r="FO523" s="106"/>
      <c r="FP523" s="106"/>
      <c r="FQ523" s="106"/>
      <c r="FR523" s="106"/>
      <c r="FS523" s="106"/>
      <c r="FT523" s="106"/>
      <c r="FU523" s="106"/>
      <c r="FV523" s="106"/>
      <c r="FW523" s="106"/>
      <c r="FX523" s="106"/>
      <c r="FY523" s="106"/>
      <c r="FZ523" s="106"/>
      <c r="GA523" s="106"/>
      <c r="GB523" s="106"/>
      <c r="GC523" s="106"/>
      <c r="GD523" s="106"/>
      <c r="GE523" s="106"/>
    </row>
    <row r="524" spans="3:187" ht="12.75" customHeight="1">
      <c r="C524" s="169"/>
      <c r="D524" s="169"/>
      <c r="E524" s="169"/>
      <c r="F524" s="169"/>
      <c r="G524" s="169"/>
      <c r="H524" s="169"/>
      <c r="I524" s="169"/>
      <c r="J524" s="169"/>
      <c r="K524" s="169"/>
      <c r="L524" s="169"/>
      <c r="M524" s="169"/>
      <c r="N524" s="169"/>
      <c r="O524" s="169"/>
      <c r="P524" s="169"/>
      <c r="Q524" s="169"/>
      <c r="R524" s="169"/>
      <c r="S524" s="169"/>
      <c r="T524" s="169"/>
      <c r="U524" s="169"/>
      <c r="V524" s="169"/>
      <c r="W524" s="169"/>
      <c r="X524" s="169"/>
      <c r="Y524" s="169"/>
      <c r="Z524" s="169"/>
      <c r="AA524" s="169"/>
      <c r="AB524" s="169"/>
      <c r="AC524" s="169"/>
      <c r="AD524" s="169"/>
      <c r="AE524" s="169"/>
      <c r="AF524" s="169"/>
      <c r="AG524" s="169"/>
      <c r="AH524" s="169"/>
      <c r="AI524" s="169"/>
      <c r="AJ524" s="169"/>
      <c r="AK524" s="169"/>
      <c r="AL524" s="169"/>
      <c r="AM524" s="169"/>
      <c r="AN524" s="169"/>
      <c r="AO524" s="169"/>
      <c r="AP524" s="169"/>
      <c r="AQ524" s="169"/>
      <c r="AR524" s="169"/>
      <c r="AS524" s="169"/>
      <c r="AT524" s="169"/>
      <c r="AU524" s="169"/>
      <c r="AV524" s="169"/>
      <c r="AW524" s="169"/>
      <c r="AX524" s="169"/>
      <c r="AY524" s="169"/>
      <c r="AZ524" s="169"/>
      <c r="BA524" s="169"/>
      <c r="BB524" s="169"/>
      <c r="BC524" s="169"/>
      <c r="BD524" s="169"/>
      <c r="BE524" s="169"/>
      <c r="BF524" s="169"/>
      <c r="BG524" s="169"/>
      <c r="BH524" s="169"/>
      <c r="BI524" s="169"/>
      <c r="BJ524" s="169"/>
      <c r="BK524" s="169"/>
      <c r="BL524" s="169"/>
      <c r="BM524" s="169"/>
      <c r="BN524" s="169"/>
      <c r="BO524" s="169"/>
      <c r="BP524" s="169"/>
      <c r="BQ524" s="169"/>
      <c r="BR524" s="169"/>
      <c r="BS524" s="169"/>
      <c r="BT524" s="169"/>
      <c r="BU524" s="169"/>
      <c r="BV524" s="169"/>
      <c r="BW524" s="169"/>
      <c r="BX524" s="169"/>
      <c r="BY524" s="169"/>
      <c r="BZ524" s="169"/>
      <c r="CA524" s="169"/>
      <c r="CB524" s="169"/>
      <c r="CC524" s="169"/>
      <c r="CD524" s="169"/>
      <c r="CE524" s="169"/>
      <c r="CF524" s="169"/>
      <c r="CG524" s="169"/>
      <c r="CH524" s="169"/>
      <c r="CI524" s="169"/>
      <c r="CJ524" s="169"/>
      <c r="CK524" s="169"/>
      <c r="CL524" s="169"/>
      <c r="CM524" s="169"/>
      <c r="CN524" s="169"/>
      <c r="CO524" s="169"/>
      <c r="CP524" s="169"/>
      <c r="CQ524" s="169"/>
      <c r="CR524" s="169"/>
      <c r="CS524" s="169"/>
      <c r="CT524" s="169"/>
      <c r="CU524" s="169"/>
      <c r="CV524" s="169"/>
      <c r="CW524" s="169"/>
      <c r="CX524" s="169"/>
      <c r="CY524" s="169"/>
      <c r="CZ524" s="169"/>
      <c r="DA524" s="169"/>
      <c r="DB524" s="169"/>
      <c r="DC524" s="169"/>
      <c r="DD524" s="169"/>
      <c r="DE524" s="169"/>
      <c r="DF524" s="169"/>
      <c r="DG524" s="169"/>
      <c r="DH524" s="169"/>
      <c r="DI524" s="169"/>
      <c r="DJ524" s="169"/>
      <c r="DK524" s="169"/>
      <c r="DL524" s="169"/>
      <c r="DM524" s="169"/>
      <c r="DN524" s="169"/>
      <c r="DO524" s="169"/>
      <c r="DP524" s="169"/>
      <c r="DQ524" s="169"/>
      <c r="DR524" s="169"/>
      <c r="DS524" s="169"/>
      <c r="DT524" s="169"/>
      <c r="DU524" s="169"/>
      <c r="DV524" s="169"/>
      <c r="DW524" s="169"/>
      <c r="DX524" s="169"/>
      <c r="DY524" s="169"/>
      <c r="DZ524" s="169"/>
      <c r="EA524" s="169"/>
      <c r="EB524" s="169"/>
      <c r="EC524" s="169"/>
      <c r="ED524" s="169"/>
      <c r="EE524" s="169"/>
      <c r="EF524" s="169"/>
      <c r="EG524" s="169"/>
      <c r="EH524" s="169"/>
      <c r="EI524" s="169"/>
      <c r="EJ524" s="169"/>
      <c r="EK524" s="169"/>
      <c r="EL524" s="169"/>
      <c r="EM524" s="169"/>
      <c r="EN524" s="169"/>
      <c r="EO524" s="169"/>
      <c r="EP524" s="169"/>
      <c r="EQ524" s="169"/>
      <c r="ER524" s="169"/>
      <c r="ES524" s="169"/>
      <c r="ET524" s="169"/>
      <c r="EU524" s="169"/>
      <c r="EV524" s="169"/>
      <c r="EW524" s="169"/>
      <c r="EX524" s="169"/>
      <c r="EY524" s="169"/>
      <c r="EZ524" s="169"/>
      <c r="FA524" s="169"/>
      <c r="FB524" s="169"/>
      <c r="FC524" s="169"/>
      <c r="FD524" s="169"/>
      <c r="FE524" s="169"/>
      <c r="FF524" s="169"/>
      <c r="FG524" s="169"/>
      <c r="FH524" s="169"/>
      <c r="FI524" s="169"/>
      <c r="FJ524" s="169"/>
      <c r="FK524" s="169"/>
      <c r="FL524" s="169"/>
      <c r="FM524" s="169"/>
      <c r="FN524" s="169"/>
      <c r="FO524" s="169"/>
      <c r="FP524" s="169"/>
      <c r="FQ524" s="169"/>
      <c r="FR524" s="169"/>
      <c r="FS524" s="169"/>
      <c r="FT524" s="169"/>
      <c r="FU524" s="169"/>
      <c r="FV524" s="169"/>
      <c r="FW524" s="169"/>
      <c r="FX524" s="169"/>
      <c r="FY524" s="169"/>
      <c r="FZ524" s="169"/>
      <c r="GA524" s="169"/>
      <c r="GB524" s="169"/>
      <c r="GC524" s="169"/>
      <c r="GD524" s="169"/>
      <c r="GE524" s="169"/>
    </row>
    <row r="525" spans="3:187" ht="12.75" customHeight="1">
      <c r="C525" s="222"/>
      <c r="D525" s="222"/>
      <c r="E525" s="222"/>
      <c r="F525" s="222"/>
      <c r="G525" s="222"/>
      <c r="H525" s="222"/>
      <c r="I525" s="222"/>
      <c r="J525" s="222"/>
      <c r="K525" s="222"/>
      <c r="L525" s="222"/>
      <c r="M525" s="222"/>
      <c r="N525" s="222"/>
      <c r="O525" s="222"/>
      <c r="P525" s="222"/>
      <c r="Q525" s="222"/>
      <c r="R525" s="222"/>
      <c r="S525" s="222"/>
      <c r="T525" s="222"/>
      <c r="U525" s="222"/>
      <c r="V525" s="222"/>
      <c r="W525" s="222"/>
      <c r="X525" s="222"/>
      <c r="Y525" s="222"/>
      <c r="Z525" s="222"/>
      <c r="AA525" s="222"/>
      <c r="AB525" s="222"/>
      <c r="AC525" s="222"/>
      <c r="AD525" s="222"/>
      <c r="AE525" s="222"/>
      <c r="AF525" s="222"/>
      <c r="AG525" s="222"/>
      <c r="AH525" s="222"/>
      <c r="AI525" s="222"/>
      <c r="AJ525" s="222"/>
      <c r="AK525" s="222"/>
      <c r="AL525" s="222"/>
      <c r="AM525" s="222"/>
      <c r="AN525" s="222"/>
      <c r="AO525" s="222"/>
      <c r="AP525" s="222"/>
      <c r="AQ525" s="222"/>
      <c r="AR525" s="222"/>
      <c r="AS525" s="222"/>
      <c r="AT525" s="222"/>
      <c r="AU525" s="222"/>
      <c r="AV525" s="222"/>
      <c r="AW525" s="222"/>
      <c r="AX525" s="222"/>
      <c r="AY525" s="222"/>
      <c r="AZ525" s="222"/>
      <c r="BA525" s="222"/>
      <c r="BB525" s="222"/>
      <c r="BC525" s="222"/>
      <c r="BD525" s="222"/>
      <c r="BE525" s="222"/>
      <c r="BF525" s="222"/>
      <c r="BG525" s="222"/>
      <c r="BH525" s="222"/>
      <c r="BI525" s="222"/>
      <c r="BJ525" s="222"/>
      <c r="BK525" s="222"/>
      <c r="BL525" s="222"/>
      <c r="BM525" s="222"/>
      <c r="BN525" s="222"/>
      <c r="BO525" s="222"/>
      <c r="BP525" s="222"/>
      <c r="BQ525" s="222"/>
      <c r="BR525" s="222"/>
      <c r="BS525" s="222"/>
      <c r="BT525" s="222"/>
      <c r="BU525" s="222"/>
      <c r="BV525" s="222"/>
      <c r="BW525" s="222"/>
      <c r="BX525" s="222"/>
      <c r="BY525" s="222"/>
      <c r="BZ525" s="222"/>
      <c r="CA525" s="222"/>
      <c r="CB525" s="222"/>
      <c r="CC525" s="222"/>
      <c r="CD525" s="222"/>
      <c r="CE525" s="222"/>
      <c r="CF525" s="222"/>
      <c r="CG525" s="222"/>
      <c r="CH525" s="222"/>
      <c r="CI525" s="222"/>
      <c r="CJ525" s="222"/>
      <c r="CK525" s="222"/>
      <c r="CL525" s="222"/>
      <c r="CM525" s="222"/>
      <c r="CN525" s="222"/>
      <c r="CO525" s="222"/>
      <c r="CP525" s="222"/>
      <c r="CQ525" s="222"/>
      <c r="CR525" s="222"/>
      <c r="CS525" s="222"/>
      <c r="CT525" s="222"/>
      <c r="CU525" s="222"/>
      <c r="CV525" s="222"/>
      <c r="CW525" s="222"/>
      <c r="CX525" s="222"/>
      <c r="CY525" s="222"/>
      <c r="CZ525" s="222"/>
      <c r="DA525" s="222"/>
      <c r="DB525" s="222"/>
      <c r="DC525" s="222"/>
      <c r="DD525" s="222"/>
      <c r="DE525" s="222"/>
      <c r="DF525" s="222"/>
      <c r="DG525" s="222"/>
      <c r="DH525" s="222"/>
      <c r="DI525" s="222"/>
      <c r="DJ525" s="222"/>
      <c r="DK525" s="222"/>
      <c r="DL525" s="222"/>
      <c r="DM525" s="222"/>
      <c r="DN525" s="222"/>
      <c r="DO525" s="222"/>
      <c r="DP525" s="222"/>
      <c r="DQ525" s="222"/>
      <c r="DR525" s="222"/>
      <c r="DS525" s="222"/>
      <c r="DT525" s="222"/>
      <c r="DU525" s="222"/>
      <c r="DV525" s="222"/>
      <c r="DW525" s="222"/>
      <c r="DX525" s="222"/>
      <c r="DY525" s="222"/>
      <c r="DZ525" s="222"/>
      <c r="EA525" s="222"/>
      <c r="EB525" s="222"/>
      <c r="EC525" s="222"/>
      <c r="ED525" s="222"/>
      <c r="EE525" s="222"/>
      <c r="EF525" s="222"/>
      <c r="EG525" s="222"/>
      <c r="EH525" s="222"/>
      <c r="EI525" s="222"/>
      <c r="EJ525" s="222"/>
      <c r="EK525" s="222"/>
      <c r="EL525" s="222"/>
      <c r="EM525" s="222"/>
      <c r="EN525" s="222"/>
      <c r="EO525" s="222"/>
      <c r="EP525" s="222"/>
      <c r="EQ525" s="222"/>
      <c r="ER525" s="222"/>
      <c r="ES525" s="222"/>
      <c r="ET525" s="222"/>
      <c r="EU525" s="222"/>
      <c r="EV525" s="222"/>
      <c r="EW525" s="222"/>
      <c r="EX525" s="222"/>
      <c r="EY525" s="222"/>
      <c r="EZ525" s="222"/>
      <c r="FA525" s="222"/>
      <c r="FB525" s="222"/>
      <c r="FC525" s="222"/>
      <c r="FD525" s="222"/>
      <c r="FE525" s="222"/>
      <c r="FF525" s="222"/>
      <c r="FG525" s="222"/>
      <c r="FH525" s="222"/>
      <c r="FI525" s="222"/>
      <c r="FJ525" s="222"/>
      <c r="FK525" s="222"/>
      <c r="FL525" s="222"/>
      <c r="FM525" s="222"/>
      <c r="FN525" s="222"/>
      <c r="FO525" s="222"/>
      <c r="FP525" s="222"/>
      <c r="FQ525" s="222"/>
      <c r="FR525" s="222"/>
      <c r="FS525" s="222"/>
      <c r="FT525" s="222"/>
      <c r="FU525" s="222"/>
      <c r="FV525" s="222"/>
      <c r="FW525" s="222"/>
      <c r="FX525" s="222"/>
      <c r="FY525" s="222"/>
      <c r="FZ525" s="222"/>
      <c r="GA525" s="222"/>
      <c r="GB525" s="222"/>
      <c r="GC525" s="222"/>
      <c r="GD525" s="222"/>
      <c r="GE525" s="222"/>
    </row>
    <row r="526" spans="3:187" ht="12.75" customHeight="1">
      <c r="C526" s="222"/>
      <c r="D526" s="222"/>
      <c r="E526" s="222"/>
      <c r="F526" s="222"/>
      <c r="G526" s="222"/>
      <c r="H526" s="222"/>
      <c r="I526" s="222"/>
      <c r="J526" s="222"/>
      <c r="K526" s="222"/>
      <c r="L526" s="222"/>
      <c r="M526" s="222"/>
      <c r="N526" s="222"/>
      <c r="O526" s="222"/>
      <c r="P526" s="222"/>
      <c r="Q526" s="222"/>
      <c r="R526" s="222"/>
      <c r="S526" s="222"/>
      <c r="T526" s="222"/>
      <c r="U526" s="222"/>
      <c r="V526" s="222"/>
      <c r="W526" s="222"/>
      <c r="X526" s="222"/>
      <c r="Y526" s="222"/>
      <c r="Z526" s="222"/>
      <c r="AA526" s="222"/>
      <c r="AB526" s="222"/>
      <c r="AC526" s="222"/>
      <c r="AD526" s="222"/>
      <c r="AE526" s="222"/>
      <c r="AF526" s="222"/>
      <c r="AG526" s="222"/>
      <c r="AH526" s="222"/>
      <c r="AI526" s="222"/>
      <c r="AJ526" s="222"/>
      <c r="AK526" s="222"/>
      <c r="AL526" s="222"/>
      <c r="AM526" s="222"/>
      <c r="AN526" s="222"/>
      <c r="AO526" s="222"/>
      <c r="AP526" s="222"/>
      <c r="AQ526" s="222"/>
      <c r="AR526" s="222"/>
      <c r="AS526" s="222"/>
      <c r="AT526" s="222"/>
      <c r="AU526" s="222"/>
      <c r="AV526" s="222"/>
      <c r="AW526" s="222"/>
      <c r="AX526" s="222"/>
      <c r="AY526" s="222"/>
      <c r="AZ526" s="222"/>
      <c r="BA526" s="222"/>
      <c r="BB526" s="222"/>
      <c r="BC526" s="222"/>
      <c r="BD526" s="222"/>
      <c r="BE526" s="222"/>
      <c r="BF526" s="222"/>
      <c r="BG526" s="222"/>
      <c r="BH526" s="222"/>
      <c r="BI526" s="222"/>
      <c r="BJ526" s="222"/>
      <c r="BK526" s="222"/>
      <c r="BL526" s="222"/>
      <c r="BM526" s="222"/>
      <c r="BN526" s="222"/>
      <c r="BO526" s="222"/>
      <c r="BP526" s="222"/>
      <c r="BQ526" s="222"/>
      <c r="BR526" s="222"/>
      <c r="BS526" s="222"/>
      <c r="BT526" s="222"/>
      <c r="BU526" s="222"/>
      <c r="BV526" s="222"/>
      <c r="BW526" s="222"/>
      <c r="BX526" s="222"/>
      <c r="BY526" s="222"/>
      <c r="BZ526" s="222"/>
      <c r="CA526" s="222"/>
      <c r="CB526" s="222"/>
      <c r="CC526" s="222"/>
      <c r="CD526" s="222"/>
      <c r="CE526" s="222"/>
      <c r="CF526" s="222"/>
      <c r="CG526" s="222"/>
      <c r="CH526" s="222"/>
      <c r="CI526" s="222"/>
      <c r="CJ526" s="222"/>
      <c r="CK526" s="222"/>
      <c r="CL526" s="222"/>
      <c r="CM526" s="222"/>
      <c r="CN526" s="222"/>
      <c r="CO526" s="222"/>
      <c r="CP526" s="222"/>
      <c r="CQ526" s="222"/>
      <c r="CR526" s="222"/>
      <c r="CS526" s="222"/>
      <c r="CT526" s="222"/>
      <c r="CU526" s="222"/>
      <c r="CV526" s="222"/>
      <c r="CW526" s="222"/>
      <c r="CX526" s="222"/>
      <c r="CY526" s="222"/>
      <c r="CZ526" s="222"/>
      <c r="DA526" s="222"/>
      <c r="DB526" s="222"/>
      <c r="DC526" s="222"/>
      <c r="DD526" s="222"/>
      <c r="DE526" s="222"/>
      <c r="DF526" s="222"/>
      <c r="DG526" s="222"/>
      <c r="DH526" s="222"/>
      <c r="DI526" s="222"/>
      <c r="DJ526" s="222"/>
      <c r="DK526" s="222"/>
      <c r="DL526" s="222"/>
      <c r="DM526" s="222"/>
      <c r="DN526" s="222"/>
      <c r="DO526" s="222"/>
      <c r="DP526" s="222"/>
      <c r="DQ526" s="222"/>
      <c r="DR526" s="222"/>
      <c r="DS526" s="222"/>
      <c r="DT526" s="222"/>
      <c r="DU526" s="222"/>
      <c r="DV526" s="222"/>
      <c r="DW526" s="222"/>
      <c r="DX526" s="222"/>
      <c r="DY526" s="222"/>
      <c r="DZ526" s="222"/>
      <c r="EA526" s="222"/>
      <c r="EB526" s="222"/>
      <c r="EC526" s="222"/>
      <c r="ED526" s="222"/>
      <c r="EE526" s="222"/>
      <c r="EF526" s="222"/>
      <c r="EG526" s="222"/>
      <c r="EH526" s="222"/>
      <c r="EI526" s="222"/>
      <c r="EJ526" s="222"/>
      <c r="EK526" s="222"/>
      <c r="EL526" s="222"/>
      <c r="EM526" s="222"/>
      <c r="EN526" s="222"/>
      <c r="EO526" s="222"/>
      <c r="EP526" s="222"/>
      <c r="EQ526" s="222"/>
      <c r="ER526" s="222"/>
      <c r="ES526" s="222"/>
      <c r="ET526" s="222"/>
      <c r="EU526" s="222"/>
      <c r="EV526" s="222"/>
      <c r="EW526" s="222"/>
      <c r="EX526" s="222"/>
      <c r="EY526" s="222"/>
      <c r="EZ526" s="222"/>
      <c r="FA526" s="222"/>
      <c r="FB526" s="222"/>
      <c r="FC526" s="222"/>
      <c r="FD526" s="222"/>
      <c r="FE526" s="222"/>
      <c r="FF526" s="222"/>
      <c r="FG526" s="222"/>
      <c r="FH526" s="222"/>
      <c r="FI526" s="222"/>
      <c r="FJ526" s="222"/>
      <c r="FK526" s="222"/>
      <c r="FL526" s="222"/>
      <c r="FM526" s="222"/>
      <c r="FN526" s="222"/>
      <c r="FO526" s="222"/>
      <c r="FP526" s="222"/>
      <c r="FQ526" s="222"/>
      <c r="FR526" s="222"/>
      <c r="FS526" s="222"/>
      <c r="FT526" s="222"/>
      <c r="FU526" s="222"/>
      <c r="FV526" s="222"/>
      <c r="FW526" s="222"/>
      <c r="FX526" s="222"/>
      <c r="FY526" s="222"/>
      <c r="FZ526" s="222"/>
      <c r="GA526" s="222"/>
      <c r="GB526" s="222"/>
      <c r="GC526" s="222"/>
      <c r="GD526" s="222"/>
      <c r="GE526" s="222"/>
    </row>
    <row r="527" spans="3:187" ht="12.75" customHeight="1">
      <c r="C527" s="225"/>
      <c r="D527" s="225"/>
      <c r="E527" s="225"/>
      <c r="F527" s="225"/>
      <c r="G527" s="225"/>
      <c r="H527" s="225"/>
      <c r="I527" s="225"/>
      <c r="J527" s="225"/>
      <c r="K527" s="225"/>
      <c r="L527" s="225"/>
      <c r="M527" s="225"/>
      <c r="N527" s="225"/>
      <c r="O527" s="225"/>
      <c r="P527" s="225"/>
      <c r="Q527" s="225"/>
      <c r="R527" s="225"/>
      <c r="S527" s="225"/>
      <c r="T527" s="225"/>
      <c r="U527" s="225"/>
      <c r="V527" s="225"/>
      <c r="W527" s="225"/>
      <c r="X527" s="225"/>
      <c r="Y527" s="225"/>
      <c r="Z527" s="225"/>
      <c r="AA527" s="225"/>
      <c r="AB527" s="225"/>
      <c r="AC527" s="225"/>
      <c r="AD527" s="225"/>
      <c r="AE527" s="225"/>
      <c r="AF527" s="225"/>
      <c r="AG527" s="225"/>
      <c r="AH527" s="225"/>
      <c r="AI527" s="225"/>
      <c r="AJ527" s="225"/>
      <c r="AK527" s="225"/>
      <c r="AL527" s="225"/>
      <c r="AM527" s="225"/>
      <c r="AN527" s="225"/>
      <c r="AO527" s="225"/>
      <c r="AP527" s="225"/>
      <c r="AQ527" s="225"/>
      <c r="AR527" s="225"/>
      <c r="AS527" s="225"/>
      <c r="AT527" s="225"/>
      <c r="AU527" s="225"/>
      <c r="AV527" s="225"/>
      <c r="AW527" s="225"/>
      <c r="AX527" s="225"/>
      <c r="AY527" s="225"/>
      <c r="AZ527" s="225"/>
      <c r="BA527" s="225"/>
      <c r="BB527" s="225"/>
      <c r="BC527" s="225"/>
      <c r="BD527" s="225"/>
      <c r="BE527" s="225"/>
      <c r="BF527" s="225"/>
      <c r="BG527" s="225"/>
      <c r="BH527" s="225"/>
      <c r="BI527" s="225"/>
      <c r="BJ527" s="225"/>
      <c r="BK527" s="225"/>
      <c r="BL527" s="225"/>
      <c r="BM527" s="225"/>
      <c r="BN527" s="225"/>
      <c r="BO527" s="225"/>
      <c r="BP527" s="225"/>
      <c r="BQ527" s="225"/>
      <c r="BR527" s="225"/>
      <c r="BS527" s="225"/>
      <c r="BT527" s="225"/>
      <c r="BU527" s="225"/>
      <c r="BV527" s="225"/>
      <c r="BW527" s="225"/>
      <c r="BX527" s="225"/>
      <c r="BY527" s="225"/>
      <c r="BZ527" s="225"/>
      <c r="CA527" s="225"/>
      <c r="CB527" s="225"/>
      <c r="CC527" s="225"/>
      <c r="CD527" s="225"/>
      <c r="CE527" s="225"/>
      <c r="CF527" s="225"/>
      <c r="CG527" s="225"/>
      <c r="CH527" s="225"/>
      <c r="CI527" s="225"/>
      <c r="CJ527" s="225"/>
      <c r="CK527" s="225"/>
      <c r="CL527" s="225"/>
      <c r="CM527" s="225"/>
      <c r="CN527" s="225"/>
      <c r="CO527" s="225"/>
      <c r="CP527" s="225"/>
      <c r="CQ527" s="225"/>
      <c r="CR527" s="225"/>
      <c r="CS527" s="225"/>
      <c r="CT527" s="225"/>
      <c r="CU527" s="225"/>
      <c r="CV527" s="225"/>
      <c r="CW527" s="225"/>
      <c r="CX527" s="225"/>
      <c r="CY527" s="225"/>
      <c r="CZ527" s="225"/>
      <c r="DA527" s="225"/>
      <c r="DB527" s="225"/>
      <c r="DC527" s="225"/>
      <c r="DD527" s="225"/>
      <c r="DE527" s="225"/>
      <c r="DF527" s="225"/>
      <c r="DG527" s="225"/>
      <c r="DH527" s="225"/>
      <c r="DI527" s="225"/>
      <c r="DJ527" s="225"/>
      <c r="DK527" s="225"/>
      <c r="DL527" s="225"/>
      <c r="DM527" s="225"/>
      <c r="DN527" s="225"/>
      <c r="DO527" s="225"/>
      <c r="DP527" s="225"/>
      <c r="DQ527" s="225"/>
      <c r="DR527" s="225"/>
      <c r="DS527" s="225"/>
      <c r="DT527" s="225"/>
      <c r="DU527" s="225"/>
      <c r="DV527" s="225"/>
      <c r="DW527" s="225"/>
      <c r="DX527" s="225"/>
      <c r="DY527" s="225"/>
      <c r="DZ527" s="225"/>
      <c r="EA527" s="225"/>
      <c r="EB527" s="225"/>
      <c r="EC527" s="225"/>
      <c r="ED527" s="225"/>
      <c r="EE527" s="225"/>
      <c r="EF527" s="225"/>
      <c r="EG527" s="225"/>
      <c r="EH527" s="225"/>
      <c r="EI527" s="225"/>
      <c r="EJ527" s="225"/>
      <c r="EK527" s="225"/>
      <c r="EL527" s="225"/>
      <c r="EM527" s="225"/>
      <c r="EN527" s="225"/>
      <c r="EO527" s="225"/>
      <c r="EP527" s="225"/>
      <c r="EQ527" s="225"/>
      <c r="ER527" s="225"/>
      <c r="ES527" s="225"/>
      <c r="ET527" s="225"/>
      <c r="EU527" s="225"/>
      <c r="EV527" s="225"/>
      <c r="EW527" s="225"/>
      <c r="EX527" s="225"/>
      <c r="EY527" s="225"/>
      <c r="EZ527" s="225"/>
      <c r="FA527" s="225"/>
      <c r="FB527" s="225"/>
      <c r="FC527" s="225"/>
      <c r="FD527" s="225"/>
      <c r="FE527" s="225"/>
      <c r="FF527" s="225"/>
      <c r="FG527" s="225"/>
      <c r="FH527" s="225"/>
      <c r="FI527" s="225"/>
      <c r="FJ527" s="225"/>
      <c r="FK527" s="225"/>
      <c r="FL527" s="225"/>
      <c r="FM527" s="225"/>
      <c r="FN527" s="225"/>
      <c r="FO527" s="225"/>
      <c r="FP527" s="225"/>
      <c r="FQ527" s="225"/>
      <c r="FR527" s="225"/>
      <c r="FS527" s="225"/>
      <c r="FT527" s="225"/>
      <c r="FU527" s="225"/>
      <c r="FV527" s="225"/>
      <c r="FW527" s="225"/>
      <c r="FX527" s="225"/>
      <c r="FY527" s="225"/>
      <c r="FZ527" s="225"/>
      <c r="GA527" s="225"/>
      <c r="GB527" s="225"/>
      <c r="GC527" s="225"/>
      <c r="GD527" s="225"/>
      <c r="GE527" s="225"/>
    </row>
    <row r="528" spans="3:187" ht="12.75" customHeight="1">
      <c r="C528" s="223"/>
      <c r="D528" s="224"/>
      <c r="E528" s="224"/>
      <c r="F528" s="224"/>
      <c r="G528" s="224"/>
      <c r="H528" s="223"/>
      <c r="I528" s="224"/>
      <c r="J528" s="224"/>
      <c r="K528" s="224"/>
      <c r="L528" s="224"/>
      <c r="M528" s="223"/>
      <c r="N528" s="224"/>
      <c r="O528" s="224"/>
      <c r="P528" s="224"/>
      <c r="Q528" s="224"/>
      <c r="R528" s="223"/>
      <c r="S528" s="224"/>
      <c r="T528" s="224"/>
      <c r="U528" s="224"/>
      <c r="V528" s="224"/>
      <c r="W528" s="223"/>
      <c r="X528" s="224"/>
      <c r="Y528" s="224"/>
      <c r="Z528" s="224"/>
      <c r="AA528" s="224"/>
      <c r="AB528" s="223"/>
      <c r="AC528" s="224"/>
      <c r="AD528" s="224"/>
      <c r="AE528" s="224"/>
      <c r="AF528" s="224"/>
      <c r="AG528" s="223"/>
      <c r="AH528" s="224"/>
      <c r="AI528" s="224"/>
      <c r="AJ528" s="224"/>
      <c r="AK528" s="224"/>
      <c r="AL528" s="223"/>
      <c r="AM528" s="224"/>
      <c r="AN528" s="224"/>
      <c r="AO528" s="224"/>
      <c r="AP528" s="224"/>
      <c r="AQ528" s="223"/>
      <c r="AR528" s="224"/>
      <c r="AS528" s="224"/>
      <c r="AT528" s="224"/>
      <c r="AU528" s="224"/>
      <c r="AV528" s="223"/>
      <c r="AW528" s="224"/>
      <c r="AX528" s="224"/>
      <c r="AY528" s="224"/>
      <c r="AZ528" s="224"/>
      <c r="BA528" s="223"/>
      <c r="BB528" s="224"/>
      <c r="BC528" s="224"/>
      <c r="BD528" s="224"/>
      <c r="BE528" s="224"/>
      <c r="BF528" s="223"/>
      <c r="BG528" s="224"/>
      <c r="BH528" s="224"/>
      <c r="BI528" s="224"/>
      <c r="BJ528" s="224"/>
      <c r="BK528" s="223"/>
      <c r="BL528" s="224"/>
      <c r="BM528" s="224"/>
      <c r="BN528" s="224"/>
      <c r="BO528" s="224"/>
      <c r="BP528" s="223"/>
      <c r="BQ528" s="224"/>
      <c r="BR528" s="224"/>
      <c r="BS528" s="224"/>
      <c r="BT528" s="224"/>
      <c r="BU528" s="223"/>
      <c r="BV528" s="224"/>
      <c r="BW528" s="224"/>
      <c r="BX528" s="224"/>
      <c r="BY528" s="224"/>
      <c r="BZ528" s="223"/>
      <c r="CA528" s="224"/>
      <c r="CB528" s="224"/>
      <c r="CC528" s="224"/>
      <c r="CD528" s="224"/>
      <c r="CE528" s="223"/>
      <c r="CF528" s="224"/>
      <c r="CG528" s="224"/>
      <c r="CH528" s="224"/>
      <c r="CI528" s="224"/>
      <c r="CJ528" s="223"/>
      <c r="CK528" s="224"/>
      <c r="CL528" s="224"/>
      <c r="CM528" s="224"/>
      <c r="CN528" s="224"/>
      <c r="CO528" s="223"/>
      <c r="CP528" s="224"/>
      <c r="CQ528" s="224"/>
      <c r="CR528" s="224"/>
      <c r="CS528" s="224"/>
      <c r="CT528" s="223"/>
      <c r="CU528" s="224"/>
      <c r="CV528" s="224"/>
      <c r="CW528" s="224"/>
      <c r="CX528" s="224"/>
      <c r="CY528" s="223"/>
      <c r="CZ528" s="224"/>
      <c r="DA528" s="224"/>
      <c r="DB528" s="224"/>
      <c r="DC528" s="224"/>
      <c r="DD528" s="223"/>
      <c r="DE528" s="224"/>
      <c r="DF528" s="224"/>
      <c r="DG528" s="224"/>
      <c r="DH528" s="224"/>
      <c r="DI528" s="223"/>
      <c r="DJ528" s="224"/>
      <c r="DK528" s="224"/>
      <c r="DL528" s="224"/>
      <c r="DM528" s="224"/>
      <c r="DN528" s="223"/>
      <c r="DO528" s="224"/>
      <c r="DP528" s="224"/>
      <c r="DQ528" s="224"/>
      <c r="DR528" s="224"/>
      <c r="DS528" s="223"/>
      <c r="DT528" s="224"/>
      <c r="DU528" s="224"/>
      <c r="DV528" s="224"/>
      <c r="DW528" s="224"/>
      <c r="DX528" s="223"/>
      <c r="DY528" s="224"/>
      <c r="DZ528" s="224"/>
      <c r="EA528" s="224"/>
      <c r="EB528" s="224"/>
      <c r="EC528" s="223"/>
      <c r="ED528" s="224"/>
      <c r="EE528" s="224"/>
      <c r="EF528" s="224"/>
      <c r="EG528" s="224"/>
      <c r="EH528" s="223"/>
      <c r="EI528" s="224"/>
      <c r="EJ528" s="224"/>
      <c r="EK528" s="224"/>
      <c r="EL528" s="224"/>
      <c r="EM528" s="223"/>
      <c r="EN528" s="224"/>
      <c r="EO528" s="224"/>
      <c r="EP528" s="224"/>
      <c r="EQ528" s="224"/>
      <c r="ER528" s="223"/>
      <c r="ES528" s="224"/>
      <c r="ET528" s="224"/>
      <c r="EU528" s="224"/>
      <c r="EV528" s="224"/>
      <c r="EW528" s="223"/>
      <c r="EX528" s="224"/>
      <c r="EY528" s="224"/>
      <c r="EZ528" s="224"/>
      <c r="FA528" s="224"/>
      <c r="FB528" s="223"/>
      <c r="FC528" s="224"/>
      <c r="FD528" s="224"/>
      <c r="FE528" s="224"/>
      <c r="FF528" s="224"/>
      <c r="FG528" s="223"/>
      <c r="FH528" s="224"/>
      <c r="FI528" s="224"/>
      <c r="FJ528" s="224"/>
      <c r="FK528" s="224"/>
      <c r="FL528" s="223"/>
      <c r="FM528" s="224"/>
      <c r="FN528" s="224"/>
      <c r="FO528" s="224"/>
      <c r="FP528" s="224"/>
      <c r="FQ528" s="223"/>
      <c r="FR528" s="224"/>
      <c r="FS528" s="224"/>
      <c r="FT528" s="224"/>
      <c r="FU528" s="224"/>
      <c r="FV528" s="223"/>
      <c r="FW528" s="224"/>
      <c r="FX528" s="224"/>
      <c r="FY528" s="224"/>
      <c r="FZ528" s="224"/>
      <c r="GA528" s="223"/>
      <c r="GB528" s="224"/>
      <c r="GC528" s="224"/>
      <c r="GD528" s="224"/>
      <c r="GE528" s="224"/>
    </row>
    <row r="529" spans="3:187" ht="12.75" customHeight="1">
      <c r="C529" s="223"/>
      <c r="D529" s="224"/>
      <c r="E529" s="224"/>
      <c r="F529" s="224"/>
      <c r="G529" s="224"/>
      <c r="H529" s="223"/>
      <c r="I529" s="224"/>
      <c r="J529" s="224"/>
      <c r="K529" s="224"/>
      <c r="L529" s="224"/>
      <c r="M529" s="223"/>
      <c r="N529" s="224"/>
      <c r="O529" s="224"/>
      <c r="P529" s="224"/>
      <c r="Q529" s="224"/>
      <c r="R529" s="223"/>
      <c r="S529" s="224"/>
      <c r="T529" s="224"/>
      <c r="U529" s="224"/>
      <c r="V529" s="224"/>
      <c r="W529" s="223"/>
      <c r="X529" s="224"/>
      <c r="Y529" s="224"/>
      <c r="Z529" s="224"/>
      <c r="AA529" s="224"/>
      <c r="AB529" s="223"/>
      <c r="AC529" s="224"/>
      <c r="AD529" s="224"/>
      <c r="AE529" s="224"/>
      <c r="AF529" s="224"/>
      <c r="AG529" s="223"/>
      <c r="AH529" s="224"/>
      <c r="AI529" s="224"/>
      <c r="AJ529" s="224"/>
      <c r="AK529" s="224"/>
      <c r="AL529" s="223"/>
      <c r="AM529" s="224"/>
      <c r="AN529" s="224"/>
      <c r="AO529" s="224"/>
      <c r="AP529" s="224"/>
      <c r="AQ529" s="223"/>
      <c r="AR529" s="224"/>
      <c r="AS529" s="224"/>
      <c r="AT529" s="224"/>
      <c r="AU529" s="224"/>
      <c r="AV529" s="223"/>
      <c r="AW529" s="224"/>
      <c r="AX529" s="224"/>
      <c r="AY529" s="224"/>
      <c r="AZ529" s="224"/>
      <c r="BA529" s="223"/>
      <c r="BB529" s="224"/>
      <c r="BC529" s="224"/>
      <c r="BD529" s="224"/>
      <c r="BE529" s="224"/>
      <c r="BF529" s="223"/>
      <c r="BG529" s="224"/>
      <c r="BH529" s="224"/>
      <c r="BI529" s="224"/>
      <c r="BJ529" s="224"/>
      <c r="BK529" s="223"/>
      <c r="BL529" s="224"/>
      <c r="BM529" s="224"/>
      <c r="BN529" s="224"/>
      <c r="BO529" s="224"/>
      <c r="BP529" s="223"/>
      <c r="BQ529" s="224"/>
      <c r="BR529" s="224"/>
      <c r="BS529" s="224"/>
      <c r="BT529" s="224"/>
      <c r="BU529" s="223"/>
      <c r="BV529" s="224"/>
      <c r="BW529" s="224"/>
      <c r="BX529" s="224"/>
      <c r="BY529" s="224"/>
      <c r="BZ529" s="223"/>
      <c r="CA529" s="224"/>
      <c r="CB529" s="224"/>
      <c r="CC529" s="224"/>
      <c r="CD529" s="224"/>
      <c r="CE529" s="223"/>
      <c r="CF529" s="224"/>
      <c r="CG529" s="224"/>
      <c r="CH529" s="224"/>
      <c r="CI529" s="224"/>
      <c r="CJ529" s="223"/>
      <c r="CK529" s="224"/>
      <c r="CL529" s="224"/>
      <c r="CM529" s="224"/>
      <c r="CN529" s="224"/>
      <c r="CO529" s="223"/>
      <c r="CP529" s="224"/>
      <c r="CQ529" s="224"/>
      <c r="CR529" s="224"/>
      <c r="CS529" s="224"/>
      <c r="CT529" s="223"/>
      <c r="CU529" s="224"/>
      <c r="CV529" s="224"/>
      <c r="CW529" s="224"/>
      <c r="CX529" s="224"/>
      <c r="CY529" s="223"/>
      <c r="CZ529" s="224"/>
      <c r="DA529" s="224"/>
      <c r="DB529" s="224"/>
      <c r="DC529" s="224"/>
      <c r="DD529" s="223"/>
      <c r="DE529" s="224"/>
      <c r="DF529" s="224"/>
      <c r="DG529" s="224"/>
      <c r="DH529" s="224"/>
      <c r="DI529" s="223"/>
      <c r="DJ529" s="224"/>
      <c r="DK529" s="224"/>
      <c r="DL529" s="224"/>
      <c r="DM529" s="224"/>
      <c r="DN529" s="223"/>
      <c r="DO529" s="224"/>
      <c r="DP529" s="224"/>
      <c r="DQ529" s="224"/>
      <c r="DR529" s="224"/>
      <c r="DS529" s="223"/>
      <c r="DT529" s="224"/>
      <c r="DU529" s="224"/>
      <c r="DV529" s="224"/>
      <c r="DW529" s="224"/>
      <c r="DX529" s="223"/>
      <c r="DY529" s="224"/>
      <c r="DZ529" s="224"/>
      <c r="EA529" s="224"/>
      <c r="EB529" s="224"/>
      <c r="EC529" s="223"/>
      <c r="ED529" s="224"/>
      <c r="EE529" s="224"/>
      <c r="EF529" s="224"/>
      <c r="EG529" s="224"/>
      <c r="EH529" s="223"/>
      <c r="EI529" s="224"/>
      <c r="EJ529" s="224"/>
      <c r="EK529" s="224"/>
      <c r="EL529" s="224"/>
      <c r="EM529" s="223"/>
      <c r="EN529" s="224"/>
      <c r="EO529" s="224"/>
      <c r="EP529" s="224"/>
      <c r="EQ529" s="224"/>
      <c r="ER529" s="223"/>
      <c r="ES529" s="224"/>
      <c r="ET529" s="224"/>
      <c r="EU529" s="224"/>
      <c r="EV529" s="224"/>
      <c r="EW529" s="223"/>
      <c r="EX529" s="224"/>
      <c r="EY529" s="224"/>
      <c r="EZ529" s="224"/>
      <c r="FA529" s="224"/>
      <c r="FB529" s="223"/>
      <c r="FC529" s="224"/>
      <c r="FD529" s="224"/>
      <c r="FE529" s="224"/>
      <c r="FF529" s="224"/>
      <c r="FG529" s="223"/>
      <c r="FH529" s="224"/>
      <c r="FI529" s="224"/>
      <c r="FJ529" s="224"/>
      <c r="FK529" s="224"/>
      <c r="FL529" s="223"/>
      <c r="FM529" s="224"/>
      <c r="FN529" s="224"/>
      <c r="FO529" s="224"/>
      <c r="FP529" s="224"/>
      <c r="FQ529" s="223"/>
      <c r="FR529" s="224"/>
      <c r="FS529" s="224"/>
      <c r="FT529" s="224"/>
      <c r="FU529" s="224"/>
      <c r="FV529" s="223"/>
      <c r="FW529" s="224"/>
      <c r="FX529" s="224"/>
      <c r="FY529" s="224"/>
      <c r="FZ529" s="224"/>
      <c r="GA529" s="223"/>
      <c r="GB529" s="224"/>
      <c r="GC529" s="224"/>
      <c r="GD529" s="224"/>
      <c r="GE529" s="224"/>
    </row>
    <row r="530" spans="3:187" ht="12.75" customHeight="1">
      <c r="C530" s="223"/>
      <c r="D530" s="224"/>
      <c r="E530" s="224"/>
      <c r="F530" s="224"/>
      <c r="G530" s="224"/>
      <c r="H530" s="223"/>
      <c r="I530" s="224"/>
      <c r="J530" s="224"/>
      <c r="K530" s="224"/>
      <c r="L530" s="224"/>
      <c r="M530" s="223"/>
      <c r="N530" s="224"/>
      <c r="O530" s="224"/>
      <c r="P530" s="224"/>
      <c r="Q530" s="224"/>
      <c r="R530" s="223"/>
      <c r="S530" s="224"/>
      <c r="T530" s="224"/>
      <c r="U530" s="224"/>
      <c r="V530" s="224"/>
      <c r="W530" s="223"/>
      <c r="X530" s="224"/>
      <c r="Y530" s="224"/>
      <c r="Z530" s="224"/>
      <c r="AA530" s="224"/>
      <c r="AB530" s="223"/>
      <c r="AC530" s="224"/>
      <c r="AD530" s="224"/>
      <c r="AE530" s="224"/>
      <c r="AF530" s="224"/>
      <c r="AG530" s="223"/>
      <c r="AH530" s="224"/>
      <c r="AI530" s="224"/>
      <c r="AJ530" s="224"/>
      <c r="AK530" s="224"/>
      <c r="AL530" s="223"/>
      <c r="AM530" s="224"/>
      <c r="AN530" s="224"/>
      <c r="AO530" s="224"/>
      <c r="AP530" s="224"/>
      <c r="AQ530" s="223"/>
      <c r="AR530" s="224"/>
      <c r="AS530" s="224"/>
      <c r="AT530" s="224"/>
      <c r="AU530" s="224"/>
      <c r="AV530" s="223"/>
      <c r="AW530" s="224"/>
      <c r="AX530" s="224"/>
      <c r="AY530" s="224"/>
      <c r="AZ530" s="224"/>
      <c r="BA530" s="223"/>
      <c r="BB530" s="224"/>
      <c r="BC530" s="224"/>
      <c r="BD530" s="224"/>
      <c r="BE530" s="224"/>
      <c r="BF530" s="223"/>
      <c r="BG530" s="224"/>
      <c r="BH530" s="224"/>
      <c r="BI530" s="224"/>
      <c r="BJ530" s="224"/>
      <c r="BK530" s="223"/>
      <c r="BL530" s="224"/>
      <c r="BM530" s="224"/>
      <c r="BN530" s="224"/>
      <c r="BO530" s="224"/>
      <c r="BP530" s="223"/>
      <c r="BQ530" s="224"/>
      <c r="BR530" s="224"/>
      <c r="BS530" s="224"/>
      <c r="BT530" s="224"/>
      <c r="BU530" s="223"/>
      <c r="BV530" s="224"/>
      <c r="BW530" s="224"/>
      <c r="BX530" s="224"/>
      <c r="BY530" s="224"/>
      <c r="BZ530" s="223"/>
      <c r="CA530" s="224"/>
      <c r="CB530" s="224"/>
      <c r="CC530" s="224"/>
      <c r="CD530" s="224"/>
      <c r="CE530" s="223"/>
      <c r="CF530" s="224"/>
      <c r="CG530" s="224"/>
      <c r="CH530" s="224"/>
      <c r="CI530" s="224"/>
      <c r="CJ530" s="223"/>
      <c r="CK530" s="224"/>
      <c r="CL530" s="224"/>
      <c r="CM530" s="224"/>
      <c r="CN530" s="224"/>
      <c r="CO530" s="223"/>
      <c r="CP530" s="224"/>
      <c r="CQ530" s="224"/>
      <c r="CR530" s="224"/>
      <c r="CS530" s="224"/>
      <c r="CT530" s="223"/>
      <c r="CU530" s="224"/>
      <c r="CV530" s="224"/>
      <c r="CW530" s="224"/>
      <c r="CX530" s="224"/>
      <c r="CY530" s="223"/>
      <c r="CZ530" s="224"/>
      <c r="DA530" s="224"/>
      <c r="DB530" s="224"/>
      <c r="DC530" s="224"/>
      <c r="DD530" s="223"/>
      <c r="DE530" s="224"/>
      <c r="DF530" s="224"/>
      <c r="DG530" s="224"/>
      <c r="DH530" s="224"/>
      <c r="DI530" s="223"/>
      <c r="DJ530" s="224"/>
      <c r="DK530" s="224"/>
      <c r="DL530" s="224"/>
      <c r="DM530" s="224"/>
      <c r="DN530" s="223"/>
      <c r="DO530" s="224"/>
      <c r="DP530" s="224"/>
      <c r="DQ530" s="224"/>
      <c r="DR530" s="224"/>
      <c r="DS530" s="223"/>
      <c r="DT530" s="224"/>
      <c r="DU530" s="224"/>
      <c r="DV530" s="224"/>
      <c r="DW530" s="224"/>
      <c r="DX530" s="223"/>
      <c r="DY530" s="224"/>
      <c r="DZ530" s="224"/>
      <c r="EA530" s="224"/>
      <c r="EB530" s="224"/>
      <c r="EC530" s="223"/>
      <c r="ED530" s="224"/>
      <c r="EE530" s="224"/>
      <c r="EF530" s="224"/>
      <c r="EG530" s="224"/>
      <c r="EH530" s="223"/>
      <c r="EI530" s="224"/>
      <c r="EJ530" s="224"/>
      <c r="EK530" s="224"/>
      <c r="EL530" s="224"/>
      <c r="EM530" s="223"/>
      <c r="EN530" s="224"/>
      <c r="EO530" s="224"/>
      <c r="EP530" s="224"/>
      <c r="EQ530" s="224"/>
      <c r="ER530" s="223"/>
      <c r="ES530" s="224"/>
      <c r="ET530" s="224"/>
      <c r="EU530" s="224"/>
      <c r="EV530" s="224"/>
      <c r="EW530" s="223"/>
      <c r="EX530" s="224"/>
      <c r="EY530" s="224"/>
      <c r="EZ530" s="224"/>
      <c r="FA530" s="224"/>
      <c r="FB530" s="223"/>
      <c r="FC530" s="224"/>
      <c r="FD530" s="224"/>
      <c r="FE530" s="224"/>
      <c r="FF530" s="224"/>
      <c r="FG530" s="223"/>
      <c r="FH530" s="224"/>
      <c r="FI530" s="224"/>
      <c r="FJ530" s="224"/>
      <c r="FK530" s="224"/>
      <c r="FL530" s="223"/>
      <c r="FM530" s="224"/>
      <c r="FN530" s="224"/>
      <c r="FO530" s="224"/>
      <c r="FP530" s="224"/>
      <c r="FQ530" s="223"/>
      <c r="FR530" s="224"/>
      <c r="FS530" s="224"/>
      <c r="FT530" s="224"/>
      <c r="FU530" s="224"/>
      <c r="FV530" s="223"/>
      <c r="FW530" s="224"/>
      <c r="FX530" s="224"/>
      <c r="FY530" s="224"/>
      <c r="FZ530" s="224"/>
      <c r="GA530" s="223"/>
      <c r="GB530" s="224"/>
      <c r="GC530" s="224"/>
      <c r="GD530" s="224"/>
      <c r="GE530" s="224"/>
    </row>
    <row r="531" spans="3:187" ht="12.75" customHeight="1">
      <c r="C531" s="169"/>
      <c r="D531" s="169"/>
      <c r="E531" s="169"/>
      <c r="F531" s="169"/>
      <c r="G531" s="169"/>
      <c r="H531" s="169"/>
      <c r="I531" s="169"/>
      <c r="J531" s="169"/>
      <c r="K531" s="169"/>
      <c r="L531" s="169"/>
      <c r="M531" s="169"/>
      <c r="N531" s="169"/>
      <c r="O531" s="169"/>
      <c r="P531" s="169"/>
      <c r="Q531" s="169"/>
      <c r="R531" s="169"/>
      <c r="S531" s="169"/>
      <c r="T531" s="169"/>
      <c r="U531" s="169"/>
      <c r="V531" s="169"/>
      <c r="W531" s="169"/>
      <c r="X531" s="169"/>
      <c r="Y531" s="169"/>
      <c r="Z531" s="169"/>
      <c r="AA531" s="169"/>
      <c r="AB531" s="169"/>
      <c r="AC531" s="169"/>
      <c r="AD531" s="169"/>
      <c r="AE531" s="169"/>
      <c r="AF531" s="169"/>
      <c r="AG531" s="169"/>
      <c r="AH531" s="169"/>
      <c r="AI531" s="169"/>
      <c r="AJ531" s="169"/>
      <c r="AK531" s="169"/>
      <c r="AL531" s="169"/>
      <c r="AM531" s="169"/>
      <c r="AN531" s="169"/>
      <c r="AO531" s="169"/>
      <c r="AP531" s="169"/>
      <c r="AQ531" s="169"/>
      <c r="AR531" s="169"/>
      <c r="AS531" s="169"/>
      <c r="AT531" s="169"/>
      <c r="AU531" s="169"/>
      <c r="AV531" s="169"/>
      <c r="AW531" s="169"/>
      <c r="AX531" s="169"/>
      <c r="AY531" s="169"/>
      <c r="AZ531" s="169"/>
      <c r="BA531" s="169"/>
      <c r="BB531" s="169"/>
      <c r="BC531" s="169"/>
      <c r="BD531" s="169"/>
      <c r="BE531" s="169"/>
      <c r="BF531" s="169"/>
      <c r="BG531" s="169"/>
      <c r="BH531" s="169"/>
      <c r="BI531" s="169"/>
      <c r="BJ531" s="169"/>
      <c r="BK531" s="169"/>
      <c r="BL531" s="169"/>
      <c r="BM531" s="169"/>
      <c r="BN531" s="169"/>
      <c r="BO531" s="169"/>
      <c r="BP531" s="169"/>
      <c r="BQ531" s="169"/>
      <c r="BR531" s="169"/>
      <c r="BS531" s="169"/>
      <c r="BT531" s="169"/>
      <c r="BU531" s="169"/>
      <c r="BV531" s="169"/>
      <c r="BW531" s="169"/>
      <c r="BX531" s="169"/>
      <c r="BY531" s="169"/>
      <c r="BZ531" s="169"/>
      <c r="CA531" s="169"/>
      <c r="CB531" s="169"/>
      <c r="CC531" s="169"/>
      <c r="CD531" s="169"/>
      <c r="CE531" s="169"/>
      <c r="CF531" s="169"/>
      <c r="CG531" s="169"/>
      <c r="CH531" s="169"/>
      <c r="CI531" s="169"/>
      <c r="CJ531" s="169"/>
      <c r="CK531" s="169"/>
      <c r="CL531" s="169"/>
      <c r="CM531" s="169"/>
      <c r="CN531" s="169"/>
      <c r="CO531" s="169"/>
      <c r="CP531" s="169"/>
      <c r="CQ531" s="169"/>
      <c r="CR531" s="169"/>
      <c r="CS531" s="169"/>
      <c r="CT531" s="169"/>
      <c r="CU531" s="169"/>
      <c r="CV531" s="169"/>
      <c r="CW531" s="169"/>
      <c r="CX531" s="169"/>
      <c r="CY531" s="169"/>
      <c r="CZ531" s="169"/>
      <c r="DA531" s="169"/>
      <c r="DB531" s="169"/>
      <c r="DC531" s="169"/>
      <c r="DD531" s="169"/>
      <c r="DE531" s="169"/>
      <c r="DF531" s="169"/>
      <c r="DG531" s="169"/>
      <c r="DH531" s="169"/>
      <c r="DI531" s="169"/>
      <c r="DJ531" s="169"/>
      <c r="DK531" s="169"/>
      <c r="DL531" s="169"/>
      <c r="DM531" s="169"/>
      <c r="DN531" s="169"/>
      <c r="DO531" s="169"/>
      <c r="DP531" s="169"/>
      <c r="DQ531" s="169"/>
      <c r="DR531" s="169"/>
      <c r="DS531" s="169"/>
      <c r="DT531" s="169"/>
      <c r="DU531" s="169"/>
      <c r="DV531" s="169"/>
      <c r="DW531" s="169"/>
      <c r="DX531" s="169"/>
      <c r="DY531" s="169"/>
      <c r="DZ531" s="169"/>
      <c r="EA531" s="169"/>
      <c r="EB531" s="169"/>
      <c r="EC531" s="169"/>
      <c r="ED531" s="169"/>
      <c r="EE531" s="169"/>
      <c r="EF531" s="169"/>
      <c r="EG531" s="169"/>
      <c r="EH531" s="169"/>
      <c r="EI531" s="169"/>
      <c r="EJ531" s="169"/>
      <c r="EK531" s="169"/>
      <c r="EL531" s="169"/>
      <c r="EM531" s="169"/>
      <c r="EN531" s="169"/>
      <c r="EO531" s="169"/>
      <c r="EP531" s="169"/>
      <c r="EQ531" s="169"/>
      <c r="ER531" s="169"/>
      <c r="ES531" s="169"/>
      <c r="ET531" s="169"/>
      <c r="EU531" s="169"/>
      <c r="EV531" s="169"/>
      <c r="EW531" s="169"/>
      <c r="EX531" s="169"/>
      <c r="EY531" s="169"/>
      <c r="EZ531" s="169"/>
      <c r="FA531" s="169"/>
      <c r="FB531" s="169"/>
      <c r="FC531" s="169"/>
      <c r="FD531" s="169"/>
      <c r="FE531" s="169"/>
      <c r="FF531" s="169"/>
      <c r="FG531" s="169"/>
      <c r="FH531" s="169"/>
      <c r="FI531" s="169"/>
      <c r="FJ531" s="169"/>
      <c r="FK531" s="169"/>
      <c r="FL531" s="169"/>
      <c r="FM531" s="169"/>
      <c r="FN531" s="169"/>
      <c r="FO531" s="169"/>
      <c r="FP531" s="169"/>
      <c r="FQ531" s="169"/>
      <c r="FR531" s="169"/>
      <c r="FS531" s="169"/>
      <c r="FT531" s="169"/>
      <c r="FU531" s="169"/>
      <c r="FV531" s="169"/>
      <c r="FW531" s="169"/>
      <c r="FX531" s="169"/>
      <c r="FY531" s="169"/>
      <c r="FZ531" s="169"/>
      <c r="GA531" s="169"/>
      <c r="GB531" s="169"/>
      <c r="GC531" s="169"/>
      <c r="GD531" s="169"/>
      <c r="GE531" s="169"/>
    </row>
    <row r="532" spans="3:187" ht="12.75" customHeight="1">
      <c r="C532" s="228"/>
      <c r="D532" s="228"/>
      <c r="E532" s="228"/>
      <c r="F532" s="228"/>
      <c r="G532" s="228"/>
      <c r="H532" s="228"/>
      <c r="I532" s="228"/>
      <c r="J532" s="228"/>
      <c r="K532" s="228"/>
      <c r="L532" s="228"/>
      <c r="M532" s="228"/>
      <c r="N532" s="228"/>
      <c r="O532" s="228"/>
      <c r="P532" s="228"/>
      <c r="Q532" s="228"/>
      <c r="R532" s="228"/>
      <c r="S532" s="228"/>
      <c r="T532" s="228"/>
      <c r="U532" s="228"/>
      <c r="V532" s="228"/>
      <c r="W532" s="228"/>
      <c r="X532" s="228"/>
      <c r="Y532" s="228"/>
      <c r="Z532" s="228"/>
      <c r="AA532" s="228"/>
      <c r="AB532" s="228"/>
      <c r="AC532" s="228"/>
      <c r="AD532" s="228"/>
      <c r="AE532" s="228"/>
      <c r="AF532" s="228"/>
      <c r="AG532" s="228"/>
      <c r="AH532" s="228"/>
      <c r="AI532" s="228"/>
      <c r="AJ532" s="228"/>
      <c r="AK532" s="228"/>
      <c r="AL532" s="228"/>
      <c r="AM532" s="228"/>
      <c r="AN532" s="228"/>
      <c r="AO532" s="228"/>
      <c r="AP532" s="228"/>
      <c r="AQ532" s="228"/>
      <c r="AR532" s="228"/>
      <c r="AS532" s="228"/>
      <c r="AT532" s="228"/>
      <c r="AU532" s="228"/>
      <c r="AV532" s="228"/>
      <c r="AW532" s="228"/>
      <c r="AX532" s="228"/>
      <c r="AY532" s="228"/>
      <c r="AZ532" s="228"/>
      <c r="BA532" s="228"/>
      <c r="BB532" s="228"/>
      <c r="BC532" s="228"/>
      <c r="BD532" s="228"/>
      <c r="BE532" s="228"/>
      <c r="BF532" s="228"/>
      <c r="BG532" s="228"/>
      <c r="BH532" s="228"/>
      <c r="BI532" s="228"/>
      <c r="BJ532" s="228"/>
      <c r="BK532" s="228"/>
      <c r="BL532" s="228"/>
      <c r="BM532" s="228"/>
      <c r="BN532" s="228"/>
      <c r="BO532" s="228"/>
      <c r="BP532" s="228"/>
      <c r="BQ532" s="228"/>
      <c r="BR532" s="228"/>
      <c r="BS532" s="228"/>
      <c r="BT532" s="228"/>
      <c r="BU532" s="228"/>
      <c r="BV532" s="228"/>
      <c r="BW532" s="228"/>
      <c r="BX532" s="228"/>
      <c r="BY532" s="228"/>
      <c r="BZ532" s="228"/>
      <c r="CA532" s="228"/>
      <c r="CB532" s="228"/>
      <c r="CC532" s="228"/>
      <c r="CD532" s="228"/>
      <c r="CE532" s="228"/>
      <c r="CF532" s="228"/>
      <c r="CG532" s="228"/>
      <c r="CH532" s="228"/>
      <c r="CI532" s="228"/>
      <c r="CJ532" s="228"/>
      <c r="CK532" s="228"/>
      <c r="CL532" s="228"/>
      <c r="CM532" s="228"/>
      <c r="CN532" s="228"/>
      <c r="CO532" s="228"/>
      <c r="CP532" s="228"/>
      <c r="CQ532" s="228"/>
      <c r="CR532" s="228"/>
      <c r="CS532" s="228"/>
      <c r="CT532" s="228"/>
      <c r="CU532" s="228"/>
      <c r="CV532" s="228"/>
      <c r="CW532" s="228"/>
      <c r="CX532" s="228"/>
      <c r="CY532" s="228"/>
      <c r="CZ532" s="228"/>
      <c r="DA532" s="228"/>
      <c r="DB532" s="228"/>
      <c r="DC532" s="228"/>
      <c r="DD532" s="228"/>
      <c r="DE532" s="228"/>
      <c r="DF532" s="228"/>
      <c r="DG532" s="228"/>
      <c r="DH532" s="228"/>
      <c r="DI532" s="228"/>
      <c r="DJ532" s="228"/>
      <c r="DK532" s="228"/>
      <c r="DL532" s="228"/>
      <c r="DM532" s="228"/>
      <c r="DN532" s="228"/>
      <c r="DO532" s="228"/>
      <c r="DP532" s="228"/>
      <c r="DQ532" s="228"/>
      <c r="DR532" s="228"/>
      <c r="DS532" s="228"/>
      <c r="DT532" s="228"/>
      <c r="DU532" s="228"/>
      <c r="DV532" s="228"/>
      <c r="DW532" s="228"/>
      <c r="DX532" s="228"/>
      <c r="DY532" s="228"/>
      <c r="DZ532" s="228"/>
      <c r="EA532" s="228"/>
      <c r="EB532" s="228"/>
      <c r="EC532" s="228"/>
      <c r="ED532" s="228"/>
      <c r="EE532" s="228"/>
      <c r="EF532" s="228"/>
      <c r="EG532" s="228"/>
      <c r="EH532" s="228"/>
      <c r="EI532" s="228"/>
      <c r="EJ532" s="228"/>
      <c r="EK532" s="228"/>
      <c r="EL532" s="228"/>
      <c r="EM532" s="228"/>
      <c r="EN532" s="228"/>
      <c r="EO532" s="228"/>
      <c r="EP532" s="228"/>
      <c r="EQ532" s="228"/>
      <c r="ER532" s="228"/>
      <c r="ES532" s="228"/>
      <c r="ET532" s="228"/>
      <c r="EU532" s="228"/>
      <c r="EV532" s="228"/>
      <c r="EW532" s="228"/>
      <c r="EX532" s="228"/>
      <c r="EY532" s="228"/>
      <c r="EZ532" s="228"/>
      <c r="FA532" s="228"/>
      <c r="FB532" s="228"/>
      <c r="FC532" s="228"/>
      <c r="FD532" s="228"/>
      <c r="FE532" s="228"/>
      <c r="FF532" s="228"/>
      <c r="FG532" s="228"/>
      <c r="FH532" s="228"/>
      <c r="FI532" s="228"/>
      <c r="FJ532" s="228"/>
      <c r="FK532" s="228"/>
      <c r="FL532" s="228"/>
      <c r="FM532" s="228"/>
      <c r="FN532" s="228"/>
      <c r="FO532" s="228"/>
      <c r="FP532" s="228"/>
      <c r="FQ532" s="228"/>
      <c r="FR532" s="228"/>
      <c r="FS532" s="228"/>
      <c r="FT532" s="228"/>
      <c r="FU532" s="228"/>
      <c r="FV532" s="228"/>
      <c r="FW532" s="228"/>
      <c r="FX532" s="228"/>
      <c r="FY532" s="228"/>
      <c r="FZ532" s="228"/>
      <c r="GA532" s="228"/>
      <c r="GB532" s="228"/>
      <c r="GC532" s="228"/>
      <c r="GD532" s="228"/>
      <c r="GE532" s="228"/>
    </row>
    <row r="533" spans="3:187" ht="12.75" customHeight="1">
      <c r="C533" s="169"/>
      <c r="D533" s="169"/>
      <c r="E533" s="169"/>
      <c r="F533" s="169"/>
      <c r="G533" s="169"/>
      <c r="H533" s="169"/>
      <c r="I533" s="169"/>
      <c r="J533" s="169"/>
      <c r="K533" s="169"/>
      <c r="L533" s="169"/>
      <c r="M533" s="169"/>
      <c r="N533" s="169"/>
      <c r="O533" s="169"/>
      <c r="P533" s="169"/>
      <c r="Q533" s="169"/>
      <c r="R533" s="169"/>
      <c r="S533" s="169"/>
      <c r="T533" s="169"/>
      <c r="U533" s="169"/>
      <c r="V533" s="169"/>
      <c r="W533" s="169"/>
      <c r="X533" s="169"/>
      <c r="Y533" s="169"/>
      <c r="Z533" s="169"/>
      <c r="AA533" s="169"/>
      <c r="AB533" s="169"/>
      <c r="AC533" s="169"/>
      <c r="AD533" s="169"/>
      <c r="AE533" s="169"/>
      <c r="AF533" s="169"/>
      <c r="AG533" s="169"/>
      <c r="AH533" s="169"/>
      <c r="AI533" s="169"/>
      <c r="AJ533" s="169"/>
      <c r="AK533" s="169"/>
      <c r="AL533" s="169"/>
      <c r="AM533" s="169"/>
      <c r="AN533" s="169"/>
      <c r="AO533" s="169"/>
      <c r="AP533" s="169"/>
      <c r="AQ533" s="169"/>
      <c r="AR533" s="169"/>
      <c r="AS533" s="169"/>
      <c r="AT533" s="169"/>
      <c r="AU533" s="169"/>
      <c r="AV533" s="169"/>
      <c r="AW533" s="169"/>
      <c r="AX533" s="169"/>
      <c r="AY533" s="169"/>
      <c r="AZ533" s="169"/>
      <c r="BA533" s="169"/>
      <c r="BB533" s="169"/>
      <c r="BC533" s="169"/>
      <c r="BD533" s="169"/>
      <c r="BE533" s="169"/>
      <c r="BF533" s="169"/>
      <c r="BG533" s="169"/>
      <c r="BH533" s="169"/>
      <c r="BI533" s="169"/>
      <c r="BJ533" s="169"/>
      <c r="BK533" s="169"/>
      <c r="BL533" s="169"/>
      <c r="BM533" s="169"/>
      <c r="BN533" s="169"/>
      <c r="BO533" s="169"/>
      <c r="BP533" s="169"/>
      <c r="BQ533" s="169"/>
      <c r="BR533" s="169"/>
      <c r="BS533" s="169"/>
      <c r="BT533" s="169"/>
      <c r="BU533" s="169"/>
      <c r="BV533" s="169"/>
      <c r="BW533" s="169"/>
      <c r="BX533" s="169"/>
      <c r="BY533" s="169"/>
      <c r="BZ533" s="169"/>
      <c r="CA533" s="169"/>
      <c r="CB533" s="169"/>
      <c r="CC533" s="169"/>
      <c r="CD533" s="169"/>
      <c r="CE533" s="169"/>
      <c r="CF533" s="169"/>
      <c r="CG533" s="169"/>
      <c r="CH533" s="169"/>
      <c r="CI533" s="169"/>
      <c r="CJ533" s="169"/>
      <c r="CK533" s="169"/>
      <c r="CL533" s="169"/>
      <c r="CM533" s="169"/>
      <c r="CN533" s="169"/>
      <c r="CO533" s="169"/>
      <c r="CP533" s="169"/>
      <c r="CQ533" s="169"/>
      <c r="CR533" s="169"/>
      <c r="CS533" s="169"/>
      <c r="CT533" s="169"/>
      <c r="CU533" s="169"/>
      <c r="CV533" s="169"/>
      <c r="CW533" s="169"/>
      <c r="CX533" s="169"/>
      <c r="CY533" s="169"/>
      <c r="CZ533" s="169"/>
      <c r="DA533" s="169"/>
      <c r="DB533" s="169"/>
      <c r="DC533" s="169"/>
      <c r="DD533" s="169"/>
      <c r="DE533" s="169"/>
      <c r="DF533" s="169"/>
      <c r="DG533" s="169"/>
      <c r="DH533" s="169"/>
      <c r="DI533" s="169"/>
      <c r="DJ533" s="169"/>
      <c r="DK533" s="169"/>
      <c r="DL533" s="169"/>
      <c r="DM533" s="169"/>
      <c r="DN533" s="169"/>
      <c r="DO533" s="169"/>
      <c r="DP533" s="169"/>
      <c r="DQ533" s="169"/>
      <c r="DR533" s="169"/>
      <c r="DS533" s="169"/>
      <c r="DT533" s="169"/>
      <c r="DU533" s="169"/>
      <c r="DV533" s="169"/>
      <c r="DW533" s="169"/>
      <c r="DX533" s="169"/>
      <c r="DY533" s="169"/>
      <c r="DZ533" s="169"/>
      <c r="EA533" s="169"/>
      <c r="EB533" s="169"/>
      <c r="EC533" s="169"/>
      <c r="ED533" s="169"/>
      <c r="EE533" s="169"/>
      <c r="EF533" s="169"/>
      <c r="EG533" s="169"/>
      <c r="EH533" s="169"/>
      <c r="EI533" s="169"/>
      <c r="EJ533" s="169"/>
      <c r="EK533" s="169"/>
      <c r="EL533" s="169"/>
      <c r="EM533" s="169"/>
      <c r="EN533" s="169"/>
      <c r="EO533" s="169"/>
      <c r="EP533" s="169"/>
      <c r="EQ533" s="169"/>
      <c r="ER533" s="169"/>
      <c r="ES533" s="169"/>
      <c r="ET533" s="169"/>
      <c r="EU533" s="169"/>
      <c r="EV533" s="169"/>
      <c r="EW533" s="169"/>
      <c r="EX533" s="169"/>
      <c r="EY533" s="169"/>
      <c r="EZ533" s="169"/>
      <c r="FA533" s="169"/>
      <c r="FB533" s="169"/>
      <c r="FC533" s="169"/>
      <c r="FD533" s="169"/>
      <c r="FE533" s="169"/>
      <c r="FF533" s="169"/>
      <c r="FG533" s="169"/>
      <c r="FH533" s="169"/>
      <c r="FI533" s="169"/>
      <c r="FJ533" s="169"/>
      <c r="FK533" s="169"/>
      <c r="FL533" s="169"/>
      <c r="FM533" s="169"/>
      <c r="FN533" s="169"/>
      <c r="FO533" s="169"/>
      <c r="FP533" s="169"/>
      <c r="FQ533" s="169"/>
      <c r="FR533" s="169"/>
      <c r="FS533" s="169"/>
      <c r="FT533" s="169"/>
      <c r="FU533" s="169"/>
      <c r="FV533" s="169"/>
      <c r="FW533" s="169"/>
      <c r="FX533" s="169"/>
      <c r="FY533" s="169"/>
      <c r="FZ533" s="169"/>
      <c r="GA533" s="169"/>
      <c r="GB533" s="169"/>
      <c r="GC533" s="169"/>
      <c r="GD533" s="169"/>
      <c r="GE533" s="169"/>
    </row>
    <row r="534" spans="3:187" ht="12.75" customHeight="1">
      <c r="C534" s="106"/>
      <c r="D534" s="106"/>
      <c r="E534" s="106"/>
      <c r="F534" s="106"/>
      <c r="G534" s="106"/>
      <c r="H534" s="106"/>
      <c r="I534" s="106"/>
      <c r="J534" s="106"/>
      <c r="K534" s="106"/>
      <c r="L534" s="106"/>
      <c r="M534" s="106"/>
      <c r="N534" s="106"/>
      <c r="O534" s="106"/>
      <c r="P534" s="106"/>
      <c r="Q534" s="106"/>
      <c r="R534" s="106"/>
      <c r="S534" s="106"/>
      <c r="T534" s="106"/>
      <c r="U534" s="106"/>
      <c r="V534" s="106"/>
      <c r="W534" s="106"/>
      <c r="X534" s="106"/>
      <c r="Y534" s="106"/>
      <c r="Z534" s="106"/>
      <c r="AA534" s="106"/>
      <c r="AB534" s="106"/>
      <c r="AC534" s="106"/>
      <c r="AD534" s="106"/>
      <c r="AE534" s="106"/>
      <c r="AF534" s="106"/>
      <c r="AG534" s="106"/>
      <c r="AH534" s="106"/>
      <c r="AI534" s="106"/>
      <c r="AJ534" s="106"/>
      <c r="AK534" s="106"/>
      <c r="AL534" s="106"/>
      <c r="AM534" s="106"/>
      <c r="AN534" s="106"/>
      <c r="AO534" s="106"/>
      <c r="AP534" s="106"/>
      <c r="AQ534" s="106"/>
      <c r="AR534" s="106"/>
      <c r="AS534" s="106"/>
      <c r="AT534" s="106"/>
      <c r="AU534" s="106"/>
      <c r="AV534" s="106"/>
      <c r="AW534" s="106"/>
      <c r="AX534" s="106"/>
      <c r="AY534" s="106"/>
      <c r="AZ534" s="106"/>
      <c r="BA534" s="106"/>
      <c r="BB534" s="106"/>
      <c r="BC534" s="106"/>
      <c r="BD534" s="106"/>
      <c r="BE534" s="106"/>
      <c r="BF534" s="106"/>
      <c r="BG534" s="106"/>
      <c r="BH534" s="106"/>
      <c r="BI534" s="106"/>
      <c r="BJ534" s="106"/>
      <c r="BK534" s="106"/>
      <c r="BL534" s="106"/>
      <c r="BM534" s="106"/>
      <c r="BN534" s="106"/>
      <c r="BO534" s="106"/>
      <c r="BP534" s="106"/>
      <c r="BQ534" s="106"/>
      <c r="BR534" s="106"/>
      <c r="BS534" s="106"/>
      <c r="BT534" s="106"/>
      <c r="BU534" s="106"/>
      <c r="BV534" s="106"/>
      <c r="BW534" s="106"/>
      <c r="BX534" s="106"/>
      <c r="BY534" s="106"/>
      <c r="BZ534" s="106"/>
      <c r="CA534" s="106"/>
      <c r="CB534" s="106"/>
      <c r="CC534" s="106"/>
      <c r="CD534" s="106"/>
      <c r="CE534" s="106"/>
      <c r="CF534" s="106"/>
      <c r="CG534" s="106"/>
      <c r="CH534" s="106"/>
      <c r="CI534" s="106"/>
      <c r="CJ534" s="106"/>
      <c r="CK534" s="106"/>
      <c r="CL534" s="106"/>
      <c r="CM534" s="106"/>
      <c r="CN534" s="106"/>
      <c r="CO534" s="106"/>
      <c r="CP534" s="106"/>
      <c r="CQ534" s="106"/>
      <c r="CR534" s="106"/>
      <c r="CS534" s="106"/>
      <c r="CT534" s="106"/>
      <c r="CU534" s="106"/>
      <c r="CV534" s="106"/>
      <c r="CW534" s="106"/>
      <c r="CX534" s="106"/>
      <c r="CY534" s="106"/>
      <c r="CZ534" s="106"/>
      <c r="DA534" s="106"/>
      <c r="DB534" s="106"/>
      <c r="DC534" s="106"/>
      <c r="DD534" s="106"/>
      <c r="DE534" s="106"/>
      <c r="DF534" s="106"/>
      <c r="DG534" s="106"/>
      <c r="DH534" s="106"/>
      <c r="DI534" s="106"/>
      <c r="DJ534" s="106"/>
      <c r="DK534" s="106"/>
      <c r="DL534" s="106"/>
      <c r="DM534" s="106"/>
      <c r="DN534" s="106"/>
      <c r="DO534" s="106"/>
      <c r="DP534" s="106"/>
      <c r="DQ534" s="106"/>
      <c r="DR534" s="106"/>
      <c r="DS534" s="106"/>
      <c r="DT534" s="106"/>
      <c r="DU534" s="106"/>
      <c r="DV534" s="106"/>
      <c r="DW534" s="106"/>
      <c r="DX534" s="106"/>
      <c r="DY534" s="106"/>
      <c r="DZ534" s="106"/>
      <c r="EA534" s="106"/>
      <c r="EB534" s="106"/>
      <c r="EC534" s="106"/>
      <c r="ED534" s="106"/>
      <c r="EE534" s="106"/>
      <c r="EF534" s="106"/>
      <c r="EG534" s="106"/>
      <c r="EH534" s="106"/>
      <c r="EI534" s="106"/>
      <c r="EJ534" s="106"/>
      <c r="EK534" s="106"/>
      <c r="EL534" s="106"/>
      <c r="EM534" s="106"/>
      <c r="EN534" s="106"/>
      <c r="EO534" s="106"/>
      <c r="EP534" s="106"/>
      <c r="EQ534" s="106"/>
      <c r="ER534" s="106"/>
      <c r="ES534" s="106"/>
      <c r="ET534" s="106"/>
      <c r="EU534" s="106"/>
      <c r="EV534" s="106"/>
      <c r="EW534" s="106"/>
      <c r="EX534" s="106"/>
      <c r="EY534" s="106"/>
      <c r="EZ534" s="106"/>
      <c r="FA534" s="106"/>
      <c r="FB534" s="106"/>
      <c r="FC534" s="106"/>
      <c r="FD534" s="106"/>
      <c r="FE534" s="106"/>
      <c r="FF534" s="106"/>
      <c r="FG534" s="106"/>
      <c r="FH534" s="106"/>
      <c r="FI534" s="106"/>
      <c r="FJ534" s="106"/>
      <c r="FK534" s="106"/>
      <c r="FL534" s="106"/>
      <c r="FM534" s="106"/>
      <c r="FN534" s="106"/>
      <c r="FO534" s="106"/>
      <c r="FP534" s="106"/>
      <c r="FQ534" s="106"/>
      <c r="FR534" s="106"/>
      <c r="FS534" s="106"/>
      <c r="FT534" s="106"/>
      <c r="FU534" s="106"/>
      <c r="FV534" s="106"/>
      <c r="FW534" s="106"/>
      <c r="FX534" s="106"/>
      <c r="FY534" s="106"/>
      <c r="FZ534" s="106"/>
      <c r="GA534" s="106"/>
      <c r="GB534" s="106"/>
      <c r="GC534" s="106"/>
      <c r="GD534" s="106"/>
      <c r="GE534" s="106"/>
    </row>
    <row r="535" spans="3:187" ht="12.75" customHeight="1">
      <c r="C535" s="169"/>
      <c r="D535" s="169"/>
      <c r="E535" s="169"/>
      <c r="F535" s="169"/>
      <c r="G535" s="169"/>
      <c r="H535" s="169"/>
      <c r="I535" s="169"/>
      <c r="J535" s="169"/>
      <c r="K535" s="169"/>
      <c r="L535" s="169"/>
      <c r="M535" s="169"/>
      <c r="N535" s="169"/>
      <c r="O535" s="169"/>
      <c r="P535" s="169"/>
      <c r="Q535" s="169"/>
      <c r="R535" s="169"/>
      <c r="S535" s="169"/>
      <c r="T535" s="169"/>
      <c r="U535" s="169"/>
      <c r="V535" s="169"/>
      <c r="W535" s="169"/>
      <c r="X535" s="169"/>
      <c r="Y535" s="169"/>
      <c r="Z535" s="169"/>
      <c r="AA535" s="169"/>
      <c r="AB535" s="169"/>
      <c r="AC535" s="169"/>
      <c r="AD535" s="169"/>
      <c r="AE535" s="169"/>
      <c r="AF535" s="169"/>
      <c r="AG535" s="169"/>
      <c r="AH535" s="169"/>
      <c r="AI535" s="169"/>
      <c r="AJ535" s="169"/>
      <c r="AK535" s="169"/>
      <c r="AL535" s="169"/>
      <c r="AM535" s="169"/>
      <c r="AN535" s="169"/>
      <c r="AO535" s="169"/>
      <c r="AP535" s="169"/>
      <c r="AQ535" s="169"/>
      <c r="AR535" s="169"/>
      <c r="AS535" s="169"/>
      <c r="AT535" s="169"/>
      <c r="AU535" s="169"/>
      <c r="AV535" s="169"/>
      <c r="AW535" s="169"/>
      <c r="AX535" s="169"/>
      <c r="AY535" s="169"/>
      <c r="AZ535" s="169"/>
      <c r="BA535" s="169"/>
      <c r="BB535" s="169"/>
      <c r="BC535" s="169"/>
      <c r="BD535" s="169"/>
      <c r="BE535" s="169"/>
      <c r="BF535" s="169"/>
      <c r="BG535" s="169"/>
      <c r="BH535" s="169"/>
      <c r="BI535" s="169"/>
      <c r="BJ535" s="169"/>
      <c r="BK535" s="169"/>
      <c r="BL535" s="169"/>
      <c r="BM535" s="169"/>
      <c r="BN535" s="169"/>
      <c r="BO535" s="169"/>
      <c r="BP535" s="169"/>
      <c r="BQ535" s="169"/>
      <c r="BR535" s="169"/>
      <c r="BS535" s="169"/>
      <c r="BT535" s="169"/>
      <c r="BU535" s="169"/>
      <c r="BV535" s="169"/>
      <c r="BW535" s="169"/>
      <c r="BX535" s="169"/>
      <c r="BY535" s="169"/>
      <c r="BZ535" s="169"/>
      <c r="CA535" s="169"/>
      <c r="CB535" s="169"/>
      <c r="CC535" s="169"/>
      <c r="CD535" s="169"/>
      <c r="CE535" s="169"/>
      <c r="CF535" s="169"/>
      <c r="CG535" s="169"/>
      <c r="CH535" s="169"/>
      <c r="CI535" s="169"/>
      <c r="CJ535" s="169"/>
      <c r="CK535" s="169"/>
      <c r="CL535" s="169"/>
      <c r="CM535" s="169"/>
      <c r="CN535" s="169"/>
      <c r="CO535" s="169"/>
      <c r="CP535" s="169"/>
      <c r="CQ535" s="169"/>
      <c r="CR535" s="169"/>
      <c r="CS535" s="169"/>
      <c r="CT535" s="169"/>
      <c r="CU535" s="169"/>
      <c r="CV535" s="169"/>
      <c r="CW535" s="169"/>
      <c r="CX535" s="169"/>
      <c r="CY535" s="169"/>
      <c r="CZ535" s="169"/>
      <c r="DA535" s="169"/>
      <c r="DB535" s="169"/>
      <c r="DC535" s="169"/>
      <c r="DD535" s="169"/>
      <c r="DE535" s="169"/>
      <c r="DF535" s="169"/>
      <c r="DG535" s="169"/>
      <c r="DH535" s="169"/>
      <c r="DI535" s="169"/>
      <c r="DJ535" s="169"/>
      <c r="DK535" s="169"/>
      <c r="DL535" s="169"/>
      <c r="DM535" s="169"/>
      <c r="DN535" s="169"/>
      <c r="DO535" s="169"/>
      <c r="DP535" s="169"/>
      <c r="DQ535" s="169"/>
      <c r="DR535" s="169"/>
      <c r="DS535" s="169"/>
      <c r="DT535" s="169"/>
      <c r="DU535" s="169"/>
      <c r="DV535" s="169"/>
      <c r="DW535" s="169"/>
      <c r="DX535" s="169"/>
      <c r="DY535" s="169"/>
      <c r="DZ535" s="169"/>
      <c r="EA535" s="169"/>
      <c r="EB535" s="169"/>
      <c r="EC535" s="169"/>
      <c r="ED535" s="169"/>
      <c r="EE535" s="169"/>
      <c r="EF535" s="169"/>
      <c r="EG535" s="169"/>
      <c r="EH535" s="169"/>
      <c r="EI535" s="169"/>
      <c r="EJ535" s="169"/>
      <c r="EK535" s="169"/>
      <c r="EL535" s="169"/>
      <c r="EM535" s="169"/>
      <c r="EN535" s="169"/>
      <c r="EO535" s="169"/>
      <c r="EP535" s="169"/>
      <c r="EQ535" s="169"/>
      <c r="ER535" s="169"/>
      <c r="ES535" s="169"/>
      <c r="ET535" s="169"/>
      <c r="EU535" s="169"/>
      <c r="EV535" s="169"/>
      <c r="EW535" s="169"/>
      <c r="EX535" s="169"/>
      <c r="EY535" s="169"/>
      <c r="EZ535" s="169"/>
      <c r="FA535" s="169"/>
      <c r="FB535" s="169"/>
      <c r="FC535" s="169"/>
      <c r="FD535" s="169"/>
      <c r="FE535" s="169"/>
      <c r="FF535" s="169"/>
      <c r="FG535" s="169"/>
      <c r="FH535" s="169"/>
      <c r="FI535" s="169"/>
      <c r="FJ535" s="169"/>
      <c r="FK535" s="169"/>
      <c r="FL535" s="169"/>
      <c r="FM535" s="169"/>
      <c r="FN535" s="169"/>
      <c r="FO535" s="169"/>
      <c r="FP535" s="169"/>
      <c r="FQ535" s="169"/>
      <c r="FR535" s="169"/>
      <c r="FS535" s="169"/>
      <c r="FT535" s="169"/>
      <c r="FU535" s="169"/>
      <c r="FV535" s="169"/>
      <c r="FW535" s="169"/>
      <c r="FX535" s="169"/>
      <c r="FY535" s="169"/>
      <c r="FZ535" s="169"/>
      <c r="GA535" s="169"/>
      <c r="GB535" s="169"/>
      <c r="GC535" s="169"/>
      <c r="GD535" s="169"/>
      <c r="GE535" s="169"/>
    </row>
    <row r="536" spans="3:187" ht="12.75" customHeight="1">
      <c r="C536" s="169"/>
      <c r="D536" s="169"/>
      <c r="E536" s="169"/>
      <c r="F536" s="169"/>
      <c r="G536" s="169"/>
      <c r="H536" s="169"/>
      <c r="I536" s="169"/>
      <c r="J536" s="169"/>
      <c r="K536" s="169"/>
      <c r="L536" s="169"/>
      <c r="M536" s="169"/>
      <c r="N536" s="169"/>
      <c r="O536" s="169"/>
      <c r="P536" s="169"/>
      <c r="Q536" s="169"/>
      <c r="R536" s="169"/>
      <c r="S536" s="169"/>
      <c r="T536" s="169"/>
      <c r="U536" s="169"/>
      <c r="V536" s="169"/>
      <c r="W536" s="169"/>
      <c r="X536" s="169"/>
      <c r="Y536" s="169"/>
      <c r="Z536" s="169"/>
      <c r="AA536" s="169"/>
      <c r="AB536" s="169"/>
      <c r="AC536" s="169"/>
      <c r="AD536" s="169"/>
      <c r="AE536" s="169"/>
      <c r="AF536" s="169"/>
      <c r="AG536" s="169"/>
      <c r="AH536" s="169"/>
      <c r="AI536" s="169"/>
      <c r="AJ536" s="169"/>
      <c r="AK536" s="169"/>
      <c r="AL536" s="169"/>
      <c r="AM536" s="169"/>
      <c r="AN536" s="169"/>
      <c r="AO536" s="169"/>
      <c r="AP536" s="169"/>
      <c r="AQ536" s="169"/>
      <c r="AR536" s="169"/>
      <c r="AS536" s="169"/>
      <c r="AT536" s="169"/>
      <c r="AU536" s="169"/>
      <c r="AV536" s="169"/>
      <c r="AW536" s="169"/>
      <c r="AX536" s="169"/>
      <c r="AY536" s="169"/>
      <c r="AZ536" s="169"/>
      <c r="BA536" s="169"/>
      <c r="BB536" s="169"/>
      <c r="BC536" s="169"/>
      <c r="BD536" s="169"/>
      <c r="BE536" s="169"/>
      <c r="BF536" s="169"/>
      <c r="BG536" s="169"/>
      <c r="BH536" s="169"/>
      <c r="BI536" s="169"/>
      <c r="BJ536" s="169"/>
      <c r="BK536" s="169"/>
      <c r="BL536" s="169"/>
      <c r="BM536" s="169"/>
      <c r="BN536" s="169"/>
      <c r="BO536" s="169"/>
      <c r="BP536" s="169"/>
      <c r="BQ536" s="169"/>
      <c r="BR536" s="169"/>
      <c r="BS536" s="169"/>
      <c r="BT536" s="169"/>
      <c r="BU536" s="169"/>
      <c r="BV536" s="169"/>
      <c r="BW536" s="169"/>
      <c r="BX536" s="169"/>
      <c r="BY536" s="169"/>
      <c r="BZ536" s="169"/>
      <c r="CA536" s="169"/>
      <c r="CB536" s="169"/>
      <c r="CC536" s="169"/>
      <c r="CD536" s="169"/>
      <c r="CE536" s="169"/>
      <c r="CF536" s="169"/>
      <c r="CG536" s="169"/>
      <c r="CH536" s="169"/>
      <c r="CI536" s="169"/>
      <c r="CJ536" s="169"/>
      <c r="CK536" s="169"/>
      <c r="CL536" s="169"/>
      <c r="CM536" s="169"/>
      <c r="CN536" s="169"/>
      <c r="CO536" s="169"/>
      <c r="CP536" s="169"/>
      <c r="CQ536" s="169"/>
      <c r="CR536" s="169"/>
      <c r="CS536" s="169"/>
      <c r="CT536" s="169"/>
      <c r="CU536" s="169"/>
      <c r="CV536" s="169"/>
      <c r="CW536" s="169"/>
      <c r="CX536" s="169"/>
      <c r="CY536" s="169"/>
      <c r="CZ536" s="169"/>
      <c r="DA536" s="169"/>
      <c r="DB536" s="169"/>
      <c r="DC536" s="169"/>
      <c r="DD536" s="169"/>
      <c r="DE536" s="169"/>
      <c r="DF536" s="169"/>
      <c r="DG536" s="169"/>
      <c r="DH536" s="169"/>
      <c r="DI536" s="169"/>
      <c r="DJ536" s="169"/>
      <c r="DK536" s="169"/>
      <c r="DL536" s="169"/>
      <c r="DM536" s="169"/>
      <c r="DN536" s="169"/>
      <c r="DO536" s="169"/>
      <c r="DP536" s="169"/>
      <c r="DQ536" s="169"/>
      <c r="DR536" s="169"/>
      <c r="DS536" s="169"/>
      <c r="DT536" s="169"/>
      <c r="DU536" s="169"/>
      <c r="DV536" s="169"/>
      <c r="DW536" s="169"/>
      <c r="DX536" s="169"/>
      <c r="DY536" s="169"/>
      <c r="DZ536" s="169"/>
      <c r="EA536" s="169"/>
      <c r="EB536" s="169"/>
      <c r="EC536" s="169"/>
      <c r="ED536" s="169"/>
      <c r="EE536" s="169"/>
      <c r="EF536" s="169"/>
      <c r="EG536" s="169"/>
      <c r="EH536" s="169"/>
      <c r="EI536" s="169"/>
      <c r="EJ536" s="169"/>
      <c r="EK536" s="169"/>
      <c r="EL536" s="169"/>
      <c r="EM536" s="169"/>
      <c r="EN536" s="169"/>
      <c r="EO536" s="169"/>
      <c r="EP536" s="169"/>
      <c r="EQ536" s="169"/>
      <c r="ER536" s="169"/>
      <c r="ES536" s="169"/>
      <c r="ET536" s="169"/>
      <c r="EU536" s="169"/>
      <c r="EV536" s="169"/>
      <c r="EW536" s="169"/>
      <c r="EX536" s="169"/>
      <c r="EY536" s="169"/>
      <c r="EZ536" s="169"/>
      <c r="FA536" s="169"/>
      <c r="FB536" s="169"/>
      <c r="FC536" s="169"/>
      <c r="FD536" s="169"/>
      <c r="FE536" s="169"/>
      <c r="FF536" s="169"/>
      <c r="FG536" s="169"/>
      <c r="FH536" s="169"/>
      <c r="FI536" s="169"/>
      <c r="FJ536" s="169"/>
      <c r="FK536" s="169"/>
      <c r="FL536" s="169"/>
      <c r="FM536" s="169"/>
      <c r="FN536" s="169"/>
      <c r="FO536" s="169"/>
      <c r="FP536" s="169"/>
      <c r="FQ536" s="169"/>
      <c r="FR536" s="169"/>
      <c r="FS536" s="169"/>
      <c r="FT536" s="169"/>
      <c r="FU536" s="169"/>
      <c r="FV536" s="169"/>
      <c r="FW536" s="169"/>
      <c r="FX536" s="169"/>
      <c r="FY536" s="169"/>
      <c r="FZ536" s="169"/>
      <c r="GA536" s="169"/>
      <c r="GB536" s="169"/>
      <c r="GC536" s="169"/>
      <c r="GD536" s="169"/>
      <c r="GE536" s="169"/>
    </row>
    <row r="537" spans="3:187" ht="12.75" customHeight="1">
      <c r="C537" s="198"/>
      <c r="D537" s="198"/>
      <c r="E537" s="198"/>
      <c r="F537" s="198"/>
      <c r="G537" s="198"/>
      <c r="H537" s="198"/>
      <c r="I537" s="198"/>
      <c r="J537" s="198"/>
      <c r="K537" s="198"/>
      <c r="L537" s="198"/>
      <c r="M537" s="198"/>
      <c r="N537" s="198"/>
      <c r="O537" s="198"/>
      <c r="P537" s="198"/>
      <c r="Q537" s="198"/>
      <c r="R537" s="198"/>
      <c r="S537" s="198"/>
      <c r="T537" s="198"/>
      <c r="U537" s="198"/>
      <c r="V537" s="198"/>
      <c r="W537" s="198"/>
      <c r="X537" s="198"/>
      <c r="Y537" s="198"/>
      <c r="Z537" s="198"/>
      <c r="AA537" s="198"/>
      <c r="AB537" s="198"/>
      <c r="AC537" s="198"/>
      <c r="AD537" s="198"/>
      <c r="AE537" s="198"/>
      <c r="AF537" s="198"/>
      <c r="AG537" s="198"/>
      <c r="AH537" s="198"/>
      <c r="AI537" s="198"/>
      <c r="AJ537" s="198"/>
      <c r="AK537" s="198"/>
      <c r="AL537" s="198"/>
      <c r="AM537" s="198"/>
      <c r="AN537" s="198"/>
      <c r="AO537" s="198"/>
      <c r="AP537" s="198"/>
      <c r="AQ537" s="198"/>
      <c r="AR537" s="198"/>
      <c r="AS537" s="198"/>
      <c r="AT537" s="198"/>
      <c r="AU537" s="198"/>
      <c r="AV537" s="198"/>
      <c r="AW537" s="198"/>
      <c r="AX537" s="198"/>
      <c r="AY537" s="198"/>
      <c r="AZ537" s="198"/>
      <c r="BA537" s="198"/>
      <c r="BB537" s="198"/>
      <c r="BC537" s="198"/>
      <c r="BD537" s="198"/>
      <c r="BE537" s="198"/>
      <c r="BF537" s="198"/>
      <c r="BG537" s="198"/>
      <c r="BH537" s="198"/>
      <c r="BI537" s="198"/>
      <c r="BJ537" s="198"/>
      <c r="BK537" s="198"/>
      <c r="BL537" s="198"/>
      <c r="BM537" s="198"/>
      <c r="BN537" s="198"/>
      <c r="BO537" s="198"/>
      <c r="BP537" s="198"/>
      <c r="BQ537" s="198"/>
      <c r="BR537" s="198"/>
      <c r="BS537" s="198"/>
      <c r="BT537" s="198"/>
      <c r="BU537" s="198"/>
      <c r="BV537" s="198"/>
      <c r="BW537" s="198"/>
      <c r="BX537" s="198"/>
      <c r="BY537" s="198"/>
      <c r="BZ537" s="198"/>
      <c r="CA537" s="198"/>
      <c r="CB537" s="198"/>
      <c r="CC537" s="198"/>
      <c r="CD537" s="198"/>
      <c r="CE537" s="198"/>
      <c r="CF537" s="198"/>
      <c r="CG537" s="198"/>
      <c r="CH537" s="198"/>
      <c r="CI537" s="198"/>
      <c r="CJ537" s="198"/>
      <c r="CK537" s="198"/>
      <c r="CL537" s="198"/>
      <c r="CM537" s="198"/>
      <c r="CN537" s="198"/>
      <c r="CO537" s="198"/>
      <c r="CP537" s="198"/>
      <c r="CQ537" s="198"/>
      <c r="CR537" s="198"/>
      <c r="CS537" s="198"/>
      <c r="CT537" s="198"/>
      <c r="CU537" s="198"/>
      <c r="CV537" s="198"/>
      <c r="CW537" s="198"/>
      <c r="CX537" s="198"/>
      <c r="CY537" s="198"/>
      <c r="CZ537" s="198"/>
      <c r="DA537" s="198"/>
      <c r="DB537" s="198"/>
      <c r="DC537" s="198"/>
      <c r="DD537" s="198"/>
      <c r="DE537" s="198"/>
      <c r="DF537" s="198"/>
      <c r="DG537" s="198"/>
      <c r="DH537" s="198"/>
      <c r="DI537" s="198"/>
      <c r="DJ537" s="198"/>
      <c r="DK537" s="198"/>
      <c r="DL537" s="198"/>
      <c r="DM537" s="198"/>
      <c r="DN537" s="198"/>
      <c r="DO537" s="198"/>
      <c r="DP537" s="198"/>
      <c r="DQ537" s="198"/>
      <c r="DR537" s="198"/>
      <c r="DS537" s="198"/>
      <c r="DT537" s="198"/>
      <c r="DU537" s="198"/>
      <c r="DV537" s="198"/>
      <c r="DW537" s="198"/>
      <c r="DX537" s="198"/>
      <c r="DY537" s="198"/>
      <c r="DZ537" s="198"/>
      <c r="EA537" s="198"/>
      <c r="EB537" s="198"/>
      <c r="EC537" s="198"/>
      <c r="ED537" s="198"/>
      <c r="EE537" s="198"/>
      <c r="EF537" s="198"/>
      <c r="EG537" s="198"/>
      <c r="EH537" s="198"/>
      <c r="EI537" s="198"/>
      <c r="EJ537" s="198"/>
      <c r="EK537" s="198"/>
      <c r="EL537" s="198"/>
      <c r="EM537" s="198"/>
      <c r="EN537" s="198"/>
      <c r="EO537" s="198"/>
      <c r="EP537" s="198"/>
      <c r="EQ537" s="198"/>
      <c r="ER537" s="198"/>
      <c r="ES537" s="198"/>
      <c r="ET537" s="198"/>
      <c r="EU537" s="198"/>
      <c r="EV537" s="198"/>
      <c r="EW537" s="198"/>
      <c r="EX537" s="198"/>
      <c r="EY537" s="198"/>
      <c r="EZ537" s="198"/>
      <c r="FA537" s="198"/>
      <c r="FB537" s="198"/>
      <c r="FC537" s="198"/>
      <c r="FD537" s="198"/>
      <c r="FE537" s="198"/>
      <c r="FF537" s="198"/>
      <c r="FG537" s="198"/>
      <c r="FH537" s="198"/>
      <c r="FI537" s="198"/>
      <c r="FJ537" s="198"/>
      <c r="FK537" s="198"/>
      <c r="FL537" s="198"/>
      <c r="FM537" s="198"/>
      <c r="FN537" s="198"/>
      <c r="FO537" s="198"/>
      <c r="FP537" s="198"/>
      <c r="FQ537" s="198"/>
      <c r="FR537" s="198"/>
      <c r="FS537" s="198"/>
      <c r="FT537" s="198"/>
      <c r="FU537" s="198"/>
      <c r="FV537" s="198"/>
      <c r="FW537" s="198"/>
      <c r="FX537" s="198"/>
      <c r="FY537" s="198"/>
      <c r="FZ537" s="198"/>
      <c r="GA537" s="198"/>
      <c r="GB537" s="198"/>
      <c r="GC537" s="198"/>
      <c r="GD537" s="198"/>
      <c r="GE537" s="198"/>
    </row>
    <row r="538" spans="3:187" ht="12.75" customHeight="1">
      <c r="C538" s="220"/>
      <c r="D538" s="169"/>
      <c r="E538" s="169"/>
      <c r="F538" s="169"/>
      <c r="G538" s="169"/>
      <c r="H538" s="220"/>
      <c r="I538" s="169"/>
      <c r="J538" s="169"/>
      <c r="K538" s="169"/>
      <c r="L538" s="169"/>
      <c r="M538" s="220"/>
      <c r="N538" s="169"/>
      <c r="O538" s="169"/>
      <c r="P538" s="169"/>
      <c r="Q538" s="169"/>
      <c r="R538" s="220"/>
      <c r="S538" s="169"/>
      <c r="T538" s="169"/>
      <c r="U538" s="169"/>
      <c r="V538" s="169"/>
      <c r="W538" s="220"/>
      <c r="X538" s="169"/>
      <c r="Y538" s="169"/>
      <c r="Z538" s="169"/>
      <c r="AA538" s="169"/>
      <c r="AB538" s="220"/>
      <c r="AC538" s="169"/>
      <c r="AD538" s="169"/>
      <c r="AE538" s="169"/>
      <c r="AF538" s="169"/>
      <c r="AG538" s="220"/>
      <c r="AH538" s="169"/>
      <c r="AI538" s="169"/>
      <c r="AJ538" s="169"/>
      <c r="AK538" s="169"/>
      <c r="AL538" s="220"/>
      <c r="AM538" s="169"/>
      <c r="AN538" s="169"/>
      <c r="AO538" s="169"/>
      <c r="AP538" s="169"/>
      <c r="AQ538" s="220"/>
      <c r="AR538" s="169"/>
      <c r="AS538" s="169"/>
      <c r="AT538" s="169"/>
      <c r="AU538" s="169"/>
      <c r="AV538" s="220"/>
      <c r="AW538" s="169"/>
      <c r="AX538" s="169"/>
      <c r="AY538" s="169"/>
      <c r="AZ538" s="169"/>
      <c r="BA538" s="220"/>
      <c r="BB538" s="169"/>
      <c r="BC538" s="169"/>
      <c r="BD538" s="169"/>
      <c r="BE538" s="169"/>
      <c r="BF538" s="220"/>
      <c r="BG538" s="169"/>
      <c r="BH538" s="169"/>
      <c r="BI538" s="169"/>
      <c r="BJ538" s="169"/>
      <c r="BK538" s="220"/>
      <c r="BL538" s="169"/>
      <c r="BM538" s="169"/>
      <c r="BN538" s="169"/>
      <c r="BO538" s="169"/>
      <c r="BP538" s="220"/>
      <c r="BQ538" s="169"/>
      <c r="BR538" s="169"/>
      <c r="BS538" s="169"/>
      <c r="BT538" s="169"/>
      <c r="BU538" s="220"/>
      <c r="BV538" s="169"/>
      <c r="BW538" s="169"/>
      <c r="BX538" s="169"/>
      <c r="BY538" s="169"/>
      <c r="BZ538" s="220"/>
      <c r="CA538" s="169"/>
      <c r="CB538" s="169"/>
      <c r="CC538" s="169"/>
      <c r="CD538" s="169"/>
      <c r="CE538" s="220"/>
      <c r="CF538" s="169"/>
      <c r="CG538" s="169"/>
      <c r="CH538" s="169"/>
      <c r="CI538" s="169"/>
      <c r="CJ538" s="220"/>
      <c r="CK538" s="169"/>
      <c r="CL538" s="169"/>
      <c r="CM538" s="169"/>
      <c r="CN538" s="169"/>
      <c r="CO538" s="220"/>
      <c r="CP538" s="169"/>
      <c r="CQ538" s="169"/>
      <c r="CR538" s="169"/>
      <c r="CS538" s="169"/>
      <c r="CT538" s="220"/>
      <c r="CU538" s="169"/>
      <c r="CV538" s="169"/>
      <c r="CW538" s="169"/>
      <c r="CX538" s="169"/>
      <c r="CY538" s="220"/>
      <c r="CZ538" s="169"/>
      <c r="DA538" s="169"/>
      <c r="DB538" s="169"/>
      <c r="DC538" s="169"/>
      <c r="DD538" s="220"/>
      <c r="DE538" s="169"/>
      <c r="DF538" s="169"/>
      <c r="DG538" s="169"/>
      <c r="DH538" s="169"/>
      <c r="DI538" s="220"/>
      <c r="DJ538" s="169"/>
      <c r="DK538" s="169"/>
      <c r="DL538" s="169"/>
      <c r="DM538" s="169"/>
      <c r="DN538" s="220"/>
      <c r="DO538" s="169"/>
      <c r="DP538" s="169"/>
      <c r="DQ538" s="169"/>
      <c r="DR538" s="169"/>
      <c r="DS538" s="220"/>
      <c r="DT538" s="169"/>
      <c r="DU538" s="169"/>
      <c r="DV538" s="169"/>
      <c r="DW538" s="169"/>
      <c r="DX538" s="220"/>
      <c r="DY538" s="169"/>
      <c r="DZ538" s="169"/>
      <c r="EA538" s="169"/>
      <c r="EB538" s="169"/>
      <c r="EC538" s="220"/>
      <c r="ED538" s="169"/>
      <c r="EE538" s="169"/>
      <c r="EF538" s="169"/>
      <c r="EG538" s="169"/>
      <c r="EH538" s="220"/>
      <c r="EI538" s="169"/>
      <c r="EJ538" s="169"/>
      <c r="EK538" s="169"/>
      <c r="EL538" s="169"/>
      <c r="EM538" s="220"/>
      <c r="EN538" s="169"/>
      <c r="EO538" s="169"/>
      <c r="EP538" s="169"/>
      <c r="EQ538" s="169"/>
      <c r="ER538" s="220"/>
      <c r="ES538" s="169"/>
      <c r="ET538" s="169"/>
      <c r="EU538" s="169"/>
      <c r="EV538" s="169"/>
      <c r="EW538" s="220"/>
      <c r="EX538" s="169"/>
      <c r="EY538" s="169"/>
      <c r="EZ538" s="169"/>
      <c r="FA538" s="169"/>
      <c r="FB538" s="220"/>
      <c r="FC538" s="169"/>
      <c r="FD538" s="169"/>
      <c r="FE538" s="169"/>
      <c r="FF538" s="169"/>
      <c r="FG538" s="220"/>
      <c r="FH538" s="169"/>
      <c r="FI538" s="169"/>
      <c r="FJ538" s="169"/>
      <c r="FK538" s="169"/>
      <c r="FL538" s="220"/>
      <c r="FM538" s="169"/>
      <c r="FN538" s="169"/>
      <c r="FO538" s="169"/>
      <c r="FP538" s="169"/>
      <c r="FQ538" s="220"/>
      <c r="FR538" s="169"/>
      <c r="FS538" s="169"/>
      <c r="FT538" s="169"/>
      <c r="FU538" s="169"/>
      <c r="FV538" s="220"/>
      <c r="FW538" s="169"/>
      <c r="FX538" s="169"/>
      <c r="FY538" s="169"/>
      <c r="FZ538" s="169"/>
      <c r="GA538" s="220"/>
      <c r="GB538" s="169"/>
      <c r="GC538" s="169"/>
      <c r="GD538" s="169"/>
      <c r="GE538" s="169"/>
    </row>
    <row r="539" spans="3:187" ht="12.75" customHeight="1">
      <c r="C539" s="220"/>
      <c r="D539" s="169"/>
      <c r="E539" s="169"/>
      <c r="F539" s="169"/>
      <c r="G539" s="169"/>
      <c r="H539" s="220"/>
      <c r="I539" s="169"/>
      <c r="J539" s="169"/>
      <c r="K539" s="169"/>
      <c r="L539" s="169"/>
      <c r="M539" s="220"/>
      <c r="N539" s="169"/>
      <c r="O539" s="169"/>
      <c r="P539" s="169"/>
      <c r="Q539" s="169"/>
      <c r="R539" s="220"/>
      <c r="S539" s="169"/>
      <c r="T539" s="169"/>
      <c r="U539" s="169"/>
      <c r="V539" s="169"/>
      <c r="W539" s="220"/>
      <c r="X539" s="169"/>
      <c r="Y539" s="169"/>
      <c r="Z539" s="169"/>
      <c r="AA539" s="169"/>
      <c r="AB539" s="220"/>
      <c r="AC539" s="169"/>
      <c r="AD539" s="169"/>
      <c r="AE539" s="169"/>
      <c r="AF539" s="169"/>
      <c r="AG539" s="220"/>
      <c r="AH539" s="169"/>
      <c r="AI539" s="169"/>
      <c r="AJ539" s="169"/>
      <c r="AK539" s="169"/>
      <c r="AL539" s="220"/>
      <c r="AM539" s="169"/>
      <c r="AN539" s="169"/>
      <c r="AO539" s="169"/>
      <c r="AP539" s="169"/>
      <c r="AQ539" s="220"/>
      <c r="AR539" s="169"/>
      <c r="AS539" s="169"/>
      <c r="AT539" s="169"/>
      <c r="AU539" s="169"/>
      <c r="AV539" s="220"/>
      <c r="AW539" s="169"/>
      <c r="AX539" s="169"/>
      <c r="AY539" s="169"/>
      <c r="AZ539" s="169"/>
      <c r="BA539" s="220"/>
      <c r="BB539" s="169"/>
      <c r="BC539" s="169"/>
      <c r="BD539" s="169"/>
      <c r="BE539" s="169"/>
      <c r="BF539" s="220"/>
      <c r="BG539" s="169"/>
      <c r="BH539" s="169"/>
      <c r="BI539" s="169"/>
      <c r="BJ539" s="169"/>
      <c r="BK539" s="220"/>
      <c r="BL539" s="169"/>
      <c r="BM539" s="169"/>
      <c r="BN539" s="169"/>
      <c r="BO539" s="169"/>
      <c r="BP539" s="220"/>
      <c r="BQ539" s="169"/>
      <c r="BR539" s="169"/>
      <c r="BS539" s="169"/>
      <c r="BT539" s="169"/>
      <c r="BU539" s="220"/>
      <c r="BV539" s="169"/>
      <c r="BW539" s="169"/>
      <c r="BX539" s="169"/>
      <c r="BY539" s="169"/>
      <c r="BZ539" s="220"/>
      <c r="CA539" s="169"/>
      <c r="CB539" s="169"/>
      <c r="CC539" s="169"/>
      <c r="CD539" s="169"/>
      <c r="CE539" s="220"/>
      <c r="CF539" s="169"/>
      <c r="CG539" s="169"/>
      <c r="CH539" s="169"/>
      <c r="CI539" s="169"/>
      <c r="CJ539" s="220"/>
      <c r="CK539" s="169"/>
      <c r="CL539" s="169"/>
      <c r="CM539" s="169"/>
      <c r="CN539" s="169"/>
      <c r="CO539" s="220"/>
      <c r="CP539" s="169"/>
      <c r="CQ539" s="169"/>
      <c r="CR539" s="169"/>
      <c r="CS539" s="169"/>
      <c r="CT539" s="220"/>
      <c r="CU539" s="169"/>
      <c r="CV539" s="169"/>
      <c r="CW539" s="169"/>
      <c r="CX539" s="169"/>
      <c r="CY539" s="220"/>
      <c r="CZ539" s="169"/>
      <c r="DA539" s="169"/>
      <c r="DB539" s="169"/>
      <c r="DC539" s="169"/>
      <c r="DD539" s="220"/>
      <c r="DE539" s="169"/>
      <c r="DF539" s="169"/>
      <c r="DG539" s="169"/>
      <c r="DH539" s="169"/>
      <c r="DI539" s="220"/>
      <c r="DJ539" s="169"/>
      <c r="DK539" s="169"/>
      <c r="DL539" s="169"/>
      <c r="DM539" s="169"/>
      <c r="DN539" s="220"/>
      <c r="DO539" s="169"/>
      <c r="DP539" s="169"/>
      <c r="DQ539" s="169"/>
      <c r="DR539" s="169"/>
      <c r="DS539" s="220"/>
      <c r="DT539" s="169"/>
      <c r="DU539" s="169"/>
      <c r="DV539" s="169"/>
      <c r="DW539" s="169"/>
      <c r="DX539" s="220"/>
      <c r="DY539" s="169"/>
      <c r="DZ539" s="169"/>
      <c r="EA539" s="169"/>
      <c r="EB539" s="169"/>
      <c r="EC539" s="220"/>
      <c r="ED539" s="169"/>
      <c r="EE539" s="169"/>
      <c r="EF539" s="169"/>
      <c r="EG539" s="169"/>
      <c r="EH539" s="220"/>
      <c r="EI539" s="169"/>
      <c r="EJ539" s="169"/>
      <c r="EK539" s="169"/>
      <c r="EL539" s="169"/>
      <c r="EM539" s="220"/>
      <c r="EN539" s="169"/>
      <c r="EO539" s="169"/>
      <c r="EP539" s="169"/>
      <c r="EQ539" s="169"/>
      <c r="ER539" s="220"/>
      <c r="ES539" s="169"/>
      <c r="ET539" s="169"/>
      <c r="EU539" s="169"/>
      <c r="EV539" s="169"/>
      <c r="EW539" s="220"/>
      <c r="EX539" s="169"/>
      <c r="EY539" s="169"/>
      <c r="EZ539" s="169"/>
      <c r="FA539" s="169"/>
      <c r="FB539" s="220"/>
      <c r="FC539" s="169"/>
      <c r="FD539" s="169"/>
      <c r="FE539" s="169"/>
      <c r="FF539" s="169"/>
      <c r="FG539" s="220"/>
      <c r="FH539" s="169"/>
      <c r="FI539" s="169"/>
      <c r="FJ539" s="169"/>
      <c r="FK539" s="169"/>
      <c r="FL539" s="220"/>
      <c r="FM539" s="169"/>
      <c r="FN539" s="169"/>
      <c r="FO539" s="169"/>
      <c r="FP539" s="169"/>
      <c r="FQ539" s="220"/>
      <c r="FR539" s="169"/>
      <c r="FS539" s="169"/>
      <c r="FT539" s="169"/>
      <c r="FU539" s="169"/>
      <c r="FV539" s="220"/>
      <c r="FW539" s="169"/>
      <c r="FX539" s="169"/>
      <c r="FY539" s="169"/>
      <c r="FZ539" s="169"/>
      <c r="GA539" s="220"/>
      <c r="GB539" s="169"/>
      <c r="GC539" s="169"/>
      <c r="GD539" s="169"/>
      <c r="GE539" s="169"/>
    </row>
    <row r="540" spans="3:187" ht="12.75" customHeight="1">
      <c r="C540" s="221"/>
      <c r="D540" s="221"/>
      <c r="E540" s="221"/>
      <c r="F540" s="221"/>
      <c r="G540" s="221"/>
      <c r="H540" s="221"/>
      <c r="I540" s="221"/>
      <c r="J540" s="221"/>
      <c r="K540" s="221"/>
      <c r="L540" s="221"/>
      <c r="M540" s="221"/>
      <c r="N540" s="221"/>
      <c r="O540" s="221"/>
      <c r="P540" s="221"/>
      <c r="Q540" s="221"/>
      <c r="R540" s="221"/>
      <c r="S540" s="221"/>
      <c r="T540" s="221"/>
      <c r="U540" s="221"/>
      <c r="V540" s="221"/>
      <c r="W540" s="221"/>
      <c r="X540" s="221"/>
      <c r="Y540" s="221"/>
      <c r="Z540" s="221"/>
      <c r="AA540" s="221"/>
      <c r="AB540" s="221"/>
      <c r="AC540" s="221"/>
      <c r="AD540" s="221"/>
      <c r="AE540" s="221"/>
      <c r="AF540" s="221"/>
      <c r="AG540" s="221"/>
      <c r="AH540" s="221"/>
      <c r="AI540" s="221"/>
      <c r="AJ540" s="221"/>
      <c r="AK540" s="221"/>
      <c r="AL540" s="221"/>
      <c r="AM540" s="221"/>
      <c r="AN540" s="221"/>
      <c r="AO540" s="221"/>
      <c r="AP540" s="221"/>
      <c r="AQ540" s="221"/>
      <c r="AR540" s="221"/>
      <c r="AS540" s="221"/>
      <c r="AT540" s="221"/>
      <c r="AU540" s="221"/>
      <c r="AV540" s="221"/>
      <c r="AW540" s="221"/>
      <c r="AX540" s="221"/>
      <c r="AY540" s="221"/>
      <c r="AZ540" s="221"/>
      <c r="BA540" s="221"/>
      <c r="BB540" s="221"/>
      <c r="BC540" s="221"/>
      <c r="BD540" s="221"/>
      <c r="BE540" s="221"/>
      <c r="BF540" s="221"/>
      <c r="BG540" s="221"/>
      <c r="BH540" s="221"/>
      <c r="BI540" s="221"/>
      <c r="BJ540" s="221"/>
      <c r="BK540" s="221"/>
      <c r="BL540" s="221"/>
      <c r="BM540" s="221"/>
      <c r="BN540" s="221"/>
      <c r="BO540" s="221"/>
      <c r="BP540" s="221"/>
      <c r="BQ540" s="221"/>
      <c r="BR540" s="221"/>
      <c r="BS540" s="221"/>
      <c r="BT540" s="221"/>
      <c r="BU540" s="221"/>
      <c r="BV540" s="221"/>
      <c r="BW540" s="221"/>
      <c r="BX540" s="221"/>
      <c r="BY540" s="221"/>
      <c r="BZ540" s="221"/>
      <c r="CA540" s="221"/>
      <c r="CB540" s="221"/>
      <c r="CC540" s="221"/>
      <c r="CD540" s="221"/>
      <c r="CE540" s="221"/>
      <c r="CF540" s="221"/>
      <c r="CG540" s="221"/>
      <c r="CH540" s="221"/>
      <c r="CI540" s="221"/>
      <c r="CJ540" s="221"/>
      <c r="CK540" s="221"/>
      <c r="CL540" s="221"/>
      <c r="CM540" s="221"/>
      <c r="CN540" s="221"/>
      <c r="CO540" s="221"/>
      <c r="CP540" s="221"/>
      <c r="CQ540" s="221"/>
      <c r="CR540" s="221"/>
      <c r="CS540" s="221"/>
      <c r="CT540" s="221"/>
      <c r="CU540" s="221"/>
      <c r="CV540" s="221"/>
      <c r="CW540" s="221"/>
      <c r="CX540" s="221"/>
      <c r="CY540" s="221"/>
      <c r="CZ540" s="221"/>
      <c r="DA540" s="221"/>
      <c r="DB540" s="221"/>
      <c r="DC540" s="221"/>
      <c r="DD540" s="221"/>
      <c r="DE540" s="221"/>
      <c r="DF540" s="221"/>
      <c r="DG540" s="221"/>
      <c r="DH540" s="221"/>
      <c r="DI540" s="221"/>
      <c r="DJ540" s="221"/>
      <c r="DK540" s="221"/>
      <c r="DL540" s="221"/>
      <c r="DM540" s="221"/>
      <c r="DN540" s="221"/>
      <c r="DO540" s="221"/>
      <c r="DP540" s="221"/>
      <c r="DQ540" s="221"/>
      <c r="DR540" s="221"/>
      <c r="DS540" s="221"/>
      <c r="DT540" s="221"/>
      <c r="DU540" s="221"/>
      <c r="DV540" s="221"/>
      <c r="DW540" s="221"/>
      <c r="DX540" s="221"/>
      <c r="DY540" s="221"/>
      <c r="DZ540" s="221"/>
      <c r="EA540" s="221"/>
      <c r="EB540" s="221"/>
      <c r="EC540" s="221"/>
      <c r="ED540" s="221"/>
      <c r="EE540" s="221"/>
      <c r="EF540" s="221"/>
      <c r="EG540" s="221"/>
      <c r="EH540" s="221"/>
      <c r="EI540" s="221"/>
      <c r="EJ540" s="221"/>
      <c r="EK540" s="221"/>
      <c r="EL540" s="221"/>
      <c r="EM540" s="221"/>
      <c r="EN540" s="221"/>
      <c r="EO540" s="221"/>
      <c r="EP540" s="221"/>
      <c r="EQ540" s="221"/>
      <c r="ER540" s="221"/>
      <c r="ES540" s="221"/>
      <c r="ET540" s="221"/>
      <c r="EU540" s="221"/>
      <c r="EV540" s="221"/>
      <c r="EW540" s="221"/>
      <c r="EX540" s="221"/>
      <c r="EY540" s="221"/>
      <c r="EZ540" s="221"/>
      <c r="FA540" s="221"/>
      <c r="FB540" s="221"/>
      <c r="FC540" s="221"/>
      <c r="FD540" s="221"/>
      <c r="FE540" s="221"/>
      <c r="FF540" s="221"/>
      <c r="FG540" s="221"/>
      <c r="FH540" s="221"/>
      <c r="FI540" s="221"/>
      <c r="FJ540" s="221"/>
      <c r="FK540" s="221"/>
      <c r="FL540" s="221"/>
      <c r="FM540" s="221"/>
      <c r="FN540" s="221"/>
      <c r="FO540" s="221"/>
      <c r="FP540" s="221"/>
      <c r="FQ540" s="221"/>
      <c r="FR540" s="221"/>
      <c r="FS540" s="221"/>
      <c r="FT540" s="221"/>
      <c r="FU540" s="221"/>
      <c r="FV540" s="221"/>
      <c r="FW540" s="221"/>
      <c r="FX540" s="221"/>
      <c r="FY540" s="221"/>
      <c r="FZ540" s="221"/>
      <c r="GA540" s="221"/>
      <c r="GB540" s="221"/>
      <c r="GC540" s="221"/>
      <c r="GD540" s="221"/>
      <c r="GE540" s="221"/>
    </row>
    <row r="541" spans="3:187" ht="12.75" customHeight="1">
      <c r="C541" s="169"/>
      <c r="D541" s="169"/>
      <c r="E541" s="169"/>
      <c r="F541" s="169"/>
      <c r="G541" s="169"/>
      <c r="H541" s="169"/>
      <c r="I541" s="169"/>
      <c r="J541" s="169"/>
      <c r="K541" s="169"/>
      <c r="L541" s="169"/>
      <c r="M541" s="169"/>
      <c r="N541" s="169"/>
      <c r="O541" s="169"/>
      <c r="P541" s="169"/>
      <c r="Q541" s="169"/>
      <c r="R541" s="169"/>
      <c r="S541" s="169"/>
      <c r="T541" s="169"/>
      <c r="U541" s="169"/>
      <c r="V541" s="169"/>
      <c r="W541" s="169"/>
      <c r="X541" s="169"/>
      <c r="Y541" s="169"/>
      <c r="Z541" s="169"/>
      <c r="AA541" s="169"/>
      <c r="AB541" s="169"/>
      <c r="AC541" s="169"/>
      <c r="AD541" s="169"/>
      <c r="AE541" s="169"/>
      <c r="AF541" s="169"/>
      <c r="AG541" s="169"/>
      <c r="AH541" s="169"/>
      <c r="AI541" s="169"/>
      <c r="AJ541" s="169"/>
      <c r="AK541" s="169"/>
      <c r="AL541" s="169"/>
      <c r="AM541" s="169"/>
      <c r="AN541" s="169"/>
      <c r="AO541" s="169"/>
      <c r="AP541" s="169"/>
      <c r="AQ541" s="169"/>
      <c r="AR541" s="169"/>
      <c r="AS541" s="169"/>
      <c r="AT541" s="169"/>
      <c r="AU541" s="169"/>
      <c r="AV541" s="169"/>
      <c r="AW541" s="169"/>
      <c r="AX541" s="169"/>
      <c r="AY541" s="169"/>
      <c r="AZ541" s="169"/>
      <c r="BA541" s="169"/>
      <c r="BB541" s="169"/>
      <c r="BC541" s="169"/>
      <c r="BD541" s="169"/>
      <c r="BE541" s="169"/>
      <c r="BF541" s="169"/>
      <c r="BG541" s="169"/>
      <c r="BH541" s="169"/>
      <c r="BI541" s="169"/>
      <c r="BJ541" s="169"/>
      <c r="BK541" s="169"/>
      <c r="BL541" s="169"/>
      <c r="BM541" s="169"/>
      <c r="BN541" s="169"/>
      <c r="BO541" s="169"/>
      <c r="BP541" s="169"/>
      <c r="BQ541" s="169"/>
      <c r="BR541" s="169"/>
      <c r="BS541" s="169"/>
      <c r="BT541" s="169"/>
      <c r="BU541" s="169"/>
      <c r="BV541" s="169"/>
      <c r="BW541" s="169"/>
      <c r="BX541" s="169"/>
      <c r="BY541" s="169"/>
      <c r="BZ541" s="169"/>
      <c r="CA541" s="169"/>
      <c r="CB541" s="169"/>
      <c r="CC541" s="169"/>
      <c r="CD541" s="169"/>
      <c r="CE541" s="169"/>
      <c r="CF541" s="169"/>
      <c r="CG541" s="169"/>
      <c r="CH541" s="169"/>
      <c r="CI541" s="169"/>
      <c r="CJ541" s="169"/>
      <c r="CK541" s="169"/>
      <c r="CL541" s="169"/>
      <c r="CM541" s="169"/>
      <c r="CN541" s="169"/>
      <c r="CO541" s="169"/>
      <c r="CP541" s="169"/>
      <c r="CQ541" s="169"/>
      <c r="CR541" s="169"/>
      <c r="CS541" s="169"/>
      <c r="CT541" s="169"/>
      <c r="CU541" s="169"/>
      <c r="CV541" s="169"/>
      <c r="CW541" s="169"/>
      <c r="CX541" s="169"/>
      <c r="CY541" s="169"/>
      <c r="CZ541" s="169"/>
      <c r="DA541" s="169"/>
      <c r="DB541" s="169"/>
      <c r="DC541" s="169"/>
      <c r="DD541" s="169"/>
      <c r="DE541" s="169"/>
      <c r="DF541" s="169"/>
      <c r="DG541" s="169"/>
      <c r="DH541" s="169"/>
      <c r="DI541" s="169"/>
      <c r="DJ541" s="169"/>
      <c r="DK541" s="169"/>
      <c r="DL541" s="169"/>
      <c r="DM541" s="169"/>
      <c r="DN541" s="169"/>
      <c r="DO541" s="169"/>
      <c r="DP541" s="169"/>
      <c r="DQ541" s="169"/>
      <c r="DR541" s="169"/>
      <c r="DS541" s="169"/>
      <c r="DT541" s="169"/>
      <c r="DU541" s="169"/>
      <c r="DV541" s="169"/>
      <c r="DW541" s="169"/>
      <c r="DX541" s="169"/>
      <c r="DY541" s="169"/>
      <c r="DZ541" s="169"/>
      <c r="EA541" s="169"/>
      <c r="EB541" s="169"/>
      <c r="EC541" s="169"/>
      <c r="ED541" s="169"/>
      <c r="EE541" s="169"/>
      <c r="EF541" s="169"/>
      <c r="EG541" s="169"/>
      <c r="EH541" s="169"/>
      <c r="EI541" s="169"/>
      <c r="EJ541" s="169"/>
      <c r="EK541" s="169"/>
      <c r="EL541" s="169"/>
      <c r="EM541" s="169"/>
      <c r="EN541" s="169"/>
      <c r="EO541" s="169"/>
      <c r="EP541" s="169"/>
      <c r="EQ541" s="169"/>
      <c r="ER541" s="169"/>
      <c r="ES541" s="169"/>
      <c r="ET541" s="169"/>
      <c r="EU541" s="169"/>
      <c r="EV541" s="169"/>
      <c r="EW541" s="169"/>
      <c r="EX541" s="169"/>
      <c r="EY541" s="169"/>
      <c r="EZ541" s="169"/>
      <c r="FA541" s="169"/>
      <c r="FB541" s="169"/>
      <c r="FC541" s="169"/>
      <c r="FD541" s="169"/>
      <c r="FE541" s="169"/>
      <c r="FF541" s="169"/>
      <c r="FG541" s="169"/>
      <c r="FH541" s="169"/>
      <c r="FI541" s="169"/>
      <c r="FJ541" s="169"/>
      <c r="FK541" s="169"/>
      <c r="FL541" s="169"/>
      <c r="FM541" s="169"/>
      <c r="FN541" s="169"/>
      <c r="FO541" s="169"/>
      <c r="FP541" s="169"/>
      <c r="FQ541" s="169"/>
      <c r="FR541" s="169"/>
      <c r="FS541" s="169"/>
      <c r="FT541" s="169"/>
      <c r="FU541" s="169"/>
      <c r="FV541" s="169"/>
      <c r="FW541" s="169"/>
      <c r="FX541" s="169"/>
      <c r="FY541" s="169"/>
      <c r="FZ541" s="169"/>
      <c r="GA541" s="169"/>
      <c r="GB541" s="169"/>
      <c r="GC541" s="169"/>
      <c r="GD541" s="169"/>
      <c r="GE541" s="169"/>
    </row>
    <row r="542" spans="3:187" ht="12.75" customHeight="1">
      <c r="C542" s="220"/>
      <c r="D542" s="169"/>
      <c r="E542" s="169"/>
      <c r="F542" s="169"/>
      <c r="G542" s="169"/>
      <c r="H542" s="220"/>
      <c r="I542" s="169"/>
      <c r="J542" s="169"/>
      <c r="K542" s="169"/>
      <c r="L542" s="169"/>
      <c r="M542" s="220"/>
      <c r="N542" s="169"/>
      <c r="O542" s="169"/>
      <c r="P542" s="169"/>
      <c r="Q542" s="169"/>
      <c r="R542" s="220"/>
      <c r="S542" s="169"/>
      <c r="T542" s="169"/>
      <c r="U542" s="169"/>
      <c r="V542" s="169"/>
      <c r="W542" s="220"/>
      <c r="X542" s="169"/>
      <c r="Y542" s="169"/>
      <c r="Z542" s="169"/>
      <c r="AA542" s="169"/>
      <c r="AB542" s="220"/>
      <c r="AC542" s="169"/>
      <c r="AD542" s="169"/>
      <c r="AE542" s="169"/>
      <c r="AF542" s="169"/>
      <c r="AG542" s="220"/>
      <c r="AH542" s="169"/>
      <c r="AI542" s="169"/>
      <c r="AJ542" s="169"/>
      <c r="AK542" s="169"/>
      <c r="AL542" s="220"/>
      <c r="AM542" s="169"/>
      <c r="AN542" s="169"/>
      <c r="AO542" s="169"/>
      <c r="AP542" s="169"/>
      <c r="AQ542" s="220"/>
      <c r="AR542" s="169"/>
      <c r="AS542" s="169"/>
      <c r="AT542" s="169"/>
      <c r="AU542" s="169"/>
      <c r="AV542" s="220"/>
      <c r="AW542" s="169"/>
      <c r="AX542" s="169"/>
      <c r="AY542" s="169"/>
      <c r="AZ542" s="169"/>
      <c r="BA542" s="220"/>
      <c r="BB542" s="169"/>
      <c r="BC542" s="169"/>
      <c r="BD542" s="169"/>
      <c r="BE542" s="169"/>
      <c r="BF542" s="220"/>
      <c r="BG542" s="169"/>
      <c r="BH542" s="169"/>
      <c r="BI542" s="169"/>
      <c r="BJ542" s="169"/>
      <c r="BK542" s="220"/>
      <c r="BL542" s="169"/>
      <c r="BM542" s="169"/>
      <c r="BN542" s="169"/>
      <c r="BO542" s="169"/>
      <c r="BP542" s="220"/>
      <c r="BQ542" s="169"/>
      <c r="BR542" s="169"/>
      <c r="BS542" s="169"/>
      <c r="BT542" s="169"/>
      <c r="BU542" s="220"/>
      <c r="BV542" s="169"/>
      <c r="BW542" s="169"/>
      <c r="BX542" s="169"/>
      <c r="BY542" s="169"/>
      <c r="BZ542" s="220"/>
      <c r="CA542" s="169"/>
      <c r="CB542" s="169"/>
      <c r="CC542" s="169"/>
      <c r="CD542" s="169"/>
      <c r="CE542" s="220"/>
      <c r="CF542" s="169"/>
      <c r="CG542" s="169"/>
      <c r="CH542" s="169"/>
      <c r="CI542" s="169"/>
      <c r="CJ542" s="220"/>
      <c r="CK542" s="169"/>
      <c r="CL542" s="169"/>
      <c r="CM542" s="169"/>
      <c r="CN542" s="169"/>
      <c r="CO542" s="220"/>
      <c r="CP542" s="169"/>
      <c r="CQ542" s="169"/>
      <c r="CR542" s="169"/>
      <c r="CS542" s="169"/>
      <c r="CT542" s="220"/>
      <c r="CU542" s="169"/>
      <c r="CV542" s="169"/>
      <c r="CW542" s="169"/>
      <c r="CX542" s="169"/>
      <c r="CY542" s="220"/>
      <c r="CZ542" s="169"/>
      <c r="DA542" s="169"/>
      <c r="DB542" s="169"/>
      <c r="DC542" s="169"/>
      <c r="DD542" s="220"/>
      <c r="DE542" s="169"/>
      <c r="DF542" s="169"/>
      <c r="DG542" s="169"/>
      <c r="DH542" s="169"/>
      <c r="DI542" s="220"/>
      <c r="DJ542" s="169"/>
      <c r="DK542" s="169"/>
      <c r="DL542" s="169"/>
      <c r="DM542" s="169"/>
      <c r="DN542" s="220"/>
      <c r="DO542" s="169"/>
      <c r="DP542" s="169"/>
      <c r="DQ542" s="169"/>
      <c r="DR542" s="169"/>
      <c r="DS542" s="220"/>
      <c r="DT542" s="169"/>
      <c r="DU542" s="169"/>
      <c r="DV542" s="169"/>
      <c r="DW542" s="169"/>
      <c r="DX542" s="220"/>
      <c r="DY542" s="169"/>
      <c r="DZ542" s="169"/>
      <c r="EA542" s="169"/>
      <c r="EB542" s="169"/>
      <c r="EC542" s="220"/>
      <c r="ED542" s="169"/>
      <c r="EE542" s="169"/>
      <c r="EF542" s="169"/>
      <c r="EG542" s="169"/>
      <c r="EH542" s="220"/>
      <c r="EI542" s="169"/>
      <c r="EJ542" s="169"/>
      <c r="EK542" s="169"/>
      <c r="EL542" s="169"/>
      <c r="EM542" s="220"/>
      <c r="EN542" s="169"/>
      <c r="EO542" s="169"/>
      <c r="EP542" s="169"/>
      <c r="EQ542" s="169"/>
      <c r="ER542" s="220"/>
      <c r="ES542" s="169"/>
      <c r="ET542" s="169"/>
      <c r="EU542" s="169"/>
      <c r="EV542" s="169"/>
      <c r="EW542" s="220"/>
      <c r="EX542" s="169"/>
      <c r="EY542" s="169"/>
      <c r="EZ542" s="169"/>
      <c r="FA542" s="169"/>
      <c r="FB542" s="220"/>
      <c r="FC542" s="169"/>
      <c r="FD542" s="169"/>
      <c r="FE542" s="169"/>
      <c r="FF542" s="169"/>
      <c r="FG542" s="220"/>
      <c r="FH542" s="169"/>
      <c r="FI542" s="169"/>
      <c r="FJ542" s="169"/>
      <c r="FK542" s="169"/>
      <c r="FL542" s="220"/>
      <c r="FM542" s="169"/>
      <c r="FN542" s="169"/>
      <c r="FO542" s="169"/>
      <c r="FP542" s="169"/>
      <c r="FQ542" s="220"/>
      <c r="FR542" s="169"/>
      <c r="FS542" s="169"/>
      <c r="FT542" s="169"/>
      <c r="FU542" s="169"/>
      <c r="FV542" s="220"/>
      <c r="FW542" s="169"/>
      <c r="FX542" s="169"/>
      <c r="FY542" s="169"/>
      <c r="FZ542" s="169"/>
      <c r="GA542" s="220"/>
      <c r="GB542" s="169"/>
      <c r="GC542" s="169"/>
      <c r="GD542" s="169"/>
      <c r="GE542" s="169"/>
    </row>
    <row r="543" spans="3:187" ht="12.75" customHeight="1">
      <c r="C543" s="220"/>
      <c r="D543" s="169"/>
      <c r="E543" s="169"/>
      <c r="F543" s="169"/>
      <c r="G543" s="169"/>
      <c r="H543" s="220"/>
      <c r="I543" s="169"/>
      <c r="J543" s="169"/>
      <c r="K543" s="169"/>
      <c r="L543" s="169"/>
      <c r="M543" s="220"/>
      <c r="N543" s="169"/>
      <c r="O543" s="169"/>
      <c r="P543" s="169"/>
      <c r="Q543" s="169"/>
      <c r="R543" s="220"/>
      <c r="S543" s="169"/>
      <c r="T543" s="169"/>
      <c r="U543" s="169"/>
      <c r="V543" s="169"/>
      <c r="W543" s="220"/>
      <c r="X543" s="169"/>
      <c r="Y543" s="169"/>
      <c r="Z543" s="169"/>
      <c r="AA543" s="169"/>
      <c r="AB543" s="220"/>
      <c r="AC543" s="169"/>
      <c r="AD543" s="169"/>
      <c r="AE543" s="169"/>
      <c r="AF543" s="169"/>
      <c r="AG543" s="220"/>
      <c r="AH543" s="169"/>
      <c r="AI543" s="169"/>
      <c r="AJ543" s="169"/>
      <c r="AK543" s="169"/>
      <c r="AL543" s="220"/>
      <c r="AM543" s="169"/>
      <c r="AN543" s="169"/>
      <c r="AO543" s="169"/>
      <c r="AP543" s="169"/>
      <c r="AQ543" s="220"/>
      <c r="AR543" s="169"/>
      <c r="AS543" s="169"/>
      <c r="AT543" s="169"/>
      <c r="AU543" s="169"/>
      <c r="AV543" s="220"/>
      <c r="AW543" s="169"/>
      <c r="AX543" s="169"/>
      <c r="AY543" s="169"/>
      <c r="AZ543" s="169"/>
      <c r="BA543" s="220"/>
      <c r="BB543" s="169"/>
      <c r="BC543" s="169"/>
      <c r="BD543" s="169"/>
      <c r="BE543" s="169"/>
      <c r="BF543" s="220"/>
      <c r="BG543" s="169"/>
      <c r="BH543" s="169"/>
      <c r="BI543" s="169"/>
      <c r="BJ543" s="169"/>
      <c r="BK543" s="220"/>
      <c r="BL543" s="169"/>
      <c r="BM543" s="169"/>
      <c r="BN543" s="169"/>
      <c r="BO543" s="169"/>
      <c r="BP543" s="220"/>
      <c r="BQ543" s="169"/>
      <c r="BR543" s="169"/>
      <c r="BS543" s="169"/>
      <c r="BT543" s="169"/>
      <c r="BU543" s="220"/>
      <c r="BV543" s="169"/>
      <c r="BW543" s="169"/>
      <c r="BX543" s="169"/>
      <c r="BY543" s="169"/>
      <c r="BZ543" s="220"/>
      <c r="CA543" s="169"/>
      <c r="CB543" s="169"/>
      <c r="CC543" s="169"/>
      <c r="CD543" s="169"/>
      <c r="CE543" s="220"/>
      <c r="CF543" s="169"/>
      <c r="CG543" s="169"/>
      <c r="CH543" s="169"/>
      <c r="CI543" s="169"/>
      <c r="CJ543" s="220"/>
      <c r="CK543" s="169"/>
      <c r="CL543" s="169"/>
      <c r="CM543" s="169"/>
      <c r="CN543" s="169"/>
      <c r="CO543" s="220"/>
      <c r="CP543" s="169"/>
      <c r="CQ543" s="169"/>
      <c r="CR543" s="169"/>
      <c r="CS543" s="169"/>
      <c r="CT543" s="220"/>
      <c r="CU543" s="169"/>
      <c r="CV543" s="169"/>
      <c r="CW543" s="169"/>
      <c r="CX543" s="169"/>
      <c r="CY543" s="220"/>
      <c r="CZ543" s="169"/>
      <c r="DA543" s="169"/>
      <c r="DB543" s="169"/>
      <c r="DC543" s="169"/>
      <c r="DD543" s="220"/>
      <c r="DE543" s="169"/>
      <c r="DF543" s="169"/>
      <c r="DG543" s="169"/>
      <c r="DH543" s="169"/>
      <c r="DI543" s="220"/>
      <c r="DJ543" s="169"/>
      <c r="DK543" s="169"/>
      <c r="DL543" s="169"/>
      <c r="DM543" s="169"/>
      <c r="DN543" s="220"/>
      <c r="DO543" s="169"/>
      <c r="DP543" s="169"/>
      <c r="DQ543" s="169"/>
      <c r="DR543" s="169"/>
      <c r="DS543" s="220"/>
      <c r="DT543" s="169"/>
      <c r="DU543" s="169"/>
      <c r="DV543" s="169"/>
      <c r="DW543" s="169"/>
      <c r="DX543" s="220"/>
      <c r="DY543" s="169"/>
      <c r="DZ543" s="169"/>
      <c r="EA543" s="169"/>
      <c r="EB543" s="169"/>
      <c r="EC543" s="220"/>
      <c r="ED543" s="169"/>
      <c r="EE543" s="169"/>
      <c r="EF543" s="169"/>
      <c r="EG543" s="169"/>
      <c r="EH543" s="220"/>
      <c r="EI543" s="169"/>
      <c r="EJ543" s="169"/>
      <c r="EK543" s="169"/>
      <c r="EL543" s="169"/>
      <c r="EM543" s="220"/>
      <c r="EN543" s="169"/>
      <c r="EO543" s="169"/>
      <c r="EP543" s="169"/>
      <c r="EQ543" s="169"/>
      <c r="ER543" s="220"/>
      <c r="ES543" s="169"/>
      <c r="ET543" s="169"/>
      <c r="EU543" s="169"/>
      <c r="EV543" s="169"/>
      <c r="EW543" s="220"/>
      <c r="EX543" s="169"/>
      <c r="EY543" s="169"/>
      <c r="EZ543" s="169"/>
      <c r="FA543" s="169"/>
      <c r="FB543" s="220"/>
      <c r="FC543" s="169"/>
      <c r="FD543" s="169"/>
      <c r="FE543" s="169"/>
      <c r="FF543" s="169"/>
      <c r="FG543" s="220"/>
      <c r="FH543" s="169"/>
      <c r="FI543" s="169"/>
      <c r="FJ543" s="169"/>
      <c r="FK543" s="169"/>
      <c r="FL543" s="220"/>
      <c r="FM543" s="169"/>
      <c r="FN543" s="169"/>
      <c r="FO543" s="169"/>
      <c r="FP543" s="169"/>
      <c r="FQ543" s="220"/>
      <c r="FR543" s="169"/>
      <c r="FS543" s="169"/>
      <c r="FT543" s="169"/>
      <c r="FU543" s="169"/>
      <c r="FV543" s="220"/>
      <c r="FW543" s="169"/>
      <c r="FX543" s="169"/>
      <c r="FY543" s="169"/>
      <c r="FZ543" s="169"/>
      <c r="GA543" s="220"/>
      <c r="GB543" s="169"/>
      <c r="GC543" s="169"/>
      <c r="GD543" s="169"/>
      <c r="GE543" s="169"/>
    </row>
    <row r="544" spans="3:187" ht="12.75" customHeight="1">
      <c r="C544" s="220"/>
      <c r="D544" s="169"/>
      <c r="E544" s="169"/>
      <c r="F544" s="169"/>
      <c r="G544" s="169"/>
      <c r="H544" s="220"/>
      <c r="I544" s="169"/>
      <c r="J544" s="169"/>
      <c r="K544" s="169"/>
      <c r="L544" s="169"/>
      <c r="M544" s="220"/>
      <c r="N544" s="169"/>
      <c r="O544" s="169"/>
      <c r="P544" s="169"/>
      <c r="Q544" s="169"/>
      <c r="R544" s="220"/>
      <c r="S544" s="169"/>
      <c r="T544" s="169"/>
      <c r="U544" s="169"/>
      <c r="V544" s="169"/>
      <c r="W544" s="220"/>
      <c r="X544" s="169"/>
      <c r="Y544" s="169"/>
      <c r="Z544" s="169"/>
      <c r="AA544" s="169"/>
      <c r="AB544" s="220"/>
      <c r="AC544" s="169"/>
      <c r="AD544" s="169"/>
      <c r="AE544" s="169"/>
      <c r="AF544" s="169"/>
      <c r="AG544" s="220"/>
      <c r="AH544" s="169"/>
      <c r="AI544" s="169"/>
      <c r="AJ544" s="169"/>
      <c r="AK544" s="169"/>
      <c r="AL544" s="220"/>
      <c r="AM544" s="169"/>
      <c r="AN544" s="169"/>
      <c r="AO544" s="169"/>
      <c r="AP544" s="169"/>
      <c r="AQ544" s="220"/>
      <c r="AR544" s="169"/>
      <c r="AS544" s="169"/>
      <c r="AT544" s="169"/>
      <c r="AU544" s="169"/>
      <c r="AV544" s="220"/>
      <c r="AW544" s="169"/>
      <c r="AX544" s="169"/>
      <c r="AY544" s="169"/>
      <c r="AZ544" s="169"/>
      <c r="BA544" s="220"/>
      <c r="BB544" s="169"/>
      <c r="BC544" s="169"/>
      <c r="BD544" s="169"/>
      <c r="BE544" s="169"/>
      <c r="BF544" s="220"/>
      <c r="BG544" s="169"/>
      <c r="BH544" s="169"/>
      <c r="BI544" s="169"/>
      <c r="BJ544" s="169"/>
      <c r="BK544" s="220"/>
      <c r="BL544" s="169"/>
      <c r="BM544" s="169"/>
      <c r="BN544" s="169"/>
      <c r="BO544" s="169"/>
      <c r="BP544" s="220"/>
      <c r="BQ544" s="169"/>
      <c r="BR544" s="169"/>
      <c r="BS544" s="169"/>
      <c r="BT544" s="169"/>
      <c r="BU544" s="220"/>
      <c r="BV544" s="169"/>
      <c r="BW544" s="169"/>
      <c r="BX544" s="169"/>
      <c r="BY544" s="169"/>
      <c r="BZ544" s="220"/>
      <c r="CA544" s="169"/>
      <c r="CB544" s="169"/>
      <c r="CC544" s="169"/>
      <c r="CD544" s="169"/>
      <c r="CE544" s="220"/>
      <c r="CF544" s="169"/>
      <c r="CG544" s="169"/>
      <c r="CH544" s="169"/>
      <c r="CI544" s="169"/>
      <c r="CJ544" s="220"/>
      <c r="CK544" s="169"/>
      <c r="CL544" s="169"/>
      <c r="CM544" s="169"/>
      <c r="CN544" s="169"/>
      <c r="CO544" s="220"/>
      <c r="CP544" s="169"/>
      <c r="CQ544" s="169"/>
      <c r="CR544" s="169"/>
      <c r="CS544" s="169"/>
      <c r="CT544" s="220"/>
      <c r="CU544" s="169"/>
      <c r="CV544" s="169"/>
      <c r="CW544" s="169"/>
      <c r="CX544" s="169"/>
      <c r="CY544" s="220"/>
      <c r="CZ544" s="169"/>
      <c r="DA544" s="169"/>
      <c r="DB544" s="169"/>
      <c r="DC544" s="169"/>
      <c r="DD544" s="220"/>
      <c r="DE544" s="169"/>
      <c r="DF544" s="169"/>
      <c r="DG544" s="169"/>
      <c r="DH544" s="169"/>
      <c r="DI544" s="220"/>
      <c r="DJ544" s="169"/>
      <c r="DK544" s="169"/>
      <c r="DL544" s="169"/>
      <c r="DM544" s="169"/>
      <c r="DN544" s="220"/>
      <c r="DO544" s="169"/>
      <c r="DP544" s="169"/>
      <c r="DQ544" s="169"/>
      <c r="DR544" s="169"/>
      <c r="DS544" s="220"/>
      <c r="DT544" s="169"/>
      <c r="DU544" s="169"/>
      <c r="DV544" s="169"/>
      <c r="DW544" s="169"/>
      <c r="DX544" s="220"/>
      <c r="DY544" s="169"/>
      <c r="DZ544" s="169"/>
      <c r="EA544" s="169"/>
      <c r="EB544" s="169"/>
      <c r="EC544" s="220"/>
      <c r="ED544" s="169"/>
      <c r="EE544" s="169"/>
      <c r="EF544" s="169"/>
      <c r="EG544" s="169"/>
      <c r="EH544" s="220"/>
      <c r="EI544" s="169"/>
      <c r="EJ544" s="169"/>
      <c r="EK544" s="169"/>
      <c r="EL544" s="169"/>
      <c r="EM544" s="220"/>
      <c r="EN544" s="169"/>
      <c r="EO544" s="169"/>
      <c r="EP544" s="169"/>
      <c r="EQ544" s="169"/>
      <c r="ER544" s="220"/>
      <c r="ES544" s="169"/>
      <c r="ET544" s="169"/>
      <c r="EU544" s="169"/>
      <c r="EV544" s="169"/>
      <c r="EW544" s="220"/>
      <c r="EX544" s="169"/>
      <c r="EY544" s="169"/>
      <c r="EZ544" s="169"/>
      <c r="FA544" s="169"/>
      <c r="FB544" s="220"/>
      <c r="FC544" s="169"/>
      <c r="FD544" s="169"/>
      <c r="FE544" s="169"/>
      <c r="FF544" s="169"/>
      <c r="FG544" s="220"/>
      <c r="FH544" s="169"/>
      <c r="FI544" s="169"/>
      <c r="FJ544" s="169"/>
      <c r="FK544" s="169"/>
      <c r="FL544" s="220"/>
      <c r="FM544" s="169"/>
      <c r="FN544" s="169"/>
      <c r="FO544" s="169"/>
      <c r="FP544" s="169"/>
      <c r="FQ544" s="220"/>
      <c r="FR544" s="169"/>
      <c r="FS544" s="169"/>
      <c r="FT544" s="169"/>
      <c r="FU544" s="169"/>
      <c r="FV544" s="220"/>
      <c r="FW544" s="169"/>
      <c r="FX544" s="169"/>
      <c r="FY544" s="169"/>
      <c r="FZ544" s="169"/>
      <c r="GA544" s="220"/>
      <c r="GB544" s="169"/>
      <c r="GC544" s="169"/>
      <c r="GD544" s="169"/>
      <c r="GE544" s="169"/>
    </row>
    <row r="545" spans="3:187" ht="12.75" customHeight="1">
      <c r="C545" s="220"/>
      <c r="D545" s="169"/>
      <c r="E545" s="169"/>
      <c r="F545" s="169"/>
      <c r="G545" s="169"/>
      <c r="H545" s="220"/>
      <c r="I545" s="169"/>
      <c r="J545" s="169"/>
      <c r="K545" s="169"/>
      <c r="L545" s="169"/>
      <c r="M545" s="220"/>
      <c r="N545" s="169"/>
      <c r="O545" s="169"/>
      <c r="P545" s="169"/>
      <c r="Q545" s="169"/>
      <c r="R545" s="220"/>
      <c r="S545" s="169"/>
      <c r="T545" s="169"/>
      <c r="U545" s="169"/>
      <c r="V545" s="169"/>
      <c r="W545" s="220"/>
      <c r="X545" s="169"/>
      <c r="Y545" s="169"/>
      <c r="Z545" s="169"/>
      <c r="AA545" s="169"/>
      <c r="AB545" s="220"/>
      <c r="AC545" s="169"/>
      <c r="AD545" s="169"/>
      <c r="AE545" s="169"/>
      <c r="AF545" s="169"/>
      <c r="AG545" s="220"/>
      <c r="AH545" s="169"/>
      <c r="AI545" s="169"/>
      <c r="AJ545" s="169"/>
      <c r="AK545" s="169"/>
      <c r="AL545" s="220"/>
      <c r="AM545" s="169"/>
      <c r="AN545" s="169"/>
      <c r="AO545" s="169"/>
      <c r="AP545" s="169"/>
      <c r="AQ545" s="220"/>
      <c r="AR545" s="169"/>
      <c r="AS545" s="169"/>
      <c r="AT545" s="169"/>
      <c r="AU545" s="169"/>
      <c r="AV545" s="220"/>
      <c r="AW545" s="169"/>
      <c r="AX545" s="169"/>
      <c r="AY545" s="169"/>
      <c r="AZ545" s="169"/>
      <c r="BA545" s="220"/>
      <c r="BB545" s="169"/>
      <c r="BC545" s="169"/>
      <c r="BD545" s="169"/>
      <c r="BE545" s="169"/>
      <c r="BF545" s="220"/>
      <c r="BG545" s="169"/>
      <c r="BH545" s="169"/>
      <c r="BI545" s="169"/>
      <c r="BJ545" s="169"/>
      <c r="BK545" s="220"/>
      <c r="BL545" s="169"/>
      <c r="BM545" s="169"/>
      <c r="BN545" s="169"/>
      <c r="BO545" s="169"/>
      <c r="BP545" s="220"/>
      <c r="BQ545" s="169"/>
      <c r="BR545" s="169"/>
      <c r="BS545" s="169"/>
      <c r="BT545" s="169"/>
      <c r="BU545" s="220"/>
      <c r="BV545" s="169"/>
      <c r="BW545" s="169"/>
      <c r="BX545" s="169"/>
      <c r="BY545" s="169"/>
      <c r="BZ545" s="220"/>
      <c r="CA545" s="169"/>
      <c r="CB545" s="169"/>
      <c r="CC545" s="169"/>
      <c r="CD545" s="169"/>
      <c r="CE545" s="220"/>
      <c r="CF545" s="169"/>
      <c r="CG545" s="169"/>
      <c r="CH545" s="169"/>
      <c r="CI545" s="169"/>
      <c r="CJ545" s="220"/>
      <c r="CK545" s="169"/>
      <c r="CL545" s="169"/>
      <c r="CM545" s="169"/>
      <c r="CN545" s="169"/>
      <c r="CO545" s="220"/>
      <c r="CP545" s="169"/>
      <c r="CQ545" s="169"/>
      <c r="CR545" s="169"/>
      <c r="CS545" s="169"/>
      <c r="CT545" s="220"/>
      <c r="CU545" s="169"/>
      <c r="CV545" s="169"/>
      <c r="CW545" s="169"/>
      <c r="CX545" s="169"/>
      <c r="CY545" s="220"/>
      <c r="CZ545" s="169"/>
      <c r="DA545" s="169"/>
      <c r="DB545" s="169"/>
      <c r="DC545" s="169"/>
      <c r="DD545" s="220"/>
      <c r="DE545" s="169"/>
      <c r="DF545" s="169"/>
      <c r="DG545" s="169"/>
      <c r="DH545" s="169"/>
      <c r="DI545" s="220"/>
      <c r="DJ545" s="169"/>
      <c r="DK545" s="169"/>
      <c r="DL545" s="169"/>
      <c r="DM545" s="169"/>
      <c r="DN545" s="220"/>
      <c r="DO545" s="169"/>
      <c r="DP545" s="169"/>
      <c r="DQ545" s="169"/>
      <c r="DR545" s="169"/>
      <c r="DS545" s="220"/>
      <c r="DT545" s="169"/>
      <c r="DU545" s="169"/>
      <c r="DV545" s="169"/>
      <c r="DW545" s="169"/>
      <c r="DX545" s="220"/>
      <c r="DY545" s="169"/>
      <c r="DZ545" s="169"/>
      <c r="EA545" s="169"/>
      <c r="EB545" s="169"/>
      <c r="EC545" s="220"/>
      <c r="ED545" s="169"/>
      <c r="EE545" s="169"/>
      <c r="EF545" s="169"/>
      <c r="EG545" s="169"/>
      <c r="EH545" s="220"/>
      <c r="EI545" s="169"/>
      <c r="EJ545" s="169"/>
      <c r="EK545" s="169"/>
      <c r="EL545" s="169"/>
      <c r="EM545" s="220"/>
      <c r="EN545" s="169"/>
      <c r="EO545" s="169"/>
      <c r="EP545" s="169"/>
      <c r="EQ545" s="169"/>
      <c r="ER545" s="220"/>
      <c r="ES545" s="169"/>
      <c r="ET545" s="169"/>
      <c r="EU545" s="169"/>
      <c r="EV545" s="169"/>
      <c r="EW545" s="220"/>
      <c r="EX545" s="169"/>
      <c r="EY545" s="169"/>
      <c r="EZ545" s="169"/>
      <c r="FA545" s="169"/>
      <c r="FB545" s="220"/>
      <c r="FC545" s="169"/>
      <c r="FD545" s="169"/>
      <c r="FE545" s="169"/>
      <c r="FF545" s="169"/>
      <c r="FG545" s="220"/>
      <c r="FH545" s="169"/>
      <c r="FI545" s="169"/>
      <c r="FJ545" s="169"/>
      <c r="FK545" s="169"/>
      <c r="FL545" s="220"/>
      <c r="FM545" s="169"/>
      <c r="FN545" s="169"/>
      <c r="FO545" s="169"/>
      <c r="FP545" s="169"/>
      <c r="FQ545" s="220"/>
      <c r="FR545" s="169"/>
      <c r="FS545" s="169"/>
      <c r="FT545" s="169"/>
      <c r="FU545" s="169"/>
      <c r="FV545" s="220"/>
      <c r="FW545" s="169"/>
      <c r="FX545" s="169"/>
      <c r="FY545" s="169"/>
      <c r="FZ545" s="169"/>
      <c r="GA545" s="220"/>
      <c r="GB545" s="169"/>
      <c r="GC545" s="169"/>
      <c r="GD545" s="169"/>
      <c r="GE545" s="169"/>
    </row>
    <row r="546" spans="3:187" ht="12.75" customHeight="1">
      <c r="C546" s="220"/>
      <c r="D546" s="169"/>
      <c r="E546" s="169"/>
      <c r="F546" s="169"/>
      <c r="G546" s="169"/>
      <c r="H546" s="220"/>
      <c r="I546" s="169"/>
      <c r="J546" s="169"/>
      <c r="K546" s="169"/>
      <c r="L546" s="169"/>
      <c r="M546" s="220"/>
      <c r="N546" s="169"/>
      <c r="O546" s="169"/>
      <c r="P546" s="169"/>
      <c r="Q546" s="169"/>
      <c r="R546" s="220"/>
      <c r="S546" s="169"/>
      <c r="T546" s="169"/>
      <c r="U546" s="169"/>
      <c r="V546" s="169"/>
      <c r="W546" s="220"/>
      <c r="X546" s="169"/>
      <c r="Y546" s="169"/>
      <c r="Z546" s="169"/>
      <c r="AA546" s="169"/>
      <c r="AB546" s="220"/>
      <c r="AC546" s="169"/>
      <c r="AD546" s="169"/>
      <c r="AE546" s="169"/>
      <c r="AF546" s="169"/>
      <c r="AG546" s="220"/>
      <c r="AH546" s="169"/>
      <c r="AI546" s="169"/>
      <c r="AJ546" s="169"/>
      <c r="AK546" s="169"/>
      <c r="AL546" s="220"/>
      <c r="AM546" s="169"/>
      <c r="AN546" s="169"/>
      <c r="AO546" s="169"/>
      <c r="AP546" s="169"/>
      <c r="AQ546" s="220"/>
      <c r="AR546" s="169"/>
      <c r="AS546" s="169"/>
      <c r="AT546" s="169"/>
      <c r="AU546" s="169"/>
      <c r="AV546" s="220"/>
      <c r="AW546" s="169"/>
      <c r="AX546" s="169"/>
      <c r="AY546" s="169"/>
      <c r="AZ546" s="169"/>
      <c r="BA546" s="220"/>
      <c r="BB546" s="169"/>
      <c r="BC546" s="169"/>
      <c r="BD546" s="169"/>
      <c r="BE546" s="169"/>
      <c r="BF546" s="220"/>
      <c r="BG546" s="169"/>
      <c r="BH546" s="169"/>
      <c r="BI546" s="169"/>
      <c r="BJ546" s="169"/>
      <c r="BK546" s="220"/>
      <c r="BL546" s="169"/>
      <c r="BM546" s="169"/>
      <c r="BN546" s="169"/>
      <c r="BO546" s="169"/>
      <c r="BP546" s="220"/>
      <c r="BQ546" s="169"/>
      <c r="BR546" s="169"/>
      <c r="BS546" s="169"/>
      <c r="BT546" s="169"/>
      <c r="BU546" s="220"/>
      <c r="BV546" s="169"/>
      <c r="BW546" s="169"/>
      <c r="BX546" s="169"/>
      <c r="BY546" s="169"/>
      <c r="BZ546" s="220"/>
      <c r="CA546" s="169"/>
      <c r="CB546" s="169"/>
      <c r="CC546" s="169"/>
      <c r="CD546" s="169"/>
      <c r="CE546" s="220"/>
      <c r="CF546" s="169"/>
      <c r="CG546" s="169"/>
      <c r="CH546" s="169"/>
      <c r="CI546" s="169"/>
      <c r="CJ546" s="220"/>
      <c r="CK546" s="169"/>
      <c r="CL546" s="169"/>
      <c r="CM546" s="169"/>
      <c r="CN546" s="169"/>
      <c r="CO546" s="220"/>
      <c r="CP546" s="169"/>
      <c r="CQ546" s="169"/>
      <c r="CR546" s="169"/>
      <c r="CS546" s="169"/>
      <c r="CT546" s="220"/>
      <c r="CU546" s="169"/>
      <c r="CV546" s="169"/>
      <c r="CW546" s="169"/>
      <c r="CX546" s="169"/>
      <c r="CY546" s="220"/>
      <c r="CZ546" s="169"/>
      <c r="DA546" s="169"/>
      <c r="DB546" s="169"/>
      <c r="DC546" s="169"/>
      <c r="DD546" s="220"/>
      <c r="DE546" s="169"/>
      <c r="DF546" s="169"/>
      <c r="DG546" s="169"/>
      <c r="DH546" s="169"/>
      <c r="DI546" s="220"/>
      <c r="DJ546" s="169"/>
      <c r="DK546" s="169"/>
      <c r="DL546" s="169"/>
      <c r="DM546" s="169"/>
      <c r="DN546" s="220"/>
      <c r="DO546" s="169"/>
      <c r="DP546" s="169"/>
      <c r="DQ546" s="169"/>
      <c r="DR546" s="169"/>
      <c r="DS546" s="220"/>
      <c r="DT546" s="169"/>
      <c r="DU546" s="169"/>
      <c r="DV546" s="169"/>
      <c r="DW546" s="169"/>
      <c r="DX546" s="220"/>
      <c r="DY546" s="169"/>
      <c r="DZ546" s="169"/>
      <c r="EA546" s="169"/>
      <c r="EB546" s="169"/>
      <c r="EC546" s="220"/>
      <c r="ED546" s="169"/>
      <c r="EE546" s="169"/>
      <c r="EF546" s="169"/>
      <c r="EG546" s="169"/>
      <c r="EH546" s="220"/>
      <c r="EI546" s="169"/>
      <c r="EJ546" s="169"/>
      <c r="EK546" s="169"/>
      <c r="EL546" s="169"/>
      <c r="EM546" s="220"/>
      <c r="EN546" s="169"/>
      <c r="EO546" s="169"/>
      <c r="EP546" s="169"/>
      <c r="EQ546" s="169"/>
      <c r="ER546" s="220"/>
      <c r="ES546" s="169"/>
      <c r="ET546" s="169"/>
      <c r="EU546" s="169"/>
      <c r="EV546" s="169"/>
      <c r="EW546" s="220"/>
      <c r="EX546" s="169"/>
      <c r="EY546" s="169"/>
      <c r="EZ546" s="169"/>
      <c r="FA546" s="169"/>
      <c r="FB546" s="220"/>
      <c r="FC546" s="169"/>
      <c r="FD546" s="169"/>
      <c r="FE546" s="169"/>
      <c r="FF546" s="169"/>
      <c r="FG546" s="220"/>
      <c r="FH546" s="169"/>
      <c r="FI546" s="169"/>
      <c r="FJ546" s="169"/>
      <c r="FK546" s="169"/>
      <c r="FL546" s="220"/>
      <c r="FM546" s="169"/>
      <c r="FN546" s="169"/>
      <c r="FO546" s="169"/>
      <c r="FP546" s="169"/>
      <c r="FQ546" s="220"/>
      <c r="FR546" s="169"/>
      <c r="FS546" s="169"/>
      <c r="FT546" s="169"/>
      <c r="FU546" s="169"/>
      <c r="FV546" s="220"/>
      <c r="FW546" s="169"/>
      <c r="FX546" s="169"/>
      <c r="FY546" s="169"/>
      <c r="FZ546" s="169"/>
      <c r="GA546" s="220"/>
      <c r="GB546" s="169"/>
      <c r="GC546" s="169"/>
      <c r="GD546" s="169"/>
      <c r="GE546" s="169"/>
    </row>
    <row r="547" spans="3:187" ht="12.75" customHeight="1">
      <c r="C547" s="220"/>
      <c r="D547" s="169"/>
      <c r="E547" s="169"/>
      <c r="F547" s="169"/>
      <c r="G547" s="169"/>
      <c r="H547" s="220"/>
      <c r="I547" s="169"/>
      <c r="J547" s="169"/>
      <c r="K547" s="169"/>
      <c r="L547" s="169"/>
      <c r="M547" s="220"/>
      <c r="N547" s="169"/>
      <c r="O547" s="169"/>
      <c r="P547" s="169"/>
      <c r="Q547" s="169"/>
      <c r="R547" s="220"/>
      <c r="S547" s="169"/>
      <c r="T547" s="169"/>
      <c r="U547" s="169"/>
      <c r="V547" s="169"/>
      <c r="W547" s="220"/>
      <c r="X547" s="169"/>
      <c r="Y547" s="169"/>
      <c r="Z547" s="169"/>
      <c r="AA547" s="169"/>
      <c r="AB547" s="220"/>
      <c r="AC547" s="169"/>
      <c r="AD547" s="169"/>
      <c r="AE547" s="169"/>
      <c r="AF547" s="169"/>
      <c r="AG547" s="220"/>
      <c r="AH547" s="169"/>
      <c r="AI547" s="169"/>
      <c r="AJ547" s="169"/>
      <c r="AK547" s="169"/>
      <c r="AL547" s="220"/>
      <c r="AM547" s="169"/>
      <c r="AN547" s="169"/>
      <c r="AO547" s="169"/>
      <c r="AP547" s="169"/>
      <c r="AQ547" s="220"/>
      <c r="AR547" s="169"/>
      <c r="AS547" s="169"/>
      <c r="AT547" s="169"/>
      <c r="AU547" s="169"/>
      <c r="AV547" s="220"/>
      <c r="AW547" s="169"/>
      <c r="AX547" s="169"/>
      <c r="AY547" s="169"/>
      <c r="AZ547" s="169"/>
      <c r="BA547" s="220"/>
      <c r="BB547" s="169"/>
      <c r="BC547" s="169"/>
      <c r="BD547" s="169"/>
      <c r="BE547" s="169"/>
      <c r="BF547" s="220"/>
      <c r="BG547" s="169"/>
      <c r="BH547" s="169"/>
      <c r="BI547" s="169"/>
      <c r="BJ547" s="169"/>
      <c r="BK547" s="220"/>
      <c r="BL547" s="169"/>
      <c r="BM547" s="169"/>
      <c r="BN547" s="169"/>
      <c r="BO547" s="169"/>
      <c r="BP547" s="220"/>
      <c r="BQ547" s="169"/>
      <c r="BR547" s="169"/>
      <c r="BS547" s="169"/>
      <c r="BT547" s="169"/>
      <c r="BU547" s="220"/>
      <c r="BV547" s="169"/>
      <c r="BW547" s="169"/>
      <c r="BX547" s="169"/>
      <c r="BY547" s="169"/>
      <c r="BZ547" s="220"/>
      <c r="CA547" s="169"/>
      <c r="CB547" s="169"/>
      <c r="CC547" s="169"/>
      <c r="CD547" s="169"/>
      <c r="CE547" s="220"/>
      <c r="CF547" s="169"/>
      <c r="CG547" s="169"/>
      <c r="CH547" s="169"/>
      <c r="CI547" s="169"/>
      <c r="CJ547" s="220"/>
      <c r="CK547" s="169"/>
      <c r="CL547" s="169"/>
      <c r="CM547" s="169"/>
      <c r="CN547" s="169"/>
      <c r="CO547" s="220"/>
      <c r="CP547" s="169"/>
      <c r="CQ547" s="169"/>
      <c r="CR547" s="169"/>
      <c r="CS547" s="169"/>
      <c r="CT547" s="220"/>
      <c r="CU547" s="169"/>
      <c r="CV547" s="169"/>
      <c r="CW547" s="169"/>
      <c r="CX547" s="169"/>
      <c r="CY547" s="220"/>
      <c r="CZ547" s="169"/>
      <c r="DA547" s="169"/>
      <c r="DB547" s="169"/>
      <c r="DC547" s="169"/>
      <c r="DD547" s="220"/>
      <c r="DE547" s="169"/>
      <c r="DF547" s="169"/>
      <c r="DG547" s="169"/>
      <c r="DH547" s="169"/>
      <c r="DI547" s="220"/>
      <c r="DJ547" s="169"/>
      <c r="DK547" s="169"/>
      <c r="DL547" s="169"/>
      <c r="DM547" s="169"/>
      <c r="DN547" s="220"/>
      <c r="DO547" s="169"/>
      <c r="DP547" s="169"/>
      <c r="DQ547" s="169"/>
      <c r="DR547" s="169"/>
      <c r="DS547" s="220"/>
      <c r="DT547" s="169"/>
      <c r="DU547" s="169"/>
      <c r="DV547" s="169"/>
      <c r="DW547" s="169"/>
      <c r="DX547" s="220"/>
      <c r="DY547" s="169"/>
      <c r="DZ547" s="169"/>
      <c r="EA547" s="169"/>
      <c r="EB547" s="169"/>
      <c r="EC547" s="220"/>
      <c r="ED547" s="169"/>
      <c r="EE547" s="169"/>
      <c r="EF547" s="169"/>
      <c r="EG547" s="169"/>
      <c r="EH547" s="220"/>
      <c r="EI547" s="169"/>
      <c r="EJ547" s="169"/>
      <c r="EK547" s="169"/>
      <c r="EL547" s="169"/>
      <c r="EM547" s="220"/>
      <c r="EN547" s="169"/>
      <c r="EO547" s="169"/>
      <c r="EP547" s="169"/>
      <c r="EQ547" s="169"/>
      <c r="ER547" s="220"/>
      <c r="ES547" s="169"/>
      <c r="ET547" s="169"/>
      <c r="EU547" s="169"/>
      <c r="EV547" s="169"/>
      <c r="EW547" s="220"/>
      <c r="EX547" s="169"/>
      <c r="EY547" s="169"/>
      <c r="EZ547" s="169"/>
      <c r="FA547" s="169"/>
      <c r="FB547" s="220"/>
      <c r="FC547" s="169"/>
      <c r="FD547" s="169"/>
      <c r="FE547" s="169"/>
      <c r="FF547" s="169"/>
      <c r="FG547" s="220"/>
      <c r="FH547" s="169"/>
      <c r="FI547" s="169"/>
      <c r="FJ547" s="169"/>
      <c r="FK547" s="169"/>
      <c r="FL547" s="220"/>
      <c r="FM547" s="169"/>
      <c r="FN547" s="169"/>
      <c r="FO547" s="169"/>
      <c r="FP547" s="169"/>
      <c r="FQ547" s="220"/>
      <c r="FR547" s="169"/>
      <c r="FS547" s="169"/>
      <c r="FT547" s="169"/>
      <c r="FU547" s="169"/>
      <c r="FV547" s="220"/>
      <c r="FW547" s="169"/>
      <c r="FX547" s="169"/>
      <c r="FY547" s="169"/>
      <c r="FZ547" s="169"/>
      <c r="GA547" s="220"/>
      <c r="GB547" s="169"/>
      <c r="GC547" s="169"/>
      <c r="GD547" s="169"/>
      <c r="GE547" s="169"/>
    </row>
    <row r="548" spans="3:187" ht="12.75" customHeight="1">
      <c r="C548" s="169"/>
      <c r="D548" s="169"/>
      <c r="E548" s="169"/>
      <c r="F548" s="169"/>
      <c r="G548" s="169"/>
      <c r="H548" s="169"/>
      <c r="I548" s="169"/>
      <c r="J548" s="169"/>
      <c r="K548" s="169"/>
      <c r="L548" s="169"/>
      <c r="M548" s="169"/>
      <c r="N548" s="169"/>
      <c r="O548" s="169"/>
      <c r="P548" s="169"/>
      <c r="Q548" s="169"/>
      <c r="R548" s="169"/>
      <c r="S548" s="169"/>
      <c r="T548" s="169"/>
      <c r="U548" s="169"/>
      <c r="V548" s="169"/>
      <c r="W548" s="169"/>
      <c r="X548" s="169"/>
      <c r="Y548" s="169"/>
      <c r="Z548" s="169"/>
      <c r="AA548" s="169"/>
      <c r="AB548" s="169"/>
      <c r="AC548" s="169"/>
      <c r="AD548" s="169"/>
      <c r="AE548" s="169"/>
      <c r="AF548" s="169"/>
      <c r="AG548" s="169"/>
      <c r="AH548" s="169"/>
      <c r="AI548" s="169"/>
      <c r="AJ548" s="169"/>
      <c r="AK548" s="169"/>
      <c r="AL548" s="169"/>
      <c r="AM548" s="169"/>
      <c r="AN548" s="169"/>
      <c r="AO548" s="169"/>
      <c r="AP548" s="169"/>
      <c r="AQ548" s="169"/>
      <c r="AR548" s="169"/>
      <c r="AS548" s="169"/>
      <c r="AT548" s="169"/>
      <c r="AU548" s="169"/>
      <c r="AV548" s="169"/>
      <c r="AW548" s="169"/>
      <c r="AX548" s="169"/>
      <c r="AY548" s="169"/>
      <c r="AZ548" s="169"/>
      <c r="BA548" s="169"/>
      <c r="BB548" s="169"/>
      <c r="BC548" s="169"/>
      <c r="BD548" s="169"/>
      <c r="BE548" s="169"/>
      <c r="BF548" s="169"/>
      <c r="BG548" s="169"/>
      <c r="BH548" s="169"/>
      <c r="BI548" s="169"/>
      <c r="BJ548" s="169"/>
      <c r="BK548" s="169"/>
      <c r="BL548" s="169"/>
      <c r="BM548" s="169"/>
      <c r="BN548" s="169"/>
      <c r="BO548" s="169"/>
      <c r="BP548" s="169"/>
      <c r="BQ548" s="169"/>
      <c r="BR548" s="169"/>
      <c r="BS548" s="169"/>
      <c r="BT548" s="169"/>
      <c r="BU548" s="169"/>
      <c r="BV548" s="169"/>
      <c r="BW548" s="169"/>
      <c r="BX548" s="169"/>
      <c r="BY548" s="169"/>
      <c r="BZ548" s="169"/>
      <c r="CA548" s="169"/>
      <c r="CB548" s="169"/>
      <c r="CC548" s="169"/>
      <c r="CD548" s="169"/>
      <c r="CE548" s="169"/>
      <c r="CF548" s="169"/>
      <c r="CG548" s="169"/>
      <c r="CH548" s="169"/>
      <c r="CI548" s="169"/>
      <c r="CJ548" s="169"/>
      <c r="CK548" s="169"/>
      <c r="CL548" s="169"/>
      <c r="CM548" s="169"/>
      <c r="CN548" s="169"/>
      <c r="CO548" s="169"/>
      <c r="CP548" s="169"/>
      <c r="CQ548" s="169"/>
      <c r="CR548" s="169"/>
      <c r="CS548" s="169"/>
      <c r="CT548" s="169"/>
      <c r="CU548" s="169"/>
      <c r="CV548" s="169"/>
      <c r="CW548" s="169"/>
      <c r="CX548" s="169"/>
      <c r="CY548" s="169"/>
      <c r="CZ548" s="169"/>
      <c r="DA548" s="169"/>
      <c r="DB548" s="169"/>
      <c r="DC548" s="169"/>
      <c r="DD548" s="169"/>
      <c r="DE548" s="169"/>
      <c r="DF548" s="169"/>
      <c r="DG548" s="169"/>
      <c r="DH548" s="169"/>
      <c r="DI548" s="169"/>
      <c r="DJ548" s="169"/>
      <c r="DK548" s="169"/>
      <c r="DL548" s="169"/>
      <c r="DM548" s="169"/>
      <c r="DN548" s="169"/>
      <c r="DO548" s="169"/>
      <c r="DP548" s="169"/>
      <c r="DQ548" s="169"/>
      <c r="DR548" s="169"/>
      <c r="DS548" s="169"/>
      <c r="DT548" s="169"/>
      <c r="DU548" s="169"/>
      <c r="DV548" s="169"/>
      <c r="DW548" s="169"/>
      <c r="DX548" s="169"/>
      <c r="DY548" s="169"/>
      <c r="DZ548" s="169"/>
      <c r="EA548" s="169"/>
      <c r="EB548" s="169"/>
      <c r="EC548" s="169"/>
      <c r="ED548" s="169"/>
      <c r="EE548" s="169"/>
      <c r="EF548" s="169"/>
      <c r="EG548" s="169"/>
      <c r="EH548" s="169"/>
      <c r="EI548" s="169"/>
      <c r="EJ548" s="169"/>
      <c r="EK548" s="169"/>
      <c r="EL548" s="169"/>
      <c r="EM548" s="169"/>
      <c r="EN548" s="169"/>
      <c r="EO548" s="169"/>
      <c r="EP548" s="169"/>
      <c r="EQ548" s="169"/>
      <c r="ER548" s="169"/>
      <c r="ES548" s="169"/>
      <c r="ET548" s="169"/>
      <c r="EU548" s="169"/>
      <c r="EV548" s="169"/>
      <c r="EW548" s="169"/>
      <c r="EX548" s="169"/>
      <c r="EY548" s="169"/>
      <c r="EZ548" s="169"/>
      <c r="FA548" s="169"/>
      <c r="FB548" s="169"/>
      <c r="FC548" s="169"/>
      <c r="FD548" s="169"/>
      <c r="FE548" s="169"/>
      <c r="FF548" s="169"/>
      <c r="FG548" s="169"/>
      <c r="FH548" s="169"/>
      <c r="FI548" s="169"/>
      <c r="FJ548" s="169"/>
      <c r="FK548" s="169"/>
      <c r="FL548" s="169"/>
      <c r="FM548" s="169"/>
      <c r="FN548" s="169"/>
      <c r="FO548" s="169"/>
      <c r="FP548" s="169"/>
      <c r="FQ548" s="169"/>
      <c r="FR548" s="169"/>
      <c r="FS548" s="169"/>
      <c r="FT548" s="169"/>
      <c r="FU548" s="169"/>
      <c r="FV548" s="169"/>
      <c r="FW548" s="169"/>
      <c r="FX548" s="169"/>
      <c r="FY548" s="169"/>
      <c r="FZ548" s="169"/>
      <c r="GA548" s="169"/>
      <c r="GB548" s="169"/>
      <c r="GC548" s="169"/>
      <c r="GD548" s="169"/>
      <c r="GE548" s="169"/>
    </row>
    <row r="549" spans="3:187" ht="12.75" customHeight="1">
      <c r="C549" s="169"/>
      <c r="D549" s="169"/>
      <c r="E549" s="169"/>
      <c r="F549" s="169"/>
      <c r="G549" s="169"/>
      <c r="H549" s="169"/>
      <c r="I549" s="169"/>
      <c r="J549" s="169"/>
      <c r="K549" s="169"/>
      <c r="L549" s="169"/>
      <c r="M549" s="169"/>
      <c r="N549" s="169"/>
      <c r="O549" s="169"/>
      <c r="P549" s="169"/>
      <c r="Q549" s="169"/>
      <c r="R549" s="169"/>
      <c r="S549" s="169"/>
      <c r="T549" s="169"/>
      <c r="U549" s="169"/>
      <c r="V549" s="169"/>
      <c r="W549" s="169"/>
      <c r="X549" s="169"/>
      <c r="Y549" s="169"/>
      <c r="Z549" s="169"/>
      <c r="AA549" s="169"/>
      <c r="AB549" s="169"/>
      <c r="AC549" s="169"/>
      <c r="AD549" s="169"/>
      <c r="AE549" s="169"/>
      <c r="AF549" s="169"/>
      <c r="AG549" s="169"/>
      <c r="AH549" s="169"/>
      <c r="AI549" s="169"/>
      <c r="AJ549" s="169"/>
      <c r="AK549" s="169"/>
      <c r="AL549" s="169"/>
      <c r="AM549" s="169"/>
      <c r="AN549" s="169"/>
      <c r="AO549" s="169"/>
      <c r="AP549" s="169"/>
      <c r="AQ549" s="169"/>
      <c r="AR549" s="169"/>
      <c r="AS549" s="169"/>
      <c r="AT549" s="169"/>
      <c r="AU549" s="169"/>
      <c r="AV549" s="169"/>
      <c r="AW549" s="169"/>
      <c r="AX549" s="169"/>
      <c r="AY549" s="169"/>
      <c r="AZ549" s="169"/>
      <c r="BA549" s="169"/>
      <c r="BB549" s="169"/>
      <c r="BC549" s="169"/>
      <c r="BD549" s="169"/>
      <c r="BE549" s="169"/>
      <c r="BF549" s="169"/>
      <c r="BG549" s="169"/>
      <c r="BH549" s="169"/>
      <c r="BI549" s="169"/>
      <c r="BJ549" s="169"/>
      <c r="BK549" s="169"/>
      <c r="BL549" s="169"/>
      <c r="BM549" s="169"/>
      <c r="BN549" s="169"/>
      <c r="BO549" s="169"/>
      <c r="BP549" s="169"/>
      <c r="BQ549" s="169"/>
      <c r="BR549" s="169"/>
      <c r="BS549" s="169"/>
      <c r="BT549" s="169"/>
      <c r="BU549" s="169"/>
      <c r="BV549" s="169"/>
      <c r="BW549" s="169"/>
      <c r="BX549" s="169"/>
      <c r="BY549" s="169"/>
      <c r="BZ549" s="169"/>
      <c r="CA549" s="169"/>
      <c r="CB549" s="169"/>
      <c r="CC549" s="169"/>
      <c r="CD549" s="169"/>
      <c r="CE549" s="169"/>
      <c r="CF549" s="169"/>
      <c r="CG549" s="169"/>
      <c r="CH549" s="169"/>
      <c r="CI549" s="169"/>
      <c r="CJ549" s="169"/>
      <c r="CK549" s="169"/>
      <c r="CL549" s="169"/>
      <c r="CM549" s="169"/>
      <c r="CN549" s="169"/>
      <c r="CO549" s="169"/>
      <c r="CP549" s="169"/>
      <c r="CQ549" s="169"/>
      <c r="CR549" s="169"/>
      <c r="CS549" s="169"/>
      <c r="CT549" s="169"/>
      <c r="CU549" s="169"/>
      <c r="CV549" s="169"/>
      <c r="CW549" s="169"/>
      <c r="CX549" s="169"/>
      <c r="CY549" s="169"/>
      <c r="CZ549" s="169"/>
      <c r="DA549" s="169"/>
      <c r="DB549" s="169"/>
      <c r="DC549" s="169"/>
      <c r="DD549" s="169"/>
      <c r="DE549" s="169"/>
      <c r="DF549" s="169"/>
      <c r="DG549" s="169"/>
      <c r="DH549" s="169"/>
      <c r="DI549" s="169"/>
      <c r="DJ549" s="169"/>
      <c r="DK549" s="169"/>
      <c r="DL549" s="169"/>
      <c r="DM549" s="169"/>
      <c r="DN549" s="169"/>
      <c r="DO549" s="169"/>
      <c r="DP549" s="169"/>
      <c r="DQ549" s="169"/>
      <c r="DR549" s="169"/>
      <c r="DS549" s="169"/>
      <c r="DT549" s="169"/>
      <c r="DU549" s="169"/>
      <c r="DV549" s="169"/>
      <c r="DW549" s="169"/>
      <c r="DX549" s="169"/>
      <c r="DY549" s="169"/>
      <c r="DZ549" s="169"/>
      <c r="EA549" s="169"/>
      <c r="EB549" s="169"/>
      <c r="EC549" s="169"/>
      <c r="ED549" s="169"/>
      <c r="EE549" s="169"/>
      <c r="EF549" s="169"/>
      <c r="EG549" s="169"/>
      <c r="EH549" s="169"/>
      <c r="EI549" s="169"/>
      <c r="EJ549" s="169"/>
      <c r="EK549" s="169"/>
      <c r="EL549" s="169"/>
      <c r="EM549" s="169"/>
      <c r="EN549" s="169"/>
      <c r="EO549" s="169"/>
      <c r="EP549" s="169"/>
      <c r="EQ549" s="169"/>
      <c r="ER549" s="169"/>
      <c r="ES549" s="169"/>
      <c r="ET549" s="169"/>
      <c r="EU549" s="169"/>
      <c r="EV549" s="169"/>
      <c r="EW549" s="169"/>
      <c r="EX549" s="169"/>
      <c r="EY549" s="169"/>
      <c r="EZ549" s="169"/>
      <c r="FA549" s="169"/>
      <c r="FB549" s="169"/>
      <c r="FC549" s="169"/>
      <c r="FD549" s="169"/>
      <c r="FE549" s="169"/>
      <c r="FF549" s="169"/>
      <c r="FG549" s="169"/>
      <c r="FH549" s="169"/>
      <c r="FI549" s="169"/>
      <c r="FJ549" s="169"/>
      <c r="FK549" s="169"/>
      <c r="FL549" s="169"/>
      <c r="FM549" s="169"/>
      <c r="FN549" s="169"/>
      <c r="FO549" s="169"/>
      <c r="FP549" s="169"/>
      <c r="FQ549" s="169"/>
      <c r="FR549" s="169"/>
      <c r="FS549" s="169"/>
      <c r="FT549" s="169"/>
      <c r="FU549" s="169"/>
      <c r="FV549" s="169"/>
      <c r="FW549" s="169"/>
      <c r="FX549" s="169"/>
      <c r="FY549" s="169"/>
      <c r="FZ549" s="169"/>
      <c r="GA549" s="169"/>
      <c r="GB549" s="169"/>
      <c r="GC549" s="169"/>
      <c r="GD549" s="169"/>
      <c r="GE549" s="169"/>
    </row>
    <row r="550" spans="3:187" ht="12.75" customHeight="1">
      <c r="C550" s="106"/>
      <c r="D550" s="106"/>
      <c r="E550" s="106"/>
      <c r="F550" s="106"/>
      <c r="G550" s="106"/>
      <c r="H550" s="106"/>
      <c r="I550" s="106"/>
      <c r="J550" s="106"/>
      <c r="K550" s="106"/>
      <c r="L550" s="106"/>
      <c r="M550" s="106"/>
      <c r="N550" s="106"/>
      <c r="O550" s="106"/>
      <c r="P550" s="106"/>
      <c r="Q550" s="106"/>
      <c r="R550" s="106"/>
      <c r="S550" s="106"/>
      <c r="T550" s="106"/>
      <c r="U550" s="106"/>
      <c r="V550" s="106"/>
      <c r="W550" s="106"/>
      <c r="X550" s="106"/>
      <c r="Y550" s="106"/>
      <c r="Z550" s="106"/>
      <c r="AA550" s="106"/>
      <c r="AB550" s="106"/>
      <c r="AC550" s="106"/>
      <c r="AD550" s="106"/>
      <c r="AE550" s="106"/>
      <c r="AF550" s="106"/>
      <c r="AG550" s="106"/>
      <c r="AH550" s="106"/>
      <c r="AI550" s="106"/>
      <c r="AJ550" s="106"/>
      <c r="AK550" s="106"/>
      <c r="AL550" s="106"/>
      <c r="AM550" s="106"/>
      <c r="AN550" s="106"/>
      <c r="AO550" s="106"/>
      <c r="AP550" s="106"/>
      <c r="AQ550" s="106"/>
      <c r="AR550" s="106"/>
      <c r="AS550" s="106"/>
      <c r="AT550" s="106"/>
      <c r="AU550" s="106"/>
      <c r="AV550" s="106"/>
      <c r="AW550" s="106"/>
      <c r="AX550" s="106"/>
      <c r="AY550" s="106"/>
      <c r="AZ550" s="106"/>
      <c r="BA550" s="106"/>
      <c r="BB550" s="106"/>
      <c r="BC550" s="106"/>
      <c r="BD550" s="106"/>
      <c r="BE550" s="106"/>
      <c r="BF550" s="106"/>
      <c r="BG550" s="106"/>
      <c r="BH550" s="106"/>
      <c r="BI550" s="106"/>
      <c r="BJ550" s="106"/>
      <c r="BK550" s="106"/>
      <c r="BL550" s="106"/>
      <c r="BM550" s="106"/>
      <c r="BN550" s="106"/>
      <c r="BO550" s="106"/>
      <c r="BP550" s="106"/>
      <c r="BQ550" s="106"/>
      <c r="BR550" s="106"/>
      <c r="BS550" s="106"/>
      <c r="BT550" s="106"/>
      <c r="BU550" s="106"/>
      <c r="BV550" s="106"/>
      <c r="BW550" s="106"/>
      <c r="BX550" s="106"/>
      <c r="BY550" s="106"/>
      <c r="BZ550" s="106"/>
      <c r="CA550" s="106"/>
      <c r="CB550" s="106"/>
      <c r="CC550" s="106"/>
      <c r="CD550" s="106"/>
      <c r="CE550" s="106"/>
      <c r="CF550" s="106"/>
      <c r="CG550" s="106"/>
      <c r="CH550" s="106"/>
      <c r="CI550" s="106"/>
      <c r="CJ550" s="106"/>
      <c r="CK550" s="106"/>
      <c r="CL550" s="106"/>
      <c r="CM550" s="106"/>
      <c r="CN550" s="106"/>
      <c r="CO550" s="106"/>
      <c r="CP550" s="106"/>
      <c r="CQ550" s="106"/>
      <c r="CR550" s="106"/>
      <c r="CS550" s="106"/>
      <c r="CT550" s="106"/>
      <c r="CU550" s="106"/>
      <c r="CV550" s="106"/>
      <c r="CW550" s="106"/>
      <c r="CX550" s="106"/>
      <c r="CY550" s="106"/>
      <c r="CZ550" s="106"/>
      <c r="DA550" s="106"/>
      <c r="DB550" s="106"/>
      <c r="DC550" s="106"/>
      <c r="DD550" s="106"/>
      <c r="DE550" s="106"/>
      <c r="DF550" s="106"/>
      <c r="DG550" s="106"/>
      <c r="DH550" s="106"/>
      <c r="DI550" s="106"/>
      <c r="DJ550" s="106"/>
      <c r="DK550" s="106"/>
      <c r="DL550" s="106"/>
      <c r="DM550" s="106"/>
      <c r="DN550" s="106"/>
      <c r="DO550" s="106"/>
      <c r="DP550" s="106"/>
      <c r="DQ550" s="106"/>
      <c r="DR550" s="106"/>
      <c r="DS550" s="106"/>
      <c r="DT550" s="106"/>
      <c r="DU550" s="106"/>
      <c r="DV550" s="106"/>
      <c r="DW550" s="106"/>
      <c r="DX550" s="106"/>
      <c r="DY550" s="106"/>
      <c r="DZ550" s="106"/>
      <c r="EA550" s="106"/>
      <c r="EB550" s="106"/>
      <c r="EC550" s="106"/>
      <c r="ED550" s="106"/>
      <c r="EE550" s="106"/>
      <c r="EF550" s="106"/>
      <c r="EG550" s="106"/>
      <c r="EH550" s="106"/>
      <c r="EI550" s="106"/>
      <c r="EJ550" s="106"/>
      <c r="EK550" s="106"/>
      <c r="EL550" s="106"/>
      <c r="EM550" s="106"/>
      <c r="EN550" s="106"/>
      <c r="EO550" s="106"/>
      <c r="EP550" s="106"/>
      <c r="EQ550" s="106"/>
      <c r="ER550" s="106"/>
      <c r="ES550" s="106"/>
      <c r="ET550" s="106"/>
      <c r="EU550" s="106"/>
      <c r="EV550" s="106"/>
      <c r="EW550" s="106"/>
      <c r="EX550" s="106"/>
      <c r="EY550" s="106"/>
      <c r="EZ550" s="106"/>
      <c r="FA550" s="106"/>
      <c r="FB550" s="106"/>
      <c r="FC550" s="106"/>
      <c r="FD550" s="106"/>
      <c r="FE550" s="106"/>
      <c r="FF550" s="106"/>
      <c r="FG550" s="106"/>
      <c r="FH550" s="106"/>
      <c r="FI550" s="106"/>
      <c r="FJ550" s="106"/>
      <c r="FK550" s="106"/>
      <c r="FL550" s="106"/>
      <c r="FM550" s="106"/>
      <c r="FN550" s="106"/>
      <c r="FO550" s="106"/>
      <c r="FP550" s="106"/>
      <c r="FQ550" s="106"/>
      <c r="FR550" s="106"/>
      <c r="FS550" s="106"/>
      <c r="FT550" s="106"/>
      <c r="FU550" s="106"/>
      <c r="FV550" s="106"/>
      <c r="FW550" s="106"/>
      <c r="FX550" s="106"/>
      <c r="FY550" s="106"/>
      <c r="FZ550" s="106"/>
      <c r="GA550" s="106"/>
      <c r="GB550" s="106"/>
      <c r="GC550" s="106"/>
      <c r="GD550" s="106"/>
      <c r="GE550" s="106"/>
    </row>
    <row r="551" spans="3:187" ht="12.75" customHeight="1">
      <c r="C551" s="147"/>
      <c r="D551" s="147"/>
      <c r="E551" s="147"/>
      <c r="F551" s="147"/>
      <c r="G551" s="147"/>
      <c r="H551" s="147"/>
      <c r="I551" s="147"/>
      <c r="J551" s="147"/>
      <c r="K551" s="147"/>
      <c r="L551" s="147"/>
      <c r="M551" s="147"/>
      <c r="N551" s="147"/>
      <c r="O551" s="147"/>
      <c r="P551" s="147"/>
      <c r="Q551" s="147"/>
      <c r="R551" s="147"/>
      <c r="S551" s="147"/>
      <c r="T551" s="147"/>
      <c r="U551" s="147"/>
      <c r="V551" s="147"/>
      <c r="W551" s="147"/>
      <c r="X551" s="147"/>
      <c r="Y551" s="147"/>
      <c r="Z551" s="147"/>
      <c r="AA551" s="147"/>
      <c r="AB551" s="147"/>
      <c r="AC551" s="147"/>
      <c r="AD551" s="147"/>
      <c r="AE551" s="147"/>
      <c r="AF551" s="147"/>
      <c r="AG551" s="147"/>
      <c r="AH551" s="147"/>
      <c r="AI551" s="147"/>
      <c r="AJ551" s="147"/>
      <c r="AK551" s="147"/>
      <c r="AL551" s="147"/>
      <c r="AM551" s="147"/>
      <c r="AN551" s="147"/>
      <c r="AO551" s="147"/>
      <c r="AP551" s="147"/>
      <c r="AQ551" s="147"/>
      <c r="AR551" s="147"/>
      <c r="AS551" s="147"/>
      <c r="AT551" s="147"/>
      <c r="AU551" s="147"/>
      <c r="AV551" s="147"/>
      <c r="AW551" s="147"/>
      <c r="AX551" s="147"/>
      <c r="AY551" s="147"/>
      <c r="AZ551" s="147"/>
      <c r="BA551" s="147"/>
      <c r="BB551" s="147"/>
      <c r="BC551" s="147"/>
      <c r="BD551" s="147"/>
      <c r="BE551" s="147"/>
      <c r="BF551" s="147"/>
      <c r="BG551" s="147"/>
      <c r="BH551" s="147"/>
      <c r="BI551" s="147"/>
      <c r="BJ551" s="147"/>
      <c r="BK551" s="147"/>
      <c r="BL551" s="147"/>
      <c r="BM551" s="147"/>
      <c r="BN551" s="147"/>
      <c r="BO551" s="147"/>
      <c r="BP551" s="147"/>
      <c r="BQ551" s="147"/>
      <c r="BR551" s="147"/>
      <c r="BS551" s="147"/>
      <c r="BT551" s="147"/>
      <c r="BU551" s="147"/>
      <c r="BV551" s="147"/>
      <c r="BW551" s="147"/>
      <c r="BX551" s="147"/>
      <c r="BY551" s="147"/>
      <c r="BZ551" s="147"/>
      <c r="CA551" s="147"/>
      <c r="CB551" s="147"/>
      <c r="CC551" s="147"/>
      <c r="CD551" s="147"/>
      <c r="CE551" s="147"/>
      <c r="CF551" s="147"/>
      <c r="CG551" s="147"/>
      <c r="CH551" s="147"/>
      <c r="CI551" s="147"/>
      <c r="CJ551" s="147"/>
      <c r="CK551" s="147"/>
      <c r="CL551" s="147"/>
      <c r="CM551" s="147"/>
      <c r="CN551" s="147"/>
      <c r="CO551" s="147"/>
      <c r="CP551" s="147"/>
      <c r="CQ551" s="147"/>
      <c r="CR551" s="147"/>
      <c r="CS551" s="147"/>
      <c r="CT551" s="147"/>
      <c r="CU551" s="147"/>
      <c r="CV551" s="147"/>
      <c r="CW551" s="147"/>
      <c r="CX551" s="147"/>
      <c r="CY551" s="147"/>
      <c r="CZ551" s="147"/>
      <c r="DA551" s="147"/>
      <c r="DB551" s="147"/>
      <c r="DC551" s="147"/>
      <c r="DD551" s="147"/>
      <c r="DE551" s="147"/>
      <c r="DF551" s="147"/>
      <c r="DG551" s="147"/>
      <c r="DH551" s="147"/>
      <c r="DI551" s="147"/>
      <c r="DJ551" s="147"/>
      <c r="DK551" s="147"/>
      <c r="DL551" s="147"/>
      <c r="DM551" s="147"/>
      <c r="DN551" s="147"/>
      <c r="DO551" s="147"/>
      <c r="DP551" s="147"/>
      <c r="DQ551" s="147"/>
      <c r="DR551" s="147"/>
      <c r="DS551" s="147"/>
      <c r="DT551" s="147"/>
      <c r="DU551" s="147"/>
      <c r="DV551" s="147"/>
      <c r="DW551" s="147"/>
      <c r="DX551" s="147"/>
      <c r="DY551" s="147"/>
      <c r="DZ551" s="147"/>
      <c r="EA551" s="147"/>
      <c r="EB551" s="147"/>
      <c r="EC551" s="147"/>
      <c r="ED551" s="147"/>
      <c r="EE551" s="147"/>
      <c r="EF551" s="147"/>
      <c r="EG551" s="147"/>
      <c r="EH551" s="147"/>
      <c r="EI551" s="147"/>
      <c r="EJ551" s="147"/>
      <c r="EK551" s="147"/>
      <c r="EL551" s="147"/>
      <c r="EM551" s="147"/>
      <c r="EN551" s="147"/>
      <c r="EO551" s="147"/>
      <c r="EP551" s="147"/>
      <c r="EQ551" s="147"/>
      <c r="ER551" s="147"/>
      <c r="ES551" s="147"/>
      <c r="ET551" s="147"/>
      <c r="EU551" s="147"/>
      <c r="EV551" s="147"/>
      <c r="EW551" s="147"/>
      <c r="EX551" s="147"/>
      <c r="EY551" s="147"/>
      <c r="EZ551" s="147"/>
      <c r="FA551" s="147"/>
      <c r="FB551" s="147"/>
      <c r="FC551" s="147"/>
      <c r="FD551" s="147"/>
      <c r="FE551" s="147"/>
      <c r="FF551" s="147"/>
      <c r="FG551" s="147"/>
      <c r="FH551" s="147"/>
      <c r="FI551" s="147"/>
      <c r="FJ551" s="147"/>
      <c r="FK551" s="147"/>
      <c r="FL551" s="147"/>
      <c r="FM551" s="147"/>
      <c r="FN551" s="147"/>
      <c r="FO551" s="147"/>
      <c r="FP551" s="147"/>
      <c r="FQ551" s="147"/>
      <c r="FR551" s="147"/>
      <c r="FS551" s="147"/>
      <c r="FT551" s="147"/>
      <c r="FU551" s="147"/>
      <c r="FV551" s="147"/>
      <c r="FW551" s="147"/>
      <c r="FX551" s="147"/>
      <c r="FY551" s="147"/>
      <c r="FZ551" s="147"/>
      <c r="GA551" s="147"/>
      <c r="GB551" s="147"/>
      <c r="GC551" s="147"/>
      <c r="GD551" s="147"/>
      <c r="GE551" s="147"/>
    </row>
    <row r="552" spans="3:187" ht="12.75" customHeight="1">
      <c r="C552" s="229"/>
      <c r="D552" s="229"/>
      <c r="E552" s="229"/>
      <c r="F552" s="229"/>
      <c r="G552" s="229"/>
      <c r="H552" s="229"/>
      <c r="I552" s="229"/>
      <c r="J552" s="229"/>
      <c r="K552" s="229"/>
      <c r="L552" s="229"/>
      <c r="M552" s="229"/>
      <c r="N552" s="229"/>
      <c r="O552" s="229"/>
      <c r="P552" s="229"/>
      <c r="Q552" s="229"/>
      <c r="R552" s="229"/>
      <c r="S552" s="229"/>
      <c r="T552" s="229"/>
      <c r="U552" s="229"/>
      <c r="V552" s="229"/>
      <c r="W552" s="229"/>
      <c r="X552" s="229"/>
      <c r="Y552" s="229"/>
      <c r="Z552" s="229"/>
      <c r="AA552" s="229"/>
      <c r="AB552" s="229"/>
      <c r="AC552" s="229"/>
      <c r="AD552" s="229"/>
      <c r="AE552" s="229"/>
      <c r="AF552" s="229"/>
      <c r="AG552" s="229"/>
      <c r="AH552" s="229"/>
      <c r="AI552" s="229"/>
      <c r="AJ552" s="229"/>
      <c r="AK552" s="229"/>
      <c r="AL552" s="229"/>
      <c r="AM552" s="229"/>
      <c r="AN552" s="229"/>
      <c r="AO552" s="229"/>
      <c r="AP552" s="229"/>
      <c r="AQ552" s="229"/>
      <c r="AR552" s="229"/>
      <c r="AS552" s="229"/>
      <c r="AT552" s="229"/>
      <c r="AU552" s="229"/>
      <c r="AV552" s="229"/>
      <c r="AW552" s="229"/>
      <c r="AX552" s="229"/>
      <c r="AY552" s="229"/>
      <c r="AZ552" s="229"/>
      <c r="BA552" s="229"/>
      <c r="BB552" s="229"/>
      <c r="BC552" s="229"/>
      <c r="BD552" s="229"/>
      <c r="BE552" s="229"/>
      <c r="BF552" s="229"/>
      <c r="BG552" s="229"/>
      <c r="BH552" s="229"/>
      <c r="BI552" s="229"/>
      <c r="BJ552" s="229"/>
      <c r="BK552" s="229"/>
      <c r="BL552" s="229"/>
      <c r="BM552" s="229"/>
      <c r="BN552" s="229"/>
      <c r="BO552" s="229"/>
      <c r="BP552" s="229"/>
      <c r="BQ552" s="229"/>
      <c r="BR552" s="229"/>
      <c r="BS552" s="229"/>
      <c r="BT552" s="229"/>
      <c r="BU552" s="229"/>
      <c r="BV552" s="229"/>
      <c r="BW552" s="229"/>
      <c r="BX552" s="229"/>
      <c r="BY552" s="229"/>
      <c r="BZ552" s="229"/>
      <c r="CA552" s="229"/>
      <c r="CB552" s="229"/>
      <c r="CC552" s="229"/>
      <c r="CD552" s="229"/>
      <c r="CE552" s="229"/>
      <c r="CF552" s="229"/>
      <c r="CG552" s="229"/>
      <c r="CH552" s="229"/>
      <c r="CI552" s="229"/>
      <c r="CJ552" s="229"/>
      <c r="CK552" s="229"/>
      <c r="CL552" s="229"/>
      <c r="CM552" s="229"/>
      <c r="CN552" s="229"/>
      <c r="CO552" s="229"/>
      <c r="CP552" s="229"/>
      <c r="CQ552" s="229"/>
      <c r="CR552" s="229"/>
      <c r="CS552" s="229"/>
      <c r="CT552" s="229"/>
      <c r="CU552" s="229"/>
      <c r="CV552" s="229"/>
      <c r="CW552" s="229"/>
      <c r="CX552" s="229"/>
      <c r="CY552" s="229"/>
      <c r="CZ552" s="229"/>
      <c r="DA552" s="229"/>
      <c r="DB552" s="229"/>
      <c r="DC552" s="229"/>
      <c r="DD552" s="229"/>
      <c r="DE552" s="229"/>
      <c r="DF552" s="229"/>
      <c r="DG552" s="229"/>
      <c r="DH552" s="229"/>
      <c r="DI552" s="229"/>
      <c r="DJ552" s="229"/>
      <c r="DK552" s="229"/>
      <c r="DL552" s="229"/>
      <c r="DM552" s="229"/>
      <c r="DN552" s="229"/>
      <c r="DO552" s="229"/>
      <c r="DP552" s="229"/>
      <c r="DQ552" s="229"/>
      <c r="DR552" s="229"/>
      <c r="DS552" s="229"/>
      <c r="DT552" s="229"/>
      <c r="DU552" s="229"/>
      <c r="DV552" s="229"/>
      <c r="DW552" s="229"/>
      <c r="DX552" s="229"/>
      <c r="DY552" s="229"/>
      <c r="DZ552" s="229"/>
      <c r="EA552" s="229"/>
      <c r="EB552" s="229"/>
      <c r="EC552" s="229"/>
      <c r="ED552" s="229"/>
      <c r="EE552" s="229"/>
      <c r="EF552" s="229"/>
      <c r="EG552" s="229"/>
      <c r="EH552" s="229"/>
      <c r="EI552" s="229"/>
      <c r="EJ552" s="229"/>
      <c r="EK552" s="229"/>
      <c r="EL552" s="229"/>
      <c r="EM552" s="229"/>
      <c r="EN552" s="229"/>
      <c r="EO552" s="229"/>
      <c r="EP552" s="229"/>
      <c r="EQ552" s="229"/>
      <c r="ER552" s="229"/>
      <c r="ES552" s="229"/>
      <c r="ET552" s="229"/>
      <c r="EU552" s="229"/>
      <c r="EV552" s="229"/>
      <c r="EW552" s="229"/>
      <c r="EX552" s="229"/>
      <c r="EY552" s="229"/>
      <c r="EZ552" s="229"/>
      <c r="FA552" s="229"/>
      <c r="FB552" s="229"/>
      <c r="FC552" s="229"/>
      <c r="FD552" s="229"/>
      <c r="FE552" s="229"/>
      <c r="FF552" s="229"/>
      <c r="FG552" s="229"/>
      <c r="FH552" s="229"/>
      <c r="FI552" s="229"/>
      <c r="FJ552" s="229"/>
      <c r="FK552" s="229"/>
      <c r="FL552" s="229"/>
      <c r="FM552" s="229"/>
      <c r="FN552" s="229"/>
      <c r="FO552" s="229"/>
      <c r="FP552" s="229"/>
      <c r="FQ552" s="229"/>
      <c r="FR552" s="229"/>
      <c r="FS552" s="229"/>
      <c r="FT552" s="229"/>
      <c r="FU552" s="229"/>
      <c r="FV552" s="229"/>
      <c r="FW552" s="229"/>
      <c r="FX552" s="229"/>
      <c r="FY552" s="229"/>
      <c r="FZ552" s="229"/>
      <c r="GA552" s="229"/>
      <c r="GB552" s="229"/>
      <c r="GC552" s="229"/>
      <c r="GD552" s="229"/>
      <c r="GE552" s="229"/>
    </row>
    <row r="553" spans="3:187" ht="12.75" customHeight="1">
      <c r="C553" s="229"/>
      <c r="D553" s="229"/>
      <c r="E553" s="229"/>
      <c r="F553" s="229"/>
      <c r="G553" s="229"/>
      <c r="H553" s="229"/>
      <c r="I553" s="229"/>
      <c r="J553" s="229"/>
      <c r="K553" s="229"/>
      <c r="L553" s="229"/>
      <c r="M553" s="229"/>
      <c r="N553" s="229"/>
      <c r="O553" s="229"/>
      <c r="P553" s="229"/>
      <c r="Q553" s="229"/>
      <c r="R553" s="229"/>
      <c r="S553" s="229"/>
      <c r="T553" s="229"/>
      <c r="U553" s="229"/>
      <c r="V553" s="229"/>
      <c r="W553" s="229"/>
      <c r="X553" s="229"/>
      <c r="Y553" s="229"/>
      <c r="Z553" s="229"/>
      <c r="AA553" s="229"/>
      <c r="AB553" s="229"/>
      <c r="AC553" s="229"/>
      <c r="AD553" s="229"/>
      <c r="AE553" s="229"/>
      <c r="AF553" s="229"/>
      <c r="AG553" s="229"/>
      <c r="AH553" s="229"/>
      <c r="AI553" s="229"/>
      <c r="AJ553" s="229"/>
      <c r="AK553" s="229"/>
      <c r="AL553" s="229"/>
      <c r="AM553" s="229"/>
      <c r="AN553" s="229"/>
      <c r="AO553" s="229"/>
      <c r="AP553" s="229"/>
      <c r="AQ553" s="229"/>
      <c r="AR553" s="229"/>
      <c r="AS553" s="229"/>
      <c r="AT553" s="229"/>
      <c r="AU553" s="229"/>
      <c r="AV553" s="229"/>
      <c r="AW553" s="229"/>
      <c r="AX553" s="229"/>
      <c r="AY553" s="229"/>
      <c r="AZ553" s="229"/>
      <c r="BA553" s="229"/>
      <c r="BB553" s="229"/>
      <c r="BC553" s="229"/>
      <c r="BD553" s="229"/>
      <c r="BE553" s="229"/>
      <c r="BF553" s="229"/>
      <c r="BG553" s="229"/>
      <c r="BH553" s="229"/>
      <c r="BI553" s="229"/>
      <c r="BJ553" s="229"/>
      <c r="BK553" s="229"/>
      <c r="BL553" s="229"/>
      <c r="BM553" s="229"/>
      <c r="BN553" s="229"/>
      <c r="BO553" s="229"/>
      <c r="BP553" s="229"/>
      <c r="BQ553" s="229"/>
      <c r="BR553" s="229"/>
      <c r="BS553" s="229"/>
      <c r="BT553" s="229"/>
      <c r="BU553" s="229"/>
      <c r="BV553" s="229"/>
      <c r="BW553" s="229"/>
      <c r="BX553" s="229"/>
      <c r="BY553" s="229"/>
      <c r="BZ553" s="229"/>
      <c r="CA553" s="229"/>
      <c r="CB553" s="229"/>
      <c r="CC553" s="229"/>
      <c r="CD553" s="229"/>
      <c r="CE553" s="229"/>
      <c r="CF553" s="229"/>
      <c r="CG553" s="229"/>
      <c r="CH553" s="229"/>
      <c r="CI553" s="229"/>
      <c r="CJ553" s="229"/>
      <c r="CK553" s="229"/>
      <c r="CL553" s="229"/>
      <c r="CM553" s="229"/>
      <c r="CN553" s="229"/>
      <c r="CO553" s="229"/>
      <c r="CP553" s="229"/>
      <c r="CQ553" s="229"/>
      <c r="CR553" s="229"/>
      <c r="CS553" s="229"/>
      <c r="CT553" s="229"/>
      <c r="CU553" s="229"/>
      <c r="CV553" s="229"/>
      <c r="CW553" s="229"/>
      <c r="CX553" s="229"/>
      <c r="CY553" s="229"/>
      <c r="CZ553" s="229"/>
      <c r="DA553" s="229"/>
      <c r="DB553" s="229"/>
      <c r="DC553" s="229"/>
      <c r="DD553" s="229"/>
      <c r="DE553" s="229"/>
      <c r="DF553" s="229"/>
      <c r="DG553" s="229"/>
      <c r="DH553" s="229"/>
      <c r="DI553" s="229"/>
      <c r="DJ553" s="229"/>
      <c r="DK553" s="229"/>
      <c r="DL553" s="229"/>
      <c r="DM553" s="229"/>
      <c r="DN553" s="229"/>
      <c r="DO553" s="229"/>
      <c r="DP553" s="229"/>
      <c r="DQ553" s="229"/>
      <c r="DR553" s="229"/>
      <c r="DS553" s="229"/>
      <c r="DT553" s="229"/>
      <c r="DU553" s="229"/>
      <c r="DV553" s="229"/>
      <c r="DW553" s="229"/>
      <c r="DX553" s="229"/>
      <c r="DY553" s="229"/>
      <c r="DZ553" s="229"/>
      <c r="EA553" s="229"/>
      <c r="EB553" s="229"/>
      <c r="EC553" s="229"/>
      <c r="ED553" s="229"/>
      <c r="EE553" s="229"/>
      <c r="EF553" s="229"/>
      <c r="EG553" s="229"/>
      <c r="EH553" s="229"/>
      <c r="EI553" s="229"/>
      <c r="EJ553" s="229"/>
      <c r="EK553" s="229"/>
      <c r="EL553" s="229"/>
      <c r="EM553" s="229"/>
      <c r="EN553" s="229"/>
      <c r="EO553" s="229"/>
      <c r="EP553" s="229"/>
      <c r="EQ553" s="229"/>
      <c r="ER553" s="229"/>
      <c r="ES553" s="229"/>
      <c r="ET553" s="229"/>
      <c r="EU553" s="229"/>
      <c r="EV553" s="229"/>
      <c r="EW553" s="229"/>
      <c r="EX553" s="229"/>
      <c r="EY553" s="229"/>
      <c r="EZ553" s="229"/>
      <c r="FA553" s="229"/>
      <c r="FB553" s="229"/>
      <c r="FC553" s="229"/>
      <c r="FD553" s="229"/>
      <c r="FE553" s="229"/>
      <c r="FF553" s="229"/>
      <c r="FG553" s="229"/>
      <c r="FH553" s="229"/>
      <c r="FI553" s="229"/>
      <c r="FJ553" s="229"/>
      <c r="FK553" s="229"/>
      <c r="FL553" s="229"/>
      <c r="FM553" s="229"/>
      <c r="FN553" s="229"/>
      <c r="FO553" s="229"/>
      <c r="FP553" s="229"/>
      <c r="FQ553" s="229"/>
      <c r="FR553" s="229"/>
      <c r="FS553" s="229"/>
      <c r="FT553" s="229"/>
      <c r="FU553" s="229"/>
      <c r="FV553" s="229"/>
      <c r="FW553" s="229"/>
      <c r="FX553" s="229"/>
      <c r="FY553" s="229"/>
      <c r="FZ553" s="229"/>
      <c r="GA553" s="229"/>
      <c r="GB553" s="229"/>
      <c r="GC553" s="229"/>
      <c r="GD553" s="229"/>
      <c r="GE553" s="229"/>
    </row>
    <row r="554" spans="3:187" ht="12.75" customHeight="1">
      <c r="C554" s="230"/>
      <c r="D554" s="224"/>
      <c r="E554" s="224"/>
      <c r="F554" s="224"/>
      <c r="G554" s="224"/>
      <c r="H554" s="230"/>
      <c r="I554" s="224"/>
      <c r="J554" s="224"/>
      <c r="K554" s="224"/>
      <c r="L554" s="224"/>
      <c r="M554" s="230"/>
      <c r="N554" s="224"/>
      <c r="O554" s="224"/>
      <c r="P554" s="224"/>
      <c r="Q554" s="224"/>
      <c r="R554" s="230"/>
      <c r="S554" s="224"/>
      <c r="T554" s="224"/>
      <c r="U554" s="224"/>
      <c r="V554" s="224"/>
      <c r="W554" s="230"/>
      <c r="X554" s="224"/>
      <c r="Y554" s="224"/>
      <c r="Z554" s="224"/>
      <c r="AA554" s="224"/>
      <c r="AB554" s="230"/>
      <c r="AC554" s="224"/>
      <c r="AD554" s="224"/>
      <c r="AE554" s="224"/>
      <c r="AF554" s="224"/>
      <c r="AG554" s="230"/>
      <c r="AH554" s="224"/>
      <c r="AI554" s="224"/>
      <c r="AJ554" s="224"/>
      <c r="AK554" s="224"/>
      <c r="AL554" s="230"/>
      <c r="AM554" s="224"/>
      <c r="AN554" s="224"/>
      <c r="AO554" s="224"/>
      <c r="AP554" s="224"/>
      <c r="AQ554" s="230"/>
      <c r="AR554" s="224"/>
      <c r="AS554" s="224"/>
      <c r="AT554" s="224"/>
      <c r="AU554" s="224"/>
      <c r="AV554" s="230"/>
      <c r="AW554" s="224"/>
      <c r="AX554" s="224"/>
      <c r="AY554" s="224"/>
      <c r="AZ554" s="224"/>
      <c r="BA554" s="230"/>
      <c r="BB554" s="224"/>
      <c r="BC554" s="224"/>
      <c r="BD554" s="224"/>
      <c r="BE554" s="224"/>
      <c r="BF554" s="230"/>
      <c r="BG554" s="224"/>
      <c r="BH554" s="224"/>
      <c r="BI554" s="224"/>
      <c r="BJ554" s="224"/>
      <c r="BK554" s="230"/>
      <c r="BL554" s="224"/>
      <c r="BM554" s="224"/>
      <c r="BN554" s="224"/>
      <c r="BO554" s="224"/>
      <c r="BP554" s="230"/>
      <c r="BQ554" s="224"/>
      <c r="BR554" s="224"/>
      <c r="BS554" s="224"/>
      <c r="BT554" s="224"/>
      <c r="BU554" s="230"/>
      <c r="BV554" s="224"/>
      <c r="BW554" s="224"/>
      <c r="BX554" s="224"/>
      <c r="BY554" s="224"/>
      <c r="BZ554" s="230"/>
      <c r="CA554" s="224"/>
      <c r="CB554" s="224"/>
      <c r="CC554" s="224"/>
      <c r="CD554" s="224"/>
      <c r="CE554" s="230"/>
      <c r="CF554" s="224"/>
      <c r="CG554" s="224"/>
      <c r="CH554" s="224"/>
      <c r="CI554" s="224"/>
      <c r="CJ554" s="230"/>
      <c r="CK554" s="224"/>
      <c r="CL554" s="224"/>
      <c r="CM554" s="224"/>
      <c r="CN554" s="224"/>
      <c r="CO554" s="230"/>
      <c r="CP554" s="224"/>
      <c r="CQ554" s="224"/>
      <c r="CR554" s="224"/>
      <c r="CS554" s="224"/>
      <c r="CT554" s="230"/>
      <c r="CU554" s="224"/>
      <c r="CV554" s="224"/>
      <c r="CW554" s="224"/>
      <c r="CX554" s="224"/>
      <c r="CY554" s="230"/>
      <c r="CZ554" s="224"/>
      <c r="DA554" s="224"/>
      <c r="DB554" s="224"/>
      <c r="DC554" s="224"/>
      <c r="DD554" s="230"/>
      <c r="DE554" s="224"/>
      <c r="DF554" s="224"/>
      <c r="DG554" s="224"/>
      <c r="DH554" s="224"/>
      <c r="DI554" s="230"/>
      <c r="DJ554" s="224"/>
      <c r="DK554" s="224"/>
      <c r="DL554" s="224"/>
      <c r="DM554" s="224"/>
      <c r="DN554" s="230"/>
      <c r="DO554" s="224"/>
      <c r="DP554" s="224"/>
      <c r="DQ554" s="224"/>
      <c r="DR554" s="224"/>
      <c r="DS554" s="230"/>
      <c r="DT554" s="224"/>
      <c r="DU554" s="224"/>
      <c r="DV554" s="224"/>
      <c r="DW554" s="224"/>
      <c r="DX554" s="230"/>
      <c r="DY554" s="224"/>
      <c r="DZ554" s="224"/>
      <c r="EA554" s="224"/>
      <c r="EB554" s="224"/>
      <c r="EC554" s="230"/>
      <c r="ED554" s="224"/>
      <c r="EE554" s="224"/>
      <c r="EF554" s="224"/>
      <c r="EG554" s="224"/>
      <c r="EH554" s="230"/>
      <c r="EI554" s="224"/>
      <c r="EJ554" s="224"/>
      <c r="EK554" s="224"/>
      <c r="EL554" s="224"/>
      <c r="EM554" s="230"/>
      <c r="EN554" s="224"/>
      <c r="EO554" s="224"/>
      <c r="EP554" s="224"/>
      <c r="EQ554" s="224"/>
      <c r="ER554" s="230"/>
      <c r="ES554" s="224"/>
      <c r="ET554" s="224"/>
      <c r="EU554" s="224"/>
      <c r="EV554" s="224"/>
      <c r="EW554" s="230"/>
      <c r="EX554" s="224"/>
      <c r="EY554" s="224"/>
      <c r="EZ554" s="224"/>
      <c r="FA554" s="224"/>
      <c r="FB554" s="230"/>
      <c r="FC554" s="224"/>
      <c r="FD554" s="224"/>
      <c r="FE554" s="224"/>
      <c r="FF554" s="224"/>
      <c r="FG554" s="230"/>
      <c r="FH554" s="224"/>
      <c r="FI554" s="224"/>
      <c r="FJ554" s="224"/>
      <c r="FK554" s="224"/>
      <c r="FL554" s="230"/>
      <c r="FM554" s="224"/>
      <c r="FN554" s="224"/>
      <c r="FO554" s="224"/>
      <c r="FP554" s="224"/>
      <c r="FQ554" s="230"/>
      <c r="FR554" s="224"/>
      <c r="FS554" s="224"/>
      <c r="FT554" s="224"/>
      <c r="FU554" s="224"/>
      <c r="FV554" s="230"/>
      <c r="FW554" s="224"/>
      <c r="FX554" s="224"/>
      <c r="FY554" s="224"/>
      <c r="FZ554" s="224"/>
      <c r="GA554" s="230"/>
      <c r="GB554" s="224"/>
      <c r="GC554" s="224"/>
      <c r="GD554" s="224"/>
      <c r="GE554" s="224"/>
    </row>
    <row r="555" spans="3:187" ht="12.75" customHeight="1">
      <c r="C555" s="231"/>
      <c r="D555" s="231"/>
      <c r="E555" s="231"/>
      <c r="F555" s="231"/>
      <c r="G555" s="231"/>
      <c r="H555" s="231"/>
      <c r="I555" s="231"/>
      <c r="J555" s="231"/>
      <c r="K555" s="231"/>
      <c r="L555" s="231"/>
      <c r="M555" s="231"/>
      <c r="N555" s="231"/>
      <c r="O555" s="231"/>
      <c r="P555" s="231"/>
      <c r="Q555" s="231"/>
      <c r="R555" s="231"/>
      <c r="S555" s="231"/>
      <c r="T555" s="231"/>
      <c r="U555" s="231"/>
      <c r="V555" s="231"/>
      <c r="W555" s="231"/>
      <c r="X555" s="231"/>
      <c r="Y555" s="231"/>
      <c r="Z555" s="231"/>
      <c r="AA555" s="231"/>
      <c r="AB555" s="231"/>
      <c r="AC555" s="231"/>
      <c r="AD555" s="231"/>
      <c r="AE555" s="231"/>
      <c r="AF555" s="231"/>
      <c r="AG555" s="231"/>
      <c r="AH555" s="231"/>
      <c r="AI555" s="231"/>
      <c r="AJ555" s="231"/>
      <c r="AK555" s="231"/>
      <c r="AL555" s="231"/>
      <c r="AM555" s="231"/>
      <c r="AN555" s="231"/>
      <c r="AO555" s="231"/>
      <c r="AP555" s="231"/>
      <c r="AQ555" s="231"/>
      <c r="AR555" s="231"/>
      <c r="AS555" s="231"/>
      <c r="AT555" s="231"/>
      <c r="AU555" s="231"/>
      <c r="AV555" s="231"/>
      <c r="AW555" s="231"/>
      <c r="AX555" s="231"/>
      <c r="AY555" s="231"/>
      <c r="AZ555" s="231"/>
      <c r="BA555" s="231"/>
      <c r="BB555" s="231"/>
      <c r="BC555" s="231"/>
      <c r="BD555" s="231"/>
      <c r="BE555" s="231"/>
      <c r="BF555" s="231"/>
      <c r="BG555" s="231"/>
      <c r="BH555" s="231"/>
      <c r="BI555" s="231"/>
      <c r="BJ555" s="231"/>
      <c r="BK555" s="231"/>
      <c r="BL555" s="231"/>
      <c r="BM555" s="231"/>
      <c r="BN555" s="231"/>
      <c r="BO555" s="231"/>
      <c r="BP555" s="231"/>
      <c r="BQ555" s="231"/>
      <c r="BR555" s="231"/>
      <c r="BS555" s="231"/>
      <c r="BT555" s="231"/>
      <c r="BU555" s="231"/>
      <c r="BV555" s="231"/>
      <c r="BW555" s="231"/>
      <c r="BX555" s="231"/>
      <c r="BY555" s="231"/>
      <c r="BZ555" s="231"/>
      <c r="CA555" s="231"/>
      <c r="CB555" s="231"/>
      <c r="CC555" s="231"/>
      <c r="CD555" s="231"/>
      <c r="CE555" s="231"/>
      <c r="CF555" s="231"/>
      <c r="CG555" s="231"/>
      <c r="CH555" s="231"/>
      <c r="CI555" s="231"/>
      <c r="CJ555" s="231"/>
      <c r="CK555" s="231"/>
      <c r="CL555" s="231"/>
      <c r="CM555" s="231"/>
      <c r="CN555" s="231"/>
      <c r="CO555" s="231"/>
      <c r="CP555" s="231"/>
      <c r="CQ555" s="231"/>
      <c r="CR555" s="231"/>
      <c r="CS555" s="231"/>
      <c r="CT555" s="231"/>
      <c r="CU555" s="231"/>
      <c r="CV555" s="231"/>
      <c r="CW555" s="231"/>
      <c r="CX555" s="231"/>
      <c r="CY555" s="231"/>
      <c r="CZ555" s="231"/>
      <c r="DA555" s="231"/>
      <c r="DB555" s="231"/>
      <c r="DC555" s="231"/>
      <c r="DD555" s="231"/>
      <c r="DE555" s="231"/>
      <c r="DF555" s="231"/>
      <c r="DG555" s="231"/>
      <c r="DH555" s="231"/>
      <c r="DI555" s="231"/>
      <c r="DJ555" s="231"/>
      <c r="DK555" s="231"/>
      <c r="DL555" s="231"/>
      <c r="DM555" s="231"/>
      <c r="DN555" s="231"/>
      <c r="DO555" s="231"/>
      <c r="DP555" s="231"/>
      <c r="DQ555" s="231"/>
      <c r="DR555" s="231"/>
      <c r="DS555" s="231"/>
      <c r="DT555" s="231"/>
      <c r="DU555" s="231"/>
      <c r="DV555" s="231"/>
      <c r="DW555" s="231"/>
      <c r="DX555" s="231"/>
      <c r="DY555" s="231"/>
      <c r="DZ555" s="231"/>
      <c r="EA555" s="231"/>
      <c r="EB555" s="231"/>
      <c r="EC555" s="231"/>
      <c r="ED555" s="231"/>
      <c r="EE555" s="231"/>
      <c r="EF555" s="231"/>
      <c r="EG555" s="231"/>
      <c r="EH555" s="231"/>
      <c r="EI555" s="231"/>
      <c r="EJ555" s="231"/>
      <c r="EK555" s="231"/>
      <c r="EL555" s="231"/>
      <c r="EM555" s="231"/>
      <c r="EN555" s="231"/>
      <c r="EO555" s="231"/>
      <c r="EP555" s="231"/>
      <c r="EQ555" s="231"/>
      <c r="ER555" s="231"/>
      <c r="ES555" s="231"/>
      <c r="ET555" s="231"/>
      <c r="EU555" s="231"/>
      <c r="EV555" s="231"/>
      <c r="EW555" s="231"/>
      <c r="EX555" s="231"/>
      <c r="EY555" s="231"/>
      <c r="EZ555" s="231"/>
      <c r="FA555" s="231"/>
      <c r="FB555" s="231"/>
      <c r="FC555" s="231"/>
      <c r="FD555" s="231"/>
      <c r="FE555" s="231"/>
      <c r="FF555" s="231"/>
      <c r="FG555" s="231"/>
      <c r="FH555" s="231"/>
      <c r="FI555" s="231"/>
      <c r="FJ555" s="231"/>
      <c r="FK555" s="231"/>
      <c r="FL555" s="231"/>
      <c r="FM555" s="231"/>
      <c r="FN555" s="231"/>
      <c r="FO555" s="231"/>
      <c r="FP555" s="231"/>
      <c r="FQ555" s="231"/>
      <c r="FR555" s="231"/>
      <c r="FS555" s="231"/>
      <c r="FT555" s="231"/>
      <c r="FU555" s="231"/>
      <c r="FV555" s="231"/>
      <c r="FW555" s="231"/>
      <c r="FX555" s="231"/>
      <c r="FY555" s="231"/>
      <c r="FZ555" s="231"/>
      <c r="GA555" s="231"/>
      <c r="GB555" s="231"/>
      <c r="GC555" s="231"/>
      <c r="GD555" s="231"/>
      <c r="GE555" s="231"/>
    </row>
    <row r="556" spans="3:187" ht="12.75" customHeight="1">
      <c r="C556" s="220"/>
      <c r="D556" s="169"/>
      <c r="E556" s="169"/>
      <c r="F556" s="169"/>
      <c r="G556" s="169"/>
      <c r="H556" s="220"/>
      <c r="I556" s="169"/>
      <c r="J556" s="169"/>
      <c r="K556" s="169"/>
      <c r="L556" s="169"/>
      <c r="M556" s="220"/>
      <c r="N556" s="169"/>
      <c r="O556" s="169"/>
      <c r="P556" s="169"/>
      <c r="Q556" s="169"/>
      <c r="R556" s="220"/>
      <c r="S556" s="169"/>
      <c r="T556" s="169"/>
      <c r="U556" s="169"/>
      <c r="V556" s="169"/>
      <c r="W556" s="220"/>
      <c r="X556" s="169"/>
      <c r="Y556" s="169"/>
      <c r="Z556" s="169"/>
      <c r="AA556" s="169"/>
      <c r="AB556" s="220"/>
      <c r="AC556" s="169"/>
      <c r="AD556" s="169"/>
      <c r="AE556" s="169"/>
      <c r="AF556" s="169"/>
      <c r="AG556" s="220"/>
      <c r="AH556" s="169"/>
      <c r="AI556" s="169"/>
      <c r="AJ556" s="169"/>
      <c r="AK556" s="169"/>
      <c r="AL556" s="220"/>
      <c r="AM556" s="169"/>
      <c r="AN556" s="169"/>
      <c r="AO556" s="169"/>
      <c r="AP556" s="169"/>
      <c r="AQ556" s="220"/>
      <c r="AR556" s="169"/>
      <c r="AS556" s="169"/>
      <c r="AT556" s="169"/>
      <c r="AU556" s="169"/>
      <c r="AV556" s="220"/>
      <c r="AW556" s="169"/>
      <c r="AX556" s="169"/>
      <c r="AY556" s="169"/>
      <c r="AZ556" s="169"/>
      <c r="BA556" s="220"/>
      <c r="BB556" s="169"/>
      <c r="BC556" s="169"/>
      <c r="BD556" s="169"/>
      <c r="BE556" s="169"/>
      <c r="BF556" s="220"/>
      <c r="BG556" s="169"/>
      <c r="BH556" s="169"/>
      <c r="BI556" s="169"/>
      <c r="BJ556" s="169"/>
      <c r="BK556" s="220"/>
      <c r="BL556" s="169"/>
      <c r="BM556" s="169"/>
      <c r="BN556" s="169"/>
      <c r="BO556" s="169"/>
      <c r="BP556" s="220"/>
      <c r="BQ556" s="169"/>
      <c r="BR556" s="169"/>
      <c r="BS556" s="169"/>
      <c r="BT556" s="169"/>
      <c r="BU556" s="220"/>
      <c r="BV556" s="169"/>
      <c r="BW556" s="169"/>
      <c r="BX556" s="169"/>
      <c r="BY556" s="169"/>
      <c r="BZ556" s="220"/>
      <c r="CA556" s="169"/>
      <c r="CB556" s="169"/>
      <c r="CC556" s="169"/>
      <c r="CD556" s="169"/>
      <c r="CE556" s="220"/>
      <c r="CF556" s="169"/>
      <c r="CG556" s="169"/>
      <c r="CH556" s="169"/>
      <c r="CI556" s="169"/>
      <c r="CJ556" s="220"/>
      <c r="CK556" s="169"/>
      <c r="CL556" s="169"/>
      <c r="CM556" s="169"/>
      <c r="CN556" s="169"/>
      <c r="CO556" s="220"/>
      <c r="CP556" s="169"/>
      <c r="CQ556" s="169"/>
      <c r="CR556" s="169"/>
      <c r="CS556" s="169"/>
      <c r="CT556" s="220"/>
      <c r="CU556" s="169"/>
      <c r="CV556" s="169"/>
      <c r="CW556" s="169"/>
      <c r="CX556" s="169"/>
      <c r="CY556" s="220"/>
      <c r="CZ556" s="169"/>
      <c r="DA556" s="169"/>
      <c r="DB556" s="169"/>
      <c r="DC556" s="169"/>
      <c r="DD556" s="220"/>
      <c r="DE556" s="169"/>
      <c r="DF556" s="169"/>
      <c r="DG556" s="169"/>
      <c r="DH556" s="169"/>
      <c r="DI556" s="220"/>
      <c r="DJ556" s="169"/>
      <c r="DK556" s="169"/>
      <c r="DL556" s="169"/>
      <c r="DM556" s="169"/>
      <c r="DN556" s="220"/>
      <c r="DO556" s="169"/>
      <c r="DP556" s="169"/>
      <c r="DQ556" s="169"/>
      <c r="DR556" s="169"/>
      <c r="DS556" s="220"/>
      <c r="DT556" s="169"/>
      <c r="DU556" s="169"/>
      <c r="DV556" s="169"/>
      <c r="DW556" s="169"/>
      <c r="DX556" s="220"/>
      <c r="DY556" s="169"/>
      <c r="DZ556" s="169"/>
      <c r="EA556" s="169"/>
      <c r="EB556" s="169"/>
      <c r="EC556" s="220"/>
      <c r="ED556" s="169"/>
      <c r="EE556" s="169"/>
      <c r="EF556" s="169"/>
      <c r="EG556" s="169"/>
      <c r="EH556" s="220"/>
      <c r="EI556" s="169"/>
      <c r="EJ556" s="169"/>
      <c r="EK556" s="169"/>
      <c r="EL556" s="169"/>
      <c r="EM556" s="220"/>
      <c r="EN556" s="169"/>
      <c r="EO556" s="169"/>
      <c r="EP556" s="169"/>
      <c r="EQ556" s="169"/>
      <c r="ER556" s="220"/>
      <c r="ES556" s="169"/>
      <c r="ET556" s="169"/>
      <c r="EU556" s="169"/>
      <c r="EV556" s="169"/>
      <c r="EW556" s="220"/>
      <c r="EX556" s="169"/>
      <c r="EY556" s="169"/>
      <c r="EZ556" s="169"/>
      <c r="FA556" s="169"/>
      <c r="FB556" s="220"/>
      <c r="FC556" s="169"/>
      <c r="FD556" s="169"/>
      <c r="FE556" s="169"/>
      <c r="FF556" s="169"/>
      <c r="FG556" s="220"/>
      <c r="FH556" s="169"/>
      <c r="FI556" s="169"/>
      <c r="FJ556" s="169"/>
      <c r="FK556" s="169"/>
      <c r="FL556" s="220"/>
      <c r="FM556" s="169"/>
      <c r="FN556" s="169"/>
      <c r="FO556" s="169"/>
      <c r="FP556" s="169"/>
      <c r="FQ556" s="220"/>
      <c r="FR556" s="169"/>
      <c r="FS556" s="169"/>
      <c r="FT556" s="169"/>
      <c r="FU556" s="169"/>
      <c r="FV556" s="220"/>
      <c r="FW556" s="169"/>
      <c r="FX556" s="169"/>
      <c r="FY556" s="169"/>
      <c r="FZ556" s="169"/>
      <c r="GA556" s="220"/>
      <c r="GB556" s="169"/>
      <c r="GC556" s="169"/>
      <c r="GD556" s="169"/>
      <c r="GE556" s="169"/>
    </row>
    <row r="557" spans="3:187" ht="12.75" customHeight="1">
      <c r="C557" s="169"/>
      <c r="D557" s="169"/>
      <c r="E557" s="169"/>
      <c r="F557" s="169"/>
      <c r="G557" s="169"/>
      <c r="H557" s="169"/>
      <c r="I557" s="169"/>
      <c r="J557" s="169"/>
      <c r="K557" s="169"/>
      <c r="L557" s="169"/>
      <c r="M557" s="169"/>
      <c r="N557" s="169"/>
      <c r="O557" s="169"/>
      <c r="P557" s="169"/>
      <c r="Q557" s="169"/>
      <c r="R557" s="169"/>
      <c r="S557" s="169"/>
      <c r="T557" s="169"/>
      <c r="U557" s="169"/>
      <c r="V557" s="169"/>
      <c r="W557" s="169"/>
      <c r="X557" s="169"/>
      <c r="Y557" s="169"/>
      <c r="Z557" s="169"/>
      <c r="AA557" s="169"/>
      <c r="AB557" s="169"/>
      <c r="AC557" s="169"/>
      <c r="AD557" s="169"/>
      <c r="AE557" s="169"/>
      <c r="AF557" s="169"/>
      <c r="AG557" s="169"/>
      <c r="AH557" s="169"/>
      <c r="AI557" s="169"/>
      <c r="AJ557" s="169"/>
      <c r="AK557" s="169"/>
      <c r="AL557" s="169"/>
      <c r="AM557" s="169"/>
      <c r="AN557" s="169"/>
      <c r="AO557" s="169"/>
      <c r="AP557" s="169"/>
      <c r="AQ557" s="169"/>
      <c r="AR557" s="169"/>
      <c r="AS557" s="169"/>
      <c r="AT557" s="169"/>
      <c r="AU557" s="169"/>
      <c r="AV557" s="169"/>
      <c r="AW557" s="169"/>
      <c r="AX557" s="169"/>
      <c r="AY557" s="169"/>
      <c r="AZ557" s="169"/>
      <c r="BA557" s="169"/>
      <c r="BB557" s="169"/>
      <c r="BC557" s="169"/>
      <c r="BD557" s="169"/>
      <c r="BE557" s="169"/>
      <c r="BF557" s="169"/>
      <c r="BG557" s="169"/>
      <c r="BH557" s="169"/>
      <c r="BI557" s="169"/>
      <c r="BJ557" s="169"/>
      <c r="BK557" s="169"/>
      <c r="BL557" s="169"/>
      <c r="BM557" s="169"/>
      <c r="BN557" s="169"/>
      <c r="BO557" s="169"/>
      <c r="BP557" s="169"/>
      <c r="BQ557" s="169"/>
      <c r="BR557" s="169"/>
      <c r="BS557" s="169"/>
      <c r="BT557" s="169"/>
      <c r="BU557" s="169"/>
      <c r="BV557" s="169"/>
      <c r="BW557" s="169"/>
      <c r="BX557" s="169"/>
      <c r="BY557" s="169"/>
      <c r="BZ557" s="169"/>
      <c r="CA557" s="169"/>
      <c r="CB557" s="169"/>
      <c r="CC557" s="169"/>
      <c r="CD557" s="169"/>
      <c r="CE557" s="169"/>
      <c r="CF557" s="169"/>
      <c r="CG557" s="169"/>
      <c r="CH557" s="169"/>
      <c r="CI557" s="169"/>
      <c r="CJ557" s="169"/>
      <c r="CK557" s="169"/>
      <c r="CL557" s="169"/>
      <c r="CM557" s="169"/>
      <c r="CN557" s="169"/>
      <c r="CO557" s="169"/>
      <c r="CP557" s="169"/>
      <c r="CQ557" s="169"/>
      <c r="CR557" s="169"/>
      <c r="CS557" s="169"/>
      <c r="CT557" s="169"/>
      <c r="CU557" s="169"/>
      <c r="CV557" s="169"/>
      <c r="CW557" s="169"/>
      <c r="CX557" s="169"/>
      <c r="CY557" s="169"/>
      <c r="CZ557" s="169"/>
      <c r="DA557" s="169"/>
      <c r="DB557" s="169"/>
      <c r="DC557" s="169"/>
      <c r="DD557" s="169"/>
      <c r="DE557" s="169"/>
      <c r="DF557" s="169"/>
      <c r="DG557" s="169"/>
      <c r="DH557" s="169"/>
      <c r="DI557" s="169"/>
      <c r="DJ557" s="169"/>
      <c r="DK557" s="169"/>
      <c r="DL557" s="169"/>
      <c r="DM557" s="169"/>
      <c r="DN557" s="169"/>
      <c r="DO557" s="169"/>
      <c r="DP557" s="169"/>
      <c r="DQ557" s="169"/>
      <c r="DR557" s="169"/>
      <c r="DS557" s="169"/>
      <c r="DT557" s="169"/>
      <c r="DU557" s="169"/>
      <c r="DV557" s="169"/>
      <c r="DW557" s="169"/>
      <c r="DX557" s="169"/>
      <c r="DY557" s="169"/>
      <c r="DZ557" s="169"/>
      <c r="EA557" s="169"/>
      <c r="EB557" s="169"/>
      <c r="EC557" s="169"/>
      <c r="ED557" s="169"/>
      <c r="EE557" s="169"/>
      <c r="EF557" s="169"/>
      <c r="EG557" s="169"/>
      <c r="EH557" s="169"/>
      <c r="EI557" s="169"/>
      <c r="EJ557" s="169"/>
      <c r="EK557" s="169"/>
      <c r="EL557" s="169"/>
      <c r="EM557" s="169"/>
      <c r="EN557" s="169"/>
      <c r="EO557" s="169"/>
      <c r="EP557" s="169"/>
      <c r="EQ557" s="169"/>
      <c r="ER557" s="169"/>
      <c r="ES557" s="169"/>
      <c r="ET557" s="169"/>
      <c r="EU557" s="169"/>
      <c r="EV557" s="169"/>
      <c r="EW557" s="169"/>
      <c r="EX557" s="169"/>
      <c r="EY557" s="169"/>
      <c r="EZ557" s="169"/>
      <c r="FA557" s="169"/>
      <c r="FB557" s="169"/>
      <c r="FC557" s="169"/>
      <c r="FD557" s="169"/>
      <c r="FE557" s="169"/>
      <c r="FF557" s="169"/>
      <c r="FG557" s="169"/>
      <c r="FH557" s="169"/>
      <c r="FI557" s="169"/>
      <c r="FJ557" s="169"/>
      <c r="FK557" s="169"/>
      <c r="FL557" s="169"/>
      <c r="FM557" s="169"/>
      <c r="FN557" s="169"/>
      <c r="FO557" s="169"/>
      <c r="FP557" s="169"/>
      <c r="FQ557" s="169"/>
      <c r="FR557" s="169"/>
      <c r="FS557" s="169"/>
      <c r="FT557" s="169"/>
      <c r="FU557" s="169"/>
      <c r="FV557" s="169"/>
      <c r="FW557" s="169"/>
      <c r="FX557" s="169"/>
      <c r="FY557" s="169"/>
      <c r="FZ557" s="169"/>
      <c r="GA557" s="169"/>
      <c r="GB557" s="169"/>
      <c r="GC557" s="169"/>
      <c r="GD557" s="169"/>
      <c r="GE557" s="169"/>
    </row>
    <row r="558" spans="3:187" ht="12.75" customHeight="1">
      <c r="C558" s="169"/>
      <c r="D558" s="169"/>
      <c r="E558" s="169"/>
      <c r="F558" s="169"/>
      <c r="G558" s="169"/>
      <c r="H558" s="169"/>
      <c r="I558" s="169"/>
      <c r="J558" s="169"/>
      <c r="K558" s="169"/>
      <c r="L558" s="169"/>
      <c r="M558" s="169"/>
      <c r="N558" s="169"/>
      <c r="O558" s="169"/>
      <c r="P558" s="169"/>
      <c r="Q558" s="169"/>
      <c r="R558" s="169"/>
      <c r="S558" s="169"/>
      <c r="T558" s="169"/>
      <c r="U558" s="169"/>
      <c r="V558" s="169"/>
      <c r="W558" s="169"/>
      <c r="X558" s="169"/>
      <c r="Y558" s="169"/>
      <c r="Z558" s="169"/>
      <c r="AA558" s="169"/>
      <c r="AB558" s="169"/>
      <c r="AC558" s="169"/>
      <c r="AD558" s="169"/>
      <c r="AE558" s="169"/>
      <c r="AF558" s="169"/>
      <c r="AG558" s="169"/>
      <c r="AH558" s="169"/>
      <c r="AI558" s="169"/>
      <c r="AJ558" s="169"/>
      <c r="AK558" s="169"/>
      <c r="AL558" s="169"/>
      <c r="AM558" s="169"/>
      <c r="AN558" s="169"/>
      <c r="AO558" s="169"/>
      <c r="AP558" s="169"/>
      <c r="AQ558" s="169"/>
      <c r="AR558" s="169"/>
      <c r="AS558" s="169"/>
      <c r="AT558" s="169"/>
      <c r="AU558" s="169"/>
      <c r="AV558" s="169"/>
      <c r="AW558" s="169"/>
      <c r="AX558" s="169"/>
      <c r="AY558" s="169"/>
      <c r="AZ558" s="169"/>
      <c r="BA558" s="169"/>
      <c r="BB558" s="169"/>
      <c r="BC558" s="169"/>
      <c r="BD558" s="169"/>
      <c r="BE558" s="169"/>
      <c r="BF558" s="169"/>
      <c r="BG558" s="169"/>
      <c r="BH558" s="169"/>
      <c r="BI558" s="169"/>
      <c r="BJ558" s="169"/>
      <c r="BK558" s="169"/>
      <c r="BL558" s="169"/>
      <c r="BM558" s="169"/>
      <c r="BN558" s="169"/>
      <c r="BO558" s="169"/>
      <c r="BP558" s="169"/>
      <c r="BQ558" s="169"/>
      <c r="BR558" s="169"/>
      <c r="BS558" s="169"/>
      <c r="BT558" s="169"/>
      <c r="BU558" s="169"/>
      <c r="BV558" s="169"/>
      <c r="BW558" s="169"/>
      <c r="BX558" s="169"/>
      <c r="BY558" s="169"/>
      <c r="BZ558" s="169"/>
      <c r="CA558" s="169"/>
      <c r="CB558" s="169"/>
      <c r="CC558" s="169"/>
      <c r="CD558" s="169"/>
      <c r="CE558" s="169"/>
      <c r="CF558" s="169"/>
      <c r="CG558" s="169"/>
      <c r="CH558" s="169"/>
      <c r="CI558" s="169"/>
      <c r="CJ558" s="169"/>
      <c r="CK558" s="169"/>
      <c r="CL558" s="169"/>
      <c r="CM558" s="169"/>
      <c r="CN558" s="169"/>
      <c r="CO558" s="169"/>
      <c r="CP558" s="169"/>
      <c r="CQ558" s="169"/>
      <c r="CR558" s="169"/>
      <c r="CS558" s="169"/>
      <c r="CT558" s="169"/>
      <c r="CU558" s="169"/>
      <c r="CV558" s="169"/>
      <c r="CW558" s="169"/>
      <c r="CX558" s="169"/>
      <c r="CY558" s="169"/>
      <c r="CZ558" s="169"/>
      <c r="DA558" s="169"/>
      <c r="DB558" s="169"/>
      <c r="DC558" s="169"/>
      <c r="DD558" s="169"/>
      <c r="DE558" s="169"/>
      <c r="DF558" s="169"/>
      <c r="DG558" s="169"/>
      <c r="DH558" s="169"/>
      <c r="DI558" s="169"/>
      <c r="DJ558" s="169"/>
      <c r="DK558" s="169"/>
      <c r="DL558" s="169"/>
      <c r="DM558" s="169"/>
      <c r="DN558" s="169"/>
      <c r="DO558" s="169"/>
      <c r="DP558" s="169"/>
      <c r="DQ558" s="169"/>
      <c r="DR558" s="169"/>
      <c r="DS558" s="169"/>
      <c r="DT558" s="169"/>
      <c r="DU558" s="169"/>
      <c r="DV558" s="169"/>
      <c r="DW558" s="169"/>
      <c r="DX558" s="169"/>
      <c r="DY558" s="169"/>
      <c r="DZ558" s="169"/>
      <c r="EA558" s="169"/>
      <c r="EB558" s="169"/>
      <c r="EC558" s="169"/>
      <c r="ED558" s="169"/>
      <c r="EE558" s="169"/>
      <c r="EF558" s="169"/>
      <c r="EG558" s="169"/>
      <c r="EH558" s="169"/>
      <c r="EI558" s="169"/>
      <c r="EJ558" s="169"/>
      <c r="EK558" s="169"/>
      <c r="EL558" s="169"/>
      <c r="EM558" s="169"/>
      <c r="EN558" s="169"/>
      <c r="EO558" s="169"/>
      <c r="EP558" s="169"/>
      <c r="EQ558" s="169"/>
      <c r="ER558" s="169"/>
      <c r="ES558" s="169"/>
      <c r="ET558" s="169"/>
      <c r="EU558" s="169"/>
      <c r="EV558" s="169"/>
      <c r="EW558" s="169"/>
      <c r="EX558" s="169"/>
      <c r="EY558" s="169"/>
      <c r="EZ558" s="169"/>
      <c r="FA558" s="169"/>
      <c r="FB558" s="169"/>
      <c r="FC558" s="169"/>
      <c r="FD558" s="169"/>
      <c r="FE558" s="169"/>
      <c r="FF558" s="169"/>
      <c r="FG558" s="169"/>
      <c r="FH558" s="169"/>
      <c r="FI558" s="169"/>
      <c r="FJ558" s="169"/>
      <c r="FK558" s="169"/>
      <c r="FL558" s="169"/>
      <c r="FM558" s="169"/>
      <c r="FN558" s="169"/>
      <c r="FO558" s="169"/>
      <c r="FP558" s="169"/>
      <c r="FQ558" s="169"/>
      <c r="FR558" s="169"/>
      <c r="FS558" s="169"/>
      <c r="FT558" s="169"/>
      <c r="FU558" s="169"/>
      <c r="FV558" s="169"/>
      <c r="FW558" s="169"/>
      <c r="FX558" s="169"/>
      <c r="FY558" s="169"/>
      <c r="FZ558" s="169"/>
      <c r="GA558" s="169"/>
      <c r="GB558" s="169"/>
      <c r="GC558" s="169"/>
      <c r="GD558" s="169"/>
      <c r="GE558" s="169"/>
    </row>
    <row r="559" spans="3:187" ht="12.75" customHeight="1">
      <c r="C559" s="169"/>
      <c r="D559" s="169"/>
      <c r="E559" s="169"/>
      <c r="F559" s="169"/>
      <c r="G559" s="169"/>
      <c r="H559" s="169"/>
      <c r="I559" s="169"/>
      <c r="J559" s="169"/>
      <c r="K559" s="169"/>
      <c r="L559" s="169"/>
      <c r="M559" s="169"/>
      <c r="N559" s="169"/>
      <c r="O559" s="169"/>
      <c r="P559" s="169"/>
      <c r="Q559" s="169"/>
      <c r="R559" s="169"/>
      <c r="S559" s="169"/>
      <c r="T559" s="169"/>
      <c r="U559" s="169"/>
      <c r="V559" s="169"/>
      <c r="W559" s="169"/>
      <c r="X559" s="169"/>
      <c r="Y559" s="169"/>
      <c r="Z559" s="169"/>
      <c r="AA559" s="169"/>
      <c r="AB559" s="169"/>
      <c r="AC559" s="169"/>
      <c r="AD559" s="169"/>
      <c r="AE559" s="169"/>
      <c r="AF559" s="169"/>
      <c r="AG559" s="169"/>
      <c r="AH559" s="169"/>
      <c r="AI559" s="169"/>
      <c r="AJ559" s="169"/>
      <c r="AK559" s="169"/>
      <c r="AL559" s="169"/>
      <c r="AM559" s="169"/>
      <c r="AN559" s="169"/>
      <c r="AO559" s="169"/>
      <c r="AP559" s="169"/>
      <c r="AQ559" s="169"/>
      <c r="AR559" s="169"/>
      <c r="AS559" s="169"/>
      <c r="AT559" s="169"/>
      <c r="AU559" s="169"/>
      <c r="AV559" s="169"/>
      <c r="AW559" s="169"/>
      <c r="AX559" s="169"/>
      <c r="AY559" s="169"/>
      <c r="AZ559" s="169"/>
      <c r="BA559" s="169"/>
      <c r="BB559" s="169"/>
      <c r="BC559" s="169"/>
      <c r="BD559" s="169"/>
      <c r="BE559" s="169"/>
      <c r="BF559" s="169"/>
      <c r="BG559" s="169"/>
      <c r="BH559" s="169"/>
      <c r="BI559" s="169"/>
      <c r="BJ559" s="169"/>
      <c r="BK559" s="169"/>
      <c r="BL559" s="169"/>
      <c r="BM559" s="169"/>
      <c r="BN559" s="169"/>
      <c r="BO559" s="169"/>
      <c r="BP559" s="169"/>
      <c r="BQ559" s="169"/>
      <c r="BR559" s="169"/>
      <c r="BS559" s="169"/>
      <c r="BT559" s="169"/>
      <c r="BU559" s="169"/>
      <c r="BV559" s="169"/>
      <c r="BW559" s="169"/>
      <c r="BX559" s="169"/>
      <c r="BY559" s="169"/>
      <c r="BZ559" s="169"/>
      <c r="CA559" s="169"/>
      <c r="CB559" s="169"/>
      <c r="CC559" s="169"/>
      <c r="CD559" s="169"/>
      <c r="CE559" s="169"/>
      <c r="CF559" s="169"/>
      <c r="CG559" s="169"/>
      <c r="CH559" s="169"/>
      <c r="CI559" s="169"/>
      <c r="CJ559" s="169"/>
      <c r="CK559" s="169"/>
      <c r="CL559" s="169"/>
      <c r="CM559" s="169"/>
      <c r="CN559" s="169"/>
      <c r="CO559" s="169"/>
      <c r="CP559" s="169"/>
      <c r="CQ559" s="169"/>
      <c r="CR559" s="169"/>
      <c r="CS559" s="169"/>
      <c r="CT559" s="169"/>
      <c r="CU559" s="169"/>
      <c r="CV559" s="169"/>
      <c r="CW559" s="169"/>
      <c r="CX559" s="169"/>
      <c r="CY559" s="169"/>
      <c r="CZ559" s="169"/>
      <c r="DA559" s="169"/>
      <c r="DB559" s="169"/>
      <c r="DC559" s="169"/>
      <c r="DD559" s="169"/>
      <c r="DE559" s="169"/>
      <c r="DF559" s="169"/>
      <c r="DG559" s="169"/>
      <c r="DH559" s="169"/>
      <c r="DI559" s="169"/>
      <c r="DJ559" s="169"/>
      <c r="DK559" s="169"/>
      <c r="DL559" s="169"/>
      <c r="DM559" s="169"/>
      <c r="DN559" s="169"/>
      <c r="DO559" s="169"/>
      <c r="DP559" s="169"/>
      <c r="DQ559" s="169"/>
      <c r="DR559" s="169"/>
      <c r="DS559" s="169"/>
      <c r="DT559" s="169"/>
      <c r="DU559" s="169"/>
      <c r="DV559" s="169"/>
      <c r="DW559" s="169"/>
      <c r="DX559" s="169"/>
      <c r="DY559" s="169"/>
      <c r="DZ559" s="169"/>
      <c r="EA559" s="169"/>
      <c r="EB559" s="169"/>
      <c r="EC559" s="169"/>
      <c r="ED559" s="169"/>
      <c r="EE559" s="169"/>
      <c r="EF559" s="169"/>
      <c r="EG559" s="169"/>
      <c r="EH559" s="169"/>
      <c r="EI559" s="169"/>
      <c r="EJ559" s="169"/>
      <c r="EK559" s="169"/>
      <c r="EL559" s="169"/>
      <c r="EM559" s="169"/>
      <c r="EN559" s="169"/>
      <c r="EO559" s="169"/>
      <c r="EP559" s="169"/>
      <c r="EQ559" s="169"/>
      <c r="ER559" s="169"/>
      <c r="ES559" s="169"/>
      <c r="ET559" s="169"/>
      <c r="EU559" s="169"/>
      <c r="EV559" s="169"/>
      <c r="EW559" s="169"/>
      <c r="EX559" s="169"/>
      <c r="EY559" s="169"/>
      <c r="EZ559" s="169"/>
      <c r="FA559" s="169"/>
      <c r="FB559" s="169"/>
      <c r="FC559" s="169"/>
      <c r="FD559" s="169"/>
      <c r="FE559" s="169"/>
      <c r="FF559" s="169"/>
      <c r="FG559" s="169"/>
      <c r="FH559" s="169"/>
      <c r="FI559" s="169"/>
      <c r="FJ559" s="169"/>
      <c r="FK559" s="169"/>
      <c r="FL559" s="169"/>
      <c r="FM559" s="169"/>
      <c r="FN559" s="169"/>
      <c r="FO559" s="169"/>
      <c r="FP559" s="169"/>
      <c r="FQ559" s="169"/>
      <c r="FR559" s="169"/>
      <c r="FS559" s="169"/>
      <c r="FT559" s="169"/>
      <c r="FU559" s="169"/>
      <c r="FV559" s="169"/>
      <c r="FW559" s="169"/>
      <c r="FX559" s="169"/>
      <c r="FY559" s="169"/>
      <c r="FZ559" s="169"/>
      <c r="GA559" s="169"/>
      <c r="GB559" s="169"/>
      <c r="GC559" s="169"/>
      <c r="GD559" s="169"/>
      <c r="GE559" s="169"/>
    </row>
    <row r="560" spans="3:187" ht="12.75" customHeight="1">
      <c r="C560" s="169"/>
      <c r="D560" s="169"/>
      <c r="E560" s="169"/>
      <c r="F560" s="169"/>
      <c r="G560" s="169"/>
      <c r="H560" s="169"/>
      <c r="I560" s="169"/>
      <c r="J560" s="169"/>
      <c r="K560" s="169"/>
      <c r="L560" s="169"/>
      <c r="M560" s="169"/>
      <c r="N560" s="169"/>
      <c r="O560" s="169"/>
      <c r="P560" s="169"/>
      <c r="Q560" s="169"/>
      <c r="R560" s="169"/>
      <c r="S560" s="169"/>
      <c r="T560" s="169"/>
      <c r="U560" s="169"/>
      <c r="V560" s="169"/>
      <c r="W560" s="169"/>
      <c r="X560" s="169"/>
      <c r="Y560" s="169"/>
      <c r="Z560" s="169"/>
      <c r="AA560" s="169"/>
      <c r="AB560" s="169"/>
      <c r="AC560" s="169"/>
      <c r="AD560" s="169"/>
      <c r="AE560" s="169"/>
      <c r="AF560" s="169"/>
      <c r="AG560" s="169"/>
      <c r="AH560" s="169"/>
      <c r="AI560" s="169"/>
      <c r="AJ560" s="169"/>
      <c r="AK560" s="169"/>
      <c r="AL560" s="169"/>
      <c r="AM560" s="169"/>
      <c r="AN560" s="169"/>
      <c r="AO560" s="169"/>
      <c r="AP560" s="169"/>
      <c r="AQ560" s="169"/>
      <c r="AR560" s="169"/>
      <c r="AS560" s="169"/>
      <c r="AT560" s="169"/>
      <c r="AU560" s="169"/>
      <c r="AV560" s="169"/>
      <c r="AW560" s="169"/>
      <c r="AX560" s="169"/>
      <c r="AY560" s="169"/>
      <c r="AZ560" s="169"/>
      <c r="BA560" s="169"/>
      <c r="BB560" s="169"/>
      <c r="BC560" s="169"/>
      <c r="BD560" s="169"/>
      <c r="BE560" s="169"/>
      <c r="BF560" s="169"/>
      <c r="BG560" s="169"/>
      <c r="BH560" s="169"/>
      <c r="BI560" s="169"/>
      <c r="BJ560" s="169"/>
      <c r="BK560" s="169"/>
      <c r="BL560" s="169"/>
      <c r="BM560" s="169"/>
      <c r="BN560" s="169"/>
      <c r="BO560" s="169"/>
      <c r="BP560" s="169"/>
      <c r="BQ560" s="169"/>
      <c r="BR560" s="169"/>
      <c r="BS560" s="169"/>
      <c r="BT560" s="169"/>
      <c r="BU560" s="169"/>
      <c r="BV560" s="169"/>
      <c r="BW560" s="169"/>
      <c r="BX560" s="169"/>
      <c r="BY560" s="169"/>
      <c r="BZ560" s="169"/>
      <c r="CA560" s="169"/>
      <c r="CB560" s="169"/>
      <c r="CC560" s="169"/>
      <c r="CD560" s="169"/>
      <c r="CE560" s="169"/>
      <c r="CF560" s="169"/>
      <c r="CG560" s="169"/>
      <c r="CH560" s="169"/>
      <c r="CI560" s="169"/>
      <c r="CJ560" s="169"/>
      <c r="CK560" s="169"/>
      <c r="CL560" s="169"/>
      <c r="CM560" s="169"/>
      <c r="CN560" s="169"/>
      <c r="CO560" s="169"/>
      <c r="CP560" s="169"/>
      <c r="CQ560" s="169"/>
      <c r="CR560" s="169"/>
      <c r="CS560" s="169"/>
      <c r="CT560" s="169"/>
      <c r="CU560" s="169"/>
      <c r="CV560" s="169"/>
      <c r="CW560" s="169"/>
      <c r="CX560" s="169"/>
      <c r="CY560" s="169"/>
      <c r="CZ560" s="169"/>
      <c r="DA560" s="169"/>
      <c r="DB560" s="169"/>
      <c r="DC560" s="169"/>
      <c r="DD560" s="169"/>
      <c r="DE560" s="169"/>
      <c r="DF560" s="169"/>
      <c r="DG560" s="169"/>
      <c r="DH560" s="169"/>
      <c r="DI560" s="169"/>
      <c r="DJ560" s="169"/>
      <c r="DK560" s="169"/>
      <c r="DL560" s="169"/>
      <c r="DM560" s="169"/>
      <c r="DN560" s="169"/>
      <c r="DO560" s="169"/>
      <c r="DP560" s="169"/>
      <c r="DQ560" s="169"/>
      <c r="DR560" s="169"/>
      <c r="DS560" s="169"/>
      <c r="DT560" s="169"/>
      <c r="DU560" s="169"/>
      <c r="DV560" s="169"/>
      <c r="DW560" s="169"/>
      <c r="DX560" s="169"/>
      <c r="DY560" s="169"/>
      <c r="DZ560" s="169"/>
      <c r="EA560" s="169"/>
      <c r="EB560" s="169"/>
      <c r="EC560" s="169"/>
      <c r="ED560" s="169"/>
      <c r="EE560" s="169"/>
      <c r="EF560" s="169"/>
      <c r="EG560" s="169"/>
      <c r="EH560" s="169"/>
      <c r="EI560" s="169"/>
      <c r="EJ560" s="169"/>
      <c r="EK560" s="169"/>
      <c r="EL560" s="169"/>
      <c r="EM560" s="169"/>
      <c r="EN560" s="169"/>
      <c r="EO560" s="169"/>
      <c r="EP560" s="169"/>
      <c r="EQ560" s="169"/>
      <c r="ER560" s="169"/>
      <c r="ES560" s="169"/>
      <c r="ET560" s="169"/>
      <c r="EU560" s="169"/>
      <c r="EV560" s="169"/>
      <c r="EW560" s="169"/>
      <c r="EX560" s="169"/>
      <c r="EY560" s="169"/>
      <c r="EZ560" s="169"/>
      <c r="FA560" s="169"/>
      <c r="FB560" s="169"/>
      <c r="FC560" s="169"/>
      <c r="FD560" s="169"/>
      <c r="FE560" s="169"/>
      <c r="FF560" s="169"/>
      <c r="FG560" s="169"/>
      <c r="FH560" s="169"/>
      <c r="FI560" s="169"/>
      <c r="FJ560" s="169"/>
      <c r="FK560" s="169"/>
      <c r="FL560" s="169"/>
      <c r="FM560" s="169"/>
      <c r="FN560" s="169"/>
      <c r="FO560" s="169"/>
      <c r="FP560" s="169"/>
      <c r="FQ560" s="169"/>
      <c r="FR560" s="169"/>
      <c r="FS560" s="169"/>
      <c r="FT560" s="169"/>
      <c r="FU560" s="169"/>
      <c r="FV560" s="169"/>
      <c r="FW560" s="169"/>
      <c r="FX560" s="169"/>
      <c r="FY560" s="169"/>
      <c r="FZ560" s="169"/>
      <c r="GA560" s="169"/>
      <c r="GB560" s="169"/>
      <c r="GC560" s="169"/>
      <c r="GD560" s="169"/>
      <c r="GE560" s="169"/>
    </row>
    <row r="561" spans="3:187" ht="12.75" customHeight="1">
      <c r="C561" s="169"/>
      <c r="D561" s="169"/>
      <c r="E561" s="169"/>
      <c r="F561" s="169"/>
      <c r="G561" s="169"/>
      <c r="H561" s="169"/>
      <c r="I561" s="169"/>
      <c r="J561" s="169"/>
      <c r="K561" s="169"/>
      <c r="L561" s="169"/>
      <c r="M561" s="169"/>
      <c r="N561" s="169"/>
      <c r="O561" s="169"/>
      <c r="P561" s="169"/>
      <c r="Q561" s="169"/>
      <c r="R561" s="169"/>
      <c r="S561" s="169"/>
      <c r="T561" s="169"/>
      <c r="U561" s="169"/>
      <c r="V561" s="169"/>
      <c r="W561" s="169"/>
      <c r="X561" s="169"/>
      <c r="Y561" s="169"/>
      <c r="Z561" s="169"/>
      <c r="AA561" s="169"/>
      <c r="AB561" s="169"/>
      <c r="AC561" s="169"/>
      <c r="AD561" s="169"/>
      <c r="AE561" s="169"/>
      <c r="AF561" s="169"/>
      <c r="AG561" s="169"/>
      <c r="AH561" s="169"/>
      <c r="AI561" s="169"/>
      <c r="AJ561" s="169"/>
      <c r="AK561" s="169"/>
      <c r="AL561" s="169"/>
      <c r="AM561" s="169"/>
      <c r="AN561" s="169"/>
      <c r="AO561" s="169"/>
      <c r="AP561" s="169"/>
      <c r="AQ561" s="169"/>
      <c r="AR561" s="169"/>
      <c r="AS561" s="169"/>
      <c r="AT561" s="169"/>
      <c r="AU561" s="169"/>
      <c r="AV561" s="169"/>
      <c r="AW561" s="169"/>
      <c r="AX561" s="169"/>
      <c r="AY561" s="169"/>
      <c r="AZ561" s="169"/>
      <c r="BA561" s="169"/>
      <c r="BB561" s="169"/>
      <c r="BC561" s="169"/>
      <c r="BD561" s="169"/>
      <c r="BE561" s="169"/>
      <c r="BF561" s="169"/>
      <c r="BG561" s="169"/>
      <c r="BH561" s="169"/>
      <c r="BI561" s="169"/>
      <c r="BJ561" s="169"/>
      <c r="BK561" s="169"/>
      <c r="BL561" s="169"/>
      <c r="BM561" s="169"/>
      <c r="BN561" s="169"/>
      <c r="BO561" s="169"/>
      <c r="BP561" s="169"/>
      <c r="BQ561" s="169"/>
      <c r="BR561" s="169"/>
      <c r="BS561" s="169"/>
      <c r="BT561" s="169"/>
      <c r="BU561" s="169"/>
      <c r="BV561" s="169"/>
      <c r="BW561" s="169"/>
      <c r="BX561" s="169"/>
      <c r="BY561" s="169"/>
      <c r="BZ561" s="169"/>
      <c r="CA561" s="169"/>
      <c r="CB561" s="169"/>
      <c r="CC561" s="169"/>
      <c r="CD561" s="169"/>
      <c r="CE561" s="169"/>
      <c r="CF561" s="169"/>
      <c r="CG561" s="169"/>
      <c r="CH561" s="169"/>
      <c r="CI561" s="169"/>
      <c r="CJ561" s="169"/>
      <c r="CK561" s="169"/>
      <c r="CL561" s="169"/>
      <c r="CM561" s="169"/>
      <c r="CN561" s="169"/>
      <c r="CO561" s="169"/>
      <c r="CP561" s="169"/>
      <c r="CQ561" s="169"/>
      <c r="CR561" s="169"/>
      <c r="CS561" s="169"/>
      <c r="CT561" s="169"/>
      <c r="CU561" s="169"/>
      <c r="CV561" s="169"/>
      <c r="CW561" s="169"/>
      <c r="CX561" s="169"/>
      <c r="CY561" s="169"/>
      <c r="CZ561" s="169"/>
      <c r="DA561" s="169"/>
      <c r="DB561" s="169"/>
      <c r="DC561" s="169"/>
      <c r="DD561" s="169"/>
      <c r="DE561" s="169"/>
      <c r="DF561" s="169"/>
      <c r="DG561" s="169"/>
      <c r="DH561" s="169"/>
      <c r="DI561" s="169"/>
      <c r="DJ561" s="169"/>
      <c r="DK561" s="169"/>
      <c r="DL561" s="169"/>
      <c r="DM561" s="169"/>
      <c r="DN561" s="169"/>
      <c r="DO561" s="169"/>
      <c r="DP561" s="169"/>
      <c r="DQ561" s="169"/>
      <c r="DR561" s="169"/>
      <c r="DS561" s="169"/>
      <c r="DT561" s="169"/>
      <c r="DU561" s="169"/>
      <c r="DV561" s="169"/>
      <c r="DW561" s="169"/>
      <c r="DX561" s="169"/>
      <c r="DY561" s="169"/>
      <c r="DZ561" s="169"/>
      <c r="EA561" s="169"/>
      <c r="EB561" s="169"/>
      <c r="EC561" s="169"/>
      <c r="ED561" s="169"/>
      <c r="EE561" s="169"/>
      <c r="EF561" s="169"/>
      <c r="EG561" s="169"/>
      <c r="EH561" s="169"/>
      <c r="EI561" s="169"/>
      <c r="EJ561" s="169"/>
      <c r="EK561" s="169"/>
      <c r="EL561" s="169"/>
      <c r="EM561" s="169"/>
      <c r="EN561" s="169"/>
      <c r="EO561" s="169"/>
      <c r="EP561" s="169"/>
      <c r="EQ561" s="169"/>
      <c r="ER561" s="169"/>
      <c r="ES561" s="169"/>
      <c r="ET561" s="169"/>
      <c r="EU561" s="169"/>
      <c r="EV561" s="169"/>
      <c r="EW561" s="169"/>
      <c r="EX561" s="169"/>
      <c r="EY561" s="169"/>
      <c r="EZ561" s="169"/>
      <c r="FA561" s="169"/>
      <c r="FB561" s="169"/>
      <c r="FC561" s="169"/>
      <c r="FD561" s="169"/>
      <c r="FE561" s="169"/>
      <c r="FF561" s="169"/>
      <c r="FG561" s="169"/>
      <c r="FH561" s="169"/>
      <c r="FI561" s="169"/>
      <c r="FJ561" s="169"/>
      <c r="FK561" s="169"/>
      <c r="FL561" s="169"/>
      <c r="FM561" s="169"/>
      <c r="FN561" s="169"/>
      <c r="FO561" s="169"/>
      <c r="FP561" s="169"/>
      <c r="FQ561" s="169"/>
      <c r="FR561" s="169"/>
      <c r="FS561" s="169"/>
      <c r="FT561" s="169"/>
      <c r="FU561" s="169"/>
      <c r="FV561" s="169"/>
      <c r="FW561" s="169"/>
      <c r="FX561" s="169"/>
      <c r="FY561" s="169"/>
      <c r="FZ561" s="169"/>
      <c r="GA561" s="169"/>
      <c r="GB561" s="169"/>
      <c r="GC561" s="169"/>
      <c r="GD561" s="169"/>
      <c r="GE561" s="169"/>
    </row>
    <row r="562" spans="3:187" ht="12.75" customHeight="1">
      <c r="C562" s="220"/>
      <c r="D562" s="169"/>
      <c r="E562" s="169"/>
      <c r="F562" s="169"/>
      <c r="G562" s="169"/>
      <c r="H562" s="220"/>
      <c r="I562" s="169"/>
      <c r="J562" s="169"/>
      <c r="K562" s="169"/>
      <c r="L562" s="169"/>
      <c r="M562" s="220"/>
      <c r="N562" s="169"/>
      <c r="O562" s="169"/>
      <c r="P562" s="169"/>
      <c r="Q562" s="169"/>
      <c r="R562" s="220"/>
      <c r="S562" s="169"/>
      <c r="T562" s="169"/>
      <c r="U562" s="169"/>
      <c r="V562" s="169"/>
      <c r="W562" s="220"/>
      <c r="X562" s="169"/>
      <c r="Y562" s="169"/>
      <c r="Z562" s="169"/>
      <c r="AA562" s="169"/>
      <c r="AB562" s="220"/>
      <c r="AC562" s="169"/>
      <c r="AD562" s="169"/>
      <c r="AE562" s="169"/>
      <c r="AF562" s="169"/>
      <c r="AG562" s="220"/>
      <c r="AH562" s="169"/>
      <c r="AI562" s="169"/>
      <c r="AJ562" s="169"/>
      <c r="AK562" s="169"/>
      <c r="AL562" s="220"/>
      <c r="AM562" s="169"/>
      <c r="AN562" s="169"/>
      <c r="AO562" s="169"/>
      <c r="AP562" s="169"/>
      <c r="AQ562" s="220"/>
      <c r="AR562" s="169"/>
      <c r="AS562" s="169"/>
      <c r="AT562" s="169"/>
      <c r="AU562" s="169"/>
      <c r="AV562" s="220"/>
      <c r="AW562" s="169"/>
      <c r="AX562" s="169"/>
      <c r="AY562" s="169"/>
      <c r="AZ562" s="169"/>
      <c r="BA562" s="220"/>
      <c r="BB562" s="169"/>
      <c r="BC562" s="169"/>
      <c r="BD562" s="169"/>
      <c r="BE562" s="169"/>
      <c r="BF562" s="220"/>
      <c r="BG562" s="169"/>
      <c r="BH562" s="169"/>
      <c r="BI562" s="169"/>
      <c r="BJ562" s="169"/>
      <c r="BK562" s="220"/>
      <c r="BL562" s="169"/>
      <c r="BM562" s="169"/>
      <c r="BN562" s="169"/>
      <c r="BO562" s="169"/>
      <c r="BP562" s="220"/>
      <c r="BQ562" s="169"/>
      <c r="BR562" s="169"/>
      <c r="BS562" s="169"/>
      <c r="BT562" s="169"/>
      <c r="BU562" s="220"/>
      <c r="BV562" s="169"/>
      <c r="BW562" s="169"/>
      <c r="BX562" s="169"/>
      <c r="BY562" s="169"/>
      <c r="BZ562" s="220"/>
      <c r="CA562" s="169"/>
      <c r="CB562" s="169"/>
      <c r="CC562" s="169"/>
      <c r="CD562" s="169"/>
      <c r="CE562" s="220"/>
      <c r="CF562" s="169"/>
      <c r="CG562" s="169"/>
      <c r="CH562" s="169"/>
      <c r="CI562" s="169"/>
      <c r="CJ562" s="220"/>
      <c r="CK562" s="169"/>
      <c r="CL562" s="169"/>
      <c r="CM562" s="169"/>
      <c r="CN562" s="169"/>
      <c r="CO562" s="220"/>
      <c r="CP562" s="169"/>
      <c r="CQ562" s="169"/>
      <c r="CR562" s="169"/>
      <c r="CS562" s="169"/>
      <c r="CT562" s="220"/>
      <c r="CU562" s="169"/>
      <c r="CV562" s="169"/>
      <c r="CW562" s="169"/>
      <c r="CX562" s="169"/>
      <c r="CY562" s="220"/>
      <c r="CZ562" s="169"/>
      <c r="DA562" s="169"/>
      <c r="DB562" s="169"/>
      <c r="DC562" s="169"/>
      <c r="DD562" s="220"/>
      <c r="DE562" s="169"/>
      <c r="DF562" s="169"/>
      <c r="DG562" s="169"/>
      <c r="DH562" s="169"/>
      <c r="DI562" s="220"/>
      <c r="DJ562" s="169"/>
      <c r="DK562" s="169"/>
      <c r="DL562" s="169"/>
      <c r="DM562" s="169"/>
      <c r="DN562" s="220"/>
      <c r="DO562" s="169"/>
      <c r="DP562" s="169"/>
      <c r="DQ562" s="169"/>
      <c r="DR562" s="169"/>
      <c r="DS562" s="220"/>
      <c r="DT562" s="169"/>
      <c r="DU562" s="169"/>
      <c r="DV562" s="169"/>
      <c r="DW562" s="169"/>
      <c r="DX562" s="220"/>
      <c r="DY562" s="169"/>
      <c r="DZ562" s="169"/>
      <c r="EA562" s="169"/>
      <c r="EB562" s="169"/>
      <c r="EC562" s="220"/>
      <c r="ED562" s="169"/>
      <c r="EE562" s="169"/>
      <c r="EF562" s="169"/>
      <c r="EG562" s="169"/>
      <c r="EH562" s="220"/>
      <c r="EI562" s="169"/>
      <c r="EJ562" s="169"/>
      <c r="EK562" s="169"/>
      <c r="EL562" s="169"/>
      <c r="EM562" s="220"/>
      <c r="EN562" s="169"/>
      <c r="EO562" s="169"/>
      <c r="EP562" s="169"/>
      <c r="EQ562" s="169"/>
      <c r="ER562" s="220"/>
      <c r="ES562" s="169"/>
      <c r="ET562" s="169"/>
      <c r="EU562" s="169"/>
      <c r="EV562" s="169"/>
      <c r="EW562" s="220"/>
      <c r="EX562" s="169"/>
      <c r="EY562" s="169"/>
      <c r="EZ562" s="169"/>
      <c r="FA562" s="169"/>
      <c r="FB562" s="220"/>
      <c r="FC562" s="169"/>
      <c r="FD562" s="169"/>
      <c r="FE562" s="169"/>
      <c r="FF562" s="169"/>
      <c r="FG562" s="220"/>
      <c r="FH562" s="169"/>
      <c r="FI562" s="169"/>
      <c r="FJ562" s="169"/>
      <c r="FK562" s="169"/>
      <c r="FL562" s="220"/>
      <c r="FM562" s="169"/>
      <c r="FN562" s="169"/>
      <c r="FO562" s="169"/>
      <c r="FP562" s="169"/>
      <c r="FQ562" s="220"/>
      <c r="FR562" s="169"/>
      <c r="FS562" s="169"/>
      <c r="FT562" s="169"/>
      <c r="FU562" s="169"/>
      <c r="FV562" s="220"/>
      <c r="FW562" s="169"/>
      <c r="FX562" s="169"/>
      <c r="FY562" s="169"/>
      <c r="FZ562" s="169"/>
      <c r="GA562" s="220"/>
      <c r="GB562" s="169"/>
      <c r="GC562" s="169"/>
      <c r="GD562" s="169"/>
      <c r="GE562" s="169"/>
    </row>
    <row r="563" spans="3:187" ht="12.75" customHeight="1">
      <c r="C563" s="230"/>
      <c r="D563" s="224"/>
      <c r="E563" s="224"/>
      <c r="F563" s="224"/>
      <c r="G563" s="224"/>
      <c r="H563" s="230"/>
      <c r="I563" s="224"/>
      <c r="J563" s="224"/>
      <c r="K563" s="224"/>
      <c r="L563" s="224"/>
      <c r="M563" s="230"/>
      <c r="N563" s="224"/>
      <c r="O563" s="224"/>
      <c r="P563" s="224"/>
      <c r="Q563" s="224"/>
      <c r="R563" s="230"/>
      <c r="S563" s="224"/>
      <c r="T563" s="224"/>
      <c r="U563" s="224"/>
      <c r="V563" s="224"/>
      <c r="W563" s="230"/>
      <c r="X563" s="224"/>
      <c r="Y563" s="224"/>
      <c r="Z563" s="224"/>
      <c r="AA563" s="224"/>
      <c r="AB563" s="230"/>
      <c r="AC563" s="224"/>
      <c r="AD563" s="224"/>
      <c r="AE563" s="224"/>
      <c r="AF563" s="224"/>
      <c r="AG563" s="230"/>
      <c r="AH563" s="224"/>
      <c r="AI563" s="224"/>
      <c r="AJ563" s="224"/>
      <c r="AK563" s="224"/>
      <c r="AL563" s="230"/>
      <c r="AM563" s="224"/>
      <c r="AN563" s="224"/>
      <c r="AO563" s="224"/>
      <c r="AP563" s="224"/>
      <c r="AQ563" s="230"/>
      <c r="AR563" s="224"/>
      <c r="AS563" s="224"/>
      <c r="AT563" s="224"/>
      <c r="AU563" s="224"/>
      <c r="AV563" s="230"/>
      <c r="AW563" s="224"/>
      <c r="AX563" s="224"/>
      <c r="AY563" s="224"/>
      <c r="AZ563" s="224"/>
      <c r="BA563" s="230"/>
      <c r="BB563" s="224"/>
      <c r="BC563" s="224"/>
      <c r="BD563" s="224"/>
      <c r="BE563" s="224"/>
      <c r="BF563" s="230"/>
      <c r="BG563" s="224"/>
      <c r="BH563" s="224"/>
      <c r="BI563" s="224"/>
      <c r="BJ563" s="224"/>
      <c r="BK563" s="230"/>
      <c r="BL563" s="224"/>
      <c r="BM563" s="224"/>
      <c r="BN563" s="224"/>
      <c r="BO563" s="224"/>
      <c r="BP563" s="230"/>
      <c r="BQ563" s="224"/>
      <c r="BR563" s="224"/>
      <c r="BS563" s="224"/>
      <c r="BT563" s="224"/>
      <c r="BU563" s="230"/>
      <c r="BV563" s="224"/>
      <c r="BW563" s="224"/>
      <c r="BX563" s="224"/>
      <c r="BY563" s="224"/>
      <c r="BZ563" s="230"/>
      <c r="CA563" s="224"/>
      <c r="CB563" s="224"/>
      <c r="CC563" s="224"/>
      <c r="CD563" s="224"/>
      <c r="CE563" s="230"/>
      <c r="CF563" s="224"/>
      <c r="CG563" s="224"/>
      <c r="CH563" s="224"/>
      <c r="CI563" s="224"/>
      <c r="CJ563" s="230"/>
      <c r="CK563" s="224"/>
      <c r="CL563" s="224"/>
      <c r="CM563" s="224"/>
      <c r="CN563" s="224"/>
      <c r="CO563" s="230"/>
      <c r="CP563" s="224"/>
      <c r="CQ563" s="224"/>
      <c r="CR563" s="224"/>
      <c r="CS563" s="224"/>
      <c r="CT563" s="230"/>
      <c r="CU563" s="224"/>
      <c r="CV563" s="224"/>
      <c r="CW563" s="224"/>
      <c r="CX563" s="224"/>
      <c r="CY563" s="230"/>
      <c r="CZ563" s="224"/>
      <c r="DA563" s="224"/>
      <c r="DB563" s="224"/>
      <c r="DC563" s="224"/>
      <c r="DD563" s="230"/>
      <c r="DE563" s="224"/>
      <c r="DF563" s="224"/>
      <c r="DG563" s="224"/>
      <c r="DH563" s="224"/>
      <c r="DI563" s="230"/>
      <c r="DJ563" s="224"/>
      <c r="DK563" s="224"/>
      <c r="DL563" s="224"/>
      <c r="DM563" s="224"/>
      <c r="DN563" s="230"/>
      <c r="DO563" s="224"/>
      <c r="DP563" s="224"/>
      <c r="DQ563" s="224"/>
      <c r="DR563" s="224"/>
      <c r="DS563" s="230"/>
      <c r="DT563" s="224"/>
      <c r="DU563" s="224"/>
      <c r="DV563" s="224"/>
      <c r="DW563" s="224"/>
      <c r="DX563" s="230"/>
      <c r="DY563" s="224"/>
      <c r="DZ563" s="224"/>
      <c r="EA563" s="224"/>
      <c r="EB563" s="224"/>
      <c r="EC563" s="230"/>
      <c r="ED563" s="224"/>
      <c r="EE563" s="224"/>
      <c r="EF563" s="224"/>
      <c r="EG563" s="224"/>
      <c r="EH563" s="230"/>
      <c r="EI563" s="224"/>
      <c r="EJ563" s="224"/>
      <c r="EK563" s="224"/>
      <c r="EL563" s="224"/>
      <c r="EM563" s="230"/>
      <c r="EN563" s="224"/>
      <c r="EO563" s="224"/>
      <c r="EP563" s="224"/>
      <c r="EQ563" s="224"/>
      <c r="ER563" s="230"/>
      <c r="ES563" s="224"/>
      <c r="ET563" s="224"/>
      <c r="EU563" s="224"/>
      <c r="EV563" s="224"/>
      <c r="EW563" s="230"/>
      <c r="EX563" s="224"/>
      <c r="EY563" s="224"/>
      <c r="EZ563" s="224"/>
      <c r="FA563" s="224"/>
      <c r="FB563" s="230"/>
      <c r="FC563" s="224"/>
      <c r="FD563" s="224"/>
      <c r="FE563" s="224"/>
      <c r="FF563" s="224"/>
      <c r="FG563" s="230"/>
      <c r="FH563" s="224"/>
      <c r="FI563" s="224"/>
      <c r="FJ563" s="224"/>
      <c r="FK563" s="224"/>
      <c r="FL563" s="230"/>
      <c r="FM563" s="224"/>
      <c r="FN563" s="224"/>
      <c r="FO563" s="224"/>
      <c r="FP563" s="224"/>
      <c r="FQ563" s="230"/>
      <c r="FR563" s="224"/>
      <c r="FS563" s="224"/>
      <c r="FT563" s="224"/>
      <c r="FU563" s="224"/>
      <c r="FV563" s="230"/>
      <c r="FW563" s="224"/>
      <c r="FX563" s="224"/>
      <c r="FY563" s="224"/>
      <c r="FZ563" s="224"/>
      <c r="GA563" s="230"/>
      <c r="GB563" s="224"/>
      <c r="GC563" s="224"/>
      <c r="GD563" s="224"/>
      <c r="GE563" s="224"/>
    </row>
    <row r="564" spans="3:187" ht="12.75" customHeight="1">
      <c r="C564" s="231"/>
      <c r="D564" s="231"/>
      <c r="E564" s="231"/>
      <c r="F564" s="231"/>
      <c r="G564" s="231"/>
      <c r="H564" s="231"/>
      <c r="I564" s="231"/>
      <c r="J564" s="231"/>
      <c r="K564" s="231"/>
      <c r="L564" s="231"/>
      <c r="M564" s="231"/>
      <c r="N564" s="231"/>
      <c r="O564" s="231"/>
      <c r="P564" s="231"/>
      <c r="Q564" s="231"/>
      <c r="R564" s="231"/>
      <c r="S564" s="231"/>
      <c r="T564" s="231"/>
      <c r="U564" s="231"/>
      <c r="V564" s="231"/>
      <c r="W564" s="231"/>
      <c r="X564" s="231"/>
      <c r="Y564" s="231"/>
      <c r="Z564" s="231"/>
      <c r="AA564" s="231"/>
      <c r="AB564" s="231"/>
      <c r="AC564" s="231"/>
      <c r="AD564" s="231"/>
      <c r="AE564" s="231"/>
      <c r="AF564" s="231"/>
      <c r="AG564" s="231"/>
      <c r="AH564" s="231"/>
      <c r="AI564" s="231"/>
      <c r="AJ564" s="231"/>
      <c r="AK564" s="231"/>
      <c r="AL564" s="231"/>
      <c r="AM564" s="231"/>
      <c r="AN564" s="231"/>
      <c r="AO564" s="231"/>
      <c r="AP564" s="231"/>
      <c r="AQ564" s="231"/>
      <c r="AR564" s="231"/>
      <c r="AS564" s="231"/>
      <c r="AT564" s="231"/>
      <c r="AU564" s="231"/>
      <c r="AV564" s="231"/>
      <c r="AW564" s="231"/>
      <c r="AX564" s="231"/>
      <c r="AY564" s="231"/>
      <c r="AZ564" s="231"/>
      <c r="BA564" s="231"/>
      <c r="BB564" s="231"/>
      <c r="BC564" s="231"/>
      <c r="BD564" s="231"/>
      <c r="BE564" s="231"/>
      <c r="BF564" s="231"/>
      <c r="BG564" s="231"/>
      <c r="BH564" s="231"/>
      <c r="BI564" s="231"/>
      <c r="BJ564" s="231"/>
      <c r="BK564" s="231"/>
      <c r="BL564" s="231"/>
      <c r="BM564" s="231"/>
      <c r="BN564" s="231"/>
      <c r="BO564" s="231"/>
      <c r="BP564" s="231"/>
      <c r="BQ564" s="231"/>
      <c r="BR564" s="231"/>
      <c r="BS564" s="231"/>
      <c r="BT564" s="231"/>
      <c r="BU564" s="231"/>
      <c r="BV564" s="231"/>
      <c r="BW564" s="231"/>
      <c r="BX564" s="231"/>
      <c r="BY564" s="231"/>
      <c r="BZ564" s="231"/>
      <c r="CA564" s="231"/>
      <c r="CB564" s="231"/>
      <c r="CC564" s="231"/>
      <c r="CD564" s="231"/>
      <c r="CE564" s="231"/>
      <c r="CF564" s="231"/>
      <c r="CG564" s="231"/>
      <c r="CH564" s="231"/>
      <c r="CI564" s="231"/>
      <c r="CJ564" s="231"/>
      <c r="CK564" s="231"/>
      <c r="CL564" s="231"/>
      <c r="CM564" s="231"/>
      <c r="CN564" s="231"/>
      <c r="CO564" s="231"/>
      <c r="CP564" s="231"/>
      <c r="CQ564" s="231"/>
      <c r="CR564" s="231"/>
      <c r="CS564" s="231"/>
      <c r="CT564" s="231"/>
      <c r="CU564" s="231"/>
      <c r="CV564" s="231"/>
      <c r="CW564" s="231"/>
      <c r="CX564" s="231"/>
      <c r="CY564" s="231"/>
      <c r="CZ564" s="231"/>
      <c r="DA564" s="231"/>
      <c r="DB564" s="231"/>
      <c r="DC564" s="231"/>
      <c r="DD564" s="231"/>
      <c r="DE564" s="231"/>
      <c r="DF564" s="231"/>
      <c r="DG564" s="231"/>
      <c r="DH564" s="231"/>
      <c r="DI564" s="231"/>
      <c r="DJ564" s="231"/>
      <c r="DK564" s="231"/>
      <c r="DL564" s="231"/>
      <c r="DM564" s="231"/>
      <c r="DN564" s="231"/>
      <c r="DO564" s="231"/>
      <c r="DP564" s="231"/>
      <c r="DQ564" s="231"/>
      <c r="DR564" s="231"/>
      <c r="DS564" s="231"/>
      <c r="DT564" s="231"/>
      <c r="DU564" s="231"/>
      <c r="DV564" s="231"/>
      <c r="DW564" s="231"/>
      <c r="DX564" s="231"/>
      <c r="DY564" s="231"/>
      <c r="DZ564" s="231"/>
      <c r="EA564" s="231"/>
      <c r="EB564" s="231"/>
      <c r="EC564" s="231"/>
      <c r="ED564" s="231"/>
      <c r="EE564" s="231"/>
      <c r="EF564" s="231"/>
      <c r="EG564" s="231"/>
      <c r="EH564" s="231"/>
      <c r="EI564" s="231"/>
      <c r="EJ564" s="231"/>
      <c r="EK564" s="231"/>
      <c r="EL564" s="231"/>
      <c r="EM564" s="231"/>
      <c r="EN564" s="231"/>
      <c r="EO564" s="231"/>
      <c r="EP564" s="231"/>
      <c r="EQ564" s="231"/>
      <c r="ER564" s="231"/>
      <c r="ES564" s="231"/>
      <c r="ET564" s="231"/>
      <c r="EU564" s="231"/>
      <c r="EV564" s="231"/>
      <c r="EW564" s="231"/>
      <c r="EX564" s="231"/>
      <c r="EY564" s="231"/>
      <c r="EZ564" s="231"/>
      <c r="FA564" s="231"/>
      <c r="FB564" s="231"/>
      <c r="FC564" s="231"/>
      <c r="FD564" s="231"/>
      <c r="FE564" s="231"/>
      <c r="FF564" s="231"/>
      <c r="FG564" s="231"/>
      <c r="FH564" s="231"/>
      <c r="FI564" s="231"/>
      <c r="FJ564" s="231"/>
      <c r="FK564" s="231"/>
      <c r="FL564" s="231"/>
      <c r="FM564" s="231"/>
      <c r="FN564" s="231"/>
      <c r="FO564" s="231"/>
      <c r="FP564" s="231"/>
      <c r="FQ564" s="231"/>
      <c r="FR564" s="231"/>
      <c r="FS564" s="231"/>
      <c r="FT564" s="231"/>
      <c r="FU564" s="231"/>
      <c r="FV564" s="231"/>
      <c r="FW564" s="231"/>
      <c r="FX564" s="231"/>
      <c r="FY564" s="231"/>
      <c r="FZ564" s="231"/>
      <c r="GA564" s="231"/>
      <c r="GB564" s="231"/>
      <c r="GC564" s="231"/>
      <c r="GD564" s="231"/>
      <c r="GE564" s="231"/>
    </row>
    <row r="565" spans="3:187" ht="12.75" customHeight="1">
      <c r="C565" s="231"/>
      <c r="D565" s="231"/>
      <c r="E565" s="231"/>
      <c r="F565" s="231"/>
      <c r="G565" s="231"/>
      <c r="H565" s="231"/>
      <c r="I565" s="231"/>
      <c r="J565" s="231"/>
      <c r="K565" s="231"/>
      <c r="L565" s="231"/>
      <c r="M565" s="231"/>
      <c r="N565" s="231"/>
      <c r="O565" s="231"/>
      <c r="P565" s="231"/>
      <c r="Q565" s="231"/>
      <c r="R565" s="231"/>
      <c r="S565" s="231"/>
      <c r="T565" s="231"/>
      <c r="U565" s="231"/>
      <c r="V565" s="231"/>
      <c r="W565" s="231"/>
      <c r="X565" s="231"/>
      <c r="Y565" s="231"/>
      <c r="Z565" s="231"/>
      <c r="AA565" s="231"/>
      <c r="AB565" s="231"/>
      <c r="AC565" s="231"/>
      <c r="AD565" s="231"/>
      <c r="AE565" s="231"/>
      <c r="AF565" s="231"/>
      <c r="AG565" s="231"/>
      <c r="AH565" s="231"/>
      <c r="AI565" s="231"/>
      <c r="AJ565" s="231"/>
      <c r="AK565" s="231"/>
      <c r="AL565" s="231"/>
      <c r="AM565" s="231"/>
      <c r="AN565" s="231"/>
      <c r="AO565" s="231"/>
      <c r="AP565" s="231"/>
      <c r="AQ565" s="231"/>
      <c r="AR565" s="231"/>
      <c r="AS565" s="231"/>
      <c r="AT565" s="231"/>
      <c r="AU565" s="231"/>
      <c r="AV565" s="231"/>
      <c r="AW565" s="231"/>
      <c r="AX565" s="231"/>
      <c r="AY565" s="231"/>
      <c r="AZ565" s="231"/>
      <c r="BA565" s="231"/>
      <c r="BB565" s="231"/>
      <c r="BC565" s="231"/>
      <c r="BD565" s="231"/>
      <c r="BE565" s="231"/>
      <c r="BF565" s="231"/>
      <c r="BG565" s="231"/>
      <c r="BH565" s="231"/>
      <c r="BI565" s="231"/>
      <c r="BJ565" s="231"/>
      <c r="BK565" s="231"/>
      <c r="BL565" s="231"/>
      <c r="BM565" s="231"/>
      <c r="BN565" s="231"/>
      <c r="BO565" s="231"/>
      <c r="BP565" s="231"/>
      <c r="BQ565" s="231"/>
      <c r="BR565" s="231"/>
      <c r="BS565" s="231"/>
      <c r="BT565" s="231"/>
      <c r="BU565" s="231"/>
      <c r="BV565" s="231"/>
      <c r="BW565" s="231"/>
      <c r="BX565" s="231"/>
      <c r="BY565" s="231"/>
      <c r="BZ565" s="231"/>
      <c r="CA565" s="231"/>
      <c r="CB565" s="231"/>
      <c r="CC565" s="231"/>
      <c r="CD565" s="231"/>
      <c r="CE565" s="231"/>
      <c r="CF565" s="231"/>
      <c r="CG565" s="231"/>
      <c r="CH565" s="231"/>
      <c r="CI565" s="231"/>
      <c r="CJ565" s="231"/>
      <c r="CK565" s="231"/>
      <c r="CL565" s="231"/>
      <c r="CM565" s="231"/>
      <c r="CN565" s="231"/>
      <c r="CO565" s="231"/>
      <c r="CP565" s="231"/>
      <c r="CQ565" s="231"/>
      <c r="CR565" s="231"/>
      <c r="CS565" s="231"/>
      <c r="CT565" s="231"/>
      <c r="CU565" s="231"/>
      <c r="CV565" s="231"/>
      <c r="CW565" s="231"/>
      <c r="CX565" s="231"/>
      <c r="CY565" s="231"/>
      <c r="CZ565" s="231"/>
      <c r="DA565" s="231"/>
      <c r="DB565" s="231"/>
      <c r="DC565" s="231"/>
      <c r="DD565" s="231"/>
      <c r="DE565" s="231"/>
      <c r="DF565" s="231"/>
      <c r="DG565" s="231"/>
      <c r="DH565" s="231"/>
      <c r="DI565" s="231"/>
      <c r="DJ565" s="231"/>
      <c r="DK565" s="231"/>
      <c r="DL565" s="231"/>
      <c r="DM565" s="231"/>
      <c r="DN565" s="231"/>
      <c r="DO565" s="231"/>
      <c r="DP565" s="231"/>
      <c r="DQ565" s="231"/>
      <c r="DR565" s="231"/>
      <c r="DS565" s="231"/>
      <c r="DT565" s="231"/>
      <c r="DU565" s="231"/>
      <c r="DV565" s="231"/>
      <c r="DW565" s="231"/>
      <c r="DX565" s="231"/>
      <c r="DY565" s="231"/>
      <c r="DZ565" s="231"/>
      <c r="EA565" s="231"/>
      <c r="EB565" s="231"/>
      <c r="EC565" s="231"/>
      <c r="ED565" s="231"/>
      <c r="EE565" s="231"/>
      <c r="EF565" s="231"/>
      <c r="EG565" s="231"/>
      <c r="EH565" s="231"/>
      <c r="EI565" s="231"/>
      <c r="EJ565" s="231"/>
      <c r="EK565" s="231"/>
      <c r="EL565" s="231"/>
      <c r="EM565" s="231"/>
      <c r="EN565" s="231"/>
      <c r="EO565" s="231"/>
      <c r="EP565" s="231"/>
      <c r="EQ565" s="231"/>
      <c r="ER565" s="231"/>
      <c r="ES565" s="231"/>
      <c r="ET565" s="231"/>
      <c r="EU565" s="231"/>
      <c r="EV565" s="231"/>
      <c r="EW565" s="231"/>
      <c r="EX565" s="231"/>
      <c r="EY565" s="231"/>
      <c r="EZ565" s="231"/>
      <c r="FA565" s="231"/>
      <c r="FB565" s="231"/>
      <c r="FC565" s="231"/>
      <c r="FD565" s="231"/>
      <c r="FE565" s="231"/>
      <c r="FF565" s="231"/>
      <c r="FG565" s="231"/>
      <c r="FH565" s="231"/>
      <c r="FI565" s="231"/>
      <c r="FJ565" s="231"/>
      <c r="FK565" s="231"/>
      <c r="FL565" s="231"/>
      <c r="FM565" s="231"/>
      <c r="FN565" s="231"/>
      <c r="FO565" s="231"/>
      <c r="FP565" s="231"/>
      <c r="FQ565" s="231"/>
      <c r="FR565" s="231"/>
      <c r="FS565" s="231"/>
      <c r="FT565" s="231"/>
      <c r="FU565" s="231"/>
      <c r="FV565" s="231"/>
      <c r="FW565" s="231"/>
      <c r="FX565" s="231"/>
      <c r="FY565" s="231"/>
      <c r="FZ565" s="231"/>
      <c r="GA565" s="231"/>
      <c r="GB565" s="231"/>
      <c r="GC565" s="231"/>
      <c r="GD565" s="231"/>
      <c r="GE565" s="231"/>
    </row>
    <row r="566" spans="3:187" ht="12.75" customHeight="1">
      <c r="C566" s="232"/>
      <c r="D566" s="232"/>
      <c r="E566" s="232"/>
      <c r="F566" s="232"/>
      <c r="G566" s="232"/>
      <c r="H566" s="232"/>
      <c r="I566" s="232"/>
      <c r="J566" s="232"/>
      <c r="K566" s="232"/>
      <c r="L566" s="232"/>
      <c r="M566" s="232"/>
      <c r="N566" s="232"/>
      <c r="O566" s="232"/>
      <c r="P566" s="232"/>
      <c r="Q566" s="232"/>
      <c r="R566" s="232"/>
      <c r="S566" s="232"/>
      <c r="T566" s="232"/>
      <c r="U566" s="232"/>
      <c r="V566" s="232"/>
      <c r="W566" s="232"/>
      <c r="X566" s="232"/>
      <c r="Y566" s="232"/>
      <c r="Z566" s="232"/>
      <c r="AA566" s="232"/>
      <c r="AB566" s="232"/>
      <c r="AC566" s="232"/>
      <c r="AD566" s="232"/>
      <c r="AE566" s="232"/>
      <c r="AF566" s="232"/>
      <c r="AG566" s="232"/>
      <c r="AH566" s="232"/>
      <c r="AI566" s="232"/>
      <c r="AJ566" s="232"/>
      <c r="AK566" s="232"/>
      <c r="AL566" s="232"/>
      <c r="AM566" s="232"/>
      <c r="AN566" s="232"/>
      <c r="AO566" s="232"/>
      <c r="AP566" s="232"/>
      <c r="AQ566" s="232"/>
      <c r="AR566" s="232"/>
      <c r="AS566" s="232"/>
      <c r="AT566" s="232"/>
      <c r="AU566" s="232"/>
      <c r="AV566" s="232"/>
      <c r="AW566" s="232"/>
      <c r="AX566" s="232"/>
      <c r="AY566" s="232"/>
      <c r="AZ566" s="232"/>
      <c r="BA566" s="232"/>
      <c r="BB566" s="232"/>
      <c r="BC566" s="232"/>
      <c r="BD566" s="232"/>
      <c r="BE566" s="232"/>
      <c r="BF566" s="232"/>
      <c r="BG566" s="232"/>
      <c r="BH566" s="232"/>
      <c r="BI566" s="232"/>
      <c r="BJ566" s="232"/>
      <c r="BK566" s="232"/>
      <c r="BL566" s="232"/>
      <c r="BM566" s="232"/>
      <c r="BN566" s="232"/>
      <c r="BO566" s="232"/>
      <c r="BP566" s="232"/>
      <c r="BQ566" s="232"/>
      <c r="BR566" s="232"/>
      <c r="BS566" s="232"/>
      <c r="BT566" s="232"/>
      <c r="BU566" s="232"/>
      <c r="BV566" s="232"/>
      <c r="BW566" s="232"/>
      <c r="BX566" s="232"/>
      <c r="BY566" s="232"/>
      <c r="BZ566" s="232"/>
      <c r="CA566" s="232"/>
      <c r="CB566" s="232"/>
      <c r="CC566" s="232"/>
      <c r="CD566" s="232"/>
      <c r="CE566" s="232"/>
      <c r="CF566" s="232"/>
      <c r="CG566" s="232"/>
      <c r="CH566" s="232"/>
      <c r="CI566" s="232"/>
      <c r="CJ566" s="232"/>
      <c r="CK566" s="232"/>
      <c r="CL566" s="232"/>
      <c r="CM566" s="232"/>
      <c r="CN566" s="232"/>
      <c r="CO566" s="232"/>
      <c r="CP566" s="232"/>
      <c r="CQ566" s="232"/>
      <c r="CR566" s="232"/>
      <c r="CS566" s="232"/>
      <c r="CT566" s="232"/>
      <c r="CU566" s="232"/>
      <c r="CV566" s="232"/>
      <c r="CW566" s="232"/>
      <c r="CX566" s="232"/>
      <c r="CY566" s="232"/>
      <c r="CZ566" s="232"/>
      <c r="DA566" s="232"/>
      <c r="DB566" s="232"/>
      <c r="DC566" s="232"/>
      <c r="DD566" s="232"/>
      <c r="DE566" s="232"/>
      <c r="DF566" s="232"/>
      <c r="DG566" s="232"/>
      <c r="DH566" s="232"/>
      <c r="DI566" s="232"/>
      <c r="DJ566" s="232"/>
      <c r="DK566" s="232"/>
      <c r="DL566" s="232"/>
      <c r="DM566" s="232"/>
      <c r="DN566" s="232"/>
      <c r="DO566" s="232"/>
      <c r="DP566" s="232"/>
      <c r="DQ566" s="232"/>
      <c r="DR566" s="232"/>
      <c r="DS566" s="232"/>
      <c r="DT566" s="232"/>
      <c r="DU566" s="232"/>
      <c r="DV566" s="232"/>
      <c r="DW566" s="232"/>
      <c r="DX566" s="232"/>
      <c r="DY566" s="232"/>
      <c r="DZ566" s="232"/>
      <c r="EA566" s="232"/>
      <c r="EB566" s="232"/>
      <c r="EC566" s="232"/>
      <c r="ED566" s="232"/>
      <c r="EE566" s="232"/>
      <c r="EF566" s="232"/>
      <c r="EG566" s="232"/>
      <c r="EH566" s="232"/>
      <c r="EI566" s="232"/>
      <c r="EJ566" s="232"/>
      <c r="EK566" s="232"/>
      <c r="EL566" s="232"/>
      <c r="EM566" s="232"/>
      <c r="EN566" s="232"/>
      <c r="EO566" s="232"/>
      <c r="EP566" s="232"/>
      <c r="EQ566" s="232"/>
      <c r="ER566" s="232"/>
      <c r="ES566" s="232"/>
      <c r="ET566" s="232"/>
      <c r="EU566" s="232"/>
      <c r="EV566" s="232"/>
      <c r="EW566" s="232"/>
      <c r="EX566" s="232"/>
      <c r="EY566" s="232"/>
      <c r="EZ566" s="232"/>
      <c r="FA566" s="232"/>
      <c r="FB566" s="232"/>
      <c r="FC566" s="232"/>
      <c r="FD566" s="232"/>
      <c r="FE566" s="232"/>
      <c r="FF566" s="232"/>
      <c r="FG566" s="232"/>
      <c r="FH566" s="232"/>
      <c r="FI566" s="232"/>
      <c r="FJ566" s="232"/>
      <c r="FK566" s="232"/>
      <c r="FL566" s="232"/>
      <c r="FM566" s="232"/>
      <c r="FN566" s="232"/>
      <c r="FO566" s="232"/>
      <c r="FP566" s="232"/>
      <c r="FQ566" s="232"/>
      <c r="FR566" s="232"/>
      <c r="FS566" s="232"/>
      <c r="FT566" s="232"/>
      <c r="FU566" s="232"/>
      <c r="FV566" s="232"/>
      <c r="FW566" s="232"/>
      <c r="FX566" s="232"/>
      <c r="FY566" s="232"/>
      <c r="FZ566" s="232"/>
      <c r="GA566" s="232"/>
      <c r="GB566" s="232"/>
      <c r="GC566" s="232"/>
      <c r="GD566" s="232"/>
      <c r="GE566" s="232"/>
    </row>
    <row r="567" spans="3:187" ht="12.75" customHeight="1">
      <c r="C567" s="232"/>
      <c r="D567" s="232"/>
      <c r="E567" s="232"/>
      <c r="F567" s="232"/>
      <c r="G567" s="232"/>
      <c r="H567" s="232"/>
      <c r="I567" s="232"/>
      <c r="J567" s="232"/>
      <c r="K567" s="232"/>
      <c r="L567" s="232"/>
      <c r="M567" s="232"/>
      <c r="N567" s="232"/>
      <c r="O567" s="232"/>
      <c r="P567" s="232"/>
      <c r="Q567" s="232"/>
      <c r="R567" s="232"/>
      <c r="S567" s="232"/>
      <c r="T567" s="232"/>
      <c r="U567" s="232"/>
      <c r="V567" s="232"/>
      <c r="W567" s="232"/>
      <c r="X567" s="232"/>
      <c r="Y567" s="232"/>
      <c r="Z567" s="232"/>
      <c r="AA567" s="232"/>
      <c r="AB567" s="232"/>
      <c r="AC567" s="232"/>
      <c r="AD567" s="232"/>
      <c r="AE567" s="232"/>
      <c r="AF567" s="232"/>
      <c r="AG567" s="232"/>
      <c r="AH567" s="232"/>
      <c r="AI567" s="232"/>
      <c r="AJ567" s="232"/>
      <c r="AK567" s="232"/>
      <c r="AL567" s="232"/>
      <c r="AM567" s="232"/>
      <c r="AN567" s="232"/>
      <c r="AO567" s="232"/>
      <c r="AP567" s="232"/>
      <c r="AQ567" s="232"/>
      <c r="AR567" s="232"/>
      <c r="AS567" s="232"/>
      <c r="AT567" s="232"/>
      <c r="AU567" s="232"/>
      <c r="AV567" s="232"/>
      <c r="AW567" s="232"/>
      <c r="AX567" s="232"/>
      <c r="AY567" s="232"/>
      <c r="AZ567" s="232"/>
      <c r="BA567" s="232"/>
      <c r="BB567" s="232"/>
      <c r="BC567" s="232"/>
      <c r="BD567" s="232"/>
      <c r="BE567" s="232"/>
      <c r="BF567" s="232"/>
      <c r="BG567" s="232"/>
      <c r="BH567" s="232"/>
      <c r="BI567" s="232"/>
      <c r="BJ567" s="232"/>
      <c r="BK567" s="232"/>
      <c r="BL567" s="232"/>
      <c r="BM567" s="232"/>
      <c r="BN567" s="232"/>
      <c r="BO567" s="232"/>
      <c r="BP567" s="232"/>
      <c r="BQ567" s="232"/>
      <c r="BR567" s="232"/>
      <c r="BS567" s="232"/>
      <c r="BT567" s="232"/>
      <c r="BU567" s="232"/>
      <c r="BV567" s="232"/>
      <c r="BW567" s="232"/>
      <c r="BX567" s="232"/>
      <c r="BY567" s="232"/>
      <c r="BZ567" s="232"/>
      <c r="CA567" s="232"/>
      <c r="CB567" s="232"/>
      <c r="CC567" s="232"/>
      <c r="CD567" s="232"/>
      <c r="CE567" s="232"/>
      <c r="CF567" s="232"/>
      <c r="CG567" s="232"/>
      <c r="CH567" s="232"/>
      <c r="CI567" s="232"/>
      <c r="CJ567" s="232"/>
      <c r="CK567" s="232"/>
      <c r="CL567" s="232"/>
      <c r="CM567" s="232"/>
      <c r="CN567" s="232"/>
      <c r="CO567" s="232"/>
      <c r="CP567" s="232"/>
      <c r="CQ567" s="232"/>
      <c r="CR567" s="232"/>
      <c r="CS567" s="232"/>
      <c r="CT567" s="232"/>
      <c r="CU567" s="232"/>
      <c r="CV567" s="232"/>
      <c r="CW567" s="232"/>
      <c r="CX567" s="232"/>
      <c r="CY567" s="232"/>
      <c r="CZ567" s="232"/>
      <c r="DA567" s="232"/>
      <c r="DB567" s="232"/>
      <c r="DC567" s="232"/>
      <c r="DD567" s="232"/>
      <c r="DE567" s="232"/>
      <c r="DF567" s="232"/>
      <c r="DG567" s="232"/>
      <c r="DH567" s="232"/>
      <c r="DI567" s="232"/>
      <c r="DJ567" s="232"/>
      <c r="DK567" s="232"/>
      <c r="DL567" s="232"/>
      <c r="DM567" s="232"/>
      <c r="DN567" s="232"/>
      <c r="DO567" s="232"/>
      <c r="DP567" s="232"/>
      <c r="DQ567" s="232"/>
      <c r="DR567" s="232"/>
      <c r="DS567" s="232"/>
      <c r="DT567" s="232"/>
      <c r="DU567" s="232"/>
      <c r="DV567" s="232"/>
      <c r="DW567" s="232"/>
      <c r="DX567" s="232"/>
      <c r="DY567" s="232"/>
      <c r="DZ567" s="232"/>
      <c r="EA567" s="232"/>
      <c r="EB567" s="232"/>
      <c r="EC567" s="232"/>
      <c r="ED567" s="232"/>
      <c r="EE567" s="232"/>
      <c r="EF567" s="232"/>
      <c r="EG567" s="232"/>
      <c r="EH567" s="232"/>
      <c r="EI567" s="232"/>
      <c r="EJ567" s="232"/>
      <c r="EK567" s="232"/>
      <c r="EL567" s="232"/>
      <c r="EM567" s="232"/>
      <c r="EN567" s="232"/>
      <c r="EO567" s="232"/>
      <c r="EP567" s="232"/>
      <c r="EQ567" s="232"/>
      <c r="ER567" s="232"/>
      <c r="ES567" s="232"/>
      <c r="ET567" s="232"/>
      <c r="EU567" s="232"/>
      <c r="EV567" s="232"/>
      <c r="EW567" s="232"/>
      <c r="EX567" s="232"/>
      <c r="EY567" s="232"/>
      <c r="EZ567" s="232"/>
      <c r="FA567" s="232"/>
      <c r="FB567" s="232"/>
      <c r="FC567" s="232"/>
      <c r="FD567" s="232"/>
      <c r="FE567" s="232"/>
      <c r="FF567" s="232"/>
      <c r="FG567" s="232"/>
      <c r="FH567" s="232"/>
      <c r="FI567" s="232"/>
      <c r="FJ567" s="232"/>
      <c r="FK567" s="232"/>
      <c r="FL567" s="232"/>
      <c r="FM567" s="232"/>
      <c r="FN567" s="232"/>
      <c r="FO567" s="232"/>
      <c r="FP567" s="232"/>
      <c r="FQ567" s="232"/>
      <c r="FR567" s="232"/>
      <c r="FS567" s="232"/>
      <c r="FT567" s="232"/>
      <c r="FU567" s="232"/>
      <c r="FV567" s="232"/>
      <c r="FW567" s="232"/>
      <c r="FX567" s="232"/>
      <c r="FY567" s="232"/>
      <c r="FZ567" s="232"/>
      <c r="GA567" s="232"/>
      <c r="GB567" s="232"/>
      <c r="GC567" s="232"/>
      <c r="GD567" s="232"/>
      <c r="GE567" s="232"/>
    </row>
    <row r="568" spans="3:187" ht="12.75" customHeight="1">
      <c r="C568" s="231"/>
      <c r="D568" s="231"/>
      <c r="E568" s="231"/>
      <c r="F568" s="231"/>
      <c r="G568" s="231"/>
      <c r="H568" s="231"/>
      <c r="I568" s="231"/>
      <c r="J568" s="231"/>
      <c r="K568" s="231"/>
      <c r="L568" s="231"/>
      <c r="M568" s="231"/>
      <c r="N568" s="231"/>
      <c r="O568" s="231"/>
      <c r="P568" s="231"/>
      <c r="Q568" s="231"/>
      <c r="R568" s="231"/>
      <c r="S568" s="231"/>
      <c r="T568" s="231"/>
      <c r="U568" s="231"/>
      <c r="V568" s="231"/>
      <c r="W568" s="231"/>
      <c r="X568" s="231"/>
      <c r="Y568" s="231"/>
      <c r="Z568" s="231"/>
      <c r="AA568" s="231"/>
      <c r="AB568" s="231"/>
      <c r="AC568" s="231"/>
      <c r="AD568" s="231"/>
      <c r="AE568" s="231"/>
      <c r="AF568" s="231"/>
      <c r="AG568" s="231"/>
      <c r="AH568" s="231"/>
      <c r="AI568" s="231"/>
      <c r="AJ568" s="231"/>
      <c r="AK568" s="231"/>
      <c r="AL568" s="231"/>
      <c r="AM568" s="231"/>
      <c r="AN568" s="231"/>
      <c r="AO568" s="231"/>
      <c r="AP568" s="231"/>
      <c r="AQ568" s="231"/>
      <c r="AR568" s="231"/>
      <c r="AS568" s="231"/>
      <c r="AT568" s="231"/>
      <c r="AU568" s="231"/>
      <c r="AV568" s="231"/>
      <c r="AW568" s="231"/>
      <c r="AX568" s="231"/>
      <c r="AY568" s="231"/>
      <c r="AZ568" s="231"/>
      <c r="BA568" s="231"/>
      <c r="BB568" s="231"/>
      <c r="BC568" s="231"/>
      <c r="BD568" s="231"/>
      <c r="BE568" s="231"/>
      <c r="BF568" s="231"/>
      <c r="BG568" s="231"/>
      <c r="BH568" s="231"/>
      <c r="BI568" s="231"/>
      <c r="BJ568" s="231"/>
      <c r="BK568" s="231"/>
      <c r="BL568" s="231"/>
      <c r="BM568" s="231"/>
      <c r="BN568" s="231"/>
      <c r="BO568" s="231"/>
      <c r="BP568" s="231"/>
      <c r="BQ568" s="231"/>
      <c r="BR568" s="231"/>
      <c r="BS568" s="231"/>
      <c r="BT568" s="231"/>
      <c r="BU568" s="231"/>
      <c r="BV568" s="231"/>
      <c r="BW568" s="231"/>
      <c r="BX568" s="231"/>
      <c r="BY568" s="231"/>
      <c r="BZ568" s="231"/>
      <c r="CA568" s="231"/>
      <c r="CB568" s="231"/>
      <c r="CC568" s="231"/>
      <c r="CD568" s="231"/>
      <c r="CE568" s="231"/>
      <c r="CF568" s="231"/>
      <c r="CG568" s="231"/>
      <c r="CH568" s="231"/>
      <c r="CI568" s="231"/>
      <c r="CJ568" s="231"/>
      <c r="CK568" s="231"/>
      <c r="CL568" s="231"/>
      <c r="CM568" s="231"/>
      <c r="CN568" s="231"/>
      <c r="CO568" s="231"/>
      <c r="CP568" s="231"/>
      <c r="CQ568" s="231"/>
      <c r="CR568" s="231"/>
      <c r="CS568" s="231"/>
      <c r="CT568" s="231"/>
      <c r="CU568" s="231"/>
      <c r="CV568" s="231"/>
      <c r="CW568" s="231"/>
      <c r="CX568" s="231"/>
      <c r="CY568" s="231"/>
      <c r="CZ568" s="231"/>
      <c r="DA568" s="231"/>
      <c r="DB568" s="231"/>
      <c r="DC568" s="231"/>
      <c r="DD568" s="231"/>
      <c r="DE568" s="231"/>
      <c r="DF568" s="231"/>
      <c r="DG568" s="231"/>
      <c r="DH568" s="231"/>
      <c r="DI568" s="231"/>
      <c r="DJ568" s="231"/>
      <c r="DK568" s="231"/>
      <c r="DL568" s="231"/>
      <c r="DM568" s="231"/>
      <c r="DN568" s="231"/>
      <c r="DO568" s="231"/>
      <c r="DP568" s="231"/>
      <c r="DQ568" s="231"/>
      <c r="DR568" s="231"/>
      <c r="DS568" s="231"/>
      <c r="DT568" s="231"/>
      <c r="DU568" s="231"/>
      <c r="DV568" s="231"/>
      <c r="DW568" s="231"/>
      <c r="DX568" s="231"/>
      <c r="DY568" s="231"/>
      <c r="DZ568" s="231"/>
      <c r="EA568" s="231"/>
      <c r="EB568" s="231"/>
      <c r="EC568" s="231"/>
      <c r="ED568" s="231"/>
      <c r="EE568" s="231"/>
      <c r="EF568" s="231"/>
      <c r="EG568" s="231"/>
      <c r="EH568" s="231"/>
      <c r="EI568" s="231"/>
      <c r="EJ568" s="231"/>
      <c r="EK568" s="231"/>
      <c r="EL568" s="231"/>
      <c r="EM568" s="231"/>
      <c r="EN568" s="231"/>
      <c r="EO568" s="231"/>
      <c r="EP568" s="231"/>
      <c r="EQ568" s="231"/>
      <c r="ER568" s="231"/>
      <c r="ES568" s="231"/>
      <c r="ET568" s="231"/>
      <c r="EU568" s="231"/>
      <c r="EV568" s="231"/>
      <c r="EW568" s="231"/>
      <c r="EX568" s="231"/>
      <c r="EY568" s="231"/>
      <c r="EZ568" s="231"/>
      <c r="FA568" s="231"/>
      <c r="FB568" s="231"/>
      <c r="FC568" s="231"/>
      <c r="FD568" s="231"/>
      <c r="FE568" s="231"/>
      <c r="FF568" s="231"/>
      <c r="FG568" s="231"/>
      <c r="FH568" s="231"/>
      <c r="FI568" s="231"/>
      <c r="FJ568" s="231"/>
      <c r="FK568" s="231"/>
      <c r="FL568" s="231"/>
      <c r="FM568" s="231"/>
      <c r="FN568" s="231"/>
      <c r="FO568" s="231"/>
      <c r="FP568" s="231"/>
      <c r="FQ568" s="231"/>
      <c r="FR568" s="231"/>
      <c r="FS568" s="231"/>
      <c r="FT568" s="231"/>
      <c r="FU568" s="231"/>
      <c r="FV568" s="231"/>
      <c r="FW568" s="231"/>
      <c r="FX568" s="231"/>
      <c r="FY568" s="231"/>
      <c r="FZ568" s="231"/>
      <c r="GA568" s="231"/>
      <c r="GB568" s="231"/>
      <c r="GC568" s="231"/>
      <c r="GD568" s="231"/>
      <c r="GE568" s="231"/>
    </row>
    <row r="569" spans="3:187" ht="12.75" customHeight="1">
      <c r="C569" s="232"/>
      <c r="D569" s="232"/>
      <c r="E569" s="232"/>
      <c r="F569" s="232"/>
      <c r="G569" s="232"/>
      <c r="H569" s="232"/>
      <c r="I569" s="232"/>
      <c r="J569" s="232"/>
      <c r="K569" s="232"/>
      <c r="L569" s="232"/>
      <c r="M569" s="232"/>
      <c r="N569" s="232"/>
      <c r="O569" s="232"/>
      <c r="P569" s="232"/>
      <c r="Q569" s="232"/>
      <c r="R569" s="232"/>
      <c r="S569" s="232"/>
      <c r="T569" s="232"/>
      <c r="U569" s="232"/>
      <c r="V569" s="232"/>
      <c r="W569" s="232"/>
      <c r="X569" s="232"/>
      <c r="Y569" s="232"/>
      <c r="Z569" s="232"/>
      <c r="AA569" s="232"/>
      <c r="AB569" s="232"/>
      <c r="AC569" s="232"/>
      <c r="AD569" s="232"/>
      <c r="AE569" s="232"/>
      <c r="AF569" s="232"/>
      <c r="AG569" s="232"/>
      <c r="AH569" s="232"/>
      <c r="AI569" s="232"/>
      <c r="AJ569" s="232"/>
      <c r="AK569" s="232"/>
      <c r="AL569" s="232"/>
      <c r="AM569" s="232"/>
      <c r="AN569" s="232"/>
      <c r="AO569" s="232"/>
      <c r="AP569" s="232"/>
      <c r="AQ569" s="232"/>
      <c r="AR569" s="232"/>
      <c r="AS569" s="232"/>
      <c r="AT569" s="232"/>
      <c r="AU569" s="232"/>
      <c r="AV569" s="232"/>
      <c r="AW569" s="232"/>
      <c r="AX569" s="232"/>
      <c r="AY569" s="232"/>
      <c r="AZ569" s="232"/>
      <c r="BA569" s="232"/>
      <c r="BB569" s="232"/>
      <c r="BC569" s="232"/>
      <c r="BD569" s="232"/>
      <c r="BE569" s="232"/>
      <c r="BF569" s="232"/>
      <c r="BG569" s="232"/>
      <c r="BH569" s="232"/>
      <c r="BI569" s="232"/>
      <c r="BJ569" s="232"/>
      <c r="BK569" s="232"/>
      <c r="BL569" s="232"/>
      <c r="BM569" s="232"/>
      <c r="BN569" s="232"/>
      <c r="BO569" s="232"/>
      <c r="BP569" s="232"/>
      <c r="BQ569" s="232"/>
      <c r="BR569" s="232"/>
      <c r="BS569" s="232"/>
      <c r="BT569" s="232"/>
      <c r="BU569" s="232"/>
      <c r="BV569" s="232"/>
      <c r="BW569" s="232"/>
      <c r="BX569" s="232"/>
      <c r="BY569" s="232"/>
      <c r="BZ569" s="232"/>
      <c r="CA569" s="232"/>
      <c r="CB569" s="232"/>
      <c r="CC569" s="232"/>
      <c r="CD569" s="232"/>
      <c r="CE569" s="232"/>
      <c r="CF569" s="232"/>
      <c r="CG569" s="232"/>
      <c r="CH569" s="232"/>
      <c r="CI569" s="232"/>
      <c r="CJ569" s="232"/>
      <c r="CK569" s="232"/>
      <c r="CL569" s="232"/>
      <c r="CM569" s="232"/>
      <c r="CN569" s="232"/>
      <c r="CO569" s="232"/>
      <c r="CP569" s="232"/>
      <c r="CQ569" s="232"/>
      <c r="CR569" s="232"/>
      <c r="CS569" s="232"/>
      <c r="CT569" s="232"/>
      <c r="CU569" s="232"/>
      <c r="CV569" s="232"/>
      <c r="CW569" s="232"/>
      <c r="CX569" s="232"/>
      <c r="CY569" s="232"/>
      <c r="CZ569" s="232"/>
      <c r="DA569" s="232"/>
      <c r="DB569" s="232"/>
      <c r="DC569" s="232"/>
      <c r="DD569" s="232"/>
      <c r="DE569" s="232"/>
      <c r="DF569" s="232"/>
      <c r="DG569" s="232"/>
      <c r="DH569" s="232"/>
      <c r="DI569" s="232"/>
      <c r="DJ569" s="232"/>
      <c r="DK569" s="232"/>
      <c r="DL569" s="232"/>
      <c r="DM569" s="232"/>
      <c r="DN569" s="232"/>
      <c r="DO569" s="232"/>
      <c r="DP569" s="232"/>
      <c r="DQ569" s="232"/>
      <c r="DR569" s="232"/>
      <c r="DS569" s="232"/>
      <c r="DT569" s="232"/>
      <c r="DU569" s="232"/>
      <c r="DV569" s="232"/>
      <c r="DW569" s="232"/>
      <c r="DX569" s="232"/>
      <c r="DY569" s="232"/>
      <c r="DZ569" s="232"/>
      <c r="EA569" s="232"/>
      <c r="EB569" s="232"/>
      <c r="EC569" s="232"/>
      <c r="ED569" s="232"/>
      <c r="EE569" s="232"/>
      <c r="EF569" s="232"/>
      <c r="EG569" s="232"/>
      <c r="EH569" s="232"/>
      <c r="EI569" s="232"/>
      <c r="EJ569" s="232"/>
      <c r="EK569" s="232"/>
      <c r="EL569" s="232"/>
      <c r="EM569" s="232"/>
      <c r="EN569" s="232"/>
      <c r="EO569" s="232"/>
      <c r="EP569" s="232"/>
      <c r="EQ569" s="232"/>
      <c r="ER569" s="232"/>
      <c r="ES569" s="232"/>
      <c r="ET569" s="232"/>
      <c r="EU569" s="232"/>
      <c r="EV569" s="232"/>
      <c r="EW569" s="232"/>
      <c r="EX569" s="232"/>
      <c r="EY569" s="232"/>
      <c r="EZ569" s="232"/>
      <c r="FA569" s="232"/>
      <c r="FB569" s="232"/>
      <c r="FC569" s="232"/>
      <c r="FD569" s="232"/>
      <c r="FE569" s="232"/>
      <c r="FF569" s="232"/>
      <c r="FG569" s="232"/>
      <c r="FH569" s="232"/>
      <c r="FI569" s="232"/>
      <c r="FJ569" s="232"/>
      <c r="FK569" s="232"/>
      <c r="FL569" s="232"/>
      <c r="FM569" s="232"/>
      <c r="FN569" s="232"/>
      <c r="FO569" s="232"/>
      <c r="FP569" s="232"/>
      <c r="FQ569" s="232"/>
      <c r="FR569" s="232"/>
      <c r="FS569" s="232"/>
      <c r="FT569" s="232"/>
      <c r="FU569" s="232"/>
      <c r="FV569" s="232"/>
      <c r="FW569" s="232"/>
      <c r="FX569" s="232"/>
      <c r="FY569" s="232"/>
      <c r="FZ569" s="232"/>
      <c r="GA569" s="232"/>
      <c r="GB569" s="232"/>
      <c r="GC569" s="232"/>
      <c r="GD569" s="232"/>
      <c r="GE569" s="232"/>
    </row>
    <row r="570" spans="3:187" ht="12.75" customHeight="1">
      <c r="C570" s="232"/>
      <c r="D570" s="232"/>
      <c r="E570" s="232"/>
      <c r="F570" s="232"/>
      <c r="G570" s="232"/>
      <c r="H570" s="232"/>
      <c r="I570" s="232"/>
      <c r="J570" s="232"/>
      <c r="K570" s="232"/>
      <c r="L570" s="232"/>
      <c r="M570" s="232"/>
      <c r="N570" s="232"/>
      <c r="O570" s="232"/>
      <c r="P570" s="232"/>
      <c r="Q570" s="232"/>
      <c r="R570" s="232"/>
      <c r="S570" s="232"/>
      <c r="T570" s="232"/>
      <c r="U570" s="232"/>
      <c r="V570" s="232"/>
      <c r="W570" s="232"/>
      <c r="X570" s="232"/>
      <c r="Y570" s="232"/>
      <c r="Z570" s="232"/>
      <c r="AA570" s="232"/>
      <c r="AB570" s="232"/>
      <c r="AC570" s="232"/>
      <c r="AD570" s="232"/>
      <c r="AE570" s="232"/>
      <c r="AF570" s="232"/>
      <c r="AG570" s="232"/>
      <c r="AH570" s="232"/>
      <c r="AI570" s="232"/>
      <c r="AJ570" s="232"/>
      <c r="AK570" s="232"/>
      <c r="AL570" s="232"/>
      <c r="AM570" s="232"/>
      <c r="AN570" s="232"/>
      <c r="AO570" s="232"/>
      <c r="AP570" s="232"/>
      <c r="AQ570" s="232"/>
      <c r="AR570" s="232"/>
      <c r="AS570" s="232"/>
      <c r="AT570" s="232"/>
      <c r="AU570" s="232"/>
      <c r="AV570" s="232"/>
      <c r="AW570" s="232"/>
      <c r="AX570" s="232"/>
      <c r="AY570" s="232"/>
      <c r="AZ570" s="232"/>
      <c r="BA570" s="232"/>
      <c r="BB570" s="232"/>
      <c r="BC570" s="232"/>
      <c r="BD570" s="232"/>
      <c r="BE570" s="232"/>
      <c r="BF570" s="232"/>
      <c r="BG570" s="232"/>
      <c r="BH570" s="232"/>
      <c r="BI570" s="232"/>
      <c r="BJ570" s="232"/>
      <c r="BK570" s="232"/>
      <c r="BL570" s="232"/>
      <c r="BM570" s="232"/>
      <c r="BN570" s="232"/>
      <c r="BO570" s="232"/>
      <c r="BP570" s="232"/>
      <c r="BQ570" s="232"/>
      <c r="BR570" s="232"/>
      <c r="BS570" s="232"/>
      <c r="BT570" s="232"/>
      <c r="BU570" s="232"/>
      <c r="BV570" s="232"/>
      <c r="BW570" s="232"/>
      <c r="BX570" s="232"/>
      <c r="BY570" s="232"/>
      <c r="BZ570" s="232"/>
      <c r="CA570" s="232"/>
      <c r="CB570" s="232"/>
      <c r="CC570" s="232"/>
      <c r="CD570" s="232"/>
      <c r="CE570" s="232"/>
      <c r="CF570" s="232"/>
      <c r="CG570" s="232"/>
      <c r="CH570" s="232"/>
      <c r="CI570" s="232"/>
      <c r="CJ570" s="232"/>
      <c r="CK570" s="232"/>
      <c r="CL570" s="232"/>
      <c r="CM570" s="232"/>
      <c r="CN570" s="232"/>
      <c r="CO570" s="232"/>
      <c r="CP570" s="232"/>
      <c r="CQ570" s="232"/>
      <c r="CR570" s="232"/>
      <c r="CS570" s="232"/>
      <c r="CT570" s="232"/>
      <c r="CU570" s="232"/>
      <c r="CV570" s="232"/>
      <c r="CW570" s="232"/>
      <c r="CX570" s="232"/>
      <c r="CY570" s="232"/>
      <c r="CZ570" s="232"/>
      <c r="DA570" s="232"/>
      <c r="DB570" s="232"/>
      <c r="DC570" s="232"/>
      <c r="DD570" s="232"/>
      <c r="DE570" s="232"/>
      <c r="DF570" s="232"/>
      <c r="DG570" s="232"/>
      <c r="DH570" s="232"/>
      <c r="DI570" s="232"/>
      <c r="DJ570" s="232"/>
      <c r="DK570" s="232"/>
      <c r="DL570" s="232"/>
      <c r="DM570" s="232"/>
      <c r="DN570" s="232"/>
      <c r="DO570" s="232"/>
      <c r="DP570" s="232"/>
      <c r="DQ570" s="232"/>
      <c r="DR570" s="232"/>
      <c r="DS570" s="232"/>
      <c r="DT570" s="232"/>
      <c r="DU570" s="232"/>
      <c r="DV570" s="232"/>
      <c r="DW570" s="232"/>
      <c r="DX570" s="232"/>
      <c r="DY570" s="232"/>
      <c r="DZ570" s="232"/>
      <c r="EA570" s="232"/>
      <c r="EB570" s="232"/>
      <c r="EC570" s="232"/>
      <c r="ED570" s="232"/>
      <c r="EE570" s="232"/>
      <c r="EF570" s="232"/>
      <c r="EG570" s="232"/>
      <c r="EH570" s="232"/>
      <c r="EI570" s="232"/>
      <c r="EJ570" s="232"/>
      <c r="EK570" s="232"/>
      <c r="EL570" s="232"/>
      <c r="EM570" s="232"/>
      <c r="EN570" s="232"/>
      <c r="EO570" s="232"/>
      <c r="EP570" s="232"/>
      <c r="EQ570" s="232"/>
      <c r="ER570" s="232"/>
      <c r="ES570" s="232"/>
      <c r="ET570" s="232"/>
      <c r="EU570" s="232"/>
      <c r="EV570" s="232"/>
      <c r="EW570" s="232"/>
      <c r="EX570" s="232"/>
      <c r="EY570" s="232"/>
      <c r="EZ570" s="232"/>
      <c r="FA570" s="232"/>
      <c r="FB570" s="232"/>
      <c r="FC570" s="232"/>
      <c r="FD570" s="232"/>
      <c r="FE570" s="232"/>
      <c r="FF570" s="232"/>
      <c r="FG570" s="232"/>
      <c r="FH570" s="232"/>
      <c r="FI570" s="232"/>
      <c r="FJ570" s="232"/>
      <c r="FK570" s="232"/>
      <c r="FL570" s="232"/>
      <c r="FM570" s="232"/>
      <c r="FN570" s="232"/>
      <c r="FO570" s="232"/>
      <c r="FP570" s="232"/>
      <c r="FQ570" s="232"/>
      <c r="FR570" s="232"/>
      <c r="FS570" s="232"/>
      <c r="FT570" s="232"/>
      <c r="FU570" s="232"/>
      <c r="FV570" s="232"/>
      <c r="FW570" s="232"/>
      <c r="FX570" s="232"/>
      <c r="FY570" s="232"/>
      <c r="FZ570" s="232"/>
      <c r="GA570" s="232"/>
      <c r="GB570" s="232"/>
      <c r="GC570" s="232"/>
      <c r="GD570" s="232"/>
      <c r="GE570" s="232"/>
    </row>
    <row r="571" spans="3:187" ht="12.75" customHeight="1">
      <c r="C571" s="231"/>
      <c r="D571" s="231"/>
      <c r="E571" s="231"/>
      <c r="F571" s="231"/>
      <c r="G571" s="231"/>
      <c r="H571" s="231"/>
      <c r="I571" s="231"/>
      <c r="J571" s="231"/>
      <c r="K571" s="231"/>
      <c r="L571" s="231"/>
      <c r="M571" s="231"/>
      <c r="N571" s="231"/>
      <c r="O571" s="231"/>
      <c r="P571" s="231"/>
      <c r="Q571" s="231"/>
      <c r="R571" s="231"/>
      <c r="S571" s="231"/>
      <c r="T571" s="231"/>
      <c r="U571" s="231"/>
      <c r="V571" s="231"/>
      <c r="W571" s="231"/>
      <c r="X571" s="231"/>
      <c r="Y571" s="231"/>
      <c r="Z571" s="231"/>
      <c r="AA571" s="231"/>
      <c r="AB571" s="231"/>
      <c r="AC571" s="231"/>
      <c r="AD571" s="231"/>
      <c r="AE571" s="231"/>
      <c r="AF571" s="231"/>
      <c r="AG571" s="231"/>
      <c r="AH571" s="231"/>
      <c r="AI571" s="231"/>
      <c r="AJ571" s="231"/>
      <c r="AK571" s="231"/>
      <c r="AL571" s="231"/>
      <c r="AM571" s="231"/>
      <c r="AN571" s="231"/>
      <c r="AO571" s="231"/>
      <c r="AP571" s="231"/>
      <c r="AQ571" s="231"/>
      <c r="AR571" s="231"/>
      <c r="AS571" s="231"/>
      <c r="AT571" s="231"/>
      <c r="AU571" s="231"/>
      <c r="AV571" s="231"/>
      <c r="AW571" s="231"/>
      <c r="AX571" s="231"/>
      <c r="AY571" s="231"/>
      <c r="AZ571" s="231"/>
      <c r="BA571" s="231"/>
      <c r="BB571" s="231"/>
      <c r="BC571" s="231"/>
      <c r="BD571" s="231"/>
      <c r="BE571" s="231"/>
      <c r="BF571" s="231"/>
      <c r="BG571" s="231"/>
      <c r="BH571" s="231"/>
      <c r="BI571" s="231"/>
      <c r="BJ571" s="231"/>
      <c r="BK571" s="231"/>
      <c r="BL571" s="231"/>
      <c r="BM571" s="231"/>
      <c r="BN571" s="231"/>
      <c r="BO571" s="231"/>
      <c r="BP571" s="231"/>
      <c r="BQ571" s="231"/>
      <c r="BR571" s="231"/>
      <c r="BS571" s="231"/>
      <c r="BT571" s="231"/>
      <c r="BU571" s="231"/>
      <c r="BV571" s="231"/>
      <c r="BW571" s="231"/>
      <c r="BX571" s="231"/>
      <c r="BY571" s="231"/>
      <c r="BZ571" s="231"/>
      <c r="CA571" s="231"/>
      <c r="CB571" s="231"/>
      <c r="CC571" s="231"/>
      <c r="CD571" s="231"/>
      <c r="CE571" s="231"/>
      <c r="CF571" s="231"/>
      <c r="CG571" s="231"/>
      <c r="CH571" s="231"/>
      <c r="CI571" s="231"/>
      <c r="CJ571" s="231"/>
      <c r="CK571" s="231"/>
      <c r="CL571" s="231"/>
      <c r="CM571" s="231"/>
      <c r="CN571" s="231"/>
      <c r="CO571" s="231"/>
      <c r="CP571" s="231"/>
      <c r="CQ571" s="231"/>
      <c r="CR571" s="231"/>
      <c r="CS571" s="231"/>
      <c r="CT571" s="231"/>
      <c r="CU571" s="231"/>
      <c r="CV571" s="231"/>
      <c r="CW571" s="231"/>
      <c r="CX571" s="231"/>
      <c r="CY571" s="231"/>
      <c r="CZ571" s="231"/>
      <c r="DA571" s="231"/>
      <c r="DB571" s="231"/>
      <c r="DC571" s="231"/>
      <c r="DD571" s="231"/>
      <c r="DE571" s="231"/>
      <c r="DF571" s="231"/>
      <c r="DG571" s="231"/>
      <c r="DH571" s="231"/>
      <c r="DI571" s="231"/>
      <c r="DJ571" s="231"/>
      <c r="DK571" s="231"/>
      <c r="DL571" s="231"/>
      <c r="DM571" s="231"/>
      <c r="DN571" s="231"/>
      <c r="DO571" s="231"/>
      <c r="DP571" s="231"/>
      <c r="DQ571" s="231"/>
      <c r="DR571" s="231"/>
      <c r="DS571" s="231"/>
      <c r="DT571" s="231"/>
      <c r="DU571" s="231"/>
      <c r="DV571" s="231"/>
      <c r="DW571" s="231"/>
      <c r="DX571" s="231"/>
      <c r="DY571" s="231"/>
      <c r="DZ571" s="231"/>
      <c r="EA571" s="231"/>
      <c r="EB571" s="231"/>
      <c r="EC571" s="231"/>
      <c r="ED571" s="231"/>
      <c r="EE571" s="231"/>
      <c r="EF571" s="231"/>
      <c r="EG571" s="231"/>
      <c r="EH571" s="231"/>
      <c r="EI571" s="231"/>
      <c r="EJ571" s="231"/>
      <c r="EK571" s="231"/>
      <c r="EL571" s="231"/>
      <c r="EM571" s="231"/>
      <c r="EN571" s="231"/>
      <c r="EO571" s="231"/>
      <c r="EP571" s="231"/>
      <c r="EQ571" s="231"/>
      <c r="ER571" s="231"/>
      <c r="ES571" s="231"/>
      <c r="ET571" s="231"/>
      <c r="EU571" s="231"/>
      <c r="EV571" s="231"/>
      <c r="EW571" s="231"/>
      <c r="EX571" s="231"/>
      <c r="EY571" s="231"/>
      <c r="EZ571" s="231"/>
      <c r="FA571" s="231"/>
      <c r="FB571" s="231"/>
      <c r="FC571" s="231"/>
      <c r="FD571" s="231"/>
      <c r="FE571" s="231"/>
      <c r="FF571" s="231"/>
      <c r="FG571" s="231"/>
      <c r="FH571" s="231"/>
      <c r="FI571" s="231"/>
      <c r="FJ571" s="231"/>
      <c r="FK571" s="231"/>
      <c r="FL571" s="231"/>
      <c r="FM571" s="231"/>
      <c r="FN571" s="231"/>
      <c r="FO571" s="231"/>
      <c r="FP571" s="231"/>
      <c r="FQ571" s="231"/>
      <c r="FR571" s="231"/>
      <c r="FS571" s="231"/>
      <c r="FT571" s="231"/>
      <c r="FU571" s="231"/>
      <c r="FV571" s="231"/>
      <c r="FW571" s="231"/>
      <c r="FX571" s="231"/>
      <c r="FY571" s="231"/>
      <c r="FZ571" s="231"/>
      <c r="GA571" s="231"/>
      <c r="GB571" s="231"/>
      <c r="GC571" s="231"/>
      <c r="GD571" s="231"/>
      <c r="GE571" s="231"/>
    </row>
    <row r="572" spans="3:187" ht="12.75" customHeight="1">
      <c r="C572" s="220"/>
      <c r="D572" s="169"/>
      <c r="E572" s="169"/>
      <c r="F572" s="169"/>
      <c r="G572" s="169"/>
      <c r="H572" s="220"/>
      <c r="I572" s="169"/>
      <c r="J572" s="169"/>
      <c r="K572" s="169"/>
      <c r="L572" s="169"/>
      <c r="M572" s="220"/>
      <c r="N572" s="169"/>
      <c r="O572" s="169"/>
      <c r="P572" s="169"/>
      <c r="Q572" s="169"/>
      <c r="R572" s="220"/>
      <c r="S572" s="169"/>
      <c r="T572" s="169"/>
      <c r="U572" s="169"/>
      <c r="V572" s="169"/>
      <c r="W572" s="220"/>
      <c r="X572" s="169"/>
      <c r="Y572" s="169"/>
      <c r="Z572" s="169"/>
      <c r="AA572" s="169"/>
      <c r="AB572" s="220"/>
      <c r="AC572" s="169"/>
      <c r="AD572" s="169"/>
      <c r="AE572" s="169"/>
      <c r="AF572" s="169"/>
      <c r="AG572" s="220"/>
      <c r="AH572" s="169"/>
      <c r="AI572" s="169"/>
      <c r="AJ572" s="169"/>
      <c r="AK572" s="169"/>
      <c r="AL572" s="220"/>
      <c r="AM572" s="169"/>
      <c r="AN572" s="169"/>
      <c r="AO572" s="169"/>
      <c r="AP572" s="169"/>
      <c r="AQ572" s="220"/>
      <c r="AR572" s="169"/>
      <c r="AS572" s="169"/>
      <c r="AT572" s="169"/>
      <c r="AU572" s="169"/>
      <c r="AV572" s="220"/>
      <c r="AW572" s="169"/>
      <c r="AX572" s="169"/>
      <c r="AY572" s="169"/>
      <c r="AZ572" s="169"/>
      <c r="BA572" s="220"/>
      <c r="BB572" s="169"/>
      <c r="BC572" s="169"/>
      <c r="BD572" s="169"/>
      <c r="BE572" s="169"/>
      <c r="BF572" s="220"/>
      <c r="BG572" s="169"/>
      <c r="BH572" s="169"/>
      <c r="BI572" s="169"/>
      <c r="BJ572" s="169"/>
      <c r="BK572" s="220"/>
      <c r="BL572" s="169"/>
      <c r="BM572" s="169"/>
      <c r="BN572" s="169"/>
      <c r="BO572" s="169"/>
      <c r="BP572" s="220"/>
      <c r="BQ572" s="169"/>
      <c r="BR572" s="169"/>
      <c r="BS572" s="169"/>
      <c r="BT572" s="169"/>
      <c r="BU572" s="220"/>
      <c r="BV572" s="169"/>
      <c r="BW572" s="169"/>
      <c r="BX572" s="169"/>
      <c r="BY572" s="169"/>
      <c r="BZ572" s="220"/>
      <c r="CA572" s="169"/>
      <c r="CB572" s="169"/>
      <c r="CC572" s="169"/>
      <c r="CD572" s="169"/>
      <c r="CE572" s="220"/>
      <c r="CF572" s="169"/>
      <c r="CG572" s="169"/>
      <c r="CH572" s="169"/>
      <c r="CI572" s="169"/>
      <c r="CJ572" s="220"/>
      <c r="CK572" s="169"/>
      <c r="CL572" s="169"/>
      <c r="CM572" s="169"/>
      <c r="CN572" s="169"/>
      <c r="CO572" s="220"/>
      <c r="CP572" s="169"/>
      <c r="CQ572" s="169"/>
      <c r="CR572" s="169"/>
      <c r="CS572" s="169"/>
      <c r="CT572" s="220"/>
      <c r="CU572" s="169"/>
      <c r="CV572" s="169"/>
      <c r="CW572" s="169"/>
      <c r="CX572" s="169"/>
      <c r="CY572" s="220"/>
      <c r="CZ572" s="169"/>
      <c r="DA572" s="169"/>
      <c r="DB572" s="169"/>
      <c r="DC572" s="169"/>
      <c r="DD572" s="220"/>
      <c r="DE572" s="169"/>
      <c r="DF572" s="169"/>
      <c r="DG572" s="169"/>
      <c r="DH572" s="169"/>
      <c r="DI572" s="220"/>
      <c r="DJ572" s="169"/>
      <c r="DK572" s="169"/>
      <c r="DL572" s="169"/>
      <c r="DM572" s="169"/>
      <c r="DN572" s="220"/>
      <c r="DO572" s="169"/>
      <c r="DP572" s="169"/>
      <c r="DQ572" s="169"/>
      <c r="DR572" s="169"/>
      <c r="DS572" s="220"/>
      <c r="DT572" s="169"/>
      <c r="DU572" s="169"/>
      <c r="DV572" s="169"/>
      <c r="DW572" s="169"/>
      <c r="DX572" s="220"/>
      <c r="DY572" s="169"/>
      <c r="DZ572" s="169"/>
      <c r="EA572" s="169"/>
      <c r="EB572" s="169"/>
      <c r="EC572" s="220"/>
      <c r="ED572" s="169"/>
      <c r="EE572" s="169"/>
      <c r="EF572" s="169"/>
      <c r="EG572" s="169"/>
      <c r="EH572" s="220"/>
      <c r="EI572" s="169"/>
      <c r="EJ572" s="169"/>
      <c r="EK572" s="169"/>
      <c r="EL572" s="169"/>
      <c r="EM572" s="220"/>
      <c r="EN572" s="169"/>
      <c r="EO572" s="169"/>
      <c r="EP572" s="169"/>
      <c r="EQ572" s="169"/>
      <c r="ER572" s="220"/>
      <c r="ES572" s="169"/>
      <c r="ET572" s="169"/>
      <c r="EU572" s="169"/>
      <c r="EV572" s="169"/>
      <c r="EW572" s="220"/>
      <c r="EX572" s="169"/>
      <c r="EY572" s="169"/>
      <c r="EZ572" s="169"/>
      <c r="FA572" s="169"/>
      <c r="FB572" s="220"/>
      <c r="FC572" s="169"/>
      <c r="FD572" s="169"/>
      <c r="FE572" s="169"/>
      <c r="FF572" s="169"/>
      <c r="FG572" s="220"/>
      <c r="FH572" s="169"/>
      <c r="FI572" s="169"/>
      <c r="FJ572" s="169"/>
      <c r="FK572" s="169"/>
      <c r="FL572" s="220"/>
      <c r="FM572" s="169"/>
      <c r="FN572" s="169"/>
      <c r="FO572" s="169"/>
      <c r="FP572" s="169"/>
      <c r="FQ572" s="220"/>
      <c r="FR572" s="169"/>
      <c r="FS572" s="169"/>
      <c r="FT572" s="169"/>
      <c r="FU572" s="169"/>
      <c r="FV572" s="220"/>
      <c r="FW572" s="169"/>
      <c r="FX572" s="169"/>
      <c r="FY572" s="169"/>
      <c r="FZ572" s="169"/>
      <c r="GA572" s="220"/>
      <c r="GB572" s="169"/>
      <c r="GC572" s="169"/>
      <c r="GD572" s="169"/>
      <c r="GE572" s="169"/>
    </row>
    <row r="573" spans="3:187" ht="12.75" customHeight="1">
      <c r="C573" s="198"/>
      <c r="D573" s="198"/>
      <c r="E573" s="198"/>
      <c r="F573" s="198"/>
      <c r="G573" s="198"/>
      <c r="H573" s="198"/>
      <c r="I573" s="198"/>
      <c r="J573" s="198"/>
      <c r="K573" s="198"/>
      <c r="L573" s="198"/>
      <c r="M573" s="198"/>
      <c r="N573" s="198"/>
      <c r="O573" s="198"/>
      <c r="P573" s="198"/>
      <c r="Q573" s="198"/>
      <c r="R573" s="198"/>
      <c r="S573" s="198"/>
      <c r="T573" s="198"/>
      <c r="U573" s="198"/>
      <c r="V573" s="198"/>
      <c r="W573" s="198"/>
      <c r="X573" s="198"/>
      <c r="Y573" s="198"/>
      <c r="Z573" s="198"/>
      <c r="AA573" s="198"/>
      <c r="AB573" s="198"/>
      <c r="AC573" s="198"/>
      <c r="AD573" s="198"/>
      <c r="AE573" s="198"/>
      <c r="AF573" s="198"/>
      <c r="AG573" s="198"/>
      <c r="AH573" s="198"/>
      <c r="AI573" s="198"/>
      <c r="AJ573" s="198"/>
      <c r="AK573" s="198"/>
      <c r="AL573" s="198"/>
      <c r="AM573" s="198"/>
      <c r="AN573" s="198"/>
      <c r="AO573" s="198"/>
      <c r="AP573" s="198"/>
      <c r="AQ573" s="198"/>
      <c r="AR573" s="198"/>
      <c r="AS573" s="198"/>
      <c r="AT573" s="198"/>
      <c r="AU573" s="198"/>
      <c r="AV573" s="198"/>
      <c r="AW573" s="198"/>
      <c r="AX573" s="198"/>
      <c r="AY573" s="198"/>
      <c r="AZ573" s="198"/>
      <c r="BA573" s="198"/>
      <c r="BB573" s="198"/>
      <c r="BC573" s="198"/>
      <c r="BD573" s="198"/>
      <c r="BE573" s="198"/>
      <c r="BF573" s="198"/>
      <c r="BG573" s="198"/>
      <c r="BH573" s="198"/>
      <c r="BI573" s="198"/>
      <c r="BJ573" s="198"/>
      <c r="BK573" s="198"/>
      <c r="BL573" s="198"/>
      <c r="BM573" s="198"/>
      <c r="BN573" s="198"/>
      <c r="BO573" s="198"/>
      <c r="BP573" s="198"/>
      <c r="BQ573" s="198"/>
      <c r="BR573" s="198"/>
      <c r="BS573" s="198"/>
      <c r="BT573" s="198"/>
      <c r="BU573" s="198"/>
      <c r="BV573" s="198"/>
      <c r="BW573" s="198"/>
      <c r="BX573" s="198"/>
      <c r="BY573" s="198"/>
      <c r="BZ573" s="198"/>
      <c r="CA573" s="198"/>
      <c r="CB573" s="198"/>
      <c r="CC573" s="198"/>
      <c r="CD573" s="198"/>
      <c r="CE573" s="198"/>
      <c r="CF573" s="198"/>
      <c r="CG573" s="198"/>
      <c r="CH573" s="198"/>
      <c r="CI573" s="198"/>
      <c r="CJ573" s="198"/>
      <c r="CK573" s="198"/>
      <c r="CL573" s="198"/>
      <c r="CM573" s="198"/>
      <c r="CN573" s="198"/>
      <c r="CO573" s="198"/>
      <c r="CP573" s="198"/>
      <c r="CQ573" s="198"/>
      <c r="CR573" s="198"/>
      <c r="CS573" s="198"/>
      <c r="CT573" s="198"/>
      <c r="CU573" s="198"/>
      <c r="CV573" s="198"/>
      <c r="CW573" s="198"/>
      <c r="CX573" s="198"/>
      <c r="CY573" s="198"/>
      <c r="CZ573" s="198"/>
      <c r="DA573" s="198"/>
      <c r="DB573" s="198"/>
      <c r="DC573" s="198"/>
      <c r="DD573" s="198"/>
      <c r="DE573" s="198"/>
      <c r="DF573" s="198"/>
      <c r="DG573" s="198"/>
      <c r="DH573" s="198"/>
      <c r="DI573" s="198"/>
      <c r="DJ573" s="198"/>
      <c r="DK573" s="198"/>
      <c r="DL573" s="198"/>
      <c r="DM573" s="198"/>
      <c r="DN573" s="198"/>
      <c r="DO573" s="198"/>
      <c r="DP573" s="198"/>
      <c r="DQ573" s="198"/>
      <c r="DR573" s="198"/>
      <c r="DS573" s="198"/>
      <c r="DT573" s="198"/>
      <c r="DU573" s="198"/>
      <c r="DV573" s="198"/>
      <c r="DW573" s="198"/>
      <c r="DX573" s="198"/>
      <c r="DY573" s="198"/>
      <c r="DZ573" s="198"/>
      <c r="EA573" s="198"/>
      <c r="EB573" s="198"/>
      <c r="EC573" s="198"/>
      <c r="ED573" s="198"/>
      <c r="EE573" s="198"/>
      <c r="EF573" s="198"/>
      <c r="EG573" s="198"/>
      <c r="EH573" s="198"/>
      <c r="EI573" s="198"/>
      <c r="EJ573" s="198"/>
      <c r="EK573" s="198"/>
      <c r="EL573" s="198"/>
      <c r="EM573" s="198"/>
      <c r="EN573" s="198"/>
      <c r="EO573" s="198"/>
      <c r="EP573" s="198"/>
      <c r="EQ573" s="198"/>
      <c r="ER573" s="198"/>
      <c r="ES573" s="198"/>
      <c r="ET573" s="198"/>
      <c r="EU573" s="198"/>
      <c r="EV573" s="198"/>
      <c r="EW573" s="198"/>
      <c r="EX573" s="198"/>
      <c r="EY573" s="198"/>
      <c r="EZ573" s="198"/>
      <c r="FA573" s="198"/>
      <c r="FB573" s="198"/>
      <c r="FC573" s="198"/>
      <c r="FD573" s="198"/>
      <c r="FE573" s="198"/>
      <c r="FF573" s="198"/>
      <c r="FG573" s="198"/>
      <c r="FH573" s="198"/>
      <c r="FI573" s="198"/>
      <c r="FJ573" s="198"/>
      <c r="FK573" s="198"/>
      <c r="FL573" s="198"/>
      <c r="FM573" s="198"/>
      <c r="FN573" s="198"/>
      <c r="FO573" s="198"/>
      <c r="FP573" s="198"/>
      <c r="FQ573" s="198"/>
      <c r="FR573" s="198"/>
      <c r="FS573" s="198"/>
      <c r="FT573" s="198"/>
      <c r="FU573" s="198"/>
      <c r="FV573" s="198"/>
      <c r="FW573" s="198"/>
      <c r="FX573" s="198"/>
      <c r="FY573" s="198"/>
      <c r="FZ573" s="198"/>
      <c r="GA573" s="198"/>
      <c r="GB573" s="198"/>
      <c r="GC573" s="198"/>
      <c r="GD573" s="198"/>
      <c r="GE573" s="198"/>
    </row>
    <row r="574" spans="3:187" ht="12.75" customHeight="1">
      <c r="C574" s="169"/>
      <c r="D574" s="169"/>
      <c r="E574" s="169"/>
      <c r="F574" s="169"/>
      <c r="G574" s="169"/>
      <c r="H574" s="169"/>
      <c r="I574" s="169"/>
      <c r="J574" s="169"/>
      <c r="K574" s="169"/>
      <c r="L574" s="169"/>
      <c r="M574" s="169"/>
      <c r="N574" s="169"/>
      <c r="O574" s="169"/>
      <c r="P574" s="169"/>
      <c r="Q574" s="169"/>
      <c r="R574" s="169"/>
      <c r="S574" s="169"/>
      <c r="T574" s="169"/>
      <c r="U574" s="169"/>
      <c r="V574" s="169"/>
      <c r="W574" s="169"/>
      <c r="X574" s="169"/>
      <c r="Y574" s="169"/>
      <c r="Z574" s="169"/>
      <c r="AA574" s="169"/>
      <c r="AB574" s="169"/>
      <c r="AC574" s="169"/>
      <c r="AD574" s="169"/>
      <c r="AE574" s="169"/>
      <c r="AF574" s="169"/>
      <c r="AG574" s="169"/>
      <c r="AH574" s="169"/>
      <c r="AI574" s="169"/>
      <c r="AJ574" s="169"/>
      <c r="AK574" s="169"/>
      <c r="AL574" s="169"/>
      <c r="AM574" s="169"/>
      <c r="AN574" s="169"/>
      <c r="AO574" s="169"/>
      <c r="AP574" s="169"/>
      <c r="AQ574" s="169"/>
      <c r="AR574" s="169"/>
      <c r="AS574" s="169"/>
      <c r="AT574" s="169"/>
      <c r="AU574" s="169"/>
      <c r="AV574" s="169"/>
      <c r="AW574" s="169"/>
      <c r="AX574" s="169"/>
      <c r="AY574" s="169"/>
      <c r="AZ574" s="169"/>
      <c r="BA574" s="169"/>
      <c r="BB574" s="169"/>
      <c r="BC574" s="169"/>
      <c r="BD574" s="169"/>
      <c r="BE574" s="169"/>
      <c r="BF574" s="169"/>
      <c r="BG574" s="169"/>
      <c r="BH574" s="169"/>
      <c r="BI574" s="169"/>
      <c r="BJ574" s="169"/>
      <c r="BK574" s="169"/>
      <c r="BL574" s="169"/>
      <c r="BM574" s="169"/>
      <c r="BN574" s="169"/>
      <c r="BO574" s="169"/>
      <c r="BP574" s="169"/>
      <c r="BQ574" s="169"/>
      <c r="BR574" s="169"/>
      <c r="BS574" s="169"/>
      <c r="BT574" s="169"/>
      <c r="BU574" s="169"/>
      <c r="BV574" s="169"/>
      <c r="BW574" s="169"/>
      <c r="BX574" s="169"/>
      <c r="BY574" s="169"/>
      <c r="BZ574" s="169"/>
      <c r="CA574" s="169"/>
      <c r="CB574" s="169"/>
      <c r="CC574" s="169"/>
      <c r="CD574" s="169"/>
      <c r="CE574" s="169"/>
      <c r="CF574" s="169"/>
      <c r="CG574" s="169"/>
      <c r="CH574" s="169"/>
      <c r="CI574" s="169"/>
      <c r="CJ574" s="169"/>
      <c r="CK574" s="169"/>
      <c r="CL574" s="169"/>
      <c r="CM574" s="169"/>
      <c r="CN574" s="169"/>
      <c r="CO574" s="169"/>
      <c r="CP574" s="169"/>
      <c r="CQ574" s="169"/>
      <c r="CR574" s="169"/>
      <c r="CS574" s="169"/>
      <c r="CT574" s="169"/>
      <c r="CU574" s="169"/>
      <c r="CV574" s="169"/>
      <c r="CW574" s="169"/>
      <c r="CX574" s="169"/>
      <c r="CY574" s="169"/>
      <c r="CZ574" s="169"/>
      <c r="DA574" s="169"/>
      <c r="DB574" s="169"/>
      <c r="DC574" s="169"/>
      <c r="DD574" s="169"/>
      <c r="DE574" s="169"/>
      <c r="DF574" s="169"/>
      <c r="DG574" s="169"/>
      <c r="DH574" s="169"/>
      <c r="DI574" s="169"/>
      <c r="DJ574" s="169"/>
      <c r="DK574" s="169"/>
      <c r="DL574" s="169"/>
      <c r="DM574" s="169"/>
      <c r="DN574" s="169"/>
      <c r="DO574" s="169"/>
      <c r="DP574" s="169"/>
      <c r="DQ574" s="169"/>
      <c r="DR574" s="169"/>
      <c r="DS574" s="169"/>
      <c r="DT574" s="169"/>
      <c r="DU574" s="169"/>
      <c r="DV574" s="169"/>
      <c r="DW574" s="169"/>
      <c r="DX574" s="169"/>
      <c r="DY574" s="169"/>
      <c r="DZ574" s="169"/>
      <c r="EA574" s="169"/>
      <c r="EB574" s="169"/>
      <c r="EC574" s="169"/>
      <c r="ED574" s="169"/>
      <c r="EE574" s="169"/>
      <c r="EF574" s="169"/>
      <c r="EG574" s="169"/>
      <c r="EH574" s="169"/>
      <c r="EI574" s="169"/>
      <c r="EJ574" s="169"/>
      <c r="EK574" s="169"/>
      <c r="EL574" s="169"/>
      <c r="EM574" s="169"/>
      <c r="EN574" s="169"/>
      <c r="EO574" s="169"/>
      <c r="EP574" s="169"/>
      <c r="EQ574" s="169"/>
      <c r="ER574" s="169"/>
      <c r="ES574" s="169"/>
      <c r="ET574" s="169"/>
      <c r="EU574" s="169"/>
      <c r="EV574" s="169"/>
      <c r="EW574" s="169"/>
      <c r="EX574" s="169"/>
      <c r="EY574" s="169"/>
      <c r="EZ574" s="169"/>
      <c r="FA574" s="169"/>
      <c r="FB574" s="169"/>
      <c r="FC574" s="169"/>
      <c r="FD574" s="169"/>
      <c r="FE574" s="169"/>
      <c r="FF574" s="169"/>
      <c r="FG574" s="169"/>
      <c r="FH574" s="169"/>
      <c r="FI574" s="169"/>
      <c r="FJ574" s="169"/>
      <c r="FK574" s="169"/>
      <c r="FL574" s="169"/>
      <c r="FM574" s="169"/>
      <c r="FN574" s="169"/>
      <c r="FO574" s="169"/>
      <c r="FP574" s="169"/>
      <c r="FQ574" s="169"/>
      <c r="FR574" s="169"/>
      <c r="FS574" s="169"/>
      <c r="FT574" s="169"/>
      <c r="FU574" s="169"/>
      <c r="FV574" s="169"/>
      <c r="FW574" s="169"/>
      <c r="FX574" s="169"/>
      <c r="FY574" s="169"/>
      <c r="FZ574" s="169"/>
      <c r="GA574" s="169"/>
      <c r="GB574" s="169"/>
      <c r="GC574" s="169"/>
      <c r="GD574" s="169"/>
      <c r="GE574" s="169"/>
    </row>
    <row r="575" spans="3:187" ht="12.75" customHeight="1">
      <c r="C575" s="169"/>
      <c r="D575" s="169"/>
      <c r="E575" s="169"/>
      <c r="F575" s="169"/>
      <c r="G575" s="169"/>
      <c r="H575" s="169"/>
      <c r="I575" s="169"/>
      <c r="J575" s="169"/>
      <c r="K575" s="169"/>
      <c r="L575" s="169"/>
      <c r="M575" s="169"/>
      <c r="N575" s="169"/>
      <c r="O575" s="169"/>
      <c r="P575" s="169"/>
      <c r="Q575" s="169"/>
      <c r="R575" s="169"/>
      <c r="S575" s="169"/>
      <c r="T575" s="169"/>
      <c r="U575" s="169"/>
      <c r="V575" s="169"/>
      <c r="W575" s="169"/>
      <c r="X575" s="169"/>
      <c r="Y575" s="169"/>
      <c r="Z575" s="169"/>
      <c r="AA575" s="169"/>
      <c r="AB575" s="169"/>
      <c r="AC575" s="169"/>
      <c r="AD575" s="169"/>
      <c r="AE575" s="169"/>
      <c r="AF575" s="169"/>
      <c r="AG575" s="169"/>
      <c r="AH575" s="169"/>
      <c r="AI575" s="169"/>
      <c r="AJ575" s="169"/>
      <c r="AK575" s="169"/>
      <c r="AL575" s="169"/>
      <c r="AM575" s="169"/>
      <c r="AN575" s="169"/>
      <c r="AO575" s="169"/>
      <c r="AP575" s="169"/>
      <c r="AQ575" s="169"/>
      <c r="AR575" s="169"/>
      <c r="AS575" s="169"/>
      <c r="AT575" s="169"/>
      <c r="AU575" s="169"/>
      <c r="AV575" s="169"/>
      <c r="AW575" s="169"/>
      <c r="AX575" s="169"/>
      <c r="AY575" s="169"/>
      <c r="AZ575" s="169"/>
      <c r="BA575" s="169"/>
      <c r="BB575" s="169"/>
      <c r="BC575" s="169"/>
      <c r="BD575" s="169"/>
      <c r="BE575" s="169"/>
      <c r="BF575" s="169"/>
      <c r="BG575" s="169"/>
      <c r="BH575" s="169"/>
      <c r="BI575" s="169"/>
      <c r="BJ575" s="169"/>
      <c r="BK575" s="169"/>
      <c r="BL575" s="169"/>
      <c r="BM575" s="169"/>
      <c r="BN575" s="169"/>
      <c r="BO575" s="169"/>
      <c r="BP575" s="169"/>
      <c r="BQ575" s="169"/>
      <c r="BR575" s="169"/>
      <c r="BS575" s="169"/>
      <c r="BT575" s="169"/>
      <c r="BU575" s="169"/>
      <c r="BV575" s="169"/>
      <c r="BW575" s="169"/>
      <c r="BX575" s="169"/>
      <c r="BY575" s="169"/>
      <c r="BZ575" s="169"/>
      <c r="CA575" s="169"/>
      <c r="CB575" s="169"/>
      <c r="CC575" s="169"/>
      <c r="CD575" s="169"/>
      <c r="CE575" s="169"/>
      <c r="CF575" s="169"/>
      <c r="CG575" s="169"/>
      <c r="CH575" s="169"/>
      <c r="CI575" s="169"/>
      <c r="CJ575" s="169"/>
      <c r="CK575" s="169"/>
      <c r="CL575" s="169"/>
      <c r="CM575" s="169"/>
      <c r="CN575" s="169"/>
      <c r="CO575" s="169"/>
      <c r="CP575" s="169"/>
      <c r="CQ575" s="169"/>
      <c r="CR575" s="169"/>
      <c r="CS575" s="169"/>
      <c r="CT575" s="169"/>
      <c r="CU575" s="169"/>
      <c r="CV575" s="169"/>
      <c r="CW575" s="169"/>
      <c r="CX575" s="169"/>
      <c r="CY575" s="169"/>
      <c r="CZ575" s="169"/>
      <c r="DA575" s="169"/>
      <c r="DB575" s="169"/>
      <c r="DC575" s="169"/>
      <c r="DD575" s="169"/>
      <c r="DE575" s="169"/>
      <c r="DF575" s="169"/>
      <c r="DG575" s="169"/>
      <c r="DH575" s="169"/>
      <c r="DI575" s="169"/>
      <c r="DJ575" s="169"/>
      <c r="DK575" s="169"/>
      <c r="DL575" s="169"/>
      <c r="DM575" s="169"/>
      <c r="DN575" s="169"/>
      <c r="DO575" s="169"/>
      <c r="DP575" s="169"/>
      <c r="DQ575" s="169"/>
      <c r="DR575" s="169"/>
      <c r="DS575" s="169"/>
      <c r="DT575" s="169"/>
      <c r="DU575" s="169"/>
      <c r="DV575" s="169"/>
      <c r="DW575" s="169"/>
      <c r="DX575" s="169"/>
      <c r="DY575" s="169"/>
      <c r="DZ575" s="169"/>
      <c r="EA575" s="169"/>
      <c r="EB575" s="169"/>
      <c r="EC575" s="169"/>
      <c r="ED575" s="169"/>
      <c r="EE575" s="169"/>
      <c r="EF575" s="169"/>
      <c r="EG575" s="169"/>
      <c r="EH575" s="169"/>
      <c r="EI575" s="169"/>
      <c r="EJ575" s="169"/>
      <c r="EK575" s="169"/>
      <c r="EL575" s="169"/>
      <c r="EM575" s="169"/>
      <c r="EN575" s="169"/>
      <c r="EO575" s="169"/>
      <c r="EP575" s="169"/>
      <c r="EQ575" s="169"/>
      <c r="ER575" s="169"/>
      <c r="ES575" s="169"/>
      <c r="ET575" s="169"/>
      <c r="EU575" s="169"/>
      <c r="EV575" s="169"/>
      <c r="EW575" s="169"/>
      <c r="EX575" s="169"/>
      <c r="EY575" s="169"/>
      <c r="EZ575" s="169"/>
      <c r="FA575" s="169"/>
      <c r="FB575" s="169"/>
      <c r="FC575" s="169"/>
      <c r="FD575" s="169"/>
      <c r="FE575" s="169"/>
      <c r="FF575" s="169"/>
      <c r="FG575" s="169"/>
      <c r="FH575" s="169"/>
      <c r="FI575" s="169"/>
      <c r="FJ575" s="169"/>
      <c r="FK575" s="169"/>
      <c r="FL575" s="169"/>
      <c r="FM575" s="169"/>
      <c r="FN575" s="169"/>
      <c r="FO575" s="169"/>
      <c r="FP575" s="169"/>
      <c r="FQ575" s="169"/>
      <c r="FR575" s="169"/>
      <c r="FS575" s="169"/>
      <c r="FT575" s="169"/>
      <c r="FU575" s="169"/>
      <c r="FV575" s="169"/>
      <c r="FW575" s="169"/>
      <c r="FX575" s="169"/>
      <c r="FY575" s="169"/>
      <c r="FZ575" s="169"/>
      <c r="GA575" s="169"/>
      <c r="GB575" s="169"/>
      <c r="GC575" s="169"/>
      <c r="GD575" s="169"/>
      <c r="GE575" s="169"/>
    </row>
    <row r="576" spans="3:187" ht="12.75" customHeight="1">
      <c r="C576" s="169"/>
      <c r="D576" s="169"/>
      <c r="E576" s="169"/>
      <c r="F576" s="169"/>
      <c r="G576" s="169"/>
      <c r="H576" s="169"/>
      <c r="I576" s="169"/>
      <c r="J576" s="169"/>
      <c r="K576" s="169"/>
      <c r="L576" s="169"/>
      <c r="M576" s="169"/>
      <c r="N576" s="169"/>
      <c r="O576" s="169"/>
      <c r="P576" s="169"/>
      <c r="Q576" s="169"/>
      <c r="R576" s="169"/>
      <c r="S576" s="169"/>
      <c r="T576" s="169"/>
      <c r="U576" s="169"/>
      <c r="V576" s="169"/>
      <c r="W576" s="169"/>
      <c r="X576" s="169"/>
      <c r="Y576" s="169"/>
      <c r="Z576" s="169"/>
      <c r="AA576" s="169"/>
      <c r="AB576" s="169"/>
      <c r="AC576" s="169"/>
      <c r="AD576" s="169"/>
      <c r="AE576" s="169"/>
      <c r="AF576" s="169"/>
      <c r="AG576" s="169"/>
      <c r="AH576" s="169"/>
      <c r="AI576" s="169"/>
      <c r="AJ576" s="169"/>
      <c r="AK576" s="169"/>
      <c r="AL576" s="169"/>
      <c r="AM576" s="169"/>
      <c r="AN576" s="169"/>
      <c r="AO576" s="169"/>
      <c r="AP576" s="169"/>
      <c r="AQ576" s="169"/>
      <c r="AR576" s="169"/>
      <c r="AS576" s="169"/>
      <c r="AT576" s="169"/>
      <c r="AU576" s="169"/>
      <c r="AV576" s="169"/>
      <c r="AW576" s="169"/>
      <c r="AX576" s="169"/>
      <c r="AY576" s="169"/>
      <c r="AZ576" s="169"/>
      <c r="BA576" s="169"/>
      <c r="BB576" s="169"/>
      <c r="BC576" s="169"/>
      <c r="BD576" s="169"/>
      <c r="BE576" s="169"/>
      <c r="BF576" s="169"/>
      <c r="BG576" s="169"/>
      <c r="BH576" s="169"/>
      <c r="BI576" s="169"/>
      <c r="BJ576" s="169"/>
      <c r="BK576" s="169"/>
      <c r="BL576" s="169"/>
      <c r="BM576" s="169"/>
      <c r="BN576" s="169"/>
      <c r="BO576" s="169"/>
      <c r="BP576" s="169"/>
      <c r="BQ576" s="169"/>
      <c r="BR576" s="169"/>
      <c r="BS576" s="169"/>
      <c r="BT576" s="169"/>
      <c r="BU576" s="169"/>
      <c r="BV576" s="169"/>
      <c r="BW576" s="169"/>
      <c r="BX576" s="169"/>
      <c r="BY576" s="169"/>
      <c r="BZ576" s="169"/>
      <c r="CA576" s="169"/>
      <c r="CB576" s="169"/>
      <c r="CC576" s="169"/>
      <c r="CD576" s="169"/>
      <c r="CE576" s="169"/>
      <c r="CF576" s="169"/>
      <c r="CG576" s="169"/>
      <c r="CH576" s="169"/>
      <c r="CI576" s="169"/>
      <c r="CJ576" s="169"/>
      <c r="CK576" s="169"/>
      <c r="CL576" s="169"/>
      <c r="CM576" s="169"/>
      <c r="CN576" s="169"/>
      <c r="CO576" s="169"/>
      <c r="CP576" s="169"/>
      <c r="CQ576" s="169"/>
      <c r="CR576" s="169"/>
      <c r="CS576" s="169"/>
      <c r="CT576" s="169"/>
      <c r="CU576" s="169"/>
      <c r="CV576" s="169"/>
      <c r="CW576" s="169"/>
      <c r="CX576" s="169"/>
      <c r="CY576" s="169"/>
      <c r="CZ576" s="169"/>
      <c r="DA576" s="169"/>
      <c r="DB576" s="169"/>
      <c r="DC576" s="169"/>
      <c r="DD576" s="169"/>
      <c r="DE576" s="169"/>
      <c r="DF576" s="169"/>
      <c r="DG576" s="169"/>
      <c r="DH576" s="169"/>
      <c r="DI576" s="169"/>
      <c r="DJ576" s="169"/>
      <c r="DK576" s="169"/>
      <c r="DL576" s="169"/>
      <c r="DM576" s="169"/>
      <c r="DN576" s="169"/>
      <c r="DO576" s="169"/>
      <c r="DP576" s="169"/>
      <c r="DQ576" s="169"/>
      <c r="DR576" s="169"/>
      <c r="DS576" s="169"/>
      <c r="DT576" s="169"/>
      <c r="DU576" s="169"/>
      <c r="DV576" s="169"/>
      <c r="DW576" s="169"/>
      <c r="DX576" s="169"/>
      <c r="DY576" s="169"/>
      <c r="DZ576" s="169"/>
      <c r="EA576" s="169"/>
      <c r="EB576" s="169"/>
      <c r="EC576" s="169"/>
      <c r="ED576" s="169"/>
      <c r="EE576" s="169"/>
      <c r="EF576" s="169"/>
      <c r="EG576" s="169"/>
      <c r="EH576" s="169"/>
      <c r="EI576" s="169"/>
      <c r="EJ576" s="169"/>
      <c r="EK576" s="169"/>
      <c r="EL576" s="169"/>
      <c r="EM576" s="169"/>
      <c r="EN576" s="169"/>
      <c r="EO576" s="169"/>
      <c r="EP576" s="169"/>
      <c r="EQ576" s="169"/>
      <c r="ER576" s="169"/>
      <c r="ES576" s="169"/>
      <c r="ET576" s="169"/>
      <c r="EU576" s="169"/>
      <c r="EV576" s="169"/>
      <c r="EW576" s="169"/>
      <c r="EX576" s="169"/>
      <c r="EY576" s="169"/>
      <c r="EZ576" s="169"/>
      <c r="FA576" s="169"/>
      <c r="FB576" s="169"/>
      <c r="FC576" s="169"/>
      <c r="FD576" s="169"/>
      <c r="FE576" s="169"/>
      <c r="FF576" s="169"/>
      <c r="FG576" s="169"/>
      <c r="FH576" s="169"/>
      <c r="FI576" s="169"/>
      <c r="FJ576" s="169"/>
      <c r="FK576" s="169"/>
      <c r="FL576" s="169"/>
      <c r="FM576" s="169"/>
      <c r="FN576" s="169"/>
      <c r="FO576" s="169"/>
      <c r="FP576" s="169"/>
      <c r="FQ576" s="169"/>
      <c r="FR576" s="169"/>
      <c r="FS576" s="169"/>
      <c r="FT576" s="169"/>
      <c r="FU576" s="169"/>
      <c r="FV576" s="169"/>
      <c r="FW576" s="169"/>
      <c r="FX576" s="169"/>
      <c r="FY576" s="169"/>
      <c r="FZ576" s="169"/>
      <c r="GA576" s="169"/>
      <c r="GB576" s="169"/>
      <c r="GC576" s="169"/>
      <c r="GD576" s="169"/>
      <c r="GE576" s="169"/>
    </row>
    <row r="577" spans="3:187" ht="12.75" customHeight="1">
      <c r="C577" s="169"/>
      <c r="D577" s="169"/>
      <c r="E577" s="169"/>
      <c r="F577" s="169"/>
      <c r="G577" s="169"/>
      <c r="H577" s="169"/>
      <c r="I577" s="169"/>
      <c r="J577" s="169"/>
      <c r="K577" s="169"/>
      <c r="L577" s="169"/>
      <c r="M577" s="169"/>
      <c r="N577" s="169"/>
      <c r="O577" s="169"/>
      <c r="P577" s="169"/>
      <c r="Q577" s="169"/>
      <c r="R577" s="169"/>
      <c r="S577" s="169"/>
      <c r="T577" s="169"/>
      <c r="U577" s="169"/>
      <c r="V577" s="169"/>
      <c r="W577" s="169"/>
      <c r="X577" s="169"/>
      <c r="Y577" s="169"/>
      <c r="Z577" s="169"/>
      <c r="AA577" s="169"/>
      <c r="AB577" s="169"/>
      <c r="AC577" s="169"/>
      <c r="AD577" s="169"/>
      <c r="AE577" s="169"/>
      <c r="AF577" s="169"/>
      <c r="AG577" s="169"/>
      <c r="AH577" s="169"/>
      <c r="AI577" s="169"/>
      <c r="AJ577" s="169"/>
      <c r="AK577" s="169"/>
      <c r="AL577" s="169"/>
      <c r="AM577" s="169"/>
      <c r="AN577" s="169"/>
      <c r="AO577" s="169"/>
      <c r="AP577" s="169"/>
      <c r="AQ577" s="169"/>
      <c r="AR577" s="169"/>
      <c r="AS577" s="169"/>
      <c r="AT577" s="169"/>
      <c r="AU577" s="169"/>
      <c r="AV577" s="169"/>
      <c r="AW577" s="169"/>
      <c r="AX577" s="169"/>
      <c r="AY577" s="169"/>
      <c r="AZ577" s="169"/>
      <c r="BA577" s="169"/>
      <c r="BB577" s="169"/>
      <c r="BC577" s="169"/>
      <c r="BD577" s="169"/>
      <c r="BE577" s="169"/>
      <c r="BF577" s="169"/>
      <c r="BG577" s="169"/>
      <c r="BH577" s="169"/>
      <c r="BI577" s="169"/>
      <c r="BJ577" s="169"/>
      <c r="BK577" s="169"/>
      <c r="BL577" s="169"/>
      <c r="BM577" s="169"/>
      <c r="BN577" s="169"/>
      <c r="BO577" s="169"/>
      <c r="BP577" s="169"/>
      <c r="BQ577" s="169"/>
      <c r="BR577" s="169"/>
      <c r="BS577" s="169"/>
      <c r="BT577" s="169"/>
      <c r="BU577" s="169"/>
      <c r="BV577" s="169"/>
      <c r="BW577" s="169"/>
      <c r="BX577" s="169"/>
      <c r="BY577" s="169"/>
      <c r="BZ577" s="169"/>
      <c r="CA577" s="169"/>
      <c r="CB577" s="169"/>
      <c r="CC577" s="169"/>
      <c r="CD577" s="169"/>
      <c r="CE577" s="169"/>
      <c r="CF577" s="169"/>
      <c r="CG577" s="169"/>
      <c r="CH577" s="169"/>
      <c r="CI577" s="169"/>
      <c r="CJ577" s="169"/>
      <c r="CK577" s="169"/>
      <c r="CL577" s="169"/>
      <c r="CM577" s="169"/>
      <c r="CN577" s="169"/>
      <c r="CO577" s="169"/>
      <c r="CP577" s="169"/>
      <c r="CQ577" s="169"/>
      <c r="CR577" s="169"/>
      <c r="CS577" s="169"/>
      <c r="CT577" s="169"/>
      <c r="CU577" s="169"/>
      <c r="CV577" s="169"/>
      <c r="CW577" s="169"/>
      <c r="CX577" s="169"/>
      <c r="CY577" s="169"/>
      <c r="CZ577" s="169"/>
      <c r="DA577" s="169"/>
      <c r="DB577" s="169"/>
      <c r="DC577" s="169"/>
      <c r="DD577" s="169"/>
      <c r="DE577" s="169"/>
      <c r="DF577" s="169"/>
      <c r="DG577" s="169"/>
      <c r="DH577" s="169"/>
      <c r="DI577" s="169"/>
      <c r="DJ577" s="169"/>
      <c r="DK577" s="169"/>
      <c r="DL577" s="169"/>
      <c r="DM577" s="169"/>
      <c r="DN577" s="169"/>
      <c r="DO577" s="169"/>
      <c r="DP577" s="169"/>
      <c r="DQ577" s="169"/>
      <c r="DR577" s="169"/>
      <c r="DS577" s="169"/>
      <c r="DT577" s="169"/>
      <c r="DU577" s="169"/>
      <c r="DV577" s="169"/>
      <c r="DW577" s="169"/>
      <c r="DX577" s="169"/>
      <c r="DY577" s="169"/>
      <c r="DZ577" s="169"/>
      <c r="EA577" s="169"/>
      <c r="EB577" s="169"/>
      <c r="EC577" s="169"/>
      <c r="ED577" s="169"/>
      <c r="EE577" s="169"/>
      <c r="EF577" s="169"/>
      <c r="EG577" s="169"/>
      <c r="EH577" s="169"/>
      <c r="EI577" s="169"/>
      <c r="EJ577" s="169"/>
      <c r="EK577" s="169"/>
      <c r="EL577" s="169"/>
      <c r="EM577" s="169"/>
      <c r="EN577" s="169"/>
      <c r="EO577" s="169"/>
      <c r="EP577" s="169"/>
      <c r="EQ577" s="169"/>
      <c r="ER577" s="169"/>
      <c r="ES577" s="169"/>
      <c r="ET577" s="169"/>
      <c r="EU577" s="169"/>
      <c r="EV577" s="169"/>
      <c r="EW577" s="169"/>
      <c r="EX577" s="169"/>
      <c r="EY577" s="169"/>
      <c r="EZ577" s="169"/>
      <c r="FA577" s="169"/>
      <c r="FB577" s="169"/>
      <c r="FC577" s="169"/>
      <c r="FD577" s="169"/>
      <c r="FE577" s="169"/>
      <c r="FF577" s="169"/>
      <c r="FG577" s="169"/>
      <c r="FH577" s="169"/>
      <c r="FI577" s="169"/>
      <c r="FJ577" s="169"/>
      <c r="FK577" s="169"/>
      <c r="FL577" s="169"/>
      <c r="FM577" s="169"/>
      <c r="FN577" s="169"/>
      <c r="FO577" s="169"/>
      <c r="FP577" s="169"/>
      <c r="FQ577" s="169"/>
      <c r="FR577" s="169"/>
      <c r="FS577" s="169"/>
      <c r="FT577" s="169"/>
      <c r="FU577" s="169"/>
      <c r="FV577" s="169"/>
      <c r="FW577" s="169"/>
      <c r="FX577" s="169"/>
      <c r="FY577" s="169"/>
      <c r="FZ577" s="169"/>
      <c r="GA577" s="169"/>
      <c r="GB577" s="169"/>
      <c r="GC577" s="169"/>
      <c r="GD577" s="169"/>
      <c r="GE577" s="169"/>
    </row>
    <row r="578" spans="3:187" ht="12.75" customHeight="1">
      <c r="C578" s="220"/>
      <c r="D578" s="169"/>
      <c r="E578" s="169"/>
      <c r="F578" s="169"/>
      <c r="G578" s="169"/>
      <c r="H578" s="220"/>
      <c r="I578" s="169"/>
      <c r="J578" s="169"/>
      <c r="K578" s="169"/>
      <c r="L578" s="169"/>
      <c r="M578" s="220"/>
      <c r="N578" s="169"/>
      <c r="O578" s="169"/>
      <c r="P578" s="169"/>
      <c r="Q578" s="169"/>
      <c r="R578" s="220"/>
      <c r="S578" s="169"/>
      <c r="T578" s="169"/>
      <c r="U578" s="169"/>
      <c r="V578" s="169"/>
      <c r="W578" s="220"/>
      <c r="X578" s="169"/>
      <c r="Y578" s="169"/>
      <c r="Z578" s="169"/>
      <c r="AA578" s="169"/>
      <c r="AB578" s="220"/>
      <c r="AC578" s="169"/>
      <c r="AD578" s="169"/>
      <c r="AE578" s="169"/>
      <c r="AF578" s="169"/>
      <c r="AG578" s="220"/>
      <c r="AH578" s="169"/>
      <c r="AI578" s="169"/>
      <c r="AJ578" s="169"/>
      <c r="AK578" s="169"/>
      <c r="AL578" s="220"/>
      <c r="AM578" s="169"/>
      <c r="AN578" s="169"/>
      <c r="AO578" s="169"/>
      <c r="AP578" s="169"/>
      <c r="AQ578" s="220"/>
      <c r="AR578" s="169"/>
      <c r="AS578" s="169"/>
      <c r="AT578" s="169"/>
      <c r="AU578" s="169"/>
      <c r="AV578" s="220"/>
      <c r="AW578" s="169"/>
      <c r="AX578" s="169"/>
      <c r="AY578" s="169"/>
      <c r="AZ578" s="169"/>
      <c r="BA578" s="220"/>
      <c r="BB578" s="169"/>
      <c r="BC578" s="169"/>
      <c r="BD578" s="169"/>
      <c r="BE578" s="169"/>
      <c r="BF578" s="220"/>
      <c r="BG578" s="169"/>
      <c r="BH578" s="169"/>
      <c r="BI578" s="169"/>
      <c r="BJ578" s="169"/>
      <c r="BK578" s="220"/>
      <c r="BL578" s="169"/>
      <c r="BM578" s="169"/>
      <c r="BN578" s="169"/>
      <c r="BO578" s="169"/>
      <c r="BP578" s="220"/>
      <c r="BQ578" s="169"/>
      <c r="BR578" s="169"/>
      <c r="BS578" s="169"/>
      <c r="BT578" s="169"/>
      <c r="BU578" s="220"/>
      <c r="BV578" s="169"/>
      <c r="BW578" s="169"/>
      <c r="BX578" s="169"/>
      <c r="BY578" s="169"/>
      <c r="BZ578" s="220"/>
      <c r="CA578" s="169"/>
      <c r="CB578" s="169"/>
      <c r="CC578" s="169"/>
      <c r="CD578" s="169"/>
      <c r="CE578" s="220"/>
      <c r="CF578" s="169"/>
      <c r="CG578" s="169"/>
      <c r="CH578" s="169"/>
      <c r="CI578" s="169"/>
      <c r="CJ578" s="220"/>
      <c r="CK578" s="169"/>
      <c r="CL578" s="169"/>
      <c r="CM578" s="169"/>
      <c r="CN578" s="169"/>
      <c r="CO578" s="220"/>
      <c r="CP578" s="169"/>
      <c r="CQ578" s="169"/>
      <c r="CR578" s="169"/>
      <c r="CS578" s="169"/>
      <c r="CT578" s="220"/>
      <c r="CU578" s="169"/>
      <c r="CV578" s="169"/>
      <c r="CW578" s="169"/>
      <c r="CX578" s="169"/>
      <c r="CY578" s="220"/>
      <c r="CZ578" s="169"/>
      <c r="DA578" s="169"/>
      <c r="DB578" s="169"/>
      <c r="DC578" s="169"/>
      <c r="DD578" s="220"/>
      <c r="DE578" s="169"/>
      <c r="DF578" s="169"/>
      <c r="DG578" s="169"/>
      <c r="DH578" s="169"/>
      <c r="DI578" s="220"/>
      <c r="DJ578" s="169"/>
      <c r="DK578" s="169"/>
      <c r="DL578" s="169"/>
      <c r="DM578" s="169"/>
      <c r="DN578" s="220"/>
      <c r="DO578" s="169"/>
      <c r="DP578" s="169"/>
      <c r="DQ578" s="169"/>
      <c r="DR578" s="169"/>
      <c r="DS578" s="220"/>
      <c r="DT578" s="169"/>
      <c r="DU578" s="169"/>
      <c r="DV578" s="169"/>
      <c r="DW578" s="169"/>
      <c r="DX578" s="220"/>
      <c r="DY578" s="169"/>
      <c r="DZ578" s="169"/>
      <c r="EA578" s="169"/>
      <c r="EB578" s="169"/>
      <c r="EC578" s="220"/>
      <c r="ED578" s="169"/>
      <c r="EE578" s="169"/>
      <c r="EF578" s="169"/>
      <c r="EG578" s="169"/>
      <c r="EH578" s="220"/>
      <c r="EI578" s="169"/>
      <c r="EJ578" s="169"/>
      <c r="EK578" s="169"/>
      <c r="EL578" s="169"/>
      <c r="EM578" s="220"/>
      <c r="EN578" s="169"/>
      <c r="EO578" s="169"/>
      <c r="EP578" s="169"/>
      <c r="EQ578" s="169"/>
      <c r="ER578" s="220"/>
      <c r="ES578" s="169"/>
      <c r="ET578" s="169"/>
      <c r="EU578" s="169"/>
      <c r="EV578" s="169"/>
      <c r="EW578" s="220"/>
      <c r="EX578" s="169"/>
      <c r="EY578" s="169"/>
      <c r="EZ578" s="169"/>
      <c r="FA578" s="169"/>
      <c r="FB578" s="220"/>
      <c r="FC578" s="169"/>
      <c r="FD578" s="169"/>
      <c r="FE578" s="169"/>
      <c r="FF578" s="169"/>
      <c r="FG578" s="220"/>
      <c r="FH578" s="169"/>
      <c r="FI578" s="169"/>
      <c r="FJ578" s="169"/>
      <c r="FK578" s="169"/>
      <c r="FL578" s="220"/>
      <c r="FM578" s="169"/>
      <c r="FN578" s="169"/>
      <c r="FO578" s="169"/>
      <c r="FP578" s="169"/>
      <c r="FQ578" s="220"/>
      <c r="FR578" s="169"/>
      <c r="FS578" s="169"/>
      <c r="FT578" s="169"/>
      <c r="FU578" s="169"/>
      <c r="FV578" s="220"/>
      <c r="FW578" s="169"/>
      <c r="FX578" s="169"/>
      <c r="FY578" s="169"/>
      <c r="FZ578" s="169"/>
      <c r="GA578" s="220"/>
      <c r="GB578" s="169"/>
      <c r="GC578" s="169"/>
      <c r="GD578" s="169"/>
      <c r="GE578" s="169"/>
    </row>
    <row r="579" spans="3:187" ht="12.75" customHeight="1">
      <c r="C579" s="220"/>
      <c r="D579" s="169"/>
      <c r="E579" s="169"/>
      <c r="F579" s="169"/>
      <c r="G579" s="169"/>
      <c r="H579" s="220"/>
      <c r="I579" s="169"/>
      <c r="J579" s="169"/>
      <c r="K579" s="169"/>
      <c r="L579" s="169"/>
      <c r="M579" s="220"/>
      <c r="N579" s="169"/>
      <c r="O579" s="169"/>
      <c r="P579" s="169"/>
      <c r="Q579" s="169"/>
      <c r="R579" s="220"/>
      <c r="S579" s="169"/>
      <c r="T579" s="169"/>
      <c r="U579" s="169"/>
      <c r="V579" s="169"/>
      <c r="W579" s="220"/>
      <c r="X579" s="169"/>
      <c r="Y579" s="169"/>
      <c r="Z579" s="169"/>
      <c r="AA579" s="169"/>
      <c r="AB579" s="220"/>
      <c r="AC579" s="169"/>
      <c r="AD579" s="169"/>
      <c r="AE579" s="169"/>
      <c r="AF579" s="169"/>
      <c r="AG579" s="220"/>
      <c r="AH579" s="169"/>
      <c r="AI579" s="169"/>
      <c r="AJ579" s="169"/>
      <c r="AK579" s="169"/>
      <c r="AL579" s="220"/>
      <c r="AM579" s="169"/>
      <c r="AN579" s="169"/>
      <c r="AO579" s="169"/>
      <c r="AP579" s="169"/>
      <c r="AQ579" s="220"/>
      <c r="AR579" s="169"/>
      <c r="AS579" s="169"/>
      <c r="AT579" s="169"/>
      <c r="AU579" s="169"/>
      <c r="AV579" s="220"/>
      <c r="AW579" s="169"/>
      <c r="AX579" s="169"/>
      <c r="AY579" s="169"/>
      <c r="AZ579" s="169"/>
      <c r="BA579" s="220"/>
      <c r="BB579" s="169"/>
      <c r="BC579" s="169"/>
      <c r="BD579" s="169"/>
      <c r="BE579" s="169"/>
      <c r="BF579" s="220"/>
      <c r="BG579" s="169"/>
      <c r="BH579" s="169"/>
      <c r="BI579" s="169"/>
      <c r="BJ579" s="169"/>
      <c r="BK579" s="220"/>
      <c r="BL579" s="169"/>
      <c r="BM579" s="169"/>
      <c r="BN579" s="169"/>
      <c r="BO579" s="169"/>
      <c r="BP579" s="220"/>
      <c r="BQ579" s="169"/>
      <c r="BR579" s="169"/>
      <c r="BS579" s="169"/>
      <c r="BT579" s="169"/>
      <c r="BU579" s="220"/>
      <c r="BV579" s="169"/>
      <c r="BW579" s="169"/>
      <c r="BX579" s="169"/>
      <c r="BY579" s="169"/>
      <c r="BZ579" s="220"/>
      <c r="CA579" s="169"/>
      <c r="CB579" s="169"/>
      <c r="CC579" s="169"/>
      <c r="CD579" s="169"/>
      <c r="CE579" s="220"/>
      <c r="CF579" s="169"/>
      <c r="CG579" s="169"/>
      <c r="CH579" s="169"/>
      <c r="CI579" s="169"/>
      <c r="CJ579" s="220"/>
      <c r="CK579" s="169"/>
      <c r="CL579" s="169"/>
      <c r="CM579" s="169"/>
      <c r="CN579" s="169"/>
      <c r="CO579" s="220"/>
      <c r="CP579" s="169"/>
      <c r="CQ579" s="169"/>
      <c r="CR579" s="169"/>
      <c r="CS579" s="169"/>
      <c r="CT579" s="220"/>
      <c r="CU579" s="169"/>
      <c r="CV579" s="169"/>
      <c r="CW579" s="169"/>
      <c r="CX579" s="169"/>
      <c r="CY579" s="220"/>
      <c r="CZ579" s="169"/>
      <c r="DA579" s="169"/>
      <c r="DB579" s="169"/>
      <c r="DC579" s="169"/>
      <c r="DD579" s="220"/>
      <c r="DE579" s="169"/>
      <c r="DF579" s="169"/>
      <c r="DG579" s="169"/>
      <c r="DH579" s="169"/>
      <c r="DI579" s="220"/>
      <c r="DJ579" s="169"/>
      <c r="DK579" s="169"/>
      <c r="DL579" s="169"/>
      <c r="DM579" s="169"/>
      <c r="DN579" s="220"/>
      <c r="DO579" s="169"/>
      <c r="DP579" s="169"/>
      <c r="DQ579" s="169"/>
      <c r="DR579" s="169"/>
      <c r="DS579" s="220"/>
      <c r="DT579" s="169"/>
      <c r="DU579" s="169"/>
      <c r="DV579" s="169"/>
      <c r="DW579" s="169"/>
      <c r="DX579" s="220"/>
      <c r="DY579" s="169"/>
      <c r="DZ579" s="169"/>
      <c r="EA579" s="169"/>
      <c r="EB579" s="169"/>
      <c r="EC579" s="220"/>
      <c r="ED579" s="169"/>
      <c r="EE579" s="169"/>
      <c r="EF579" s="169"/>
      <c r="EG579" s="169"/>
      <c r="EH579" s="220"/>
      <c r="EI579" s="169"/>
      <c r="EJ579" s="169"/>
      <c r="EK579" s="169"/>
      <c r="EL579" s="169"/>
      <c r="EM579" s="220"/>
      <c r="EN579" s="169"/>
      <c r="EO579" s="169"/>
      <c r="EP579" s="169"/>
      <c r="EQ579" s="169"/>
      <c r="ER579" s="220"/>
      <c r="ES579" s="169"/>
      <c r="ET579" s="169"/>
      <c r="EU579" s="169"/>
      <c r="EV579" s="169"/>
      <c r="EW579" s="220"/>
      <c r="EX579" s="169"/>
      <c r="EY579" s="169"/>
      <c r="EZ579" s="169"/>
      <c r="FA579" s="169"/>
      <c r="FB579" s="220"/>
      <c r="FC579" s="169"/>
      <c r="FD579" s="169"/>
      <c r="FE579" s="169"/>
      <c r="FF579" s="169"/>
      <c r="FG579" s="220"/>
      <c r="FH579" s="169"/>
      <c r="FI579" s="169"/>
      <c r="FJ579" s="169"/>
      <c r="FK579" s="169"/>
      <c r="FL579" s="220"/>
      <c r="FM579" s="169"/>
      <c r="FN579" s="169"/>
      <c r="FO579" s="169"/>
      <c r="FP579" s="169"/>
      <c r="FQ579" s="220"/>
      <c r="FR579" s="169"/>
      <c r="FS579" s="169"/>
      <c r="FT579" s="169"/>
      <c r="FU579" s="169"/>
      <c r="FV579" s="220"/>
      <c r="FW579" s="169"/>
      <c r="FX579" s="169"/>
      <c r="FY579" s="169"/>
      <c r="FZ579" s="169"/>
      <c r="GA579" s="220"/>
      <c r="GB579" s="169"/>
      <c r="GC579" s="169"/>
      <c r="GD579" s="169"/>
      <c r="GE579" s="169"/>
    </row>
    <row r="580" spans="3:187" ht="12.75" customHeight="1">
      <c r="C580" s="220"/>
      <c r="D580" s="169"/>
      <c r="E580" s="169"/>
      <c r="F580" s="169"/>
      <c r="G580" s="169"/>
      <c r="H580" s="220"/>
      <c r="I580" s="169"/>
      <c r="J580" s="169"/>
      <c r="K580" s="169"/>
      <c r="L580" s="169"/>
      <c r="M580" s="220"/>
      <c r="N580" s="169"/>
      <c r="O580" s="169"/>
      <c r="P580" s="169"/>
      <c r="Q580" s="169"/>
      <c r="R580" s="220"/>
      <c r="S580" s="169"/>
      <c r="T580" s="169"/>
      <c r="U580" s="169"/>
      <c r="V580" s="169"/>
      <c r="W580" s="220"/>
      <c r="X580" s="169"/>
      <c r="Y580" s="169"/>
      <c r="Z580" s="169"/>
      <c r="AA580" s="169"/>
      <c r="AB580" s="220"/>
      <c r="AC580" s="169"/>
      <c r="AD580" s="169"/>
      <c r="AE580" s="169"/>
      <c r="AF580" s="169"/>
      <c r="AG580" s="220"/>
      <c r="AH580" s="169"/>
      <c r="AI580" s="169"/>
      <c r="AJ580" s="169"/>
      <c r="AK580" s="169"/>
      <c r="AL580" s="220"/>
      <c r="AM580" s="169"/>
      <c r="AN580" s="169"/>
      <c r="AO580" s="169"/>
      <c r="AP580" s="169"/>
      <c r="AQ580" s="220"/>
      <c r="AR580" s="169"/>
      <c r="AS580" s="169"/>
      <c r="AT580" s="169"/>
      <c r="AU580" s="169"/>
      <c r="AV580" s="220"/>
      <c r="AW580" s="169"/>
      <c r="AX580" s="169"/>
      <c r="AY580" s="169"/>
      <c r="AZ580" s="169"/>
      <c r="BA580" s="220"/>
      <c r="BB580" s="169"/>
      <c r="BC580" s="169"/>
      <c r="BD580" s="169"/>
      <c r="BE580" s="169"/>
      <c r="BF580" s="220"/>
      <c r="BG580" s="169"/>
      <c r="BH580" s="169"/>
      <c r="BI580" s="169"/>
      <c r="BJ580" s="169"/>
      <c r="BK580" s="220"/>
      <c r="BL580" s="169"/>
      <c r="BM580" s="169"/>
      <c r="BN580" s="169"/>
      <c r="BO580" s="169"/>
      <c r="BP580" s="220"/>
      <c r="BQ580" s="169"/>
      <c r="BR580" s="169"/>
      <c r="BS580" s="169"/>
      <c r="BT580" s="169"/>
      <c r="BU580" s="220"/>
      <c r="BV580" s="169"/>
      <c r="BW580" s="169"/>
      <c r="BX580" s="169"/>
      <c r="BY580" s="169"/>
      <c r="BZ580" s="220"/>
      <c r="CA580" s="169"/>
      <c r="CB580" s="169"/>
      <c r="CC580" s="169"/>
      <c r="CD580" s="169"/>
      <c r="CE580" s="220"/>
      <c r="CF580" s="169"/>
      <c r="CG580" s="169"/>
      <c r="CH580" s="169"/>
      <c r="CI580" s="169"/>
      <c r="CJ580" s="220"/>
      <c r="CK580" s="169"/>
      <c r="CL580" s="169"/>
      <c r="CM580" s="169"/>
      <c r="CN580" s="169"/>
      <c r="CO580" s="220"/>
      <c r="CP580" s="169"/>
      <c r="CQ580" s="169"/>
      <c r="CR580" s="169"/>
      <c r="CS580" s="169"/>
      <c r="CT580" s="220"/>
      <c r="CU580" s="169"/>
      <c r="CV580" s="169"/>
      <c r="CW580" s="169"/>
      <c r="CX580" s="169"/>
      <c r="CY580" s="220"/>
      <c r="CZ580" s="169"/>
      <c r="DA580" s="169"/>
      <c r="DB580" s="169"/>
      <c r="DC580" s="169"/>
      <c r="DD580" s="220"/>
      <c r="DE580" s="169"/>
      <c r="DF580" s="169"/>
      <c r="DG580" s="169"/>
      <c r="DH580" s="169"/>
      <c r="DI580" s="220"/>
      <c r="DJ580" s="169"/>
      <c r="DK580" s="169"/>
      <c r="DL580" s="169"/>
      <c r="DM580" s="169"/>
      <c r="DN580" s="220"/>
      <c r="DO580" s="169"/>
      <c r="DP580" s="169"/>
      <c r="DQ580" s="169"/>
      <c r="DR580" s="169"/>
      <c r="DS580" s="220"/>
      <c r="DT580" s="169"/>
      <c r="DU580" s="169"/>
      <c r="DV580" s="169"/>
      <c r="DW580" s="169"/>
      <c r="DX580" s="220"/>
      <c r="DY580" s="169"/>
      <c r="DZ580" s="169"/>
      <c r="EA580" s="169"/>
      <c r="EB580" s="169"/>
      <c r="EC580" s="220"/>
      <c r="ED580" s="169"/>
      <c r="EE580" s="169"/>
      <c r="EF580" s="169"/>
      <c r="EG580" s="169"/>
      <c r="EH580" s="220"/>
      <c r="EI580" s="169"/>
      <c r="EJ580" s="169"/>
      <c r="EK580" s="169"/>
      <c r="EL580" s="169"/>
      <c r="EM580" s="220"/>
      <c r="EN580" s="169"/>
      <c r="EO580" s="169"/>
      <c r="EP580" s="169"/>
      <c r="EQ580" s="169"/>
      <c r="ER580" s="220"/>
      <c r="ES580" s="169"/>
      <c r="ET580" s="169"/>
      <c r="EU580" s="169"/>
      <c r="EV580" s="169"/>
      <c r="EW580" s="220"/>
      <c r="EX580" s="169"/>
      <c r="EY580" s="169"/>
      <c r="EZ580" s="169"/>
      <c r="FA580" s="169"/>
      <c r="FB580" s="220"/>
      <c r="FC580" s="169"/>
      <c r="FD580" s="169"/>
      <c r="FE580" s="169"/>
      <c r="FF580" s="169"/>
      <c r="FG580" s="220"/>
      <c r="FH580" s="169"/>
      <c r="FI580" s="169"/>
      <c r="FJ580" s="169"/>
      <c r="FK580" s="169"/>
      <c r="FL580" s="220"/>
      <c r="FM580" s="169"/>
      <c r="FN580" s="169"/>
      <c r="FO580" s="169"/>
      <c r="FP580" s="169"/>
      <c r="FQ580" s="220"/>
      <c r="FR580" s="169"/>
      <c r="FS580" s="169"/>
      <c r="FT580" s="169"/>
      <c r="FU580" s="169"/>
      <c r="FV580" s="220"/>
      <c r="FW580" s="169"/>
      <c r="FX580" s="169"/>
      <c r="FY580" s="169"/>
      <c r="FZ580" s="169"/>
      <c r="GA580" s="220"/>
      <c r="GB580" s="169"/>
      <c r="GC580" s="169"/>
      <c r="GD580" s="169"/>
      <c r="GE580" s="169"/>
    </row>
    <row r="581" spans="3:187" ht="12.75" customHeight="1">
      <c r="C581" s="220"/>
      <c r="D581" s="169"/>
      <c r="E581" s="169"/>
      <c r="F581" s="169"/>
      <c r="G581" s="169"/>
      <c r="H581" s="220"/>
      <c r="I581" s="169"/>
      <c r="J581" s="169"/>
      <c r="K581" s="169"/>
      <c r="L581" s="169"/>
      <c r="M581" s="220"/>
      <c r="N581" s="169"/>
      <c r="O581" s="169"/>
      <c r="P581" s="169"/>
      <c r="Q581" s="169"/>
      <c r="R581" s="220"/>
      <c r="S581" s="169"/>
      <c r="T581" s="169"/>
      <c r="U581" s="169"/>
      <c r="V581" s="169"/>
      <c r="W581" s="220"/>
      <c r="X581" s="169"/>
      <c r="Y581" s="169"/>
      <c r="Z581" s="169"/>
      <c r="AA581" s="169"/>
      <c r="AB581" s="220"/>
      <c r="AC581" s="169"/>
      <c r="AD581" s="169"/>
      <c r="AE581" s="169"/>
      <c r="AF581" s="169"/>
      <c r="AG581" s="220"/>
      <c r="AH581" s="169"/>
      <c r="AI581" s="169"/>
      <c r="AJ581" s="169"/>
      <c r="AK581" s="169"/>
      <c r="AL581" s="220"/>
      <c r="AM581" s="169"/>
      <c r="AN581" s="169"/>
      <c r="AO581" s="169"/>
      <c r="AP581" s="169"/>
      <c r="AQ581" s="220"/>
      <c r="AR581" s="169"/>
      <c r="AS581" s="169"/>
      <c r="AT581" s="169"/>
      <c r="AU581" s="169"/>
      <c r="AV581" s="220"/>
      <c r="AW581" s="169"/>
      <c r="AX581" s="169"/>
      <c r="AY581" s="169"/>
      <c r="AZ581" s="169"/>
      <c r="BA581" s="220"/>
      <c r="BB581" s="169"/>
      <c r="BC581" s="169"/>
      <c r="BD581" s="169"/>
      <c r="BE581" s="169"/>
      <c r="BF581" s="220"/>
      <c r="BG581" s="169"/>
      <c r="BH581" s="169"/>
      <c r="BI581" s="169"/>
      <c r="BJ581" s="169"/>
      <c r="BK581" s="220"/>
      <c r="BL581" s="169"/>
      <c r="BM581" s="169"/>
      <c r="BN581" s="169"/>
      <c r="BO581" s="169"/>
      <c r="BP581" s="220"/>
      <c r="BQ581" s="169"/>
      <c r="BR581" s="169"/>
      <c r="BS581" s="169"/>
      <c r="BT581" s="169"/>
      <c r="BU581" s="220"/>
      <c r="BV581" s="169"/>
      <c r="BW581" s="169"/>
      <c r="BX581" s="169"/>
      <c r="BY581" s="169"/>
      <c r="BZ581" s="220"/>
      <c r="CA581" s="169"/>
      <c r="CB581" s="169"/>
      <c r="CC581" s="169"/>
      <c r="CD581" s="169"/>
      <c r="CE581" s="220"/>
      <c r="CF581" s="169"/>
      <c r="CG581" s="169"/>
      <c r="CH581" s="169"/>
      <c r="CI581" s="169"/>
      <c r="CJ581" s="220"/>
      <c r="CK581" s="169"/>
      <c r="CL581" s="169"/>
      <c r="CM581" s="169"/>
      <c r="CN581" s="169"/>
      <c r="CO581" s="220"/>
      <c r="CP581" s="169"/>
      <c r="CQ581" s="169"/>
      <c r="CR581" s="169"/>
      <c r="CS581" s="169"/>
      <c r="CT581" s="220"/>
      <c r="CU581" s="169"/>
      <c r="CV581" s="169"/>
      <c r="CW581" s="169"/>
      <c r="CX581" s="169"/>
      <c r="CY581" s="220"/>
      <c r="CZ581" s="169"/>
      <c r="DA581" s="169"/>
      <c r="DB581" s="169"/>
      <c r="DC581" s="169"/>
      <c r="DD581" s="220"/>
      <c r="DE581" s="169"/>
      <c r="DF581" s="169"/>
      <c r="DG581" s="169"/>
      <c r="DH581" s="169"/>
      <c r="DI581" s="220"/>
      <c r="DJ581" s="169"/>
      <c r="DK581" s="169"/>
      <c r="DL581" s="169"/>
      <c r="DM581" s="169"/>
      <c r="DN581" s="220"/>
      <c r="DO581" s="169"/>
      <c r="DP581" s="169"/>
      <c r="DQ581" s="169"/>
      <c r="DR581" s="169"/>
      <c r="DS581" s="220"/>
      <c r="DT581" s="169"/>
      <c r="DU581" s="169"/>
      <c r="DV581" s="169"/>
      <c r="DW581" s="169"/>
      <c r="DX581" s="220"/>
      <c r="DY581" s="169"/>
      <c r="DZ581" s="169"/>
      <c r="EA581" s="169"/>
      <c r="EB581" s="169"/>
      <c r="EC581" s="220"/>
      <c r="ED581" s="169"/>
      <c r="EE581" s="169"/>
      <c r="EF581" s="169"/>
      <c r="EG581" s="169"/>
      <c r="EH581" s="220"/>
      <c r="EI581" s="169"/>
      <c r="EJ581" s="169"/>
      <c r="EK581" s="169"/>
      <c r="EL581" s="169"/>
      <c r="EM581" s="220"/>
      <c r="EN581" s="169"/>
      <c r="EO581" s="169"/>
      <c r="EP581" s="169"/>
      <c r="EQ581" s="169"/>
      <c r="ER581" s="220"/>
      <c r="ES581" s="169"/>
      <c r="ET581" s="169"/>
      <c r="EU581" s="169"/>
      <c r="EV581" s="169"/>
      <c r="EW581" s="220"/>
      <c r="EX581" s="169"/>
      <c r="EY581" s="169"/>
      <c r="EZ581" s="169"/>
      <c r="FA581" s="169"/>
      <c r="FB581" s="220"/>
      <c r="FC581" s="169"/>
      <c r="FD581" s="169"/>
      <c r="FE581" s="169"/>
      <c r="FF581" s="169"/>
      <c r="FG581" s="220"/>
      <c r="FH581" s="169"/>
      <c r="FI581" s="169"/>
      <c r="FJ581" s="169"/>
      <c r="FK581" s="169"/>
      <c r="FL581" s="220"/>
      <c r="FM581" s="169"/>
      <c r="FN581" s="169"/>
      <c r="FO581" s="169"/>
      <c r="FP581" s="169"/>
      <c r="FQ581" s="220"/>
      <c r="FR581" s="169"/>
      <c r="FS581" s="169"/>
      <c r="FT581" s="169"/>
      <c r="FU581" s="169"/>
      <c r="FV581" s="220"/>
      <c r="FW581" s="169"/>
      <c r="FX581" s="169"/>
      <c r="FY581" s="169"/>
      <c r="FZ581" s="169"/>
      <c r="GA581" s="220"/>
      <c r="GB581" s="169"/>
      <c r="GC581" s="169"/>
      <c r="GD581" s="169"/>
      <c r="GE581" s="169"/>
    </row>
    <row r="582" spans="3:187" ht="12.75" customHeight="1">
      <c r="C582" s="220"/>
      <c r="D582" s="169"/>
      <c r="E582" s="169"/>
      <c r="F582" s="169"/>
      <c r="G582" s="169"/>
      <c r="H582" s="220"/>
      <c r="I582" s="169"/>
      <c r="J582" s="169"/>
      <c r="K582" s="169"/>
      <c r="L582" s="169"/>
      <c r="M582" s="220"/>
      <c r="N582" s="169"/>
      <c r="O582" s="169"/>
      <c r="P582" s="169"/>
      <c r="Q582" s="169"/>
      <c r="R582" s="220"/>
      <c r="S582" s="169"/>
      <c r="T582" s="169"/>
      <c r="U582" s="169"/>
      <c r="V582" s="169"/>
      <c r="W582" s="220"/>
      <c r="X582" s="169"/>
      <c r="Y582" s="169"/>
      <c r="Z582" s="169"/>
      <c r="AA582" s="169"/>
      <c r="AB582" s="220"/>
      <c r="AC582" s="169"/>
      <c r="AD582" s="169"/>
      <c r="AE582" s="169"/>
      <c r="AF582" s="169"/>
      <c r="AG582" s="220"/>
      <c r="AH582" s="169"/>
      <c r="AI582" s="169"/>
      <c r="AJ582" s="169"/>
      <c r="AK582" s="169"/>
      <c r="AL582" s="220"/>
      <c r="AM582" s="169"/>
      <c r="AN582" s="169"/>
      <c r="AO582" s="169"/>
      <c r="AP582" s="169"/>
      <c r="AQ582" s="220"/>
      <c r="AR582" s="169"/>
      <c r="AS582" s="169"/>
      <c r="AT582" s="169"/>
      <c r="AU582" s="169"/>
      <c r="AV582" s="220"/>
      <c r="AW582" s="169"/>
      <c r="AX582" s="169"/>
      <c r="AY582" s="169"/>
      <c r="AZ582" s="169"/>
      <c r="BA582" s="220"/>
      <c r="BB582" s="169"/>
      <c r="BC582" s="169"/>
      <c r="BD582" s="169"/>
      <c r="BE582" s="169"/>
      <c r="BF582" s="220"/>
      <c r="BG582" s="169"/>
      <c r="BH582" s="169"/>
      <c r="BI582" s="169"/>
      <c r="BJ582" s="169"/>
      <c r="BK582" s="220"/>
      <c r="BL582" s="169"/>
      <c r="BM582" s="169"/>
      <c r="BN582" s="169"/>
      <c r="BO582" s="169"/>
      <c r="BP582" s="220"/>
      <c r="BQ582" s="169"/>
      <c r="BR582" s="169"/>
      <c r="BS582" s="169"/>
      <c r="BT582" s="169"/>
      <c r="BU582" s="220"/>
      <c r="BV582" s="169"/>
      <c r="BW582" s="169"/>
      <c r="BX582" s="169"/>
      <c r="BY582" s="169"/>
      <c r="BZ582" s="220"/>
      <c r="CA582" s="169"/>
      <c r="CB582" s="169"/>
      <c r="CC582" s="169"/>
      <c r="CD582" s="169"/>
      <c r="CE582" s="220"/>
      <c r="CF582" s="169"/>
      <c r="CG582" s="169"/>
      <c r="CH582" s="169"/>
      <c r="CI582" s="169"/>
      <c r="CJ582" s="220"/>
      <c r="CK582" s="169"/>
      <c r="CL582" s="169"/>
      <c r="CM582" s="169"/>
      <c r="CN582" s="169"/>
      <c r="CO582" s="220"/>
      <c r="CP582" s="169"/>
      <c r="CQ582" s="169"/>
      <c r="CR582" s="169"/>
      <c r="CS582" s="169"/>
      <c r="CT582" s="220"/>
      <c r="CU582" s="169"/>
      <c r="CV582" s="169"/>
      <c r="CW582" s="169"/>
      <c r="CX582" s="169"/>
      <c r="CY582" s="220"/>
      <c r="CZ582" s="169"/>
      <c r="DA582" s="169"/>
      <c r="DB582" s="169"/>
      <c r="DC582" s="169"/>
      <c r="DD582" s="220"/>
      <c r="DE582" s="169"/>
      <c r="DF582" s="169"/>
      <c r="DG582" s="169"/>
      <c r="DH582" s="169"/>
      <c r="DI582" s="220"/>
      <c r="DJ582" s="169"/>
      <c r="DK582" s="169"/>
      <c r="DL582" s="169"/>
      <c r="DM582" s="169"/>
      <c r="DN582" s="220"/>
      <c r="DO582" s="169"/>
      <c r="DP582" s="169"/>
      <c r="DQ582" s="169"/>
      <c r="DR582" s="169"/>
      <c r="DS582" s="220"/>
      <c r="DT582" s="169"/>
      <c r="DU582" s="169"/>
      <c r="DV582" s="169"/>
      <c r="DW582" s="169"/>
      <c r="DX582" s="220"/>
      <c r="DY582" s="169"/>
      <c r="DZ582" s="169"/>
      <c r="EA582" s="169"/>
      <c r="EB582" s="169"/>
      <c r="EC582" s="220"/>
      <c r="ED582" s="169"/>
      <c r="EE582" s="169"/>
      <c r="EF582" s="169"/>
      <c r="EG582" s="169"/>
      <c r="EH582" s="220"/>
      <c r="EI582" s="169"/>
      <c r="EJ582" s="169"/>
      <c r="EK582" s="169"/>
      <c r="EL582" s="169"/>
      <c r="EM582" s="220"/>
      <c r="EN582" s="169"/>
      <c r="EO582" s="169"/>
      <c r="EP582" s="169"/>
      <c r="EQ582" s="169"/>
      <c r="ER582" s="220"/>
      <c r="ES582" s="169"/>
      <c r="ET582" s="169"/>
      <c r="EU582" s="169"/>
      <c r="EV582" s="169"/>
      <c r="EW582" s="220"/>
      <c r="EX582" s="169"/>
      <c r="EY582" s="169"/>
      <c r="EZ582" s="169"/>
      <c r="FA582" s="169"/>
      <c r="FB582" s="220"/>
      <c r="FC582" s="169"/>
      <c r="FD582" s="169"/>
      <c r="FE582" s="169"/>
      <c r="FF582" s="169"/>
      <c r="FG582" s="220"/>
      <c r="FH582" s="169"/>
      <c r="FI582" s="169"/>
      <c r="FJ582" s="169"/>
      <c r="FK582" s="169"/>
      <c r="FL582" s="220"/>
      <c r="FM582" s="169"/>
      <c r="FN582" s="169"/>
      <c r="FO582" s="169"/>
      <c r="FP582" s="169"/>
      <c r="FQ582" s="220"/>
      <c r="FR582" s="169"/>
      <c r="FS582" s="169"/>
      <c r="FT582" s="169"/>
      <c r="FU582" s="169"/>
      <c r="FV582" s="220"/>
      <c r="FW582" s="169"/>
      <c r="FX582" s="169"/>
      <c r="FY582" s="169"/>
      <c r="FZ582" s="169"/>
      <c r="GA582" s="220"/>
      <c r="GB582" s="169"/>
      <c r="GC582" s="169"/>
      <c r="GD582" s="169"/>
      <c r="GE582" s="169"/>
    </row>
    <row r="583" spans="3:187" ht="12.75" customHeight="1">
      <c r="C583" s="220"/>
      <c r="D583" s="169"/>
      <c r="E583" s="169"/>
      <c r="F583" s="169"/>
      <c r="G583" s="169"/>
      <c r="H583" s="220"/>
      <c r="I583" s="169"/>
      <c r="J583" s="169"/>
      <c r="K583" s="169"/>
      <c r="L583" s="169"/>
      <c r="M583" s="220"/>
      <c r="N583" s="169"/>
      <c r="O583" s="169"/>
      <c r="P583" s="169"/>
      <c r="Q583" s="169"/>
      <c r="R583" s="220"/>
      <c r="S583" s="169"/>
      <c r="T583" s="169"/>
      <c r="U583" s="169"/>
      <c r="V583" s="169"/>
      <c r="W583" s="220"/>
      <c r="X583" s="169"/>
      <c r="Y583" s="169"/>
      <c r="Z583" s="169"/>
      <c r="AA583" s="169"/>
      <c r="AB583" s="220"/>
      <c r="AC583" s="169"/>
      <c r="AD583" s="169"/>
      <c r="AE583" s="169"/>
      <c r="AF583" s="169"/>
      <c r="AG583" s="220"/>
      <c r="AH583" s="169"/>
      <c r="AI583" s="169"/>
      <c r="AJ583" s="169"/>
      <c r="AK583" s="169"/>
      <c r="AL583" s="220"/>
      <c r="AM583" s="169"/>
      <c r="AN583" s="169"/>
      <c r="AO583" s="169"/>
      <c r="AP583" s="169"/>
      <c r="AQ583" s="220"/>
      <c r="AR583" s="169"/>
      <c r="AS583" s="169"/>
      <c r="AT583" s="169"/>
      <c r="AU583" s="169"/>
      <c r="AV583" s="220"/>
      <c r="AW583" s="169"/>
      <c r="AX583" s="169"/>
      <c r="AY583" s="169"/>
      <c r="AZ583" s="169"/>
      <c r="BA583" s="220"/>
      <c r="BB583" s="169"/>
      <c r="BC583" s="169"/>
      <c r="BD583" s="169"/>
      <c r="BE583" s="169"/>
      <c r="BF583" s="220"/>
      <c r="BG583" s="169"/>
      <c r="BH583" s="169"/>
      <c r="BI583" s="169"/>
      <c r="BJ583" s="169"/>
      <c r="BK583" s="220"/>
      <c r="BL583" s="169"/>
      <c r="BM583" s="169"/>
      <c r="BN583" s="169"/>
      <c r="BO583" s="169"/>
      <c r="BP583" s="220"/>
      <c r="BQ583" s="169"/>
      <c r="BR583" s="169"/>
      <c r="BS583" s="169"/>
      <c r="BT583" s="169"/>
      <c r="BU583" s="220"/>
      <c r="BV583" s="169"/>
      <c r="BW583" s="169"/>
      <c r="BX583" s="169"/>
      <c r="BY583" s="169"/>
      <c r="BZ583" s="220"/>
      <c r="CA583" s="169"/>
      <c r="CB583" s="169"/>
      <c r="CC583" s="169"/>
      <c r="CD583" s="169"/>
      <c r="CE583" s="220"/>
      <c r="CF583" s="169"/>
      <c r="CG583" s="169"/>
      <c r="CH583" s="169"/>
      <c r="CI583" s="169"/>
      <c r="CJ583" s="220"/>
      <c r="CK583" s="169"/>
      <c r="CL583" s="169"/>
      <c r="CM583" s="169"/>
      <c r="CN583" s="169"/>
      <c r="CO583" s="220"/>
      <c r="CP583" s="169"/>
      <c r="CQ583" s="169"/>
      <c r="CR583" s="169"/>
      <c r="CS583" s="169"/>
      <c r="CT583" s="220"/>
      <c r="CU583" s="169"/>
      <c r="CV583" s="169"/>
      <c r="CW583" s="169"/>
      <c r="CX583" s="169"/>
      <c r="CY583" s="220"/>
      <c r="CZ583" s="169"/>
      <c r="DA583" s="169"/>
      <c r="DB583" s="169"/>
      <c r="DC583" s="169"/>
      <c r="DD583" s="220"/>
      <c r="DE583" s="169"/>
      <c r="DF583" s="169"/>
      <c r="DG583" s="169"/>
      <c r="DH583" s="169"/>
      <c r="DI583" s="220"/>
      <c r="DJ583" s="169"/>
      <c r="DK583" s="169"/>
      <c r="DL583" s="169"/>
      <c r="DM583" s="169"/>
      <c r="DN583" s="220"/>
      <c r="DO583" s="169"/>
      <c r="DP583" s="169"/>
      <c r="DQ583" s="169"/>
      <c r="DR583" s="169"/>
      <c r="DS583" s="220"/>
      <c r="DT583" s="169"/>
      <c r="DU583" s="169"/>
      <c r="DV583" s="169"/>
      <c r="DW583" s="169"/>
      <c r="DX583" s="220"/>
      <c r="DY583" s="169"/>
      <c r="DZ583" s="169"/>
      <c r="EA583" s="169"/>
      <c r="EB583" s="169"/>
      <c r="EC583" s="220"/>
      <c r="ED583" s="169"/>
      <c r="EE583" s="169"/>
      <c r="EF583" s="169"/>
      <c r="EG583" s="169"/>
      <c r="EH583" s="220"/>
      <c r="EI583" s="169"/>
      <c r="EJ583" s="169"/>
      <c r="EK583" s="169"/>
      <c r="EL583" s="169"/>
      <c r="EM583" s="220"/>
      <c r="EN583" s="169"/>
      <c r="EO583" s="169"/>
      <c r="EP583" s="169"/>
      <c r="EQ583" s="169"/>
      <c r="ER583" s="220"/>
      <c r="ES583" s="169"/>
      <c r="ET583" s="169"/>
      <c r="EU583" s="169"/>
      <c r="EV583" s="169"/>
      <c r="EW583" s="220"/>
      <c r="EX583" s="169"/>
      <c r="EY583" s="169"/>
      <c r="EZ583" s="169"/>
      <c r="FA583" s="169"/>
      <c r="FB583" s="220"/>
      <c r="FC583" s="169"/>
      <c r="FD583" s="169"/>
      <c r="FE583" s="169"/>
      <c r="FF583" s="169"/>
      <c r="FG583" s="220"/>
      <c r="FH583" s="169"/>
      <c r="FI583" s="169"/>
      <c r="FJ583" s="169"/>
      <c r="FK583" s="169"/>
      <c r="FL583" s="220"/>
      <c r="FM583" s="169"/>
      <c r="FN583" s="169"/>
      <c r="FO583" s="169"/>
      <c r="FP583" s="169"/>
      <c r="FQ583" s="220"/>
      <c r="FR583" s="169"/>
      <c r="FS583" s="169"/>
      <c r="FT583" s="169"/>
      <c r="FU583" s="169"/>
      <c r="FV583" s="220"/>
      <c r="FW583" s="169"/>
      <c r="FX583" s="169"/>
      <c r="FY583" s="169"/>
      <c r="FZ583" s="169"/>
      <c r="GA583" s="220"/>
      <c r="GB583" s="169"/>
      <c r="GC583" s="169"/>
      <c r="GD583" s="169"/>
      <c r="GE583" s="169"/>
    </row>
    <row r="584" spans="3:187" ht="12.75" customHeight="1">
      <c r="C584" s="233"/>
      <c r="D584" s="233"/>
      <c r="E584" s="233"/>
      <c r="F584" s="233"/>
      <c r="G584" s="233"/>
      <c r="H584" s="233"/>
      <c r="I584" s="233"/>
      <c r="J584" s="233"/>
      <c r="K584" s="233"/>
      <c r="L584" s="233"/>
      <c r="M584" s="233"/>
      <c r="N584" s="233"/>
      <c r="O584" s="233"/>
      <c r="P584" s="233"/>
      <c r="Q584" s="233"/>
      <c r="R584" s="233"/>
      <c r="S584" s="233"/>
      <c r="T584" s="233"/>
      <c r="U584" s="233"/>
      <c r="V584" s="233"/>
      <c r="W584" s="233"/>
      <c r="X584" s="233"/>
      <c r="Y584" s="233"/>
      <c r="Z584" s="233"/>
      <c r="AA584" s="233"/>
      <c r="AB584" s="233"/>
      <c r="AC584" s="233"/>
      <c r="AD584" s="233"/>
      <c r="AE584" s="233"/>
      <c r="AF584" s="233"/>
      <c r="AG584" s="233"/>
      <c r="AH584" s="233"/>
      <c r="AI584" s="233"/>
      <c r="AJ584" s="233"/>
      <c r="AK584" s="233"/>
      <c r="AL584" s="233"/>
      <c r="AM584" s="233"/>
      <c r="AN584" s="233"/>
      <c r="AO584" s="233"/>
      <c r="AP584" s="233"/>
      <c r="AQ584" s="233"/>
      <c r="AR584" s="233"/>
      <c r="AS584" s="233"/>
      <c r="AT584" s="233"/>
      <c r="AU584" s="233"/>
      <c r="AV584" s="233"/>
      <c r="AW584" s="233"/>
      <c r="AX584" s="233"/>
      <c r="AY584" s="233"/>
      <c r="AZ584" s="233"/>
      <c r="BA584" s="233"/>
      <c r="BB584" s="233"/>
      <c r="BC584" s="233"/>
      <c r="BD584" s="233"/>
      <c r="BE584" s="233"/>
      <c r="BF584" s="233"/>
      <c r="BG584" s="233"/>
      <c r="BH584" s="233"/>
      <c r="BI584" s="233"/>
      <c r="BJ584" s="233"/>
      <c r="BK584" s="233"/>
      <c r="BL584" s="233"/>
      <c r="BM584" s="233"/>
      <c r="BN584" s="233"/>
      <c r="BO584" s="233"/>
      <c r="BP584" s="233"/>
      <c r="BQ584" s="233"/>
      <c r="BR584" s="233"/>
      <c r="BS584" s="233"/>
      <c r="BT584" s="233"/>
      <c r="BU584" s="233"/>
      <c r="BV584" s="233"/>
      <c r="BW584" s="233"/>
      <c r="BX584" s="233"/>
      <c r="BY584" s="233"/>
      <c r="BZ584" s="233"/>
      <c r="CA584" s="233"/>
      <c r="CB584" s="233"/>
      <c r="CC584" s="233"/>
      <c r="CD584" s="233"/>
      <c r="CE584" s="233"/>
      <c r="CF584" s="233"/>
      <c r="CG584" s="233"/>
      <c r="CH584" s="233"/>
      <c r="CI584" s="233"/>
      <c r="CJ584" s="233"/>
      <c r="CK584" s="233"/>
      <c r="CL584" s="233"/>
      <c r="CM584" s="233"/>
      <c r="CN584" s="233"/>
      <c r="CO584" s="233"/>
      <c r="CP584" s="233"/>
      <c r="CQ584" s="233"/>
      <c r="CR584" s="233"/>
      <c r="CS584" s="233"/>
      <c r="CT584" s="233"/>
      <c r="CU584" s="233"/>
      <c r="CV584" s="233"/>
      <c r="CW584" s="233"/>
      <c r="CX584" s="233"/>
      <c r="CY584" s="233"/>
      <c r="CZ584" s="233"/>
      <c r="DA584" s="233"/>
      <c r="DB584" s="233"/>
      <c r="DC584" s="233"/>
      <c r="DD584" s="233"/>
      <c r="DE584" s="233"/>
      <c r="DF584" s="233"/>
      <c r="DG584" s="233"/>
      <c r="DH584" s="233"/>
      <c r="DI584" s="233"/>
      <c r="DJ584" s="233"/>
      <c r="DK584" s="233"/>
      <c r="DL584" s="233"/>
      <c r="DM584" s="233"/>
      <c r="DN584" s="233"/>
      <c r="DO584" s="233"/>
      <c r="DP584" s="233"/>
      <c r="DQ584" s="233"/>
      <c r="DR584" s="233"/>
      <c r="DS584" s="233"/>
      <c r="DT584" s="233"/>
      <c r="DU584" s="233"/>
      <c r="DV584" s="233"/>
      <c r="DW584" s="233"/>
      <c r="DX584" s="233"/>
      <c r="DY584" s="233"/>
      <c r="DZ584" s="233"/>
      <c r="EA584" s="233"/>
      <c r="EB584" s="233"/>
      <c r="EC584" s="233"/>
      <c r="ED584" s="233"/>
      <c r="EE584" s="233"/>
      <c r="EF584" s="233"/>
      <c r="EG584" s="233"/>
      <c r="EH584" s="233"/>
      <c r="EI584" s="233"/>
      <c r="EJ584" s="233"/>
      <c r="EK584" s="233"/>
      <c r="EL584" s="233"/>
      <c r="EM584" s="233"/>
      <c r="EN584" s="233"/>
      <c r="EO584" s="233"/>
      <c r="EP584" s="233"/>
      <c r="EQ584" s="233"/>
      <c r="ER584" s="233"/>
      <c r="ES584" s="233"/>
      <c r="ET584" s="233"/>
      <c r="EU584" s="233"/>
      <c r="EV584" s="233"/>
      <c r="EW584" s="233"/>
      <c r="EX584" s="233"/>
      <c r="EY584" s="233"/>
      <c r="EZ584" s="233"/>
      <c r="FA584" s="233"/>
      <c r="FB584" s="233"/>
      <c r="FC584" s="233"/>
      <c r="FD584" s="233"/>
      <c r="FE584" s="233"/>
      <c r="FF584" s="233"/>
      <c r="FG584" s="233"/>
      <c r="FH584" s="233"/>
      <c r="FI584" s="233"/>
      <c r="FJ584" s="233"/>
      <c r="FK584" s="233"/>
      <c r="FL584" s="233"/>
      <c r="FM584" s="233"/>
      <c r="FN584" s="233"/>
      <c r="FO584" s="233"/>
      <c r="FP584" s="233"/>
      <c r="FQ584" s="233"/>
      <c r="FR584" s="233"/>
      <c r="FS584" s="233"/>
      <c r="FT584" s="233"/>
      <c r="FU584" s="233"/>
      <c r="FV584" s="233"/>
      <c r="FW584" s="233"/>
      <c r="FX584" s="233"/>
      <c r="FY584" s="233"/>
      <c r="FZ584" s="233"/>
      <c r="GA584" s="233"/>
      <c r="GB584" s="233"/>
      <c r="GC584" s="233"/>
      <c r="GD584" s="233"/>
      <c r="GE584" s="233"/>
    </row>
    <row r="585" spans="3:187" ht="12.75" customHeight="1">
      <c r="C585" s="220"/>
      <c r="D585" s="169"/>
      <c r="E585" s="169"/>
      <c r="F585" s="169"/>
      <c r="G585" s="169"/>
      <c r="H585" s="220"/>
      <c r="I585" s="169"/>
      <c r="J585" s="169"/>
      <c r="K585" s="169"/>
      <c r="L585" s="169"/>
      <c r="M585" s="220"/>
      <c r="N585" s="169"/>
      <c r="O585" s="169"/>
      <c r="P585" s="169"/>
      <c r="Q585" s="169"/>
      <c r="R585" s="220"/>
      <c r="S585" s="169"/>
      <c r="T585" s="169"/>
      <c r="U585" s="169"/>
      <c r="V585" s="169"/>
      <c r="W585" s="220"/>
      <c r="X585" s="169"/>
      <c r="Y585" s="169"/>
      <c r="Z585" s="169"/>
      <c r="AA585" s="169"/>
      <c r="AB585" s="220"/>
      <c r="AC585" s="169"/>
      <c r="AD585" s="169"/>
      <c r="AE585" s="169"/>
      <c r="AF585" s="169"/>
      <c r="AG585" s="220"/>
      <c r="AH585" s="169"/>
      <c r="AI585" s="169"/>
      <c r="AJ585" s="169"/>
      <c r="AK585" s="169"/>
      <c r="AL585" s="220"/>
      <c r="AM585" s="169"/>
      <c r="AN585" s="169"/>
      <c r="AO585" s="169"/>
      <c r="AP585" s="169"/>
      <c r="AQ585" s="220"/>
      <c r="AR585" s="169"/>
      <c r="AS585" s="169"/>
      <c r="AT585" s="169"/>
      <c r="AU585" s="169"/>
      <c r="AV585" s="220"/>
      <c r="AW585" s="169"/>
      <c r="AX585" s="169"/>
      <c r="AY585" s="169"/>
      <c r="AZ585" s="169"/>
      <c r="BA585" s="220"/>
      <c r="BB585" s="169"/>
      <c r="BC585" s="169"/>
      <c r="BD585" s="169"/>
      <c r="BE585" s="169"/>
      <c r="BF585" s="220"/>
      <c r="BG585" s="169"/>
      <c r="BH585" s="169"/>
      <c r="BI585" s="169"/>
      <c r="BJ585" s="169"/>
      <c r="BK585" s="220"/>
      <c r="BL585" s="169"/>
      <c r="BM585" s="169"/>
      <c r="BN585" s="169"/>
      <c r="BO585" s="169"/>
      <c r="BP585" s="220"/>
      <c r="BQ585" s="169"/>
      <c r="BR585" s="169"/>
      <c r="BS585" s="169"/>
      <c r="BT585" s="169"/>
      <c r="BU585" s="220"/>
      <c r="BV585" s="169"/>
      <c r="BW585" s="169"/>
      <c r="BX585" s="169"/>
      <c r="BY585" s="169"/>
      <c r="BZ585" s="220"/>
      <c r="CA585" s="169"/>
      <c r="CB585" s="169"/>
      <c r="CC585" s="169"/>
      <c r="CD585" s="169"/>
      <c r="CE585" s="220"/>
      <c r="CF585" s="169"/>
      <c r="CG585" s="169"/>
      <c r="CH585" s="169"/>
      <c r="CI585" s="169"/>
      <c r="CJ585" s="220"/>
      <c r="CK585" s="169"/>
      <c r="CL585" s="169"/>
      <c r="CM585" s="169"/>
      <c r="CN585" s="169"/>
      <c r="CO585" s="220"/>
      <c r="CP585" s="169"/>
      <c r="CQ585" s="169"/>
      <c r="CR585" s="169"/>
      <c r="CS585" s="169"/>
      <c r="CT585" s="220"/>
      <c r="CU585" s="169"/>
      <c r="CV585" s="169"/>
      <c r="CW585" s="169"/>
      <c r="CX585" s="169"/>
      <c r="CY585" s="220"/>
      <c r="CZ585" s="169"/>
      <c r="DA585" s="169"/>
      <c r="DB585" s="169"/>
      <c r="DC585" s="169"/>
      <c r="DD585" s="220"/>
      <c r="DE585" s="169"/>
      <c r="DF585" s="169"/>
      <c r="DG585" s="169"/>
      <c r="DH585" s="169"/>
      <c r="DI585" s="220"/>
      <c r="DJ585" s="169"/>
      <c r="DK585" s="169"/>
      <c r="DL585" s="169"/>
      <c r="DM585" s="169"/>
      <c r="DN585" s="220"/>
      <c r="DO585" s="169"/>
      <c r="DP585" s="169"/>
      <c r="DQ585" s="169"/>
      <c r="DR585" s="169"/>
      <c r="DS585" s="220"/>
      <c r="DT585" s="169"/>
      <c r="DU585" s="169"/>
      <c r="DV585" s="169"/>
      <c r="DW585" s="169"/>
      <c r="DX585" s="220"/>
      <c r="DY585" s="169"/>
      <c r="DZ585" s="169"/>
      <c r="EA585" s="169"/>
      <c r="EB585" s="169"/>
      <c r="EC585" s="220"/>
      <c r="ED585" s="169"/>
      <c r="EE585" s="169"/>
      <c r="EF585" s="169"/>
      <c r="EG585" s="169"/>
      <c r="EH585" s="220"/>
      <c r="EI585" s="169"/>
      <c r="EJ585" s="169"/>
      <c r="EK585" s="169"/>
      <c r="EL585" s="169"/>
      <c r="EM585" s="220"/>
      <c r="EN585" s="169"/>
      <c r="EO585" s="169"/>
      <c r="EP585" s="169"/>
      <c r="EQ585" s="169"/>
      <c r="ER585" s="220"/>
      <c r="ES585" s="169"/>
      <c r="ET585" s="169"/>
      <c r="EU585" s="169"/>
      <c r="EV585" s="169"/>
      <c r="EW585" s="220"/>
      <c r="EX585" s="169"/>
      <c r="EY585" s="169"/>
      <c r="EZ585" s="169"/>
      <c r="FA585" s="169"/>
      <c r="FB585" s="220"/>
      <c r="FC585" s="169"/>
      <c r="FD585" s="169"/>
      <c r="FE585" s="169"/>
      <c r="FF585" s="169"/>
      <c r="FG585" s="220"/>
      <c r="FH585" s="169"/>
      <c r="FI585" s="169"/>
      <c r="FJ585" s="169"/>
      <c r="FK585" s="169"/>
      <c r="FL585" s="220"/>
      <c r="FM585" s="169"/>
      <c r="FN585" s="169"/>
      <c r="FO585" s="169"/>
      <c r="FP585" s="169"/>
      <c r="FQ585" s="220"/>
      <c r="FR585" s="169"/>
      <c r="FS585" s="169"/>
      <c r="FT585" s="169"/>
      <c r="FU585" s="169"/>
      <c r="FV585" s="220"/>
      <c r="FW585" s="169"/>
      <c r="FX585" s="169"/>
      <c r="FY585" s="169"/>
      <c r="FZ585" s="169"/>
      <c r="GA585" s="220"/>
      <c r="GB585" s="169"/>
      <c r="GC585" s="169"/>
      <c r="GD585" s="169"/>
      <c r="GE585" s="169"/>
    </row>
    <row r="586" spans="3:187" ht="12.75" customHeight="1">
      <c r="C586" s="220"/>
      <c r="D586" s="169"/>
      <c r="E586" s="169"/>
      <c r="F586" s="169"/>
      <c r="G586" s="169"/>
      <c r="H586" s="220"/>
      <c r="I586" s="169"/>
      <c r="J586" s="169"/>
      <c r="K586" s="169"/>
      <c r="L586" s="169"/>
      <c r="M586" s="220"/>
      <c r="N586" s="169"/>
      <c r="O586" s="169"/>
      <c r="P586" s="169"/>
      <c r="Q586" s="169"/>
      <c r="R586" s="220"/>
      <c r="S586" s="169"/>
      <c r="T586" s="169"/>
      <c r="U586" s="169"/>
      <c r="V586" s="169"/>
      <c r="W586" s="220"/>
      <c r="X586" s="169"/>
      <c r="Y586" s="169"/>
      <c r="Z586" s="169"/>
      <c r="AA586" s="169"/>
      <c r="AB586" s="220"/>
      <c r="AC586" s="169"/>
      <c r="AD586" s="169"/>
      <c r="AE586" s="169"/>
      <c r="AF586" s="169"/>
      <c r="AG586" s="220"/>
      <c r="AH586" s="169"/>
      <c r="AI586" s="169"/>
      <c r="AJ586" s="169"/>
      <c r="AK586" s="169"/>
      <c r="AL586" s="220"/>
      <c r="AM586" s="169"/>
      <c r="AN586" s="169"/>
      <c r="AO586" s="169"/>
      <c r="AP586" s="169"/>
      <c r="AQ586" s="220"/>
      <c r="AR586" s="169"/>
      <c r="AS586" s="169"/>
      <c r="AT586" s="169"/>
      <c r="AU586" s="169"/>
      <c r="AV586" s="220"/>
      <c r="AW586" s="169"/>
      <c r="AX586" s="169"/>
      <c r="AY586" s="169"/>
      <c r="AZ586" s="169"/>
      <c r="BA586" s="220"/>
      <c r="BB586" s="169"/>
      <c r="BC586" s="169"/>
      <c r="BD586" s="169"/>
      <c r="BE586" s="169"/>
      <c r="BF586" s="220"/>
      <c r="BG586" s="169"/>
      <c r="BH586" s="169"/>
      <c r="BI586" s="169"/>
      <c r="BJ586" s="169"/>
      <c r="BK586" s="220"/>
      <c r="BL586" s="169"/>
      <c r="BM586" s="169"/>
      <c r="BN586" s="169"/>
      <c r="BO586" s="169"/>
      <c r="BP586" s="220"/>
      <c r="BQ586" s="169"/>
      <c r="BR586" s="169"/>
      <c r="BS586" s="169"/>
      <c r="BT586" s="169"/>
      <c r="BU586" s="220"/>
      <c r="BV586" s="169"/>
      <c r="BW586" s="169"/>
      <c r="BX586" s="169"/>
      <c r="BY586" s="169"/>
      <c r="BZ586" s="220"/>
      <c r="CA586" s="169"/>
      <c r="CB586" s="169"/>
      <c r="CC586" s="169"/>
      <c r="CD586" s="169"/>
      <c r="CE586" s="220"/>
      <c r="CF586" s="169"/>
      <c r="CG586" s="169"/>
      <c r="CH586" s="169"/>
      <c r="CI586" s="169"/>
      <c r="CJ586" s="220"/>
      <c r="CK586" s="169"/>
      <c r="CL586" s="169"/>
      <c r="CM586" s="169"/>
      <c r="CN586" s="169"/>
      <c r="CO586" s="220"/>
      <c r="CP586" s="169"/>
      <c r="CQ586" s="169"/>
      <c r="CR586" s="169"/>
      <c r="CS586" s="169"/>
      <c r="CT586" s="220"/>
      <c r="CU586" s="169"/>
      <c r="CV586" s="169"/>
      <c r="CW586" s="169"/>
      <c r="CX586" s="169"/>
      <c r="CY586" s="220"/>
      <c r="CZ586" s="169"/>
      <c r="DA586" s="169"/>
      <c r="DB586" s="169"/>
      <c r="DC586" s="169"/>
      <c r="DD586" s="220"/>
      <c r="DE586" s="169"/>
      <c r="DF586" s="169"/>
      <c r="DG586" s="169"/>
      <c r="DH586" s="169"/>
      <c r="DI586" s="220"/>
      <c r="DJ586" s="169"/>
      <c r="DK586" s="169"/>
      <c r="DL586" s="169"/>
      <c r="DM586" s="169"/>
      <c r="DN586" s="220"/>
      <c r="DO586" s="169"/>
      <c r="DP586" s="169"/>
      <c r="DQ586" s="169"/>
      <c r="DR586" s="169"/>
      <c r="DS586" s="220"/>
      <c r="DT586" s="169"/>
      <c r="DU586" s="169"/>
      <c r="DV586" s="169"/>
      <c r="DW586" s="169"/>
      <c r="DX586" s="220"/>
      <c r="DY586" s="169"/>
      <c r="DZ586" s="169"/>
      <c r="EA586" s="169"/>
      <c r="EB586" s="169"/>
      <c r="EC586" s="220"/>
      <c r="ED586" s="169"/>
      <c r="EE586" s="169"/>
      <c r="EF586" s="169"/>
      <c r="EG586" s="169"/>
      <c r="EH586" s="220"/>
      <c r="EI586" s="169"/>
      <c r="EJ586" s="169"/>
      <c r="EK586" s="169"/>
      <c r="EL586" s="169"/>
      <c r="EM586" s="220"/>
      <c r="EN586" s="169"/>
      <c r="EO586" s="169"/>
      <c r="EP586" s="169"/>
      <c r="EQ586" s="169"/>
      <c r="ER586" s="220"/>
      <c r="ES586" s="169"/>
      <c r="ET586" s="169"/>
      <c r="EU586" s="169"/>
      <c r="EV586" s="169"/>
      <c r="EW586" s="220"/>
      <c r="EX586" s="169"/>
      <c r="EY586" s="169"/>
      <c r="EZ586" s="169"/>
      <c r="FA586" s="169"/>
      <c r="FB586" s="220"/>
      <c r="FC586" s="169"/>
      <c r="FD586" s="169"/>
      <c r="FE586" s="169"/>
      <c r="FF586" s="169"/>
      <c r="FG586" s="220"/>
      <c r="FH586" s="169"/>
      <c r="FI586" s="169"/>
      <c r="FJ586" s="169"/>
      <c r="FK586" s="169"/>
      <c r="FL586" s="220"/>
      <c r="FM586" s="169"/>
      <c r="FN586" s="169"/>
      <c r="FO586" s="169"/>
      <c r="FP586" s="169"/>
      <c r="FQ586" s="220"/>
      <c r="FR586" s="169"/>
      <c r="FS586" s="169"/>
      <c r="FT586" s="169"/>
      <c r="FU586" s="169"/>
      <c r="FV586" s="220"/>
      <c r="FW586" s="169"/>
      <c r="FX586" s="169"/>
      <c r="FY586" s="169"/>
      <c r="FZ586" s="169"/>
      <c r="GA586" s="220"/>
      <c r="GB586" s="169"/>
      <c r="GC586" s="169"/>
      <c r="GD586" s="169"/>
      <c r="GE586" s="169"/>
    </row>
    <row r="588" spans="3:187" ht="12.75" customHeight="1">
      <c r="C588" s="220"/>
      <c r="D588" s="169"/>
      <c r="E588" s="169"/>
      <c r="F588" s="169"/>
      <c r="G588" s="169"/>
      <c r="H588" s="220"/>
      <c r="I588" s="169"/>
      <c r="J588" s="169"/>
      <c r="K588" s="169"/>
      <c r="L588" s="169"/>
      <c r="M588" s="220"/>
      <c r="N588" s="169"/>
      <c r="O588" s="169"/>
      <c r="P588" s="169"/>
      <c r="Q588" s="169"/>
      <c r="R588" s="220"/>
      <c r="S588" s="169"/>
      <c r="T588" s="169"/>
      <c r="U588" s="169"/>
      <c r="V588" s="169"/>
      <c r="W588" s="220"/>
      <c r="X588" s="169"/>
      <c r="Y588" s="169"/>
      <c r="Z588" s="169"/>
      <c r="AA588" s="169"/>
      <c r="AB588" s="220"/>
      <c r="AC588" s="169"/>
      <c r="AD588" s="169"/>
      <c r="AE588" s="169"/>
      <c r="AF588" s="169"/>
      <c r="AG588" s="220"/>
      <c r="AH588" s="169"/>
      <c r="AI588" s="169"/>
      <c r="AJ588" s="169"/>
      <c r="AK588" s="169"/>
      <c r="AL588" s="220"/>
      <c r="AM588" s="169"/>
      <c r="AN588" s="169"/>
      <c r="AO588" s="169"/>
      <c r="AP588" s="169"/>
      <c r="AQ588" s="220"/>
      <c r="AR588" s="169"/>
      <c r="AS588" s="169"/>
      <c r="AT588" s="169"/>
      <c r="AU588" s="169"/>
      <c r="AV588" s="220"/>
      <c r="AW588" s="169"/>
      <c r="AX588" s="169"/>
      <c r="AY588" s="169"/>
      <c r="AZ588" s="169"/>
      <c r="BA588" s="220"/>
      <c r="BB588" s="169"/>
      <c r="BC588" s="169"/>
      <c r="BD588" s="169"/>
      <c r="BE588" s="169"/>
      <c r="BF588" s="220"/>
      <c r="BG588" s="169"/>
      <c r="BH588" s="169"/>
      <c r="BI588" s="169"/>
      <c r="BJ588" s="169"/>
      <c r="BK588" s="220"/>
      <c r="BL588" s="169"/>
      <c r="BM588" s="169"/>
      <c r="BN588" s="169"/>
      <c r="BO588" s="169"/>
      <c r="BP588" s="220"/>
      <c r="BQ588" s="169"/>
      <c r="BR588" s="169"/>
      <c r="BS588" s="169"/>
      <c r="BT588" s="169"/>
      <c r="BU588" s="220"/>
      <c r="BV588" s="169"/>
      <c r="BW588" s="169"/>
      <c r="BX588" s="169"/>
      <c r="BY588" s="169"/>
      <c r="BZ588" s="220"/>
      <c r="CA588" s="169"/>
      <c r="CB588" s="169"/>
      <c r="CC588" s="169"/>
      <c r="CD588" s="169"/>
      <c r="CE588" s="220"/>
      <c r="CF588" s="169"/>
      <c r="CG588" s="169"/>
      <c r="CH588" s="169"/>
      <c r="CI588" s="169"/>
      <c r="CJ588" s="220"/>
      <c r="CK588" s="169"/>
      <c r="CL588" s="169"/>
      <c r="CM588" s="169"/>
      <c r="CN588" s="169"/>
      <c r="CO588" s="220"/>
      <c r="CP588" s="169"/>
      <c r="CQ588" s="169"/>
      <c r="CR588" s="169"/>
      <c r="CS588" s="169"/>
      <c r="CT588" s="220"/>
      <c r="CU588" s="169"/>
      <c r="CV588" s="169"/>
      <c r="CW588" s="169"/>
      <c r="CX588" s="169"/>
      <c r="CY588" s="220"/>
      <c r="CZ588" s="169"/>
      <c r="DA588" s="169"/>
      <c r="DB588" s="169"/>
      <c r="DC588" s="169"/>
      <c r="DD588" s="220"/>
      <c r="DE588" s="169"/>
      <c r="DF588" s="169"/>
      <c r="DG588" s="169"/>
      <c r="DH588" s="169"/>
      <c r="DI588" s="220"/>
      <c r="DJ588" s="169"/>
      <c r="DK588" s="169"/>
      <c r="DL588" s="169"/>
      <c r="DM588" s="169"/>
      <c r="DN588" s="220"/>
      <c r="DO588" s="169"/>
      <c r="DP588" s="169"/>
      <c r="DQ588" s="169"/>
      <c r="DR588" s="169"/>
      <c r="DS588" s="220"/>
      <c r="DT588" s="169"/>
      <c r="DU588" s="169"/>
      <c r="DV588" s="169"/>
      <c r="DW588" s="169"/>
      <c r="DX588" s="220"/>
      <c r="DY588" s="169"/>
      <c r="DZ588" s="169"/>
      <c r="EA588" s="169"/>
      <c r="EB588" s="169"/>
      <c r="EC588" s="220"/>
      <c r="ED588" s="169"/>
      <c r="EE588" s="169"/>
      <c r="EF588" s="169"/>
      <c r="EG588" s="169"/>
      <c r="EH588" s="220"/>
      <c r="EI588" s="169"/>
      <c r="EJ588" s="169"/>
      <c r="EK588" s="169"/>
      <c r="EL588" s="169"/>
      <c r="EM588" s="220"/>
      <c r="EN588" s="169"/>
      <c r="EO588" s="169"/>
      <c r="EP588" s="169"/>
      <c r="EQ588" s="169"/>
      <c r="ER588" s="220"/>
      <c r="ES588" s="169"/>
      <c r="ET588" s="169"/>
      <c r="EU588" s="169"/>
      <c r="EV588" s="169"/>
      <c r="EW588" s="220"/>
      <c r="EX588" s="169"/>
      <c r="EY588" s="169"/>
      <c r="EZ588" s="169"/>
      <c r="FA588" s="169"/>
      <c r="FB588" s="220"/>
      <c r="FC588" s="169"/>
      <c r="FD588" s="169"/>
      <c r="FE588" s="169"/>
      <c r="FF588" s="169"/>
      <c r="FG588" s="220"/>
      <c r="FH588" s="169"/>
      <c r="FI588" s="169"/>
      <c r="FJ588" s="169"/>
      <c r="FK588" s="169"/>
      <c r="FL588" s="220"/>
      <c r="FM588" s="169"/>
      <c r="FN588" s="169"/>
      <c r="FO588" s="169"/>
      <c r="FP588" s="169"/>
      <c r="FQ588" s="220"/>
      <c r="FR588" s="169"/>
      <c r="FS588" s="169"/>
      <c r="FT588" s="169"/>
      <c r="FU588" s="169"/>
      <c r="FV588" s="220"/>
      <c r="FW588" s="169"/>
      <c r="FX588" s="169"/>
      <c r="FY588" s="169"/>
      <c r="FZ588" s="169"/>
      <c r="GA588" s="220"/>
      <c r="GB588" s="169"/>
      <c r="GC588" s="169"/>
      <c r="GD588" s="169"/>
      <c r="GE588" s="169"/>
    </row>
    <row r="589" spans="3:187" ht="12.75" customHeight="1">
      <c r="C589" s="220"/>
      <c r="D589" s="169"/>
      <c r="E589" s="169"/>
      <c r="F589" s="169"/>
      <c r="G589" s="169"/>
      <c r="H589" s="220"/>
      <c r="I589" s="169"/>
      <c r="J589" s="169"/>
      <c r="K589" s="169"/>
      <c r="L589" s="169"/>
      <c r="M589" s="220"/>
      <c r="N589" s="169"/>
      <c r="O589" s="169"/>
      <c r="P589" s="169"/>
      <c r="Q589" s="169"/>
      <c r="R589" s="220"/>
      <c r="S589" s="169"/>
      <c r="T589" s="169"/>
      <c r="U589" s="169"/>
      <c r="V589" s="169"/>
      <c r="W589" s="220"/>
      <c r="X589" s="169"/>
      <c r="Y589" s="169"/>
      <c r="Z589" s="169"/>
      <c r="AA589" s="169"/>
      <c r="AB589" s="220"/>
      <c r="AC589" s="169"/>
      <c r="AD589" s="169"/>
      <c r="AE589" s="169"/>
      <c r="AF589" s="169"/>
      <c r="AG589" s="220"/>
      <c r="AH589" s="169"/>
      <c r="AI589" s="169"/>
      <c r="AJ589" s="169"/>
      <c r="AK589" s="169"/>
      <c r="AL589" s="220"/>
      <c r="AM589" s="169"/>
      <c r="AN589" s="169"/>
      <c r="AO589" s="169"/>
      <c r="AP589" s="169"/>
      <c r="AQ589" s="220"/>
      <c r="AR589" s="169"/>
      <c r="AS589" s="169"/>
      <c r="AT589" s="169"/>
      <c r="AU589" s="169"/>
      <c r="AV589" s="220"/>
      <c r="AW589" s="169"/>
      <c r="AX589" s="169"/>
      <c r="AY589" s="169"/>
      <c r="AZ589" s="169"/>
      <c r="BA589" s="220"/>
      <c r="BB589" s="169"/>
      <c r="BC589" s="169"/>
      <c r="BD589" s="169"/>
      <c r="BE589" s="169"/>
      <c r="BF589" s="220"/>
      <c r="BG589" s="169"/>
      <c r="BH589" s="169"/>
      <c r="BI589" s="169"/>
      <c r="BJ589" s="169"/>
      <c r="BK589" s="220"/>
      <c r="BL589" s="169"/>
      <c r="BM589" s="169"/>
      <c r="BN589" s="169"/>
      <c r="BO589" s="169"/>
      <c r="BP589" s="220"/>
      <c r="BQ589" s="169"/>
      <c r="BR589" s="169"/>
      <c r="BS589" s="169"/>
      <c r="BT589" s="169"/>
      <c r="BU589" s="220"/>
      <c r="BV589" s="169"/>
      <c r="BW589" s="169"/>
      <c r="BX589" s="169"/>
      <c r="BY589" s="169"/>
      <c r="BZ589" s="220"/>
      <c r="CA589" s="169"/>
      <c r="CB589" s="169"/>
      <c r="CC589" s="169"/>
      <c r="CD589" s="169"/>
      <c r="CE589" s="220"/>
      <c r="CF589" s="169"/>
      <c r="CG589" s="169"/>
      <c r="CH589" s="169"/>
      <c r="CI589" s="169"/>
      <c r="CJ589" s="220"/>
      <c r="CK589" s="169"/>
      <c r="CL589" s="169"/>
      <c r="CM589" s="169"/>
      <c r="CN589" s="169"/>
      <c r="CO589" s="220"/>
      <c r="CP589" s="169"/>
      <c r="CQ589" s="169"/>
      <c r="CR589" s="169"/>
      <c r="CS589" s="169"/>
      <c r="CT589" s="220"/>
      <c r="CU589" s="169"/>
      <c r="CV589" s="169"/>
      <c r="CW589" s="169"/>
      <c r="CX589" s="169"/>
      <c r="CY589" s="220"/>
      <c r="CZ589" s="169"/>
      <c r="DA589" s="169"/>
      <c r="DB589" s="169"/>
      <c r="DC589" s="169"/>
      <c r="DD589" s="220"/>
      <c r="DE589" s="169"/>
      <c r="DF589" s="169"/>
      <c r="DG589" s="169"/>
      <c r="DH589" s="169"/>
      <c r="DI589" s="220"/>
      <c r="DJ589" s="169"/>
      <c r="DK589" s="169"/>
      <c r="DL589" s="169"/>
      <c r="DM589" s="169"/>
      <c r="DN589" s="220"/>
      <c r="DO589" s="169"/>
      <c r="DP589" s="169"/>
      <c r="DQ589" s="169"/>
      <c r="DR589" s="169"/>
      <c r="DS589" s="220"/>
      <c r="DT589" s="169"/>
      <c r="DU589" s="169"/>
      <c r="DV589" s="169"/>
      <c r="DW589" s="169"/>
      <c r="DX589" s="220"/>
      <c r="DY589" s="169"/>
      <c r="DZ589" s="169"/>
      <c r="EA589" s="169"/>
      <c r="EB589" s="169"/>
      <c r="EC589" s="220"/>
      <c r="ED589" s="169"/>
      <c r="EE589" s="169"/>
      <c r="EF589" s="169"/>
      <c r="EG589" s="169"/>
      <c r="EH589" s="220"/>
      <c r="EI589" s="169"/>
      <c r="EJ589" s="169"/>
      <c r="EK589" s="169"/>
      <c r="EL589" s="169"/>
      <c r="EM589" s="220"/>
      <c r="EN589" s="169"/>
      <c r="EO589" s="169"/>
      <c r="EP589" s="169"/>
      <c r="EQ589" s="169"/>
      <c r="ER589" s="220"/>
      <c r="ES589" s="169"/>
      <c r="ET589" s="169"/>
      <c r="EU589" s="169"/>
      <c r="EV589" s="169"/>
      <c r="EW589" s="220"/>
      <c r="EX589" s="169"/>
      <c r="EY589" s="169"/>
      <c r="EZ589" s="169"/>
      <c r="FA589" s="169"/>
      <c r="FB589" s="220"/>
      <c r="FC589" s="169"/>
      <c r="FD589" s="169"/>
      <c r="FE589" s="169"/>
      <c r="FF589" s="169"/>
      <c r="FG589" s="220"/>
      <c r="FH589" s="169"/>
      <c r="FI589" s="169"/>
      <c r="FJ589" s="169"/>
      <c r="FK589" s="169"/>
      <c r="FL589" s="220"/>
      <c r="FM589" s="169"/>
      <c r="FN589" s="169"/>
      <c r="FO589" s="169"/>
      <c r="FP589" s="169"/>
      <c r="FQ589" s="220"/>
      <c r="FR589" s="169"/>
      <c r="FS589" s="169"/>
      <c r="FT589" s="169"/>
      <c r="FU589" s="169"/>
      <c r="FV589" s="220"/>
      <c r="FW589" s="169"/>
      <c r="FX589" s="169"/>
      <c r="FY589" s="169"/>
      <c r="FZ589" s="169"/>
      <c r="GA589" s="220"/>
      <c r="GB589" s="169"/>
      <c r="GC589" s="169"/>
      <c r="GD589" s="169"/>
      <c r="GE589" s="169"/>
    </row>
    <row r="590" spans="3:187" ht="12.75" customHeight="1">
      <c r="C590" s="220"/>
      <c r="D590" s="169"/>
      <c r="E590" s="169"/>
      <c r="F590" s="169"/>
      <c r="G590" s="169"/>
      <c r="H590" s="220"/>
      <c r="I590" s="169"/>
      <c r="J590" s="169"/>
      <c r="K590" s="169"/>
      <c r="L590" s="169"/>
      <c r="M590" s="220"/>
      <c r="N590" s="169"/>
      <c r="O590" s="169"/>
      <c r="P590" s="169"/>
      <c r="Q590" s="169"/>
      <c r="R590" s="220"/>
      <c r="S590" s="169"/>
      <c r="T590" s="169"/>
      <c r="U590" s="169"/>
      <c r="V590" s="169"/>
      <c r="W590" s="220"/>
      <c r="X590" s="169"/>
      <c r="Y590" s="169"/>
      <c r="Z590" s="169"/>
      <c r="AA590" s="169"/>
      <c r="AB590" s="220"/>
      <c r="AC590" s="169"/>
      <c r="AD590" s="169"/>
      <c r="AE590" s="169"/>
      <c r="AF590" s="169"/>
      <c r="AG590" s="220"/>
      <c r="AH590" s="169"/>
      <c r="AI590" s="169"/>
      <c r="AJ590" s="169"/>
      <c r="AK590" s="169"/>
      <c r="AL590" s="220"/>
      <c r="AM590" s="169"/>
      <c r="AN590" s="169"/>
      <c r="AO590" s="169"/>
      <c r="AP590" s="169"/>
      <c r="AQ590" s="220"/>
      <c r="AR590" s="169"/>
      <c r="AS590" s="169"/>
      <c r="AT590" s="169"/>
      <c r="AU590" s="169"/>
      <c r="AV590" s="220"/>
      <c r="AW590" s="169"/>
      <c r="AX590" s="169"/>
      <c r="AY590" s="169"/>
      <c r="AZ590" s="169"/>
      <c r="BA590" s="220"/>
      <c r="BB590" s="169"/>
      <c r="BC590" s="169"/>
      <c r="BD590" s="169"/>
      <c r="BE590" s="169"/>
      <c r="BF590" s="220"/>
      <c r="BG590" s="169"/>
      <c r="BH590" s="169"/>
      <c r="BI590" s="169"/>
      <c r="BJ590" s="169"/>
      <c r="BK590" s="220"/>
      <c r="BL590" s="169"/>
      <c r="BM590" s="169"/>
      <c r="BN590" s="169"/>
      <c r="BO590" s="169"/>
      <c r="BP590" s="220"/>
      <c r="BQ590" s="169"/>
      <c r="BR590" s="169"/>
      <c r="BS590" s="169"/>
      <c r="BT590" s="169"/>
      <c r="BU590" s="220"/>
      <c r="BV590" s="169"/>
      <c r="BW590" s="169"/>
      <c r="BX590" s="169"/>
      <c r="BY590" s="169"/>
      <c r="BZ590" s="220"/>
      <c r="CA590" s="169"/>
      <c r="CB590" s="169"/>
      <c r="CC590" s="169"/>
      <c r="CD590" s="169"/>
      <c r="CE590" s="220"/>
      <c r="CF590" s="169"/>
      <c r="CG590" s="169"/>
      <c r="CH590" s="169"/>
      <c r="CI590" s="169"/>
      <c r="CJ590" s="220"/>
      <c r="CK590" s="169"/>
      <c r="CL590" s="169"/>
      <c r="CM590" s="169"/>
      <c r="CN590" s="169"/>
      <c r="CO590" s="220"/>
      <c r="CP590" s="169"/>
      <c r="CQ590" s="169"/>
      <c r="CR590" s="169"/>
      <c r="CS590" s="169"/>
      <c r="CT590" s="220"/>
      <c r="CU590" s="169"/>
      <c r="CV590" s="169"/>
      <c r="CW590" s="169"/>
      <c r="CX590" s="169"/>
      <c r="CY590" s="220"/>
      <c r="CZ590" s="169"/>
      <c r="DA590" s="169"/>
      <c r="DB590" s="169"/>
      <c r="DC590" s="169"/>
      <c r="DD590" s="220"/>
      <c r="DE590" s="169"/>
      <c r="DF590" s="169"/>
      <c r="DG590" s="169"/>
      <c r="DH590" s="169"/>
      <c r="DI590" s="220"/>
      <c r="DJ590" s="169"/>
      <c r="DK590" s="169"/>
      <c r="DL590" s="169"/>
      <c r="DM590" s="169"/>
      <c r="DN590" s="220"/>
      <c r="DO590" s="169"/>
      <c r="DP590" s="169"/>
      <c r="DQ590" s="169"/>
      <c r="DR590" s="169"/>
      <c r="DS590" s="220"/>
      <c r="DT590" s="169"/>
      <c r="DU590" s="169"/>
      <c r="DV590" s="169"/>
      <c r="DW590" s="169"/>
      <c r="DX590" s="220"/>
      <c r="DY590" s="169"/>
      <c r="DZ590" s="169"/>
      <c r="EA590" s="169"/>
      <c r="EB590" s="169"/>
      <c r="EC590" s="220"/>
      <c r="ED590" s="169"/>
      <c r="EE590" s="169"/>
      <c r="EF590" s="169"/>
      <c r="EG590" s="169"/>
      <c r="EH590" s="220"/>
      <c r="EI590" s="169"/>
      <c r="EJ590" s="169"/>
      <c r="EK590" s="169"/>
      <c r="EL590" s="169"/>
      <c r="EM590" s="220"/>
      <c r="EN590" s="169"/>
      <c r="EO590" s="169"/>
      <c r="EP590" s="169"/>
      <c r="EQ590" s="169"/>
      <c r="ER590" s="220"/>
      <c r="ES590" s="169"/>
      <c r="ET590" s="169"/>
      <c r="EU590" s="169"/>
      <c r="EV590" s="169"/>
      <c r="EW590" s="220"/>
      <c r="EX590" s="169"/>
      <c r="EY590" s="169"/>
      <c r="EZ590" s="169"/>
      <c r="FA590" s="169"/>
      <c r="FB590" s="220"/>
      <c r="FC590" s="169"/>
      <c r="FD590" s="169"/>
      <c r="FE590" s="169"/>
      <c r="FF590" s="169"/>
      <c r="FG590" s="220"/>
      <c r="FH590" s="169"/>
      <c r="FI590" s="169"/>
      <c r="FJ590" s="169"/>
      <c r="FK590" s="169"/>
      <c r="FL590" s="220"/>
      <c r="FM590" s="169"/>
      <c r="FN590" s="169"/>
      <c r="FO590" s="169"/>
      <c r="FP590" s="169"/>
      <c r="FQ590" s="220"/>
      <c r="FR590" s="169"/>
      <c r="FS590" s="169"/>
      <c r="FT590" s="169"/>
      <c r="FU590" s="169"/>
      <c r="FV590" s="220"/>
      <c r="FW590" s="169"/>
      <c r="FX590" s="169"/>
      <c r="FY590" s="169"/>
      <c r="FZ590" s="169"/>
      <c r="GA590" s="220"/>
      <c r="GB590" s="169"/>
      <c r="GC590" s="169"/>
      <c r="GD590" s="169"/>
      <c r="GE590" s="169"/>
    </row>
    <row r="591" spans="3:187" ht="12.75" customHeight="1">
      <c r="C591" s="220"/>
      <c r="D591" s="169"/>
      <c r="E591" s="169"/>
      <c r="F591" s="169"/>
      <c r="G591" s="169"/>
      <c r="H591" s="220"/>
      <c r="I591" s="169"/>
      <c r="J591" s="169"/>
      <c r="K591" s="169"/>
      <c r="L591" s="169"/>
      <c r="M591" s="220"/>
      <c r="N591" s="169"/>
      <c r="O591" s="169"/>
      <c r="P591" s="169"/>
      <c r="Q591" s="169"/>
      <c r="R591" s="220"/>
      <c r="S591" s="169"/>
      <c r="T591" s="169"/>
      <c r="U591" s="169"/>
      <c r="V591" s="169"/>
      <c r="W591" s="220"/>
      <c r="X591" s="169"/>
      <c r="Y591" s="169"/>
      <c r="Z591" s="169"/>
      <c r="AA591" s="169"/>
      <c r="AB591" s="220"/>
      <c r="AC591" s="169"/>
      <c r="AD591" s="169"/>
      <c r="AE591" s="169"/>
      <c r="AF591" s="169"/>
      <c r="AG591" s="220"/>
      <c r="AH591" s="169"/>
      <c r="AI591" s="169"/>
      <c r="AJ591" s="169"/>
      <c r="AK591" s="169"/>
      <c r="AL591" s="220"/>
      <c r="AM591" s="169"/>
      <c r="AN591" s="169"/>
      <c r="AO591" s="169"/>
      <c r="AP591" s="169"/>
      <c r="AQ591" s="220"/>
      <c r="AR591" s="169"/>
      <c r="AS591" s="169"/>
      <c r="AT591" s="169"/>
      <c r="AU591" s="169"/>
      <c r="AV591" s="220"/>
      <c r="AW591" s="169"/>
      <c r="AX591" s="169"/>
      <c r="AY591" s="169"/>
      <c r="AZ591" s="169"/>
      <c r="BA591" s="220"/>
      <c r="BB591" s="169"/>
      <c r="BC591" s="169"/>
      <c r="BD591" s="169"/>
      <c r="BE591" s="169"/>
      <c r="BF591" s="220"/>
      <c r="BG591" s="169"/>
      <c r="BH591" s="169"/>
      <c r="BI591" s="169"/>
      <c r="BJ591" s="169"/>
      <c r="BK591" s="220"/>
      <c r="BL591" s="169"/>
      <c r="BM591" s="169"/>
      <c r="BN591" s="169"/>
      <c r="BO591" s="169"/>
      <c r="BP591" s="220"/>
      <c r="BQ591" s="169"/>
      <c r="BR591" s="169"/>
      <c r="BS591" s="169"/>
      <c r="BT591" s="169"/>
      <c r="BU591" s="220"/>
      <c r="BV591" s="169"/>
      <c r="BW591" s="169"/>
      <c r="BX591" s="169"/>
      <c r="BY591" s="169"/>
      <c r="BZ591" s="220"/>
      <c r="CA591" s="169"/>
      <c r="CB591" s="169"/>
      <c r="CC591" s="169"/>
      <c r="CD591" s="169"/>
      <c r="CE591" s="220"/>
      <c r="CF591" s="169"/>
      <c r="CG591" s="169"/>
      <c r="CH591" s="169"/>
      <c r="CI591" s="169"/>
      <c r="CJ591" s="220"/>
      <c r="CK591" s="169"/>
      <c r="CL591" s="169"/>
      <c r="CM591" s="169"/>
      <c r="CN591" s="169"/>
      <c r="CO591" s="220"/>
      <c r="CP591" s="169"/>
      <c r="CQ591" s="169"/>
      <c r="CR591" s="169"/>
      <c r="CS591" s="169"/>
      <c r="CT591" s="220"/>
      <c r="CU591" s="169"/>
      <c r="CV591" s="169"/>
      <c r="CW591" s="169"/>
      <c r="CX591" s="169"/>
      <c r="CY591" s="220"/>
      <c r="CZ591" s="169"/>
      <c r="DA591" s="169"/>
      <c r="DB591" s="169"/>
      <c r="DC591" s="169"/>
      <c r="DD591" s="220"/>
      <c r="DE591" s="169"/>
      <c r="DF591" s="169"/>
      <c r="DG591" s="169"/>
      <c r="DH591" s="169"/>
      <c r="DI591" s="220"/>
      <c r="DJ591" s="169"/>
      <c r="DK591" s="169"/>
      <c r="DL591" s="169"/>
      <c r="DM591" s="169"/>
      <c r="DN591" s="220"/>
      <c r="DO591" s="169"/>
      <c r="DP591" s="169"/>
      <c r="DQ591" s="169"/>
      <c r="DR591" s="169"/>
      <c r="DS591" s="220"/>
      <c r="DT591" s="169"/>
      <c r="DU591" s="169"/>
      <c r="DV591" s="169"/>
      <c r="DW591" s="169"/>
      <c r="DX591" s="220"/>
      <c r="DY591" s="169"/>
      <c r="DZ591" s="169"/>
      <c r="EA591" s="169"/>
      <c r="EB591" s="169"/>
      <c r="EC591" s="220"/>
      <c r="ED591" s="169"/>
      <c r="EE591" s="169"/>
      <c r="EF591" s="169"/>
      <c r="EG591" s="169"/>
      <c r="EH591" s="220"/>
      <c r="EI591" s="169"/>
      <c r="EJ591" s="169"/>
      <c r="EK591" s="169"/>
      <c r="EL591" s="169"/>
      <c r="EM591" s="220"/>
      <c r="EN591" s="169"/>
      <c r="EO591" s="169"/>
      <c r="EP591" s="169"/>
      <c r="EQ591" s="169"/>
      <c r="ER591" s="220"/>
      <c r="ES591" s="169"/>
      <c r="ET591" s="169"/>
      <c r="EU591" s="169"/>
      <c r="EV591" s="169"/>
      <c r="EW591" s="220"/>
      <c r="EX591" s="169"/>
      <c r="EY591" s="169"/>
      <c r="EZ591" s="169"/>
      <c r="FA591" s="169"/>
      <c r="FB591" s="220"/>
      <c r="FC591" s="169"/>
      <c r="FD591" s="169"/>
      <c r="FE591" s="169"/>
      <c r="FF591" s="169"/>
      <c r="FG591" s="220"/>
      <c r="FH591" s="169"/>
      <c r="FI591" s="169"/>
      <c r="FJ591" s="169"/>
      <c r="FK591" s="169"/>
      <c r="FL591" s="220"/>
      <c r="FM591" s="169"/>
      <c r="FN591" s="169"/>
      <c r="FO591" s="169"/>
      <c r="FP591" s="169"/>
      <c r="FQ591" s="220"/>
      <c r="FR591" s="169"/>
      <c r="FS591" s="169"/>
      <c r="FT591" s="169"/>
      <c r="FU591" s="169"/>
      <c r="FV591" s="220"/>
      <c r="FW591" s="169"/>
      <c r="FX591" s="169"/>
      <c r="FY591" s="169"/>
      <c r="FZ591" s="169"/>
      <c r="GA591" s="220"/>
      <c r="GB591" s="169"/>
      <c r="GC591" s="169"/>
      <c r="GD591" s="169"/>
      <c r="GE591" s="169"/>
    </row>
    <row r="592" spans="3:187" ht="12.75" customHeight="1">
      <c r="C592" s="220"/>
      <c r="D592" s="169"/>
      <c r="E592" s="169"/>
      <c r="F592" s="169"/>
      <c r="G592" s="169"/>
      <c r="H592" s="220"/>
      <c r="I592" s="169"/>
      <c r="J592" s="169"/>
      <c r="K592" s="169"/>
      <c r="L592" s="169"/>
      <c r="M592" s="220"/>
      <c r="N592" s="169"/>
      <c r="O592" s="169"/>
      <c r="P592" s="169"/>
      <c r="Q592" s="169"/>
      <c r="R592" s="220"/>
      <c r="S592" s="169"/>
      <c r="T592" s="169"/>
      <c r="U592" s="169"/>
      <c r="V592" s="169"/>
      <c r="W592" s="220"/>
      <c r="X592" s="169"/>
      <c r="Y592" s="169"/>
      <c r="Z592" s="169"/>
      <c r="AA592" s="169"/>
      <c r="AB592" s="220"/>
      <c r="AC592" s="169"/>
      <c r="AD592" s="169"/>
      <c r="AE592" s="169"/>
      <c r="AF592" s="169"/>
      <c r="AG592" s="220"/>
      <c r="AH592" s="169"/>
      <c r="AI592" s="169"/>
      <c r="AJ592" s="169"/>
      <c r="AK592" s="169"/>
      <c r="AL592" s="220"/>
      <c r="AM592" s="169"/>
      <c r="AN592" s="169"/>
      <c r="AO592" s="169"/>
      <c r="AP592" s="169"/>
      <c r="AQ592" s="220"/>
      <c r="AR592" s="169"/>
      <c r="AS592" s="169"/>
      <c r="AT592" s="169"/>
      <c r="AU592" s="169"/>
      <c r="AV592" s="220"/>
      <c r="AW592" s="169"/>
      <c r="AX592" s="169"/>
      <c r="AY592" s="169"/>
      <c r="AZ592" s="169"/>
      <c r="BA592" s="220"/>
      <c r="BB592" s="169"/>
      <c r="BC592" s="169"/>
      <c r="BD592" s="169"/>
      <c r="BE592" s="169"/>
      <c r="BF592" s="220"/>
      <c r="BG592" s="169"/>
      <c r="BH592" s="169"/>
      <c r="BI592" s="169"/>
      <c r="BJ592" s="169"/>
      <c r="BK592" s="220"/>
      <c r="BL592" s="169"/>
      <c r="BM592" s="169"/>
      <c r="BN592" s="169"/>
      <c r="BO592" s="169"/>
      <c r="BP592" s="220"/>
      <c r="BQ592" s="169"/>
      <c r="BR592" s="169"/>
      <c r="BS592" s="169"/>
      <c r="BT592" s="169"/>
      <c r="BU592" s="220"/>
      <c r="BV592" s="169"/>
      <c r="BW592" s="169"/>
      <c r="BX592" s="169"/>
      <c r="BY592" s="169"/>
      <c r="BZ592" s="220"/>
      <c r="CA592" s="169"/>
      <c r="CB592" s="169"/>
      <c r="CC592" s="169"/>
      <c r="CD592" s="169"/>
      <c r="CE592" s="220"/>
      <c r="CF592" s="169"/>
      <c r="CG592" s="169"/>
      <c r="CH592" s="169"/>
      <c r="CI592" s="169"/>
      <c r="CJ592" s="220"/>
      <c r="CK592" s="169"/>
      <c r="CL592" s="169"/>
      <c r="CM592" s="169"/>
      <c r="CN592" s="169"/>
      <c r="CO592" s="220"/>
      <c r="CP592" s="169"/>
      <c r="CQ592" s="169"/>
      <c r="CR592" s="169"/>
      <c r="CS592" s="169"/>
      <c r="CT592" s="220"/>
      <c r="CU592" s="169"/>
      <c r="CV592" s="169"/>
      <c r="CW592" s="169"/>
      <c r="CX592" s="169"/>
      <c r="CY592" s="220"/>
      <c r="CZ592" s="169"/>
      <c r="DA592" s="169"/>
      <c r="DB592" s="169"/>
      <c r="DC592" s="169"/>
      <c r="DD592" s="220"/>
      <c r="DE592" s="169"/>
      <c r="DF592" s="169"/>
      <c r="DG592" s="169"/>
      <c r="DH592" s="169"/>
      <c r="DI592" s="220"/>
      <c r="DJ592" s="169"/>
      <c r="DK592" s="169"/>
      <c r="DL592" s="169"/>
      <c r="DM592" s="169"/>
      <c r="DN592" s="220"/>
      <c r="DO592" s="169"/>
      <c r="DP592" s="169"/>
      <c r="DQ592" s="169"/>
      <c r="DR592" s="169"/>
      <c r="DS592" s="220"/>
      <c r="DT592" s="169"/>
      <c r="DU592" s="169"/>
      <c r="DV592" s="169"/>
      <c r="DW592" s="169"/>
      <c r="DX592" s="220"/>
      <c r="DY592" s="169"/>
      <c r="DZ592" s="169"/>
      <c r="EA592" s="169"/>
      <c r="EB592" s="169"/>
      <c r="EC592" s="220"/>
      <c r="ED592" s="169"/>
      <c r="EE592" s="169"/>
      <c r="EF592" s="169"/>
      <c r="EG592" s="169"/>
      <c r="EH592" s="220"/>
      <c r="EI592" s="169"/>
      <c r="EJ592" s="169"/>
      <c r="EK592" s="169"/>
      <c r="EL592" s="169"/>
      <c r="EM592" s="220"/>
      <c r="EN592" s="169"/>
      <c r="EO592" s="169"/>
      <c r="EP592" s="169"/>
      <c r="EQ592" s="169"/>
      <c r="ER592" s="220"/>
      <c r="ES592" s="169"/>
      <c r="ET592" s="169"/>
      <c r="EU592" s="169"/>
      <c r="EV592" s="169"/>
      <c r="EW592" s="220"/>
      <c r="EX592" s="169"/>
      <c r="EY592" s="169"/>
      <c r="EZ592" s="169"/>
      <c r="FA592" s="169"/>
      <c r="FB592" s="220"/>
      <c r="FC592" s="169"/>
      <c r="FD592" s="169"/>
      <c r="FE592" s="169"/>
      <c r="FF592" s="169"/>
      <c r="FG592" s="220"/>
      <c r="FH592" s="169"/>
      <c r="FI592" s="169"/>
      <c r="FJ592" s="169"/>
      <c r="FK592" s="169"/>
      <c r="FL592" s="220"/>
      <c r="FM592" s="169"/>
      <c r="FN592" s="169"/>
      <c r="FO592" s="169"/>
      <c r="FP592" s="169"/>
      <c r="FQ592" s="220"/>
      <c r="FR592" s="169"/>
      <c r="FS592" s="169"/>
      <c r="FT592" s="169"/>
      <c r="FU592" s="169"/>
      <c r="FV592" s="220"/>
      <c r="FW592" s="169"/>
      <c r="FX592" s="169"/>
      <c r="FY592" s="169"/>
      <c r="FZ592" s="169"/>
      <c r="GA592" s="220"/>
      <c r="GB592" s="169"/>
      <c r="GC592" s="169"/>
      <c r="GD592" s="169"/>
      <c r="GE592" s="169"/>
    </row>
    <row r="593" spans="3:187" ht="12.75" customHeight="1">
      <c r="C593" s="220"/>
      <c r="D593" s="169"/>
      <c r="E593" s="169"/>
      <c r="F593" s="169"/>
      <c r="G593" s="169"/>
      <c r="H593" s="220"/>
      <c r="I593" s="169"/>
      <c r="J593" s="169"/>
      <c r="K593" s="169"/>
      <c r="L593" s="169"/>
      <c r="M593" s="220"/>
      <c r="N593" s="169"/>
      <c r="O593" s="169"/>
      <c r="P593" s="169"/>
      <c r="Q593" s="169"/>
      <c r="R593" s="220"/>
      <c r="S593" s="169"/>
      <c r="T593" s="169"/>
      <c r="U593" s="169"/>
      <c r="V593" s="169"/>
      <c r="W593" s="220"/>
      <c r="X593" s="169"/>
      <c r="Y593" s="169"/>
      <c r="Z593" s="169"/>
      <c r="AA593" s="169"/>
      <c r="AB593" s="220"/>
      <c r="AC593" s="169"/>
      <c r="AD593" s="169"/>
      <c r="AE593" s="169"/>
      <c r="AF593" s="169"/>
      <c r="AG593" s="220"/>
      <c r="AH593" s="169"/>
      <c r="AI593" s="169"/>
      <c r="AJ593" s="169"/>
      <c r="AK593" s="169"/>
      <c r="AL593" s="220"/>
      <c r="AM593" s="169"/>
      <c r="AN593" s="169"/>
      <c r="AO593" s="169"/>
      <c r="AP593" s="169"/>
      <c r="AQ593" s="220"/>
      <c r="AR593" s="169"/>
      <c r="AS593" s="169"/>
      <c r="AT593" s="169"/>
      <c r="AU593" s="169"/>
      <c r="AV593" s="220"/>
      <c r="AW593" s="169"/>
      <c r="AX593" s="169"/>
      <c r="AY593" s="169"/>
      <c r="AZ593" s="169"/>
      <c r="BA593" s="220"/>
      <c r="BB593" s="169"/>
      <c r="BC593" s="169"/>
      <c r="BD593" s="169"/>
      <c r="BE593" s="169"/>
      <c r="BF593" s="220"/>
      <c r="BG593" s="169"/>
      <c r="BH593" s="169"/>
      <c r="BI593" s="169"/>
      <c r="BJ593" s="169"/>
      <c r="BK593" s="220"/>
      <c r="BL593" s="169"/>
      <c r="BM593" s="169"/>
      <c r="BN593" s="169"/>
      <c r="BO593" s="169"/>
      <c r="BP593" s="220"/>
      <c r="BQ593" s="169"/>
      <c r="BR593" s="169"/>
      <c r="BS593" s="169"/>
      <c r="BT593" s="169"/>
      <c r="BU593" s="220"/>
      <c r="BV593" s="169"/>
      <c r="BW593" s="169"/>
      <c r="BX593" s="169"/>
      <c r="BY593" s="169"/>
      <c r="BZ593" s="220"/>
      <c r="CA593" s="169"/>
      <c r="CB593" s="169"/>
      <c r="CC593" s="169"/>
      <c r="CD593" s="169"/>
      <c r="CE593" s="220"/>
      <c r="CF593" s="169"/>
      <c r="CG593" s="169"/>
      <c r="CH593" s="169"/>
      <c r="CI593" s="169"/>
      <c r="CJ593" s="220"/>
      <c r="CK593" s="169"/>
      <c r="CL593" s="169"/>
      <c r="CM593" s="169"/>
      <c r="CN593" s="169"/>
      <c r="CO593" s="220"/>
      <c r="CP593" s="169"/>
      <c r="CQ593" s="169"/>
      <c r="CR593" s="169"/>
      <c r="CS593" s="169"/>
      <c r="CT593" s="220"/>
      <c r="CU593" s="169"/>
      <c r="CV593" s="169"/>
      <c r="CW593" s="169"/>
      <c r="CX593" s="169"/>
      <c r="CY593" s="220"/>
      <c r="CZ593" s="169"/>
      <c r="DA593" s="169"/>
      <c r="DB593" s="169"/>
      <c r="DC593" s="169"/>
      <c r="DD593" s="220"/>
      <c r="DE593" s="169"/>
      <c r="DF593" s="169"/>
      <c r="DG593" s="169"/>
      <c r="DH593" s="169"/>
      <c r="DI593" s="220"/>
      <c r="DJ593" s="169"/>
      <c r="DK593" s="169"/>
      <c r="DL593" s="169"/>
      <c r="DM593" s="169"/>
      <c r="DN593" s="220"/>
      <c r="DO593" s="169"/>
      <c r="DP593" s="169"/>
      <c r="DQ593" s="169"/>
      <c r="DR593" s="169"/>
      <c r="DS593" s="220"/>
      <c r="DT593" s="169"/>
      <c r="DU593" s="169"/>
      <c r="DV593" s="169"/>
      <c r="DW593" s="169"/>
      <c r="DX593" s="220"/>
      <c r="DY593" s="169"/>
      <c r="DZ593" s="169"/>
      <c r="EA593" s="169"/>
      <c r="EB593" s="169"/>
      <c r="EC593" s="220"/>
      <c r="ED593" s="169"/>
      <c r="EE593" s="169"/>
      <c r="EF593" s="169"/>
      <c r="EG593" s="169"/>
      <c r="EH593" s="220"/>
      <c r="EI593" s="169"/>
      <c r="EJ593" s="169"/>
      <c r="EK593" s="169"/>
      <c r="EL593" s="169"/>
      <c r="EM593" s="220"/>
      <c r="EN593" s="169"/>
      <c r="EO593" s="169"/>
      <c r="EP593" s="169"/>
      <c r="EQ593" s="169"/>
      <c r="ER593" s="220"/>
      <c r="ES593" s="169"/>
      <c r="ET593" s="169"/>
      <c r="EU593" s="169"/>
      <c r="EV593" s="169"/>
      <c r="EW593" s="220"/>
      <c r="EX593" s="169"/>
      <c r="EY593" s="169"/>
      <c r="EZ593" s="169"/>
      <c r="FA593" s="169"/>
      <c r="FB593" s="220"/>
      <c r="FC593" s="169"/>
      <c r="FD593" s="169"/>
      <c r="FE593" s="169"/>
      <c r="FF593" s="169"/>
      <c r="FG593" s="220"/>
      <c r="FH593" s="169"/>
      <c r="FI593" s="169"/>
      <c r="FJ593" s="169"/>
      <c r="FK593" s="169"/>
      <c r="FL593" s="220"/>
      <c r="FM593" s="169"/>
      <c r="FN593" s="169"/>
      <c r="FO593" s="169"/>
      <c r="FP593" s="169"/>
      <c r="FQ593" s="220"/>
      <c r="FR593" s="169"/>
      <c r="FS593" s="169"/>
      <c r="FT593" s="169"/>
      <c r="FU593" s="169"/>
      <c r="FV593" s="220"/>
      <c r="FW593" s="169"/>
      <c r="FX593" s="169"/>
      <c r="FY593" s="169"/>
      <c r="FZ593" s="169"/>
      <c r="GA593" s="220"/>
      <c r="GB593" s="169"/>
      <c r="GC593" s="169"/>
      <c r="GD593" s="169"/>
      <c r="GE593" s="169"/>
    </row>
    <row r="594" spans="3:187" ht="12.75" customHeight="1">
      <c r="C594" s="220"/>
      <c r="D594" s="169"/>
      <c r="E594" s="169"/>
      <c r="F594" s="169"/>
      <c r="G594" s="169"/>
      <c r="H594" s="220"/>
      <c r="I594" s="169"/>
      <c r="J594" s="169"/>
      <c r="K594" s="169"/>
      <c r="L594" s="169"/>
      <c r="M594" s="220"/>
      <c r="N594" s="169"/>
      <c r="O594" s="169"/>
      <c r="P594" s="169"/>
      <c r="Q594" s="169"/>
      <c r="R594" s="220"/>
      <c r="S594" s="169"/>
      <c r="T594" s="169"/>
      <c r="U594" s="169"/>
      <c r="V594" s="169"/>
      <c r="W594" s="220"/>
      <c r="X594" s="169"/>
      <c r="Y594" s="169"/>
      <c r="Z594" s="169"/>
      <c r="AA594" s="169"/>
      <c r="AB594" s="220"/>
      <c r="AC594" s="169"/>
      <c r="AD594" s="169"/>
      <c r="AE594" s="169"/>
      <c r="AF594" s="169"/>
      <c r="AG594" s="220"/>
      <c r="AH594" s="169"/>
      <c r="AI594" s="169"/>
      <c r="AJ594" s="169"/>
      <c r="AK594" s="169"/>
      <c r="AL594" s="220"/>
      <c r="AM594" s="169"/>
      <c r="AN594" s="169"/>
      <c r="AO594" s="169"/>
      <c r="AP594" s="169"/>
      <c r="AQ594" s="220"/>
      <c r="AR594" s="169"/>
      <c r="AS594" s="169"/>
      <c r="AT594" s="169"/>
      <c r="AU594" s="169"/>
      <c r="AV594" s="220"/>
      <c r="AW594" s="169"/>
      <c r="AX594" s="169"/>
      <c r="AY594" s="169"/>
      <c r="AZ594" s="169"/>
      <c r="BA594" s="220"/>
      <c r="BB594" s="169"/>
      <c r="BC594" s="169"/>
      <c r="BD594" s="169"/>
      <c r="BE594" s="169"/>
      <c r="BF594" s="220"/>
      <c r="BG594" s="169"/>
      <c r="BH594" s="169"/>
      <c r="BI594" s="169"/>
      <c r="BJ594" s="169"/>
      <c r="BK594" s="220"/>
      <c r="BL594" s="169"/>
      <c r="BM594" s="169"/>
      <c r="BN594" s="169"/>
      <c r="BO594" s="169"/>
      <c r="BP594" s="220"/>
      <c r="BQ594" s="169"/>
      <c r="BR594" s="169"/>
      <c r="BS594" s="169"/>
      <c r="BT594" s="169"/>
      <c r="BU594" s="220"/>
      <c r="BV594" s="169"/>
      <c r="BW594" s="169"/>
      <c r="BX594" s="169"/>
      <c r="BY594" s="169"/>
      <c r="BZ594" s="220"/>
      <c r="CA594" s="169"/>
      <c r="CB594" s="169"/>
      <c r="CC594" s="169"/>
      <c r="CD594" s="169"/>
      <c r="CE594" s="220"/>
      <c r="CF594" s="169"/>
      <c r="CG594" s="169"/>
      <c r="CH594" s="169"/>
      <c r="CI594" s="169"/>
      <c r="CJ594" s="220"/>
      <c r="CK594" s="169"/>
      <c r="CL594" s="169"/>
      <c r="CM594" s="169"/>
      <c r="CN594" s="169"/>
      <c r="CO594" s="220"/>
      <c r="CP594" s="169"/>
      <c r="CQ594" s="169"/>
      <c r="CR594" s="169"/>
      <c r="CS594" s="169"/>
      <c r="CT594" s="220"/>
      <c r="CU594" s="169"/>
      <c r="CV594" s="169"/>
      <c r="CW594" s="169"/>
      <c r="CX594" s="169"/>
      <c r="CY594" s="220"/>
      <c r="CZ594" s="169"/>
      <c r="DA594" s="169"/>
      <c r="DB594" s="169"/>
      <c r="DC594" s="169"/>
      <c r="DD594" s="220"/>
      <c r="DE594" s="169"/>
      <c r="DF594" s="169"/>
      <c r="DG594" s="169"/>
      <c r="DH594" s="169"/>
      <c r="DI594" s="220"/>
      <c r="DJ594" s="169"/>
      <c r="DK594" s="169"/>
      <c r="DL594" s="169"/>
      <c r="DM594" s="169"/>
      <c r="DN594" s="220"/>
      <c r="DO594" s="169"/>
      <c r="DP594" s="169"/>
      <c r="DQ594" s="169"/>
      <c r="DR594" s="169"/>
      <c r="DS594" s="220"/>
      <c r="DT594" s="169"/>
      <c r="DU594" s="169"/>
      <c r="DV594" s="169"/>
      <c r="DW594" s="169"/>
      <c r="DX594" s="220"/>
      <c r="DY594" s="169"/>
      <c r="DZ594" s="169"/>
      <c r="EA594" s="169"/>
      <c r="EB594" s="169"/>
      <c r="EC594" s="220"/>
      <c r="ED594" s="169"/>
      <c r="EE594" s="169"/>
      <c r="EF594" s="169"/>
      <c r="EG594" s="169"/>
      <c r="EH594" s="220"/>
      <c r="EI594" s="169"/>
      <c r="EJ594" s="169"/>
      <c r="EK594" s="169"/>
      <c r="EL594" s="169"/>
      <c r="EM594" s="220"/>
      <c r="EN594" s="169"/>
      <c r="EO594" s="169"/>
      <c r="EP594" s="169"/>
      <c r="EQ594" s="169"/>
      <c r="ER594" s="220"/>
      <c r="ES594" s="169"/>
      <c r="ET594" s="169"/>
      <c r="EU594" s="169"/>
      <c r="EV594" s="169"/>
      <c r="EW594" s="220"/>
      <c r="EX594" s="169"/>
      <c r="EY594" s="169"/>
      <c r="EZ594" s="169"/>
      <c r="FA594" s="169"/>
      <c r="FB594" s="220"/>
      <c r="FC594" s="169"/>
      <c r="FD594" s="169"/>
      <c r="FE594" s="169"/>
      <c r="FF594" s="169"/>
      <c r="FG594" s="220"/>
      <c r="FH594" s="169"/>
      <c r="FI594" s="169"/>
      <c r="FJ594" s="169"/>
      <c r="FK594" s="169"/>
      <c r="FL594" s="220"/>
      <c r="FM594" s="169"/>
      <c r="FN594" s="169"/>
      <c r="FO594" s="169"/>
      <c r="FP594" s="169"/>
      <c r="FQ594" s="220"/>
      <c r="FR594" s="169"/>
      <c r="FS594" s="169"/>
      <c r="FT594" s="169"/>
      <c r="FU594" s="169"/>
      <c r="FV594" s="220"/>
      <c r="FW594" s="169"/>
      <c r="FX594" s="169"/>
      <c r="FY594" s="169"/>
      <c r="FZ594" s="169"/>
      <c r="GA594" s="220"/>
      <c r="GB594" s="169"/>
      <c r="GC594" s="169"/>
      <c r="GD594" s="169"/>
      <c r="GE594" s="169"/>
    </row>
    <row r="595" spans="3:187" ht="12.75" customHeight="1">
      <c r="C595" s="220"/>
      <c r="D595" s="169"/>
      <c r="E595" s="169"/>
      <c r="F595" s="169"/>
      <c r="G595" s="169"/>
      <c r="H595" s="220"/>
      <c r="I595" s="169"/>
      <c r="J595" s="169"/>
      <c r="K595" s="169"/>
      <c r="L595" s="169"/>
      <c r="M595" s="220"/>
      <c r="N595" s="169"/>
      <c r="O595" s="169"/>
      <c r="P595" s="169"/>
      <c r="Q595" s="169"/>
      <c r="R595" s="220"/>
      <c r="S595" s="169"/>
      <c r="T595" s="169"/>
      <c r="U595" s="169"/>
      <c r="V595" s="169"/>
      <c r="W595" s="220"/>
      <c r="X595" s="169"/>
      <c r="Y595" s="169"/>
      <c r="Z595" s="169"/>
      <c r="AA595" s="169"/>
      <c r="AB595" s="220"/>
      <c r="AC595" s="169"/>
      <c r="AD595" s="169"/>
      <c r="AE595" s="169"/>
      <c r="AF595" s="169"/>
      <c r="AG595" s="220"/>
      <c r="AH595" s="169"/>
      <c r="AI595" s="169"/>
      <c r="AJ595" s="169"/>
      <c r="AK595" s="169"/>
      <c r="AL595" s="220"/>
      <c r="AM595" s="169"/>
      <c r="AN595" s="169"/>
      <c r="AO595" s="169"/>
      <c r="AP595" s="169"/>
      <c r="AQ595" s="220"/>
      <c r="AR595" s="169"/>
      <c r="AS595" s="169"/>
      <c r="AT595" s="169"/>
      <c r="AU595" s="169"/>
      <c r="AV595" s="220"/>
      <c r="AW595" s="169"/>
      <c r="AX595" s="169"/>
      <c r="AY595" s="169"/>
      <c r="AZ595" s="169"/>
      <c r="BA595" s="220"/>
      <c r="BB595" s="169"/>
      <c r="BC595" s="169"/>
      <c r="BD595" s="169"/>
      <c r="BE595" s="169"/>
      <c r="BF595" s="220"/>
      <c r="BG595" s="169"/>
      <c r="BH595" s="169"/>
      <c r="BI595" s="169"/>
      <c r="BJ595" s="169"/>
      <c r="BK595" s="220"/>
      <c r="BL595" s="169"/>
      <c r="BM595" s="169"/>
      <c r="BN595" s="169"/>
      <c r="BO595" s="169"/>
      <c r="BP595" s="220"/>
      <c r="BQ595" s="169"/>
      <c r="BR595" s="169"/>
      <c r="BS595" s="169"/>
      <c r="BT595" s="169"/>
      <c r="BU595" s="220"/>
      <c r="BV595" s="169"/>
      <c r="BW595" s="169"/>
      <c r="BX595" s="169"/>
      <c r="BY595" s="169"/>
      <c r="BZ595" s="220"/>
      <c r="CA595" s="169"/>
      <c r="CB595" s="169"/>
      <c r="CC595" s="169"/>
      <c r="CD595" s="169"/>
      <c r="CE595" s="220"/>
      <c r="CF595" s="169"/>
      <c r="CG595" s="169"/>
      <c r="CH595" s="169"/>
      <c r="CI595" s="169"/>
      <c r="CJ595" s="220"/>
      <c r="CK595" s="169"/>
      <c r="CL595" s="169"/>
      <c r="CM595" s="169"/>
      <c r="CN595" s="169"/>
      <c r="CO595" s="220"/>
      <c r="CP595" s="169"/>
      <c r="CQ595" s="169"/>
      <c r="CR595" s="169"/>
      <c r="CS595" s="169"/>
      <c r="CT595" s="220"/>
      <c r="CU595" s="169"/>
      <c r="CV595" s="169"/>
      <c r="CW595" s="169"/>
      <c r="CX595" s="169"/>
      <c r="CY595" s="220"/>
      <c r="CZ595" s="169"/>
      <c r="DA595" s="169"/>
      <c r="DB595" s="169"/>
      <c r="DC595" s="169"/>
      <c r="DD595" s="220"/>
      <c r="DE595" s="169"/>
      <c r="DF595" s="169"/>
      <c r="DG595" s="169"/>
      <c r="DH595" s="169"/>
      <c r="DI595" s="220"/>
      <c r="DJ595" s="169"/>
      <c r="DK595" s="169"/>
      <c r="DL595" s="169"/>
      <c r="DM595" s="169"/>
      <c r="DN595" s="220"/>
      <c r="DO595" s="169"/>
      <c r="DP595" s="169"/>
      <c r="DQ595" s="169"/>
      <c r="DR595" s="169"/>
      <c r="DS595" s="220"/>
      <c r="DT595" s="169"/>
      <c r="DU595" s="169"/>
      <c r="DV595" s="169"/>
      <c r="DW595" s="169"/>
      <c r="DX595" s="220"/>
      <c r="DY595" s="169"/>
      <c r="DZ595" s="169"/>
      <c r="EA595" s="169"/>
      <c r="EB595" s="169"/>
      <c r="EC595" s="220"/>
      <c r="ED595" s="169"/>
      <c r="EE595" s="169"/>
      <c r="EF595" s="169"/>
      <c r="EG595" s="169"/>
      <c r="EH595" s="220"/>
      <c r="EI595" s="169"/>
      <c r="EJ595" s="169"/>
      <c r="EK595" s="169"/>
      <c r="EL595" s="169"/>
      <c r="EM595" s="220"/>
      <c r="EN595" s="169"/>
      <c r="EO595" s="169"/>
      <c r="EP595" s="169"/>
      <c r="EQ595" s="169"/>
      <c r="ER595" s="220"/>
      <c r="ES595" s="169"/>
      <c r="ET595" s="169"/>
      <c r="EU595" s="169"/>
      <c r="EV595" s="169"/>
      <c r="EW595" s="220"/>
      <c r="EX595" s="169"/>
      <c r="EY595" s="169"/>
      <c r="EZ595" s="169"/>
      <c r="FA595" s="169"/>
      <c r="FB595" s="220"/>
      <c r="FC595" s="169"/>
      <c r="FD595" s="169"/>
      <c r="FE595" s="169"/>
      <c r="FF595" s="169"/>
      <c r="FG595" s="220"/>
      <c r="FH595" s="169"/>
      <c r="FI595" s="169"/>
      <c r="FJ595" s="169"/>
      <c r="FK595" s="169"/>
      <c r="FL595" s="220"/>
      <c r="FM595" s="169"/>
      <c r="FN595" s="169"/>
      <c r="FO595" s="169"/>
      <c r="FP595" s="169"/>
      <c r="FQ595" s="220"/>
      <c r="FR595" s="169"/>
      <c r="FS595" s="169"/>
      <c r="FT595" s="169"/>
      <c r="FU595" s="169"/>
      <c r="FV595" s="220"/>
      <c r="FW595" s="169"/>
      <c r="FX595" s="169"/>
      <c r="FY595" s="169"/>
      <c r="FZ595" s="169"/>
      <c r="GA595" s="220"/>
      <c r="GB595" s="169"/>
      <c r="GC595" s="169"/>
      <c r="GD595" s="169"/>
      <c r="GE595" s="169"/>
    </row>
    <row r="596" spans="3:187" ht="12.75" customHeight="1">
      <c r="C596" s="220"/>
      <c r="D596" s="169"/>
      <c r="E596" s="169"/>
      <c r="F596" s="169"/>
      <c r="G596" s="169"/>
      <c r="H596" s="220"/>
      <c r="I596" s="169"/>
      <c r="J596" s="169"/>
      <c r="K596" s="169"/>
      <c r="L596" s="169"/>
      <c r="M596" s="220"/>
      <c r="N596" s="169"/>
      <c r="O596" s="169"/>
      <c r="P596" s="169"/>
      <c r="Q596" s="169"/>
      <c r="R596" s="220"/>
      <c r="S596" s="169"/>
      <c r="T596" s="169"/>
      <c r="U596" s="169"/>
      <c r="V596" s="169"/>
      <c r="W596" s="220"/>
      <c r="X596" s="169"/>
      <c r="Y596" s="169"/>
      <c r="Z596" s="169"/>
      <c r="AA596" s="169"/>
      <c r="AB596" s="220"/>
      <c r="AC596" s="169"/>
      <c r="AD596" s="169"/>
      <c r="AE596" s="169"/>
      <c r="AF596" s="169"/>
      <c r="AG596" s="220"/>
      <c r="AH596" s="169"/>
      <c r="AI596" s="169"/>
      <c r="AJ596" s="169"/>
      <c r="AK596" s="169"/>
      <c r="AL596" s="220"/>
      <c r="AM596" s="169"/>
      <c r="AN596" s="169"/>
      <c r="AO596" s="169"/>
      <c r="AP596" s="169"/>
      <c r="AQ596" s="220"/>
      <c r="AR596" s="169"/>
      <c r="AS596" s="169"/>
      <c r="AT596" s="169"/>
      <c r="AU596" s="169"/>
      <c r="AV596" s="220"/>
      <c r="AW596" s="169"/>
      <c r="AX596" s="169"/>
      <c r="AY596" s="169"/>
      <c r="AZ596" s="169"/>
      <c r="BA596" s="220"/>
      <c r="BB596" s="169"/>
      <c r="BC596" s="169"/>
      <c r="BD596" s="169"/>
      <c r="BE596" s="169"/>
      <c r="BF596" s="220"/>
      <c r="BG596" s="169"/>
      <c r="BH596" s="169"/>
      <c r="BI596" s="169"/>
      <c r="BJ596" s="169"/>
      <c r="BK596" s="220"/>
      <c r="BL596" s="169"/>
      <c r="BM596" s="169"/>
      <c r="BN596" s="169"/>
      <c r="BO596" s="169"/>
      <c r="BP596" s="220"/>
      <c r="BQ596" s="169"/>
      <c r="BR596" s="169"/>
      <c r="BS596" s="169"/>
      <c r="BT596" s="169"/>
      <c r="BU596" s="220"/>
      <c r="BV596" s="169"/>
      <c r="BW596" s="169"/>
      <c r="BX596" s="169"/>
      <c r="BY596" s="169"/>
      <c r="BZ596" s="220"/>
      <c r="CA596" s="169"/>
      <c r="CB596" s="169"/>
      <c r="CC596" s="169"/>
      <c r="CD596" s="169"/>
      <c r="CE596" s="220"/>
      <c r="CF596" s="169"/>
      <c r="CG596" s="169"/>
      <c r="CH596" s="169"/>
      <c r="CI596" s="169"/>
      <c r="CJ596" s="220"/>
      <c r="CK596" s="169"/>
      <c r="CL596" s="169"/>
      <c r="CM596" s="169"/>
      <c r="CN596" s="169"/>
      <c r="CO596" s="220"/>
      <c r="CP596" s="169"/>
      <c r="CQ596" s="169"/>
      <c r="CR596" s="169"/>
      <c r="CS596" s="169"/>
      <c r="CT596" s="220"/>
      <c r="CU596" s="169"/>
      <c r="CV596" s="169"/>
      <c r="CW596" s="169"/>
      <c r="CX596" s="169"/>
      <c r="CY596" s="220"/>
      <c r="CZ596" s="169"/>
      <c r="DA596" s="169"/>
      <c r="DB596" s="169"/>
      <c r="DC596" s="169"/>
      <c r="DD596" s="220"/>
      <c r="DE596" s="169"/>
      <c r="DF596" s="169"/>
      <c r="DG596" s="169"/>
      <c r="DH596" s="169"/>
      <c r="DI596" s="220"/>
      <c r="DJ596" s="169"/>
      <c r="DK596" s="169"/>
      <c r="DL596" s="169"/>
      <c r="DM596" s="169"/>
      <c r="DN596" s="220"/>
      <c r="DO596" s="169"/>
      <c r="DP596" s="169"/>
      <c r="DQ596" s="169"/>
      <c r="DR596" s="169"/>
      <c r="DS596" s="220"/>
      <c r="DT596" s="169"/>
      <c r="DU596" s="169"/>
      <c r="DV596" s="169"/>
      <c r="DW596" s="169"/>
      <c r="DX596" s="220"/>
      <c r="DY596" s="169"/>
      <c r="DZ596" s="169"/>
      <c r="EA596" s="169"/>
      <c r="EB596" s="169"/>
      <c r="EC596" s="220"/>
      <c r="ED596" s="169"/>
      <c r="EE596" s="169"/>
      <c r="EF596" s="169"/>
      <c r="EG596" s="169"/>
      <c r="EH596" s="220"/>
      <c r="EI596" s="169"/>
      <c r="EJ596" s="169"/>
      <c r="EK596" s="169"/>
      <c r="EL596" s="169"/>
      <c r="EM596" s="220"/>
      <c r="EN596" s="169"/>
      <c r="EO596" s="169"/>
      <c r="EP596" s="169"/>
      <c r="EQ596" s="169"/>
      <c r="ER596" s="220"/>
      <c r="ES596" s="169"/>
      <c r="ET596" s="169"/>
      <c r="EU596" s="169"/>
      <c r="EV596" s="169"/>
      <c r="EW596" s="220"/>
      <c r="EX596" s="169"/>
      <c r="EY596" s="169"/>
      <c r="EZ596" s="169"/>
      <c r="FA596" s="169"/>
      <c r="FB596" s="220"/>
      <c r="FC596" s="169"/>
      <c r="FD596" s="169"/>
      <c r="FE596" s="169"/>
      <c r="FF596" s="169"/>
      <c r="FG596" s="220"/>
      <c r="FH596" s="169"/>
      <c r="FI596" s="169"/>
      <c r="FJ596" s="169"/>
      <c r="FK596" s="169"/>
      <c r="FL596" s="220"/>
      <c r="FM596" s="169"/>
      <c r="FN596" s="169"/>
      <c r="FO596" s="169"/>
      <c r="FP596" s="169"/>
      <c r="FQ596" s="220"/>
      <c r="FR596" s="169"/>
      <c r="FS596" s="169"/>
      <c r="FT596" s="169"/>
      <c r="FU596" s="169"/>
      <c r="FV596" s="220"/>
      <c r="FW596" s="169"/>
      <c r="FX596" s="169"/>
      <c r="FY596" s="169"/>
      <c r="FZ596" s="169"/>
      <c r="GA596" s="220"/>
      <c r="GB596" s="169"/>
      <c r="GC596" s="169"/>
      <c r="GD596" s="169"/>
      <c r="GE596" s="169"/>
    </row>
    <row r="597" spans="3:187" ht="12.75" customHeight="1">
      <c r="C597" s="220"/>
      <c r="D597" s="169"/>
      <c r="E597" s="169"/>
      <c r="F597" s="169"/>
      <c r="G597" s="169"/>
      <c r="H597" s="220"/>
      <c r="I597" s="169"/>
      <c r="J597" s="169"/>
      <c r="K597" s="169"/>
      <c r="L597" s="169"/>
      <c r="M597" s="220"/>
      <c r="N597" s="169"/>
      <c r="O597" s="169"/>
      <c r="P597" s="169"/>
      <c r="Q597" s="169"/>
      <c r="R597" s="220"/>
      <c r="S597" s="169"/>
      <c r="T597" s="169"/>
      <c r="U597" s="169"/>
      <c r="V597" s="169"/>
      <c r="W597" s="220"/>
      <c r="X597" s="169"/>
      <c r="Y597" s="169"/>
      <c r="Z597" s="169"/>
      <c r="AA597" s="169"/>
      <c r="AB597" s="220"/>
      <c r="AC597" s="169"/>
      <c r="AD597" s="169"/>
      <c r="AE597" s="169"/>
      <c r="AF597" s="169"/>
      <c r="AG597" s="220"/>
      <c r="AH597" s="169"/>
      <c r="AI597" s="169"/>
      <c r="AJ597" s="169"/>
      <c r="AK597" s="169"/>
      <c r="AL597" s="220"/>
      <c r="AM597" s="169"/>
      <c r="AN597" s="169"/>
      <c r="AO597" s="169"/>
      <c r="AP597" s="169"/>
      <c r="AQ597" s="220"/>
      <c r="AR597" s="169"/>
      <c r="AS597" s="169"/>
      <c r="AT597" s="169"/>
      <c r="AU597" s="169"/>
      <c r="AV597" s="220"/>
      <c r="AW597" s="169"/>
      <c r="AX597" s="169"/>
      <c r="AY597" s="169"/>
      <c r="AZ597" s="169"/>
      <c r="BA597" s="220"/>
      <c r="BB597" s="169"/>
      <c r="BC597" s="169"/>
      <c r="BD597" s="169"/>
      <c r="BE597" s="169"/>
      <c r="BF597" s="220"/>
      <c r="BG597" s="169"/>
      <c r="BH597" s="169"/>
      <c r="BI597" s="169"/>
      <c r="BJ597" s="169"/>
      <c r="BK597" s="220"/>
      <c r="BL597" s="169"/>
      <c r="BM597" s="169"/>
      <c r="BN597" s="169"/>
      <c r="BO597" s="169"/>
      <c r="BP597" s="220"/>
      <c r="BQ597" s="169"/>
      <c r="BR597" s="169"/>
      <c r="BS597" s="169"/>
      <c r="BT597" s="169"/>
      <c r="BU597" s="220"/>
      <c r="BV597" s="169"/>
      <c r="BW597" s="169"/>
      <c r="BX597" s="169"/>
      <c r="BY597" s="169"/>
      <c r="BZ597" s="220"/>
      <c r="CA597" s="169"/>
      <c r="CB597" s="169"/>
      <c r="CC597" s="169"/>
      <c r="CD597" s="169"/>
      <c r="CE597" s="220"/>
      <c r="CF597" s="169"/>
      <c r="CG597" s="169"/>
      <c r="CH597" s="169"/>
      <c r="CI597" s="169"/>
      <c r="CJ597" s="220"/>
      <c r="CK597" s="169"/>
      <c r="CL597" s="169"/>
      <c r="CM597" s="169"/>
      <c r="CN597" s="169"/>
      <c r="CO597" s="220"/>
      <c r="CP597" s="169"/>
      <c r="CQ597" s="169"/>
      <c r="CR597" s="169"/>
      <c r="CS597" s="169"/>
      <c r="CT597" s="220"/>
      <c r="CU597" s="169"/>
      <c r="CV597" s="169"/>
      <c r="CW597" s="169"/>
      <c r="CX597" s="169"/>
      <c r="CY597" s="220"/>
      <c r="CZ597" s="169"/>
      <c r="DA597" s="169"/>
      <c r="DB597" s="169"/>
      <c r="DC597" s="169"/>
      <c r="DD597" s="220"/>
      <c r="DE597" s="169"/>
      <c r="DF597" s="169"/>
      <c r="DG597" s="169"/>
      <c r="DH597" s="169"/>
      <c r="DI597" s="220"/>
      <c r="DJ597" s="169"/>
      <c r="DK597" s="169"/>
      <c r="DL597" s="169"/>
      <c r="DM597" s="169"/>
      <c r="DN597" s="220"/>
      <c r="DO597" s="169"/>
      <c r="DP597" s="169"/>
      <c r="DQ597" s="169"/>
      <c r="DR597" s="169"/>
      <c r="DS597" s="220"/>
      <c r="DT597" s="169"/>
      <c r="DU597" s="169"/>
      <c r="DV597" s="169"/>
      <c r="DW597" s="169"/>
      <c r="DX597" s="220"/>
      <c r="DY597" s="169"/>
      <c r="DZ597" s="169"/>
      <c r="EA597" s="169"/>
      <c r="EB597" s="169"/>
      <c r="EC597" s="220"/>
      <c r="ED597" s="169"/>
      <c r="EE597" s="169"/>
      <c r="EF597" s="169"/>
      <c r="EG597" s="169"/>
      <c r="EH597" s="220"/>
      <c r="EI597" s="169"/>
      <c r="EJ597" s="169"/>
      <c r="EK597" s="169"/>
      <c r="EL597" s="169"/>
      <c r="EM597" s="220"/>
      <c r="EN597" s="169"/>
      <c r="EO597" s="169"/>
      <c r="EP597" s="169"/>
      <c r="EQ597" s="169"/>
      <c r="ER597" s="220"/>
      <c r="ES597" s="169"/>
      <c r="ET597" s="169"/>
      <c r="EU597" s="169"/>
      <c r="EV597" s="169"/>
      <c r="EW597" s="220"/>
      <c r="EX597" s="169"/>
      <c r="EY597" s="169"/>
      <c r="EZ597" s="169"/>
      <c r="FA597" s="169"/>
      <c r="FB597" s="220"/>
      <c r="FC597" s="169"/>
      <c r="FD597" s="169"/>
      <c r="FE597" s="169"/>
      <c r="FF597" s="169"/>
      <c r="FG597" s="220"/>
      <c r="FH597" s="169"/>
      <c r="FI597" s="169"/>
      <c r="FJ597" s="169"/>
      <c r="FK597" s="169"/>
      <c r="FL597" s="220"/>
      <c r="FM597" s="169"/>
      <c r="FN597" s="169"/>
      <c r="FO597" s="169"/>
      <c r="FP597" s="169"/>
      <c r="FQ597" s="220"/>
      <c r="FR597" s="169"/>
      <c r="FS597" s="169"/>
      <c r="FT597" s="169"/>
      <c r="FU597" s="169"/>
      <c r="FV597" s="220"/>
      <c r="FW597" s="169"/>
      <c r="FX597" s="169"/>
      <c r="FY597" s="169"/>
      <c r="FZ597" s="169"/>
      <c r="GA597" s="220"/>
      <c r="GB597" s="169"/>
      <c r="GC597" s="169"/>
      <c r="GD597" s="169"/>
      <c r="GE597" s="169"/>
    </row>
    <row r="598" spans="3:187" ht="12.75" customHeight="1">
      <c r="C598" s="220"/>
      <c r="D598" s="169"/>
      <c r="E598" s="169"/>
      <c r="F598" s="169"/>
      <c r="G598" s="169"/>
      <c r="H598" s="220"/>
      <c r="I598" s="169"/>
      <c r="J598" s="169"/>
      <c r="K598" s="169"/>
      <c r="L598" s="169"/>
      <c r="M598" s="220"/>
      <c r="N598" s="169"/>
      <c r="O598" s="169"/>
      <c r="P598" s="169"/>
      <c r="Q598" s="169"/>
      <c r="R598" s="220"/>
      <c r="S598" s="169"/>
      <c r="T598" s="169"/>
      <c r="U598" s="169"/>
      <c r="V598" s="169"/>
      <c r="W598" s="220"/>
      <c r="X598" s="169"/>
      <c r="Y598" s="169"/>
      <c r="Z598" s="169"/>
      <c r="AA598" s="169"/>
      <c r="AB598" s="220"/>
      <c r="AC598" s="169"/>
      <c r="AD598" s="169"/>
      <c r="AE598" s="169"/>
      <c r="AF598" s="169"/>
      <c r="AG598" s="220"/>
      <c r="AH598" s="169"/>
      <c r="AI598" s="169"/>
      <c r="AJ598" s="169"/>
      <c r="AK598" s="169"/>
      <c r="AL598" s="220"/>
      <c r="AM598" s="169"/>
      <c r="AN598" s="169"/>
      <c r="AO598" s="169"/>
      <c r="AP598" s="169"/>
      <c r="AQ598" s="220"/>
      <c r="AR598" s="169"/>
      <c r="AS598" s="169"/>
      <c r="AT598" s="169"/>
      <c r="AU598" s="169"/>
      <c r="AV598" s="220"/>
      <c r="AW598" s="169"/>
      <c r="AX598" s="169"/>
      <c r="AY598" s="169"/>
      <c r="AZ598" s="169"/>
      <c r="BA598" s="220"/>
      <c r="BB598" s="169"/>
      <c r="BC598" s="169"/>
      <c r="BD598" s="169"/>
      <c r="BE598" s="169"/>
      <c r="BF598" s="220"/>
      <c r="BG598" s="169"/>
      <c r="BH598" s="169"/>
      <c r="BI598" s="169"/>
      <c r="BJ598" s="169"/>
      <c r="BK598" s="220"/>
      <c r="BL598" s="169"/>
      <c r="BM598" s="169"/>
      <c r="BN598" s="169"/>
      <c r="BO598" s="169"/>
      <c r="BP598" s="220"/>
      <c r="BQ598" s="169"/>
      <c r="BR598" s="169"/>
      <c r="BS598" s="169"/>
      <c r="BT598" s="169"/>
      <c r="BU598" s="220"/>
      <c r="BV598" s="169"/>
      <c r="BW598" s="169"/>
      <c r="BX598" s="169"/>
      <c r="BY598" s="169"/>
      <c r="BZ598" s="220"/>
      <c r="CA598" s="169"/>
      <c r="CB598" s="169"/>
      <c r="CC598" s="169"/>
      <c r="CD598" s="169"/>
      <c r="CE598" s="220"/>
      <c r="CF598" s="169"/>
      <c r="CG598" s="169"/>
      <c r="CH598" s="169"/>
      <c r="CI598" s="169"/>
      <c r="CJ598" s="220"/>
      <c r="CK598" s="169"/>
      <c r="CL598" s="169"/>
      <c r="CM598" s="169"/>
      <c r="CN598" s="169"/>
      <c r="CO598" s="220"/>
      <c r="CP598" s="169"/>
      <c r="CQ598" s="169"/>
      <c r="CR598" s="169"/>
      <c r="CS598" s="169"/>
      <c r="CT598" s="220"/>
      <c r="CU598" s="169"/>
      <c r="CV598" s="169"/>
      <c r="CW598" s="169"/>
      <c r="CX598" s="169"/>
      <c r="CY598" s="220"/>
      <c r="CZ598" s="169"/>
      <c r="DA598" s="169"/>
      <c r="DB598" s="169"/>
      <c r="DC598" s="169"/>
      <c r="DD598" s="220"/>
      <c r="DE598" s="169"/>
      <c r="DF598" s="169"/>
      <c r="DG598" s="169"/>
      <c r="DH598" s="169"/>
      <c r="DI598" s="220"/>
      <c r="DJ598" s="169"/>
      <c r="DK598" s="169"/>
      <c r="DL598" s="169"/>
      <c r="DM598" s="169"/>
      <c r="DN598" s="220"/>
      <c r="DO598" s="169"/>
      <c r="DP598" s="169"/>
      <c r="DQ598" s="169"/>
      <c r="DR598" s="169"/>
      <c r="DS598" s="220"/>
      <c r="DT598" s="169"/>
      <c r="DU598" s="169"/>
      <c r="DV598" s="169"/>
      <c r="DW598" s="169"/>
      <c r="DX598" s="220"/>
      <c r="DY598" s="169"/>
      <c r="DZ598" s="169"/>
      <c r="EA598" s="169"/>
      <c r="EB598" s="169"/>
      <c r="EC598" s="220"/>
      <c r="ED598" s="169"/>
      <c r="EE598" s="169"/>
      <c r="EF598" s="169"/>
      <c r="EG598" s="169"/>
      <c r="EH598" s="220"/>
      <c r="EI598" s="169"/>
      <c r="EJ598" s="169"/>
      <c r="EK598" s="169"/>
      <c r="EL598" s="169"/>
      <c r="EM598" s="220"/>
      <c r="EN598" s="169"/>
      <c r="EO598" s="169"/>
      <c r="EP598" s="169"/>
      <c r="EQ598" s="169"/>
      <c r="ER598" s="220"/>
      <c r="ES598" s="169"/>
      <c r="ET598" s="169"/>
      <c r="EU598" s="169"/>
      <c r="EV598" s="169"/>
      <c r="EW598" s="220"/>
      <c r="EX598" s="169"/>
      <c r="EY598" s="169"/>
      <c r="EZ598" s="169"/>
      <c r="FA598" s="169"/>
      <c r="FB598" s="220"/>
      <c r="FC598" s="169"/>
      <c r="FD598" s="169"/>
      <c r="FE598" s="169"/>
      <c r="FF598" s="169"/>
      <c r="FG598" s="220"/>
      <c r="FH598" s="169"/>
      <c r="FI598" s="169"/>
      <c r="FJ598" s="169"/>
      <c r="FK598" s="169"/>
      <c r="FL598" s="220"/>
      <c r="FM598" s="169"/>
      <c r="FN598" s="169"/>
      <c r="FO598" s="169"/>
      <c r="FP598" s="169"/>
      <c r="FQ598" s="220"/>
      <c r="FR598" s="169"/>
      <c r="FS598" s="169"/>
      <c r="FT598" s="169"/>
      <c r="FU598" s="169"/>
      <c r="FV598" s="220"/>
      <c r="FW598" s="169"/>
      <c r="FX598" s="169"/>
      <c r="FY598" s="169"/>
      <c r="FZ598" s="169"/>
      <c r="GA598" s="220"/>
      <c r="GB598" s="169"/>
      <c r="GC598" s="169"/>
      <c r="GD598" s="169"/>
      <c r="GE598" s="169"/>
    </row>
    <row r="599" spans="3:187" ht="12.75" customHeight="1">
      <c r="C599" s="220"/>
      <c r="D599" s="169"/>
      <c r="E599" s="169"/>
      <c r="F599" s="169"/>
      <c r="G599" s="169"/>
      <c r="H599" s="220"/>
      <c r="I599" s="169"/>
      <c r="J599" s="169"/>
      <c r="K599" s="169"/>
      <c r="L599" s="169"/>
      <c r="M599" s="220"/>
      <c r="N599" s="169"/>
      <c r="O599" s="169"/>
      <c r="P599" s="169"/>
      <c r="Q599" s="169"/>
      <c r="R599" s="220"/>
      <c r="S599" s="169"/>
      <c r="T599" s="169"/>
      <c r="U599" s="169"/>
      <c r="V599" s="169"/>
      <c r="W599" s="220"/>
      <c r="X599" s="169"/>
      <c r="Y599" s="169"/>
      <c r="Z599" s="169"/>
      <c r="AA599" s="169"/>
      <c r="AB599" s="220"/>
      <c r="AC599" s="169"/>
      <c r="AD599" s="169"/>
      <c r="AE599" s="169"/>
      <c r="AF599" s="169"/>
      <c r="AG599" s="220"/>
      <c r="AH599" s="169"/>
      <c r="AI599" s="169"/>
      <c r="AJ599" s="169"/>
      <c r="AK599" s="169"/>
      <c r="AL599" s="220"/>
      <c r="AM599" s="169"/>
      <c r="AN599" s="169"/>
      <c r="AO599" s="169"/>
      <c r="AP599" s="169"/>
      <c r="AQ599" s="220"/>
      <c r="AR599" s="169"/>
      <c r="AS599" s="169"/>
      <c r="AT599" s="169"/>
      <c r="AU599" s="169"/>
      <c r="AV599" s="220"/>
      <c r="AW599" s="169"/>
      <c r="AX599" s="169"/>
      <c r="AY599" s="169"/>
      <c r="AZ599" s="169"/>
      <c r="BA599" s="220"/>
      <c r="BB599" s="169"/>
      <c r="BC599" s="169"/>
      <c r="BD599" s="169"/>
      <c r="BE599" s="169"/>
      <c r="BF599" s="220"/>
      <c r="BG599" s="169"/>
      <c r="BH599" s="169"/>
      <c r="BI599" s="169"/>
      <c r="BJ599" s="169"/>
      <c r="BK599" s="220"/>
      <c r="BL599" s="169"/>
      <c r="BM599" s="169"/>
      <c r="BN599" s="169"/>
      <c r="BO599" s="169"/>
      <c r="BP599" s="220"/>
      <c r="BQ599" s="169"/>
      <c r="BR599" s="169"/>
      <c r="BS599" s="169"/>
      <c r="BT599" s="169"/>
      <c r="BU599" s="220"/>
      <c r="BV599" s="169"/>
      <c r="BW599" s="169"/>
      <c r="BX599" s="169"/>
      <c r="BY599" s="169"/>
      <c r="BZ599" s="220"/>
      <c r="CA599" s="169"/>
      <c r="CB599" s="169"/>
      <c r="CC599" s="169"/>
      <c r="CD599" s="169"/>
      <c r="CE599" s="220"/>
      <c r="CF599" s="169"/>
      <c r="CG599" s="169"/>
      <c r="CH599" s="169"/>
      <c r="CI599" s="169"/>
      <c r="CJ599" s="220"/>
      <c r="CK599" s="169"/>
      <c r="CL599" s="169"/>
      <c r="CM599" s="169"/>
      <c r="CN599" s="169"/>
      <c r="CO599" s="220"/>
      <c r="CP599" s="169"/>
      <c r="CQ599" s="169"/>
      <c r="CR599" s="169"/>
      <c r="CS599" s="169"/>
      <c r="CT599" s="220"/>
      <c r="CU599" s="169"/>
      <c r="CV599" s="169"/>
      <c r="CW599" s="169"/>
      <c r="CX599" s="169"/>
      <c r="CY599" s="220"/>
      <c r="CZ599" s="169"/>
      <c r="DA599" s="169"/>
      <c r="DB599" s="169"/>
      <c r="DC599" s="169"/>
      <c r="DD599" s="220"/>
      <c r="DE599" s="169"/>
      <c r="DF599" s="169"/>
      <c r="DG599" s="169"/>
      <c r="DH599" s="169"/>
      <c r="DI599" s="220"/>
      <c r="DJ599" s="169"/>
      <c r="DK599" s="169"/>
      <c r="DL599" s="169"/>
      <c r="DM599" s="169"/>
      <c r="DN599" s="220"/>
      <c r="DO599" s="169"/>
      <c r="DP599" s="169"/>
      <c r="DQ599" s="169"/>
      <c r="DR599" s="169"/>
      <c r="DS599" s="220"/>
      <c r="DT599" s="169"/>
      <c r="DU599" s="169"/>
      <c r="DV599" s="169"/>
      <c r="DW599" s="169"/>
      <c r="DX599" s="220"/>
      <c r="DY599" s="169"/>
      <c r="DZ599" s="169"/>
      <c r="EA599" s="169"/>
      <c r="EB599" s="169"/>
      <c r="EC599" s="220"/>
      <c r="ED599" s="169"/>
      <c r="EE599" s="169"/>
      <c r="EF599" s="169"/>
      <c r="EG599" s="169"/>
      <c r="EH599" s="220"/>
      <c r="EI599" s="169"/>
      <c r="EJ599" s="169"/>
      <c r="EK599" s="169"/>
      <c r="EL599" s="169"/>
      <c r="EM599" s="220"/>
      <c r="EN599" s="169"/>
      <c r="EO599" s="169"/>
      <c r="EP599" s="169"/>
      <c r="EQ599" s="169"/>
      <c r="ER599" s="220"/>
      <c r="ES599" s="169"/>
      <c r="ET599" s="169"/>
      <c r="EU599" s="169"/>
      <c r="EV599" s="169"/>
      <c r="EW599" s="220"/>
      <c r="EX599" s="169"/>
      <c r="EY599" s="169"/>
      <c r="EZ599" s="169"/>
      <c r="FA599" s="169"/>
      <c r="FB599" s="220"/>
      <c r="FC599" s="169"/>
      <c r="FD599" s="169"/>
      <c r="FE599" s="169"/>
      <c r="FF599" s="169"/>
      <c r="FG599" s="220"/>
      <c r="FH599" s="169"/>
      <c r="FI599" s="169"/>
      <c r="FJ599" s="169"/>
      <c r="FK599" s="169"/>
      <c r="FL599" s="220"/>
      <c r="FM599" s="169"/>
      <c r="FN599" s="169"/>
      <c r="FO599" s="169"/>
      <c r="FP599" s="169"/>
      <c r="FQ599" s="220"/>
      <c r="FR599" s="169"/>
      <c r="FS599" s="169"/>
      <c r="FT599" s="169"/>
      <c r="FU599" s="169"/>
      <c r="FV599" s="220"/>
      <c r="FW599" s="169"/>
      <c r="FX599" s="169"/>
      <c r="FY599" s="169"/>
      <c r="FZ599" s="169"/>
      <c r="GA599" s="220"/>
      <c r="GB599" s="169"/>
      <c r="GC599" s="169"/>
      <c r="GD599" s="169"/>
      <c r="GE599" s="169"/>
    </row>
    <row r="600" spans="3:187" ht="12.75" customHeight="1">
      <c r="C600" s="220"/>
      <c r="D600" s="169"/>
      <c r="E600" s="169"/>
      <c r="F600" s="169"/>
      <c r="G600" s="169"/>
      <c r="H600" s="220"/>
      <c r="I600" s="169"/>
      <c r="J600" s="169"/>
      <c r="K600" s="169"/>
      <c r="L600" s="169"/>
      <c r="M600" s="220"/>
      <c r="N600" s="169"/>
      <c r="O600" s="169"/>
      <c r="P600" s="169"/>
      <c r="Q600" s="169"/>
      <c r="R600" s="220"/>
      <c r="S600" s="169"/>
      <c r="T600" s="169"/>
      <c r="U600" s="169"/>
      <c r="V600" s="169"/>
      <c r="W600" s="220"/>
      <c r="X600" s="169"/>
      <c r="Y600" s="169"/>
      <c r="Z600" s="169"/>
      <c r="AA600" s="169"/>
      <c r="AB600" s="220"/>
      <c r="AC600" s="169"/>
      <c r="AD600" s="169"/>
      <c r="AE600" s="169"/>
      <c r="AF600" s="169"/>
      <c r="AG600" s="220"/>
      <c r="AH600" s="169"/>
      <c r="AI600" s="169"/>
      <c r="AJ600" s="169"/>
      <c r="AK600" s="169"/>
      <c r="AL600" s="220"/>
      <c r="AM600" s="169"/>
      <c r="AN600" s="169"/>
      <c r="AO600" s="169"/>
      <c r="AP600" s="169"/>
      <c r="AQ600" s="220"/>
      <c r="AR600" s="169"/>
      <c r="AS600" s="169"/>
      <c r="AT600" s="169"/>
      <c r="AU600" s="169"/>
      <c r="AV600" s="220"/>
      <c r="AW600" s="169"/>
      <c r="AX600" s="169"/>
      <c r="AY600" s="169"/>
      <c r="AZ600" s="169"/>
      <c r="BA600" s="220"/>
      <c r="BB600" s="169"/>
      <c r="BC600" s="169"/>
      <c r="BD600" s="169"/>
      <c r="BE600" s="169"/>
      <c r="BF600" s="220"/>
      <c r="BG600" s="169"/>
      <c r="BH600" s="169"/>
      <c r="BI600" s="169"/>
      <c r="BJ600" s="169"/>
      <c r="BK600" s="220"/>
      <c r="BL600" s="169"/>
      <c r="BM600" s="169"/>
      <c r="BN600" s="169"/>
      <c r="BO600" s="169"/>
      <c r="BP600" s="220"/>
      <c r="BQ600" s="169"/>
      <c r="BR600" s="169"/>
      <c r="BS600" s="169"/>
      <c r="BT600" s="169"/>
      <c r="BU600" s="220"/>
      <c r="BV600" s="169"/>
      <c r="BW600" s="169"/>
      <c r="BX600" s="169"/>
      <c r="BY600" s="169"/>
      <c r="BZ600" s="220"/>
      <c r="CA600" s="169"/>
      <c r="CB600" s="169"/>
      <c r="CC600" s="169"/>
      <c r="CD600" s="169"/>
      <c r="CE600" s="220"/>
      <c r="CF600" s="169"/>
      <c r="CG600" s="169"/>
      <c r="CH600" s="169"/>
      <c r="CI600" s="169"/>
      <c r="CJ600" s="220"/>
      <c r="CK600" s="169"/>
      <c r="CL600" s="169"/>
      <c r="CM600" s="169"/>
      <c r="CN600" s="169"/>
      <c r="CO600" s="220"/>
      <c r="CP600" s="169"/>
      <c r="CQ600" s="169"/>
      <c r="CR600" s="169"/>
      <c r="CS600" s="169"/>
      <c r="CT600" s="220"/>
      <c r="CU600" s="169"/>
      <c r="CV600" s="169"/>
      <c r="CW600" s="169"/>
      <c r="CX600" s="169"/>
      <c r="CY600" s="220"/>
      <c r="CZ600" s="169"/>
      <c r="DA600" s="169"/>
      <c r="DB600" s="169"/>
      <c r="DC600" s="169"/>
      <c r="DD600" s="220"/>
      <c r="DE600" s="169"/>
      <c r="DF600" s="169"/>
      <c r="DG600" s="169"/>
      <c r="DH600" s="169"/>
      <c r="DI600" s="220"/>
      <c r="DJ600" s="169"/>
      <c r="DK600" s="169"/>
      <c r="DL600" s="169"/>
      <c r="DM600" s="169"/>
      <c r="DN600" s="220"/>
      <c r="DO600" s="169"/>
      <c r="DP600" s="169"/>
      <c r="DQ600" s="169"/>
      <c r="DR600" s="169"/>
      <c r="DS600" s="220"/>
      <c r="DT600" s="169"/>
      <c r="DU600" s="169"/>
      <c r="DV600" s="169"/>
      <c r="DW600" s="169"/>
      <c r="DX600" s="220"/>
      <c r="DY600" s="169"/>
      <c r="DZ600" s="169"/>
      <c r="EA600" s="169"/>
      <c r="EB600" s="169"/>
      <c r="EC600" s="220"/>
      <c r="ED600" s="169"/>
      <c r="EE600" s="169"/>
      <c r="EF600" s="169"/>
      <c r="EG600" s="169"/>
      <c r="EH600" s="220"/>
      <c r="EI600" s="169"/>
      <c r="EJ600" s="169"/>
      <c r="EK600" s="169"/>
      <c r="EL600" s="169"/>
      <c r="EM600" s="220"/>
      <c r="EN600" s="169"/>
      <c r="EO600" s="169"/>
      <c r="EP600" s="169"/>
      <c r="EQ600" s="169"/>
      <c r="ER600" s="220"/>
      <c r="ES600" s="169"/>
      <c r="ET600" s="169"/>
      <c r="EU600" s="169"/>
      <c r="EV600" s="169"/>
      <c r="EW600" s="220"/>
      <c r="EX600" s="169"/>
      <c r="EY600" s="169"/>
      <c r="EZ600" s="169"/>
      <c r="FA600" s="169"/>
      <c r="FB600" s="220"/>
      <c r="FC600" s="169"/>
      <c r="FD600" s="169"/>
      <c r="FE600" s="169"/>
      <c r="FF600" s="169"/>
      <c r="FG600" s="220"/>
      <c r="FH600" s="169"/>
      <c r="FI600" s="169"/>
      <c r="FJ600" s="169"/>
      <c r="FK600" s="169"/>
      <c r="FL600" s="220"/>
      <c r="FM600" s="169"/>
      <c r="FN600" s="169"/>
      <c r="FO600" s="169"/>
      <c r="FP600" s="169"/>
      <c r="FQ600" s="220"/>
      <c r="FR600" s="169"/>
      <c r="FS600" s="169"/>
      <c r="FT600" s="169"/>
      <c r="FU600" s="169"/>
      <c r="FV600" s="220"/>
      <c r="FW600" s="169"/>
      <c r="FX600" s="169"/>
      <c r="FY600" s="169"/>
      <c r="FZ600" s="169"/>
      <c r="GA600" s="220"/>
      <c r="GB600" s="169"/>
      <c r="GC600" s="169"/>
      <c r="GD600" s="169"/>
      <c r="GE600" s="169"/>
    </row>
    <row r="601" spans="3:187" ht="12.75" customHeight="1">
      <c r="C601" s="220"/>
      <c r="D601" s="169"/>
      <c r="E601" s="169"/>
      <c r="F601" s="169"/>
      <c r="G601" s="169"/>
      <c r="H601" s="220"/>
      <c r="I601" s="169"/>
      <c r="J601" s="169"/>
      <c r="K601" s="169"/>
      <c r="L601" s="169"/>
      <c r="M601" s="220"/>
      <c r="N601" s="169"/>
      <c r="O601" s="169"/>
      <c r="P601" s="169"/>
      <c r="Q601" s="169"/>
      <c r="R601" s="220"/>
      <c r="S601" s="169"/>
      <c r="T601" s="169"/>
      <c r="U601" s="169"/>
      <c r="V601" s="169"/>
      <c r="W601" s="220"/>
      <c r="X601" s="169"/>
      <c r="Y601" s="169"/>
      <c r="Z601" s="169"/>
      <c r="AA601" s="169"/>
      <c r="AB601" s="220"/>
      <c r="AC601" s="169"/>
      <c r="AD601" s="169"/>
      <c r="AE601" s="169"/>
      <c r="AF601" s="169"/>
      <c r="AG601" s="220"/>
      <c r="AH601" s="169"/>
      <c r="AI601" s="169"/>
      <c r="AJ601" s="169"/>
      <c r="AK601" s="169"/>
      <c r="AL601" s="220"/>
      <c r="AM601" s="169"/>
      <c r="AN601" s="169"/>
      <c r="AO601" s="169"/>
      <c r="AP601" s="169"/>
      <c r="AQ601" s="220"/>
      <c r="AR601" s="169"/>
      <c r="AS601" s="169"/>
      <c r="AT601" s="169"/>
      <c r="AU601" s="169"/>
      <c r="AV601" s="220"/>
      <c r="AW601" s="169"/>
      <c r="AX601" s="169"/>
      <c r="AY601" s="169"/>
      <c r="AZ601" s="169"/>
      <c r="BA601" s="220"/>
      <c r="BB601" s="169"/>
      <c r="BC601" s="169"/>
      <c r="BD601" s="169"/>
      <c r="BE601" s="169"/>
      <c r="BF601" s="220"/>
      <c r="BG601" s="169"/>
      <c r="BH601" s="169"/>
      <c r="BI601" s="169"/>
      <c r="BJ601" s="169"/>
      <c r="BK601" s="220"/>
      <c r="BL601" s="169"/>
      <c r="BM601" s="169"/>
      <c r="BN601" s="169"/>
      <c r="BO601" s="169"/>
      <c r="BP601" s="220"/>
      <c r="BQ601" s="169"/>
      <c r="BR601" s="169"/>
      <c r="BS601" s="169"/>
      <c r="BT601" s="169"/>
      <c r="BU601" s="220"/>
      <c r="BV601" s="169"/>
      <c r="BW601" s="169"/>
      <c r="BX601" s="169"/>
      <c r="BY601" s="169"/>
      <c r="BZ601" s="220"/>
      <c r="CA601" s="169"/>
      <c r="CB601" s="169"/>
      <c r="CC601" s="169"/>
      <c r="CD601" s="169"/>
      <c r="CE601" s="220"/>
      <c r="CF601" s="169"/>
      <c r="CG601" s="169"/>
      <c r="CH601" s="169"/>
      <c r="CI601" s="169"/>
      <c r="CJ601" s="220"/>
      <c r="CK601" s="169"/>
      <c r="CL601" s="169"/>
      <c r="CM601" s="169"/>
      <c r="CN601" s="169"/>
      <c r="CO601" s="220"/>
      <c r="CP601" s="169"/>
      <c r="CQ601" s="169"/>
      <c r="CR601" s="169"/>
      <c r="CS601" s="169"/>
      <c r="CT601" s="220"/>
      <c r="CU601" s="169"/>
      <c r="CV601" s="169"/>
      <c r="CW601" s="169"/>
      <c r="CX601" s="169"/>
      <c r="CY601" s="220"/>
      <c r="CZ601" s="169"/>
      <c r="DA601" s="169"/>
      <c r="DB601" s="169"/>
      <c r="DC601" s="169"/>
      <c r="DD601" s="220"/>
      <c r="DE601" s="169"/>
      <c r="DF601" s="169"/>
      <c r="DG601" s="169"/>
      <c r="DH601" s="169"/>
      <c r="DI601" s="220"/>
      <c r="DJ601" s="169"/>
      <c r="DK601" s="169"/>
      <c r="DL601" s="169"/>
      <c r="DM601" s="169"/>
      <c r="DN601" s="220"/>
      <c r="DO601" s="169"/>
      <c r="DP601" s="169"/>
      <c r="DQ601" s="169"/>
      <c r="DR601" s="169"/>
      <c r="DS601" s="220"/>
      <c r="DT601" s="169"/>
      <c r="DU601" s="169"/>
      <c r="DV601" s="169"/>
      <c r="DW601" s="169"/>
      <c r="DX601" s="220"/>
      <c r="DY601" s="169"/>
      <c r="DZ601" s="169"/>
      <c r="EA601" s="169"/>
      <c r="EB601" s="169"/>
      <c r="EC601" s="220"/>
      <c r="ED601" s="169"/>
      <c r="EE601" s="169"/>
      <c r="EF601" s="169"/>
      <c r="EG601" s="169"/>
      <c r="EH601" s="220"/>
      <c r="EI601" s="169"/>
      <c r="EJ601" s="169"/>
      <c r="EK601" s="169"/>
      <c r="EL601" s="169"/>
      <c r="EM601" s="220"/>
      <c r="EN601" s="169"/>
      <c r="EO601" s="169"/>
      <c r="EP601" s="169"/>
      <c r="EQ601" s="169"/>
      <c r="ER601" s="220"/>
      <c r="ES601" s="169"/>
      <c r="ET601" s="169"/>
      <c r="EU601" s="169"/>
      <c r="EV601" s="169"/>
      <c r="EW601" s="220"/>
      <c r="EX601" s="169"/>
      <c r="EY601" s="169"/>
      <c r="EZ601" s="169"/>
      <c r="FA601" s="169"/>
      <c r="FB601" s="220"/>
      <c r="FC601" s="169"/>
      <c r="FD601" s="169"/>
      <c r="FE601" s="169"/>
      <c r="FF601" s="169"/>
      <c r="FG601" s="220"/>
      <c r="FH601" s="169"/>
      <c r="FI601" s="169"/>
      <c r="FJ601" s="169"/>
      <c r="FK601" s="169"/>
      <c r="FL601" s="220"/>
      <c r="FM601" s="169"/>
      <c r="FN601" s="169"/>
      <c r="FO601" s="169"/>
      <c r="FP601" s="169"/>
      <c r="FQ601" s="220"/>
      <c r="FR601" s="169"/>
      <c r="FS601" s="169"/>
      <c r="FT601" s="169"/>
      <c r="FU601" s="169"/>
      <c r="FV601" s="220"/>
      <c r="FW601" s="169"/>
      <c r="FX601" s="169"/>
      <c r="FY601" s="169"/>
      <c r="FZ601" s="169"/>
      <c r="GA601" s="220"/>
      <c r="GB601" s="169"/>
      <c r="GC601" s="169"/>
      <c r="GD601" s="169"/>
      <c r="GE601" s="169"/>
    </row>
    <row r="602" spans="3:187" ht="12.75" customHeight="1">
      <c r="C602" s="234"/>
      <c r="D602" s="234"/>
      <c r="E602" s="234"/>
      <c r="F602" s="234"/>
      <c r="G602" s="234"/>
      <c r="H602" s="234"/>
      <c r="I602" s="234"/>
      <c r="J602" s="234"/>
      <c r="K602" s="234"/>
      <c r="L602" s="234"/>
      <c r="M602" s="234"/>
      <c r="N602" s="234"/>
      <c r="O602" s="234"/>
      <c r="P602" s="234"/>
      <c r="Q602" s="234"/>
      <c r="R602" s="234"/>
      <c r="S602" s="234"/>
      <c r="T602" s="234"/>
      <c r="U602" s="234"/>
      <c r="V602" s="234"/>
      <c r="W602" s="234"/>
      <c r="X602" s="234"/>
      <c r="Y602" s="234"/>
      <c r="Z602" s="234"/>
      <c r="AA602" s="234"/>
      <c r="AB602" s="234"/>
      <c r="AC602" s="234"/>
      <c r="AD602" s="234"/>
      <c r="AE602" s="234"/>
      <c r="AF602" s="234"/>
      <c r="AG602" s="234"/>
      <c r="AH602" s="234"/>
      <c r="AI602" s="234"/>
      <c r="AJ602" s="234"/>
      <c r="AK602" s="234"/>
      <c r="AL602" s="234"/>
      <c r="AM602" s="234"/>
      <c r="AN602" s="234"/>
      <c r="AO602" s="234"/>
      <c r="AP602" s="234"/>
      <c r="AQ602" s="234"/>
      <c r="AR602" s="234"/>
      <c r="AS602" s="234"/>
      <c r="AT602" s="234"/>
      <c r="AU602" s="234"/>
      <c r="AV602" s="234"/>
      <c r="AW602" s="234"/>
      <c r="AX602" s="234"/>
      <c r="AY602" s="234"/>
      <c r="AZ602" s="234"/>
      <c r="BA602" s="234"/>
      <c r="BB602" s="234"/>
      <c r="BC602" s="234"/>
      <c r="BD602" s="234"/>
      <c r="BE602" s="234"/>
      <c r="BF602" s="234"/>
      <c r="BG602" s="234"/>
      <c r="BH602" s="234"/>
      <c r="BI602" s="234"/>
      <c r="BJ602" s="234"/>
      <c r="BK602" s="234"/>
      <c r="BL602" s="234"/>
      <c r="BM602" s="234"/>
      <c r="BN602" s="234"/>
      <c r="BO602" s="234"/>
      <c r="BP602" s="234"/>
      <c r="BQ602" s="234"/>
      <c r="BR602" s="234"/>
      <c r="BS602" s="234"/>
      <c r="BT602" s="234"/>
      <c r="BU602" s="234"/>
      <c r="BV602" s="234"/>
      <c r="BW602" s="234"/>
      <c r="BX602" s="234"/>
      <c r="BY602" s="234"/>
      <c r="BZ602" s="234"/>
      <c r="CA602" s="234"/>
      <c r="CB602" s="234"/>
      <c r="CC602" s="234"/>
      <c r="CD602" s="234"/>
      <c r="CE602" s="234"/>
      <c r="CF602" s="234"/>
      <c r="CG602" s="234"/>
      <c r="CH602" s="234"/>
      <c r="CI602" s="234"/>
      <c r="CJ602" s="234"/>
      <c r="CK602" s="234"/>
      <c r="CL602" s="234"/>
      <c r="CM602" s="234"/>
      <c r="CN602" s="234"/>
      <c r="CO602" s="234"/>
      <c r="CP602" s="234"/>
      <c r="CQ602" s="234"/>
      <c r="CR602" s="234"/>
      <c r="CS602" s="234"/>
      <c r="CT602" s="234"/>
      <c r="CU602" s="234"/>
      <c r="CV602" s="234"/>
      <c r="CW602" s="234"/>
      <c r="CX602" s="234"/>
      <c r="CY602" s="234"/>
      <c r="CZ602" s="234"/>
      <c r="DA602" s="234"/>
      <c r="DB602" s="234"/>
      <c r="DC602" s="234"/>
      <c r="DD602" s="234"/>
      <c r="DE602" s="234"/>
      <c r="DF602" s="234"/>
      <c r="DG602" s="234"/>
      <c r="DH602" s="234"/>
      <c r="DI602" s="234"/>
      <c r="DJ602" s="234"/>
      <c r="DK602" s="234"/>
      <c r="DL602" s="234"/>
      <c r="DM602" s="234"/>
      <c r="DN602" s="234"/>
      <c r="DO602" s="234"/>
      <c r="DP602" s="234"/>
      <c r="DQ602" s="234"/>
      <c r="DR602" s="234"/>
      <c r="DS602" s="234"/>
      <c r="DT602" s="234"/>
      <c r="DU602" s="234"/>
      <c r="DV602" s="234"/>
      <c r="DW602" s="234"/>
      <c r="DX602" s="234"/>
      <c r="DY602" s="234"/>
      <c r="DZ602" s="234"/>
      <c r="EA602" s="234"/>
      <c r="EB602" s="234"/>
      <c r="EC602" s="234"/>
      <c r="ED602" s="234"/>
      <c r="EE602" s="234"/>
      <c r="EF602" s="234"/>
      <c r="EG602" s="234"/>
      <c r="EH602" s="234"/>
      <c r="EI602" s="234"/>
      <c r="EJ602" s="234"/>
      <c r="EK602" s="234"/>
      <c r="EL602" s="234"/>
      <c r="EM602" s="234"/>
      <c r="EN602" s="234"/>
      <c r="EO602" s="234"/>
      <c r="EP602" s="234"/>
      <c r="EQ602" s="234"/>
      <c r="ER602" s="234"/>
      <c r="ES602" s="234"/>
      <c r="ET602" s="234"/>
      <c r="EU602" s="234"/>
      <c r="EV602" s="234"/>
      <c r="EW602" s="234"/>
      <c r="EX602" s="234"/>
      <c r="EY602" s="234"/>
      <c r="EZ602" s="234"/>
      <c r="FA602" s="234"/>
      <c r="FB602" s="234"/>
      <c r="FC602" s="234"/>
      <c r="FD602" s="234"/>
      <c r="FE602" s="234"/>
      <c r="FF602" s="234"/>
      <c r="FG602" s="234"/>
      <c r="FH602" s="234"/>
      <c r="FI602" s="234"/>
      <c r="FJ602" s="234"/>
      <c r="FK602" s="234"/>
      <c r="FL602" s="234"/>
      <c r="FM602" s="234"/>
      <c r="FN602" s="234"/>
      <c r="FO602" s="234"/>
      <c r="FP602" s="234"/>
      <c r="FQ602" s="234"/>
      <c r="FR602" s="234"/>
      <c r="FS602" s="234"/>
      <c r="FT602" s="234"/>
      <c r="FU602" s="234"/>
      <c r="FV602" s="234"/>
      <c r="FW602" s="234"/>
      <c r="FX602" s="234"/>
      <c r="FY602" s="234"/>
      <c r="FZ602" s="234"/>
      <c r="GA602" s="234"/>
      <c r="GB602" s="234"/>
      <c r="GC602" s="234"/>
      <c r="GD602" s="234"/>
      <c r="GE602" s="234"/>
    </row>
    <row r="603" spans="3:187" ht="12.75" customHeight="1">
      <c r="C603" s="106"/>
      <c r="D603" s="106"/>
      <c r="E603" s="106"/>
      <c r="F603" s="106"/>
      <c r="G603" s="106"/>
      <c r="H603" s="106"/>
      <c r="I603" s="106"/>
      <c r="J603" s="106"/>
      <c r="K603" s="106"/>
      <c r="L603" s="106"/>
      <c r="M603" s="106"/>
      <c r="N603" s="106"/>
      <c r="O603" s="106"/>
      <c r="P603" s="106"/>
      <c r="Q603" s="106"/>
      <c r="R603" s="106"/>
      <c r="S603" s="106"/>
      <c r="T603" s="106"/>
      <c r="U603" s="106"/>
      <c r="V603" s="106"/>
      <c r="W603" s="106"/>
      <c r="X603" s="106"/>
      <c r="Y603" s="106"/>
      <c r="Z603" s="106"/>
      <c r="AA603" s="106"/>
      <c r="AB603" s="106"/>
      <c r="AC603" s="106"/>
      <c r="AD603" s="106"/>
      <c r="AE603" s="106"/>
      <c r="AF603" s="106"/>
      <c r="AG603" s="106"/>
      <c r="AH603" s="106"/>
      <c r="AI603" s="106"/>
      <c r="AJ603" s="106"/>
      <c r="AK603" s="106"/>
      <c r="AL603" s="106"/>
      <c r="AM603" s="106"/>
      <c r="AN603" s="106"/>
      <c r="AO603" s="106"/>
      <c r="AP603" s="106"/>
      <c r="AQ603" s="106"/>
      <c r="AR603" s="106"/>
      <c r="AS603" s="106"/>
      <c r="AT603" s="106"/>
      <c r="AU603" s="106"/>
      <c r="AV603" s="106"/>
      <c r="AW603" s="106"/>
      <c r="AX603" s="106"/>
      <c r="AY603" s="106"/>
      <c r="AZ603" s="106"/>
      <c r="BA603" s="106"/>
      <c r="BB603" s="106"/>
      <c r="BC603" s="106"/>
      <c r="BD603" s="106"/>
      <c r="BE603" s="106"/>
      <c r="BF603" s="106"/>
      <c r="BG603" s="106"/>
      <c r="BH603" s="106"/>
      <c r="BI603" s="106"/>
      <c r="BJ603" s="106"/>
      <c r="BK603" s="106"/>
      <c r="BL603" s="106"/>
      <c r="BM603" s="106"/>
      <c r="BN603" s="106"/>
      <c r="BO603" s="106"/>
      <c r="BP603" s="106"/>
      <c r="BQ603" s="106"/>
      <c r="BR603" s="106"/>
      <c r="BS603" s="106"/>
      <c r="BT603" s="106"/>
      <c r="BU603" s="106"/>
      <c r="BV603" s="106"/>
      <c r="BW603" s="106"/>
      <c r="BX603" s="106"/>
      <c r="BY603" s="106"/>
      <c r="BZ603" s="106"/>
      <c r="CA603" s="106"/>
      <c r="CB603" s="106"/>
      <c r="CC603" s="106"/>
      <c r="CD603" s="106"/>
      <c r="CE603" s="106"/>
      <c r="CF603" s="106"/>
      <c r="CG603" s="106"/>
      <c r="CH603" s="106"/>
      <c r="CI603" s="106"/>
      <c r="CJ603" s="106"/>
      <c r="CK603" s="106"/>
      <c r="CL603" s="106"/>
      <c r="CM603" s="106"/>
      <c r="CN603" s="106"/>
      <c r="CO603" s="106"/>
      <c r="CP603" s="106"/>
      <c r="CQ603" s="106"/>
      <c r="CR603" s="106"/>
      <c r="CS603" s="106"/>
      <c r="CT603" s="106"/>
      <c r="CU603" s="106"/>
      <c r="CV603" s="106"/>
      <c r="CW603" s="106"/>
      <c r="CX603" s="106"/>
      <c r="CY603" s="106"/>
      <c r="CZ603" s="106"/>
      <c r="DA603" s="106"/>
      <c r="DB603" s="106"/>
      <c r="DC603" s="106"/>
      <c r="DD603" s="106"/>
      <c r="DE603" s="106"/>
      <c r="DF603" s="106"/>
      <c r="DG603" s="106"/>
      <c r="DH603" s="106"/>
      <c r="DI603" s="106"/>
      <c r="DJ603" s="106"/>
      <c r="DK603" s="106"/>
      <c r="DL603" s="106"/>
      <c r="DM603" s="106"/>
      <c r="DN603" s="106"/>
      <c r="DO603" s="106"/>
      <c r="DP603" s="106"/>
      <c r="DQ603" s="106"/>
      <c r="DR603" s="106"/>
      <c r="DS603" s="106"/>
      <c r="DT603" s="106"/>
      <c r="DU603" s="106"/>
      <c r="DV603" s="106"/>
      <c r="DW603" s="106"/>
      <c r="DX603" s="106"/>
      <c r="DY603" s="106"/>
      <c r="DZ603" s="106"/>
      <c r="EA603" s="106"/>
      <c r="EB603" s="106"/>
      <c r="EC603" s="106"/>
      <c r="ED603" s="106"/>
      <c r="EE603" s="106"/>
      <c r="EF603" s="106"/>
      <c r="EG603" s="106"/>
      <c r="EH603" s="106"/>
      <c r="EI603" s="106"/>
      <c r="EJ603" s="106"/>
      <c r="EK603" s="106"/>
      <c r="EL603" s="106"/>
      <c r="EM603" s="106"/>
      <c r="EN603" s="106"/>
      <c r="EO603" s="106"/>
      <c r="EP603" s="106"/>
      <c r="EQ603" s="106"/>
      <c r="ER603" s="106"/>
      <c r="ES603" s="106"/>
      <c r="ET603" s="106"/>
      <c r="EU603" s="106"/>
      <c r="EV603" s="106"/>
      <c r="EW603" s="106"/>
      <c r="EX603" s="106"/>
      <c r="EY603" s="106"/>
      <c r="EZ603" s="106"/>
      <c r="FA603" s="106"/>
      <c r="FB603" s="106"/>
      <c r="FC603" s="106"/>
      <c r="FD603" s="106"/>
      <c r="FE603" s="106"/>
      <c r="FF603" s="106"/>
      <c r="FG603" s="106"/>
      <c r="FH603" s="106"/>
      <c r="FI603" s="106"/>
      <c r="FJ603" s="106"/>
      <c r="FK603" s="106"/>
      <c r="FL603" s="106"/>
      <c r="FM603" s="106"/>
      <c r="FN603" s="106"/>
      <c r="FO603" s="106"/>
      <c r="FP603" s="106"/>
      <c r="FQ603" s="106"/>
      <c r="FR603" s="106"/>
      <c r="FS603" s="106"/>
      <c r="FT603" s="106"/>
      <c r="FU603" s="106"/>
      <c r="FV603" s="106"/>
      <c r="FW603" s="106"/>
      <c r="FX603" s="106"/>
      <c r="FY603" s="106"/>
      <c r="FZ603" s="106"/>
      <c r="GA603" s="106"/>
      <c r="GB603" s="106"/>
      <c r="GC603" s="106"/>
      <c r="GD603" s="106"/>
      <c r="GE603" s="106"/>
    </row>
    <row r="604" spans="3:187" ht="12.75" customHeight="1">
      <c r="C604" s="220"/>
      <c r="D604" s="169"/>
      <c r="E604" s="169"/>
      <c r="F604" s="169"/>
      <c r="G604" s="169"/>
      <c r="H604" s="220"/>
      <c r="I604" s="169"/>
      <c r="J604" s="169"/>
      <c r="K604" s="169"/>
      <c r="L604" s="169"/>
      <c r="M604" s="220"/>
      <c r="N604" s="169"/>
      <c r="O604" s="169"/>
      <c r="P604" s="169"/>
      <c r="Q604" s="169"/>
      <c r="R604" s="220"/>
      <c r="S604" s="169"/>
      <c r="T604" s="169"/>
      <c r="U604" s="169"/>
      <c r="V604" s="169"/>
      <c r="W604" s="220"/>
      <c r="X604" s="169"/>
      <c r="Y604" s="169"/>
      <c r="Z604" s="169"/>
      <c r="AA604" s="169"/>
      <c r="AB604" s="220"/>
      <c r="AC604" s="169"/>
      <c r="AD604" s="169"/>
      <c r="AE604" s="169"/>
      <c r="AF604" s="169"/>
      <c r="AG604" s="220"/>
      <c r="AH604" s="169"/>
      <c r="AI604" s="169"/>
      <c r="AJ604" s="169"/>
      <c r="AK604" s="169"/>
      <c r="AL604" s="220"/>
      <c r="AM604" s="169"/>
      <c r="AN604" s="169"/>
      <c r="AO604" s="169"/>
      <c r="AP604" s="169"/>
      <c r="AQ604" s="220"/>
      <c r="AR604" s="169"/>
      <c r="AS604" s="169"/>
      <c r="AT604" s="169"/>
      <c r="AU604" s="169"/>
      <c r="AV604" s="220"/>
      <c r="AW604" s="169"/>
      <c r="AX604" s="169"/>
      <c r="AY604" s="169"/>
      <c r="AZ604" s="169"/>
      <c r="BA604" s="220"/>
      <c r="BB604" s="169"/>
      <c r="BC604" s="169"/>
      <c r="BD604" s="169"/>
      <c r="BE604" s="169"/>
      <c r="BF604" s="220"/>
      <c r="BG604" s="169"/>
      <c r="BH604" s="169"/>
      <c r="BI604" s="169"/>
      <c r="BJ604" s="169"/>
      <c r="BK604" s="220"/>
      <c r="BL604" s="169"/>
      <c r="BM604" s="169"/>
      <c r="BN604" s="169"/>
      <c r="BO604" s="169"/>
      <c r="BP604" s="220"/>
      <c r="BQ604" s="169"/>
      <c r="BR604" s="169"/>
      <c r="BS604" s="169"/>
      <c r="BT604" s="169"/>
      <c r="BU604" s="220"/>
      <c r="BV604" s="169"/>
      <c r="BW604" s="169"/>
      <c r="BX604" s="169"/>
      <c r="BY604" s="169"/>
      <c r="BZ604" s="220"/>
      <c r="CA604" s="169"/>
      <c r="CB604" s="169"/>
      <c r="CC604" s="169"/>
      <c r="CD604" s="169"/>
      <c r="CE604" s="220"/>
      <c r="CF604" s="169"/>
      <c r="CG604" s="169"/>
      <c r="CH604" s="169"/>
      <c r="CI604" s="169"/>
      <c r="CJ604" s="220"/>
      <c r="CK604" s="169"/>
      <c r="CL604" s="169"/>
      <c r="CM604" s="169"/>
      <c r="CN604" s="169"/>
      <c r="CO604" s="220"/>
      <c r="CP604" s="169"/>
      <c r="CQ604" s="169"/>
      <c r="CR604" s="169"/>
      <c r="CS604" s="169"/>
      <c r="CT604" s="220"/>
      <c r="CU604" s="169"/>
      <c r="CV604" s="169"/>
      <c r="CW604" s="169"/>
      <c r="CX604" s="169"/>
      <c r="CY604" s="220"/>
      <c r="CZ604" s="169"/>
      <c r="DA604" s="169"/>
      <c r="DB604" s="169"/>
      <c r="DC604" s="169"/>
      <c r="DD604" s="220"/>
      <c r="DE604" s="169"/>
      <c r="DF604" s="169"/>
      <c r="DG604" s="169"/>
      <c r="DH604" s="169"/>
      <c r="DI604" s="220"/>
      <c r="DJ604" s="169"/>
      <c r="DK604" s="169"/>
      <c r="DL604" s="169"/>
      <c r="DM604" s="169"/>
      <c r="DN604" s="220"/>
      <c r="DO604" s="169"/>
      <c r="DP604" s="169"/>
      <c r="DQ604" s="169"/>
      <c r="DR604" s="169"/>
      <c r="DS604" s="220"/>
      <c r="DT604" s="169"/>
      <c r="DU604" s="169"/>
      <c r="DV604" s="169"/>
      <c r="DW604" s="169"/>
      <c r="DX604" s="220"/>
      <c r="DY604" s="169"/>
      <c r="DZ604" s="169"/>
      <c r="EA604" s="169"/>
      <c r="EB604" s="169"/>
      <c r="EC604" s="220"/>
      <c r="ED604" s="169"/>
      <c r="EE604" s="169"/>
      <c r="EF604" s="169"/>
      <c r="EG604" s="169"/>
      <c r="EH604" s="220"/>
      <c r="EI604" s="169"/>
      <c r="EJ604" s="169"/>
      <c r="EK604" s="169"/>
      <c r="EL604" s="169"/>
      <c r="EM604" s="220"/>
      <c r="EN604" s="169"/>
      <c r="EO604" s="169"/>
      <c r="EP604" s="169"/>
      <c r="EQ604" s="169"/>
      <c r="ER604" s="220"/>
      <c r="ES604" s="169"/>
      <c r="ET604" s="169"/>
      <c r="EU604" s="169"/>
      <c r="EV604" s="169"/>
      <c r="EW604" s="220"/>
      <c r="EX604" s="169"/>
      <c r="EY604" s="169"/>
      <c r="EZ604" s="169"/>
      <c r="FA604" s="169"/>
      <c r="FB604" s="220"/>
      <c r="FC604" s="169"/>
      <c r="FD604" s="169"/>
      <c r="FE604" s="169"/>
      <c r="FF604" s="169"/>
      <c r="FG604" s="220"/>
      <c r="FH604" s="169"/>
      <c r="FI604" s="169"/>
      <c r="FJ604" s="169"/>
      <c r="FK604" s="169"/>
      <c r="FL604" s="220"/>
      <c r="FM604" s="169"/>
      <c r="FN604" s="169"/>
      <c r="FO604" s="169"/>
      <c r="FP604" s="169"/>
      <c r="FQ604" s="220"/>
      <c r="FR604" s="169"/>
      <c r="FS604" s="169"/>
      <c r="FT604" s="169"/>
      <c r="FU604" s="169"/>
      <c r="FV604" s="220"/>
      <c r="FW604" s="169"/>
      <c r="FX604" s="169"/>
      <c r="FY604" s="169"/>
      <c r="FZ604" s="169"/>
      <c r="GA604" s="220"/>
      <c r="GB604" s="169"/>
      <c r="GC604" s="169"/>
      <c r="GD604" s="169"/>
      <c r="GE604" s="169"/>
    </row>
    <row r="605" spans="3:187" ht="12.75" customHeight="1">
      <c r="C605" s="234"/>
      <c r="D605" s="234"/>
      <c r="E605" s="234"/>
      <c r="F605" s="234"/>
      <c r="G605" s="234"/>
      <c r="H605" s="234"/>
      <c r="I605" s="234"/>
      <c r="J605" s="234"/>
      <c r="K605" s="234"/>
      <c r="L605" s="234"/>
      <c r="M605" s="234"/>
      <c r="N605" s="234"/>
      <c r="O605" s="234"/>
      <c r="P605" s="234"/>
      <c r="Q605" s="234"/>
      <c r="R605" s="234"/>
      <c r="S605" s="234"/>
      <c r="T605" s="234"/>
      <c r="U605" s="234"/>
      <c r="V605" s="234"/>
      <c r="W605" s="234"/>
      <c r="X605" s="234"/>
      <c r="Y605" s="234"/>
      <c r="Z605" s="234"/>
      <c r="AA605" s="234"/>
      <c r="AB605" s="234"/>
      <c r="AC605" s="234"/>
      <c r="AD605" s="234"/>
      <c r="AE605" s="234"/>
      <c r="AF605" s="234"/>
      <c r="AG605" s="234"/>
      <c r="AH605" s="234"/>
      <c r="AI605" s="234"/>
      <c r="AJ605" s="234"/>
      <c r="AK605" s="234"/>
      <c r="AL605" s="234"/>
      <c r="AM605" s="234"/>
      <c r="AN605" s="234"/>
      <c r="AO605" s="234"/>
      <c r="AP605" s="234"/>
      <c r="AQ605" s="234"/>
      <c r="AR605" s="234"/>
      <c r="AS605" s="234"/>
      <c r="AT605" s="234"/>
      <c r="AU605" s="234"/>
      <c r="AV605" s="234"/>
      <c r="AW605" s="234"/>
      <c r="AX605" s="234"/>
      <c r="AY605" s="234"/>
      <c r="AZ605" s="234"/>
      <c r="BA605" s="234"/>
      <c r="BB605" s="234"/>
      <c r="BC605" s="234"/>
      <c r="BD605" s="234"/>
      <c r="BE605" s="234"/>
      <c r="BF605" s="234"/>
      <c r="BG605" s="234"/>
      <c r="BH605" s="234"/>
      <c r="BI605" s="234"/>
      <c r="BJ605" s="234"/>
      <c r="BK605" s="234"/>
      <c r="BL605" s="234"/>
      <c r="BM605" s="234"/>
      <c r="BN605" s="234"/>
      <c r="BO605" s="234"/>
      <c r="BP605" s="234"/>
      <c r="BQ605" s="234"/>
      <c r="BR605" s="234"/>
      <c r="BS605" s="234"/>
      <c r="BT605" s="234"/>
      <c r="BU605" s="234"/>
      <c r="BV605" s="234"/>
      <c r="BW605" s="234"/>
      <c r="BX605" s="234"/>
      <c r="BY605" s="234"/>
      <c r="BZ605" s="234"/>
      <c r="CA605" s="234"/>
      <c r="CB605" s="234"/>
      <c r="CC605" s="234"/>
      <c r="CD605" s="234"/>
      <c r="CE605" s="234"/>
      <c r="CF605" s="234"/>
      <c r="CG605" s="234"/>
      <c r="CH605" s="234"/>
      <c r="CI605" s="234"/>
      <c r="CJ605" s="234"/>
      <c r="CK605" s="234"/>
      <c r="CL605" s="234"/>
      <c r="CM605" s="234"/>
      <c r="CN605" s="234"/>
      <c r="CO605" s="234"/>
      <c r="CP605" s="234"/>
      <c r="CQ605" s="234"/>
      <c r="CR605" s="234"/>
      <c r="CS605" s="234"/>
      <c r="CT605" s="234"/>
      <c r="CU605" s="234"/>
      <c r="CV605" s="234"/>
      <c r="CW605" s="234"/>
      <c r="CX605" s="234"/>
      <c r="CY605" s="234"/>
      <c r="CZ605" s="234"/>
      <c r="DA605" s="234"/>
      <c r="DB605" s="234"/>
      <c r="DC605" s="234"/>
      <c r="DD605" s="234"/>
      <c r="DE605" s="234"/>
      <c r="DF605" s="234"/>
      <c r="DG605" s="234"/>
      <c r="DH605" s="234"/>
      <c r="DI605" s="234"/>
      <c r="DJ605" s="234"/>
      <c r="DK605" s="234"/>
      <c r="DL605" s="234"/>
      <c r="DM605" s="234"/>
      <c r="DN605" s="234"/>
      <c r="DO605" s="234"/>
      <c r="DP605" s="234"/>
      <c r="DQ605" s="234"/>
      <c r="DR605" s="234"/>
      <c r="DS605" s="234"/>
      <c r="DT605" s="234"/>
      <c r="DU605" s="234"/>
      <c r="DV605" s="234"/>
      <c r="DW605" s="234"/>
      <c r="DX605" s="234"/>
      <c r="DY605" s="234"/>
      <c r="DZ605" s="234"/>
      <c r="EA605" s="234"/>
      <c r="EB605" s="234"/>
      <c r="EC605" s="234"/>
      <c r="ED605" s="234"/>
      <c r="EE605" s="234"/>
      <c r="EF605" s="234"/>
      <c r="EG605" s="234"/>
      <c r="EH605" s="234"/>
      <c r="EI605" s="234"/>
      <c r="EJ605" s="234"/>
      <c r="EK605" s="234"/>
      <c r="EL605" s="234"/>
      <c r="EM605" s="234"/>
      <c r="EN605" s="234"/>
      <c r="EO605" s="234"/>
      <c r="EP605" s="234"/>
      <c r="EQ605" s="234"/>
      <c r="ER605" s="234"/>
      <c r="ES605" s="234"/>
      <c r="ET605" s="234"/>
      <c r="EU605" s="234"/>
      <c r="EV605" s="234"/>
      <c r="EW605" s="234"/>
      <c r="EX605" s="234"/>
      <c r="EY605" s="234"/>
      <c r="EZ605" s="234"/>
      <c r="FA605" s="234"/>
      <c r="FB605" s="234"/>
      <c r="FC605" s="234"/>
      <c r="FD605" s="234"/>
      <c r="FE605" s="234"/>
      <c r="FF605" s="234"/>
      <c r="FG605" s="234"/>
      <c r="FH605" s="234"/>
      <c r="FI605" s="234"/>
      <c r="FJ605" s="234"/>
      <c r="FK605" s="234"/>
      <c r="FL605" s="234"/>
      <c r="FM605" s="234"/>
      <c r="FN605" s="234"/>
      <c r="FO605" s="234"/>
      <c r="FP605" s="234"/>
      <c r="FQ605" s="234"/>
      <c r="FR605" s="234"/>
      <c r="FS605" s="234"/>
      <c r="FT605" s="234"/>
      <c r="FU605" s="234"/>
      <c r="FV605" s="234"/>
      <c r="FW605" s="234"/>
      <c r="FX605" s="234"/>
      <c r="FY605" s="234"/>
      <c r="FZ605" s="234"/>
      <c r="GA605" s="234"/>
      <c r="GB605" s="234"/>
      <c r="GC605" s="234"/>
      <c r="GD605" s="234"/>
      <c r="GE605" s="234"/>
    </row>
    <row r="606" spans="3:187" ht="12.75" customHeight="1">
      <c r="C606" s="106"/>
      <c r="D606" s="106"/>
      <c r="E606" s="106"/>
      <c r="F606" s="106"/>
      <c r="G606" s="106"/>
      <c r="H606" s="106"/>
      <c r="I606" s="106"/>
      <c r="J606" s="106"/>
      <c r="K606" s="106"/>
      <c r="L606" s="106"/>
      <c r="M606" s="106"/>
      <c r="N606" s="106"/>
      <c r="O606" s="106"/>
      <c r="P606" s="106"/>
      <c r="Q606" s="106"/>
      <c r="R606" s="106"/>
      <c r="S606" s="106"/>
      <c r="T606" s="106"/>
      <c r="U606" s="106"/>
      <c r="V606" s="106"/>
      <c r="W606" s="106"/>
      <c r="X606" s="106"/>
      <c r="Y606" s="106"/>
      <c r="Z606" s="106"/>
      <c r="AA606" s="106"/>
      <c r="AB606" s="106"/>
      <c r="AC606" s="106"/>
      <c r="AD606" s="106"/>
      <c r="AE606" s="106"/>
      <c r="AF606" s="106"/>
      <c r="AG606" s="106"/>
      <c r="AH606" s="106"/>
      <c r="AI606" s="106"/>
      <c r="AJ606" s="106"/>
      <c r="AK606" s="106"/>
      <c r="AL606" s="106"/>
      <c r="AM606" s="106"/>
      <c r="AN606" s="106"/>
      <c r="AO606" s="106"/>
      <c r="AP606" s="106"/>
      <c r="AQ606" s="106"/>
      <c r="AR606" s="106"/>
      <c r="AS606" s="106"/>
      <c r="AT606" s="106"/>
      <c r="AU606" s="106"/>
      <c r="AV606" s="106"/>
      <c r="AW606" s="106"/>
      <c r="AX606" s="106"/>
      <c r="AY606" s="106"/>
      <c r="AZ606" s="106"/>
      <c r="BA606" s="106"/>
      <c r="BB606" s="106"/>
      <c r="BC606" s="106"/>
      <c r="BD606" s="106"/>
      <c r="BE606" s="106"/>
      <c r="BF606" s="106"/>
      <c r="BG606" s="106"/>
      <c r="BH606" s="106"/>
      <c r="BI606" s="106"/>
      <c r="BJ606" s="106"/>
      <c r="BK606" s="106"/>
      <c r="BL606" s="106"/>
      <c r="BM606" s="106"/>
      <c r="BN606" s="106"/>
      <c r="BO606" s="106"/>
      <c r="BP606" s="106"/>
      <c r="BQ606" s="106"/>
      <c r="BR606" s="106"/>
      <c r="BS606" s="106"/>
      <c r="BT606" s="106"/>
      <c r="BU606" s="106"/>
      <c r="BV606" s="106"/>
      <c r="BW606" s="106"/>
      <c r="BX606" s="106"/>
      <c r="BY606" s="106"/>
      <c r="BZ606" s="106"/>
      <c r="CA606" s="106"/>
      <c r="CB606" s="106"/>
      <c r="CC606" s="106"/>
      <c r="CD606" s="106"/>
      <c r="CE606" s="106"/>
      <c r="CF606" s="106"/>
      <c r="CG606" s="106"/>
      <c r="CH606" s="106"/>
      <c r="CI606" s="106"/>
      <c r="CJ606" s="106"/>
      <c r="CK606" s="106"/>
      <c r="CL606" s="106"/>
      <c r="CM606" s="106"/>
      <c r="CN606" s="106"/>
      <c r="CO606" s="106"/>
      <c r="CP606" s="106"/>
      <c r="CQ606" s="106"/>
      <c r="CR606" s="106"/>
      <c r="CS606" s="106"/>
      <c r="CT606" s="106"/>
      <c r="CU606" s="106"/>
      <c r="CV606" s="106"/>
      <c r="CW606" s="106"/>
      <c r="CX606" s="106"/>
      <c r="CY606" s="106"/>
      <c r="CZ606" s="106"/>
      <c r="DA606" s="106"/>
      <c r="DB606" s="106"/>
      <c r="DC606" s="106"/>
      <c r="DD606" s="106"/>
      <c r="DE606" s="106"/>
      <c r="DF606" s="106"/>
      <c r="DG606" s="106"/>
      <c r="DH606" s="106"/>
      <c r="DI606" s="106"/>
      <c r="DJ606" s="106"/>
      <c r="DK606" s="106"/>
      <c r="DL606" s="106"/>
      <c r="DM606" s="106"/>
      <c r="DN606" s="106"/>
      <c r="DO606" s="106"/>
      <c r="DP606" s="106"/>
      <c r="DQ606" s="106"/>
      <c r="DR606" s="106"/>
      <c r="DS606" s="106"/>
      <c r="DT606" s="106"/>
      <c r="DU606" s="106"/>
      <c r="DV606" s="106"/>
      <c r="DW606" s="106"/>
      <c r="DX606" s="106"/>
      <c r="DY606" s="106"/>
      <c r="DZ606" s="106"/>
      <c r="EA606" s="106"/>
      <c r="EB606" s="106"/>
      <c r="EC606" s="106"/>
      <c r="ED606" s="106"/>
      <c r="EE606" s="106"/>
      <c r="EF606" s="106"/>
      <c r="EG606" s="106"/>
      <c r="EH606" s="106"/>
      <c r="EI606" s="106"/>
      <c r="EJ606" s="106"/>
      <c r="EK606" s="106"/>
      <c r="EL606" s="106"/>
      <c r="EM606" s="106"/>
      <c r="EN606" s="106"/>
      <c r="EO606" s="106"/>
      <c r="EP606" s="106"/>
      <c r="EQ606" s="106"/>
      <c r="ER606" s="106"/>
      <c r="ES606" s="106"/>
      <c r="ET606" s="106"/>
      <c r="EU606" s="106"/>
      <c r="EV606" s="106"/>
      <c r="EW606" s="106"/>
      <c r="EX606" s="106"/>
      <c r="EY606" s="106"/>
      <c r="EZ606" s="106"/>
      <c r="FA606" s="106"/>
      <c r="FB606" s="106"/>
      <c r="FC606" s="106"/>
      <c r="FD606" s="106"/>
      <c r="FE606" s="106"/>
      <c r="FF606" s="106"/>
      <c r="FG606" s="106"/>
      <c r="FH606" s="106"/>
      <c r="FI606" s="106"/>
      <c r="FJ606" s="106"/>
      <c r="FK606" s="106"/>
      <c r="FL606" s="106"/>
      <c r="FM606" s="106"/>
      <c r="FN606" s="106"/>
      <c r="FO606" s="106"/>
      <c r="FP606" s="106"/>
      <c r="FQ606" s="106"/>
      <c r="FR606" s="106"/>
      <c r="FS606" s="106"/>
      <c r="FT606" s="106"/>
      <c r="FU606" s="106"/>
      <c r="FV606" s="106"/>
      <c r="FW606" s="106"/>
      <c r="FX606" s="106"/>
      <c r="FY606" s="106"/>
      <c r="FZ606" s="106"/>
      <c r="GA606" s="106"/>
      <c r="GB606" s="106"/>
      <c r="GC606" s="106"/>
      <c r="GD606" s="106"/>
      <c r="GE606" s="106"/>
    </row>
    <row r="607" spans="3:187" ht="12.75" customHeight="1">
      <c r="C607" s="106"/>
      <c r="D607" s="106"/>
      <c r="E607" s="106"/>
      <c r="F607" s="106"/>
      <c r="G607" s="106"/>
      <c r="H607" s="106"/>
      <c r="I607" s="106"/>
      <c r="J607" s="106"/>
      <c r="K607" s="106"/>
      <c r="L607" s="106"/>
      <c r="M607" s="106"/>
      <c r="N607" s="106"/>
      <c r="O607" s="106"/>
      <c r="P607" s="106"/>
      <c r="Q607" s="106"/>
      <c r="R607" s="106"/>
      <c r="S607" s="106"/>
      <c r="T607" s="106"/>
      <c r="U607" s="106"/>
      <c r="V607" s="106"/>
      <c r="W607" s="106"/>
      <c r="X607" s="106"/>
      <c r="Y607" s="106"/>
      <c r="Z607" s="106"/>
      <c r="AA607" s="106"/>
      <c r="AB607" s="106"/>
      <c r="AC607" s="106"/>
      <c r="AD607" s="106"/>
      <c r="AE607" s="106"/>
      <c r="AF607" s="106"/>
      <c r="AG607" s="106"/>
      <c r="AH607" s="106"/>
      <c r="AI607" s="106"/>
      <c r="AJ607" s="106"/>
      <c r="AK607" s="106"/>
      <c r="AL607" s="106"/>
      <c r="AM607" s="106"/>
      <c r="AN607" s="106"/>
      <c r="AO607" s="106"/>
      <c r="AP607" s="106"/>
      <c r="AQ607" s="106"/>
      <c r="AR607" s="106"/>
      <c r="AS607" s="106"/>
      <c r="AT607" s="106"/>
      <c r="AU607" s="106"/>
      <c r="AV607" s="106"/>
      <c r="AW607" s="106"/>
      <c r="AX607" s="106"/>
      <c r="AY607" s="106"/>
      <c r="AZ607" s="106"/>
      <c r="BA607" s="106"/>
      <c r="BB607" s="106"/>
      <c r="BC607" s="106"/>
      <c r="BD607" s="106"/>
      <c r="BE607" s="106"/>
      <c r="BF607" s="106"/>
      <c r="BG607" s="106"/>
      <c r="BH607" s="106"/>
      <c r="BI607" s="106"/>
      <c r="BJ607" s="106"/>
      <c r="BK607" s="106"/>
      <c r="BL607" s="106"/>
      <c r="BM607" s="106"/>
      <c r="BN607" s="106"/>
      <c r="BO607" s="106"/>
      <c r="BP607" s="106"/>
      <c r="BQ607" s="106"/>
      <c r="BR607" s="106"/>
      <c r="BS607" s="106"/>
      <c r="BT607" s="106"/>
      <c r="BU607" s="106"/>
      <c r="BV607" s="106"/>
      <c r="BW607" s="106"/>
      <c r="BX607" s="106"/>
      <c r="BY607" s="106"/>
      <c r="BZ607" s="106"/>
      <c r="CA607" s="106"/>
      <c r="CB607" s="106"/>
      <c r="CC607" s="106"/>
      <c r="CD607" s="106"/>
      <c r="CE607" s="106"/>
      <c r="CF607" s="106"/>
      <c r="CG607" s="106"/>
      <c r="CH607" s="106"/>
      <c r="CI607" s="106"/>
      <c r="CJ607" s="106"/>
      <c r="CK607" s="106"/>
      <c r="CL607" s="106"/>
      <c r="CM607" s="106"/>
      <c r="CN607" s="106"/>
      <c r="CO607" s="106"/>
      <c r="CP607" s="106"/>
      <c r="CQ607" s="106"/>
      <c r="CR607" s="106"/>
      <c r="CS607" s="106"/>
      <c r="CT607" s="106"/>
      <c r="CU607" s="106"/>
      <c r="CV607" s="106"/>
      <c r="CW607" s="106"/>
      <c r="CX607" s="106"/>
      <c r="CY607" s="106"/>
      <c r="CZ607" s="106"/>
      <c r="DA607" s="106"/>
      <c r="DB607" s="106"/>
      <c r="DC607" s="106"/>
      <c r="DD607" s="106"/>
      <c r="DE607" s="106"/>
      <c r="DF607" s="106"/>
      <c r="DG607" s="106"/>
      <c r="DH607" s="106"/>
      <c r="DI607" s="106"/>
      <c r="DJ607" s="106"/>
      <c r="DK607" s="106"/>
      <c r="DL607" s="106"/>
      <c r="DM607" s="106"/>
      <c r="DN607" s="106"/>
      <c r="DO607" s="106"/>
      <c r="DP607" s="106"/>
      <c r="DQ607" s="106"/>
      <c r="DR607" s="106"/>
      <c r="DS607" s="106"/>
      <c r="DT607" s="106"/>
      <c r="DU607" s="106"/>
      <c r="DV607" s="106"/>
      <c r="DW607" s="106"/>
      <c r="DX607" s="106"/>
      <c r="DY607" s="106"/>
      <c r="DZ607" s="106"/>
      <c r="EA607" s="106"/>
      <c r="EB607" s="106"/>
      <c r="EC607" s="106"/>
      <c r="ED607" s="106"/>
      <c r="EE607" s="106"/>
      <c r="EF607" s="106"/>
      <c r="EG607" s="106"/>
      <c r="EH607" s="106"/>
      <c r="EI607" s="106"/>
      <c r="EJ607" s="106"/>
      <c r="EK607" s="106"/>
      <c r="EL607" s="106"/>
      <c r="EM607" s="106"/>
      <c r="EN607" s="106"/>
      <c r="EO607" s="106"/>
      <c r="EP607" s="106"/>
      <c r="EQ607" s="106"/>
      <c r="ER607" s="106"/>
      <c r="ES607" s="106"/>
      <c r="ET607" s="106"/>
      <c r="EU607" s="106"/>
      <c r="EV607" s="106"/>
      <c r="EW607" s="106"/>
      <c r="EX607" s="106"/>
      <c r="EY607" s="106"/>
      <c r="EZ607" s="106"/>
      <c r="FA607" s="106"/>
      <c r="FB607" s="106"/>
      <c r="FC607" s="106"/>
      <c r="FD607" s="106"/>
      <c r="FE607" s="106"/>
      <c r="FF607" s="106"/>
      <c r="FG607" s="106"/>
      <c r="FH607" s="106"/>
      <c r="FI607" s="106"/>
      <c r="FJ607" s="106"/>
      <c r="FK607" s="106"/>
      <c r="FL607" s="106"/>
      <c r="FM607" s="106"/>
      <c r="FN607" s="106"/>
      <c r="FO607" s="106"/>
      <c r="FP607" s="106"/>
      <c r="FQ607" s="106"/>
      <c r="FR607" s="106"/>
      <c r="FS607" s="106"/>
      <c r="FT607" s="106"/>
      <c r="FU607" s="106"/>
      <c r="FV607" s="106"/>
      <c r="FW607" s="106"/>
      <c r="FX607" s="106"/>
      <c r="FY607" s="106"/>
      <c r="FZ607" s="106"/>
      <c r="GA607" s="106"/>
      <c r="GB607" s="106"/>
      <c r="GC607" s="106"/>
      <c r="GD607" s="106"/>
      <c r="GE607" s="106"/>
    </row>
    <row r="608" spans="3:187" ht="12.75" customHeight="1">
      <c r="C608" s="178"/>
      <c r="D608" s="178"/>
      <c r="E608" s="178"/>
      <c r="F608" s="178"/>
      <c r="G608" s="178"/>
      <c r="H608" s="178"/>
      <c r="I608" s="178"/>
      <c r="J608" s="178"/>
      <c r="K608" s="178"/>
      <c r="L608" s="178"/>
      <c r="M608" s="178"/>
      <c r="N608" s="178"/>
      <c r="O608" s="178"/>
      <c r="P608" s="178"/>
      <c r="Q608" s="178"/>
      <c r="R608" s="178"/>
      <c r="S608" s="178"/>
      <c r="T608" s="178"/>
      <c r="U608" s="178"/>
      <c r="V608" s="178"/>
      <c r="W608" s="178"/>
      <c r="X608" s="178"/>
      <c r="Y608" s="178"/>
      <c r="Z608" s="178"/>
      <c r="AA608" s="178"/>
      <c r="AB608" s="178"/>
      <c r="AC608" s="178"/>
      <c r="AD608" s="178"/>
      <c r="AE608" s="178"/>
      <c r="AF608" s="178"/>
      <c r="AG608" s="178"/>
      <c r="AH608" s="178"/>
      <c r="AI608" s="178"/>
      <c r="AJ608" s="178"/>
      <c r="AK608" s="178"/>
      <c r="AL608" s="178"/>
      <c r="AM608" s="178"/>
      <c r="AN608" s="178"/>
      <c r="AO608" s="178"/>
      <c r="AP608" s="178"/>
      <c r="AQ608" s="178"/>
      <c r="AR608" s="178"/>
      <c r="AS608" s="178"/>
      <c r="AT608" s="178"/>
      <c r="AU608" s="178"/>
      <c r="AV608" s="178"/>
      <c r="AW608" s="178"/>
      <c r="AX608" s="178"/>
      <c r="AY608" s="178"/>
      <c r="AZ608" s="178"/>
      <c r="BA608" s="178"/>
      <c r="BB608" s="178"/>
      <c r="BC608" s="178"/>
      <c r="BD608" s="178"/>
      <c r="BE608" s="178"/>
      <c r="BF608" s="178"/>
      <c r="BG608" s="178"/>
      <c r="BH608" s="178"/>
      <c r="BI608" s="178"/>
      <c r="BJ608" s="178"/>
      <c r="BK608" s="178"/>
      <c r="BL608" s="178"/>
      <c r="BM608" s="178"/>
      <c r="BN608" s="178"/>
      <c r="BO608" s="178"/>
      <c r="BP608" s="178"/>
      <c r="BQ608" s="178"/>
      <c r="BR608" s="178"/>
      <c r="BS608" s="178"/>
      <c r="BT608" s="178"/>
      <c r="BU608" s="178"/>
      <c r="BV608" s="178"/>
      <c r="BW608" s="178"/>
      <c r="BX608" s="178"/>
      <c r="BY608" s="178"/>
      <c r="BZ608" s="178"/>
      <c r="CA608" s="178"/>
      <c r="CB608" s="178"/>
      <c r="CC608" s="178"/>
      <c r="CD608" s="178"/>
      <c r="CE608" s="178"/>
      <c r="CF608" s="178"/>
      <c r="CG608" s="178"/>
      <c r="CH608" s="178"/>
      <c r="CI608" s="178"/>
      <c r="CJ608" s="178"/>
      <c r="CK608" s="178"/>
      <c r="CL608" s="178"/>
      <c r="CM608" s="178"/>
      <c r="CN608" s="178"/>
      <c r="CO608" s="178"/>
      <c r="CP608" s="178"/>
      <c r="CQ608" s="178"/>
      <c r="CR608" s="178"/>
      <c r="CS608" s="178"/>
      <c r="CT608" s="178"/>
      <c r="CU608" s="178"/>
      <c r="CV608" s="178"/>
      <c r="CW608" s="178"/>
      <c r="CX608" s="178"/>
      <c r="CY608" s="178"/>
      <c r="CZ608" s="178"/>
      <c r="DA608" s="178"/>
      <c r="DB608" s="178"/>
      <c r="DC608" s="178"/>
      <c r="DD608" s="178"/>
      <c r="DE608" s="178"/>
      <c r="DF608" s="178"/>
      <c r="DG608" s="178"/>
      <c r="DH608" s="178"/>
      <c r="DI608" s="178"/>
      <c r="DJ608" s="178"/>
      <c r="DK608" s="178"/>
      <c r="DL608" s="178"/>
      <c r="DM608" s="178"/>
      <c r="DN608" s="178"/>
      <c r="DO608" s="178"/>
      <c r="DP608" s="178"/>
      <c r="DQ608" s="178"/>
      <c r="DR608" s="178"/>
      <c r="DS608" s="178"/>
      <c r="DT608" s="178"/>
      <c r="DU608" s="178"/>
      <c r="DV608" s="178"/>
      <c r="DW608" s="178"/>
      <c r="DX608" s="178"/>
      <c r="DY608" s="178"/>
      <c r="DZ608" s="178"/>
      <c r="EA608" s="178"/>
      <c r="EB608" s="178"/>
      <c r="EC608" s="178"/>
      <c r="ED608" s="178"/>
      <c r="EE608" s="178"/>
      <c r="EF608" s="178"/>
      <c r="EG608" s="178"/>
      <c r="EH608" s="178"/>
      <c r="EI608" s="178"/>
      <c r="EJ608" s="178"/>
      <c r="EK608" s="178"/>
      <c r="EL608" s="178"/>
      <c r="EM608" s="178"/>
      <c r="EN608" s="178"/>
      <c r="EO608" s="178"/>
      <c r="EP608" s="178"/>
      <c r="EQ608" s="178"/>
      <c r="ER608" s="178"/>
      <c r="ES608" s="178"/>
      <c r="ET608" s="178"/>
      <c r="EU608" s="178"/>
      <c r="EV608" s="178"/>
      <c r="EW608" s="178"/>
      <c r="EX608" s="178"/>
      <c r="EY608" s="178"/>
      <c r="EZ608" s="178"/>
      <c r="FA608" s="178"/>
      <c r="FB608" s="178"/>
      <c r="FC608" s="178"/>
      <c r="FD608" s="178"/>
      <c r="FE608" s="178"/>
      <c r="FF608" s="178"/>
      <c r="FG608" s="178"/>
      <c r="FH608" s="178"/>
      <c r="FI608" s="178"/>
      <c r="FJ608" s="178"/>
      <c r="FK608" s="178"/>
      <c r="FL608" s="178"/>
      <c r="FM608" s="178"/>
      <c r="FN608" s="178"/>
      <c r="FO608" s="178"/>
      <c r="FP608" s="178"/>
      <c r="FQ608" s="178"/>
      <c r="FR608" s="178"/>
      <c r="FS608" s="178"/>
      <c r="FT608" s="178"/>
      <c r="FU608" s="178"/>
      <c r="FV608" s="178"/>
      <c r="FW608" s="178"/>
      <c r="FX608" s="178"/>
      <c r="FY608" s="178"/>
      <c r="FZ608" s="178"/>
      <c r="GA608" s="178"/>
      <c r="GB608" s="178"/>
      <c r="GC608" s="178"/>
      <c r="GD608" s="178"/>
      <c r="GE608" s="178"/>
    </row>
    <row r="609" spans="3:187" ht="12.75" customHeight="1">
      <c r="C609" s="106"/>
      <c r="D609" s="106"/>
      <c r="E609" s="106"/>
      <c r="F609" s="106"/>
      <c r="G609" s="106"/>
      <c r="H609" s="106"/>
      <c r="I609" s="106"/>
      <c r="J609" s="106"/>
      <c r="K609" s="106"/>
      <c r="L609" s="106"/>
      <c r="M609" s="106"/>
      <c r="N609" s="106"/>
      <c r="O609" s="106"/>
      <c r="P609" s="106"/>
      <c r="Q609" s="106"/>
      <c r="R609" s="106"/>
      <c r="S609" s="106"/>
      <c r="T609" s="106"/>
      <c r="U609" s="106"/>
      <c r="V609" s="106"/>
      <c r="W609" s="106"/>
      <c r="X609" s="106"/>
      <c r="Y609" s="106"/>
      <c r="Z609" s="106"/>
      <c r="AA609" s="106"/>
      <c r="AB609" s="106"/>
      <c r="AC609" s="106"/>
      <c r="AD609" s="106"/>
      <c r="AE609" s="106"/>
      <c r="AF609" s="106"/>
      <c r="AG609" s="106"/>
      <c r="AH609" s="106"/>
      <c r="AI609" s="106"/>
      <c r="AJ609" s="106"/>
      <c r="AK609" s="106"/>
      <c r="AL609" s="106"/>
      <c r="AM609" s="106"/>
      <c r="AN609" s="106"/>
      <c r="AO609" s="106"/>
      <c r="AP609" s="106"/>
      <c r="AQ609" s="106"/>
      <c r="AR609" s="106"/>
      <c r="AS609" s="106"/>
      <c r="AT609" s="106"/>
      <c r="AU609" s="106"/>
      <c r="AV609" s="106"/>
      <c r="AW609" s="106"/>
      <c r="AX609" s="106"/>
      <c r="AY609" s="106"/>
      <c r="AZ609" s="106"/>
      <c r="BA609" s="106"/>
      <c r="BB609" s="106"/>
      <c r="BC609" s="106"/>
      <c r="BD609" s="106"/>
      <c r="BE609" s="106"/>
      <c r="BF609" s="106"/>
      <c r="BG609" s="106"/>
      <c r="BH609" s="106"/>
      <c r="BI609" s="106"/>
      <c r="BJ609" s="106"/>
      <c r="BK609" s="106"/>
      <c r="BL609" s="106"/>
      <c r="BM609" s="106"/>
      <c r="BN609" s="106"/>
      <c r="BO609" s="106"/>
      <c r="BP609" s="106"/>
      <c r="BQ609" s="106"/>
      <c r="BR609" s="106"/>
      <c r="BS609" s="106"/>
      <c r="BT609" s="106"/>
      <c r="BU609" s="106"/>
      <c r="BV609" s="106"/>
      <c r="BW609" s="106"/>
      <c r="BX609" s="106"/>
      <c r="BY609" s="106"/>
      <c r="BZ609" s="106"/>
      <c r="CA609" s="106"/>
      <c r="CB609" s="106"/>
      <c r="CC609" s="106"/>
      <c r="CD609" s="106"/>
      <c r="CE609" s="106"/>
      <c r="CF609" s="106"/>
      <c r="CG609" s="106"/>
      <c r="CH609" s="106"/>
      <c r="CI609" s="106"/>
      <c r="CJ609" s="106"/>
      <c r="CK609" s="106"/>
      <c r="CL609" s="106"/>
      <c r="CM609" s="106"/>
      <c r="CN609" s="106"/>
      <c r="CO609" s="106"/>
      <c r="CP609" s="106"/>
      <c r="CQ609" s="106"/>
      <c r="CR609" s="106"/>
      <c r="CS609" s="106"/>
      <c r="CT609" s="106"/>
      <c r="CU609" s="106"/>
      <c r="CV609" s="106"/>
      <c r="CW609" s="106"/>
      <c r="CX609" s="106"/>
      <c r="CY609" s="106"/>
      <c r="CZ609" s="106"/>
      <c r="DA609" s="106"/>
      <c r="DB609" s="106"/>
      <c r="DC609" s="106"/>
      <c r="DD609" s="106"/>
      <c r="DE609" s="106"/>
      <c r="DF609" s="106"/>
      <c r="DG609" s="106"/>
      <c r="DH609" s="106"/>
      <c r="DI609" s="106"/>
      <c r="DJ609" s="106"/>
      <c r="DK609" s="106"/>
      <c r="DL609" s="106"/>
      <c r="DM609" s="106"/>
      <c r="DN609" s="106"/>
      <c r="DO609" s="106"/>
      <c r="DP609" s="106"/>
      <c r="DQ609" s="106"/>
      <c r="DR609" s="106"/>
      <c r="DS609" s="106"/>
      <c r="DT609" s="106"/>
      <c r="DU609" s="106"/>
      <c r="DV609" s="106"/>
      <c r="DW609" s="106"/>
      <c r="DX609" s="106"/>
      <c r="DY609" s="106"/>
      <c r="DZ609" s="106"/>
      <c r="EA609" s="106"/>
      <c r="EB609" s="106"/>
      <c r="EC609" s="106"/>
      <c r="ED609" s="106"/>
      <c r="EE609" s="106"/>
      <c r="EF609" s="106"/>
      <c r="EG609" s="106"/>
      <c r="EH609" s="106"/>
      <c r="EI609" s="106"/>
      <c r="EJ609" s="106"/>
      <c r="EK609" s="106"/>
      <c r="EL609" s="106"/>
      <c r="EM609" s="106"/>
      <c r="EN609" s="106"/>
      <c r="EO609" s="106"/>
      <c r="EP609" s="106"/>
      <c r="EQ609" s="106"/>
      <c r="ER609" s="106"/>
      <c r="ES609" s="106"/>
      <c r="ET609" s="106"/>
      <c r="EU609" s="106"/>
      <c r="EV609" s="106"/>
      <c r="EW609" s="106"/>
      <c r="EX609" s="106"/>
      <c r="EY609" s="106"/>
      <c r="EZ609" s="106"/>
      <c r="FA609" s="106"/>
      <c r="FB609" s="106"/>
      <c r="FC609" s="106"/>
      <c r="FD609" s="106"/>
      <c r="FE609" s="106"/>
      <c r="FF609" s="106"/>
      <c r="FG609" s="106"/>
      <c r="FH609" s="106"/>
      <c r="FI609" s="106"/>
      <c r="FJ609" s="106"/>
      <c r="FK609" s="106"/>
      <c r="FL609" s="106"/>
      <c r="FM609" s="106"/>
      <c r="FN609" s="106"/>
      <c r="FO609" s="106"/>
      <c r="FP609" s="106"/>
      <c r="FQ609" s="106"/>
      <c r="FR609" s="106"/>
      <c r="FS609" s="106"/>
      <c r="FT609" s="106"/>
      <c r="FU609" s="106"/>
      <c r="FV609" s="106"/>
      <c r="FW609" s="106"/>
      <c r="FX609" s="106"/>
      <c r="FY609" s="106"/>
      <c r="FZ609" s="106"/>
      <c r="GA609" s="106"/>
      <c r="GB609" s="106"/>
      <c r="GC609" s="106"/>
      <c r="GD609" s="106"/>
      <c r="GE609" s="106"/>
    </row>
    <row r="610" spans="3:187" ht="12.75" customHeight="1">
      <c r="C610" s="106"/>
      <c r="D610" s="106"/>
      <c r="E610" s="106"/>
      <c r="F610" s="106"/>
      <c r="G610" s="106"/>
      <c r="H610" s="106"/>
      <c r="I610" s="106"/>
      <c r="J610" s="106"/>
      <c r="K610" s="106"/>
      <c r="L610" s="106"/>
      <c r="M610" s="106"/>
      <c r="N610" s="106"/>
      <c r="O610" s="106"/>
      <c r="P610" s="106"/>
      <c r="Q610" s="106"/>
      <c r="R610" s="106"/>
      <c r="S610" s="106"/>
      <c r="T610" s="106"/>
      <c r="U610" s="106"/>
      <c r="V610" s="106"/>
      <c r="W610" s="106"/>
      <c r="X610" s="106"/>
      <c r="Y610" s="106"/>
      <c r="Z610" s="106"/>
      <c r="AA610" s="106"/>
      <c r="AB610" s="106"/>
      <c r="AC610" s="106"/>
      <c r="AD610" s="106"/>
      <c r="AE610" s="106"/>
      <c r="AF610" s="106"/>
      <c r="AG610" s="106"/>
      <c r="AH610" s="106"/>
      <c r="AI610" s="106"/>
      <c r="AJ610" s="106"/>
      <c r="AK610" s="106"/>
      <c r="AL610" s="106"/>
      <c r="AM610" s="106"/>
      <c r="AN610" s="106"/>
      <c r="AO610" s="106"/>
      <c r="AP610" s="106"/>
      <c r="AQ610" s="106"/>
      <c r="AR610" s="106"/>
      <c r="AS610" s="106"/>
      <c r="AT610" s="106"/>
      <c r="AU610" s="106"/>
      <c r="AV610" s="106"/>
      <c r="AW610" s="106"/>
      <c r="AX610" s="106"/>
      <c r="AY610" s="106"/>
      <c r="AZ610" s="106"/>
      <c r="BA610" s="106"/>
      <c r="BB610" s="106"/>
      <c r="BC610" s="106"/>
      <c r="BD610" s="106"/>
      <c r="BE610" s="106"/>
      <c r="BF610" s="106"/>
      <c r="BG610" s="106"/>
      <c r="BH610" s="106"/>
      <c r="BI610" s="106"/>
      <c r="BJ610" s="106"/>
      <c r="BK610" s="106"/>
      <c r="BL610" s="106"/>
      <c r="BM610" s="106"/>
      <c r="BN610" s="106"/>
      <c r="BO610" s="106"/>
      <c r="BP610" s="106"/>
      <c r="BQ610" s="106"/>
      <c r="BR610" s="106"/>
      <c r="BS610" s="106"/>
      <c r="BT610" s="106"/>
      <c r="BU610" s="106"/>
      <c r="BV610" s="106"/>
      <c r="BW610" s="106"/>
      <c r="BX610" s="106"/>
      <c r="BY610" s="106"/>
      <c r="BZ610" s="106"/>
      <c r="CA610" s="106"/>
      <c r="CB610" s="106"/>
      <c r="CC610" s="106"/>
      <c r="CD610" s="106"/>
      <c r="CE610" s="106"/>
      <c r="CF610" s="106"/>
      <c r="CG610" s="106"/>
      <c r="CH610" s="106"/>
      <c r="CI610" s="106"/>
      <c r="CJ610" s="106"/>
      <c r="CK610" s="106"/>
      <c r="CL610" s="106"/>
      <c r="CM610" s="106"/>
      <c r="CN610" s="106"/>
      <c r="CO610" s="106"/>
      <c r="CP610" s="106"/>
      <c r="CQ610" s="106"/>
      <c r="CR610" s="106"/>
      <c r="CS610" s="106"/>
      <c r="CT610" s="106"/>
      <c r="CU610" s="106"/>
      <c r="CV610" s="106"/>
      <c r="CW610" s="106"/>
      <c r="CX610" s="106"/>
      <c r="CY610" s="106"/>
      <c r="CZ610" s="106"/>
      <c r="DA610" s="106"/>
      <c r="DB610" s="106"/>
      <c r="DC610" s="106"/>
      <c r="DD610" s="106"/>
      <c r="DE610" s="106"/>
      <c r="DF610" s="106"/>
      <c r="DG610" s="106"/>
      <c r="DH610" s="106"/>
      <c r="DI610" s="106"/>
      <c r="DJ610" s="106"/>
      <c r="DK610" s="106"/>
      <c r="DL610" s="106"/>
      <c r="DM610" s="106"/>
      <c r="DN610" s="106"/>
      <c r="DO610" s="106"/>
      <c r="DP610" s="106"/>
      <c r="DQ610" s="106"/>
      <c r="DR610" s="106"/>
      <c r="DS610" s="106"/>
      <c r="DT610" s="106"/>
      <c r="DU610" s="106"/>
      <c r="DV610" s="106"/>
      <c r="DW610" s="106"/>
      <c r="DX610" s="106"/>
      <c r="DY610" s="106"/>
      <c r="DZ610" s="106"/>
      <c r="EA610" s="106"/>
      <c r="EB610" s="106"/>
      <c r="EC610" s="106"/>
      <c r="ED610" s="106"/>
      <c r="EE610" s="106"/>
      <c r="EF610" s="106"/>
      <c r="EG610" s="106"/>
      <c r="EH610" s="106"/>
      <c r="EI610" s="106"/>
      <c r="EJ610" s="106"/>
      <c r="EK610" s="106"/>
      <c r="EL610" s="106"/>
      <c r="EM610" s="106"/>
      <c r="EN610" s="106"/>
      <c r="EO610" s="106"/>
      <c r="EP610" s="106"/>
      <c r="EQ610" s="106"/>
      <c r="ER610" s="106"/>
      <c r="ES610" s="106"/>
      <c r="ET610" s="106"/>
      <c r="EU610" s="106"/>
      <c r="EV610" s="106"/>
      <c r="EW610" s="106"/>
      <c r="EX610" s="106"/>
      <c r="EY610" s="106"/>
      <c r="EZ610" s="106"/>
      <c r="FA610" s="106"/>
      <c r="FB610" s="106"/>
      <c r="FC610" s="106"/>
      <c r="FD610" s="106"/>
      <c r="FE610" s="106"/>
      <c r="FF610" s="106"/>
      <c r="FG610" s="106"/>
      <c r="FH610" s="106"/>
      <c r="FI610" s="106"/>
      <c r="FJ610" s="106"/>
      <c r="FK610" s="106"/>
      <c r="FL610" s="106"/>
      <c r="FM610" s="106"/>
      <c r="FN610" s="106"/>
      <c r="FO610" s="106"/>
      <c r="FP610" s="106"/>
      <c r="FQ610" s="106"/>
      <c r="FR610" s="106"/>
      <c r="FS610" s="106"/>
      <c r="FT610" s="106"/>
      <c r="FU610" s="106"/>
      <c r="FV610" s="106"/>
      <c r="FW610" s="106"/>
      <c r="FX610" s="106"/>
      <c r="FY610" s="106"/>
      <c r="FZ610" s="106"/>
      <c r="GA610" s="106"/>
      <c r="GB610" s="106"/>
      <c r="GC610" s="106"/>
      <c r="GD610" s="106"/>
      <c r="GE610" s="106"/>
    </row>
    <row r="611" spans="3:187" ht="12.75" customHeight="1">
      <c r="C611" s="220"/>
      <c r="D611" s="169"/>
      <c r="E611" s="169"/>
      <c r="F611" s="169"/>
      <c r="G611" s="169"/>
      <c r="H611" s="220"/>
      <c r="I611" s="169"/>
      <c r="J611" s="169"/>
      <c r="K611" s="169"/>
      <c r="L611" s="169"/>
      <c r="M611" s="220"/>
      <c r="N611" s="169"/>
      <c r="O611" s="169"/>
      <c r="P611" s="169"/>
      <c r="Q611" s="169"/>
      <c r="R611" s="220"/>
      <c r="S611" s="169"/>
      <c r="T611" s="169"/>
      <c r="U611" s="169"/>
      <c r="V611" s="169"/>
      <c r="W611" s="220"/>
      <c r="X611" s="169"/>
      <c r="Y611" s="169"/>
      <c r="Z611" s="169"/>
      <c r="AA611" s="169"/>
      <c r="AB611" s="220"/>
      <c r="AC611" s="169"/>
      <c r="AD611" s="169"/>
      <c r="AE611" s="169"/>
      <c r="AF611" s="169"/>
      <c r="AG611" s="220"/>
      <c r="AH611" s="169"/>
      <c r="AI611" s="169"/>
      <c r="AJ611" s="169"/>
      <c r="AK611" s="169"/>
      <c r="AL611" s="220"/>
      <c r="AM611" s="169"/>
      <c r="AN611" s="169"/>
      <c r="AO611" s="169"/>
      <c r="AP611" s="169"/>
      <c r="AQ611" s="220"/>
      <c r="AR611" s="169"/>
      <c r="AS611" s="169"/>
      <c r="AT611" s="169"/>
      <c r="AU611" s="169"/>
      <c r="AV611" s="220"/>
      <c r="AW611" s="169"/>
      <c r="AX611" s="169"/>
      <c r="AY611" s="169"/>
      <c r="AZ611" s="169"/>
      <c r="BA611" s="220"/>
      <c r="BB611" s="169"/>
      <c r="BC611" s="169"/>
      <c r="BD611" s="169"/>
      <c r="BE611" s="169"/>
      <c r="BF611" s="220"/>
      <c r="BG611" s="169"/>
      <c r="BH611" s="169"/>
      <c r="BI611" s="169"/>
      <c r="BJ611" s="169"/>
      <c r="BK611" s="220"/>
      <c r="BL611" s="169"/>
      <c r="BM611" s="169"/>
      <c r="BN611" s="169"/>
      <c r="BO611" s="169"/>
      <c r="BP611" s="220"/>
      <c r="BQ611" s="169"/>
      <c r="BR611" s="169"/>
      <c r="BS611" s="169"/>
      <c r="BT611" s="169"/>
      <c r="BU611" s="220"/>
      <c r="BV611" s="169"/>
      <c r="BW611" s="169"/>
      <c r="BX611" s="169"/>
      <c r="BY611" s="169"/>
      <c r="BZ611" s="220"/>
      <c r="CA611" s="169"/>
      <c r="CB611" s="169"/>
      <c r="CC611" s="169"/>
      <c r="CD611" s="169"/>
      <c r="CE611" s="220"/>
      <c r="CF611" s="169"/>
      <c r="CG611" s="169"/>
      <c r="CH611" s="169"/>
      <c r="CI611" s="169"/>
      <c r="CJ611" s="220"/>
      <c r="CK611" s="169"/>
      <c r="CL611" s="169"/>
      <c r="CM611" s="169"/>
      <c r="CN611" s="169"/>
      <c r="CO611" s="220"/>
      <c r="CP611" s="169"/>
      <c r="CQ611" s="169"/>
      <c r="CR611" s="169"/>
      <c r="CS611" s="169"/>
      <c r="CT611" s="220"/>
      <c r="CU611" s="169"/>
      <c r="CV611" s="169"/>
      <c r="CW611" s="169"/>
      <c r="CX611" s="169"/>
      <c r="CY611" s="220"/>
      <c r="CZ611" s="169"/>
      <c r="DA611" s="169"/>
      <c r="DB611" s="169"/>
      <c r="DC611" s="169"/>
      <c r="DD611" s="220"/>
      <c r="DE611" s="169"/>
      <c r="DF611" s="169"/>
      <c r="DG611" s="169"/>
      <c r="DH611" s="169"/>
      <c r="DI611" s="220"/>
      <c r="DJ611" s="169"/>
      <c r="DK611" s="169"/>
      <c r="DL611" s="169"/>
      <c r="DM611" s="169"/>
      <c r="DN611" s="220"/>
      <c r="DO611" s="169"/>
      <c r="DP611" s="169"/>
      <c r="DQ611" s="169"/>
      <c r="DR611" s="169"/>
      <c r="DS611" s="220"/>
      <c r="DT611" s="169"/>
      <c r="DU611" s="169"/>
      <c r="DV611" s="169"/>
      <c r="DW611" s="169"/>
      <c r="DX611" s="220"/>
      <c r="DY611" s="169"/>
      <c r="DZ611" s="169"/>
      <c r="EA611" s="169"/>
      <c r="EB611" s="169"/>
      <c r="EC611" s="220"/>
      <c r="ED611" s="169"/>
      <c r="EE611" s="169"/>
      <c r="EF611" s="169"/>
      <c r="EG611" s="169"/>
      <c r="EH611" s="220"/>
      <c r="EI611" s="169"/>
      <c r="EJ611" s="169"/>
      <c r="EK611" s="169"/>
      <c r="EL611" s="169"/>
      <c r="EM611" s="220"/>
      <c r="EN611" s="169"/>
      <c r="EO611" s="169"/>
      <c r="EP611" s="169"/>
      <c r="EQ611" s="169"/>
      <c r="ER611" s="220"/>
      <c r="ES611" s="169"/>
      <c r="ET611" s="169"/>
      <c r="EU611" s="169"/>
      <c r="EV611" s="169"/>
      <c r="EW611" s="220"/>
      <c r="EX611" s="169"/>
      <c r="EY611" s="169"/>
      <c r="EZ611" s="169"/>
      <c r="FA611" s="169"/>
      <c r="FB611" s="220"/>
      <c r="FC611" s="169"/>
      <c r="FD611" s="169"/>
      <c r="FE611" s="169"/>
      <c r="FF611" s="169"/>
      <c r="FG611" s="220"/>
      <c r="FH611" s="169"/>
      <c r="FI611" s="169"/>
      <c r="FJ611" s="169"/>
      <c r="FK611" s="169"/>
      <c r="FL611" s="220"/>
      <c r="FM611" s="169"/>
      <c r="FN611" s="169"/>
      <c r="FO611" s="169"/>
      <c r="FP611" s="169"/>
      <c r="FQ611" s="220"/>
      <c r="FR611" s="169"/>
      <c r="FS611" s="169"/>
      <c r="FT611" s="169"/>
      <c r="FU611" s="169"/>
      <c r="FV611" s="220"/>
      <c r="FW611" s="169"/>
      <c r="FX611" s="169"/>
      <c r="FY611" s="169"/>
      <c r="FZ611" s="169"/>
      <c r="GA611" s="220"/>
      <c r="GB611" s="169"/>
      <c r="GC611" s="169"/>
      <c r="GD611" s="169"/>
      <c r="GE611" s="169"/>
    </row>
  </sheetData>
  <pageMargins left="0.7" right="0.7" top="0.75" bottom="0.75" header="0.3" footer="0.3"/>
  <customProperties>
    <customPr name="Qube.Worksheet.Visibility" r:id="rId1"/>
  </customPropertie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FC9725-CFAB-43B7-98A1-5210346FCE89}">
  <sheetPr>
    <tabColor theme="4"/>
  </sheetPr>
  <dimension ref="A1:GJ130"/>
  <sheetViews>
    <sheetView showGridLines="0" zoomScaleNormal="100" workbookViewId="0">
      <pane xSplit="2" ySplit="8" topLeftCell="EW9" activePane="bottomRight" state="frozen"/>
      <selection activeCell="DD115" sqref="DD115"/>
      <selection pane="topRight" activeCell="DD115" sqref="DD115"/>
      <selection pane="bottomLeft" activeCell="DD115" sqref="DD115"/>
      <selection pane="bottomRight"/>
    </sheetView>
  </sheetViews>
  <sheetFormatPr defaultColWidth="9.109375" defaultRowHeight="12.75" customHeight="1" outlineLevelRow="1" outlineLevelCol="1"/>
  <cols>
    <col min="1" max="1" width="3.5546875" style="68" customWidth="1"/>
    <col min="2" max="2" width="60.109375" style="283" customWidth="1"/>
    <col min="3" max="3" width="11.109375" style="284" hidden="1" customWidth="1" outlineLevel="1"/>
    <col min="4" max="6" width="11.109375" style="288" hidden="1" customWidth="1" outlineLevel="1"/>
    <col min="7" max="7" width="11.44140625" style="288" bestFit="1" customWidth="1" collapsed="1"/>
    <col min="8" max="8" width="11.109375" style="284" hidden="1" customWidth="1" outlineLevel="1"/>
    <col min="9" max="11" width="11.109375" style="288" hidden="1" customWidth="1" outlineLevel="1"/>
    <col min="12" max="12" width="11.44140625" style="288" bestFit="1" customWidth="1" collapsed="1"/>
    <col min="13" max="13" width="11.109375" style="284" hidden="1" customWidth="1" outlineLevel="1"/>
    <col min="14" max="16" width="11.109375" style="288" hidden="1" customWidth="1" outlineLevel="1"/>
    <col min="17" max="17" width="11.44140625" style="288" bestFit="1" customWidth="1" collapsed="1"/>
    <col min="18" max="18" width="11.109375" style="284" hidden="1" customWidth="1" outlineLevel="1"/>
    <col min="19" max="21" width="11.109375" style="288" hidden="1" customWidth="1" outlineLevel="1"/>
    <col min="22" max="22" width="11.44140625" style="288" bestFit="1" customWidth="1" collapsed="1"/>
    <col min="23" max="23" width="11.109375" style="284" hidden="1" customWidth="1" outlineLevel="1"/>
    <col min="24" max="26" width="11.109375" style="288" hidden="1" customWidth="1" outlineLevel="1"/>
    <col min="27" max="27" width="11.44140625" style="288" bestFit="1" customWidth="1" collapsed="1"/>
    <col min="28" max="28" width="11.109375" style="284" hidden="1" customWidth="1" outlineLevel="1"/>
    <col min="29" max="31" width="11.109375" style="288" hidden="1" customWidth="1" outlineLevel="1"/>
    <col min="32" max="32" width="11.44140625" style="288" bestFit="1" customWidth="1" collapsed="1"/>
    <col min="33" max="33" width="11.109375" style="284" hidden="1" customWidth="1" outlineLevel="1"/>
    <col min="34" max="36" width="11.109375" style="288" hidden="1" customWidth="1" outlineLevel="1"/>
    <col min="37" max="37" width="11.44140625" style="288" bestFit="1" customWidth="1" collapsed="1"/>
    <col min="38" max="38" width="11.109375" style="284" hidden="1" customWidth="1" outlineLevel="1"/>
    <col min="39" max="41" width="11.109375" style="288" hidden="1" customWidth="1" outlineLevel="1"/>
    <col min="42" max="42" width="11.109375" style="288" customWidth="1" collapsed="1"/>
    <col min="43" max="43" width="11.109375" style="284" hidden="1" customWidth="1" outlineLevel="1"/>
    <col min="44" max="46" width="11.109375" style="288" hidden="1" customWidth="1" outlineLevel="1"/>
    <col min="47" max="47" width="11.109375" style="288" customWidth="1" collapsed="1"/>
    <col min="48" max="48" width="11.109375" style="284" hidden="1" customWidth="1" outlineLevel="1"/>
    <col min="49" max="51" width="11.109375" style="288" hidden="1" customWidth="1" outlineLevel="1"/>
    <col min="52" max="52" width="11.44140625" style="288" bestFit="1" customWidth="1" collapsed="1"/>
    <col min="53" max="53" width="11.109375" style="284" hidden="1" customWidth="1" outlineLevel="1"/>
    <col min="54" max="56" width="11.109375" style="288" hidden="1" customWidth="1" outlineLevel="1"/>
    <col min="57" max="57" width="11.44140625" style="288" bestFit="1" customWidth="1" collapsed="1"/>
    <col min="58" max="58" width="11.109375" style="284" hidden="1" customWidth="1" outlineLevel="1"/>
    <col min="59" max="61" width="11.109375" style="288" hidden="1" customWidth="1" outlineLevel="1"/>
    <col min="62" max="62" width="11.44140625" style="288" bestFit="1" customWidth="1" collapsed="1"/>
    <col min="63" max="63" width="11.109375" style="284" hidden="1" customWidth="1" outlineLevel="1"/>
    <col min="64" max="66" width="11.109375" style="288" hidden="1" customWidth="1" outlineLevel="1"/>
    <col min="67" max="67" width="11.44140625" style="288" bestFit="1" customWidth="1" collapsed="1"/>
    <col min="68" max="68" width="11.109375" style="284" hidden="1" customWidth="1" outlineLevel="1"/>
    <col min="69" max="71" width="11.109375" style="288" hidden="1" customWidth="1" outlineLevel="1"/>
    <col min="72" max="72" width="11.44140625" style="288" bestFit="1" customWidth="1" collapsed="1"/>
    <col min="73" max="73" width="11.109375" style="284" hidden="1" customWidth="1" outlineLevel="1"/>
    <col min="74" max="76" width="11.109375" style="288" hidden="1" customWidth="1" outlineLevel="1"/>
    <col min="77" max="77" width="11.44140625" style="288" bestFit="1" customWidth="1" collapsed="1"/>
    <col min="78" max="78" width="11.109375" style="284" hidden="1" customWidth="1" outlineLevel="1"/>
    <col min="79" max="81" width="11.109375" style="288" hidden="1" customWidth="1" outlineLevel="1"/>
    <col min="82" max="82" width="11.44140625" style="288" bestFit="1" customWidth="1" collapsed="1"/>
    <col min="83" max="83" width="11.109375" style="284" hidden="1" customWidth="1" outlineLevel="1"/>
    <col min="84" max="86" width="11.109375" style="288" hidden="1" customWidth="1" outlineLevel="1"/>
    <col min="87" max="87" width="11.109375" style="288" customWidth="1" collapsed="1"/>
    <col min="88" max="88" width="11.109375" style="284" hidden="1" customWidth="1" outlineLevel="1"/>
    <col min="89" max="91" width="11.109375" style="288" hidden="1" customWidth="1" outlineLevel="1"/>
    <col min="92" max="92" width="11.109375" style="288" customWidth="1" collapsed="1"/>
    <col min="93" max="93" width="11.109375" style="284" hidden="1" customWidth="1" outlineLevel="1"/>
    <col min="94" max="96" width="11.109375" style="288" hidden="1" customWidth="1" outlineLevel="1"/>
    <col min="97" max="97" width="11.44140625" style="288" bestFit="1" customWidth="1" collapsed="1"/>
    <col min="98" max="98" width="11.109375" style="284" hidden="1" customWidth="1" outlineLevel="1"/>
    <col min="99" max="101" width="11.109375" style="288" hidden="1" customWidth="1" outlineLevel="1"/>
    <col min="102" max="102" width="11.44140625" style="288" bestFit="1" customWidth="1" collapsed="1"/>
    <col min="103" max="103" width="11.109375" style="284" hidden="1" customWidth="1" outlineLevel="1"/>
    <col min="104" max="106" width="11.109375" style="288" hidden="1" customWidth="1" outlineLevel="1"/>
    <col min="107" max="107" width="11.44140625" style="288" bestFit="1" customWidth="1" collapsed="1"/>
    <col min="108" max="108" width="11.109375" style="284" hidden="1" customWidth="1" outlineLevel="1"/>
    <col min="109" max="111" width="11.109375" style="288" hidden="1" customWidth="1" outlineLevel="1"/>
    <col min="112" max="112" width="11.44140625" style="288" bestFit="1" customWidth="1" collapsed="1"/>
    <col min="113" max="113" width="11.109375" style="284" hidden="1" customWidth="1" outlineLevel="1"/>
    <col min="114" max="116" width="11.109375" style="288" hidden="1" customWidth="1" outlineLevel="1"/>
    <col min="117" max="117" width="11.44140625" style="288" bestFit="1" customWidth="1" collapsed="1"/>
    <col min="118" max="118" width="11.109375" style="284" hidden="1" customWidth="1" outlineLevel="1"/>
    <col min="119" max="121" width="11.109375" style="288" hidden="1" customWidth="1" outlineLevel="1"/>
    <col min="122" max="122" width="11.44140625" style="288" bestFit="1" customWidth="1" collapsed="1"/>
    <col min="123" max="123" width="11.109375" style="284" hidden="1" customWidth="1" outlineLevel="1"/>
    <col min="124" max="126" width="9.44140625" style="288" hidden="1" customWidth="1" outlineLevel="1"/>
    <col min="127" max="127" width="11.44140625" style="288" bestFit="1" customWidth="1" collapsed="1"/>
    <col min="128" max="128" width="11.109375" style="284" hidden="1" customWidth="1" outlineLevel="1"/>
    <col min="129" max="131" width="11.109375" style="288" hidden="1" customWidth="1" outlineLevel="1"/>
    <col min="132" max="132" width="11.109375" style="288" customWidth="1" collapsed="1"/>
    <col min="133" max="133" width="11.109375" style="284" hidden="1" customWidth="1" outlineLevel="1"/>
    <col min="134" max="136" width="11.109375" style="288" hidden="1" customWidth="1" outlineLevel="1"/>
    <col min="137" max="137" width="11.109375" style="288" customWidth="1" collapsed="1"/>
    <col min="138" max="138" width="12.5546875" style="284" hidden="1" customWidth="1" outlineLevel="1"/>
    <col min="139" max="141" width="11.44140625" style="288" hidden="1" customWidth="1" outlineLevel="1"/>
    <col min="142" max="142" width="12.5546875" style="142" bestFit="1" customWidth="1" collapsed="1"/>
    <col min="143" max="143" width="11.44140625" style="284" hidden="1" customWidth="1" outlineLevel="1"/>
    <col min="144" max="146" width="11.44140625" style="288" hidden="1" customWidth="1" outlineLevel="1"/>
    <col min="147" max="147" width="11.44140625" style="142" bestFit="1" customWidth="1" collapsed="1"/>
    <col min="148" max="148" width="11.109375" style="284" hidden="1" customWidth="1" outlineLevel="1"/>
    <col min="149" max="151" width="11.109375" style="288" hidden="1" customWidth="1" outlineLevel="1"/>
    <col min="152" max="152" width="11.44140625" style="288" bestFit="1" customWidth="1" collapsed="1"/>
    <col min="153" max="153" width="11.109375" style="284" customWidth="1" outlineLevel="1"/>
    <col min="154" max="156" width="11.109375" style="288" customWidth="1" outlineLevel="1"/>
    <col min="157" max="157" width="11.44140625" style="288" bestFit="1" customWidth="1"/>
    <col min="158" max="158" width="11.109375" style="284" customWidth="1" outlineLevel="1"/>
    <col min="159" max="161" width="11.109375" style="288" customWidth="1" outlineLevel="1"/>
    <col min="162" max="162" width="11.44140625" style="288" bestFit="1" customWidth="1"/>
    <col min="163" max="163" width="11.109375" style="284" customWidth="1" outlineLevel="1"/>
    <col min="164" max="166" width="11.109375" style="288" customWidth="1" outlineLevel="1"/>
    <col min="167" max="167" width="11.44140625" style="288" bestFit="1" customWidth="1"/>
    <col min="168" max="168" width="11.109375" style="284" hidden="1" customWidth="1" outlineLevel="1"/>
    <col min="169" max="171" width="11.109375" style="288" hidden="1" customWidth="1" outlineLevel="1"/>
    <col min="172" max="172" width="11.44140625" style="288" bestFit="1" customWidth="1" collapsed="1"/>
    <col min="173" max="173" width="11.109375" style="284" hidden="1" customWidth="1" outlineLevel="1"/>
    <col min="174" max="176" width="11.109375" style="288" hidden="1" customWidth="1" outlineLevel="1"/>
    <col min="177" max="177" width="11.44140625" style="288" bestFit="1" customWidth="1" collapsed="1"/>
    <col min="178" max="178" width="11.109375" style="284" hidden="1" customWidth="1" outlineLevel="1"/>
    <col min="179" max="181" width="9.44140625" style="288" hidden="1" customWidth="1" outlineLevel="1"/>
    <col min="182" max="182" width="11.44140625" style="288" bestFit="1" customWidth="1" collapsed="1"/>
    <col min="183" max="183" width="11.109375" style="284" hidden="1" customWidth="1" outlineLevel="1"/>
    <col min="184" max="186" width="9.44140625" style="288" hidden="1" customWidth="1" outlineLevel="1"/>
    <col min="187" max="187" width="11.44140625" style="288" bestFit="1" customWidth="1" collapsed="1"/>
    <col min="188" max="188" width="11.109375" style="284" hidden="1" customWidth="1" outlineLevel="1"/>
    <col min="189" max="191" width="9.44140625" style="288" hidden="1" customWidth="1" outlineLevel="1"/>
    <col min="192" max="192" width="11.44140625" style="288" bestFit="1" customWidth="1" collapsed="1"/>
    <col min="193" max="16384" width="9.109375" style="283"/>
  </cols>
  <sheetData>
    <row r="1" spans="1:192" ht="12.75" customHeight="1">
      <c r="D1" s="285"/>
      <c r="E1" s="285"/>
      <c r="F1" s="285"/>
      <c r="G1" s="285"/>
      <c r="I1" s="285"/>
      <c r="J1" s="285"/>
      <c r="K1" s="285"/>
      <c r="L1" s="285"/>
      <c r="N1" s="285"/>
      <c r="O1" s="285"/>
      <c r="P1" s="285"/>
      <c r="Q1" s="285"/>
      <c r="S1" s="285"/>
      <c r="T1" s="285"/>
      <c r="U1" s="285"/>
      <c r="V1" s="285"/>
      <c r="X1" s="285"/>
      <c r="Y1" s="285"/>
      <c r="Z1" s="285"/>
      <c r="AA1" s="285"/>
      <c r="AC1" s="285"/>
      <c r="AD1" s="285"/>
      <c r="AE1" s="285"/>
      <c r="AF1" s="285"/>
      <c r="AH1" s="285"/>
      <c r="AI1" s="285"/>
      <c r="AJ1" s="285"/>
      <c r="AK1" s="285"/>
      <c r="AM1" s="285"/>
      <c r="AN1" s="285"/>
      <c r="AO1" s="285"/>
      <c r="AP1" s="285"/>
      <c r="AR1" s="285"/>
      <c r="AS1" s="285"/>
      <c r="AT1" s="285"/>
      <c r="AU1" s="285"/>
      <c r="AW1" s="285"/>
      <c r="AX1" s="285"/>
      <c r="AY1" s="285"/>
      <c r="AZ1" s="285"/>
      <c r="BB1" s="285"/>
      <c r="BC1" s="285"/>
      <c r="BD1" s="285"/>
      <c r="BE1" s="285"/>
      <c r="BG1" s="285"/>
      <c r="BH1" s="285"/>
      <c r="BI1" s="285"/>
      <c r="BJ1" s="285"/>
      <c r="BL1" s="285"/>
      <c r="BM1" s="285"/>
      <c r="BN1" s="285"/>
      <c r="BO1" s="285"/>
      <c r="BQ1" s="285"/>
      <c r="BR1" s="285"/>
      <c r="BS1" s="285"/>
      <c r="BT1" s="285"/>
      <c r="BV1" s="285"/>
      <c r="BW1" s="285"/>
      <c r="BX1" s="285"/>
      <c r="BY1" s="285"/>
      <c r="CA1" s="285"/>
      <c r="CB1" s="285"/>
      <c r="CC1" s="285"/>
      <c r="CD1" s="285"/>
      <c r="CF1" s="285"/>
      <c r="CG1" s="285"/>
      <c r="CH1" s="285"/>
      <c r="CI1" s="285"/>
      <c r="CK1" s="285"/>
      <c r="CL1" s="285"/>
      <c r="CM1" s="285"/>
      <c r="CN1" s="285"/>
      <c r="CP1" s="285"/>
      <c r="CQ1" s="285"/>
      <c r="CR1" s="285"/>
      <c r="CS1" s="285"/>
      <c r="CU1" s="285"/>
      <c r="CV1" s="285"/>
      <c r="CW1" s="285"/>
      <c r="CX1" s="285"/>
      <c r="CZ1" s="285"/>
      <c r="DA1" s="285"/>
      <c r="DB1" s="285"/>
      <c r="DC1" s="285"/>
      <c r="DE1" s="285"/>
      <c r="DF1" s="285"/>
      <c r="DG1" s="285"/>
      <c r="DH1" s="285"/>
      <c r="DJ1" s="285"/>
      <c r="DK1" s="285"/>
      <c r="DL1" s="285"/>
      <c r="DM1" s="285"/>
      <c r="DO1" s="285"/>
      <c r="DP1" s="285"/>
      <c r="DQ1" s="285"/>
      <c r="DR1" s="285"/>
      <c r="DT1" s="285"/>
      <c r="DU1" s="285"/>
      <c r="DV1" s="285"/>
      <c r="DW1" s="285"/>
      <c r="DY1" s="285"/>
      <c r="DZ1" s="285"/>
      <c r="EA1" s="285"/>
      <c r="EB1" s="285"/>
      <c r="ED1" s="285"/>
      <c r="EE1" s="285"/>
      <c r="EF1" s="285"/>
      <c r="EG1" s="285"/>
      <c r="EI1" s="285"/>
      <c r="EJ1" s="285"/>
      <c r="EK1" s="285"/>
      <c r="EL1" s="285"/>
      <c r="EN1" s="285"/>
      <c r="EO1" s="285"/>
      <c r="EP1" s="285"/>
      <c r="EQ1" s="285"/>
      <c r="ES1" s="285"/>
      <c r="ET1" s="285"/>
      <c r="EU1" s="285"/>
      <c r="EV1" s="285"/>
      <c r="EX1" s="285"/>
      <c r="EY1" s="285"/>
      <c r="EZ1" s="285"/>
      <c r="FA1" s="285"/>
      <c r="FC1" s="285"/>
      <c r="FD1" s="285"/>
      <c r="FE1" s="285"/>
      <c r="FF1" s="285"/>
      <c r="FH1" s="285"/>
      <c r="FI1" s="285"/>
      <c r="FJ1" s="285"/>
      <c r="FK1" s="285"/>
      <c r="FM1" s="285"/>
      <c r="FN1" s="285"/>
      <c r="FO1" s="285"/>
      <c r="FP1" s="285"/>
      <c r="FR1" s="285"/>
      <c r="FS1" s="285"/>
      <c r="FT1" s="285"/>
      <c r="FU1" s="285"/>
      <c r="FW1" s="285"/>
      <c r="FX1" s="285"/>
      <c r="FY1" s="285"/>
      <c r="FZ1" s="285"/>
      <c r="GB1" s="285"/>
      <c r="GC1" s="285"/>
      <c r="GD1" s="285"/>
      <c r="GE1" s="285"/>
      <c r="GG1" s="285"/>
      <c r="GH1" s="285"/>
      <c r="GI1" s="285"/>
      <c r="GJ1" s="285"/>
    </row>
    <row r="2" spans="1:192" ht="12.75" customHeight="1">
      <c r="B2" s="40" t="s">
        <v>63</v>
      </c>
      <c r="D2" s="285"/>
      <c r="E2" s="285"/>
      <c r="F2" s="285"/>
      <c r="G2" s="285"/>
      <c r="I2" s="285"/>
      <c r="J2" s="285"/>
      <c r="K2" s="285"/>
      <c r="L2" s="285"/>
      <c r="N2" s="285"/>
      <c r="O2" s="285"/>
      <c r="P2" s="285"/>
      <c r="Q2" s="285"/>
      <c r="S2" s="285"/>
      <c r="T2" s="285"/>
      <c r="U2" s="285"/>
      <c r="V2" s="285"/>
      <c r="X2" s="285"/>
      <c r="Y2" s="285"/>
      <c r="Z2" s="285"/>
      <c r="AA2" s="285"/>
      <c r="AC2" s="285"/>
      <c r="AD2" s="285"/>
      <c r="AE2" s="285"/>
      <c r="AF2" s="285"/>
      <c r="AH2" s="285"/>
      <c r="AI2" s="285"/>
      <c r="AJ2" s="285"/>
      <c r="AK2" s="285"/>
      <c r="AM2" s="285"/>
      <c r="AN2" s="285"/>
      <c r="AO2" s="285"/>
      <c r="AP2" s="285"/>
      <c r="AR2" s="285"/>
      <c r="AS2" s="285"/>
      <c r="AT2" s="285"/>
      <c r="AU2" s="285"/>
      <c r="AW2" s="285"/>
      <c r="AX2" s="285"/>
      <c r="AY2" s="285"/>
      <c r="AZ2" s="285"/>
      <c r="BB2" s="285"/>
      <c r="BC2" s="285"/>
      <c r="BD2" s="285"/>
      <c r="BE2" s="285"/>
      <c r="BG2" s="285"/>
      <c r="BH2" s="285"/>
      <c r="BI2" s="285"/>
      <c r="BJ2" s="285"/>
      <c r="BL2" s="285"/>
      <c r="BM2" s="285"/>
      <c r="BN2" s="285"/>
      <c r="BO2" s="285"/>
      <c r="BQ2" s="285"/>
      <c r="BR2" s="285"/>
      <c r="BS2" s="285"/>
      <c r="BT2" s="285"/>
      <c r="BV2" s="285"/>
      <c r="BW2" s="285"/>
      <c r="BX2" s="285"/>
      <c r="BY2" s="285"/>
      <c r="CA2" s="285"/>
      <c r="CB2" s="285"/>
      <c r="CC2" s="285"/>
      <c r="CD2" s="285"/>
      <c r="CF2" s="285"/>
      <c r="CG2" s="285"/>
      <c r="CH2" s="285"/>
      <c r="CI2" s="285"/>
      <c r="CK2" s="285"/>
      <c r="CL2" s="285"/>
      <c r="CM2" s="285"/>
      <c r="CN2" s="285"/>
      <c r="CP2" s="285"/>
      <c r="CQ2" s="285"/>
      <c r="CR2" s="285"/>
      <c r="CS2" s="285"/>
      <c r="CU2" s="285"/>
      <c r="CV2" s="285"/>
      <c r="CW2" s="285"/>
      <c r="CX2" s="285"/>
      <c r="CZ2" s="285"/>
      <c r="DA2" s="285"/>
      <c r="DB2" s="285"/>
      <c r="DC2" s="285"/>
      <c r="DE2" s="285"/>
      <c r="DF2" s="285"/>
      <c r="DG2" s="285"/>
      <c r="DH2" s="285"/>
      <c r="DJ2" s="285"/>
      <c r="DK2" s="285"/>
      <c r="DL2" s="285"/>
      <c r="DM2" s="285"/>
      <c r="DO2" s="285"/>
      <c r="DP2" s="285"/>
      <c r="DQ2" s="285"/>
      <c r="DR2" s="285"/>
      <c r="DT2" s="285"/>
      <c r="DU2" s="285"/>
      <c r="DV2" s="285"/>
      <c r="DW2" s="285"/>
      <c r="DY2" s="285"/>
      <c r="DZ2" s="285"/>
      <c r="EA2" s="285"/>
      <c r="EB2" s="285"/>
      <c r="ED2" s="285"/>
      <c r="EE2" s="285"/>
      <c r="EF2" s="285"/>
      <c r="EG2" s="285"/>
      <c r="EI2" s="285"/>
      <c r="EJ2" s="285"/>
      <c r="EK2" s="285"/>
      <c r="EL2" s="285"/>
      <c r="EN2" s="285"/>
      <c r="EO2" s="285"/>
      <c r="EP2" s="285"/>
      <c r="EQ2" s="285"/>
      <c r="ES2" s="285"/>
      <c r="ET2" s="285"/>
      <c r="EU2" s="285"/>
      <c r="EV2" s="285"/>
      <c r="EX2" s="285"/>
      <c r="EY2" s="285"/>
      <c r="EZ2" s="285"/>
      <c r="FA2" s="285"/>
      <c r="FC2" s="285"/>
      <c r="FD2" s="285"/>
      <c r="FE2" s="285"/>
      <c r="FF2" s="285"/>
      <c r="FH2" s="285"/>
      <c r="FI2" s="285"/>
      <c r="FJ2" s="285"/>
      <c r="FK2" s="285"/>
      <c r="FM2" s="285"/>
      <c r="FN2" s="285"/>
      <c r="FO2" s="285"/>
      <c r="FP2" s="285"/>
      <c r="FR2" s="285"/>
      <c r="FS2" s="285"/>
      <c r="FT2" s="285"/>
      <c r="FU2" s="285"/>
      <c r="FW2" s="285"/>
      <c r="FX2" s="285"/>
      <c r="FY2" s="285"/>
      <c r="FZ2" s="285"/>
      <c r="GB2" s="285"/>
      <c r="GC2" s="285"/>
      <c r="GD2" s="285"/>
      <c r="GE2" s="285"/>
      <c r="GG2" s="285"/>
      <c r="GH2" s="285"/>
      <c r="GI2" s="285"/>
      <c r="GJ2" s="285"/>
    </row>
    <row r="3" spans="1:192" ht="12.75" customHeight="1">
      <c r="B3" s="40" t="s">
        <v>64</v>
      </c>
      <c r="D3" s="285"/>
      <c r="E3" s="285"/>
      <c r="F3" s="285"/>
      <c r="G3" s="285"/>
      <c r="I3" s="285"/>
      <c r="J3" s="285"/>
      <c r="K3" s="285"/>
      <c r="L3" s="285"/>
      <c r="N3" s="285"/>
      <c r="O3" s="285"/>
      <c r="P3" s="285"/>
      <c r="Q3" s="285"/>
      <c r="S3" s="285"/>
      <c r="T3" s="285"/>
      <c r="U3" s="285"/>
      <c r="V3" s="285"/>
      <c r="X3" s="285"/>
      <c r="Y3" s="285"/>
      <c r="Z3" s="285"/>
      <c r="AA3" s="285"/>
      <c r="AC3" s="285"/>
      <c r="AD3" s="285"/>
      <c r="AE3" s="285"/>
      <c r="AF3" s="285"/>
      <c r="AH3" s="285"/>
      <c r="AI3" s="285"/>
      <c r="AJ3" s="285"/>
      <c r="AK3" s="285"/>
      <c r="AM3" s="285"/>
      <c r="AN3" s="285"/>
      <c r="AO3" s="285"/>
      <c r="AP3" s="285"/>
      <c r="AR3" s="285"/>
      <c r="AS3" s="285"/>
      <c r="AT3" s="285"/>
      <c r="AU3" s="285"/>
      <c r="AW3" s="285"/>
      <c r="AX3" s="285"/>
      <c r="AY3" s="285"/>
      <c r="AZ3" s="285"/>
      <c r="BB3" s="285"/>
      <c r="BC3" s="285"/>
      <c r="BD3" s="285"/>
      <c r="BE3" s="285"/>
      <c r="BG3" s="285"/>
      <c r="BH3" s="285"/>
      <c r="BI3" s="285"/>
      <c r="BJ3" s="285"/>
      <c r="BL3" s="285"/>
      <c r="BM3" s="285"/>
      <c r="BN3" s="285"/>
      <c r="BO3" s="285"/>
      <c r="BQ3" s="285"/>
      <c r="BR3" s="285"/>
      <c r="BS3" s="285"/>
      <c r="BT3" s="285"/>
      <c r="BV3" s="285"/>
      <c r="BW3" s="285"/>
      <c r="BX3" s="285"/>
      <c r="BY3" s="285"/>
      <c r="CA3" s="285"/>
      <c r="CB3" s="285"/>
      <c r="CC3" s="285"/>
      <c r="CD3" s="285"/>
      <c r="CF3" s="285"/>
      <c r="CG3" s="285"/>
      <c r="CH3" s="285"/>
      <c r="CI3" s="285"/>
      <c r="CK3" s="285"/>
      <c r="CL3" s="285"/>
      <c r="CM3" s="285"/>
      <c r="CN3" s="285"/>
      <c r="CP3" s="285"/>
      <c r="CQ3" s="285"/>
      <c r="CR3" s="285"/>
      <c r="CS3" s="285"/>
      <c r="CU3" s="285"/>
      <c r="CV3" s="285"/>
      <c r="CW3" s="285"/>
      <c r="CX3" s="285"/>
      <c r="CZ3" s="285"/>
      <c r="DA3" s="285"/>
      <c r="DB3" s="285"/>
      <c r="DC3" s="285"/>
      <c r="DE3" s="285"/>
      <c r="DF3" s="285"/>
      <c r="DG3" s="285"/>
      <c r="DH3" s="285"/>
      <c r="DJ3" s="285"/>
      <c r="DK3" s="285"/>
      <c r="DL3" s="285"/>
      <c r="DM3" s="285"/>
      <c r="DO3" s="285"/>
      <c r="DP3" s="285"/>
      <c r="DQ3" s="285"/>
      <c r="DR3" s="285"/>
      <c r="DT3" s="285"/>
      <c r="DU3" s="285"/>
      <c r="DV3" s="285"/>
      <c r="DW3" s="285"/>
      <c r="DY3" s="285"/>
      <c r="DZ3" s="285"/>
      <c r="EA3" s="285"/>
      <c r="EB3" s="285"/>
      <c r="ED3" s="285"/>
      <c r="EE3" s="285"/>
      <c r="EF3" s="285"/>
      <c r="EG3" s="285"/>
      <c r="EI3" s="285"/>
      <c r="EJ3" s="285"/>
      <c r="EK3" s="285"/>
      <c r="EL3" s="285"/>
      <c r="EN3" s="285"/>
      <c r="EO3" s="285"/>
      <c r="EP3" s="285"/>
      <c r="EQ3" s="285"/>
      <c r="ES3" s="285"/>
      <c r="ET3" s="285"/>
      <c r="EU3" s="285"/>
      <c r="EV3" s="285"/>
      <c r="EX3" s="285"/>
      <c r="EY3" s="285"/>
      <c r="EZ3" s="285"/>
      <c r="FA3" s="285"/>
      <c r="FC3" s="285"/>
      <c r="FD3" s="285"/>
      <c r="FE3" s="285"/>
      <c r="FF3" s="285"/>
      <c r="FH3" s="285"/>
      <c r="FI3" s="285"/>
      <c r="FJ3" s="285"/>
      <c r="FK3" s="285"/>
      <c r="FM3" s="285"/>
      <c r="FN3" s="285"/>
      <c r="FO3" s="285"/>
      <c r="FP3" s="285"/>
      <c r="FR3" s="285"/>
      <c r="FS3" s="285"/>
      <c r="FT3" s="285"/>
      <c r="FU3" s="285"/>
      <c r="FW3" s="285"/>
      <c r="FX3" s="285"/>
      <c r="FY3" s="285"/>
      <c r="FZ3" s="285"/>
      <c r="GB3" s="285"/>
      <c r="GC3" s="285"/>
      <c r="GD3" s="285"/>
      <c r="GE3" s="285"/>
      <c r="GG3" s="285"/>
      <c r="GH3" s="285"/>
      <c r="GI3" s="285"/>
      <c r="GJ3" s="285"/>
    </row>
    <row r="4" spans="1:192" ht="12.75" customHeight="1">
      <c r="B4" s="40" t="s">
        <v>27</v>
      </c>
      <c r="D4" s="285"/>
      <c r="E4" s="285"/>
      <c r="F4" s="285"/>
      <c r="G4" s="285"/>
      <c r="I4" s="285"/>
      <c r="J4" s="285"/>
      <c r="K4" s="285"/>
      <c r="L4" s="285"/>
      <c r="N4" s="285"/>
      <c r="O4" s="285"/>
      <c r="P4" s="285"/>
      <c r="Q4" s="285"/>
      <c r="S4" s="285"/>
      <c r="T4" s="285"/>
      <c r="U4" s="285"/>
      <c r="V4" s="285"/>
      <c r="X4" s="285"/>
      <c r="Y4" s="285"/>
      <c r="Z4" s="285"/>
      <c r="AA4" s="285"/>
      <c r="AC4" s="285"/>
      <c r="AD4" s="285"/>
      <c r="AE4" s="285"/>
      <c r="AF4" s="285"/>
      <c r="AH4" s="285"/>
      <c r="AI4" s="285"/>
      <c r="AJ4" s="285"/>
      <c r="AK4" s="285"/>
      <c r="AM4" s="285"/>
      <c r="AN4" s="285"/>
      <c r="AO4" s="285"/>
      <c r="AP4" s="285"/>
      <c r="AR4" s="285"/>
      <c r="AS4" s="285"/>
      <c r="AT4" s="285"/>
      <c r="AU4" s="285"/>
      <c r="AW4" s="285"/>
      <c r="AX4" s="285"/>
      <c r="AY4" s="285"/>
      <c r="AZ4" s="285"/>
      <c r="BB4" s="285"/>
      <c r="BC4" s="285"/>
      <c r="BD4" s="285"/>
      <c r="BE4" s="285"/>
      <c r="BG4" s="285"/>
      <c r="BH4" s="285"/>
      <c r="BI4" s="285"/>
      <c r="BJ4" s="285"/>
      <c r="BL4" s="285"/>
      <c r="BM4" s="285"/>
      <c r="BN4" s="285"/>
      <c r="BO4" s="285"/>
      <c r="BQ4" s="285"/>
      <c r="BR4" s="285"/>
      <c r="BS4" s="285"/>
      <c r="BT4" s="285"/>
      <c r="BV4" s="285"/>
      <c r="BW4" s="285"/>
      <c r="BX4" s="285"/>
      <c r="BY4" s="285"/>
      <c r="CA4" s="285"/>
      <c r="CB4" s="285"/>
      <c r="CC4" s="285"/>
      <c r="CD4" s="285"/>
      <c r="CF4" s="285"/>
      <c r="CG4" s="285"/>
      <c r="CH4" s="285"/>
      <c r="CI4" s="285"/>
      <c r="CK4" s="285"/>
      <c r="CL4" s="285"/>
      <c r="CM4" s="285"/>
      <c r="CN4" s="285"/>
      <c r="CP4" s="285"/>
      <c r="CQ4" s="285"/>
      <c r="CR4" s="285"/>
      <c r="CS4" s="285"/>
      <c r="CU4" s="285"/>
      <c r="CV4" s="285"/>
      <c r="CW4" s="285"/>
      <c r="CX4" s="285"/>
      <c r="CZ4" s="285"/>
      <c r="DA4" s="285"/>
      <c r="DB4" s="285"/>
      <c r="DC4" s="285"/>
      <c r="DE4" s="285"/>
      <c r="DF4" s="285"/>
      <c r="DG4" s="285"/>
      <c r="DH4" s="285"/>
      <c r="DI4" s="968"/>
      <c r="DJ4" s="969"/>
      <c r="DK4" s="970" t="s">
        <v>421</v>
      </c>
      <c r="DL4" s="969"/>
      <c r="DM4" s="969"/>
      <c r="DO4" s="285"/>
      <c r="DP4" s="285"/>
      <c r="DQ4" s="285"/>
      <c r="DR4" s="285"/>
      <c r="DS4" s="874"/>
      <c r="DT4" s="874"/>
      <c r="DU4" s="874"/>
      <c r="DV4" s="874"/>
      <c r="DW4" s="874"/>
      <c r="DX4" s="874"/>
      <c r="DY4" s="874"/>
      <c r="DZ4" s="874"/>
      <c r="EA4" s="874"/>
      <c r="EB4" s="874"/>
      <c r="EC4" s="874"/>
      <c r="ED4" s="874"/>
      <c r="EE4" s="874"/>
      <c r="EF4" s="874"/>
      <c r="EG4" s="874"/>
      <c r="EH4" s="874"/>
      <c r="EI4" s="874"/>
      <c r="EJ4" s="874"/>
      <c r="EK4" s="874"/>
      <c r="EL4" s="874"/>
      <c r="EM4" s="874"/>
      <c r="EN4" s="874"/>
      <c r="EO4" s="874"/>
      <c r="EP4" s="874"/>
      <c r="EQ4" s="874"/>
      <c r="ER4" s="1651"/>
      <c r="ES4" s="375"/>
      <c r="ET4" s="375"/>
      <c r="EU4" s="375"/>
      <c r="EV4" s="375"/>
      <c r="EW4" s="474"/>
      <c r="EX4" s="375"/>
      <c r="EY4" s="375"/>
      <c r="EZ4" s="375"/>
      <c r="FA4" s="375"/>
      <c r="FB4" s="474"/>
      <c r="FC4" s="375"/>
      <c r="FD4" s="375"/>
      <c r="FE4" s="375"/>
      <c r="FF4" s="375"/>
      <c r="FG4" s="474"/>
      <c r="FH4" s="375"/>
      <c r="FI4" s="375"/>
      <c r="FJ4" s="375"/>
      <c r="FK4" s="1448"/>
      <c r="FL4" s="474"/>
      <c r="FM4" s="285"/>
      <c r="FN4" s="285"/>
      <c r="FO4" s="285"/>
      <c r="FP4" s="285"/>
      <c r="FR4" s="285"/>
      <c r="FS4" s="285"/>
      <c r="FT4" s="285"/>
      <c r="FU4" s="285"/>
      <c r="FW4" s="285"/>
      <c r="FX4" s="285"/>
      <c r="FY4" s="285"/>
      <c r="FZ4" s="285"/>
      <c r="GB4" s="285"/>
      <c r="GC4" s="285"/>
      <c r="GD4" s="285"/>
      <c r="GE4" s="285"/>
      <c r="GG4" s="285"/>
      <c r="GH4" s="285"/>
      <c r="GI4" s="285"/>
      <c r="GJ4" s="285"/>
    </row>
    <row r="5" spans="1:192" ht="12.75" customHeight="1">
      <c r="C5" s="286"/>
      <c r="D5" s="287"/>
      <c r="E5" s="287"/>
      <c r="G5" s="287"/>
      <c r="H5" s="286"/>
      <c r="I5" s="287"/>
      <c r="J5" s="287"/>
      <c r="L5" s="285"/>
      <c r="M5" s="286"/>
      <c r="N5" s="287"/>
      <c r="O5" s="287"/>
      <c r="Q5" s="285"/>
      <c r="R5" s="286"/>
      <c r="S5" s="287"/>
      <c r="T5" s="287"/>
      <c r="V5" s="285"/>
      <c r="W5" s="286"/>
      <c r="X5" s="287"/>
      <c r="Y5" s="287"/>
      <c r="AA5" s="285"/>
      <c r="AB5" s="286"/>
      <c r="AC5" s="287"/>
      <c r="AD5" s="287"/>
      <c r="AF5" s="285"/>
      <c r="AG5" s="286"/>
      <c r="AH5" s="287"/>
      <c r="AI5" s="287"/>
      <c r="AK5" s="285"/>
      <c r="AL5" s="286"/>
      <c r="AM5" s="287"/>
      <c r="AN5" s="287"/>
      <c r="AP5" s="285"/>
      <c r="AQ5" s="286"/>
      <c r="AR5" s="287"/>
      <c r="AS5" s="287"/>
      <c r="AU5" s="285"/>
      <c r="AV5" s="286"/>
      <c r="AW5" s="287"/>
      <c r="AX5" s="287"/>
      <c r="AZ5" s="287"/>
      <c r="BA5" s="286"/>
      <c r="BB5" s="287"/>
      <c r="BC5" s="287"/>
      <c r="BE5" s="285"/>
      <c r="BF5" s="286"/>
      <c r="BG5" s="287"/>
      <c r="BH5" s="287"/>
      <c r="BJ5" s="285"/>
      <c r="BK5" s="286"/>
      <c r="BL5" s="287"/>
      <c r="BM5" s="287"/>
      <c r="BO5" s="285"/>
      <c r="BP5" s="286"/>
      <c r="BQ5" s="287"/>
      <c r="BR5" s="287"/>
      <c r="BT5" s="285"/>
      <c r="BU5" s="286"/>
      <c r="BV5" s="287"/>
      <c r="BW5" s="287"/>
      <c r="BY5" s="285"/>
      <c r="BZ5" s="286"/>
      <c r="CA5" s="287"/>
      <c r="CB5" s="287"/>
      <c r="CD5" s="285"/>
      <c r="CE5" s="286"/>
      <c r="CF5" s="287"/>
      <c r="CG5" s="287"/>
      <c r="CI5" s="285"/>
      <c r="CJ5" s="286"/>
      <c r="CK5" s="287"/>
      <c r="CL5" s="287"/>
      <c r="CN5" s="285"/>
      <c r="CO5" s="286"/>
      <c r="CP5" s="287"/>
      <c r="CQ5" s="287"/>
      <c r="CS5" s="287"/>
      <c r="CT5" s="350"/>
      <c r="CU5" s="351"/>
      <c r="CV5" s="351"/>
      <c r="CW5" s="351"/>
      <c r="CX5" s="285"/>
      <c r="CY5" s="286"/>
      <c r="CZ5" s="287"/>
      <c r="DA5" s="287"/>
      <c r="DC5" s="285"/>
      <c r="DD5" s="350"/>
      <c r="DE5" s="351"/>
      <c r="DF5" s="351"/>
      <c r="DG5" s="351"/>
      <c r="DH5" s="375"/>
      <c r="DI5" s="350"/>
      <c r="DJ5" s="351"/>
      <c r="DK5" s="351"/>
      <c r="DL5" s="351"/>
      <c r="DM5" s="285"/>
      <c r="DO5" s="285"/>
      <c r="DP5" s="285"/>
      <c r="DQ5" s="285"/>
      <c r="DR5" s="285"/>
      <c r="DT5" s="285"/>
      <c r="DU5" s="285"/>
      <c r="DV5" s="285"/>
      <c r="DW5" s="285"/>
      <c r="DY5" s="285"/>
      <c r="DZ5" s="285"/>
      <c r="EA5" s="285"/>
      <c r="EB5" s="285"/>
      <c r="ED5" s="285"/>
      <c r="EE5" s="285"/>
      <c r="EF5" s="285"/>
      <c r="EG5" s="285"/>
      <c r="EH5" s="286"/>
      <c r="EI5" s="287"/>
      <c r="EJ5" s="287"/>
      <c r="EL5" s="285"/>
      <c r="EM5" s="286"/>
      <c r="EN5" s="287"/>
      <c r="EO5" s="287"/>
      <c r="EQ5" s="285"/>
      <c r="ER5" s="350"/>
      <c r="ES5" s="351"/>
      <c r="ET5" s="351"/>
      <c r="EU5" s="475"/>
      <c r="EV5" s="375"/>
      <c r="EW5" s="350"/>
      <c r="EX5" s="351"/>
      <c r="EY5" s="351"/>
      <c r="EZ5" s="375"/>
      <c r="FA5" s="375"/>
      <c r="FB5" s="474"/>
      <c r="FC5" s="375"/>
      <c r="FD5" s="375"/>
      <c r="FE5" s="375"/>
      <c r="FF5" s="375"/>
      <c r="FG5" s="474"/>
      <c r="FH5" s="375"/>
      <c r="FI5" s="375"/>
      <c r="FJ5" s="375"/>
      <c r="FK5" s="375"/>
      <c r="FL5" s="474"/>
      <c r="FM5" s="285"/>
      <c r="FN5" s="285"/>
      <c r="FO5" s="285"/>
      <c r="FR5" s="285"/>
      <c r="FS5" s="285"/>
      <c r="FT5" s="285"/>
      <c r="FU5" s="285"/>
      <c r="FW5" s="285"/>
      <c r="FX5" s="285"/>
      <c r="FY5" s="285"/>
      <c r="FZ5" s="285"/>
      <c r="GB5" s="285"/>
      <c r="GC5" s="285"/>
      <c r="GD5" s="285"/>
      <c r="GE5" s="285"/>
      <c r="GG5" s="285"/>
      <c r="GH5" s="285"/>
      <c r="GI5" s="285"/>
      <c r="GJ5" s="285"/>
    </row>
    <row r="6" spans="1:192" ht="12.75" customHeight="1">
      <c r="C6" s="47" t="str">
        <f>Dates!C3</f>
      </c>
      <c r="D6" s="47"/>
      <c r="E6" s="47"/>
      <c r="F6" s="47"/>
      <c r="G6" s="93"/>
      <c r="H6" s="47" t="str">
        <f>Dates!H3</f>
      </c>
      <c r="I6" s="47"/>
      <c r="J6" s="47"/>
      <c r="K6" s="47"/>
      <c r="L6" s="93"/>
      <c r="M6" s="47" t="str">
        <f>Dates!M3</f>
      </c>
      <c r="N6" s="47"/>
      <c r="O6" s="47"/>
      <c r="P6" s="47"/>
      <c r="Q6" s="93"/>
      <c r="R6" s="47" t="str">
        <f>Dates!R3</f>
      </c>
      <c r="S6" s="47"/>
      <c r="T6" s="47"/>
      <c r="U6" s="47"/>
      <c r="V6" s="93"/>
      <c r="W6" s="47" t="str">
        <f>Dates!W3</f>
      </c>
      <c r="X6" s="47"/>
      <c r="Y6" s="47"/>
      <c r="Z6" s="47"/>
      <c r="AA6" s="93"/>
      <c r="AB6" s="47" t="str">
        <f>Dates!AB3</f>
      </c>
      <c r="AC6" s="47"/>
      <c r="AD6" s="47"/>
      <c r="AE6" s="47"/>
      <c r="AF6" s="93"/>
      <c r="AG6" s="47" t="str">
        <f>Dates!AG3</f>
      </c>
      <c r="AH6" s="47"/>
      <c r="AI6" s="47"/>
      <c r="AJ6" s="47"/>
      <c r="AK6" s="93"/>
      <c r="AL6" s="47" t="str">
        <f>Dates!AL3</f>
      </c>
      <c r="AM6" s="47"/>
      <c r="AN6" s="47"/>
      <c r="AO6" s="47"/>
      <c r="AP6" s="93"/>
      <c r="AQ6" s="47" t="str">
        <f>Dates!AQ3</f>
      </c>
      <c r="AR6" s="47"/>
      <c r="AS6" s="47"/>
      <c r="AT6" s="47"/>
      <c r="AU6" s="93"/>
      <c r="AV6" s="47" t="str">
        <f>Dates!AV3</f>
      </c>
      <c r="AW6" s="47"/>
      <c r="AX6" s="47"/>
      <c r="AY6" s="47"/>
      <c r="AZ6" s="93"/>
      <c r="BA6" s="47" t="str">
        <f>Dates!BA3</f>
      </c>
      <c r="BB6" s="47"/>
      <c r="BC6" s="47"/>
      <c r="BD6" s="47"/>
      <c r="BE6" s="93"/>
      <c r="BF6" s="47" t="str">
        <f>Dates!BF3</f>
      </c>
      <c r="BG6" s="47"/>
      <c r="BH6" s="47"/>
      <c r="BI6" s="47"/>
      <c r="BJ6" s="93"/>
      <c r="BK6" s="47" t="str">
        <f>Dates!BK3</f>
      </c>
      <c r="BL6" s="47"/>
      <c r="BM6" s="47"/>
      <c r="BN6" s="47"/>
      <c r="BO6" s="93"/>
      <c r="BP6" s="47" t="str">
        <f>Dates!BP3</f>
      </c>
      <c r="BQ6" s="47"/>
      <c r="BR6" s="47"/>
      <c r="BS6" s="47"/>
      <c r="BT6" s="93"/>
      <c r="BU6" s="47" t="str">
        <f>Dates!BU3</f>
      </c>
      <c r="BV6" s="47"/>
      <c r="BW6" s="47"/>
      <c r="BX6" s="47"/>
      <c r="BY6" s="93"/>
      <c r="BZ6" s="47" t="str">
        <f>Dates!BZ3</f>
      </c>
      <c r="CA6" s="47"/>
      <c r="CB6" s="47"/>
      <c r="CC6" s="47"/>
      <c r="CD6" s="93"/>
      <c r="CE6" s="47" t="str">
        <f>Dates!CE3</f>
      </c>
      <c r="CF6" s="47"/>
      <c r="CG6" s="47"/>
      <c r="CH6" s="47"/>
      <c r="CI6" s="93"/>
      <c r="CJ6" s="47" t="str">
        <f>Dates!CJ3</f>
      </c>
      <c r="CK6" s="47"/>
      <c r="CL6" s="47"/>
      <c r="CM6" s="47"/>
      <c r="CN6" s="93"/>
      <c r="CO6" s="47" t="str">
        <f>Dates!CO3</f>
      </c>
      <c r="CP6" s="47"/>
      <c r="CQ6" s="47"/>
      <c r="CR6" s="47"/>
      <c r="CS6" s="93"/>
      <c r="CT6" s="47" t="str">
        <f>Dates!CT3</f>
      </c>
      <c r="CU6" s="47"/>
      <c r="CV6" s="47"/>
      <c r="CW6" s="47"/>
      <c r="CX6" s="93"/>
      <c r="CY6" s="47" t="str">
        <f>Dates!CY3</f>
      </c>
      <c r="CZ6" s="47"/>
      <c r="DA6" s="47"/>
      <c r="DB6" s="47"/>
      <c r="DC6" s="93"/>
      <c r="DD6" s="47" t="str">
        <f>Dates!DD3</f>
      </c>
      <c r="DE6" s="47"/>
      <c r="DF6" s="47"/>
      <c r="DG6" s="47"/>
      <c r="DH6" s="93"/>
      <c r="DI6" s="47" t="str">
        <f>Dates!DI3</f>
      </c>
      <c r="DJ6" s="47"/>
      <c r="DK6" s="47"/>
      <c r="DL6" s="47"/>
      <c r="DM6" s="93"/>
      <c r="DN6" s="47" t="str">
        <f>Dates!DN3</f>
      </c>
      <c r="DO6" s="47"/>
      <c r="DP6" s="47"/>
      <c r="DQ6" s="47"/>
      <c r="DR6" s="93"/>
      <c r="DS6" s="47" t="str">
        <f>Dates!DS3</f>
      </c>
      <c r="DT6" s="47"/>
      <c r="DU6" s="47"/>
      <c r="DV6" s="47"/>
      <c r="DW6" s="93"/>
      <c r="DX6" s="47" t="str">
        <f>Dates!DX3</f>
      </c>
      <c r="DY6" s="47"/>
      <c r="DZ6" s="47"/>
      <c r="EA6" s="47"/>
      <c r="EB6" s="93"/>
      <c r="EC6" s="47" t="str">
        <f>Dates!EC3</f>
      </c>
      <c r="ED6" s="47"/>
      <c r="EE6" s="47"/>
      <c r="EF6" s="47"/>
      <c r="EG6" s="93"/>
      <c r="EH6" s="47" t="str">
        <f>Dates!EH3</f>
      </c>
      <c r="EI6" s="47"/>
      <c r="EJ6" s="47"/>
      <c r="EK6" s="47"/>
      <c r="EL6" s="93"/>
      <c r="EM6" s="47" t="str">
        <f>Dates!EM3</f>
      </c>
      <c r="EN6" s="47"/>
      <c r="EO6" s="47"/>
      <c r="EP6" s="47"/>
      <c r="EQ6" s="93"/>
      <c r="ER6" s="47" t="str">
        <f>Dates!ER3</f>
      </c>
      <c r="ES6" s="47"/>
      <c r="ET6" s="47"/>
      <c r="EU6" s="47"/>
      <c r="EV6" s="93"/>
      <c r="EW6" s="47" t="str">
        <f>Dates!EW3</f>
      </c>
      <c r="EX6" s="47"/>
      <c r="EY6" s="47"/>
      <c r="EZ6" s="47"/>
      <c r="FA6" s="93"/>
      <c r="FB6" s="47" t="str">
        <f>Dates!FB3</f>
      </c>
      <c r="FC6" s="47"/>
      <c r="FD6" s="47"/>
      <c r="FE6" s="47"/>
      <c r="FF6" s="93"/>
      <c r="FG6" s="47" t="str">
        <f>Dates!FG3</f>
      </c>
      <c r="FH6" s="47"/>
      <c r="FI6" s="47"/>
      <c r="FJ6" s="47"/>
      <c r="FK6" s="93"/>
      <c r="FL6" s="47" t="str">
        <f>Dates!FL3</f>
      </c>
      <c r="FM6" s="47"/>
      <c r="FN6" s="47"/>
      <c r="FO6" s="47"/>
      <c r="FP6" s="93"/>
      <c r="FQ6" s="47" t="str">
        <f>Dates!FQ3</f>
      </c>
      <c r="FR6" s="47"/>
      <c r="FS6" s="47"/>
      <c r="FT6" s="47"/>
      <c r="FU6" s="93"/>
      <c r="FV6" s="47" t="str">
        <f>Dates!FV3</f>
      </c>
      <c r="FW6" s="47"/>
      <c r="FX6" s="47"/>
      <c r="FY6" s="47"/>
      <c r="FZ6" s="93"/>
      <c r="GA6" s="47" t="str">
        <f>Dates!GA3</f>
      </c>
      <c r="GB6" s="47"/>
      <c r="GC6" s="47"/>
      <c r="GD6" s="47"/>
      <c r="GE6" s="93"/>
      <c r="GF6" s="47" t="str">
        <f>Dates!GF3</f>
      </c>
      <c r="GG6" s="47"/>
      <c r="GH6" s="47"/>
      <c r="GI6" s="47"/>
      <c r="GJ6" s="93"/>
    </row>
    <row r="7" spans="1:192" ht="12.75" customHeight="1">
      <c r="C7" s="96" t="str">
        <f>Dates!C4</f>
      </c>
      <c r="D7" s="96" t="str">
        <f>Dates!D4</f>
      </c>
      <c r="E7" s="96" t="str">
        <f>Dates!E4</f>
      </c>
      <c r="F7" s="96" t="str">
        <f>Dates!F4</f>
      </c>
      <c r="G7" s="97" t="str">
        <f>Dates!G4</f>
      </c>
      <c r="H7" s="96" t="str">
        <f>Dates!H4</f>
      </c>
      <c r="I7" s="96" t="str">
        <f>Dates!I4</f>
      </c>
      <c r="J7" s="96" t="str">
        <f>Dates!J4</f>
      </c>
      <c r="K7" s="96" t="str">
        <f>Dates!K4</f>
      </c>
      <c r="L7" s="97" t="str">
        <f>Dates!L4</f>
      </c>
      <c r="M7" s="96" t="str">
        <f>Dates!M4</f>
      </c>
      <c r="N7" s="96" t="str">
        <f>Dates!N4</f>
      </c>
      <c r="O7" s="96" t="str">
        <f>Dates!O4</f>
      </c>
      <c r="P7" s="96" t="str">
        <f>Dates!P4</f>
      </c>
      <c r="Q7" s="97" t="str">
        <f>Dates!Q4</f>
      </c>
      <c r="R7" s="96" t="str">
        <f>Dates!R4</f>
      </c>
      <c r="S7" s="96" t="str">
        <f>Dates!S4</f>
      </c>
      <c r="T7" s="96" t="str">
        <f>Dates!T4</f>
      </c>
      <c r="U7" s="96" t="str">
        <f>Dates!U4</f>
      </c>
      <c r="V7" s="97" t="str">
        <f>Dates!V4</f>
      </c>
      <c r="W7" s="96" t="str">
        <f>Dates!W4</f>
      </c>
      <c r="X7" s="96" t="str">
        <f>Dates!X4</f>
      </c>
      <c r="Y7" s="96" t="str">
        <f>Dates!Y4</f>
      </c>
      <c r="Z7" s="96" t="str">
        <f>Dates!Z4</f>
      </c>
      <c r="AA7" s="97" t="str">
        <f>Dates!AA4</f>
      </c>
      <c r="AB7" s="96" t="str">
        <f>Dates!AB4</f>
      </c>
      <c r="AC7" s="96" t="str">
        <f>Dates!AC4</f>
      </c>
      <c r="AD7" s="96" t="str">
        <f>Dates!AD4</f>
      </c>
      <c r="AE7" s="96" t="str">
        <f>Dates!AE4</f>
      </c>
      <c r="AF7" s="97" t="str">
        <f>Dates!AF4</f>
      </c>
      <c r="AG7" s="96" t="str">
        <f>Dates!AG4</f>
      </c>
      <c r="AH7" s="96" t="str">
        <f>Dates!AH4</f>
      </c>
      <c r="AI7" s="96" t="str">
        <f>Dates!AI4</f>
      </c>
      <c r="AJ7" s="96" t="str">
        <f>Dates!AJ4</f>
      </c>
      <c r="AK7" s="97" t="str">
        <f>Dates!AK4</f>
      </c>
      <c r="AL7" s="96" t="str">
        <f>Dates!AL4</f>
      </c>
      <c r="AM7" s="96" t="str">
        <f>Dates!AM4</f>
      </c>
      <c r="AN7" s="96" t="str">
        <f>Dates!AN4</f>
      </c>
      <c r="AO7" s="96" t="str">
        <f>Dates!AO4</f>
      </c>
      <c r="AP7" s="97" t="str">
        <f>Dates!AP4</f>
      </c>
      <c r="AQ7" s="96" t="str">
        <f>Dates!AQ4</f>
      </c>
      <c r="AR7" s="96" t="str">
        <f>Dates!AR4</f>
      </c>
      <c r="AS7" s="96" t="str">
        <f>Dates!AS4</f>
      </c>
      <c r="AT7" s="96" t="str">
        <f>Dates!AT4</f>
      </c>
      <c r="AU7" s="97" t="str">
        <f>Dates!AU4</f>
      </c>
      <c r="AV7" s="96" t="str">
        <f>Dates!AV4</f>
      </c>
      <c r="AW7" s="96" t="str">
        <f>Dates!AW4</f>
      </c>
      <c r="AX7" s="96" t="str">
        <f>Dates!AX4</f>
      </c>
      <c r="AY7" s="96" t="str">
        <f>Dates!AY4</f>
      </c>
      <c r="AZ7" s="97" t="str">
        <f>Dates!AZ4</f>
      </c>
      <c r="BA7" s="96" t="str">
        <f>Dates!BA4</f>
      </c>
      <c r="BB7" s="96" t="str">
        <f>Dates!BB4</f>
      </c>
      <c r="BC7" s="96" t="str">
        <f>Dates!BC4</f>
      </c>
      <c r="BD7" s="96" t="str">
        <f>Dates!BD4</f>
      </c>
      <c r="BE7" s="97" t="str">
        <f>Dates!BE4</f>
      </c>
      <c r="BF7" s="96" t="str">
        <f>Dates!BF4</f>
      </c>
      <c r="BG7" s="96" t="str">
        <f>Dates!BG4</f>
      </c>
      <c r="BH7" s="96" t="str">
        <f>Dates!BH4</f>
      </c>
      <c r="BI7" s="96" t="str">
        <f>Dates!BI4</f>
      </c>
      <c r="BJ7" s="97" t="str">
        <f>Dates!BJ4</f>
      </c>
      <c r="BK7" s="96" t="str">
        <f>Dates!BK4</f>
      </c>
      <c r="BL7" s="96" t="str">
        <f>Dates!BL4</f>
      </c>
      <c r="BM7" s="96" t="str">
        <f>Dates!BM4</f>
      </c>
      <c r="BN7" s="96" t="str">
        <f>Dates!BN4</f>
      </c>
      <c r="BO7" s="97" t="str">
        <f>Dates!BO4</f>
      </c>
      <c r="BP7" s="96" t="str">
        <f>Dates!BP4</f>
      </c>
      <c r="BQ7" s="96" t="str">
        <f>Dates!BQ4</f>
      </c>
      <c r="BR7" s="96" t="str">
        <f>Dates!BR4</f>
      </c>
      <c r="BS7" s="96" t="str">
        <f>Dates!BS4</f>
      </c>
      <c r="BT7" s="97" t="str">
        <f>Dates!BT4</f>
      </c>
      <c r="BU7" s="96" t="str">
        <f>Dates!BU4</f>
      </c>
      <c r="BV7" s="96" t="str">
        <f>Dates!BV4</f>
      </c>
      <c r="BW7" s="96" t="str">
        <f>Dates!BW4</f>
      </c>
      <c r="BX7" s="96" t="str">
        <f>Dates!BX4</f>
      </c>
      <c r="BY7" s="97" t="str">
        <f>Dates!BY4</f>
      </c>
      <c r="BZ7" s="96" t="str">
        <f>Dates!BZ4</f>
      </c>
      <c r="CA7" s="96" t="str">
        <f>Dates!CA4</f>
      </c>
      <c r="CB7" s="96" t="str">
        <f>Dates!CB4</f>
      </c>
      <c r="CC7" s="96" t="str">
        <f>Dates!CC4</f>
      </c>
      <c r="CD7" s="97" t="str">
        <f>Dates!CD4</f>
      </c>
      <c r="CE7" s="96" t="str">
        <f>Dates!CE4</f>
      </c>
      <c r="CF7" s="96" t="str">
        <f>Dates!CF4</f>
      </c>
      <c r="CG7" s="96" t="str">
        <f>Dates!CG4</f>
      </c>
      <c r="CH7" s="96" t="str">
        <f>Dates!CH4</f>
      </c>
      <c r="CI7" s="97" t="str">
        <f>Dates!CI4</f>
      </c>
      <c r="CJ7" s="96" t="str">
        <f>Dates!CJ4</f>
      </c>
      <c r="CK7" s="96" t="str">
        <f>Dates!CK4</f>
      </c>
      <c r="CL7" s="96" t="str">
        <f>Dates!CL4</f>
      </c>
      <c r="CM7" s="96" t="str">
        <f>Dates!CM4</f>
      </c>
      <c r="CN7" s="97" t="str">
        <f>Dates!CN4</f>
      </c>
      <c r="CO7" s="96" t="str">
        <f>Dates!CO4</f>
      </c>
      <c r="CP7" s="96" t="str">
        <f>Dates!CP4</f>
      </c>
      <c r="CQ7" s="96" t="str">
        <f>Dates!CQ4</f>
      </c>
      <c r="CR7" s="96" t="str">
        <f>Dates!CR4</f>
      </c>
      <c r="CS7" s="97" t="str">
        <f>Dates!CS4</f>
      </c>
      <c r="CT7" s="96" t="str">
        <f>Dates!CT4</f>
      </c>
      <c r="CU7" s="96" t="str">
        <f>Dates!CU4</f>
      </c>
      <c r="CV7" s="96" t="str">
        <f>Dates!CV4</f>
      </c>
      <c r="CW7" s="96" t="str">
        <f>Dates!CW4</f>
      </c>
      <c r="CX7" s="97" t="str">
        <f>Dates!CX4</f>
      </c>
      <c r="CY7" s="96" t="str">
        <f>Dates!CY4</f>
      </c>
      <c r="CZ7" s="96" t="str">
        <f>Dates!CZ4</f>
      </c>
      <c r="DA7" s="96" t="str">
        <f>Dates!DA4</f>
      </c>
      <c r="DB7" s="96" t="str">
        <f>Dates!DB4</f>
      </c>
      <c r="DC7" s="97" t="str">
        <f>Dates!DC4</f>
      </c>
      <c r="DD7" s="96" t="str">
        <f>Dates!DD4</f>
      </c>
      <c r="DE7" s="96" t="str">
        <f>Dates!DE4</f>
      </c>
      <c r="DF7" s="96" t="str">
        <f>Dates!DF4</f>
      </c>
      <c r="DG7" s="96" t="str">
        <f>Dates!DG4</f>
      </c>
      <c r="DH7" s="97" t="str">
        <f>Dates!DH4</f>
      </c>
      <c r="DI7" s="96" t="str">
        <f>Dates!DI4</f>
      </c>
      <c r="DJ7" s="96" t="str">
        <f>Dates!DJ4</f>
      </c>
      <c r="DK7" s="96" t="str">
        <f>Dates!DK4</f>
      </c>
      <c r="DL7" s="96" t="str">
        <f>Dates!DL4</f>
      </c>
      <c r="DM7" s="97" t="str">
        <f>Dates!DM4</f>
      </c>
      <c r="DN7" s="96" t="str">
        <f>Dates!DN4</f>
      </c>
      <c r="DO7" s="96" t="str">
        <f>Dates!DO4</f>
      </c>
      <c r="DP7" s="96" t="str">
        <f>Dates!DP4</f>
      </c>
      <c r="DQ7" s="96" t="str">
        <f>Dates!DQ4</f>
      </c>
      <c r="DR7" s="97" t="str">
        <f>Dates!DR4</f>
      </c>
      <c r="DS7" s="96" t="str">
        <f>Dates!DS4</f>
      </c>
      <c r="DT7" s="96" t="str">
        <f>Dates!DT4</f>
      </c>
      <c r="DU7" s="96" t="str">
        <f>Dates!DU4</f>
      </c>
      <c r="DV7" s="96" t="str">
        <f>Dates!DV4</f>
      </c>
      <c r="DW7" s="97" t="str">
        <f>Dates!DW4</f>
      </c>
      <c r="DX7" s="96" t="str">
        <f>Dates!DX4</f>
      </c>
      <c r="DY7" s="96" t="str">
        <f>Dates!DY4</f>
      </c>
      <c r="DZ7" s="96" t="str">
        <f>Dates!DZ4</f>
      </c>
      <c r="EA7" s="96" t="str">
        <f>Dates!EA4</f>
      </c>
      <c r="EB7" s="97" t="str">
        <f>Dates!EB4</f>
      </c>
      <c r="EC7" s="96" t="str">
        <f>Dates!EC4</f>
      </c>
      <c r="ED7" s="96" t="str">
        <f>Dates!ED4</f>
      </c>
      <c r="EE7" s="96" t="str">
        <f>Dates!EE4</f>
      </c>
      <c r="EF7" s="96" t="str">
        <f>Dates!EF4</f>
      </c>
      <c r="EG7" s="97" t="str">
        <f>Dates!EG4</f>
      </c>
      <c r="EH7" s="96" t="str">
        <f>Dates!EH4</f>
      </c>
      <c r="EI7" s="96" t="str">
        <f>Dates!EI4</f>
      </c>
      <c r="EJ7" s="96" t="str">
        <f>Dates!EJ4</f>
      </c>
      <c r="EK7" s="96" t="str">
        <f>Dates!EK4</f>
      </c>
      <c r="EL7" s="97" t="str">
        <f>Dates!EL4</f>
      </c>
      <c r="EM7" s="96" t="str">
        <f>Dates!EM4</f>
      </c>
      <c r="EN7" s="96" t="str">
        <f>Dates!EN4</f>
      </c>
      <c r="EO7" s="96" t="str">
        <f>Dates!EO4</f>
      </c>
      <c r="EP7" s="96" t="str">
        <f>Dates!EP4</f>
      </c>
      <c r="EQ7" s="97" t="str">
        <f>Dates!EQ4</f>
      </c>
      <c r="ER7" s="96" t="str">
        <f>Dates!ER4</f>
      </c>
      <c r="ES7" s="96" t="str">
        <f>Dates!ES4</f>
      </c>
      <c r="ET7" s="96" t="str">
        <f>Dates!ET4</f>
      </c>
      <c r="EU7" s="96" t="str">
        <f>Dates!EU4</f>
      </c>
      <c r="EV7" s="97" t="str">
        <f>Dates!EV4</f>
      </c>
      <c r="EW7" s="96" t="str">
        <f>Dates!EW4</f>
      </c>
      <c r="EX7" s="96" t="str">
        <f>Dates!EX4</f>
      </c>
      <c r="EY7" s="96" t="str">
        <f>Dates!EY4</f>
      </c>
      <c r="EZ7" s="96" t="str">
        <f>Dates!EZ4</f>
      </c>
      <c r="FA7" s="97" t="str">
        <f>Dates!FA4</f>
      </c>
      <c r="FB7" s="96" t="str">
        <f>Dates!FB4</f>
      </c>
      <c r="FC7" s="96" t="str">
        <f>Dates!FC4</f>
      </c>
      <c r="FD7" s="96" t="str">
        <f>Dates!FD4</f>
      </c>
      <c r="FE7" s="96" t="str">
        <f>Dates!FE4</f>
      </c>
      <c r="FF7" s="97" t="str">
        <f>Dates!FF4</f>
      </c>
      <c r="FG7" s="96" t="str">
        <f>Dates!FG4</f>
      </c>
      <c r="FH7" s="96" t="str">
        <f>Dates!FH4</f>
      </c>
      <c r="FI7" s="96" t="str">
        <f>Dates!FI4</f>
      </c>
      <c r="FJ7" s="96" t="str">
        <f>Dates!FJ4</f>
      </c>
      <c r="FK7" s="97" t="str">
        <f>Dates!FK4</f>
      </c>
      <c r="FL7" s="96" t="str">
        <f>Dates!FL4</f>
      </c>
      <c r="FM7" s="96" t="str">
        <f>Dates!FM4</f>
      </c>
      <c r="FN7" s="96" t="str">
        <f>Dates!FN4</f>
      </c>
      <c r="FO7" s="96" t="str">
        <f>Dates!FO4</f>
      </c>
      <c r="FP7" s="97" t="str">
        <f>Dates!FP4</f>
      </c>
      <c r="FQ7" s="96" t="str">
        <f>Dates!FQ4</f>
      </c>
      <c r="FR7" s="96" t="str">
        <f>Dates!FR4</f>
      </c>
      <c r="FS7" s="96" t="str">
        <f>Dates!FS4</f>
      </c>
      <c r="FT7" s="96" t="str">
        <f>Dates!FT4</f>
      </c>
      <c r="FU7" s="97" t="str">
        <f>Dates!FU4</f>
      </c>
      <c r="FV7" s="96" t="str">
        <f>Dates!FV4</f>
      </c>
      <c r="FW7" s="96" t="str">
        <f>Dates!FW4</f>
      </c>
      <c r="FX7" s="96" t="str">
        <f>Dates!FX4</f>
      </c>
      <c r="FY7" s="96" t="str">
        <f>Dates!FY4</f>
      </c>
      <c r="FZ7" s="97" t="str">
        <f>Dates!FZ4</f>
      </c>
      <c r="GA7" s="96" t="str">
        <f>Dates!GA4</f>
      </c>
      <c r="GB7" s="96" t="str">
        <f>Dates!GB4</f>
      </c>
      <c r="GC7" s="96" t="str">
        <f>Dates!GC4</f>
      </c>
      <c r="GD7" s="96" t="str">
        <f>Dates!GD4</f>
      </c>
      <c r="GE7" s="97" t="str">
        <f>Dates!GE4</f>
      </c>
      <c r="GF7" s="96" t="str">
        <f>Dates!GF4</f>
      </c>
      <c r="GG7" s="96" t="str">
        <f>Dates!GG4</f>
      </c>
      <c r="GH7" s="96" t="str">
        <f>Dates!GH4</f>
      </c>
      <c r="GI7" s="96" t="str">
        <f>Dates!GI4</f>
      </c>
      <c r="GJ7" s="97" t="str">
        <f>Dates!GJ4</f>
      </c>
    </row>
    <row r="8" spans="1:192" ht="12.75" customHeight="1">
      <c r="C8" s="98">
        <f>Dates!C5</f>
      </c>
      <c r="D8" s="98">
        <f>Dates!D5</f>
      </c>
      <c r="E8" s="98">
        <f>Dates!E5</f>
      </c>
      <c r="F8" s="98">
        <f>Dates!F5</f>
      </c>
      <c r="G8" s="99">
        <f>Dates!G5</f>
      </c>
      <c r="H8" s="98">
        <f>Dates!H5</f>
      </c>
      <c r="I8" s="98">
        <f>Dates!I5</f>
      </c>
      <c r="J8" s="98">
        <f>Dates!J5</f>
      </c>
      <c r="K8" s="98">
        <f>Dates!K5</f>
      </c>
      <c r="L8" s="99">
        <f>Dates!L5</f>
      </c>
      <c r="M8" s="98">
        <f>Dates!M5</f>
      </c>
      <c r="N8" s="98">
        <f>Dates!N5</f>
      </c>
      <c r="O8" s="98">
        <f>Dates!O5</f>
      </c>
      <c r="P8" s="98">
        <f>Dates!P5</f>
      </c>
      <c r="Q8" s="99">
        <f>Dates!Q5</f>
      </c>
      <c r="R8" s="98">
        <f>Dates!R5</f>
      </c>
      <c r="S8" s="98">
        <f>Dates!S5</f>
      </c>
      <c r="T8" s="98">
        <f>Dates!T5</f>
      </c>
      <c r="U8" s="98">
        <f>Dates!U5</f>
      </c>
      <c r="V8" s="99">
        <f>Dates!V5</f>
      </c>
      <c r="W8" s="98">
        <f>Dates!W5</f>
      </c>
      <c r="X8" s="98">
        <f>Dates!X5</f>
      </c>
      <c r="Y8" s="98">
        <f>Dates!Y5</f>
      </c>
      <c r="Z8" s="98">
        <f>Dates!Z5</f>
      </c>
      <c r="AA8" s="99">
        <f>Dates!AA5</f>
      </c>
      <c r="AB8" s="98">
        <f>Dates!AB5</f>
      </c>
      <c r="AC8" s="98">
        <f>Dates!AC5</f>
      </c>
      <c r="AD8" s="98">
        <f>Dates!AD5</f>
      </c>
      <c r="AE8" s="98">
        <f>Dates!AE5</f>
      </c>
      <c r="AF8" s="99">
        <f>Dates!AF5</f>
      </c>
      <c r="AG8" s="98">
        <f>Dates!AG5</f>
      </c>
      <c r="AH8" s="98">
        <f>Dates!AH5</f>
      </c>
      <c r="AI8" s="98">
        <f>Dates!AI5</f>
      </c>
      <c r="AJ8" s="98">
        <f>Dates!AJ5</f>
      </c>
      <c r="AK8" s="99">
        <f>Dates!AK5</f>
      </c>
      <c r="AL8" s="98">
        <f>Dates!AL5</f>
      </c>
      <c r="AM8" s="98">
        <f>Dates!AM5</f>
      </c>
      <c r="AN8" s="98">
        <f>Dates!AN5</f>
      </c>
      <c r="AO8" s="98">
        <f>Dates!AO5</f>
      </c>
      <c r="AP8" s="99">
        <f>Dates!AP5</f>
      </c>
      <c r="AQ8" s="98">
        <f>Dates!AQ5</f>
      </c>
      <c r="AR8" s="98">
        <f>Dates!AR5</f>
      </c>
      <c r="AS8" s="98">
        <f>Dates!AS5</f>
      </c>
      <c r="AT8" s="98">
        <f>Dates!AT5</f>
      </c>
      <c r="AU8" s="99">
        <f>Dates!AU5</f>
      </c>
      <c r="AV8" s="98">
        <f>Dates!AV5</f>
      </c>
      <c r="AW8" s="98">
        <f>Dates!AW5</f>
      </c>
      <c r="AX8" s="98">
        <f>Dates!AX5</f>
      </c>
      <c r="AY8" s="98">
        <f>Dates!AY5</f>
      </c>
      <c r="AZ8" s="99">
        <f>Dates!AZ5</f>
      </c>
      <c r="BA8" s="98">
        <f>Dates!BA5</f>
      </c>
      <c r="BB8" s="98">
        <f>Dates!BB5</f>
      </c>
      <c r="BC8" s="98">
        <f>Dates!BC5</f>
      </c>
      <c r="BD8" s="98">
        <f>Dates!BD5</f>
      </c>
      <c r="BE8" s="99">
        <f>Dates!BE5</f>
      </c>
      <c r="BF8" s="98">
        <f>Dates!BF5</f>
      </c>
      <c r="BG8" s="98">
        <f>Dates!BG5</f>
      </c>
      <c r="BH8" s="98">
        <f>Dates!BH5</f>
      </c>
      <c r="BI8" s="98">
        <f>Dates!BI5</f>
      </c>
      <c r="BJ8" s="99">
        <f>Dates!BJ5</f>
      </c>
      <c r="BK8" s="98">
        <f>Dates!BK5</f>
      </c>
      <c r="BL8" s="98">
        <f>Dates!BL5</f>
      </c>
      <c r="BM8" s="98">
        <f>Dates!BM5</f>
      </c>
      <c r="BN8" s="98">
        <f>Dates!BN5</f>
      </c>
      <c r="BO8" s="99">
        <f>Dates!BO5</f>
      </c>
      <c r="BP8" s="98">
        <f>Dates!BP5</f>
      </c>
      <c r="BQ8" s="98">
        <f>Dates!BQ5</f>
      </c>
      <c r="BR8" s="98">
        <f>Dates!BR5</f>
      </c>
      <c r="BS8" s="98">
        <f>Dates!BS5</f>
      </c>
      <c r="BT8" s="99">
        <f>Dates!BT5</f>
      </c>
      <c r="BU8" s="98">
        <f>Dates!BU5</f>
      </c>
      <c r="BV8" s="98">
        <f>Dates!BV5</f>
      </c>
      <c r="BW8" s="98">
        <f>Dates!BW5</f>
      </c>
      <c r="BX8" s="98">
        <f>Dates!BX5</f>
      </c>
      <c r="BY8" s="99">
        <f>Dates!BY5</f>
      </c>
      <c r="BZ8" s="98">
        <f>Dates!BZ5</f>
      </c>
      <c r="CA8" s="98">
        <f>Dates!CA5</f>
      </c>
      <c r="CB8" s="98">
        <f>Dates!CB5</f>
      </c>
      <c r="CC8" s="98">
        <f>Dates!CC5</f>
      </c>
      <c r="CD8" s="99">
        <f>Dates!CD5</f>
      </c>
      <c r="CE8" s="98">
        <f>Dates!CE5</f>
      </c>
      <c r="CF8" s="98">
        <f>Dates!CF5</f>
      </c>
      <c r="CG8" s="98">
        <f>Dates!CG5</f>
      </c>
      <c r="CH8" s="98">
        <f>Dates!CH5</f>
      </c>
      <c r="CI8" s="99">
        <f>Dates!CI5</f>
      </c>
      <c r="CJ8" s="98">
        <f>Dates!CJ5</f>
      </c>
      <c r="CK8" s="98">
        <f>Dates!CK5</f>
      </c>
      <c r="CL8" s="98">
        <f>Dates!CL5</f>
      </c>
      <c r="CM8" s="98">
        <f>Dates!CM5</f>
      </c>
      <c r="CN8" s="99">
        <f>Dates!CN5</f>
      </c>
      <c r="CO8" s="98">
        <f>Dates!CO5</f>
      </c>
      <c r="CP8" s="98">
        <f>Dates!CP5</f>
      </c>
      <c r="CQ8" s="98">
        <f>Dates!CQ5</f>
      </c>
      <c r="CR8" s="98">
        <f>Dates!CR5</f>
      </c>
      <c r="CS8" s="99">
        <f>Dates!CS5</f>
      </c>
      <c r="CT8" s="98">
        <f>Dates!CT5</f>
      </c>
      <c r="CU8" s="98">
        <f>Dates!CU5</f>
      </c>
      <c r="CV8" s="98">
        <f>Dates!CV5</f>
      </c>
      <c r="CW8" s="98">
        <f>Dates!CW5</f>
      </c>
      <c r="CX8" s="99">
        <f>Dates!CX5</f>
      </c>
      <c r="CY8" s="98">
        <f>Dates!CY5</f>
      </c>
      <c r="CZ8" s="98">
        <f>Dates!CZ5</f>
      </c>
      <c r="DA8" s="98">
        <f>Dates!DA5</f>
      </c>
      <c r="DB8" s="98">
        <f>Dates!DB5</f>
      </c>
      <c r="DC8" s="99">
        <f>Dates!DC5</f>
      </c>
      <c r="DD8" s="98">
        <f>Dates!DD5</f>
      </c>
      <c r="DE8" s="98">
        <f>Dates!DE5</f>
      </c>
      <c r="DF8" s="98">
        <f>Dates!DF5</f>
      </c>
      <c r="DG8" s="98">
        <f>Dates!DG5</f>
      </c>
      <c r="DH8" s="99">
        <f>Dates!DH5</f>
      </c>
      <c r="DI8" s="98">
        <f>Dates!DI5</f>
      </c>
      <c r="DJ8" s="98">
        <f>Dates!DJ5</f>
      </c>
      <c r="DK8" s="98">
        <f>Dates!DK5</f>
      </c>
      <c r="DL8" s="98">
        <f>Dates!DL5</f>
      </c>
      <c r="DM8" s="99">
        <f>Dates!DM5</f>
      </c>
      <c r="DN8" s="98">
        <f>Dates!DN5</f>
      </c>
      <c r="DO8" s="98">
        <f>Dates!DO5</f>
      </c>
      <c r="DP8" s="98">
        <f>Dates!DP5</f>
      </c>
      <c r="DQ8" s="98">
        <f>Dates!DQ5</f>
      </c>
      <c r="DR8" s="99">
        <f>Dates!DR5</f>
      </c>
      <c r="DS8" s="98">
        <f>Dates!DS5</f>
      </c>
      <c r="DT8" s="98">
        <f>Dates!DT5</f>
      </c>
      <c r="DU8" s="98">
        <f>Dates!DU5</f>
      </c>
      <c r="DV8" s="98">
        <f>Dates!DV5</f>
      </c>
      <c r="DW8" s="99">
        <f>Dates!DW5</f>
      </c>
      <c r="DX8" s="98">
        <f>Dates!DX5</f>
      </c>
      <c r="DY8" s="98">
        <f>Dates!DY5</f>
      </c>
      <c r="DZ8" s="98">
        <f>Dates!DZ5</f>
      </c>
      <c r="EA8" s="98">
        <f>Dates!EA5</f>
      </c>
      <c r="EB8" s="99">
        <f>Dates!EB5</f>
      </c>
      <c r="EC8" s="98">
        <f>Dates!EC5</f>
      </c>
      <c r="ED8" s="98">
        <f>Dates!ED5</f>
      </c>
      <c r="EE8" s="98">
        <f>Dates!EE5</f>
      </c>
      <c r="EF8" s="98">
        <f>Dates!EF5</f>
      </c>
      <c r="EG8" s="99">
        <f>Dates!EG5</f>
      </c>
      <c r="EH8" s="98">
        <f>Dates!EH5</f>
      </c>
      <c r="EI8" s="98">
        <f>Dates!EI5</f>
      </c>
      <c r="EJ8" s="98">
        <f>Dates!EJ5</f>
      </c>
      <c r="EK8" s="98">
        <f>Dates!EK5</f>
      </c>
      <c r="EL8" s="99">
        <f>Dates!EL5</f>
      </c>
      <c r="EM8" s="98">
        <f>Dates!EM5</f>
      </c>
      <c r="EN8" s="98">
        <f>Dates!EN5</f>
      </c>
      <c r="EO8" s="98">
        <f>Dates!EO5</f>
      </c>
      <c r="EP8" s="98">
        <f>Dates!EP5</f>
      </c>
      <c r="EQ8" s="99">
        <f>Dates!EQ5</f>
      </c>
      <c r="ER8" s="98">
        <f>Dates!ER5</f>
      </c>
      <c r="ES8" s="98">
        <f>Dates!ES5</f>
      </c>
      <c r="ET8" s="98">
        <f>Dates!ET5</f>
      </c>
      <c r="EU8" s="98">
        <f>Dates!EU5</f>
      </c>
      <c r="EV8" s="99">
        <f>Dates!EV5</f>
      </c>
      <c r="EW8" s="98">
        <f>Dates!EW5</f>
      </c>
      <c r="EX8" s="98">
        <f>Dates!EX5</f>
      </c>
      <c r="EY8" s="98">
        <f>Dates!EY5</f>
      </c>
      <c r="EZ8" s="98">
        <f>Dates!EZ5</f>
      </c>
      <c r="FA8" s="99">
        <f>Dates!FA5</f>
      </c>
      <c r="FB8" s="98">
        <f>Dates!FB5</f>
      </c>
      <c r="FC8" s="98">
        <f>Dates!FC5</f>
      </c>
      <c r="FD8" s="98">
        <f>Dates!FD5</f>
      </c>
      <c r="FE8" s="98">
        <f>Dates!FE5</f>
      </c>
      <c r="FF8" s="99">
        <f>Dates!FF5</f>
      </c>
      <c r="FG8" s="98">
        <f>Dates!FG5</f>
      </c>
      <c r="FH8" s="98">
        <f>Dates!FH5</f>
      </c>
      <c r="FI8" s="98">
        <f>Dates!FI5</f>
      </c>
      <c r="FJ8" s="98">
        <f>Dates!FJ5</f>
      </c>
      <c r="FK8" s="99">
        <f>Dates!FK5</f>
      </c>
      <c r="FL8" s="98">
        <f>Dates!FL5</f>
      </c>
      <c r="FM8" s="98">
        <f>Dates!FM5</f>
      </c>
      <c r="FN8" s="98">
        <f>Dates!FN5</f>
      </c>
      <c r="FO8" s="98">
        <f>Dates!FO5</f>
      </c>
      <c r="FP8" s="99">
        <f>Dates!FP5</f>
      </c>
      <c r="FQ8" s="98">
        <f>Dates!FQ5</f>
      </c>
      <c r="FR8" s="98">
        <f>Dates!FR5</f>
      </c>
      <c r="FS8" s="98">
        <f>Dates!FS5</f>
      </c>
      <c r="FT8" s="98">
        <f>Dates!FT5</f>
      </c>
      <c r="FU8" s="99">
        <f>Dates!FU5</f>
      </c>
      <c r="FV8" s="98">
        <f>Dates!FV5</f>
      </c>
      <c r="FW8" s="98">
        <f>Dates!FW5</f>
      </c>
      <c r="FX8" s="98">
        <f>Dates!FX5</f>
      </c>
      <c r="FY8" s="98">
        <f>Dates!FY5</f>
      </c>
      <c r="FZ8" s="99">
        <f>Dates!FZ5</f>
      </c>
      <c r="GA8" s="98">
        <f>Dates!GA5</f>
      </c>
      <c r="GB8" s="98">
        <f>Dates!GB5</f>
      </c>
      <c r="GC8" s="98">
        <f>Dates!GC5</f>
      </c>
      <c r="GD8" s="98">
        <f>Dates!GD5</f>
      </c>
      <c r="GE8" s="99">
        <f>Dates!GE5</f>
      </c>
      <c r="GF8" s="98">
        <f>Dates!GF5</f>
      </c>
      <c r="GG8" s="98">
        <f>Dates!GG5</f>
      </c>
      <c r="GH8" s="98">
        <f>Dates!GH5</f>
      </c>
      <c r="GI8" s="98">
        <f>Dates!GI5</f>
      </c>
      <c r="GJ8" s="99">
        <f>Dates!GJ5</f>
      </c>
    </row>
    <row r="9" spans="1:192" s="701" customFormat="1" ht="12.75" customHeight="1">
      <c r="A9" s="850"/>
      <c r="C9" s="872"/>
      <c r="D9" s="872"/>
      <c r="E9" s="872"/>
      <c r="F9" s="872"/>
      <c r="G9" s="873"/>
      <c r="H9" s="872"/>
      <c r="I9" s="872"/>
      <c r="J9" s="872"/>
      <c r="K9" s="872"/>
      <c r="L9" s="873"/>
      <c r="M9" s="872"/>
      <c r="N9" s="872"/>
      <c r="O9" s="872"/>
      <c r="P9" s="872"/>
      <c r="Q9" s="873"/>
      <c r="R9" s="872"/>
      <c r="S9" s="872"/>
      <c r="T9" s="872"/>
      <c r="U9" s="872"/>
      <c r="V9" s="873"/>
      <c r="W9" s="872"/>
      <c r="X9" s="872"/>
      <c r="Y9" s="872"/>
      <c r="Z9" s="872"/>
      <c r="AA9" s="873"/>
      <c r="AB9" s="872"/>
      <c r="AC9" s="872"/>
      <c r="AD9" s="872"/>
      <c r="AE9" s="872"/>
      <c r="AF9" s="873"/>
      <c r="AG9" s="872"/>
      <c r="AH9" s="872"/>
      <c r="AI9" s="872"/>
      <c r="AJ9" s="872"/>
      <c r="AK9" s="873"/>
      <c r="AL9" s="872"/>
      <c r="AM9" s="872"/>
      <c r="AN9" s="872"/>
      <c r="AO9" s="872"/>
      <c r="AP9" s="873"/>
      <c r="AQ9" s="872"/>
      <c r="AR9" s="872"/>
      <c r="AS9" s="872"/>
      <c r="AT9" s="872"/>
      <c r="AU9" s="873"/>
      <c r="AV9" s="872"/>
      <c r="AW9" s="872"/>
      <c r="AX9" s="872"/>
      <c r="AY9" s="872"/>
      <c r="AZ9" s="873"/>
      <c r="BA9" s="872"/>
      <c r="BB9" s="872"/>
      <c r="BC9" s="872"/>
      <c r="BD9" s="872"/>
      <c r="BE9" s="873"/>
      <c r="BF9" s="872"/>
      <c r="BG9" s="872"/>
      <c r="BH9" s="872"/>
      <c r="BI9" s="872"/>
      <c r="BJ9" s="873"/>
      <c r="BK9" s="872"/>
      <c r="BL9" s="872"/>
      <c r="BM9" s="872"/>
      <c r="BN9" s="872"/>
      <c r="BO9" s="873"/>
      <c r="BP9" s="872"/>
      <c r="BQ9" s="872"/>
      <c r="BR9" s="872"/>
      <c r="BS9" s="872"/>
      <c r="BT9" s="873"/>
      <c r="BU9" s="872"/>
      <c r="BV9" s="872"/>
      <c r="BW9" s="872"/>
      <c r="BX9" s="872"/>
      <c r="BY9" s="873"/>
      <c r="BZ9" s="872"/>
      <c r="CA9" s="872"/>
      <c r="CB9" s="872"/>
      <c r="CC9" s="872"/>
      <c r="CD9" s="873"/>
      <c r="CE9" s="872"/>
      <c r="CF9" s="872"/>
      <c r="CG9" s="872"/>
      <c r="CH9" s="872"/>
      <c r="CI9" s="873"/>
      <c r="CJ9" s="872"/>
      <c r="CK9" s="872"/>
      <c r="CL9" s="872"/>
      <c r="CM9" s="872"/>
      <c r="CN9" s="873"/>
      <c r="CO9" s="872"/>
      <c r="CP9" s="872"/>
      <c r="CQ9" s="872"/>
      <c r="CR9" s="872"/>
      <c r="CS9" s="873"/>
      <c r="CT9" s="872"/>
      <c r="CU9" s="872"/>
      <c r="CV9" s="872"/>
      <c r="CW9" s="872"/>
      <c r="CX9" s="873"/>
      <c r="CY9" s="872"/>
      <c r="CZ9" s="872"/>
      <c r="DA9" s="872"/>
      <c r="DB9" s="872"/>
      <c r="DC9" s="873"/>
      <c r="DD9" s="872"/>
      <c r="DE9" s="872"/>
      <c r="DF9" s="872"/>
      <c r="DG9" s="872"/>
      <c r="DH9" s="873"/>
      <c r="DI9" s="872"/>
      <c r="DJ9" s="872"/>
      <c r="DK9" s="872"/>
      <c r="DL9" s="872"/>
      <c r="DM9" s="873"/>
      <c r="DN9" s="872"/>
      <c r="DO9" s="872"/>
      <c r="DP9" s="872"/>
      <c r="DQ9" s="872"/>
      <c r="DR9" s="873"/>
      <c r="DS9" s="872"/>
      <c r="DT9" s="872"/>
      <c r="DU9" s="872"/>
      <c r="DV9" s="872"/>
      <c r="DW9" s="873"/>
      <c r="DX9" s="872"/>
      <c r="DY9" s="872"/>
      <c r="DZ9" s="872"/>
      <c r="EA9" s="872"/>
      <c r="EB9" s="873"/>
      <c r="EC9" s="872"/>
      <c r="ED9" s="872"/>
      <c r="EE9" s="872"/>
      <c r="EF9" s="872"/>
      <c r="EG9" s="873"/>
      <c r="EH9" s="872"/>
      <c r="EI9" s="872"/>
      <c r="EJ9" s="872"/>
      <c r="EK9" s="872"/>
      <c r="EL9" s="873"/>
      <c r="EM9" s="872"/>
      <c r="EN9" s="872"/>
      <c r="EO9" s="872"/>
      <c r="EP9" s="872"/>
      <c r="EQ9" s="873"/>
      <c r="ER9" s="872"/>
      <c r="ES9" s="872"/>
      <c r="ET9" s="1364"/>
      <c r="EU9" s="872"/>
      <c r="EV9" s="873"/>
      <c r="EW9" s="872"/>
      <c r="EX9" s="872"/>
      <c r="EY9" s="872"/>
      <c r="EZ9" s="872"/>
      <c r="FA9" s="873"/>
      <c r="FB9" s="872"/>
      <c r="FC9" s="872"/>
      <c r="FD9" s="872"/>
      <c r="FE9" s="872"/>
      <c r="FF9" s="873"/>
      <c r="FG9" s="872"/>
      <c r="FH9" s="872"/>
      <c r="FI9" s="872"/>
      <c r="FJ9" s="872"/>
      <c r="FK9" s="873"/>
      <c r="FL9" s="872"/>
      <c r="FM9" s="872"/>
      <c r="FN9" s="872"/>
      <c r="FO9" s="872"/>
      <c r="FP9" s="873"/>
      <c r="FQ9" s="872"/>
      <c r="FR9" s="872"/>
      <c r="FS9" s="872"/>
      <c r="FT9" s="872"/>
      <c r="FU9" s="873"/>
      <c r="FV9" s="872"/>
      <c r="FW9" s="872"/>
      <c r="FX9" s="872"/>
      <c r="FY9" s="872"/>
      <c r="FZ9" s="873"/>
      <c r="GA9" s="872"/>
      <c r="GB9" s="872"/>
      <c r="GC9" s="872"/>
      <c r="GD9" s="872"/>
      <c r="GE9" s="873"/>
      <c r="GF9" s="872"/>
      <c r="GG9" s="872"/>
      <c r="GH9" s="872"/>
      <c r="GI9" s="872"/>
      <c r="GJ9" s="873"/>
    </row>
    <row r="10" spans="1:192" s="317" customFormat="1" ht="12.75" customHeight="1">
      <c r="A10" s="280" t="s">
        <v>332</v>
      </c>
      <c r="B10" s="726" t="s">
        <v>250</v>
      </c>
      <c r="C10" s="315"/>
      <c r="D10" s="315"/>
      <c r="E10" s="315"/>
      <c r="F10" s="315"/>
      <c r="G10" s="313"/>
      <c r="H10" s="315"/>
      <c r="I10" s="315"/>
      <c r="J10" s="315"/>
      <c r="K10" s="315"/>
      <c r="L10" s="313"/>
      <c r="M10" s="315"/>
      <c r="N10" s="315"/>
      <c r="O10" s="315"/>
      <c r="P10" s="315"/>
      <c r="Q10" s="313"/>
      <c r="R10" s="315"/>
      <c r="S10" s="315"/>
      <c r="T10" s="315"/>
      <c r="U10" s="315"/>
      <c r="V10" s="313"/>
      <c r="W10" s="315"/>
      <c r="X10" s="315"/>
      <c r="Y10" s="315"/>
      <c r="Z10" s="315"/>
      <c r="AA10" s="313"/>
      <c r="AB10" s="315"/>
      <c r="AC10" s="315"/>
      <c r="AD10" s="315"/>
      <c r="AE10" s="315"/>
      <c r="AF10" s="313"/>
      <c r="AG10" s="315"/>
      <c r="AH10" s="315"/>
      <c r="AI10" s="315"/>
      <c r="AJ10" s="315"/>
      <c r="AK10" s="313"/>
      <c r="AL10" s="315"/>
      <c r="AM10" s="315"/>
      <c r="AN10" s="315"/>
      <c r="AO10" s="315"/>
      <c r="AP10" s="313"/>
      <c r="AQ10" s="315"/>
      <c r="AR10" s="315"/>
      <c r="AS10" s="315"/>
      <c r="AT10" s="315"/>
      <c r="AU10" s="313"/>
      <c r="AV10" s="315"/>
      <c r="AW10" s="315"/>
      <c r="AX10" s="315"/>
      <c r="AY10" s="315"/>
      <c r="AZ10" s="313"/>
      <c r="BA10" s="315"/>
      <c r="BB10" s="315"/>
      <c r="BC10" s="315"/>
      <c r="BD10" s="315"/>
      <c r="BE10" s="313"/>
      <c r="BF10" s="315"/>
      <c r="BG10" s="315"/>
      <c r="BH10" s="315"/>
      <c r="BI10" s="315"/>
      <c r="BJ10" s="313"/>
      <c r="BK10" s="315"/>
      <c r="BL10" s="315"/>
      <c r="BM10" s="315"/>
      <c r="BN10" s="315"/>
      <c r="BO10" s="313"/>
      <c r="BP10" s="315"/>
      <c r="BQ10" s="315"/>
      <c r="BR10" s="315"/>
      <c r="BS10" s="315"/>
      <c r="BT10" s="313"/>
      <c r="BU10" s="315"/>
      <c r="BV10" s="315"/>
      <c r="BW10" s="315"/>
      <c r="BX10" s="315"/>
      <c r="BY10" s="313"/>
      <c r="BZ10" s="315"/>
      <c r="CA10" s="315"/>
      <c r="CB10" s="315"/>
      <c r="CC10" s="315"/>
      <c r="CD10" s="313"/>
      <c r="CE10" s="315"/>
      <c r="CF10" s="315"/>
      <c r="CG10" s="315"/>
      <c r="CH10" s="315"/>
      <c r="CI10" s="313"/>
      <c r="CJ10" s="315"/>
      <c r="CK10" s="315"/>
      <c r="CL10" s="315"/>
      <c r="CM10" s="315"/>
      <c r="CN10" s="313"/>
      <c r="CO10" s="315"/>
      <c r="CP10" s="315"/>
      <c r="CQ10" s="315"/>
      <c r="CR10" s="315"/>
      <c r="CS10" s="313"/>
      <c r="CT10" s="315"/>
      <c r="CU10" s="315"/>
      <c r="CV10" s="315"/>
      <c r="CW10" s="315"/>
      <c r="CX10" s="313"/>
      <c r="CY10" s="316"/>
      <c r="CZ10" s="316"/>
      <c r="DA10" s="316"/>
      <c r="DB10" s="316"/>
      <c r="DC10" s="313"/>
      <c r="DD10" s="316"/>
      <c r="DE10" s="316"/>
      <c r="DF10" s="316"/>
      <c r="DG10" s="1158">
        <v>3025</v>
      </c>
      <c r="DH10" s="313"/>
      <c r="DI10" s="1652">
        <v>3250</v>
      </c>
      <c r="DJ10" s="1652">
        <v>3500</v>
      </c>
      <c r="DK10" s="1652">
        <v>3800</v>
      </c>
      <c r="DL10" s="1652">
        <v>4500</v>
      </c>
      <c r="DM10" s="453">
        <v>14900</v>
      </c>
      <c r="DN10" s="316">
        <v>5800</v>
      </c>
      <c r="DO10" s="316">
        <v>6100</v>
      </c>
      <c r="DP10" s="316">
        <v>6800</v>
      </c>
      <c r="DQ10" s="1585">
        <v>7900</v>
      </c>
      <c r="DR10" s="313">
        <f>SUM(DN10:DQ10)</f>
      </c>
      <c r="DS10" s="1585">
        <v>8500</v>
      </c>
      <c r="DT10" s="1585">
        <v>9000</v>
      </c>
      <c r="DU10" s="316">
        <v>9600</v>
      </c>
      <c r="DV10" s="316">
        <v>11000</v>
      </c>
      <c r="DW10" s="313">
        <f>SUM(DS10:DV10)</f>
      </c>
      <c r="DX10" s="316">
        <v>11600</v>
      </c>
      <c r="DY10" s="316">
        <v>12500</v>
      </c>
      <c r="DZ10" s="316">
        <v>13300</v>
      </c>
      <c r="EA10" s="316">
        <v>14300</v>
      </c>
      <c r="EB10" s="313">
        <f>SUM(DX10:EA10)</f>
      </c>
      <c r="EC10" s="316">
        <v>15200</v>
      </c>
      <c r="ED10" s="316">
        <v>16700</v>
      </c>
      <c r="EE10" s="316">
        <v>17700</v>
      </c>
      <c r="EF10" s="316">
        <v>19500</v>
      </c>
      <c r="EG10" s="313">
        <f>SUM(EC10:EF10)</f>
      </c>
      <c r="EH10" s="316">
        <v>20700</v>
      </c>
      <c r="EI10" s="316">
        <v>22100</v>
      </c>
      <c r="EJ10" s="316">
        <v>23400</v>
      </c>
      <c r="EK10" s="1158">
        <v>25000</v>
      </c>
      <c r="EL10" s="313">
        <f>SUM(EH10:EK10)</f>
      </c>
      <c r="EM10" s="316">
        <v>25700</v>
      </c>
      <c r="EN10" s="316">
        <v>27100</v>
      </c>
      <c r="EO10" s="316">
        <v>28500</v>
      </c>
      <c r="EP10" s="316">
        <v>30300</v>
      </c>
      <c r="EQ10" s="313">
        <f>SUM(EM10:EP10)</f>
      </c>
      <c r="ER10" s="316">
        <v>31900</v>
      </c>
      <c r="ES10" s="316">
        <v>33700</v>
      </c>
      <c r="ET10" s="1158">
        <v>35200</v>
      </c>
      <c r="EU10" s="1158">
        <v>36900</v>
      </c>
      <c r="EV10" s="319">
        <f>SUM(ER10:EU10)</f>
      </c>
      <c r="EW10" s="1158">
        <v>38900</v>
      </c>
      <c r="EX10" s="1158">
        <v>40900</v>
      </c>
      <c r="EY10" s="1158">
        <v>42400</v>
      </c>
      <c r="EZ10" s="1158">
        <v>46700</v>
      </c>
      <c r="FA10" s="319">
        <f>SUM(EW10:EZ10)</f>
      </c>
      <c r="FB10" s="312">
        <f t="shared" ref="FB10:GE10" si="0">FB50+FB62+FB108+FB120</f>
      </c>
      <c r="FC10" s="312">
        <f t="shared" si="0"/>
      </c>
      <c r="FD10" s="312">
        <f t="shared" si="0"/>
      </c>
      <c r="FE10" s="312">
        <f t="shared" si="0"/>
      </c>
      <c r="FF10" s="319">
        <f t="shared" si="0"/>
      </c>
      <c r="FG10" s="312">
        <f t="shared" si="0"/>
      </c>
      <c r="FH10" s="312">
        <f t="shared" si="0"/>
      </c>
      <c r="FI10" s="312">
        <f t="shared" si="0"/>
      </c>
      <c r="FJ10" s="312">
        <f t="shared" si="0"/>
      </c>
      <c r="FK10" s="319">
        <f t="shared" si="0"/>
      </c>
      <c r="FL10" s="312">
        <f t="shared" si="0"/>
      </c>
      <c r="FM10" s="312">
        <f t="shared" si="0"/>
      </c>
      <c r="FN10" s="312">
        <f t="shared" si="0"/>
      </c>
      <c r="FO10" s="312">
        <f t="shared" si="0"/>
      </c>
      <c r="FP10" s="319">
        <f t="shared" si="0"/>
      </c>
      <c r="FQ10" s="312">
        <f t="shared" si="0"/>
      </c>
      <c r="FR10" s="312">
        <f t="shared" si="0"/>
      </c>
      <c r="FS10" s="312">
        <f t="shared" si="0"/>
      </c>
      <c r="FT10" s="312">
        <f t="shared" si="0"/>
      </c>
      <c r="FU10" s="319">
        <f t="shared" si="0"/>
      </c>
      <c r="FV10" s="312">
        <f t="shared" si="0"/>
      </c>
      <c r="FW10" s="312">
        <f t="shared" si="0"/>
      </c>
      <c r="FX10" s="312">
        <f t="shared" si="0"/>
      </c>
      <c r="FY10" s="312">
        <f t="shared" si="0"/>
      </c>
      <c r="FZ10" s="319">
        <f t="shared" si="0"/>
      </c>
      <c r="GA10" s="312">
        <f t="shared" si="0"/>
      </c>
      <c r="GB10" s="312">
        <f t="shared" si="0"/>
      </c>
      <c r="GC10" s="312">
        <f t="shared" si="0"/>
      </c>
      <c r="GD10" s="312">
        <f t="shared" si="0"/>
      </c>
      <c r="GE10" s="319">
        <f t="shared" si="0"/>
      </c>
      <c r="GF10" s="312">
        <f t="shared" ref="GF10:GJ10" si="1">GF50+GF62+GF108+GF120</f>
      </c>
      <c r="GG10" s="312">
        <f t="shared" si="1"/>
      </c>
      <c r="GH10" s="312">
        <f t="shared" si="1"/>
      </c>
      <c r="GI10" s="312">
        <f t="shared" si="1"/>
      </c>
      <c r="GJ10" s="319">
        <f t="shared" si="1"/>
      </c>
    </row>
    <row r="11" spans="1:192" s="1447" customFormat="1" ht="12.75" customHeight="1">
      <c r="A11" s="1272" t="s">
        <v>333</v>
      </c>
      <c r="B11" s="1506" t="s">
        <v>34</v>
      </c>
      <c r="C11" s="1238"/>
      <c r="D11" s="1117"/>
      <c r="E11" s="1117"/>
      <c r="F11" s="1117"/>
      <c r="G11" s="1239"/>
      <c r="H11" s="1238"/>
      <c r="I11" s="1117"/>
      <c r="J11" s="1117"/>
      <c r="K11" s="1117"/>
      <c r="L11" s="1239"/>
      <c r="M11" s="1238"/>
      <c r="N11" s="1117"/>
      <c r="O11" s="1117"/>
      <c r="P11" s="1117"/>
      <c r="Q11" s="1239"/>
      <c r="R11" s="1238"/>
      <c r="S11" s="1117"/>
      <c r="T11" s="1117"/>
      <c r="U11" s="1117"/>
      <c r="V11" s="1239"/>
      <c r="W11" s="1238"/>
      <c r="X11" s="1117"/>
      <c r="Y11" s="1117"/>
      <c r="Z11" s="1117"/>
      <c r="AA11" s="1239"/>
      <c r="AB11" s="1238"/>
      <c r="AC11" s="1117"/>
      <c r="AD11" s="1117"/>
      <c r="AE11" s="1117"/>
      <c r="AF11" s="1239"/>
      <c r="AG11" s="1238"/>
      <c r="AH11" s="1117"/>
      <c r="AI11" s="1117"/>
      <c r="AJ11" s="1117"/>
      <c r="AK11" s="1239"/>
      <c r="AL11" s="1238"/>
      <c r="AM11" s="1117"/>
      <c r="AN11" s="1117"/>
      <c r="AO11" s="1117"/>
      <c r="AP11" s="1239"/>
      <c r="AQ11" s="1238"/>
      <c r="AR11" s="1117"/>
      <c r="AS11" s="1117"/>
      <c r="AT11" s="1117"/>
      <c r="AU11" s="1239"/>
      <c r="AV11" s="1238"/>
      <c r="AW11" s="1117"/>
      <c r="AX11" s="1117"/>
      <c r="AY11" s="1117"/>
      <c r="AZ11" s="1239"/>
      <c r="BA11" s="1238"/>
      <c r="BB11" s="1117"/>
      <c r="BC11" s="1117"/>
      <c r="BD11" s="1117"/>
      <c r="BE11" s="1239"/>
      <c r="BF11" s="1238"/>
      <c r="BG11" s="1117"/>
      <c r="BH11" s="1117"/>
      <c r="BI11" s="1117"/>
      <c r="BJ11" s="1239"/>
      <c r="BK11" s="1238"/>
      <c r="BL11" s="1117"/>
      <c r="BM11" s="1117"/>
      <c r="BN11" s="1117"/>
      <c r="BO11" s="1239"/>
      <c r="BP11" s="1238"/>
      <c r="BQ11" s="1117"/>
      <c r="BR11" s="1117"/>
      <c r="BS11" s="1117"/>
      <c r="BT11" s="1239"/>
      <c r="BU11" s="1238"/>
      <c r="BV11" s="1117"/>
      <c r="BW11" s="1117"/>
      <c r="BX11" s="1117"/>
      <c r="BY11" s="1239"/>
      <c r="BZ11" s="1238"/>
      <c r="CA11" s="1117"/>
      <c r="CB11" s="1117"/>
      <c r="CC11" s="1117"/>
      <c r="CD11" s="1239"/>
      <c r="CE11" s="1238"/>
      <c r="CF11" s="1117"/>
      <c r="CG11" s="1117"/>
      <c r="CH11" s="1117"/>
      <c r="CI11" s="1239"/>
      <c r="CJ11" s="1238"/>
      <c r="CK11" s="1117"/>
      <c r="CL11" s="1117"/>
      <c r="CM11" s="1117"/>
      <c r="CN11" s="1239"/>
      <c r="CO11" s="1238"/>
      <c r="CP11" s="1117"/>
      <c r="CQ11" s="1117"/>
      <c r="CR11" s="1117"/>
      <c r="CS11" s="1239"/>
      <c r="CT11" s="1238"/>
      <c r="CU11" s="1117"/>
      <c r="CV11" s="1117"/>
      <c r="CW11" s="1117"/>
      <c r="CX11" s="1239"/>
      <c r="CY11" s="1238">
        <v>1.28</v>
      </c>
      <c r="CZ11" s="1117"/>
      <c r="DA11" s="1117">
        <v>7.73</v>
      </c>
      <c r="DB11" s="1117"/>
      <c r="DC11" s="1239"/>
      <c r="DD11" s="1238"/>
      <c r="DE11" s="1117"/>
      <c r="DF11" s="1117"/>
      <c r="DG11" s="1117"/>
      <c r="DH11" s="1239"/>
      <c r="DI11" s="1238"/>
      <c r="DJ11" s="1117"/>
      <c r="DK11" s="1117"/>
      <c r="DL11" s="1117">
        <v>0.56000000000000005</v>
      </c>
      <c r="DM11" s="1239"/>
      <c r="DN11" s="1238">
        <v>0.56000000000000005</v>
      </c>
      <c r="DO11" s="1117">
        <v>0.56000000000000005</v>
      </c>
      <c r="DP11" s="892">
        <f>DP10/DK10-1</f>
      </c>
      <c r="DQ11" s="1117">
        <v>0.53</v>
      </c>
      <c r="DR11" s="1240">
        <f>DR10/DM10-1</f>
      </c>
      <c r="DS11" s="1238">
        <v>0.47</v>
      </c>
      <c r="DT11" s="1117">
        <v>0.48</v>
      </c>
      <c r="DU11" s="1117">
        <v>0.41</v>
      </c>
      <c r="DV11" s="892">
        <f>DV10/DQ10-1</f>
      </c>
      <c r="DW11" s="1240">
        <f>DW10/DR10-1</f>
      </c>
      <c r="DX11" s="892">
        <f>DX10/DS10-1</f>
      </c>
      <c r="DY11" s="892">
        <f>DY10/DT10-1</f>
      </c>
      <c r="DZ11" s="892">
        <f>DZ10/DU10-1</f>
      </c>
      <c r="EA11" s="1117">
        <v>0.23</v>
      </c>
      <c r="EB11" s="1240">
        <f t="shared" ref="EB11:EM11" si="2">EB10/DW10-1</f>
      </c>
      <c r="EC11" s="892">
        <f t="shared" si="2"/>
      </c>
      <c r="ED11" s="892">
        <f t="shared" si="2"/>
      </c>
      <c r="EE11" s="892">
        <f t="shared" si="2"/>
      </c>
      <c r="EF11" s="892">
        <f t="shared" si="2"/>
      </c>
      <c r="EG11" s="1240">
        <f t="shared" si="2"/>
      </c>
      <c r="EH11" s="892">
        <f t="shared" si="2"/>
      </c>
      <c r="EI11" s="892">
        <f t="shared" si="2"/>
      </c>
      <c r="EJ11" s="892">
        <f t="shared" si="2"/>
      </c>
      <c r="EK11" s="892">
        <f t="shared" si="2"/>
      </c>
      <c r="EL11" s="1240">
        <f t="shared" si="2"/>
      </c>
      <c r="EM11" s="892">
        <f t="shared" si="2"/>
      </c>
      <c r="EN11" s="1117">
        <v>0.22</v>
      </c>
      <c r="EO11" s="892">
        <f t="shared" ref="EO11:FZ11" si="3">EO10/EJ10-1</f>
      </c>
      <c r="EP11" s="892">
        <f t="shared" si="3"/>
      </c>
      <c r="EQ11" s="1240">
        <f t="shared" si="3"/>
      </c>
      <c r="ER11" s="892">
        <f t="shared" si="3"/>
      </c>
      <c r="ES11" s="1117">
        <v>0.24</v>
      </c>
      <c r="ET11" s="1327">
        <v>0.24</v>
      </c>
      <c r="EU11" s="1327">
        <v>0.22</v>
      </c>
      <c r="EV11" s="1240">
        <f t="shared" si="3"/>
      </c>
      <c r="EW11" s="1327">
        <v>0.22</v>
      </c>
      <c r="EX11" s="1327">
        <v>0.21</v>
      </c>
      <c r="EY11" s="1327">
        <v>0.2</v>
      </c>
      <c r="EZ11" s="1327">
        <v>0.27</v>
      </c>
      <c r="FA11" s="1240">
        <f t="shared" si="3"/>
      </c>
      <c r="FB11" s="924">
        <f t="shared" si="3"/>
      </c>
      <c r="FC11" s="924">
        <f t="shared" si="3"/>
      </c>
      <c r="FD11" s="924">
        <f t="shared" si="3"/>
      </c>
      <c r="FE11" s="924">
        <f t="shared" si="3"/>
      </c>
      <c r="FF11" s="1240">
        <f t="shared" si="3"/>
      </c>
      <c r="FG11" s="924">
        <f t="shared" si="3"/>
      </c>
      <c r="FH11" s="924">
        <f t="shared" si="3"/>
      </c>
      <c r="FI11" s="924">
        <f t="shared" si="3"/>
      </c>
      <c r="FJ11" s="924">
        <f t="shared" si="3"/>
      </c>
      <c r="FK11" s="1240">
        <f t="shared" si="3"/>
      </c>
      <c r="FL11" s="924">
        <f t="shared" si="3"/>
      </c>
      <c r="FM11" s="924">
        <f t="shared" si="3"/>
      </c>
      <c r="FN11" s="924">
        <f t="shared" si="3"/>
      </c>
      <c r="FO11" s="924">
        <f t="shared" si="3"/>
      </c>
      <c r="FP11" s="1240">
        <f t="shared" si="3"/>
      </c>
      <c r="FQ11" s="924">
        <f t="shared" si="3"/>
      </c>
      <c r="FR11" s="924">
        <f t="shared" si="3"/>
      </c>
      <c r="FS11" s="924">
        <f t="shared" si="3"/>
      </c>
      <c r="FT11" s="924">
        <f t="shared" si="3"/>
      </c>
      <c r="FU11" s="1240">
        <f t="shared" si="3"/>
      </c>
      <c r="FV11" s="924">
        <f t="shared" si="3"/>
      </c>
      <c r="FW11" s="924">
        <f t="shared" si="3"/>
      </c>
      <c r="FX11" s="924">
        <f t="shared" si="3"/>
      </c>
      <c r="FY11" s="924">
        <f t="shared" si="3"/>
      </c>
      <c r="FZ11" s="1240">
        <f t="shared" si="3"/>
      </c>
      <c r="GA11" s="924">
        <f t="shared" ref="GA11:GJ11" si="4">GA10/FV10-1</f>
      </c>
      <c r="GB11" s="924">
        <f t="shared" si="4"/>
      </c>
      <c r="GC11" s="924">
        <f t="shared" si="4"/>
      </c>
      <c r="GD11" s="924">
        <f t="shared" si="4"/>
      </c>
      <c r="GE11" s="1240">
        <f t="shared" si="4"/>
      </c>
      <c r="GF11" s="924">
        <f t="shared" si="4"/>
      </c>
      <c r="GG11" s="924">
        <f t="shared" si="4"/>
      </c>
      <c r="GH11" s="924">
        <f t="shared" si="4"/>
      </c>
      <c r="GI11" s="924">
        <f t="shared" si="4"/>
      </c>
      <c r="GJ11" s="1240">
        <f t="shared" si="4"/>
      </c>
    </row>
    <row r="12" spans="1:192" s="480" customFormat="1" ht="12.75" customHeight="1">
      <c r="A12" s="68" t="s">
        <v>356</v>
      </c>
      <c r="B12" s="753" t="s">
        <v>197</v>
      </c>
      <c r="C12" s="412"/>
      <c r="D12" s="114"/>
      <c r="E12" s="114"/>
      <c r="F12" s="114"/>
      <c r="G12" s="413"/>
      <c r="H12" s="412"/>
      <c r="I12" s="114"/>
      <c r="J12" s="114"/>
      <c r="K12" s="114"/>
      <c r="L12" s="413"/>
      <c r="M12" s="412"/>
      <c r="N12" s="114"/>
      <c r="O12" s="114"/>
      <c r="P12" s="114"/>
      <c r="Q12" s="413"/>
      <c r="R12" s="412"/>
      <c r="S12" s="114"/>
      <c r="T12" s="114"/>
      <c r="U12" s="114"/>
      <c r="V12" s="413"/>
      <c r="W12" s="412"/>
      <c r="X12" s="114"/>
      <c r="Y12" s="114"/>
      <c r="Z12" s="114"/>
      <c r="AA12" s="413"/>
      <c r="AB12" s="412"/>
      <c r="AC12" s="114"/>
      <c r="AD12" s="114"/>
      <c r="AE12" s="114"/>
      <c r="AF12" s="413"/>
      <c r="AG12" s="412"/>
      <c r="AH12" s="114"/>
      <c r="AI12" s="114"/>
      <c r="AJ12" s="114"/>
      <c r="AK12" s="413"/>
      <c r="AL12" s="412"/>
      <c r="AM12" s="114"/>
      <c r="AN12" s="114"/>
      <c r="AO12" s="114"/>
      <c r="AP12" s="413"/>
      <c r="AQ12" s="412"/>
      <c r="AR12" s="114"/>
      <c r="AS12" s="114"/>
      <c r="AT12" s="114"/>
      <c r="AU12" s="413"/>
      <c r="AV12" s="412"/>
      <c r="AW12" s="114"/>
      <c r="AX12" s="114"/>
      <c r="AY12" s="114"/>
      <c r="AZ12" s="413"/>
      <c r="BA12" s="412"/>
      <c r="BB12" s="114"/>
      <c r="BC12" s="114"/>
      <c r="BD12" s="114"/>
      <c r="BE12" s="413"/>
      <c r="BF12" s="412"/>
      <c r="BG12" s="114"/>
      <c r="BH12" s="114"/>
      <c r="BI12" s="114"/>
      <c r="BJ12" s="413"/>
      <c r="BK12" s="412"/>
      <c r="BL12" s="114"/>
      <c r="BM12" s="114"/>
      <c r="BN12" s="114"/>
      <c r="BO12" s="413"/>
      <c r="BP12" s="412"/>
      <c r="BQ12" s="114"/>
      <c r="BR12" s="114"/>
      <c r="BS12" s="114"/>
      <c r="BT12" s="413"/>
      <c r="BU12" s="412"/>
      <c r="BV12" s="114"/>
      <c r="BW12" s="114"/>
      <c r="BX12" s="114"/>
      <c r="BY12" s="413"/>
      <c r="BZ12" s="412"/>
      <c r="CA12" s="114"/>
      <c r="CB12" s="114"/>
      <c r="CC12" s="114"/>
      <c r="CD12" s="413"/>
      <c r="CE12" s="412"/>
      <c r="CF12" s="114"/>
      <c r="CG12" s="114"/>
      <c r="CH12" s="114"/>
      <c r="CI12" s="413"/>
      <c r="CJ12" s="412"/>
      <c r="CK12" s="114"/>
      <c r="CL12" s="114"/>
      <c r="CM12" s="114"/>
      <c r="CN12" s="413"/>
      <c r="CO12" s="412"/>
      <c r="CP12" s="114"/>
      <c r="CQ12" s="114"/>
      <c r="CR12" s="114"/>
      <c r="CS12" s="413"/>
      <c r="CT12" s="412"/>
      <c r="CU12" s="114"/>
      <c r="CV12" s="114"/>
      <c r="CW12" s="114"/>
      <c r="CX12" s="413"/>
      <c r="CY12" s="412"/>
      <c r="CZ12" s="114"/>
      <c r="DA12" s="114"/>
      <c r="DB12" s="114"/>
      <c r="DC12" s="413"/>
      <c r="DD12" s="412"/>
      <c r="DE12" s="114"/>
      <c r="DF12" s="114"/>
      <c r="DG12" s="114"/>
      <c r="DH12" s="413"/>
      <c r="DI12" s="412"/>
      <c r="DJ12" s="114"/>
      <c r="DK12" s="114"/>
      <c r="DL12" s="114"/>
      <c r="DM12" s="413"/>
      <c r="DN12" s="412">
        <v>0.55000000000000004</v>
      </c>
      <c r="DO12" s="114">
        <v>0.56000000000000005</v>
      </c>
      <c r="DP12" s="114">
        <v>0.55000000000000004</v>
      </c>
      <c r="DQ12" s="114">
        <v>0.5</v>
      </c>
      <c r="DR12" s="413"/>
      <c r="DS12" s="412">
        <v>0.46</v>
      </c>
      <c r="DT12" s="114">
        <v>0.47</v>
      </c>
      <c r="DU12" s="114">
        <v>0.43</v>
      </c>
      <c r="DV12" s="114">
        <v>0.42</v>
      </c>
      <c r="DW12" s="413"/>
      <c r="DX12" s="412">
        <v>0.39</v>
      </c>
      <c r="DY12" s="114">
        <v>0.41</v>
      </c>
      <c r="DZ12" s="114">
        <v>0.4</v>
      </c>
      <c r="EA12" s="114">
        <v>0.23</v>
      </c>
      <c r="EB12" s="413"/>
      <c r="EC12" s="412">
        <v>0.31</v>
      </c>
      <c r="ED12" s="114">
        <v>0.32</v>
      </c>
      <c r="EE12" s="114">
        <v>0.28999999999999998</v>
      </c>
      <c r="EF12" s="114">
        <v>0.31</v>
      </c>
      <c r="EG12" s="413"/>
      <c r="EH12" s="412">
        <v>0.34</v>
      </c>
      <c r="EI12" s="114">
        <v>0.32</v>
      </c>
      <c r="EJ12" s="114">
        <v>0.35</v>
      </c>
      <c r="EK12" s="114">
        <v>0.33</v>
      </c>
      <c r="EL12" s="413"/>
      <c r="EM12" s="412">
        <v>0.31</v>
      </c>
      <c r="EN12" s="114">
        <v>0.28999999999999998</v>
      </c>
      <c r="EO12" s="114">
        <v>0.25</v>
      </c>
      <c r="EP12" s="114">
        <v>0.23</v>
      </c>
      <c r="EQ12" s="413"/>
      <c r="ER12" s="412">
        <v>0.23</v>
      </c>
      <c r="ES12" s="114">
        <v>0.22</v>
      </c>
      <c r="ET12" s="439">
        <v>0.23</v>
      </c>
      <c r="EU12" s="439">
        <v>0.23</v>
      </c>
      <c r="EV12" s="413"/>
      <c r="EW12" s="441">
        <v>0.22</v>
      </c>
      <c r="EX12" s="439">
        <v>0.21</v>
      </c>
      <c r="EY12" s="439">
        <v>0.22</v>
      </c>
      <c r="EZ12" s="439">
        <v>0.25</v>
      </c>
      <c r="FA12" s="413"/>
      <c r="FB12" s="412"/>
      <c r="FC12" s="114"/>
      <c r="FD12" s="114"/>
      <c r="FE12" s="114"/>
      <c r="FF12" s="413"/>
      <c r="FG12" s="412"/>
      <c r="FH12" s="114"/>
      <c r="FI12" s="114"/>
      <c r="FJ12" s="114"/>
      <c r="FK12" s="413"/>
      <c r="FL12" s="412"/>
      <c r="FM12" s="114"/>
      <c r="FN12" s="114"/>
      <c r="FO12" s="114"/>
      <c r="FP12" s="413"/>
      <c r="FQ12" s="412"/>
      <c r="FR12" s="114"/>
      <c r="FS12" s="114"/>
      <c r="FT12" s="114"/>
      <c r="FU12" s="413"/>
      <c r="FV12" s="412"/>
      <c r="FW12" s="114"/>
      <c r="FX12" s="114"/>
      <c r="FY12" s="114"/>
      <c r="FZ12" s="413"/>
      <c r="GA12" s="412"/>
      <c r="GB12" s="114"/>
      <c r="GC12" s="114"/>
      <c r="GD12" s="114"/>
      <c r="GE12" s="413"/>
      <c r="GF12" s="412"/>
      <c r="GG12" s="114"/>
      <c r="GH12" s="114"/>
      <c r="GI12" s="114"/>
      <c r="GJ12" s="413"/>
    </row>
    <row r="13" spans="1:192" ht="12.75" customHeight="1">
      <c r="A13" s="68" t="s">
        <v>335</v>
      </c>
      <c r="B13" s="727" t="s">
        <v>36</v>
      </c>
      <c r="C13" s="291"/>
      <c r="D13" s="107"/>
      <c r="E13" s="107"/>
      <c r="F13" s="107"/>
      <c r="G13" s="293"/>
      <c r="H13" s="291"/>
      <c r="I13" s="107"/>
      <c r="J13" s="107"/>
      <c r="K13" s="107"/>
      <c r="L13" s="293"/>
      <c r="M13" s="291"/>
      <c r="N13" s="107"/>
      <c r="O13" s="107"/>
      <c r="P13" s="107"/>
      <c r="Q13" s="293"/>
      <c r="R13" s="291"/>
      <c r="S13" s="107"/>
      <c r="T13" s="107"/>
      <c r="U13" s="107"/>
      <c r="V13" s="293"/>
      <c r="W13" s="291"/>
      <c r="X13" s="107"/>
      <c r="Y13" s="107"/>
      <c r="Z13" s="107"/>
      <c r="AA13" s="293"/>
      <c r="AB13" s="291"/>
      <c r="AC13" s="107"/>
      <c r="AD13" s="107"/>
      <c r="AE13" s="107"/>
      <c r="AF13" s="293"/>
      <c r="AG13" s="291"/>
      <c r="AH13" s="107"/>
      <c r="AI13" s="107"/>
      <c r="AJ13" s="107"/>
      <c r="AK13" s="293"/>
      <c r="AL13" s="291"/>
      <c r="AM13" s="107"/>
      <c r="AN13" s="107"/>
      <c r="AO13" s="107"/>
      <c r="AP13" s="293"/>
      <c r="AQ13" s="291"/>
      <c r="AR13" s="107"/>
      <c r="AS13" s="107"/>
      <c r="AT13" s="107"/>
      <c r="AU13" s="293"/>
      <c r="AV13" s="291"/>
      <c r="AW13" s="107"/>
      <c r="AX13" s="107"/>
      <c r="AY13" s="107"/>
      <c r="AZ13" s="293"/>
      <c r="BA13" s="291"/>
      <c r="BB13" s="107"/>
      <c r="BC13" s="107"/>
      <c r="BD13" s="107"/>
      <c r="BE13" s="293"/>
      <c r="BF13" s="291"/>
      <c r="BG13" s="107"/>
      <c r="BH13" s="107"/>
      <c r="BI13" s="107"/>
      <c r="BJ13" s="293"/>
      <c r="BK13" s="291"/>
      <c r="BL13" s="107"/>
      <c r="BM13" s="107"/>
      <c r="BN13" s="107"/>
      <c r="BO13" s="293"/>
      <c r="BP13" s="291"/>
      <c r="BQ13" s="107"/>
      <c r="BR13" s="107"/>
      <c r="BS13" s="107"/>
      <c r="BT13" s="293"/>
      <c r="BU13" s="291"/>
      <c r="BV13" s="107"/>
      <c r="BW13" s="107"/>
      <c r="BX13" s="107"/>
      <c r="BY13" s="293"/>
      <c r="BZ13" s="291"/>
      <c r="CA13" s="107"/>
      <c r="CB13" s="107"/>
      <c r="CC13" s="107"/>
      <c r="CD13" s="293"/>
      <c r="CE13" s="291"/>
      <c r="CF13" s="107"/>
      <c r="CG13" s="107"/>
      <c r="CH13" s="107"/>
      <c r="CI13" s="293"/>
      <c r="CJ13" s="291"/>
      <c r="CK13" s="107"/>
      <c r="CL13" s="107"/>
      <c r="CM13" s="107"/>
      <c r="CN13" s="293"/>
      <c r="CO13" s="291"/>
      <c r="CP13" s="107"/>
      <c r="CQ13" s="107"/>
      <c r="CR13" s="107"/>
      <c r="CS13" s="293"/>
      <c r="CT13" s="291"/>
      <c r="CU13" s="107"/>
      <c r="CV13" s="107"/>
      <c r="CW13" s="107"/>
      <c r="CX13" s="293"/>
      <c r="CY13" s="291"/>
      <c r="CZ13" s="107"/>
      <c r="DA13" s="107"/>
      <c r="DB13" s="107"/>
      <c r="DC13" s="293"/>
      <c r="DD13" s="291"/>
      <c r="DE13" s="107"/>
      <c r="DF13" s="107"/>
      <c r="DG13" s="107"/>
      <c r="DH13" s="293"/>
      <c r="DI13" s="291">
        <f>DI10/DG10-1</f>
      </c>
      <c r="DJ13" s="107">
        <f>DJ10/DI10-1</f>
      </c>
      <c r="DK13" s="107">
        <f>DK10/DJ10-1</f>
      </c>
      <c r="DL13" s="107">
        <f>DL10/DK10-1</f>
      </c>
      <c r="DM13" s="293"/>
      <c r="DN13" s="291">
        <f>DN10/DL10-1</f>
      </c>
      <c r="DO13" s="107">
        <f>DO10/DN10-1</f>
      </c>
      <c r="DP13" s="107">
        <f>DP10/DO10-1</f>
      </c>
      <c r="DQ13" s="107">
        <f>DQ10/DP10-1</f>
      </c>
      <c r="DR13" s="293"/>
      <c r="DS13" s="291">
        <f>DS10/DQ10-1</f>
      </c>
      <c r="DT13" s="107">
        <f>DT10/DS10-1</f>
      </c>
      <c r="DU13" s="107">
        <f>DU10/DT10-1</f>
      </c>
      <c r="DV13" s="107">
        <f>DV10/DU10-1</f>
      </c>
      <c r="DW13" s="293"/>
      <c r="DX13" s="291">
        <f>DX10/DV10-1</f>
      </c>
      <c r="DY13" s="107">
        <f>DY10/DX10-1</f>
      </c>
      <c r="DZ13" s="107">
        <f>DZ10/DY10-1</f>
      </c>
      <c r="EA13" s="107">
        <f>EA10/DZ10-1</f>
      </c>
      <c r="EB13" s="293"/>
      <c r="EC13" s="291">
        <f>EC10/EA10-1</f>
      </c>
      <c r="ED13" s="107">
        <f>ED10/EC10-1</f>
      </c>
      <c r="EE13" s="107">
        <f>EE10/ED10-1</f>
      </c>
      <c r="EF13" s="107">
        <f>EF10/EE10-1</f>
      </c>
      <c r="EG13" s="293"/>
      <c r="EH13" s="291">
        <f>EH10/EF10-1</f>
      </c>
      <c r="EI13" s="107">
        <f>EI10/EH10-1</f>
      </c>
      <c r="EJ13" s="107">
        <f>EJ10/EI10-1</f>
      </c>
      <c r="EK13" s="107">
        <f>EK10/EJ10-1</f>
      </c>
      <c r="EL13" s="293"/>
      <c r="EM13" s="291">
        <f>EM10/EK10-1</f>
      </c>
      <c r="EN13" s="107">
        <f>EN10/EM10-1</f>
      </c>
      <c r="EO13" s="107">
        <f>EO10/EN10-1</f>
      </c>
      <c r="EP13" s="107">
        <f>EP10/EO10-1</f>
      </c>
      <c r="EQ13" s="293"/>
      <c r="ER13" s="291">
        <f>ER10/EP10-1</f>
      </c>
      <c r="ES13" s="107">
        <f>ES10/ER10-1</f>
      </c>
      <c r="ET13" s="107">
        <f>ET10/ES10-1</f>
      </c>
      <c r="EU13" s="107">
        <f>EU10/ET10-1</f>
      </c>
      <c r="EV13" s="293"/>
      <c r="EW13" s="291">
        <f>EW10/EU10-1</f>
      </c>
      <c r="EX13" s="107">
        <f>EX10/EW10-1</f>
      </c>
      <c r="EY13" s="107">
        <f>EY10/EX10-1</f>
      </c>
      <c r="EZ13" s="107">
        <f>EZ10/EY10-1</f>
      </c>
      <c r="FA13" s="293"/>
      <c r="FB13" s="291">
        <f>FB10/EZ10-1</f>
      </c>
      <c r="FC13" s="107">
        <f>FC10/FB10-1</f>
      </c>
      <c r="FD13" s="107">
        <f>FD10/FC10-1</f>
      </c>
      <c r="FE13" s="107">
        <f>FE10/FD10-1</f>
      </c>
      <c r="FF13" s="293"/>
      <c r="FG13" s="291">
        <f>FG10/FE10-1</f>
      </c>
      <c r="FH13" s="107">
        <f>FH10/FG10-1</f>
      </c>
      <c r="FI13" s="107">
        <f>FI10/FH10-1</f>
      </c>
      <c r="FJ13" s="107">
        <f>FJ10/FI10-1</f>
      </c>
      <c r="FK13" s="293"/>
      <c r="FL13" s="291">
        <f>FL10/FJ10-1</f>
      </c>
      <c r="FM13" s="107">
        <f>FM10/FL10-1</f>
      </c>
      <c r="FN13" s="107">
        <f>FN10/FM10-1</f>
      </c>
      <c r="FO13" s="107">
        <f>FO10/FN10-1</f>
      </c>
      <c r="FP13" s="293"/>
      <c r="FQ13" s="291">
        <f>FQ10/FO10-1</f>
      </c>
      <c r="FR13" s="107">
        <f>FR10/FQ10-1</f>
      </c>
      <c r="FS13" s="107">
        <f>FS10/FR10-1</f>
      </c>
      <c r="FT13" s="107">
        <f>FT10/FS10-1</f>
      </c>
      <c r="FU13" s="293"/>
      <c r="FV13" s="291">
        <f>FV10/FT10-1</f>
      </c>
      <c r="FW13" s="107">
        <f>FW10/FV10-1</f>
      </c>
      <c r="FX13" s="107">
        <f>FX10/FW10-1</f>
      </c>
      <c r="FY13" s="107">
        <f>FY10/FX10-1</f>
      </c>
      <c r="FZ13" s="293"/>
      <c r="GA13" s="291">
        <f>GA10/FY10-1</f>
      </c>
      <c r="GB13" s="107">
        <f>GB10/GA10-1</f>
      </c>
      <c r="GC13" s="107">
        <f>GC10/GB10-1</f>
      </c>
      <c r="GD13" s="107">
        <f>GD10/GC10-1</f>
      </c>
      <c r="GE13" s="293"/>
      <c r="GF13" s="291">
        <f>GF10/GD10-1</f>
      </c>
      <c r="GG13" s="107">
        <f>GG10/GF10-1</f>
      </c>
      <c r="GH13" s="107">
        <f>GH10/GG10-1</f>
      </c>
      <c r="GI13" s="107">
        <f>GI10/GH10-1</f>
      </c>
      <c r="GJ13" s="293"/>
    </row>
    <row r="14" spans="1:192" ht="12.75" customHeight="1">
      <c r="B14" s="727" t="s">
        <v>243</v>
      </c>
      <c r="C14" s="291"/>
      <c r="D14" s="107"/>
      <c r="E14" s="107"/>
      <c r="F14" s="107"/>
      <c r="G14" s="293"/>
      <c r="H14" s="291"/>
      <c r="I14" s="107"/>
      <c r="J14" s="107"/>
      <c r="K14" s="107"/>
      <c r="L14" s="293"/>
      <c r="M14" s="291"/>
      <c r="N14" s="107"/>
      <c r="O14" s="107"/>
      <c r="P14" s="107"/>
      <c r="Q14" s="293"/>
      <c r="R14" s="291"/>
      <c r="S14" s="107"/>
      <c r="T14" s="107"/>
      <c r="U14" s="107"/>
      <c r="V14" s="293"/>
      <c r="W14" s="291"/>
      <c r="X14" s="107"/>
      <c r="Y14" s="107"/>
      <c r="Z14" s="107"/>
      <c r="AA14" s="293"/>
      <c r="AB14" s="291"/>
      <c r="AC14" s="107"/>
      <c r="AD14" s="107"/>
      <c r="AE14" s="107"/>
      <c r="AF14" s="293"/>
      <c r="AG14" s="291"/>
      <c r="AH14" s="107"/>
      <c r="AI14" s="107"/>
      <c r="AJ14" s="107"/>
      <c r="AK14" s="293"/>
      <c r="AL14" s="291"/>
      <c r="AM14" s="107"/>
      <c r="AN14" s="107"/>
      <c r="AO14" s="107"/>
      <c r="AP14" s="293"/>
      <c r="AQ14" s="291"/>
      <c r="AR14" s="107"/>
      <c r="AS14" s="107"/>
      <c r="AT14" s="107"/>
      <c r="AU14" s="293"/>
      <c r="AV14" s="291"/>
      <c r="AW14" s="107"/>
      <c r="AX14" s="107"/>
      <c r="AY14" s="107"/>
      <c r="AZ14" s="293"/>
      <c r="BA14" s="291"/>
      <c r="BB14" s="107"/>
      <c r="BC14" s="107"/>
      <c r="BD14" s="107"/>
      <c r="BE14" s="293"/>
      <c r="BF14" s="291"/>
      <c r="BG14" s="107"/>
      <c r="BH14" s="107"/>
      <c r="BI14" s="107"/>
      <c r="BJ14" s="293"/>
      <c r="BK14" s="291"/>
      <c r="BL14" s="107"/>
      <c r="BM14" s="107"/>
      <c r="BN14" s="107"/>
      <c r="BO14" s="293"/>
      <c r="BP14" s="291"/>
      <c r="BQ14" s="107"/>
      <c r="BR14" s="107"/>
      <c r="BS14" s="107"/>
      <c r="BT14" s="293"/>
      <c r="BU14" s="291"/>
      <c r="BV14" s="107"/>
      <c r="BW14" s="107"/>
      <c r="BX14" s="107"/>
      <c r="BY14" s="293"/>
      <c r="BZ14" s="291"/>
      <c r="CA14" s="107"/>
      <c r="CB14" s="107"/>
      <c r="CC14" s="107"/>
      <c r="CD14" s="293"/>
      <c r="CE14" s="291"/>
      <c r="CF14" s="107"/>
      <c r="CG14" s="107"/>
      <c r="CH14" s="107"/>
      <c r="CI14" s="293"/>
      <c r="CJ14" s="291"/>
      <c r="CK14" s="107"/>
      <c r="CL14" s="107"/>
      <c r="CM14" s="107"/>
      <c r="CN14" s="293"/>
      <c r="CO14" s="291"/>
      <c r="CP14" s="107"/>
      <c r="CQ14" s="107"/>
      <c r="CR14" s="107"/>
      <c r="CS14" s="293"/>
      <c r="CT14" s="291"/>
      <c r="CU14" s="107"/>
      <c r="CV14" s="107"/>
      <c r="CW14" s="107"/>
      <c r="CX14" s="293"/>
      <c r="CY14" s="448">
        <v>662</v>
      </c>
      <c r="CZ14" s="107"/>
      <c r="DA14" s="107"/>
      <c r="DB14" s="107"/>
      <c r="DC14" s="293"/>
      <c r="DD14" s="447"/>
      <c r="DE14" s="447"/>
      <c r="DF14" s="447"/>
      <c r="DG14" s="447"/>
      <c r="DH14" s="459"/>
      <c r="DI14" s="447"/>
      <c r="DJ14" s="447"/>
      <c r="DK14" s="447"/>
      <c r="DL14" s="447">
        <f t="shared" ref="DL14:EQ14" si="5">DL10-DG10</f>
      </c>
      <c r="DM14" s="459">
        <f t="shared" si="5"/>
      </c>
      <c r="DN14" s="447">
        <f t="shared" si="5"/>
      </c>
      <c r="DO14" s="447">
        <f t="shared" si="5"/>
      </c>
      <c r="DP14" s="447">
        <f t="shared" si="5"/>
      </c>
      <c r="DQ14" s="447">
        <f t="shared" si="5"/>
      </c>
      <c r="DR14" s="459">
        <f t="shared" si="5"/>
      </c>
      <c r="DS14" s="447">
        <f t="shared" si="5"/>
      </c>
      <c r="DT14" s="447">
        <f t="shared" si="5"/>
      </c>
      <c r="DU14" s="447">
        <f t="shared" si="5"/>
      </c>
      <c r="DV14" s="447">
        <f t="shared" si="5"/>
      </c>
      <c r="DW14" s="459">
        <f t="shared" si="5"/>
      </c>
      <c r="DX14" s="447">
        <f t="shared" si="5"/>
      </c>
      <c r="DY14" s="447">
        <f t="shared" si="5"/>
      </c>
      <c r="DZ14" s="447">
        <f t="shared" si="5"/>
      </c>
      <c r="EA14" s="447">
        <f t="shared" si="5"/>
      </c>
      <c r="EB14" s="459">
        <f t="shared" si="5"/>
      </c>
      <c r="EC14" s="447">
        <f t="shared" si="5"/>
      </c>
      <c r="ED14" s="447">
        <f t="shared" si="5"/>
      </c>
      <c r="EE14" s="447">
        <f t="shared" si="5"/>
      </c>
      <c r="EF14" s="447">
        <f t="shared" si="5"/>
      </c>
      <c r="EG14" s="459">
        <f t="shared" si="5"/>
      </c>
      <c r="EH14" s="447">
        <f t="shared" si="5"/>
      </c>
      <c r="EI14" s="447">
        <f t="shared" si="5"/>
      </c>
      <c r="EJ14" s="447">
        <f t="shared" si="5"/>
      </c>
      <c r="EK14" s="447">
        <f t="shared" si="5"/>
      </c>
      <c r="EL14" s="459">
        <f t="shared" si="5"/>
      </c>
      <c r="EM14" s="447">
        <f t="shared" si="5"/>
      </c>
      <c r="EN14" s="447">
        <f t="shared" si="5"/>
      </c>
      <c r="EO14" s="447">
        <f t="shared" si="5"/>
      </c>
      <c r="EP14" s="447">
        <f t="shared" si="5"/>
      </c>
      <c r="EQ14" s="459">
        <f t="shared" si="5"/>
      </c>
      <c r="ER14" s="447">
        <f t="shared" ref="ER14:FZ14" si="6">ER10-EM10</f>
      </c>
      <c r="ES14" s="447">
        <f t="shared" si="6"/>
      </c>
      <c r="ET14" s="447">
        <f t="shared" si="6"/>
      </c>
      <c r="EU14" s="447">
        <f>EU10-EP10</f>
      </c>
      <c r="EV14" s="459">
        <f>EV10-EQ10</f>
      </c>
      <c r="EW14" s="447">
        <f t="shared" si="6"/>
      </c>
      <c r="EX14" s="447">
        <f t="shared" si="6"/>
      </c>
      <c r="EY14" s="447">
        <f t="shared" si="6"/>
      </c>
      <c r="EZ14" s="447">
        <f>EZ10-EU10</f>
      </c>
      <c r="FA14" s="459">
        <f>FA10-EV10</f>
      </c>
      <c r="FB14" s="447">
        <f t="shared" si="6"/>
      </c>
      <c r="FC14" s="447">
        <f t="shared" si="6"/>
      </c>
      <c r="FD14" s="447">
        <f t="shared" si="6"/>
      </c>
      <c r="FE14" s="447">
        <f t="shared" si="6"/>
      </c>
      <c r="FF14" s="459">
        <f t="shared" si="6"/>
      </c>
      <c r="FG14" s="447">
        <f t="shared" si="6"/>
      </c>
      <c r="FH14" s="447">
        <f t="shared" si="6"/>
      </c>
      <c r="FI14" s="447">
        <f t="shared" si="6"/>
      </c>
      <c r="FJ14" s="447">
        <f t="shared" si="6"/>
      </c>
      <c r="FK14" s="459">
        <f t="shared" si="6"/>
      </c>
      <c r="FL14" s="447">
        <f t="shared" si="6"/>
      </c>
      <c r="FM14" s="447">
        <f t="shared" si="6"/>
      </c>
      <c r="FN14" s="447">
        <f t="shared" si="6"/>
      </c>
      <c r="FO14" s="447">
        <f t="shared" si="6"/>
      </c>
      <c r="FP14" s="459">
        <f t="shared" si="6"/>
      </c>
      <c r="FQ14" s="447">
        <f t="shared" si="6"/>
      </c>
      <c r="FR14" s="447">
        <f t="shared" si="6"/>
      </c>
      <c r="FS14" s="447">
        <f t="shared" si="6"/>
      </c>
      <c r="FT14" s="447">
        <f t="shared" si="6"/>
      </c>
      <c r="FU14" s="459">
        <f t="shared" si="6"/>
      </c>
      <c r="FV14" s="447">
        <f t="shared" si="6"/>
      </c>
      <c r="FW14" s="447">
        <f t="shared" si="6"/>
      </c>
      <c r="FX14" s="447">
        <f t="shared" si="6"/>
      </c>
      <c r="FY14" s="447">
        <f t="shared" si="6"/>
      </c>
      <c r="FZ14" s="459">
        <f t="shared" si="6"/>
      </c>
      <c r="GA14" s="447">
        <f t="shared" ref="GA14:GJ14" si="7">GA10-FV10</f>
      </c>
      <c r="GB14" s="447">
        <f t="shared" si="7"/>
      </c>
      <c r="GC14" s="447">
        <f t="shared" si="7"/>
      </c>
      <c r="GD14" s="447">
        <f t="shared" si="7"/>
      </c>
      <c r="GE14" s="459">
        <f t="shared" si="7"/>
      </c>
      <c r="GF14" s="447">
        <f t="shared" si="7"/>
      </c>
      <c r="GG14" s="447">
        <f t="shared" si="7"/>
      </c>
      <c r="GH14" s="447">
        <f t="shared" si="7"/>
      </c>
      <c r="GI14" s="447">
        <f t="shared" si="7"/>
      </c>
      <c r="GJ14" s="459">
        <f t="shared" si="7"/>
      </c>
    </row>
    <row r="15" spans="1:192" ht="12.75" customHeight="1">
      <c r="B15" s="727" t="s">
        <v>244</v>
      </c>
      <c r="C15" s="291"/>
      <c r="D15" s="107"/>
      <c r="E15" s="107"/>
      <c r="F15" s="107"/>
      <c r="G15" s="293"/>
      <c r="H15" s="291"/>
      <c r="I15" s="107"/>
      <c r="J15" s="107"/>
      <c r="K15" s="107"/>
      <c r="L15" s="293"/>
      <c r="M15" s="291"/>
      <c r="N15" s="107"/>
      <c r="O15" s="107"/>
      <c r="P15" s="107"/>
      <c r="Q15" s="293"/>
      <c r="R15" s="291"/>
      <c r="S15" s="107"/>
      <c r="T15" s="107"/>
      <c r="U15" s="107"/>
      <c r="V15" s="293"/>
      <c r="W15" s="291"/>
      <c r="X15" s="107"/>
      <c r="Y15" s="107"/>
      <c r="Z15" s="107"/>
      <c r="AA15" s="293"/>
      <c r="AB15" s="291"/>
      <c r="AC15" s="107"/>
      <c r="AD15" s="107"/>
      <c r="AE15" s="107"/>
      <c r="AF15" s="293"/>
      <c r="AG15" s="291"/>
      <c r="AH15" s="107"/>
      <c r="AI15" s="107"/>
      <c r="AJ15" s="107"/>
      <c r="AK15" s="293"/>
      <c r="AL15" s="291"/>
      <c r="AM15" s="107"/>
      <c r="AN15" s="107"/>
      <c r="AO15" s="107"/>
      <c r="AP15" s="293"/>
      <c r="AQ15" s="291"/>
      <c r="AR15" s="107"/>
      <c r="AS15" s="107"/>
      <c r="AT15" s="107"/>
      <c r="AU15" s="293"/>
      <c r="AV15" s="291"/>
      <c r="AW15" s="107"/>
      <c r="AX15" s="107"/>
      <c r="AY15" s="107"/>
      <c r="AZ15" s="293"/>
      <c r="BA15" s="291"/>
      <c r="BB15" s="107"/>
      <c r="BC15" s="107"/>
      <c r="BD15" s="107"/>
      <c r="BE15" s="293"/>
      <c r="BF15" s="291"/>
      <c r="BG15" s="107"/>
      <c r="BH15" s="107"/>
      <c r="BI15" s="107"/>
      <c r="BJ15" s="293"/>
      <c r="BK15" s="291"/>
      <c r="BL15" s="107"/>
      <c r="BM15" s="107"/>
      <c r="BN15" s="107"/>
      <c r="BO15" s="293"/>
      <c r="BP15" s="291"/>
      <c r="BQ15" s="107"/>
      <c r="BR15" s="107"/>
      <c r="BS15" s="107"/>
      <c r="BT15" s="293"/>
      <c r="BU15" s="291"/>
      <c r="BV15" s="107"/>
      <c r="BW15" s="107"/>
      <c r="BX15" s="107"/>
      <c r="BY15" s="293"/>
      <c r="BZ15" s="291"/>
      <c r="CA15" s="107"/>
      <c r="CB15" s="107"/>
      <c r="CC15" s="107"/>
      <c r="CD15" s="293"/>
      <c r="CE15" s="291"/>
      <c r="CF15" s="107"/>
      <c r="CG15" s="107"/>
      <c r="CH15" s="107"/>
      <c r="CI15" s="293"/>
      <c r="CJ15" s="291"/>
      <c r="CK15" s="107"/>
      <c r="CL15" s="107"/>
      <c r="CM15" s="107"/>
      <c r="CN15" s="293"/>
      <c r="CO15" s="291"/>
      <c r="CP15" s="107"/>
      <c r="CQ15" s="107"/>
      <c r="CR15" s="107"/>
      <c r="CS15" s="293"/>
      <c r="CT15" s="291"/>
      <c r="CU15" s="107"/>
      <c r="CV15" s="107"/>
      <c r="CW15" s="107"/>
      <c r="CX15" s="293"/>
      <c r="CY15" s="291"/>
      <c r="CZ15" s="107"/>
      <c r="DA15" s="107"/>
      <c r="DB15" s="107"/>
      <c r="DC15" s="293"/>
      <c r="DD15" s="447"/>
      <c r="DE15" s="447"/>
      <c r="DF15" s="447"/>
      <c r="DG15" s="447"/>
      <c r="DH15" s="293"/>
      <c r="DI15" s="447">
        <f>DI10-DG10</f>
      </c>
      <c r="DJ15" s="447">
        <f>DJ10-DI10</f>
      </c>
      <c r="DK15" s="447">
        <f>DK10-DJ10</f>
      </c>
      <c r="DL15" s="447">
        <f>DL10-DK10</f>
      </c>
      <c r="DM15" s="293"/>
      <c r="DN15" s="447">
        <f>DN10-DL10</f>
      </c>
      <c r="DO15" s="447">
        <f>DO10-DN10</f>
      </c>
      <c r="DP15" s="447">
        <f>DP10-DO10</f>
      </c>
      <c r="DQ15" s="447">
        <f>DQ10-DP10</f>
      </c>
      <c r="DR15" s="293"/>
      <c r="DS15" s="447">
        <f>DS10-DQ10</f>
      </c>
      <c r="DT15" s="447">
        <f>DT10-DS10</f>
      </c>
      <c r="DU15" s="447">
        <f>DU10-DT10</f>
      </c>
      <c r="DV15" s="447">
        <f>DV10-DU10</f>
      </c>
      <c r="DW15" s="293"/>
      <c r="DX15" s="447">
        <f>DX10-DV10</f>
      </c>
      <c r="DY15" s="447">
        <f>DY10-DX10</f>
      </c>
      <c r="DZ15" s="447">
        <f>DZ10-DY10</f>
      </c>
      <c r="EA15" s="447">
        <f>EA10-DZ10</f>
      </c>
      <c r="EB15" s="293"/>
      <c r="EC15" s="447">
        <f>EC10-EA10</f>
      </c>
      <c r="ED15" s="447">
        <f>ED10-EC10</f>
      </c>
      <c r="EE15" s="447">
        <f>EE10-ED10</f>
      </c>
      <c r="EF15" s="447">
        <f>EF10-EE10</f>
      </c>
      <c r="EG15" s="293"/>
      <c r="EH15" s="447">
        <f>EH10-EF10</f>
      </c>
      <c r="EI15" s="447">
        <f>EI10-EH10</f>
      </c>
      <c r="EJ15" s="447">
        <f>EJ10-EI10</f>
      </c>
      <c r="EK15" s="447">
        <f>EK10-EJ10</f>
      </c>
      <c r="EL15" s="293"/>
      <c r="EM15" s="447">
        <f>EM10-EK10</f>
      </c>
      <c r="EN15" s="447">
        <f>EN10-EM10</f>
      </c>
      <c r="EO15" s="447">
        <f>EO10-EN10</f>
      </c>
      <c r="EP15" s="447">
        <f>EP10-EO10</f>
      </c>
      <c r="EQ15" s="293"/>
      <c r="ER15" s="447">
        <f>ER10-EP10</f>
      </c>
      <c r="ES15" s="447">
        <f>ES10-ER10</f>
      </c>
      <c r="ET15" s="447">
        <f>ET10-ES10</f>
      </c>
      <c r="EU15" s="447">
        <f>EU10-ET10</f>
      </c>
      <c r="EV15" s="293"/>
      <c r="EW15" s="447">
        <f>EW10-EU10</f>
      </c>
      <c r="EX15" s="447">
        <f>EX10-EW10</f>
      </c>
      <c r="EY15" s="447">
        <f>EY10-EX10</f>
      </c>
      <c r="EZ15" s="447">
        <f>EZ10-EY10</f>
      </c>
      <c r="FA15" s="293"/>
      <c r="FB15" s="447">
        <f>FB10-EZ10</f>
      </c>
      <c r="FC15" s="447">
        <f>FC10-FB10</f>
      </c>
      <c r="FD15" s="447">
        <f>FD10-FC10</f>
      </c>
      <c r="FE15" s="447">
        <f>FE10-FD10</f>
      </c>
      <c r="FF15" s="293"/>
      <c r="FG15" s="447">
        <f>FG10-FE10</f>
      </c>
      <c r="FH15" s="447">
        <f>FH10-FG10</f>
      </c>
      <c r="FI15" s="447">
        <f>FI10-FH10</f>
      </c>
      <c r="FJ15" s="447">
        <f>FJ10-FI10</f>
      </c>
      <c r="FK15" s="293"/>
      <c r="FL15" s="447">
        <f>FL10-FJ10</f>
      </c>
      <c r="FM15" s="447">
        <f>FM10-FL10</f>
      </c>
      <c r="FN15" s="447">
        <f>FN10-FM10</f>
      </c>
      <c r="FO15" s="447">
        <f>FO10-FN10</f>
      </c>
      <c r="FP15" s="293"/>
      <c r="FQ15" s="447">
        <f>FQ10-FO10</f>
      </c>
      <c r="FR15" s="447">
        <f>FR10-FQ10</f>
      </c>
      <c r="FS15" s="447">
        <f>FS10-FR10</f>
      </c>
      <c r="FT15" s="447">
        <f>FT10-FS10</f>
      </c>
      <c r="FU15" s="293"/>
      <c r="FV15" s="447">
        <f>FV10-FT10</f>
      </c>
      <c r="FW15" s="447">
        <f>FW10-FV10</f>
      </c>
      <c r="FX15" s="447">
        <f>FX10-FW10</f>
      </c>
      <c r="FY15" s="447">
        <f>FY10-FX10</f>
      </c>
      <c r="FZ15" s="293"/>
      <c r="GA15" s="447">
        <f>GA10-FY10</f>
      </c>
      <c r="GB15" s="447">
        <f>GB10-GA10</f>
      </c>
      <c r="GC15" s="447">
        <f>GC10-GB10</f>
      </c>
      <c r="GD15" s="447">
        <f>GD10-GC10</f>
      </c>
      <c r="GE15" s="293"/>
      <c r="GF15" s="447">
        <f>GF10-GD10</f>
      </c>
      <c r="GG15" s="447">
        <f>GG10-GF10</f>
      </c>
      <c r="GH15" s="447">
        <f>GH10-GG10</f>
      </c>
      <c r="GI15" s="447">
        <f>GI10-GH10</f>
      </c>
      <c r="GJ15" s="293"/>
    </row>
    <row r="16" spans="1:192" ht="12.75" customHeight="1">
      <c r="B16" s="727" t="s">
        <v>257</v>
      </c>
      <c r="C16" s="291"/>
      <c r="D16" s="107"/>
      <c r="E16" s="107"/>
      <c r="F16" s="107"/>
      <c r="G16" s="293"/>
      <c r="H16" s="291"/>
      <c r="I16" s="107"/>
      <c r="J16" s="107"/>
      <c r="K16" s="107"/>
      <c r="L16" s="293"/>
      <c r="M16" s="291"/>
      <c r="N16" s="107"/>
      <c r="O16" s="107"/>
      <c r="P16" s="107"/>
      <c r="Q16" s="293"/>
      <c r="R16" s="291"/>
      <c r="S16" s="107"/>
      <c r="T16" s="107"/>
      <c r="U16" s="107"/>
      <c r="V16" s="293"/>
      <c r="W16" s="291"/>
      <c r="X16" s="107"/>
      <c r="Y16" s="107"/>
      <c r="Z16" s="107"/>
      <c r="AA16" s="293"/>
      <c r="AB16" s="291"/>
      <c r="AC16" s="107"/>
      <c r="AD16" s="107"/>
      <c r="AE16" s="107"/>
      <c r="AF16" s="293"/>
      <c r="AG16" s="291"/>
      <c r="AH16" s="107"/>
      <c r="AI16" s="107"/>
      <c r="AJ16" s="107"/>
      <c r="AK16" s="293"/>
      <c r="AL16" s="291"/>
      <c r="AM16" s="107"/>
      <c r="AN16" s="107"/>
      <c r="AO16" s="107"/>
      <c r="AP16" s="293"/>
      <c r="AQ16" s="291"/>
      <c r="AR16" s="107"/>
      <c r="AS16" s="107"/>
      <c r="AT16" s="107"/>
      <c r="AU16" s="293"/>
      <c r="AV16" s="291"/>
      <c r="AW16" s="107"/>
      <c r="AX16" s="107"/>
      <c r="AY16" s="107"/>
      <c r="AZ16" s="293"/>
      <c r="BA16" s="291"/>
      <c r="BB16" s="107"/>
      <c r="BC16" s="107"/>
      <c r="BD16" s="107"/>
      <c r="BE16" s="293"/>
      <c r="BF16" s="291"/>
      <c r="BG16" s="107"/>
      <c r="BH16" s="107"/>
      <c r="BI16" s="107"/>
      <c r="BJ16" s="293"/>
      <c r="BK16" s="291"/>
      <c r="BL16" s="107"/>
      <c r="BM16" s="107"/>
      <c r="BN16" s="107"/>
      <c r="BO16" s="293"/>
      <c r="BP16" s="291"/>
      <c r="BQ16" s="107"/>
      <c r="BR16" s="107"/>
      <c r="BS16" s="107"/>
      <c r="BT16" s="293"/>
      <c r="BU16" s="291"/>
      <c r="BV16" s="107"/>
      <c r="BW16" s="107"/>
      <c r="BX16" s="107"/>
      <c r="BY16" s="293"/>
      <c r="BZ16" s="291"/>
      <c r="CA16" s="107"/>
      <c r="CB16" s="107"/>
      <c r="CC16" s="107"/>
      <c r="CD16" s="293"/>
      <c r="CE16" s="291"/>
      <c r="CF16" s="107"/>
      <c r="CG16" s="107"/>
      <c r="CH16" s="107"/>
      <c r="CI16" s="293"/>
      <c r="CJ16" s="291"/>
      <c r="CK16" s="107"/>
      <c r="CL16" s="107"/>
      <c r="CM16" s="107"/>
      <c r="CN16" s="293"/>
      <c r="CO16" s="291"/>
      <c r="CP16" s="107"/>
      <c r="CQ16" s="107"/>
      <c r="CR16" s="107"/>
      <c r="CS16" s="293"/>
      <c r="CT16" s="291"/>
      <c r="CU16" s="107"/>
      <c r="CV16" s="107"/>
      <c r="CW16" s="107"/>
      <c r="CX16" s="293"/>
      <c r="CY16" s="291"/>
      <c r="CZ16" s="107"/>
      <c r="DA16" s="107"/>
      <c r="DB16" s="107"/>
      <c r="DC16" s="293"/>
      <c r="DD16" s="291"/>
      <c r="DE16" s="107"/>
      <c r="DF16" s="107"/>
      <c r="DG16" s="107">
        <f>DG10/IS!DG24</f>
      </c>
      <c r="DH16" s="293"/>
      <c r="DI16" s="291">
        <f>DI10/IS!DI24</f>
      </c>
      <c r="DJ16" s="107">
        <f>DJ10/IS!DJ24</f>
      </c>
      <c r="DK16" s="107">
        <f>DK10/IS!DK24</f>
      </c>
      <c r="DL16" s="107">
        <f>DL10/IS!DL24</f>
      </c>
      <c r="DM16" s="293">
        <f>DM10/IS!DM24</f>
      </c>
      <c r="DN16" s="291">
        <f>DN10/IS!DN24</f>
      </c>
      <c r="DO16" s="107">
        <f>DO10/IS!DO24</f>
      </c>
      <c r="DP16" s="107">
        <f>DP10/IS!DP24</f>
      </c>
      <c r="DQ16" s="107">
        <f>DQ10/IS!DQ24</f>
      </c>
      <c r="DR16" s="293">
        <f>DR10/IS!DR24</f>
      </c>
      <c r="DS16" s="291">
        <f>DS10/IS!DS24</f>
      </c>
      <c r="DT16" s="107">
        <f>DT10/IS!DT24</f>
      </c>
      <c r="DU16" s="107">
        <f>DU10/IS!DU24</f>
      </c>
      <c r="DV16" s="107">
        <f>DV10/IS!DV24</f>
      </c>
      <c r="DW16" s="293">
        <f>DW10/IS!DW24</f>
      </c>
      <c r="DX16" s="291">
        <f>DX10/IS!DX24</f>
      </c>
      <c r="DY16" s="107">
        <f>DY10/IS!DY24</f>
      </c>
      <c r="DZ16" s="107">
        <f>DZ10/IS!DZ24</f>
      </c>
      <c r="EA16" s="107">
        <f>EA10/IS!EA24</f>
      </c>
      <c r="EB16" s="293">
        <f>EB10/IS!EB24</f>
      </c>
      <c r="EC16" s="291">
        <f>EC10/IS!EC24</f>
      </c>
      <c r="ED16" s="107">
        <f>ED10/IS!ED24</f>
      </c>
      <c r="EE16" s="107">
        <f>EE10/IS!EE24</f>
      </c>
      <c r="EF16" s="107">
        <f>EF10/IS!EF24</f>
      </c>
      <c r="EG16" s="293">
        <f>EG10/IS!EG24</f>
      </c>
      <c r="EH16" s="291">
        <f>EH10/IS!EH24</f>
      </c>
      <c r="EI16" s="107">
        <f>EI10/IS!EI24</f>
      </c>
      <c r="EJ16" s="107">
        <f>EJ10/IS!EJ24</f>
      </c>
      <c r="EK16" s="107">
        <f>EK10/IS!EK24</f>
      </c>
      <c r="EL16" s="293">
        <f>EL10/IS!EL24</f>
      </c>
      <c r="EM16" s="291">
        <f>EM10/IS!EM24</f>
      </c>
      <c r="EN16" s="107">
        <f>EN10/IS!EN24</f>
      </c>
      <c r="EO16" s="107">
        <f>EO10/IS!EO24</f>
      </c>
      <c r="EP16" s="107">
        <f>EP10/IS!EP24</f>
      </c>
      <c r="EQ16" s="293">
        <f>EQ10/IS!EQ24</f>
      </c>
      <c r="ER16" s="291">
        <f>ER10/IS!ER24</f>
      </c>
      <c r="ES16" s="107">
        <f>ES10/IS!ES24</f>
      </c>
      <c r="ET16" s="107">
        <f>ET10/IS!ET24</f>
      </c>
      <c r="EU16" s="107">
        <f>EU10/IS!EU24</f>
      </c>
      <c r="EV16" s="293">
        <f>EV10/IS!EV24</f>
      </c>
      <c r="EW16" s="291">
        <f>EW10/IS!EW24</f>
      </c>
      <c r="EX16" s="107">
        <f>EX10/IS!EX24</f>
      </c>
      <c r="EY16" s="107">
        <f>EY10/IS!EY24</f>
      </c>
      <c r="EZ16" s="107">
        <f>EZ10/IS!EZ24</f>
      </c>
      <c r="FA16" s="293">
        <f>FA10/IS!FA24</f>
      </c>
      <c r="FB16" s="291">
        <f>FB10/IS!FB24</f>
      </c>
      <c r="FC16" s="107">
        <f>FC10/IS!FC24</f>
      </c>
      <c r="FD16" s="107">
        <f>FD10/IS!FD24</f>
      </c>
      <c r="FE16" s="107">
        <f>FE10/IS!FE24</f>
      </c>
      <c r="FF16" s="293">
        <f>FF10/IS!FF24</f>
      </c>
      <c r="FG16" s="291">
        <f>FG10/IS!FG24</f>
      </c>
      <c r="FH16" s="107">
        <f>FH10/IS!FH24</f>
      </c>
      <c r="FI16" s="107">
        <f>FI10/IS!FI24</f>
      </c>
      <c r="FJ16" s="107">
        <f>FJ10/IS!FJ24</f>
      </c>
      <c r="FK16" s="293">
        <f>FK10/IS!FK24</f>
      </c>
      <c r="FL16" s="291">
        <f>FL10/IS!FL24</f>
      </c>
      <c r="FM16" s="107">
        <f>FM10/IS!FM24</f>
      </c>
      <c r="FN16" s="107">
        <f>FN10/IS!FN24</f>
      </c>
      <c r="FO16" s="107">
        <f>FO10/IS!FO24</f>
      </c>
      <c r="FP16" s="293">
        <f>FP10/IS!FP24</f>
      </c>
      <c r="FQ16" s="291">
        <f>FQ10/IS!FQ24</f>
      </c>
      <c r="FR16" s="107">
        <f>FR10/IS!FR24</f>
      </c>
      <c r="FS16" s="107">
        <f>FS10/IS!FS24</f>
      </c>
      <c r="FT16" s="107">
        <f>FT10/IS!FT24</f>
      </c>
      <c r="FU16" s="293">
        <f>FU10/IS!FU24</f>
      </c>
      <c r="FV16" s="291">
        <f>FV10/IS!FV24</f>
      </c>
      <c r="FW16" s="107">
        <f>FW10/IS!FW24</f>
      </c>
      <c r="FX16" s="107">
        <f>FX10/IS!FX24</f>
      </c>
      <c r="FY16" s="107">
        <f>FY10/IS!FY24</f>
      </c>
      <c r="FZ16" s="293">
        <f>FZ10/IS!FZ24</f>
      </c>
      <c r="GA16" s="291">
        <f>GA10/IS!GA24</f>
      </c>
      <c r="GB16" s="107">
        <f>GB10/IS!GB24</f>
      </c>
      <c r="GC16" s="107">
        <f>GC10/IS!GC24</f>
      </c>
      <c r="GD16" s="107">
        <f>GD10/IS!GD24</f>
      </c>
      <c r="GE16" s="293">
        <f>GE10/IS!GE24</f>
      </c>
      <c r="GF16" s="291">
        <f>GF10/IS!GF24</f>
      </c>
      <c r="GG16" s="107">
        <f>GG10/IS!GG24</f>
      </c>
      <c r="GH16" s="107">
        <f>GH10/IS!GH24</f>
      </c>
      <c r="GI16" s="107">
        <f>GI10/IS!GI24</f>
      </c>
      <c r="GJ16" s="293">
        <f>GJ10/IS!GJ24</f>
      </c>
    </row>
    <row r="17" spans="1:192" ht="12.75" customHeight="1">
      <c r="B17" s="729"/>
      <c r="C17" s="294"/>
      <c r="D17" s="295"/>
      <c r="E17" s="295"/>
      <c r="F17" s="295"/>
      <c r="G17" s="296"/>
      <c r="H17" s="294"/>
      <c r="I17" s="295"/>
      <c r="J17" s="295"/>
      <c r="K17" s="295"/>
      <c r="L17" s="296"/>
      <c r="M17" s="294"/>
      <c r="N17" s="295"/>
      <c r="O17" s="295"/>
      <c r="P17" s="295"/>
      <c r="Q17" s="296"/>
      <c r="R17" s="294"/>
      <c r="S17" s="295"/>
      <c r="T17" s="295"/>
      <c r="U17" s="295"/>
      <c r="V17" s="296"/>
      <c r="W17" s="294"/>
      <c r="X17" s="295"/>
      <c r="Y17" s="295"/>
      <c r="Z17" s="295"/>
      <c r="AA17" s="296"/>
      <c r="AB17" s="294"/>
      <c r="AC17" s="295"/>
      <c r="AD17" s="295"/>
      <c r="AE17" s="295"/>
      <c r="AF17" s="296"/>
      <c r="AG17" s="294"/>
      <c r="AH17" s="295"/>
      <c r="AI17" s="295"/>
      <c r="AJ17" s="295"/>
      <c r="AK17" s="296"/>
      <c r="AL17" s="294"/>
      <c r="AM17" s="295"/>
      <c r="AN17" s="295"/>
      <c r="AO17" s="295"/>
      <c r="AP17" s="296"/>
      <c r="AQ17" s="294"/>
      <c r="AR17" s="295"/>
      <c r="AS17" s="295"/>
      <c r="AT17" s="295"/>
      <c r="AU17" s="296"/>
      <c r="AV17" s="294"/>
      <c r="AW17" s="295"/>
      <c r="AX17" s="295"/>
      <c r="AY17" s="295"/>
      <c r="AZ17" s="296"/>
      <c r="BA17" s="294"/>
      <c r="BB17" s="295"/>
      <c r="BC17" s="295"/>
      <c r="BD17" s="295"/>
      <c r="BE17" s="296"/>
      <c r="BF17" s="294"/>
      <c r="BG17" s="295"/>
      <c r="BH17" s="295"/>
      <c r="BI17" s="295"/>
      <c r="BJ17" s="296"/>
      <c r="BK17" s="294"/>
      <c r="BL17" s="295"/>
      <c r="BM17" s="295"/>
      <c r="BN17" s="295"/>
      <c r="BO17" s="296"/>
      <c r="BP17" s="294"/>
      <c r="BQ17" s="295"/>
      <c r="BR17" s="295"/>
      <c r="BS17" s="295"/>
      <c r="BT17" s="296"/>
      <c r="BU17" s="294"/>
      <c r="BV17" s="295"/>
      <c r="BW17" s="295"/>
      <c r="BX17" s="295"/>
      <c r="BY17" s="296"/>
      <c r="BZ17" s="294"/>
      <c r="CA17" s="295"/>
      <c r="CB17" s="295"/>
      <c r="CC17" s="295"/>
      <c r="CD17" s="296"/>
      <c r="CE17" s="294"/>
      <c r="CF17" s="295"/>
      <c r="CG17" s="295"/>
      <c r="CH17" s="295"/>
      <c r="CI17" s="296"/>
      <c r="CJ17" s="294"/>
      <c r="CK17" s="295"/>
      <c r="CL17" s="295"/>
      <c r="CM17" s="295"/>
      <c r="CN17" s="296"/>
      <c r="CO17" s="294"/>
      <c r="CP17" s="295"/>
      <c r="CQ17" s="295"/>
      <c r="CR17" s="295"/>
      <c r="CS17" s="296"/>
      <c r="CT17" s="294"/>
      <c r="CU17" s="295"/>
      <c r="CV17" s="295"/>
      <c r="CW17" s="295"/>
      <c r="CX17" s="296"/>
      <c r="CY17" s="294"/>
      <c r="CZ17" s="295"/>
      <c r="DA17" s="295"/>
      <c r="DB17" s="295"/>
      <c r="DC17" s="296"/>
      <c r="DD17" s="294"/>
      <c r="DE17" s="295"/>
      <c r="DF17" s="295"/>
      <c r="DG17" s="295"/>
      <c r="DH17" s="296"/>
      <c r="DI17" s="294"/>
      <c r="DJ17" s="295"/>
      <c r="DK17" s="295"/>
      <c r="DL17" s="295"/>
      <c r="DM17" s="296"/>
      <c r="DN17" s="294"/>
      <c r="DO17" s="295"/>
      <c r="DP17" s="295"/>
      <c r="DQ17" s="295"/>
      <c r="DR17" s="296"/>
      <c r="DS17" s="294"/>
      <c r="DT17" s="295"/>
      <c r="DU17" s="295"/>
      <c r="DV17" s="295"/>
      <c r="DW17" s="296"/>
      <c r="DX17" s="294"/>
      <c r="DY17" s="295"/>
      <c r="DZ17" s="295"/>
      <c r="EA17" s="295"/>
      <c r="EB17" s="296"/>
      <c r="EC17" s="294"/>
      <c r="ED17" s="295"/>
      <c r="EE17" s="295"/>
      <c r="EF17" s="295"/>
      <c r="EG17" s="296"/>
      <c r="EH17" s="294"/>
      <c r="EI17" s="295"/>
      <c r="EJ17" s="295"/>
      <c r="EK17" s="295"/>
      <c r="EL17" s="296"/>
      <c r="EM17" s="294"/>
      <c r="EN17" s="295"/>
      <c r="EO17" s="295"/>
      <c r="EP17" s="295"/>
      <c r="EQ17" s="296"/>
      <c r="ER17" s="294"/>
      <c r="ES17" s="295"/>
      <c r="ET17" s="295"/>
      <c r="EU17" s="295"/>
      <c r="EV17" s="296"/>
      <c r="EW17" s="294"/>
      <c r="EX17" s="295"/>
      <c r="EY17" s="295"/>
      <c r="EZ17" s="295"/>
      <c r="FA17" s="296"/>
      <c r="FB17" s="294"/>
      <c r="FC17" s="295"/>
      <c r="FD17" s="295"/>
      <c r="FE17" s="295"/>
      <c r="FF17" s="296"/>
      <c r="FG17" s="294"/>
      <c r="FH17" s="295"/>
      <c r="FI17" s="295"/>
      <c r="FJ17" s="295"/>
      <c r="FK17" s="296"/>
      <c r="FL17" s="294"/>
      <c r="FM17" s="295"/>
      <c r="FN17" s="295"/>
      <c r="FO17" s="295"/>
      <c r="FP17" s="296"/>
      <c r="FQ17" s="294"/>
      <c r="FR17" s="295"/>
      <c r="FS17" s="295"/>
      <c r="FT17" s="295"/>
      <c r="FU17" s="296"/>
      <c r="FV17" s="294"/>
      <c r="FW17" s="295"/>
      <c r="FX17" s="295"/>
      <c r="FY17" s="295"/>
      <c r="FZ17" s="296"/>
      <c r="GA17" s="294"/>
      <c r="GB17" s="295"/>
      <c r="GC17" s="295"/>
      <c r="GD17" s="295"/>
      <c r="GE17" s="296"/>
      <c r="GF17" s="294"/>
      <c r="GG17" s="295"/>
      <c r="GH17" s="295"/>
      <c r="GI17" s="295"/>
      <c r="GJ17" s="296"/>
    </row>
    <row r="18" spans="1:192" s="1011" customFormat="1" ht="12.75" customHeight="1">
      <c r="A18" s="1269"/>
      <c r="B18" s="910" t="s">
        <v>414</v>
      </c>
      <c r="C18" s="619"/>
      <c r="D18" s="619"/>
      <c r="E18" s="619"/>
      <c r="F18" s="619"/>
      <c r="G18" s="829"/>
      <c r="H18" s="619"/>
      <c r="I18" s="619"/>
      <c r="J18" s="619"/>
      <c r="K18" s="619"/>
      <c r="L18" s="829"/>
      <c r="M18" s="619"/>
      <c r="N18" s="619"/>
      <c r="O18" s="619"/>
      <c r="P18" s="619"/>
      <c r="Q18" s="829"/>
      <c r="R18" s="619"/>
      <c r="S18" s="619"/>
      <c r="T18" s="619"/>
      <c r="U18" s="619"/>
      <c r="V18" s="829"/>
      <c r="W18" s="619"/>
      <c r="X18" s="619"/>
      <c r="Y18" s="619"/>
      <c r="Z18" s="619"/>
      <c r="AA18" s="829"/>
      <c r="AB18" s="619"/>
      <c r="AC18" s="619"/>
      <c r="AD18" s="619"/>
      <c r="AE18" s="619"/>
      <c r="AF18" s="829"/>
      <c r="AG18" s="619"/>
      <c r="AH18" s="619"/>
      <c r="AI18" s="619"/>
      <c r="AJ18" s="619"/>
      <c r="AK18" s="829"/>
      <c r="AL18" s="619"/>
      <c r="AM18" s="619"/>
      <c r="AN18" s="619"/>
      <c r="AO18" s="619"/>
      <c r="AP18" s="829"/>
      <c r="AQ18" s="619"/>
      <c r="AR18" s="619"/>
      <c r="AS18" s="619"/>
      <c r="AT18" s="619"/>
      <c r="AU18" s="829"/>
      <c r="AV18" s="619"/>
      <c r="AW18" s="619"/>
      <c r="AX18" s="619"/>
      <c r="AY18" s="619"/>
      <c r="AZ18" s="829"/>
      <c r="BA18" s="619"/>
      <c r="BB18" s="619"/>
      <c r="BC18" s="619"/>
      <c r="BD18" s="619"/>
      <c r="BE18" s="829"/>
      <c r="BF18" s="619"/>
      <c r="BG18" s="619"/>
      <c r="BH18" s="619"/>
      <c r="BI18" s="619"/>
      <c r="BJ18" s="829"/>
      <c r="BK18" s="619"/>
      <c r="BL18" s="619"/>
      <c r="BM18" s="619"/>
      <c r="BN18" s="619"/>
      <c r="BO18" s="829"/>
      <c r="BP18" s="619"/>
      <c r="BQ18" s="619"/>
      <c r="BR18" s="619"/>
      <c r="BS18" s="619"/>
      <c r="BT18" s="829"/>
      <c r="BU18" s="619"/>
      <c r="BV18" s="619"/>
      <c r="BW18" s="619"/>
      <c r="BX18" s="619"/>
      <c r="BY18" s="829"/>
      <c r="BZ18" s="619"/>
      <c r="CA18" s="619"/>
      <c r="CB18" s="619"/>
      <c r="CC18" s="619"/>
      <c r="CD18" s="829"/>
      <c r="CE18" s="619"/>
      <c r="CF18" s="619"/>
      <c r="CG18" s="619"/>
      <c r="CH18" s="619"/>
      <c r="CI18" s="829"/>
      <c r="CJ18" s="619"/>
      <c r="CK18" s="619"/>
      <c r="CL18" s="619"/>
      <c r="CM18" s="619"/>
      <c r="CN18" s="829"/>
      <c r="CO18" s="619"/>
      <c r="CP18" s="619"/>
      <c r="CQ18" s="619"/>
      <c r="CR18" s="619"/>
      <c r="CS18" s="829"/>
      <c r="CT18" s="619"/>
      <c r="CU18" s="619"/>
      <c r="CV18" s="619"/>
      <c r="CW18" s="619"/>
      <c r="CX18" s="829"/>
      <c r="CY18" s="619"/>
      <c r="CZ18" s="619"/>
      <c r="DA18" s="619"/>
      <c r="DB18" s="619"/>
      <c r="DC18" s="829"/>
      <c r="DD18" s="619"/>
      <c r="DE18" s="619"/>
      <c r="DF18" s="619"/>
      <c r="DG18" s="619">
        <f>DG21*DG10</f>
      </c>
      <c r="DH18" s="829"/>
      <c r="DI18" s="619">
        <f>DI21*DI10</f>
      </c>
      <c r="DJ18" s="619">
        <f>DJ21*DJ10</f>
      </c>
      <c r="DK18" s="619">
        <f>DK21*DK10</f>
      </c>
      <c r="DL18" s="619">
        <f>DL21*DL10</f>
      </c>
      <c r="DM18" s="829">
        <f>SUM(DI18:DL18)</f>
      </c>
      <c r="DN18" s="619">
        <f>DN21*DN10</f>
      </c>
      <c r="DO18" s="619">
        <f>DO21*DO10</f>
      </c>
      <c r="DP18" s="619">
        <f>DP21*DP10</f>
      </c>
      <c r="DQ18" s="619">
        <f>DQ21*DQ10</f>
      </c>
      <c r="DR18" s="829">
        <f>SUM(DN18:DQ18)</f>
      </c>
      <c r="DS18" s="619">
        <f>DS21*DS10</f>
      </c>
      <c r="DT18" s="619">
        <f>DT21*DT10</f>
      </c>
      <c r="DU18" s="619">
        <f>DU21*DU10</f>
      </c>
      <c r="DV18" s="619">
        <f>DV21*DV10</f>
      </c>
      <c r="DW18" s="829">
        <f>SUM(DS18:DV18)</f>
      </c>
      <c r="DX18" s="619">
        <f>DX21*DX10</f>
      </c>
      <c r="DY18" s="619">
        <f>DY21*DY10</f>
      </c>
      <c r="DZ18" s="619">
        <f>DZ21*DZ10</f>
      </c>
      <c r="EA18" s="619">
        <f>EA21*EA10</f>
      </c>
      <c r="EB18" s="829">
        <f>SUM(DX18:EA18)</f>
      </c>
      <c r="EC18" s="619">
        <f>EC21*EC10</f>
      </c>
      <c r="ED18" s="619">
        <f>ED21*ED10</f>
      </c>
      <c r="EE18" s="619">
        <f>EE21*EE10</f>
      </c>
      <c r="EF18" s="619">
        <f>EF21*EF10</f>
      </c>
      <c r="EG18" s="829">
        <f>SUM(EC18:EF18)</f>
      </c>
      <c r="EH18" s="619">
        <f>EH21*EH10</f>
      </c>
      <c r="EI18" s="619">
        <f>EI21*EI10</f>
      </c>
      <c r="EJ18" s="619">
        <f>EJ21*EJ10</f>
      </c>
      <c r="EK18" s="619">
        <f>EK21*EK10</f>
      </c>
      <c r="EL18" s="829">
        <f>SUM(EH18:EK18)</f>
      </c>
      <c r="EM18" s="619">
        <f>EM21*EM10</f>
      </c>
      <c r="EN18" s="619">
        <f>EN21*EN10</f>
      </c>
      <c r="EO18" s="619">
        <f>EO21*EO10</f>
      </c>
      <c r="EP18" s="619">
        <f>EP21*EP10</f>
      </c>
      <c r="EQ18" s="829">
        <f>SUM(EM18:EP18)</f>
      </c>
      <c r="ER18" s="619">
        <f>ER21*ER10</f>
      </c>
      <c r="ES18" s="619">
        <f>ES21*ES10</f>
      </c>
      <c r="ET18" s="619">
        <f>ET21*ET10</f>
      </c>
      <c r="EU18" s="619">
        <f>EU21*EU10</f>
      </c>
      <c r="EV18" s="829">
        <f>SUM(ER18:EU18)</f>
      </c>
      <c r="EW18" s="619">
        <f>EW21*EW10</f>
      </c>
      <c r="EX18" s="619">
        <f>EX21*EX10</f>
      </c>
      <c r="EY18" s="619">
        <f>EY21*EY10</f>
      </c>
      <c r="EZ18" s="619">
        <f>EZ21*EZ10</f>
      </c>
      <c r="FA18" s="829">
        <f>SUM(EW18:EZ18)</f>
      </c>
      <c r="FB18" s="619">
        <f>FB21*FB10</f>
      </c>
      <c r="FC18" s="619"/>
      <c r="FD18" s="619"/>
      <c r="FE18" s="619"/>
      <c r="FF18" s="829"/>
      <c r="FG18" s="619"/>
      <c r="FH18" s="619"/>
      <c r="FI18" s="619"/>
      <c r="FJ18" s="619"/>
      <c r="FK18" s="829"/>
      <c r="FL18" s="619"/>
      <c r="FM18" s="619"/>
      <c r="FN18" s="619"/>
      <c r="FO18" s="619"/>
      <c r="FP18" s="829"/>
      <c r="FQ18" s="619"/>
      <c r="FR18" s="619"/>
      <c r="FS18" s="619"/>
      <c r="FT18" s="619"/>
      <c r="FU18" s="829"/>
      <c r="FV18" s="619"/>
      <c r="FW18" s="619"/>
      <c r="FX18" s="619"/>
      <c r="FY18" s="619"/>
      <c r="FZ18" s="829"/>
      <c r="GA18" s="619"/>
      <c r="GB18" s="619"/>
      <c r="GC18" s="619"/>
      <c r="GD18" s="619"/>
      <c r="GE18" s="829"/>
      <c r="GF18" s="619"/>
      <c r="GG18" s="619"/>
      <c r="GH18" s="619"/>
      <c r="GI18" s="619"/>
      <c r="GJ18" s="829"/>
    </row>
    <row r="19" spans="1:192" s="911" customFormat="1" ht="12.75" customHeight="1">
      <c r="A19" s="818"/>
      <c r="B19" s="753" t="s">
        <v>34</v>
      </c>
      <c r="C19" s="914"/>
      <c r="D19" s="914"/>
      <c r="E19" s="914"/>
      <c r="F19" s="914"/>
      <c r="G19" s="915"/>
      <c r="H19" s="914"/>
      <c r="I19" s="914"/>
      <c r="J19" s="914"/>
      <c r="K19" s="914"/>
      <c r="L19" s="915"/>
      <c r="M19" s="914"/>
      <c r="N19" s="914"/>
      <c r="O19" s="914"/>
      <c r="P19" s="914"/>
      <c r="Q19" s="915"/>
      <c r="R19" s="914"/>
      <c r="S19" s="914"/>
      <c r="T19" s="914"/>
      <c r="U19" s="914"/>
      <c r="V19" s="915"/>
      <c r="W19" s="914"/>
      <c r="X19" s="914"/>
      <c r="Y19" s="914"/>
      <c r="Z19" s="914"/>
      <c r="AA19" s="915"/>
      <c r="AB19" s="914"/>
      <c r="AC19" s="914"/>
      <c r="AD19" s="914"/>
      <c r="AE19" s="914"/>
      <c r="AF19" s="915"/>
      <c r="AG19" s="914"/>
      <c r="AH19" s="914"/>
      <c r="AI19" s="914"/>
      <c r="AJ19" s="914"/>
      <c r="AK19" s="915"/>
      <c r="AL19" s="914"/>
      <c r="AM19" s="914"/>
      <c r="AN19" s="914"/>
      <c r="AO19" s="914"/>
      <c r="AP19" s="915"/>
      <c r="AQ19" s="914"/>
      <c r="AR19" s="914"/>
      <c r="AS19" s="914"/>
      <c r="AT19" s="914"/>
      <c r="AU19" s="915"/>
      <c r="AV19" s="914"/>
      <c r="AW19" s="914"/>
      <c r="AX19" s="914"/>
      <c r="AY19" s="914"/>
      <c r="AZ19" s="915"/>
      <c r="BA19" s="914"/>
      <c r="BB19" s="914"/>
      <c r="BC19" s="914"/>
      <c r="BD19" s="914"/>
      <c r="BE19" s="915"/>
      <c r="BF19" s="914"/>
      <c r="BG19" s="914"/>
      <c r="BH19" s="914"/>
      <c r="BI19" s="914"/>
      <c r="BJ19" s="915"/>
      <c r="BK19" s="914"/>
      <c r="BL19" s="914"/>
      <c r="BM19" s="914"/>
      <c r="BN19" s="914"/>
      <c r="BO19" s="915"/>
      <c r="BP19" s="914"/>
      <c r="BQ19" s="914"/>
      <c r="BR19" s="914"/>
      <c r="BS19" s="914"/>
      <c r="BT19" s="915"/>
      <c r="BU19" s="914"/>
      <c r="BV19" s="914"/>
      <c r="BW19" s="914"/>
      <c r="BX19" s="914"/>
      <c r="BY19" s="915"/>
      <c r="BZ19" s="914"/>
      <c r="CA19" s="914"/>
      <c r="CB19" s="914"/>
      <c r="CC19" s="914"/>
      <c r="CD19" s="915"/>
      <c r="CE19" s="914"/>
      <c r="CF19" s="914"/>
      <c r="CG19" s="914"/>
      <c r="CH19" s="914"/>
      <c r="CI19" s="915"/>
      <c r="CJ19" s="914"/>
      <c r="CK19" s="914"/>
      <c r="CL19" s="914"/>
      <c r="CM19" s="914"/>
      <c r="CN19" s="915"/>
      <c r="CO19" s="914"/>
      <c r="CP19" s="914"/>
      <c r="CQ19" s="914"/>
      <c r="CR19" s="914"/>
      <c r="CS19" s="915"/>
      <c r="CT19" s="914"/>
      <c r="CU19" s="914"/>
      <c r="CV19" s="914"/>
      <c r="CW19" s="914"/>
      <c r="CX19" s="915"/>
      <c r="CY19" s="914"/>
      <c r="CZ19" s="914"/>
      <c r="DA19" s="914"/>
      <c r="DB19" s="914"/>
      <c r="DC19" s="915"/>
      <c r="DD19" s="914"/>
      <c r="DE19" s="914"/>
      <c r="DF19" s="914"/>
      <c r="DG19" s="914"/>
      <c r="DH19" s="915"/>
      <c r="DI19" s="914" t="str">
        <f t="shared" ref="DI19:ET19" si="8">IFERROR(DI18/DD18-1,"")</f>
      </c>
      <c r="DJ19" s="914" t="str">
        <f t="shared" si="8"/>
      </c>
      <c r="DK19" s="914" t="str">
        <f t="shared" si="8"/>
      </c>
      <c r="DL19" s="914">
        <f t="shared" si="8"/>
      </c>
      <c r="DM19" s="915" t="str">
        <f t="shared" si="8"/>
      </c>
      <c r="DN19" s="914">
        <f t="shared" si="8"/>
      </c>
      <c r="DO19" s="914">
        <f t="shared" si="8"/>
      </c>
      <c r="DP19" s="914">
        <f t="shared" si="8"/>
      </c>
      <c r="DQ19" s="914">
        <f t="shared" si="8"/>
      </c>
      <c r="DR19" s="915">
        <f t="shared" si="8"/>
      </c>
      <c r="DS19" s="914">
        <f t="shared" si="8"/>
      </c>
      <c r="DT19" s="914">
        <f t="shared" si="8"/>
      </c>
      <c r="DU19" s="914">
        <f t="shared" si="8"/>
      </c>
      <c r="DV19" s="914">
        <f t="shared" si="8"/>
      </c>
      <c r="DW19" s="915">
        <f t="shared" si="8"/>
      </c>
      <c r="DX19" s="914">
        <f t="shared" si="8"/>
      </c>
      <c r="DY19" s="914">
        <f t="shared" si="8"/>
      </c>
      <c r="DZ19" s="914">
        <f t="shared" si="8"/>
      </c>
      <c r="EA19" s="914">
        <f t="shared" si="8"/>
      </c>
      <c r="EB19" s="915">
        <f t="shared" si="8"/>
      </c>
      <c r="EC19" s="914">
        <f t="shared" si="8"/>
      </c>
      <c r="ED19" s="914">
        <f t="shared" si="8"/>
      </c>
      <c r="EE19" s="914">
        <f t="shared" si="8"/>
      </c>
      <c r="EF19" s="914">
        <f t="shared" si="8"/>
      </c>
      <c r="EG19" s="915">
        <f t="shared" si="8"/>
      </c>
      <c r="EH19" s="914">
        <f t="shared" si="8"/>
      </c>
      <c r="EI19" s="914">
        <f t="shared" si="8"/>
      </c>
      <c r="EJ19" s="914">
        <f t="shared" si="8"/>
      </c>
      <c r="EK19" s="914">
        <f t="shared" si="8"/>
      </c>
      <c r="EL19" s="915">
        <f t="shared" si="8"/>
      </c>
      <c r="EM19" s="914">
        <f t="shared" si="8"/>
      </c>
      <c r="EN19" s="914">
        <f t="shared" si="8"/>
      </c>
      <c r="EO19" s="914">
        <f t="shared" si="8"/>
      </c>
      <c r="EP19" s="914">
        <f t="shared" si="8"/>
      </c>
      <c r="EQ19" s="915">
        <f t="shared" si="8"/>
      </c>
      <c r="ER19" s="914">
        <f t="shared" si="8"/>
      </c>
      <c r="ES19" s="914">
        <f t="shared" si="8"/>
      </c>
      <c r="ET19" s="914">
        <f t="shared" si="8"/>
      </c>
      <c r="EU19" s="914">
        <f>IFERROR(EU18/EP18-1,"")</f>
      </c>
      <c r="EV19" s="915">
        <f>IFERROR(EV18/EQ18-1,"")</f>
      </c>
      <c r="EW19" s="914">
        <f t="shared" ref="EW19:FB19" si="9">IFERROR(EW18/ER18-1,"")</f>
      </c>
      <c r="EX19" s="914">
        <f t="shared" si="9"/>
      </c>
      <c r="EY19" s="914">
        <f t="shared" si="9"/>
      </c>
      <c r="EZ19" s="914">
        <f t="shared" si="9"/>
      </c>
      <c r="FA19" s="915">
        <f>IFERROR(FA18/EV18-1,"")</f>
      </c>
      <c r="FB19" s="914">
        <f t="shared" si="9"/>
      </c>
      <c r="FC19" s="914"/>
      <c r="FD19" s="914"/>
      <c r="FE19" s="914"/>
      <c r="FF19" s="915"/>
      <c r="FG19" s="914"/>
      <c r="FH19" s="914"/>
      <c r="FI19" s="914"/>
      <c r="FJ19" s="914"/>
      <c r="FK19" s="915"/>
      <c r="FL19" s="914"/>
      <c r="FM19" s="914"/>
      <c r="FN19" s="914"/>
      <c r="FO19" s="914"/>
      <c r="FP19" s="915"/>
      <c r="FQ19" s="914"/>
      <c r="FR19" s="914"/>
      <c r="FS19" s="914"/>
      <c r="FT19" s="914"/>
      <c r="FU19" s="915"/>
      <c r="FV19" s="914"/>
      <c r="FW19" s="914"/>
      <c r="FX19" s="914"/>
      <c r="FY19" s="914"/>
      <c r="FZ19" s="915"/>
      <c r="GA19" s="914"/>
      <c r="GB19" s="914"/>
      <c r="GC19" s="914"/>
      <c r="GD19" s="914"/>
      <c r="GE19" s="915"/>
      <c r="GF19" s="914"/>
      <c r="GG19" s="914"/>
      <c r="GH19" s="914"/>
      <c r="GI19" s="914"/>
      <c r="GJ19" s="915"/>
    </row>
    <row r="20" spans="1:192" s="911" customFormat="1" ht="12.75" customHeight="1">
      <c r="A20" s="818"/>
      <c r="B20" s="753" t="s">
        <v>36</v>
      </c>
      <c r="C20" s="912"/>
      <c r="D20" s="912"/>
      <c r="E20" s="912"/>
      <c r="F20" s="912"/>
      <c r="G20" s="913"/>
      <c r="H20" s="912"/>
      <c r="I20" s="912"/>
      <c r="J20" s="912"/>
      <c r="K20" s="912"/>
      <c r="L20" s="913"/>
      <c r="M20" s="912"/>
      <c r="N20" s="912"/>
      <c r="O20" s="912"/>
      <c r="P20" s="912"/>
      <c r="Q20" s="913"/>
      <c r="R20" s="912"/>
      <c r="S20" s="912"/>
      <c r="T20" s="912"/>
      <c r="U20" s="912"/>
      <c r="V20" s="913"/>
      <c r="W20" s="912"/>
      <c r="X20" s="912"/>
      <c r="Y20" s="912"/>
      <c r="Z20" s="912"/>
      <c r="AA20" s="913"/>
      <c r="AB20" s="912"/>
      <c r="AC20" s="912"/>
      <c r="AD20" s="912"/>
      <c r="AE20" s="912"/>
      <c r="AF20" s="913"/>
      <c r="AG20" s="912"/>
      <c r="AH20" s="912"/>
      <c r="AI20" s="912"/>
      <c r="AJ20" s="912"/>
      <c r="AK20" s="913"/>
      <c r="AL20" s="912"/>
      <c r="AM20" s="912"/>
      <c r="AN20" s="912"/>
      <c r="AO20" s="912"/>
      <c r="AP20" s="913"/>
      <c r="AQ20" s="912"/>
      <c r="AR20" s="912"/>
      <c r="AS20" s="912"/>
      <c r="AT20" s="912"/>
      <c r="AU20" s="913"/>
      <c r="AV20" s="912"/>
      <c r="AW20" s="912"/>
      <c r="AX20" s="912"/>
      <c r="AY20" s="912"/>
      <c r="AZ20" s="913"/>
      <c r="BA20" s="912"/>
      <c r="BB20" s="912"/>
      <c r="BC20" s="912"/>
      <c r="BD20" s="912"/>
      <c r="BE20" s="913"/>
      <c r="BF20" s="912"/>
      <c r="BG20" s="912"/>
      <c r="BH20" s="912"/>
      <c r="BI20" s="912"/>
      <c r="BJ20" s="913"/>
      <c r="BK20" s="912"/>
      <c r="BL20" s="912"/>
      <c r="BM20" s="912"/>
      <c r="BN20" s="912"/>
      <c r="BO20" s="913"/>
      <c r="BP20" s="912"/>
      <c r="BQ20" s="912"/>
      <c r="BR20" s="912"/>
      <c r="BS20" s="912"/>
      <c r="BT20" s="913"/>
      <c r="BU20" s="912"/>
      <c r="BV20" s="912"/>
      <c r="BW20" s="912"/>
      <c r="BX20" s="912"/>
      <c r="BY20" s="913"/>
      <c r="BZ20" s="912"/>
      <c r="CA20" s="912"/>
      <c r="CB20" s="912"/>
      <c r="CC20" s="912"/>
      <c r="CD20" s="913"/>
      <c r="CE20" s="912"/>
      <c r="CF20" s="912"/>
      <c r="CG20" s="912"/>
      <c r="CH20" s="912"/>
      <c r="CI20" s="913"/>
      <c r="CJ20" s="912"/>
      <c r="CK20" s="912"/>
      <c r="CL20" s="912"/>
      <c r="CM20" s="912"/>
      <c r="CN20" s="913"/>
      <c r="CO20" s="912"/>
      <c r="CP20" s="912"/>
      <c r="CQ20" s="912"/>
      <c r="CR20" s="912"/>
      <c r="CS20" s="913"/>
      <c r="CT20" s="912"/>
      <c r="CU20" s="912"/>
      <c r="CV20" s="912"/>
      <c r="CW20" s="912"/>
      <c r="CX20" s="913"/>
      <c r="CY20" s="914"/>
      <c r="CZ20" s="914"/>
      <c r="DA20" s="914"/>
      <c r="DB20" s="914"/>
      <c r="DC20" s="913"/>
      <c r="DD20" s="914"/>
      <c r="DE20" s="914"/>
      <c r="DF20" s="914"/>
      <c r="DG20" s="914"/>
      <c r="DH20" s="913"/>
      <c r="DI20" s="914">
        <f>DI18/DG18-1</f>
      </c>
      <c r="DJ20" s="914">
        <f>DJ18/DI18-1</f>
      </c>
      <c r="DK20" s="914">
        <f>DK18/DJ18-1</f>
      </c>
      <c r="DL20" s="914">
        <f>DL18/DK18-1</f>
      </c>
      <c r="DM20" s="913"/>
      <c r="DN20" s="914">
        <f>DN18/DL18-1</f>
      </c>
      <c r="DO20" s="914">
        <f>DO18/DN18-1</f>
      </c>
      <c r="DP20" s="914">
        <f>DP18/DO18-1</f>
      </c>
      <c r="DQ20" s="914">
        <f>DQ18/DP18-1</f>
      </c>
      <c r="DR20" s="913"/>
      <c r="DS20" s="914">
        <f>DS18/DQ18-1</f>
      </c>
      <c r="DT20" s="914">
        <f>DT18/DS18-1</f>
      </c>
      <c r="DU20" s="914">
        <f>DU18/DT18-1</f>
      </c>
      <c r="DV20" s="914">
        <f>DV18/DU18-1</f>
      </c>
      <c r="DW20" s="913"/>
      <c r="DX20" s="914">
        <f>DX18/DV18-1</f>
      </c>
      <c r="DY20" s="914">
        <f>DY18/DX18-1</f>
      </c>
      <c r="DZ20" s="914">
        <f>DZ18/DY18-1</f>
      </c>
      <c r="EA20" s="914">
        <f>EA18/DZ18-1</f>
      </c>
      <c r="EB20" s="913"/>
      <c r="EC20" s="914">
        <f>EC18/EA18-1</f>
      </c>
      <c r="ED20" s="914">
        <f>ED18/EC18-1</f>
      </c>
      <c r="EE20" s="914">
        <f>EE18/ED18-1</f>
      </c>
      <c r="EF20" s="914">
        <f>EF18/EE18-1</f>
      </c>
      <c r="EG20" s="913"/>
      <c r="EH20" s="914">
        <f>EH18/EF18-1</f>
      </c>
      <c r="EI20" s="914">
        <f>EI18/EH18-1</f>
      </c>
      <c r="EJ20" s="914">
        <f>EJ18/EI18-1</f>
      </c>
      <c r="EK20" s="914">
        <f>EK18/EJ18-1</f>
      </c>
      <c r="EL20" s="913"/>
      <c r="EM20" s="914">
        <f>EM18/EK18-1</f>
      </c>
      <c r="EN20" s="914">
        <f>EN18/EM18-1</f>
      </c>
      <c r="EO20" s="914">
        <f>EO18/EN18-1</f>
      </c>
      <c r="EP20" s="914">
        <f>EP18/EO18-1</f>
      </c>
      <c r="EQ20" s="913"/>
      <c r="ER20" s="914">
        <f>ER18/EP18-1</f>
      </c>
      <c r="ES20" s="914">
        <f>ES18/ER18-1</f>
      </c>
      <c r="ET20" s="914">
        <f>ET18/ES18-1</f>
      </c>
      <c r="EU20" s="914">
        <f>EU18/ET18-1</f>
      </c>
      <c r="EV20" s="913"/>
      <c r="EW20" s="914">
        <f>EW18/EU18-1</f>
      </c>
      <c r="EX20" s="914">
        <f>EX18/EW18-1</f>
      </c>
      <c r="EY20" s="914">
        <f>EY18/EX18-1</f>
      </c>
      <c r="EZ20" s="914">
        <f>EZ18/EY18-1</f>
      </c>
      <c r="FA20" s="913"/>
      <c r="FB20" s="914">
        <f>FB18/EZ18-1</f>
      </c>
      <c r="FC20" s="912"/>
      <c r="FD20" s="912"/>
      <c r="FE20" s="912"/>
      <c r="FF20" s="913"/>
      <c r="FG20" s="912"/>
      <c r="FH20" s="912"/>
      <c r="FI20" s="912"/>
      <c r="FJ20" s="912"/>
      <c r="FK20" s="913"/>
      <c r="FL20" s="912"/>
      <c r="FM20" s="912"/>
      <c r="FN20" s="912"/>
      <c r="FO20" s="912"/>
      <c r="FP20" s="913"/>
      <c r="FQ20" s="912"/>
      <c r="FR20" s="912"/>
      <c r="FS20" s="912"/>
      <c r="FT20" s="912"/>
      <c r="FU20" s="913"/>
      <c r="FV20" s="912"/>
      <c r="FW20" s="912"/>
      <c r="FX20" s="912"/>
      <c r="FY20" s="912"/>
      <c r="FZ20" s="913"/>
      <c r="GA20" s="912"/>
      <c r="GB20" s="912"/>
      <c r="GC20" s="912"/>
      <c r="GD20" s="912"/>
      <c r="GE20" s="913"/>
      <c r="GF20" s="912"/>
      <c r="GG20" s="912"/>
      <c r="GH20" s="912"/>
      <c r="GI20" s="912"/>
      <c r="GJ20" s="913"/>
    </row>
    <row r="21" spans="1:192" s="687" customFormat="1" ht="12.75" customHeight="1">
      <c r="A21" s="370" t="s">
        <v>334</v>
      </c>
      <c r="B21" s="753" t="s">
        <v>259</v>
      </c>
      <c r="C21" s="907"/>
      <c r="D21" s="907"/>
      <c r="E21" s="907"/>
      <c r="F21" s="907"/>
      <c r="G21" s="856"/>
      <c r="H21" s="907"/>
      <c r="I21" s="907"/>
      <c r="J21" s="907"/>
      <c r="K21" s="907"/>
      <c r="L21" s="856"/>
      <c r="M21" s="907"/>
      <c r="N21" s="907"/>
      <c r="O21" s="907"/>
      <c r="P21" s="907"/>
      <c r="Q21" s="856"/>
      <c r="R21" s="907"/>
      <c r="S21" s="907"/>
      <c r="T21" s="907"/>
      <c r="U21" s="907"/>
      <c r="V21" s="856"/>
      <c r="W21" s="907"/>
      <c r="X21" s="907"/>
      <c r="Y21" s="907"/>
      <c r="Z21" s="907"/>
      <c r="AA21" s="856"/>
      <c r="AB21" s="907"/>
      <c r="AC21" s="907"/>
      <c r="AD21" s="907"/>
      <c r="AE21" s="907"/>
      <c r="AF21" s="856"/>
      <c r="AG21" s="907"/>
      <c r="AH21" s="907"/>
      <c r="AI21" s="907"/>
      <c r="AJ21" s="907"/>
      <c r="AK21" s="856"/>
      <c r="AL21" s="907"/>
      <c r="AM21" s="907"/>
      <c r="AN21" s="907"/>
      <c r="AO21" s="907"/>
      <c r="AP21" s="856"/>
      <c r="AQ21" s="907"/>
      <c r="AR21" s="907"/>
      <c r="AS21" s="907"/>
      <c r="AT21" s="907"/>
      <c r="AU21" s="856"/>
      <c r="AV21" s="907"/>
      <c r="AW21" s="907"/>
      <c r="AX21" s="907"/>
      <c r="AY21" s="907"/>
      <c r="AZ21" s="856"/>
      <c r="BA21" s="907"/>
      <c r="BB21" s="907"/>
      <c r="BC21" s="907"/>
      <c r="BD21" s="907"/>
      <c r="BE21" s="856"/>
      <c r="BF21" s="907"/>
      <c r="BG21" s="907"/>
      <c r="BH21" s="907"/>
      <c r="BI21" s="907"/>
      <c r="BJ21" s="856"/>
      <c r="BK21" s="907"/>
      <c r="BL21" s="907"/>
      <c r="BM21" s="907"/>
      <c r="BN21" s="907"/>
      <c r="BO21" s="856"/>
      <c r="BP21" s="907"/>
      <c r="BQ21" s="907"/>
      <c r="BR21" s="907"/>
      <c r="BS21" s="907"/>
      <c r="BT21" s="856"/>
      <c r="BU21" s="907"/>
      <c r="BV21" s="907"/>
      <c r="BW21" s="907"/>
      <c r="BX21" s="907"/>
      <c r="BY21" s="856"/>
      <c r="BZ21" s="907"/>
      <c r="CA21" s="907"/>
      <c r="CB21" s="907"/>
      <c r="CC21" s="907"/>
      <c r="CD21" s="856"/>
      <c r="CE21" s="907"/>
      <c r="CF21" s="907"/>
      <c r="CG21" s="907"/>
      <c r="CH21" s="907"/>
      <c r="CI21" s="856"/>
      <c r="CJ21" s="907"/>
      <c r="CK21" s="907"/>
      <c r="CL21" s="907"/>
      <c r="CM21" s="907"/>
      <c r="CN21" s="856"/>
      <c r="CO21" s="907"/>
      <c r="CP21" s="907"/>
      <c r="CQ21" s="907"/>
      <c r="CR21" s="907"/>
      <c r="CS21" s="856"/>
      <c r="CT21" s="907"/>
      <c r="CU21" s="907"/>
      <c r="CV21" s="907"/>
      <c r="CW21" s="907"/>
      <c r="CX21" s="856"/>
      <c r="CY21" s="907"/>
      <c r="CZ21" s="907"/>
      <c r="DA21" s="907"/>
      <c r="DB21" s="907"/>
      <c r="DC21" s="856"/>
      <c r="DD21" s="907"/>
      <c r="DE21" s="907"/>
      <c r="DF21" s="907"/>
      <c r="DG21" s="907">
        <v>0.42</v>
      </c>
      <c r="DH21" s="856"/>
      <c r="DI21" s="973">
        <v>0.49</v>
      </c>
      <c r="DJ21" s="973">
        <v>0.48</v>
      </c>
      <c r="DK21" s="973">
        <v>0.51</v>
      </c>
      <c r="DL21" s="973">
        <v>0.52</v>
      </c>
      <c r="DM21" s="846">
        <f>DM18/DM10</f>
      </c>
      <c r="DN21" s="907">
        <v>0.56999999999999995</v>
      </c>
      <c r="DO21" s="907">
        <v>0.55000000000000004</v>
      </c>
      <c r="DP21" s="907">
        <v>0.56999999999999995</v>
      </c>
      <c r="DQ21" s="908">
        <v>0.59</v>
      </c>
      <c r="DR21" s="846">
        <f>DR18/DR10</f>
      </c>
      <c r="DS21" s="907">
        <v>0.62</v>
      </c>
      <c r="DT21" s="907">
        <v>0.62</v>
      </c>
      <c r="DU21" s="907">
        <v>0.63</v>
      </c>
      <c r="DV21" s="907">
        <v>0.65</v>
      </c>
      <c r="DW21" s="846">
        <f>DW18/DW10</f>
      </c>
      <c r="DX21" s="907">
        <v>0.66</v>
      </c>
      <c r="DY21" s="907">
        <v>0.67</v>
      </c>
      <c r="DZ21" s="907">
        <v>0.67</v>
      </c>
      <c r="EA21" s="907">
        <v>0.66</v>
      </c>
      <c r="EB21" s="846">
        <f>EB18/EB10</f>
      </c>
      <c r="EC21" s="907">
        <v>0.71</v>
      </c>
      <c r="ED21" s="907">
        <v>0.71</v>
      </c>
      <c r="EE21" s="907">
        <v>0.7</v>
      </c>
      <c r="EF21" s="907">
        <v>0.7</v>
      </c>
      <c r="EG21" s="846">
        <f>EG18/EG10</f>
      </c>
      <c r="EH21" s="907">
        <v>0.71</v>
      </c>
      <c r="EI21" s="907">
        <v>0.7</v>
      </c>
      <c r="EJ21" s="907">
        <v>0.7</v>
      </c>
      <c r="EK21" s="907">
        <v>0.69</v>
      </c>
      <c r="EL21" s="846">
        <f>EL18/EL10</f>
      </c>
      <c r="EM21" s="909">
        <v>0.73</v>
      </c>
      <c r="EN21" s="909">
        <v>0.72</v>
      </c>
      <c r="EO21" s="909">
        <v>0.72</v>
      </c>
      <c r="EP21" s="909">
        <v>0.72</v>
      </c>
      <c r="EQ21" s="846">
        <f>EQ18/EQ10</f>
      </c>
      <c r="ER21" s="907">
        <v>0.73</v>
      </c>
      <c r="ES21" s="907">
        <v>0.72</v>
      </c>
      <c r="ET21" s="909">
        <v>0.72</v>
      </c>
      <c r="EU21" s="909">
        <v>0.7</v>
      </c>
      <c r="EV21" s="856">
        <v>0.71</v>
      </c>
      <c r="EW21" s="909">
        <v>0.71</v>
      </c>
      <c r="EX21" s="909">
        <v>0.7</v>
      </c>
      <c r="EY21" s="909">
        <v>0.69</v>
      </c>
      <c r="EZ21" s="909">
        <v>0.68</v>
      </c>
      <c r="FA21" s="913"/>
      <c r="FB21" s="907">
        <v>0.67</v>
      </c>
      <c r="FC21" s="907"/>
      <c r="FD21" s="907"/>
      <c r="FE21" s="907"/>
      <c r="FF21" s="856"/>
      <c r="FG21" s="907"/>
      <c r="FH21" s="907"/>
      <c r="FI21" s="907"/>
      <c r="FJ21" s="907"/>
      <c r="FK21" s="856"/>
      <c r="FL21" s="907"/>
      <c r="FM21" s="907"/>
      <c r="FN21" s="907"/>
      <c r="FO21" s="907"/>
      <c r="FP21" s="856"/>
      <c r="FQ21" s="907"/>
      <c r="FR21" s="907"/>
      <c r="FS21" s="907"/>
      <c r="FT21" s="907"/>
      <c r="FU21" s="856"/>
      <c r="FV21" s="907"/>
      <c r="FW21" s="907"/>
      <c r="FX21" s="907"/>
      <c r="FY21" s="907"/>
      <c r="FZ21" s="856"/>
      <c r="GA21" s="907"/>
      <c r="GB21" s="907"/>
      <c r="GC21" s="907"/>
      <c r="GD21" s="907"/>
      <c r="GE21" s="856"/>
      <c r="GF21" s="907"/>
      <c r="GG21" s="907"/>
      <c r="GH21" s="907"/>
      <c r="GI21" s="907"/>
      <c r="GJ21" s="856"/>
    </row>
    <row r="22" spans="1:192" ht="12.75" customHeight="1">
      <c r="B22" s="727"/>
      <c r="C22" s="291"/>
      <c r="D22" s="107"/>
      <c r="E22" s="107"/>
      <c r="F22" s="107"/>
      <c r="G22" s="293"/>
      <c r="H22" s="291"/>
      <c r="I22" s="107"/>
      <c r="J22" s="107"/>
      <c r="K22" s="107"/>
      <c r="L22" s="293"/>
      <c r="M22" s="291"/>
      <c r="N22" s="107"/>
      <c r="O22" s="107"/>
      <c r="P22" s="107"/>
      <c r="Q22" s="293"/>
      <c r="R22" s="291"/>
      <c r="S22" s="107"/>
      <c r="T22" s="107"/>
      <c r="U22" s="107"/>
      <c r="V22" s="293"/>
      <c r="W22" s="291"/>
      <c r="X22" s="107"/>
      <c r="Y22" s="107"/>
      <c r="Z22" s="107"/>
      <c r="AA22" s="293"/>
      <c r="AB22" s="291"/>
      <c r="AC22" s="107"/>
      <c r="AD22" s="107"/>
      <c r="AE22" s="107"/>
      <c r="AF22" s="293"/>
      <c r="AG22" s="291"/>
      <c r="AH22" s="107"/>
      <c r="AI22" s="107"/>
      <c r="AJ22" s="107"/>
      <c r="AK22" s="293"/>
      <c r="AL22" s="291"/>
      <c r="AM22" s="107"/>
      <c r="AN22" s="107"/>
      <c r="AO22" s="107"/>
      <c r="AP22" s="293"/>
      <c r="AQ22" s="291"/>
      <c r="AR22" s="107"/>
      <c r="AS22" s="107"/>
      <c r="AT22" s="107"/>
      <c r="AU22" s="293"/>
      <c r="AV22" s="291"/>
      <c r="AW22" s="107"/>
      <c r="AX22" s="107"/>
      <c r="AY22" s="107"/>
      <c r="AZ22" s="293"/>
      <c r="BA22" s="291"/>
      <c r="BB22" s="107"/>
      <c r="BC22" s="107"/>
      <c r="BD22" s="107"/>
      <c r="BE22" s="293"/>
      <c r="BF22" s="291"/>
      <c r="BG22" s="107"/>
      <c r="BH22" s="107"/>
      <c r="BI22" s="107"/>
      <c r="BJ22" s="293"/>
      <c r="BK22" s="291"/>
      <c r="BL22" s="107"/>
      <c r="BM22" s="107"/>
      <c r="BN22" s="107"/>
      <c r="BO22" s="293"/>
      <c r="BP22" s="291"/>
      <c r="BQ22" s="107"/>
      <c r="BR22" s="107"/>
      <c r="BS22" s="107"/>
      <c r="BT22" s="293"/>
      <c r="BU22" s="291"/>
      <c r="BV22" s="107"/>
      <c r="BW22" s="107"/>
      <c r="BX22" s="107"/>
      <c r="BY22" s="293"/>
      <c r="BZ22" s="291"/>
      <c r="CA22" s="107"/>
      <c r="CB22" s="107"/>
      <c r="CC22" s="107"/>
      <c r="CD22" s="293"/>
      <c r="CE22" s="291"/>
      <c r="CF22" s="107"/>
      <c r="CG22" s="107"/>
      <c r="CH22" s="107"/>
      <c r="CI22" s="293"/>
      <c r="CJ22" s="291"/>
      <c r="CK22" s="107"/>
      <c r="CL22" s="107"/>
      <c r="CM22" s="107"/>
      <c r="CN22" s="293"/>
      <c r="CO22" s="291"/>
      <c r="CP22" s="107"/>
      <c r="CQ22" s="107"/>
      <c r="CR22" s="107"/>
      <c r="CS22" s="293"/>
      <c r="CT22" s="291"/>
      <c r="CU22" s="107"/>
      <c r="CV22" s="107"/>
      <c r="CW22" s="107"/>
      <c r="CX22" s="293"/>
      <c r="CY22" s="291"/>
      <c r="CZ22" s="107"/>
      <c r="DA22" s="107"/>
      <c r="DB22" s="107"/>
      <c r="DC22" s="293"/>
      <c r="DD22" s="291"/>
      <c r="DE22" s="107"/>
      <c r="DF22" s="107"/>
      <c r="DG22" s="107"/>
      <c r="DH22" s="293"/>
      <c r="DI22" s="291"/>
      <c r="DJ22" s="107"/>
      <c r="DK22" s="107"/>
      <c r="DL22" s="107"/>
      <c r="DM22" s="293"/>
      <c r="DN22" s="291"/>
      <c r="DO22" s="107"/>
      <c r="DP22" s="107"/>
      <c r="DQ22" s="107"/>
      <c r="DR22" s="293"/>
      <c r="DS22" s="291"/>
      <c r="DT22" s="107"/>
      <c r="DU22" s="107"/>
      <c r="DV22" s="107"/>
      <c r="DW22" s="293"/>
      <c r="DX22" s="291"/>
      <c r="DY22" s="107"/>
      <c r="DZ22" s="107"/>
      <c r="EA22" s="107"/>
      <c r="EB22" s="293"/>
      <c r="EC22" s="291"/>
      <c r="ED22" s="107"/>
      <c r="EE22" s="107"/>
      <c r="EF22" s="107"/>
      <c r="EG22" s="293"/>
      <c r="EH22" s="291"/>
      <c r="EI22" s="107"/>
      <c r="EJ22" s="107"/>
      <c r="EK22" s="107"/>
      <c r="EL22" s="293"/>
      <c r="EM22" s="291"/>
      <c r="EN22" s="107"/>
      <c r="EO22" s="107"/>
      <c r="EP22" s="107"/>
      <c r="EQ22" s="293"/>
      <c r="ER22" s="291"/>
      <c r="ES22" s="107"/>
      <c r="ET22" s="107"/>
      <c r="EU22" s="107"/>
      <c r="EV22" s="293"/>
      <c r="EW22" s="291"/>
      <c r="EX22" s="107"/>
      <c r="EY22" s="107"/>
      <c r="EZ22" s="107"/>
      <c r="FA22" s="293"/>
      <c r="FB22" s="291"/>
      <c r="FC22" s="107"/>
      <c r="FD22" s="107"/>
      <c r="FE22" s="107"/>
      <c r="FF22" s="293"/>
      <c r="FG22" s="291"/>
      <c r="FH22" s="107"/>
      <c r="FI22" s="107"/>
      <c r="FJ22" s="107"/>
      <c r="FK22" s="293"/>
      <c r="FL22" s="291"/>
      <c r="FM22" s="107"/>
      <c r="FN22" s="107"/>
      <c r="FO22" s="107"/>
      <c r="FP22" s="293"/>
      <c r="FQ22" s="291"/>
      <c r="FR22" s="107"/>
      <c r="FS22" s="107"/>
      <c r="FT22" s="107"/>
      <c r="FU22" s="293"/>
      <c r="FV22" s="291"/>
      <c r="FW22" s="107"/>
      <c r="FX22" s="107"/>
      <c r="FY22" s="107"/>
      <c r="FZ22" s="293"/>
      <c r="GA22" s="291"/>
      <c r="GB22" s="107"/>
      <c r="GC22" s="107"/>
      <c r="GD22" s="107"/>
      <c r="GE22" s="293"/>
      <c r="GF22" s="291"/>
      <c r="GG22" s="107"/>
      <c r="GH22" s="107"/>
      <c r="GI22" s="107"/>
      <c r="GJ22" s="293"/>
    </row>
    <row r="23" spans="1:192" s="1141" customFormat="1" ht="12.75" customHeight="1">
      <c r="A23" s="280" t="s">
        <v>2034</v>
      </c>
      <c r="B23" s="1421" t="s">
        <v>251</v>
      </c>
      <c r="C23" s="312"/>
      <c r="D23" s="312"/>
      <c r="E23" s="312"/>
      <c r="F23" s="312"/>
      <c r="G23" s="319"/>
      <c r="H23" s="312"/>
      <c r="I23" s="312"/>
      <c r="J23" s="312"/>
      <c r="K23" s="312"/>
      <c r="L23" s="319"/>
      <c r="M23" s="312"/>
      <c r="N23" s="312"/>
      <c r="O23" s="312"/>
      <c r="P23" s="312"/>
      <c r="Q23" s="319"/>
      <c r="R23" s="312"/>
      <c r="S23" s="312"/>
      <c r="T23" s="312"/>
      <c r="U23" s="312"/>
      <c r="V23" s="319"/>
      <c r="W23" s="312"/>
      <c r="X23" s="312"/>
      <c r="Y23" s="312"/>
      <c r="Z23" s="312"/>
      <c r="AA23" s="319"/>
      <c r="AB23" s="312"/>
      <c r="AC23" s="312"/>
      <c r="AD23" s="312"/>
      <c r="AE23" s="312"/>
      <c r="AF23" s="319"/>
      <c r="AG23" s="312"/>
      <c r="AH23" s="312"/>
      <c r="AI23" s="312"/>
      <c r="AJ23" s="312"/>
      <c r="AK23" s="319"/>
      <c r="AL23" s="312"/>
      <c r="AM23" s="312"/>
      <c r="AN23" s="312"/>
      <c r="AO23" s="312"/>
      <c r="AP23" s="319"/>
      <c r="AQ23" s="312"/>
      <c r="AR23" s="312"/>
      <c r="AS23" s="312"/>
      <c r="AT23" s="312"/>
      <c r="AU23" s="319"/>
      <c r="AV23" s="312"/>
      <c r="AW23" s="312"/>
      <c r="AX23" s="312"/>
      <c r="AY23" s="312"/>
      <c r="AZ23" s="319"/>
      <c r="BA23" s="312"/>
      <c r="BB23" s="312"/>
      <c r="BC23" s="312"/>
      <c r="BD23" s="312"/>
      <c r="BE23" s="319"/>
      <c r="BF23" s="312"/>
      <c r="BG23" s="312"/>
      <c r="BH23" s="312"/>
      <c r="BI23" s="312"/>
      <c r="BJ23" s="319"/>
      <c r="BK23" s="312"/>
      <c r="BL23" s="312"/>
      <c r="BM23" s="312"/>
      <c r="BN23" s="312"/>
      <c r="BO23" s="319"/>
      <c r="BP23" s="312"/>
      <c r="BQ23" s="312"/>
      <c r="BR23" s="312"/>
      <c r="BS23" s="312"/>
      <c r="BT23" s="319"/>
      <c r="BU23" s="312"/>
      <c r="BV23" s="312"/>
      <c r="BW23" s="312"/>
      <c r="BX23" s="312"/>
      <c r="BY23" s="319"/>
      <c r="BZ23" s="312"/>
      <c r="CA23" s="312"/>
      <c r="CB23" s="312"/>
      <c r="CC23" s="312"/>
      <c r="CD23" s="319"/>
      <c r="CE23" s="312"/>
      <c r="CF23" s="312"/>
      <c r="CG23" s="312"/>
      <c r="CH23" s="312"/>
      <c r="CI23" s="319"/>
      <c r="CJ23" s="312"/>
      <c r="CK23" s="312"/>
      <c r="CL23" s="312"/>
      <c r="CM23" s="312"/>
      <c r="CN23" s="319"/>
      <c r="CO23" s="312"/>
      <c r="CP23" s="312"/>
      <c r="CQ23" s="312"/>
      <c r="CR23" s="312"/>
      <c r="CS23" s="319"/>
      <c r="CT23" s="312"/>
      <c r="CU23" s="312"/>
      <c r="CV23" s="312"/>
      <c r="CW23" s="312"/>
      <c r="CX23" s="319"/>
      <c r="CY23" s="312"/>
      <c r="CZ23" s="312"/>
      <c r="DA23" s="312"/>
      <c r="DB23" s="312"/>
      <c r="DC23" s="319"/>
      <c r="DD23" s="312"/>
      <c r="DE23" s="312"/>
      <c r="DF23" s="312"/>
      <c r="DG23" s="1159"/>
      <c r="DH23" s="319"/>
      <c r="DI23" s="312"/>
      <c r="DJ23" s="312"/>
      <c r="DK23" s="312"/>
      <c r="DL23" s="312"/>
      <c r="DM23" s="319"/>
      <c r="DN23" s="312"/>
      <c r="DO23" s="312"/>
      <c r="DP23" s="312"/>
      <c r="DQ23" s="312"/>
      <c r="DR23" s="319"/>
      <c r="DS23" s="312"/>
      <c r="DT23" s="312">
        <f>DT10+(DT28-DS28)</f>
      </c>
      <c r="DU23" s="312">
        <f>DU10+(DU28-DT28)</f>
      </c>
      <c r="DV23" s="312">
        <f>DV10+(DV28-DU28)</f>
      </c>
      <c r="DW23" s="319"/>
      <c r="DX23" s="312">
        <f>DX10+(DX28-DW28)</f>
      </c>
      <c r="DY23" s="312">
        <f>DY10+(DY28-DX28)</f>
      </c>
      <c r="DZ23" s="312">
        <f>DZ10+(DZ28-DY28)</f>
      </c>
      <c r="EA23" s="312">
        <f>EA10+(EA28-DZ28)</f>
      </c>
      <c r="EB23" s="319">
        <f>SUM(DX23:EA23)</f>
      </c>
      <c r="EC23" s="312">
        <f>EC10+(EC28-EB28)</f>
      </c>
      <c r="ED23" s="312">
        <f>ED10+(ED28-EC28)</f>
      </c>
      <c r="EE23" s="312">
        <f>EE10+(EE28-ED28)</f>
      </c>
      <c r="EF23" s="312">
        <f>EF10+(EF28-EE28)</f>
      </c>
      <c r="EG23" s="319">
        <f>SUM(EC23:EF23)</f>
      </c>
      <c r="EH23" s="312">
        <f>EH10+(EH28-EG28)</f>
      </c>
      <c r="EI23" s="312">
        <f>EI10+(EI28-EH28)</f>
      </c>
      <c r="EJ23" s="312">
        <f>EJ10+(EJ28-EI28)</f>
      </c>
      <c r="EK23" s="312">
        <f>EK10+(EK28-EJ28)</f>
      </c>
      <c r="EL23" s="319">
        <f>SUM(EH23:EK23)</f>
      </c>
      <c r="EM23" s="312">
        <f>EM10+(EM28-EL28)</f>
      </c>
      <c r="EN23" s="312">
        <f>EN10+(EN28-EM28)</f>
      </c>
      <c r="EO23" s="312">
        <f>EO10+(EO28-EN28)</f>
      </c>
      <c r="EP23" s="312">
        <f>EP10+(EP28-EO28)</f>
      </c>
      <c r="EQ23" s="319">
        <f>SUM(EM23:EP23)</f>
      </c>
      <c r="ER23" s="312">
        <f>ER10+(ER28-EQ28)</f>
      </c>
      <c r="ES23" s="312">
        <f>ES10+(ES28-ER28)</f>
      </c>
      <c r="ET23" s="312">
        <f>ET10+(ET28-ES28)</f>
      </c>
      <c r="EU23" s="312">
        <f>EU10+(EU28-ET28)</f>
      </c>
      <c r="EV23" s="319">
        <f>SUM(ER23:EU23)</f>
      </c>
      <c r="EW23" s="312">
        <f>EW10+(EW28-EV28)</f>
      </c>
      <c r="EX23" s="312">
        <f>EX10+(EX28-EW28)</f>
      </c>
      <c r="EY23" s="312">
        <f>EY10+(EY28-EX28)</f>
      </c>
      <c r="EZ23" s="312">
        <f>EZ10+(EZ28-EY28)</f>
      </c>
      <c r="FA23" s="319">
        <f>SUM(EW23:EZ23)</f>
      </c>
      <c r="FB23" s="312"/>
      <c r="FC23" s="312"/>
      <c r="FD23" s="312"/>
      <c r="FE23" s="312"/>
      <c r="FF23" s="319"/>
      <c r="FG23" s="312"/>
      <c r="FH23" s="312"/>
      <c r="FI23" s="312"/>
      <c r="FJ23" s="312"/>
      <c r="FK23" s="319"/>
      <c r="FL23" s="312"/>
      <c r="FM23" s="312"/>
      <c r="FN23" s="312"/>
      <c r="FO23" s="312"/>
      <c r="FP23" s="319"/>
      <c r="FQ23" s="312"/>
      <c r="FR23" s="312"/>
      <c r="FS23" s="312"/>
      <c r="FT23" s="312"/>
      <c r="FU23" s="319"/>
      <c r="FV23" s="312"/>
      <c r="FW23" s="312"/>
      <c r="FX23" s="312"/>
      <c r="FY23" s="312"/>
      <c r="FZ23" s="319"/>
      <c r="GA23" s="312"/>
      <c r="GB23" s="312"/>
      <c r="GC23" s="312"/>
      <c r="GD23" s="312"/>
      <c r="GE23" s="319"/>
      <c r="GF23" s="312"/>
      <c r="GG23" s="312"/>
      <c r="GH23" s="312"/>
      <c r="GI23" s="312"/>
      <c r="GJ23" s="319"/>
    </row>
    <row r="24" spans="1:192" ht="12.75" customHeight="1">
      <c r="A24" s="68" t="s">
        <v>2035</v>
      </c>
      <c r="B24" s="727" t="s">
        <v>34</v>
      </c>
      <c r="C24" s="412"/>
      <c r="D24" s="114"/>
      <c r="E24" s="114"/>
      <c r="F24" s="114"/>
      <c r="G24" s="413"/>
      <c r="H24" s="412"/>
      <c r="I24" s="114"/>
      <c r="J24" s="114"/>
      <c r="K24" s="114"/>
      <c r="L24" s="413"/>
      <c r="M24" s="412"/>
      <c r="N24" s="114"/>
      <c r="O24" s="114"/>
      <c r="P24" s="114"/>
      <c r="Q24" s="413"/>
      <c r="R24" s="412"/>
      <c r="S24" s="114"/>
      <c r="T24" s="114"/>
      <c r="U24" s="114"/>
      <c r="V24" s="413"/>
      <c r="W24" s="412"/>
      <c r="X24" s="114"/>
      <c r="Y24" s="114"/>
      <c r="Z24" s="114"/>
      <c r="AA24" s="413"/>
      <c r="AB24" s="412"/>
      <c r="AC24" s="114"/>
      <c r="AD24" s="114"/>
      <c r="AE24" s="114"/>
      <c r="AF24" s="413"/>
      <c r="AG24" s="412"/>
      <c r="AH24" s="114"/>
      <c r="AI24" s="114"/>
      <c r="AJ24" s="114"/>
      <c r="AK24" s="413"/>
      <c r="AL24" s="412"/>
      <c r="AM24" s="114"/>
      <c r="AN24" s="114"/>
      <c r="AO24" s="114"/>
      <c r="AP24" s="413"/>
      <c r="AQ24" s="412"/>
      <c r="AR24" s="114"/>
      <c r="AS24" s="114"/>
      <c r="AT24" s="114"/>
      <c r="AU24" s="413"/>
      <c r="AV24" s="412"/>
      <c r="AW24" s="114"/>
      <c r="AX24" s="114"/>
      <c r="AY24" s="114"/>
      <c r="AZ24" s="413"/>
      <c r="BA24" s="412"/>
      <c r="BB24" s="114"/>
      <c r="BC24" s="114"/>
      <c r="BD24" s="114"/>
      <c r="BE24" s="413"/>
      <c r="BF24" s="412"/>
      <c r="BG24" s="114"/>
      <c r="BH24" s="114"/>
      <c r="BI24" s="114"/>
      <c r="BJ24" s="413"/>
      <c r="BK24" s="412"/>
      <c r="BL24" s="114"/>
      <c r="BM24" s="114"/>
      <c r="BN24" s="114"/>
      <c r="BO24" s="413"/>
      <c r="BP24" s="412"/>
      <c r="BQ24" s="114"/>
      <c r="BR24" s="114"/>
      <c r="BS24" s="114"/>
      <c r="BT24" s="413"/>
      <c r="BU24" s="412"/>
      <c r="BV24" s="114"/>
      <c r="BW24" s="114"/>
      <c r="BX24" s="114"/>
      <c r="BY24" s="413"/>
      <c r="BZ24" s="412"/>
      <c r="CA24" s="114"/>
      <c r="CB24" s="114"/>
      <c r="CC24" s="114"/>
      <c r="CD24" s="413"/>
      <c r="CE24" s="412"/>
      <c r="CF24" s="114"/>
      <c r="CG24" s="114"/>
      <c r="CH24" s="114"/>
      <c r="CI24" s="413"/>
      <c r="CJ24" s="412"/>
      <c r="CK24" s="114"/>
      <c r="CL24" s="114"/>
      <c r="CM24" s="114"/>
      <c r="CN24" s="413"/>
      <c r="CO24" s="412"/>
      <c r="CP24" s="114"/>
      <c r="CQ24" s="114"/>
      <c r="CR24" s="114"/>
      <c r="CS24" s="413"/>
      <c r="CT24" s="412"/>
      <c r="CU24" s="114"/>
      <c r="CV24" s="114"/>
      <c r="CW24" s="114"/>
      <c r="CX24" s="413"/>
      <c r="CY24" s="412"/>
      <c r="CZ24" s="114"/>
      <c r="DA24" s="114"/>
      <c r="DB24" s="114"/>
      <c r="DC24" s="413"/>
      <c r="DD24" s="412"/>
      <c r="DE24" s="114"/>
      <c r="DF24" s="114"/>
      <c r="DG24" s="114">
        <v>0.03</v>
      </c>
      <c r="DH24" s="413"/>
      <c r="DI24" s="971">
        <v>0.18</v>
      </c>
      <c r="DJ24" s="972">
        <v>7.0000000000000007E-2</v>
      </c>
      <c r="DK24" s="972">
        <v>0.12</v>
      </c>
      <c r="DL24" s="972">
        <v>0.3</v>
      </c>
      <c r="DM24" s="413"/>
      <c r="DN24" s="412">
        <v>0.14000000000000001</v>
      </c>
      <c r="DO24" s="114">
        <v>7.0000000000000007E-2</v>
      </c>
      <c r="DP24" s="114">
        <v>0.26</v>
      </c>
      <c r="DQ24" s="114">
        <v>0.18</v>
      </c>
      <c r="DR24" s="413"/>
      <c r="DS24" s="412">
        <v>0.15</v>
      </c>
      <c r="DT24" s="114">
        <v>0.18</v>
      </c>
      <c r="DU24" s="114">
        <v>0.3</v>
      </c>
      <c r="DV24" s="114">
        <v>0.22</v>
      </c>
      <c r="DW24" s="413"/>
      <c r="DX24" s="412">
        <v>0.3</v>
      </c>
      <c r="DY24" s="114">
        <v>0.31</v>
      </c>
      <c r="DZ24" s="114">
        <v>7.0000000000000007E-2</v>
      </c>
      <c r="EA24" s="114">
        <v>0.12</v>
      </c>
      <c r="EB24" s="413"/>
      <c r="EC24" s="412">
        <v>0.23</v>
      </c>
      <c r="ED24" s="114">
        <v>0.19</v>
      </c>
      <c r="EE24" s="114">
        <v>0.39</v>
      </c>
      <c r="EF24" s="114">
        <v>0.3</v>
      </c>
      <c r="EG24" s="413"/>
      <c r="EH24" s="412">
        <v>0.11</v>
      </c>
      <c r="EI24" s="114">
        <v>0.32</v>
      </c>
      <c r="EJ24" s="114">
        <v>0.28000000000000003</v>
      </c>
      <c r="EK24" s="114">
        <v>0.25</v>
      </c>
      <c r="EL24" s="292"/>
      <c r="EM24" s="412">
        <v>-0.03</v>
      </c>
      <c r="EN24" s="114">
        <v>7.0000000000000007E-2</v>
      </c>
      <c r="EO24" s="114">
        <v>0.11</v>
      </c>
      <c r="EP24" s="114">
        <v>-0.02</v>
      </c>
      <c r="EQ24" s="292">
        <f>IFERROR(EQ23/EL23-1,"")</f>
      </c>
      <c r="ER24" s="412">
        <v>0.14000000000000001</v>
      </c>
      <c r="ES24" s="114">
        <v>0.17</v>
      </c>
      <c r="ET24" s="439">
        <v>0.28999999999999998</v>
      </c>
      <c r="EU24" s="439">
        <v>0.17</v>
      </c>
      <c r="EV24" s="292">
        <f>IFERROR(EV23/EQ23-1,"")</f>
      </c>
      <c r="EW24" s="441">
        <v>0.3</v>
      </c>
      <c r="EX24" s="439">
        <v>0.67</v>
      </c>
      <c r="EY24" s="439">
        <v>0.18</v>
      </c>
      <c r="EZ24" s="439">
        <v>0.37</v>
      </c>
      <c r="FA24" s="292">
        <f>IFERROR(FA23/EV23-1,"")</f>
      </c>
      <c r="FB24" s="291"/>
      <c r="FC24" s="107"/>
      <c r="FD24" s="107"/>
      <c r="FE24" s="107"/>
      <c r="FF24" s="292"/>
      <c r="FG24" s="291"/>
      <c r="FH24" s="107"/>
      <c r="FI24" s="107"/>
      <c r="FJ24" s="107"/>
      <c r="FK24" s="292"/>
      <c r="FL24" s="291"/>
      <c r="FM24" s="107"/>
      <c r="FN24" s="107"/>
      <c r="FO24" s="107"/>
      <c r="FP24" s="292"/>
      <c r="FQ24" s="291"/>
      <c r="FR24" s="107"/>
      <c r="FS24" s="107"/>
      <c r="FT24" s="107"/>
      <c r="FU24" s="292"/>
      <c r="FV24" s="291"/>
      <c r="FW24" s="107"/>
      <c r="FX24" s="107"/>
      <c r="FY24" s="107"/>
      <c r="FZ24" s="292"/>
      <c r="GA24" s="291"/>
      <c r="GB24" s="107"/>
      <c r="GC24" s="107"/>
      <c r="GD24" s="107"/>
      <c r="GE24" s="292"/>
      <c r="GF24" s="291"/>
      <c r="GG24" s="107"/>
      <c r="GH24" s="107"/>
      <c r="GI24" s="107"/>
      <c r="GJ24" s="292"/>
    </row>
    <row r="25" spans="1:192" ht="12.75" customHeight="1">
      <c r="A25" s="68" t="s">
        <v>2041</v>
      </c>
      <c r="B25" s="727" t="s">
        <v>197</v>
      </c>
      <c r="C25" s="412"/>
      <c r="D25" s="114"/>
      <c r="E25" s="114"/>
      <c r="F25" s="114"/>
      <c r="G25" s="413"/>
      <c r="H25" s="412"/>
      <c r="I25" s="114"/>
      <c r="J25" s="114"/>
      <c r="K25" s="114"/>
      <c r="L25" s="413"/>
      <c r="M25" s="412"/>
      <c r="N25" s="114"/>
      <c r="O25" s="114"/>
      <c r="P25" s="114"/>
      <c r="Q25" s="413"/>
      <c r="R25" s="412"/>
      <c r="S25" s="114"/>
      <c r="T25" s="114"/>
      <c r="U25" s="114"/>
      <c r="V25" s="413"/>
      <c r="W25" s="412"/>
      <c r="X25" s="114"/>
      <c r="Y25" s="114"/>
      <c r="Z25" s="114"/>
      <c r="AA25" s="413"/>
      <c r="AB25" s="412"/>
      <c r="AC25" s="114"/>
      <c r="AD25" s="114"/>
      <c r="AE25" s="114"/>
      <c r="AF25" s="413"/>
      <c r="AG25" s="412"/>
      <c r="AH25" s="114"/>
      <c r="AI25" s="114"/>
      <c r="AJ25" s="114"/>
      <c r="AK25" s="413"/>
      <c r="AL25" s="412"/>
      <c r="AM25" s="114"/>
      <c r="AN25" s="114"/>
      <c r="AO25" s="114"/>
      <c r="AP25" s="413"/>
      <c r="AQ25" s="412"/>
      <c r="AR25" s="114"/>
      <c r="AS25" s="114"/>
      <c r="AT25" s="114"/>
      <c r="AU25" s="413"/>
      <c r="AV25" s="412"/>
      <c r="AW25" s="114"/>
      <c r="AX25" s="114"/>
      <c r="AY25" s="114"/>
      <c r="AZ25" s="413"/>
      <c r="BA25" s="412"/>
      <c r="BB25" s="114"/>
      <c r="BC25" s="114"/>
      <c r="BD25" s="114"/>
      <c r="BE25" s="413"/>
      <c r="BF25" s="412"/>
      <c r="BG25" s="114"/>
      <c r="BH25" s="114"/>
      <c r="BI25" s="114"/>
      <c r="BJ25" s="413"/>
      <c r="BK25" s="412"/>
      <c r="BL25" s="114"/>
      <c r="BM25" s="114"/>
      <c r="BN25" s="114"/>
      <c r="BO25" s="413"/>
      <c r="BP25" s="412"/>
      <c r="BQ25" s="114"/>
      <c r="BR25" s="114"/>
      <c r="BS25" s="114"/>
      <c r="BT25" s="413"/>
      <c r="BU25" s="412"/>
      <c r="BV25" s="114"/>
      <c r="BW25" s="114"/>
      <c r="BX25" s="114"/>
      <c r="BY25" s="413"/>
      <c r="BZ25" s="412"/>
      <c r="CA25" s="114"/>
      <c r="CB25" s="114"/>
      <c r="CC25" s="114"/>
      <c r="CD25" s="413"/>
      <c r="CE25" s="412"/>
      <c r="CF25" s="114"/>
      <c r="CG25" s="114"/>
      <c r="CH25" s="114"/>
      <c r="CI25" s="413"/>
      <c r="CJ25" s="412"/>
      <c r="CK25" s="114"/>
      <c r="CL25" s="114"/>
      <c r="CM25" s="114"/>
      <c r="CN25" s="413"/>
      <c r="CO25" s="412"/>
      <c r="CP25" s="114"/>
      <c r="CQ25" s="114"/>
      <c r="CR25" s="114"/>
      <c r="CS25" s="413"/>
      <c r="CT25" s="412"/>
      <c r="CU25" s="114"/>
      <c r="CV25" s="114"/>
      <c r="CW25" s="114"/>
      <c r="CX25" s="413"/>
      <c r="CY25" s="412"/>
      <c r="CZ25" s="114"/>
      <c r="DA25" s="114"/>
      <c r="DB25" s="114"/>
      <c r="DC25" s="413"/>
      <c r="DD25" s="412"/>
      <c r="DE25" s="114"/>
      <c r="DF25" s="114"/>
      <c r="DG25" s="114">
        <v>0.04</v>
      </c>
      <c r="DH25" s="413"/>
      <c r="DI25" s="971">
        <v>0.18</v>
      </c>
      <c r="DJ25" s="972">
        <v>0.12</v>
      </c>
      <c r="DK25" s="972">
        <v>0.11</v>
      </c>
      <c r="DL25" s="972">
        <v>0.3</v>
      </c>
      <c r="DM25" s="413"/>
      <c r="DN25" s="412">
        <v>0.09</v>
      </c>
      <c r="DO25" s="114">
        <v>0.04</v>
      </c>
      <c r="DP25" s="114">
        <v>0.18</v>
      </c>
      <c r="DQ25" s="438">
        <v>0.19</v>
      </c>
      <c r="DR25" s="413"/>
      <c r="DS25" s="412">
        <v>0.16</v>
      </c>
      <c r="DT25" s="114">
        <v>0.22</v>
      </c>
      <c r="DU25" s="114">
        <v>0.34</v>
      </c>
      <c r="DV25" s="114">
        <v>0.25</v>
      </c>
      <c r="DW25" s="413"/>
      <c r="DX25" s="412">
        <v>0.35</v>
      </c>
      <c r="DY25" s="114">
        <v>0.3</v>
      </c>
      <c r="DZ25" s="114">
        <v>0.12</v>
      </c>
      <c r="EA25" s="114">
        <v>0.12</v>
      </c>
      <c r="EB25" s="413"/>
      <c r="EC25" s="412">
        <v>0.18</v>
      </c>
      <c r="ED25" s="114">
        <v>0.11</v>
      </c>
      <c r="EE25" s="114">
        <v>0.38</v>
      </c>
      <c r="EF25" s="114">
        <v>0.25</v>
      </c>
      <c r="EG25" s="413"/>
      <c r="EH25" s="412">
        <v>0.14000000000000001</v>
      </c>
      <c r="EI25" s="114">
        <v>0.37</v>
      </c>
      <c r="EJ25" s="114">
        <v>0.35</v>
      </c>
      <c r="EK25" s="114">
        <v>0.35</v>
      </c>
      <c r="EL25" s="292"/>
      <c r="EM25" s="412">
        <v>0.16</v>
      </c>
      <c r="EN25" s="114">
        <v>0.04</v>
      </c>
      <c r="EO25" s="114">
        <v>0.12</v>
      </c>
      <c r="EP25" s="114">
        <v>-0.01</v>
      </c>
      <c r="EQ25" s="292"/>
      <c r="ER25" s="412">
        <v>0.17</v>
      </c>
      <c r="ES25" s="114">
        <v>0.09</v>
      </c>
      <c r="ET25" s="439">
        <v>0.31</v>
      </c>
      <c r="EU25" s="439">
        <v>0.19</v>
      </c>
      <c r="EV25" s="292"/>
      <c r="EW25" s="441">
        <v>0.23</v>
      </c>
      <c r="EX25" s="439">
        <v>0.75</v>
      </c>
      <c r="EY25" s="439">
        <v>0.17</v>
      </c>
      <c r="EZ25" s="439">
        <v>0.3</v>
      </c>
      <c r="FA25" s="292"/>
      <c r="FB25" s="291"/>
      <c r="FC25" s="107"/>
      <c r="FD25" s="107"/>
      <c r="FE25" s="107"/>
      <c r="FF25" s="292"/>
      <c r="FG25" s="291"/>
      <c r="FH25" s="107"/>
      <c r="FI25" s="107"/>
      <c r="FJ25" s="107"/>
      <c r="FK25" s="292"/>
      <c r="FL25" s="291"/>
      <c r="FM25" s="107"/>
      <c r="FN25" s="107"/>
      <c r="FO25" s="107"/>
      <c r="FP25" s="292"/>
      <c r="FQ25" s="291"/>
      <c r="FR25" s="107"/>
      <c r="FS25" s="107"/>
      <c r="FT25" s="107"/>
      <c r="FU25" s="292"/>
      <c r="FV25" s="291"/>
      <c r="FW25" s="107"/>
      <c r="FX25" s="107"/>
      <c r="FY25" s="107"/>
      <c r="FZ25" s="292"/>
      <c r="GA25" s="291"/>
      <c r="GB25" s="107"/>
      <c r="GC25" s="107"/>
      <c r="GD25" s="107"/>
      <c r="GE25" s="292"/>
      <c r="GF25" s="291"/>
      <c r="GG25" s="107"/>
      <c r="GH25" s="107"/>
      <c r="GI25" s="107"/>
      <c r="GJ25" s="292"/>
    </row>
    <row r="26" spans="1:192" ht="12.75" customHeight="1">
      <c r="A26" s="68" t="s">
        <v>2036</v>
      </c>
      <c r="B26" s="727" t="s">
        <v>36</v>
      </c>
      <c r="C26" s="291"/>
      <c r="D26" s="107"/>
      <c r="E26" s="107"/>
      <c r="F26" s="107"/>
      <c r="G26" s="293"/>
      <c r="H26" s="291"/>
      <c r="I26" s="107"/>
      <c r="J26" s="107"/>
      <c r="K26" s="107"/>
      <c r="L26" s="293"/>
      <c r="M26" s="291"/>
      <c r="N26" s="107"/>
      <c r="O26" s="107"/>
      <c r="P26" s="107"/>
      <c r="Q26" s="293"/>
      <c r="R26" s="291"/>
      <c r="S26" s="107"/>
      <c r="T26" s="107"/>
      <c r="U26" s="107"/>
      <c r="V26" s="293"/>
      <c r="W26" s="291"/>
      <c r="X26" s="107"/>
      <c r="Y26" s="107"/>
      <c r="Z26" s="107"/>
      <c r="AA26" s="293"/>
      <c r="AB26" s="291"/>
      <c r="AC26" s="107"/>
      <c r="AD26" s="107"/>
      <c r="AE26" s="107"/>
      <c r="AF26" s="293"/>
      <c r="AG26" s="291"/>
      <c r="AH26" s="107"/>
      <c r="AI26" s="107"/>
      <c r="AJ26" s="107"/>
      <c r="AK26" s="293"/>
      <c r="AL26" s="291"/>
      <c r="AM26" s="107"/>
      <c r="AN26" s="107"/>
      <c r="AO26" s="107"/>
      <c r="AP26" s="293"/>
      <c r="AQ26" s="291"/>
      <c r="AR26" s="107"/>
      <c r="AS26" s="107"/>
      <c r="AT26" s="107"/>
      <c r="AU26" s="293"/>
      <c r="AV26" s="291"/>
      <c r="AW26" s="107"/>
      <c r="AX26" s="107"/>
      <c r="AY26" s="107"/>
      <c r="AZ26" s="293"/>
      <c r="BA26" s="291"/>
      <c r="BB26" s="107"/>
      <c r="BC26" s="107"/>
      <c r="BD26" s="107"/>
      <c r="BE26" s="293"/>
      <c r="BF26" s="291"/>
      <c r="BG26" s="107"/>
      <c r="BH26" s="107"/>
      <c r="BI26" s="107"/>
      <c r="BJ26" s="293"/>
      <c r="BK26" s="291"/>
      <c r="BL26" s="107"/>
      <c r="BM26" s="107"/>
      <c r="BN26" s="107"/>
      <c r="BO26" s="293"/>
      <c r="BP26" s="291"/>
      <c r="BQ26" s="107"/>
      <c r="BR26" s="107"/>
      <c r="BS26" s="107"/>
      <c r="BT26" s="293"/>
      <c r="BU26" s="291"/>
      <c r="BV26" s="107"/>
      <c r="BW26" s="107"/>
      <c r="BX26" s="107"/>
      <c r="BY26" s="293"/>
      <c r="BZ26" s="291"/>
      <c r="CA26" s="107"/>
      <c r="CB26" s="107"/>
      <c r="CC26" s="107"/>
      <c r="CD26" s="293"/>
      <c r="CE26" s="291"/>
      <c r="CF26" s="107"/>
      <c r="CG26" s="107"/>
      <c r="CH26" s="107"/>
      <c r="CI26" s="293"/>
      <c r="CJ26" s="291"/>
      <c r="CK26" s="107"/>
      <c r="CL26" s="107"/>
      <c r="CM26" s="107"/>
      <c r="CN26" s="293"/>
      <c r="CO26" s="291"/>
      <c r="CP26" s="107"/>
      <c r="CQ26" s="107"/>
      <c r="CR26" s="107"/>
      <c r="CS26" s="293"/>
      <c r="CT26" s="291"/>
      <c r="CU26" s="107"/>
      <c r="CV26" s="107"/>
      <c r="CW26" s="107"/>
      <c r="CX26" s="293"/>
      <c r="CY26" s="291"/>
      <c r="CZ26" s="107"/>
      <c r="DA26" s="107"/>
      <c r="DB26" s="107"/>
      <c r="DC26" s="293"/>
      <c r="DD26" s="291"/>
      <c r="DE26" s="107"/>
      <c r="DF26" s="107"/>
      <c r="DG26" s="107"/>
      <c r="DH26" s="293"/>
      <c r="DI26" s="291"/>
      <c r="DJ26" s="107"/>
      <c r="DK26" s="107"/>
      <c r="DL26" s="107"/>
      <c r="DM26" s="293"/>
      <c r="DN26" s="291"/>
      <c r="DO26" s="107"/>
      <c r="DP26" s="107"/>
      <c r="DQ26" s="107"/>
      <c r="DR26" s="293"/>
      <c r="DS26" s="291"/>
      <c r="DT26" s="107"/>
      <c r="DU26" s="107"/>
      <c r="DV26" s="107"/>
      <c r="DW26" s="293"/>
      <c r="DX26" s="291"/>
      <c r="DY26" s="107"/>
      <c r="DZ26" s="107"/>
      <c r="EA26" s="107"/>
      <c r="EB26" s="293"/>
      <c r="EC26" s="291"/>
      <c r="ED26" s="107"/>
      <c r="EE26" s="107"/>
      <c r="EF26" s="107"/>
      <c r="EG26" s="293"/>
      <c r="EH26" s="291"/>
      <c r="EI26" s="107"/>
      <c r="EJ26" s="107"/>
      <c r="EK26" s="107"/>
      <c r="EL26" s="293"/>
      <c r="EM26" s="291"/>
      <c r="EN26" s="107"/>
      <c r="EO26" s="107"/>
      <c r="EP26" s="107"/>
      <c r="EQ26" s="293"/>
      <c r="ER26" s="291"/>
      <c r="ES26" s="107"/>
      <c r="ET26" s="107"/>
      <c r="EU26" s="107"/>
      <c r="EV26" s="293"/>
      <c r="EW26" s="291"/>
      <c r="EX26" s="107"/>
      <c r="EY26" s="107"/>
      <c r="EZ26" s="107"/>
      <c r="FA26" s="293"/>
      <c r="FB26" s="291"/>
      <c r="FC26" s="107"/>
      <c r="FD26" s="107"/>
      <c r="FE26" s="107"/>
      <c r="FF26" s="293"/>
      <c r="FG26" s="291"/>
      <c r="FH26" s="107"/>
      <c r="FI26" s="107"/>
      <c r="FJ26" s="107"/>
      <c r="FK26" s="293"/>
      <c r="FL26" s="291"/>
      <c r="FM26" s="107"/>
      <c r="FN26" s="107"/>
      <c r="FO26" s="107"/>
      <c r="FP26" s="293"/>
      <c r="FQ26" s="291"/>
      <c r="FR26" s="107"/>
      <c r="FS26" s="107"/>
      <c r="FT26" s="107"/>
      <c r="FU26" s="293"/>
      <c r="FV26" s="291"/>
      <c r="FW26" s="107"/>
      <c r="FX26" s="107"/>
      <c r="FY26" s="107"/>
      <c r="FZ26" s="293"/>
      <c r="GA26" s="291"/>
      <c r="GB26" s="107"/>
      <c r="GC26" s="107"/>
      <c r="GD26" s="107"/>
      <c r="GE26" s="293"/>
      <c r="GF26" s="291"/>
      <c r="GG26" s="107"/>
      <c r="GH26" s="107"/>
      <c r="GI26" s="107"/>
      <c r="GJ26" s="293"/>
    </row>
    <row r="27" spans="1:192" ht="12.75" customHeight="1">
      <c r="B27" s="729"/>
      <c r="C27" s="294"/>
      <c r="D27" s="295"/>
      <c r="E27" s="295"/>
      <c r="F27" s="295"/>
      <c r="G27" s="296"/>
      <c r="H27" s="294"/>
      <c r="I27" s="295"/>
      <c r="J27" s="295"/>
      <c r="K27" s="295"/>
      <c r="L27" s="296"/>
      <c r="M27" s="294"/>
      <c r="N27" s="295"/>
      <c r="O27" s="295"/>
      <c r="P27" s="295"/>
      <c r="Q27" s="296"/>
      <c r="R27" s="294"/>
      <c r="S27" s="295"/>
      <c r="T27" s="295"/>
      <c r="U27" s="295"/>
      <c r="V27" s="296"/>
      <c r="W27" s="294"/>
      <c r="X27" s="295"/>
      <c r="Y27" s="295"/>
      <c r="Z27" s="295"/>
      <c r="AA27" s="296"/>
      <c r="AB27" s="294"/>
      <c r="AC27" s="295"/>
      <c r="AD27" s="295"/>
      <c r="AE27" s="295"/>
      <c r="AF27" s="296"/>
      <c r="AG27" s="294"/>
      <c r="AH27" s="295"/>
      <c r="AI27" s="295"/>
      <c r="AJ27" s="295"/>
      <c r="AK27" s="296"/>
      <c r="AL27" s="294"/>
      <c r="AM27" s="295"/>
      <c r="AN27" s="295"/>
      <c r="AO27" s="295"/>
      <c r="AP27" s="296"/>
      <c r="AQ27" s="294"/>
      <c r="AR27" s="295"/>
      <c r="AS27" s="295"/>
      <c r="AT27" s="295"/>
      <c r="AU27" s="296"/>
      <c r="AV27" s="294"/>
      <c r="AW27" s="295"/>
      <c r="AX27" s="295"/>
      <c r="AY27" s="295"/>
      <c r="AZ27" s="296"/>
      <c r="BA27" s="294"/>
      <c r="BB27" s="295"/>
      <c r="BC27" s="295"/>
      <c r="BD27" s="295"/>
      <c r="BE27" s="296"/>
      <c r="BF27" s="294"/>
      <c r="BG27" s="295"/>
      <c r="BH27" s="295"/>
      <c r="BI27" s="295"/>
      <c r="BJ27" s="296"/>
      <c r="BK27" s="294"/>
      <c r="BL27" s="295"/>
      <c r="BM27" s="295"/>
      <c r="BN27" s="295"/>
      <c r="BO27" s="296"/>
      <c r="BP27" s="294"/>
      <c r="BQ27" s="295"/>
      <c r="BR27" s="295"/>
      <c r="BS27" s="295"/>
      <c r="BT27" s="296"/>
      <c r="BU27" s="294"/>
      <c r="BV27" s="295"/>
      <c r="BW27" s="295"/>
      <c r="BX27" s="295"/>
      <c r="BY27" s="296"/>
      <c r="BZ27" s="294"/>
      <c r="CA27" s="295"/>
      <c r="CB27" s="295"/>
      <c r="CC27" s="295"/>
      <c r="CD27" s="296"/>
      <c r="CE27" s="294"/>
      <c r="CF27" s="295"/>
      <c r="CG27" s="295"/>
      <c r="CH27" s="295"/>
      <c r="CI27" s="296"/>
      <c r="CJ27" s="294"/>
      <c r="CK27" s="295"/>
      <c r="CL27" s="295"/>
      <c r="CM27" s="295"/>
      <c r="CN27" s="296"/>
      <c r="CO27" s="294"/>
      <c r="CP27" s="295"/>
      <c r="CQ27" s="295"/>
      <c r="CR27" s="295"/>
      <c r="CS27" s="296"/>
      <c r="CT27" s="294"/>
      <c r="CU27" s="295"/>
      <c r="CV27" s="295"/>
      <c r="CW27" s="295"/>
      <c r="CX27" s="296"/>
      <c r="CY27" s="294"/>
      <c r="CZ27" s="295"/>
      <c r="DA27" s="295"/>
      <c r="DB27" s="295"/>
      <c r="DC27" s="296"/>
      <c r="DD27" s="294"/>
      <c r="DE27" s="295"/>
      <c r="DF27" s="295"/>
      <c r="DG27" s="295"/>
      <c r="DH27" s="296"/>
      <c r="DI27" s="294"/>
      <c r="DJ27" s="295"/>
      <c r="DK27" s="295"/>
      <c r="DL27" s="295"/>
      <c r="DM27" s="296"/>
      <c r="DN27" s="294"/>
      <c r="DO27" s="295"/>
      <c r="DP27" s="295"/>
      <c r="DQ27" s="295"/>
      <c r="DR27" s="296"/>
      <c r="DS27" s="294"/>
      <c r="DT27" s="295"/>
      <c r="DU27" s="437"/>
      <c r="DV27" s="437"/>
      <c r="DW27" s="296"/>
      <c r="DX27" s="294"/>
      <c r="DY27" s="295"/>
      <c r="DZ27" s="295"/>
      <c r="EA27" s="295"/>
      <c r="EB27" s="296"/>
      <c r="EC27" s="294"/>
      <c r="ED27" s="295"/>
      <c r="EE27" s="295"/>
      <c r="EF27" s="295"/>
      <c r="EG27" s="296"/>
      <c r="EH27" s="294"/>
      <c r="EI27" s="295"/>
      <c r="EJ27" s="295"/>
      <c r="EK27" s="295"/>
      <c r="EL27" s="296"/>
      <c r="EM27" s="294"/>
      <c r="EN27" s="295"/>
      <c r="EO27" s="295"/>
      <c r="EP27" s="295"/>
      <c r="EQ27" s="296"/>
      <c r="ER27" s="294"/>
      <c r="ES27" s="295"/>
      <c r="ET27" s="469"/>
      <c r="EU27" s="295"/>
      <c r="EV27" s="296"/>
      <c r="EW27" s="294"/>
      <c r="EX27" s="503"/>
      <c r="EY27" s="295"/>
      <c r="EZ27" s="295"/>
      <c r="FA27" s="296"/>
      <c r="FB27" s="294"/>
      <c r="FC27" s="295"/>
      <c r="FD27" s="295"/>
      <c r="FE27" s="295"/>
      <c r="FF27" s="296"/>
      <c r="FG27" s="294"/>
      <c r="FH27" s="295"/>
      <c r="FI27" s="295"/>
      <c r="FJ27" s="295"/>
      <c r="FK27" s="296"/>
      <c r="FL27" s="294"/>
      <c r="FM27" s="295"/>
      <c r="FN27" s="295"/>
      <c r="FO27" s="295"/>
      <c r="FP27" s="296"/>
      <c r="FQ27" s="294"/>
      <c r="FR27" s="295"/>
      <c r="FS27" s="295"/>
      <c r="FT27" s="295"/>
      <c r="FU27" s="296"/>
      <c r="FV27" s="294"/>
      <c r="FW27" s="295"/>
      <c r="FX27" s="295"/>
      <c r="FY27" s="295"/>
      <c r="FZ27" s="296"/>
      <c r="GA27" s="294"/>
      <c r="GB27" s="295"/>
      <c r="GC27" s="295"/>
      <c r="GD27" s="295"/>
      <c r="GE27" s="296"/>
      <c r="GF27" s="294"/>
      <c r="GG27" s="295"/>
      <c r="GH27" s="295"/>
      <c r="GI27" s="295"/>
      <c r="GJ27" s="296"/>
    </row>
    <row r="28" spans="1:192" s="317" customFormat="1" ht="12.75" customHeight="1">
      <c r="A28" s="280" t="s">
        <v>2037</v>
      </c>
      <c r="B28" s="730" t="s">
        <v>413</v>
      </c>
      <c r="C28" s="316"/>
      <c r="D28" s="316"/>
      <c r="E28" s="316"/>
      <c r="F28" s="316"/>
      <c r="G28" s="453"/>
      <c r="H28" s="316"/>
      <c r="I28" s="316"/>
      <c r="J28" s="316"/>
      <c r="K28" s="316"/>
      <c r="L28" s="453"/>
      <c r="M28" s="316"/>
      <c r="N28" s="316"/>
      <c r="O28" s="316"/>
      <c r="P28" s="316"/>
      <c r="Q28" s="453"/>
      <c r="R28" s="316"/>
      <c r="S28" s="316"/>
      <c r="T28" s="316"/>
      <c r="U28" s="316"/>
      <c r="V28" s="453"/>
      <c r="W28" s="316"/>
      <c r="X28" s="316"/>
      <c r="Y28" s="316"/>
      <c r="Z28" s="316"/>
      <c r="AA28" s="453"/>
      <c r="AB28" s="316"/>
      <c r="AC28" s="316"/>
      <c r="AD28" s="316"/>
      <c r="AE28" s="316"/>
      <c r="AF28" s="453"/>
      <c r="AG28" s="316"/>
      <c r="AH28" s="316"/>
      <c r="AI28" s="316"/>
      <c r="AJ28" s="316"/>
      <c r="AK28" s="453"/>
      <c r="AL28" s="316"/>
      <c r="AM28" s="316"/>
      <c r="AN28" s="316"/>
      <c r="AO28" s="316"/>
      <c r="AP28" s="453"/>
      <c r="AQ28" s="316"/>
      <c r="AR28" s="316"/>
      <c r="AS28" s="316"/>
      <c r="AT28" s="316"/>
      <c r="AU28" s="453"/>
      <c r="AV28" s="316"/>
      <c r="AW28" s="316"/>
      <c r="AX28" s="316"/>
      <c r="AY28" s="316"/>
      <c r="AZ28" s="453"/>
      <c r="BA28" s="316"/>
      <c r="BB28" s="316"/>
      <c r="BC28" s="316"/>
      <c r="BD28" s="316"/>
      <c r="BE28" s="453"/>
      <c r="BF28" s="316"/>
      <c r="BG28" s="316"/>
      <c r="BH28" s="316"/>
      <c r="BI28" s="316"/>
      <c r="BJ28" s="453"/>
      <c r="BK28" s="316"/>
      <c r="BL28" s="316"/>
      <c r="BM28" s="316"/>
      <c r="BN28" s="316"/>
      <c r="BO28" s="453"/>
      <c r="BP28" s="316"/>
      <c r="BQ28" s="316"/>
      <c r="BR28" s="316"/>
      <c r="BS28" s="316"/>
      <c r="BT28" s="453"/>
      <c r="BU28" s="316"/>
      <c r="BV28" s="316"/>
      <c r="BW28" s="316"/>
      <c r="BX28" s="316"/>
      <c r="BY28" s="453"/>
      <c r="BZ28" s="316"/>
      <c r="CA28" s="316"/>
      <c r="CB28" s="316"/>
      <c r="CC28" s="316"/>
      <c r="CD28" s="453"/>
      <c r="CE28" s="316"/>
      <c r="CF28" s="316"/>
      <c r="CG28" s="316"/>
      <c r="CH28" s="316"/>
      <c r="CI28" s="453"/>
      <c r="CJ28" s="316"/>
      <c r="CK28" s="316"/>
      <c r="CL28" s="316"/>
      <c r="CM28" s="316"/>
      <c r="CN28" s="453"/>
      <c r="CO28" s="316"/>
      <c r="CP28" s="316"/>
      <c r="CQ28" s="316"/>
      <c r="CR28" s="316"/>
      <c r="CS28" s="453"/>
      <c r="CT28" s="316"/>
      <c r="CU28" s="316"/>
      <c r="CV28" s="316"/>
      <c r="CW28" s="316"/>
      <c r="CX28" s="453"/>
      <c r="CY28" s="316"/>
      <c r="CZ28" s="316"/>
      <c r="DA28" s="316"/>
      <c r="DB28" s="316"/>
      <c r="DC28" s="453"/>
      <c r="DD28" s="316"/>
      <c r="DE28" s="316"/>
      <c r="DF28" s="316"/>
      <c r="DG28" s="316"/>
      <c r="DH28" s="453"/>
      <c r="DI28" s="316"/>
      <c r="DJ28" s="316"/>
      <c r="DK28" s="316"/>
      <c r="DL28" s="316"/>
      <c r="DM28" s="453"/>
      <c r="DN28" s="316"/>
      <c r="DO28" s="316"/>
      <c r="DP28" s="316"/>
      <c r="DQ28" s="316"/>
      <c r="DR28" s="453"/>
      <c r="DS28" s="316">
        <v>68000</v>
      </c>
      <c r="DT28" s="316">
        <v>69000</v>
      </c>
      <c r="DU28" s="316">
        <v>72000</v>
      </c>
      <c r="DV28" s="316">
        <v>87000</v>
      </c>
      <c r="DW28" s="319">
        <f>DV28</f>
      </c>
      <c r="DX28" s="316">
        <v>86000</v>
      </c>
      <c r="DY28" s="316">
        <v>90000</v>
      </c>
      <c r="DZ28" s="316">
        <v>89000</v>
      </c>
      <c r="EA28" s="316">
        <v>107000</v>
      </c>
      <c r="EB28" s="319">
        <f>EA28</f>
      </c>
      <c r="EC28" s="316">
        <v>107000</v>
      </c>
      <c r="ED28" s="316">
        <v>112000</v>
      </c>
      <c r="EE28" s="316">
        <v>117000</v>
      </c>
      <c r="EF28" s="316">
        <v>141000</v>
      </c>
      <c r="EG28" s="319">
        <f>EF28</f>
      </c>
      <c r="EH28" s="316">
        <v>137000</v>
      </c>
      <c r="EI28" s="316">
        <v>147000</v>
      </c>
      <c r="EJ28" s="316">
        <v>155000</v>
      </c>
      <c r="EK28" s="316">
        <v>189000</v>
      </c>
      <c r="EL28" s="319">
        <f>EK28</f>
      </c>
      <c r="EM28" s="316">
        <v>180000</v>
      </c>
      <c r="EN28" s="316">
        <v>189000</v>
      </c>
      <c r="EO28" s="316">
        <v>196000</v>
      </c>
      <c r="EP28" s="316">
        <v>224000</v>
      </c>
      <c r="EQ28" s="319">
        <f>EP28</f>
      </c>
      <c r="ER28" s="316">
        <v>212000</v>
      </c>
      <c r="ES28" s="316">
        <v>222000</v>
      </c>
      <c r="ET28" s="1158">
        <v>235000</v>
      </c>
      <c r="EU28" s="1158">
        <v>269000</v>
      </c>
      <c r="EV28" s="319">
        <f>EU28</f>
      </c>
      <c r="EW28" s="1158">
        <v>259000</v>
      </c>
      <c r="EX28" s="1158">
        <v>298000</v>
      </c>
      <c r="EY28" s="1158">
        <v>315000</v>
      </c>
      <c r="EZ28" s="1158">
        <v>368000</v>
      </c>
      <c r="FA28" s="319">
        <f>EZ28</f>
      </c>
      <c r="FB28" s="316"/>
      <c r="FC28" s="316"/>
      <c r="FD28" s="316"/>
      <c r="FE28" s="316"/>
      <c r="FF28" s="313"/>
      <c r="FG28" s="316"/>
      <c r="FH28" s="316"/>
      <c r="FI28" s="316"/>
      <c r="FJ28" s="316"/>
      <c r="FK28" s="313"/>
      <c r="FL28" s="316"/>
      <c r="FM28" s="316"/>
      <c r="FN28" s="316"/>
      <c r="FO28" s="316"/>
      <c r="FP28" s="313"/>
      <c r="FQ28" s="316"/>
      <c r="FR28" s="316"/>
      <c r="FS28" s="316"/>
      <c r="FT28" s="316"/>
      <c r="FU28" s="313"/>
      <c r="FV28" s="316"/>
      <c r="FW28" s="316"/>
      <c r="FX28" s="316"/>
      <c r="FY28" s="316"/>
      <c r="FZ28" s="313"/>
      <c r="GA28" s="316"/>
      <c r="GB28" s="316"/>
      <c r="GC28" s="316"/>
      <c r="GD28" s="316"/>
      <c r="GE28" s="313"/>
      <c r="GF28" s="316"/>
      <c r="GG28" s="316"/>
      <c r="GH28" s="316"/>
      <c r="GI28" s="316"/>
      <c r="GJ28" s="313"/>
    </row>
    <row r="29" spans="1:192" ht="12.75" customHeight="1">
      <c r="A29" s="68" t="s">
        <v>2038</v>
      </c>
      <c r="B29" s="727" t="s">
        <v>34</v>
      </c>
      <c r="C29" s="412"/>
      <c r="D29" s="114"/>
      <c r="E29" s="114"/>
      <c r="F29" s="114"/>
      <c r="G29" s="413"/>
      <c r="H29" s="412"/>
      <c r="I29" s="114"/>
      <c r="J29" s="114"/>
      <c r="K29" s="114"/>
      <c r="L29" s="413"/>
      <c r="M29" s="412"/>
      <c r="N29" s="114"/>
      <c r="O29" s="114"/>
      <c r="P29" s="114"/>
      <c r="Q29" s="413"/>
      <c r="R29" s="412"/>
      <c r="S29" s="114"/>
      <c r="T29" s="114"/>
      <c r="U29" s="114"/>
      <c r="V29" s="413"/>
      <c r="W29" s="412"/>
      <c r="X29" s="114"/>
      <c r="Y29" s="114"/>
      <c r="Z29" s="114"/>
      <c r="AA29" s="413"/>
      <c r="AB29" s="412"/>
      <c r="AC29" s="114"/>
      <c r="AD29" s="114"/>
      <c r="AE29" s="114"/>
      <c r="AF29" s="413"/>
      <c r="AG29" s="412"/>
      <c r="AH29" s="114"/>
      <c r="AI29" s="114"/>
      <c r="AJ29" s="114"/>
      <c r="AK29" s="413"/>
      <c r="AL29" s="412"/>
      <c r="AM29" s="114"/>
      <c r="AN29" s="114"/>
      <c r="AO29" s="114"/>
      <c r="AP29" s="413"/>
      <c r="AQ29" s="412"/>
      <c r="AR29" s="114"/>
      <c r="AS29" s="114"/>
      <c r="AT29" s="114"/>
      <c r="AU29" s="413"/>
      <c r="AV29" s="412"/>
      <c r="AW29" s="114"/>
      <c r="AX29" s="114"/>
      <c r="AY29" s="114"/>
      <c r="AZ29" s="413"/>
      <c r="BA29" s="412"/>
      <c r="BB29" s="114"/>
      <c r="BC29" s="114"/>
      <c r="BD29" s="114"/>
      <c r="BE29" s="413"/>
      <c r="BF29" s="412"/>
      <c r="BG29" s="114"/>
      <c r="BH29" s="114"/>
      <c r="BI29" s="114"/>
      <c r="BJ29" s="413"/>
      <c r="BK29" s="412"/>
      <c r="BL29" s="114"/>
      <c r="BM29" s="114"/>
      <c r="BN29" s="114"/>
      <c r="BO29" s="413"/>
      <c r="BP29" s="412"/>
      <c r="BQ29" s="114"/>
      <c r="BR29" s="114"/>
      <c r="BS29" s="114"/>
      <c r="BT29" s="413"/>
      <c r="BU29" s="412"/>
      <c r="BV29" s="114"/>
      <c r="BW29" s="114"/>
      <c r="BX29" s="114"/>
      <c r="BY29" s="413"/>
      <c r="BZ29" s="412"/>
      <c r="CA29" s="114"/>
      <c r="CB29" s="114"/>
      <c r="CC29" s="114"/>
      <c r="CD29" s="413"/>
      <c r="CE29" s="412"/>
      <c r="CF29" s="114"/>
      <c r="CG29" s="114"/>
      <c r="CH29" s="114"/>
      <c r="CI29" s="413"/>
      <c r="CJ29" s="412"/>
      <c r="CK29" s="114"/>
      <c r="CL29" s="114"/>
      <c r="CM29" s="114"/>
      <c r="CN29" s="413"/>
      <c r="CO29" s="412"/>
      <c r="CP29" s="114"/>
      <c r="CQ29" s="114"/>
      <c r="CR29" s="114"/>
      <c r="CS29" s="413"/>
      <c r="CT29" s="412"/>
      <c r="CU29" s="114"/>
      <c r="CV29" s="114"/>
      <c r="CW29" s="114"/>
      <c r="CX29" s="413"/>
      <c r="CY29" s="412"/>
      <c r="CZ29" s="114"/>
      <c r="DA29" s="114"/>
      <c r="DB29" s="114"/>
      <c r="DC29" s="413"/>
      <c r="DD29" s="412"/>
      <c r="DE29" s="114"/>
      <c r="DF29" s="114"/>
      <c r="DG29" s="114"/>
      <c r="DH29" s="413"/>
      <c r="DI29" s="412"/>
      <c r="DJ29" s="114"/>
      <c r="DK29" s="114"/>
      <c r="DL29" s="114"/>
      <c r="DM29" s="413"/>
      <c r="DN29" s="412"/>
      <c r="DO29" s="114"/>
      <c r="DP29" s="114"/>
      <c r="DQ29" s="114"/>
      <c r="DR29" s="413"/>
      <c r="DS29" s="412"/>
      <c r="DT29" s="114"/>
      <c r="DU29" s="114"/>
      <c r="DV29" s="114"/>
      <c r="DW29" s="413"/>
      <c r="DX29" s="291">
        <f>DX28/DS28-1</f>
      </c>
      <c r="DY29" s="291">
        <f>DY28/DT28-1</f>
      </c>
      <c r="DZ29" s="291">
        <f>DZ28/DU28-1</f>
      </c>
      <c r="EA29" s="114">
        <v>0.3</v>
      </c>
      <c r="EB29" s="292">
        <f t="shared" ref="EB29:ER29" si="10">EB28/DW28-1</f>
      </c>
      <c r="EC29" s="291">
        <f t="shared" si="10"/>
      </c>
      <c r="ED29" s="291">
        <f t="shared" si="10"/>
      </c>
      <c r="EE29" s="291">
        <f t="shared" si="10"/>
      </c>
      <c r="EF29" s="291">
        <f t="shared" si="10"/>
      </c>
      <c r="EG29" s="292">
        <f t="shared" si="10"/>
      </c>
      <c r="EH29" s="291">
        <f t="shared" si="10"/>
      </c>
      <c r="EI29" s="291">
        <f t="shared" si="10"/>
      </c>
      <c r="EJ29" s="291">
        <f t="shared" si="10"/>
      </c>
      <c r="EK29" s="291">
        <f t="shared" si="10"/>
      </c>
      <c r="EL29" s="292">
        <f t="shared" si="10"/>
      </c>
      <c r="EM29" s="291">
        <f t="shared" si="10"/>
      </c>
      <c r="EN29" s="291">
        <f t="shared" si="10"/>
      </c>
      <c r="EO29" s="291">
        <f t="shared" si="10"/>
      </c>
      <c r="EP29" s="291">
        <f t="shared" si="10"/>
      </c>
      <c r="EQ29" s="292">
        <f t="shared" si="10"/>
      </c>
      <c r="ER29" s="291">
        <f t="shared" si="10"/>
      </c>
      <c r="ES29" s="412">
        <v>0.17</v>
      </c>
      <c r="ET29" s="439">
        <v>0.2</v>
      </c>
      <c r="EU29" s="291">
        <f>EU28/EP28-1</f>
      </c>
      <c r="EV29" s="292">
        <f>EV28/EQ28-1</f>
      </c>
      <c r="EW29" s="349">
        <f t="shared" ref="EW29:EY29" si="11">EW28/ER28-1</f>
      </c>
      <c r="EX29" s="349">
        <f t="shared" si="11"/>
      </c>
      <c r="EY29" s="349">
        <f t="shared" si="11"/>
      </c>
      <c r="EZ29" s="291">
        <f>EZ28/EU28-1</f>
      </c>
      <c r="FA29" s="292">
        <f>FA28/EV28-1</f>
      </c>
      <c r="FB29" s="291"/>
      <c r="FC29" s="107"/>
      <c r="FD29" s="107"/>
      <c r="FE29" s="107"/>
      <c r="FF29" s="292"/>
      <c r="FG29" s="291"/>
      <c r="FH29" s="107"/>
      <c r="FI29" s="107"/>
      <c r="FJ29" s="107"/>
      <c r="FK29" s="292"/>
      <c r="FL29" s="291"/>
      <c r="FM29" s="107"/>
      <c r="FN29" s="107"/>
      <c r="FO29" s="107"/>
      <c r="FP29" s="292"/>
      <c r="FQ29" s="291"/>
      <c r="FR29" s="107"/>
      <c r="FS29" s="107"/>
      <c r="FT29" s="107"/>
      <c r="FU29" s="292"/>
      <c r="FV29" s="291"/>
      <c r="FW29" s="107"/>
      <c r="FX29" s="107"/>
      <c r="FY29" s="107"/>
      <c r="FZ29" s="292"/>
      <c r="GA29" s="291"/>
      <c r="GB29" s="107"/>
      <c r="GC29" s="107"/>
      <c r="GD29" s="107"/>
      <c r="GE29" s="292"/>
      <c r="GF29" s="291"/>
      <c r="GG29" s="107"/>
      <c r="GH29" s="107"/>
      <c r="GI29" s="107"/>
      <c r="GJ29" s="292"/>
    </row>
    <row r="30" spans="1:192" s="480" customFormat="1" ht="12.75" customHeight="1">
      <c r="A30" s="68" t="s">
        <v>2039</v>
      </c>
      <c r="B30" s="753" t="s">
        <v>197</v>
      </c>
      <c r="C30" s="412"/>
      <c r="D30" s="114"/>
      <c r="E30" s="114"/>
      <c r="F30" s="114"/>
      <c r="G30" s="413"/>
      <c r="H30" s="412"/>
      <c r="I30" s="114"/>
      <c r="J30" s="114"/>
      <c r="K30" s="114"/>
      <c r="L30" s="413"/>
      <c r="M30" s="412"/>
      <c r="N30" s="114"/>
      <c r="O30" s="114"/>
      <c r="P30" s="114"/>
      <c r="Q30" s="413"/>
      <c r="R30" s="412"/>
      <c r="S30" s="114"/>
      <c r="T30" s="114"/>
      <c r="U30" s="114"/>
      <c r="V30" s="413"/>
      <c r="W30" s="412"/>
      <c r="X30" s="114"/>
      <c r="Y30" s="114"/>
      <c r="Z30" s="114"/>
      <c r="AA30" s="413"/>
      <c r="AB30" s="412"/>
      <c r="AC30" s="114"/>
      <c r="AD30" s="114"/>
      <c r="AE30" s="114"/>
      <c r="AF30" s="413"/>
      <c r="AG30" s="412"/>
      <c r="AH30" s="114"/>
      <c r="AI30" s="114"/>
      <c r="AJ30" s="114"/>
      <c r="AK30" s="413"/>
      <c r="AL30" s="412"/>
      <c r="AM30" s="114"/>
      <c r="AN30" s="114"/>
      <c r="AO30" s="114"/>
      <c r="AP30" s="413"/>
      <c r="AQ30" s="412"/>
      <c r="AR30" s="114"/>
      <c r="AS30" s="114"/>
      <c r="AT30" s="114"/>
      <c r="AU30" s="413"/>
      <c r="AV30" s="412"/>
      <c r="AW30" s="114"/>
      <c r="AX30" s="114"/>
      <c r="AY30" s="114"/>
      <c r="AZ30" s="413"/>
      <c r="BA30" s="412"/>
      <c r="BB30" s="114"/>
      <c r="BC30" s="114"/>
      <c r="BD30" s="114"/>
      <c r="BE30" s="413"/>
      <c r="BF30" s="412"/>
      <c r="BG30" s="114"/>
      <c r="BH30" s="114"/>
      <c r="BI30" s="114"/>
      <c r="BJ30" s="413"/>
      <c r="BK30" s="412"/>
      <c r="BL30" s="114"/>
      <c r="BM30" s="114"/>
      <c r="BN30" s="114"/>
      <c r="BO30" s="413"/>
      <c r="BP30" s="412"/>
      <c r="BQ30" s="114"/>
      <c r="BR30" s="114"/>
      <c r="BS30" s="114"/>
      <c r="BT30" s="413"/>
      <c r="BU30" s="412"/>
      <c r="BV30" s="114"/>
      <c r="BW30" s="114"/>
      <c r="BX30" s="114"/>
      <c r="BY30" s="413"/>
      <c r="BZ30" s="412"/>
      <c r="CA30" s="114"/>
      <c r="CB30" s="114"/>
      <c r="CC30" s="114"/>
      <c r="CD30" s="413"/>
      <c r="CE30" s="412"/>
      <c r="CF30" s="114"/>
      <c r="CG30" s="114"/>
      <c r="CH30" s="114"/>
      <c r="CI30" s="413"/>
      <c r="CJ30" s="412"/>
      <c r="CK30" s="114"/>
      <c r="CL30" s="114"/>
      <c r="CM30" s="114"/>
      <c r="CN30" s="413"/>
      <c r="CO30" s="412"/>
      <c r="CP30" s="114"/>
      <c r="CQ30" s="114"/>
      <c r="CR30" s="114"/>
      <c r="CS30" s="413"/>
      <c r="CT30" s="412"/>
      <c r="CU30" s="114"/>
      <c r="CV30" s="114"/>
      <c r="CW30" s="114"/>
      <c r="CX30" s="413"/>
      <c r="CY30" s="412"/>
      <c r="CZ30" s="114"/>
      <c r="DA30" s="114"/>
      <c r="DB30" s="114"/>
      <c r="DC30" s="413"/>
      <c r="DD30" s="412"/>
      <c r="DE30" s="114"/>
      <c r="DF30" s="114"/>
      <c r="DG30" s="114"/>
      <c r="DH30" s="413"/>
      <c r="DI30" s="412"/>
      <c r="DJ30" s="114"/>
      <c r="DK30" s="114"/>
      <c r="DL30" s="114"/>
      <c r="DM30" s="413"/>
      <c r="DN30" s="412"/>
      <c r="DO30" s="114"/>
      <c r="DP30" s="114"/>
      <c r="DQ30" s="114"/>
      <c r="DR30" s="413"/>
      <c r="DS30" s="412"/>
      <c r="DT30" s="114"/>
      <c r="DU30" s="114"/>
      <c r="DV30" s="114"/>
      <c r="DW30" s="413"/>
      <c r="DX30" s="412">
        <v>0.27</v>
      </c>
      <c r="DY30" s="114">
        <v>0.3</v>
      </c>
      <c r="DZ30" s="114">
        <v>0.25</v>
      </c>
      <c r="EA30" s="114">
        <v>0.32</v>
      </c>
      <c r="EB30" s="413"/>
      <c r="EC30" s="412">
        <v>0.23</v>
      </c>
      <c r="ED30" s="114">
        <v>0.22</v>
      </c>
      <c r="EE30" s="114">
        <v>0.32</v>
      </c>
      <c r="EF30" s="114">
        <v>0.31</v>
      </c>
      <c r="EG30" s="413"/>
      <c r="EH30" s="412">
        <v>0.28999999999999998</v>
      </c>
      <c r="EI30" s="114">
        <v>0.32</v>
      </c>
      <c r="EJ30" s="114">
        <v>0.34</v>
      </c>
      <c r="EK30" s="114">
        <v>0.37</v>
      </c>
      <c r="EL30" s="413"/>
      <c r="EM30" s="412">
        <v>0.34</v>
      </c>
      <c r="EN30" s="114">
        <v>0.26</v>
      </c>
      <c r="EO30" s="114">
        <v>0.26</v>
      </c>
      <c r="EP30" s="114">
        <v>0.18</v>
      </c>
      <c r="EQ30" s="413"/>
      <c r="ER30" s="412">
        <v>0.18</v>
      </c>
      <c r="ES30" s="114">
        <v>0.16</v>
      </c>
      <c r="ET30" s="439">
        <v>0.21</v>
      </c>
      <c r="EU30" s="439">
        <v>0.21</v>
      </c>
      <c r="EV30" s="413"/>
      <c r="EW30" s="441">
        <v>0.21</v>
      </c>
      <c r="EX30" s="439">
        <v>0.36</v>
      </c>
      <c r="EY30" s="439">
        <v>0.33</v>
      </c>
      <c r="EZ30" s="439">
        <v>0.35</v>
      </c>
      <c r="FA30" s="413"/>
      <c r="FB30" s="412"/>
      <c r="FC30" s="114"/>
      <c r="FD30" s="114"/>
      <c r="FE30" s="114"/>
      <c r="FF30" s="413"/>
      <c r="FG30" s="412"/>
      <c r="FH30" s="114"/>
      <c r="FI30" s="114"/>
      <c r="FJ30" s="114"/>
      <c r="FK30" s="413"/>
      <c r="FL30" s="412"/>
      <c r="FM30" s="114"/>
      <c r="FN30" s="114"/>
      <c r="FO30" s="114"/>
      <c r="FP30" s="413"/>
      <c r="FQ30" s="412"/>
      <c r="FR30" s="114"/>
      <c r="FS30" s="114"/>
      <c r="FT30" s="114"/>
      <c r="FU30" s="413"/>
      <c r="FV30" s="412"/>
      <c r="FW30" s="114"/>
      <c r="FX30" s="114"/>
      <c r="FY30" s="114"/>
      <c r="FZ30" s="413"/>
      <c r="GA30" s="412"/>
      <c r="GB30" s="114"/>
      <c r="GC30" s="114"/>
      <c r="GD30" s="114"/>
      <c r="GE30" s="413"/>
      <c r="GF30" s="412"/>
      <c r="GG30" s="114"/>
      <c r="GH30" s="114"/>
      <c r="GI30" s="114"/>
      <c r="GJ30" s="413"/>
    </row>
    <row r="31" spans="1:192" ht="12.75" customHeight="1">
      <c r="A31" s="68" t="s">
        <v>2040</v>
      </c>
      <c r="B31" s="727" t="s">
        <v>36</v>
      </c>
      <c r="C31" s="291"/>
      <c r="D31" s="107"/>
      <c r="E31" s="107"/>
      <c r="F31" s="107"/>
      <c r="G31" s="293"/>
      <c r="H31" s="291"/>
      <c r="I31" s="107"/>
      <c r="J31" s="107"/>
      <c r="K31" s="107"/>
      <c r="L31" s="293"/>
      <c r="M31" s="291"/>
      <c r="N31" s="107"/>
      <c r="O31" s="107"/>
      <c r="P31" s="107"/>
      <c r="Q31" s="293"/>
      <c r="R31" s="291"/>
      <c r="S31" s="107"/>
      <c r="T31" s="107"/>
      <c r="U31" s="107"/>
      <c r="V31" s="293"/>
      <c r="W31" s="291"/>
      <c r="X31" s="107"/>
      <c r="Y31" s="107"/>
      <c r="Z31" s="107"/>
      <c r="AA31" s="293"/>
      <c r="AB31" s="291"/>
      <c r="AC31" s="107"/>
      <c r="AD31" s="107"/>
      <c r="AE31" s="107"/>
      <c r="AF31" s="293"/>
      <c r="AG31" s="291"/>
      <c r="AH31" s="107"/>
      <c r="AI31" s="107"/>
      <c r="AJ31" s="107"/>
      <c r="AK31" s="293"/>
      <c r="AL31" s="291"/>
      <c r="AM31" s="107"/>
      <c r="AN31" s="107"/>
      <c r="AO31" s="107"/>
      <c r="AP31" s="293"/>
      <c r="AQ31" s="291"/>
      <c r="AR31" s="107"/>
      <c r="AS31" s="107"/>
      <c r="AT31" s="107"/>
      <c r="AU31" s="293"/>
      <c r="AV31" s="291"/>
      <c r="AW31" s="107"/>
      <c r="AX31" s="107"/>
      <c r="AY31" s="107"/>
      <c r="AZ31" s="293"/>
      <c r="BA31" s="291"/>
      <c r="BB31" s="107"/>
      <c r="BC31" s="107"/>
      <c r="BD31" s="107"/>
      <c r="BE31" s="293"/>
      <c r="BF31" s="291"/>
      <c r="BG31" s="107"/>
      <c r="BH31" s="107"/>
      <c r="BI31" s="107"/>
      <c r="BJ31" s="293"/>
      <c r="BK31" s="291"/>
      <c r="BL31" s="107"/>
      <c r="BM31" s="107"/>
      <c r="BN31" s="107"/>
      <c r="BO31" s="293"/>
      <c r="BP31" s="291"/>
      <c r="BQ31" s="107"/>
      <c r="BR31" s="107"/>
      <c r="BS31" s="107"/>
      <c r="BT31" s="293"/>
      <c r="BU31" s="291"/>
      <c r="BV31" s="107"/>
      <c r="BW31" s="107"/>
      <c r="BX31" s="107"/>
      <c r="BY31" s="293"/>
      <c r="BZ31" s="291"/>
      <c r="CA31" s="107"/>
      <c r="CB31" s="107"/>
      <c r="CC31" s="107"/>
      <c r="CD31" s="293"/>
      <c r="CE31" s="291"/>
      <c r="CF31" s="107"/>
      <c r="CG31" s="107"/>
      <c r="CH31" s="107"/>
      <c r="CI31" s="293"/>
      <c r="CJ31" s="291"/>
      <c r="CK31" s="107"/>
      <c r="CL31" s="107"/>
      <c r="CM31" s="107"/>
      <c r="CN31" s="293"/>
      <c r="CO31" s="291"/>
      <c r="CP31" s="107"/>
      <c r="CQ31" s="107"/>
      <c r="CR31" s="107"/>
      <c r="CS31" s="293"/>
      <c r="CT31" s="291"/>
      <c r="CU31" s="107"/>
      <c r="CV31" s="107"/>
      <c r="CW31" s="107"/>
      <c r="CX31" s="293"/>
      <c r="CY31" s="291"/>
      <c r="CZ31" s="107"/>
      <c r="DA31" s="107"/>
      <c r="DB31" s="107"/>
      <c r="DC31" s="293"/>
      <c r="DD31" s="291"/>
      <c r="DE31" s="107"/>
      <c r="DF31" s="107"/>
      <c r="DG31" s="107"/>
      <c r="DH31" s="293"/>
      <c r="DI31" s="291"/>
      <c r="DJ31" s="107"/>
      <c r="DK31" s="107"/>
      <c r="DL31" s="107"/>
      <c r="DM31" s="293"/>
      <c r="DN31" s="291"/>
      <c r="DO31" s="107"/>
      <c r="DP31" s="107"/>
      <c r="DQ31" s="107"/>
      <c r="DR31" s="293"/>
      <c r="DS31" s="291"/>
      <c r="DT31" s="107">
        <f>DT28/DS28-1</f>
      </c>
      <c r="DU31" s="107">
        <f>DU28/DT28-1</f>
      </c>
      <c r="DV31" s="107">
        <f>DV28/DU28-1</f>
      </c>
      <c r="DW31" s="293"/>
      <c r="DX31" s="291">
        <f>DX28/DV28-1</f>
      </c>
      <c r="DY31" s="107">
        <f>DY28/DX28-1</f>
      </c>
      <c r="DZ31" s="107">
        <f>DZ28/DY28-1</f>
      </c>
      <c r="EA31" s="107">
        <f>EA28/DZ28-1</f>
      </c>
      <c r="EB31" s="293"/>
      <c r="EC31" s="291">
        <f>EC28/EA28-1</f>
      </c>
      <c r="ED31" s="107">
        <f>ED28/EC28-1</f>
      </c>
      <c r="EE31" s="107">
        <f>EE28/ED28-1</f>
      </c>
      <c r="EF31" s="107">
        <f>EF28/EE28-1</f>
      </c>
      <c r="EG31" s="293"/>
      <c r="EH31" s="291">
        <f>EH28/EF28-1</f>
      </c>
      <c r="EI31" s="107">
        <f>EI28/EH28-1</f>
      </c>
      <c r="EJ31" s="107">
        <f>EJ28/EI28-1</f>
      </c>
      <c r="EK31" s="107">
        <f>EK28/EJ28-1</f>
      </c>
      <c r="EL31" s="293"/>
      <c r="EM31" s="291">
        <f>EM28/EK28-1</f>
      </c>
      <c r="EN31" s="107">
        <f>EN28/EM28-1</f>
      </c>
      <c r="EO31" s="107">
        <f>EO28/EN28-1</f>
      </c>
      <c r="EP31" s="107">
        <f>EP28/EO28-1</f>
      </c>
      <c r="EQ31" s="293"/>
      <c r="ER31" s="291">
        <f>ER28/EP28-1</f>
      </c>
      <c r="ES31" s="107">
        <f>ES28/ER28-1</f>
      </c>
      <c r="ET31" s="107">
        <f>ET28/ES28-1</f>
      </c>
      <c r="EU31" s="107">
        <f>EU28/ET28-1</f>
      </c>
      <c r="EV31" s="293"/>
      <c r="EW31" s="291">
        <f>EW28/EU28-1</f>
      </c>
      <c r="EX31" s="107">
        <f>EX28/EW28-1</f>
      </c>
      <c r="EY31" s="107">
        <f>EY28/EX28-1</f>
      </c>
      <c r="EZ31" s="107">
        <f>EZ28/EY28-1</f>
      </c>
      <c r="FA31" s="293"/>
      <c r="FB31" s="291"/>
      <c r="FC31" s="107"/>
      <c r="FD31" s="107"/>
      <c r="FE31" s="107"/>
      <c r="FF31" s="293"/>
      <c r="FG31" s="291"/>
      <c r="FH31" s="107"/>
      <c r="FI31" s="107"/>
      <c r="FJ31" s="107"/>
      <c r="FK31" s="293"/>
      <c r="FL31" s="291"/>
      <c r="FM31" s="107"/>
      <c r="FN31" s="107"/>
      <c r="FO31" s="107"/>
      <c r="FP31" s="293"/>
      <c r="FQ31" s="291"/>
      <c r="FR31" s="107"/>
      <c r="FS31" s="107"/>
      <c r="FT31" s="107"/>
      <c r="FU31" s="293"/>
      <c r="FV31" s="291"/>
      <c r="FW31" s="107"/>
      <c r="FX31" s="107"/>
      <c r="FY31" s="107"/>
      <c r="FZ31" s="293"/>
      <c r="GA31" s="291"/>
      <c r="GB31" s="107"/>
      <c r="GC31" s="107"/>
      <c r="GD31" s="107"/>
      <c r="GE31" s="293"/>
      <c r="GF31" s="291"/>
      <c r="GG31" s="107"/>
      <c r="GH31" s="107"/>
      <c r="GI31" s="107"/>
      <c r="GJ31" s="293"/>
    </row>
    <row r="32" spans="1:192" ht="12.75" customHeight="1">
      <c r="B32" s="727" t="s">
        <v>446</v>
      </c>
      <c r="C32" s="291"/>
      <c r="D32" s="107"/>
      <c r="E32" s="107"/>
      <c r="F32" s="107"/>
      <c r="G32" s="293"/>
      <c r="H32" s="291"/>
      <c r="I32" s="107"/>
      <c r="J32" s="107"/>
      <c r="K32" s="107"/>
      <c r="L32" s="293"/>
      <c r="M32" s="291"/>
      <c r="N32" s="107"/>
      <c r="O32" s="107"/>
      <c r="P32" s="107"/>
      <c r="Q32" s="293"/>
      <c r="R32" s="291"/>
      <c r="S32" s="107"/>
      <c r="T32" s="107"/>
      <c r="U32" s="107"/>
      <c r="V32" s="293"/>
      <c r="W32" s="291"/>
      <c r="X32" s="107"/>
      <c r="Y32" s="107"/>
      <c r="Z32" s="107"/>
      <c r="AA32" s="293"/>
      <c r="AB32" s="291"/>
      <c r="AC32" s="107"/>
      <c r="AD32" s="107"/>
      <c r="AE32" s="107"/>
      <c r="AF32" s="293"/>
      <c r="AG32" s="291"/>
      <c r="AH32" s="107"/>
      <c r="AI32" s="107"/>
      <c r="AJ32" s="107"/>
      <c r="AK32" s="293"/>
      <c r="AL32" s="291"/>
      <c r="AM32" s="107"/>
      <c r="AN32" s="107"/>
      <c r="AO32" s="107"/>
      <c r="AP32" s="293"/>
      <c r="AQ32" s="291"/>
      <c r="AR32" s="107"/>
      <c r="AS32" s="107"/>
      <c r="AT32" s="107"/>
      <c r="AU32" s="293"/>
      <c r="AV32" s="291"/>
      <c r="AW32" s="107"/>
      <c r="AX32" s="107"/>
      <c r="AY32" s="107"/>
      <c r="AZ32" s="293"/>
      <c r="BA32" s="291"/>
      <c r="BB32" s="107"/>
      <c r="BC32" s="107"/>
      <c r="BD32" s="107"/>
      <c r="BE32" s="293"/>
      <c r="BF32" s="291"/>
      <c r="BG32" s="107"/>
      <c r="BH32" s="107"/>
      <c r="BI32" s="107"/>
      <c r="BJ32" s="293"/>
      <c r="BK32" s="291"/>
      <c r="BL32" s="107"/>
      <c r="BM32" s="107"/>
      <c r="BN32" s="107"/>
      <c r="BO32" s="293"/>
      <c r="BP32" s="291"/>
      <c r="BQ32" s="107"/>
      <c r="BR32" s="107"/>
      <c r="BS32" s="107"/>
      <c r="BT32" s="293"/>
      <c r="BU32" s="291"/>
      <c r="BV32" s="107"/>
      <c r="BW32" s="107"/>
      <c r="BX32" s="107"/>
      <c r="BY32" s="293"/>
      <c r="BZ32" s="291"/>
      <c r="CA32" s="107"/>
      <c r="CB32" s="107"/>
      <c r="CC32" s="107"/>
      <c r="CD32" s="293"/>
      <c r="CE32" s="291"/>
      <c r="CF32" s="107"/>
      <c r="CG32" s="107"/>
      <c r="CH32" s="107"/>
      <c r="CI32" s="293"/>
      <c r="CJ32" s="291"/>
      <c r="CK32" s="107"/>
      <c r="CL32" s="107"/>
      <c r="CM32" s="107"/>
      <c r="CN32" s="293"/>
      <c r="CO32" s="291"/>
      <c r="CP32" s="107"/>
      <c r="CQ32" s="107"/>
      <c r="CR32" s="107"/>
      <c r="CS32" s="293"/>
      <c r="CT32" s="291"/>
      <c r="CU32" s="107"/>
      <c r="CV32" s="107"/>
      <c r="CW32" s="107"/>
      <c r="CX32" s="293"/>
      <c r="CY32" s="448"/>
      <c r="CZ32" s="107"/>
      <c r="DA32" s="107"/>
      <c r="DB32" s="107"/>
      <c r="DC32" s="293"/>
      <c r="DD32" s="447"/>
      <c r="DE32" s="447"/>
      <c r="DF32" s="447"/>
      <c r="DG32" s="447"/>
      <c r="DH32" s="459"/>
      <c r="DI32" s="447"/>
      <c r="DJ32" s="447"/>
      <c r="DK32" s="447"/>
      <c r="DL32" s="447"/>
      <c r="DM32" s="459"/>
      <c r="DN32" s="447"/>
      <c r="DO32" s="447"/>
      <c r="DP32" s="447"/>
      <c r="DQ32" s="447"/>
      <c r="DR32" s="459"/>
      <c r="DS32" s="447"/>
      <c r="DT32" s="447"/>
      <c r="DU32" s="447"/>
      <c r="DV32" s="447"/>
      <c r="DW32" s="459"/>
      <c r="DX32" s="447">
        <f t="shared" ref="DX32" si="12">DX28-DS28</f>
      </c>
      <c r="DY32" s="447">
        <f t="shared" ref="DY32" si="13">DY28-DT28</f>
      </c>
      <c r="DZ32" s="447">
        <f t="shared" ref="DZ32" si="14">DZ28-DU28</f>
      </c>
      <c r="EA32" s="447">
        <f t="shared" ref="EA32" si="15">EA28-DV28</f>
      </c>
      <c r="EB32" s="459">
        <f t="shared" ref="EB32" si="16">EB28-DW28</f>
      </c>
      <c r="EC32" s="447">
        <f t="shared" ref="EC32" si="17">EC28-DX28</f>
      </c>
      <c r="ED32" s="447">
        <f t="shared" ref="ED32" si="18">ED28-DY28</f>
      </c>
      <c r="EE32" s="447">
        <f t="shared" ref="EE32" si="19">EE28-DZ28</f>
      </c>
      <c r="EF32" s="447">
        <f t="shared" ref="EF32" si="20">EF28-EA28</f>
      </c>
      <c r="EG32" s="459">
        <f t="shared" ref="EG32" si="21">EG28-EB28</f>
      </c>
      <c r="EH32" s="447">
        <f t="shared" ref="EH32" si="22">EH28-EC28</f>
      </c>
      <c r="EI32" s="447">
        <f t="shared" ref="EI32" si="23">EI28-ED28</f>
      </c>
      <c r="EJ32" s="447">
        <f t="shared" ref="EJ32" si="24">EJ28-EE28</f>
      </c>
      <c r="EK32" s="447">
        <f t="shared" ref="EK32" si="25">EK28-EF28</f>
      </c>
      <c r="EL32" s="459">
        <f t="shared" ref="EL32" si="26">EL28-EG28</f>
      </c>
      <c r="EM32" s="447">
        <f t="shared" ref="EM32" si="27">EM28-EH28</f>
      </c>
      <c r="EN32" s="447">
        <f t="shared" ref="EN32" si="28">EN28-EI28</f>
      </c>
      <c r="EO32" s="447">
        <f t="shared" ref="EO32" si="29">EO28-EJ28</f>
      </c>
      <c r="EP32" s="447">
        <f t="shared" ref="EP32" si="30">EP28-EK28</f>
      </c>
      <c r="EQ32" s="459">
        <f t="shared" ref="EQ32" si="31">EQ28-EL28</f>
      </c>
      <c r="ER32" s="447">
        <f t="shared" ref="ER32" si="32">ER28-EM28</f>
      </c>
      <c r="ES32" s="447">
        <f t="shared" ref="ES32" si="33">ES28-EN28</f>
      </c>
      <c r="ET32" s="447">
        <f t="shared" ref="ET32" si="34">ET28-EO28</f>
      </c>
      <c r="EU32" s="447">
        <f>EU28-EP28</f>
      </c>
      <c r="EV32" s="459">
        <f>EV28-EQ28</f>
      </c>
      <c r="EW32" s="447">
        <f t="shared" ref="EW32" si="35">EW28-ER28</f>
      </c>
      <c r="EX32" s="447">
        <f t="shared" ref="EX32" si="36">EX28-ES28</f>
      </c>
      <c r="EY32" s="447">
        <f t="shared" ref="EY32" si="37">EY28-ET28</f>
      </c>
      <c r="EZ32" s="447">
        <f>EZ28-EU28</f>
      </c>
      <c r="FA32" s="459">
        <f>FA28-EV28</f>
      </c>
      <c r="FB32" s="447"/>
      <c r="FC32" s="447"/>
      <c r="FD32" s="447"/>
      <c r="FE32" s="447"/>
      <c r="FF32" s="459"/>
      <c r="FG32" s="447"/>
      <c r="FH32" s="447"/>
      <c r="FI32" s="447"/>
      <c r="FJ32" s="447"/>
      <c r="FK32" s="459"/>
      <c r="FL32" s="447"/>
      <c r="FM32" s="447"/>
      <c r="FN32" s="447"/>
      <c r="FO32" s="447"/>
      <c r="FP32" s="459"/>
      <c r="FQ32" s="447"/>
      <c r="FR32" s="447"/>
      <c r="FS32" s="447"/>
      <c r="FT32" s="447"/>
      <c r="FU32" s="459"/>
      <c r="FV32" s="447"/>
      <c r="FW32" s="447"/>
      <c r="FX32" s="447"/>
      <c r="FY32" s="447"/>
      <c r="FZ32" s="459"/>
      <c r="GA32" s="447"/>
      <c r="GB32" s="447"/>
      <c r="GC32" s="447"/>
      <c r="GD32" s="447"/>
      <c r="GE32" s="459"/>
      <c r="GF32" s="447"/>
      <c r="GG32" s="447"/>
      <c r="GH32" s="447"/>
      <c r="GI32" s="447"/>
      <c r="GJ32" s="459"/>
    </row>
    <row r="33" spans="1:192" ht="12.75" customHeight="1">
      <c r="B33" s="727" t="s">
        <v>447</v>
      </c>
      <c r="C33" s="291"/>
      <c r="D33" s="107"/>
      <c r="E33" s="107"/>
      <c r="F33" s="107"/>
      <c r="G33" s="293"/>
      <c r="H33" s="291"/>
      <c r="I33" s="107"/>
      <c r="J33" s="107"/>
      <c r="K33" s="107"/>
      <c r="L33" s="293"/>
      <c r="M33" s="291"/>
      <c r="N33" s="107"/>
      <c r="O33" s="107"/>
      <c r="P33" s="107"/>
      <c r="Q33" s="293"/>
      <c r="R33" s="291"/>
      <c r="S33" s="107"/>
      <c r="T33" s="107"/>
      <c r="U33" s="107"/>
      <c r="V33" s="293"/>
      <c r="W33" s="291"/>
      <c r="X33" s="107"/>
      <c r="Y33" s="107"/>
      <c r="Z33" s="107"/>
      <c r="AA33" s="293"/>
      <c r="AB33" s="291"/>
      <c r="AC33" s="107"/>
      <c r="AD33" s="107"/>
      <c r="AE33" s="107"/>
      <c r="AF33" s="293"/>
      <c r="AG33" s="291"/>
      <c r="AH33" s="107"/>
      <c r="AI33" s="107"/>
      <c r="AJ33" s="107"/>
      <c r="AK33" s="293"/>
      <c r="AL33" s="291"/>
      <c r="AM33" s="107"/>
      <c r="AN33" s="107"/>
      <c r="AO33" s="107"/>
      <c r="AP33" s="293"/>
      <c r="AQ33" s="291"/>
      <c r="AR33" s="107"/>
      <c r="AS33" s="107"/>
      <c r="AT33" s="107"/>
      <c r="AU33" s="293"/>
      <c r="AV33" s="291"/>
      <c r="AW33" s="107"/>
      <c r="AX33" s="107"/>
      <c r="AY33" s="107"/>
      <c r="AZ33" s="293"/>
      <c r="BA33" s="291"/>
      <c r="BB33" s="107"/>
      <c r="BC33" s="107"/>
      <c r="BD33" s="107"/>
      <c r="BE33" s="293"/>
      <c r="BF33" s="291"/>
      <c r="BG33" s="107"/>
      <c r="BH33" s="107"/>
      <c r="BI33" s="107"/>
      <c r="BJ33" s="293"/>
      <c r="BK33" s="291"/>
      <c r="BL33" s="107"/>
      <c r="BM33" s="107"/>
      <c r="BN33" s="107"/>
      <c r="BO33" s="293"/>
      <c r="BP33" s="291"/>
      <c r="BQ33" s="107"/>
      <c r="BR33" s="107"/>
      <c r="BS33" s="107"/>
      <c r="BT33" s="293"/>
      <c r="BU33" s="291"/>
      <c r="BV33" s="107"/>
      <c r="BW33" s="107"/>
      <c r="BX33" s="107"/>
      <c r="BY33" s="293"/>
      <c r="BZ33" s="291"/>
      <c r="CA33" s="107"/>
      <c r="CB33" s="107"/>
      <c r="CC33" s="107"/>
      <c r="CD33" s="293"/>
      <c r="CE33" s="291"/>
      <c r="CF33" s="107"/>
      <c r="CG33" s="107"/>
      <c r="CH33" s="107"/>
      <c r="CI33" s="293"/>
      <c r="CJ33" s="291"/>
      <c r="CK33" s="107"/>
      <c r="CL33" s="107"/>
      <c r="CM33" s="107"/>
      <c r="CN33" s="293"/>
      <c r="CO33" s="291"/>
      <c r="CP33" s="107"/>
      <c r="CQ33" s="107"/>
      <c r="CR33" s="107"/>
      <c r="CS33" s="293"/>
      <c r="CT33" s="291"/>
      <c r="CU33" s="107"/>
      <c r="CV33" s="107"/>
      <c r="CW33" s="107"/>
      <c r="CX33" s="293"/>
      <c r="CY33" s="291"/>
      <c r="CZ33" s="107"/>
      <c r="DA33" s="107"/>
      <c r="DB33" s="107"/>
      <c r="DC33" s="293"/>
      <c r="DD33" s="447"/>
      <c r="DE33" s="447"/>
      <c r="DF33" s="447"/>
      <c r="DG33" s="447"/>
      <c r="DH33" s="293"/>
      <c r="DI33" s="447"/>
      <c r="DJ33" s="447"/>
      <c r="DK33" s="447"/>
      <c r="DL33" s="447"/>
      <c r="DM33" s="293"/>
      <c r="DN33" s="447"/>
      <c r="DO33" s="447"/>
      <c r="DP33" s="447"/>
      <c r="DQ33" s="447"/>
      <c r="DR33" s="293"/>
      <c r="DS33" s="447"/>
      <c r="DT33" s="447">
        <f>DT28-DS28</f>
      </c>
      <c r="DU33" s="447">
        <f>DU28-DT28</f>
      </c>
      <c r="DV33" s="447">
        <f>DV28-DU28</f>
      </c>
      <c r="DW33" s="293"/>
      <c r="DX33" s="447">
        <f>DX28-DV28</f>
      </c>
      <c r="DY33" s="447">
        <f>DY28-DX28</f>
      </c>
      <c r="DZ33" s="447">
        <f>DZ28-DY28</f>
      </c>
      <c r="EA33" s="447">
        <f>EA28-DZ28</f>
      </c>
      <c r="EB33" s="293"/>
      <c r="EC33" s="447">
        <f>EC28-EA28</f>
      </c>
      <c r="ED33" s="447">
        <f>ED28-EC28</f>
      </c>
      <c r="EE33" s="447">
        <f>EE28-ED28</f>
      </c>
      <c r="EF33" s="447">
        <f>EF28-EE28</f>
      </c>
      <c r="EG33" s="293"/>
      <c r="EH33" s="447">
        <f>EH28-EF28</f>
      </c>
      <c r="EI33" s="447">
        <f>EI28-EH28</f>
      </c>
      <c r="EJ33" s="447">
        <f>EJ28-EI28</f>
      </c>
      <c r="EK33" s="447">
        <f>EK28-EJ28</f>
      </c>
      <c r="EL33" s="293"/>
      <c r="EM33" s="447">
        <f>EM28-EK28</f>
      </c>
      <c r="EN33" s="447">
        <f>EN28-EM28</f>
      </c>
      <c r="EO33" s="447">
        <f>EO28-EN28</f>
      </c>
      <c r="EP33" s="447">
        <f>EP28-EO28</f>
      </c>
      <c r="EQ33" s="293"/>
      <c r="ER33" s="447">
        <f>ER28-EP28</f>
      </c>
      <c r="ES33" s="447">
        <f>ES28-ER28</f>
      </c>
      <c r="ET33" s="447">
        <f>ET28-ES28</f>
      </c>
      <c r="EU33" s="447">
        <f>EU28-ET28</f>
      </c>
      <c r="EV33" s="293"/>
      <c r="EW33" s="447">
        <f>EW28-EU28</f>
      </c>
      <c r="EX33" s="447">
        <f>EX28-EW28</f>
      </c>
      <c r="EY33" s="447">
        <f>EY28-EX28</f>
      </c>
      <c r="EZ33" s="447">
        <f>EZ28-EY28</f>
      </c>
      <c r="FA33" s="293"/>
      <c r="FB33" s="447"/>
      <c r="FC33" s="447"/>
      <c r="FD33" s="447"/>
      <c r="FE33" s="447"/>
      <c r="FF33" s="293"/>
      <c r="FG33" s="447"/>
      <c r="FH33" s="447"/>
      <c r="FI33" s="447"/>
      <c r="FJ33" s="447"/>
      <c r="FK33" s="293"/>
      <c r="FL33" s="447"/>
      <c r="FM33" s="447"/>
      <c r="FN33" s="447"/>
      <c r="FO33" s="447"/>
      <c r="FP33" s="293"/>
      <c r="FQ33" s="447"/>
      <c r="FR33" s="447"/>
      <c r="FS33" s="447"/>
      <c r="FT33" s="447"/>
      <c r="FU33" s="293"/>
      <c r="FV33" s="447"/>
      <c r="FW33" s="447"/>
      <c r="FX33" s="447"/>
      <c r="FY33" s="447"/>
      <c r="FZ33" s="293"/>
      <c r="GA33" s="447"/>
      <c r="GB33" s="447"/>
      <c r="GC33" s="447"/>
      <c r="GD33" s="447"/>
      <c r="GE33" s="293"/>
      <c r="GF33" s="447"/>
      <c r="GG33" s="447"/>
      <c r="GH33" s="447"/>
      <c r="GI33" s="447"/>
      <c r="GJ33" s="293"/>
    </row>
    <row r="34" spans="1:192" ht="12.75" customHeight="1">
      <c r="B34" s="727"/>
      <c r="C34" s="291"/>
      <c r="D34" s="107"/>
      <c r="E34" s="107"/>
      <c r="F34" s="107"/>
      <c r="G34" s="293"/>
      <c r="H34" s="291"/>
      <c r="I34" s="107"/>
      <c r="J34" s="107"/>
      <c r="K34" s="107"/>
      <c r="L34" s="293"/>
      <c r="M34" s="291"/>
      <c r="N34" s="107"/>
      <c r="O34" s="107"/>
      <c r="P34" s="107"/>
      <c r="Q34" s="293"/>
      <c r="R34" s="291"/>
      <c r="S34" s="107"/>
      <c r="T34" s="107"/>
      <c r="U34" s="107"/>
      <c r="V34" s="293"/>
      <c r="W34" s="291"/>
      <c r="X34" s="107"/>
      <c r="Y34" s="107"/>
      <c r="Z34" s="107"/>
      <c r="AA34" s="293"/>
      <c r="AB34" s="291"/>
      <c r="AC34" s="107"/>
      <c r="AD34" s="107"/>
      <c r="AE34" s="107"/>
      <c r="AF34" s="293"/>
      <c r="AG34" s="291"/>
      <c r="AH34" s="107"/>
      <c r="AI34" s="107"/>
      <c r="AJ34" s="107"/>
      <c r="AK34" s="293"/>
      <c r="AL34" s="291"/>
      <c r="AM34" s="107"/>
      <c r="AN34" s="107"/>
      <c r="AO34" s="107"/>
      <c r="AP34" s="293"/>
      <c r="AQ34" s="291"/>
      <c r="AR34" s="107"/>
      <c r="AS34" s="107"/>
      <c r="AT34" s="107"/>
      <c r="AU34" s="293"/>
      <c r="AV34" s="291"/>
      <c r="AW34" s="107"/>
      <c r="AX34" s="107"/>
      <c r="AY34" s="107"/>
      <c r="AZ34" s="293"/>
      <c r="BA34" s="291"/>
      <c r="BB34" s="107"/>
      <c r="BC34" s="107"/>
      <c r="BD34" s="107"/>
      <c r="BE34" s="293"/>
      <c r="BF34" s="291"/>
      <c r="BG34" s="107"/>
      <c r="BH34" s="107"/>
      <c r="BI34" s="107"/>
      <c r="BJ34" s="293"/>
      <c r="BK34" s="291"/>
      <c r="BL34" s="107"/>
      <c r="BM34" s="107"/>
      <c r="BN34" s="107"/>
      <c r="BO34" s="293"/>
      <c r="BP34" s="291"/>
      <c r="BQ34" s="107"/>
      <c r="BR34" s="107"/>
      <c r="BS34" s="107"/>
      <c r="BT34" s="293"/>
      <c r="BU34" s="291"/>
      <c r="BV34" s="107"/>
      <c r="BW34" s="107"/>
      <c r="BX34" s="107"/>
      <c r="BY34" s="293"/>
      <c r="BZ34" s="291"/>
      <c r="CA34" s="107"/>
      <c r="CB34" s="107"/>
      <c r="CC34" s="107"/>
      <c r="CD34" s="293"/>
      <c r="CE34" s="291"/>
      <c r="CF34" s="107"/>
      <c r="CG34" s="107"/>
      <c r="CH34" s="107"/>
      <c r="CI34" s="293"/>
      <c r="CJ34" s="291"/>
      <c r="CK34" s="107"/>
      <c r="CL34" s="107"/>
      <c r="CM34" s="107"/>
      <c r="CN34" s="293"/>
      <c r="CO34" s="291"/>
      <c r="CP34" s="107"/>
      <c r="CQ34" s="107"/>
      <c r="CR34" s="107"/>
      <c r="CS34" s="293"/>
      <c r="CT34" s="291"/>
      <c r="CU34" s="107"/>
      <c r="CV34" s="107"/>
      <c r="CW34" s="107"/>
      <c r="CX34" s="293"/>
      <c r="CY34" s="291"/>
      <c r="CZ34" s="107"/>
      <c r="DA34" s="107"/>
      <c r="DB34" s="107"/>
      <c r="DC34" s="293"/>
      <c r="DD34" s="291"/>
      <c r="DE34" s="107"/>
      <c r="DF34" s="107"/>
      <c r="DG34" s="107"/>
      <c r="DH34" s="293"/>
      <c r="DI34" s="291"/>
      <c r="DJ34" s="107"/>
      <c r="DK34" s="107"/>
      <c r="DL34" s="107"/>
      <c r="DM34" s="293"/>
      <c r="DN34" s="291"/>
      <c r="DO34" s="107"/>
      <c r="DP34" s="107"/>
      <c r="DQ34" s="107"/>
      <c r="DR34" s="293"/>
      <c r="DS34" s="291"/>
      <c r="DT34" s="107"/>
      <c r="DU34" s="107"/>
      <c r="DV34" s="107"/>
      <c r="DW34" s="293"/>
      <c r="DX34" s="291"/>
      <c r="DY34" s="107"/>
      <c r="DZ34" s="107"/>
      <c r="EA34" s="107"/>
      <c r="EB34" s="293"/>
      <c r="EC34" s="291"/>
      <c r="ED34" s="107"/>
      <c r="EE34" s="107"/>
      <c r="EF34" s="107"/>
      <c r="EG34" s="293"/>
      <c r="EH34" s="291"/>
      <c r="EI34" s="107"/>
      <c r="EJ34" s="107"/>
      <c r="EK34" s="107"/>
      <c r="EL34" s="293"/>
      <c r="EM34" s="291"/>
      <c r="EN34" s="107"/>
      <c r="EO34" s="107"/>
      <c r="EP34" s="107"/>
      <c r="EQ34" s="293"/>
      <c r="ER34" s="291"/>
      <c r="ES34" s="107"/>
      <c r="ET34" s="107"/>
      <c r="EU34" s="107"/>
      <c r="EV34" s="293"/>
      <c r="EW34" s="291"/>
      <c r="EX34" s="107"/>
      <c r="EY34" s="107"/>
      <c r="EZ34" s="107"/>
      <c r="FA34" s="293"/>
      <c r="FB34" s="291"/>
      <c r="FC34" s="107"/>
      <c r="FD34" s="107"/>
      <c r="FE34" s="107"/>
      <c r="FF34" s="293"/>
      <c r="FG34" s="291"/>
      <c r="FH34" s="107"/>
      <c r="FI34" s="107"/>
      <c r="FJ34" s="107"/>
      <c r="FK34" s="293"/>
      <c r="FL34" s="291"/>
      <c r="FM34" s="107"/>
      <c r="FN34" s="107"/>
      <c r="FO34" s="107"/>
      <c r="FP34" s="293"/>
      <c r="FQ34" s="291"/>
      <c r="FR34" s="107"/>
      <c r="FS34" s="107"/>
      <c r="FT34" s="107"/>
      <c r="FU34" s="293"/>
      <c r="FV34" s="291"/>
      <c r="FW34" s="107"/>
      <c r="FX34" s="107"/>
      <c r="FY34" s="107"/>
      <c r="FZ34" s="293"/>
      <c r="GA34" s="291"/>
      <c r="GB34" s="107"/>
      <c r="GC34" s="107"/>
      <c r="GD34" s="107"/>
      <c r="GE34" s="293"/>
      <c r="GF34" s="291"/>
      <c r="GG34" s="107"/>
      <c r="GH34" s="107"/>
      <c r="GI34" s="107"/>
      <c r="GJ34" s="293"/>
    </row>
    <row r="35" spans="1:192" s="317" customFormat="1" ht="12.75" customHeight="1">
      <c r="A35" s="280"/>
      <c r="B35" s="726" t="s">
        <v>412</v>
      </c>
      <c r="C35" s="316"/>
      <c r="D35" s="316"/>
      <c r="E35" s="316"/>
      <c r="F35" s="316"/>
      <c r="G35" s="453"/>
      <c r="H35" s="316"/>
      <c r="I35" s="316"/>
      <c r="J35" s="316"/>
      <c r="K35" s="316"/>
      <c r="L35" s="453"/>
      <c r="M35" s="316"/>
      <c r="N35" s="316"/>
      <c r="O35" s="316"/>
      <c r="P35" s="316"/>
      <c r="Q35" s="453"/>
      <c r="R35" s="316"/>
      <c r="S35" s="316"/>
      <c r="T35" s="316"/>
      <c r="U35" s="316"/>
      <c r="V35" s="453"/>
      <c r="W35" s="316"/>
      <c r="X35" s="316"/>
      <c r="Y35" s="316"/>
      <c r="Z35" s="316"/>
      <c r="AA35" s="453"/>
      <c r="AB35" s="316"/>
      <c r="AC35" s="316"/>
      <c r="AD35" s="316"/>
      <c r="AE35" s="316"/>
      <c r="AF35" s="453"/>
      <c r="AG35" s="316"/>
      <c r="AH35" s="316"/>
      <c r="AI35" s="316"/>
      <c r="AJ35" s="316"/>
      <c r="AK35" s="453"/>
      <c r="AL35" s="316"/>
      <c r="AM35" s="316"/>
      <c r="AN35" s="316"/>
      <c r="AO35" s="316"/>
      <c r="AP35" s="453"/>
      <c r="AQ35" s="316"/>
      <c r="AR35" s="316"/>
      <c r="AS35" s="316"/>
      <c r="AT35" s="316"/>
      <c r="AU35" s="453"/>
      <c r="AV35" s="316"/>
      <c r="AW35" s="316"/>
      <c r="AX35" s="316"/>
      <c r="AY35" s="316"/>
      <c r="AZ35" s="453"/>
      <c r="BA35" s="316"/>
      <c r="BB35" s="316"/>
      <c r="BC35" s="316"/>
      <c r="BD35" s="316"/>
      <c r="BE35" s="453"/>
      <c r="BF35" s="316"/>
      <c r="BG35" s="316"/>
      <c r="BH35" s="316"/>
      <c r="BI35" s="316"/>
      <c r="BJ35" s="453"/>
      <c r="BK35" s="316"/>
      <c r="BL35" s="316"/>
      <c r="BM35" s="316"/>
      <c r="BN35" s="316"/>
      <c r="BO35" s="453"/>
      <c r="BP35" s="316"/>
      <c r="BQ35" s="316"/>
      <c r="BR35" s="316"/>
      <c r="BS35" s="316"/>
      <c r="BT35" s="453"/>
      <c r="BU35" s="316"/>
      <c r="BV35" s="316"/>
      <c r="BW35" s="316"/>
      <c r="BX35" s="316"/>
      <c r="BY35" s="453"/>
      <c r="BZ35" s="316"/>
      <c r="CA35" s="316"/>
      <c r="CB35" s="316"/>
      <c r="CC35" s="316"/>
      <c r="CD35" s="453"/>
      <c r="CE35" s="316"/>
      <c r="CF35" s="316"/>
      <c r="CG35" s="316"/>
      <c r="CH35" s="316"/>
      <c r="CI35" s="453"/>
      <c r="CJ35" s="316"/>
      <c r="CK35" s="316"/>
      <c r="CL35" s="316"/>
      <c r="CM35" s="316"/>
      <c r="CN35" s="453"/>
      <c r="CO35" s="316"/>
      <c r="CP35" s="316"/>
      <c r="CQ35" s="316"/>
      <c r="CR35" s="316"/>
      <c r="CS35" s="453"/>
      <c r="CT35" s="316"/>
      <c r="CU35" s="316"/>
      <c r="CV35" s="316"/>
      <c r="CW35" s="316"/>
      <c r="CX35" s="453"/>
      <c r="CY35" s="316"/>
      <c r="CZ35" s="316"/>
      <c r="DA35" s="316"/>
      <c r="DB35" s="316"/>
      <c r="DC35" s="453"/>
      <c r="DD35" s="316"/>
      <c r="DE35" s="316"/>
      <c r="DF35" s="316"/>
      <c r="DG35" s="316"/>
      <c r="DH35" s="453"/>
      <c r="DI35" s="316"/>
      <c r="DJ35" s="316"/>
      <c r="DK35" s="316"/>
      <c r="DL35" s="316"/>
      <c r="DM35" s="453"/>
      <c r="DN35" s="312">
        <f>DN28*DN40</f>
      </c>
      <c r="DO35" s="312">
        <f>DO28*DO40</f>
      </c>
      <c r="DP35" s="312">
        <f>DP28*DP40</f>
      </c>
      <c r="DQ35" s="312">
        <f>DQ28*DQ40</f>
      </c>
      <c r="DR35" s="319">
        <f>DQ35</f>
      </c>
      <c r="DS35" s="312">
        <f>DS28*DS40</f>
      </c>
      <c r="DT35" s="312">
        <f>DT28*DT40</f>
      </c>
      <c r="DU35" s="312">
        <f>DU28*DU40</f>
      </c>
      <c r="DV35" s="312">
        <f>DV28*DV40</f>
      </c>
      <c r="DW35" s="319">
        <f>DV35</f>
      </c>
      <c r="DX35" s="312">
        <f>DX28*DX40</f>
      </c>
      <c r="DY35" s="312">
        <f>DY28*DY40</f>
      </c>
      <c r="DZ35" s="312">
        <f>DZ28*DZ40</f>
      </c>
      <c r="EA35" s="312">
        <f>EA28*EA40</f>
      </c>
      <c r="EB35" s="319">
        <f>EA35</f>
      </c>
      <c r="EC35" s="312">
        <f>EC28*EC40</f>
      </c>
      <c r="ED35" s="312">
        <f>ED28*ED40</f>
      </c>
      <c r="EE35" s="312">
        <f>EE28*EE40</f>
      </c>
      <c r="EF35" s="312">
        <f>EF28*EF40</f>
      </c>
      <c r="EG35" s="319">
        <f>EF35</f>
      </c>
      <c r="EH35" s="312">
        <f>EH28*EH40</f>
      </c>
      <c r="EI35" s="312">
        <f>EI28*EI40</f>
      </c>
      <c r="EJ35" s="312">
        <f>EJ28*EJ40</f>
      </c>
      <c r="EK35" s="312">
        <f>EK28*EK40</f>
      </c>
      <c r="EL35" s="319">
        <f>EK35</f>
      </c>
      <c r="EM35" s="312">
        <f>EM28*EM40</f>
      </c>
      <c r="EN35" s="312">
        <f>EN28*EN40</f>
      </c>
      <c r="EO35" s="312">
        <f>EO28*EO40</f>
      </c>
      <c r="EP35" s="312">
        <f>EP28*EP40</f>
      </c>
      <c r="EQ35" s="319">
        <f>EP35</f>
      </c>
      <c r="ER35" s="312">
        <f>ER28*ER40</f>
      </c>
      <c r="ES35" s="312">
        <f>ES28*ES40</f>
      </c>
      <c r="ET35" s="312">
        <f>ET28*ET40</f>
      </c>
      <c r="EU35" s="312">
        <f>EU28*EU40</f>
      </c>
      <c r="EV35" s="319">
        <f>EU35</f>
      </c>
      <c r="EW35" s="312">
        <f>EW28*EW40</f>
      </c>
      <c r="EX35" s="312">
        <f>EX28*EX40</f>
      </c>
      <c r="EY35" s="312">
        <f>EY28*EY40</f>
      </c>
      <c r="EZ35" s="312">
        <f>EZ28*EZ40</f>
      </c>
      <c r="FA35" s="319">
        <f>EZ35</f>
      </c>
      <c r="FB35" s="316"/>
      <c r="FC35" s="316"/>
      <c r="FD35" s="316"/>
      <c r="FE35" s="316"/>
      <c r="FF35" s="313"/>
      <c r="FG35" s="316"/>
      <c r="FH35" s="316"/>
      <c r="FI35" s="316"/>
      <c r="FJ35" s="316"/>
      <c r="FK35" s="313"/>
      <c r="FL35" s="316"/>
      <c r="FM35" s="316"/>
      <c r="FN35" s="316"/>
      <c r="FO35" s="316"/>
      <c r="FP35" s="313"/>
      <c r="FQ35" s="316"/>
      <c r="FR35" s="316"/>
      <c r="FS35" s="316"/>
      <c r="FT35" s="316"/>
      <c r="FU35" s="313"/>
      <c r="FV35" s="316"/>
      <c r="FW35" s="316"/>
      <c r="FX35" s="316"/>
      <c r="FY35" s="316"/>
      <c r="FZ35" s="313"/>
      <c r="GA35" s="316"/>
      <c r="GB35" s="316"/>
      <c r="GC35" s="316"/>
      <c r="GD35" s="316"/>
      <c r="GE35" s="313"/>
      <c r="GF35" s="316"/>
      <c r="GG35" s="316"/>
      <c r="GH35" s="316"/>
      <c r="GI35" s="316"/>
      <c r="GJ35" s="313"/>
    </row>
    <row r="36" spans="1:192" ht="12.75" customHeight="1">
      <c r="B36" s="727" t="s">
        <v>34</v>
      </c>
      <c r="C36" s="412"/>
      <c r="D36" s="114"/>
      <c r="E36" s="114"/>
      <c r="F36" s="114"/>
      <c r="G36" s="413"/>
      <c r="H36" s="412"/>
      <c r="I36" s="114"/>
      <c r="J36" s="114"/>
      <c r="K36" s="114"/>
      <c r="L36" s="413"/>
      <c r="M36" s="412"/>
      <c r="N36" s="114"/>
      <c r="O36" s="114"/>
      <c r="P36" s="114"/>
      <c r="Q36" s="413"/>
      <c r="R36" s="412"/>
      <c r="S36" s="114"/>
      <c r="T36" s="114"/>
      <c r="U36" s="114"/>
      <c r="V36" s="413"/>
      <c r="W36" s="412"/>
      <c r="X36" s="114"/>
      <c r="Y36" s="114"/>
      <c r="Z36" s="114"/>
      <c r="AA36" s="413"/>
      <c r="AB36" s="412"/>
      <c r="AC36" s="114"/>
      <c r="AD36" s="114"/>
      <c r="AE36" s="114"/>
      <c r="AF36" s="413"/>
      <c r="AG36" s="412"/>
      <c r="AH36" s="114"/>
      <c r="AI36" s="114"/>
      <c r="AJ36" s="114"/>
      <c r="AK36" s="413"/>
      <c r="AL36" s="412"/>
      <c r="AM36" s="114"/>
      <c r="AN36" s="114"/>
      <c r="AO36" s="114"/>
      <c r="AP36" s="413"/>
      <c r="AQ36" s="412"/>
      <c r="AR36" s="114"/>
      <c r="AS36" s="114"/>
      <c r="AT36" s="114"/>
      <c r="AU36" s="413"/>
      <c r="AV36" s="412"/>
      <c r="AW36" s="114"/>
      <c r="AX36" s="114"/>
      <c r="AY36" s="114"/>
      <c r="AZ36" s="413"/>
      <c r="BA36" s="412"/>
      <c r="BB36" s="114"/>
      <c r="BC36" s="114"/>
      <c r="BD36" s="114"/>
      <c r="BE36" s="413"/>
      <c r="BF36" s="412"/>
      <c r="BG36" s="114"/>
      <c r="BH36" s="114"/>
      <c r="BI36" s="114"/>
      <c r="BJ36" s="413"/>
      <c r="BK36" s="412"/>
      <c r="BL36" s="114"/>
      <c r="BM36" s="114"/>
      <c r="BN36" s="114"/>
      <c r="BO36" s="413"/>
      <c r="BP36" s="412"/>
      <c r="BQ36" s="114"/>
      <c r="BR36" s="114"/>
      <c r="BS36" s="114"/>
      <c r="BT36" s="413"/>
      <c r="BU36" s="412"/>
      <c r="BV36" s="114"/>
      <c r="BW36" s="114"/>
      <c r="BX36" s="114"/>
      <c r="BY36" s="413"/>
      <c r="BZ36" s="412"/>
      <c r="CA36" s="114"/>
      <c r="CB36" s="114"/>
      <c r="CC36" s="114"/>
      <c r="CD36" s="413"/>
      <c r="CE36" s="412"/>
      <c r="CF36" s="114"/>
      <c r="CG36" s="114"/>
      <c r="CH36" s="114"/>
      <c r="CI36" s="413"/>
      <c r="CJ36" s="412"/>
      <c r="CK36" s="114"/>
      <c r="CL36" s="114"/>
      <c r="CM36" s="114"/>
      <c r="CN36" s="413"/>
      <c r="CO36" s="412"/>
      <c r="CP36" s="114"/>
      <c r="CQ36" s="114"/>
      <c r="CR36" s="114"/>
      <c r="CS36" s="413"/>
      <c r="CT36" s="412"/>
      <c r="CU36" s="114"/>
      <c r="CV36" s="114"/>
      <c r="CW36" s="114"/>
      <c r="CX36" s="413"/>
      <c r="CY36" s="412"/>
      <c r="CZ36" s="114"/>
      <c r="DA36" s="114"/>
      <c r="DB36" s="114"/>
      <c r="DC36" s="413"/>
      <c r="DD36" s="412"/>
      <c r="DE36" s="114"/>
      <c r="DF36" s="114"/>
      <c r="DG36" s="114"/>
      <c r="DH36" s="413"/>
      <c r="DI36" s="412"/>
      <c r="DJ36" s="114"/>
      <c r="DK36" s="114"/>
      <c r="DL36" s="114"/>
      <c r="DM36" s="413"/>
      <c r="DN36" s="914" t="str">
        <f t="shared" ref="DN36:FA36" si="38">IFERROR(DN35/DI35-1,"")</f>
      </c>
      <c r="DO36" s="914" t="str">
        <f t="shared" si="38"/>
      </c>
      <c r="DP36" s="914" t="str">
        <f t="shared" si="38"/>
      </c>
      <c r="DQ36" s="914" t="str">
        <f t="shared" si="38"/>
      </c>
      <c r="DR36" s="915" t="str">
        <f t="shared" si="38"/>
      </c>
      <c r="DS36" s="914" t="str">
        <f t="shared" si="38"/>
      </c>
      <c r="DT36" s="914" t="str">
        <f t="shared" si="38"/>
      </c>
      <c r="DU36" s="914" t="str">
        <f t="shared" si="38"/>
      </c>
      <c r="DV36" s="914" t="str">
        <f t="shared" si="38"/>
      </c>
      <c r="DW36" s="915" t="str">
        <f t="shared" si="38"/>
      </c>
      <c r="DX36" s="914">
        <f t="shared" si="38"/>
      </c>
      <c r="DY36" s="914">
        <f t="shared" si="38"/>
      </c>
      <c r="DZ36" s="914">
        <f t="shared" si="38"/>
      </c>
      <c r="EA36" s="914">
        <f t="shared" si="38"/>
      </c>
      <c r="EB36" s="915">
        <f t="shared" si="38"/>
      </c>
      <c r="EC36" s="914">
        <f t="shared" si="38"/>
      </c>
      <c r="ED36" s="914">
        <f t="shared" si="38"/>
      </c>
      <c r="EE36" s="914">
        <f t="shared" si="38"/>
      </c>
      <c r="EF36" s="914">
        <f t="shared" si="38"/>
      </c>
      <c r="EG36" s="915">
        <f t="shared" si="38"/>
      </c>
      <c r="EH36" s="914">
        <f t="shared" si="38"/>
      </c>
      <c r="EI36" s="914">
        <f t="shared" si="38"/>
      </c>
      <c r="EJ36" s="914">
        <f t="shared" si="38"/>
      </c>
      <c r="EK36" s="914">
        <f t="shared" si="38"/>
      </c>
      <c r="EL36" s="915">
        <f t="shared" si="38"/>
      </c>
      <c r="EM36" s="914">
        <f t="shared" si="38"/>
      </c>
      <c r="EN36" s="914">
        <f t="shared" si="38"/>
      </c>
      <c r="EO36" s="914">
        <f t="shared" si="38"/>
      </c>
      <c r="EP36" s="914">
        <f t="shared" si="38"/>
      </c>
      <c r="EQ36" s="915">
        <f t="shared" si="38"/>
      </c>
      <c r="ER36" s="914">
        <f t="shared" si="38"/>
      </c>
      <c r="ES36" s="914">
        <f t="shared" si="38"/>
      </c>
      <c r="ET36" s="914">
        <f t="shared" si="38"/>
      </c>
      <c r="EU36" s="914">
        <f t="shared" si="38"/>
      </c>
      <c r="EV36" s="915">
        <f t="shared" si="38"/>
      </c>
      <c r="EW36" s="914">
        <f t="shared" si="38"/>
      </c>
      <c r="EX36" s="914">
        <f t="shared" si="38"/>
      </c>
      <c r="EY36" s="914">
        <f t="shared" si="38"/>
      </c>
      <c r="EZ36" s="914">
        <f t="shared" si="38"/>
      </c>
      <c r="FA36" s="915">
        <f t="shared" si="38"/>
      </c>
      <c r="FB36" s="291"/>
      <c r="FC36" s="107"/>
      <c r="FD36" s="107"/>
      <c r="FE36" s="107"/>
      <c r="FF36" s="292"/>
      <c r="FG36" s="291"/>
      <c r="FH36" s="107"/>
      <c r="FI36" s="107"/>
      <c r="FJ36" s="107"/>
      <c r="FK36" s="292"/>
      <c r="FL36" s="291"/>
      <c r="FM36" s="107"/>
      <c r="FN36" s="107"/>
      <c r="FO36" s="107"/>
      <c r="FP36" s="292"/>
      <c r="FQ36" s="291"/>
      <c r="FR36" s="107"/>
      <c r="FS36" s="107"/>
      <c r="FT36" s="107"/>
      <c r="FU36" s="292"/>
      <c r="FV36" s="291"/>
      <c r="FW36" s="107"/>
      <c r="FX36" s="107"/>
      <c r="FY36" s="107"/>
      <c r="FZ36" s="292"/>
      <c r="GA36" s="291"/>
      <c r="GB36" s="107"/>
      <c r="GC36" s="107"/>
      <c r="GD36" s="107"/>
      <c r="GE36" s="292"/>
      <c r="GF36" s="291"/>
      <c r="GG36" s="107"/>
      <c r="GH36" s="107"/>
      <c r="GI36" s="107"/>
      <c r="GJ36" s="292"/>
    </row>
    <row r="37" spans="1:192" ht="12.75" customHeight="1">
      <c r="B37" s="727" t="s">
        <v>36</v>
      </c>
      <c r="C37" s="412"/>
      <c r="D37" s="114"/>
      <c r="E37" s="114"/>
      <c r="F37" s="114"/>
      <c r="G37" s="413"/>
      <c r="H37" s="412"/>
      <c r="I37" s="114"/>
      <c r="J37" s="114"/>
      <c r="K37" s="114"/>
      <c r="L37" s="413"/>
      <c r="M37" s="412"/>
      <c r="N37" s="114"/>
      <c r="O37" s="114"/>
      <c r="P37" s="114"/>
      <c r="Q37" s="413"/>
      <c r="R37" s="412"/>
      <c r="S37" s="114"/>
      <c r="T37" s="114"/>
      <c r="U37" s="114"/>
      <c r="V37" s="413"/>
      <c r="W37" s="412"/>
      <c r="X37" s="114"/>
      <c r="Y37" s="114"/>
      <c r="Z37" s="114"/>
      <c r="AA37" s="413"/>
      <c r="AB37" s="412"/>
      <c r="AC37" s="114"/>
      <c r="AD37" s="114"/>
      <c r="AE37" s="114"/>
      <c r="AF37" s="413"/>
      <c r="AG37" s="412"/>
      <c r="AH37" s="114"/>
      <c r="AI37" s="114"/>
      <c r="AJ37" s="114"/>
      <c r="AK37" s="413"/>
      <c r="AL37" s="412"/>
      <c r="AM37" s="114"/>
      <c r="AN37" s="114"/>
      <c r="AO37" s="114"/>
      <c r="AP37" s="413"/>
      <c r="AQ37" s="412"/>
      <c r="AR37" s="114"/>
      <c r="AS37" s="114"/>
      <c r="AT37" s="114"/>
      <c r="AU37" s="413"/>
      <c r="AV37" s="412"/>
      <c r="AW37" s="114"/>
      <c r="AX37" s="114"/>
      <c r="AY37" s="114"/>
      <c r="AZ37" s="413"/>
      <c r="BA37" s="412"/>
      <c r="BB37" s="114"/>
      <c r="BC37" s="114"/>
      <c r="BD37" s="114"/>
      <c r="BE37" s="413"/>
      <c r="BF37" s="412"/>
      <c r="BG37" s="114"/>
      <c r="BH37" s="114"/>
      <c r="BI37" s="114"/>
      <c r="BJ37" s="413"/>
      <c r="BK37" s="412"/>
      <c r="BL37" s="114"/>
      <c r="BM37" s="114"/>
      <c r="BN37" s="114"/>
      <c r="BO37" s="413"/>
      <c r="BP37" s="412"/>
      <c r="BQ37" s="114"/>
      <c r="BR37" s="114"/>
      <c r="BS37" s="114"/>
      <c r="BT37" s="413"/>
      <c r="BU37" s="412"/>
      <c r="BV37" s="114"/>
      <c r="BW37" s="114"/>
      <c r="BX37" s="114"/>
      <c r="BY37" s="413"/>
      <c r="BZ37" s="412"/>
      <c r="CA37" s="114"/>
      <c r="CB37" s="114"/>
      <c r="CC37" s="114"/>
      <c r="CD37" s="413"/>
      <c r="CE37" s="412"/>
      <c r="CF37" s="114"/>
      <c r="CG37" s="114"/>
      <c r="CH37" s="114"/>
      <c r="CI37" s="413"/>
      <c r="CJ37" s="412"/>
      <c r="CK37" s="114"/>
      <c r="CL37" s="114"/>
      <c r="CM37" s="114"/>
      <c r="CN37" s="413"/>
      <c r="CO37" s="412"/>
      <c r="CP37" s="114"/>
      <c r="CQ37" s="114"/>
      <c r="CR37" s="114"/>
      <c r="CS37" s="413"/>
      <c r="CT37" s="412"/>
      <c r="CU37" s="114"/>
      <c r="CV37" s="114"/>
      <c r="CW37" s="114"/>
      <c r="CX37" s="413"/>
      <c r="CY37" s="412"/>
      <c r="CZ37" s="114"/>
      <c r="DA37" s="114"/>
      <c r="DB37" s="114"/>
      <c r="DC37" s="413"/>
      <c r="DD37" s="412"/>
      <c r="DE37" s="114"/>
      <c r="DF37" s="114"/>
      <c r="DG37" s="114"/>
      <c r="DH37" s="413"/>
      <c r="DI37" s="412"/>
      <c r="DJ37" s="114"/>
      <c r="DK37" s="114"/>
      <c r="DL37" s="114"/>
      <c r="DM37" s="413"/>
      <c r="DN37" s="291" t="str">
        <f>IFERROR(DN35/DL35-1,"")</f>
      </c>
      <c r="DO37" s="291" t="str">
        <f>IFERROR(DO35/DN35-1,"")</f>
      </c>
      <c r="DP37" s="291" t="str">
        <f>IFERROR(DP35/DO35-1,"")</f>
      </c>
      <c r="DQ37" s="291" t="str">
        <f>IFERROR(DQ35/DP35-1,"")</f>
      </c>
      <c r="DR37" s="292"/>
      <c r="DS37" s="291" t="str">
        <f>IFERROR(DS35/DQ35-1,"")</f>
      </c>
      <c r="DT37" s="291">
        <f>IFERROR(DT35/DS35-1,"")</f>
      </c>
      <c r="DU37" s="291">
        <f>IFERROR(DU35/DT35-1,"")</f>
      </c>
      <c r="DV37" s="291">
        <f>IFERROR(DV35/DU35-1,"")</f>
      </c>
      <c r="DW37" s="292"/>
      <c r="DX37" s="291">
        <f>IFERROR(DX35/DV35-1,"")</f>
      </c>
      <c r="DY37" s="291">
        <f>IFERROR(DY35/DX35-1,"")</f>
      </c>
      <c r="DZ37" s="291">
        <f>IFERROR(DZ35/DY35-1,"")</f>
      </c>
      <c r="EA37" s="291">
        <f>IFERROR(EA35/DZ35-1,"")</f>
      </c>
      <c r="EB37" s="292"/>
      <c r="EC37" s="291">
        <f>IFERROR(EC35/EA35-1,"")</f>
      </c>
      <c r="ED37" s="291">
        <f>IFERROR(ED35/EC35-1,"")</f>
      </c>
      <c r="EE37" s="291">
        <f>IFERROR(EE35/ED35-1,"")</f>
      </c>
      <c r="EF37" s="291">
        <f>IFERROR(EF35/EE35-1,"")</f>
      </c>
      <c r="EG37" s="292"/>
      <c r="EH37" s="291">
        <f>IFERROR(EH35/EF35-1,"")</f>
      </c>
      <c r="EI37" s="291">
        <f>IFERROR(EI35/EH35-1,"")</f>
      </c>
      <c r="EJ37" s="291">
        <f>IFERROR(EJ35/EI35-1,"")</f>
      </c>
      <c r="EK37" s="291">
        <f>IFERROR(EK35/EJ35-1,"")</f>
      </c>
      <c r="EL37" s="292"/>
      <c r="EM37" s="291">
        <f>IFERROR(EM35/EK35-1,"")</f>
      </c>
      <c r="EN37" s="291">
        <f>IFERROR(EN35/EM35-1,"")</f>
      </c>
      <c r="EO37" s="291">
        <f>IFERROR(EO35/EN35-1,"")</f>
      </c>
      <c r="EP37" s="291">
        <f>IFERROR(EP35/EO35-1,"")</f>
      </c>
      <c r="EQ37" s="292"/>
      <c r="ER37" s="291">
        <f>IFERROR(ER35/EP35-1,"")</f>
      </c>
      <c r="ES37" s="291">
        <f>IFERROR(ES35/ER35-1,"")</f>
      </c>
      <c r="ET37" s="291">
        <f>IFERROR(ET35/ES35-1,"")</f>
      </c>
      <c r="EU37" s="291">
        <f>IFERROR(EU35/ET35-1,"")</f>
      </c>
      <c r="EV37" s="292"/>
      <c r="EW37" s="291">
        <f>IFERROR(EW35/EU35-1,"")</f>
      </c>
      <c r="EX37" s="291">
        <f>IFERROR(EX35/EW35-1,"")</f>
      </c>
      <c r="EY37" s="291">
        <f>IFERROR(EY35/EX35-1,"")</f>
      </c>
      <c r="EZ37" s="291">
        <f>IFERROR(EZ35/EY35-1,"")</f>
      </c>
      <c r="FA37" s="292"/>
      <c r="FB37" s="291"/>
      <c r="FC37" s="107"/>
      <c r="FD37" s="107"/>
      <c r="FE37" s="107"/>
      <c r="FF37" s="292"/>
      <c r="FG37" s="291"/>
      <c r="FH37" s="107"/>
      <c r="FI37" s="107"/>
      <c r="FJ37" s="107"/>
      <c r="FK37" s="292"/>
      <c r="FL37" s="291"/>
      <c r="FM37" s="107"/>
      <c r="FN37" s="107"/>
      <c r="FO37" s="107"/>
      <c r="FP37" s="292"/>
      <c r="FQ37" s="291"/>
      <c r="FR37" s="107"/>
      <c r="FS37" s="107"/>
      <c r="FT37" s="107"/>
      <c r="FU37" s="292"/>
      <c r="FV37" s="291"/>
      <c r="FW37" s="107"/>
      <c r="FX37" s="107"/>
      <c r="FY37" s="107"/>
      <c r="FZ37" s="292"/>
      <c r="GA37" s="291"/>
      <c r="GB37" s="107"/>
      <c r="GC37" s="107"/>
      <c r="GD37" s="107"/>
      <c r="GE37" s="292"/>
      <c r="GF37" s="291"/>
      <c r="GG37" s="107"/>
      <c r="GH37" s="107"/>
      <c r="GI37" s="107"/>
      <c r="GJ37" s="292"/>
    </row>
    <row r="38" spans="1:192" ht="12.75" customHeight="1">
      <c r="B38" s="727" t="s">
        <v>446</v>
      </c>
      <c r="C38" s="291"/>
      <c r="D38" s="107"/>
      <c r="E38" s="107"/>
      <c r="F38" s="107"/>
      <c r="G38" s="293"/>
      <c r="H38" s="291"/>
      <c r="I38" s="107"/>
      <c r="J38" s="107"/>
      <c r="K38" s="107"/>
      <c r="L38" s="293"/>
      <c r="M38" s="291"/>
      <c r="N38" s="107"/>
      <c r="O38" s="107"/>
      <c r="P38" s="107"/>
      <c r="Q38" s="293"/>
      <c r="R38" s="291"/>
      <c r="S38" s="107"/>
      <c r="T38" s="107"/>
      <c r="U38" s="107"/>
      <c r="V38" s="293"/>
      <c r="W38" s="291"/>
      <c r="X38" s="107"/>
      <c r="Y38" s="107"/>
      <c r="Z38" s="107"/>
      <c r="AA38" s="293"/>
      <c r="AB38" s="291"/>
      <c r="AC38" s="107"/>
      <c r="AD38" s="107"/>
      <c r="AE38" s="107"/>
      <c r="AF38" s="293"/>
      <c r="AG38" s="291"/>
      <c r="AH38" s="107"/>
      <c r="AI38" s="107"/>
      <c r="AJ38" s="107"/>
      <c r="AK38" s="293"/>
      <c r="AL38" s="291"/>
      <c r="AM38" s="107"/>
      <c r="AN38" s="107"/>
      <c r="AO38" s="107"/>
      <c r="AP38" s="293"/>
      <c r="AQ38" s="291"/>
      <c r="AR38" s="107"/>
      <c r="AS38" s="107"/>
      <c r="AT38" s="107"/>
      <c r="AU38" s="293"/>
      <c r="AV38" s="291"/>
      <c r="AW38" s="107"/>
      <c r="AX38" s="107"/>
      <c r="AY38" s="107"/>
      <c r="AZ38" s="293"/>
      <c r="BA38" s="291"/>
      <c r="BB38" s="107"/>
      <c r="BC38" s="107"/>
      <c r="BD38" s="107"/>
      <c r="BE38" s="293"/>
      <c r="BF38" s="291"/>
      <c r="BG38" s="107"/>
      <c r="BH38" s="107"/>
      <c r="BI38" s="107"/>
      <c r="BJ38" s="293"/>
      <c r="BK38" s="291"/>
      <c r="BL38" s="107"/>
      <c r="BM38" s="107"/>
      <c r="BN38" s="107"/>
      <c r="BO38" s="293"/>
      <c r="BP38" s="291"/>
      <c r="BQ38" s="107"/>
      <c r="BR38" s="107"/>
      <c r="BS38" s="107"/>
      <c r="BT38" s="293"/>
      <c r="BU38" s="291"/>
      <c r="BV38" s="107"/>
      <c r="BW38" s="107"/>
      <c r="BX38" s="107"/>
      <c r="BY38" s="293"/>
      <c r="BZ38" s="291"/>
      <c r="CA38" s="107"/>
      <c r="CB38" s="107"/>
      <c r="CC38" s="107"/>
      <c r="CD38" s="293"/>
      <c r="CE38" s="291"/>
      <c r="CF38" s="107"/>
      <c r="CG38" s="107"/>
      <c r="CH38" s="107"/>
      <c r="CI38" s="293"/>
      <c r="CJ38" s="291"/>
      <c r="CK38" s="107"/>
      <c r="CL38" s="107"/>
      <c r="CM38" s="107"/>
      <c r="CN38" s="293"/>
      <c r="CO38" s="291"/>
      <c r="CP38" s="107"/>
      <c r="CQ38" s="107"/>
      <c r="CR38" s="107"/>
      <c r="CS38" s="293"/>
      <c r="CT38" s="291"/>
      <c r="CU38" s="107"/>
      <c r="CV38" s="107"/>
      <c r="CW38" s="107"/>
      <c r="CX38" s="293"/>
      <c r="CY38" s="448"/>
      <c r="CZ38" s="107"/>
      <c r="DA38" s="107"/>
      <c r="DB38" s="107"/>
      <c r="DC38" s="293"/>
      <c r="DD38" s="447"/>
      <c r="DE38" s="447"/>
      <c r="DF38" s="447"/>
      <c r="DG38" s="447"/>
      <c r="DH38" s="459"/>
      <c r="DI38" s="447"/>
      <c r="DJ38" s="447"/>
      <c r="DK38" s="447"/>
      <c r="DL38" s="447"/>
      <c r="DM38" s="459"/>
      <c r="DN38" s="447"/>
      <c r="DO38" s="447"/>
      <c r="DP38" s="447"/>
      <c r="DQ38" s="447"/>
      <c r="DR38" s="459"/>
      <c r="DS38" s="447"/>
      <c r="DT38" s="447"/>
      <c r="DU38" s="447"/>
      <c r="DV38" s="447"/>
      <c r="DW38" s="459"/>
      <c r="DX38" s="447">
        <f t="shared" ref="DX38:FA38" si="39">DX35-DS35</f>
      </c>
      <c r="DY38" s="447">
        <f t="shared" si="39"/>
      </c>
      <c r="DZ38" s="447">
        <f t="shared" si="39"/>
      </c>
      <c r="EA38" s="447">
        <f t="shared" si="39"/>
      </c>
      <c r="EB38" s="459">
        <f t="shared" si="39"/>
      </c>
      <c r="EC38" s="447">
        <f t="shared" si="39"/>
      </c>
      <c r="ED38" s="447">
        <f t="shared" si="39"/>
      </c>
      <c r="EE38" s="447">
        <f t="shared" si="39"/>
      </c>
      <c r="EF38" s="447">
        <f t="shared" si="39"/>
      </c>
      <c r="EG38" s="459">
        <f t="shared" si="39"/>
      </c>
      <c r="EH38" s="447">
        <f t="shared" si="39"/>
      </c>
      <c r="EI38" s="447">
        <f t="shared" si="39"/>
      </c>
      <c r="EJ38" s="447">
        <f t="shared" si="39"/>
      </c>
      <c r="EK38" s="447">
        <f t="shared" si="39"/>
      </c>
      <c r="EL38" s="459">
        <f t="shared" si="39"/>
      </c>
      <c r="EM38" s="447">
        <f t="shared" si="39"/>
      </c>
      <c r="EN38" s="447">
        <f t="shared" si="39"/>
      </c>
      <c r="EO38" s="447">
        <f t="shared" si="39"/>
      </c>
      <c r="EP38" s="447">
        <f t="shared" si="39"/>
      </c>
      <c r="EQ38" s="459">
        <f t="shared" si="39"/>
      </c>
      <c r="ER38" s="447">
        <f t="shared" si="39"/>
      </c>
      <c r="ES38" s="447">
        <f t="shared" si="39"/>
      </c>
      <c r="ET38" s="447">
        <f t="shared" si="39"/>
      </c>
      <c r="EU38" s="447">
        <f t="shared" si="39"/>
      </c>
      <c r="EV38" s="459">
        <f t="shared" si="39"/>
      </c>
      <c r="EW38" s="447">
        <f t="shared" si="39"/>
      </c>
      <c r="EX38" s="447">
        <f t="shared" si="39"/>
      </c>
      <c r="EY38" s="447">
        <f t="shared" si="39"/>
      </c>
      <c r="EZ38" s="447">
        <f t="shared" si="39"/>
      </c>
      <c r="FA38" s="459">
        <f t="shared" si="39"/>
      </c>
      <c r="FB38" s="447"/>
      <c r="FC38" s="447"/>
      <c r="FD38" s="447"/>
      <c r="FE38" s="447"/>
      <c r="FF38" s="459"/>
      <c r="FG38" s="447"/>
      <c r="FH38" s="447"/>
      <c r="FI38" s="447"/>
      <c r="FJ38" s="447"/>
      <c r="FK38" s="459"/>
      <c r="FL38" s="447"/>
      <c r="FM38" s="447"/>
      <c r="FN38" s="447"/>
      <c r="FO38" s="447"/>
      <c r="FP38" s="459"/>
      <c r="FQ38" s="447"/>
      <c r="FR38" s="447"/>
      <c r="FS38" s="447"/>
      <c r="FT38" s="447"/>
      <c r="FU38" s="459"/>
      <c r="FV38" s="447"/>
      <c r="FW38" s="447"/>
      <c r="FX38" s="447"/>
      <c r="FY38" s="447"/>
      <c r="FZ38" s="459"/>
      <c r="GA38" s="447"/>
      <c r="GB38" s="447"/>
      <c r="GC38" s="447"/>
      <c r="GD38" s="447"/>
      <c r="GE38" s="459"/>
      <c r="GF38" s="447"/>
      <c r="GG38" s="447"/>
      <c r="GH38" s="447"/>
      <c r="GI38" s="447"/>
      <c r="GJ38" s="459"/>
    </row>
    <row r="39" spans="1:192" ht="12.75" customHeight="1">
      <c r="B39" s="727" t="s">
        <v>447</v>
      </c>
      <c r="C39" s="291"/>
      <c r="D39" s="107"/>
      <c r="E39" s="107"/>
      <c r="F39" s="107"/>
      <c r="G39" s="293"/>
      <c r="H39" s="291"/>
      <c r="I39" s="107"/>
      <c r="J39" s="107"/>
      <c r="K39" s="107"/>
      <c r="L39" s="293"/>
      <c r="M39" s="291"/>
      <c r="N39" s="107"/>
      <c r="O39" s="107"/>
      <c r="P39" s="107"/>
      <c r="Q39" s="293"/>
      <c r="R39" s="291"/>
      <c r="S39" s="107"/>
      <c r="T39" s="107"/>
      <c r="U39" s="107"/>
      <c r="V39" s="293"/>
      <c r="W39" s="291"/>
      <c r="X39" s="107"/>
      <c r="Y39" s="107"/>
      <c r="Z39" s="107"/>
      <c r="AA39" s="293"/>
      <c r="AB39" s="291"/>
      <c r="AC39" s="107"/>
      <c r="AD39" s="107"/>
      <c r="AE39" s="107"/>
      <c r="AF39" s="293"/>
      <c r="AG39" s="291"/>
      <c r="AH39" s="107"/>
      <c r="AI39" s="107"/>
      <c r="AJ39" s="107"/>
      <c r="AK39" s="293"/>
      <c r="AL39" s="291"/>
      <c r="AM39" s="107"/>
      <c r="AN39" s="107"/>
      <c r="AO39" s="107"/>
      <c r="AP39" s="293"/>
      <c r="AQ39" s="291"/>
      <c r="AR39" s="107"/>
      <c r="AS39" s="107"/>
      <c r="AT39" s="107"/>
      <c r="AU39" s="293"/>
      <c r="AV39" s="291"/>
      <c r="AW39" s="107"/>
      <c r="AX39" s="107"/>
      <c r="AY39" s="107"/>
      <c r="AZ39" s="293"/>
      <c r="BA39" s="291"/>
      <c r="BB39" s="107"/>
      <c r="BC39" s="107"/>
      <c r="BD39" s="107"/>
      <c r="BE39" s="293"/>
      <c r="BF39" s="291"/>
      <c r="BG39" s="107"/>
      <c r="BH39" s="107"/>
      <c r="BI39" s="107"/>
      <c r="BJ39" s="293"/>
      <c r="BK39" s="291"/>
      <c r="BL39" s="107"/>
      <c r="BM39" s="107"/>
      <c r="BN39" s="107"/>
      <c r="BO39" s="293"/>
      <c r="BP39" s="291"/>
      <c r="BQ39" s="107"/>
      <c r="BR39" s="107"/>
      <c r="BS39" s="107"/>
      <c r="BT39" s="293"/>
      <c r="BU39" s="291"/>
      <c r="BV39" s="107"/>
      <c r="BW39" s="107"/>
      <c r="BX39" s="107"/>
      <c r="BY39" s="293"/>
      <c r="BZ39" s="291"/>
      <c r="CA39" s="107"/>
      <c r="CB39" s="107"/>
      <c r="CC39" s="107"/>
      <c r="CD39" s="293"/>
      <c r="CE39" s="291"/>
      <c r="CF39" s="107"/>
      <c r="CG39" s="107"/>
      <c r="CH39" s="107"/>
      <c r="CI39" s="293"/>
      <c r="CJ39" s="291"/>
      <c r="CK39" s="107"/>
      <c r="CL39" s="107"/>
      <c r="CM39" s="107"/>
      <c r="CN39" s="293"/>
      <c r="CO39" s="291"/>
      <c r="CP39" s="107"/>
      <c r="CQ39" s="107"/>
      <c r="CR39" s="107"/>
      <c r="CS39" s="293"/>
      <c r="CT39" s="291"/>
      <c r="CU39" s="107"/>
      <c r="CV39" s="107"/>
      <c r="CW39" s="107"/>
      <c r="CX39" s="293"/>
      <c r="CY39" s="291"/>
      <c r="CZ39" s="107"/>
      <c r="DA39" s="107"/>
      <c r="DB39" s="107"/>
      <c r="DC39" s="293"/>
      <c r="DD39" s="447"/>
      <c r="DE39" s="447"/>
      <c r="DF39" s="447"/>
      <c r="DG39" s="447"/>
      <c r="DH39" s="293"/>
      <c r="DI39" s="447"/>
      <c r="DJ39" s="447"/>
      <c r="DK39" s="447"/>
      <c r="DL39" s="447"/>
      <c r="DM39" s="293"/>
      <c r="DN39" s="447"/>
      <c r="DO39" s="447"/>
      <c r="DP39" s="447"/>
      <c r="DQ39" s="447"/>
      <c r="DR39" s="293"/>
      <c r="DS39" s="447"/>
      <c r="DT39" s="447">
        <f>DT35-DS35</f>
      </c>
      <c r="DU39" s="447">
        <f>DU35-DT35</f>
      </c>
      <c r="DV39" s="447">
        <f>DV35-DU35</f>
      </c>
      <c r="DW39" s="293"/>
      <c r="DX39" s="447">
        <f>DX35-DV35</f>
      </c>
      <c r="DY39" s="447">
        <f>DY35-DX35</f>
      </c>
      <c r="DZ39" s="447">
        <f>DZ35-DY35</f>
      </c>
      <c r="EA39" s="447">
        <f>EA35-DZ35</f>
      </c>
      <c r="EB39" s="293"/>
      <c r="EC39" s="447">
        <f>EC35-EA35</f>
      </c>
      <c r="ED39" s="447">
        <f>ED35-EC35</f>
      </c>
      <c r="EE39" s="447">
        <f>EE35-ED35</f>
      </c>
      <c r="EF39" s="447">
        <f>EF35-EE35</f>
      </c>
      <c r="EG39" s="293"/>
      <c r="EH39" s="447">
        <f>EH35-EF35</f>
      </c>
      <c r="EI39" s="447">
        <f>EI35-EH35</f>
      </c>
      <c r="EJ39" s="447">
        <f>EJ35-EI35</f>
      </c>
      <c r="EK39" s="447">
        <f>EK35-EJ35</f>
      </c>
      <c r="EL39" s="293"/>
      <c r="EM39" s="447">
        <f>EM35-EK35</f>
      </c>
      <c r="EN39" s="447">
        <f>EN35-EM35</f>
      </c>
      <c r="EO39" s="447">
        <f>EO35-EN35</f>
      </c>
      <c r="EP39" s="447">
        <f>EP35-EO35</f>
      </c>
      <c r="EQ39" s="293"/>
      <c r="ER39" s="447">
        <f>ER35-EP35</f>
      </c>
      <c r="ES39" s="447">
        <f>ES35-ER35</f>
      </c>
      <c r="ET39" s="447">
        <f>ET35-ES35</f>
      </c>
      <c r="EU39" s="447">
        <f>EU35-ET35</f>
      </c>
      <c r="EV39" s="293"/>
      <c r="EW39" s="447">
        <f>EW35-EU35</f>
      </c>
      <c r="EX39" s="447">
        <f>EX35-EW35</f>
      </c>
      <c r="EY39" s="447">
        <f>EY35-EX35</f>
      </c>
      <c r="EZ39" s="447">
        <f>EZ35-EY35</f>
      </c>
      <c r="FA39" s="293"/>
      <c r="FB39" s="447"/>
      <c r="FC39" s="447"/>
      <c r="FD39" s="447"/>
      <c r="FE39" s="447"/>
      <c r="FF39" s="293"/>
      <c r="FG39" s="447"/>
      <c r="FH39" s="447"/>
      <c r="FI39" s="447"/>
      <c r="FJ39" s="447"/>
      <c r="FK39" s="293"/>
      <c r="FL39" s="447"/>
      <c r="FM39" s="447"/>
      <c r="FN39" s="447"/>
      <c r="FO39" s="447"/>
      <c r="FP39" s="293"/>
      <c r="FQ39" s="447"/>
      <c r="FR39" s="447"/>
      <c r="FS39" s="447"/>
      <c r="FT39" s="447"/>
      <c r="FU39" s="293"/>
      <c r="FV39" s="447"/>
      <c r="FW39" s="447"/>
      <c r="FX39" s="447"/>
      <c r="FY39" s="447"/>
      <c r="FZ39" s="293"/>
      <c r="GA39" s="447"/>
      <c r="GB39" s="447"/>
      <c r="GC39" s="447"/>
      <c r="GD39" s="447"/>
      <c r="GE39" s="293"/>
      <c r="GF39" s="447"/>
      <c r="GG39" s="447"/>
      <c r="GH39" s="447"/>
      <c r="GI39" s="447"/>
      <c r="GJ39" s="293"/>
    </row>
    <row r="40" spans="1:192" ht="12.75" customHeight="1">
      <c r="B40" s="727" t="s">
        <v>411</v>
      </c>
      <c r="C40" s="412"/>
      <c r="D40" s="114"/>
      <c r="E40" s="114"/>
      <c r="F40" s="114"/>
      <c r="G40" s="413"/>
      <c r="H40" s="412"/>
      <c r="I40" s="114"/>
      <c r="J40" s="114"/>
      <c r="K40" s="114"/>
      <c r="L40" s="413"/>
      <c r="M40" s="412"/>
      <c r="N40" s="114"/>
      <c r="O40" s="114"/>
      <c r="P40" s="114"/>
      <c r="Q40" s="413"/>
      <c r="R40" s="412"/>
      <c r="S40" s="114"/>
      <c r="T40" s="114"/>
      <c r="U40" s="114"/>
      <c r="V40" s="413"/>
      <c r="W40" s="412"/>
      <c r="X40" s="114"/>
      <c r="Y40" s="114"/>
      <c r="Z40" s="114"/>
      <c r="AA40" s="413"/>
      <c r="AB40" s="412"/>
      <c r="AC40" s="114"/>
      <c r="AD40" s="114"/>
      <c r="AE40" s="114"/>
      <c r="AF40" s="413"/>
      <c r="AG40" s="412"/>
      <c r="AH40" s="114"/>
      <c r="AI40" s="114"/>
      <c r="AJ40" s="114"/>
      <c r="AK40" s="413"/>
      <c r="AL40" s="412"/>
      <c r="AM40" s="114"/>
      <c r="AN40" s="114"/>
      <c r="AO40" s="114"/>
      <c r="AP40" s="413"/>
      <c r="AQ40" s="412"/>
      <c r="AR40" s="114"/>
      <c r="AS40" s="114"/>
      <c r="AT40" s="114"/>
      <c r="AU40" s="413"/>
      <c r="AV40" s="412"/>
      <c r="AW40" s="114"/>
      <c r="AX40" s="114"/>
      <c r="AY40" s="114"/>
      <c r="AZ40" s="413"/>
      <c r="BA40" s="412"/>
      <c r="BB40" s="114"/>
      <c r="BC40" s="114"/>
      <c r="BD40" s="114"/>
      <c r="BE40" s="413"/>
      <c r="BF40" s="412"/>
      <c r="BG40" s="114"/>
      <c r="BH40" s="114"/>
      <c r="BI40" s="114"/>
      <c r="BJ40" s="413"/>
      <c r="BK40" s="412"/>
      <c r="BL40" s="114"/>
      <c r="BM40" s="114"/>
      <c r="BN40" s="114"/>
      <c r="BO40" s="413"/>
      <c r="BP40" s="412"/>
      <c r="BQ40" s="114"/>
      <c r="BR40" s="114"/>
      <c r="BS40" s="114"/>
      <c r="BT40" s="413"/>
      <c r="BU40" s="412"/>
      <c r="BV40" s="114"/>
      <c r="BW40" s="114"/>
      <c r="BX40" s="114"/>
      <c r="BY40" s="413"/>
      <c r="BZ40" s="412"/>
      <c r="CA40" s="114"/>
      <c r="CB40" s="114"/>
      <c r="CC40" s="114"/>
      <c r="CD40" s="413"/>
      <c r="CE40" s="412"/>
      <c r="CF40" s="114"/>
      <c r="CG40" s="114"/>
      <c r="CH40" s="114"/>
      <c r="CI40" s="413"/>
      <c r="CJ40" s="412"/>
      <c r="CK40" s="114"/>
      <c r="CL40" s="114"/>
      <c r="CM40" s="114"/>
      <c r="CN40" s="413"/>
      <c r="CO40" s="412"/>
      <c r="CP40" s="114"/>
      <c r="CQ40" s="114"/>
      <c r="CR40" s="114"/>
      <c r="CS40" s="413"/>
      <c r="CT40" s="412"/>
      <c r="CU40" s="114"/>
      <c r="CV40" s="114"/>
      <c r="CW40" s="114"/>
      <c r="CX40" s="413"/>
      <c r="CY40" s="412"/>
      <c r="CZ40" s="114"/>
      <c r="DA40" s="114"/>
      <c r="DB40" s="114"/>
      <c r="DC40" s="413"/>
      <c r="DD40" s="412"/>
      <c r="DE40" s="114"/>
      <c r="DF40" s="114"/>
      <c r="DG40" s="114"/>
      <c r="DH40" s="413"/>
      <c r="DI40" s="484"/>
      <c r="DJ40" s="485"/>
      <c r="DK40" s="485"/>
      <c r="DL40" s="485"/>
      <c r="DM40" s="1059"/>
      <c r="DN40" s="484">
        <f>'Leading Indicators'!DN45</f>
      </c>
      <c r="DO40" s="485">
        <f>'Leading Indicators'!DO45</f>
      </c>
      <c r="DP40" s="485">
        <f>'Leading Indicators'!DP45</f>
      </c>
      <c r="DQ40" s="485">
        <f>'Leading Indicators'!DQ45</f>
      </c>
      <c r="DR40" s="1059">
        <f>'Leading Indicators'!DR45</f>
      </c>
      <c r="DS40" s="484">
        <f>'Leading Indicators'!DS45</f>
      </c>
      <c r="DT40" s="485">
        <f>'Leading Indicators'!DT45</f>
      </c>
      <c r="DU40" s="485">
        <f>'Leading Indicators'!DU45</f>
      </c>
      <c r="DV40" s="485">
        <f>'Leading Indicators'!DV45</f>
      </c>
      <c r="DW40" s="1059">
        <f>'Leading Indicators'!DW45</f>
      </c>
      <c r="DX40" s="484">
        <f>'Leading Indicators'!DX45</f>
      </c>
      <c r="DY40" s="484">
        <f>'Leading Indicators'!DY45</f>
      </c>
      <c r="DZ40" s="484">
        <f>'Leading Indicators'!DZ45</f>
      </c>
      <c r="EA40" s="485">
        <f>'Leading Indicators'!EA45</f>
      </c>
      <c r="EB40" s="1059">
        <f>'Leading Indicators'!EB45</f>
      </c>
      <c r="EC40" s="484">
        <f>'Leading Indicators'!EC45</f>
      </c>
      <c r="ED40" s="484">
        <f>'Leading Indicators'!ED45</f>
      </c>
      <c r="EE40" s="484">
        <f>'Leading Indicators'!EE45</f>
      </c>
      <c r="EF40" s="484">
        <f>'Leading Indicators'!EF45</f>
      </c>
      <c r="EG40" s="1059">
        <f>'Leading Indicators'!EG45</f>
      </c>
      <c r="EH40" s="484">
        <f>'Leading Indicators'!EH45</f>
      </c>
      <c r="EI40" s="484">
        <f>'Leading Indicators'!EI45</f>
      </c>
      <c r="EJ40" s="484">
        <f>'Leading Indicators'!EJ45</f>
      </c>
      <c r="EK40" s="484">
        <f>'Leading Indicators'!EK45</f>
      </c>
      <c r="EL40" s="1059">
        <f>'Leading Indicators'!EL45</f>
      </c>
      <c r="EM40" s="484">
        <f>'Leading Indicators'!EM45</f>
      </c>
      <c r="EN40" s="484">
        <f>'Leading Indicators'!EN45</f>
      </c>
      <c r="EO40" s="484">
        <f>'Leading Indicators'!EO45</f>
      </c>
      <c r="EP40" s="484">
        <f>'Leading Indicators'!EP45</f>
      </c>
      <c r="EQ40" s="1059">
        <f>'Leading Indicators'!EQ45</f>
      </c>
      <c r="ER40" s="484">
        <f>'Leading Indicators'!ER45</f>
      </c>
      <c r="ES40" s="484">
        <f>'Leading Indicators'!ES45</f>
      </c>
      <c r="ET40" s="484">
        <f>'Leading Indicators'!ET45</f>
      </c>
      <c r="EU40" s="484">
        <f>'Leading Indicators'!EU45</f>
      </c>
      <c r="EV40" s="1059">
        <f>'Leading Indicators'!EV45</f>
      </c>
      <c r="EW40" s="484">
        <f>'Leading Indicators'!EW45</f>
      </c>
      <c r="EX40" s="484">
        <f>'Leading Indicators'!EX45</f>
      </c>
      <c r="EY40" s="484">
        <f>'Leading Indicators'!EY45</f>
      </c>
      <c r="EZ40" s="484">
        <f>'Leading Indicators'!EZ45</f>
      </c>
      <c r="FA40" s="1059">
        <f>'Leading Indicators'!FA45</f>
      </c>
      <c r="FB40" s="291"/>
      <c r="FC40" s="107"/>
      <c r="FD40" s="107"/>
      <c r="FE40" s="107"/>
      <c r="FF40" s="292"/>
      <c r="FG40" s="291"/>
      <c r="FH40" s="107"/>
      <c r="FI40" s="107"/>
      <c r="FJ40" s="107"/>
      <c r="FK40" s="292"/>
      <c r="FL40" s="291"/>
      <c r="FM40" s="107"/>
      <c r="FN40" s="107"/>
      <c r="FO40" s="107"/>
      <c r="FP40" s="292"/>
      <c r="FQ40" s="291"/>
      <c r="FR40" s="107"/>
      <c r="FS40" s="107"/>
      <c r="FT40" s="107"/>
      <c r="FU40" s="292"/>
      <c r="FV40" s="291"/>
      <c r="FW40" s="107"/>
      <c r="FX40" s="107"/>
      <c r="FY40" s="107"/>
      <c r="FZ40" s="292"/>
      <c r="GA40" s="291"/>
      <c r="GB40" s="107"/>
      <c r="GC40" s="107"/>
      <c r="GD40" s="107"/>
      <c r="GE40" s="292"/>
      <c r="GF40" s="291"/>
      <c r="GG40" s="107"/>
      <c r="GH40" s="107"/>
      <c r="GI40" s="107"/>
      <c r="GJ40" s="292"/>
    </row>
    <row r="41" spans="1:192" ht="12.75" customHeight="1">
      <c r="B41" s="727"/>
      <c r="C41" s="412"/>
      <c r="D41" s="114"/>
      <c r="E41" s="114"/>
      <c r="F41" s="114"/>
      <c r="G41" s="413"/>
      <c r="H41" s="412"/>
      <c r="I41" s="114"/>
      <c r="J41" s="114"/>
      <c r="K41" s="114"/>
      <c r="L41" s="413"/>
      <c r="M41" s="412"/>
      <c r="N41" s="114"/>
      <c r="O41" s="114"/>
      <c r="P41" s="114"/>
      <c r="Q41" s="413"/>
      <c r="R41" s="412"/>
      <c r="S41" s="114"/>
      <c r="T41" s="114"/>
      <c r="U41" s="114"/>
      <c r="V41" s="413"/>
      <c r="W41" s="412"/>
      <c r="X41" s="114"/>
      <c r="Y41" s="114"/>
      <c r="Z41" s="114"/>
      <c r="AA41" s="413"/>
      <c r="AB41" s="412"/>
      <c r="AC41" s="114"/>
      <c r="AD41" s="114"/>
      <c r="AE41" s="114"/>
      <c r="AF41" s="413"/>
      <c r="AG41" s="412"/>
      <c r="AH41" s="114"/>
      <c r="AI41" s="114"/>
      <c r="AJ41" s="114"/>
      <c r="AK41" s="413"/>
      <c r="AL41" s="412"/>
      <c r="AM41" s="114"/>
      <c r="AN41" s="114"/>
      <c r="AO41" s="114"/>
      <c r="AP41" s="413"/>
      <c r="AQ41" s="412"/>
      <c r="AR41" s="114"/>
      <c r="AS41" s="114"/>
      <c r="AT41" s="114"/>
      <c r="AU41" s="413"/>
      <c r="AV41" s="412"/>
      <c r="AW41" s="114"/>
      <c r="AX41" s="114"/>
      <c r="AY41" s="114"/>
      <c r="AZ41" s="413"/>
      <c r="BA41" s="412"/>
      <c r="BB41" s="114"/>
      <c r="BC41" s="114"/>
      <c r="BD41" s="114"/>
      <c r="BE41" s="413"/>
      <c r="BF41" s="412"/>
      <c r="BG41" s="114"/>
      <c r="BH41" s="114"/>
      <c r="BI41" s="114"/>
      <c r="BJ41" s="413"/>
      <c r="BK41" s="412"/>
      <c r="BL41" s="114"/>
      <c r="BM41" s="114"/>
      <c r="BN41" s="114"/>
      <c r="BO41" s="413"/>
      <c r="BP41" s="412"/>
      <c r="BQ41" s="114"/>
      <c r="BR41" s="114"/>
      <c r="BS41" s="114"/>
      <c r="BT41" s="413"/>
      <c r="BU41" s="412"/>
      <c r="BV41" s="114"/>
      <c r="BW41" s="114"/>
      <c r="BX41" s="114"/>
      <c r="BY41" s="413"/>
      <c r="BZ41" s="412"/>
      <c r="CA41" s="114"/>
      <c r="CB41" s="114"/>
      <c r="CC41" s="114"/>
      <c r="CD41" s="413"/>
      <c r="CE41" s="412"/>
      <c r="CF41" s="114"/>
      <c r="CG41" s="114"/>
      <c r="CH41" s="114"/>
      <c r="CI41" s="413"/>
      <c r="CJ41" s="412"/>
      <c r="CK41" s="114"/>
      <c r="CL41" s="114"/>
      <c r="CM41" s="114"/>
      <c r="CN41" s="413"/>
      <c r="CO41" s="412"/>
      <c r="CP41" s="114"/>
      <c r="CQ41" s="114"/>
      <c r="CR41" s="114"/>
      <c r="CS41" s="413"/>
      <c r="CT41" s="412"/>
      <c r="CU41" s="114"/>
      <c r="CV41" s="114"/>
      <c r="CW41" s="114"/>
      <c r="CX41" s="413"/>
      <c r="CY41" s="412"/>
      <c r="CZ41" s="114"/>
      <c r="DA41" s="114"/>
      <c r="DB41" s="114"/>
      <c r="DC41" s="413"/>
      <c r="DD41" s="412"/>
      <c r="DE41" s="114"/>
      <c r="DF41" s="114"/>
      <c r="DG41" s="114"/>
      <c r="DH41" s="413"/>
      <c r="DI41" s="484"/>
      <c r="DJ41" s="485"/>
      <c r="DK41" s="485"/>
      <c r="DL41" s="485"/>
      <c r="DM41" s="1059"/>
      <c r="DN41" s="484"/>
      <c r="DO41" s="485"/>
      <c r="DP41" s="485"/>
      <c r="DQ41" s="485"/>
      <c r="DR41" s="1059"/>
      <c r="DS41" s="484"/>
      <c r="DT41" s="485"/>
      <c r="DU41" s="485"/>
      <c r="DV41" s="485"/>
      <c r="DW41" s="1059"/>
      <c r="DX41" s="484"/>
      <c r="DY41" s="484"/>
      <c r="DZ41" s="484"/>
      <c r="EA41" s="485"/>
      <c r="EB41" s="1059"/>
      <c r="EC41" s="484"/>
      <c r="ED41" s="484"/>
      <c r="EE41" s="484"/>
      <c r="EF41" s="484"/>
      <c r="EG41" s="1059"/>
      <c r="EH41" s="484"/>
      <c r="EI41" s="484"/>
      <c r="EJ41" s="484"/>
      <c r="EK41" s="484"/>
      <c r="EL41" s="1059"/>
      <c r="EM41" s="484"/>
      <c r="EN41" s="484"/>
      <c r="EO41" s="484"/>
      <c r="EP41" s="484"/>
      <c r="EQ41" s="1059"/>
      <c r="ER41" s="484"/>
      <c r="ES41" s="484"/>
      <c r="ET41" s="484"/>
      <c r="EU41" s="484"/>
      <c r="EV41" s="1059"/>
      <c r="EW41" s="484"/>
      <c r="EX41" s="484"/>
      <c r="EY41" s="484"/>
      <c r="EZ41" s="484"/>
      <c r="FA41" s="1059"/>
      <c r="FB41" s="291"/>
      <c r="FC41" s="107"/>
      <c r="FD41" s="107"/>
      <c r="FE41" s="107"/>
      <c r="FF41" s="292"/>
      <c r="FG41" s="291"/>
      <c r="FH41" s="107"/>
      <c r="FI41" s="107"/>
      <c r="FJ41" s="107"/>
      <c r="FK41" s="292"/>
      <c r="FL41" s="291"/>
      <c r="FM41" s="107"/>
      <c r="FN41" s="107"/>
      <c r="FO41" s="107"/>
      <c r="FP41" s="292"/>
      <c r="FQ41" s="291"/>
      <c r="FR41" s="107"/>
      <c r="FS41" s="107"/>
      <c r="FT41" s="107"/>
      <c r="FU41" s="292"/>
      <c r="FV41" s="291"/>
      <c r="FW41" s="107"/>
      <c r="FX41" s="107"/>
      <c r="FY41" s="107"/>
      <c r="FZ41" s="292"/>
      <c r="GA41" s="291"/>
      <c r="GB41" s="107"/>
      <c r="GC41" s="107"/>
      <c r="GD41" s="107"/>
      <c r="GE41" s="292"/>
      <c r="GF41" s="291"/>
      <c r="GG41" s="107"/>
      <c r="GH41" s="107"/>
      <c r="GI41" s="107"/>
      <c r="GJ41" s="292"/>
    </row>
    <row r="42" spans="1:192" ht="12.75" customHeight="1">
      <c r="B42" s="727" t="s">
        <v>2072</v>
      </c>
      <c r="C42" s="412"/>
      <c r="D42" s="114"/>
      <c r="E42" s="114"/>
      <c r="F42" s="114"/>
      <c r="G42" s="413"/>
      <c r="H42" s="412"/>
      <c r="I42" s="114"/>
      <c r="J42" s="114"/>
      <c r="K42" s="114"/>
      <c r="L42" s="413"/>
      <c r="M42" s="412"/>
      <c r="N42" s="114"/>
      <c r="O42" s="114"/>
      <c r="P42" s="114"/>
      <c r="Q42" s="413"/>
      <c r="R42" s="412"/>
      <c r="S42" s="114"/>
      <c r="T42" s="114"/>
      <c r="U42" s="114"/>
      <c r="V42" s="413"/>
      <c r="W42" s="412"/>
      <c r="X42" s="114"/>
      <c r="Y42" s="114"/>
      <c r="Z42" s="114"/>
      <c r="AA42" s="413"/>
      <c r="AB42" s="412"/>
      <c r="AC42" s="114"/>
      <c r="AD42" s="114"/>
      <c r="AE42" s="114"/>
      <c r="AF42" s="413"/>
      <c r="AG42" s="412"/>
      <c r="AH42" s="114"/>
      <c r="AI42" s="114"/>
      <c r="AJ42" s="114"/>
      <c r="AK42" s="413"/>
      <c r="AL42" s="412"/>
      <c r="AM42" s="114"/>
      <c r="AN42" s="114"/>
      <c r="AO42" s="114"/>
      <c r="AP42" s="413"/>
      <c r="AQ42" s="412"/>
      <c r="AR42" s="114"/>
      <c r="AS42" s="114"/>
      <c r="AT42" s="114"/>
      <c r="AU42" s="413"/>
      <c r="AV42" s="412"/>
      <c r="AW42" s="114"/>
      <c r="AX42" s="114"/>
      <c r="AY42" s="114"/>
      <c r="AZ42" s="413"/>
      <c r="BA42" s="412"/>
      <c r="BB42" s="114"/>
      <c r="BC42" s="114"/>
      <c r="BD42" s="114"/>
      <c r="BE42" s="413"/>
      <c r="BF42" s="412"/>
      <c r="BG42" s="114"/>
      <c r="BH42" s="114"/>
      <c r="BI42" s="114"/>
      <c r="BJ42" s="413"/>
      <c r="BK42" s="412"/>
      <c r="BL42" s="114"/>
      <c r="BM42" s="114"/>
      <c r="BN42" s="114"/>
      <c r="BO42" s="413"/>
      <c r="BP42" s="412"/>
      <c r="BQ42" s="114"/>
      <c r="BR42" s="114"/>
      <c r="BS42" s="114"/>
      <c r="BT42" s="413"/>
      <c r="BU42" s="412"/>
      <c r="BV42" s="114"/>
      <c r="BW42" s="114"/>
      <c r="BX42" s="114"/>
      <c r="BY42" s="413"/>
      <c r="BZ42" s="412"/>
      <c r="CA42" s="114"/>
      <c r="CB42" s="114"/>
      <c r="CC42" s="114"/>
      <c r="CD42" s="413"/>
      <c r="CE42" s="412"/>
      <c r="CF42" s="114"/>
      <c r="CG42" s="114"/>
      <c r="CH42" s="114"/>
      <c r="CI42" s="413"/>
      <c r="CJ42" s="412"/>
      <c r="CK42" s="114"/>
      <c r="CL42" s="114"/>
      <c r="CM42" s="114"/>
      <c r="CN42" s="413"/>
      <c r="CO42" s="412"/>
      <c r="CP42" s="114"/>
      <c r="CQ42" s="114"/>
      <c r="CR42" s="114"/>
      <c r="CS42" s="413"/>
      <c r="CT42" s="412"/>
      <c r="CU42" s="114"/>
      <c r="CV42" s="114"/>
      <c r="CW42" s="114"/>
      <c r="CX42" s="413"/>
      <c r="CY42" s="412"/>
      <c r="CZ42" s="114"/>
      <c r="DA42" s="114"/>
      <c r="DB42" s="114"/>
      <c r="DC42" s="413"/>
      <c r="DD42" s="412"/>
      <c r="DE42" s="114"/>
      <c r="DF42" s="114"/>
      <c r="DG42" s="114"/>
      <c r="DH42" s="413"/>
      <c r="DI42" s="484"/>
      <c r="DJ42" s="485"/>
      <c r="DK42" s="485"/>
      <c r="DL42" s="485"/>
      <c r="DM42" s="1059"/>
      <c r="DN42" s="484"/>
      <c r="DO42" s="485"/>
      <c r="DP42" s="485"/>
      <c r="DQ42" s="485"/>
      <c r="DR42" s="1059"/>
      <c r="DS42" s="291">
        <f>DS35/(DT10+DU10+DV10+DX10)</f>
      </c>
      <c r="DT42" s="291">
        <f>DT35/(DU10+DV10+DX10+DY10)</f>
      </c>
      <c r="DU42" s="291">
        <f>DU35/(DV10+DX10+DY10+DZ10)</f>
      </c>
      <c r="DV42" s="291">
        <f>DV35/(DX10+DY10+DZ10+EA10)</f>
      </c>
      <c r="DW42" s="1059"/>
      <c r="DX42" s="291">
        <f>DX35/(DY10+DZ10+EA10+EC10)</f>
      </c>
      <c r="DY42" s="291">
        <f>DY35/(DZ10+EA10+EC10+ED10)</f>
      </c>
      <c r="DZ42" s="291">
        <f>DZ35/(EA10+EC10+ED10+EE10)</f>
      </c>
      <c r="EA42" s="291">
        <f>EA35/(EC10+ED10+EE10+EF10)</f>
      </c>
      <c r="EB42" s="1059"/>
      <c r="EC42" s="291">
        <f>EC35/(ED10+EE10+EF10+EH10)</f>
      </c>
      <c r="ED42" s="291">
        <f>ED35/(EE10+EF10+EH10+EI10)</f>
      </c>
      <c r="EE42" s="291">
        <f>EE35/(EF10+EH10+EI10+EJ10)</f>
      </c>
      <c r="EF42" s="291">
        <f>EF35/(EH10+EI10+EJ10+EK10)</f>
      </c>
      <c r="EG42" s="1059"/>
      <c r="EH42" s="291">
        <f>EH35/(EI10+EJ10+EK10+EM10)</f>
      </c>
      <c r="EI42" s="291">
        <f>EI35/(EJ10+EK10+EM10+EN10)</f>
      </c>
      <c r="EJ42" s="291">
        <f>EJ35/(EK10+EM10+EN10+EO10)</f>
      </c>
      <c r="EK42" s="291">
        <f>EK35/(EM10+EN10+EO10+EP10)</f>
      </c>
      <c r="EL42" s="1059"/>
      <c r="EM42" s="291">
        <f>EM35/(EN10+EO10+EP10+ER10)</f>
      </c>
      <c r="EN42" s="291">
        <f>EN35/(EO10+EP10+ER10+ES10)</f>
      </c>
      <c r="EO42" s="291">
        <f>EO35/(EP10+ER10+ES10+ET10)</f>
      </c>
      <c r="EP42" s="291">
        <f>EP35/(ER10+ES10+ET10+EU10)</f>
      </c>
      <c r="EQ42" s="1059"/>
      <c r="ER42" s="291">
        <f>ER35/(ES10+ET10+EU10+EW10)</f>
      </c>
      <c r="ES42" s="291">
        <f>ES35/(ET10+EU10+EW10+EX10)</f>
      </c>
      <c r="ET42" s="291">
        <f>ET35/(EU10+EW10+EX10+EY10)</f>
      </c>
      <c r="EU42" s="291">
        <f>EU35/(EW10+EX10+EY10+EZ10)</f>
      </c>
      <c r="EV42" s="1059"/>
      <c r="EW42" s="291">
        <f>EW35/(EX10+EY10+EZ10+FB10)</f>
      </c>
      <c r="EX42" s="291">
        <f>EX35/(EY10+EZ10+FB10+FC10)</f>
      </c>
      <c r="EY42" s="291">
        <f>EY35/(EZ10+FB10+FC10+FD10)</f>
      </c>
      <c r="EZ42" s="291">
        <f>EZ35/(FB10+FC10+FD10+FE10)</f>
      </c>
      <c r="FA42" s="1059"/>
      <c r="FB42" s="291"/>
      <c r="FC42" s="107"/>
      <c r="FD42" s="107"/>
      <c r="FE42" s="107"/>
      <c r="FF42" s="292"/>
      <c r="FG42" s="291"/>
      <c r="FH42" s="107"/>
      <c r="FI42" s="107"/>
      <c r="FJ42" s="107"/>
      <c r="FK42" s="292"/>
      <c r="FL42" s="291"/>
      <c r="FM42" s="107"/>
      <c r="FN42" s="107"/>
      <c r="FO42" s="107"/>
      <c r="FP42" s="292"/>
      <c r="FQ42" s="291"/>
      <c r="FR42" s="107"/>
      <c r="FS42" s="107"/>
      <c r="FT42" s="107"/>
      <c r="FU42" s="292"/>
      <c r="FV42" s="291"/>
      <c r="FW42" s="107"/>
      <c r="FX42" s="107"/>
      <c r="FY42" s="107"/>
      <c r="FZ42" s="292"/>
      <c r="GA42" s="291"/>
      <c r="GB42" s="107"/>
      <c r="GC42" s="107"/>
      <c r="GD42" s="107"/>
      <c r="GE42" s="292"/>
      <c r="GF42" s="291"/>
      <c r="GG42" s="107"/>
      <c r="GH42" s="107"/>
      <c r="GI42" s="107"/>
      <c r="GJ42" s="292"/>
    </row>
    <row r="43" spans="1:192" ht="12.75" customHeight="1">
      <c r="B43" s="727"/>
      <c r="C43" s="291"/>
      <c r="D43" s="107"/>
      <c r="E43" s="107"/>
      <c r="F43" s="107"/>
      <c r="G43" s="293"/>
      <c r="H43" s="291"/>
      <c r="I43" s="107"/>
      <c r="J43" s="107"/>
      <c r="K43" s="107"/>
      <c r="L43" s="293"/>
      <c r="M43" s="291"/>
      <c r="N43" s="107"/>
      <c r="O43" s="107"/>
      <c r="P43" s="107"/>
      <c r="Q43" s="293"/>
      <c r="R43" s="291"/>
      <c r="S43" s="107"/>
      <c r="T43" s="107"/>
      <c r="U43" s="107"/>
      <c r="V43" s="293"/>
      <c r="W43" s="291"/>
      <c r="X43" s="107"/>
      <c r="Y43" s="107"/>
      <c r="Z43" s="107"/>
      <c r="AA43" s="293"/>
      <c r="AB43" s="291"/>
      <c r="AC43" s="107"/>
      <c r="AD43" s="107"/>
      <c r="AE43" s="107"/>
      <c r="AF43" s="293"/>
      <c r="AG43" s="291"/>
      <c r="AH43" s="107"/>
      <c r="AI43" s="107"/>
      <c r="AJ43" s="107"/>
      <c r="AK43" s="293"/>
      <c r="AL43" s="291"/>
      <c r="AM43" s="107"/>
      <c r="AN43" s="107"/>
      <c r="AO43" s="107"/>
      <c r="AP43" s="293"/>
      <c r="AQ43" s="291"/>
      <c r="AR43" s="107"/>
      <c r="AS43" s="107"/>
      <c r="AT43" s="107"/>
      <c r="AU43" s="293"/>
      <c r="AV43" s="291"/>
      <c r="AW43" s="107"/>
      <c r="AX43" s="107"/>
      <c r="AY43" s="107"/>
      <c r="AZ43" s="293"/>
      <c r="BA43" s="291"/>
      <c r="BB43" s="107"/>
      <c r="BC43" s="107"/>
      <c r="BD43" s="107"/>
      <c r="BE43" s="293"/>
      <c r="BF43" s="291"/>
      <c r="BG43" s="107"/>
      <c r="BH43" s="107"/>
      <c r="BI43" s="107"/>
      <c r="BJ43" s="293"/>
      <c r="BK43" s="291"/>
      <c r="BL43" s="107"/>
      <c r="BM43" s="107"/>
      <c r="BN43" s="107"/>
      <c r="BO43" s="293"/>
      <c r="BP43" s="291"/>
      <c r="BQ43" s="107"/>
      <c r="BR43" s="107"/>
      <c r="BS43" s="107"/>
      <c r="BT43" s="293"/>
      <c r="BU43" s="291"/>
      <c r="BV43" s="107"/>
      <c r="BW43" s="107"/>
      <c r="BX43" s="107"/>
      <c r="BY43" s="293"/>
      <c r="BZ43" s="291"/>
      <c r="CA43" s="107"/>
      <c r="CB43" s="107"/>
      <c r="CC43" s="107"/>
      <c r="CD43" s="293"/>
      <c r="CE43" s="291"/>
      <c r="CF43" s="107"/>
      <c r="CG43" s="107"/>
      <c r="CH43" s="107"/>
      <c r="CI43" s="293"/>
      <c r="CJ43" s="291"/>
      <c r="CK43" s="107"/>
      <c r="CL43" s="107"/>
      <c r="CM43" s="107"/>
      <c r="CN43" s="293"/>
      <c r="CO43" s="291"/>
      <c r="CP43" s="107"/>
      <c r="CQ43" s="107"/>
      <c r="CR43" s="107"/>
      <c r="CS43" s="293"/>
      <c r="CT43" s="291"/>
      <c r="CU43" s="107"/>
      <c r="CV43" s="107"/>
      <c r="CW43" s="107"/>
      <c r="CX43" s="293"/>
      <c r="CY43" s="291"/>
      <c r="CZ43" s="107"/>
      <c r="DA43" s="107"/>
      <c r="DB43" s="107"/>
      <c r="DC43" s="293"/>
      <c r="DD43" s="291"/>
      <c r="DE43" s="107"/>
      <c r="DF43" s="107"/>
      <c r="DG43" s="107"/>
      <c r="DH43" s="293"/>
      <c r="DI43" s="291"/>
      <c r="DJ43" s="107"/>
      <c r="DK43" s="107"/>
      <c r="DL43" s="107"/>
      <c r="DM43" s="293"/>
      <c r="DN43" s="291"/>
      <c r="DO43" s="107"/>
      <c r="DP43" s="107"/>
      <c r="DQ43" s="107"/>
      <c r="DR43" s="293"/>
      <c r="DS43" s="291"/>
      <c r="DT43" s="107"/>
      <c r="DU43" s="107"/>
      <c r="DV43" s="107"/>
      <c r="DW43" s="293"/>
      <c r="DX43" s="291"/>
      <c r="DY43" s="107"/>
      <c r="DZ43" s="107"/>
      <c r="EA43" s="107"/>
      <c r="EB43" s="293"/>
      <c r="EC43" s="291"/>
      <c r="ED43" s="107"/>
      <c r="EE43" s="107"/>
      <c r="EF43" s="107"/>
      <c r="EG43" s="293"/>
      <c r="EH43" s="291"/>
      <c r="EI43" s="107"/>
      <c r="EJ43" s="107"/>
      <c r="EK43" s="107"/>
      <c r="EL43" s="293"/>
      <c r="EM43" s="291"/>
      <c r="EN43" s="107"/>
      <c r="EO43" s="107"/>
      <c r="EP43" s="107"/>
      <c r="EQ43" s="293"/>
      <c r="ER43" s="291"/>
      <c r="ES43" s="107"/>
      <c r="ET43" s="107"/>
      <c r="EU43" s="107"/>
      <c r="EV43" s="293"/>
      <c r="EW43" s="291"/>
      <c r="EX43" s="107"/>
      <c r="EY43" s="107"/>
      <c r="EZ43" s="107"/>
      <c r="FA43" s="293"/>
      <c r="FB43" s="291"/>
      <c r="FC43" s="107"/>
      <c r="FD43" s="107"/>
      <c r="FE43" s="107"/>
      <c r="FF43" s="293"/>
      <c r="FG43" s="291"/>
      <c r="FH43" s="107"/>
      <c r="FI43" s="107"/>
      <c r="FJ43" s="107"/>
      <c r="FK43" s="293"/>
      <c r="FL43" s="291"/>
      <c r="FM43" s="107"/>
      <c r="FN43" s="107"/>
      <c r="FO43" s="107"/>
      <c r="FP43" s="293"/>
      <c r="FQ43" s="291"/>
      <c r="FR43" s="107"/>
      <c r="FS43" s="107"/>
      <c r="FT43" s="107"/>
      <c r="FU43" s="293"/>
      <c r="FV43" s="291"/>
      <c r="FW43" s="107"/>
      <c r="FX43" s="107"/>
      <c r="FY43" s="107"/>
      <c r="FZ43" s="293"/>
      <c r="GA43" s="291"/>
      <c r="GB43" s="107"/>
      <c r="GC43" s="107"/>
      <c r="GD43" s="107"/>
      <c r="GE43" s="293"/>
      <c r="GF43" s="291"/>
      <c r="GG43" s="107"/>
      <c r="GH43" s="107"/>
      <c r="GI43" s="107"/>
      <c r="GJ43" s="293"/>
    </row>
    <row r="44" spans="1:192" s="1658" customFormat="1" ht="12.75" customHeight="1">
      <c r="A44" s="1653"/>
      <c r="B44" s="730" t="s">
        <v>252</v>
      </c>
      <c r="C44" s="477"/>
      <c r="D44" s="477"/>
      <c r="E44" s="477"/>
      <c r="F44" s="477"/>
      <c r="G44" s="478"/>
      <c r="H44" s="477"/>
      <c r="I44" s="477"/>
      <c r="J44" s="477"/>
      <c r="K44" s="477"/>
      <c r="L44" s="478"/>
      <c r="M44" s="477"/>
      <c r="N44" s="477"/>
      <c r="O44" s="477"/>
      <c r="P44" s="477"/>
      <c r="Q44" s="478"/>
      <c r="R44" s="477"/>
      <c r="S44" s="477"/>
      <c r="T44" s="477"/>
      <c r="U44" s="477"/>
      <c r="V44" s="478"/>
      <c r="W44" s="477"/>
      <c r="X44" s="477"/>
      <c r="Y44" s="477"/>
      <c r="Z44" s="477"/>
      <c r="AA44" s="478"/>
      <c r="AB44" s="477"/>
      <c r="AC44" s="477"/>
      <c r="AD44" s="477"/>
      <c r="AE44" s="477"/>
      <c r="AF44" s="478"/>
      <c r="AG44" s="477"/>
      <c r="AH44" s="477"/>
      <c r="AI44" s="477"/>
      <c r="AJ44" s="477"/>
      <c r="AK44" s="478"/>
      <c r="AL44" s="477"/>
      <c r="AM44" s="477"/>
      <c r="AN44" s="477"/>
      <c r="AO44" s="477"/>
      <c r="AP44" s="478"/>
      <c r="AQ44" s="477"/>
      <c r="AR44" s="477"/>
      <c r="AS44" s="477"/>
      <c r="AT44" s="477"/>
      <c r="AU44" s="478"/>
      <c r="AV44" s="477"/>
      <c r="AW44" s="477"/>
      <c r="AX44" s="477"/>
      <c r="AY44" s="477"/>
      <c r="AZ44" s="478"/>
      <c r="BA44" s="477"/>
      <c r="BB44" s="477"/>
      <c r="BC44" s="477"/>
      <c r="BD44" s="477"/>
      <c r="BE44" s="478"/>
      <c r="BF44" s="477"/>
      <c r="BG44" s="477"/>
      <c r="BH44" s="477"/>
      <c r="BI44" s="477"/>
      <c r="BJ44" s="478"/>
      <c r="BK44" s="477"/>
      <c r="BL44" s="477"/>
      <c r="BM44" s="477"/>
      <c r="BN44" s="477"/>
      <c r="BO44" s="478"/>
      <c r="BP44" s="477"/>
      <c r="BQ44" s="477"/>
      <c r="BR44" s="477"/>
      <c r="BS44" s="477"/>
      <c r="BT44" s="478"/>
      <c r="BU44" s="477"/>
      <c r="BV44" s="477"/>
      <c r="BW44" s="477"/>
      <c r="BX44" s="477"/>
      <c r="BY44" s="478"/>
      <c r="BZ44" s="477"/>
      <c r="CA44" s="477"/>
      <c r="CB44" s="477"/>
      <c r="CC44" s="477"/>
      <c r="CD44" s="478"/>
      <c r="CE44" s="477"/>
      <c r="CF44" s="477"/>
      <c r="CG44" s="477"/>
      <c r="CH44" s="477"/>
      <c r="CI44" s="478"/>
      <c r="CJ44" s="477"/>
      <c r="CK44" s="477"/>
      <c r="CL44" s="477"/>
      <c r="CM44" s="477"/>
      <c r="CN44" s="478"/>
      <c r="CO44" s="477"/>
      <c r="CP44" s="477"/>
      <c r="CQ44" s="477"/>
      <c r="CR44" s="477"/>
      <c r="CS44" s="478"/>
      <c r="CT44" s="477"/>
      <c r="CU44" s="477"/>
      <c r="CV44" s="477"/>
      <c r="CW44" s="477"/>
      <c r="CX44" s="478"/>
      <c r="CY44" s="1654"/>
      <c r="CZ44" s="1654"/>
      <c r="DA44" s="1654"/>
      <c r="DB44" s="1654"/>
      <c r="DC44" s="478"/>
      <c r="DD44" s="1654"/>
      <c r="DE44" s="1654"/>
      <c r="DF44" s="1654"/>
      <c r="DG44" s="1654">
        <v>0.83</v>
      </c>
      <c r="DH44" s="478">
        <f>DG44</f>
      </c>
      <c r="DI44" s="1655">
        <v>0.87</v>
      </c>
      <c r="DJ44" s="1655">
        <v>0.83</v>
      </c>
      <c r="DK44" s="1655">
        <v>0.87</v>
      </c>
      <c r="DL44" s="1655">
        <v>0.86</v>
      </c>
      <c r="DM44" s="478">
        <f>DL44</f>
      </c>
      <c r="DN44" s="1654">
        <v>0.89</v>
      </c>
      <c r="DO44" s="1654">
        <v>0.86</v>
      </c>
      <c r="DP44" s="1654">
        <v>0.89</v>
      </c>
      <c r="DQ44" s="1656">
        <v>0.9</v>
      </c>
      <c r="DR44" s="478">
        <f>DQ44</f>
      </c>
      <c r="DS44" s="1654">
        <v>0.9</v>
      </c>
      <c r="DT44" s="1654">
        <v>0.89</v>
      </c>
      <c r="DU44" s="1654">
        <v>0.9</v>
      </c>
      <c r="DV44" s="1654">
        <v>0.9</v>
      </c>
      <c r="DW44" s="478">
        <f>DV44</f>
      </c>
      <c r="DX44" s="1654">
        <v>0.91</v>
      </c>
      <c r="DY44" s="1654">
        <v>0.89</v>
      </c>
      <c r="DZ44" s="1654">
        <v>0.92</v>
      </c>
      <c r="EA44" s="1654">
        <v>0.94</v>
      </c>
      <c r="EB44" s="478">
        <f>EA44</f>
      </c>
      <c r="EC44" s="1654">
        <v>0.93</v>
      </c>
      <c r="ED44" s="1654">
        <v>0.93</v>
      </c>
      <c r="EE44" s="1654">
        <v>0.94</v>
      </c>
      <c r="EF44" s="1654">
        <v>0.95</v>
      </c>
      <c r="EG44" s="478">
        <f>EF44</f>
      </c>
      <c r="EH44" s="1654">
        <v>0.95</v>
      </c>
      <c r="EI44" s="1654">
        <v>0.94</v>
      </c>
      <c r="EJ44" s="1654">
        <v>0.96</v>
      </c>
      <c r="EK44" s="1654">
        <v>0.96</v>
      </c>
      <c r="EL44" s="478">
        <f>EK44</f>
      </c>
      <c r="EM44" s="1654">
        <v>0.96</v>
      </c>
      <c r="EN44" s="1654">
        <v>0.96</v>
      </c>
      <c r="EO44" s="1654">
        <v>0.96</v>
      </c>
      <c r="EP44" s="1654">
        <v>0.97</v>
      </c>
      <c r="EQ44" s="478">
        <f>EP44</f>
      </c>
      <c r="ER44" s="1654">
        <v>0.96</v>
      </c>
      <c r="ES44" s="1654">
        <v>0.96</v>
      </c>
      <c r="ET44" s="1657">
        <v>0.97</v>
      </c>
      <c r="EU44" s="1657">
        <v>0.97</v>
      </c>
      <c r="EV44" s="478">
        <f>EU44</f>
      </c>
      <c r="EW44" s="1657">
        <v>0.98</v>
      </c>
      <c r="EX44" s="1657">
        <v>0.97</v>
      </c>
      <c r="EY44" s="1657">
        <v>0.98</v>
      </c>
      <c r="EZ44" s="1657">
        <v>0.98</v>
      </c>
      <c r="FA44" s="478">
        <f>EZ44</f>
      </c>
      <c r="FB44" s="1654"/>
      <c r="FC44" s="1654"/>
      <c r="FD44" s="1654"/>
      <c r="FE44" s="1654"/>
      <c r="FF44" s="478"/>
      <c r="FG44" s="1654"/>
      <c r="FH44" s="1654"/>
      <c r="FI44" s="1654"/>
      <c r="FJ44" s="1654"/>
      <c r="FK44" s="478"/>
      <c r="FL44" s="1654"/>
      <c r="FM44" s="1654"/>
      <c r="FN44" s="1654"/>
      <c r="FO44" s="1654"/>
      <c r="FP44" s="478"/>
      <c r="FQ44" s="1654"/>
      <c r="FR44" s="1654"/>
      <c r="FS44" s="1654"/>
      <c r="FT44" s="1654"/>
      <c r="FU44" s="478"/>
      <c r="FV44" s="1654"/>
      <c r="FW44" s="1654"/>
      <c r="FX44" s="1654"/>
      <c r="FY44" s="1654"/>
      <c r="FZ44" s="478"/>
      <c r="GA44" s="1654"/>
      <c r="GB44" s="1654"/>
      <c r="GC44" s="1654"/>
      <c r="GD44" s="1654"/>
      <c r="GE44" s="478"/>
      <c r="GF44" s="1654"/>
      <c r="GG44" s="1654"/>
      <c r="GH44" s="1654"/>
      <c r="GI44" s="1654"/>
      <c r="GJ44" s="478"/>
    </row>
    <row r="45" spans="1:192" ht="12.75" customHeight="1">
      <c r="B45" s="702"/>
      <c r="C45" s="248"/>
      <c r="D45" s="266"/>
      <c r="E45" s="266"/>
      <c r="F45" s="266"/>
      <c r="G45" s="304"/>
      <c r="H45" s="248"/>
      <c r="I45" s="266"/>
      <c r="J45" s="266"/>
      <c r="K45" s="266"/>
      <c r="L45" s="304"/>
      <c r="M45" s="248"/>
      <c r="N45" s="266"/>
      <c r="O45" s="266"/>
      <c r="P45" s="266"/>
      <c r="Q45" s="304"/>
      <c r="R45" s="248"/>
      <c r="S45" s="266"/>
      <c r="T45" s="266"/>
      <c r="U45" s="266"/>
      <c r="V45" s="304"/>
      <c r="W45" s="248"/>
      <c r="X45" s="266"/>
      <c r="Y45" s="266"/>
      <c r="Z45" s="266"/>
      <c r="AA45" s="304"/>
      <c r="AB45" s="248"/>
      <c r="AC45" s="266"/>
      <c r="AD45" s="266"/>
      <c r="AE45" s="266"/>
      <c r="AF45" s="304"/>
      <c r="AG45" s="248"/>
      <c r="AH45" s="266"/>
      <c r="AI45" s="266"/>
      <c r="AJ45" s="266"/>
      <c r="AK45" s="304"/>
      <c r="AL45" s="248"/>
      <c r="AM45" s="266"/>
      <c r="AN45" s="266"/>
      <c r="AO45" s="266"/>
      <c r="AP45" s="304"/>
      <c r="AQ45" s="248"/>
      <c r="AR45" s="266"/>
      <c r="AS45" s="266"/>
      <c r="AT45" s="266"/>
      <c r="AU45" s="304"/>
      <c r="AV45" s="248"/>
      <c r="AW45" s="266"/>
      <c r="AX45" s="266"/>
      <c r="AY45" s="266"/>
      <c r="AZ45" s="304"/>
      <c r="BA45" s="248"/>
      <c r="BB45" s="266"/>
      <c r="BC45" s="266"/>
      <c r="BD45" s="266"/>
      <c r="BE45" s="304"/>
      <c r="BF45" s="248"/>
      <c r="BG45" s="266"/>
      <c r="BH45" s="266"/>
      <c r="BI45" s="266"/>
      <c r="BJ45" s="304"/>
      <c r="BK45" s="248"/>
      <c r="BL45" s="266"/>
      <c r="BM45" s="266"/>
      <c r="BN45" s="266"/>
      <c r="BO45" s="304"/>
      <c r="BP45" s="248"/>
      <c r="BQ45" s="266"/>
      <c r="BR45" s="266"/>
      <c r="BS45" s="266"/>
      <c r="BT45" s="304"/>
      <c r="BU45" s="248"/>
      <c r="BV45" s="266"/>
      <c r="BW45" s="266"/>
      <c r="BX45" s="266"/>
      <c r="BY45" s="304"/>
      <c r="BZ45" s="248"/>
      <c r="CA45" s="266"/>
      <c r="CB45" s="266"/>
      <c r="CC45" s="266"/>
      <c r="CD45" s="304"/>
      <c r="CE45" s="248"/>
      <c r="CF45" s="266"/>
      <c r="CG45" s="266"/>
      <c r="CH45" s="266"/>
      <c r="CI45" s="304"/>
      <c r="CJ45" s="248"/>
      <c r="CK45" s="266"/>
      <c r="CL45" s="266"/>
      <c r="CM45" s="266"/>
      <c r="CN45" s="304"/>
      <c r="CO45" s="248"/>
      <c r="CP45" s="266"/>
      <c r="CQ45" s="266"/>
      <c r="CR45" s="266"/>
      <c r="CS45" s="304"/>
      <c r="CT45" s="248"/>
      <c r="CU45" s="266"/>
      <c r="CV45" s="266"/>
      <c r="CW45" s="266"/>
      <c r="CX45" s="304"/>
      <c r="CY45" s="248"/>
      <c r="CZ45" s="266"/>
      <c r="DA45" s="266"/>
      <c r="DB45" s="266"/>
      <c r="DC45" s="304"/>
      <c r="DD45" s="248"/>
      <c r="DE45" s="266"/>
      <c r="DF45" s="266"/>
      <c r="DG45" s="266"/>
      <c r="DH45" s="304"/>
      <c r="DI45" s="248"/>
      <c r="DJ45" s="266"/>
      <c r="DK45" s="266"/>
      <c r="DL45" s="266"/>
      <c r="DM45" s="304"/>
      <c r="DN45" s="248"/>
      <c r="DO45" s="266"/>
      <c r="DP45" s="266"/>
      <c r="DQ45" s="266"/>
      <c r="DR45" s="304"/>
      <c r="DS45" s="248"/>
      <c r="DT45" s="266"/>
      <c r="DU45" s="266"/>
      <c r="DV45" s="266"/>
      <c r="DW45" s="304"/>
      <c r="DX45" s="248"/>
      <c r="DY45" s="266"/>
      <c r="DZ45" s="266"/>
      <c r="EA45" s="266"/>
      <c r="EB45" s="304"/>
      <c r="EC45" s="248"/>
      <c r="ED45" s="266"/>
      <c r="EE45" s="266"/>
      <c r="EF45" s="266"/>
      <c r="EG45" s="304"/>
      <c r="EH45" s="248"/>
      <c r="EI45" s="266"/>
      <c r="EJ45" s="266"/>
      <c r="EK45" s="266"/>
      <c r="EL45" s="308"/>
      <c r="EM45" s="248"/>
      <c r="EN45" s="266"/>
      <c r="EO45" s="266"/>
      <c r="EP45" s="266"/>
      <c r="EQ45" s="308"/>
      <c r="ER45" s="248"/>
      <c r="ES45" s="266"/>
      <c r="ET45" s="266"/>
      <c r="EU45" s="266"/>
      <c r="EV45" s="304"/>
      <c r="EW45" s="248"/>
      <c r="EX45" s="266"/>
      <c r="EY45" s="266"/>
      <c r="EZ45" s="266"/>
      <c r="FA45" s="304"/>
      <c r="FB45" s="248"/>
      <c r="FC45" s="518"/>
      <c r="FD45" s="266"/>
      <c r="FE45" s="266"/>
      <c r="FF45" s="304"/>
      <c r="FG45" s="248"/>
      <c r="FH45" s="266"/>
      <c r="FI45" s="266"/>
      <c r="FJ45" s="266"/>
      <c r="FK45" s="304"/>
      <c r="FL45" s="248"/>
      <c r="FM45" s="266"/>
      <c r="FN45" s="266"/>
      <c r="FO45" s="266"/>
      <c r="FP45" s="304"/>
      <c r="FQ45" s="248"/>
      <c r="FR45" s="266"/>
      <c r="FS45" s="266"/>
      <c r="FT45" s="266"/>
      <c r="FU45" s="304"/>
      <c r="FV45" s="248"/>
      <c r="FW45" s="266"/>
      <c r="FX45" s="266"/>
      <c r="FY45" s="266"/>
      <c r="FZ45" s="304"/>
      <c r="GA45" s="248"/>
      <c r="GB45" s="266"/>
      <c r="GC45" s="266"/>
      <c r="GD45" s="266"/>
      <c r="GE45" s="304"/>
      <c r="GF45" s="248"/>
      <c r="GG45" s="266"/>
      <c r="GH45" s="266"/>
      <c r="GI45" s="266"/>
      <c r="GJ45" s="304"/>
    </row>
    <row r="46" spans="1:192" ht="12.75" customHeight="1">
      <c r="B46" s="821"/>
      <c r="C46" s="248"/>
      <c r="D46" s="266"/>
      <c r="E46" s="266"/>
      <c r="F46" s="266"/>
      <c r="G46" s="266"/>
      <c r="H46" s="248"/>
      <c r="I46" s="266"/>
      <c r="J46" s="266"/>
      <c r="K46" s="266"/>
      <c r="L46" s="266"/>
      <c r="M46" s="248"/>
      <c r="N46" s="266"/>
      <c r="O46" s="266"/>
      <c r="P46" s="266"/>
      <c r="Q46" s="266"/>
      <c r="R46" s="248"/>
      <c r="S46" s="266"/>
      <c r="T46" s="266"/>
      <c r="U46" s="266"/>
      <c r="V46" s="266"/>
      <c r="W46" s="248"/>
      <c r="X46" s="266"/>
      <c r="Y46" s="266"/>
      <c r="Z46" s="266"/>
      <c r="AA46" s="266"/>
      <c r="AB46" s="248"/>
      <c r="AC46" s="266"/>
      <c r="AD46" s="266"/>
      <c r="AE46" s="266"/>
      <c r="AF46" s="266"/>
      <c r="AG46" s="248"/>
      <c r="AH46" s="266"/>
      <c r="AI46" s="266"/>
      <c r="AJ46" s="266"/>
      <c r="AK46" s="266"/>
      <c r="AL46" s="248"/>
      <c r="AM46" s="266"/>
      <c r="AN46" s="266"/>
      <c r="AO46" s="266"/>
      <c r="AP46" s="266"/>
      <c r="AQ46" s="248"/>
      <c r="AR46" s="266"/>
      <c r="AS46" s="266"/>
      <c r="AT46" s="266"/>
      <c r="AU46" s="266"/>
      <c r="AV46" s="248"/>
      <c r="AW46" s="266"/>
      <c r="AX46" s="266"/>
      <c r="AY46" s="266"/>
      <c r="AZ46" s="266"/>
      <c r="BA46" s="248"/>
      <c r="BB46" s="266"/>
      <c r="BC46" s="266"/>
      <c r="BD46" s="266"/>
      <c r="BE46" s="266"/>
      <c r="BF46" s="248"/>
      <c r="BG46" s="266"/>
      <c r="BH46" s="266"/>
      <c r="BI46" s="266"/>
      <c r="BJ46" s="266"/>
      <c r="BK46" s="248"/>
      <c r="BL46" s="266"/>
      <c r="BM46" s="266"/>
      <c r="BN46" s="266"/>
      <c r="BO46" s="266"/>
      <c r="BP46" s="248"/>
      <c r="BQ46" s="266"/>
      <c r="BR46" s="266"/>
      <c r="BS46" s="266"/>
      <c r="BT46" s="266"/>
      <c r="BU46" s="248"/>
      <c r="BV46" s="266"/>
      <c r="BW46" s="266"/>
      <c r="BX46" s="266"/>
      <c r="BY46" s="266"/>
      <c r="BZ46" s="248"/>
      <c r="CA46" s="266"/>
      <c r="CB46" s="266"/>
      <c r="CC46" s="266"/>
      <c r="CD46" s="266"/>
      <c r="CE46" s="248"/>
      <c r="CF46" s="266"/>
      <c r="CG46" s="266"/>
      <c r="CH46" s="266"/>
      <c r="CI46" s="266"/>
      <c r="CJ46" s="248"/>
      <c r="CK46" s="266"/>
      <c r="CL46" s="266"/>
      <c r="CM46" s="266"/>
      <c r="CN46" s="266"/>
      <c r="CO46" s="248"/>
      <c r="CP46" s="266"/>
      <c r="CQ46" s="266"/>
      <c r="CR46" s="266"/>
      <c r="CS46" s="266"/>
      <c r="CT46" s="248"/>
      <c r="CU46" s="266"/>
      <c r="CV46" s="266"/>
      <c r="CW46" s="266"/>
      <c r="CX46" s="266"/>
      <c r="CY46" s="248"/>
      <c r="CZ46" s="266"/>
      <c r="DA46" s="266"/>
      <c r="DB46" s="266"/>
      <c r="DC46" s="266"/>
      <c r="DD46" s="248"/>
      <c r="DE46" s="266"/>
      <c r="DF46" s="266"/>
      <c r="DG46" s="266"/>
      <c r="DH46" s="266"/>
      <c r="DI46" s="248"/>
      <c r="DJ46" s="266"/>
      <c r="DK46" s="266"/>
      <c r="DL46" s="266"/>
      <c r="DM46" s="266"/>
      <c r="DN46" s="248"/>
      <c r="DO46" s="266"/>
      <c r="DP46" s="266"/>
      <c r="DQ46" s="266"/>
      <c r="DR46" s="266"/>
      <c r="DS46" s="248"/>
      <c r="DT46" s="266"/>
      <c r="DU46" s="266"/>
      <c r="DV46" s="266"/>
      <c r="DW46" s="266"/>
      <c r="DX46" s="248"/>
      <c r="DY46" s="266"/>
      <c r="DZ46" s="266"/>
      <c r="EA46" s="266"/>
      <c r="EB46" s="266"/>
      <c r="EC46" s="248"/>
      <c r="ED46" s="266"/>
      <c r="EE46" s="266"/>
      <c r="EF46" s="266"/>
      <c r="EG46" s="266"/>
      <c r="EH46" s="248"/>
      <c r="EI46" s="266"/>
      <c r="EJ46" s="266"/>
      <c r="EK46" s="266"/>
      <c r="EL46" s="266"/>
      <c r="EM46" s="248"/>
      <c r="EN46" s="266"/>
      <c r="EO46" s="266"/>
      <c r="EP46" s="266"/>
      <c r="EQ46" s="266"/>
      <c r="ER46" s="248"/>
      <c r="ES46" s="266"/>
      <c r="ET46" s="266"/>
      <c r="EU46" s="266"/>
      <c r="EV46" s="266"/>
      <c r="EW46" s="248"/>
      <c r="EX46" s="266"/>
      <c r="EY46" s="266"/>
      <c r="EZ46" s="266"/>
      <c r="FA46" s="266"/>
      <c r="FB46" s="248"/>
      <c r="FC46" s="266"/>
      <c r="FD46" s="266"/>
      <c r="FE46" s="266"/>
      <c r="FF46" s="266"/>
      <c r="FG46" s="248"/>
      <c r="FH46" s="266"/>
      <c r="FI46" s="266"/>
      <c r="FJ46" s="266"/>
      <c r="FK46" s="266"/>
      <c r="FL46" s="248"/>
      <c r="FM46" s="266"/>
      <c r="FN46" s="266"/>
      <c r="FO46" s="266"/>
      <c r="FP46" s="266"/>
      <c r="FQ46" s="248"/>
      <c r="FR46" s="266"/>
      <c r="FS46" s="266"/>
      <c r="FT46" s="266"/>
      <c r="FU46" s="266"/>
      <c r="FV46" s="248"/>
      <c r="FW46" s="266"/>
      <c r="FX46" s="266"/>
      <c r="FY46" s="266"/>
      <c r="FZ46" s="266"/>
      <c r="GA46" s="248"/>
      <c r="GB46" s="266"/>
      <c r="GC46" s="266"/>
      <c r="GD46" s="266"/>
      <c r="GE46" s="266"/>
      <c r="GF46" s="248"/>
      <c r="GG46" s="266"/>
      <c r="GH46" s="266"/>
      <c r="GI46" s="266"/>
      <c r="GJ46" s="266"/>
    </row>
    <row r="47" spans="1:192" ht="12.75" customHeight="1" thickBot="1">
      <c r="B47" s="702"/>
      <c r="C47" s="248"/>
      <c r="D47" s="266"/>
      <c r="E47" s="266"/>
      <c r="F47" s="266"/>
      <c r="G47" s="266"/>
      <c r="H47" s="248"/>
      <c r="I47" s="266"/>
      <c r="J47" s="266"/>
      <c r="K47" s="266"/>
      <c r="L47" s="266"/>
      <c r="M47" s="248"/>
      <c r="N47" s="266"/>
      <c r="O47" s="266"/>
      <c r="P47" s="266"/>
      <c r="Q47" s="266"/>
      <c r="R47" s="248"/>
      <c r="S47" s="266"/>
      <c r="T47" s="266"/>
      <c r="U47" s="266"/>
      <c r="V47" s="266"/>
      <c r="W47" s="248"/>
      <c r="X47" s="266"/>
      <c r="Y47" s="266"/>
      <c r="Z47" s="266"/>
      <c r="AA47" s="266"/>
      <c r="AB47" s="248"/>
      <c r="AC47" s="266"/>
      <c r="AD47" s="266"/>
      <c r="AE47" s="266"/>
      <c r="AF47" s="266"/>
      <c r="AG47" s="248"/>
      <c r="AH47" s="266"/>
      <c r="AI47" s="266"/>
      <c r="AJ47" s="266"/>
      <c r="AK47" s="266"/>
      <c r="AL47" s="248"/>
      <c r="AM47" s="266"/>
      <c r="AN47" s="266"/>
      <c r="AO47" s="266"/>
      <c r="AP47" s="266"/>
      <c r="AQ47" s="248"/>
      <c r="AR47" s="266"/>
      <c r="AS47" s="266"/>
      <c r="AT47" s="266"/>
      <c r="AU47" s="266"/>
      <c r="AV47" s="248"/>
      <c r="AW47" s="266"/>
      <c r="AX47" s="266"/>
      <c r="AY47" s="266"/>
      <c r="AZ47" s="266"/>
      <c r="BA47" s="248"/>
      <c r="BB47" s="266"/>
      <c r="BC47" s="266"/>
      <c r="BD47" s="266"/>
      <c r="BE47" s="266"/>
      <c r="BF47" s="248"/>
      <c r="BG47" s="266"/>
      <c r="BH47" s="266"/>
      <c r="BI47" s="266"/>
      <c r="BJ47" s="266"/>
      <c r="BK47" s="248"/>
      <c r="BL47" s="266"/>
      <c r="BM47" s="266"/>
      <c r="BN47" s="266"/>
      <c r="BO47" s="266"/>
      <c r="BP47" s="248"/>
      <c r="BQ47" s="266"/>
      <c r="BR47" s="266"/>
      <c r="BS47" s="266"/>
      <c r="BT47" s="266"/>
      <c r="BU47" s="248"/>
      <c r="BV47" s="266"/>
      <c r="BW47" s="266"/>
      <c r="BX47" s="266"/>
      <c r="BY47" s="266"/>
      <c r="BZ47" s="248"/>
      <c r="CA47" s="266"/>
      <c r="CB47" s="266"/>
      <c r="CC47" s="266"/>
      <c r="CD47" s="266"/>
      <c r="CE47" s="248"/>
      <c r="CF47" s="266"/>
      <c r="CG47" s="266"/>
      <c r="CH47" s="266"/>
      <c r="CI47" s="266"/>
      <c r="CJ47" s="248"/>
      <c r="CK47" s="266"/>
      <c r="CL47" s="266"/>
      <c r="CM47" s="266"/>
      <c r="CN47" s="266"/>
      <c r="CO47" s="248"/>
      <c r="CP47" s="266"/>
      <c r="CQ47" s="266"/>
      <c r="CR47" s="266"/>
      <c r="CS47" s="266"/>
      <c r="CT47" s="248"/>
      <c r="CU47" s="266"/>
      <c r="CV47" s="266"/>
      <c r="CW47" s="266"/>
      <c r="CX47" s="266"/>
      <c r="CY47" s="248"/>
      <c r="CZ47" s="266"/>
      <c r="DA47" s="266"/>
      <c r="DB47" s="266"/>
      <c r="DC47" s="266"/>
      <c r="DD47" s="248"/>
      <c r="DE47" s="266"/>
      <c r="DF47" s="266"/>
      <c r="DG47" s="266"/>
      <c r="DH47" s="266"/>
      <c r="DI47" s="248"/>
      <c r="DJ47" s="266"/>
      <c r="DK47" s="266"/>
      <c r="DL47" s="266"/>
      <c r="DM47" s="266"/>
      <c r="DN47" s="248"/>
      <c r="DO47" s="266"/>
      <c r="DP47" s="266"/>
      <c r="DQ47" s="266"/>
      <c r="DR47" s="266"/>
      <c r="DS47" s="248"/>
      <c r="DT47" s="266"/>
      <c r="DU47" s="266"/>
      <c r="DV47" s="266"/>
      <c r="DW47" s="266"/>
      <c r="DX47" s="248"/>
      <c r="DY47" s="266"/>
      <c r="DZ47" s="266"/>
      <c r="EA47" s="266"/>
      <c r="EB47" s="266"/>
      <c r="EC47" s="248"/>
      <c r="ED47" s="266"/>
      <c r="EE47" s="266"/>
      <c r="EF47" s="266"/>
      <c r="EG47" s="266"/>
      <c r="EH47" s="248"/>
      <c r="EI47" s="266"/>
      <c r="EJ47" s="266"/>
      <c r="EK47" s="266"/>
      <c r="EL47" s="266"/>
      <c r="EM47" s="248"/>
      <c r="EN47" s="266"/>
      <c r="EO47" s="266"/>
      <c r="EP47" s="266"/>
      <c r="EQ47" s="266"/>
      <c r="ER47" s="248"/>
      <c r="ES47" s="266"/>
      <c r="ET47" s="266"/>
      <c r="EU47" s="266"/>
      <c r="EV47" s="266"/>
      <c r="EW47" s="248"/>
      <c r="EX47" s="266"/>
      <c r="EY47" s="266"/>
      <c r="EZ47" s="266"/>
      <c r="FA47" s="266"/>
      <c r="FB47" s="248"/>
      <c r="FC47" s="266"/>
      <c r="FD47" s="266"/>
      <c r="FE47" s="266"/>
      <c r="FF47" s="266"/>
      <c r="FG47" s="248"/>
      <c r="FH47" s="266"/>
      <c r="FI47" s="266"/>
      <c r="FJ47" s="266"/>
      <c r="FK47" s="266"/>
      <c r="FL47" s="248"/>
      <c r="FM47" s="266"/>
      <c r="FN47" s="266"/>
      <c r="FO47" s="266"/>
      <c r="FP47" s="266"/>
      <c r="FQ47" s="248"/>
      <c r="FR47" s="266"/>
      <c r="FS47" s="266"/>
      <c r="FT47" s="266"/>
      <c r="FU47" s="266"/>
      <c r="FV47" s="248"/>
      <c r="FW47" s="266"/>
      <c r="FX47" s="266"/>
      <c r="FY47" s="266"/>
      <c r="FZ47" s="266"/>
      <c r="GA47" s="248"/>
      <c r="GB47" s="266"/>
      <c r="GC47" s="266"/>
      <c r="GD47" s="266"/>
      <c r="GE47" s="266"/>
      <c r="GF47" s="248"/>
      <c r="GG47" s="266"/>
      <c r="GH47" s="266"/>
      <c r="GI47" s="266"/>
      <c r="GJ47" s="266"/>
    </row>
    <row r="48" spans="1:192" ht="12.75" customHeight="1" thickBot="1">
      <c r="B48" s="731" t="s">
        <v>205</v>
      </c>
      <c r="C48" s="396"/>
      <c r="D48" s="397"/>
      <c r="E48" s="397"/>
      <c r="F48" s="397"/>
      <c r="G48" s="397"/>
      <c r="H48" s="396"/>
      <c r="I48" s="397"/>
      <c r="J48" s="397"/>
      <c r="K48" s="397"/>
      <c r="L48" s="397"/>
      <c r="M48" s="396"/>
      <c r="N48" s="397"/>
      <c r="O48" s="397"/>
      <c r="P48" s="397"/>
      <c r="Q48" s="397"/>
      <c r="R48" s="396"/>
      <c r="S48" s="397"/>
      <c r="T48" s="397"/>
      <c r="U48" s="397"/>
      <c r="V48" s="397"/>
      <c r="W48" s="396"/>
      <c r="X48" s="397"/>
      <c r="Y48" s="397"/>
      <c r="Z48" s="397"/>
      <c r="AA48" s="397"/>
      <c r="AB48" s="396"/>
      <c r="AC48" s="397"/>
      <c r="AD48" s="397"/>
      <c r="AE48" s="397"/>
      <c r="AF48" s="397"/>
      <c r="AG48" s="396"/>
      <c r="AH48" s="397"/>
      <c r="AI48" s="397"/>
      <c r="AJ48" s="397"/>
      <c r="AK48" s="397"/>
      <c r="AL48" s="396"/>
      <c r="AM48" s="397"/>
      <c r="AN48" s="397"/>
      <c r="AO48" s="397"/>
      <c r="AP48" s="397"/>
      <c r="AQ48" s="396"/>
      <c r="AR48" s="397"/>
      <c r="AS48" s="397"/>
      <c r="AT48" s="397"/>
      <c r="AU48" s="397"/>
      <c r="AV48" s="396"/>
      <c r="AW48" s="397"/>
      <c r="AX48" s="397"/>
      <c r="AY48" s="397"/>
      <c r="AZ48" s="397"/>
      <c r="BA48" s="396"/>
      <c r="BB48" s="397"/>
      <c r="BC48" s="397"/>
      <c r="BD48" s="397"/>
      <c r="BE48" s="397"/>
      <c r="BF48" s="396"/>
      <c r="BG48" s="397"/>
      <c r="BH48" s="397"/>
      <c r="BI48" s="397"/>
      <c r="BJ48" s="397"/>
      <c r="BK48" s="396"/>
      <c r="BL48" s="397"/>
      <c r="BM48" s="397"/>
      <c r="BN48" s="397"/>
      <c r="BO48" s="397"/>
      <c r="BP48" s="396"/>
      <c r="BQ48" s="397"/>
      <c r="BR48" s="397"/>
      <c r="BS48" s="397"/>
      <c r="BT48" s="397"/>
      <c r="BU48" s="396"/>
      <c r="BV48" s="397"/>
      <c r="BW48" s="397"/>
      <c r="BX48" s="397"/>
      <c r="BY48" s="397"/>
      <c r="BZ48" s="396"/>
      <c r="CA48" s="397"/>
      <c r="CB48" s="397"/>
      <c r="CC48" s="397"/>
      <c r="CD48" s="397"/>
      <c r="CE48" s="396"/>
      <c r="CF48" s="397"/>
      <c r="CG48" s="397"/>
      <c r="CH48" s="397"/>
      <c r="CI48" s="397"/>
      <c r="CJ48" s="396"/>
      <c r="CK48" s="397"/>
      <c r="CL48" s="397"/>
      <c r="CM48" s="397"/>
      <c r="CN48" s="397"/>
      <c r="CO48" s="396"/>
      <c r="CP48" s="397"/>
      <c r="CQ48" s="397"/>
      <c r="CR48" s="397"/>
      <c r="CS48" s="397"/>
      <c r="CT48" s="396"/>
      <c r="CU48" s="397"/>
      <c r="CV48" s="397"/>
      <c r="CW48" s="397"/>
      <c r="CX48" s="397"/>
      <c r="CY48" s="396"/>
      <c r="CZ48" s="397"/>
      <c r="DA48" s="397"/>
      <c r="DB48" s="397"/>
      <c r="DC48" s="397"/>
      <c r="DD48" s="396"/>
      <c r="DE48" s="397"/>
      <c r="DF48" s="397"/>
      <c r="DG48" s="397"/>
      <c r="DH48" s="397"/>
      <c r="DI48" s="396"/>
      <c r="DJ48" s="397"/>
      <c r="DK48" s="397"/>
      <c r="DL48" s="397"/>
      <c r="DM48" s="397"/>
      <c r="DN48" s="396"/>
      <c r="DO48" s="397"/>
      <c r="DP48" s="397"/>
      <c r="DQ48" s="397"/>
      <c r="DR48" s="397"/>
      <c r="DS48" s="396"/>
      <c r="DT48" s="397"/>
      <c r="DU48" s="397"/>
      <c r="DV48" s="397"/>
      <c r="DW48" s="397"/>
      <c r="DX48" s="396"/>
      <c r="DY48" s="397"/>
      <c r="DZ48" s="397"/>
      <c r="EA48" s="397"/>
      <c r="EB48" s="397"/>
      <c r="EC48" s="396"/>
      <c r="ED48" s="397"/>
      <c r="EE48" s="397"/>
      <c r="EF48" s="397"/>
      <c r="EG48" s="397"/>
      <c r="EH48" s="396"/>
      <c r="EI48" s="397"/>
      <c r="EJ48" s="397"/>
      <c r="EK48" s="397"/>
      <c r="EL48" s="397"/>
      <c r="EM48" s="396"/>
      <c r="EN48" s="397"/>
      <c r="EO48" s="397"/>
      <c r="EP48" s="397"/>
      <c r="EQ48" s="397"/>
      <c r="ER48" s="396"/>
      <c r="ES48" s="397"/>
      <c r="ET48" s="397"/>
      <c r="EU48" s="397"/>
      <c r="EV48" s="397"/>
      <c r="EW48" s="396"/>
      <c r="EX48" s="397"/>
      <c r="EY48" s="397"/>
      <c r="EZ48" s="397"/>
      <c r="FA48" s="397"/>
      <c r="FB48" s="396"/>
      <c r="FC48" s="397"/>
      <c r="FD48" s="397"/>
      <c r="FE48" s="397"/>
      <c r="FF48" s="397"/>
      <c r="FG48" s="396"/>
      <c r="FH48" s="397"/>
      <c r="FI48" s="397"/>
      <c r="FJ48" s="397"/>
      <c r="FK48" s="397"/>
      <c r="FL48" s="396"/>
      <c r="FM48" s="397"/>
      <c r="FN48" s="397"/>
      <c r="FO48" s="397"/>
      <c r="FP48" s="397"/>
      <c r="FQ48" s="396"/>
      <c r="FR48" s="397"/>
      <c r="FS48" s="397"/>
      <c r="FT48" s="397"/>
      <c r="FU48" s="397"/>
      <c r="FV48" s="396"/>
      <c r="FW48" s="397"/>
      <c r="FX48" s="397"/>
      <c r="FY48" s="397"/>
      <c r="FZ48" s="397"/>
      <c r="GA48" s="396"/>
      <c r="GB48" s="397"/>
      <c r="GC48" s="397"/>
      <c r="GD48" s="397"/>
      <c r="GE48" s="397"/>
      <c r="GF48" s="396"/>
      <c r="GG48" s="397"/>
      <c r="GH48" s="397"/>
      <c r="GI48" s="397"/>
      <c r="GJ48" s="398"/>
    </row>
    <row r="49" spans="1:192" ht="12.75" customHeight="1">
      <c r="B49" s="732"/>
      <c r="C49" s="294"/>
      <c r="D49" s="295"/>
      <c r="E49" s="295"/>
      <c r="F49" s="295"/>
      <c r="G49" s="296"/>
      <c r="H49" s="294"/>
      <c r="I49" s="295"/>
      <c r="J49" s="295"/>
      <c r="K49" s="295"/>
      <c r="L49" s="296"/>
      <c r="M49" s="294"/>
      <c r="N49" s="295"/>
      <c r="O49" s="295"/>
      <c r="P49" s="295"/>
      <c r="Q49" s="296"/>
      <c r="R49" s="294"/>
      <c r="S49" s="295"/>
      <c r="T49" s="295"/>
      <c r="U49" s="295"/>
      <c r="V49" s="296"/>
      <c r="W49" s="294"/>
      <c r="X49" s="295"/>
      <c r="Y49" s="295"/>
      <c r="Z49" s="295"/>
      <c r="AA49" s="296"/>
      <c r="AB49" s="294"/>
      <c r="AC49" s="295"/>
      <c r="AD49" s="295"/>
      <c r="AE49" s="295"/>
      <c r="AF49" s="296"/>
      <c r="AG49" s="294"/>
      <c r="AH49" s="295"/>
      <c r="AI49" s="295"/>
      <c r="AJ49" s="295"/>
      <c r="AK49" s="296"/>
      <c r="AL49" s="294"/>
      <c r="AM49" s="295"/>
      <c r="AN49" s="295"/>
      <c r="AO49" s="295"/>
      <c r="AP49" s="296"/>
      <c r="AQ49" s="294"/>
      <c r="AR49" s="295"/>
      <c r="AS49" s="295"/>
      <c r="AT49" s="295"/>
      <c r="AU49" s="296"/>
      <c r="AV49" s="294"/>
      <c r="AW49" s="295"/>
      <c r="AX49" s="295"/>
      <c r="AY49" s="295"/>
      <c r="AZ49" s="296"/>
      <c r="BA49" s="294"/>
      <c r="BB49" s="295"/>
      <c r="BC49" s="295"/>
      <c r="BD49" s="295"/>
      <c r="BE49" s="296"/>
      <c r="BF49" s="294"/>
      <c r="BG49" s="295"/>
      <c r="BH49" s="295"/>
      <c r="BI49" s="295"/>
      <c r="BJ49" s="296"/>
      <c r="BK49" s="294"/>
      <c r="BL49" s="295"/>
      <c r="BM49" s="295"/>
      <c r="BN49" s="295"/>
      <c r="BO49" s="296"/>
      <c r="BP49" s="294"/>
      <c r="BQ49" s="295"/>
      <c r="BR49" s="295"/>
      <c r="BS49" s="295"/>
      <c r="BT49" s="296"/>
      <c r="BU49" s="294"/>
      <c r="BV49" s="295"/>
      <c r="BW49" s="295"/>
      <c r="BX49" s="295"/>
      <c r="BY49" s="296"/>
      <c r="BZ49" s="294"/>
      <c r="CA49" s="295"/>
      <c r="CB49" s="295"/>
      <c r="CC49" s="295"/>
      <c r="CD49" s="296"/>
      <c r="CE49" s="294"/>
      <c r="CF49" s="295"/>
      <c r="CG49" s="295"/>
      <c r="CH49" s="295"/>
      <c r="CI49" s="296"/>
      <c r="CJ49" s="294"/>
      <c r="CK49" s="295"/>
      <c r="CL49" s="295"/>
      <c r="CM49" s="295"/>
      <c r="CN49" s="296"/>
      <c r="CO49" s="294"/>
      <c r="CP49" s="295"/>
      <c r="CQ49" s="295"/>
      <c r="CR49" s="295"/>
      <c r="CS49" s="296"/>
      <c r="CT49" s="294"/>
      <c r="CU49" s="295"/>
      <c r="CV49" s="295"/>
      <c r="CW49" s="295"/>
      <c r="CX49" s="296"/>
      <c r="CY49" s="294"/>
      <c r="CZ49" s="295"/>
      <c r="DA49" s="295"/>
      <c r="DB49" s="295"/>
      <c r="DC49" s="296"/>
      <c r="DD49" s="294"/>
      <c r="DE49" s="295"/>
      <c r="DF49" s="295"/>
      <c r="DG49" s="295"/>
      <c r="DH49" s="296"/>
      <c r="DI49" s="294"/>
      <c r="DJ49" s="295"/>
      <c r="DK49" s="295"/>
      <c r="DL49" s="295"/>
      <c r="DM49" s="296"/>
      <c r="DN49" s="294"/>
      <c r="DO49" s="295"/>
      <c r="DP49" s="295"/>
      <c r="DQ49" s="295"/>
      <c r="DR49" s="296"/>
      <c r="DS49" s="294"/>
      <c r="DT49" s="295"/>
      <c r="DU49" s="295"/>
      <c r="DV49" s="295"/>
      <c r="DW49" s="296"/>
      <c r="DX49" s="294"/>
      <c r="DY49" s="295"/>
      <c r="DZ49" s="295"/>
      <c r="EA49" s="295"/>
      <c r="EB49" s="296"/>
      <c r="EC49" s="294"/>
      <c r="ED49" s="295"/>
      <c r="EE49" s="295"/>
      <c r="EF49" s="295"/>
      <c r="EG49" s="296"/>
      <c r="EH49" s="294"/>
      <c r="EI49" s="295"/>
      <c r="EJ49" s="295"/>
      <c r="EK49" s="295"/>
      <c r="EL49" s="296"/>
      <c r="EM49" s="294"/>
      <c r="EN49" s="295"/>
      <c r="EO49" s="295"/>
      <c r="EP49" s="295"/>
      <c r="EQ49" s="296"/>
      <c r="ER49" s="294"/>
      <c r="ES49" s="295"/>
      <c r="ET49" s="295"/>
      <c r="EU49" s="295"/>
      <c r="EV49" s="296"/>
      <c r="EW49" s="294"/>
      <c r="EX49" s="295"/>
      <c r="EY49" s="295"/>
      <c r="EZ49" s="295"/>
      <c r="FA49" s="296"/>
      <c r="FB49" s="294"/>
      <c r="FC49" s="295"/>
      <c r="FD49" s="295"/>
      <c r="FE49" s="295"/>
      <c r="FF49" s="296"/>
      <c r="FG49" s="294"/>
      <c r="FH49" s="295"/>
      <c r="FI49" s="295"/>
      <c r="FJ49" s="295"/>
      <c r="FK49" s="296"/>
      <c r="FL49" s="294"/>
      <c r="FM49" s="295"/>
      <c r="FN49" s="295"/>
      <c r="FO49" s="295"/>
      <c r="FP49" s="296"/>
      <c r="FQ49" s="294"/>
      <c r="FR49" s="295"/>
      <c r="FS49" s="295"/>
      <c r="FT49" s="295"/>
      <c r="FU49" s="296"/>
      <c r="FV49" s="294"/>
      <c r="FW49" s="295"/>
      <c r="FX49" s="295"/>
      <c r="FY49" s="295"/>
      <c r="FZ49" s="1468"/>
      <c r="GA49" s="294"/>
      <c r="GB49" s="295"/>
      <c r="GC49" s="295"/>
      <c r="GD49" s="295"/>
      <c r="GE49" s="1468"/>
      <c r="GF49" s="294"/>
      <c r="GG49" s="295"/>
      <c r="GH49" s="295"/>
      <c r="GI49" s="295"/>
      <c r="GJ49" s="383"/>
    </row>
    <row r="50" spans="1:192" s="406" customFormat="1" ht="12.75" customHeight="1">
      <c r="A50" s="797"/>
      <c r="B50" s="748" t="s">
        <v>228</v>
      </c>
      <c r="C50" s="403"/>
      <c r="D50" s="404"/>
      <c r="E50" s="404"/>
      <c r="F50" s="404"/>
      <c r="G50" s="405"/>
      <c r="H50" s="403"/>
      <c r="I50" s="404"/>
      <c r="J50" s="404"/>
      <c r="K50" s="404"/>
      <c r="L50" s="405"/>
      <c r="M50" s="403"/>
      <c r="N50" s="404"/>
      <c r="O50" s="404"/>
      <c r="P50" s="404"/>
      <c r="Q50" s="405"/>
      <c r="R50" s="403"/>
      <c r="S50" s="404"/>
      <c r="T50" s="404"/>
      <c r="U50" s="404"/>
      <c r="V50" s="405"/>
      <c r="W50" s="403"/>
      <c r="X50" s="404"/>
      <c r="Y50" s="404"/>
      <c r="Z50" s="404"/>
      <c r="AA50" s="405"/>
      <c r="AB50" s="403"/>
      <c r="AC50" s="404"/>
      <c r="AD50" s="404"/>
      <c r="AE50" s="404"/>
      <c r="AF50" s="405"/>
      <c r="AG50" s="403"/>
      <c r="AH50" s="404"/>
      <c r="AI50" s="404"/>
      <c r="AJ50" s="404"/>
      <c r="AK50" s="405"/>
      <c r="AL50" s="403"/>
      <c r="AM50" s="404"/>
      <c r="AN50" s="404"/>
      <c r="AO50" s="404"/>
      <c r="AP50" s="405"/>
      <c r="AQ50" s="403"/>
      <c r="AR50" s="404"/>
      <c r="AS50" s="404"/>
      <c r="AT50" s="404"/>
      <c r="AU50" s="405"/>
      <c r="AV50" s="403"/>
      <c r="AW50" s="404"/>
      <c r="AX50" s="404"/>
      <c r="AY50" s="404"/>
      <c r="AZ50" s="405"/>
      <c r="BA50" s="403"/>
      <c r="BB50" s="404"/>
      <c r="BC50" s="404"/>
      <c r="BD50" s="404"/>
      <c r="BE50" s="405"/>
      <c r="BF50" s="403"/>
      <c r="BG50" s="404"/>
      <c r="BH50" s="404"/>
      <c r="BI50" s="404"/>
      <c r="BJ50" s="405"/>
      <c r="BK50" s="403"/>
      <c r="BL50" s="404"/>
      <c r="BM50" s="404"/>
      <c r="BN50" s="404"/>
      <c r="BO50" s="405"/>
      <c r="BP50" s="403"/>
      <c r="BQ50" s="404"/>
      <c r="BR50" s="404"/>
      <c r="BS50" s="404"/>
      <c r="BT50" s="405"/>
      <c r="BU50" s="403"/>
      <c r="BV50" s="404"/>
      <c r="BW50" s="404"/>
      <c r="BX50" s="404"/>
      <c r="BY50" s="405"/>
      <c r="BZ50" s="403"/>
      <c r="CA50" s="404"/>
      <c r="CB50" s="404"/>
      <c r="CC50" s="404"/>
      <c r="CD50" s="405"/>
      <c r="CE50" s="403"/>
      <c r="CF50" s="404"/>
      <c r="CG50" s="404"/>
      <c r="CH50" s="404"/>
      <c r="CI50" s="405"/>
      <c r="CJ50" s="403"/>
      <c r="CK50" s="404"/>
      <c r="CL50" s="404"/>
      <c r="CM50" s="404"/>
      <c r="CN50" s="405"/>
      <c r="CO50" s="403"/>
      <c r="CP50" s="404"/>
      <c r="CQ50" s="404"/>
      <c r="CR50" s="404"/>
      <c r="CS50" s="405"/>
      <c r="CT50" s="403"/>
      <c r="CU50" s="404"/>
      <c r="CV50" s="404"/>
      <c r="CW50" s="404"/>
      <c r="CX50" s="405"/>
      <c r="CY50" s="408"/>
      <c r="CZ50" s="404"/>
      <c r="DA50" s="404"/>
      <c r="DB50" s="481">
        <f>IC!DB177</f>
      </c>
      <c r="DC50" s="482"/>
      <c r="DD50" s="481"/>
      <c r="DE50" s="481"/>
      <c r="DF50" s="481"/>
      <c r="DG50" s="481"/>
      <c r="DH50" s="483"/>
      <c r="DI50" s="481"/>
      <c r="DJ50" s="481"/>
      <c r="DK50" s="481"/>
      <c r="DL50" s="481"/>
      <c r="DM50" s="483"/>
      <c r="DN50" s="481"/>
      <c r="DO50" s="481"/>
      <c r="DP50" s="481"/>
      <c r="DQ50" s="481"/>
      <c r="DR50" s="483"/>
      <c r="DS50" s="481"/>
      <c r="DT50" s="481"/>
      <c r="DU50" s="481"/>
      <c r="DV50" s="481"/>
      <c r="DW50" s="483"/>
      <c r="DX50" s="481"/>
      <c r="DY50" s="481"/>
      <c r="DZ50" s="481"/>
      <c r="EA50" s="481"/>
      <c r="EB50" s="483"/>
      <c r="EC50" s="481"/>
      <c r="ED50" s="481"/>
      <c r="EE50" s="481"/>
      <c r="EF50" s="481"/>
      <c r="EG50" s="483"/>
      <c r="EH50" s="481"/>
      <c r="EI50" s="481"/>
      <c r="EJ50" s="481"/>
      <c r="EK50" s="481"/>
      <c r="EL50" s="483"/>
      <c r="EM50" s="481">
        <f>IC!EM108</f>
      </c>
      <c r="EN50" s="481">
        <f>IC!EN108</f>
      </c>
      <c r="EO50" s="481">
        <f>IC!EO108</f>
      </c>
      <c r="EP50" s="481">
        <f>IC!EP108</f>
      </c>
      <c r="EQ50" s="483">
        <f>IC!EQ108</f>
      </c>
      <c r="ER50" s="481">
        <f>IC!ER108</f>
      </c>
      <c r="ES50" s="481">
        <f>IC!ES108</f>
      </c>
      <c r="ET50" s="481">
        <f>IC!ET108</f>
      </c>
      <c r="EU50" s="481">
        <f>IC!EU108</f>
      </c>
      <c r="EV50" s="483">
        <f>IC!EV108</f>
      </c>
      <c r="EW50" s="481">
        <f>IC!EW108</f>
      </c>
      <c r="EX50" s="481">
        <f>IC!EX108</f>
      </c>
      <c r="EY50" s="481">
        <f>IC!EY108</f>
      </c>
      <c r="EZ50" s="481">
        <f>IC!EZ108</f>
      </c>
      <c r="FA50" s="483">
        <f>IC!FA108</f>
      </c>
      <c r="FB50" s="481">
        <f>IC!FB108</f>
      </c>
      <c r="FC50" s="481">
        <f>IC!FC108</f>
      </c>
      <c r="FD50" s="481">
        <f>IC!FD108</f>
      </c>
      <c r="FE50" s="481">
        <f>IC!FE108</f>
      </c>
      <c r="FF50" s="483">
        <f>IC!FF108</f>
      </c>
      <c r="FG50" s="481">
        <f>IC!FG108</f>
      </c>
      <c r="FH50" s="481">
        <f>IC!FH108</f>
      </c>
      <c r="FI50" s="481">
        <f>IC!FI108</f>
      </c>
      <c r="FJ50" s="481">
        <f>IC!FJ108</f>
      </c>
      <c r="FK50" s="483">
        <f>IC!FK108</f>
      </c>
      <c r="FL50" s="481">
        <f>IC!FL108</f>
      </c>
      <c r="FM50" s="481">
        <f>IC!FM108</f>
      </c>
      <c r="FN50" s="481">
        <f>IC!FN108</f>
      </c>
      <c r="FO50" s="481">
        <f>IC!FO108</f>
      </c>
      <c r="FP50" s="483">
        <f>IC!FP108</f>
      </c>
      <c r="FQ50" s="481">
        <f>IC!FQ108</f>
      </c>
      <c r="FR50" s="481">
        <f>IC!FR108</f>
      </c>
      <c r="FS50" s="481">
        <f>IC!FS108</f>
      </c>
      <c r="FT50" s="481">
        <f>IC!FT108</f>
      </c>
      <c r="FU50" s="483">
        <f>IC!FU108</f>
      </c>
      <c r="FV50" s="481">
        <f>IC!FV108</f>
      </c>
      <c r="FW50" s="481">
        <f>IC!FW108</f>
      </c>
      <c r="FX50" s="481">
        <f>IC!FX108</f>
      </c>
      <c r="FY50" s="481">
        <f>IC!FY108</f>
      </c>
      <c r="FZ50" s="483">
        <f>IC!FZ108</f>
      </c>
      <c r="GA50" s="481">
        <f>IC!GA108</f>
      </c>
      <c r="GB50" s="481">
        <f>IC!GB108</f>
      </c>
      <c r="GC50" s="481">
        <f>IC!GC108</f>
      </c>
      <c r="GD50" s="481">
        <f>IC!GD108</f>
      </c>
      <c r="GE50" s="483">
        <f>IC!GE108</f>
      </c>
      <c r="GF50" s="481">
        <f>IC!GF108</f>
      </c>
      <c r="GG50" s="481">
        <f>IC!GG108</f>
      </c>
      <c r="GH50" s="481">
        <f>IC!GH108</f>
      </c>
      <c r="GI50" s="481">
        <f>IC!GI108</f>
      </c>
      <c r="GJ50" s="827">
        <f>IC!GJ108</f>
      </c>
    </row>
    <row r="51" spans="1:192" s="1241" customFormat="1" ht="12.75" customHeight="1">
      <c r="A51" s="1237"/>
      <c r="B51" s="1323" t="s">
        <v>34</v>
      </c>
      <c r="C51" s="892"/>
      <c r="D51" s="924"/>
      <c r="E51" s="924"/>
      <c r="F51" s="924"/>
      <c r="G51" s="893"/>
      <c r="H51" s="892"/>
      <c r="I51" s="924"/>
      <c r="J51" s="924"/>
      <c r="K51" s="924"/>
      <c r="L51" s="893"/>
      <c r="M51" s="892"/>
      <c r="N51" s="924"/>
      <c r="O51" s="924"/>
      <c r="P51" s="924"/>
      <c r="Q51" s="893"/>
      <c r="R51" s="892"/>
      <c r="S51" s="924"/>
      <c r="T51" s="924"/>
      <c r="U51" s="924"/>
      <c r="V51" s="893"/>
      <c r="W51" s="892"/>
      <c r="X51" s="924"/>
      <c r="Y51" s="924"/>
      <c r="Z51" s="924"/>
      <c r="AA51" s="893"/>
      <c r="AB51" s="892"/>
      <c r="AC51" s="924"/>
      <c r="AD51" s="924"/>
      <c r="AE51" s="924"/>
      <c r="AF51" s="893"/>
      <c r="AG51" s="892"/>
      <c r="AH51" s="924"/>
      <c r="AI51" s="924"/>
      <c r="AJ51" s="924"/>
      <c r="AK51" s="893"/>
      <c r="AL51" s="892"/>
      <c r="AM51" s="924"/>
      <c r="AN51" s="924"/>
      <c r="AO51" s="924"/>
      <c r="AP51" s="893"/>
      <c r="AQ51" s="892"/>
      <c r="AR51" s="924"/>
      <c r="AS51" s="924"/>
      <c r="AT51" s="924"/>
      <c r="AU51" s="893"/>
      <c r="AV51" s="892"/>
      <c r="AW51" s="924"/>
      <c r="AX51" s="924"/>
      <c r="AY51" s="924"/>
      <c r="AZ51" s="893"/>
      <c r="BA51" s="892"/>
      <c r="BB51" s="924"/>
      <c r="BC51" s="924"/>
      <c r="BD51" s="924"/>
      <c r="BE51" s="893"/>
      <c r="BF51" s="892"/>
      <c r="BG51" s="924"/>
      <c r="BH51" s="924"/>
      <c r="BI51" s="924"/>
      <c r="BJ51" s="893"/>
      <c r="BK51" s="892"/>
      <c r="BL51" s="924"/>
      <c r="BM51" s="924"/>
      <c r="BN51" s="924"/>
      <c r="BO51" s="893"/>
      <c r="BP51" s="892"/>
      <c r="BQ51" s="924"/>
      <c r="BR51" s="924"/>
      <c r="BS51" s="924"/>
      <c r="BT51" s="893"/>
      <c r="BU51" s="892"/>
      <c r="BV51" s="924"/>
      <c r="BW51" s="924"/>
      <c r="BX51" s="924"/>
      <c r="BY51" s="893"/>
      <c r="BZ51" s="892"/>
      <c r="CA51" s="924"/>
      <c r="CB51" s="924"/>
      <c r="CC51" s="924"/>
      <c r="CD51" s="893"/>
      <c r="CE51" s="892"/>
      <c r="CF51" s="924"/>
      <c r="CG51" s="924"/>
      <c r="CH51" s="924"/>
      <c r="CI51" s="893"/>
      <c r="CJ51" s="892"/>
      <c r="CK51" s="924"/>
      <c r="CL51" s="924"/>
      <c r="CM51" s="924"/>
      <c r="CN51" s="893"/>
      <c r="CO51" s="892"/>
      <c r="CP51" s="924"/>
      <c r="CQ51" s="924"/>
      <c r="CR51" s="924"/>
      <c r="CS51" s="893"/>
      <c r="CT51" s="1238"/>
      <c r="CU51" s="1117"/>
      <c r="CV51" s="1117"/>
      <c r="CW51" s="1117"/>
      <c r="CX51" s="893"/>
      <c r="CY51" s="1238"/>
      <c r="CZ51" s="1117"/>
      <c r="DA51" s="1117"/>
      <c r="DB51" s="1117"/>
      <c r="DC51" s="893"/>
      <c r="DD51" s="892"/>
      <c r="DE51" s="892"/>
      <c r="DF51" s="892"/>
      <c r="DG51" s="892"/>
      <c r="DH51" s="1240"/>
      <c r="DI51" s="892"/>
      <c r="DJ51" s="892"/>
      <c r="DK51" s="892"/>
      <c r="DL51" s="892"/>
      <c r="DM51" s="1240"/>
      <c r="DN51" s="892"/>
      <c r="DO51" s="892"/>
      <c r="DP51" s="892"/>
      <c r="DQ51" s="892"/>
      <c r="DR51" s="1240"/>
      <c r="DS51" s="892"/>
      <c r="DT51" s="892"/>
      <c r="DU51" s="892"/>
      <c r="DV51" s="892"/>
      <c r="DW51" s="1240"/>
      <c r="DX51" s="892"/>
      <c r="DY51" s="892"/>
      <c r="DZ51" s="892"/>
      <c r="EA51" s="892"/>
      <c r="EB51" s="1240"/>
      <c r="EC51" s="892"/>
      <c r="ED51" s="892"/>
      <c r="EE51" s="892"/>
      <c r="EF51" s="892"/>
      <c r="EG51" s="1240"/>
      <c r="EH51" s="892"/>
      <c r="EI51" s="892"/>
      <c r="EJ51" s="892"/>
      <c r="EK51" s="892"/>
      <c r="EL51" s="1240"/>
      <c r="EM51" s="892" t="str">
        <f t="shared" ref="EM51:GE51" si="40">IFERROR(EM50/EH50-1,"")</f>
      </c>
      <c r="EN51" s="892" t="str">
        <f t="shared" si="40"/>
      </c>
      <c r="EO51" s="892" t="str">
        <f t="shared" si="40"/>
      </c>
      <c r="EP51" s="892" t="str">
        <f t="shared" si="40"/>
      </c>
      <c r="EQ51" s="1240" t="str">
        <f t="shared" si="40"/>
      </c>
      <c r="ER51" s="892">
        <f t="shared" si="40"/>
      </c>
      <c r="ES51" s="892">
        <f t="shared" si="40"/>
      </c>
      <c r="ET51" s="892">
        <f t="shared" si="40"/>
      </c>
      <c r="EU51" s="892">
        <f t="shared" si="40"/>
      </c>
      <c r="EV51" s="1240">
        <f t="shared" si="40"/>
      </c>
      <c r="EW51" s="892">
        <f t="shared" si="40"/>
      </c>
      <c r="EX51" s="892">
        <f t="shared" si="40"/>
      </c>
      <c r="EY51" s="892">
        <f t="shared" si="40"/>
      </c>
      <c r="EZ51" s="892">
        <f t="shared" si="40"/>
      </c>
      <c r="FA51" s="1240">
        <f t="shared" si="40"/>
      </c>
      <c r="FB51" s="892">
        <f t="shared" si="40"/>
      </c>
      <c r="FC51" s="892">
        <f t="shared" si="40"/>
      </c>
      <c r="FD51" s="892">
        <f t="shared" si="40"/>
      </c>
      <c r="FE51" s="892">
        <f t="shared" si="40"/>
      </c>
      <c r="FF51" s="1240">
        <f t="shared" si="40"/>
      </c>
      <c r="FG51" s="892">
        <f t="shared" si="40"/>
      </c>
      <c r="FH51" s="892">
        <f t="shared" si="40"/>
      </c>
      <c r="FI51" s="892">
        <f t="shared" si="40"/>
      </c>
      <c r="FJ51" s="892">
        <f t="shared" si="40"/>
      </c>
      <c r="FK51" s="1240">
        <f t="shared" si="40"/>
      </c>
      <c r="FL51" s="892">
        <f t="shared" si="40"/>
      </c>
      <c r="FM51" s="892">
        <f t="shared" si="40"/>
      </c>
      <c r="FN51" s="892">
        <f t="shared" si="40"/>
      </c>
      <c r="FO51" s="892">
        <f t="shared" si="40"/>
      </c>
      <c r="FP51" s="1240">
        <f t="shared" si="40"/>
      </c>
      <c r="FQ51" s="892">
        <f t="shared" si="40"/>
      </c>
      <c r="FR51" s="892">
        <f t="shared" si="40"/>
      </c>
      <c r="FS51" s="892">
        <f t="shared" si="40"/>
      </c>
      <c r="FT51" s="892">
        <f t="shared" si="40"/>
      </c>
      <c r="FU51" s="1240">
        <f t="shared" si="40"/>
      </c>
      <c r="FV51" s="892">
        <f t="shared" si="40"/>
      </c>
      <c r="FW51" s="892">
        <f t="shared" si="40"/>
      </c>
      <c r="FX51" s="892">
        <f t="shared" si="40"/>
      </c>
      <c r="FY51" s="892">
        <f t="shared" si="40"/>
      </c>
      <c r="FZ51" s="1240">
        <f t="shared" si="40"/>
      </c>
      <c r="GA51" s="892">
        <f t="shared" si="40"/>
      </c>
      <c r="GB51" s="892">
        <f t="shared" si="40"/>
      </c>
      <c r="GC51" s="892">
        <f t="shared" si="40"/>
      </c>
      <c r="GD51" s="892">
        <f t="shared" si="40"/>
      </c>
      <c r="GE51" s="1240">
        <f t="shared" si="40"/>
      </c>
      <c r="GF51" s="892">
        <f t="shared" ref="GF51" si="41">IFERROR(GF50/GA50-1,"")</f>
      </c>
      <c r="GG51" s="892">
        <f t="shared" ref="GG51" si="42">IFERROR(GG50/GB50-1,"")</f>
      </c>
      <c r="GH51" s="892">
        <f t="shared" ref="GH51" si="43">IFERROR(GH50/GC50-1,"")</f>
      </c>
      <c r="GI51" s="892">
        <f t="shared" ref="GI51" si="44">IFERROR(GI50/GD50-1,"")</f>
      </c>
      <c r="GJ51" s="1199">
        <f t="shared" ref="GJ51" si="45">IFERROR(GJ50/GE50-1,"")</f>
      </c>
    </row>
    <row r="52" spans="1:192" ht="12.75" customHeight="1">
      <c r="B52" s="735" t="s">
        <v>197</v>
      </c>
      <c r="C52" s="291"/>
      <c r="D52" s="107"/>
      <c r="E52" s="107"/>
      <c r="F52" s="107"/>
      <c r="G52" s="293"/>
      <c r="H52" s="291"/>
      <c r="I52" s="107"/>
      <c r="J52" s="107"/>
      <c r="K52" s="107"/>
      <c r="L52" s="293"/>
      <c r="M52" s="291"/>
      <c r="N52" s="107"/>
      <c r="O52" s="107"/>
      <c r="P52" s="107"/>
      <c r="Q52" s="293"/>
      <c r="R52" s="291"/>
      <c r="S52" s="107"/>
      <c r="T52" s="107"/>
      <c r="U52" s="107"/>
      <c r="V52" s="293"/>
      <c r="W52" s="291"/>
      <c r="X52" s="107"/>
      <c r="Y52" s="107"/>
      <c r="Z52" s="107"/>
      <c r="AA52" s="293"/>
      <c r="AB52" s="291"/>
      <c r="AC52" s="107"/>
      <c r="AD52" s="107"/>
      <c r="AE52" s="107"/>
      <c r="AF52" s="293"/>
      <c r="AG52" s="291"/>
      <c r="AH52" s="107"/>
      <c r="AI52" s="107"/>
      <c r="AJ52" s="107"/>
      <c r="AK52" s="293"/>
      <c r="AL52" s="291"/>
      <c r="AM52" s="107"/>
      <c r="AN52" s="107"/>
      <c r="AO52" s="107"/>
      <c r="AP52" s="293"/>
      <c r="AQ52" s="291"/>
      <c r="AR52" s="107"/>
      <c r="AS52" s="107"/>
      <c r="AT52" s="107"/>
      <c r="AU52" s="293"/>
      <c r="AV52" s="291"/>
      <c r="AW52" s="107"/>
      <c r="AX52" s="107"/>
      <c r="AY52" s="107"/>
      <c r="AZ52" s="293"/>
      <c r="BA52" s="291"/>
      <c r="BB52" s="107"/>
      <c r="BC52" s="107"/>
      <c r="BD52" s="107"/>
      <c r="BE52" s="293"/>
      <c r="BF52" s="291"/>
      <c r="BG52" s="107"/>
      <c r="BH52" s="107"/>
      <c r="BI52" s="107"/>
      <c r="BJ52" s="293"/>
      <c r="BK52" s="291"/>
      <c r="BL52" s="107"/>
      <c r="BM52" s="107"/>
      <c r="BN52" s="107"/>
      <c r="BO52" s="293"/>
      <c r="BP52" s="291"/>
      <c r="BQ52" s="107"/>
      <c r="BR52" s="107"/>
      <c r="BS52" s="107"/>
      <c r="BT52" s="293"/>
      <c r="BU52" s="291"/>
      <c r="BV52" s="107"/>
      <c r="BW52" s="107"/>
      <c r="BX52" s="107"/>
      <c r="BY52" s="293"/>
      <c r="BZ52" s="291"/>
      <c r="CA52" s="107"/>
      <c r="CB52" s="107"/>
      <c r="CC52" s="107"/>
      <c r="CD52" s="293"/>
      <c r="CE52" s="291"/>
      <c r="CF52" s="107"/>
      <c r="CG52" s="107"/>
      <c r="CH52" s="107"/>
      <c r="CI52" s="293"/>
      <c r="CJ52" s="291"/>
      <c r="CK52" s="107"/>
      <c r="CL52" s="107"/>
      <c r="CM52" s="107"/>
      <c r="CN52" s="293"/>
      <c r="CO52" s="291"/>
      <c r="CP52" s="107"/>
      <c r="CQ52" s="107"/>
      <c r="CR52" s="107"/>
      <c r="CS52" s="293"/>
      <c r="CT52" s="412"/>
      <c r="CU52" s="114"/>
      <c r="CV52" s="114"/>
      <c r="CW52" s="114"/>
      <c r="CX52" s="293"/>
      <c r="CY52" s="412"/>
      <c r="CZ52" s="114"/>
      <c r="DA52" s="114"/>
      <c r="DB52" s="114"/>
      <c r="DC52" s="293"/>
      <c r="DD52" s="484"/>
      <c r="DE52" s="485"/>
      <c r="DF52" s="485"/>
      <c r="DG52" s="485"/>
      <c r="DH52" s="486"/>
      <c r="DI52" s="484"/>
      <c r="DJ52" s="485"/>
      <c r="DK52" s="485"/>
      <c r="DL52" s="485"/>
      <c r="DM52" s="486"/>
      <c r="DN52" s="484"/>
      <c r="DO52" s="485"/>
      <c r="DP52" s="485"/>
      <c r="DQ52" s="485"/>
      <c r="DR52" s="486"/>
      <c r="DS52" s="484"/>
      <c r="DT52" s="485"/>
      <c r="DU52" s="485"/>
      <c r="DV52" s="485"/>
      <c r="DW52" s="486"/>
      <c r="DX52" s="484"/>
      <c r="DY52" s="485"/>
      <c r="DZ52" s="485"/>
      <c r="EA52" s="485"/>
      <c r="EB52" s="486"/>
      <c r="EC52" s="484"/>
      <c r="ED52" s="485"/>
      <c r="EE52" s="485"/>
      <c r="EF52" s="485"/>
      <c r="EG52" s="486"/>
      <c r="EH52" s="484"/>
      <c r="EI52" s="485"/>
      <c r="EJ52" s="485"/>
      <c r="EK52" s="485"/>
      <c r="EL52" s="486"/>
      <c r="EM52" s="484"/>
      <c r="EN52" s="485"/>
      <c r="EO52" s="485"/>
      <c r="EP52" s="485"/>
      <c r="EQ52" s="486"/>
      <c r="ER52" s="484">
        <f>IC!ER110</f>
      </c>
      <c r="ES52" s="485">
        <f>IC!ES110</f>
      </c>
      <c r="ET52" s="485">
        <f>IC!ET110</f>
      </c>
      <c r="EU52" s="485">
        <f>IC!EU110</f>
      </c>
      <c r="EV52" s="486"/>
      <c r="EW52" s="484">
        <f>IC!EW110</f>
      </c>
      <c r="EX52" s="485">
        <f>IC!EX110</f>
      </c>
      <c r="EY52" s="485">
        <f>IC!EY110</f>
      </c>
      <c r="EZ52" s="485">
        <f>IC!EZ110</f>
      </c>
      <c r="FA52" s="486"/>
      <c r="FB52" s="484">
        <f>IC!FB110</f>
      </c>
      <c r="FC52" s="485">
        <f>IC!FC110</f>
      </c>
      <c r="FD52" s="485">
        <f>IC!FD110</f>
      </c>
      <c r="FE52" s="485">
        <f>IC!FE110</f>
      </c>
      <c r="FF52" s="486"/>
      <c r="FG52" s="484">
        <f>IC!FG110</f>
      </c>
      <c r="FH52" s="485">
        <f>IC!FH110</f>
      </c>
      <c r="FI52" s="485">
        <f>IC!FI110</f>
      </c>
      <c r="FJ52" s="485">
        <f>IC!FJ110</f>
      </c>
      <c r="FK52" s="486"/>
      <c r="FL52" s="484">
        <f>IC!FL110</f>
      </c>
      <c r="FM52" s="485">
        <f>IC!FM110</f>
      </c>
      <c r="FN52" s="485">
        <f>IC!FN110</f>
      </c>
      <c r="FO52" s="485">
        <f>IC!FO110</f>
      </c>
      <c r="FP52" s="486"/>
      <c r="FQ52" s="484">
        <f>IC!FQ110</f>
      </c>
      <c r="FR52" s="485">
        <f>IC!FR110</f>
      </c>
      <c r="FS52" s="485">
        <f>IC!FS110</f>
      </c>
      <c r="FT52" s="485">
        <f>IC!FT110</f>
      </c>
      <c r="FU52" s="486"/>
      <c r="FV52" s="484">
        <f>IC!FV110</f>
      </c>
      <c r="FW52" s="485">
        <f>IC!FW110</f>
      </c>
      <c r="FX52" s="485">
        <f>IC!FX110</f>
      </c>
      <c r="FY52" s="485">
        <f>IC!FY110</f>
      </c>
      <c r="FZ52" s="293"/>
      <c r="GA52" s="484">
        <f>IC!GA110</f>
      </c>
      <c r="GB52" s="485">
        <f>IC!GB110</f>
      </c>
      <c r="GC52" s="485">
        <f>IC!GC110</f>
      </c>
      <c r="GD52" s="485">
        <f>IC!GD110</f>
      </c>
      <c r="GE52" s="293"/>
      <c r="GF52" s="484">
        <f>IC!GF110</f>
      </c>
      <c r="GG52" s="485">
        <f>IC!GG110</f>
      </c>
      <c r="GH52" s="485">
        <f>IC!GH110</f>
      </c>
      <c r="GI52" s="485">
        <f>IC!GI110</f>
      </c>
      <c r="GJ52" s="382"/>
    </row>
    <row r="53" spans="1:192" ht="12.75" customHeight="1">
      <c r="B53" s="735" t="s">
        <v>36</v>
      </c>
      <c r="C53" s="291"/>
      <c r="D53" s="107"/>
      <c r="E53" s="107"/>
      <c r="F53" s="107"/>
      <c r="G53" s="293"/>
      <c r="H53" s="291"/>
      <c r="I53" s="107"/>
      <c r="J53" s="107"/>
      <c r="K53" s="107"/>
      <c r="L53" s="293"/>
      <c r="M53" s="291"/>
      <c r="N53" s="107"/>
      <c r="O53" s="107"/>
      <c r="P53" s="107"/>
      <c r="Q53" s="293"/>
      <c r="R53" s="291"/>
      <c r="S53" s="107"/>
      <c r="T53" s="107"/>
      <c r="U53" s="107"/>
      <c r="V53" s="293"/>
      <c r="W53" s="291"/>
      <c r="X53" s="107"/>
      <c r="Y53" s="107"/>
      <c r="Z53" s="107"/>
      <c r="AA53" s="293"/>
      <c r="AB53" s="291"/>
      <c r="AC53" s="107"/>
      <c r="AD53" s="107"/>
      <c r="AE53" s="107"/>
      <c r="AF53" s="293"/>
      <c r="AG53" s="291"/>
      <c r="AH53" s="107"/>
      <c r="AI53" s="107"/>
      <c r="AJ53" s="107"/>
      <c r="AK53" s="293"/>
      <c r="AL53" s="291"/>
      <c r="AM53" s="107"/>
      <c r="AN53" s="107"/>
      <c r="AO53" s="107"/>
      <c r="AP53" s="293"/>
      <c r="AQ53" s="291"/>
      <c r="AR53" s="107"/>
      <c r="AS53" s="107"/>
      <c r="AT53" s="107"/>
      <c r="AU53" s="293"/>
      <c r="AV53" s="291"/>
      <c r="AW53" s="107"/>
      <c r="AX53" s="107"/>
      <c r="AY53" s="107"/>
      <c r="AZ53" s="293"/>
      <c r="BA53" s="291"/>
      <c r="BB53" s="107"/>
      <c r="BC53" s="107"/>
      <c r="BD53" s="107"/>
      <c r="BE53" s="293"/>
      <c r="BF53" s="291"/>
      <c r="BG53" s="107"/>
      <c r="BH53" s="107"/>
      <c r="BI53" s="107"/>
      <c r="BJ53" s="293"/>
      <c r="BK53" s="291"/>
      <c r="BL53" s="107"/>
      <c r="BM53" s="107"/>
      <c r="BN53" s="107"/>
      <c r="BO53" s="293"/>
      <c r="BP53" s="291"/>
      <c r="BQ53" s="107"/>
      <c r="BR53" s="107"/>
      <c r="BS53" s="107"/>
      <c r="BT53" s="293"/>
      <c r="BU53" s="291"/>
      <c r="BV53" s="107"/>
      <c r="BW53" s="107"/>
      <c r="BX53" s="107"/>
      <c r="BY53" s="293"/>
      <c r="BZ53" s="291"/>
      <c r="CA53" s="107"/>
      <c r="CB53" s="107"/>
      <c r="CC53" s="107"/>
      <c r="CD53" s="293"/>
      <c r="CE53" s="291"/>
      <c r="CF53" s="107"/>
      <c r="CG53" s="107"/>
      <c r="CH53" s="107"/>
      <c r="CI53" s="293"/>
      <c r="CJ53" s="291"/>
      <c r="CK53" s="107"/>
      <c r="CL53" s="107"/>
      <c r="CM53" s="107"/>
      <c r="CN53" s="293"/>
      <c r="CO53" s="291"/>
      <c r="CP53" s="107"/>
      <c r="CQ53" s="107"/>
      <c r="CR53" s="107"/>
      <c r="CS53" s="293"/>
      <c r="CT53" s="291"/>
      <c r="CU53" s="107"/>
      <c r="CV53" s="107"/>
      <c r="CW53" s="107"/>
      <c r="CX53" s="293"/>
      <c r="CY53" s="291"/>
      <c r="CZ53" s="107"/>
      <c r="DA53" s="107"/>
      <c r="DB53" s="107"/>
      <c r="DC53" s="293"/>
      <c r="DD53" s="291"/>
      <c r="DE53" s="107"/>
      <c r="DF53" s="107"/>
      <c r="DG53" s="107"/>
      <c r="DH53" s="293"/>
      <c r="DI53" s="291"/>
      <c r="DJ53" s="107"/>
      <c r="DK53" s="107"/>
      <c r="DL53" s="107"/>
      <c r="DM53" s="293"/>
      <c r="DN53" s="291"/>
      <c r="DO53" s="107"/>
      <c r="DP53" s="107"/>
      <c r="DQ53" s="107"/>
      <c r="DR53" s="293"/>
      <c r="DS53" s="291"/>
      <c r="DT53" s="107"/>
      <c r="DU53" s="107"/>
      <c r="DV53" s="107"/>
      <c r="DW53" s="293"/>
      <c r="DX53" s="291"/>
      <c r="DY53" s="107"/>
      <c r="DZ53" s="107"/>
      <c r="EA53" s="107"/>
      <c r="EB53" s="293"/>
      <c r="EC53" s="291"/>
      <c r="ED53" s="107"/>
      <c r="EE53" s="107"/>
      <c r="EF53" s="107"/>
      <c r="EG53" s="293"/>
      <c r="EH53" s="291"/>
      <c r="EI53" s="107"/>
      <c r="EJ53" s="107"/>
      <c r="EK53" s="107"/>
      <c r="EL53" s="293"/>
      <c r="EM53" s="291"/>
      <c r="EN53" s="107">
        <f>EN50/EM50-1</f>
      </c>
      <c r="EO53" s="107">
        <f>EO50/EN50-1</f>
      </c>
      <c r="EP53" s="107">
        <f>EP50/EO50-1</f>
      </c>
      <c r="EQ53" s="293"/>
      <c r="ER53" s="291">
        <f>ER50/EP50-1</f>
      </c>
      <c r="ES53" s="107">
        <f>ES50/ER50-1</f>
      </c>
      <c r="ET53" s="107">
        <f>ET50/ES50-1</f>
      </c>
      <c r="EU53" s="107">
        <f>EU50/ET50-1</f>
      </c>
      <c r="EV53" s="293"/>
      <c r="EW53" s="291">
        <f>EW50/EU50-1</f>
      </c>
      <c r="EX53" s="107">
        <f>EX50/EW50-1</f>
      </c>
      <c r="EY53" s="107">
        <f>EY50/EX50-1</f>
      </c>
      <c r="EZ53" s="107">
        <f>EZ50/EY50-1</f>
      </c>
      <c r="FA53" s="293"/>
      <c r="FB53" s="291">
        <f>FB50/EZ50-1</f>
      </c>
      <c r="FC53" s="107">
        <f>FC50/FB50-1</f>
      </c>
      <c r="FD53" s="107">
        <f>FD50/FC50-1</f>
      </c>
      <c r="FE53" s="107">
        <f>FE50/FD50-1</f>
      </c>
      <c r="FF53" s="293"/>
      <c r="FG53" s="291">
        <f>FG50/FE50-1</f>
      </c>
      <c r="FH53" s="107">
        <f>FH50/FG50-1</f>
      </c>
      <c r="FI53" s="107">
        <f>FI50/FH50-1</f>
      </c>
      <c r="FJ53" s="107">
        <f>FJ50/FI50-1</f>
      </c>
      <c r="FK53" s="293"/>
      <c r="FL53" s="291">
        <f>FL50/FJ50-1</f>
      </c>
      <c r="FM53" s="107">
        <f>FM50/FL50-1</f>
      </c>
      <c r="FN53" s="107">
        <f>FN50/FM50-1</f>
      </c>
      <c r="FO53" s="107">
        <f>FO50/FN50-1</f>
      </c>
      <c r="FP53" s="293"/>
      <c r="FQ53" s="291">
        <f>FQ50/FJ50-1</f>
      </c>
      <c r="FR53" s="107">
        <f>FR50/FQ50-1</f>
      </c>
      <c r="FS53" s="107">
        <f>FS50/FR50-1</f>
      </c>
      <c r="FT53" s="107">
        <f>FT50/FS50-1</f>
      </c>
      <c r="FU53" s="293"/>
      <c r="FV53" s="291">
        <f>FV50/FJ50-1</f>
      </c>
      <c r="FW53" s="107">
        <f>FW50/FV50-1</f>
      </c>
      <c r="FX53" s="107">
        <f>FX50/FW50-1</f>
      </c>
      <c r="FY53" s="107">
        <f>FY50/FX50-1</f>
      </c>
      <c r="FZ53" s="293"/>
      <c r="GA53" s="291">
        <f>GA50/FO50-1</f>
      </c>
      <c r="GB53" s="107">
        <f>GB50/GA50-1</f>
      </c>
      <c r="GC53" s="107">
        <f>GC50/GB50-1</f>
      </c>
      <c r="GD53" s="107">
        <f>GD50/GC50-1</f>
      </c>
      <c r="GE53" s="293"/>
      <c r="GF53" s="291">
        <f>GF50/FT50-1</f>
      </c>
      <c r="GG53" s="107">
        <f>GG50/GF50-1</f>
      </c>
      <c r="GH53" s="107">
        <f>GH50/GG50-1</f>
      </c>
      <c r="GI53" s="107">
        <f>GI50/GH50-1</f>
      </c>
      <c r="GJ53" s="382"/>
    </row>
    <row r="54" spans="1:192" s="461" customFormat="1" ht="12.75" customHeight="1">
      <c r="A54" s="370"/>
      <c r="B54" s="806" t="s">
        <v>243</v>
      </c>
      <c r="C54" s="447"/>
      <c r="D54" s="458"/>
      <c r="E54" s="458"/>
      <c r="F54" s="458"/>
      <c r="G54" s="459"/>
      <c r="H54" s="447"/>
      <c r="I54" s="458"/>
      <c r="J54" s="458"/>
      <c r="K54" s="458"/>
      <c r="L54" s="459"/>
      <c r="M54" s="447"/>
      <c r="N54" s="458"/>
      <c r="O54" s="458"/>
      <c r="P54" s="458"/>
      <c r="Q54" s="459"/>
      <c r="R54" s="447"/>
      <c r="S54" s="458"/>
      <c r="T54" s="458"/>
      <c r="U54" s="458"/>
      <c r="V54" s="459"/>
      <c r="W54" s="447"/>
      <c r="X54" s="458"/>
      <c r="Y54" s="458"/>
      <c r="Z54" s="458"/>
      <c r="AA54" s="459"/>
      <c r="AB54" s="447"/>
      <c r="AC54" s="458"/>
      <c r="AD54" s="458"/>
      <c r="AE54" s="458"/>
      <c r="AF54" s="459"/>
      <c r="AG54" s="447"/>
      <c r="AH54" s="458"/>
      <c r="AI54" s="458"/>
      <c r="AJ54" s="458"/>
      <c r="AK54" s="459"/>
      <c r="AL54" s="447"/>
      <c r="AM54" s="458"/>
      <c r="AN54" s="458"/>
      <c r="AO54" s="458"/>
      <c r="AP54" s="459"/>
      <c r="AQ54" s="447"/>
      <c r="AR54" s="458"/>
      <c r="AS54" s="458"/>
      <c r="AT54" s="458"/>
      <c r="AU54" s="459"/>
      <c r="AV54" s="447"/>
      <c r="AW54" s="458"/>
      <c r="AX54" s="458"/>
      <c r="AY54" s="458"/>
      <c r="AZ54" s="459"/>
      <c r="BA54" s="447"/>
      <c r="BB54" s="458"/>
      <c r="BC54" s="458"/>
      <c r="BD54" s="458"/>
      <c r="BE54" s="459"/>
      <c r="BF54" s="447"/>
      <c r="BG54" s="458"/>
      <c r="BH54" s="458"/>
      <c r="BI54" s="458"/>
      <c r="BJ54" s="459"/>
      <c r="BK54" s="447"/>
      <c r="BL54" s="458"/>
      <c r="BM54" s="458"/>
      <c r="BN54" s="458"/>
      <c r="BO54" s="459"/>
      <c r="BP54" s="447"/>
      <c r="BQ54" s="458"/>
      <c r="BR54" s="458"/>
      <c r="BS54" s="458"/>
      <c r="BT54" s="459"/>
      <c r="BU54" s="447"/>
      <c r="BV54" s="458"/>
      <c r="BW54" s="458"/>
      <c r="BX54" s="458"/>
      <c r="BY54" s="459"/>
      <c r="BZ54" s="447"/>
      <c r="CA54" s="458"/>
      <c r="CB54" s="458"/>
      <c r="CC54" s="458"/>
      <c r="CD54" s="459"/>
      <c r="CE54" s="447"/>
      <c r="CF54" s="458"/>
      <c r="CG54" s="458"/>
      <c r="CH54" s="458"/>
      <c r="CI54" s="459"/>
      <c r="CJ54" s="447"/>
      <c r="CK54" s="458"/>
      <c r="CL54" s="458"/>
      <c r="CM54" s="458"/>
      <c r="CN54" s="459"/>
      <c r="CO54" s="447"/>
      <c r="CP54" s="458"/>
      <c r="CQ54" s="458"/>
      <c r="CR54" s="458"/>
      <c r="CS54" s="459"/>
      <c r="CT54" s="447"/>
      <c r="CU54" s="458"/>
      <c r="CV54" s="458"/>
      <c r="CW54" s="458"/>
      <c r="CX54" s="459"/>
      <c r="CY54" s="447"/>
      <c r="CZ54" s="447"/>
      <c r="DA54" s="447"/>
      <c r="DB54" s="447"/>
      <c r="DC54" s="459"/>
      <c r="DD54" s="447"/>
      <c r="DE54" s="447"/>
      <c r="DF54" s="447"/>
      <c r="DG54" s="447"/>
      <c r="DH54" s="459"/>
      <c r="DI54" s="447"/>
      <c r="DJ54" s="447"/>
      <c r="DK54" s="447"/>
      <c r="DL54" s="447"/>
      <c r="DM54" s="459"/>
      <c r="DN54" s="447"/>
      <c r="DO54" s="447"/>
      <c r="DP54" s="447"/>
      <c r="DQ54" s="447"/>
      <c r="DR54" s="459"/>
      <c r="DS54" s="447"/>
      <c r="DT54" s="447"/>
      <c r="DU54" s="447"/>
      <c r="DV54" s="447"/>
      <c r="DW54" s="459"/>
      <c r="DX54" s="447"/>
      <c r="DY54" s="447"/>
      <c r="DZ54" s="447"/>
      <c r="EA54" s="447"/>
      <c r="EB54" s="459"/>
      <c r="EC54" s="447"/>
      <c r="ED54" s="447"/>
      <c r="EE54" s="447"/>
      <c r="EF54" s="447"/>
      <c r="EG54" s="459"/>
      <c r="EH54" s="447"/>
      <c r="EI54" s="447"/>
      <c r="EJ54" s="447"/>
      <c r="EK54" s="447"/>
      <c r="EL54" s="459"/>
      <c r="EM54" s="447">
        <f>IFERROR(EM50-EH50,"")</f>
      </c>
      <c r="EN54" s="447">
        <f>IFERROR(EN50-EI50,"")</f>
      </c>
      <c r="EO54" s="447">
        <f>IFERROR(EO50-EJ50,"")</f>
      </c>
      <c r="EP54" s="447">
        <f>IFERROR(EP50-EK50,"")</f>
      </c>
      <c r="EQ54" s="459">
        <f>EQ50-EL50</f>
      </c>
      <c r="ER54" s="447">
        <f>IFERROR(ER50-EM50,"")</f>
      </c>
      <c r="ES54" s="447">
        <f>IFERROR(ES50-EN50,"")</f>
      </c>
      <c r="ET54" s="447">
        <f>IFERROR(ET50-EO50,"")</f>
      </c>
      <c r="EU54" s="447">
        <f>IFERROR(EU50-EP50,"")</f>
      </c>
      <c r="EV54" s="459">
        <f>EV50-EQ50</f>
      </c>
      <c r="EW54" s="447">
        <f>IFERROR(EW50-ER50,"")</f>
      </c>
      <c r="EX54" s="447">
        <f>IFERROR(EX50-ES50,"")</f>
      </c>
      <c r="EY54" s="447">
        <f>IFERROR(EY50-ET50,"")</f>
      </c>
      <c r="EZ54" s="447">
        <f>IFERROR(EZ50-EU50,"")</f>
      </c>
      <c r="FA54" s="459">
        <f>FA50-EV50</f>
      </c>
      <c r="FB54" s="447">
        <f>IFERROR(FB50-EW50,"")</f>
      </c>
      <c r="FC54" s="447">
        <f>IFERROR(FC50-EX50,"")</f>
      </c>
      <c r="FD54" s="447">
        <f>IFERROR(FD50-EY50,"")</f>
      </c>
      <c r="FE54" s="447">
        <f>IFERROR(FE50-EZ50,"")</f>
      </c>
      <c r="FF54" s="459">
        <f>FF50-FA50</f>
      </c>
      <c r="FG54" s="447">
        <f>IFERROR(FG50-FB50,"")</f>
      </c>
      <c r="FH54" s="447">
        <f>IFERROR(FH50-FC50,"")</f>
      </c>
      <c r="FI54" s="447">
        <f>IFERROR(FI50-FD50,"")</f>
      </c>
      <c r="FJ54" s="447">
        <f>IFERROR(FJ50-FE50,"")</f>
      </c>
      <c r="FK54" s="459">
        <f>FK50-FF50</f>
      </c>
      <c r="FL54" s="447">
        <f>IFERROR(FL50-FG50,"")</f>
      </c>
      <c r="FM54" s="447">
        <f>IFERROR(FM50-FH50,"")</f>
      </c>
      <c r="FN54" s="447">
        <f>IFERROR(FN50-FI50,"")</f>
      </c>
      <c r="FO54" s="447">
        <f>IFERROR(FO50-FJ50,"")</f>
      </c>
      <c r="FP54" s="459">
        <f>FP50-FK50</f>
      </c>
      <c r="FQ54" s="447">
        <f>IFERROR(FQ50-FL50,"")</f>
      </c>
      <c r="FR54" s="447">
        <f>IFERROR(FR50-FM50,"")</f>
      </c>
      <c r="FS54" s="447">
        <f>IFERROR(FS50-FN50,"")</f>
      </c>
      <c r="FT54" s="447">
        <f>IFERROR(FT50-FO50,"")</f>
      </c>
      <c r="FU54" s="459">
        <f>FU50-FP50</f>
      </c>
      <c r="FV54" s="447">
        <f>IFERROR(FV50-FQ50,"")</f>
      </c>
      <c r="FW54" s="458">
        <f>IFERROR(FW50-FR50,"")</f>
      </c>
      <c r="FX54" s="458">
        <f>IFERROR(FX50-FS50,"")</f>
      </c>
      <c r="FY54" s="458">
        <f>IFERROR(FY50-FT50,"")</f>
      </c>
      <c r="FZ54" s="459">
        <f>FZ50-FU50</f>
      </c>
      <c r="GA54" s="447">
        <f>IFERROR(GA50-FV50,"")</f>
      </c>
      <c r="GB54" s="458">
        <f>IFERROR(GB50-FW50,"")</f>
      </c>
      <c r="GC54" s="458">
        <f>IFERROR(GC50-FX50,"")</f>
      </c>
      <c r="GD54" s="458">
        <f>IFERROR(GD50-FY50,"")</f>
      </c>
      <c r="GE54" s="459">
        <f>GE50-FZ50</f>
      </c>
      <c r="GF54" s="447">
        <f>IFERROR(GF50-GA50,"")</f>
      </c>
      <c r="GG54" s="458">
        <f>IFERROR(GG50-GB50,"")</f>
      </c>
      <c r="GH54" s="458">
        <f>IFERROR(GH50-GC50,"")</f>
      </c>
      <c r="GI54" s="458">
        <f>IFERROR(GI50-GD50,"")</f>
      </c>
      <c r="GJ54" s="460">
        <f>GJ50-GE50</f>
      </c>
    </row>
    <row r="55" spans="1:192" s="461" customFormat="1" ht="12.75" customHeight="1">
      <c r="A55" s="370"/>
      <c r="B55" s="806" t="s">
        <v>244</v>
      </c>
      <c r="C55" s="447"/>
      <c r="D55" s="458"/>
      <c r="E55" s="458"/>
      <c r="F55" s="458"/>
      <c r="G55" s="459"/>
      <c r="H55" s="447"/>
      <c r="I55" s="458"/>
      <c r="J55" s="458"/>
      <c r="K55" s="458"/>
      <c r="L55" s="459"/>
      <c r="M55" s="447"/>
      <c r="N55" s="458"/>
      <c r="O55" s="458"/>
      <c r="P55" s="458"/>
      <c r="Q55" s="459"/>
      <c r="R55" s="447"/>
      <c r="S55" s="458"/>
      <c r="T55" s="458"/>
      <c r="U55" s="458"/>
      <c r="V55" s="459"/>
      <c r="W55" s="447"/>
      <c r="X55" s="458"/>
      <c r="Y55" s="458"/>
      <c r="Z55" s="458"/>
      <c r="AA55" s="459"/>
      <c r="AB55" s="447"/>
      <c r="AC55" s="458"/>
      <c r="AD55" s="458"/>
      <c r="AE55" s="458"/>
      <c r="AF55" s="459"/>
      <c r="AG55" s="447"/>
      <c r="AH55" s="458"/>
      <c r="AI55" s="458"/>
      <c r="AJ55" s="458"/>
      <c r="AK55" s="459"/>
      <c r="AL55" s="447"/>
      <c r="AM55" s="458"/>
      <c r="AN55" s="458"/>
      <c r="AO55" s="458"/>
      <c r="AP55" s="459"/>
      <c r="AQ55" s="447"/>
      <c r="AR55" s="458"/>
      <c r="AS55" s="458"/>
      <c r="AT55" s="458"/>
      <c r="AU55" s="459"/>
      <c r="AV55" s="447"/>
      <c r="AW55" s="458"/>
      <c r="AX55" s="458"/>
      <c r="AY55" s="458"/>
      <c r="AZ55" s="459"/>
      <c r="BA55" s="447"/>
      <c r="BB55" s="458"/>
      <c r="BC55" s="458"/>
      <c r="BD55" s="458"/>
      <c r="BE55" s="459"/>
      <c r="BF55" s="447"/>
      <c r="BG55" s="458"/>
      <c r="BH55" s="458"/>
      <c r="BI55" s="458"/>
      <c r="BJ55" s="459"/>
      <c r="BK55" s="447"/>
      <c r="BL55" s="458"/>
      <c r="BM55" s="458"/>
      <c r="BN55" s="458"/>
      <c r="BO55" s="459"/>
      <c r="BP55" s="447"/>
      <c r="BQ55" s="458"/>
      <c r="BR55" s="458"/>
      <c r="BS55" s="458"/>
      <c r="BT55" s="459"/>
      <c r="BU55" s="447"/>
      <c r="BV55" s="458"/>
      <c r="BW55" s="458"/>
      <c r="BX55" s="458"/>
      <c r="BY55" s="459"/>
      <c r="BZ55" s="447"/>
      <c r="CA55" s="458"/>
      <c r="CB55" s="458"/>
      <c r="CC55" s="458"/>
      <c r="CD55" s="459"/>
      <c r="CE55" s="447"/>
      <c r="CF55" s="458"/>
      <c r="CG55" s="458"/>
      <c r="CH55" s="458"/>
      <c r="CI55" s="459"/>
      <c r="CJ55" s="447"/>
      <c r="CK55" s="458"/>
      <c r="CL55" s="458"/>
      <c r="CM55" s="458"/>
      <c r="CN55" s="459"/>
      <c r="CO55" s="447"/>
      <c r="CP55" s="458"/>
      <c r="CQ55" s="458"/>
      <c r="CR55" s="458"/>
      <c r="CS55" s="459"/>
      <c r="CT55" s="447"/>
      <c r="CU55" s="458"/>
      <c r="CV55" s="458"/>
      <c r="CW55" s="458"/>
      <c r="CX55" s="459"/>
      <c r="CY55" s="447"/>
      <c r="CZ55" s="458"/>
      <c r="DA55" s="458"/>
      <c r="DB55" s="458"/>
      <c r="DC55" s="459"/>
      <c r="DD55" s="447"/>
      <c r="DE55" s="458"/>
      <c r="DF55" s="458"/>
      <c r="DG55" s="458"/>
      <c r="DH55" s="459"/>
      <c r="DI55" s="447"/>
      <c r="DJ55" s="458"/>
      <c r="DK55" s="458"/>
      <c r="DL55" s="458"/>
      <c r="DM55" s="459"/>
      <c r="DN55" s="447"/>
      <c r="DO55" s="458"/>
      <c r="DP55" s="458"/>
      <c r="DQ55" s="458"/>
      <c r="DR55" s="459"/>
      <c r="DS55" s="447"/>
      <c r="DT55" s="458"/>
      <c r="DU55" s="458"/>
      <c r="DV55" s="458"/>
      <c r="DW55" s="459"/>
      <c r="DX55" s="447"/>
      <c r="DY55" s="458"/>
      <c r="DZ55" s="458"/>
      <c r="EA55" s="458"/>
      <c r="EB55" s="459"/>
      <c r="EC55" s="447"/>
      <c r="ED55" s="458"/>
      <c r="EE55" s="458"/>
      <c r="EF55" s="458"/>
      <c r="EG55" s="459"/>
      <c r="EH55" s="447"/>
      <c r="EI55" s="458"/>
      <c r="EJ55" s="458"/>
      <c r="EK55" s="458"/>
      <c r="EL55" s="459"/>
      <c r="EM55" s="447">
        <f>IFERROR(EM50-EK50,"")</f>
      </c>
      <c r="EN55" s="458">
        <f>IFERROR(EN50-EM50,"")</f>
      </c>
      <c r="EO55" s="458">
        <f>IFERROR(EO50-EN50,"")</f>
      </c>
      <c r="EP55" s="458">
        <f>IFERROR(EP50-EO50,"")</f>
      </c>
      <c r="EQ55" s="459"/>
      <c r="ER55" s="447">
        <f>IFERROR(ER50-EP50,"")</f>
      </c>
      <c r="ES55" s="458">
        <f>IFERROR(ES50-ER50,"")</f>
      </c>
      <c r="ET55" s="458">
        <f>IFERROR(ET50-ES50,"")</f>
      </c>
      <c r="EU55" s="458">
        <f>IFERROR(EU50-ET50,"")</f>
      </c>
      <c r="EV55" s="459"/>
      <c r="EW55" s="447">
        <f>IFERROR(EW50-EU50,"")</f>
      </c>
      <c r="EX55" s="458">
        <f>IFERROR(EX50-EW50,"")</f>
      </c>
      <c r="EY55" s="458">
        <f>IFERROR(EY50-EX50,"")</f>
      </c>
      <c r="EZ55" s="458">
        <f>IFERROR(EZ50-EY50,"")</f>
      </c>
      <c r="FA55" s="459"/>
      <c r="FB55" s="447">
        <f>IFERROR(FB50-EZ50,"")</f>
      </c>
      <c r="FC55" s="458">
        <f>IFERROR(FC50-FB50,"")</f>
      </c>
      <c r="FD55" s="458">
        <f>IFERROR(FD50-FC50,"")</f>
      </c>
      <c r="FE55" s="458">
        <f>IFERROR(FE50-FD50,"")</f>
      </c>
      <c r="FF55" s="459"/>
      <c r="FG55" s="447">
        <f>IFERROR(FG50-FE50,"")</f>
      </c>
      <c r="FH55" s="458">
        <f>IFERROR(FH50-FG50,"")</f>
      </c>
      <c r="FI55" s="458">
        <f>IFERROR(FI50-FH50,"")</f>
      </c>
      <c r="FJ55" s="458">
        <f>IFERROR(FJ50-FI50,"")</f>
      </c>
      <c r="FK55" s="459"/>
      <c r="FL55" s="447">
        <f>IFERROR(FL50-FJ50,"")</f>
      </c>
      <c r="FM55" s="458">
        <f>IFERROR(FM50-FL50,"")</f>
      </c>
      <c r="FN55" s="458">
        <f>IFERROR(FN50-FM50,"")</f>
      </c>
      <c r="FO55" s="458">
        <f>IFERROR(FO50-FN50,"")</f>
      </c>
      <c r="FP55" s="459"/>
      <c r="FQ55" s="447">
        <f>IFERROR(FQ50-FO50,"")</f>
      </c>
      <c r="FR55" s="458">
        <f>IFERROR(FR50-FQ50,"")</f>
      </c>
      <c r="FS55" s="458">
        <f>IFERROR(FS50-FR50,"")</f>
      </c>
      <c r="FT55" s="458">
        <f>IFERROR(FT50-FS50,"")</f>
      </c>
      <c r="FU55" s="459"/>
      <c r="FV55" s="447">
        <f>IFERROR(FV50-FT50,"")</f>
      </c>
      <c r="FW55" s="458">
        <f>IFERROR(FW50-FV50,"")</f>
      </c>
      <c r="FX55" s="458">
        <f>IFERROR(FX50-FW50,"")</f>
      </c>
      <c r="FY55" s="458">
        <f>IFERROR(FY50-FX50,"")</f>
      </c>
      <c r="FZ55" s="459"/>
      <c r="GA55" s="447">
        <f>IFERROR(GA50-FY50,"")</f>
      </c>
      <c r="GB55" s="458">
        <f>IFERROR(GB50-GA50,"")</f>
      </c>
      <c r="GC55" s="458">
        <f>IFERROR(GC50-GB50,"")</f>
      </c>
      <c r="GD55" s="458">
        <f>IFERROR(GD50-GC50,"")</f>
      </c>
      <c r="GE55" s="459"/>
      <c r="GF55" s="447">
        <f>IFERROR(GF50-GD50,"")</f>
      </c>
      <c r="GG55" s="458">
        <f>IFERROR(GG50-GF50,"")</f>
      </c>
      <c r="GH55" s="458">
        <f>IFERROR(GH50-GG50,"")</f>
      </c>
      <c r="GI55" s="458">
        <f>IFERROR(GI50-GH50,"")</f>
      </c>
      <c r="GJ55" s="460"/>
    </row>
    <row r="56" spans="1:192" ht="12.75" customHeight="1">
      <c r="B56" s="735" t="s">
        <v>253</v>
      </c>
      <c r="C56" s="291"/>
      <c r="D56" s="107"/>
      <c r="E56" s="107"/>
      <c r="F56" s="107"/>
      <c r="G56" s="293"/>
      <c r="H56" s="291"/>
      <c r="I56" s="107"/>
      <c r="J56" s="107"/>
      <c r="K56" s="107"/>
      <c r="L56" s="293"/>
      <c r="M56" s="291"/>
      <c r="N56" s="107"/>
      <c r="O56" s="107"/>
      <c r="P56" s="107"/>
      <c r="Q56" s="293"/>
      <c r="R56" s="291"/>
      <c r="S56" s="107"/>
      <c r="T56" s="107"/>
      <c r="U56" s="107"/>
      <c r="V56" s="293"/>
      <c r="W56" s="291"/>
      <c r="X56" s="107"/>
      <c r="Y56" s="107"/>
      <c r="Z56" s="107"/>
      <c r="AA56" s="293"/>
      <c r="AB56" s="291"/>
      <c r="AC56" s="107"/>
      <c r="AD56" s="107"/>
      <c r="AE56" s="107"/>
      <c r="AF56" s="293"/>
      <c r="AG56" s="291"/>
      <c r="AH56" s="107"/>
      <c r="AI56" s="107"/>
      <c r="AJ56" s="107"/>
      <c r="AK56" s="293"/>
      <c r="AL56" s="291"/>
      <c r="AM56" s="107"/>
      <c r="AN56" s="107"/>
      <c r="AO56" s="107"/>
      <c r="AP56" s="293"/>
      <c r="AQ56" s="291"/>
      <c r="AR56" s="107"/>
      <c r="AS56" s="107"/>
      <c r="AT56" s="107"/>
      <c r="AU56" s="293"/>
      <c r="AV56" s="291"/>
      <c r="AW56" s="107"/>
      <c r="AX56" s="107"/>
      <c r="AY56" s="107"/>
      <c r="AZ56" s="293"/>
      <c r="BA56" s="291"/>
      <c r="BB56" s="107"/>
      <c r="BC56" s="107"/>
      <c r="BD56" s="107"/>
      <c r="BE56" s="293"/>
      <c r="BF56" s="291"/>
      <c r="BG56" s="107"/>
      <c r="BH56" s="107"/>
      <c r="BI56" s="107"/>
      <c r="BJ56" s="293"/>
      <c r="BK56" s="291"/>
      <c r="BL56" s="107"/>
      <c r="BM56" s="107"/>
      <c r="BN56" s="107"/>
      <c r="BO56" s="293"/>
      <c r="BP56" s="291"/>
      <c r="BQ56" s="107"/>
      <c r="BR56" s="107"/>
      <c r="BS56" s="107"/>
      <c r="BT56" s="293"/>
      <c r="BU56" s="291"/>
      <c r="BV56" s="107"/>
      <c r="BW56" s="107"/>
      <c r="BX56" s="107"/>
      <c r="BY56" s="293"/>
      <c r="BZ56" s="291"/>
      <c r="CA56" s="107"/>
      <c r="CB56" s="107"/>
      <c r="CC56" s="107"/>
      <c r="CD56" s="293"/>
      <c r="CE56" s="291"/>
      <c r="CF56" s="107"/>
      <c r="CG56" s="107"/>
      <c r="CH56" s="107"/>
      <c r="CI56" s="293"/>
      <c r="CJ56" s="291"/>
      <c r="CK56" s="107"/>
      <c r="CL56" s="107"/>
      <c r="CM56" s="107"/>
      <c r="CN56" s="293"/>
      <c r="CO56" s="291"/>
      <c r="CP56" s="107"/>
      <c r="CQ56" s="107"/>
      <c r="CR56" s="107"/>
      <c r="CS56" s="293"/>
      <c r="CT56" s="291"/>
      <c r="CU56" s="107"/>
      <c r="CV56" s="107"/>
      <c r="CW56" s="107"/>
      <c r="CX56" s="293"/>
      <c r="CY56" s="291"/>
      <c r="CZ56" s="107"/>
      <c r="DA56" s="107"/>
      <c r="DB56" s="107"/>
      <c r="DC56" s="293"/>
      <c r="DD56" s="107"/>
      <c r="DE56" s="107"/>
      <c r="DF56" s="107"/>
      <c r="DG56" s="107"/>
      <c r="DH56" s="293"/>
      <c r="DI56" s="107"/>
      <c r="DJ56" s="107"/>
      <c r="DK56" s="107"/>
      <c r="DL56" s="107"/>
      <c r="DM56" s="293"/>
      <c r="DN56" s="107"/>
      <c r="DO56" s="107"/>
      <c r="DP56" s="107"/>
      <c r="DQ56" s="107"/>
      <c r="DR56" s="293"/>
      <c r="DS56" s="107"/>
      <c r="DT56" s="107"/>
      <c r="DU56" s="107"/>
      <c r="DV56" s="107"/>
      <c r="DW56" s="293"/>
      <c r="DX56" s="107"/>
      <c r="DY56" s="107"/>
      <c r="DZ56" s="107"/>
      <c r="EA56" s="107"/>
      <c r="EB56" s="293"/>
      <c r="EC56" s="107"/>
      <c r="ED56" s="107"/>
      <c r="EE56" s="107"/>
      <c r="EF56" s="107"/>
      <c r="EG56" s="293"/>
      <c r="EH56" s="107"/>
      <c r="EI56" s="107"/>
      <c r="EJ56" s="107"/>
      <c r="EK56" s="107"/>
      <c r="EL56" s="293"/>
      <c r="EM56" s="107">
        <f t="shared" ref="EM56:FR56" si="46">EM50/EM10</f>
      </c>
      <c r="EN56" s="107">
        <f t="shared" si="46"/>
      </c>
      <c r="EO56" s="107">
        <f t="shared" si="46"/>
      </c>
      <c r="EP56" s="107">
        <f t="shared" si="46"/>
      </c>
      <c r="EQ56" s="293">
        <f t="shared" si="46"/>
      </c>
      <c r="ER56" s="107">
        <f t="shared" si="46"/>
      </c>
      <c r="ES56" s="107">
        <f t="shared" si="46"/>
      </c>
      <c r="ET56" s="107">
        <f t="shared" si="46"/>
      </c>
      <c r="EU56" s="107">
        <f t="shared" si="46"/>
      </c>
      <c r="EV56" s="293">
        <f t="shared" si="46"/>
      </c>
      <c r="EW56" s="107">
        <f t="shared" si="46"/>
      </c>
      <c r="EX56" s="107">
        <f t="shared" si="46"/>
      </c>
      <c r="EY56" s="107">
        <f t="shared" si="46"/>
      </c>
      <c r="EZ56" s="107">
        <f t="shared" si="46"/>
      </c>
      <c r="FA56" s="293">
        <f t="shared" si="46"/>
      </c>
      <c r="FB56" s="107">
        <f t="shared" si="46"/>
      </c>
      <c r="FC56" s="107">
        <f t="shared" si="46"/>
      </c>
      <c r="FD56" s="107">
        <f t="shared" si="46"/>
      </c>
      <c r="FE56" s="107">
        <f t="shared" si="46"/>
      </c>
      <c r="FF56" s="293">
        <f t="shared" si="46"/>
      </c>
      <c r="FG56" s="107">
        <f t="shared" si="46"/>
      </c>
      <c r="FH56" s="107">
        <f t="shared" si="46"/>
      </c>
      <c r="FI56" s="107">
        <f t="shared" si="46"/>
      </c>
      <c r="FJ56" s="107">
        <f t="shared" si="46"/>
      </c>
      <c r="FK56" s="293">
        <f t="shared" si="46"/>
      </c>
      <c r="FL56" s="107">
        <f t="shared" si="46"/>
      </c>
      <c r="FM56" s="107">
        <f t="shared" si="46"/>
      </c>
      <c r="FN56" s="107">
        <f t="shared" si="46"/>
      </c>
      <c r="FO56" s="107">
        <f t="shared" si="46"/>
      </c>
      <c r="FP56" s="293">
        <f t="shared" si="46"/>
      </c>
      <c r="FQ56" s="107">
        <f t="shared" si="46"/>
      </c>
      <c r="FR56" s="107">
        <f t="shared" si="46"/>
      </c>
      <c r="FS56" s="107">
        <f t="shared" ref="FS56:GJ56" si="47">FS50/FS10</f>
      </c>
      <c r="FT56" s="107">
        <f t="shared" si="47"/>
      </c>
      <c r="FU56" s="293">
        <f t="shared" si="47"/>
      </c>
      <c r="FV56" s="291">
        <f t="shared" si="47"/>
      </c>
      <c r="FW56" s="107">
        <f t="shared" si="47"/>
      </c>
      <c r="FX56" s="107">
        <f t="shared" si="47"/>
      </c>
      <c r="FY56" s="107">
        <f t="shared" si="47"/>
      </c>
      <c r="FZ56" s="293">
        <f t="shared" si="47"/>
      </c>
      <c r="GA56" s="291">
        <f t="shared" si="47"/>
      </c>
      <c r="GB56" s="107">
        <f t="shared" si="47"/>
      </c>
      <c r="GC56" s="107">
        <f t="shared" si="47"/>
      </c>
      <c r="GD56" s="107">
        <f t="shared" si="47"/>
      </c>
      <c r="GE56" s="293">
        <f t="shared" si="47"/>
      </c>
      <c r="GF56" s="291">
        <f t="shared" si="47"/>
      </c>
      <c r="GG56" s="107">
        <f t="shared" si="47"/>
      </c>
      <c r="GH56" s="107">
        <f t="shared" si="47"/>
      </c>
      <c r="GI56" s="107">
        <f t="shared" si="47"/>
      </c>
      <c r="GJ56" s="382">
        <f t="shared" si="47"/>
      </c>
    </row>
    <row r="57" spans="1:192" s="335" customFormat="1" ht="12.75" customHeight="1" thickBot="1">
      <c r="A57" s="790"/>
      <c r="B57" s="743"/>
      <c r="C57" s="387"/>
      <c r="D57" s="388"/>
      <c r="E57" s="388"/>
      <c r="F57" s="389"/>
      <c r="G57" s="390"/>
      <c r="H57" s="387"/>
      <c r="I57" s="388"/>
      <c r="J57" s="388"/>
      <c r="K57" s="389"/>
      <c r="L57" s="390"/>
      <c r="M57" s="387"/>
      <c r="N57" s="388"/>
      <c r="O57" s="388"/>
      <c r="P57" s="389"/>
      <c r="Q57" s="390"/>
      <c r="R57" s="387"/>
      <c r="S57" s="388"/>
      <c r="T57" s="388"/>
      <c r="U57" s="389"/>
      <c r="V57" s="390"/>
      <c r="W57" s="387"/>
      <c r="X57" s="388"/>
      <c r="Y57" s="388"/>
      <c r="Z57" s="389"/>
      <c r="AA57" s="390"/>
      <c r="AB57" s="387"/>
      <c r="AC57" s="388"/>
      <c r="AD57" s="388"/>
      <c r="AE57" s="389"/>
      <c r="AF57" s="390"/>
      <c r="AG57" s="387"/>
      <c r="AH57" s="388"/>
      <c r="AI57" s="388"/>
      <c r="AJ57" s="389"/>
      <c r="AK57" s="390"/>
      <c r="AL57" s="387"/>
      <c r="AM57" s="388"/>
      <c r="AN57" s="388"/>
      <c r="AO57" s="389"/>
      <c r="AP57" s="390"/>
      <c r="AQ57" s="387"/>
      <c r="AR57" s="388"/>
      <c r="AS57" s="388"/>
      <c r="AT57" s="389"/>
      <c r="AU57" s="390"/>
      <c r="AV57" s="387"/>
      <c r="AW57" s="388"/>
      <c r="AX57" s="388"/>
      <c r="AY57" s="389"/>
      <c r="AZ57" s="390"/>
      <c r="BA57" s="387"/>
      <c r="BB57" s="388"/>
      <c r="BC57" s="388"/>
      <c r="BD57" s="389"/>
      <c r="BE57" s="390"/>
      <c r="BF57" s="387"/>
      <c r="BG57" s="388"/>
      <c r="BH57" s="388"/>
      <c r="BI57" s="389"/>
      <c r="BJ57" s="390"/>
      <c r="BK57" s="387"/>
      <c r="BL57" s="388"/>
      <c r="BM57" s="388"/>
      <c r="BN57" s="389"/>
      <c r="BO57" s="390"/>
      <c r="BP57" s="387"/>
      <c r="BQ57" s="388"/>
      <c r="BR57" s="388"/>
      <c r="BS57" s="389"/>
      <c r="BT57" s="390"/>
      <c r="BU57" s="387"/>
      <c r="BV57" s="388"/>
      <c r="BW57" s="388"/>
      <c r="BX57" s="389"/>
      <c r="BY57" s="390"/>
      <c r="BZ57" s="387"/>
      <c r="CA57" s="388"/>
      <c r="CB57" s="388"/>
      <c r="CC57" s="389"/>
      <c r="CD57" s="390"/>
      <c r="CE57" s="387"/>
      <c r="CF57" s="388"/>
      <c r="CG57" s="388"/>
      <c r="CH57" s="389"/>
      <c r="CI57" s="390"/>
      <c r="CJ57" s="387"/>
      <c r="CK57" s="388"/>
      <c r="CL57" s="388"/>
      <c r="CM57" s="389"/>
      <c r="CN57" s="390"/>
      <c r="CO57" s="387"/>
      <c r="CP57" s="388"/>
      <c r="CQ57" s="388"/>
      <c r="CR57" s="389"/>
      <c r="CS57" s="390"/>
      <c r="CT57" s="387"/>
      <c r="CU57" s="388"/>
      <c r="CV57" s="388"/>
      <c r="CW57" s="389"/>
      <c r="CX57" s="390"/>
      <c r="CY57" s="387"/>
      <c r="CZ57" s="388"/>
      <c r="DA57" s="388"/>
      <c r="DB57" s="389"/>
      <c r="DC57" s="390"/>
      <c r="DD57" s="387"/>
      <c r="DE57" s="388"/>
      <c r="DF57" s="388"/>
      <c r="DG57" s="389"/>
      <c r="DH57" s="390"/>
      <c r="DI57" s="387"/>
      <c r="DJ57" s="388"/>
      <c r="DK57" s="388"/>
      <c r="DL57" s="389"/>
      <c r="DM57" s="390"/>
      <c r="DN57" s="387"/>
      <c r="DO57" s="388"/>
      <c r="DP57" s="388"/>
      <c r="DQ57" s="389"/>
      <c r="DR57" s="390"/>
      <c r="DS57" s="387"/>
      <c r="DT57" s="388"/>
      <c r="DU57" s="388"/>
      <c r="DV57" s="389"/>
      <c r="DW57" s="390"/>
      <c r="DX57" s="387"/>
      <c r="DY57" s="388"/>
      <c r="DZ57" s="388"/>
      <c r="EA57" s="389"/>
      <c r="EB57" s="390"/>
      <c r="EC57" s="387"/>
      <c r="ED57" s="388"/>
      <c r="EE57" s="388"/>
      <c r="EF57" s="389"/>
      <c r="EG57" s="390"/>
      <c r="EH57" s="387"/>
      <c r="EI57" s="388"/>
      <c r="EJ57" s="388"/>
      <c r="EK57" s="389"/>
      <c r="EL57" s="390"/>
      <c r="EM57" s="387"/>
      <c r="EN57" s="388"/>
      <c r="EO57" s="388"/>
      <c r="EP57" s="389"/>
      <c r="EQ57" s="390"/>
      <c r="ER57" s="387"/>
      <c r="ES57" s="388"/>
      <c r="ET57" s="388"/>
      <c r="EU57" s="389"/>
      <c r="EV57" s="390"/>
      <c r="EW57" s="387"/>
      <c r="EX57" s="388"/>
      <c r="EY57" s="388"/>
      <c r="EZ57" s="389"/>
      <c r="FA57" s="390"/>
      <c r="FB57" s="387"/>
      <c r="FC57" s="388"/>
      <c r="FD57" s="388"/>
      <c r="FE57" s="389"/>
      <c r="FF57" s="390"/>
      <c r="FG57" s="387"/>
      <c r="FH57" s="388"/>
      <c r="FI57" s="388"/>
      <c r="FJ57" s="389"/>
      <c r="FK57" s="390"/>
      <c r="FL57" s="387"/>
      <c r="FM57" s="388"/>
      <c r="FN57" s="388"/>
      <c r="FO57" s="389"/>
      <c r="FP57" s="390"/>
      <c r="FQ57" s="387"/>
      <c r="FR57" s="388"/>
      <c r="FS57" s="388"/>
      <c r="FT57" s="389"/>
      <c r="FU57" s="390"/>
      <c r="FV57" s="387"/>
      <c r="FW57" s="388"/>
      <c r="FX57" s="388"/>
      <c r="FY57" s="389"/>
      <c r="FZ57" s="1469"/>
      <c r="GA57" s="387"/>
      <c r="GB57" s="388"/>
      <c r="GC57" s="388"/>
      <c r="GD57" s="389"/>
      <c r="GE57" s="1469"/>
      <c r="GF57" s="387"/>
      <c r="GG57" s="388"/>
      <c r="GH57" s="388"/>
      <c r="GI57" s="389"/>
      <c r="GJ57" s="391"/>
    </row>
    <row r="58" spans="1:192" ht="12.75" customHeight="1">
      <c r="B58" s="701"/>
      <c r="EL58" s="288"/>
      <c r="EQ58" s="288"/>
    </row>
    <row r="59" spans="1:192" ht="12.75" customHeight="1" thickBot="1">
      <c r="B59" s="701"/>
      <c r="EL59" s="288"/>
      <c r="EQ59" s="288"/>
    </row>
    <row r="60" spans="1:192" ht="12.75" customHeight="1" thickBot="1">
      <c r="B60" s="731" t="s">
        <v>1972</v>
      </c>
      <c r="C60" s="396"/>
      <c r="D60" s="397"/>
      <c r="E60" s="397"/>
      <c r="F60" s="397"/>
      <c r="G60" s="397"/>
      <c r="H60" s="396"/>
      <c r="I60" s="397"/>
      <c r="J60" s="397"/>
      <c r="K60" s="397"/>
      <c r="L60" s="397"/>
      <c r="M60" s="396"/>
      <c r="N60" s="397"/>
      <c r="O60" s="397"/>
      <c r="P60" s="397"/>
      <c r="Q60" s="397"/>
      <c r="R60" s="396"/>
      <c r="S60" s="397"/>
      <c r="T60" s="397"/>
      <c r="U60" s="397"/>
      <c r="V60" s="397"/>
      <c r="W60" s="396"/>
      <c r="X60" s="397"/>
      <c r="Y60" s="397"/>
      <c r="Z60" s="397"/>
      <c r="AA60" s="397"/>
      <c r="AB60" s="396"/>
      <c r="AC60" s="397"/>
      <c r="AD60" s="397"/>
      <c r="AE60" s="397"/>
      <c r="AF60" s="397"/>
      <c r="AG60" s="396"/>
      <c r="AH60" s="397"/>
      <c r="AI60" s="397"/>
      <c r="AJ60" s="397"/>
      <c r="AK60" s="397"/>
      <c r="AL60" s="396"/>
      <c r="AM60" s="397"/>
      <c r="AN60" s="397"/>
      <c r="AO60" s="397"/>
      <c r="AP60" s="397"/>
      <c r="AQ60" s="396"/>
      <c r="AR60" s="397"/>
      <c r="AS60" s="397"/>
      <c r="AT60" s="397"/>
      <c r="AU60" s="397"/>
      <c r="AV60" s="396"/>
      <c r="AW60" s="397"/>
      <c r="AX60" s="397"/>
      <c r="AY60" s="397"/>
      <c r="AZ60" s="397"/>
      <c r="BA60" s="396"/>
      <c r="BB60" s="397"/>
      <c r="BC60" s="397"/>
      <c r="BD60" s="397"/>
      <c r="BE60" s="397"/>
      <c r="BF60" s="396"/>
      <c r="BG60" s="397"/>
      <c r="BH60" s="397"/>
      <c r="BI60" s="397"/>
      <c r="BJ60" s="397"/>
      <c r="BK60" s="396"/>
      <c r="BL60" s="397"/>
      <c r="BM60" s="397"/>
      <c r="BN60" s="397"/>
      <c r="BO60" s="397"/>
      <c r="BP60" s="396"/>
      <c r="BQ60" s="397"/>
      <c r="BR60" s="397"/>
      <c r="BS60" s="397"/>
      <c r="BT60" s="397"/>
      <c r="BU60" s="396"/>
      <c r="BV60" s="397"/>
      <c r="BW60" s="397"/>
      <c r="BX60" s="397"/>
      <c r="BY60" s="397"/>
      <c r="BZ60" s="396"/>
      <c r="CA60" s="397"/>
      <c r="CB60" s="397"/>
      <c r="CC60" s="397"/>
      <c r="CD60" s="397"/>
      <c r="CE60" s="396"/>
      <c r="CF60" s="397"/>
      <c r="CG60" s="397"/>
      <c r="CH60" s="397"/>
      <c r="CI60" s="397"/>
      <c r="CJ60" s="396"/>
      <c r="CK60" s="397"/>
      <c r="CL60" s="397"/>
      <c r="CM60" s="397"/>
      <c r="CN60" s="397"/>
      <c r="CO60" s="396"/>
      <c r="CP60" s="397"/>
      <c r="CQ60" s="397"/>
      <c r="CR60" s="397"/>
      <c r="CS60" s="397"/>
      <c r="CT60" s="396"/>
      <c r="CU60" s="397"/>
      <c r="CV60" s="397"/>
      <c r="CW60" s="397"/>
      <c r="CX60" s="397"/>
      <c r="CY60" s="396"/>
      <c r="CZ60" s="397"/>
      <c r="DA60" s="397"/>
      <c r="DB60" s="397"/>
      <c r="DC60" s="397"/>
      <c r="DD60" s="396"/>
      <c r="DE60" s="397"/>
      <c r="DF60" s="397"/>
      <c r="DG60" s="397"/>
      <c r="DH60" s="397"/>
      <c r="DI60" s="396"/>
      <c r="DJ60" s="397"/>
      <c r="DK60" s="397"/>
      <c r="DL60" s="397"/>
      <c r="DM60" s="397"/>
      <c r="DN60" s="396"/>
      <c r="DO60" s="397"/>
      <c r="DP60" s="397"/>
      <c r="DQ60" s="397"/>
      <c r="DR60" s="397"/>
      <c r="DS60" s="396"/>
      <c r="DT60" s="397"/>
      <c r="DU60" s="397"/>
      <c r="DV60" s="397"/>
      <c r="DW60" s="397"/>
      <c r="DX60" s="396"/>
      <c r="DY60" s="397"/>
      <c r="DZ60" s="397"/>
      <c r="EA60" s="397"/>
      <c r="EB60" s="397"/>
      <c r="EC60" s="396"/>
      <c r="ED60" s="397"/>
      <c r="EE60" s="397"/>
      <c r="EF60" s="397"/>
      <c r="EG60" s="397"/>
      <c r="EH60" s="396"/>
      <c r="EI60" s="397"/>
      <c r="EJ60" s="397"/>
      <c r="EK60" s="397"/>
      <c r="EL60" s="397"/>
      <c r="EM60" s="396"/>
      <c r="EN60" s="397"/>
      <c r="EO60" s="397"/>
      <c r="EP60" s="397"/>
      <c r="EQ60" s="397"/>
      <c r="ER60" s="396"/>
      <c r="ES60" s="397"/>
      <c r="ET60" s="397"/>
      <c r="EU60" s="397"/>
      <c r="EV60" s="397"/>
      <c r="EW60" s="396"/>
      <c r="EX60" s="397"/>
      <c r="EY60" s="397"/>
      <c r="EZ60" s="397"/>
      <c r="FA60" s="397"/>
      <c r="FB60" s="396"/>
      <c r="FC60" s="397"/>
      <c r="FD60" s="397"/>
      <c r="FE60" s="397"/>
      <c r="FF60" s="397"/>
      <c r="FG60" s="396"/>
      <c r="FH60" s="397"/>
      <c r="FI60" s="397"/>
      <c r="FJ60" s="397"/>
      <c r="FK60" s="397"/>
      <c r="FL60" s="396"/>
      <c r="FM60" s="397"/>
      <c r="FN60" s="397"/>
      <c r="FO60" s="397"/>
      <c r="FP60" s="397"/>
      <c r="FQ60" s="396"/>
      <c r="FR60" s="397"/>
      <c r="FS60" s="397"/>
      <c r="FT60" s="397"/>
      <c r="FU60" s="397"/>
      <c r="FV60" s="396"/>
      <c r="FW60" s="397"/>
      <c r="FX60" s="397"/>
      <c r="FY60" s="397"/>
      <c r="FZ60" s="397"/>
      <c r="GA60" s="396"/>
      <c r="GB60" s="397"/>
      <c r="GC60" s="397"/>
      <c r="GD60" s="397"/>
      <c r="GE60" s="397"/>
      <c r="GF60" s="396"/>
      <c r="GG60" s="397"/>
      <c r="GH60" s="397"/>
      <c r="GI60" s="397"/>
      <c r="GJ60" s="398"/>
    </row>
    <row r="61" spans="1:192" ht="12.75" customHeight="1">
      <c r="B61" s="732"/>
      <c r="C61" s="294"/>
      <c r="D61" s="295"/>
      <c r="E61" s="295"/>
      <c r="F61" s="295"/>
      <c r="G61" s="296"/>
      <c r="H61" s="294"/>
      <c r="I61" s="295"/>
      <c r="J61" s="295"/>
      <c r="K61" s="295"/>
      <c r="L61" s="296"/>
      <c r="M61" s="294"/>
      <c r="N61" s="295"/>
      <c r="O61" s="295"/>
      <c r="P61" s="295"/>
      <c r="Q61" s="296"/>
      <c r="R61" s="294"/>
      <c r="S61" s="295"/>
      <c r="T61" s="295"/>
      <c r="U61" s="295"/>
      <c r="V61" s="296"/>
      <c r="W61" s="294"/>
      <c r="X61" s="295"/>
      <c r="Y61" s="295"/>
      <c r="Z61" s="295"/>
      <c r="AA61" s="296"/>
      <c r="AB61" s="294"/>
      <c r="AC61" s="295"/>
      <c r="AD61" s="295"/>
      <c r="AE61" s="295"/>
      <c r="AF61" s="296"/>
      <c r="AG61" s="294"/>
      <c r="AH61" s="295"/>
      <c r="AI61" s="295"/>
      <c r="AJ61" s="295"/>
      <c r="AK61" s="296"/>
      <c r="AL61" s="294"/>
      <c r="AM61" s="295"/>
      <c r="AN61" s="295"/>
      <c r="AO61" s="295"/>
      <c r="AP61" s="296"/>
      <c r="AQ61" s="294"/>
      <c r="AR61" s="295"/>
      <c r="AS61" s="295"/>
      <c r="AT61" s="295"/>
      <c r="AU61" s="296"/>
      <c r="AV61" s="294"/>
      <c r="AW61" s="295"/>
      <c r="AX61" s="295"/>
      <c r="AY61" s="295"/>
      <c r="AZ61" s="296"/>
      <c r="BA61" s="294"/>
      <c r="BB61" s="295"/>
      <c r="BC61" s="295"/>
      <c r="BD61" s="295"/>
      <c r="BE61" s="296"/>
      <c r="BF61" s="294"/>
      <c r="BG61" s="295"/>
      <c r="BH61" s="295"/>
      <c r="BI61" s="295"/>
      <c r="BJ61" s="296"/>
      <c r="BK61" s="294"/>
      <c r="BL61" s="295"/>
      <c r="BM61" s="295"/>
      <c r="BN61" s="295"/>
      <c r="BO61" s="296"/>
      <c r="BP61" s="294"/>
      <c r="BQ61" s="295"/>
      <c r="BR61" s="295"/>
      <c r="BS61" s="295"/>
      <c r="BT61" s="296"/>
      <c r="BU61" s="294"/>
      <c r="BV61" s="295"/>
      <c r="BW61" s="295"/>
      <c r="BX61" s="295"/>
      <c r="BY61" s="296"/>
      <c r="BZ61" s="294"/>
      <c r="CA61" s="295"/>
      <c r="CB61" s="295"/>
      <c r="CC61" s="295"/>
      <c r="CD61" s="296"/>
      <c r="CE61" s="294"/>
      <c r="CF61" s="295"/>
      <c r="CG61" s="295"/>
      <c r="CH61" s="295"/>
      <c r="CI61" s="296"/>
      <c r="CJ61" s="294"/>
      <c r="CK61" s="295"/>
      <c r="CL61" s="295"/>
      <c r="CM61" s="295"/>
      <c r="CN61" s="296"/>
      <c r="CO61" s="294"/>
      <c r="CP61" s="295"/>
      <c r="CQ61" s="295"/>
      <c r="CR61" s="295"/>
      <c r="CS61" s="296"/>
      <c r="CT61" s="294"/>
      <c r="CU61" s="295"/>
      <c r="CV61" s="295"/>
      <c r="CW61" s="295"/>
      <c r="CX61" s="296"/>
      <c r="CY61" s="294"/>
      <c r="CZ61" s="295"/>
      <c r="DA61" s="295"/>
      <c r="DB61" s="295"/>
      <c r="DC61" s="296"/>
      <c r="DD61" s="294"/>
      <c r="DE61" s="295"/>
      <c r="DF61" s="295"/>
      <c r="DG61" s="295"/>
      <c r="DH61" s="296"/>
      <c r="DI61" s="294"/>
      <c r="DJ61" s="295"/>
      <c r="DK61" s="295"/>
      <c r="DL61" s="295"/>
      <c r="DM61" s="296"/>
      <c r="DN61" s="294"/>
      <c r="DO61" s="295"/>
      <c r="DP61" s="295"/>
      <c r="DQ61" s="295"/>
      <c r="DR61" s="296"/>
      <c r="DS61" s="294"/>
      <c r="DT61" s="295"/>
      <c r="DU61" s="295"/>
      <c r="DV61" s="295"/>
      <c r="DW61" s="296"/>
      <c r="DX61" s="294"/>
      <c r="DY61" s="295"/>
      <c r="DZ61" s="295"/>
      <c r="EA61" s="295"/>
      <c r="EB61" s="296"/>
      <c r="EC61" s="294"/>
      <c r="ED61" s="295"/>
      <c r="EE61" s="295"/>
      <c r="EF61" s="295"/>
      <c r="EG61" s="296"/>
      <c r="EH61" s="294"/>
      <c r="EI61" s="295"/>
      <c r="EJ61" s="295"/>
      <c r="EK61" s="295"/>
      <c r="EL61" s="296"/>
      <c r="EM61" s="294"/>
      <c r="EN61" s="295"/>
      <c r="EO61" s="295"/>
      <c r="EP61" s="295"/>
      <c r="EQ61" s="296"/>
      <c r="ER61" s="294"/>
      <c r="ES61" s="295"/>
      <c r="ET61" s="295"/>
      <c r="EU61" s="295"/>
      <c r="EV61" s="296"/>
      <c r="EW61" s="294"/>
      <c r="EX61" s="295"/>
      <c r="EY61" s="295"/>
      <c r="EZ61" s="295"/>
      <c r="FA61" s="296"/>
      <c r="FB61" s="294"/>
      <c r="FC61" s="295"/>
      <c r="FD61" s="295"/>
      <c r="FE61" s="295"/>
      <c r="FF61" s="296"/>
      <c r="FG61" s="294"/>
      <c r="FH61" s="295"/>
      <c r="FI61" s="295"/>
      <c r="FJ61" s="295"/>
      <c r="FK61" s="296"/>
      <c r="FL61" s="294"/>
      <c r="FM61" s="295"/>
      <c r="FN61" s="295"/>
      <c r="FO61" s="295"/>
      <c r="FP61" s="296"/>
      <c r="FQ61" s="294"/>
      <c r="FR61" s="295"/>
      <c r="FS61" s="295"/>
      <c r="FT61" s="295"/>
      <c r="FU61" s="296"/>
      <c r="FV61" s="294"/>
      <c r="FW61" s="295"/>
      <c r="FX61" s="295"/>
      <c r="FY61" s="295"/>
      <c r="FZ61" s="1468"/>
      <c r="GA61" s="294"/>
      <c r="GB61" s="295"/>
      <c r="GC61" s="295"/>
      <c r="GD61" s="295"/>
      <c r="GE61" s="1468"/>
      <c r="GF61" s="294"/>
      <c r="GG61" s="295"/>
      <c r="GH61" s="295"/>
      <c r="GI61" s="295"/>
      <c r="GJ61" s="383"/>
    </row>
    <row r="62" spans="1:192" s="317" customFormat="1" ht="12.75" hidden="1" customHeight="1" outlineLevel="1">
      <c r="A62" s="280"/>
      <c r="B62" s="739" t="s">
        <v>1972</v>
      </c>
      <c r="C62" s="312"/>
      <c r="D62" s="312"/>
      <c r="E62" s="312"/>
      <c r="F62" s="312"/>
      <c r="G62" s="313"/>
      <c r="H62" s="312"/>
      <c r="I62" s="312"/>
      <c r="J62" s="312"/>
      <c r="K62" s="312"/>
      <c r="L62" s="313"/>
      <c r="M62" s="312"/>
      <c r="N62" s="312"/>
      <c r="O62" s="312"/>
      <c r="P62" s="312"/>
      <c r="Q62" s="313"/>
      <c r="R62" s="312"/>
      <c r="S62" s="312"/>
      <c r="T62" s="312"/>
      <c r="U62" s="312"/>
      <c r="V62" s="313"/>
      <c r="W62" s="312"/>
      <c r="X62" s="312"/>
      <c r="Y62" s="312"/>
      <c r="Z62" s="312"/>
      <c r="AA62" s="313"/>
      <c r="AB62" s="312"/>
      <c r="AC62" s="312"/>
      <c r="AD62" s="312"/>
      <c r="AE62" s="312"/>
      <c r="AF62" s="313"/>
      <c r="AG62" s="312"/>
      <c r="AH62" s="312"/>
      <c r="AI62" s="312"/>
      <c r="AJ62" s="312"/>
      <c r="AK62" s="313"/>
      <c r="AL62" s="312"/>
      <c r="AM62" s="312"/>
      <c r="AN62" s="312"/>
      <c r="AO62" s="312"/>
      <c r="AP62" s="313"/>
      <c r="AQ62" s="312"/>
      <c r="AR62" s="312"/>
      <c r="AS62" s="312"/>
      <c r="AT62" s="312"/>
      <c r="AU62" s="313"/>
      <c r="AV62" s="312"/>
      <c r="AW62" s="312"/>
      <c r="AX62" s="312"/>
      <c r="AY62" s="312"/>
      <c r="AZ62" s="313"/>
      <c r="BA62" s="312"/>
      <c r="BB62" s="312"/>
      <c r="BC62" s="312"/>
      <c r="BD62" s="312"/>
      <c r="BE62" s="313"/>
      <c r="BF62" s="312"/>
      <c r="BG62" s="312"/>
      <c r="BH62" s="312"/>
      <c r="BI62" s="312"/>
      <c r="BJ62" s="313"/>
      <c r="BK62" s="312"/>
      <c r="BL62" s="312"/>
      <c r="BM62" s="312"/>
      <c r="BN62" s="312"/>
      <c r="BO62" s="313"/>
      <c r="BP62" s="312"/>
      <c r="BQ62" s="312"/>
      <c r="BR62" s="312"/>
      <c r="BS62" s="312"/>
      <c r="BT62" s="313"/>
      <c r="BU62" s="312"/>
      <c r="BV62" s="312"/>
      <c r="BW62" s="312"/>
      <c r="BX62" s="312"/>
      <c r="BY62" s="313"/>
      <c r="BZ62" s="312"/>
      <c r="CA62" s="312"/>
      <c r="CB62" s="312"/>
      <c r="CC62" s="312"/>
      <c r="CD62" s="319"/>
      <c r="CE62" s="312"/>
      <c r="CF62" s="312"/>
      <c r="CG62" s="312"/>
      <c r="CH62" s="312"/>
      <c r="CI62" s="319"/>
      <c r="CJ62" s="312"/>
      <c r="CK62" s="312"/>
      <c r="CL62" s="312"/>
      <c r="CM62" s="312"/>
      <c r="CN62" s="319"/>
      <c r="CO62" s="312"/>
      <c r="CP62" s="312"/>
      <c r="CQ62" s="312"/>
      <c r="CR62" s="312"/>
      <c r="CS62" s="319"/>
      <c r="CT62" s="481"/>
      <c r="CU62" s="481"/>
      <c r="CV62" s="481"/>
      <c r="CW62" s="481"/>
      <c r="CX62" s="483"/>
      <c r="CY62" s="481"/>
      <c r="CZ62" s="481"/>
      <c r="DA62" s="481"/>
      <c r="DB62" s="481"/>
      <c r="DC62" s="483"/>
      <c r="DD62" s="481"/>
      <c r="DE62" s="481"/>
      <c r="DF62" s="481"/>
      <c r="DG62" s="481"/>
      <c r="DH62" s="483"/>
      <c r="DI62" s="481"/>
      <c r="DJ62" s="481"/>
      <c r="DK62" s="481"/>
      <c r="DL62" s="481"/>
      <c r="DM62" s="483"/>
      <c r="DN62" s="481"/>
      <c r="DO62" s="481"/>
      <c r="DP62" s="481"/>
      <c r="DQ62" s="481"/>
      <c r="DR62" s="483"/>
      <c r="DS62" s="481"/>
      <c r="DT62" s="481"/>
      <c r="DU62" s="481"/>
      <c r="DV62" s="481"/>
      <c r="DW62" s="483"/>
      <c r="DX62" s="481"/>
      <c r="DY62" s="481"/>
      <c r="DZ62" s="481"/>
      <c r="EA62" s="481"/>
      <c r="EB62" s="483"/>
      <c r="EC62" s="481"/>
      <c r="ED62" s="481"/>
      <c r="EE62" s="481"/>
      <c r="EF62" s="481"/>
      <c r="EG62" s="483"/>
      <c r="EH62" s="481"/>
      <c r="EI62" s="481"/>
      <c r="EJ62" s="481"/>
      <c r="EK62" s="481"/>
      <c r="EL62" s="483"/>
      <c r="EM62" s="481"/>
      <c r="EN62" s="481"/>
      <c r="EO62" s="481"/>
      <c r="EP62" s="481"/>
      <c r="EQ62" s="483"/>
      <c r="ER62" s="481">
        <f>PBP!ER195</f>
      </c>
      <c r="ES62" s="481">
        <f>PBP!ES195</f>
      </c>
      <c r="ET62" s="481">
        <f>PBP!ET195</f>
      </c>
      <c r="EU62" s="481">
        <f>PBP!EU195</f>
      </c>
      <c r="EV62" s="483">
        <f>PBP!EV195</f>
      </c>
      <c r="EW62" s="481">
        <f>PBP!EW195</f>
      </c>
      <c r="EX62" s="481">
        <f>PBP!EX195</f>
      </c>
      <c r="EY62" s="481">
        <f>PBP!EY195</f>
      </c>
      <c r="EZ62" s="481">
        <f>PBP!EZ195</f>
      </c>
      <c r="FA62" s="483">
        <f>PBP!FA195</f>
      </c>
      <c r="FB62" s="481">
        <f>PBP!FB195</f>
      </c>
      <c r="FC62" s="481">
        <f>PBP!FC195</f>
      </c>
      <c r="FD62" s="481">
        <f>PBP!FD195</f>
      </c>
      <c r="FE62" s="481">
        <f>PBP!FE195</f>
      </c>
      <c r="FF62" s="483">
        <f>PBP!FF195</f>
      </c>
      <c r="FG62" s="481">
        <f>PBP!FG195</f>
      </c>
      <c r="FH62" s="481">
        <f>PBP!FH195</f>
      </c>
      <c r="FI62" s="481">
        <f>PBP!FI195</f>
      </c>
      <c r="FJ62" s="481">
        <f>PBP!FJ195</f>
      </c>
      <c r="FK62" s="483">
        <f>PBP!FK195</f>
      </c>
      <c r="FL62" s="481">
        <f>PBP!FL195</f>
      </c>
      <c r="FM62" s="481">
        <f>PBP!FM195</f>
      </c>
      <c r="FN62" s="481">
        <f>PBP!FN195</f>
      </c>
      <c r="FO62" s="481">
        <f>PBP!FO195</f>
      </c>
      <c r="FP62" s="483">
        <f>PBP!FP195</f>
      </c>
      <c r="FQ62" s="481">
        <f>PBP!FQ195</f>
      </c>
      <c r="FR62" s="481">
        <f>PBP!FR195</f>
      </c>
      <c r="FS62" s="481">
        <f>PBP!FS195</f>
      </c>
      <c r="FT62" s="481">
        <f>PBP!FT195</f>
      </c>
      <c r="FU62" s="483">
        <f>PBP!FU195</f>
      </c>
      <c r="FV62" s="481">
        <f>PBP!FV195</f>
      </c>
      <c r="FW62" s="481">
        <f>PBP!FW195</f>
      </c>
      <c r="FX62" s="481">
        <f>PBP!FX195</f>
      </c>
      <c r="FY62" s="481">
        <f>PBP!FY195</f>
      </c>
      <c r="FZ62" s="483">
        <f>PBP!FZ195</f>
      </c>
      <c r="GA62" s="481">
        <f>PBP!GA195</f>
      </c>
      <c r="GB62" s="481">
        <f>PBP!GB195</f>
      </c>
      <c r="GC62" s="481">
        <f>PBP!GC195</f>
      </c>
      <c r="GD62" s="481">
        <f>PBP!GD195</f>
      </c>
      <c r="GE62" s="483">
        <f>PBP!GE195</f>
      </c>
      <c r="GF62" s="481">
        <f>PBP!GF195</f>
      </c>
      <c r="GG62" s="481">
        <f>PBP!GG195</f>
      </c>
      <c r="GH62" s="481">
        <f>PBP!GH195</f>
      </c>
      <c r="GI62" s="481">
        <f>PBP!GI195</f>
      </c>
      <c r="GJ62" s="827">
        <f>PBP!GJ195</f>
      </c>
    </row>
    <row r="63" spans="1:192" s="1241" customFormat="1" ht="12.75" hidden="1" customHeight="1" outlineLevel="1">
      <c r="A63" s="1237"/>
      <c r="B63" s="1323" t="s">
        <v>34</v>
      </c>
      <c r="C63" s="1238"/>
      <c r="D63" s="1117"/>
      <c r="E63" s="1117"/>
      <c r="F63" s="1117"/>
      <c r="G63" s="1239"/>
      <c r="H63" s="1238"/>
      <c r="I63" s="1117"/>
      <c r="J63" s="1117"/>
      <c r="K63" s="1117"/>
      <c r="L63" s="1239"/>
      <c r="M63" s="1238"/>
      <c r="N63" s="1117"/>
      <c r="O63" s="1117"/>
      <c r="P63" s="1117"/>
      <c r="Q63" s="1239"/>
      <c r="R63" s="1238"/>
      <c r="S63" s="1117"/>
      <c r="T63" s="1117"/>
      <c r="U63" s="1117"/>
      <c r="V63" s="1239"/>
      <c r="W63" s="1238"/>
      <c r="X63" s="1117"/>
      <c r="Y63" s="1117"/>
      <c r="Z63" s="1117"/>
      <c r="AA63" s="1239"/>
      <c r="AB63" s="1238"/>
      <c r="AC63" s="1117"/>
      <c r="AD63" s="1117"/>
      <c r="AE63" s="1117"/>
      <c r="AF63" s="1239"/>
      <c r="AG63" s="1238"/>
      <c r="AH63" s="1117"/>
      <c r="AI63" s="1117"/>
      <c r="AJ63" s="1117"/>
      <c r="AK63" s="1239"/>
      <c r="AL63" s="1238"/>
      <c r="AM63" s="1117"/>
      <c r="AN63" s="1117"/>
      <c r="AO63" s="1117"/>
      <c r="AP63" s="1239"/>
      <c r="AQ63" s="1238"/>
      <c r="AR63" s="1117"/>
      <c r="AS63" s="1117"/>
      <c r="AT63" s="1117"/>
      <c r="AU63" s="1239"/>
      <c r="AV63" s="1238"/>
      <c r="AW63" s="1117"/>
      <c r="AX63" s="1117"/>
      <c r="AY63" s="1117"/>
      <c r="AZ63" s="1239"/>
      <c r="BA63" s="1238"/>
      <c r="BB63" s="1117"/>
      <c r="BC63" s="1117"/>
      <c r="BD63" s="1117"/>
      <c r="BE63" s="1239"/>
      <c r="BF63" s="1238"/>
      <c r="BG63" s="1117"/>
      <c r="BH63" s="1117"/>
      <c r="BI63" s="1117"/>
      <c r="BJ63" s="1239"/>
      <c r="BK63" s="1238"/>
      <c r="BL63" s="1117"/>
      <c r="BM63" s="1117"/>
      <c r="BN63" s="1117"/>
      <c r="BO63" s="1239"/>
      <c r="BP63" s="1238"/>
      <c r="BQ63" s="1117"/>
      <c r="BR63" s="1117"/>
      <c r="BS63" s="1117"/>
      <c r="BT63" s="1239"/>
      <c r="BU63" s="1238"/>
      <c r="BV63" s="1117"/>
      <c r="BW63" s="1117"/>
      <c r="BX63" s="1117"/>
      <c r="BY63" s="1239"/>
      <c r="BZ63" s="1238"/>
      <c r="CA63" s="1117"/>
      <c r="CB63" s="1117"/>
      <c r="CC63" s="1117"/>
      <c r="CD63" s="1240"/>
      <c r="CE63" s="1238"/>
      <c r="CF63" s="1117"/>
      <c r="CG63" s="1117"/>
      <c r="CH63" s="1117"/>
      <c r="CI63" s="1240"/>
      <c r="CJ63" s="1238"/>
      <c r="CK63" s="1117"/>
      <c r="CL63" s="1117"/>
      <c r="CM63" s="1117"/>
      <c r="CN63" s="1240"/>
      <c r="CO63" s="1238"/>
      <c r="CP63" s="1117"/>
      <c r="CQ63" s="1117"/>
      <c r="CR63" s="1117"/>
      <c r="CS63" s="1240"/>
      <c r="CT63" s="1238"/>
      <c r="CU63" s="1117"/>
      <c r="CV63" s="1117"/>
      <c r="CW63" s="1117"/>
      <c r="CX63" s="1240"/>
      <c r="CY63" s="892"/>
      <c r="CZ63" s="892"/>
      <c r="DA63" s="892"/>
      <c r="DB63" s="892"/>
      <c r="DC63" s="1240"/>
      <c r="DD63" s="892"/>
      <c r="DE63" s="892"/>
      <c r="DF63" s="892"/>
      <c r="DG63" s="892"/>
      <c r="DH63" s="1240"/>
      <c r="DI63" s="892"/>
      <c r="DJ63" s="892"/>
      <c r="DK63" s="892"/>
      <c r="DL63" s="892"/>
      <c r="DM63" s="1240"/>
      <c r="DN63" s="892"/>
      <c r="DO63" s="892"/>
      <c r="DP63" s="892"/>
      <c r="DQ63" s="892"/>
      <c r="DR63" s="1240"/>
      <c r="DS63" s="892"/>
      <c r="DT63" s="892"/>
      <c r="DU63" s="892"/>
      <c r="DV63" s="892"/>
      <c r="DW63" s="1240"/>
      <c r="DX63" s="892"/>
      <c r="DY63" s="892"/>
      <c r="DZ63" s="892"/>
      <c r="EA63" s="892"/>
      <c r="EB63" s="1240"/>
      <c r="EC63" s="892"/>
      <c r="ED63" s="892"/>
      <c r="EE63" s="892"/>
      <c r="EF63" s="892"/>
      <c r="EG63" s="1240"/>
      <c r="EH63" s="892"/>
      <c r="EI63" s="892"/>
      <c r="EJ63" s="892"/>
      <c r="EK63" s="892"/>
      <c r="EL63" s="1240"/>
      <c r="EM63" s="892"/>
      <c r="EN63" s="892"/>
      <c r="EO63" s="892"/>
      <c r="EP63" s="892"/>
      <c r="EQ63" s="1240"/>
      <c r="ER63" s="892" t="str">
        <f>IFERROR(ER62/EM62-1,"")</f>
      </c>
      <c r="ES63" s="892" t="str">
        <f>IFERROR(ES62/EN62-1,"")</f>
      </c>
      <c r="ET63" s="892" t="str">
        <f>IFERROR(ET62/EO62-1,"")</f>
      </c>
      <c r="EU63" s="892"/>
      <c r="EV63" s="1240" t="str">
        <f>IFERROR(EV62/EQ62-1,"")</f>
      </c>
      <c r="EW63" s="892">
        <f t="shared" ref="EW63:GE63" si="48">IFERROR(EW62/ER62-1,"")</f>
      </c>
      <c r="EX63" s="892">
        <f>IFERROR(EX62/ES62-1,"")</f>
      </c>
      <c r="EY63" s="892">
        <f>IFERROR(EY62/ET62-1,"")</f>
      </c>
      <c r="EZ63" s="892"/>
      <c r="FA63" s="1240">
        <f t="shared" si="48"/>
      </c>
      <c r="FB63" s="892">
        <f t="shared" si="48"/>
      </c>
      <c r="FC63" s="892">
        <f t="shared" si="48"/>
      </c>
      <c r="FD63" s="892">
        <f t="shared" si="48"/>
      </c>
      <c r="FE63" s="892">
        <f t="shared" si="48"/>
      </c>
      <c r="FF63" s="1240">
        <f t="shared" si="48"/>
      </c>
      <c r="FG63" s="892">
        <f t="shared" si="48"/>
      </c>
      <c r="FH63" s="892">
        <f t="shared" si="48"/>
      </c>
      <c r="FI63" s="892">
        <f t="shared" si="48"/>
      </c>
      <c r="FJ63" s="892">
        <f t="shared" si="48"/>
      </c>
      <c r="FK63" s="1240">
        <f t="shared" si="48"/>
      </c>
      <c r="FL63" s="892">
        <f t="shared" si="48"/>
      </c>
      <c r="FM63" s="892">
        <f t="shared" si="48"/>
      </c>
      <c r="FN63" s="892">
        <f t="shared" si="48"/>
      </c>
      <c r="FO63" s="892">
        <f t="shared" si="48"/>
      </c>
      <c r="FP63" s="1240">
        <f t="shared" si="48"/>
      </c>
      <c r="FQ63" s="892">
        <f t="shared" si="48"/>
      </c>
      <c r="FR63" s="892">
        <f t="shared" si="48"/>
      </c>
      <c r="FS63" s="892">
        <f t="shared" si="48"/>
      </c>
      <c r="FT63" s="892">
        <f t="shared" si="48"/>
      </c>
      <c r="FU63" s="1240">
        <f t="shared" si="48"/>
      </c>
      <c r="FV63" s="892">
        <f t="shared" si="48"/>
      </c>
      <c r="FW63" s="892">
        <f t="shared" si="48"/>
      </c>
      <c r="FX63" s="892">
        <f t="shared" si="48"/>
      </c>
      <c r="FY63" s="892">
        <f t="shared" si="48"/>
      </c>
      <c r="FZ63" s="1240">
        <f t="shared" si="48"/>
      </c>
      <c r="GA63" s="892">
        <f t="shared" si="48"/>
      </c>
      <c r="GB63" s="892">
        <f t="shared" si="48"/>
      </c>
      <c r="GC63" s="892">
        <f t="shared" si="48"/>
      </c>
      <c r="GD63" s="892">
        <f t="shared" si="48"/>
      </c>
      <c r="GE63" s="1240">
        <f t="shared" si="48"/>
      </c>
      <c r="GF63" s="892">
        <f t="shared" ref="GF63" si="49">IFERROR(GF62/GA62-1,"")</f>
      </c>
      <c r="GG63" s="892">
        <f t="shared" ref="GG63" si="50">IFERROR(GG62/GB62-1,"")</f>
      </c>
      <c r="GH63" s="892">
        <f t="shared" ref="GH63" si="51">IFERROR(GH62/GC62-1,"")</f>
      </c>
      <c r="GI63" s="892">
        <f t="shared" ref="GI63" si="52">IFERROR(GI62/GD62-1,"")</f>
      </c>
      <c r="GJ63" s="1326">
        <f t="shared" ref="GJ63" si="53">IFERROR(GJ62/GE62-1,"")</f>
      </c>
    </row>
    <row r="64" spans="1:192" ht="12.75" hidden="1" customHeight="1" outlineLevel="1">
      <c r="B64" s="735" t="s">
        <v>197</v>
      </c>
      <c r="C64" s="291"/>
      <c r="D64" s="107"/>
      <c r="E64" s="107"/>
      <c r="F64" s="107"/>
      <c r="G64" s="293"/>
      <c r="H64" s="291"/>
      <c r="I64" s="107"/>
      <c r="J64" s="107"/>
      <c r="K64" s="107"/>
      <c r="L64" s="293"/>
      <c r="M64" s="291"/>
      <c r="N64" s="107"/>
      <c r="O64" s="107"/>
      <c r="P64" s="107"/>
      <c r="Q64" s="293"/>
      <c r="R64" s="291"/>
      <c r="S64" s="107"/>
      <c r="T64" s="107"/>
      <c r="U64" s="107"/>
      <c r="V64" s="293"/>
      <c r="W64" s="291"/>
      <c r="X64" s="107"/>
      <c r="Y64" s="107"/>
      <c r="Z64" s="107"/>
      <c r="AA64" s="293"/>
      <c r="AB64" s="291"/>
      <c r="AC64" s="107"/>
      <c r="AD64" s="107"/>
      <c r="AE64" s="107"/>
      <c r="AF64" s="293"/>
      <c r="AG64" s="291"/>
      <c r="AH64" s="107"/>
      <c r="AI64" s="107"/>
      <c r="AJ64" s="107"/>
      <c r="AK64" s="293"/>
      <c r="AL64" s="291"/>
      <c r="AM64" s="107"/>
      <c r="AN64" s="107"/>
      <c r="AO64" s="107"/>
      <c r="AP64" s="293"/>
      <c r="AQ64" s="291"/>
      <c r="AR64" s="107"/>
      <c r="AS64" s="107"/>
      <c r="AT64" s="107"/>
      <c r="AU64" s="293"/>
      <c r="AV64" s="291"/>
      <c r="AW64" s="107"/>
      <c r="AX64" s="107"/>
      <c r="AY64" s="107"/>
      <c r="AZ64" s="293"/>
      <c r="BA64" s="291"/>
      <c r="BB64" s="107"/>
      <c r="BC64" s="107"/>
      <c r="BD64" s="107"/>
      <c r="BE64" s="293"/>
      <c r="BF64" s="291"/>
      <c r="BG64" s="107"/>
      <c r="BH64" s="107"/>
      <c r="BI64" s="107"/>
      <c r="BJ64" s="293"/>
      <c r="BK64" s="291"/>
      <c r="BL64" s="107"/>
      <c r="BM64" s="107"/>
      <c r="BN64" s="107"/>
      <c r="BO64" s="293"/>
      <c r="BP64" s="291"/>
      <c r="BQ64" s="107"/>
      <c r="BR64" s="107"/>
      <c r="BS64" s="107"/>
      <c r="BT64" s="293"/>
      <c r="BU64" s="291"/>
      <c r="BV64" s="107"/>
      <c r="BW64" s="107"/>
      <c r="BX64" s="107"/>
      <c r="BY64" s="293"/>
      <c r="BZ64" s="291"/>
      <c r="CA64" s="107"/>
      <c r="CB64" s="107"/>
      <c r="CC64" s="107"/>
      <c r="CD64" s="293"/>
      <c r="CE64" s="291"/>
      <c r="CF64" s="107"/>
      <c r="CG64" s="107"/>
      <c r="CH64" s="107"/>
      <c r="CI64" s="293"/>
      <c r="CJ64" s="291"/>
      <c r="CK64" s="107"/>
      <c r="CL64" s="107"/>
      <c r="CM64" s="107"/>
      <c r="CN64" s="293"/>
      <c r="CO64" s="291"/>
      <c r="CP64" s="107"/>
      <c r="CQ64" s="107"/>
      <c r="CR64" s="107"/>
      <c r="CS64" s="293"/>
      <c r="CT64" s="412"/>
      <c r="CU64" s="114"/>
      <c r="CV64" s="114"/>
      <c r="CW64" s="114"/>
      <c r="CX64" s="293"/>
      <c r="CY64" s="484"/>
      <c r="CZ64" s="485"/>
      <c r="DA64" s="485"/>
      <c r="DB64" s="485"/>
      <c r="DC64" s="293"/>
      <c r="DD64" s="484"/>
      <c r="DE64" s="485"/>
      <c r="DF64" s="485"/>
      <c r="DG64" s="485"/>
      <c r="DH64" s="486"/>
      <c r="DI64" s="484"/>
      <c r="DJ64" s="485"/>
      <c r="DK64" s="485"/>
      <c r="DL64" s="485"/>
      <c r="DM64" s="486"/>
      <c r="DN64" s="484"/>
      <c r="DO64" s="485"/>
      <c r="DP64" s="485"/>
      <c r="DQ64" s="485"/>
      <c r="DR64" s="486"/>
      <c r="DS64" s="484"/>
      <c r="DT64" s="485"/>
      <c r="DU64" s="485"/>
      <c r="DV64" s="485"/>
      <c r="DW64" s="486"/>
      <c r="DX64" s="484"/>
      <c r="DY64" s="485"/>
      <c r="DZ64" s="485"/>
      <c r="EA64" s="485"/>
      <c r="EB64" s="486"/>
      <c r="EC64" s="484"/>
      <c r="ED64" s="485"/>
      <c r="EE64" s="485"/>
      <c r="EF64" s="485"/>
      <c r="EG64" s="486"/>
      <c r="EH64" s="484"/>
      <c r="EI64" s="485"/>
      <c r="EJ64" s="485"/>
      <c r="EK64" s="485"/>
      <c r="EL64" s="486"/>
      <c r="EM64" s="484"/>
      <c r="EN64" s="485"/>
      <c r="EO64" s="485"/>
      <c r="EP64" s="485"/>
      <c r="EQ64" s="486"/>
      <c r="ER64" s="484"/>
      <c r="ES64" s="485"/>
      <c r="ET64" s="485"/>
      <c r="EU64" s="485"/>
      <c r="EV64" s="486"/>
      <c r="EW64" s="484"/>
      <c r="EX64" s="485"/>
      <c r="EY64" s="485"/>
      <c r="EZ64" s="485"/>
      <c r="FA64" s="486"/>
      <c r="FB64" s="484"/>
      <c r="FC64" s="485"/>
      <c r="FD64" s="485"/>
      <c r="FE64" s="485"/>
      <c r="FF64" s="486"/>
      <c r="FG64" s="484"/>
      <c r="FH64" s="485"/>
      <c r="FI64" s="485"/>
      <c r="FJ64" s="485"/>
      <c r="FK64" s="486"/>
      <c r="FL64" s="484"/>
      <c r="FM64" s="485"/>
      <c r="FN64" s="485"/>
      <c r="FO64" s="485"/>
      <c r="FP64" s="486"/>
      <c r="FQ64" s="484"/>
      <c r="FR64" s="485"/>
      <c r="FS64" s="485"/>
      <c r="FT64" s="485"/>
      <c r="FU64" s="486"/>
      <c r="FV64" s="484"/>
      <c r="FW64" s="485"/>
      <c r="FX64" s="485"/>
      <c r="FY64" s="485"/>
      <c r="FZ64" s="486"/>
      <c r="GA64" s="484"/>
      <c r="GB64" s="485"/>
      <c r="GC64" s="485"/>
      <c r="GD64" s="485"/>
      <c r="GE64" s="486"/>
      <c r="GF64" s="484"/>
      <c r="GG64" s="485"/>
      <c r="GH64" s="485"/>
      <c r="GI64" s="485"/>
      <c r="GJ64" s="1340"/>
    </row>
    <row r="65" spans="1:192" ht="12.75" hidden="1" customHeight="1" outlineLevel="1">
      <c r="B65" s="735" t="s">
        <v>36</v>
      </c>
      <c r="C65" s="291"/>
      <c r="D65" s="107"/>
      <c r="E65" s="107"/>
      <c r="F65" s="107"/>
      <c r="G65" s="292"/>
      <c r="H65" s="291"/>
      <c r="I65" s="107"/>
      <c r="J65" s="107"/>
      <c r="K65" s="107"/>
      <c r="L65" s="292"/>
      <c r="M65" s="291"/>
      <c r="N65" s="107"/>
      <c r="O65" s="107"/>
      <c r="P65" s="107"/>
      <c r="Q65" s="292"/>
      <c r="R65" s="291"/>
      <c r="S65" s="107"/>
      <c r="T65" s="107"/>
      <c r="U65" s="107"/>
      <c r="V65" s="292"/>
      <c r="W65" s="291"/>
      <c r="X65" s="107"/>
      <c r="Y65" s="107"/>
      <c r="Z65" s="107"/>
      <c r="AA65" s="292"/>
      <c r="AB65" s="291"/>
      <c r="AC65" s="107"/>
      <c r="AD65" s="107"/>
      <c r="AE65" s="107"/>
      <c r="AF65" s="292"/>
      <c r="AG65" s="291"/>
      <c r="AH65" s="107"/>
      <c r="AI65" s="107"/>
      <c r="AJ65" s="107"/>
      <c r="AK65" s="292"/>
      <c r="AL65" s="291"/>
      <c r="AM65" s="107"/>
      <c r="AN65" s="107"/>
      <c r="AO65" s="107"/>
      <c r="AP65" s="292"/>
      <c r="AQ65" s="291"/>
      <c r="AR65" s="107"/>
      <c r="AS65" s="107"/>
      <c r="AT65" s="107"/>
      <c r="AU65" s="292"/>
      <c r="AV65" s="291"/>
      <c r="AW65" s="107"/>
      <c r="AX65" s="107"/>
      <c r="AY65" s="107"/>
      <c r="AZ65" s="292"/>
      <c r="BA65" s="291"/>
      <c r="BB65" s="107"/>
      <c r="BC65" s="107"/>
      <c r="BD65" s="107"/>
      <c r="BE65" s="292"/>
      <c r="BF65" s="291"/>
      <c r="BG65" s="107"/>
      <c r="BH65" s="107"/>
      <c r="BI65" s="107"/>
      <c r="BJ65" s="292"/>
      <c r="BK65" s="291"/>
      <c r="BL65" s="107"/>
      <c r="BM65" s="107"/>
      <c r="BN65" s="107"/>
      <c r="BO65" s="292"/>
      <c r="BP65" s="291"/>
      <c r="BQ65" s="107"/>
      <c r="BR65" s="107"/>
      <c r="BS65" s="107"/>
      <c r="BT65" s="292"/>
      <c r="BU65" s="291"/>
      <c r="BV65" s="107"/>
      <c r="BW65" s="107"/>
      <c r="BX65" s="107"/>
      <c r="BY65" s="292"/>
      <c r="BZ65" s="291"/>
      <c r="CA65" s="107"/>
      <c r="CB65" s="107"/>
      <c r="CC65" s="107"/>
      <c r="CD65" s="292"/>
      <c r="CE65" s="291"/>
      <c r="CF65" s="107"/>
      <c r="CG65" s="107"/>
      <c r="CH65" s="107"/>
      <c r="CI65" s="292"/>
      <c r="CJ65" s="291"/>
      <c r="CK65" s="107"/>
      <c r="CL65" s="107"/>
      <c r="CM65" s="107"/>
      <c r="CN65" s="292"/>
      <c r="CO65" s="291"/>
      <c r="CP65" s="107"/>
      <c r="CQ65" s="107"/>
      <c r="CR65" s="107"/>
      <c r="CS65" s="292"/>
      <c r="CT65" s="291"/>
      <c r="CU65" s="107"/>
      <c r="CV65" s="107"/>
      <c r="CW65" s="107"/>
      <c r="CX65" s="292"/>
      <c r="CY65" s="291"/>
      <c r="CZ65" s="107"/>
      <c r="DA65" s="107"/>
      <c r="DB65" s="107"/>
      <c r="DC65" s="292"/>
      <c r="DD65" s="291"/>
      <c r="DE65" s="107"/>
      <c r="DF65" s="107"/>
      <c r="DG65" s="107"/>
      <c r="DH65" s="292"/>
      <c r="DI65" s="291"/>
      <c r="DJ65" s="107"/>
      <c r="DK65" s="107"/>
      <c r="DL65" s="107"/>
      <c r="DM65" s="292"/>
      <c r="DN65" s="291"/>
      <c r="DO65" s="107"/>
      <c r="DP65" s="107"/>
      <c r="DQ65" s="107"/>
      <c r="DR65" s="292"/>
      <c r="DS65" s="291"/>
      <c r="DT65" s="107"/>
      <c r="DU65" s="107"/>
      <c r="DV65" s="107"/>
      <c r="DW65" s="292"/>
      <c r="DX65" s="291"/>
      <c r="DY65" s="107"/>
      <c r="DZ65" s="107"/>
      <c r="EA65" s="107"/>
      <c r="EB65" s="292"/>
      <c r="EC65" s="291"/>
      <c r="ED65" s="107"/>
      <c r="EE65" s="107"/>
      <c r="EF65" s="107"/>
      <c r="EG65" s="292"/>
      <c r="EH65" s="291"/>
      <c r="EI65" s="107"/>
      <c r="EJ65" s="107"/>
      <c r="EK65" s="107"/>
      <c r="EL65" s="292"/>
      <c r="EM65" s="291"/>
      <c r="EN65" s="107"/>
      <c r="EO65" s="107"/>
      <c r="EP65" s="107"/>
      <c r="EQ65" s="292"/>
      <c r="ER65" s="291"/>
      <c r="ES65" s="107">
        <f>ES62/ER62-1</f>
      </c>
      <c r="ET65" s="107">
        <f>ET62/ES62-1</f>
      </c>
      <c r="EU65" s="107">
        <f>EU62/ET62-1</f>
      </c>
      <c r="EV65" s="292"/>
      <c r="EW65" s="291"/>
      <c r="EX65" s="107">
        <f>EX62/EW62-1</f>
      </c>
      <c r="EY65" s="107">
        <f>EY62/EX62-1</f>
      </c>
      <c r="EZ65" s="107">
        <f>EZ62/EY62-1</f>
      </c>
      <c r="FA65" s="292"/>
      <c r="FB65" s="291">
        <f>FB62/EZ62-1</f>
      </c>
      <c r="FC65" s="107">
        <f>FC62/FB62-1</f>
      </c>
      <c r="FD65" s="107">
        <f>FD62/FC62-1</f>
      </c>
      <c r="FE65" s="107">
        <f>FE62/FD62-1</f>
      </c>
      <c r="FF65" s="292"/>
      <c r="FG65" s="291">
        <f>FG62/FE62-1</f>
      </c>
      <c r="FH65" s="107">
        <f>FH62/FG62-1</f>
      </c>
      <c r="FI65" s="107">
        <f>FI62/FH62-1</f>
      </c>
      <c r="FJ65" s="107">
        <f>FJ62/FI62-1</f>
      </c>
      <c r="FK65" s="292"/>
      <c r="FL65" s="291">
        <f>FL62/FJ62-1</f>
      </c>
      <c r="FM65" s="107">
        <f>FM62/FL62-1</f>
      </c>
      <c r="FN65" s="107">
        <f>FN62/FM62-1</f>
      </c>
      <c r="FO65" s="107">
        <f>FO62/FN62-1</f>
      </c>
      <c r="FP65" s="292"/>
      <c r="FQ65" s="291">
        <f>FQ62/FO62-1</f>
      </c>
      <c r="FR65" s="107">
        <f>FR62/FQ62-1</f>
      </c>
      <c r="FS65" s="107">
        <f>FS62/FR62-1</f>
      </c>
      <c r="FT65" s="107">
        <f>FT62/FS62-1</f>
      </c>
      <c r="FU65" s="292"/>
      <c r="FV65" s="291">
        <f>FV62/FT62-1</f>
      </c>
      <c r="FW65" s="107">
        <f>FW62/FV62-1</f>
      </c>
      <c r="FX65" s="107">
        <f>FX62/FW62-1</f>
      </c>
      <c r="FY65" s="107">
        <f>FY62/FX62-1</f>
      </c>
      <c r="FZ65" s="292"/>
      <c r="GA65" s="291">
        <f>GA62/FY62-1</f>
      </c>
      <c r="GB65" s="107">
        <f>GB62/GA62-1</f>
      </c>
      <c r="GC65" s="107">
        <f>GC62/GB62-1</f>
      </c>
      <c r="GD65" s="107">
        <f>GD62/GC62-1</f>
      </c>
      <c r="GE65" s="292"/>
      <c r="GF65" s="291">
        <f>GF62/GD62-1</f>
      </c>
      <c r="GG65" s="107">
        <f>GG62/GF62-1</f>
      </c>
      <c r="GH65" s="107">
        <f>GH62/GG62-1</f>
      </c>
      <c r="GI65" s="107">
        <f>GI62/GH62-1</f>
      </c>
      <c r="GJ65" s="384"/>
    </row>
    <row r="66" spans="1:192" ht="12.75" hidden="1" customHeight="1" outlineLevel="1">
      <c r="B66" s="735" t="s">
        <v>243</v>
      </c>
      <c r="C66" s="291"/>
      <c r="D66" s="107"/>
      <c r="E66" s="107"/>
      <c r="F66" s="107"/>
      <c r="G66" s="292"/>
      <c r="H66" s="291"/>
      <c r="I66" s="107"/>
      <c r="J66" s="107"/>
      <c r="K66" s="107"/>
      <c r="L66" s="292"/>
      <c r="M66" s="291"/>
      <c r="N66" s="107"/>
      <c r="O66" s="107"/>
      <c r="P66" s="107"/>
      <c r="Q66" s="292"/>
      <c r="R66" s="291"/>
      <c r="S66" s="107"/>
      <c r="T66" s="107"/>
      <c r="U66" s="107"/>
      <c r="V66" s="292"/>
      <c r="W66" s="291"/>
      <c r="X66" s="107"/>
      <c r="Y66" s="107"/>
      <c r="Z66" s="107"/>
      <c r="AA66" s="292"/>
      <c r="AB66" s="291"/>
      <c r="AC66" s="107"/>
      <c r="AD66" s="107"/>
      <c r="AE66" s="107"/>
      <c r="AF66" s="292"/>
      <c r="AG66" s="291"/>
      <c r="AH66" s="107"/>
      <c r="AI66" s="107"/>
      <c r="AJ66" s="107"/>
      <c r="AK66" s="292"/>
      <c r="AL66" s="291"/>
      <c r="AM66" s="107"/>
      <c r="AN66" s="107"/>
      <c r="AO66" s="107"/>
      <c r="AP66" s="292"/>
      <c r="AQ66" s="291"/>
      <c r="AR66" s="107"/>
      <c r="AS66" s="107"/>
      <c r="AT66" s="107"/>
      <c r="AU66" s="292"/>
      <c r="AV66" s="291"/>
      <c r="AW66" s="107"/>
      <c r="AX66" s="107"/>
      <c r="AY66" s="107"/>
      <c r="AZ66" s="292"/>
      <c r="BA66" s="291"/>
      <c r="BB66" s="107"/>
      <c r="BC66" s="107"/>
      <c r="BD66" s="107"/>
      <c r="BE66" s="292"/>
      <c r="BF66" s="291"/>
      <c r="BG66" s="107"/>
      <c r="BH66" s="107"/>
      <c r="BI66" s="107"/>
      <c r="BJ66" s="292"/>
      <c r="BK66" s="291"/>
      <c r="BL66" s="107"/>
      <c r="BM66" s="107"/>
      <c r="BN66" s="107"/>
      <c r="BO66" s="292"/>
      <c r="BP66" s="291"/>
      <c r="BQ66" s="107"/>
      <c r="BR66" s="107"/>
      <c r="BS66" s="107"/>
      <c r="BT66" s="292"/>
      <c r="BU66" s="291"/>
      <c r="BV66" s="107"/>
      <c r="BW66" s="107"/>
      <c r="BX66" s="107"/>
      <c r="BY66" s="292"/>
      <c r="BZ66" s="291"/>
      <c r="CA66" s="107"/>
      <c r="CB66" s="107"/>
      <c r="CC66" s="107"/>
      <c r="CD66" s="292"/>
      <c r="CE66" s="291"/>
      <c r="CF66" s="107"/>
      <c r="CG66" s="107"/>
      <c r="CH66" s="107"/>
      <c r="CI66" s="292"/>
      <c r="CJ66" s="291"/>
      <c r="CK66" s="107"/>
      <c r="CL66" s="107"/>
      <c r="CM66" s="107"/>
      <c r="CN66" s="292"/>
      <c r="CO66" s="291"/>
      <c r="CP66" s="107"/>
      <c r="CQ66" s="107"/>
      <c r="CR66" s="107"/>
      <c r="CS66" s="292"/>
      <c r="CT66" s="447"/>
      <c r="CU66" s="447"/>
      <c r="CV66" s="447"/>
      <c r="CW66" s="447"/>
      <c r="CX66" s="462"/>
      <c r="CY66" s="447"/>
      <c r="CZ66" s="447"/>
      <c r="DA66" s="447"/>
      <c r="DB66" s="447"/>
      <c r="DC66" s="462"/>
      <c r="DD66" s="447"/>
      <c r="DE66" s="447"/>
      <c r="DF66" s="447"/>
      <c r="DG66" s="447"/>
      <c r="DH66" s="462"/>
      <c r="DI66" s="447"/>
      <c r="DJ66" s="447"/>
      <c r="DK66" s="447"/>
      <c r="DL66" s="447"/>
      <c r="DM66" s="462"/>
      <c r="DN66" s="447"/>
      <c r="DO66" s="447"/>
      <c r="DP66" s="447"/>
      <c r="DQ66" s="447"/>
      <c r="DR66" s="462"/>
      <c r="DS66" s="447"/>
      <c r="DT66" s="447"/>
      <c r="DU66" s="447"/>
      <c r="DV66" s="447"/>
      <c r="DW66" s="462"/>
      <c r="DX66" s="447"/>
      <c r="DY66" s="447"/>
      <c r="DZ66" s="447"/>
      <c r="EA66" s="447"/>
      <c r="EB66" s="462"/>
      <c r="EC66" s="447"/>
      <c r="ED66" s="447"/>
      <c r="EE66" s="447"/>
      <c r="EF66" s="447"/>
      <c r="EG66" s="462"/>
      <c r="EH66" s="447"/>
      <c r="EI66" s="447"/>
      <c r="EJ66" s="447"/>
      <c r="EK66" s="447"/>
      <c r="EL66" s="462"/>
      <c r="EM66" s="447"/>
      <c r="EN66" s="447"/>
      <c r="EO66" s="447"/>
      <c r="EP66" s="447"/>
      <c r="EQ66" s="462"/>
      <c r="ER66" s="447">
        <f t="shared" ref="ER66:GE66" si="54">ER62-EM62</f>
      </c>
      <c r="ES66" s="447">
        <f t="shared" si="54"/>
      </c>
      <c r="ET66" s="447">
        <f t="shared" si="54"/>
      </c>
      <c r="EU66" s="447">
        <f t="shared" si="54"/>
      </c>
      <c r="EV66" s="462">
        <f t="shared" si="54"/>
      </c>
      <c r="EW66" s="447">
        <f t="shared" si="54"/>
      </c>
      <c r="EX66" s="447">
        <f t="shared" si="54"/>
      </c>
      <c r="EY66" s="447">
        <f t="shared" si="54"/>
      </c>
      <c r="EZ66" s="447">
        <f t="shared" si="54"/>
      </c>
      <c r="FA66" s="462">
        <f t="shared" si="54"/>
      </c>
      <c r="FB66" s="447">
        <f t="shared" si="54"/>
      </c>
      <c r="FC66" s="447">
        <f t="shared" si="54"/>
      </c>
      <c r="FD66" s="447">
        <f t="shared" si="54"/>
      </c>
      <c r="FE66" s="447">
        <f t="shared" si="54"/>
      </c>
      <c r="FF66" s="462">
        <f t="shared" si="54"/>
      </c>
      <c r="FG66" s="447">
        <f t="shared" si="54"/>
      </c>
      <c r="FH66" s="447">
        <f t="shared" si="54"/>
      </c>
      <c r="FI66" s="447">
        <f t="shared" si="54"/>
      </c>
      <c r="FJ66" s="447">
        <f t="shared" si="54"/>
      </c>
      <c r="FK66" s="462">
        <f t="shared" si="54"/>
      </c>
      <c r="FL66" s="447">
        <f t="shared" si="54"/>
      </c>
      <c r="FM66" s="447">
        <f t="shared" si="54"/>
      </c>
      <c r="FN66" s="447">
        <f t="shared" si="54"/>
      </c>
      <c r="FO66" s="447">
        <f t="shared" si="54"/>
      </c>
      <c r="FP66" s="462">
        <f t="shared" si="54"/>
      </c>
      <c r="FQ66" s="447">
        <f t="shared" si="54"/>
      </c>
      <c r="FR66" s="447">
        <f t="shared" si="54"/>
      </c>
      <c r="FS66" s="447">
        <f t="shared" si="54"/>
      </c>
      <c r="FT66" s="447">
        <f t="shared" si="54"/>
      </c>
      <c r="FU66" s="462">
        <f t="shared" si="54"/>
      </c>
      <c r="FV66" s="447">
        <f t="shared" si="54"/>
      </c>
      <c r="FW66" s="447">
        <f t="shared" si="54"/>
      </c>
      <c r="FX66" s="447">
        <f t="shared" si="54"/>
      </c>
      <c r="FY66" s="447">
        <f t="shared" si="54"/>
      </c>
      <c r="FZ66" s="462">
        <f t="shared" si="54"/>
      </c>
      <c r="GA66" s="447">
        <f t="shared" si="54"/>
      </c>
      <c r="GB66" s="447">
        <f t="shared" si="54"/>
      </c>
      <c r="GC66" s="447">
        <f t="shared" si="54"/>
      </c>
      <c r="GD66" s="447">
        <f t="shared" si="54"/>
      </c>
      <c r="GE66" s="462">
        <f t="shared" si="54"/>
      </c>
      <c r="GF66" s="447">
        <f t="shared" ref="GF66" si="55">GF62-GA62</f>
      </c>
      <c r="GG66" s="447">
        <f t="shared" ref="GG66" si="56">GG62-GB62</f>
      </c>
      <c r="GH66" s="447">
        <f t="shared" ref="GH66" si="57">GH62-GC62</f>
      </c>
      <c r="GI66" s="447">
        <f t="shared" ref="GI66" si="58">GI62-GD62</f>
      </c>
      <c r="GJ66" s="497">
        <f t="shared" ref="GJ66" si="59">GJ62-GE62</f>
      </c>
    </row>
    <row r="67" spans="1:192" ht="12.75" hidden="1" customHeight="1" outlineLevel="1">
      <c r="B67" s="735" t="s">
        <v>244</v>
      </c>
      <c r="C67" s="291"/>
      <c r="D67" s="107"/>
      <c r="E67" s="107"/>
      <c r="F67" s="107"/>
      <c r="G67" s="292"/>
      <c r="H67" s="291"/>
      <c r="I67" s="107"/>
      <c r="J67" s="107"/>
      <c r="K67" s="107"/>
      <c r="L67" s="292"/>
      <c r="M67" s="291"/>
      <c r="N67" s="107"/>
      <c r="O67" s="107"/>
      <c r="P67" s="107"/>
      <c r="Q67" s="292"/>
      <c r="R67" s="291"/>
      <c r="S67" s="107"/>
      <c r="T67" s="107"/>
      <c r="U67" s="107"/>
      <c r="V67" s="292"/>
      <c r="W67" s="291"/>
      <c r="X67" s="107"/>
      <c r="Y67" s="107"/>
      <c r="Z67" s="107"/>
      <c r="AA67" s="292"/>
      <c r="AB67" s="291"/>
      <c r="AC67" s="107"/>
      <c r="AD67" s="107"/>
      <c r="AE67" s="107"/>
      <c r="AF67" s="292"/>
      <c r="AG67" s="291"/>
      <c r="AH67" s="107"/>
      <c r="AI67" s="107"/>
      <c r="AJ67" s="107"/>
      <c r="AK67" s="292"/>
      <c r="AL67" s="291"/>
      <c r="AM67" s="107"/>
      <c r="AN67" s="107"/>
      <c r="AO67" s="107"/>
      <c r="AP67" s="292"/>
      <c r="AQ67" s="291"/>
      <c r="AR67" s="107"/>
      <c r="AS67" s="107"/>
      <c r="AT67" s="107"/>
      <c r="AU67" s="292"/>
      <c r="AV67" s="291"/>
      <c r="AW67" s="107"/>
      <c r="AX67" s="107"/>
      <c r="AY67" s="107"/>
      <c r="AZ67" s="292"/>
      <c r="BA67" s="291"/>
      <c r="BB67" s="107"/>
      <c r="BC67" s="107"/>
      <c r="BD67" s="107"/>
      <c r="BE67" s="292"/>
      <c r="BF67" s="291"/>
      <c r="BG67" s="107"/>
      <c r="BH67" s="107"/>
      <c r="BI67" s="107"/>
      <c r="BJ67" s="292"/>
      <c r="BK67" s="291"/>
      <c r="BL67" s="107"/>
      <c r="BM67" s="107"/>
      <c r="BN67" s="107"/>
      <c r="BO67" s="292"/>
      <c r="BP67" s="291"/>
      <c r="BQ67" s="107"/>
      <c r="BR67" s="107"/>
      <c r="BS67" s="107"/>
      <c r="BT67" s="292"/>
      <c r="BU67" s="291"/>
      <c r="BV67" s="107"/>
      <c r="BW67" s="107"/>
      <c r="BX67" s="107"/>
      <c r="BY67" s="292"/>
      <c r="BZ67" s="291"/>
      <c r="CA67" s="107"/>
      <c r="CB67" s="107"/>
      <c r="CC67" s="107"/>
      <c r="CD67" s="292"/>
      <c r="CE67" s="291"/>
      <c r="CF67" s="107"/>
      <c r="CG67" s="107"/>
      <c r="CH67" s="107"/>
      <c r="CI67" s="292"/>
      <c r="CJ67" s="291"/>
      <c r="CK67" s="107"/>
      <c r="CL67" s="107"/>
      <c r="CM67" s="107"/>
      <c r="CN67" s="292"/>
      <c r="CO67" s="291"/>
      <c r="CP67" s="107"/>
      <c r="CQ67" s="107"/>
      <c r="CR67" s="107"/>
      <c r="CS67" s="292"/>
      <c r="CT67" s="447"/>
      <c r="CU67" s="458"/>
      <c r="CV67" s="458"/>
      <c r="CW67" s="458"/>
      <c r="CX67" s="292"/>
      <c r="CY67" s="447"/>
      <c r="CZ67" s="458"/>
      <c r="DA67" s="458"/>
      <c r="DB67" s="458"/>
      <c r="DC67" s="292"/>
      <c r="DD67" s="447"/>
      <c r="DE67" s="458"/>
      <c r="DF67" s="458"/>
      <c r="DG67" s="458"/>
      <c r="DH67" s="292"/>
      <c r="DI67" s="447"/>
      <c r="DJ67" s="458"/>
      <c r="DK67" s="458"/>
      <c r="DL67" s="458"/>
      <c r="DM67" s="292"/>
      <c r="DN67" s="447"/>
      <c r="DO67" s="458"/>
      <c r="DP67" s="458"/>
      <c r="DQ67" s="458"/>
      <c r="DR67" s="292"/>
      <c r="DS67" s="447"/>
      <c r="DT67" s="458"/>
      <c r="DU67" s="458"/>
      <c r="DV67" s="458"/>
      <c r="DW67" s="292"/>
      <c r="DX67" s="447"/>
      <c r="DY67" s="458"/>
      <c r="DZ67" s="458"/>
      <c r="EA67" s="458"/>
      <c r="EB67" s="292"/>
      <c r="EC67" s="447"/>
      <c r="ED67" s="458"/>
      <c r="EE67" s="458"/>
      <c r="EF67" s="458"/>
      <c r="EG67" s="292"/>
      <c r="EH67" s="447"/>
      <c r="EI67" s="458"/>
      <c r="EJ67" s="458"/>
      <c r="EK67" s="458"/>
      <c r="EL67" s="292"/>
      <c r="EM67" s="447"/>
      <c r="EN67" s="458"/>
      <c r="EO67" s="458"/>
      <c r="EP67" s="458"/>
      <c r="EQ67" s="292"/>
      <c r="ER67" s="447">
        <f>ER62-EP62</f>
      </c>
      <c r="ES67" s="458">
        <f>ES62-ER62</f>
      </c>
      <c r="ET67" s="458">
        <f>ET62-ES62</f>
      </c>
      <c r="EU67" s="458">
        <f>EU62-ET62</f>
      </c>
      <c r="EV67" s="292"/>
      <c r="EW67" s="447">
        <f>EW62-EU62</f>
      </c>
      <c r="EX67" s="458">
        <f>EX62-EW62</f>
      </c>
      <c r="EY67" s="458">
        <f>EY62-EX62</f>
      </c>
      <c r="EZ67" s="458">
        <f>EZ62-EY62</f>
      </c>
      <c r="FA67" s="292"/>
      <c r="FB67" s="447">
        <f>FB62-EZ62</f>
      </c>
      <c r="FC67" s="458">
        <f>FC62-FB62</f>
      </c>
      <c r="FD67" s="458">
        <f>FD62-FC62</f>
      </c>
      <c r="FE67" s="458">
        <f>FE62-FD62</f>
      </c>
      <c r="FF67" s="292"/>
      <c r="FG67" s="447">
        <f>FG62-FE62</f>
      </c>
      <c r="FH67" s="458">
        <f>FH62-FG62</f>
      </c>
      <c r="FI67" s="458">
        <f>FI62-FH62</f>
      </c>
      <c r="FJ67" s="458">
        <f>FJ62-FI62</f>
      </c>
      <c r="FK67" s="292"/>
      <c r="FL67" s="447">
        <f>FL62-FJ62</f>
      </c>
      <c r="FM67" s="458">
        <f>FM62-FL62</f>
      </c>
      <c r="FN67" s="458">
        <f>FN62-FM62</f>
      </c>
      <c r="FO67" s="458">
        <f>FO62-FN62</f>
      </c>
      <c r="FP67" s="292"/>
      <c r="FQ67" s="447">
        <f>FQ62-FO62</f>
      </c>
      <c r="FR67" s="458">
        <f>FR62-FQ62</f>
      </c>
      <c r="FS67" s="458">
        <f>FS62-FR62</f>
      </c>
      <c r="FT67" s="458">
        <f>FT62-FS62</f>
      </c>
      <c r="FU67" s="292"/>
      <c r="FV67" s="447">
        <f>FV62-FT62</f>
      </c>
      <c r="FW67" s="458">
        <f>FW62-FV62</f>
      </c>
      <c r="FX67" s="458">
        <f>FX62-FW62</f>
      </c>
      <c r="FY67" s="458">
        <f>FY62-FX62</f>
      </c>
      <c r="FZ67" s="292"/>
      <c r="GA67" s="447">
        <f>GA62-FY62</f>
      </c>
      <c r="GB67" s="458">
        <f>GB62-GA62</f>
      </c>
      <c r="GC67" s="458">
        <f>GC62-GB62</f>
      </c>
      <c r="GD67" s="458">
        <f>GD62-GC62</f>
      </c>
      <c r="GE67" s="292"/>
      <c r="GF67" s="447">
        <f>GF62-GD62</f>
      </c>
      <c r="GG67" s="458">
        <f>GG62-GF62</f>
      </c>
      <c r="GH67" s="458">
        <f>GH62-GG62</f>
      </c>
      <c r="GI67" s="458">
        <f>GI62-GH62</f>
      </c>
      <c r="GJ67" s="384"/>
    </row>
    <row r="68" spans="1:192" ht="12.75" hidden="1" customHeight="1" outlineLevel="1">
      <c r="B68" s="735" t="s">
        <v>253</v>
      </c>
      <c r="C68" s="291"/>
      <c r="D68" s="107"/>
      <c r="E68" s="107"/>
      <c r="F68" s="107"/>
      <c r="G68" s="292"/>
      <c r="H68" s="291"/>
      <c r="I68" s="107"/>
      <c r="J68" s="107"/>
      <c r="K68" s="107"/>
      <c r="L68" s="292"/>
      <c r="M68" s="291"/>
      <c r="N68" s="107"/>
      <c r="O68" s="107"/>
      <c r="P68" s="107"/>
      <c r="Q68" s="292"/>
      <c r="R68" s="291"/>
      <c r="S68" s="107"/>
      <c r="T68" s="107"/>
      <c r="U68" s="107"/>
      <c r="V68" s="292"/>
      <c r="W68" s="291"/>
      <c r="X68" s="107"/>
      <c r="Y68" s="107"/>
      <c r="Z68" s="107"/>
      <c r="AA68" s="292"/>
      <c r="AB68" s="291"/>
      <c r="AC68" s="107"/>
      <c r="AD68" s="107"/>
      <c r="AE68" s="107"/>
      <c r="AF68" s="292"/>
      <c r="AG68" s="291"/>
      <c r="AH68" s="107"/>
      <c r="AI68" s="107"/>
      <c r="AJ68" s="107"/>
      <c r="AK68" s="292"/>
      <c r="AL68" s="291"/>
      <c r="AM68" s="107"/>
      <c r="AN68" s="107"/>
      <c r="AO68" s="107"/>
      <c r="AP68" s="292"/>
      <c r="AQ68" s="291"/>
      <c r="AR68" s="107"/>
      <c r="AS68" s="107"/>
      <c r="AT68" s="107"/>
      <c r="AU68" s="292"/>
      <c r="AV68" s="291"/>
      <c r="AW68" s="107"/>
      <c r="AX68" s="107"/>
      <c r="AY68" s="107"/>
      <c r="AZ68" s="292"/>
      <c r="BA68" s="291"/>
      <c r="BB68" s="107"/>
      <c r="BC68" s="107"/>
      <c r="BD68" s="107"/>
      <c r="BE68" s="292"/>
      <c r="BF68" s="291"/>
      <c r="BG68" s="107"/>
      <c r="BH68" s="107"/>
      <c r="BI68" s="107"/>
      <c r="BJ68" s="292"/>
      <c r="BK68" s="291"/>
      <c r="BL68" s="107"/>
      <c r="BM68" s="107"/>
      <c r="BN68" s="107"/>
      <c r="BO68" s="292"/>
      <c r="BP68" s="291"/>
      <c r="BQ68" s="107"/>
      <c r="BR68" s="107"/>
      <c r="BS68" s="107"/>
      <c r="BT68" s="292"/>
      <c r="BU68" s="291"/>
      <c r="BV68" s="107"/>
      <c r="BW68" s="107"/>
      <c r="BX68" s="107"/>
      <c r="BY68" s="292"/>
      <c r="BZ68" s="291"/>
      <c r="CA68" s="107"/>
      <c r="CB68" s="107"/>
      <c r="CC68" s="107"/>
      <c r="CD68" s="292"/>
      <c r="CE68" s="291"/>
      <c r="CF68" s="107"/>
      <c r="CG68" s="107"/>
      <c r="CH68" s="107"/>
      <c r="CI68" s="292"/>
      <c r="CJ68" s="291"/>
      <c r="CK68" s="107"/>
      <c r="CL68" s="107"/>
      <c r="CM68" s="107"/>
      <c r="CN68" s="292"/>
      <c r="CO68" s="291"/>
      <c r="CP68" s="107"/>
      <c r="CQ68" s="107"/>
      <c r="CR68" s="107"/>
      <c r="CS68" s="292"/>
      <c r="CT68" s="291"/>
      <c r="CU68" s="107"/>
      <c r="CV68" s="107"/>
      <c r="CW68" s="107"/>
      <c r="CX68" s="292"/>
      <c r="CY68" s="291"/>
      <c r="CZ68" s="107"/>
      <c r="DA68" s="107"/>
      <c r="DB68" s="107"/>
      <c r="DC68" s="292"/>
      <c r="DD68" s="291"/>
      <c r="DE68" s="107"/>
      <c r="DF68" s="107"/>
      <c r="DG68" s="107"/>
      <c r="DH68" s="292"/>
      <c r="DI68" s="291"/>
      <c r="DJ68" s="107"/>
      <c r="DK68" s="107"/>
      <c r="DL68" s="107"/>
      <c r="DM68" s="292"/>
      <c r="DN68" s="291"/>
      <c r="DO68" s="107"/>
      <c r="DP68" s="107"/>
      <c r="DQ68" s="107"/>
      <c r="DR68" s="292"/>
      <c r="DS68" s="291"/>
      <c r="DT68" s="107"/>
      <c r="DU68" s="107"/>
      <c r="DV68" s="107"/>
      <c r="DW68" s="292"/>
      <c r="DX68" s="291"/>
      <c r="DY68" s="107"/>
      <c r="DZ68" s="107"/>
      <c r="EA68" s="107"/>
      <c r="EB68" s="292"/>
      <c r="EC68" s="291"/>
      <c r="ED68" s="107"/>
      <c r="EE68" s="107"/>
      <c r="EF68" s="107"/>
      <c r="EG68" s="292"/>
      <c r="EH68" s="291"/>
      <c r="EI68" s="107"/>
      <c r="EJ68" s="107"/>
      <c r="EK68" s="107"/>
      <c r="EL68" s="292"/>
      <c r="EM68" s="291"/>
      <c r="EN68" s="291"/>
      <c r="EO68" s="291"/>
      <c r="EP68" s="291"/>
      <c r="EQ68" s="292"/>
      <c r="ER68" s="291">
        <f>ER62/ER$10</f>
      </c>
      <c r="ES68" s="291">
        <f>ES62/ES$10</f>
      </c>
      <c r="ET68" s="291">
        <f>ET62/ET$10</f>
      </c>
      <c r="EU68" s="291">
        <f>EU62/EU$10</f>
      </c>
      <c r="EV68" s="292">
        <f>EV62/EV$10</f>
      </c>
      <c r="EW68" s="291">
        <f t="shared" ref="EW68:GE68" si="60">EW62/EW$10</f>
      </c>
      <c r="EX68" s="291">
        <f>EX62/EX$10</f>
      </c>
      <c r="EY68" s="291">
        <f>EY62/EY$10</f>
      </c>
      <c r="EZ68" s="291">
        <f>EZ62/EZ$10</f>
      </c>
      <c r="FA68" s="292">
        <f t="shared" si="60"/>
      </c>
      <c r="FB68" s="291">
        <f t="shared" si="60"/>
      </c>
      <c r="FC68" s="291">
        <f t="shared" si="60"/>
      </c>
      <c r="FD68" s="291">
        <f t="shared" si="60"/>
      </c>
      <c r="FE68" s="291">
        <f t="shared" si="60"/>
      </c>
      <c r="FF68" s="292">
        <f t="shared" si="60"/>
      </c>
      <c r="FG68" s="291">
        <f t="shared" si="60"/>
      </c>
      <c r="FH68" s="291">
        <f t="shared" si="60"/>
      </c>
      <c r="FI68" s="291">
        <f t="shared" si="60"/>
      </c>
      <c r="FJ68" s="291">
        <f t="shared" si="60"/>
      </c>
      <c r="FK68" s="292">
        <f t="shared" si="60"/>
      </c>
      <c r="FL68" s="291">
        <f t="shared" si="60"/>
      </c>
      <c r="FM68" s="291">
        <f t="shared" si="60"/>
      </c>
      <c r="FN68" s="291">
        <f t="shared" si="60"/>
      </c>
      <c r="FO68" s="291">
        <f t="shared" si="60"/>
      </c>
      <c r="FP68" s="292">
        <f t="shared" si="60"/>
      </c>
      <c r="FQ68" s="291">
        <f t="shared" si="60"/>
      </c>
      <c r="FR68" s="291">
        <f t="shared" si="60"/>
      </c>
      <c r="FS68" s="291">
        <f t="shared" si="60"/>
      </c>
      <c r="FT68" s="291">
        <f t="shared" si="60"/>
      </c>
      <c r="FU68" s="292">
        <f t="shared" si="60"/>
      </c>
      <c r="FV68" s="291">
        <f t="shared" si="60"/>
      </c>
      <c r="FW68" s="291">
        <f t="shared" si="60"/>
      </c>
      <c r="FX68" s="291">
        <f t="shared" si="60"/>
      </c>
      <c r="FY68" s="291">
        <f t="shared" si="60"/>
      </c>
      <c r="FZ68" s="292">
        <f t="shared" si="60"/>
      </c>
      <c r="GA68" s="291">
        <f t="shared" si="60"/>
      </c>
      <c r="GB68" s="291">
        <f t="shared" si="60"/>
      </c>
      <c r="GC68" s="291">
        <f t="shared" si="60"/>
      </c>
      <c r="GD68" s="291">
        <f t="shared" si="60"/>
      </c>
      <c r="GE68" s="292">
        <f t="shared" si="60"/>
      </c>
      <c r="GF68" s="291">
        <f t="shared" ref="GF68:GJ68" si="61">GF62/GF$10</f>
      </c>
      <c r="GG68" s="291">
        <f t="shared" si="61"/>
      </c>
      <c r="GH68" s="291">
        <f t="shared" si="61"/>
      </c>
      <c r="GI68" s="291">
        <f t="shared" si="61"/>
      </c>
      <c r="GJ68" s="384">
        <f t="shared" si="61"/>
      </c>
    </row>
    <row r="69" spans="1:192" ht="12.75" customHeight="1" collapsed="1">
      <c r="B69" s="735"/>
      <c r="C69" s="291"/>
      <c r="D69" s="107"/>
      <c r="E69" s="107"/>
      <c r="F69" s="107"/>
      <c r="G69" s="292"/>
      <c r="H69" s="291"/>
      <c r="I69" s="107"/>
      <c r="J69" s="107"/>
      <c r="K69" s="107"/>
      <c r="L69" s="292"/>
      <c r="M69" s="291"/>
      <c r="N69" s="107"/>
      <c r="O69" s="107"/>
      <c r="P69" s="107"/>
      <c r="Q69" s="292"/>
      <c r="R69" s="291"/>
      <c r="S69" s="107"/>
      <c r="T69" s="107"/>
      <c r="U69" s="107"/>
      <c r="V69" s="292"/>
      <c r="W69" s="291"/>
      <c r="X69" s="107"/>
      <c r="Y69" s="107"/>
      <c r="Z69" s="107"/>
      <c r="AA69" s="292"/>
      <c r="AB69" s="291"/>
      <c r="AC69" s="107"/>
      <c r="AD69" s="107"/>
      <c r="AE69" s="107"/>
      <c r="AF69" s="292"/>
      <c r="AG69" s="291"/>
      <c r="AH69" s="107"/>
      <c r="AI69" s="107"/>
      <c r="AJ69" s="107"/>
      <c r="AK69" s="292"/>
      <c r="AL69" s="291"/>
      <c r="AM69" s="107"/>
      <c r="AN69" s="107"/>
      <c r="AO69" s="107"/>
      <c r="AP69" s="292"/>
      <c r="AQ69" s="291"/>
      <c r="AR69" s="107"/>
      <c r="AS69" s="107"/>
      <c r="AT69" s="107"/>
      <c r="AU69" s="292"/>
      <c r="AV69" s="291"/>
      <c r="AW69" s="107"/>
      <c r="AX69" s="107"/>
      <c r="AY69" s="107"/>
      <c r="AZ69" s="292"/>
      <c r="BA69" s="291"/>
      <c r="BB69" s="107"/>
      <c r="BC69" s="107"/>
      <c r="BD69" s="107"/>
      <c r="BE69" s="292"/>
      <c r="BF69" s="291"/>
      <c r="BG69" s="107"/>
      <c r="BH69" s="107"/>
      <c r="BI69" s="107"/>
      <c r="BJ69" s="292"/>
      <c r="BK69" s="291"/>
      <c r="BL69" s="107"/>
      <c r="BM69" s="107"/>
      <c r="BN69" s="107"/>
      <c r="BO69" s="292"/>
      <c r="BP69" s="291"/>
      <c r="BQ69" s="107"/>
      <c r="BR69" s="107"/>
      <c r="BS69" s="107"/>
      <c r="BT69" s="292"/>
      <c r="BU69" s="291"/>
      <c r="BV69" s="107"/>
      <c r="BW69" s="107"/>
      <c r="BX69" s="107"/>
      <c r="BY69" s="292"/>
      <c r="BZ69" s="291"/>
      <c r="CA69" s="107"/>
      <c r="CB69" s="107"/>
      <c r="CC69" s="107"/>
      <c r="CD69" s="292"/>
      <c r="CE69" s="291"/>
      <c r="CF69" s="107"/>
      <c r="CG69" s="107"/>
      <c r="CH69" s="107"/>
      <c r="CI69" s="292"/>
      <c r="CJ69" s="291"/>
      <c r="CK69" s="107"/>
      <c r="CL69" s="107"/>
      <c r="CM69" s="107"/>
      <c r="CN69" s="292"/>
      <c r="CO69" s="291"/>
      <c r="CP69" s="107"/>
      <c r="CQ69" s="107"/>
      <c r="CR69" s="107"/>
      <c r="CS69" s="292"/>
      <c r="CT69" s="291"/>
      <c r="CU69" s="107"/>
      <c r="CV69" s="107"/>
      <c r="CW69" s="107"/>
      <c r="CX69" s="292"/>
      <c r="CY69" s="291"/>
      <c r="CZ69" s="107"/>
      <c r="DA69" s="107"/>
      <c r="DB69" s="107"/>
      <c r="DC69" s="292"/>
      <c r="DD69" s="291"/>
      <c r="DE69" s="107"/>
      <c r="DF69" s="107"/>
      <c r="DG69" s="107"/>
      <c r="DH69" s="292"/>
      <c r="DI69" s="291"/>
      <c r="DJ69" s="107"/>
      <c r="DK69" s="107"/>
      <c r="DL69" s="107"/>
      <c r="DM69" s="292"/>
      <c r="DN69" s="291"/>
      <c r="DO69" s="107"/>
      <c r="DP69" s="107"/>
      <c r="DQ69" s="107"/>
      <c r="DR69" s="292"/>
      <c r="DS69" s="291"/>
      <c r="DT69" s="107"/>
      <c r="DU69" s="107"/>
      <c r="DV69" s="107"/>
      <c r="DW69" s="292"/>
      <c r="DX69" s="291"/>
      <c r="DY69" s="107"/>
      <c r="DZ69" s="107"/>
      <c r="EA69" s="107"/>
      <c r="EB69" s="292"/>
      <c r="EC69" s="291"/>
      <c r="ED69" s="107"/>
      <c r="EE69" s="107"/>
      <c r="EF69" s="107"/>
      <c r="EG69" s="292"/>
      <c r="EH69" s="291"/>
      <c r="EI69" s="107"/>
      <c r="EJ69" s="107"/>
      <c r="EK69" s="107"/>
      <c r="EL69" s="292"/>
      <c r="EM69" s="291"/>
      <c r="EN69" s="291"/>
      <c r="EO69" s="291"/>
      <c r="EP69" s="291"/>
      <c r="EQ69" s="292"/>
      <c r="ER69" s="291"/>
      <c r="ES69" s="291"/>
      <c r="ET69" s="291"/>
      <c r="EU69" s="291"/>
      <c r="EV69" s="292"/>
      <c r="EW69" s="291"/>
      <c r="EX69" s="291"/>
      <c r="EY69" s="291"/>
      <c r="EZ69" s="291"/>
      <c r="FA69" s="292"/>
      <c r="FB69" s="291"/>
      <c r="FC69" s="291"/>
      <c r="FD69" s="291"/>
      <c r="FE69" s="291"/>
      <c r="FF69" s="292"/>
      <c r="FG69" s="291"/>
      <c r="FH69" s="291"/>
      <c r="FI69" s="291"/>
      <c r="FJ69" s="291"/>
      <c r="FK69" s="292"/>
      <c r="FL69" s="291"/>
      <c r="FM69" s="291"/>
      <c r="FN69" s="291"/>
      <c r="FO69" s="291"/>
      <c r="FP69" s="292"/>
      <c r="FQ69" s="291"/>
      <c r="FR69" s="291"/>
      <c r="FS69" s="291"/>
      <c r="FT69" s="291"/>
      <c r="FU69" s="292"/>
      <c r="FV69" s="291"/>
      <c r="FW69" s="291"/>
      <c r="FX69" s="291"/>
      <c r="FY69" s="291"/>
      <c r="FZ69" s="292"/>
      <c r="GA69" s="291"/>
      <c r="GB69" s="291"/>
      <c r="GC69" s="291"/>
      <c r="GD69" s="291"/>
      <c r="GE69" s="292"/>
      <c r="GF69" s="291"/>
      <c r="GG69" s="291"/>
      <c r="GH69" s="291"/>
      <c r="GI69" s="291"/>
      <c r="GJ69" s="384"/>
    </row>
    <row r="70" spans="1:192" ht="12.75" customHeight="1">
      <c r="B70" s="733" t="s">
        <v>2009</v>
      </c>
      <c r="C70" s="294"/>
      <c r="D70" s="295"/>
      <c r="E70" s="295"/>
      <c r="F70" s="295"/>
      <c r="G70" s="296"/>
      <c r="H70" s="294"/>
      <c r="I70" s="295"/>
      <c r="J70" s="295"/>
      <c r="K70" s="295"/>
      <c r="L70" s="296"/>
      <c r="M70" s="294"/>
      <c r="N70" s="295"/>
      <c r="O70" s="295"/>
      <c r="P70" s="295"/>
      <c r="Q70" s="296"/>
      <c r="R70" s="294"/>
      <c r="S70" s="295"/>
      <c r="T70" s="295"/>
      <c r="U70" s="295"/>
      <c r="V70" s="296"/>
      <c r="W70" s="294"/>
      <c r="X70" s="295"/>
      <c r="Y70" s="295"/>
      <c r="Z70" s="295"/>
      <c r="AA70" s="296"/>
      <c r="AB70" s="294"/>
      <c r="AC70" s="295"/>
      <c r="AD70" s="295"/>
      <c r="AE70" s="295"/>
      <c r="AF70" s="296"/>
      <c r="AG70" s="294"/>
      <c r="AH70" s="295"/>
      <c r="AI70" s="295"/>
      <c r="AJ70" s="295"/>
      <c r="AK70" s="296"/>
      <c r="AL70" s="294"/>
      <c r="AM70" s="295"/>
      <c r="AN70" s="295"/>
      <c r="AO70" s="295"/>
      <c r="AP70" s="296"/>
      <c r="AQ70" s="294"/>
      <c r="AR70" s="295"/>
      <c r="AS70" s="295"/>
      <c r="AT70" s="295"/>
      <c r="AU70" s="296"/>
      <c r="AV70" s="294"/>
      <c r="AW70" s="295"/>
      <c r="AX70" s="295"/>
      <c r="AY70" s="295"/>
      <c r="AZ70" s="296"/>
      <c r="BA70" s="294"/>
      <c r="BB70" s="295"/>
      <c r="BC70" s="295"/>
      <c r="BD70" s="295"/>
      <c r="BE70" s="296"/>
      <c r="BF70" s="294"/>
      <c r="BG70" s="295"/>
      <c r="BH70" s="295"/>
      <c r="BI70" s="295"/>
      <c r="BJ70" s="296"/>
      <c r="BK70" s="294"/>
      <c r="BL70" s="295"/>
      <c r="BM70" s="295"/>
      <c r="BN70" s="295"/>
      <c r="BO70" s="296"/>
      <c r="BP70" s="294"/>
      <c r="BQ70" s="295"/>
      <c r="BR70" s="295"/>
      <c r="BS70" s="295"/>
      <c r="BT70" s="296"/>
      <c r="BU70" s="294"/>
      <c r="BV70" s="295"/>
      <c r="BW70" s="295"/>
      <c r="BX70" s="295"/>
      <c r="BY70" s="296"/>
      <c r="BZ70" s="294"/>
      <c r="CA70" s="295"/>
      <c r="CB70" s="295"/>
      <c r="CC70" s="295"/>
      <c r="CD70" s="296"/>
      <c r="CE70" s="294"/>
      <c r="CF70" s="295"/>
      <c r="CG70" s="295"/>
      <c r="CH70" s="295"/>
      <c r="CI70" s="296"/>
      <c r="CJ70" s="294"/>
      <c r="CK70" s="295"/>
      <c r="CL70" s="295"/>
      <c r="CM70" s="295"/>
      <c r="CN70" s="296"/>
      <c r="CO70" s="294"/>
      <c r="CP70" s="295"/>
      <c r="CQ70" s="295"/>
      <c r="CR70" s="295"/>
      <c r="CS70" s="296"/>
      <c r="CT70" s="294"/>
      <c r="CU70" s="295"/>
      <c r="CV70" s="295"/>
      <c r="CW70" s="295"/>
      <c r="CX70" s="296"/>
      <c r="CY70" s="294"/>
      <c r="CZ70" s="295"/>
      <c r="DA70" s="295"/>
      <c r="DB70" s="295"/>
      <c r="DC70" s="296"/>
      <c r="DD70" s="294"/>
      <c r="DE70" s="295"/>
      <c r="DF70" s="295"/>
      <c r="DG70" s="295"/>
      <c r="DH70" s="296"/>
      <c r="DI70" s="294"/>
      <c r="DJ70" s="295"/>
      <c r="DK70" s="295"/>
      <c r="DL70" s="295"/>
      <c r="DM70" s="296"/>
      <c r="DN70" s="294"/>
      <c r="DO70" s="295"/>
      <c r="DP70" s="295"/>
      <c r="DQ70" s="295"/>
      <c r="DR70" s="296"/>
      <c r="DS70" s="294"/>
      <c r="DT70" s="295"/>
      <c r="DU70" s="295"/>
      <c r="DV70" s="295"/>
      <c r="DW70" s="296"/>
      <c r="DX70" s="294"/>
      <c r="DY70" s="295"/>
      <c r="DZ70" s="295"/>
      <c r="EA70" s="295"/>
      <c r="EB70" s="296"/>
      <c r="EC70" s="294"/>
      <c r="ED70" s="295"/>
      <c r="EE70" s="295"/>
      <c r="EF70" s="295"/>
      <c r="EG70" s="296"/>
      <c r="EH70" s="294"/>
      <c r="EI70" s="295"/>
      <c r="EJ70" s="295"/>
      <c r="EK70" s="295"/>
      <c r="EL70" s="296"/>
      <c r="EM70" s="294"/>
      <c r="EN70" s="295"/>
      <c r="EO70" s="295"/>
      <c r="EP70" s="295"/>
      <c r="EQ70" s="296"/>
      <c r="ER70" s="294"/>
      <c r="ES70" s="295"/>
      <c r="ET70" s="295"/>
      <c r="EU70" s="295"/>
      <c r="EV70" s="296"/>
      <c r="EW70" s="294"/>
      <c r="EX70" s="295"/>
      <c r="EY70" s="295"/>
      <c r="EZ70" s="295"/>
      <c r="FA70" s="296"/>
      <c r="FB70" s="294"/>
      <c r="FC70" s="295"/>
      <c r="FD70" s="295"/>
      <c r="FE70" s="295"/>
      <c r="FF70" s="296"/>
      <c r="FG70" s="294"/>
      <c r="FH70" s="295"/>
      <c r="FI70" s="295"/>
      <c r="FJ70" s="295"/>
      <c r="FK70" s="296"/>
      <c r="FL70" s="294"/>
      <c r="FM70" s="295"/>
      <c r="FN70" s="295"/>
      <c r="FO70" s="295"/>
      <c r="FP70" s="296"/>
      <c r="FQ70" s="294"/>
      <c r="FR70" s="295"/>
      <c r="FS70" s="295"/>
      <c r="FT70" s="295"/>
      <c r="FU70" s="296"/>
      <c r="FV70" s="294"/>
      <c r="FW70" s="295"/>
      <c r="FX70" s="295"/>
      <c r="FY70" s="295"/>
      <c r="FZ70" s="296"/>
      <c r="GA70" s="294"/>
      <c r="GB70" s="295"/>
      <c r="GC70" s="295"/>
      <c r="GD70" s="295"/>
      <c r="GE70" s="296"/>
      <c r="GF70" s="294"/>
      <c r="GG70" s="295"/>
      <c r="GH70" s="295"/>
      <c r="GI70" s="295"/>
      <c r="GJ70" s="383"/>
    </row>
    <row r="71" spans="1:192" s="461" customFormat="1" ht="12.75" hidden="1" customHeight="1" outlineLevel="1">
      <c r="A71" s="807"/>
      <c r="B71" s="828" t="s">
        <v>221</v>
      </c>
      <c r="C71" s="443"/>
      <c r="D71" s="471"/>
      <c r="E71" s="471"/>
      <c r="F71" s="471"/>
      <c r="G71" s="516"/>
      <c r="H71" s="443"/>
      <c r="I71" s="471"/>
      <c r="J71" s="471"/>
      <c r="K71" s="471"/>
      <c r="L71" s="516"/>
      <c r="M71" s="443"/>
      <c r="N71" s="471"/>
      <c r="O71" s="471"/>
      <c r="P71" s="471"/>
      <c r="Q71" s="516"/>
      <c r="R71" s="443"/>
      <c r="S71" s="471"/>
      <c r="T71" s="471"/>
      <c r="U71" s="471"/>
      <c r="V71" s="516"/>
      <c r="W71" s="443"/>
      <c r="X71" s="471"/>
      <c r="Y71" s="471"/>
      <c r="Z71" s="471"/>
      <c r="AA71" s="516"/>
      <c r="AB71" s="443"/>
      <c r="AC71" s="471"/>
      <c r="AD71" s="471"/>
      <c r="AE71" s="471"/>
      <c r="AF71" s="516"/>
      <c r="AG71" s="443"/>
      <c r="AH71" s="471"/>
      <c r="AI71" s="471"/>
      <c r="AJ71" s="471"/>
      <c r="AK71" s="516"/>
      <c r="AL71" s="443"/>
      <c r="AM71" s="471"/>
      <c r="AN71" s="471"/>
      <c r="AO71" s="471"/>
      <c r="AP71" s="516"/>
      <c r="AQ71" s="443"/>
      <c r="AR71" s="471"/>
      <c r="AS71" s="471"/>
      <c r="AT71" s="471"/>
      <c r="AU71" s="516"/>
      <c r="AV71" s="443"/>
      <c r="AW71" s="471"/>
      <c r="AX71" s="471"/>
      <c r="AY71" s="471"/>
      <c r="AZ71" s="516"/>
      <c r="BA71" s="443"/>
      <c r="BB71" s="471"/>
      <c r="BC71" s="471"/>
      <c r="BD71" s="471"/>
      <c r="BE71" s="516"/>
      <c r="BF71" s="443"/>
      <c r="BG71" s="471"/>
      <c r="BH71" s="471"/>
      <c r="BI71" s="471"/>
      <c r="BJ71" s="516"/>
      <c r="BK71" s="443"/>
      <c r="BL71" s="471"/>
      <c r="BM71" s="471"/>
      <c r="BN71" s="471"/>
      <c r="BO71" s="516"/>
      <c r="BP71" s="443"/>
      <c r="BQ71" s="471"/>
      <c r="BR71" s="471"/>
      <c r="BS71" s="471"/>
      <c r="BT71" s="516"/>
      <c r="BU71" s="443"/>
      <c r="BV71" s="471"/>
      <c r="BW71" s="471"/>
      <c r="BX71" s="471"/>
      <c r="BY71" s="516"/>
      <c r="BZ71" s="443"/>
      <c r="CA71" s="471"/>
      <c r="CB71" s="471"/>
      <c r="CC71" s="471"/>
      <c r="CD71" s="516"/>
      <c r="CE71" s="443"/>
      <c r="CF71" s="471"/>
      <c r="CG71" s="471"/>
      <c r="CH71" s="471"/>
      <c r="CI71" s="516"/>
      <c r="CJ71" s="443"/>
      <c r="CK71" s="471"/>
      <c r="CL71" s="471"/>
      <c r="CM71" s="471"/>
      <c r="CN71" s="516"/>
      <c r="CO71" s="443"/>
      <c r="CP71" s="471"/>
      <c r="CQ71" s="471"/>
      <c r="CR71" s="471"/>
      <c r="CS71" s="516"/>
      <c r="CT71" s="443"/>
      <c r="CU71" s="471"/>
      <c r="CV71" s="471"/>
      <c r="CW71" s="471"/>
      <c r="CX71" s="516"/>
      <c r="CY71" s="825"/>
      <c r="CZ71" s="825"/>
      <c r="DA71" s="825"/>
      <c r="DB71" s="825">
        <f>IFERROR(PBP!DB153,"")</f>
      </c>
      <c r="DC71" s="847"/>
      <c r="DD71" s="825">
        <f>IFERROR(PBP!DD153,"")</f>
      </c>
      <c r="DE71" s="825">
        <f>IFERROR(PBP!DE153,"")</f>
      </c>
      <c r="DF71" s="825">
        <f>IFERROR(PBP!DF153,"")</f>
      </c>
      <c r="DG71" s="825">
        <f>IFERROR(PBP!DG153,"")</f>
      </c>
      <c r="DH71" s="847">
        <f>IFERROR(PBP!DH153,"")</f>
      </c>
      <c r="DI71" s="825">
        <f>IFERROR(PBP!DI153,"")</f>
      </c>
      <c r="DJ71" s="825">
        <f>IFERROR(PBP!DJ153,"")</f>
      </c>
      <c r="DK71" s="825">
        <f>IFERROR(PBP!DK153,"")</f>
      </c>
      <c r="DL71" s="825">
        <f>IFERROR(PBP!DL153,"")</f>
      </c>
      <c r="DM71" s="847">
        <f>IFERROR(PBP!DM153,"")</f>
      </c>
      <c r="DN71" s="825">
        <f>IFERROR(PBP!DN153,"")</f>
      </c>
      <c r="DO71" s="825">
        <f>IFERROR(PBP!DO153,"")</f>
      </c>
      <c r="DP71" s="825">
        <f>IFERROR(PBP!DP153,"")</f>
      </c>
      <c r="DQ71" s="825">
        <f>IFERROR(PBP!DQ153,"")</f>
      </c>
      <c r="DR71" s="847">
        <f>IFERROR(PBP!DR153,"")</f>
      </c>
      <c r="DS71" s="825">
        <f>IFERROR(PBP!DS153,"")</f>
      </c>
      <c r="DT71" s="825">
        <f>IFERROR(PBP!DT153,"")</f>
      </c>
      <c r="DU71" s="825">
        <f>IFERROR(PBP!DU153,"")</f>
      </c>
      <c r="DV71" s="825">
        <f>IFERROR(PBP!DV153,"")</f>
      </c>
      <c r="DW71" s="847">
        <f>IFERROR(PBP!DW153,"")</f>
      </c>
      <c r="DX71" s="825">
        <f>IFERROR(PBP!DX153,"")</f>
      </c>
      <c r="DY71" s="825">
        <f>IFERROR(PBP!DY153,"")</f>
      </c>
      <c r="DZ71" s="825">
        <f>IFERROR(PBP!DZ153,"")</f>
      </c>
      <c r="EA71" s="825">
        <f>IFERROR(PBP!EA153,"")</f>
      </c>
      <c r="EB71" s="847">
        <f>IFERROR(PBP!EB153,"")</f>
      </c>
      <c r="EC71" s="825">
        <f>IFERROR(PBP!EC153,"")</f>
      </c>
      <c r="ED71" s="825">
        <f>IFERROR(PBP!ED153,"")</f>
      </c>
      <c r="EE71" s="825">
        <f>IFERROR(PBP!EE153,"")</f>
      </c>
      <c r="EF71" s="825">
        <f>IFERROR(PBP!EF153,"")</f>
      </c>
      <c r="EG71" s="847">
        <f>IFERROR(PBP!EG153,"")</f>
      </c>
      <c r="EH71" s="825">
        <f>IFERROR(PBP!EH153,"")</f>
      </c>
      <c r="EI71" s="825">
        <f>IFERROR(PBP!EI153,"")</f>
      </c>
      <c r="EJ71" s="825">
        <f>IFERROR(PBP!EJ153,"")</f>
      </c>
      <c r="EK71" s="825">
        <f>IFERROR(PBP!EK153,"")</f>
      </c>
      <c r="EL71" s="847">
        <f>IFERROR(PBP!EL153,"")</f>
      </c>
      <c r="EM71" s="825">
        <f>IFERROR(PBP!EM153,"")</f>
      </c>
      <c r="EN71" s="825">
        <f>IFERROR(PBP!EN153,"")</f>
      </c>
      <c r="EO71" s="825">
        <f>IFERROR(PBP!EO153,"")</f>
      </c>
      <c r="EP71" s="825">
        <f>IFERROR(PBP!EP153,"")</f>
      </c>
      <c r="EQ71" s="847">
        <f>IFERROR(PBP!EQ153,"")</f>
      </c>
      <c r="ER71" s="825">
        <f>IFERROR(PBP!ER153,"")</f>
      </c>
      <c r="ES71" s="825">
        <f>IFERROR(PBP!ES153,"")</f>
      </c>
      <c r="ET71" s="825">
        <f>IFERROR(PBP!ET153,"")</f>
      </c>
      <c r="EU71" s="825">
        <f>IFERROR(PBP!EU153,"")</f>
      </c>
      <c r="EV71" s="847">
        <f>IFERROR(PBP!EV153,"")</f>
      </c>
      <c r="EW71" s="825"/>
      <c r="EX71" s="825"/>
      <c r="EY71" s="825"/>
      <c r="EZ71" s="825"/>
      <c r="FA71" s="847"/>
      <c r="FB71" s="825"/>
      <c r="FC71" s="825"/>
      <c r="FD71" s="825"/>
      <c r="FE71" s="825"/>
      <c r="FF71" s="847"/>
      <c r="FG71" s="825"/>
      <c r="FH71" s="825"/>
      <c r="FI71" s="825"/>
      <c r="FJ71" s="825"/>
      <c r="FK71" s="847"/>
      <c r="FL71" s="825"/>
      <c r="FM71" s="825"/>
      <c r="FN71" s="825"/>
      <c r="FO71" s="825"/>
      <c r="FP71" s="847"/>
      <c r="FQ71" s="825"/>
      <c r="FR71" s="825"/>
      <c r="FS71" s="825"/>
      <c r="FT71" s="825"/>
      <c r="FU71" s="847"/>
      <c r="FV71" s="825"/>
      <c r="FW71" s="825"/>
      <c r="FX71" s="825"/>
      <c r="FY71" s="825"/>
      <c r="FZ71" s="847"/>
      <c r="GA71" s="825"/>
      <c r="GB71" s="825"/>
      <c r="GC71" s="825"/>
      <c r="GD71" s="825"/>
      <c r="GE71" s="847"/>
      <c r="GF71" s="825"/>
      <c r="GG71" s="825"/>
      <c r="GH71" s="825"/>
      <c r="GI71" s="825"/>
      <c r="GJ71" s="848"/>
    </row>
    <row r="72" spans="1:192" s="1241" customFormat="1" ht="12.75" hidden="1" customHeight="1" outlineLevel="1">
      <c r="A72" s="1237"/>
      <c r="B72" s="1323" t="s">
        <v>34</v>
      </c>
      <c r="C72" s="1238"/>
      <c r="D72" s="1117"/>
      <c r="E72" s="1117"/>
      <c r="F72" s="1117"/>
      <c r="G72" s="1325"/>
      <c r="H72" s="1238"/>
      <c r="I72" s="1117"/>
      <c r="J72" s="1117"/>
      <c r="K72" s="1117"/>
      <c r="L72" s="1325"/>
      <c r="M72" s="1238"/>
      <c r="N72" s="1117"/>
      <c r="O72" s="1117"/>
      <c r="P72" s="1117"/>
      <c r="Q72" s="1325"/>
      <c r="R72" s="1238"/>
      <c r="S72" s="1117"/>
      <c r="T72" s="1117"/>
      <c r="U72" s="1117"/>
      <c r="V72" s="1325"/>
      <c r="W72" s="1238"/>
      <c r="X72" s="1117"/>
      <c r="Y72" s="1117"/>
      <c r="Z72" s="1117"/>
      <c r="AA72" s="1325"/>
      <c r="AB72" s="1238"/>
      <c r="AC72" s="1117"/>
      <c r="AD72" s="1117"/>
      <c r="AE72" s="1117"/>
      <c r="AF72" s="1325"/>
      <c r="AG72" s="1238"/>
      <c r="AH72" s="1117"/>
      <c r="AI72" s="1117"/>
      <c r="AJ72" s="1117"/>
      <c r="AK72" s="1325"/>
      <c r="AL72" s="1238"/>
      <c r="AM72" s="1117"/>
      <c r="AN72" s="1117"/>
      <c r="AO72" s="1117"/>
      <c r="AP72" s="1325"/>
      <c r="AQ72" s="1238"/>
      <c r="AR72" s="1117"/>
      <c r="AS72" s="1117"/>
      <c r="AT72" s="1117"/>
      <c r="AU72" s="1325"/>
      <c r="AV72" s="1238"/>
      <c r="AW72" s="1117"/>
      <c r="AX72" s="1117"/>
      <c r="AY72" s="1117"/>
      <c r="AZ72" s="1325"/>
      <c r="BA72" s="1238"/>
      <c r="BB72" s="1117"/>
      <c r="BC72" s="1117"/>
      <c r="BD72" s="1117"/>
      <c r="BE72" s="1325"/>
      <c r="BF72" s="1238"/>
      <c r="BG72" s="1117"/>
      <c r="BH72" s="1117"/>
      <c r="BI72" s="1117"/>
      <c r="BJ72" s="1325"/>
      <c r="BK72" s="1238"/>
      <c r="BL72" s="1117"/>
      <c r="BM72" s="1117"/>
      <c r="BN72" s="1117"/>
      <c r="BO72" s="1325"/>
      <c r="BP72" s="1238"/>
      <c r="BQ72" s="1117"/>
      <c r="BR72" s="1117"/>
      <c r="BS72" s="1117"/>
      <c r="BT72" s="1325"/>
      <c r="BU72" s="1238"/>
      <c r="BV72" s="1117"/>
      <c r="BW72" s="1117"/>
      <c r="BX72" s="1117"/>
      <c r="BY72" s="1325"/>
      <c r="BZ72" s="1238"/>
      <c r="CA72" s="1117"/>
      <c r="CB72" s="1117"/>
      <c r="CC72" s="1117"/>
      <c r="CD72" s="893"/>
      <c r="CE72" s="1238"/>
      <c r="CF72" s="1117"/>
      <c r="CG72" s="1117"/>
      <c r="CH72" s="1117"/>
      <c r="CI72" s="893"/>
      <c r="CJ72" s="1238"/>
      <c r="CK72" s="1117"/>
      <c r="CL72" s="1117"/>
      <c r="CM72" s="1117"/>
      <c r="CN72" s="893"/>
      <c r="CO72" s="1238"/>
      <c r="CP72" s="1117"/>
      <c r="CQ72" s="1117"/>
      <c r="CR72" s="1117"/>
      <c r="CS72" s="893"/>
      <c r="CT72" s="892" t="str">
        <f t="shared" ref="CT72:DY72" si="62">IFERROR(CT71/CO71-1,"")</f>
      </c>
      <c r="CU72" s="892" t="str">
        <f t="shared" si="62"/>
      </c>
      <c r="CV72" s="892" t="str">
        <f t="shared" si="62"/>
      </c>
      <c r="CW72" s="892" t="str">
        <f t="shared" si="62"/>
      </c>
      <c r="CX72" s="893" t="str">
        <f t="shared" si="62"/>
      </c>
      <c r="CY72" s="892" t="str">
        <f t="shared" si="62"/>
      </c>
      <c r="CZ72" s="892" t="str">
        <f t="shared" si="62"/>
      </c>
      <c r="DA72" s="892" t="str">
        <f t="shared" si="62"/>
      </c>
      <c r="DB72" s="892" t="str">
        <f t="shared" si="62"/>
      </c>
      <c r="DC72" s="893" t="str">
        <f t="shared" si="62"/>
      </c>
      <c r="DD72" s="892" t="str">
        <f t="shared" si="62"/>
      </c>
      <c r="DE72" s="892" t="str">
        <f t="shared" si="62"/>
      </c>
      <c r="DF72" s="892" t="str">
        <f t="shared" si="62"/>
      </c>
      <c r="DG72" s="892" t="str">
        <f t="shared" si="62"/>
      </c>
      <c r="DH72" s="893" t="str">
        <f t="shared" si="62"/>
      </c>
      <c r="DI72" s="892" t="str">
        <f t="shared" si="62"/>
      </c>
      <c r="DJ72" s="892" t="str">
        <f t="shared" si="62"/>
      </c>
      <c r="DK72" s="892" t="str">
        <f t="shared" si="62"/>
      </c>
      <c r="DL72" s="892">
        <f t="shared" si="62"/>
      </c>
      <c r="DM72" s="893" t="str">
        <f t="shared" si="62"/>
      </c>
      <c r="DN72" s="892">
        <f t="shared" si="62"/>
      </c>
      <c r="DO72" s="892">
        <f t="shared" si="62"/>
      </c>
      <c r="DP72" s="892">
        <f t="shared" si="62"/>
      </c>
      <c r="DQ72" s="892">
        <f t="shared" si="62"/>
      </c>
      <c r="DR72" s="893">
        <f t="shared" si="62"/>
      </c>
      <c r="DS72" s="892">
        <f t="shared" si="62"/>
      </c>
      <c r="DT72" s="892">
        <f t="shared" si="62"/>
      </c>
      <c r="DU72" s="892">
        <f t="shared" si="62"/>
      </c>
      <c r="DV72" s="892">
        <f t="shared" si="62"/>
      </c>
      <c r="DW72" s="893">
        <f t="shared" si="62"/>
      </c>
      <c r="DX72" s="892">
        <f t="shared" si="62"/>
      </c>
      <c r="DY72" s="892">
        <f t="shared" si="62"/>
      </c>
      <c r="DZ72" s="892">
        <f t="shared" ref="DZ72:ET72" si="63">IFERROR(DZ71/DU71-1,"")</f>
      </c>
      <c r="EA72" s="892">
        <f t="shared" si="63"/>
      </c>
      <c r="EB72" s="893">
        <f t="shared" si="63"/>
      </c>
      <c r="EC72" s="892">
        <f t="shared" si="63"/>
      </c>
      <c r="ED72" s="892">
        <f t="shared" si="63"/>
      </c>
      <c r="EE72" s="892">
        <f t="shared" si="63"/>
      </c>
      <c r="EF72" s="892">
        <f t="shared" si="63"/>
      </c>
      <c r="EG72" s="893">
        <f t="shared" si="63"/>
      </c>
      <c r="EH72" s="892">
        <f t="shared" si="63"/>
      </c>
      <c r="EI72" s="892">
        <f t="shared" si="63"/>
      </c>
      <c r="EJ72" s="892">
        <f t="shared" si="63"/>
      </c>
      <c r="EK72" s="892">
        <f t="shared" si="63"/>
      </c>
      <c r="EL72" s="893">
        <f t="shared" si="63"/>
      </c>
      <c r="EM72" s="892">
        <f t="shared" si="63"/>
      </c>
      <c r="EN72" s="892">
        <f t="shared" si="63"/>
      </c>
      <c r="EO72" s="892">
        <f t="shared" si="63"/>
      </c>
      <c r="EP72" s="892">
        <f t="shared" si="63"/>
      </c>
      <c r="EQ72" s="893">
        <f t="shared" si="63"/>
      </c>
      <c r="ER72" s="892">
        <f t="shared" si="63"/>
      </c>
      <c r="ES72" s="892">
        <f t="shared" si="63"/>
      </c>
      <c r="ET72" s="892">
        <f t="shared" si="63"/>
      </c>
      <c r="EU72" s="892">
        <f>IFERROR(EU71/EP71-1,"")</f>
      </c>
      <c r="EV72" s="893">
        <f>IFERROR(EV71/EQ71-1,"")</f>
      </c>
      <c r="EW72" s="892"/>
      <c r="EX72" s="892"/>
      <c r="EY72" s="892"/>
      <c r="EZ72" s="892"/>
      <c r="FA72" s="893"/>
      <c r="FB72" s="892"/>
      <c r="FC72" s="892"/>
      <c r="FD72" s="892"/>
      <c r="FE72" s="892"/>
      <c r="FF72" s="893"/>
      <c r="FG72" s="892"/>
      <c r="FH72" s="892"/>
      <c r="FI72" s="892"/>
      <c r="FJ72" s="892"/>
      <c r="FK72" s="893"/>
      <c r="FL72" s="892"/>
      <c r="FM72" s="892"/>
      <c r="FN72" s="892"/>
      <c r="FO72" s="892"/>
      <c r="FP72" s="893"/>
      <c r="FQ72" s="892"/>
      <c r="FR72" s="892"/>
      <c r="FS72" s="892"/>
      <c r="FT72" s="892"/>
      <c r="FU72" s="893"/>
      <c r="FV72" s="892"/>
      <c r="FW72" s="892"/>
      <c r="FX72" s="892"/>
      <c r="FY72" s="892"/>
      <c r="FZ72" s="893"/>
      <c r="GA72" s="892"/>
      <c r="GB72" s="892"/>
      <c r="GC72" s="892"/>
      <c r="GD72" s="892"/>
      <c r="GE72" s="893"/>
      <c r="GF72" s="892"/>
      <c r="GG72" s="892"/>
      <c r="GH72" s="892"/>
      <c r="GI72" s="892"/>
      <c r="GJ72" s="1199"/>
    </row>
    <row r="73" spans="1:192" ht="12.75" hidden="1" customHeight="1" outlineLevel="1">
      <c r="B73" s="735" t="s">
        <v>197</v>
      </c>
      <c r="C73" s="412"/>
      <c r="D73" s="114"/>
      <c r="E73" s="114"/>
      <c r="F73" s="114"/>
      <c r="G73" s="414"/>
      <c r="H73" s="412"/>
      <c r="I73" s="114"/>
      <c r="J73" s="114"/>
      <c r="K73" s="114"/>
      <c r="L73" s="414"/>
      <c r="M73" s="412"/>
      <c r="N73" s="114"/>
      <c r="O73" s="114"/>
      <c r="P73" s="114"/>
      <c r="Q73" s="414"/>
      <c r="R73" s="412"/>
      <c r="S73" s="114"/>
      <c r="T73" s="114"/>
      <c r="U73" s="114"/>
      <c r="V73" s="414"/>
      <c r="W73" s="412"/>
      <c r="X73" s="114"/>
      <c r="Y73" s="114"/>
      <c r="Z73" s="114"/>
      <c r="AA73" s="414"/>
      <c r="AB73" s="412"/>
      <c r="AC73" s="114"/>
      <c r="AD73" s="114"/>
      <c r="AE73" s="114"/>
      <c r="AF73" s="414"/>
      <c r="AG73" s="412"/>
      <c r="AH73" s="114"/>
      <c r="AI73" s="114"/>
      <c r="AJ73" s="114"/>
      <c r="AK73" s="414"/>
      <c r="AL73" s="412"/>
      <c r="AM73" s="114"/>
      <c r="AN73" s="114"/>
      <c r="AO73" s="114"/>
      <c r="AP73" s="414"/>
      <c r="AQ73" s="412"/>
      <c r="AR73" s="114"/>
      <c r="AS73" s="114"/>
      <c r="AT73" s="114"/>
      <c r="AU73" s="414"/>
      <c r="AV73" s="412"/>
      <c r="AW73" s="114"/>
      <c r="AX73" s="114"/>
      <c r="AY73" s="114"/>
      <c r="AZ73" s="414"/>
      <c r="BA73" s="412"/>
      <c r="BB73" s="114"/>
      <c r="BC73" s="114"/>
      <c r="BD73" s="114"/>
      <c r="BE73" s="414"/>
      <c r="BF73" s="412"/>
      <c r="BG73" s="114"/>
      <c r="BH73" s="114"/>
      <c r="BI73" s="114"/>
      <c r="BJ73" s="414"/>
      <c r="BK73" s="412"/>
      <c r="BL73" s="114"/>
      <c r="BM73" s="114"/>
      <c r="BN73" s="114"/>
      <c r="BO73" s="414"/>
      <c r="BP73" s="412"/>
      <c r="BQ73" s="114"/>
      <c r="BR73" s="114"/>
      <c r="BS73" s="114"/>
      <c r="BT73" s="414"/>
      <c r="BU73" s="412"/>
      <c r="BV73" s="114"/>
      <c r="BW73" s="114"/>
      <c r="BX73" s="114"/>
      <c r="BY73" s="414"/>
      <c r="BZ73" s="412"/>
      <c r="CA73" s="114"/>
      <c r="CB73" s="114"/>
      <c r="CC73" s="114"/>
      <c r="CD73" s="293"/>
      <c r="CE73" s="412"/>
      <c r="CF73" s="114"/>
      <c r="CG73" s="114"/>
      <c r="CH73" s="114"/>
      <c r="CI73" s="293"/>
      <c r="CJ73" s="412"/>
      <c r="CK73" s="114"/>
      <c r="CL73" s="114"/>
      <c r="CM73" s="114"/>
      <c r="CN73" s="293"/>
      <c r="CO73" s="412"/>
      <c r="CP73" s="114"/>
      <c r="CQ73" s="114"/>
      <c r="CR73" s="114"/>
      <c r="CS73" s="293"/>
      <c r="CT73" s="412"/>
      <c r="CU73" s="114"/>
      <c r="CV73" s="114"/>
      <c r="CW73" s="114"/>
      <c r="CX73" s="293"/>
      <c r="CY73" s="484"/>
      <c r="CZ73" s="484"/>
      <c r="DA73" s="484"/>
      <c r="DB73" s="484"/>
      <c r="DC73" s="486"/>
      <c r="DD73" s="484">
        <f>IFERROR(PBP!DD155,"")</f>
      </c>
      <c r="DE73" s="484">
        <f>IFERROR(PBP!DE155,"")</f>
      </c>
      <c r="DF73" s="484">
        <f>IFERROR(PBP!DF155,"")</f>
      </c>
      <c r="DG73" s="484">
        <f>IFERROR(PBP!DG155,"")</f>
      </c>
      <c r="DH73" s="486"/>
      <c r="DI73" s="484">
        <f>IFERROR(PBP!DI155,"")</f>
      </c>
      <c r="DJ73" s="484">
        <f>IFERROR(PBP!DJ155,"")</f>
      </c>
      <c r="DK73" s="484">
        <f>IFERROR(PBP!DK155,"")</f>
      </c>
      <c r="DL73" s="484">
        <f>IFERROR(PBP!DL155,"")</f>
      </c>
      <c r="DM73" s="486"/>
      <c r="DN73" s="484">
        <f>IFERROR(PBP!DN155,"")</f>
      </c>
      <c r="DO73" s="484">
        <f>IFERROR(PBP!DO155,"")</f>
      </c>
      <c r="DP73" s="484">
        <f>IFERROR(PBP!DP155,"")</f>
      </c>
      <c r="DQ73" s="484">
        <f>IFERROR(PBP!DQ155,"")</f>
      </c>
      <c r="DR73" s="486"/>
      <c r="DS73" s="484">
        <f>IFERROR(PBP!DS155,"")</f>
      </c>
      <c r="DT73" s="484">
        <f>IFERROR(PBP!DT155,"")</f>
      </c>
      <c r="DU73" s="484">
        <f>IFERROR(PBP!DU155,"")</f>
      </c>
      <c r="DV73" s="484">
        <f>IFERROR(PBP!DV155,"")</f>
      </c>
      <c r="DW73" s="486"/>
      <c r="DX73" s="484">
        <f>IFERROR(PBP!DX155,"")</f>
      </c>
      <c r="DY73" s="484">
        <f>IFERROR(PBP!DY155,"")</f>
      </c>
      <c r="DZ73" s="484">
        <f>IFERROR(PBP!DZ155,"")</f>
      </c>
      <c r="EA73" s="484">
        <f>IFERROR(PBP!EA155,"")</f>
      </c>
      <c r="EB73" s="486"/>
      <c r="EC73" s="484">
        <f>IFERROR(PBP!EC155,"")</f>
      </c>
      <c r="ED73" s="484">
        <f>IFERROR(PBP!ED155,"")</f>
      </c>
      <c r="EE73" s="484">
        <f>IFERROR(PBP!EE155,"")</f>
      </c>
      <c r="EF73" s="484">
        <f>IFERROR(PBP!EF155,"")</f>
      </c>
      <c r="EG73" s="486"/>
      <c r="EH73" s="484">
        <f>IFERROR(PBP!EH155,"")</f>
      </c>
      <c r="EI73" s="484">
        <f>IFERROR(PBP!EI155,"")</f>
      </c>
      <c r="EJ73" s="484">
        <f>IFERROR(PBP!EJ155,"")</f>
      </c>
      <c r="EK73" s="484">
        <f>IFERROR(PBP!EK155,"")</f>
      </c>
      <c r="EL73" s="486"/>
      <c r="EM73" s="484">
        <f>IFERROR(PBP!EM155,"")</f>
      </c>
      <c r="EN73" s="484">
        <f>IFERROR(PBP!EN155,"")</f>
      </c>
      <c r="EO73" s="484">
        <f>IFERROR(PBP!EO155,"")</f>
      </c>
      <c r="EP73" s="484">
        <f>IFERROR(PBP!EP155,"")</f>
      </c>
      <c r="EQ73" s="486"/>
      <c r="ER73" s="484">
        <f>IFERROR(PBP!ER155,"")</f>
      </c>
      <c r="ES73" s="484">
        <f>IFERROR(PBP!ES155,"")</f>
      </c>
      <c r="ET73" s="484">
        <f>IFERROR(PBP!ET155,"")</f>
      </c>
      <c r="EU73" s="484">
        <f>IFERROR(PBP!EU155,"")</f>
      </c>
      <c r="EV73" s="486"/>
      <c r="EW73" s="484"/>
      <c r="EX73" s="484"/>
      <c r="EY73" s="484"/>
      <c r="EZ73" s="484"/>
      <c r="FA73" s="486"/>
      <c r="FB73" s="484"/>
      <c r="FC73" s="484"/>
      <c r="FD73" s="484"/>
      <c r="FE73" s="484"/>
      <c r="FF73" s="486"/>
      <c r="FG73" s="484"/>
      <c r="FH73" s="484"/>
      <c r="FI73" s="484"/>
      <c r="FJ73" s="484"/>
      <c r="FK73" s="486"/>
      <c r="FL73" s="484"/>
      <c r="FM73" s="484"/>
      <c r="FN73" s="484"/>
      <c r="FO73" s="484"/>
      <c r="FP73" s="486"/>
      <c r="FQ73" s="484"/>
      <c r="FR73" s="484"/>
      <c r="FS73" s="484"/>
      <c r="FT73" s="484"/>
      <c r="FU73" s="486"/>
      <c r="FV73" s="484"/>
      <c r="FW73" s="484"/>
      <c r="FX73" s="484"/>
      <c r="FY73" s="484"/>
      <c r="FZ73" s="486"/>
      <c r="GA73" s="484"/>
      <c r="GB73" s="484"/>
      <c r="GC73" s="484"/>
      <c r="GD73" s="484"/>
      <c r="GE73" s="486"/>
      <c r="GF73" s="484"/>
      <c r="GG73" s="484"/>
      <c r="GH73" s="484"/>
      <c r="GI73" s="484"/>
      <c r="GJ73" s="1340"/>
    </row>
    <row r="74" spans="1:192" ht="12.75" hidden="1" customHeight="1" outlineLevel="1">
      <c r="B74" s="735" t="s">
        <v>36</v>
      </c>
      <c r="C74" s="291"/>
      <c r="D74" s="107"/>
      <c r="E74" s="107"/>
      <c r="F74" s="107"/>
      <c r="G74" s="293"/>
      <c r="H74" s="291"/>
      <c r="I74" s="107"/>
      <c r="J74" s="107"/>
      <c r="K74" s="107"/>
      <c r="L74" s="293"/>
      <c r="M74" s="291"/>
      <c r="N74" s="107"/>
      <c r="O74" s="107"/>
      <c r="P74" s="107"/>
      <c r="Q74" s="293"/>
      <c r="R74" s="291"/>
      <c r="S74" s="107"/>
      <c r="T74" s="107"/>
      <c r="U74" s="107"/>
      <c r="V74" s="293"/>
      <c r="W74" s="291"/>
      <c r="X74" s="107"/>
      <c r="Y74" s="107"/>
      <c r="Z74" s="107"/>
      <c r="AA74" s="293"/>
      <c r="AB74" s="291"/>
      <c r="AC74" s="107"/>
      <c r="AD74" s="107"/>
      <c r="AE74" s="107"/>
      <c r="AF74" s="293"/>
      <c r="AG74" s="291"/>
      <c r="AH74" s="107"/>
      <c r="AI74" s="107"/>
      <c r="AJ74" s="107"/>
      <c r="AK74" s="293"/>
      <c r="AL74" s="291"/>
      <c r="AM74" s="107"/>
      <c r="AN74" s="107"/>
      <c r="AO74" s="107"/>
      <c r="AP74" s="293"/>
      <c r="AQ74" s="291"/>
      <c r="AR74" s="107"/>
      <c r="AS74" s="107"/>
      <c r="AT74" s="107"/>
      <c r="AU74" s="293"/>
      <c r="AV74" s="291"/>
      <c r="AW74" s="107"/>
      <c r="AX74" s="107"/>
      <c r="AY74" s="107"/>
      <c r="AZ74" s="293"/>
      <c r="BA74" s="291"/>
      <c r="BB74" s="107"/>
      <c r="BC74" s="107"/>
      <c r="BD74" s="107"/>
      <c r="BE74" s="293"/>
      <c r="BF74" s="291"/>
      <c r="BG74" s="107"/>
      <c r="BH74" s="107"/>
      <c r="BI74" s="107"/>
      <c r="BJ74" s="293"/>
      <c r="BK74" s="291"/>
      <c r="BL74" s="107"/>
      <c r="BM74" s="107"/>
      <c r="BN74" s="107"/>
      <c r="BO74" s="293"/>
      <c r="BP74" s="291"/>
      <c r="BQ74" s="107"/>
      <c r="BR74" s="107"/>
      <c r="BS74" s="107"/>
      <c r="BT74" s="293"/>
      <c r="BU74" s="291"/>
      <c r="BV74" s="107"/>
      <c r="BW74" s="107"/>
      <c r="BX74" s="107"/>
      <c r="BY74" s="293"/>
      <c r="BZ74" s="291"/>
      <c r="CA74" s="107"/>
      <c r="CB74" s="107"/>
      <c r="CC74" s="107"/>
      <c r="CD74" s="293"/>
      <c r="CE74" s="291"/>
      <c r="CF74" s="107"/>
      <c r="CG74" s="107"/>
      <c r="CH74" s="107"/>
      <c r="CI74" s="293"/>
      <c r="CJ74" s="291"/>
      <c r="CK74" s="107"/>
      <c r="CL74" s="107"/>
      <c r="CM74" s="107"/>
      <c r="CN74" s="293"/>
      <c r="CO74" s="291"/>
      <c r="CP74" s="107"/>
      <c r="CQ74" s="107"/>
      <c r="CR74" s="107"/>
      <c r="CS74" s="293"/>
      <c r="CT74" s="291"/>
      <c r="CU74" s="107"/>
      <c r="CV74" s="107"/>
      <c r="CW74" s="107"/>
      <c r="CX74" s="293"/>
      <c r="CY74" s="291"/>
      <c r="CZ74" s="107"/>
      <c r="DA74" s="107"/>
      <c r="DB74" s="107"/>
      <c r="DC74" s="293"/>
      <c r="DD74" s="291" t="str">
        <f>IFERROR(DD71/DB71-1,"")</f>
      </c>
      <c r="DE74" s="107" t="str">
        <f>IFERROR(DE71/DD71-1,"")</f>
      </c>
      <c r="DF74" s="107" t="str">
        <f>IFERROR(DF71/DE71-1,"")</f>
      </c>
      <c r="DG74" s="107" t="str">
        <f>IFERROR(DG71/DF71-1,"")</f>
      </c>
      <c r="DH74" s="293"/>
      <c r="DI74" s="291">
        <f>IFERROR(DI71/DG71-1,"")</f>
      </c>
      <c r="DJ74" s="107">
        <f>IFERROR(DJ71/DI71-1,"")</f>
      </c>
      <c r="DK74" s="107">
        <f>IFERROR(DK71/DJ71-1,"")</f>
      </c>
      <c r="DL74" s="107">
        <f>IFERROR(DL71/DK71-1,"")</f>
      </c>
      <c r="DM74" s="293"/>
      <c r="DN74" s="291">
        <f>IFERROR(DN71/DL71-1,"")</f>
      </c>
      <c r="DO74" s="107">
        <f>IFERROR(DO71/DN71-1,"")</f>
      </c>
      <c r="DP74" s="107">
        <f>IFERROR(DP71/DO71-1,"")</f>
      </c>
      <c r="DQ74" s="107">
        <f>IFERROR(DQ71/DP71-1,"")</f>
      </c>
      <c r="DR74" s="293"/>
      <c r="DS74" s="291">
        <f>IFERROR(DS71/DQ71-1,"")</f>
      </c>
      <c r="DT74" s="107">
        <f>IFERROR(DT71/DS71-1,"")</f>
      </c>
      <c r="DU74" s="107">
        <f>IFERROR(DU71/DT71-1,"")</f>
      </c>
      <c r="DV74" s="107">
        <f>IFERROR(DV71/DU71-1,"")</f>
      </c>
      <c r="DW74" s="293"/>
      <c r="DX74" s="291">
        <f>IFERROR(DX71/DV71-1,"")</f>
      </c>
      <c r="DY74" s="107">
        <f>IFERROR(DY71/DX71-1,"")</f>
      </c>
      <c r="DZ74" s="107">
        <f>IFERROR(DZ71/DY71-1,"")</f>
      </c>
      <c r="EA74" s="107">
        <f>IFERROR(EA71/DZ71-1,"")</f>
      </c>
      <c r="EB74" s="293"/>
      <c r="EC74" s="291">
        <f>IFERROR(EC71/EA71-1,"")</f>
      </c>
      <c r="ED74" s="107">
        <f>IFERROR(ED71/EC71-1,"")</f>
      </c>
      <c r="EE74" s="107">
        <f>IFERROR(EE71/ED71-1,"")</f>
      </c>
      <c r="EF74" s="107">
        <f>IFERROR(EF71/EE71-1,"")</f>
      </c>
      <c r="EG74" s="293"/>
      <c r="EH74" s="291">
        <f>IFERROR(EH71/EF71-1,"")</f>
      </c>
      <c r="EI74" s="107">
        <f>IFERROR(EI71/EH71-1,"")</f>
      </c>
      <c r="EJ74" s="107">
        <f>IFERROR(EJ71/EI71-1,"")</f>
      </c>
      <c r="EK74" s="107">
        <f>IFERROR(EK71/EJ71-1,"")</f>
      </c>
      <c r="EL74" s="293"/>
      <c r="EM74" s="291">
        <f>IFERROR(EM71/EK71-1,"")</f>
      </c>
      <c r="EN74" s="107">
        <f>IFERROR(EN71/EM71-1,"")</f>
      </c>
      <c r="EO74" s="107">
        <f>IFERROR(EO71/EN71-1,"")</f>
      </c>
      <c r="EP74" s="107">
        <f>IFERROR(EP71/EO71-1,"")</f>
      </c>
      <c r="EQ74" s="293"/>
      <c r="ER74" s="291">
        <f>IFERROR(ER71/EP71-1,"")</f>
      </c>
      <c r="ES74" s="107">
        <f>IFERROR(ES71/ER71-1,"")</f>
      </c>
      <c r="ET74" s="107">
        <f>IFERROR(ET71/ES71-1,"")</f>
      </c>
      <c r="EU74" s="107">
        <f>IFERROR(EU71/ET71-1,"")</f>
      </c>
      <c r="EV74" s="293"/>
      <c r="EW74" s="291"/>
      <c r="EX74" s="107"/>
      <c r="EY74" s="107"/>
      <c r="EZ74" s="107"/>
      <c r="FA74" s="293"/>
      <c r="FB74" s="291"/>
      <c r="FC74" s="107"/>
      <c r="FD74" s="107"/>
      <c r="FE74" s="107"/>
      <c r="FF74" s="293"/>
      <c r="FG74" s="291"/>
      <c r="FH74" s="107"/>
      <c r="FI74" s="107"/>
      <c r="FJ74" s="107"/>
      <c r="FK74" s="293"/>
      <c r="FL74" s="291"/>
      <c r="FM74" s="107"/>
      <c r="FN74" s="107"/>
      <c r="FO74" s="107"/>
      <c r="FP74" s="293"/>
      <c r="FQ74" s="291"/>
      <c r="FR74" s="107"/>
      <c r="FS74" s="107"/>
      <c r="FT74" s="107"/>
      <c r="FU74" s="293"/>
      <c r="FV74" s="291"/>
      <c r="FW74" s="107"/>
      <c r="FX74" s="107"/>
      <c r="FY74" s="107"/>
      <c r="FZ74" s="293"/>
      <c r="GA74" s="291"/>
      <c r="GB74" s="107"/>
      <c r="GC74" s="107"/>
      <c r="GD74" s="107"/>
      <c r="GE74" s="293"/>
      <c r="GF74" s="291"/>
      <c r="GG74" s="107"/>
      <c r="GH74" s="107"/>
      <c r="GI74" s="107"/>
      <c r="GJ74" s="382"/>
    </row>
    <row r="75" spans="1:192" ht="12.75" hidden="1" customHeight="1" outlineLevel="1">
      <c r="B75" s="735" t="s">
        <v>243</v>
      </c>
      <c r="C75" s="291"/>
      <c r="D75" s="107"/>
      <c r="E75" s="107"/>
      <c r="F75" s="107"/>
      <c r="G75" s="293"/>
      <c r="H75" s="291"/>
      <c r="I75" s="107"/>
      <c r="J75" s="107"/>
      <c r="K75" s="107"/>
      <c r="L75" s="293"/>
      <c r="M75" s="291"/>
      <c r="N75" s="107"/>
      <c r="O75" s="107"/>
      <c r="P75" s="107"/>
      <c r="Q75" s="293"/>
      <c r="R75" s="291"/>
      <c r="S75" s="107"/>
      <c r="T75" s="107"/>
      <c r="U75" s="107"/>
      <c r="V75" s="293"/>
      <c r="W75" s="291"/>
      <c r="X75" s="107"/>
      <c r="Y75" s="107"/>
      <c r="Z75" s="107"/>
      <c r="AA75" s="293"/>
      <c r="AB75" s="291"/>
      <c r="AC75" s="107"/>
      <c r="AD75" s="107"/>
      <c r="AE75" s="107"/>
      <c r="AF75" s="293"/>
      <c r="AG75" s="291"/>
      <c r="AH75" s="107"/>
      <c r="AI75" s="107"/>
      <c r="AJ75" s="107"/>
      <c r="AK75" s="293"/>
      <c r="AL75" s="291"/>
      <c r="AM75" s="107"/>
      <c r="AN75" s="107"/>
      <c r="AO75" s="107"/>
      <c r="AP75" s="293"/>
      <c r="AQ75" s="291"/>
      <c r="AR75" s="107"/>
      <c r="AS75" s="107"/>
      <c r="AT75" s="107"/>
      <c r="AU75" s="293"/>
      <c r="AV75" s="291"/>
      <c r="AW75" s="107"/>
      <c r="AX75" s="107"/>
      <c r="AY75" s="107"/>
      <c r="AZ75" s="293"/>
      <c r="BA75" s="291"/>
      <c r="BB75" s="107"/>
      <c r="BC75" s="107"/>
      <c r="BD75" s="107"/>
      <c r="BE75" s="293"/>
      <c r="BF75" s="291"/>
      <c r="BG75" s="107"/>
      <c r="BH75" s="107"/>
      <c r="BI75" s="107"/>
      <c r="BJ75" s="293"/>
      <c r="BK75" s="291"/>
      <c r="BL75" s="107"/>
      <c r="BM75" s="107"/>
      <c r="BN75" s="107"/>
      <c r="BO75" s="293"/>
      <c r="BP75" s="291"/>
      <c r="BQ75" s="107"/>
      <c r="BR75" s="107"/>
      <c r="BS75" s="107"/>
      <c r="BT75" s="293"/>
      <c r="BU75" s="291"/>
      <c r="BV75" s="107"/>
      <c r="BW75" s="107"/>
      <c r="BX75" s="107"/>
      <c r="BY75" s="293"/>
      <c r="BZ75" s="291"/>
      <c r="CA75" s="107"/>
      <c r="CB75" s="107"/>
      <c r="CC75" s="107"/>
      <c r="CD75" s="293"/>
      <c r="CE75" s="291"/>
      <c r="CF75" s="107"/>
      <c r="CG75" s="107"/>
      <c r="CH75" s="107"/>
      <c r="CI75" s="293"/>
      <c r="CJ75" s="291"/>
      <c r="CK75" s="107"/>
      <c r="CL75" s="107"/>
      <c r="CM75" s="107"/>
      <c r="CN75" s="293"/>
      <c r="CO75" s="291"/>
      <c r="CP75" s="107"/>
      <c r="CQ75" s="107"/>
      <c r="CR75" s="107"/>
      <c r="CS75" s="293"/>
      <c r="CT75" s="291"/>
      <c r="CU75" s="107"/>
      <c r="CV75" s="107"/>
      <c r="CW75" s="107"/>
      <c r="CX75" s="293"/>
      <c r="CY75" s="291"/>
      <c r="CZ75" s="107"/>
      <c r="DA75" s="107"/>
      <c r="DB75" s="107"/>
      <c r="DC75" s="293"/>
      <c r="DD75" s="447"/>
      <c r="DE75" s="447"/>
      <c r="DF75" s="447"/>
      <c r="DG75" s="447">
        <f t="shared" ref="DG75:EL75" si="64">DG71-DB71</f>
      </c>
      <c r="DH75" s="462">
        <f t="shared" si="64"/>
      </c>
      <c r="DI75" s="447">
        <f t="shared" si="64"/>
      </c>
      <c r="DJ75" s="447">
        <f t="shared" si="64"/>
      </c>
      <c r="DK75" s="447">
        <f t="shared" si="64"/>
      </c>
      <c r="DL75" s="447">
        <f t="shared" si="64"/>
      </c>
      <c r="DM75" s="462">
        <f t="shared" si="64"/>
      </c>
      <c r="DN75" s="447">
        <f t="shared" si="64"/>
      </c>
      <c r="DO75" s="447">
        <f t="shared" si="64"/>
      </c>
      <c r="DP75" s="447">
        <f t="shared" si="64"/>
      </c>
      <c r="DQ75" s="447">
        <f t="shared" si="64"/>
      </c>
      <c r="DR75" s="462">
        <f t="shared" si="64"/>
      </c>
      <c r="DS75" s="447">
        <f t="shared" si="64"/>
      </c>
      <c r="DT75" s="447">
        <f t="shared" si="64"/>
      </c>
      <c r="DU75" s="447">
        <f t="shared" si="64"/>
      </c>
      <c r="DV75" s="447">
        <f t="shared" si="64"/>
      </c>
      <c r="DW75" s="462">
        <f t="shared" si="64"/>
      </c>
      <c r="DX75" s="447">
        <f t="shared" si="64"/>
      </c>
      <c r="DY75" s="447">
        <f t="shared" si="64"/>
      </c>
      <c r="DZ75" s="447">
        <f t="shared" si="64"/>
      </c>
      <c r="EA75" s="447">
        <f t="shared" si="64"/>
      </c>
      <c r="EB75" s="462">
        <f t="shared" si="64"/>
      </c>
      <c r="EC75" s="447">
        <f t="shared" si="64"/>
      </c>
      <c r="ED75" s="447">
        <f t="shared" si="64"/>
      </c>
      <c r="EE75" s="447">
        <f t="shared" si="64"/>
      </c>
      <c r="EF75" s="447">
        <f t="shared" si="64"/>
      </c>
      <c r="EG75" s="462">
        <f t="shared" si="64"/>
      </c>
      <c r="EH75" s="447">
        <f t="shared" si="64"/>
      </c>
      <c r="EI75" s="447">
        <f t="shared" si="64"/>
      </c>
      <c r="EJ75" s="447">
        <f t="shared" si="64"/>
      </c>
      <c r="EK75" s="447">
        <f t="shared" si="64"/>
      </c>
      <c r="EL75" s="462">
        <f t="shared" si="64"/>
      </c>
      <c r="EM75" s="447">
        <f t="shared" ref="EM75:ET75" si="65">EM71-EH71</f>
      </c>
      <c r="EN75" s="447">
        <f t="shared" si="65"/>
      </c>
      <c r="EO75" s="447">
        <f t="shared" si="65"/>
      </c>
      <c r="EP75" s="447">
        <f t="shared" si="65"/>
      </c>
      <c r="EQ75" s="462">
        <f t="shared" si="65"/>
      </c>
      <c r="ER75" s="447">
        <f t="shared" si="65"/>
      </c>
      <c r="ES75" s="447">
        <f t="shared" si="65"/>
      </c>
      <c r="ET75" s="447">
        <f t="shared" si="65"/>
      </c>
      <c r="EU75" s="447">
        <f>EU71-EP71</f>
      </c>
      <c r="EV75" s="462">
        <f>EV71-EQ71</f>
      </c>
      <c r="EW75" s="447"/>
      <c r="EX75" s="447"/>
      <c r="EY75" s="447"/>
      <c r="EZ75" s="447"/>
      <c r="FA75" s="462"/>
      <c r="FB75" s="447"/>
      <c r="FC75" s="447"/>
      <c r="FD75" s="447"/>
      <c r="FE75" s="447"/>
      <c r="FF75" s="462"/>
      <c r="FG75" s="447"/>
      <c r="FH75" s="447"/>
      <c r="FI75" s="447"/>
      <c r="FJ75" s="447"/>
      <c r="FK75" s="462"/>
      <c r="FL75" s="447"/>
      <c r="FM75" s="447"/>
      <c r="FN75" s="447"/>
      <c r="FO75" s="447"/>
      <c r="FP75" s="462"/>
      <c r="FQ75" s="447"/>
      <c r="FR75" s="447"/>
      <c r="FS75" s="447"/>
      <c r="FT75" s="447"/>
      <c r="FU75" s="462"/>
      <c r="FV75" s="447"/>
      <c r="FW75" s="447"/>
      <c r="FX75" s="447"/>
      <c r="FY75" s="447"/>
      <c r="FZ75" s="462"/>
      <c r="GA75" s="447"/>
      <c r="GB75" s="447"/>
      <c r="GC75" s="447"/>
      <c r="GD75" s="447"/>
      <c r="GE75" s="462"/>
      <c r="GF75" s="447"/>
      <c r="GG75" s="447"/>
      <c r="GH75" s="447"/>
      <c r="GI75" s="447"/>
      <c r="GJ75" s="497"/>
    </row>
    <row r="76" spans="1:192" ht="12.75" hidden="1" customHeight="1" outlineLevel="1">
      <c r="B76" s="735" t="s">
        <v>244</v>
      </c>
      <c r="C76" s="291"/>
      <c r="D76" s="107"/>
      <c r="E76" s="107"/>
      <c r="F76" s="107"/>
      <c r="G76" s="293"/>
      <c r="H76" s="291"/>
      <c r="I76" s="107"/>
      <c r="J76" s="107"/>
      <c r="K76" s="107"/>
      <c r="L76" s="293"/>
      <c r="M76" s="291"/>
      <c r="N76" s="107"/>
      <c r="O76" s="107"/>
      <c r="P76" s="107"/>
      <c r="Q76" s="293"/>
      <c r="R76" s="291"/>
      <c r="S76" s="107"/>
      <c r="T76" s="107"/>
      <c r="U76" s="107"/>
      <c r="V76" s="293"/>
      <c r="W76" s="291"/>
      <c r="X76" s="107"/>
      <c r="Y76" s="107"/>
      <c r="Z76" s="107"/>
      <c r="AA76" s="293"/>
      <c r="AB76" s="291"/>
      <c r="AC76" s="107"/>
      <c r="AD76" s="107"/>
      <c r="AE76" s="107"/>
      <c r="AF76" s="293"/>
      <c r="AG76" s="291"/>
      <c r="AH76" s="107"/>
      <c r="AI76" s="107"/>
      <c r="AJ76" s="107"/>
      <c r="AK76" s="293"/>
      <c r="AL76" s="291"/>
      <c r="AM76" s="107"/>
      <c r="AN76" s="107"/>
      <c r="AO76" s="107"/>
      <c r="AP76" s="293"/>
      <c r="AQ76" s="291"/>
      <c r="AR76" s="107"/>
      <c r="AS76" s="107"/>
      <c r="AT76" s="107"/>
      <c r="AU76" s="293"/>
      <c r="AV76" s="291"/>
      <c r="AW76" s="107"/>
      <c r="AX76" s="107"/>
      <c r="AY76" s="107"/>
      <c r="AZ76" s="293"/>
      <c r="BA76" s="291"/>
      <c r="BB76" s="107"/>
      <c r="BC76" s="107"/>
      <c r="BD76" s="107"/>
      <c r="BE76" s="293"/>
      <c r="BF76" s="291"/>
      <c r="BG76" s="107"/>
      <c r="BH76" s="107"/>
      <c r="BI76" s="107"/>
      <c r="BJ76" s="293"/>
      <c r="BK76" s="291"/>
      <c r="BL76" s="107"/>
      <c r="BM76" s="107"/>
      <c r="BN76" s="107"/>
      <c r="BO76" s="293"/>
      <c r="BP76" s="291"/>
      <c r="BQ76" s="107"/>
      <c r="BR76" s="107"/>
      <c r="BS76" s="107"/>
      <c r="BT76" s="293"/>
      <c r="BU76" s="291"/>
      <c r="BV76" s="107"/>
      <c r="BW76" s="107"/>
      <c r="BX76" s="107"/>
      <c r="BY76" s="293"/>
      <c r="BZ76" s="291"/>
      <c r="CA76" s="107"/>
      <c r="CB76" s="107"/>
      <c r="CC76" s="107"/>
      <c r="CD76" s="293"/>
      <c r="CE76" s="291"/>
      <c r="CF76" s="107"/>
      <c r="CG76" s="107"/>
      <c r="CH76" s="107"/>
      <c r="CI76" s="293"/>
      <c r="CJ76" s="291"/>
      <c r="CK76" s="107"/>
      <c r="CL76" s="107"/>
      <c r="CM76" s="107"/>
      <c r="CN76" s="293"/>
      <c r="CO76" s="291"/>
      <c r="CP76" s="107"/>
      <c r="CQ76" s="107"/>
      <c r="CR76" s="107"/>
      <c r="CS76" s="293"/>
      <c r="CT76" s="291"/>
      <c r="CU76" s="107"/>
      <c r="CV76" s="107"/>
      <c r="CW76" s="107"/>
      <c r="CX76" s="293"/>
      <c r="CY76" s="291"/>
      <c r="CZ76" s="107"/>
      <c r="DA76" s="107"/>
      <c r="DB76" s="107"/>
      <c r="DC76" s="293"/>
      <c r="DD76" s="447">
        <f>DD71-DB71</f>
      </c>
      <c r="DE76" s="458">
        <f>DE71-DD71</f>
      </c>
      <c r="DF76" s="458">
        <f>DF71-DE71</f>
      </c>
      <c r="DG76" s="458">
        <f>DG71-DF71</f>
      </c>
      <c r="DH76" s="292"/>
      <c r="DI76" s="447">
        <f>DI71-DG71</f>
      </c>
      <c r="DJ76" s="458">
        <f>DJ71-DI71</f>
      </c>
      <c r="DK76" s="458">
        <f>DK71-DJ71</f>
      </c>
      <c r="DL76" s="458">
        <f>DL71-DK71</f>
      </c>
      <c r="DM76" s="292"/>
      <c r="DN76" s="447">
        <f>DN71-DL71</f>
      </c>
      <c r="DO76" s="458">
        <f>DO71-DN71</f>
      </c>
      <c r="DP76" s="458">
        <f>DP71-DO71</f>
      </c>
      <c r="DQ76" s="458">
        <f>DQ71-DP71</f>
      </c>
      <c r="DR76" s="292"/>
      <c r="DS76" s="447">
        <f>DS71-DQ71</f>
      </c>
      <c r="DT76" s="458">
        <f>DT71-DS71</f>
      </c>
      <c r="DU76" s="458">
        <f>DU71-DT71</f>
      </c>
      <c r="DV76" s="458">
        <f>DV71-DU71</f>
      </c>
      <c r="DW76" s="292"/>
      <c r="DX76" s="447">
        <f>DX71-DV71</f>
      </c>
      <c r="DY76" s="458">
        <f>DY71-DX71</f>
      </c>
      <c r="DZ76" s="458">
        <f>DZ71-DY71</f>
      </c>
      <c r="EA76" s="458">
        <f>EA71-DZ71</f>
      </c>
      <c r="EB76" s="292"/>
      <c r="EC76" s="447">
        <f>EC71-EA71</f>
      </c>
      <c r="ED76" s="458">
        <f>ED71-EC71</f>
      </c>
      <c r="EE76" s="458">
        <f>EE71-ED71</f>
      </c>
      <c r="EF76" s="458">
        <f>EF71-EE71</f>
      </c>
      <c r="EG76" s="292"/>
      <c r="EH76" s="447">
        <f>EH71-EF71</f>
      </c>
      <c r="EI76" s="458">
        <f>EI71-EH71</f>
      </c>
      <c r="EJ76" s="458">
        <f>EJ71-EI71</f>
      </c>
      <c r="EK76" s="458">
        <f>EK71-EJ71</f>
      </c>
      <c r="EL76" s="292"/>
      <c r="EM76" s="447">
        <f>EM71-EK71</f>
      </c>
      <c r="EN76" s="458">
        <f>EN71-EM71</f>
      </c>
      <c r="EO76" s="458">
        <f>EO71-EN71</f>
      </c>
      <c r="EP76" s="458">
        <f>EP71-EO71</f>
      </c>
      <c r="EQ76" s="292"/>
      <c r="ER76" s="447">
        <f>ER71-EP71</f>
      </c>
      <c r="ES76" s="458">
        <f>ES71-ER71</f>
      </c>
      <c r="ET76" s="458">
        <f>ET71-ES71</f>
      </c>
      <c r="EU76" s="458">
        <f>EU71-ET71</f>
      </c>
      <c r="EV76" s="292"/>
      <c r="EW76" s="447"/>
      <c r="EX76" s="458"/>
      <c r="EY76" s="458"/>
      <c r="EZ76" s="458"/>
      <c r="FA76" s="292"/>
      <c r="FB76" s="447"/>
      <c r="FC76" s="458"/>
      <c r="FD76" s="458"/>
      <c r="FE76" s="458"/>
      <c r="FF76" s="292"/>
      <c r="FG76" s="447"/>
      <c r="FH76" s="458"/>
      <c r="FI76" s="458"/>
      <c r="FJ76" s="458"/>
      <c r="FK76" s="292"/>
      <c r="FL76" s="447"/>
      <c r="FM76" s="458"/>
      <c r="FN76" s="458"/>
      <c r="FO76" s="458"/>
      <c r="FP76" s="292"/>
      <c r="FQ76" s="447"/>
      <c r="FR76" s="458"/>
      <c r="FS76" s="458"/>
      <c r="FT76" s="458"/>
      <c r="FU76" s="292"/>
      <c r="FV76" s="447"/>
      <c r="FW76" s="458"/>
      <c r="FX76" s="458"/>
      <c r="FY76" s="458"/>
      <c r="FZ76" s="292"/>
      <c r="GA76" s="447"/>
      <c r="GB76" s="458"/>
      <c r="GC76" s="458"/>
      <c r="GD76" s="458"/>
      <c r="GE76" s="292"/>
      <c r="GF76" s="447"/>
      <c r="GG76" s="458"/>
      <c r="GH76" s="458"/>
      <c r="GI76" s="458"/>
      <c r="GJ76" s="384"/>
    </row>
    <row r="77" spans="1:192" ht="12.75" hidden="1" customHeight="1" outlineLevel="1">
      <c r="B77" s="735" t="s">
        <v>395</v>
      </c>
      <c r="C77" s="291"/>
      <c r="D77" s="107"/>
      <c r="E77" s="107"/>
      <c r="F77" s="107"/>
      <c r="G77" s="293"/>
      <c r="H77" s="291"/>
      <c r="I77" s="107"/>
      <c r="J77" s="107"/>
      <c r="K77" s="107"/>
      <c r="L77" s="293"/>
      <c r="M77" s="291"/>
      <c r="N77" s="107"/>
      <c r="O77" s="107"/>
      <c r="P77" s="107"/>
      <c r="Q77" s="293"/>
      <c r="R77" s="291"/>
      <c r="S77" s="107"/>
      <c r="T77" s="107"/>
      <c r="U77" s="107"/>
      <c r="V77" s="293"/>
      <c r="W77" s="291"/>
      <c r="X77" s="107"/>
      <c r="Y77" s="107"/>
      <c r="Z77" s="107"/>
      <c r="AA77" s="293"/>
      <c r="AB77" s="291"/>
      <c r="AC77" s="107"/>
      <c r="AD77" s="107"/>
      <c r="AE77" s="107"/>
      <c r="AF77" s="293"/>
      <c r="AG77" s="291"/>
      <c r="AH77" s="107"/>
      <c r="AI77" s="107"/>
      <c r="AJ77" s="107"/>
      <c r="AK77" s="293"/>
      <c r="AL77" s="291"/>
      <c r="AM77" s="107"/>
      <c r="AN77" s="107"/>
      <c r="AO77" s="107"/>
      <c r="AP77" s="293"/>
      <c r="AQ77" s="291"/>
      <c r="AR77" s="107"/>
      <c r="AS77" s="107"/>
      <c r="AT77" s="107"/>
      <c r="AU77" s="293"/>
      <c r="AV77" s="291"/>
      <c r="AW77" s="107"/>
      <c r="AX77" s="107"/>
      <c r="AY77" s="107"/>
      <c r="AZ77" s="293"/>
      <c r="BA77" s="291"/>
      <c r="BB77" s="107"/>
      <c r="BC77" s="107"/>
      <c r="BD77" s="107"/>
      <c r="BE77" s="293"/>
      <c r="BF77" s="291"/>
      <c r="BG77" s="107"/>
      <c r="BH77" s="107"/>
      <c r="BI77" s="107"/>
      <c r="BJ77" s="293"/>
      <c r="BK77" s="291"/>
      <c r="BL77" s="107"/>
      <c r="BM77" s="107"/>
      <c r="BN77" s="107"/>
      <c r="BO77" s="293"/>
      <c r="BP77" s="291"/>
      <c r="BQ77" s="107"/>
      <c r="BR77" s="107"/>
      <c r="BS77" s="107"/>
      <c r="BT77" s="293"/>
      <c r="BU77" s="291"/>
      <c r="BV77" s="107"/>
      <c r="BW77" s="107"/>
      <c r="BX77" s="107"/>
      <c r="BY77" s="293"/>
      <c r="BZ77" s="291"/>
      <c r="CA77" s="107"/>
      <c r="CB77" s="107"/>
      <c r="CC77" s="107"/>
      <c r="CD77" s="293"/>
      <c r="CE77" s="291"/>
      <c r="CF77" s="107"/>
      <c r="CG77" s="107"/>
      <c r="CH77" s="107"/>
      <c r="CI77" s="293"/>
      <c r="CJ77" s="291"/>
      <c r="CK77" s="107"/>
      <c r="CL77" s="107"/>
      <c r="CM77" s="107"/>
      <c r="CN77" s="293"/>
      <c r="CO77" s="291"/>
      <c r="CP77" s="107"/>
      <c r="CQ77" s="107"/>
      <c r="CR77" s="107"/>
      <c r="CS77" s="293"/>
      <c r="CT77" s="291"/>
      <c r="CU77" s="107"/>
      <c r="CV77" s="107"/>
      <c r="CW77" s="107"/>
      <c r="CX77" s="293"/>
      <c r="CY77" s="291"/>
      <c r="CZ77" s="107"/>
      <c r="DA77" s="107"/>
      <c r="DB77" s="291">
        <f t="shared" ref="DB77:EQ77" si="66">DB71/DB87</f>
      </c>
      <c r="DC77" s="293"/>
      <c r="DD77" s="291">
        <f t="shared" si="66"/>
      </c>
      <c r="DE77" s="291">
        <f t="shared" si="66"/>
      </c>
      <c r="DF77" s="291">
        <f t="shared" si="66"/>
      </c>
      <c r="DG77" s="291">
        <f t="shared" si="66"/>
      </c>
      <c r="DH77" s="293">
        <f t="shared" si="66"/>
      </c>
      <c r="DI77" s="291">
        <f t="shared" si="66"/>
      </c>
      <c r="DJ77" s="291">
        <f t="shared" si="66"/>
      </c>
      <c r="DK77" s="291">
        <f t="shared" si="66"/>
      </c>
      <c r="DL77" s="291">
        <f t="shared" si="66"/>
      </c>
      <c r="DM77" s="293">
        <f t="shared" si="66"/>
      </c>
      <c r="DN77" s="291">
        <f t="shared" si="66"/>
      </c>
      <c r="DO77" s="291">
        <f t="shared" si="66"/>
      </c>
      <c r="DP77" s="291">
        <f t="shared" si="66"/>
      </c>
      <c r="DQ77" s="291">
        <f t="shared" si="66"/>
      </c>
      <c r="DR77" s="293">
        <f t="shared" si="66"/>
      </c>
      <c r="DS77" s="291">
        <f t="shared" si="66"/>
      </c>
      <c r="DT77" s="291">
        <f t="shared" si="66"/>
      </c>
      <c r="DU77" s="291">
        <f t="shared" si="66"/>
      </c>
      <c r="DV77" s="291">
        <f t="shared" si="66"/>
      </c>
      <c r="DW77" s="293">
        <f t="shared" si="66"/>
      </c>
      <c r="DX77" s="291">
        <f t="shared" si="66"/>
      </c>
      <c r="DY77" s="291">
        <f t="shared" si="66"/>
      </c>
      <c r="DZ77" s="291">
        <f t="shared" si="66"/>
      </c>
      <c r="EA77" s="291">
        <f t="shared" si="66"/>
      </c>
      <c r="EB77" s="293">
        <f t="shared" si="66"/>
      </c>
      <c r="EC77" s="291">
        <f t="shared" si="66"/>
      </c>
      <c r="ED77" s="291">
        <f t="shared" si="66"/>
      </c>
      <c r="EE77" s="291">
        <f t="shared" si="66"/>
      </c>
      <c r="EF77" s="291">
        <f t="shared" si="66"/>
      </c>
      <c r="EG77" s="293">
        <f t="shared" si="66"/>
      </c>
      <c r="EH77" s="291">
        <f t="shared" si="66"/>
      </c>
      <c r="EI77" s="291">
        <f t="shared" si="66"/>
      </c>
      <c r="EJ77" s="291">
        <f t="shared" si="66"/>
      </c>
      <c r="EK77" s="291">
        <f t="shared" si="66"/>
      </c>
      <c r="EL77" s="293">
        <f t="shared" si="66"/>
      </c>
      <c r="EM77" s="291">
        <f t="shared" si="66"/>
      </c>
      <c r="EN77" s="291">
        <f t="shared" si="66"/>
      </c>
      <c r="EO77" s="291">
        <f t="shared" si="66"/>
      </c>
      <c r="EP77" s="291">
        <f t="shared" si="66"/>
      </c>
      <c r="EQ77" s="293">
        <f t="shared" si="66"/>
      </c>
      <c r="ER77" s="291">
        <f t="shared" ref="ER77:ES77" si="67">ER71/ER87</f>
      </c>
      <c r="ES77" s="291">
        <f t="shared" si="67"/>
      </c>
      <c r="ET77" s="291">
        <f>ET71/ET87</f>
      </c>
      <c r="EU77" s="291">
        <f>EU71/EU87</f>
      </c>
      <c r="EV77" s="293">
        <f>EV71/EV87</f>
      </c>
      <c r="EW77" s="291"/>
      <c r="EX77" s="291"/>
      <c r="EY77" s="291"/>
      <c r="EZ77" s="291"/>
      <c r="FA77" s="293"/>
      <c r="FB77" s="291"/>
      <c r="FC77" s="291"/>
      <c r="FD77" s="291"/>
      <c r="FE77" s="291"/>
      <c r="FF77" s="293"/>
      <c r="FG77" s="291"/>
      <c r="FH77" s="291"/>
      <c r="FI77" s="291"/>
      <c r="FJ77" s="291"/>
      <c r="FK77" s="293"/>
      <c r="FL77" s="291"/>
      <c r="FM77" s="291"/>
      <c r="FN77" s="291"/>
      <c r="FO77" s="291"/>
      <c r="FP77" s="293"/>
      <c r="FQ77" s="291"/>
      <c r="FR77" s="291"/>
      <c r="FS77" s="291"/>
      <c r="FT77" s="291"/>
      <c r="FU77" s="293"/>
      <c r="FV77" s="291"/>
      <c r="FW77" s="291"/>
      <c r="FX77" s="291"/>
      <c r="FY77" s="291"/>
      <c r="FZ77" s="293"/>
      <c r="GA77" s="291"/>
      <c r="GB77" s="291"/>
      <c r="GC77" s="291"/>
      <c r="GD77" s="291"/>
      <c r="GE77" s="293"/>
      <c r="GF77" s="291"/>
      <c r="GG77" s="291"/>
      <c r="GH77" s="291"/>
      <c r="GI77" s="291"/>
      <c r="GJ77" s="382"/>
    </row>
    <row r="78" spans="1:192" ht="12.75" hidden="1" customHeight="1" outlineLevel="1">
      <c r="B78" s="733"/>
      <c r="C78" s="294"/>
      <c r="D78" s="295"/>
      <c r="E78" s="295"/>
      <c r="F78" s="295"/>
      <c r="G78" s="296"/>
      <c r="H78" s="294"/>
      <c r="I78" s="295"/>
      <c r="J78" s="295"/>
      <c r="K78" s="295"/>
      <c r="L78" s="296"/>
      <c r="M78" s="294"/>
      <c r="N78" s="295"/>
      <c r="O78" s="295"/>
      <c r="P78" s="295"/>
      <c r="Q78" s="296"/>
      <c r="R78" s="294"/>
      <c r="S78" s="295"/>
      <c r="T78" s="295"/>
      <c r="U78" s="295"/>
      <c r="V78" s="296"/>
      <c r="W78" s="294"/>
      <c r="X78" s="295"/>
      <c r="Y78" s="295"/>
      <c r="Z78" s="295"/>
      <c r="AA78" s="296"/>
      <c r="AB78" s="294"/>
      <c r="AC78" s="295"/>
      <c r="AD78" s="295"/>
      <c r="AE78" s="295"/>
      <c r="AF78" s="296"/>
      <c r="AG78" s="294"/>
      <c r="AH78" s="295"/>
      <c r="AI78" s="295"/>
      <c r="AJ78" s="295"/>
      <c r="AK78" s="296"/>
      <c r="AL78" s="294"/>
      <c r="AM78" s="295"/>
      <c r="AN78" s="295"/>
      <c r="AO78" s="295"/>
      <c r="AP78" s="296"/>
      <c r="AQ78" s="294"/>
      <c r="AR78" s="295"/>
      <c r="AS78" s="295"/>
      <c r="AT78" s="295"/>
      <c r="AU78" s="296"/>
      <c r="AV78" s="294"/>
      <c r="AW78" s="295"/>
      <c r="AX78" s="295"/>
      <c r="AY78" s="295"/>
      <c r="AZ78" s="296"/>
      <c r="BA78" s="294"/>
      <c r="BB78" s="295"/>
      <c r="BC78" s="295"/>
      <c r="BD78" s="295"/>
      <c r="BE78" s="296"/>
      <c r="BF78" s="294"/>
      <c r="BG78" s="295"/>
      <c r="BH78" s="295"/>
      <c r="BI78" s="295"/>
      <c r="BJ78" s="296"/>
      <c r="BK78" s="294"/>
      <c r="BL78" s="295"/>
      <c r="BM78" s="295"/>
      <c r="BN78" s="295"/>
      <c r="BO78" s="296"/>
      <c r="BP78" s="294"/>
      <c r="BQ78" s="295"/>
      <c r="BR78" s="295"/>
      <c r="BS78" s="295"/>
      <c r="BT78" s="296"/>
      <c r="BU78" s="294"/>
      <c r="BV78" s="295"/>
      <c r="BW78" s="295"/>
      <c r="BX78" s="295"/>
      <c r="BY78" s="296"/>
      <c r="BZ78" s="294"/>
      <c r="CA78" s="295"/>
      <c r="CB78" s="295"/>
      <c r="CC78" s="295"/>
      <c r="CD78" s="293"/>
      <c r="CE78" s="294"/>
      <c r="CF78" s="295"/>
      <c r="CG78" s="295"/>
      <c r="CH78" s="295"/>
      <c r="CI78" s="293"/>
      <c r="CJ78" s="294"/>
      <c r="CK78" s="295"/>
      <c r="CL78" s="295"/>
      <c r="CM78" s="295"/>
      <c r="CN78" s="293"/>
      <c r="CO78" s="294"/>
      <c r="CP78" s="295"/>
      <c r="CQ78" s="295"/>
      <c r="CR78" s="295"/>
      <c r="CS78" s="293"/>
      <c r="CT78" s="294"/>
      <c r="CU78" s="295"/>
      <c r="CV78" s="295"/>
      <c r="CW78" s="295"/>
      <c r="CX78" s="293"/>
      <c r="CY78" s="294"/>
      <c r="CZ78" s="295"/>
      <c r="DA78" s="295"/>
      <c r="DB78" s="295"/>
      <c r="DC78" s="293"/>
      <c r="DD78" s="294"/>
      <c r="DE78" s="295"/>
      <c r="DF78" s="295"/>
      <c r="DG78" s="295"/>
      <c r="DH78" s="293"/>
      <c r="DI78" s="294"/>
      <c r="DJ78" s="295"/>
      <c r="DK78" s="295"/>
      <c r="DL78" s="295"/>
      <c r="DM78" s="293"/>
      <c r="DN78" s="294"/>
      <c r="DO78" s="295"/>
      <c r="DP78" s="295"/>
      <c r="DQ78" s="295"/>
      <c r="DR78" s="293"/>
      <c r="DS78" s="294"/>
      <c r="DT78" s="295"/>
      <c r="DU78" s="295"/>
      <c r="DV78" s="295"/>
      <c r="DW78" s="293"/>
      <c r="DX78" s="294"/>
      <c r="DY78" s="295"/>
      <c r="DZ78" s="295"/>
      <c r="EA78" s="295"/>
      <c r="EB78" s="293"/>
      <c r="EC78" s="294"/>
      <c r="ED78" s="295"/>
      <c r="EE78" s="295"/>
      <c r="EF78" s="295"/>
      <c r="EG78" s="293"/>
      <c r="EH78" s="294"/>
      <c r="EI78" s="295"/>
      <c r="EJ78" s="295"/>
      <c r="EK78" s="295"/>
      <c r="EL78" s="293"/>
      <c r="EM78" s="294"/>
      <c r="EN78" s="295"/>
      <c r="EO78" s="295"/>
      <c r="EP78" s="295"/>
      <c r="EQ78" s="293"/>
      <c r="ER78" s="294"/>
      <c r="ES78" s="295"/>
      <c r="ET78" s="295"/>
      <c r="EU78" s="295"/>
      <c r="EV78" s="293"/>
      <c r="EW78" s="294"/>
      <c r="EX78" s="295"/>
      <c r="EY78" s="295"/>
      <c r="EZ78" s="295"/>
      <c r="FA78" s="293"/>
      <c r="FB78" s="294"/>
      <c r="FC78" s="295"/>
      <c r="FD78" s="295"/>
      <c r="FE78" s="295"/>
      <c r="FF78" s="293"/>
      <c r="FG78" s="294"/>
      <c r="FH78" s="295"/>
      <c r="FI78" s="295"/>
      <c r="FJ78" s="295"/>
      <c r="FK78" s="293"/>
      <c r="FL78" s="294"/>
      <c r="FM78" s="295"/>
      <c r="FN78" s="295"/>
      <c r="FO78" s="295"/>
      <c r="FP78" s="293"/>
      <c r="FQ78" s="294"/>
      <c r="FR78" s="295"/>
      <c r="FS78" s="295"/>
      <c r="FT78" s="295"/>
      <c r="FU78" s="293"/>
      <c r="FV78" s="294"/>
      <c r="FW78" s="295"/>
      <c r="FX78" s="295"/>
      <c r="FY78" s="295"/>
      <c r="FZ78" s="293"/>
      <c r="GA78" s="294"/>
      <c r="GB78" s="295"/>
      <c r="GC78" s="295"/>
      <c r="GD78" s="295"/>
      <c r="GE78" s="293"/>
      <c r="GF78" s="294"/>
      <c r="GG78" s="295"/>
      <c r="GH78" s="295"/>
      <c r="GI78" s="295"/>
      <c r="GJ78" s="382"/>
    </row>
    <row r="79" spans="1:192" s="692" customFormat="1" ht="12.75" hidden="1" customHeight="1" outlineLevel="1">
      <c r="A79" s="807"/>
      <c r="B79" s="849" t="s">
        <v>240</v>
      </c>
      <c r="C79" s="825"/>
      <c r="D79" s="826"/>
      <c r="E79" s="826"/>
      <c r="F79" s="826"/>
      <c r="G79" s="847"/>
      <c r="H79" s="825"/>
      <c r="I79" s="826"/>
      <c r="J79" s="826"/>
      <c r="K79" s="826"/>
      <c r="L79" s="847"/>
      <c r="M79" s="825"/>
      <c r="N79" s="826"/>
      <c r="O79" s="826"/>
      <c r="P79" s="826"/>
      <c r="Q79" s="847"/>
      <c r="R79" s="825"/>
      <c r="S79" s="826"/>
      <c r="T79" s="826"/>
      <c r="U79" s="826"/>
      <c r="V79" s="847"/>
      <c r="W79" s="825"/>
      <c r="X79" s="826"/>
      <c r="Y79" s="826"/>
      <c r="Z79" s="826"/>
      <c r="AA79" s="847"/>
      <c r="AB79" s="825"/>
      <c r="AC79" s="826"/>
      <c r="AD79" s="826"/>
      <c r="AE79" s="826"/>
      <c r="AF79" s="847"/>
      <c r="AG79" s="825"/>
      <c r="AH79" s="826"/>
      <c r="AI79" s="826"/>
      <c r="AJ79" s="826"/>
      <c r="AK79" s="847"/>
      <c r="AL79" s="825"/>
      <c r="AM79" s="826"/>
      <c r="AN79" s="826"/>
      <c r="AO79" s="826"/>
      <c r="AP79" s="847"/>
      <c r="AQ79" s="825"/>
      <c r="AR79" s="826"/>
      <c r="AS79" s="826"/>
      <c r="AT79" s="826"/>
      <c r="AU79" s="847"/>
      <c r="AV79" s="825"/>
      <c r="AW79" s="826"/>
      <c r="AX79" s="826"/>
      <c r="AY79" s="826"/>
      <c r="AZ79" s="847"/>
      <c r="BA79" s="825"/>
      <c r="BB79" s="826"/>
      <c r="BC79" s="826"/>
      <c r="BD79" s="826"/>
      <c r="BE79" s="847"/>
      <c r="BF79" s="825"/>
      <c r="BG79" s="826"/>
      <c r="BH79" s="826"/>
      <c r="BI79" s="826"/>
      <c r="BJ79" s="847"/>
      <c r="BK79" s="825"/>
      <c r="BL79" s="826"/>
      <c r="BM79" s="826"/>
      <c r="BN79" s="826"/>
      <c r="BO79" s="847"/>
      <c r="BP79" s="825"/>
      <c r="BQ79" s="826"/>
      <c r="BR79" s="826"/>
      <c r="BS79" s="826"/>
      <c r="BT79" s="847"/>
      <c r="BU79" s="825"/>
      <c r="BV79" s="826"/>
      <c r="BW79" s="826"/>
      <c r="BX79" s="826"/>
      <c r="BY79" s="847"/>
      <c r="BZ79" s="825"/>
      <c r="CA79" s="826"/>
      <c r="CB79" s="826"/>
      <c r="CC79" s="826"/>
      <c r="CD79" s="847"/>
      <c r="CE79" s="825"/>
      <c r="CF79" s="826"/>
      <c r="CG79" s="826"/>
      <c r="CH79" s="826"/>
      <c r="CI79" s="847"/>
      <c r="CJ79" s="825"/>
      <c r="CK79" s="826"/>
      <c r="CL79" s="826"/>
      <c r="CM79" s="826"/>
      <c r="CN79" s="847"/>
      <c r="CO79" s="825"/>
      <c r="CP79" s="826"/>
      <c r="CQ79" s="826"/>
      <c r="CR79" s="826"/>
      <c r="CS79" s="847"/>
      <c r="CT79" s="825"/>
      <c r="CU79" s="826"/>
      <c r="CV79" s="826"/>
      <c r="CW79" s="826"/>
      <c r="CX79" s="847"/>
      <c r="CY79" s="826"/>
      <c r="CZ79" s="826"/>
      <c r="DA79" s="826"/>
      <c r="DB79" s="826">
        <f>IFERROR(PBP!DB178,"")</f>
      </c>
      <c r="DC79" s="847"/>
      <c r="DD79" s="826">
        <f>IFERROR(PBP!DD178,"")</f>
      </c>
      <c r="DE79" s="826">
        <f>IFERROR(PBP!DE178,"")</f>
      </c>
      <c r="DF79" s="826">
        <f>IFERROR(PBP!DF178,"")</f>
      </c>
      <c r="DG79" s="826">
        <f>IFERROR(PBP!DG178,"")</f>
      </c>
      <c r="DH79" s="847">
        <f>IFERROR(PBP!DH178,"")</f>
      </c>
      <c r="DI79" s="826">
        <f>IFERROR(PBP!DI178,"")</f>
      </c>
      <c r="DJ79" s="826">
        <f>IFERROR(PBP!DJ178,"")</f>
      </c>
      <c r="DK79" s="826">
        <f>IFERROR(PBP!DK178,"")</f>
      </c>
      <c r="DL79" s="826">
        <f>IFERROR(PBP!DL178,"")</f>
      </c>
      <c r="DM79" s="847">
        <f>IFERROR(PBP!DM178,"")</f>
      </c>
      <c r="DN79" s="826">
        <f>IFERROR(PBP!DN178,"")</f>
      </c>
      <c r="DO79" s="826">
        <f>IFERROR(PBP!DO178,"")</f>
      </c>
      <c r="DP79" s="826">
        <f>IFERROR(PBP!DP178,"")</f>
      </c>
      <c r="DQ79" s="826">
        <f>IFERROR(PBP!DQ178,"")</f>
      </c>
      <c r="DR79" s="847">
        <f>IFERROR(PBP!DR178,"")</f>
      </c>
      <c r="DS79" s="826">
        <f>IFERROR(PBP!DS178,"")</f>
      </c>
      <c r="DT79" s="826">
        <f>IFERROR(PBP!DT178,"")</f>
      </c>
      <c r="DU79" s="826">
        <f>IFERROR(PBP!DU178,"")</f>
      </c>
      <c r="DV79" s="826">
        <f>IFERROR(PBP!DV178,"")</f>
      </c>
      <c r="DW79" s="847">
        <f>IFERROR(PBP!DW178,"")</f>
      </c>
      <c r="DX79" s="826">
        <f>IFERROR(PBP!DX178,"")</f>
      </c>
      <c r="DY79" s="826">
        <f>IFERROR(PBP!DY178,"")</f>
      </c>
      <c r="DZ79" s="826">
        <f>IFERROR(PBP!DZ178,"")</f>
      </c>
      <c r="EA79" s="826">
        <f>IFERROR(PBP!EA178,"")</f>
      </c>
      <c r="EB79" s="847">
        <f>IFERROR(PBP!EB178,"")</f>
      </c>
      <c r="EC79" s="826">
        <f>IFERROR(PBP!EC178,"")</f>
      </c>
      <c r="ED79" s="826">
        <f>IFERROR(PBP!ED178,"")</f>
      </c>
      <c r="EE79" s="826">
        <f>IFERROR(PBP!EE178,"")</f>
      </c>
      <c r="EF79" s="826">
        <f>IFERROR(PBP!EF178,"")</f>
      </c>
      <c r="EG79" s="847">
        <f>IFERROR(PBP!EG178,"")</f>
      </c>
      <c r="EH79" s="826">
        <f>IFERROR(PBP!EH178,"")</f>
      </c>
      <c r="EI79" s="826">
        <f>IFERROR(PBP!EI178,"")</f>
      </c>
      <c r="EJ79" s="826">
        <f>IFERROR(PBP!EJ178,"")</f>
      </c>
      <c r="EK79" s="826">
        <f>IFERROR(PBP!EK178,"")</f>
      </c>
      <c r="EL79" s="847">
        <f>IFERROR(PBP!EL178,"")</f>
      </c>
      <c r="EM79" s="826">
        <f>IFERROR(PBP!EM178,"")</f>
      </c>
      <c r="EN79" s="826">
        <f>IFERROR(PBP!EN178,"")</f>
      </c>
      <c r="EO79" s="826">
        <f>IFERROR(PBP!EO178,"")</f>
      </c>
      <c r="EP79" s="826">
        <f>IFERROR(PBP!EP178,"")</f>
      </c>
      <c r="EQ79" s="847">
        <f>IFERROR(PBP!EQ178,"")</f>
      </c>
      <c r="ER79" s="826">
        <f>IFERROR(PBP!ER178,"")</f>
      </c>
      <c r="ES79" s="826">
        <f>IFERROR(PBP!ES178,"")</f>
      </c>
      <c r="ET79" s="826">
        <f>IFERROR(PBP!ET178,"")</f>
      </c>
      <c r="EU79" s="826">
        <f>IFERROR(PBP!EU178,"")</f>
      </c>
      <c r="EV79" s="847">
        <f>IFERROR(PBP!EV178,"")</f>
      </c>
      <c r="EW79" s="826"/>
      <c r="EX79" s="826"/>
      <c r="EY79" s="826"/>
      <c r="EZ79" s="826"/>
      <c r="FA79" s="847"/>
      <c r="FB79" s="826"/>
      <c r="FC79" s="826"/>
      <c r="FD79" s="826"/>
      <c r="FE79" s="826"/>
      <c r="FF79" s="847"/>
      <c r="FG79" s="826"/>
      <c r="FH79" s="826"/>
      <c r="FI79" s="826"/>
      <c r="FJ79" s="826"/>
      <c r="FK79" s="847"/>
      <c r="FL79" s="826"/>
      <c r="FM79" s="826"/>
      <c r="FN79" s="826"/>
      <c r="FO79" s="826"/>
      <c r="FP79" s="847"/>
      <c r="FQ79" s="826"/>
      <c r="FR79" s="826"/>
      <c r="FS79" s="826"/>
      <c r="FT79" s="826"/>
      <c r="FU79" s="847"/>
      <c r="FV79" s="826"/>
      <c r="FW79" s="826"/>
      <c r="FX79" s="826"/>
      <c r="FY79" s="826"/>
      <c r="FZ79" s="847"/>
      <c r="GA79" s="826"/>
      <c r="GB79" s="826"/>
      <c r="GC79" s="826"/>
      <c r="GD79" s="826"/>
      <c r="GE79" s="847"/>
      <c r="GF79" s="826"/>
      <c r="GG79" s="826"/>
      <c r="GH79" s="826"/>
      <c r="GI79" s="826"/>
      <c r="GJ79" s="848"/>
    </row>
    <row r="80" spans="1:192" s="1337" customFormat="1" ht="12.75" hidden="1" customHeight="1" outlineLevel="1">
      <c r="A80" s="1237"/>
      <c r="B80" s="1336" t="s">
        <v>34</v>
      </c>
      <c r="C80" s="892"/>
      <c r="D80" s="924"/>
      <c r="E80" s="924"/>
      <c r="F80" s="924"/>
      <c r="G80" s="893"/>
      <c r="H80" s="892"/>
      <c r="I80" s="924"/>
      <c r="J80" s="924"/>
      <c r="K80" s="924"/>
      <c r="L80" s="893"/>
      <c r="M80" s="892"/>
      <c r="N80" s="924"/>
      <c r="O80" s="924"/>
      <c r="P80" s="924"/>
      <c r="Q80" s="893"/>
      <c r="R80" s="892"/>
      <c r="S80" s="924"/>
      <c r="T80" s="924"/>
      <c r="U80" s="924"/>
      <c r="V80" s="893"/>
      <c r="W80" s="892"/>
      <c r="X80" s="924"/>
      <c r="Y80" s="924"/>
      <c r="Z80" s="924"/>
      <c r="AA80" s="893"/>
      <c r="AB80" s="892"/>
      <c r="AC80" s="924"/>
      <c r="AD80" s="924"/>
      <c r="AE80" s="924"/>
      <c r="AF80" s="893"/>
      <c r="AG80" s="892"/>
      <c r="AH80" s="924"/>
      <c r="AI80" s="924"/>
      <c r="AJ80" s="924"/>
      <c r="AK80" s="893"/>
      <c r="AL80" s="892"/>
      <c r="AM80" s="924"/>
      <c r="AN80" s="924"/>
      <c r="AO80" s="924"/>
      <c r="AP80" s="893"/>
      <c r="AQ80" s="892"/>
      <c r="AR80" s="924"/>
      <c r="AS80" s="924"/>
      <c r="AT80" s="924"/>
      <c r="AU80" s="893"/>
      <c r="AV80" s="892"/>
      <c r="AW80" s="924"/>
      <c r="AX80" s="924"/>
      <c r="AY80" s="924"/>
      <c r="AZ80" s="893"/>
      <c r="BA80" s="892"/>
      <c r="BB80" s="924"/>
      <c r="BC80" s="924"/>
      <c r="BD80" s="924"/>
      <c r="BE80" s="893"/>
      <c r="BF80" s="892"/>
      <c r="BG80" s="924"/>
      <c r="BH80" s="924"/>
      <c r="BI80" s="924"/>
      <c r="BJ80" s="893"/>
      <c r="BK80" s="892"/>
      <c r="BL80" s="924"/>
      <c r="BM80" s="924"/>
      <c r="BN80" s="924"/>
      <c r="BO80" s="893"/>
      <c r="BP80" s="892"/>
      <c r="BQ80" s="924"/>
      <c r="BR80" s="924"/>
      <c r="BS80" s="924"/>
      <c r="BT80" s="893"/>
      <c r="BU80" s="892"/>
      <c r="BV80" s="924"/>
      <c r="BW80" s="924"/>
      <c r="BX80" s="924"/>
      <c r="BY80" s="893"/>
      <c r="BZ80" s="892"/>
      <c r="CA80" s="924"/>
      <c r="CB80" s="924"/>
      <c r="CC80" s="924"/>
      <c r="CD80" s="893"/>
      <c r="CE80" s="892"/>
      <c r="CF80" s="924"/>
      <c r="CG80" s="924"/>
      <c r="CH80" s="924"/>
      <c r="CI80" s="893"/>
      <c r="CJ80" s="892"/>
      <c r="CK80" s="924"/>
      <c r="CL80" s="924"/>
      <c r="CM80" s="924"/>
      <c r="CN80" s="893"/>
      <c r="CO80" s="892"/>
      <c r="CP80" s="924"/>
      <c r="CQ80" s="924"/>
      <c r="CR80" s="924"/>
      <c r="CS80" s="893"/>
      <c r="CT80" s="892"/>
      <c r="CU80" s="924"/>
      <c r="CV80" s="924"/>
      <c r="CW80" s="924"/>
      <c r="CX80" s="893"/>
      <c r="CY80" s="892"/>
      <c r="CZ80" s="892"/>
      <c r="DA80" s="892"/>
      <c r="DB80" s="892" t="str">
        <f t="shared" ref="DB80:EG80" si="68">IFERROR(DB79/CW79-1,"")</f>
      </c>
      <c r="DC80" s="893" t="str">
        <f t="shared" si="68"/>
      </c>
      <c r="DD80" s="892" t="str">
        <f t="shared" si="68"/>
      </c>
      <c r="DE80" s="892" t="str">
        <f t="shared" si="68"/>
      </c>
      <c r="DF80" s="892" t="str">
        <f t="shared" si="68"/>
      </c>
      <c r="DG80" s="892" t="str">
        <f t="shared" si="68"/>
      </c>
      <c r="DH80" s="893" t="str">
        <f t="shared" si="68"/>
      </c>
      <c r="DI80" s="892">
        <f t="shared" si="68"/>
      </c>
      <c r="DJ80" s="892">
        <f t="shared" si="68"/>
      </c>
      <c r="DK80" s="892">
        <f t="shared" si="68"/>
      </c>
      <c r="DL80" s="892">
        <f t="shared" si="68"/>
      </c>
      <c r="DM80" s="893">
        <f t="shared" si="68"/>
      </c>
      <c r="DN80" s="892">
        <f t="shared" si="68"/>
      </c>
      <c r="DO80" s="892">
        <f t="shared" si="68"/>
      </c>
      <c r="DP80" s="892">
        <f t="shared" si="68"/>
      </c>
      <c r="DQ80" s="892">
        <f t="shared" si="68"/>
      </c>
      <c r="DR80" s="893">
        <f t="shared" si="68"/>
      </c>
      <c r="DS80" s="892">
        <f t="shared" si="68"/>
      </c>
      <c r="DT80" s="892">
        <f t="shared" si="68"/>
      </c>
      <c r="DU80" s="892">
        <f t="shared" si="68"/>
      </c>
      <c r="DV80" s="892">
        <f t="shared" si="68"/>
      </c>
      <c r="DW80" s="893">
        <f t="shared" si="68"/>
      </c>
      <c r="DX80" s="892">
        <f t="shared" si="68"/>
      </c>
      <c r="DY80" s="892">
        <f t="shared" si="68"/>
      </c>
      <c r="DZ80" s="892">
        <f t="shared" si="68"/>
      </c>
      <c r="EA80" s="892">
        <f t="shared" si="68"/>
      </c>
      <c r="EB80" s="893">
        <f t="shared" si="68"/>
      </c>
      <c r="EC80" s="892">
        <f t="shared" si="68"/>
      </c>
      <c r="ED80" s="892">
        <f t="shared" si="68"/>
      </c>
      <c r="EE80" s="892">
        <f t="shared" si="68"/>
      </c>
      <c r="EF80" s="892">
        <f t="shared" si="68"/>
      </c>
      <c r="EG80" s="893">
        <f t="shared" si="68"/>
      </c>
      <c r="EH80" s="892">
        <f t="shared" ref="EH80:ET80" si="69">IFERROR(EH79/EC79-1,"")</f>
      </c>
      <c r="EI80" s="892">
        <f t="shared" si="69"/>
      </c>
      <c r="EJ80" s="892">
        <f t="shared" si="69"/>
      </c>
      <c r="EK80" s="892">
        <f t="shared" si="69"/>
      </c>
      <c r="EL80" s="893">
        <f t="shared" si="69"/>
      </c>
      <c r="EM80" s="892">
        <f t="shared" si="69"/>
      </c>
      <c r="EN80" s="892">
        <f t="shared" si="69"/>
      </c>
      <c r="EO80" s="892">
        <f t="shared" si="69"/>
      </c>
      <c r="EP80" s="892">
        <f t="shared" si="69"/>
      </c>
      <c r="EQ80" s="893">
        <f t="shared" si="69"/>
      </c>
      <c r="ER80" s="892">
        <f t="shared" si="69"/>
      </c>
      <c r="ES80" s="892">
        <f t="shared" si="69"/>
      </c>
      <c r="ET80" s="892">
        <f t="shared" si="69"/>
      </c>
      <c r="EU80" s="892">
        <f>IFERROR(EU79/EP79-1,"")</f>
      </c>
      <c r="EV80" s="893">
        <f>IFERROR(EV79/EQ79-1,"")</f>
      </c>
      <c r="EW80" s="892"/>
      <c r="EX80" s="892"/>
      <c r="EY80" s="892"/>
      <c r="EZ80" s="892"/>
      <c r="FA80" s="893"/>
      <c r="FB80" s="892"/>
      <c r="FC80" s="892"/>
      <c r="FD80" s="892"/>
      <c r="FE80" s="892"/>
      <c r="FF80" s="893"/>
      <c r="FG80" s="892"/>
      <c r="FH80" s="892"/>
      <c r="FI80" s="892"/>
      <c r="FJ80" s="892"/>
      <c r="FK80" s="893"/>
      <c r="FL80" s="892"/>
      <c r="FM80" s="892"/>
      <c r="FN80" s="892"/>
      <c r="FO80" s="892"/>
      <c r="FP80" s="893"/>
      <c r="FQ80" s="892"/>
      <c r="FR80" s="892"/>
      <c r="FS80" s="892"/>
      <c r="FT80" s="892"/>
      <c r="FU80" s="893"/>
      <c r="FV80" s="892"/>
      <c r="FW80" s="892"/>
      <c r="FX80" s="892"/>
      <c r="FY80" s="892"/>
      <c r="FZ80" s="893"/>
      <c r="GA80" s="892"/>
      <c r="GB80" s="892"/>
      <c r="GC80" s="892"/>
      <c r="GD80" s="892"/>
      <c r="GE80" s="893"/>
      <c r="GF80" s="892"/>
      <c r="GG80" s="892"/>
      <c r="GH80" s="892"/>
      <c r="GI80" s="892"/>
      <c r="GJ80" s="1199"/>
    </row>
    <row r="81" spans="1:192" ht="12.75" hidden="1" customHeight="1" outlineLevel="1">
      <c r="B81" s="735" t="s">
        <v>197</v>
      </c>
      <c r="C81" s="412"/>
      <c r="D81" s="114"/>
      <c r="E81" s="114"/>
      <c r="F81" s="114"/>
      <c r="G81" s="414"/>
      <c r="H81" s="412"/>
      <c r="I81" s="114"/>
      <c r="J81" s="114"/>
      <c r="K81" s="114"/>
      <c r="L81" s="414"/>
      <c r="M81" s="412"/>
      <c r="N81" s="114"/>
      <c r="O81" s="114"/>
      <c r="P81" s="114"/>
      <c r="Q81" s="414"/>
      <c r="R81" s="412"/>
      <c r="S81" s="114"/>
      <c r="T81" s="114"/>
      <c r="U81" s="114"/>
      <c r="V81" s="414"/>
      <c r="W81" s="412"/>
      <c r="X81" s="114"/>
      <c r="Y81" s="114"/>
      <c r="Z81" s="114"/>
      <c r="AA81" s="414"/>
      <c r="AB81" s="412"/>
      <c r="AC81" s="114"/>
      <c r="AD81" s="114"/>
      <c r="AE81" s="114"/>
      <c r="AF81" s="414"/>
      <c r="AG81" s="412"/>
      <c r="AH81" s="114"/>
      <c r="AI81" s="114"/>
      <c r="AJ81" s="114"/>
      <c r="AK81" s="414"/>
      <c r="AL81" s="412"/>
      <c r="AM81" s="114"/>
      <c r="AN81" s="114"/>
      <c r="AO81" s="114"/>
      <c r="AP81" s="414"/>
      <c r="AQ81" s="412"/>
      <c r="AR81" s="114"/>
      <c r="AS81" s="114"/>
      <c r="AT81" s="114"/>
      <c r="AU81" s="414"/>
      <c r="AV81" s="412"/>
      <c r="AW81" s="114"/>
      <c r="AX81" s="114"/>
      <c r="AY81" s="114"/>
      <c r="AZ81" s="414"/>
      <c r="BA81" s="412"/>
      <c r="BB81" s="114"/>
      <c r="BC81" s="114"/>
      <c r="BD81" s="114"/>
      <c r="BE81" s="414"/>
      <c r="BF81" s="412"/>
      <c r="BG81" s="114"/>
      <c r="BH81" s="114"/>
      <c r="BI81" s="114"/>
      <c r="BJ81" s="414"/>
      <c r="BK81" s="412"/>
      <c r="BL81" s="114"/>
      <c r="BM81" s="114"/>
      <c r="BN81" s="114"/>
      <c r="BO81" s="414"/>
      <c r="BP81" s="412"/>
      <c r="BQ81" s="114"/>
      <c r="BR81" s="114"/>
      <c r="BS81" s="114"/>
      <c r="BT81" s="414"/>
      <c r="BU81" s="412"/>
      <c r="BV81" s="114"/>
      <c r="BW81" s="114"/>
      <c r="BX81" s="114"/>
      <c r="BY81" s="414"/>
      <c r="BZ81" s="412"/>
      <c r="CA81" s="114"/>
      <c r="CB81" s="114"/>
      <c r="CC81" s="114"/>
      <c r="CD81" s="293"/>
      <c r="CE81" s="412"/>
      <c r="CF81" s="114"/>
      <c r="CG81" s="114"/>
      <c r="CH81" s="114"/>
      <c r="CI81" s="293"/>
      <c r="CJ81" s="412"/>
      <c r="CK81" s="114"/>
      <c r="CL81" s="114"/>
      <c r="CM81" s="114"/>
      <c r="CN81" s="293"/>
      <c r="CO81" s="412"/>
      <c r="CP81" s="114"/>
      <c r="CQ81" s="114"/>
      <c r="CR81" s="114"/>
      <c r="CS81" s="293"/>
      <c r="CT81" s="412"/>
      <c r="CU81" s="114"/>
      <c r="CV81" s="114"/>
      <c r="CW81" s="114"/>
      <c r="CX81" s="293"/>
      <c r="CY81" s="484"/>
      <c r="CZ81" s="484"/>
      <c r="DA81" s="484"/>
      <c r="DB81" s="484"/>
      <c r="DC81" s="486"/>
      <c r="DD81" s="484">
        <f>IFERROR(PBP!DD180,"")</f>
      </c>
      <c r="DE81" s="484">
        <f>IFERROR(PBP!DE180,"")</f>
      </c>
      <c r="DF81" s="484">
        <f>IFERROR(PBP!DF180,"")</f>
      </c>
      <c r="DG81" s="484">
        <f>IFERROR(PBP!DG180,"")</f>
      </c>
      <c r="DH81" s="486"/>
      <c r="DI81" s="484">
        <f>IFERROR(PBP!DI180,"")</f>
      </c>
      <c r="DJ81" s="484">
        <f>IFERROR(PBP!DJ180,"")</f>
      </c>
      <c r="DK81" s="484">
        <f>IFERROR(PBP!DK180,"")</f>
      </c>
      <c r="DL81" s="484">
        <f>IFERROR(PBP!DL180,"")</f>
      </c>
      <c r="DM81" s="486"/>
      <c r="DN81" s="484">
        <f>IFERROR(PBP!DN180,"")</f>
      </c>
      <c r="DO81" s="484">
        <f>IFERROR(PBP!DO180,"")</f>
      </c>
      <c r="DP81" s="484">
        <f>IFERROR(PBP!DP180,"")</f>
      </c>
      <c r="DQ81" s="484">
        <f>IFERROR(PBP!DQ180,"")</f>
      </c>
      <c r="DR81" s="486"/>
      <c r="DS81" s="484">
        <f>IFERROR(PBP!DS180,"")</f>
      </c>
      <c r="DT81" s="484">
        <f>IFERROR(PBP!DT180,"")</f>
      </c>
      <c r="DU81" s="484">
        <f>IFERROR(PBP!DU180,"")</f>
      </c>
      <c r="DV81" s="484">
        <f>IFERROR(PBP!DV180,"")</f>
      </c>
      <c r="DW81" s="486"/>
      <c r="DX81" s="484">
        <f>IFERROR(PBP!DX180,"")</f>
      </c>
      <c r="DY81" s="484">
        <f>IFERROR(PBP!DY180,"")</f>
      </c>
      <c r="DZ81" s="484">
        <f>IFERROR(PBP!DZ180,"")</f>
      </c>
      <c r="EA81" s="484">
        <f>IFERROR(PBP!EA180,"")</f>
      </c>
      <c r="EB81" s="486"/>
      <c r="EC81" s="484">
        <f>IFERROR(PBP!EC180,"")</f>
      </c>
      <c r="ED81" s="484">
        <f>IFERROR(PBP!ED180,"")</f>
      </c>
      <c r="EE81" s="484">
        <f>IFERROR(PBP!EE180,"")</f>
      </c>
      <c r="EF81" s="484">
        <f>IFERROR(PBP!EF180,"")</f>
      </c>
      <c r="EG81" s="486"/>
      <c r="EH81" s="484">
        <f>IFERROR(PBP!EH180,"")</f>
      </c>
      <c r="EI81" s="484">
        <f>IFERROR(PBP!EI180,"")</f>
      </c>
      <c r="EJ81" s="484">
        <f>IFERROR(PBP!EJ180,"")</f>
      </c>
      <c r="EK81" s="484">
        <f>IFERROR(PBP!EK180,"")</f>
      </c>
      <c r="EL81" s="486"/>
      <c r="EM81" s="484">
        <f>IFERROR(PBP!EM180,"")</f>
      </c>
      <c r="EN81" s="484">
        <f>IFERROR(PBP!EN180,"")</f>
      </c>
      <c r="EO81" s="484">
        <f>IFERROR(PBP!EO180,"")</f>
      </c>
      <c r="EP81" s="484">
        <f>IFERROR(PBP!EP180,"")</f>
      </c>
      <c r="EQ81" s="486"/>
      <c r="ER81" s="484">
        <f>IFERROR(PBP!ER180,"")</f>
      </c>
      <c r="ES81" s="484">
        <f>IFERROR(PBP!ES180,"")</f>
      </c>
      <c r="ET81" s="484">
        <f>IFERROR(PBP!ET180,"")</f>
      </c>
      <c r="EU81" s="484">
        <f>IFERROR(PBP!EU180,"")</f>
      </c>
      <c r="EV81" s="486"/>
      <c r="EW81" s="484"/>
      <c r="EX81" s="484"/>
      <c r="EY81" s="484"/>
      <c r="EZ81" s="484"/>
      <c r="FA81" s="486"/>
      <c r="FB81" s="484"/>
      <c r="FC81" s="484"/>
      <c r="FD81" s="484"/>
      <c r="FE81" s="484"/>
      <c r="FF81" s="486"/>
      <c r="FG81" s="484"/>
      <c r="FH81" s="484"/>
      <c r="FI81" s="484"/>
      <c r="FJ81" s="484"/>
      <c r="FK81" s="486"/>
      <c r="FL81" s="484"/>
      <c r="FM81" s="484"/>
      <c r="FN81" s="484"/>
      <c r="FO81" s="484"/>
      <c r="FP81" s="486"/>
      <c r="FQ81" s="484"/>
      <c r="FR81" s="484"/>
      <c r="FS81" s="484"/>
      <c r="FT81" s="484"/>
      <c r="FU81" s="486"/>
      <c r="FV81" s="484"/>
      <c r="FW81" s="484"/>
      <c r="FX81" s="484"/>
      <c r="FY81" s="484"/>
      <c r="FZ81" s="486"/>
      <c r="GA81" s="484"/>
      <c r="GB81" s="484"/>
      <c r="GC81" s="484"/>
      <c r="GD81" s="484"/>
      <c r="GE81" s="486"/>
      <c r="GF81" s="484"/>
      <c r="GG81" s="484"/>
      <c r="GH81" s="484"/>
      <c r="GI81" s="484"/>
      <c r="GJ81" s="1340"/>
    </row>
    <row r="82" spans="1:192" ht="12.75" hidden="1" customHeight="1" outlineLevel="1">
      <c r="B82" s="735" t="s">
        <v>36</v>
      </c>
      <c r="C82" s="291"/>
      <c r="D82" s="107"/>
      <c r="E82" s="107"/>
      <c r="F82" s="107"/>
      <c r="G82" s="293"/>
      <c r="H82" s="291"/>
      <c r="I82" s="107"/>
      <c r="J82" s="107"/>
      <c r="K82" s="107"/>
      <c r="L82" s="293"/>
      <c r="M82" s="291"/>
      <c r="N82" s="107"/>
      <c r="O82" s="107"/>
      <c r="P82" s="107"/>
      <c r="Q82" s="293"/>
      <c r="R82" s="291"/>
      <c r="S82" s="107"/>
      <c r="T82" s="107"/>
      <c r="U82" s="107"/>
      <c r="V82" s="293"/>
      <c r="W82" s="291"/>
      <c r="X82" s="107"/>
      <c r="Y82" s="107"/>
      <c r="Z82" s="107"/>
      <c r="AA82" s="293"/>
      <c r="AB82" s="291"/>
      <c r="AC82" s="107"/>
      <c r="AD82" s="107"/>
      <c r="AE82" s="107"/>
      <c r="AF82" s="293"/>
      <c r="AG82" s="291"/>
      <c r="AH82" s="107"/>
      <c r="AI82" s="107"/>
      <c r="AJ82" s="107"/>
      <c r="AK82" s="293"/>
      <c r="AL82" s="291"/>
      <c r="AM82" s="107"/>
      <c r="AN82" s="107"/>
      <c r="AO82" s="107"/>
      <c r="AP82" s="293"/>
      <c r="AQ82" s="291"/>
      <c r="AR82" s="107"/>
      <c r="AS82" s="107"/>
      <c r="AT82" s="107"/>
      <c r="AU82" s="293"/>
      <c r="AV82" s="291"/>
      <c r="AW82" s="107"/>
      <c r="AX82" s="107"/>
      <c r="AY82" s="107"/>
      <c r="AZ82" s="293"/>
      <c r="BA82" s="291"/>
      <c r="BB82" s="107"/>
      <c r="BC82" s="107"/>
      <c r="BD82" s="107"/>
      <c r="BE82" s="293"/>
      <c r="BF82" s="291"/>
      <c r="BG82" s="107"/>
      <c r="BH82" s="107"/>
      <c r="BI82" s="107"/>
      <c r="BJ82" s="293"/>
      <c r="BK82" s="291"/>
      <c r="BL82" s="107"/>
      <c r="BM82" s="107"/>
      <c r="BN82" s="107"/>
      <c r="BO82" s="293"/>
      <c r="BP82" s="291"/>
      <c r="BQ82" s="107"/>
      <c r="BR82" s="107"/>
      <c r="BS82" s="107"/>
      <c r="BT82" s="293"/>
      <c r="BU82" s="291"/>
      <c r="BV82" s="107"/>
      <c r="BW82" s="107"/>
      <c r="BX82" s="107"/>
      <c r="BY82" s="293"/>
      <c r="BZ82" s="291"/>
      <c r="CA82" s="107"/>
      <c r="CB82" s="107"/>
      <c r="CC82" s="107"/>
      <c r="CD82" s="293"/>
      <c r="CE82" s="291"/>
      <c r="CF82" s="107"/>
      <c r="CG82" s="107"/>
      <c r="CH82" s="107"/>
      <c r="CI82" s="293"/>
      <c r="CJ82" s="291"/>
      <c r="CK82" s="107"/>
      <c r="CL82" s="107"/>
      <c r="CM82" s="107"/>
      <c r="CN82" s="293"/>
      <c r="CO82" s="291"/>
      <c r="CP82" s="107"/>
      <c r="CQ82" s="107"/>
      <c r="CR82" s="107"/>
      <c r="CS82" s="293"/>
      <c r="CT82" s="291"/>
      <c r="CU82" s="107"/>
      <c r="CV82" s="107"/>
      <c r="CW82" s="107"/>
      <c r="CX82" s="293"/>
      <c r="CY82" s="291"/>
      <c r="CZ82" s="107"/>
      <c r="DA82" s="107"/>
      <c r="DB82" s="107"/>
      <c r="DC82" s="293"/>
      <c r="DD82" s="291" t="str">
        <f>IFERROR(DD79/DB79-1,"")</f>
      </c>
      <c r="DE82" s="107">
        <f>IFERROR(DE79/DD79-1,"")</f>
      </c>
      <c r="DF82" s="107">
        <f>IFERROR(DF79/DE79-1,"")</f>
      </c>
      <c r="DG82" s="107">
        <f>IFERROR(DG79/DF79-1,"")</f>
      </c>
      <c r="DH82" s="293"/>
      <c r="DI82" s="291">
        <f>IFERROR(DI79/DG79-1,"")</f>
      </c>
      <c r="DJ82" s="107">
        <f>IFERROR(DJ79/DI79-1,"")</f>
      </c>
      <c r="DK82" s="107">
        <f>IFERROR(DK79/DJ79-1,"")</f>
      </c>
      <c r="DL82" s="107">
        <f>IFERROR(DL79/DK79-1,"")</f>
      </c>
      <c r="DM82" s="293"/>
      <c r="DN82" s="291">
        <f>IFERROR(DN79/DL79-1,"")</f>
      </c>
      <c r="DO82" s="107">
        <f>IFERROR(DO79/DN79-1,"")</f>
      </c>
      <c r="DP82" s="107">
        <f>IFERROR(DP79/DO79-1,"")</f>
      </c>
      <c r="DQ82" s="107">
        <f>IFERROR(DQ79/DP79-1,"")</f>
      </c>
      <c r="DR82" s="293"/>
      <c r="DS82" s="291">
        <f>IFERROR(DS79/DQ79-1,"")</f>
      </c>
      <c r="DT82" s="107">
        <f>IFERROR(DT79/DS79-1,"")</f>
      </c>
      <c r="DU82" s="107">
        <f>IFERROR(DU79/DT79-1,"")</f>
      </c>
      <c r="DV82" s="107">
        <f>IFERROR(DV79/DU79-1,"")</f>
      </c>
      <c r="DW82" s="293"/>
      <c r="DX82" s="291">
        <f>IFERROR(DX79/DV79-1,"")</f>
      </c>
      <c r="DY82" s="107">
        <f>IFERROR(DY79/DX79-1,"")</f>
      </c>
      <c r="DZ82" s="107">
        <f>IFERROR(DZ79/DY79-1,"")</f>
      </c>
      <c r="EA82" s="107">
        <f>IFERROR(EA79/DZ79-1,"")</f>
      </c>
      <c r="EB82" s="293"/>
      <c r="EC82" s="291">
        <f>IFERROR(EC79/EA79-1,"")</f>
      </c>
      <c r="ED82" s="107">
        <f>IFERROR(ED79/EC79-1,"")</f>
      </c>
      <c r="EE82" s="107">
        <f>IFERROR(EE79/ED79-1,"")</f>
      </c>
      <c r="EF82" s="107">
        <f>IFERROR(EF79/EE79-1,"")</f>
      </c>
      <c r="EG82" s="293"/>
      <c r="EH82" s="291">
        <f>IFERROR(EH79/EF79-1,"")</f>
      </c>
      <c r="EI82" s="107">
        <f>IFERROR(EI79/EH79-1,"")</f>
      </c>
      <c r="EJ82" s="107">
        <f>IFERROR(EJ79/EI79-1,"")</f>
      </c>
      <c r="EK82" s="107">
        <f>IFERROR(EK79/EJ79-1,"")</f>
      </c>
      <c r="EL82" s="293"/>
      <c r="EM82" s="291">
        <f>IFERROR(EM79/EK79-1,"")</f>
      </c>
      <c r="EN82" s="107">
        <f>IFERROR(EN79/EM79-1,"")</f>
      </c>
      <c r="EO82" s="107">
        <f>IFERROR(EO79/EN79-1,"")</f>
      </c>
      <c r="EP82" s="107">
        <f>IFERROR(EP79/EO79-1,"")</f>
      </c>
      <c r="EQ82" s="293"/>
      <c r="ER82" s="291">
        <f>IFERROR(ER79/EP79-1,"")</f>
      </c>
      <c r="ES82" s="107">
        <f>IFERROR(ES79/ER79-1,"")</f>
      </c>
      <c r="ET82" s="107">
        <f>IFERROR(ET79/ES79-1,"")</f>
      </c>
      <c r="EU82" s="107">
        <f>IFERROR(EU79/ET79-1,"")</f>
      </c>
      <c r="EV82" s="293"/>
      <c r="EW82" s="291"/>
      <c r="EX82" s="107"/>
      <c r="EY82" s="107"/>
      <c r="EZ82" s="107"/>
      <c r="FA82" s="293"/>
      <c r="FB82" s="291"/>
      <c r="FC82" s="107"/>
      <c r="FD82" s="107"/>
      <c r="FE82" s="107"/>
      <c r="FF82" s="293"/>
      <c r="FG82" s="291"/>
      <c r="FH82" s="107"/>
      <c r="FI82" s="107"/>
      <c r="FJ82" s="107"/>
      <c r="FK82" s="293"/>
      <c r="FL82" s="291"/>
      <c r="FM82" s="107"/>
      <c r="FN82" s="107"/>
      <c r="FO82" s="107"/>
      <c r="FP82" s="293"/>
      <c r="FQ82" s="291"/>
      <c r="FR82" s="107"/>
      <c r="FS82" s="107"/>
      <c r="FT82" s="107"/>
      <c r="FU82" s="293"/>
      <c r="FV82" s="291"/>
      <c r="FW82" s="107"/>
      <c r="FX82" s="107"/>
      <c r="FY82" s="107"/>
      <c r="FZ82" s="293"/>
      <c r="GA82" s="291"/>
      <c r="GB82" s="107"/>
      <c r="GC82" s="107"/>
      <c r="GD82" s="107"/>
      <c r="GE82" s="293"/>
      <c r="GF82" s="291"/>
      <c r="GG82" s="107"/>
      <c r="GH82" s="107"/>
      <c r="GI82" s="107"/>
      <c r="GJ82" s="382"/>
    </row>
    <row r="83" spans="1:192" ht="12.75" hidden="1" customHeight="1" outlineLevel="1">
      <c r="B83" s="735" t="s">
        <v>243</v>
      </c>
      <c r="C83" s="291"/>
      <c r="D83" s="107"/>
      <c r="E83" s="107"/>
      <c r="F83" s="107"/>
      <c r="G83" s="293"/>
      <c r="H83" s="291"/>
      <c r="I83" s="107"/>
      <c r="J83" s="107"/>
      <c r="K83" s="107"/>
      <c r="L83" s="293"/>
      <c r="M83" s="291"/>
      <c r="N83" s="107"/>
      <c r="O83" s="107"/>
      <c r="P83" s="107"/>
      <c r="Q83" s="293"/>
      <c r="R83" s="291"/>
      <c r="S83" s="107"/>
      <c r="T83" s="107"/>
      <c r="U83" s="107"/>
      <c r="V83" s="293"/>
      <c r="W83" s="291"/>
      <c r="X83" s="107"/>
      <c r="Y83" s="107"/>
      <c r="Z83" s="107"/>
      <c r="AA83" s="293"/>
      <c r="AB83" s="291"/>
      <c r="AC83" s="107"/>
      <c r="AD83" s="107"/>
      <c r="AE83" s="107"/>
      <c r="AF83" s="293"/>
      <c r="AG83" s="291"/>
      <c r="AH83" s="107"/>
      <c r="AI83" s="107"/>
      <c r="AJ83" s="107"/>
      <c r="AK83" s="293"/>
      <c r="AL83" s="291"/>
      <c r="AM83" s="107"/>
      <c r="AN83" s="107"/>
      <c r="AO83" s="107"/>
      <c r="AP83" s="293"/>
      <c r="AQ83" s="291"/>
      <c r="AR83" s="107"/>
      <c r="AS83" s="107"/>
      <c r="AT83" s="107"/>
      <c r="AU83" s="293"/>
      <c r="AV83" s="291"/>
      <c r="AW83" s="107"/>
      <c r="AX83" s="107"/>
      <c r="AY83" s="107"/>
      <c r="AZ83" s="293"/>
      <c r="BA83" s="291"/>
      <c r="BB83" s="107"/>
      <c r="BC83" s="107"/>
      <c r="BD83" s="107"/>
      <c r="BE83" s="293"/>
      <c r="BF83" s="291"/>
      <c r="BG83" s="107"/>
      <c r="BH83" s="107"/>
      <c r="BI83" s="107"/>
      <c r="BJ83" s="293"/>
      <c r="BK83" s="291"/>
      <c r="BL83" s="107"/>
      <c r="BM83" s="107"/>
      <c r="BN83" s="107"/>
      <c r="BO83" s="293"/>
      <c r="BP83" s="291"/>
      <c r="BQ83" s="107"/>
      <c r="BR83" s="107"/>
      <c r="BS83" s="107"/>
      <c r="BT83" s="293"/>
      <c r="BU83" s="291"/>
      <c r="BV83" s="107"/>
      <c r="BW83" s="107"/>
      <c r="BX83" s="107"/>
      <c r="BY83" s="293"/>
      <c r="BZ83" s="291"/>
      <c r="CA83" s="107"/>
      <c r="CB83" s="107"/>
      <c r="CC83" s="107"/>
      <c r="CD83" s="293"/>
      <c r="CE83" s="291"/>
      <c r="CF83" s="107"/>
      <c r="CG83" s="107"/>
      <c r="CH83" s="107"/>
      <c r="CI83" s="293"/>
      <c r="CJ83" s="291"/>
      <c r="CK83" s="107"/>
      <c r="CL83" s="107"/>
      <c r="CM83" s="107"/>
      <c r="CN83" s="293"/>
      <c r="CO83" s="291"/>
      <c r="CP83" s="107"/>
      <c r="CQ83" s="107"/>
      <c r="CR83" s="107"/>
      <c r="CS83" s="293"/>
      <c r="CT83" s="291"/>
      <c r="CU83" s="107"/>
      <c r="CV83" s="107"/>
      <c r="CW83" s="107"/>
      <c r="CX83" s="293"/>
      <c r="CY83" s="291"/>
      <c r="CZ83" s="107"/>
      <c r="DA83" s="107"/>
      <c r="DB83" s="107"/>
      <c r="DC83" s="293"/>
      <c r="DD83" s="447"/>
      <c r="DE83" s="447"/>
      <c r="DF83" s="447"/>
      <c r="DG83" s="447">
        <f t="shared" ref="DG83:EL83" si="70">DG79-DB79</f>
      </c>
      <c r="DH83" s="462">
        <f t="shared" si="70"/>
      </c>
      <c r="DI83" s="447">
        <f t="shared" si="70"/>
      </c>
      <c r="DJ83" s="447">
        <f t="shared" si="70"/>
      </c>
      <c r="DK83" s="447">
        <f t="shared" si="70"/>
      </c>
      <c r="DL83" s="447">
        <f t="shared" si="70"/>
      </c>
      <c r="DM83" s="462">
        <f t="shared" si="70"/>
      </c>
      <c r="DN83" s="447">
        <f t="shared" si="70"/>
      </c>
      <c r="DO83" s="447">
        <f t="shared" si="70"/>
      </c>
      <c r="DP83" s="447">
        <f t="shared" si="70"/>
      </c>
      <c r="DQ83" s="447">
        <f t="shared" si="70"/>
      </c>
      <c r="DR83" s="462">
        <f t="shared" si="70"/>
      </c>
      <c r="DS83" s="447">
        <f t="shared" si="70"/>
      </c>
      <c r="DT83" s="447">
        <f t="shared" si="70"/>
      </c>
      <c r="DU83" s="447">
        <f t="shared" si="70"/>
      </c>
      <c r="DV83" s="447">
        <f t="shared" si="70"/>
      </c>
      <c r="DW83" s="462">
        <f t="shared" si="70"/>
      </c>
      <c r="DX83" s="447">
        <f t="shared" si="70"/>
      </c>
      <c r="DY83" s="447">
        <f t="shared" si="70"/>
      </c>
      <c r="DZ83" s="447">
        <f t="shared" si="70"/>
      </c>
      <c r="EA83" s="447">
        <f t="shared" si="70"/>
      </c>
      <c r="EB83" s="462">
        <f t="shared" si="70"/>
      </c>
      <c r="EC83" s="447">
        <f t="shared" si="70"/>
      </c>
      <c r="ED83" s="447">
        <f t="shared" si="70"/>
      </c>
      <c r="EE83" s="447">
        <f t="shared" si="70"/>
      </c>
      <c r="EF83" s="447">
        <f t="shared" si="70"/>
      </c>
      <c r="EG83" s="462">
        <f t="shared" si="70"/>
      </c>
      <c r="EH83" s="447">
        <f t="shared" si="70"/>
      </c>
      <c r="EI83" s="447">
        <f t="shared" si="70"/>
      </c>
      <c r="EJ83" s="447">
        <f t="shared" si="70"/>
      </c>
      <c r="EK83" s="447">
        <f t="shared" si="70"/>
      </c>
      <c r="EL83" s="462">
        <f t="shared" si="70"/>
      </c>
      <c r="EM83" s="447">
        <f t="shared" ref="EM83:ET83" si="71">EM79-EH79</f>
      </c>
      <c r="EN83" s="447">
        <f t="shared" si="71"/>
      </c>
      <c r="EO83" s="447">
        <f t="shared" si="71"/>
      </c>
      <c r="EP83" s="447">
        <f t="shared" si="71"/>
      </c>
      <c r="EQ83" s="462">
        <f t="shared" si="71"/>
      </c>
      <c r="ER83" s="447">
        <f t="shared" si="71"/>
      </c>
      <c r="ES83" s="447">
        <f t="shared" si="71"/>
      </c>
      <c r="ET83" s="447">
        <f t="shared" si="71"/>
      </c>
      <c r="EU83" s="447">
        <f>EU79-EP79</f>
      </c>
      <c r="EV83" s="462">
        <f>EV79-EQ79</f>
      </c>
      <c r="EW83" s="447"/>
      <c r="EX83" s="447"/>
      <c r="EY83" s="447"/>
      <c r="EZ83" s="447"/>
      <c r="FA83" s="462"/>
      <c r="FB83" s="447"/>
      <c r="FC83" s="447"/>
      <c r="FD83" s="447"/>
      <c r="FE83" s="447"/>
      <c r="FF83" s="462"/>
      <c r="FG83" s="447"/>
      <c r="FH83" s="447"/>
      <c r="FI83" s="447"/>
      <c r="FJ83" s="447"/>
      <c r="FK83" s="462"/>
      <c r="FL83" s="447"/>
      <c r="FM83" s="447"/>
      <c r="FN83" s="447"/>
      <c r="FO83" s="447"/>
      <c r="FP83" s="462"/>
      <c r="FQ83" s="447"/>
      <c r="FR83" s="447"/>
      <c r="FS83" s="447"/>
      <c r="FT83" s="447"/>
      <c r="FU83" s="462"/>
      <c r="FV83" s="447"/>
      <c r="FW83" s="447"/>
      <c r="FX83" s="447"/>
      <c r="FY83" s="447"/>
      <c r="FZ83" s="462"/>
      <c r="GA83" s="447"/>
      <c r="GB83" s="447"/>
      <c r="GC83" s="447"/>
      <c r="GD83" s="447"/>
      <c r="GE83" s="462"/>
      <c r="GF83" s="447"/>
      <c r="GG83" s="447"/>
      <c r="GH83" s="447"/>
      <c r="GI83" s="447"/>
      <c r="GJ83" s="497"/>
    </row>
    <row r="84" spans="1:192" ht="12.75" hidden="1" customHeight="1" outlineLevel="1">
      <c r="B84" s="735" t="s">
        <v>244</v>
      </c>
      <c r="C84" s="291"/>
      <c r="D84" s="107"/>
      <c r="E84" s="107"/>
      <c r="F84" s="107"/>
      <c r="G84" s="293"/>
      <c r="H84" s="291"/>
      <c r="I84" s="107"/>
      <c r="J84" s="107"/>
      <c r="K84" s="107"/>
      <c r="L84" s="293"/>
      <c r="M84" s="291"/>
      <c r="N84" s="107"/>
      <c r="O84" s="107"/>
      <c r="P84" s="107"/>
      <c r="Q84" s="293"/>
      <c r="R84" s="291"/>
      <c r="S84" s="107"/>
      <c r="T84" s="107"/>
      <c r="U84" s="107"/>
      <c r="V84" s="293"/>
      <c r="W84" s="291"/>
      <c r="X84" s="107"/>
      <c r="Y84" s="107"/>
      <c r="Z84" s="107"/>
      <c r="AA84" s="293"/>
      <c r="AB84" s="291"/>
      <c r="AC84" s="107"/>
      <c r="AD84" s="107"/>
      <c r="AE84" s="107"/>
      <c r="AF84" s="293"/>
      <c r="AG84" s="291"/>
      <c r="AH84" s="107"/>
      <c r="AI84" s="107"/>
      <c r="AJ84" s="107"/>
      <c r="AK84" s="293"/>
      <c r="AL84" s="291"/>
      <c r="AM84" s="107"/>
      <c r="AN84" s="107"/>
      <c r="AO84" s="107"/>
      <c r="AP84" s="293"/>
      <c r="AQ84" s="291"/>
      <c r="AR84" s="107"/>
      <c r="AS84" s="107"/>
      <c r="AT84" s="107"/>
      <c r="AU84" s="293"/>
      <c r="AV84" s="291"/>
      <c r="AW84" s="107"/>
      <c r="AX84" s="107"/>
      <c r="AY84" s="107"/>
      <c r="AZ84" s="293"/>
      <c r="BA84" s="291"/>
      <c r="BB84" s="107"/>
      <c r="BC84" s="107"/>
      <c r="BD84" s="107"/>
      <c r="BE84" s="293"/>
      <c r="BF84" s="291"/>
      <c r="BG84" s="107"/>
      <c r="BH84" s="107"/>
      <c r="BI84" s="107"/>
      <c r="BJ84" s="293"/>
      <c r="BK84" s="291"/>
      <c r="BL84" s="107"/>
      <c r="BM84" s="107"/>
      <c r="BN84" s="107"/>
      <c r="BO84" s="293"/>
      <c r="BP84" s="291"/>
      <c r="BQ84" s="107"/>
      <c r="BR84" s="107"/>
      <c r="BS84" s="107"/>
      <c r="BT84" s="293"/>
      <c r="BU84" s="291"/>
      <c r="BV84" s="107"/>
      <c r="BW84" s="107"/>
      <c r="BX84" s="107"/>
      <c r="BY84" s="293"/>
      <c r="BZ84" s="291"/>
      <c r="CA84" s="107"/>
      <c r="CB84" s="107"/>
      <c r="CC84" s="107"/>
      <c r="CD84" s="293"/>
      <c r="CE84" s="291"/>
      <c r="CF84" s="107"/>
      <c r="CG84" s="107"/>
      <c r="CH84" s="107"/>
      <c r="CI84" s="293"/>
      <c r="CJ84" s="291"/>
      <c r="CK84" s="107"/>
      <c r="CL84" s="107"/>
      <c r="CM84" s="107"/>
      <c r="CN84" s="293"/>
      <c r="CO84" s="291"/>
      <c r="CP84" s="107"/>
      <c r="CQ84" s="107"/>
      <c r="CR84" s="107"/>
      <c r="CS84" s="293"/>
      <c r="CT84" s="291"/>
      <c r="CU84" s="107"/>
      <c r="CV84" s="107"/>
      <c r="CW84" s="107"/>
      <c r="CX84" s="293"/>
      <c r="CY84" s="291"/>
      <c r="CZ84" s="107"/>
      <c r="DA84" s="107"/>
      <c r="DB84" s="107"/>
      <c r="DC84" s="293"/>
      <c r="DD84" s="447">
        <f>DD79-DB79</f>
      </c>
      <c r="DE84" s="458">
        <f>DE79-DD79</f>
      </c>
      <c r="DF84" s="458">
        <f>DF79-DE79</f>
      </c>
      <c r="DG84" s="458">
        <f>DG79-DF79</f>
      </c>
      <c r="DH84" s="292"/>
      <c r="DI84" s="447">
        <f>DI79-DG79</f>
      </c>
      <c r="DJ84" s="458">
        <f>DJ79-DI79</f>
      </c>
      <c r="DK84" s="458">
        <f>DK79-DJ79</f>
      </c>
      <c r="DL84" s="458">
        <f>DL79-DK79</f>
      </c>
      <c r="DM84" s="292"/>
      <c r="DN84" s="447">
        <f>DN79-DL79</f>
      </c>
      <c r="DO84" s="458">
        <f>DO79-DN79</f>
      </c>
      <c r="DP84" s="458">
        <f>DP79-DO79</f>
      </c>
      <c r="DQ84" s="458">
        <f>DQ79-DP79</f>
      </c>
      <c r="DR84" s="292"/>
      <c r="DS84" s="447">
        <f>DS79-DQ79</f>
      </c>
      <c r="DT84" s="458">
        <f>DT79-DS79</f>
      </c>
      <c r="DU84" s="458">
        <f>DU79-DT79</f>
      </c>
      <c r="DV84" s="458">
        <f>DV79-DU79</f>
      </c>
      <c r="DW84" s="292"/>
      <c r="DX84" s="447">
        <f>DX79-DV79</f>
      </c>
      <c r="DY84" s="458">
        <f>DY79-DX79</f>
      </c>
      <c r="DZ84" s="458">
        <f>DZ79-DY79</f>
      </c>
      <c r="EA84" s="458">
        <f>EA79-DZ79</f>
      </c>
      <c r="EB84" s="292"/>
      <c r="EC84" s="447">
        <f>EC79-EA79</f>
      </c>
      <c r="ED84" s="458">
        <f>ED79-EC79</f>
      </c>
      <c r="EE84" s="458">
        <f>EE79-ED79</f>
      </c>
      <c r="EF84" s="458">
        <f>EF79-EE79</f>
      </c>
      <c r="EG84" s="292"/>
      <c r="EH84" s="447">
        <f>EH79-EF79</f>
      </c>
      <c r="EI84" s="458">
        <f>EI79-EH79</f>
      </c>
      <c r="EJ84" s="458">
        <f>EJ79-EI79</f>
      </c>
      <c r="EK84" s="458">
        <f>EK79-EJ79</f>
      </c>
      <c r="EL84" s="292"/>
      <c r="EM84" s="447">
        <f>EM79-EK79</f>
      </c>
      <c r="EN84" s="458">
        <f>EN79-EM79</f>
      </c>
      <c r="EO84" s="458">
        <f>EO79-EN79</f>
      </c>
      <c r="EP84" s="458">
        <f>EP79-EO79</f>
      </c>
      <c r="EQ84" s="292"/>
      <c r="ER84" s="447">
        <f>ER79-EP79</f>
      </c>
      <c r="ES84" s="458">
        <f>ES79-ER79</f>
      </c>
      <c r="ET84" s="458">
        <f>ET79-ES79</f>
      </c>
      <c r="EU84" s="458">
        <f>EU79-ET79</f>
      </c>
      <c r="EV84" s="292"/>
      <c r="EW84" s="447"/>
      <c r="EX84" s="458"/>
      <c r="EY84" s="458"/>
      <c r="EZ84" s="458"/>
      <c r="FA84" s="292"/>
      <c r="FB84" s="447"/>
      <c r="FC84" s="458"/>
      <c r="FD84" s="458"/>
      <c r="FE84" s="458"/>
      <c r="FF84" s="292"/>
      <c r="FG84" s="447"/>
      <c r="FH84" s="458"/>
      <c r="FI84" s="458"/>
      <c r="FJ84" s="458"/>
      <c r="FK84" s="292"/>
      <c r="FL84" s="447"/>
      <c r="FM84" s="458"/>
      <c r="FN84" s="458"/>
      <c r="FO84" s="458"/>
      <c r="FP84" s="292"/>
      <c r="FQ84" s="447"/>
      <c r="FR84" s="458"/>
      <c r="FS84" s="458"/>
      <c r="FT84" s="458"/>
      <c r="FU84" s="292"/>
      <c r="FV84" s="447"/>
      <c r="FW84" s="458"/>
      <c r="FX84" s="458"/>
      <c r="FY84" s="458"/>
      <c r="FZ84" s="292"/>
      <c r="GA84" s="447"/>
      <c r="GB84" s="458"/>
      <c r="GC84" s="458"/>
      <c r="GD84" s="458"/>
      <c r="GE84" s="292"/>
      <c r="GF84" s="447"/>
      <c r="GG84" s="458"/>
      <c r="GH84" s="458"/>
      <c r="GI84" s="458"/>
      <c r="GJ84" s="384"/>
    </row>
    <row r="85" spans="1:192" ht="12.75" hidden="1" customHeight="1" outlineLevel="1">
      <c r="B85" s="735" t="s">
        <v>395</v>
      </c>
      <c r="C85" s="291"/>
      <c r="D85" s="107"/>
      <c r="E85" s="107"/>
      <c r="F85" s="107"/>
      <c r="G85" s="293"/>
      <c r="H85" s="291"/>
      <c r="I85" s="107"/>
      <c r="J85" s="107"/>
      <c r="K85" s="107"/>
      <c r="L85" s="293"/>
      <c r="M85" s="291"/>
      <c r="N85" s="107"/>
      <c r="O85" s="107"/>
      <c r="P85" s="107"/>
      <c r="Q85" s="293"/>
      <c r="R85" s="291"/>
      <c r="S85" s="107"/>
      <c r="T85" s="107"/>
      <c r="U85" s="107"/>
      <c r="V85" s="293"/>
      <c r="W85" s="291"/>
      <c r="X85" s="107"/>
      <c r="Y85" s="107"/>
      <c r="Z85" s="107"/>
      <c r="AA85" s="293"/>
      <c r="AB85" s="291"/>
      <c r="AC85" s="107"/>
      <c r="AD85" s="107"/>
      <c r="AE85" s="107"/>
      <c r="AF85" s="293"/>
      <c r="AG85" s="291"/>
      <c r="AH85" s="107"/>
      <c r="AI85" s="107"/>
      <c r="AJ85" s="107"/>
      <c r="AK85" s="293"/>
      <c r="AL85" s="291"/>
      <c r="AM85" s="107"/>
      <c r="AN85" s="107"/>
      <c r="AO85" s="107"/>
      <c r="AP85" s="293"/>
      <c r="AQ85" s="291"/>
      <c r="AR85" s="107"/>
      <c r="AS85" s="107"/>
      <c r="AT85" s="107"/>
      <c r="AU85" s="293"/>
      <c r="AV85" s="291"/>
      <c r="AW85" s="107"/>
      <c r="AX85" s="107"/>
      <c r="AY85" s="107"/>
      <c r="AZ85" s="293"/>
      <c r="BA85" s="291"/>
      <c r="BB85" s="107"/>
      <c r="BC85" s="107"/>
      <c r="BD85" s="107"/>
      <c r="BE85" s="293"/>
      <c r="BF85" s="291"/>
      <c r="BG85" s="107"/>
      <c r="BH85" s="107"/>
      <c r="BI85" s="107"/>
      <c r="BJ85" s="293"/>
      <c r="BK85" s="291"/>
      <c r="BL85" s="107"/>
      <c r="BM85" s="107"/>
      <c r="BN85" s="107"/>
      <c r="BO85" s="293"/>
      <c r="BP85" s="291"/>
      <c r="BQ85" s="107"/>
      <c r="BR85" s="107"/>
      <c r="BS85" s="107"/>
      <c r="BT85" s="293"/>
      <c r="BU85" s="291"/>
      <c r="BV85" s="107"/>
      <c r="BW85" s="107"/>
      <c r="BX85" s="107"/>
      <c r="BY85" s="293"/>
      <c r="BZ85" s="291"/>
      <c r="CA85" s="107"/>
      <c r="CB85" s="107"/>
      <c r="CC85" s="107"/>
      <c r="CD85" s="293"/>
      <c r="CE85" s="291"/>
      <c r="CF85" s="107"/>
      <c r="CG85" s="107"/>
      <c r="CH85" s="107"/>
      <c r="CI85" s="293"/>
      <c r="CJ85" s="291"/>
      <c r="CK85" s="107"/>
      <c r="CL85" s="107"/>
      <c r="CM85" s="107"/>
      <c r="CN85" s="293"/>
      <c r="CO85" s="291"/>
      <c r="CP85" s="107"/>
      <c r="CQ85" s="107"/>
      <c r="CR85" s="107"/>
      <c r="CS85" s="293"/>
      <c r="CT85" s="291"/>
      <c r="CU85" s="107"/>
      <c r="CV85" s="107"/>
      <c r="CW85" s="107"/>
      <c r="CX85" s="293"/>
      <c r="CY85" s="291"/>
      <c r="CZ85" s="107"/>
      <c r="DA85" s="107"/>
      <c r="DB85" s="291">
        <f>DB79/DB87</f>
      </c>
      <c r="DC85" s="293"/>
      <c r="DD85" s="291">
        <f t="shared" ref="DD85:EI85" si="72">DD79/DD87</f>
      </c>
      <c r="DE85" s="291">
        <f t="shared" si="72"/>
      </c>
      <c r="DF85" s="291">
        <f t="shared" si="72"/>
      </c>
      <c r="DG85" s="291">
        <f t="shared" si="72"/>
      </c>
      <c r="DH85" s="293">
        <f t="shared" si="72"/>
      </c>
      <c r="DI85" s="291">
        <f t="shared" si="72"/>
      </c>
      <c r="DJ85" s="291">
        <f t="shared" si="72"/>
      </c>
      <c r="DK85" s="291">
        <f t="shared" si="72"/>
      </c>
      <c r="DL85" s="291">
        <f t="shared" si="72"/>
      </c>
      <c r="DM85" s="293">
        <f t="shared" si="72"/>
      </c>
      <c r="DN85" s="291">
        <f t="shared" si="72"/>
      </c>
      <c r="DO85" s="291">
        <f t="shared" si="72"/>
      </c>
      <c r="DP85" s="291">
        <f t="shared" si="72"/>
      </c>
      <c r="DQ85" s="291">
        <f t="shared" si="72"/>
      </c>
      <c r="DR85" s="293">
        <f t="shared" si="72"/>
      </c>
      <c r="DS85" s="291">
        <f t="shared" si="72"/>
      </c>
      <c r="DT85" s="291">
        <f t="shared" si="72"/>
      </c>
      <c r="DU85" s="291">
        <f t="shared" si="72"/>
      </c>
      <c r="DV85" s="291">
        <f t="shared" si="72"/>
      </c>
      <c r="DW85" s="293">
        <f t="shared" si="72"/>
      </c>
      <c r="DX85" s="291">
        <f t="shared" si="72"/>
      </c>
      <c r="DY85" s="291">
        <f t="shared" si="72"/>
      </c>
      <c r="DZ85" s="291">
        <f t="shared" si="72"/>
      </c>
      <c r="EA85" s="291">
        <f t="shared" si="72"/>
      </c>
      <c r="EB85" s="293">
        <f t="shared" si="72"/>
      </c>
      <c r="EC85" s="291">
        <f t="shared" si="72"/>
      </c>
      <c r="ED85" s="291">
        <f t="shared" si="72"/>
      </c>
      <c r="EE85" s="291">
        <f t="shared" si="72"/>
      </c>
      <c r="EF85" s="291">
        <f t="shared" si="72"/>
      </c>
      <c r="EG85" s="293">
        <f t="shared" si="72"/>
      </c>
      <c r="EH85" s="291">
        <f t="shared" si="72"/>
      </c>
      <c r="EI85" s="291">
        <f t="shared" si="72"/>
      </c>
      <c r="EJ85" s="291">
        <f t="shared" ref="EJ85:ES85" si="73">EJ79/EJ87</f>
      </c>
      <c r="EK85" s="291">
        <f t="shared" si="73"/>
      </c>
      <c r="EL85" s="293">
        <f t="shared" si="73"/>
      </c>
      <c r="EM85" s="291">
        <f t="shared" si="73"/>
      </c>
      <c r="EN85" s="291">
        <f t="shared" si="73"/>
      </c>
      <c r="EO85" s="291">
        <f t="shared" si="73"/>
      </c>
      <c r="EP85" s="291">
        <f t="shared" si="73"/>
      </c>
      <c r="EQ85" s="293">
        <f t="shared" si="73"/>
      </c>
      <c r="ER85" s="291">
        <f t="shared" si="73"/>
      </c>
      <c r="ES85" s="291">
        <f t="shared" si="73"/>
      </c>
      <c r="ET85" s="291">
        <f>ET79/ET87</f>
      </c>
      <c r="EU85" s="291">
        <f>EU79/EU87</f>
      </c>
      <c r="EV85" s="293">
        <f>EV79/EV87</f>
      </c>
      <c r="EW85" s="291"/>
      <c r="EX85" s="291"/>
      <c r="EY85" s="291"/>
      <c r="EZ85" s="291"/>
      <c r="FA85" s="293"/>
      <c r="FB85" s="291"/>
      <c r="FC85" s="291"/>
      <c r="FD85" s="291"/>
      <c r="FE85" s="291"/>
      <c r="FF85" s="293"/>
      <c r="FG85" s="291"/>
      <c r="FH85" s="291"/>
      <c r="FI85" s="291"/>
      <c r="FJ85" s="291"/>
      <c r="FK85" s="293"/>
      <c r="FL85" s="291"/>
      <c r="FM85" s="291"/>
      <c r="FN85" s="291"/>
      <c r="FO85" s="291"/>
      <c r="FP85" s="293"/>
      <c r="FQ85" s="291"/>
      <c r="FR85" s="291"/>
      <c r="FS85" s="291"/>
      <c r="FT85" s="291"/>
      <c r="FU85" s="293"/>
      <c r="FV85" s="291"/>
      <c r="FW85" s="291"/>
      <c r="FX85" s="291"/>
      <c r="FY85" s="291"/>
      <c r="FZ85" s="293"/>
      <c r="GA85" s="291"/>
      <c r="GB85" s="291"/>
      <c r="GC85" s="291"/>
      <c r="GD85" s="291"/>
      <c r="GE85" s="293"/>
      <c r="GF85" s="291"/>
      <c r="GG85" s="291"/>
      <c r="GH85" s="291"/>
      <c r="GI85" s="291"/>
      <c r="GJ85" s="382"/>
    </row>
    <row r="86" spans="1:192" ht="12.75" hidden="1" customHeight="1" outlineLevel="1">
      <c r="B86" s="738"/>
      <c r="C86" s="294"/>
      <c r="D86" s="295"/>
      <c r="E86" s="295"/>
      <c r="F86" s="295"/>
      <c r="G86" s="296"/>
      <c r="H86" s="294"/>
      <c r="I86" s="295"/>
      <c r="J86" s="295"/>
      <c r="K86" s="295"/>
      <c r="L86" s="296"/>
      <c r="M86" s="294"/>
      <c r="N86" s="295"/>
      <c r="O86" s="295"/>
      <c r="P86" s="295"/>
      <c r="Q86" s="296"/>
      <c r="R86" s="294"/>
      <c r="S86" s="295"/>
      <c r="T86" s="295"/>
      <c r="U86" s="295"/>
      <c r="V86" s="296"/>
      <c r="W86" s="294"/>
      <c r="X86" s="295"/>
      <c r="Y86" s="295"/>
      <c r="Z86" s="295"/>
      <c r="AA86" s="296"/>
      <c r="AB86" s="294"/>
      <c r="AC86" s="295"/>
      <c r="AD86" s="295"/>
      <c r="AE86" s="295"/>
      <c r="AF86" s="296"/>
      <c r="AG86" s="294"/>
      <c r="AH86" s="295"/>
      <c r="AI86" s="295"/>
      <c r="AJ86" s="295"/>
      <c r="AK86" s="296"/>
      <c r="AL86" s="294"/>
      <c r="AM86" s="295"/>
      <c r="AN86" s="295"/>
      <c r="AO86" s="295"/>
      <c r="AP86" s="296"/>
      <c r="AQ86" s="294"/>
      <c r="AR86" s="295"/>
      <c r="AS86" s="295"/>
      <c r="AT86" s="295"/>
      <c r="AU86" s="296"/>
      <c r="AV86" s="294"/>
      <c r="AW86" s="295"/>
      <c r="AX86" s="295"/>
      <c r="AY86" s="295"/>
      <c r="AZ86" s="296"/>
      <c r="BA86" s="294"/>
      <c r="BB86" s="295"/>
      <c r="BC86" s="295"/>
      <c r="BD86" s="295"/>
      <c r="BE86" s="296"/>
      <c r="BF86" s="294"/>
      <c r="BG86" s="295"/>
      <c r="BH86" s="295"/>
      <c r="BI86" s="295"/>
      <c r="BJ86" s="296"/>
      <c r="BK86" s="294"/>
      <c r="BL86" s="295"/>
      <c r="BM86" s="295"/>
      <c r="BN86" s="295"/>
      <c r="BO86" s="296"/>
      <c r="BP86" s="294"/>
      <c r="BQ86" s="295"/>
      <c r="BR86" s="295"/>
      <c r="BS86" s="295"/>
      <c r="BT86" s="296"/>
      <c r="BU86" s="294"/>
      <c r="BV86" s="295"/>
      <c r="BW86" s="295"/>
      <c r="BX86" s="295"/>
      <c r="BY86" s="296"/>
      <c r="BZ86" s="294"/>
      <c r="CA86" s="295"/>
      <c r="CB86" s="295"/>
      <c r="CC86" s="295"/>
      <c r="CD86" s="293"/>
      <c r="CE86" s="294"/>
      <c r="CF86" s="295"/>
      <c r="CG86" s="295"/>
      <c r="CH86" s="295"/>
      <c r="CI86" s="293"/>
      <c r="CJ86" s="294"/>
      <c r="CK86" s="295"/>
      <c r="CL86" s="295"/>
      <c r="CM86" s="295"/>
      <c r="CN86" s="293"/>
      <c r="CO86" s="294"/>
      <c r="CP86" s="295"/>
      <c r="CQ86" s="295"/>
      <c r="CR86" s="295"/>
      <c r="CS86" s="293"/>
      <c r="CT86" s="294"/>
      <c r="CU86" s="295"/>
      <c r="CV86" s="295"/>
      <c r="CW86" s="295"/>
      <c r="CX86" s="293"/>
      <c r="CY86" s="294"/>
      <c r="CZ86" s="295"/>
      <c r="DA86" s="295"/>
      <c r="DB86" s="295"/>
      <c r="DC86" s="293"/>
      <c r="DD86" s="294"/>
      <c r="DE86" s="295"/>
      <c r="DF86" s="295"/>
      <c r="DG86" s="295"/>
      <c r="DH86" s="293"/>
      <c r="DI86" s="294"/>
      <c r="DJ86" s="295"/>
      <c r="DK86" s="295"/>
      <c r="DL86" s="295"/>
      <c r="DM86" s="293"/>
      <c r="DN86" s="294"/>
      <c r="DO86" s="295"/>
      <c r="DP86" s="295"/>
      <c r="DQ86" s="295"/>
      <c r="DR86" s="293"/>
      <c r="DS86" s="294"/>
      <c r="DT86" s="295"/>
      <c r="DU86" s="295"/>
      <c r="DV86" s="295"/>
      <c r="DW86" s="293"/>
      <c r="DX86" s="294"/>
      <c r="DY86" s="295"/>
      <c r="DZ86" s="295"/>
      <c r="EA86" s="295"/>
      <c r="EB86" s="293"/>
      <c r="EC86" s="294"/>
      <c r="ED86" s="295"/>
      <c r="EE86" s="295"/>
      <c r="EF86" s="295"/>
      <c r="EG86" s="293"/>
      <c r="EH86" s="294"/>
      <c r="EI86" s="295"/>
      <c r="EJ86" s="295"/>
      <c r="EK86" s="295"/>
      <c r="EL86" s="293"/>
      <c r="EM86" s="294"/>
      <c r="EN86" s="295"/>
      <c r="EO86" s="295"/>
      <c r="EP86" s="295"/>
      <c r="EQ86" s="293"/>
      <c r="ER86" s="294"/>
      <c r="ES86" s="295"/>
      <c r="ET86" s="295"/>
      <c r="EU86" s="295"/>
      <c r="EV86" s="293"/>
      <c r="EW86" s="294"/>
      <c r="EX86" s="295"/>
      <c r="EY86" s="295"/>
      <c r="EZ86" s="295"/>
      <c r="FA86" s="293"/>
      <c r="FB86" s="294"/>
      <c r="FC86" s="295"/>
      <c r="FD86" s="295"/>
      <c r="FE86" s="295"/>
      <c r="FF86" s="293"/>
      <c r="FG86" s="294"/>
      <c r="FH86" s="295"/>
      <c r="FI86" s="295"/>
      <c r="FJ86" s="295"/>
      <c r="FK86" s="293"/>
      <c r="FL86" s="294"/>
      <c r="FM86" s="295"/>
      <c r="FN86" s="295"/>
      <c r="FO86" s="295"/>
      <c r="FP86" s="293"/>
      <c r="FQ86" s="294"/>
      <c r="FR86" s="295"/>
      <c r="FS86" s="295"/>
      <c r="FT86" s="295"/>
      <c r="FU86" s="293"/>
      <c r="FV86" s="294"/>
      <c r="FW86" s="295"/>
      <c r="FX86" s="295"/>
      <c r="FY86" s="295"/>
      <c r="FZ86" s="293"/>
      <c r="GA86" s="294"/>
      <c r="GB86" s="295"/>
      <c r="GC86" s="295"/>
      <c r="GD86" s="295"/>
      <c r="GE86" s="293"/>
      <c r="GF86" s="294"/>
      <c r="GG86" s="295"/>
      <c r="GH86" s="295"/>
      <c r="GI86" s="295"/>
      <c r="GJ86" s="382"/>
    </row>
    <row r="87" spans="1:192" s="317" customFormat="1" ht="12.75" hidden="1" customHeight="1" outlineLevel="1">
      <c r="A87" s="280"/>
      <c r="B87" s="739" t="s">
        <v>241</v>
      </c>
      <c r="C87" s="312"/>
      <c r="D87" s="312"/>
      <c r="E87" s="312"/>
      <c r="F87" s="312"/>
      <c r="G87" s="313"/>
      <c r="H87" s="312"/>
      <c r="I87" s="312"/>
      <c r="J87" s="312"/>
      <c r="K87" s="312"/>
      <c r="L87" s="313"/>
      <c r="M87" s="312"/>
      <c r="N87" s="312"/>
      <c r="O87" s="312"/>
      <c r="P87" s="312"/>
      <c r="Q87" s="313"/>
      <c r="R87" s="312"/>
      <c r="S87" s="312"/>
      <c r="T87" s="312"/>
      <c r="U87" s="312"/>
      <c r="V87" s="313"/>
      <c r="W87" s="312"/>
      <c r="X87" s="312"/>
      <c r="Y87" s="312"/>
      <c r="Z87" s="312"/>
      <c r="AA87" s="313"/>
      <c r="AB87" s="312"/>
      <c r="AC87" s="312"/>
      <c r="AD87" s="312"/>
      <c r="AE87" s="312"/>
      <c r="AF87" s="313"/>
      <c r="AG87" s="312"/>
      <c r="AH87" s="312"/>
      <c r="AI87" s="312"/>
      <c r="AJ87" s="312"/>
      <c r="AK87" s="313"/>
      <c r="AL87" s="312"/>
      <c r="AM87" s="312"/>
      <c r="AN87" s="312"/>
      <c r="AO87" s="312"/>
      <c r="AP87" s="313"/>
      <c r="AQ87" s="312"/>
      <c r="AR87" s="312"/>
      <c r="AS87" s="312"/>
      <c r="AT87" s="312"/>
      <c r="AU87" s="313"/>
      <c r="AV87" s="312"/>
      <c r="AW87" s="312"/>
      <c r="AX87" s="312"/>
      <c r="AY87" s="312"/>
      <c r="AZ87" s="313"/>
      <c r="BA87" s="312"/>
      <c r="BB87" s="312"/>
      <c r="BC87" s="312"/>
      <c r="BD87" s="312"/>
      <c r="BE87" s="313"/>
      <c r="BF87" s="312"/>
      <c r="BG87" s="312"/>
      <c r="BH87" s="312"/>
      <c r="BI87" s="312"/>
      <c r="BJ87" s="313"/>
      <c r="BK87" s="312"/>
      <c r="BL87" s="312"/>
      <c r="BM87" s="312"/>
      <c r="BN87" s="312"/>
      <c r="BO87" s="313"/>
      <c r="BP87" s="312"/>
      <c r="BQ87" s="312"/>
      <c r="BR87" s="312"/>
      <c r="BS87" s="312"/>
      <c r="BT87" s="313"/>
      <c r="BU87" s="312"/>
      <c r="BV87" s="312"/>
      <c r="BW87" s="312"/>
      <c r="BX87" s="312"/>
      <c r="BY87" s="313"/>
      <c r="BZ87" s="312"/>
      <c r="CA87" s="312"/>
      <c r="CB87" s="312"/>
      <c r="CC87" s="312"/>
      <c r="CD87" s="319"/>
      <c r="CE87" s="312"/>
      <c r="CF87" s="312"/>
      <c r="CG87" s="312"/>
      <c r="CH87" s="312"/>
      <c r="CI87" s="319"/>
      <c r="CJ87" s="312"/>
      <c r="CK87" s="312"/>
      <c r="CL87" s="312"/>
      <c r="CM87" s="312"/>
      <c r="CN87" s="319"/>
      <c r="CO87" s="312"/>
      <c r="CP87" s="312"/>
      <c r="CQ87" s="312"/>
      <c r="CR87" s="312"/>
      <c r="CS87" s="319"/>
      <c r="CT87" s="481">
        <f>PBP!CT144</f>
      </c>
      <c r="CU87" s="481">
        <f>PBP!CU144</f>
      </c>
      <c r="CV87" s="481">
        <f>PBP!CV144</f>
      </c>
      <c r="CW87" s="481">
        <f>PBP!CW144</f>
      </c>
      <c r="CX87" s="483">
        <f>PBP!CX144</f>
      </c>
      <c r="CY87" s="481">
        <f>PBP!CY144</f>
      </c>
      <c r="CZ87" s="481">
        <f>PBP!CZ144</f>
      </c>
      <c r="DA87" s="481">
        <f>PBP!DA144</f>
      </c>
      <c r="DB87" s="481">
        <f>PBP!DB144</f>
      </c>
      <c r="DC87" s="483">
        <f>PBP!DC144</f>
      </c>
      <c r="DD87" s="481">
        <f>PBP!DD144</f>
      </c>
      <c r="DE87" s="481">
        <f>PBP!DE144</f>
      </c>
      <c r="DF87" s="481">
        <f>PBP!DF144</f>
      </c>
      <c r="DG87" s="481">
        <f>PBP!DG144</f>
      </c>
      <c r="DH87" s="483">
        <f>PBP!DH144</f>
      </c>
      <c r="DI87" s="481">
        <f>PBP!DI144</f>
      </c>
      <c r="DJ87" s="481">
        <f>PBP!DJ144</f>
      </c>
      <c r="DK87" s="481">
        <f>PBP!DK144</f>
      </c>
      <c r="DL87" s="481">
        <f>PBP!DL144</f>
      </c>
      <c r="DM87" s="483">
        <f>PBP!DM144</f>
      </c>
      <c r="DN87" s="481">
        <f>PBP!DN144</f>
      </c>
      <c r="DO87" s="481">
        <f>PBP!DO144</f>
      </c>
      <c r="DP87" s="481">
        <f>PBP!DP144</f>
      </c>
      <c r="DQ87" s="481">
        <f>PBP!DQ144</f>
      </c>
      <c r="DR87" s="483">
        <f>PBP!DR144</f>
      </c>
      <c r="DS87" s="481">
        <f>PBP!DS144</f>
      </c>
      <c r="DT87" s="481">
        <f>PBP!DT144</f>
      </c>
      <c r="DU87" s="481">
        <f>PBP!DU144</f>
      </c>
      <c r="DV87" s="481">
        <f>PBP!DV144</f>
      </c>
      <c r="DW87" s="483">
        <f>PBP!DW144</f>
      </c>
      <c r="DX87" s="481">
        <f>PBP!DX144</f>
      </c>
      <c r="DY87" s="481">
        <f>PBP!DY144</f>
      </c>
      <c r="DZ87" s="481">
        <f>PBP!DZ144</f>
      </c>
      <c r="EA87" s="481">
        <f>PBP!EA144</f>
      </c>
      <c r="EB87" s="483">
        <f>PBP!EB144</f>
      </c>
      <c r="EC87" s="481">
        <f>PBP!EC144</f>
      </c>
      <c r="ED87" s="481">
        <f>PBP!ED144</f>
      </c>
      <c r="EE87" s="481">
        <f>PBP!EE144</f>
      </c>
      <c r="EF87" s="481">
        <f>PBP!EF144</f>
      </c>
      <c r="EG87" s="483">
        <f>PBP!EG144</f>
      </c>
      <c r="EH87" s="481">
        <f>PBP!EH144</f>
      </c>
      <c r="EI87" s="481">
        <f>PBP!EI144</f>
      </c>
      <c r="EJ87" s="481">
        <f>PBP!EJ144</f>
      </c>
      <c r="EK87" s="481">
        <f>PBP!EK144</f>
      </c>
      <c r="EL87" s="483">
        <f>PBP!EL144</f>
      </c>
      <c r="EM87" s="481">
        <f>PBP!EM144</f>
      </c>
      <c r="EN87" s="481">
        <f>PBP!EN144</f>
      </c>
      <c r="EO87" s="481">
        <f>PBP!EO144</f>
      </c>
      <c r="EP87" s="481">
        <f>PBP!EP144</f>
      </c>
      <c r="EQ87" s="483">
        <f>PBP!EQ144</f>
      </c>
      <c r="ER87" s="481">
        <f>PBP!ER144</f>
      </c>
      <c r="ES87" s="481">
        <f>PBP!ES144</f>
      </c>
      <c r="ET87" s="481">
        <f>PBP!ET144</f>
      </c>
      <c r="EU87" s="481">
        <f>PBP!EU144</f>
      </c>
      <c r="EV87" s="483">
        <f>PBP!EV144</f>
      </c>
      <c r="EW87" s="481"/>
      <c r="EX87" s="481"/>
      <c r="EY87" s="481"/>
      <c r="EZ87" s="481"/>
      <c r="FA87" s="483"/>
      <c r="FB87" s="481"/>
      <c r="FC87" s="481"/>
      <c r="FD87" s="481"/>
      <c r="FE87" s="481"/>
      <c r="FF87" s="483"/>
      <c r="FG87" s="481"/>
      <c r="FH87" s="481"/>
      <c r="FI87" s="481"/>
      <c r="FJ87" s="481"/>
      <c r="FK87" s="483"/>
      <c r="FL87" s="481"/>
      <c r="FM87" s="481"/>
      <c r="FN87" s="481"/>
      <c r="FO87" s="481"/>
      <c r="FP87" s="483"/>
      <c r="FQ87" s="481"/>
      <c r="FR87" s="481"/>
      <c r="FS87" s="481"/>
      <c r="FT87" s="481"/>
      <c r="FU87" s="483"/>
      <c r="FV87" s="481"/>
      <c r="FW87" s="481"/>
      <c r="FX87" s="481"/>
      <c r="FY87" s="481"/>
      <c r="FZ87" s="483"/>
      <c r="GA87" s="481"/>
      <c r="GB87" s="481"/>
      <c r="GC87" s="481"/>
      <c r="GD87" s="481"/>
      <c r="GE87" s="483"/>
      <c r="GF87" s="481"/>
      <c r="GG87" s="481"/>
      <c r="GH87" s="481"/>
      <c r="GI87" s="481"/>
      <c r="GJ87" s="827"/>
    </row>
    <row r="88" spans="1:192" s="1241" customFormat="1" ht="12.75" hidden="1" customHeight="1" outlineLevel="1">
      <c r="A88" s="1237"/>
      <c r="B88" s="1323" t="s">
        <v>34</v>
      </c>
      <c r="C88" s="1238"/>
      <c r="D88" s="1117"/>
      <c r="E88" s="1117"/>
      <c r="F88" s="1117"/>
      <c r="G88" s="1239"/>
      <c r="H88" s="1238"/>
      <c r="I88" s="1117"/>
      <c r="J88" s="1117"/>
      <c r="K88" s="1117"/>
      <c r="L88" s="1239"/>
      <c r="M88" s="1238"/>
      <c r="N88" s="1117"/>
      <c r="O88" s="1117"/>
      <c r="P88" s="1117"/>
      <c r="Q88" s="1239"/>
      <c r="R88" s="1238"/>
      <c r="S88" s="1117"/>
      <c r="T88" s="1117"/>
      <c r="U88" s="1117"/>
      <c r="V88" s="1239"/>
      <c r="W88" s="1238"/>
      <c r="X88" s="1117"/>
      <c r="Y88" s="1117"/>
      <c r="Z88" s="1117"/>
      <c r="AA88" s="1239"/>
      <c r="AB88" s="1238"/>
      <c r="AC88" s="1117"/>
      <c r="AD88" s="1117"/>
      <c r="AE88" s="1117"/>
      <c r="AF88" s="1239"/>
      <c r="AG88" s="1238"/>
      <c r="AH88" s="1117"/>
      <c r="AI88" s="1117"/>
      <c r="AJ88" s="1117"/>
      <c r="AK88" s="1239"/>
      <c r="AL88" s="1238"/>
      <c r="AM88" s="1117"/>
      <c r="AN88" s="1117"/>
      <c r="AO88" s="1117"/>
      <c r="AP88" s="1239"/>
      <c r="AQ88" s="1238"/>
      <c r="AR88" s="1117"/>
      <c r="AS88" s="1117"/>
      <c r="AT88" s="1117"/>
      <c r="AU88" s="1239"/>
      <c r="AV88" s="1238"/>
      <c r="AW88" s="1117"/>
      <c r="AX88" s="1117"/>
      <c r="AY88" s="1117"/>
      <c r="AZ88" s="1239"/>
      <c r="BA88" s="1238"/>
      <c r="BB88" s="1117"/>
      <c r="BC88" s="1117"/>
      <c r="BD88" s="1117"/>
      <c r="BE88" s="1239"/>
      <c r="BF88" s="1238"/>
      <c r="BG88" s="1117"/>
      <c r="BH88" s="1117"/>
      <c r="BI88" s="1117"/>
      <c r="BJ88" s="1239"/>
      <c r="BK88" s="1238"/>
      <c r="BL88" s="1117"/>
      <c r="BM88" s="1117"/>
      <c r="BN88" s="1117"/>
      <c r="BO88" s="1239"/>
      <c r="BP88" s="1238"/>
      <c r="BQ88" s="1117"/>
      <c r="BR88" s="1117"/>
      <c r="BS88" s="1117"/>
      <c r="BT88" s="1239"/>
      <c r="BU88" s="1238"/>
      <c r="BV88" s="1117"/>
      <c r="BW88" s="1117"/>
      <c r="BX88" s="1117"/>
      <c r="BY88" s="1239"/>
      <c r="BZ88" s="1238"/>
      <c r="CA88" s="1117"/>
      <c r="CB88" s="1117"/>
      <c r="CC88" s="1117"/>
      <c r="CD88" s="1240"/>
      <c r="CE88" s="1238"/>
      <c r="CF88" s="1117"/>
      <c r="CG88" s="1117"/>
      <c r="CH88" s="1117"/>
      <c r="CI88" s="1240"/>
      <c r="CJ88" s="1238"/>
      <c r="CK88" s="1117"/>
      <c r="CL88" s="1117"/>
      <c r="CM88" s="1117"/>
      <c r="CN88" s="1240"/>
      <c r="CO88" s="1238"/>
      <c r="CP88" s="1117"/>
      <c r="CQ88" s="1117"/>
      <c r="CR88" s="1117"/>
      <c r="CS88" s="1240"/>
      <c r="CT88" s="1238"/>
      <c r="CU88" s="1117"/>
      <c r="CV88" s="1117"/>
      <c r="CW88" s="1117"/>
      <c r="CX88" s="1240"/>
      <c r="CY88" s="892">
        <f t="shared" ref="CY88:EQ88" si="74">CY87/CT87-1</f>
      </c>
      <c r="CZ88" s="892">
        <f t="shared" si="74"/>
      </c>
      <c r="DA88" s="892">
        <f t="shared" si="74"/>
      </c>
      <c r="DB88" s="892">
        <f t="shared" si="74"/>
      </c>
      <c r="DC88" s="1240">
        <f t="shared" si="74"/>
      </c>
      <c r="DD88" s="892">
        <f t="shared" si="74"/>
      </c>
      <c r="DE88" s="892">
        <f t="shared" si="74"/>
      </c>
      <c r="DF88" s="892">
        <f t="shared" si="74"/>
      </c>
      <c r="DG88" s="892">
        <f t="shared" si="74"/>
      </c>
      <c r="DH88" s="1240">
        <f t="shared" si="74"/>
      </c>
      <c r="DI88" s="892">
        <f t="shared" si="74"/>
      </c>
      <c r="DJ88" s="892">
        <f t="shared" si="74"/>
      </c>
      <c r="DK88" s="892">
        <f t="shared" si="74"/>
      </c>
      <c r="DL88" s="892">
        <f t="shared" si="74"/>
      </c>
      <c r="DM88" s="1240">
        <f t="shared" si="74"/>
      </c>
      <c r="DN88" s="892">
        <f t="shared" si="74"/>
      </c>
      <c r="DO88" s="892">
        <f t="shared" si="74"/>
      </c>
      <c r="DP88" s="892">
        <f t="shared" si="74"/>
      </c>
      <c r="DQ88" s="892">
        <f t="shared" si="74"/>
      </c>
      <c r="DR88" s="1240">
        <f t="shared" si="74"/>
      </c>
      <c r="DS88" s="892">
        <f t="shared" si="74"/>
      </c>
      <c r="DT88" s="892">
        <f t="shared" si="74"/>
      </c>
      <c r="DU88" s="892">
        <f t="shared" si="74"/>
      </c>
      <c r="DV88" s="892">
        <f t="shared" si="74"/>
      </c>
      <c r="DW88" s="1240">
        <f t="shared" si="74"/>
      </c>
      <c r="DX88" s="892">
        <f t="shared" si="74"/>
      </c>
      <c r="DY88" s="892">
        <f t="shared" si="74"/>
      </c>
      <c r="DZ88" s="892">
        <f t="shared" si="74"/>
      </c>
      <c r="EA88" s="892">
        <f t="shared" si="74"/>
      </c>
      <c r="EB88" s="1240">
        <f t="shared" si="74"/>
      </c>
      <c r="EC88" s="892">
        <f t="shared" si="74"/>
      </c>
      <c r="ED88" s="892">
        <f t="shared" si="74"/>
      </c>
      <c r="EE88" s="892">
        <f t="shared" si="74"/>
      </c>
      <c r="EF88" s="892">
        <f t="shared" si="74"/>
      </c>
      <c r="EG88" s="1240">
        <f t="shared" si="74"/>
      </c>
      <c r="EH88" s="892">
        <f t="shared" si="74"/>
      </c>
      <c r="EI88" s="892">
        <f t="shared" si="74"/>
      </c>
      <c r="EJ88" s="892">
        <f t="shared" si="74"/>
      </c>
      <c r="EK88" s="892">
        <f t="shared" si="74"/>
      </c>
      <c r="EL88" s="1240">
        <f t="shared" si="74"/>
      </c>
      <c r="EM88" s="892">
        <f t="shared" si="74"/>
      </c>
      <c r="EN88" s="892">
        <f t="shared" si="74"/>
      </c>
      <c r="EO88" s="892">
        <f t="shared" si="74"/>
      </c>
      <c r="EP88" s="892">
        <f t="shared" si="74"/>
      </c>
      <c r="EQ88" s="1240">
        <f t="shared" si="74"/>
      </c>
      <c r="ER88" s="892">
        <f t="shared" ref="ER88:ET88" si="75">ER87/EM87-1</f>
      </c>
      <c r="ES88" s="892">
        <f t="shared" si="75"/>
      </c>
      <c r="ET88" s="892">
        <f t="shared" si="75"/>
      </c>
      <c r="EU88" s="892">
        <f>EU87/EP87-1</f>
      </c>
      <c r="EV88" s="1240">
        <f>EV87/EQ87-1</f>
      </c>
      <c r="EW88" s="892"/>
      <c r="EX88" s="892"/>
      <c r="EY88" s="892"/>
      <c r="EZ88" s="892"/>
      <c r="FA88" s="1240"/>
      <c r="FB88" s="892"/>
      <c r="FC88" s="892"/>
      <c r="FD88" s="892"/>
      <c r="FE88" s="892"/>
      <c r="FF88" s="1240"/>
      <c r="FG88" s="892"/>
      <c r="FH88" s="892"/>
      <c r="FI88" s="892"/>
      <c r="FJ88" s="892"/>
      <c r="FK88" s="1240"/>
      <c r="FL88" s="892"/>
      <c r="FM88" s="892"/>
      <c r="FN88" s="892"/>
      <c r="FO88" s="892"/>
      <c r="FP88" s="1240"/>
      <c r="FQ88" s="892"/>
      <c r="FR88" s="892"/>
      <c r="FS88" s="892"/>
      <c r="FT88" s="892"/>
      <c r="FU88" s="1240"/>
      <c r="FV88" s="892"/>
      <c r="FW88" s="892"/>
      <c r="FX88" s="892"/>
      <c r="FY88" s="892"/>
      <c r="FZ88" s="1240"/>
      <c r="GA88" s="892"/>
      <c r="GB88" s="892"/>
      <c r="GC88" s="892"/>
      <c r="GD88" s="892"/>
      <c r="GE88" s="1240"/>
      <c r="GF88" s="892"/>
      <c r="GG88" s="892"/>
      <c r="GH88" s="892"/>
      <c r="GI88" s="892"/>
      <c r="GJ88" s="1326"/>
    </row>
    <row r="89" spans="1:192" ht="12.75" hidden="1" customHeight="1" outlineLevel="1">
      <c r="B89" s="735" t="s">
        <v>197</v>
      </c>
      <c r="C89" s="291"/>
      <c r="D89" s="107"/>
      <c r="E89" s="107"/>
      <c r="F89" s="107"/>
      <c r="G89" s="293"/>
      <c r="H89" s="291"/>
      <c r="I89" s="107"/>
      <c r="J89" s="107"/>
      <c r="K89" s="107"/>
      <c r="L89" s="293"/>
      <c r="M89" s="291"/>
      <c r="N89" s="107"/>
      <c r="O89" s="107"/>
      <c r="P89" s="107"/>
      <c r="Q89" s="293"/>
      <c r="R89" s="291"/>
      <c r="S89" s="107"/>
      <c r="T89" s="107"/>
      <c r="U89" s="107"/>
      <c r="V89" s="293"/>
      <c r="W89" s="291"/>
      <c r="X89" s="107"/>
      <c r="Y89" s="107"/>
      <c r="Z89" s="107"/>
      <c r="AA89" s="293"/>
      <c r="AB89" s="291"/>
      <c r="AC89" s="107"/>
      <c r="AD89" s="107"/>
      <c r="AE89" s="107"/>
      <c r="AF89" s="293"/>
      <c r="AG89" s="291"/>
      <c r="AH89" s="107"/>
      <c r="AI89" s="107"/>
      <c r="AJ89" s="107"/>
      <c r="AK89" s="293"/>
      <c r="AL89" s="291"/>
      <c r="AM89" s="107"/>
      <c r="AN89" s="107"/>
      <c r="AO89" s="107"/>
      <c r="AP89" s="293"/>
      <c r="AQ89" s="291"/>
      <c r="AR89" s="107"/>
      <c r="AS89" s="107"/>
      <c r="AT89" s="107"/>
      <c r="AU89" s="293"/>
      <c r="AV89" s="291"/>
      <c r="AW89" s="107"/>
      <c r="AX89" s="107"/>
      <c r="AY89" s="107"/>
      <c r="AZ89" s="293"/>
      <c r="BA89" s="291"/>
      <c r="BB89" s="107"/>
      <c r="BC89" s="107"/>
      <c r="BD89" s="107"/>
      <c r="BE89" s="293"/>
      <c r="BF89" s="291"/>
      <c r="BG89" s="107"/>
      <c r="BH89" s="107"/>
      <c r="BI89" s="107"/>
      <c r="BJ89" s="293"/>
      <c r="BK89" s="291"/>
      <c r="BL89" s="107"/>
      <c r="BM89" s="107"/>
      <c r="BN89" s="107"/>
      <c r="BO89" s="293"/>
      <c r="BP89" s="291"/>
      <c r="BQ89" s="107"/>
      <c r="BR89" s="107"/>
      <c r="BS89" s="107"/>
      <c r="BT89" s="293"/>
      <c r="BU89" s="291"/>
      <c r="BV89" s="107"/>
      <c r="BW89" s="107"/>
      <c r="BX89" s="107"/>
      <c r="BY89" s="293"/>
      <c r="BZ89" s="291"/>
      <c r="CA89" s="107"/>
      <c r="CB89" s="107"/>
      <c r="CC89" s="107"/>
      <c r="CD89" s="293"/>
      <c r="CE89" s="291"/>
      <c r="CF89" s="107"/>
      <c r="CG89" s="107"/>
      <c r="CH89" s="107"/>
      <c r="CI89" s="293"/>
      <c r="CJ89" s="291"/>
      <c r="CK89" s="107"/>
      <c r="CL89" s="107"/>
      <c r="CM89" s="107"/>
      <c r="CN89" s="293"/>
      <c r="CO89" s="291"/>
      <c r="CP89" s="107"/>
      <c r="CQ89" s="107"/>
      <c r="CR89" s="107"/>
      <c r="CS89" s="293"/>
      <c r="CT89" s="412"/>
      <c r="CU89" s="114"/>
      <c r="CV89" s="114"/>
      <c r="CW89" s="114"/>
      <c r="CX89" s="293"/>
      <c r="CY89" s="484">
        <f>PBP!CY146</f>
      </c>
      <c r="CZ89" s="485">
        <f>PBP!CZ146</f>
      </c>
      <c r="DA89" s="485">
        <f>PBP!DA146</f>
      </c>
      <c r="DB89" s="485">
        <f>PBP!DB146</f>
      </c>
      <c r="DC89" s="293"/>
      <c r="DD89" s="484">
        <f>PBP!DD146</f>
      </c>
      <c r="DE89" s="485">
        <f>PBP!DE146</f>
      </c>
      <c r="DF89" s="485">
        <f>PBP!DF146</f>
      </c>
      <c r="DG89" s="485">
        <f>PBP!DG146</f>
      </c>
      <c r="DH89" s="486"/>
      <c r="DI89" s="484">
        <f>PBP!DI146</f>
      </c>
      <c r="DJ89" s="485">
        <f>PBP!DJ146</f>
      </c>
      <c r="DK89" s="485">
        <f>PBP!DK146</f>
      </c>
      <c r="DL89" s="485">
        <f>PBP!DL146</f>
      </c>
      <c r="DM89" s="486"/>
      <c r="DN89" s="484">
        <f>PBP!DN146</f>
      </c>
      <c r="DO89" s="485">
        <f>PBP!DO146</f>
      </c>
      <c r="DP89" s="485">
        <f>PBP!DP146</f>
      </c>
      <c r="DQ89" s="485">
        <f>PBP!DQ146</f>
      </c>
      <c r="DR89" s="486"/>
      <c r="DS89" s="484">
        <f>PBP!DS146</f>
      </c>
      <c r="DT89" s="485">
        <f>PBP!DT146</f>
      </c>
      <c r="DU89" s="485">
        <f>PBP!DU146</f>
      </c>
      <c r="DV89" s="485">
        <f>PBP!DV146</f>
      </c>
      <c r="DW89" s="486"/>
      <c r="DX89" s="484">
        <f>PBP!DX146</f>
      </c>
      <c r="DY89" s="485">
        <f>PBP!DY146</f>
      </c>
      <c r="DZ89" s="485">
        <f>PBP!DZ146</f>
      </c>
      <c r="EA89" s="485">
        <f>PBP!EA146</f>
      </c>
      <c r="EB89" s="486"/>
      <c r="EC89" s="484">
        <f>PBP!EC146</f>
      </c>
      <c r="ED89" s="485">
        <f>PBP!ED146</f>
      </c>
      <c r="EE89" s="485">
        <f>PBP!EE146</f>
      </c>
      <c r="EF89" s="485">
        <f>PBP!EF146</f>
      </c>
      <c r="EG89" s="486"/>
      <c r="EH89" s="484">
        <f>PBP!EH146</f>
      </c>
      <c r="EI89" s="485">
        <f>PBP!EI146</f>
      </c>
      <c r="EJ89" s="485">
        <f>PBP!EJ146</f>
      </c>
      <c r="EK89" s="485">
        <f>PBP!EK146</f>
      </c>
      <c r="EL89" s="486"/>
      <c r="EM89" s="484">
        <f>PBP!EM146</f>
      </c>
      <c r="EN89" s="485">
        <f>PBP!EN146</f>
      </c>
      <c r="EO89" s="485">
        <f>PBP!EO146</f>
      </c>
      <c r="EP89" s="485">
        <f>PBP!EP146</f>
      </c>
      <c r="EQ89" s="486"/>
      <c r="ER89" s="484">
        <f>PBP!ER146</f>
      </c>
      <c r="ES89" s="485">
        <f>PBP!ES146</f>
      </c>
      <c r="ET89" s="485">
        <f>PBP!ET146</f>
      </c>
      <c r="EU89" s="485">
        <f>PBP!EU146</f>
      </c>
      <c r="EV89" s="486"/>
      <c r="EW89" s="484"/>
      <c r="EX89" s="485"/>
      <c r="EY89" s="485"/>
      <c r="EZ89" s="485"/>
      <c r="FA89" s="486"/>
      <c r="FB89" s="484"/>
      <c r="FC89" s="485"/>
      <c r="FD89" s="485"/>
      <c r="FE89" s="485"/>
      <c r="FF89" s="486"/>
      <c r="FG89" s="484"/>
      <c r="FH89" s="485"/>
      <c r="FI89" s="485"/>
      <c r="FJ89" s="485"/>
      <c r="FK89" s="486"/>
      <c r="FL89" s="484"/>
      <c r="FM89" s="485"/>
      <c r="FN89" s="485"/>
      <c r="FO89" s="485"/>
      <c r="FP89" s="486"/>
      <c r="FQ89" s="484"/>
      <c r="FR89" s="485"/>
      <c r="FS89" s="485"/>
      <c r="FT89" s="485"/>
      <c r="FU89" s="486"/>
      <c r="FV89" s="484"/>
      <c r="FW89" s="485"/>
      <c r="FX89" s="485"/>
      <c r="FY89" s="485"/>
      <c r="FZ89" s="486"/>
      <c r="GA89" s="484"/>
      <c r="GB89" s="485"/>
      <c r="GC89" s="485"/>
      <c r="GD89" s="485"/>
      <c r="GE89" s="486"/>
      <c r="GF89" s="484"/>
      <c r="GG89" s="485"/>
      <c r="GH89" s="485"/>
      <c r="GI89" s="485"/>
      <c r="GJ89" s="1340"/>
    </row>
    <row r="90" spans="1:192" ht="12.75" hidden="1" customHeight="1" outlineLevel="1">
      <c r="B90" s="735" t="s">
        <v>36</v>
      </c>
      <c r="C90" s="291"/>
      <c r="D90" s="107"/>
      <c r="E90" s="107"/>
      <c r="F90" s="107"/>
      <c r="G90" s="292"/>
      <c r="H90" s="291"/>
      <c r="I90" s="107"/>
      <c r="J90" s="107"/>
      <c r="K90" s="107"/>
      <c r="L90" s="292"/>
      <c r="M90" s="291"/>
      <c r="N90" s="107"/>
      <c r="O90" s="107"/>
      <c r="P90" s="107"/>
      <c r="Q90" s="292"/>
      <c r="R90" s="291"/>
      <c r="S90" s="107"/>
      <c r="T90" s="107"/>
      <c r="U90" s="107"/>
      <c r="V90" s="292"/>
      <c r="W90" s="291"/>
      <c r="X90" s="107"/>
      <c r="Y90" s="107"/>
      <c r="Z90" s="107"/>
      <c r="AA90" s="292"/>
      <c r="AB90" s="291"/>
      <c r="AC90" s="107"/>
      <c r="AD90" s="107"/>
      <c r="AE90" s="107"/>
      <c r="AF90" s="292"/>
      <c r="AG90" s="291"/>
      <c r="AH90" s="107"/>
      <c r="AI90" s="107"/>
      <c r="AJ90" s="107"/>
      <c r="AK90" s="292"/>
      <c r="AL90" s="291"/>
      <c r="AM90" s="107"/>
      <c r="AN90" s="107"/>
      <c r="AO90" s="107"/>
      <c r="AP90" s="292"/>
      <c r="AQ90" s="291"/>
      <c r="AR90" s="107"/>
      <c r="AS90" s="107"/>
      <c r="AT90" s="107"/>
      <c r="AU90" s="292"/>
      <c r="AV90" s="291"/>
      <c r="AW90" s="107"/>
      <c r="AX90" s="107"/>
      <c r="AY90" s="107"/>
      <c r="AZ90" s="292"/>
      <c r="BA90" s="291"/>
      <c r="BB90" s="107"/>
      <c r="BC90" s="107"/>
      <c r="BD90" s="107"/>
      <c r="BE90" s="292"/>
      <c r="BF90" s="291"/>
      <c r="BG90" s="107"/>
      <c r="BH90" s="107"/>
      <c r="BI90" s="107"/>
      <c r="BJ90" s="292"/>
      <c r="BK90" s="291"/>
      <c r="BL90" s="107"/>
      <c r="BM90" s="107"/>
      <c r="BN90" s="107"/>
      <c r="BO90" s="292"/>
      <c r="BP90" s="291"/>
      <c r="BQ90" s="107"/>
      <c r="BR90" s="107"/>
      <c r="BS90" s="107"/>
      <c r="BT90" s="292"/>
      <c r="BU90" s="291"/>
      <c r="BV90" s="107"/>
      <c r="BW90" s="107"/>
      <c r="BX90" s="107"/>
      <c r="BY90" s="292"/>
      <c r="BZ90" s="291"/>
      <c r="CA90" s="107"/>
      <c r="CB90" s="107"/>
      <c r="CC90" s="107"/>
      <c r="CD90" s="292"/>
      <c r="CE90" s="291"/>
      <c r="CF90" s="107"/>
      <c r="CG90" s="107"/>
      <c r="CH90" s="107"/>
      <c r="CI90" s="292"/>
      <c r="CJ90" s="291"/>
      <c r="CK90" s="107"/>
      <c r="CL90" s="107"/>
      <c r="CM90" s="107"/>
      <c r="CN90" s="292"/>
      <c r="CO90" s="291"/>
      <c r="CP90" s="107"/>
      <c r="CQ90" s="107"/>
      <c r="CR90" s="107"/>
      <c r="CS90" s="292"/>
      <c r="CT90" s="291"/>
      <c r="CU90" s="107">
        <f>CU87/CT87-1</f>
      </c>
      <c r="CV90" s="107">
        <f>CV87/CU87-1</f>
      </c>
      <c r="CW90" s="107">
        <f>CW87/CV87-1</f>
      </c>
      <c r="CX90" s="292"/>
      <c r="CY90" s="291">
        <f>CY87/CW87-1</f>
      </c>
      <c r="CZ90" s="107">
        <f>CZ87/CY87-1</f>
      </c>
      <c r="DA90" s="107">
        <f>DA87/CZ87-1</f>
      </c>
      <c r="DB90" s="107">
        <f>DB87/DA87-1</f>
      </c>
      <c r="DC90" s="292"/>
      <c r="DD90" s="291">
        <f>DD87/DB87-1</f>
      </c>
      <c r="DE90" s="107">
        <f>DE87/DD87-1</f>
      </c>
      <c r="DF90" s="107">
        <f>DF87/DE87-1</f>
      </c>
      <c r="DG90" s="107">
        <f>DG87/DF87-1</f>
      </c>
      <c r="DH90" s="292"/>
      <c r="DI90" s="291">
        <f>DI87/DG87-1</f>
      </c>
      <c r="DJ90" s="107">
        <f>DJ87/DI87-1</f>
      </c>
      <c r="DK90" s="107">
        <f>DK87/DJ87-1</f>
      </c>
      <c r="DL90" s="107">
        <f>DL87/DK87-1</f>
      </c>
      <c r="DM90" s="292"/>
      <c r="DN90" s="291">
        <f>DN87/DL87-1</f>
      </c>
      <c r="DO90" s="107">
        <f>DO87/DN87-1</f>
      </c>
      <c r="DP90" s="107">
        <f>DP87/DO87-1</f>
      </c>
      <c r="DQ90" s="107">
        <f>DQ87/DP87-1</f>
      </c>
      <c r="DR90" s="292"/>
      <c r="DS90" s="291">
        <f>DS87/DQ87-1</f>
      </c>
      <c r="DT90" s="107">
        <f>DT87/DS87-1</f>
      </c>
      <c r="DU90" s="107">
        <f>DU87/DT87-1</f>
      </c>
      <c r="DV90" s="107">
        <f>DV87/DU87-1</f>
      </c>
      <c r="DW90" s="292"/>
      <c r="DX90" s="291">
        <f>DX87/DV87-1</f>
      </c>
      <c r="DY90" s="107">
        <f>DY87/DX87-1</f>
      </c>
      <c r="DZ90" s="107">
        <f>DZ87/DY87-1</f>
      </c>
      <c r="EA90" s="107">
        <f>EA87/DZ87-1</f>
      </c>
      <c r="EB90" s="292"/>
      <c r="EC90" s="291">
        <f>EC87/EA87-1</f>
      </c>
      <c r="ED90" s="107">
        <f>ED87/EC87-1</f>
      </c>
      <c r="EE90" s="107">
        <f>EE87/ED87-1</f>
      </c>
      <c r="EF90" s="107">
        <f>EF87/EE87-1</f>
      </c>
      <c r="EG90" s="292"/>
      <c r="EH90" s="291">
        <f>EH87/EF87-1</f>
      </c>
      <c r="EI90" s="107">
        <f>EI87/EH87-1</f>
      </c>
      <c r="EJ90" s="107">
        <f>EJ87/EI87-1</f>
      </c>
      <c r="EK90" s="107">
        <f>EK87/EJ87-1</f>
      </c>
      <c r="EL90" s="292"/>
      <c r="EM90" s="291">
        <f>EM87/EK87-1</f>
      </c>
      <c r="EN90" s="107">
        <f>EN87/EM87-1</f>
      </c>
      <c r="EO90" s="107">
        <f>EO87/EN87-1</f>
      </c>
      <c r="EP90" s="107">
        <f>EP87/EO87-1</f>
      </c>
      <c r="EQ90" s="292"/>
      <c r="ER90" s="291">
        <f>ER87/EP87-1</f>
      </c>
      <c r="ES90" s="107">
        <f>ES87/ER87-1</f>
      </c>
      <c r="ET90" s="107">
        <f>ET87/ES87-1</f>
      </c>
      <c r="EU90" s="107">
        <f>EU87/ET87-1</f>
      </c>
      <c r="EV90" s="292"/>
      <c r="EW90" s="291"/>
      <c r="EX90" s="107"/>
      <c r="EY90" s="107"/>
      <c r="EZ90" s="107"/>
      <c r="FA90" s="292"/>
      <c r="FB90" s="291"/>
      <c r="FC90" s="107"/>
      <c r="FD90" s="107"/>
      <c r="FE90" s="107"/>
      <c r="FF90" s="292"/>
      <c r="FG90" s="291"/>
      <c r="FH90" s="107"/>
      <c r="FI90" s="107"/>
      <c r="FJ90" s="107"/>
      <c r="FK90" s="292"/>
      <c r="FL90" s="291"/>
      <c r="FM90" s="107"/>
      <c r="FN90" s="107"/>
      <c r="FO90" s="107"/>
      <c r="FP90" s="292"/>
      <c r="FQ90" s="291"/>
      <c r="FR90" s="107"/>
      <c r="FS90" s="107"/>
      <c r="FT90" s="107"/>
      <c r="FU90" s="292"/>
      <c r="FV90" s="291"/>
      <c r="FW90" s="107"/>
      <c r="FX90" s="107"/>
      <c r="FY90" s="107"/>
      <c r="FZ90" s="292"/>
      <c r="GA90" s="291"/>
      <c r="GB90" s="107"/>
      <c r="GC90" s="107"/>
      <c r="GD90" s="107"/>
      <c r="GE90" s="292"/>
      <c r="GF90" s="291"/>
      <c r="GG90" s="107"/>
      <c r="GH90" s="107"/>
      <c r="GI90" s="107"/>
      <c r="GJ90" s="384"/>
    </row>
    <row r="91" spans="1:192" ht="12.75" hidden="1" customHeight="1" outlineLevel="1">
      <c r="B91" s="735" t="s">
        <v>243</v>
      </c>
      <c r="C91" s="291"/>
      <c r="D91" s="107"/>
      <c r="E91" s="107"/>
      <c r="F91" s="107"/>
      <c r="G91" s="292"/>
      <c r="H91" s="291"/>
      <c r="I91" s="107"/>
      <c r="J91" s="107"/>
      <c r="K91" s="107"/>
      <c r="L91" s="292"/>
      <c r="M91" s="291"/>
      <c r="N91" s="107"/>
      <c r="O91" s="107"/>
      <c r="P91" s="107"/>
      <c r="Q91" s="292"/>
      <c r="R91" s="291"/>
      <c r="S91" s="107"/>
      <c r="T91" s="107"/>
      <c r="U91" s="107"/>
      <c r="V91" s="292"/>
      <c r="W91" s="291"/>
      <c r="X91" s="107"/>
      <c r="Y91" s="107"/>
      <c r="Z91" s="107"/>
      <c r="AA91" s="292"/>
      <c r="AB91" s="291"/>
      <c r="AC91" s="107"/>
      <c r="AD91" s="107"/>
      <c r="AE91" s="107"/>
      <c r="AF91" s="292"/>
      <c r="AG91" s="291"/>
      <c r="AH91" s="107"/>
      <c r="AI91" s="107"/>
      <c r="AJ91" s="107"/>
      <c r="AK91" s="292"/>
      <c r="AL91" s="291"/>
      <c r="AM91" s="107"/>
      <c r="AN91" s="107"/>
      <c r="AO91" s="107"/>
      <c r="AP91" s="292"/>
      <c r="AQ91" s="291"/>
      <c r="AR91" s="107"/>
      <c r="AS91" s="107"/>
      <c r="AT91" s="107"/>
      <c r="AU91" s="292"/>
      <c r="AV91" s="291"/>
      <c r="AW91" s="107"/>
      <c r="AX91" s="107"/>
      <c r="AY91" s="107"/>
      <c r="AZ91" s="292"/>
      <c r="BA91" s="291"/>
      <c r="BB91" s="107"/>
      <c r="BC91" s="107"/>
      <c r="BD91" s="107"/>
      <c r="BE91" s="292"/>
      <c r="BF91" s="291"/>
      <c r="BG91" s="107"/>
      <c r="BH91" s="107"/>
      <c r="BI91" s="107"/>
      <c r="BJ91" s="292"/>
      <c r="BK91" s="291"/>
      <c r="BL91" s="107"/>
      <c r="BM91" s="107"/>
      <c r="BN91" s="107"/>
      <c r="BO91" s="292"/>
      <c r="BP91" s="291"/>
      <c r="BQ91" s="107"/>
      <c r="BR91" s="107"/>
      <c r="BS91" s="107"/>
      <c r="BT91" s="292"/>
      <c r="BU91" s="291"/>
      <c r="BV91" s="107"/>
      <c r="BW91" s="107"/>
      <c r="BX91" s="107"/>
      <c r="BY91" s="292"/>
      <c r="BZ91" s="291"/>
      <c r="CA91" s="107"/>
      <c r="CB91" s="107"/>
      <c r="CC91" s="107"/>
      <c r="CD91" s="292"/>
      <c r="CE91" s="291"/>
      <c r="CF91" s="107"/>
      <c r="CG91" s="107"/>
      <c r="CH91" s="107"/>
      <c r="CI91" s="292"/>
      <c r="CJ91" s="291"/>
      <c r="CK91" s="107"/>
      <c r="CL91" s="107"/>
      <c r="CM91" s="107"/>
      <c r="CN91" s="292"/>
      <c r="CO91" s="291"/>
      <c r="CP91" s="107"/>
      <c r="CQ91" s="107"/>
      <c r="CR91" s="107"/>
      <c r="CS91" s="292"/>
      <c r="CT91" s="447"/>
      <c r="CU91" s="447"/>
      <c r="CV91" s="447"/>
      <c r="CW91" s="447"/>
      <c r="CX91" s="462"/>
      <c r="CY91" s="447">
        <f t="shared" ref="CY91:EQ91" si="76">CY87-CT87</f>
      </c>
      <c r="CZ91" s="447">
        <f t="shared" si="76"/>
      </c>
      <c r="DA91" s="447">
        <f t="shared" si="76"/>
      </c>
      <c r="DB91" s="447">
        <f t="shared" si="76"/>
      </c>
      <c r="DC91" s="462">
        <f t="shared" si="76"/>
      </c>
      <c r="DD91" s="447">
        <f t="shared" si="76"/>
      </c>
      <c r="DE91" s="447">
        <f t="shared" si="76"/>
      </c>
      <c r="DF91" s="447">
        <f t="shared" si="76"/>
      </c>
      <c r="DG91" s="447">
        <f t="shared" si="76"/>
      </c>
      <c r="DH91" s="462">
        <f t="shared" si="76"/>
      </c>
      <c r="DI91" s="447">
        <f t="shared" si="76"/>
      </c>
      <c r="DJ91" s="447">
        <f t="shared" si="76"/>
      </c>
      <c r="DK91" s="447">
        <f t="shared" si="76"/>
      </c>
      <c r="DL91" s="447">
        <f t="shared" si="76"/>
      </c>
      <c r="DM91" s="462">
        <f t="shared" si="76"/>
      </c>
      <c r="DN91" s="447">
        <f t="shared" si="76"/>
      </c>
      <c r="DO91" s="447">
        <f t="shared" si="76"/>
      </c>
      <c r="DP91" s="447">
        <f t="shared" si="76"/>
      </c>
      <c r="DQ91" s="447">
        <f t="shared" si="76"/>
      </c>
      <c r="DR91" s="462">
        <f t="shared" si="76"/>
      </c>
      <c r="DS91" s="447">
        <f t="shared" si="76"/>
      </c>
      <c r="DT91" s="447">
        <f t="shared" si="76"/>
      </c>
      <c r="DU91" s="447">
        <f t="shared" si="76"/>
      </c>
      <c r="DV91" s="447">
        <f t="shared" si="76"/>
      </c>
      <c r="DW91" s="462">
        <f t="shared" si="76"/>
      </c>
      <c r="DX91" s="447">
        <f t="shared" si="76"/>
      </c>
      <c r="DY91" s="447">
        <f t="shared" si="76"/>
      </c>
      <c r="DZ91" s="447">
        <f t="shared" si="76"/>
      </c>
      <c r="EA91" s="447">
        <f t="shared" si="76"/>
      </c>
      <c r="EB91" s="462">
        <f t="shared" si="76"/>
      </c>
      <c r="EC91" s="447">
        <f t="shared" si="76"/>
      </c>
      <c r="ED91" s="447">
        <f t="shared" si="76"/>
      </c>
      <c r="EE91" s="447">
        <f t="shared" si="76"/>
      </c>
      <c r="EF91" s="447">
        <f t="shared" si="76"/>
      </c>
      <c r="EG91" s="462">
        <f t="shared" si="76"/>
      </c>
      <c r="EH91" s="447">
        <f t="shared" si="76"/>
      </c>
      <c r="EI91" s="447">
        <f t="shared" si="76"/>
      </c>
      <c r="EJ91" s="447">
        <f t="shared" si="76"/>
      </c>
      <c r="EK91" s="447">
        <f t="shared" si="76"/>
      </c>
      <c r="EL91" s="462">
        <f t="shared" si="76"/>
      </c>
      <c r="EM91" s="447">
        <f t="shared" si="76"/>
      </c>
      <c r="EN91" s="447">
        <f t="shared" si="76"/>
      </c>
      <c r="EO91" s="447">
        <f t="shared" si="76"/>
      </c>
      <c r="EP91" s="447">
        <f t="shared" si="76"/>
      </c>
      <c r="EQ91" s="462">
        <f t="shared" si="76"/>
      </c>
      <c r="ER91" s="447">
        <f t="shared" ref="ER91:ET91" si="77">ER87-EM87</f>
      </c>
      <c r="ES91" s="447">
        <f t="shared" si="77"/>
      </c>
      <c r="ET91" s="447">
        <f t="shared" si="77"/>
      </c>
      <c r="EU91" s="447">
        <f>EU87-EP87</f>
      </c>
      <c r="EV91" s="462">
        <f>EV87-EQ87</f>
      </c>
      <c r="EW91" s="447"/>
      <c r="EX91" s="447"/>
      <c r="EY91" s="447"/>
      <c r="EZ91" s="447"/>
      <c r="FA91" s="462"/>
      <c r="FB91" s="447"/>
      <c r="FC91" s="447"/>
      <c r="FD91" s="447"/>
      <c r="FE91" s="447"/>
      <c r="FF91" s="462"/>
      <c r="FG91" s="447"/>
      <c r="FH91" s="447"/>
      <c r="FI91" s="447"/>
      <c r="FJ91" s="447"/>
      <c r="FK91" s="462"/>
      <c r="FL91" s="447"/>
      <c r="FM91" s="447"/>
      <c r="FN91" s="447"/>
      <c r="FO91" s="447"/>
      <c r="FP91" s="462"/>
      <c r="FQ91" s="447"/>
      <c r="FR91" s="447"/>
      <c r="FS91" s="447"/>
      <c r="FT91" s="447"/>
      <c r="FU91" s="462"/>
      <c r="FV91" s="447"/>
      <c r="FW91" s="447"/>
      <c r="FX91" s="447"/>
      <c r="FY91" s="447"/>
      <c r="FZ91" s="462"/>
      <c r="GA91" s="447"/>
      <c r="GB91" s="447"/>
      <c r="GC91" s="447"/>
      <c r="GD91" s="447"/>
      <c r="GE91" s="462"/>
      <c r="GF91" s="447"/>
      <c r="GG91" s="447"/>
      <c r="GH91" s="447"/>
      <c r="GI91" s="447"/>
      <c r="GJ91" s="497"/>
    </row>
    <row r="92" spans="1:192" ht="12.75" hidden="1" customHeight="1" outlineLevel="1">
      <c r="B92" s="735" t="s">
        <v>244</v>
      </c>
      <c r="C92" s="291"/>
      <c r="D92" s="107"/>
      <c r="E92" s="107"/>
      <c r="F92" s="107"/>
      <c r="G92" s="292"/>
      <c r="H92" s="291"/>
      <c r="I92" s="107"/>
      <c r="J92" s="107"/>
      <c r="K92" s="107"/>
      <c r="L92" s="292"/>
      <c r="M92" s="291"/>
      <c r="N92" s="107"/>
      <c r="O92" s="107"/>
      <c r="P92" s="107"/>
      <c r="Q92" s="292"/>
      <c r="R92" s="291"/>
      <c r="S92" s="107"/>
      <c r="T92" s="107"/>
      <c r="U92" s="107"/>
      <c r="V92" s="292"/>
      <c r="W92" s="291"/>
      <c r="X92" s="107"/>
      <c r="Y92" s="107"/>
      <c r="Z92" s="107"/>
      <c r="AA92" s="292"/>
      <c r="AB92" s="291"/>
      <c r="AC92" s="107"/>
      <c r="AD92" s="107"/>
      <c r="AE92" s="107"/>
      <c r="AF92" s="292"/>
      <c r="AG92" s="291"/>
      <c r="AH92" s="107"/>
      <c r="AI92" s="107"/>
      <c r="AJ92" s="107"/>
      <c r="AK92" s="292"/>
      <c r="AL92" s="291"/>
      <c r="AM92" s="107"/>
      <c r="AN92" s="107"/>
      <c r="AO92" s="107"/>
      <c r="AP92" s="292"/>
      <c r="AQ92" s="291"/>
      <c r="AR92" s="107"/>
      <c r="AS92" s="107"/>
      <c r="AT92" s="107"/>
      <c r="AU92" s="292"/>
      <c r="AV92" s="291"/>
      <c r="AW92" s="107"/>
      <c r="AX92" s="107"/>
      <c r="AY92" s="107"/>
      <c r="AZ92" s="292"/>
      <c r="BA92" s="291"/>
      <c r="BB92" s="107"/>
      <c r="BC92" s="107"/>
      <c r="BD92" s="107"/>
      <c r="BE92" s="292"/>
      <c r="BF92" s="291"/>
      <c r="BG92" s="107"/>
      <c r="BH92" s="107"/>
      <c r="BI92" s="107"/>
      <c r="BJ92" s="292"/>
      <c r="BK92" s="291"/>
      <c r="BL92" s="107"/>
      <c r="BM92" s="107"/>
      <c r="BN92" s="107"/>
      <c r="BO92" s="292"/>
      <c r="BP92" s="291"/>
      <c r="BQ92" s="107"/>
      <c r="BR92" s="107"/>
      <c r="BS92" s="107"/>
      <c r="BT92" s="292"/>
      <c r="BU92" s="291"/>
      <c r="BV92" s="107"/>
      <c r="BW92" s="107"/>
      <c r="BX92" s="107"/>
      <c r="BY92" s="292"/>
      <c r="BZ92" s="291"/>
      <c r="CA92" s="107"/>
      <c r="CB92" s="107"/>
      <c r="CC92" s="107"/>
      <c r="CD92" s="292"/>
      <c r="CE92" s="291"/>
      <c r="CF92" s="107"/>
      <c r="CG92" s="107"/>
      <c r="CH92" s="107"/>
      <c r="CI92" s="292"/>
      <c r="CJ92" s="291"/>
      <c r="CK92" s="107"/>
      <c r="CL92" s="107"/>
      <c r="CM92" s="107"/>
      <c r="CN92" s="292"/>
      <c r="CO92" s="291"/>
      <c r="CP92" s="107"/>
      <c r="CQ92" s="107"/>
      <c r="CR92" s="107"/>
      <c r="CS92" s="292"/>
      <c r="CT92" s="447"/>
      <c r="CU92" s="458">
        <f>CU87-CT87</f>
      </c>
      <c r="CV92" s="458">
        <f>CV87-CU87</f>
      </c>
      <c r="CW92" s="458">
        <f>CW87-CV87</f>
      </c>
      <c r="CX92" s="292"/>
      <c r="CY92" s="447">
        <f>CY87-CW87</f>
      </c>
      <c r="CZ92" s="458">
        <f>CZ87-CY87</f>
      </c>
      <c r="DA92" s="458">
        <f>DA87-CZ87</f>
      </c>
      <c r="DB92" s="458">
        <f>DB87-DA87</f>
      </c>
      <c r="DC92" s="292"/>
      <c r="DD92" s="447">
        <f>DD87-DB87</f>
      </c>
      <c r="DE92" s="458">
        <f>DE87-DD87</f>
      </c>
      <c r="DF92" s="458">
        <f>DF87-DE87</f>
      </c>
      <c r="DG92" s="458">
        <f>DG87-DF87</f>
      </c>
      <c r="DH92" s="292"/>
      <c r="DI92" s="447">
        <f>DI87-DG87</f>
      </c>
      <c r="DJ92" s="458">
        <f>DJ87-DI87</f>
      </c>
      <c r="DK92" s="458">
        <f>DK87-DJ87</f>
      </c>
      <c r="DL92" s="458">
        <f>DL87-DK87</f>
      </c>
      <c r="DM92" s="292"/>
      <c r="DN92" s="447">
        <f>DN87-DL87</f>
      </c>
      <c r="DO92" s="458">
        <f>DO87-DN87</f>
      </c>
      <c r="DP92" s="458">
        <f>DP87-DO87</f>
      </c>
      <c r="DQ92" s="458">
        <f>DQ87-DP87</f>
      </c>
      <c r="DR92" s="292"/>
      <c r="DS92" s="447">
        <f>DS87-DQ87</f>
      </c>
      <c r="DT92" s="458">
        <f>DT87-DS87</f>
      </c>
      <c r="DU92" s="458">
        <f>DU87-DT87</f>
      </c>
      <c r="DV92" s="458">
        <f>DV87-DU87</f>
      </c>
      <c r="DW92" s="292"/>
      <c r="DX92" s="447">
        <f>DX87-DV87</f>
      </c>
      <c r="DY92" s="458">
        <f>DY87-DX87</f>
      </c>
      <c r="DZ92" s="458">
        <f>DZ87-DY87</f>
      </c>
      <c r="EA92" s="458">
        <f>EA87-DZ87</f>
      </c>
      <c r="EB92" s="292"/>
      <c r="EC92" s="447">
        <f>EC87-EA87</f>
      </c>
      <c r="ED92" s="458">
        <f>ED87-EC87</f>
      </c>
      <c r="EE92" s="458">
        <f>EE87-ED87</f>
      </c>
      <c r="EF92" s="458">
        <f>EF87-EE87</f>
      </c>
      <c r="EG92" s="292"/>
      <c r="EH92" s="447">
        <f>EH87-EF87</f>
      </c>
      <c r="EI92" s="458">
        <f>EI87-EH87</f>
      </c>
      <c r="EJ92" s="458">
        <f>EJ87-EI87</f>
      </c>
      <c r="EK92" s="458">
        <f>EK87-EJ87</f>
      </c>
      <c r="EL92" s="292"/>
      <c r="EM92" s="447">
        <f>EM87-EK87</f>
      </c>
      <c r="EN92" s="458">
        <f>EN87-EM87</f>
      </c>
      <c r="EO92" s="458">
        <f>EO87-EN87</f>
      </c>
      <c r="EP92" s="458">
        <f>EP87-EO87</f>
      </c>
      <c r="EQ92" s="292"/>
      <c r="ER92" s="447">
        <f>ER87-EP87</f>
      </c>
      <c r="ES92" s="458">
        <f>ES87-ER87</f>
      </c>
      <c r="ET92" s="458">
        <f>ET87-ES87</f>
      </c>
      <c r="EU92" s="458">
        <f>EU87-ET87</f>
      </c>
      <c r="EV92" s="292"/>
      <c r="EW92" s="447"/>
      <c r="EX92" s="458"/>
      <c r="EY92" s="458"/>
      <c r="EZ92" s="458"/>
      <c r="FA92" s="292"/>
      <c r="FB92" s="447"/>
      <c r="FC92" s="458"/>
      <c r="FD92" s="458"/>
      <c r="FE92" s="458"/>
      <c r="FF92" s="292"/>
      <c r="FG92" s="447"/>
      <c r="FH92" s="458"/>
      <c r="FI92" s="458"/>
      <c r="FJ92" s="458"/>
      <c r="FK92" s="292"/>
      <c r="FL92" s="447"/>
      <c r="FM92" s="458"/>
      <c r="FN92" s="458"/>
      <c r="FO92" s="458"/>
      <c r="FP92" s="292"/>
      <c r="FQ92" s="447"/>
      <c r="FR92" s="458"/>
      <c r="FS92" s="458"/>
      <c r="FT92" s="458"/>
      <c r="FU92" s="292"/>
      <c r="FV92" s="447"/>
      <c r="FW92" s="458"/>
      <c r="FX92" s="458"/>
      <c r="FY92" s="458"/>
      <c r="FZ92" s="292"/>
      <c r="GA92" s="447"/>
      <c r="GB92" s="458"/>
      <c r="GC92" s="458"/>
      <c r="GD92" s="458"/>
      <c r="GE92" s="292"/>
      <c r="GF92" s="447"/>
      <c r="GG92" s="458"/>
      <c r="GH92" s="458"/>
      <c r="GI92" s="458"/>
      <c r="GJ92" s="384"/>
    </row>
    <row r="93" spans="1:192" ht="12.75" hidden="1" customHeight="1" outlineLevel="1">
      <c r="B93" s="735" t="s">
        <v>253</v>
      </c>
      <c r="C93" s="291"/>
      <c r="D93" s="107"/>
      <c r="E93" s="107"/>
      <c r="F93" s="107"/>
      <c r="G93" s="292"/>
      <c r="H93" s="291"/>
      <c r="I93" s="107"/>
      <c r="J93" s="107"/>
      <c r="K93" s="107"/>
      <c r="L93" s="292"/>
      <c r="M93" s="291"/>
      <c r="N93" s="107"/>
      <c r="O93" s="107"/>
      <c r="P93" s="107"/>
      <c r="Q93" s="292"/>
      <c r="R93" s="291"/>
      <c r="S93" s="107"/>
      <c r="T93" s="107"/>
      <c r="U93" s="107"/>
      <c r="V93" s="292"/>
      <c r="W93" s="291"/>
      <c r="X93" s="107"/>
      <c r="Y93" s="107"/>
      <c r="Z93" s="107"/>
      <c r="AA93" s="292"/>
      <c r="AB93" s="291"/>
      <c r="AC93" s="107"/>
      <c r="AD93" s="107"/>
      <c r="AE93" s="107"/>
      <c r="AF93" s="292"/>
      <c r="AG93" s="291"/>
      <c r="AH93" s="107"/>
      <c r="AI93" s="107"/>
      <c r="AJ93" s="107"/>
      <c r="AK93" s="292"/>
      <c r="AL93" s="291"/>
      <c r="AM93" s="107"/>
      <c r="AN93" s="107"/>
      <c r="AO93" s="107"/>
      <c r="AP93" s="292"/>
      <c r="AQ93" s="291"/>
      <c r="AR93" s="107"/>
      <c r="AS93" s="107"/>
      <c r="AT93" s="107"/>
      <c r="AU93" s="292"/>
      <c r="AV93" s="291"/>
      <c r="AW93" s="107"/>
      <c r="AX93" s="107"/>
      <c r="AY93" s="107"/>
      <c r="AZ93" s="292"/>
      <c r="BA93" s="291"/>
      <c r="BB93" s="107"/>
      <c r="BC93" s="107"/>
      <c r="BD93" s="107"/>
      <c r="BE93" s="292"/>
      <c r="BF93" s="291"/>
      <c r="BG93" s="107"/>
      <c r="BH93" s="107"/>
      <c r="BI93" s="107"/>
      <c r="BJ93" s="292"/>
      <c r="BK93" s="291"/>
      <c r="BL93" s="107"/>
      <c r="BM93" s="107"/>
      <c r="BN93" s="107"/>
      <c r="BO93" s="292"/>
      <c r="BP93" s="291"/>
      <c r="BQ93" s="107"/>
      <c r="BR93" s="107"/>
      <c r="BS93" s="107"/>
      <c r="BT93" s="292"/>
      <c r="BU93" s="291"/>
      <c r="BV93" s="107"/>
      <c r="BW93" s="107"/>
      <c r="BX93" s="107"/>
      <c r="BY93" s="292"/>
      <c r="BZ93" s="291"/>
      <c r="CA93" s="107"/>
      <c r="CB93" s="107"/>
      <c r="CC93" s="107"/>
      <c r="CD93" s="292"/>
      <c r="CE93" s="291"/>
      <c r="CF93" s="107"/>
      <c r="CG93" s="107"/>
      <c r="CH93" s="107"/>
      <c r="CI93" s="292"/>
      <c r="CJ93" s="291"/>
      <c r="CK93" s="107"/>
      <c r="CL93" s="107"/>
      <c r="CM93" s="107"/>
      <c r="CN93" s="292"/>
      <c r="CO93" s="291"/>
      <c r="CP93" s="107"/>
      <c r="CQ93" s="107"/>
      <c r="CR93" s="107"/>
      <c r="CS93" s="292"/>
      <c r="CT93" s="291"/>
      <c r="CU93" s="107"/>
      <c r="CV93" s="107"/>
      <c r="CW93" s="107"/>
      <c r="CX93" s="292"/>
      <c r="CY93" s="291"/>
      <c r="CZ93" s="107"/>
      <c r="DA93" s="107"/>
      <c r="DB93" s="107"/>
      <c r="DC93" s="292"/>
      <c r="DD93" s="291"/>
      <c r="DE93" s="107"/>
      <c r="DF93" s="107"/>
      <c r="DG93" s="107">
        <f>DG87/DG10</f>
      </c>
      <c r="DH93" s="292"/>
      <c r="DI93" s="291">
        <f t="shared" ref="DI93:EV93" si="78">DI87/DI10</f>
      </c>
      <c r="DJ93" s="107">
        <f t="shared" si="78"/>
      </c>
      <c r="DK93" s="107">
        <f t="shared" si="78"/>
      </c>
      <c r="DL93" s="107">
        <f t="shared" si="78"/>
      </c>
      <c r="DM93" s="292">
        <f t="shared" si="78"/>
      </c>
      <c r="DN93" s="291">
        <f t="shared" si="78"/>
      </c>
      <c r="DO93" s="107">
        <f t="shared" si="78"/>
      </c>
      <c r="DP93" s="107">
        <f t="shared" si="78"/>
      </c>
      <c r="DQ93" s="107">
        <f t="shared" si="78"/>
      </c>
      <c r="DR93" s="292">
        <f t="shared" si="78"/>
      </c>
      <c r="DS93" s="291">
        <f t="shared" si="78"/>
      </c>
      <c r="DT93" s="107">
        <f t="shared" si="78"/>
      </c>
      <c r="DU93" s="107">
        <f t="shared" si="78"/>
      </c>
      <c r="DV93" s="107">
        <f t="shared" si="78"/>
      </c>
      <c r="DW93" s="292">
        <f t="shared" si="78"/>
      </c>
      <c r="DX93" s="291">
        <f t="shared" si="78"/>
      </c>
      <c r="DY93" s="107">
        <f t="shared" si="78"/>
      </c>
      <c r="DZ93" s="107">
        <f t="shared" si="78"/>
      </c>
      <c r="EA93" s="107">
        <f t="shared" si="78"/>
      </c>
      <c r="EB93" s="292">
        <f t="shared" si="78"/>
      </c>
      <c r="EC93" s="291">
        <f t="shared" si="78"/>
      </c>
      <c r="ED93" s="107">
        <f t="shared" si="78"/>
      </c>
      <c r="EE93" s="107">
        <f t="shared" si="78"/>
      </c>
      <c r="EF93" s="107">
        <f t="shared" si="78"/>
      </c>
      <c r="EG93" s="292">
        <f t="shared" si="78"/>
      </c>
      <c r="EH93" s="291">
        <f t="shared" si="78"/>
      </c>
      <c r="EI93" s="107">
        <f t="shared" si="78"/>
      </c>
      <c r="EJ93" s="107">
        <f t="shared" si="78"/>
      </c>
      <c r="EK93" s="107">
        <f t="shared" si="78"/>
      </c>
      <c r="EL93" s="292">
        <f t="shared" si="78"/>
      </c>
      <c r="EM93" s="291">
        <f t="shared" si="78"/>
      </c>
      <c r="EN93" s="291">
        <f t="shared" si="78"/>
      </c>
      <c r="EO93" s="291">
        <f t="shared" si="78"/>
      </c>
      <c r="EP93" s="291">
        <f t="shared" si="78"/>
      </c>
      <c r="EQ93" s="292">
        <f t="shared" si="78"/>
      </c>
      <c r="ER93" s="291">
        <f t="shared" si="78"/>
      </c>
      <c r="ES93" s="291">
        <f t="shared" si="78"/>
      </c>
      <c r="ET93" s="291">
        <f t="shared" si="78"/>
      </c>
      <c r="EU93" s="291">
        <f t="shared" si="78"/>
      </c>
      <c r="EV93" s="292">
        <f t="shared" si="78"/>
      </c>
      <c r="EW93" s="291"/>
      <c r="EX93" s="291"/>
      <c r="EY93" s="291"/>
      <c r="EZ93" s="291"/>
      <c r="FA93" s="292"/>
      <c r="FB93" s="291"/>
      <c r="FC93" s="291"/>
      <c r="FD93" s="291"/>
      <c r="FE93" s="291"/>
      <c r="FF93" s="292"/>
      <c r="FG93" s="291"/>
      <c r="FH93" s="291"/>
      <c r="FI93" s="291"/>
      <c r="FJ93" s="291"/>
      <c r="FK93" s="292"/>
      <c r="FL93" s="291"/>
      <c r="FM93" s="291"/>
      <c r="FN93" s="291"/>
      <c r="FO93" s="291"/>
      <c r="FP93" s="292"/>
      <c r="FQ93" s="291"/>
      <c r="FR93" s="291"/>
      <c r="FS93" s="291"/>
      <c r="FT93" s="291"/>
      <c r="FU93" s="292"/>
      <c r="FV93" s="291"/>
      <c r="FW93" s="291"/>
      <c r="FX93" s="291"/>
      <c r="FY93" s="291"/>
      <c r="FZ93" s="292"/>
      <c r="GA93" s="291"/>
      <c r="GB93" s="291"/>
      <c r="GC93" s="291"/>
      <c r="GD93" s="291"/>
      <c r="GE93" s="292"/>
      <c r="GF93" s="291"/>
      <c r="GG93" s="291"/>
      <c r="GH93" s="291"/>
      <c r="GI93" s="291"/>
      <c r="GJ93" s="384"/>
    </row>
    <row r="94" spans="1:192" s="335" customFormat="1" ht="12.75" customHeight="1" collapsed="1" thickBot="1">
      <c r="A94" s="790"/>
      <c r="B94" s="743"/>
      <c r="C94" s="387"/>
      <c r="D94" s="388"/>
      <c r="E94" s="388"/>
      <c r="F94" s="389"/>
      <c r="G94" s="390"/>
      <c r="H94" s="387"/>
      <c r="I94" s="388"/>
      <c r="J94" s="388"/>
      <c r="K94" s="389"/>
      <c r="L94" s="390"/>
      <c r="M94" s="387"/>
      <c r="N94" s="388"/>
      <c r="O94" s="388"/>
      <c r="P94" s="389"/>
      <c r="Q94" s="390"/>
      <c r="R94" s="387"/>
      <c r="S94" s="388"/>
      <c r="T94" s="388"/>
      <c r="U94" s="389"/>
      <c r="V94" s="390"/>
      <c r="W94" s="387"/>
      <c r="X94" s="388"/>
      <c r="Y94" s="388"/>
      <c r="Z94" s="389"/>
      <c r="AA94" s="390"/>
      <c r="AB94" s="387"/>
      <c r="AC94" s="388"/>
      <c r="AD94" s="388"/>
      <c r="AE94" s="389"/>
      <c r="AF94" s="390"/>
      <c r="AG94" s="387"/>
      <c r="AH94" s="388"/>
      <c r="AI94" s="388"/>
      <c r="AJ94" s="389"/>
      <c r="AK94" s="390"/>
      <c r="AL94" s="387"/>
      <c r="AM94" s="388"/>
      <c r="AN94" s="388"/>
      <c r="AO94" s="389"/>
      <c r="AP94" s="390"/>
      <c r="AQ94" s="387"/>
      <c r="AR94" s="388"/>
      <c r="AS94" s="388"/>
      <c r="AT94" s="389"/>
      <c r="AU94" s="390"/>
      <c r="AV94" s="387"/>
      <c r="AW94" s="388"/>
      <c r="AX94" s="388"/>
      <c r="AY94" s="389"/>
      <c r="AZ94" s="390"/>
      <c r="BA94" s="387"/>
      <c r="BB94" s="388"/>
      <c r="BC94" s="388"/>
      <c r="BD94" s="389"/>
      <c r="BE94" s="390"/>
      <c r="BF94" s="387"/>
      <c r="BG94" s="388"/>
      <c r="BH94" s="388"/>
      <c r="BI94" s="389"/>
      <c r="BJ94" s="390"/>
      <c r="BK94" s="387"/>
      <c r="BL94" s="388"/>
      <c r="BM94" s="388"/>
      <c r="BN94" s="389"/>
      <c r="BO94" s="390"/>
      <c r="BP94" s="387"/>
      <c r="BQ94" s="388"/>
      <c r="BR94" s="388"/>
      <c r="BS94" s="389"/>
      <c r="BT94" s="390"/>
      <c r="BU94" s="387"/>
      <c r="BV94" s="388"/>
      <c r="BW94" s="388"/>
      <c r="BX94" s="389"/>
      <c r="BY94" s="390"/>
      <c r="BZ94" s="387"/>
      <c r="CA94" s="388"/>
      <c r="CB94" s="388"/>
      <c r="CC94" s="389"/>
      <c r="CD94" s="390"/>
      <c r="CE94" s="387"/>
      <c r="CF94" s="388"/>
      <c r="CG94" s="388"/>
      <c r="CH94" s="389"/>
      <c r="CI94" s="390"/>
      <c r="CJ94" s="387"/>
      <c r="CK94" s="388"/>
      <c r="CL94" s="388"/>
      <c r="CM94" s="389"/>
      <c r="CN94" s="390"/>
      <c r="CO94" s="387"/>
      <c r="CP94" s="388"/>
      <c r="CQ94" s="388"/>
      <c r="CR94" s="389"/>
      <c r="CS94" s="390"/>
      <c r="CT94" s="387"/>
      <c r="CU94" s="388"/>
      <c r="CV94" s="388"/>
      <c r="CW94" s="389"/>
      <c r="CX94" s="390"/>
      <c r="CY94" s="387"/>
      <c r="CZ94" s="388"/>
      <c r="DA94" s="388"/>
      <c r="DB94" s="389"/>
      <c r="DC94" s="390"/>
      <c r="DD94" s="387"/>
      <c r="DE94" s="388"/>
      <c r="DF94" s="388"/>
      <c r="DG94" s="389"/>
      <c r="DH94" s="390"/>
      <c r="DI94" s="387"/>
      <c r="DJ94" s="388"/>
      <c r="DK94" s="388"/>
      <c r="DL94" s="389"/>
      <c r="DM94" s="390"/>
      <c r="DN94" s="387"/>
      <c r="DO94" s="388"/>
      <c r="DP94" s="388"/>
      <c r="DQ94" s="389"/>
      <c r="DR94" s="390"/>
      <c r="DS94" s="387"/>
      <c r="DT94" s="388"/>
      <c r="DU94" s="388"/>
      <c r="DV94" s="389"/>
      <c r="DW94" s="390"/>
      <c r="DX94" s="387"/>
      <c r="DY94" s="388"/>
      <c r="DZ94" s="388"/>
      <c r="EA94" s="389"/>
      <c r="EB94" s="390"/>
      <c r="EC94" s="387"/>
      <c r="ED94" s="388"/>
      <c r="EE94" s="388"/>
      <c r="EF94" s="389"/>
      <c r="EG94" s="390"/>
      <c r="EH94" s="387"/>
      <c r="EI94" s="388"/>
      <c r="EJ94" s="388"/>
      <c r="EK94" s="389"/>
      <c r="EL94" s="390"/>
      <c r="EM94" s="387"/>
      <c r="EN94" s="388"/>
      <c r="EO94" s="388"/>
      <c r="EP94" s="389"/>
      <c r="EQ94" s="390"/>
      <c r="ER94" s="387"/>
      <c r="ES94" s="388"/>
      <c r="ET94" s="388"/>
      <c r="EU94" s="389"/>
      <c r="EV94" s="390"/>
      <c r="EW94" s="387"/>
      <c r="EX94" s="388"/>
      <c r="EY94" s="388"/>
      <c r="EZ94" s="389"/>
      <c r="FA94" s="390"/>
      <c r="FB94" s="387"/>
      <c r="FC94" s="388"/>
      <c r="FD94" s="388"/>
      <c r="FE94" s="389"/>
      <c r="FF94" s="390"/>
      <c r="FG94" s="387"/>
      <c r="FH94" s="388"/>
      <c r="FI94" s="388"/>
      <c r="FJ94" s="389"/>
      <c r="FK94" s="390"/>
      <c r="FL94" s="387"/>
      <c r="FM94" s="388"/>
      <c r="FN94" s="388"/>
      <c r="FO94" s="389"/>
      <c r="FP94" s="390"/>
      <c r="FQ94" s="387"/>
      <c r="FR94" s="388"/>
      <c r="FS94" s="388"/>
      <c r="FT94" s="389"/>
      <c r="FU94" s="390"/>
      <c r="FV94" s="387"/>
      <c r="FW94" s="388"/>
      <c r="FX94" s="388"/>
      <c r="FY94" s="389"/>
      <c r="FZ94" s="1469"/>
      <c r="GA94" s="387"/>
      <c r="GB94" s="388"/>
      <c r="GC94" s="388"/>
      <c r="GD94" s="389"/>
      <c r="GE94" s="1469"/>
      <c r="GF94" s="387"/>
      <c r="GG94" s="388"/>
      <c r="GH94" s="388"/>
      <c r="GI94" s="389"/>
      <c r="GJ94" s="391"/>
    </row>
    <row r="95" spans="1:192" ht="12.75" customHeight="1">
      <c r="B95" s="701"/>
      <c r="EL95" s="288"/>
      <c r="EQ95" s="288"/>
    </row>
    <row r="96" spans="1:192" ht="12.75" customHeight="1" thickBot="1">
      <c r="B96" s="701"/>
      <c r="EL96" s="288"/>
      <c r="EQ96" s="288"/>
    </row>
    <row r="97" spans="1:192" ht="12.75" customHeight="1" thickBot="1">
      <c r="B97" s="731" t="s">
        <v>199</v>
      </c>
      <c r="C97" s="396"/>
      <c r="D97" s="397"/>
      <c r="E97" s="397"/>
      <c r="F97" s="397"/>
      <c r="G97" s="397"/>
      <c r="H97" s="396"/>
      <c r="I97" s="397"/>
      <c r="J97" s="397"/>
      <c r="K97" s="397"/>
      <c r="L97" s="397"/>
      <c r="M97" s="396"/>
      <c r="N97" s="397"/>
      <c r="O97" s="397"/>
      <c r="P97" s="397"/>
      <c r="Q97" s="397"/>
      <c r="R97" s="396"/>
      <c r="S97" s="397"/>
      <c r="T97" s="397"/>
      <c r="U97" s="397"/>
      <c r="V97" s="397"/>
      <c r="W97" s="396"/>
      <c r="X97" s="397"/>
      <c r="Y97" s="397"/>
      <c r="Z97" s="397"/>
      <c r="AA97" s="397"/>
      <c r="AB97" s="396"/>
      <c r="AC97" s="397"/>
      <c r="AD97" s="397"/>
      <c r="AE97" s="397"/>
      <c r="AF97" s="397"/>
      <c r="AG97" s="396"/>
      <c r="AH97" s="397"/>
      <c r="AI97" s="397"/>
      <c r="AJ97" s="397"/>
      <c r="AK97" s="397"/>
      <c r="AL97" s="396"/>
      <c r="AM97" s="397"/>
      <c r="AN97" s="397"/>
      <c r="AO97" s="397"/>
      <c r="AP97" s="397"/>
      <c r="AQ97" s="396"/>
      <c r="AR97" s="397"/>
      <c r="AS97" s="397"/>
      <c r="AT97" s="397"/>
      <c r="AU97" s="397"/>
      <c r="AV97" s="396"/>
      <c r="AW97" s="397"/>
      <c r="AX97" s="397"/>
      <c r="AY97" s="397"/>
      <c r="AZ97" s="397"/>
      <c r="BA97" s="396"/>
      <c r="BB97" s="397"/>
      <c r="BC97" s="397"/>
      <c r="BD97" s="397"/>
      <c r="BE97" s="397"/>
      <c r="BF97" s="396"/>
      <c r="BG97" s="397"/>
      <c r="BH97" s="397"/>
      <c r="BI97" s="397"/>
      <c r="BJ97" s="397"/>
      <c r="BK97" s="396"/>
      <c r="BL97" s="397"/>
      <c r="BM97" s="397"/>
      <c r="BN97" s="397"/>
      <c r="BO97" s="397"/>
      <c r="BP97" s="396"/>
      <c r="BQ97" s="397"/>
      <c r="BR97" s="397"/>
      <c r="BS97" s="397"/>
      <c r="BT97" s="397"/>
      <c r="BU97" s="396"/>
      <c r="BV97" s="397"/>
      <c r="BW97" s="397"/>
      <c r="BX97" s="397"/>
      <c r="BY97" s="397"/>
      <c r="BZ97" s="396"/>
      <c r="CA97" s="397"/>
      <c r="CB97" s="397"/>
      <c r="CC97" s="397"/>
      <c r="CD97" s="430"/>
      <c r="CE97" s="396"/>
      <c r="CF97" s="397"/>
      <c r="CG97" s="397"/>
      <c r="CH97" s="397"/>
      <c r="CI97" s="430"/>
      <c r="CJ97" s="396"/>
      <c r="CK97" s="397"/>
      <c r="CL97" s="397"/>
      <c r="CM97" s="397"/>
      <c r="CN97" s="430"/>
      <c r="CO97" s="396"/>
      <c r="CP97" s="397"/>
      <c r="CQ97" s="397"/>
      <c r="CR97" s="397"/>
      <c r="CS97" s="430"/>
      <c r="CT97" s="396"/>
      <c r="CU97" s="397"/>
      <c r="CV97" s="397"/>
      <c r="CW97" s="397"/>
      <c r="CX97" s="430"/>
      <c r="CY97" s="396"/>
      <c r="CZ97" s="397"/>
      <c r="DA97" s="397"/>
      <c r="DB97" s="397"/>
      <c r="DC97" s="430"/>
      <c r="DD97" s="396"/>
      <c r="DE97" s="397"/>
      <c r="DF97" s="397"/>
      <c r="DG97" s="397"/>
      <c r="DH97" s="430"/>
      <c r="DI97" s="396"/>
      <c r="DJ97" s="397"/>
      <c r="DK97" s="397"/>
      <c r="DL97" s="397"/>
      <c r="DM97" s="430"/>
      <c r="DN97" s="396"/>
      <c r="DO97" s="397"/>
      <c r="DP97" s="397"/>
      <c r="DQ97" s="397"/>
      <c r="DR97" s="430"/>
      <c r="DS97" s="396"/>
      <c r="DT97" s="397"/>
      <c r="DU97" s="397"/>
      <c r="DV97" s="397"/>
      <c r="DW97" s="430"/>
      <c r="DX97" s="396"/>
      <c r="DY97" s="397"/>
      <c r="DZ97" s="397"/>
      <c r="EA97" s="397"/>
      <c r="EB97" s="430"/>
      <c r="EC97" s="396"/>
      <c r="ED97" s="397"/>
      <c r="EE97" s="397"/>
      <c r="EF97" s="397"/>
      <c r="EG97" s="430"/>
      <c r="EH97" s="396"/>
      <c r="EI97" s="397"/>
      <c r="EJ97" s="397"/>
      <c r="EK97" s="397"/>
      <c r="EL97" s="430"/>
      <c r="EM97" s="396"/>
      <c r="EN97" s="397"/>
      <c r="EO97" s="397"/>
      <c r="EP97" s="397"/>
      <c r="EQ97" s="430"/>
      <c r="ER97" s="396"/>
      <c r="ES97" s="397"/>
      <c r="ET97" s="397"/>
      <c r="EU97" s="397"/>
      <c r="EV97" s="430"/>
      <c r="EW97" s="396"/>
      <c r="EX97" s="397"/>
      <c r="EY97" s="397"/>
      <c r="EZ97" s="397"/>
      <c r="FA97" s="397"/>
      <c r="FB97" s="396"/>
      <c r="FC97" s="397"/>
      <c r="FD97" s="397"/>
      <c r="FE97" s="397"/>
      <c r="FF97" s="397"/>
      <c r="FG97" s="396"/>
      <c r="FH97" s="397"/>
      <c r="FI97" s="397"/>
      <c r="FJ97" s="397"/>
      <c r="FK97" s="397"/>
      <c r="FL97" s="396"/>
      <c r="FM97" s="397"/>
      <c r="FN97" s="397"/>
      <c r="FO97" s="397"/>
      <c r="FP97" s="397"/>
      <c r="FQ97" s="396"/>
      <c r="FR97" s="397"/>
      <c r="FS97" s="397"/>
      <c r="FT97" s="397"/>
      <c r="FU97" s="397"/>
      <c r="FV97" s="396"/>
      <c r="FW97" s="397"/>
      <c r="FX97" s="397"/>
      <c r="FY97" s="397"/>
      <c r="FZ97" s="397"/>
      <c r="GA97" s="396"/>
      <c r="GB97" s="397"/>
      <c r="GC97" s="397"/>
      <c r="GD97" s="397"/>
      <c r="GE97" s="397"/>
      <c r="GF97" s="396"/>
      <c r="GG97" s="397"/>
      <c r="GH97" s="397"/>
      <c r="GI97" s="397"/>
      <c r="GJ97" s="398"/>
    </row>
    <row r="98" spans="1:192" ht="12.75" customHeight="1">
      <c r="A98" s="792"/>
      <c r="B98" s="746"/>
      <c r="C98" s="378"/>
      <c r="D98" s="379"/>
      <c r="E98" s="379"/>
      <c r="F98" s="379"/>
      <c r="G98" s="380"/>
      <c r="H98" s="378"/>
      <c r="I98" s="379"/>
      <c r="J98" s="379"/>
      <c r="K98" s="379"/>
      <c r="L98" s="380"/>
      <c r="M98" s="378"/>
      <c r="N98" s="379"/>
      <c r="O98" s="379"/>
      <c r="P98" s="379"/>
      <c r="Q98" s="380"/>
      <c r="R98" s="378"/>
      <c r="S98" s="379"/>
      <c r="T98" s="379"/>
      <c r="U98" s="379"/>
      <c r="V98" s="380"/>
      <c r="W98" s="378"/>
      <c r="X98" s="379"/>
      <c r="Y98" s="379"/>
      <c r="Z98" s="379"/>
      <c r="AA98" s="380"/>
      <c r="AB98" s="378"/>
      <c r="AC98" s="379"/>
      <c r="AD98" s="379"/>
      <c r="AE98" s="379"/>
      <c r="AF98" s="380"/>
      <c r="AG98" s="378"/>
      <c r="AH98" s="379"/>
      <c r="AI98" s="379"/>
      <c r="AJ98" s="379"/>
      <c r="AK98" s="380"/>
      <c r="AL98" s="378"/>
      <c r="AM98" s="379"/>
      <c r="AN98" s="379"/>
      <c r="AO98" s="379"/>
      <c r="AP98" s="380"/>
      <c r="AQ98" s="378"/>
      <c r="AR98" s="379"/>
      <c r="AS98" s="379"/>
      <c r="AT98" s="379"/>
      <c r="AU98" s="380"/>
      <c r="AV98" s="378"/>
      <c r="AW98" s="379"/>
      <c r="AX98" s="379"/>
      <c r="AY98" s="379"/>
      <c r="AZ98" s="380"/>
      <c r="BA98" s="378"/>
      <c r="BB98" s="379"/>
      <c r="BC98" s="379"/>
      <c r="BD98" s="379"/>
      <c r="BE98" s="380"/>
      <c r="BF98" s="378"/>
      <c r="BG98" s="379"/>
      <c r="BH98" s="379"/>
      <c r="BI98" s="379"/>
      <c r="BJ98" s="380"/>
      <c r="BK98" s="378"/>
      <c r="BL98" s="379"/>
      <c r="BM98" s="379"/>
      <c r="BN98" s="379"/>
      <c r="BO98" s="380"/>
      <c r="BP98" s="378"/>
      <c r="BQ98" s="379"/>
      <c r="BR98" s="379"/>
      <c r="BS98" s="379"/>
      <c r="BT98" s="380"/>
      <c r="BU98" s="378"/>
      <c r="BV98" s="379"/>
      <c r="BW98" s="379"/>
      <c r="BX98" s="379"/>
      <c r="BY98" s="380"/>
      <c r="BZ98" s="378"/>
      <c r="CA98" s="379"/>
      <c r="CB98" s="379"/>
      <c r="CC98" s="379"/>
      <c r="CD98" s="380"/>
      <c r="CE98" s="378"/>
      <c r="CF98" s="379"/>
      <c r="CG98" s="379"/>
      <c r="CH98" s="379"/>
      <c r="CI98" s="380"/>
      <c r="CJ98" s="378"/>
      <c r="CK98" s="379"/>
      <c r="CL98" s="379"/>
      <c r="CM98" s="379"/>
      <c r="CN98" s="380"/>
      <c r="CO98" s="378"/>
      <c r="CP98" s="379"/>
      <c r="CQ98" s="379"/>
      <c r="CR98" s="379"/>
      <c r="CS98" s="380"/>
      <c r="CT98" s="378"/>
      <c r="CU98" s="379"/>
      <c r="CV98" s="379"/>
      <c r="CW98" s="379"/>
      <c r="CX98" s="380"/>
      <c r="CY98" s="378"/>
      <c r="CZ98" s="379"/>
      <c r="DA98" s="379"/>
      <c r="DB98" s="379"/>
      <c r="DC98" s="380"/>
      <c r="DD98" s="378"/>
      <c r="DE98" s="379"/>
      <c r="DF98" s="379"/>
      <c r="DG98" s="379"/>
      <c r="DH98" s="380"/>
      <c r="DI98" s="378"/>
      <c r="DJ98" s="379"/>
      <c r="DK98" s="379"/>
      <c r="DL98" s="379"/>
      <c r="DM98" s="380"/>
      <c r="DN98" s="378"/>
      <c r="DO98" s="379"/>
      <c r="DP98" s="379"/>
      <c r="DQ98" s="379"/>
      <c r="DR98" s="380"/>
      <c r="DS98" s="378"/>
      <c r="DT98" s="379"/>
      <c r="DU98" s="379"/>
      <c r="DV98" s="379"/>
      <c r="DW98" s="380"/>
      <c r="DX98" s="378"/>
      <c r="DY98" s="379"/>
      <c r="DZ98" s="379"/>
      <c r="EA98" s="379"/>
      <c r="EB98" s="380"/>
      <c r="EC98" s="378"/>
      <c r="ED98" s="379"/>
      <c r="EE98" s="379"/>
      <c r="EF98" s="379"/>
      <c r="EG98" s="380"/>
      <c r="EH98" s="378"/>
      <c r="EI98" s="379"/>
      <c r="EJ98" s="379"/>
      <c r="EK98" s="379"/>
      <c r="EL98" s="380"/>
      <c r="EM98" s="378"/>
      <c r="EN98" s="379"/>
      <c r="EO98" s="379"/>
      <c r="EP98" s="379"/>
      <c r="EQ98" s="380"/>
      <c r="ER98" s="378"/>
      <c r="ES98" s="379"/>
      <c r="ET98" s="379"/>
      <c r="EU98" s="379"/>
      <c r="EV98" s="380"/>
      <c r="EW98" s="378"/>
      <c r="EX98" s="379"/>
      <c r="EY98" s="379"/>
      <c r="EZ98" s="379"/>
      <c r="FA98" s="380"/>
      <c r="FB98" s="378"/>
      <c r="FC98" s="379"/>
      <c r="FD98" s="379"/>
      <c r="FE98" s="379"/>
      <c r="FF98" s="380"/>
      <c r="FG98" s="378"/>
      <c r="FH98" s="379"/>
      <c r="FI98" s="379"/>
      <c r="FJ98" s="379"/>
      <c r="FK98" s="380"/>
      <c r="FL98" s="378"/>
      <c r="FM98" s="379"/>
      <c r="FN98" s="379"/>
      <c r="FO98" s="379"/>
      <c r="FP98" s="380"/>
      <c r="FQ98" s="378"/>
      <c r="FR98" s="379"/>
      <c r="FS98" s="379"/>
      <c r="FT98" s="379"/>
      <c r="FU98" s="380"/>
      <c r="FV98" s="378"/>
      <c r="FW98" s="379"/>
      <c r="FX98" s="379"/>
      <c r="FY98" s="379"/>
      <c r="FZ98" s="380"/>
      <c r="GA98" s="378"/>
      <c r="GB98" s="379"/>
      <c r="GC98" s="379"/>
      <c r="GD98" s="379"/>
      <c r="GE98" s="380"/>
      <c r="GF98" s="378"/>
      <c r="GG98" s="379"/>
      <c r="GH98" s="379"/>
      <c r="GI98" s="379"/>
      <c r="GJ98" s="381"/>
    </row>
    <row r="99" spans="1:192" s="314" customFormat="1" ht="12.75" customHeight="1">
      <c r="A99" s="274"/>
      <c r="B99" s="857" t="s">
        <v>203</v>
      </c>
      <c r="C99" s="311"/>
      <c r="D99" s="311"/>
      <c r="E99" s="311"/>
      <c r="F99" s="311"/>
      <c r="G99" s="318"/>
      <c r="H99" s="311"/>
      <c r="I99" s="311"/>
      <c r="J99" s="311"/>
      <c r="K99" s="402"/>
      <c r="L99" s="409"/>
      <c r="M99" s="311"/>
      <c r="N99" s="311"/>
      <c r="O99" s="311"/>
      <c r="P99" s="311"/>
      <c r="Q99" s="318"/>
      <c r="R99" s="311"/>
      <c r="S99" s="311"/>
      <c r="T99" s="311"/>
      <c r="U99" s="402"/>
      <c r="V99" s="409"/>
      <c r="W99" s="311"/>
      <c r="X99" s="311"/>
      <c r="Y99" s="311"/>
      <c r="Z99" s="311"/>
      <c r="AA99" s="318"/>
      <c r="AB99" s="311"/>
      <c r="AC99" s="311"/>
      <c r="AD99" s="311"/>
      <c r="AE99" s="402"/>
      <c r="AF99" s="409"/>
      <c r="AG99" s="311"/>
      <c r="AH99" s="311"/>
      <c r="AI99" s="311"/>
      <c r="AJ99" s="311"/>
      <c r="AK99" s="318"/>
      <c r="AL99" s="311"/>
      <c r="AM99" s="311"/>
      <c r="AN99" s="311"/>
      <c r="AO99" s="402"/>
      <c r="AP99" s="409"/>
      <c r="AQ99" s="311"/>
      <c r="AR99" s="311"/>
      <c r="AS99" s="311"/>
      <c r="AT99" s="311"/>
      <c r="AU99" s="318"/>
      <c r="AV99" s="311"/>
      <c r="AW99" s="311"/>
      <c r="AX99" s="311"/>
      <c r="AY99" s="402"/>
      <c r="AZ99" s="409"/>
      <c r="BA99" s="311"/>
      <c r="BB99" s="311"/>
      <c r="BC99" s="311"/>
      <c r="BD99" s="311"/>
      <c r="BE99" s="318"/>
      <c r="BF99" s="311"/>
      <c r="BG99" s="311"/>
      <c r="BH99" s="311"/>
      <c r="BI99" s="402"/>
      <c r="BJ99" s="409"/>
      <c r="BK99" s="311"/>
      <c r="BL99" s="311"/>
      <c r="BM99" s="311"/>
      <c r="BN99" s="311"/>
      <c r="BO99" s="318"/>
      <c r="BP99" s="311"/>
      <c r="BQ99" s="311"/>
      <c r="BR99" s="311"/>
      <c r="BS99" s="402"/>
      <c r="BT99" s="409"/>
      <c r="BU99" s="311"/>
      <c r="BV99" s="311"/>
      <c r="BW99" s="311"/>
      <c r="BX99" s="311"/>
      <c r="BY99" s="318"/>
      <c r="BZ99" s="311"/>
      <c r="CA99" s="311"/>
      <c r="CB99" s="311"/>
      <c r="CC99" s="402"/>
      <c r="CD99" s="433"/>
      <c r="CE99" s="311"/>
      <c r="CF99" s="311"/>
      <c r="CG99" s="311"/>
      <c r="CH99" s="311"/>
      <c r="CI99" s="432"/>
      <c r="CJ99" s="311"/>
      <c r="CK99" s="311"/>
      <c r="CL99" s="311"/>
      <c r="CM99" s="402"/>
      <c r="CN99" s="433"/>
      <c r="CO99" s="311"/>
      <c r="CP99" s="311"/>
      <c r="CQ99" s="311"/>
      <c r="CR99" s="311"/>
      <c r="CS99" s="432"/>
      <c r="CT99" s="311"/>
      <c r="CU99" s="311"/>
      <c r="CV99" s="311"/>
      <c r="CW99" s="402"/>
      <c r="CX99" s="433"/>
      <c r="CY99" s="311"/>
      <c r="CZ99" s="311"/>
      <c r="DA99" s="311"/>
      <c r="DB99" s="311"/>
      <c r="DC99" s="432"/>
      <c r="DD99" s="311"/>
      <c r="DE99" s="311"/>
      <c r="DF99" s="311"/>
      <c r="DG99" s="402"/>
      <c r="DH99" s="433"/>
      <c r="DI99" s="481"/>
      <c r="DJ99" s="481">
        <f>PBP!DJ312</f>
      </c>
      <c r="DK99" s="481">
        <f>PBP!DK312</f>
      </c>
      <c r="DL99" s="858">
        <f>PBP!DL312</f>
      </c>
      <c r="DM99" s="859">
        <f>PBP!DM312</f>
      </c>
      <c r="DN99" s="481">
        <f>PBP!DN312</f>
      </c>
      <c r="DO99" s="481">
        <f>PBP!DO312</f>
      </c>
      <c r="DP99" s="481">
        <f>PBP!DP312</f>
      </c>
      <c r="DQ99" s="858">
        <f>PBP!DQ312</f>
      </c>
      <c r="DR99" s="859">
        <f>PBP!DR312</f>
      </c>
      <c r="DS99" s="481">
        <f>PBP!DS312</f>
      </c>
      <c r="DT99" s="481">
        <f>PBP!DT312</f>
      </c>
      <c r="DU99" s="481">
        <f>PBP!DU312</f>
      </c>
      <c r="DV99" s="858">
        <f>PBP!DV312</f>
      </c>
      <c r="DW99" s="859">
        <f>PBP!DW312</f>
      </c>
      <c r="DX99" s="481">
        <f>PBP!DX312</f>
      </c>
      <c r="DY99" s="481">
        <f>PBP!DY312</f>
      </c>
      <c r="DZ99" s="481">
        <f>PBP!DZ312</f>
      </c>
      <c r="EA99" s="858">
        <f>PBP!EA312</f>
      </c>
      <c r="EB99" s="859">
        <f>PBP!EB312</f>
      </c>
      <c r="EC99" s="481">
        <f>PBP!EC312</f>
      </c>
      <c r="ED99" s="481">
        <f>PBP!ED312</f>
      </c>
      <c r="EE99" s="481">
        <f>PBP!EE312</f>
      </c>
      <c r="EF99" s="858">
        <f>PBP!EF312</f>
      </c>
      <c r="EG99" s="859">
        <f>PBP!EG312</f>
      </c>
      <c r="EH99" s="481">
        <f>PBP!EH312</f>
      </c>
      <c r="EI99" s="481">
        <f>PBP!EI312</f>
      </c>
      <c r="EJ99" s="481">
        <f>PBP!EJ312</f>
      </c>
      <c r="EK99" s="858">
        <f>PBP!EK312</f>
      </c>
      <c r="EL99" s="859">
        <f>PBP!EL312</f>
      </c>
      <c r="EM99" s="481">
        <f>PBP!EM312</f>
      </c>
      <c r="EN99" s="481">
        <f>PBP!EN312</f>
      </c>
      <c r="EO99" s="481">
        <f>PBP!EO312</f>
      </c>
      <c r="EP99" s="858">
        <f>PBP!EP312</f>
      </c>
      <c r="EQ99" s="859">
        <f>PBP!EQ312</f>
      </c>
      <c r="ER99" s="481">
        <f>PBP!ER312</f>
      </c>
      <c r="ES99" s="481">
        <f>PBP!ES312</f>
      </c>
      <c r="ET99" s="481">
        <f>PBP!ET312</f>
      </c>
      <c r="EU99" s="858">
        <f>PBP!EU312</f>
      </c>
      <c r="EV99" s="859">
        <f>PBP!EV312</f>
      </c>
      <c r="EW99" s="481">
        <f>PBP!EW312</f>
      </c>
      <c r="EX99" s="481">
        <f>PBP!EX312</f>
      </c>
      <c r="EY99" s="481">
        <f>PBP!EY312</f>
      </c>
      <c r="EZ99" s="858">
        <f>PBP!EZ312</f>
      </c>
      <c r="FA99" s="859">
        <f>PBP!FA312</f>
      </c>
      <c r="FB99" s="481">
        <f>PBP!FB312</f>
      </c>
      <c r="FC99" s="481">
        <f>PBP!FC312</f>
      </c>
      <c r="FD99" s="481">
        <f>PBP!FD312</f>
      </c>
      <c r="FE99" s="858">
        <f>PBP!FE312</f>
      </c>
      <c r="FF99" s="859">
        <f>PBP!FF312</f>
      </c>
      <c r="FG99" s="481">
        <f>PBP!FG312</f>
      </c>
      <c r="FH99" s="481">
        <f>PBP!FH312</f>
      </c>
      <c r="FI99" s="481">
        <f>PBP!FI312</f>
      </c>
      <c r="FJ99" s="858">
        <f>PBP!FJ312</f>
      </c>
      <c r="FK99" s="859">
        <f>PBP!FK312</f>
      </c>
      <c r="FL99" s="481">
        <f>PBP!FL312</f>
      </c>
      <c r="FM99" s="481">
        <f>PBP!FM312</f>
      </c>
      <c r="FN99" s="481">
        <f>PBP!FN312</f>
      </c>
      <c r="FO99" s="858">
        <f>PBP!FO312</f>
      </c>
      <c r="FP99" s="859">
        <f>PBP!FP312</f>
      </c>
      <c r="FQ99" s="481">
        <f>PBP!FQ312</f>
      </c>
      <c r="FR99" s="481">
        <f>PBP!FR312</f>
      </c>
      <c r="FS99" s="481">
        <f>PBP!FS312</f>
      </c>
      <c r="FT99" s="858">
        <f>PBP!FT312</f>
      </c>
      <c r="FU99" s="859">
        <f>PBP!FU312</f>
      </c>
      <c r="FV99" s="481">
        <f>PBP!FV312</f>
      </c>
      <c r="FW99" s="481">
        <f>PBP!FW312</f>
      </c>
      <c r="FX99" s="481">
        <f>PBP!FX312</f>
      </c>
      <c r="FY99" s="858">
        <f>PBP!FY312</f>
      </c>
      <c r="FZ99" s="1472">
        <f>PBP!FZ312</f>
      </c>
      <c r="GA99" s="481">
        <f>PBP!GA312</f>
      </c>
      <c r="GB99" s="481">
        <f>PBP!GB312</f>
      </c>
      <c r="GC99" s="481">
        <f>PBP!GC312</f>
      </c>
      <c r="GD99" s="858">
        <f>PBP!GD312</f>
      </c>
      <c r="GE99" s="1472">
        <f>PBP!GE312</f>
      </c>
      <c r="GF99" s="481">
        <f>PBP!GF312</f>
      </c>
      <c r="GG99" s="481">
        <f>PBP!GG312</f>
      </c>
      <c r="GH99" s="481">
        <f>PBP!GH312</f>
      </c>
      <c r="GI99" s="858">
        <f>PBP!GI312</f>
      </c>
      <c r="GJ99" s="1339">
        <f>PBP!GJ312</f>
      </c>
    </row>
    <row r="100" spans="1:192" s="1241" customFormat="1" ht="12.75" customHeight="1">
      <c r="A100" s="1237"/>
      <c r="B100" s="1323" t="s">
        <v>34</v>
      </c>
      <c r="C100" s="1238"/>
      <c r="D100" s="1117"/>
      <c r="E100" s="1117"/>
      <c r="F100" s="1117"/>
      <c r="G100" s="1239"/>
      <c r="H100" s="1238"/>
      <c r="I100" s="1117"/>
      <c r="J100" s="1117"/>
      <c r="K100" s="1329"/>
      <c r="L100" s="1330"/>
      <c r="M100" s="1238"/>
      <c r="N100" s="1117"/>
      <c r="O100" s="1117"/>
      <c r="P100" s="1117"/>
      <c r="Q100" s="1239"/>
      <c r="R100" s="1238"/>
      <c r="S100" s="1117"/>
      <c r="T100" s="1117"/>
      <c r="U100" s="1329"/>
      <c r="V100" s="1330"/>
      <c r="W100" s="1238"/>
      <c r="X100" s="1117"/>
      <c r="Y100" s="1117"/>
      <c r="Z100" s="1117"/>
      <c r="AA100" s="1239"/>
      <c r="AB100" s="1238"/>
      <c r="AC100" s="1117"/>
      <c r="AD100" s="1117"/>
      <c r="AE100" s="1329"/>
      <c r="AF100" s="1330"/>
      <c r="AG100" s="1238"/>
      <c r="AH100" s="1117"/>
      <c r="AI100" s="1117"/>
      <c r="AJ100" s="1329"/>
      <c r="AK100" s="1330"/>
      <c r="AL100" s="1238"/>
      <c r="AM100" s="1117"/>
      <c r="AN100" s="1117"/>
      <c r="AO100" s="1329"/>
      <c r="AP100" s="1330"/>
      <c r="AQ100" s="1238"/>
      <c r="AR100" s="1117"/>
      <c r="AS100" s="1117"/>
      <c r="AT100" s="1329"/>
      <c r="AU100" s="1330"/>
      <c r="AV100" s="1238"/>
      <c r="AW100" s="1117"/>
      <c r="AX100" s="1117"/>
      <c r="AY100" s="1329"/>
      <c r="AZ100" s="1330"/>
      <c r="BA100" s="1238"/>
      <c r="BB100" s="1117"/>
      <c r="BC100" s="1117"/>
      <c r="BD100" s="1329"/>
      <c r="BE100" s="1330"/>
      <c r="BF100" s="1238"/>
      <c r="BG100" s="1117"/>
      <c r="BH100" s="1117"/>
      <c r="BI100" s="1329"/>
      <c r="BJ100" s="1330"/>
      <c r="BK100" s="1238"/>
      <c r="BL100" s="1117"/>
      <c r="BM100" s="1117"/>
      <c r="BN100" s="1117"/>
      <c r="BO100" s="1239"/>
      <c r="BP100" s="1238"/>
      <c r="BQ100" s="1117"/>
      <c r="BR100" s="1117"/>
      <c r="BS100" s="1329"/>
      <c r="BT100" s="1330"/>
      <c r="BU100" s="1238"/>
      <c r="BV100" s="1117"/>
      <c r="BW100" s="1117"/>
      <c r="BX100" s="1117"/>
      <c r="BY100" s="1239"/>
      <c r="BZ100" s="1238"/>
      <c r="CA100" s="1117"/>
      <c r="CB100" s="1117"/>
      <c r="CC100" s="1329"/>
      <c r="CD100" s="1331"/>
      <c r="CE100" s="1238"/>
      <c r="CF100" s="1117"/>
      <c r="CG100" s="1117"/>
      <c r="CH100" s="1117"/>
      <c r="CI100" s="1240"/>
      <c r="CJ100" s="1238"/>
      <c r="CK100" s="1117"/>
      <c r="CL100" s="1117"/>
      <c r="CM100" s="1329"/>
      <c r="CN100" s="1331"/>
      <c r="CO100" s="1238"/>
      <c r="CP100" s="1117"/>
      <c r="CQ100" s="1117"/>
      <c r="CR100" s="1117"/>
      <c r="CS100" s="1240"/>
      <c r="CT100" s="1238"/>
      <c r="CU100" s="1117"/>
      <c r="CV100" s="1117"/>
      <c r="CW100" s="1329"/>
      <c r="CX100" s="1331"/>
      <c r="CY100" s="1238"/>
      <c r="CZ100" s="1117"/>
      <c r="DA100" s="1117"/>
      <c r="DB100" s="1117"/>
      <c r="DC100" s="1240"/>
      <c r="DD100" s="1238"/>
      <c r="DE100" s="1117"/>
      <c r="DF100" s="1117"/>
      <c r="DG100" s="1329"/>
      <c r="DH100" s="1331"/>
      <c r="DI100" s="1238"/>
      <c r="DJ100" s="1117"/>
      <c r="DK100" s="1117"/>
      <c r="DL100" s="1329"/>
      <c r="DM100" s="1331"/>
      <c r="DN100" s="1146"/>
      <c r="DO100" s="1146"/>
      <c r="DP100" s="1146">
        <f t="shared" ref="DP100:ET100" si="79">DP99/DK99-1</f>
      </c>
      <c r="DQ100" s="1338">
        <f t="shared" si="79"/>
      </c>
      <c r="DR100" s="1331">
        <f t="shared" si="79"/>
      </c>
      <c r="DS100" s="1146">
        <f t="shared" si="79"/>
      </c>
      <c r="DT100" s="1146">
        <f t="shared" si="79"/>
      </c>
      <c r="DU100" s="1146">
        <f t="shared" si="79"/>
      </c>
      <c r="DV100" s="1338">
        <f t="shared" si="79"/>
      </c>
      <c r="DW100" s="1331">
        <f t="shared" si="79"/>
      </c>
      <c r="DX100" s="1146">
        <f t="shared" si="79"/>
      </c>
      <c r="DY100" s="1146">
        <f t="shared" si="79"/>
      </c>
      <c r="DZ100" s="1146">
        <f t="shared" si="79"/>
      </c>
      <c r="EA100" s="1338">
        <f t="shared" si="79"/>
      </c>
      <c r="EB100" s="1331">
        <f t="shared" si="79"/>
      </c>
      <c r="EC100" s="1146">
        <f t="shared" si="79"/>
      </c>
      <c r="ED100" s="1146">
        <f t="shared" si="79"/>
      </c>
      <c r="EE100" s="1146">
        <f t="shared" si="79"/>
      </c>
      <c r="EF100" s="1338">
        <f t="shared" si="79"/>
      </c>
      <c r="EG100" s="1331">
        <f t="shared" si="79"/>
      </c>
      <c r="EH100" s="1146">
        <f t="shared" si="79"/>
      </c>
      <c r="EI100" s="1146">
        <f t="shared" si="79"/>
      </c>
      <c r="EJ100" s="1146">
        <f t="shared" si="79"/>
      </c>
      <c r="EK100" s="1338">
        <f t="shared" si="79"/>
      </c>
      <c r="EL100" s="1331">
        <f t="shared" si="79"/>
      </c>
      <c r="EM100" s="1146">
        <f t="shared" si="79"/>
      </c>
      <c r="EN100" s="1146">
        <f t="shared" si="79"/>
      </c>
      <c r="EO100" s="1146">
        <f t="shared" si="79"/>
      </c>
      <c r="EP100" s="1338">
        <f t="shared" si="79"/>
      </c>
      <c r="EQ100" s="1331">
        <f t="shared" si="79"/>
      </c>
      <c r="ER100" s="1146">
        <f t="shared" si="79"/>
      </c>
      <c r="ES100" s="1146">
        <f t="shared" si="79"/>
      </c>
      <c r="ET100" s="1146">
        <f t="shared" si="79"/>
      </c>
      <c r="EU100" s="1338">
        <f>EU99/EP99-1</f>
      </c>
      <c r="EV100" s="1331">
        <f>EV99/EQ99-1</f>
      </c>
      <c r="EW100" s="1146">
        <f t="shared" ref="EW100:FZ100" si="80">EW99/ER99-1</f>
      </c>
      <c r="EX100" s="1146">
        <f t="shared" si="80"/>
      </c>
      <c r="EY100" s="1146">
        <f t="shared" si="80"/>
      </c>
      <c r="EZ100" s="1338">
        <f>EZ99/EU99-1</f>
      </c>
      <c r="FA100" s="1331">
        <f t="shared" si="80"/>
      </c>
      <c r="FB100" s="1146">
        <f t="shared" si="80"/>
      </c>
      <c r="FC100" s="1146">
        <f t="shared" si="80"/>
      </c>
      <c r="FD100" s="1146">
        <f t="shared" si="80"/>
      </c>
      <c r="FE100" s="1338">
        <f t="shared" si="80"/>
      </c>
      <c r="FF100" s="1331">
        <f t="shared" si="80"/>
      </c>
      <c r="FG100" s="1146">
        <f t="shared" si="80"/>
      </c>
      <c r="FH100" s="1146">
        <f t="shared" si="80"/>
      </c>
      <c r="FI100" s="1146">
        <f t="shared" si="80"/>
      </c>
      <c r="FJ100" s="1338">
        <f t="shared" si="80"/>
      </c>
      <c r="FK100" s="1331">
        <f t="shared" si="80"/>
      </c>
      <c r="FL100" s="1146">
        <f t="shared" si="80"/>
      </c>
      <c r="FM100" s="1146">
        <f t="shared" si="80"/>
      </c>
      <c r="FN100" s="1146">
        <f t="shared" si="80"/>
      </c>
      <c r="FO100" s="1338">
        <f t="shared" si="80"/>
      </c>
      <c r="FP100" s="1331">
        <f t="shared" si="80"/>
      </c>
      <c r="FQ100" s="1146">
        <f t="shared" si="80"/>
      </c>
      <c r="FR100" s="1146">
        <f t="shared" si="80"/>
      </c>
      <c r="FS100" s="1146">
        <f t="shared" si="80"/>
      </c>
      <c r="FT100" s="1338">
        <f t="shared" si="80"/>
      </c>
      <c r="FU100" s="1331">
        <f t="shared" si="80"/>
      </c>
      <c r="FV100" s="892">
        <f t="shared" si="80"/>
      </c>
      <c r="FW100" s="924">
        <f t="shared" si="80"/>
      </c>
      <c r="FX100" s="924">
        <f t="shared" si="80"/>
      </c>
      <c r="FY100" s="888">
        <f t="shared" si="80"/>
      </c>
      <c r="FZ100" s="1240">
        <f t="shared" si="80"/>
      </c>
      <c r="GA100" s="892">
        <f t="shared" ref="GA100:GJ100" si="81">GA99/FV99-1</f>
      </c>
      <c r="GB100" s="924">
        <f t="shared" si="81"/>
      </c>
      <c r="GC100" s="924">
        <f t="shared" si="81"/>
      </c>
      <c r="GD100" s="888">
        <f t="shared" si="81"/>
      </c>
      <c r="GE100" s="1240">
        <f t="shared" si="81"/>
      </c>
      <c r="GF100" s="892">
        <f t="shared" si="81"/>
      </c>
      <c r="GG100" s="924">
        <f t="shared" si="81"/>
      </c>
      <c r="GH100" s="924">
        <f t="shared" si="81"/>
      </c>
      <c r="GI100" s="888">
        <f t="shared" si="81"/>
      </c>
      <c r="GJ100" s="1326">
        <f t="shared" si="81"/>
      </c>
    </row>
    <row r="101" spans="1:192" ht="12.75" customHeight="1">
      <c r="B101" s="735" t="s">
        <v>197</v>
      </c>
      <c r="C101" s="412"/>
      <c r="D101" s="114"/>
      <c r="E101" s="114"/>
      <c r="F101" s="114"/>
      <c r="G101" s="413"/>
      <c r="H101" s="412"/>
      <c r="I101" s="114"/>
      <c r="J101" s="114"/>
      <c r="K101" s="423"/>
      <c r="L101" s="424"/>
      <c r="M101" s="412"/>
      <c r="N101" s="114"/>
      <c r="O101" s="114"/>
      <c r="P101" s="423"/>
      <c r="Q101" s="424"/>
      <c r="R101" s="412"/>
      <c r="S101" s="114"/>
      <c r="T101" s="114"/>
      <c r="U101" s="423"/>
      <c r="V101" s="424"/>
      <c r="W101" s="412"/>
      <c r="X101" s="114"/>
      <c r="Y101" s="114"/>
      <c r="Z101" s="423"/>
      <c r="AA101" s="424"/>
      <c r="AB101" s="412"/>
      <c r="AC101" s="114"/>
      <c r="AD101" s="114"/>
      <c r="AE101" s="423"/>
      <c r="AF101" s="424"/>
      <c r="AG101" s="412"/>
      <c r="AH101" s="114"/>
      <c r="AI101" s="114"/>
      <c r="AJ101" s="423"/>
      <c r="AK101" s="424"/>
      <c r="AL101" s="412"/>
      <c r="AM101" s="114"/>
      <c r="AN101" s="114"/>
      <c r="AO101" s="423"/>
      <c r="AP101" s="424"/>
      <c r="AQ101" s="412"/>
      <c r="AR101" s="114"/>
      <c r="AS101" s="114"/>
      <c r="AT101" s="423"/>
      <c r="AU101" s="424"/>
      <c r="AV101" s="412"/>
      <c r="AW101" s="114"/>
      <c r="AX101" s="114"/>
      <c r="AY101" s="423"/>
      <c r="AZ101" s="424"/>
      <c r="BA101" s="412"/>
      <c r="BB101" s="114"/>
      <c r="BC101" s="114"/>
      <c r="BD101" s="423"/>
      <c r="BE101" s="424"/>
      <c r="BF101" s="412"/>
      <c r="BG101" s="114"/>
      <c r="BH101" s="114"/>
      <c r="BI101" s="423"/>
      <c r="BJ101" s="424"/>
      <c r="BK101" s="412"/>
      <c r="BL101" s="114"/>
      <c r="BM101" s="114"/>
      <c r="BN101" s="114"/>
      <c r="BO101" s="413"/>
      <c r="BP101" s="412"/>
      <c r="BQ101" s="114"/>
      <c r="BR101" s="114"/>
      <c r="BS101" s="423"/>
      <c r="BT101" s="424"/>
      <c r="BU101" s="412"/>
      <c r="BV101" s="114"/>
      <c r="BW101" s="114"/>
      <c r="BX101" s="114"/>
      <c r="BY101" s="413"/>
      <c r="BZ101" s="412"/>
      <c r="CA101" s="114"/>
      <c r="CB101" s="114"/>
      <c r="CC101" s="423"/>
      <c r="CD101" s="407"/>
      <c r="CE101" s="412"/>
      <c r="CF101" s="114"/>
      <c r="CG101" s="114"/>
      <c r="CH101" s="114"/>
      <c r="CI101" s="292"/>
      <c r="CJ101" s="412"/>
      <c r="CK101" s="114"/>
      <c r="CL101" s="114"/>
      <c r="CM101" s="423"/>
      <c r="CN101" s="407"/>
      <c r="CO101" s="412"/>
      <c r="CP101" s="114"/>
      <c r="CQ101" s="114"/>
      <c r="CR101" s="423"/>
      <c r="CS101" s="407"/>
      <c r="CT101" s="412"/>
      <c r="CU101" s="114"/>
      <c r="CV101" s="114"/>
      <c r="CW101" s="423"/>
      <c r="CX101" s="407"/>
      <c r="CY101" s="412"/>
      <c r="CZ101" s="114"/>
      <c r="DA101" s="114"/>
      <c r="DB101" s="114"/>
      <c r="DC101" s="292"/>
      <c r="DD101" s="412"/>
      <c r="DE101" s="114"/>
      <c r="DF101" s="114"/>
      <c r="DG101" s="423"/>
      <c r="DH101" s="407"/>
      <c r="DI101" s="484"/>
      <c r="DJ101" s="485"/>
      <c r="DK101" s="485"/>
      <c r="DL101" s="860"/>
      <c r="DM101" s="407"/>
      <c r="DN101" s="484"/>
      <c r="DO101" s="485"/>
      <c r="DP101" s="485">
        <f>PBP!DP314</f>
      </c>
      <c r="DQ101" s="860">
        <f>PBP!DQ314</f>
      </c>
      <c r="DR101" s="407"/>
      <c r="DS101" s="484">
        <f>PBP!DS314</f>
      </c>
      <c r="DT101" s="485">
        <f>PBP!DT314</f>
      </c>
      <c r="DU101" s="485">
        <f>PBP!DU314</f>
      </c>
      <c r="DV101" s="860">
        <f>PBP!DV314</f>
      </c>
      <c r="DW101" s="407"/>
      <c r="DX101" s="484">
        <f>PBP!DX314</f>
      </c>
      <c r="DY101" s="485">
        <f>PBP!DY314</f>
      </c>
      <c r="DZ101" s="485">
        <f>PBP!DZ314</f>
      </c>
      <c r="EA101" s="860">
        <f>PBP!EA314</f>
      </c>
      <c r="EB101" s="407"/>
      <c r="EC101" s="484">
        <f>PBP!EC314</f>
      </c>
      <c r="ED101" s="485">
        <f>PBP!ED314</f>
      </c>
      <c r="EE101" s="485">
        <f>PBP!EE314</f>
      </c>
      <c r="EF101" s="860">
        <f>PBP!EF314</f>
      </c>
      <c r="EG101" s="407"/>
      <c r="EH101" s="484">
        <f>PBP!EH314</f>
      </c>
      <c r="EI101" s="485">
        <f>PBP!EI314</f>
      </c>
      <c r="EJ101" s="485">
        <f>PBP!EJ314</f>
      </c>
      <c r="EK101" s="860">
        <f>PBP!EK314</f>
      </c>
      <c r="EL101" s="292"/>
      <c r="EM101" s="484">
        <f>PBP!EM314</f>
      </c>
      <c r="EN101" s="485">
        <f>PBP!EN314</f>
      </c>
      <c r="EO101" s="485">
        <f>PBP!EO314</f>
      </c>
      <c r="EP101" s="860">
        <f>PBP!EP314</f>
      </c>
      <c r="EQ101" s="861"/>
      <c r="ER101" s="484">
        <f>PBP!ER314</f>
      </c>
      <c r="ES101" s="485"/>
      <c r="ET101" s="485"/>
      <c r="EU101" s="860">
        <f>PBP!EU314</f>
      </c>
      <c r="EV101" s="861"/>
      <c r="EW101" s="484"/>
      <c r="EX101" s="485"/>
      <c r="EY101" s="485"/>
      <c r="EZ101" s="860">
        <f>PBP!EZ314</f>
      </c>
      <c r="FA101" s="407"/>
      <c r="FB101" s="291"/>
      <c r="FC101" s="107"/>
      <c r="FD101" s="107"/>
      <c r="FE101" s="346"/>
      <c r="FF101" s="407"/>
      <c r="FG101" s="291"/>
      <c r="FH101" s="107"/>
      <c r="FI101" s="107"/>
      <c r="FJ101" s="346"/>
      <c r="FK101" s="407"/>
      <c r="FL101" s="291"/>
      <c r="FM101" s="107"/>
      <c r="FN101" s="107"/>
      <c r="FO101" s="346"/>
      <c r="FP101" s="407"/>
      <c r="FQ101" s="291"/>
      <c r="FR101" s="107"/>
      <c r="FS101" s="107"/>
      <c r="FT101" s="346"/>
      <c r="FU101" s="407"/>
      <c r="FV101" s="291"/>
      <c r="FW101" s="107"/>
      <c r="FX101" s="107"/>
      <c r="FY101" s="346"/>
      <c r="FZ101" s="292"/>
      <c r="GA101" s="291"/>
      <c r="GB101" s="107"/>
      <c r="GC101" s="107"/>
      <c r="GD101" s="346"/>
      <c r="GE101" s="292"/>
      <c r="GF101" s="291"/>
      <c r="GG101" s="107"/>
      <c r="GH101" s="107"/>
      <c r="GI101" s="346"/>
      <c r="GJ101" s="384"/>
    </row>
    <row r="102" spans="1:192" ht="12.75" customHeight="1">
      <c r="B102" s="735" t="s">
        <v>36</v>
      </c>
      <c r="C102" s="291"/>
      <c r="D102" s="107"/>
      <c r="E102" s="107"/>
      <c r="F102" s="107"/>
      <c r="G102" s="293"/>
      <c r="H102" s="291"/>
      <c r="I102" s="107"/>
      <c r="J102" s="107"/>
      <c r="K102" s="346"/>
      <c r="L102" s="347"/>
      <c r="M102" s="291"/>
      <c r="N102" s="107"/>
      <c r="O102" s="107"/>
      <c r="P102" s="346"/>
      <c r="Q102" s="347"/>
      <c r="R102" s="291"/>
      <c r="S102" s="107"/>
      <c r="T102" s="107"/>
      <c r="U102" s="346"/>
      <c r="V102" s="347"/>
      <c r="W102" s="291"/>
      <c r="X102" s="107"/>
      <c r="Y102" s="107"/>
      <c r="Z102" s="346"/>
      <c r="AA102" s="347"/>
      <c r="AB102" s="291"/>
      <c r="AC102" s="107"/>
      <c r="AD102" s="107"/>
      <c r="AE102" s="346"/>
      <c r="AF102" s="347"/>
      <c r="AG102" s="291"/>
      <c r="AH102" s="107"/>
      <c r="AI102" s="107"/>
      <c r="AJ102" s="346"/>
      <c r="AK102" s="347"/>
      <c r="AL102" s="291"/>
      <c r="AM102" s="107"/>
      <c r="AN102" s="107"/>
      <c r="AO102" s="346"/>
      <c r="AP102" s="347"/>
      <c r="AQ102" s="291"/>
      <c r="AR102" s="107"/>
      <c r="AS102" s="107"/>
      <c r="AT102" s="346"/>
      <c r="AU102" s="347"/>
      <c r="AV102" s="291"/>
      <c r="AW102" s="107"/>
      <c r="AX102" s="107"/>
      <c r="AY102" s="346"/>
      <c r="AZ102" s="347"/>
      <c r="BA102" s="291"/>
      <c r="BB102" s="107"/>
      <c r="BC102" s="107"/>
      <c r="BD102" s="346"/>
      <c r="BE102" s="347"/>
      <c r="BF102" s="291"/>
      <c r="BG102" s="107"/>
      <c r="BH102" s="107"/>
      <c r="BI102" s="346"/>
      <c r="BJ102" s="347"/>
      <c r="BK102" s="291"/>
      <c r="BL102" s="107"/>
      <c r="BM102" s="107"/>
      <c r="BN102" s="107"/>
      <c r="BO102" s="293"/>
      <c r="BP102" s="291"/>
      <c r="BQ102" s="107"/>
      <c r="BR102" s="107"/>
      <c r="BS102" s="346"/>
      <c r="BT102" s="347"/>
      <c r="BU102" s="291"/>
      <c r="BV102" s="107"/>
      <c r="BW102" s="107"/>
      <c r="BX102" s="107"/>
      <c r="BY102" s="293"/>
      <c r="BZ102" s="291"/>
      <c r="CA102" s="107"/>
      <c r="CB102" s="107"/>
      <c r="CC102" s="346"/>
      <c r="CD102" s="347"/>
      <c r="CE102" s="291"/>
      <c r="CF102" s="107"/>
      <c r="CG102" s="107"/>
      <c r="CH102" s="107"/>
      <c r="CI102" s="293"/>
      <c r="CJ102" s="291"/>
      <c r="CK102" s="107"/>
      <c r="CL102" s="107"/>
      <c r="CM102" s="346"/>
      <c r="CN102" s="347"/>
      <c r="CO102" s="291"/>
      <c r="CP102" s="107"/>
      <c r="CQ102" s="107"/>
      <c r="CR102" s="346"/>
      <c r="CS102" s="347"/>
      <c r="CT102" s="291"/>
      <c r="CU102" s="107"/>
      <c r="CV102" s="107"/>
      <c r="CW102" s="346"/>
      <c r="CX102" s="347"/>
      <c r="CY102" s="291"/>
      <c r="CZ102" s="107"/>
      <c r="DA102" s="107"/>
      <c r="DB102" s="346"/>
      <c r="DC102" s="347"/>
      <c r="DD102" s="291"/>
      <c r="DE102" s="107"/>
      <c r="DF102" s="107"/>
      <c r="DG102" s="346"/>
      <c r="DH102" s="347"/>
      <c r="DI102" s="291"/>
      <c r="DJ102" s="107"/>
      <c r="DK102" s="107"/>
      <c r="DL102" s="346">
        <f>DL99/DK99-1</f>
      </c>
      <c r="DM102" s="347"/>
      <c r="DN102" s="291">
        <f>DN99/DL99-1</f>
      </c>
      <c r="DO102" s="107">
        <f>DO99/DN99-1</f>
      </c>
      <c r="DP102" s="107">
        <f>DP99/DO99-1</f>
      </c>
      <c r="DQ102" s="346">
        <f>DQ99/DP99-1</f>
      </c>
      <c r="DR102" s="347"/>
      <c r="DS102" s="291">
        <f>DS99/DQ99-1</f>
      </c>
      <c r="DT102" s="107">
        <f>DT99/DS99-1</f>
      </c>
      <c r="DU102" s="107">
        <f>DU99/DT99-1</f>
      </c>
      <c r="DV102" s="346">
        <f>DV99/DU99-1</f>
      </c>
      <c r="DW102" s="347"/>
      <c r="DX102" s="291">
        <f>DX99/DV99-1</f>
      </c>
      <c r="DY102" s="107">
        <f>DY99/DX99-1</f>
      </c>
      <c r="DZ102" s="107">
        <f>DZ99/DY99-1</f>
      </c>
      <c r="EA102" s="346">
        <f>EA99/DZ99-1</f>
      </c>
      <c r="EB102" s="347"/>
      <c r="EC102" s="291">
        <f>EC99/EA99-1</f>
      </c>
      <c r="ED102" s="107">
        <f>ED99/EC99-1</f>
      </c>
      <c r="EE102" s="107">
        <f>EE99/ED99-1</f>
      </c>
      <c r="EF102" s="346">
        <f>EF99/EE99-1</f>
      </c>
      <c r="EG102" s="347"/>
      <c r="EH102" s="291">
        <f>EH99/EF99-1</f>
      </c>
      <c r="EI102" s="107">
        <f>EI99/EH99-1</f>
      </c>
      <c r="EJ102" s="107">
        <f>EJ99/EI99-1</f>
      </c>
      <c r="EK102" s="346">
        <f>EK99/EJ99-1</f>
      </c>
      <c r="EL102" s="293"/>
      <c r="EM102" s="291">
        <f>EM99/EK99-1</f>
      </c>
      <c r="EN102" s="107">
        <f>EN99/EM99-1</f>
      </c>
      <c r="EO102" s="107">
        <f>EO99/EN99-1</f>
      </c>
      <c r="EP102" s="346">
        <f>EP99/EO99-1</f>
      </c>
      <c r="EQ102" s="347"/>
      <c r="ER102" s="291">
        <f>ER99/EP99-1</f>
      </c>
      <c r="ES102" s="107">
        <f>ES99/ER99-1</f>
      </c>
      <c r="ET102" s="107">
        <f>ET99/ES99-1</f>
      </c>
      <c r="EU102" s="346">
        <f>EU99/ET99-1</f>
      </c>
      <c r="EV102" s="347"/>
      <c r="EW102" s="291">
        <f>EW99/EU99-1</f>
      </c>
      <c r="EX102" s="107">
        <f>EX99/EW99-1</f>
      </c>
      <c r="EY102" s="107">
        <f>EY99/EX99-1</f>
      </c>
      <c r="EZ102" s="346">
        <f>EZ99/EY99-1</f>
      </c>
      <c r="FA102" s="347"/>
      <c r="FB102" s="291">
        <f>FB99/EZ99-1</f>
      </c>
      <c r="FC102" s="107">
        <f>FC99/FB99-1</f>
      </c>
      <c r="FD102" s="107">
        <f>FD99/FC99-1</f>
      </c>
      <c r="FE102" s="346">
        <f>FE99/FD99-1</f>
      </c>
      <c r="FF102" s="347"/>
      <c r="FG102" s="291">
        <f>FG99/FE99-1</f>
      </c>
      <c r="FH102" s="107">
        <f>FH99/FG99-1</f>
      </c>
      <c r="FI102" s="107">
        <f>FI99/FH99-1</f>
      </c>
      <c r="FJ102" s="346">
        <f>FJ99/FI99-1</f>
      </c>
      <c r="FK102" s="347"/>
      <c r="FL102" s="291">
        <f>FL99/FJ99-1</f>
      </c>
      <c r="FM102" s="107">
        <f>FM99/FL99-1</f>
      </c>
      <c r="FN102" s="107">
        <f>FN99/FM99-1</f>
      </c>
      <c r="FO102" s="346">
        <f>FO99/FN99-1</f>
      </c>
      <c r="FP102" s="347"/>
      <c r="FQ102" s="291">
        <f>FQ99/FO99-1</f>
      </c>
      <c r="FR102" s="107">
        <f>FR99/FQ99-1</f>
      </c>
      <c r="FS102" s="107">
        <f>FS99/FR99-1</f>
      </c>
      <c r="FT102" s="346">
        <f>FT99/FS99-1</f>
      </c>
      <c r="FU102" s="347"/>
      <c r="FV102" s="291">
        <f>FV99/FT99-1</f>
      </c>
      <c r="FW102" s="107">
        <f>FW99/FV99-1</f>
      </c>
      <c r="FX102" s="107">
        <f>FX99/FW99-1</f>
      </c>
      <c r="FY102" s="346">
        <f>FY99/FX99-1</f>
      </c>
      <c r="FZ102" s="293"/>
      <c r="GA102" s="291">
        <f>GA99/FY99-1</f>
      </c>
      <c r="GB102" s="107">
        <f>GB99/GA99-1</f>
      </c>
      <c r="GC102" s="107">
        <f>GC99/GB99-1</f>
      </c>
      <c r="GD102" s="346">
        <f>GD99/GC99-1</f>
      </c>
      <c r="GE102" s="293"/>
      <c r="GF102" s="291">
        <f>GF99/GD99-1</f>
      </c>
      <c r="GG102" s="107">
        <f>GG99/GF99-1</f>
      </c>
      <c r="GH102" s="107">
        <f>GH99/GG99-1</f>
      </c>
      <c r="GI102" s="346">
        <f>GI99/GH99-1</f>
      </c>
      <c r="GJ102" s="382"/>
    </row>
    <row r="103" spans="1:192" s="335" customFormat="1" ht="12.75" customHeight="1">
      <c r="A103" s="790"/>
      <c r="B103" s="735" t="s">
        <v>258</v>
      </c>
      <c r="C103" s="106"/>
      <c r="D103" s="107"/>
      <c r="E103" s="107"/>
      <c r="F103" s="346"/>
      <c r="G103" s="347"/>
      <c r="H103" s="106"/>
      <c r="I103" s="107"/>
      <c r="J103" s="107"/>
      <c r="K103" s="346"/>
      <c r="L103" s="347"/>
      <c r="M103" s="106"/>
      <c r="N103" s="107"/>
      <c r="O103" s="107"/>
      <c r="P103" s="346"/>
      <c r="Q103" s="347"/>
      <c r="R103" s="106"/>
      <c r="S103" s="107"/>
      <c r="T103" s="107"/>
      <c r="U103" s="346"/>
      <c r="V103" s="347"/>
      <c r="W103" s="106"/>
      <c r="X103" s="107"/>
      <c r="Y103" s="107"/>
      <c r="Z103" s="346"/>
      <c r="AA103" s="347"/>
      <c r="AB103" s="106"/>
      <c r="AC103" s="107"/>
      <c r="AD103" s="107"/>
      <c r="AE103" s="346"/>
      <c r="AF103" s="347"/>
      <c r="AG103" s="106"/>
      <c r="AH103" s="107"/>
      <c r="AI103" s="107"/>
      <c r="AJ103" s="346"/>
      <c r="AK103" s="347"/>
      <c r="AL103" s="106"/>
      <c r="AM103" s="107"/>
      <c r="AN103" s="107"/>
      <c r="AO103" s="346"/>
      <c r="AP103" s="347"/>
      <c r="AQ103" s="106"/>
      <c r="AR103" s="107"/>
      <c r="AS103" s="107"/>
      <c r="AT103" s="346"/>
      <c r="AU103" s="347"/>
      <c r="AV103" s="106"/>
      <c r="AW103" s="107"/>
      <c r="AX103" s="107"/>
      <c r="AY103" s="346"/>
      <c r="AZ103" s="347"/>
      <c r="BA103" s="106"/>
      <c r="BB103" s="107"/>
      <c r="BC103" s="107"/>
      <c r="BD103" s="346"/>
      <c r="BE103" s="347"/>
      <c r="BF103" s="106"/>
      <c r="BG103" s="107"/>
      <c r="BH103" s="107"/>
      <c r="BI103" s="346"/>
      <c r="BJ103" s="347"/>
      <c r="BK103" s="106"/>
      <c r="BL103" s="107"/>
      <c r="BM103" s="107"/>
      <c r="BN103" s="346"/>
      <c r="BO103" s="347"/>
      <c r="BP103" s="106"/>
      <c r="BQ103" s="107"/>
      <c r="BR103" s="107"/>
      <c r="BS103" s="346"/>
      <c r="BT103" s="347"/>
      <c r="BU103" s="106"/>
      <c r="BV103" s="107"/>
      <c r="BW103" s="107"/>
      <c r="BX103" s="346"/>
      <c r="BY103" s="347"/>
      <c r="BZ103" s="106"/>
      <c r="CA103" s="107"/>
      <c r="CB103" s="107"/>
      <c r="CC103" s="346"/>
      <c r="CD103" s="347"/>
      <c r="CE103" s="106"/>
      <c r="CF103" s="107"/>
      <c r="CG103" s="107"/>
      <c r="CH103" s="346"/>
      <c r="CI103" s="347"/>
      <c r="CJ103" s="106"/>
      <c r="CK103" s="107"/>
      <c r="CL103" s="107"/>
      <c r="CM103" s="346"/>
      <c r="CN103" s="347"/>
      <c r="CO103" s="106"/>
      <c r="CP103" s="107"/>
      <c r="CQ103" s="107"/>
      <c r="CR103" s="346"/>
      <c r="CS103" s="347"/>
      <c r="CT103" s="106"/>
      <c r="CU103" s="107"/>
      <c r="CV103" s="107"/>
      <c r="CW103" s="346"/>
      <c r="CX103" s="347"/>
      <c r="CY103" s="106"/>
      <c r="CZ103" s="107"/>
      <c r="DA103" s="107"/>
      <c r="DB103" s="346"/>
      <c r="DC103" s="347"/>
      <c r="DD103" s="106"/>
      <c r="DE103" s="107"/>
      <c r="DF103" s="107"/>
      <c r="DG103" s="346"/>
      <c r="DH103" s="347"/>
      <c r="DI103" s="106"/>
      <c r="DJ103" s="107">
        <f t="shared" ref="DJ103:EO103" si="82">DJ99/DJ10</f>
      </c>
      <c r="DK103" s="107">
        <f t="shared" si="82"/>
      </c>
      <c r="DL103" s="346">
        <f t="shared" si="82"/>
      </c>
      <c r="DM103" s="347">
        <f t="shared" si="82"/>
      </c>
      <c r="DN103" s="106">
        <f t="shared" si="82"/>
      </c>
      <c r="DO103" s="107">
        <f t="shared" si="82"/>
      </c>
      <c r="DP103" s="107">
        <f t="shared" si="82"/>
      </c>
      <c r="DQ103" s="346">
        <f t="shared" si="82"/>
      </c>
      <c r="DR103" s="347">
        <f t="shared" si="82"/>
      </c>
      <c r="DS103" s="106">
        <f t="shared" si="82"/>
      </c>
      <c r="DT103" s="107">
        <f t="shared" si="82"/>
      </c>
      <c r="DU103" s="107">
        <f t="shared" si="82"/>
      </c>
      <c r="DV103" s="346">
        <f t="shared" si="82"/>
      </c>
      <c r="DW103" s="347">
        <f t="shared" si="82"/>
      </c>
      <c r="DX103" s="106">
        <f t="shared" si="82"/>
      </c>
      <c r="DY103" s="107">
        <f t="shared" si="82"/>
      </c>
      <c r="DZ103" s="107">
        <f t="shared" si="82"/>
      </c>
      <c r="EA103" s="346">
        <f t="shared" si="82"/>
      </c>
      <c r="EB103" s="347">
        <f t="shared" si="82"/>
      </c>
      <c r="EC103" s="106">
        <f t="shared" si="82"/>
      </c>
      <c r="ED103" s="107">
        <f t="shared" si="82"/>
      </c>
      <c r="EE103" s="107">
        <f t="shared" si="82"/>
      </c>
      <c r="EF103" s="346">
        <f t="shared" si="82"/>
      </c>
      <c r="EG103" s="347">
        <f t="shared" si="82"/>
      </c>
      <c r="EH103" s="106">
        <f t="shared" si="82"/>
      </c>
      <c r="EI103" s="107">
        <f t="shared" si="82"/>
      </c>
      <c r="EJ103" s="107">
        <f t="shared" si="82"/>
      </c>
      <c r="EK103" s="346">
        <f t="shared" si="82"/>
      </c>
      <c r="EL103" s="347">
        <f t="shared" si="82"/>
      </c>
      <c r="EM103" s="106">
        <f t="shared" si="82"/>
      </c>
      <c r="EN103" s="107">
        <f t="shared" si="82"/>
      </c>
      <c r="EO103" s="107">
        <f t="shared" si="82"/>
      </c>
      <c r="EP103" s="346">
        <f t="shared" ref="EP103:FU103" si="83">EP99/EP10</f>
      </c>
      <c r="EQ103" s="347">
        <f t="shared" si="83"/>
      </c>
      <c r="ER103" s="106">
        <f t="shared" si="83"/>
      </c>
      <c r="ES103" s="107">
        <f t="shared" si="83"/>
      </c>
      <c r="ET103" s="107">
        <f t="shared" si="83"/>
      </c>
      <c r="EU103" s="346">
        <f t="shared" si="83"/>
      </c>
      <c r="EV103" s="347">
        <f t="shared" si="83"/>
      </c>
      <c r="EW103" s="106">
        <f t="shared" si="83"/>
      </c>
      <c r="EX103" s="107">
        <f t="shared" si="83"/>
      </c>
      <c r="EY103" s="107">
        <f t="shared" si="83"/>
      </c>
      <c r="EZ103" s="346">
        <f t="shared" ref="EZ103" si="84">EZ99/EZ10</f>
      </c>
      <c r="FA103" s="347">
        <f t="shared" si="83"/>
      </c>
      <c r="FB103" s="106">
        <f t="shared" si="83"/>
      </c>
      <c r="FC103" s="107">
        <f t="shared" si="83"/>
      </c>
      <c r="FD103" s="107">
        <f t="shared" si="83"/>
      </c>
      <c r="FE103" s="346">
        <f t="shared" si="83"/>
      </c>
      <c r="FF103" s="347">
        <f t="shared" si="83"/>
      </c>
      <c r="FG103" s="106">
        <f t="shared" si="83"/>
      </c>
      <c r="FH103" s="107">
        <f t="shared" si="83"/>
      </c>
      <c r="FI103" s="107">
        <f t="shared" si="83"/>
      </c>
      <c r="FJ103" s="346">
        <f t="shared" si="83"/>
      </c>
      <c r="FK103" s="347">
        <f t="shared" si="83"/>
      </c>
      <c r="FL103" s="106">
        <f t="shared" si="83"/>
      </c>
      <c r="FM103" s="107">
        <f t="shared" si="83"/>
      </c>
      <c r="FN103" s="107">
        <f t="shared" si="83"/>
      </c>
      <c r="FO103" s="346">
        <f t="shared" si="83"/>
      </c>
      <c r="FP103" s="347">
        <f t="shared" si="83"/>
      </c>
      <c r="FQ103" s="106">
        <f t="shared" si="83"/>
      </c>
      <c r="FR103" s="107">
        <f t="shared" si="83"/>
      </c>
      <c r="FS103" s="107">
        <f t="shared" si="83"/>
      </c>
      <c r="FT103" s="346">
        <f t="shared" si="83"/>
      </c>
      <c r="FU103" s="347">
        <f t="shared" si="83"/>
      </c>
      <c r="FV103" s="106">
        <f t="shared" ref="FV103:GE103" si="85">FV99/FV10</f>
      </c>
      <c r="FW103" s="107">
        <f t="shared" si="85"/>
      </c>
      <c r="FX103" s="107">
        <f t="shared" si="85"/>
      </c>
      <c r="FY103" s="346">
        <f t="shared" si="85"/>
      </c>
      <c r="FZ103" s="293">
        <f t="shared" si="85"/>
      </c>
      <c r="GA103" s="106">
        <f t="shared" si="85"/>
      </c>
      <c r="GB103" s="107">
        <f t="shared" si="85"/>
      </c>
      <c r="GC103" s="107">
        <f t="shared" si="85"/>
      </c>
      <c r="GD103" s="346">
        <f t="shared" si="85"/>
      </c>
      <c r="GE103" s="293">
        <f t="shared" si="85"/>
      </c>
      <c r="GF103" s="106">
        <f t="shared" ref="GF103:GJ103" si="86">GF99/GF10</f>
      </c>
      <c r="GG103" s="107">
        <f t="shared" si="86"/>
      </c>
      <c r="GH103" s="107">
        <f t="shared" si="86"/>
      </c>
      <c r="GI103" s="346">
        <f t="shared" si="86"/>
      </c>
      <c r="GJ103" s="392">
        <f t="shared" si="86"/>
      </c>
    </row>
    <row r="104" spans="1:192" s="335" customFormat="1" ht="12.75" customHeight="1">
      <c r="A104" s="790"/>
      <c r="B104" s="735"/>
      <c r="C104" s="106"/>
      <c r="D104" s="107"/>
      <c r="E104" s="107"/>
      <c r="F104" s="346"/>
      <c r="G104" s="347"/>
      <c r="H104" s="106"/>
      <c r="I104" s="107"/>
      <c r="J104" s="107"/>
      <c r="K104" s="346"/>
      <c r="L104" s="347"/>
      <c r="M104" s="106"/>
      <c r="N104" s="107"/>
      <c r="O104" s="107"/>
      <c r="P104" s="346"/>
      <c r="Q104" s="347"/>
      <c r="R104" s="106"/>
      <c r="S104" s="107"/>
      <c r="T104" s="107"/>
      <c r="U104" s="346"/>
      <c r="V104" s="347"/>
      <c r="W104" s="106"/>
      <c r="X104" s="107"/>
      <c r="Y104" s="107"/>
      <c r="Z104" s="346"/>
      <c r="AA104" s="347"/>
      <c r="AB104" s="106"/>
      <c r="AC104" s="107"/>
      <c r="AD104" s="107"/>
      <c r="AE104" s="346"/>
      <c r="AF104" s="347"/>
      <c r="AG104" s="106"/>
      <c r="AH104" s="107"/>
      <c r="AI104" s="107"/>
      <c r="AJ104" s="346"/>
      <c r="AK104" s="347"/>
      <c r="AL104" s="106"/>
      <c r="AM104" s="107"/>
      <c r="AN104" s="107"/>
      <c r="AO104" s="346"/>
      <c r="AP104" s="347"/>
      <c r="AQ104" s="106"/>
      <c r="AR104" s="107"/>
      <c r="AS104" s="107"/>
      <c r="AT104" s="346"/>
      <c r="AU104" s="347"/>
      <c r="AV104" s="106"/>
      <c r="AW104" s="107"/>
      <c r="AX104" s="107"/>
      <c r="AY104" s="346"/>
      <c r="AZ104" s="347"/>
      <c r="BA104" s="106"/>
      <c r="BB104" s="107"/>
      <c r="BC104" s="107"/>
      <c r="BD104" s="346"/>
      <c r="BE104" s="347"/>
      <c r="BF104" s="106"/>
      <c r="BG104" s="107"/>
      <c r="BH104" s="107"/>
      <c r="BI104" s="346"/>
      <c r="BJ104" s="347"/>
      <c r="BK104" s="106"/>
      <c r="BL104" s="107"/>
      <c r="BM104" s="107"/>
      <c r="BN104" s="346"/>
      <c r="BO104" s="347"/>
      <c r="BP104" s="106"/>
      <c r="BQ104" s="107"/>
      <c r="BR104" s="107"/>
      <c r="BS104" s="346"/>
      <c r="BT104" s="347"/>
      <c r="BU104" s="106"/>
      <c r="BV104" s="107"/>
      <c r="BW104" s="107"/>
      <c r="BX104" s="346"/>
      <c r="BY104" s="347"/>
      <c r="BZ104" s="106"/>
      <c r="CA104" s="107"/>
      <c r="CB104" s="107"/>
      <c r="CC104" s="346"/>
      <c r="CD104" s="347"/>
      <c r="CE104" s="106"/>
      <c r="CF104" s="107"/>
      <c r="CG104" s="107"/>
      <c r="CH104" s="346"/>
      <c r="CI104" s="347"/>
      <c r="CJ104" s="106"/>
      <c r="CK104" s="107"/>
      <c r="CL104" s="107"/>
      <c r="CM104" s="346"/>
      <c r="CN104" s="347"/>
      <c r="CO104" s="106"/>
      <c r="CP104" s="107"/>
      <c r="CQ104" s="107"/>
      <c r="CR104" s="346"/>
      <c r="CS104" s="347"/>
      <c r="CT104" s="106"/>
      <c r="CU104" s="107"/>
      <c r="CV104" s="107"/>
      <c r="CW104" s="346"/>
      <c r="CX104" s="347"/>
      <c r="CY104" s="106"/>
      <c r="CZ104" s="107"/>
      <c r="DA104" s="107"/>
      <c r="DB104" s="346"/>
      <c r="DC104" s="347"/>
      <c r="DD104" s="106"/>
      <c r="DE104" s="107"/>
      <c r="DF104" s="107"/>
      <c r="DG104" s="346"/>
      <c r="DH104" s="347"/>
      <c r="DI104" s="106"/>
      <c r="DJ104" s="107"/>
      <c r="DK104" s="107"/>
      <c r="DL104" s="346"/>
      <c r="DM104" s="347"/>
      <c r="DN104" s="106"/>
      <c r="DO104" s="107"/>
      <c r="DP104" s="107"/>
      <c r="DQ104" s="346"/>
      <c r="DR104" s="347"/>
      <c r="DS104" s="106"/>
      <c r="DT104" s="107"/>
      <c r="DU104" s="107"/>
      <c r="DV104" s="346"/>
      <c r="DW104" s="347"/>
      <c r="DX104" s="106"/>
      <c r="DY104" s="107"/>
      <c r="DZ104" s="107"/>
      <c r="EA104" s="346"/>
      <c r="EB104" s="347"/>
      <c r="EC104" s="106"/>
      <c r="ED104" s="107"/>
      <c r="EE104" s="107"/>
      <c r="EF104" s="346"/>
      <c r="EG104" s="347"/>
      <c r="EH104" s="106"/>
      <c r="EI104" s="107"/>
      <c r="EJ104" s="107"/>
      <c r="EK104" s="346"/>
      <c r="EL104" s="347"/>
      <c r="EM104" s="106"/>
      <c r="EN104" s="107"/>
      <c r="EO104" s="107"/>
      <c r="EP104" s="346"/>
      <c r="EQ104" s="347"/>
      <c r="ER104" s="106"/>
      <c r="ES104" s="107"/>
      <c r="ET104" s="107"/>
      <c r="EU104" s="346"/>
      <c r="EV104" s="347"/>
      <c r="EW104" s="106"/>
      <c r="EX104" s="107"/>
      <c r="EY104" s="107"/>
      <c r="EZ104" s="346"/>
      <c r="FA104" s="347"/>
      <c r="FB104" s="106"/>
      <c r="FC104" s="107"/>
      <c r="FD104" s="107"/>
      <c r="FE104" s="346"/>
      <c r="FF104" s="347"/>
      <c r="FG104" s="106"/>
      <c r="FH104" s="107"/>
      <c r="FI104" s="107"/>
      <c r="FJ104" s="346"/>
      <c r="FK104" s="347"/>
      <c r="FL104" s="106"/>
      <c r="FM104" s="107"/>
      <c r="FN104" s="107"/>
      <c r="FO104" s="346"/>
      <c r="FP104" s="347"/>
      <c r="FQ104" s="106"/>
      <c r="FR104" s="107"/>
      <c r="FS104" s="107"/>
      <c r="FT104" s="346"/>
      <c r="FU104" s="347"/>
      <c r="FV104" s="106"/>
      <c r="FW104" s="107"/>
      <c r="FX104" s="107"/>
      <c r="FY104" s="346"/>
      <c r="FZ104" s="293"/>
      <c r="GA104" s="106"/>
      <c r="GB104" s="107"/>
      <c r="GC104" s="107"/>
      <c r="GD104" s="346"/>
      <c r="GE104" s="293"/>
      <c r="GF104" s="106"/>
      <c r="GG104" s="107"/>
      <c r="GH104" s="107"/>
      <c r="GI104" s="346"/>
      <c r="GJ104" s="392"/>
    </row>
    <row r="105" spans="1:192" s="490" customFormat="1" ht="12.75" hidden="1" customHeight="1" outlineLevel="1">
      <c r="A105" s="796"/>
      <c r="B105" s="862" t="s">
        <v>396</v>
      </c>
      <c r="C105" s="863"/>
      <c r="D105" s="471"/>
      <c r="E105" s="471"/>
      <c r="F105" s="864"/>
      <c r="G105" s="865"/>
      <c r="H105" s="863"/>
      <c r="I105" s="471"/>
      <c r="J105" s="471"/>
      <c r="K105" s="864"/>
      <c r="L105" s="865"/>
      <c r="M105" s="863"/>
      <c r="N105" s="471"/>
      <c r="O105" s="471"/>
      <c r="P105" s="864"/>
      <c r="Q105" s="865"/>
      <c r="R105" s="863"/>
      <c r="S105" s="471"/>
      <c r="T105" s="471"/>
      <c r="U105" s="864"/>
      <c r="V105" s="865"/>
      <c r="W105" s="863"/>
      <c r="X105" s="471"/>
      <c r="Y105" s="471"/>
      <c r="Z105" s="864"/>
      <c r="AA105" s="865"/>
      <c r="AB105" s="863"/>
      <c r="AC105" s="471"/>
      <c r="AD105" s="471"/>
      <c r="AE105" s="864"/>
      <c r="AF105" s="865"/>
      <c r="AG105" s="863"/>
      <c r="AH105" s="471"/>
      <c r="AI105" s="471"/>
      <c r="AJ105" s="864"/>
      <c r="AK105" s="865"/>
      <c r="AL105" s="863"/>
      <c r="AM105" s="471"/>
      <c r="AN105" s="471"/>
      <c r="AO105" s="864"/>
      <c r="AP105" s="865"/>
      <c r="AQ105" s="863"/>
      <c r="AR105" s="471"/>
      <c r="AS105" s="471"/>
      <c r="AT105" s="864"/>
      <c r="AU105" s="865"/>
      <c r="AV105" s="863"/>
      <c r="AW105" s="471"/>
      <c r="AX105" s="471"/>
      <c r="AY105" s="864"/>
      <c r="AZ105" s="865"/>
      <c r="BA105" s="863"/>
      <c r="BB105" s="471"/>
      <c r="BC105" s="471"/>
      <c r="BD105" s="864"/>
      <c r="BE105" s="865"/>
      <c r="BF105" s="863"/>
      <c r="BG105" s="471"/>
      <c r="BH105" s="471"/>
      <c r="BI105" s="864"/>
      <c r="BJ105" s="865"/>
      <c r="BK105" s="863"/>
      <c r="BL105" s="471"/>
      <c r="BM105" s="471"/>
      <c r="BN105" s="864"/>
      <c r="BO105" s="865"/>
      <c r="BP105" s="863"/>
      <c r="BQ105" s="471"/>
      <c r="BR105" s="471"/>
      <c r="BS105" s="864"/>
      <c r="BT105" s="865"/>
      <c r="BU105" s="863"/>
      <c r="BV105" s="471"/>
      <c r="BW105" s="471"/>
      <c r="BX105" s="864"/>
      <c r="BY105" s="865"/>
      <c r="BZ105" s="863"/>
      <c r="CA105" s="471"/>
      <c r="CB105" s="471"/>
      <c r="CC105" s="864"/>
      <c r="CD105" s="865"/>
      <c r="CE105" s="863"/>
      <c r="CF105" s="471"/>
      <c r="CG105" s="471"/>
      <c r="CH105" s="864"/>
      <c r="CI105" s="865"/>
      <c r="CJ105" s="863"/>
      <c r="CK105" s="471"/>
      <c r="CL105" s="471"/>
      <c r="CM105" s="864"/>
      <c r="CN105" s="865"/>
      <c r="CO105" s="863"/>
      <c r="CP105" s="471"/>
      <c r="CQ105" s="471"/>
      <c r="CR105" s="864"/>
      <c r="CS105" s="865"/>
      <c r="CT105" s="863"/>
      <c r="CU105" s="471"/>
      <c r="CV105" s="471"/>
      <c r="CW105" s="864"/>
      <c r="CX105" s="865"/>
      <c r="CY105" s="863"/>
      <c r="CZ105" s="471"/>
      <c r="DA105" s="471"/>
      <c r="DB105" s="864"/>
      <c r="DC105" s="865"/>
      <c r="DD105" s="863"/>
      <c r="DE105" s="471"/>
      <c r="DF105" s="471"/>
      <c r="DG105" s="864"/>
      <c r="DH105" s="865"/>
      <c r="DI105" s="863"/>
      <c r="DJ105" s="471"/>
      <c r="DK105" s="471"/>
      <c r="DL105" s="867"/>
      <c r="DM105" s="865"/>
      <c r="DN105" s="869">
        <v>5000</v>
      </c>
      <c r="DO105" s="452">
        <v>5300</v>
      </c>
      <c r="DP105" s="452">
        <v>6000</v>
      </c>
      <c r="DQ105" s="867">
        <v>6900</v>
      </c>
      <c r="DR105" s="865"/>
      <c r="DS105" s="863"/>
      <c r="DT105" s="471"/>
      <c r="DU105" s="471"/>
      <c r="DV105" s="864"/>
      <c r="DW105" s="865"/>
      <c r="DX105" s="863"/>
      <c r="DY105" s="471"/>
      <c r="DZ105" s="471"/>
      <c r="EA105" s="864"/>
      <c r="EB105" s="865"/>
      <c r="EC105" s="863"/>
      <c r="ED105" s="471"/>
      <c r="EE105" s="471"/>
      <c r="EF105" s="864"/>
      <c r="EG105" s="865"/>
      <c r="EH105" s="863"/>
      <c r="EI105" s="471"/>
      <c r="EJ105" s="471"/>
      <c r="EK105" s="864"/>
      <c r="EL105" s="865"/>
      <c r="EM105" s="863"/>
      <c r="EN105" s="471"/>
      <c r="EO105" s="471"/>
      <c r="EP105" s="864"/>
      <c r="EQ105" s="865"/>
      <c r="ER105" s="863"/>
      <c r="ES105" s="471"/>
      <c r="ET105" s="471"/>
      <c r="EU105" s="864"/>
      <c r="EV105" s="865"/>
      <c r="EW105" s="863"/>
      <c r="EX105" s="471"/>
      <c r="EY105" s="471"/>
      <c r="EZ105" s="864"/>
      <c r="FA105" s="865"/>
      <c r="FB105" s="863"/>
      <c r="FC105" s="471"/>
      <c r="FD105" s="471"/>
      <c r="FE105" s="864"/>
      <c r="FF105" s="865"/>
      <c r="FG105" s="863"/>
      <c r="FH105" s="471"/>
      <c r="FI105" s="471"/>
      <c r="FJ105" s="864"/>
      <c r="FK105" s="865"/>
      <c r="FL105" s="863"/>
      <c r="FM105" s="471"/>
      <c r="FN105" s="471"/>
      <c r="FO105" s="864"/>
      <c r="FP105" s="865"/>
      <c r="FQ105" s="863"/>
      <c r="FR105" s="471"/>
      <c r="FS105" s="471"/>
      <c r="FT105" s="864"/>
      <c r="FU105" s="865"/>
      <c r="FV105" s="863"/>
      <c r="FW105" s="471"/>
      <c r="FX105" s="471"/>
      <c r="FY105" s="864"/>
      <c r="FZ105" s="1065"/>
      <c r="GA105" s="863"/>
      <c r="GB105" s="471"/>
      <c r="GC105" s="471"/>
      <c r="GD105" s="864"/>
      <c r="GE105" s="1065"/>
      <c r="GF105" s="863"/>
      <c r="GG105" s="471"/>
      <c r="GH105" s="471"/>
      <c r="GI105" s="864"/>
      <c r="GJ105" s="866"/>
    </row>
    <row r="106" spans="1:192" s="335" customFormat="1" ht="12.75" hidden="1" customHeight="1" outlineLevel="1">
      <c r="A106" s="790"/>
      <c r="B106" s="735" t="s">
        <v>398</v>
      </c>
      <c r="C106" s="106"/>
      <c r="D106" s="107"/>
      <c r="E106" s="107"/>
      <c r="F106" s="346"/>
      <c r="G106" s="347"/>
      <c r="H106" s="106"/>
      <c r="I106" s="107"/>
      <c r="J106" s="107"/>
      <c r="K106" s="346"/>
      <c r="L106" s="347"/>
      <c r="M106" s="106"/>
      <c r="N106" s="107"/>
      <c r="O106" s="107"/>
      <c r="P106" s="346"/>
      <c r="Q106" s="347"/>
      <c r="R106" s="106"/>
      <c r="S106" s="107"/>
      <c r="T106" s="107"/>
      <c r="U106" s="346"/>
      <c r="V106" s="347"/>
      <c r="W106" s="106"/>
      <c r="X106" s="107"/>
      <c r="Y106" s="107"/>
      <c r="Z106" s="346"/>
      <c r="AA106" s="347"/>
      <c r="AB106" s="106"/>
      <c r="AC106" s="107"/>
      <c r="AD106" s="107"/>
      <c r="AE106" s="346"/>
      <c r="AF106" s="347"/>
      <c r="AG106" s="106"/>
      <c r="AH106" s="107"/>
      <c r="AI106" s="107"/>
      <c r="AJ106" s="346"/>
      <c r="AK106" s="347"/>
      <c r="AL106" s="106"/>
      <c r="AM106" s="107"/>
      <c r="AN106" s="107"/>
      <c r="AO106" s="346"/>
      <c r="AP106" s="347"/>
      <c r="AQ106" s="106"/>
      <c r="AR106" s="107"/>
      <c r="AS106" s="107"/>
      <c r="AT106" s="346"/>
      <c r="AU106" s="347"/>
      <c r="AV106" s="106"/>
      <c r="AW106" s="107"/>
      <c r="AX106" s="107"/>
      <c r="AY106" s="346"/>
      <c r="AZ106" s="347"/>
      <c r="BA106" s="106"/>
      <c r="BB106" s="107"/>
      <c r="BC106" s="107"/>
      <c r="BD106" s="346"/>
      <c r="BE106" s="347"/>
      <c r="BF106" s="106"/>
      <c r="BG106" s="107"/>
      <c r="BH106" s="107"/>
      <c r="BI106" s="346"/>
      <c r="BJ106" s="347"/>
      <c r="BK106" s="106"/>
      <c r="BL106" s="107"/>
      <c r="BM106" s="107"/>
      <c r="BN106" s="346"/>
      <c r="BO106" s="347"/>
      <c r="BP106" s="106"/>
      <c r="BQ106" s="107"/>
      <c r="BR106" s="107"/>
      <c r="BS106" s="346"/>
      <c r="BT106" s="347"/>
      <c r="BU106" s="106"/>
      <c r="BV106" s="107"/>
      <c r="BW106" s="107"/>
      <c r="BX106" s="346"/>
      <c r="BY106" s="347"/>
      <c r="BZ106" s="106"/>
      <c r="CA106" s="107"/>
      <c r="CB106" s="107"/>
      <c r="CC106" s="346"/>
      <c r="CD106" s="347"/>
      <c r="CE106" s="106"/>
      <c r="CF106" s="107"/>
      <c r="CG106" s="107"/>
      <c r="CH106" s="346"/>
      <c r="CI106" s="347"/>
      <c r="CJ106" s="106"/>
      <c r="CK106" s="107"/>
      <c r="CL106" s="107"/>
      <c r="CM106" s="346"/>
      <c r="CN106" s="347"/>
      <c r="CO106" s="106"/>
      <c r="CP106" s="107"/>
      <c r="CQ106" s="107"/>
      <c r="CR106" s="346"/>
      <c r="CS106" s="347"/>
      <c r="CT106" s="106"/>
      <c r="CU106" s="107"/>
      <c r="CV106" s="107"/>
      <c r="CW106" s="346"/>
      <c r="CX106" s="347"/>
      <c r="CY106" s="106"/>
      <c r="CZ106" s="107"/>
      <c r="DA106" s="107"/>
      <c r="DB106" s="346"/>
      <c r="DC106" s="347"/>
      <c r="DD106" s="106"/>
      <c r="DE106" s="107"/>
      <c r="DF106" s="107"/>
      <c r="DG106" s="346"/>
      <c r="DH106" s="347"/>
      <c r="DI106" s="106"/>
      <c r="DJ106" s="107"/>
      <c r="DK106" s="107"/>
      <c r="DL106" s="346"/>
      <c r="DM106" s="347"/>
      <c r="DN106" s="106">
        <f>DN105/DN10</f>
      </c>
      <c r="DO106" s="106">
        <f>DO105/DO10</f>
      </c>
      <c r="DP106" s="106">
        <f>DP105/DP10</f>
      </c>
      <c r="DQ106" s="871">
        <f>DQ105/DQ10</f>
      </c>
      <c r="DR106" s="347"/>
      <c r="DS106" s="106"/>
      <c r="DT106" s="107"/>
      <c r="DU106" s="107"/>
      <c r="DV106" s="346"/>
      <c r="DW106" s="347"/>
      <c r="DX106" s="106"/>
      <c r="DY106" s="107"/>
      <c r="DZ106" s="107"/>
      <c r="EA106" s="346"/>
      <c r="EB106" s="347"/>
      <c r="EC106" s="106"/>
      <c r="ED106" s="107"/>
      <c r="EE106" s="107"/>
      <c r="EF106" s="346"/>
      <c r="EG106" s="347"/>
      <c r="EH106" s="106"/>
      <c r="EI106" s="107"/>
      <c r="EJ106" s="107"/>
      <c r="EK106" s="346"/>
      <c r="EL106" s="347"/>
      <c r="EM106" s="106"/>
      <c r="EN106" s="107"/>
      <c r="EO106" s="107"/>
      <c r="EP106" s="346"/>
      <c r="EQ106" s="347"/>
      <c r="ER106" s="106"/>
      <c r="ES106" s="107"/>
      <c r="ET106" s="107"/>
      <c r="EU106" s="346"/>
      <c r="EV106" s="347"/>
      <c r="EW106" s="106"/>
      <c r="EX106" s="107"/>
      <c r="EY106" s="107"/>
      <c r="EZ106" s="346"/>
      <c r="FA106" s="347"/>
      <c r="FB106" s="106"/>
      <c r="FC106" s="107"/>
      <c r="FD106" s="107"/>
      <c r="FE106" s="346"/>
      <c r="FF106" s="347"/>
      <c r="FG106" s="106"/>
      <c r="FH106" s="107"/>
      <c r="FI106" s="107"/>
      <c r="FJ106" s="346"/>
      <c r="FK106" s="347"/>
      <c r="FL106" s="106"/>
      <c r="FM106" s="107"/>
      <c r="FN106" s="107"/>
      <c r="FO106" s="346"/>
      <c r="FP106" s="347"/>
      <c r="FQ106" s="106"/>
      <c r="FR106" s="107"/>
      <c r="FS106" s="107"/>
      <c r="FT106" s="346"/>
      <c r="FU106" s="347"/>
      <c r="FV106" s="106"/>
      <c r="FW106" s="107"/>
      <c r="FX106" s="107"/>
      <c r="FY106" s="346"/>
      <c r="FZ106" s="293"/>
      <c r="GA106" s="106"/>
      <c r="GB106" s="107"/>
      <c r="GC106" s="107"/>
      <c r="GD106" s="346"/>
      <c r="GE106" s="293"/>
      <c r="GF106" s="106"/>
      <c r="GG106" s="107"/>
      <c r="GH106" s="107"/>
      <c r="GI106" s="346"/>
      <c r="GJ106" s="392"/>
    </row>
    <row r="107" spans="1:192" s="775" customFormat="1" ht="12.75" hidden="1" customHeight="1" outlineLevel="1">
      <c r="A107" s="875"/>
      <c r="B107" s="735"/>
      <c r="C107" s="310"/>
      <c r="D107" s="498"/>
      <c r="E107" s="498"/>
      <c r="F107" s="876"/>
      <c r="G107" s="877"/>
      <c r="H107" s="310"/>
      <c r="I107" s="498"/>
      <c r="J107" s="498"/>
      <c r="K107" s="876"/>
      <c r="L107" s="877"/>
      <c r="M107" s="310"/>
      <c r="N107" s="498"/>
      <c r="O107" s="498"/>
      <c r="P107" s="876"/>
      <c r="Q107" s="877"/>
      <c r="R107" s="310"/>
      <c r="S107" s="498"/>
      <c r="T107" s="498"/>
      <c r="U107" s="876"/>
      <c r="V107" s="877"/>
      <c r="W107" s="310"/>
      <c r="X107" s="498"/>
      <c r="Y107" s="498"/>
      <c r="Z107" s="876"/>
      <c r="AA107" s="877"/>
      <c r="AB107" s="310"/>
      <c r="AC107" s="498"/>
      <c r="AD107" s="498"/>
      <c r="AE107" s="876"/>
      <c r="AF107" s="877"/>
      <c r="AG107" s="310"/>
      <c r="AH107" s="498"/>
      <c r="AI107" s="498"/>
      <c r="AJ107" s="876"/>
      <c r="AK107" s="877"/>
      <c r="AL107" s="310"/>
      <c r="AM107" s="498"/>
      <c r="AN107" s="498"/>
      <c r="AO107" s="876"/>
      <c r="AP107" s="877"/>
      <c r="AQ107" s="310"/>
      <c r="AR107" s="498"/>
      <c r="AS107" s="498"/>
      <c r="AT107" s="876"/>
      <c r="AU107" s="877"/>
      <c r="AV107" s="310"/>
      <c r="AW107" s="498"/>
      <c r="AX107" s="498"/>
      <c r="AY107" s="876"/>
      <c r="AZ107" s="877"/>
      <c r="BA107" s="310"/>
      <c r="BB107" s="498"/>
      <c r="BC107" s="498"/>
      <c r="BD107" s="876"/>
      <c r="BE107" s="877"/>
      <c r="BF107" s="310"/>
      <c r="BG107" s="498"/>
      <c r="BH107" s="498"/>
      <c r="BI107" s="876"/>
      <c r="BJ107" s="877"/>
      <c r="BK107" s="310"/>
      <c r="BL107" s="498"/>
      <c r="BM107" s="498"/>
      <c r="BN107" s="876"/>
      <c r="BO107" s="877"/>
      <c r="BP107" s="310"/>
      <c r="BQ107" s="498"/>
      <c r="BR107" s="498"/>
      <c r="BS107" s="876"/>
      <c r="BT107" s="877"/>
      <c r="BU107" s="310"/>
      <c r="BV107" s="498"/>
      <c r="BW107" s="498"/>
      <c r="BX107" s="876"/>
      <c r="BY107" s="877"/>
      <c r="BZ107" s="310"/>
      <c r="CA107" s="498"/>
      <c r="CB107" s="498"/>
      <c r="CC107" s="876"/>
      <c r="CD107" s="877"/>
      <c r="CE107" s="310"/>
      <c r="CF107" s="498"/>
      <c r="CG107" s="498"/>
      <c r="CH107" s="876"/>
      <c r="CI107" s="877"/>
      <c r="CJ107" s="310"/>
      <c r="CK107" s="498"/>
      <c r="CL107" s="498"/>
      <c r="CM107" s="876"/>
      <c r="CN107" s="877"/>
      <c r="CO107" s="310"/>
      <c r="CP107" s="498"/>
      <c r="CQ107" s="498"/>
      <c r="CR107" s="876"/>
      <c r="CS107" s="877"/>
      <c r="CT107" s="310"/>
      <c r="CU107" s="498"/>
      <c r="CV107" s="498"/>
      <c r="CW107" s="876"/>
      <c r="CX107" s="877"/>
      <c r="CY107" s="310"/>
      <c r="CZ107" s="498"/>
      <c r="DA107" s="498"/>
      <c r="DB107" s="876"/>
      <c r="DC107" s="877"/>
      <c r="DD107" s="310"/>
      <c r="DE107" s="498"/>
      <c r="DF107" s="498"/>
      <c r="DG107" s="876"/>
      <c r="DH107" s="877"/>
      <c r="DI107" s="310"/>
      <c r="DJ107" s="498"/>
      <c r="DK107" s="498"/>
      <c r="DL107" s="876"/>
      <c r="DM107" s="877"/>
      <c r="DN107" s="709"/>
      <c r="DO107" s="523"/>
      <c r="DP107" s="523"/>
      <c r="DQ107" s="879"/>
      <c r="DR107" s="880"/>
      <c r="DS107" s="709"/>
      <c r="DT107" s="523"/>
      <c r="DU107" s="523"/>
      <c r="DV107" s="879"/>
      <c r="DW107" s="880"/>
      <c r="DX107" s="709"/>
      <c r="DY107" s="523"/>
      <c r="DZ107" s="523"/>
      <c r="EA107" s="879"/>
      <c r="EB107" s="880"/>
      <c r="EC107" s="709"/>
      <c r="ED107" s="523"/>
      <c r="EE107" s="523"/>
      <c r="EF107" s="879"/>
      <c r="EG107" s="880"/>
      <c r="EH107" s="709"/>
      <c r="EI107" s="523"/>
      <c r="EJ107" s="523"/>
      <c r="EK107" s="879"/>
      <c r="EL107" s="880"/>
      <c r="EM107" s="709"/>
      <c r="EN107" s="523"/>
      <c r="EO107" s="523"/>
      <c r="EP107" s="879"/>
      <c r="EQ107" s="880"/>
      <c r="ER107" s="881"/>
      <c r="ES107" s="498"/>
      <c r="ET107" s="498"/>
      <c r="EU107" s="879"/>
      <c r="EV107" s="880"/>
      <c r="EW107" s="310"/>
      <c r="EX107" s="498"/>
      <c r="EY107" s="498"/>
      <c r="EZ107" s="879"/>
      <c r="FA107" s="877"/>
      <c r="FB107" s="310"/>
      <c r="FC107" s="498"/>
      <c r="FD107" s="498"/>
      <c r="FE107" s="876"/>
      <c r="FF107" s="877"/>
      <c r="FG107" s="310"/>
      <c r="FH107" s="498"/>
      <c r="FI107" s="498"/>
      <c r="FJ107" s="876"/>
      <c r="FK107" s="877"/>
      <c r="FL107" s="310"/>
      <c r="FM107" s="498"/>
      <c r="FN107" s="498"/>
      <c r="FO107" s="876"/>
      <c r="FP107" s="877"/>
      <c r="FQ107" s="310"/>
      <c r="FR107" s="498"/>
      <c r="FS107" s="498"/>
      <c r="FT107" s="876"/>
      <c r="FU107" s="877"/>
      <c r="FV107" s="310"/>
      <c r="FW107" s="498"/>
      <c r="FX107" s="498"/>
      <c r="FY107" s="876"/>
      <c r="FZ107" s="1473"/>
      <c r="GA107" s="310"/>
      <c r="GB107" s="498"/>
      <c r="GC107" s="498"/>
      <c r="GD107" s="876"/>
      <c r="GE107" s="1473"/>
      <c r="GF107" s="310"/>
      <c r="GG107" s="498"/>
      <c r="GH107" s="498"/>
      <c r="GI107" s="876"/>
      <c r="GJ107" s="878"/>
    </row>
    <row r="108" spans="1:192" s="490" customFormat="1" ht="12.75" customHeight="1" collapsed="1">
      <c r="A108" s="796"/>
      <c r="B108" s="868" t="s">
        <v>491</v>
      </c>
      <c r="C108" s="863"/>
      <c r="D108" s="471"/>
      <c r="E108" s="471"/>
      <c r="F108" s="864"/>
      <c r="G108" s="865"/>
      <c r="H108" s="863"/>
      <c r="I108" s="471"/>
      <c r="J108" s="471"/>
      <c r="K108" s="864"/>
      <c r="L108" s="865"/>
      <c r="M108" s="863"/>
      <c r="N108" s="471"/>
      <c r="O108" s="471"/>
      <c r="P108" s="864"/>
      <c r="Q108" s="865"/>
      <c r="R108" s="863"/>
      <c r="S108" s="471"/>
      <c r="T108" s="471"/>
      <c r="U108" s="864"/>
      <c r="V108" s="865"/>
      <c r="W108" s="863"/>
      <c r="X108" s="471"/>
      <c r="Y108" s="471"/>
      <c r="Z108" s="864"/>
      <c r="AA108" s="865"/>
      <c r="AB108" s="863"/>
      <c r="AC108" s="471"/>
      <c r="AD108" s="471"/>
      <c r="AE108" s="864"/>
      <c r="AF108" s="865"/>
      <c r="AG108" s="863"/>
      <c r="AH108" s="471"/>
      <c r="AI108" s="471"/>
      <c r="AJ108" s="864"/>
      <c r="AK108" s="865"/>
      <c r="AL108" s="863"/>
      <c r="AM108" s="471"/>
      <c r="AN108" s="471"/>
      <c r="AO108" s="864"/>
      <c r="AP108" s="865"/>
      <c r="AQ108" s="863"/>
      <c r="AR108" s="471"/>
      <c r="AS108" s="471"/>
      <c r="AT108" s="864"/>
      <c r="AU108" s="865"/>
      <c r="AV108" s="863"/>
      <c r="AW108" s="471"/>
      <c r="AX108" s="471"/>
      <c r="AY108" s="864"/>
      <c r="AZ108" s="865"/>
      <c r="BA108" s="863"/>
      <c r="BB108" s="471"/>
      <c r="BC108" s="471"/>
      <c r="BD108" s="864"/>
      <c r="BE108" s="865"/>
      <c r="BF108" s="863"/>
      <c r="BG108" s="471"/>
      <c r="BH108" s="471"/>
      <c r="BI108" s="864"/>
      <c r="BJ108" s="865"/>
      <c r="BK108" s="863"/>
      <c r="BL108" s="471"/>
      <c r="BM108" s="471"/>
      <c r="BN108" s="864"/>
      <c r="BO108" s="865"/>
      <c r="BP108" s="863"/>
      <c r="BQ108" s="471"/>
      <c r="BR108" s="471"/>
      <c r="BS108" s="864"/>
      <c r="BT108" s="865"/>
      <c r="BU108" s="863"/>
      <c r="BV108" s="471"/>
      <c r="BW108" s="471"/>
      <c r="BX108" s="864"/>
      <c r="BY108" s="865"/>
      <c r="BZ108" s="863"/>
      <c r="CA108" s="471"/>
      <c r="CB108" s="471"/>
      <c r="CC108" s="864"/>
      <c r="CD108" s="865"/>
      <c r="CE108" s="863"/>
      <c r="CF108" s="471"/>
      <c r="CG108" s="471"/>
      <c r="CH108" s="864"/>
      <c r="CI108" s="865"/>
      <c r="CJ108" s="863"/>
      <c r="CK108" s="471"/>
      <c r="CL108" s="471"/>
      <c r="CM108" s="864"/>
      <c r="CN108" s="865"/>
      <c r="CO108" s="863"/>
      <c r="CP108" s="471"/>
      <c r="CQ108" s="471"/>
      <c r="CR108" s="864"/>
      <c r="CS108" s="865"/>
      <c r="CT108" s="863"/>
      <c r="CU108" s="471"/>
      <c r="CV108" s="471"/>
      <c r="CW108" s="864"/>
      <c r="CX108" s="865"/>
      <c r="CY108" s="863"/>
      <c r="CZ108" s="471"/>
      <c r="DA108" s="471"/>
      <c r="DB108" s="864"/>
      <c r="DC108" s="865"/>
      <c r="DD108" s="863"/>
      <c r="DE108" s="471"/>
      <c r="DF108" s="471"/>
      <c r="DG108" s="864"/>
      <c r="DH108" s="865"/>
      <c r="DI108" s="863"/>
      <c r="DJ108" s="471"/>
      <c r="DK108" s="471"/>
      <c r="DL108" s="864"/>
      <c r="DM108" s="865"/>
      <c r="DN108" s="863">
        <f>DN10-DN105</f>
      </c>
      <c r="DO108" s="471">
        <f>DO10-DO105</f>
      </c>
      <c r="DP108" s="471">
        <f>DP10-DP105</f>
      </c>
      <c r="DQ108" s="864">
        <f>DQ10-DQ105</f>
      </c>
      <c r="DR108" s="870">
        <f>SUM(DN108:DQ108)</f>
      </c>
      <c r="DS108" s="863">
        <f>DS99*DS113</f>
      </c>
      <c r="DT108" s="471">
        <f>DT99*DT113</f>
      </c>
      <c r="DU108" s="471">
        <f>DU99*DU113</f>
      </c>
      <c r="DV108" s="864">
        <f>DV99*DV113</f>
      </c>
      <c r="DW108" s="870">
        <f>SUM(DS108:DV108)</f>
      </c>
      <c r="DX108" s="863">
        <f>DX99*DX113</f>
      </c>
      <c r="DY108" s="471">
        <f>DY99*DY113</f>
      </c>
      <c r="DZ108" s="471">
        <f>DZ99*DZ113</f>
      </c>
      <c r="EA108" s="864">
        <f>EA99*EA113</f>
      </c>
      <c r="EB108" s="870">
        <f>SUM(DX108:EA108)</f>
      </c>
      <c r="EC108" s="863">
        <f>EC99*EC113</f>
      </c>
      <c r="ED108" s="471">
        <f>ED99*ED113</f>
      </c>
      <c r="EE108" s="471">
        <f>EE99*EE113</f>
      </c>
      <c r="EF108" s="864">
        <f>EF99*EF113</f>
      </c>
      <c r="EG108" s="870">
        <f>SUM(EC108:EF108)</f>
      </c>
      <c r="EH108" s="863">
        <f>EH99*EH113</f>
      </c>
      <c r="EI108" s="471">
        <f>EI99*EI113</f>
      </c>
      <c r="EJ108" s="471">
        <f>EJ99*EJ113</f>
      </c>
      <c r="EK108" s="864">
        <f>EK99*EK113</f>
      </c>
      <c r="EL108" s="870">
        <f>SUM(EH108:EK108)</f>
      </c>
      <c r="EM108" s="863">
        <f>EM99*EM113</f>
      </c>
      <c r="EN108" s="471">
        <f>EN99*EN113</f>
      </c>
      <c r="EO108" s="471">
        <f>EO99*EO113</f>
      </c>
      <c r="EP108" s="864">
        <f>EP99*EP113</f>
      </c>
      <c r="EQ108" s="870">
        <f>SUM(EM108:EP108)</f>
      </c>
      <c r="ER108" s="863">
        <f>ER99*ER113</f>
      </c>
      <c r="ES108" s="471">
        <f>ES99*ES113</f>
      </c>
      <c r="ET108" s="471">
        <f>ET99*ET113</f>
      </c>
      <c r="EU108" s="864">
        <f>EU99*EU113</f>
      </c>
      <c r="EV108" s="870">
        <f>SUM(ER108:EU108)</f>
      </c>
      <c r="EW108" s="863">
        <f>EW99*EW113</f>
      </c>
      <c r="EX108" s="471">
        <f>EX99*EX113</f>
      </c>
      <c r="EY108" s="471">
        <f>EY99*EY113</f>
      </c>
      <c r="EZ108" s="864">
        <f>EZ99*EZ113</f>
      </c>
      <c r="FA108" s="870">
        <f>SUM(EW108:EZ108)</f>
      </c>
      <c r="FB108" s="863">
        <f>FB99*FB113</f>
      </c>
      <c r="FC108" s="471">
        <f>FC99*FC113</f>
      </c>
      <c r="FD108" s="471">
        <f>FD99*FD113</f>
      </c>
      <c r="FE108" s="864">
        <f>FE99*FE113</f>
      </c>
      <c r="FF108" s="870">
        <f>SUM(FB108:FE108)</f>
      </c>
      <c r="FG108" s="863">
        <f>FG99*FG113</f>
      </c>
      <c r="FH108" s="471">
        <f>FH99*FH113</f>
      </c>
      <c r="FI108" s="471">
        <f>FI99*FI113</f>
      </c>
      <c r="FJ108" s="864">
        <f>FJ99*FJ113</f>
      </c>
      <c r="FK108" s="870">
        <f>SUM(FG108:FJ108)</f>
      </c>
      <c r="FL108" s="863">
        <f>FL99*FL113</f>
      </c>
      <c r="FM108" s="471">
        <f>FM99*FM113</f>
      </c>
      <c r="FN108" s="471">
        <f>FN99*FN113</f>
      </c>
      <c r="FO108" s="864">
        <f>FO99*FO113</f>
      </c>
      <c r="FP108" s="870">
        <f>SUM(FL108:FO108)</f>
      </c>
      <c r="FQ108" s="863">
        <f>FQ99*FQ113</f>
      </c>
      <c r="FR108" s="471">
        <f>FR99*FR113</f>
      </c>
      <c r="FS108" s="471">
        <f>FS99*FS113</f>
      </c>
      <c r="FT108" s="864">
        <f>FT99*FT113</f>
      </c>
      <c r="FU108" s="870">
        <f>SUM(FQ108:FT108)</f>
      </c>
      <c r="FV108" s="863">
        <f>FV99*FV113</f>
      </c>
      <c r="FW108" s="471">
        <f>FW99*FW113</f>
      </c>
      <c r="FX108" s="471">
        <f>FX99*FX113</f>
      </c>
      <c r="FY108" s="864">
        <f>FY99*FY113</f>
      </c>
      <c r="FZ108" s="1065">
        <f>SUM(FV108:FY108)</f>
      </c>
      <c r="GA108" s="863">
        <f>GA99*GA113</f>
      </c>
      <c r="GB108" s="471">
        <f>GB99*GB113</f>
      </c>
      <c r="GC108" s="471">
        <f>GC99*GC113</f>
      </c>
      <c r="GD108" s="864">
        <f>GD99*GD113</f>
      </c>
      <c r="GE108" s="1065">
        <f>SUM(GA108:GD108)</f>
      </c>
      <c r="GF108" s="863">
        <f>GF99*GF113</f>
      </c>
      <c r="GG108" s="471">
        <f>GG99*GG113</f>
      </c>
      <c r="GH108" s="471">
        <f>GH99*GH113</f>
      </c>
      <c r="GI108" s="864">
        <f>GI99*GI113</f>
      </c>
      <c r="GJ108" s="866">
        <f>SUM(GF108:GI108)</f>
      </c>
    </row>
    <row r="109" spans="1:192" s="335" customFormat="1" ht="12.75" customHeight="1">
      <c r="A109" s="790"/>
      <c r="B109" s="735" t="s">
        <v>34</v>
      </c>
      <c r="C109" s="106"/>
      <c r="D109" s="107"/>
      <c r="E109" s="107"/>
      <c r="F109" s="346"/>
      <c r="G109" s="347"/>
      <c r="H109" s="106"/>
      <c r="I109" s="107"/>
      <c r="J109" s="107"/>
      <c r="K109" s="346"/>
      <c r="L109" s="347"/>
      <c r="M109" s="106"/>
      <c r="N109" s="107"/>
      <c r="O109" s="107"/>
      <c r="P109" s="346"/>
      <c r="Q109" s="347"/>
      <c r="R109" s="106"/>
      <c r="S109" s="107"/>
      <c r="T109" s="107"/>
      <c r="U109" s="346"/>
      <c r="V109" s="347"/>
      <c r="W109" s="106"/>
      <c r="X109" s="107"/>
      <c r="Y109" s="107"/>
      <c r="Z109" s="346"/>
      <c r="AA109" s="347"/>
      <c r="AB109" s="106"/>
      <c r="AC109" s="107"/>
      <c r="AD109" s="107"/>
      <c r="AE109" s="346"/>
      <c r="AF109" s="347"/>
      <c r="AG109" s="106"/>
      <c r="AH109" s="107"/>
      <c r="AI109" s="107"/>
      <c r="AJ109" s="346"/>
      <c r="AK109" s="347"/>
      <c r="AL109" s="106"/>
      <c r="AM109" s="107"/>
      <c r="AN109" s="107"/>
      <c r="AO109" s="346"/>
      <c r="AP109" s="347"/>
      <c r="AQ109" s="106"/>
      <c r="AR109" s="107"/>
      <c r="AS109" s="107"/>
      <c r="AT109" s="346"/>
      <c r="AU109" s="347"/>
      <c r="AV109" s="106"/>
      <c r="AW109" s="107"/>
      <c r="AX109" s="107"/>
      <c r="AY109" s="346"/>
      <c r="AZ109" s="347"/>
      <c r="BA109" s="106"/>
      <c r="BB109" s="107"/>
      <c r="BC109" s="107"/>
      <c r="BD109" s="346"/>
      <c r="BE109" s="347"/>
      <c r="BF109" s="106"/>
      <c r="BG109" s="107"/>
      <c r="BH109" s="107"/>
      <c r="BI109" s="346"/>
      <c r="BJ109" s="347"/>
      <c r="BK109" s="106"/>
      <c r="BL109" s="107"/>
      <c r="BM109" s="107"/>
      <c r="BN109" s="346"/>
      <c r="BO109" s="347"/>
      <c r="BP109" s="106"/>
      <c r="BQ109" s="107"/>
      <c r="BR109" s="107"/>
      <c r="BS109" s="346"/>
      <c r="BT109" s="347"/>
      <c r="BU109" s="106"/>
      <c r="BV109" s="107"/>
      <c r="BW109" s="107"/>
      <c r="BX109" s="346"/>
      <c r="BY109" s="347"/>
      <c r="BZ109" s="106"/>
      <c r="CA109" s="107"/>
      <c r="CB109" s="107"/>
      <c r="CC109" s="346"/>
      <c r="CD109" s="347"/>
      <c r="CE109" s="106"/>
      <c r="CF109" s="107"/>
      <c r="CG109" s="107"/>
      <c r="CH109" s="346"/>
      <c r="CI109" s="347"/>
      <c r="CJ109" s="106"/>
      <c r="CK109" s="107"/>
      <c r="CL109" s="107"/>
      <c r="CM109" s="346"/>
      <c r="CN109" s="347"/>
      <c r="CO109" s="106"/>
      <c r="CP109" s="107"/>
      <c r="CQ109" s="107"/>
      <c r="CR109" s="346"/>
      <c r="CS109" s="347"/>
      <c r="CT109" s="106"/>
      <c r="CU109" s="107"/>
      <c r="CV109" s="107"/>
      <c r="CW109" s="346"/>
      <c r="CX109" s="347"/>
      <c r="CY109" s="106"/>
      <c r="CZ109" s="107"/>
      <c r="DA109" s="107"/>
      <c r="DB109" s="346"/>
      <c r="DC109" s="347"/>
      <c r="DD109" s="106"/>
      <c r="DE109" s="107"/>
      <c r="DF109" s="107"/>
      <c r="DG109" s="346"/>
      <c r="DH109" s="347"/>
      <c r="DI109" s="106"/>
      <c r="DJ109" s="107"/>
      <c r="DK109" s="107"/>
      <c r="DL109" s="346"/>
      <c r="DM109" s="347"/>
      <c r="DN109" s="106"/>
      <c r="DO109" s="107"/>
      <c r="DP109" s="107"/>
      <c r="DQ109" s="346"/>
      <c r="DR109" s="347"/>
      <c r="DS109" s="106">
        <f t="shared" ref="DS109:EY109" si="87">DS108/DN108-1</f>
      </c>
      <c r="DT109" s="106">
        <f t="shared" si="87"/>
      </c>
      <c r="DU109" s="106">
        <f t="shared" si="87"/>
      </c>
      <c r="DV109" s="346">
        <f t="shared" si="87"/>
      </c>
      <c r="DW109" s="347">
        <f t="shared" si="87"/>
      </c>
      <c r="DX109" s="106">
        <f t="shared" si="87"/>
      </c>
      <c r="DY109" s="106">
        <f t="shared" si="87"/>
      </c>
      <c r="DZ109" s="106">
        <f t="shared" si="87"/>
      </c>
      <c r="EA109" s="346">
        <f t="shared" si="87"/>
      </c>
      <c r="EB109" s="347">
        <f t="shared" si="87"/>
      </c>
      <c r="EC109" s="106">
        <f t="shared" si="87"/>
      </c>
      <c r="ED109" s="106">
        <f t="shared" si="87"/>
      </c>
      <c r="EE109" s="106">
        <f t="shared" si="87"/>
      </c>
      <c r="EF109" s="346">
        <f t="shared" si="87"/>
      </c>
      <c r="EG109" s="347">
        <f t="shared" si="87"/>
      </c>
      <c r="EH109" s="106">
        <f t="shared" si="87"/>
      </c>
      <c r="EI109" s="106">
        <f t="shared" si="87"/>
      </c>
      <c r="EJ109" s="106">
        <f t="shared" si="87"/>
      </c>
      <c r="EK109" s="346">
        <f t="shared" si="87"/>
      </c>
      <c r="EL109" s="347">
        <f t="shared" si="87"/>
      </c>
      <c r="EM109" s="106">
        <f t="shared" si="87"/>
      </c>
      <c r="EN109" s="106">
        <f t="shared" si="87"/>
      </c>
      <c r="EO109" s="106">
        <f t="shared" si="87"/>
      </c>
      <c r="EP109" s="346">
        <f t="shared" si="87"/>
      </c>
      <c r="EQ109" s="347">
        <f t="shared" si="87"/>
      </c>
      <c r="ER109" s="106">
        <f t="shared" si="87"/>
      </c>
      <c r="ES109" s="106">
        <f t="shared" si="87"/>
      </c>
      <c r="ET109" s="106">
        <f t="shared" si="87"/>
      </c>
      <c r="EU109" s="346">
        <f>EU108/EP108-1</f>
      </c>
      <c r="EV109" s="347">
        <f>EV108/EQ108-1</f>
      </c>
      <c r="EW109" s="106">
        <f t="shared" si="87"/>
      </c>
      <c r="EX109" s="106">
        <f t="shared" si="87"/>
      </c>
      <c r="EY109" s="106">
        <f t="shared" si="87"/>
      </c>
      <c r="EZ109" s="346">
        <f>EZ108/EU108-1</f>
      </c>
      <c r="FA109" s="347">
        <f t="shared" ref="FA109:FZ109" si="88">FA108/EV108-1</f>
      </c>
      <c r="FB109" s="106">
        <f t="shared" si="88"/>
      </c>
      <c r="FC109" s="106">
        <f t="shared" si="88"/>
      </c>
      <c r="FD109" s="106">
        <f t="shared" si="88"/>
      </c>
      <c r="FE109" s="346">
        <f t="shared" si="88"/>
      </c>
      <c r="FF109" s="347">
        <f t="shared" si="88"/>
      </c>
      <c r="FG109" s="106">
        <f t="shared" si="88"/>
      </c>
      <c r="FH109" s="106">
        <f t="shared" si="88"/>
      </c>
      <c r="FI109" s="106">
        <f t="shared" si="88"/>
      </c>
      <c r="FJ109" s="346">
        <f t="shared" si="88"/>
      </c>
      <c r="FK109" s="347">
        <f t="shared" si="88"/>
      </c>
      <c r="FL109" s="106">
        <f t="shared" si="88"/>
      </c>
      <c r="FM109" s="106">
        <f t="shared" si="88"/>
      </c>
      <c r="FN109" s="106">
        <f t="shared" si="88"/>
      </c>
      <c r="FO109" s="346">
        <f t="shared" si="88"/>
      </c>
      <c r="FP109" s="347">
        <f t="shared" si="88"/>
      </c>
      <c r="FQ109" s="106">
        <f t="shared" si="88"/>
      </c>
      <c r="FR109" s="106">
        <f t="shared" si="88"/>
      </c>
      <c r="FS109" s="106">
        <f t="shared" si="88"/>
      </c>
      <c r="FT109" s="346">
        <f t="shared" si="88"/>
      </c>
      <c r="FU109" s="347">
        <f t="shared" si="88"/>
      </c>
      <c r="FV109" s="106">
        <f t="shared" si="88"/>
      </c>
      <c r="FW109" s="107">
        <f t="shared" si="88"/>
      </c>
      <c r="FX109" s="107">
        <f t="shared" si="88"/>
      </c>
      <c r="FY109" s="346">
        <f t="shared" si="88"/>
      </c>
      <c r="FZ109" s="293">
        <f t="shared" si="88"/>
      </c>
      <c r="GA109" s="106">
        <f t="shared" ref="GA109:GJ109" si="89">GA108/FV108-1</f>
      </c>
      <c r="GB109" s="107">
        <f t="shared" si="89"/>
      </c>
      <c r="GC109" s="107">
        <f t="shared" si="89"/>
      </c>
      <c r="GD109" s="346">
        <f t="shared" si="89"/>
      </c>
      <c r="GE109" s="293">
        <f t="shared" si="89"/>
      </c>
      <c r="GF109" s="106">
        <f t="shared" si="89"/>
      </c>
      <c r="GG109" s="107">
        <f t="shared" si="89"/>
      </c>
      <c r="GH109" s="107">
        <f t="shared" si="89"/>
      </c>
      <c r="GI109" s="346">
        <f t="shared" si="89"/>
      </c>
      <c r="GJ109" s="392">
        <f t="shared" si="89"/>
      </c>
    </row>
    <row r="110" spans="1:192" s="335" customFormat="1" ht="12.75" customHeight="1">
      <c r="A110" s="790"/>
      <c r="B110" s="735" t="s">
        <v>36</v>
      </c>
      <c r="C110" s="106"/>
      <c r="D110" s="107"/>
      <c r="E110" s="107"/>
      <c r="F110" s="346"/>
      <c r="G110" s="347"/>
      <c r="H110" s="106"/>
      <c r="I110" s="107"/>
      <c r="J110" s="107"/>
      <c r="K110" s="346"/>
      <c r="L110" s="347"/>
      <c r="M110" s="106"/>
      <c r="N110" s="107"/>
      <c r="O110" s="107"/>
      <c r="P110" s="346"/>
      <c r="Q110" s="347"/>
      <c r="R110" s="106"/>
      <c r="S110" s="107"/>
      <c r="T110" s="107"/>
      <c r="U110" s="346"/>
      <c r="V110" s="347"/>
      <c r="W110" s="106"/>
      <c r="X110" s="107"/>
      <c r="Y110" s="107"/>
      <c r="Z110" s="346"/>
      <c r="AA110" s="347"/>
      <c r="AB110" s="106"/>
      <c r="AC110" s="107"/>
      <c r="AD110" s="107"/>
      <c r="AE110" s="346"/>
      <c r="AF110" s="347"/>
      <c r="AG110" s="106"/>
      <c r="AH110" s="107"/>
      <c r="AI110" s="107"/>
      <c r="AJ110" s="346"/>
      <c r="AK110" s="347"/>
      <c r="AL110" s="106"/>
      <c r="AM110" s="107"/>
      <c r="AN110" s="107"/>
      <c r="AO110" s="346"/>
      <c r="AP110" s="347"/>
      <c r="AQ110" s="106"/>
      <c r="AR110" s="107"/>
      <c r="AS110" s="107"/>
      <c r="AT110" s="346"/>
      <c r="AU110" s="347"/>
      <c r="AV110" s="106"/>
      <c r="AW110" s="107"/>
      <c r="AX110" s="107"/>
      <c r="AY110" s="346"/>
      <c r="AZ110" s="347"/>
      <c r="BA110" s="106"/>
      <c r="BB110" s="107"/>
      <c r="BC110" s="107"/>
      <c r="BD110" s="346"/>
      <c r="BE110" s="347"/>
      <c r="BF110" s="106"/>
      <c r="BG110" s="107"/>
      <c r="BH110" s="107"/>
      <c r="BI110" s="346"/>
      <c r="BJ110" s="347"/>
      <c r="BK110" s="106"/>
      <c r="BL110" s="107"/>
      <c r="BM110" s="107"/>
      <c r="BN110" s="346"/>
      <c r="BO110" s="347"/>
      <c r="BP110" s="106"/>
      <c r="BQ110" s="107"/>
      <c r="BR110" s="107"/>
      <c r="BS110" s="346"/>
      <c r="BT110" s="347"/>
      <c r="BU110" s="106"/>
      <c r="BV110" s="107"/>
      <c r="BW110" s="107"/>
      <c r="BX110" s="346"/>
      <c r="BY110" s="347"/>
      <c r="BZ110" s="106"/>
      <c r="CA110" s="107"/>
      <c r="CB110" s="107"/>
      <c r="CC110" s="346"/>
      <c r="CD110" s="347"/>
      <c r="CE110" s="106"/>
      <c r="CF110" s="107"/>
      <c r="CG110" s="107"/>
      <c r="CH110" s="346"/>
      <c r="CI110" s="347"/>
      <c r="CJ110" s="106"/>
      <c r="CK110" s="107"/>
      <c r="CL110" s="107"/>
      <c r="CM110" s="346"/>
      <c r="CN110" s="347"/>
      <c r="CO110" s="106"/>
      <c r="CP110" s="107"/>
      <c r="CQ110" s="107"/>
      <c r="CR110" s="346"/>
      <c r="CS110" s="347"/>
      <c r="CT110" s="106"/>
      <c r="CU110" s="107"/>
      <c r="CV110" s="107"/>
      <c r="CW110" s="346"/>
      <c r="CX110" s="347"/>
      <c r="CY110" s="106"/>
      <c r="CZ110" s="107"/>
      <c r="DA110" s="107"/>
      <c r="DB110" s="346"/>
      <c r="DC110" s="347"/>
      <c r="DD110" s="106"/>
      <c r="DE110" s="107"/>
      <c r="DF110" s="107"/>
      <c r="DG110" s="346"/>
      <c r="DH110" s="347"/>
      <c r="DI110" s="106"/>
      <c r="DJ110" s="107"/>
      <c r="DK110" s="107"/>
      <c r="DL110" s="346"/>
      <c r="DM110" s="347"/>
      <c r="DN110" s="106"/>
      <c r="DO110" s="107"/>
      <c r="DP110" s="107"/>
      <c r="DQ110" s="346"/>
      <c r="DR110" s="347"/>
      <c r="DS110" s="106">
        <f>DS108/DQ108-1</f>
      </c>
      <c r="DT110" s="107">
        <f>DT108/DS108-1</f>
      </c>
      <c r="DU110" s="107">
        <f>DU108/DT108-1</f>
      </c>
      <c r="DV110" s="346">
        <f>DV108/DU108-1</f>
      </c>
      <c r="DW110" s="347"/>
      <c r="DX110" s="106">
        <f>DX108/DV108-1</f>
      </c>
      <c r="DY110" s="107">
        <f>DY108/DX108-1</f>
      </c>
      <c r="DZ110" s="107">
        <f>DZ108/DY108-1</f>
      </c>
      <c r="EA110" s="346">
        <f>EA108/DZ108-1</f>
      </c>
      <c r="EB110" s="347"/>
      <c r="EC110" s="106">
        <f>EC108/EA108-1</f>
      </c>
      <c r="ED110" s="107">
        <f>ED108/EC108-1</f>
      </c>
      <c r="EE110" s="107">
        <f>EE108/ED108-1</f>
      </c>
      <c r="EF110" s="346">
        <f>EF108/EE108-1</f>
      </c>
      <c r="EG110" s="347"/>
      <c r="EH110" s="106">
        <f>EH108/EF108-1</f>
      </c>
      <c r="EI110" s="107">
        <f>EI108/EH108-1</f>
      </c>
      <c r="EJ110" s="107">
        <f>EJ108/EI108-1</f>
      </c>
      <c r="EK110" s="346">
        <f>EK108/EJ108-1</f>
      </c>
      <c r="EL110" s="347"/>
      <c r="EM110" s="106">
        <f>EM108/EK108-1</f>
      </c>
      <c r="EN110" s="107">
        <f>EN108/EM108-1</f>
      </c>
      <c r="EO110" s="107">
        <f>EO108/EN108-1</f>
      </c>
      <c r="EP110" s="346">
        <f>EP108/EO108-1</f>
      </c>
      <c r="EQ110" s="347"/>
      <c r="ER110" s="106">
        <f>ER108/EP108-1</f>
      </c>
      <c r="ES110" s="107">
        <f>ES108/ER108-1</f>
      </c>
      <c r="ET110" s="107">
        <f>ET108/ES108-1</f>
      </c>
      <c r="EU110" s="346">
        <f>EU108/ET108-1</f>
      </c>
      <c r="EV110" s="347"/>
      <c r="EW110" s="106">
        <f>EW108/EU108-1</f>
      </c>
      <c r="EX110" s="107">
        <f>EX108/EW108-1</f>
      </c>
      <c r="EY110" s="107">
        <f>EY108/EX108-1</f>
      </c>
      <c r="EZ110" s="346">
        <f>EZ108/EY108-1</f>
      </c>
      <c r="FA110" s="347"/>
      <c r="FB110" s="106">
        <f>FB108/EZ108-1</f>
      </c>
      <c r="FC110" s="107">
        <f>FC108/FB108-1</f>
      </c>
      <c r="FD110" s="107">
        <f>FD108/FC108-1</f>
      </c>
      <c r="FE110" s="346">
        <f>FE108/FD108-1</f>
      </c>
      <c r="FF110" s="347"/>
      <c r="FG110" s="106">
        <f>FG108/FE108-1</f>
      </c>
      <c r="FH110" s="107">
        <f>FH108/FG108-1</f>
      </c>
      <c r="FI110" s="107">
        <f>FI108/FH108-1</f>
      </c>
      <c r="FJ110" s="346">
        <f>FJ108/FI108-1</f>
      </c>
      <c r="FK110" s="347"/>
      <c r="FL110" s="106">
        <f>FL108/FJ108-1</f>
      </c>
      <c r="FM110" s="107">
        <f>FM108/FL108-1</f>
      </c>
      <c r="FN110" s="107">
        <f>FN108/FM108-1</f>
      </c>
      <c r="FO110" s="346">
        <f>FO108/FN108-1</f>
      </c>
      <c r="FP110" s="347"/>
      <c r="FQ110" s="106">
        <f>FQ108/FO108-1</f>
      </c>
      <c r="FR110" s="107">
        <f>FR108/FQ108-1</f>
      </c>
      <c r="FS110" s="107">
        <f>FS108/FR108-1</f>
      </c>
      <c r="FT110" s="346">
        <f>FT108/FS108-1</f>
      </c>
      <c r="FU110" s="347"/>
      <c r="FV110" s="106">
        <f>FV108/FT108-1</f>
      </c>
      <c r="FW110" s="107">
        <f>FW108/FV108-1</f>
      </c>
      <c r="FX110" s="107">
        <f>FX108/FW108-1</f>
      </c>
      <c r="FY110" s="346">
        <f>FY108/FX108-1</f>
      </c>
      <c r="FZ110" s="293"/>
      <c r="GA110" s="106">
        <f>GA108/FY108-1</f>
      </c>
      <c r="GB110" s="107">
        <f>GB108/GA108-1</f>
      </c>
      <c r="GC110" s="107">
        <f>GC108/GB108-1</f>
      </c>
      <c r="GD110" s="346">
        <f>GD108/GC108-1</f>
      </c>
      <c r="GE110" s="293"/>
      <c r="GF110" s="106">
        <f>GF108/GD108-1</f>
      </c>
      <c r="GG110" s="107">
        <f>GG108/GF108-1</f>
      </c>
      <c r="GH110" s="107">
        <f>GH108/GG108-1</f>
      </c>
      <c r="GI110" s="346">
        <f>GI108/GH108-1</f>
      </c>
      <c r="GJ110" s="392"/>
    </row>
    <row r="111" spans="1:192" s="490" customFormat="1" ht="12.75" customHeight="1">
      <c r="A111" s="796"/>
      <c r="B111" s="806" t="s">
        <v>243</v>
      </c>
      <c r="C111" s="455"/>
      <c r="D111" s="458"/>
      <c r="E111" s="458"/>
      <c r="F111" s="487"/>
      <c r="G111" s="488"/>
      <c r="H111" s="455"/>
      <c r="I111" s="458"/>
      <c r="J111" s="458"/>
      <c r="K111" s="487"/>
      <c r="L111" s="488"/>
      <c r="M111" s="455"/>
      <c r="N111" s="458"/>
      <c r="O111" s="458"/>
      <c r="P111" s="487"/>
      <c r="Q111" s="488"/>
      <c r="R111" s="455"/>
      <c r="S111" s="458"/>
      <c r="T111" s="458"/>
      <c r="U111" s="487"/>
      <c r="V111" s="488"/>
      <c r="W111" s="455"/>
      <c r="X111" s="458"/>
      <c r="Y111" s="458"/>
      <c r="Z111" s="487"/>
      <c r="AA111" s="488"/>
      <c r="AB111" s="455"/>
      <c r="AC111" s="458"/>
      <c r="AD111" s="458"/>
      <c r="AE111" s="487"/>
      <c r="AF111" s="488"/>
      <c r="AG111" s="455"/>
      <c r="AH111" s="458"/>
      <c r="AI111" s="458"/>
      <c r="AJ111" s="487"/>
      <c r="AK111" s="488"/>
      <c r="AL111" s="455"/>
      <c r="AM111" s="458"/>
      <c r="AN111" s="458"/>
      <c r="AO111" s="487"/>
      <c r="AP111" s="488"/>
      <c r="AQ111" s="455"/>
      <c r="AR111" s="458"/>
      <c r="AS111" s="458"/>
      <c r="AT111" s="487"/>
      <c r="AU111" s="488"/>
      <c r="AV111" s="455"/>
      <c r="AW111" s="458"/>
      <c r="AX111" s="458"/>
      <c r="AY111" s="487"/>
      <c r="AZ111" s="488"/>
      <c r="BA111" s="455"/>
      <c r="BB111" s="458"/>
      <c r="BC111" s="458"/>
      <c r="BD111" s="487"/>
      <c r="BE111" s="488"/>
      <c r="BF111" s="455"/>
      <c r="BG111" s="458"/>
      <c r="BH111" s="458"/>
      <c r="BI111" s="487"/>
      <c r="BJ111" s="488"/>
      <c r="BK111" s="455"/>
      <c r="BL111" s="458"/>
      <c r="BM111" s="458"/>
      <c r="BN111" s="487"/>
      <c r="BO111" s="488"/>
      <c r="BP111" s="455"/>
      <c r="BQ111" s="458"/>
      <c r="BR111" s="458"/>
      <c r="BS111" s="487"/>
      <c r="BT111" s="488"/>
      <c r="BU111" s="455"/>
      <c r="BV111" s="458"/>
      <c r="BW111" s="458"/>
      <c r="BX111" s="487"/>
      <c r="BY111" s="488"/>
      <c r="BZ111" s="455"/>
      <c r="CA111" s="458"/>
      <c r="CB111" s="458"/>
      <c r="CC111" s="487"/>
      <c r="CD111" s="488"/>
      <c r="CE111" s="455"/>
      <c r="CF111" s="458"/>
      <c r="CG111" s="458"/>
      <c r="CH111" s="487"/>
      <c r="CI111" s="488"/>
      <c r="CJ111" s="455"/>
      <c r="CK111" s="458"/>
      <c r="CL111" s="458"/>
      <c r="CM111" s="487"/>
      <c r="CN111" s="488"/>
      <c r="CO111" s="455"/>
      <c r="CP111" s="458"/>
      <c r="CQ111" s="458"/>
      <c r="CR111" s="487"/>
      <c r="CS111" s="488"/>
      <c r="CT111" s="455"/>
      <c r="CU111" s="458"/>
      <c r="CV111" s="458"/>
      <c r="CW111" s="487"/>
      <c r="CX111" s="488"/>
      <c r="CY111" s="455"/>
      <c r="CZ111" s="458"/>
      <c r="DA111" s="458"/>
      <c r="DB111" s="487"/>
      <c r="DC111" s="488"/>
      <c r="DD111" s="455"/>
      <c r="DE111" s="458"/>
      <c r="DF111" s="458"/>
      <c r="DG111" s="487"/>
      <c r="DH111" s="488"/>
      <c r="DI111" s="455"/>
      <c r="DJ111" s="458"/>
      <c r="DK111" s="458"/>
      <c r="DL111" s="487"/>
      <c r="DM111" s="488"/>
      <c r="DN111" s="455"/>
      <c r="DO111" s="458"/>
      <c r="DP111" s="458"/>
      <c r="DQ111" s="487"/>
      <c r="DR111" s="488"/>
      <c r="DS111" s="455">
        <f t="shared" ref="DS111:EY111" si="90">DS108-DN108</f>
      </c>
      <c r="DT111" s="458">
        <f t="shared" si="90"/>
      </c>
      <c r="DU111" s="458">
        <f t="shared" si="90"/>
      </c>
      <c r="DV111" s="487">
        <f t="shared" si="90"/>
      </c>
      <c r="DW111" s="488">
        <f t="shared" si="90"/>
      </c>
      <c r="DX111" s="455">
        <f t="shared" si="90"/>
      </c>
      <c r="DY111" s="458">
        <f t="shared" si="90"/>
      </c>
      <c r="DZ111" s="458">
        <f t="shared" si="90"/>
      </c>
      <c r="EA111" s="487">
        <f t="shared" si="90"/>
      </c>
      <c r="EB111" s="488">
        <f t="shared" si="90"/>
      </c>
      <c r="EC111" s="455">
        <f t="shared" si="90"/>
      </c>
      <c r="ED111" s="458">
        <f t="shared" si="90"/>
      </c>
      <c r="EE111" s="458">
        <f t="shared" si="90"/>
      </c>
      <c r="EF111" s="487">
        <f t="shared" si="90"/>
      </c>
      <c r="EG111" s="488">
        <f t="shared" si="90"/>
      </c>
      <c r="EH111" s="455">
        <f t="shared" si="90"/>
      </c>
      <c r="EI111" s="458">
        <f t="shared" si="90"/>
      </c>
      <c r="EJ111" s="458">
        <f t="shared" si="90"/>
      </c>
      <c r="EK111" s="487">
        <f t="shared" si="90"/>
      </c>
      <c r="EL111" s="488">
        <f t="shared" si="90"/>
      </c>
      <c r="EM111" s="455">
        <f t="shared" si="90"/>
      </c>
      <c r="EN111" s="458">
        <f t="shared" si="90"/>
      </c>
      <c r="EO111" s="458">
        <f t="shared" si="90"/>
      </c>
      <c r="EP111" s="487">
        <f t="shared" si="90"/>
      </c>
      <c r="EQ111" s="488">
        <f t="shared" si="90"/>
      </c>
      <c r="ER111" s="455">
        <f t="shared" si="90"/>
      </c>
      <c r="ES111" s="458">
        <f t="shared" si="90"/>
      </c>
      <c r="ET111" s="458">
        <f t="shared" si="90"/>
      </c>
      <c r="EU111" s="487">
        <f>EU108-EP108</f>
      </c>
      <c r="EV111" s="488">
        <f>EV108-EQ108</f>
      </c>
      <c r="EW111" s="455">
        <f t="shared" si="90"/>
      </c>
      <c r="EX111" s="458">
        <f t="shared" si="90"/>
      </c>
      <c r="EY111" s="458">
        <f t="shared" si="90"/>
      </c>
      <c r="EZ111" s="487">
        <f>EZ108-EU108</f>
      </c>
      <c r="FA111" s="488">
        <f t="shared" ref="FA111:FZ111" si="91">FA108-EV108</f>
      </c>
      <c r="FB111" s="455">
        <f t="shared" si="91"/>
      </c>
      <c r="FC111" s="458">
        <f t="shared" si="91"/>
      </c>
      <c r="FD111" s="458">
        <f t="shared" si="91"/>
      </c>
      <c r="FE111" s="487">
        <f t="shared" si="91"/>
      </c>
      <c r="FF111" s="488">
        <f t="shared" si="91"/>
      </c>
      <c r="FG111" s="455">
        <f t="shared" si="91"/>
      </c>
      <c r="FH111" s="458">
        <f t="shared" si="91"/>
      </c>
      <c r="FI111" s="458">
        <f t="shared" si="91"/>
      </c>
      <c r="FJ111" s="487">
        <f t="shared" si="91"/>
      </c>
      <c r="FK111" s="488">
        <f t="shared" si="91"/>
      </c>
      <c r="FL111" s="455">
        <f t="shared" si="91"/>
      </c>
      <c r="FM111" s="458">
        <f t="shared" si="91"/>
      </c>
      <c r="FN111" s="458">
        <f t="shared" si="91"/>
      </c>
      <c r="FO111" s="487">
        <f t="shared" si="91"/>
      </c>
      <c r="FP111" s="488">
        <f t="shared" si="91"/>
      </c>
      <c r="FQ111" s="455">
        <f t="shared" si="91"/>
      </c>
      <c r="FR111" s="458">
        <f t="shared" si="91"/>
      </c>
      <c r="FS111" s="458">
        <f t="shared" si="91"/>
      </c>
      <c r="FT111" s="487">
        <f t="shared" si="91"/>
      </c>
      <c r="FU111" s="488">
        <f t="shared" si="91"/>
      </c>
      <c r="FV111" s="455">
        <f t="shared" si="91"/>
      </c>
      <c r="FW111" s="458">
        <f t="shared" si="91"/>
      </c>
      <c r="FX111" s="458">
        <f t="shared" si="91"/>
      </c>
      <c r="FY111" s="487">
        <f t="shared" si="91"/>
      </c>
      <c r="FZ111" s="459">
        <f t="shared" si="91"/>
      </c>
      <c r="GA111" s="455">
        <f t="shared" ref="GA111:GJ111" si="92">GA108-FV108</f>
      </c>
      <c r="GB111" s="458">
        <f t="shared" si="92"/>
      </c>
      <c r="GC111" s="458">
        <f t="shared" si="92"/>
      </c>
      <c r="GD111" s="487">
        <f t="shared" si="92"/>
      </c>
      <c r="GE111" s="459">
        <f t="shared" si="92"/>
      </c>
      <c r="GF111" s="455">
        <f t="shared" si="92"/>
      </c>
      <c r="GG111" s="458">
        <f t="shared" si="92"/>
      </c>
      <c r="GH111" s="458">
        <f t="shared" si="92"/>
      </c>
      <c r="GI111" s="487">
        <f t="shared" si="92"/>
      </c>
      <c r="GJ111" s="489">
        <f t="shared" si="92"/>
      </c>
    </row>
    <row r="112" spans="1:192" s="490" customFormat="1" ht="12.75" customHeight="1">
      <c r="A112" s="796"/>
      <c r="B112" s="806" t="s">
        <v>244</v>
      </c>
      <c r="C112" s="455"/>
      <c r="D112" s="458"/>
      <c r="E112" s="458"/>
      <c r="F112" s="487"/>
      <c r="G112" s="488"/>
      <c r="H112" s="455"/>
      <c r="I112" s="458"/>
      <c r="J112" s="458"/>
      <c r="K112" s="487"/>
      <c r="L112" s="488"/>
      <c r="M112" s="455"/>
      <c r="N112" s="458"/>
      <c r="O112" s="458"/>
      <c r="P112" s="487"/>
      <c r="Q112" s="488"/>
      <c r="R112" s="455"/>
      <c r="S112" s="458"/>
      <c r="T112" s="458"/>
      <c r="U112" s="487"/>
      <c r="V112" s="488"/>
      <c r="W112" s="455"/>
      <c r="X112" s="458"/>
      <c r="Y112" s="458"/>
      <c r="Z112" s="487"/>
      <c r="AA112" s="488"/>
      <c r="AB112" s="455"/>
      <c r="AC112" s="458"/>
      <c r="AD112" s="458"/>
      <c r="AE112" s="487"/>
      <c r="AF112" s="488"/>
      <c r="AG112" s="455"/>
      <c r="AH112" s="458"/>
      <c r="AI112" s="458"/>
      <c r="AJ112" s="487"/>
      <c r="AK112" s="488"/>
      <c r="AL112" s="455"/>
      <c r="AM112" s="458"/>
      <c r="AN112" s="458"/>
      <c r="AO112" s="487"/>
      <c r="AP112" s="488"/>
      <c r="AQ112" s="455"/>
      <c r="AR112" s="458"/>
      <c r="AS112" s="458"/>
      <c r="AT112" s="487"/>
      <c r="AU112" s="488"/>
      <c r="AV112" s="455"/>
      <c r="AW112" s="458"/>
      <c r="AX112" s="458"/>
      <c r="AY112" s="487"/>
      <c r="AZ112" s="488"/>
      <c r="BA112" s="455"/>
      <c r="BB112" s="458"/>
      <c r="BC112" s="458"/>
      <c r="BD112" s="487"/>
      <c r="BE112" s="488"/>
      <c r="BF112" s="455"/>
      <c r="BG112" s="458"/>
      <c r="BH112" s="458"/>
      <c r="BI112" s="487"/>
      <c r="BJ112" s="488"/>
      <c r="BK112" s="455"/>
      <c r="BL112" s="458"/>
      <c r="BM112" s="458"/>
      <c r="BN112" s="487"/>
      <c r="BO112" s="488"/>
      <c r="BP112" s="455"/>
      <c r="BQ112" s="458"/>
      <c r="BR112" s="458"/>
      <c r="BS112" s="487"/>
      <c r="BT112" s="488"/>
      <c r="BU112" s="455"/>
      <c r="BV112" s="458"/>
      <c r="BW112" s="458"/>
      <c r="BX112" s="487"/>
      <c r="BY112" s="488"/>
      <c r="BZ112" s="455"/>
      <c r="CA112" s="458"/>
      <c r="CB112" s="458"/>
      <c r="CC112" s="487"/>
      <c r="CD112" s="488"/>
      <c r="CE112" s="455"/>
      <c r="CF112" s="458"/>
      <c r="CG112" s="458"/>
      <c r="CH112" s="487"/>
      <c r="CI112" s="488"/>
      <c r="CJ112" s="455"/>
      <c r="CK112" s="458"/>
      <c r="CL112" s="458"/>
      <c r="CM112" s="487"/>
      <c r="CN112" s="488"/>
      <c r="CO112" s="455"/>
      <c r="CP112" s="458"/>
      <c r="CQ112" s="458"/>
      <c r="CR112" s="487"/>
      <c r="CS112" s="488"/>
      <c r="CT112" s="455"/>
      <c r="CU112" s="458"/>
      <c r="CV112" s="458"/>
      <c r="CW112" s="487"/>
      <c r="CX112" s="488"/>
      <c r="CY112" s="455"/>
      <c r="CZ112" s="458"/>
      <c r="DA112" s="458"/>
      <c r="DB112" s="487"/>
      <c r="DC112" s="488"/>
      <c r="DD112" s="455"/>
      <c r="DE112" s="458"/>
      <c r="DF112" s="458"/>
      <c r="DG112" s="487"/>
      <c r="DH112" s="488"/>
      <c r="DI112" s="455"/>
      <c r="DJ112" s="458"/>
      <c r="DK112" s="458"/>
      <c r="DL112" s="487"/>
      <c r="DM112" s="488"/>
      <c r="DN112" s="455"/>
      <c r="DO112" s="458"/>
      <c r="DP112" s="458"/>
      <c r="DQ112" s="487"/>
      <c r="DR112" s="488"/>
      <c r="DS112" s="455">
        <f>DS108-DQ108</f>
      </c>
      <c r="DT112" s="458">
        <f>DT108-DS108</f>
      </c>
      <c r="DU112" s="458">
        <f>DU108-DT108</f>
      </c>
      <c r="DV112" s="487">
        <f>DV108-DU108</f>
      </c>
      <c r="DW112" s="488"/>
      <c r="DX112" s="455">
        <f>DX108-DV108</f>
      </c>
      <c r="DY112" s="458">
        <f>DY108-DX108</f>
      </c>
      <c r="DZ112" s="458">
        <f>DZ108-DY108</f>
      </c>
      <c r="EA112" s="487">
        <f>EA108-DZ108</f>
      </c>
      <c r="EB112" s="488"/>
      <c r="EC112" s="455">
        <f>EC108-EA108</f>
      </c>
      <c r="ED112" s="458">
        <f>ED108-EC108</f>
      </c>
      <c r="EE112" s="458">
        <f>EE108-ED108</f>
      </c>
      <c r="EF112" s="487">
        <f>EF108-EE108</f>
      </c>
      <c r="EG112" s="488"/>
      <c r="EH112" s="455">
        <f>EH108-EF108</f>
      </c>
      <c r="EI112" s="458">
        <f>EI108-EH108</f>
      </c>
      <c r="EJ112" s="458">
        <f>EJ108-EI108</f>
      </c>
      <c r="EK112" s="487">
        <f>EK108-EJ108</f>
      </c>
      <c r="EL112" s="488"/>
      <c r="EM112" s="455">
        <f>EM108-EK108</f>
      </c>
      <c r="EN112" s="458">
        <f>EN108-EM108</f>
      </c>
      <c r="EO112" s="458">
        <f>EO108-EN108</f>
      </c>
      <c r="EP112" s="487">
        <f>EP108-EO108</f>
      </c>
      <c r="EQ112" s="488"/>
      <c r="ER112" s="455">
        <f>ER108-EP108</f>
      </c>
      <c r="ES112" s="458">
        <f>ES108-ER108</f>
      </c>
      <c r="ET112" s="458">
        <f>ET108-ES108</f>
      </c>
      <c r="EU112" s="487">
        <f>EU108-ET108</f>
      </c>
      <c r="EV112" s="488"/>
      <c r="EW112" s="455">
        <f>EW108-EU108</f>
      </c>
      <c r="EX112" s="458">
        <f>EX108-EW108</f>
      </c>
      <c r="EY112" s="458">
        <f>EY108-EX108</f>
      </c>
      <c r="EZ112" s="487">
        <f>EZ108-EY108</f>
      </c>
      <c r="FA112" s="488"/>
      <c r="FB112" s="455">
        <f>FB108-EZ108</f>
      </c>
      <c r="FC112" s="458">
        <f>FC108-FB108</f>
      </c>
      <c r="FD112" s="458">
        <f>FD108-FC108</f>
      </c>
      <c r="FE112" s="487">
        <f>FE108-FD108</f>
      </c>
      <c r="FF112" s="488"/>
      <c r="FG112" s="455">
        <f>FG108-FE108</f>
      </c>
      <c r="FH112" s="458">
        <f>FH108-FG108</f>
      </c>
      <c r="FI112" s="458">
        <f>FI108-FH108</f>
      </c>
      <c r="FJ112" s="487">
        <f>FJ108-FI108</f>
      </c>
      <c r="FK112" s="488"/>
      <c r="FL112" s="455">
        <f>FL108-FJ108</f>
      </c>
      <c r="FM112" s="458">
        <f>FM108-FL108</f>
      </c>
      <c r="FN112" s="458">
        <f>FN108-FM108</f>
      </c>
      <c r="FO112" s="487">
        <f>FO108-FN108</f>
      </c>
      <c r="FP112" s="488"/>
      <c r="FQ112" s="455">
        <f>FQ108-FO108</f>
      </c>
      <c r="FR112" s="458">
        <f>FR108-FQ108</f>
      </c>
      <c r="FS112" s="458">
        <f>FS108-FR108</f>
      </c>
      <c r="FT112" s="487">
        <f>FT108-FS108</f>
      </c>
      <c r="FU112" s="488"/>
      <c r="FV112" s="455">
        <f>FV108-FT108</f>
      </c>
      <c r="FW112" s="458">
        <f>FW108-FV108</f>
      </c>
      <c r="FX112" s="458">
        <f>FX108-FW108</f>
      </c>
      <c r="FY112" s="487">
        <f>FY108-FX108</f>
      </c>
      <c r="FZ112" s="459"/>
      <c r="GA112" s="455">
        <f>GA108-FY108</f>
      </c>
      <c r="GB112" s="458">
        <f>GB108-GA108</f>
      </c>
      <c r="GC112" s="458">
        <f>GC108-GB108</f>
      </c>
      <c r="GD112" s="487">
        <f>GD108-GC108</f>
      </c>
      <c r="GE112" s="459"/>
      <c r="GF112" s="455">
        <f>GF108-GD108</f>
      </c>
      <c r="GG112" s="458">
        <f>GG108-GF108</f>
      </c>
      <c r="GH112" s="458">
        <f>GH108-GG108</f>
      </c>
      <c r="GI112" s="487">
        <f>GI108-GH108</f>
      </c>
      <c r="GJ112" s="489"/>
    </row>
    <row r="113" spans="1:192" s="335" customFormat="1" ht="12.75" customHeight="1">
      <c r="A113" s="790"/>
      <c r="B113" s="735" t="s">
        <v>397</v>
      </c>
      <c r="C113" s="106"/>
      <c r="D113" s="107"/>
      <c r="E113" s="107"/>
      <c r="F113" s="346"/>
      <c r="G113" s="347"/>
      <c r="H113" s="106"/>
      <c r="I113" s="107"/>
      <c r="J113" s="107"/>
      <c r="K113" s="346"/>
      <c r="L113" s="347"/>
      <c r="M113" s="106"/>
      <c r="N113" s="107"/>
      <c r="O113" s="107"/>
      <c r="P113" s="346"/>
      <c r="Q113" s="347"/>
      <c r="R113" s="106"/>
      <c r="S113" s="107"/>
      <c r="T113" s="107"/>
      <c r="U113" s="346"/>
      <c r="V113" s="347"/>
      <c r="W113" s="106"/>
      <c r="X113" s="107"/>
      <c r="Y113" s="107"/>
      <c r="Z113" s="346"/>
      <c r="AA113" s="347"/>
      <c r="AB113" s="106"/>
      <c r="AC113" s="107"/>
      <c r="AD113" s="107"/>
      <c r="AE113" s="346"/>
      <c r="AF113" s="347"/>
      <c r="AG113" s="106"/>
      <c r="AH113" s="107"/>
      <c r="AI113" s="107"/>
      <c r="AJ113" s="346"/>
      <c r="AK113" s="347"/>
      <c r="AL113" s="106"/>
      <c r="AM113" s="107"/>
      <c r="AN113" s="107"/>
      <c r="AO113" s="346"/>
      <c r="AP113" s="347"/>
      <c r="AQ113" s="106"/>
      <c r="AR113" s="107"/>
      <c r="AS113" s="107"/>
      <c r="AT113" s="346"/>
      <c r="AU113" s="347"/>
      <c r="AV113" s="106"/>
      <c r="AW113" s="107"/>
      <c r="AX113" s="107"/>
      <c r="AY113" s="346"/>
      <c r="AZ113" s="347"/>
      <c r="BA113" s="106"/>
      <c r="BB113" s="107"/>
      <c r="BC113" s="107"/>
      <c r="BD113" s="346"/>
      <c r="BE113" s="347"/>
      <c r="BF113" s="106"/>
      <c r="BG113" s="107"/>
      <c r="BH113" s="107"/>
      <c r="BI113" s="346"/>
      <c r="BJ113" s="347"/>
      <c r="BK113" s="106"/>
      <c r="BL113" s="107"/>
      <c r="BM113" s="107"/>
      <c r="BN113" s="346"/>
      <c r="BO113" s="347"/>
      <c r="BP113" s="106"/>
      <c r="BQ113" s="107"/>
      <c r="BR113" s="107"/>
      <c r="BS113" s="346"/>
      <c r="BT113" s="347"/>
      <c r="BU113" s="106"/>
      <c r="BV113" s="107"/>
      <c r="BW113" s="107"/>
      <c r="BX113" s="346"/>
      <c r="BY113" s="347"/>
      <c r="BZ113" s="106"/>
      <c r="CA113" s="107"/>
      <c r="CB113" s="107"/>
      <c r="CC113" s="346"/>
      <c r="CD113" s="347"/>
      <c r="CE113" s="106"/>
      <c r="CF113" s="107"/>
      <c r="CG113" s="107"/>
      <c r="CH113" s="346"/>
      <c r="CI113" s="347"/>
      <c r="CJ113" s="106"/>
      <c r="CK113" s="107"/>
      <c r="CL113" s="107"/>
      <c r="CM113" s="346"/>
      <c r="CN113" s="347"/>
      <c r="CO113" s="106"/>
      <c r="CP113" s="107"/>
      <c r="CQ113" s="107"/>
      <c r="CR113" s="346"/>
      <c r="CS113" s="347"/>
      <c r="CT113" s="106"/>
      <c r="CU113" s="107"/>
      <c r="CV113" s="107"/>
      <c r="CW113" s="346"/>
      <c r="CX113" s="347"/>
      <c r="CY113" s="106"/>
      <c r="CZ113" s="107"/>
      <c r="DA113" s="107"/>
      <c r="DB113" s="346"/>
      <c r="DC113" s="347"/>
      <c r="DD113" s="106"/>
      <c r="DE113" s="107"/>
      <c r="DF113" s="107"/>
      <c r="DG113" s="346"/>
      <c r="DH113" s="347"/>
      <c r="DI113" s="106"/>
      <c r="DJ113" s="107"/>
      <c r="DK113" s="107"/>
      <c r="DL113" s="346"/>
      <c r="DM113" s="347"/>
      <c r="DN113" s="883">
        <f>DN108/DN99</f>
      </c>
      <c r="DO113" s="884">
        <f>DO108/DO99</f>
      </c>
      <c r="DP113" s="884">
        <f>DP108/DP99</f>
      </c>
      <c r="DQ113" s="885">
        <f>DQ108/DQ99</f>
      </c>
      <c r="DR113" s="347"/>
      <c r="DS113" s="113">
        <v>0.65</v>
      </c>
      <c r="DT113" s="114">
        <f>DS113</f>
      </c>
      <c r="DU113" s="114">
        <f>DT113</f>
      </c>
      <c r="DV113" s="423">
        <f>DU113</f>
      </c>
      <c r="DW113" s="347">
        <f>DW108/DW10</f>
      </c>
      <c r="DX113" s="113">
        <v>0.67</v>
      </c>
      <c r="DY113" s="114">
        <f>DX113</f>
      </c>
      <c r="DZ113" s="114">
        <f>DY113</f>
      </c>
      <c r="EA113" s="423">
        <f>DZ113</f>
      </c>
      <c r="EB113" s="347">
        <f>EB108/EB10</f>
      </c>
      <c r="EC113" s="113">
        <v>0.69</v>
      </c>
      <c r="ED113" s="114">
        <f>EC113</f>
      </c>
      <c r="EE113" s="114">
        <f>ED113</f>
      </c>
      <c r="EF113" s="423">
        <f>EE113</f>
      </c>
      <c r="EG113" s="347">
        <f>EG108/EG10</f>
      </c>
      <c r="EH113" s="113">
        <v>0.65</v>
      </c>
      <c r="EI113" s="114">
        <f>EH113</f>
      </c>
      <c r="EJ113" s="114">
        <f>EI113</f>
      </c>
      <c r="EK113" s="423">
        <f>EJ113</f>
      </c>
      <c r="EL113" s="347">
        <f>EL108/EL10</f>
      </c>
      <c r="EM113" s="113">
        <v>0.65</v>
      </c>
      <c r="EN113" s="114">
        <f>EM113</f>
      </c>
      <c r="EO113" s="114">
        <f>EN113</f>
      </c>
      <c r="EP113" s="423">
        <f>EO113</f>
      </c>
      <c r="EQ113" s="347">
        <f>EQ108/EQ10</f>
      </c>
      <c r="ER113" s="113">
        <v>0.65</v>
      </c>
      <c r="ES113" s="114">
        <f>ER113</f>
      </c>
      <c r="ET113" s="114">
        <f>ES113</f>
      </c>
      <c r="EU113" s="1355">
        <f>ET113</f>
      </c>
      <c r="EV113" s="347">
        <f>EV108/EV10</f>
      </c>
      <c r="EW113" s="1626">
        <v>0.65</v>
      </c>
      <c r="EX113" s="114">
        <f>EW113</f>
      </c>
      <c r="EY113" s="439">
        <v>0.65</v>
      </c>
      <c r="EZ113" s="1711">
        <f>EY113</f>
      </c>
      <c r="FA113" s="347">
        <f>FA108/FA10</f>
      </c>
      <c r="FB113" s="113">
        <v>0.65</v>
      </c>
      <c r="FC113" s="114">
        <f>FB113</f>
      </c>
      <c r="FD113" s="114">
        <f>FC113</f>
      </c>
      <c r="FE113" s="423">
        <f>FD113</f>
      </c>
      <c r="FF113" s="347">
        <f>FF108/FF10</f>
      </c>
      <c r="FG113" s="113">
        <v>0.65</v>
      </c>
      <c r="FH113" s="114">
        <f>FG113</f>
      </c>
      <c r="FI113" s="114">
        <f>FH113</f>
      </c>
      <c r="FJ113" s="423">
        <f>FI113</f>
      </c>
      <c r="FK113" s="347">
        <f>FK108/FK10</f>
      </c>
      <c r="FL113" s="113">
        <v>0.65</v>
      </c>
      <c r="FM113" s="114">
        <f>FL113</f>
      </c>
      <c r="FN113" s="114">
        <f>FM113</f>
      </c>
      <c r="FO113" s="423">
        <f>FN113</f>
      </c>
      <c r="FP113" s="347">
        <f>FP108/FP10</f>
      </c>
      <c r="FQ113" s="113">
        <v>0.65</v>
      </c>
      <c r="FR113" s="114">
        <f>FQ113</f>
      </c>
      <c r="FS113" s="114">
        <f>FR113</f>
      </c>
      <c r="FT113" s="423">
        <f>FS113</f>
      </c>
      <c r="FU113" s="347">
        <f>FU108/FU10</f>
      </c>
      <c r="FV113" s="113">
        <v>0.65</v>
      </c>
      <c r="FW113" s="114">
        <f>FV113</f>
      </c>
      <c r="FX113" s="114">
        <f>FW113</f>
      </c>
      <c r="FY113" s="423">
        <f>FX113</f>
      </c>
      <c r="FZ113" s="293">
        <f>FZ108/FZ10</f>
      </c>
      <c r="GA113" s="113">
        <v>0.65</v>
      </c>
      <c r="GB113" s="114">
        <f>GA113</f>
      </c>
      <c r="GC113" s="114">
        <f>GB113</f>
      </c>
      <c r="GD113" s="423">
        <f>GC113</f>
      </c>
      <c r="GE113" s="293">
        <f>GE108/GE10</f>
      </c>
      <c r="GF113" s="113">
        <v>0.65</v>
      </c>
      <c r="GG113" s="114">
        <f>GF113</f>
      </c>
      <c r="GH113" s="114">
        <f>GG113</f>
      </c>
      <c r="GI113" s="423">
        <f>GH113</f>
      </c>
      <c r="GJ113" s="392">
        <f>GJ108/GJ10</f>
      </c>
    </row>
    <row r="114" spans="1:192" s="335" customFormat="1" ht="12.75" customHeight="1">
      <c r="A114" s="790"/>
      <c r="B114" s="735" t="s">
        <v>258</v>
      </c>
      <c r="C114" s="106"/>
      <c r="D114" s="107"/>
      <c r="E114" s="107"/>
      <c r="F114" s="346"/>
      <c r="G114" s="347"/>
      <c r="H114" s="106"/>
      <c r="I114" s="107"/>
      <c r="J114" s="107"/>
      <c r="K114" s="346"/>
      <c r="L114" s="347"/>
      <c r="M114" s="106"/>
      <c r="N114" s="107"/>
      <c r="O114" s="107"/>
      <c r="P114" s="346"/>
      <c r="Q114" s="347"/>
      <c r="R114" s="106"/>
      <c r="S114" s="107"/>
      <c r="T114" s="107"/>
      <c r="U114" s="346"/>
      <c r="V114" s="347"/>
      <c r="W114" s="106"/>
      <c r="X114" s="107"/>
      <c r="Y114" s="107"/>
      <c r="Z114" s="346"/>
      <c r="AA114" s="347"/>
      <c r="AB114" s="106"/>
      <c r="AC114" s="107"/>
      <c r="AD114" s="107"/>
      <c r="AE114" s="346"/>
      <c r="AF114" s="347"/>
      <c r="AG114" s="106"/>
      <c r="AH114" s="107"/>
      <c r="AI114" s="107"/>
      <c r="AJ114" s="346"/>
      <c r="AK114" s="347"/>
      <c r="AL114" s="106"/>
      <c r="AM114" s="107"/>
      <c r="AN114" s="107"/>
      <c r="AO114" s="346"/>
      <c r="AP114" s="347"/>
      <c r="AQ114" s="106"/>
      <c r="AR114" s="107"/>
      <c r="AS114" s="107"/>
      <c r="AT114" s="346"/>
      <c r="AU114" s="347"/>
      <c r="AV114" s="106"/>
      <c r="AW114" s="107"/>
      <c r="AX114" s="107"/>
      <c r="AY114" s="346"/>
      <c r="AZ114" s="347"/>
      <c r="BA114" s="106"/>
      <c r="BB114" s="107"/>
      <c r="BC114" s="107"/>
      <c r="BD114" s="346"/>
      <c r="BE114" s="347"/>
      <c r="BF114" s="106"/>
      <c r="BG114" s="107"/>
      <c r="BH114" s="107"/>
      <c r="BI114" s="346"/>
      <c r="BJ114" s="347"/>
      <c r="BK114" s="106"/>
      <c r="BL114" s="107"/>
      <c r="BM114" s="107"/>
      <c r="BN114" s="346"/>
      <c r="BO114" s="347"/>
      <c r="BP114" s="106"/>
      <c r="BQ114" s="107"/>
      <c r="BR114" s="107"/>
      <c r="BS114" s="346"/>
      <c r="BT114" s="347"/>
      <c r="BU114" s="106"/>
      <c r="BV114" s="107"/>
      <c r="BW114" s="107"/>
      <c r="BX114" s="346"/>
      <c r="BY114" s="347"/>
      <c r="BZ114" s="106"/>
      <c r="CA114" s="107"/>
      <c r="CB114" s="107"/>
      <c r="CC114" s="346"/>
      <c r="CD114" s="347"/>
      <c r="CE114" s="106"/>
      <c r="CF114" s="107"/>
      <c r="CG114" s="107"/>
      <c r="CH114" s="346"/>
      <c r="CI114" s="347"/>
      <c r="CJ114" s="106"/>
      <c r="CK114" s="107"/>
      <c r="CL114" s="107"/>
      <c r="CM114" s="346"/>
      <c r="CN114" s="347"/>
      <c r="CO114" s="106"/>
      <c r="CP114" s="107"/>
      <c r="CQ114" s="107"/>
      <c r="CR114" s="346"/>
      <c r="CS114" s="347"/>
      <c r="CT114" s="106"/>
      <c r="CU114" s="107"/>
      <c r="CV114" s="107"/>
      <c r="CW114" s="346"/>
      <c r="CX114" s="347"/>
      <c r="CY114" s="106"/>
      <c r="CZ114" s="107"/>
      <c r="DA114" s="107"/>
      <c r="DB114" s="346"/>
      <c r="DC114" s="347"/>
      <c r="DD114" s="106"/>
      <c r="DE114" s="107"/>
      <c r="DF114" s="107"/>
      <c r="DG114" s="346"/>
      <c r="DH114" s="347"/>
      <c r="DI114" s="106"/>
      <c r="DJ114" s="107"/>
      <c r="DK114" s="107"/>
      <c r="DL114" s="346"/>
      <c r="DM114" s="347"/>
      <c r="DN114" s="106">
        <f>DN108/DN10</f>
      </c>
      <c r="DO114" s="107">
        <f>DO108/DO10</f>
      </c>
      <c r="DP114" s="107">
        <f>DP108/DP10</f>
      </c>
      <c r="DQ114" s="346">
        <f>DQ108/DQ10</f>
      </c>
      <c r="DR114" s="347"/>
      <c r="DS114" s="106">
        <f t="shared" ref="DS114:EX114" si="93">DS108/DS10</f>
      </c>
      <c r="DT114" s="107">
        <f t="shared" si="93"/>
      </c>
      <c r="DU114" s="107">
        <f t="shared" si="93"/>
      </c>
      <c r="DV114" s="346">
        <f t="shared" si="93"/>
      </c>
      <c r="DW114" s="347">
        <f t="shared" si="93"/>
      </c>
      <c r="DX114" s="106">
        <f t="shared" si="93"/>
      </c>
      <c r="DY114" s="107">
        <f t="shared" si="93"/>
      </c>
      <c r="DZ114" s="107">
        <f t="shared" si="93"/>
      </c>
      <c r="EA114" s="346">
        <f t="shared" si="93"/>
      </c>
      <c r="EB114" s="347">
        <f t="shared" si="93"/>
      </c>
      <c r="EC114" s="106">
        <f t="shared" si="93"/>
      </c>
      <c r="ED114" s="107">
        <f t="shared" si="93"/>
      </c>
      <c r="EE114" s="107">
        <f t="shared" si="93"/>
      </c>
      <c r="EF114" s="346">
        <f t="shared" si="93"/>
      </c>
      <c r="EG114" s="347">
        <f t="shared" si="93"/>
      </c>
      <c r="EH114" s="106">
        <f t="shared" si="93"/>
      </c>
      <c r="EI114" s="107">
        <f t="shared" si="93"/>
      </c>
      <c r="EJ114" s="107">
        <f t="shared" si="93"/>
      </c>
      <c r="EK114" s="346">
        <f t="shared" si="93"/>
      </c>
      <c r="EL114" s="347">
        <f t="shared" si="93"/>
      </c>
      <c r="EM114" s="106">
        <f t="shared" si="93"/>
      </c>
      <c r="EN114" s="107">
        <f t="shared" si="93"/>
      </c>
      <c r="EO114" s="107">
        <f t="shared" si="93"/>
      </c>
      <c r="EP114" s="346">
        <f t="shared" si="93"/>
      </c>
      <c r="EQ114" s="347">
        <f t="shared" si="93"/>
      </c>
      <c r="ER114" s="106">
        <f t="shared" si="93"/>
      </c>
      <c r="ES114" s="107">
        <f t="shared" si="93"/>
      </c>
      <c r="ET114" s="107">
        <f t="shared" si="93"/>
      </c>
      <c r="EU114" s="346">
        <f t="shared" si="93"/>
      </c>
      <c r="EV114" s="347">
        <f t="shared" si="93"/>
      </c>
      <c r="EW114" s="106">
        <f t="shared" si="93"/>
      </c>
      <c r="EX114" s="107">
        <f t="shared" si="93"/>
      </c>
      <c r="EY114" s="107">
        <f t="shared" ref="EY114:GE114" si="94">EY108/EY10</f>
      </c>
      <c r="EZ114" s="346">
        <f t="shared" si="94"/>
      </c>
      <c r="FA114" s="347">
        <f t="shared" si="94"/>
      </c>
      <c r="FB114" s="106">
        <f t="shared" si="94"/>
      </c>
      <c r="FC114" s="107">
        <f t="shared" si="94"/>
      </c>
      <c r="FD114" s="107">
        <f t="shared" si="94"/>
      </c>
      <c r="FE114" s="346">
        <f t="shared" si="94"/>
      </c>
      <c r="FF114" s="347">
        <f t="shared" si="94"/>
      </c>
      <c r="FG114" s="106">
        <f t="shared" si="94"/>
      </c>
      <c r="FH114" s="107">
        <f t="shared" si="94"/>
      </c>
      <c r="FI114" s="107">
        <f t="shared" si="94"/>
      </c>
      <c r="FJ114" s="346">
        <f t="shared" si="94"/>
      </c>
      <c r="FK114" s="347">
        <f t="shared" si="94"/>
      </c>
      <c r="FL114" s="106">
        <f t="shared" si="94"/>
      </c>
      <c r="FM114" s="107">
        <f t="shared" si="94"/>
      </c>
      <c r="FN114" s="107">
        <f t="shared" si="94"/>
      </c>
      <c r="FO114" s="346">
        <f t="shared" si="94"/>
      </c>
      <c r="FP114" s="347">
        <f t="shared" si="94"/>
      </c>
      <c r="FQ114" s="106">
        <f t="shared" si="94"/>
      </c>
      <c r="FR114" s="107">
        <f t="shared" si="94"/>
      </c>
      <c r="FS114" s="107">
        <f t="shared" si="94"/>
      </c>
      <c r="FT114" s="346">
        <f t="shared" si="94"/>
      </c>
      <c r="FU114" s="347">
        <f t="shared" si="94"/>
      </c>
      <c r="FV114" s="106">
        <f t="shared" si="94"/>
      </c>
      <c r="FW114" s="107">
        <f t="shared" si="94"/>
      </c>
      <c r="FX114" s="107">
        <f t="shared" si="94"/>
      </c>
      <c r="FY114" s="346">
        <f t="shared" si="94"/>
      </c>
      <c r="FZ114" s="293">
        <f t="shared" si="94"/>
      </c>
      <c r="GA114" s="106">
        <f t="shared" si="94"/>
      </c>
      <c r="GB114" s="107">
        <f t="shared" si="94"/>
      </c>
      <c r="GC114" s="107">
        <f t="shared" si="94"/>
      </c>
      <c r="GD114" s="346">
        <f t="shared" si="94"/>
      </c>
      <c r="GE114" s="293">
        <f t="shared" si="94"/>
      </c>
      <c r="GF114" s="106">
        <f t="shared" ref="GF114:GJ114" si="95">GF108/GF10</f>
      </c>
      <c r="GG114" s="107">
        <f t="shared" si="95"/>
      </c>
      <c r="GH114" s="107">
        <f t="shared" si="95"/>
      </c>
      <c r="GI114" s="346">
        <f t="shared" si="95"/>
      </c>
      <c r="GJ114" s="392">
        <f t="shared" si="95"/>
      </c>
    </row>
    <row r="115" spans="1:192" s="335" customFormat="1" ht="12.75" customHeight="1" thickBot="1">
      <c r="A115" s="790"/>
      <c r="B115" s="743"/>
      <c r="C115" s="387"/>
      <c r="D115" s="388"/>
      <c r="E115" s="388"/>
      <c r="F115" s="389"/>
      <c r="G115" s="390"/>
      <c r="H115" s="387"/>
      <c r="I115" s="388"/>
      <c r="J115" s="388"/>
      <c r="K115" s="389"/>
      <c r="L115" s="390"/>
      <c r="M115" s="387"/>
      <c r="N115" s="388"/>
      <c r="O115" s="388"/>
      <c r="P115" s="389"/>
      <c r="Q115" s="390"/>
      <c r="R115" s="387"/>
      <c r="S115" s="388"/>
      <c r="T115" s="388"/>
      <c r="U115" s="389"/>
      <c r="V115" s="390"/>
      <c r="W115" s="387"/>
      <c r="X115" s="388"/>
      <c r="Y115" s="388"/>
      <c r="Z115" s="389"/>
      <c r="AA115" s="390"/>
      <c r="AB115" s="387"/>
      <c r="AC115" s="388"/>
      <c r="AD115" s="388"/>
      <c r="AE115" s="389"/>
      <c r="AF115" s="390"/>
      <c r="AG115" s="387"/>
      <c r="AH115" s="388"/>
      <c r="AI115" s="388"/>
      <c r="AJ115" s="389"/>
      <c r="AK115" s="390"/>
      <c r="AL115" s="387"/>
      <c r="AM115" s="388"/>
      <c r="AN115" s="388"/>
      <c r="AO115" s="389"/>
      <c r="AP115" s="390"/>
      <c r="AQ115" s="387"/>
      <c r="AR115" s="388"/>
      <c r="AS115" s="388"/>
      <c r="AT115" s="389"/>
      <c r="AU115" s="390"/>
      <c r="AV115" s="387"/>
      <c r="AW115" s="388"/>
      <c r="AX115" s="388"/>
      <c r="AY115" s="389"/>
      <c r="AZ115" s="390"/>
      <c r="BA115" s="387"/>
      <c r="BB115" s="388"/>
      <c r="BC115" s="388"/>
      <c r="BD115" s="389"/>
      <c r="BE115" s="390"/>
      <c r="BF115" s="387"/>
      <c r="BG115" s="388"/>
      <c r="BH115" s="388"/>
      <c r="BI115" s="389"/>
      <c r="BJ115" s="390"/>
      <c r="BK115" s="387"/>
      <c r="BL115" s="388"/>
      <c r="BM115" s="388"/>
      <c r="BN115" s="389"/>
      <c r="BO115" s="390"/>
      <c r="BP115" s="387"/>
      <c r="BQ115" s="388"/>
      <c r="BR115" s="388"/>
      <c r="BS115" s="389"/>
      <c r="BT115" s="390"/>
      <c r="BU115" s="387"/>
      <c r="BV115" s="388"/>
      <c r="BW115" s="388"/>
      <c r="BX115" s="389"/>
      <c r="BY115" s="390"/>
      <c r="BZ115" s="387"/>
      <c r="CA115" s="388"/>
      <c r="CB115" s="388"/>
      <c r="CC115" s="389"/>
      <c r="CD115" s="390"/>
      <c r="CE115" s="387"/>
      <c r="CF115" s="388"/>
      <c r="CG115" s="388"/>
      <c r="CH115" s="389"/>
      <c r="CI115" s="390"/>
      <c r="CJ115" s="387"/>
      <c r="CK115" s="388"/>
      <c r="CL115" s="388"/>
      <c r="CM115" s="389"/>
      <c r="CN115" s="390"/>
      <c r="CO115" s="387"/>
      <c r="CP115" s="388"/>
      <c r="CQ115" s="388"/>
      <c r="CR115" s="389"/>
      <c r="CS115" s="390"/>
      <c r="CT115" s="387"/>
      <c r="CU115" s="388"/>
      <c r="CV115" s="388"/>
      <c r="CW115" s="389"/>
      <c r="CX115" s="390"/>
      <c r="CY115" s="387"/>
      <c r="CZ115" s="388"/>
      <c r="DA115" s="388"/>
      <c r="DB115" s="389"/>
      <c r="DC115" s="390"/>
      <c r="DD115" s="387"/>
      <c r="DE115" s="388"/>
      <c r="DF115" s="388"/>
      <c r="DG115" s="389"/>
      <c r="DH115" s="390"/>
      <c r="DI115" s="387"/>
      <c r="DJ115" s="388"/>
      <c r="DK115" s="388"/>
      <c r="DL115" s="389"/>
      <c r="DM115" s="390"/>
      <c r="DN115" s="387"/>
      <c r="DO115" s="388"/>
      <c r="DP115" s="388"/>
      <c r="DQ115" s="389"/>
      <c r="DR115" s="390"/>
      <c r="DS115" s="387"/>
      <c r="DT115" s="388"/>
      <c r="DU115" s="388"/>
      <c r="DV115" s="389"/>
      <c r="DW115" s="390"/>
      <c r="DX115" s="387"/>
      <c r="DY115" s="388"/>
      <c r="DZ115" s="388"/>
      <c r="EA115" s="389"/>
      <c r="EB115" s="390"/>
      <c r="EC115" s="387"/>
      <c r="ED115" s="388"/>
      <c r="EE115" s="388"/>
      <c r="EF115" s="389"/>
      <c r="EG115" s="390"/>
      <c r="EH115" s="387"/>
      <c r="EI115" s="388"/>
      <c r="EJ115" s="388"/>
      <c r="EK115" s="389"/>
      <c r="EL115" s="390"/>
      <c r="EM115" s="387"/>
      <c r="EN115" s="388"/>
      <c r="EO115" s="388"/>
      <c r="EP115" s="389"/>
      <c r="EQ115" s="390"/>
      <c r="ER115" s="387"/>
      <c r="ES115" s="388"/>
      <c r="ET115" s="388"/>
      <c r="EU115" s="389"/>
      <c r="EV115" s="390"/>
      <c r="EW115" s="387"/>
      <c r="EX115" s="388"/>
      <c r="EY115" s="388"/>
      <c r="EZ115" s="389"/>
      <c r="FA115" s="390"/>
      <c r="FB115" s="387"/>
      <c r="FC115" s="388"/>
      <c r="FD115" s="388"/>
      <c r="FE115" s="389"/>
      <c r="FF115" s="390"/>
      <c r="FG115" s="387"/>
      <c r="FH115" s="388"/>
      <c r="FI115" s="388"/>
      <c r="FJ115" s="389"/>
      <c r="FK115" s="390"/>
      <c r="FL115" s="387"/>
      <c r="FM115" s="388"/>
      <c r="FN115" s="388"/>
      <c r="FO115" s="389"/>
      <c r="FP115" s="390"/>
      <c r="FQ115" s="387"/>
      <c r="FR115" s="388"/>
      <c r="FS115" s="388"/>
      <c r="FT115" s="389"/>
      <c r="FU115" s="390"/>
      <c r="FV115" s="387"/>
      <c r="FW115" s="388"/>
      <c r="FX115" s="388"/>
      <c r="FY115" s="389"/>
      <c r="FZ115" s="1469"/>
      <c r="GA115" s="387"/>
      <c r="GB115" s="388"/>
      <c r="GC115" s="388"/>
      <c r="GD115" s="389"/>
      <c r="GE115" s="1469"/>
      <c r="GF115" s="387"/>
      <c r="GG115" s="388"/>
      <c r="GH115" s="388"/>
      <c r="GI115" s="389"/>
      <c r="GJ115" s="391"/>
    </row>
    <row r="116" spans="1:192" ht="12.75" customHeight="1">
      <c r="B116" s="754"/>
      <c r="EL116" s="288"/>
      <c r="EQ116" s="288"/>
    </row>
    <row r="117" spans="1:192" ht="12.75" customHeight="1" thickBot="1">
      <c r="B117" s="701"/>
      <c r="EL117" s="288"/>
      <c r="EQ117" s="288"/>
    </row>
    <row r="118" spans="1:192" ht="12.75" customHeight="1" thickBot="1">
      <c r="B118" s="731" t="s">
        <v>198</v>
      </c>
      <c r="C118" s="396"/>
      <c r="D118" s="397"/>
      <c r="E118" s="397"/>
      <c r="F118" s="397"/>
      <c r="G118" s="397"/>
      <c r="H118" s="396"/>
      <c r="I118" s="397"/>
      <c r="J118" s="397"/>
      <c r="K118" s="397"/>
      <c r="L118" s="397"/>
      <c r="M118" s="396"/>
      <c r="N118" s="397"/>
      <c r="O118" s="397"/>
      <c r="P118" s="397"/>
      <c r="Q118" s="397"/>
      <c r="R118" s="396"/>
      <c r="S118" s="397"/>
      <c r="T118" s="397"/>
      <c r="U118" s="397"/>
      <c r="V118" s="397"/>
      <c r="W118" s="396"/>
      <c r="X118" s="397"/>
      <c r="Y118" s="397"/>
      <c r="Z118" s="397"/>
      <c r="AA118" s="397"/>
      <c r="AB118" s="396"/>
      <c r="AC118" s="397"/>
      <c r="AD118" s="397"/>
      <c r="AE118" s="397"/>
      <c r="AF118" s="397"/>
      <c r="AG118" s="396"/>
      <c r="AH118" s="397"/>
      <c r="AI118" s="397"/>
      <c r="AJ118" s="397"/>
      <c r="AK118" s="397"/>
      <c r="AL118" s="396"/>
      <c r="AM118" s="397"/>
      <c r="AN118" s="397"/>
      <c r="AO118" s="397"/>
      <c r="AP118" s="397"/>
      <c r="AQ118" s="396"/>
      <c r="AR118" s="397"/>
      <c r="AS118" s="397"/>
      <c r="AT118" s="397"/>
      <c r="AU118" s="397"/>
      <c r="AV118" s="396"/>
      <c r="AW118" s="397"/>
      <c r="AX118" s="397"/>
      <c r="AY118" s="397"/>
      <c r="AZ118" s="397"/>
      <c r="BA118" s="396"/>
      <c r="BB118" s="397"/>
      <c r="BC118" s="397"/>
      <c r="BD118" s="397"/>
      <c r="BE118" s="397"/>
      <c r="BF118" s="396"/>
      <c r="BG118" s="397"/>
      <c r="BH118" s="397"/>
      <c r="BI118" s="397"/>
      <c r="BJ118" s="397"/>
      <c r="BK118" s="396"/>
      <c r="BL118" s="397"/>
      <c r="BM118" s="397"/>
      <c r="BN118" s="397"/>
      <c r="BO118" s="397"/>
      <c r="BP118" s="396"/>
      <c r="BQ118" s="397"/>
      <c r="BR118" s="397"/>
      <c r="BS118" s="397"/>
      <c r="BT118" s="397"/>
      <c r="BU118" s="396"/>
      <c r="BV118" s="397"/>
      <c r="BW118" s="397"/>
      <c r="BX118" s="397"/>
      <c r="BY118" s="397"/>
      <c r="BZ118" s="396"/>
      <c r="CA118" s="397"/>
      <c r="CB118" s="397"/>
      <c r="CC118" s="397"/>
      <c r="CD118" s="397"/>
      <c r="CE118" s="396"/>
      <c r="CF118" s="397"/>
      <c r="CG118" s="397"/>
      <c r="CH118" s="397"/>
      <c r="CI118" s="397"/>
      <c r="CJ118" s="396"/>
      <c r="CK118" s="397"/>
      <c r="CL118" s="397"/>
      <c r="CM118" s="397"/>
      <c r="CN118" s="397"/>
      <c r="CO118" s="396"/>
      <c r="CP118" s="397"/>
      <c r="CQ118" s="397"/>
      <c r="CR118" s="397"/>
      <c r="CS118" s="397"/>
      <c r="CT118" s="396"/>
      <c r="CU118" s="397"/>
      <c r="CV118" s="397"/>
      <c r="CW118" s="397"/>
      <c r="CX118" s="397"/>
      <c r="CY118" s="396"/>
      <c r="CZ118" s="397"/>
      <c r="DA118" s="397"/>
      <c r="DB118" s="397"/>
      <c r="DC118" s="397"/>
      <c r="DD118" s="396"/>
      <c r="DE118" s="397"/>
      <c r="DF118" s="397"/>
      <c r="DG118" s="397"/>
      <c r="DH118" s="397"/>
      <c r="DI118" s="396"/>
      <c r="DJ118" s="397"/>
      <c r="DK118" s="397"/>
      <c r="DL118" s="397"/>
      <c r="DM118" s="397"/>
      <c r="DN118" s="396"/>
      <c r="DO118" s="397"/>
      <c r="DP118" s="397"/>
      <c r="DQ118" s="397"/>
      <c r="DR118" s="397"/>
      <c r="DS118" s="396"/>
      <c r="DT118" s="397"/>
      <c r="DU118" s="397"/>
      <c r="DV118" s="397"/>
      <c r="DW118" s="397"/>
      <c r="DX118" s="396"/>
      <c r="DY118" s="397"/>
      <c r="DZ118" s="397"/>
      <c r="EA118" s="397"/>
      <c r="EB118" s="397"/>
      <c r="EC118" s="396"/>
      <c r="ED118" s="397"/>
      <c r="EE118" s="397"/>
      <c r="EF118" s="397"/>
      <c r="EG118" s="397"/>
      <c r="EH118" s="396"/>
      <c r="EI118" s="397"/>
      <c r="EJ118" s="397"/>
      <c r="EK118" s="397"/>
      <c r="EL118" s="397"/>
      <c r="EM118" s="396"/>
      <c r="EN118" s="397"/>
      <c r="EO118" s="397"/>
      <c r="EP118" s="397"/>
      <c r="EQ118" s="397"/>
      <c r="ER118" s="396"/>
      <c r="ES118" s="397"/>
      <c r="ET118" s="397"/>
      <c r="EU118" s="397"/>
      <c r="EV118" s="397"/>
      <c r="EW118" s="396"/>
      <c r="EX118" s="397"/>
      <c r="EY118" s="397"/>
      <c r="EZ118" s="397"/>
      <c r="FA118" s="397"/>
      <c r="FB118" s="396"/>
      <c r="FC118" s="397"/>
      <c r="FD118" s="397"/>
      <c r="FE118" s="397"/>
      <c r="FF118" s="397"/>
      <c r="FG118" s="396"/>
      <c r="FH118" s="397"/>
      <c r="FI118" s="397"/>
      <c r="FJ118" s="397"/>
      <c r="FK118" s="397"/>
      <c r="FL118" s="396"/>
      <c r="FM118" s="397"/>
      <c r="FN118" s="397"/>
      <c r="FO118" s="397"/>
      <c r="FP118" s="397"/>
      <c r="FQ118" s="396"/>
      <c r="FR118" s="397"/>
      <c r="FS118" s="397"/>
      <c r="FT118" s="397"/>
      <c r="FU118" s="397"/>
      <c r="FV118" s="396"/>
      <c r="FW118" s="397"/>
      <c r="FX118" s="397"/>
      <c r="FY118" s="397"/>
      <c r="FZ118" s="397"/>
      <c r="GA118" s="396"/>
      <c r="GB118" s="397"/>
      <c r="GC118" s="397"/>
      <c r="GD118" s="397"/>
      <c r="GE118" s="397"/>
      <c r="GF118" s="396"/>
      <c r="GG118" s="397"/>
      <c r="GH118" s="397"/>
      <c r="GI118" s="397"/>
      <c r="GJ118" s="398"/>
    </row>
    <row r="119" spans="1:192" ht="12.75" customHeight="1">
      <c r="A119" s="792"/>
      <c r="B119" s="746"/>
      <c r="C119" s="378"/>
      <c r="D119" s="379"/>
      <c r="E119" s="379"/>
      <c r="F119" s="379"/>
      <c r="G119" s="380"/>
      <c r="H119" s="378"/>
      <c r="I119" s="379"/>
      <c r="J119" s="379"/>
      <c r="K119" s="379"/>
      <c r="L119" s="380"/>
      <c r="M119" s="378"/>
      <c r="N119" s="379"/>
      <c r="O119" s="379"/>
      <c r="P119" s="379"/>
      <c r="Q119" s="380"/>
      <c r="R119" s="378"/>
      <c r="S119" s="379"/>
      <c r="T119" s="379"/>
      <c r="U119" s="379"/>
      <c r="V119" s="380"/>
      <c r="W119" s="378"/>
      <c r="X119" s="379"/>
      <c r="Y119" s="379"/>
      <c r="Z119" s="379"/>
      <c r="AA119" s="380"/>
      <c r="AB119" s="378"/>
      <c r="AC119" s="379"/>
      <c r="AD119" s="379"/>
      <c r="AE119" s="379"/>
      <c r="AF119" s="380"/>
      <c r="AG119" s="378"/>
      <c r="AH119" s="379"/>
      <c r="AI119" s="379"/>
      <c r="AJ119" s="379"/>
      <c r="AK119" s="380"/>
      <c r="AL119" s="378"/>
      <c r="AM119" s="379"/>
      <c r="AN119" s="379"/>
      <c r="AO119" s="379"/>
      <c r="AP119" s="380"/>
      <c r="AQ119" s="378"/>
      <c r="AR119" s="379"/>
      <c r="AS119" s="379"/>
      <c r="AT119" s="379"/>
      <c r="AU119" s="380"/>
      <c r="AV119" s="378"/>
      <c r="AW119" s="379"/>
      <c r="AX119" s="379"/>
      <c r="AY119" s="379"/>
      <c r="AZ119" s="380"/>
      <c r="BA119" s="378"/>
      <c r="BB119" s="379"/>
      <c r="BC119" s="379"/>
      <c r="BD119" s="379"/>
      <c r="BE119" s="380"/>
      <c r="BF119" s="378"/>
      <c r="BG119" s="379"/>
      <c r="BH119" s="379"/>
      <c r="BI119" s="379"/>
      <c r="BJ119" s="380"/>
      <c r="BK119" s="378"/>
      <c r="BL119" s="379"/>
      <c r="BM119" s="379"/>
      <c r="BN119" s="379"/>
      <c r="BO119" s="380"/>
      <c r="BP119" s="378"/>
      <c r="BQ119" s="379"/>
      <c r="BR119" s="379"/>
      <c r="BS119" s="379"/>
      <c r="BT119" s="380"/>
      <c r="BU119" s="378"/>
      <c r="BV119" s="379"/>
      <c r="BW119" s="379"/>
      <c r="BX119" s="379"/>
      <c r="BY119" s="380"/>
      <c r="BZ119" s="378"/>
      <c r="CA119" s="379"/>
      <c r="CB119" s="379"/>
      <c r="CC119" s="379"/>
      <c r="CD119" s="380"/>
      <c r="CE119" s="378"/>
      <c r="CF119" s="379"/>
      <c r="CG119" s="379"/>
      <c r="CH119" s="379"/>
      <c r="CI119" s="380"/>
      <c r="CJ119" s="378"/>
      <c r="CK119" s="379"/>
      <c r="CL119" s="379"/>
      <c r="CM119" s="379"/>
      <c r="CN119" s="380"/>
      <c r="CO119" s="378"/>
      <c r="CP119" s="379"/>
      <c r="CQ119" s="379"/>
      <c r="CR119" s="379"/>
      <c r="CS119" s="380"/>
      <c r="CT119" s="378"/>
      <c r="CU119" s="379"/>
      <c r="CV119" s="379"/>
      <c r="CW119" s="379"/>
      <c r="CX119" s="380"/>
      <c r="CY119" s="378"/>
      <c r="CZ119" s="379"/>
      <c r="DA119" s="379"/>
      <c r="DB119" s="379"/>
      <c r="DC119" s="380"/>
      <c r="DD119" s="378"/>
      <c r="DE119" s="379"/>
      <c r="DF119" s="379"/>
      <c r="DG119" s="379"/>
      <c r="DH119" s="380"/>
      <c r="DI119" s="378"/>
      <c r="DJ119" s="379"/>
      <c r="DK119" s="379"/>
      <c r="DL119" s="379"/>
      <c r="DM119" s="380"/>
      <c r="DN119" s="378"/>
      <c r="DO119" s="379"/>
      <c r="DP119" s="379"/>
      <c r="DQ119" s="379"/>
      <c r="DR119" s="380"/>
      <c r="DS119" s="378"/>
      <c r="DT119" s="379"/>
      <c r="DU119" s="379"/>
      <c r="DV119" s="379"/>
      <c r="DW119" s="380"/>
      <c r="DX119" s="378"/>
      <c r="DY119" s="379"/>
      <c r="DZ119" s="379"/>
      <c r="EA119" s="379"/>
      <c r="EB119" s="380"/>
      <c r="EC119" s="378"/>
      <c r="ED119" s="379"/>
      <c r="EE119" s="379"/>
      <c r="EF119" s="379"/>
      <c r="EG119" s="380"/>
      <c r="EH119" s="378"/>
      <c r="EI119" s="379"/>
      <c r="EJ119" s="379"/>
      <c r="EK119" s="379"/>
      <c r="EL119" s="380"/>
      <c r="EM119" s="378"/>
      <c r="EN119" s="379"/>
      <c r="EO119" s="379"/>
      <c r="EP119" s="379"/>
      <c r="EQ119" s="380"/>
      <c r="ER119" s="378"/>
      <c r="ES119" s="379"/>
      <c r="ET119" s="379"/>
      <c r="EU119" s="379"/>
      <c r="EV119" s="380"/>
      <c r="EW119" s="378"/>
      <c r="EX119" s="379"/>
      <c r="EY119" s="379"/>
      <c r="EZ119" s="379"/>
      <c r="FA119" s="380"/>
      <c r="FB119" s="378"/>
      <c r="FC119" s="379"/>
      <c r="FD119" s="379"/>
      <c r="FE119" s="379"/>
      <c r="FF119" s="380"/>
      <c r="FG119" s="378"/>
      <c r="FH119" s="379"/>
      <c r="FI119" s="379"/>
      <c r="FJ119" s="379"/>
      <c r="FK119" s="380"/>
      <c r="FL119" s="378"/>
      <c r="FM119" s="379"/>
      <c r="FN119" s="379"/>
      <c r="FO119" s="379"/>
      <c r="FP119" s="380"/>
      <c r="FQ119" s="378"/>
      <c r="FR119" s="379"/>
      <c r="FS119" s="379"/>
      <c r="FT119" s="379"/>
      <c r="FU119" s="380"/>
      <c r="FV119" s="378"/>
      <c r="FW119" s="379"/>
      <c r="FX119" s="379"/>
      <c r="FY119" s="379"/>
      <c r="FZ119" s="380"/>
      <c r="GA119" s="378"/>
      <c r="GB119" s="379"/>
      <c r="GC119" s="379"/>
      <c r="GD119" s="379"/>
      <c r="GE119" s="380"/>
      <c r="GF119" s="378"/>
      <c r="GG119" s="379"/>
      <c r="GH119" s="379"/>
      <c r="GI119" s="379"/>
      <c r="GJ119" s="381"/>
    </row>
    <row r="120" spans="1:192" s="623" customFormat="1" ht="12.75" customHeight="1">
      <c r="A120" s="803"/>
      <c r="B120" s="804" t="s">
        <v>200</v>
      </c>
      <c r="C120" s="800"/>
      <c r="D120" s="805"/>
      <c r="E120" s="805"/>
      <c r="F120" s="805"/>
      <c r="G120" s="456"/>
      <c r="H120" s="800"/>
      <c r="I120" s="805"/>
      <c r="J120" s="805"/>
      <c r="K120" s="805"/>
      <c r="L120" s="456"/>
      <c r="M120" s="800"/>
      <c r="N120" s="805"/>
      <c r="O120" s="805"/>
      <c r="P120" s="805"/>
      <c r="Q120" s="456"/>
      <c r="R120" s="800"/>
      <c r="S120" s="805"/>
      <c r="T120" s="805"/>
      <c r="U120" s="805"/>
      <c r="V120" s="456"/>
      <c r="W120" s="800"/>
      <c r="X120" s="805"/>
      <c r="Y120" s="805"/>
      <c r="Z120" s="805"/>
      <c r="AA120" s="456"/>
      <c r="AB120" s="800"/>
      <c r="AC120" s="805"/>
      <c r="AD120" s="805"/>
      <c r="AE120" s="805"/>
      <c r="AF120" s="456"/>
      <c r="AG120" s="800"/>
      <c r="AH120" s="805"/>
      <c r="AI120" s="805"/>
      <c r="AJ120" s="805"/>
      <c r="AK120" s="456"/>
      <c r="AL120" s="800"/>
      <c r="AM120" s="805"/>
      <c r="AN120" s="805"/>
      <c r="AO120" s="805"/>
      <c r="AP120" s="456"/>
      <c r="AQ120" s="800"/>
      <c r="AR120" s="805"/>
      <c r="AS120" s="805"/>
      <c r="AT120" s="805"/>
      <c r="AU120" s="456"/>
      <c r="AV120" s="800"/>
      <c r="AW120" s="805"/>
      <c r="AX120" s="805"/>
      <c r="AY120" s="805"/>
      <c r="AZ120" s="456"/>
      <c r="BA120" s="800"/>
      <c r="BB120" s="805"/>
      <c r="BC120" s="805"/>
      <c r="BD120" s="805"/>
      <c r="BE120" s="456"/>
      <c r="BF120" s="800"/>
      <c r="BG120" s="805"/>
      <c r="BH120" s="805"/>
      <c r="BI120" s="805"/>
      <c r="BJ120" s="456"/>
      <c r="BK120" s="800"/>
      <c r="BL120" s="805"/>
      <c r="BM120" s="805"/>
      <c r="BN120" s="805"/>
      <c r="BO120" s="456"/>
      <c r="BP120" s="800"/>
      <c r="BQ120" s="805"/>
      <c r="BR120" s="805"/>
      <c r="BS120" s="805"/>
      <c r="BT120" s="456"/>
      <c r="BU120" s="800"/>
      <c r="BV120" s="805"/>
      <c r="BW120" s="805"/>
      <c r="BX120" s="805"/>
      <c r="BY120" s="456"/>
      <c r="BZ120" s="800"/>
      <c r="CA120" s="805"/>
      <c r="CB120" s="805"/>
      <c r="CC120" s="805"/>
      <c r="CD120" s="456"/>
      <c r="CE120" s="800"/>
      <c r="CF120" s="805"/>
      <c r="CG120" s="805"/>
      <c r="CH120" s="805"/>
      <c r="CI120" s="456"/>
      <c r="CJ120" s="800"/>
      <c r="CK120" s="805"/>
      <c r="CL120" s="805"/>
      <c r="CM120" s="805"/>
      <c r="CN120" s="456"/>
      <c r="CO120" s="800"/>
      <c r="CP120" s="805"/>
      <c r="CQ120" s="805"/>
      <c r="CR120" s="805"/>
      <c r="CS120" s="456"/>
      <c r="CT120" s="800"/>
      <c r="CU120" s="805"/>
      <c r="CV120" s="805"/>
      <c r="CW120" s="805"/>
      <c r="CX120" s="456"/>
      <c r="CY120" s="800"/>
      <c r="CZ120" s="805"/>
      <c r="DA120" s="805"/>
      <c r="DB120" s="805"/>
      <c r="DC120" s="456"/>
      <c r="DD120" s="825"/>
      <c r="DE120" s="826"/>
      <c r="DF120" s="826">
        <f>PBP!DF355</f>
      </c>
      <c r="DG120" s="826">
        <f>PBP!DG355</f>
      </c>
      <c r="DH120" s="830"/>
      <c r="DI120" s="825">
        <f>PBP!DI355</f>
      </c>
      <c r="DJ120" s="826">
        <f>PBP!DJ355</f>
      </c>
      <c r="DK120" s="826">
        <f>PBP!DK355</f>
      </c>
      <c r="DL120" s="826">
        <f>PBP!DL355</f>
      </c>
      <c r="DM120" s="830">
        <f>PBP!DM355</f>
      </c>
      <c r="DN120" s="825">
        <f>PBP!DN355</f>
      </c>
      <c r="DO120" s="826">
        <f>PBP!DO355</f>
      </c>
      <c r="DP120" s="826">
        <f>PBP!DP355</f>
      </c>
      <c r="DQ120" s="826">
        <f>PBP!DQ355</f>
      </c>
      <c r="DR120" s="830">
        <f>PBP!DR355</f>
      </c>
      <c r="DS120" s="825">
        <f>PBP!DS355</f>
      </c>
      <c r="DT120" s="826">
        <f>PBP!DT355</f>
      </c>
      <c r="DU120" s="826">
        <f>PBP!DU355</f>
      </c>
      <c r="DV120" s="826">
        <f>PBP!DV355</f>
      </c>
      <c r="DW120" s="830">
        <f>PBP!DW355</f>
      </c>
      <c r="DX120" s="825">
        <f>PBP!DX355</f>
      </c>
      <c r="DY120" s="826">
        <f>PBP!DY355</f>
      </c>
      <c r="DZ120" s="826">
        <f>PBP!DZ355</f>
      </c>
      <c r="EA120" s="826">
        <f>PBP!EA355</f>
      </c>
      <c r="EB120" s="830">
        <f>PBP!EB355</f>
      </c>
      <c r="EC120" s="825">
        <f>PBP!EC355</f>
      </c>
      <c r="ED120" s="826">
        <f>PBP!ED355</f>
      </c>
      <c r="EE120" s="826">
        <f>PBP!EE355</f>
      </c>
      <c r="EF120" s="826">
        <f>PBP!EF355</f>
      </c>
      <c r="EG120" s="830">
        <f>PBP!EG355</f>
      </c>
      <c r="EH120" s="825">
        <f>PBP!EH355</f>
      </c>
      <c r="EI120" s="826">
        <f>PBP!EI355</f>
      </c>
      <c r="EJ120" s="826">
        <f>PBP!EJ355</f>
      </c>
      <c r="EK120" s="826">
        <f>PBP!EK355</f>
      </c>
      <c r="EL120" s="830">
        <f>PBP!EL355</f>
      </c>
      <c r="EM120" s="825">
        <f>PBP!EM355</f>
      </c>
      <c r="EN120" s="826">
        <f>PBP!EN355</f>
      </c>
      <c r="EO120" s="826">
        <f>PBP!EO355</f>
      </c>
      <c r="EP120" s="826">
        <f>PBP!EP355</f>
      </c>
      <c r="EQ120" s="830">
        <f>PBP!EQ355</f>
      </c>
      <c r="ER120" s="825">
        <f>PBP!ER355</f>
      </c>
      <c r="ES120" s="826">
        <f>PBP!ES355</f>
      </c>
      <c r="ET120" s="826">
        <f>PBP!ET355</f>
      </c>
      <c r="EU120" s="826">
        <f>PBP!EU355</f>
      </c>
      <c r="EV120" s="830">
        <f>PBP!EV355</f>
      </c>
      <c r="EW120" s="825">
        <f>PBP!EW355</f>
      </c>
      <c r="EX120" s="826">
        <f>PBP!EX355</f>
      </c>
      <c r="EY120" s="826">
        <f>PBP!EY355</f>
      </c>
      <c r="EZ120" s="826">
        <f>PBP!EZ355</f>
      </c>
      <c r="FA120" s="830">
        <f>PBP!FA355</f>
      </c>
      <c r="FB120" s="825">
        <f>PBP!FB355</f>
      </c>
      <c r="FC120" s="826">
        <f>PBP!FC355</f>
      </c>
      <c r="FD120" s="826">
        <f>PBP!FD355</f>
      </c>
      <c r="FE120" s="826">
        <f>PBP!FE355</f>
      </c>
      <c r="FF120" s="830">
        <f>PBP!FF355</f>
      </c>
      <c r="FG120" s="825">
        <f>PBP!FG355</f>
      </c>
      <c r="FH120" s="826">
        <f>PBP!FH355</f>
      </c>
      <c r="FI120" s="826">
        <f>PBP!FI355</f>
      </c>
      <c r="FJ120" s="826">
        <f>PBP!FJ355</f>
      </c>
      <c r="FK120" s="830">
        <f>PBP!FK355</f>
      </c>
      <c r="FL120" s="825">
        <f>PBP!FL355</f>
      </c>
      <c r="FM120" s="826">
        <f>PBP!FM355</f>
      </c>
      <c r="FN120" s="826">
        <f>PBP!FN355</f>
      </c>
      <c r="FO120" s="826">
        <f>PBP!FO355</f>
      </c>
      <c r="FP120" s="830">
        <f>PBP!FP355</f>
      </c>
      <c r="FQ120" s="825">
        <f>PBP!FL355</f>
      </c>
      <c r="FR120" s="826">
        <f>PBP!FM355</f>
      </c>
      <c r="FS120" s="826">
        <f>PBP!FN355</f>
      </c>
      <c r="FT120" s="826">
        <f>PBP!FO355</f>
      </c>
      <c r="FU120" s="830">
        <f>PBP!FP355</f>
      </c>
      <c r="FV120" s="825">
        <f>PBP!FQ355</f>
      </c>
      <c r="FW120" s="826">
        <f>PBP!FR355</f>
      </c>
      <c r="FX120" s="826">
        <f>PBP!FS355</f>
      </c>
      <c r="FY120" s="826">
        <f>PBP!FT355</f>
      </c>
      <c r="FZ120" s="483">
        <f>PBP!FU355</f>
      </c>
      <c r="GA120" s="825">
        <f>PBP!FV355</f>
      </c>
      <c r="GB120" s="826">
        <f>PBP!FW355</f>
      </c>
      <c r="GC120" s="826">
        <f>PBP!FX355</f>
      </c>
      <c r="GD120" s="826">
        <f>PBP!FY355</f>
      </c>
      <c r="GE120" s="483">
        <f>PBP!FZ355</f>
      </c>
      <c r="GF120" s="825">
        <f>PBP!GA355</f>
      </c>
      <c r="GG120" s="826">
        <f>PBP!GB355</f>
      </c>
      <c r="GH120" s="826">
        <f>PBP!GC355</f>
      </c>
      <c r="GI120" s="826">
        <f>PBP!GD355</f>
      </c>
      <c r="GJ120" s="827">
        <f>PBP!GE355</f>
      </c>
    </row>
    <row r="121" spans="1:192" s="1241" customFormat="1" ht="12.75" customHeight="1">
      <c r="A121" s="1237"/>
      <c r="B121" s="1323" t="s">
        <v>34</v>
      </c>
      <c r="C121" s="1238"/>
      <c r="D121" s="1117"/>
      <c r="E121" s="1117"/>
      <c r="F121" s="1117"/>
      <c r="G121" s="1325"/>
      <c r="H121" s="1238"/>
      <c r="I121" s="1117"/>
      <c r="J121" s="1117"/>
      <c r="K121" s="1117"/>
      <c r="L121" s="1325"/>
      <c r="M121" s="1238"/>
      <c r="N121" s="1117"/>
      <c r="O121" s="1117"/>
      <c r="P121" s="1117"/>
      <c r="Q121" s="1325"/>
      <c r="R121" s="1238"/>
      <c r="S121" s="1117"/>
      <c r="T121" s="1117"/>
      <c r="U121" s="1117"/>
      <c r="V121" s="1325"/>
      <c r="W121" s="1238"/>
      <c r="X121" s="1117"/>
      <c r="Y121" s="1117"/>
      <c r="Z121" s="1117"/>
      <c r="AA121" s="1325"/>
      <c r="AB121" s="1238"/>
      <c r="AC121" s="1117"/>
      <c r="AD121" s="1117"/>
      <c r="AE121" s="1117"/>
      <c r="AF121" s="1325"/>
      <c r="AG121" s="1238"/>
      <c r="AH121" s="1117"/>
      <c r="AI121" s="1117"/>
      <c r="AJ121" s="1117"/>
      <c r="AK121" s="1325"/>
      <c r="AL121" s="1238"/>
      <c r="AM121" s="1117"/>
      <c r="AN121" s="1117"/>
      <c r="AO121" s="1117"/>
      <c r="AP121" s="1325"/>
      <c r="AQ121" s="1238"/>
      <c r="AR121" s="1117"/>
      <c r="AS121" s="1117"/>
      <c r="AT121" s="1117"/>
      <c r="AU121" s="1325"/>
      <c r="AV121" s="1238"/>
      <c r="AW121" s="1117"/>
      <c r="AX121" s="1117"/>
      <c r="AY121" s="1117"/>
      <c r="AZ121" s="1325"/>
      <c r="BA121" s="1238"/>
      <c r="BB121" s="1117"/>
      <c r="BC121" s="1117"/>
      <c r="BD121" s="1117"/>
      <c r="BE121" s="1325"/>
      <c r="BF121" s="1238"/>
      <c r="BG121" s="1117"/>
      <c r="BH121" s="1117"/>
      <c r="BI121" s="1117"/>
      <c r="BJ121" s="1325"/>
      <c r="BK121" s="1238"/>
      <c r="BL121" s="1117"/>
      <c r="BM121" s="1117"/>
      <c r="BN121" s="1117"/>
      <c r="BO121" s="1325"/>
      <c r="BP121" s="1238"/>
      <c r="BQ121" s="1117"/>
      <c r="BR121" s="1117"/>
      <c r="BS121" s="1117"/>
      <c r="BT121" s="1325"/>
      <c r="BU121" s="1238"/>
      <c r="BV121" s="1117"/>
      <c r="BW121" s="1117"/>
      <c r="BX121" s="1117"/>
      <c r="BY121" s="1325"/>
      <c r="BZ121" s="1238"/>
      <c r="CA121" s="1117"/>
      <c r="CB121" s="1117"/>
      <c r="CC121" s="1117"/>
      <c r="CD121" s="893"/>
      <c r="CE121" s="1238"/>
      <c r="CF121" s="1117"/>
      <c r="CG121" s="1117"/>
      <c r="CH121" s="1117"/>
      <c r="CI121" s="893"/>
      <c r="CJ121" s="1238"/>
      <c r="CK121" s="1117"/>
      <c r="CL121" s="1117"/>
      <c r="CM121" s="1117"/>
      <c r="CN121" s="893"/>
      <c r="CO121" s="1238"/>
      <c r="CP121" s="1117"/>
      <c r="CQ121" s="1117"/>
      <c r="CR121" s="1117"/>
      <c r="CS121" s="893"/>
      <c r="CT121" s="1238"/>
      <c r="CU121" s="1117"/>
      <c r="CV121" s="1117"/>
      <c r="CW121" s="1117"/>
      <c r="CX121" s="893"/>
      <c r="CY121" s="1238"/>
      <c r="CZ121" s="1117"/>
      <c r="DA121" s="1117"/>
      <c r="DB121" s="1117"/>
      <c r="DC121" s="893"/>
      <c r="DD121" s="892"/>
      <c r="DE121" s="892"/>
      <c r="DF121" s="892"/>
      <c r="DG121" s="892"/>
      <c r="DH121" s="1240"/>
      <c r="DI121" s="892"/>
      <c r="DJ121" s="892"/>
      <c r="DK121" s="892">
        <f t="shared" ref="DK121:EP121" si="96">DK120/DF120-1</f>
      </c>
      <c r="DL121" s="892">
        <f t="shared" si="96"/>
      </c>
      <c r="DM121" s="1240" t="e">
        <f t="shared" si="96"/>
      </c>
      <c r="DN121" s="892">
        <f t="shared" si="96"/>
      </c>
      <c r="DO121" s="892">
        <f t="shared" si="96"/>
      </c>
      <c r="DP121" s="892">
        <f t="shared" si="96"/>
      </c>
      <c r="DQ121" s="892">
        <f t="shared" si="96"/>
      </c>
      <c r="DR121" s="1240">
        <f t="shared" si="96"/>
      </c>
      <c r="DS121" s="892">
        <f t="shared" si="96"/>
      </c>
      <c r="DT121" s="892">
        <f t="shared" si="96"/>
      </c>
      <c r="DU121" s="892">
        <f t="shared" si="96"/>
      </c>
      <c r="DV121" s="892">
        <f t="shared" si="96"/>
      </c>
      <c r="DW121" s="1240">
        <f t="shared" si="96"/>
      </c>
      <c r="DX121" s="892">
        <f t="shared" si="96"/>
      </c>
      <c r="DY121" s="892">
        <f t="shared" si="96"/>
      </c>
      <c r="DZ121" s="892">
        <f t="shared" si="96"/>
      </c>
      <c r="EA121" s="892">
        <f t="shared" si="96"/>
      </c>
      <c r="EB121" s="1240">
        <f t="shared" si="96"/>
      </c>
      <c r="EC121" s="892">
        <f t="shared" si="96"/>
      </c>
      <c r="ED121" s="892">
        <f t="shared" si="96"/>
      </c>
      <c r="EE121" s="892">
        <f t="shared" si="96"/>
      </c>
      <c r="EF121" s="892">
        <f t="shared" si="96"/>
      </c>
      <c r="EG121" s="1240">
        <f t="shared" si="96"/>
      </c>
      <c r="EH121" s="892">
        <f t="shared" si="96"/>
      </c>
      <c r="EI121" s="892">
        <f t="shared" si="96"/>
      </c>
      <c r="EJ121" s="892">
        <f t="shared" si="96"/>
      </c>
      <c r="EK121" s="892">
        <f t="shared" si="96"/>
      </c>
      <c r="EL121" s="1240">
        <f t="shared" si="96"/>
      </c>
      <c r="EM121" s="892">
        <f t="shared" si="96"/>
      </c>
      <c r="EN121" s="892">
        <f t="shared" si="96"/>
      </c>
      <c r="EO121" s="892">
        <f t="shared" si="96"/>
      </c>
      <c r="EP121" s="892">
        <f t="shared" si="96"/>
      </c>
      <c r="EQ121" s="1240">
        <f t="shared" ref="EQ121:FP121" si="97">EQ120/EL120-1</f>
      </c>
      <c r="ER121" s="892">
        <f t="shared" si="97"/>
      </c>
      <c r="ES121" s="892">
        <f t="shared" si="97"/>
      </c>
      <c r="ET121" s="892">
        <f t="shared" si="97"/>
      </c>
      <c r="EU121" s="892">
        <f>EU120/EP120-1</f>
      </c>
      <c r="EV121" s="1240">
        <f>EV120/EQ120-1</f>
      </c>
      <c r="EW121" s="892">
        <f t="shared" si="97"/>
      </c>
      <c r="EX121" s="892">
        <f t="shared" si="97"/>
      </c>
      <c r="EY121" s="892">
        <f t="shared" si="97"/>
      </c>
      <c r="EZ121" s="892">
        <f>EZ120/EU120-1</f>
      </c>
      <c r="FA121" s="1240">
        <f>FA120/EV120-1</f>
      </c>
      <c r="FB121" s="892">
        <f t="shared" si="97"/>
      </c>
      <c r="FC121" s="892">
        <f t="shared" si="97"/>
      </c>
      <c r="FD121" s="892">
        <f t="shared" si="97"/>
      </c>
      <c r="FE121" s="892">
        <f t="shared" si="97"/>
      </c>
      <c r="FF121" s="1240">
        <f t="shared" si="97"/>
      </c>
      <c r="FG121" s="892">
        <f t="shared" si="97"/>
      </c>
      <c r="FH121" s="892">
        <f t="shared" si="97"/>
      </c>
      <c r="FI121" s="892">
        <f t="shared" si="97"/>
      </c>
      <c r="FJ121" s="892">
        <f t="shared" si="97"/>
      </c>
      <c r="FK121" s="1240">
        <f t="shared" si="97"/>
      </c>
      <c r="FL121" s="892">
        <f t="shared" si="97"/>
      </c>
      <c r="FM121" s="892">
        <f t="shared" si="97"/>
      </c>
      <c r="FN121" s="892">
        <f t="shared" si="97"/>
      </c>
      <c r="FO121" s="892">
        <f t="shared" si="97"/>
      </c>
      <c r="FP121" s="1240">
        <f t="shared" si="97"/>
      </c>
      <c r="FQ121" s="892">
        <f t="shared" ref="FQ121:FZ121" si="98">FQ120/FG120-1</f>
      </c>
      <c r="FR121" s="892">
        <f t="shared" si="98"/>
      </c>
      <c r="FS121" s="892">
        <f t="shared" si="98"/>
      </c>
      <c r="FT121" s="892">
        <f t="shared" si="98"/>
      </c>
      <c r="FU121" s="1240">
        <f t="shared" si="98"/>
      </c>
      <c r="FV121" s="892">
        <f t="shared" si="98"/>
      </c>
      <c r="FW121" s="924">
        <f t="shared" si="98"/>
      </c>
      <c r="FX121" s="924">
        <f t="shared" si="98"/>
      </c>
      <c r="FY121" s="924">
        <f t="shared" si="98"/>
      </c>
      <c r="FZ121" s="893">
        <f t="shared" si="98"/>
      </c>
      <c r="GA121" s="892">
        <f t="shared" ref="GA121:GJ121" si="99">GA120/FQ120-1</f>
      </c>
      <c r="GB121" s="924">
        <f t="shared" si="99"/>
      </c>
      <c r="GC121" s="924">
        <f t="shared" si="99"/>
      </c>
      <c r="GD121" s="924">
        <f t="shared" si="99"/>
      </c>
      <c r="GE121" s="893">
        <f t="shared" si="99"/>
      </c>
      <c r="GF121" s="892">
        <f t="shared" si="99"/>
      </c>
      <c r="GG121" s="924">
        <f t="shared" si="99"/>
      </c>
      <c r="GH121" s="924">
        <f t="shared" si="99"/>
      </c>
      <c r="GI121" s="924">
        <f t="shared" si="99"/>
      </c>
      <c r="GJ121" s="1199">
        <f t="shared" si="99"/>
      </c>
    </row>
    <row r="122" spans="1:192" ht="12.75" customHeight="1">
      <c r="B122" s="735" t="s">
        <v>197</v>
      </c>
      <c r="C122" s="412"/>
      <c r="D122" s="114"/>
      <c r="E122" s="114"/>
      <c r="F122" s="114"/>
      <c r="G122" s="414"/>
      <c r="H122" s="412"/>
      <c r="I122" s="114"/>
      <c r="J122" s="114"/>
      <c r="K122" s="114"/>
      <c r="L122" s="414"/>
      <c r="M122" s="412"/>
      <c r="N122" s="114"/>
      <c r="O122" s="114"/>
      <c r="P122" s="114"/>
      <c r="Q122" s="414"/>
      <c r="R122" s="412"/>
      <c r="S122" s="114"/>
      <c r="T122" s="114"/>
      <c r="U122" s="114"/>
      <c r="V122" s="414"/>
      <c r="W122" s="412"/>
      <c r="X122" s="114"/>
      <c r="Y122" s="114"/>
      <c r="Z122" s="114"/>
      <c r="AA122" s="414"/>
      <c r="AB122" s="412"/>
      <c r="AC122" s="114"/>
      <c r="AD122" s="114"/>
      <c r="AE122" s="114"/>
      <c r="AF122" s="414"/>
      <c r="AG122" s="412"/>
      <c r="AH122" s="114"/>
      <c r="AI122" s="114"/>
      <c r="AJ122" s="114"/>
      <c r="AK122" s="414"/>
      <c r="AL122" s="412"/>
      <c r="AM122" s="114"/>
      <c r="AN122" s="114"/>
      <c r="AO122" s="114"/>
      <c r="AP122" s="414"/>
      <c r="AQ122" s="412"/>
      <c r="AR122" s="114"/>
      <c r="AS122" s="114"/>
      <c r="AT122" s="114"/>
      <c r="AU122" s="414"/>
      <c r="AV122" s="412"/>
      <c r="AW122" s="114"/>
      <c r="AX122" s="114"/>
      <c r="AY122" s="114"/>
      <c r="AZ122" s="414"/>
      <c r="BA122" s="412"/>
      <c r="BB122" s="114"/>
      <c r="BC122" s="114"/>
      <c r="BD122" s="114"/>
      <c r="BE122" s="414"/>
      <c r="BF122" s="412"/>
      <c r="BG122" s="114"/>
      <c r="BH122" s="114"/>
      <c r="BI122" s="114"/>
      <c r="BJ122" s="414"/>
      <c r="BK122" s="412"/>
      <c r="BL122" s="114"/>
      <c r="BM122" s="114"/>
      <c r="BN122" s="114"/>
      <c r="BO122" s="414"/>
      <c r="BP122" s="412"/>
      <c r="BQ122" s="114"/>
      <c r="BR122" s="114"/>
      <c r="BS122" s="114"/>
      <c r="BT122" s="414"/>
      <c r="BU122" s="412"/>
      <c r="BV122" s="114"/>
      <c r="BW122" s="114"/>
      <c r="BX122" s="114"/>
      <c r="BY122" s="414"/>
      <c r="BZ122" s="412"/>
      <c r="CA122" s="114"/>
      <c r="CB122" s="114"/>
      <c r="CC122" s="114"/>
      <c r="CD122" s="293"/>
      <c r="CE122" s="412"/>
      <c r="CF122" s="114"/>
      <c r="CG122" s="114"/>
      <c r="CH122" s="114"/>
      <c r="CI122" s="293"/>
      <c r="CJ122" s="412"/>
      <c r="CK122" s="114"/>
      <c r="CL122" s="114"/>
      <c r="CM122" s="114"/>
      <c r="CN122" s="293"/>
      <c r="CO122" s="412"/>
      <c r="CP122" s="114"/>
      <c r="CQ122" s="114"/>
      <c r="CR122" s="114"/>
      <c r="CS122" s="293"/>
      <c r="CT122" s="412"/>
      <c r="CU122" s="114"/>
      <c r="CV122" s="114"/>
      <c r="CW122" s="114"/>
      <c r="CX122" s="293"/>
      <c r="CY122" s="412"/>
      <c r="CZ122" s="114"/>
      <c r="DA122" s="114"/>
      <c r="DB122" s="114"/>
      <c r="DC122" s="293"/>
      <c r="DD122" s="484"/>
      <c r="DE122" s="485"/>
      <c r="DF122" s="485"/>
      <c r="DG122" s="485"/>
      <c r="DH122" s="486"/>
      <c r="DI122" s="484"/>
      <c r="DJ122" s="485"/>
      <c r="DK122" s="485">
        <f>PBP!DK357</f>
      </c>
      <c r="DL122" s="485">
        <f>PBP!DL357</f>
      </c>
      <c r="DM122" s="486"/>
      <c r="DN122" s="484">
        <f>PBP!DN357</f>
      </c>
      <c r="DO122" s="485">
        <f>PBP!DO357</f>
      </c>
      <c r="DP122" s="485">
        <f>PBP!DP357</f>
      </c>
      <c r="DQ122" s="485">
        <f>PBP!DQ357</f>
      </c>
      <c r="DR122" s="486"/>
      <c r="DS122" s="484">
        <f>PBP!DS357</f>
      </c>
      <c r="DT122" s="485">
        <f>PBP!DT357</f>
      </c>
      <c r="DU122" s="485">
        <f>PBP!DU357</f>
      </c>
      <c r="DV122" s="485">
        <f>PBP!DV357</f>
      </c>
      <c r="DW122" s="486"/>
      <c r="DX122" s="484">
        <f>PBP!DX357</f>
      </c>
      <c r="DY122" s="485">
        <f>PBP!DY357</f>
      </c>
      <c r="DZ122" s="485">
        <f>PBP!DZ357</f>
      </c>
      <c r="EA122" s="485">
        <f>PBP!EA357</f>
      </c>
      <c r="EB122" s="486"/>
      <c r="EC122" s="484">
        <f>PBP!EC357</f>
      </c>
      <c r="ED122" s="485">
        <f>PBP!ED357</f>
      </c>
      <c r="EE122" s="485">
        <f>PBP!EE357</f>
      </c>
      <c r="EF122" s="485">
        <f>PBP!EF357</f>
      </c>
      <c r="EG122" s="486"/>
      <c r="EH122" s="484">
        <f>PBP!EH357</f>
      </c>
      <c r="EI122" s="485">
        <f>PBP!EI357</f>
      </c>
      <c r="EJ122" s="485">
        <f>PBP!EJ357</f>
      </c>
      <c r="EK122" s="485">
        <f>PBP!EK357</f>
      </c>
      <c r="EL122" s="486"/>
      <c r="EM122" s="484">
        <f>PBP!EM357</f>
      </c>
      <c r="EN122" s="485">
        <f>PBP!EN357</f>
      </c>
      <c r="EO122" s="485">
        <f>PBP!EO357</f>
      </c>
      <c r="EP122" s="485">
        <f>PBP!EP357</f>
      </c>
      <c r="EQ122" s="486"/>
      <c r="ER122" s="484">
        <f>PBP!ER357</f>
      </c>
      <c r="ES122" s="485">
        <f>PBP!ES357</f>
      </c>
      <c r="ET122" s="485">
        <f>PBP!ET357</f>
      </c>
      <c r="EU122" s="485">
        <f>PBP!EU357</f>
      </c>
      <c r="EV122" s="486"/>
      <c r="EW122" s="484">
        <f>PBP!EW357</f>
      </c>
      <c r="EX122" s="485">
        <f>PBP!EX357</f>
      </c>
      <c r="EY122" s="485">
        <f>PBP!EY357</f>
      </c>
      <c r="EZ122" s="485">
        <f>PBP!EZ357</f>
      </c>
      <c r="FA122" s="486"/>
      <c r="FB122" s="484">
        <f>PBP!FB357</f>
      </c>
      <c r="FC122" s="485">
        <f>PBP!FC357</f>
      </c>
      <c r="FD122" s="485">
        <f>PBP!FD357</f>
      </c>
      <c r="FE122" s="485">
        <f>PBP!FE357</f>
      </c>
      <c r="FF122" s="486"/>
      <c r="FG122" s="484">
        <f>PBP!FG357</f>
      </c>
      <c r="FH122" s="485">
        <f>PBP!FH357</f>
      </c>
      <c r="FI122" s="485">
        <f>PBP!FI357</f>
      </c>
      <c r="FJ122" s="485">
        <f>PBP!FJ357</f>
      </c>
      <c r="FK122" s="486"/>
      <c r="FL122" s="484">
        <f>PBP!FL357</f>
      </c>
      <c r="FM122" s="485">
        <f>PBP!FM357</f>
      </c>
      <c r="FN122" s="485">
        <f>PBP!FN357</f>
      </c>
      <c r="FO122" s="485">
        <f>PBP!FO357</f>
      </c>
      <c r="FP122" s="486"/>
      <c r="FQ122" s="484">
        <f>PBP!FL357</f>
      </c>
      <c r="FR122" s="485">
        <f>PBP!FM357</f>
      </c>
      <c r="FS122" s="485">
        <f>PBP!FN357</f>
      </c>
      <c r="FT122" s="485">
        <f>PBP!FO357</f>
      </c>
      <c r="FU122" s="486"/>
      <c r="FV122" s="484">
        <f>PBP!FQ357</f>
      </c>
      <c r="FW122" s="485">
        <f>PBP!FR357</f>
      </c>
      <c r="FX122" s="485">
        <f>PBP!FS357</f>
      </c>
      <c r="FY122" s="485">
        <f>PBP!FT357</f>
      </c>
      <c r="FZ122" s="293"/>
      <c r="GA122" s="484">
        <f>PBP!FV357</f>
      </c>
      <c r="GB122" s="485">
        <f>PBP!FW357</f>
      </c>
      <c r="GC122" s="485">
        <f>PBP!FX357</f>
      </c>
      <c r="GD122" s="485">
        <f>PBP!FY357</f>
      </c>
      <c r="GE122" s="293"/>
      <c r="GF122" s="484">
        <f>PBP!GA357</f>
      </c>
      <c r="GG122" s="485">
        <f>PBP!GB357</f>
      </c>
      <c r="GH122" s="485">
        <f>PBP!GC357</f>
      </c>
      <c r="GI122" s="485">
        <f>PBP!GD357</f>
      </c>
      <c r="GJ122" s="382"/>
    </row>
    <row r="123" spans="1:192" ht="12.75" customHeight="1">
      <c r="B123" s="735" t="s">
        <v>36</v>
      </c>
      <c r="C123" s="291"/>
      <c r="D123" s="107"/>
      <c r="E123" s="107"/>
      <c r="F123" s="107"/>
      <c r="G123" s="293"/>
      <c r="H123" s="291"/>
      <c r="I123" s="107"/>
      <c r="J123" s="107"/>
      <c r="K123" s="107"/>
      <c r="L123" s="293"/>
      <c r="M123" s="291"/>
      <c r="N123" s="107"/>
      <c r="O123" s="107"/>
      <c r="P123" s="107"/>
      <c r="Q123" s="293"/>
      <c r="R123" s="291"/>
      <c r="S123" s="107"/>
      <c r="T123" s="107"/>
      <c r="U123" s="107"/>
      <c r="V123" s="293"/>
      <c r="W123" s="291"/>
      <c r="X123" s="107"/>
      <c r="Y123" s="107"/>
      <c r="Z123" s="107"/>
      <c r="AA123" s="293"/>
      <c r="AB123" s="291"/>
      <c r="AC123" s="107"/>
      <c r="AD123" s="107"/>
      <c r="AE123" s="107"/>
      <c r="AF123" s="293"/>
      <c r="AG123" s="291"/>
      <c r="AH123" s="107"/>
      <c r="AI123" s="107"/>
      <c r="AJ123" s="107"/>
      <c r="AK123" s="293"/>
      <c r="AL123" s="291"/>
      <c r="AM123" s="107"/>
      <c r="AN123" s="107"/>
      <c r="AO123" s="107"/>
      <c r="AP123" s="293"/>
      <c r="AQ123" s="291"/>
      <c r="AR123" s="107"/>
      <c r="AS123" s="107"/>
      <c r="AT123" s="107"/>
      <c r="AU123" s="293"/>
      <c r="AV123" s="291"/>
      <c r="AW123" s="107"/>
      <c r="AX123" s="107"/>
      <c r="AY123" s="107"/>
      <c r="AZ123" s="293"/>
      <c r="BA123" s="291"/>
      <c r="BB123" s="107"/>
      <c r="BC123" s="107"/>
      <c r="BD123" s="107"/>
      <c r="BE123" s="293"/>
      <c r="BF123" s="291"/>
      <c r="BG123" s="107"/>
      <c r="BH123" s="107"/>
      <c r="BI123" s="107"/>
      <c r="BJ123" s="293"/>
      <c r="BK123" s="291"/>
      <c r="BL123" s="107"/>
      <c r="BM123" s="107"/>
      <c r="BN123" s="107"/>
      <c r="BO123" s="293"/>
      <c r="BP123" s="291"/>
      <c r="BQ123" s="107"/>
      <c r="BR123" s="107"/>
      <c r="BS123" s="107"/>
      <c r="BT123" s="293"/>
      <c r="BU123" s="291"/>
      <c r="BV123" s="107"/>
      <c r="BW123" s="107"/>
      <c r="BX123" s="107"/>
      <c r="BY123" s="293"/>
      <c r="BZ123" s="291"/>
      <c r="CA123" s="107"/>
      <c r="CB123" s="107"/>
      <c r="CC123" s="107"/>
      <c r="CD123" s="293"/>
      <c r="CE123" s="291"/>
      <c r="CF123" s="107"/>
      <c r="CG123" s="107"/>
      <c r="CH123" s="107"/>
      <c r="CI123" s="293"/>
      <c r="CJ123" s="291"/>
      <c r="CK123" s="107"/>
      <c r="CL123" s="107"/>
      <c r="CM123" s="107"/>
      <c r="CN123" s="293"/>
      <c r="CO123" s="291"/>
      <c r="CP123" s="107"/>
      <c r="CQ123" s="107"/>
      <c r="CR123" s="107"/>
      <c r="CS123" s="293"/>
      <c r="CT123" s="291"/>
      <c r="CU123" s="107"/>
      <c r="CV123" s="107"/>
      <c r="CW123" s="107"/>
      <c r="CX123" s="293"/>
      <c r="CY123" s="291"/>
      <c r="CZ123" s="107"/>
      <c r="DA123" s="107"/>
      <c r="DB123" s="107"/>
      <c r="DC123" s="293"/>
      <c r="DD123" s="291"/>
      <c r="DE123" s="107"/>
      <c r="DF123" s="107"/>
      <c r="DG123" s="107">
        <f>DG120/DF120-1</f>
      </c>
      <c r="DH123" s="292"/>
      <c r="DI123" s="291">
        <f>DI120/DG120-1</f>
      </c>
      <c r="DJ123" s="107">
        <f>DJ120/DI120-1</f>
      </c>
      <c r="DK123" s="107">
        <f>DK120/DJ120-1</f>
      </c>
      <c r="DL123" s="107">
        <f>DL120/DK120-1</f>
      </c>
      <c r="DM123" s="292"/>
      <c r="DN123" s="291">
        <f>DN120/DL120-1</f>
      </c>
      <c r="DO123" s="107">
        <f>DO120/DN120-1</f>
      </c>
      <c r="DP123" s="107">
        <f>DP120/DO120-1</f>
      </c>
      <c r="DQ123" s="107">
        <f>DQ120/DP120-1</f>
      </c>
      <c r="DR123" s="292"/>
      <c r="DS123" s="291">
        <f>DS120/DQ120-1</f>
      </c>
      <c r="DT123" s="107">
        <f>DT120/DS120-1</f>
      </c>
      <c r="DU123" s="107">
        <f>DU120/DT120-1</f>
      </c>
      <c r="DV123" s="107">
        <f>DV120/DU120-1</f>
      </c>
      <c r="DW123" s="292"/>
      <c r="DX123" s="291">
        <f>DX120/DV120-1</f>
      </c>
      <c r="DY123" s="107">
        <f>DY120/DX120-1</f>
      </c>
      <c r="DZ123" s="107">
        <f>DZ120/DY120-1</f>
      </c>
      <c r="EA123" s="107">
        <f>EA120/DZ120-1</f>
      </c>
      <c r="EB123" s="292"/>
      <c r="EC123" s="291">
        <f>EC120/EA120-1</f>
      </c>
      <c r="ED123" s="107">
        <f>ED120/EC120-1</f>
      </c>
      <c r="EE123" s="107">
        <f>EE120/ED120-1</f>
      </c>
      <c r="EF123" s="107">
        <f>EF120/EE120-1</f>
      </c>
      <c r="EG123" s="292"/>
      <c r="EH123" s="291">
        <f>EH120/EF120-1</f>
      </c>
      <c r="EI123" s="107">
        <f>EI120/EH120-1</f>
      </c>
      <c r="EJ123" s="107">
        <f>EJ120/EI120-1</f>
      </c>
      <c r="EK123" s="107">
        <f>EK120/EJ120-1</f>
      </c>
      <c r="EL123" s="292"/>
      <c r="EM123" s="291">
        <f>EM120/EK120-1</f>
      </c>
      <c r="EN123" s="107">
        <f>EN120/EM120-1</f>
      </c>
      <c r="EO123" s="107">
        <f>EO120/EN120-1</f>
      </c>
      <c r="EP123" s="107">
        <f>EP120/EO120-1</f>
      </c>
      <c r="EQ123" s="292"/>
      <c r="ER123" s="291">
        <f>ER120/EP120-1</f>
      </c>
      <c r="ES123" s="107">
        <f>ES120/ER120-1</f>
      </c>
      <c r="ET123" s="107">
        <f>ET120/ES120-1</f>
      </c>
      <c r="EU123" s="107">
        <f>EU120/ET120-1</f>
      </c>
      <c r="EV123" s="292"/>
      <c r="EW123" s="291">
        <f>EW120/EU120-1</f>
      </c>
      <c r="EX123" s="107">
        <f>EX120/EW120-1</f>
      </c>
      <c r="EY123" s="107">
        <f>EY120/EX120-1</f>
      </c>
      <c r="EZ123" s="107">
        <f>EZ120/EY120-1</f>
      </c>
      <c r="FA123" s="292"/>
      <c r="FB123" s="291">
        <f>FB120/EZ120-1</f>
      </c>
      <c r="FC123" s="107">
        <f>FC120/FB120-1</f>
      </c>
      <c r="FD123" s="107">
        <f>FD120/FC120-1</f>
      </c>
      <c r="FE123" s="107">
        <f>FE120/FD120-1</f>
      </c>
      <c r="FF123" s="292"/>
      <c r="FG123" s="291">
        <f>FG120/FE120-1</f>
      </c>
      <c r="FH123" s="107">
        <f>FH120/FG120-1</f>
      </c>
      <c r="FI123" s="107">
        <f>FI120/FH120-1</f>
      </c>
      <c r="FJ123" s="107">
        <f>FJ120/FI120-1</f>
      </c>
      <c r="FK123" s="292"/>
      <c r="FL123" s="291">
        <f>FL120/FJ120-1</f>
      </c>
      <c r="FM123" s="107">
        <f>FM120/FL120-1</f>
      </c>
      <c r="FN123" s="107">
        <f>FN120/FM120-1</f>
      </c>
      <c r="FO123" s="107">
        <f>FO120/FN120-1</f>
      </c>
      <c r="FP123" s="292"/>
      <c r="FQ123" s="291">
        <f>FQ120/FJ120-1</f>
      </c>
      <c r="FR123" s="107">
        <f>FR120/FQ120-1</f>
      </c>
      <c r="FS123" s="107">
        <f>FS120/FR120-1</f>
      </c>
      <c r="FT123" s="107">
        <f>FT120/FS120-1</f>
      </c>
      <c r="FU123" s="292"/>
      <c r="FV123" s="291">
        <f>FV120/FO120-1</f>
      </c>
      <c r="FW123" s="107">
        <f>FW120/FV120-1</f>
      </c>
      <c r="FX123" s="107">
        <f>FX120/FW120-1</f>
      </c>
      <c r="FY123" s="107">
        <f>FY120/FX120-1</f>
      </c>
      <c r="FZ123" s="293"/>
      <c r="GA123" s="291">
        <f>GA120/FT120-1</f>
      </c>
      <c r="GB123" s="107">
        <f>GB120/GA120-1</f>
      </c>
      <c r="GC123" s="107">
        <f>GC120/GB120-1</f>
      </c>
      <c r="GD123" s="107">
        <f>GD120/GC120-1</f>
      </c>
      <c r="GE123" s="293"/>
      <c r="GF123" s="291">
        <f>GF120/FY120-1</f>
      </c>
      <c r="GG123" s="107">
        <f>GG120/GF120-1</f>
      </c>
      <c r="GH123" s="107">
        <f>GH120/GG120-1</f>
      </c>
      <c r="GI123" s="107">
        <f>GI120/GH120-1</f>
      </c>
      <c r="GJ123" s="382"/>
    </row>
    <row r="124" spans="1:192" s="461" customFormat="1" ht="12.75" customHeight="1">
      <c r="A124" s="370"/>
      <c r="B124" s="806" t="s">
        <v>243</v>
      </c>
      <c r="C124" s="447"/>
      <c r="D124" s="458"/>
      <c r="E124" s="458"/>
      <c r="F124" s="458"/>
      <c r="G124" s="462"/>
      <c r="H124" s="447"/>
      <c r="I124" s="458"/>
      <c r="J124" s="458"/>
      <c r="K124" s="458"/>
      <c r="L124" s="462"/>
      <c r="M124" s="447"/>
      <c r="N124" s="458"/>
      <c r="O124" s="458"/>
      <c r="P124" s="458"/>
      <c r="Q124" s="462"/>
      <c r="R124" s="447"/>
      <c r="S124" s="458"/>
      <c r="T124" s="458"/>
      <c r="U124" s="458"/>
      <c r="V124" s="462"/>
      <c r="W124" s="447"/>
      <c r="X124" s="458"/>
      <c r="Y124" s="458"/>
      <c r="Z124" s="458"/>
      <c r="AA124" s="462"/>
      <c r="AB124" s="447"/>
      <c r="AC124" s="458"/>
      <c r="AD124" s="458"/>
      <c r="AE124" s="458"/>
      <c r="AF124" s="462"/>
      <c r="AG124" s="447"/>
      <c r="AH124" s="458"/>
      <c r="AI124" s="458"/>
      <c r="AJ124" s="458"/>
      <c r="AK124" s="462"/>
      <c r="AL124" s="447"/>
      <c r="AM124" s="458"/>
      <c r="AN124" s="458"/>
      <c r="AO124" s="458"/>
      <c r="AP124" s="462"/>
      <c r="AQ124" s="447"/>
      <c r="AR124" s="458"/>
      <c r="AS124" s="458"/>
      <c r="AT124" s="458"/>
      <c r="AU124" s="462"/>
      <c r="AV124" s="447"/>
      <c r="AW124" s="458"/>
      <c r="AX124" s="458"/>
      <c r="AY124" s="458"/>
      <c r="AZ124" s="462"/>
      <c r="BA124" s="447"/>
      <c r="BB124" s="458"/>
      <c r="BC124" s="458"/>
      <c r="BD124" s="458"/>
      <c r="BE124" s="462"/>
      <c r="BF124" s="447"/>
      <c r="BG124" s="458"/>
      <c r="BH124" s="458"/>
      <c r="BI124" s="458"/>
      <c r="BJ124" s="462"/>
      <c r="BK124" s="447"/>
      <c r="BL124" s="458"/>
      <c r="BM124" s="458"/>
      <c r="BN124" s="458"/>
      <c r="BO124" s="462"/>
      <c r="BP124" s="447"/>
      <c r="BQ124" s="458"/>
      <c r="BR124" s="458"/>
      <c r="BS124" s="458"/>
      <c r="BT124" s="462"/>
      <c r="BU124" s="447"/>
      <c r="BV124" s="458"/>
      <c r="BW124" s="458"/>
      <c r="BX124" s="458"/>
      <c r="BY124" s="462"/>
      <c r="BZ124" s="447"/>
      <c r="CA124" s="458"/>
      <c r="CB124" s="458"/>
      <c r="CC124" s="458"/>
      <c r="CD124" s="462"/>
      <c r="CE124" s="447"/>
      <c r="CF124" s="458"/>
      <c r="CG124" s="458"/>
      <c r="CH124" s="458"/>
      <c r="CI124" s="462"/>
      <c r="CJ124" s="447"/>
      <c r="CK124" s="458"/>
      <c r="CL124" s="458"/>
      <c r="CM124" s="458"/>
      <c r="CN124" s="462"/>
      <c r="CO124" s="447"/>
      <c r="CP124" s="458"/>
      <c r="CQ124" s="458"/>
      <c r="CR124" s="458"/>
      <c r="CS124" s="462"/>
      <c r="CT124" s="447"/>
      <c r="CU124" s="447"/>
      <c r="CV124" s="447"/>
      <c r="CW124" s="447"/>
      <c r="CX124" s="462"/>
      <c r="CY124" s="447"/>
      <c r="CZ124" s="447"/>
      <c r="DA124" s="447"/>
      <c r="DB124" s="447"/>
      <c r="DC124" s="462"/>
      <c r="DD124" s="447"/>
      <c r="DE124" s="447"/>
      <c r="DF124" s="447">
        <f>DF120-DA120</f>
      </c>
      <c r="DG124" s="447">
        <f>DG120-DB120</f>
      </c>
      <c r="DH124" s="462"/>
      <c r="DI124" s="447">
        <f t="shared" ref="DI124:EN124" si="100">DI120-DD120</f>
      </c>
      <c r="DJ124" s="447">
        <f t="shared" si="100"/>
      </c>
      <c r="DK124" s="447">
        <f t="shared" si="100"/>
      </c>
      <c r="DL124" s="447">
        <f t="shared" si="100"/>
      </c>
      <c r="DM124" s="462">
        <f t="shared" si="100"/>
      </c>
      <c r="DN124" s="447">
        <f t="shared" si="100"/>
      </c>
      <c r="DO124" s="447">
        <f t="shared" si="100"/>
      </c>
      <c r="DP124" s="447">
        <f t="shared" si="100"/>
      </c>
      <c r="DQ124" s="447">
        <f t="shared" si="100"/>
      </c>
      <c r="DR124" s="462">
        <f t="shared" si="100"/>
      </c>
      <c r="DS124" s="447">
        <f t="shared" si="100"/>
      </c>
      <c r="DT124" s="447">
        <f t="shared" si="100"/>
      </c>
      <c r="DU124" s="447">
        <f t="shared" si="100"/>
      </c>
      <c r="DV124" s="447">
        <f t="shared" si="100"/>
      </c>
      <c r="DW124" s="462">
        <f t="shared" si="100"/>
      </c>
      <c r="DX124" s="447">
        <f t="shared" si="100"/>
      </c>
      <c r="DY124" s="447">
        <f t="shared" si="100"/>
      </c>
      <c r="DZ124" s="447">
        <f t="shared" si="100"/>
      </c>
      <c r="EA124" s="447">
        <f t="shared" si="100"/>
      </c>
      <c r="EB124" s="462">
        <f t="shared" si="100"/>
      </c>
      <c r="EC124" s="447">
        <f t="shared" si="100"/>
      </c>
      <c r="ED124" s="447">
        <f t="shared" si="100"/>
      </c>
      <c r="EE124" s="447">
        <f t="shared" si="100"/>
      </c>
      <c r="EF124" s="447">
        <f t="shared" si="100"/>
      </c>
      <c r="EG124" s="462">
        <f t="shared" si="100"/>
      </c>
      <c r="EH124" s="447">
        <f t="shared" si="100"/>
      </c>
      <c r="EI124" s="447">
        <f t="shared" si="100"/>
      </c>
      <c r="EJ124" s="447">
        <f t="shared" si="100"/>
      </c>
      <c r="EK124" s="447">
        <f t="shared" si="100"/>
      </c>
      <c r="EL124" s="462">
        <f t="shared" si="100"/>
      </c>
      <c r="EM124" s="447">
        <f t="shared" si="100"/>
      </c>
      <c r="EN124" s="447">
        <f t="shared" si="100"/>
      </c>
      <c r="EO124" s="447">
        <f t="shared" ref="EO124:FP124" si="101">EO120-EJ120</f>
      </c>
      <c r="EP124" s="447">
        <f t="shared" si="101"/>
      </c>
      <c r="EQ124" s="462">
        <f t="shared" si="101"/>
      </c>
      <c r="ER124" s="447">
        <f t="shared" si="101"/>
      </c>
      <c r="ES124" s="447">
        <f t="shared" si="101"/>
      </c>
      <c r="ET124" s="447">
        <f t="shared" si="101"/>
      </c>
      <c r="EU124" s="447">
        <f>EU120-EP120</f>
      </c>
      <c r="EV124" s="462">
        <f>EV120-EQ120</f>
      </c>
      <c r="EW124" s="447">
        <f t="shared" si="101"/>
      </c>
      <c r="EX124" s="447">
        <f t="shared" si="101"/>
      </c>
      <c r="EY124" s="447">
        <f t="shared" si="101"/>
      </c>
      <c r="EZ124" s="447">
        <f>EZ120-EU120</f>
      </c>
      <c r="FA124" s="462">
        <f>FA120-EV120</f>
      </c>
      <c r="FB124" s="447">
        <f t="shared" si="101"/>
      </c>
      <c r="FC124" s="447">
        <f t="shared" si="101"/>
      </c>
      <c r="FD124" s="447">
        <f t="shared" si="101"/>
      </c>
      <c r="FE124" s="447">
        <f t="shared" si="101"/>
      </c>
      <c r="FF124" s="462">
        <f t="shared" si="101"/>
      </c>
      <c r="FG124" s="447">
        <f t="shared" si="101"/>
      </c>
      <c r="FH124" s="447">
        <f t="shared" si="101"/>
      </c>
      <c r="FI124" s="447">
        <f t="shared" si="101"/>
      </c>
      <c r="FJ124" s="447">
        <f t="shared" si="101"/>
      </c>
      <c r="FK124" s="462">
        <f t="shared" si="101"/>
      </c>
      <c r="FL124" s="447">
        <f t="shared" si="101"/>
      </c>
      <c r="FM124" s="447">
        <f t="shared" si="101"/>
      </c>
      <c r="FN124" s="447">
        <f t="shared" si="101"/>
      </c>
      <c r="FO124" s="447">
        <f t="shared" si="101"/>
      </c>
      <c r="FP124" s="462">
        <f t="shared" si="101"/>
      </c>
      <c r="FQ124" s="447">
        <f t="shared" ref="FQ124:FZ124" si="102">FQ120-FG120</f>
      </c>
      <c r="FR124" s="447">
        <f t="shared" si="102"/>
      </c>
      <c r="FS124" s="447">
        <f t="shared" si="102"/>
      </c>
      <c r="FT124" s="447">
        <f t="shared" si="102"/>
      </c>
      <c r="FU124" s="462">
        <f t="shared" si="102"/>
      </c>
      <c r="FV124" s="447">
        <f t="shared" si="102"/>
      </c>
      <c r="FW124" s="458">
        <f t="shared" si="102"/>
      </c>
      <c r="FX124" s="458">
        <f t="shared" si="102"/>
      </c>
      <c r="FY124" s="458">
        <f t="shared" si="102"/>
      </c>
      <c r="FZ124" s="462">
        <f t="shared" si="102"/>
      </c>
      <c r="GA124" s="447">
        <f t="shared" ref="GA124:GJ124" si="103">GA120-FQ120</f>
      </c>
      <c r="GB124" s="458">
        <f t="shared" si="103"/>
      </c>
      <c r="GC124" s="458">
        <f t="shared" si="103"/>
      </c>
      <c r="GD124" s="458">
        <f t="shared" si="103"/>
      </c>
      <c r="GE124" s="462">
        <f t="shared" si="103"/>
      </c>
      <c r="GF124" s="447">
        <f t="shared" si="103"/>
      </c>
      <c r="GG124" s="458">
        <f t="shared" si="103"/>
      </c>
      <c r="GH124" s="458">
        <f t="shared" si="103"/>
      </c>
      <c r="GI124" s="458">
        <f t="shared" si="103"/>
      </c>
      <c r="GJ124" s="497">
        <f t="shared" si="103"/>
      </c>
    </row>
    <row r="125" spans="1:192" s="461" customFormat="1" ht="12.75" customHeight="1">
      <c r="A125" s="370"/>
      <c r="B125" s="806" t="s">
        <v>244</v>
      </c>
      <c r="C125" s="447"/>
      <c r="D125" s="458"/>
      <c r="E125" s="458"/>
      <c r="F125" s="458"/>
      <c r="G125" s="462"/>
      <c r="H125" s="447"/>
      <c r="I125" s="458"/>
      <c r="J125" s="458"/>
      <c r="K125" s="458"/>
      <c r="L125" s="462"/>
      <c r="M125" s="447"/>
      <c r="N125" s="458"/>
      <c r="O125" s="458"/>
      <c r="P125" s="458"/>
      <c r="Q125" s="462"/>
      <c r="R125" s="447"/>
      <c r="S125" s="458"/>
      <c r="T125" s="458"/>
      <c r="U125" s="458"/>
      <c r="V125" s="462"/>
      <c r="W125" s="447"/>
      <c r="X125" s="458"/>
      <c r="Y125" s="458"/>
      <c r="Z125" s="458"/>
      <c r="AA125" s="462"/>
      <c r="AB125" s="447"/>
      <c r="AC125" s="458"/>
      <c r="AD125" s="458"/>
      <c r="AE125" s="458"/>
      <c r="AF125" s="462"/>
      <c r="AG125" s="447"/>
      <c r="AH125" s="458"/>
      <c r="AI125" s="458"/>
      <c r="AJ125" s="458"/>
      <c r="AK125" s="462"/>
      <c r="AL125" s="447"/>
      <c r="AM125" s="458"/>
      <c r="AN125" s="458"/>
      <c r="AO125" s="458"/>
      <c r="AP125" s="462"/>
      <c r="AQ125" s="447"/>
      <c r="AR125" s="458"/>
      <c r="AS125" s="458"/>
      <c r="AT125" s="458"/>
      <c r="AU125" s="462"/>
      <c r="AV125" s="447"/>
      <c r="AW125" s="458"/>
      <c r="AX125" s="458"/>
      <c r="AY125" s="458"/>
      <c r="AZ125" s="462"/>
      <c r="BA125" s="447"/>
      <c r="BB125" s="458"/>
      <c r="BC125" s="458"/>
      <c r="BD125" s="458"/>
      <c r="BE125" s="462"/>
      <c r="BF125" s="447"/>
      <c r="BG125" s="458"/>
      <c r="BH125" s="458"/>
      <c r="BI125" s="458"/>
      <c r="BJ125" s="462"/>
      <c r="BK125" s="447"/>
      <c r="BL125" s="458"/>
      <c r="BM125" s="458"/>
      <c r="BN125" s="458"/>
      <c r="BO125" s="462"/>
      <c r="BP125" s="447"/>
      <c r="BQ125" s="458"/>
      <c r="BR125" s="458"/>
      <c r="BS125" s="458"/>
      <c r="BT125" s="462"/>
      <c r="BU125" s="447"/>
      <c r="BV125" s="458"/>
      <c r="BW125" s="458"/>
      <c r="BX125" s="458"/>
      <c r="BY125" s="462"/>
      <c r="BZ125" s="447"/>
      <c r="CA125" s="458"/>
      <c r="CB125" s="458"/>
      <c r="CC125" s="458"/>
      <c r="CD125" s="462"/>
      <c r="CE125" s="447"/>
      <c r="CF125" s="458"/>
      <c r="CG125" s="458"/>
      <c r="CH125" s="458"/>
      <c r="CI125" s="462"/>
      <c r="CJ125" s="447"/>
      <c r="CK125" s="458"/>
      <c r="CL125" s="458"/>
      <c r="CM125" s="458"/>
      <c r="CN125" s="462"/>
      <c r="CO125" s="447"/>
      <c r="CP125" s="458"/>
      <c r="CQ125" s="458"/>
      <c r="CR125" s="458"/>
      <c r="CS125" s="462"/>
      <c r="CT125" s="447"/>
      <c r="CU125" s="458"/>
      <c r="CV125" s="458"/>
      <c r="CW125" s="458"/>
      <c r="CX125" s="462"/>
      <c r="CY125" s="447"/>
      <c r="CZ125" s="458"/>
      <c r="DA125" s="458"/>
      <c r="DB125" s="458"/>
      <c r="DC125" s="462"/>
      <c r="DD125" s="447"/>
      <c r="DE125" s="458"/>
      <c r="DF125" s="458">
        <f>DF120-DE120</f>
      </c>
      <c r="DG125" s="458">
        <f>DG120-DF120</f>
      </c>
      <c r="DH125" s="462"/>
      <c r="DI125" s="447">
        <f>DI120-DG120</f>
      </c>
      <c r="DJ125" s="458">
        <f>DJ120-DI120</f>
      </c>
      <c r="DK125" s="458">
        <f>DK120-DJ120</f>
      </c>
      <c r="DL125" s="458">
        <f>DL120-DK120</f>
      </c>
      <c r="DM125" s="462"/>
      <c r="DN125" s="447">
        <f>DN120-DL120</f>
      </c>
      <c r="DO125" s="458">
        <f>DO120-DN120</f>
      </c>
      <c r="DP125" s="458">
        <f>DP120-DO120</f>
      </c>
      <c r="DQ125" s="458">
        <f>DQ120-DP120</f>
      </c>
      <c r="DR125" s="462"/>
      <c r="DS125" s="447">
        <f>DS120-DQ120</f>
      </c>
      <c r="DT125" s="458">
        <f>DT120-DS120</f>
      </c>
      <c r="DU125" s="458">
        <f>DU120-DT120</f>
      </c>
      <c r="DV125" s="458">
        <f>DV120-DU120</f>
      </c>
      <c r="DW125" s="462"/>
      <c r="DX125" s="447">
        <f>DX120-DV120</f>
      </c>
      <c r="DY125" s="458">
        <f>DY120-DX120</f>
      </c>
      <c r="DZ125" s="458">
        <f>DZ120-DY120</f>
      </c>
      <c r="EA125" s="458">
        <f>EA120-DZ120</f>
      </c>
      <c r="EB125" s="462"/>
      <c r="EC125" s="447">
        <f>EC120-EA120</f>
      </c>
      <c r="ED125" s="458">
        <f>ED120-EC120</f>
      </c>
      <c r="EE125" s="458">
        <f>EE120-ED120</f>
      </c>
      <c r="EF125" s="458">
        <f>EF120-EE120</f>
      </c>
      <c r="EG125" s="462"/>
      <c r="EH125" s="447">
        <f>EH120-EF120</f>
      </c>
      <c r="EI125" s="458">
        <f>EI120-EH120</f>
      </c>
      <c r="EJ125" s="458">
        <f>EJ120-EI120</f>
      </c>
      <c r="EK125" s="458">
        <f>EK120-EJ120</f>
      </c>
      <c r="EL125" s="462"/>
      <c r="EM125" s="447">
        <f>EM120-EK120</f>
      </c>
      <c r="EN125" s="458">
        <f>EN120-EM120</f>
      </c>
      <c r="EO125" s="458">
        <f>EO120-EN120</f>
      </c>
      <c r="EP125" s="458">
        <f>EP120-EO120</f>
      </c>
      <c r="EQ125" s="462"/>
      <c r="ER125" s="447">
        <f>ER120-EP120</f>
      </c>
      <c r="ES125" s="458">
        <f>ES120-ER120</f>
      </c>
      <c r="ET125" s="458">
        <f>ET120-ES120</f>
      </c>
      <c r="EU125" s="458">
        <f>EU120-ET120</f>
      </c>
      <c r="EV125" s="462"/>
      <c r="EW125" s="447">
        <f>EW120-EU120</f>
      </c>
      <c r="EX125" s="458">
        <f>EX120-EW120</f>
      </c>
      <c r="EY125" s="458">
        <f>EY120-EX120</f>
      </c>
      <c r="EZ125" s="458">
        <f>EZ120-EY120</f>
      </c>
      <c r="FA125" s="462"/>
      <c r="FB125" s="447">
        <f>FB120-EZ120</f>
      </c>
      <c r="FC125" s="458">
        <f>FC120-FB120</f>
      </c>
      <c r="FD125" s="458">
        <f>FD120-FC120</f>
      </c>
      <c r="FE125" s="458">
        <f>FE120-FD120</f>
      </c>
      <c r="FF125" s="462"/>
      <c r="FG125" s="447">
        <f>FG120-FE120</f>
      </c>
      <c r="FH125" s="458">
        <f>FH120-FG120</f>
      </c>
      <c r="FI125" s="458">
        <f>FI120-FH120</f>
      </c>
      <c r="FJ125" s="458">
        <f>FJ120-FI120</f>
      </c>
      <c r="FK125" s="462"/>
      <c r="FL125" s="447">
        <f>FL120-FJ120</f>
      </c>
      <c r="FM125" s="458">
        <f>FM120-FL120</f>
      </c>
      <c r="FN125" s="458">
        <f>FN120-FM120</f>
      </c>
      <c r="FO125" s="458">
        <f>FO120-FN120</f>
      </c>
      <c r="FP125" s="462"/>
      <c r="FQ125" s="447">
        <f>FQ120-FJ120</f>
      </c>
      <c r="FR125" s="458">
        <f>FR120-FQ120</f>
      </c>
      <c r="FS125" s="458">
        <f>FS120-FR120</f>
      </c>
      <c r="FT125" s="458">
        <f>FT120-FS120</f>
      </c>
      <c r="FU125" s="462"/>
      <c r="FV125" s="447">
        <f>FV120-FO120</f>
      </c>
      <c r="FW125" s="458">
        <f>FW120-FV120</f>
      </c>
      <c r="FX125" s="458">
        <f>FX120-FW120</f>
      </c>
      <c r="FY125" s="458">
        <f>FY120-FX120</f>
      </c>
      <c r="FZ125" s="462"/>
      <c r="GA125" s="447">
        <f>GA120-FT120</f>
      </c>
      <c r="GB125" s="458">
        <f>GB120-GA120</f>
      </c>
      <c r="GC125" s="458">
        <f>GC120-GB120</f>
      </c>
      <c r="GD125" s="458">
        <f>GD120-GC120</f>
      </c>
      <c r="GE125" s="462"/>
      <c r="GF125" s="447">
        <f>GF120-FY120</f>
      </c>
      <c r="GG125" s="458">
        <f>GG120-GF120</f>
      </c>
      <c r="GH125" s="458">
        <f>GH120-GG120</f>
      </c>
      <c r="GI125" s="458">
        <f>GI120-GH120</f>
      </c>
      <c r="GJ125" s="497"/>
    </row>
    <row r="126" spans="1:192" ht="12.75" customHeight="1">
      <c r="B126" s="735" t="s">
        <v>258</v>
      </c>
      <c r="C126" s="291"/>
      <c r="D126" s="107"/>
      <c r="E126" s="107"/>
      <c r="F126" s="107"/>
      <c r="G126" s="292"/>
      <c r="H126" s="291"/>
      <c r="I126" s="107"/>
      <c r="J126" s="107"/>
      <c r="K126" s="107"/>
      <c r="L126" s="292"/>
      <c r="M126" s="291"/>
      <c r="N126" s="107"/>
      <c r="O126" s="107"/>
      <c r="P126" s="107"/>
      <c r="Q126" s="292"/>
      <c r="R126" s="291"/>
      <c r="S126" s="107"/>
      <c r="T126" s="107"/>
      <c r="U126" s="107"/>
      <c r="V126" s="292"/>
      <c r="W126" s="291"/>
      <c r="X126" s="107"/>
      <c r="Y126" s="107"/>
      <c r="Z126" s="107"/>
      <c r="AA126" s="292"/>
      <c r="AB126" s="291"/>
      <c r="AC126" s="107"/>
      <c r="AD126" s="107"/>
      <c r="AE126" s="107"/>
      <c r="AF126" s="292"/>
      <c r="AG126" s="291"/>
      <c r="AH126" s="107"/>
      <c r="AI126" s="107"/>
      <c r="AJ126" s="107"/>
      <c r="AK126" s="292"/>
      <c r="AL126" s="291"/>
      <c r="AM126" s="107"/>
      <c r="AN126" s="107"/>
      <c r="AO126" s="107"/>
      <c r="AP126" s="292"/>
      <c r="AQ126" s="291"/>
      <c r="AR126" s="107"/>
      <c r="AS126" s="107"/>
      <c r="AT126" s="107"/>
      <c r="AU126" s="292"/>
      <c r="AV126" s="291"/>
      <c r="AW126" s="107"/>
      <c r="AX126" s="107"/>
      <c r="AY126" s="107"/>
      <c r="AZ126" s="292"/>
      <c r="BA126" s="291"/>
      <c r="BB126" s="107"/>
      <c r="BC126" s="107"/>
      <c r="BD126" s="107"/>
      <c r="BE126" s="292"/>
      <c r="BF126" s="291"/>
      <c r="BG126" s="107"/>
      <c r="BH126" s="107"/>
      <c r="BI126" s="107"/>
      <c r="BJ126" s="292"/>
      <c r="BK126" s="291"/>
      <c r="BL126" s="107"/>
      <c r="BM126" s="107"/>
      <c r="BN126" s="107"/>
      <c r="BO126" s="292"/>
      <c r="BP126" s="291"/>
      <c r="BQ126" s="107"/>
      <c r="BR126" s="107"/>
      <c r="BS126" s="107"/>
      <c r="BT126" s="292"/>
      <c r="BU126" s="291"/>
      <c r="BV126" s="107"/>
      <c r="BW126" s="107"/>
      <c r="BX126" s="107"/>
      <c r="BY126" s="292"/>
      <c r="BZ126" s="291"/>
      <c r="CA126" s="107"/>
      <c r="CB126" s="107"/>
      <c r="CC126" s="107"/>
      <c r="CD126" s="292"/>
      <c r="CE126" s="291"/>
      <c r="CF126" s="107"/>
      <c r="CG126" s="107"/>
      <c r="CH126" s="107"/>
      <c r="CI126" s="292"/>
      <c r="CJ126" s="291"/>
      <c r="CK126" s="107"/>
      <c r="CL126" s="107"/>
      <c r="CM126" s="107"/>
      <c r="CN126" s="292"/>
      <c r="CO126" s="291"/>
      <c r="CP126" s="107"/>
      <c r="CQ126" s="107"/>
      <c r="CR126" s="107"/>
      <c r="CS126" s="292"/>
      <c r="CT126" s="291"/>
      <c r="CU126" s="107"/>
      <c r="CV126" s="107"/>
      <c r="CW126" s="107"/>
      <c r="CX126" s="292"/>
      <c r="CY126" s="291"/>
      <c r="CZ126" s="107"/>
      <c r="DA126" s="107"/>
      <c r="DB126" s="107"/>
      <c r="DC126" s="292"/>
      <c r="DD126" s="291"/>
      <c r="DE126" s="291"/>
      <c r="DF126" s="291"/>
      <c r="DG126" s="291">
        <f>DG120/DG10</f>
      </c>
      <c r="DH126" s="292"/>
      <c r="DI126" s="291">
        <f t="shared" ref="DI126:EN126" si="104">DI120/DI10</f>
      </c>
      <c r="DJ126" s="291">
        <f t="shared" si="104"/>
      </c>
      <c r="DK126" s="291">
        <f t="shared" si="104"/>
      </c>
      <c r="DL126" s="291">
        <f t="shared" si="104"/>
      </c>
      <c r="DM126" s="292">
        <f t="shared" si="104"/>
      </c>
      <c r="DN126" s="291">
        <f t="shared" si="104"/>
      </c>
      <c r="DO126" s="291">
        <f t="shared" si="104"/>
      </c>
      <c r="DP126" s="291">
        <f t="shared" si="104"/>
      </c>
      <c r="DQ126" s="291">
        <f t="shared" si="104"/>
      </c>
      <c r="DR126" s="292">
        <f t="shared" si="104"/>
      </c>
      <c r="DS126" s="291">
        <f t="shared" si="104"/>
      </c>
      <c r="DT126" s="291">
        <f t="shared" si="104"/>
      </c>
      <c r="DU126" s="291">
        <f t="shared" si="104"/>
      </c>
      <c r="DV126" s="291">
        <f t="shared" si="104"/>
      </c>
      <c r="DW126" s="292">
        <f t="shared" si="104"/>
      </c>
      <c r="DX126" s="291">
        <f t="shared" si="104"/>
      </c>
      <c r="DY126" s="291">
        <f t="shared" si="104"/>
      </c>
      <c r="DZ126" s="291">
        <f t="shared" si="104"/>
      </c>
      <c r="EA126" s="291">
        <f t="shared" si="104"/>
      </c>
      <c r="EB126" s="292">
        <f t="shared" si="104"/>
      </c>
      <c r="EC126" s="291">
        <f t="shared" si="104"/>
      </c>
      <c r="ED126" s="291">
        <f t="shared" si="104"/>
      </c>
      <c r="EE126" s="291">
        <f t="shared" si="104"/>
      </c>
      <c r="EF126" s="291">
        <f t="shared" si="104"/>
      </c>
      <c r="EG126" s="292">
        <f t="shared" si="104"/>
      </c>
      <c r="EH126" s="291">
        <f t="shared" si="104"/>
      </c>
      <c r="EI126" s="291">
        <f t="shared" si="104"/>
      </c>
      <c r="EJ126" s="291">
        <f t="shared" si="104"/>
      </c>
      <c r="EK126" s="291">
        <f t="shared" si="104"/>
      </c>
      <c r="EL126" s="292">
        <f t="shared" si="104"/>
      </c>
      <c r="EM126" s="291">
        <f t="shared" si="104"/>
      </c>
      <c r="EN126" s="291">
        <f t="shared" si="104"/>
      </c>
      <c r="EO126" s="291">
        <f t="shared" ref="EO126:FT126" si="105">EO120/EO10</f>
      </c>
      <c r="EP126" s="291">
        <f t="shared" si="105"/>
      </c>
      <c r="EQ126" s="292">
        <f t="shared" si="105"/>
      </c>
      <c r="ER126" s="291">
        <f t="shared" si="105"/>
      </c>
      <c r="ES126" s="291">
        <f t="shared" si="105"/>
      </c>
      <c r="ET126" s="291">
        <f t="shared" si="105"/>
      </c>
      <c r="EU126" s="291">
        <f t="shared" si="105"/>
      </c>
      <c r="EV126" s="292">
        <f t="shared" si="105"/>
      </c>
      <c r="EW126" s="291">
        <f t="shared" si="105"/>
      </c>
      <c r="EX126" s="291">
        <f t="shared" si="105"/>
      </c>
      <c r="EY126" s="291">
        <f t="shared" si="105"/>
      </c>
      <c r="EZ126" s="291">
        <f t="shared" ref="EZ126:FA126" si="106">EZ120/EZ10</f>
      </c>
      <c r="FA126" s="292">
        <f t="shared" si="106"/>
      </c>
      <c r="FB126" s="291">
        <f t="shared" si="105"/>
      </c>
      <c r="FC126" s="291">
        <f t="shared" si="105"/>
      </c>
      <c r="FD126" s="291">
        <f t="shared" si="105"/>
      </c>
      <c r="FE126" s="291">
        <f t="shared" si="105"/>
      </c>
      <c r="FF126" s="292">
        <f t="shared" si="105"/>
      </c>
      <c r="FG126" s="291">
        <f t="shared" si="105"/>
      </c>
      <c r="FH126" s="291">
        <f t="shared" si="105"/>
      </c>
      <c r="FI126" s="291">
        <f t="shared" si="105"/>
      </c>
      <c r="FJ126" s="291">
        <f t="shared" si="105"/>
      </c>
      <c r="FK126" s="292">
        <f t="shared" si="105"/>
      </c>
      <c r="FL126" s="291">
        <f t="shared" si="105"/>
      </c>
      <c r="FM126" s="291">
        <f t="shared" si="105"/>
      </c>
      <c r="FN126" s="291">
        <f t="shared" si="105"/>
      </c>
      <c r="FO126" s="291">
        <f t="shared" si="105"/>
      </c>
      <c r="FP126" s="292">
        <f t="shared" si="105"/>
      </c>
      <c r="FQ126" s="291">
        <f t="shared" si="105"/>
      </c>
      <c r="FR126" s="291">
        <f t="shared" si="105"/>
      </c>
      <c r="FS126" s="291">
        <f t="shared" si="105"/>
      </c>
      <c r="FT126" s="291">
        <f t="shared" si="105"/>
      </c>
      <c r="FU126" s="292">
        <f t="shared" ref="FU126:GE126" si="107">FU120/FU10</f>
      </c>
      <c r="FV126" s="291">
        <f t="shared" si="107"/>
      </c>
      <c r="FW126" s="107">
        <f t="shared" si="107"/>
      </c>
      <c r="FX126" s="107">
        <f t="shared" si="107"/>
      </c>
      <c r="FY126" s="107">
        <f t="shared" si="107"/>
      </c>
      <c r="FZ126" s="292">
        <f t="shared" si="107"/>
      </c>
      <c r="GA126" s="291">
        <f t="shared" si="107"/>
      </c>
      <c r="GB126" s="107">
        <f t="shared" si="107"/>
      </c>
      <c r="GC126" s="107">
        <f t="shared" si="107"/>
      </c>
      <c r="GD126" s="107">
        <f t="shared" si="107"/>
      </c>
      <c r="GE126" s="292">
        <f t="shared" si="107"/>
      </c>
      <c r="GF126" s="291">
        <f t="shared" ref="GF126:GJ126" si="108">GF120/GF10</f>
      </c>
      <c r="GG126" s="107">
        <f t="shared" si="108"/>
      </c>
      <c r="GH126" s="107">
        <f t="shared" si="108"/>
      </c>
      <c r="GI126" s="107">
        <f t="shared" si="108"/>
      </c>
      <c r="GJ126" s="384">
        <f t="shared" si="108"/>
      </c>
    </row>
    <row r="127" spans="1:192" s="335" customFormat="1" ht="12.75" customHeight="1" thickBot="1">
      <c r="A127" s="790"/>
      <c r="B127" s="743"/>
      <c r="C127" s="387"/>
      <c r="D127" s="388"/>
      <c r="E127" s="388"/>
      <c r="F127" s="389"/>
      <c r="G127" s="390"/>
      <c r="H127" s="387"/>
      <c r="I127" s="388"/>
      <c r="J127" s="388"/>
      <c r="K127" s="389"/>
      <c r="L127" s="390"/>
      <c r="M127" s="387"/>
      <c r="N127" s="388"/>
      <c r="O127" s="388"/>
      <c r="P127" s="389"/>
      <c r="Q127" s="390"/>
      <c r="R127" s="387"/>
      <c r="S127" s="388"/>
      <c r="T127" s="388"/>
      <c r="U127" s="389"/>
      <c r="V127" s="390"/>
      <c r="W127" s="387"/>
      <c r="X127" s="388"/>
      <c r="Y127" s="388"/>
      <c r="Z127" s="389"/>
      <c r="AA127" s="390"/>
      <c r="AB127" s="387"/>
      <c r="AC127" s="388"/>
      <c r="AD127" s="388"/>
      <c r="AE127" s="389"/>
      <c r="AF127" s="390"/>
      <c r="AG127" s="387"/>
      <c r="AH127" s="388"/>
      <c r="AI127" s="388"/>
      <c r="AJ127" s="389"/>
      <c r="AK127" s="390"/>
      <c r="AL127" s="387"/>
      <c r="AM127" s="388"/>
      <c r="AN127" s="388"/>
      <c r="AO127" s="389"/>
      <c r="AP127" s="390"/>
      <c r="AQ127" s="387"/>
      <c r="AR127" s="388"/>
      <c r="AS127" s="388"/>
      <c r="AT127" s="389"/>
      <c r="AU127" s="390"/>
      <c r="AV127" s="387"/>
      <c r="AW127" s="388"/>
      <c r="AX127" s="388"/>
      <c r="AY127" s="389"/>
      <c r="AZ127" s="390"/>
      <c r="BA127" s="387"/>
      <c r="BB127" s="388"/>
      <c r="BC127" s="388"/>
      <c r="BD127" s="389"/>
      <c r="BE127" s="390"/>
      <c r="BF127" s="387"/>
      <c r="BG127" s="388"/>
      <c r="BH127" s="388"/>
      <c r="BI127" s="389"/>
      <c r="BJ127" s="390"/>
      <c r="BK127" s="387"/>
      <c r="BL127" s="388"/>
      <c r="BM127" s="388"/>
      <c r="BN127" s="389"/>
      <c r="BO127" s="390"/>
      <c r="BP127" s="387"/>
      <c r="BQ127" s="388"/>
      <c r="BR127" s="388"/>
      <c r="BS127" s="389"/>
      <c r="BT127" s="390"/>
      <c r="BU127" s="387"/>
      <c r="BV127" s="388"/>
      <c r="BW127" s="388"/>
      <c r="BX127" s="389"/>
      <c r="BY127" s="390"/>
      <c r="BZ127" s="387"/>
      <c r="CA127" s="388"/>
      <c r="CB127" s="388"/>
      <c r="CC127" s="389"/>
      <c r="CD127" s="390"/>
      <c r="CE127" s="387"/>
      <c r="CF127" s="388"/>
      <c r="CG127" s="388"/>
      <c r="CH127" s="389"/>
      <c r="CI127" s="390"/>
      <c r="CJ127" s="387"/>
      <c r="CK127" s="388"/>
      <c r="CL127" s="388"/>
      <c r="CM127" s="389"/>
      <c r="CN127" s="390"/>
      <c r="CO127" s="387"/>
      <c r="CP127" s="388"/>
      <c r="CQ127" s="388"/>
      <c r="CR127" s="389"/>
      <c r="CS127" s="390"/>
      <c r="CT127" s="387"/>
      <c r="CU127" s="388"/>
      <c r="CV127" s="388"/>
      <c r="CW127" s="389"/>
      <c r="CX127" s="390"/>
      <c r="CY127" s="387"/>
      <c r="CZ127" s="388"/>
      <c r="DA127" s="388"/>
      <c r="DB127" s="389"/>
      <c r="DC127" s="390"/>
      <c r="DD127" s="387"/>
      <c r="DE127" s="388"/>
      <c r="DF127" s="388"/>
      <c r="DG127" s="389"/>
      <c r="DH127" s="390"/>
      <c r="DI127" s="387"/>
      <c r="DJ127" s="388"/>
      <c r="DK127" s="388"/>
      <c r="DL127" s="389"/>
      <c r="DM127" s="390"/>
      <c r="DN127" s="387"/>
      <c r="DO127" s="388"/>
      <c r="DP127" s="388"/>
      <c r="DQ127" s="389"/>
      <c r="DR127" s="390"/>
      <c r="DS127" s="387"/>
      <c r="DT127" s="388"/>
      <c r="DU127" s="388"/>
      <c r="DV127" s="389"/>
      <c r="DW127" s="390"/>
      <c r="DX127" s="387"/>
      <c r="DY127" s="388"/>
      <c r="DZ127" s="388"/>
      <c r="EA127" s="389"/>
      <c r="EB127" s="390"/>
      <c r="EC127" s="387"/>
      <c r="ED127" s="388"/>
      <c r="EE127" s="388"/>
      <c r="EF127" s="389"/>
      <c r="EG127" s="390"/>
      <c r="EH127" s="387"/>
      <c r="EI127" s="388"/>
      <c r="EJ127" s="388"/>
      <c r="EK127" s="389"/>
      <c r="EL127" s="390"/>
      <c r="EM127" s="387"/>
      <c r="EN127" s="388"/>
      <c r="EO127" s="388"/>
      <c r="EP127" s="389"/>
      <c r="EQ127" s="390"/>
      <c r="ER127" s="387"/>
      <c r="ES127" s="388"/>
      <c r="ET127" s="388"/>
      <c r="EU127" s="389"/>
      <c r="EV127" s="390"/>
      <c r="EW127" s="387"/>
      <c r="EX127" s="388"/>
      <c r="EY127" s="388"/>
      <c r="EZ127" s="389"/>
      <c r="FA127" s="390"/>
      <c r="FB127" s="387"/>
      <c r="FC127" s="388"/>
      <c r="FD127" s="388"/>
      <c r="FE127" s="389"/>
      <c r="FF127" s="390"/>
      <c r="FG127" s="387"/>
      <c r="FH127" s="388"/>
      <c r="FI127" s="388"/>
      <c r="FJ127" s="389"/>
      <c r="FK127" s="390"/>
      <c r="FL127" s="387"/>
      <c r="FM127" s="388"/>
      <c r="FN127" s="388"/>
      <c r="FO127" s="389"/>
      <c r="FP127" s="390"/>
      <c r="FQ127" s="387"/>
      <c r="FR127" s="388"/>
      <c r="FS127" s="388"/>
      <c r="FT127" s="389"/>
      <c r="FU127" s="390"/>
      <c r="FV127" s="387"/>
      <c r="FW127" s="388"/>
      <c r="FX127" s="388"/>
      <c r="FY127" s="389"/>
      <c r="FZ127" s="1469"/>
      <c r="GA127" s="387"/>
      <c r="GB127" s="388"/>
      <c r="GC127" s="388"/>
      <c r="GD127" s="389"/>
      <c r="GE127" s="1469"/>
      <c r="GF127" s="387"/>
      <c r="GG127" s="388"/>
      <c r="GH127" s="388"/>
      <c r="GI127" s="389"/>
      <c r="GJ127" s="391"/>
    </row>
    <row r="130" spans="143:144" ht="12.75" customHeight="1">
      <c r="EM130" s="1324"/>
      <c r="EN130" s="1324"/>
    </row>
  </sheetData>
  <pageMargins left="0.7" right="0.7" top="0.75" bottom="0.75" header="0.3" footer="0.3"/>
  <pageSetup orientation="portrait" r:id="rId1"/>
  <customProperties>
    <customPr name="Qube.Worksheet.Visibility" r:id="rId2"/>
  </customPropertie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780FE5-1AC1-4444-A9C4-9959667C9C49}">
  <sheetPr>
    <tabColor theme="4"/>
  </sheetPr>
  <dimension ref="A1:GJ56"/>
  <sheetViews>
    <sheetView showGridLines="0" zoomScaleNormal="100" workbookViewId="0">
      <pane xSplit="2" ySplit="8" topLeftCell="EW9" activePane="bottomRight" state="frozen"/>
      <selection activeCell="DD115" sqref="DD115"/>
      <selection pane="topRight" activeCell="DD115" sqref="DD115"/>
      <selection pane="bottomLeft" activeCell="DD115" sqref="DD115"/>
      <selection pane="bottomRight"/>
    </sheetView>
  </sheetViews>
  <sheetFormatPr defaultColWidth="9.109375" defaultRowHeight="13.2" outlineLevelRow="1" outlineLevelCol="1"/>
  <cols>
    <col min="1" max="1" width="3.5546875" style="370" customWidth="1"/>
    <col min="2" max="2" width="55" style="461" bestFit="1" customWidth="1"/>
    <col min="3" max="3" width="11.109375" style="1684" hidden="1" customWidth="1" outlineLevel="1"/>
    <col min="4" max="6" width="11.109375" style="1685" hidden="1" customWidth="1" outlineLevel="1"/>
    <col min="7" max="7" width="11.44140625" style="1685" customWidth="1" collapsed="1"/>
    <col min="8" max="8" width="11.109375" style="1684" hidden="1" customWidth="1" outlineLevel="1"/>
    <col min="9" max="11" width="11.109375" style="1685" hidden="1" customWidth="1" outlineLevel="1"/>
    <col min="12" max="12" width="11.44140625" style="1685" customWidth="1" collapsed="1"/>
    <col min="13" max="13" width="11.109375" style="1684" hidden="1" customWidth="1" outlineLevel="1"/>
    <col min="14" max="16" width="11.109375" style="1685" hidden="1" customWidth="1" outlineLevel="1"/>
    <col min="17" max="17" width="11.44140625" style="1685" customWidth="1" collapsed="1"/>
    <col min="18" max="18" width="11.109375" style="1686" hidden="1" customWidth="1" outlineLevel="1"/>
    <col min="19" max="21" width="11.109375" style="1687" hidden="1" customWidth="1" outlineLevel="1"/>
    <col min="22" max="22" width="11.44140625" style="1685" customWidth="1" collapsed="1"/>
    <col min="23" max="23" width="11.109375" style="1686" hidden="1" customWidth="1" outlineLevel="1"/>
    <col min="24" max="26" width="11.109375" style="1687" hidden="1" customWidth="1" outlineLevel="1"/>
    <col min="27" max="27" width="11.44140625" style="1685" customWidth="1" collapsed="1"/>
    <col min="28" max="28" width="11.109375" style="1686" hidden="1" customWidth="1" outlineLevel="1"/>
    <col min="29" max="31" width="11.109375" style="1687" hidden="1" customWidth="1" outlineLevel="1"/>
    <col min="32" max="32" width="11.44140625" style="1685" customWidth="1" collapsed="1"/>
    <col min="33" max="33" width="11.109375" style="1686" hidden="1" customWidth="1" outlineLevel="1"/>
    <col min="34" max="36" width="11.109375" style="1687" hidden="1" customWidth="1" outlineLevel="1"/>
    <col min="37" max="37" width="11.44140625" style="1685" customWidth="1" collapsed="1"/>
    <col min="38" max="38" width="11.109375" style="1684" hidden="1" customWidth="1" outlineLevel="1"/>
    <col min="39" max="41" width="11.109375" style="1685" hidden="1" customWidth="1" outlineLevel="1"/>
    <col min="42" max="42" width="11.109375" style="1685" customWidth="1" collapsed="1"/>
    <col min="43" max="43" width="11.109375" style="1684" hidden="1" customWidth="1" outlineLevel="1"/>
    <col min="44" max="46" width="11.109375" style="1685" hidden="1" customWidth="1" outlineLevel="1"/>
    <col min="47" max="47" width="11.109375" style="1685" customWidth="1" collapsed="1"/>
    <col min="48" max="48" width="11.109375" style="1684" hidden="1" customWidth="1" outlineLevel="1"/>
    <col min="49" max="51" width="11.109375" style="1685" hidden="1" customWidth="1" outlineLevel="1"/>
    <col min="52" max="52" width="11.44140625" style="1685" customWidth="1" collapsed="1"/>
    <col min="53" max="53" width="11.109375" style="1684" hidden="1" customWidth="1" outlineLevel="1"/>
    <col min="54" max="56" width="11.109375" style="1685" hidden="1" customWidth="1" outlineLevel="1"/>
    <col min="57" max="57" width="11.44140625" style="1685" customWidth="1" collapsed="1"/>
    <col min="58" max="58" width="11.109375" style="1684" hidden="1" customWidth="1" outlineLevel="1"/>
    <col min="59" max="61" width="11.109375" style="1685" hidden="1" customWidth="1" outlineLevel="1"/>
    <col min="62" max="62" width="11.44140625" style="1685" customWidth="1" collapsed="1"/>
    <col min="63" max="63" width="11.109375" style="1684" hidden="1" customWidth="1" outlineLevel="1"/>
    <col min="64" max="66" width="11.109375" style="1685" hidden="1" customWidth="1" outlineLevel="1"/>
    <col min="67" max="67" width="11.44140625" style="1685" customWidth="1" collapsed="1"/>
    <col min="68" max="68" width="11.109375" style="1684" hidden="1" customWidth="1" outlineLevel="1"/>
    <col min="69" max="71" width="11.109375" style="1685" hidden="1" customWidth="1" outlineLevel="1"/>
    <col min="72" max="72" width="11.44140625" style="1685" customWidth="1" collapsed="1"/>
    <col min="73" max="73" width="11.109375" style="1684" hidden="1" customWidth="1" outlineLevel="1"/>
    <col min="74" max="76" width="11.109375" style="1685" hidden="1" customWidth="1" outlineLevel="1"/>
    <col min="77" max="77" width="11.44140625" style="1685" customWidth="1" collapsed="1"/>
    <col min="78" max="78" width="11.109375" style="1684" hidden="1" customWidth="1" outlineLevel="1"/>
    <col min="79" max="81" width="11.109375" style="1685" hidden="1" customWidth="1" outlineLevel="1"/>
    <col min="82" max="82" width="11.44140625" style="1685" customWidth="1" collapsed="1"/>
    <col min="83" max="83" width="11.109375" style="1684" hidden="1" customWidth="1" outlineLevel="1"/>
    <col min="84" max="86" width="11.109375" style="1685" hidden="1" customWidth="1" outlineLevel="1"/>
    <col min="87" max="87" width="11.109375" style="1685" customWidth="1" collapsed="1"/>
    <col min="88" max="88" width="11.109375" style="1684" hidden="1" customWidth="1" outlineLevel="1"/>
    <col min="89" max="91" width="11.109375" style="1685" hidden="1" customWidth="1" outlineLevel="1"/>
    <col min="92" max="92" width="11.109375" style="1685" customWidth="1" collapsed="1"/>
    <col min="93" max="93" width="11.109375" style="1684" hidden="1" customWidth="1" outlineLevel="1"/>
    <col min="94" max="96" width="11.109375" style="1685" hidden="1" customWidth="1" outlineLevel="1"/>
    <col min="97" max="97" width="11.44140625" style="1685" customWidth="1" collapsed="1"/>
    <col min="98" max="98" width="11.109375" style="1684" hidden="1" customWidth="1" outlineLevel="1"/>
    <col min="99" max="101" width="11.109375" style="1685" hidden="1" customWidth="1" outlineLevel="1"/>
    <col min="102" max="102" width="11.44140625" style="1685" bestFit="1" customWidth="1" collapsed="1"/>
    <col min="103" max="103" width="11.109375" style="1684" hidden="1" customWidth="1" outlineLevel="1"/>
    <col min="104" max="106" width="11.109375" style="1685" hidden="1" customWidth="1" outlineLevel="1"/>
    <col min="107" max="107" width="11.44140625" style="1685" bestFit="1" customWidth="1" collapsed="1"/>
    <col min="108" max="108" width="11.109375" style="1684" hidden="1" customWidth="1" outlineLevel="1"/>
    <col min="109" max="111" width="11.109375" style="1685" hidden="1" customWidth="1" outlineLevel="1"/>
    <col min="112" max="112" width="11.44140625" style="1685" bestFit="1" customWidth="1" collapsed="1"/>
    <col min="113" max="113" width="11.109375" style="1684" hidden="1" customWidth="1" outlineLevel="1"/>
    <col min="114" max="116" width="11.109375" style="1685" hidden="1" customWidth="1" outlineLevel="1"/>
    <col min="117" max="117" width="11.44140625" style="1685" bestFit="1" customWidth="1" collapsed="1"/>
    <col min="118" max="118" width="11.109375" style="1684" hidden="1" customWidth="1" outlineLevel="1"/>
    <col min="119" max="121" width="11.109375" style="1685" hidden="1" customWidth="1" outlineLevel="1"/>
    <col min="122" max="122" width="11.44140625" style="1685" bestFit="1" customWidth="1" collapsed="1"/>
    <col min="123" max="123" width="11.109375" style="1684" hidden="1" customWidth="1" outlineLevel="1"/>
    <col min="124" max="126" width="9.44140625" style="1685" hidden="1" customWidth="1" outlineLevel="1"/>
    <col min="127" max="127" width="11.44140625" style="1685" bestFit="1" customWidth="1" collapsed="1"/>
    <col min="128" max="128" width="11.109375" style="1684" hidden="1" customWidth="1" outlineLevel="1"/>
    <col min="129" max="131" width="11.109375" style="1685" hidden="1" customWidth="1" outlineLevel="1"/>
    <col min="132" max="132" width="11.109375" style="1685" customWidth="1" collapsed="1"/>
    <col min="133" max="133" width="11.109375" style="1684" hidden="1" customWidth="1" outlineLevel="1"/>
    <col min="134" max="136" width="11.109375" style="1685" hidden="1" customWidth="1" outlineLevel="1"/>
    <col min="137" max="137" width="11.109375" style="1685" customWidth="1" collapsed="1"/>
    <col min="138" max="138" width="12.5546875" style="1684" hidden="1" customWidth="1" outlineLevel="1"/>
    <col min="139" max="141" width="11.44140625" style="1685" hidden="1" customWidth="1" outlineLevel="1"/>
    <col min="142" max="142" width="11.44140625" style="767" customWidth="1" collapsed="1"/>
    <col min="143" max="143" width="11.44140625" style="1684" hidden="1" customWidth="1" outlineLevel="1"/>
    <col min="144" max="146" width="11.44140625" style="1685" hidden="1" customWidth="1" outlineLevel="1"/>
    <col min="147" max="147" width="11.44140625" style="767" bestFit="1" customWidth="1" collapsed="1"/>
    <col min="148" max="148" width="11.109375" style="1684" hidden="1" customWidth="1" outlineLevel="1"/>
    <col min="149" max="151" width="11.109375" style="1685" hidden="1" customWidth="1" outlineLevel="1"/>
    <col min="152" max="152" width="11.44140625" style="1685" bestFit="1" customWidth="1" collapsed="1"/>
    <col min="153" max="153" width="11.109375" style="1684" customWidth="1" outlineLevel="1"/>
    <col min="154" max="156" width="11.109375" style="1685" customWidth="1" outlineLevel="1"/>
    <col min="157" max="157" width="11.44140625" style="1685" bestFit="1" customWidth="1"/>
    <col min="158" max="158" width="11.109375" style="1684" customWidth="1" outlineLevel="1"/>
    <col min="159" max="161" width="11.109375" style="1685" customWidth="1" outlineLevel="1"/>
    <col min="162" max="162" width="11.44140625" style="1685" bestFit="1" customWidth="1"/>
    <col min="163" max="163" width="11.109375" style="1684" customWidth="1" outlineLevel="1"/>
    <col min="164" max="166" width="11.109375" style="1685" customWidth="1" outlineLevel="1"/>
    <col min="167" max="167" width="11.44140625" style="1685" bestFit="1" customWidth="1"/>
    <col min="168" max="168" width="11.109375" style="1684" hidden="1" customWidth="1" outlineLevel="1"/>
    <col min="169" max="171" width="9.44140625" style="1685" hidden="1" customWidth="1" outlineLevel="1"/>
    <col min="172" max="172" width="11.44140625" style="1685" bestFit="1" customWidth="1" collapsed="1"/>
    <col min="173" max="173" width="11.109375" style="1684" hidden="1" customWidth="1" outlineLevel="1"/>
    <col min="174" max="176" width="9.44140625" style="1685" hidden="1" customWidth="1" outlineLevel="1"/>
    <col min="177" max="177" width="11.44140625" style="1685" bestFit="1" customWidth="1" collapsed="1"/>
    <col min="178" max="178" width="11.109375" style="1684" hidden="1" customWidth="1" outlineLevel="1"/>
    <col min="179" max="181" width="9.44140625" style="1685" hidden="1" customWidth="1" outlineLevel="1"/>
    <col min="182" max="182" width="11.44140625" style="1685" bestFit="1" customWidth="1" collapsed="1"/>
    <col min="183" max="183" width="11.109375" style="1684" hidden="1" customWidth="1" outlineLevel="1"/>
    <col min="184" max="186" width="9.44140625" style="1685" hidden="1" customWidth="1" outlineLevel="1"/>
    <col min="187" max="187" width="11.44140625" style="1685" bestFit="1" customWidth="1" collapsed="1"/>
    <col min="188" max="188" width="11.109375" style="1684" hidden="1" customWidth="1" outlineLevel="1"/>
    <col min="189" max="191" width="9.44140625" style="1685" hidden="1" customWidth="1" outlineLevel="1"/>
    <col min="192" max="192" width="11.44140625" style="1685" bestFit="1" customWidth="1" collapsed="1"/>
    <col min="193" max="16384" width="9.109375" style="461"/>
  </cols>
  <sheetData>
    <row r="1" spans="1:192" s="283" customFormat="1" ht="12.75" customHeight="1">
      <c r="A1" s="68"/>
      <c r="C1" s="284"/>
      <c r="D1" s="285"/>
      <c r="E1" s="285"/>
      <c r="F1" s="285"/>
      <c r="G1" s="285"/>
      <c r="H1" s="284"/>
      <c r="I1" s="285"/>
      <c r="J1" s="285"/>
      <c r="K1" s="285"/>
      <c r="L1" s="285"/>
      <c r="M1" s="284"/>
      <c r="N1" s="285"/>
      <c r="O1" s="285"/>
      <c r="P1" s="285"/>
      <c r="Q1" s="285"/>
      <c r="R1" s="474"/>
      <c r="S1" s="375"/>
      <c r="T1" s="375"/>
      <c r="U1" s="375"/>
      <c r="V1" s="285"/>
      <c r="W1" s="474"/>
      <c r="X1" s="375"/>
      <c r="Y1" s="375"/>
      <c r="Z1" s="375"/>
      <c r="AA1" s="285"/>
      <c r="AB1" s="474"/>
      <c r="AC1" s="375"/>
      <c r="AD1" s="375"/>
      <c r="AE1" s="375"/>
      <c r="AF1" s="285"/>
      <c r="AG1" s="474"/>
      <c r="AH1" s="375"/>
      <c r="AI1" s="375"/>
      <c r="AJ1" s="375"/>
      <c r="AK1" s="285"/>
      <c r="AL1" s="284"/>
      <c r="AM1" s="285"/>
      <c r="AN1" s="285"/>
      <c r="AO1" s="285"/>
      <c r="AP1" s="285"/>
      <c r="AQ1" s="284"/>
      <c r="AR1" s="285"/>
      <c r="AS1" s="285"/>
      <c r="AT1" s="285"/>
      <c r="AU1" s="285"/>
      <c r="AV1" s="284"/>
      <c r="AW1" s="285"/>
      <c r="AX1" s="285"/>
      <c r="AY1" s="285"/>
      <c r="AZ1" s="285"/>
      <c r="BA1" s="284"/>
      <c r="BB1" s="285"/>
      <c r="BC1" s="285"/>
      <c r="BD1" s="285"/>
      <c r="BE1" s="285"/>
      <c r="BF1" s="284"/>
      <c r="BG1" s="285"/>
      <c r="BH1" s="285"/>
      <c r="BI1" s="285"/>
      <c r="BJ1" s="285"/>
      <c r="BK1" s="284"/>
      <c r="BL1" s="285"/>
      <c r="BM1" s="285"/>
      <c r="BN1" s="285"/>
      <c r="BO1" s="285"/>
      <c r="BP1" s="284"/>
      <c r="BQ1" s="285"/>
      <c r="BR1" s="285"/>
      <c r="BS1" s="285"/>
      <c r="BT1" s="285"/>
      <c r="BU1" s="284"/>
      <c r="BV1" s="285"/>
      <c r="BW1" s="285"/>
      <c r="BX1" s="285"/>
      <c r="BY1" s="285"/>
      <c r="BZ1" s="284"/>
      <c r="CA1" s="285"/>
      <c r="CB1" s="285"/>
      <c r="CC1" s="285"/>
      <c r="CD1" s="285"/>
      <c r="CE1" s="284"/>
      <c r="CF1" s="285"/>
      <c r="CG1" s="285"/>
      <c r="CH1" s="285"/>
      <c r="CI1" s="285"/>
      <c r="CJ1" s="284"/>
      <c r="CK1" s="285"/>
      <c r="CL1" s="285"/>
      <c r="CM1" s="285"/>
      <c r="CN1" s="285"/>
      <c r="CO1" s="284"/>
      <c r="CP1" s="285"/>
      <c r="CQ1" s="285"/>
      <c r="CR1" s="285"/>
      <c r="CS1" s="285"/>
      <c r="CT1" s="284"/>
      <c r="CU1" s="285"/>
      <c r="CV1" s="285"/>
      <c r="CW1" s="285"/>
      <c r="CX1" s="285"/>
      <c r="CY1" s="284"/>
      <c r="CZ1" s="285"/>
      <c r="DA1" s="285"/>
      <c r="DB1" s="285"/>
      <c r="DC1" s="285"/>
      <c r="DD1" s="284"/>
      <c r="DE1" s="285"/>
      <c r="DF1" s="285"/>
      <c r="DG1" s="285"/>
      <c r="DH1" s="285"/>
      <c r="DI1" s="284"/>
      <c r="DJ1" s="285"/>
      <c r="DK1" s="285"/>
      <c r="DL1" s="285"/>
      <c r="DM1" s="285"/>
      <c r="DN1" s="284"/>
      <c r="DO1" s="285"/>
      <c r="DP1" s="285"/>
      <c r="DQ1" s="285"/>
      <c r="DR1" s="285"/>
      <c r="DS1" s="284"/>
      <c r="DT1" s="285"/>
      <c r="DU1" s="285"/>
      <c r="DV1" s="285"/>
      <c r="DW1" s="285"/>
      <c r="DX1" s="284"/>
      <c r="DY1" s="285"/>
      <c r="DZ1" s="285"/>
      <c r="EA1" s="285"/>
      <c r="EB1" s="285"/>
      <c r="EC1" s="284"/>
      <c r="ED1" s="285"/>
      <c r="EE1" s="285"/>
      <c r="EF1" s="285"/>
      <c r="EG1" s="285"/>
      <c r="EH1" s="284"/>
      <c r="EI1" s="285"/>
      <c r="EJ1" s="285"/>
      <c r="EK1" s="285"/>
      <c r="EL1" s="285"/>
      <c r="EM1" s="284"/>
      <c r="EN1" s="285"/>
      <c r="EO1" s="285"/>
      <c r="EP1" s="285"/>
      <c r="EQ1" s="285"/>
      <c r="ER1" s="284"/>
      <c r="ES1" s="285"/>
      <c r="ET1" s="285"/>
      <c r="EU1" s="285"/>
      <c r="EV1" s="285"/>
      <c r="EW1" s="284"/>
      <c r="EX1" s="285"/>
      <c r="EY1" s="285"/>
      <c r="EZ1" s="285"/>
      <c r="FA1" s="285"/>
      <c r="FB1" s="284"/>
      <c r="FC1" s="285"/>
      <c r="FD1" s="285"/>
      <c r="FE1" s="285"/>
      <c r="FF1" s="285"/>
      <c r="FG1" s="284"/>
      <c r="FH1" s="285"/>
      <c r="FI1" s="285"/>
      <c r="FJ1" s="285"/>
      <c r="FK1" s="285"/>
      <c r="FL1" s="284"/>
      <c r="FM1" s="285"/>
      <c r="FN1" s="285"/>
      <c r="FO1" s="285"/>
      <c r="FP1" s="285"/>
      <c r="FQ1" s="284"/>
      <c r="FR1" s="285"/>
      <c r="FS1" s="285"/>
      <c r="FT1" s="285"/>
      <c r="FU1" s="285"/>
      <c r="FV1" s="284"/>
      <c r="FW1" s="285"/>
      <c r="FX1" s="285"/>
      <c r="FY1" s="285"/>
      <c r="FZ1" s="285"/>
      <c r="GA1" s="284"/>
      <c r="GB1" s="285"/>
      <c r="GC1" s="285"/>
      <c r="GD1" s="285"/>
      <c r="GE1" s="285"/>
      <c r="GF1" s="284"/>
      <c r="GG1" s="285"/>
      <c r="GH1" s="285"/>
      <c r="GI1" s="285"/>
      <c r="GJ1" s="285"/>
    </row>
    <row r="2" spans="1:192" s="283" customFormat="1" ht="12.75" customHeight="1">
      <c r="A2" s="68"/>
      <c r="B2" s="40" t="s">
        <v>63</v>
      </c>
      <c r="C2" s="284"/>
      <c r="D2" s="285"/>
      <c r="E2" s="285"/>
      <c r="F2" s="285"/>
      <c r="G2" s="285"/>
      <c r="H2" s="284"/>
      <c r="I2" s="285"/>
      <c r="J2" s="285"/>
      <c r="K2" s="285"/>
      <c r="L2" s="285"/>
      <c r="M2" s="284"/>
      <c r="N2" s="285"/>
      <c r="O2" s="285"/>
      <c r="P2" s="285"/>
      <c r="Q2" s="285"/>
      <c r="R2" s="474"/>
      <c r="S2" s="375"/>
      <c r="T2" s="375"/>
      <c r="U2" s="375"/>
      <c r="V2" s="285"/>
      <c r="W2" s="474"/>
      <c r="X2" s="375"/>
      <c r="Y2" s="375"/>
      <c r="Z2" s="375"/>
      <c r="AA2" s="285"/>
      <c r="AB2" s="474"/>
      <c r="AC2" s="375"/>
      <c r="AD2" s="375"/>
      <c r="AE2" s="375"/>
      <c r="AF2" s="285"/>
      <c r="AG2" s="474"/>
      <c r="AH2" s="375"/>
      <c r="AI2" s="375"/>
      <c r="AJ2" s="375"/>
      <c r="AK2" s="285"/>
      <c r="AL2" s="284"/>
      <c r="AM2" s="285"/>
      <c r="AN2" s="285"/>
      <c r="AO2" s="285"/>
      <c r="AP2" s="285"/>
      <c r="AQ2" s="284"/>
      <c r="AR2" s="285"/>
      <c r="AS2" s="285"/>
      <c r="AT2" s="285"/>
      <c r="AU2" s="285"/>
      <c r="AV2" s="284"/>
      <c r="AW2" s="285"/>
      <c r="AX2" s="285"/>
      <c r="AY2" s="285"/>
      <c r="AZ2" s="285"/>
      <c r="BA2" s="284"/>
      <c r="BB2" s="285"/>
      <c r="BC2" s="285"/>
      <c r="BD2" s="285"/>
      <c r="BE2" s="285"/>
      <c r="BF2" s="284"/>
      <c r="BG2" s="285"/>
      <c r="BH2" s="285"/>
      <c r="BI2" s="285"/>
      <c r="BJ2" s="285"/>
      <c r="BK2" s="284"/>
      <c r="BL2" s="285"/>
      <c r="BM2" s="285"/>
      <c r="BN2" s="285"/>
      <c r="BO2" s="285"/>
      <c r="BP2" s="284"/>
      <c r="BQ2" s="285"/>
      <c r="BR2" s="285"/>
      <c r="BS2" s="285"/>
      <c r="BT2" s="285"/>
      <c r="BU2" s="284"/>
      <c r="BV2" s="285"/>
      <c r="BW2" s="285"/>
      <c r="BX2" s="285"/>
      <c r="BY2" s="285"/>
      <c r="BZ2" s="284"/>
      <c r="CA2" s="285"/>
      <c r="CB2" s="285"/>
      <c r="CC2" s="285"/>
      <c r="CD2" s="285"/>
      <c r="CE2" s="284"/>
      <c r="CF2" s="285"/>
      <c r="CG2" s="285"/>
      <c r="CH2" s="285"/>
      <c r="CI2" s="285"/>
      <c r="CJ2" s="284"/>
      <c r="CK2" s="285"/>
      <c r="CL2" s="285"/>
      <c r="CM2" s="285"/>
      <c r="CN2" s="285"/>
      <c r="CO2" s="284"/>
      <c r="CP2" s="285"/>
      <c r="CQ2" s="285"/>
      <c r="CR2" s="285"/>
      <c r="CS2" s="285"/>
      <c r="CT2" s="284"/>
      <c r="CU2" s="285"/>
      <c r="CV2" s="285"/>
      <c r="CW2" s="285"/>
      <c r="CX2" s="285"/>
      <c r="CY2" s="284"/>
      <c r="CZ2" s="285"/>
      <c r="DA2" s="285"/>
      <c r="DB2" s="285"/>
      <c r="DC2" s="285"/>
      <c r="DD2" s="284"/>
      <c r="DE2" s="285"/>
      <c r="DF2" s="285"/>
      <c r="DG2" s="285"/>
      <c r="DH2" s="285"/>
      <c r="DI2" s="284"/>
      <c r="DJ2" s="285"/>
      <c r="DK2" s="285"/>
      <c r="DL2" s="285"/>
      <c r="DM2" s="285"/>
      <c r="DN2" s="284"/>
      <c r="DO2" s="285"/>
      <c r="DP2" s="285"/>
      <c r="DQ2" s="285"/>
      <c r="DR2" s="285"/>
      <c r="DS2" s="284"/>
      <c r="DT2" s="285"/>
      <c r="DU2" s="285"/>
      <c r="DV2" s="285"/>
      <c r="DW2" s="285"/>
      <c r="DX2" s="284"/>
      <c r="DY2" s="285"/>
      <c r="DZ2" s="285"/>
      <c r="EA2" s="285"/>
      <c r="EB2" s="285"/>
      <c r="EC2" s="284"/>
      <c r="ED2" s="285"/>
      <c r="EE2" s="285"/>
      <c r="EF2" s="285"/>
      <c r="EG2" s="285"/>
      <c r="EH2" s="284"/>
      <c r="EI2" s="285"/>
      <c r="EJ2" s="285"/>
      <c r="EK2" s="285"/>
      <c r="EL2" s="285"/>
      <c r="EM2" s="284"/>
      <c r="EN2" s="285"/>
      <c r="EO2" s="285"/>
      <c r="EP2" s="285"/>
      <c r="EQ2" s="285"/>
      <c r="ER2" s="284"/>
      <c r="ES2" s="285"/>
      <c r="ET2" s="285"/>
      <c r="EU2" s="285"/>
      <c r="EV2" s="285"/>
      <c r="EW2" s="284"/>
      <c r="EX2" s="285"/>
      <c r="EY2" s="285"/>
      <c r="EZ2" s="285"/>
      <c r="FA2" s="285"/>
      <c r="FB2" s="284"/>
      <c r="FC2" s="285"/>
      <c r="FD2" s="285"/>
      <c r="FE2" s="285"/>
      <c r="FF2" s="285"/>
      <c r="FG2" s="284"/>
      <c r="FH2" s="285"/>
      <c r="FI2" s="285"/>
      <c r="FJ2" s="285"/>
      <c r="FK2" s="285"/>
      <c r="FL2" s="284"/>
      <c r="FM2" s="285"/>
      <c r="FN2" s="285"/>
      <c r="FO2" s="285"/>
      <c r="FP2" s="285"/>
      <c r="FQ2" s="284"/>
      <c r="FR2" s="285"/>
      <c r="FS2" s="285"/>
      <c r="FT2" s="285"/>
      <c r="FU2" s="285"/>
      <c r="FV2" s="284"/>
      <c r="FW2" s="285"/>
      <c r="FX2" s="285"/>
      <c r="FY2" s="285"/>
      <c r="FZ2" s="285"/>
      <c r="GA2" s="284"/>
      <c r="GB2" s="285"/>
      <c r="GC2" s="285"/>
      <c r="GD2" s="285"/>
      <c r="GE2" s="285"/>
      <c r="GF2" s="284"/>
      <c r="GG2" s="285"/>
      <c r="GH2" s="285"/>
      <c r="GI2" s="285"/>
      <c r="GJ2" s="285"/>
    </row>
    <row r="3" spans="1:192" s="283" customFormat="1" ht="12.75" customHeight="1">
      <c r="A3" s="68"/>
      <c r="B3" s="40" t="s">
        <v>64</v>
      </c>
      <c r="C3" s="284"/>
      <c r="D3" s="285"/>
      <c r="E3" s="285"/>
      <c r="F3" s="285"/>
      <c r="G3" s="285"/>
      <c r="H3" s="284"/>
      <c r="I3" s="285"/>
      <c r="J3" s="285"/>
      <c r="K3" s="285"/>
      <c r="L3" s="285"/>
      <c r="M3" s="284"/>
      <c r="N3" s="285"/>
      <c r="O3" s="285"/>
      <c r="P3" s="285"/>
      <c r="Q3" s="285"/>
      <c r="R3" s="474"/>
      <c r="S3" s="375"/>
      <c r="T3" s="375"/>
      <c r="U3" s="375"/>
      <c r="V3" s="285"/>
      <c r="W3" s="474"/>
      <c r="X3" s="375"/>
      <c r="Y3" s="375"/>
      <c r="Z3" s="375"/>
      <c r="AA3" s="285"/>
      <c r="AB3" s="474"/>
      <c r="AC3" s="375"/>
      <c r="AD3" s="375"/>
      <c r="AE3" s="375"/>
      <c r="AF3" s="285"/>
      <c r="AG3" s="474"/>
      <c r="AH3" s="375"/>
      <c r="AI3" s="375"/>
      <c r="AJ3" s="375"/>
      <c r="AK3" s="285"/>
      <c r="AL3" s="284"/>
      <c r="AM3" s="285"/>
      <c r="AN3" s="285"/>
      <c r="AO3" s="285"/>
      <c r="AP3" s="285"/>
      <c r="AQ3" s="284"/>
      <c r="AR3" s="285"/>
      <c r="AS3" s="285"/>
      <c r="AT3" s="285"/>
      <c r="AU3" s="285"/>
      <c r="AV3" s="284"/>
      <c r="AW3" s="285"/>
      <c r="AX3" s="285"/>
      <c r="AY3" s="285"/>
      <c r="AZ3" s="285"/>
      <c r="BA3" s="284"/>
      <c r="BB3" s="285"/>
      <c r="BC3" s="285"/>
      <c r="BD3" s="285"/>
      <c r="BE3" s="285"/>
      <c r="BF3" s="284"/>
      <c r="BG3" s="285"/>
      <c r="BH3" s="285"/>
      <c r="BI3" s="285"/>
      <c r="BJ3" s="285"/>
      <c r="BK3" s="284"/>
      <c r="BL3" s="285"/>
      <c r="BM3" s="285"/>
      <c r="BN3" s="285"/>
      <c r="BO3" s="285"/>
      <c r="BP3" s="284"/>
      <c r="BQ3" s="285"/>
      <c r="BR3" s="285"/>
      <c r="BS3" s="285"/>
      <c r="BT3" s="285"/>
      <c r="BU3" s="284"/>
      <c r="BV3" s="285"/>
      <c r="BW3" s="285"/>
      <c r="BX3" s="285"/>
      <c r="BY3" s="285"/>
      <c r="BZ3" s="284"/>
      <c r="CA3" s="285"/>
      <c r="CB3" s="285"/>
      <c r="CC3" s="285"/>
      <c r="CD3" s="285"/>
      <c r="CE3" s="284"/>
      <c r="CF3" s="285"/>
      <c r="CG3" s="285"/>
      <c r="CH3" s="285"/>
      <c r="CI3" s="285"/>
      <c r="CJ3" s="284"/>
      <c r="CK3" s="285"/>
      <c r="CL3" s="285"/>
      <c r="CM3" s="285"/>
      <c r="CN3" s="285"/>
      <c r="CO3" s="284"/>
      <c r="CP3" s="285"/>
      <c r="CQ3" s="285"/>
      <c r="CR3" s="285"/>
      <c r="CS3" s="285"/>
      <c r="CT3" s="284"/>
      <c r="CU3" s="285"/>
      <c r="CV3" s="285"/>
      <c r="CW3" s="285"/>
      <c r="CX3" s="285"/>
      <c r="CY3" s="284"/>
      <c r="CZ3" s="285"/>
      <c r="DA3" s="285"/>
      <c r="DB3" s="285"/>
      <c r="DC3" s="285"/>
      <c r="DD3" s="284"/>
      <c r="DE3" s="285"/>
      <c r="DF3" s="285"/>
      <c r="DG3" s="285"/>
      <c r="DH3" s="285"/>
      <c r="DI3" s="284"/>
      <c r="DJ3" s="285"/>
      <c r="DK3" s="285"/>
      <c r="DL3" s="285"/>
      <c r="DM3" s="285"/>
      <c r="DN3" s="284"/>
      <c r="DO3" s="285"/>
      <c r="DP3" s="285"/>
      <c r="DQ3" s="285"/>
      <c r="DR3" s="285"/>
      <c r="DS3" s="284"/>
      <c r="DT3" s="285"/>
      <c r="DU3" s="285"/>
      <c r="DV3" s="285"/>
      <c r="DW3" s="285"/>
      <c r="DX3" s="284"/>
      <c r="DY3" s="285"/>
      <c r="DZ3" s="285"/>
      <c r="EA3" s="285"/>
      <c r="EB3" s="285"/>
      <c r="EC3" s="284"/>
      <c r="ED3" s="285"/>
      <c r="EE3" s="285"/>
      <c r="EF3" s="285"/>
      <c r="EG3" s="285"/>
      <c r="EH3" s="284"/>
      <c r="EI3" s="285"/>
      <c r="EJ3" s="285"/>
      <c r="EK3" s="285"/>
      <c r="EL3" s="285"/>
      <c r="EM3" s="284"/>
      <c r="EN3" s="285"/>
      <c r="EO3" s="285"/>
      <c r="EP3" s="285"/>
      <c r="EQ3" s="285"/>
      <c r="ER3" s="284"/>
      <c r="ES3" s="285"/>
      <c r="ET3" s="285"/>
      <c r="EU3" s="285"/>
      <c r="EV3" s="285"/>
      <c r="EW3" s="284"/>
      <c r="EX3" s="285"/>
      <c r="EY3" s="285"/>
      <c r="EZ3" s="285"/>
      <c r="FA3" s="285"/>
      <c r="FB3" s="284"/>
      <c r="FC3" s="285"/>
      <c r="FD3" s="285"/>
      <c r="FE3" s="285"/>
      <c r="FF3" s="285"/>
      <c r="FG3" s="284"/>
      <c r="FH3" s="285"/>
      <c r="FI3" s="285"/>
      <c r="FJ3" s="285"/>
      <c r="FK3" s="285"/>
      <c r="FL3" s="284"/>
      <c r="FM3" s="285"/>
      <c r="FN3" s="285"/>
      <c r="FO3" s="285"/>
      <c r="FP3" s="285"/>
      <c r="FQ3" s="284"/>
      <c r="FR3" s="285"/>
      <c r="FS3" s="285"/>
      <c r="FT3" s="285"/>
      <c r="FU3" s="285"/>
      <c r="FV3" s="284"/>
      <c r="FW3" s="285"/>
      <c r="FX3" s="285"/>
      <c r="FY3" s="285"/>
      <c r="FZ3" s="285"/>
      <c r="GA3" s="284"/>
      <c r="GB3" s="285"/>
      <c r="GC3" s="285"/>
      <c r="GD3" s="285"/>
      <c r="GE3" s="285"/>
      <c r="GF3" s="284"/>
      <c r="GG3" s="285"/>
      <c r="GH3" s="285"/>
      <c r="GI3" s="285"/>
      <c r="GJ3" s="285"/>
    </row>
    <row r="4" spans="1:192" s="283" customFormat="1" ht="12.75" customHeight="1">
      <c r="A4" s="68"/>
      <c r="B4" s="40" t="s">
        <v>27</v>
      </c>
      <c r="C4" s="284"/>
      <c r="D4" s="285"/>
      <c r="E4" s="285"/>
      <c r="F4" s="285"/>
      <c r="G4" s="285"/>
      <c r="H4" s="284"/>
      <c r="I4" s="285"/>
      <c r="J4" s="285"/>
      <c r="K4" s="285"/>
      <c r="L4" s="285"/>
      <c r="M4" s="284"/>
      <c r="N4" s="285"/>
      <c r="O4" s="285"/>
      <c r="P4" s="285"/>
      <c r="Q4" s="285"/>
      <c r="R4" s="474"/>
      <c r="S4" s="375"/>
      <c r="T4" s="375"/>
      <c r="U4" s="375"/>
      <c r="V4" s="285"/>
      <c r="W4" s="474"/>
      <c r="X4" s="375"/>
      <c r="Y4" s="375"/>
      <c r="Z4" s="375"/>
      <c r="AA4" s="285"/>
      <c r="AB4" s="474"/>
      <c r="AC4" s="375"/>
      <c r="AD4" s="375"/>
      <c r="AE4" s="375"/>
      <c r="AF4" s="285"/>
      <c r="AG4" s="983"/>
      <c r="AH4" s="983"/>
      <c r="AI4" s="983"/>
      <c r="AJ4" s="983"/>
      <c r="AK4" s="983"/>
      <c r="AL4" s="284"/>
      <c r="AM4" s="288"/>
      <c r="AN4" s="288"/>
      <c r="AO4" s="288"/>
      <c r="AP4" s="288"/>
      <c r="AQ4" s="984"/>
      <c r="AR4" s="985"/>
      <c r="AS4" s="983"/>
      <c r="AT4" s="985"/>
      <c r="AU4" s="985"/>
      <c r="AV4" s="284"/>
      <c r="AW4" s="285"/>
      <c r="AX4" s="285"/>
      <c r="AY4" s="285"/>
      <c r="AZ4" s="285"/>
      <c r="BA4" s="284"/>
      <c r="BB4" s="285"/>
      <c r="BC4" s="285"/>
      <c r="BD4" s="285"/>
      <c r="BE4" s="285"/>
      <c r="BF4" s="284"/>
      <c r="BG4" s="285"/>
      <c r="BH4" s="285"/>
      <c r="BI4" s="285"/>
      <c r="BJ4" s="285"/>
      <c r="BK4" s="284"/>
      <c r="BL4" s="285"/>
      <c r="BM4" s="285"/>
      <c r="BN4" s="285"/>
      <c r="BO4" s="285"/>
      <c r="BP4" s="284"/>
      <c r="BQ4" s="285"/>
      <c r="BR4" s="285"/>
      <c r="BS4" s="285"/>
      <c r="BT4" s="285"/>
      <c r="BU4" s="284"/>
      <c r="BV4" s="285"/>
      <c r="BW4" s="285"/>
      <c r="BX4" s="285"/>
      <c r="BY4" s="285"/>
      <c r="BZ4" s="284"/>
      <c r="CA4" s="285"/>
      <c r="CB4" s="285"/>
      <c r="CC4" s="285"/>
      <c r="CD4" s="1453"/>
      <c r="CE4" s="284"/>
      <c r="CF4" s="285"/>
      <c r="CG4" s="285"/>
      <c r="CH4" s="285"/>
      <c r="CI4" s="285"/>
      <c r="CJ4" s="284"/>
      <c r="CK4" s="285"/>
      <c r="CL4" s="285"/>
      <c r="CM4" s="285"/>
      <c r="CN4" s="285"/>
      <c r="CO4" s="284"/>
      <c r="CP4" s="285"/>
      <c r="CQ4" s="285"/>
      <c r="CR4" s="285"/>
      <c r="CS4" s="285"/>
      <c r="CT4" s="284"/>
      <c r="CU4" s="285"/>
      <c r="CV4" s="285"/>
      <c r="CW4" s="285"/>
      <c r="CX4" s="285"/>
      <c r="CY4" s="284"/>
      <c r="CZ4" s="285"/>
      <c r="DA4" s="285"/>
      <c r="DB4" s="285"/>
      <c r="DC4" s="285"/>
      <c r="DD4" s="284"/>
      <c r="DE4" s="285"/>
      <c r="DF4" s="285"/>
      <c r="DG4" s="285"/>
      <c r="DH4" s="285"/>
      <c r="DI4" s="984"/>
      <c r="DJ4" s="985"/>
      <c r="DK4" s="983"/>
      <c r="DL4" s="985"/>
      <c r="DM4" s="985"/>
      <c r="DN4" s="284"/>
      <c r="DO4" s="285"/>
      <c r="DP4" s="285"/>
      <c r="DQ4" s="285"/>
      <c r="DR4" s="285"/>
      <c r="DS4" s="284"/>
      <c r="DT4" s="285"/>
      <c r="DU4" s="285"/>
      <c r="DV4" s="285"/>
      <c r="DW4" s="285"/>
      <c r="DX4" s="284"/>
      <c r="DY4" s="285"/>
      <c r="DZ4" s="285"/>
      <c r="EA4" s="285"/>
      <c r="EB4" s="1453"/>
      <c r="EC4" s="284"/>
      <c r="ED4" s="285"/>
      <c r="EE4" s="285"/>
      <c r="EF4" s="285"/>
      <c r="EG4" s="285"/>
      <c r="EH4" s="284"/>
      <c r="EI4" s="285"/>
      <c r="EJ4" s="285"/>
      <c r="EK4" s="285"/>
      <c r="EL4" s="285"/>
      <c r="EM4" s="1562" t="s">
        <v>2014</v>
      </c>
      <c r="EN4" s="1563"/>
      <c r="EO4" s="1563"/>
      <c r="EP4" s="1563"/>
      <c r="EQ4" s="1563"/>
      <c r="ER4" s="284"/>
      <c r="ES4" s="288"/>
      <c r="ET4" s="288"/>
      <c r="EU4" s="288"/>
      <c r="EV4" s="285"/>
      <c r="EW4" s="284"/>
      <c r="EX4" s="285"/>
      <c r="EY4" s="285"/>
      <c r="EZ4" s="285"/>
      <c r="FA4" s="285"/>
      <c r="FB4" s="284"/>
      <c r="FC4" s="285"/>
      <c r="FD4" s="285"/>
      <c r="FE4" s="285"/>
      <c r="FF4" s="285"/>
      <c r="FG4" s="284"/>
      <c r="FH4" s="285"/>
      <c r="FI4" s="285"/>
      <c r="FJ4" s="285"/>
      <c r="FK4" s="285"/>
      <c r="FL4" s="284"/>
      <c r="FM4" s="285"/>
      <c r="FN4" s="285"/>
      <c r="FO4" s="285"/>
      <c r="FP4" s="285"/>
      <c r="FQ4" s="284"/>
      <c r="FR4" s="285"/>
      <c r="FS4" s="285"/>
      <c r="FT4" s="285"/>
      <c r="FU4" s="285"/>
      <c r="FV4" s="284"/>
      <c r="FW4" s="285"/>
      <c r="FX4" s="285"/>
      <c r="FY4" s="285"/>
      <c r="FZ4" s="285"/>
      <c r="GA4" s="284"/>
      <c r="GB4" s="285"/>
      <c r="GC4" s="285"/>
      <c r="GD4" s="285"/>
      <c r="GE4" s="285"/>
      <c r="GF4" s="284"/>
      <c r="GG4" s="285"/>
      <c r="GH4" s="285"/>
      <c r="GI4" s="285"/>
      <c r="GJ4" s="285"/>
    </row>
    <row r="5" spans="1:192" s="283" customFormat="1" ht="12.75" customHeight="1">
      <c r="A5" s="68"/>
      <c r="C5" s="286"/>
      <c r="D5" s="287"/>
      <c r="E5" s="287"/>
      <c r="F5" s="288"/>
      <c r="G5" s="287"/>
      <c r="H5" s="286"/>
      <c r="I5" s="287"/>
      <c r="J5" s="287"/>
      <c r="K5" s="288"/>
      <c r="L5" s="285"/>
      <c r="M5" s="286"/>
      <c r="N5" s="287"/>
      <c r="O5" s="287"/>
      <c r="P5" s="288"/>
      <c r="Q5" s="285"/>
      <c r="R5" s="350"/>
      <c r="S5" s="351"/>
      <c r="T5" s="351"/>
      <c r="U5" s="475"/>
      <c r="V5" s="285"/>
      <c r="W5" s="350"/>
      <c r="X5" s="351"/>
      <c r="Y5" s="351"/>
      <c r="Z5" s="475"/>
      <c r="AA5" s="285"/>
      <c r="AB5" s="350"/>
      <c r="AC5" s="351"/>
      <c r="AD5" s="351"/>
      <c r="AE5" s="475"/>
      <c r="AF5" s="285"/>
      <c r="AG5" s="474"/>
      <c r="AH5" s="475"/>
      <c r="AI5" s="475"/>
      <c r="AJ5" s="475"/>
      <c r="AK5" s="288"/>
      <c r="AL5" s="286"/>
      <c r="AM5" s="287"/>
      <c r="AN5" s="287"/>
      <c r="AO5" s="288"/>
      <c r="AP5" s="285"/>
      <c r="AQ5" s="284"/>
      <c r="AR5" s="288"/>
      <c r="AS5" s="288"/>
      <c r="AT5" s="288"/>
      <c r="AU5" s="288"/>
      <c r="AV5" s="286"/>
      <c r="AW5" s="287"/>
      <c r="AX5" s="287"/>
      <c r="AY5" s="288"/>
      <c r="AZ5" s="287"/>
      <c r="BA5" s="286"/>
      <c r="BB5" s="287"/>
      <c r="BC5" s="287"/>
      <c r="BD5" s="288"/>
      <c r="BE5" s="285"/>
      <c r="BF5" s="286"/>
      <c r="BG5" s="287"/>
      <c r="BH5" s="287"/>
      <c r="BI5" s="288"/>
      <c r="BJ5" s="285"/>
      <c r="BK5" s="286"/>
      <c r="BL5" s="287"/>
      <c r="BM5" s="287"/>
      <c r="BN5" s="288"/>
      <c r="BO5" s="285"/>
      <c r="BP5" s="286"/>
      <c r="BQ5" s="287"/>
      <c r="BR5" s="287"/>
      <c r="BS5" s="288"/>
      <c r="BT5" s="285"/>
      <c r="BU5" s="286"/>
      <c r="BV5" s="287"/>
      <c r="BW5" s="287"/>
      <c r="BX5" s="288"/>
      <c r="BY5" s="285"/>
      <c r="BZ5" s="286"/>
      <c r="CA5" s="287"/>
      <c r="CB5" s="287"/>
      <c r="CC5" s="288"/>
      <c r="CD5" s="285"/>
      <c r="CE5" s="286"/>
      <c r="CF5" s="287"/>
      <c r="CG5" s="287"/>
      <c r="CH5" s="288"/>
      <c r="CI5" s="285"/>
      <c r="CJ5" s="286"/>
      <c r="CK5" s="287"/>
      <c r="CL5" s="287"/>
      <c r="CM5" s="288"/>
      <c r="CN5" s="1446"/>
      <c r="CO5" s="286"/>
      <c r="CP5" s="287"/>
      <c r="CQ5" s="287"/>
      <c r="CR5" s="288"/>
      <c r="CS5" s="1446"/>
      <c r="CT5" s="350"/>
      <c r="CU5" s="351"/>
      <c r="CV5" s="351"/>
      <c r="CW5" s="351"/>
      <c r="CX5" s="1446"/>
      <c r="CY5" s="286"/>
      <c r="CZ5" s="287"/>
      <c r="DA5" s="287"/>
      <c r="DB5" s="288"/>
      <c r="DC5" s="1446"/>
      <c r="DD5" s="286"/>
      <c r="DE5" s="287"/>
      <c r="DF5" s="287"/>
      <c r="DG5" s="288"/>
      <c r="DH5" s="1446"/>
      <c r="DI5" s="284"/>
      <c r="DJ5" s="288"/>
      <c r="DK5" s="288"/>
      <c r="DL5" s="288"/>
      <c r="DM5" s="288"/>
      <c r="DN5" s="284"/>
      <c r="DO5" s="285"/>
      <c r="DP5" s="285"/>
      <c r="DQ5" s="285"/>
      <c r="DR5" s="285"/>
      <c r="DS5" s="284"/>
      <c r="DT5" s="285"/>
      <c r="DU5" s="285"/>
      <c r="DV5" s="285"/>
      <c r="DW5" s="285"/>
      <c r="DX5" s="284"/>
      <c r="DY5" s="285"/>
      <c r="DZ5" s="285"/>
      <c r="EA5" s="285"/>
      <c r="EB5" s="285"/>
      <c r="EC5" s="284"/>
      <c r="ED5" s="285"/>
      <c r="EE5" s="285"/>
      <c r="EF5" s="285"/>
      <c r="EG5" s="285"/>
      <c r="EH5" s="286"/>
      <c r="EI5" s="287"/>
      <c r="EJ5" s="287"/>
      <c r="EK5" s="288"/>
      <c r="EL5" s="285"/>
      <c r="EM5" s="286"/>
      <c r="EN5" s="287"/>
      <c r="EO5" s="287"/>
      <c r="EP5" s="288"/>
      <c r="EQ5" s="285"/>
      <c r="ER5" s="286"/>
      <c r="ES5" s="287"/>
      <c r="ET5" s="287"/>
      <c r="EU5" s="288"/>
      <c r="EV5" s="1446"/>
      <c r="EW5" s="286"/>
      <c r="EX5" s="287"/>
      <c r="EY5" s="287"/>
      <c r="EZ5" s="285"/>
      <c r="FA5" s="285"/>
      <c r="FB5" s="284"/>
      <c r="FC5" s="285"/>
      <c r="FD5" s="285"/>
      <c r="FE5" s="285"/>
      <c r="FF5" s="285"/>
      <c r="FG5" s="284"/>
      <c r="FH5" s="285"/>
      <c r="FI5" s="285"/>
      <c r="FJ5" s="285"/>
      <c r="FK5" s="285"/>
      <c r="FL5" s="284"/>
      <c r="FM5" s="285"/>
      <c r="FN5" s="285"/>
      <c r="FO5" s="285"/>
      <c r="FP5" s="285"/>
      <c r="FQ5" s="284"/>
      <c r="FR5" s="285"/>
      <c r="FS5" s="285"/>
      <c r="FT5" s="285"/>
      <c r="FU5" s="285"/>
      <c r="FV5" s="284"/>
      <c r="FW5" s="285"/>
      <c r="FX5" s="285"/>
      <c r="FY5" s="285"/>
      <c r="FZ5" s="285"/>
      <c r="GA5" s="284"/>
      <c r="GB5" s="285"/>
      <c r="GC5" s="285"/>
      <c r="GD5" s="285"/>
      <c r="GE5" s="285"/>
      <c r="GF5" s="284"/>
      <c r="GG5" s="285"/>
      <c r="GH5" s="285"/>
      <c r="GI5" s="285"/>
      <c r="GJ5" s="285"/>
    </row>
    <row r="6" spans="1:192" s="283" customFormat="1" ht="12.75" customHeight="1">
      <c r="A6" s="68"/>
      <c r="C6" s="47" t="str">
        <f>Dates!C3</f>
      </c>
      <c r="D6" s="47"/>
      <c r="E6" s="47"/>
      <c r="F6" s="47"/>
      <c r="G6" s="93"/>
      <c r="H6" s="47" t="str">
        <f>Dates!H3</f>
      </c>
      <c r="I6" s="47"/>
      <c r="J6" s="47"/>
      <c r="K6" s="47"/>
      <c r="L6" s="93"/>
      <c r="M6" s="47" t="str">
        <f>Dates!M3</f>
      </c>
      <c r="N6" s="47"/>
      <c r="O6" s="47"/>
      <c r="P6" s="47"/>
      <c r="Q6" s="93"/>
      <c r="R6" s="977" t="str">
        <f>Dates!R3</f>
      </c>
      <c r="S6" s="977"/>
      <c r="T6" s="977"/>
      <c r="U6" s="977"/>
      <c r="V6" s="93"/>
      <c r="W6" s="977" t="str">
        <f>Dates!W3</f>
      </c>
      <c r="X6" s="977"/>
      <c r="Y6" s="977"/>
      <c r="Z6" s="977"/>
      <c r="AA6" s="93"/>
      <c r="AB6" s="977" t="str">
        <f>Dates!AB3</f>
      </c>
      <c r="AC6" s="977"/>
      <c r="AD6" s="977"/>
      <c r="AE6" s="977"/>
      <c r="AF6" s="93"/>
      <c r="AG6" s="977" t="str">
        <f>Dates!AG3</f>
      </c>
      <c r="AH6" s="977"/>
      <c r="AI6" s="977"/>
      <c r="AJ6" s="977"/>
      <c r="AK6" s="93"/>
      <c r="AL6" s="47" t="str">
        <f>Dates!AL3</f>
      </c>
      <c r="AM6" s="47"/>
      <c r="AN6" s="47"/>
      <c r="AO6" s="47"/>
      <c r="AP6" s="93"/>
      <c r="AQ6" s="47" t="str">
        <f>Dates!AQ3</f>
      </c>
      <c r="AR6" s="47"/>
      <c r="AS6" s="47"/>
      <c r="AT6" s="47"/>
      <c r="AU6" s="93"/>
      <c r="AV6" s="47" t="str">
        <f>Dates!AV3</f>
      </c>
      <c r="AW6" s="47"/>
      <c r="AX6" s="47"/>
      <c r="AY6" s="47"/>
      <c r="AZ6" s="93"/>
      <c r="BA6" s="47" t="str">
        <f>Dates!BA3</f>
      </c>
      <c r="BB6" s="47"/>
      <c r="BC6" s="47"/>
      <c r="BD6" s="47"/>
      <c r="BE6" s="93"/>
      <c r="BF6" s="47" t="str">
        <f>Dates!BF3</f>
      </c>
      <c r="BG6" s="47"/>
      <c r="BH6" s="47"/>
      <c r="BI6" s="47"/>
      <c r="BJ6" s="93"/>
      <c r="BK6" s="47" t="str">
        <f>Dates!BK3</f>
      </c>
      <c r="BL6" s="47"/>
      <c r="BM6" s="47"/>
      <c r="BN6" s="47"/>
      <c r="BO6" s="93"/>
      <c r="BP6" s="47" t="str">
        <f>Dates!BP3</f>
      </c>
      <c r="BQ6" s="47"/>
      <c r="BR6" s="47"/>
      <c r="BS6" s="47"/>
      <c r="BT6" s="93"/>
      <c r="BU6" s="47" t="str">
        <f>Dates!BU3</f>
      </c>
      <c r="BV6" s="47"/>
      <c r="BW6" s="47"/>
      <c r="BX6" s="47"/>
      <c r="BY6" s="93"/>
      <c r="BZ6" s="47" t="str">
        <f>Dates!BZ3</f>
      </c>
      <c r="CA6" s="47"/>
      <c r="CB6" s="47"/>
      <c r="CC6" s="47"/>
      <c r="CD6" s="93"/>
      <c r="CE6" s="47" t="str">
        <f>Dates!CE3</f>
      </c>
      <c r="CF6" s="47"/>
      <c r="CG6" s="47"/>
      <c r="CH6" s="47"/>
      <c r="CI6" s="93"/>
      <c r="CJ6" s="47" t="str">
        <f>Dates!CJ3</f>
      </c>
      <c r="CK6" s="47"/>
      <c r="CL6" s="47"/>
      <c r="CM6" s="47"/>
      <c r="CN6" s="93"/>
      <c r="CO6" s="47" t="str">
        <f>Dates!CO3</f>
      </c>
      <c r="CP6" s="47"/>
      <c r="CQ6" s="47"/>
      <c r="CR6" s="47"/>
      <c r="CS6" s="93"/>
      <c r="CT6" s="47" t="str">
        <f>Dates!CT3</f>
      </c>
      <c r="CU6" s="47"/>
      <c r="CV6" s="47"/>
      <c r="CW6" s="47"/>
      <c r="CX6" s="93"/>
      <c r="CY6" s="47" t="str">
        <f>Dates!CY3</f>
      </c>
      <c r="CZ6" s="47"/>
      <c r="DA6" s="47"/>
      <c r="DB6" s="47"/>
      <c r="DC6" s="93"/>
      <c r="DD6" s="47" t="str">
        <f>Dates!DD3</f>
      </c>
      <c r="DE6" s="47"/>
      <c r="DF6" s="47"/>
      <c r="DG6" s="47"/>
      <c r="DH6" s="93"/>
      <c r="DI6" s="47" t="str">
        <f>Dates!DI3</f>
      </c>
      <c r="DJ6" s="47"/>
      <c r="DK6" s="47"/>
      <c r="DL6" s="47"/>
      <c r="DM6" s="93"/>
      <c r="DN6" s="47" t="str">
        <f>Dates!DN3</f>
      </c>
      <c r="DO6" s="47"/>
      <c r="DP6" s="47"/>
      <c r="DQ6" s="47"/>
      <c r="DR6" s="93"/>
      <c r="DS6" s="47" t="str">
        <f>Dates!DS3</f>
      </c>
      <c r="DT6" s="47"/>
      <c r="DU6" s="47"/>
      <c r="DV6" s="47"/>
      <c r="DW6" s="93"/>
      <c r="DX6" s="47" t="str">
        <f>Dates!DX3</f>
      </c>
      <c r="DY6" s="47"/>
      <c r="DZ6" s="47"/>
      <c r="EA6" s="47"/>
      <c r="EB6" s="93"/>
      <c r="EC6" s="47" t="str">
        <f>Dates!EC3</f>
      </c>
      <c r="ED6" s="47"/>
      <c r="EE6" s="47"/>
      <c r="EF6" s="47"/>
      <c r="EG6" s="93"/>
      <c r="EH6" s="47" t="str">
        <f>Dates!EH3</f>
      </c>
      <c r="EI6" s="47"/>
      <c r="EJ6" s="47"/>
      <c r="EK6" s="47"/>
      <c r="EL6" s="93"/>
      <c r="EM6" s="47" t="str">
        <f>Dates!EM3</f>
      </c>
      <c r="EN6" s="47"/>
      <c r="EO6" s="47"/>
      <c r="EP6" s="47"/>
      <c r="EQ6" s="93"/>
      <c r="ER6" s="47" t="str">
        <f>Dates!ER3</f>
      </c>
      <c r="ES6" s="47"/>
      <c r="ET6" s="47"/>
      <c r="EU6" s="47"/>
      <c r="EV6" s="93"/>
      <c r="EW6" s="47" t="str">
        <f>Dates!EW3</f>
      </c>
      <c r="EX6" s="47"/>
      <c r="EY6" s="47"/>
      <c r="EZ6" s="47"/>
      <c r="FA6" s="93"/>
      <c r="FB6" s="47" t="str">
        <f>Dates!FB3</f>
      </c>
      <c r="FC6" s="47"/>
      <c r="FD6" s="47"/>
      <c r="FE6" s="47"/>
      <c r="FF6" s="93"/>
      <c r="FG6" s="47" t="str">
        <f>Dates!FG3</f>
      </c>
      <c r="FH6" s="47"/>
      <c r="FI6" s="47"/>
      <c r="FJ6" s="47"/>
      <c r="FK6" s="93"/>
      <c r="FL6" s="47" t="str">
        <f>Dates!FL3</f>
      </c>
      <c r="FM6" s="47"/>
      <c r="FN6" s="47"/>
      <c r="FO6" s="47"/>
      <c r="FP6" s="93"/>
      <c r="FQ6" s="47" t="str">
        <f>Dates!FQ3</f>
      </c>
      <c r="FR6" s="47"/>
      <c r="FS6" s="47"/>
      <c r="FT6" s="47"/>
      <c r="FU6" s="93"/>
      <c r="FV6" s="47" t="str">
        <f>Dates!FV3</f>
      </c>
      <c r="FW6" s="47"/>
      <c r="FX6" s="47"/>
      <c r="FY6" s="47"/>
      <c r="FZ6" s="93"/>
      <c r="GA6" s="47" t="str">
        <f>Dates!GA3</f>
      </c>
      <c r="GB6" s="47"/>
      <c r="GC6" s="47"/>
      <c r="GD6" s="47"/>
      <c r="GE6" s="93"/>
      <c r="GF6" s="47" t="str">
        <f>Dates!GF3</f>
      </c>
      <c r="GG6" s="47"/>
      <c r="GH6" s="47"/>
      <c r="GI6" s="47"/>
      <c r="GJ6" s="93"/>
    </row>
    <row r="7" spans="1:192" s="283" customFormat="1" ht="12.75" customHeight="1">
      <c r="A7" s="68"/>
      <c r="C7" s="96" t="str">
        <f>Dates!C4</f>
      </c>
      <c r="D7" s="96" t="str">
        <f>Dates!D4</f>
      </c>
      <c r="E7" s="96" t="str">
        <f>Dates!E4</f>
      </c>
      <c r="F7" s="96" t="str">
        <f>Dates!F4</f>
      </c>
      <c r="G7" s="97" t="str">
        <f>Dates!G4</f>
      </c>
      <c r="H7" s="96" t="str">
        <f>Dates!H4</f>
      </c>
      <c r="I7" s="96" t="str">
        <f>Dates!I4</f>
      </c>
      <c r="J7" s="96" t="str">
        <f>Dates!J4</f>
      </c>
      <c r="K7" s="96" t="str">
        <f>Dates!K4</f>
      </c>
      <c r="L7" s="97" t="str">
        <f>Dates!L4</f>
      </c>
      <c r="M7" s="96" t="str">
        <f>Dates!M4</f>
      </c>
      <c r="N7" s="96" t="str">
        <f>Dates!N4</f>
      </c>
      <c r="O7" s="96" t="str">
        <f>Dates!O4</f>
      </c>
      <c r="P7" s="96" t="str">
        <f>Dates!P4</f>
      </c>
      <c r="Q7" s="97" t="str">
        <f>Dates!Q4</f>
      </c>
      <c r="R7" s="978" t="str">
        <f>Dates!R4</f>
      </c>
      <c r="S7" s="978" t="str">
        <f>Dates!S4</f>
      </c>
      <c r="T7" s="978" t="str">
        <f>Dates!T4</f>
      </c>
      <c r="U7" s="978" t="str">
        <f>Dates!U4</f>
      </c>
      <c r="V7" s="97" t="str">
        <f>Dates!V4</f>
      </c>
      <c r="W7" s="978" t="str">
        <f>Dates!W4</f>
      </c>
      <c r="X7" s="978" t="str">
        <f>Dates!X4</f>
      </c>
      <c r="Y7" s="978" t="str">
        <f>Dates!Y4</f>
      </c>
      <c r="Z7" s="978" t="str">
        <f>Dates!Z4</f>
      </c>
      <c r="AA7" s="97" t="str">
        <f>Dates!AA4</f>
      </c>
      <c r="AB7" s="978" t="str">
        <f>Dates!AB4</f>
      </c>
      <c r="AC7" s="978" t="str">
        <f>Dates!AC4</f>
      </c>
      <c r="AD7" s="978" t="str">
        <f>Dates!AD4</f>
      </c>
      <c r="AE7" s="978" t="str">
        <f>Dates!AE4</f>
      </c>
      <c r="AF7" s="97" t="str">
        <f>Dates!AF4</f>
      </c>
      <c r="AG7" s="978" t="str">
        <f>Dates!AG4</f>
      </c>
      <c r="AH7" s="978" t="str">
        <f>Dates!AH4</f>
      </c>
      <c r="AI7" s="978" t="str">
        <f>Dates!AI4</f>
      </c>
      <c r="AJ7" s="978" t="str">
        <f>Dates!AJ4</f>
      </c>
      <c r="AK7" s="97" t="str">
        <f>Dates!AK4</f>
      </c>
      <c r="AL7" s="96" t="str">
        <f>Dates!AL4</f>
      </c>
      <c r="AM7" s="96" t="str">
        <f>Dates!AM4</f>
      </c>
      <c r="AN7" s="96" t="str">
        <f>Dates!AN4</f>
      </c>
      <c r="AO7" s="96" t="str">
        <f>Dates!AO4</f>
      </c>
      <c r="AP7" s="97" t="str">
        <f>Dates!AP4</f>
      </c>
      <c r="AQ7" s="96" t="str">
        <f>Dates!AQ4</f>
      </c>
      <c r="AR7" s="96" t="str">
        <f>Dates!AR4</f>
      </c>
      <c r="AS7" s="96" t="str">
        <f>Dates!AS4</f>
      </c>
      <c r="AT7" s="96" t="str">
        <f>Dates!AT4</f>
      </c>
      <c r="AU7" s="97" t="str">
        <f>Dates!AU4</f>
      </c>
      <c r="AV7" s="96" t="str">
        <f>Dates!AV4</f>
      </c>
      <c r="AW7" s="96" t="str">
        <f>Dates!AW4</f>
      </c>
      <c r="AX7" s="96" t="str">
        <f>Dates!AX4</f>
      </c>
      <c r="AY7" s="96" t="str">
        <f>Dates!AY4</f>
      </c>
      <c r="AZ7" s="97" t="str">
        <f>Dates!AZ4</f>
      </c>
      <c r="BA7" s="96" t="str">
        <f>Dates!BA4</f>
      </c>
      <c r="BB7" s="96" t="str">
        <f>Dates!BB4</f>
      </c>
      <c r="BC7" s="96" t="str">
        <f>Dates!BC4</f>
      </c>
      <c r="BD7" s="96" t="str">
        <f>Dates!BD4</f>
      </c>
      <c r="BE7" s="97" t="str">
        <f>Dates!BE4</f>
      </c>
      <c r="BF7" s="96" t="str">
        <f>Dates!BF4</f>
      </c>
      <c r="BG7" s="96" t="str">
        <f>Dates!BG4</f>
      </c>
      <c r="BH7" s="96" t="str">
        <f>Dates!BH4</f>
      </c>
      <c r="BI7" s="96" t="str">
        <f>Dates!BI4</f>
      </c>
      <c r="BJ7" s="97" t="str">
        <f>Dates!BJ4</f>
      </c>
      <c r="BK7" s="96" t="str">
        <f>Dates!BK4</f>
      </c>
      <c r="BL7" s="96" t="str">
        <f>Dates!BL4</f>
      </c>
      <c r="BM7" s="96" t="str">
        <f>Dates!BM4</f>
      </c>
      <c r="BN7" s="96" t="str">
        <f>Dates!BN4</f>
      </c>
      <c r="BO7" s="97" t="str">
        <f>Dates!BO4</f>
      </c>
      <c r="BP7" s="96" t="str">
        <f>Dates!BP4</f>
      </c>
      <c r="BQ7" s="96" t="str">
        <f>Dates!BQ4</f>
      </c>
      <c r="BR7" s="96" t="str">
        <f>Dates!BR4</f>
      </c>
      <c r="BS7" s="96" t="str">
        <f>Dates!BS4</f>
      </c>
      <c r="BT7" s="97" t="str">
        <f>Dates!BT4</f>
      </c>
      <c r="BU7" s="96" t="str">
        <f>Dates!BU4</f>
      </c>
      <c r="BV7" s="96" t="str">
        <f>Dates!BV4</f>
      </c>
      <c r="BW7" s="96" t="str">
        <f>Dates!BW4</f>
      </c>
      <c r="BX7" s="96" t="str">
        <f>Dates!BX4</f>
      </c>
      <c r="BY7" s="97" t="str">
        <f>Dates!BY4</f>
      </c>
      <c r="BZ7" s="96" t="str">
        <f>Dates!BZ4</f>
      </c>
      <c r="CA7" s="96" t="str">
        <f>Dates!CA4</f>
      </c>
      <c r="CB7" s="96" t="str">
        <f>Dates!CB4</f>
      </c>
      <c r="CC7" s="96" t="str">
        <f>Dates!CC4</f>
      </c>
      <c r="CD7" s="97" t="str">
        <f>Dates!CD4</f>
      </c>
      <c r="CE7" s="96" t="str">
        <f>Dates!CE4</f>
      </c>
      <c r="CF7" s="96" t="str">
        <f>Dates!CF4</f>
      </c>
      <c r="CG7" s="96" t="str">
        <f>Dates!CG4</f>
      </c>
      <c r="CH7" s="96" t="str">
        <f>Dates!CH4</f>
      </c>
      <c r="CI7" s="97" t="str">
        <f>Dates!CI4</f>
      </c>
      <c r="CJ7" s="96" t="str">
        <f>Dates!CJ4</f>
      </c>
      <c r="CK7" s="96" t="str">
        <f>Dates!CK4</f>
      </c>
      <c r="CL7" s="96" t="str">
        <f>Dates!CL4</f>
      </c>
      <c r="CM7" s="96" t="str">
        <f>Dates!CM4</f>
      </c>
      <c r="CN7" s="97" t="str">
        <f>Dates!CN4</f>
      </c>
      <c r="CO7" s="96" t="str">
        <f>Dates!CO4</f>
      </c>
      <c r="CP7" s="96" t="str">
        <f>Dates!CP4</f>
      </c>
      <c r="CQ7" s="96" t="str">
        <f>Dates!CQ4</f>
      </c>
      <c r="CR7" s="96" t="str">
        <f>Dates!CR4</f>
      </c>
      <c r="CS7" s="97" t="str">
        <f>Dates!CS4</f>
      </c>
      <c r="CT7" s="96" t="str">
        <f>Dates!CT4</f>
      </c>
      <c r="CU7" s="96" t="str">
        <f>Dates!CU4</f>
      </c>
      <c r="CV7" s="96" t="str">
        <f>Dates!CV4</f>
      </c>
      <c r="CW7" s="96" t="str">
        <f>Dates!CW4</f>
      </c>
      <c r="CX7" s="97" t="str">
        <f>Dates!CX4</f>
      </c>
      <c r="CY7" s="96" t="str">
        <f>Dates!CY4</f>
      </c>
      <c r="CZ7" s="96" t="str">
        <f>Dates!CZ4</f>
      </c>
      <c r="DA7" s="96" t="str">
        <f>Dates!DA4</f>
      </c>
      <c r="DB7" s="96" t="str">
        <f>Dates!DB4</f>
      </c>
      <c r="DC7" s="97" t="str">
        <f>Dates!DC4</f>
      </c>
      <c r="DD7" s="96" t="str">
        <f>Dates!DD4</f>
      </c>
      <c r="DE7" s="96" t="str">
        <f>Dates!DE4</f>
      </c>
      <c r="DF7" s="96" t="str">
        <f>Dates!DF4</f>
      </c>
      <c r="DG7" s="96" t="str">
        <f>Dates!DG4</f>
      </c>
      <c r="DH7" s="97" t="str">
        <f>Dates!DH4</f>
      </c>
      <c r="DI7" s="96" t="str">
        <f>Dates!DI4</f>
      </c>
      <c r="DJ7" s="96" t="str">
        <f>Dates!DJ4</f>
      </c>
      <c r="DK7" s="96" t="str">
        <f>Dates!DK4</f>
      </c>
      <c r="DL7" s="96" t="str">
        <f>Dates!DL4</f>
      </c>
      <c r="DM7" s="97" t="str">
        <f>Dates!DM4</f>
      </c>
      <c r="DN7" s="96" t="str">
        <f>Dates!DN4</f>
      </c>
      <c r="DO7" s="96" t="str">
        <f>Dates!DO4</f>
      </c>
      <c r="DP7" s="96" t="str">
        <f>Dates!DP4</f>
      </c>
      <c r="DQ7" s="96" t="str">
        <f>Dates!DQ4</f>
      </c>
      <c r="DR7" s="97" t="str">
        <f>Dates!DR4</f>
      </c>
      <c r="DS7" s="96" t="str">
        <f>Dates!DS4</f>
      </c>
      <c r="DT7" s="96" t="str">
        <f>Dates!DT4</f>
      </c>
      <c r="DU7" s="96" t="str">
        <f>Dates!DU4</f>
      </c>
      <c r="DV7" s="96" t="str">
        <f>Dates!DV4</f>
      </c>
      <c r="DW7" s="97" t="str">
        <f>Dates!DW4</f>
      </c>
      <c r="DX7" s="96" t="str">
        <f>Dates!DX4</f>
      </c>
      <c r="DY7" s="96" t="str">
        <f>Dates!DY4</f>
      </c>
      <c r="DZ7" s="96" t="str">
        <f>Dates!DZ4</f>
      </c>
      <c r="EA7" s="96" t="str">
        <f>Dates!EA4</f>
      </c>
      <c r="EB7" s="97" t="str">
        <f>Dates!EB4</f>
      </c>
      <c r="EC7" s="96" t="str">
        <f>Dates!EC4</f>
      </c>
      <c r="ED7" s="96" t="str">
        <f>Dates!ED4</f>
      </c>
      <c r="EE7" s="96" t="str">
        <f>Dates!EE4</f>
      </c>
      <c r="EF7" s="96" t="str">
        <f>Dates!EF4</f>
      </c>
      <c r="EG7" s="97" t="str">
        <f>Dates!EG4</f>
      </c>
      <c r="EH7" s="96" t="str">
        <f>Dates!EH4</f>
      </c>
      <c r="EI7" s="96" t="str">
        <f>Dates!EI4</f>
      </c>
      <c r="EJ7" s="96" t="str">
        <f>Dates!EJ4</f>
      </c>
      <c r="EK7" s="96" t="str">
        <f>Dates!EK4</f>
      </c>
      <c r="EL7" s="97" t="str">
        <f>Dates!EL4</f>
      </c>
      <c r="EM7" s="96" t="str">
        <f>Dates!EM4</f>
      </c>
      <c r="EN7" s="96" t="str">
        <f>Dates!EN4</f>
      </c>
      <c r="EO7" s="96" t="str">
        <f>Dates!EO4</f>
      </c>
      <c r="EP7" s="96" t="str">
        <f>Dates!EP4</f>
      </c>
      <c r="EQ7" s="97" t="str">
        <f>Dates!EQ4</f>
      </c>
      <c r="ER7" s="96" t="str">
        <f>Dates!ER4</f>
      </c>
      <c r="ES7" s="96" t="str">
        <f>Dates!ES4</f>
      </c>
      <c r="ET7" s="96" t="str">
        <f>Dates!ET4</f>
      </c>
      <c r="EU7" s="96" t="str">
        <f>Dates!EU4</f>
      </c>
      <c r="EV7" s="97" t="str">
        <f>Dates!EV4</f>
      </c>
      <c r="EW7" s="96" t="str">
        <f>Dates!EW4</f>
      </c>
      <c r="EX7" s="96" t="str">
        <f>Dates!EX4</f>
      </c>
      <c r="EY7" s="96" t="str">
        <f>Dates!EY4</f>
      </c>
      <c r="EZ7" s="96" t="str">
        <f>Dates!EZ4</f>
      </c>
      <c r="FA7" s="97" t="str">
        <f>Dates!FA4</f>
      </c>
      <c r="FB7" s="96" t="str">
        <f>Dates!FB4</f>
      </c>
      <c r="FC7" s="96" t="str">
        <f>Dates!FC4</f>
      </c>
      <c r="FD7" s="96" t="str">
        <f>Dates!FD4</f>
      </c>
      <c r="FE7" s="96" t="str">
        <f>Dates!FE4</f>
      </c>
      <c r="FF7" s="97" t="str">
        <f>Dates!FF4</f>
      </c>
      <c r="FG7" s="96" t="str">
        <f>Dates!FG4</f>
      </c>
      <c r="FH7" s="96" t="str">
        <f>Dates!FH4</f>
      </c>
      <c r="FI7" s="96" t="str">
        <f>Dates!FI4</f>
      </c>
      <c r="FJ7" s="96" t="str">
        <f>Dates!FJ4</f>
      </c>
      <c r="FK7" s="97" t="str">
        <f>Dates!FK4</f>
      </c>
      <c r="FL7" s="96" t="str">
        <f>Dates!FL4</f>
      </c>
      <c r="FM7" s="96" t="str">
        <f>Dates!FM4</f>
      </c>
      <c r="FN7" s="96" t="str">
        <f>Dates!FN4</f>
      </c>
      <c r="FO7" s="96" t="str">
        <f>Dates!FO4</f>
      </c>
      <c r="FP7" s="97" t="str">
        <f>Dates!FP4</f>
      </c>
      <c r="FQ7" s="96" t="str">
        <f>Dates!FQ4</f>
      </c>
      <c r="FR7" s="96" t="str">
        <f>Dates!FR4</f>
      </c>
      <c r="FS7" s="96" t="str">
        <f>Dates!FS4</f>
      </c>
      <c r="FT7" s="96" t="str">
        <f>Dates!FT4</f>
      </c>
      <c r="FU7" s="97" t="str">
        <f>Dates!FU4</f>
      </c>
      <c r="FV7" s="96" t="str">
        <f>Dates!FV4</f>
      </c>
      <c r="FW7" s="96" t="str">
        <f>Dates!FW4</f>
      </c>
      <c r="FX7" s="96" t="str">
        <f>Dates!FX4</f>
      </c>
      <c r="FY7" s="96" t="str">
        <f>Dates!FY4</f>
      </c>
      <c r="FZ7" s="97" t="str">
        <f>Dates!FZ4</f>
      </c>
      <c r="GA7" s="96" t="str">
        <f>Dates!GA4</f>
      </c>
      <c r="GB7" s="96" t="str">
        <f>Dates!GB4</f>
      </c>
      <c r="GC7" s="96" t="str">
        <f>Dates!GC4</f>
      </c>
      <c r="GD7" s="96" t="str">
        <f>Dates!GD4</f>
      </c>
      <c r="GE7" s="97" t="str">
        <f>Dates!GE4</f>
      </c>
      <c r="GF7" s="96" t="str">
        <f>Dates!GF4</f>
      </c>
      <c r="GG7" s="96" t="str">
        <f>Dates!GG4</f>
      </c>
      <c r="GH7" s="96" t="str">
        <f>Dates!GH4</f>
      </c>
      <c r="GI7" s="96" t="str">
        <f>Dates!GI4</f>
      </c>
      <c r="GJ7" s="97" t="str">
        <f>Dates!GJ4</f>
      </c>
    </row>
    <row r="8" spans="1:192" s="283" customFormat="1" ht="12.75" customHeight="1">
      <c r="A8" s="68"/>
      <c r="C8" s="98">
        <f>Dates!C5</f>
      </c>
      <c r="D8" s="98">
        <f>Dates!D5</f>
      </c>
      <c r="E8" s="98">
        <f>Dates!E5</f>
      </c>
      <c r="F8" s="98">
        <f>Dates!F5</f>
      </c>
      <c r="G8" s="99">
        <f>Dates!G5</f>
      </c>
      <c r="H8" s="98">
        <f>Dates!H5</f>
      </c>
      <c r="I8" s="98">
        <f>Dates!I5</f>
      </c>
      <c r="J8" s="98">
        <f>Dates!J5</f>
      </c>
      <c r="K8" s="98">
        <f>Dates!K5</f>
      </c>
      <c r="L8" s="99">
        <f>Dates!L5</f>
      </c>
      <c r="M8" s="98">
        <f>Dates!M5</f>
      </c>
      <c r="N8" s="98">
        <f>Dates!N5</f>
      </c>
      <c r="O8" s="98">
        <f>Dates!O5</f>
      </c>
      <c r="P8" s="98">
        <f>Dates!P5</f>
      </c>
      <c r="Q8" s="99">
        <f>Dates!Q5</f>
      </c>
      <c r="R8" s="960">
        <f>Dates!R5</f>
      </c>
      <c r="S8" s="960">
        <f>Dates!S5</f>
      </c>
      <c r="T8" s="960">
        <f>Dates!T5</f>
      </c>
      <c r="U8" s="960">
        <f>Dates!U5</f>
      </c>
      <c r="V8" s="99">
        <f>Dates!V5</f>
      </c>
      <c r="W8" s="960">
        <f>Dates!W5</f>
      </c>
      <c r="X8" s="960">
        <f>Dates!X5</f>
      </c>
      <c r="Y8" s="960">
        <f>Dates!Y5</f>
      </c>
      <c r="Z8" s="960">
        <f>Dates!Z5</f>
      </c>
      <c r="AA8" s="99">
        <f>Dates!AA5</f>
      </c>
      <c r="AB8" s="960">
        <f>Dates!AB5</f>
      </c>
      <c r="AC8" s="960">
        <f>Dates!AC5</f>
      </c>
      <c r="AD8" s="960">
        <f>Dates!AD5</f>
      </c>
      <c r="AE8" s="960">
        <f>Dates!AE5</f>
      </c>
      <c r="AF8" s="99">
        <f>Dates!AF5</f>
      </c>
      <c r="AG8" s="960">
        <f>Dates!AG5</f>
      </c>
      <c r="AH8" s="960">
        <f>Dates!AH5</f>
      </c>
      <c r="AI8" s="960">
        <f>Dates!AI5</f>
      </c>
      <c r="AJ8" s="960">
        <f>Dates!AJ5</f>
      </c>
      <c r="AK8" s="99">
        <f>Dates!AK5</f>
      </c>
      <c r="AL8" s="98">
        <f>Dates!AL5</f>
      </c>
      <c r="AM8" s="98">
        <f>Dates!AM5</f>
      </c>
      <c r="AN8" s="98">
        <f>Dates!AN5</f>
      </c>
      <c r="AO8" s="98">
        <f>Dates!AO5</f>
      </c>
      <c r="AP8" s="99">
        <f>Dates!AP5</f>
      </c>
      <c r="AQ8" s="98">
        <f>Dates!AQ5</f>
      </c>
      <c r="AR8" s="98">
        <f>Dates!AR5</f>
      </c>
      <c r="AS8" s="98">
        <f>Dates!AS5</f>
      </c>
      <c r="AT8" s="98">
        <f>Dates!AT5</f>
      </c>
      <c r="AU8" s="99">
        <f>Dates!AU5</f>
      </c>
      <c r="AV8" s="98">
        <f>Dates!AV5</f>
      </c>
      <c r="AW8" s="98">
        <f>Dates!AW5</f>
      </c>
      <c r="AX8" s="98">
        <f>Dates!AX5</f>
      </c>
      <c r="AY8" s="98">
        <f>Dates!AY5</f>
      </c>
      <c r="AZ8" s="99">
        <f>Dates!AZ5</f>
      </c>
      <c r="BA8" s="98">
        <f>Dates!BA5</f>
      </c>
      <c r="BB8" s="98">
        <f>Dates!BB5</f>
      </c>
      <c r="BC8" s="98">
        <f>Dates!BC5</f>
      </c>
      <c r="BD8" s="98">
        <f>Dates!BD5</f>
      </c>
      <c r="BE8" s="99">
        <f>Dates!BE5</f>
      </c>
      <c r="BF8" s="98">
        <f>Dates!BF5</f>
      </c>
      <c r="BG8" s="98">
        <f>Dates!BG5</f>
      </c>
      <c r="BH8" s="98">
        <f>Dates!BH5</f>
      </c>
      <c r="BI8" s="98">
        <f>Dates!BI5</f>
      </c>
      <c r="BJ8" s="99">
        <f>Dates!BJ5</f>
      </c>
      <c r="BK8" s="98">
        <f>Dates!BK5</f>
      </c>
      <c r="BL8" s="98">
        <f>Dates!BL5</f>
      </c>
      <c r="BM8" s="98">
        <f>Dates!BM5</f>
      </c>
      <c r="BN8" s="98">
        <f>Dates!BN5</f>
      </c>
      <c r="BO8" s="99">
        <f>Dates!BO5</f>
      </c>
      <c r="BP8" s="98">
        <f>Dates!BP5</f>
      </c>
      <c r="BQ8" s="98">
        <f>Dates!BQ5</f>
      </c>
      <c r="BR8" s="98">
        <f>Dates!BR5</f>
      </c>
      <c r="BS8" s="98">
        <f>Dates!BS5</f>
      </c>
      <c r="BT8" s="99">
        <f>Dates!BT5</f>
      </c>
      <c r="BU8" s="98">
        <f>Dates!BU5</f>
      </c>
      <c r="BV8" s="98">
        <f>Dates!BV5</f>
      </c>
      <c r="BW8" s="98">
        <f>Dates!BW5</f>
      </c>
      <c r="BX8" s="98">
        <f>Dates!BX5</f>
      </c>
      <c r="BY8" s="99">
        <f>Dates!BY5</f>
      </c>
      <c r="BZ8" s="98">
        <f>Dates!BZ5</f>
      </c>
      <c r="CA8" s="98">
        <f>Dates!CA5</f>
      </c>
      <c r="CB8" s="98">
        <f>Dates!CB5</f>
      </c>
      <c r="CC8" s="98">
        <f>Dates!CC5</f>
      </c>
      <c r="CD8" s="99">
        <f>Dates!CD5</f>
      </c>
      <c r="CE8" s="98">
        <f>Dates!CE5</f>
      </c>
      <c r="CF8" s="98">
        <f>Dates!CF5</f>
      </c>
      <c r="CG8" s="98">
        <f>Dates!CG5</f>
      </c>
      <c r="CH8" s="98">
        <f>Dates!CH5</f>
      </c>
      <c r="CI8" s="99">
        <f>Dates!CI5</f>
      </c>
      <c r="CJ8" s="98">
        <f>Dates!CJ5</f>
      </c>
      <c r="CK8" s="98">
        <f>Dates!CK5</f>
      </c>
      <c r="CL8" s="98">
        <f>Dates!CL5</f>
      </c>
      <c r="CM8" s="98">
        <f>Dates!CM5</f>
      </c>
      <c r="CN8" s="99">
        <f>Dates!CN5</f>
      </c>
      <c r="CO8" s="98">
        <f>Dates!CO5</f>
      </c>
      <c r="CP8" s="98">
        <f>Dates!CP5</f>
      </c>
      <c r="CQ8" s="98">
        <f>Dates!CQ5</f>
      </c>
      <c r="CR8" s="98">
        <f>Dates!CR5</f>
      </c>
      <c r="CS8" s="99">
        <f>Dates!CS5</f>
      </c>
      <c r="CT8" s="98">
        <f>Dates!CT5</f>
      </c>
      <c r="CU8" s="98">
        <f>Dates!CU5</f>
      </c>
      <c r="CV8" s="98">
        <f>Dates!CV5</f>
      </c>
      <c r="CW8" s="98">
        <f>Dates!CW5</f>
      </c>
      <c r="CX8" s="99">
        <f>Dates!CX5</f>
      </c>
      <c r="CY8" s="98">
        <f>Dates!CY5</f>
      </c>
      <c r="CZ8" s="98">
        <f>Dates!CZ5</f>
      </c>
      <c r="DA8" s="98">
        <f>Dates!DA5</f>
      </c>
      <c r="DB8" s="98">
        <f>Dates!DB5</f>
      </c>
      <c r="DC8" s="99">
        <f>Dates!DC5</f>
      </c>
      <c r="DD8" s="98">
        <f>Dates!DD5</f>
      </c>
      <c r="DE8" s="98">
        <f>Dates!DE5</f>
      </c>
      <c r="DF8" s="98">
        <f>Dates!DF5</f>
      </c>
      <c r="DG8" s="98">
        <f>Dates!DG5</f>
      </c>
      <c r="DH8" s="99">
        <f>Dates!DH5</f>
      </c>
      <c r="DI8" s="98">
        <f>Dates!DI5</f>
      </c>
      <c r="DJ8" s="98">
        <f>Dates!DJ5</f>
      </c>
      <c r="DK8" s="98">
        <f>Dates!DK5</f>
      </c>
      <c r="DL8" s="98">
        <f>Dates!DL5</f>
      </c>
      <c r="DM8" s="99">
        <f>Dates!DM5</f>
      </c>
      <c r="DN8" s="98">
        <f>Dates!DN5</f>
      </c>
      <c r="DO8" s="98">
        <f>Dates!DO5</f>
      </c>
      <c r="DP8" s="98">
        <f>Dates!DP5</f>
      </c>
      <c r="DQ8" s="98">
        <f>Dates!DQ5</f>
      </c>
      <c r="DR8" s="99">
        <f>Dates!DR5</f>
      </c>
      <c r="DS8" s="98">
        <f>Dates!DS5</f>
      </c>
      <c r="DT8" s="98">
        <f>Dates!DT5</f>
      </c>
      <c r="DU8" s="98">
        <f>Dates!DU5</f>
      </c>
      <c r="DV8" s="98">
        <f>Dates!DV5</f>
      </c>
      <c r="DW8" s="99">
        <f>Dates!DW5</f>
      </c>
      <c r="DX8" s="98">
        <f>Dates!DX5</f>
      </c>
      <c r="DY8" s="98">
        <f>Dates!DY5</f>
      </c>
      <c r="DZ8" s="98">
        <f>Dates!DZ5</f>
      </c>
      <c r="EA8" s="98">
        <f>Dates!EA5</f>
      </c>
      <c r="EB8" s="99">
        <f>Dates!EB5</f>
      </c>
      <c r="EC8" s="98">
        <f>Dates!EC5</f>
      </c>
      <c r="ED8" s="98">
        <f>Dates!ED5</f>
      </c>
      <c r="EE8" s="98">
        <f>Dates!EE5</f>
      </c>
      <c r="EF8" s="98">
        <f>Dates!EF5</f>
      </c>
      <c r="EG8" s="99">
        <f>Dates!EG5</f>
      </c>
      <c r="EH8" s="98">
        <f>Dates!EH5</f>
      </c>
      <c r="EI8" s="98">
        <f>Dates!EI5</f>
      </c>
      <c r="EJ8" s="98">
        <f>Dates!EJ5</f>
      </c>
      <c r="EK8" s="98">
        <f>Dates!EK5</f>
      </c>
      <c r="EL8" s="99">
        <f>Dates!EL5</f>
      </c>
      <c r="EM8" s="98">
        <f>Dates!EM5</f>
      </c>
      <c r="EN8" s="98">
        <f>Dates!EN5</f>
      </c>
      <c r="EO8" s="98">
        <f>Dates!EO5</f>
      </c>
      <c r="EP8" s="98">
        <f>Dates!EP5</f>
      </c>
      <c r="EQ8" s="99">
        <f>Dates!EQ5</f>
      </c>
      <c r="ER8" s="98">
        <f>Dates!ER5</f>
      </c>
      <c r="ES8" s="98">
        <f>Dates!ES5</f>
      </c>
      <c r="ET8" s="98">
        <f>Dates!ET5</f>
      </c>
      <c r="EU8" s="98">
        <f>Dates!EU5</f>
      </c>
      <c r="EV8" s="99">
        <f>Dates!EV5</f>
      </c>
      <c r="EW8" s="98">
        <f>Dates!EW5</f>
      </c>
      <c r="EX8" s="98">
        <f>Dates!EX5</f>
      </c>
      <c r="EY8" s="98">
        <f>Dates!EY5</f>
      </c>
      <c r="EZ8" s="98">
        <f>Dates!EZ5</f>
      </c>
      <c r="FA8" s="99">
        <f>Dates!FA5</f>
      </c>
      <c r="FB8" s="98">
        <f>Dates!FB5</f>
      </c>
      <c r="FC8" s="98">
        <f>Dates!FC5</f>
      </c>
      <c r="FD8" s="98">
        <f>Dates!FD5</f>
      </c>
      <c r="FE8" s="98">
        <f>Dates!FE5</f>
      </c>
      <c r="FF8" s="99">
        <f>Dates!FF5</f>
      </c>
      <c r="FG8" s="98">
        <f>Dates!FG5</f>
      </c>
      <c r="FH8" s="98">
        <f>Dates!FH5</f>
      </c>
      <c r="FI8" s="98">
        <f>Dates!FI5</f>
      </c>
      <c r="FJ8" s="98">
        <f>Dates!FJ5</f>
      </c>
      <c r="FK8" s="99">
        <f>Dates!FK5</f>
      </c>
      <c r="FL8" s="98">
        <f>Dates!FL5</f>
      </c>
      <c r="FM8" s="98">
        <f>Dates!FM5</f>
      </c>
      <c r="FN8" s="98">
        <f>Dates!FN5</f>
      </c>
      <c r="FO8" s="98">
        <f>Dates!FO5</f>
      </c>
      <c r="FP8" s="99">
        <f>Dates!FP5</f>
      </c>
      <c r="FQ8" s="98">
        <f>Dates!FQ5</f>
      </c>
      <c r="FR8" s="98">
        <f>Dates!FR5</f>
      </c>
      <c r="FS8" s="98">
        <f>Dates!FS5</f>
      </c>
      <c r="FT8" s="98">
        <f>Dates!FT5</f>
      </c>
      <c r="FU8" s="99">
        <f>Dates!FU5</f>
      </c>
      <c r="FV8" s="98">
        <f>Dates!FV5</f>
      </c>
      <c r="FW8" s="98">
        <f>Dates!FW5</f>
      </c>
      <c r="FX8" s="98">
        <f>Dates!FX5</f>
      </c>
      <c r="FY8" s="98">
        <f>Dates!FY5</f>
      </c>
      <c r="FZ8" s="99">
        <f>Dates!FZ5</f>
      </c>
      <c r="GA8" s="98">
        <f>Dates!GA5</f>
      </c>
      <c r="GB8" s="98">
        <f>Dates!GB5</f>
      </c>
      <c r="GC8" s="98">
        <f>Dates!GC5</f>
      </c>
      <c r="GD8" s="98">
        <f>Dates!GD5</f>
      </c>
      <c r="GE8" s="99">
        <f>Dates!GE5</f>
      </c>
      <c r="GF8" s="98">
        <f>Dates!GF5</f>
      </c>
      <c r="GG8" s="98">
        <f>Dates!GG5</f>
      </c>
      <c r="GH8" s="98">
        <f>Dates!GH5</f>
      </c>
      <c r="GI8" s="98">
        <f>Dates!GI5</f>
      </c>
      <c r="GJ8" s="99">
        <f>Dates!GJ5</f>
      </c>
    </row>
    <row r="9" spans="1:192" s="283" customFormat="1" ht="12.75" customHeight="1">
      <c r="A9" s="68"/>
      <c r="C9" s="289"/>
      <c r="D9" s="289"/>
      <c r="E9" s="289"/>
      <c r="F9" s="289"/>
      <c r="G9" s="290"/>
      <c r="H9" s="289"/>
      <c r="I9" s="289"/>
      <c r="J9" s="289"/>
      <c r="K9" s="289"/>
      <c r="L9" s="290"/>
      <c r="M9" s="289"/>
      <c r="N9" s="289"/>
      <c r="O9" s="289"/>
      <c r="P9" s="289"/>
      <c r="Q9" s="290"/>
      <c r="R9" s="979"/>
      <c r="S9" s="979"/>
      <c r="T9" s="979"/>
      <c r="U9" s="979"/>
      <c r="V9" s="290"/>
      <c r="W9" s="979"/>
      <c r="X9" s="979"/>
      <c r="Y9" s="979"/>
      <c r="Z9" s="979"/>
      <c r="AA9" s="290"/>
      <c r="AB9" s="979"/>
      <c r="AC9" s="979"/>
      <c r="AD9" s="979"/>
      <c r="AE9" s="979"/>
      <c r="AF9" s="290"/>
      <c r="AG9" s="979"/>
      <c r="AH9" s="979"/>
      <c r="AI9" s="979"/>
      <c r="AJ9" s="979"/>
      <c r="AK9" s="290"/>
      <c r="AL9" s="289"/>
      <c r="AM9" s="289"/>
      <c r="AN9" s="289"/>
      <c r="AO9" s="289"/>
      <c r="AP9" s="290"/>
      <c r="AQ9" s="289"/>
      <c r="AR9" s="289"/>
      <c r="AS9" s="289"/>
      <c r="AT9" s="289"/>
      <c r="AU9" s="290"/>
      <c r="AV9" s="289"/>
      <c r="AW9" s="289"/>
      <c r="AX9" s="289"/>
      <c r="AY9" s="289"/>
      <c r="AZ9" s="290"/>
      <c r="BA9" s="289"/>
      <c r="BB9" s="289"/>
      <c r="BC9" s="289"/>
      <c r="BD9" s="289"/>
      <c r="BE9" s="290"/>
      <c r="BF9" s="289"/>
      <c r="BG9" s="289"/>
      <c r="BH9" s="289"/>
      <c r="BI9" s="289"/>
      <c r="BJ9" s="290"/>
      <c r="BK9" s="289"/>
      <c r="BL9" s="289"/>
      <c r="BM9" s="289"/>
      <c r="BN9" s="289"/>
      <c r="BO9" s="290"/>
      <c r="BP9" s="289"/>
      <c r="BQ9" s="289"/>
      <c r="BR9" s="289"/>
      <c r="BS9" s="289"/>
      <c r="BT9" s="290"/>
      <c r="BU9" s="289"/>
      <c r="BV9" s="289"/>
      <c r="BW9" s="289"/>
      <c r="BX9" s="289"/>
      <c r="BY9" s="290"/>
      <c r="BZ9" s="289"/>
      <c r="CA9" s="289"/>
      <c r="CB9" s="289"/>
      <c r="CC9" s="289"/>
      <c r="CD9" s="290"/>
      <c r="CE9" s="289"/>
      <c r="CF9" s="289"/>
      <c r="CG9" s="289"/>
      <c r="CH9" s="289"/>
      <c r="CI9" s="290"/>
      <c r="CJ9" s="289"/>
      <c r="CK9" s="289"/>
      <c r="CL9" s="289"/>
      <c r="CM9" s="289"/>
      <c r="CN9" s="290"/>
      <c r="CO9" s="289"/>
      <c r="CP9" s="289"/>
      <c r="CQ9" s="289"/>
      <c r="CR9" s="289"/>
      <c r="CS9" s="290"/>
      <c r="CT9" s="289"/>
      <c r="CU9" s="289"/>
      <c r="CV9" s="289"/>
      <c r="CW9" s="289"/>
      <c r="CX9" s="290"/>
      <c r="CY9" s="289"/>
      <c r="CZ9" s="289"/>
      <c r="DA9" s="289"/>
      <c r="DB9" s="289"/>
      <c r="DC9" s="290"/>
      <c r="DD9" s="289"/>
      <c r="DE9" s="289"/>
      <c r="DF9" s="289"/>
      <c r="DG9" s="289"/>
      <c r="DH9" s="290"/>
      <c r="DI9" s="289"/>
      <c r="DJ9" s="289"/>
      <c r="DK9" s="289"/>
      <c r="DL9" s="289"/>
      <c r="DM9" s="290"/>
      <c r="DN9" s="289"/>
      <c r="DO9" s="289"/>
      <c r="DP9" s="289"/>
      <c r="DQ9" s="289"/>
      <c r="DR9" s="290"/>
      <c r="DS9" s="289"/>
      <c r="DT9" s="289"/>
      <c r="DU9" s="289"/>
      <c r="DV9" s="289"/>
      <c r="DW9" s="290"/>
      <c r="DX9" s="289"/>
      <c r="DY9" s="289"/>
      <c r="DZ9" s="289"/>
      <c r="EA9" s="289"/>
      <c r="EB9" s="290"/>
      <c r="EC9" s="289"/>
      <c r="ED9" s="289"/>
      <c r="EE9" s="289"/>
      <c r="EF9" s="289"/>
      <c r="EG9" s="290"/>
      <c r="EH9" s="289"/>
      <c r="EI9" s="289"/>
      <c r="EJ9" s="289"/>
      <c r="EK9" s="289"/>
      <c r="EL9" s="290"/>
      <c r="EM9" s="289"/>
      <c r="EN9" s="289"/>
      <c r="EO9" s="289"/>
      <c r="EP9" s="289"/>
      <c r="EQ9" s="290"/>
      <c r="ER9" s="289"/>
      <c r="ES9" s="289"/>
      <c r="ET9" s="289"/>
      <c r="EU9" s="289"/>
      <c r="EV9" s="290"/>
      <c r="EW9" s="289"/>
      <c r="EX9" s="289"/>
      <c r="EY9" s="289"/>
      <c r="EZ9" s="289"/>
      <c r="FA9" s="290"/>
      <c r="FB9" s="289"/>
      <c r="FC9" s="289"/>
      <c r="FD9" s="289"/>
      <c r="FE9" s="289"/>
      <c r="FF9" s="290"/>
      <c r="FG9" s="289"/>
      <c r="FH9" s="289"/>
      <c r="FI9" s="289"/>
      <c r="FJ9" s="289"/>
      <c r="FK9" s="290"/>
      <c r="FL9" s="289"/>
      <c r="FM9" s="289"/>
      <c r="FN9" s="289"/>
      <c r="FO9" s="289"/>
      <c r="FP9" s="290"/>
      <c r="FQ9" s="289"/>
      <c r="FR9" s="289"/>
      <c r="FS9" s="289"/>
      <c r="FT9" s="289"/>
      <c r="FU9" s="290"/>
      <c r="FV9" s="289"/>
      <c r="FW9" s="289"/>
      <c r="FX9" s="289"/>
      <c r="FY9" s="289"/>
      <c r="FZ9" s="290"/>
      <c r="GA9" s="289"/>
      <c r="GB9" s="289"/>
      <c r="GC9" s="289"/>
      <c r="GD9" s="289"/>
      <c r="GE9" s="290"/>
      <c r="GF9" s="289"/>
      <c r="GG9" s="289"/>
      <c r="GH9" s="289"/>
      <c r="GI9" s="289"/>
      <c r="GJ9" s="290"/>
    </row>
    <row r="10" spans="1:192" ht="12.75" customHeight="1">
      <c r="A10" s="370" t="s">
        <v>31</v>
      </c>
      <c r="B10" s="621" t="s">
        <v>458</v>
      </c>
      <c r="C10" s="820">
        <f>-BS!C108</f>
      </c>
      <c r="D10" s="820">
        <f>-BS!D108</f>
      </c>
      <c r="E10" s="820">
        <f>-BS!E108</f>
      </c>
      <c r="F10" s="820">
        <f>-BS!F108</f>
      </c>
      <c r="G10" s="830">
        <f>-BS!G108</f>
      </c>
      <c r="H10" s="820">
        <f>-BS!H108</f>
      </c>
      <c r="I10" s="820">
        <f>-BS!I108</f>
      </c>
      <c r="J10" s="820">
        <f>-BS!J108</f>
      </c>
      <c r="K10" s="820">
        <f>-BS!K108</f>
      </c>
      <c r="L10" s="830">
        <f>-BS!L108</f>
      </c>
      <c r="M10" s="820">
        <f>-BS!M108</f>
      </c>
      <c r="N10" s="820">
        <f>-BS!N108</f>
      </c>
      <c r="O10" s="820">
        <f>-BS!O108</f>
      </c>
      <c r="P10" s="820">
        <f>-BS!P108</f>
      </c>
      <c r="Q10" s="830">
        <f>-BS!Q108</f>
      </c>
      <c r="R10" s="1061">
        <f>-BS!R108</f>
      </c>
      <c r="S10" s="1061">
        <f>-BS!S108</f>
      </c>
      <c r="T10" s="1061">
        <f>-BS!T108</f>
      </c>
      <c r="U10" s="1061">
        <f>-BS!U108</f>
      </c>
      <c r="V10" s="830">
        <f>-BS!V108</f>
      </c>
      <c r="W10" s="1061">
        <f>-BS!W108</f>
      </c>
      <c r="X10" s="1061">
        <f>-BS!X108</f>
      </c>
      <c r="Y10" s="1061">
        <f>-BS!Y108</f>
      </c>
      <c r="Z10" s="1061">
        <f>-BS!Z108</f>
      </c>
      <c r="AA10" s="830">
        <f>-BS!AA108</f>
      </c>
      <c r="AB10" s="1061">
        <f>-BS!AB108</f>
      </c>
      <c r="AC10" s="1061">
        <f>-BS!AC108</f>
      </c>
      <c r="AD10" s="1061">
        <f>-BS!AD108</f>
      </c>
      <c r="AE10" s="1061">
        <f>-BS!AE108</f>
      </c>
      <c r="AF10" s="830">
        <f>-BS!AF108</f>
      </c>
      <c r="AG10" s="1061">
        <f>-BS!AG108</f>
      </c>
      <c r="AH10" s="1061">
        <f>-BS!AH108</f>
      </c>
      <c r="AI10" s="1061">
        <f>-BS!AI108</f>
      </c>
      <c r="AJ10" s="1061">
        <f>-BS!AJ108</f>
      </c>
      <c r="AK10" s="830">
        <f>-BS!AK108</f>
      </c>
      <c r="AL10" s="820">
        <f>-BS!AL108</f>
      </c>
      <c r="AM10" s="820">
        <f>-BS!AM108</f>
      </c>
      <c r="AN10" s="820">
        <f>-BS!AN108</f>
      </c>
      <c r="AO10" s="820">
        <f>-BS!AO108</f>
      </c>
      <c r="AP10" s="830">
        <f>-BS!AP108</f>
      </c>
      <c r="AQ10" s="820">
        <f>-BS!AQ108</f>
      </c>
      <c r="AR10" s="820">
        <f>-BS!AR108</f>
      </c>
      <c r="AS10" s="820">
        <f>-BS!AS108</f>
      </c>
      <c r="AT10" s="820">
        <f>-BS!AT108</f>
      </c>
      <c r="AU10" s="830">
        <f>-BS!AU108</f>
      </c>
      <c r="AV10" s="820">
        <f>-BS!AV108</f>
      </c>
      <c r="AW10" s="820">
        <f>-BS!AW108</f>
      </c>
      <c r="AX10" s="820">
        <f>-BS!AX108</f>
      </c>
      <c r="AY10" s="820">
        <f>-BS!AY108</f>
      </c>
      <c r="AZ10" s="830">
        <f>-BS!AZ108</f>
      </c>
      <c r="BA10" s="820">
        <f>-BS!BA108</f>
      </c>
      <c r="BB10" s="820">
        <f>-BS!BB108</f>
      </c>
      <c r="BC10" s="820">
        <f>-BS!BC108</f>
      </c>
      <c r="BD10" s="820">
        <f>-BS!BD108</f>
      </c>
      <c r="BE10" s="830">
        <f>-BS!BE108</f>
      </c>
      <c r="BF10" s="820">
        <f>-BS!BF108</f>
      </c>
      <c r="BG10" s="820">
        <f>-BS!BG108</f>
      </c>
      <c r="BH10" s="820">
        <f>-BS!BH108</f>
      </c>
      <c r="BI10" s="820">
        <f>-BS!BI108</f>
      </c>
      <c r="BJ10" s="830">
        <f>-BS!BJ108</f>
      </c>
      <c r="BK10" s="820">
        <f>-BS!BK108</f>
      </c>
      <c r="BL10" s="820">
        <f>-BS!BL108</f>
      </c>
      <c r="BM10" s="820">
        <f>-BS!BM108</f>
      </c>
      <c r="BN10" s="820">
        <f>-BS!BN108</f>
      </c>
      <c r="BO10" s="830">
        <f>-BS!BO108</f>
      </c>
      <c r="BP10" s="820">
        <f>-BS!BP108</f>
      </c>
      <c r="BQ10" s="820">
        <f>-BS!BQ108</f>
      </c>
      <c r="BR10" s="820">
        <f>-BS!BR108</f>
      </c>
      <c r="BS10" s="820">
        <f>-BS!BS108</f>
      </c>
      <c r="BT10" s="830">
        <f>-BS!BT108</f>
      </c>
      <c r="BU10" s="820">
        <f>-BS!BU108</f>
      </c>
      <c r="BV10" s="820">
        <f>-BS!BV108</f>
      </c>
      <c r="BW10" s="820">
        <f>-BS!BW108</f>
      </c>
      <c r="BX10" s="820">
        <f>-BS!BX108</f>
      </c>
      <c r="BY10" s="830">
        <f>-BS!BY108</f>
      </c>
      <c r="BZ10" s="820">
        <f>-BS!BZ108</f>
      </c>
      <c r="CA10" s="820">
        <f>-BS!CA108</f>
      </c>
      <c r="CB10" s="820">
        <f>-BS!CB108</f>
      </c>
      <c r="CC10" s="820">
        <f>-BS!CC108</f>
      </c>
      <c r="CD10" s="830">
        <f>-BS!CD108</f>
      </c>
      <c r="CE10" s="820">
        <f>-BS!CE108</f>
      </c>
      <c r="CF10" s="820">
        <f>-BS!CF108</f>
      </c>
      <c r="CG10" s="820">
        <f>-BS!CG108</f>
      </c>
      <c r="CH10" s="820">
        <f>-BS!CH108</f>
      </c>
      <c r="CI10" s="830">
        <f>-BS!CI108</f>
      </c>
      <c r="CJ10" s="820">
        <f>-BS!CJ108</f>
      </c>
      <c r="CK10" s="820">
        <f>-BS!CK108</f>
      </c>
      <c r="CL10" s="820">
        <f>-BS!CL108</f>
      </c>
      <c r="CM10" s="820">
        <f>-BS!CM108</f>
      </c>
      <c r="CN10" s="830">
        <f>-BS!CN108</f>
      </c>
      <c r="CO10" s="820">
        <f>-BS!CO108</f>
      </c>
      <c r="CP10" s="820">
        <f>-BS!CP108</f>
      </c>
      <c r="CQ10" s="820">
        <f>-BS!CQ108</f>
      </c>
      <c r="CR10" s="820">
        <f>-BS!CR108</f>
      </c>
      <c r="CS10" s="830">
        <f>-BS!CS108</f>
      </c>
      <c r="CT10" s="820">
        <f>-BS!CT108</f>
      </c>
      <c r="CU10" s="820">
        <f>-BS!CU108</f>
      </c>
      <c r="CV10" s="820">
        <f>-BS!CV108</f>
      </c>
      <c r="CW10" s="820">
        <f>-BS!CW108</f>
      </c>
      <c r="CX10" s="830">
        <f>-BS!CX108</f>
      </c>
      <c r="CY10" s="820">
        <f>-BS!CY108</f>
      </c>
      <c r="CZ10" s="820">
        <f>-BS!CZ108</f>
      </c>
      <c r="DA10" s="820">
        <f>-BS!DA108</f>
      </c>
      <c r="DB10" s="820">
        <f>-BS!DB108</f>
      </c>
      <c r="DC10" s="830">
        <f>-BS!DC108</f>
      </c>
      <c r="DD10" s="820">
        <f>-BS!DD108</f>
      </c>
      <c r="DE10" s="820">
        <f>-BS!DE108</f>
      </c>
      <c r="DF10" s="820">
        <f>-BS!DF108</f>
      </c>
      <c r="DG10" s="820">
        <f>-BS!DG108</f>
      </c>
      <c r="DH10" s="830">
        <f>-BS!DH108</f>
      </c>
      <c r="DI10" s="820">
        <f>-BS!DI108</f>
      </c>
      <c r="DJ10" s="820">
        <f>-BS!DJ108</f>
      </c>
      <c r="DK10" s="820">
        <f>-BS!DK108</f>
      </c>
      <c r="DL10" s="820">
        <f>-BS!DL108</f>
      </c>
      <c r="DM10" s="830">
        <f>-BS!DM108</f>
      </c>
      <c r="DN10" s="820">
        <f>-BS!DN108</f>
      </c>
      <c r="DO10" s="820">
        <f>-BS!DO108</f>
      </c>
      <c r="DP10" s="820">
        <f>-BS!DP108</f>
      </c>
      <c r="DQ10" s="820">
        <f>-BS!DQ108</f>
      </c>
      <c r="DR10" s="830">
        <f>-BS!DR108</f>
      </c>
      <c r="DS10" s="820">
        <f>-BS!DS108</f>
      </c>
      <c r="DT10" s="820">
        <f>-BS!DT108</f>
      </c>
      <c r="DU10" s="820">
        <f>-BS!DU108</f>
      </c>
      <c r="DV10" s="820">
        <f>-BS!DV108</f>
      </c>
      <c r="DW10" s="830">
        <f>-BS!DW108</f>
      </c>
      <c r="DX10" s="820">
        <f>-BS!DX108</f>
      </c>
      <c r="DY10" s="820">
        <f>-BS!DY108</f>
      </c>
      <c r="DZ10" s="820">
        <f>-BS!DZ108</f>
      </c>
      <c r="EA10" s="820">
        <f>-BS!EA108</f>
      </c>
      <c r="EB10" s="830">
        <f>-BS!EB108</f>
      </c>
      <c r="EC10" s="820">
        <f>-BS!EC108</f>
      </c>
      <c r="ED10" s="820">
        <f>-BS!ED108</f>
      </c>
      <c r="EE10" s="820">
        <f>-BS!EE108</f>
      </c>
      <c r="EF10" s="820">
        <f>-BS!EF108</f>
      </c>
      <c r="EG10" s="830">
        <f>-BS!EG108</f>
      </c>
      <c r="EH10" s="820">
        <f>-BS!EH108</f>
      </c>
      <c r="EI10" s="820">
        <f>-BS!EI108</f>
      </c>
      <c r="EJ10" s="820">
        <f>-BS!EJ108</f>
      </c>
      <c r="EK10" s="820">
        <f>-BS!EK108</f>
      </c>
      <c r="EL10" s="830">
        <f>-BS!EL108</f>
      </c>
      <c r="EM10" s="820">
        <f>-BS!EM108</f>
      </c>
      <c r="EN10" s="820">
        <f>-BS!EN108</f>
      </c>
      <c r="EO10" s="820">
        <f>-BS!EO108</f>
      </c>
      <c r="EP10" s="820">
        <f>-BS!EP108</f>
      </c>
      <c r="EQ10" s="830">
        <f>-BS!EQ108</f>
      </c>
      <c r="ER10" s="820">
        <f>-BS!ER108</f>
      </c>
      <c r="ES10" s="820">
        <f>-BS!ES108</f>
      </c>
      <c r="ET10" s="820">
        <f>-BS!ET108</f>
      </c>
      <c r="EU10" s="820">
        <f>-BS!EU108</f>
      </c>
      <c r="EV10" s="830">
        <f>-BS!EV108</f>
      </c>
      <c r="EW10" s="820">
        <f>-BS!EW108</f>
      </c>
      <c r="EX10" s="820">
        <f>-BS!EX108</f>
      </c>
      <c r="EY10" s="820">
        <f>-BS!EY108</f>
      </c>
      <c r="EZ10" s="820">
        <f>-BS!EZ108</f>
      </c>
      <c r="FA10" s="830">
        <f>-BS!FA108</f>
      </c>
      <c r="FB10" s="820">
        <f>-BS!FB108</f>
      </c>
      <c r="FC10" s="820">
        <f>-BS!FC108</f>
      </c>
      <c r="FD10" s="820">
        <f>-BS!FD108</f>
      </c>
      <c r="FE10" s="820">
        <f>-BS!FE108</f>
      </c>
      <c r="FF10" s="830">
        <f>-BS!FF108</f>
      </c>
      <c r="FG10" s="820">
        <f>-BS!FG108</f>
      </c>
      <c r="FH10" s="820">
        <f>-BS!FH108</f>
      </c>
      <c r="FI10" s="820">
        <f>-BS!FI108</f>
      </c>
      <c r="FJ10" s="820">
        <f>-BS!FJ108</f>
      </c>
      <c r="FK10" s="830">
        <f>-BS!FK108</f>
      </c>
      <c r="FL10" s="820">
        <f>-BS!FL108</f>
      </c>
      <c r="FM10" s="820">
        <f>-BS!FM108</f>
      </c>
      <c r="FN10" s="820">
        <f>-BS!FN108</f>
      </c>
      <c r="FO10" s="820">
        <f>-BS!FO108</f>
      </c>
      <c r="FP10" s="830">
        <f>-BS!FP108</f>
      </c>
      <c r="FQ10" s="820">
        <f>-BS!FQ108</f>
      </c>
      <c r="FR10" s="820">
        <f>-BS!FR108</f>
      </c>
      <c r="FS10" s="820">
        <f>-BS!FS108</f>
      </c>
      <c r="FT10" s="820">
        <f>-BS!FT108</f>
      </c>
      <c r="FU10" s="830">
        <f>-BS!FU108</f>
      </c>
      <c r="FV10" s="820">
        <f>-BS!FV108</f>
      </c>
      <c r="FW10" s="820">
        <f>-BS!FW108</f>
      </c>
      <c r="FX10" s="820">
        <f>-BS!FX108</f>
      </c>
      <c r="FY10" s="820">
        <f>-BS!FY108</f>
      </c>
      <c r="FZ10" s="830">
        <f>-BS!FZ108</f>
      </c>
      <c r="GA10" s="820">
        <f>-BS!GA108</f>
      </c>
      <c r="GB10" s="820">
        <f>-BS!GB108</f>
      </c>
      <c r="GC10" s="820">
        <f>-BS!GC108</f>
      </c>
      <c r="GD10" s="820">
        <f>-BS!GD108</f>
      </c>
      <c r="GE10" s="830">
        <f>-BS!GE108</f>
      </c>
      <c r="GF10" s="820">
        <f>-BS!GF108</f>
      </c>
      <c r="GG10" s="820">
        <f>-BS!GG108</f>
      </c>
      <c r="GH10" s="820">
        <f>-BS!GH108</f>
      </c>
      <c r="GI10" s="820">
        <f>-BS!GI108</f>
      </c>
      <c r="GJ10" s="830">
        <f>-BS!GJ108</f>
      </c>
    </row>
    <row r="11" spans="1:192" s="1031" customFormat="1" ht="12.75" customHeight="1">
      <c r="A11" s="1027"/>
      <c r="B11" s="727" t="s">
        <v>34</v>
      </c>
      <c r="C11" s="1028"/>
      <c r="D11" s="1028"/>
      <c r="E11" s="1028"/>
      <c r="F11" s="1028"/>
      <c r="G11" s="1029"/>
      <c r="H11" s="1028">
        <f t="shared" ref="H11:AM11" si="0">IFERROR(H10/C10-1,"")</f>
      </c>
      <c r="I11" s="1028">
        <f t="shared" si="0"/>
      </c>
      <c r="J11" s="1028">
        <f t="shared" si="0"/>
      </c>
      <c r="K11" s="1028">
        <f t="shared" si="0"/>
      </c>
      <c r="L11" s="1029">
        <f t="shared" si="0"/>
      </c>
      <c r="M11" s="1028">
        <f t="shared" si="0"/>
      </c>
      <c r="N11" s="1028">
        <f t="shared" si="0"/>
      </c>
      <c r="O11" s="1028">
        <f t="shared" si="0"/>
      </c>
      <c r="P11" s="1028">
        <f t="shared" si="0"/>
      </c>
      <c r="Q11" s="1029">
        <f t="shared" si="0"/>
      </c>
      <c r="R11" s="1030">
        <f t="shared" si="0"/>
      </c>
      <c r="S11" s="1030">
        <f t="shared" si="0"/>
      </c>
      <c r="T11" s="1030">
        <f t="shared" si="0"/>
      </c>
      <c r="U11" s="1030">
        <f t="shared" si="0"/>
      </c>
      <c r="V11" s="1029">
        <f t="shared" si="0"/>
      </c>
      <c r="W11" s="1030">
        <f t="shared" si="0"/>
      </c>
      <c r="X11" s="1030">
        <f t="shared" si="0"/>
      </c>
      <c r="Y11" s="1030">
        <f t="shared" si="0"/>
      </c>
      <c r="Z11" s="1030">
        <f t="shared" si="0"/>
      </c>
      <c r="AA11" s="1029">
        <f t="shared" si="0"/>
      </c>
      <c r="AB11" s="1030">
        <f t="shared" si="0"/>
      </c>
      <c r="AC11" s="1030">
        <f t="shared" si="0"/>
      </c>
      <c r="AD11" s="1030">
        <f t="shared" si="0"/>
      </c>
      <c r="AE11" s="1030">
        <f t="shared" si="0"/>
      </c>
      <c r="AF11" s="1029">
        <f t="shared" si="0"/>
      </c>
      <c r="AG11" s="1030">
        <f t="shared" si="0"/>
      </c>
      <c r="AH11" s="1030">
        <f t="shared" si="0"/>
      </c>
      <c r="AI11" s="1030">
        <f t="shared" si="0"/>
      </c>
      <c r="AJ11" s="1030">
        <f t="shared" si="0"/>
      </c>
      <c r="AK11" s="1029">
        <f t="shared" si="0"/>
      </c>
      <c r="AL11" s="1028">
        <f t="shared" si="0"/>
      </c>
      <c r="AM11" s="1028">
        <f t="shared" si="0"/>
      </c>
      <c r="AN11" s="1028">
        <f t="shared" ref="AN11:BS11" si="1">IFERROR(AN10/AI10-1,"")</f>
      </c>
      <c r="AO11" s="1028">
        <f t="shared" si="1"/>
      </c>
      <c r="AP11" s="1029">
        <f t="shared" si="1"/>
      </c>
      <c r="AQ11" s="1028">
        <f t="shared" si="1"/>
      </c>
      <c r="AR11" s="1028">
        <f t="shared" si="1"/>
      </c>
      <c r="AS11" s="1028">
        <f t="shared" si="1"/>
      </c>
      <c r="AT11" s="1028">
        <f t="shared" si="1"/>
      </c>
      <c r="AU11" s="1029">
        <f t="shared" si="1"/>
      </c>
      <c r="AV11" s="1028">
        <f t="shared" si="1"/>
      </c>
      <c r="AW11" s="1028">
        <f t="shared" si="1"/>
      </c>
      <c r="AX11" s="1028">
        <f t="shared" si="1"/>
      </c>
      <c r="AY11" s="1028">
        <f t="shared" si="1"/>
      </c>
      <c r="AZ11" s="1029">
        <f t="shared" si="1"/>
      </c>
      <c r="BA11" s="1028">
        <f t="shared" si="1"/>
      </c>
      <c r="BB11" s="1028">
        <f t="shared" si="1"/>
      </c>
      <c r="BC11" s="1028">
        <f t="shared" si="1"/>
      </c>
      <c r="BD11" s="1028">
        <f t="shared" si="1"/>
      </c>
      <c r="BE11" s="1029">
        <f t="shared" si="1"/>
      </c>
      <c r="BF11" s="1028">
        <f t="shared" si="1"/>
      </c>
      <c r="BG11" s="1028">
        <f t="shared" si="1"/>
      </c>
      <c r="BH11" s="1028">
        <f t="shared" si="1"/>
      </c>
      <c r="BI11" s="1028">
        <f t="shared" si="1"/>
      </c>
      <c r="BJ11" s="1029">
        <f t="shared" si="1"/>
      </c>
      <c r="BK11" s="1028">
        <f t="shared" si="1"/>
      </c>
      <c r="BL11" s="1028">
        <f t="shared" si="1"/>
      </c>
      <c r="BM11" s="1028">
        <f t="shared" si="1"/>
      </c>
      <c r="BN11" s="1028">
        <f t="shared" si="1"/>
      </c>
      <c r="BO11" s="1029">
        <f t="shared" si="1"/>
      </c>
      <c r="BP11" s="1028">
        <f t="shared" si="1"/>
      </c>
      <c r="BQ11" s="1028">
        <f t="shared" si="1"/>
      </c>
      <c r="BR11" s="1028">
        <f t="shared" si="1"/>
      </c>
      <c r="BS11" s="1028">
        <f t="shared" si="1"/>
      </c>
      <c r="BT11" s="1029">
        <f t="shared" ref="BT11:CY11" si="2">IFERROR(BT10/BO10-1,"")</f>
      </c>
      <c r="BU11" s="1028">
        <f t="shared" si="2"/>
      </c>
      <c r="BV11" s="1028">
        <f t="shared" si="2"/>
      </c>
      <c r="BW11" s="1028">
        <f t="shared" si="2"/>
      </c>
      <c r="BX11" s="1028">
        <f t="shared" si="2"/>
      </c>
      <c r="BY11" s="1029">
        <f t="shared" si="2"/>
      </c>
      <c r="BZ11" s="1028">
        <f t="shared" si="2"/>
      </c>
      <c r="CA11" s="1028">
        <f t="shared" si="2"/>
      </c>
      <c r="CB11" s="1028">
        <f t="shared" si="2"/>
      </c>
      <c r="CC11" s="1028">
        <f t="shared" si="2"/>
      </c>
      <c r="CD11" s="1029">
        <f t="shared" si="2"/>
      </c>
      <c r="CE11" s="1028">
        <f t="shared" si="2"/>
      </c>
      <c r="CF11" s="1028">
        <f t="shared" si="2"/>
      </c>
      <c r="CG11" s="1028">
        <f t="shared" si="2"/>
      </c>
      <c r="CH11" s="1028">
        <f t="shared" si="2"/>
      </c>
      <c r="CI11" s="1029">
        <f t="shared" si="2"/>
      </c>
      <c r="CJ11" s="1028">
        <f t="shared" si="2"/>
      </c>
      <c r="CK11" s="1028">
        <f t="shared" si="2"/>
      </c>
      <c r="CL11" s="1028">
        <f t="shared" si="2"/>
      </c>
      <c r="CM11" s="1028">
        <f t="shared" si="2"/>
      </c>
      <c r="CN11" s="1029">
        <f t="shared" si="2"/>
      </c>
      <c r="CO11" s="1028">
        <f t="shared" si="2"/>
      </c>
      <c r="CP11" s="1028">
        <f t="shared" si="2"/>
      </c>
      <c r="CQ11" s="1028">
        <f t="shared" si="2"/>
      </c>
      <c r="CR11" s="1028">
        <f t="shared" si="2"/>
      </c>
      <c r="CS11" s="1029">
        <f t="shared" si="2"/>
      </c>
      <c r="CT11" s="1028">
        <f t="shared" si="2"/>
      </c>
      <c r="CU11" s="1028">
        <f t="shared" si="2"/>
      </c>
      <c r="CV11" s="1028">
        <f t="shared" si="2"/>
      </c>
      <c r="CW11" s="1028">
        <f t="shared" si="2"/>
      </c>
      <c r="CX11" s="1029">
        <f t="shared" si="2"/>
      </c>
      <c r="CY11" s="1028">
        <f t="shared" si="2"/>
      </c>
      <c r="CZ11" s="1028">
        <f t="shared" ref="CZ11:EE11" si="3">IFERROR(CZ10/CU10-1,"")</f>
      </c>
      <c r="DA11" s="1028">
        <f t="shared" si="3"/>
      </c>
      <c r="DB11" s="1028">
        <f t="shared" si="3"/>
      </c>
      <c r="DC11" s="1029">
        <f>IFERROR(DC10/CX10-1,"")</f>
      </c>
      <c r="DD11" s="1028">
        <f t="shared" si="3"/>
      </c>
      <c r="DE11" s="1028">
        <f t="shared" si="3"/>
      </c>
      <c r="DF11" s="1028">
        <f t="shared" si="3"/>
      </c>
      <c r="DG11" s="1028">
        <f t="shared" si="3"/>
      </c>
      <c r="DH11" s="1029">
        <f t="shared" si="3"/>
      </c>
      <c r="DI11" s="1028">
        <f t="shared" si="3"/>
      </c>
      <c r="DJ11" s="1028">
        <f t="shared" si="3"/>
      </c>
      <c r="DK11" s="1028">
        <f t="shared" si="3"/>
      </c>
      <c r="DL11" s="1028">
        <f t="shared" si="3"/>
      </c>
      <c r="DM11" s="1029">
        <f t="shared" si="3"/>
      </c>
      <c r="DN11" s="1028">
        <f t="shared" si="3"/>
      </c>
      <c r="DO11" s="1028">
        <f t="shared" si="3"/>
      </c>
      <c r="DP11" s="1028">
        <f t="shared" si="3"/>
      </c>
      <c r="DQ11" s="1028">
        <f t="shared" si="3"/>
      </c>
      <c r="DR11" s="1029">
        <f t="shared" si="3"/>
      </c>
      <c r="DS11" s="1028">
        <f t="shared" si="3"/>
      </c>
      <c r="DT11" s="1028">
        <f t="shared" si="3"/>
      </c>
      <c r="DU11" s="1028">
        <f t="shared" si="3"/>
      </c>
      <c r="DV11" s="1028">
        <f t="shared" si="3"/>
      </c>
      <c r="DW11" s="1029">
        <f t="shared" si="3"/>
      </c>
      <c r="DX11" s="1028">
        <f t="shared" si="3"/>
      </c>
      <c r="DY11" s="1028">
        <f t="shared" si="3"/>
      </c>
      <c r="DZ11" s="1028">
        <f t="shared" si="3"/>
      </c>
      <c r="EA11" s="1028">
        <f t="shared" si="3"/>
      </c>
      <c r="EB11" s="1029">
        <f t="shared" si="3"/>
      </c>
      <c r="EC11" s="1028">
        <f t="shared" si="3"/>
      </c>
      <c r="ED11" s="1028">
        <f t="shared" si="3"/>
      </c>
      <c r="EE11" s="1028">
        <f t="shared" si="3"/>
      </c>
      <c r="EF11" s="1028">
        <f t="shared" ref="EF11:FK11" si="4">IFERROR(EF10/EA10-1,"")</f>
      </c>
      <c r="EG11" s="1029">
        <f t="shared" si="4"/>
      </c>
      <c r="EH11" s="1028">
        <f t="shared" si="4"/>
      </c>
      <c r="EI11" s="1028">
        <f t="shared" si="4"/>
      </c>
      <c r="EJ11" s="1028">
        <f t="shared" si="4"/>
      </c>
      <c r="EK11" s="1028">
        <f t="shared" si="4"/>
      </c>
      <c r="EL11" s="1029">
        <f t="shared" si="4"/>
      </c>
      <c r="EM11" s="1028">
        <f t="shared" si="4"/>
      </c>
      <c r="EN11" s="1028">
        <f t="shared" si="4"/>
      </c>
      <c r="EO11" s="1028">
        <f t="shared" si="4"/>
      </c>
      <c r="EP11" s="1028">
        <f t="shared" si="4"/>
      </c>
      <c r="EQ11" s="1029">
        <f t="shared" si="4"/>
      </c>
      <c r="ER11" s="1028">
        <f t="shared" si="4"/>
      </c>
      <c r="ES11" s="1028">
        <f t="shared" si="4"/>
      </c>
      <c r="ET11" s="1028">
        <f t="shared" si="4"/>
      </c>
      <c r="EU11" s="1028">
        <f>IFERROR(EU10/EP10-1,"")</f>
      </c>
      <c r="EV11" s="1029">
        <f>IFERROR(EV10/EQ10-1,"")</f>
      </c>
      <c r="EW11" s="1028">
        <f t="shared" si="4"/>
      </c>
      <c r="EX11" s="1028">
        <f t="shared" si="4"/>
      </c>
      <c r="EY11" s="1028">
        <f t="shared" si="4"/>
      </c>
      <c r="EZ11" s="1028">
        <f>IFERROR(EZ10/EU10-1,"")</f>
      </c>
      <c r="FA11" s="1029">
        <f>IFERROR(FA10/EV10-1,"")</f>
      </c>
      <c r="FB11" s="1028">
        <f t="shared" si="4"/>
      </c>
      <c r="FC11" s="1028">
        <f t="shared" si="4"/>
      </c>
      <c r="FD11" s="1028">
        <f t="shared" si="4"/>
      </c>
      <c r="FE11" s="1028">
        <f t="shared" si="4"/>
      </c>
      <c r="FF11" s="1029">
        <f t="shared" si="4"/>
      </c>
      <c r="FG11" s="1028">
        <f t="shared" si="4"/>
      </c>
      <c r="FH11" s="1028">
        <f t="shared" si="4"/>
      </c>
      <c r="FI11" s="1028">
        <f t="shared" si="4"/>
      </c>
      <c r="FJ11" s="1028">
        <f t="shared" si="4"/>
      </c>
      <c r="FK11" s="1029">
        <f t="shared" si="4"/>
      </c>
      <c r="FL11" s="1028">
        <f t="shared" ref="FL11:FZ11" si="5">IFERROR(FL10/FG10-1,"")</f>
      </c>
      <c r="FM11" s="1028">
        <f t="shared" si="5"/>
      </c>
      <c r="FN11" s="1028">
        <f t="shared" si="5"/>
      </c>
      <c r="FO11" s="1028">
        <f t="shared" si="5"/>
      </c>
      <c r="FP11" s="1029">
        <f t="shared" si="5"/>
      </c>
      <c r="FQ11" s="1028">
        <f t="shared" si="5"/>
      </c>
      <c r="FR11" s="1028">
        <f t="shared" si="5"/>
      </c>
      <c r="FS11" s="1028">
        <f t="shared" si="5"/>
      </c>
      <c r="FT11" s="1028">
        <f t="shared" si="5"/>
      </c>
      <c r="FU11" s="1029">
        <f t="shared" si="5"/>
      </c>
      <c r="FV11" s="1028">
        <f t="shared" si="5"/>
      </c>
      <c r="FW11" s="1028">
        <f t="shared" si="5"/>
      </c>
      <c r="FX11" s="1028">
        <f t="shared" si="5"/>
      </c>
      <c r="FY11" s="1028">
        <f t="shared" si="5"/>
      </c>
      <c r="FZ11" s="1029">
        <f t="shared" si="5"/>
      </c>
      <c r="GA11" s="1028">
        <f t="shared" ref="GA11:GJ11" si="6">IFERROR(GA10/FV10-1,"")</f>
      </c>
      <c r="GB11" s="1028">
        <f t="shared" si="6"/>
      </c>
      <c r="GC11" s="1028">
        <f t="shared" si="6"/>
      </c>
      <c r="GD11" s="1028">
        <f t="shared" si="6"/>
      </c>
      <c r="GE11" s="1029">
        <f t="shared" si="6"/>
      </c>
      <c r="GF11" s="1028">
        <f t="shared" si="6"/>
      </c>
      <c r="GG11" s="1028">
        <f t="shared" si="6"/>
      </c>
      <c r="GH11" s="1028">
        <f t="shared" si="6"/>
      </c>
      <c r="GI11" s="1028">
        <f t="shared" si="6"/>
      </c>
      <c r="GJ11" s="1029">
        <f t="shared" si="6"/>
      </c>
    </row>
    <row r="12" spans="1:192" s="1031" customFormat="1" ht="12.75" customHeight="1">
      <c r="A12" s="1027"/>
      <c r="B12" s="727" t="s">
        <v>36</v>
      </c>
      <c r="C12" s="1028" t="str">
        <f>IFERROR(C10/A10-1,"")</f>
      </c>
      <c r="D12" s="1028">
        <f>IFERROR(D10/C10-1,"")</f>
      </c>
      <c r="E12" s="1028">
        <f>IFERROR(E10/D10-1,"")</f>
      </c>
      <c r="F12" s="1028">
        <f>IFERROR(F10/E10-1,"")</f>
      </c>
      <c r="G12" s="1029"/>
      <c r="H12" s="1028">
        <f>IFERROR(H10/F10-1,"")</f>
      </c>
      <c r="I12" s="1028">
        <f>IFERROR(I10/H10-1,"")</f>
      </c>
      <c r="J12" s="1028">
        <f>IFERROR(J10/I10-1,"")</f>
      </c>
      <c r="K12" s="1028">
        <f>IFERROR(K10/J10-1,"")</f>
      </c>
      <c r="L12" s="1029"/>
      <c r="M12" s="1028">
        <f>IFERROR(M10/K10-1,"")</f>
      </c>
      <c r="N12" s="1028">
        <f>IFERROR(N10/M10-1,"")</f>
      </c>
      <c r="O12" s="1028">
        <f>IFERROR(O10/N10-1,"")</f>
      </c>
      <c r="P12" s="1028">
        <f>IFERROR(P10/O10-1,"")</f>
      </c>
      <c r="Q12" s="1029"/>
      <c r="R12" s="1028">
        <f>IFERROR(R10/P10-1,"")</f>
      </c>
      <c r="S12" s="1028">
        <f>IFERROR(S10/R10-1,"")</f>
      </c>
      <c r="T12" s="1028">
        <f>IFERROR(T10/S10-1,"")</f>
      </c>
      <c r="U12" s="1028">
        <f>IFERROR(U10/T10-1,"")</f>
      </c>
      <c r="V12" s="1029"/>
      <c r="W12" s="1028">
        <f>IFERROR(W10/U10-1,"")</f>
      </c>
      <c r="X12" s="1028">
        <f>IFERROR(X10/W10-1,"")</f>
      </c>
      <c r="Y12" s="1028">
        <f>IFERROR(Y10/X10-1,"")</f>
      </c>
      <c r="Z12" s="1028">
        <f>IFERROR(Z10/Y10-1,"")</f>
      </c>
      <c r="AA12" s="1029"/>
      <c r="AB12" s="1028">
        <f>IFERROR(AB10/Z10-1,"")</f>
      </c>
      <c r="AC12" s="1028">
        <f>IFERROR(AC10/AB10-1,"")</f>
      </c>
      <c r="AD12" s="1028">
        <f>IFERROR(AD10/AC10-1,"")</f>
      </c>
      <c r="AE12" s="1028">
        <f>IFERROR(AE10/AD10-1,"")</f>
      </c>
      <c r="AF12" s="1029"/>
      <c r="AG12" s="1028">
        <f>IFERROR(AG10/AE10-1,"")</f>
      </c>
      <c r="AH12" s="1028">
        <f>IFERROR(AH10/AG10-1,"")</f>
      </c>
      <c r="AI12" s="1028">
        <f>IFERROR(AI10/AH10-1,"")</f>
      </c>
      <c r="AJ12" s="1028">
        <f>IFERROR(AJ10/AI10-1,"")</f>
      </c>
      <c r="AK12" s="1029"/>
      <c r="AL12" s="1028">
        <f>IFERROR(AL10/AJ10-1,"")</f>
      </c>
      <c r="AM12" s="1028">
        <f>IFERROR(AM10/AL10-1,"")</f>
      </c>
      <c r="AN12" s="1028">
        <f>IFERROR(AN10/AM10-1,"")</f>
      </c>
      <c r="AO12" s="1028">
        <f>IFERROR(AO10/AN10-1,"")</f>
      </c>
      <c r="AP12" s="1029"/>
      <c r="AQ12" s="1028">
        <f>IFERROR(AQ10/AO10-1,"")</f>
      </c>
      <c r="AR12" s="1028">
        <f>IFERROR(AR10/AQ10-1,"")</f>
      </c>
      <c r="AS12" s="1028">
        <f>IFERROR(AS10/AR10-1,"")</f>
      </c>
      <c r="AT12" s="1028">
        <f>IFERROR(AT10/AS10-1,"")</f>
      </c>
      <c r="AU12" s="1029"/>
      <c r="AV12" s="1028">
        <f>IFERROR(AV10/AT10-1,"")</f>
      </c>
      <c r="AW12" s="1028">
        <f>IFERROR(AW10/AV10-1,"")</f>
      </c>
      <c r="AX12" s="1028">
        <f>IFERROR(AX10/AW10-1,"")</f>
      </c>
      <c r="AY12" s="1028">
        <f>IFERROR(AY10/AX10-1,"")</f>
      </c>
      <c r="AZ12" s="1029"/>
      <c r="BA12" s="1028">
        <f>IFERROR(BA10/AY10-1,"")</f>
      </c>
      <c r="BB12" s="1028">
        <f>IFERROR(BB10/BA10-1,"")</f>
      </c>
      <c r="BC12" s="1028">
        <f>IFERROR(BC10/BB10-1,"")</f>
      </c>
      <c r="BD12" s="1028">
        <f>IFERROR(BD10/BC10-1,"")</f>
      </c>
      <c r="BE12" s="1029"/>
      <c r="BF12" s="1028">
        <f>IFERROR(BF10/BD10-1,"")</f>
      </c>
      <c r="BG12" s="1028">
        <f>IFERROR(BG10/BF10-1,"")</f>
      </c>
      <c r="BH12" s="1028">
        <f>IFERROR(BH10/BG10-1,"")</f>
      </c>
      <c r="BI12" s="1028">
        <f>IFERROR(BI10/BH10-1,"")</f>
      </c>
      <c r="BJ12" s="1029"/>
      <c r="BK12" s="1028">
        <f>IFERROR(BK10/BI10-1,"")</f>
      </c>
      <c r="BL12" s="1028">
        <f>IFERROR(BL10/BK10-1,"")</f>
      </c>
      <c r="BM12" s="1028">
        <f>IFERROR(BM10/BL10-1,"")</f>
      </c>
      <c r="BN12" s="1028">
        <f>IFERROR(BN10/BM10-1,"")</f>
      </c>
      <c r="BO12" s="1029"/>
      <c r="BP12" s="1028">
        <f>IFERROR(BP10/BN10-1,"")</f>
      </c>
      <c r="BQ12" s="1028">
        <f>IFERROR(BQ10/BP10-1,"")</f>
      </c>
      <c r="BR12" s="1028">
        <f>IFERROR(BR10/BQ10-1,"")</f>
      </c>
      <c r="BS12" s="1028">
        <f>IFERROR(BS10/BR10-1,"")</f>
      </c>
      <c r="BT12" s="1029"/>
      <c r="BU12" s="1028">
        <f>IFERROR(BU10/BS10-1,"")</f>
      </c>
      <c r="BV12" s="1028">
        <f>IFERROR(BV10/BU10-1,"")</f>
      </c>
      <c r="BW12" s="1028">
        <f>IFERROR(BW10/BV10-1,"")</f>
      </c>
      <c r="BX12" s="1028">
        <f>IFERROR(BX10/BW10-1,"")</f>
      </c>
      <c r="BY12" s="1029"/>
      <c r="BZ12" s="1028">
        <f>IFERROR(BZ10/BX10-1,"")</f>
      </c>
      <c r="CA12" s="1028">
        <f>IFERROR(CA10/BZ10-1,"")</f>
      </c>
      <c r="CB12" s="1028">
        <f>IFERROR(CB10/CA10-1,"")</f>
      </c>
      <c r="CC12" s="1028">
        <f>IFERROR(CC10/CB10-1,"")</f>
      </c>
      <c r="CD12" s="1029"/>
      <c r="CE12" s="1028">
        <f>IFERROR(CE10/CC10-1,"")</f>
      </c>
      <c r="CF12" s="1028">
        <f>IFERROR(CF10/CE10-1,"")</f>
      </c>
      <c r="CG12" s="1028">
        <f>IFERROR(CG10/CF10-1,"")</f>
      </c>
      <c r="CH12" s="1028">
        <f>IFERROR(CH10/CG10-1,"")</f>
      </c>
      <c r="CI12" s="1029"/>
      <c r="CJ12" s="1028">
        <f>IFERROR(CJ10/CH10-1,"")</f>
      </c>
      <c r="CK12" s="1028">
        <f>IFERROR(CK10/CJ10-1,"")</f>
      </c>
      <c r="CL12" s="1028">
        <f>IFERROR(CL10/CK10-1,"")</f>
      </c>
      <c r="CM12" s="1028">
        <f>IFERROR(CM10/CL10-1,"")</f>
      </c>
      <c r="CN12" s="1029"/>
      <c r="CO12" s="1028">
        <f>IFERROR(CO10/CM10-1,"")</f>
      </c>
      <c r="CP12" s="1028">
        <f>IFERROR(CP10/CO10-1,"")</f>
      </c>
      <c r="CQ12" s="1028">
        <f>IFERROR(CQ10/CP10-1,"")</f>
      </c>
      <c r="CR12" s="1028">
        <f>IFERROR(CR10/CQ10-1,"")</f>
      </c>
      <c r="CS12" s="1029"/>
      <c r="CT12" s="1028">
        <f>IFERROR(CT10/CR10-1,"")</f>
      </c>
      <c r="CU12" s="1028">
        <f>IFERROR(CU10/CT10-1,"")</f>
      </c>
      <c r="CV12" s="1028">
        <f>IFERROR(CV10/CU10-1,"")</f>
      </c>
      <c r="CW12" s="1028">
        <f>IFERROR(CW10/CV10-1,"")</f>
      </c>
      <c r="CX12" s="1029"/>
      <c r="CY12" s="1028">
        <f>IFERROR(CY10/CW10-1,"")</f>
      </c>
      <c r="CZ12" s="1028">
        <f>IFERROR(CZ10/CY10-1,"")</f>
      </c>
      <c r="DA12" s="1028">
        <f>IFERROR(DA10/CZ10-1,"")</f>
      </c>
      <c r="DB12" s="1028">
        <f>IFERROR(DB10/DA10-1,"")</f>
      </c>
      <c r="DC12" s="1029"/>
      <c r="DD12" s="1028">
        <f>IFERROR(DD10/DB10-1,"")</f>
      </c>
      <c r="DE12" s="1028">
        <f>IFERROR(DE10/DD10-1,"")</f>
      </c>
      <c r="DF12" s="1028">
        <f>IFERROR(DF10/DE10-1,"")</f>
      </c>
      <c r="DG12" s="1028">
        <f>IFERROR(DG10/DF10-1,"")</f>
      </c>
      <c r="DH12" s="1029"/>
      <c r="DI12" s="1028">
        <f>IFERROR(DI10/DG10-1,"")</f>
      </c>
      <c r="DJ12" s="1028">
        <f>IFERROR(DJ10/DI10-1,"")</f>
      </c>
      <c r="DK12" s="1028">
        <f>IFERROR(DK10/DJ10-1,"")</f>
      </c>
      <c r="DL12" s="1028">
        <f>IFERROR(DL10/DK10-1,"")</f>
      </c>
      <c r="DM12" s="1029"/>
      <c r="DN12" s="1028">
        <f>DN10/DL10-1</f>
      </c>
      <c r="DO12" s="1028">
        <f>DO10/DN10-1</f>
      </c>
      <c r="DP12" s="1028">
        <f>DP10/DO10-1</f>
      </c>
      <c r="DQ12" s="1028">
        <f>DQ10/DP10-1</f>
      </c>
      <c r="DR12" s="1029"/>
      <c r="DS12" s="1028">
        <f>DS10/DQ10-1</f>
      </c>
      <c r="DT12" s="1028">
        <f>DT10/DS10-1</f>
      </c>
      <c r="DU12" s="1028">
        <f>DU10/DT10-1</f>
      </c>
      <c r="DV12" s="1028">
        <f>DV10/DU10-1</f>
      </c>
      <c r="DW12" s="1029"/>
      <c r="DX12" s="1028">
        <f>DX10/DV10-1</f>
      </c>
      <c r="DY12" s="1028">
        <f>DY10/DX10-1</f>
      </c>
      <c r="DZ12" s="1028">
        <f>DZ10/DY10-1</f>
      </c>
      <c r="EA12" s="1028">
        <f>EA10/DZ10-1</f>
      </c>
      <c r="EB12" s="1029"/>
      <c r="EC12" s="1028">
        <f>EC10/EA10-1</f>
      </c>
      <c r="ED12" s="1028">
        <f>ED10/EC10-1</f>
      </c>
      <c r="EE12" s="1028">
        <f>EE10/ED10-1</f>
      </c>
      <c r="EF12" s="1028">
        <f>EF10/EE10-1</f>
      </c>
      <c r="EG12" s="1029"/>
      <c r="EH12" s="1028">
        <f>EH10/EF10-1</f>
      </c>
      <c r="EI12" s="1028">
        <f>EI10/EH10-1</f>
      </c>
      <c r="EJ12" s="1028">
        <f>EJ10/EI10-1</f>
      </c>
      <c r="EK12" s="1028">
        <f>EK10/EJ10-1</f>
      </c>
      <c r="EL12" s="1029"/>
      <c r="EM12" s="1028">
        <f>EM10/EK10-1</f>
      </c>
      <c r="EN12" s="1028">
        <f>EN10/EM10-1</f>
      </c>
      <c r="EO12" s="1028">
        <f>EO10/EN10-1</f>
      </c>
      <c r="EP12" s="1028">
        <f>EP10/EO10-1</f>
      </c>
      <c r="EQ12" s="1029"/>
      <c r="ER12" s="1028">
        <f>ER10/EP10-1</f>
      </c>
      <c r="ES12" s="1028">
        <f>ES10/ER10-1</f>
      </c>
      <c r="ET12" s="1028">
        <f>ET10/ES10-1</f>
      </c>
      <c r="EU12" s="1028">
        <f>EU10/ET10-1</f>
      </c>
      <c r="EV12" s="1029"/>
      <c r="EW12" s="1028">
        <f>EW10/EU10-1</f>
      </c>
      <c r="EX12" s="1028">
        <f>EX10/EW10-1</f>
      </c>
      <c r="EY12" s="1028">
        <f>EY10/EX10-1</f>
      </c>
      <c r="EZ12" s="1028">
        <f>EZ10/EY10-1</f>
      </c>
      <c r="FA12" s="1029"/>
      <c r="FB12" s="1028">
        <f>FB10/EZ10-1</f>
      </c>
      <c r="FC12" s="1028">
        <f>FC10/FB10-1</f>
      </c>
      <c r="FD12" s="1028">
        <f>FD10/FC10-1</f>
      </c>
      <c r="FE12" s="1028">
        <f>FE10/FD10-1</f>
      </c>
      <c r="FF12" s="1029"/>
      <c r="FG12" s="1028">
        <f>FG10/FE10-1</f>
      </c>
      <c r="FH12" s="1028">
        <f>FH10/FG10-1</f>
      </c>
      <c r="FI12" s="1028">
        <f>FI10/FH10-1</f>
      </c>
      <c r="FJ12" s="1028">
        <f>FJ10/FI10-1</f>
      </c>
      <c r="FK12" s="1029"/>
      <c r="FL12" s="1028">
        <f>FL10/FJ10-1</f>
      </c>
      <c r="FM12" s="1028">
        <f>FM10/FL10-1</f>
      </c>
      <c r="FN12" s="1028">
        <f>FN10/FM10-1</f>
      </c>
      <c r="FO12" s="1028">
        <f>FO10/FN10-1</f>
      </c>
      <c r="FP12" s="1029"/>
      <c r="FQ12" s="1028">
        <f>FQ10/FO10-1</f>
      </c>
      <c r="FR12" s="1028">
        <f>FR10/FQ10-1</f>
      </c>
      <c r="FS12" s="1028">
        <f>FS10/FR10-1</f>
      </c>
      <c r="FT12" s="1028">
        <f>FT10/FS10-1</f>
      </c>
      <c r="FU12" s="1029"/>
      <c r="FV12" s="1028">
        <f>FV10/FT10-1</f>
      </c>
      <c r="FW12" s="1028">
        <f>FW10/FV10-1</f>
      </c>
      <c r="FX12" s="1028">
        <f>FX10/FW10-1</f>
      </c>
      <c r="FY12" s="1028">
        <f>FY10/FX10-1</f>
      </c>
      <c r="FZ12" s="1029"/>
      <c r="GA12" s="1028">
        <f>GA10/FY10-1</f>
      </c>
      <c r="GB12" s="1028">
        <f>GB10/GA10-1</f>
      </c>
      <c r="GC12" s="1028">
        <f>GC10/GB10-1</f>
      </c>
      <c r="GD12" s="1028">
        <f>GD10/GC10-1</f>
      </c>
      <c r="GE12" s="1029"/>
      <c r="GF12" s="1028">
        <f>GF10/GD10-1</f>
      </c>
      <c r="GG12" s="1028">
        <f>GG10/GF10-1</f>
      </c>
      <c r="GH12" s="1028">
        <f>GH10/GG10-1</f>
      </c>
      <c r="GI12" s="1028">
        <f>GI10/GH10-1</f>
      </c>
      <c r="GJ12" s="1029"/>
    </row>
    <row r="13" spans="1:192" s="1031" customFormat="1" ht="12.75" customHeight="1">
      <c r="A13" s="1027"/>
      <c r="B13" s="727" t="s">
        <v>1825</v>
      </c>
      <c r="C13" s="1039"/>
      <c r="D13" s="1039"/>
      <c r="E13" s="1039"/>
      <c r="F13" s="1039"/>
      <c r="G13" s="1040"/>
      <c r="H13" s="1039">
        <f t="shared" ref="H13:AM13" si="7">H10-C10</f>
      </c>
      <c r="I13" s="1039">
        <f t="shared" si="7"/>
      </c>
      <c r="J13" s="1039">
        <f t="shared" si="7"/>
      </c>
      <c r="K13" s="1039">
        <f t="shared" si="7"/>
      </c>
      <c r="L13" s="1040">
        <f t="shared" si="7"/>
      </c>
      <c r="M13" s="1039">
        <f t="shared" si="7"/>
      </c>
      <c r="N13" s="1039">
        <f t="shared" si="7"/>
      </c>
      <c r="O13" s="1039">
        <f t="shared" si="7"/>
      </c>
      <c r="P13" s="1039">
        <f t="shared" si="7"/>
      </c>
      <c r="Q13" s="1040">
        <f t="shared" si="7"/>
      </c>
      <c r="R13" s="1039">
        <f t="shared" si="7"/>
      </c>
      <c r="S13" s="1039">
        <f t="shared" si="7"/>
      </c>
      <c r="T13" s="1039">
        <f t="shared" si="7"/>
      </c>
      <c r="U13" s="1039">
        <f t="shared" si="7"/>
      </c>
      <c r="V13" s="1040">
        <f t="shared" si="7"/>
      </c>
      <c r="W13" s="1039">
        <f t="shared" si="7"/>
      </c>
      <c r="X13" s="1039">
        <f t="shared" si="7"/>
      </c>
      <c r="Y13" s="1039">
        <f t="shared" si="7"/>
      </c>
      <c r="Z13" s="1039">
        <f t="shared" si="7"/>
      </c>
      <c r="AA13" s="1040">
        <f t="shared" si="7"/>
      </c>
      <c r="AB13" s="1039">
        <f t="shared" si="7"/>
      </c>
      <c r="AC13" s="1039">
        <f t="shared" si="7"/>
      </c>
      <c r="AD13" s="1039">
        <f t="shared" si="7"/>
      </c>
      <c r="AE13" s="1039">
        <f t="shared" si="7"/>
      </c>
      <c r="AF13" s="1040">
        <f t="shared" si="7"/>
      </c>
      <c r="AG13" s="1039">
        <f t="shared" si="7"/>
      </c>
      <c r="AH13" s="1039">
        <f t="shared" si="7"/>
      </c>
      <c r="AI13" s="1039">
        <f t="shared" si="7"/>
      </c>
      <c r="AJ13" s="1039">
        <f t="shared" si="7"/>
      </c>
      <c r="AK13" s="1040">
        <f t="shared" si="7"/>
      </c>
      <c r="AL13" s="1039">
        <f t="shared" si="7"/>
      </c>
      <c r="AM13" s="1039">
        <f t="shared" si="7"/>
      </c>
      <c r="AN13" s="1039">
        <f t="shared" ref="AN13:BS13" si="8">AN10-AI10</f>
      </c>
      <c r="AO13" s="1039">
        <f t="shared" si="8"/>
      </c>
      <c r="AP13" s="1040">
        <f t="shared" si="8"/>
      </c>
      <c r="AQ13" s="1039">
        <f t="shared" si="8"/>
      </c>
      <c r="AR13" s="1039">
        <f t="shared" si="8"/>
      </c>
      <c r="AS13" s="1039">
        <f t="shared" si="8"/>
      </c>
      <c r="AT13" s="1039">
        <f t="shared" si="8"/>
      </c>
      <c r="AU13" s="1040">
        <f t="shared" si="8"/>
      </c>
      <c r="AV13" s="1039">
        <f t="shared" si="8"/>
      </c>
      <c r="AW13" s="1039">
        <f t="shared" si="8"/>
      </c>
      <c r="AX13" s="1039">
        <f t="shared" si="8"/>
      </c>
      <c r="AY13" s="1039">
        <f t="shared" si="8"/>
      </c>
      <c r="AZ13" s="1040">
        <f t="shared" si="8"/>
      </c>
      <c r="BA13" s="1039">
        <f t="shared" si="8"/>
      </c>
      <c r="BB13" s="1039">
        <f t="shared" si="8"/>
      </c>
      <c r="BC13" s="1039">
        <f t="shared" si="8"/>
      </c>
      <c r="BD13" s="1039">
        <f t="shared" si="8"/>
      </c>
      <c r="BE13" s="1040">
        <f t="shared" si="8"/>
      </c>
      <c r="BF13" s="1039">
        <f t="shared" si="8"/>
      </c>
      <c r="BG13" s="1039">
        <f t="shared" si="8"/>
      </c>
      <c r="BH13" s="1039">
        <f t="shared" si="8"/>
      </c>
      <c r="BI13" s="1039">
        <f t="shared" si="8"/>
      </c>
      <c r="BJ13" s="1040">
        <f t="shared" si="8"/>
      </c>
      <c r="BK13" s="1039">
        <f t="shared" si="8"/>
      </c>
      <c r="BL13" s="1039">
        <f t="shared" si="8"/>
      </c>
      <c r="BM13" s="1039">
        <f t="shared" si="8"/>
      </c>
      <c r="BN13" s="1039">
        <f t="shared" si="8"/>
      </c>
      <c r="BO13" s="1040">
        <f t="shared" si="8"/>
      </c>
      <c r="BP13" s="1039">
        <f t="shared" si="8"/>
      </c>
      <c r="BQ13" s="1039">
        <f t="shared" si="8"/>
      </c>
      <c r="BR13" s="1039">
        <f t="shared" si="8"/>
      </c>
      <c r="BS13" s="1039">
        <f t="shared" si="8"/>
      </c>
      <c r="BT13" s="1040">
        <f t="shared" ref="BT13:CY13" si="9">BT10-BO10</f>
      </c>
      <c r="BU13" s="1039">
        <f t="shared" si="9"/>
      </c>
      <c r="BV13" s="1039">
        <f t="shared" si="9"/>
      </c>
      <c r="BW13" s="1039">
        <f t="shared" si="9"/>
      </c>
      <c r="BX13" s="1039">
        <f t="shared" si="9"/>
      </c>
      <c r="BY13" s="1040">
        <f t="shared" si="9"/>
      </c>
      <c r="BZ13" s="1039">
        <f t="shared" si="9"/>
      </c>
      <c r="CA13" s="1039">
        <f t="shared" si="9"/>
      </c>
      <c r="CB13" s="1039">
        <f t="shared" si="9"/>
      </c>
      <c r="CC13" s="1039">
        <f t="shared" si="9"/>
      </c>
      <c r="CD13" s="1040">
        <f t="shared" si="9"/>
      </c>
      <c r="CE13" s="1039">
        <f t="shared" si="9"/>
      </c>
      <c r="CF13" s="1039">
        <f t="shared" si="9"/>
      </c>
      <c r="CG13" s="1039">
        <f t="shared" si="9"/>
      </c>
      <c r="CH13" s="1039">
        <f t="shared" si="9"/>
      </c>
      <c r="CI13" s="1040">
        <f t="shared" si="9"/>
      </c>
      <c r="CJ13" s="1039">
        <f t="shared" si="9"/>
      </c>
      <c r="CK13" s="1039">
        <f t="shared" si="9"/>
      </c>
      <c r="CL13" s="1039">
        <f t="shared" si="9"/>
      </c>
      <c r="CM13" s="1039">
        <f t="shared" si="9"/>
      </c>
      <c r="CN13" s="1040">
        <f t="shared" si="9"/>
      </c>
      <c r="CO13" s="1039">
        <f t="shared" si="9"/>
      </c>
      <c r="CP13" s="1039">
        <f t="shared" si="9"/>
      </c>
      <c r="CQ13" s="1039">
        <f t="shared" si="9"/>
      </c>
      <c r="CR13" s="1039">
        <f t="shared" si="9"/>
      </c>
      <c r="CS13" s="1040">
        <f t="shared" si="9"/>
      </c>
      <c r="CT13" s="1039">
        <f t="shared" si="9"/>
      </c>
      <c r="CU13" s="1039">
        <f t="shared" si="9"/>
      </c>
      <c r="CV13" s="1039">
        <f t="shared" si="9"/>
      </c>
      <c r="CW13" s="1039">
        <f t="shared" si="9"/>
      </c>
      <c r="CX13" s="1040">
        <f t="shared" si="9"/>
      </c>
      <c r="CY13" s="1039">
        <f t="shared" si="9"/>
      </c>
      <c r="CZ13" s="1039">
        <f t="shared" ref="CZ13:EE13" si="10">CZ10-CU10</f>
      </c>
      <c r="DA13" s="1039">
        <f t="shared" si="10"/>
      </c>
      <c r="DB13" s="1039">
        <f t="shared" si="10"/>
      </c>
      <c r="DC13" s="1040">
        <f t="shared" si="10"/>
      </c>
      <c r="DD13" s="1039">
        <f t="shared" si="10"/>
      </c>
      <c r="DE13" s="1039">
        <f t="shared" si="10"/>
      </c>
      <c r="DF13" s="1039">
        <f t="shared" si="10"/>
      </c>
      <c r="DG13" s="1039">
        <f t="shared" si="10"/>
      </c>
      <c r="DH13" s="1040">
        <f t="shared" si="10"/>
      </c>
      <c r="DI13" s="1039">
        <f t="shared" si="10"/>
      </c>
      <c r="DJ13" s="1039">
        <f t="shared" si="10"/>
      </c>
      <c r="DK13" s="1039">
        <f t="shared" si="10"/>
      </c>
      <c r="DL13" s="1039">
        <f t="shared" si="10"/>
      </c>
      <c r="DM13" s="1040">
        <f t="shared" si="10"/>
      </c>
      <c r="DN13" s="1039">
        <f t="shared" si="10"/>
      </c>
      <c r="DO13" s="1039">
        <f t="shared" si="10"/>
      </c>
      <c r="DP13" s="1039">
        <f t="shared" si="10"/>
      </c>
      <c r="DQ13" s="1039">
        <f t="shared" si="10"/>
      </c>
      <c r="DR13" s="1040">
        <f t="shared" si="10"/>
      </c>
      <c r="DS13" s="1039">
        <f t="shared" si="10"/>
      </c>
      <c r="DT13" s="1039">
        <f t="shared" si="10"/>
      </c>
      <c r="DU13" s="1039">
        <f t="shared" si="10"/>
      </c>
      <c r="DV13" s="1039">
        <f t="shared" si="10"/>
      </c>
      <c r="DW13" s="1040">
        <f t="shared" si="10"/>
      </c>
      <c r="DX13" s="1039">
        <f t="shared" si="10"/>
      </c>
      <c r="DY13" s="1039">
        <f t="shared" si="10"/>
      </c>
      <c r="DZ13" s="1039">
        <f t="shared" si="10"/>
      </c>
      <c r="EA13" s="1039">
        <f t="shared" si="10"/>
      </c>
      <c r="EB13" s="1040">
        <f t="shared" si="10"/>
      </c>
      <c r="EC13" s="1039">
        <f t="shared" si="10"/>
      </c>
      <c r="ED13" s="1039">
        <f t="shared" si="10"/>
      </c>
      <c r="EE13" s="1039">
        <f t="shared" si="10"/>
      </c>
      <c r="EF13" s="1039">
        <f t="shared" ref="EF13:FK13" si="11">EF10-EA10</f>
      </c>
      <c r="EG13" s="1040">
        <f t="shared" si="11"/>
      </c>
      <c r="EH13" s="1039">
        <f t="shared" si="11"/>
      </c>
      <c r="EI13" s="1039">
        <f t="shared" si="11"/>
      </c>
      <c r="EJ13" s="1039">
        <f t="shared" si="11"/>
      </c>
      <c r="EK13" s="1039">
        <f t="shared" si="11"/>
      </c>
      <c r="EL13" s="1040">
        <f t="shared" si="11"/>
      </c>
      <c r="EM13" s="1039">
        <f t="shared" si="11"/>
      </c>
      <c r="EN13" s="1039">
        <f t="shared" si="11"/>
      </c>
      <c r="EO13" s="1039">
        <f t="shared" si="11"/>
      </c>
      <c r="EP13" s="1039">
        <f t="shared" si="11"/>
      </c>
      <c r="EQ13" s="1040">
        <f t="shared" si="11"/>
      </c>
      <c r="ER13" s="1039">
        <f t="shared" si="11"/>
      </c>
      <c r="ES13" s="1039">
        <f t="shared" si="11"/>
      </c>
      <c r="ET13" s="1039">
        <f t="shared" si="11"/>
      </c>
      <c r="EU13" s="1039">
        <f>EU10-EP10</f>
      </c>
      <c r="EV13" s="1040">
        <f>EV10-EQ10</f>
      </c>
      <c r="EW13" s="1039">
        <f t="shared" si="11"/>
      </c>
      <c r="EX13" s="1039">
        <f t="shared" si="11"/>
      </c>
      <c r="EY13" s="1039">
        <f t="shared" si="11"/>
      </c>
      <c r="EZ13" s="1039">
        <f>EZ10-EU10</f>
      </c>
      <c r="FA13" s="1040">
        <f>FA10-EV10</f>
      </c>
      <c r="FB13" s="1039">
        <f t="shared" si="11"/>
      </c>
      <c r="FC13" s="1039">
        <f t="shared" si="11"/>
      </c>
      <c r="FD13" s="1039">
        <f t="shared" si="11"/>
      </c>
      <c r="FE13" s="1039">
        <f t="shared" si="11"/>
      </c>
      <c r="FF13" s="1040">
        <f t="shared" si="11"/>
      </c>
      <c r="FG13" s="1039">
        <f t="shared" si="11"/>
      </c>
      <c r="FH13" s="1039">
        <f t="shared" si="11"/>
      </c>
      <c r="FI13" s="1039">
        <f t="shared" si="11"/>
      </c>
      <c r="FJ13" s="1039">
        <f t="shared" si="11"/>
      </c>
      <c r="FK13" s="1040">
        <f t="shared" si="11"/>
      </c>
      <c r="FL13" s="1039">
        <f t="shared" ref="FL13:FZ13" si="12">FL10-FG10</f>
      </c>
      <c r="FM13" s="1039">
        <f t="shared" si="12"/>
      </c>
      <c r="FN13" s="1039">
        <f t="shared" si="12"/>
      </c>
      <c r="FO13" s="1039">
        <f t="shared" si="12"/>
      </c>
      <c r="FP13" s="1040">
        <f t="shared" si="12"/>
      </c>
      <c r="FQ13" s="1039">
        <f t="shared" si="12"/>
      </c>
      <c r="FR13" s="1039">
        <f t="shared" si="12"/>
      </c>
      <c r="FS13" s="1039">
        <f t="shared" si="12"/>
      </c>
      <c r="FT13" s="1039">
        <f t="shared" si="12"/>
      </c>
      <c r="FU13" s="1040">
        <f t="shared" si="12"/>
      </c>
      <c r="FV13" s="1039">
        <f t="shared" si="12"/>
      </c>
      <c r="FW13" s="1039">
        <f t="shared" si="12"/>
      </c>
      <c r="FX13" s="1039">
        <f t="shared" si="12"/>
      </c>
      <c r="FY13" s="1039">
        <f t="shared" si="12"/>
      </c>
      <c r="FZ13" s="1040">
        <f t="shared" si="12"/>
      </c>
      <c r="GA13" s="1039">
        <f t="shared" ref="GA13:GJ13" si="13">GA10-FV10</f>
      </c>
      <c r="GB13" s="1039">
        <f t="shared" si="13"/>
      </c>
      <c r="GC13" s="1039">
        <f t="shared" si="13"/>
      </c>
      <c r="GD13" s="1039">
        <f t="shared" si="13"/>
      </c>
      <c r="GE13" s="1040">
        <f t="shared" si="13"/>
      </c>
      <c r="GF13" s="1039">
        <f t="shared" si="13"/>
      </c>
      <c r="GG13" s="1039">
        <f t="shared" si="13"/>
      </c>
      <c r="GH13" s="1039">
        <f t="shared" si="13"/>
      </c>
      <c r="GI13" s="1039">
        <f t="shared" si="13"/>
      </c>
      <c r="GJ13" s="1040">
        <f t="shared" si="13"/>
      </c>
    </row>
    <row r="14" spans="1:192" s="1031" customFormat="1" ht="12.75" customHeight="1">
      <c r="A14" s="1027"/>
      <c r="B14" s="727" t="s">
        <v>1826</v>
      </c>
      <c r="C14" s="1039"/>
      <c r="D14" s="1039">
        <f>D10-C10</f>
      </c>
      <c r="E14" s="1039">
        <f>E10-D10</f>
      </c>
      <c r="F14" s="1039">
        <f>F10-E10</f>
      </c>
      <c r="G14" s="1040"/>
      <c r="H14" s="1039">
        <f>H10-F10</f>
      </c>
      <c r="I14" s="1039">
        <f>I10-H10</f>
      </c>
      <c r="J14" s="1039">
        <f>J10-I10</f>
      </c>
      <c r="K14" s="1039">
        <f>K10-J10</f>
      </c>
      <c r="L14" s="1040"/>
      <c r="M14" s="1039">
        <f>M10-K10</f>
      </c>
      <c r="N14" s="1039">
        <f>N10-M10</f>
      </c>
      <c r="O14" s="1039">
        <f>O10-N10</f>
      </c>
      <c r="P14" s="1039">
        <f>P10-O10</f>
      </c>
      <c r="Q14" s="1040"/>
      <c r="R14" s="1039">
        <f>R10-P10</f>
      </c>
      <c r="S14" s="1039">
        <f>S10-R10</f>
      </c>
      <c r="T14" s="1039">
        <f>T10-S10</f>
      </c>
      <c r="U14" s="1039">
        <f>U10-T10</f>
      </c>
      <c r="V14" s="1040"/>
      <c r="W14" s="1039">
        <f>W10-U10</f>
      </c>
      <c r="X14" s="1039">
        <f>X10-W10</f>
      </c>
      <c r="Y14" s="1039">
        <f>Y10-X10</f>
      </c>
      <c r="Z14" s="1039">
        <f>Z10-Y10</f>
      </c>
      <c r="AA14" s="1040"/>
      <c r="AB14" s="1039">
        <f>AB10-Z10</f>
      </c>
      <c r="AC14" s="1039">
        <f>AC10-AB10</f>
      </c>
      <c r="AD14" s="1039">
        <f>AD10-AC10</f>
      </c>
      <c r="AE14" s="1039">
        <f>AE10-AD10</f>
      </c>
      <c r="AF14" s="1040"/>
      <c r="AG14" s="1039">
        <f>AG10-AE10</f>
      </c>
      <c r="AH14" s="1039">
        <f>AH10-AG10</f>
      </c>
      <c r="AI14" s="1039">
        <f>AI10-AH10</f>
      </c>
      <c r="AJ14" s="1039">
        <f>AJ10-AI10</f>
      </c>
      <c r="AK14" s="1040"/>
      <c r="AL14" s="1039">
        <f>AL10-AJ10</f>
      </c>
      <c r="AM14" s="1039">
        <f>AM10-AL10</f>
      </c>
      <c r="AN14" s="1039">
        <f>AN10-AM10</f>
      </c>
      <c r="AO14" s="1039">
        <f>AO10-AN10</f>
      </c>
      <c r="AP14" s="1040"/>
      <c r="AQ14" s="1039">
        <f>AQ10-AO10</f>
      </c>
      <c r="AR14" s="1039">
        <f>AR10-AQ10</f>
      </c>
      <c r="AS14" s="1039">
        <f>AS10-AR10</f>
      </c>
      <c r="AT14" s="1039">
        <f>AT10-AS10</f>
      </c>
      <c r="AU14" s="1040"/>
      <c r="AV14" s="1039">
        <f>AV10-AT10</f>
      </c>
      <c r="AW14" s="1039">
        <f>AW10-AV10</f>
      </c>
      <c r="AX14" s="1039">
        <f>AX10-AW10</f>
      </c>
      <c r="AY14" s="1039">
        <f>AY10-AX10</f>
      </c>
      <c r="AZ14" s="1040"/>
      <c r="BA14" s="1039">
        <f>BA10-AY10</f>
      </c>
      <c r="BB14" s="1039">
        <f>BB10-BA10</f>
      </c>
      <c r="BC14" s="1039">
        <f>BC10-BB10</f>
      </c>
      <c r="BD14" s="1039">
        <f>BD10-BC10</f>
      </c>
      <c r="BE14" s="1040"/>
      <c r="BF14" s="1039">
        <f>BF10-BD10</f>
      </c>
      <c r="BG14" s="1039">
        <f>BG10-BF10</f>
      </c>
      <c r="BH14" s="1039">
        <f>BH10-BG10</f>
      </c>
      <c r="BI14" s="1039">
        <f>BI10-BH10</f>
      </c>
      <c r="BJ14" s="1040"/>
      <c r="BK14" s="1039">
        <f>BK10-BI10</f>
      </c>
      <c r="BL14" s="1039">
        <f>BL10-BK10</f>
      </c>
      <c r="BM14" s="1039">
        <f>BM10-BL10</f>
      </c>
      <c r="BN14" s="1039">
        <f>BN10-BM10</f>
      </c>
      <c r="BO14" s="1040"/>
      <c r="BP14" s="1039">
        <f>BP10-BN10</f>
      </c>
      <c r="BQ14" s="1039">
        <f>BQ10-BP10</f>
      </c>
      <c r="BR14" s="1039">
        <f>BR10-BQ10</f>
      </c>
      <c r="BS14" s="1039">
        <f>BS10-BR10</f>
      </c>
      <c r="BT14" s="1040"/>
      <c r="BU14" s="1039">
        <f>BU10-BS10</f>
      </c>
      <c r="BV14" s="1039">
        <f>BV10-BU10</f>
      </c>
      <c r="BW14" s="1039">
        <f>BW10-BV10</f>
      </c>
      <c r="BX14" s="1039">
        <f>BX10-BW10</f>
      </c>
      <c r="BY14" s="1040"/>
      <c r="BZ14" s="1039">
        <f>BZ10-BX10</f>
      </c>
      <c r="CA14" s="1039">
        <f>CA10-BZ10</f>
      </c>
      <c r="CB14" s="1039">
        <f>CB10-CA10</f>
      </c>
      <c r="CC14" s="1039">
        <f>CC10-CB10</f>
      </c>
      <c r="CD14" s="1040"/>
      <c r="CE14" s="1039">
        <f>CE10-CC10</f>
      </c>
      <c r="CF14" s="1039">
        <f>CF10-CE10</f>
      </c>
      <c r="CG14" s="1039">
        <f>CG10-CF10</f>
      </c>
      <c r="CH14" s="1039">
        <f>CH10-CG10</f>
      </c>
      <c r="CI14" s="1040"/>
      <c r="CJ14" s="1039">
        <f>CJ10-CH10</f>
      </c>
      <c r="CK14" s="1039">
        <f>CK10-CJ10</f>
      </c>
      <c r="CL14" s="1039">
        <f>CL10-CK10</f>
      </c>
      <c r="CM14" s="1039">
        <f>CM10-CL10</f>
      </c>
      <c r="CN14" s="1040"/>
      <c r="CO14" s="1039">
        <f>CO10-CM10</f>
      </c>
      <c r="CP14" s="1039">
        <f>CP10-CO10</f>
      </c>
      <c r="CQ14" s="1039">
        <f>CQ10-CP10</f>
      </c>
      <c r="CR14" s="1039">
        <f>CR10-CQ10</f>
      </c>
      <c r="CS14" s="1040"/>
      <c r="CT14" s="1039">
        <f>CT10-CR10</f>
      </c>
      <c r="CU14" s="1039">
        <f>CU10-CT10</f>
      </c>
      <c r="CV14" s="1039">
        <f>CV10-CU10</f>
      </c>
      <c r="CW14" s="1039">
        <f>CW10-CV10</f>
      </c>
      <c r="CX14" s="1040"/>
      <c r="CY14" s="1039">
        <f>CY10-CW10</f>
      </c>
      <c r="CZ14" s="1039">
        <f>CZ10-CY10</f>
      </c>
      <c r="DA14" s="1039">
        <f>DA10-CZ10</f>
      </c>
      <c r="DB14" s="1039">
        <f>DB10-DA10</f>
      </c>
      <c r="DC14" s="1040"/>
      <c r="DD14" s="1039">
        <f>DD10-DB10</f>
      </c>
      <c r="DE14" s="1039">
        <f>DE10-DD10</f>
      </c>
      <c r="DF14" s="1039">
        <f>DF10-DE10</f>
      </c>
      <c r="DG14" s="1039">
        <f>DG10-DF10</f>
      </c>
      <c r="DH14" s="1040"/>
      <c r="DI14" s="1039">
        <f>DI10-DG10</f>
      </c>
      <c r="DJ14" s="1039">
        <f>DJ10-DI10</f>
      </c>
      <c r="DK14" s="1039">
        <f>DK10-DJ10</f>
      </c>
      <c r="DL14" s="1039">
        <f>DL10-DK10</f>
      </c>
      <c r="DM14" s="1040"/>
      <c r="DN14" s="1039">
        <f>DN10-DL10</f>
      </c>
      <c r="DO14" s="1039">
        <f>DO10-DN10</f>
      </c>
      <c r="DP14" s="1039">
        <f>DP10-DO10</f>
      </c>
      <c r="DQ14" s="1039">
        <f>DQ10-DP10</f>
      </c>
      <c r="DR14" s="1040"/>
      <c r="DS14" s="1039">
        <f>DS10-DQ10</f>
      </c>
      <c r="DT14" s="1039">
        <f>DT10-DS10</f>
      </c>
      <c r="DU14" s="1039">
        <f>DU10-DT10</f>
      </c>
      <c r="DV14" s="1039">
        <f>DV10-DU10</f>
      </c>
      <c r="DW14" s="1040"/>
      <c r="DX14" s="1039">
        <f>DX10-DV10</f>
      </c>
      <c r="DY14" s="1039">
        <f>DY10-DX10</f>
      </c>
      <c r="DZ14" s="1039">
        <f>DZ10-DY10</f>
      </c>
      <c r="EA14" s="1039">
        <f>EA10-DZ10</f>
      </c>
      <c r="EB14" s="1040"/>
      <c r="EC14" s="1039">
        <f>EC10-EA10</f>
      </c>
      <c r="ED14" s="1039">
        <f>ED10-EC10</f>
      </c>
      <c r="EE14" s="1039">
        <f>EE10-ED10</f>
      </c>
      <c r="EF14" s="1039">
        <f>EF10-EE10</f>
      </c>
      <c r="EG14" s="1040"/>
      <c r="EH14" s="1039">
        <f>EH10-EF10</f>
      </c>
      <c r="EI14" s="1039">
        <f>EI10-EH10</f>
      </c>
      <c r="EJ14" s="1039">
        <f>EJ10-EI10</f>
      </c>
      <c r="EK14" s="1039">
        <f>EK10-EJ10</f>
      </c>
      <c r="EL14" s="1040"/>
      <c r="EM14" s="1039">
        <f>EM10-EK10</f>
      </c>
      <c r="EN14" s="1039">
        <f>EN10-EM10</f>
      </c>
      <c r="EO14" s="1039">
        <f>EO10-EN10</f>
      </c>
      <c r="EP14" s="1039">
        <f>EP10-EO10</f>
      </c>
      <c r="EQ14" s="1040"/>
      <c r="ER14" s="1039">
        <f>ER10-EP10</f>
      </c>
      <c r="ES14" s="1039">
        <f>ES10-ER10</f>
      </c>
      <c r="ET14" s="1039">
        <f>ET10-ES10</f>
      </c>
      <c r="EU14" s="1039">
        <f>EU10-ET10</f>
      </c>
      <c r="EV14" s="1040"/>
      <c r="EW14" s="1039">
        <f>EW10-EU10</f>
      </c>
      <c r="EX14" s="1039">
        <f>EX10-EW10</f>
      </c>
      <c r="EY14" s="1039">
        <f>EY10-EX10</f>
      </c>
      <c r="EZ14" s="1039">
        <f>EZ10-EY10</f>
      </c>
      <c r="FA14" s="1040"/>
      <c r="FB14" s="1039">
        <f>FB10-EZ10</f>
      </c>
      <c r="FC14" s="1039">
        <f>FC10-FB10</f>
      </c>
      <c r="FD14" s="1039">
        <f>FD10-FC10</f>
      </c>
      <c r="FE14" s="1039">
        <f>FE10-FD10</f>
      </c>
      <c r="FF14" s="1040"/>
      <c r="FG14" s="1039">
        <f>FG10-FE10</f>
      </c>
      <c r="FH14" s="1039">
        <f>FH10-FG10</f>
      </c>
      <c r="FI14" s="1039">
        <f>FI10-FH10</f>
      </c>
      <c r="FJ14" s="1039">
        <f>FJ10-FI10</f>
      </c>
      <c r="FK14" s="1040"/>
      <c r="FL14" s="1039">
        <f>FL10-FJ10</f>
      </c>
      <c r="FM14" s="1039">
        <f>FM10-FL10</f>
      </c>
      <c r="FN14" s="1039">
        <f>FN10-FM10</f>
      </c>
      <c r="FO14" s="1039">
        <f>FO10-FN10</f>
      </c>
      <c r="FP14" s="1040"/>
      <c r="FQ14" s="1039">
        <f>FQ10-FO10</f>
      </c>
      <c r="FR14" s="1039">
        <f>FR10-FQ10</f>
      </c>
      <c r="FS14" s="1039">
        <f>FS10-FR10</f>
      </c>
      <c r="FT14" s="1039">
        <f>FT10-FS10</f>
      </c>
      <c r="FU14" s="1040"/>
      <c r="FV14" s="1039">
        <f>FV10-FT10</f>
      </c>
      <c r="FW14" s="1039">
        <f>FW10-FV10</f>
      </c>
      <c r="FX14" s="1039">
        <f>FX10-FW10</f>
      </c>
      <c r="FY14" s="1039">
        <f>FY10-FX10</f>
      </c>
      <c r="FZ14" s="1040"/>
      <c r="GA14" s="1039">
        <f>GA10-FY10</f>
      </c>
      <c r="GB14" s="1039">
        <f>GB10-GA10</f>
      </c>
      <c r="GC14" s="1039">
        <f>GC10-GB10</f>
      </c>
      <c r="GD14" s="1039">
        <f>GD10-GC10</f>
      </c>
      <c r="GE14" s="1040"/>
      <c r="GF14" s="1039">
        <f>GF10-GD10</f>
      </c>
      <c r="GG14" s="1039">
        <f>GG10-GF10</f>
      </c>
      <c r="GH14" s="1039">
        <f>GH10-GG10</f>
      </c>
      <c r="GI14" s="1039">
        <f>GI10-GH10</f>
      </c>
      <c r="GJ14" s="1040"/>
    </row>
    <row r="15" spans="1:192" s="1031" customFormat="1" ht="12.75" customHeight="1">
      <c r="A15" s="1027"/>
      <c r="B15" s="727" t="s">
        <v>1917</v>
      </c>
      <c r="C15" s="1028"/>
      <c r="D15" s="1028"/>
      <c r="E15" s="1028"/>
      <c r="F15" s="1028"/>
      <c r="G15" s="1029"/>
      <c r="H15" s="1028"/>
      <c r="I15" s="1028"/>
      <c r="J15" s="1028"/>
      <c r="K15" s="1028"/>
      <c r="L15" s="1029"/>
      <c r="M15" s="1028"/>
      <c r="N15" s="1028"/>
      <c r="O15" s="1028"/>
      <c r="P15" s="1028"/>
      <c r="Q15" s="1029"/>
      <c r="R15" s="1030"/>
      <c r="S15" s="1030"/>
      <c r="T15" s="1030"/>
      <c r="U15" s="1030"/>
      <c r="V15" s="1029"/>
      <c r="W15" s="1030"/>
      <c r="X15" s="1030"/>
      <c r="Y15" s="1030"/>
      <c r="Z15" s="1030"/>
      <c r="AA15" s="1029"/>
      <c r="AB15" s="1030"/>
      <c r="AC15" s="1030"/>
      <c r="AD15" s="1030"/>
      <c r="AE15" s="1030"/>
      <c r="AF15" s="1029"/>
      <c r="AG15" s="1030"/>
      <c r="AH15" s="1030"/>
      <c r="AI15" s="1030"/>
      <c r="AJ15" s="1030"/>
      <c r="AK15" s="1029"/>
      <c r="AL15" s="1028"/>
      <c r="AM15" s="1028"/>
      <c r="AN15" s="1028"/>
      <c r="AO15" s="1028"/>
      <c r="AP15" s="1029"/>
      <c r="AQ15" s="1028"/>
      <c r="AR15" s="1028"/>
      <c r="AS15" s="1028"/>
      <c r="AT15" s="1028"/>
      <c r="AU15" s="1029"/>
      <c r="AV15" s="1028"/>
      <c r="AW15" s="1028"/>
      <c r="AX15" s="1028"/>
      <c r="AY15" s="1028"/>
      <c r="AZ15" s="1029"/>
      <c r="BA15" s="1028"/>
      <c r="BB15" s="1028"/>
      <c r="BC15" s="1028"/>
      <c r="BD15" s="1028"/>
      <c r="BE15" s="1029"/>
      <c r="BF15" s="1028"/>
      <c r="BG15" s="1028"/>
      <c r="BH15" s="1028"/>
      <c r="BI15" s="1028"/>
      <c r="BJ15" s="1029"/>
      <c r="BK15" s="1028"/>
      <c r="BL15" s="1028"/>
      <c r="BM15" s="1028"/>
      <c r="BN15" s="1028"/>
      <c r="BO15" s="1029"/>
      <c r="BP15" s="1028"/>
      <c r="BQ15" s="1028"/>
      <c r="BR15" s="1028"/>
      <c r="BS15" s="1028"/>
      <c r="BT15" s="1029"/>
      <c r="BU15" s="1039"/>
      <c r="BV15" s="1039"/>
      <c r="BW15" s="1039"/>
      <c r="BX15" s="1039"/>
      <c r="BY15" s="1040"/>
      <c r="BZ15" s="1039"/>
      <c r="CA15" s="1039"/>
      <c r="CB15" s="1039"/>
      <c r="CC15" s="1039"/>
      <c r="CD15" s="1040"/>
      <c r="CE15" s="1039"/>
      <c r="CF15" s="1039"/>
      <c r="CG15" s="1039"/>
      <c r="CH15" s="1039"/>
      <c r="CI15" s="1040"/>
      <c r="CJ15" s="1039"/>
      <c r="CK15" s="1039"/>
      <c r="CL15" s="1039"/>
      <c r="CM15" s="1039"/>
      <c r="CN15" s="1040"/>
      <c r="CO15" s="1039"/>
      <c r="CP15" s="1039"/>
      <c r="CQ15" s="1039"/>
      <c r="CR15" s="1039"/>
      <c r="CS15" s="1040"/>
      <c r="CT15" s="1039"/>
      <c r="CU15" s="1039"/>
      <c r="CV15" s="1039"/>
      <c r="CW15" s="1039"/>
      <c r="CX15" s="1040"/>
      <c r="CY15" s="1039"/>
      <c r="CZ15" s="1039"/>
      <c r="DA15" s="1039"/>
      <c r="DB15" s="1039"/>
      <c r="DC15" s="1040"/>
      <c r="DD15" s="1039"/>
      <c r="DE15" s="1039"/>
      <c r="DF15" s="1039"/>
      <c r="DG15" s="1039"/>
      <c r="DH15" s="1029">
        <f t="shared" ref="DH15:FS15" si="14">DH10/DH$24</f>
      </c>
      <c r="DI15" s="1028">
        <f t="shared" si="14"/>
      </c>
      <c r="DJ15" s="1028">
        <f t="shared" si="14"/>
      </c>
      <c r="DK15" s="1028">
        <f t="shared" si="14"/>
      </c>
      <c r="DL15" s="1028">
        <f t="shared" si="14"/>
      </c>
      <c r="DM15" s="1029">
        <f t="shared" si="14"/>
      </c>
      <c r="DN15" s="1028">
        <f t="shared" si="14"/>
      </c>
      <c r="DO15" s="1028">
        <f t="shared" si="14"/>
      </c>
      <c r="DP15" s="1028">
        <f t="shared" si="14"/>
      </c>
      <c r="DQ15" s="1028">
        <f t="shared" si="14"/>
      </c>
      <c r="DR15" s="1029">
        <f t="shared" si="14"/>
      </c>
      <c r="DS15" s="1028">
        <f t="shared" si="14"/>
      </c>
      <c r="DT15" s="1028">
        <f t="shared" si="14"/>
      </c>
      <c r="DU15" s="1028">
        <f t="shared" si="14"/>
      </c>
      <c r="DV15" s="1028">
        <f t="shared" si="14"/>
      </c>
      <c r="DW15" s="1029">
        <f t="shared" si="14"/>
      </c>
      <c r="DX15" s="1028">
        <f t="shared" si="14"/>
      </c>
      <c r="DY15" s="1028">
        <f t="shared" si="14"/>
      </c>
      <c r="DZ15" s="1028">
        <f t="shared" si="14"/>
      </c>
      <c r="EA15" s="1028">
        <f t="shared" si="14"/>
      </c>
      <c r="EB15" s="1029">
        <f t="shared" si="14"/>
      </c>
      <c r="EC15" s="1028">
        <f t="shared" si="14"/>
      </c>
      <c r="ED15" s="1028">
        <f t="shared" si="14"/>
      </c>
      <c r="EE15" s="1028">
        <f t="shared" si="14"/>
      </c>
      <c r="EF15" s="1028">
        <f t="shared" si="14"/>
      </c>
      <c r="EG15" s="1029">
        <f t="shared" si="14"/>
      </c>
      <c r="EH15" s="1028">
        <f t="shared" si="14"/>
      </c>
      <c r="EI15" s="1028">
        <f t="shared" si="14"/>
      </c>
      <c r="EJ15" s="1028">
        <f t="shared" si="14"/>
      </c>
      <c r="EK15" s="1028">
        <f t="shared" si="14"/>
      </c>
      <c r="EL15" s="1029">
        <f t="shared" si="14"/>
      </c>
      <c r="EM15" s="1028">
        <f t="shared" si="14"/>
      </c>
      <c r="EN15" s="1028">
        <f t="shared" si="14"/>
      </c>
      <c r="EO15" s="1028">
        <f t="shared" si="14"/>
      </c>
      <c r="EP15" s="1028">
        <f t="shared" si="14"/>
      </c>
      <c r="EQ15" s="1029">
        <f t="shared" si="14"/>
      </c>
      <c r="ER15" s="1028">
        <f t="shared" si="14"/>
      </c>
      <c r="ES15" s="1028">
        <f t="shared" si="14"/>
      </c>
      <c r="ET15" s="1028">
        <f t="shared" si="14"/>
      </c>
      <c r="EU15" s="1028">
        <f t="shared" si="14"/>
      </c>
      <c r="EV15" s="1029">
        <f t="shared" si="14"/>
      </c>
      <c r="EW15" s="1028">
        <f t="shared" si="14"/>
      </c>
      <c r="EX15" s="1028">
        <f t="shared" si="14"/>
      </c>
      <c r="EY15" s="1028">
        <f t="shared" si="14"/>
      </c>
      <c r="EZ15" s="1028">
        <f t="shared" si="14"/>
      </c>
      <c r="FA15" s="1029">
        <f t="shared" si="14"/>
      </c>
      <c r="FB15" s="1028">
        <f t="shared" si="14"/>
      </c>
      <c r="FC15" s="1028">
        <f t="shared" si="14"/>
      </c>
      <c r="FD15" s="1028">
        <f t="shared" si="14"/>
      </c>
      <c r="FE15" s="1028">
        <f t="shared" si="14"/>
      </c>
      <c r="FF15" s="1029">
        <f t="shared" si="14"/>
      </c>
      <c r="FG15" s="1028">
        <f t="shared" si="14"/>
      </c>
      <c r="FH15" s="1028">
        <f t="shared" si="14"/>
      </c>
      <c r="FI15" s="1028">
        <f t="shared" si="14"/>
      </c>
      <c r="FJ15" s="1028">
        <f t="shared" si="14"/>
      </c>
      <c r="FK15" s="1029">
        <f t="shared" si="14"/>
      </c>
      <c r="FL15" s="1028">
        <f t="shared" si="14"/>
      </c>
      <c r="FM15" s="1028">
        <f t="shared" si="14"/>
      </c>
      <c r="FN15" s="1028">
        <f t="shared" si="14"/>
      </c>
      <c r="FO15" s="1028">
        <f t="shared" si="14"/>
      </c>
      <c r="FP15" s="1029">
        <f t="shared" si="14"/>
      </c>
      <c r="FQ15" s="1028">
        <f t="shared" si="14"/>
      </c>
      <c r="FR15" s="1028">
        <f t="shared" si="14"/>
      </c>
      <c r="FS15" s="1028">
        <f t="shared" si="14"/>
      </c>
      <c r="FT15" s="1028">
        <f t="shared" ref="FT15:GJ15" si="15">FT10/FT$24</f>
      </c>
      <c r="FU15" s="1029">
        <f t="shared" si="15"/>
      </c>
      <c r="FV15" s="1028">
        <f t="shared" si="15"/>
      </c>
      <c r="FW15" s="1028">
        <f t="shared" si="15"/>
      </c>
      <c r="FX15" s="1028">
        <f t="shared" si="15"/>
      </c>
      <c r="FY15" s="1028">
        <f t="shared" si="15"/>
      </c>
      <c r="FZ15" s="1029">
        <f t="shared" si="15"/>
      </c>
      <c r="GA15" s="1028">
        <f t="shared" si="15"/>
      </c>
      <c r="GB15" s="1028">
        <f t="shared" si="15"/>
      </c>
      <c r="GC15" s="1028">
        <f t="shared" si="15"/>
      </c>
      <c r="GD15" s="1028">
        <f t="shared" si="15"/>
      </c>
      <c r="GE15" s="1029">
        <f t="shared" si="15"/>
      </c>
      <c r="GF15" s="1028">
        <f t="shared" si="15"/>
      </c>
      <c r="GG15" s="1028">
        <f t="shared" si="15"/>
      </c>
      <c r="GH15" s="1028">
        <f t="shared" si="15"/>
      </c>
      <c r="GI15" s="1028">
        <f t="shared" si="15"/>
      </c>
      <c r="GJ15" s="1029">
        <f t="shared" si="15"/>
      </c>
    </row>
    <row r="16" spans="1:192" s="1031" customFormat="1" ht="12.75" customHeight="1">
      <c r="A16" s="1027"/>
      <c r="B16" s="727"/>
      <c r="C16" s="1028"/>
      <c r="D16" s="1028"/>
      <c r="E16" s="1028"/>
      <c r="F16" s="1028"/>
      <c r="G16" s="1029"/>
      <c r="H16" s="1028"/>
      <c r="I16" s="1028"/>
      <c r="J16" s="1028"/>
      <c r="K16" s="1028"/>
      <c r="L16" s="1029"/>
      <c r="M16" s="1028"/>
      <c r="N16" s="1028"/>
      <c r="O16" s="1028"/>
      <c r="P16" s="1028"/>
      <c r="Q16" s="1029"/>
      <c r="R16" s="1030"/>
      <c r="S16" s="1030"/>
      <c r="T16" s="1030"/>
      <c r="U16" s="1030"/>
      <c r="V16" s="1029"/>
      <c r="W16" s="1030"/>
      <c r="X16" s="1030"/>
      <c r="Y16" s="1030"/>
      <c r="Z16" s="1030"/>
      <c r="AA16" s="1029"/>
      <c r="AB16" s="1030"/>
      <c r="AC16" s="1030"/>
      <c r="AD16" s="1030"/>
      <c r="AE16" s="1030"/>
      <c r="AF16" s="1029"/>
      <c r="AG16" s="1030"/>
      <c r="AH16" s="1030"/>
      <c r="AI16" s="1030"/>
      <c r="AJ16" s="1030"/>
      <c r="AK16" s="1029"/>
      <c r="AL16" s="1028"/>
      <c r="AM16" s="1028"/>
      <c r="AN16" s="1028"/>
      <c r="AO16" s="1028"/>
      <c r="AP16" s="1029"/>
      <c r="AQ16" s="1028"/>
      <c r="AR16" s="1028"/>
      <c r="AS16" s="1028"/>
      <c r="AT16" s="1028"/>
      <c r="AU16" s="1029"/>
      <c r="AV16" s="1028"/>
      <c r="AW16" s="1028"/>
      <c r="AX16" s="1028"/>
      <c r="AY16" s="1028"/>
      <c r="AZ16" s="1029"/>
      <c r="BA16" s="1028"/>
      <c r="BB16" s="1028"/>
      <c r="BC16" s="1028"/>
      <c r="BD16" s="1028"/>
      <c r="BE16" s="1029"/>
      <c r="BF16" s="1028"/>
      <c r="BG16" s="1028"/>
      <c r="BH16" s="1028"/>
      <c r="BI16" s="1028"/>
      <c r="BJ16" s="1029"/>
      <c r="BK16" s="1028"/>
      <c r="BL16" s="1028"/>
      <c r="BM16" s="1028"/>
      <c r="BN16" s="1028"/>
      <c r="BO16" s="1029"/>
      <c r="BP16" s="1028"/>
      <c r="BQ16" s="1028"/>
      <c r="BR16" s="1028"/>
      <c r="BS16" s="1028"/>
      <c r="BT16" s="1029"/>
      <c r="BU16" s="1028"/>
      <c r="BV16" s="1028"/>
      <c r="BW16" s="1028"/>
      <c r="BX16" s="1028"/>
      <c r="BY16" s="1029"/>
      <c r="BZ16" s="1028"/>
      <c r="CA16" s="1028"/>
      <c r="CB16" s="1028"/>
      <c r="CC16" s="1028"/>
      <c r="CD16" s="1029"/>
      <c r="CE16" s="1028"/>
      <c r="CF16" s="1028"/>
      <c r="CG16" s="1028"/>
      <c r="CH16" s="1028"/>
      <c r="CI16" s="1029"/>
      <c r="CJ16" s="1028"/>
      <c r="CK16" s="1028"/>
      <c r="CL16" s="1028"/>
      <c r="CM16" s="1028"/>
      <c r="CN16" s="1029"/>
      <c r="CO16" s="1028"/>
      <c r="CP16" s="1028"/>
      <c r="CQ16" s="1028"/>
      <c r="CR16" s="1028"/>
      <c r="CS16" s="1029"/>
      <c r="CT16" s="1028"/>
      <c r="CU16" s="1028"/>
      <c r="CV16" s="1028"/>
      <c r="CW16" s="1028"/>
      <c r="CX16" s="1029"/>
      <c r="CY16" s="1028"/>
      <c r="CZ16" s="1028"/>
      <c r="DA16" s="1028"/>
      <c r="DB16" s="1028"/>
      <c r="DC16" s="1029"/>
      <c r="DD16" s="1039"/>
      <c r="DE16" s="1039"/>
      <c r="DF16" s="1039"/>
      <c r="DG16" s="1039"/>
      <c r="DH16" s="1029"/>
      <c r="DI16" s="1039"/>
      <c r="DJ16" s="1039"/>
      <c r="DK16" s="1039"/>
      <c r="DL16" s="1039"/>
      <c r="DM16" s="1040"/>
      <c r="DN16" s="1039"/>
      <c r="DO16" s="1039"/>
      <c r="DP16" s="1039"/>
      <c r="DQ16" s="1039"/>
      <c r="DR16" s="1040"/>
      <c r="DS16" s="1039"/>
      <c r="DT16" s="1039"/>
      <c r="DU16" s="1039"/>
      <c r="DV16" s="1039"/>
      <c r="DW16" s="1040"/>
      <c r="DX16" s="1039"/>
      <c r="DY16" s="1039"/>
      <c r="DZ16" s="1039"/>
      <c r="EA16" s="1039"/>
      <c r="EB16" s="1040"/>
      <c r="EC16" s="1039"/>
      <c r="ED16" s="1039"/>
      <c r="EE16" s="1039"/>
      <c r="EF16" s="1039"/>
      <c r="EG16" s="1040"/>
      <c r="EH16" s="1039"/>
      <c r="EI16" s="1039"/>
      <c r="EJ16" s="1039"/>
      <c r="EK16" s="1039"/>
      <c r="EL16" s="1040"/>
      <c r="EM16" s="1039"/>
      <c r="EN16" s="1039"/>
      <c r="EO16" s="1039"/>
      <c r="EP16" s="1039"/>
      <c r="EQ16" s="1040"/>
      <c r="ER16" s="1039"/>
      <c r="ES16" s="1039"/>
      <c r="ET16" s="1362"/>
      <c r="EU16" s="996"/>
      <c r="EV16" s="854"/>
      <c r="EW16" s="996"/>
      <c r="EX16" s="996"/>
      <c r="EY16" s="1362"/>
      <c r="EZ16" s="996"/>
      <c r="FA16" s="854"/>
      <c r="FB16" s="996"/>
      <c r="FC16" s="996"/>
      <c r="FD16" s="996"/>
      <c r="FE16" s="996"/>
      <c r="FF16" s="854"/>
      <c r="FG16" s="996"/>
      <c r="FH16" s="996"/>
      <c r="FI16" s="996"/>
      <c r="FJ16" s="996"/>
      <c r="FK16" s="854"/>
      <c r="FL16" s="996"/>
      <c r="FM16" s="996"/>
      <c r="FN16" s="996"/>
      <c r="FO16" s="996"/>
      <c r="FP16" s="1363"/>
      <c r="FQ16" s="1362"/>
      <c r="FR16" s="1362"/>
      <c r="FS16" s="1362"/>
      <c r="FT16" s="1362"/>
      <c r="FU16" s="1363"/>
      <c r="FV16" s="1362"/>
      <c r="FW16" s="1362"/>
      <c r="FX16" s="1362"/>
      <c r="FY16" s="1362"/>
      <c r="FZ16" s="1363"/>
      <c r="GA16" s="1362"/>
      <c r="GB16" s="1362"/>
      <c r="GC16" s="1362"/>
      <c r="GD16" s="1362"/>
      <c r="GE16" s="1363"/>
      <c r="GF16" s="1362"/>
      <c r="GG16" s="1362"/>
      <c r="GH16" s="1362"/>
      <c r="GI16" s="1362"/>
      <c r="GJ16" s="1363"/>
    </row>
    <row r="17" spans="1:192" ht="12.75" customHeight="1">
      <c r="A17" s="370" t="s">
        <v>31</v>
      </c>
      <c r="B17" s="621" t="s">
        <v>456</v>
      </c>
      <c r="C17" s="624"/>
      <c r="D17" s="624"/>
      <c r="E17" s="624"/>
      <c r="F17" s="624"/>
      <c r="G17" s="622"/>
      <c r="H17" s="624"/>
      <c r="I17" s="624"/>
      <c r="J17" s="624"/>
      <c r="K17" s="624"/>
      <c r="L17" s="622"/>
      <c r="M17" s="624"/>
      <c r="N17" s="624"/>
      <c r="O17" s="624"/>
      <c r="P17" s="624"/>
      <c r="Q17" s="622"/>
      <c r="R17" s="981"/>
      <c r="S17" s="981"/>
      <c r="T17" s="981"/>
      <c r="U17" s="981"/>
      <c r="V17" s="622"/>
      <c r="W17" s="981"/>
      <c r="X17" s="981"/>
      <c r="Y17" s="981"/>
      <c r="Z17" s="981"/>
      <c r="AA17" s="622"/>
      <c r="AB17" s="981"/>
      <c r="AC17" s="981"/>
      <c r="AD17" s="981"/>
      <c r="AE17" s="981"/>
      <c r="AF17" s="622"/>
      <c r="AG17" s="981"/>
      <c r="AH17" s="981"/>
      <c r="AI17" s="981"/>
      <c r="AJ17" s="981"/>
      <c r="AK17" s="622"/>
      <c r="AL17" s="624"/>
      <c r="AM17" s="624"/>
      <c r="AN17" s="624"/>
      <c r="AO17" s="624"/>
      <c r="AP17" s="622"/>
      <c r="AQ17" s="624"/>
      <c r="AR17" s="624"/>
      <c r="AS17" s="624"/>
      <c r="AT17" s="624"/>
      <c r="AU17" s="622"/>
      <c r="AV17" s="624"/>
      <c r="AW17" s="624"/>
      <c r="AX17" s="624"/>
      <c r="AY17" s="624"/>
      <c r="AZ17" s="622"/>
      <c r="BA17" s="624"/>
      <c r="BB17" s="624"/>
      <c r="BC17" s="624"/>
      <c r="BD17" s="624"/>
      <c r="BE17" s="622"/>
      <c r="BF17" s="624"/>
      <c r="BG17" s="624"/>
      <c r="BH17" s="624"/>
      <c r="BI17" s="624"/>
      <c r="BJ17" s="622"/>
      <c r="BK17" s="624"/>
      <c r="BL17" s="624"/>
      <c r="BM17" s="624"/>
      <c r="BN17" s="624"/>
      <c r="BO17" s="622"/>
      <c r="BP17" s="624"/>
      <c r="BQ17" s="624"/>
      <c r="BR17" s="624"/>
      <c r="BS17" s="624"/>
      <c r="BT17" s="622"/>
      <c r="BU17" s="820"/>
      <c r="BV17" s="820"/>
      <c r="BW17" s="820"/>
      <c r="BX17" s="820"/>
      <c r="BY17" s="830"/>
      <c r="BZ17" s="820"/>
      <c r="CA17" s="820"/>
      <c r="CB17" s="820"/>
      <c r="CC17" s="820"/>
      <c r="CD17" s="830"/>
      <c r="CE17" s="820"/>
      <c r="CF17" s="820"/>
      <c r="CG17" s="820"/>
      <c r="CH17" s="820"/>
      <c r="CI17" s="830"/>
      <c r="CJ17" s="820"/>
      <c r="CK17" s="820"/>
      <c r="CL17" s="820"/>
      <c r="CM17" s="820"/>
      <c r="CN17" s="830"/>
      <c r="CO17" s="820"/>
      <c r="CP17" s="820"/>
      <c r="CQ17" s="820"/>
      <c r="CR17" s="820"/>
      <c r="CS17" s="830"/>
      <c r="CT17" s="820"/>
      <c r="CU17" s="820"/>
      <c r="CV17" s="820"/>
      <c r="CW17" s="820"/>
      <c r="CX17" s="830"/>
      <c r="CY17" s="820"/>
      <c r="CZ17" s="820"/>
      <c r="DA17" s="820"/>
      <c r="DB17" s="820"/>
      <c r="DC17" s="830"/>
      <c r="DD17" s="820">
        <f>-BS!DD114</f>
      </c>
      <c r="DE17" s="820">
        <f>-BS!DE114</f>
      </c>
      <c r="DF17" s="820">
        <f>-BS!DF114</f>
      </c>
      <c r="DG17" s="820">
        <f>-BS!DG114</f>
      </c>
      <c r="DH17" s="830">
        <f>-BS!DH114</f>
      </c>
      <c r="DI17" s="820">
        <f>-BS!DI114</f>
      </c>
      <c r="DJ17" s="820">
        <f>-BS!DJ114</f>
      </c>
      <c r="DK17" s="820">
        <f>-BS!DK114</f>
      </c>
      <c r="DL17" s="820">
        <f>-BS!DL114</f>
      </c>
      <c r="DM17" s="830">
        <f>-BS!DM114</f>
      </c>
      <c r="DN17" s="820">
        <f>-BS!DN114</f>
      </c>
      <c r="DO17" s="820">
        <f>-BS!DO114</f>
      </c>
      <c r="DP17" s="820">
        <f>-BS!DP114</f>
      </c>
      <c r="DQ17" s="820">
        <f>-BS!DQ114</f>
      </c>
      <c r="DR17" s="830">
        <f>-BS!DR114</f>
      </c>
      <c r="DS17" s="820">
        <f>-BS!DS114</f>
      </c>
      <c r="DT17" s="820">
        <f>-BS!DT114</f>
      </c>
      <c r="DU17" s="820">
        <f>-BS!DU114</f>
      </c>
      <c r="DV17" s="820">
        <f>-BS!DV114</f>
      </c>
      <c r="DW17" s="830">
        <f>-BS!DW114</f>
      </c>
      <c r="DX17" s="820">
        <f>-BS!DX114</f>
      </c>
      <c r="DY17" s="820">
        <f>-BS!DY114</f>
      </c>
      <c r="DZ17" s="820">
        <f>-BS!DZ114</f>
      </c>
      <c r="EA17" s="820">
        <f>-BS!EA114</f>
      </c>
      <c r="EB17" s="830">
        <f>-BS!EB114</f>
      </c>
      <c r="EC17" s="820">
        <f>-BS!EC114</f>
      </c>
      <c r="ED17" s="820">
        <f>-BS!ED114</f>
      </c>
      <c r="EE17" s="820">
        <f>-BS!EE114</f>
      </c>
      <c r="EF17" s="820">
        <f>-BS!EF114</f>
      </c>
      <c r="EG17" s="830">
        <f>-BS!EG114</f>
      </c>
      <c r="EH17" s="820">
        <f>-BS!EH114</f>
      </c>
      <c r="EI17" s="820">
        <f>-BS!EI114</f>
      </c>
      <c r="EJ17" s="820">
        <f>-BS!EJ114</f>
      </c>
      <c r="EK17" s="820">
        <f>-BS!EK114</f>
      </c>
      <c r="EL17" s="830">
        <f>-BS!EL114</f>
      </c>
      <c r="EM17" s="820">
        <f>-BS!EM114</f>
      </c>
      <c r="EN17" s="820">
        <f>-BS!EN114</f>
      </c>
      <c r="EO17" s="820">
        <f>-BS!EO114</f>
      </c>
      <c r="EP17" s="820">
        <f>-BS!EP114</f>
      </c>
      <c r="EQ17" s="830">
        <f>-BS!EQ114</f>
      </c>
      <c r="ER17" s="820">
        <f>-BS!ER114</f>
      </c>
      <c r="ES17" s="820">
        <f>-BS!ES114</f>
      </c>
      <c r="ET17" s="820">
        <f>-BS!ET114</f>
      </c>
      <c r="EU17" s="820">
        <f>-BS!EU114</f>
      </c>
      <c r="EV17" s="830">
        <f>-BS!EV114</f>
      </c>
      <c r="EW17" s="820">
        <f>-BS!EW114</f>
      </c>
      <c r="EX17" s="820">
        <f>-BS!EX114</f>
      </c>
      <c r="EY17" s="820">
        <f>-BS!EY114</f>
      </c>
      <c r="EZ17" s="820">
        <f>-BS!EZ114</f>
      </c>
      <c r="FA17" s="830">
        <f>-BS!FA114</f>
      </c>
      <c r="FB17" s="820">
        <f>-BS!FB114</f>
      </c>
      <c r="FC17" s="820">
        <f>-BS!FC114</f>
      </c>
      <c r="FD17" s="820">
        <f>-BS!FD114</f>
      </c>
      <c r="FE17" s="820">
        <f>-BS!FE114</f>
      </c>
      <c r="FF17" s="830">
        <f>-BS!FF114</f>
      </c>
      <c r="FG17" s="820">
        <f>-BS!FG114</f>
      </c>
      <c r="FH17" s="820">
        <f>-BS!FH114</f>
      </c>
      <c r="FI17" s="820">
        <f>-BS!FI114</f>
      </c>
      <c r="FJ17" s="820">
        <f>-BS!FJ114</f>
      </c>
      <c r="FK17" s="830">
        <f>-BS!FK114</f>
      </c>
      <c r="FL17" s="820">
        <f>-BS!FL114</f>
      </c>
      <c r="FM17" s="820">
        <f>-BS!FM114</f>
      </c>
      <c r="FN17" s="820">
        <f>-BS!FN114</f>
      </c>
      <c r="FO17" s="820">
        <f>-BS!FO114</f>
      </c>
      <c r="FP17" s="830">
        <f>-BS!FP114</f>
      </c>
      <c r="FQ17" s="820">
        <f>-BS!FQ114</f>
      </c>
      <c r="FR17" s="820">
        <f>-BS!FR114</f>
      </c>
      <c r="FS17" s="820">
        <f>-BS!FS114</f>
      </c>
      <c r="FT17" s="820">
        <f>-BS!FT114</f>
      </c>
      <c r="FU17" s="830">
        <f>-BS!FU114</f>
      </c>
      <c r="FV17" s="820">
        <f>-BS!FV114</f>
      </c>
      <c r="FW17" s="820">
        <f>-BS!FW114</f>
      </c>
      <c r="FX17" s="820">
        <f>-BS!FX114</f>
      </c>
      <c r="FY17" s="820">
        <f>-BS!FY114</f>
      </c>
      <c r="FZ17" s="830">
        <f>-BS!FZ114</f>
      </c>
      <c r="GA17" s="820">
        <f>-BS!GA114</f>
      </c>
      <c r="GB17" s="820">
        <f>-BS!GB114</f>
      </c>
      <c r="GC17" s="820">
        <f>-BS!GC114</f>
      </c>
      <c r="GD17" s="820">
        <f>-BS!GD114</f>
      </c>
      <c r="GE17" s="830">
        <f>-BS!GE114</f>
      </c>
      <c r="GF17" s="820">
        <f>-BS!GF114</f>
      </c>
      <c r="GG17" s="820">
        <f>-BS!GG114</f>
      </c>
      <c r="GH17" s="820">
        <f>-BS!GH114</f>
      </c>
      <c r="GI17" s="820">
        <f>-BS!GI114</f>
      </c>
      <c r="GJ17" s="830">
        <f>-BS!GJ114</f>
      </c>
    </row>
    <row r="18" spans="1:192" s="1031" customFormat="1" ht="12.75" customHeight="1">
      <c r="A18" s="1027"/>
      <c r="B18" s="727" t="s">
        <v>34</v>
      </c>
      <c r="C18" s="1028"/>
      <c r="D18" s="1028"/>
      <c r="E18" s="1028"/>
      <c r="F18" s="1028"/>
      <c r="G18" s="1029"/>
      <c r="H18" s="1028"/>
      <c r="I18" s="1028"/>
      <c r="J18" s="1028"/>
      <c r="K18" s="1028"/>
      <c r="L18" s="1029"/>
      <c r="M18" s="1028"/>
      <c r="N18" s="1028"/>
      <c r="O18" s="1028"/>
      <c r="P18" s="1028"/>
      <c r="Q18" s="1029"/>
      <c r="R18" s="1030"/>
      <c r="S18" s="1030"/>
      <c r="T18" s="1030"/>
      <c r="U18" s="1030"/>
      <c r="V18" s="1029"/>
      <c r="W18" s="1030"/>
      <c r="X18" s="1030"/>
      <c r="Y18" s="1030"/>
      <c r="Z18" s="1030"/>
      <c r="AA18" s="1029"/>
      <c r="AB18" s="1030"/>
      <c r="AC18" s="1030"/>
      <c r="AD18" s="1030"/>
      <c r="AE18" s="1030"/>
      <c r="AF18" s="1029"/>
      <c r="AG18" s="1030"/>
      <c r="AH18" s="1030"/>
      <c r="AI18" s="1030"/>
      <c r="AJ18" s="1030"/>
      <c r="AK18" s="1029"/>
      <c r="AL18" s="1028"/>
      <c r="AM18" s="1028"/>
      <c r="AN18" s="1028"/>
      <c r="AO18" s="1028"/>
      <c r="AP18" s="1029"/>
      <c r="AQ18" s="1028"/>
      <c r="AR18" s="1028"/>
      <c r="AS18" s="1028"/>
      <c r="AT18" s="1028"/>
      <c r="AU18" s="1029"/>
      <c r="AV18" s="1028"/>
      <c r="AW18" s="1028"/>
      <c r="AX18" s="1028"/>
      <c r="AY18" s="1028"/>
      <c r="AZ18" s="1029"/>
      <c r="BA18" s="1028"/>
      <c r="BB18" s="1028"/>
      <c r="BC18" s="1028"/>
      <c r="BD18" s="1028"/>
      <c r="BE18" s="1029"/>
      <c r="BF18" s="1028"/>
      <c r="BG18" s="1028"/>
      <c r="BH18" s="1028"/>
      <c r="BI18" s="1028"/>
      <c r="BJ18" s="1029"/>
      <c r="BK18" s="1028"/>
      <c r="BL18" s="1028"/>
      <c r="BM18" s="1028"/>
      <c r="BN18" s="1028"/>
      <c r="BO18" s="1029"/>
      <c r="BP18" s="1028"/>
      <c r="BQ18" s="1028"/>
      <c r="BR18" s="1028"/>
      <c r="BS18" s="1028"/>
      <c r="BT18" s="1029"/>
      <c r="BU18" s="1028"/>
      <c r="BV18" s="1028"/>
      <c r="BW18" s="1028"/>
      <c r="BX18" s="1028"/>
      <c r="BY18" s="1029"/>
      <c r="BZ18" s="1028"/>
      <c r="CA18" s="1028"/>
      <c r="CB18" s="1028"/>
      <c r="CC18" s="1028"/>
      <c r="CD18" s="1029"/>
      <c r="CE18" s="1028"/>
      <c r="CF18" s="1028"/>
      <c r="CG18" s="1028"/>
      <c r="CH18" s="1028"/>
      <c r="CI18" s="1029"/>
      <c r="CJ18" s="1028"/>
      <c r="CK18" s="1028"/>
      <c r="CL18" s="1028"/>
      <c r="CM18" s="1028"/>
      <c r="CN18" s="1029"/>
      <c r="CO18" s="1028"/>
      <c r="CP18" s="1028"/>
      <c r="CQ18" s="1028"/>
      <c r="CR18" s="1028"/>
      <c r="CS18" s="1029"/>
      <c r="CT18" s="1028"/>
      <c r="CU18" s="1028"/>
      <c r="CV18" s="1028"/>
      <c r="CW18" s="1028"/>
      <c r="CX18" s="1029"/>
      <c r="CY18" s="1028"/>
      <c r="CZ18" s="1028"/>
      <c r="DA18" s="1028"/>
      <c r="DB18" s="1028"/>
      <c r="DC18" s="1029"/>
      <c r="DD18" s="1028" t="str">
        <f t="shared" ref="DD18" si="16">IFERROR(DD17/CY17-1,"")</f>
      </c>
      <c r="DE18" s="1028" t="str">
        <f t="shared" ref="DE18" si="17">IFERROR(DE17/CZ17-1,"")</f>
      </c>
      <c r="DF18" s="1028" t="str">
        <f t="shared" ref="DF18" si="18">IFERROR(DF17/DA17-1,"")</f>
      </c>
      <c r="DG18" s="1028" t="str">
        <f t="shared" ref="DG18" si="19">IFERROR(DG17/DB17-1,"")</f>
      </c>
      <c r="DH18" s="1029" t="str">
        <f t="shared" ref="DH18" si="20">IFERROR(DH17/DC17-1,"")</f>
      </c>
      <c r="DI18" s="1028">
        <f t="shared" ref="DI18:EN18" si="21">IFERROR(DI17/DD17-1,"")</f>
      </c>
      <c r="DJ18" s="1028">
        <f t="shared" si="21"/>
      </c>
      <c r="DK18" s="1028">
        <f t="shared" si="21"/>
      </c>
      <c r="DL18" s="1028">
        <f t="shared" si="21"/>
      </c>
      <c r="DM18" s="1029">
        <f t="shared" si="21"/>
      </c>
      <c r="DN18" s="1028">
        <f t="shared" si="21"/>
      </c>
      <c r="DO18" s="1028">
        <f t="shared" si="21"/>
      </c>
      <c r="DP18" s="1028">
        <f t="shared" si="21"/>
      </c>
      <c r="DQ18" s="1028">
        <f t="shared" si="21"/>
      </c>
      <c r="DR18" s="1029">
        <f t="shared" si="21"/>
      </c>
      <c r="DS18" s="1028">
        <f t="shared" si="21"/>
      </c>
      <c r="DT18" s="1028">
        <f t="shared" si="21"/>
      </c>
      <c r="DU18" s="1028">
        <f t="shared" si="21"/>
      </c>
      <c r="DV18" s="1028">
        <f t="shared" si="21"/>
      </c>
      <c r="DW18" s="1029">
        <f t="shared" si="21"/>
      </c>
      <c r="DX18" s="1028">
        <f t="shared" si="21"/>
      </c>
      <c r="DY18" s="1028">
        <f t="shared" si="21"/>
      </c>
      <c r="DZ18" s="1028">
        <f t="shared" si="21"/>
      </c>
      <c r="EA18" s="1028">
        <f t="shared" si="21"/>
      </c>
      <c r="EB18" s="1029">
        <f t="shared" si="21"/>
      </c>
      <c r="EC18" s="1028">
        <f t="shared" si="21"/>
      </c>
      <c r="ED18" s="1028">
        <f t="shared" si="21"/>
      </c>
      <c r="EE18" s="1028">
        <f t="shared" si="21"/>
      </c>
      <c r="EF18" s="1028">
        <f t="shared" si="21"/>
      </c>
      <c r="EG18" s="1029">
        <f t="shared" si="21"/>
      </c>
      <c r="EH18" s="1028">
        <f t="shared" si="21"/>
      </c>
      <c r="EI18" s="1028">
        <f t="shared" si="21"/>
      </c>
      <c r="EJ18" s="1028">
        <f t="shared" si="21"/>
      </c>
      <c r="EK18" s="1028">
        <f t="shared" si="21"/>
      </c>
      <c r="EL18" s="1029">
        <f t="shared" si="21"/>
      </c>
      <c r="EM18" s="1028">
        <f t="shared" si="21"/>
      </c>
      <c r="EN18" s="1028">
        <f t="shared" si="21"/>
      </c>
      <c r="EO18" s="1028">
        <f t="shared" ref="EO18:FT18" si="22">IFERROR(EO17/EJ17-1,"")</f>
      </c>
      <c r="EP18" s="1028">
        <f t="shared" si="22"/>
      </c>
      <c r="EQ18" s="1029">
        <f t="shared" si="22"/>
      </c>
      <c r="ER18" s="1028">
        <f t="shared" si="22"/>
      </c>
      <c r="ES18" s="1028">
        <f t="shared" si="22"/>
      </c>
      <c r="ET18" s="1028">
        <f t="shared" si="22"/>
      </c>
      <c r="EU18" s="1028">
        <f>IFERROR(EU17/EP17-1,"")</f>
      </c>
      <c r="EV18" s="1029">
        <f>IFERROR(EV17/EQ17-1,"")</f>
      </c>
      <c r="EW18" s="1028">
        <f t="shared" si="22"/>
      </c>
      <c r="EX18" s="1028">
        <f t="shared" si="22"/>
      </c>
      <c r="EY18" s="1028">
        <f t="shared" si="22"/>
      </c>
      <c r="EZ18" s="1028">
        <f>IFERROR(EZ17/EU17-1,"")</f>
      </c>
      <c r="FA18" s="1029">
        <f>IFERROR(FA17/EV17-1,"")</f>
      </c>
      <c r="FB18" s="1028">
        <f t="shared" si="22"/>
      </c>
      <c r="FC18" s="1028">
        <f t="shared" si="22"/>
      </c>
      <c r="FD18" s="1028">
        <f t="shared" si="22"/>
      </c>
      <c r="FE18" s="1028">
        <f t="shared" si="22"/>
      </c>
      <c r="FF18" s="1029">
        <f t="shared" si="22"/>
      </c>
      <c r="FG18" s="1028">
        <f t="shared" si="22"/>
      </c>
      <c r="FH18" s="1028">
        <f t="shared" si="22"/>
      </c>
      <c r="FI18" s="1028">
        <f t="shared" si="22"/>
      </c>
      <c r="FJ18" s="1028">
        <f t="shared" si="22"/>
      </c>
      <c r="FK18" s="1029">
        <f t="shared" si="22"/>
      </c>
      <c r="FL18" s="1028">
        <f t="shared" si="22"/>
      </c>
      <c r="FM18" s="1028">
        <f t="shared" si="22"/>
      </c>
      <c r="FN18" s="1028">
        <f t="shared" si="22"/>
      </c>
      <c r="FO18" s="1028">
        <f t="shared" si="22"/>
      </c>
      <c r="FP18" s="1029">
        <f t="shared" si="22"/>
      </c>
      <c r="FQ18" s="1028">
        <f t="shared" si="22"/>
      </c>
      <c r="FR18" s="1028">
        <f t="shared" si="22"/>
      </c>
      <c r="FS18" s="1028">
        <f t="shared" si="22"/>
      </c>
      <c r="FT18" s="1028">
        <f t="shared" si="22"/>
      </c>
      <c r="FU18" s="1029">
        <f t="shared" ref="FU18:FZ18" si="23">IFERROR(FU17/FP17-1,"")</f>
      </c>
      <c r="FV18" s="1028">
        <f t="shared" si="23"/>
      </c>
      <c r="FW18" s="1028">
        <f t="shared" si="23"/>
      </c>
      <c r="FX18" s="1028">
        <f t="shared" si="23"/>
      </c>
      <c r="FY18" s="1028">
        <f t="shared" si="23"/>
      </c>
      <c r="FZ18" s="1029">
        <f t="shared" si="23"/>
      </c>
      <c r="GA18" s="1028">
        <f t="shared" ref="GA18:GJ18" si="24">IFERROR(GA17/FV17-1,"")</f>
      </c>
      <c r="GB18" s="1028">
        <f t="shared" si="24"/>
      </c>
      <c r="GC18" s="1028">
        <f t="shared" si="24"/>
      </c>
      <c r="GD18" s="1028">
        <f t="shared" si="24"/>
      </c>
      <c r="GE18" s="1029">
        <f t="shared" si="24"/>
      </c>
      <c r="GF18" s="1028">
        <f t="shared" si="24"/>
      </c>
      <c r="GG18" s="1028">
        <f t="shared" si="24"/>
      </c>
      <c r="GH18" s="1028">
        <f t="shared" si="24"/>
      </c>
      <c r="GI18" s="1028">
        <f t="shared" si="24"/>
      </c>
      <c r="GJ18" s="1029">
        <f t="shared" si="24"/>
      </c>
    </row>
    <row r="19" spans="1:192" s="1031" customFormat="1" ht="12.75" customHeight="1">
      <c r="A19" s="1027"/>
      <c r="B19" s="727" t="s">
        <v>36</v>
      </c>
      <c r="C19" s="1028"/>
      <c r="D19" s="1028"/>
      <c r="E19" s="1028"/>
      <c r="F19" s="1028"/>
      <c r="G19" s="1029"/>
      <c r="H19" s="1028"/>
      <c r="I19" s="1028"/>
      <c r="J19" s="1028"/>
      <c r="K19" s="1028"/>
      <c r="L19" s="1029"/>
      <c r="M19" s="1028"/>
      <c r="N19" s="1028"/>
      <c r="O19" s="1028"/>
      <c r="P19" s="1028"/>
      <c r="Q19" s="1029"/>
      <c r="R19" s="1030"/>
      <c r="S19" s="1030"/>
      <c r="T19" s="1030"/>
      <c r="U19" s="1030"/>
      <c r="V19" s="1029"/>
      <c r="W19" s="1030"/>
      <c r="X19" s="1030"/>
      <c r="Y19" s="1030"/>
      <c r="Z19" s="1030"/>
      <c r="AA19" s="1029"/>
      <c r="AB19" s="1030"/>
      <c r="AC19" s="1030"/>
      <c r="AD19" s="1030"/>
      <c r="AE19" s="1030"/>
      <c r="AF19" s="1029"/>
      <c r="AG19" s="1030"/>
      <c r="AH19" s="1030"/>
      <c r="AI19" s="1030"/>
      <c r="AJ19" s="1030"/>
      <c r="AK19" s="1029"/>
      <c r="AL19" s="1028"/>
      <c r="AM19" s="1028"/>
      <c r="AN19" s="1028"/>
      <c r="AO19" s="1028"/>
      <c r="AP19" s="1029"/>
      <c r="AQ19" s="1028"/>
      <c r="AR19" s="1028"/>
      <c r="AS19" s="1028"/>
      <c r="AT19" s="1028"/>
      <c r="AU19" s="1029"/>
      <c r="AV19" s="1028"/>
      <c r="AW19" s="1028"/>
      <c r="AX19" s="1028"/>
      <c r="AY19" s="1028"/>
      <c r="AZ19" s="1029"/>
      <c r="BA19" s="1028"/>
      <c r="BB19" s="1028"/>
      <c r="BC19" s="1028"/>
      <c r="BD19" s="1028"/>
      <c r="BE19" s="1029"/>
      <c r="BF19" s="1028"/>
      <c r="BG19" s="1028"/>
      <c r="BH19" s="1028"/>
      <c r="BI19" s="1028"/>
      <c r="BJ19" s="1029"/>
      <c r="BK19" s="1028"/>
      <c r="BL19" s="1028"/>
      <c r="BM19" s="1028"/>
      <c r="BN19" s="1028"/>
      <c r="BO19" s="1029"/>
      <c r="BP19" s="1028"/>
      <c r="BQ19" s="1028"/>
      <c r="BR19" s="1028"/>
      <c r="BS19" s="1028"/>
      <c r="BT19" s="1029"/>
      <c r="BU19" s="1028"/>
      <c r="BV19" s="1028"/>
      <c r="BW19" s="1028"/>
      <c r="BX19" s="1028"/>
      <c r="BY19" s="1029"/>
      <c r="BZ19" s="1028"/>
      <c r="CA19" s="1028"/>
      <c r="CB19" s="1028"/>
      <c r="CC19" s="1028"/>
      <c r="CD19" s="1029"/>
      <c r="CE19" s="1028"/>
      <c r="CF19" s="1028"/>
      <c r="CG19" s="1028"/>
      <c r="CH19" s="1028"/>
      <c r="CI19" s="1029"/>
      <c r="CJ19" s="1028"/>
      <c r="CK19" s="1028"/>
      <c r="CL19" s="1028"/>
      <c r="CM19" s="1028"/>
      <c r="CN19" s="1029"/>
      <c r="CO19" s="1028"/>
      <c r="CP19" s="1028"/>
      <c r="CQ19" s="1028"/>
      <c r="CR19" s="1028"/>
      <c r="CS19" s="1029"/>
      <c r="CT19" s="1028"/>
      <c r="CU19" s="1028"/>
      <c r="CV19" s="1028"/>
      <c r="CW19" s="1028"/>
      <c r="CX19" s="1029"/>
      <c r="CY19" s="1028"/>
      <c r="CZ19" s="1028"/>
      <c r="DA19" s="1028"/>
      <c r="DB19" s="1028"/>
      <c r="DC19" s="1029"/>
      <c r="DD19" s="1028" t="str">
        <f>IFERROR(DD17/DB17-1,"")</f>
      </c>
      <c r="DE19" s="1028">
        <f>IFERROR(DE17/DD17-1,"")</f>
      </c>
      <c r="DF19" s="1028">
        <f>IFERROR(DF17/DE17-1,"")</f>
      </c>
      <c r="DG19" s="1028">
        <f>IFERROR(DG17/DF17-1,"")</f>
      </c>
      <c r="DH19" s="1029"/>
      <c r="DI19" s="1028">
        <f>IFERROR(DI17/DG17-1,"")</f>
      </c>
      <c r="DJ19" s="1028">
        <f>IFERROR(DJ17/DI17-1,"")</f>
      </c>
      <c r="DK19" s="1028">
        <f>IFERROR(DK17/DJ17-1,"")</f>
      </c>
      <c r="DL19" s="1028">
        <f>IFERROR(DL17/DK17-1,"")</f>
      </c>
      <c r="DM19" s="1029"/>
      <c r="DN19" s="1028">
        <f>DN17/DL17-1</f>
      </c>
      <c r="DO19" s="1028">
        <f>DO17/DN17-1</f>
      </c>
      <c r="DP19" s="1028">
        <f>DP17/DO17-1</f>
      </c>
      <c r="DQ19" s="1028">
        <f>DQ17/DP17-1</f>
      </c>
      <c r="DR19" s="1029"/>
      <c r="DS19" s="1028">
        <f>DS17/DQ17-1</f>
      </c>
      <c r="DT19" s="1028">
        <f>DT17/DS17-1</f>
      </c>
      <c r="DU19" s="1028">
        <f>DU17/DT17-1</f>
      </c>
      <c r="DV19" s="1028">
        <f>DV17/DU17-1</f>
      </c>
      <c r="DW19" s="1029"/>
      <c r="DX19" s="1028">
        <f>DX17/DV17-1</f>
      </c>
      <c r="DY19" s="1028">
        <f>DY17/DX17-1</f>
      </c>
      <c r="DZ19" s="1028">
        <f>DZ17/DY17-1</f>
      </c>
      <c r="EA19" s="1028">
        <f>EA17/DZ17-1</f>
      </c>
      <c r="EB19" s="1029"/>
      <c r="EC19" s="1028">
        <f>EC17/EA17-1</f>
      </c>
      <c r="ED19" s="1028">
        <f>ED17/EC17-1</f>
      </c>
      <c r="EE19" s="1028">
        <f>EE17/ED17-1</f>
      </c>
      <c r="EF19" s="1028">
        <f>EF17/EE17-1</f>
      </c>
      <c r="EG19" s="1029"/>
      <c r="EH19" s="1028">
        <f>EH17/EF17-1</f>
      </c>
      <c r="EI19" s="1028">
        <f>EI17/EH17-1</f>
      </c>
      <c r="EJ19" s="1028">
        <f>EJ17/EI17-1</f>
      </c>
      <c r="EK19" s="1028">
        <f>EK17/EJ17-1</f>
      </c>
      <c r="EL19" s="1029"/>
      <c r="EM19" s="1028">
        <f>EM17/EK17-1</f>
      </c>
      <c r="EN19" s="1028">
        <f>EN17/EM17-1</f>
      </c>
      <c r="EO19" s="1028">
        <f>EO17/EN17-1</f>
      </c>
      <c r="EP19" s="1028">
        <f>EP17/EO17-1</f>
      </c>
      <c r="EQ19" s="1029"/>
      <c r="ER19" s="1028">
        <f>ER17/EP17-1</f>
      </c>
      <c r="ES19" s="1028">
        <f>ES17/ER17-1</f>
      </c>
      <c r="ET19" s="1028">
        <f>ET17/ES17-1</f>
      </c>
      <c r="EU19" s="1028">
        <f>EU17/ET17-1</f>
      </c>
      <c r="EV19" s="1029"/>
      <c r="EW19" s="1028">
        <f>EW17/EU17-1</f>
      </c>
      <c r="EX19" s="1028">
        <f>EX17/EW17-1</f>
      </c>
      <c r="EY19" s="1028">
        <f>EY17/EX17-1</f>
      </c>
      <c r="EZ19" s="1028">
        <f>EZ17/EY17-1</f>
      </c>
      <c r="FA19" s="1029"/>
      <c r="FB19" s="1028">
        <f>FB17/EZ17-1</f>
      </c>
      <c r="FC19" s="1028">
        <f>FC17/FB17-1</f>
      </c>
      <c r="FD19" s="1028">
        <f>FD17/FC17-1</f>
      </c>
      <c r="FE19" s="1028">
        <f>FE17/FD17-1</f>
      </c>
      <c r="FF19" s="1029"/>
      <c r="FG19" s="1028">
        <f>FG17/FE17-1</f>
      </c>
      <c r="FH19" s="1028">
        <f>FH17/FG17-1</f>
      </c>
      <c r="FI19" s="1028">
        <f>FI17/FH17-1</f>
      </c>
      <c r="FJ19" s="1028">
        <f>FJ17/FI17-1</f>
      </c>
      <c r="FK19" s="1029"/>
      <c r="FL19" s="1028">
        <f>FL17/FJ17-1</f>
      </c>
      <c r="FM19" s="1028">
        <f>FM17/FL17-1</f>
      </c>
      <c r="FN19" s="1028">
        <f>FN17/FM17-1</f>
      </c>
      <c r="FO19" s="1028">
        <f>FO17/FN17-1</f>
      </c>
      <c r="FP19" s="1029"/>
      <c r="FQ19" s="1028">
        <f>FQ17/FO17-1</f>
      </c>
      <c r="FR19" s="1028">
        <f>FR17/FQ17-1</f>
      </c>
      <c r="FS19" s="1028">
        <f>FS17/FR17-1</f>
      </c>
      <c r="FT19" s="1028">
        <f>FT17/FS17-1</f>
      </c>
      <c r="FU19" s="1029"/>
      <c r="FV19" s="1028">
        <f>FV17/FT17-1</f>
      </c>
      <c r="FW19" s="1028">
        <f>FW17/FV17-1</f>
      </c>
      <c r="FX19" s="1028">
        <f>FX17/FW17-1</f>
      </c>
      <c r="FY19" s="1028">
        <f>FY17/FX17-1</f>
      </c>
      <c r="FZ19" s="1029"/>
      <c r="GA19" s="1028">
        <f>GA17/FY17-1</f>
      </c>
      <c r="GB19" s="1028">
        <f>GB17/GA17-1</f>
      </c>
      <c r="GC19" s="1028">
        <f>GC17/GB17-1</f>
      </c>
      <c r="GD19" s="1028">
        <f>GD17/GC17-1</f>
      </c>
      <c r="GE19" s="1029"/>
      <c r="GF19" s="1028">
        <f>GF17/GD17-1</f>
      </c>
      <c r="GG19" s="1028">
        <f>GG17/GF17-1</f>
      </c>
      <c r="GH19" s="1028">
        <f>GH17/GG17-1</f>
      </c>
      <c r="GI19" s="1028">
        <f>GI17/GH17-1</f>
      </c>
      <c r="GJ19" s="1029"/>
    </row>
    <row r="20" spans="1:192" s="1031" customFormat="1" ht="12.75" customHeight="1">
      <c r="A20" s="1027"/>
      <c r="B20" s="727" t="s">
        <v>1856</v>
      </c>
      <c r="C20" s="1028"/>
      <c r="D20" s="1028"/>
      <c r="E20" s="1028"/>
      <c r="F20" s="1028"/>
      <c r="G20" s="1029"/>
      <c r="H20" s="1028"/>
      <c r="I20" s="1028"/>
      <c r="J20" s="1028"/>
      <c r="K20" s="1028"/>
      <c r="L20" s="1029"/>
      <c r="M20" s="1028"/>
      <c r="N20" s="1028"/>
      <c r="O20" s="1028"/>
      <c r="P20" s="1028"/>
      <c r="Q20" s="1029"/>
      <c r="R20" s="1030"/>
      <c r="S20" s="1030"/>
      <c r="T20" s="1030"/>
      <c r="U20" s="1030"/>
      <c r="V20" s="1029"/>
      <c r="W20" s="1030"/>
      <c r="X20" s="1030"/>
      <c r="Y20" s="1030"/>
      <c r="Z20" s="1030"/>
      <c r="AA20" s="1029"/>
      <c r="AB20" s="1030"/>
      <c r="AC20" s="1030"/>
      <c r="AD20" s="1030"/>
      <c r="AE20" s="1030"/>
      <c r="AF20" s="1029"/>
      <c r="AG20" s="1030"/>
      <c r="AH20" s="1030"/>
      <c r="AI20" s="1030"/>
      <c r="AJ20" s="1030"/>
      <c r="AK20" s="1029"/>
      <c r="AL20" s="1028"/>
      <c r="AM20" s="1028"/>
      <c r="AN20" s="1028"/>
      <c r="AO20" s="1028"/>
      <c r="AP20" s="1029"/>
      <c r="AQ20" s="1028"/>
      <c r="AR20" s="1028"/>
      <c r="AS20" s="1028"/>
      <c r="AT20" s="1028"/>
      <c r="AU20" s="1029"/>
      <c r="AV20" s="1028"/>
      <c r="AW20" s="1028"/>
      <c r="AX20" s="1028"/>
      <c r="AY20" s="1028"/>
      <c r="AZ20" s="1029"/>
      <c r="BA20" s="1028"/>
      <c r="BB20" s="1028"/>
      <c r="BC20" s="1028"/>
      <c r="BD20" s="1028"/>
      <c r="BE20" s="1029"/>
      <c r="BF20" s="1028"/>
      <c r="BG20" s="1028"/>
      <c r="BH20" s="1028"/>
      <c r="BI20" s="1028"/>
      <c r="BJ20" s="1029"/>
      <c r="BK20" s="1028"/>
      <c r="BL20" s="1028"/>
      <c r="BM20" s="1028"/>
      <c r="BN20" s="1028"/>
      <c r="BO20" s="1029"/>
      <c r="BP20" s="1028"/>
      <c r="BQ20" s="1028"/>
      <c r="BR20" s="1028"/>
      <c r="BS20" s="1028"/>
      <c r="BT20" s="1029"/>
      <c r="BU20" s="1039"/>
      <c r="BV20" s="1039"/>
      <c r="BW20" s="1039"/>
      <c r="BX20" s="1039"/>
      <c r="BY20" s="1040"/>
      <c r="BZ20" s="1039"/>
      <c r="CA20" s="1039"/>
      <c r="CB20" s="1039"/>
      <c r="CC20" s="1039"/>
      <c r="CD20" s="1040"/>
      <c r="CE20" s="1039"/>
      <c r="CF20" s="1039"/>
      <c r="CG20" s="1039"/>
      <c r="CH20" s="1039"/>
      <c r="CI20" s="1040"/>
      <c r="CJ20" s="1039"/>
      <c r="CK20" s="1039"/>
      <c r="CL20" s="1039"/>
      <c r="CM20" s="1039"/>
      <c r="CN20" s="1040"/>
      <c r="CO20" s="1039"/>
      <c r="CP20" s="1039"/>
      <c r="CQ20" s="1039"/>
      <c r="CR20" s="1039"/>
      <c r="CS20" s="1040"/>
      <c r="CT20" s="1039"/>
      <c r="CU20" s="1039"/>
      <c r="CV20" s="1039"/>
      <c r="CW20" s="1039"/>
      <c r="CX20" s="1040"/>
      <c r="CY20" s="1039"/>
      <c r="CZ20" s="1039"/>
      <c r="DA20" s="1039"/>
      <c r="DB20" s="1039"/>
      <c r="DC20" s="1040"/>
      <c r="DD20" s="1039">
        <f t="shared" ref="DD20:DM20" si="25">DD17-CY17</f>
      </c>
      <c r="DE20" s="1039">
        <f t="shared" si="25"/>
      </c>
      <c r="DF20" s="1039">
        <f t="shared" si="25"/>
      </c>
      <c r="DG20" s="1039">
        <f t="shared" si="25"/>
      </c>
      <c r="DH20" s="1040">
        <f t="shared" si="25"/>
      </c>
      <c r="DI20" s="1039">
        <f t="shared" si="25"/>
      </c>
      <c r="DJ20" s="1039">
        <f t="shared" si="25"/>
      </c>
      <c r="DK20" s="1039">
        <f t="shared" si="25"/>
      </c>
      <c r="DL20" s="1039">
        <f t="shared" si="25"/>
      </c>
      <c r="DM20" s="1040">
        <f t="shared" si="25"/>
      </c>
      <c r="DN20" s="1039">
        <f t="shared" ref="DN20:ES20" si="26">DN17-DI17</f>
      </c>
      <c r="DO20" s="1039">
        <f t="shared" si="26"/>
      </c>
      <c r="DP20" s="1039">
        <f t="shared" si="26"/>
      </c>
      <c r="DQ20" s="1039">
        <f t="shared" si="26"/>
      </c>
      <c r="DR20" s="1040">
        <f t="shared" si="26"/>
      </c>
      <c r="DS20" s="1039">
        <f t="shared" si="26"/>
      </c>
      <c r="DT20" s="1039">
        <f t="shared" si="26"/>
      </c>
      <c r="DU20" s="1039">
        <f t="shared" si="26"/>
      </c>
      <c r="DV20" s="1039">
        <f t="shared" si="26"/>
      </c>
      <c r="DW20" s="1040">
        <f t="shared" si="26"/>
      </c>
      <c r="DX20" s="1039">
        <f t="shared" si="26"/>
      </c>
      <c r="DY20" s="1039">
        <f t="shared" si="26"/>
      </c>
      <c r="DZ20" s="1039">
        <f t="shared" si="26"/>
      </c>
      <c r="EA20" s="1039">
        <f t="shared" si="26"/>
      </c>
      <c r="EB20" s="1040">
        <f t="shared" si="26"/>
      </c>
      <c r="EC20" s="1039">
        <f t="shared" si="26"/>
      </c>
      <c r="ED20" s="1039">
        <f t="shared" si="26"/>
      </c>
      <c r="EE20" s="1039">
        <f t="shared" si="26"/>
      </c>
      <c r="EF20" s="1039">
        <f t="shared" si="26"/>
      </c>
      <c r="EG20" s="1040">
        <f t="shared" si="26"/>
      </c>
      <c r="EH20" s="1039">
        <f t="shared" si="26"/>
      </c>
      <c r="EI20" s="1039">
        <f t="shared" si="26"/>
      </c>
      <c r="EJ20" s="1039">
        <f t="shared" si="26"/>
      </c>
      <c r="EK20" s="1039">
        <f t="shared" si="26"/>
      </c>
      <c r="EL20" s="1040">
        <f t="shared" si="26"/>
      </c>
      <c r="EM20" s="1039">
        <f t="shared" si="26"/>
      </c>
      <c r="EN20" s="1039">
        <f t="shared" si="26"/>
      </c>
      <c r="EO20" s="1039">
        <f t="shared" si="26"/>
      </c>
      <c r="EP20" s="1039">
        <f t="shared" si="26"/>
      </c>
      <c r="EQ20" s="1040">
        <f t="shared" si="26"/>
      </c>
      <c r="ER20" s="1039">
        <f t="shared" si="26"/>
      </c>
      <c r="ES20" s="1039">
        <f t="shared" si="26"/>
      </c>
      <c r="ET20" s="1039">
        <f t="shared" ref="ET20:FY20" si="27">ET17-EO17</f>
      </c>
      <c r="EU20" s="1039">
        <f>EU17-EP17</f>
      </c>
      <c r="EV20" s="1040">
        <f>EV17-EQ17</f>
      </c>
      <c r="EW20" s="1039">
        <f t="shared" ref="EW20:EX20" si="28">EW17-ER17</f>
      </c>
      <c r="EX20" s="1039">
        <f t="shared" si="28"/>
      </c>
      <c r="EY20" s="1039">
        <f t="shared" si="27"/>
      </c>
      <c r="EZ20" s="1039">
        <f>EZ17-EU17</f>
      </c>
      <c r="FA20" s="1040">
        <f>FA17-EV17</f>
      </c>
      <c r="FB20" s="1039">
        <f t="shared" si="27"/>
      </c>
      <c r="FC20" s="1039">
        <f t="shared" si="27"/>
      </c>
      <c r="FD20" s="1039">
        <f t="shared" si="27"/>
      </c>
      <c r="FE20" s="1039">
        <f t="shared" si="27"/>
      </c>
      <c r="FF20" s="1040">
        <f t="shared" si="27"/>
      </c>
      <c r="FG20" s="1039">
        <f t="shared" si="27"/>
      </c>
      <c r="FH20" s="1039">
        <f t="shared" si="27"/>
      </c>
      <c r="FI20" s="1039">
        <f t="shared" si="27"/>
      </c>
      <c r="FJ20" s="1039">
        <f t="shared" si="27"/>
      </c>
      <c r="FK20" s="1040">
        <f t="shared" si="27"/>
      </c>
      <c r="FL20" s="1039">
        <f t="shared" si="27"/>
      </c>
      <c r="FM20" s="1039">
        <f t="shared" si="27"/>
      </c>
      <c r="FN20" s="1039">
        <f t="shared" si="27"/>
      </c>
      <c r="FO20" s="1039">
        <f t="shared" si="27"/>
      </c>
      <c r="FP20" s="1040">
        <f t="shared" si="27"/>
      </c>
      <c r="FQ20" s="1039">
        <f t="shared" si="27"/>
      </c>
      <c r="FR20" s="1039">
        <f t="shared" si="27"/>
      </c>
      <c r="FS20" s="1039">
        <f t="shared" si="27"/>
      </c>
      <c r="FT20" s="1039">
        <f t="shared" si="27"/>
      </c>
      <c r="FU20" s="1040">
        <f t="shared" si="27"/>
      </c>
      <c r="FV20" s="1039">
        <f t="shared" si="27"/>
      </c>
      <c r="FW20" s="1039">
        <f t="shared" si="27"/>
      </c>
      <c r="FX20" s="1039">
        <f t="shared" si="27"/>
      </c>
      <c r="FY20" s="1039">
        <f t="shared" si="27"/>
      </c>
      <c r="FZ20" s="1040">
        <f t="shared" ref="FZ20:GE20" si="29">FZ17-FU17</f>
      </c>
      <c r="GA20" s="1039">
        <f t="shared" si="29"/>
      </c>
      <c r="GB20" s="1039">
        <f t="shared" si="29"/>
      </c>
      <c r="GC20" s="1039">
        <f t="shared" si="29"/>
      </c>
      <c r="GD20" s="1039">
        <f t="shared" si="29"/>
      </c>
      <c r="GE20" s="1040">
        <f t="shared" si="29"/>
      </c>
      <c r="GF20" s="1039">
        <f t="shared" ref="GF20" si="30">GF17-GA17</f>
      </c>
      <c r="GG20" s="1039">
        <f t="shared" ref="GG20" si="31">GG17-GB17</f>
      </c>
      <c r="GH20" s="1039">
        <f t="shared" ref="GH20" si="32">GH17-GC17</f>
      </c>
      <c r="GI20" s="1039">
        <f t="shared" ref="GI20" si="33">GI17-GD17</f>
      </c>
      <c r="GJ20" s="1040">
        <f t="shared" ref="GJ20" si="34">GJ17-GE17</f>
      </c>
    </row>
    <row r="21" spans="1:192" s="1031" customFormat="1" ht="12.75" customHeight="1">
      <c r="A21" s="1027"/>
      <c r="B21" s="727" t="s">
        <v>1857</v>
      </c>
      <c r="C21" s="1028"/>
      <c r="D21" s="1028"/>
      <c r="E21" s="1028"/>
      <c r="F21" s="1028"/>
      <c r="G21" s="1029"/>
      <c r="H21" s="1028"/>
      <c r="I21" s="1028"/>
      <c r="J21" s="1028"/>
      <c r="K21" s="1028"/>
      <c r="L21" s="1029"/>
      <c r="M21" s="1028"/>
      <c r="N21" s="1028"/>
      <c r="O21" s="1028"/>
      <c r="P21" s="1028"/>
      <c r="Q21" s="1029"/>
      <c r="R21" s="1030"/>
      <c r="S21" s="1030"/>
      <c r="T21" s="1030"/>
      <c r="U21" s="1030"/>
      <c r="V21" s="1029"/>
      <c r="W21" s="1030"/>
      <c r="X21" s="1030"/>
      <c r="Y21" s="1030"/>
      <c r="Z21" s="1030"/>
      <c r="AA21" s="1029"/>
      <c r="AB21" s="1030"/>
      <c r="AC21" s="1030"/>
      <c r="AD21" s="1030"/>
      <c r="AE21" s="1030"/>
      <c r="AF21" s="1029"/>
      <c r="AG21" s="1030"/>
      <c r="AH21" s="1030"/>
      <c r="AI21" s="1030"/>
      <c r="AJ21" s="1030"/>
      <c r="AK21" s="1029"/>
      <c r="AL21" s="1028"/>
      <c r="AM21" s="1028"/>
      <c r="AN21" s="1028"/>
      <c r="AO21" s="1028"/>
      <c r="AP21" s="1029"/>
      <c r="AQ21" s="1028"/>
      <c r="AR21" s="1028"/>
      <c r="AS21" s="1028"/>
      <c r="AT21" s="1028"/>
      <c r="AU21" s="1029"/>
      <c r="AV21" s="1028"/>
      <c r="AW21" s="1028"/>
      <c r="AX21" s="1028"/>
      <c r="AY21" s="1028"/>
      <c r="AZ21" s="1029"/>
      <c r="BA21" s="1028"/>
      <c r="BB21" s="1028"/>
      <c r="BC21" s="1028"/>
      <c r="BD21" s="1028"/>
      <c r="BE21" s="1029"/>
      <c r="BF21" s="1028"/>
      <c r="BG21" s="1028"/>
      <c r="BH21" s="1028"/>
      <c r="BI21" s="1028"/>
      <c r="BJ21" s="1029"/>
      <c r="BK21" s="1028"/>
      <c r="BL21" s="1028"/>
      <c r="BM21" s="1028"/>
      <c r="BN21" s="1028"/>
      <c r="BO21" s="1029"/>
      <c r="BP21" s="1028"/>
      <c r="BQ21" s="1028"/>
      <c r="BR21" s="1028"/>
      <c r="BS21" s="1028"/>
      <c r="BT21" s="1029"/>
      <c r="BU21" s="1039"/>
      <c r="BV21" s="1039"/>
      <c r="BW21" s="1039"/>
      <c r="BX21" s="1039"/>
      <c r="BY21" s="1040"/>
      <c r="BZ21" s="1039"/>
      <c r="CA21" s="1039"/>
      <c r="CB21" s="1039"/>
      <c r="CC21" s="1039"/>
      <c r="CD21" s="1040"/>
      <c r="CE21" s="1039"/>
      <c r="CF21" s="1039"/>
      <c r="CG21" s="1039"/>
      <c r="CH21" s="1039"/>
      <c r="CI21" s="1040"/>
      <c r="CJ21" s="1039"/>
      <c r="CK21" s="1039"/>
      <c r="CL21" s="1039"/>
      <c r="CM21" s="1039"/>
      <c r="CN21" s="1040"/>
      <c r="CO21" s="1039"/>
      <c r="CP21" s="1039"/>
      <c r="CQ21" s="1039"/>
      <c r="CR21" s="1039"/>
      <c r="CS21" s="1040"/>
      <c r="CT21" s="1039"/>
      <c r="CU21" s="1039"/>
      <c r="CV21" s="1039"/>
      <c r="CW21" s="1039"/>
      <c r="CX21" s="1040"/>
      <c r="CY21" s="1039"/>
      <c r="CZ21" s="1039"/>
      <c r="DA21" s="1039"/>
      <c r="DB21" s="1039"/>
      <c r="DC21" s="1040"/>
      <c r="DD21" s="1039">
        <f>DD17-DB17</f>
      </c>
      <c r="DE21" s="1039">
        <f>DE17-DD17</f>
      </c>
      <c r="DF21" s="1039">
        <f>DF17-DE17</f>
      </c>
      <c r="DG21" s="1039">
        <f>DG17-DF17</f>
      </c>
      <c r="DH21" s="1040"/>
      <c r="DI21" s="1039">
        <f>DI17-DG17</f>
      </c>
      <c r="DJ21" s="1039">
        <f>DJ17-DI17</f>
      </c>
      <c r="DK21" s="1039">
        <f>DK17-DJ17</f>
      </c>
      <c r="DL21" s="1039">
        <f>DL17-DK17</f>
      </c>
      <c r="DM21" s="1040"/>
      <c r="DN21" s="1039">
        <f>DN17-DL17</f>
      </c>
      <c r="DO21" s="1039">
        <f>DO17-DN17</f>
      </c>
      <c r="DP21" s="1039">
        <f>DP17-DO17</f>
      </c>
      <c r="DQ21" s="1039">
        <f>DQ17-DP17</f>
      </c>
      <c r="DR21" s="1040"/>
      <c r="DS21" s="1039">
        <f>DS17-DQ17</f>
      </c>
      <c r="DT21" s="1039">
        <f>DT17-DS17</f>
      </c>
      <c r="DU21" s="1039">
        <f>DU17-DT17</f>
      </c>
      <c r="DV21" s="1039">
        <f>DV17-DU17</f>
      </c>
      <c r="DW21" s="1040"/>
      <c r="DX21" s="1039">
        <f>DX17-DV17</f>
      </c>
      <c r="DY21" s="1039">
        <f>DY17-DX17</f>
      </c>
      <c r="DZ21" s="1039">
        <f>DZ17-DY17</f>
      </c>
      <c r="EA21" s="1039">
        <f>EA17-DZ17</f>
      </c>
      <c r="EB21" s="1040"/>
      <c r="EC21" s="1039">
        <f>EC17-EA17</f>
      </c>
      <c r="ED21" s="1039">
        <f>ED17-EC17</f>
      </c>
      <c r="EE21" s="1039">
        <f>EE17-ED17</f>
      </c>
      <c r="EF21" s="1039">
        <f>EF17-EE17</f>
      </c>
      <c r="EG21" s="1040"/>
      <c r="EH21" s="1039">
        <f>EH17-EF17</f>
      </c>
      <c r="EI21" s="1039">
        <f>EI17-EH17</f>
      </c>
      <c r="EJ21" s="1039">
        <f>EJ17-EI17</f>
      </c>
      <c r="EK21" s="1039">
        <f>EK17-EJ17</f>
      </c>
      <c r="EL21" s="1040"/>
      <c r="EM21" s="1039">
        <f>EM17-EK17</f>
      </c>
      <c r="EN21" s="1039">
        <f>EN17-EM17</f>
      </c>
      <c r="EO21" s="1039">
        <f>EO17-EN17</f>
      </c>
      <c r="EP21" s="1039">
        <f>EP17-EO17</f>
      </c>
      <c r="EQ21" s="1040"/>
      <c r="ER21" s="1039">
        <f>ER17-EP17</f>
      </c>
      <c r="ES21" s="1039">
        <f>ES17-ER17</f>
      </c>
      <c r="ET21" s="1039">
        <f>ET17-ES17</f>
      </c>
      <c r="EU21" s="1039">
        <f>EU17-ET17</f>
      </c>
      <c r="EV21" s="1040"/>
      <c r="EW21" s="1039">
        <f>EW17-EU17</f>
      </c>
      <c r="EX21" s="1039">
        <f>EX17-EW17</f>
      </c>
      <c r="EY21" s="1039">
        <f>EY17-EX17</f>
      </c>
      <c r="EZ21" s="1039">
        <f>EZ17-EY17</f>
      </c>
      <c r="FA21" s="1040"/>
      <c r="FB21" s="1039">
        <f>FB17-EZ17</f>
      </c>
      <c r="FC21" s="1039">
        <f>FC17-FB17</f>
      </c>
      <c r="FD21" s="1039">
        <f>FD17-FC17</f>
      </c>
      <c r="FE21" s="1039">
        <f>FE17-FD17</f>
      </c>
      <c r="FF21" s="1040"/>
      <c r="FG21" s="1039">
        <f>FG17-FE17</f>
      </c>
      <c r="FH21" s="1039">
        <f>FH17-FG17</f>
      </c>
      <c r="FI21" s="1039">
        <f>FI17-FH17</f>
      </c>
      <c r="FJ21" s="1039">
        <f>FJ17-FI17</f>
      </c>
      <c r="FK21" s="1040"/>
      <c r="FL21" s="1039">
        <f>FL17-FJ17</f>
      </c>
      <c r="FM21" s="1039">
        <f>FM17-FL17</f>
      </c>
      <c r="FN21" s="1039">
        <f>FN17-FM17</f>
      </c>
      <c r="FO21" s="1039">
        <f>FO17-FN17</f>
      </c>
      <c r="FP21" s="1040"/>
      <c r="FQ21" s="1039">
        <f>FQ17-FO17</f>
      </c>
      <c r="FR21" s="1039">
        <f>FR17-FQ17</f>
      </c>
      <c r="FS21" s="1039">
        <f>FS17-FR17</f>
      </c>
      <c r="FT21" s="1039">
        <f>FT17-FS17</f>
      </c>
      <c r="FU21" s="1040"/>
      <c r="FV21" s="1039">
        <f>FV17-FT17</f>
      </c>
      <c r="FW21" s="1039">
        <f>FW17-FV17</f>
      </c>
      <c r="FX21" s="1039">
        <f>FX17-FW17</f>
      </c>
      <c r="FY21" s="1039">
        <f>FY17-FX17</f>
      </c>
      <c r="FZ21" s="1040"/>
      <c r="GA21" s="1039">
        <f>GA17-FY17</f>
      </c>
      <c r="GB21" s="1039">
        <f>GB17-GA17</f>
      </c>
      <c r="GC21" s="1039">
        <f>GC17-GB17</f>
      </c>
      <c r="GD21" s="1039">
        <f>GD17-GC17</f>
      </c>
      <c r="GE21" s="1040"/>
      <c r="GF21" s="1039">
        <f>GF17-GD17</f>
      </c>
      <c r="GG21" s="1039">
        <f>GG17-GF17</f>
      </c>
      <c r="GH21" s="1039">
        <f>GH17-GG17</f>
      </c>
      <c r="GI21" s="1039">
        <f>GI17-GH17</f>
      </c>
      <c r="GJ21" s="1040"/>
    </row>
    <row r="22" spans="1:192" s="1031" customFormat="1" ht="12.75" customHeight="1">
      <c r="A22" s="1027"/>
      <c r="B22" s="727" t="s">
        <v>1917</v>
      </c>
      <c r="C22" s="1028"/>
      <c r="D22" s="1028"/>
      <c r="E22" s="1028"/>
      <c r="F22" s="1028"/>
      <c r="G22" s="1029"/>
      <c r="H22" s="1028"/>
      <c r="I22" s="1028"/>
      <c r="J22" s="1028"/>
      <c r="K22" s="1028"/>
      <c r="L22" s="1029"/>
      <c r="M22" s="1028"/>
      <c r="N22" s="1028"/>
      <c r="O22" s="1028"/>
      <c r="P22" s="1028"/>
      <c r="Q22" s="1029"/>
      <c r="R22" s="1030"/>
      <c r="S22" s="1030"/>
      <c r="T22" s="1030"/>
      <c r="U22" s="1030"/>
      <c r="V22" s="1029"/>
      <c r="W22" s="1030"/>
      <c r="X22" s="1030"/>
      <c r="Y22" s="1030"/>
      <c r="Z22" s="1030"/>
      <c r="AA22" s="1029"/>
      <c r="AB22" s="1030"/>
      <c r="AC22" s="1030"/>
      <c r="AD22" s="1030"/>
      <c r="AE22" s="1030"/>
      <c r="AF22" s="1029"/>
      <c r="AG22" s="1030"/>
      <c r="AH22" s="1030"/>
      <c r="AI22" s="1030"/>
      <c r="AJ22" s="1030"/>
      <c r="AK22" s="1029"/>
      <c r="AL22" s="1028"/>
      <c r="AM22" s="1028"/>
      <c r="AN22" s="1028"/>
      <c r="AO22" s="1028"/>
      <c r="AP22" s="1029"/>
      <c r="AQ22" s="1028"/>
      <c r="AR22" s="1028"/>
      <c r="AS22" s="1028"/>
      <c r="AT22" s="1028"/>
      <c r="AU22" s="1029"/>
      <c r="AV22" s="1028"/>
      <c r="AW22" s="1028"/>
      <c r="AX22" s="1028"/>
      <c r="AY22" s="1028"/>
      <c r="AZ22" s="1029"/>
      <c r="BA22" s="1028"/>
      <c r="BB22" s="1028"/>
      <c r="BC22" s="1028"/>
      <c r="BD22" s="1028"/>
      <c r="BE22" s="1029"/>
      <c r="BF22" s="1028"/>
      <c r="BG22" s="1028"/>
      <c r="BH22" s="1028"/>
      <c r="BI22" s="1028"/>
      <c r="BJ22" s="1029"/>
      <c r="BK22" s="1028"/>
      <c r="BL22" s="1028"/>
      <c r="BM22" s="1028"/>
      <c r="BN22" s="1028"/>
      <c r="BO22" s="1029"/>
      <c r="BP22" s="1028"/>
      <c r="BQ22" s="1028"/>
      <c r="BR22" s="1028"/>
      <c r="BS22" s="1028"/>
      <c r="BT22" s="1029"/>
      <c r="BU22" s="1039"/>
      <c r="BV22" s="1039"/>
      <c r="BW22" s="1039"/>
      <c r="BX22" s="1039"/>
      <c r="BY22" s="1040"/>
      <c r="BZ22" s="1039"/>
      <c r="CA22" s="1039"/>
      <c r="CB22" s="1039"/>
      <c r="CC22" s="1039"/>
      <c r="CD22" s="1040"/>
      <c r="CE22" s="1039"/>
      <c r="CF22" s="1039"/>
      <c r="CG22" s="1039"/>
      <c r="CH22" s="1039"/>
      <c r="CI22" s="1040"/>
      <c r="CJ22" s="1039"/>
      <c r="CK22" s="1039"/>
      <c r="CL22" s="1039"/>
      <c r="CM22" s="1039"/>
      <c r="CN22" s="1040"/>
      <c r="CO22" s="1039"/>
      <c r="CP22" s="1039"/>
      <c r="CQ22" s="1039"/>
      <c r="CR22" s="1039"/>
      <c r="CS22" s="1040"/>
      <c r="CT22" s="1039"/>
      <c r="CU22" s="1039"/>
      <c r="CV22" s="1039"/>
      <c r="CW22" s="1039"/>
      <c r="CX22" s="1040"/>
      <c r="CY22" s="1039"/>
      <c r="CZ22" s="1039"/>
      <c r="DA22" s="1039"/>
      <c r="DB22" s="1039"/>
      <c r="DC22" s="1040"/>
      <c r="DD22" s="1039"/>
      <c r="DE22" s="1039"/>
      <c r="DF22" s="1039"/>
      <c r="DG22" s="1039"/>
      <c r="DH22" s="1029">
        <f t="shared" ref="DH22:EM22" si="35">DH17/DH$24</f>
      </c>
      <c r="DI22" s="1028">
        <f t="shared" si="35"/>
      </c>
      <c r="DJ22" s="1028">
        <f t="shared" si="35"/>
      </c>
      <c r="DK22" s="1028">
        <f t="shared" si="35"/>
      </c>
      <c r="DL22" s="1028">
        <f t="shared" si="35"/>
      </c>
      <c r="DM22" s="1029">
        <f t="shared" si="35"/>
      </c>
      <c r="DN22" s="1028">
        <f t="shared" si="35"/>
      </c>
      <c r="DO22" s="1028">
        <f t="shared" si="35"/>
      </c>
      <c r="DP22" s="1028">
        <f t="shared" si="35"/>
      </c>
      <c r="DQ22" s="1028">
        <f t="shared" si="35"/>
      </c>
      <c r="DR22" s="1029">
        <f t="shared" si="35"/>
      </c>
      <c r="DS22" s="1028">
        <f t="shared" si="35"/>
      </c>
      <c r="DT22" s="1028">
        <f t="shared" si="35"/>
      </c>
      <c r="DU22" s="1028">
        <f t="shared" si="35"/>
      </c>
      <c r="DV22" s="1028">
        <f t="shared" si="35"/>
      </c>
      <c r="DW22" s="1029">
        <f t="shared" si="35"/>
      </c>
      <c r="DX22" s="1028">
        <f t="shared" si="35"/>
      </c>
      <c r="DY22" s="1028">
        <f t="shared" si="35"/>
      </c>
      <c r="DZ22" s="1028">
        <f t="shared" si="35"/>
      </c>
      <c r="EA22" s="1028">
        <f t="shared" si="35"/>
      </c>
      <c r="EB22" s="1029">
        <f t="shared" si="35"/>
      </c>
      <c r="EC22" s="1028">
        <f t="shared" si="35"/>
      </c>
      <c r="ED22" s="1028">
        <f t="shared" si="35"/>
      </c>
      <c r="EE22" s="1028">
        <f t="shared" si="35"/>
      </c>
      <c r="EF22" s="1028">
        <f t="shared" si="35"/>
      </c>
      <c r="EG22" s="1029">
        <f t="shared" si="35"/>
      </c>
      <c r="EH22" s="1028">
        <f t="shared" si="35"/>
      </c>
      <c r="EI22" s="1028">
        <f t="shared" si="35"/>
      </c>
      <c r="EJ22" s="1028">
        <f t="shared" si="35"/>
      </c>
      <c r="EK22" s="1028">
        <f t="shared" si="35"/>
      </c>
      <c r="EL22" s="1029">
        <f t="shared" si="35"/>
      </c>
      <c r="EM22" s="1028">
        <f t="shared" si="35"/>
      </c>
      <c r="EN22" s="1028">
        <f t="shared" ref="EN22:FS22" si="36">EN17/EN$24</f>
      </c>
      <c r="EO22" s="1028">
        <f t="shared" si="36"/>
      </c>
      <c r="EP22" s="1028">
        <f t="shared" si="36"/>
      </c>
      <c r="EQ22" s="1029">
        <f t="shared" si="36"/>
      </c>
      <c r="ER22" s="1028">
        <f t="shared" si="36"/>
      </c>
      <c r="ES22" s="1028">
        <f t="shared" si="36"/>
      </c>
      <c r="ET22" s="1028">
        <f t="shared" si="36"/>
      </c>
      <c r="EU22" s="1028">
        <f t="shared" si="36"/>
      </c>
      <c r="EV22" s="1029">
        <f t="shared" si="36"/>
      </c>
      <c r="EW22" s="1028">
        <f t="shared" si="36"/>
      </c>
      <c r="EX22" s="1028">
        <f t="shared" si="36"/>
      </c>
      <c r="EY22" s="1028">
        <f t="shared" si="36"/>
      </c>
      <c r="EZ22" s="1028">
        <f t="shared" si="36"/>
      </c>
      <c r="FA22" s="1029">
        <f t="shared" si="36"/>
      </c>
      <c r="FB22" s="1028">
        <f t="shared" si="36"/>
      </c>
      <c r="FC22" s="1028">
        <f t="shared" si="36"/>
      </c>
      <c r="FD22" s="1028">
        <f t="shared" si="36"/>
      </c>
      <c r="FE22" s="1028">
        <f t="shared" si="36"/>
      </c>
      <c r="FF22" s="1029">
        <f t="shared" si="36"/>
      </c>
      <c r="FG22" s="1028">
        <f t="shared" si="36"/>
      </c>
      <c r="FH22" s="1028">
        <f t="shared" si="36"/>
      </c>
      <c r="FI22" s="1028">
        <f t="shared" si="36"/>
      </c>
      <c r="FJ22" s="1028">
        <f t="shared" si="36"/>
      </c>
      <c r="FK22" s="1029">
        <f t="shared" si="36"/>
      </c>
      <c r="FL22" s="1028">
        <f t="shared" si="36"/>
      </c>
      <c r="FM22" s="1028">
        <f t="shared" si="36"/>
      </c>
      <c r="FN22" s="1028">
        <f t="shared" si="36"/>
      </c>
      <c r="FO22" s="1028">
        <f t="shared" si="36"/>
      </c>
      <c r="FP22" s="1029">
        <f t="shared" si="36"/>
      </c>
      <c r="FQ22" s="1028">
        <f t="shared" si="36"/>
      </c>
      <c r="FR22" s="1028">
        <f t="shared" si="36"/>
      </c>
      <c r="FS22" s="1028">
        <f t="shared" si="36"/>
      </c>
      <c r="FT22" s="1028">
        <f t="shared" ref="FT22:GJ22" si="37">FT17/FT$24</f>
      </c>
      <c r="FU22" s="1029">
        <f t="shared" si="37"/>
      </c>
      <c r="FV22" s="1028">
        <f t="shared" si="37"/>
      </c>
      <c r="FW22" s="1028">
        <f t="shared" si="37"/>
      </c>
      <c r="FX22" s="1028">
        <f t="shared" si="37"/>
      </c>
      <c r="FY22" s="1028">
        <f t="shared" si="37"/>
      </c>
      <c r="FZ22" s="1029">
        <f t="shared" si="37"/>
      </c>
      <c r="GA22" s="1028">
        <f t="shared" si="37"/>
      </c>
      <c r="GB22" s="1028">
        <f t="shared" si="37"/>
      </c>
      <c r="GC22" s="1028">
        <f t="shared" si="37"/>
      </c>
      <c r="GD22" s="1028">
        <f t="shared" si="37"/>
      </c>
      <c r="GE22" s="1029">
        <f t="shared" si="37"/>
      </c>
      <c r="GF22" s="1028">
        <f t="shared" si="37"/>
      </c>
      <c r="GG22" s="1028">
        <f t="shared" si="37"/>
      </c>
      <c r="GH22" s="1028">
        <f t="shared" si="37"/>
      </c>
      <c r="GI22" s="1028">
        <f t="shared" si="37"/>
      </c>
      <c r="GJ22" s="1029">
        <f t="shared" si="37"/>
      </c>
    </row>
    <row r="23" spans="1:192" ht="12.75" customHeight="1">
      <c r="B23" s="992"/>
      <c r="C23" s="993"/>
      <c r="D23" s="993"/>
      <c r="E23" s="993"/>
      <c r="F23" s="993"/>
      <c r="G23" s="994"/>
      <c r="H23" s="993"/>
      <c r="I23" s="993"/>
      <c r="J23" s="993"/>
      <c r="K23" s="993"/>
      <c r="L23" s="994"/>
      <c r="M23" s="993"/>
      <c r="N23" s="993"/>
      <c r="O23" s="993"/>
      <c r="P23" s="993"/>
      <c r="Q23" s="994"/>
      <c r="R23" s="995"/>
      <c r="S23" s="995"/>
      <c r="T23" s="995"/>
      <c r="U23" s="995"/>
      <c r="V23" s="994"/>
      <c r="W23" s="995"/>
      <c r="X23" s="995"/>
      <c r="Y23" s="995"/>
      <c r="Z23" s="995"/>
      <c r="AA23" s="994"/>
      <c r="AB23" s="995"/>
      <c r="AC23" s="995"/>
      <c r="AD23" s="995"/>
      <c r="AE23" s="995"/>
      <c r="AF23" s="994"/>
      <c r="AG23" s="995"/>
      <c r="AH23" s="995"/>
      <c r="AI23" s="995"/>
      <c r="AJ23" s="995"/>
      <c r="AK23" s="994"/>
      <c r="AL23" s="993"/>
      <c r="AM23" s="993"/>
      <c r="AN23" s="993"/>
      <c r="AO23" s="993"/>
      <c r="AP23" s="994"/>
      <c r="AQ23" s="993"/>
      <c r="AR23" s="993"/>
      <c r="AS23" s="993"/>
      <c r="AT23" s="993"/>
      <c r="AU23" s="994"/>
      <c r="AV23" s="993"/>
      <c r="AW23" s="993"/>
      <c r="AX23" s="993"/>
      <c r="AY23" s="993"/>
      <c r="AZ23" s="994"/>
      <c r="BA23" s="993"/>
      <c r="BB23" s="993"/>
      <c r="BC23" s="993"/>
      <c r="BD23" s="993"/>
      <c r="BE23" s="994"/>
      <c r="BF23" s="993"/>
      <c r="BG23" s="993"/>
      <c r="BH23" s="993"/>
      <c r="BI23" s="993"/>
      <c r="BJ23" s="994"/>
      <c r="BK23" s="993"/>
      <c r="BL23" s="993"/>
      <c r="BM23" s="993"/>
      <c r="BN23" s="993"/>
      <c r="BO23" s="994"/>
      <c r="BP23" s="993"/>
      <c r="BQ23" s="993"/>
      <c r="BR23" s="993"/>
      <c r="BS23" s="993"/>
      <c r="BT23" s="994"/>
      <c r="BU23" s="996"/>
      <c r="BV23" s="996"/>
      <c r="BW23" s="996"/>
      <c r="BX23" s="996"/>
      <c r="BY23" s="854"/>
      <c r="BZ23" s="996"/>
      <c r="CA23" s="996"/>
      <c r="CB23" s="996"/>
      <c r="CC23" s="996"/>
      <c r="CD23" s="854"/>
      <c r="CE23" s="996"/>
      <c r="CF23" s="996"/>
      <c r="CG23" s="996"/>
      <c r="CH23" s="996"/>
      <c r="CI23" s="854"/>
      <c r="CJ23" s="996"/>
      <c r="CK23" s="996"/>
      <c r="CL23" s="996"/>
      <c r="CM23" s="996"/>
      <c r="CN23" s="854"/>
      <c r="CO23" s="996"/>
      <c r="CP23" s="996"/>
      <c r="CQ23" s="996"/>
      <c r="CR23" s="996"/>
      <c r="CS23" s="854"/>
      <c r="CT23" s="996"/>
      <c r="CU23" s="996"/>
      <c r="CV23" s="996"/>
      <c r="CW23" s="996"/>
      <c r="CX23" s="854"/>
      <c r="CY23" s="996"/>
      <c r="CZ23" s="996"/>
      <c r="DA23" s="996"/>
      <c r="DB23" s="996"/>
      <c r="DC23" s="854"/>
      <c r="DD23" s="996"/>
      <c r="DE23" s="996"/>
      <c r="DF23" s="996"/>
      <c r="DG23" s="996"/>
      <c r="DH23" s="854"/>
      <c r="DI23" s="996"/>
      <c r="DJ23" s="996"/>
      <c r="DK23" s="996"/>
      <c r="DL23" s="996"/>
      <c r="DM23" s="854"/>
      <c r="DN23" s="996"/>
      <c r="DO23" s="996"/>
      <c r="DP23" s="996"/>
      <c r="DQ23" s="996"/>
      <c r="DR23" s="854"/>
      <c r="DS23" s="996"/>
      <c r="DT23" s="996"/>
      <c r="DU23" s="996"/>
      <c r="DV23" s="996"/>
      <c r="DW23" s="854"/>
      <c r="DX23" s="996"/>
      <c r="DY23" s="996"/>
      <c r="DZ23" s="996"/>
      <c r="EA23" s="996"/>
      <c r="EB23" s="854"/>
      <c r="EC23" s="996"/>
      <c r="ED23" s="996"/>
      <c r="EE23" s="996"/>
      <c r="EF23" s="996"/>
      <c r="EG23" s="854"/>
      <c r="EH23" s="996"/>
      <c r="EI23" s="996"/>
      <c r="EJ23" s="996"/>
      <c r="EK23" s="996"/>
      <c r="EL23" s="854"/>
      <c r="EM23" s="996"/>
      <c r="EN23" s="996"/>
      <c r="EO23" s="996"/>
      <c r="EP23" s="996"/>
      <c r="EQ23" s="854"/>
      <c r="ER23" s="996"/>
      <c r="ES23" s="996"/>
      <c r="ET23" s="996"/>
      <c r="EU23" s="996"/>
      <c r="EV23" s="854"/>
      <c r="EW23" s="996"/>
      <c r="EX23" s="996"/>
      <c r="EY23" s="996"/>
      <c r="EZ23" s="996"/>
      <c r="FA23" s="854"/>
      <c r="FB23" s="996"/>
      <c r="FC23" s="996"/>
      <c r="FD23" s="996"/>
      <c r="FE23" s="996"/>
      <c r="FF23" s="854"/>
      <c r="FG23" s="996"/>
      <c r="FH23" s="996"/>
      <c r="FI23" s="996"/>
      <c r="FJ23" s="996"/>
      <c r="FK23" s="854"/>
      <c r="FL23" s="996"/>
      <c r="FM23" s="996"/>
      <c r="FN23" s="996"/>
      <c r="FO23" s="996"/>
      <c r="FP23" s="854"/>
      <c r="FQ23" s="996"/>
      <c r="FR23" s="996"/>
      <c r="FS23" s="996"/>
      <c r="FT23" s="996"/>
      <c r="FU23" s="854"/>
      <c r="FV23" s="996"/>
      <c r="FW23" s="996"/>
      <c r="FX23" s="996"/>
      <c r="FY23" s="996"/>
      <c r="FZ23" s="854"/>
      <c r="GA23" s="996"/>
      <c r="GB23" s="996"/>
      <c r="GC23" s="996"/>
      <c r="GD23" s="996"/>
      <c r="GE23" s="854"/>
      <c r="GF23" s="996"/>
      <c r="GG23" s="996"/>
      <c r="GH23" s="996"/>
      <c r="GI23" s="996"/>
      <c r="GJ23" s="854"/>
    </row>
    <row r="24" spans="1:192" ht="12.75" customHeight="1">
      <c r="A24" s="370" t="s">
        <v>31</v>
      </c>
      <c r="B24" s="621" t="s">
        <v>457</v>
      </c>
      <c r="C24" s="624"/>
      <c r="D24" s="624"/>
      <c r="E24" s="624"/>
      <c r="F24" s="624"/>
      <c r="G24" s="622"/>
      <c r="H24" s="624"/>
      <c r="I24" s="624"/>
      <c r="J24" s="624"/>
      <c r="K24" s="624"/>
      <c r="L24" s="622"/>
      <c r="M24" s="624"/>
      <c r="N24" s="624"/>
      <c r="O24" s="624"/>
      <c r="P24" s="624"/>
      <c r="Q24" s="622"/>
      <c r="R24" s="981"/>
      <c r="S24" s="981"/>
      <c r="T24" s="981"/>
      <c r="U24" s="981"/>
      <c r="V24" s="622"/>
      <c r="W24" s="981"/>
      <c r="X24" s="981"/>
      <c r="Y24" s="981"/>
      <c r="Z24" s="981"/>
      <c r="AA24" s="622"/>
      <c r="AB24" s="981"/>
      <c r="AC24" s="981"/>
      <c r="AD24" s="981"/>
      <c r="AE24" s="981"/>
      <c r="AF24" s="622"/>
      <c r="AG24" s="981"/>
      <c r="AH24" s="981"/>
      <c r="AI24" s="981"/>
      <c r="AJ24" s="981"/>
      <c r="AK24" s="622"/>
      <c r="AL24" s="624"/>
      <c r="AM24" s="624"/>
      <c r="AN24" s="624"/>
      <c r="AO24" s="624"/>
      <c r="AP24" s="622"/>
      <c r="AQ24" s="624"/>
      <c r="AR24" s="624"/>
      <c r="AS24" s="624"/>
      <c r="AT24" s="624"/>
      <c r="AU24" s="622"/>
      <c r="AV24" s="624"/>
      <c r="AW24" s="624"/>
      <c r="AX24" s="624"/>
      <c r="AY24" s="624"/>
      <c r="AZ24" s="622"/>
      <c r="BA24" s="624"/>
      <c r="BB24" s="624"/>
      <c r="BC24" s="624"/>
      <c r="BD24" s="624"/>
      <c r="BE24" s="622"/>
      <c r="BF24" s="624"/>
      <c r="BG24" s="624"/>
      <c r="BH24" s="624"/>
      <c r="BI24" s="624"/>
      <c r="BJ24" s="622"/>
      <c r="BK24" s="624"/>
      <c r="BL24" s="624"/>
      <c r="BM24" s="624"/>
      <c r="BN24" s="624"/>
      <c r="BO24" s="622"/>
      <c r="BP24" s="624"/>
      <c r="BQ24" s="624"/>
      <c r="BR24" s="624"/>
      <c r="BS24" s="624"/>
      <c r="BT24" s="622"/>
      <c r="BU24" s="619"/>
      <c r="BV24" s="619"/>
      <c r="BW24" s="619"/>
      <c r="BX24" s="619"/>
      <c r="BY24" s="829"/>
      <c r="BZ24" s="619"/>
      <c r="CA24" s="619"/>
      <c r="CB24" s="619"/>
      <c r="CC24" s="619"/>
      <c r="CD24" s="829"/>
      <c r="CE24" s="619"/>
      <c r="CF24" s="619"/>
      <c r="CG24" s="619"/>
      <c r="CH24" s="619"/>
      <c r="CI24" s="829"/>
      <c r="CJ24" s="619"/>
      <c r="CK24" s="619"/>
      <c r="CL24" s="619"/>
      <c r="CM24" s="619"/>
      <c r="CN24" s="829"/>
      <c r="CO24" s="619"/>
      <c r="CP24" s="619"/>
      <c r="CQ24" s="619"/>
      <c r="CR24" s="619"/>
      <c r="CS24" s="829"/>
      <c r="CT24" s="619"/>
      <c r="CU24" s="619"/>
      <c r="CV24" s="619"/>
      <c r="CW24" s="619"/>
      <c r="CX24" s="829"/>
      <c r="CY24" s="619"/>
      <c r="CZ24" s="619"/>
      <c r="DA24" s="619"/>
      <c r="DB24" s="619"/>
      <c r="DC24" s="829"/>
      <c r="DD24" s="619">
        <f t="shared" ref="DD24:DM24" si="38">DD17+DD10</f>
      </c>
      <c r="DE24" s="619">
        <f t="shared" si="38"/>
      </c>
      <c r="DF24" s="619">
        <f t="shared" si="38"/>
      </c>
      <c r="DG24" s="619">
        <f t="shared" si="38"/>
      </c>
      <c r="DH24" s="829">
        <f t="shared" si="38"/>
      </c>
      <c r="DI24" s="619">
        <f t="shared" si="38"/>
      </c>
      <c r="DJ24" s="619">
        <f t="shared" si="38"/>
      </c>
      <c r="DK24" s="619">
        <f t="shared" si="38"/>
      </c>
      <c r="DL24" s="619">
        <f t="shared" si="38"/>
      </c>
      <c r="DM24" s="829">
        <f t="shared" si="38"/>
      </c>
      <c r="DN24" s="619">
        <f t="shared" ref="DN24:FU24" si="39">DN17+DN10</f>
      </c>
      <c r="DO24" s="619">
        <f t="shared" si="39"/>
      </c>
      <c r="DP24" s="619">
        <f t="shared" si="39"/>
      </c>
      <c r="DQ24" s="619">
        <f t="shared" si="39"/>
      </c>
      <c r="DR24" s="829">
        <f t="shared" si="39"/>
      </c>
      <c r="DS24" s="619">
        <f t="shared" si="39"/>
      </c>
      <c r="DT24" s="619">
        <f t="shared" si="39"/>
      </c>
      <c r="DU24" s="619">
        <f t="shared" si="39"/>
      </c>
      <c r="DV24" s="619">
        <f t="shared" si="39"/>
      </c>
      <c r="DW24" s="829">
        <f t="shared" si="39"/>
      </c>
      <c r="DX24" s="619">
        <f t="shared" si="39"/>
      </c>
      <c r="DY24" s="619">
        <f t="shared" si="39"/>
      </c>
      <c r="DZ24" s="619">
        <f t="shared" si="39"/>
      </c>
      <c r="EA24" s="619">
        <f>EA17+EA10</f>
      </c>
      <c r="EB24" s="829">
        <f t="shared" si="39"/>
      </c>
      <c r="EC24" s="619">
        <f t="shared" si="39"/>
      </c>
      <c r="ED24" s="619">
        <f t="shared" si="39"/>
      </c>
      <c r="EE24" s="619">
        <f t="shared" si="39"/>
      </c>
      <c r="EF24" s="619">
        <f t="shared" si="39"/>
      </c>
      <c r="EG24" s="829">
        <f t="shared" si="39"/>
      </c>
      <c r="EH24" s="619">
        <f t="shared" si="39"/>
      </c>
      <c r="EI24" s="619">
        <f t="shared" si="39"/>
      </c>
      <c r="EJ24" s="619">
        <f t="shared" si="39"/>
      </c>
      <c r="EK24" s="619">
        <f t="shared" si="39"/>
      </c>
      <c r="EL24" s="829">
        <f t="shared" si="39"/>
      </c>
      <c r="EM24" s="619">
        <f t="shared" si="39"/>
      </c>
      <c r="EN24" s="619">
        <f t="shared" si="39"/>
      </c>
      <c r="EO24" s="619">
        <f t="shared" si="39"/>
      </c>
      <c r="EP24" s="619">
        <f t="shared" si="39"/>
      </c>
      <c r="EQ24" s="829">
        <f t="shared" si="39"/>
      </c>
      <c r="ER24" s="619">
        <f t="shared" si="39"/>
      </c>
      <c r="ES24" s="619">
        <f t="shared" si="39"/>
      </c>
      <c r="ET24" s="619">
        <f t="shared" si="39"/>
      </c>
      <c r="EU24" s="619">
        <f>EU17+EU10</f>
      </c>
      <c r="EV24" s="829">
        <f>EV17+EV10</f>
      </c>
      <c r="EW24" s="619">
        <f t="shared" ref="EW24:EY24" si="40">EW17+EW10</f>
      </c>
      <c r="EX24" s="619">
        <f t="shared" si="40"/>
      </c>
      <c r="EY24" s="619">
        <f t="shared" si="40"/>
      </c>
      <c r="EZ24" s="619">
        <f>EZ17+EZ10</f>
      </c>
      <c r="FA24" s="829">
        <f>FA17+FA10</f>
      </c>
      <c r="FB24" s="619">
        <f t="shared" si="39"/>
      </c>
      <c r="FC24" s="619">
        <f t="shared" si="39"/>
      </c>
      <c r="FD24" s="619">
        <f t="shared" si="39"/>
      </c>
      <c r="FE24" s="619">
        <f t="shared" si="39"/>
      </c>
      <c r="FF24" s="829">
        <f t="shared" si="39"/>
      </c>
      <c r="FG24" s="619">
        <f t="shared" si="39"/>
      </c>
      <c r="FH24" s="619">
        <f t="shared" si="39"/>
      </c>
      <c r="FI24" s="619">
        <f t="shared" si="39"/>
      </c>
      <c r="FJ24" s="619">
        <f t="shared" si="39"/>
      </c>
      <c r="FK24" s="829">
        <f t="shared" si="39"/>
      </c>
      <c r="FL24" s="619">
        <f t="shared" si="39"/>
      </c>
      <c r="FM24" s="619">
        <f t="shared" si="39"/>
      </c>
      <c r="FN24" s="619">
        <f t="shared" si="39"/>
      </c>
      <c r="FO24" s="619">
        <f t="shared" si="39"/>
      </c>
      <c r="FP24" s="829">
        <f t="shared" si="39"/>
      </c>
      <c r="FQ24" s="619">
        <f t="shared" si="39"/>
      </c>
      <c r="FR24" s="619">
        <f t="shared" si="39"/>
      </c>
      <c r="FS24" s="619">
        <f t="shared" si="39"/>
      </c>
      <c r="FT24" s="619">
        <f t="shared" si="39"/>
      </c>
      <c r="FU24" s="829">
        <f t="shared" si="39"/>
      </c>
      <c r="FV24" s="619">
        <f t="shared" ref="FV24:GE24" si="41">FV17+FV10</f>
      </c>
      <c r="FW24" s="619">
        <f t="shared" si="41"/>
      </c>
      <c r="FX24" s="619">
        <f t="shared" si="41"/>
      </c>
      <c r="FY24" s="619">
        <f t="shared" si="41"/>
      </c>
      <c r="FZ24" s="829">
        <f t="shared" si="41"/>
      </c>
      <c r="GA24" s="619">
        <f t="shared" si="41"/>
      </c>
      <c r="GB24" s="619">
        <f t="shared" si="41"/>
      </c>
      <c r="GC24" s="619">
        <f t="shared" si="41"/>
      </c>
      <c r="GD24" s="619">
        <f t="shared" si="41"/>
      </c>
      <c r="GE24" s="829">
        <f t="shared" si="41"/>
      </c>
      <c r="GF24" s="619">
        <f t="shared" ref="GF24:GJ24" si="42">GF17+GF10</f>
      </c>
      <c r="GG24" s="619">
        <f t="shared" si="42"/>
      </c>
      <c r="GH24" s="619">
        <f t="shared" si="42"/>
      </c>
      <c r="GI24" s="619">
        <f t="shared" si="42"/>
      </c>
      <c r="GJ24" s="829">
        <f t="shared" si="42"/>
      </c>
    </row>
    <row r="25" spans="1:192" s="1031" customFormat="1" ht="12.75" customHeight="1">
      <c r="A25" s="1027"/>
      <c r="B25" s="727" t="s">
        <v>34</v>
      </c>
      <c r="C25" s="1028"/>
      <c r="D25" s="1028"/>
      <c r="E25" s="1028"/>
      <c r="F25" s="1028"/>
      <c r="G25" s="1029"/>
      <c r="H25" s="1028"/>
      <c r="I25" s="1028"/>
      <c r="J25" s="1028"/>
      <c r="K25" s="1028"/>
      <c r="L25" s="1029"/>
      <c r="M25" s="1028"/>
      <c r="N25" s="1028"/>
      <c r="O25" s="1028"/>
      <c r="P25" s="1028"/>
      <c r="Q25" s="1029"/>
      <c r="R25" s="1030"/>
      <c r="S25" s="1030"/>
      <c r="T25" s="1030"/>
      <c r="U25" s="1030"/>
      <c r="V25" s="1029"/>
      <c r="W25" s="1030"/>
      <c r="X25" s="1030"/>
      <c r="Y25" s="1030"/>
      <c r="Z25" s="1030"/>
      <c r="AA25" s="1029"/>
      <c r="AB25" s="1030"/>
      <c r="AC25" s="1030"/>
      <c r="AD25" s="1030"/>
      <c r="AE25" s="1030"/>
      <c r="AF25" s="1029"/>
      <c r="AG25" s="1030"/>
      <c r="AH25" s="1030"/>
      <c r="AI25" s="1030"/>
      <c r="AJ25" s="1030"/>
      <c r="AK25" s="1029"/>
      <c r="AL25" s="1028"/>
      <c r="AM25" s="1028"/>
      <c r="AN25" s="1028"/>
      <c r="AO25" s="1028"/>
      <c r="AP25" s="1029"/>
      <c r="AQ25" s="1028"/>
      <c r="AR25" s="1028"/>
      <c r="AS25" s="1028"/>
      <c r="AT25" s="1028"/>
      <c r="AU25" s="1029"/>
      <c r="AV25" s="1028"/>
      <c r="AW25" s="1028"/>
      <c r="AX25" s="1028"/>
      <c r="AY25" s="1028"/>
      <c r="AZ25" s="1029"/>
      <c r="BA25" s="1028"/>
      <c r="BB25" s="1028"/>
      <c r="BC25" s="1028"/>
      <c r="BD25" s="1028"/>
      <c r="BE25" s="1029"/>
      <c r="BF25" s="1028"/>
      <c r="BG25" s="1028"/>
      <c r="BH25" s="1028"/>
      <c r="BI25" s="1028"/>
      <c r="BJ25" s="1029"/>
      <c r="BK25" s="1028"/>
      <c r="BL25" s="1028"/>
      <c r="BM25" s="1028"/>
      <c r="BN25" s="1028"/>
      <c r="BO25" s="1029"/>
      <c r="BP25" s="1028"/>
      <c r="BQ25" s="1028"/>
      <c r="BR25" s="1028"/>
      <c r="BS25" s="1028"/>
      <c r="BT25" s="1029"/>
      <c r="BU25" s="1028"/>
      <c r="BV25" s="1028"/>
      <c r="BW25" s="1028"/>
      <c r="BX25" s="1028"/>
      <c r="BY25" s="1029"/>
      <c r="BZ25" s="1028"/>
      <c r="CA25" s="1028"/>
      <c r="CB25" s="1028"/>
      <c r="CC25" s="1028"/>
      <c r="CD25" s="1029"/>
      <c r="CE25" s="1028"/>
      <c r="CF25" s="1028"/>
      <c r="CG25" s="1028"/>
      <c r="CH25" s="1028"/>
      <c r="CI25" s="1029"/>
      <c r="CJ25" s="1028"/>
      <c r="CK25" s="1028"/>
      <c r="CL25" s="1028"/>
      <c r="CM25" s="1028"/>
      <c r="CN25" s="1029"/>
      <c r="CO25" s="1028"/>
      <c r="CP25" s="1028"/>
      <c r="CQ25" s="1028"/>
      <c r="CR25" s="1028"/>
      <c r="CS25" s="1029"/>
      <c r="CT25" s="1028"/>
      <c r="CU25" s="1028"/>
      <c r="CV25" s="1028"/>
      <c r="CW25" s="1028"/>
      <c r="CX25" s="1029"/>
      <c r="CY25" s="1028"/>
      <c r="CZ25" s="1028"/>
      <c r="DA25" s="1028"/>
      <c r="DB25" s="1028"/>
      <c r="DC25" s="1029"/>
      <c r="DD25" s="1028"/>
      <c r="DE25" s="1028"/>
      <c r="DF25" s="1028"/>
      <c r="DG25" s="1028"/>
      <c r="DH25" s="1029"/>
      <c r="DI25" s="1028">
        <f t="shared" ref="DI25" si="43">DI24/DD24-1</f>
      </c>
      <c r="DJ25" s="1028">
        <f t="shared" ref="DJ25" si="44">DJ24/DE24-1</f>
      </c>
      <c r="DK25" s="1028">
        <f t="shared" ref="DK25" si="45">DK24/DF24-1</f>
      </c>
      <c r="DL25" s="1028">
        <f t="shared" ref="DL25" si="46">DL24/DG24-1</f>
      </c>
      <c r="DM25" s="1029">
        <f t="shared" ref="DM25" si="47">DM24/DH24-1</f>
      </c>
      <c r="DN25" s="1028">
        <f t="shared" ref="DN25:ES25" si="48">DN24/DI24-1</f>
      </c>
      <c r="DO25" s="1028">
        <f t="shared" si="48"/>
      </c>
      <c r="DP25" s="1028">
        <f t="shared" si="48"/>
      </c>
      <c r="DQ25" s="1028">
        <f t="shared" si="48"/>
      </c>
      <c r="DR25" s="1029">
        <f t="shared" si="48"/>
      </c>
      <c r="DS25" s="1028">
        <f t="shared" si="48"/>
      </c>
      <c r="DT25" s="1028">
        <f t="shared" si="48"/>
      </c>
      <c r="DU25" s="1028">
        <f t="shared" si="48"/>
      </c>
      <c r="DV25" s="1028">
        <f t="shared" si="48"/>
      </c>
      <c r="DW25" s="1029">
        <f t="shared" si="48"/>
      </c>
      <c r="DX25" s="1028">
        <f t="shared" si="48"/>
      </c>
      <c r="DY25" s="1028">
        <f t="shared" si="48"/>
      </c>
      <c r="DZ25" s="1028">
        <f t="shared" si="48"/>
      </c>
      <c r="EA25" s="1028">
        <f t="shared" si="48"/>
      </c>
      <c r="EB25" s="1029">
        <f t="shared" si="48"/>
      </c>
      <c r="EC25" s="1028">
        <f t="shared" si="48"/>
      </c>
      <c r="ED25" s="1028">
        <f t="shared" si="48"/>
      </c>
      <c r="EE25" s="1028">
        <f t="shared" si="48"/>
      </c>
      <c r="EF25" s="1028">
        <f t="shared" si="48"/>
      </c>
      <c r="EG25" s="1029">
        <f t="shared" si="48"/>
      </c>
      <c r="EH25" s="1028">
        <f t="shared" si="48"/>
      </c>
      <c r="EI25" s="1028">
        <f t="shared" si="48"/>
      </c>
      <c r="EJ25" s="1028">
        <f t="shared" si="48"/>
      </c>
      <c r="EK25" s="1028">
        <f t="shared" si="48"/>
      </c>
      <c r="EL25" s="1029">
        <f t="shared" si="48"/>
      </c>
      <c r="EM25" s="1028">
        <f t="shared" si="48"/>
      </c>
      <c r="EN25" s="1028">
        <f t="shared" si="48"/>
      </c>
      <c r="EO25" s="1028">
        <f t="shared" si="48"/>
      </c>
      <c r="EP25" s="1028">
        <f t="shared" si="48"/>
      </c>
      <c r="EQ25" s="1029">
        <f t="shared" si="48"/>
      </c>
      <c r="ER25" s="1028">
        <f t="shared" si="48"/>
      </c>
      <c r="ES25" s="1028">
        <f t="shared" si="48"/>
      </c>
      <c r="ET25" s="1028">
        <f t="shared" ref="ET25:FY25" si="49">ET24/EO24-1</f>
      </c>
      <c r="EU25" s="1028">
        <f>EU24/EP24-1</f>
      </c>
      <c r="EV25" s="1029">
        <f>EV24/EQ24-1</f>
      </c>
      <c r="EW25" s="1028">
        <f t="shared" ref="EW25:EX25" si="50">EW24/ER24-1</f>
      </c>
      <c r="EX25" s="1028">
        <f t="shared" si="50"/>
      </c>
      <c r="EY25" s="1028">
        <f t="shared" si="49"/>
      </c>
      <c r="EZ25" s="1028">
        <f>EZ24/EU24-1</f>
      </c>
      <c r="FA25" s="1029">
        <f>FA24/EV24-1</f>
      </c>
      <c r="FB25" s="1028">
        <f t="shared" si="49"/>
      </c>
      <c r="FC25" s="1028">
        <f t="shared" si="49"/>
      </c>
      <c r="FD25" s="1028">
        <f t="shared" si="49"/>
      </c>
      <c r="FE25" s="1028">
        <f t="shared" si="49"/>
      </c>
      <c r="FF25" s="1029">
        <f t="shared" si="49"/>
      </c>
      <c r="FG25" s="1028">
        <f t="shared" si="49"/>
      </c>
      <c r="FH25" s="1028">
        <f t="shared" si="49"/>
      </c>
      <c r="FI25" s="1028">
        <f t="shared" si="49"/>
      </c>
      <c r="FJ25" s="1028">
        <f t="shared" si="49"/>
      </c>
      <c r="FK25" s="1029">
        <f t="shared" si="49"/>
      </c>
      <c r="FL25" s="1028">
        <f t="shared" si="49"/>
      </c>
      <c r="FM25" s="1028">
        <f t="shared" si="49"/>
      </c>
      <c r="FN25" s="1028">
        <f t="shared" si="49"/>
      </c>
      <c r="FO25" s="1028">
        <f t="shared" si="49"/>
      </c>
      <c r="FP25" s="1029">
        <f t="shared" si="49"/>
      </c>
      <c r="FQ25" s="1028">
        <f t="shared" si="49"/>
      </c>
      <c r="FR25" s="1028">
        <f t="shared" si="49"/>
      </c>
      <c r="FS25" s="1028">
        <f t="shared" si="49"/>
      </c>
      <c r="FT25" s="1028">
        <f t="shared" si="49"/>
      </c>
      <c r="FU25" s="1029">
        <f t="shared" si="49"/>
      </c>
      <c r="FV25" s="1028">
        <f t="shared" si="49"/>
      </c>
      <c r="FW25" s="1028">
        <f t="shared" si="49"/>
      </c>
      <c r="FX25" s="1028">
        <f t="shared" si="49"/>
      </c>
      <c r="FY25" s="1028">
        <f t="shared" si="49"/>
      </c>
      <c r="FZ25" s="1029">
        <f t="shared" ref="FZ25:GE25" si="51">FZ24/FU24-1</f>
      </c>
      <c r="GA25" s="1028">
        <f t="shared" si="51"/>
      </c>
      <c r="GB25" s="1028">
        <f t="shared" si="51"/>
      </c>
      <c r="GC25" s="1028">
        <f t="shared" si="51"/>
      </c>
      <c r="GD25" s="1028">
        <f t="shared" si="51"/>
      </c>
      <c r="GE25" s="1029">
        <f t="shared" si="51"/>
      </c>
      <c r="GF25" s="1028">
        <f t="shared" ref="GF25" si="52">GF24/GA24-1</f>
      </c>
      <c r="GG25" s="1028">
        <f t="shared" ref="GG25" si="53">GG24/GB24-1</f>
      </c>
      <c r="GH25" s="1028">
        <f t="shared" ref="GH25" si="54">GH24/GC24-1</f>
      </c>
      <c r="GI25" s="1028">
        <f t="shared" ref="GI25" si="55">GI24/GD24-1</f>
      </c>
      <c r="GJ25" s="1029">
        <f t="shared" ref="GJ25" si="56">GJ24/GE24-1</f>
      </c>
    </row>
    <row r="26" spans="1:192" s="1031" customFormat="1" ht="12.75" customHeight="1">
      <c r="A26" s="1027"/>
      <c r="B26" s="727" t="s">
        <v>36</v>
      </c>
      <c r="C26" s="1028"/>
      <c r="D26" s="1028"/>
      <c r="E26" s="1028"/>
      <c r="F26" s="1028"/>
      <c r="G26" s="1029"/>
      <c r="H26" s="1028"/>
      <c r="I26" s="1028"/>
      <c r="J26" s="1028"/>
      <c r="K26" s="1028"/>
      <c r="L26" s="1029"/>
      <c r="M26" s="1028"/>
      <c r="N26" s="1028"/>
      <c r="O26" s="1028"/>
      <c r="P26" s="1028"/>
      <c r="Q26" s="1029"/>
      <c r="R26" s="1030"/>
      <c r="S26" s="1030"/>
      <c r="T26" s="1030"/>
      <c r="U26" s="1030"/>
      <c r="V26" s="1029"/>
      <c r="W26" s="1030"/>
      <c r="X26" s="1030"/>
      <c r="Y26" s="1030"/>
      <c r="Z26" s="1030"/>
      <c r="AA26" s="1029"/>
      <c r="AB26" s="1030"/>
      <c r="AC26" s="1030"/>
      <c r="AD26" s="1030"/>
      <c r="AE26" s="1030"/>
      <c r="AF26" s="1029"/>
      <c r="AG26" s="1030"/>
      <c r="AH26" s="1030"/>
      <c r="AI26" s="1030"/>
      <c r="AJ26" s="1030"/>
      <c r="AK26" s="1029"/>
      <c r="AL26" s="1028"/>
      <c r="AM26" s="1028"/>
      <c r="AN26" s="1028"/>
      <c r="AO26" s="1028"/>
      <c r="AP26" s="1029"/>
      <c r="AQ26" s="1028"/>
      <c r="AR26" s="1028"/>
      <c r="AS26" s="1028"/>
      <c r="AT26" s="1028"/>
      <c r="AU26" s="1029"/>
      <c r="AV26" s="1028"/>
      <c r="AW26" s="1028"/>
      <c r="AX26" s="1028"/>
      <c r="AY26" s="1028"/>
      <c r="AZ26" s="1029"/>
      <c r="BA26" s="1028"/>
      <c r="BB26" s="1028"/>
      <c r="BC26" s="1028"/>
      <c r="BD26" s="1028"/>
      <c r="BE26" s="1029"/>
      <c r="BF26" s="1028"/>
      <c r="BG26" s="1028"/>
      <c r="BH26" s="1028"/>
      <c r="BI26" s="1028"/>
      <c r="BJ26" s="1029"/>
      <c r="BK26" s="1028"/>
      <c r="BL26" s="1028"/>
      <c r="BM26" s="1028"/>
      <c r="BN26" s="1028"/>
      <c r="BO26" s="1029"/>
      <c r="BP26" s="1028"/>
      <c r="BQ26" s="1028"/>
      <c r="BR26" s="1028"/>
      <c r="BS26" s="1028"/>
      <c r="BT26" s="1029"/>
      <c r="BU26" s="1028"/>
      <c r="BV26" s="1028"/>
      <c r="BW26" s="1028"/>
      <c r="BX26" s="1028"/>
      <c r="BY26" s="1029"/>
      <c r="BZ26" s="1028"/>
      <c r="CA26" s="1028"/>
      <c r="CB26" s="1028"/>
      <c r="CC26" s="1028"/>
      <c r="CD26" s="1029"/>
      <c r="CE26" s="1028"/>
      <c r="CF26" s="1028"/>
      <c r="CG26" s="1028"/>
      <c r="CH26" s="1028"/>
      <c r="CI26" s="1029"/>
      <c r="CJ26" s="1028"/>
      <c r="CK26" s="1028"/>
      <c r="CL26" s="1028"/>
      <c r="CM26" s="1028"/>
      <c r="CN26" s="1029"/>
      <c r="CO26" s="1028"/>
      <c r="CP26" s="1028"/>
      <c r="CQ26" s="1028"/>
      <c r="CR26" s="1028"/>
      <c r="CS26" s="1029"/>
      <c r="CT26" s="1028"/>
      <c r="CU26" s="1028"/>
      <c r="CV26" s="1028"/>
      <c r="CW26" s="1028"/>
      <c r="CX26" s="1029"/>
      <c r="CY26" s="1028"/>
      <c r="CZ26" s="1028"/>
      <c r="DA26" s="1028"/>
      <c r="DB26" s="1028"/>
      <c r="DC26" s="1029"/>
      <c r="DD26" s="1028"/>
      <c r="DE26" s="1028">
        <f>DE24/DD24-1</f>
      </c>
      <c r="DF26" s="1028">
        <f>DF24/DE24-1</f>
      </c>
      <c r="DG26" s="1028">
        <f>DG24/DF24-1</f>
      </c>
      <c r="DH26" s="1029"/>
      <c r="DI26" s="1028">
        <f>DI24/DG24-1</f>
      </c>
      <c r="DJ26" s="1028">
        <f>DJ24/DI24-1</f>
      </c>
      <c r="DK26" s="1028">
        <f>DK24/DJ24-1</f>
      </c>
      <c r="DL26" s="1028">
        <f>DL24/DK24-1</f>
      </c>
      <c r="DM26" s="1029"/>
      <c r="DN26" s="1028">
        <f>DN24/DL24-1</f>
      </c>
      <c r="DO26" s="1028">
        <f>DO24/DN24-1</f>
      </c>
      <c r="DP26" s="1028">
        <f>DP24/DO24-1</f>
      </c>
      <c r="DQ26" s="1028">
        <f>DQ24/DP24-1</f>
      </c>
      <c r="DR26" s="1029"/>
      <c r="DS26" s="1028">
        <f>DS24/DQ24-1</f>
      </c>
      <c r="DT26" s="1028">
        <f>DT24/DS24-1</f>
      </c>
      <c r="DU26" s="1028">
        <f>DU24/DT24-1</f>
      </c>
      <c r="DV26" s="1028">
        <f>DV24/DU24-1</f>
      </c>
      <c r="DW26" s="1029"/>
      <c r="DX26" s="1028">
        <f>DX24/DV24-1</f>
      </c>
      <c r="DY26" s="1028">
        <f>DY24/DX24-1</f>
      </c>
      <c r="DZ26" s="1028">
        <f>DZ24/DY24-1</f>
      </c>
      <c r="EA26" s="1028">
        <f>EA24/DZ24-1</f>
      </c>
      <c r="EB26" s="1029"/>
      <c r="EC26" s="1028">
        <f>EC24/EA24-1</f>
      </c>
      <c r="ED26" s="1028">
        <f>ED24/EC24-1</f>
      </c>
      <c r="EE26" s="1028">
        <f>EE24/ED24-1</f>
      </c>
      <c r="EF26" s="1028">
        <f>EF24/EE24-1</f>
      </c>
      <c r="EG26" s="1029"/>
      <c r="EH26" s="1028">
        <f>EH24/EF24-1</f>
      </c>
      <c r="EI26" s="1028">
        <f>EI24/EH24-1</f>
      </c>
      <c r="EJ26" s="1028">
        <f>EJ24/EI24-1</f>
      </c>
      <c r="EK26" s="1028">
        <f>EK24/EJ24-1</f>
      </c>
      <c r="EL26" s="1029"/>
      <c r="EM26" s="1028">
        <f>EM24/EK24-1</f>
      </c>
      <c r="EN26" s="1028">
        <f>EN24/EM24-1</f>
      </c>
      <c r="EO26" s="1028">
        <f>EO24/EN24-1</f>
      </c>
      <c r="EP26" s="1028">
        <f>EP24/EO24-1</f>
      </c>
      <c r="EQ26" s="1029"/>
      <c r="ER26" s="1028">
        <f>ER24/EP24-1</f>
      </c>
      <c r="ES26" s="1028">
        <f>ES24/ER24-1</f>
      </c>
      <c r="ET26" s="1028">
        <f>ET24/ES24-1</f>
      </c>
      <c r="EU26" s="1028">
        <f>EU24/ET24-1</f>
      </c>
      <c r="EV26" s="1029"/>
      <c r="EW26" s="1028">
        <f>EW24/EU24-1</f>
      </c>
      <c r="EX26" s="1028">
        <f>EX24/EW24-1</f>
      </c>
      <c r="EY26" s="1028">
        <f>EY24/EX24-1</f>
      </c>
      <c r="EZ26" s="1028">
        <f>EZ24/EY24-1</f>
      </c>
      <c r="FA26" s="1029"/>
      <c r="FB26" s="1028">
        <f>FB24/EZ24-1</f>
      </c>
      <c r="FC26" s="1028">
        <f>FC24/FB24-1</f>
      </c>
      <c r="FD26" s="1028">
        <f>FD24/FC24-1</f>
      </c>
      <c r="FE26" s="1028">
        <f>FE24/FD24-1</f>
      </c>
      <c r="FF26" s="1029"/>
      <c r="FG26" s="1028">
        <f>FG24/FE24-1</f>
      </c>
      <c r="FH26" s="1028">
        <f>FH24/FG24-1</f>
      </c>
      <c r="FI26" s="1028">
        <f>FI24/FH24-1</f>
      </c>
      <c r="FJ26" s="1028">
        <f>FJ24/FI24-1</f>
      </c>
      <c r="FK26" s="1029"/>
      <c r="FL26" s="1028">
        <f>FL24/FJ24-1</f>
      </c>
      <c r="FM26" s="1028">
        <f>FM24/FL24-1</f>
      </c>
      <c r="FN26" s="1028">
        <f>FN24/FM24-1</f>
      </c>
      <c r="FO26" s="1028">
        <f>FO24/FN24-1</f>
      </c>
      <c r="FP26" s="1029"/>
      <c r="FQ26" s="1028">
        <f>FQ24/FO24-1</f>
      </c>
      <c r="FR26" s="1028">
        <f>FR24/FQ24-1</f>
      </c>
      <c r="FS26" s="1028">
        <f>FS24/FR24-1</f>
      </c>
      <c r="FT26" s="1028">
        <f>FT24/FS24-1</f>
      </c>
      <c r="FU26" s="1029"/>
      <c r="FV26" s="1028">
        <f>FV24/FT24-1</f>
      </c>
      <c r="FW26" s="1028">
        <f>FW24/FV24-1</f>
      </c>
      <c r="FX26" s="1028">
        <f>FX24/FW24-1</f>
      </c>
      <c r="FY26" s="1028">
        <f>FY24/FX24-1</f>
      </c>
      <c r="FZ26" s="1029"/>
      <c r="GA26" s="1028">
        <f>GA24/FY24-1</f>
      </c>
      <c r="GB26" s="1028">
        <f>GB24/GA24-1</f>
      </c>
      <c r="GC26" s="1028">
        <f>GC24/GB24-1</f>
      </c>
      <c r="GD26" s="1028">
        <f>GD24/GC24-1</f>
      </c>
      <c r="GE26" s="1029"/>
      <c r="GF26" s="1028">
        <f>GF24/GD24-1</f>
      </c>
      <c r="GG26" s="1028">
        <f>GG24/GF24-1</f>
      </c>
      <c r="GH26" s="1028">
        <f>GH24/GG24-1</f>
      </c>
      <c r="GI26" s="1028">
        <f>GI24/GH24-1</f>
      </c>
      <c r="GJ26" s="1029"/>
    </row>
    <row r="27" spans="1:192" s="1031" customFormat="1" ht="12.75" customHeight="1">
      <c r="A27" s="1027"/>
      <c r="B27" s="727" t="s">
        <v>1825</v>
      </c>
      <c r="C27" s="1028"/>
      <c r="D27" s="1028"/>
      <c r="E27" s="1028"/>
      <c r="F27" s="1028"/>
      <c r="G27" s="1029"/>
      <c r="H27" s="1028"/>
      <c r="I27" s="1028"/>
      <c r="J27" s="1028"/>
      <c r="K27" s="1028"/>
      <c r="L27" s="1029"/>
      <c r="M27" s="1028"/>
      <c r="N27" s="1028"/>
      <c r="O27" s="1028"/>
      <c r="P27" s="1028"/>
      <c r="Q27" s="1029"/>
      <c r="R27" s="1030"/>
      <c r="S27" s="1030"/>
      <c r="T27" s="1030"/>
      <c r="U27" s="1030"/>
      <c r="V27" s="1029"/>
      <c r="W27" s="1030"/>
      <c r="X27" s="1030"/>
      <c r="Y27" s="1030"/>
      <c r="Z27" s="1030"/>
      <c r="AA27" s="1029"/>
      <c r="AB27" s="1030"/>
      <c r="AC27" s="1030"/>
      <c r="AD27" s="1030"/>
      <c r="AE27" s="1030"/>
      <c r="AF27" s="1029"/>
      <c r="AG27" s="1030"/>
      <c r="AH27" s="1030"/>
      <c r="AI27" s="1030"/>
      <c r="AJ27" s="1030"/>
      <c r="AK27" s="1029"/>
      <c r="AL27" s="1028"/>
      <c r="AM27" s="1028"/>
      <c r="AN27" s="1028"/>
      <c r="AO27" s="1028"/>
      <c r="AP27" s="1029"/>
      <c r="AQ27" s="1028"/>
      <c r="AR27" s="1028"/>
      <c r="AS27" s="1028"/>
      <c r="AT27" s="1028"/>
      <c r="AU27" s="1029"/>
      <c r="AV27" s="1028"/>
      <c r="AW27" s="1028"/>
      <c r="AX27" s="1028"/>
      <c r="AY27" s="1028"/>
      <c r="AZ27" s="1029"/>
      <c r="BA27" s="1028"/>
      <c r="BB27" s="1028"/>
      <c r="BC27" s="1028"/>
      <c r="BD27" s="1028"/>
      <c r="BE27" s="1029"/>
      <c r="BF27" s="1028"/>
      <c r="BG27" s="1028"/>
      <c r="BH27" s="1028"/>
      <c r="BI27" s="1028"/>
      <c r="BJ27" s="1029"/>
      <c r="BK27" s="1028"/>
      <c r="BL27" s="1028"/>
      <c r="BM27" s="1028"/>
      <c r="BN27" s="1028"/>
      <c r="BO27" s="1029"/>
      <c r="BP27" s="1028"/>
      <c r="BQ27" s="1028"/>
      <c r="BR27" s="1028"/>
      <c r="BS27" s="1028"/>
      <c r="BT27" s="1029"/>
      <c r="BU27" s="1039"/>
      <c r="BV27" s="1039"/>
      <c r="BW27" s="1039"/>
      <c r="BX27" s="1039"/>
      <c r="BY27" s="1040"/>
      <c r="BZ27" s="1039"/>
      <c r="CA27" s="1039"/>
      <c r="CB27" s="1039"/>
      <c r="CC27" s="1039"/>
      <c r="CD27" s="1040"/>
      <c r="CE27" s="1039"/>
      <c r="CF27" s="1039"/>
      <c r="CG27" s="1039"/>
      <c r="CH27" s="1039"/>
      <c r="CI27" s="1040"/>
      <c r="CJ27" s="1039"/>
      <c r="CK27" s="1039"/>
      <c r="CL27" s="1039"/>
      <c r="CM27" s="1039"/>
      <c r="CN27" s="1040"/>
      <c r="CO27" s="1039"/>
      <c r="CP27" s="1039"/>
      <c r="CQ27" s="1039"/>
      <c r="CR27" s="1039"/>
      <c r="CS27" s="1040"/>
      <c r="CT27" s="1039"/>
      <c r="CU27" s="1039"/>
      <c r="CV27" s="1039"/>
      <c r="CW27" s="1039"/>
      <c r="CX27" s="1040"/>
      <c r="CY27" s="1039"/>
      <c r="CZ27" s="1039"/>
      <c r="DA27" s="1039"/>
      <c r="DB27" s="1039"/>
      <c r="DC27" s="1040"/>
      <c r="DD27" s="1039"/>
      <c r="DE27" s="1039"/>
      <c r="DF27" s="1039"/>
      <c r="DG27" s="1039"/>
      <c r="DH27" s="1040"/>
      <c r="DI27" s="1039">
        <f t="shared" ref="DI27" si="57">DI24-DD24</f>
      </c>
      <c r="DJ27" s="1039">
        <f t="shared" ref="DJ27" si="58">DJ24-DE24</f>
      </c>
      <c r="DK27" s="1039">
        <f t="shared" ref="DK27" si="59">DK24-DF24</f>
      </c>
      <c r="DL27" s="1039">
        <f t="shared" ref="DL27" si="60">DL24-DG24</f>
      </c>
      <c r="DM27" s="1040">
        <f t="shared" ref="DM27" si="61">DM24-DH24</f>
      </c>
      <c r="DN27" s="1039">
        <f t="shared" ref="DN27:ES27" si="62">DN24-DI24</f>
      </c>
      <c r="DO27" s="1039">
        <f t="shared" si="62"/>
      </c>
      <c r="DP27" s="1039">
        <f t="shared" si="62"/>
      </c>
      <c r="DQ27" s="1039">
        <f t="shared" si="62"/>
      </c>
      <c r="DR27" s="1040">
        <f t="shared" si="62"/>
      </c>
      <c r="DS27" s="1039">
        <f t="shared" si="62"/>
      </c>
      <c r="DT27" s="1039">
        <f t="shared" si="62"/>
      </c>
      <c r="DU27" s="1039">
        <f t="shared" si="62"/>
      </c>
      <c r="DV27" s="1039">
        <f t="shared" si="62"/>
      </c>
      <c r="DW27" s="1040">
        <f t="shared" si="62"/>
      </c>
      <c r="DX27" s="1039">
        <f t="shared" si="62"/>
      </c>
      <c r="DY27" s="1039">
        <f t="shared" si="62"/>
      </c>
      <c r="DZ27" s="1039">
        <f t="shared" si="62"/>
      </c>
      <c r="EA27" s="1039">
        <f t="shared" si="62"/>
      </c>
      <c r="EB27" s="1040">
        <f t="shared" si="62"/>
      </c>
      <c r="EC27" s="1039">
        <f t="shared" si="62"/>
      </c>
      <c r="ED27" s="1039">
        <f t="shared" si="62"/>
      </c>
      <c r="EE27" s="1039">
        <f t="shared" si="62"/>
      </c>
      <c r="EF27" s="1039">
        <f t="shared" si="62"/>
      </c>
      <c r="EG27" s="1040">
        <f t="shared" si="62"/>
      </c>
      <c r="EH27" s="1039">
        <f t="shared" si="62"/>
      </c>
      <c r="EI27" s="1039">
        <f t="shared" si="62"/>
      </c>
      <c r="EJ27" s="1039">
        <f t="shared" si="62"/>
      </c>
      <c r="EK27" s="1039">
        <f t="shared" si="62"/>
      </c>
      <c r="EL27" s="1040">
        <f t="shared" si="62"/>
      </c>
      <c r="EM27" s="1039">
        <f t="shared" si="62"/>
      </c>
      <c r="EN27" s="1039">
        <f t="shared" si="62"/>
      </c>
      <c r="EO27" s="1039">
        <f t="shared" si="62"/>
      </c>
      <c r="EP27" s="1039">
        <f t="shared" si="62"/>
      </c>
      <c r="EQ27" s="1040">
        <f t="shared" si="62"/>
      </c>
      <c r="ER27" s="1039">
        <f t="shared" si="62"/>
      </c>
      <c r="ES27" s="1039">
        <f t="shared" si="62"/>
      </c>
      <c r="ET27" s="1039">
        <f t="shared" ref="ET27:FY27" si="63">ET24-EO24</f>
      </c>
      <c r="EU27" s="1039">
        <f>EU24-EP24</f>
      </c>
      <c r="EV27" s="1040">
        <f>EV24-EQ24</f>
      </c>
      <c r="EW27" s="1039">
        <f t="shared" ref="EW27:EX27" si="64">EW24-ER24</f>
      </c>
      <c r="EX27" s="1039">
        <f t="shared" si="64"/>
      </c>
      <c r="EY27" s="1039">
        <f t="shared" si="63"/>
      </c>
      <c r="EZ27" s="1039">
        <f>EZ24-EU24</f>
      </c>
      <c r="FA27" s="1040">
        <f>FA24-EV24</f>
      </c>
      <c r="FB27" s="1039">
        <f t="shared" si="63"/>
      </c>
      <c r="FC27" s="1039">
        <f t="shared" si="63"/>
      </c>
      <c r="FD27" s="1039">
        <f t="shared" si="63"/>
      </c>
      <c r="FE27" s="1039">
        <f t="shared" si="63"/>
      </c>
      <c r="FF27" s="1040">
        <f t="shared" si="63"/>
      </c>
      <c r="FG27" s="1039">
        <f t="shared" si="63"/>
      </c>
      <c r="FH27" s="1039">
        <f t="shared" si="63"/>
      </c>
      <c r="FI27" s="1039">
        <f t="shared" si="63"/>
      </c>
      <c r="FJ27" s="1039">
        <f t="shared" si="63"/>
      </c>
      <c r="FK27" s="1040">
        <f t="shared" si="63"/>
      </c>
      <c r="FL27" s="1039">
        <f t="shared" si="63"/>
      </c>
      <c r="FM27" s="1039">
        <f t="shared" si="63"/>
      </c>
      <c r="FN27" s="1039">
        <f t="shared" si="63"/>
      </c>
      <c r="FO27" s="1039">
        <f t="shared" si="63"/>
      </c>
      <c r="FP27" s="1040">
        <f t="shared" si="63"/>
      </c>
      <c r="FQ27" s="1039">
        <f t="shared" si="63"/>
      </c>
      <c r="FR27" s="1039">
        <f t="shared" si="63"/>
      </c>
      <c r="FS27" s="1039">
        <f t="shared" si="63"/>
      </c>
      <c r="FT27" s="1039">
        <f t="shared" si="63"/>
      </c>
      <c r="FU27" s="1040">
        <f t="shared" si="63"/>
      </c>
      <c r="FV27" s="1039">
        <f t="shared" si="63"/>
      </c>
      <c r="FW27" s="1039">
        <f t="shared" si="63"/>
      </c>
      <c r="FX27" s="1039">
        <f t="shared" si="63"/>
      </c>
      <c r="FY27" s="1039">
        <f t="shared" si="63"/>
      </c>
      <c r="FZ27" s="1040">
        <f t="shared" ref="FZ27:GE27" si="65">FZ24-FU24</f>
      </c>
      <c r="GA27" s="1039">
        <f t="shared" si="65"/>
      </c>
      <c r="GB27" s="1039">
        <f t="shared" si="65"/>
      </c>
      <c r="GC27" s="1039">
        <f t="shared" si="65"/>
      </c>
      <c r="GD27" s="1039">
        <f t="shared" si="65"/>
      </c>
      <c r="GE27" s="1040">
        <f t="shared" si="65"/>
      </c>
      <c r="GF27" s="1039">
        <f t="shared" ref="GF27" si="66">GF24-GA24</f>
      </c>
      <c r="GG27" s="1039">
        <f t="shared" ref="GG27" si="67">GG24-GB24</f>
      </c>
      <c r="GH27" s="1039">
        <f t="shared" ref="GH27" si="68">GH24-GC24</f>
      </c>
      <c r="GI27" s="1039">
        <f t="shared" ref="GI27" si="69">GI24-GD24</f>
      </c>
      <c r="GJ27" s="1040">
        <f t="shared" ref="GJ27" si="70">GJ24-GE24</f>
      </c>
    </row>
    <row r="28" spans="1:192" s="1031" customFormat="1" ht="12.75" customHeight="1">
      <c r="A28" s="1027"/>
      <c r="B28" s="727" t="s">
        <v>1826</v>
      </c>
      <c r="C28" s="1028"/>
      <c r="D28" s="1028"/>
      <c r="E28" s="1028"/>
      <c r="F28" s="1028"/>
      <c r="G28" s="1029"/>
      <c r="H28" s="1028"/>
      <c r="I28" s="1028"/>
      <c r="J28" s="1028"/>
      <c r="K28" s="1028"/>
      <c r="L28" s="1029"/>
      <c r="M28" s="1028"/>
      <c r="N28" s="1028"/>
      <c r="O28" s="1028"/>
      <c r="P28" s="1028"/>
      <c r="Q28" s="1029"/>
      <c r="R28" s="1030"/>
      <c r="S28" s="1030"/>
      <c r="T28" s="1030"/>
      <c r="U28" s="1030"/>
      <c r="V28" s="1029"/>
      <c r="W28" s="1030"/>
      <c r="X28" s="1030"/>
      <c r="Y28" s="1030"/>
      <c r="Z28" s="1030"/>
      <c r="AA28" s="1029"/>
      <c r="AB28" s="1030"/>
      <c r="AC28" s="1030"/>
      <c r="AD28" s="1030"/>
      <c r="AE28" s="1030"/>
      <c r="AF28" s="1029"/>
      <c r="AG28" s="1030"/>
      <c r="AH28" s="1030"/>
      <c r="AI28" s="1030"/>
      <c r="AJ28" s="1030"/>
      <c r="AK28" s="1029"/>
      <c r="AL28" s="1028"/>
      <c r="AM28" s="1028"/>
      <c r="AN28" s="1028"/>
      <c r="AO28" s="1028"/>
      <c r="AP28" s="1029"/>
      <c r="AQ28" s="1028"/>
      <c r="AR28" s="1028"/>
      <c r="AS28" s="1028"/>
      <c r="AT28" s="1028"/>
      <c r="AU28" s="1029"/>
      <c r="AV28" s="1028"/>
      <c r="AW28" s="1028"/>
      <c r="AX28" s="1028"/>
      <c r="AY28" s="1028"/>
      <c r="AZ28" s="1029"/>
      <c r="BA28" s="1028"/>
      <c r="BB28" s="1028"/>
      <c r="BC28" s="1028"/>
      <c r="BD28" s="1028"/>
      <c r="BE28" s="1029"/>
      <c r="BF28" s="1028"/>
      <c r="BG28" s="1028"/>
      <c r="BH28" s="1028"/>
      <c r="BI28" s="1028"/>
      <c r="BJ28" s="1029"/>
      <c r="BK28" s="1028"/>
      <c r="BL28" s="1028"/>
      <c r="BM28" s="1028"/>
      <c r="BN28" s="1028"/>
      <c r="BO28" s="1029"/>
      <c r="BP28" s="1028"/>
      <c r="BQ28" s="1028"/>
      <c r="BR28" s="1028"/>
      <c r="BS28" s="1028"/>
      <c r="BT28" s="1029"/>
      <c r="BU28" s="1039"/>
      <c r="BV28" s="1039"/>
      <c r="BW28" s="1039"/>
      <c r="BX28" s="1039"/>
      <c r="BY28" s="1040"/>
      <c r="BZ28" s="1039"/>
      <c r="CA28" s="1039"/>
      <c r="CB28" s="1039"/>
      <c r="CC28" s="1039"/>
      <c r="CD28" s="1040"/>
      <c r="CE28" s="1039"/>
      <c r="CF28" s="1039"/>
      <c r="CG28" s="1039"/>
      <c r="CH28" s="1039"/>
      <c r="CI28" s="1040"/>
      <c r="CJ28" s="1039"/>
      <c r="CK28" s="1039"/>
      <c r="CL28" s="1039"/>
      <c r="CM28" s="1039"/>
      <c r="CN28" s="1040"/>
      <c r="CO28" s="1039"/>
      <c r="CP28" s="1039"/>
      <c r="CQ28" s="1039"/>
      <c r="CR28" s="1039"/>
      <c r="CS28" s="1040"/>
      <c r="CT28" s="1039"/>
      <c r="CU28" s="1039"/>
      <c r="CV28" s="1039"/>
      <c r="CW28" s="1039"/>
      <c r="CX28" s="1040"/>
      <c r="CY28" s="1039"/>
      <c r="CZ28" s="1039"/>
      <c r="DA28" s="1039"/>
      <c r="DB28" s="1039"/>
      <c r="DC28" s="1040"/>
      <c r="DD28" s="1039"/>
      <c r="DE28" s="1039">
        <f>DE24-DD24</f>
      </c>
      <c r="DF28" s="1039">
        <f>DF24-DE24</f>
      </c>
      <c r="DG28" s="1039">
        <f>DG24-DF24</f>
      </c>
      <c r="DH28" s="1040"/>
      <c r="DI28" s="1039">
        <f>DI24-DG24</f>
      </c>
      <c r="DJ28" s="1039">
        <f>DJ24-DI24</f>
      </c>
      <c r="DK28" s="1039">
        <f>DK24-DJ24</f>
      </c>
      <c r="DL28" s="1039">
        <f>DL24-DK24</f>
      </c>
      <c r="DM28" s="1040"/>
      <c r="DN28" s="1039">
        <f>DN24-DL24</f>
      </c>
      <c r="DO28" s="1039">
        <f>DO24-DN24</f>
      </c>
      <c r="DP28" s="1039">
        <f>DP24-DO24</f>
      </c>
      <c r="DQ28" s="1039">
        <f>DQ24-DP24</f>
      </c>
      <c r="DR28" s="1040"/>
      <c r="DS28" s="1039">
        <f>DS24-DQ24</f>
      </c>
      <c r="DT28" s="1039">
        <f>DT24-DS24</f>
      </c>
      <c r="DU28" s="1039">
        <f>DU24-DT24</f>
      </c>
      <c r="DV28" s="1039">
        <f>DV24-DU24</f>
      </c>
      <c r="DW28" s="1040"/>
      <c r="DX28" s="1039">
        <f>DX24-DV24</f>
      </c>
      <c r="DY28" s="1039">
        <f>DY24-DX24</f>
      </c>
      <c r="DZ28" s="1039">
        <f>DZ24-DY24</f>
      </c>
      <c r="EA28" s="1039">
        <f>EA24-DZ24</f>
      </c>
      <c r="EB28" s="1040"/>
      <c r="EC28" s="1039">
        <f>EC24-EA24</f>
      </c>
      <c r="ED28" s="1039">
        <f>ED24-EC24</f>
      </c>
      <c r="EE28" s="1039">
        <f>EE24-ED24</f>
      </c>
      <c r="EF28" s="1039">
        <f>EF24-EE24</f>
      </c>
      <c r="EG28" s="1040"/>
      <c r="EH28" s="1039">
        <f>EH24-EF24</f>
      </c>
      <c r="EI28" s="1039">
        <f>EI24-EH24</f>
      </c>
      <c r="EJ28" s="1039">
        <f>EJ24-EI24</f>
      </c>
      <c r="EK28" s="1039">
        <f>EK24-EJ24</f>
      </c>
      <c r="EL28" s="1040"/>
      <c r="EM28" s="1039">
        <f>EM24-EK24</f>
      </c>
      <c r="EN28" s="1039">
        <f>EN24-EM24</f>
      </c>
      <c r="EO28" s="1039">
        <f>EO24-EN24</f>
      </c>
      <c r="EP28" s="1039">
        <f>EP24-EO24</f>
      </c>
      <c r="EQ28" s="1040"/>
      <c r="ER28" s="1039">
        <f>ER24-EP24</f>
      </c>
      <c r="ES28" s="1039">
        <f>ES24-ER24</f>
      </c>
      <c r="ET28" s="1039">
        <f>ET24-ES24</f>
      </c>
      <c r="EU28" s="1039">
        <f>EU24-ET24</f>
      </c>
      <c r="EV28" s="1040"/>
      <c r="EW28" s="1039">
        <f>EW24-EU24</f>
      </c>
      <c r="EX28" s="1039">
        <f>EX24-EW24</f>
      </c>
      <c r="EY28" s="1039">
        <f>EY24-EX24</f>
      </c>
      <c r="EZ28" s="1039">
        <f>EZ24-EY24</f>
      </c>
      <c r="FA28" s="1040"/>
      <c r="FB28" s="1039">
        <f>FB24-EZ24</f>
      </c>
      <c r="FC28" s="1039">
        <f>FC24-FB24</f>
      </c>
      <c r="FD28" s="1039">
        <f>FD24-FC24</f>
      </c>
      <c r="FE28" s="1039">
        <f>FE24-FD24</f>
      </c>
      <c r="FF28" s="1040"/>
      <c r="FG28" s="1039">
        <f>FG24-FE24</f>
      </c>
      <c r="FH28" s="1039">
        <f>FH24-FG24</f>
      </c>
      <c r="FI28" s="1039">
        <f>FI24-FH24</f>
      </c>
      <c r="FJ28" s="1039">
        <f>FJ24-FI24</f>
      </c>
      <c r="FK28" s="1040"/>
      <c r="FL28" s="1039">
        <f>FL24-FJ24</f>
      </c>
      <c r="FM28" s="1039">
        <f>FM24-FL24</f>
      </c>
      <c r="FN28" s="1039">
        <f>FN24-FM24</f>
      </c>
      <c r="FO28" s="1039">
        <f>FO24-FN24</f>
      </c>
      <c r="FP28" s="1040"/>
      <c r="FQ28" s="1039">
        <f>FQ24-FO24</f>
      </c>
      <c r="FR28" s="1039">
        <f>FR24-FQ24</f>
      </c>
      <c r="FS28" s="1039">
        <f>FS24-FR24</f>
      </c>
      <c r="FT28" s="1039">
        <f>FT24-FS24</f>
      </c>
      <c r="FU28" s="1040"/>
      <c r="FV28" s="1039">
        <f>FV24-FT24</f>
      </c>
      <c r="FW28" s="1039">
        <f>FW24-FV24</f>
      </c>
      <c r="FX28" s="1039">
        <f>FX24-FW24</f>
      </c>
      <c r="FY28" s="1039">
        <f>FY24-FX24</f>
      </c>
      <c r="FZ28" s="1040"/>
      <c r="GA28" s="1039">
        <f>GA24-FY24</f>
      </c>
      <c r="GB28" s="1039">
        <f>GB24-GA24</f>
      </c>
      <c r="GC28" s="1039">
        <f>GC24-GB24</f>
      </c>
      <c r="GD28" s="1039">
        <f>GD24-GC24</f>
      </c>
      <c r="GE28" s="1040"/>
      <c r="GF28" s="1039">
        <f>GF24-GD24</f>
      </c>
      <c r="GG28" s="1039">
        <f>GG24-GF24</f>
      </c>
      <c r="GH28" s="1039">
        <f>GH24-GG24</f>
      </c>
      <c r="GI28" s="1039">
        <f>GI24-GH24</f>
      </c>
      <c r="GJ28" s="1040"/>
    </row>
    <row r="29" spans="1:192" s="1031" customFormat="1" ht="12.75" customHeight="1">
      <c r="A29" s="1027"/>
      <c r="B29" s="727"/>
      <c r="C29" s="1028"/>
      <c r="D29" s="1028"/>
      <c r="E29" s="1028"/>
      <c r="F29" s="1028"/>
      <c r="G29" s="1029"/>
      <c r="H29" s="1028"/>
      <c r="I29" s="1028"/>
      <c r="J29" s="1028"/>
      <c r="K29" s="1028"/>
      <c r="L29" s="1029"/>
      <c r="M29" s="1028"/>
      <c r="N29" s="1028"/>
      <c r="O29" s="1028"/>
      <c r="P29" s="1028"/>
      <c r="Q29" s="1029"/>
      <c r="R29" s="1030"/>
      <c r="S29" s="1030"/>
      <c r="T29" s="1030"/>
      <c r="U29" s="1030"/>
      <c r="V29" s="1029"/>
      <c r="W29" s="1030"/>
      <c r="X29" s="1030"/>
      <c r="Y29" s="1030"/>
      <c r="Z29" s="1030"/>
      <c r="AA29" s="1029"/>
      <c r="AB29" s="1030"/>
      <c r="AC29" s="1030"/>
      <c r="AD29" s="1030"/>
      <c r="AE29" s="1030"/>
      <c r="AF29" s="1029"/>
      <c r="AG29" s="1030"/>
      <c r="AH29" s="1030"/>
      <c r="AI29" s="1030"/>
      <c r="AJ29" s="1030"/>
      <c r="AK29" s="1029"/>
      <c r="AL29" s="1028"/>
      <c r="AM29" s="1028"/>
      <c r="AN29" s="1028"/>
      <c r="AO29" s="1028"/>
      <c r="AP29" s="1029"/>
      <c r="AQ29" s="1028"/>
      <c r="AR29" s="1028"/>
      <c r="AS29" s="1028"/>
      <c r="AT29" s="1028"/>
      <c r="AU29" s="1029"/>
      <c r="AV29" s="1028"/>
      <c r="AW29" s="1028"/>
      <c r="AX29" s="1028"/>
      <c r="AY29" s="1028"/>
      <c r="AZ29" s="1029"/>
      <c r="BA29" s="1028"/>
      <c r="BB29" s="1028"/>
      <c r="BC29" s="1028"/>
      <c r="BD29" s="1028"/>
      <c r="BE29" s="1029"/>
      <c r="BF29" s="1028"/>
      <c r="BG29" s="1028"/>
      <c r="BH29" s="1028"/>
      <c r="BI29" s="1028"/>
      <c r="BJ29" s="1029"/>
      <c r="BK29" s="1028"/>
      <c r="BL29" s="1028"/>
      <c r="BM29" s="1028"/>
      <c r="BN29" s="1028"/>
      <c r="BO29" s="1029"/>
      <c r="BP29" s="1028"/>
      <c r="BQ29" s="1028"/>
      <c r="BR29" s="1028"/>
      <c r="BS29" s="1028"/>
      <c r="BT29" s="1029"/>
      <c r="BU29" s="1039"/>
      <c r="BV29" s="1039"/>
      <c r="BW29" s="1039"/>
      <c r="BX29" s="1039"/>
      <c r="BY29" s="1040"/>
      <c r="BZ29" s="1039"/>
      <c r="CA29" s="1039"/>
      <c r="CB29" s="1039"/>
      <c r="CC29" s="1039"/>
      <c r="CD29" s="1040"/>
      <c r="CE29" s="1039"/>
      <c r="CF29" s="1039"/>
      <c r="CG29" s="1039"/>
      <c r="CH29" s="1039"/>
      <c r="CI29" s="1040"/>
      <c r="CJ29" s="1039"/>
      <c r="CK29" s="1039"/>
      <c r="CL29" s="1039"/>
      <c r="CM29" s="1039"/>
      <c r="CN29" s="1040"/>
      <c r="CO29" s="1039"/>
      <c r="CP29" s="1039"/>
      <c r="CQ29" s="1039"/>
      <c r="CR29" s="1039"/>
      <c r="CS29" s="1040"/>
      <c r="CT29" s="1039"/>
      <c r="CU29" s="1039"/>
      <c r="CV29" s="1039"/>
      <c r="CW29" s="1039"/>
      <c r="CX29" s="1040"/>
      <c r="CY29" s="1039"/>
      <c r="CZ29" s="1039"/>
      <c r="DA29" s="1039"/>
      <c r="DB29" s="1039"/>
      <c r="DC29" s="1040"/>
      <c r="DD29" s="1039"/>
      <c r="DE29" s="1039"/>
      <c r="DF29" s="1039"/>
      <c r="DG29" s="1039"/>
      <c r="DH29" s="1040"/>
      <c r="DI29" s="1039"/>
      <c r="DJ29" s="1039"/>
      <c r="DK29" s="1039"/>
      <c r="DL29" s="1039"/>
      <c r="DM29" s="1040"/>
      <c r="DN29" s="1039"/>
      <c r="DO29" s="1039"/>
      <c r="DP29" s="1039"/>
      <c r="DQ29" s="1039"/>
      <c r="DR29" s="1040"/>
      <c r="DS29" s="1039"/>
      <c r="DT29" s="1039"/>
      <c r="DU29" s="1039"/>
      <c r="DV29" s="1039"/>
      <c r="DW29" s="1040"/>
      <c r="DX29" s="1039"/>
      <c r="DY29" s="1039"/>
      <c r="DZ29" s="1039"/>
      <c r="EA29" s="1039"/>
      <c r="EB29" s="1040"/>
      <c r="EC29" s="1039"/>
      <c r="ED29" s="1039"/>
      <c r="EE29" s="1039"/>
      <c r="EF29" s="1039"/>
      <c r="EG29" s="1040"/>
      <c r="EH29" s="1039"/>
      <c r="EI29" s="1039"/>
      <c r="EJ29" s="1039"/>
      <c r="EK29" s="1039"/>
      <c r="EL29" s="1040"/>
      <c r="EM29" s="1039"/>
      <c r="EN29" s="1039"/>
      <c r="EO29" s="1039"/>
      <c r="EP29" s="1039"/>
      <c r="EQ29" s="1040"/>
      <c r="ER29" s="1039"/>
      <c r="ES29" s="1039"/>
      <c r="ET29" s="1039"/>
      <c r="EU29" s="1039"/>
      <c r="EV29" s="1040"/>
      <c r="EW29" s="1039"/>
      <c r="EX29" s="1039"/>
      <c r="EY29" s="1039"/>
      <c r="EZ29" s="1039"/>
      <c r="FA29" s="1040"/>
      <c r="FB29" s="1039"/>
      <c r="FC29" s="1039"/>
      <c r="FD29" s="1039"/>
      <c r="FE29" s="1039"/>
      <c r="FF29" s="1040"/>
      <c r="FG29" s="1039"/>
      <c r="FH29" s="1039"/>
      <c r="FI29" s="1039"/>
      <c r="FJ29" s="1039"/>
      <c r="FK29" s="1040"/>
      <c r="FL29" s="1039"/>
      <c r="FM29" s="1039"/>
      <c r="FN29" s="1039"/>
      <c r="FO29" s="1039"/>
      <c r="FP29" s="1040"/>
      <c r="FQ29" s="1039"/>
      <c r="FR29" s="1039"/>
      <c r="FS29" s="1039"/>
      <c r="FT29" s="1039"/>
      <c r="FU29" s="1040"/>
      <c r="FV29" s="1039"/>
      <c r="FW29" s="1039"/>
      <c r="FX29" s="1039"/>
      <c r="FY29" s="1039"/>
      <c r="FZ29" s="1040"/>
      <c r="GA29" s="1039"/>
      <c r="GB29" s="1039"/>
      <c r="GC29" s="1039"/>
      <c r="GD29" s="1039"/>
      <c r="GE29" s="1040"/>
      <c r="GF29" s="1039"/>
      <c r="GG29" s="1039"/>
      <c r="GH29" s="1039"/>
      <c r="GI29" s="1039"/>
      <c r="GJ29" s="1040"/>
    </row>
    <row r="30" spans="1:192" ht="12.75" customHeight="1">
      <c r="A30" s="370" t="s">
        <v>31</v>
      </c>
      <c r="B30" s="621" t="s">
        <v>424</v>
      </c>
      <c r="C30" s="624"/>
      <c r="D30" s="624"/>
      <c r="E30" s="624"/>
      <c r="F30" s="624"/>
      <c r="G30" s="622"/>
      <c r="H30" s="624"/>
      <c r="I30" s="624"/>
      <c r="J30" s="624"/>
      <c r="K30" s="624"/>
      <c r="L30" s="622"/>
      <c r="M30" s="624"/>
      <c r="N30" s="624"/>
      <c r="O30" s="624"/>
      <c r="P30" s="624"/>
      <c r="Q30" s="622"/>
      <c r="R30" s="981"/>
      <c r="S30" s="981"/>
      <c r="T30" s="981"/>
      <c r="U30" s="981"/>
      <c r="V30" s="622"/>
      <c r="W30" s="981"/>
      <c r="X30" s="981"/>
      <c r="Y30" s="981"/>
      <c r="Z30" s="981"/>
      <c r="AA30" s="622"/>
      <c r="AB30" s="981"/>
      <c r="AC30" s="981"/>
      <c r="AD30" s="981"/>
      <c r="AE30" s="981"/>
      <c r="AF30" s="622"/>
      <c r="AG30" s="981"/>
      <c r="AH30" s="981"/>
      <c r="AI30" s="981"/>
      <c r="AJ30" s="981"/>
      <c r="AK30" s="622"/>
      <c r="AL30" s="624"/>
      <c r="AM30" s="624"/>
      <c r="AN30" s="624"/>
      <c r="AO30" s="624"/>
      <c r="AP30" s="622"/>
      <c r="AQ30" s="624"/>
      <c r="AR30" s="624"/>
      <c r="AS30" s="624"/>
      <c r="AT30" s="624"/>
      <c r="AU30" s="622"/>
      <c r="AV30" s="624"/>
      <c r="AW30" s="624"/>
      <c r="AX30" s="624"/>
      <c r="AY30" s="624"/>
      <c r="AZ30" s="622"/>
      <c r="BA30" s="624"/>
      <c r="BB30" s="624"/>
      <c r="BC30" s="624"/>
      <c r="BD30" s="624"/>
      <c r="BE30" s="622"/>
      <c r="BF30" s="624"/>
      <c r="BG30" s="624"/>
      <c r="BH30" s="624"/>
      <c r="BI30" s="624"/>
      <c r="BJ30" s="622"/>
      <c r="BK30" s="624"/>
      <c r="BL30" s="624"/>
      <c r="BM30" s="624"/>
      <c r="BN30" s="624"/>
      <c r="BO30" s="622"/>
      <c r="BP30" s="624"/>
      <c r="BQ30" s="624"/>
      <c r="BR30" s="624"/>
      <c r="BS30" s="624"/>
      <c r="BT30" s="622"/>
      <c r="BU30" s="624"/>
      <c r="BV30" s="624"/>
      <c r="BW30" s="624"/>
      <c r="BX30" s="624"/>
      <c r="BY30" s="830"/>
      <c r="BZ30" s="820"/>
      <c r="CA30" s="820"/>
      <c r="CB30" s="820"/>
      <c r="CC30" s="820"/>
      <c r="CD30" s="830"/>
      <c r="CE30" s="820"/>
      <c r="CF30" s="820"/>
      <c r="CG30" s="820"/>
      <c r="CH30" s="820"/>
      <c r="CI30" s="830"/>
      <c r="CJ30" s="820">
        <f>IC!CJ177</f>
      </c>
      <c r="CK30" s="820">
        <f>IC!CK177</f>
      </c>
      <c r="CL30" s="820">
        <f>IC!CL177</f>
      </c>
      <c r="CM30" s="820">
        <f>IC!CM177</f>
      </c>
      <c r="CN30" s="830">
        <f>IC!CN177</f>
      </c>
      <c r="CO30" s="820">
        <f>IC!CO177</f>
      </c>
      <c r="CP30" s="820">
        <f>IC!CP177</f>
      </c>
      <c r="CQ30" s="820">
        <f>IC!CQ177</f>
      </c>
      <c r="CR30" s="820">
        <f>IC!CR177</f>
      </c>
      <c r="CS30" s="830">
        <f>IC!CS177</f>
      </c>
      <c r="CT30" s="820">
        <f>IC!CT177</f>
      </c>
      <c r="CU30" s="820">
        <f>IC!CU177</f>
      </c>
      <c r="CV30" s="820">
        <f>IC!CV177</f>
      </c>
      <c r="CW30" s="820">
        <f>IC!CW177</f>
      </c>
      <c r="CX30" s="830">
        <f>IC!CX177</f>
      </c>
      <c r="CY30" s="820">
        <f>IC!CY177</f>
      </c>
      <c r="CZ30" s="820">
        <f>IC!CZ177</f>
      </c>
      <c r="DA30" s="820">
        <f>IC!DA177</f>
      </c>
      <c r="DB30" s="820">
        <f>IC!DB177</f>
      </c>
      <c r="DC30" s="830">
        <f>IC!DC177</f>
      </c>
      <c r="DD30" s="820">
        <f>IC!DD177</f>
      </c>
      <c r="DE30" s="820">
        <f>IC!DE177</f>
      </c>
      <c r="DF30" s="820">
        <f>IC!DF177</f>
      </c>
      <c r="DG30" s="820">
        <f>IC!DG177</f>
      </c>
      <c r="DH30" s="830">
        <f>IC!DH177</f>
      </c>
      <c r="DI30" s="820">
        <f>IC!DI177</f>
      </c>
      <c r="DJ30" s="820">
        <f>IC!DJ177</f>
      </c>
      <c r="DK30" s="820">
        <f>IC!DK177</f>
      </c>
      <c r="DL30" s="820">
        <f>IC!DL177</f>
      </c>
      <c r="DM30" s="830">
        <f>IC!DM177</f>
      </c>
      <c r="DN30" s="820">
        <f>IC!DN177</f>
      </c>
      <c r="DO30" s="820">
        <f>IC!DO177</f>
      </c>
      <c r="DP30" s="820">
        <f>IC!DP177</f>
      </c>
      <c r="DQ30" s="820">
        <f>IC!DQ177</f>
      </c>
      <c r="DR30" s="830">
        <f>IC!DR177</f>
      </c>
      <c r="DS30" s="820">
        <f>IC!DS177</f>
      </c>
      <c r="DT30" s="820">
        <f>IC!DT177</f>
      </c>
      <c r="DU30" s="820">
        <f>IC!DU177</f>
      </c>
      <c r="DV30" s="820">
        <f>IC!DV177</f>
      </c>
      <c r="DW30" s="830">
        <f>IC!DW177</f>
      </c>
      <c r="DX30" s="820">
        <f>IC!DX177</f>
      </c>
      <c r="DY30" s="820">
        <f>IC!DY177</f>
      </c>
      <c r="DZ30" s="820">
        <f>IC!DZ177</f>
      </c>
      <c r="EA30" s="820">
        <f>IC!EA177</f>
      </c>
      <c r="EB30" s="830">
        <f>IC!EB177</f>
      </c>
      <c r="EC30" s="820">
        <f>IC!EC177</f>
      </c>
      <c r="ED30" s="820">
        <f>IC!ED177</f>
      </c>
      <c r="EE30" s="820">
        <f>IC!EE177</f>
      </c>
      <c r="EF30" s="820">
        <f>IC!EF177</f>
      </c>
      <c r="EG30" s="830">
        <f>IC!EG177</f>
      </c>
      <c r="EH30" s="820">
        <f>IC!EH177</f>
      </c>
      <c r="EI30" s="820">
        <f>IC!EI177</f>
      </c>
      <c r="EJ30" s="820">
        <f>IC!EJ177</f>
      </c>
      <c r="EK30" s="820">
        <f>IC!EK177</f>
      </c>
      <c r="EL30" s="830">
        <f>IC!EL177</f>
      </c>
      <c r="EM30" s="820">
        <f>IC!EM108</f>
      </c>
      <c r="EN30" s="820">
        <f>IC!EN108</f>
      </c>
      <c r="EO30" s="820">
        <f>IC!EO108</f>
      </c>
      <c r="EP30" s="820">
        <f>IC!EP108</f>
      </c>
      <c r="EQ30" s="830">
        <f>IC!EQ108</f>
      </c>
      <c r="ER30" s="820">
        <f>IC!ER108</f>
      </c>
      <c r="ES30" s="820">
        <f>IC!ES108</f>
      </c>
      <c r="ET30" s="820">
        <f>IC!ET108</f>
      </c>
      <c r="EU30" s="820">
        <f>IC!EU108</f>
      </c>
      <c r="EV30" s="830">
        <f>IC!EV108</f>
      </c>
      <c r="EW30" s="820">
        <f>IC!EW108</f>
      </c>
      <c r="EX30" s="820">
        <f>IC!EX108</f>
      </c>
      <c r="EY30" s="820">
        <f>IC!EY108</f>
      </c>
      <c r="EZ30" s="820">
        <f>IC!EZ108</f>
      </c>
      <c r="FA30" s="830">
        <f>IC!FA108</f>
      </c>
      <c r="FB30" s="820">
        <f>IC!FB108</f>
      </c>
      <c r="FC30" s="820">
        <f>IC!FC108</f>
      </c>
      <c r="FD30" s="820">
        <f>IC!FD108</f>
      </c>
      <c r="FE30" s="820">
        <f>IC!FE108</f>
      </c>
      <c r="FF30" s="830">
        <f>IC!FF108</f>
      </c>
      <c r="FG30" s="820">
        <f>IC!FG108</f>
      </c>
      <c r="FH30" s="820">
        <f>IC!FH108</f>
      </c>
      <c r="FI30" s="820">
        <f>IC!FI108</f>
      </c>
      <c r="FJ30" s="820">
        <f>IC!FJ108</f>
      </c>
      <c r="FK30" s="830">
        <f>IC!FK108</f>
      </c>
      <c r="FL30" s="820">
        <f>IC!FL108</f>
      </c>
      <c r="FM30" s="820">
        <f>IC!FM108</f>
      </c>
      <c r="FN30" s="820">
        <f>IC!FN108</f>
      </c>
      <c r="FO30" s="820">
        <f>IC!FO108</f>
      </c>
      <c r="FP30" s="830">
        <f>IC!FP108</f>
      </c>
      <c r="FQ30" s="820">
        <f>IC!FQ108</f>
      </c>
      <c r="FR30" s="820">
        <f>IC!FR108</f>
      </c>
      <c r="FS30" s="820">
        <f>IC!FS108</f>
      </c>
      <c r="FT30" s="820">
        <f>IC!FT108</f>
      </c>
      <c r="FU30" s="830">
        <f>IC!FU108</f>
      </c>
      <c r="FV30" s="820">
        <f>IC!FV108</f>
      </c>
      <c r="FW30" s="820">
        <f>IC!FW108</f>
      </c>
      <c r="FX30" s="820">
        <f>IC!FX108</f>
      </c>
      <c r="FY30" s="820">
        <f>IC!FY108</f>
      </c>
      <c r="FZ30" s="830">
        <f>IC!FZ108</f>
      </c>
      <c r="GA30" s="820">
        <f>IC!GA108</f>
      </c>
      <c r="GB30" s="820">
        <f>IC!GB108</f>
      </c>
      <c r="GC30" s="820">
        <f>IC!GC108</f>
      </c>
      <c r="GD30" s="820">
        <f>IC!GD108</f>
      </c>
      <c r="GE30" s="830">
        <f>IC!GE108</f>
      </c>
      <c r="GF30" s="820">
        <f>IC!GF108</f>
      </c>
      <c r="GG30" s="820">
        <f>IC!GG108</f>
      </c>
      <c r="GH30" s="820">
        <f>IC!GH108</f>
      </c>
      <c r="GI30" s="820">
        <f>IC!GI108</f>
      </c>
      <c r="GJ30" s="830">
        <f>IC!GJ108</f>
      </c>
    </row>
    <row r="31" spans="1:192" s="1031" customFormat="1" ht="12.75" customHeight="1">
      <c r="A31" s="1027"/>
      <c r="B31" s="727" t="s">
        <v>34</v>
      </c>
      <c r="C31" s="1028"/>
      <c r="D31" s="1028"/>
      <c r="E31" s="1028"/>
      <c r="F31" s="1028"/>
      <c r="G31" s="1029"/>
      <c r="H31" s="1028"/>
      <c r="I31" s="1028"/>
      <c r="J31" s="1028"/>
      <c r="K31" s="1028"/>
      <c r="L31" s="1029"/>
      <c r="M31" s="1028"/>
      <c r="N31" s="1028"/>
      <c r="O31" s="1028"/>
      <c r="P31" s="1028"/>
      <c r="Q31" s="1029"/>
      <c r="R31" s="1030"/>
      <c r="S31" s="1030"/>
      <c r="T31" s="1030"/>
      <c r="U31" s="1030"/>
      <c r="V31" s="1029"/>
      <c r="W31" s="1030"/>
      <c r="X31" s="1030"/>
      <c r="Y31" s="1030"/>
      <c r="Z31" s="1030"/>
      <c r="AA31" s="1029"/>
      <c r="AB31" s="1030"/>
      <c r="AC31" s="1030"/>
      <c r="AD31" s="1030"/>
      <c r="AE31" s="1030"/>
      <c r="AF31" s="1029"/>
      <c r="AG31" s="1030"/>
      <c r="AH31" s="1030"/>
      <c r="AI31" s="1030"/>
      <c r="AJ31" s="1030"/>
      <c r="AK31" s="1029"/>
      <c r="AL31" s="1028"/>
      <c r="AM31" s="1028"/>
      <c r="AN31" s="1028"/>
      <c r="AO31" s="1028"/>
      <c r="AP31" s="1029"/>
      <c r="AQ31" s="1028"/>
      <c r="AR31" s="1028"/>
      <c r="AS31" s="1028"/>
      <c r="AT31" s="1028"/>
      <c r="AU31" s="1029"/>
      <c r="AV31" s="1028"/>
      <c r="AW31" s="1028"/>
      <c r="AX31" s="1028"/>
      <c r="AY31" s="1028"/>
      <c r="AZ31" s="1029"/>
      <c r="BA31" s="1028"/>
      <c r="BB31" s="1028"/>
      <c r="BC31" s="1028"/>
      <c r="BD31" s="1028"/>
      <c r="BE31" s="1029"/>
      <c r="BF31" s="1028"/>
      <c r="BG31" s="1028"/>
      <c r="BH31" s="1028"/>
      <c r="BI31" s="1028"/>
      <c r="BJ31" s="1029"/>
      <c r="BK31" s="1028"/>
      <c r="BL31" s="1028"/>
      <c r="BM31" s="1028"/>
      <c r="BN31" s="1028"/>
      <c r="BO31" s="1029"/>
      <c r="BP31" s="1028"/>
      <c r="BQ31" s="1028"/>
      <c r="BR31" s="1028"/>
      <c r="BS31" s="1028"/>
      <c r="BT31" s="1029"/>
      <c r="BU31" s="1028"/>
      <c r="BV31" s="1028"/>
      <c r="BW31" s="1028"/>
      <c r="BX31" s="1028"/>
      <c r="BY31" s="1029"/>
      <c r="BZ31" s="1028"/>
      <c r="CA31" s="1028"/>
      <c r="CB31" s="1028"/>
      <c r="CC31" s="1028"/>
      <c r="CD31" s="1029"/>
      <c r="CE31" s="1028"/>
      <c r="CF31" s="1028"/>
      <c r="CG31" s="1028"/>
      <c r="CH31" s="1028"/>
      <c r="CI31" s="1029"/>
      <c r="CJ31" s="1028"/>
      <c r="CK31" s="1028"/>
      <c r="CL31" s="1028"/>
      <c r="CM31" s="1028"/>
      <c r="CN31" s="1029"/>
      <c r="CO31" s="1028"/>
      <c r="CP31" s="1028"/>
      <c r="CQ31" s="1028"/>
      <c r="CR31" s="1028"/>
      <c r="CS31" s="1029"/>
      <c r="CT31" s="1028"/>
      <c r="CU31" s="1028"/>
      <c r="CV31" s="1028"/>
      <c r="CW31" s="1028"/>
      <c r="CX31" s="1029"/>
      <c r="CY31" s="1028"/>
      <c r="CZ31" s="1028"/>
      <c r="DA31" s="1028"/>
      <c r="DB31" s="1028"/>
      <c r="DC31" s="1029"/>
      <c r="DD31" s="1028">
        <f t="shared" ref="DD31" si="71">DD30/CY30-1</f>
      </c>
      <c r="DE31" s="1028">
        <f t="shared" ref="DE31" si="72">DE30/CZ30-1</f>
      </c>
      <c r="DF31" s="1028">
        <f t="shared" ref="DF31" si="73">DF30/DA30-1</f>
      </c>
      <c r="DG31" s="1028">
        <f t="shared" ref="DG31" si="74">DG30/DB30-1</f>
      </c>
      <c r="DH31" s="1029">
        <f t="shared" ref="DH31" si="75">DH30/DC30-1</f>
      </c>
      <c r="DI31" s="1028">
        <f t="shared" ref="DI31:EN31" si="76">DI30/DD30-1</f>
      </c>
      <c r="DJ31" s="1028">
        <f t="shared" si="76"/>
      </c>
      <c r="DK31" s="1028">
        <f t="shared" si="76"/>
      </c>
      <c r="DL31" s="1028">
        <f t="shared" si="76"/>
      </c>
      <c r="DM31" s="1029">
        <f t="shared" si="76"/>
      </c>
      <c r="DN31" s="1028">
        <f t="shared" si="76"/>
      </c>
      <c r="DO31" s="1028">
        <f t="shared" si="76"/>
      </c>
      <c r="DP31" s="1028">
        <f t="shared" si="76"/>
      </c>
      <c r="DQ31" s="1028">
        <f t="shared" si="76"/>
      </c>
      <c r="DR31" s="1029">
        <f t="shared" si="76"/>
      </c>
      <c r="DS31" s="1028">
        <f t="shared" si="76"/>
      </c>
      <c r="DT31" s="1028">
        <f t="shared" si="76"/>
      </c>
      <c r="DU31" s="1028">
        <f t="shared" si="76"/>
      </c>
      <c r="DV31" s="1028">
        <f t="shared" si="76"/>
      </c>
      <c r="DW31" s="1029">
        <f t="shared" si="76"/>
      </c>
      <c r="DX31" s="1028">
        <f t="shared" si="76"/>
      </c>
      <c r="DY31" s="1028">
        <f t="shared" si="76"/>
      </c>
      <c r="DZ31" s="1028">
        <f t="shared" si="76"/>
      </c>
      <c r="EA31" s="1028">
        <f t="shared" si="76"/>
      </c>
      <c r="EB31" s="1029">
        <f t="shared" si="76"/>
      </c>
      <c r="EC31" s="1028">
        <f t="shared" si="76"/>
      </c>
      <c r="ED31" s="1028">
        <f t="shared" si="76"/>
      </c>
      <c r="EE31" s="1028">
        <f t="shared" si="76"/>
      </c>
      <c r="EF31" s="1028">
        <f t="shared" si="76"/>
      </c>
      <c r="EG31" s="1029">
        <f t="shared" si="76"/>
      </c>
      <c r="EH31" s="1028">
        <f t="shared" si="76"/>
      </c>
      <c r="EI31" s="1028">
        <f t="shared" si="76"/>
      </c>
      <c r="EJ31" s="1028">
        <f t="shared" si="76"/>
      </c>
      <c r="EK31" s="1028">
        <f t="shared" si="76"/>
      </c>
      <c r="EL31" s="1029">
        <f t="shared" si="76"/>
      </c>
      <c r="EM31" s="1028">
        <f t="shared" si="76"/>
      </c>
      <c r="EN31" s="1028">
        <f t="shared" si="76"/>
      </c>
      <c r="EO31" s="1028">
        <f t="shared" ref="EO31:FT31" si="77">EO30/EJ30-1</f>
      </c>
      <c r="EP31" s="1028">
        <f t="shared" si="77"/>
      </c>
      <c r="EQ31" s="1029">
        <f t="shared" si="77"/>
      </c>
      <c r="ER31" s="1511">
        <f>IC!ER109</f>
      </c>
      <c r="ES31" s="1511">
        <f>IC!ES109</f>
      </c>
      <c r="ET31" s="1511">
        <f>IC!ET109</f>
      </c>
      <c r="EU31" s="1511">
        <f>IC!EU109</f>
      </c>
      <c r="EV31" s="1512">
        <f>IC!EV109</f>
      </c>
      <c r="EW31" s="1511">
        <f>IC!EW109</f>
      </c>
      <c r="EX31" s="1511">
        <f>IC!EX109</f>
      </c>
      <c r="EY31" s="1511">
        <f>IC!EY109</f>
      </c>
      <c r="EZ31" s="1511">
        <f>IC!EZ109</f>
      </c>
      <c r="FA31" s="1512">
        <f>IC!FA109</f>
      </c>
      <c r="FB31" s="1028">
        <f t="shared" si="77"/>
      </c>
      <c r="FC31" s="1028">
        <f t="shared" si="77"/>
      </c>
      <c r="FD31" s="1028">
        <f t="shared" si="77"/>
      </c>
      <c r="FE31" s="1028">
        <f t="shared" si="77"/>
      </c>
      <c r="FF31" s="1029">
        <f t="shared" si="77"/>
      </c>
      <c r="FG31" s="1028">
        <f t="shared" si="77"/>
      </c>
      <c r="FH31" s="1028">
        <f t="shared" si="77"/>
      </c>
      <c r="FI31" s="1028">
        <f t="shared" si="77"/>
      </c>
      <c r="FJ31" s="1028">
        <f t="shared" si="77"/>
      </c>
      <c r="FK31" s="1029">
        <f t="shared" si="77"/>
      </c>
      <c r="FL31" s="1028">
        <f t="shared" si="77"/>
      </c>
      <c r="FM31" s="1028">
        <f t="shared" si="77"/>
      </c>
      <c r="FN31" s="1028">
        <f t="shared" si="77"/>
      </c>
      <c r="FO31" s="1028">
        <f t="shared" si="77"/>
      </c>
      <c r="FP31" s="1029">
        <f t="shared" si="77"/>
      </c>
      <c r="FQ31" s="1028">
        <f t="shared" si="77"/>
      </c>
      <c r="FR31" s="1028">
        <f t="shared" si="77"/>
      </c>
      <c r="FS31" s="1028">
        <f t="shared" si="77"/>
      </c>
      <c r="FT31" s="1028">
        <f t="shared" si="77"/>
      </c>
      <c r="FU31" s="1029">
        <f t="shared" ref="FU31:FZ31" si="78">FU30/FP30-1</f>
      </c>
      <c r="FV31" s="1028">
        <f t="shared" si="78"/>
      </c>
      <c r="FW31" s="1028">
        <f t="shared" si="78"/>
      </c>
      <c r="FX31" s="1028">
        <f t="shared" si="78"/>
      </c>
      <c r="FY31" s="1028">
        <f t="shared" si="78"/>
      </c>
      <c r="FZ31" s="1029">
        <f t="shared" si="78"/>
      </c>
      <c r="GA31" s="1028">
        <f t="shared" ref="GA31:GJ31" si="79">GA30/FV30-1</f>
      </c>
      <c r="GB31" s="1028">
        <f t="shared" si="79"/>
      </c>
      <c r="GC31" s="1028">
        <f t="shared" si="79"/>
      </c>
      <c r="GD31" s="1028">
        <f t="shared" si="79"/>
      </c>
      <c r="GE31" s="1029">
        <f t="shared" si="79"/>
      </c>
      <c r="GF31" s="1028">
        <f t="shared" si="79"/>
      </c>
      <c r="GG31" s="1028">
        <f t="shared" si="79"/>
      </c>
      <c r="GH31" s="1028">
        <f t="shared" si="79"/>
      </c>
      <c r="GI31" s="1028">
        <f t="shared" si="79"/>
      </c>
      <c r="GJ31" s="1029">
        <f t="shared" si="79"/>
      </c>
    </row>
    <row r="32" spans="1:192" s="1031" customFormat="1" ht="12.75" customHeight="1">
      <c r="A32" s="1027"/>
      <c r="B32" s="727" t="s">
        <v>36</v>
      </c>
      <c r="C32" s="1028"/>
      <c r="D32" s="1028"/>
      <c r="E32" s="1028"/>
      <c r="F32" s="1028"/>
      <c r="G32" s="1029"/>
      <c r="H32" s="1028"/>
      <c r="I32" s="1028"/>
      <c r="J32" s="1028"/>
      <c r="K32" s="1028"/>
      <c r="L32" s="1029"/>
      <c r="M32" s="1028"/>
      <c r="N32" s="1028"/>
      <c r="O32" s="1028"/>
      <c r="P32" s="1028"/>
      <c r="Q32" s="1029"/>
      <c r="R32" s="1030"/>
      <c r="S32" s="1030"/>
      <c r="T32" s="1030"/>
      <c r="U32" s="1030"/>
      <c r="V32" s="1029"/>
      <c r="W32" s="1030"/>
      <c r="X32" s="1030"/>
      <c r="Y32" s="1030"/>
      <c r="Z32" s="1030"/>
      <c r="AA32" s="1029"/>
      <c r="AB32" s="1030"/>
      <c r="AC32" s="1030"/>
      <c r="AD32" s="1030"/>
      <c r="AE32" s="1030"/>
      <c r="AF32" s="1029"/>
      <c r="AG32" s="1030"/>
      <c r="AH32" s="1030"/>
      <c r="AI32" s="1030"/>
      <c r="AJ32" s="1030"/>
      <c r="AK32" s="1029"/>
      <c r="AL32" s="1028"/>
      <c r="AM32" s="1028"/>
      <c r="AN32" s="1028"/>
      <c r="AO32" s="1028"/>
      <c r="AP32" s="1029"/>
      <c r="AQ32" s="1028"/>
      <c r="AR32" s="1028"/>
      <c r="AS32" s="1028"/>
      <c r="AT32" s="1028"/>
      <c r="AU32" s="1029"/>
      <c r="AV32" s="1028"/>
      <c r="AW32" s="1028"/>
      <c r="AX32" s="1028"/>
      <c r="AY32" s="1028"/>
      <c r="AZ32" s="1029"/>
      <c r="BA32" s="1028"/>
      <c r="BB32" s="1028"/>
      <c r="BC32" s="1028"/>
      <c r="BD32" s="1028"/>
      <c r="BE32" s="1029"/>
      <c r="BF32" s="1028"/>
      <c r="BG32" s="1028"/>
      <c r="BH32" s="1028"/>
      <c r="BI32" s="1028"/>
      <c r="BJ32" s="1029"/>
      <c r="BK32" s="1028"/>
      <c r="BL32" s="1028"/>
      <c r="BM32" s="1028"/>
      <c r="BN32" s="1028"/>
      <c r="BO32" s="1029"/>
      <c r="BP32" s="1028"/>
      <c r="BQ32" s="1028"/>
      <c r="BR32" s="1028"/>
      <c r="BS32" s="1028"/>
      <c r="BT32" s="1029"/>
      <c r="BU32" s="1028"/>
      <c r="BV32" s="1028"/>
      <c r="BW32" s="1028"/>
      <c r="BX32" s="1028"/>
      <c r="BY32" s="1029"/>
      <c r="BZ32" s="1028"/>
      <c r="CA32" s="1028"/>
      <c r="CB32" s="1028"/>
      <c r="CC32" s="1028"/>
      <c r="CD32" s="1029"/>
      <c r="CE32" s="1028"/>
      <c r="CF32" s="1028"/>
      <c r="CG32" s="1028"/>
      <c r="CH32" s="1028"/>
      <c r="CI32" s="1029"/>
      <c r="CJ32" s="1028"/>
      <c r="CK32" s="1028"/>
      <c r="CL32" s="1028"/>
      <c r="CM32" s="1028"/>
      <c r="CN32" s="1029"/>
      <c r="CO32" s="1028"/>
      <c r="CP32" s="1028"/>
      <c r="CQ32" s="1028"/>
      <c r="CR32" s="1028"/>
      <c r="CS32" s="1029"/>
      <c r="CT32" s="1028"/>
      <c r="CU32" s="1028"/>
      <c r="CV32" s="1028"/>
      <c r="CW32" s="1028"/>
      <c r="CX32" s="1029"/>
      <c r="CY32" s="1028"/>
      <c r="CZ32" s="1028"/>
      <c r="DA32" s="1028"/>
      <c r="DB32" s="1028"/>
      <c r="DC32" s="1029"/>
      <c r="DD32" s="1028">
        <f>DD30/DB30-1</f>
      </c>
      <c r="DE32" s="1028">
        <f>DE30/DD30-1</f>
      </c>
      <c r="DF32" s="1028">
        <f>DF30/DE30-1</f>
      </c>
      <c r="DG32" s="1028">
        <f>DG30/DF30-1</f>
      </c>
      <c r="DH32" s="1029"/>
      <c r="DI32" s="1028">
        <f>DI30/DG30-1</f>
      </c>
      <c r="DJ32" s="1028">
        <f>DJ30/DI30-1</f>
      </c>
      <c r="DK32" s="1028">
        <f>DK30/DJ30-1</f>
      </c>
      <c r="DL32" s="1028">
        <f>DL30/DK30-1</f>
      </c>
      <c r="DM32" s="1029"/>
      <c r="DN32" s="1028">
        <f>DN30/DL30-1</f>
      </c>
      <c r="DO32" s="1028">
        <f>DO30/DN30-1</f>
      </c>
      <c r="DP32" s="1028">
        <f>DP30/DO30-1</f>
      </c>
      <c r="DQ32" s="1028">
        <f>DQ30/DP30-1</f>
      </c>
      <c r="DR32" s="1029"/>
      <c r="DS32" s="1028">
        <f>DS30/DQ30-1</f>
      </c>
      <c r="DT32" s="1028">
        <f>DT30/DS30-1</f>
      </c>
      <c r="DU32" s="1028">
        <f>DU30/DT30-1</f>
      </c>
      <c r="DV32" s="1028">
        <f>DV30/DU30-1</f>
      </c>
      <c r="DW32" s="1029"/>
      <c r="DX32" s="1028">
        <f>DX30/DV30-1</f>
      </c>
      <c r="DY32" s="1028">
        <f>DY30/DX30-1</f>
      </c>
      <c r="DZ32" s="1028">
        <f>DZ30/DY30-1</f>
      </c>
      <c r="EA32" s="1028">
        <f>EA30/DZ30-1</f>
      </c>
      <c r="EB32" s="1029"/>
      <c r="EC32" s="1028">
        <f>EC30/EA30-1</f>
      </c>
      <c r="ED32" s="1028">
        <f>ED30/EC30-1</f>
      </c>
      <c r="EE32" s="1028">
        <f>EE30/ED30-1</f>
      </c>
      <c r="EF32" s="1028">
        <f>EF30/EE30-1</f>
      </c>
      <c r="EG32" s="1029"/>
      <c r="EH32" s="1028">
        <f>EH30/EF30-1</f>
      </c>
      <c r="EI32" s="1028">
        <f>EI30/EH30-1</f>
      </c>
      <c r="EJ32" s="1028">
        <f>EJ30/EI30-1</f>
      </c>
      <c r="EK32" s="1028">
        <f>EK30/EJ30-1</f>
      </c>
      <c r="EL32" s="1029"/>
      <c r="EM32" s="1028">
        <f>EM30/EK30-1</f>
      </c>
      <c r="EN32" s="1028">
        <f>EN30/EM30-1</f>
      </c>
      <c r="EO32" s="1028">
        <f>EO30/EN30-1</f>
      </c>
      <c r="EP32" s="1028">
        <f>EP30/EO30-1</f>
      </c>
      <c r="EQ32" s="1029"/>
      <c r="ER32" s="1028">
        <f>ER30/EP30-1</f>
      </c>
      <c r="ES32" s="1028">
        <f>ES30/ER30-1</f>
      </c>
      <c r="ET32" s="1028">
        <f>ET30/ES30-1</f>
      </c>
      <c r="EU32" s="1028">
        <f>EU30/ET30-1</f>
      </c>
      <c r="EV32" s="1029"/>
      <c r="EW32" s="1028">
        <f>EW30/EU30-1</f>
      </c>
      <c r="EX32" s="1028">
        <f>EX30/EW30-1</f>
      </c>
      <c r="EY32" s="1028">
        <f>EY30/EX30-1</f>
      </c>
      <c r="EZ32" s="1028">
        <f>EZ30/EY30-1</f>
      </c>
      <c r="FA32" s="1029"/>
      <c r="FB32" s="1028">
        <f>FB30/EZ30-1</f>
      </c>
      <c r="FC32" s="1028">
        <f>FC30/FB30-1</f>
      </c>
      <c r="FD32" s="1028">
        <f>FD30/FC30-1</f>
      </c>
      <c r="FE32" s="1028">
        <f>FE30/FD30-1</f>
      </c>
      <c r="FF32" s="1029"/>
      <c r="FG32" s="1028">
        <f>FG30/FE30-1</f>
      </c>
      <c r="FH32" s="1028">
        <f>FH30/FG30-1</f>
      </c>
      <c r="FI32" s="1028">
        <f>FI30/FH30-1</f>
      </c>
      <c r="FJ32" s="1028">
        <f>FJ30/FI30-1</f>
      </c>
      <c r="FK32" s="1029"/>
      <c r="FL32" s="1028">
        <f>FL30/FJ30-1</f>
      </c>
      <c r="FM32" s="1028">
        <f>FM30/FL30-1</f>
      </c>
      <c r="FN32" s="1028">
        <f>FN30/FM30-1</f>
      </c>
      <c r="FO32" s="1028">
        <f>FO30/FN30-1</f>
      </c>
      <c r="FP32" s="1029"/>
      <c r="FQ32" s="1028">
        <f>FQ30/FO30-1</f>
      </c>
      <c r="FR32" s="1028">
        <f>FR30/FQ30-1</f>
      </c>
      <c r="FS32" s="1028">
        <f>FS30/FR30-1</f>
      </c>
      <c r="FT32" s="1028">
        <f>FT30/FS30-1</f>
      </c>
      <c r="FU32" s="1029"/>
      <c r="FV32" s="1028">
        <f>FV30/FT30-1</f>
      </c>
      <c r="FW32" s="1028">
        <f>FW30/FV30-1</f>
      </c>
      <c r="FX32" s="1028">
        <f>FX30/FW30-1</f>
      </c>
      <c r="FY32" s="1028">
        <f>FY30/FX30-1</f>
      </c>
      <c r="FZ32" s="1029"/>
      <c r="GA32" s="1028">
        <f>GA30/FY30-1</f>
      </c>
      <c r="GB32" s="1028">
        <f>GB30/GA30-1</f>
      </c>
      <c r="GC32" s="1028">
        <f>GC30/GB30-1</f>
      </c>
      <c r="GD32" s="1028">
        <f>GD30/GC30-1</f>
      </c>
      <c r="GE32" s="1029"/>
      <c r="GF32" s="1028">
        <f>GF30/GD30-1</f>
      </c>
      <c r="GG32" s="1028">
        <f>GG30/GF30-1</f>
      </c>
      <c r="GH32" s="1028">
        <f>GH30/GG30-1</f>
      </c>
      <c r="GI32" s="1028">
        <f>GI30/GH30-1</f>
      </c>
      <c r="GJ32" s="1029"/>
    </row>
    <row r="33" spans="1:192" s="1031" customFormat="1" ht="12.75" customHeight="1">
      <c r="A33" s="1027"/>
      <c r="B33" s="727" t="s">
        <v>243</v>
      </c>
      <c r="C33" s="1028"/>
      <c r="D33" s="1028"/>
      <c r="E33" s="1028"/>
      <c r="F33" s="1028"/>
      <c r="G33" s="1029"/>
      <c r="H33" s="1028"/>
      <c r="I33" s="1028"/>
      <c r="J33" s="1028"/>
      <c r="K33" s="1028"/>
      <c r="L33" s="1029"/>
      <c r="M33" s="1028"/>
      <c r="N33" s="1028"/>
      <c r="O33" s="1028"/>
      <c r="P33" s="1028"/>
      <c r="Q33" s="1029"/>
      <c r="R33" s="1030"/>
      <c r="S33" s="1030"/>
      <c r="T33" s="1030"/>
      <c r="U33" s="1030"/>
      <c r="V33" s="1029"/>
      <c r="W33" s="1030"/>
      <c r="X33" s="1030"/>
      <c r="Y33" s="1030"/>
      <c r="Z33" s="1030"/>
      <c r="AA33" s="1029"/>
      <c r="AB33" s="1030"/>
      <c r="AC33" s="1030"/>
      <c r="AD33" s="1030"/>
      <c r="AE33" s="1030"/>
      <c r="AF33" s="1029"/>
      <c r="AG33" s="1030"/>
      <c r="AH33" s="1030"/>
      <c r="AI33" s="1030"/>
      <c r="AJ33" s="1030"/>
      <c r="AK33" s="1029"/>
      <c r="AL33" s="1028"/>
      <c r="AM33" s="1028"/>
      <c r="AN33" s="1028"/>
      <c r="AO33" s="1028"/>
      <c r="AP33" s="1029"/>
      <c r="AQ33" s="1028"/>
      <c r="AR33" s="1028"/>
      <c r="AS33" s="1028"/>
      <c r="AT33" s="1028"/>
      <c r="AU33" s="1029"/>
      <c r="AV33" s="1028"/>
      <c r="AW33" s="1028"/>
      <c r="AX33" s="1028"/>
      <c r="AY33" s="1028"/>
      <c r="AZ33" s="1029"/>
      <c r="BA33" s="1028"/>
      <c r="BB33" s="1028"/>
      <c r="BC33" s="1028"/>
      <c r="BD33" s="1028"/>
      <c r="BE33" s="1029"/>
      <c r="BF33" s="1028"/>
      <c r="BG33" s="1028"/>
      <c r="BH33" s="1028"/>
      <c r="BI33" s="1028"/>
      <c r="BJ33" s="1029"/>
      <c r="BK33" s="1028"/>
      <c r="BL33" s="1028"/>
      <c r="BM33" s="1028"/>
      <c r="BN33" s="1028"/>
      <c r="BO33" s="1029"/>
      <c r="BP33" s="1028"/>
      <c r="BQ33" s="1028"/>
      <c r="BR33" s="1028"/>
      <c r="BS33" s="1028"/>
      <c r="BT33" s="1029"/>
      <c r="BU33" s="1028"/>
      <c r="BV33" s="1028"/>
      <c r="BW33" s="1028"/>
      <c r="BX33" s="1028"/>
      <c r="BY33" s="1029"/>
      <c r="BZ33" s="1028"/>
      <c r="CA33" s="1028"/>
      <c r="CB33" s="1028"/>
      <c r="CC33" s="1028"/>
      <c r="CD33" s="1029"/>
      <c r="CE33" s="1028"/>
      <c r="CF33" s="1028"/>
      <c r="CG33" s="1028"/>
      <c r="CH33" s="1028"/>
      <c r="CI33" s="1029"/>
      <c r="CJ33" s="1028"/>
      <c r="CK33" s="1028"/>
      <c r="CL33" s="1028"/>
      <c r="CM33" s="1028"/>
      <c r="CN33" s="1029"/>
      <c r="CO33" s="1028"/>
      <c r="CP33" s="1028"/>
      <c r="CQ33" s="1028"/>
      <c r="CR33" s="1028"/>
      <c r="CS33" s="1029"/>
      <c r="CT33" s="1028"/>
      <c r="CU33" s="1028"/>
      <c r="CV33" s="1028"/>
      <c r="CW33" s="1028"/>
      <c r="CX33" s="1029"/>
      <c r="CY33" s="1028"/>
      <c r="CZ33" s="1028"/>
      <c r="DA33" s="1028"/>
      <c r="DB33" s="1028"/>
      <c r="DC33" s="1029"/>
      <c r="DD33" s="1039">
        <f t="shared" ref="DD33" si="80">DD30-CY30</f>
      </c>
      <c r="DE33" s="1039">
        <f t="shared" ref="DE33" si="81">DE30-CZ30</f>
      </c>
      <c r="DF33" s="1039">
        <f t="shared" ref="DF33" si="82">DF30-DA30</f>
      </c>
      <c r="DG33" s="1039">
        <f t="shared" ref="DG33" si="83">DG30-DB30</f>
      </c>
      <c r="DH33" s="1040">
        <f t="shared" ref="DH33" si="84">DH30-DC30</f>
      </c>
      <c r="DI33" s="1039">
        <f t="shared" ref="DI33:EN33" si="85">DI30-DD30</f>
      </c>
      <c r="DJ33" s="1039">
        <f t="shared" si="85"/>
      </c>
      <c r="DK33" s="1039">
        <f t="shared" si="85"/>
      </c>
      <c r="DL33" s="1039">
        <f t="shared" si="85"/>
      </c>
      <c r="DM33" s="1040">
        <f t="shared" si="85"/>
      </c>
      <c r="DN33" s="1039">
        <f t="shared" si="85"/>
      </c>
      <c r="DO33" s="1039">
        <f t="shared" si="85"/>
      </c>
      <c r="DP33" s="1039">
        <f t="shared" si="85"/>
      </c>
      <c r="DQ33" s="1039">
        <f t="shared" si="85"/>
      </c>
      <c r="DR33" s="1040">
        <f t="shared" si="85"/>
      </c>
      <c r="DS33" s="1039">
        <f t="shared" si="85"/>
      </c>
      <c r="DT33" s="1039">
        <f t="shared" si="85"/>
      </c>
      <c r="DU33" s="1039">
        <f t="shared" si="85"/>
      </c>
      <c r="DV33" s="1039">
        <f t="shared" si="85"/>
      </c>
      <c r="DW33" s="1040">
        <f t="shared" si="85"/>
      </c>
      <c r="DX33" s="1039">
        <f t="shared" si="85"/>
      </c>
      <c r="DY33" s="1039">
        <f t="shared" si="85"/>
      </c>
      <c r="DZ33" s="1039">
        <f t="shared" si="85"/>
      </c>
      <c r="EA33" s="1039">
        <f t="shared" si="85"/>
      </c>
      <c r="EB33" s="1040">
        <f t="shared" si="85"/>
      </c>
      <c r="EC33" s="1039">
        <f t="shared" si="85"/>
      </c>
      <c r="ED33" s="1039">
        <f t="shared" si="85"/>
      </c>
      <c r="EE33" s="1039">
        <f t="shared" si="85"/>
      </c>
      <c r="EF33" s="1039">
        <f t="shared" si="85"/>
      </c>
      <c r="EG33" s="1040">
        <f t="shared" si="85"/>
      </c>
      <c r="EH33" s="1039">
        <f t="shared" si="85"/>
      </c>
      <c r="EI33" s="1039">
        <f t="shared" si="85"/>
      </c>
      <c r="EJ33" s="1039">
        <f t="shared" si="85"/>
      </c>
      <c r="EK33" s="1039">
        <f t="shared" si="85"/>
      </c>
      <c r="EL33" s="1040">
        <f t="shared" si="85"/>
      </c>
      <c r="EM33" s="1039">
        <f t="shared" si="85"/>
      </c>
      <c r="EN33" s="1039">
        <f t="shared" si="85"/>
      </c>
      <c r="EO33" s="1039">
        <f t="shared" ref="EO33:FT33" si="86">EO30-EJ30</f>
      </c>
      <c r="EP33" s="1039">
        <f t="shared" si="86"/>
      </c>
      <c r="EQ33" s="1040">
        <f t="shared" si="86"/>
      </c>
      <c r="ER33" s="1039">
        <f t="shared" si="86"/>
      </c>
      <c r="ES33" s="1039">
        <f t="shared" si="86"/>
      </c>
      <c r="ET33" s="1039">
        <f t="shared" si="86"/>
      </c>
      <c r="EU33" s="1039">
        <f>EU30-EP30</f>
      </c>
      <c r="EV33" s="1040">
        <f>EV30-EQ30</f>
      </c>
      <c r="EW33" s="1039">
        <f t="shared" si="86"/>
      </c>
      <c r="EX33" s="1039">
        <f t="shared" si="86"/>
      </c>
      <c r="EY33" s="1039">
        <f t="shared" si="86"/>
      </c>
      <c r="EZ33" s="1039">
        <f>EZ30-EU30</f>
      </c>
      <c r="FA33" s="1040">
        <f>FA30-EV30</f>
      </c>
      <c r="FB33" s="1039">
        <f t="shared" si="86"/>
      </c>
      <c r="FC33" s="1039">
        <f t="shared" si="86"/>
      </c>
      <c r="FD33" s="1039">
        <f t="shared" si="86"/>
      </c>
      <c r="FE33" s="1039">
        <f t="shared" si="86"/>
      </c>
      <c r="FF33" s="1040">
        <f t="shared" si="86"/>
      </c>
      <c r="FG33" s="1039">
        <f t="shared" si="86"/>
      </c>
      <c r="FH33" s="1039">
        <f t="shared" si="86"/>
      </c>
      <c r="FI33" s="1039">
        <f t="shared" si="86"/>
      </c>
      <c r="FJ33" s="1039">
        <f t="shared" si="86"/>
      </c>
      <c r="FK33" s="1040">
        <f t="shared" si="86"/>
      </c>
      <c r="FL33" s="1039">
        <f t="shared" si="86"/>
      </c>
      <c r="FM33" s="1039">
        <f t="shared" si="86"/>
      </c>
      <c r="FN33" s="1039">
        <f t="shared" si="86"/>
      </c>
      <c r="FO33" s="1039">
        <f t="shared" si="86"/>
      </c>
      <c r="FP33" s="1040">
        <f t="shared" si="86"/>
      </c>
      <c r="FQ33" s="1039">
        <f t="shared" si="86"/>
      </c>
      <c r="FR33" s="1039">
        <f t="shared" si="86"/>
      </c>
      <c r="FS33" s="1039">
        <f t="shared" si="86"/>
      </c>
      <c r="FT33" s="1039">
        <f t="shared" si="86"/>
      </c>
      <c r="FU33" s="1040">
        <f t="shared" ref="FU33:FZ33" si="87">FU30-FP30</f>
      </c>
      <c r="FV33" s="1039">
        <f t="shared" si="87"/>
      </c>
      <c r="FW33" s="1039">
        <f t="shared" si="87"/>
      </c>
      <c r="FX33" s="1039">
        <f t="shared" si="87"/>
      </c>
      <c r="FY33" s="1039">
        <f t="shared" si="87"/>
      </c>
      <c r="FZ33" s="1040">
        <f t="shared" si="87"/>
      </c>
      <c r="GA33" s="1039">
        <f t="shared" ref="GA33:GJ33" si="88">GA30-FV30</f>
      </c>
      <c r="GB33" s="1039">
        <f t="shared" si="88"/>
      </c>
      <c r="GC33" s="1039">
        <f t="shared" si="88"/>
      </c>
      <c r="GD33" s="1039">
        <f t="shared" si="88"/>
      </c>
      <c r="GE33" s="1040">
        <f t="shared" si="88"/>
      </c>
      <c r="GF33" s="1039">
        <f t="shared" si="88"/>
      </c>
      <c r="GG33" s="1039">
        <f t="shared" si="88"/>
      </c>
      <c r="GH33" s="1039">
        <f t="shared" si="88"/>
      </c>
      <c r="GI33" s="1039">
        <f t="shared" si="88"/>
      </c>
      <c r="GJ33" s="1040">
        <f t="shared" si="88"/>
      </c>
    </row>
    <row r="34" spans="1:192" s="1031" customFormat="1" ht="12.75" customHeight="1">
      <c r="A34" s="1027"/>
      <c r="B34" s="727" t="s">
        <v>244</v>
      </c>
      <c r="C34" s="1028"/>
      <c r="D34" s="1028"/>
      <c r="E34" s="1028"/>
      <c r="F34" s="1028"/>
      <c r="G34" s="1029"/>
      <c r="H34" s="1028"/>
      <c r="I34" s="1028"/>
      <c r="J34" s="1028"/>
      <c r="K34" s="1028"/>
      <c r="L34" s="1029"/>
      <c r="M34" s="1028"/>
      <c r="N34" s="1028"/>
      <c r="O34" s="1028"/>
      <c r="P34" s="1028"/>
      <c r="Q34" s="1029"/>
      <c r="R34" s="1030"/>
      <c r="S34" s="1030"/>
      <c r="T34" s="1030"/>
      <c r="U34" s="1030"/>
      <c r="V34" s="1029"/>
      <c r="W34" s="1030"/>
      <c r="X34" s="1030"/>
      <c r="Y34" s="1030"/>
      <c r="Z34" s="1030"/>
      <c r="AA34" s="1029"/>
      <c r="AB34" s="1030"/>
      <c r="AC34" s="1030"/>
      <c r="AD34" s="1030"/>
      <c r="AE34" s="1030"/>
      <c r="AF34" s="1029"/>
      <c r="AG34" s="1030"/>
      <c r="AH34" s="1030"/>
      <c r="AI34" s="1030"/>
      <c r="AJ34" s="1030"/>
      <c r="AK34" s="1029"/>
      <c r="AL34" s="1028"/>
      <c r="AM34" s="1028"/>
      <c r="AN34" s="1028"/>
      <c r="AO34" s="1028"/>
      <c r="AP34" s="1029"/>
      <c r="AQ34" s="1028"/>
      <c r="AR34" s="1028"/>
      <c r="AS34" s="1028"/>
      <c r="AT34" s="1028"/>
      <c r="AU34" s="1029"/>
      <c r="AV34" s="1028"/>
      <c r="AW34" s="1028"/>
      <c r="AX34" s="1028"/>
      <c r="AY34" s="1028"/>
      <c r="AZ34" s="1029"/>
      <c r="BA34" s="1028"/>
      <c r="BB34" s="1028"/>
      <c r="BC34" s="1028"/>
      <c r="BD34" s="1028"/>
      <c r="BE34" s="1029"/>
      <c r="BF34" s="1028"/>
      <c r="BG34" s="1028"/>
      <c r="BH34" s="1028"/>
      <c r="BI34" s="1028"/>
      <c r="BJ34" s="1029"/>
      <c r="BK34" s="1028"/>
      <c r="BL34" s="1028"/>
      <c r="BM34" s="1028"/>
      <c r="BN34" s="1028"/>
      <c r="BO34" s="1029"/>
      <c r="BP34" s="1028"/>
      <c r="BQ34" s="1028"/>
      <c r="BR34" s="1028"/>
      <c r="BS34" s="1028"/>
      <c r="BT34" s="1029"/>
      <c r="BU34" s="1028"/>
      <c r="BV34" s="1028"/>
      <c r="BW34" s="1028"/>
      <c r="BX34" s="1028"/>
      <c r="BY34" s="1029"/>
      <c r="BZ34" s="1028"/>
      <c r="CA34" s="1028"/>
      <c r="CB34" s="1028"/>
      <c r="CC34" s="1028"/>
      <c r="CD34" s="1029"/>
      <c r="CE34" s="1028"/>
      <c r="CF34" s="1028"/>
      <c r="CG34" s="1028"/>
      <c r="CH34" s="1028"/>
      <c r="CI34" s="1029"/>
      <c r="CJ34" s="1028"/>
      <c r="CK34" s="1028"/>
      <c r="CL34" s="1028"/>
      <c r="CM34" s="1028"/>
      <c r="CN34" s="1029"/>
      <c r="CO34" s="1028"/>
      <c r="CP34" s="1028"/>
      <c r="CQ34" s="1028"/>
      <c r="CR34" s="1028"/>
      <c r="CS34" s="1029"/>
      <c r="CT34" s="1028"/>
      <c r="CU34" s="1028"/>
      <c r="CV34" s="1028"/>
      <c r="CW34" s="1028"/>
      <c r="CX34" s="1029"/>
      <c r="CY34" s="1028"/>
      <c r="CZ34" s="1028"/>
      <c r="DA34" s="1028"/>
      <c r="DB34" s="1028"/>
      <c r="DC34" s="1029"/>
      <c r="DD34" s="1039">
        <f>DD30-DB30</f>
      </c>
      <c r="DE34" s="1039">
        <f>DE30-DD30</f>
      </c>
      <c r="DF34" s="1039">
        <f>DF30-DE30</f>
      </c>
      <c r="DG34" s="1039">
        <f>DG30-DF30</f>
      </c>
      <c r="DH34" s="1040"/>
      <c r="DI34" s="1039">
        <f>DI30-DG30</f>
      </c>
      <c r="DJ34" s="1039">
        <f>DJ30-DI30</f>
      </c>
      <c r="DK34" s="1039">
        <f>DK30-DJ30</f>
      </c>
      <c r="DL34" s="1039">
        <f>DL30-DK30</f>
      </c>
      <c r="DM34" s="1040"/>
      <c r="DN34" s="1039">
        <f>DN30-DL30</f>
      </c>
      <c r="DO34" s="1039">
        <f>DO30-DN30</f>
      </c>
      <c r="DP34" s="1039">
        <f>DP30-DO30</f>
      </c>
      <c r="DQ34" s="1039">
        <f>DQ30-DP30</f>
      </c>
      <c r="DR34" s="1040"/>
      <c r="DS34" s="1039">
        <f>DS30-DQ30</f>
      </c>
      <c r="DT34" s="1039">
        <f>DT30-DS30</f>
      </c>
      <c r="DU34" s="1039">
        <f>DU30-DT30</f>
      </c>
      <c r="DV34" s="1039">
        <f>DV30-DU30</f>
      </c>
      <c r="DW34" s="1040"/>
      <c r="DX34" s="1039">
        <f>DX30-DV30</f>
      </c>
      <c r="DY34" s="1039">
        <f>DY30-DX30</f>
      </c>
      <c r="DZ34" s="1039">
        <f>DZ30-DY30</f>
      </c>
      <c r="EA34" s="1039">
        <f>EA30-DZ30</f>
      </c>
      <c r="EB34" s="1040"/>
      <c r="EC34" s="1039">
        <f>EC30-EA30</f>
      </c>
      <c r="ED34" s="1039">
        <f>ED30-EC30</f>
      </c>
      <c r="EE34" s="1039">
        <f>EE30-ED30</f>
      </c>
      <c r="EF34" s="1039">
        <f>EF30-EE30</f>
      </c>
      <c r="EG34" s="1040"/>
      <c r="EH34" s="1039">
        <f>EH30-EF30</f>
      </c>
      <c r="EI34" s="1039">
        <f>EI30-EH30</f>
      </c>
      <c r="EJ34" s="1039">
        <f>EJ30-EI30</f>
      </c>
      <c r="EK34" s="1039">
        <f>EK30-EJ30</f>
      </c>
      <c r="EL34" s="1040"/>
      <c r="EM34" s="1039">
        <f>EM30-EK30</f>
      </c>
      <c r="EN34" s="1039">
        <f>EN30-EM30</f>
      </c>
      <c r="EO34" s="1039">
        <f>EO30-EN30</f>
      </c>
      <c r="EP34" s="1039">
        <f>EP30-EO30</f>
      </c>
      <c r="EQ34" s="1040"/>
      <c r="ER34" s="1039">
        <f>ER30-EP30</f>
      </c>
      <c r="ES34" s="1039">
        <f>ES30-ER30</f>
      </c>
      <c r="ET34" s="1039">
        <f>ET30-ES30</f>
      </c>
      <c r="EU34" s="1039">
        <f>EU30-ET30</f>
      </c>
      <c r="EV34" s="1040"/>
      <c r="EW34" s="1039">
        <f>EW30-EU30</f>
      </c>
      <c r="EX34" s="1039">
        <f>EX30-EW30</f>
      </c>
      <c r="EY34" s="1039">
        <f>EY30-EX30</f>
      </c>
      <c r="EZ34" s="1039">
        <f>EZ30-EY30</f>
      </c>
      <c r="FA34" s="1040"/>
      <c r="FB34" s="1039">
        <f>FB30-EZ30</f>
      </c>
      <c r="FC34" s="1039">
        <f>FC30-FB30</f>
      </c>
      <c r="FD34" s="1039">
        <f>FD30-FC30</f>
      </c>
      <c r="FE34" s="1039">
        <f>FE30-FD30</f>
      </c>
      <c r="FF34" s="1040"/>
      <c r="FG34" s="1039">
        <f>FG30-FE30</f>
      </c>
      <c r="FH34" s="1039">
        <f>FH30-FG30</f>
      </c>
      <c r="FI34" s="1039">
        <f>FI30-FH30</f>
      </c>
      <c r="FJ34" s="1039">
        <f>FJ30-FI30</f>
      </c>
      <c r="FK34" s="1040"/>
      <c r="FL34" s="1039">
        <f>FL30-FJ30</f>
      </c>
      <c r="FM34" s="1039">
        <f>FM30-FL30</f>
      </c>
      <c r="FN34" s="1039">
        <f>FN30-FM30</f>
      </c>
      <c r="FO34" s="1039">
        <f>FO30-FN30</f>
      </c>
      <c r="FP34" s="1040"/>
      <c r="FQ34" s="1039">
        <f>FQ30-FO30</f>
      </c>
      <c r="FR34" s="1039">
        <f>FR30-FQ30</f>
      </c>
      <c r="FS34" s="1039">
        <f>FS30-FR30</f>
      </c>
      <c r="FT34" s="1039">
        <f>FT30-FS30</f>
      </c>
      <c r="FU34" s="1040"/>
      <c r="FV34" s="1039">
        <f>FV30-FT30</f>
      </c>
      <c r="FW34" s="1039">
        <f>FW30-FV30</f>
      </c>
      <c r="FX34" s="1039">
        <f>FX30-FW30</f>
      </c>
      <c r="FY34" s="1039">
        <f>FY30-FX30</f>
      </c>
      <c r="FZ34" s="1040"/>
      <c r="GA34" s="1039">
        <f>GA30-FY30</f>
      </c>
      <c r="GB34" s="1039">
        <f>GB30-GA30</f>
      </c>
      <c r="GC34" s="1039">
        <f>GC30-GB30</f>
      </c>
      <c r="GD34" s="1039">
        <f>GD30-GC30</f>
      </c>
      <c r="GE34" s="1040"/>
      <c r="GF34" s="1039">
        <f>GF30-GD30</f>
      </c>
      <c r="GG34" s="1039">
        <f>GG30-GF30</f>
      </c>
      <c r="GH34" s="1039">
        <f>GH30-GG30</f>
      </c>
      <c r="GI34" s="1039">
        <f>GI30-GH30</f>
      </c>
      <c r="GJ34" s="1040"/>
    </row>
    <row r="35" spans="1:192" s="1031" customFormat="1" ht="12.75" customHeight="1">
      <c r="A35" s="1027"/>
      <c r="B35" s="727"/>
      <c r="C35" s="1028"/>
      <c r="D35" s="1028"/>
      <c r="E35" s="1028"/>
      <c r="F35" s="1028"/>
      <c r="G35" s="1029"/>
      <c r="H35" s="1028"/>
      <c r="I35" s="1028"/>
      <c r="J35" s="1028"/>
      <c r="K35" s="1028"/>
      <c r="L35" s="1029"/>
      <c r="M35" s="1028"/>
      <c r="N35" s="1028"/>
      <c r="O35" s="1028"/>
      <c r="P35" s="1028"/>
      <c r="Q35" s="1029"/>
      <c r="R35" s="1030"/>
      <c r="S35" s="1030"/>
      <c r="T35" s="1030"/>
      <c r="U35" s="1030"/>
      <c r="V35" s="1029"/>
      <c r="W35" s="1030"/>
      <c r="X35" s="1030"/>
      <c r="Y35" s="1030"/>
      <c r="Z35" s="1030"/>
      <c r="AA35" s="1029"/>
      <c r="AB35" s="1030"/>
      <c r="AC35" s="1030"/>
      <c r="AD35" s="1030"/>
      <c r="AE35" s="1030"/>
      <c r="AF35" s="1029"/>
      <c r="AG35" s="1030"/>
      <c r="AH35" s="1030"/>
      <c r="AI35" s="1030"/>
      <c r="AJ35" s="1030"/>
      <c r="AK35" s="1029"/>
      <c r="AL35" s="1028"/>
      <c r="AM35" s="1028"/>
      <c r="AN35" s="1028"/>
      <c r="AO35" s="1028"/>
      <c r="AP35" s="1029"/>
      <c r="AQ35" s="1028"/>
      <c r="AR35" s="1028"/>
      <c r="AS35" s="1028"/>
      <c r="AT35" s="1028"/>
      <c r="AU35" s="1029"/>
      <c r="AV35" s="1028"/>
      <c r="AW35" s="1028"/>
      <c r="AX35" s="1028"/>
      <c r="AY35" s="1028"/>
      <c r="AZ35" s="1029"/>
      <c r="BA35" s="1028"/>
      <c r="BB35" s="1028"/>
      <c r="BC35" s="1028"/>
      <c r="BD35" s="1028"/>
      <c r="BE35" s="1029"/>
      <c r="BF35" s="1028"/>
      <c r="BG35" s="1028"/>
      <c r="BH35" s="1028"/>
      <c r="BI35" s="1028"/>
      <c r="BJ35" s="1029"/>
      <c r="BK35" s="1028"/>
      <c r="BL35" s="1028"/>
      <c r="BM35" s="1028"/>
      <c r="BN35" s="1028"/>
      <c r="BO35" s="1029"/>
      <c r="BP35" s="1028"/>
      <c r="BQ35" s="1028"/>
      <c r="BR35" s="1028"/>
      <c r="BS35" s="1028"/>
      <c r="BT35" s="1029"/>
      <c r="BU35" s="1028"/>
      <c r="BV35" s="1028"/>
      <c r="BW35" s="1028"/>
      <c r="BX35" s="1028"/>
      <c r="BY35" s="1029"/>
      <c r="BZ35" s="1028"/>
      <c r="CA35" s="1028"/>
      <c r="CB35" s="1028"/>
      <c r="CC35" s="1028"/>
      <c r="CD35" s="1029"/>
      <c r="CE35" s="1028"/>
      <c r="CF35" s="1028"/>
      <c r="CG35" s="1028"/>
      <c r="CH35" s="1028"/>
      <c r="CI35" s="1029"/>
      <c r="CJ35" s="1028"/>
      <c r="CK35" s="1028"/>
      <c r="CL35" s="1028"/>
      <c r="CM35" s="1028"/>
      <c r="CN35" s="1029"/>
      <c r="CO35" s="1028"/>
      <c r="CP35" s="1028"/>
      <c r="CQ35" s="1028"/>
      <c r="CR35" s="1028"/>
      <c r="CS35" s="1029"/>
      <c r="CT35" s="1028"/>
      <c r="CU35" s="1028"/>
      <c r="CV35" s="1028"/>
      <c r="CW35" s="1028"/>
      <c r="CX35" s="1029"/>
      <c r="CY35" s="1028"/>
      <c r="CZ35" s="1028"/>
      <c r="DA35" s="1028"/>
      <c r="DB35" s="1028"/>
      <c r="DC35" s="1029"/>
      <c r="DD35" s="1028"/>
      <c r="DE35" s="1028"/>
      <c r="DF35" s="1028"/>
      <c r="DG35" s="1028"/>
      <c r="DH35" s="1029"/>
      <c r="DI35" s="1028"/>
      <c r="DJ35" s="1028"/>
      <c r="DK35" s="1028"/>
      <c r="DL35" s="1028"/>
      <c r="DM35" s="1029"/>
      <c r="DN35" s="1028"/>
      <c r="DO35" s="1028"/>
      <c r="DP35" s="1028"/>
      <c r="DQ35" s="1028"/>
      <c r="DR35" s="1029"/>
      <c r="DS35" s="1028"/>
      <c r="DT35" s="1028"/>
      <c r="DU35" s="1028"/>
      <c r="DV35" s="1028"/>
      <c r="DW35" s="1029"/>
      <c r="DX35" s="1028"/>
      <c r="DY35" s="1028"/>
      <c r="DZ35" s="1028"/>
      <c r="EA35" s="1028"/>
      <c r="EB35" s="1029"/>
      <c r="EC35" s="1028"/>
      <c r="ED35" s="1028"/>
      <c r="EE35" s="1028"/>
      <c r="EF35" s="1028"/>
      <c r="EG35" s="1029"/>
      <c r="EH35" s="1028"/>
      <c r="EI35" s="1028"/>
      <c r="EJ35" s="1028"/>
      <c r="EK35" s="1028"/>
      <c r="EL35" s="1029"/>
      <c r="EM35" s="1028"/>
      <c r="EN35" s="1028"/>
      <c r="EO35" s="1028"/>
      <c r="EP35" s="1028"/>
      <c r="EQ35" s="1029"/>
      <c r="ER35" s="1028"/>
      <c r="ES35" s="1028"/>
      <c r="ET35" s="1028"/>
      <c r="EU35" s="1028"/>
      <c r="EV35" s="1029"/>
      <c r="EW35" s="1028"/>
      <c r="EX35" s="1028"/>
      <c r="EY35" s="1028"/>
      <c r="EZ35" s="1028"/>
      <c r="FA35" s="1029"/>
      <c r="FB35" s="1028"/>
      <c r="FC35" s="1028"/>
      <c r="FD35" s="1028"/>
      <c r="FE35" s="1028"/>
      <c r="FF35" s="1029"/>
      <c r="FG35" s="1028"/>
      <c r="FH35" s="1028"/>
      <c r="FI35" s="1028"/>
      <c r="FJ35" s="1028"/>
      <c r="FK35" s="1029"/>
      <c r="FL35" s="1028"/>
      <c r="FM35" s="1028"/>
      <c r="FN35" s="1028"/>
      <c r="FO35" s="1028"/>
      <c r="FP35" s="1029"/>
      <c r="FQ35" s="1028"/>
      <c r="FR35" s="1028"/>
      <c r="FS35" s="1028"/>
      <c r="FT35" s="1028"/>
      <c r="FU35" s="1029"/>
      <c r="FV35" s="1028"/>
      <c r="FW35" s="1028"/>
      <c r="FX35" s="1028"/>
      <c r="FY35" s="1028"/>
      <c r="FZ35" s="1029"/>
      <c r="GA35" s="1028"/>
      <c r="GB35" s="1028"/>
      <c r="GC35" s="1028"/>
      <c r="GD35" s="1028"/>
      <c r="GE35" s="1029"/>
      <c r="GF35" s="1028"/>
      <c r="GG35" s="1028"/>
      <c r="GH35" s="1028"/>
      <c r="GI35" s="1028"/>
      <c r="GJ35" s="1029"/>
    </row>
    <row r="36" spans="1:192" ht="12.75" customHeight="1">
      <c r="B36" s="621" t="s">
        <v>459</v>
      </c>
      <c r="C36" s="624"/>
      <c r="D36" s="624"/>
      <c r="E36" s="624"/>
      <c r="F36" s="624"/>
      <c r="G36" s="622"/>
      <c r="H36" s="624"/>
      <c r="I36" s="624"/>
      <c r="J36" s="624"/>
      <c r="K36" s="624"/>
      <c r="L36" s="622"/>
      <c r="M36" s="624"/>
      <c r="N36" s="624"/>
      <c r="O36" s="624"/>
      <c r="P36" s="624"/>
      <c r="Q36" s="622"/>
      <c r="R36" s="981"/>
      <c r="S36" s="981"/>
      <c r="T36" s="981"/>
      <c r="U36" s="981"/>
      <c r="V36" s="622"/>
      <c r="W36" s="981"/>
      <c r="X36" s="981"/>
      <c r="Y36" s="981"/>
      <c r="Z36" s="981"/>
      <c r="AA36" s="622"/>
      <c r="AB36" s="981"/>
      <c r="AC36" s="981"/>
      <c r="AD36" s="981"/>
      <c r="AE36" s="981"/>
      <c r="AF36" s="622"/>
      <c r="AG36" s="981"/>
      <c r="AH36" s="981"/>
      <c r="AI36" s="981"/>
      <c r="AJ36" s="981"/>
      <c r="AK36" s="622"/>
      <c r="AL36" s="624"/>
      <c r="AM36" s="624"/>
      <c r="AN36" s="624"/>
      <c r="AO36" s="624"/>
      <c r="AP36" s="622"/>
      <c r="AQ36" s="624"/>
      <c r="AR36" s="624"/>
      <c r="AS36" s="624"/>
      <c r="AT36" s="624"/>
      <c r="AU36" s="622"/>
      <c r="AV36" s="624"/>
      <c r="AW36" s="624"/>
      <c r="AX36" s="624"/>
      <c r="AY36" s="624"/>
      <c r="AZ36" s="622"/>
      <c r="BA36" s="624"/>
      <c r="BB36" s="624"/>
      <c r="BC36" s="624"/>
      <c r="BD36" s="624"/>
      <c r="BE36" s="622"/>
      <c r="BF36" s="624"/>
      <c r="BG36" s="624"/>
      <c r="BH36" s="624"/>
      <c r="BI36" s="624"/>
      <c r="BJ36" s="622"/>
      <c r="BK36" s="624"/>
      <c r="BL36" s="624"/>
      <c r="BM36" s="624"/>
      <c r="BN36" s="624"/>
      <c r="BO36" s="622"/>
      <c r="BP36" s="624"/>
      <c r="BQ36" s="624"/>
      <c r="BR36" s="624"/>
      <c r="BS36" s="624"/>
      <c r="BT36" s="622"/>
      <c r="BU36" s="1062"/>
      <c r="BV36" s="1062"/>
      <c r="BW36" s="1062"/>
      <c r="BX36" s="1062"/>
      <c r="BY36" s="1063"/>
      <c r="BZ36" s="1062"/>
      <c r="CA36" s="1062"/>
      <c r="CB36" s="1062"/>
      <c r="CC36" s="1062"/>
      <c r="CD36" s="1063"/>
      <c r="CE36" s="1062"/>
      <c r="CF36" s="1062"/>
      <c r="CG36" s="1062"/>
      <c r="CH36" s="1062"/>
      <c r="CI36" s="1063"/>
      <c r="CJ36" s="1062">
        <f t="shared" ref="CJ36:DO36" si="89">CJ10/CJ30</f>
      </c>
      <c r="CK36" s="1062">
        <f t="shared" si="89"/>
      </c>
      <c r="CL36" s="1062">
        <f t="shared" si="89"/>
      </c>
      <c r="CM36" s="1062">
        <f t="shared" si="89"/>
      </c>
      <c r="CN36" s="1063">
        <f t="shared" si="89"/>
      </c>
      <c r="CO36" s="1062">
        <f t="shared" si="89"/>
      </c>
      <c r="CP36" s="1062">
        <f t="shared" si="89"/>
      </c>
      <c r="CQ36" s="1062">
        <f t="shared" si="89"/>
      </c>
      <c r="CR36" s="1062">
        <f t="shared" si="89"/>
      </c>
      <c r="CS36" s="1063">
        <f t="shared" si="89"/>
      </c>
      <c r="CT36" s="1062">
        <f t="shared" si="89"/>
      </c>
      <c r="CU36" s="1062">
        <f t="shared" si="89"/>
      </c>
      <c r="CV36" s="1062">
        <f t="shared" si="89"/>
      </c>
      <c r="CW36" s="1062">
        <f t="shared" si="89"/>
      </c>
      <c r="CX36" s="1063">
        <f t="shared" si="89"/>
      </c>
      <c r="CY36" s="1062">
        <f t="shared" si="89"/>
      </c>
      <c r="CZ36" s="1062">
        <f t="shared" si="89"/>
      </c>
      <c r="DA36" s="1062">
        <f t="shared" si="89"/>
      </c>
      <c r="DB36" s="1062">
        <f t="shared" si="89"/>
      </c>
      <c r="DC36" s="1063">
        <f t="shared" si="89"/>
      </c>
      <c r="DD36" s="1062">
        <f t="shared" si="89"/>
      </c>
      <c r="DE36" s="1062">
        <f t="shared" si="89"/>
      </c>
      <c r="DF36" s="1062">
        <f t="shared" si="89"/>
      </c>
      <c r="DG36" s="1062">
        <f t="shared" si="89"/>
      </c>
      <c r="DH36" s="1063">
        <f t="shared" si="89"/>
      </c>
      <c r="DI36" s="1062">
        <f t="shared" si="89"/>
      </c>
      <c r="DJ36" s="1062">
        <f t="shared" si="89"/>
      </c>
      <c r="DK36" s="1062">
        <f t="shared" si="89"/>
      </c>
      <c r="DL36" s="1062">
        <f t="shared" si="89"/>
      </c>
      <c r="DM36" s="1063">
        <f t="shared" si="89"/>
      </c>
      <c r="DN36" s="1062">
        <f t="shared" si="89"/>
      </c>
      <c r="DO36" s="1062">
        <f t="shared" si="89"/>
      </c>
      <c r="DP36" s="1062">
        <f t="shared" ref="DP36:EU36" si="90">DP10/DP30</f>
      </c>
      <c r="DQ36" s="1062">
        <f t="shared" si="90"/>
      </c>
      <c r="DR36" s="1063">
        <f t="shared" si="90"/>
      </c>
      <c r="DS36" s="1062">
        <f t="shared" si="90"/>
      </c>
      <c r="DT36" s="1062">
        <f t="shared" si="90"/>
      </c>
      <c r="DU36" s="1062">
        <f t="shared" si="90"/>
      </c>
      <c r="DV36" s="1062">
        <f t="shared" si="90"/>
      </c>
      <c r="DW36" s="1063">
        <f t="shared" si="90"/>
      </c>
      <c r="DX36" s="1062">
        <f t="shared" si="90"/>
      </c>
      <c r="DY36" s="1062">
        <f t="shared" si="90"/>
      </c>
      <c r="DZ36" s="1062">
        <f t="shared" si="90"/>
      </c>
      <c r="EA36" s="1062">
        <f t="shared" si="90"/>
      </c>
      <c r="EB36" s="1063">
        <f t="shared" si="90"/>
      </c>
      <c r="EC36" s="1062">
        <f t="shared" si="90"/>
      </c>
      <c r="ED36" s="1062">
        <f t="shared" si="90"/>
      </c>
      <c r="EE36" s="1062">
        <f t="shared" si="90"/>
      </c>
      <c r="EF36" s="1062">
        <f t="shared" si="90"/>
      </c>
      <c r="EG36" s="1063">
        <f t="shared" si="90"/>
      </c>
      <c r="EH36" s="1062">
        <f t="shared" si="90"/>
      </c>
      <c r="EI36" s="1062">
        <f t="shared" si="90"/>
      </c>
      <c r="EJ36" s="1062">
        <f t="shared" si="90"/>
      </c>
      <c r="EK36" s="1062">
        <f t="shared" si="90"/>
      </c>
      <c r="EL36" s="1063">
        <f t="shared" si="90"/>
      </c>
      <c r="EM36" s="1062">
        <f t="shared" si="90"/>
      </c>
      <c r="EN36" s="1062">
        <f t="shared" si="90"/>
      </c>
      <c r="EO36" s="1062">
        <f t="shared" si="90"/>
      </c>
      <c r="EP36" s="1062">
        <f t="shared" si="90"/>
      </c>
      <c r="EQ36" s="1063">
        <f t="shared" si="90"/>
      </c>
      <c r="ER36" s="1062">
        <f t="shared" si="90"/>
      </c>
      <c r="ES36" s="1062">
        <f t="shared" si="90"/>
      </c>
      <c r="ET36" s="1062">
        <f t="shared" si="90"/>
      </c>
      <c r="EU36" s="1062">
        <f t="shared" si="90"/>
      </c>
      <c r="EV36" s="1063">
        <f t="shared" ref="EV36:GE36" si="91">EV10/EV30</f>
      </c>
      <c r="EW36" s="1062">
        <f t="shared" si="91"/>
      </c>
      <c r="EX36" s="1062">
        <f t="shared" si="91"/>
      </c>
      <c r="EY36" s="1062">
        <f t="shared" si="91"/>
      </c>
      <c r="EZ36" s="1062">
        <f t="shared" si="91"/>
      </c>
      <c r="FA36" s="1063">
        <f t="shared" ref="FA36" si="92">FA10/FA30</f>
      </c>
      <c r="FB36" s="1062">
        <f t="shared" si="91"/>
      </c>
      <c r="FC36" s="1062">
        <f t="shared" si="91"/>
      </c>
      <c r="FD36" s="1062">
        <f t="shared" si="91"/>
      </c>
      <c r="FE36" s="1062">
        <f t="shared" si="91"/>
      </c>
      <c r="FF36" s="1063">
        <f t="shared" si="91"/>
      </c>
      <c r="FG36" s="1062">
        <f t="shared" si="91"/>
      </c>
      <c r="FH36" s="1062">
        <f t="shared" si="91"/>
      </c>
      <c r="FI36" s="1062">
        <f t="shared" si="91"/>
      </c>
      <c r="FJ36" s="1062">
        <f t="shared" si="91"/>
      </c>
      <c r="FK36" s="1063">
        <f t="shared" si="91"/>
      </c>
      <c r="FL36" s="1062">
        <f t="shared" si="91"/>
      </c>
      <c r="FM36" s="1062">
        <f t="shared" si="91"/>
      </c>
      <c r="FN36" s="1062">
        <f t="shared" si="91"/>
      </c>
      <c r="FO36" s="1062">
        <f t="shared" si="91"/>
      </c>
      <c r="FP36" s="1063">
        <f t="shared" si="91"/>
      </c>
      <c r="FQ36" s="1062">
        <f t="shared" si="91"/>
      </c>
      <c r="FR36" s="1062">
        <f t="shared" si="91"/>
      </c>
      <c r="FS36" s="1062">
        <f t="shared" si="91"/>
      </c>
      <c r="FT36" s="1062">
        <f t="shared" si="91"/>
      </c>
      <c r="FU36" s="1063">
        <f t="shared" si="91"/>
      </c>
      <c r="FV36" s="1062">
        <f t="shared" si="91"/>
      </c>
      <c r="FW36" s="1062">
        <f t="shared" si="91"/>
      </c>
      <c r="FX36" s="1062">
        <f t="shared" si="91"/>
      </c>
      <c r="FY36" s="1062">
        <f t="shared" si="91"/>
      </c>
      <c r="FZ36" s="1063">
        <f t="shared" si="91"/>
      </c>
      <c r="GA36" s="1062">
        <f t="shared" si="91"/>
      </c>
      <c r="GB36" s="1062">
        <f t="shared" si="91"/>
      </c>
      <c r="GC36" s="1062">
        <f t="shared" si="91"/>
      </c>
      <c r="GD36" s="1062">
        <f t="shared" si="91"/>
      </c>
      <c r="GE36" s="1063">
        <f t="shared" si="91"/>
      </c>
      <c r="GF36" s="1062">
        <f t="shared" ref="GF36:GJ36" si="93">GF10/GF30</f>
      </c>
      <c r="GG36" s="1062">
        <f t="shared" si="93"/>
      </c>
      <c r="GH36" s="1062">
        <f t="shared" si="93"/>
      </c>
      <c r="GI36" s="1062">
        <f t="shared" si="93"/>
      </c>
      <c r="GJ36" s="1063">
        <f t="shared" si="93"/>
      </c>
    </row>
    <row r="37" spans="1:192" s="1031" customFormat="1" ht="12.75" customHeight="1">
      <c r="A37" s="1027"/>
      <c r="B37" s="727" t="s">
        <v>460</v>
      </c>
      <c r="C37" s="1028"/>
      <c r="D37" s="1028"/>
      <c r="E37" s="1028"/>
      <c r="F37" s="1028"/>
      <c r="G37" s="1029"/>
      <c r="H37" s="1028"/>
      <c r="I37" s="1028"/>
      <c r="J37" s="1028"/>
      <c r="K37" s="1028"/>
      <c r="L37" s="1029"/>
      <c r="M37" s="1028"/>
      <c r="N37" s="1028"/>
      <c r="O37" s="1028"/>
      <c r="P37" s="1028"/>
      <c r="Q37" s="1029"/>
      <c r="R37" s="1030"/>
      <c r="S37" s="1030"/>
      <c r="T37" s="1030"/>
      <c r="U37" s="1030"/>
      <c r="V37" s="1029"/>
      <c r="W37" s="1030"/>
      <c r="X37" s="1030"/>
      <c r="Y37" s="1030"/>
      <c r="Z37" s="1030"/>
      <c r="AA37" s="1029"/>
      <c r="AB37" s="1030"/>
      <c r="AC37" s="1030"/>
      <c r="AD37" s="1030"/>
      <c r="AE37" s="1030"/>
      <c r="AF37" s="1029"/>
      <c r="AG37" s="1030"/>
      <c r="AH37" s="1030"/>
      <c r="AI37" s="1030"/>
      <c r="AJ37" s="1030"/>
      <c r="AK37" s="1029"/>
      <c r="AL37" s="1028"/>
      <c r="AM37" s="1028"/>
      <c r="AN37" s="1028"/>
      <c r="AO37" s="1028"/>
      <c r="AP37" s="1029"/>
      <c r="AQ37" s="1028"/>
      <c r="AR37" s="1028"/>
      <c r="AS37" s="1028"/>
      <c r="AT37" s="1028"/>
      <c r="AU37" s="1029"/>
      <c r="AV37" s="1028"/>
      <c r="AW37" s="1028"/>
      <c r="AX37" s="1028"/>
      <c r="AY37" s="1028"/>
      <c r="AZ37" s="1029"/>
      <c r="BA37" s="1028"/>
      <c r="BB37" s="1028"/>
      <c r="BC37" s="1028"/>
      <c r="BD37" s="1028"/>
      <c r="BE37" s="1029"/>
      <c r="BF37" s="1028"/>
      <c r="BG37" s="1028"/>
      <c r="BH37" s="1028"/>
      <c r="BI37" s="1028"/>
      <c r="BJ37" s="1029"/>
      <c r="BK37" s="1028"/>
      <c r="BL37" s="1028"/>
      <c r="BM37" s="1028"/>
      <c r="BN37" s="1028"/>
      <c r="BO37" s="1029"/>
      <c r="BP37" s="1028"/>
      <c r="BQ37" s="1028"/>
      <c r="BR37" s="1028"/>
      <c r="BS37" s="1028"/>
      <c r="BT37" s="1029"/>
      <c r="BU37" s="1028"/>
      <c r="BV37" s="1028"/>
      <c r="BW37" s="1028"/>
      <c r="BX37" s="1028"/>
      <c r="BY37" s="1029"/>
      <c r="BZ37" s="1028"/>
      <c r="CA37" s="1028"/>
      <c r="CB37" s="1028"/>
      <c r="CC37" s="1028"/>
      <c r="CD37" s="1029"/>
      <c r="CE37" s="1028"/>
      <c r="CF37" s="1028"/>
      <c r="CG37" s="1028"/>
      <c r="CH37" s="1028"/>
      <c r="CI37" s="1029"/>
      <c r="CJ37" s="1028">
        <f t="shared" ref="CJ37:DO37" si="94">CJ10/CO30</f>
      </c>
      <c r="CK37" s="1028">
        <f t="shared" si="94"/>
      </c>
      <c r="CL37" s="1028">
        <f t="shared" si="94"/>
      </c>
      <c r="CM37" s="1028">
        <f t="shared" si="94"/>
      </c>
      <c r="CN37" s="1029">
        <f t="shared" si="94"/>
      </c>
      <c r="CO37" s="1028">
        <f t="shared" si="94"/>
      </c>
      <c r="CP37" s="1028">
        <f t="shared" si="94"/>
      </c>
      <c r="CQ37" s="1028">
        <f t="shared" si="94"/>
      </c>
      <c r="CR37" s="1028">
        <f t="shared" si="94"/>
      </c>
      <c r="CS37" s="1029">
        <f t="shared" si="94"/>
      </c>
      <c r="CT37" s="1028">
        <f t="shared" si="94"/>
      </c>
      <c r="CU37" s="1028">
        <f t="shared" si="94"/>
      </c>
      <c r="CV37" s="1028">
        <f t="shared" si="94"/>
      </c>
      <c r="CW37" s="1028">
        <f t="shared" si="94"/>
      </c>
      <c r="CX37" s="1029">
        <f t="shared" si="94"/>
      </c>
      <c r="CY37" s="1028">
        <f t="shared" si="94"/>
      </c>
      <c r="CZ37" s="1028">
        <f t="shared" si="94"/>
      </c>
      <c r="DA37" s="1028">
        <f t="shared" si="94"/>
      </c>
      <c r="DB37" s="1028">
        <f t="shared" si="94"/>
      </c>
      <c r="DC37" s="1029">
        <f t="shared" si="94"/>
      </c>
      <c r="DD37" s="1028">
        <f t="shared" si="94"/>
      </c>
      <c r="DE37" s="1028">
        <f t="shared" si="94"/>
      </c>
      <c r="DF37" s="1028">
        <f t="shared" si="94"/>
      </c>
      <c r="DG37" s="1028">
        <f t="shared" si="94"/>
      </c>
      <c r="DH37" s="1029">
        <f t="shared" si="94"/>
      </c>
      <c r="DI37" s="1028">
        <f t="shared" si="94"/>
      </c>
      <c r="DJ37" s="1028">
        <f t="shared" si="94"/>
      </c>
      <c r="DK37" s="1028">
        <f t="shared" si="94"/>
      </c>
      <c r="DL37" s="1028">
        <f t="shared" si="94"/>
      </c>
      <c r="DM37" s="1029">
        <f t="shared" si="94"/>
      </c>
      <c r="DN37" s="1028">
        <f t="shared" si="94"/>
      </c>
      <c r="DO37" s="1028">
        <f t="shared" si="94"/>
      </c>
      <c r="DP37" s="1028">
        <f t="shared" ref="DP37:EY37" si="95">DP10/DU30</f>
      </c>
      <c r="DQ37" s="1028">
        <f t="shared" si="95"/>
      </c>
      <c r="DR37" s="1029">
        <f t="shared" si="95"/>
      </c>
      <c r="DS37" s="1028">
        <f t="shared" si="95"/>
      </c>
      <c r="DT37" s="1028">
        <f t="shared" si="95"/>
      </c>
      <c r="DU37" s="1028">
        <f t="shared" si="95"/>
      </c>
      <c r="DV37" s="1028">
        <f t="shared" si="95"/>
      </c>
      <c r="DW37" s="1029">
        <f t="shared" si="95"/>
      </c>
      <c r="DX37" s="1028">
        <f t="shared" si="95"/>
      </c>
      <c r="DY37" s="1028">
        <f t="shared" si="95"/>
      </c>
      <c r="DZ37" s="1028">
        <f t="shared" si="95"/>
      </c>
      <c r="EA37" s="1028">
        <f t="shared" si="95"/>
      </c>
      <c r="EB37" s="1029">
        <f t="shared" si="95"/>
      </c>
      <c r="EC37" s="1028">
        <f t="shared" si="95"/>
      </c>
      <c r="ED37" s="1028">
        <f t="shared" si="95"/>
      </c>
      <c r="EE37" s="1028">
        <f t="shared" si="95"/>
      </c>
      <c r="EF37" s="1028">
        <f t="shared" si="95"/>
      </c>
      <c r="EG37" s="1029">
        <f t="shared" si="95"/>
      </c>
      <c r="EH37" s="1028">
        <f t="shared" si="95"/>
      </c>
      <c r="EI37" s="1028">
        <f t="shared" si="95"/>
      </c>
      <c r="EJ37" s="1028">
        <f t="shared" si="95"/>
      </c>
      <c r="EK37" s="1028">
        <f t="shared" si="95"/>
      </c>
      <c r="EL37" s="1029">
        <f t="shared" si="95"/>
      </c>
      <c r="EM37" s="1028">
        <f t="shared" si="95"/>
      </c>
      <c r="EN37" s="1028">
        <f t="shared" si="95"/>
      </c>
      <c r="EO37" s="1028">
        <f t="shared" si="95"/>
      </c>
      <c r="EP37" s="1028">
        <f t="shared" si="95"/>
      </c>
      <c r="EQ37" s="1029">
        <f t="shared" si="95"/>
      </c>
      <c r="ER37" s="1028">
        <f t="shared" si="95"/>
      </c>
      <c r="ES37" s="1028">
        <f t="shared" si="95"/>
      </c>
      <c r="ET37" s="1028">
        <f t="shared" si="95"/>
      </c>
      <c r="EU37" s="1028">
        <f t="shared" si="95"/>
      </c>
      <c r="EV37" s="1029">
        <f t="shared" ref="EV37:FU37" si="96">EV10/FA30</f>
      </c>
      <c r="EW37" s="1028">
        <f t="shared" si="95"/>
      </c>
      <c r="EX37" s="1028">
        <f t="shared" si="95"/>
      </c>
      <c r="EY37" s="1028">
        <f t="shared" si="95"/>
      </c>
      <c r="EZ37" s="1028">
        <f t="shared" ref="EZ37" si="97">EZ10/FE30</f>
      </c>
      <c r="FA37" s="1029">
        <f t="shared" ref="FA37" si="98">FA10/FF30</f>
      </c>
      <c r="FB37" s="1028">
        <f t="shared" si="96"/>
      </c>
      <c r="FC37" s="1028">
        <f t="shared" si="96"/>
      </c>
      <c r="FD37" s="1028">
        <f t="shared" si="96"/>
      </c>
      <c r="FE37" s="1028">
        <f t="shared" si="96"/>
      </c>
      <c r="FF37" s="1029">
        <f t="shared" si="96"/>
      </c>
      <c r="FG37" s="1028">
        <f t="shared" si="96"/>
      </c>
      <c r="FH37" s="1028">
        <f t="shared" si="96"/>
      </c>
      <c r="FI37" s="1028">
        <f t="shared" si="96"/>
      </c>
      <c r="FJ37" s="1028">
        <f t="shared" si="96"/>
      </c>
      <c r="FK37" s="1029">
        <f t="shared" si="96"/>
      </c>
      <c r="FL37" s="1028">
        <f t="shared" si="96"/>
      </c>
      <c r="FM37" s="1028">
        <f t="shared" si="96"/>
      </c>
      <c r="FN37" s="1028">
        <f t="shared" si="96"/>
      </c>
      <c r="FO37" s="1028">
        <f t="shared" si="96"/>
      </c>
      <c r="FP37" s="1029">
        <f t="shared" si="96"/>
      </c>
      <c r="FQ37" s="1028">
        <f t="shared" si="96"/>
      </c>
      <c r="FR37" s="1028">
        <f t="shared" si="96"/>
      </c>
      <c r="FS37" s="1028">
        <f t="shared" si="96"/>
      </c>
      <c r="FT37" s="1028">
        <f t="shared" si="96"/>
      </c>
      <c r="FU37" s="1029">
        <f t="shared" si="96"/>
      </c>
      <c r="FV37" s="1028"/>
      <c r="FW37" s="1028"/>
      <c r="FX37" s="1028"/>
      <c r="FY37" s="1028"/>
      <c r="FZ37" s="1029"/>
      <c r="GA37" s="1028"/>
      <c r="GB37" s="1028"/>
      <c r="GC37" s="1028"/>
      <c r="GD37" s="1028"/>
      <c r="GE37" s="1029"/>
      <c r="GF37" s="1028"/>
      <c r="GG37" s="1028"/>
      <c r="GH37" s="1028"/>
      <c r="GI37" s="1028"/>
      <c r="GJ37" s="1029"/>
    </row>
    <row r="38" spans="1:192" s="1031" customFormat="1" ht="12.75" customHeight="1">
      <c r="A38" s="1027"/>
      <c r="B38" s="727"/>
      <c r="C38" s="1028"/>
      <c r="D38" s="1028"/>
      <c r="E38" s="1028"/>
      <c r="F38" s="1028"/>
      <c r="G38" s="1029"/>
      <c r="H38" s="1028"/>
      <c r="I38" s="1028"/>
      <c r="J38" s="1028"/>
      <c r="K38" s="1028"/>
      <c r="L38" s="1029"/>
      <c r="M38" s="1028"/>
      <c r="N38" s="1028"/>
      <c r="O38" s="1028"/>
      <c r="P38" s="1028"/>
      <c r="Q38" s="1029"/>
      <c r="R38" s="1030"/>
      <c r="S38" s="1030"/>
      <c r="T38" s="1030"/>
      <c r="U38" s="1030"/>
      <c r="V38" s="1029"/>
      <c r="W38" s="1030"/>
      <c r="X38" s="1030"/>
      <c r="Y38" s="1030"/>
      <c r="Z38" s="1030"/>
      <c r="AA38" s="1029"/>
      <c r="AB38" s="1030"/>
      <c r="AC38" s="1030"/>
      <c r="AD38" s="1030"/>
      <c r="AE38" s="1030"/>
      <c r="AF38" s="1029"/>
      <c r="AG38" s="1030"/>
      <c r="AH38" s="1030"/>
      <c r="AI38" s="1030"/>
      <c r="AJ38" s="1030"/>
      <c r="AK38" s="1029"/>
      <c r="AL38" s="1028"/>
      <c r="AM38" s="1028"/>
      <c r="AN38" s="1028"/>
      <c r="AO38" s="1028"/>
      <c r="AP38" s="1029"/>
      <c r="AQ38" s="1028"/>
      <c r="AR38" s="1028"/>
      <c r="AS38" s="1028"/>
      <c r="AT38" s="1028"/>
      <c r="AU38" s="1029"/>
      <c r="AV38" s="1028"/>
      <c r="AW38" s="1028"/>
      <c r="AX38" s="1028"/>
      <c r="AY38" s="1028"/>
      <c r="AZ38" s="1029"/>
      <c r="BA38" s="1028"/>
      <c r="BB38" s="1028"/>
      <c r="BC38" s="1028"/>
      <c r="BD38" s="1028"/>
      <c r="BE38" s="1029"/>
      <c r="BF38" s="1028"/>
      <c r="BG38" s="1028"/>
      <c r="BH38" s="1028"/>
      <c r="BI38" s="1028"/>
      <c r="BJ38" s="1029"/>
      <c r="BK38" s="1028"/>
      <c r="BL38" s="1028"/>
      <c r="BM38" s="1028"/>
      <c r="BN38" s="1028"/>
      <c r="BO38" s="1029"/>
      <c r="BP38" s="1028"/>
      <c r="BQ38" s="1028"/>
      <c r="BR38" s="1028"/>
      <c r="BS38" s="1028"/>
      <c r="BT38" s="1029"/>
      <c r="BU38" s="1039"/>
      <c r="BV38" s="1039"/>
      <c r="BW38" s="1039"/>
      <c r="BX38" s="1039"/>
      <c r="BY38" s="1040"/>
      <c r="BZ38" s="1039"/>
      <c r="CA38" s="1039"/>
      <c r="CB38" s="1039"/>
      <c r="CC38" s="1039"/>
      <c r="CD38" s="1040"/>
      <c r="CE38" s="1039"/>
      <c r="CF38" s="1039"/>
      <c r="CG38" s="1039"/>
      <c r="CH38" s="1039"/>
      <c r="CI38" s="1040"/>
      <c r="CJ38" s="1039"/>
      <c r="CK38" s="1039"/>
      <c r="CL38" s="1039"/>
      <c r="CM38" s="1039"/>
      <c r="CN38" s="1040"/>
      <c r="CO38" s="1039"/>
      <c r="CP38" s="1039"/>
      <c r="CQ38" s="1039"/>
      <c r="CR38" s="1039"/>
      <c r="CS38" s="1040"/>
      <c r="CT38" s="1039"/>
      <c r="CU38" s="1039"/>
      <c r="CV38" s="1039"/>
      <c r="CW38" s="1039"/>
      <c r="CX38" s="1040"/>
      <c r="CY38" s="1039"/>
      <c r="CZ38" s="1039"/>
      <c r="DA38" s="1039"/>
      <c r="DB38" s="1039"/>
      <c r="DC38" s="1040"/>
      <c r="DD38" s="1039"/>
      <c r="DE38" s="1039"/>
      <c r="DF38" s="1039"/>
      <c r="DG38" s="1039"/>
      <c r="DH38" s="1040"/>
      <c r="DI38" s="1039"/>
      <c r="DJ38" s="1039"/>
      <c r="DK38" s="1039"/>
      <c r="DL38" s="1039"/>
      <c r="DM38" s="1040"/>
      <c r="DN38" s="1039"/>
      <c r="DO38" s="1039"/>
      <c r="DP38" s="1039"/>
      <c r="DQ38" s="1039"/>
      <c r="DR38" s="1040"/>
      <c r="DS38" s="1039"/>
      <c r="DT38" s="1039"/>
      <c r="DU38" s="1039"/>
      <c r="DV38" s="1039"/>
      <c r="DW38" s="1040"/>
      <c r="DX38" s="1039"/>
      <c r="DY38" s="1039"/>
      <c r="DZ38" s="1039"/>
      <c r="EA38" s="1039"/>
      <c r="EB38" s="1040"/>
      <c r="EC38" s="1039"/>
      <c r="ED38" s="1039"/>
      <c r="EE38" s="1039"/>
      <c r="EF38" s="1039"/>
      <c r="EG38" s="1040"/>
      <c r="EH38" s="1039"/>
      <c r="EI38" s="1039"/>
      <c r="EJ38" s="1039"/>
      <c r="EK38" s="1039"/>
      <c r="EL38" s="1040"/>
      <c r="EM38" s="1039"/>
      <c r="EN38" s="1039"/>
      <c r="EO38" s="1039"/>
      <c r="EP38" s="1039"/>
      <c r="EQ38" s="1040"/>
      <c r="ER38" s="1039"/>
      <c r="ES38" s="1039"/>
      <c r="ET38" s="1039"/>
      <c r="EU38" s="1039"/>
      <c r="EV38" s="1040"/>
      <c r="EW38" s="1039"/>
      <c r="EX38" s="1039"/>
      <c r="EY38" s="1039"/>
      <c r="EZ38" s="1039"/>
      <c r="FA38" s="1040"/>
      <c r="FB38" s="1028"/>
      <c r="FC38" s="1028"/>
      <c r="FD38" s="1028"/>
      <c r="FE38" s="1028"/>
      <c r="FF38" s="1029"/>
      <c r="FG38" s="1028"/>
      <c r="FH38" s="1028"/>
      <c r="FI38" s="1028"/>
      <c r="FJ38" s="1028"/>
      <c r="FK38" s="1029"/>
      <c r="FL38" s="1028"/>
      <c r="FM38" s="1028"/>
      <c r="FN38" s="1028"/>
      <c r="FO38" s="1028"/>
      <c r="FP38" s="1029"/>
      <c r="FQ38" s="1028"/>
      <c r="FR38" s="1028"/>
      <c r="FS38" s="1028"/>
      <c r="FT38" s="1028"/>
      <c r="FU38" s="1029"/>
      <c r="FV38" s="1028"/>
      <c r="FW38" s="1028"/>
      <c r="FX38" s="1028"/>
      <c r="FY38" s="1028"/>
      <c r="FZ38" s="1029"/>
      <c r="GA38" s="1028"/>
      <c r="GB38" s="1028"/>
      <c r="GC38" s="1028"/>
      <c r="GD38" s="1028"/>
      <c r="GE38" s="1029"/>
      <c r="GF38" s="1028"/>
      <c r="GG38" s="1028"/>
      <c r="GH38" s="1028"/>
      <c r="GI38" s="1028"/>
      <c r="GJ38" s="1029"/>
    </row>
    <row r="39" spans="1:192" ht="12.75" customHeight="1">
      <c r="B39" s="621" t="s">
        <v>461</v>
      </c>
      <c r="C39" s="624"/>
      <c r="D39" s="624"/>
      <c r="E39" s="624"/>
      <c r="F39" s="624"/>
      <c r="G39" s="622"/>
      <c r="H39" s="624"/>
      <c r="I39" s="624"/>
      <c r="J39" s="624"/>
      <c r="K39" s="624"/>
      <c r="L39" s="622"/>
      <c r="M39" s="624"/>
      <c r="N39" s="624"/>
      <c r="O39" s="624"/>
      <c r="P39" s="624"/>
      <c r="Q39" s="622"/>
      <c r="R39" s="981"/>
      <c r="S39" s="981"/>
      <c r="T39" s="981"/>
      <c r="U39" s="981"/>
      <c r="V39" s="622"/>
      <c r="W39" s="981"/>
      <c r="X39" s="981"/>
      <c r="Y39" s="981"/>
      <c r="Z39" s="981"/>
      <c r="AA39" s="622"/>
      <c r="AB39" s="981"/>
      <c r="AC39" s="981"/>
      <c r="AD39" s="981"/>
      <c r="AE39" s="981"/>
      <c r="AF39" s="622"/>
      <c r="AG39" s="981"/>
      <c r="AH39" s="981"/>
      <c r="AI39" s="981"/>
      <c r="AJ39" s="981"/>
      <c r="AK39" s="622"/>
      <c r="AL39" s="624"/>
      <c r="AM39" s="624"/>
      <c r="AN39" s="624"/>
      <c r="AO39" s="624"/>
      <c r="AP39" s="622"/>
      <c r="AQ39" s="624"/>
      <c r="AR39" s="624"/>
      <c r="AS39" s="624"/>
      <c r="AT39" s="624"/>
      <c r="AU39" s="622"/>
      <c r="AV39" s="624"/>
      <c r="AW39" s="624"/>
      <c r="AX39" s="624"/>
      <c r="AY39" s="624"/>
      <c r="AZ39" s="622"/>
      <c r="BA39" s="624"/>
      <c r="BB39" s="624"/>
      <c r="BC39" s="624"/>
      <c r="BD39" s="624"/>
      <c r="BE39" s="622"/>
      <c r="BF39" s="624"/>
      <c r="BG39" s="624"/>
      <c r="BH39" s="624"/>
      <c r="BI39" s="624"/>
      <c r="BJ39" s="622"/>
      <c r="BK39" s="624"/>
      <c r="BL39" s="624"/>
      <c r="BM39" s="624"/>
      <c r="BN39" s="624"/>
      <c r="BO39" s="622"/>
      <c r="BP39" s="624"/>
      <c r="BQ39" s="624"/>
      <c r="BR39" s="624"/>
      <c r="BS39" s="624"/>
      <c r="BT39" s="622"/>
      <c r="BU39" s="1062"/>
      <c r="BV39" s="1062"/>
      <c r="BW39" s="1062"/>
      <c r="BX39" s="1062"/>
      <c r="BY39" s="1063"/>
      <c r="BZ39" s="1062"/>
      <c r="CA39" s="1062"/>
      <c r="CB39" s="1062"/>
      <c r="CC39" s="1062"/>
      <c r="CD39" s="1063"/>
      <c r="CE39" s="1062"/>
      <c r="CF39" s="1062"/>
      <c r="CG39" s="1062"/>
      <c r="CH39" s="1062"/>
      <c r="CI39" s="1063"/>
      <c r="CJ39" s="1062"/>
      <c r="CK39" s="1062"/>
      <c r="CL39" s="1062"/>
      <c r="CM39" s="1062"/>
      <c r="CN39" s="1063"/>
      <c r="CO39" s="1062"/>
      <c r="CP39" s="1062"/>
      <c r="CQ39" s="1062"/>
      <c r="CR39" s="1062"/>
      <c r="CS39" s="1063"/>
      <c r="CT39" s="1062"/>
      <c r="CU39" s="1062"/>
      <c r="CV39" s="1062"/>
      <c r="CW39" s="1062"/>
      <c r="CX39" s="1063"/>
      <c r="CY39" s="1062"/>
      <c r="CZ39" s="1062"/>
      <c r="DA39" s="1062"/>
      <c r="DB39" s="1062"/>
      <c r="DC39" s="1063"/>
      <c r="DD39" s="1062"/>
      <c r="DE39" s="1062"/>
      <c r="DF39" s="1062"/>
      <c r="DG39" s="1062"/>
      <c r="DH39" s="1063"/>
      <c r="DI39" s="1062">
        <f t="shared" ref="DI39:EN39" si="99">DI24/DI30</f>
      </c>
      <c r="DJ39" s="1062">
        <f t="shared" si="99"/>
      </c>
      <c r="DK39" s="1062">
        <f t="shared" si="99"/>
      </c>
      <c r="DL39" s="1062">
        <f t="shared" si="99"/>
      </c>
      <c r="DM39" s="1063">
        <f t="shared" si="99"/>
      </c>
      <c r="DN39" s="1062">
        <f t="shared" si="99"/>
      </c>
      <c r="DO39" s="1062">
        <f t="shared" si="99"/>
      </c>
      <c r="DP39" s="1062">
        <f t="shared" si="99"/>
      </c>
      <c r="DQ39" s="1062">
        <f t="shared" si="99"/>
      </c>
      <c r="DR39" s="1063">
        <f t="shared" si="99"/>
      </c>
      <c r="DS39" s="1062">
        <f t="shared" si="99"/>
      </c>
      <c r="DT39" s="1062">
        <f t="shared" si="99"/>
      </c>
      <c r="DU39" s="1062">
        <f t="shared" si="99"/>
      </c>
      <c r="DV39" s="1062">
        <f t="shared" si="99"/>
      </c>
      <c r="DW39" s="1063">
        <f t="shared" si="99"/>
      </c>
      <c r="DX39" s="1062">
        <f t="shared" si="99"/>
      </c>
      <c r="DY39" s="1062">
        <f t="shared" si="99"/>
      </c>
      <c r="DZ39" s="1062">
        <f t="shared" si="99"/>
      </c>
      <c r="EA39" s="1062">
        <f t="shared" si="99"/>
      </c>
      <c r="EB39" s="1063">
        <f t="shared" si="99"/>
      </c>
      <c r="EC39" s="1062">
        <f t="shared" si="99"/>
      </c>
      <c r="ED39" s="1062">
        <f t="shared" si="99"/>
      </c>
      <c r="EE39" s="1062">
        <f t="shared" si="99"/>
      </c>
      <c r="EF39" s="1062">
        <f t="shared" si="99"/>
      </c>
      <c r="EG39" s="1063">
        <f t="shared" si="99"/>
      </c>
      <c r="EH39" s="1062">
        <f t="shared" si="99"/>
      </c>
      <c r="EI39" s="1062">
        <f t="shared" si="99"/>
      </c>
      <c r="EJ39" s="1062">
        <f t="shared" si="99"/>
      </c>
      <c r="EK39" s="1062">
        <f t="shared" si="99"/>
      </c>
      <c r="EL39" s="1063">
        <f t="shared" si="99"/>
      </c>
      <c r="EM39" s="1062">
        <f t="shared" si="99"/>
      </c>
      <c r="EN39" s="1062">
        <f t="shared" si="99"/>
      </c>
      <c r="EO39" s="1062">
        <f t="shared" ref="EO39:FT39" si="100">EO24/EO30</f>
      </c>
      <c r="EP39" s="1062">
        <f t="shared" si="100"/>
      </c>
      <c r="EQ39" s="1063">
        <f t="shared" si="100"/>
      </c>
      <c r="ER39" s="1062">
        <f t="shared" si="100"/>
      </c>
      <c r="ES39" s="1062">
        <f t="shared" si="100"/>
      </c>
      <c r="ET39" s="1062">
        <f t="shared" si="100"/>
      </c>
      <c r="EU39" s="1062">
        <f t="shared" si="100"/>
      </c>
      <c r="EV39" s="1063">
        <f t="shared" si="100"/>
      </c>
      <c r="EW39" s="1062">
        <f t="shared" ref="EW39:FA39" si="101">EW24/EW30</f>
      </c>
      <c r="EX39" s="1062">
        <f t="shared" si="101"/>
      </c>
      <c r="EY39" s="1062">
        <f t="shared" si="101"/>
      </c>
      <c r="EZ39" s="1062">
        <f t="shared" si="101"/>
      </c>
      <c r="FA39" s="1063">
        <f t="shared" si="101"/>
      </c>
      <c r="FB39" s="1062">
        <f t="shared" si="100"/>
      </c>
      <c r="FC39" s="1062">
        <f t="shared" si="100"/>
      </c>
      <c r="FD39" s="1062">
        <f t="shared" si="100"/>
      </c>
      <c r="FE39" s="1062">
        <f t="shared" si="100"/>
      </c>
      <c r="FF39" s="1063">
        <f t="shared" si="100"/>
      </c>
      <c r="FG39" s="1062">
        <f t="shared" si="100"/>
      </c>
      <c r="FH39" s="1062">
        <f t="shared" si="100"/>
      </c>
      <c r="FI39" s="1062">
        <f t="shared" si="100"/>
      </c>
      <c r="FJ39" s="1062">
        <f t="shared" si="100"/>
      </c>
      <c r="FK39" s="1063">
        <f t="shared" si="100"/>
      </c>
      <c r="FL39" s="1062">
        <f t="shared" si="100"/>
      </c>
      <c r="FM39" s="1062">
        <f t="shared" si="100"/>
      </c>
      <c r="FN39" s="1062">
        <f t="shared" si="100"/>
      </c>
      <c r="FO39" s="1062">
        <f t="shared" si="100"/>
      </c>
      <c r="FP39" s="1063">
        <f t="shared" si="100"/>
      </c>
      <c r="FQ39" s="1062">
        <f t="shared" si="100"/>
      </c>
      <c r="FR39" s="1062">
        <f t="shared" si="100"/>
      </c>
      <c r="FS39" s="1062">
        <f t="shared" si="100"/>
      </c>
      <c r="FT39" s="1062">
        <f t="shared" si="100"/>
      </c>
      <c r="FU39" s="1063">
        <f t="shared" ref="FU39:GE39" si="102">FU24/FU30</f>
      </c>
      <c r="FV39" s="1062">
        <f t="shared" si="102"/>
      </c>
      <c r="FW39" s="1062">
        <f t="shared" si="102"/>
      </c>
      <c r="FX39" s="1062">
        <f t="shared" si="102"/>
      </c>
      <c r="FY39" s="1062">
        <f t="shared" si="102"/>
      </c>
      <c r="FZ39" s="1063">
        <f t="shared" si="102"/>
      </c>
      <c r="GA39" s="1062">
        <f t="shared" si="102"/>
      </c>
      <c r="GB39" s="1062">
        <f t="shared" si="102"/>
      </c>
      <c r="GC39" s="1062">
        <f t="shared" si="102"/>
      </c>
      <c r="GD39" s="1062">
        <f t="shared" si="102"/>
      </c>
      <c r="GE39" s="1063">
        <f t="shared" si="102"/>
      </c>
      <c r="GF39" s="1062">
        <f t="shared" ref="GF39:GJ39" si="103">GF24/GF30</f>
      </c>
      <c r="GG39" s="1062">
        <f t="shared" si="103"/>
      </c>
      <c r="GH39" s="1062">
        <f t="shared" si="103"/>
      </c>
      <c r="GI39" s="1062">
        <f t="shared" si="103"/>
      </c>
      <c r="GJ39" s="1063">
        <f t="shared" si="103"/>
      </c>
    </row>
    <row r="40" spans="1:192" s="1031" customFormat="1" ht="12.75" customHeight="1">
      <c r="A40" s="1027"/>
      <c r="B40" s="727" t="s">
        <v>462</v>
      </c>
      <c r="C40" s="1028"/>
      <c r="D40" s="1028"/>
      <c r="E40" s="1028"/>
      <c r="F40" s="1028"/>
      <c r="G40" s="1029"/>
      <c r="H40" s="1028"/>
      <c r="I40" s="1028"/>
      <c r="J40" s="1028"/>
      <c r="K40" s="1028"/>
      <c r="L40" s="1029"/>
      <c r="M40" s="1028"/>
      <c r="N40" s="1028"/>
      <c r="O40" s="1028"/>
      <c r="P40" s="1028"/>
      <c r="Q40" s="1029"/>
      <c r="R40" s="1030"/>
      <c r="S40" s="1030"/>
      <c r="T40" s="1030"/>
      <c r="U40" s="1030"/>
      <c r="V40" s="1029"/>
      <c r="W40" s="1030"/>
      <c r="X40" s="1030"/>
      <c r="Y40" s="1030"/>
      <c r="Z40" s="1030"/>
      <c r="AA40" s="1029"/>
      <c r="AB40" s="1030"/>
      <c r="AC40" s="1030"/>
      <c r="AD40" s="1030"/>
      <c r="AE40" s="1030"/>
      <c r="AF40" s="1029"/>
      <c r="AG40" s="1030"/>
      <c r="AH40" s="1030"/>
      <c r="AI40" s="1030"/>
      <c r="AJ40" s="1030"/>
      <c r="AK40" s="1029"/>
      <c r="AL40" s="1028"/>
      <c r="AM40" s="1028"/>
      <c r="AN40" s="1028"/>
      <c r="AO40" s="1028"/>
      <c r="AP40" s="1029"/>
      <c r="AQ40" s="1028"/>
      <c r="AR40" s="1028"/>
      <c r="AS40" s="1028"/>
      <c r="AT40" s="1028"/>
      <c r="AU40" s="1029"/>
      <c r="AV40" s="1028"/>
      <c r="AW40" s="1028"/>
      <c r="AX40" s="1028"/>
      <c r="AY40" s="1028"/>
      <c r="AZ40" s="1029"/>
      <c r="BA40" s="1028"/>
      <c r="BB40" s="1028"/>
      <c r="BC40" s="1028"/>
      <c r="BD40" s="1028"/>
      <c r="BE40" s="1029"/>
      <c r="BF40" s="1028"/>
      <c r="BG40" s="1028"/>
      <c r="BH40" s="1028"/>
      <c r="BI40" s="1028"/>
      <c r="BJ40" s="1029"/>
      <c r="BK40" s="1028"/>
      <c r="BL40" s="1028"/>
      <c r="BM40" s="1028"/>
      <c r="BN40" s="1028"/>
      <c r="BO40" s="1029"/>
      <c r="BP40" s="1028"/>
      <c r="BQ40" s="1028"/>
      <c r="BR40" s="1028"/>
      <c r="BS40" s="1028"/>
      <c r="BT40" s="1029"/>
      <c r="BU40" s="1028"/>
      <c r="BV40" s="1028"/>
      <c r="BW40" s="1028"/>
      <c r="BX40" s="1028"/>
      <c r="BY40" s="1029"/>
      <c r="BZ40" s="1028"/>
      <c r="CA40" s="1028"/>
      <c r="CB40" s="1028"/>
      <c r="CC40" s="1028"/>
      <c r="CD40" s="1029"/>
      <c r="CE40" s="1028"/>
      <c r="CF40" s="1028"/>
      <c r="CG40" s="1028"/>
      <c r="CH40" s="1028"/>
      <c r="CI40" s="1029"/>
      <c r="CJ40" s="1028"/>
      <c r="CK40" s="1028"/>
      <c r="CL40" s="1028"/>
      <c r="CM40" s="1028"/>
      <c r="CN40" s="1029"/>
      <c r="CO40" s="1028"/>
      <c r="CP40" s="1028"/>
      <c r="CQ40" s="1028"/>
      <c r="CR40" s="1028"/>
      <c r="CS40" s="1029"/>
      <c r="CT40" s="1028"/>
      <c r="CU40" s="1028"/>
      <c r="CV40" s="1028"/>
      <c r="CW40" s="1028"/>
      <c r="CX40" s="1029"/>
      <c r="CY40" s="1028"/>
      <c r="CZ40" s="1028"/>
      <c r="DA40" s="1028"/>
      <c r="DB40" s="1028"/>
      <c r="DC40" s="1029"/>
      <c r="DD40" s="1028"/>
      <c r="DE40" s="1028"/>
      <c r="DF40" s="1028"/>
      <c r="DG40" s="1028"/>
      <c r="DH40" s="1029"/>
      <c r="DI40" s="1028"/>
      <c r="DJ40" s="1028"/>
      <c r="DK40" s="1028"/>
      <c r="DL40" s="1028"/>
      <c r="DM40" s="1029"/>
      <c r="DN40" s="1028">
        <f t="shared" ref="DN40:ES40" si="104">DI24/DN30</f>
      </c>
      <c r="DO40" s="1028">
        <f t="shared" si="104"/>
      </c>
      <c r="DP40" s="1028">
        <f t="shared" si="104"/>
      </c>
      <c r="DQ40" s="1028">
        <f t="shared" si="104"/>
      </c>
      <c r="DR40" s="1029">
        <f t="shared" si="104"/>
      </c>
      <c r="DS40" s="1028">
        <f t="shared" si="104"/>
      </c>
      <c r="DT40" s="1028">
        <f t="shared" si="104"/>
      </c>
      <c r="DU40" s="1028">
        <f t="shared" si="104"/>
      </c>
      <c r="DV40" s="1028">
        <f t="shared" si="104"/>
      </c>
      <c r="DW40" s="1029">
        <f t="shared" si="104"/>
      </c>
      <c r="DX40" s="1028">
        <f t="shared" si="104"/>
      </c>
      <c r="DY40" s="1028">
        <f t="shared" si="104"/>
      </c>
      <c r="DZ40" s="1028">
        <f t="shared" si="104"/>
      </c>
      <c r="EA40" s="1028">
        <f t="shared" si="104"/>
      </c>
      <c r="EB40" s="1029">
        <f t="shared" si="104"/>
      </c>
      <c r="EC40" s="1028">
        <f t="shared" si="104"/>
      </c>
      <c r="ED40" s="1028">
        <f t="shared" si="104"/>
      </c>
      <c r="EE40" s="1028">
        <f t="shared" si="104"/>
      </c>
      <c r="EF40" s="1028">
        <f t="shared" si="104"/>
      </c>
      <c r="EG40" s="1029">
        <f t="shared" si="104"/>
      </c>
      <c r="EH40" s="1028">
        <f t="shared" si="104"/>
      </c>
      <c r="EI40" s="1028">
        <f t="shared" si="104"/>
      </c>
      <c r="EJ40" s="1028">
        <f t="shared" si="104"/>
      </c>
      <c r="EK40" s="1028">
        <f t="shared" si="104"/>
      </c>
      <c r="EL40" s="1029">
        <f t="shared" si="104"/>
      </c>
      <c r="EM40" s="1028">
        <f t="shared" si="104"/>
      </c>
      <c r="EN40" s="1028">
        <f t="shared" si="104"/>
      </c>
      <c r="EO40" s="1028">
        <f t="shared" si="104"/>
      </c>
      <c r="EP40" s="1028">
        <f t="shared" si="104"/>
      </c>
      <c r="EQ40" s="1029">
        <f t="shared" si="104"/>
      </c>
      <c r="ER40" s="1028">
        <f t="shared" si="104"/>
      </c>
      <c r="ES40" s="1028">
        <f t="shared" si="104"/>
      </c>
      <c r="ET40" s="1028">
        <f t="shared" ref="ET40:FY40" si="105">EO24/ET30</f>
      </c>
      <c r="EU40" s="1028">
        <f t="shared" si="105"/>
      </c>
      <c r="EV40" s="1029">
        <f t="shared" si="105"/>
      </c>
      <c r="EW40" s="1028">
        <f t="shared" si="105"/>
      </c>
      <c r="EX40" s="1028">
        <f t="shared" si="105"/>
      </c>
      <c r="EY40" s="1028">
        <f t="shared" si="105"/>
      </c>
      <c r="EZ40" s="1028">
        <f t="shared" ref="EZ40" si="106">EU24/EZ30</f>
      </c>
      <c r="FA40" s="1029">
        <f t="shared" ref="FA40" si="107">EV24/FA30</f>
      </c>
      <c r="FB40" s="1028">
        <f t="shared" si="105"/>
      </c>
      <c r="FC40" s="1028">
        <f t="shared" si="105"/>
      </c>
      <c r="FD40" s="1028">
        <f t="shared" si="105"/>
      </c>
      <c r="FE40" s="1028">
        <f t="shared" si="105"/>
      </c>
      <c r="FF40" s="1029">
        <f t="shared" si="105"/>
      </c>
      <c r="FG40" s="1028">
        <f t="shared" si="105"/>
      </c>
      <c r="FH40" s="1028">
        <f t="shared" si="105"/>
      </c>
      <c r="FI40" s="1028">
        <f t="shared" si="105"/>
      </c>
      <c r="FJ40" s="1028">
        <f t="shared" si="105"/>
      </c>
      <c r="FK40" s="1029">
        <f t="shared" si="105"/>
      </c>
      <c r="FL40" s="1028">
        <f t="shared" si="105"/>
      </c>
      <c r="FM40" s="1028">
        <f t="shared" si="105"/>
      </c>
      <c r="FN40" s="1028">
        <f t="shared" si="105"/>
      </c>
      <c r="FO40" s="1028">
        <f t="shared" si="105"/>
      </c>
      <c r="FP40" s="1029">
        <f t="shared" si="105"/>
      </c>
      <c r="FQ40" s="1028">
        <f t="shared" si="105"/>
      </c>
      <c r="FR40" s="1028">
        <f t="shared" si="105"/>
      </c>
      <c r="FS40" s="1028">
        <f t="shared" si="105"/>
      </c>
      <c r="FT40" s="1028">
        <f t="shared" si="105"/>
      </c>
      <c r="FU40" s="1029">
        <f t="shared" si="105"/>
      </c>
      <c r="FV40" s="1028">
        <f t="shared" si="105"/>
      </c>
      <c r="FW40" s="1028">
        <f t="shared" si="105"/>
      </c>
      <c r="FX40" s="1028">
        <f t="shared" si="105"/>
      </c>
      <c r="FY40" s="1028">
        <f t="shared" si="105"/>
      </c>
      <c r="FZ40" s="1029">
        <f t="shared" ref="FZ40:GE40" si="108">FU24/FZ30</f>
      </c>
      <c r="GA40" s="1028">
        <f t="shared" si="108"/>
      </c>
      <c r="GB40" s="1028">
        <f t="shared" si="108"/>
      </c>
      <c r="GC40" s="1028">
        <f t="shared" si="108"/>
      </c>
      <c r="GD40" s="1028">
        <f t="shared" si="108"/>
      </c>
      <c r="GE40" s="1029">
        <f t="shared" si="108"/>
      </c>
      <c r="GF40" s="1028">
        <f t="shared" ref="GF40" si="109">GA24/GF30</f>
      </c>
      <c r="GG40" s="1028">
        <f t="shared" ref="GG40" si="110">GB24/GG30</f>
      </c>
      <c r="GH40" s="1028">
        <f t="shared" ref="GH40" si="111">GC24/GH30</f>
      </c>
      <c r="GI40" s="1028">
        <f t="shared" ref="GI40" si="112">GD24/GI30</f>
      </c>
      <c r="GJ40" s="1029">
        <f t="shared" ref="GJ40" si="113">GE24/GJ30</f>
      </c>
    </row>
    <row r="41" spans="1:192" s="1031" customFormat="1" ht="12.75" customHeight="1">
      <c r="A41" s="1027"/>
      <c r="B41" s="727"/>
      <c r="C41" s="1028"/>
      <c r="D41" s="1028"/>
      <c r="E41" s="1028"/>
      <c r="F41" s="1028"/>
      <c r="G41" s="1029"/>
      <c r="H41" s="1028"/>
      <c r="I41" s="1028"/>
      <c r="J41" s="1028"/>
      <c r="K41" s="1028"/>
      <c r="L41" s="1029"/>
      <c r="M41" s="1028"/>
      <c r="N41" s="1028"/>
      <c r="O41" s="1028"/>
      <c r="P41" s="1028"/>
      <c r="Q41" s="1029"/>
      <c r="R41" s="1030"/>
      <c r="S41" s="1030"/>
      <c r="T41" s="1030"/>
      <c r="U41" s="1030"/>
      <c r="V41" s="1029"/>
      <c r="W41" s="1030"/>
      <c r="X41" s="1030"/>
      <c r="Y41" s="1030"/>
      <c r="Z41" s="1030"/>
      <c r="AA41" s="1029"/>
      <c r="AB41" s="1030"/>
      <c r="AC41" s="1030"/>
      <c r="AD41" s="1030"/>
      <c r="AE41" s="1030"/>
      <c r="AF41" s="1029"/>
      <c r="AG41" s="1030"/>
      <c r="AH41" s="1030"/>
      <c r="AI41" s="1030"/>
      <c r="AJ41" s="1030"/>
      <c r="AK41" s="1029"/>
      <c r="AL41" s="1028"/>
      <c r="AM41" s="1028"/>
      <c r="AN41" s="1028"/>
      <c r="AO41" s="1028"/>
      <c r="AP41" s="1029"/>
      <c r="AQ41" s="1028"/>
      <c r="AR41" s="1028"/>
      <c r="AS41" s="1028"/>
      <c r="AT41" s="1028"/>
      <c r="AU41" s="1029"/>
      <c r="AV41" s="1028"/>
      <c r="AW41" s="1028"/>
      <c r="AX41" s="1028"/>
      <c r="AY41" s="1028"/>
      <c r="AZ41" s="1029"/>
      <c r="BA41" s="1028"/>
      <c r="BB41" s="1028"/>
      <c r="BC41" s="1028"/>
      <c r="BD41" s="1028"/>
      <c r="BE41" s="1029"/>
      <c r="BF41" s="1028"/>
      <c r="BG41" s="1028"/>
      <c r="BH41" s="1028"/>
      <c r="BI41" s="1028"/>
      <c r="BJ41" s="1029"/>
      <c r="BK41" s="1028"/>
      <c r="BL41" s="1028"/>
      <c r="BM41" s="1028"/>
      <c r="BN41" s="1028"/>
      <c r="BO41" s="1029"/>
      <c r="BP41" s="1028"/>
      <c r="BQ41" s="1028"/>
      <c r="BR41" s="1028"/>
      <c r="BS41" s="1028"/>
      <c r="BT41" s="1029"/>
      <c r="BU41" s="1028"/>
      <c r="BV41" s="1028"/>
      <c r="BW41" s="1028"/>
      <c r="BX41" s="1028"/>
      <c r="BY41" s="1029"/>
      <c r="BZ41" s="1028"/>
      <c r="CA41" s="1028"/>
      <c r="CB41" s="1028"/>
      <c r="CC41" s="1028"/>
      <c r="CD41" s="1029"/>
      <c r="CE41" s="1028"/>
      <c r="CF41" s="1028"/>
      <c r="CG41" s="1028"/>
      <c r="CH41" s="1028"/>
      <c r="CI41" s="1029"/>
      <c r="CJ41" s="1028"/>
      <c r="CK41" s="1028"/>
      <c r="CL41" s="1028"/>
      <c r="CM41" s="1028"/>
      <c r="CN41" s="1029"/>
      <c r="CO41" s="1028"/>
      <c r="CP41" s="1028"/>
      <c r="CQ41" s="1028"/>
      <c r="CR41" s="1028"/>
      <c r="CS41" s="1029"/>
      <c r="CT41" s="1028"/>
      <c r="CU41" s="1028"/>
      <c r="CV41" s="1028"/>
      <c r="CW41" s="1028"/>
      <c r="CX41" s="1029"/>
      <c r="CY41" s="1028"/>
      <c r="CZ41" s="1028"/>
      <c r="DA41" s="1028"/>
      <c r="DB41" s="1028"/>
      <c r="DC41" s="1029"/>
      <c r="DD41" s="1028"/>
      <c r="DE41" s="1028"/>
      <c r="DF41" s="1028"/>
      <c r="DG41" s="1028"/>
      <c r="DH41" s="1029"/>
      <c r="DI41" s="1028"/>
      <c r="DJ41" s="1028"/>
      <c r="DK41" s="1028"/>
      <c r="DL41" s="1028"/>
      <c r="DM41" s="1029"/>
      <c r="DN41" s="1028"/>
      <c r="DO41" s="1028"/>
      <c r="DP41" s="1028"/>
      <c r="DQ41" s="1028"/>
      <c r="DR41" s="1029"/>
      <c r="DS41" s="1028"/>
      <c r="DT41" s="1028"/>
      <c r="DU41" s="1028"/>
      <c r="DV41" s="1028"/>
      <c r="DW41" s="1029"/>
      <c r="DX41" s="1028"/>
      <c r="DY41" s="1028"/>
      <c r="DZ41" s="1028"/>
      <c r="EA41" s="1028"/>
      <c r="EB41" s="1029"/>
      <c r="EC41" s="1028"/>
      <c r="ED41" s="1028"/>
      <c r="EE41" s="1028"/>
      <c r="EF41" s="1028"/>
      <c r="EG41" s="1029"/>
      <c r="EH41" s="1028"/>
      <c r="EI41" s="1028"/>
      <c r="EJ41" s="1028"/>
      <c r="EK41" s="1028"/>
      <c r="EL41" s="1029"/>
      <c r="EM41" s="1028"/>
      <c r="EN41" s="1028"/>
      <c r="EO41" s="1028"/>
      <c r="EP41" s="1028"/>
      <c r="EQ41" s="1029"/>
      <c r="ER41" s="1028"/>
      <c r="ES41" s="1028"/>
      <c r="ET41" s="1028"/>
      <c r="EU41" s="1028"/>
      <c r="EV41" s="1029"/>
      <c r="EW41" s="1028"/>
      <c r="EX41" s="1028"/>
      <c r="EY41" s="1028"/>
      <c r="EZ41" s="1028"/>
      <c r="FA41" s="1029"/>
      <c r="FB41" s="1028"/>
      <c r="FC41" s="1028"/>
      <c r="FD41" s="1028"/>
      <c r="FE41" s="1028"/>
      <c r="FF41" s="1029"/>
      <c r="FG41" s="1028"/>
      <c r="FH41" s="1028"/>
      <c r="FI41" s="1028"/>
      <c r="FJ41" s="1028"/>
      <c r="FK41" s="1029"/>
      <c r="FL41" s="1028"/>
      <c r="FM41" s="1028"/>
      <c r="FN41" s="1028"/>
      <c r="FO41" s="1028"/>
      <c r="FP41" s="1029"/>
      <c r="FQ41" s="1028"/>
      <c r="FR41" s="1028"/>
      <c r="FS41" s="1028"/>
      <c r="FT41" s="1028"/>
      <c r="FU41" s="1029"/>
      <c r="FV41" s="1028"/>
      <c r="FW41" s="1028"/>
      <c r="FX41" s="1028"/>
      <c r="FY41" s="1028"/>
      <c r="FZ41" s="1029"/>
      <c r="GA41" s="1028"/>
      <c r="GB41" s="1028"/>
      <c r="GC41" s="1028"/>
      <c r="GD41" s="1028"/>
      <c r="GE41" s="1029"/>
      <c r="GF41" s="1028"/>
      <c r="GG41" s="1028"/>
      <c r="GH41" s="1028"/>
      <c r="GI41" s="1028"/>
      <c r="GJ41" s="1029"/>
    </row>
    <row r="42" spans="1:192" s="1031" customFormat="1" ht="12.75" customHeight="1">
      <c r="A42" s="1027"/>
      <c r="B42" s="1516" t="s">
        <v>1961</v>
      </c>
      <c r="C42" s="1028"/>
      <c r="D42" s="1028"/>
      <c r="E42" s="1028"/>
      <c r="F42" s="1028"/>
      <c r="G42" s="1029"/>
      <c r="H42" s="1028"/>
      <c r="I42" s="1028"/>
      <c r="J42" s="1028"/>
      <c r="K42" s="1028"/>
      <c r="L42" s="1029"/>
      <c r="M42" s="1028"/>
      <c r="N42" s="1028"/>
      <c r="O42" s="1028"/>
      <c r="P42" s="1028"/>
      <c r="Q42" s="1029"/>
      <c r="R42" s="1030"/>
      <c r="S42" s="1030"/>
      <c r="T42" s="1030"/>
      <c r="U42" s="1030"/>
      <c r="V42" s="1029"/>
      <c r="W42" s="1030"/>
      <c r="X42" s="1030"/>
      <c r="Y42" s="1030"/>
      <c r="Z42" s="1030"/>
      <c r="AA42" s="1029"/>
      <c r="AB42" s="1030"/>
      <c r="AC42" s="1030"/>
      <c r="AD42" s="1030"/>
      <c r="AE42" s="1030"/>
      <c r="AF42" s="1029"/>
      <c r="AG42" s="1030"/>
      <c r="AH42" s="1030"/>
      <c r="AI42" s="1030"/>
      <c r="AJ42" s="1030"/>
      <c r="AK42" s="1029"/>
      <c r="AL42" s="1028"/>
      <c r="AM42" s="1028"/>
      <c r="AN42" s="1028"/>
      <c r="AO42" s="1028"/>
      <c r="AP42" s="1029"/>
      <c r="AQ42" s="1028"/>
      <c r="AR42" s="1028"/>
      <c r="AS42" s="1028"/>
      <c r="AT42" s="1028"/>
      <c r="AU42" s="1029"/>
      <c r="AV42" s="1028"/>
      <c r="AW42" s="1028"/>
      <c r="AX42" s="1028"/>
      <c r="AY42" s="1028"/>
      <c r="AZ42" s="1029"/>
      <c r="BA42" s="1028"/>
      <c r="BB42" s="1028"/>
      <c r="BC42" s="1028"/>
      <c r="BD42" s="1028"/>
      <c r="BE42" s="1029"/>
      <c r="BF42" s="1028"/>
      <c r="BG42" s="1028"/>
      <c r="BH42" s="1028"/>
      <c r="BI42" s="1028"/>
      <c r="BJ42" s="1029"/>
      <c r="BK42" s="1028"/>
      <c r="BL42" s="1028"/>
      <c r="BM42" s="1028"/>
      <c r="BN42" s="1028"/>
      <c r="BO42" s="1029"/>
      <c r="BP42" s="1028"/>
      <c r="BQ42" s="1028"/>
      <c r="BR42" s="1028"/>
      <c r="BS42" s="1028"/>
      <c r="BT42" s="1029"/>
      <c r="BU42" s="1028"/>
      <c r="BV42" s="1028"/>
      <c r="BW42" s="1028"/>
      <c r="BX42" s="1028"/>
      <c r="BY42" s="1029"/>
      <c r="BZ42" s="1028"/>
      <c r="CA42" s="1028"/>
      <c r="CB42" s="1028"/>
      <c r="CC42" s="1028"/>
      <c r="CD42" s="1029"/>
      <c r="CE42" s="1028"/>
      <c r="CF42" s="1028"/>
      <c r="CG42" s="1028"/>
      <c r="CH42" s="1028"/>
      <c r="CI42" s="1029"/>
      <c r="CJ42" s="1028"/>
      <c r="CK42" s="1028"/>
      <c r="CL42" s="1028"/>
      <c r="CM42" s="1028"/>
      <c r="CN42" s="1029"/>
      <c r="CO42" s="1028"/>
      <c r="CP42" s="1028"/>
      <c r="CQ42" s="1028"/>
      <c r="CR42" s="1028"/>
      <c r="CS42" s="1029"/>
      <c r="CT42" s="1028"/>
      <c r="CU42" s="1028"/>
      <c r="CV42" s="1028"/>
      <c r="CW42" s="1028"/>
      <c r="CX42" s="1029"/>
      <c r="CY42" s="1028"/>
      <c r="CZ42" s="1028"/>
      <c r="DA42" s="1028"/>
      <c r="DB42" s="1028"/>
      <c r="DC42" s="1029"/>
      <c r="DD42" s="1028"/>
      <c r="DE42" s="1028"/>
      <c r="DF42" s="1028"/>
      <c r="DG42" s="1028"/>
      <c r="DH42" s="1029"/>
      <c r="DI42" s="1028"/>
      <c r="DJ42" s="1028"/>
      <c r="DK42" s="1028"/>
      <c r="DL42" s="1028"/>
      <c r="DM42" s="1029"/>
      <c r="DN42" s="1028"/>
      <c r="DO42" s="1028"/>
      <c r="DP42" s="1028"/>
      <c r="DQ42" s="1028"/>
      <c r="DR42" s="1029"/>
      <c r="DS42" s="1028"/>
      <c r="DT42" s="1028"/>
      <c r="DU42" s="1028"/>
      <c r="DV42" s="1028"/>
      <c r="DW42" s="1029"/>
      <c r="DX42" s="1028"/>
      <c r="DY42" s="1028"/>
      <c r="DZ42" s="1028"/>
      <c r="EA42" s="1028"/>
      <c r="EB42" s="1029"/>
      <c r="EC42" s="1028"/>
      <c r="ED42" s="1028"/>
      <c r="EE42" s="1028"/>
      <c r="EF42" s="1028"/>
      <c r="EG42" s="1029"/>
      <c r="EH42" s="1028"/>
      <c r="EI42" s="1028"/>
      <c r="EJ42" s="1028"/>
      <c r="EK42" s="1028"/>
      <c r="EL42" s="1029"/>
      <c r="EM42" s="1028"/>
      <c r="EN42" s="1028"/>
      <c r="EO42" s="1028"/>
      <c r="EP42" s="1028"/>
      <c r="EQ42" s="1029"/>
      <c r="ER42" s="1028"/>
      <c r="ES42" s="1028"/>
      <c r="ET42" s="1028"/>
      <c r="EU42" s="1028"/>
      <c r="EV42" s="1029"/>
      <c r="EW42" s="1028"/>
      <c r="EX42" s="1028"/>
      <c r="EY42" s="1028"/>
      <c r="EZ42" s="1028"/>
      <c r="FA42" s="1029"/>
      <c r="FB42" s="1028"/>
      <c r="FC42" s="1028"/>
      <c r="FD42" s="1028"/>
      <c r="FE42" s="1028"/>
      <c r="FF42" s="1029"/>
      <c r="FG42" s="1028"/>
      <c r="FH42" s="1028"/>
      <c r="FI42" s="1028"/>
      <c r="FJ42" s="1028"/>
      <c r="FK42" s="1029"/>
      <c r="FL42" s="1028"/>
      <c r="FM42" s="1028"/>
      <c r="FN42" s="1028"/>
      <c r="FO42" s="1028"/>
      <c r="FP42" s="1029"/>
      <c r="FQ42" s="1028"/>
      <c r="FR42" s="1028"/>
      <c r="FS42" s="1028"/>
      <c r="FT42" s="1028"/>
      <c r="FU42" s="1029"/>
      <c r="FV42" s="1028"/>
      <c r="FW42" s="1028"/>
      <c r="FX42" s="1028"/>
      <c r="FY42" s="1028"/>
      <c r="FZ42" s="1029"/>
      <c r="GA42" s="1028"/>
      <c r="GB42" s="1028"/>
      <c r="GC42" s="1028"/>
      <c r="GD42" s="1028"/>
      <c r="GE42" s="1029"/>
      <c r="GF42" s="1028"/>
      <c r="GG42" s="1028"/>
      <c r="GH42" s="1028"/>
      <c r="GI42" s="1028"/>
      <c r="GJ42" s="1029"/>
    </row>
    <row r="43" spans="1:192" ht="12.75" hidden="1" customHeight="1" outlineLevel="1">
      <c r="B43" s="1509" t="s">
        <v>1959</v>
      </c>
      <c r="C43" s="493"/>
      <c r="D43" s="493"/>
      <c r="E43" s="493"/>
      <c r="F43" s="493"/>
      <c r="G43" s="494"/>
      <c r="H43" s="493"/>
      <c r="I43" s="493"/>
      <c r="J43" s="493"/>
      <c r="K43" s="493"/>
      <c r="L43" s="494"/>
      <c r="M43" s="493"/>
      <c r="N43" s="493"/>
      <c r="O43" s="493"/>
      <c r="P43" s="493"/>
      <c r="Q43" s="494"/>
      <c r="R43" s="815"/>
      <c r="S43" s="815"/>
      <c r="T43" s="815"/>
      <c r="U43" s="815"/>
      <c r="V43" s="494"/>
      <c r="W43" s="815"/>
      <c r="X43" s="815"/>
      <c r="Y43" s="815"/>
      <c r="Z43" s="815"/>
      <c r="AA43" s="494"/>
      <c r="AB43" s="815"/>
      <c r="AC43" s="815"/>
      <c r="AD43" s="815"/>
      <c r="AE43" s="815"/>
      <c r="AF43" s="494"/>
      <c r="AG43" s="815"/>
      <c r="AH43" s="815"/>
      <c r="AI43" s="815"/>
      <c r="AJ43" s="815"/>
      <c r="AK43" s="494"/>
      <c r="AL43" s="493"/>
      <c r="AM43" s="493"/>
      <c r="AN43" s="493"/>
      <c r="AO43" s="493"/>
      <c r="AP43" s="494"/>
      <c r="AQ43" s="493"/>
      <c r="AR43" s="493"/>
      <c r="AS43" s="493"/>
      <c r="AT43" s="493"/>
      <c r="AU43" s="494"/>
      <c r="AV43" s="493"/>
      <c r="AW43" s="493"/>
      <c r="AX43" s="493"/>
      <c r="AY43" s="493"/>
      <c r="AZ43" s="494"/>
      <c r="BA43" s="493"/>
      <c r="BB43" s="493"/>
      <c r="BC43" s="493"/>
      <c r="BD43" s="493"/>
      <c r="BE43" s="494"/>
      <c r="BF43" s="493"/>
      <c r="BG43" s="493"/>
      <c r="BH43" s="493"/>
      <c r="BI43" s="493"/>
      <c r="BJ43" s="494"/>
      <c r="BK43" s="493"/>
      <c r="BL43" s="493"/>
      <c r="BM43" s="493"/>
      <c r="BN43" s="493"/>
      <c r="BO43" s="494"/>
      <c r="BP43" s="493"/>
      <c r="BQ43" s="493"/>
      <c r="BR43" s="493"/>
      <c r="BS43" s="493"/>
      <c r="BT43" s="494"/>
      <c r="BU43" s="493"/>
      <c r="BV43" s="493"/>
      <c r="BW43" s="493"/>
      <c r="BX43" s="493"/>
      <c r="BY43" s="494"/>
      <c r="BZ43" s="493"/>
      <c r="CA43" s="493"/>
      <c r="CB43" s="493"/>
      <c r="CC43" s="493"/>
      <c r="CD43" s="494">
        <v>526</v>
      </c>
      <c r="CE43" s="493"/>
      <c r="CF43" s="493"/>
      <c r="CG43" s="493"/>
      <c r="CH43" s="493"/>
      <c r="CI43" s="494">
        <v>533</v>
      </c>
      <c r="CJ43" s="493"/>
      <c r="CK43" s="493"/>
      <c r="CL43" s="493"/>
      <c r="CM43" s="493"/>
      <c r="CN43" s="494">
        <v>528</v>
      </c>
      <c r="CO43" s="493"/>
      <c r="CP43" s="493"/>
      <c r="CQ43" s="493"/>
      <c r="CR43" s="493"/>
      <c r="CS43" s="494">
        <v>525</v>
      </c>
      <c r="CT43" s="493"/>
      <c r="CU43" s="493"/>
      <c r="CV43" s="493"/>
      <c r="CW43" s="493"/>
      <c r="CX43" s="494">
        <v>541</v>
      </c>
      <c r="CY43" s="493"/>
      <c r="CZ43" s="493"/>
      <c r="DA43" s="493"/>
      <c r="DB43" s="493"/>
      <c r="DC43" s="494">
        <v>769</v>
      </c>
      <c r="DD43" s="493"/>
      <c r="DE43" s="493"/>
      <c r="DF43" s="493"/>
      <c r="DG43" s="493"/>
      <c r="DH43" s="494">
        <v>824</v>
      </c>
      <c r="DI43" s="493"/>
      <c r="DJ43" s="493"/>
      <c r="DK43" s="493"/>
      <c r="DL43" s="493"/>
      <c r="DM43" s="494">
        <v>1107</v>
      </c>
      <c r="DN43" s="493"/>
      <c r="DO43" s="493"/>
      <c r="DP43" s="493"/>
      <c r="DQ43" s="493"/>
      <c r="DR43" s="494">
        <v>1254</v>
      </c>
      <c r="DS43" s="493"/>
      <c r="DT43" s="493"/>
      <c r="DU43" s="493"/>
      <c r="DV43" s="493"/>
      <c r="DW43" s="494">
        <v>1540</v>
      </c>
      <c r="DX43" s="493"/>
      <c r="DY43" s="493"/>
      <c r="DZ43" s="493"/>
      <c r="EA43" s="493"/>
      <c r="EB43" s="494">
        <v>1823</v>
      </c>
      <c r="EC43" s="493"/>
      <c r="ED43" s="493"/>
      <c r="EE43" s="493"/>
      <c r="EF43" s="493"/>
      <c r="EG43" s="494">
        <v>3660</v>
      </c>
      <c r="EH43" s="493"/>
      <c r="EI43" s="493"/>
      <c r="EJ43" s="493"/>
      <c r="EK43" s="493"/>
      <c r="EL43" s="494">
        <v>4734</v>
      </c>
      <c r="EM43" s="493"/>
      <c r="EN43" s="493"/>
      <c r="EO43" s="493"/>
      <c r="EP43" s="493"/>
      <c r="EQ43" s="494">
        <v>5683</v>
      </c>
      <c r="ER43" s="493"/>
      <c r="ES43" s="493"/>
      <c r="ET43" s="493"/>
      <c r="EU43" s="493"/>
      <c r="EV43" s="494">
        <v>8163</v>
      </c>
      <c r="EW43" s="493"/>
      <c r="EX43" s="493"/>
      <c r="EY43" s="493"/>
      <c r="EZ43" s="493"/>
      <c r="FA43" s="494">
        <v>9338</v>
      </c>
      <c r="FB43" s="493"/>
      <c r="FC43" s="493"/>
      <c r="FD43" s="493"/>
      <c r="FE43" s="493"/>
      <c r="FF43" s="494"/>
      <c r="FG43" s="493"/>
      <c r="FH43" s="493"/>
      <c r="FI43" s="493"/>
      <c r="FJ43" s="493"/>
      <c r="FK43" s="494"/>
      <c r="FL43" s="493"/>
      <c r="FM43" s="493"/>
      <c r="FN43" s="493"/>
      <c r="FO43" s="493"/>
      <c r="FP43" s="494"/>
      <c r="FQ43" s="493"/>
      <c r="FR43" s="493"/>
      <c r="FS43" s="493"/>
      <c r="FT43" s="493"/>
      <c r="FU43" s="494"/>
      <c r="FV43" s="493"/>
      <c r="FW43" s="493"/>
      <c r="FX43" s="493"/>
      <c r="FY43" s="493"/>
      <c r="FZ43" s="494"/>
      <c r="GA43" s="493"/>
      <c r="GB43" s="493"/>
      <c r="GC43" s="493"/>
      <c r="GD43" s="493"/>
      <c r="GE43" s="494"/>
      <c r="GF43" s="493"/>
      <c r="GG43" s="493"/>
      <c r="GH43" s="493"/>
      <c r="GI43" s="493"/>
      <c r="GJ43" s="494"/>
    </row>
    <row r="44" spans="1:192" s="819" customFormat="1" ht="12.75" hidden="1" customHeight="1" outlineLevel="1">
      <c r="A44" s="850"/>
      <c r="B44" s="1016" t="s">
        <v>1960</v>
      </c>
      <c r="C44" s="1462"/>
      <c r="D44" s="1462"/>
      <c r="E44" s="1462"/>
      <c r="F44" s="1462"/>
      <c r="G44" s="1461"/>
      <c r="H44" s="1462"/>
      <c r="I44" s="1462"/>
      <c r="J44" s="1462"/>
      <c r="K44" s="1462"/>
      <c r="L44" s="1461"/>
      <c r="M44" s="1462"/>
      <c r="N44" s="1462"/>
      <c r="O44" s="1462"/>
      <c r="P44" s="1462"/>
      <c r="Q44" s="1461"/>
      <c r="R44" s="1489"/>
      <c r="S44" s="1489"/>
      <c r="T44" s="1489"/>
      <c r="U44" s="1489"/>
      <c r="V44" s="1461"/>
      <c r="W44" s="1489"/>
      <c r="X44" s="1489"/>
      <c r="Y44" s="1489"/>
      <c r="Z44" s="1489"/>
      <c r="AA44" s="1461"/>
      <c r="AB44" s="1489"/>
      <c r="AC44" s="1489"/>
      <c r="AD44" s="1489"/>
      <c r="AE44" s="1489"/>
      <c r="AF44" s="1461"/>
      <c r="AG44" s="1489"/>
      <c r="AH44" s="1489"/>
      <c r="AI44" s="1489"/>
      <c r="AJ44" s="1489"/>
      <c r="AK44" s="1461"/>
      <c r="AL44" s="1462"/>
      <c r="AM44" s="1462"/>
      <c r="AN44" s="1462"/>
      <c r="AO44" s="1462"/>
      <c r="AP44" s="1461"/>
      <c r="AQ44" s="1462"/>
      <c r="AR44" s="1462"/>
      <c r="AS44" s="1462"/>
      <c r="AT44" s="1462"/>
      <c r="AU44" s="1461"/>
      <c r="AV44" s="1462"/>
      <c r="AW44" s="1462"/>
      <c r="AX44" s="1462"/>
      <c r="AY44" s="1462"/>
      <c r="AZ44" s="1461"/>
      <c r="BA44" s="1462"/>
      <c r="BB44" s="1462"/>
      <c r="BC44" s="1462"/>
      <c r="BD44" s="1462"/>
      <c r="BE44" s="1461"/>
      <c r="BF44" s="1462"/>
      <c r="BG44" s="1462"/>
      <c r="BH44" s="1462"/>
      <c r="BI44" s="1462"/>
      <c r="BJ44" s="1461"/>
      <c r="BK44" s="1462"/>
      <c r="BL44" s="1462"/>
      <c r="BM44" s="1462"/>
      <c r="BN44" s="1462"/>
      <c r="BO44" s="1461"/>
      <c r="BP44" s="1462"/>
      <c r="BQ44" s="1462"/>
      <c r="BR44" s="1462"/>
      <c r="BS44" s="1462"/>
      <c r="BT44" s="1461"/>
      <c r="BU44" s="1462"/>
      <c r="BV44" s="1462"/>
      <c r="BW44" s="1462"/>
      <c r="BX44" s="1462"/>
      <c r="BY44" s="1461"/>
      <c r="BZ44" s="1462"/>
      <c r="CA44" s="1462"/>
      <c r="CB44" s="1462"/>
      <c r="CC44" s="1462"/>
      <c r="CD44" s="1461">
        <f>CD43/CD$53</f>
      </c>
      <c r="CE44" s="1462"/>
      <c r="CF44" s="1462"/>
      <c r="CG44" s="1462"/>
      <c r="CH44" s="1462"/>
      <c r="CI44" s="1461">
        <f>CI43/CI$53</f>
      </c>
      <c r="CJ44" s="1462"/>
      <c r="CK44" s="1462"/>
      <c r="CL44" s="1462"/>
      <c r="CM44" s="1462"/>
      <c r="CN44" s="1461">
        <f>CN43/CN$53</f>
      </c>
      <c r="CO44" s="1462"/>
      <c r="CP44" s="1462"/>
      <c r="CQ44" s="1462"/>
      <c r="CR44" s="1462"/>
      <c r="CS44" s="1461">
        <f>CS43/CS$53</f>
      </c>
      <c r="CT44" s="1462"/>
      <c r="CU44" s="1462"/>
      <c r="CV44" s="1462"/>
      <c r="CW44" s="1462"/>
      <c r="CX44" s="1461">
        <f>CX43/CX$53</f>
      </c>
      <c r="CY44" s="1462"/>
      <c r="CZ44" s="1462"/>
      <c r="DA44" s="1462"/>
      <c r="DB44" s="1462"/>
      <c r="DC44" s="1461">
        <f>DC43/DC$53</f>
      </c>
      <c r="DD44" s="1462"/>
      <c r="DE44" s="1462"/>
      <c r="DF44" s="1462"/>
      <c r="DG44" s="1462"/>
      <c r="DH44" s="1461">
        <f>DH43/DH$53</f>
      </c>
      <c r="DI44" s="1462"/>
      <c r="DJ44" s="1462"/>
      <c r="DK44" s="1462"/>
      <c r="DL44" s="1462"/>
      <c r="DM44" s="1461">
        <f>DM43/DM$53</f>
      </c>
      <c r="DN44" s="1462"/>
      <c r="DO44" s="1462"/>
      <c r="DP44" s="1462"/>
      <c r="DQ44" s="1462"/>
      <c r="DR44" s="1461">
        <f>DR43/DR$53</f>
      </c>
      <c r="DS44" s="1462"/>
      <c r="DT44" s="1462"/>
      <c r="DU44" s="1462"/>
      <c r="DV44" s="1462"/>
      <c r="DW44" s="1461">
        <f>DW43/DW$53</f>
      </c>
      <c r="DX44" s="1462"/>
      <c r="DY44" s="1462"/>
      <c r="DZ44" s="1462"/>
      <c r="EA44" s="1462"/>
      <c r="EB44" s="1461">
        <f>EB43/EB$53</f>
      </c>
      <c r="EC44" s="1462"/>
      <c r="ED44" s="1462"/>
      <c r="EE44" s="1462"/>
      <c r="EF44" s="1462"/>
      <c r="EG44" s="1461">
        <f>EG43/EG$53</f>
      </c>
      <c r="EH44" s="1462"/>
      <c r="EI44" s="1462"/>
      <c r="EJ44" s="1462"/>
      <c r="EK44" s="1462"/>
      <c r="EL44" s="1461">
        <f>EL43/EL$53</f>
      </c>
      <c r="EM44" s="1462"/>
      <c r="EN44" s="1462"/>
      <c r="EO44" s="1462"/>
      <c r="EP44" s="1462"/>
      <c r="EQ44" s="1461">
        <f>EQ43/EQ$53</f>
      </c>
      <c r="ER44" s="1462"/>
      <c r="ES44" s="1462"/>
      <c r="ET44" s="1462"/>
      <c r="EU44" s="1462"/>
      <c r="EV44" s="1461">
        <f>EV43/EV$53</f>
      </c>
      <c r="EW44" s="1462"/>
      <c r="EX44" s="1462"/>
      <c r="EY44" s="1462"/>
      <c r="EZ44" s="1462"/>
      <c r="FA44" s="1461">
        <f>FA43/FA$53</f>
      </c>
      <c r="FB44" s="1462"/>
      <c r="FC44" s="1462"/>
      <c r="FD44" s="1462"/>
      <c r="FE44" s="1462"/>
      <c r="FF44" s="1461"/>
      <c r="FG44" s="1462"/>
      <c r="FH44" s="1462"/>
      <c r="FI44" s="1462"/>
      <c r="FJ44" s="1462"/>
      <c r="FK44" s="1461"/>
      <c r="FL44" s="1462"/>
      <c r="FM44" s="1462"/>
      <c r="FN44" s="1462"/>
      <c r="FO44" s="1462"/>
      <c r="FP44" s="1461"/>
      <c r="FQ44" s="1462"/>
      <c r="FR44" s="1462"/>
      <c r="FS44" s="1462"/>
      <c r="FT44" s="1462"/>
      <c r="FU44" s="1461"/>
      <c r="FV44" s="1462"/>
      <c r="FW44" s="1462"/>
      <c r="FX44" s="1462"/>
      <c r="FY44" s="1462"/>
      <c r="FZ44" s="1461"/>
      <c r="GA44" s="1462"/>
      <c r="GB44" s="1462"/>
      <c r="GC44" s="1462"/>
      <c r="GD44" s="1462"/>
      <c r="GE44" s="1461"/>
      <c r="GF44" s="1462"/>
      <c r="GG44" s="1462"/>
      <c r="GH44" s="1462"/>
      <c r="GI44" s="1462"/>
      <c r="GJ44" s="1461"/>
    </row>
    <row r="45" spans="1:192" ht="12.75" hidden="1" customHeight="1" outlineLevel="1">
      <c r="B45" s="1509" t="s">
        <v>1958</v>
      </c>
      <c r="C45" s="493"/>
      <c r="D45" s="493"/>
      <c r="E45" s="493"/>
      <c r="F45" s="493"/>
      <c r="G45" s="494"/>
      <c r="H45" s="493"/>
      <c r="I45" s="493"/>
      <c r="J45" s="493"/>
      <c r="K45" s="493"/>
      <c r="L45" s="494"/>
      <c r="M45" s="493"/>
      <c r="N45" s="493"/>
      <c r="O45" s="493"/>
      <c r="P45" s="493"/>
      <c r="Q45" s="494"/>
      <c r="R45" s="815"/>
      <c r="S45" s="815"/>
      <c r="T45" s="815"/>
      <c r="U45" s="815"/>
      <c r="V45" s="494"/>
      <c r="W45" s="815"/>
      <c r="X45" s="815"/>
      <c r="Y45" s="815"/>
      <c r="Z45" s="815"/>
      <c r="AA45" s="494"/>
      <c r="AB45" s="815"/>
      <c r="AC45" s="815"/>
      <c r="AD45" s="815"/>
      <c r="AE45" s="815"/>
      <c r="AF45" s="494"/>
      <c r="AG45" s="815"/>
      <c r="AH45" s="815"/>
      <c r="AI45" s="815"/>
      <c r="AJ45" s="815"/>
      <c r="AK45" s="494"/>
      <c r="AL45" s="493"/>
      <c r="AM45" s="493"/>
      <c r="AN45" s="493"/>
      <c r="AO45" s="493"/>
      <c r="AP45" s="494"/>
      <c r="AQ45" s="493"/>
      <c r="AR45" s="493"/>
      <c r="AS45" s="493"/>
      <c r="AT45" s="493"/>
      <c r="AU45" s="494"/>
      <c r="AV45" s="493"/>
      <c r="AW45" s="493"/>
      <c r="AX45" s="493"/>
      <c r="AY45" s="493"/>
      <c r="AZ45" s="494"/>
      <c r="BA45" s="493"/>
      <c r="BB45" s="493"/>
      <c r="BC45" s="493"/>
      <c r="BD45" s="493"/>
      <c r="BE45" s="494"/>
      <c r="BF45" s="493"/>
      <c r="BG45" s="493"/>
      <c r="BH45" s="493"/>
      <c r="BI45" s="493"/>
      <c r="BJ45" s="494"/>
      <c r="BK45" s="493"/>
      <c r="BL45" s="493"/>
      <c r="BM45" s="493"/>
      <c r="BN45" s="493"/>
      <c r="BO45" s="494"/>
      <c r="BP45" s="493"/>
      <c r="BQ45" s="493"/>
      <c r="BR45" s="493"/>
      <c r="BS45" s="493"/>
      <c r="BT45" s="494"/>
      <c r="BU45" s="493"/>
      <c r="BV45" s="493"/>
      <c r="BW45" s="493"/>
      <c r="BX45" s="493"/>
      <c r="BY45" s="494"/>
      <c r="BZ45" s="493"/>
      <c r="CA45" s="493"/>
      <c r="CB45" s="493"/>
      <c r="CC45" s="493"/>
      <c r="CD45" s="494">
        <v>6087</v>
      </c>
      <c r="CE45" s="493"/>
      <c r="CF45" s="493"/>
      <c r="CG45" s="493"/>
      <c r="CH45" s="493"/>
      <c r="CI45" s="494">
        <v>6521</v>
      </c>
      <c r="CJ45" s="493"/>
      <c r="CK45" s="493"/>
      <c r="CL45" s="493"/>
      <c r="CM45" s="493"/>
      <c r="CN45" s="494">
        <v>6768</v>
      </c>
      <c r="CO45" s="493"/>
      <c r="CP45" s="493"/>
      <c r="CQ45" s="493"/>
      <c r="CR45" s="493"/>
      <c r="CS45" s="494">
        <v>7326</v>
      </c>
      <c r="CT45" s="493"/>
      <c r="CU45" s="493"/>
      <c r="CV45" s="493"/>
      <c r="CW45" s="493"/>
      <c r="CX45" s="494">
        <v>8867</v>
      </c>
      <c r="CY45" s="493"/>
      <c r="CZ45" s="493"/>
      <c r="DA45" s="493"/>
      <c r="DB45" s="493"/>
      <c r="DC45" s="494">
        <v>10800</v>
      </c>
      <c r="DD45" s="493"/>
      <c r="DE45" s="493"/>
      <c r="DF45" s="493"/>
      <c r="DG45" s="493"/>
      <c r="DH45" s="494">
        <v>12393</v>
      </c>
      <c r="DI45" s="493"/>
      <c r="DJ45" s="493"/>
      <c r="DK45" s="493"/>
      <c r="DL45" s="493"/>
      <c r="DM45" s="494">
        <v>16284</v>
      </c>
      <c r="DN45" s="493"/>
      <c r="DO45" s="493"/>
      <c r="DP45" s="493"/>
      <c r="DQ45" s="493"/>
      <c r="DR45" s="494">
        <v>20604</v>
      </c>
      <c r="DS45" s="493"/>
      <c r="DT45" s="493"/>
      <c r="DU45" s="493"/>
      <c r="DV45" s="493"/>
      <c r="DW45" s="494">
        <v>26288</v>
      </c>
      <c r="DX45" s="493"/>
      <c r="DY45" s="493"/>
      <c r="DZ45" s="493"/>
      <c r="EA45" s="493"/>
      <c r="EB45" s="494">
        <v>33995</v>
      </c>
      <c r="EC45" s="493"/>
      <c r="ED45" s="493"/>
      <c r="EE45" s="493"/>
      <c r="EF45" s="493"/>
      <c r="EG45" s="494">
        <v>43928</v>
      </c>
      <c r="EH45" s="493"/>
      <c r="EI45" s="493"/>
      <c r="EJ45" s="493"/>
      <c r="EK45" s="493"/>
      <c r="EL45" s="494">
        <v>55014</v>
      </c>
      <c r="EM45" s="493"/>
      <c r="EN45" s="493"/>
      <c r="EO45" s="493"/>
      <c r="EP45" s="493"/>
      <c r="EQ45" s="494">
        <v>68465</v>
      </c>
      <c r="ER45" s="493"/>
      <c r="ES45" s="493"/>
      <c r="ET45" s="493"/>
      <c r="EU45" s="493"/>
      <c r="EV45" s="494">
        <v>93943</v>
      </c>
      <c r="EW45" s="493"/>
      <c r="EX45" s="493"/>
      <c r="EY45" s="493"/>
      <c r="EZ45" s="493"/>
      <c r="FA45" s="494">
        <v>137921</v>
      </c>
      <c r="FB45" s="493"/>
      <c r="FC45" s="493"/>
      <c r="FD45" s="493"/>
      <c r="FE45" s="493"/>
      <c r="FF45" s="494"/>
      <c r="FG45" s="493"/>
      <c r="FH45" s="493"/>
      <c r="FI45" s="493"/>
      <c r="FJ45" s="493"/>
      <c r="FK45" s="494"/>
      <c r="FL45" s="493"/>
      <c r="FM45" s="493"/>
      <c r="FN45" s="493"/>
      <c r="FO45" s="493"/>
      <c r="FP45" s="494"/>
      <c r="FQ45" s="493"/>
      <c r="FR45" s="493"/>
      <c r="FS45" s="493"/>
      <c r="FT45" s="493"/>
      <c r="FU45" s="494"/>
      <c r="FV45" s="493"/>
      <c r="FW45" s="493"/>
      <c r="FX45" s="493"/>
      <c r="FY45" s="493"/>
      <c r="FZ45" s="494"/>
      <c r="GA45" s="493"/>
      <c r="GB45" s="493"/>
      <c r="GC45" s="493"/>
      <c r="GD45" s="493"/>
      <c r="GE45" s="494"/>
      <c r="GF45" s="493"/>
      <c r="GG45" s="493"/>
      <c r="GH45" s="493"/>
      <c r="GI45" s="493"/>
      <c r="GJ45" s="494"/>
    </row>
    <row r="46" spans="1:192" s="819" customFormat="1" ht="12.75" hidden="1" customHeight="1" outlineLevel="1">
      <c r="A46" s="850"/>
      <c r="B46" s="1016" t="s">
        <v>1960</v>
      </c>
      <c r="C46" s="1462"/>
      <c r="D46" s="1462"/>
      <c r="E46" s="1462"/>
      <c r="F46" s="1462"/>
      <c r="G46" s="1461"/>
      <c r="H46" s="1462"/>
      <c r="I46" s="1462"/>
      <c r="J46" s="1462"/>
      <c r="K46" s="1462"/>
      <c r="L46" s="1461"/>
      <c r="M46" s="1462"/>
      <c r="N46" s="1462"/>
      <c r="O46" s="1462"/>
      <c r="P46" s="1462"/>
      <c r="Q46" s="1461"/>
      <c r="R46" s="1489"/>
      <c r="S46" s="1489"/>
      <c r="T46" s="1489"/>
      <c r="U46" s="1489"/>
      <c r="V46" s="1461"/>
      <c r="W46" s="1489"/>
      <c r="X46" s="1489"/>
      <c r="Y46" s="1489"/>
      <c r="Z46" s="1489"/>
      <c r="AA46" s="1461"/>
      <c r="AB46" s="1489"/>
      <c r="AC46" s="1489"/>
      <c r="AD46" s="1489"/>
      <c r="AE46" s="1489"/>
      <c r="AF46" s="1461"/>
      <c r="AG46" s="1489"/>
      <c r="AH46" s="1489"/>
      <c r="AI46" s="1489"/>
      <c r="AJ46" s="1489"/>
      <c r="AK46" s="1461"/>
      <c r="AL46" s="1462"/>
      <c r="AM46" s="1462"/>
      <c r="AN46" s="1462"/>
      <c r="AO46" s="1462"/>
      <c r="AP46" s="1461"/>
      <c r="AQ46" s="1462"/>
      <c r="AR46" s="1462"/>
      <c r="AS46" s="1462"/>
      <c r="AT46" s="1462"/>
      <c r="AU46" s="1461"/>
      <c r="AV46" s="1462"/>
      <c r="AW46" s="1462"/>
      <c r="AX46" s="1462"/>
      <c r="AY46" s="1462"/>
      <c r="AZ46" s="1461"/>
      <c r="BA46" s="1462"/>
      <c r="BB46" s="1462"/>
      <c r="BC46" s="1462"/>
      <c r="BD46" s="1462"/>
      <c r="BE46" s="1461"/>
      <c r="BF46" s="1462"/>
      <c r="BG46" s="1462"/>
      <c r="BH46" s="1462"/>
      <c r="BI46" s="1462"/>
      <c r="BJ46" s="1461"/>
      <c r="BK46" s="1462"/>
      <c r="BL46" s="1462"/>
      <c r="BM46" s="1462"/>
      <c r="BN46" s="1462"/>
      <c r="BO46" s="1461"/>
      <c r="BP46" s="1462"/>
      <c r="BQ46" s="1462"/>
      <c r="BR46" s="1462"/>
      <c r="BS46" s="1462"/>
      <c r="BT46" s="1461"/>
      <c r="BU46" s="1462"/>
      <c r="BV46" s="1462"/>
      <c r="BW46" s="1462"/>
      <c r="BX46" s="1462"/>
      <c r="BY46" s="1461"/>
      <c r="BZ46" s="1462"/>
      <c r="CA46" s="1462"/>
      <c r="CB46" s="1462"/>
      <c r="CC46" s="1462"/>
      <c r="CD46" s="1461">
        <f>CD45/CD$53</f>
      </c>
      <c r="CE46" s="1462"/>
      <c r="CF46" s="1462"/>
      <c r="CG46" s="1462"/>
      <c r="CH46" s="1462"/>
      <c r="CI46" s="1461">
        <f>CI45/CI$53</f>
      </c>
      <c r="CJ46" s="1462"/>
      <c r="CK46" s="1462"/>
      <c r="CL46" s="1462"/>
      <c r="CM46" s="1462"/>
      <c r="CN46" s="1461">
        <f>CN45/CN$53</f>
      </c>
      <c r="CO46" s="1462"/>
      <c r="CP46" s="1462"/>
      <c r="CQ46" s="1462"/>
      <c r="CR46" s="1462"/>
      <c r="CS46" s="1461">
        <f>CS45/CS$53</f>
      </c>
      <c r="CT46" s="1462"/>
      <c r="CU46" s="1462"/>
      <c r="CV46" s="1462"/>
      <c r="CW46" s="1462"/>
      <c r="CX46" s="1461">
        <f>CX45/CX$53</f>
      </c>
      <c r="CY46" s="1462"/>
      <c r="CZ46" s="1462"/>
      <c r="DA46" s="1462"/>
      <c r="DB46" s="1462"/>
      <c r="DC46" s="1461">
        <f>DC45/DC$53</f>
      </c>
      <c r="DD46" s="1462"/>
      <c r="DE46" s="1462"/>
      <c r="DF46" s="1462"/>
      <c r="DG46" s="1462"/>
      <c r="DH46" s="1461">
        <f>DH45/DH$53</f>
      </c>
      <c r="DI46" s="1462"/>
      <c r="DJ46" s="1462"/>
      <c r="DK46" s="1462"/>
      <c r="DL46" s="1462"/>
      <c r="DM46" s="1461">
        <f>DM45/DM$53</f>
      </c>
      <c r="DN46" s="1462"/>
      <c r="DO46" s="1462"/>
      <c r="DP46" s="1462"/>
      <c r="DQ46" s="1462"/>
      <c r="DR46" s="1461">
        <f>DR45/DR$53</f>
      </c>
      <c r="DS46" s="1462"/>
      <c r="DT46" s="1462"/>
      <c r="DU46" s="1462"/>
      <c r="DV46" s="1462"/>
      <c r="DW46" s="1461">
        <f>DW45/DW$53</f>
      </c>
      <c r="DX46" s="1462"/>
      <c r="DY46" s="1462"/>
      <c r="DZ46" s="1462"/>
      <c r="EA46" s="1462"/>
      <c r="EB46" s="1461">
        <f>EB45/EB$53</f>
      </c>
      <c r="EC46" s="1462"/>
      <c r="ED46" s="1462"/>
      <c r="EE46" s="1462"/>
      <c r="EF46" s="1462"/>
      <c r="EG46" s="1461">
        <f>EG45/EG$53</f>
      </c>
      <c r="EH46" s="1462"/>
      <c r="EI46" s="1462"/>
      <c r="EJ46" s="1462"/>
      <c r="EK46" s="1462"/>
      <c r="EL46" s="1461">
        <f>EL45/EL$53</f>
      </c>
      <c r="EM46" s="1462"/>
      <c r="EN46" s="1462"/>
      <c r="EO46" s="1462"/>
      <c r="EP46" s="1462"/>
      <c r="EQ46" s="1461">
        <f>EQ45/EQ$53</f>
      </c>
      <c r="ER46" s="1462"/>
      <c r="ES46" s="1462"/>
      <c r="ET46" s="1462"/>
      <c r="EU46" s="1462"/>
      <c r="EV46" s="1461">
        <f>EV45/EV$53</f>
      </c>
      <c r="EW46" s="1462"/>
      <c r="EX46" s="1462"/>
      <c r="EY46" s="1462"/>
      <c r="EZ46" s="1462"/>
      <c r="FA46" s="1461">
        <f>FA45/FA$53</f>
      </c>
      <c r="FB46" s="1462"/>
      <c r="FC46" s="1462"/>
      <c r="FD46" s="1462"/>
      <c r="FE46" s="1462"/>
      <c r="FF46" s="1461"/>
      <c r="FG46" s="1462"/>
      <c r="FH46" s="1462"/>
      <c r="FI46" s="1462"/>
      <c r="FJ46" s="1462"/>
      <c r="FK46" s="1461"/>
      <c r="FL46" s="1462"/>
      <c r="FM46" s="1462"/>
      <c r="FN46" s="1462"/>
      <c r="FO46" s="1462"/>
      <c r="FP46" s="1461"/>
      <c r="FQ46" s="1462"/>
      <c r="FR46" s="1462"/>
      <c r="FS46" s="1462"/>
      <c r="FT46" s="1462"/>
      <c r="FU46" s="1461"/>
      <c r="FV46" s="1462"/>
      <c r="FW46" s="1462"/>
      <c r="FX46" s="1462"/>
      <c r="FY46" s="1462"/>
      <c r="FZ46" s="1461"/>
      <c r="GA46" s="1462"/>
      <c r="GB46" s="1462"/>
      <c r="GC46" s="1462"/>
      <c r="GD46" s="1462"/>
      <c r="GE46" s="1461"/>
      <c r="GF46" s="1462"/>
      <c r="GG46" s="1462"/>
      <c r="GH46" s="1462"/>
      <c r="GI46" s="1462"/>
      <c r="GJ46" s="1461"/>
    </row>
    <row r="47" spans="1:192" ht="12.75" hidden="1" customHeight="1" outlineLevel="1">
      <c r="B47" s="1509" t="s">
        <v>1957</v>
      </c>
      <c r="C47" s="493"/>
      <c r="D47" s="493"/>
      <c r="E47" s="493"/>
      <c r="F47" s="493"/>
      <c r="G47" s="494"/>
      <c r="H47" s="493"/>
      <c r="I47" s="493"/>
      <c r="J47" s="493"/>
      <c r="K47" s="493"/>
      <c r="L47" s="494"/>
      <c r="M47" s="493"/>
      <c r="N47" s="493"/>
      <c r="O47" s="493"/>
      <c r="P47" s="493"/>
      <c r="Q47" s="494"/>
      <c r="R47" s="815"/>
      <c r="S47" s="815"/>
      <c r="T47" s="815"/>
      <c r="U47" s="815"/>
      <c r="V47" s="494"/>
      <c r="W47" s="815"/>
      <c r="X47" s="815"/>
      <c r="Y47" s="815"/>
      <c r="Z47" s="815"/>
      <c r="AA47" s="494"/>
      <c r="AB47" s="815"/>
      <c r="AC47" s="815"/>
      <c r="AD47" s="815"/>
      <c r="AE47" s="815"/>
      <c r="AF47" s="494"/>
      <c r="AG47" s="815"/>
      <c r="AH47" s="815"/>
      <c r="AI47" s="815"/>
      <c r="AJ47" s="815"/>
      <c r="AK47" s="494"/>
      <c r="AL47" s="493"/>
      <c r="AM47" s="493"/>
      <c r="AN47" s="493"/>
      <c r="AO47" s="493"/>
      <c r="AP47" s="494"/>
      <c r="AQ47" s="493"/>
      <c r="AR47" s="493"/>
      <c r="AS47" s="493"/>
      <c r="AT47" s="493"/>
      <c r="AU47" s="494"/>
      <c r="AV47" s="493"/>
      <c r="AW47" s="493"/>
      <c r="AX47" s="493"/>
      <c r="AY47" s="493"/>
      <c r="AZ47" s="494"/>
      <c r="BA47" s="493"/>
      <c r="BB47" s="493"/>
      <c r="BC47" s="493"/>
      <c r="BD47" s="493"/>
      <c r="BE47" s="494"/>
      <c r="BF47" s="493"/>
      <c r="BG47" s="493"/>
      <c r="BH47" s="493"/>
      <c r="BI47" s="493"/>
      <c r="BJ47" s="494"/>
      <c r="BK47" s="493"/>
      <c r="BL47" s="493"/>
      <c r="BM47" s="493"/>
      <c r="BN47" s="493"/>
      <c r="BO47" s="494"/>
      <c r="BP47" s="493"/>
      <c r="BQ47" s="493"/>
      <c r="BR47" s="493"/>
      <c r="BS47" s="493"/>
      <c r="BT47" s="494"/>
      <c r="BU47" s="493"/>
      <c r="BV47" s="493"/>
      <c r="BW47" s="493"/>
      <c r="BX47" s="493"/>
      <c r="BY47" s="494"/>
      <c r="BZ47" s="493"/>
      <c r="CA47" s="493"/>
      <c r="CB47" s="493"/>
      <c r="CC47" s="493"/>
      <c r="CD47" s="494">
        <v>2100</v>
      </c>
      <c r="CE47" s="493"/>
      <c r="CF47" s="493"/>
      <c r="CG47" s="493"/>
      <c r="CH47" s="493"/>
      <c r="CI47" s="494">
        <v>2345</v>
      </c>
      <c r="CJ47" s="493"/>
      <c r="CK47" s="493"/>
      <c r="CL47" s="493"/>
      <c r="CM47" s="493"/>
      <c r="CN47" s="494">
        <v>2550</v>
      </c>
      <c r="CO47" s="493"/>
      <c r="CP47" s="493"/>
      <c r="CQ47" s="493"/>
      <c r="CR47" s="493"/>
      <c r="CS47" s="494">
        <v>2946</v>
      </c>
      <c r="CT47" s="493"/>
      <c r="CU47" s="493"/>
      <c r="CV47" s="493"/>
      <c r="CW47" s="493"/>
      <c r="CX47" s="494">
        <v>3560</v>
      </c>
      <c r="CY47" s="493"/>
      <c r="CZ47" s="493"/>
      <c r="DA47" s="493"/>
      <c r="DB47" s="493"/>
      <c r="DC47" s="494">
        <v>3577</v>
      </c>
      <c r="DD47" s="493"/>
      <c r="DE47" s="493"/>
      <c r="DF47" s="493"/>
      <c r="DG47" s="493"/>
      <c r="DH47" s="494">
        <v>3659</v>
      </c>
      <c r="DI47" s="493"/>
      <c r="DJ47" s="493"/>
      <c r="DK47" s="493"/>
      <c r="DL47" s="493"/>
      <c r="DM47" s="494">
        <v>5064</v>
      </c>
      <c r="DN47" s="493"/>
      <c r="DO47" s="493"/>
      <c r="DP47" s="493"/>
      <c r="DQ47" s="493"/>
      <c r="DR47" s="494">
        <v>4735</v>
      </c>
      <c r="DS47" s="493"/>
      <c r="DT47" s="493"/>
      <c r="DU47" s="493"/>
      <c r="DV47" s="493"/>
      <c r="DW47" s="494">
        <v>5316</v>
      </c>
      <c r="DX47" s="493"/>
      <c r="DY47" s="493"/>
      <c r="DZ47" s="493"/>
      <c r="EA47" s="493"/>
      <c r="EB47" s="494">
        <v>5487</v>
      </c>
      <c r="EC47" s="493"/>
      <c r="ED47" s="493"/>
      <c r="EE47" s="493"/>
      <c r="EF47" s="493"/>
      <c r="EG47" s="494">
        <v>6884</v>
      </c>
      <c r="EH47" s="493"/>
      <c r="EI47" s="493"/>
      <c r="EJ47" s="493"/>
      <c r="EK47" s="493"/>
      <c r="EL47" s="494">
        <v>7819</v>
      </c>
      <c r="EM47" s="493"/>
      <c r="EN47" s="493"/>
      <c r="EO47" s="493"/>
      <c r="EP47" s="493"/>
      <c r="EQ47" s="494">
        <v>8537</v>
      </c>
      <c r="ER47" s="493"/>
      <c r="ES47" s="493"/>
      <c r="ET47" s="493"/>
      <c r="EU47" s="493"/>
      <c r="EV47" s="494">
        <v>9594</v>
      </c>
      <c r="EW47" s="493"/>
      <c r="EX47" s="493"/>
      <c r="EY47" s="493"/>
      <c r="EZ47" s="493"/>
      <c r="FA47" s="494">
        <v>12117</v>
      </c>
      <c r="FB47" s="493"/>
      <c r="FC47" s="493"/>
      <c r="FD47" s="493"/>
      <c r="FE47" s="493"/>
      <c r="FF47" s="494"/>
      <c r="FG47" s="493"/>
      <c r="FH47" s="493"/>
      <c r="FI47" s="493"/>
      <c r="FJ47" s="493"/>
      <c r="FK47" s="494"/>
      <c r="FL47" s="493"/>
      <c r="FM47" s="493"/>
      <c r="FN47" s="493"/>
      <c r="FO47" s="493"/>
      <c r="FP47" s="494"/>
      <c r="FQ47" s="493"/>
      <c r="FR47" s="493"/>
      <c r="FS47" s="493"/>
      <c r="FT47" s="493"/>
      <c r="FU47" s="494"/>
      <c r="FV47" s="493"/>
      <c r="FW47" s="493"/>
      <c r="FX47" s="493"/>
      <c r="FY47" s="493"/>
      <c r="FZ47" s="494"/>
      <c r="GA47" s="493"/>
      <c r="GB47" s="493"/>
      <c r="GC47" s="493"/>
      <c r="GD47" s="493"/>
      <c r="GE47" s="494"/>
      <c r="GF47" s="493"/>
      <c r="GG47" s="493"/>
      <c r="GH47" s="493"/>
      <c r="GI47" s="493"/>
      <c r="GJ47" s="494"/>
    </row>
    <row r="48" spans="1:192" s="819" customFormat="1" ht="12.75" hidden="1" customHeight="1" outlineLevel="1">
      <c r="A48" s="850"/>
      <c r="B48" s="1016" t="s">
        <v>1960</v>
      </c>
      <c r="C48" s="1462"/>
      <c r="D48" s="1462"/>
      <c r="E48" s="1462"/>
      <c r="F48" s="1462"/>
      <c r="G48" s="1461"/>
      <c r="H48" s="1462"/>
      <c r="I48" s="1462"/>
      <c r="J48" s="1462"/>
      <c r="K48" s="1462"/>
      <c r="L48" s="1461"/>
      <c r="M48" s="1462"/>
      <c r="N48" s="1462"/>
      <c r="O48" s="1462"/>
      <c r="P48" s="1462"/>
      <c r="Q48" s="1461"/>
      <c r="R48" s="1489"/>
      <c r="S48" s="1489"/>
      <c r="T48" s="1489"/>
      <c r="U48" s="1489"/>
      <c r="V48" s="1461"/>
      <c r="W48" s="1489"/>
      <c r="X48" s="1489"/>
      <c r="Y48" s="1489"/>
      <c r="Z48" s="1489"/>
      <c r="AA48" s="1461"/>
      <c r="AB48" s="1489"/>
      <c r="AC48" s="1489"/>
      <c r="AD48" s="1489"/>
      <c r="AE48" s="1489"/>
      <c r="AF48" s="1461"/>
      <c r="AG48" s="1489"/>
      <c r="AH48" s="1489"/>
      <c r="AI48" s="1489"/>
      <c r="AJ48" s="1489"/>
      <c r="AK48" s="1461"/>
      <c r="AL48" s="1462"/>
      <c r="AM48" s="1462"/>
      <c r="AN48" s="1462"/>
      <c r="AO48" s="1462"/>
      <c r="AP48" s="1461"/>
      <c r="AQ48" s="1462"/>
      <c r="AR48" s="1462"/>
      <c r="AS48" s="1462"/>
      <c r="AT48" s="1462"/>
      <c r="AU48" s="1461"/>
      <c r="AV48" s="1462"/>
      <c r="AW48" s="1462"/>
      <c r="AX48" s="1462"/>
      <c r="AY48" s="1462"/>
      <c r="AZ48" s="1461"/>
      <c r="BA48" s="1462"/>
      <c r="BB48" s="1462"/>
      <c r="BC48" s="1462"/>
      <c r="BD48" s="1462"/>
      <c r="BE48" s="1461"/>
      <c r="BF48" s="1462"/>
      <c r="BG48" s="1462"/>
      <c r="BH48" s="1462"/>
      <c r="BI48" s="1462"/>
      <c r="BJ48" s="1461"/>
      <c r="BK48" s="1462"/>
      <c r="BL48" s="1462"/>
      <c r="BM48" s="1462"/>
      <c r="BN48" s="1462"/>
      <c r="BO48" s="1461"/>
      <c r="BP48" s="1462"/>
      <c r="BQ48" s="1462"/>
      <c r="BR48" s="1462"/>
      <c r="BS48" s="1462"/>
      <c r="BT48" s="1461"/>
      <c r="BU48" s="1462"/>
      <c r="BV48" s="1462"/>
      <c r="BW48" s="1462"/>
      <c r="BX48" s="1462"/>
      <c r="BY48" s="1461"/>
      <c r="BZ48" s="1462"/>
      <c r="CA48" s="1462"/>
      <c r="CB48" s="1462"/>
      <c r="CC48" s="1462"/>
      <c r="CD48" s="1461">
        <f>CD47/CD$53</f>
      </c>
      <c r="CE48" s="1462"/>
      <c r="CF48" s="1462"/>
      <c r="CG48" s="1462"/>
      <c r="CH48" s="1462"/>
      <c r="CI48" s="1461">
        <f>CI47/CI$53</f>
      </c>
      <c r="CJ48" s="1462"/>
      <c r="CK48" s="1462"/>
      <c r="CL48" s="1462"/>
      <c r="CM48" s="1462"/>
      <c r="CN48" s="1461">
        <f>CN47/CN$53</f>
      </c>
      <c r="CO48" s="1462"/>
      <c r="CP48" s="1462"/>
      <c r="CQ48" s="1462"/>
      <c r="CR48" s="1462"/>
      <c r="CS48" s="1461">
        <f>CS47/CS$53</f>
      </c>
      <c r="CT48" s="1462"/>
      <c r="CU48" s="1462"/>
      <c r="CV48" s="1462"/>
      <c r="CW48" s="1462"/>
      <c r="CX48" s="1461">
        <f>CX47/CX$53</f>
      </c>
      <c r="CY48" s="1462"/>
      <c r="CZ48" s="1462"/>
      <c r="DA48" s="1462"/>
      <c r="DB48" s="1462"/>
      <c r="DC48" s="1461">
        <f>DC47/DC$53</f>
      </c>
      <c r="DD48" s="1462"/>
      <c r="DE48" s="1462"/>
      <c r="DF48" s="1462"/>
      <c r="DG48" s="1462"/>
      <c r="DH48" s="1461">
        <f>DH47/DH$53</f>
      </c>
      <c r="DI48" s="1462"/>
      <c r="DJ48" s="1462"/>
      <c r="DK48" s="1462"/>
      <c r="DL48" s="1462"/>
      <c r="DM48" s="1461">
        <f>DM47/DM$53</f>
      </c>
      <c r="DN48" s="1462"/>
      <c r="DO48" s="1462"/>
      <c r="DP48" s="1462"/>
      <c r="DQ48" s="1462"/>
      <c r="DR48" s="1461">
        <f>DR47/DR$53</f>
      </c>
      <c r="DS48" s="1462"/>
      <c r="DT48" s="1462"/>
      <c r="DU48" s="1462"/>
      <c r="DV48" s="1462"/>
      <c r="DW48" s="1461">
        <f>DW47/DW$53</f>
      </c>
      <c r="DX48" s="1462"/>
      <c r="DY48" s="1462"/>
      <c r="DZ48" s="1462"/>
      <c r="EA48" s="1462"/>
      <c r="EB48" s="1461">
        <f>EB47/EB$53</f>
      </c>
      <c r="EC48" s="1462"/>
      <c r="ED48" s="1462"/>
      <c r="EE48" s="1462"/>
      <c r="EF48" s="1462"/>
      <c r="EG48" s="1461">
        <f>EG47/EG$53</f>
      </c>
      <c r="EH48" s="1462"/>
      <c r="EI48" s="1462"/>
      <c r="EJ48" s="1462"/>
      <c r="EK48" s="1462"/>
      <c r="EL48" s="1461">
        <f>EL47/EL$53</f>
      </c>
      <c r="EM48" s="1462"/>
      <c r="EN48" s="1462"/>
      <c r="EO48" s="1462"/>
      <c r="EP48" s="1462"/>
      <c r="EQ48" s="1461">
        <f>EQ47/EQ$53</f>
      </c>
      <c r="ER48" s="1462"/>
      <c r="ES48" s="1462"/>
      <c r="ET48" s="1462"/>
      <c r="EU48" s="1462"/>
      <c r="EV48" s="1461">
        <f>EV47/EV$53</f>
      </c>
      <c r="EW48" s="1462"/>
      <c r="EX48" s="1462"/>
      <c r="EY48" s="1462"/>
      <c r="EZ48" s="1462"/>
      <c r="FA48" s="1461">
        <f>FA47/FA$53</f>
      </c>
      <c r="FB48" s="1462"/>
      <c r="FC48" s="1462"/>
      <c r="FD48" s="1462"/>
      <c r="FE48" s="1462"/>
      <c r="FF48" s="1461"/>
      <c r="FG48" s="1462"/>
      <c r="FH48" s="1462"/>
      <c r="FI48" s="1462"/>
      <c r="FJ48" s="1462"/>
      <c r="FK48" s="1461"/>
      <c r="FL48" s="1462"/>
      <c r="FM48" s="1462"/>
      <c r="FN48" s="1462"/>
      <c r="FO48" s="1462"/>
      <c r="FP48" s="1461"/>
      <c r="FQ48" s="1462"/>
      <c r="FR48" s="1462"/>
      <c r="FS48" s="1462"/>
      <c r="FT48" s="1462"/>
      <c r="FU48" s="1461"/>
      <c r="FV48" s="1462"/>
      <c r="FW48" s="1462"/>
      <c r="FX48" s="1462"/>
      <c r="FY48" s="1462"/>
      <c r="FZ48" s="1461"/>
      <c r="GA48" s="1462"/>
      <c r="GB48" s="1462"/>
      <c r="GC48" s="1462"/>
      <c r="GD48" s="1462"/>
      <c r="GE48" s="1461"/>
      <c r="GF48" s="1462"/>
      <c r="GG48" s="1462"/>
      <c r="GH48" s="1462"/>
      <c r="GI48" s="1462"/>
      <c r="GJ48" s="1461"/>
    </row>
    <row r="49" spans="1:192" ht="12.75" hidden="1" customHeight="1" outlineLevel="1">
      <c r="B49" s="1509" t="s">
        <v>1956</v>
      </c>
      <c r="C49" s="493"/>
      <c r="D49" s="493"/>
      <c r="E49" s="493"/>
      <c r="F49" s="493"/>
      <c r="G49" s="494"/>
      <c r="H49" s="493"/>
      <c r="I49" s="493"/>
      <c r="J49" s="493"/>
      <c r="K49" s="493"/>
      <c r="L49" s="494"/>
      <c r="M49" s="493"/>
      <c r="N49" s="493"/>
      <c r="O49" s="493"/>
      <c r="P49" s="493"/>
      <c r="Q49" s="494"/>
      <c r="R49" s="815"/>
      <c r="S49" s="815"/>
      <c r="T49" s="815"/>
      <c r="U49" s="815"/>
      <c r="V49" s="494"/>
      <c r="W49" s="815"/>
      <c r="X49" s="815"/>
      <c r="Y49" s="815"/>
      <c r="Z49" s="815"/>
      <c r="AA49" s="494"/>
      <c r="AB49" s="815"/>
      <c r="AC49" s="815"/>
      <c r="AD49" s="815"/>
      <c r="AE49" s="815"/>
      <c r="AF49" s="494"/>
      <c r="AG49" s="815"/>
      <c r="AH49" s="815"/>
      <c r="AI49" s="815"/>
      <c r="AJ49" s="815"/>
      <c r="AK49" s="494"/>
      <c r="AL49" s="493"/>
      <c r="AM49" s="493"/>
      <c r="AN49" s="493"/>
      <c r="AO49" s="493"/>
      <c r="AP49" s="494"/>
      <c r="AQ49" s="493"/>
      <c r="AR49" s="493"/>
      <c r="AS49" s="493"/>
      <c r="AT49" s="493"/>
      <c r="AU49" s="494"/>
      <c r="AV49" s="493"/>
      <c r="AW49" s="493"/>
      <c r="AX49" s="493"/>
      <c r="AY49" s="493"/>
      <c r="AZ49" s="494"/>
      <c r="BA49" s="493"/>
      <c r="BB49" s="493"/>
      <c r="BC49" s="493"/>
      <c r="BD49" s="493"/>
      <c r="BE49" s="494"/>
      <c r="BF49" s="493"/>
      <c r="BG49" s="493"/>
      <c r="BH49" s="493"/>
      <c r="BI49" s="493"/>
      <c r="BJ49" s="494"/>
      <c r="BK49" s="493"/>
      <c r="BL49" s="493"/>
      <c r="BM49" s="493"/>
      <c r="BN49" s="493"/>
      <c r="BO49" s="494"/>
      <c r="BP49" s="493"/>
      <c r="BQ49" s="493"/>
      <c r="BR49" s="493"/>
      <c r="BS49" s="493"/>
      <c r="BT49" s="494"/>
      <c r="BU49" s="493"/>
      <c r="BV49" s="493"/>
      <c r="BW49" s="493"/>
      <c r="BX49" s="493"/>
      <c r="BY49" s="494"/>
      <c r="BZ49" s="493"/>
      <c r="CA49" s="493"/>
      <c r="CB49" s="493"/>
      <c r="CC49" s="493"/>
      <c r="CD49" s="494">
        <v>5673</v>
      </c>
      <c r="CE49" s="493"/>
      <c r="CF49" s="493"/>
      <c r="CG49" s="493"/>
      <c r="CH49" s="493"/>
      <c r="CI49" s="494">
        <v>6601</v>
      </c>
      <c r="CJ49" s="493"/>
      <c r="CK49" s="493"/>
      <c r="CL49" s="493"/>
      <c r="CM49" s="493"/>
      <c r="CN49" s="494">
        <v>7298</v>
      </c>
      <c r="CO49" s="493"/>
      <c r="CP49" s="493"/>
      <c r="CQ49" s="493"/>
      <c r="CR49" s="493"/>
      <c r="CS49" s="494">
        <v>9242</v>
      </c>
      <c r="CT49" s="493"/>
      <c r="CU49" s="493"/>
      <c r="CV49" s="493"/>
      <c r="CW49" s="493"/>
      <c r="CX49" s="494">
        <v>11430</v>
      </c>
      <c r="CY49" s="493"/>
      <c r="CZ49" s="493"/>
      <c r="DA49" s="493"/>
      <c r="DB49" s="493"/>
      <c r="DC49" s="494">
        <v>13612</v>
      </c>
      <c r="DD49" s="493"/>
      <c r="DE49" s="493"/>
      <c r="DF49" s="493"/>
      <c r="DG49" s="493"/>
      <c r="DH49" s="494">
        <v>17391</v>
      </c>
      <c r="DI49" s="493"/>
      <c r="DJ49" s="493"/>
      <c r="DK49" s="493"/>
      <c r="DL49" s="493"/>
      <c r="DM49" s="494">
        <v>21414</v>
      </c>
      <c r="DN49" s="493"/>
      <c r="DO49" s="493"/>
      <c r="DP49" s="493"/>
      <c r="DQ49" s="493"/>
      <c r="DR49" s="494">
        <v>27633</v>
      </c>
      <c r="DS49" s="493"/>
      <c r="DT49" s="493"/>
      <c r="DU49" s="493"/>
      <c r="DV49" s="493"/>
      <c r="DW49" s="494">
        <v>33823</v>
      </c>
      <c r="DX49" s="493"/>
      <c r="DY49" s="493"/>
      <c r="DZ49" s="493"/>
      <c r="EA49" s="493"/>
      <c r="EB49" s="494">
        <v>41261</v>
      </c>
      <c r="EC49" s="493"/>
      <c r="ED49" s="493"/>
      <c r="EE49" s="493"/>
      <c r="EF49" s="493"/>
      <c r="EG49" s="494">
        <v>51250</v>
      </c>
      <c r="EH49" s="493"/>
      <c r="EI49" s="493"/>
      <c r="EJ49" s="493"/>
      <c r="EK49" s="493"/>
      <c r="EL49" s="494">
        <v>60631</v>
      </c>
      <c r="EM49" s="493"/>
      <c r="EN49" s="493"/>
      <c r="EO49" s="493"/>
      <c r="EP49" s="493"/>
      <c r="EQ49" s="494">
        <v>74961</v>
      </c>
      <c r="ER49" s="493"/>
      <c r="ES49" s="493"/>
      <c r="ET49" s="493"/>
      <c r="EU49" s="493"/>
      <c r="EV49" s="494">
        <v>93780</v>
      </c>
      <c r="EW49" s="493"/>
      <c r="EX49" s="493"/>
      <c r="EY49" s="493"/>
      <c r="EZ49" s="493"/>
      <c r="FA49" s="494">
        <v>132836</v>
      </c>
      <c r="FB49" s="493"/>
      <c r="FC49" s="493"/>
      <c r="FD49" s="493"/>
      <c r="FE49" s="493"/>
      <c r="FF49" s="494"/>
      <c r="FG49" s="493"/>
      <c r="FH49" s="493"/>
      <c r="FI49" s="493"/>
      <c r="FJ49" s="493"/>
      <c r="FK49" s="494"/>
      <c r="FL49" s="493"/>
      <c r="FM49" s="493"/>
      <c r="FN49" s="493"/>
      <c r="FO49" s="493"/>
      <c r="FP49" s="494"/>
      <c r="FQ49" s="493"/>
      <c r="FR49" s="493"/>
      <c r="FS49" s="493"/>
      <c r="FT49" s="493"/>
      <c r="FU49" s="494"/>
      <c r="FV49" s="493"/>
      <c r="FW49" s="493"/>
      <c r="FX49" s="493"/>
      <c r="FY49" s="493"/>
      <c r="FZ49" s="494"/>
      <c r="GA49" s="493"/>
      <c r="GB49" s="493"/>
      <c r="GC49" s="493"/>
      <c r="GD49" s="493"/>
      <c r="GE49" s="494"/>
      <c r="GF49" s="493"/>
      <c r="GG49" s="493"/>
      <c r="GH49" s="493"/>
      <c r="GI49" s="493"/>
      <c r="GJ49" s="494"/>
    </row>
    <row r="50" spans="1:192" s="819" customFormat="1" ht="12.75" hidden="1" customHeight="1" outlineLevel="1">
      <c r="A50" s="850"/>
      <c r="B50" s="1016" t="s">
        <v>1960</v>
      </c>
      <c r="C50" s="1462"/>
      <c r="D50" s="1462"/>
      <c r="E50" s="1462"/>
      <c r="F50" s="1462"/>
      <c r="G50" s="1461"/>
      <c r="H50" s="1462"/>
      <c r="I50" s="1462"/>
      <c r="J50" s="1462"/>
      <c r="K50" s="1462"/>
      <c r="L50" s="1461"/>
      <c r="M50" s="1462"/>
      <c r="N50" s="1462"/>
      <c r="O50" s="1462"/>
      <c r="P50" s="1462"/>
      <c r="Q50" s="1461"/>
      <c r="R50" s="1489"/>
      <c r="S50" s="1489"/>
      <c r="T50" s="1489"/>
      <c r="U50" s="1489"/>
      <c r="V50" s="1461"/>
      <c r="W50" s="1489"/>
      <c r="X50" s="1489"/>
      <c r="Y50" s="1489"/>
      <c r="Z50" s="1489"/>
      <c r="AA50" s="1461"/>
      <c r="AB50" s="1489"/>
      <c r="AC50" s="1489"/>
      <c r="AD50" s="1489"/>
      <c r="AE50" s="1489"/>
      <c r="AF50" s="1461"/>
      <c r="AG50" s="1489"/>
      <c r="AH50" s="1489"/>
      <c r="AI50" s="1489"/>
      <c r="AJ50" s="1489"/>
      <c r="AK50" s="1461"/>
      <c r="AL50" s="1462"/>
      <c r="AM50" s="1462"/>
      <c r="AN50" s="1462"/>
      <c r="AO50" s="1462"/>
      <c r="AP50" s="1461"/>
      <c r="AQ50" s="1462"/>
      <c r="AR50" s="1462"/>
      <c r="AS50" s="1462"/>
      <c r="AT50" s="1462"/>
      <c r="AU50" s="1461"/>
      <c r="AV50" s="1462"/>
      <c r="AW50" s="1462"/>
      <c r="AX50" s="1462"/>
      <c r="AY50" s="1462"/>
      <c r="AZ50" s="1461"/>
      <c r="BA50" s="1462"/>
      <c r="BB50" s="1462"/>
      <c r="BC50" s="1462"/>
      <c r="BD50" s="1462"/>
      <c r="BE50" s="1461"/>
      <c r="BF50" s="1462"/>
      <c r="BG50" s="1462"/>
      <c r="BH50" s="1462"/>
      <c r="BI50" s="1462"/>
      <c r="BJ50" s="1461"/>
      <c r="BK50" s="1462"/>
      <c r="BL50" s="1462"/>
      <c r="BM50" s="1462"/>
      <c r="BN50" s="1462"/>
      <c r="BO50" s="1461"/>
      <c r="BP50" s="1462"/>
      <c r="BQ50" s="1462"/>
      <c r="BR50" s="1462"/>
      <c r="BS50" s="1462"/>
      <c r="BT50" s="1461"/>
      <c r="BU50" s="1462"/>
      <c r="BV50" s="1462"/>
      <c r="BW50" s="1462"/>
      <c r="BX50" s="1462"/>
      <c r="BY50" s="1461"/>
      <c r="BZ50" s="1462"/>
      <c r="CA50" s="1462"/>
      <c r="CB50" s="1462"/>
      <c r="CC50" s="1462"/>
      <c r="CD50" s="1461">
        <f>CD49/CD$53</f>
      </c>
      <c r="CE50" s="1462"/>
      <c r="CF50" s="1462"/>
      <c r="CG50" s="1462"/>
      <c r="CH50" s="1462"/>
      <c r="CI50" s="1461">
        <f>CI49/CI$53</f>
      </c>
      <c r="CJ50" s="1462"/>
      <c r="CK50" s="1462"/>
      <c r="CL50" s="1462"/>
      <c r="CM50" s="1462"/>
      <c r="CN50" s="1461">
        <f>CN49/CN$53</f>
      </c>
      <c r="CO50" s="1462"/>
      <c r="CP50" s="1462"/>
      <c r="CQ50" s="1462"/>
      <c r="CR50" s="1462"/>
      <c r="CS50" s="1461">
        <f>CS49/CS$53</f>
      </c>
      <c r="CT50" s="1462"/>
      <c r="CU50" s="1462"/>
      <c r="CV50" s="1462"/>
      <c r="CW50" s="1462"/>
      <c r="CX50" s="1461">
        <f>CX49/CX$53</f>
      </c>
      <c r="CY50" s="1462"/>
      <c r="CZ50" s="1462"/>
      <c r="DA50" s="1462"/>
      <c r="DB50" s="1462"/>
      <c r="DC50" s="1461">
        <f>DC49/DC$53</f>
      </c>
      <c r="DD50" s="1462"/>
      <c r="DE50" s="1462"/>
      <c r="DF50" s="1462"/>
      <c r="DG50" s="1462"/>
      <c r="DH50" s="1461">
        <f>DH49/DH$53</f>
      </c>
      <c r="DI50" s="1462"/>
      <c r="DJ50" s="1462"/>
      <c r="DK50" s="1462"/>
      <c r="DL50" s="1462"/>
      <c r="DM50" s="1461">
        <f>DM49/DM$53</f>
      </c>
      <c r="DN50" s="1462"/>
      <c r="DO50" s="1462"/>
      <c r="DP50" s="1462"/>
      <c r="DQ50" s="1462"/>
      <c r="DR50" s="1461">
        <f>DR49/DR$53</f>
      </c>
      <c r="DS50" s="1462"/>
      <c r="DT50" s="1462"/>
      <c r="DU50" s="1462"/>
      <c r="DV50" s="1462"/>
      <c r="DW50" s="1461">
        <f>DW49/DW$53</f>
      </c>
      <c r="DX50" s="1462"/>
      <c r="DY50" s="1462"/>
      <c r="DZ50" s="1462"/>
      <c r="EA50" s="1462"/>
      <c r="EB50" s="1461">
        <f>EB49/EB$53</f>
      </c>
      <c r="EC50" s="1462"/>
      <c r="ED50" s="1462"/>
      <c r="EE50" s="1462"/>
      <c r="EF50" s="1462"/>
      <c r="EG50" s="1461">
        <f>EG49/EG$53</f>
      </c>
      <c r="EH50" s="1462"/>
      <c r="EI50" s="1462"/>
      <c r="EJ50" s="1462"/>
      <c r="EK50" s="1462"/>
      <c r="EL50" s="1461">
        <f>EL49/EL$53</f>
      </c>
      <c r="EM50" s="1462"/>
      <c r="EN50" s="1462"/>
      <c r="EO50" s="1462"/>
      <c r="EP50" s="1462"/>
      <c r="EQ50" s="1461">
        <f>EQ49/EQ$53</f>
      </c>
      <c r="ER50" s="1462"/>
      <c r="ES50" s="1462"/>
      <c r="ET50" s="1462"/>
      <c r="EU50" s="1462"/>
      <c r="EV50" s="1461">
        <f>EV49/EV$53</f>
      </c>
      <c r="EW50" s="1462"/>
      <c r="EX50" s="1462"/>
      <c r="EY50" s="1462"/>
      <c r="EZ50" s="1462"/>
      <c r="FA50" s="1461">
        <f>FA49/FA$53</f>
      </c>
      <c r="FB50" s="1462"/>
      <c r="FC50" s="1462"/>
      <c r="FD50" s="1462"/>
      <c r="FE50" s="1462"/>
      <c r="FF50" s="1461"/>
      <c r="FG50" s="1462"/>
      <c r="FH50" s="1462"/>
      <c r="FI50" s="1462"/>
      <c r="FJ50" s="1462"/>
      <c r="FK50" s="1461"/>
      <c r="FL50" s="1462"/>
      <c r="FM50" s="1462"/>
      <c r="FN50" s="1462"/>
      <c r="FO50" s="1462"/>
      <c r="FP50" s="1461"/>
      <c r="FQ50" s="1462"/>
      <c r="FR50" s="1462"/>
      <c r="FS50" s="1462"/>
      <c r="FT50" s="1462"/>
      <c r="FU50" s="1461"/>
      <c r="FV50" s="1462"/>
      <c r="FW50" s="1462"/>
      <c r="FX50" s="1462"/>
      <c r="FY50" s="1462"/>
      <c r="FZ50" s="1461"/>
      <c r="GA50" s="1462"/>
      <c r="GB50" s="1462"/>
      <c r="GC50" s="1462"/>
      <c r="GD50" s="1462"/>
      <c r="GE50" s="1461"/>
      <c r="GF50" s="1462"/>
      <c r="GG50" s="1462"/>
      <c r="GH50" s="1462"/>
      <c r="GI50" s="1462"/>
      <c r="GJ50" s="1461"/>
    </row>
    <row r="51" spans="1:192" ht="12.75" hidden="1" customHeight="1" outlineLevel="1">
      <c r="B51" s="1509" t="s">
        <v>1955</v>
      </c>
      <c r="C51" s="493"/>
      <c r="D51" s="493"/>
      <c r="E51" s="493"/>
      <c r="F51" s="493"/>
      <c r="G51" s="494"/>
      <c r="H51" s="493"/>
      <c r="I51" s="493"/>
      <c r="J51" s="493"/>
      <c r="K51" s="493"/>
      <c r="L51" s="494"/>
      <c r="M51" s="493"/>
      <c r="N51" s="493"/>
      <c r="O51" s="493"/>
      <c r="P51" s="493"/>
      <c r="Q51" s="494"/>
      <c r="R51" s="815"/>
      <c r="S51" s="815"/>
      <c r="T51" s="815"/>
      <c r="U51" s="815"/>
      <c r="V51" s="494"/>
      <c r="W51" s="815"/>
      <c r="X51" s="815"/>
      <c r="Y51" s="815"/>
      <c r="Z51" s="815"/>
      <c r="AA51" s="494"/>
      <c r="AB51" s="815"/>
      <c r="AC51" s="815"/>
      <c r="AD51" s="815"/>
      <c r="AE51" s="815"/>
      <c r="AF51" s="494"/>
      <c r="AG51" s="815"/>
      <c r="AH51" s="815"/>
      <c r="AI51" s="815"/>
      <c r="AJ51" s="815"/>
      <c r="AK51" s="494"/>
      <c r="AL51" s="493"/>
      <c r="AM51" s="493"/>
      <c r="AN51" s="493"/>
      <c r="AO51" s="493"/>
      <c r="AP51" s="494"/>
      <c r="AQ51" s="493"/>
      <c r="AR51" s="493"/>
      <c r="AS51" s="493"/>
      <c r="AT51" s="493"/>
      <c r="AU51" s="494"/>
      <c r="AV51" s="493"/>
      <c r="AW51" s="493"/>
      <c r="AX51" s="493"/>
      <c r="AY51" s="493"/>
      <c r="AZ51" s="494"/>
      <c r="BA51" s="493"/>
      <c r="BB51" s="493"/>
      <c r="BC51" s="493"/>
      <c r="BD51" s="493"/>
      <c r="BE51" s="494"/>
      <c r="BF51" s="493"/>
      <c r="BG51" s="493"/>
      <c r="BH51" s="493"/>
      <c r="BI51" s="493"/>
      <c r="BJ51" s="494"/>
      <c r="BK51" s="493"/>
      <c r="BL51" s="493"/>
      <c r="BM51" s="493"/>
      <c r="BN51" s="493"/>
      <c r="BO51" s="494"/>
      <c r="BP51" s="493"/>
      <c r="BQ51" s="493"/>
      <c r="BR51" s="493"/>
      <c r="BS51" s="493"/>
      <c r="BT51" s="494"/>
      <c r="BU51" s="493"/>
      <c r="BV51" s="493"/>
      <c r="BW51" s="493"/>
      <c r="BX51" s="493"/>
      <c r="BY51" s="494"/>
      <c r="BZ51" s="493"/>
      <c r="CA51" s="493"/>
      <c r="CB51" s="493"/>
      <c r="CC51" s="493"/>
      <c r="CD51" s="494">
        <v>1873</v>
      </c>
      <c r="CE51" s="493"/>
      <c r="CF51" s="493"/>
      <c r="CG51" s="493"/>
      <c r="CH51" s="493"/>
      <c r="CI51" s="494">
        <v>1991</v>
      </c>
      <c r="CJ51" s="493"/>
      <c r="CK51" s="493"/>
      <c r="CL51" s="493"/>
      <c r="CM51" s="493"/>
      <c r="CN51" s="494">
        <v>2087</v>
      </c>
      <c r="CO51" s="493"/>
      <c r="CP51" s="493"/>
      <c r="CQ51" s="493"/>
      <c r="CR51" s="493"/>
      <c r="CS51" s="494">
        <v>2465</v>
      </c>
      <c r="CT51" s="493"/>
      <c r="CU51" s="493"/>
      <c r="CV51" s="493"/>
      <c r="CW51" s="493"/>
      <c r="CX51" s="494">
        <v>3406</v>
      </c>
      <c r="CY51" s="493"/>
      <c r="CZ51" s="493"/>
      <c r="DA51" s="493"/>
      <c r="DB51" s="493"/>
      <c r="DC51" s="494">
        <v>3579</v>
      </c>
      <c r="DD51" s="493"/>
      <c r="DE51" s="493"/>
      <c r="DF51" s="493"/>
      <c r="DG51" s="493"/>
      <c r="DH51" s="494">
        <v>3889</v>
      </c>
      <c r="DI51" s="493"/>
      <c r="DJ51" s="493"/>
      <c r="DK51" s="493"/>
      <c r="DL51" s="493"/>
      <c r="DM51" s="494">
        <v>4044</v>
      </c>
      <c r="DN51" s="493"/>
      <c r="DO51" s="493"/>
      <c r="DP51" s="493"/>
      <c r="DQ51" s="493"/>
      <c r="DR51" s="494">
        <v>4457</v>
      </c>
      <c r="DS51" s="493"/>
      <c r="DT51" s="493"/>
      <c r="DU51" s="493"/>
      <c r="DV51" s="493"/>
      <c r="DW51" s="494">
        <v>4840</v>
      </c>
      <c r="DX51" s="493"/>
      <c r="DY51" s="493"/>
      <c r="DZ51" s="493"/>
      <c r="EA51" s="493"/>
      <c r="EB51" s="494">
        <v>4782</v>
      </c>
      <c r="EC51" s="493"/>
      <c r="ED51" s="493"/>
      <c r="EE51" s="493"/>
      <c r="EF51" s="493"/>
      <c r="EG51" s="494">
        <v>5344</v>
      </c>
      <c r="EH51" s="493"/>
      <c r="EI51" s="493"/>
      <c r="EJ51" s="493"/>
      <c r="EK51" s="493"/>
      <c r="EL51" s="494">
        <v>5860</v>
      </c>
      <c r="EM51" s="493"/>
      <c r="EN51" s="493"/>
      <c r="EO51" s="493"/>
      <c r="EP51" s="493"/>
      <c r="EQ51" s="494">
        <v>6246</v>
      </c>
      <c r="ER51" s="493"/>
      <c r="ES51" s="493"/>
      <c r="ET51" s="493"/>
      <c r="EU51" s="493"/>
      <c r="EV51" s="494">
        <v>6532</v>
      </c>
      <c r="EW51" s="493"/>
      <c r="EX51" s="493"/>
      <c r="EY51" s="493"/>
      <c r="EZ51" s="493"/>
      <c r="FA51" s="494">
        <v>6407</v>
      </c>
      <c r="FB51" s="493"/>
      <c r="FC51" s="493"/>
      <c r="FD51" s="493"/>
      <c r="FE51" s="493"/>
      <c r="FF51" s="494"/>
      <c r="FG51" s="493"/>
      <c r="FH51" s="493"/>
      <c r="FI51" s="493"/>
      <c r="FJ51" s="493"/>
      <c r="FK51" s="494"/>
      <c r="FL51" s="493"/>
      <c r="FM51" s="493"/>
      <c r="FN51" s="493"/>
      <c r="FO51" s="493"/>
      <c r="FP51" s="494"/>
      <c r="FQ51" s="493"/>
      <c r="FR51" s="493"/>
      <c r="FS51" s="493"/>
      <c r="FT51" s="493"/>
      <c r="FU51" s="494"/>
      <c r="FV51" s="493"/>
      <c r="FW51" s="493"/>
      <c r="FX51" s="493"/>
      <c r="FY51" s="493"/>
      <c r="FZ51" s="494"/>
      <c r="GA51" s="493"/>
      <c r="GB51" s="493"/>
      <c r="GC51" s="493"/>
      <c r="GD51" s="493"/>
      <c r="GE51" s="494"/>
      <c r="GF51" s="493"/>
      <c r="GG51" s="493"/>
      <c r="GH51" s="493"/>
      <c r="GI51" s="493"/>
      <c r="GJ51" s="494"/>
    </row>
    <row r="52" spans="1:192" s="819" customFormat="1" ht="12.75" hidden="1" customHeight="1" outlineLevel="1">
      <c r="A52" s="850"/>
      <c r="B52" s="1016" t="s">
        <v>1960</v>
      </c>
      <c r="C52" s="1462"/>
      <c r="D52" s="1462"/>
      <c r="E52" s="1462"/>
      <c r="F52" s="1462"/>
      <c r="G52" s="1461"/>
      <c r="H52" s="1462"/>
      <c r="I52" s="1462"/>
      <c r="J52" s="1462"/>
      <c r="K52" s="1462"/>
      <c r="L52" s="1461"/>
      <c r="M52" s="1462"/>
      <c r="N52" s="1462"/>
      <c r="O52" s="1462"/>
      <c r="P52" s="1462"/>
      <c r="Q52" s="1461"/>
      <c r="R52" s="1489"/>
      <c r="S52" s="1489"/>
      <c r="T52" s="1489"/>
      <c r="U52" s="1489"/>
      <c r="V52" s="1461"/>
      <c r="W52" s="1489"/>
      <c r="X52" s="1489"/>
      <c r="Y52" s="1489"/>
      <c r="Z52" s="1489"/>
      <c r="AA52" s="1461"/>
      <c r="AB52" s="1489"/>
      <c r="AC52" s="1489"/>
      <c r="AD52" s="1489"/>
      <c r="AE52" s="1489"/>
      <c r="AF52" s="1461"/>
      <c r="AG52" s="1489"/>
      <c r="AH52" s="1489"/>
      <c r="AI52" s="1489"/>
      <c r="AJ52" s="1489"/>
      <c r="AK52" s="1461"/>
      <c r="AL52" s="1462"/>
      <c r="AM52" s="1462"/>
      <c r="AN52" s="1462"/>
      <c r="AO52" s="1462"/>
      <c r="AP52" s="1461"/>
      <c r="AQ52" s="1462"/>
      <c r="AR52" s="1462"/>
      <c r="AS52" s="1462"/>
      <c r="AT52" s="1462"/>
      <c r="AU52" s="1461"/>
      <c r="AV52" s="1462"/>
      <c r="AW52" s="1462"/>
      <c r="AX52" s="1462"/>
      <c r="AY52" s="1462"/>
      <c r="AZ52" s="1461"/>
      <c r="BA52" s="1462"/>
      <c r="BB52" s="1462"/>
      <c r="BC52" s="1462"/>
      <c r="BD52" s="1462"/>
      <c r="BE52" s="1461"/>
      <c r="BF52" s="1462"/>
      <c r="BG52" s="1462"/>
      <c r="BH52" s="1462"/>
      <c r="BI52" s="1462"/>
      <c r="BJ52" s="1461"/>
      <c r="BK52" s="1462"/>
      <c r="BL52" s="1462"/>
      <c r="BM52" s="1462"/>
      <c r="BN52" s="1462"/>
      <c r="BO52" s="1461"/>
      <c r="BP52" s="1462"/>
      <c r="BQ52" s="1462"/>
      <c r="BR52" s="1462"/>
      <c r="BS52" s="1462"/>
      <c r="BT52" s="1461"/>
      <c r="BU52" s="1462"/>
      <c r="BV52" s="1462"/>
      <c r="BW52" s="1462"/>
      <c r="BX52" s="1462"/>
      <c r="BY52" s="1461"/>
      <c r="BZ52" s="1462"/>
      <c r="CA52" s="1462"/>
      <c r="CB52" s="1462"/>
      <c r="CC52" s="1462"/>
      <c r="CD52" s="1461">
        <f>CD51/CD$53</f>
      </c>
      <c r="CE52" s="1462"/>
      <c r="CF52" s="1462"/>
      <c r="CG52" s="1462"/>
      <c r="CH52" s="1462"/>
      <c r="CI52" s="1461">
        <f>CI51/CI$53</f>
      </c>
      <c r="CJ52" s="1462"/>
      <c r="CK52" s="1462"/>
      <c r="CL52" s="1462"/>
      <c r="CM52" s="1462"/>
      <c r="CN52" s="1461">
        <f>CN51/CN$53</f>
      </c>
      <c r="CO52" s="1462"/>
      <c r="CP52" s="1462"/>
      <c r="CQ52" s="1462"/>
      <c r="CR52" s="1462"/>
      <c r="CS52" s="1461">
        <f>CS51/CS$53</f>
      </c>
      <c r="CT52" s="1462"/>
      <c r="CU52" s="1462"/>
      <c r="CV52" s="1462"/>
      <c r="CW52" s="1462"/>
      <c r="CX52" s="1461">
        <f>CX51/CX$53</f>
      </c>
      <c r="CY52" s="1462"/>
      <c r="CZ52" s="1462"/>
      <c r="DA52" s="1462"/>
      <c r="DB52" s="1462"/>
      <c r="DC52" s="1461">
        <f>DC51/DC$53</f>
      </c>
      <c r="DD52" s="1462"/>
      <c r="DE52" s="1462"/>
      <c r="DF52" s="1462"/>
      <c r="DG52" s="1462"/>
      <c r="DH52" s="1461">
        <f>DH51/DH$53</f>
      </c>
      <c r="DI52" s="1462"/>
      <c r="DJ52" s="1462"/>
      <c r="DK52" s="1462"/>
      <c r="DL52" s="1462"/>
      <c r="DM52" s="1461">
        <f>DM51/DM$53</f>
      </c>
      <c r="DN52" s="1462"/>
      <c r="DO52" s="1462"/>
      <c r="DP52" s="1462"/>
      <c r="DQ52" s="1462"/>
      <c r="DR52" s="1461">
        <f>DR51/DR$53</f>
      </c>
      <c r="DS52" s="1462"/>
      <c r="DT52" s="1462"/>
      <c r="DU52" s="1462"/>
      <c r="DV52" s="1462"/>
      <c r="DW52" s="1461">
        <f>DW51/DW$53</f>
      </c>
      <c r="DX52" s="1462"/>
      <c r="DY52" s="1462"/>
      <c r="DZ52" s="1462"/>
      <c r="EA52" s="1462"/>
      <c r="EB52" s="1461">
        <f>EB51/EB$53</f>
      </c>
      <c r="EC52" s="1462"/>
      <c r="ED52" s="1462"/>
      <c r="EE52" s="1462"/>
      <c r="EF52" s="1462"/>
      <c r="EG52" s="1461">
        <f>EG51/EG$53</f>
      </c>
      <c r="EH52" s="1462"/>
      <c r="EI52" s="1462"/>
      <c r="EJ52" s="1462"/>
      <c r="EK52" s="1462"/>
      <c r="EL52" s="1461">
        <f>EL51/EL$53</f>
      </c>
      <c r="EM52" s="1462"/>
      <c r="EN52" s="1462"/>
      <c r="EO52" s="1462"/>
      <c r="EP52" s="1462"/>
      <c r="EQ52" s="1461">
        <f>EQ51/EQ$53</f>
      </c>
      <c r="ER52" s="1462"/>
      <c r="ES52" s="1462"/>
      <c r="ET52" s="1462"/>
      <c r="EU52" s="1462"/>
      <c r="EV52" s="1461">
        <f>EV51/EV$53</f>
      </c>
      <c r="EW52" s="1462"/>
      <c r="EX52" s="1462"/>
      <c r="EY52" s="1462"/>
      <c r="EZ52" s="1462"/>
      <c r="FA52" s="1461">
        <f>FA51/FA$53</f>
      </c>
      <c r="FB52" s="1462"/>
      <c r="FC52" s="1462"/>
      <c r="FD52" s="1462"/>
      <c r="FE52" s="1462"/>
      <c r="FF52" s="1461"/>
      <c r="FG52" s="1462"/>
      <c r="FH52" s="1462"/>
      <c r="FI52" s="1462"/>
      <c r="FJ52" s="1462"/>
      <c r="FK52" s="1461"/>
      <c r="FL52" s="1462"/>
      <c r="FM52" s="1462"/>
      <c r="FN52" s="1462"/>
      <c r="FO52" s="1462"/>
      <c r="FP52" s="1461"/>
      <c r="FQ52" s="1462"/>
      <c r="FR52" s="1462"/>
      <c r="FS52" s="1462"/>
      <c r="FT52" s="1462"/>
      <c r="FU52" s="1461"/>
      <c r="FV52" s="1462"/>
      <c r="FW52" s="1462"/>
      <c r="FX52" s="1462"/>
      <c r="FY52" s="1462"/>
      <c r="FZ52" s="1461"/>
      <c r="GA52" s="1462"/>
      <c r="GB52" s="1462"/>
      <c r="GC52" s="1462"/>
      <c r="GD52" s="1462"/>
      <c r="GE52" s="1461"/>
      <c r="GF52" s="1462"/>
      <c r="GG52" s="1462"/>
      <c r="GH52" s="1462"/>
      <c r="GI52" s="1462"/>
      <c r="GJ52" s="1461"/>
    </row>
    <row r="53" spans="1:192" s="490" customFormat="1" ht="12.75" hidden="1" customHeight="1" outlineLevel="1">
      <c r="B53" s="1510" t="s">
        <v>1954</v>
      </c>
      <c r="C53" s="619"/>
      <c r="D53" s="619"/>
      <c r="E53" s="619"/>
      <c r="F53" s="619"/>
      <c r="G53" s="829"/>
      <c r="H53" s="619"/>
      <c r="I53" s="619"/>
      <c r="J53" s="619"/>
      <c r="K53" s="619"/>
      <c r="L53" s="829"/>
      <c r="M53" s="619"/>
      <c r="N53" s="619"/>
      <c r="O53" s="619"/>
      <c r="P53" s="619"/>
      <c r="Q53" s="829"/>
      <c r="R53" s="982"/>
      <c r="S53" s="982"/>
      <c r="T53" s="982"/>
      <c r="U53" s="982"/>
      <c r="V53" s="829"/>
      <c r="W53" s="982"/>
      <c r="X53" s="982"/>
      <c r="Y53" s="982"/>
      <c r="Z53" s="982"/>
      <c r="AA53" s="829"/>
      <c r="AB53" s="982"/>
      <c r="AC53" s="982"/>
      <c r="AD53" s="982"/>
      <c r="AE53" s="982"/>
      <c r="AF53" s="829"/>
      <c r="AG53" s="982"/>
      <c r="AH53" s="982"/>
      <c r="AI53" s="982"/>
      <c r="AJ53" s="982"/>
      <c r="AK53" s="829"/>
      <c r="AL53" s="619"/>
      <c r="AM53" s="619"/>
      <c r="AN53" s="619"/>
      <c r="AO53" s="619"/>
      <c r="AP53" s="829"/>
      <c r="AQ53" s="619"/>
      <c r="AR53" s="619"/>
      <c r="AS53" s="619"/>
      <c r="AT53" s="619"/>
      <c r="AU53" s="829"/>
      <c r="AV53" s="619"/>
      <c r="AW53" s="619"/>
      <c r="AX53" s="619"/>
      <c r="AY53" s="619"/>
      <c r="AZ53" s="829"/>
      <c r="BA53" s="619"/>
      <c r="BB53" s="619"/>
      <c r="BC53" s="619"/>
      <c r="BD53" s="619"/>
      <c r="BE53" s="829"/>
      <c r="BF53" s="619"/>
      <c r="BG53" s="619"/>
      <c r="BH53" s="619"/>
      <c r="BI53" s="619"/>
      <c r="BJ53" s="829"/>
      <c r="BK53" s="619"/>
      <c r="BL53" s="619"/>
      <c r="BM53" s="619"/>
      <c r="BN53" s="619"/>
      <c r="BO53" s="829"/>
      <c r="BP53" s="619"/>
      <c r="BQ53" s="619"/>
      <c r="BR53" s="619"/>
      <c r="BS53" s="619"/>
      <c r="BT53" s="829"/>
      <c r="BU53" s="619"/>
      <c r="BV53" s="619"/>
      <c r="BW53" s="619"/>
      <c r="BX53" s="619"/>
      <c r="BY53" s="829"/>
      <c r="BZ53" s="619"/>
      <c r="CA53" s="619"/>
      <c r="CB53" s="619"/>
      <c r="CC53" s="619"/>
      <c r="CD53" s="829">
        <f>CD43+CD45+CD47+CD49+CD51</f>
      </c>
      <c r="CE53" s="619"/>
      <c r="CF53" s="619"/>
      <c r="CG53" s="619"/>
      <c r="CH53" s="619"/>
      <c r="CI53" s="829">
        <f>CI43+CI45+CI47+CI49+CI51</f>
      </c>
      <c r="CJ53" s="619"/>
      <c r="CK53" s="619"/>
      <c r="CL53" s="619"/>
      <c r="CM53" s="619"/>
      <c r="CN53" s="829">
        <f>CN43+CN45+CN47+CN49+CN51</f>
      </c>
      <c r="CO53" s="619"/>
      <c r="CP53" s="619"/>
      <c r="CQ53" s="619"/>
      <c r="CR53" s="619"/>
      <c r="CS53" s="829">
        <f>CS43+CS45+CS47+CS49+CS51</f>
      </c>
      <c r="CT53" s="619"/>
      <c r="CU53" s="619"/>
      <c r="CV53" s="619"/>
      <c r="CW53" s="619"/>
      <c r="CX53" s="829">
        <f>CX43+CX45+CX47+CX49+CX51</f>
      </c>
      <c r="CY53" s="619"/>
      <c r="CZ53" s="619"/>
      <c r="DA53" s="619"/>
      <c r="DB53" s="619"/>
      <c r="DC53" s="829">
        <f>DC43+DC45+DC47+DC49+DC51</f>
      </c>
      <c r="DD53" s="619"/>
      <c r="DE53" s="619"/>
      <c r="DF53" s="619"/>
      <c r="DG53" s="619"/>
      <c r="DH53" s="829">
        <f>DH43+DH45+DH47+DH49+DH51</f>
      </c>
      <c r="DI53" s="619"/>
      <c r="DJ53" s="619"/>
      <c r="DK53" s="619"/>
      <c r="DL53" s="619"/>
      <c r="DM53" s="829">
        <f>DM43+DM45+DM47+DM49+DM51</f>
      </c>
      <c r="DN53" s="619"/>
      <c r="DO53" s="619"/>
      <c r="DP53" s="619"/>
      <c r="DQ53" s="619"/>
      <c r="DR53" s="829">
        <f>DR43+DR45+DR47+DR49+DR51</f>
      </c>
      <c r="DS53" s="619"/>
      <c r="DT53" s="619"/>
      <c r="DU53" s="619"/>
      <c r="DV53" s="619"/>
      <c r="DW53" s="829">
        <f>DW43+DW45+DW47+DW49+DW51</f>
      </c>
      <c r="DX53" s="619"/>
      <c r="DY53" s="619"/>
      <c r="DZ53" s="619"/>
      <c r="EA53" s="619"/>
      <c r="EB53" s="829">
        <f>EB43+EB45+EB47+EB49+EB51</f>
      </c>
      <c r="EC53" s="619"/>
      <c r="ED53" s="619"/>
      <c r="EE53" s="619"/>
      <c r="EF53" s="619"/>
      <c r="EG53" s="829">
        <f>EG43+EG45+EG47+EG49+EG51</f>
      </c>
      <c r="EH53" s="619"/>
      <c r="EI53" s="619"/>
      <c r="EJ53" s="619"/>
      <c r="EK53" s="619"/>
      <c r="EL53" s="829">
        <f>EL43+EL45+EL47+EL49+EL51</f>
      </c>
      <c r="EM53" s="619"/>
      <c r="EN53" s="619"/>
      <c r="EO53" s="619"/>
      <c r="EP53" s="619"/>
      <c r="EQ53" s="829">
        <f>EQ43+EQ45+EQ47+EQ49+EQ51</f>
      </c>
      <c r="ER53" s="619"/>
      <c r="ES53" s="619"/>
      <c r="ET53" s="619"/>
      <c r="EU53" s="619"/>
      <c r="EV53" s="829">
        <f>EV43+EV45+EV47+EV49+EV51</f>
      </c>
      <c r="EW53" s="619"/>
      <c r="EX53" s="619"/>
      <c r="EY53" s="619"/>
      <c r="EZ53" s="619"/>
      <c r="FA53" s="829">
        <f>FA43+FA45+FA47+FA49+FA51</f>
      </c>
      <c r="FB53" s="619"/>
      <c r="FC53" s="619"/>
      <c r="FD53" s="619"/>
      <c r="FE53" s="619"/>
      <c r="FF53" s="829"/>
      <c r="FG53" s="619"/>
      <c r="FH53" s="619"/>
      <c r="FI53" s="619"/>
      <c r="FJ53" s="619"/>
      <c r="FK53" s="829"/>
      <c r="FL53" s="619"/>
      <c r="FM53" s="619"/>
      <c r="FN53" s="619"/>
      <c r="FO53" s="619"/>
      <c r="FP53" s="829"/>
      <c r="FQ53" s="619"/>
      <c r="FR53" s="619"/>
      <c r="FS53" s="619"/>
      <c r="FT53" s="619"/>
      <c r="FU53" s="829"/>
      <c r="FV53" s="619"/>
      <c r="FW53" s="619"/>
      <c r="FX53" s="619"/>
      <c r="FY53" s="619"/>
      <c r="FZ53" s="829"/>
      <c r="GA53" s="619"/>
      <c r="GB53" s="619"/>
      <c r="GC53" s="619"/>
      <c r="GD53" s="619"/>
      <c r="GE53" s="829"/>
      <c r="GF53" s="619"/>
      <c r="GG53" s="619"/>
      <c r="GH53" s="619"/>
      <c r="GI53" s="619"/>
      <c r="GJ53" s="829"/>
    </row>
    <row r="54" spans="1:192" s="1031" customFormat="1" ht="12.75" hidden="1" customHeight="1" outlineLevel="1">
      <c r="A54" s="1027"/>
      <c r="B54" s="727" t="s">
        <v>186</v>
      </c>
      <c r="C54" s="1511"/>
      <c r="D54" s="1511"/>
      <c r="E54" s="1511"/>
      <c r="F54" s="1511"/>
      <c r="G54" s="1512"/>
      <c r="H54" s="1511"/>
      <c r="I54" s="1511"/>
      <c r="J54" s="1511"/>
      <c r="K54" s="1511"/>
      <c r="L54" s="1512"/>
      <c r="M54" s="1511"/>
      <c r="N54" s="1511"/>
      <c r="O54" s="1511"/>
      <c r="P54" s="1511"/>
      <c r="Q54" s="1512"/>
      <c r="R54" s="1513"/>
      <c r="S54" s="1513"/>
      <c r="T54" s="1513"/>
      <c r="U54" s="1513"/>
      <c r="V54" s="1512"/>
      <c r="W54" s="1513"/>
      <c r="X54" s="1513"/>
      <c r="Y54" s="1513"/>
      <c r="Z54" s="1513"/>
      <c r="AA54" s="1512"/>
      <c r="AB54" s="1513"/>
      <c r="AC54" s="1513"/>
      <c r="AD54" s="1513"/>
      <c r="AE54" s="1513"/>
      <c r="AF54" s="1512"/>
      <c r="AG54" s="1513"/>
      <c r="AH54" s="1513"/>
      <c r="AI54" s="1513"/>
      <c r="AJ54" s="1513"/>
      <c r="AK54" s="1512"/>
      <c r="AL54" s="1511"/>
      <c r="AM54" s="1511"/>
      <c r="AN54" s="1511"/>
      <c r="AO54" s="1511"/>
      <c r="AP54" s="1512"/>
      <c r="AQ54" s="1511"/>
      <c r="AR54" s="1511"/>
      <c r="AS54" s="1511"/>
      <c r="AT54" s="1511"/>
      <c r="AU54" s="1512"/>
      <c r="AV54" s="1511"/>
      <c r="AW54" s="1511"/>
      <c r="AX54" s="1511"/>
      <c r="AY54" s="1511"/>
      <c r="AZ54" s="1512"/>
      <c r="BA54" s="1511"/>
      <c r="BB54" s="1511"/>
      <c r="BC54" s="1511"/>
      <c r="BD54" s="1511"/>
      <c r="BE54" s="1512"/>
      <c r="BF54" s="1511"/>
      <c r="BG54" s="1511"/>
      <c r="BH54" s="1511"/>
      <c r="BI54" s="1511"/>
      <c r="BJ54" s="1512"/>
      <c r="BK54" s="1511"/>
      <c r="BL54" s="1511"/>
      <c r="BM54" s="1511"/>
      <c r="BN54" s="1511"/>
      <c r="BO54" s="1512"/>
      <c r="BP54" s="1511"/>
      <c r="BQ54" s="1511"/>
      <c r="BR54" s="1511"/>
      <c r="BS54" s="1511"/>
      <c r="BT54" s="1512"/>
      <c r="BU54" s="1514"/>
      <c r="BV54" s="1514"/>
      <c r="BW54" s="1514"/>
      <c r="BX54" s="1514"/>
      <c r="BY54" s="1515"/>
      <c r="BZ54" s="1514"/>
      <c r="CA54" s="1514"/>
      <c r="CB54" s="1514"/>
      <c r="CC54" s="1514"/>
      <c r="CD54" s="1515">
        <f>BS!CD147</f>
      </c>
      <c r="CE54" s="1514"/>
      <c r="CF54" s="1514"/>
      <c r="CG54" s="1514"/>
      <c r="CH54" s="1514"/>
      <c r="CI54" s="1515">
        <f>BS!CI147</f>
      </c>
      <c r="CJ54" s="1514"/>
      <c r="CK54" s="1514"/>
      <c r="CL54" s="1514"/>
      <c r="CM54" s="1514"/>
      <c r="CN54" s="1515">
        <f>BS!CN147</f>
      </c>
      <c r="CO54" s="1514"/>
      <c r="CP54" s="1514"/>
      <c r="CQ54" s="1514"/>
      <c r="CR54" s="1514"/>
      <c r="CS54" s="1515">
        <f>BS!CS147</f>
      </c>
      <c r="CT54" s="1514"/>
      <c r="CU54" s="1514"/>
      <c r="CV54" s="1514"/>
      <c r="CW54" s="1514"/>
      <c r="CX54" s="1515">
        <f>BS!CX147</f>
      </c>
      <c r="CY54" s="1514"/>
      <c r="CZ54" s="1514"/>
      <c r="DA54" s="1514"/>
      <c r="DB54" s="1514"/>
      <c r="DC54" s="1515">
        <f>BS!DC147</f>
      </c>
      <c r="DD54" s="1514"/>
      <c r="DE54" s="1514"/>
      <c r="DF54" s="1514"/>
      <c r="DG54" s="1514"/>
      <c r="DH54" s="1515">
        <f>BS!DH147</f>
      </c>
      <c r="DI54" s="1514"/>
      <c r="DJ54" s="1514"/>
      <c r="DK54" s="1514"/>
      <c r="DL54" s="1514"/>
      <c r="DM54" s="1515">
        <f>BS!DM147</f>
      </c>
      <c r="DN54" s="1514"/>
      <c r="DO54" s="1514"/>
      <c r="DP54" s="1514"/>
      <c r="DQ54" s="1514"/>
      <c r="DR54" s="1515">
        <f>BS!DR147</f>
      </c>
      <c r="DS54" s="1514"/>
      <c r="DT54" s="1514"/>
      <c r="DU54" s="1514"/>
      <c r="DV54" s="1514"/>
      <c r="DW54" s="1515">
        <f>BS!DW147</f>
      </c>
      <c r="DX54" s="1514"/>
      <c r="DY54" s="1514"/>
      <c r="DZ54" s="1514"/>
      <c r="EA54" s="1514"/>
      <c r="EB54" s="1515">
        <f>BS!EB147</f>
      </c>
      <c r="EC54" s="1514"/>
      <c r="ED54" s="1514"/>
      <c r="EE54" s="1514"/>
      <c r="EF54" s="1514"/>
      <c r="EG54" s="1515">
        <f>BS!EG147</f>
      </c>
      <c r="EH54" s="1514"/>
      <c r="EI54" s="1514"/>
      <c r="EJ54" s="1514"/>
      <c r="EK54" s="1514"/>
      <c r="EL54" s="1515">
        <f>BS!EL147</f>
      </c>
      <c r="EM54" s="1514"/>
      <c r="EN54" s="1514"/>
      <c r="EO54" s="1514"/>
      <c r="EP54" s="1514"/>
      <c r="EQ54" s="1515">
        <f>BS!EQ147</f>
      </c>
      <c r="ER54" s="1514"/>
      <c r="ES54" s="1514"/>
      <c r="ET54" s="1514"/>
      <c r="EU54" s="1514"/>
      <c r="EV54" s="1515">
        <f>BS!EV147</f>
      </c>
      <c r="EW54" s="1039"/>
      <c r="EX54" s="1039"/>
      <c r="EY54" s="1039"/>
      <c r="EZ54" s="1514"/>
      <c r="FA54" s="1515">
        <f>BS!FA147</f>
      </c>
      <c r="FB54" s="1039"/>
      <c r="FC54" s="1039"/>
      <c r="FD54" s="1039"/>
      <c r="FE54" s="1039"/>
      <c r="FF54" s="1040"/>
      <c r="FG54" s="1039"/>
      <c r="FH54" s="1039"/>
      <c r="FI54" s="1039"/>
      <c r="FJ54" s="1039"/>
      <c r="FK54" s="1040"/>
      <c r="FL54" s="1039"/>
      <c r="FM54" s="1039"/>
      <c r="FN54" s="1039"/>
      <c r="FO54" s="1039"/>
      <c r="FP54" s="1040"/>
      <c r="FQ54" s="1039"/>
      <c r="FR54" s="1039"/>
      <c r="FS54" s="1039"/>
      <c r="FT54" s="1039"/>
      <c r="FU54" s="1040"/>
      <c r="FV54" s="1039"/>
      <c r="FW54" s="1039"/>
      <c r="FX54" s="1039"/>
      <c r="FY54" s="1039"/>
      <c r="FZ54" s="1040"/>
      <c r="GA54" s="1039"/>
      <c r="GB54" s="1039"/>
      <c r="GC54" s="1039"/>
      <c r="GD54" s="1039"/>
      <c r="GE54" s="1040"/>
      <c r="GF54" s="1039"/>
      <c r="GG54" s="1039"/>
      <c r="GH54" s="1039"/>
      <c r="GI54" s="1039"/>
      <c r="GJ54" s="1040"/>
    </row>
    <row r="55" spans="1:192" s="1031" customFormat="1" ht="12.75" hidden="1" customHeight="1" outlineLevel="1">
      <c r="A55" s="1027"/>
      <c r="B55" s="727" t="s">
        <v>88</v>
      </c>
      <c r="C55" s="1028"/>
      <c r="D55" s="1028"/>
      <c r="E55" s="1028"/>
      <c r="F55" s="1028"/>
      <c r="G55" s="1029"/>
      <c r="H55" s="1028"/>
      <c r="I55" s="1028"/>
      <c r="J55" s="1028"/>
      <c r="K55" s="1028"/>
      <c r="L55" s="1029"/>
      <c r="M55" s="1028"/>
      <c r="N55" s="1028"/>
      <c r="O55" s="1028"/>
      <c r="P55" s="1028"/>
      <c r="Q55" s="1029"/>
      <c r="R55" s="1030"/>
      <c r="S55" s="1030"/>
      <c r="T55" s="1030"/>
      <c r="U55" s="1030"/>
      <c r="V55" s="1029"/>
      <c r="W55" s="1030"/>
      <c r="X55" s="1030"/>
      <c r="Y55" s="1030"/>
      <c r="Z55" s="1030"/>
      <c r="AA55" s="1029"/>
      <c r="AB55" s="1030"/>
      <c r="AC55" s="1030"/>
      <c r="AD55" s="1030"/>
      <c r="AE55" s="1030"/>
      <c r="AF55" s="1029"/>
      <c r="AG55" s="1030"/>
      <c r="AH55" s="1030"/>
      <c r="AI55" s="1030"/>
      <c r="AJ55" s="1030"/>
      <c r="AK55" s="1029"/>
      <c r="AL55" s="1028"/>
      <c r="AM55" s="1028"/>
      <c r="AN55" s="1028"/>
      <c r="AO55" s="1028"/>
      <c r="AP55" s="1029"/>
      <c r="AQ55" s="1028"/>
      <c r="AR55" s="1028"/>
      <c r="AS55" s="1028"/>
      <c r="AT55" s="1028"/>
      <c r="AU55" s="1029"/>
      <c r="AV55" s="1028"/>
      <c r="AW55" s="1028"/>
      <c r="AX55" s="1028"/>
      <c r="AY55" s="1028"/>
      <c r="AZ55" s="1029"/>
      <c r="BA55" s="1028"/>
      <c r="BB55" s="1028"/>
      <c r="BC55" s="1028"/>
      <c r="BD55" s="1028"/>
      <c r="BE55" s="1029"/>
      <c r="BF55" s="1028"/>
      <c r="BG55" s="1028"/>
      <c r="BH55" s="1028"/>
      <c r="BI55" s="1028"/>
      <c r="BJ55" s="1029"/>
      <c r="BK55" s="1028"/>
      <c r="BL55" s="1028"/>
      <c r="BM55" s="1028"/>
      <c r="BN55" s="1028"/>
      <c r="BO55" s="1029"/>
      <c r="BP55" s="1028"/>
      <c r="BQ55" s="1028"/>
      <c r="BR55" s="1028"/>
      <c r="BS55" s="1028"/>
      <c r="BT55" s="1029"/>
      <c r="BU55" s="1039"/>
      <c r="BV55" s="1039"/>
      <c r="BW55" s="1039"/>
      <c r="BX55" s="1039"/>
      <c r="BY55" s="1040"/>
      <c r="BZ55" s="1039"/>
      <c r="CA55" s="1039"/>
      <c r="CB55" s="1039"/>
      <c r="CC55" s="1039"/>
      <c r="CD55" s="1040" t="str">
        <f>IF((CD53-CD54)=BS!CD18,"OK",('CapEx Breakdown'!CD53-'CapEx Breakdown'!CD54)-BS!CD18)</f>
      </c>
      <c r="CE55" s="1039"/>
      <c r="CF55" s="1039"/>
      <c r="CG55" s="1039"/>
      <c r="CH55" s="1039"/>
      <c r="CI55" s="1040" t="str">
        <f>IF((CI53-CI54)=BS!CI18,"OK",('CapEx Breakdown'!CI53-'CapEx Breakdown'!CI54)-BS!CI18)</f>
      </c>
      <c r="CJ55" s="1039"/>
      <c r="CK55" s="1039"/>
      <c r="CL55" s="1039"/>
      <c r="CM55" s="1039"/>
      <c r="CN55" s="1040" t="str">
        <f>IF((CN53-CN54)=BS!CN18,"OK",('CapEx Breakdown'!CN53-'CapEx Breakdown'!CN54)-BS!CN18)</f>
      </c>
      <c r="CO55" s="1039"/>
      <c r="CP55" s="1039"/>
      <c r="CQ55" s="1039"/>
      <c r="CR55" s="1039"/>
      <c r="CS55" s="1040" t="str">
        <f>IF((CS53-CS54)=BS!CS18,"OK",('CapEx Breakdown'!CS53-'CapEx Breakdown'!CS54)-BS!CS18)</f>
      </c>
      <c r="CT55" s="1039"/>
      <c r="CU55" s="1039"/>
      <c r="CV55" s="1039"/>
      <c r="CW55" s="1039"/>
      <c r="CX55" s="1040" t="str">
        <f>IF((CX53-CX54)=BS!CX18,"OK",('CapEx Breakdown'!CX53-'CapEx Breakdown'!CX54)-BS!CX18)</f>
      </c>
      <c r="CY55" s="1039"/>
      <c r="CZ55" s="1039"/>
      <c r="DA55" s="1039"/>
      <c r="DB55" s="1039"/>
      <c r="DC55" s="1040" t="str">
        <f>IF((DC53-DC54)=BS!DC18,"OK",('CapEx Breakdown'!DC53-'CapEx Breakdown'!DC54)-BS!DC18)</f>
      </c>
      <c r="DD55" s="1039"/>
      <c r="DE55" s="1039"/>
      <c r="DF55" s="1039"/>
      <c r="DG55" s="1039"/>
      <c r="DH55" s="1040" t="str">
        <f>IF((DH53-DH54)=BS!DH18,"OK",('CapEx Breakdown'!DH53-'CapEx Breakdown'!DH54)-BS!DH18)</f>
      </c>
      <c r="DI55" s="1039"/>
      <c r="DJ55" s="1039"/>
      <c r="DK55" s="1039"/>
      <c r="DL55" s="1039"/>
      <c r="DM55" s="1040" t="str">
        <f>IF((DM53-DM54)=BS!DM18,"OK",('CapEx Breakdown'!DM53-'CapEx Breakdown'!DM54)-BS!DM18)</f>
      </c>
      <c r="DN55" s="1039"/>
      <c r="DO55" s="1039"/>
      <c r="DP55" s="1039"/>
      <c r="DQ55" s="1039"/>
      <c r="DR55" s="1040" t="str">
        <f>IF((DR53-DR54)=BS!DR18,"OK",('CapEx Breakdown'!DR53-'CapEx Breakdown'!DR54)-BS!DR18)</f>
      </c>
      <c r="DS55" s="1039"/>
      <c r="DT55" s="1039"/>
      <c r="DU55" s="1039"/>
      <c r="DV55" s="1039"/>
      <c r="DW55" s="1040" t="str">
        <f>IF((DW53-DW54)=BS!DW18,"OK",('CapEx Breakdown'!DW53-'CapEx Breakdown'!DW54)-BS!DW18)</f>
      </c>
      <c r="DX55" s="1039"/>
      <c r="DY55" s="1039"/>
      <c r="DZ55" s="1039"/>
      <c r="EA55" s="1039"/>
      <c r="EB55" s="1040" t="str">
        <f>IF((EB53-EB54)=BS!EB18,"OK",('CapEx Breakdown'!EB53-'CapEx Breakdown'!EB54)-BS!EB18)</f>
      </c>
      <c r="EC55" s="1039"/>
      <c r="ED55" s="1039"/>
      <c r="EE55" s="1039"/>
      <c r="EF55" s="1039"/>
      <c r="EG55" s="1040" t="str">
        <f>IF((EG53-EG54)=BS!EG18,"OK",('CapEx Breakdown'!EG53-'CapEx Breakdown'!EG54)-BS!EG18)</f>
      </c>
      <c r="EH55" s="1039"/>
      <c r="EI55" s="1039"/>
      <c r="EJ55" s="1039"/>
      <c r="EK55" s="1039"/>
      <c r="EL55" s="1040" t="str">
        <f>IF((EL53-EL54)=BS!EL18,"OK",('CapEx Breakdown'!EL53-'CapEx Breakdown'!EL54)-BS!EL18)</f>
      </c>
      <c r="EM55" s="1039"/>
      <c r="EN55" s="1039"/>
      <c r="EO55" s="1039"/>
      <c r="EP55" s="1039"/>
      <c r="EQ55" s="1040" t="str">
        <f>IF((EQ53-EQ54)=BS!EQ18,"OK",('CapEx Breakdown'!EQ53-'CapEx Breakdown'!EQ54)-BS!EQ18)</f>
      </c>
      <c r="ER55" s="1039"/>
      <c r="ES55" s="1039"/>
      <c r="ET55" s="1039"/>
      <c r="EU55" s="1039"/>
      <c r="EV55" s="1040" t="str">
        <f>IF((EV53-EV54)=BS!EV18,"OK",('CapEx Breakdown'!EV53-'CapEx Breakdown'!EV54)-BS!EV18)</f>
      </c>
      <c r="EW55" s="1039"/>
      <c r="EX55" s="1039"/>
      <c r="EY55" s="1039"/>
      <c r="EZ55" s="1039"/>
      <c r="FA55" s="1040" t="str">
        <f>IF((FA53-FA54)=BS!FA18,"OK",('CapEx Breakdown'!FA53-'CapEx Breakdown'!FA54)-BS!FA18)</f>
      </c>
      <c r="FB55" s="1039"/>
      <c r="FC55" s="1039"/>
      <c r="FD55" s="1039"/>
      <c r="FE55" s="1039"/>
      <c r="FF55" s="1040"/>
      <c r="FG55" s="1039"/>
      <c r="FH55" s="1039"/>
      <c r="FI55" s="1039"/>
      <c r="FJ55" s="1039"/>
      <c r="FK55" s="1040"/>
      <c r="FL55" s="1039"/>
      <c r="FM55" s="1039"/>
      <c r="FN55" s="1039"/>
      <c r="FO55" s="1039"/>
      <c r="FP55" s="1040"/>
      <c r="FQ55" s="1039"/>
      <c r="FR55" s="1039"/>
      <c r="FS55" s="1039"/>
      <c r="FT55" s="1039"/>
      <c r="FU55" s="1040"/>
      <c r="FV55" s="1039"/>
      <c r="FW55" s="1039"/>
      <c r="FX55" s="1039"/>
      <c r="FY55" s="1039"/>
      <c r="FZ55" s="1040"/>
      <c r="GA55" s="1039"/>
      <c r="GB55" s="1039"/>
      <c r="GC55" s="1039"/>
      <c r="GD55" s="1039"/>
      <c r="GE55" s="1040"/>
      <c r="GF55" s="1039"/>
      <c r="GG55" s="1039"/>
      <c r="GH55" s="1039"/>
      <c r="GI55" s="1039"/>
      <c r="GJ55" s="1040"/>
    </row>
    <row r="56" spans="1:192" s="283" customFormat="1" ht="12.75" customHeight="1" collapsed="1">
      <c r="A56" s="68"/>
      <c r="B56" s="821"/>
      <c r="C56" s="248"/>
      <c r="D56" s="266"/>
      <c r="E56" s="266"/>
      <c r="F56" s="266"/>
      <c r="G56" s="304"/>
      <c r="H56" s="248"/>
      <c r="I56" s="266"/>
      <c r="J56" s="266"/>
      <c r="K56" s="266"/>
      <c r="L56" s="304"/>
      <c r="M56" s="822"/>
      <c r="N56" s="268"/>
      <c r="O56" s="268"/>
      <c r="P56" s="268"/>
      <c r="Q56" s="304"/>
      <c r="R56" s="822"/>
      <c r="S56" s="268"/>
      <c r="T56" s="268"/>
      <c r="U56" s="268"/>
      <c r="V56" s="304"/>
      <c r="W56" s="822"/>
      <c r="X56" s="268"/>
      <c r="Y56" s="268"/>
      <c r="Z56" s="268"/>
      <c r="AA56" s="304"/>
      <c r="AB56" s="822"/>
      <c r="AC56" s="268"/>
      <c r="AD56" s="268"/>
      <c r="AE56" s="268"/>
      <c r="AF56" s="304"/>
      <c r="AG56" s="822"/>
      <c r="AH56" s="268"/>
      <c r="AI56" s="268"/>
      <c r="AJ56" s="268"/>
      <c r="AK56" s="304"/>
      <c r="AL56" s="248"/>
      <c r="AM56" s="266"/>
      <c r="AN56" s="266"/>
      <c r="AO56" s="266"/>
      <c r="AP56" s="304"/>
      <c r="AQ56" s="248"/>
      <c r="AR56" s="266"/>
      <c r="AS56" s="266"/>
      <c r="AT56" s="266"/>
      <c r="AU56" s="304"/>
      <c r="AV56" s="248"/>
      <c r="AW56" s="266"/>
      <c r="AX56" s="266"/>
      <c r="AY56" s="266"/>
      <c r="AZ56" s="304"/>
      <c r="BA56" s="248"/>
      <c r="BB56" s="266"/>
      <c r="BC56" s="266"/>
      <c r="BD56" s="266"/>
      <c r="BE56" s="304"/>
      <c r="BF56" s="248"/>
      <c r="BG56" s="266"/>
      <c r="BH56" s="266"/>
      <c r="BI56" s="266"/>
      <c r="BJ56" s="304"/>
      <c r="BK56" s="248"/>
      <c r="BL56" s="266"/>
      <c r="BM56" s="266"/>
      <c r="BN56" s="266"/>
      <c r="BO56" s="304"/>
      <c r="BP56" s="248"/>
      <c r="BQ56" s="266"/>
      <c r="BR56" s="266"/>
      <c r="BS56" s="266"/>
      <c r="BT56" s="304"/>
      <c r="BU56" s="248"/>
      <c r="BV56" s="266"/>
      <c r="BW56" s="266"/>
      <c r="BX56" s="266"/>
      <c r="BY56" s="304"/>
      <c r="BZ56" s="248"/>
      <c r="CA56" s="266"/>
      <c r="CB56" s="266"/>
      <c r="CC56" s="266"/>
      <c r="CD56" s="304"/>
      <c r="CE56" s="248"/>
      <c r="CF56" s="266"/>
      <c r="CG56" s="266"/>
      <c r="CH56" s="266"/>
      <c r="CI56" s="304"/>
      <c r="CJ56" s="248"/>
      <c r="CK56" s="266"/>
      <c r="CL56" s="266"/>
      <c r="CM56" s="266"/>
      <c r="CN56" s="304"/>
      <c r="CO56" s="248"/>
      <c r="CP56" s="266"/>
      <c r="CQ56" s="266"/>
      <c r="CR56" s="266"/>
      <c r="CS56" s="304"/>
      <c r="CT56" s="248"/>
      <c r="CU56" s="266"/>
      <c r="CV56" s="266"/>
      <c r="CW56" s="266"/>
      <c r="CX56" s="304"/>
      <c r="CY56" s="248"/>
      <c r="CZ56" s="266"/>
      <c r="DA56" s="266"/>
      <c r="DB56" s="266"/>
      <c r="DC56" s="304"/>
      <c r="DD56" s="248"/>
      <c r="DE56" s="266"/>
      <c r="DF56" s="266"/>
      <c r="DG56" s="266"/>
      <c r="DH56" s="304"/>
      <c r="DI56" s="248"/>
      <c r="DJ56" s="266"/>
      <c r="DK56" s="266"/>
      <c r="DL56" s="266"/>
      <c r="DM56" s="304"/>
      <c r="DN56" s="248"/>
      <c r="DO56" s="266"/>
      <c r="DP56" s="266"/>
      <c r="DQ56" s="266"/>
      <c r="DR56" s="304"/>
      <c r="DS56" s="248"/>
      <c r="DT56" s="266"/>
      <c r="DU56" s="266"/>
      <c r="DV56" s="266"/>
      <c r="DW56" s="304"/>
      <c r="DX56" s="248"/>
      <c r="DY56" s="266"/>
      <c r="DZ56" s="266"/>
      <c r="EA56" s="266"/>
      <c r="EB56" s="304"/>
      <c r="EC56" s="248"/>
      <c r="ED56" s="266"/>
      <c r="EE56" s="266"/>
      <c r="EF56" s="266"/>
      <c r="EG56" s="304"/>
      <c r="EH56" s="248"/>
      <c r="EI56" s="266"/>
      <c r="EJ56" s="266"/>
      <c r="EK56" s="266"/>
      <c r="EL56" s="308"/>
      <c r="EM56" s="248"/>
      <c r="EN56" s="266"/>
      <c r="EO56" s="266"/>
      <c r="EP56" s="266"/>
      <c r="EQ56" s="308"/>
      <c r="ER56" s="248"/>
      <c r="ES56" s="266"/>
      <c r="ET56" s="266"/>
      <c r="EU56" s="266"/>
      <c r="EV56" s="304"/>
      <c r="EW56" s="248"/>
      <c r="EX56" s="266"/>
      <c r="EY56" s="266"/>
      <c r="EZ56" s="266"/>
      <c r="FA56" s="304"/>
      <c r="FB56" s="248"/>
      <c r="FC56" s="266"/>
      <c r="FD56" s="266"/>
      <c r="FE56" s="266"/>
      <c r="FF56" s="304"/>
      <c r="FG56" s="248"/>
      <c r="FH56" s="266"/>
      <c r="FI56" s="266"/>
      <c r="FJ56" s="266"/>
      <c r="FK56" s="304"/>
      <c r="FL56" s="248"/>
      <c r="FM56" s="266"/>
      <c r="FN56" s="266"/>
      <c r="FO56" s="266"/>
      <c r="FP56" s="304"/>
      <c r="FQ56" s="248"/>
      <c r="FR56" s="266"/>
      <c r="FS56" s="266"/>
      <c r="FT56" s="266"/>
      <c r="FU56" s="304"/>
      <c r="FV56" s="248"/>
      <c r="FW56" s="266"/>
      <c r="FX56" s="266"/>
      <c r="FY56" s="266"/>
      <c r="FZ56" s="304"/>
      <c r="GA56" s="248"/>
      <c r="GB56" s="266"/>
      <c r="GC56" s="266"/>
      <c r="GD56" s="266"/>
      <c r="GE56" s="304"/>
      <c r="GF56" s="248"/>
      <c r="GG56" s="266"/>
      <c r="GH56" s="266"/>
      <c r="GI56" s="266"/>
      <c r="GJ56" s="304"/>
    </row>
  </sheetData>
  <pageMargins left="0.7" right="0.7" top="0.75" bottom="0.75" header="0.3" footer="0.3"/>
  <pageSetup orientation="portrait" r:id="rId1"/>
  <customProperties>
    <customPr name="Qube.Worksheet.Visibility" r:id="rId2"/>
  </customPropertie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A28DA4-86B4-4528-B49C-6EA8D6D52DFE}">
  <sheetPr>
    <tabColor theme="4"/>
  </sheetPr>
  <dimension ref="A1:GE133"/>
  <sheetViews>
    <sheetView showGridLines="0" zoomScaleNormal="100" workbookViewId="0">
      <pane xSplit="2" ySplit="8" topLeftCell="ER9" activePane="bottomRight" state="frozen"/>
      <selection activeCell="DD115" sqref="DD115"/>
      <selection pane="topRight" activeCell="DD115" sqref="DD115"/>
      <selection pane="bottomLeft" activeCell="DD115" sqref="DD115"/>
      <selection pane="bottomRight"/>
    </sheetView>
  </sheetViews>
  <sheetFormatPr defaultColWidth="9.109375" defaultRowHeight="13.2" outlineLevelRow="1" outlineLevelCol="1"/>
  <cols>
    <col min="1" max="1" width="3.5546875" style="850" customWidth="1"/>
    <col min="2" max="2" width="42.109375" style="93" bestFit="1" customWidth="1"/>
    <col min="3" max="3" width="9.44140625" style="94" hidden="1" customWidth="1" outlineLevel="1"/>
    <col min="4" max="6" width="9.44140625" style="142" hidden="1" customWidth="1" outlineLevel="1"/>
    <col min="7" max="7" width="10" style="142" bestFit="1" customWidth="1" collapsed="1"/>
    <col min="8" max="8" width="9.109375" style="94" hidden="1" customWidth="1" outlineLevel="1"/>
    <col min="9" max="11" width="9.109375" style="142" hidden="1" customWidth="1" outlineLevel="1"/>
    <col min="12" max="12" width="10" style="142" bestFit="1" customWidth="1" collapsed="1"/>
    <col min="13" max="13" width="9.109375" style="94" hidden="1" customWidth="1" outlineLevel="1"/>
    <col min="14" max="16" width="9.109375" style="142" hidden="1" customWidth="1" outlineLevel="1"/>
    <col min="17" max="17" width="10.44140625" style="142" bestFit="1" customWidth="1" collapsed="1"/>
    <col min="18" max="18" width="9.5546875" style="94" hidden="1" customWidth="1" outlineLevel="1"/>
    <col min="19" max="21" width="9.5546875" style="142" hidden="1" customWidth="1" outlineLevel="1"/>
    <col min="22" max="22" width="10.44140625" style="142" bestFit="1" customWidth="1" collapsed="1"/>
    <col min="23" max="23" width="9.5546875" style="94" hidden="1" customWidth="1" outlineLevel="1"/>
    <col min="24" max="26" width="9.5546875" style="142" hidden="1" customWidth="1" outlineLevel="1"/>
    <col min="27" max="27" width="10.44140625" style="142" bestFit="1" customWidth="1" collapsed="1"/>
    <col min="28" max="28" width="9.5546875" style="94" hidden="1" customWidth="1" outlineLevel="1"/>
    <col min="29" max="31" width="9.5546875" style="142" hidden="1" customWidth="1" outlineLevel="1"/>
    <col min="32" max="32" width="10.44140625" style="142" bestFit="1" customWidth="1" collapsed="1"/>
    <col min="33" max="33" width="9.5546875" style="94" hidden="1" customWidth="1" outlineLevel="1"/>
    <col min="34" max="36" width="9.5546875" style="142" hidden="1" customWidth="1" outlineLevel="1"/>
    <col min="37" max="37" width="10.44140625" style="142" bestFit="1" customWidth="1" collapsed="1"/>
    <col min="38" max="38" width="9.5546875" style="94" hidden="1" customWidth="1" outlineLevel="1"/>
    <col min="39" max="41" width="9.5546875" style="142" hidden="1" customWidth="1" outlineLevel="1"/>
    <col min="42" max="42" width="10.44140625" style="142" bestFit="1" customWidth="1" collapsed="1"/>
    <col min="43" max="43" width="9.5546875" style="94" hidden="1" customWidth="1" outlineLevel="1"/>
    <col min="44" max="46" width="9.5546875" style="142" hidden="1" customWidth="1" outlineLevel="1"/>
    <col min="47" max="47" width="10.44140625" style="142" bestFit="1" customWidth="1" collapsed="1"/>
    <col min="48" max="48" width="9.5546875" style="94" hidden="1" customWidth="1" outlineLevel="1"/>
    <col min="49" max="51" width="9.5546875" style="142" hidden="1" customWidth="1" outlineLevel="1"/>
    <col min="52" max="52" width="10.44140625" style="142" bestFit="1" customWidth="1" collapsed="1"/>
    <col min="53" max="53" width="9.5546875" style="94" hidden="1" customWidth="1" outlineLevel="1"/>
    <col min="54" max="56" width="9.5546875" style="142" hidden="1" customWidth="1" outlineLevel="1"/>
    <col min="57" max="57" width="10.44140625" style="142" bestFit="1" customWidth="1" collapsed="1"/>
    <col min="58" max="58" width="9.5546875" style="94" hidden="1" customWidth="1" outlineLevel="1"/>
    <col min="59" max="60" width="9.5546875" style="142" hidden="1" customWidth="1" outlineLevel="1"/>
    <col min="61" max="61" width="10.44140625" style="142" hidden="1" customWidth="1" outlineLevel="1"/>
    <col min="62" max="62" width="10.5546875" style="142" bestFit="1" customWidth="1" collapsed="1"/>
    <col min="63" max="63" width="10.44140625" style="94" hidden="1" customWidth="1" outlineLevel="1"/>
    <col min="64" max="66" width="10.44140625" style="142" hidden="1" customWidth="1" outlineLevel="1"/>
    <col min="67" max="67" width="10.88671875" style="142" bestFit="1" customWidth="1" collapsed="1"/>
    <col min="68" max="68" width="10.44140625" style="94" hidden="1" customWidth="1" outlineLevel="1"/>
    <col min="69" max="71" width="10.44140625" style="142" hidden="1" customWidth="1" outlineLevel="1"/>
    <col min="72" max="72" width="10.88671875" style="142" bestFit="1" customWidth="1" collapsed="1"/>
    <col min="73" max="73" width="10.44140625" style="94" hidden="1" customWidth="1" outlineLevel="1"/>
    <col min="74" max="76" width="10.44140625" style="142" hidden="1" customWidth="1" outlineLevel="1"/>
    <col min="77" max="77" width="10.88671875" style="142" bestFit="1" customWidth="1" collapsed="1"/>
    <col min="78" max="78" width="10.44140625" style="94" hidden="1" customWidth="1" outlineLevel="1"/>
    <col min="79" max="81" width="10.44140625" style="142" hidden="1" customWidth="1" outlineLevel="1"/>
    <col min="82" max="82" width="10.88671875" style="142" bestFit="1" customWidth="1" collapsed="1"/>
    <col min="83" max="83" width="10.5546875" style="94" hidden="1" customWidth="1" outlineLevel="1"/>
    <col min="84" max="86" width="10.5546875" style="142" hidden="1" customWidth="1" outlineLevel="1"/>
    <col min="87" max="87" width="11" style="142" bestFit="1" customWidth="1" collapsed="1"/>
    <col min="88" max="88" width="10.5546875" style="94" hidden="1" customWidth="1" outlineLevel="1"/>
    <col min="89" max="91" width="10.5546875" style="142" hidden="1" customWidth="1" outlineLevel="1"/>
    <col min="92" max="92" width="11" style="142" bestFit="1" customWidth="1" collapsed="1"/>
    <col min="93" max="93" width="10.5546875" style="94" hidden="1" customWidth="1" outlineLevel="1"/>
    <col min="94" max="96" width="10.5546875" style="142" hidden="1" customWidth="1" outlineLevel="1"/>
    <col min="97" max="97" width="11" style="142" bestFit="1" customWidth="1" collapsed="1"/>
    <col min="98" max="98" width="10.5546875" style="94" hidden="1" customWidth="1" outlineLevel="1"/>
    <col min="99" max="101" width="10.5546875" style="142" hidden="1" customWidth="1" outlineLevel="1"/>
    <col min="102" max="102" width="11" style="142" bestFit="1" customWidth="1" collapsed="1"/>
    <col min="103" max="103" width="10.5546875" style="94" hidden="1" customWidth="1" outlineLevel="1"/>
    <col min="104" max="106" width="10.5546875" style="142" hidden="1" customWidth="1" outlineLevel="1"/>
    <col min="107" max="107" width="11" style="142" bestFit="1" customWidth="1" collapsed="1"/>
    <col min="108" max="108" width="10.5546875" style="94" hidden="1" customWidth="1" outlineLevel="1"/>
    <col min="109" max="111" width="10.5546875" style="142" hidden="1" customWidth="1" outlineLevel="1"/>
    <col min="112" max="112" width="11" style="142" bestFit="1" customWidth="1" collapsed="1"/>
    <col min="113" max="113" width="10.5546875" style="94" hidden="1" customWidth="1" outlineLevel="1"/>
    <col min="114" max="116" width="10.5546875" style="142" hidden="1" customWidth="1" outlineLevel="1"/>
    <col min="117" max="117" width="11.5546875" style="142" bestFit="1" customWidth="1" collapsed="1"/>
    <col min="118" max="118" width="10.5546875" style="94" hidden="1" customWidth="1" outlineLevel="1"/>
    <col min="119" max="121" width="10.5546875" style="142" hidden="1" customWidth="1" outlineLevel="1"/>
    <col min="122" max="122" width="12" style="142" bestFit="1" customWidth="1" collapsed="1"/>
    <col min="123" max="123" width="10.5546875" style="94" hidden="1" customWidth="1" outlineLevel="1"/>
    <col min="124" max="126" width="10.5546875" style="142" hidden="1" customWidth="1" outlineLevel="1"/>
    <col min="127" max="127" width="12" style="142" bestFit="1" customWidth="1" collapsed="1"/>
    <col min="128" max="128" width="10.5546875" style="94" hidden="1" customWidth="1" outlineLevel="1"/>
    <col min="129" max="131" width="10.5546875" style="142" hidden="1" customWidth="1" outlineLevel="1"/>
    <col min="132" max="132" width="12" style="142" bestFit="1" customWidth="1" collapsed="1"/>
    <col min="133" max="133" width="10.5546875" style="94" hidden="1" customWidth="1" outlineLevel="1"/>
    <col min="134" max="136" width="10.5546875" style="142" hidden="1" customWidth="1" outlineLevel="1"/>
    <col min="137" max="137" width="12" style="142" bestFit="1" customWidth="1" collapsed="1"/>
    <col min="138" max="138" width="10.5546875" style="94" hidden="1" customWidth="1" outlineLevel="1"/>
    <col min="139" max="141" width="10.5546875" style="142" hidden="1" customWidth="1" outlineLevel="1"/>
    <col min="142" max="142" width="12" style="142" bestFit="1" customWidth="1" collapsed="1"/>
    <col min="143" max="143" width="10.5546875" style="94" hidden="1" customWidth="1" outlineLevel="1"/>
    <col min="144" max="146" width="10.5546875" style="142" hidden="1" customWidth="1" outlineLevel="1"/>
    <col min="147" max="147" width="12" style="142" bestFit="1" customWidth="1" collapsed="1"/>
    <col min="148" max="148" width="10.5546875" style="94" customWidth="1" outlineLevel="1"/>
    <col min="149" max="151" width="9.5546875" style="142" customWidth="1" outlineLevel="1"/>
    <col min="152" max="152" width="10.88671875" style="142" bestFit="1" customWidth="1"/>
    <col min="153" max="153" width="9.5546875" style="94" customWidth="1" outlineLevel="1"/>
    <col min="154" max="156" width="9.5546875" style="142" customWidth="1" outlineLevel="1"/>
    <col min="157" max="157" width="10.44140625" style="142" bestFit="1" customWidth="1"/>
    <col min="158" max="158" width="9.5546875" style="94" customWidth="1" outlineLevel="1"/>
    <col min="159" max="161" width="9.5546875" style="142" customWidth="1" outlineLevel="1"/>
    <col min="162" max="162" width="10.44140625" style="142" bestFit="1" customWidth="1"/>
    <col min="163" max="163" width="9.5546875" style="94" hidden="1" customWidth="1" outlineLevel="1"/>
    <col min="164" max="166" width="9.5546875" style="142" hidden="1" customWidth="1" outlineLevel="1"/>
    <col min="167" max="167" width="9.88671875" style="142" bestFit="1" customWidth="1" collapsed="1"/>
    <col min="168" max="168" width="9.5546875" style="94" hidden="1" customWidth="1" outlineLevel="1"/>
    <col min="169" max="171" width="9.5546875" style="142" hidden="1" customWidth="1" outlineLevel="1"/>
    <col min="172" max="172" width="9.88671875" style="142" bestFit="1" customWidth="1" collapsed="1"/>
    <col min="173" max="173" width="9.5546875" style="94" hidden="1" customWidth="1" outlineLevel="1"/>
    <col min="174" max="176" width="9.5546875" style="142" hidden="1" customWidth="1" outlineLevel="1"/>
    <col min="177" max="177" width="9.88671875" style="142" bestFit="1" customWidth="1" collapsed="1"/>
    <col min="178" max="178" width="9.5546875" style="94" hidden="1" customWidth="1" outlineLevel="1"/>
    <col min="179" max="181" width="9.5546875" style="142" hidden="1" customWidth="1" outlineLevel="1"/>
    <col min="182" max="182" width="9.88671875" style="142" bestFit="1" customWidth="1" collapsed="1"/>
    <col min="183" max="183" width="9.5546875" style="94" hidden="1" customWidth="1" outlineLevel="1"/>
    <col min="184" max="186" width="9.5546875" style="142" hidden="1" customWidth="1" outlineLevel="1"/>
    <col min="187" max="187" width="9.88671875" style="142" bestFit="1" customWidth="1" collapsed="1"/>
    <col min="188" max="16384" width="9.109375" style="93"/>
  </cols>
  <sheetData>
    <row r="1" spans="1:187" ht="12.75" customHeight="1">
      <c r="D1" s="95"/>
      <c r="E1" s="95"/>
      <c r="F1" s="95"/>
      <c r="G1" s="95"/>
      <c r="I1" s="95"/>
      <c r="J1" s="95"/>
      <c r="K1" s="95"/>
      <c r="L1" s="95"/>
      <c r="N1" s="95"/>
      <c r="O1" s="95"/>
      <c r="P1" s="95"/>
      <c r="Q1" s="95"/>
      <c r="S1" s="95"/>
      <c r="T1" s="95"/>
      <c r="U1" s="95"/>
      <c r="V1" s="95"/>
      <c r="X1" s="95"/>
      <c r="Y1" s="95"/>
      <c r="Z1" s="95"/>
      <c r="AA1" s="95"/>
      <c r="AC1" s="95"/>
      <c r="AD1" s="95"/>
      <c r="AE1" s="95"/>
      <c r="AF1" s="95"/>
      <c r="AH1" s="95"/>
      <c r="AI1" s="95"/>
      <c r="AJ1" s="95"/>
      <c r="AK1" s="95"/>
      <c r="AM1" s="95"/>
      <c r="AN1" s="95"/>
      <c r="AO1" s="95"/>
      <c r="AP1" s="95"/>
      <c r="AR1" s="95"/>
      <c r="AS1" s="95"/>
      <c r="AT1" s="95"/>
      <c r="AU1" s="95"/>
      <c r="AW1" s="95"/>
      <c r="AX1" s="95"/>
      <c r="AY1" s="95"/>
      <c r="AZ1" s="95"/>
      <c r="BB1" s="95"/>
      <c r="BC1" s="95"/>
      <c r="BD1" s="95"/>
      <c r="BE1" s="95"/>
      <c r="BG1" s="95"/>
      <c r="BH1" s="95"/>
      <c r="BI1" s="95"/>
      <c r="BJ1" s="95"/>
      <c r="BL1" s="95"/>
      <c r="BM1" s="95"/>
      <c r="BN1" s="95"/>
      <c r="BO1" s="95"/>
      <c r="BQ1" s="95"/>
      <c r="BR1" s="95"/>
      <c r="BS1" s="95"/>
      <c r="BT1" s="95"/>
      <c r="BV1" s="95"/>
      <c r="BW1" s="95"/>
      <c r="BX1" s="95"/>
      <c r="BY1" s="95"/>
      <c r="CA1" s="95"/>
      <c r="CB1" s="95"/>
      <c r="CC1" s="95"/>
      <c r="CD1" s="95"/>
      <c r="CF1" s="95"/>
      <c r="CG1" s="95"/>
      <c r="CH1" s="95"/>
      <c r="CI1" s="95"/>
      <c r="CK1" s="95"/>
      <c r="CL1" s="95"/>
      <c r="CM1" s="95"/>
      <c r="CN1" s="95"/>
      <c r="CP1" s="95"/>
      <c r="CQ1" s="95"/>
      <c r="CR1" s="95"/>
      <c r="CS1" s="95"/>
      <c r="CU1" s="95"/>
      <c r="CV1" s="95"/>
      <c r="CW1" s="95"/>
      <c r="CX1" s="95"/>
      <c r="CZ1" s="95"/>
      <c r="DA1" s="95"/>
      <c r="DB1" s="95"/>
      <c r="DC1" s="95"/>
      <c r="DE1" s="95"/>
      <c r="DF1" s="95"/>
      <c r="DG1" s="95"/>
      <c r="DH1" s="95"/>
      <c r="DJ1" s="95"/>
      <c r="DK1" s="95"/>
      <c r="DL1" s="95"/>
      <c r="DM1" s="95"/>
      <c r="DO1" s="95"/>
      <c r="DP1" s="95"/>
      <c r="DQ1" s="95"/>
      <c r="DR1" s="95"/>
      <c r="DT1" s="95"/>
      <c r="DU1" s="95"/>
      <c r="DV1" s="95"/>
      <c r="DW1" s="95"/>
      <c r="DY1" s="95"/>
      <c r="DZ1" s="95"/>
      <c r="EA1" s="95"/>
      <c r="EB1" s="95"/>
      <c r="ED1" s="95"/>
      <c r="EE1" s="95"/>
      <c r="EF1" s="95"/>
      <c r="EG1" s="95"/>
      <c r="EI1" s="95"/>
      <c r="EJ1" s="95"/>
      <c r="EK1" s="95"/>
      <c r="EL1" s="95"/>
      <c r="EN1" s="95"/>
      <c r="EO1" s="95"/>
      <c r="EP1" s="95"/>
      <c r="EQ1" s="95"/>
      <c r="ES1" s="95"/>
      <c r="ET1" s="95"/>
      <c r="EU1" s="95"/>
      <c r="EV1" s="95"/>
      <c r="EX1" s="95"/>
      <c r="EY1" s="95"/>
      <c r="EZ1" s="95"/>
      <c r="FA1" s="95"/>
      <c r="FC1" s="95"/>
      <c r="FD1" s="95"/>
      <c r="FE1" s="95"/>
      <c r="FF1" s="95"/>
      <c r="FH1" s="95"/>
      <c r="FI1" s="95"/>
      <c r="FJ1" s="95"/>
      <c r="FK1" s="95"/>
      <c r="FM1" s="95"/>
      <c r="FN1" s="95"/>
      <c r="FO1" s="95"/>
      <c r="FP1" s="95"/>
      <c r="FR1" s="95"/>
      <c r="FS1" s="95"/>
      <c r="FT1" s="95"/>
      <c r="FU1" s="95"/>
      <c r="FW1" s="95"/>
      <c r="FX1" s="95"/>
      <c r="FY1" s="95"/>
      <c r="FZ1" s="95"/>
      <c r="GB1" s="95"/>
      <c r="GC1" s="95"/>
      <c r="GD1" s="95"/>
      <c r="GE1" s="95"/>
    </row>
    <row r="2" spans="1:187" ht="12.75" customHeight="1">
      <c r="B2" s="40" t="s">
        <v>63</v>
      </c>
      <c r="D2" s="95"/>
      <c r="E2" s="95"/>
      <c r="F2" s="95"/>
      <c r="G2" s="95"/>
      <c r="I2" s="95"/>
      <c r="J2" s="95"/>
      <c r="K2" s="95"/>
      <c r="L2" s="95"/>
      <c r="N2" s="95"/>
      <c r="O2" s="95"/>
      <c r="P2" s="95"/>
      <c r="Q2" s="95"/>
      <c r="S2" s="95"/>
      <c r="T2" s="95"/>
      <c r="U2" s="95"/>
      <c r="V2" s="95"/>
      <c r="X2" s="95"/>
      <c r="Y2" s="95"/>
      <c r="Z2" s="95"/>
      <c r="AA2" s="95"/>
      <c r="AC2" s="95"/>
      <c r="AD2" s="95"/>
      <c r="AE2" s="95"/>
      <c r="AF2" s="95"/>
      <c r="AH2" s="95"/>
      <c r="AI2" s="95"/>
      <c r="AJ2" s="95"/>
      <c r="AK2" s="95"/>
      <c r="AM2" s="95"/>
      <c r="AN2" s="95"/>
      <c r="AO2" s="95"/>
      <c r="AP2" s="95"/>
      <c r="AR2" s="95"/>
      <c r="AS2" s="95"/>
      <c r="AT2" s="95"/>
      <c r="AU2" s="95"/>
      <c r="AW2" s="95"/>
      <c r="AX2" s="95"/>
      <c r="AY2" s="95"/>
      <c r="AZ2" s="95"/>
      <c r="BB2" s="95"/>
      <c r="BC2" s="95"/>
      <c r="BD2" s="95"/>
      <c r="BE2" s="95"/>
      <c r="BG2" s="95"/>
      <c r="BH2" s="95"/>
      <c r="BI2" s="95"/>
      <c r="BJ2" s="95"/>
      <c r="BL2" s="95"/>
      <c r="BM2" s="95"/>
      <c r="BN2" s="95"/>
      <c r="BO2" s="95"/>
      <c r="BQ2" s="95"/>
      <c r="BR2" s="95"/>
      <c r="BS2" s="95"/>
      <c r="BT2" s="95"/>
      <c r="BV2" s="95"/>
      <c r="BW2" s="95"/>
      <c r="BX2" s="95"/>
      <c r="BY2" s="95"/>
      <c r="CA2" s="95"/>
      <c r="CB2" s="95"/>
      <c r="CC2" s="95"/>
      <c r="CD2" s="95"/>
      <c r="CF2" s="95"/>
      <c r="CG2" s="95"/>
      <c r="CH2" s="95"/>
      <c r="CI2" s="95"/>
      <c r="CK2" s="95"/>
      <c r="CL2" s="95"/>
      <c r="CM2" s="95"/>
      <c r="CN2" s="95"/>
      <c r="CP2" s="95"/>
      <c r="CQ2" s="95"/>
      <c r="CR2" s="95"/>
      <c r="CS2" s="95"/>
      <c r="CU2" s="95"/>
      <c r="CV2" s="95"/>
      <c r="CW2" s="95"/>
      <c r="CX2" s="95"/>
      <c r="CZ2" s="95"/>
      <c r="DA2" s="95"/>
      <c r="DB2" s="95"/>
      <c r="DC2" s="95"/>
      <c r="DE2" s="95"/>
      <c r="DF2" s="95"/>
      <c r="DG2" s="95"/>
      <c r="DH2" s="95"/>
      <c r="DJ2" s="95"/>
      <c r="DK2" s="95"/>
      <c r="DL2" s="95"/>
      <c r="DM2" s="95"/>
      <c r="DO2" s="95"/>
      <c r="DP2" s="95"/>
      <c r="DQ2" s="95"/>
      <c r="DR2" s="95"/>
      <c r="DT2" s="95"/>
      <c r="DU2" s="95"/>
      <c r="DV2" s="95"/>
      <c r="DW2" s="95"/>
      <c r="DY2" s="95"/>
      <c r="DZ2" s="95"/>
      <c r="EA2" s="95"/>
      <c r="EB2" s="95"/>
      <c r="ED2" s="95"/>
      <c r="EE2" s="95"/>
      <c r="EF2" s="95"/>
      <c r="EG2" s="95"/>
      <c r="EI2" s="95"/>
      <c r="EJ2" s="95"/>
      <c r="EK2" s="95"/>
      <c r="EL2" s="95"/>
      <c r="EN2" s="95"/>
      <c r="EO2" s="95"/>
      <c r="EP2" s="95"/>
      <c r="EQ2" s="95"/>
      <c r="ES2" s="95"/>
      <c r="ET2" s="95"/>
      <c r="EU2" s="95"/>
      <c r="EV2" s="95"/>
      <c r="EX2" s="95"/>
      <c r="EY2" s="95"/>
      <c r="EZ2" s="95"/>
      <c r="FA2" s="95"/>
      <c r="FC2" s="95"/>
      <c r="FD2" s="95"/>
      <c r="FE2" s="95"/>
      <c r="FF2" s="95"/>
      <c r="FH2" s="95"/>
      <c r="FI2" s="95"/>
      <c r="FJ2" s="95"/>
      <c r="FK2" s="95"/>
      <c r="FM2" s="95"/>
      <c r="FN2" s="95"/>
      <c r="FO2" s="95"/>
      <c r="FP2" s="95"/>
      <c r="FR2" s="95"/>
      <c r="FS2" s="95"/>
      <c r="FT2" s="95"/>
      <c r="FU2" s="95"/>
      <c r="FW2" s="95"/>
      <c r="FX2" s="95"/>
      <c r="FY2" s="95"/>
      <c r="FZ2" s="95"/>
      <c r="GB2" s="95"/>
      <c r="GC2" s="95"/>
      <c r="GD2" s="95"/>
      <c r="GE2" s="95"/>
    </row>
    <row r="3" spans="1:187" ht="12.75" customHeight="1">
      <c r="B3" s="40" t="s">
        <v>64</v>
      </c>
      <c r="D3" s="95"/>
      <c r="E3" s="95"/>
      <c r="F3" s="95"/>
      <c r="G3" s="95"/>
      <c r="I3" s="95"/>
      <c r="J3" s="95"/>
      <c r="K3" s="95"/>
      <c r="L3" s="95"/>
      <c r="N3" s="95"/>
      <c r="O3" s="95"/>
      <c r="P3" s="95"/>
      <c r="Q3" s="95"/>
      <c r="S3" s="95"/>
      <c r="T3" s="95"/>
      <c r="U3" s="95"/>
      <c r="V3" s="95"/>
      <c r="X3" s="95"/>
      <c r="Y3" s="95"/>
      <c r="Z3" s="95"/>
      <c r="AA3" s="95"/>
      <c r="AC3" s="95"/>
      <c r="AD3" s="95"/>
      <c r="AE3" s="95"/>
      <c r="AF3" s="95"/>
      <c r="AH3" s="95"/>
      <c r="AI3" s="95"/>
      <c r="AJ3" s="95"/>
      <c r="AK3" s="95"/>
      <c r="AM3" s="95"/>
      <c r="AN3" s="95"/>
      <c r="AO3" s="95"/>
      <c r="AP3" s="95"/>
      <c r="AR3" s="95"/>
      <c r="AS3" s="95"/>
      <c r="AT3" s="95"/>
      <c r="AU3" s="95"/>
      <c r="AW3" s="95"/>
      <c r="AX3" s="95"/>
      <c r="AY3" s="95"/>
      <c r="AZ3" s="95"/>
      <c r="BB3" s="95"/>
      <c r="BC3" s="95"/>
      <c r="BD3" s="95"/>
      <c r="BE3" s="95"/>
      <c r="BG3" s="95"/>
      <c r="BH3" s="95"/>
      <c r="BI3" s="95"/>
      <c r="BJ3" s="95"/>
      <c r="BL3" s="95"/>
      <c r="BM3" s="95"/>
      <c r="BN3" s="95"/>
      <c r="BO3" s="95"/>
      <c r="BQ3" s="95"/>
      <c r="BR3" s="95"/>
      <c r="BS3" s="95"/>
      <c r="BT3" s="95"/>
      <c r="BV3" s="95"/>
      <c r="BW3" s="95"/>
      <c r="BX3" s="95"/>
      <c r="BY3" s="95"/>
      <c r="CA3" s="95"/>
      <c r="CB3" s="95"/>
      <c r="CC3" s="95"/>
      <c r="CD3" s="95"/>
      <c r="CF3" s="95"/>
      <c r="CG3" s="95"/>
      <c r="CH3" s="95"/>
      <c r="CI3" s="95"/>
      <c r="CK3" s="95"/>
      <c r="CL3" s="95"/>
      <c r="CM3" s="95"/>
      <c r="CN3" s="95"/>
      <c r="CP3" s="95"/>
      <c r="CQ3" s="95"/>
      <c r="CR3" s="95"/>
      <c r="CS3" s="95"/>
      <c r="CU3" s="95"/>
      <c r="CV3" s="95"/>
      <c r="CW3" s="95"/>
      <c r="CX3" s="95"/>
      <c r="CZ3" s="95"/>
      <c r="DA3" s="95"/>
      <c r="DB3" s="95"/>
      <c r="DC3" s="95"/>
      <c r="DE3" s="95"/>
      <c r="DF3" s="95"/>
      <c r="DG3" s="95"/>
      <c r="DH3" s="95"/>
      <c r="DJ3" s="95"/>
      <c r="DK3" s="95"/>
      <c r="DL3" s="95"/>
      <c r="DM3" s="95"/>
      <c r="DO3" s="95"/>
      <c r="DP3" s="95"/>
      <c r="DQ3" s="95"/>
      <c r="DR3" s="95"/>
      <c r="DT3" s="95"/>
      <c r="DU3" s="95"/>
      <c r="DV3" s="95"/>
      <c r="DW3" s="95"/>
      <c r="DY3" s="95"/>
      <c r="DZ3" s="95"/>
      <c r="EA3" s="95"/>
      <c r="EB3" s="95"/>
      <c r="ED3" s="95"/>
      <c r="EE3" s="95"/>
      <c r="EF3" s="95"/>
      <c r="EG3" s="95"/>
      <c r="EI3" s="95"/>
      <c r="EJ3" s="95"/>
      <c r="EK3" s="95"/>
      <c r="EL3" s="95"/>
      <c r="EN3" s="95"/>
      <c r="EO3" s="95"/>
      <c r="EP3" s="95"/>
      <c r="EQ3" s="95"/>
      <c r="ES3" s="95"/>
      <c r="ET3" s="95"/>
      <c r="EU3" s="95"/>
      <c r="EV3" s="95"/>
      <c r="EX3" s="95"/>
      <c r="EY3" s="95"/>
      <c r="EZ3" s="95"/>
      <c r="FA3" s="95"/>
      <c r="FC3" s="95"/>
      <c r="FD3" s="95"/>
      <c r="FE3" s="95"/>
      <c r="FF3" s="95"/>
      <c r="FH3" s="95"/>
      <c r="FI3" s="95"/>
      <c r="FJ3" s="95"/>
      <c r="FK3" s="95"/>
      <c r="FM3" s="95"/>
      <c r="FN3" s="95"/>
      <c r="FO3" s="95"/>
      <c r="FP3" s="95"/>
      <c r="FR3" s="95"/>
      <c r="FS3" s="95"/>
      <c r="FT3" s="95"/>
      <c r="FU3" s="95"/>
      <c r="FW3" s="95"/>
      <c r="FX3" s="95"/>
      <c r="FY3" s="95"/>
      <c r="FZ3" s="95"/>
      <c r="GB3" s="95"/>
      <c r="GC3" s="95"/>
      <c r="GD3" s="95"/>
      <c r="GE3" s="95"/>
    </row>
    <row r="4" spans="1:187" ht="12.75" customHeight="1">
      <c r="B4" s="40" t="s">
        <v>27</v>
      </c>
      <c r="D4" s="95"/>
      <c r="E4" s="95"/>
      <c r="F4" s="95"/>
      <c r="G4" s="95"/>
      <c r="I4" s="95"/>
      <c r="J4" s="95"/>
      <c r="K4" s="95"/>
      <c r="L4" s="95"/>
      <c r="N4" s="95"/>
      <c r="O4" s="95"/>
      <c r="P4" s="95"/>
      <c r="Q4" s="95"/>
      <c r="S4" s="95"/>
      <c r="T4" s="95"/>
      <c r="U4" s="95"/>
      <c r="V4" s="95"/>
      <c r="X4" s="95"/>
      <c r="Y4" s="95"/>
      <c r="Z4" s="95"/>
      <c r="AA4" s="95"/>
      <c r="AC4" s="95"/>
      <c r="AD4" s="95"/>
      <c r="AE4" s="95"/>
      <c r="AF4" s="95"/>
      <c r="AH4" s="95"/>
      <c r="AI4" s="95"/>
      <c r="AJ4" s="95"/>
      <c r="AK4" s="95"/>
      <c r="AM4" s="95"/>
      <c r="AN4" s="95"/>
      <c r="AO4" s="95"/>
      <c r="AP4" s="95"/>
      <c r="AR4" s="95"/>
      <c r="AS4" s="95"/>
      <c r="AT4" s="95"/>
      <c r="AU4" s="95"/>
      <c r="AW4" s="95"/>
      <c r="AX4" s="95"/>
      <c r="AY4" s="95"/>
      <c r="AZ4" s="95"/>
      <c r="BB4" s="95"/>
      <c r="BC4" s="95"/>
      <c r="BD4" s="95"/>
      <c r="BE4" s="95"/>
      <c r="BG4" s="95"/>
      <c r="BH4" s="95"/>
      <c r="BI4" s="95"/>
      <c r="BJ4" s="95"/>
      <c r="BL4" s="95"/>
      <c r="BM4" s="95"/>
      <c r="BN4" s="95"/>
      <c r="BO4" s="95"/>
      <c r="BQ4" s="95"/>
      <c r="BR4" s="95"/>
      <c r="BS4" s="95"/>
      <c r="BT4" s="95"/>
      <c r="BV4" s="95"/>
      <c r="BW4" s="95"/>
      <c r="BX4" s="95"/>
      <c r="BY4" s="95"/>
      <c r="CA4" s="95"/>
      <c r="CB4" s="95"/>
      <c r="CC4" s="95"/>
      <c r="CD4" s="95"/>
      <c r="CF4" s="95"/>
      <c r="CG4" s="95"/>
      <c r="CH4" s="95"/>
      <c r="CI4" s="95"/>
      <c r="CK4" s="95"/>
      <c r="CL4" s="95"/>
      <c r="CM4" s="95"/>
      <c r="CN4" s="95"/>
      <c r="CP4" s="95"/>
      <c r="CQ4" s="95"/>
      <c r="CR4" s="95"/>
      <c r="CS4" s="95"/>
      <c r="CU4" s="95"/>
      <c r="CV4" s="95"/>
      <c r="CW4" s="95"/>
      <c r="CX4" s="95"/>
      <c r="CZ4" s="95"/>
      <c r="DA4" s="95"/>
      <c r="DB4" s="95"/>
      <c r="DC4" s="95"/>
      <c r="DE4" s="95"/>
      <c r="DF4" s="95"/>
      <c r="DG4" s="95"/>
      <c r="DH4" s="95"/>
      <c r="DJ4" s="95"/>
      <c r="DK4" s="95"/>
      <c r="DL4" s="95"/>
      <c r="DM4" s="95"/>
      <c r="DO4" s="95"/>
      <c r="DP4" s="95"/>
      <c r="DQ4" s="95"/>
      <c r="DR4" s="95"/>
      <c r="DT4" s="95"/>
      <c r="DU4" s="95"/>
      <c r="DV4" s="95"/>
      <c r="DW4" s="95"/>
      <c r="DY4" s="95"/>
      <c r="DZ4" s="95"/>
      <c r="EA4" s="95"/>
      <c r="EB4" s="95"/>
      <c r="ED4" s="95"/>
      <c r="EE4" s="95"/>
      <c r="EF4" s="95"/>
      <c r="EG4" s="95"/>
      <c r="EI4" s="95"/>
      <c r="EJ4" s="95"/>
      <c r="EK4" s="95"/>
      <c r="EL4" s="95"/>
      <c r="EN4" s="95"/>
      <c r="EO4" s="95"/>
      <c r="EP4" s="95"/>
      <c r="EQ4" s="95"/>
      <c r="ES4" s="95"/>
      <c r="ET4" s="95"/>
      <c r="EU4" s="95"/>
      <c r="EV4" s="95"/>
      <c r="EX4" s="95"/>
      <c r="EY4" s="95"/>
      <c r="EZ4" s="95"/>
      <c r="FA4" s="95"/>
      <c r="FC4" s="95"/>
      <c r="FD4" s="95"/>
      <c r="FE4" s="95"/>
      <c r="FF4" s="95"/>
      <c r="FH4" s="95"/>
      <c r="FI4" s="95"/>
      <c r="FJ4" s="95"/>
      <c r="FK4" s="95"/>
      <c r="FM4" s="95"/>
      <c r="FN4" s="95"/>
      <c r="FO4" s="95"/>
      <c r="FP4" s="95"/>
      <c r="FR4" s="95"/>
      <c r="FS4" s="95"/>
      <c r="FT4" s="95"/>
      <c r="FU4" s="95"/>
      <c r="FW4" s="95"/>
      <c r="FX4" s="95"/>
      <c r="FY4" s="95"/>
      <c r="FZ4" s="95"/>
      <c r="GB4" s="95"/>
      <c r="GC4" s="95"/>
      <c r="GD4" s="95"/>
      <c r="GE4" s="95"/>
    </row>
    <row r="5" spans="1:187" ht="12.75" customHeight="1">
      <c r="D5" s="95"/>
      <c r="E5" s="95"/>
      <c r="F5" s="95"/>
      <c r="G5" s="95"/>
      <c r="I5" s="95"/>
      <c r="J5" s="95"/>
      <c r="K5" s="95"/>
      <c r="L5" s="95"/>
      <c r="N5" s="95"/>
      <c r="O5" s="95"/>
      <c r="P5" s="95"/>
      <c r="Q5" s="95"/>
      <c r="S5" s="95"/>
      <c r="T5" s="95"/>
      <c r="U5" s="95"/>
      <c r="V5" s="95"/>
      <c r="X5" s="95"/>
      <c r="Y5" s="95"/>
      <c r="Z5" s="95"/>
      <c r="AA5" s="95"/>
      <c r="AC5" s="95"/>
      <c r="AD5" s="95"/>
      <c r="AE5" s="95"/>
      <c r="AF5" s="95"/>
      <c r="AH5" s="95"/>
      <c r="AI5" s="95"/>
      <c r="AJ5" s="95"/>
      <c r="AK5" s="95"/>
      <c r="AM5" s="95"/>
      <c r="AN5" s="95"/>
      <c r="AO5" s="95"/>
      <c r="AP5" s="95"/>
      <c r="AR5" s="95"/>
      <c r="AS5" s="95"/>
      <c r="AT5" s="95"/>
      <c r="AU5" s="95"/>
      <c r="AW5" s="95"/>
      <c r="AX5" s="95"/>
      <c r="AY5" s="95"/>
      <c r="AZ5" s="95"/>
      <c r="BB5" s="95"/>
      <c r="BC5" s="95"/>
      <c r="BD5" s="95"/>
      <c r="BE5" s="95"/>
      <c r="BG5" s="95"/>
      <c r="BH5" s="95"/>
      <c r="BI5" s="95"/>
      <c r="BJ5" s="95"/>
      <c r="BL5" s="95"/>
      <c r="BM5" s="95"/>
      <c r="BN5" s="95"/>
      <c r="BO5" s="95"/>
      <c r="BQ5" s="95"/>
      <c r="BR5" s="95"/>
      <c r="BS5" s="95"/>
      <c r="BT5" s="95"/>
      <c r="BV5" s="95"/>
      <c r="BW5" s="95"/>
      <c r="BX5" s="95"/>
      <c r="BY5" s="95"/>
      <c r="CA5" s="95"/>
      <c r="CB5" s="95"/>
      <c r="CC5" s="95"/>
      <c r="CD5" s="95"/>
      <c r="CF5" s="95"/>
      <c r="CG5" s="95"/>
      <c r="CH5" s="95"/>
      <c r="CI5" s="95"/>
      <c r="CK5" s="95"/>
      <c r="CL5" s="95"/>
      <c r="CM5" s="95"/>
      <c r="CN5" s="95"/>
      <c r="CP5" s="95"/>
      <c r="CQ5" s="95"/>
      <c r="CR5" s="95"/>
      <c r="CS5" s="95"/>
      <c r="CU5" s="95"/>
      <c r="CV5" s="95"/>
      <c r="CW5" s="95"/>
      <c r="CX5" s="95"/>
      <c r="CZ5" s="95"/>
      <c r="DA5" s="95"/>
      <c r="DB5" s="95"/>
      <c r="DC5" s="95"/>
      <c r="DE5" s="95"/>
      <c r="DF5" s="95"/>
      <c r="DG5" s="95"/>
      <c r="DH5" s="95"/>
      <c r="DJ5" s="95"/>
      <c r="DK5" s="95"/>
      <c r="DL5" s="95"/>
      <c r="DM5" s="95"/>
      <c r="DO5" s="95"/>
      <c r="DP5" s="95"/>
      <c r="DQ5" s="95"/>
      <c r="DR5" s="95"/>
      <c r="DT5" s="95"/>
      <c r="DU5" s="95"/>
      <c r="DV5" s="95"/>
      <c r="DW5" s="95"/>
      <c r="DY5" s="95"/>
      <c r="DZ5" s="95"/>
      <c r="EA5" s="95"/>
      <c r="EB5" s="95"/>
      <c r="ED5" s="95"/>
      <c r="EE5" s="95"/>
      <c r="EF5" s="95"/>
      <c r="EG5" s="95"/>
      <c r="EI5" s="95"/>
      <c r="EJ5" s="95"/>
      <c r="EK5" s="95"/>
      <c r="EL5" s="95"/>
      <c r="EN5" s="95"/>
      <c r="EO5" s="95"/>
      <c r="EP5" s="95"/>
      <c r="EQ5" s="95"/>
      <c r="ES5" s="95"/>
      <c r="ET5" s="95"/>
      <c r="EU5" s="95"/>
      <c r="EV5" s="95"/>
      <c r="EX5" s="95"/>
      <c r="EY5" s="95"/>
      <c r="EZ5" s="95"/>
      <c r="FA5" s="95"/>
      <c r="FC5" s="95"/>
      <c r="FD5" s="95"/>
      <c r="FE5" s="95"/>
      <c r="FF5" s="95"/>
      <c r="FH5" s="95"/>
      <c r="FI5" s="95"/>
      <c r="FJ5" s="95"/>
      <c r="FK5" s="95"/>
      <c r="FM5" s="95"/>
      <c r="FN5" s="95"/>
      <c r="FO5" s="95"/>
      <c r="FP5" s="95"/>
      <c r="FR5" s="95"/>
      <c r="FS5" s="95"/>
      <c r="FT5" s="95"/>
      <c r="FU5" s="95"/>
      <c r="FW5" s="95"/>
      <c r="FX5" s="95"/>
      <c r="FY5" s="95"/>
      <c r="FZ5" s="95"/>
      <c r="GB5" s="95"/>
      <c r="GC5" s="95"/>
      <c r="GD5" s="95"/>
      <c r="GE5" s="95"/>
    </row>
    <row r="6" spans="1:187" ht="12.75" customHeight="1">
      <c r="C6" s="47" t="str">
        <f>Dates!C3</f>
      </c>
      <c r="D6" s="47"/>
      <c r="E6" s="47"/>
      <c r="F6" s="47"/>
      <c r="G6" s="93"/>
      <c r="H6" s="47" t="str">
        <f>Dates!H3</f>
      </c>
      <c r="I6" s="47"/>
      <c r="J6" s="47"/>
      <c r="K6" s="47"/>
      <c r="L6" s="93"/>
      <c r="M6" s="47" t="str">
        <f>Dates!M3</f>
      </c>
      <c r="N6" s="47"/>
      <c r="O6" s="47"/>
      <c r="P6" s="47"/>
      <c r="Q6" s="93"/>
      <c r="R6" s="47" t="str">
        <f>Dates!R3</f>
      </c>
      <c r="S6" s="47"/>
      <c r="T6" s="47"/>
      <c r="U6" s="47"/>
      <c r="V6" s="93"/>
      <c r="W6" s="47" t="str">
        <f>Dates!W3</f>
      </c>
      <c r="X6" s="47"/>
      <c r="Y6" s="47"/>
      <c r="Z6" s="47"/>
      <c r="AA6" s="93"/>
      <c r="AB6" s="47" t="str">
        <f>Dates!AB3</f>
      </c>
      <c r="AC6" s="47"/>
      <c r="AD6" s="47"/>
      <c r="AE6" s="47"/>
      <c r="AF6" s="93"/>
      <c r="AG6" s="47" t="str">
        <f>Dates!AG3</f>
      </c>
      <c r="AH6" s="47"/>
      <c r="AI6" s="47"/>
      <c r="AJ6" s="47"/>
      <c r="AK6" s="93"/>
      <c r="AL6" s="47" t="str">
        <f>Dates!AL3</f>
      </c>
      <c r="AM6" s="47"/>
      <c r="AN6" s="47"/>
      <c r="AO6" s="47"/>
      <c r="AP6" s="93"/>
      <c r="AQ6" s="47" t="str">
        <f>Dates!AQ3</f>
      </c>
      <c r="AR6" s="47"/>
      <c r="AS6" s="47"/>
      <c r="AT6" s="47"/>
      <c r="AU6" s="93"/>
      <c r="AV6" s="47" t="str">
        <f>Dates!AV3</f>
      </c>
      <c r="AW6" s="47"/>
      <c r="AX6" s="47"/>
      <c r="AY6" s="47"/>
      <c r="AZ6" s="93"/>
      <c r="BA6" s="47" t="str">
        <f>Dates!BA3</f>
      </c>
      <c r="BB6" s="47"/>
      <c r="BC6" s="47"/>
      <c r="BD6" s="47"/>
      <c r="BE6" s="93"/>
      <c r="BF6" s="47" t="str">
        <f>Dates!BF3</f>
      </c>
      <c r="BG6" s="47"/>
      <c r="BH6" s="47"/>
      <c r="BI6" s="47"/>
      <c r="BJ6" s="93"/>
      <c r="BK6" s="47" t="str">
        <f>Dates!BK3</f>
      </c>
      <c r="BL6" s="47"/>
      <c r="BM6" s="47"/>
      <c r="BN6" s="47"/>
      <c r="BO6" s="93"/>
      <c r="BP6" s="47" t="str">
        <f>Dates!BP3</f>
      </c>
      <c r="BQ6" s="47"/>
      <c r="BR6" s="47"/>
      <c r="BS6" s="47"/>
      <c r="BT6" s="93"/>
      <c r="BU6" s="47" t="str">
        <f>Dates!BU3</f>
      </c>
      <c r="BV6" s="47"/>
      <c r="BW6" s="47"/>
      <c r="BX6" s="47"/>
      <c r="BY6" s="93"/>
      <c r="BZ6" s="47" t="str">
        <f>Dates!BZ3</f>
      </c>
      <c r="CA6" s="47"/>
      <c r="CB6" s="47"/>
      <c r="CC6" s="47"/>
      <c r="CD6" s="93"/>
      <c r="CE6" s="47" t="str">
        <f>Dates!CE3</f>
      </c>
      <c r="CF6" s="47"/>
      <c r="CG6" s="47"/>
      <c r="CH6" s="47"/>
      <c r="CI6" s="93"/>
      <c r="CJ6" s="47" t="str">
        <f>Dates!CJ3</f>
      </c>
      <c r="CK6" s="47"/>
      <c r="CL6" s="47"/>
      <c r="CM6" s="47"/>
      <c r="CN6" s="93"/>
      <c r="CO6" s="47" t="str">
        <f>Dates!CO3</f>
      </c>
      <c r="CP6" s="47"/>
      <c r="CQ6" s="47"/>
      <c r="CR6" s="47"/>
      <c r="CS6" s="93"/>
      <c r="CT6" s="47" t="str">
        <f>Dates!CT3</f>
      </c>
      <c r="CU6" s="47"/>
      <c r="CV6" s="47"/>
      <c r="CW6" s="47"/>
      <c r="CX6" s="93"/>
      <c r="CY6" s="47" t="str">
        <f>Dates!CY3</f>
      </c>
      <c r="CZ6" s="47"/>
      <c r="DA6" s="47"/>
      <c r="DB6" s="47"/>
      <c r="DC6" s="93"/>
      <c r="DD6" s="47" t="str">
        <f>Dates!DD3</f>
      </c>
      <c r="DE6" s="47"/>
      <c r="DF6" s="47"/>
      <c r="DG6" s="47"/>
      <c r="DH6" s="93"/>
      <c r="DI6" s="47" t="str">
        <f>Dates!DI3</f>
      </c>
      <c r="DJ6" s="47"/>
      <c r="DK6" s="47"/>
      <c r="DL6" s="47"/>
      <c r="DM6" s="93"/>
      <c r="DN6" s="47" t="str">
        <f>Dates!DN3</f>
      </c>
      <c r="DO6" s="47"/>
      <c r="DP6" s="47"/>
      <c r="DQ6" s="47"/>
      <c r="DR6" s="93"/>
      <c r="DS6" s="47" t="str">
        <f>Dates!DS3</f>
      </c>
      <c r="DT6" s="47"/>
      <c r="DU6" s="47"/>
      <c r="DV6" s="47"/>
      <c r="DW6" s="93"/>
      <c r="DX6" s="47" t="str">
        <f>Dates!DX3</f>
      </c>
      <c r="DY6" s="47"/>
      <c r="DZ6" s="47"/>
      <c r="EA6" s="47"/>
      <c r="EB6" s="93"/>
      <c r="EC6" s="47" t="str">
        <f>Dates!EC3</f>
      </c>
      <c r="ED6" s="47"/>
      <c r="EE6" s="47"/>
      <c r="EF6" s="47"/>
      <c r="EG6" s="93"/>
      <c r="EH6" s="47" t="str">
        <f>Dates!EH3</f>
      </c>
      <c r="EI6" s="47"/>
      <c r="EJ6" s="47"/>
      <c r="EK6" s="47"/>
      <c r="EL6" s="93"/>
      <c r="EM6" s="47" t="str">
        <f>Dates!EM3</f>
      </c>
      <c r="EN6" s="47"/>
      <c r="EO6" s="47"/>
      <c r="EP6" s="47"/>
      <c r="EQ6" s="93"/>
      <c r="ER6" s="47" t="str">
        <f>Dates!ER3</f>
      </c>
      <c r="ES6" s="47"/>
      <c r="ET6" s="47"/>
      <c r="EU6" s="47"/>
      <c r="EV6" s="93"/>
      <c r="EW6" s="47" t="str">
        <f>Dates!EW3</f>
      </c>
      <c r="EX6" s="47"/>
      <c r="EY6" s="47"/>
      <c r="EZ6" s="47"/>
      <c r="FA6" s="93"/>
      <c r="FB6" s="47" t="str">
        <f>Dates!FB3</f>
      </c>
      <c r="FC6" s="47"/>
      <c r="FD6" s="47"/>
      <c r="FE6" s="47"/>
      <c r="FF6" s="93"/>
      <c r="FG6" s="47" t="str">
        <f>Dates!FG3</f>
      </c>
      <c r="FH6" s="47"/>
      <c r="FI6" s="47"/>
      <c r="FJ6" s="47"/>
      <c r="FK6" s="93"/>
      <c r="FL6" s="47" t="str">
        <f>Dates!FL3</f>
      </c>
      <c r="FM6" s="47"/>
      <c r="FN6" s="47"/>
      <c r="FO6" s="47"/>
      <c r="FP6" s="93"/>
      <c r="FQ6" s="47" t="str">
        <f>Dates!FQ3</f>
      </c>
      <c r="FR6" s="47"/>
      <c r="FS6" s="47"/>
      <c r="FT6" s="47"/>
      <c r="FU6" s="93"/>
      <c r="FV6" s="47" t="str">
        <f>Dates!FV3</f>
      </c>
      <c r="FW6" s="47"/>
      <c r="FX6" s="47"/>
      <c r="FY6" s="47"/>
      <c r="FZ6" s="93"/>
      <c r="GA6" s="47" t="str">
        <f>Dates!GA3</f>
      </c>
      <c r="GB6" s="47"/>
      <c r="GC6" s="47"/>
      <c r="GD6" s="47"/>
      <c r="GE6" s="93"/>
    </row>
    <row r="7" spans="1:187" ht="12.75" customHeight="1">
      <c r="C7" s="96" t="str">
        <f>Dates!C4</f>
      </c>
      <c r="D7" s="96" t="str">
        <f>Dates!D4</f>
      </c>
      <c r="E7" s="96" t="str">
        <f>Dates!E4</f>
      </c>
      <c r="F7" s="96" t="str">
        <f>Dates!F4</f>
      </c>
      <c r="G7" s="97" t="str">
        <f>Dates!G4</f>
      </c>
      <c r="H7" s="96" t="str">
        <f>Dates!H4</f>
      </c>
      <c r="I7" s="96" t="str">
        <f>Dates!I4</f>
      </c>
      <c r="J7" s="96" t="str">
        <f>Dates!J4</f>
      </c>
      <c r="K7" s="96" t="str">
        <f>Dates!K4</f>
      </c>
      <c r="L7" s="97" t="str">
        <f>Dates!L4</f>
      </c>
      <c r="M7" s="96" t="str">
        <f>Dates!M4</f>
      </c>
      <c r="N7" s="96" t="str">
        <f>Dates!N4</f>
      </c>
      <c r="O7" s="96" t="str">
        <f>Dates!O4</f>
      </c>
      <c r="P7" s="96" t="str">
        <f>Dates!P4</f>
      </c>
      <c r="Q7" s="97" t="str">
        <f>Dates!Q4</f>
      </c>
      <c r="R7" s="96" t="str">
        <f>Dates!R4</f>
      </c>
      <c r="S7" s="96" t="str">
        <f>Dates!S4</f>
      </c>
      <c r="T7" s="96" t="str">
        <f>Dates!T4</f>
      </c>
      <c r="U7" s="96" t="str">
        <f>Dates!U4</f>
      </c>
      <c r="V7" s="97" t="str">
        <f>Dates!V4</f>
      </c>
      <c r="W7" s="96" t="str">
        <f>Dates!W4</f>
      </c>
      <c r="X7" s="96" t="str">
        <f>Dates!X4</f>
      </c>
      <c r="Y7" s="96" t="str">
        <f>Dates!Y4</f>
      </c>
      <c r="Z7" s="96" t="str">
        <f>Dates!Z4</f>
      </c>
      <c r="AA7" s="97" t="str">
        <f>Dates!AA4</f>
      </c>
      <c r="AB7" s="96" t="str">
        <f>Dates!AB4</f>
      </c>
      <c r="AC7" s="96" t="str">
        <f>Dates!AC4</f>
      </c>
      <c r="AD7" s="96" t="str">
        <f>Dates!AD4</f>
      </c>
      <c r="AE7" s="96" t="str">
        <f>Dates!AE4</f>
      </c>
      <c r="AF7" s="97" t="str">
        <f>Dates!AF4</f>
      </c>
      <c r="AG7" s="96" t="str">
        <f>Dates!AG4</f>
      </c>
      <c r="AH7" s="96" t="str">
        <f>Dates!AH4</f>
      </c>
      <c r="AI7" s="96" t="str">
        <f>Dates!AI4</f>
      </c>
      <c r="AJ7" s="96" t="str">
        <f>Dates!AJ4</f>
      </c>
      <c r="AK7" s="97" t="str">
        <f>Dates!AK4</f>
      </c>
      <c r="AL7" s="96" t="str">
        <f>Dates!AL4</f>
      </c>
      <c r="AM7" s="96" t="str">
        <f>Dates!AM4</f>
      </c>
      <c r="AN7" s="96" t="str">
        <f>Dates!AN4</f>
      </c>
      <c r="AO7" s="96" t="str">
        <f>Dates!AO4</f>
      </c>
      <c r="AP7" s="97" t="str">
        <f>Dates!AP4</f>
      </c>
      <c r="AQ7" s="96" t="str">
        <f>Dates!AQ4</f>
      </c>
      <c r="AR7" s="96" t="str">
        <f>Dates!AR4</f>
      </c>
      <c r="AS7" s="96" t="str">
        <f>Dates!AS4</f>
      </c>
      <c r="AT7" s="96" t="str">
        <f>Dates!AT4</f>
      </c>
      <c r="AU7" s="97" t="str">
        <f>Dates!AU4</f>
      </c>
      <c r="AV7" s="96" t="str">
        <f>Dates!AV4</f>
      </c>
      <c r="AW7" s="96" t="str">
        <f>Dates!AW4</f>
      </c>
      <c r="AX7" s="96" t="str">
        <f>Dates!AX4</f>
      </c>
      <c r="AY7" s="96" t="str">
        <f>Dates!AY4</f>
      </c>
      <c r="AZ7" s="97" t="str">
        <f>Dates!AZ4</f>
      </c>
      <c r="BA7" s="96" t="str">
        <f>Dates!BA4</f>
      </c>
      <c r="BB7" s="96" t="str">
        <f>Dates!BB4</f>
      </c>
      <c r="BC7" s="96" t="str">
        <f>Dates!BC4</f>
      </c>
      <c r="BD7" s="96" t="str">
        <f>Dates!BD4</f>
      </c>
      <c r="BE7" s="97" t="str">
        <f>Dates!BE4</f>
      </c>
      <c r="BF7" s="96" t="str">
        <f>Dates!BF4</f>
      </c>
      <c r="BG7" s="96" t="str">
        <f>Dates!BG4</f>
      </c>
      <c r="BH7" s="96" t="str">
        <f>Dates!BH4</f>
      </c>
      <c r="BI7" s="96" t="str">
        <f>Dates!BI4</f>
      </c>
      <c r="BJ7" s="97" t="str">
        <f>Dates!BJ4</f>
      </c>
      <c r="BK7" s="96" t="str">
        <f>Dates!BK4</f>
      </c>
      <c r="BL7" s="96" t="str">
        <f>Dates!BL4</f>
      </c>
      <c r="BM7" s="96" t="str">
        <f>Dates!BM4</f>
      </c>
      <c r="BN7" s="96" t="str">
        <f>Dates!BN4</f>
      </c>
      <c r="BO7" s="97" t="str">
        <f>Dates!BO4</f>
      </c>
      <c r="BP7" s="96" t="str">
        <f>Dates!BP4</f>
      </c>
      <c r="BQ7" s="96" t="str">
        <f>Dates!BQ4</f>
      </c>
      <c r="BR7" s="96" t="str">
        <f>Dates!BR4</f>
      </c>
      <c r="BS7" s="96" t="str">
        <f>Dates!BS4</f>
      </c>
      <c r="BT7" s="97" t="str">
        <f>Dates!BT4</f>
      </c>
      <c r="BU7" s="96" t="str">
        <f>Dates!BU4</f>
      </c>
      <c r="BV7" s="96" t="str">
        <f>Dates!BV4</f>
      </c>
      <c r="BW7" s="96" t="str">
        <f>Dates!BW4</f>
      </c>
      <c r="BX7" s="96" t="str">
        <f>Dates!BX4</f>
      </c>
      <c r="BY7" s="97" t="str">
        <f>Dates!BY4</f>
      </c>
      <c r="BZ7" s="96" t="str">
        <f>Dates!BZ4</f>
      </c>
      <c r="CA7" s="96" t="str">
        <f>Dates!CA4</f>
      </c>
      <c r="CB7" s="96" t="str">
        <f>Dates!CB4</f>
      </c>
      <c r="CC7" s="96" t="str">
        <f>Dates!CC4</f>
      </c>
      <c r="CD7" s="97" t="str">
        <f>Dates!CD4</f>
      </c>
      <c r="CE7" s="96" t="str">
        <f>Dates!CE4</f>
      </c>
      <c r="CF7" s="96" t="str">
        <f>Dates!CF4</f>
      </c>
      <c r="CG7" s="96" t="str">
        <f>Dates!CG4</f>
      </c>
      <c r="CH7" s="96" t="str">
        <f>Dates!CH4</f>
      </c>
      <c r="CI7" s="97" t="str">
        <f>Dates!CI4</f>
      </c>
      <c r="CJ7" s="96" t="str">
        <f>Dates!CJ4</f>
      </c>
      <c r="CK7" s="96" t="str">
        <f>Dates!CK4</f>
      </c>
      <c r="CL7" s="96" t="str">
        <f>Dates!CL4</f>
      </c>
      <c r="CM7" s="96" t="str">
        <f>Dates!CM4</f>
      </c>
      <c r="CN7" s="97" t="str">
        <f>Dates!CN4</f>
      </c>
      <c r="CO7" s="96" t="str">
        <f>Dates!CO4</f>
      </c>
      <c r="CP7" s="96" t="str">
        <f>Dates!CP4</f>
      </c>
      <c r="CQ7" s="96" t="str">
        <f>Dates!CQ4</f>
      </c>
      <c r="CR7" s="96" t="str">
        <f>Dates!CR4</f>
      </c>
      <c r="CS7" s="97" t="str">
        <f>Dates!CS4</f>
      </c>
      <c r="CT7" s="96" t="str">
        <f>Dates!CT4</f>
      </c>
      <c r="CU7" s="96" t="str">
        <f>Dates!CU4</f>
      </c>
      <c r="CV7" s="96" t="str">
        <f>Dates!CV4</f>
      </c>
      <c r="CW7" s="96" t="str">
        <f>Dates!CW4</f>
      </c>
      <c r="CX7" s="97" t="str">
        <f>Dates!CX4</f>
      </c>
      <c r="CY7" s="96" t="str">
        <f>Dates!CY4</f>
      </c>
      <c r="CZ7" s="96" t="str">
        <f>Dates!CZ4</f>
      </c>
      <c r="DA7" s="96" t="str">
        <f>Dates!DA4</f>
      </c>
      <c r="DB7" s="96" t="str">
        <f>Dates!DB4</f>
      </c>
      <c r="DC7" s="97" t="str">
        <f>Dates!DC4</f>
      </c>
      <c r="DD7" s="96" t="str">
        <f>Dates!DD4</f>
      </c>
      <c r="DE7" s="96" t="str">
        <f>Dates!DE4</f>
      </c>
      <c r="DF7" s="96" t="str">
        <f>Dates!DF4</f>
      </c>
      <c r="DG7" s="96" t="str">
        <f>Dates!DG4</f>
      </c>
      <c r="DH7" s="97" t="str">
        <f>Dates!DH4</f>
      </c>
      <c r="DI7" s="96" t="str">
        <f>Dates!DI4</f>
      </c>
      <c r="DJ7" s="96" t="str">
        <f>Dates!DJ4</f>
      </c>
      <c r="DK7" s="96" t="str">
        <f>Dates!DK4</f>
      </c>
      <c r="DL7" s="96" t="str">
        <f>Dates!DL4</f>
      </c>
      <c r="DM7" s="97" t="str">
        <f>Dates!DM4</f>
      </c>
      <c r="DN7" s="96" t="str">
        <f>Dates!DN4</f>
      </c>
      <c r="DO7" s="96" t="str">
        <f>Dates!DO4</f>
      </c>
      <c r="DP7" s="96" t="str">
        <f>Dates!DP4</f>
      </c>
      <c r="DQ7" s="96" t="str">
        <f>Dates!DQ4</f>
      </c>
      <c r="DR7" s="97" t="str">
        <f>Dates!DR4</f>
      </c>
      <c r="DS7" s="96" t="str">
        <f>Dates!DS4</f>
      </c>
      <c r="DT7" s="96" t="str">
        <f>Dates!DT4</f>
      </c>
      <c r="DU7" s="96" t="str">
        <f>Dates!DU4</f>
      </c>
      <c r="DV7" s="96" t="str">
        <f>Dates!DV4</f>
      </c>
      <c r="DW7" s="97" t="str">
        <f>Dates!DW4</f>
      </c>
      <c r="DX7" s="96" t="str">
        <f>Dates!DX4</f>
      </c>
      <c r="DY7" s="96" t="str">
        <f>Dates!DY4</f>
      </c>
      <c r="DZ7" s="96" t="str">
        <f>Dates!DZ4</f>
      </c>
      <c r="EA7" s="96" t="str">
        <f>Dates!EA4</f>
      </c>
      <c r="EB7" s="97" t="str">
        <f>Dates!EB4</f>
      </c>
      <c r="EC7" s="96" t="str">
        <f>Dates!EC4</f>
      </c>
      <c r="ED7" s="96" t="str">
        <f>Dates!ED4</f>
      </c>
      <c r="EE7" s="96" t="str">
        <f>Dates!EE4</f>
      </c>
      <c r="EF7" s="96" t="str">
        <f>Dates!EF4</f>
      </c>
      <c r="EG7" s="97" t="str">
        <f>Dates!EG4</f>
      </c>
      <c r="EH7" s="96" t="str">
        <f>Dates!EH4</f>
      </c>
      <c r="EI7" s="96" t="str">
        <f>Dates!EI4</f>
      </c>
      <c r="EJ7" s="96" t="str">
        <f>Dates!EJ4</f>
      </c>
      <c r="EK7" s="96" t="str">
        <f>Dates!EK4</f>
      </c>
      <c r="EL7" s="97" t="str">
        <f>Dates!EL4</f>
      </c>
      <c r="EM7" s="96" t="str">
        <f>Dates!EM4</f>
      </c>
      <c r="EN7" s="96" t="str">
        <f>Dates!EN4</f>
      </c>
      <c r="EO7" s="96" t="str">
        <f>Dates!EO4</f>
      </c>
      <c r="EP7" s="96" t="str">
        <f>Dates!EP4</f>
      </c>
      <c r="EQ7" s="97" t="str">
        <f>Dates!EQ4</f>
      </c>
      <c r="ER7" s="96" t="str">
        <f>Dates!ER4</f>
      </c>
      <c r="ES7" s="96" t="str">
        <f>Dates!ES4</f>
      </c>
      <c r="ET7" s="96" t="str">
        <f>Dates!ET4</f>
      </c>
      <c r="EU7" s="96" t="str">
        <f>Dates!EU4</f>
      </c>
      <c r="EV7" s="97" t="str">
        <f>Dates!EV4</f>
      </c>
      <c r="EW7" s="96" t="str">
        <f>Dates!EW4</f>
      </c>
      <c r="EX7" s="96" t="str">
        <f>Dates!EX4</f>
      </c>
      <c r="EY7" s="96" t="str">
        <f>Dates!EY4</f>
      </c>
      <c r="EZ7" s="96" t="str">
        <f>Dates!EZ4</f>
      </c>
      <c r="FA7" s="97" t="str">
        <f>Dates!FA4</f>
      </c>
      <c r="FB7" s="96" t="str">
        <f>Dates!FB4</f>
      </c>
      <c r="FC7" s="96" t="str">
        <f>Dates!FC4</f>
      </c>
      <c r="FD7" s="96" t="str">
        <f>Dates!FD4</f>
      </c>
      <c r="FE7" s="96" t="str">
        <f>Dates!FE4</f>
      </c>
      <c r="FF7" s="97" t="str">
        <f>Dates!FF4</f>
      </c>
      <c r="FG7" s="96" t="str">
        <f>Dates!FG4</f>
      </c>
      <c r="FH7" s="96" t="str">
        <f>Dates!FH4</f>
      </c>
      <c r="FI7" s="96" t="str">
        <f>Dates!FI4</f>
      </c>
      <c r="FJ7" s="96" t="str">
        <f>Dates!FJ4</f>
      </c>
      <c r="FK7" s="97" t="str">
        <f>Dates!FK4</f>
      </c>
      <c r="FL7" s="96" t="str">
        <f>Dates!FL4</f>
      </c>
      <c r="FM7" s="96" t="str">
        <f>Dates!FM4</f>
      </c>
      <c r="FN7" s="96" t="str">
        <f>Dates!FN4</f>
      </c>
      <c r="FO7" s="96" t="str">
        <f>Dates!FO4</f>
      </c>
      <c r="FP7" s="97" t="str">
        <f>Dates!FP4</f>
      </c>
      <c r="FQ7" s="96" t="str">
        <f>Dates!FQ4</f>
      </c>
      <c r="FR7" s="96" t="str">
        <f>Dates!FR4</f>
      </c>
      <c r="FS7" s="96" t="str">
        <f>Dates!FS4</f>
      </c>
      <c r="FT7" s="96" t="str">
        <f>Dates!FT4</f>
      </c>
      <c r="FU7" s="97" t="str">
        <f>Dates!FU4</f>
      </c>
      <c r="FV7" s="96" t="str">
        <f>Dates!FV4</f>
      </c>
      <c r="FW7" s="96" t="str">
        <f>Dates!FW4</f>
      </c>
      <c r="FX7" s="96" t="str">
        <f>Dates!FX4</f>
      </c>
      <c r="FY7" s="96" t="str">
        <f>Dates!FY4</f>
      </c>
      <c r="FZ7" s="97" t="str">
        <f>Dates!FZ4</f>
      </c>
      <c r="GA7" s="96" t="str">
        <f>Dates!GA4</f>
      </c>
      <c r="GB7" s="96" t="str">
        <f>Dates!GB4</f>
      </c>
      <c r="GC7" s="96" t="str">
        <f>Dates!GC4</f>
      </c>
      <c r="GD7" s="96" t="str">
        <f>Dates!GD4</f>
      </c>
      <c r="GE7" s="97" t="str">
        <f>Dates!GE4</f>
      </c>
    </row>
    <row r="8" spans="1:187" ht="12.75" customHeight="1">
      <c r="C8" s="98">
        <f>Dates!C5</f>
      </c>
      <c r="D8" s="98">
        <f>Dates!D5</f>
      </c>
      <c r="E8" s="98">
        <f>Dates!E5</f>
      </c>
      <c r="F8" s="98">
        <f>Dates!F5</f>
      </c>
      <c r="G8" s="99">
        <f>Dates!G5</f>
      </c>
      <c r="H8" s="98">
        <f>Dates!H5</f>
      </c>
      <c r="I8" s="98">
        <f>Dates!I5</f>
      </c>
      <c r="J8" s="98">
        <f>Dates!J5</f>
      </c>
      <c r="K8" s="98">
        <f>Dates!K5</f>
      </c>
      <c r="L8" s="99">
        <f>Dates!L5</f>
      </c>
      <c r="M8" s="98">
        <f>Dates!M5</f>
      </c>
      <c r="N8" s="98">
        <f>Dates!N5</f>
      </c>
      <c r="O8" s="98">
        <f>Dates!O5</f>
      </c>
      <c r="P8" s="98">
        <f>Dates!P5</f>
      </c>
      <c r="Q8" s="99">
        <f>Dates!Q5</f>
      </c>
      <c r="R8" s="98">
        <f>Dates!R5</f>
      </c>
      <c r="S8" s="98">
        <f>Dates!S5</f>
      </c>
      <c r="T8" s="98">
        <f>Dates!T5</f>
      </c>
      <c r="U8" s="98">
        <f>Dates!U5</f>
      </c>
      <c r="V8" s="99">
        <f>Dates!V5</f>
      </c>
      <c r="W8" s="98">
        <f>Dates!W5</f>
      </c>
      <c r="X8" s="98">
        <f>Dates!X5</f>
      </c>
      <c r="Y8" s="98">
        <f>Dates!Y5</f>
      </c>
      <c r="Z8" s="98">
        <f>Dates!Z5</f>
      </c>
      <c r="AA8" s="99">
        <f>Dates!AA5</f>
      </c>
      <c r="AB8" s="98">
        <f>Dates!AB5</f>
      </c>
      <c r="AC8" s="98">
        <f>Dates!AC5</f>
      </c>
      <c r="AD8" s="98">
        <f>Dates!AD5</f>
      </c>
      <c r="AE8" s="98">
        <f>Dates!AE5</f>
      </c>
      <c r="AF8" s="99">
        <f>Dates!AF5</f>
      </c>
      <c r="AG8" s="98">
        <f>Dates!AG5</f>
      </c>
      <c r="AH8" s="98">
        <f>Dates!AH5</f>
      </c>
      <c r="AI8" s="98">
        <f>Dates!AI5</f>
      </c>
      <c r="AJ8" s="98">
        <f>Dates!AJ5</f>
      </c>
      <c r="AK8" s="99">
        <f>Dates!AK5</f>
      </c>
      <c r="AL8" s="98">
        <f>Dates!AL5</f>
      </c>
      <c r="AM8" s="98">
        <f>Dates!AM5</f>
      </c>
      <c r="AN8" s="98">
        <f>Dates!AN5</f>
      </c>
      <c r="AO8" s="98">
        <f>Dates!AO5</f>
      </c>
      <c r="AP8" s="99">
        <f>Dates!AP5</f>
      </c>
      <c r="AQ8" s="98">
        <f>Dates!AQ5</f>
      </c>
      <c r="AR8" s="98">
        <f>Dates!AR5</f>
      </c>
      <c r="AS8" s="98">
        <f>Dates!AS5</f>
      </c>
      <c r="AT8" s="98">
        <f>Dates!AT5</f>
      </c>
      <c r="AU8" s="99">
        <f>Dates!AU5</f>
      </c>
      <c r="AV8" s="98">
        <f>Dates!AV5</f>
      </c>
      <c r="AW8" s="98">
        <f>Dates!AW5</f>
      </c>
      <c r="AX8" s="98">
        <f>Dates!AX5</f>
      </c>
      <c r="AY8" s="98">
        <f>Dates!AY5</f>
      </c>
      <c r="AZ8" s="99">
        <f>Dates!AZ5</f>
      </c>
      <c r="BA8" s="98">
        <f>Dates!BA5</f>
      </c>
      <c r="BB8" s="98">
        <f>Dates!BB5</f>
      </c>
      <c r="BC8" s="98">
        <f>Dates!BC5</f>
      </c>
      <c r="BD8" s="98">
        <f>Dates!BD5</f>
      </c>
      <c r="BE8" s="99">
        <f>Dates!BE5</f>
      </c>
      <c r="BF8" s="98">
        <f>Dates!BF5</f>
      </c>
      <c r="BG8" s="98">
        <f>Dates!BG5</f>
      </c>
      <c r="BH8" s="98">
        <f>Dates!BH5</f>
      </c>
      <c r="BI8" s="98">
        <f>Dates!BI5</f>
      </c>
      <c r="BJ8" s="99">
        <f>Dates!BJ5</f>
      </c>
      <c r="BK8" s="98">
        <f>Dates!BK5</f>
      </c>
      <c r="BL8" s="98">
        <f>Dates!BL5</f>
      </c>
      <c r="BM8" s="98">
        <f>Dates!BM5</f>
      </c>
      <c r="BN8" s="98">
        <f>Dates!BN5</f>
      </c>
      <c r="BO8" s="99">
        <f>Dates!BO5</f>
      </c>
      <c r="BP8" s="98">
        <f>Dates!BP5</f>
      </c>
      <c r="BQ8" s="98">
        <f>Dates!BQ5</f>
      </c>
      <c r="BR8" s="98">
        <f>Dates!BR5</f>
      </c>
      <c r="BS8" s="98">
        <f>Dates!BS5</f>
      </c>
      <c r="BT8" s="99">
        <f>Dates!BT5</f>
      </c>
      <c r="BU8" s="98">
        <f>Dates!BU5</f>
      </c>
      <c r="BV8" s="98">
        <f>Dates!BV5</f>
      </c>
      <c r="BW8" s="98">
        <f>Dates!BW5</f>
      </c>
      <c r="BX8" s="98">
        <f>Dates!BX5</f>
      </c>
      <c r="BY8" s="99">
        <f>Dates!BY5</f>
      </c>
      <c r="BZ8" s="98">
        <f>Dates!BZ5</f>
      </c>
      <c r="CA8" s="98">
        <f>Dates!CA5</f>
      </c>
      <c r="CB8" s="98">
        <f>Dates!CB5</f>
      </c>
      <c r="CC8" s="98">
        <f>Dates!CC5</f>
      </c>
      <c r="CD8" s="99">
        <f>Dates!CD5</f>
      </c>
      <c r="CE8" s="98">
        <f>Dates!CE5</f>
      </c>
      <c r="CF8" s="98">
        <f>Dates!CF5</f>
      </c>
      <c r="CG8" s="98">
        <f>Dates!CG5</f>
      </c>
      <c r="CH8" s="98">
        <f>Dates!CH5</f>
      </c>
      <c r="CI8" s="99">
        <f>Dates!CI5</f>
      </c>
      <c r="CJ8" s="98">
        <f>Dates!CJ5</f>
      </c>
      <c r="CK8" s="98">
        <f>Dates!CK5</f>
      </c>
      <c r="CL8" s="98">
        <f>Dates!CL5</f>
      </c>
      <c r="CM8" s="98">
        <f>Dates!CM5</f>
      </c>
      <c r="CN8" s="99">
        <f>Dates!CN5</f>
      </c>
      <c r="CO8" s="98">
        <f>Dates!CO5</f>
      </c>
      <c r="CP8" s="98">
        <f>Dates!CP5</f>
      </c>
      <c r="CQ8" s="98">
        <f>Dates!CQ5</f>
      </c>
      <c r="CR8" s="98">
        <f>Dates!CR5</f>
      </c>
      <c r="CS8" s="99">
        <f>Dates!CS5</f>
      </c>
      <c r="CT8" s="98">
        <f>Dates!CT5</f>
      </c>
      <c r="CU8" s="98">
        <f>Dates!CU5</f>
      </c>
      <c r="CV8" s="98">
        <f>Dates!CV5</f>
      </c>
      <c r="CW8" s="98">
        <f>Dates!CW5</f>
      </c>
      <c r="CX8" s="99">
        <f>Dates!CX5</f>
      </c>
      <c r="CY8" s="98">
        <f>Dates!CY5</f>
      </c>
      <c r="CZ8" s="98">
        <f>Dates!CZ5</f>
      </c>
      <c r="DA8" s="98">
        <f>Dates!DA5</f>
      </c>
      <c r="DB8" s="98">
        <f>Dates!DB5</f>
      </c>
      <c r="DC8" s="99">
        <f>Dates!DC5</f>
      </c>
      <c r="DD8" s="98">
        <f>Dates!DD5</f>
      </c>
      <c r="DE8" s="98">
        <f>Dates!DE5</f>
      </c>
      <c r="DF8" s="98">
        <f>Dates!DF5</f>
      </c>
      <c r="DG8" s="98">
        <f>Dates!DG5</f>
      </c>
      <c r="DH8" s="99">
        <f>Dates!DH5</f>
      </c>
      <c r="DI8" s="98">
        <f>Dates!DI5</f>
      </c>
      <c r="DJ8" s="98">
        <f>Dates!DJ5</f>
      </c>
      <c r="DK8" s="98">
        <f>Dates!DK5</f>
      </c>
      <c r="DL8" s="98">
        <f>Dates!DL5</f>
      </c>
      <c r="DM8" s="99">
        <f>Dates!DM5</f>
      </c>
      <c r="DN8" s="98">
        <f>Dates!DN5</f>
      </c>
      <c r="DO8" s="98">
        <f>Dates!DO5</f>
      </c>
      <c r="DP8" s="98">
        <f>Dates!DP5</f>
      </c>
      <c r="DQ8" s="98">
        <f>Dates!DQ5</f>
      </c>
      <c r="DR8" s="99">
        <f>Dates!DR5</f>
      </c>
      <c r="DS8" s="98">
        <f>Dates!DS5</f>
      </c>
      <c r="DT8" s="98">
        <f>Dates!DT5</f>
      </c>
      <c r="DU8" s="98">
        <f>Dates!DU5</f>
      </c>
      <c r="DV8" s="98">
        <f>Dates!DV5</f>
      </c>
      <c r="DW8" s="99">
        <f>Dates!DW5</f>
      </c>
      <c r="DX8" s="98">
        <f>Dates!DX5</f>
      </c>
      <c r="DY8" s="98">
        <f>Dates!DY5</f>
      </c>
      <c r="DZ8" s="98">
        <f>Dates!DZ5</f>
      </c>
      <c r="EA8" s="98">
        <f>Dates!EA5</f>
      </c>
      <c r="EB8" s="99">
        <f>Dates!EB5</f>
      </c>
      <c r="EC8" s="98">
        <f>Dates!EC5</f>
      </c>
      <c r="ED8" s="98">
        <f>Dates!ED5</f>
      </c>
      <c r="EE8" s="98">
        <f>Dates!EE5</f>
      </c>
      <c r="EF8" s="98">
        <f>Dates!EF5</f>
      </c>
      <c r="EG8" s="99">
        <f>Dates!EG5</f>
      </c>
      <c r="EH8" s="98">
        <f>Dates!EH5</f>
      </c>
      <c r="EI8" s="98">
        <f>Dates!EI5</f>
      </c>
      <c r="EJ8" s="98">
        <f>Dates!EJ5</f>
      </c>
      <c r="EK8" s="98">
        <f>Dates!EK5</f>
      </c>
      <c r="EL8" s="99">
        <f>Dates!EL5</f>
      </c>
      <c r="EM8" s="98">
        <f>Dates!EM5</f>
      </c>
      <c r="EN8" s="98">
        <f>Dates!EN5</f>
      </c>
      <c r="EO8" s="98">
        <f>Dates!EO5</f>
      </c>
      <c r="EP8" s="98">
        <f>Dates!EP5</f>
      </c>
      <c r="EQ8" s="99">
        <f>Dates!EQ5</f>
      </c>
      <c r="ER8" s="98">
        <f>Dates!ER5</f>
      </c>
      <c r="ES8" s="98">
        <f>Dates!ES5</f>
      </c>
      <c r="ET8" s="98">
        <f>Dates!ET5</f>
      </c>
      <c r="EU8" s="98">
        <f>Dates!EU5</f>
      </c>
      <c r="EV8" s="99">
        <f>Dates!EV5</f>
      </c>
      <c r="EW8" s="98">
        <f>Dates!EW5</f>
      </c>
      <c r="EX8" s="98">
        <f>Dates!EX5</f>
      </c>
      <c r="EY8" s="98">
        <f>Dates!EY5</f>
      </c>
      <c r="EZ8" s="98">
        <f>Dates!EZ5</f>
      </c>
      <c r="FA8" s="99">
        <f>Dates!FA5</f>
      </c>
      <c r="FB8" s="98">
        <f>Dates!FB5</f>
      </c>
      <c r="FC8" s="98">
        <f>Dates!FC5</f>
      </c>
      <c r="FD8" s="98">
        <f>Dates!FD5</f>
      </c>
      <c r="FE8" s="98">
        <f>Dates!FE5</f>
      </c>
      <c r="FF8" s="99">
        <f>Dates!FF5</f>
      </c>
      <c r="FG8" s="98">
        <f>Dates!FG5</f>
      </c>
      <c r="FH8" s="98">
        <f>Dates!FH5</f>
      </c>
      <c r="FI8" s="98">
        <f>Dates!FI5</f>
      </c>
      <c r="FJ8" s="98">
        <f>Dates!FJ5</f>
      </c>
      <c r="FK8" s="99">
        <f>Dates!FK5</f>
      </c>
      <c r="FL8" s="98">
        <f>Dates!FL5</f>
      </c>
      <c r="FM8" s="98">
        <f>Dates!FM5</f>
      </c>
      <c r="FN8" s="98">
        <f>Dates!FN5</f>
      </c>
      <c r="FO8" s="98">
        <f>Dates!FO5</f>
      </c>
      <c r="FP8" s="99">
        <f>Dates!FP5</f>
      </c>
      <c r="FQ8" s="98">
        <f>Dates!FQ5</f>
      </c>
      <c r="FR8" s="98">
        <f>Dates!FR5</f>
      </c>
      <c r="FS8" s="98">
        <f>Dates!FS5</f>
      </c>
      <c r="FT8" s="98">
        <f>Dates!FT5</f>
      </c>
      <c r="FU8" s="99">
        <f>Dates!FU5</f>
      </c>
      <c r="FV8" s="98">
        <f>Dates!FV5</f>
      </c>
      <c r="FW8" s="98">
        <f>Dates!FW5</f>
      </c>
      <c r="FX8" s="98">
        <f>Dates!FX5</f>
      </c>
      <c r="FY8" s="98">
        <f>Dates!FY5</f>
      </c>
      <c r="FZ8" s="99">
        <f>Dates!FZ5</f>
      </c>
      <c r="GA8" s="98">
        <f>Dates!GA5</f>
      </c>
      <c r="GB8" s="98">
        <f>Dates!GB5</f>
      </c>
      <c r="GC8" s="98">
        <f>Dates!GC5</f>
      </c>
      <c r="GD8" s="98">
        <f>Dates!GD5</f>
      </c>
      <c r="GE8" s="99">
        <f>Dates!GE5</f>
      </c>
    </row>
    <row r="9" spans="1:187" ht="12.75" customHeight="1" thickBot="1">
      <c r="C9" s="246"/>
      <c r="G9" s="100"/>
      <c r="H9" s="246"/>
      <c r="L9" s="100"/>
      <c r="M9" s="246"/>
      <c r="Q9" s="100"/>
      <c r="R9" s="246"/>
      <c r="V9" s="100"/>
      <c r="W9" s="246"/>
      <c r="AA9" s="100"/>
      <c r="AB9" s="246"/>
      <c r="AF9" s="100"/>
      <c r="AG9" s="246"/>
      <c r="AK9" s="100"/>
      <c r="AL9" s="246"/>
      <c r="AP9" s="100"/>
      <c r="AQ9" s="246"/>
      <c r="AU9" s="100"/>
      <c r="AV9" s="246"/>
      <c r="AZ9" s="100"/>
      <c r="BA9" s="246"/>
      <c r="BE9" s="100"/>
      <c r="BF9" s="246"/>
      <c r="BJ9" s="100"/>
      <c r="BK9" s="246"/>
      <c r="BO9" s="100"/>
      <c r="BP9" s="246"/>
      <c r="BT9" s="100"/>
      <c r="BU9" s="246"/>
      <c r="BY9" s="100"/>
      <c r="BZ9" s="246"/>
      <c r="CD9" s="100"/>
      <c r="CE9" s="246"/>
      <c r="CI9" s="100"/>
      <c r="CJ9" s="246"/>
      <c r="CN9" s="100"/>
      <c r="CO9" s="246"/>
      <c r="CS9" s="100"/>
      <c r="CT9" s="246"/>
      <c r="CX9" s="100"/>
      <c r="CY9" s="246"/>
      <c r="DC9" s="100"/>
      <c r="DD9" s="246"/>
      <c r="DH9" s="100"/>
      <c r="DI9" s="246"/>
      <c r="DM9" s="100"/>
      <c r="DN9" s="246"/>
      <c r="DR9" s="100"/>
      <c r="DS9" s="246"/>
      <c r="DW9" s="100"/>
      <c r="DX9" s="246"/>
      <c r="EB9" s="100"/>
      <c r="EC9" s="246"/>
      <c r="EG9" s="100"/>
      <c r="EH9" s="246"/>
      <c r="EL9" s="100"/>
      <c r="EM9" s="246"/>
      <c r="EQ9" s="100"/>
      <c r="ER9" s="246"/>
      <c r="EV9" s="100"/>
      <c r="EW9" s="246"/>
      <c r="FA9" s="100"/>
      <c r="FB9" s="246"/>
      <c r="FF9" s="100"/>
      <c r="FG9" s="246"/>
      <c r="FK9" s="100"/>
      <c r="FL9" s="246"/>
      <c r="FP9" s="100"/>
      <c r="FQ9" s="246"/>
      <c r="FU9" s="100"/>
      <c r="FV9" s="246"/>
      <c r="FZ9" s="100"/>
      <c r="GA9" s="246"/>
      <c r="GE9" s="100"/>
    </row>
    <row r="10" spans="1:187" s="537" customFormat="1" ht="12.75" customHeight="1" thickBot="1">
      <c r="A10" s="850"/>
      <c r="B10" s="1096" t="s">
        <v>463</v>
      </c>
      <c r="C10" s="1093"/>
      <c r="D10" s="1094"/>
      <c r="E10" s="1094"/>
      <c r="F10" s="1094"/>
      <c r="G10" s="1101"/>
      <c r="H10" s="1093"/>
      <c r="I10" s="1095"/>
      <c r="J10" s="1095"/>
      <c r="K10" s="1095"/>
      <c r="L10" s="1101"/>
      <c r="M10" s="1093"/>
      <c r="N10" s="1095"/>
      <c r="O10" s="1095"/>
      <c r="P10" s="1095"/>
      <c r="Q10" s="1101"/>
      <c r="R10" s="1093"/>
      <c r="S10" s="1095"/>
      <c r="T10" s="1095"/>
      <c r="U10" s="1095"/>
      <c r="V10" s="1101"/>
      <c r="W10" s="1093"/>
      <c r="X10" s="1095"/>
      <c r="Y10" s="1095"/>
      <c r="Z10" s="1095"/>
      <c r="AA10" s="1101"/>
      <c r="AB10" s="1093"/>
      <c r="AC10" s="1095"/>
      <c r="AD10" s="1095"/>
      <c r="AE10" s="1095"/>
      <c r="AF10" s="1101"/>
      <c r="AG10" s="1093"/>
      <c r="AH10" s="1095"/>
      <c r="AI10" s="1095"/>
      <c r="AJ10" s="1095"/>
      <c r="AK10" s="1101"/>
      <c r="AL10" s="1093"/>
      <c r="AM10" s="1095"/>
      <c r="AN10" s="1095"/>
      <c r="AO10" s="1095"/>
      <c r="AP10" s="1101"/>
      <c r="AQ10" s="1093"/>
      <c r="AR10" s="1095"/>
      <c r="AS10" s="1095"/>
      <c r="AT10" s="1095"/>
      <c r="AU10" s="1101"/>
      <c r="AV10" s="1093"/>
      <c r="AW10" s="1095"/>
      <c r="AX10" s="1095"/>
      <c r="AY10" s="1095"/>
      <c r="AZ10" s="1101"/>
      <c r="BA10" s="1093"/>
      <c r="BB10" s="1095"/>
      <c r="BC10" s="1095"/>
      <c r="BD10" s="1095"/>
      <c r="BE10" s="1101"/>
      <c r="BF10" s="1093"/>
      <c r="BG10" s="1095"/>
      <c r="BH10" s="1095"/>
      <c r="BI10" s="1095"/>
      <c r="BJ10" s="1101"/>
      <c r="BK10" s="1093"/>
      <c r="BL10" s="1095"/>
      <c r="BM10" s="1095"/>
      <c r="BN10" s="1095"/>
      <c r="BO10" s="1101"/>
      <c r="BP10" s="1093"/>
      <c r="BQ10" s="1095"/>
      <c r="BR10" s="1095"/>
      <c r="BS10" s="1095"/>
      <c r="BT10" s="1101"/>
      <c r="BU10" s="1093"/>
      <c r="BV10" s="1095"/>
      <c r="BW10" s="1095"/>
      <c r="BX10" s="1095"/>
      <c r="BY10" s="1101"/>
      <c r="BZ10" s="1093"/>
      <c r="CA10" s="1095"/>
      <c r="CB10" s="1095"/>
      <c r="CC10" s="1095"/>
      <c r="CD10" s="1101"/>
      <c r="CE10" s="1093"/>
      <c r="CF10" s="1095"/>
      <c r="CG10" s="1095"/>
      <c r="CH10" s="1095"/>
      <c r="CI10" s="1101"/>
      <c r="CJ10" s="1093"/>
      <c r="CK10" s="1095"/>
      <c r="CL10" s="1095"/>
      <c r="CM10" s="1095"/>
      <c r="CN10" s="1101"/>
      <c r="CO10" s="1093"/>
      <c r="CP10" s="1095"/>
      <c r="CQ10" s="1095"/>
      <c r="CR10" s="1095"/>
      <c r="CS10" s="1101"/>
      <c r="CT10" s="1093"/>
      <c r="CU10" s="1095"/>
      <c r="CV10" s="1095"/>
      <c r="CW10" s="1095"/>
      <c r="CX10" s="1101"/>
      <c r="CY10" s="1093"/>
      <c r="CZ10" s="1095"/>
      <c r="DA10" s="1095"/>
      <c r="DB10" s="1095"/>
      <c r="DC10" s="1101"/>
      <c r="DD10" s="1093"/>
      <c r="DE10" s="1095"/>
      <c r="DF10" s="1095"/>
      <c r="DG10" s="1095"/>
      <c r="DH10" s="1101"/>
      <c r="DI10" s="1093"/>
      <c r="DJ10" s="1095"/>
      <c r="DK10" s="1095"/>
      <c r="DL10" s="1095"/>
      <c r="DM10" s="1101"/>
      <c r="DN10" s="1093"/>
      <c r="DO10" s="1095"/>
      <c r="DP10" s="1095"/>
      <c r="DQ10" s="1095"/>
      <c r="DR10" s="1101"/>
      <c r="DS10" s="1093"/>
      <c r="DT10" s="1095"/>
      <c r="DU10" s="1095"/>
      <c r="DV10" s="1095"/>
      <c r="DW10" s="1101"/>
      <c r="DX10" s="1093"/>
      <c r="DY10" s="1095"/>
      <c r="DZ10" s="1095"/>
      <c r="EA10" s="1095"/>
      <c r="EB10" s="1101"/>
      <c r="EC10" s="1093"/>
      <c r="ED10" s="1095"/>
      <c r="EE10" s="1095"/>
      <c r="EF10" s="1095"/>
      <c r="EG10" s="1101"/>
      <c r="EH10" s="1093"/>
      <c r="EI10" s="1095"/>
      <c r="EJ10" s="1095"/>
      <c r="EK10" s="1095"/>
      <c r="EL10" s="1101"/>
      <c r="EM10" s="1093"/>
      <c r="EN10" s="1095"/>
      <c r="EO10" s="1095"/>
      <c r="EP10" s="1095"/>
      <c r="EQ10" s="1101"/>
      <c r="ER10" s="1101"/>
      <c r="ES10" s="1095"/>
      <c r="ET10" s="1095"/>
      <c r="EU10" s="1095"/>
      <c r="EV10" s="1101"/>
      <c r="EW10" s="1093"/>
      <c r="EX10" s="1095"/>
      <c r="EY10" s="1095"/>
      <c r="EZ10" s="1095"/>
      <c r="FA10" s="1101"/>
      <c r="FB10" s="1093"/>
      <c r="FC10" s="1095"/>
      <c r="FD10" s="1095"/>
      <c r="FE10" s="1095"/>
      <c r="FF10" s="1101"/>
      <c r="FG10" s="1093"/>
      <c r="FH10" s="1095"/>
      <c r="FI10" s="1095"/>
      <c r="FJ10" s="1095"/>
      <c r="FK10" s="1101"/>
      <c r="FL10" s="1093"/>
      <c r="FM10" s="1095"/>
      <c r="FN10" s="1095"/>
      <c r="FO10" s="1095"/>
      <c r="FP10" s="1101"/>
      <c r="FQ10" s="1093"/>
      <c r="FR10" s="1095"/>
      <c r="FS10" s="1095"/>
      <c r="FT10" s="1100"/>
      <c r="FU10" s="1101"/>
      <c r="FV10" s="1093"/>
      <c r="FW10" s="1095"/>
      <c r="FX10" s="1095"/>
      <c r="FY10" s="1100"/>
      <c r="FZ10" s="1101"/>
      <c r="GA10" s="1093"/>
      <c r="GB10" s="1095"/>
      <c r="GC10" s="1095"/>
      <c r="GD10" s="1100"/>
      <c r="GE10" s="1099"/>
    </row>
    <row r="11" spans="1:187" ht="12.75" customHeight="1">
      <c r="B11" s="786"/>
      <c r="C11" s="98"/>
      <c r="D11" s="98"/>
      <c r="E11" s="98"/>
      <c r="F11" s="98"/>
      <c r="G11" s="99"/>
      <c r="H11" s="98"/>
      <c r="I11" s="98"/>
      <c r="J11" s="98"/>
      <c r="K11" s="98"/>
      <c r="L11" s="99"/>
      <c r="M11" s="98"/>
      <c r="N11" s="98"/>
      <c r="O11" s="98"/>
      <c r="P11" s="98"/>
      <c r="Q11" s="99"/>
      <c r="R11" s="98"/>
      <c r="S11" s="98"/>
      <c r="T11" s="98"/>
      <c r="U11" s="98"/>
      <c r="V11" s="99"/>
      <c r="W11" s="98"/>
      <c r="X11" s="98"/>
      <c r="Y11" s="98"/>
      <c r="Z11" s="98"/>
      <c r="AA11" s="99"/>
      <c r="AB11" s="98"/>
      <c r="AC11" s="98"/>
      <c r="AD11" s="98"/>
      <c r="AE11" s="98"/>
      <c r="AF11" s="99"/>
      <c r="AG11" s="98"/>
      <c r="AH11" s="98"/>
      <c r="AI11" s="98"/>
      <c r="AJ11" s="98"/>
      <c r="AK11" s="99"/>
      <c r="AL11" s="98"/>
      <c r="AM11" s="98"/>
      <c r="AN11" s="98"/>
      <c r="AO11" s="98"/>
      <c r="AP11" s="99"/>
      <c r="AQ11" s="98"/>
      <c r="AR11" s="98"/>
      <c r="AS11" s="98"/>
      <c r="AT11" s="98"/>
      <c r="AU11" s="99"/>
      <c r="AV11" s="98"/>
      <c r="AW11" s="98"/>
      <c r="AX11" s="98"/>
      <c r="AY11" s="98"/>
      <c r="AZ11" s="99"/>
      <c r="BA11" s="98"/>
      <c r="BB11" s="98"/>
      <c r="BC11" s="98"/>
      <c r="BD11" s="98"/>
      <c r="BE11" s="99"/>
      <c r="BF11" s="98"/>
      <c r="BG11" s="98"/>
      <c r="BH11" s="98"/>
      <c r="BI11" s="98"/>
      <c r="BJ11" s="99"/>
      <c r="BK11" s="98"/>
      <c r="BL11" s="98"/>
      <c r="BM11" s="98"/>
      <c r="BN11" s="98"/>
      <c r="BO11" s="99"/>
      <c r="BP11" s="98"/>
      <c r="BQ11" s="98"/>
      <c r="BR11" s="98"/>
      <c r="BS11" s="98"/>
      <c r="BT11" s="99"/>
      <c r="BU11" s="98"/>
      <c r="BV11" s="98"/>
      <c r="BW11" s="98"/>
      <c r="BX11" s="98"/>
      <c r="BY11" s="99"/>
      <c r="BZ11" s="98"/>
      <c r="CA11" s="98"/>
      <c r="CB11" s="98"/>
      <c r="CC11" s="98"/>
      <c r="CD11" s="99"/>
      <c r="CE11" s="98"/>
      <c r="CF11" s="98"/>
      <c r="CG11" s="98"/>
      <c r="CH11" s="98"/>
      <c r="CI11" s="99"/>
      <c r="CJ11" s="98"/>
      <c r="CK11" s="98"/>
      <c r="CL11" s="98"/>
      <c r="CM11" s="98"/>
      <c r="CN11" s="99"/>
      <c r="CO11" s="98"/>
      <c r="CP11" s="98"/>
      <c r="CQ11" s="98"/>
      <c r="CR11" s="98"/>
      <c r="CS11" s="99"/>
      <c r="CT11" s="98"/>
      <c r="CU11" s="98"/>
      <c r="CV11" s="98"/>
      <c r="CW11" s="98"/>
      <c r="CX11" s="99"/>
      <c r="CY11" s="98"/>
      <c r="CZ11" s="98"/>
      <c r="DA11" s="98"/>
      <c r="DB11" s="98"/>
      <c r="DC11" s="99"/>
      <c r="DD11" s="98"/>
      <c r="DE11" s="98"/>
      <c r="DF11" s="98"/>
      <c r="DG11" s="98"/>
      <c r="DH11" s="99"/>
      <c r="DI11" s="98"/>
      <c r="DJ11" s="98"/>
      <c r="DK11" s="98"/>
      <c r="DL11" s="98"/>
      <c r="DM11" s="99"/>
      <c r="DN11" s="98"/>
      <c r="DO11" s="98"/>
      <c r="DP11" s="98"/>
      <c r="DQ11" s="98"/>
      <c r="DR11" s="99"/>
      <c r="DS11" s="98"/>
      <c r="DT11" s="98"/>
      <c r="DU11" s="98"/>
      <c r="DV11" s="98"/>
      <c r="DW11" s="99"/>
      <c r="DX11" s="98"/>
      <c r="DY11" s="98"/>
      <c r="DZ11" s="98"/>
      <c r="EA11" s="98"/>
      <c r="EB11" s="99"/>
      <c r="EC11" s="98"/>
      <c r="ED11" s="98"/>
      <c r="EE11" s="98"/>
      <c r="EF11" s="98"/>
      <c r="EG11" s="99"/>
      <c r="EH11" s="98"/>
      <c r="EI11" s="98"/>
      <c r="EJ11" s="98"/>
      <c r="EK11" s="98"/>
      <c r="EL11" s="99"/>
      <c r="EM11" s="98"/>
      <c r="EN11" s="98"/>
      <c r="EO11" s="98"/>
      <c r="EP11" s="98"/>
      <c r="EQ11" s="99"/>
      <c r="ER11" s="98"/>
      <c r="ES11" s="98"/>
      <c r="ET11" s="98"/>
      <c r="EU11" s="98"/>
      <c r="EV11" s="99"/>
      <c r="EW11" s="98"/>
      <c r="EX11" s="98"/>
      <c r="EY11" s="98"/>
      <c r="EZ11" s="98"/>
      <c r="FA11" s="99"/>
      <c r="FB11" s="98"/>
      <c r="FC11" s="98"/>
      <c r="FD11" s="98"/>
      <c r="FE11" s="98"/>
      <c r="FF11" s="99"/>
      <c r="FG11" s="98"/>
      <c r="FH11" s="98"/>
      <c r="FI11" s="98"/>
      <c r="FJ11" s="98"/>
      <c r="FK11" s="99"/>
      <c r="FL11" s="98"/>
      <c r="FM11" s="98"/>
      <c r="FN11" s="98"/>
      <c r="FO11" s="98"/>
      <c r="FP11" s="99"/>
      <c r="FQ11" s="98"/>
      <c r="FR11" s="98"/>
      <c r="FS11" s="98"/>
      <c r="FT11" s="98"/>
      <c r="FU11" s="99"/>
      <c r="FV11" s="98"/>
      <c r="FW11" s="98"/>
      <c r="FX11" s="98"/>
      <c r="FY11" s="98"/>
      <c r="FZ11" s="99"/>
      <c r="GA11" s="98"/>
      <c r="GB11" s="98"/>
      <c r="GC11" s="98"/>
      <c r="GD11" s="98"/>
      <c r="GE11" s="1085"/>
    </row>
    <row r="12" spans="1:187" s="542" customFormat="1" ht="12.75" customHeight="1">
      <c r="A12" s="850"/>
      <c r="B12" s="1079" t="s">
        <v>408</v>
      </c>
      <c r="C12" s="98"/>
      <c r="D12" s="98"/>
      <c r="E12" s="98"/>
      <c r="F12" s="98"/>
      <c r="G12" s="99"/>
      <c r="H12" s="98"/>
      <c r="I12" s="98"/>
      <c r="J12" s="98"/>
      <c r="K12" s="98"/>
      <c r="L12" s="99"/>
      <c r="M12" s="1084"/>
      <c r="N12" s="1084"/>
      <c r="O12" s="1084"/>
      <c r="P12" s="1084"/>
      <c r="Q12" s="99"/>
      <c r="R12" s="1084"/>
      <c r="S12" s="1084"/>
      <c r="T12" s="1084"/>
      <c r="U12" s="1084"/>
      <c r="V12" s="99"/>
      <c r="W12" s="1084"/>
      <c r="X12" s="1084"/>
      <c r="Y12" s="1084"/>
      <c r="Z12" s="1084"/>
      <c r="AA12" s="99"/>
      <c r="AB12" s="1084"/>
      <c r="AC12" s="1084"/>
      <c r="AD12" s="1084"/>
      <c r="AE12" s="1084"/>
      <c r="AF12" s="99"/>
      <c r="AG12" s="1084"/>
      <c r="AH12" s="1084"/>
      <c r="AI12" s="1084"/>
      <c r="AJ12" s="1084"/>
      <c r="AK12" s="99"/>
      <c r="AL12" s="1084"/>
      <c r="AM12" s="1084"/>
      <c r="AN12" s="1084"/>
      <c r="AO12" s="1084"/>
      <c r="AP12" s="99"/>
      <c r="AQ12" s="1084"/>
      <c r="AR12" s="1084"/>
      <c r="AS12" s="1084"/>
      <c r="AT12" s="1084"/>
      <c r="AU12" s="99"/>
      <c r="AV12" s="1084"/>
      <c r="AW12" s="1084"/>
      <c r="AX12" s="1084"/>
      <c r="AY12" s="1084"/>
      <c r="AZ12" s="99"/>
      <c r="BA12" s="1084"/>
      <c r="BB12" s="1084"/>
      <c r="BC12" s="1084"/>
      <c r="BD12" s="1084"/>
      <c r="BE12" s="99"/>
      <c r="BF12" s="1084"/>
      <c r="BG12" s="1084"/>
      <c r="BH12" s="1084"/>
      <c r="BI12" s="1084"/>
      <c r="BJ12" s="99"/>
      <c r="BK12" s="1084"/>
      <c r="BL12" s="1084"/>
      <c r="BM12" s="1084"/>
      <c r="BN12" s="1084"/>
      <c r="BO12" s="99"/>
      <c r="BP12" s="1084"/>
      <c r="BQ12" s="1084"/>
      <c r="BR12" s="1084"/>
      <c r="BS12" s="1084"/>
      <c r="BT12" s="99"/>
      <c r="BU12" s="1084"/>
      <c r="BV12" s="1084"/>
      <c r="BW12" s="1084"/>
      <c r="BX12" s="1084"/>
      <c r="BY12" s="99"/>
      <c r="BZ12" s="1084"/>
      <c r="CA12" s="1084"/>
      <c r="CB12" s="1084"/>
      <c r="CC12" s="1084"/>
      <c r="CD12" s="99"/>
      <c r="CE12" s="1084"/>
      <c r="CF12" s="1084"/>
      <c r="CG12" s="1084"/>
      <c r="CH12" s="1084"/>
      <c r="CI12" s="99"/>
      <c r="CJ12" s="1084"/>
      <c r="CK12" s="1084"/>
      <c r="CL12" s="1084"/>
      <c r="CM12" s="1084"/>
      <c r="CN12" s="99"/>
      <c r="CO12" s="1084"/>
      <c r="CP12" s="1084"/>
      <c r="CQ12" s="1084"/>
      <c r="CR12" s="1084"/>
      <c r="CS12" s="99"/>
      <c r="CT12" s="1084"/>
      <c r="CU12" s="1084"/>
      <c r="CV12" s="1084"/>
      <c r="CW12" s="1084"/>
      <c r="CX12" s="99"/>
      <c r="CY12" s="1084"/>
      <c r="CZ12" s="1084"/>
      <c r="DA12" s="1084"/>
      <c r="DB12" s="1084"/>
      <c r="DC12" s="99"/>
      <c r="DD12" s="1084"/>
      <c r="DE12" s="1084"/>
      <c r="DF12" s="1084"/>
      <c r="DG12" s="1084"/>
      <c r="DH12" s="99"/>
      <c r="DI12" s="1084"/>
      <c r="DJ12" s="1084"/>
      <c r="DK12" s="1084"/>
      <c r="DL12" s="1084"/>
      <c r="DM12" s="99"/>
      <c r="DN12" s="1084"/>
      <c r="DO12" s="1084"/>
      <c r="DP12" s="1084"/>
      <c r="DQ12" s="1084"/>
      <c r="DR12" s="99"/>
      <c r="DS12" s="1084"/>
      <c r="DT12" s="1084"/>
      <c r="DU12" s="1084"/>
      <c r="DV12" s="1084"/>
      <c r="DW12" s="99"/>
      <c r="DX12" s="1084"/>
      <c r="DY12" s="1084"/>
      <c r="DZ12" s="1084"/>
      <c r="EA12" s="1084"/>
      <c r="EB12" s="99"/>
      <c r="EC12" s="1084"/>
      <c r="ED12" s="1084"/>
      <c r="EE12" s="1084"/>
      <c r="EF12" s="1084"/>
      <c r="EG12" s="99"/>
      <c r="EH12" s="1084"/>
      <c r="EI12" s="1084"/>
      <c r="EJ12" s="1084"/>
      <c r="EK12" s="1084"/>
      <c r="EL12" s="99"/>
      <c r="EM12" s="1084"/>
      <c r="EN12" s="1084"/>
      <c r="EO12" s="1084"/>
      <c r="EP12" s="1084"/>
      <c r="EQ12" s="99"/>
      <c r="ER12" s="1683"/>
      <c r="ES12" s="1683"/>
      <c r="ET12" s="1683"/>
      <c r="EU12" s="1683"/>
      <c r="EV12" s="99"/>
      <c r="EW12" s="1683"/>
      <c r="EX12" s="1683"/>
      <c r="EY12" s="1683"/>
      <c r="EZ12" s="1683"/>
      <c r="FA12" s="99"/>
      <c r="FB12" s="1683"/>
      <c r="FC12" s="1084"/>
      <c r="FD12" s="1683"/>
      <c r="FE12" s="1683"/>
      <c r="FF12" s="99"/>
      <c r="FG12" s="1084"/>
      <c r="FH12" s="1084"/>
      <c r="FI12" s="1084"/>
      <c r="FJ12" s="1084"/>
      <c r="FK12" s="99"/>
      <c r="FL12" s="1084"/>
      <c r="FM12" s="1084"/>
      <c r="FN12" s="1084"/>
      <c r="FO12" s="1084"/>
      <c r="FP12" s="99"/>
      <c r="FQ12" s="1084"/>
      <c r="FR12" s="1084"/>
      <c r="FS12" s="1084"/>
      <c r="FT12" s="1084"/>
      <c r="FU12" s="99"/>
      <c r="FV12" s="1084"/>
      <c r="FW12" s="1084"/>
      <c r="FX12" s="1084"/>
      <c r="FY12" s="1084"/>
      <c r="FZ12" s="99"/>
      <c r="GA12" s="1084"/>
      <c r="GB12" s="1084"/>
      <c r="GC12" s="1084"/>
      <c r="GD12" s="1084"/>
      <c r="GE12" s="1085"/>
    </row>
    <row r="13" spans="1:187" s="1066" customFormat="1" ht="12.75" customHeight="1">
      <c r="A13" s="370" t="s">
        <v>1886</v>
      </c>
      <c r="B13" s="1110" t="s">
        <v>377</v>
      </c>
      <c r="C13" s="448"/>
      <c r="D13" s="493"/>
      <c r="E13" s="493"/>
      <c r="F13" s="493"/>
      <c r="G13" s="1116"/>
      <c r="H13" s="448"/>
      <c r="I13" s="493"/>
      <c r="J13" s="493"/>
      <c r="K13" s="493"/>
      <c r="L13" s="494"/>
      <c r="M13" s="448"/>
      <c r="N13" s="493"/>
      <c r="O13" s="493"/>
      <c r="P13" s="493"/>
      <c r="Q13" s="494"/>
      <c r="R13" s="448"/>
      <c r="S13" s="493"/>
      <c r="T13" s="493"/>
      <c r="U13" s="493"/>
      <c r="V13" s="494"/>
      <c r="W13" s="448"/>
      <c r="X13" s="493"/>
      <c r="Y13" s="493"/>
      <c r="Z13" s="493"/>
      <c r="AA13" s="494"/>
      <c r="AB13" s="448"/>
      <c r="AC13" s="493"/>
      <c r="AD13" s="493"/>
      <c r="AE13" s="493"/>
      <c r="AF13" s="494"/>
      <c r="AG13" s="448"/>
      <c r="AH13" s="493"/>
      <c r="AI13" s="493"/>
      <c r="AJ13" s="493"/>
      <c r="AK13" s="494"/>
      <c r="AL13" s="448"/>
      <c r="AM13" s="493"/>
      <c r="AN13" s="493"/>
      <c r="AO13" s="493"/>
      <c r="AP13" s="494"/>
      <c r="AQ13" s="448"/>
      <c r="AR13" s="493"/>
      <c r="AS13" s="493"/>
      <c r="AT13" s="493"/>
      <c r="AU13" s="494"/>
      <c r="AV13" s="448"/>
      <c r="AW13" s="493"/>
      <c r="AX13" s="493"/>
      <c r="AY13" s="493"/>
      <c r="AZ13" s="494"/>
      <c r="BA13" s="448"/>
      <c r="BB13" s="493"/>
      <c r="BC13" s="493"/>
      <c r="BD13" s="493"/>
      <c r="BE13" s="494"/>
      <c r="BF13" s="448"/>
      <c r="BG13" s="493"/>
      <c r="BH13" s="493"/>
      <c r="BI13" s="493"/>
      <c r="BJ13" s="494"/>
      <c r="BK13" s="448"/>
      <c r="BL13" s="493"/>
      <c r="BM13" s="493"/>
      <c r="BN13" s="493"/>
      <c r="BO13" s="494"/>
      <c r="BP13" s="448"/>
      <c r="BQ13" s="493"/>
      <c r="BR13" s="493"/>
      <c r="BS13" s="493"/>
      <c r="BT13" s="494"/>
      <c r="BU13" s="448"/>
      <c r="BV13" s="493"/>
      <c r="BW13" s="493"/>
      <c r="BX13" s="493"/>
      <c r="BY13" s="494"/>
      <c r="BZ13" s="448"/>
      <c r="CA13" s="493"/>
      <c r="CB13" s="493"/>
      <c r="CC13" s="493"/>
      <c r="CD13" s="494"/>
      <c r="CE13" s="448"/>
      <c r="CF13" s="493"/>
      <c r="CG13" s="493"/>
      <c r="CH13" s="493"/>
      <c r="CI13" s="494"/>
      <c r="CJ13" s="448"/>
      <c r="CK13" s="493"/>
      <c r="CL13" s="493"/>
      <c r="CM13" s="493"/>
      <c r="CN13" s="494"/>
      <c r="CO13" s="448"/>
      <c r="CP13" s="493"/>
      <c r="CQ13" s="493"/>
      <c r="CR13" s="493"/>
      <c r="CS13" s="494"/>
      <c r="CT13" s="448"/>
      <c r="CU13" s="493"/>
      <c r="CV13" s="493"/>
      <c r="CW13" s="493"/>
      <c r="CX13" s="494"/>
      <c r="CY13" s="448"/>
      <c r="CZ13" s="493"/>
      <c r="DA13" s="493"/>
      <c r="DB13" s="493"/>
      <c r="DC13" s="494"/>
      <c r="DD13" s="448"/>
      <c r="DE13" s="493"/>
      <c r="DF13" s="493"/>
      <c r="DG13" s="493"/>
      <c r="DH13" s="494"/>
      <c r="DI13" s="448"/>
      <c r="DJ13" s="493"/>
      <c r="DK13" s="493"/>
      <c r="DL13" s="493"/>
      <c r="DM13" s="494"/>
      <c r="DN13" s="448"/>
      <c r="DO13" s="493"/>
      <c r="DP13" s="493"/>
      <c r="DQ13" s="493"/>
      <c r="DR13" s="494"/>
      <c r="DS13" s="448"/>
      <c r="DT13" s="493"/>
      <c r="DU13" s="493"/>
      <c r="DV13" s="493"/>
      <c r="DW13" s="494"/>
      <c r="DX13" s="448">
        <v>10700</v>
      </c>
      <c r="DY13" s="493">
        <v>11300</v>
      </c>
      <c r="DZ13" s="493">
        <v>11500</v>
      </c>
      <c r="EA13" s="493">
        <v>11650</v>
      </c>
      <c r="EB13" s="494"/>
      <c r="EC13" s="448">
        <v>11650</v>
      </c>
      <c r="ED13" s="493">
        <v>12750</v>
      </c>
      <c r="EE13" s="493">
        <v>13350</v>
      </c>
      <c r="EF13" s="493">
        <v>13800</v>
      </c>
      <c r="EG13" s="494"/>
      <c r="EH13" s="448">
        <v>14500</v>
      </c>
      <c r="EI13" s="493">
        <v>15700</v>
      </c>
      <c r="EJ13" s="493">
        <v>15600</v>
      </c>
      <c r="EK13" s="493">
        <v>16650</v>
      </c>
      <c r="EL13" s="494"/>
      <c r="EM13" s="448">
        <v>15950</v>
      </c>
      <c r="EN13" s="493">
        <v>16600</v>
      </c>
      <c r="EO13" s="493">
        <v>16900</v>
      </c>
      <c r="EP13" s="493">
        <v>17900</v>
      </c>
      <c r="EQ13" s="494"/>
      <c r="ER13" s="448">
        <v>18000</v>
      </c>
      <c r="ES13" s="493">
        <v>18800</v>
      </c>
      <c r="ET13" s="493">
        <v>19300</v>
      </c>
      <c r="EU13" s="1422">
        <v>19900</v>
      </c>
      <c r="EV13" s="462"/>
      <c r="EW13" s="496">
        <v>27750</v>
      </c>
      <c r="EX13" s="493">
        <v>28700</v>
      </c>
      <c r="EY13" s="493">
        <v>29400</v>
      </c>
      <c r="EZ13" s="1422">
        <v>32050</v>
      </c>
      <c r="FA13" s="462"/>
      <c r="FB13" s="496">
        <v>32200</v>
      </c>
      <c r="FC13" s="493"/>
      <c r="FD13" s="493"/>
      <c r="FE13" s="1422"/>
      <c r="FF13" s="462"/>
      <c r="FG13" s="447"/>
      <c r="FH13" s="458"/>
      <c r="FI13" s="458"/>
      <c r="FJ13" s="458"/>
      <c r="FK13" s="462"/>
      <c r="FL13" s="447"/>
      <c r="FM13" s="458"/>
      <c r="FN13" s="458"/>
      <c r="FO13" s="458"/>
      <c r="FP13" s="462"/>
      <c r="FQ13" s="447"/>
      <c r="FR13" s="458"/>
      <c r="FS13" s="458"/>
      <c r="FT13" s="458"/>
      <c r="FU13" s="462"/>
      <c r="FV13" s="447"/>
      <c r="FW13" s="458"/>
      <c r="FX13" s="458"/>
      <c r="FY13" s="458"/>
      <c r="FZ13" s="462"/>
      <c r="GA13" s="447"/>
      <c r="GB13" s="458"/>
      <c r="GC13" s="458"/>
      <c r="GD13" s="458"/>
      <c r="GE13" s="497"/>
    </row>
    <row r="14" spans="1:187" s="1066" customFormat="1" ht="12.75" customHeight="1">
      <c r="A14" s="370" t="s">
        <v>1897</v>
      </c>
      <c r="B14" s="1110" t="s">
        <v>378</v>
      </c>
      <c r="C14" s="448"/>
      <c r="D14" s="1114"/>
      <c r="E14" s="1114"/>
      <c r="F14" s="1114"/>
      <c r="G14" s="1115"/>
      <c r="H14" s="448"/>
      <c r="I14" s="493"/>
      <c r="J14" s="493"/>
      <c r="K14" s="493"/>
      <c r="L14" s="812"/>
      <c r="M14" s="448"/>
      <c r="N14" s="493"/>
      <c r="O14" s="493"/>
      <c r="P14" s="493"/>
      <c r="Q14" s="812"/>
      <c r="R14" s="448"/>
      <c r="S14" s="493"/>
      <c r="T14" s="493"/>
      <c r="U14" s="493"/>
      <c r="V14" s="812"/>
      <c r="W14" s="448"/>
      <c r="X14" s="493"/>
      <c r="Y14" s="493"/>
      <c r="Z14" s="493"/>
      <c r="AA14" s="812"/>
      <c r="AB14" s="448"/>
      <c r="AC14" s="493"/>
      <c r="AD14" s="493"/>
      <c r="AE14" s="493"/>
      <c r="AF14" s="812"/>
      <c r="AG14" s="448"/>
      <c r="AH14" s="493"/>
      <c r="AI14" s="493"/>
      <c r="AJ14" s="493"/>
      <c r="AK14" s="812"/>
      <c r="AL14" s="448"/>
      <c r="AM14" s="493"/>
      <c r="AN14" s="493"/>
      <c r="AO14" s="493"/>
      <c r="AP14" s="812"/>
      <c r="AQ14" s="448"/>
      <c r="AR14" s="493"/>
      <c r="AS14" s="493"/>
      <c r="AT14" s="493"/>
      <c r="AU14" s="812"/>
      <c r="AV14" s="448"/>
      <c r="AW14" s="493"/>
      <c r="AX14" s="493"/>
      <c r="AY14" s="493"/>
      <c r="AZ14" s="812"/>
      <c r="BA14" s="448"/>
      <c r="BB14" s="493"/>
      <c r="BC14" s="493"/>
      <c r="BD14" s="493"/>
      <c r="BE14" s="812"/>
      <c r="BF14" s="448"/>
      <c r="BG14" s="493"/>
      <c r="BH14" s="493"/>
      <c r="BI14" s="493"/>
      <c r="BJ14" s="812"/>
      <c r="BK14" s="448"/>
      <c r="BL14" s="493"/>
      <c r="BM14" s="493"/>
      <c r="BN14" s="493"/>
      <c r="BO14" s="812"/>
      <c r="BP14" s="448"/>
      <c r="BQ14" s="493"/>
      <c r="BR14" s="493"/>
      <c r="BS14" s="493"/>
      <c r="BT14" s="812"/>
      <c r="BU14" s="448"/>
      <c r="BV14" s="493"/>
      <c r="BW14" s="493"/>
      <c r="BX14" s="493"/>
      <c r="BY14" s="812"/>
      <c r="BZ14" s="448"/>
      <c r="CA14" s="493"/>
      <c r="CB14" s="493"/>
      <c r="CC14" s="493"/>
      <c r="CD14" s="812"/>
      <c r="CE14" s="448"/>
      <c r="CF14" s="493"/>
      <c r="CG14" s="493"/>
      <c r="CH14" s="493"/>
      <c r="CI14" s="812"/>
      <c r="CJ14" s="448"/>
      <c r="CK14" s="493"/>
      <c r="CL14" s="493"/>
      <c r="CM14" s="493"/>
      <c r="CN14" s="812"/>
      <c r="CO14" s="448"/>
      <c r="CP14" s="493"/>
      <c r="CQ14" s="493"/>
      <c r="CR14" s="493"/>
      <c r="CS14" s="812"/>
      <c r="CT14" s="448"/>
      <c r="CU14" s="493"/>
      <c r="CV14" s="493"/>
      <c r="CW14" s="493"/>
      <c r="CX14" s="812"/>
      <c r="CY14" s="448"/>
      <c r="CZ14" s="493"/>
      <c r="DA14" s="493"/>
      <c r="DB14" s="493"/>
      <c r="DC14" s="812"/>
      <c r="DD14" s="448"/>
      <c r="DE14" s="493"/>
      <c r="DF14" s="493"/>
      <c r="DG14" s="493"/>
      <c r="DH14" s="812"/>
      <c r="DI14" s="448"/>
      <c r="DJ14" s="493"/>
      <c r="DK14" s="493"/>
      <c r="DL14" s="493"/>
      <c r="DM14" s="812"/>
      <c r="DN14" s="448"/>
      <c r="DO14" s="493"/>
      <c r="DP14" s="493"/>
      <c r="DQ14" s="493"/>
      <c r="DR14" s="812"/>
      <c r="DS14" s="448"/>
      <c r="DT14" s="493"/>
      <c r="DU14" s="493"/>
      <c r="DV14" s="493"/>
      <c r="DW14" s="812"/>
      <c r="DX14" s="448">
        <v>10900</v>
      </c>
      <c r="DY14" s="493">
        <v>11500</v>
      </c>
      <c r="DZ14" s="493">
        <v>11700</v>
      </c>
      <c r="EA14" s="493">
        <v>11950</v>
      </c>
      <c r="EB14" s="812"/>
      <c r="EC14" s="448">
        <v>11900</v>
      </c>
      <c r="ED14" s="493">
        <v>13000</v>
      </c>
      <c r="EE14" s="493">
        <v>13600</v>
      </c>
      <c r="EF14" s="493">
        <v>14050</v>
      </c>
      <c r="EG14" s="812"/>
      <c r="EH14" s="448">
        <v>14750</v>
      </c>
      <c r="EI14" s="493">
        <v>15950</v>
      </c>
      <c r="EJ14" s="493">
        <v>15850</v>
      </c>
      <c r="EK14" s="493">
        <v>16900</v>
      </c>
      <c r="EL14" s="812"/>
      <c r="EM14" s="448">
        <v>16250</v>
      </c>
      <c r="EN14" s="493">
        <v>16900</v>
      </c>
      <c r="EO14" s="493">
        <v>17200</v>
      </c>
      <c r="EP14" s="493">
        <v>18200</v>
      </c>
      <c r="EQ14" s="812"/>
      <c r="ER14" s="448">
        <v>18300</v>
      </c>
      <c r="ES14" s="493">
        <v>19100</v>
      </c>
      <c r="ET14" s="493">
        <v>19600</v>
      </c>
      <c r="EU14" s="1422">
        <v>20200</v>
      </c>
      <c r="EV14" s="459"/>
      <c r="EW14" s="496">
        <v>28050</v>
      </c>
      <c r="EX14" s="493">
        <v>29000</v>
      </c>
      <c r="EY14" s="493">
        <v>29700</v>
      </c>
      <c r="EZ14" s="1422">
        <v>32035</v>
      </c>
      <c r="FA14" s="459"/>
      <c r="FB14" s="496">
        <v>32500</v>
      </c>
      <c r="FC14" s="493"/>
      <c r="FD14" s="493"/>
      <c r="FE14" s="1422"/>
      <c r="FF14" s="459"/>
      <c r="FG14" s="447"/>
      <c r="FH14" s="458"/>
      <c r="FI14" s="458"/>
      <c r="FJ14" s="458"/>
      <c r="FK14" s="459"/>
      <c r="FL14" s="447"/>
      <c r="FM14" s="458"/>
      <c r="FN14" s="458"/>
      <c r="FO14" s="458"/>
      <c r="FP14" s="459"/>
      <c r="FQ14" s="447"/>
      <c r="FR14" s="458"/>
      <c r="FS14" s="458"/>
      <c r="FT14" s="458"/>
      <c r="FU14" s="459"/>
      <c r="FV14" s="447"/>
      <c r="FW14" s="458"/>
      <c r="FX14" s="458"/>
      <c r="FY14" s="458"/>
      <c r="FZ14" s="459"/>
      <c r="GA14" s="447"/>
      <c r="GB14" s="458"/>
      <c r="GC14" s="458"/>
      <c r="GD14" s="458"/>
      <c r="GE14" s="460"/>
    </row>
    <row r="15" spans="1:187" s="1066" customFormat="1" ht="12.75" customHeight="1">
      <c r="A15" s="370" t="s">
        <v>464</v>
      </c>
      <c r="B15" s="1110" t="s">
        <v>401</v>
      </c>
      <c r="C15" s="447"/>
      <c r="D15" s="1111"/>
      <c r="E15" s="1111"/>
      <c r="F15" s="1111"/>
      <c r="G15" s="614"/>
      <c r="H15" s="447"/>
      <c r="I15" s="458"/>
      <c r="J15" s="458"/>
      <c r="K15" s="458"/>
      <c r="L15" s="459"/>
      <c r="M15" s="447"/>
      <c r="N15" s="458"/>
      <c r="O15" s="458"/>
      <c r="P15" s="458"/>
      <c r="Q15" s="459"/>
      <c r="R15" s="447"/>
      <c r="S15" s="458"/>
      <c r="T15" s="458"/>
      <c r="U15" s="458"/>
      <c r="V15" s="459"/>
      <c r="W15" s="447"/>
      <c r="X15" s="458"/>
      <c r="Y15" s="458"/>
      <c r="Z15" s="458"/>
      <c r="AA15" s="459"/>
      <c r="AB15" s="447"/>
      <c r="AC15" s="458"/>
      <c r="AD15" s="458"/>
      <c r="AE15" s="458"/>
      <c r="AF15" s="459"/>
      <c r="AG15" s="447"/>
      <c r="AH15" s="458"/>
      <c r="AI15" s="458"/>
      <c r="AJ15" s="458"/>
      <c r="AK15" s="459"/>
      <c r="AL15" s="447"/>
      <c r="AM15" s="458"/>
      <c r="AN15" s="458"/>
      <c r="AO15" s="458"/>
      <c r="AP15" s="459"/>
      <c r="AQ15" s="447"/>
      <c r="AR15" s="458"/>
      <c r="AS15" s="458"/>
      <c r="AT15" s="458"/>
      <c r="AU15" s="459"/>
      <c r="AV15" s="447"/>
      <c r="AW15" s="458"/>
      <c r="AX15" s="458"/>
      <c r="AY15" s="458"/>
      <c r="AZ15" s="459"/>
      <c r="BA15" s="447"/>
      <c r="BB15" s="458"/>
      <c r="BC15" s="458"/>
      <c r="BD15" s="458"/>
      <c r="BE15" s="459"/>
      <c r="BF15" s="447"/>
      <c r="BG15" s="458"/>
      <c r="BH15" s="458"/>
      <c r="BI15" s="458"/>
      <c r="BJ15" s="459"/>
      <c r="BK15" s="447"/>
      <c r="BL15" s="458"/>
      <c r="BM15" s="458"/>
      <c r="BN15" s="458"/>
      <c r="BO15" s="459"/>
      <c r="BP15" s="447"/>
      <c r="BQ15" s="458"/>
      <c r="BR15" s="458"/>
      <c r="BS15" s="458"/>
      <c r="BT15" s="459"/>
      <c r="BU15" s="447"/>
      <c r="BV15" s="458"/>
      <c r="BW15" s="458"/>
      <c r="BX15" s="458"/>
      <c r="BY15" s="459"/>
      <c r="BZ15" s="447"/>
      <c r="CA15" s="458"/>
      <c r="CB15" s="458"/>
      <c r="CC15" s="458"/>
      <c r="CD15" s="459"/>
      <c r="CE15" s="447"/>
      <c r="CF15" s="458"/>
      <c r="CG15" s="458"/>
      <c r="CH15" s="458"/>
      <c r="CI15" s="459"/>
      <c r="CJ15" s="447"/>
      <c r="CK15" s="458"/>
      <c r="CL15" s="458"/>
      <c r="CM15" s="458"/>
      <c r="CN15" s="459"/>
      <c r="CO15" s="447"/>
      <c r="CP15" s="458"/>
      <c r="CQ15" s="458"/>
      <c r="CR15" s="458"/>
      <c r="CS15" s="459"/>
      <c r="CT15" s="447"/>
      <c r="CU15" s="458"/>
      <c r="CV15" s="458"/>
      <c r="CW15" s="458"/>
      <c r="CX15" s="459"/>
      <c r="CY15" s="447"/>
      <c r="CZ15" s="458"/>
      <c r="DA15" s="458"/>
      <c r="DB15" s="458"/>
      <c r="DC15" s="459"/>
      <c r="DD15" s="447"/>
      <c r="DE15" s="458"/>
      <c r="DF15" s="458"/>
      <c r="DG15" s="458"/>
      <c r="DH15" s="459"/>
      <c r="DI15" s="447"/>
      <c r="DJ15" s="458"/>
      <c r="DK15" s="458"/>
      <c r="DL15" s="458"/>
      <c r="DM15" s="459"/>
      <c r="DN15" s="447"/>
      <c r="DO15" s="458"/>
      <c r="DP15" s="458"/>
      <c r="DQ15" s="458"/>
      <c r="DR15" s="459"/>
      <c r="DS15" s="447"/>
      <c r="DT15" s="458"/>
      <c r="DU15" s="458"/>
      <c r="DV15" s="458"/>
      <c r="DW15" s="459"/>
      <c r="DX15" s="458">
        <f>IFERROR(AVERAGE(DX13:DX14),"--")</f>
      </c>
      <c r="DY15" s="458">
        <f>IFERROR(AVERAGE(DY13:DY14),"--")</f>
      </c>
      <c r="DZ15" s="458">
        <f>IFERROR(AVERAGE(DZ13:DZ14),"--")</f>
      </c>
      <c r="EA15" s="458">
        <f>IFERROR(AVERAGE(EA13:EA14),"--")</f>
      </c>
      <c r="EB15" s="459"/>
      <c r="EC15" s="458">
        <f>IFERROR(AVERAGE(EC13:EC14),"--")</f>
      </c>
      <c r="ED15" s="458">
        <f>IFERROR(AVERAGE(ED13:ED14),"--")</f>
      </c>
      <c r="EE15" s="458">
        <f>IFERROR(AVERAGE(EE13:EE14),"--")</f>
      </c>
      <c r="EF15" s="458">
        <f>IFERROR(AVERAGE(EF13:EF14),"--")</f>
      </c>
      <c r="EG15" s="459"/>
      <c r="EH15" s="458">
        <f>IFERROR(AVERAGE(EH13:EH14),"--")</f>
      </c>
      <c r="EI15" s="458">
        <f>IFERROR(AVERAGE(EI13:EI14),"--")</f>
      </c>
      <c r="EJ15" s="458">
        <f>IFERROR(AVERAGE(EJ13:EJ14),"--")</f>
      </c>
      <c r="EK15" s="458">
        <f>IFERROR(AVERAGE(EK13:EK14),"--")</f>
      </c>
      <c r="EL15" s="459"/>
      <c r="EM15" s="458">
        <f>IFERROR(AVERAGE(EM13:EM14),"--")</f>
      </c>
      <c r="EN15" s="458">
        <f>IFERROR(AVERAGE(EN13:EN14),"--")</f>
      </c>
      <c r="EO15" s="458">
        <f>IFERROR(AVERAGE(EO13:EO14),"--")</f>
      </c>
      <c r="EP15" s="458">
        <f>IFERROR(AVERAGE(EP13:EP14),"--")</f>
      </c>
      <c r="EQ15" s="459"/>
      <c r="ER15" s="458">
        <f>IFERROR(AVERAGE(ER13:ER14),"--")</f>
      </c>
      <c r="ES15" s="458">
        <f>IFERROR(AVERAGE(ES13:ES14),"--")</f>
      </c>
      <c r="ET15" s="458">
        <f>IFERROR(AVERAGE(ET13:ET14),"--")</f>
      </c>
      <c r="EU15" s="458">
        <f>IFERROR(AVERAGE(EU13:EU14),"--")</f>
      </c>
      <c r="EV15" s="459"/>
      <c r="EW15" s="458">
        <f>IFERROR(AVERAGE(EW13:EW14),"--")</f>
      </c>
      <c r="EX15" s="458">
        <f>IFERROR(AVERAGE(EX13:EX14),"--")</f>
      </c>
      <c r="EY15" s="458">
        <f>IFERROR(AVERAGE(EY13:EY14),"--")</f>
      </c>
      <c r="EZ15" s="458">
        <f>IFERROR(AVERAGE(EZ13:EZ14),"--")</f>
      </c>
      <c r="FA15" s="459"/>
      <c r="FB15" s="458">
        <f>IFERROR(AVERAGE(FB13:FB14),"--")</f>
      </c>
      <c r="FC15" s="458"/>
      <c r="FD15" s="458"/>
      <c r="FE15" s="458"/>
      <c r="FF15" s="459"/>
      <c r="FG15" s="447"/>
      <c r="FH15" s="458"/>
      <c r="FI15" s="458"/>
      <c r="FJ15" s="458"/>
      <c r="FK15" s="459"/>
      <c r="FL15" s="447"/>
      <c r="FM15" s="458"/>
      <c r="FN15" s="458"/>
      <c r="FO15" s="458"/>
      <c r="FP15" s="459"/>
      <c r="FQ15" s="447"/>
      <c r="FR15" s="458"/>
      <c r="FS15" s="458"/>
      <c r="FT15" s="458"/>
      <c r="FU15" s="459"/>
      <c r="FV15" s="447"/>
      <c r="FW15" s="458"/>
      <c r="FX15" s="458"/>
      <c r="FY15" s="458"/>
      <c r="FZ15" s="459"/>
      <c r="GA15" s="447"/>
      <c r="GB15" s="458"/>
      <c r="GC15" s="458"/>
      <c r="GD15" s="458"/>
      <c r="GE15" s="460"/>
    </row>
    <row r="16" spans="1:187" s="537" customFormat="1" ht="12.75" customHeight="1">
      <c r="A16" s="850"/>
      <c r="B16" s="1078"/>
      <c r="C16" s="291"/>
      <c r="D16" s="137"/>
      <c r="E16" s="137"/>
      <c r="F16" s="137"/>
      <c r="G16" s="538"/>
      <c r="H16" s="291"/>
      <c r="I16" s="107"/>
      <c r="J16" s="107"/>
      <c r="K16" s="107"/>
      <c r="L16" s="293"/>
      <c r="M16" s="291"/>
      <c r="N16" s="107"/>
      <c r="O16" s="107"/>
      <c r="P16" s="107"/>
      <c r="Q16" s="293"/>
      <c r="R16" s="291"/>
      <c r="S16" s="107"/>
      <c r="T16" s="107"/>
      <c r="U16" s="107"/>
      <c r="V16" s="293"/>
      <c r="W16" s="291"/>
      <c r="X16" s="107"/>
      <c r="Y16" s="107"/>
      <c r="Z16" s="107"/>
      <c r="AA16" s="293"/>
      <c r="AB16" s="291"/>
      <c r="AC16" s="107"/>
      <c r="AD16" s="107"/>
      <c r="AE16" s="107"/>
      <c r="AF16" s="293"/>
      <c r="AG16" s="291"/>
      <c r="AH16" s="107"/>
      <c r="AI16" s="107"/>
      <c r="AJ16" s="107"/>
      <c r="AK16" s="293"/>
      <c r="AL16" s="291"/>
      <c r="AM16" s="107"/>
      <c r="AN16" s="107"/>
      <c r="AO16" s="107"/>
      <c r="AP16" s="293"/>
      <c r="AQ16" s="291"/>
      <c r="AR16" s="107"/>
      <c r="AS16" s="107"/>
      <c r="AT16" s="107"/>
      <c r="AU16" s="293"/>
      <c r="AV16" s="291"/>
      <c r="AW16" s="107"/>
      <c r="AX16" s="107"/>
      <c r="AY16" s="107"/>
      <c r="AZ16" s="293"/>
      <c r="BA16" s="291"/>
      <c r="BB16" s="107"/>
      <c r="BC16" s="107"/>
      <c r="BD16" s="107"/>
      <c r="BE16" s="293"/>
      <c r="BF16" s="291"/>
      <c r="BG16" s="107"/>
      <c r="BH16" s="107"/>
      <c r="BI16" s="107"/>
      <c r="BJ16" s="293"/>
      <c r="BK16" s="291"/>
      <c r="BL16" s="107"/>
      <c r="BM16" s="107"/>
      <c r="BN16" s="107"/>
      <c r="BO16" s="293"/>
      <c r="BP16" s="291"/>
      <c r="BQ16" s="107"/>
      <c r="BR16" s="107"/>
      <c r="BS16" s="107"/>
      <c r="BT16" s="293"/>
      <c r="BU16" s="291"/>
      <c r="BV16" s="107"/>
      <c r="BW16" s="107"/>
      <c r="BX16" s="107"/>
      <c r="BY16" s="293"/>
      <c r="BZ16" s="291"/>
      <c r="CA16" s="107"/>
      <c r="CB16" s="107"/>
      <c r="CC16" s="107"/>
      <c r="CD16" s="293"/>
      <c r="CE16" s="291"/>
      <c r="CF16" s="107"/>
      <c r="CG16" s="107"/>
      <c r="CH16" s="107"/>
      <c r="CI16" s="293"/>
      <c r="CJ16" s="291"/>
      <c r="CK16" s="107"/>
      <c r="CL16" s="107"/>
      <c r="CM16" s="107"/>
      <c r="CN16" s="293"/>
      <c r="CO16" s="291"/>
      <c r="CP16" s="107"/>
      <c r="CQ16" s="107"/>
      <c r="CR16" s="107"/>
      <c r="CS16" s="293"/>
      <c r="CT16" s="291"/>
      <c r="CU16" s="107"/>
      <c r="CV16" s="107"/>
      <c r="CW16" s="107"/>
      <c r="CX16" s="293"/>
      <c r="CY16" s="291"/>
      <c r="CZ16" s="107"/>
      <c r="DA16" s="107"/>
      <c r="DB16" s="107"/>
      <c r="DC16" s="293"/>
      <c r="DD16" s="291"/>
      <c r="DE16" s="107"/>
      <c r="DF16" s="107"/>
      <c r="DG16" s="107"/>
      <c r="DH16" s="293"/>
      <c r="DI16" s="291"/>
      <c r="DJ16" s="107"/>
      <c r="DK16" s="107"/>
      <c r="DL16" s="107"/>
      <c r="DM16" s="293"/>
      <c r="DN16" s="291"/>
      <c r="DO16" s="107"/>
      <c r="DP16" s="107"/>
      <c r="DQ16" s="107"/>
      <c r="DR16" s="293"/>
      <c r="DS16" s="291"/>
      <c r="DT16" s="107"/>
      <c r="DU16" s="107"/>
      <c r="DV16" s="107"/>
      <c r="DW16" s="293"/>
      <c r="DX16" s="291"/>
      <c r="DY16" s="107"/>
      <c r="DZ16" s="107"/>
      <c r="EA16" s="107"/>
      <c r="EB16" s="293"/>
      <c r="EC16" s="291"/>
      <c r="ED16" s="107"/>
      <c r="EE16" s="107"/>
      <c r="EF16" s="107"/>
      <c r="EG16" s="293"/>
      <c r="EH16" s="291"/>
      <c r="EI16" s="107"/>
      <c r="EJ16" s="107"/>
      <c r="EK16" s="107"/>
      <c r="EL16" s="293"/>
      <c r="EM16" s="291"/>
      <c r="EN16" s="107"/>
      <c r="EO16" s="107"/>
      <c r="EP16" s="107"/>
      <c r="EQ16" s="293"/>
      <c r="ER16" s="291"/>
      <c r="ES16" s="107"/>
      <c r="ET16" s="107"/>
      <c r="EU16" s="107"/>
      <c r="EV16" s="293"/>
      <c r="EW16" s="291"/>
      <c r="EX16" s="107"/>
      <c r="EY16" s="107"/>
      <c r="EZ16" s="291"/>
      <c r="FA16" s="293"/>
      <c r="FB16" s="291"/>
      <c r="FC16" s="107"/>
      <c r="FD16" s="107"/>
      <c r="FE16" s="107"/>
      <c r="FF16" s="293"/>
      <c r="FG16" s="291"/>
      <c r="FH16" s="107"/>
      <c r="FI16" s="107"/>
      <c r="FJ16" s="107"/>
      <c r="FK16" s="293"/>
      <c r="FL16" s="291"/>
      <c r="FM16" s="107"/>
      <c r="FN16" s="107"/>
      <c r="FO16" s="107"/>
      <c r="FP16" s="293"/>
      <c r="FQ16" s="291"/>
      <c r="FR16" s="107"/>
      <c r="FS16" s="107"/>
      <c r="FT16" s="107"/>
      <c r="FU16" s="293"/>
      <c r="FV16" s="291"/>
      <c r="FW16" s="107"/>
      <c r="FX16" s="107"/>
      <c r="FY16" s="107"/>
      <c r="FZ16" s="293"/>
      <c r="GA16" s="291"/>
      <c r="GB16" s="107"/>
      <c r="GC16" s="107"/>
      <c r="GD16" s="107"/>
      <c r="GE16" s="382"/>
    </row>
    <row r="17" spans="1:187" s="1066" customFormat="1" ht="12.75" customHeight="1">
      <c r="A17" s="850" t="s">
        <v>320</v>
      </c>
      <c r="B17" s="1097" t="s">
        <v>406</v>
      </c>
      <c r="C17" s="443"/>
      <c r="D17" s="606"/>
      <c r="E17" s="606"/>
      <c r="F17" s="606"/>
      <c r="G17" s="1064"/>
      <c r="H17" s="443"/>
      <c r="I17" s="471"/>
      <c r="J17" s="471"/>
      <c r="K17" s="471"/>
      <c r="L17" s="1065"/>
      <c r="M17" s="443"/>
      <c r="N17" s="471"/>
      <c r="O17" s="471"/>
      <c r="P17" s="471"/>
      <c r="Q17" s="1065"/>
      <c r="R17" s="443"/>
      <c r="S17" s="471"/>
      <c r="T17" s="471"/>
      <c r="U17" s="471"/>
      <c r="V17" s="1065"/>
      <c r="W17" s="443"/>
      <c r="X17" s="471"/>
      <c r="Y17" s="471"/>
      <c r="Z17" s="471"/>
      <c r="AA17" s="1065"/>
      <c r="AB17" s="443"/>
      <c r="AC17" s="471"/>
      <c r="AD17" s="471"/>
      <c r="AE17" s="471"/>
      <c r="AF17" s="1065"/>
      <c r="AG17" s="443"/>
      <c r="AH17" s="471"/>
      <c r="AI17" s="471"/>
      <c r="AJ17" s="471"/>
      <c r="AK17" s="1065"/>
      <c r="AL17" s="443"/>
      <c r="AM17" s="471"/>
      <c r="AN17" s="471"/>
      <c r="AO17" s="471"/>
      <c r="AP17" s="1065"/>
      <c r="AQ17" s="443"/>
      <c r="AR17" s="471"/>
      <c r="AS17" s="471"/>
      <c r="AT17" s="471"/>
      <c r="AU17" s="1065"/>
      <c r="AV17" s="443"/>
      <c r="AW17" s="471"/>
      <c r="AX17" s="471"/>
      <c r="AY17" s="471"/>
      <c r="AZ17" s="1065"/>
      <c r="BA17" s="443"/>
      <c r="BB17" s="471"/>
      <c r="BC17" s="471"/>
      <c r="BD17" s="471"/>
      <c r="BE17" s="1065"/>
      <c r="BF17" s="443"/>
      <c r="BG17" s="471"/>
      <c r="BH17" s="471"/>
      <c r="BI17" s="471"/>
      <c r="BJ17" s="1065"/>
      <c r="BK17" s="443"/>
      <c r="BL17" s="471"/>
      <c r="BM17" s="471"/>
      <c r="BN17" s="471"/>
      <c r="BO17" s="1065"/>
      <c r="BP17" s="443"/>
      <c r="BQ17" s="471"/>
      <c r="BR17" s="471"/>
      <c r="BS17" s="471"/>
      <c r="BT17" s="1065"/>
      <c r="BU17" s="443"/>
      <c r="BV17" s="471"/>
      <c r="BW17" s="471"/>
      <c r="BX17" s="471"/>
      <c r="BY17" s="1065"/>
      <c r="BZ17" s="443"/>
      <c r="CA17" s="471"/>
      <c r="CB17" s="471"/>
      <c r="CC17" s="471"/>
      <c r="CD17" s="1065"/>
      <c r="CE17" s="443"/>
      <c r="CF17" s="471"/>
      <c r="CG17" s="471"/>
      <c r="CH17" s="471"/>
      <c r="CI17" s="1065"/>
      <c r="CJ17" s="443"/>
      <c r="CK17" s="471"/>
      <c r="CL17" s="471"/>
      <c r="CM17" s="471"/>
      <c r="CN17" s="1065"/>
      <c r="CO17" s="443"/>
      <c r="CP17" s="471"/>
      <c r="CQ17" s="471"/>
      <c r="CR17" s="471"/>
      <c r="CS17" s="1065"/>
      <c r="CT17" s="443"/>
      <c r="CU17" s="471"/>
      <c r="CV17" s="471"/>
      <c r="CW17" s="471"/>
      <c r="CX17" s="1065"/>
      <c r="CY17" s="825">
        <f>PBP!CY50</f>
      </c>
      <c r="CZ17" s="826">
        <f>PBP!CZ50</f>
      </c>
      <c r="DA17" s="826">
        <f>PBP!DA50</f>
      </c>
      <c r="DB17" s="826">
        <f>PBP!DB50</f>
      </c>
      <c r="DC17" s="1067">
        <f>PBP!DC50</f>
      </c>
      <c r="DD17" s="825">
        <f>PBP!DD50</f>
      </c>
      <c r="DE17" s="826">
        <f>PBP!DE50</f>
      </c>
      <c r="DF17" s="826">
        <f>PBP!DF50</f>
      </c>
      <c r="DG17" s="826">
        <f>PBP!DG50</f>
      </c>
      <c r="DH17" s="1067">
        <f>PBP!DH50</f>
      </c>
      <c r="DI17" s="825">
        <f>PBP!DI50</f>
      </c>
      <c r="DJ17" s="826">
        <f>PBP!DJ50</f>
      </c>
      <c r="DK17" s="826">
        <f>PBP!DK50</f>
      </c>
      <c r="DL17" s="826">
        <f>PBP!DL50</f>
      </c>
      <c r="DM17" s="1067">
        <f>PBP!DM50</f>
      </c>
      <c r="DN17" s="825">
        <f>PBP!DN50</f>
      </c>
      <c r="DO17" s="826">
        <f>PBP!DO50</f>
      </c>
      <c r="DP17" s="826">
        <f>PBP!DP50</f>
      </c>
      <c r="DQ17" s="826">
        <f>PBP!DQ50</f>
      </c>
      <c r="DR17" s="1067">
        <f>PBP!DR50</f>
      </c>
      <c r="DS17" s="825">
        <f>PBP!DS50</f>
      </c>
      <c r="DT17" s="826">
        <f>PBP!DT50</f>
      </c>
      <c r="DU17" s="826">
        <f>PBP!DU50</f>
      </c>
      <c r="DV17" s="826">
        <f>PBP!DV50</f>
      </c>
      <c r="DW17" s="1067">
        <f>PBP!DW50</f>
      </c>
      <c r="DX17" s="825">
        <f>PBP!DX50</f>
      </c>
      <c r="DY17" s="826">
        <f>PBP!DY50</f>
      </c>
      <c r="DZ17" s="826">
        <f>PBP!DZ50</f>
      </c>
      <c r="EA17" s="826">
        <f>PBP!EA50</f>
      </c>
      <c r="EB17" s="1067">
        <f>PBP!EB50</f>
      </c>
      <c r="EC17" s="825">
        <f>PBP!EC50</f>
      </c>
      <c r="ED17" s="826">
        <f>PBP!ED50</f>
      </c>
      <c r="EE17" s="826">
        <f>PBP!EE50</f>
      </c>
      <c r="EF17" s="826">
        <f>PBP!EF50</f>
      </c>
      <c r="EG17" s="1067">
        <f>PBP!EG50</f>
      </c>
      <c r="EH17" s="825">
        <f>PBP!EH50</f>
      </c>
      <c r="EI17" s="826">
        <f>PBP!EI50</f>
      </c>
      <c r="EJ17" s="826">
        <f>PBP!EJ50</f>
      </c>
      <c r="EK17" s="826">
        <f>PBP!EK50</f>
      </c>
      <c r="EL17" s="1067">
        <f>PBP!EL50</f>
      </c>
      <c r="EM17" s="825">
        <f>PBP!EM50</f>
      </c>
      <c r="EN17" s="826">
        <f>PBP!EN50</f>
      </c>
      <c r="EO17" s="826">
        <f>PBP!EO50</f>
      </c>
      <c r="EP17" s="826">
        <f>PBP!EP50</f>
      </c>
      <c r="EQ17" s="1067">
        <f>PBP!EQ50</f>
      </c>
      <c r="ER17" s="825">
        <f>PBP!ER50</f>
      </c>
      <c r="ES17" s="826">
        <f>PBP!ES50</f>
      </c>
      <c r="ET17" s="826">
        <f>PBP!ET50</f>
      </c>
      <c r="EU17" s="826">
        <f>PBP!EU50</f>
      </c>
      <c r="EV17" s="1065"/>
      <c r="EW17" s="825">
        <f>PBP!EW10</f>
      </c>
      <c r="EX17" s="826">
        <f>PBP!EX10</f>
      </c>
      <c r="EY17" s="826">
        <f>PBP!EY10</f>
      </c>
      <c r="EZ17" s="825">
        <f>PBP!EZ10</f>
      </c>
      <c r="FA17" s="1065"/>
      <c r="FB17" s="825"/>
      <c r="FC17" s="826"/>
      <c r="FD17" s="826"/>
      <c r="FE17" s="826"/>
      <c r="FF17" s="1065"/>
      <c r="FG17" s="443"/>
      <c r="FH17" s="471"/>
      <c r="FI17" s="471"/>
      <c r="FJ17" s="471"/>
      <c r="FK17" s="1065"/>
      <c r="FL17" s="443"/>
      <c r="FM17" s="471"/>
      <c r="FN17" s="471"/>
      <c r="FO17" s="471"/>
      <c r="FP17" s="1065"/>
      <c r="FQ17" s="443"/>
      <c r="FR17" s="471"/>
      <c r="FS17" s="471"/>
      <c r="FT17" s="471"/>
      <c r="FU17" s="1065"/>
      <c r="FV17" s="443"/>
      <c r="FW17" s="471"/>
      <c r="FX17" s="471"/>
      <c r="FY17" s="471"/>
      <c r="FZ17" s="1065"/>
      <c r="GA17" s="443"/>
      <c r="GB17" s="471"/>
      <c r="GC17" s="471"/>
      <c r="GD17" s="471"/>
      <c r="GE17" s="1098"/>
    </row>
    <row r="18" spans="1:187" s="537" customFormat="1" ht="12.75" customHeight="1">
      <c r="A18" s="850"/>
      <c r="B18" s="1078" t="s">
        <v>402</v>
      </c>
      <c r="C18" s="291"/>
      <c r="D18" s="137"/>
      <c r="E18" s="137"/>
      <c r="F18" s="137"/>
      <c r="G18" s="538"/>
      <c r="H18" s="291"/>
      <c r="I18" s="107"/>
      <c r="J18" s="107"/>
      <c r="K18" s="107"/>
      <c r="L18" s="293"/>
      <c r="M18" s="291"/>
      <c r="N18" s="107"/>
      <c r="O18" s="107"/>
      <c r="P18" s="107"/>
      <c r="Q18" s="293"/>
      <c r="R18" s="291"/>
      <c r="S18" s="107"/>
      <c r="T18" s="107"/>
      <c r="U18" s="107"/>
      <c r="V18" s="293"/>
      <c r="W18" s="291"/>
      <c r="X18" s="107"/>
      <c r="Y18" s="107"/>
      <c r="Z18" s="107"/>
      <c r="AA18" s="293"/>
      <c r="AB18" s="291"/>
      <c r="AC18" s="107"/>
      <c r="AD18" s="107"/>
      <c r="AE18" s="107"/>
      <c r="AF18" s="293"/>
      <c r="AG18" s="291"/>
      <c r="AH18" s="107"/>
      <c r="AI18" s="107"/>
      <c r="AJ18" s="107"/>
      <c r="AK18" s="293"/>
      <c r="AL18" s="291"/>
      <c r="AM18" s="107"/>
      <c r="AN18" s="107"/>
      <c r="AO18" s="107"/>
      <c r="AP18" s="293"/>
      <c r="AQ18" s="291"/>
      <c r="AR18" s="107"/>
      <c r="AS18" s="107"/>
      <c r="AT18" s="107"/>
      <c r="AU18" s="293"/>
      <c r="AV18" s="291"/>
      <c r="AW18" s="107"/>
      <c r="AX18" s="107"/>
      <c r="AY18" s="107"/>
      <c r="AZ18" s="293"/>
      <c r="BA18" s="291"/>
      <c r="BB18" s="107"/>
      <c r="BC18" s="107"/>
      <c r="BD18" s="107"/>
      <c r="BE18" s="293"/>
      <c r="BF18" s="291"/>
      <c r="BG18" s="107"/>
      <c r="BH18" s="107"/>
      <c r="BI18" s="107"/>
      <c r="BJ18" s="293"/>
      <c r="BK18" s="291"/>
      <c r="BL18" s="107"/>
      <c r="BM18" s="107"/>
      <c r="BN18" s="107"/>
      <c r="BO18" s="293"/>
      <c r="BP18" s="291"/>
      <c r="BQ18" s="107"/>
      <c r="BR18" s="107"/>
      <c r="BS18" s="107"/>
      <c r="BT18" s="293"/>
      <c r="BU18" s="291"/>
      <c r="BV18" s="107"/>
      <c r="BW18" s="107"/>
      <c r="BX18" s="107"/>
      <c r="BY18" s="293"/>
      <c r="BZ18" s="291"/>
      <c r="CA18" s="107"/>
      <c r="CB18" s="107"/>
      <c r="CC18" s="107"/>
      <c r="CD18" s="293"/>
      <c r="CE18" s="291"/>
      <c r="CF18" s="107"/>
      <c r="CG18" s="107"/>
      <c r="CH18" s="107"/>
      <c r="CI18" s="293"/>
      <c r="CJ18" s="291"/>
      <c r="CK18" s="107"/>
      <c r="CL18" s="107"/>
      <c r="CM18" s="107"/>
      <c r="CN18" s="293"/>
      <c r="CO18" s="291"/>
      <c r="CP18" s="107"/>
      <c r="CQ18" s="107"/>
      <c r="CR18" s="107"/>
      <c r="CS18" s="293"/>
      <c r="CT18" s="291"/>
      <c r="CU18" s="107"/>
      <c r="CV18" s="107"/>
      <c r="CW18" s="107"/>
      <c r="CX18" s="293"/>
      <c r="CY18" s="291"/>
      <c r="CZ18" s="107"/>
      <c r="DA18" s="107"/>
      <c r="DB18" s="107"/>
      <c r="DC18" s="293"/>
      <c r="DD18" s="291"/>
      <c r="DE18" s="107"/>
      <c r="DF18" s="107"/>
      <c r="DG18" s="107"/>
      <c r="DH18" s="293"/>
      <c r="DI18" s="291"/>
      <c r="DJ18" s="107"/>
      <c r="DK18" s="107"/>
      <c r="DL18" s="107"/>
      <c r="DM18" s="293"/>
      <c r="DN18" s="291"/>
      <c r="DO18" s="107"/>
      <c r="DP18" s="107"/>
      <c r="DQ18" s="107"/>
      <c r="DR18" s="293"/>
      <c r="DS18" s="291"/>
      <c r="DT18" s="107"/>
      <c r="DU18" s="107"/>
      <c r="DV18" s="107"/>
      <c r="DW18" s="293"/>
      <c r="DX18" s="291">
        <f>DX17/DX15-1</f>
      </c>
      <c r="DY18" s="291">
        <f>DY17/DY15-1</f>
      </c>
      <c r="DZ18" s="291">
        <f>DZ17/DZ15-1</f>
      </c>
      <c r="EA18" s="291">
        <f>EA17/EA15-1</f>
      </c>
      <c r="EB18" s="293"/>
      <c r="EC18" s="291">
        <f>EC17/EC15-1</f>
      </c>
      <c r="ED18" s="291">
        <f>ED17/ED15-1</f>
      </c>
      <c r="EE18" s="291">
        <f>EE17/EE15-1</f>
      </c>
      <c r="EF18" s="291">
        <f>EF17/EF15-1</f>
      </c>
      <c r="EG18" s="293"/>
      <c r="EH18" s="291">
        <f>EH17/EH15-1</f>
      </c>
      <c r="EI18" s="291">
        <f>EI17/EI15-1</f>
      </c>
      <c r="EJ18" s="291">
        <f>EJ17/EJ15-1</f>
      </c>
      <c r="EK18" s="291">
        <f>EK17/EK15-1</f>
      </c>
      <c r="EL18" s="293"/>
      <c r="EM18" s="291">
        <f>EM17/EM15-1</f>
      </c>
      <c r="EN18" s="291">
        <f>EN17/EN15-1</f>
      </c>
      <c r="EO18" s="291">
        <f>EO17/EO15-1</f>
      </c>
      <c r="EP18" s="291">
        <f>EP17/EP15-1</f>
      </c>
      <c r="EQ18" s="293"/>
      <c r="ER18" s="291">
        <f>ER17/ER15-1</f>
      </c>
      <c r="ES18" s="291">
        <f>ES17/ES15-1</f>
      </c>
      <c r="ET18" s="291">
        <f>ET17/ET15-1</f>
      </c>
      <c r="EU18" s="291">
        <f>EU17/EU15-1</f>
      </c>
      <c r="EV18" s="293"/>
      <c r="EW18" s="291">
        <f>EW17/EW15-1</f>
      </c>
      <c r="EX18" s="291">
        <f>EX17/EX15-1</f>
      </c>
      <c r="EY18" s="291">
        <f>EY17/EY15-1</f>
      </c>
      <c r="EZ18" s="291">
        <f>EZ17/EZ15-1</f>
      </c>
      <c r="FA18" s="293"/>
      <c r="FB18" s="291"/>
      <c r="FC18" s="291"/>
      <c r="FD18" s="291"/>
      <c r="FE18" s="291"/>
      <c r="FF18" s="293"/>
      <c r="FG18" s="291"/>
      <c r="FH18" s="107"/>
      <c r="FI18" s="107"/>
      <c r="FJ18" s="107"/>
      <c r="FK18" s="293"/>
      <c r="FL18" s="291"/>
      <c r="FM18" s="107"/>
      <c r="FN18" s="107"/>
      <c r="FO18" s="107"/>
      <c r="FP18" s="293"/>
      <c r="FQ18" s="291"/>
      <c r="FR18" s="107"/>
      <c r="FS18" s="107"/>
      <c r="FT18" s="107"/>
      <c r="FU18" s="293"/>
      <c r="FV18" s="291"/>
      <c r="FW18" s="107"/>
      <c r="FX18" s="107"/>
      <c r="FY18" s="107"/>
      <c r="FZ18" s="293"/>
      <c r="GA18" s="291"/>
      <c r="GB18" s="107"/>
      <c r="GC18" s="107"/>
      <c r="GD18" s="107"/>
      <c r="GE18" s="382"/>
    </row>
    <row r="19" spans="1:187" s="537" customFormat="1" ht="12.75" customHeight="1">
      <c r="A19" s="850"/>
      <c r="B19" s="1078" t="s">
        <v>403</v>
      </c>
      <c r="C19" s="291"/>
      <c r="D19" s="137"/>
      <c r="E19" s="137"/>
      <c r="F19" s="137"/>
      <c r="G19" s="538"/>
      <c r="H19" s="291"/>
      <c r="I19" s="107"/>
      <c r="J19" s="107"/>
      <c r="K19" s="107"/>
      <c r="L19" s="293"/>
      <c r="M19" s="291"/>
      <c r="N19" s="107"/>
      <c r="O19" s="107"/>
      <c r="P19" s="107"/>
      <c r="Q19" s="293"/>
      <c r="R19" s="291"/>
      <c r="S19" s="107"/>
      <c r="T19" s="107"/>
      <c r="U19" s="107"/>
      <c r="V19" s="293"/>
      <c r="W19" s="291"/>
      <c r="X19" s="107"/>
      <c r="Y19" s="107"/>
      <c r="Z19" s="107"/>
      <c r="AA19" s="293"/>
      <c r="AB19" s="291"/>
      <c r="AC19" s="107"/>
      <c r="AD19" s="107"/>
      <c r="AE19" s="107"/>
      <c r="AF19" s="293"/>
      <c r="AG19" s="291"/>
      <c r="AH19" s="107"/>
      <c r="AI19" s="107"/>
      <c r="AJ19" s="107"/>
      <c r="AK19" s="293"/>
      <c r="AL19" s="291"/>
      <c r="AM19" s="107"/>
      <c r="AN19" s="107"/>
      <c r="AO19" s="107"/>
      <c r="AP19" s="293"/>
      <c r="AQ19" s="291"/>
      <c r="AR19" s="107"/>
      <c r="AS19" s="107"/>
      <c r="AT19" s="107"/>
      <c r="AU19" s="293"/>
      <c r="AV19" s="291"/>
      <c r="AW19" s="107"/>
      <c r="AX19" s="107"/>
      <c r="AY19" s="107"/>
      <c r="AZ19" s="293"/>
      <c r="BA19" s="291"/>
      <c r="BB19" s="107"/>
      <c r="BC19" s="107"/>
      <c r="BD19" s="107"/>
      <c r="BE19" s="293"/>
      <c r="BF19" s="291"/>
      <c r="BG19" s="107"/>
      <c r="BH19" s="107"/>
      <c r="BI19" s="107"/>
      <c r="BJ19" s="293"/>
      <c r="BK19" s="291"/>
      <c r="BL19" s="107"/>
      <c r="BM19" s="107"/>
      <c r="BN19" s="107"/>
      <c r="BO19" s="293"/>
      <c r="BP19" s="291"/>
      <c r="BQ19" s="107"/>
      <c r="BR19" s="107"/>
      <c r="BS19" s="107"/>
      <c r="BT19" s="293"/>
      <c r="BU19" s="291"/>
      <c r="BV19" s="107"/>
      <c r="BW19" s="107"/>
      <c r="BX19" s="107"/>
      <c r="BY19" s="293"/>
      <c r="BZ19" s="291"/>
      <c r="CA19" s="107"/>
      <c r="CB19" s="107"/>
      <c r="CC19" s="107"/>
      <c r="CD19" s="293"/>
      <c r="CE19" s="291"/>
      <c r="CF19" s="107"/>
      <c r="CG19" s="107"/>
      <c r="CH19" s="107"/>
      <c r="CI19" s="293"/>
      <c r="CJ19" s="291"/>
      <c r="CK19" s="107"/>
      <c r="CL19" s="107"/>
      <c r="CM19" s="107"/>
      <c r="CN19" s="293"/>
      <c r="CO19" s="291"/>
      <c r="CP19" s="107"/>
      <c r="CQ19" s="107"/>
      <c r="CR19" s="107"/>
      <c r="CS19" s="293"/>
      <c r="CT19" s="291"/>
      <c r="CU19" s="107"/>
      <c r="CV19" s="107"/>
      <c r="CW19" s="107"/>
      <c r="CX19" s="293"/>
      <c r="CY19" s="291"/>
      <c r="CZ19" s="107"/>
      <c r="DA19" s="107"/>
      <c r="DB19" s="107"/>
      <c r="DC19" s="293"/>
      <c r="DD19" s="291"/>
      <c r="DE19" s="107"/>
      <c r="DF19" s="107"/>
      <c r="DG19" s="107"/>
      <c r="DH19" s="293"/>
      <c r="DI19" s="291"/>
      <c r="DJ19" s="107"/>
      <c r="DK19" s="107"/>
      <c r="DL19" s="107"/>
      <c r="DM19" s="293"/>
      <c r="DN19" s="291"/>
      <c r="DO19" s="107"/>
      <c r="DP19" s="107"/>
      <c r="DQ19" s="107"/>
      <c r="DR19" s="293"/>
      <c r="DS19" s="291"/>
      <c r="DT19" s="107"/>
      <c r="DU19" s="107"/>
      <c r="DV19" s="107"/>
      <c r="DW19" s="293"/>
      <c r="DX19" s="470">
        <f>DX17-DX15</f>
      </c>
      <c r="DY19" s="470">
        <f>DY17-DY15</f>
      </c>
      <c r="DZ19" s="470">
        <f>DZ17-DZ15</f>
      </c>
      <c r="EA19" s="470">
        <f>EA17-EA15</f>
      </c>
      <c r="EB19" s="293"/>
      <c r="EC19" s="470">
        <f>EC17-EC15</f>
      </c>
      <c r="ED19" s="470">
        <f>ED17-ED15</f>
      </c>
      <c r="EE19" s="470">
        <f>EE17-EE15</f>
      </c>
      <c r="EF19" s="470">
        <f>EF17-EF15</f>
      </c>
      <c r="EG19" s="293"/>
      <c r="EH19" s="470">
        <f>EH17-EH15</f>
      </c>
      <c r="EI19" s="470">
        <f>EI17-EI15</f>
      </c>
      <c r="EJ19" s="470">
        <f>EJ17-EJ15</f>
      </c>
      <c r="EK19" s="470">
        <f>EK17-EK15</f>
      </c>
      <c r="EL19" s="293"/>
      <c r="EM19" s="470">
        <f>EM17-EM15</f>
      </c>
      <c r="EN19" s="470">
        <f>EN17-EN15</f>
      </c>
      <c r="EO19" s="470">
        <f>EO17-EO15</f>
      </c>
      <c r="EP19" s="470">
        <f>EP17-EP15</f>
      </c>
      <c r="EQ19" s="293"/>
      <c r="ER19" s="470">
        <f>ER17-ER15</f>
      </c>
      <c r="ES19" s="470">
        <f>ES17-ES15</f>
      </c>
      <c r="ET19" s="470">
        <f>ET17-ET15</f>
      </c>
      <c r="EU19" s="470">
        <f>EU17-EU15</f>
      </c>
      <c r="EV19" s="293"/>
      <c r="EW19" s="470">
        <f>EW17-EW15</f>
      </c>
      <c r="EX19" s="470">
        <f>EX17-EX15</f>
      </c>
      <c r="EY19" s="470">
        <f>EY17-EY15</f>
      </c>
      <c r="EZ19" s="470">
        <f>EZ17-EZ15</f>
      </c>
      <c r="FA19" s="293"/>
      <c r="FB19" s="470"/>
      <c r="FC19" s="470"/>
      <c r="FD19" s="470"/>
      <c r="FE19" s="470"/>
      <c r="FF19" s="293"/>
      <c r="FG19" s="291"/>
      <c r="FH19" s="107"/>
      <c r="FI19" s="107"/>
      <c r="FJ19" s="107"/>
      <c r="FK19" s="293"/>
      <c r="FL19" s="291"/>
      <c r="FM19" s="107"/>
      <c r="FN19" s="107"/>
      <c r="FO19" s="107"/>
      <c r="FP19" s="293"/>
      <c r="FQ19" s="291"/>
      <c r="FR19" s="107"/>
      <c r="FS19" s="107"/>
      <c r="FT19" s="107"/>
      <c r="FU19" s="293"/>
      <c r="FV19" s="291"/>
      <c r="FW19" s="107"/>
      <c r="FX19" s="107"/>
      <c r="FY19" s="107"/>
      <c r="FZ19" s="293"/>
      <c r="GA19" s="291"/>
      <c r="GB19" s="107"/>
      <c r="GC19" s="107"/>
      <c r="GD19" s="107"/>
      <c r="GE19" s="382"/>
    </row>
    <row r="20" spans="1:187" s="537" customFormat="1" ht="12.75" customHeight="1">
      <c r="A20" s="850"/>
      <c r="B20" s="1078"/>
      <c r="C20" s="291"/>
      <c r="D20" s="137"/>
      <c r="E20" s="137"/>
      <c r="F20" s="137"/>
      <c r="G20" s="538"/>
      <c r="H20" s="291"/>
      <c r="I20" s="107"/>
      <c r="J20" s="107"/>
      <c r="K20" s="107"/>
      <c r="L20" s="293"/>
      <c r="M20" s="291"/>
      <c r="N20" s="107"/>
      <c r="O20" s="107"/>
      <c r="P20" s="107"/>
      <c r="Q20" s="293"/>
      <c r="R20" s="291"/>
      <c r="S20" s="107"/>
      <c r="T20" s="107"/>
      <c r="U20" s="107"/>
      <c r="V20" s="293"/>
      <c r="W20" s="291"/>
      <c r="X20" s="107"/>
      <c r="Y20" s="107"/>
      <c r="Z20" s="107"/>
      <c r="AA20" s="293"/>
      <c r="AB20" s="291"/>
      <c r="AC20" s="107"/>
      <c r="AD20" s="107"/>
      <c r="AE20" s="107"/>
      <c r="AF20" s="293"/>
      <c r="AG20" s="291"/>
      <c r="AH20" s="107"/>
      <c r="AI20" s="107"/>
      <c r="AJ20" s="107"/>
      <c r="AK20" s="293"/>
      <c r="AL20" s="291"/>
      <c r="AM20" s="107"/>
      <c r="AN20" s="107"/>
      <c r="AO20" s="107"/>
      <c r="AP20" s="293"/>
      <c r="AQ20" s="291"/>
      <c r="AR20" s="107"/>
      <c r="AS20" s="107"/>
      <c r="AT20" s="107"/>
      <c r="AU20" s="293"/>
      <c r="AV20" s="291"/>
      <c r="AW20" s="107"/>
      <c r="AX20" s="107"/>
      <c r="AY20" s="107"/>
      <c r="AZ20" s="293"/>
      <c r="BA20" s="291"/>
      <c r="BB20" s="107"/>
      <c r="BC20" s="107"/>
      <c r="BD20" s="107"/>
      <c r="BE20" s="293"/>
      <c r="BF20" s="291"/>
      <c r="BG20" s="107"/>
      <c r="BH20" s="107"/>
      <c r="BI20" s="107"/>
      <c r="BJ20" s="293"/>
      <c r="BK20" s="291"/>
      <c r="BL20" s="107"/>
      <c r="BM20" s="107"/>
      <c r="BN20" s="107"/>
      <c r="BO20" s="293"/>
      <c r="BP20" s="291"/>
      <c r="BQ20" s="107"/>
      <c r="BR20" s="107"/>
      <c r="BS20" s="107"/>
      <c r="BT20" s="293"/>
      <c r="BU20" s="291"/>
      <c r="BV20" s="107"/>
      <c r="BW20" s="107"/>
      <c r="BX20" s="107"/>
      <c r="BY20" s="293"/>
      <c r="BZ20" s="291"/>
      <c r="CA20" s="107"/>
      <c r="CB20" s="107"/>
      <c r="CC20" s="107"/>
      <c r="CD20" s="293"/>
      <c r="CE20" s="291"/>
      <c r="CF20" s="107"/>
      <c r="CG20" s="107"/>
      <c r="CH20" s="107"/>
      <c r="CI20" s="293"/>
      <c r="CJ20" s="291"/>
      <c r="CK20" s="107"/>
      <c r="CL20" s="107"/>
      <c r="CM20" s="107"/>
      <c r="CN20" s="293"/>
      <c r="CO20" s="291"/>
      <c r="CP20" s="107"/>
      <c r="CQ20" s="107"/>
      <c r="CR20" s="107"/>
      <c r="CS20" s="293"/>
      <c r="CT20" s="291"/>
      <c r="CU20" s="107"/>
      <c r="CV20" s="107"/>
      <c r="CW20" s="107"/>
      <c r="CX20" s="293"/>
      <c r="CY20" s="291"/>
      <c r="CZ20" s="107"/>
      <c r="DA20" s="107"/>
      <c r="DB20" s="107"/>
      <c r="DC20" s="293"/>
      <c r="DD20" s="291"/>
      <c r="DE20" s="107"/>
      <c r="DF20" s="107"/>
      <c r="DG20" s="107"/>
      <c r="DH20" s="293"/>
      <c r="DI20" s="291"/>
      <c r="DJ20" s="107"/>
      <c r="DK20" s="107"/>
      <c r="DL20" s="107"/>
      <c r="DM20" s="293"/>
      <c r="DN20" s="291"/>
      <c r="DO20" s="107"/>
      <c r="DP20" s="107"/>
      <c r="DQ20" s="107"/>
      <c r="DR20" s="293"/>
      <c r="DS20" s="291"/>
      <c r="DT20" s="107"/>
      <c r="DU20" s="107"/>
      <c r="DV20" s="107"/>
      <c r="DW20" s="293"/>
      <c r="DX20" s="291"/>
      <c r="DY20" s="107"/>
      <c r="DZ20" s="107"/>
      <c r="EA20" s="107"/>
      <c r="EB20" s="293"/>
      <c r="EC20" s="291"/>
      <c r="ED20" s="107"/>
      <c r="EE20" s="107"/>
      <c r="EF20" s="107"/>
      <c r="EG20" s="293"/>
      <c r="EH20" s="291"/>
      <c r="EI20" s="107"/>
      <c r="EJ20" s="107"/>
      <c r="EK20" s="107"/>
      <c r="EL20" s="293"/>
      <c r="EM20" s="291"/>
      <c r="EN20" s="107"/>
      <c r="EO20" s="107"/>
      <c r="EP20" s="107"/>
      <c r="EQ20" s="293"/>
      <c r="ER20" s="291"/>
      <c r="ES20" s="107"/>
      <c r="ET20" s="107"/>
      <c r="EU20" s="107"/>
      <c r="EV20" s="293"/>
      <c r="EW20" s="291"/>
      <c r="EX20" s="107"/>
      <c r="EY20" s="107"/>
      <c r="EZ20" s="107"/>
      <c r="FA20" s="293"/>
      <c r="FB20" s="291"/>
      <c r="FC20" s="107"/>
      <c r="FD20" s="107"/>
      <c r="FE20" s="107"/>
      <c r="FF20" s="293"/>
      <c r="FG20" s="291"/>
      <c r="FH20" s="107"/>
      <c r="FI20" s="107"/>
      <c r="FJ20" s="107"/>
      <c r="FK20" s="293"/>
      <c r="FL20" s="291"/>
      <c r="FM20" s="107"/>
      <c r="FN20" s="107"/>
      <c r="FO20" s="107"/>
      <c r="FP20" s="293"/>
      <c r="FQ20" s="291"/>
      <c r="FR20" s="107"/>
      <c r="FS20" s="107"/>
      <c r="FT20" s="107"/>
      <c r="FU20" s="293"/>
      <c r="FV20" s="291"/>
      <c r="FW20" s="107"/>
      <c r="FX20" s="107"/>
      <c r="FY20" s="107"/>
      <c r="FZ20" s="293"/>
      <c r="GA20" s="291"/>
      <c r="GB20" s="107"/>
      <c r="GC20" s="107"/>
      <c r="GD20" s="107"/>
      <c r="GE20" s="382"/>
    </row>
    <row r="21" spans="1:187" s="537" customFormat="1" ht="12.75" customHeight="1">
      <c r="A21" s="850"/>
      <c r="B21" s="1078" t="s">
        <v>409</v>
      </c>
      <c r="C21" s="412"/>
      <c r="D21" s="758"/>
      <c r="E21" s="758"/>
      <c r="F21" s="758"/>
      <c r="G21" s="1113"/>
      <c r="H21" s="412"/>
      <c r="I21" s="114"/>
      <c r="J21" s="114"/>
      <c r="K21" s="114"/>
      <c r="L21" s="414"/>
      <c r="M21" s="412"/>
      <c r="N21" s="114"/>
      <c r="O21" s="114"/>
      <c r="P21" s="114"/>
      <c r="Q21" s="414"/>
      <c r="R21" s="412"/>
      <c r="S21" s="114"/>
      <c r="T21" s="114"/>
      <c r="U21" s="114"/>
      <c r="V21" s="414"/>
      <c r="W21" s="412"/>
      <c r="X21" s="114"/>
      <c r="Y21" s="114"/>
      <c r="Z21" s="114"/>
      <c r="AA21" s="414"/>
      <c r="AB21" s="412"/>
      <c r="AC21" s="114"/>
      <c r="AD21" s="114"/>
      <c r="AE21" s="114"/>
      <c r="AF21" s="414"/>
      <c r="AG21" s="412"/>
      <c r="AH21" s="114"/>
      <c r="AI21" s="114"/>
      <c r="AJ21" s="114"/>
      <c r="AK21" s="414"/>
      <c r="AL21" s="412"/>
      <c r="AM21" s="114"/>
      <c r="AN21" s="114"/>
      <c r="AO21" s="114"/>
      <c r="AP21" s="414"/>
      <c r="AQ21" s="412"/>
      <c r="AR21" s="114"/>
      <c r="AS21" s="114"/>
      <c r="AT21" s="114"/>
      <c r="AU21" s="414"/>
      <c r="AV21" s="412"/>
      <c r="AW21" s="114"/>
      <c r="AX21" s="114"/>
      <c r="AY21" s="114"/>
      <c r="AZ21" s="414"/>
      <c r="BA21" s="412"/>
      <c r="BB21" s="114"/>
      <c r="BC21" s="114"/>
      <c r="BD21" s="114"/>
      <c r="BE21" s="414"/>
      <c r="BF21" s="412"/>
      <c r="BG21" s="114"/>
      <c r="BH21" s="114"/>
      <c r="BI21" s="114"/>
      <c r="BJ21" s="414"/>
      <c r="BK21" s="412"/>
      <c r="BL21" s="114"/>
      <c r="BM21" s="114"/>
      <c r="BN21" s="114"/>
      <c r="BO21" s="414"/>
      <c r="BP21" s="412"/>
      <c r="BQ21" s="114"/>
      <c r="BR21" s="114"/>
      <c r="BS21" s="114"/>
      <c r="BT21" s="414"/>
      <c r="BU21" s="412"/>
      <c r="BV21" s="114"/>
      <c r="BW21" s="114"/>
      <c r="BX21" s="114"/>
      <c r="BY21" s="414"/>
      <c r="BZ21" s="412"/>
      <c r="CA21" s="114"/>
      <c r="CB21" s="114"/>
      <c r="CC21" s="114"/>
      <c r="CD21" s="414"/>
      <c r="CE21" s="412"/>
      <c r="CF21" s="114"/>
      <c r="CG21" s="114"/>
      <c r="CH21" s="114"/>
      <c r="CI21" s="414"/>
      <c r="CJ21" s="412"/>
      <c r="CK21" s="114"/>
      <c r="CL21" s="114"/>
      <c r="CM21" s="114"/>
      <c r="CN21" s="414"/>
      <c r="CO21" s="412"/>
      <c r="CP21" s="114"/>
      <c r="CQ21" s="114"/>
      <c r="CR21" s="114"/>
      <c r="CS21" s="414"/>
      <c r="CT21" s="412"/>
      <c r="CU21" s="114"/>
      <c r="CV21" s="114"/>
      <c r="CW21" s="114"/>
      <c r="CX21" s="414"/>
      <c r="CY21" s="412"/>
      <c r="CZ21" s="114"/>
      <c r="DA21" s="114"/>
      <c r="DB21" s="114"/>
      <c r="DC21" s="414"/>
      <c r="DD21" s="412"/>
      <c r="DE21" s="114"/>
      <c r="DF21" s="114"/>
      <c r="DG21" s="114"/>
      <c r="DH21" s="414"/>
      <c r="DI21" s="412"/>
      <c r="DJ21" s="114"/>
      <c r="DK21" s="114"/>
      <c r="DL21" s="114"/>
      <c r="DM21" s="414"/>
      <c r="DN21" s="412"/>
      <c r="DO21" s="114"/>
      <c r="DP21" s="114"/>
      <c r="DQ21" s="114"/>
      <c r="DR21" s="414"/>
      <c r="DS21" s="412"/>
      <c r="DT21" s="114"/>
      <c r="DU21" s="114"/>
      <c r="DV21" s="114"/>
      <c r="DW21" s="414"/>
      <c r="DX21" s="412">
        <v>-0.02</v>
      </c>
      <c r="DY21" s="114">
        <v>-0.01</v>
      </c>
      <c r="DZ21" s="114">
        <v>-0.01</v>
      </c>
      <c r="EA21" s="114">
        <v>-0.02</v>
      </c>
      <c r="EB21" s="414"/>
      <c r="EC21" s="412">
        <v>-0.01</v>
      </c>
      <c r="ED21" s="114">
        <v>0.01</v>
      </c>
      <c r="EE21" s="114">
        <v>0.03</v>
      </c>
      <c r="EF21" s="114">
        <v>0.03</v>
      </c>
      <c r="EG21" s="414"/>
      <c r="EH21" s="412">
        <v>0.02</v>
      </c>
      <c r="EI21" s="114">
        <v>0.01</v>
      </c>
      <c r="EJ21" s="114">
        <v>-0.02</v>
      </c>
      <c r="EK21" s="114">
        <v>-0.03</v>
      </c>
      <c r="EL21" s="414"/>
      <c r="EM21" s="412">
        <v>-0.06</v>
      </c>
      <c r="EN21" s="114">
        <v>-7.0000000000000007E-2</v>
      </c>
      <c r="EO21" s="114">
        <v>-0.04</v>
      </c>
      <c r="EP21" s="114">
        <v>-0.02</v>
      </c>
      <c r="EQ21" s="414"/>
      <c r="ER21" s="412">
        <v>0</v>
      </c>
      <c r="ES21" s="114">
        <v>0.01</v>
      </c>
      <c r="ET21" s="114">
        <v>0</v>
      </c>
      <c r="EU21" s="107"/>
      <c r="EV21" s="293"/>
      <c r="EW21" s="114">
        <v>0</v>
      </c>
      <c r="EX21" s="114"/>
      <c r="EY21" s="114">
        <v>-0.02</v>
      </c>
      <c r="EZ21" s="107"/>
      <c r="FA21" s="293"/>
      <c r="FB21" s="114"/>
      <c r="FC21" s="114"/>
      <c r="FD21" s="114"/>
      <c r="FE21" s="107"/>
      <c r="FF21" s="293"/>
      <c r="FG21" s="291"/>
      <c r="FH21" s="107"/>
      <c r="FI21" s="107"/>
      <c r="FJ21" s="107"/>
      <c r="FK21" s="293"/>
      <c r="FL21" s="291"/>
      <c r="FM21" s="107"/>
      <c r="FN21" s="107"/>
      <c r="FO21" s="107"/>
      <c r="FP21" s="293"/>
      <c r="FQ21" s="291"/>
      <c r="FR21" s="107"/>
      <c r="FS21" s="107"/>
      <c r="FT21" s="107"/>
      <c r="FU21" s="293"/>
      <c r="FV21" s="291"/>
      <c r="FW21" s="107"/>
      <c r="FX21" s="107"/>
      <c r="FY21" s="107"/>
      <c r="FZ21" s="293"/>
      <c r="GA21" s="291"/>
      <c r="GB21" s="107"/>
      <c r="GC21" s="107"/>
      <c r="GD21" s="107"/>
      <c r="GE21" s="382"/>
    </row>
    <row r="22" spans="1:187" s="537" customFormat="1" ht="12.75" customHeight="1">
      <c r="A22" s="850"/>
      <c r="B22" s="1078"/>
      <c r="C22" s="291"/>
      <c r="D22" s="137"/>
      <c r="E22" s="137"/>
      <c r="F22" s="137"/>
      <c r="G22" s="538"/>
      <c r="H22" s="291"/>
      <c r="I22" s="107"/>
      <c r="J22" s="107"/>
      <c r="K22" s="107"/>
      <c r="L22" s="293"/>
      <c r="M22" s="291"/>
      <c r="N22" s="107"/>
      <c r="O22" s="107"/>
      <c r="P22" s="107"/>
      <c r="Q22" s="293"/>
      <c r="R22" s="291"/>
      <c r="S22" s="107"/>
      <c r="T22" s="107"/>
      <c r="U22" s="107"/>
      <c r="V22" s="293"/>
      <c r="W22" s="291"/>
      <c r="X22" s="107"/>
      <c r="Y22" s="107"/>
      <c r="Z22" s="107"/>
      <c r="AA22" s="293"/>
      <c r="AB22" s="291"/>
      <c r="AC22" s="107"/>
      <c r="AD22" s="107"/>
      <c r="AE22" s="107"/>
      <c r="AF22" s="293"/>
      <c r="AG22" s="291"/>
      <c r="AH22" s="107"/>
      <c r="AI22" s="107"/>
      <c r="AJ22" s="107"/>
      <c r="AK22" s="293"/>
      <c r="AL22" s="291"/>
      <c r="AM22" s="107"/>
      <c r="AN22" s="107"/>
      <c r="AO22" s="107"/>
      <c r="AP22" s="293"/>
      <c r="AQ22" s="291"/>
      <c r="AR22" s="107"/>
      <c r="AS22" s="107"/>
      <c r="AT22" s="107"/>
      <c r="AU22" s="293"/>
      <c r="AV22" s="291"/>
      <c r="AW22" s="107"/>
      <c r="AX22" s="107"/>
      <c r="AY22" s="107"/>
      <c r="AZ22" s="293"/>
      <c r="BA22" s="291"/>
      <c r="BB22" s="107"/>
      <c r="BC22" s="107"/>
      <c r="BD22" s="107"/>
      <c r="BE22" s="293"/>
      <c r="BF22" s="291"/>
      <c r="BG22" s="107"/>
      <c r="BH22" s="107"/>
      <c r="BI22" s="107"/>
      <c r="BJ22" s="293"/>
      <c r="BK22" s="291"/>
      <c r="BL22" s="107"/>
      <c r="BM22" s="107"/>
      <c r="BN22" s="107"/>
      <c r="BO22" s="293"/>
      <c r="BP22" s="291"/>
      <c r="BQ22" s="107"/>
      <c r="BR22" s="107"/>
      <c r="BS22" s="107"/>
      <c r="BT22" s="293"/>
      <c r="BU22" s="291"/>
      <c r="BV22" s="107"/>
      <c r="BW22" s="107"/>
      <c r="BX22" s="107"/>
      <c r="BY22" s="293"/>
      <c r="BZ22" s="291"/>
      <c r="CA22" s="107"/>
      <c r="CB22" s="107"/>
      <c r="CC22" s="107"/>
      <c r="CD22" s="293"/>
      <c r="CE22" s="291"/>
      <c r="CF22" s="107"/>
      <c r="CG22" s="107"/>
      <c r="CH22" s="107"/>
      <c r="CI22" s="293"/>
      <c r="CJ22" s="291"/>
      <c r="CK22" s="107"/>
      <c r="CL22" s="107"/>
      <c r="CM22" s="107"/>
      <c r="CN22" s="293"/>
      <c r="CO22" s="291"/>
      <c r="CP22" s="107"/>
      <c r="CQ22" s="107"/>
      <c r="CR22" s="107"/>
      <c r="CS22" s="293"/>
      <c r="CT22" s="291"/>
      <c r="CU22" s="107"/>
      <c r="CV22" s="107"/>
      <c r="CW22" s="107"/>
      <c r="CX22" s="293"/>
      <c r="CY22" s="291"/>
      <c r="CZ22" s="107"/>
      <c r="DA22" s="107"/>
      <c r="DB22" s="107"/>
      <c r="DC22" s="293"/>
      <c r="DD22" s="291"/>
      <c r="DE22" s="107"/>
      <c r="DF22" s="107"/>
      <c r="DG22" s="107"/>
      <c r="DH22" s="293"/>
      <c r="DI22" s="291"/>
      <c r="DJ22" s="107"/>
      <c r="DK22" s="107"/>
      <c r="DL22" s="107"/>
      <c r="DM22" s="293"/>
      <c r="DN22" s="291"/>
      <c r="DO22" s="107"/>
      <c r="DP22" s="107"/>
      <c r="DQ22" s="107"/>
      <c r="DR22" s="293"/>
      <c r="DS22" s="291"/>
      <c r="DT22" s="107"/>
      <c r="DU22" s="107"/>
      <c r="DV22" s="107"/>
      <c r="DW22" s="293"/>
      <c r="DX22" s="291"/>
      <c r="DY22" s="107"/>
      <c r="DZ22" s="107"/>
      <c r="EA22" s="107"/>
      <c r="EB22" s="293"/>
      <c r="EC22" s="291"/>
      <c r="ED22" s="107"/>
      <c r="EE22" s="107"/>
      <c r="EF22" s="107"/>
      <c r="EG22" s="293"/>
      <c r="EH22" s="291"/>
      <c r="EI22" s="107"/>
      <c r="EJ22" s="107"/>
      <c r="EK22" s="107"/>
      <c r="EL22" s="293"/>
      <c r="EM22" s="291"/>
      <c r="EN22" s="107"/>
      <c r="EO22" s="107"/>
      <c r="EP22" s="107"/>
      <c r="EQ22" s="293"/>
      <c r="ER22" s="291"/>
      <c r="ES22" s="107"/>
      <c r="ET22" s="107"/>
      <c r="EU22" s="107"/>
      <c r="EV22" s="293"/>
      <c r="EW22" s="291"/>
      <c r="EX22" s="107"/>
      <c r="EY22" s="107"/>
      <c r="EZ22" s="107"/>
      <c r="FA22" s="293"/>
      <c r="FB22" s="291"/>
      <c r="FC22" s="107"/>
      <c r="FD22" s="107"/>
      <c r="FE22" s="107"/>
      <c r="FF22" s="293"/>
      <c r="FG22" s="291"/>
      <c r="FH22" s="107"/>
      <c r="FI22" s="107"/>
      <c r="FJ22" s="107"/>
      <c r="FK22" s="293"/>
      <c r="FL22" s="291"/>
      <c r="FM22" s="107"/>
      <c r="FN22" s="107"/>
      <c r="FO22" s="107"/>
      <c r="FP22" s="293"/>
      <c r="FQ22" s="291"/>
      <c r="FR22" s="107"/>
      <c r="FS22" s="107"/>
      <c r="FT22" s="107"/>
      <c r="FU22" s="293"/>
      <c r="FV22" s="291"/>
      <c r="FW22" s="107"/>
      <c r="FX22" s="107"/>
      <c r="FY22" s="107"/>
      <c r="FZ22" s="293"/>
      <c r="GA22" s="291"/>
      <c r="GB22" s="107"/>
      <c r="GC22" s="107"/>
      <c r="GD22" s="107"/>
      <c r="GE22" s="382"/>
    </row>
    <row r="23" spans="1:187" s="537" customFormat="1" ht="12.75" customHeight="1">
      <c r="A23" s="850"/>
      <c r="B23" s="1080" t="s">
        <v>407</v>
      </c>
      <c r="C23" s="1070"/>
      <c r="D23" s="1071"/>
      <c r="E23" s="1071"/>
      <c r="F23" s="1071"/>
      <c r="G23" s="1072"/>
      <c r="H23" s="1070"/>
      <c r="I23" s="1073"/>
      <c r="J23" s="1073"/>
      <c r="K23" s="1073"/>
      <c r="L23" s="1074"/>
      <c r="M23" s="1070"/>
      <c r="N23" s="1073"/>
      <c r="O23" s="1073"/>
      <c r="P23" s="1073"/>
      <c r="Q23" s="1074"/>
      <c r="R23" s="1070"/>
      <c r="S23" s="1073"/>
      <c r="T23" s="1073"/>
      <c r="U23" s="1073"/>
      <c r="V23" s="1074"/>
      <c r="W23" s="1070"/>
      <c r="X23" s="1073"/>
      <c r="Y23" s="1073"/>
      <c r="Z23" s="1073"/>
      <c r="AA23" s="1074"/>
      <c r="AB23" s="1070"/>
      <c r="AC23" s="1073"/>
      <c r="AD23" s="1073"/>
      <c r="AE23" s="1073"/>
      <c r="AF23" s="1074"/>
      <c r="AG23" s="1070"/>
      <c r="AH23" s="1073"/>
      <c r="AI23" s="1073"/>
      <c r="AJ23" s="1073"/>
      <c r="AK23" s="1074"/>
      <c r="AL23" s="1070"/>
      <c r="AM23" s="1073"/>
      <c r="AN23" s="1073"/>
      <c r="AO23" s="1073"/>
      <c r="AP23" s="1074"/>
      <c r="AQ23" s="1070"/>
      <c r="AR23" s="1073"/>
      <c r="AS23" s="1073"/>
      <c r="AT23" s="1073"/>
      <c r="AU23" s="1074"/>
      <c r="AV23" s="1070"/>
      <c r="AW23" s="1073"/>
      <c r="AX23" s="1073"/>
      <c r="AY23" s="1073"/>
      <c r="AZ23" s="1074"/>
      <c r="BA23" s="1070"/>
      <c r="BB23" s="1073"/>
      <c r="BC23" s="1073"/>
      <c r="BD23" s="1073"/>
      <c r="BE23" s="1074"/>
      <c r="BF23" s="1070"/>
      <c r="BG23" s="1073"/>
      <c r="BH23" s="1073"/>
      <c r="BI23" s="1073"/>
      <c r="BJ23" s="1074"/>
      <c r="BK23" s="1070"/>
      <c r="BL23" s="1073"/>
      <c r="BM23" s="1073"/>
      <c r="BN23" s="1073"/>
      <c r="BO23" s="1074"/>
      <c r="BP23" s="1070"/>
      <c r="BQ23" s="1073"/>
      <c r="BR23" s="1073"/>
      <c r="BS23" s="1073"/>
      <c r="BT23" s="1074"/>
      <c r="BU23" s="1070"/>
      <c r="BV23" s="1073"/>
      <c r="BW23" s="1073"/>
      <c r="BX23" s="1073"/>
      <c r="BY23" s="1074"/>
      <c r="BZ23" s="1070"/>
      <c r="CA23" s="1073"/>
      <c r="CB23" s="1073"/>
      <c r="CC23" s="1073"/>
      <c r="CD23" s="1074"/>
      <c r="CE23" s="1070"/>
      <c r="CF23" s="1073"/>
      <c r="CG23" s="1073"/>
      <c r="CH23" s="1073"/>
      <c r="CI23" s="1074"/>
      <c r="CJ23" s="1070"/>
      <c r="CK23" s="1073"/>
      <c r="CL23" s="1073"/>
      <c r="CM23" s="1073"/>
      <c r="CN23" s="1074"/>
      <c r="CO23" s="1070"/>
      <c r="CP23" s="1073"/>
      <c r="CQ23" s="1073"/>
      <c r="CR23" s="1073"/>
      <c r="CS23" s="1074"/>
      <c r="CT23" s="1070"/>
      <c r="CU23" s="1073"/>
      <c r="CV23" s="1073"/>
      <c r="CW23" s="1073"/>
      <c r="CX23" s="1074"/>
      <c r="CY23" s="1070"/>
      <c r="CZ23" s="1073"/>
      <c r="DA23" s="1073"/>
      <c r="DB23" s="1073"/>
      <c r="DC23" s="1074"/>
      <c r="DD23" s="1070">
        <f>(PBP!DD51-PBP!DD52)</f>
      </c>
      <c r="DE23" s="1073">
        <f>(PBP!DE51-PBP!DE52)</f>
      </c>
      <c r="DF23" s="1073">
        <f>(PBP!DF51-PBP!DF52)</f>
      </c>
      <c r="DG23" s="1073">
        <f>(PBP!DG51-PBP!DG52)</f>
      </c>
      <c r="DH23" s="1074">
        <f>(PBP!DH51-PBP!DH52)</f>
      </c>
      <c r="DI23" s="1070">
        <f>(PBP!DI51-PBP!DI52)</f>
      </c>
      <c r="DJ23" s="1073">
        <f>(PBP!DJ51-PBP!DJ52)</f>
      </c>
      <c r="DK23" s="1073">
        <f>(PBP!DK51-PBP!DK52)</f>
      </c>
      <c r="DL23" s="1073">
        <f>(PBP!DL51-PBP!DL52)</f>
      </c>
      <c r="DM23" s="1074">
        <f>(PBP!DM51-PBP!DM52)</f>
      </c>
      <c r="DN23" s="1070">
        <f>(PBP!DN51-PBP!DN52)</f>
      </c>
      <c r="DO23" s="1073">
        <f>(PBP!DO51-PBP!DO52)</f>
      </c>
      <c r="DP23" s="1073">
        <f>(PBP!DP51-PBP!DP52)</f>
      </c>
      <c r="DQ23" s="1073">
        <f>(PBP!DQ51-PBP!DQ52)</f>
      </c>
      <c r="DR23" s="1074">
        <f>(PBP!DR51-PBP!DR52)</f>
      </c>
      <c r="DS23" s="1070">
        <f>(PBP!DS51-PBP!DS52)</f>
      </c>
      <c r="DT23" s="1073">
        <f>(PBP!DT51-PBP!DT52)</f>
      </c>
      <c r="DU23" s="1073">
        <f>(PBP!DU51-PBP!DU52)</f>
      </c>
      <c r="DV23" s="1073">
        <f>(PBP!DV51-PBP!DV52)</f>
      </c>
      <c r="DW23" s="1074">
        <f>(PBP!DW51-PBP!DW52)</f>
      </c>
      <c r="DX23" s="1073">
        <f>(PBP!DX51-PBP!DX52)</f>
      </c>
      <c r="DY23" s="1073">
        <f>(PBP!DY51-PBP!DY52)</f>
      </c>
      <c r="DZ23" s="1073">
        <f>(PBP!DZ51-PBP!DZ52)</f>
      </c>
      <c r="EA23" s="1073">
        <f>(PBP!EA51-PBP!EA52)</f>
      </c>
      <c r="EB23" s="1074">
        <f>(PBP!EB51-PBP!EB52)</f>
      </c>
      <c r="EC23" s="1073">
        <f>(PBP!EC51-PBP!EC52)</f>
      </c>
      <c r="ED23" s="1073">
        <f>(PBP!ED51-PBP!ED52)</f>
      </c>
      <c r="EE23" s="1073">
        <f>(PBP!EE51-PBP!EE52)</f>
      </c>
      <c r="EF23" s="1073">
        <f>(PBP!EF51-PBP!EF52)</f>
      </c>
      <c r="EG23" s="1074">
        <f>(PBP!EG51-PBP!EG52)</f>
      </c>
      <c r="EH23" s="1073">
        <f>(PBP!EH51-PBP!EH52)</f>
      </c>
      <c r="EI23" s="1073">
        <f>(PBP!EI51-PBP!EI52)</f>
      </c>
      <c r="EJ23" s="1073">
        <f>(PBP!EJ51-PBP!EJ52)</f>
      </c>
      <c r="EK23" s="1073">
        <f>(PBP!EK51-PBP!EK52)</f>
      </c>
      <c r="EL23" s="1074">
        <f>(PBP!EL51-PBP!EL52)</f>
      </c>
      <c r="EM23" s="1073">
        <f>(PBP!EM51-PBP!EM52)</f>
      </c>
      <c r="EN23" s="1073">
        <f>(PBP!EN51-PBP!EN52)</f>
      </c>
      <c r="EO23" s="1073">
        <f>(PBP!EO51-PBP!EO52)</f>
      </c>
      <c r="EP23" s="1073">
        <f>(PBP!EP51-PBP!EP52)</f>
      </c>
      <c r="EQ23" s="1074">
        <f>(PBP!EQ51-PBP!EQ52)</f>
      </c>
      <c r="ER23" s="1073">
        <f>(PBP!ER51-PBP!ER52)</f>
      </c>
      <c r="ES23" s="1073">
        <f>(PBP!ES51-PBP!ES52)</f>
      </c>
      <c r="ET23" s="1073">
        <f>(PBP!ET51-PBP!ET52)</f>
      </c>
      <c r="EU23" s="1073">
        <f>(PBP!EU51-PBP!EU52)</f>
      </c>
      <c r="EV23" s="891"/>
      <c r="EW23" s="1073">
        <f>(PBP!EW11-PBP!EW12)</f>
      </c>
      <c r="EX23" s="1073">
        <f>(PBP!EX11-PBP!EX12)</f>
      </c>
      <c r="EY23" s="1073">
        <f>(PBP!EY11-PBP!EY12)</f>
      </c>
      <c r="EZ23" s="1073">
        <f>(PBP!EZ11-PBP!EZ12)</f>
      </c>
      <c r="FA23" s="891"/>
      <c r="FB23" s="1073"/>
      <c r="FC23" s="1073"/>
      <c r="FD23" s="1073"/>
      <c r="FE23" s="1073"/>
      <c r="FF23" s="891"/>
      <c r="FG23" s="399"/>
      <c r="FH23" s="129"/>
      <c r="FI23" s="129"/>
      <c r="FJ23" s="129"/>
      <c r="FK23" s="891"/>
      <c r="FL23" s="399"/>
      <c r="FM23" s="129"/>
      <c r="FN23" s="129"/>
      <c r="FO23" s="129"/>
      <c r="FP23" s="891"/>
      <c r="FQ23" s="399"/>
      <c r="FR23" s="129"/>
      <c r="FS23" s="129"/>
      <c r="FT23" s="129"/>
      <c r="FU23" s="891"/>
      <c r="FV23" s="399"/>
      <c r="FW23" s="129"/>
      <c r="FX23" s="129"/>
      <c r="FY23" s="129"/>
      <c r="FZ23" s="891"/>
      <c r="GA23" s="399"/>
      <c r="GB23" s="129"/>
      <c r="GC23" s="129"/>
      <c r="GD23" s="129"/>
      <c r="GE23" s="1081"/>
    </row>
    <row r="24" spans="1:187" s="537" customFormat="1" ht="12.75" customHeight="1">
      <c r="A24" s="850"/>
      <c r="B24" s="1078" t="s">
        <v>405</v>
      </c>
      <c r="C24" s="467"/>
      <c r="D24" s="1118"/>
      <c r="E24" s="1118"/>
      <c r="F24" s="1118"/>
      <c r="G24" s="1119"/>
      <c r="H24" s="467"/>
      <c r="I24" s="1120"/>
      <c r="J24" s="1120"/>
      <c r="K24" s="1120"/>
      <c r="L24" s="1121"/>
      <c r="M24" s="467"/>
      <c r="N24" s="1120"/>
      <c r="O24" s="1120"/>
      <c r="P24" s="1120"/>
      <c r="Q24" s="1121"/>
      <c r="R24" s="467"/>
      <c r="S24" s="1120"/>
      <c r="T24" s="1120"/>
      <c r="U24" s="1120"/>
      <c r="V24" s="1121"/>
      <c r="W24" s="467"/>
      <c r="X24" s="1120"/>
      <c r="Y24" s="1120"/>
      <c r="Z24" s="1120"/>
      <c r="AA24" s="1121"/>
      <c r="AB24" s="467"/>
      <c r="AC24" s="1120"/>
      <c r="AD24" s="1120"/>
      <c r="AE24" s="1120"/>
      <c r="AF24" s="1121"/>
      <c r="AG24" s="467"/>
      <c r="AH24" s="1120"/>
      <c r="AI24" s="1120"/>
      <c r="AJ24" s="1120"/>
      <c r="AK24" s="1121"/>
      <c r="AL24" s="467"/>
      <c r="AM24" s="1120"/>
      <c r="AN24" s="1120"/>
      <c r="AO24" s="1120"/>
      <c r="AP24" s="1121"/>
      <c r="AQ24" s="467"/>
      <c r="AR24" s="1120"/>
      <c r="AS24" s="1120"/>
      <c r="AT24" s="1120"/>
      <c r="AU24" s="1121"/>
      <c r="AV24" s="467"/>
      <c r="AW24" s="1120"/>
      <c r="AX24" s="1120"/>
      <c r="AY24" s="1120"/>
      <c r="AZ24" s="1121"/>
      <c r="BA24" s="467"/>
      <c r="BB24" s="1120"/>
      <c r="BC24" s="1120"/>
      <c r="BD24" s="1120"/>
      <c r="BE24" s="1121"/>
      <c r="BF24" s="467"/>
      <c r="BG24" s="1120"/>
      <c r="BH24" s="1120"/>
      <c r="BI24" s="1120"/>
      <c r="BJ24" s="1121"/>
      <c r="BK24" s="467"/>
      <c r="BL24" s="1120"/>
      <c r="BM24" s="1120"/>
      <c r="BN24" s="1120"/>
      <c r="BO24" s="1121"/>
      <c r="BP24" s="467"/>
      <c r="BQ24" s="1120"/>
      <c r="BR24" s="1120"/>
      <c r="BS24" s="1120"/>
      <c r="BT24" s="1121"/>
      <c r="BU24" s="467"/>
      <c r="BV24" s="1120"/>
      <c r="BW24" s="1120"/>
      <c r="BX24" s="1120"/>
      <c r="BY24" s="1121"/>
      <c r="BZ24" s="467"/>
      <c r="CA24" s="1120"/>
      <c r="CB24" s="1120"/>
      <c r="CC24" s="1120"/>
      <c r="CD24" s="1121"/>
      <c r="CE24" s="467"/>
      <c r="CF24" s="1120"/>
      <c r="CG24" s="1120"/>
      <c r="CH24" s="1120"/>
      <c r="CI24" s="1121"/>
      <c r="CJ24" s="467"/>
      <c r="CK24" s="1120"/>
      <c r="CL24" s="1120"/>
      <c r="CM24" s="1120"/>
      <c r="CN24" s="1121"/>
      <c r="CO24" s="467"/>
      <c r="CP24" s="1120"/>
      <c r="CQ24" s="1120"/>
      <c r="CR24" s="1120"/>
      <c r="CS24" s="1121"/>
      <c r="CT24" s="467"/>
      <c r="CU24" s="1120"/>
      <c r="CV24" s="1120"/>
      <c r="CW24" s="1120"/>
      <c r="CX24" s="1121"/>
      <c r="CY24" s="467"/>
      <c r="CZ24" s="1120"/>
      <c r="DA24" s="1120"/>
      <c r="DB24" s="1120"/>
      <c r="DC24" s="1121"/>
      <c r="DD24" s="467"/>
      <c r="DE24" s="1120"/>
      <c r="DF24" s="1120"/>
      <c r="DG24" s="1120"/>
      <c r="DH24" s="1121"/>
      <c r="DI24" s="467"/>
      <c r="DJ24" s="1120"/>
      <c r="DK24" s="1120"/>
      <c r="DL24" s="1120"/>
      <c r="DM24" s="1121"/>
      <c r="DN24" s="467"/>
      <c r="DO24" s="1120"/>
      <c r="DP24" s="1120"/>
      <c r="DQ24" s="1120"/>
      <c r="DR24" s="1121"/>
      <c r="DS24" s="467"/>
      <c r="DT24" s="1120"/>
      <c r="DU24" s="1120"/>
      <c r="DV24" s="1120"/>
      <c r="DW24" s="1121"/>
      <c r="DX24" s="1120">
        <f>(DX23-DX21)*10000</f>
      </c>
      <c r="DY24" s="1120">
        <f>(DY23-DY21)*10000</f>
      </c>
      <c r="DZ24" s="1120">
        <f>(DZ23-DZ21)*10000</f>
      </c>
      <c r="EA24" s="1120">
        <f>(EA23-EA21)*10000</f>
      </c>
      <c r="EB24" s="1121"/>
      <c r="EC24" s="1120">
        <f>(EC23-EC21)*10000</f>
      </c>
      <c r="ED24" s="1120">
        <f>(ED23-ED21)*10000</f>
      </c>
      <c r="EE24" s="1120">
        <f>(EE23-EE21)*10000</f>
      </c>
      <c r="EF24" s="1120">
        <f>(EF23-EF21)*10000</f>
      </c>
      <c r="EG24" s="1121"/>
      <c r="EH24" s="1120">
        <f>(EH23-EH21)*10000</f>
      </c>
      <c r="EI24" s="1120">
        <f>(EI23-EI21)*10000</f>
      </c>
      <c r="EJ24" s="1120">
        <f>(EJ23-EJ21)*10000</f>
      </c>
      <c r="EK24" s="1120">
        <f>(EK23-EK21)*10000</f>
      </c>
      <c r="EL24" s="1121"/>
      <c r="EM24" s="1120">
        <f>(EM23-EM21)*10000</f>
      </c>
      <c r="EN24" s="1120">
        <f>(EN23-EN21)*10000</f>
      </c>
      <c r="EO24" s="1120">
        <f>(EO23-EO21)*10000</f>
      </c>
      <c r="EP24" s="1120">
        <f>(EP23-EP21)*10000</f>
      </c>
      <c r="EQ24" s="1121"/>
      <c r="ER24" s="1120">
        <f>(ER23-ER21)*10000</f>
      </c>
      <c r="ES24" s="1120">
        <f>(ES23-ES21)*10000</f>
      </c>
      <c r="ET24" s="1120">
        <f>(ET23-ET21)*10000</f>
      </c>
      <c r="EU24" s="1120">
        <f>(EU23-EU21)*10000</f>
      </c>
      <c r="EV24" s="293"/>
      <c r="EW24" s="1120">
        <f>(EW23-EW21)*10000</f>
      </c>
      <c r="EX24" s="1120">
        <f>(EX23-EX21)*10000</f>
      </c>
      <c r="EY24" s="1120">
        <f>(EY23-EY21)*10000</f>
      </c>
      <c r="EZ24" s="1120">
        <f>(EZ23-EZ21)*10000</f>
      </c>
      <c r="FA24" s="293"/>
      <c r="FB24" s="1120"/>
      <c r="FC24" s="1120"/>
      <c r="FD24" s="1120"/>
      <c r="FE24" s="1120"/>
      <c r="FF24" s="293"/>
      <c r="FG24" s="291"/>
      <c r="FH24" s="107"/>
      <c r="FI24" s="107"/>
      <c r="FJ24" s="107"/>
      <c r="FK24" s="293"/>
      <c r="FL24" s="291"/>
      <c r="FM24" s="107"/>
      <c r="FN24" s="107"/>
      <c r="FO24" s="107"/>
      <c r="FP24" s="293"/>
      <c r="FQ24" s="291"/>
      <c r="FR24" s="107"/>
      <c r="FS24" s="107"/>
      <c r="FT24" s="107"/>
      <c r="FU24" s="293"/>
      <c r="FV24" s="291"/>
      <c r="FW24" s="107"/>
      <c r="FX24" s="107"/>
      <c r="FY24" s="107"/>
      <c r="FZ24" s="293"/>
      <c r="GA24" s="291"/>
      <c r="GB24" s="107"/>
      <c r="GC24" s="107"/>
      <c r="GD24" s="107"/>
      <c r="GE24" s="382"/>
    </row>
    <row r="25" spans="1:187" ht="12.75" customHeight="1">
      <c r="B25" s="786"/>
      <c r="C25" s="98"/>
      <c r="D25" s="98"/>
      <c r="E25" s="98"/>
      <c r="F25" s="98"/>
      <c r="G25" s="99"/>
      <c r="H25" s="98"/>
      <c r="I25" s="98"/>
      <c r="J25" s="98"/>
      <c r="K25" s="98"/>
      <c r="L25" s="99"/>
      <c r="M25" s="98"/>
      <c r="N25" s="98"/>
      <c r="O25" s="98"/>
      <c r="P25" s="98"/>
      <c r="Q25" s="99"/>
      <c r="R25" s="98"/>
      <c r="S25" s="98"/>
      <c r="T25" s="98"/>
      <c r="U25" s="98"/>
      <c r="V25" s="99"/>
      <c r="W25" s="98"/>
      <c r="X25" s="98"/>
      <c r="Y25" s="98"/>
      <c r="Z25" s="98"/>
      <c r="AA25" s="99"/>
      <c r="AB25" s="98"/>
      <c r="AC25" s="98"/>
      <c r="AD25" s="98"/>
      <c r="AE25" s="98"/>
      <c r="AF25" s="99"/>
      <c r="AG25" s="98"/>
      <c r="AH25" s="98"/>
      <c r="AI25" s="98"/>
      <c r="AJ25" s="98"/>
      <c r="AK25" s="99"/>
      <c r="AL25" s="98"/>
      <c r="AM25" s="98"/>
      <c r="AN25" s="98"/>
      <c r="AO25" s="98"/>
      <c r="AP25" s="99"/>
      <c r="AQ25" s="98"/>
      <c r="AR25" s="98"/>
      <c r="AS25" s="98"/>
      <c r="AT25" s="98"/>
      <c r="AU25" s="99"/>
      <c r="AV25" s="98"/>
      <c r="AW25" s="98"/>
      <c r="AX25" s="98"/>
      <c r="AY25" s="98"/>
      <c r="AZ25" s="99"/>
      <c r="BA25" s="98"/>
      <c r="BB25" s="98"/>
      <c r="BC25" s="98"/>
      <c r="BD25" s="98"/>
      <c r="BE25" s="99"/>
      <c r="BF25" s="98"/>
      <c r="BG25" s="98"/>
      <c r="BH25" s="98"/>
      <c r="BI25" s="98"/>
      <c r="BJ25" s="99"/>
      <c r="BK25" s="98"/>
      <c r="BL25" s="98"/>
      <c r="BM25" s="98"/>
      <c r="BN25" s="98"/>
      <c r="BO25" s="99"/>
      <c r="BP25" s="98"/>
      <c r="BQ25" s="98"/>
      <c r="BR25" s="98"/>
      <c r="BS25" s="98"/>
      <c r="BT25" s="99"/>
      <c r="BU25" s="98"/>
      <c r="BV25" s="98"/>
      <c r="BW25" s="98"/>
      <c r="BX25" s="98"/>
      <c r="BY25" s="99"/>
      <c r="BZ25" s="98"/>
      <c r="CA25" s="98"/>
      <c r="CB25" s="98"/>
      <c r="CC25" s="98"/>
      <c r="CD25" s="99"/>
      <c r="CE25" s="98"/>
      <c r="CF25" s="98"/>
      <c r="CG25" s="98"/>
      <c r="CH25" s="98"/>
      <c r="CI25" s="99"/>
      <c r="CJ25" s="98"/>
      <c r="CK25" s="98"/>
      <c r="CL25" s="98"/>
      <c r="CM25" s="98"/>
      <c r="CN25" s="99"/>
      <c r="CO25" s="98"/>
      <c r="CP25" s="98"/>
      <c r="CQ25" s="98"/>
      <c r="CR25" s="98"/>
      <c r="CS25" s="99"/>
      <c r="CT25" s="98"/>
      <c r="CU25" s="98"/>
      <c r="CV25" s="98"/>
      <c r="CW25" s="98"/>
      <c r="CX25" s="99"/>
      <c r="CY25" s="98"/>
      <c r="CZ25" s="98"/>
      <c r="DA25" s="98"/>
      <c r="DB25" s="98"/>
      <c r="DC25" s="99"/>
      <c r="DD25" s="98"/>
      <c r="DE25" s="98"/>
      <c r="DF25" s="98"/>
      <c r="DG25" s="98"/>
      <c r="DH25" s="99"/>
      <c r="DI25" s="98"/>
      <c r="DJ25" s="98"/>
      <c r="DK25" s="98"/>
      <c r="DL25" s="98"/>
      <c r="DM25" s="99"/>
      <c r="DN25" s="98"/>
      <c r="DO25" s="98"/>
      <c r="DP25" s="98"/>
      <c r="DQ25" s="98"/>
      <c r="DR25" s="99"/>
      <c r="DS25" s="98"/>
      <c r="DT25" s="98"/>
      <c r="DU25" s="98"/>
      <c r="DV25" s="98"/>
      <c r="DW25" s="99"/>
      <c r="DX25" s="98"/>
      <c r="DY25" s="98"/>
      <c r="DZ25" s="98"/>
      <c r="EA25" s="98"/>
      <c r="EB25" s="99"/>
      <c r="EC25" s="98"/>
      <c r="ED25" s="98"/>
      <c r="EE25" s="98"/>
      <c r="EF25" s="98"/>
      <c r="EG25" s="99"/>
      <c r="EH25" s="98"/>
      <c r="EI25" s="98"/>
      <c r="EJ25" s="98"/>
      <c r="EK25" s="98"/>
      <c r="EL25" s="99"/>
      <c r="EM25" s="98"/>
      <c r="EN25" s="98"/>
      <c r="EO25" s="98"/>
      <c r="EP25" s="98"/>
      <c r="EQ25" s="99"/>
      <c r="ER25" s="98"/>
      <c r="ES25" s="98"/>
      <c r="ET25" s="98"/>
      <c r="EU25" s="98"/>
      <c r="EV25" s="99"/>
      <c r="EW25" s="98"/>
      <c r="EX25" s="98"/>
      <c r="EY25" s="98"/>
      <c r="EZ25" s="98"/>
      <c r="FA25" s="99"/>
      <c r="FB25" s="98"/>
      <c r="FC25" s="98"/>
      <c r="FD25" s="98"/>
      <c r="FE25" s="98"/>
      <c r="FF25" s="99"/>
      <c r="FG25" s="98"/>
      <c r="FH25" s="98"/>
      <c r="FI25" s="98"/>
      <c r="FJ25" s="98"/>
      <c r="FK25" s="99"/>
      <c r="FL25" s="98"/>
      <c r="FM25" s="98"/>
      <c r="FN25" s="98"/>
      <c r="FO25" s="98"/>
      <c r="FP25" s="99"/>
      <c r="FQ25" s="98"/>
      <c r="FR25" s="98"/>
      <c r="FS25" s="98"/>
      <c r="FT25" s="98"/>
      <c r="FU25" s="99"/>
      <c r="FV25" s="98"/>
      <c r="FW25" s="98"/>
      <c r="FX25" s="98"/>
      <c r="FY25" s="98"/>
      <c r="FZ25" s="99"/>
      <c r="GA25" s="98"/>
      <c r="GB25" s="98"/>
      <c r="GC25" s="98"/>
      <c r="GD25" s="98"/>
      <c r="GE25" s="1085"/>
    </row>
    <row r="26" spans="1:187" s="542" customFormat="1" ht="12.75" customHeight="1">
      <c r="A26" s="850"/>
      <c r="B26" s="1079" t="s">
        <v>187</v>
      </c>
      <c r="C26" s="98"/>
      <c r="D26" s="98"/>
      <c r="E26" s="98"/>
      <c r="F26" s="98"/>
      <c r="G26" s="99"/>
      <c r="H26" s="98"/>
      <c r="I26" s="98"/>
      <c r="J26" s="98"/>
      <c r="K26" s="98"/>
      <c r="L26" s="99"/>
      <c r="M26" s="1084"/>
      <c r="N26" s="1084"/>
      <c r="O26" s="1084"/>
      <c r="P26" s="1084"/>
      <c r="Q26" s="99"/>
      <c r="R26" s="1084"/>
      <c r="S26" s="1084"/>
      <c r="T26" s="1084"/>
      <c r="U26" s="1084"/>
      <c r="V26" s="99"/>
      <c r="W26" s="1084"/>
      <c r="X26" s="1084"/>
      <c r="Y26" s="1084"/>
      <c r="Z26" s="1084"/>
      <c r="AA26" s="99"/>
      <c r="AB26" s="1084"/>
      <c r="AC26" s="1084"/>
      <c r="AD26" s="1084"/>
      <c r="AE26" s="1084"/>
      <c r="AF26" s="99"/>
      <c r="AG26" s="1084"/>
      <c r="AH26" s="1084"/>
      <c r="AI26" s="1084"/>
      <c r="AJ26" s="1084"/>
      <c r="AK26" s="99"/>
      <c r="AL26" s="1084"/>
      <c r="AM26" s="1084"/>
      <c r="AN26" s="1084"/>
      <c r="AO26" s="1084"/>
      <c r="AP26" s="99"/>
      <c r="AQ26" s="1084"/>
      <c r="AR26" s="1084"/>
      <c r="AS26" s="1084"/>
      <c r="AT26" s="1084"/>
      <c r="AU26" s="99"/>
      <c r="AV26" s="1084"/>
      <c r="AW26" s="1084"/>
      <c r="AX26" s="1084"/>
      <c r="AY26" s="1084"/>
      <c r="AZ26" s="99"/>
      <c r="BA26" s="1084"/>
      <c r="BB26" s="1084"/>
      <c r="BC26" s="1084"/>
      <c r="BD26" s="1084"/>
      <c r="BE26" s="99"/>
      <c r="BF26" s="1084"/>
      <c r="BG26" s="1084"/>
      <c r="BH26" s="1084"/>
      <c r="BI26" s="1084"/>
      <c r="BJ26" s="99"/>
      <c r="BK26" s="1084"/>
      <c r="BL26" s="1084"/>
      <c r="BM26" s="1084"/>
      <c r="BN26" s="1084"/>
      <c r="BO26" s="99"/>
      <c r="BP26" s="1084"/>
      <c r="BQ26" s="1084"/>
      <c r="BR26" s="1084"/>
      <c r="BS26" s="1084"/>
      <c r="BT26" s="99"/>
      <c r="BU26" s="1084"/>
      <c r="BV26" s="1084"/>
      <c r="BW26" s="1084"/>
      <c r="BX26" s="1084"/>
      <c r="BY26" s="99"/>
      <c r="BZ26" s="1084"/>
      <c r="CA26" s="1084"/>
      <c r="CB26" s="1084"/>
      <c r="CC26" s="1084"/>
      <c r="CD26" s="99"/>
      <c r="CE26" s="1084"/>
      <c r="CF26" s="1084"/>
      <c r="CG26" s="1084"/>
      <c r="CH26" s="1084"/>
      <c r="CI26" s="99"/>
      <c r="CJ26" s="1084"/>
      <c r="CK26" s="1084"/>
      <c r="CL26" s="1084"/>
      <c r="CM26" s="1084"/>
      <c r="CN26" s="99"/>
      <c r="CO26" s="1084"/>
      <c r="CP26" s="1084"/>
      <c r="CQ26" s="1084"/>
      <c r="CR26" s="1084"/>
      <c r="CS26" s="99"/>
      <c r="CT26" s="1084"/>
      <c r="CU26" s="1084"/>
      <c r="CV26" s="1084"/>
      <c r="CW26" s="1084"/>
      <c r="CX26" s="99"/>
      <c r="CY26" s="1084"/>
      <c r="CZ26" s="1084"/>
      <c r="DA26" s="1084"/>
      <c r="DB26" s="1084"/>
      <c r="DC26" s="99"/>
      <c r="DD26" s="1084"/>
      <c r="DE26" s="1084"/>
      <c r="DF26" s="1084"/>
      <c r="DG26" s="1084"/>
      <c r="DH26" s="99"/>
      <c r="DI26" s="1084"/>
      <c r="DJ26" s="1084"/>
      <c r="DK26" s="1084"/>
      <c r="DL26" s="1084"/>
      <c r="DM26" s="99"/>
      <c r="DN26" s="1084"/>
      <c r="DO26" s="1084"/>
      <c r="DP26" s="1084"/>
      <c r="DQ26" s="1084"/>
      <c r="DR26" s="99"/>
      <c r="DS26" s="1084"/>
      <c r="DT26" s="1084"/>
      <c r="DU26" s="1084"/>
      <c r="DV26" s="1084"/>
      <c r="DW26" s="99"/>
      <c r="DX26" s="1084"/>
      <c r="DY26" s="1084"/>
      <c r="DZ26" s="1084"/>
      <c r="EA26" s="1084"/>
      <c r="EB26" s="99"/>
      <c r="EC26" s="1084"/>
      <c r="ED26" s="1084"/>
      <c r="EE26" s="1084"/>
      <c r="EF26" s="1084"/>
      <c r="EG26" s="99"/>
      <c r="EH26" s="1084"/>
      <c r="EI26" s="1084"/>
      <c r="EJ26" s="1084"/>
      <c r="EK26" s="1084"/>
      <c r="EL26" s="99"/>
      <c r="EM26" s="1084"/>
      <c r="EN26" s="1084"/>
      <c r="EO26" s="1084"/>
      <c r="EP26" s="1084"/>
      <c r="EQ26" s="99"/>
      <c r="ER26" s="1683"/>
      <c r="ES26" s="1683"/>
      <c r="ET26" s="1683"/>
      <c r="EU26" s="1683"/>
      <c r="EV26" s="99"/>
      <c r="EW26" s="1683"/>
      <c r="EX26" s="1683"/>
      <c r="EY26" s="1683"/>
      <c r="EZ26" s="1683"/>
      <c r="FA26" s="99"/>
      <c r="FB26" s="1683"/>
      <c r="FC26" s="1084"/>
      <c r="FD26" s="1084"/>
      <c r="FE26" s="1084"/>
      <c r="FF26" s="99"/>
      <c r="FG26" s="1084"/>
      <c r="FH26" s="1084"/>
      <c r="FI26" s="1084"/>
      <c r="FJ26" s="1084"/>
      <c r="FK26" s="99"/>
      <c r="FL26" s="1084"/>
      <c r="FM26" s="1084"/>
      <c r="FN26" s="1084"/>
      <c r="FO26" s="1084"/>
      <c r="FP26" s="99"/>
      <c r="FQ26" s="1084"/>
      <c r="FR26" s="1084"/>
      <c r="FS26" s="1084"/>
      <c r="FT26" s="1084"/>
      <c r="FU26" s="99"/>
      <c r="FV26" s="1084"/>
      <c r="FW26" s="1084"/>
      <c r="FX26" s="1084"/>
      <c r="FY26" s="1084"/>
      <c r="FZ26" s="99"/>
      <c r="GA26" s="1084"/>
      <c r="GB26" s="1084"/>
      <c r="GC26" s="1084"/>
      <c r="GD26" s="1084"/>
      <c r="GE26" s="1085"/>
    </row>
    <row r="27" spans="1:187" s="1066" customFormat="1" ht="12.75" customHeight="1">
      <c r="A27" s="370" t="s">
        <v>1887</v>
      </c>
      <c r="B27" s="1110" t="s">
        <v>377</v>
      </c>
      <c r="C27" s="448"/>
      <c r="D27" s="493"/>
      <c r="E27" s="493"/>
      <c r="F27" s="493"/>
      <c r="G27" s="1116"/>
      <c r="H27" s="448"/>
      <c r="I27" s="493"/>
      <c r="J27" s="493"/>
      <c r="K27" s="493"/>
      <c r="L27" s="494"/>
      <c r="M27" s="448"/>
      <c r="N27" s="493"/>
      <c r="O27" s="493"/>
      <c r="P27" s="493"/>
      <c r="Q27" s="494"/>
      <c r="R27" s="448"/>
      <c r="S27" s="493"/>
      <c r="T27" s="493"/>
      <c r="U27" s="493"/>
      <c r="V27" s="494"/>
      <c r="W27" s="448"/>
      <c r="X27" s="493"/>
      <c r="Y27" s="493"/>
      <c r="Z27" s="493"/>
      <c r="AA27" s="494"/>
      <c r="AB27" s="448"/>
      <c r="AC27" s="493"/>
      <c r="AD27" s="493"/>
      <c r="AE27" s="493"/>
      <c r="AF27" s="494"/>
      <c r="AG27" s="448"/>
      <c r="AH27" s="493"/>
      <c r="AI27" s="493"/>
      <c r="AJ27" s="493"/>
      <c r="AK27" s="494"/>
      <c r="AL27" s="448"/>
      <c r="AM27" s="493"/>
      <c r="AN27" s="493"/>
      <c r="AO27" s="493"/>
      <c r="AP27" s="494"/>
      <c r="AQ27" s="448"/>
      <c r="AR27" s="493"/>
      <c r="AS27" s="493"/>
      <c r="AT27" s="493"/>
      <c r="AU27" s="494"/>
      <c r="AV27" s="448"/>
      <c r="AW27" s="493"/>
      <c r="AX27" s="493"/>
      <c r="AY27" s="493"/>
      <c r="AZ27" s="494"/>
      <c r="BA27" s="448"/>
      <c r="BB27" s="493"/>
      <c r="BC27" s="493"/>
      <c r="BD27" s="493"/>
      <c r="BE27" s="494"/>
      <c r="BF27" s="448"/>
      <c r="BG27" s="493"/>
      <c r="BH27" s="493"/>
      <c r="BI27" s="493"/>
      <c r="BJ27" s="494"/>
      <c r="BK27" s="448"/>
      <c r="BL27" s="493"/>
      <c r="BM27" s="493"/>
      <c r="BN27" s="493"/>
      <c r="BO27" s="494"/>
      <c r="BP27" s="448"/>
      <c r="BQ27" s="493"/>
      <c r="BR27" s="493"/>
      <c r="BS27" s="493"/>
      <c r="BT27" s="494"/>
      <c r="BU27" s="448"/>
      <c r="BV27" s="493"/>
      <c r="BW27" s="493"/>
      <c r="BX27" s="493"/>
      <c r="BY27" s="494"/>
      <c r="BZ27" s="448"/>
      <c r="CA27" s="493"/>
      <c r="CB27" s="493"/>
      <c r="CC27" s="493"/>
      <c r="CD27" s="494"/>
      <c r="CE27" s="448"/>
      <c r="CF27" s="493"/>
      <c r="CG27" s="493"/>
      <c r="CH27" s="493"/>
      <c r="CI27" s="494"/>
      <c r="CJ27" s="448"/>
      <c r="CK27" s="493"/>
      <c r="CL27" s="493"/>
      <c r="CM27" s="493"/>
      <c r="CN27" s="494"/>
      <c r="CO27" s="448"/>
      <c r="CP27" s="493"/>
      <c r="CQ27" s="493"/>
      <c r="CR27" s="493"/>
      <c r="CS27" s="494"/>
      <c r="CT27" s="448"/>
      <c r="CU27" s="493"/>
      <c r="CV27" s="493"/>
      <c r="CW27" s="493"/>
      <c r="CX27" s="494"/>
      <c r="CY27" s="448"/>
      <c r="CZ27" s="493"/>
      <c r="DA27" s="493"/>
      <c r="DB27" s="493"/>
      <c r="DC27" s="494"/>
      <c r="DD27" s="448"/>
      <c r="DE27" s="493"/>
      <c r="DF27" s="493"/>
      <c r="DG27" s="493"/>
      <c r="DH27" s="494"/>
      <c r="DI27" s="448"/>
      <c r="DJ27" s="493"/>
      <c r="DK27" s="493"/>
      <c r="DL27" s="493"/>
      <c r="DM27" s="494"/>
      <c r="DN27" s="448"/>
      <c r="DO27" s="493"/>
      <c r="DP27" s="493"/>
      <c r="DQ27" s="493"/>
      <c r="DR27" s="494"/>
      <c r="DS27" s="448"/>
      <c r="DT27" s="493"/>
      <c r="DU27" s="493"/>
      <c r="DV27" s="493"/>
      <c r="DW27" s="494"/>
      <c r="DX27" s="448">
        <v>10300</v>
      </c>
      <c r="DY27" s="493">
        <v>11250</v>
      </c>
      <c r="DZ27" s="493">
        <v>11850</v>
      </c>
      <c r="EA27" s="493">
        <v>12900</v>
      </c>
      <c r="EB27" s="494"/>
      <c r="EC27" s="448">
        <v>12550</v>
      </c>
      <c r="ED27" s="493">
        <v>13550</v>
      </c>
      <c r="EE27" s="493">
        <v>14700</v>
      </c>
      <c r="EF27" s="493">
        <v>16200</v>
      </c>
      <c r="EG27" s="494"/>
      <c r="EH27" s="448">
        <v>16400</v>
      </c>
      <c r="EI27" s="493">
        <v>18100</v>
      </c>
      <c r="EJ27" s="493">
        <v>18750</v>
      </c>
      <c r="EK27" s="493">
        <v>21100</v>
      </c>
      <c r="EL27" s="494"/>
      <c r="EM27" s="448">
        <v>20300</v>
      </c>
      <c r="EN27" s="493">
        <v>21250</v>
      </c>
      <c r="EO27" s="493">
        <v>21700</v>
      </c>
      <c r="EP27" s="493">
        <v>23600</v>
      </c>
      <c r="EQ27" s="494"/>
      <c r="ER27" s="448">
        <v>23300</v>
      </c>
      <c r="ES27" s="493">
        <v>25100</v>
      </c>
      <c r="ET27" s="493">
        <v>26000</v>
      </c>
      <c r="EU27" s="1422">
        <v>28400</v>
      </c>
      <c r="EV27" s="462"/>
      <c r="EW27" s="496">
        <v>23800</v>
      </c>
      <c r="EX27" s="493">
        <v>25550</v>
      </c>
      <c r="EY27" s="493">
        <v>25900</v>
      </c>
      <c r="EZ27" s="1422">
        <v>28750</v>
      </c>
      <c r="FA27" s="462"/>
      <c r="FB27" s="496">
        <v>30100</v>
      </c>
      <c r="FC27" s="493"/>
      <c r="FD27" s="493"/>
      <c r="FE27" s="1422"/>
      <c r="FF27" s="462"/>
      <c r="FG27" s="447"/>
      <c r="FH27" s="458"/>
      <c r="FI27" s="458"/>
      <c r="FJ27" s="458"/>
      <c r="FK27" s="462"/>
      <c r="FL27" s="447"/>
      <c r="FM27" s="458"/>
      <c r="FN27" s="458"/>
      <c r="FO27" s="458"/>
      <c r="FP27" s="462"/>
      <c r="FQ27" s="447"/>
      <c r="FR27" s="458"/>
      <c r="FS27" s="458"/>
      <c r="FT27" s="458"/>
      <c r="FU27" s="462"/>
      <c r="FV27" s="447"/>
      <c r="FW27" s="458"/>
      <c r="FX27" s="458"/>
      <c r="FY27" s="458"/>
      <c r="FZ27" s="462"/>
      <c r="GA27" s="447"/>
      <c r="GB27" s="458"/>
      <c r="GC27" s="458"/>
      <c r="GD27" s="458"/>
      <c r="GE27" s="497"/>
    </row>
    <row r="28" spans="1:187" s="1066" customFormat="1" ht="12.75" customHeight="1">
      <c r="A28" s="370" t="s">
        <v>1888</v>
      </c>
      <c r="B28" s="1110" t="s">
        <v>378</v>
      </c>
      <c r="C28" s="448"/>
      <c r="D28" s="1114"/>
      <c r="E28" s="1114"/>
      <c r="F28" s="1114"/>
      <c r="G28" s="1115"/>
      <c r="H28" s="448"/>
      <c r="I28" s="493"/>
      <c r="J28" s="493"/>
      <c r="K28" s="493"/>
      <c r="L28" s="812"/>
      <c r="M28" s="448"/>
      <c r="N28" s="493"/>
      <c r="O28" s="493"/>
      <c r="P28" s="493"/>
      <c r="Q28" s="812"/>
      <c r="R28" s="448"/>
      <c r="S28" s="493"/>
      <c r="T28" s="493"/>
      <c r="U28" s="493"/>
      <c r="V28" s="812"/>
      <c r="W28" s="448"/>
      <c r="X28" s="493"/>
      <c r="Y28" s="493"/>
      <c r="Z28" s="493"/>
      <c r="AA28" s="812"/>
      <c r="AB28" s="448"/>
      <c r="AC28" s="493"/>
      <c r="AD28" s="493"/>
      <c r="AE28" s="493"/>
      <c r="AF28" s="812"/>
      <c r="AG28" s="448"/>
      <c r="AH28" s="493"/>
      <c r="AI28" s="493"/>
      <c r="AJ28" s="493"/>
      <c r="AK28" s="812"/>
      <c r="AL28" s="448"/>
      <c r="AM28" s="493"/>
      <c r="AN28" s="493"/>
      <c r="AO28" s="493"/>
      <c r="AP28" s="812"/>
      <c r="AQ28" s="448"/>
      <c r="AR28" s="493"/>
      <c r="AS28" s="493"/>
      <c r="AT28" s="493"/>
      <c r="AU28" s="812"/>
      <c r="AV28" s="448"/>
      <c r="AW28" s="493"/>
      <c r="AX28" s="493"/>
      <c r="AY28" s="493"/>
      <c r="AZ28" s="812"/>
      <c r="BA28" s="448"/>
      <c r="BB28" s="493"/>
      <c r="BC28" s="493"/>
      <c r="BD28" s="493"/>
      <c r="BE28" s="812"/>
      <c r="BF28" s="448"/>
      <c r="BG28" s="493"/>
      <c r="BH28" s="493"/>
      <c r="BI28" s="493"/>
      <c r="BJ28" s="812"/>
      <c r="BK28" s="448"/>
      <c r="BL28" s="493"/>
      <c r="BM28" s="493"/>
      <c r="BN28" s="493"/>
      <c r="BO28" s="812"/>
      <c r="BP28" s="448"/>
      <c r="BQ28" s="493"/>
      <c r="BR28" s="493"/>
      <c r="BS28" s="493"/>
      <c r="BT28" s="812"/>
      <c r="BU28" s="448"/>
      <c r="BV28" s="493"/>
      <c r="BW28" s="493"/>
      <c r="BX28" s="493"/>
      <c r="BY28" s="812"/>
      <c r="BZ28" s="448"/>
      <c r="CA28" s="493"/>
      <c r="CB28" s="493"/>
      <c r="CC28" s="493"/>
      <c r="CD28" s="812"/>
      <c r="CE28" s="448"/>
      <c r="CF28" s="493"/>
      <c r="CG28" s="493"/>
      <c r="CH28" s="493"/>
      <c r="CI28" s="812"/>
      <c r="CJ28" s="448"/>
      <c r="CK28" s="493"/>
      <c r="CL28" s="493"/>
      <c r="CM28" s="493"/>
      <c r="CN28" s="812"/>
      <c r="CO28" s="448"/>
      <c r="CP28" s="493"/>
      <c r="CQ28" s="493"/>
      <c r="CR28" s="493"/>
      <c r="CS28" s="812"/>
      <c r="CT28" s="448"/>
      <c r="CU28" s="493"/>
      <c r="CV28" s="493"/>
      <c r="CW28" s="493"/>
      <c r="CX28" s="812"/>
      <c r="CY28" s="448"/>
      <c r="CZ28" s="493"/>
      <c r="DA28" s="493"/>
      <c r="DB28" s="493"/>
      <c r="DC28" s="812"/>
      <c r="DD28" s="448"/>
      <c r="DE28" s="493"/>
      <c r="DF28" s="493"/>
      <c r="DG28" s="493"/>
      <c r="DH28" s="812"/>
      <c r="DI28" s="448"/>
      <c r="DJ28" s="493"/>
      <c r="DK28" s="493"/>
      <c r="DL28" s="493"/>
      <c r="DM28" s="812"/>
      <c r="DN28" s="448"/>
      <c r="DO28" s="493"/>
      <c r="DP28" s="493"/>
      <c r="DQ28" s="493"/>
      <c r="DR28" s="812"/>
      <c r="DS28" s="448"/>
      <c r="DT28" s="493"/>
      <c r="DU28" s="493"/>
      <c r="DV28" s="493"/>
      <c r="DW28" s="812"/>
      <c r="DX28" s="448">
        <v>10500</v>
      </c>
      <c r="DY28" s="493">
        <v>11450</v>
      </c>
      <c r="DZ28" s="493">
        <v>12050</v>
      </c>
      <c r="EA28" s="493">
        <v>13150</v>
      </c>
      <c r="EB28" s="812"/>
      <c r="EC28" s="448">
        <v>12800</v>
      </c>
      <c r="ED28" s="493">
        <v>13800</v>
      </c>
      <c r="EE28" s="493">
        <v>14950</v>
      </c>
      <c r="EF28" s="493">
        <v>16450</v>
      </c>
      <c r="EG28" s="812"/>
      <c r="EH28" s="448">
        <v>16650</v>
      </c>
      <c r="EI28" s="493">
        <v>18350</v>
      </c>
      <c r="EJ28" s="493">
        <v>19000</v>
      </c>
      <c r="EK28" s="493">
        <v>21350</v>
      </c>
      <c r="EL28" s="812"/>
      <c r="EM28" s="448">
        <v>20600</v>
      </c>
      <c r="EN28" s="493">
        <v>21550</v>
      </c>
      <c r="EO28" s="493">
        <v>22000</v>
      </c>
      <c r="EP28" s="493">
        <v>23900</v>
      </c>
      <c r="EQ28" s="812"/>
      <c r="ER28" s="448">
        <v>23600</v>
      </c>
      <c r="ES28" s="493">
        <v>25400</v>
      </c>
      <c r="ET28" s="493">
        <v>26300</v>
      </c>
      <c r="EU28" s="1422">
        <v>28700</v>
      </c>
      <c r="EV28" s="459"/>
      <c r="EW28" s="496">
        <v>24100</v>
      </c>
      <c r="EX28" s="493">
        <v>25850</v>
      </c>
      <c r="EY28" s="493">
        <v>26200</v>
      </c>
      <c r="EZ28" s="1422">
        <v>29050</v>
      </c>
      <c r="FA28" s="459"/>
      <c r="FB28" s="496">
        <v>30400</v>
      </c>
      <c r="FC28" s="493"/>
      <c r="FD28" s="493"/>
      <c r="FE28" s="1422"/>
      <c r="FF28" s="459"/>
      <c r="FG28" s="447"/>
      <c r="FH28" s="458"/>
      <c r="FI28" s="458"/>
      <c r="FJ28" s="458"/>
      <c r="FK28" s="459"/>
      <c r="FL28" s="447"/>
      <c r="FM28" s="458"/>
      <c r="FN28" s="458"/>
      <c r="FO28" s="458"/>
      <c r="FP28" s="459"/>
      <c r="FQ28" s="447"/>
      <c r="FR28" s="458"/>
      <c r="FS28" s="458"/>
      <c r="FT28" s="458"/>
      <c r="FU28" s="459"/>
      <c r="FV28" s="447"/>
      <c r="FW28" s="458"/>
      <c r="FX28" s="458"/>
      <c r="FY28" s="458"/>
      <c r="FZ28" s="459"/>
      <c r="GA28" s="447"/>
      <c r="GB28" s="458"/>
      <c r="GC28" s="458"/>
      <c r="GD28" s="458"/>
      <c r="GE28" s="460"/>
    </row>
    <row r="29" spans="1:187" s="1066" customFormat="1" ht="12.75" customHeight="1">
      <c r="A29" s="370" t="s">
        <v>465</v>
      </c>
      <c r="B29" s="1110" t="s">
        <v>401</v>
      </c>
      <c r="C29" s="447"/>
      <c r="D29" s="1111"/>
      <c r="E29" s="1111"/>
      <c r="F29" s="1111"/>
      <c r="G29" s="614"/>
      <c r="H29" s="447"/>
      <c r="I29" s="458"/>
      <c r="J29" s="458"/>
      <c r="K29" s="458"/>
      <c r="L29" s="459"/>
      <c r="M29" s="447"/>
      <c r="N29" s="458"/>
      <c r="O29" s="458"/>
      <c r="P29" s="458"/>
      <c r="Q29" s="459"/>
      <c r="R29" s="447"/>
      <c r="S29" s="458"/>
      <c r="T29" s="458"/>
      <c r="U29" s="458"/>
      <c r="V29" s="459"/>
      <c r="W29" s="447"/>
      <c r="X29" s="458"/>
      <c r="Y29" s="458"/>
      <c r="Z29" s="458"/>
      <c r="AA29" s="459"/>
      <c r="AB29" s="447"/>
      <c r="AC29" s="458"/>
      <c r="AD29" s="458"/>
      <c r="AE29" s="458"/>
      <c r="AF29" s="459"/>
      <c r="AG29" s="447"/>
      <c r="AH29" s="458"/>
      <c r="AI29" s="458"/>
      <c r="AJ29" s="458"/>
      <c r="AK29" s="459"/>
      <c r="AL29" s="447"/>
      <c r="AM29" s="458"/>
      <c r="AN29" s="458"/>
      <c r="AO29" s="458"/>
      <c r="AP29" s="459"/>
      <c r="AQ29" s="447"/>
      <c r="AR29" s="458"/>
      <c r="AS29" s="458"/>
      <c r="AT29" s="458"/>
      <c r="AU29" s="459"/>
      <c r="AV29" s="447"/>
      <c r="AW29" s="458"/>
      <c r="AX29" s="458"/>
      <c r="AY29" s="458"/>
      <c r="AZ29" s="459"/>
      <c r="BA29" s="447"/>
      <c r="BB29" s="458"/>
      <c r="BC29" s="458"/>
      <c r="BD29" s="458"/>
      <c r="BE29" s="459"/>
      <c r="BF29" s="447"/>
      <c r="BG29" s="458"/>
      <c r="BH29" s="458"/>
      <c r="BI29" s="458"/>
      <c r="BJ29" s="459"/>
      <c r="BK29" s="447"/>
      <c r="BL29" s="458"/>
      <c r="BM29" s="458"/>
      <c r="BN29" s="458"/>
      <c r="BO29" s="459"/>
      <c r="BP29" s="447"/>
      <c r="BQ29" s="458"/>
      <c r="BR29" s="458"/>
      <c r="BS29" s="458"/>
      <c r="BT29" s="459"/>
      <c r="BU29" s="447"/>
      <c r="BV29" s="458"/>
      <c r="BW29" s="458"/>
      <c r="BX29" s="458"/>
      <c r="BY29" s="459"/>
      <c r="BZ29" s="447"/>
      <c r="CA29" s="458"/>
      <c r="CB29" s="458"/>
      <c r="CC29" s="458"/>
      <c r="CD29" s="459"/>
      <c r="CE29" s="447"/>
      <c r="CF29" s="458"/>
      <c r="CG29" s="458"/>
      <c r="CH29" s="458"/>
      <c r="CI29" s="459"/>
      <c r="CJ29" s="447"/>
      <c r="CK29" s="458"/>
      <c r="CL29" s="458"/>
      <c r="CM29" s="458"/>
      <c r="CN29" s="459"/>
      <c r="CO29" s="447"/>
      <c r="CP29" s="458"/>
      <c r="CQ29" s="458"/>
      <c r="CR29" s="458"/>
      <c r="CS29" s="459"/>
      <c r="CT29" s="447"/>
      <c r="CU29" s="458"/>
      <c r="CV29" s="458"/>
      <c r="CW29" s="458"/>
      <c r="CX29" s="459"/>
      <c r="CY29" s="447"/>
      <c r="CZ29" s="458"/>
      <c r="DA29" s="458"/>
      <c r="DB29" s="458"/>
      <c r="DC29" s="459"/>
      <c r="DD29" s="447"/>
      <c r="DE29" s="458"/>
      <c r="DF29" s="458"/>
      <c r="DG29" s="458"/>
      <c r="DH29" s="459"/>
      <c r="DI29" s="447"/>
      <c r="DJ29" s="458"/>
      <c r="DK29" s="458"/>
      <c r="DL29" s="458"/>
      <c r="DM29" s="459"/>
      <c r="DN29" s="447"/>
      <c r="DO29" s="458"/>
      <c r="DP29" s="458"/>
      <c r="DQ29" s="458"/>
      <c r="DR29" s="459"/>
      <c r="DS29" s="447"/>
      <c r="DT29" s="458"/>
      <c r="DU29" s="458"/>
      <c r="DV29" s="458"/>
      <c r="DW29" s="459"/>
      <c r="DX29" s="458">
        <f>IFERROR(AVERAGE(DX27:DX28),"--")</f>
      </c>
      <c r="DY29" s="458">
        <f>IFERROR(AVERAGE(DY27:DY28),"--")</f>
      </c>
      <c r="DZ29" s="458">
        <f>IFERROR(AVERAGE(DZ27:DZ28),"--")</f>
      </c>
      <c r="EA29" s="458">
        <f>IFERROR(AVERAGE(EA27:EA28),"--")</f>
      </c>
      <c r="EB29" s="459"/>
      <c r="EC29" s="458">
        <f>IFERROR(AVERAGE(EC27:EC28),"--")</f>
      </c>
      <c r="ED29" s="458">
        <f>IFERROR(AVERAGE(ED27:ED28),"--")</f>
      </c>
      <c r="EE29" s="458">
        <f>IFERROR(AVERAGE(EE27:EE28),"--")</f>
      </c>
      <c r="EF29" s="458">
        <f>IFERROR(AVERAGE(EF27:EF28),"--")</f>
      </c>
      <c r="EG29" s="459"/>
      <c r="EH29" s="458">
        <f>IFERROR(AVERAGE(EH27:EH28),"--")</f>
      </c>
      <c r="EI29" s="458">
        <f>IFERROR(AVERAGE(EI27:EI28),"--")</f>
      </c>
      <c r="EJ29" s="458">
        <f>IFERROR(AVERAGE(EJ27:EJ28),"--")</f>
      </c>
      <c r="EK29" s="458">
        <f>IFERROR(AVERAGE(EK27:EK28),"--")</f>
      </c>
      <c r="EL29" s="459"/>
      <c r="EM29" s="458">
        <f>IFERROR(AVERAGE(EM27:EM28),"--")</f>
      </c>
      <c r="EN29" s="458">
        <f>IFERROR(AVERAGE(EN27:EN28),"--")</f>
      </c>
      <c r="EO29" s="458">
        <f>IFERROR(AVERAGE(EO27:EO28),"--")</f>
      </c>
      <c r="EP29" s="458">
        <f>IFERROR(AVERAGE(EP27:EP28),"--")</f>
      </c>
      <c r="EQ29" s="459"/>
      <c r="ER29" s="458">
        <f>IFERROR(AVERAGE(ER27:ER28),"--")</f>
      </c>
      <c r="ES29" s="458">
        <f>IFERROR(AVERAGE(ES27:ES28),"--")</f>
      </c>
      <c r="ET29" s="458">
        <f>IFERROR(AVERAGE(ET27:ET28),"--")</f>
      </c>
      <c r="EU29" s="458">
        <f>IFERROR(AVERAGE(EU27:EU28),"--")</f>
      </c>
      <c r="EV29" s="459"/>
      <c r="EW29" s="458">
        <f>IFERROR(AVERAGE(EW27:EW28),"--")</f>
      </c>
      <c r="EX29" s="458">
        <f>IFERROR(AVERAGE(EX27:EX28),"--")</f>
      </c>
      <c r="EY29" s="458">
        <f>IFERROR(AVERAGE(EY27:EY28),"--")</f>
      </c>
      <c r="EZ29" s="458">
        <f>IFERROR(AVERAGE(EZ27:EZ28),"--")</f>
      </c>
      <c r="FA29" s="459"/>
      <c r="FB29" s="458">
        <f>IFERROR(AVERAGE(FB27:FB28),"--")</f>
      </c>
      <c r="FC29" s="458"/>
      <c r="FD29" s="458"/>
      <c r="FE29" s="458"/>
      <c r="FF29" s="459"/>
      <c r="FG29" s="447"/>
      <c r="FH29" s="458"/>
      <c r="FI29" s="458"/>
      <c r="FJ29" s="458"/>
      <c r="FK29" s="459"/>
      <c r="FL29" s="447"/>
      <c r="FM29" s="458"/>
      <c r="FN29" s="458"/>
      <c r="FO29" s="458"/>
      <c r="FP29" s="459"/>
      <c r="FQ29" s="447"/>
      <c r="FR29" s="458"/>
      <c r="FS29" s="458"/>
      <c r="FT29" s="458"/>
      <c r="FU29" s="459"/>
      <c r="FV29" s="447"/>
      <c r="FW29" s="458"/>
      <c r="FX29" s="458"/>
      <c r="FY29" s="458"/>
      <c r="FZ29" s="459"/>
      <c r="GA29" s="447"/>
      <c r="GB29" s="458"/>
      <c r="GC29" s="458"/>
      <c r="GD29" s="458"/>
      <c r="GE29" s="460"/>
    </row>
    <row r="30" spans="1:187" s="537" customFormat="1" ht="12.75" customHeight="1">
      <c r="A30" s="850"/>
      <c r="B30" s="1078"/>
      <c r="C30" s="291"/>
      <c r="D30" s="137"/>
      <c r="E30" s="137"/>
      <c r="F30" s="137"/>
      <c r="G30" s="538"/>
      <c r="H30" s="291"/>
      <c r="I30" s="107"/>
      <c r="J30" s="107"/>
      <c r="K30" s="107"/>
      <c r="L30" s="293"/>
      <c r="M30" s="291"/>
      <c r="N30" s="107"/>
      <c r="O30" s="107"/>
      <c r="P30" s="107"/>
      <c r="Q30" s="293"/>
      <c r="R30" s="291"/>
      <c r="S30" s="107"/>
      <c r="T30" s="107"/>
      <c r="U30" s="107"/>
      <c r="V30" s="293"/>
      <c r="W30" s="291"/>
      <c r="X30" s="107"/>
      <c r="Y30" s="107"/>
      <c r="Z30" s="107"/>
      <c r="AA30" s="293"/>
      <c r="AB30" s="291"/>
      <c r="AC30" s="107"/>
      <c r="AD30" s="107"/>
      <c r="AE30" s="107"/>
      <c r="AF30" s="293"/>
      <c r="AG30" s="291"/>
      <c r="AH30" s="107"/>
      <c r="AI30" s="107"/>
      <c r="AJ30" s="107"/>
      <c r="AK30" s="293"/>
      <c r="AL30" s="291"/>
      <c r="AM30" s="107"/>
      <c r="AN30" s="107"/>
      <c r="AO30" s="107"/>
      <c r="AP30" s="293"/>
      <c r="AQ30" s="291"/>
      <c r="AR30" s="107"/>
      <c r="AS30" s="107"/>
      <c r="AT30" s="107"/>
      <c r="AU30" s="293"/>
      <c r="AV30" s="291"/>
      <c r="AW30" s="107"/>
      <c r="AX30" s="107"/>
      <c r="AY30" s="107"/>
      <c r="AZ30" s="293"/>
      <c r="BA30" s="291"/>
      <c r="BB30" s="107"/>
      <c r="BC30" s="107"/>
      <c r="BD30" s="107"/>
      <c r="BE30" s="293"/>
      <c r="BF30" s="291"/>
      <c r="BG30" s="107"/>
      <c r="BH30" s="107"/>
      <c r="BI30" s="107"/>
      <c r="BJ30" s="293"/>
      <c r="BK30" s="291"/>
      <c r="BL30" s="107"/>
      <c r="BM30" s="107"/>
      <c r="BN30" s="107"/>
      <c r="BO30" s="293"/>
      <c r="BP30" s="291"/>
      <c r="BQ30" s="107"/>
      <c r="BR30" s="107"/>
      <c r="BS30" s="107"/>
      <c r="BT30" s="293"/>
      <c r="BU30" s="291"/>
      <c r="BV30" s="107"/>
      <c r="BW30" s="107"/>
      <c r="BX30" s="107"/>
      <c r="BY30" s="293"/>
      <c r="BZ30" s="291"/>
      <c r="CA30" s="107"/>
      <c r="CB30" s="107"/>
      <c r="CC30" s="107"/>
      <c r="CD30" s="293"/>
      <c r="CE30" s="291"/>
      <c r="CF30" s="107"/>
      <c r="CG30" s="107"/>
      <c r="CH30" s="107"/>
      <c r="CI30" s="293"/>
      <c r="CJ30" s="291"/>
      <c r="CK30" s="107"/>
      <c r="CL30" s="107"/>
      <c r="CM30" s="107"/>
      <c r="CN30" s="293"/>
      <c r="CO30" s="291"/>
      <c r="CP30" s="107"/>
      <c r="CQ30" s="107"/>
      <c r="CR30" s="107"/>
      <c r="CS30" s="293"/>
      <c r="CT30" s="291"/>
      <c r="CU30" s="107"/>
      <c r="CV30" s="107"/>
      <c r="CW30" s="107"/>
      <c r="CX30" s="293"/>
      <c r="CY30" s="291"/>
      <c r="CZ30" s="107"/>
      <c r="DA30" s="107"/>
      <c r="DB30" s="107"/>
      <c r="DC30" s="293"/>
      <c r="DD30" s="291"/>
      <c r="DE30" s="107"/>
      <c r="DF30" s="107"/>
      <c r="DG30" s="107"/>
      <c r="DH30" s="293"/>
      <c r="DI30" s="291"/>
      <c r="DJ30" s="107"/>
      <c r="DK30" s="107"/>
      <c r="DL30" s="107"/>
      <c r="DM30" s="293"/>
      <c r="DN30" s="291"/>
      <c r="DO30" s="107"/>
      <c r="DP30" s="107"/>
      <c r="DQ30" s="107"/>
      <c r="DR30" s="293"/>
      <c r="DS30" s="291"/>
      <c r="DT30" s="107"/>
      <c r="DU30" s="107"/>
      <c r="DV30" s="107"/>
      <c r="DW30" s="293"/>
      <c r="DX30" s="291"/>
      <c r="DY30" s="107"/>
      <c r="DZ30" s="107"/>
      <c r="EA30" s="107"/>
      <c r="EB30" s="293"/>
      <c r="EC30" s="291"/>
      <c r="ED30" s="107"/>
      <c r="EE30" s="107"/>
      <c r="EF30" s="107"/>
      <c r="EG30" s="293"/>
      <c r="EH30" s="291"/>
      <c r="EI30" s="107"/>
      <c r="EJ30" s="107"/>
      <c r="EK30" s="107"/>
      <c r="EL30" s="293"/>
      <c r="EM30" s="291"/>
      <c r="EN30" s="107"/>
      <c r="EO30" s="107"/>
      <c r="EP30" s="107"/>
      <c r="EQ30" s="293"/>
      <c r="ER30" s="291"/>
      <c r="ES30" s="107"/>
      <c r="ET30" s="107"/>
      <c r="EU30" s="107"/>
      <c r="EV30" s="293"/>
      <c r="EW30" s="291"/>
      <c r="EX30" s="107"/>
      <c r="EY30" s="107"/>
      <c r="EZ30" s="291"/>
      <c r="FA30" s="293"/>
      <c r="FB30" s="291"/>
      <c r="FC30" s="107"/>
      <c r="FD30" s="107"/>
      <c r="FE30" s="107"/>
      <c r="FF30" s="293"/>
      <c r="FG30" s="291"/>
      <c r="FH30" s="107"/>
      <c r="FI30" s="107"/>
      <c r="FJ30" s="107"/>
      <c r="FK30" s="293"/>
      <c r="FL30" s="291"/>
      <c r="FM30" s="107"/>
      <c r="FN30" s="107"/>
      <c r="FO30" s="107"/>
      <c r="FP30" s="293"/>
      <c r="FQ30" s="291"/>
      <c r="FR30" s="107"/>
      <c r="FS30" s="107"/>
      <c r="FT30" s="107"/>
      <c r="FU30" s="293"/>
      <c r="FV30" s="291"/>
      <c r="FW30" s="107"/>
      <c r="FX30" s="107"/>
      <c r="FY30" s="107"/>
      <c r="FZ30" s="293"/>
      <c r="GA30" s="291"/>
      <c r="GB30" s="107"/>
      <c r="GC30" s="107"/>
      <c r="GD30" s="107"/>
      <c r="GE30" s="382"/>
    </row>
    <row r="31" spans="1:187" s="1066" customFormat="1" ht="12.75" customHeight="1">
      <c r="A31" s="850" t="s">
        <v>323</v>
      </c>
      <c r="B31" s="1097" t="s">
        <v>406</v>
      </c>
      <c r="C31" s="443"/>
      <c r="D31" s="606"/>
      <c r="E31" s="606"/>
      <c r="F31" s="606"/>
      <c r="G31" s="1064"/>
      <c r="H31" s="443"/>
      <c r="I31" s="471"/>
      <c r="J31" s="471"/>
      <c r="K31" s="471"/>
      <c r="L31" s="1065"/>
      <c r="M31" s="443"/>
      <c r="N31" s="471"/>
      <c r="O31" s="471"/>
      <c r="P31" s="471"/>
      <c r="Q31" s="1065"/>
      <c r="R31" s="443"/>
      <c r="S31" s="471"/>
      <c r="T31" s="471"/>
      <c r="U31" s="471"/>
      <c r="V31" s="1065"/>
      <c r="W31" s="443"/>
      <c r="X31" s="471"/>
      <c r="Y31" s="471"/>
      <c r="Z31" s="471"/>
      <c r="AA31" s="1065"/>
      <c r="AB31" s="443"/>
      <c r="AC31" s="471"/>
      <c r="AD31" s="471"/>
      <c r="AE31" s="471"/>
      <c r="AF31" s="1065"/>
      <c r="AG31" s="443"/>
      <c r="AH31" s="471"/>
      <c r="AI31" s="471"/>
      <c r="AJ31" s="471"/>
      <c r="AK31" s="1065"/>
      <c r="AL31" s="443"/>
      <c r="AM31" s="471"/>
      <c r="AN31" s="471"/>
      <c r="AO31" s="471"/>
      <c r="AP31" s="1065"/>
      <c r="AQ31" s="443"/>
      <c r="AR31" s="471"/>
      <c r="AS31" s="471"/>
      <c r="AT31" s="471"/>
      <c r="AU31" s="1065"/>
      <c r="AV31" s="443"/>
      <c r="AW31" s="471"/>
      <c r="AX31" s="471"/>
      <c r="AY31" s="471"/>
      <c r="AZ31" s="1065"/>
      <c r="BA31" s="443"/>
      <c r="BB31" s="471"/>
      <c r="BC31" s="471"/>
      <c r="BD31" s="471"/>
      <c r="BE31" s="1065"/>
      <c r="BF31" s="443"/>
      <c r="BG31" s="471"/>
      <c r="BH31" s="471"/>
      <c r="BI31" s="471"/>
      <c r="BJ31" s="1065"/>
      <c r="BK31" s="443"/>
      <c r="BL31" s="471"/>
      <c r="BM31" s="471"/>
      <c r="BN31" s="471"/>
      <c r="BO31" s="1065"/>
      <c r="BP31" s="443"/>
      <c r="BQ31" s="471"/>
      <c r="BR31" s="471"/>
      <c r="BS31" s="471"/>
      <c r="BT31" s="1065"/>
      <c r="BU31" s="443"/>
      <c r="BV31" s="471"/>
      <c r="BW31" s="471"/>
      <c r="BX31" s="471"/>
      <c r="BY31" s="1065"/>
      <c r="BZ31" s="443"/>
      <c r="CA31" s="471"/>
      <c r="CB31" s="471"/>
      <c r="CC31" s="471"/>
      <c r="CD31" s="1065"/>
      <c r="CE31" s="443"/>
      <c r="CF31" s="471"/>
      <c r="CG31" s="471"/>
      <c r="CH31" s="471"/>
      <c r="CI31" s="1065"/>
      <c r="CJ31" s="443"/>
      <c r="CK31" s="471"/>
      <c r="CL31" s="471"/>
      <c r="CM31" s="471"/>
      <c r="CN31" s="1065"/>
      <c r="CO31" s="443"/>
      <c r="CP31" s="471"/>
      <c r="CQ31" s="471"/>
      <c r="CR31" s="471"/>
      <c r="CS31" s="1065"/>
      <c r="CT31" s="443"/>
      <c r="CU31" s="471"/>
      <c r="CV31" s="471"/>
      <c r="CW31" s="471"/>
      <c r="CX31" s="1065"/>
      <c r="CY31" s="825">
        <f>IC!CY50</f>
      </c>
      <c r="CZ31" s="826">
        <f>IC!CZ50</f>
      </c>
      <c r="DA31" s="826">
        <f>IC!DA50</f>
      </c>
      <c r="DB31" s="826">
        <f>IC!DB50</f>
      </c>
      <c r="DC31" s="1067">
        <f>IC!DC50</f>
      </c>
      <c r="DD31" s="825">
        <f>IC!DD50</f>
      </c>
      <c r="DE31" s="826">
        <f>IC!DE50</f>
      </c>
      <c r="DF31" s="826">
        <f>IC!DF50</f>
      </c>
      <c r="DG31" s="826">
        <f>IC!DG50</f>
      </c>
      <c r="DH31" s="1067">
        <f>IC!DH50</f>
      </c>
      <c r="DI31" s="825">
        <f>IC!DI50</f>
      </c>
      <c r="DJ31" s="826">
        <f>IC!DJ50</f>
      </c>
      <c r="DK31" s="826">
        <f>IC!DK50</f>
      </c>
      <c r="DL31" s="826">
        <f>IC!DL50</f>
      </c>
      <c r="DM31" s="1067">
        <f>IC!DM50</f>
      </c>
      <c r="DN31" s="825">
        <f>IC!DN50</f>
      </c>
      <c r="DO31" s="826">
        <f>IC!DO50</f>
      </c>
      <c r="DP31" s="826">
        <f>IC!DP50</f>
      </c>
      <c r="DQ31" s="826">
        <f>IC!DQ50</f>
      </c>
      <c r="DR31" s="1067">
        <f>IC!DR50</f>
      </c>
      <c r="DS31" s="825">
        <f>IC!DS50</f>
      </c>
      <c r="DT31" s="826">
        <f>IC!DT50</f>
      </c>
      <c r="DU31" s="826">
        <f>IC!DU50</f>
      </c>
      <c r="DV31" s="826">
        <f>IC!DV50</f>
      </c>
      <c r="DW31" s="1067">
        <f>IC!DW50</f>
      </c>
      <c r="DX31" s="825">
        <f>IC!DX50</f>
      </c>
      <c r="DY31" s="826">
        <f>IC!DY50</f>
      </c>
      <c r="DZ31" s="826">
        <f>IC!DZ50</f>
      </c>
      <c r="EA31" s="826">
        <f>IC!EA50</f>
      </c>
      <c r="EB31" s="1067">
        <f>IC!EB50</f>
      </c>
      <c r="EC31" s="825">
        <f>IC!EC50</f>
      </c>
      <c r="ED31" s="826">
        <f>IC!ED50</f>
      </c>
      <c r="EE31" s="826">
        <f>IC!EE50</f>
      </c>
      <c r="EF31" s="826">
        <f>IC!EF50</f>
      </c>
      <c r="EG31" s="1067">
        <f>IC!EG50</f>
      </c>
      <c r="EH31" s="825">
        <f>IC!EH50</f>
      </c>
      <c r="EI31" s="826">
        <f>IC!EI50</f>
      </c>
      <c r="EJ31" s="826">
        <f>IC!EJ50</f>
      </c>
      <c r="EK31" s="826">
        <f>IC!EK50</f>
      </c>
      <c r="EL31" s="1067">
        <f>IC!EL50</f>
      </c>
      <c r="EM31" s="825">
        <f>IC!EM50</f>
      </c>
      <c r="EN31" s="826">
        <f>IC!EN50</f>
      </c>
      <c r="EO31" s="826">
        <f>IC!EO50</f>
      </c>
      <c r="EP31" s="826">
        <f>IC!EP50</f>
      </c>
      <c r="EQ31" s="1067">
        <f>IC!EQ50</f>
      </c>
      <c r="ER31" s="825">
        <f>IC!ER50</f>
      </c>
      <c r="ES31" s="826">
        <f>IC!ES50</f>
      </c>
      <c r="ET31" s="826">
        <f>IC!ET50</f>
      </c>
      <c r="EU31" s="826">
        <f>IC!EU50</f>
      </c>
      <c r="EV31" s="1065"/>
      <c r="EW31" s="825">
        <f>IC!EW10</f>
      </c>
      <c r="EX31" s="826">
        <f>IC!EX10</f>
      </c>
      <c r="EY31" s="826">
        <f>IC!EY10</f>
      </c>
      <c r="EZ31" s="825">
        <f>IC!EZ10</f>
      </c>
      <c r="FA31" s="1065"/>
      <c r="FB31" s="825"/>
      <c r="FC31" s="826"/>
      <c r="FD31" s="826"/>
      <c r="FE31" s="826"/>
      <c r="FF31" s="1065"/>
      <c r="FG31" s="443"/>
      <c r="FH31" s="471"/>
      <c r="FI31" s="471"/>
      <c r="FJ31" s="471"/>
      <c r="FK31" s="1065"/>
      <c r="FL31" s="443"/>
      <c r="FM31" s="471"/>
      <c r="FN31" s="471"/>
      <c r="FO31" s="471"/>
      <c r="FP31" s="1065"/>
      <c r="FQ31" s="443"/>
      <c r="FR31" s="471"/>
      <c r="FS31" s="471"/>
      <c r="FT31" s="471"/>
      <c r="FU31" s="1065"/>
      <c r="FV31" s="443"/>
      <c r="FW31" s="471"/>
      <c r="FX31" s="471"/>
      <c r="FY31" s="471"/>
      <c r="FZ31" s="1065"/>
      <c r="GA31" s="443"/>
      <c r="GB31" s="471"/>
      <c r="GC31" s="471"/>
      <c r="GD31" s="471"/>
      <c r="GE31" s="1098"/>
    </row>
    <row r="32" spans="1:187" s="537" customFormat="1" ht="12.75" customHeight="1">
      <c r="A32" s="850"/>
      <c r="B32" s="1078" t="s">
        <v>402</v>
      </c>
      <c r="C32" s="291"/>
      <c r="D32" s="137"/>
      <c r="E32" s="137"/>
      <c r="F32" s="137"/>
      <c r="G32" s="538"/>
      <c r="H32" s="291"/>
      <c r="I32" s="107"/>
      <c r="J32" s="107"/>
      <c r="K32" s="107"/>
      <c r="L32" s="293"/>
      <c r="M32" s="291"/>
      <c r="N32" s="107"/>
      <c r="O32" s="107"/>
      <c r="P32" s="107"/>
      <c r="Q32" s="293"/>
      <c r="R32" s="291"/>
      <c r="S32" s="107"/>
      <c r="T32" s="107"/>
      <c r="U32" s="107"/>
      <c r="V32" s="293"/>
      <c r="W32" s="291"/>
      <c r="X32" s="107"/>
      <c r="Y32" s="107"/>
      <c r="Z32" s="107"/>
      <c r="AA32" s="293"/>
      <c r="AB32" s="291"/>
      <c r="AC32" s="107"/>
      <c r="AD32" s="107"/>
      <c r="AE32" s="107"/>
      <c r="AF32" s="293"/>
      <c r="AG32" s="291"/>
      <c r="AH32" s="107"/>
      <c r="AI32" s="107"/>
      <c r="AJ32" s="107"/>
      <c r="AK32" s="293"/>
      <c r="AL32" s="291"/>
      <c r="AM32" s="107"/>
      <c r="AN32" s="107"/>
      <c r="AO32" s="107"/>
      <c r="AP32" s="293"/>
      <c r="AQ32" s="291"/>
      <c r="AR32" s="107"/>
      <c r="AS32" s="107"/>
      <c r="AT32" s="107"/>
      <c r="AU32" s="293"/>
      <c r="AV32" s="291"/>
      <c r="AW32" s="107"/>
      <c r="AX32" s="107"/>
      <c r="AY32" s="107"/>
      <c r="AZ32" s="293"/>
      <c r="BA32" s="291"/>
      <c r="BB32" s="107"/>
      <c r="BC32" s="107"/>
      <c r="BD32" s="107"/>
      <c r="BE32" s="293"/>
      <c r="BF32" s="291"/>
      <c r="BG32" s="107"/>
      <c r="BH32" s="107"/>
      <c r="BI32" s="107"/>
      <c r="BJ32" s="293"/>
      <c r="BK32" s="291"/>
      <c r="BL32" s="107"/>
      <c r="BM32" s="107"/>
      <c r="BN32" s="107"/>
      <c r="BO32" s="293"/>
      <c r="BP32" s="291"/>
      <c r="BQ32" s="107"/>
      <c r="BR32" s="107"/>
      <c r="BS32" s="107"/>
      <c r="BT32" s="293"/>
      <c r="BU32" s="291"/>
      <c r="BV32" s="107"/>
      <c r="BW32" s="107"/>
      <c r="BX32" s="107"/>
      <c r="BY32" s="293"/>
      <c r="BZ32" s="291"/>
      <c r="CA32" s="107"/>
      <c r="CB32" s="107"/>
      <c r="CC32" s="107"/>
      <c r="CD32" s="293"/>
      <c r="CE32" s="291"/>
      <c r="CF32" s="107"/>
      <c r="CG32" s="107"/>
      <c r="CH32" s="107"/>
      <c r="CI32" s="293"/>
      <c r="CJ32" s="291"/>
      <c r="CK32" s="107"/>
      <c r="CL32" s="107"/>
      <c r="CM32" s="107"/>
      <c r="CN32" s="293"/>
      <c r="CO32" s="291"/>
      <c r="CP32" s="107"/>
      <c r="CQ32" s="107"/>
      <c r="CR32" s="107"/>
      <c r="CS32" s="293"/>
      <c r="CT32" s="291"/>
      <c r="CU32" s="107"/>
      <c r="CV32" s="107"/>
      <c r="CW32" s="107"/>
      <c r="CX32" s="293"/>
      <c r="CY32" s="291"/>
      <c r="CZ32" s="107"/>
      <c r="DA32" s="107"/>
      <c r="DB32" s="107"/>
      <c r="DC32" s="293"/>
      <c r="DD32" s="291"/>
      <c r="DE32" s="107"/>
      <c r="DF32" s="107"/>
      <c r="DG32" s="107"/>
      <c r="DH32" s="293"/>
      <c r="DI32" s="291"/>
      <c r="DJ32" s="107"/>
      <c r="DK32" s="107"/>
      <c r="DL32" s="107"/>
      <c r="DM32" s="293"/>
      <c r="DN32" s="291"/>
      <c r="DO32" s="107"/>
      <c r="DP32" s="107"/>
      <c r="DQ32" s="107"/>
      <c r="DR32" s="293"/>
      <c r="DS32" s="291"/>
      <c r="DT32" s="107"/>
      <c r="DU32" s="107"/>
      <c r="DV32" s="107"/>
      <c r="DW32" s="293"/>
      <c r="DX32" s="291">
        <f>DX31/DX29-1</f>
      </c>
      <c r="DY32" s="291">
        <f>DY31/DY29-1</f>
      </c>
      <c r="DZ32" s="291">
        <f>DZ31/DZ29-1</f>
      </c>
      <c r="EA32" s="291">
        <f>EA31/EA29-1</f>
      </c>
      <c r="EB32" s="293"/>
      <c r="EC32" s="291">
        <f>EC31/EC29-1</f>
      </c>
      <c r="ED32" s="291">
        <f>ED31/ED29-1</f>
      </c>
      <c r="EE32" s="291">
        <f>EE31/EE29-1</f>
      </c>
      <c r="EF32" s="291">
        <f>EF31/EF29-1</f>
      </c>
      <c r="EG32" s="293"/>
      <c r="EH32" s="291">
        <f>EH31/EH29-1</f>
      </c>
      <c r="EI32" s="291">
        <f>EI31/EI29-1</f>
      </c>
      <c r="EJ32" s="291">
        <f>EJ31/EJ29-1</f>
      </c>
      <c r="EK32" s="291">
        <f>EK31/EK29-1</f>
      </c>
      <c r="EL32" s="293"/>
      <c r="EM32" s="291">
        <f>EM31/EM29-1</f>
      </c>
      <c r="EN32" s="291">
        <f>EN31/EN29-1</f>
      </c>
      <c r="EO32" s="291">
        <f>EO31/EO29-1</f>
      </c>
      <c r="EP32" s="291">
        <f>EP31/EP29-1</f>
      </c>
      <c r="EQ32" s="293"/>
      <c r="ER32" s="291">
        <f>ER31/ER29-1</f>
      </c>
      <c r="ES32" s="291">
        <f>ES31/ES29-1</f>
      </c>
      <c r="ET32" s="291">
        <f>ET31/ET29-1</f>
      </c>
      <c r="EU32" s="291">
        <f>EU31/EU29-1</f>
      </c>
      <c r="EV32" s="293"/>
      <c r="EW32" s="291">
        <f>EW31/EW29-1</f>
      </c>
      <c r="EX32" s="291">
        <f>EX31/EX29-1</f>
      </c>
      <c r="EY32" s="291">
        <f>EY31/EY29-1</f>
      </c>
      <c r="EZ32" s="291">
        <f>EZ31/EZ29-1</f>
      </c>
      <c r="FA32" s="293"/>
      <c r="FB32" s="291"/>
      <c r="FC32" s="291"/>
      <c r="FD32" s="291"/>
      <c r="FE32" s="291"/>
      <c r="FF32" s="293"/>
      <c r="FG32" s="291"/>
      <c r="FH32" s="107"/>
      <c r="FI32" s="107"/>
      <c r="FJ32" s="107"/>
      <c r="FK32" s="293"/>
      <c r="FL32" s="291"/>
      <c r="FM32" s="107"/>
      <c r="FN32" s="107"/>
      <c r="FO32" s="107"/>
      <c r="FP32" s="293"/>
      <c r="FQ32" s="291"/>
      <c r="FR32" s="107"/>
      <c r="FS32" s="107"/>
      <c r="FT32" s="107"/>
      <c r="FU32" s="293"/>
      <c r="FV32" s="291"/>
      <c r="FW32" s="107"/>
      <c r="FX32" s="107"/>
      <c r="FY32" s="107"/>
      <c r="FZ32" s="293"/>
      <c r="GA32" s="291"/>
      <c r="GB32" s="107"/>
      <c r="GC32" s="107"/>
      <c r="GD32" s="107"/>
      <c r="GE32" s="382"/>
    </row>
    <row r="33" spans="1:187" s="537" customFormat="1" ht="12.75" customHeight="1">
      <c r="A33" s="850"/>
      <c r="B33" s="1078" t="s">
        <v>403</v>
      </c>
      <c r="C33" s="291"/>
      <c r="D33" s="137"/>
      <c r="E33" s="137"/>
      <c r="F33" s="137"/>
      <c r="G33" s="538"/>
      <c r="H33" s="291"/>
      <c r="I33" s="107"/>
      <c r="J33" s="107"/>
      <c r="K33" s="107"/>
      <c r="L33" s="293"/>
      <c r="M33" s="291"/>
      <c r="N33" s="107"/>
      <c r="O33" s="107"/>
      <c r="P33" s="107"/>
      <c r="Q33" s="293"/>
      <c r="R33" s="291"/>
      <c r="S33" s="107"/>
      <c r="T33" s="107"/>
      <c r="U33" s="107"/>
      <c r="V33" s="293"/>
      <c r="W33" s="291"/>
      <c r="X33" s="107"/>
      <c r="Y33" s="107"/>
      <c r="Z33" s="107"/>
      <c r="AA33" s="293"/>
      <c r="AB33" s="291"/>
      <c r="AC33" s="107"/>
      <c r="AD33" s="107"/>
      <c r="AE33" s="107"/>
      <c r="AF33" s="293"/>
      <c r="AG33" s="291"/>
      <c r="AH33" s="107"/>
      <c r="AI33" s="107"/>
      <c r="AJ33" s="107"/>
      <c r="AK33" s="293"/>
      <c r="AL33" s="291"/>
      <c r="AM33" s="107"/>
      <c r="AN33" s="107"/>
      <c r="AO33" s="107"/>
      <c r="AP33" s="293"/>
      <c r="AQ33" s="291"/>
      <c r="AR33" s="107"/>
      <c r="AS33" s="107"/>
      <c r="AT33" s="107"/>
      <c r="AU33" s="293"/>
      <c r="AV33" s="291"/>
      <c r="AW33" s="107"/>
      <c r="AX33" s="107"/>
      <c r="AY33" s="107"/>
      <c r="AZ33" s="293"/>
      <c r="BA33" s="291"/>
      <c r="BB33" s="107"/>
      <c r="BC33" s="107"/>
      <c r="BD33" s="107"/>
      <c r="BE33" s="293"/>
      <c r="BF33" s="291"/>
      <c r="BG33" s="107"/>
      <c r="BH33" s="107"/>
      <c r="BI33" s="107"/>
      <c r="BJ33" s="293"/>
      <c r="BK33" s="291"/>
      <c r="BL33" s="107"/>
      <c r="BM33" s="107"/>
      <c r="BN33" s="107"/>
      <c r="BO33" s="293"/>
      <c r="BP33" s="291"/>
      <c r="BQ33" s="107"/>
      <c r="BR33" s="107"/>
      <c r="BS33" s="107"/>
      <c r="BT33" s="293"/>
      <c r="BU33" s="291"/>
      <c r="BV33" s="107"/>
      <c r="BW33" s="107"/>
      <c r="BX33" s="107"/>
      <c r="BY33" s="293"/>
      <c r="BZ33" s="291"/>
      <c r="CA33" s="107"/>
      <c r="CB33" s="107"/>
      <c r="CC33" s="107"/>
      <c r="CD33" s="293"/>
      <c r="CE33" s="291"/>
      <c r="CF33" s="107"/>
      <c r="CG33" s="107"/>
      <c r="CH33" s="107"/>
      <c r="CI33" s="293"/>
      <c r="CJ33" s="291"/>
      <c r="CK33" s="107"/>
      <c r="CL33" s="107"/>
      <c r="CM33" s="107"/>
      <c r="CN33" s="293"/>
      <c r="CO33" s="291"/>
      <c r="CP33" s="107"/>
      <c r="CQ33" s="107"/>
      <c r="CR33" s="107"/>
      <c r="CS33" s="293"/>
      <c r="CT33" s="291"/>
      <c r="CU33" s="107"/>
      <c r="CV33" s="107"/>
      <c r="CW33" s="107"/>
      <c r="CX33" s="293"/>
      <c r="CY33" s="291"/>
      <c r="CZ33" s="107"/>
      <c r="DA33" s="107"/>
      <c r="DB33" s="107"/>
      <c r="DC33" s="293"/>
      <c r="DD33" s="291"/>
      <c r="DE33" s="107"/>
      <c r="DF33" s="107"/>
      <c r="DG33" s="107"/>
      <c r="DH33" s="293"/>
      <c r="DI33" s="291"/>
      <c r="DJ33" s="107"/>
      <c r="DK33" s="107"/>
      <c r="DL33" s="107"/>
      <c r="DM33" s="293"/>
      <c r="DN33" s="291"/>
      <c r="DO33" s="107"/>
      <c r="DP33" s="107"/>
      <c r="DQ33" s="107"/>
      <c r="DR33" s="293"/>
      <c r="DS33" s="291"/>
      <c r="DT33" s="107"/>
      <c r="DU33" s="107"/>
      <c r="DV33" s="107"/>
      <c r="DW33" s="293"/>
      <c r="DX33" s="470">
        <f>DX31-DX29</f>
      </c>
      <c r="DY33" s="470">
        <f>DY31-DY29</f>
      </c>
      <c r="DZ33" s="470">
        <f>DZ31-DZ29</f>
      </c>
      <c r="EA33" s="470">
        <f>EA31-EA29</f>
      </c>
      <c r="EB33" s="293"/>
      <c r="EC33" s="470">
        <f>EC31-EC29</f>
      </c>
      <c r="ED33" s="470">
        <f>ED31-ED29</f>
      </c>
      <c r="EE33" s="470">
        <f>EE31-EE29</f>
      </c>
      <c r="EF33" s="470">
        <f>EF31-EF29</f>
      </c>
      <c r="EG33" s="293"/>
      <c r="EH33" s="470">
        <f>EH31-EH29</f>
      </c>
      <c r="EI33" s="470">
        <f>EI31-EI29</f>
      </c>
      <c r="EJ33" s="470">
        <f>EJ31-EJ29</f>
      </c>
      <c r="EK33" s="470">
        <f>EK31-EK29</f>
      </c>
      <c r="EL33" s="293"/>
      <c r="EM33" s="470">
        <f>EM31-EM29</f>
      </c>
      <c r="EN33" s="470">
        <f>EN31-EN29</f>
      </c>
      <c r="EO33" s="470">
        <f>EO31-EO29</f>
      </c>
      <c r="EP33" s="470">
        <f>EP31-EP29</f>
      </c>
      <c r="EQ33" s="293"/>
      <c r="ER33" s="470">
        <f>ER31-ER29</f>
      </c>
      <c r="ES33" s="470">
        <f>ES31-ES29</f>
      </c>
      <c r="ET33" s="470">
        <f>ET31-ET29</f>
      </c>
      <c r="EU33" s="470">
        <f>EU31-EU29</f>
      </c>
      <c r="EV33" s="293"/>
      <c r="EW33" s="470">
        <f>EW31-EW29</f>
      </c>
      <c r="EX33" s="470">
        <f>EX31-EX29</f>
      </c>
      <c r="EY33" s="470">
        <f>EY31-EY29</f>
      </c>
      <c r="EZ33" s="470">
        <f>EZ31-EZ29</f>
      </c>
      <c r="FA33" s="293"/>
      <c r="FB33" s="470"/>
      <c r="FC33" s="470"/>
      <c r="FD33" s="470"/>
      <c r="FE33" s="470"/>
      <c r="FF33" s="293"/>
      <c r="FG33" s="291"/>
      <c r="FH33" s="107"/>
      <c r="FI33" s="107"/>
      <c r="FJ33" s="107"/>
      <c r="FK33" s="293"/>
      <c r="FL33" s="291"/>
      <c r="FM33" s="107"/>
      <c r="FN33" s="107"/>
      <c r="FO33" s="107"/>
      <c r="FP33" s="293"/>
      <c r="FQ33" s="291"/>
      <c r="FR33" s="107"/>
      <c r="FS33" s="107"/>
      <c r="FT33" s="107"/>
      <c r="FU33" s="293"/>
      <c r="FV33" s="291"/>
      <c r="FW33" s="107"/>
      <c r="FX33" s="107"/>
      <c r="FY33" s="107"/>
      <c r="FZ33" s="293"/>
      <c r="GA33" s="291"/>
      <c r="GB33" s="107"/>
      <c r="GC33" s="107"/>
      <c r="GD33" s="107"/>
      <c r="GE33" s="382"/>
    </row>
    <row r="34" spans="1:187" s="537" customFormat="1" ht="12.75" customHeight="1">
      <c r="A34" s="850"/>
      <c r="B34" s="1078"/>
      <c r="C34" s="291"/>
      <c r="D34" s="137"/>
      <c r="E34" s="137"/>
      <c r="F34" s="137"/>
      <c r="G34" s="538"/>
      <c r="H34" s="291"/>
      <c r="I34" s="107"/>
      <c r="J34" s="107"/>
      <c r="K34" s="107"/>
      <c r="L34" s="293"/>
      <c r="M34" s="291"/>
      <c r="N34" s="107"/>
      <c r="O34" s="107"/>
      <c r="P34" s="107"/>
      <c r="Q34" s="293"/>
      <c r="R34" s="291"/>
      <c r="S34" s="107"/>
      <c r="T34" s="107"/>
      <c r="U34" s="107"/>
      <c r="V34" s="293"/>
      <c r="W34" s="291"/>
      <c r="X34" s="107"/>
      <c r="Y34" s="107"/>
      <c r="Z34" s="107"/>
      <c r="AA34" s="293"/>
      <c r="AB34" s="291"/>
      <c r="AC34" s="107"/>
      <c r="AD34" s="107"/>
      <c r="AE34" s="107"/>
      <c r="AF34" s="293"/>
      <c r="AG34" s="291"/>
      <c r="AH34" s="107"/>
      <c r="AI34" s="107"/>
      <c r="AJ34" s="107"/>
      <c r="AK34" s="293"/>
      <c r="AL34" s="291"/>
      <c r="AM34" s="107"/>
      <c r="AN34" s="107"/>
      <c r="AO34" s="107"/>
      <c r="AP34" s="293"/>
      <c r="AQ34" s="291"/>
      <c r="AR34" s="107"/>
      <c r="AS34" s="107"/>
      <c r="AT34" s="107"/>
      <c r="AU34" s="293"/>
      <c r="AV34" s="291"/>
      <c r="AW34" s="107"/>
      <c r="AX34" s="107"/>
      <c r="AY34" s="107"/>
      <c r="AZ34" s="293"/>
      <c r="BA34" s="291"/>
      <c r="BB34" s="107"/>
      <c r="BC34" s="107"/>
      <c r="BD34" s="107"/>
      <c r="BE34" s="293"/>
      <c r="BF34" s="291"/>
      <c r="BG34" s="107"/>
      <c r="BH34" s="107"/>
      <c r="BI34" s="107"/>
      <c r="BJ34" s="293"/>
      <c r="BK34" s="291"/>
      <c r="BL34" s="107"/>
      <c r="BM34" s="107"/>
      <c r="BN34" s="107"/>
      <c r="BO34" s="293"/>
      <c r="BP34" s="291"/>
      <c r="BQ34" s="107"/>
      <c r="BR34" s="107"/>
      <c r="BS34" s="107"/>
      <c r="BT34" s="293"/>
      <c r="BU34" s="291"/>
      <c r="BV34" s="107"/>
      <c r="BW34" s="107"/>
      <c r="BX34" s="107"/>
      <c r="BY34" s="293"/>
      <c r="BZ34" s="291"/>
      <c r="CA34" s="107"/>
      <c r="CB34" s="107"/>
      <c r="CC34" s="107"/>
      <c r="CD34" s="293"/>
      <c r="CE34" s="291"/>
      <c r="CF34" s="107"/>
      <c r="CG34" s="107"/>
      <c r="CH34" s="107"/>
      <c r="CI34" s="293"/>
      <c r="CJ34" s="291"/>
      <c r="CK34" s="107"/>
      <c r="CL34" s="107"/>
      <c r="CM34" s="107"/>
      <c r="CN34" s="293"/>
      <c r="CO34" s="291"/>
      <c r="CP34" s="107"/>
      <c r="CQ34" s="107"/>
      <c r="CR34" s="107"/>
      <c r="CS34" s="293"/>
      <c r="CT34" s="291"/>
      <c r="CU34" s="107"/>
      <c r="CV34" s="107"/>
      <c r="CW34" s="107"/>
      <c r="CX34" s="293"/>
      <c r="CY34" s="291"/>
      <c r="CZ34" s="107"/>
      <c r="DA34" s="107"/>
      <c r="DB34" s="107"/>
      <c r="DC34" s="293"/>
      <c r="DD34" s="291"/>
      <c r="DE34" s="107"/>
      <c r="DF34" s="107"/>
      <c r="DG34" s="107"/>
      <c r="DH34" s="293"/>
      <c r="DI34" s="291"/>
      <c r="DJ34" s="107"/>
      <c r="DK34" s="107"/>
      <c r="DL34" s="107"/>
      <c r="DM34" s="293"/>
      <c r="DN34" s="291"/>
      <c r="DO34" s="107"/>
      <c r="DP34" s="107"/>
      <c r="DQ34" s="107"/>
      <c r="DR34" s="293"/>
      <c r="DS34" s="291"/>
      <c r="DT34" s="107"/>
      <c r="DU34" s="107"/>
      <c r="DV34" s="107"/>
      <c r="DW34" s="293"/>
      <c r="DX34" s="291"/>
      <c r="DY34" s="107"/>
      <c r="DZ34" s="107"/>
      <c r="EA34" s="107"/>
      <c r="EB34" s="293"/>
      <c r="EC34" s="291"/>
      <c r="ED34" s="107"/>
      <c r="EE34" s="107"/>
      <c r="EF34" s="107"/>
      <c r="EG34" s="293"/>
      <c r="EH34" s="291"/>
      <c r="EI34" s="107"/>
      <c r="EJ34" s="107"/>
      <c r="EK34" s="107"/>
      <c r="EL34" s="293"/>
      <c r="EM34" s="291"/>
      <c r="EN34" s="107"/>
      <c r="EO34" s="107"/>
      <c r="EP34" s="107"/>
      <c r="EQ34" s="293"/>
      <c r="ER34" s="291"/>
      <c r="ES34" s="107"/>
      <c r="ET34" s="107"/>
      <c r="EU34" s="107"/>
      <c r="EV34" s="293"/>
      <c r="EW34" s="291"/>
      <c r="EX34" s="107"/>
      <c r="EY34" s="107"/>
      <c r="EZ34" s="107"/>
      <c r="FA34" s="293"/>
      <c r="FB34" s="291"/>
      <c r="FC34" s="107"/>
      <c r="FD34" s="107"/>
      <c r="FE34" s="107"/>
      <c r="FF34" s="293"/>
      <c r="FG34" s="291"/>
      <c r="FH34" s="107"/>
      <c r="FI34" s="107"/>
      <c r="FJ34" s="107"/>
      <c r="FK34" s="293"/>
      <c r="FL34" s="291"/>
      <c r="FM34" s="107"/>
      <c r="FN34" s="107"/>
      <c r="FO34" s="107"/>
      <c r="FP34" s="293"/>
      <c r="FQ34" s="291"/>
      <c r="FR34" s="107"/>
      <c r="FS34" s="107"/>
      <c r="FT34" s="107"/>
      <c r="FU34" s="293"/>
      <c r="FV34" s="291"/>
      <c r="FW34" s="107"/>
      <c r="FX34" s="107"/>
      <c r="FY34" s="107"/>
      <c r="FZ34" s="293"/>
      <c r="GA34" s="291"/>
      <c r="GB34" s="107"/>
      <c r="GC34" s="107"/>
      <c r="GD34" s="107"/>
      <c r="GE34" s="382"/>
    </row>
    <row r="35" spans="1:187" s="537" customFormat="1" ht="12.75" customHeight="1">
      <c r="A35" s="850"/>
      <c r="B35" s="1078" t="s">
        <v>409</v>
      </c>
      <c r="C35" s="412"/>
      <c r="D35" s="758"/>
      <c r="E35" s="758"/>
      <c r="F35" s="758"/>
      <c r="G35" s="1113"/>
      <c r="H35" s="412"/>
      <c r="I35" s="114"/>
      <c r="J35" s="114"/>
      <c r="K35" s="114"/>
      <c r="L35" s="414"/>
      <c r="M35" s="412"/>
      <c r="N35" s="114"/>
      <c r="O35" s="114"/>
      <c r="P35" s="114"/>
      <c r="Q35" s="414"/>
      <c r="R35" s="412"/>
      <c r="S35" s="114"/>
      <c r="T35" s="114"/>
      <c r="U35" s="114"/>
      <c r="V35" s="414"/>
      <c r="W35" s="412"/>
      <c r="X35" s="114"/>
      <c r="Y35" s="114"/>
      <c r="Z35" s="114"/>
      <c r="AA35" s="414"/>
      <c r="AB35" s="412"/>
      <c r="AC35" s="114"/>
      <c r="AD35" s="114"/>
      <c r="AE35" s="114"/>
      <c r="AF35" s="414"/>
      <c r="AG35" s="412"/>
      <c r="AH35" s="114"/>
      <c r="AI35" s="114"/>
      <c r="AJ35" s="114"/>
      <c r="AK35" s="414"/>
      <c r="AL35" s="412"/>
      <c r="AM35" s="114"/>
      <c r="AN35" s="114"/>
      <c r="AO35" s="114"/>
      <c r="AP35" s="414"/>
      <c r="AQ35" s="412"/>
      <c r="AR35" s="114"/>
      <c r="AS35" s="114"/>
      <c r="AT35" s="114"/>
      <c r="AU35" s="414"/>
      <c r="AV35" s="412"/>
      <c r="AW35" s="114"/>
      <c r="AX35" s="114"/>
      <c r="AY35" s="114"/>
      <c r="AZ35" s="414"/>
      <c r="BA35" s="412"/>
      <c r="BB35" s="114"/>
      <c r="BC35" s="114"/>
      <c r="BD35" s="114"/>
      <c r="BE35" s="414"/>
      <c r="BF35" s="412"/>
      <c r="BG35" s="114"/>
      <c r="BH35" s="114"/>
      <c r="BI35" s="114"/>
      <c r="BJ35" s="414"/>
      <c r="BK35" s="412"/>
      <c r="BL35" s="114"/>
      <c r="BM35" s="114"/>
      <c r="BN35" s="114"/>
      <c r="BO35" s="414"/>
      <c r="BP35" s="412"/>
      <c r="BQ35" s="114"/>
      <c r="BR35" s="114"/>
      <c r="BS35" s="114"/>
      <c r="BT35" s="414"/>
      <c r="BU35" s="412"/>
      <c r="BV35" s="114"/>
      <c r="BW35" s="114"/>
      <c r="BX35" s="114"/>
      <c r="BY35" s="414"/>
      <c r="BZ35" s="412"/>
      <c r="CA35" s="114"/>
      <c r="CB35" s="114"/>
      <c r="CC35" s="114"/>
      <c r="CD35" s="414"/>
      <c r="CE35" s="412"/>
      <c r="CF35" s="114"/>
      <c r="CG35" s="114"/>
      <c r="CH35" s="114"/>
      <c r="CI35" s="414"/>
      <c r="CJ35" s="412"/>
      <c r="CK35" s="114"/>
      <c r="CL35" s="114"/>
      <c r="CM35" s="114"/>
      <c r="CN35" s="414"/>
      <c r="CO35" s="412"/>
      <c r="CP35" s="114"/>
      <c r="CQ35" s="114"/>
      <c r="CR35" s="114"/>
      <c r="CS35" s="414"/>
      <c r="CT35" s="412"/>
      <c r="CU35" s="114"/>
      <c r="CV35" s="114"/>
      <c r="CW35" s="114"/>
      <c r="CX35" s="414"/>
      <c r="CY35" s="412"/>
      <c r="CZ35" s="114"/>
      <c r="DA35" s="114"/>
      <c r="DB35" s="114"/>
      <c r="DC35" s="414"/>
      <c r="DD35" s="412"/>
      <c r="DE35" s="114"/>
      <c r="DF35" s="114"/>
      <c r="DG35" s="114"/>
      <c r="DH35" s="414"/>
      <c r="DI35" s="412"/>
      <c r="DJ35" s="114"/>
      <c r="DK35" s="114"/>
      <c r="DL35" s="114"/>
      <c r="DM35" s="414"/>
      <c r="DN35" s="412"/>
      <c r="DO35" s="114"/>
      <c r="DP35" s="114"/>
      <c r="DQ35" s="114"/>
      <c r="DR35" s="414"/>
      <c r="DS35" s="412"/>
      <c r="DT35" s="114"/>
      <c r="DU35" s="114"/>
      <c r="DV35" s="114"/>
      <c r="DW35" s="414"/>
      <c r="DX35" s="412">
        <v>-0.02</v>
      </c>
      <c r="DY35" s="114">
        <v>-0.02</v>
      </c>
      <c r="DZ35" s="114">
        <v>-0.01</v>
      </c>
      <c r="EA35" s="114">
        <v>-0.02</v>
      </c>
      <c r="EB35" s="414"/>
      <c r="EC35" s="412">
        <v>-0.01</v>
      </c>
      <c r="ED35" s="114">
        <v>0.01</v>
      </c>
      <c r="EE35" s="114">
        <v>0.02</v>
      </c>
      <c r="EF35" s="114">
        <v>0.03</v>
      </c>
      <c r="EG35" s="414"/>
      <c r="EH35" s="412">
        <v>0.02</v>
      </c>
      <c r="EI35" s="114">
        <v>0.01</v>
      </c>
      <c r="EJ35" s="114">
        <v>-0.02</v>
      </c>
      <c r="EK35" s="114">
        <v>-0.02</v>
      </c>
      <c r="EL35" s="414"/>
      <c r="EM35" s="412">
        <v>-0.06</v>
      </c>
      <c r="EN35" s="114">
        <v>-0.06</v>
      </c>
      <c r="EO35" s="114">
        <v>-0.03</v>
      </c>
      <c r="EP35" s="114">
        <v>-0.02</v>
      </c>
      <c r="EQ35" s="414"/>
      <c r="ER35" s="412">
        <v>0.01</v>
      </c>
      <c r="ES35" s="114">
        <v>0.01</v>
      </c>
      <c r="ET35" s="114">
        <v>0</v>
      </c>
      <c r="EU35" s="107"/>
      <c r="EV35" s="293"/>
      <c r="EW35" s="114">
        <v>0</v>
      </c>
      <c r="EX35" s="114"/>
      <c r="EY35" s="114">
        <v>-0.02</v>
      </c>
      <c r="EZ35" s="107"/>
      <c r="FA35" s="293"/>
      <c r="FB35" s="114"/>
      <c r="FC35" s="114"/>
      <c r="FD35" s="114"/>
      <c r="FE35" s="107"/>
      <c r="FF35" s="293"/>
      <c r="FG35" s="291"/>
      <c r="FH35" s="107"/>
      <c r="FI35" s="107"/>
      <c r="FJ35" s="107"/>
      <c r="FK35" s="293"/>
      <c r="FL35" s="291"/>
      <c r="FM35" s="107"/>
      <c r="FN35" s="107"/>
      <c r="FO35" s="107"/>
      <c r="FP35" s="293"/>
      <c r="FQ35" s="291"/>
      <c r="FR35" s="107"/>
      <c r="FS35" s="107"/>
      <c r="FT35" s="107"/>
      <c r="FU35" s="293"/>
      <c r="FV35" s="291"/>
      <c r="FW35" s="107"/>
      <c r="FX35" s="107"/>
      <c r="FY35" s="107"/>
      <c r="FZ35" s="293"/>
      <c r="GA35" s="291"/>
      <c r="GB35" s="107"/>
      <c r="GC35" s="107"/>
      <c r="GD35" s="107"/>
      <c r="GE35" s="382"/>
    </row>
    <row r="36" spans="1:187" s="537" customFormat="1" ht="12.75" customHeight="1">
      <c r="A36" s="850"/>
      <c r="B36" s="1078"/>
      <c r="C36" s="291"/>
      <c r="D36" s="137"/>
      <c r="E36" s="137"/>
      <c r="F36" s="137"/>
      <c r="G36" s="538"/>
      <c r="H36" s="291"/>
      <c r="I36" s="107"/>
      <c r="J36" s="107"/>
      <c r="K36" s="107"/>
      <c r="L36" s="293"/>
      <c r="M36" s="291"/>
      <c r="N36" s="107"/>
      <c r="O36" s="107"/>
      <c r="P36" s="107"/>
      <c r="Q36" s="293"/>
      <c r="R36" s="291"/>
      <c r="S36" s="107"/>
      <c r="T36" s="107"/>
      <c r="U36" s="107"/>
      <c r="V36" s="293"/>
      <c r="W36" s="291"/>
      <c r="X36" s="107"/>
      <c r="Y36" s="107"/>
      <c r="Z36" s="107"/>
      <c r="AA36" s="293"/>
      <c r="AB36" s="291"/>
      <c r="AC36" s="107"/>
      <c r="AD36" s="107"/>
      <c r="AE36" s="107"/>
      <c r="AF36" s="293"/>
      <c r="AG36" s="291"/>
      <c r="AH36" s="107"/>
      <c r="AI36" s="107"/>
      <c r="AJ36" s="107"/>
      <c r="AK36" s="293"/>
      <c r="AL36" s="291"/>
      <c r="AM36" s="107"/>
      <c r="AN36" s="107"/>
      <c r="AO36" s="107"/>
      <c r="AP36" s="293"/>
      <c r="AQ36" s="291"/>
      <c r="AR36" s="107"/>
      <c r="AS36" s="107"/>
      <c r="AT36" s="107"/>
      <c r="AU36" s="293"/>
      <c r="AV36" s="291"/>
      <c r="AW36" s="107"/>
      <c r="AX36" s="107"/>
      <c r="AY36" s="107"/>
      <c r="AZ36" s="293"/>
      <c r="BA36" s="291"/>
      <c r="BB36" s="107"/>
      <c r="BC36" s="107"/>
      <c r="BD36" s="107"/>
      <c r="BE36" s="293"/>
      <c r="BF36" s="291"/>
      <c r="BG36" s="107"/>
      <c r="BH36" s="107"/>
      <c r="BI36" s="107"/>
      <c r="BJ36" s="293"/>
      <c r="BK36" s="291"/>
      <c r="BL36" s="107"/>
      <c r="BM36" s="107"/>
      <c r="BN36" s="107"/>
      <c r="BO36" s="293"/>
      <c r="BP36" s="291"/>
      <c r="BQ36" s="107"/>
      <c r="BR36" s="107"/>
      <c r="BS36" s="107"/>
      <c r="BT36" s="293"/>
      <c r="BU36" s="291"/>
      <c r="BV36" s="107"/>
      <c r="BW36" s="107"/>
      <c r="BX36" s="107"/>
      <c r="BY36" s="293"/>
      <c r="BZ36" s="291"/>
      <c r="CA36" s="107"/>
      <c r="CB36" s="107"/>
      <c r="CC36" s="107"/>
      <c r="CD36" s="293"/>
      <c r="CE36" s="291"/>
      <c r="CF36" s="107"/>
      <c r="CG36" s="107"/>
      <c r="CH36" s="107"/>
      <c r="CI36" s="293"/>
      <c r="CJ36" s="291"/>
      <c r="CK36" s="107"/>
      <c r="CL36" s="107"/>
      <c r="CM36" s="107"/>
      <c r="CN36" s="293"/>
      <c r="CO36" s="291"/>
      <c r="CP36" s="107"/>
      <c r="CQ36" s="107"/>
      <c r="CR36" s="107"/>
      <c r="CS36" s="293"/>
      <c r="CT36" s="291"/>
      <c r="CU36" s="107"/>
      <c r="CV36" s="107"/>
      <c r="CW36" s="107"/>
      <c r="CX36" s="293"/>
      <c r="CY36" s="291"/>
      <c r="CZ36" s="107"/>
      <c r="DA36" s="107"/>
      <c r="DB36" s="107"/>
      <c r="DC36" s="293"/>
      <c r="DD36" s="291"/>
      <c r="DE36" s="107"/>
      <c r="DF36" s="107"/>
      <c r="DG36" s="107"/>
      <c r="DH36" s="293"/>
      <c r="DI36" s="291"/>
      <c r="DJ36" s="107"/>
      <c r="DK36" s="107"/>
      <c r="DL36" s="107"/>
      <c r="DM36" s="293"/>
      <c r="DN36" s="291"/>
      <c r="DO36" s="107"/>
      <c r="DP36" s="107"/>
      <c r="DQ36" s="107"/>
      <c r="DR36" s="293"/>
      <c r="DS36" s="291"/>
      <c r="DT36" s="107"/>
      <c r="DU36" s="107"/>
      <c r="DV36" s="107"/>
      <c r="DW36" s="293"/>
      <c r="DX36" s="291"/>
      <c r="DY36" s="107"/>
      <c r="DZ36" s="107"/>
      <c r="EA36" s="107"/>
      <c r="EB36" s="293"/>
      <c r="EC36" s="291"/>
      <c r="ED36" s="107"/>
      <c r="EE36" s="107"/>
      <c r="EF36" s="107"/>
      <c r="EG36" s="293"/>
      <c r="EH36" s="291"/>
      <c r="EI36" s="107"/>
      <c r="EJ36" s="107"/>
      <c r="EK36" s="107"/>
      <c r="EL36" s="293"/>
      <c r="EM36" s="291"/>
      <c r="EN36" s="107"/>
      <c r="EO36" s="107"/>
      <c r="EP36" s="107"/>
      <c r="EQ36" s="293"/>
      <c r="ER36" s="291"/>
      <c r="ES36" s="107"/>
      <c r="ET36" s="107"/>
      <c r="EU36" s="107"/>
      <c r="EV36" s="293"/>
      <c r="EW36" s="291"/>
      <c r="EX36" s="107"/>
      <c r="EY36" s="107"/>
      <c r="EZ36" s="107"/>
      <c r="FA36" s="293"/>
      <c r="FB36" s="291"/>
      <c r="FC36" s="107"/>
      <c r="FD36" s="107"/>
      <c r="FE36" s="107"/>
      <c r="FF36" s="293"/>
      <c r="FG36" s="291"/>
      <c r="FH36" s="107"/>
      <c r="FI36" s="107"/>
      <c r="FJ36" s="107"/>
      <c r="FK36" s="293"/>
      <c r="FL36" s="291"/>
      <c r="FM36" s="107"/>
      <c r="FN36" s="107"/>
      <c r="FO36" s="107"/>
      <c r="FP36" s="293"/>
      <c r="FQ36" s="291"/>
      <c r="FR36" s="107"/>
      <c r="FS36" s="107"/>
      <c r="FT36" s="107"/>
      <c r="FU36" s="293"/>
      <c r="FV36" s="291"/>
      <c r="FW36" s="107"/>
      <c r="FX36" s="107"/>
      <c r="FY36" s="107"/>
      <c r="FZ36" s="293"/>
      <c r="GA36" s="291"/>
      <c r="GB36" s="107"/>
      <c r="GC36" s="107"/>
      <c r="GD36" s="107"/>
      <c r="GE36" s="382"/>
    </row>
    <row r="37" spans="1:187" s="537" customFormat="1" ht="12.75" customHeight="1">
      <c r="A37" s="850"/>
      <c r="B37" s="1080" t="s">
        <v>407</v>
      </c>
      <c r="C37" s="399"/>
      <c r="D37" s="889"/>
      <c r="E37" s="889"/>
      <c r="F37" s="889"/>
      <c r="G37" s="890"/>
      <c r="H37" s="399"/>
      <c r="I37" s="129"/>
      <c r="J37" s="129"/>
      <c r="K37" s="129"/>
      <c r="L37" s="891"/>
      <c r="M37" s="399"/>
      <c r="N37" s="129"/>
      <c r="O37" s="129"/>
      <c r="P37" s="129"/>
      <c r="Q37" s="891"/>
      <c r="R37" s="399"/>
      <c r="S37" s="129"/>
      <c r="T37" s="129"/>
      <c r="U37" s="129"/>
      <c r="V37" s="891"/>
      <c r="W37" s="399"/>
      <c r="X37" s="129"/>
      <c r="Y37" s="129"/>
      <c r="Z37" s="129"/>
      <c r="AA37" s="891"/>
      <c r="AB37" s="399"/>
      <c r="AC37" s="129"/>
      <c r="AD37" s="129"/>
      <c r="AE37" s="129"/>
      <c r="AF37" s="891"/>
      <c r="AG37" s="399"/>
      <c r="AH37" s="129"/>
      <c r="AI37" s="129"/>
      <c r="AJ37" s="129"/>
      <c r="AK37" s="891"/>
      <c r="AL37" s="399"/>
      <c r="AM37" s="129"/>
      <c r="AN37" s="129"/>
      <c r="AO37" s="129"/>
      <c r="AP37" s="891"/>
      <c r="AQ37" s="399"/>
      <c r="AR37" s="129"/>
      <c r="AS37" s="129"/>
      <c r="AT37" s="129"/>
      <c r="AU37" s="891"/>
      <c r="AV37" s="399"/>
      <c r="AW37" s="129"/>
      <c r="AX37" s="129"/>
      <c r="AY37" s="129"/>
      <c r="AZ37" s="891"/>
      <c r="BA37" s="399"/>
      <c r="BB37" s="129"/>
      <c r="BC37" s="129"/>
      <c r="BD37" s="129"/>
      <c r="BE37" s="891"/>
      <c r="BF37" s="399"/>
      <c r="BG37" s="129"/>
      <c r="BH37" s="129"/>
      <c r="BI37" s="129"/>
      <c r="BJ37" s="891"/>
      <c r="BK37" s="399"/>
      <c r="BL37" s="129"/>
      <c r="BM37" s="129"/>
      <c r="BN37" s="129"/>
      <c r="BO37" s="891"/>
      <c r="BP37" s="399"/>
      <c r="BQ37" s="129"/>
      <c r="BR37" s="129"/>
      <c r="BS37" s="129"/>
      <c r="BT37" s="891"/>
      <c r="BU37" s="399"/>
      <c r="BV37" s="129"/>
      <c r="BW37" s="129"/>
      <c r="BX37" s="129"/>
      <c r="BY37" s="891"/>
      <c r="BZ37" s="399"/>
      <c r="CA37" s="129"/>
      <c r="CB37" s="129"/>
      <c r="CC37" s="129"/>
      <c r="CD37" s="891"/>
      <c r="CE37" s="399"/>
      <c r="CF37" s="129"/>
      <c r="CG37" s="129"/>
      <c r="CH37" s="129"/>
      <c r="CI37" s="891"/>
      <c r="CJ37" s="399"/>
      <c r="CK37" s="129"/>
      <c r="CL37" s="129"/>
      <c r="CM37" s="129"/>
      <c r="CN37" s="891"/>
      <c r="CO37" s="399"/>
      <c r="CP37" s="129"/>
      <c r="CQ37" s="129"/>
      <c r="CR37" s="129"/>
      <c r="CS37" s="891"/>
      <c r="CT37" s="399"/>
      <c r="CU37" s="129"/>
      <c r="CV37" s="129"/>
      <c r="CW37" s="129"/>
      <c r="CX37" s="891"/>
      <c r="CY37" s="399"/>
      <c r="CZ37" s="129"/>
      <c r="DA37" s="129"/>
      <c r="DB37" s="129"/>
      <c r="DC37" s="891"/>
      <c r="DD37" s="1070">
        <f>IC!DD51-IC!DD52</f>
      </c>
      <c r="DE37" s="1073">
        <f>IC!DE51-IC!DE52</f>
      </c>
      <c r="DF37" s="1073">
        <f>IC!DF51-IC!DF52</f>
      </c>
      <c r="DG37" s="1073">
        <f>IC!DG51-IC!DG52</f>
      </c>
      <c r="DH37" s="1074">
        <f>IC!DH51-IC!DH52</f>
      </c>
      <c r="DI37" s="1070">
        <f>IC!DI51-IC!DI52</f>
      </c>
      <c r="DJ37" s="1073">
        <f>IC!DJ51-IC!DJ52</f>
      </c>
      <c r="DK37" s="1073">
        <f>IC!DK51-IC!DK52</f>
      </c>
      <c r="DL37" s="1073">
        <f>IC!DL51-IC!DL52</f>
      </c>
      <c r="DM37" s="1074">
        <f>IC!DM51-IC!DM52</f>
      </c>
      <c r="DN37" s="1070">
        <f>IC!DN51-IC!DN52</f>
      </c>
      <c r="DO37" s="1073">
        <f>IC!DO51-IC!DO52</f>
      </c>
      <c r="DP37" s="1073">
        <f>IC!DP51-IC!DP52</f>
      </c>
      <c r="DQ37" s="1073">
        <f>IC!DQ51-IC!DQ52</f>
      </c>
      <c r="DR37" s="1074">
        <f>IC!DR51-IC!DR52</f>
      </c>
      <c r="DS37" s="1070">
        <f>IC!DS51-IC!DS52</f>
      </c>
      <c r="DT37" s="1073">
        <f>IC!DT51-IC!DT52</f>
      </c>
      <c r="DU37" s="1073">
        <f>IC!DU51-IC!DU52</f>
      </c>
      <c r="DV37" s="1073">
        <f>IC!DV51-IC!DV52</f>
      </c>
      <c r="DW37" s="1074">
        <f>IC!DW51-IC!DW52</f>
      </c>
      <c r="DX37" s="1070">
        <f>IC!DX51-IC!DX52</f>
      </c>
      <c r="DY37" s="1073">
        <f>IC!DY51-IC!DY52</f>
      </c>
      <c r="DZ37" s="1073">
        <f>IC!DZ51-IC!DZ52</f>
      </c>
      <c r="EA37" s="1073">
        <f>IC!EA51-IC!EA52</f>
      </c>
      <c r="EB37" s="1074">
        <f>IC!EB51-IC!EB52</f>
      </c>
      <c r="EC37" s="1070">
        <f>IC!EC51-IC!EC52</f>
      </c>
      <c r="ED37" s="1073">
        <f>IC!ED51-IC!ED52</f>
      </c>
      <c r="EE37" s="1073">
        <f>IC!EE51-IC!EE52</f>
      </c>
      <c r="EF37" s="1073">
        <f>IC!EF51-IC!EF52</f>
      </c>
      <c r="EG37" s="1074">
        <f>IC!EG51-IC!EG52</f>
      </c>
      <c r="EH37" s="1070">
        <f>IC!EH51-IC!EH52</f>
      </c>
      <c r="EI37" s="1073">
        <f>IC!EI51-IC!EI52</f>
      </c>
      <c r="EJ37" s="1073">
        <f>IC!EJ51-IC!EJ52</f>
      </c>
      <c r="EK37" s="1073">
        <f>IC!EK51-IC!EK52</f>
      </c>
      <c r="EL37" s="1074">
        <f>IC!EL51-IC!EL52</f>
      </c>
      <c r="EM37" s="1070">
        <f>IC!EM51-IC!EM52</f>
      </c>
      <c r="EN37" s="1073">
        <f>IC!EN51-IC!EN52</f>
      </c>
      <c r="EO37" s="1073">
        <f>IC!EO51-IC!EO52</f>
      </c>
      <c r="EP37" s="1073">
        <f>IC!EP51-IC!EP52</f>
      </c>
      <c r="EQ37" s="1074">
        <f>IC!EQ51-IC!EQ52</f>
      </c>
      <c r="ER37" s="1070">
        <f>IC!ER51-IC!ER52</f>
      </c>
      <c r="ES37" s="1073">
        <f>IC!ES51-IC!ES52</f>
      </c>
      <c r="ET37" s="1073">
        <f>IC!ET51-IC!ET52</f>
      </c>
      <c r="EU37" s="1073">
        <f>IC!EU51-IC!EU52</f>
      </c>
      <c r="EV37" s="891"/>
      <c r="EW37" s="1070">
        <f>IC!EW11-IC!EW12</f>
      </c>
      <c r="EX37" s="1073">
        <f>IC!EX11-IC!EX12</f>
      </c>
      <c r="EY37" s="1073">
        <f>IC!EY11-IC!EY12</f>
      </c>
      <c r="EZ37" s="1070">
        <f>IC!EZ11-IC!EZ12</f>
      </c>
      <c r="FA37" s="891"/>
      <c r="FB37" s="1070"/>
      <c r="FC37" s="1073"/>
      <c r="FD37" s="1073"/>
      <c r="FE37" s="1073"/>
      <c r="FF37" s="891"/>
      <c r="FG37" s="399"/>
      <c r="FH37" s="129"/>
      <c r="FI37" s="129"/>
      <c r="FJ37" s="129"/>
      <c r="FK37" s="891"/>
      <c r="FL37" s="399"/>
      <c r="FM37" s="129"/>
      <c r="FN37" s="129"/>
      <c r="FO37" s="129"/>
      <c r="FP37" s="891"/>
      <c r="FQ37" s="399"/>
      <c r="FR37" s="129"/>
      <c r="FS37" s="129"/>
      <c r="FT37" s="129"/>
      <c r="FU37" s="891"/>
      <c r="FV37" s="399"/>
      <c r="FW37" s="129"/>
      <c r="FX37" s="129"/>
      <c r="FY37" s="129"/>
      <c r="FZ37" s="891"/>
      <c r="GA37" s="399"/>
      <c r="GB37" s="129"/>
      <c r="GC37" s="129"/>
      <c r="GD37" s="129"/>
      <c r="GE37" s="1081"/>
    </row>
    <row r="38" spans="1:187" s="537" customFormat="1" ht="12.75" customHeight="1">
      <c r="A38" s="850"/>
      <c r="B38" s="1078" t="s">
        <v>405</v>
      </c>
      <c r="C38" s="291"/>
      <c r="D38" s="137"/>
      <c r="E38" s="137"/>
      <c r="F38" s="137"/>
      <c r="G38" s="538"/>
      <c r="H38" s="291"/>
      <c r="I38" s="107"/>
      <c r="J38" s="107"/>
      <c r="K38" s="107"/>
      <c r="L38" s="293"/>
      <c r="M38" s="291"/>
      <c r="N38" s="107"/>
      <c r="O38" s="107"/>
      <c r="P38" s="107"/>
      <c r="Q38" s="293"/>
      <c r="R38" s="291"/>
      <c r="S38" s="107"/>
      <c r="T38" s="107"/>
      <c r="U38" s="107"/>
      <c r="V38" s="293"/>
      <c r="W38" s="291"/>
      <c r="X38" s="107"/>
      <c r="Y38" s="107"/>
      <c r="Z38" s="107"/>
      <c r="AA38" s="293"/>
      <c r="AB38" s="291"/>
      <c r="AC38" s="107"/>
      <c r="AD38" s="107"/>
      <c r="AE38" s="107"/>
      <c r="AF38" s="293"/>
      <c r="AG38" s="291"/>
      <c r="AH38" s="107"/>
      <c r="AI38" s="107"/>
      <c r="AJ38" s="107"/>
      <c r="AK38" s="293"/>
      <c r="AL38" s="291"/>
      <c r="AM38" s="107"/>
      <c r="AN38" s="107"/>
      <c r="AO38" s="107"/>
      <c r="AP38" s="293"/>
      <c r="AQ38" s="291"/>
      <c r="AR38" s="107"/>
      <c r="AS38" s="107"/>
      <c r="AT38" s="107"/>
      <c r="AU38" s="293"/>
      <c r="AV38" s="291"/>
      <c r="AW38" s="107"/>
      <c r="AX38" s="107"/>
      <c r="AY38" s="107"/>
      <c r="AZ38" s="293"/>
      <c r="BA38" s="291"/>
      <c r="BB38" s="107"/>
      <c r="BC38" s="107"/>
      <c r="BD38" s="107"/>
      <c r="BE38" s="293"/>
      <c r="BF38" s="291"/>
      <c r="BG38" s="107"/>
      <c r="BH38" s="107"/>
      <c r="BI38" s="107"/>
      <c r="BJ38" s="293"/>
      <c r="BK38" s="291"/>
      <c r="BL38" s="107"/>
      <c r="BM38" s="107"/>
      <c r="BN38" s="107"/>
      <c r="BO38" s="293"/>
      <c r="BP38" s="291"/>
      <c r="BQ38" s="107"/>
      <c r="BR38" s="107"/>
      <c r="BS38" s="107"/>
      <c r="BT38" s="293"/>
      <c r="BU38" s="291"/>
      <c r="BV38" s="107"/>
      <c r="BW38" s="107"/>
      <c r="BX38" s="107"/>
      <c r="BY38" s="293"/>
      <c r="BZ38" s="291"/>
      <c r="CA38" s="107"/>
      <c r="CB38" s="107"/>
      <c r="CC38" s="107"/>
      <c r="CD38" s="293"/>
      <c r="CE38" s="291"/>
      <c r="CF38" s="107"/>
      <c r="CG38" s="107"/>
      <c r="CH38" s="107"/>
      <c r="CI38" s="293"/>
      <c r="CJ38" s="291"/>
      <c r="CK38" s="107"/>
      <c r="CL38" s="107"/>
      <c r="CM38" s="107"/>
      <c r="CN38" s="293"/>
      <c r="CO38" s="291"/>
      <c r="CP38" s="107"/>
      <c r="CQ38" s="107"/>
      <c r="CR38" s="107"/>
      <c r="CS38" s="293"/>
      <c r="CT38" s="291"/>
      <c r="CU38" s="107"/>
      <c r="CV38" s="107"/>
      <c r="CW38" s="107"/>
      <c r="CX38" s="293"/>
      <c r="CY38" s="291"/>
      <c r="CZ38" s="107"/>
      <c r="DA38" s="107"/>
      <c r="DB38" s="107"/>
      <c r="DC38" s="293"/>
      <c r="DD38" s="291"/>
      <c r="DE38" s="107"/>
      <c r="DF38" s="107"/>
      <c r="DG38" s="107"/>
      <c r="DH38" s="293"/>
      <c r="DI38" s="291"/>
      <c r="DJ38" s="107"/>
      <c r="DK38" s="107"/>
      <c r="DL38" s="107"/>
      <c r="DM38" s="293"/>
      <c r="DN38" s="291"/>
      <c r="DO38" s="107"/>
      <c r="DP38" s="107"/>
      <c r="DQ38" s="107"/>
      <c r="DR38" s="293"/>
      <c r="DS38" s="291"/>
      <c r="DT38" s="107"/>
      <c r="DU38" s="107"/>
      <c r="DV38" s="107"/>
      <c r="DW38" s="293"/>
      <c r="DX38" s="1120">
        <f>(DX37-DX35)*10000</f>
      </c>
      <c r="DY38" s="1120">
        <f>(DY37-DY35)*10000</f>
      </c>
      <c r="DZ38" s="1120">
        <f>(DZ37-DZ35)*10000</f>
      </c>
      <c r="EA38" s="1120">
        <f>(EA37-EA35)*10000</f>
      </c>
      <c r="EB38" s="293"/>
      <c r="EC38" s="1120">
        <f>(EC37-EC35)*10000</f>
      </c>
      <c r="ED38" s="1120">
        <f>(ED37-ED35)*10000</f>
      </c>
      <c r="EE38" s="1120">
        <f>(EE37-EE35)*10000</f>
      </c>
      <c r="EF38" s="1120">
        <f>(EF37-EF35)*10000</f>
      </c>
      <c r="EG38" s="293"/>
      <c r="EH38" s="1120">
        <f>(EH37-EH35)*10000</f>
      </c>
      <c r="EI38" s="1120">
        <f>(EI37-EI35)*10000</f>
      </c>
      <c r="EJ38" s="1120">
        <f>(EJ37-EJ35)*10000</f>
      </c>
      <c r="EK38" s="1120">
        <f>(EK37-EK35)*10000</f>
      </c>
      <c r="EL38" s="293"/>
      <c r="EM38" s="1120">
        <f>(EM37-EM35)*10000</f>
      </c>
      <c r="EN38" s="1120">
        <f>(EN37-EN35)*10000</f>
      </c>
      <c r="EO38" s="1120">
        <f>(EO37-EO35)*10000</f>
      </c>
      <c r="EP38" s="1120">
        <f>(EP37-EP35)*10000</f>
      </c>
      <c r="EQ38" s="293"/>
      <c r="ER38" s="1120">
        <f>(ER37-ER35)*10000</f>
      </c>
      <c r="ES38" s="1120">
        <f>(ES37-ES35)*10000</f>
      </c>
      <c r="ET38" s="1120">
        <f>(ET37-ET35)*10000</f>
      </c>
      <c r="EU38" s="1120">
        <f>(EU37-EU35)*10000</f>
      </c>
      <c r="EV38" s="293"/>
      <c r="EW38" s="1120">
        <f>(EW37-EW35)*10000</f>
      </c>
      <c r="EX38" s="1120">
        <f>(EX37-EX35)*10000</f>
      </c>
      <c r="EY38" s="1120">
        <f>(EY37-EY35)*10000</f>
      </c>
      <c r="EZ38" s="1120">
        <f>(EZ37-EZ35)*10000</f>
      </c>
      <c r="FA38" s="293"/>
      <c r="FB38" s="1120"/>
      <c r="FC38" s="1120"/>
      <c r="FD38" s="1120"/>
      <c r="FE38" s="1120"/>
      <c r="FF38" s="293"/>
      <c r="FG38" s="291"/>
      <c r="FH38" s="107"/>
      <c r="FI38" s="107"/>
      <c r="FJ38" s="107"/>
      <c r="FK38" s="293"/>
      <c r="FL38" s="291"/>
      <c r="FM38" s="107"/>
      <c r="FN38" s="107"/>
      <c r="FO38" s="107"/>
      <c r="FP38" s="293"/>
      <c r="FQ38" s="291"/>
      <c r="FR38" s="107"/>
      <c r="FS38" s="107"/>
      <c r="FT38" s="107"/>
      <c r="FU38" s="293"/>
      <c r="FV38" s="291"/>
      <c r="FW38" s="107"/>
      <c r="FX38" s="107"/>
      <c r="FY38" s="107"/>
      <c r="FZ38" s="293"/>
      <c r="GA38" s="291"/>
      <c r="GB38" s="107"/>
      <c r="GC38" s="107"/>
      <c r="GD38" s="107"/>
      <c r="GE38" s="382"/>
    </row>
    <row r="39" spans="1:187" ht="12.75" customHeight="1">
      <c r="B39" s="786"/>
      <c r="C39" s="98"/>
      <c r="D39" s="98"/>
      <c r="E39" s="98"/>
      <c r="F39" s="98"/>
      <c r="G39" s="99"/>
      <c r="H39" s="98"/>
      <c r="I39" s="98"/>
      <c r="J39" s="98"/>
      <c r="K39" s="98"/>
      <c r="L39" s="99"/>
      <c r="M39" s="98"/>
      <c r="N39" s="98"/>
      <c r="O39" s="98"/>
      <c r="P39" s="98"/>
      <c r="Q39" s="99"/>
      <c r="R39" s="98"/>
      <c r="S39" s="98"/>
      <c r="T39" s="98"/>
      <c r="U39" s="98"/>
      <c r="V39" s="99"/>
      <c r="W39" s="98"/>
      <c r="X39" s="98"/>
      <c r="Y39" s="98"/>
      <c r="Z39" s="98"/>
      <c r="AA39" s="99"/>
      <c r="AB39" s="98"/>
      <c r="AC39" s="98"/>
      <c r="AD39" s="98"/>
      <c r="AE39" s="98"/>
      <c r="AF39" s="99"/>
      <c r="AG39" s="98"/>
      <c r="AH39" s="98"/>
      <c r="AI39" s="98"/>
      <c r="AJ39" s="98"/>
      <c r="AK39" s="99"/>
      <c r="AL39" s="98"/>
      <c r="AM39" s="98"/>
      <c r="AN39" s="98"/>
      <c r="AO39" s="98"/>
      <c r="AP39" s="99"/>
      <c r="AQ39" s="98"/>
      <c r="AR39" s="98"/>
      <c r="AS39" s="98"/>
      <c r="AT39" s="98"/>
      <c r="AU39" s="99"/>
      <c r="AV39" s="98"/>
      <c r="AW39" s="98"/>
      <c r="AX39" s="98"/>
      <c r="AY39" s="98"/>
      <c r="AZ39" s="99"/>
      <c r="BA39" s="98"/>
      <c r="BB39" s="98"/>
      <c r="BC39" s="98"/>
      <c r="BD39" s="98"/>
      <c r="BE39" s="99"/>
      <c r="BF39" s="98"/>
      <c r="BG39" s="98"/>
      <c r="BH39" s="98"/>
      <c r="BI39" s="98"/>
      <c r="BJ39" s="99"/>
      <c r="BK39" s="98"/>
      <c r="BL39" s="98"/>
      <c r="BM39" s="98"/>
      <c r="BN39" s="98"/>
      <c r="BO39" s="99"/>
      <c r="BP39" s="98"/>
      <c r="BQ39" s="98"/>
      <c r="BR39" s="98"/>
      <c r="BS39" s="98"/>
      <c r="BT39" s="99"/>
      <c r="BU39" s="98"/>
      <c r="BV39" s="98"/>
      <c r="BW39" s="98"/>
      <c r="BX39" s="98"/>
      <c r="BY39" s="99"/>
      <c r="BZ39" s="98"/>
      <c r="CA39" s="98"/>
      <c r="CB39" s="98"/>
      <c r="CC39" s="98"/>
      <c r="CD39" s="99"/>
      <c r="CE39" s="98"/>
      <c r="CF39" s="98"/>
      <c r="CG39" s="98"/>
      <c r="CH39" s="98"/>
      <c r="CI39" s="99"/>
      <c r="CJ39" s="98"/>
      <c r="CK39" s="98"/>
      <c r="CL39" s="98"/>
      <c r="CM39" s="98"/>
      <c r="CN39" s="99"/>
      <c r="CO39" s="98"/>
      <c r="CP39" s="98"/>
      <c r="CQ39" s="98"/>
      <c r="CR39" s="98"/>
      <c r="CS39" s="99"/>
      <c r="CT39" s="98"/>
      <c r="CU39" s="98"/>
      <c r="CV39" s="98"/>
      <c r="CW39" s="98"/>
      <c r="CX39" s="99"/>
      <c r="CY39" s="98"/>
      <c r="CZ39" s="98"/>
      <c r="DA39" s="98"/>
      <c r="DB39" s="98"/>
      <c r="DC39" s="99"/>
      <c r="DD39" s="98"/>
      <c r="DE39" s="98"/>
      <c r="DF39" s="98"/>
      <c r="DG39" s="98"/>
      <c r="DH39" s="99"/>
      <c r="DI39" s="98"/>
      <c r="DJ39" s="98"/>
      <c r="DK39" s="98"/>
      <c r="DL39" s="98"/>
      <c r="DM39" s="99"/>
      <c r="DN39" s="98"/>
      <c r="DO39" s="98"/>
      <c r="DP39" s="98"/>
      <c r="DQ39" s="98"/>
      <c r="DR39" s="99"/>
      <c r="DS39" s="98"/>
      <c r="DT39" s="98"/>
      <c r="DU39" s="98"/>
      <c r="DV39" s="98"/>
      <c r="DW39" s="99"/>
      <c r="DX39" s="98"/>
      <c r="DY39" s="98"/>
      <c r="DZ39" s="98"/>
      <c r="EA39" s="98"/>
      <c r="EB39" s="99"/>
      <c r="EC39" s="98"/>
      <c r="ED39" s="98"/>
      <c r="EE39" s="98"/>
      <c r="EF39" s="98"/>
      <c r="EG39" s="99"/>
      <c r="EH39" s="98"/>
      <c r="EI39" s="98"/>
      <c r="EJ39" s="98"/>
      <c r="EK39" s="98"/>
      <c r="EL39" s="99"/>
      <c r="EM39" s="98"/>
      <c r="EN39" s="98"/>
      <c r="EO39" s="98"/>
      <c r="EP39" s="98"/>
      <c r="EQ39" s="99"/>
      <c r="ER39" s="98"/>
      <c r="ES39" s="98"/>
      <c r="ET39" s="98"/>
      <c r="EU39" s="98"/>
      <c r="EV39" s="99"/>
      <c r="EW39" s="98"/>
      <c r="EX39" s="98"/>
      <c r="EY39" s="98"/>
      <c r="EZ39" s="98"/>
      <c r="FA39" s="99"/>
      <c r="FB39" s="98"/>
      <c r="FC39" s="98"/>
      <c r="FD39" s="98"/>
      <c r="FE39" s="98"/>
      <c r="FF39" s="99"/>
      <c r="FG39" s="98"/>
      <c r="FH39" s="98"/>
      <c r="FI39" s="98"/>
      <c r="FJ39" s="98"/>
      <c r="FK39" s="99"/>
      <c r="FL39" s="98"/>
      <c r="FM39" s="98"/>
      <c r="FN39" s="98"/>
      <c r="FO39" s="98"/>
      <c r="FP39" s="99"/>
      <c r="FQ39" s="98"/>
      <c r="FR39" s="98"/>
      <c r="FS39" s="98"/>
      <c r="FT39" s="98"/>
      <c r="FU39" s="99"/>
      <c r="FV39" s="98"/>
      <c r="FW39" s="98"/>
      <c r="FX39" s="98"/>
      <c r="FY39" s="98"/>
      <c r="FZ39" s="99"/>
      <c r="GA39" s="98"/>
      <c r="GB39" s="98"/>
      <c r="GC39" s="98"/>
      <c r="GD39" s="98"/>
      <c r="GE39" s="1085"/>
    </row>
    <row r="40" spans="1:187" s="542" customFormat="1" ht="12.75" customHeight="1">
      <c r="A40" s="850"/>
      <c r="B40" s="1079" t="s">
        <v>190</v>
      </c>
      <c r="C40" s="98"/>
      <c r="D40" s="98"/>
      <c r="E40" s="98"/>
      <c r="F40" s="98"/>
      <c r="G40" s="99"/>
      <c r="H40" s="98"/>
      <c r="I40" s="98"/>
      <c r="J40" s="98"/>
      <c r="K40" s="98"/>
      <c r="L40" s="99"/>
      <c r="M40" s="1084"/>
      <c r="N40" s="1084"/>
      <c r="O40" s="1084"/>
      <c r="P40" s="1084"/>
      <c r="Q40" s="99"/>
      <c r="R40" s="1084"/>
      <c r="S40" s="1084"/>
      <c r="T40" s="1084"/>
      <c r="U40" s="1084"/>
      <c r="V40" s="99"/>
      <c r="W40" s="1084"/>
      <c r="X40" s="1084"/>
      <c r="Y40" s="1084"/>
      <c r="Z40" s="1084"/>
      <c r="AA40" s="99"/>
      <c r="AB40" s="1084"/>
      <c r="AC40" s="1084"/>
      <c r="AD40" s="1084"/>
      <c r="AE40" s="1084"/>
      <c r="AF40" s="99"/>
      <c r="AG40" s="1084"/>
      <c r="AH40" s="1084"/>
      <c r="AI40" s="1084"/>
      <c r="AJ40" s="1084"/>
      <c r="AK40" s="99"/>
      <c r="AL40" s="1084"/>
      <c r="AM40" s="1084"/>
      <c r="AN40" s="1084"/>
      <c r="AO40" s="1084"/>
      <c r="AP40" s="99"/>
      <c r="AQ40" s="1084"/>
      <c r="AR40" s="1084"/>
      <c r="AS40" s="1084"/>
      <c r="AT40" s="1084"/>
      <c r="AU40" s="99"/>
      <c r="AV40" s="1084"/>
      <c r="AW40" s="1084"/>
      <c r="AX40" s="1084"/>
      <c r="AY40" s="1084"/>
      <c r="AZ40" s="99"/>
      <c r="BA40" s="1084"/>
      <c r="BB40" s="1084"/>
      <c r="BC40" s="1084"/>
      <c r="BD40" s="1084"/>
      <c r="BE40" s="99"/>
      <c r="BF40" s="1084"/>
      <c r="BG40" s="1084"/>
      <c r="BH40" s="1084"/>
      <c r="BI40" s="1084"/>
      <c r="BJ40" s="99"/>
      <c r="BK40" s="1084"/>
      <c r="BL40" s="1084"/>
      <c r="BM40" s="1084"/>
      <c r="BN40" s="1084"/>
      <c r="BO40" s="99"/>
      <c r="BP40" s="1084"/>
      <c r="BQ40" s="1084"/>
      <c r="BR40" s="1084"/>
      <c r="BS40" s="1084"/>
      <c r="BT40" s="99"/>
      <c r="BU40" s="1084"/>
      <c r="BV40" s="1084"/>
      <c r="BW40" s="1084"/>
      <c r="BX40" s="1084"/>
      <c r="BY40" s="99"/>
      <c r="BZ40" s="1084"/>
      <c r="CA40" s="1084"/>
      <c r="CB40" s="1084"/>
      <c r="CC40" s="1084"/>
      <c r="CD40" s="99"/>
      <c r="CE40" s="1084"/>
      <c r="CF40" s="1084"/>
      <c r="CG40" s="1084"/>
      <c r="CH40" s="1084"/>
      <c r="CI40" s="99"/>
      <c r="CJ40" s="1084"/>
      <c r="CK40" s="1084"/>
      <c r="CL40" s="1084"/>
      <c r="CM40" s="1084"/>
      <c r="CN40" s="99"/>
      <c r="CO40" s="1084"/>
      <c r="CP40" s="1084"/>
      <c r="CQ40" s="1084"/>
      <c r="CR40" s="1084"/>
      <c r="CS40" s="99"/>
      <c r="CT40" s="1084"/>
      <c r="CU40" s="1084"/>
      <c r="CV40" s="1084"/>
      <c r="CW40" s="1084"/>
      <c r="CX40" s="99"/>
      <c r="CY40" s="1084"/>
      <c r="CZ40" s="1084"/>
      <c r="DA40" s="1084"/>
      <c r="DB40" s="1084"/>
      <c r="DC40" s="99"/>
      <c r="DD40" s="1084"/>
      <c r="DE40" s="1084"/>
      <c r="DF40" s="1084"/>
      <c r="DG40" s="1084"/>
      <c r="DH40" s="99"/>
      <c r="DI40" s="1084"/>
      <c r="DJ40" s="1084"/>
      <c r="DK40" s="1084"/>
      <c r="DL40" s="1084"/>
      <c r="DM40" s="99"/>
      <c r="DN40" s="1084"/>
      <c r="DO40" s="1084"/>
      <c r="DP40" s="1084"/>
      <c r="DQ40" s="1084"/>
      <c r="DR40" s="99"/>
      <c r="DS40" s="1084"/>
      <c r="DT40" s="1084"/>
      <c r="DU40" s="1084"/>
      <c r="DV40" s="1084"/>
      <c r="DW40" s="99"/>
      <c r="DX40" s="1084"/>
      <c r="DY40" s="1084"/>
      <c r="DZ40" s="1084"/>
      <c r="EA40" s="1084"/>
      <c r="EB40" s="99"/>
      <c r="EC40" s="1084"/>
      <c r="ED40" s="1084"/>
      <c r="EE40" s="1084"/>
      <c r="EF40" s="1084"/>
      <c r="EG40" s="99"/>
      <c r="EH40" s="1084"/>
      <c r="EI40" s="1084"/>
      <c r="EJ40" s="1084"/>
      <c r="EK40" s="1084"/>
      <c r="EL40" s="99"/>
      <c r="EM40" s="1084"/>
      <c r="EN40" s="1084"/>
      <c r="EO40" s="1084"/>
      <c r="EP40" s="1084"/>
      <c r="EQ40" s="99"/>
      <c r="ER40" s="1683"/>
      <c r="ES40" s="1683"/>
      <c r="ET40" s="1683"/>
      <c r="EU40" s="1683"/>
      <c r="EV40" s="99"/>
      <c r="EW40" s="1683"/>
      <c r="EX40" s="1683"/>
      <c r="EY40" s="1683"/>
      <c r="EZ40" s="1683"/>
      <c r="FA40" s="99"/>
      <c r="FB40" s="1683"/>
      <c r="FC40" s="1683"/>
      <c r="FD40" s="1683"/>
      <c r="FE40" s="1683"/>
      <c r="FF40" s="99"/>
      <c r="FG40" s="1084"/>
      <c r="FH40" s="1084"/>
      <c r="FI40" s="1084"/>
      <c r="FJ40" s="1084"/>
      <c r="FK40" s="99"/>
      <c r="FL40" s="1084"/>
      <c r="FM40" s="1084"/>
      <c r="FN40" s="1084"/>
      <c r="FO40" s="1084"/>
      <c r="FP40" s="99"/>
      <c r="FQ40" s="1084"/>
      <c r="FR40" s="1084"/>
      <c r="FS40" s="1084"/>
      <c r="FT40" s="1084"/>
      <c r="FU40" s="99"/>
      <c r="FV40" s="1084"/>
      <c r="FW40" s="1084"/>
      <c r="FX40" s="1084"/>
      <c r="FY40" s="1084"/>
      <c r="FZ40" s="99"/>
      <c r="GA40" s="1084"/>
      <c r="GB40" s="1084"/>
      <c r="GC40" s="1084"/>
      <c r="GD40" s="1084"/>
      <c r="GE40" s="1085"/>
    </row>
    <row r="41" spans="1:187" s="1066" customFormat="1" ht="12.75" customHeight="1">
      <c r="A41" s="370" t="s">
        <v>1889</v>
      </c>
      <c r="B41" s="1110" t="s">
        <v>377</v>
      </c>
      <c r="C41" s="448"/>
      <c r="D41" s="493"/>
      <c r="E41" s="493"/>
      <c r="F41" s="493"/>
      <c r="G41" s="1116"/>
      <c r="H41" s="448"/>
      <c r="I41" s="493"/>
      <c r="J41" s="493"/>
      <c r="K41" s="493"/>
      <c r="L41" s="494"/>
      <c r="M41" s="448"/>
      <c r="N41" s="493"/>
      <c r="O41" s="493"/>
      <c r="P41" s="493"/>
      <c r="Q41" s="494"/>
      <c r="R41" s="448"/>
      <c r="S41" s="493"/>
      <c r="T41" s="493"/>
      <c r="U41" s="493"/>
      <c r="V41" s="494"/>
      <c r="W41" s="448"/>
      <c r="X41" s="493"/>
      <c r="Y41" s="493"/>
      <c r="Z41" s="493"/>
      <c r="AA41" s="494"/>
      <c r="AB41" s="448"/>
      <c r="AC41" s="493"/>
      <c r="AD41" s="493"/>
      <c r="AE41" s="493"/>
      <c r="AF41" s="494"/>
      <c r="AG41" s="448"/>
      <c r="AH41" s="493"/>
      <c r="AI41" s="493"/>
      <c r="AJ41" s="493"/>
      <c r="AK41" s="494"/>
      <c r="AL41" s="448"/>
      <c r="AM41" s="493"/>
      <c r="AN41" s="493"/>
      <c r="AO41" s="493"/>
      <c r="AP41" s="494"/>
      <c r="AQ41" s="448"/>
      <c r="AR41" s="493"/>
      <c r="AS41" s="493"/>
      <c r="AT41" s="493"/>
      <c r="AU41" s="494"/>
      <c r="AV41" s="448"/>
      <c r="AW41" s="493"/>
      <c r="AX41" s="493"/>
      <c r="AY41" s="493"/>
      <c r="AZ41" s="494"/>
      <c r="BA41" s="448"/>
      <c r="BB41" s="493"/>
      <c r="BC41" s="493"/>
      <c r="BD41" s="493"/>
      <c r="BE41" s="494"/>
      <c r="BF41" s="448"/>
      <c r="BG41" s="493"/>
      <c r="BH41" s="493"/>
      <c r="BI41" s="493"/>
      <c r="BJ41" s="494"/>
      <c r="BK41" s="448"/>
      <c r="BL41" s="493"/>
      <c r="BM41" s="493"/>
      <c r="BN41" s="493"/>
      <c r="BO41" s="494"/>
      <c r="BP41" s="448"/>
      <c r="BQ41" s="493"/>
      <c r="BR41" s="493"/>
      <c r="BS41" s="493"/>
      <c r="BT41" s="494"/>
      <c r="BU41" s="448"/>
      <c r="BV41" s="493"/>
      <c r="BW41" s="493"/>
      <c r="BX41" s="493"/>
      <c r="BY41" s="494"/>
      <c r="BZ41" s="448"/>
      <c r="CA41" s="493"/>
      <c r="CB41" s="493"/>
      <c r="CC41" s="493"/>
      <c r="CD41" s="494"/>
      <c r="CE41" s="448"/>
      <c r="CF41" s="493"/>
      <c r="CG41" s="493"/>
      <c r="CH41" s="493"/>
      <c r="CI41" s="494"/>
      <c r="CJ41" s="448"/>
      <c r="CK41" s="493"/>
      <c r="CL41" s="493"/>
      <c r="CM41" s="493"/>
      <c r="CN41" s="494"/>
      <c r="CO41" s="448"/>
      <c r="CP41" s="493"/>
      <c r="CQ41" s="493"/>
      <c r="CR41" s="493"/>
      <c r="CS41" s="494"/>
      <c r="CT41" s="448"/>
      <c r="CU41" s="493"/>
      <c r="CV41" s="493"/>
      <c r="CW41" s="493"/>
      <c r="CX41" s="494"/>
      <c r="CY41" s="448"/>
      <c r="CZ41" s="493"/>
      <c r="DA41" s="493"/>
      <c r="DB41" s="493"/>
      <c r="DC41" s="494"/>
      <c r="DD41" s="448"/>
      <c r="DE41" s="493"/>
      <c r="DF41" s="493"/>
      <c r="DG41" s="493"/>
      <c r="DH41" s="494"/>
      <c r="DI41" s="448"/>
      <c r="DJ41" s="493"/>
      <c r="DK41" s="493"/>
      <c r="DL41" s="493"/>
      <c r="DM41" s="494"/>
      <c r="DN41" s="448"/>
      <c r="DO41" s="493"/>
      <c r="DP41" s="493"/>
      <c r="DQ41" s="493"/>
      <c r="DR41" s="494"/>
      <c r="DS41" s="448"/>
      <c r="DT41" s="493"/>
      <c r="DU41" s="493"/>
      <c r="DV41" s="493"/>
      <c r="DW41" s="494"/>
      <c r="DX41" s="448">
        <v>10700</v>
      </c>
      <c r="DY41" s="493">
        <v>12600</v>
      </c>
      <c r="DZ41" s="493">
        <v>10750</v>
      </c>
      <c r="EA41" s="493">
        <v>11300</v>
      </c>
      <c r="EB41" s="494"/>
      <c r="EC41" s="448">
        <v>10950</v>
      </c>
      <c r="ED41" s="493">
        <v>13200</v>
      </c>
      <c r="EE41" s="493">
        <v>12300</v>
      </c>
      <c r="EF41" s="493">
        <v>13600</v>
      </c>
      <c r="EG41" s="494"/>
      <c r="EH41" s="448">
        <v>12400</v>
      </c>
      <c r="EI41" s="493">
        <v>16350</v>
      </c>
      <c r="EJ41" s="493">
        <v>14150</v>
      </c>
      <c r="EK41" s="493">
        <v>14650</v>
      </c>
      <c r="EL41" s="494"/>
      <c r="EM41" s="448">
        <v>13000</v>
      </c>
      <c r="EN41" s="493">
        <v>14500</v>
      </c>
      <c r="EO41" s="493">
        <v>11900</v>
      </c>
      <c r="EP41" s="493">
        <v>1335</v>
      </c>
      <c r="EQ41" s="494"/>
      <c r="ER41" s="448">
        <v>12500</v>
      </c>
      <c r="ES41" s="493">
        <v>16500</v>
      </c>
      <c r="ET41" s="493">
        <v>14700</v>
      </c>
      <c r="EU41" s="1422">
        <v>15200</v>
      </c>
      <c r="EV41" s="462"/>
      <c r="EW41" s="496">
        <v>12250</v>
      </c>
      <c r="EX41" s="493">
        <v>13850</v>
      </c>
      <c r="EY41" s="493">
        <v>12400</v>
      </c>
      <c r="EZ41" s="1422">
        <v>12350</v>
      </c>
      <c r="FA41" s="462"/>
      <c r="FB41" s="496">
        <v>12400</v>
      </c>
      <c r="FC41" s="493"/>
      <c r="FD41" s="493"/>
      <c r="FE41" s="1422"/>
      <c r="FF41" s="462"/>
      <c r="FG41" s="447"/>
      <c r="FH41" s="458"/>
      <c r="FI41" s="458"/>
      <c r="FJ41" s="458"/>
      <c r="FK41" s="462"/>
      <c r="FL41" s="447"/>
      <c r="FM41" s="458"/>
      <c r="FN41" s="458"/>
      <c r="FO41" s="458"/>
      <c r="FP41" s="462"/>
      <c r="FQ41" s="447"/>
      <c r="FR41" s="458"/>
      <c r="FS41" s="458"/>
      <c r="FT41" s="458"/>
      <c r="FU41" s="462"/>
      <c r="FV41" s="447"/>
      <c r="FW41" s="458"/>
      <c r="FX41" s="458"/>
      <c r="FY41" s="458"/>
      <c r="FZ41" s="462"/>
      <c r="GA41" s="447"/>
      <c r="GB41" s="458"/>
      <c r="GC41" s="458"/>
      <c r="GD41" s="458"/>
      <c r="GE41" s="497"/>
    </row>
    <row r="42" spans="1:187" s="1066" customFormat="1" ht="12.75" customHeight="1">
      <c r="A42" s="370" t="s">
        <v>1890</v>
      </c>
      <c r="B42" s="1110" t="s">
        <v>378</v>
      </c>
      <c r="C42" s="448"/>
      <c r="D42" s="1114"/>
      <c r="E42" s="1114"/>
      <c r="F42" s="1114"/>
      <c r="G42" s="1115"/>
      <c r="H42" s="448"/>
      <c r="I42" s="493"/>
      <c r="J42" s="493"/>
      <c r="K42" s="493"/>
      <c r="L42" s="812"/>
      <c r="M42" s="448"/>
      <c r="N42" s="493"/>
      <c r="O42" s="493"/>
      <c r="P42" s="493"/>
      <c r="Q42" s="812"/>
      <c r="R42" s="448"/>
      <c r="S42" s="493"/>
      <c r="T42" s="493"/>
      <c r="U42" s="493"/>
      <c r="V42" s="812"/>
      <c r="W42" s="448"/>
      <c r="X42" s="493"/>
      <c r="Y42" s="493"/>
      <c r="Z42" s="493"/>
      <c r="AA42" s="812"/>
      <c r="AB42" s="448"/>
      <c r="AC42" s="493"/>
      <c r="AD42" s="493"/>
      <c r="AE42" s="493"/>
      <c r="AF42" s="812"/>
      <c r="AG42" s="448"/>
      <c r="AH42" s="493"/>
      <c r="AI42" s="493"/>
      <c r="AJ42" s="493"/>
      <c r="AK42" s="812"/>
      <c r="AL42" s="448"/>
      <c r="AM42" s="493"/>
      <c r="AN42" s="493"/>
      <c r="AO42" s="493"/>
      <c r="AP42" s="812"/>
      <c r="AQ42" s="448"/>
      <c r="AR42" s="493"/>
      <c r="AS42" s="493"/>
      <c r="AT42" s="493"/>
      <c r="AU42" s="812"/>
      <c r="AV42" s="448"/>
      <c r="AW42" s="493"/>
      <c r="AX42" s="493"/>
      <c r="AY42" s="493"/>
      <c r="AZ42" s="812"/>
      <c r="BA42" s="448"/>
      <c r="BB42" s="493"/>
      <c r="BC42" s="493"/>
      <c r="BD42" s="493"/>
      <c r="BE42" s="812"/>
      <c r="BF42" s="448"/>
      <c r="BG42" s="493"/>
      <c r="BH42" s="493"/>
      <c r="BI42" s="493"/>
      <c r="BJ42" s="812"/>
      <c r="BK42" s="448"/>
      <c r="BL42" s="493"/>
      <c r="BM42" s="493"/>
      <c r="BN42" s="493"/>
      <c r="BO42" s="812"/>
      <c r="BP42" s="448"/>
      <c r="BQ42" s="493"/>
      <c r="BR42" s="493"/>
      <c r="BS42" s="493"/>
      <c r="BT42" s="812"/>
      <c r="BU42" s="448"/>
      <c r="BV42" s="493"/>
      <c r="BW42" s="493"/>
      <c r="BX42" s="493"/>
      <c r="BY42" s="812"/>
      <c r="BZ42" s="448"/>
      <c r="CA42" s="493"/>
      <c r="CB42" s="493"/>
      <c r="CC42" s="493"/>
      <c r="CD42" s="812"/>
      <c r="CE42" s="448"/>
      <c r="CF42" s="493"/>
      <c r="CG42" s="493"/>
      <c r="CH42" s="493"/>
      <c r="CI42" s="812"/>
      <c r="CJ42" s="448"/>
      <c r="CK42" s="493"/>
      <c r="CL42" s="493"/>
      <c r="CM42" s="493"/>
      <c r="CN42" s="812"/>
      <c r="CO42" s="448"/>
      <c r="CP42" s="493"/>
      <c r="CQ42" s="493"/>
      <c r="CR42" s="493"/>
      <c r="CS42" s="812"/>
      <c r="CT42" s="448"/>
      <c r="CU42" s="493"/>
      <c r="CV42" s="493"/>
      <c r="CW42" s="493"/>
      <c r="CX42" s="812"/>
      <c r="CY42" s="448"/>
      <c r="CZ42" s="493"/>
      <c r="DA42" s="493"/>
      <c r="DB42" s="493"/>
      <c r="DC42" s="812"/>
      <c r="DD42" s="448"/>
      <c r="DE42" s="493"/>
      <c r="DF42" s="493"/>
      <c r="DG42" s="493"/>
      <c r="DH42" s="812"/>
      <c r="DI42" s="448"/>
      <c r="DJ42" s="493"/>
      <c r="DK42" s="493"/>
      <c r="DL42" s="493"/>
      <c r="DM42" s="812"/>
      <c r="DN42" s="448"/>
      <c r="DO42" s="493"/>
      <c r="DP42" s="493"/>
      <c r="DQ42" s="493"/>
      <c r="DR42" s="812"/>
      <c r="DS42" s="448"/>
      <c r="DT42" s="493"/>
      <c r="DU42" s="493"/>
      <c r="DV42" s="493"/>
      <c r="DW42" s="812"/>
      <c r="DX42" s="448">
        <v>11000</v>
      </c>
      <c r="DY42" s="493">
        <v>13000</v>
      </c>
      <c r="DZ42" s="493">
        <v>11150</v>
      </c>
      <c r="EA42" s="493">
        <v>11700</v>
      </c>
      <c r="EB42" s="812"/>
      <c r="EC42" s="448">
        <v>11350</v>
      </c>
      <c r="ED42" s="493">
        <v>13600</v>
      </c>
      <c r="EE42" s="493">
        <v>12700</v>
      </c>
      <c r="EF42" s="493">
        <v>14000</v>
      </c>
      <c r="EG42" s="812"/>
      <c r="EH42" s="448">
        <v>12800</v>
      </c>
      <c r="EI42" s="493">
        <v>16750</v>
      </c>
      <c r="EJ42" s="493">
        <v>14450</v>
      </c>
      <c r="EK42" s="493">
        <v>14950</v>
      </c>
      <c r="EL42" s="812"/>
      <c r="EM42" s="448">
        <v>13400</v>
      </c>
      <c r="EN42" s="493">
        <v>14900</v>
      </c>
      <c r="EO42" s="493">
        <v>12300</v>
      </c>
      <c r="EP42" s="493">
        <v>1375</v>
      </c>
      <c r="EQ42" s="812"/>
      <c r="ER42" s="448">
        <v>12900</v>
      </c>
      <c r="ES42" s="493">
        <v>16900</v>
      </c>
      <c r="ET42" s="493">
        <v>15100</v>
      </c>
      <c r="EU42" s="1422">
        <v>15600</v>
      </c>
      <c r="EV42" s="459"/>
      <c r="EW42" s="496">
        <v>12650</v>
      </c>
      <c r="EX42" s="493">
        <v>14250</v>
      </c>
      <c r="EY42" s="493">
        <v>12800</v>
      </c>
      <c r="EZ42" s="1422">
        <v>12850</v>
      </c>
      <c r="FA42" s="459"/>
      <c r="FB42" s="496">
        <v>12900</v>
      </c>
      <c r="FC42" s="493"/>
      <c r="FD42" s="493"/>
      <c r="FE42" s="1422"/>
      <c r="FF42" s="459"/>
      <c r="FG42" s="447"/>
      <c r="FH42" s="458"/>
      <c r="FI42" s="458"/>
      <c r="FJ42" s="458"/>
      <c r="FK42" s="459"/>
      <c r="FL42" s="447"/>
      <c r="FM42" s="458"/>
      <c r="FN42" s="458"/>
      <c r="FO42" s="458"/>
      <c r="FP42" s="459"/>
      <c r="FQ42" s="447"/>
      <c r="FR42" s="458"/>
      <c r="FS42" s="458"/>
      <c r="FT42" s="458"/>
      <c r="FU42" s="459"/>
      <c r="FV42" s="447"/>
      <c r="FW42" s="458"/>
      <c r="FX42" s="458"/>
      <c r="FY42" s="458"/>
      <c r="FZ42" s="459"/>
      <c r="GA42" s="447"/>
      <c r="GB42" s="458"/>
      <c r="GC42" s="458"/>
      <c r="GD42" s="458"/>
      <c r="GE42" s="460"/>
    </row>
    <row r="43" spans="1:187" s="1066" customFormat="1" ht="12.75" customHeight="1">
      <c r="A43" s="370" t="s">
        <v>466</v>
      </c>
      <c r="B43" s="1110" t="s">
        <v>401</v>
      </c>
      <c r="C43" s="447"/>
      <c r="D43" s="1111"/>
      <c r="E43" s="1111"/>
      <c r="F43" s="1111"/>
      <c r="G43" s="614"/>
      <c r="H43" s="447"/>
      <c r="I43" s="458"/>
      <c r="J43" s="458"/>
      <c r="K43" s="458"/>
      <c r="L43" s="459"/>
      <c r="M43" s="447"/>
      <c r="N43" s="458"/>
      <c r="O43" s="458"/>
      <c r="P43" s="458"/>
      <c r="Q43" s="459"/>
      <c r="R43" s="447"/>
      <c r="S43" s="458"/>
      <c r="T43" s="458"/>
      <c r="U43" s="458"/>
      <c r="V43" s="459"/>
      <c r="W43" s="447"/>
      <c r="X43" s="458"/>
      <c r="Y43" s="458"/>
      <c r="Z43" s="458"/>
      <c r="AA43" s="459"/>
      <c r="AB43" s="447"/>
      <c r="AC43" s="458"/>
      <c r="AD43" s="458"/>
      <c r="AE43" s="458"/>
      <c r="AF43" s="459"/>
      <c r="AG43" s="447"/>
      <c r="AH43" s="458"/>
      <c r="AI43" s="458"/>
      <c r="AJ43" s="458"/>
      <c r="AK43" s="459"/>
      <c r="AL43" s="447"/>
      <c r="AM43" s="458"/>
      <c r="AN43" s="458"/>
      <c r="AO43" s="458"/>
      <c r="AP43" s="459"/>
      <c r="AQ43" s="447"/>
      <c r="AR43" s="458"/>
      <c r="AS43" s="458"/>
      <c r="AT43" s="458"/>
      <c r="AU43" s="459"/>
      <c r="AV43" s="447"/>
      <c r="AW43" s="458"/>
      <c r="AX43" s="458"/>
      <c r="AY43" s="458"/>
      <c r="AZ43" s="459"/>
      <c r="BA43" s="447"/>
      <c r="BB43" s="458"/>
      <c r="BC43" s="458"/>
      <c r="BD43" s="458"/>
      <c r="BE43" s="459"/>
      <c r="BF43" s="447"/>
      <c r="BG43" s="458"/>
      <c r="BH43" s="458"/>
      <c r="BI43" s="458"/>
      <c r="BJ43" s="459"/>
      <c r="BK43" s="447"/>
      <c r="BL43" s="458"/>
      <c r="BM43" s="458"/>
      <c r="BN43" s="458"/>
      <c r="BO43" s="459"/>
      <c r="BP43" s="447"/>
      <c r="BQ43" s="458"/>
      <c r="BR43" s="458"/>
      <c r="BS43" s="458"/>
      <c r="BT43" s="459"/>
      <c r="BU43" s="447"/>
      <c r="BV43" s="458"/>
      <c r="BW43" s="458"/>
      <c r="BX43" s="458"/>
      <c r="BY43" s="459"/>
      <c r="BZ43" s="447"/>
      <c r="CA43" s="458"/>
      <c r="CB43" s="458"/>
      <c r="CC43" s="458"/>
      <c r="CD43" s="459"/>
      <c r="CE43" s="447"/>
      <c r="CF43" s="458"/>
      <c r="CG43" s="458"/>
      <c r="CH43" s="458"/>
      <c r="CI43" s="459"/>
      <c r="CJ43" s="447"/>
      <c r="CK43" s="458"/>
      <c r="CL43" s="458"/>
      <c r="CM43" s="458"/>
      <c r="CN43" s="459"/>
      <c r="CO43" s="447"/>
      <c r="CP43" s="458"/>
      <c r="CQ43" s="458"/>
      <c r="CR43" s="458"/>
      <c r="CS43" s="459"/>
      <c r="CT43" s="447"/>
      <c r="CU43" s="458"/>
      <c r="CV43" s="458"/>
      <c r="CW43" s="458"/>
      <c r="CX43" s="459"/>
      <c r="CY43" s="447"/>
      <c r="CZ43" s="458"/>
      <c r="DA43" s="458"/>
      <c r="DB43" s="458"/>
      <c r="DC43" s="459"/>
      <c r="DD43" s="447"/>
      <c r="DE43" s="458"/>
      <c r="DF43" s="458"/>
      <c r="DG43" s="458"/>
      <c r="DH43" s="459"/>
      <c r="DI43" s="447"/>
      <c r="DJ43" s="458"/>
      <c r="DK43" s="458"/>
      <c r="DL43" s="458"/>
      <c r="DM43" s="459"/>
      <c r="DN43" s="447"/>
      <c r="DO43" s="458"/>
      <c r="DP43" s="458"/>
      <c r="DQ43" s="458"/>
      <c r="DR43" s="459"/>
      <c r="DS43" s="447"/>
      <c r="DT43" s="458"/>
      <c r="DU43" s="458"/>
      <c r="DV43" s="458"/>
      <c r="DW43" s="459"/>
      <c r="DX43" s="458">
        <f>IFERROR(AVERAGE(DX41:DX42),"--")</f>
      </c>
      <c r="DY43" s="458">
        <f>IFERROR(AVERAGE(DY41:DY42),"--")</f>
      </c>
      <c r="DZ43" s="458">
        <f>IFERROR(AVERAGE(DZ41:DZ42),"--")</f>
      </c>
      <c r="EA43" s="458">
        <f>IFERROR(AVERAGE(EA41:EA42),"--")</f>
      </c>
      <c r="EB43" s="459"/>
      <c r="EC43" s="458">
        <f>IFERROR(AVERAGE(EC41:EC42),"--")</f>
      </c>
      <c r="ED43" s="458">
        <f>IFERROR(AVERAGE(ED41:ED42),"--")</f>
      </c>
      <c r="EE43" s="458">
        <f>IFERROR(AVERAGE(EE41:EE42),"--")</f>
      </c>
      <c r="EF43" s="458">
        <f>IFERROR(AVERAGE(EF41:EF42),"--")</f>
      </c>
      <c r="EG43" s="459"/>
      <c r="EH43" s="458">
        <f>IFERROR(AVERAGE(EH41:EH42),"--")</f>
      </c>
      <c r="EI43" s="458">
        <f>IFERROR(AVERAGE(EI41:EI42),"--")</f>
      </c>
      <c r="EJ43" s="458">
        <f>IFERROR(AVERAGE(EJ41:EJ42),"--")</f>
      </c>
      <c r="EK43" s="458">
        <f>IFERROR(AVERAGE(EK41:EK42),"--")</f>
      </c>
      <c r="EL43" s="459"/>
      <c r="EM43" s="458">
        <f>IFERROR(AVERAGE(EM41:EM42),"--")</f>
      </c>
      <c r="EN43" s="458">
        <f>IFERROR(AVERAGE(EN41:EN42),"--")</f>
      </c>
      <c r="EO43" s="458">
        <f>IFERROR(AVERAGE(EO41:EO42),"--")</f>
      </c>
      <c r="EP43" s="458">
        <f>IFERROR(AVERAGE(EP41:EP42),"--")</f>
      </c>
      <c r="EQ43" s="459"/>
      <c r="ER43" s="458">
        <f>IFERROR(AVERAGE(ER41:ER42),"--")</f>
      </c>
      <c r="ES43" s="458">
        <f>IFERROR(AVERAGE(ES41:ES42),"--")</f>
      </c>
      <c r="ET43" s="458">
        <f>IFERROR(AVERAGE(ET41:ET42),"--")</f>
      </c>
      <c r="EU43" s="458">
        <f>IFERROR(AVERAGE(EU41:EU42),"--")</f>
      </c>
      <c r="EV43" s="459"/>
      <c r="EW43" s="458">
        <f>IFERROR(AVERAGE(EW41:EW42),"--")</f>
      </c>
      <c r="EX43" s="458">
        <f>IFERROR(AVERAGE(EX41:EX42),"--")</f>
      </c>
      <c r="EY43" s="458">
        <f>IFERROR(AVERAGE(EY41:EY42),"--")</f>
      </c>
      <c r="EZ43" s="458">
        <f>IFERROR(AVERAGE(EZ41:EZ42),"--")</f>
      </c>
      <c r="FA43" s="459"/>
      <c r="FB43" s="458">
        <f>IFERROR(AVERAGE(FB41:FB42),"--")</f>
      </c>
      <c r="FC43" s="458"/>
      <c r="FD43" s="458"/>
      <c r="FE43" s="458"/>
      <c r="FF43" s="459"/>
      <c r="FG43" s="447"/>
      <c r="FH43" s="458"/>
      <c r="FI43" s="458"/>
      <c r="FJ43" s="458"/>
      <c r="FK43" s="459"/>
      <c r="FL43" s="447"/>
      <c r="FM43" s="458"/>
      <c r="FN43" s="458"/>
      <c r="FO43" s="458"/>
      <c r="FP43" s="459"/>
      <c r="FQ43" s="447"/>
      <c r="FR43" s="458"/>
      <c r="FS43" s="458"/>
      <c r="FT43" s="458"/>
      <c r="FU43" s="459"/>
      <c r="FV43" s="447"/>
      <c r="FW43" s="458"/>
      <c r="FX43" s="458"/>
      <c r="FY43" s="458"/>
      <c r="FZ43" s="459"/>
      <c r="GA43" s="447"/>
      <c r="GB43" s="458"/>
      <c r="GC43" s="458"/>
      <c r="GD43" s="458"/>
      <c r="GE43" s="460"/>
    </row>
    <row r="44" spans="1:187" s="537" customFormat="1" ht="12.75" customHeight="1">
      <c r="A44" s="850"/>
      <c r="B44" s="1078"/>
      <c r="C44" s="291"/>
      <c r="D44" s="137"/>
      <c r="E44" s="137"/>
      <c r="F44" s="137"/>
      <c r="G44" s="538"/>
      <c r="H44" s="291"/>
      <c r="I44" s="107"/>
      <c r="J44" s="107"/>
      <c r="K44" s="107"/>
      <c r="L44" s="293"/>
      <c r="M44" s="291"/>
      <c r="N44" s="107"/>
      <c r="O44" s="107"/>
      <c r="P44" s="107"/>
      <c r="Q44" s="293"/>
      <c r="R44" s="291"/>
      <c r="S44" s="107"/>
      <c r="T44" s="107"/>
      <c r="U44" s="107"/>
      <c r="V44" s="293"/>
      <c r="W44" s="291"/>
      <c r="X44" s="107"/>
      <c r="Y44" s="107"/>
      <c r="Z44" s="107"/>
      <c r="AA44" s="293"/>
      <c r="AB44" s="291"/>
      <c r="AC44" s="107"/>
      <c r="AD44" s="107"/>
      <c r="AE44" s="107"/>
      <c r="AF44" s="293"/>
      <c r="AG44" s="291"/>
      <c r="AH44" s="107"/>
      <c r="AI44" s="107"/>
      <c r="AJ44" s="107"/>
      <c r="AK44" s="293"/>
      <c r="AL44" s="291"/>
      <c r="AM44" s="107"/>
      <c r="AN44" s="107"/>
      <c r="AO44" s="107"/>
      <c r="AP44" s="293"/>
      <c r="AQ44" s="291"/>
      <c r="AR44" s="107"/>
      <c r="AS44" s="107"/>
      <c r="AT44" s="107"/>
      <c r="AU44" s="293"/>
      <c r="AV44" s="291"/>
      <c r="AW44" s="107"/>
      <c r="AX44" s="107"/>
      <c r="AY44" s="107"/>
      <c r="AZ44" s="293"/>
      <c r="BA44" s="291"/>
      <c r="BB44" s="107"/>
      <c r="BC44" s="107"/>
      <c r="BD44" s="107"/>
      <c r="BE44" s="293"/>
      <c r="BF44" s="291"/>
      <c r="BG44" s="107"/>
      <c r="BH44" s="107"/>
      <c r="BI44" s="107"/>
      <c r="BJ44" s="293"/>
      <c r="BK44" s="291"/>
      <c r="BL44" s="107"/>
      <c r="BM44" s="107"/>
      <c r="BN44" s="107"/>
      <c r="BO44" s="293"/>
      <c r="BP44" s="291"/>
      <c r="BQ44" s="107"/>
      <c r="BR44" s="107"/>
      <c r="BS44" s="107"/>
      <c r="BT44" s="293"/>
      <c r="BU44" s="291"/>
      <c r="BV44" s="107"/>
      <c r="BW44" s="107"/>
      <c r="BX44" s="107"/>
      <c r="BY44" s="293"/>
      <c r="BZ44" s="291"/>
      <c r="CA44" s="107"/>
      <c r="CB44" s="107"/>
      <c r="CC44" s="107"/>
      <c r="CD44" s="293"/>
      <c r="CE44" s="291"/>
      <c r="CF44" s="107"/>
      <c r="CG44" s="107"/>
      <c r="CH44" s="107"/>
      <c r="CI44" s="293"/>
      <c r="CJ44" s="291"/>
      <c r="CK44" s="107"/>
      <c r="CL44" s="107"/>
      <c r="CM44" s="107"/>
      <c r="CN44" s="293"/>
      <c r="CO44" s="291"/>
      <c r="CP44" s="107"/>
      <c r="CQ44" s="107"/>
      <c r="CR44" s="107"/>
      <c r="CS44" s="293"/>
      <c r="CT44" s="291"/>
      <c r="CU44" s="107"/>
      <c r="CV44" s="107"/>
      <c r="CW44" s="107"/>
      <c r="CX44" s="293"/>
      <c r="CY44" s="291"/>
      <c r="CZ44" s="107"/>
      <c r="DA44" s="107"/>
      <c r="DB44" s="107"/>
      <c r="DC44" s="293"/>
      <c r="DD44" s="291"/>
      <c r="DE44" s="107"/>
      <c r="DF44" s="107"/>
      <c r="DG44" s="107"/>
      <c r="DH44" s="293"/>
      <c r="DI44" s="291"/>
      <c r="DJ44" s="107"/>
      <c r="DK44" s="107"/>
      <c r="DL44" s="107"/>
      <c r="DM44" s="293"/>
      <c r="DN44" s="291"/>
      <c r="DO44" s="107"/>
      <c r="DP44" s="107"/>
      <c r="DQ44" s="107"/>
      <c r="DR44" s="293"/>
      <c r="DS44" s="291"/>
      <c r="DT44" s="107"/>
      <c r="DU44" s="107"/>
      <c r="DV44" s="107"/>
      <c r="DW44" s="293"/>
      <c r="DX44" s="291"/>
      <c r="DY44" s="107"/>
      <c r="DZ44" s="107"/>
      <c r="EA44" s="107"/>
      <c r="EB44" s="293"/>
      <c r="EC44" s="291"/>
      <c r="ED44" s="107"/>
      <c r="EE44" s="107"/>
      <c r="EF44" s="107"/>
      <c r="EG44" s="293"/>
      <c r="EH44" s="291"/>
      <c r="EI44" s="107"/>
      <c r="EJ44" s="107"/>
      <c r="EK44" s="107"/>
      <c r="EL44" s="293"/>
      <c r="EM44" s="291"/>
      <c r="EN44" s="107"/>
      <c r="EO44" s="107"/>
      <c r="EP44" s="107"/>
      <c r="EQ44" s="293"/>
      <c r="ER44" s="291"/>
      <c r="ES44" s="107"/>
      <c r="ET44" s="107"/>
      <c r="EU44" s="107"/>
      <c r="EV44" s="293"/>
      <c r="EW44" s="291"/>
      <c r="EX44" s="107"/>
      <c r="EY44" s="107"/>
      <c r="EZ44" s="291"/>
      <c r="FA44" s="293"/>
      <c r="FB44" s="291"/>
      <c r="FC44" s="107"/>
      <c r="FD44" s="107"/>
      <c r="FE44" s="107"/>
      <c r="FF44" s="293"/>
      <c r="FG44" s="291"/>
      <c r="FH44" s="107"/>
      <c r="FI44" s="107"/>
      <c r="FJ44" s="107"/>
      <c r="FK44" s="293"/>
      <c r="FL44" s="291"/>
      <c r="FM44" s="107"/>
      <c r="FN44" s="107"/>
      <c r="FO44" s="107"/>
      <c r="FP44" s="293"/>
      <c r="FQ44" s="291"/>
      <c r="FR44" s="107"/>
      <c r="FS44" s="107"/>
      <c r="FT44" s="107"/>
      <c r="FU44" s="293"/>
      <c r="FV44" s="291"/>
      <c r="FW44" s="107"/>
      <c r="FX44" s="107"/>
      <c r="FY44" s="107"/>
      <c r="FZ44" s="293"/>
      <c r="GA44" s="291"/>
      <c r="GB44" s="107"/>
      <c r="GC44" s="107"/>
      <c r="GD44" s="107"/>
      <c r="GE44" s="382"/>
    </row>
    <row r="45" spans="1:187" s="537" customFormat="1" ht="12.75" customHeight="1">
      <c r="A45" s="850" t="s">
        <v>327</v>
      </c>
      <c r="B45" s="1080" t="s">
        <v>406</v>
      </c>
      <c r="C45" s="399"/>
      <c r="D45" s="889"/>
      <c r="E45" s="889"/>
      <c r="F45" s="889"/>
      <c r="G45" s="890"/>
      <c r="H45" s="399"/>
      <c r="I45" s="129"/>
      <c r="J45" s="129"/>
      <c r="K45" s="129"/>
      <c r="L45" s="891"/>
      <c r="M45" s="399"/>
      <c r="N45" s="129"/>
      <c r="O45" s="129"/>
      <c r="P45" s="129"/>
      <c r="Q45" s="891"/>
      <c r="R45" s="399"/>
      <c r="S45" s="129"/>
      <c r="T45" s="129"/>
      <c r="U45" s="129"/>
      <c r="V45" s="891"/>
      <c r="W45" s="399"/>
      <c r="X45" s="129"/>
      <c r="Y45" s="129"/>
      <c r="Z45" s="129"/>
      <c r="AA45" s="891"/>
      <c r="AB45" s="399"/>
      <c r="AC45" s="129"/>
      <c r="AD45" s="129"/>
      <c r="AE45" s="129"/>
      <c r="AF45" s="891"/>
      <c r="AG45" s="399"/>
      <c r="AH45" s="129"/>
      <c r="AI45" s="129"/>
      <c r="AJ45" s="129"/>
      <c r="AK45" s="891"/>
      <c r="AL45" s="399"/>
      <c r="AM45" s="129"/>
      <c r="AN45" s="129"/>
      <c r="AO45" s="129"/>
      <c r="AP45" s="891"/>
      <c r="AQ45" s="399"/>
      <c r="AR45" s="129"/>
      <c r="AS45" s="129"/>
      <c r="AT45" s="129"/>
      <c r="AU45" s="891"/>
      <c r="AV45" s="399"/>
      <c r="AW45" s="129"/>
      <c r="AX45" s="129"/>
      <c r="AY45" s="129"/>
      <c r="AZ45" s="891"/>
      <c r="BA45" s="399"/>
      <c r="BB45" s="129"/>
      <c r="BC45" s="129"/>
      <c r="BD45" s="129"/>
      <c r="BE45" s="891"/>
      <c r="BF45" s="399"/>
      <c r="BG45" s="129"/>
      <c r="BH45" s="129"/>
      <c r="BI45" s="129"/>
      <c r="BJ45" s="891"/>
      <c r="BK45" s="399"/>
      <c r="BL45" s="129"/>
      <c r="BM45" s="129"/>
      <c r="BN45" s="129"/>
      <c r="BO45" s="891"/>
      <c r="BP45" s="399"/>
      <c r="BQ45" s="129"/>
      <c r="BR45" s="129"/>
      <c r="BS45" s="129"/>
      <c r="BT45" s="891"/>
      <c r="BU45" s="399"/>
      <c r="BV45" s="129"/>
      <c r="BW45" s="129"/>
      <c r="BX45" s="129"/>
      <c r="BY45" s="891"/>
      <c r="BZ45" s="399"/>
      <c r="CA45" s="129"/>
      <c r="CB45" s="129"/>
      <c r="CC45" s="129"/>
      <c r="CD45" s="891"/>
      <c r="CE45" s="399"/>
      <c r="CF45" s="129"/>
      <c r="CG45" s="129"/>
      <c r="CH45" s="129"/>
      <c r="CI45" s="891"/>
      <c r="CJ45" s="399"/>
      <c r="CK45" s="129"/>
      <c r="CL45" s="129"/>
      <c r="CM45" s="129"/>
      <c r="CN45" s="891"/>
      <c r="CO45" s="399"/>
      <c r="CP45" s="129"/>
      <c r="CQ45" s="129"/>
      <c r="CR45" s="129"/>
      <c r="CS45" s="891"/>
      <c r="CT45" s="399"/>
      <c r="CU45" s="129"/>
      <c r="CV45" s="129"/>
      <c r="CW45" s="129"/>
      <c r="CX45" s="891"/>
      <c r="CY45" s="825">
        <f>Company1738!CY50</f>
      </c>
      <c r="CZ45" s="826">
        <f>Company1738!CZ50</f>
      </c>
      <c r="DA45" s="826">
        <f>Company1738!DA50</f>
      </c>
      <c r="DB45" s="826">
        <f>Company1738!DB50</f>
      </c>
      <c r="DC45" s="1067">
        <f>Company1738!DC50</f>
      </c>
      <c r="DD45" s="825">
        <f>Company1738!DD50</f>
      </c>
      <c r="DE45" s="826">
        <f>Company1738!DE50</f>
      </c>
      <c r="DF45" s="826">
        <f>Company1738!DF50</f>
      </c>
      <c r="DG45" s="826">
        <f>Company1738!DG50</f>
      </c>
      <c r="DH45" s="1067">
        <f>Company1738!DH50</f>
      </c>
      <c r="DI45" s="825">
        <f>Company1738!DI50</f>
      </c>
      <c r="DJ45" s="826">
        <f>Company1738!DJ50</f>
      </c>
      <c r="DK45" s="826">
        <f>Company1738!DK50</f>
      </c>
      <c r="DL45" s="826">
        <f>Company1738!DL50</f>
      </c>
      <c r="DM45" s="1067">
        <f>Company1738!DM50</f>
      </c>
      <c r="DN45" s="825">
        <f>Company1738!DN50</f>
      </c>
      <c r="DO45" s="826">
        <f>Company1738!DO50</f>
      </c>
      <c r="DP45" s="826">
        <f>Company1738!DP50</f>
      </c>
      <c r="DQ45" s="826">
        <f>Company1738!DQ50</f>
      </c>
      <c r="DR45" s="1067">
        <f>Company1738!DR50</f>
      </c>
      <c r="DS45" s="825">
        <f>Company1738!DS50</f>
      </c>
      <c r="DT45" s="826">
        <f>Company1738!DT50</f>
      </c>
      <c r="DU45" s="826">
        <f>Company1738!DU50</f>
      </c>
      <c r="DV45" s="826">
        <f>Company1738!DV50</f>
      </c>
      <c r="DW45" s="1067">
        <f>Company1738!DW50</f>
      </c>
      <c r="DX45" s="825">
        <f>Company1738!DX50</f>
      </c>
      <c r="DY45" s="826">
        <f>Company1738!DY50</f>
      </c>
      <c r="DZ45" s="826">
        <f>Company1738!DZ50</f>
      </c>
      <c r="EA45" s="826">
        <f>Company1738!EA50</f>
      </c>
      <c r="EB45" s="1067">
        <f>Company1738!EB50</f>
      </c>
      <c r="EC45" s="825">
        <f>Company1738!EC50</f>
      </c>
      <c r="ED45" s="826">
        <f>Company1738!ED50</f>
      </c>
      <c r="EE45" s="826">
        <f>Company1738!EE50</f>
      </c>
      <c r="EF45" s="826">
        <f>Company1738!EF50</f>
      </c>
      <c r="EG45" s="1067">
        <f>Company1738!EG50</f>
      </c>
      <c r="EH45" s="825">
        <f>Company1738!EH50</f>
      </c>
      <c r="EI45" s="826">
        <f>Company1738!EI50</f>
      </c>
      <c r="EJ45" s="826">
        <f>Company1738!EJ50</f>
      </c>
      <c r="EK45" s="826">
        <f>Company1738!EK50</f>
      </c>
      <c r="EL45" s="1067">
        <f>Company1738!EL50</f>
      </c>
      <c r="EM45" s="825">
        <f>Company1738!EM50</f>
      </c>
      <c r="EN45" s="826">
        <f>Company1738!EN50</f>
      </c>
      <c r="EO45" s="826">
        <f>Company1738!EO50</f>
      </c>
      <c r="EP45" s="826">
        <f>Company1738!EP50</f>
      </c>
      <c r="EQ45" s="1067">
        <f>Company1738!EQ50</f>
      </c>
      <c r="ER45" s="825">
        <f>Company1738!ER50</f>
      </c>
      <c r="ES45" s="826">
        <f>Company1738!ES50</f>
      </c>
      <c r="ET45" s="826">
        <f>Company1738!ET50</f>
      </c>
      <c r="EU45" s="826">
        <f>Company1738!EU50</f>
      </c>
      <c r="EV45" s="891"/>
      <c r="EW45" s="825">
        <f>Company1738!EW10</f>
      </c>
      <c r="EX45" s="826">
        <f>Company1738!EX10</f>
      </c>
      <c r="EY45" s="826">
        <f>Company1738!EY10</f>
      </c>
      <c r="EZ45" s="825">
        <f>Company1738!EZ10</f>
      </c>
      <c r="FA45" s="891"/>
      <c r="FB45" s="825"/>
      <c r="FC45" s="826"/>
      <c r="FD45" s="826"/>
      <c r="FE45" s="826"/>
      <c r="FF45" s="891"/>
      <c r="FG45" s="399"/>
      <c r="FH45" s="129"/>
      <c r="FI45" s="129"/>
      <c r="FJ45" s="129"/>
      <c r="FK45" s="891"/>
      <c r="FL45" s="399"/>
      <c r="FM45" s="129"/>
      <c r="FN45" s="129"/>
      <c r="FO45" s="129"/>
      <c r="FP45" s="891"/>
      <c r="FQ45" s="399"/>
      <c r="FR45" s="129"/>
      <c r="FS45" s="129"/>
      <c r="FT45" s="129"/>
      <c r="FU45" s="891"/>
      <c r="FV45" s="399"/>
      <c r="FW45" s="129"/>
      <c r="FX45" s="129"/>
      <c r="FY45" s="129"/>
      <c r="FZ45" s="891"/>
      <c r="GA45" s="399"/>
      <c r="GB45" s="129"/>
      <c r="GC45" s="129"/>
      <c r="GD45" s="129"/>
      <c r="GE45" s="1081"/>
    </row>
    <row r="46" spans="1:187" s="537" customFormat="1" ht="12.75" customHeight="1">
      <c r="A46" s="850"/>
      <c r="B46" s="1078" t="s">
        <v>402</v>
      </c>
      <c r="C46" s="291"/>
      <c r="D46" s="137"/>
      <c r="E46" s="137"/>
      <c r="F46" s="137"/>
      <c r="G46" s="538"/>
      <c r="H46" s="291"/>
      <c r="I46" s="107"/>
      <c r="J46" s="107"/>
      <c r="K46" s="107"/>
      <c r="L46" s="293"/>
      <c r="M46" s="291"/>
      <c r="N46" s="107"/>
      <c r="O46" s="107"/>
      <c r="P46" s="107"/>
      <c r="Q46" s="293"/>
      <c r="R46" s="291"/>
      <c r="S46" s="107"/>
      <c r="T46" s="107"/>
      <c r="U46" s="107"/>
      <c r="V46" s="293"/>
      <c r="W46" s="291"/>
      <c r="X46" s="107"/>
      <c r="Y46" s="107"/>
      <c r="Z46" s="107"/>
      <c r="AA46" s="293"/>
      <c r="AB46" s="291"/>
      <c r="AC46" s="107"/>
      <c r="AD46" s="107"/>
      <c r="AE46" s="107"/>
      <c r="AF46" s="293"/>
      <c r="AG46" s="291"/>
      <c r="AH46" s="107"/>
      <c r="AI46" s="107"/>
      <c r="AJ46" s="107"/>
      <c r="AK46" s="293"/>
      <c r="AL46" s="291"/>
      <c r="AM46" s="107"/>
      <c r="AN46" s="107"/>
      <c r="AO46" s="107"/>
      <c r="AP46" s="293"/>
      <c r="AQ46" s="291"/>
      <c r="AR46" s="107"/>
      <c r="AS46" s="107"/>
      <c r="AT46" s="107"/>
      <c r="AU46" s="293"/>
      <c r="AV46" s="291"/>
      <c r="AW46" s="107"/>
      <c r="AX46" s="107"/>
      <c r="AY46" s="107"/>
      <c r="AZ46" s="293"/>
      <c r="BA46" s="291"/>
      <c r="BB46" s="107"/>
      <c r="BC46" s="107"/>
      <c r="BD46" s="107"/>
      <c r="BE46" s="293"/>
      <c r="BF46" s="291"/>
      <c r="BG46" s="107"/>
      <c r="BH46" s="107"/>
      <c r="BI46" s="107"/>
      <c r="BJ46" s="293"/>
      <c r="BK46" s="291"/>
      <c r="BL46" s="107"/>
      <c r="BM46" s="107"/>
      <c r="BN46" s="107"/>
      <c r="BO46" s="293"/>
      <c r="BP46" s="291"/>
      <c r="BQ46" s="107"/>
      <c r="BR46" s="107"/>
      <c r="BS46" s="107"/>
      <c r="BT46" s="293"/>
      <c r="BU46" s="291"/>
      <c r="BV46" s="107"/>
      <c r="BW46" s="107"/>
      <c r="BX46" s="107"/>
      <c r="BY46" s="293"/>
      <c r="BZ46" s="291"/>
      <c r="CA46" s="107"/>
      <c r="CB46" s="107"/>
      <c r="CC46" s="107"/>
      <c r="CD46" s="293"/>
      <c r="CE46" s="291"/>
      <c r="CF46" s="107"/>
      <c r="CG46" s="107"/>
      <c r="CH46" s="107"/>
      <c r="CI46" s="293"/>
      <c r="CJ46" s="291"/>
      <c r="CK46" s="107"/>
      <c r="CL46" s="107"/>
      <c r="CM46" s="107"/>
      <c r="CN46" s="293"/>
      <c r="CO46" s="291"/>
      <c r="CP46" s="107"/>
      <c r="CQ46" s="107"/>
      <c r="CR46" s="107"/>
      <c r="CS46" s="293"/>
      <c r="CT46" s="291"/>
      <c r="CU46" s="107"/>
      <c r="CV46" s="107"/>
      <c r="CW46" s="107"/>
      <c r="CX46" s="293"/>
      <c r="CY46" s="291"/>
      <c r="CZ46" s="107"/>
      <c r="DA46" s="107"/>
      <c r="DB46" s="107"/>
      <c r="DC46" s="293"/>
      <c r="DD46" s="291"/>
      <c r="DE46" s="107"/>
      <c r="DF46" s="107"/>
      <c r="DG46" s="107"/>
      <c r="DH46" s="293"/>
      <c r="DI46" s="291"/>
      <c r="DJ46" s="107"/>
      <c r="DK46" s="107"/>
      <c r="DL46" s="107"/>
      <c r="DM46" s="293"/>
      <c r="DN46" s="291"/>
      <c r="DO46" s="107"/>
      <c r="DP46" s="107"/>
      <c r="DQ46" s="107"/>
      <c r="DR46" s="293"/>
      <c r="DS46" s="291"/>
      <c r="DT46" s="107"/>
      <c r="DU46" s="107"/>
      <c r="DV46" s="107"/>
      <c r="DW46" s="293"/>
      <c r="DX46" s="291">
        <f>DX45/DX43-1</f>
      </c>
      <c r="DY46" s="291">
        <f>DY45/DY43-1</f>
      </c>
      <c r="DZ46" s="291">
        <f>DZ45/DZ43-1</f>
      </c>
      <c r="EA46" s="291">
        <f>EA45/EA43-1</f>
      </c>
      <c r="EB46" s="293"/>
      <c r="EC46" s="291">
        <f>EC45/EC43-1</f>
      </c>
      <c r="ED46" s="291">
        <f>ED45/ED43-1</f>
      </c>
      <c r="EE46" s="291">
        <f>EE45/EE43-1</f>
      </c>
      <c r="EF46" s="291">
        <f>EF45/EF43-1</f>
      </c>
      <c r="EG46" s="293"/>
      <c r="EH46" s="291">
        <f>EH45/EH43-1</f>
      </c>
      <c r="EI46" s="291">
        <f>EI45/EI43-1</f>
      </c>
      <c r="EJ46" s="291">
        <f>EJ45/EJ43-1</f>
      </c>
      <c r="EK46" s="291">
        <f>EK45/EK43-1</f>
      </c>
      <c r="EL46" s="293"/>
      <c r="EM46" s="291">
        <f>EM45/EM43-1</f>
      </c>
      <c r="EN46" s="291">
        <f>EN45/EN43-1</f>
      </c>
      <c r="EO46" s="291">
        <f>EO45/EO43-1</f>
      </c>
      <c r="EP46" s="291">
        <f>EP45/EP43-1</f>
      </c>
      <c r="EQ46" s="293"/>
      <c r="ER46" s="291">
        <f>ER45/ER43-1</f>
      </c>
      <c r="ES46" s="291">
        <f>ES45/ES43-1</f>
      </c>
      <c r="ET46" s="291">
        <f>ET45/ET43-1</f>
      </c>
      <c r="EU46" s="291">
        <f>EU45/EU43-1</f>
      </c>
      <c r="EV46" s="293"/>
      <c r="EW46" s="291">
        <f>EW45/EW43-1</f>
      </c>
      <c r="EX46" s="291">
        <f>EX45/EX43-1</f>
      </c>
      <c r="EY46" s="291">
        <f>EY45/EY43-1</f>
      </c>
      <c r="EZ46" s="291">
        <f>EZ45/EZ43-1</f>
      </c>
      <c r="FA46" s="293"/>
      <c r="FB46" s="291"/>
      <c r="FC46" s="291"/>
      <c r="FD46" s="291"/>
      <c r="FE46" s="291"/>
      <c r="FF46" s="293"/>
      <c r="FG46" s="291"/>
      <c r="FH46" s="107"/>
      <c r="FI46" s="107"/>
      <c r="FJ46" s="107"/>
      <c r="FK46" s="293"/>
      <c r="FL46" s="291"/>
      <c r="FM46" s="107"/>
      <c r="FN46" s="107"/>
      <c r="FO46" s="107"/>
      <c r="FP46" s="293"/>
      <c r="FQ46" s="291"/>
      <c r="FR46" s="107"/>
      <c r="FS46" s="107"/>
      <c r="FT46" s="107"/>
      <c r="FU46" s="293"/>
      <c r="FV46" s="291"/>
      <c r="FW46" s="107"/>
      <c r="FX46" s="107"/>
      <c r="FY46" s="107"/>
      <c r="FZ46" s="293"/>
      <c r="GA46" s="291"/>
      <c r="GB46" s="107"/>
      <c r="GC46" s="107"/>
      <c r="GD46" s="107"/>
      <c r="GE46" s="382"/>
    </row>
    <row r="47" spans="1:187" s="537" customFormat="1" ht="12.75" customHeight="1">
      <c r="A47" s="850"/>
      <c r="B47" s="1078" t="s">
        <v>403</v>
      </c>
      <c r="C47" s="291"/>
      <c r="D47" s="137"/>
      <c r="E47" s="137"/>
      <c r="F47" s="137"/>
      <c r="G47" s="538"/>
      <c r="H47" s="291"/>
      <c r="I47" s="107"/>
      <c r="J47" s="107"/>
      <c r="K47" s="107"/>
      <c r="L47" s="293"/>
      <c r="M47" s="291"/>
      <c r="N47" s="107"/>
      <c r="O47" s="107"/>
      <c r="P47" s="107"/>
      <c r="Q47" s="293"/>
      <c r="R47" s="291"/>
      <c r="S47" s="107"/>
      <c r="T47" s="107"/>
      <c r="U47" s="107"/>
      <c r="V47" s="293"/>
      <c r="W47" s="291"/>
      <c r="X47" s="107"/>
      <c r="Y47" s="107"/>
      <c r="Z47" s="107"/>
      <c r="AA47" s="293"/>
      <c r="AB47" s="291"/>
      <c r="AC47" s="107"/>
      <c r="AD47" s="107"/>
      <c r="AE47" s="107"/>
      <c r="AF47" s="293"/>
      <c r="AG47" s="291"/>
      <c r="AH47" s="107"/>
      <c r="AI47" s="107"/>
      <c r="AJ47" s="107"/>
      <c r="AK47" s="293"/>
      <c r="AL47" s="291"/>
      <c r="AM47" s="107"/>
      <c r="AN47" s="107"/>
      <c r="AO47" s="107"/>
      <c r="AP47" s="293"/>
      <c r="AQ47" s="291"/>
      <c r="AR47" s="107"/>
      <c r="AS47" s="107"/>
      <c r="AT47" s="107"/>
      <c r="AU47" s="293"/>
      <c r="AV47" s="291"/>
      <c r="AW47" s="107"/>
      <c r="AX47" s="107"/>
      <c r="AY47" s="107"/>
      <c r="AZ47" s="293"/>
      <c r="BA47" s="291"/>
      <c r="BB47" s="107"/>
      <c r="BC47" s="107"/>
      <c r="BD47" s="107"/>
      <c r="BE47" s="293"/>
      <c r="BF47" s="291"/>
      <c r="BG47" s="107"/>
      <c r="BH47" s="107"/>
      <c r="BI47" s="107"/>
      <c r="BJ47" s="293"/>
      <c r="BK47" s="291"/>
      <c r="BL47" s="107"/>
      <c r="BM47" s="107"/>
      <c r="BN47" s="107"/>
      <c r="BO47" s="293"/>
      <c r="BP47" s="291"/>
      <c r="BQ47" s="107"/>
      <c r="BR47" s="107"/>
      <c r="BS47" s="107"/>
      <c r="BT47" s="293"/>
      <c r="BU47" s="291"/>
      <c r="BV47" s="107"/>
      <c r="BW47" s="107"/>
      <c r="BX47" s="107"/>
      <c r="BY47" s="293"/>
      <c r="BZ47" s="291"/>
      <c r="CA47" s="107"/>
      <c r="CB47" s="107"/>
      <c r="CC47" s="107"/>
      <c r="CD47" s="293"/>
      <c r="CE47" s="291"/>
      <c r="CF47" s="107"/>
      <c r="CG47" s="107"/>
      <c r="CH47" s="107"/>
      <c r="CI47" s="293"/>
      <c r="CJ47" s="291"/>
      <c r="CK47" s="107"/>
      <c r="CL47" s="107"/>
      <c r="CM47" s="107"/>
      <c r="CN47" s="293"/>
      <c r="CO47" s="291"/>
      <c r="CP47" s="107"/>
      <c r="CQ47" s="107"/>
      <c r="CR47" s="107"/>
      <c r="CS47" s="293"/>
      <c r="CT47" s="291"/>
      <c r="CU47" s="107"/>
      <c r="CV47" s="107"/>
      <c r="CW47" s="107"/>
      <c r="CX47" s="293"/>
      <c r="CY47" s="291"/>
      <c r="CZ47" s="107"/>
      <c r="DA47" s="107"/>
      <c r="DB47" s="107"/>
      <c r="DC47" s="293"/>
      <c r="DD47" s="291"/>
      <c r="DE47" s="107"/>
      <c r="DF47" s="107"/>
      <c r="DG47" s="107"/>
      <c r="DH47" s="293"/>
      <c r="DI47" s="291"/>
      <c r="DJ47" s="107"/>
      <c r="DK47" s="107"/>
      <c r="DL47" s="107"/>
      <c r="DM47" s="293"/>
      <c r="DN47" s="291"/>
      <c r="DO47" s="107"/>
      <c r="DP47" s="107"/>
      <c r="DQ47" s="107"/>
      <c r="DR47" s="293"/>
      <c r="DS47" s="291"/>
      <c r="DT47" s="107"/>
      <c r="DU47" s="107"/>
      <c r="DV47" s="107"/>
      <c r="DW47" s="293"/>
      <c r="DX47" s="470">
        <f>DX45-DX43</f>
      </c>
      <c r="DY47" s="470">
        <f>DY45-DY43</f>
      </c>
      <c r="DZ47" s="470">
        <f>DZ45-DZ43</f>
      </c>
      <c r="EA47" s="470">
        <f>EA45-EA43</f>
      </c>
      <c r="EB47" s="293"/>
      <c r="EC47" s="470">
        <f>EC45-EC43</f>
      </c>
      <c r="ED47" s="470">
        <f>ED45-ED43</f>
      </c>
      <c r="EE47" s="470">
        <f>EE45-EE43</f>
      </c>
      <c r="EF47" s="470">
        <f>EF45-EF43</f>
      </c>
      <c r="EG47" s="293"/>
      <c r="EH47" s="470">
        <f>EH45-EH43</f>
      </c>
      <c r="EI47" s="470">
        <f>EI45-EI43</f>
      </c>
      <c r="EJ47" s="470">
        <f>EJ45-EJ43</f>
      </c>
      <c r="EK47" s="470">
        <f>EK45-EK43</f>
      </c>
      <c r="EL47" s="293"/>
      <c r="EM47" s="470">
        <f>EM45-EM43</f>
      </c>
      <c r="EN47" s="470">
        <f>EN45-EN43</f>
      </c>
      <c r="EO47" s="470">
        <f>EO45-EO43</f>
      </c>
      <c r="EP47" s="470">
        <f>EP45-EP43</f>
      </c>
      <c r="EQ47" s="293"/>
      <c r="ER47" s="470">
        <f>ER45-ER43</f>
      </c>
      <c r="ES47" s="470">
        <f>ES45-ES43</f>
      </c>
      <c r="ET47" s="470">
        <f>ET45-ET43</f>
      </c>
      <c r="EU47" s="470">
        <f>EU45-EU43</f>
      </c>
      <c r="EV47" s="293"/>
      <c r="EW47" s="470">
        <f>EW45-EW43</f>
      </c>
      <c r="EX47" s="470">
        <f>EX45-EX43</f>
      </c>
      <c r="EY47" s="470">
        <f>EY45-EY43</f>
      </c>
      <c r="EZ47" s="470">
        <f>EZ45-EZ43</f>
      </c>
      <c r="FA47" s="293"/>
      <c r="FB47" s="470"/>
      <c r="FC47" s="470"/>
      <c r="FD47" s="470"/>
      <c r="FE47" s="470"/>
      <c r="FF47" s="293"/>
      <c r="FG47" s="291"/>
      <c r="FH47" s="107"/>
      <c r="FI47" s="107"/>
      <c r="FJ47" s="107"/>
      <c r="FK47" s="293"/>
      <c r="FL47" s="291"/>
      <c r="FM47" s="107"/>
      <c r="FN47" s="107"/>
      <c r="FO47" s="107"/>
      <c r="FP47" s="293"/>
      <c r="FQ47" s="291"/>
      <c r="FR47" s="107"/>
      <c r="FS47" s="107"/>
      <c r="FT47" s="107"/>
      <c r="FU47" s="293"/>
      <c r="FV47" s="291"/>
      <c r="FW47" s="107"/>
      <c r="FX47" s="107"/>
      <c r="FY47" s="107"/>
      <c r="FZ47" s="293"/>
      <c r="GA47" s="291"/>
      <c r="GB47" s="107"/>
      <c r="GC47" s="107"/>
      <c r="GD47" s="107"/>
      <c r="GE47" s="382"/>
    </row>
    <row r="48" spans="1:187" s="537" customFormat="1" ht="12.75" customHeight="1">
      <c r="A48" s="850"/>
      <c r="B48" s="1078"/>
      <c r="C48" s="291"/>
      <c r="D48" s="137"/>
      <c r="E48" s="137"/>
      <c r="F48" s="137"/>
      <c r="G48" s="538"/>
      <c r="H48" s="291"/>
      <c r="I48" s="107"/>
      <c r="J48" s="107"/>
      <c r="K48" s="107"/>
      <c r="L48" s="293"/>
      <c r="M48" s="291"/>
      <c r="N48" s="107"/>
      <c r="O48" s="107"/>
      <c r="P48" s="107"/>
      <c r="Q48" s="293"/>
      <c r="R48" s="291"/>
      <c r="S48" s="107"/>
      <c r="T48" s="107"/>
      <c r="U48" s="107"/>
      <c r="V48" s="293"/>
      <c r="W48" s="291"/>
      <c r="X48" s="107"/>
      <c r="Y48" s="107"/>
      <c r="Z48" s="107"/>
      <c r="AA48" s="293"/>
      <c r="AB48" s="291"/>
      <c r="AC48" s="107"/>
      <c r="AD48" s="107"/>
      <c r="AE48" s="107"/>
      <c r="AF48" s="293"/>
      <c r="AG48" s="291"/>
      <c r="AH48" s="107"/>
      <c r="AI48" s="107"/>
      <c r="AJ48" s="107"/>
      <c r="AK48" s="293"/>
      <c r="AL48" s="291"/>
      <c r="AM48" s="107"/>
      <c r="AN48" s="107"/>
      <c r="AO48" s="107"/>
      <c r="AP48" s="293"/>
      <c r="AQ48" s="291"/>
      <c r="AR48" s="107"/>
      <c r="AS48" s="107"/>
      <c r="AT48" s="107"/>
      <c r="AU48" s="293"/>
      <c r="AV48" s="291"/>
      <c r="AW48" s="107"/>
      <c r="AX48" s="107"/>
      <c r="AY48" s="107"/>
      <c r="AZ48" s="293"/>
      <c r="BA48" s="291"/>
      <c r="BB48" s="107"/>
      <c r="BC48" s="107"/>
      <c r="BD48" s="107"/>
      <c r="BE48" s="293"/>
      <c r="BF48" s="291"/>
      <c r="BG48" s="107"/>
      <c r="BH48" s="107"/>
      <c r="BI48" s="107"/>
      <c r="BJ48" s="293"/>
      <c r="BK48" s="291"/>
      <c r="BL48" s="107"/>
      <c r="BM48" s="107"/>
      <c r="BN48" s="107"/>
      <c r="BO48" s="293"/>
      <c r="BP48" s="291"/>
      <c r="BQ48" s="107"/>
      <c r="BR48" s="107"/>
      <c r="BS48" s="107"/>
      <c r="BT48" s="293"/>
      <c r="BU48" s="291"/>
      <c r="BV48" s="107"/>
      <c r="BW48" s="107"/>
      <c r="BX48" s="107"/>
      <c r="BY48" s="293"/>
      <c r="BZ48" s="291"/>
      <c r="CA48" s="107"/>
      <c r="CB48" s="107"/>
      <c r="CC48" s="107"/>
      <c r="CD48" s="293"/>
      <c r="CE48" s="291"/>
      <c r="CF48" s="107"/>
      <c r="CG48" s="107"/>
      <c r="CH48" s="107"/>
      <c r="CI48" s="293"/>
      <c r="CJ48" s="291"/>
      <c r="CK48" s="107"/>
      <c r="CL48" s="107"/>
      <c r="CM48" s="107"/>
      <c r="CN48" s="293"/>
      <c r="CO48" s="291"/>
      <c r="CP48" s="107"/>
      <c r="CQ48" s="107"/>
      <c r="CR48" s="107"/>
      <c r="CS48" s="293"/>
      <c r="CT48" s="291"/>
      <c r="CU48" s="107"/>
      <c r="CV48" s="107"/>
      <c r="CW48" s="107"/>
      <c r="CX48" s="293"/>
      <c r="CY48" s="291"/>
      <c r="CZ48" s="107"/>
      <c r="DA48" s="107"/>
      <c r="DB48" s="107"/>
      <c r="DC48" s="293"/>
      <c r="DD48" s="291"/>
      <c r="DE48" s="107"/>
      <c r="DF48" s="107"/>
      <c r="DG48" s="107"/>
      <c r="DH48" s="293"/>
      <c r="DI48" s="291"/>
      <c r="DJ48" s="107"/>
      <c r="DK48" s="107"/>
      <c r="DL48" s="107"/>
      <c r="DM48" s="293"/>
      <c r="DN48" s="291"/>
      <c r="DO48" s="107"/>
      <c r="DP48" s="107"/>
      <c r="DQ48" s="107"/>
      <c r="DR48" s="293"/>
      <c r="DS48" s="291"/>
      <c r="DT48" s="107"/>
      <c r="DU48" s="107"/>
      <c r="DV48" s="107"/>
      <c r="DW48" s="293"/>
      <c r="DX48" s="291"/>
      <c r="DY48" s="107"/>
      <c r="DZ48" s="107"/>
      <c r="EA48" s="107"/>
      <c r="EB48" s="293"/>
      <c r="EC48" s="291"/>
      <c r="ED48" s="107"/>
      <c r="EE48" s="107"/>
      <c r="EF48" s="107"/>
      <c r="EG48" s="293"/>
      <c r="EH48" s="291"/>
      <c r="EI48" s="107"/>
      <c r="EJ48" s="107"/>
      <c r="EK48" s="107"/>
      <c r="EL48" s="293"/>
      <c r="EM48" s="291"/>
      <c r="EN48" s="107"/>
      <c r="EO48" s="107"/>
      <c r="EP48" s="107"/>
      <c r="EQ48" s="293"/>
      <c r="ER48" s="291"/>
      <c r="ES48" s="107"/>
      <c r="ET48" s="107"/>
      <c r="EU48" s="107"/>
      <c r="EV48" s="293"/>
      <c r="EW48" s="291"/>
      <c r="EX48" s="107"/>
      <c r="EY48" s="107"/>
      <c r="EZ48" s="107"/>
      <c r="FA48" s="293"/>
      <c r="FB48" s="291"/>
      <c r="FC48" s="107"/>
      <c r="FD48" s="107"/>
      <c r="FE48" s="107"/>
      <c r="FF48" s="293"/>
      <c r="FG48" s="291"/>
      <c r="FH48" s="107"/>
      <c r="FI48" s="107"/>
      <c r="FJ48" s="107"/>
      <c r="FK48" s="293"/>
      <c r="FL48" s="291"/>
      <c r="FM48" s="107"/>
      <c r="FN48" s="107"/>
      <c r="FO48" s="107"/>
      <c r="FP48" s="293"/>
      <c r="FQ48" s="291"/>
      <c r="FR48" s="107"/>
      <c r="FS48" s="107"/>
      <c r="FT48" s="107"/>
      <c r="FU48" s="293"/>
      <c r="FV48" s="291"/>
      <c r="FW48" s="107"/>
      <c r="FX48" s="107"/>
      <c r="FY48" s="107"/>
      <c r="FZ48" s="293"/>
      <c r="GA48" s="291"/>
      <c r="GB48" s="107"/>
      <c r="GC48" s="107"/>
      <c r="GD48" s="107"/>
      <c r="GE48" s="382"/>
    </row>
    <row r="49" spans="1:187" s="537" customFormat="1" ht="12.75" customHeight="1">
      <c r="A49" s="850"/>
      <c r="B49" s="1078" t="s">
        <v>409</v>
      </c>
      <c r="C49" s="412"/>
      <c r="D49" s="758"/>
      <c r="E49" s="758"/>
      <c r="F49" s="758"/>
      <c r="G49" s="1113"/>
      <c r="H49" s="412"/>
      <c r="I49" s="114"/>
      <c r="J49" s="114"/>
      <c r="K49" s="114"/>
      <c r="L49" s="414"/>
      <c r="M49" s="412"/>
      <c r="N49" s="114"/>
      <c r="O49" s="114"/>
      <c r="P49" s="114"/>
      <c r="Q49" s="414"/>
      <c r="R49" s="412"/>
      <c r="S49" s="114"/>
      <c r="T49" s="114"/>
      <c r="U49" s="114"/>
      <c r="V49" s="414"/>
      <c r="W49" s="412"/>
      <c r="X49" s="114"/>
      <c r="Y49" s="114"/>
      <c r="Z49" s="114"/>
      <c r="AA49" s="414"/>
      <c r="AB49" s="412"/>
      <c r="AC49" s="114"/>
      <c r="AD49" s="114"/>
      <c r="AE49" s="114"/>
      <c r="AF49" s="414"/>
      <c r="AG49" s="412"/>
      <c r="AH49" s="114"/>
      <c r="AI49" s="114"/>
      <c r="AJ49" s="114"/>
      <c r="AK49" s="414"/>
      <c r="AL49" s="412"/>
      <c r="AM49" s="114"/>
      <c r="AN49" s="114"/>
      <c r="AO49" s="114"/>
      <c r="AP49" s="414"/>
      <c r="AQ49" s="412"/>
      <c r="AR49" s="114"/>
      <c r="AS49" s="114"/>
      <c r="AT49" s="114"/>
      <c r="AU49" s="414"/>
      <c r="AV49" s="412"/>
      <c r="AW49" s="114"/>
      <c r="AX49" s="114"/>
      <c r="AY49" s="114"/>
      <c r="AZ49" s="414"/>
      <c r="BA49" s="412"/>
      <c r="BB49" s="114"/>
      <c r="BC49" s="114"/>
      <c r="BD49" s="114"/>
      <c r="BE49" s="414"/>
      <c r="BF49" s="412"/>
      <c r="BG49" s="114"/>
      <c r="BH49" s="114"/>
      <c r="BI49" s="114"/>
      <c r="BJ49" s="414"/>
      <c r="BK49" s="412"/>
      <c r="BL49" s="114"/>
      <c r="BM49" s="114"/>
      <c r="BN49" s="114"/>
      <c r="BO49" s="414"/>
      <c r="BP49" s="412"/>
      <c r="BQ49" s="114"/>
      <c r="BR49" s="114"/>
      <c r="BS49" s="114"/>
      <c r="BT49" s="414"/>
      <c r="BU49" s="412"/>
      <c r="BV49" s="114"/>
      <c r="BW49" s="114"/>
      <c r="BX49" s="114"/>
      <c r="BY49" s="414"/>
      <c r="BZ49" s="412"/>
      <c r="CA49" s="114"/>
      <c r="CB49" s="114"/>
      <c r="CC49" s="114"/>
      <c r="CD49" s="414"/>
      <c r="CE49" s="412"/>
      <c r="CF49" s="114"/>
      <c r="CG49" s="114"/>
      <c r="CH49" s="114"/>
      <c r="CI49" s="414"/>
      <c r="CJ49" s="412"/>
      <c r="CK49" s="114"/>
      <c r="CL49" s="114"/>
      <c r="CM49" s="114"/>
      <c r="CN49" s="414"/>
      <c r="CO49" s="412"/>
      <c r="CP49" s="114"/>
      <c r="CQ49" s="114"/>
      <c r="CR49" s="114"/>
      <c r="CS49" s="414"/>
      <c r="CT49" s="412"/>
      <c r="CU49" s="114"/>
      <c r="CV49" s="114"/>
      <c r="CW49" s="114"/>
      <c r="CX49" s="414"/>
      <c r="CY49" s="412"/>
      <c r="CZ49" s="114"/>
      <c r="DA49" s="114"/>
      <c r="DB49" s="114"/>
      <c r="DC49" s="414"/>
      <c r="DD49" s="412"/>
      <c r="DE49" s="114"/>
      <c r="DF49" s="114"/>
      <c r="DG49" s="114"/>
      <c r="DH49" s="414"/>
      <c r="DI49" s="412"/>
      <c r="DJ49" s="114"/>
      <c r="DK49" s="114"/>
      <c r="DL49" s="114"/>
      <c r="DM49" s="414"/>
      <c r="DN49" s="412"/>
      <c r="DO49" s="114"/>
      <c r="DP49" s="114"/>
      <c r="DQ49" s="114"/>
      <c r="DR49" s="414"/>
      <c r="DS49" s="412"/>
      <c r="DT49" s="114"/>
      <c r="DU49" s="114"/>
      <c r="DV49" s="114"/>
      <c r="DW49" s="414"/>
      <c r="DX49" s="412">
        <v>-0.01</v>
      </c>
      <c r="DY49" s="114">
        <v>-0.01</v>
      </c>
      <c r="DZ49" s="114">
        <v>-0.01</v>
      </c>
      <c r="EA49" s="114">
        <v>-0.01</v>
      </c>
      <c r="EB49" s="414"/>
      <c r="EC49" s="412">
        <v>0</v>
      </c>
      <c r="ED49" s="114">
        <v>0</v>
      </c>
      <c r="EE49" s="114">
        <v>0.02</v>
      </c>
      <c r="EF49" s="114">
        <v>0.02</v>
      </c>
      <c r="EG49" s="414"/>
      <c r="EH49" s="412">
        <v>0.02</v>
      </c>
      <c r="EI49" s="114">
        <v>0.01</v>
      </c>
      <c r="EJ49" s="114">
        <v>-0.01</v>
      </c>
      <c r="EK49" s="114">
        <v>-0.02</v>
      </c>
      <c r="EL49" s="414"/>
      <c r="EM49" s="412">
        <v>-0.03</v>
      </c>
      <c r="EN49" s="114">
        <v>-0.03</v>
      </c>
      <c r="EO49" s="114">
        <v>-0.02</v>
      </c>
      <c r="EP49" s="114">
        <v>-0.01</v>
      </c>
      <c r="EQ49" s="414"/>
      <c r="ER49" s="412">
        <v>0</v>
      </c>
      <c r="ES49" s="114">
        <v>0.01</v>
      </c>
      <c r="ET49" s="114">
        <v>0</v>
      </c>
      <c r="EU49" s="107"/>
      <c r="EV49" s="293"/>
      <c r="EW49" s="114">
        <v>0</v>
      </c>
      <c r="EX49" s="114"/>
      <c r="EY49" s="114">
        <v>-0.02</v>
      </c>
      <c r="EZ49" s="107"/>
      <c r="FA49" s="293"/>
      <c r="FB49" s="114"/>
      <c r="FC49" s="114"/>
      <c r="FD49" s="114"/>
      <c r="FE49" s="107"/>
      <c r="FF49" s="293"/>
      <c r="FG49" s="291"/>
      <c r="FH49" s="107"/>
      <c r="FI49" s="107"/>
      <c r="FJ49" s="107"/>
      <c r="FK49" s="293"/>
      <c r="FL49" s="291"/>
      <c r="FM49" s="107"/>
      <c r="FN49" s="107"/>
      <c r="FO49" s="107"/>
      <c r="FP49" s="293"/>
      <c r="FQ49" s="291"/>
      <c r="FR49" s="107"/>
      <c r="FS49" s="107"/>
      <c r="FT49" s="107"/>
      <c r="FU49" s="293"/>
      <c r="FV49" s="291"/>
      <c r="FW49" s="107"/>
      <c r="FX49" s="107"/>
      <c r="FY49" s="107"/>
      <c r="FZ49" s="293"/>
      <c r="GA49" s="291"/>
      <c r="GB49" s="107"/>
      <c r="GC49" s="107"/>
      <c r="GD49" s="107"/>
      <c r="GE49" s="382"/>
    </row>
    <row r="50" spans="1:187" s="537" customFormat="1" ht="12.75" customHeight="1">
      <c r="A50" s="850"/>
      <c r="B50" s="1078"/>
      <c r="C50" s="291"/>
      <c r="D50" s="137"/>
      <c r="E50" s="137"/>
      <c r="F50" s="137"/>
      <c r="G50" s="538"/>
      <c r="H50" s="291"/>
      <c r="I50" s="107"/>
      <c r="J50" s="107"/>
      <c r="K50" s="107"/>
      <c r="L50" s="293"/>
      <c r="M50" s="291"/>
      <c r="N50" s="107"/>
      <c r="O50" s="107"/>
      <c r="P50" s="107"/>
      <c r="Q50" s="293"/>
      <c r="R50" s="291"/>
      <c r="S50" s="107"/>
      <c r="T50" s="107"/>
      <c r="U50" s="107"/>
      <c r="V50" s="293"/>
      <c r="W50" s="291"/>
      <c r="X50" s="107"/>
      <c r="Y50" s="107"/>
      <c r="Z50" s="107"/>
      <c r="AA50" s="293"/>
      <c r="AB50" s="291"/>
      <c r="AC50" s="107"/>
      <c r="AD50" s="107"/>
      <c r="AE50" s="107"/>
      <c r="AF50" s="293"/>
      <c r="AG50" s="291"/>
      <c r="AH50" s="107"/>
      <c r="AI50" s="107"/>
      <c r="AJ50" s="107"/>
      <c r="AK50" s="293"/>
      <c r="AL50" s="291"/>
      <c r="AM50" s="107"/>
      <c r="AN50" s="107"/>
      <c r="AO50" s="107"/>
      <c r="AP50" s="293"/>
      <c r="AQ50" s="291"/>
      <c r="AR50" s="107"/>
      <c r="AS50" s="107"/>
      <c r="AT50" s="107"/>
      <c r="AU50" s="293"/>
      <c r="AV50" s="291"/>
      <c r="AW50" s="107"/>
      <c r="AX50" s="107"/>
      <c r="AY50" s="107"/>
      <c r="AZ50" s="293"/>
      <c r="BA50" s="291"/>
      <c r="BB50" s="107"/>
      <c r="BC50" s="107"/>
      <c r="BD50" s="107"/>
      <c r="BE50" s="293"/>
      <c r="BF50" s="291"/>
      <c r="BG50" s="107"/>
      <c r="BH50" s="107"/>
      <c r="BI50" s="107"/>
      <c r="BJ50" s="293"/>
      <c r="BK50" s="291"/>
      <c r="BL50" s="107"/>
      <c r="BM50" s="107"/>
      <c r="BN50" s="107"/>
      <c r="BO50" s="293"/>
      <c r="BP50" s="291"/>
      <c r="BQ50" s="107"/>
      <c r="BR50" s="107"/>
      <c r="BS50" s="107"/>
      <c r="BT50" s="293"/>
      <c r="BU50" s="291"/>
      <c r="BV50" s="107"/>
      <c r="BW50" s="107"/>
      <c r="BX50" s="107"/>
      <c r="BY50" s="293"/>
      <c r="BZ50" s="291"/>
      <c r="CA50" s="107"/>
      <c r="CB50" s="107"/>
      <c r="CC50" s="107"/>
      <c r="CD50" s="293"/>
      <c r="CE50" s="291"/>
      <c r="CF50" s="107"/>
      <c r="CG50" s="107"/>
      <c r="CH50" s="107"/>
      <c r="CI50" s="293"/>
      <c r="CJ50" s="291"/>
      <c r="CK50" s="107"/>
      <c r="CL50" s="107"/>
      <c r="CM50" s="107"/>
      <c r="CN50" s="293"/>
      <c r="CO50" s="291"/>
      <c r="CP50" s="107"/>
      <c r="CQ50" s="107"/>
      <c r="CR50" s="107"/>
      <c r="CS50" s="293"/>
      <c r="CT50" s="291"/>
      <c r="CU50" s="107"/>
      <c r="CV50" s="107"/>
      <c r="CW50" s="107"/>
      <c r="CX50" s="293"/>
      <c r="CY50" s="291"/>
      <c r="CZ50" s="107"/>
      <c r="DA50" s="107"/>
      <c r="DB50" s="107"/>
      <c r="DC50" s="293"/>
      <c r="DD50" s="291"/>
      <c r="DE50" s="107"/>
      <c r="DF50" s="107"/>
      <c r="DG50" s="107"/>
      <c r="DH50" s="293"/>
      <c r="DI50" s="291"/>
      <c r="DJ50" s="107"/>
      <c r="DK50" s="107"/>
      <c r="DL50" s="107"/>
      <c r="DM50" s="293"/>
      <c r="DN50" s="291"/>
      <c r="DO50" s="107"/>
      <c r="DP50" s="107"/>
      <c r="DQ50" s="107"/>
      <c r="DR50" s="293"/>
      <c r="DS50" s="291"/>
      <c r="DT50" s="107"/>
      <c r="DU50" s="107"/>
      <c r="DV50" s="107"/>
      <c r="DW50" s="293"/>
      <c r="DX50" s="291"/>
      <c r="DY50" s="107"/>
      <c r="DZ50" s="107"/>
      <c r="EA50" s="107"/>
      <c r="EB50" s="293"/>
      <c r="EC50" s="291"/>
      <c r="ED50" s="107"/>
      <c r="EE50" s="107"/>
      <c r="EF50" s="107"/>
      <c r="EG50" s="293"/>
      <c r="EH50" s="291"/>
      <c r="EI50" s="107"/>
      <c r="EJ50" s="107"/>
      <c r="EK50" s="107"/>
      <c r="EL50" s="293"/>
      <c r="EM50" s="291"/>
      <c r="EN50" s="107"/>
      <c r="EO50" s="107"/>
      <c r="EP50" s="107"/>
      <c r="EQ50" s="293"/>
      <c r="ER50" s="291"/>
      <c r="ES50" s="107"/>
      <c r="ET50" s="107"/>
      <c r="EU50" s="107"/>
      <c r="EV50" s="293"/>
      <c r="EW50" s="291"/>
      <c r="EX50" s="107"/>
      <c r="EY50" s="107"/>
      <c r="EZ50" s="107"/>
      <c r="FA50" s="293"/>
      <c r="FB50" s="291"/>
      <c r="FC50" s="107"/>
      <c r="FD50" s="107"/>
      <c r="FE50" s="107"/>
      <c r="FF50" s="293"/>
      <c r="FG50" s="291"/>
      <c r="FH50" s="107"/>
      <c r="FI50" s="107"/>
      <c r="FJ50" s="107"/>
      <c r="FK50" s="293"/>
      <c r="FL50" s="291"/>
      <c r="FM50" s="107"/>
      <c r="FN50" s="107"/>
      <c r="FO50" s="107"/>
      <c r="FP50" s="293"/>
      <c r="FQ50" s="291"/>
      <c r="FR50" s="107"/>
      <c r="FS50" s="107"/>
      <c r="FT50" s="107"/>
      <c r="FU50" s="293"/>
      <c r="FV50" s="291"/>
      <c r="FW50" s="107"/>
      <c r="FX50" s="107"/>
      <c r="FY50" s="107"/>
      <c r="FZ50" s="293"/>
      <c r="GA50" s="291"/>
      <c r="GB50" s="107"/>
      <c r="GC50" s="107"/>
      <c r="GD50" s="107"/>
      <c r="GE50" s="382"/>
    </row>
    <row r="51" spans="1:187" s="537" customFormat="1" ht="12.75" customHeight="1">
      <c r="A51" s="850"/>
      <c r="B51" s="1080" t="s">
        <v>407</v>
      </c>
      <c r="C51" s="399"/>
      <c r="D51" s="889"/>
      <c r="E51" s="889"/>
      <c r="F51" s="889"/>
      <c r="G51" s="890"/>
      <c r="H51" s="399"/>
      <c r="I51" s="129"/>
      <c r="J51" s="129"/>
      <c r="K51" s="129"/>
      <c r="L51" s="891"/>
      <c r="M51" s="399"/>
      <c r="N51" s="129"/>
      <c r="O51" s="129"/>
      <c r="P51" s="129"/>
      <c r="Q51" s="891"/>
      <c r="R51" s="399"/>
      <c r="S51" s="129"/>
      <c r="T51" s="129"/>
      <c r="U51" s="129"/>
      <c r="V51" s="891"/>
      <c r="W51" s="399"/>
      <c r="X51" s="129"/>
      <c r="Y51" s="129"/>
      <c r="Z51" s="129"/>
      <c r="AA51" s="891"/>
      <c r="AB51" s="399"/>
      <c r="AC51" s="129"/>
      <c r="AD51" s="129"/>
      <c r="AE51" s="129"/>
      <c r="AF51" s="891"/>
      <c r="AG51" s="399"/>
      <c r="AH51" s="129"/>
      <c r="AI51" s="129"/>
      <c r="AJ51" s="129"/>
      <c r="AK51" s="891"/>
      <c r="AL51" s="399"/>
      <c r="AM51" s="129"/>
      <c r="AN51" s="129"/>
      <c r="AO51" s="129"/>
      <c r="AP51" s="891"/>
      <c r="AQ51" s="399"/>
      <c r="AR51" s="129"/>
      <c r="AS51" s="129"/>
      <c r="AT51" s="129"/>
      <c r="AU51" s="891"/>
      <c r="AV51" s="399"/>
      <c r="AW51" s="129"/>
      <c r="AX51" s="129"/>
      <c r="AY51" s="129"/>
      <c r="AZ51" s="891"/>
      <c r="BA51" s="399"/>
      <c r="BB51" s="129"/>
      <c r="BC51" s="129"/>
      <c r="BD51" s="129"/>
      <c r="BE51" s="891"/>
      <c r="BF51" s="399"/>
      <c r="BG51" s="129"/>
      <c r="BH51" s="129"/>
      <c r="BI51" s="129"/>
      <c r="BJ51" s="891"/>
      <c r="BK51" s="399"/>
      <c r="BL51" s="129"/>
      <c r="BM51" s="129"/>
      <c r="BN51" s="129"/>
      <c r="BO51" s="891"/>
      <c r="BP51" s="399"/>
      <c r="BQ51" s="129"/>
      <c r="BR51" s="129"/>
      <c r="BS51" s="129"/>
      <c r="BT51" s="891"/>
      <c r="BU51" s="399"/>
      <c r="BV51" s="129"/>
      <c r="BW51" s="129"/>
      <c r="BX51" s="129"/>
      <c r="BY51" s="891"/>
      <c r="BZ51" s="399"/>
      <c r="CA51" s="129"/>
      <c r="CB51" s="129"/>
      <c r="CC51" s="129"/>
      <c r="CD51" s="891"/>
      <c r="CE51" s="399"/>
      <c r="CF51" s="129"/>
      <c r="CG51" s="129"/>
      <c r="CH51" s="129"/>
      <c r="CI51" s="891"/>
      <c r="CJ51" s="399"/>
      <c r="CK51" s="129"/>
      <c r="CL51" s="129"/>
      <c r="CM51" s="129"/>
      <c r="CN51" s="891"/>
      <c r="CO51" s="399"/>
      <c r="CP51" s="129"/>
      <c r="CQ51" s="129"/>
      <c r="CR51" s="129"/>
      <c r="CS51" s="891"/>
      <c r="CT51" s="399"/>
      <c r="CU51" s="129"/>
      <c r="CV51" s="129"/>
      <c r="CW51" s="129"/>
      <c r="CX51" s="891"/>
      <c r="CY51" s="399"/>
      <c r="CZ51" s="129"/>
      <c r="DA51" s="129"/>
      <c r="DB51" s="129"/>
      <c r="DC51" s="891"/>
      <c r="DD51" s="1070">
        <f>Company1738!DD51-Company1738!DD52</f>
      </c>
      <c r="DE51" s="1073">
        <f>Company1738!DE51-Company1738!DE52</f>
      </c>
      <c r="DF51" s="1073">
        <f>Company1738!DF51-Company1738!DF52</f>
      </c>
      <c r="DG51" s="1073">
        <f>Company1738!DG51-Company1738!DG52</f>
      </c>
      <c r="DH51" s="1074">
        <f>Company1738!DH51-Company1738!DH52</f>
      </c>
      <c r="DI51" s="1070">
        <f>Company1738!DI51-Company1738!DI52</f>
      </c>
      <c r="DJ51" s="1073">
        <f>Company1738!DJ51-Company1738!DJ52</f>
      </c>
      <c r="DK51" s="1073">
        <f>Company1738!DK51-Company1738!DK52</f>
      </c>
      <c r="DL51" s="1073">
        <f>Company1738!DL51-Company1738!DL52</f>
      </c>
      <c r="DM51" s="1074">
        <f>Company1738!DM51-Company1738!DM52</f>
      </c>
      <c r="DN51" s="1070">
        <f>Company1738!DN51-Company1738!DN52</f>
      </c>
      <c r="DO51" s="1073">
        <f>Company1738!DO51-Company1738!DO52</f>
      </c>
      <c r="DP51" s="1073">
        <f>Company1738!DP51-Company1738!DP52</f>
      </c>
      <c r="DQ51" s="1073">
        <f>Company1738!DQ51-Company1738!DQ52</f>
      </c>
      <c r="DR51" s="1074">
        <f>Company1738!DR51-Company1738!DR52</f>
      </c>
      <c r="DS51" s="1070">
        <f>Company1738!DS51-Company1738!DS52</f>
      </c>
      <c r="DT51" s="1073">
        <f>Company1738!DT51-Company1738!DT52</f>
      </c>
      <c r="DU51" s="1073">
        <f>Company1738!DU51-Company1738!DU52</f>
      </c>
      <c r="DV51" s="1073">
        <f>Company1738!DV51-Company1738!DV52</f>
      </c>
      <c r="DW51" s="1074">
        <f>Company1738!DW51-Company1738!DW52</f>
      </c>
      <c r="DX51" s="1070">
        <f>Company1738!DX51-Company1738!DX52</f>
      </c>
      <c r="DY51" s="1073">
        <f>Company1738!DY51-Company1738!DY52</f>
      </c>
      <c r="DZ51" s="1073">
        <f>Company1738!DZ51-Company1738!DZ52</f>
      </c>
      <c r="EA51" s="1073">
        <f>Company1738!EA51-Company1738!EA52</f>
      </c>
      <c r="EB51" s="1074">
        <f>Company1738!EB51-Company1738!EB52</f>
      </c>
      <c r="EC51" s="1070">
        <f>Company1738!EC51-Company1738!EC52</f>
      </c>
      <c r="ED51" s="1073">
        <f>Company1738!ED51-Company1738!ED52</f>
      </c>
      <c r="EE51" s="1073">
        <f>Company1738!EE51-Company1738!EE52</f>
      </c>
      <c r="EF51" s="1073">
        <f>Company1738!EF51-Company1738!EF52</f>
      </c>
      <c r="EG51" s="1074">
        <f>Company1738!EG51-Company1738!EG52</f>
      </c>
      <c r="EH51" s="1070">
        <f>Company1738!EH51-Company1738!EH52</f>
      </c>
      <c r="EI51" s="1073">
        <f>Company1738!EI51-Company1738!EI52</f>
      </c>
      <c r="EJ51" s="1073">
        <f>Company1738!EJ51-Company1738!EJ52</f>
      </c>
      <c r="EK51" s="1073">
        <f>Company1738!EK51-Company1738!EK52</f>
      </c>
      <c r="EL51" s="1074">
        <f>Company1738!EL51-Company1738!EL52</f>
      </c>
      <c r="EM51" s="1070">
        <f>Company1738!EM51-Company1738!EM52</f>
      </c>
      <c r="EN51" s="1073">
        <f>Company1738!EN51-Company1738!EN52</f>
      </c>
      <c r="EO51" s="1073">
        <f>Company1738!EO51-Company1738!EO52</f>
      </c>
      <c r="EP51" s="1073">
        <f>Company1738!EP51-Company1738!EP52</f>
      </c>
      <c r="EQ51" s="1074">
        <f>Company1738!EQ51-Company1738!EQ52</f>
      </c>
      <c r="ER51" s="1070">
        <f>Company1738!ER51-Company1738!ER52</f>
      </c>
      <c r="ES51" s="1073">
        <f>Company1738!ES51-Company1738!ES52</f>
      </c>
      <c r="ET51" s="1073">
        <f>Company1738!ET51-Company1738!ET52</f>
      </c>
      <c r="EU51" s="1073">
        <f>Company1738!EU51-Company1738!EU52</f>
      </c>
      <c r="EV51" s="891"/>
      <c r="EW51" s="1070">
        <f>Company1738!EW11-Company1738!EW12</f>
      </c>
      <c r="EX51" s="1073">
        <f>Company1738!EX11-Company1738!EX12</f>
      </c>
      <c r="EY51" s="1073">
        <f>Company1738!EY11-Company1738!EY12</f>
      </c>
      <c r="EZ51" s="1070">
        <f>Company1738!EZ11-Company1738!EZ12</f>
      </c>
      <c r="FA51" s="891"/>
      <c r="FB51" s="1070"/>
      <c r="FC51" s="1073"/>
      <c r="FD51" s="1073"/>
      <c r="FE51" s="1073"/>
      <c r="FF51" s="891"/>
      <c r="FG51" s="399"/>
      <c r="FH51" s="129"/>
      <c r="FI51" s="129"/>
      <c r="FJ51" s="129"/>
      <c r="FK51" s="891"/>
      <c r="FL51" s="399"/>
      <c r="FM51" s="129"/>
      <c r="FN51" s="129"/>
      <c r="FO51" s="129"/>
      <c r="FP51" s="891"/>
      <c r="FQ51" s="399"/>
      <c r="FR51" s="129"/>
      <c r="FS51" s="129"/>
      <c r="FT51" s="129"/>
      <c r="FU51" s="891"/>
      <c r="FV51" s="399"/>
      <c r="FW51" s="129"/>
      <c r="FX51" s="129"/>
      <c r="FY51" s="129"/>
      <c r="FZ51" s="891"/>
      <c r="GA51" s="399"/>
      <c r="GB51" s="129"/>
      <c r="GC51" s="129"/>
      <c r="GD51" s="129"/>
      <c r="GE51" s="1081"/>
    </row>
    <row r="52" spans="1:187" s="537" customFormat="1" ht="12.75" customHeight="1">
      <c r="A52" s="850"/>
      <c r="B52" s="1078" t="s">
        <v>405</v>
      </c>
      <c r="C52" s="291"/>
      <c r="D52" s="137"/>
      <c r="E52" s="137"/>
      <c r="F52" s="137"/>
      <c r="G52" s="538"/>
      <c r="H52" s="291"/>
      <c r="I52" s="107"/>
      <c r="J52" s="107"/>
      <c r="K52" s="107"/>
      <c r="L52" s="293"/>
      <c r="M52" s="291"/>
      <c r="N52" s="107"/>
      <c r="O52" s="107"/>
      <c r="P52" s="107"/>
      <c r="Q52" s="293"/>
      <c r="R52" s="291"/>
      <c r="S52" s="107"/>
      <c r="T52" s="107"/>
      <c r="U52" s="107"/>
      <c r="V52" s="293"/>
      <c r="W52" s="291"/>
      <c r="X52" s="107"/>
      <c r="Y52" s="107"/>
      <c r="Z52" s="107"/>
      <c r="AA52" s="293"/>
      <c r="AB52" s="291"/>
      <c r="AC52" s="107"/>
      <c r="AD52" s="107"/>
      <c r="AE52" s="107"/>
      <c r="AF52" s="293"/>
      <c r="AG52" s="291"/>
      <c r="AH52" s="107"/>
      <c r="AI52" s="107"/>
      <c r="AJ52" s="107"/>
      <c r="AK52" s="293"/>
      <c r="AL52" s="291"/>
      <c r="AM52" s="107"/>
      <c r="AN52" s="107"/>
      <c r="AO52" s="107"/>
      <c r="AP52" s="293"/>
      <c r="AQ52" s="291"/>
      <c r="AR52" s="107"/>
      <c r="AS52" s="107"/>
      <c r="AT52" s="107"/>
      <c r="AU52" s="293"/>
      <c r="AV52" s="291"/>
      <c r="AW52" s="107"/>
      <c r="AX52" s="107"/>
      <c r="AY52" s="107"/>
      <c r="AZ52" s="293"/>
      <c r="BA52" s="291"/>
      <c r="BB52" s="107"/>
      <c r="BC52" s="107"/>
      <c r="BD52" s="107"/>
      <c r="BE52" s="293"/>
      <c r="BF52" s="291"/>
      <c r="BG52" s="107"/>
      <c r="BH52" s="107"/>
      <c r="BI52" s="107"/>
      <c r="BJ52" s="293"/>
      <c r="BK52" s="291"/>
      <c r="BL52" s="107"/>
      <c r="BM52" s="107"/>
      <c r="BN52" s="107"/>
      <c r="BO52" s="293"/>
      <c r="BP52" s="291"/>
      <c r="BQ52" s="107"/>
      <c r="BR52" s="107"/>
      <c r="BS52" s="107"/>
      <c r="BT52" s="293"/>
      <c r="BU52" s="291"/>
      <c r="BV52" s="107"/>
      <c r="BW52" s="107"/>
      <c r="BX52" s="107"/>
      <c r="BY52" s="293"/>
      <c r="BZ52" s="291"/>
      <c r="CA52" s="107"/>
      <c r="CB52" s="107"/>
      <c r="CC52" s="107"/>
      <c r="CD52" s="293"/>
      <c r="CE52" s="291"/>
      <c r="CF52" s="107"/>
      <c r="CG52" s="107"/>
      <c r="CH52" s="107"/>
      <c r="CI52" s="293"/>
      <c r="CJ52" s="291"/>
      <c r="CK52" s="107"/>
      <c r="CL52" s="107"/>
      <c r="CM52" s="107"/>
      <c r="CN52" s="293"/>
      <c r="CO52" s="291"/>
      <c r="CP52" s="107"/>
      <c r="CQ52" s="107"/>
      <c r="CR52" s="107"/>
      <c r="CS52" s="293"/>
      <c r="CT52" s="291"/>
      <c r="CU52" s="107"/>
      <c r="CV52" s="107"/>
      <c r="CW52" s="107"/>
      <c r="CX52" s="293"/>
      <c r="CY52" s="291"/>
      <c r="CZ52" s="107"/>
      <c r="DA52" s="107"/>
      <c r="DB52" s="107"/>
      <c r="DC52" s="293"/>
      <c r="DD52" s="291"/>
      <c r="DE52" s="107"/>
      <c r="DF52" s="107"/>
      <c r="DG52" s="107"/>
      <c r="DH52" s="293"/>
      <c r="DI52" s="291"/>
      <c r="DJ52" s="107"/>
      <c r="DK52" s="107"/>
      <c r="DL52" s="107"/>
      <c r="DM52" s="293"/>
      <c r="DN52" s="291"/>
      <c r="DO52" s="107"/>
      <c r="DP52" s="107"/>
      <c r="DQ52" s="107"/>
      <c r="DR52" s="293"/>
      <c r="DS52" s="291"/>
      <c r="DT52" s="107"/>
      <c r="DU52" s="107"/>
      <c r="DV52" s="107"/>
      <c r="DW52" s="293"/>
      <c r="DX52" s="1120">
        <f>(DX51-DX49)*10000</f>
      </c>
      <c r="DY52" s="1120">
        <f>(DY51-DY49)*10000</f>
      </c>
      <c r="DZ52" s="1120">
        <f>(DZ51-DZ49)*10000</f>
      </c>
      <c r="EA52" s="1120">
        <f>(EA51-EA49)*10000</f>
      </c>
      <c r="EB52" s="293"/>
      <c r="EC52" s="1120">
        <f>(EC51-EC49)*10000</f>
      </c>
      <c r="ED52" s="1120">
        <f>(ED51-ED49)*10000</f>
      </c>
      <c r="EE52" s="1120">
        <f>(EE51-EE49)*10000</f>
      </c>
      <c r="EF52" s="1120">
        <f>(EF51-EF49)*10000</f>
      </c>
      <c r="EG52" s="293"/>
      <c r="EH52" s="1120">
        <f>(EH51-EH49)*10000</f>
      </c>
      <c r="EI52" s="1120">
        <f>(EI51-EI49)*10000</f>
      </c>
      <c r="EJ52" s="1120">
        <f>(EJ51-EJ49)*10000</f>
      </c>
      <c r="EK52" s="1120">
        <f>(EK51-EK49)*10000</f>
      </c>
      <c r="EL52" s="293"/>
      <c r="EM52" s="1120">
        <f>(EM51-EM49)*10000</f>
      </c>
      <c r="EN52" s="1120">
        <f>(EN51-EN49)*10000</f>
      </c>
      <c r="EO52" s="1120">
        <f>(EO51-EO49)*10000</f>
      </c>
      <c r="EP52" s="1120">
        <f>(EP51-EP49)*10000</f>
      </c>
      <c r="EQ52" s="293"/>
      <c r="ER52" s="1120">
        <f>(ER51-ER49)*10000</f>
      </c>
      <c r="ES52" s="1120">
        <f>(ES51-ES49)*10000</f>
      </c>
      <c r="ET52" s="1120">
        <f>(ET51-ET49)*10000</f>
      </c>
      <c r="EU52" s="1120">
        <f>(EU51-EU49)*10000</f>
      </c>
      <c r="EV52" s="293"/>
      <c r="EW52" s="1120">
        <f>(EW51-EW49)*10000</f>
      </c>
      <c r="EX52" s="1120">
        <f>(EX51-EX49)*10000</f>
      </c>
      <c r="EY52" s="1120">
        <f>(EY51-EY49)*10000</f>
      </c>
      <c r="EZ52" s="1120">
        <f>(EZ51-EZ49)*10000</f>
      </c>
      <c r="FA52" s="293"/>
      <c r="FB52" s="1120"/>
      <c r="FC52" s="1120"/>
      <c r="FD52" s="1120"/>
      <c r="FE52" s="1120"/>
      <c r="FF52" s="293"/>
      <c r="FG52" s="291"/>
      <c r="FH52" s="107"/>
      <c r="FI52" s="107"/>
      <c r="FJ52" s="107"/>
      <c r="FK52" s="293"/>
      <c r="FL52" s="291"/>
      <c r="FM52" s="107"/>
      <c r="FN52" s="107"/>
      <c r="FO52" s="107"/>
      <c r="FP52" s="293"/>
      <c r="FQ52" s="291"/>
      <c r="FR52" s="107"/>
      <c r="FS52" s="107"/>
      <c r="FT52" s="107"/>
      <c r="FU52" s="293"/>
      <c r="FV52" s="291"/>
      <c r="FW52" s="107"/>
      <c r="FX52" s="107"/>
      <c r="FY52" s="107"/>
      <c r="FZ52" s="293"/>
      <c r="GA52" s="291"/>
      <c r="GB52" s="107"/>
      <c r="GC52" s="107"/>
      <c r="GD52" s="107"/>
      <c r="GE52" s="382"/>
    </row>
    <row r="53" spans="1:187" s="551" customFormat="1" ht="12.75" customHeight="1" thickBot="1">
      <c r="A53" s="1425"/>
      <c r="B53" s="1086"/>
      <c r="C53" s="1087"/>
      <c r="D53" s="1088"/>
      <c r="E53" s="1088"/>
      <c r="F53" s="1088"/>
      <c r="G53" s="1089"/>
      <c r="H53" s="1090"/>
      <c r="I53" s="1091"/>
      <c r="J53" s="1091"/>
      <c r="K53" s="1091"/>
      <c r="L53" s="1089"/>
      <c r="M53" s="1090"/>
      <c r="N53" s="1091"/>
      <c r="O53" s="1091"/>
      <c r="P53" s="1091"/>
      <c r="Q53" s="1089"/>
      <c r="R53" s="1090"/>
      <c r="S53" s="1091"/>
      <c r="T53" s="1091"/>
      <c r="U53" s="1091"/>
      <c r="V53" s="1089"/>
      <c r="W53" s="1090"/>
      <c r="X53" s="1091"/>
      <c r="Y53" s="1091"/>
      <c r="Z53" s="1091"/>
      <c r="AA53" s="1089"/>
      <c r="AB53" s="1090"/>
      <c r="AC53" s="1091"/>
      <c r="AD53" s="1091"/>
      <c r="AE53" s="1091"/>
      <c r="AF53" s="1089"/>
      <c r="AG53" s="1090"/>
      <c r="AH53" s="1091"/>
      <c r="AI53" s="1091"/>
      <c r="AJ53" s="1091"/>
      <c r="AK53" s="1089"/>
      <c r="AL53" s="1090"/>
      <c r="AM53" s="1091"/>
      <c r="AN53" s="1091"/>
      <c r="AO53" s="1091"/>
      <c r="AP53" s="1089"/>
      <c r="AQ53" s="1090"/>
      <c r="AR53" s="1091"/>
      <c r="AS53" s="1091"/>
      <c r="AT53" s="1091"/>
      <c r="AU53" s="1089"/>
      <c r="AV53" s="1090"/>
      <c r="AW53" s="1091"/>
      <c r="AX53" s="1091"/>
      <c r="AY53" s="1091"/>
      <c r="AZ53" s="1089"/>
      <c r="BA53" s="1090"/>
      <c r="BB53" s="1091"/>
      <c r="BC53" s="1091"/>
      <c r="BD53" s="1091"/>
      <c r="BE53" s="1089"/>
      <c r="BF53" s="1090"/>
      <c r="BG53" s="1091"/>
      <c r="BH53" s="1091"/>
      <c r="BI53" s="1091"/>
      <c r="BJ53" s="1089"/>
      <c r="BK53" s="1090"/>
      <c r="BL53" s="1091"/>
      <c r="BM53" s="1091"/>
      <c r="BN53" s="1091"/>
      <c r="BO53" s="1089"/>
      <c r="BP53" s="1090"/>
      <c r="BQ53" s="1091"/>
      <c r="BR53" s="1091"/>
      <c r="BS53" s="1091"/>
      <c r="BT53" s="1089"/>
      <c r="BU53" s="1090"/>
      <c r="BV53" s="1091"/>
      <c r="BW53" s="1091"/>
      <c r="BX53" s="1091"/>
      <c r="BY53" s="1089"/>
      <c r="BZ53" s="1090"/>
      <c r="CA53" s="1091"/>
      <c r="CB53" s="1091"/>
      <c r="CC53" s="1091"/>
      <c r="CD53" s="1089"/>
      <c r="CE53" s="1090"/>
      <c r="CF53" s="1091"/>
      <c r="CG53" s="1091"/>
      <c r="CH53" s="1091"/>
      <c r="CI53" s="1089"/>
      <c r="CJ53" s="1090"/>
      <c r="CK53" s="1091"/>
      <c r="CL53" s="1091"/>
      <c r="CM53" s="1091"/>
      <c r="CN53" s="1089"/>
      <c r="CO53" s="1090"/>
      <c r="CP53" s="1091"/>
      <c r="CQ53" s="1091"/>
      <c r="CR53" s="1091"/>
      <c r="CS53" s="1089"/>
      <c r="CT53" s="1090"/>
      <c r="CU53" s="1091"/>
      <c r="CV53" s="1091"/>
      <c r="CW53" s="1091"/>
      <c r="CX53" s="1089"/>
      <c r="CY53" s="1090"/>
      <c r="CZ53" s="1091"/>
      <c r="DA53" s="1091"/>
      <c r="DB53" s="1091"/>
      <c r="DC53" s="1089"/>
      <c r="DD53" s="1090"/>
      <c r="DE53" s="1091"/>
      <c r="DF53" s="1091"/>
      <c r="DG53" s="1091"/>
      <c r="DH53" s="1089"/>
      <c r="DI53" s="1090"/>
      <c r="DJ53" s="1091"/>
      <c r="DK53" s="1091"/>
      <c r="DL53" s="1091"/>
      <c r="DM53" s="1089"/>
      <c r="DN53" s="1090"/>
      <c r="DO53" s="1091"/>
      <c r="DP53" s="1091"/>
      <c r="DQ53" s="1091"/>
      <c r="DR53" s="1089"/>
      <c r="DS53" s="1090"/>
      <c r="DT53" s="1091"/>
      <c r="DU53" s="1091"/>
      <c r="DV53" s="1091"/>
      <c r="DW53" s="1089"/>
      <c r="DX53" s="1090"/>
      <c r="DY53" s="1091"/>
      <c r="DZ53" s="1091"/>
      <c r="EA53" s="1091"/>
      <c r="EB53" s="1089"/>
      <c r="EC53" s="1090"/>
      <c r="ED53" s="1091"/>
      <c r="EE53" s="1091"/>
      <c r="EF53" s="1091"/>
      <c r="EG53" s="1089"/>
      <c r="EH53" s="1090"/>
      <c r="EI53" s="1091"/>
      <c r="EJ53" s="1091"/>
      <c r="EK53" s="1091"/>
      <c r="EL53" s="1089"/>
      <c r="EM53" s="1090"/>
      <c r="EN53" s="1091"/>
      <c r="EO53" s="1091"/>
      <c r="EP53" s="1091"/>
      <c r="EQ53" s="1089"/>
      <c r="ER53" s="1090"/>
      <c r="ES53" s="1091"/>
      <c r="ET53" s="1091"/>
      <c r="EU53" s="1091"/>
      <c r="EV53" s="1089"/>
      <c r="EW53" s="1090"/>
      <c r="EX53" s="1091"/>
      <c r="EY53" s="1091"/>
      <c r="EZ53" s="1091"/>
      <c r="FA53" s="1089"/>
      <c r="FB53" s="1090"/>
      <c r="FC53" s="1091"/>
      <c r="FD53" s="1091"/>
      <c r="FE53" s="1091"/>
      <c r="FF53" s="1089"/>
      <c r="FG53" s="1090"/>
      <c r="FH53" s="1091"/>
      <c r="FI53" s="1091"/>
      <c r="FJ53" s="1091"/>
      <c r="FK53" s="1089"/>
      <c r="FL53" s="1090"/>
      <c r="FM53" s="1091"/>
      <c r="FN53" s="1091"/>
      <c r="FO53" s="1091"/>
      <c r="FP53" s="1089"/>
      <c r="FQ53" s="1090"/>
      <c r="FR53" s="1091"/>
      <c r="FS53" s="1091"/>
      <c r="FT53" s="1091"/>
      <c r="FU53" s="1089"/>
      <c r="FV53" s="1090"/>
      <c r="FW53" s="1091"/>
      <c r="FX53" s="1091"/>
      <c r="FY53" s="1091"/>
      <c r="FZ53" s="1089"/>
      <c r="GA53" s="1090"/>
      <c r="GB53" s="1091"/>
      <c r="GC53" s="1091"/>
      <c r="GD53" s="1091"/>
      <c r="GE53" s="1092"/>
    </row>
    <row r="54" spans="1:187" s="1106" customFormat="1" ht="12.75" customHeight="1">
      <c r="A54" s="1426"/>
      <c r="B54" s="1102"/>
      <c r="C54" s="349"/>
      <c r="D54" s="1103"/>
      <c r="E54" s="1103"/>
      <c r="F54" s="1103"/>
      <c r="G54" s="1104"/>
      <c r="H54" s="349"/>
      <c r="I54" s="468"/>
      <c r="J54" s="468"/>
      <c r="K54" s="468"/>
      <c r="L54" s="1105"/>
      <c r="M54" s="349"/>
      <c r="N54" s="468"/>
      <c r="O54" s="468"/>
      <c r="P54" s="468"/>
      <c r="Q54" s="1105"/>
      <c r="R54" s="349"/>
      <c r="S54" s="468"/>
      <c r="T54" s="468"/>
      <c r="U54" s="468"/>
      <c r="V54" s="1105"/>
      <c r="W54" s="349"/>
      <c r="X54" s="468"/>
      <c r="Y54" s="468"/>
      <c r="Z54" s="468"/>
      <c r="AA54" s="1105"/>
      <c r="AB54" s="349"/>
      <c r="AC54" s="468"/>
      <c r="AD54" s="468"/>
      <c r="AE54" s="468"/>
      <c r="AF54" s="1105"/>
      <c r="AG54" s="349"/>
      <c r="AH54" s="468"/>
      <c r="AI54" s="468"/>
      <c r="AJ54" s="468"/>
      <c r="AK54" s="1105"/>
      <c r="AL54" s="349"/>
      <c r="AM54" s="468"/>
      <c r="AN54" s="468"/>
      <c r="AO54" s="468"/>
      <c r="AP54" s="1105"/>
      <c r="AQ54" s="349"/>
      <c r="AR54" s="468"/>
      <c r="AS54" s="468"/>
      <c r="AT54" s="468"/>
      <c r="AU54" s="1105"/>
      <c r="AV54" s="349"/>
      <c r="AW54" s="468"/>
      <c r="AX54" s="468"/>
      <c r="AY54" s="468"/>
      <c r="AZ54" s="1105"/>
      <c r="BA54" s="349"/>
      <c r="BB54" s="468"/>
      <c r="BC54" s="468"/>
      <c r="BD54" s="468"/>
      <c r="BE54" s="1105"/>
      <c r="BF54" s="349"/>
      <c r="BG54" s="468"/>
      <c r="BH54" s="468"/>
      <c r="BI54" s="468"/>
      <c r="BJ54" s="1105"/>
      <c r="BK54" s="349"/>
      <c r="BL54" s="468"/>
      <c r="BM54" s="468"/>
      <c r="BN54" s="468"/>
      <c r="BO54" s="1105"/>
      <c r="BP54" s="349"/>
      <c r="BQ54" s="468"/>
      <c r="BR54" s="468"/>
      <c r="BS54" s="468"/>
      <c r="BT54" s="1105"/>
      <c r="BU54" s="349"/>
      <c r="BV54" s="468"/>
      <c r="BW54" s="468"/>
      <c r="BX54" s="468"/>
      <c r="BY54" s="1105"/>
      <c r="BZ54" s="349"/>
      <c r="CA54" s="468"/>
      <c r="CB54" s="468"/>
      <c r="CC54" s="468"/>
      <c r="CD54" s="1105"/>
      <c r="CE54" s="349"/>
      <c r="CF54" s="468"/>
      <c r="CG54" s="468"/>
      <c r="CH54" s="468"/>
      <c r="CI54" s="1105"/>
      <c r="CJ54" s="349"/>
      <c r="CK54" s="468"/>
      <c r="CL54" s="468"/>
      <c r="CM54" s="468"/>
      <c r="CN54" s="1105"/>
      <c r="CO54" s="349"/>
      <c r="CP54" s="468"/>
      <c r="CQ54" s="468"/>
      <c r="CR54" s="468"/>
      <c r="CS54" s="1105"/>
      <c r="CT54" s="349"/>
      <c r="CU54" s="468"/>
      <c r="CV54" s="468"/>
      <c r="CW54" s="468"/>
      <c r="CX54" s="1105"/>
      <c r="CY54" s="349"/>
      <c r="CZ54" s="468"/>
      <c r="DA54" s="468"/>
      <c r="DB54" s="468"/>
      <c r="DC54" s="1105"/>
      <c r="DD54" s="349"/>
      <c r="DE54" s="468"/>
      <c r="DF54" s="468"/>
      <c r="DG54" s="468"/>
      <c r="DH54" s="1105"/>
      <c r="DI54" s="349"/>
      <c r="DJ54" s="468"/>
      <c r="DK54" s="468"/>
      <c r="DL54" s="468"/>
      <c r="DM54" s="1105"/>
      <c r="DN54" s="349"/>
      <c r="DO54" s="468"/>
      <c r="DP54" s="468"/>
      <c r="DQ54" s="468"/>
      <c r="DR54" s="1105"/>
      <c r="DS54" s="349"/>
      <c r="DT54" s="468"/>
      <c r="DU54" s="468"/>
      <c r="DV54" s="468"/>
      <c r="DW54" s="1105"/>
      <c r="DX54" s="349"/>
      <c r="DY54" s="468"/>
      <c r="DZ54" s="468"/>
      <c r="EA54" s="468"/>
      <c r="EB54" s="1105"/>
      <c r="EC54" s="349"/>
      <c r="ED54" s="468"/>
      <c r="EE54" s="468"/>
      <c r="EF54" s="468"/>
      <c r="EG54" s="1105"/>
      <c r="EH54" s="349"/>
      <c r="EI54" s="468"/>
      <c r="EJ54" s="468"/>
      <c r="EK54" s="468"/>
      <c r="EL54" s="1105"/>
      <c r="EM54" s="349"/>
      <c r="EN54" s="468"/>
      <c r="EO54" s="468"/>
      <c r="EP54" s="468"/>
      <c r="EQ54" s="1105"/>
      <c r="ER54" s="349"/>
      <c r="ES54" s="468"/>
      <c r="ET54" s="468"/>
      <c r="EU54" s="468"/>
      <c r="EV54" s="1105"/>
      <c r="EW54" s="349"/>
      <c r="EX54" s="468"/>
      <c r="EY54" s="468"/>
      <c r="EZ54" s="468"/>
      <c r="FA54" s="1105"/>
      <c r="FB54" s="349"/>
      <c r="FC54" s="468"/>
      <c r="FD54" s="468"/>
      <c r="FE54" s="468"/>
      <c r="FF54" s="1105"/>
      <c r="FG54" s="349"/>
      <c r="FH54" s="468"/>
      <c r="FI54" s="468"/>
      <c r="FJ54" s="468"/>
      <c r="FK54" s="1105"/>
      <c r="FL54" s="349"/>
      <c r="FM54" s="468"/>
      <c r="FN54" s="468"/>
      <c r="FO54" s="468"/>
      <c r="FP54" s="1105"/>
      <c r="FQ54" s="349"/>
      <c r="FR54" s="468"/>
      <c r="FS54" s="468"/>
      <c r="FT54" s="468"/>
      <c r="FU54" s="1105"/>
      <c r="FV54" s="349"/>
      <c r="FW54" s="468"/>
      <c r="FX54" s="468"/>
      <c r="FY54" s="468"/>
      <c r="FZ54" s="1105"/>
      <c r="GA54" s="349"/>
      <c r="GB54" s="468"/>
      <c r="GC54" s="468"/>
      <c r="GD54" s="468"/>
      <c r="GE54" s="1105"/>
    </row>
    <row r="55" spans="1:187" s="553" customFormat="1" ht="12.75" customHeight="1" thickBot="1">
      <c r="A55" s="1427"/>
      <c r="B55" s="552"/>
      <c r="C55" s="106"/>
      <c r="D55" s="107"/>
      <c r="E55" s="107"/>
      <c r="F55" s="107"/>
      <c r="G55" s="340"/>
      <c r="H55" s="106"/>
      <c r="I55" s="107"/>
      <c r="J55" s="107"/>
      <c r="K55" s="107"/>
      <c r="L55" s="340"/>
      <c r="M55" s="106"/>
      <c r="N55" s="107"/>
      <c r="O55" s="107"/>
      <c r="P55" s="107"/>
      <c r="Q55" s="340"/>
      <c r="R55" s="106"/>
      <c r="S55" s="107"/>
      <c r="T55" s="107"/>
      <c r="U55" s="107"/>
      <c r="V55" s="340"/>
      <c r="W55" s="106"/>
      <c r="X55" s="107"/>
      <c r="Y55" s="107"/>
      <c r="Z55" s="107"/>
      <c r="AA55" s="340"/>
      <c r="AB55" s="106"/>
      <c r="AC55" s="107"/>
      <c r="AD55" s="107"/>
      <c r="AE55" s="107"/>
      <c r="AF55" s="340"/>
      <c r="AG55" s="106"/>
      <c r="AH55" s="107"/>
      <c r="AI55" s="107"/>
      <c r="AJ55" s="107"/>
      <c r="AK55" s="340"/>
      <c r="AL55" s="106"/>
      <c r="AM55" s="107"/>
      <c r="AN55" s="107"/>
      <c r="AO55" s="107"/>
      <c r="AP55" s="340"/>
      <c r="AQ55" s="106"/>
      <c r="AR55" s="107"/>
      <c r="AS55" s="107"/>
      <c r="AT55" s="107"/>
      <c r="AU55" s="340"/>
      <c r="AV55" s="106"/>
      <c r="AW55" s="107"/>
      <c r="AX55" s="107"/>
      <c r="AY55" s="107"/>
      <c r="AZ55" s="340"/>
      <c r="BA55" s="106"/>
      <c r="BB55" s="107"/>
      <c r="BC55" s="107"/>
      <c r="BD55" s="107"/>
      <c r="BE55" s="340"/>
      <c r="BF55" s="106"/>
      <c r="BG55" s="107"/>
      <c r="BH55" s="107"/>
      <c r="BI55" s="107"/>
      <c r="BJ55" s="340"/>
      <c r="BK55" s="106"/>
      <c r="BL55" s="107"/>
      <c r="BM55" s="107"/>
      <c r="BN55" s="107"/>
      <c r="BO55" s="340"/>
      <c r="BP55" s="106"/>
      <c r="BQ55" s="107"/>
      <c r="BR55" s="107"/>
      <c r="BS55" s="107"/>
      <c r="BT55" s="340"/>
      <c r="BU55" s="106"/>
      <c r="BV55" s="107"/>
      <c r="BW55" s="107"/>
      <c r="BX55" s="107"/>
      <c r="BY55" s="340"/>
      <c r="BZ55" s="106"/>
      <c r="CA55" s="107"/>
      <c r="CB55" s="107"/>
      <c r="CC55" s="107"/>
      <c r="CD55" s="340"/>
      <c r="CE55" s="106"/>
      <c r="CF55" s="107"/>
      <c r="CG55" s="107"/>
      <c r="CH55" s="107"/>
      <c r="CI55" s="340"/>
      <c r="CJ55" s="106"/>
      <c r="CK55" s="107"/>
      <c r="CL55" s="107"/>
      <c r="CM55" s="107"/>
      <c r="CN55" s="340"/>
      <c r="CO55" s="106"/>
      <c r="CP55" s="107"/>
      <c r="CQ55" s="107"/>
      <c r="CR55" s="107"/>
      <c r="CS55" s="340"/>
      <c r="CT55" s="106"/>
      <c r="CU55" s="107"/>
      <c r="CV55" s="107"/>
      <c r="CW55" s="107"/>
      <c r="CX55" s="340"/>
      <c r="CY55" s="106"/>
      <c r="CZ55" s="107"/>
      <c r="DA55" s="107"/>
      <c r="DB55" s="107"/>
      <c r="DC55" s="340"/>
      <c r="DD55" s="106"/>
      <c r="DE55" s="107"/>
      <c r="DF55" s="107"/>
      <c r="DG55" s="107"/>
      <c r="DH55" s="340"/>
      <c r="DI55" s="106"/>
      <c r="DJ55" s="107"/>
      <c r="DK55" s="107"/>
      <c r="DL55" s="107"/>
      <c r="DM55" s="340"/>
      <c r="DN55" s="106"/>
      <c r="DO55" s="107"/>
      <c r="DP55" s="107"/>
      <c r="DQ55" s="107"/>
      <c r="DR55" s="340"/>
      <c r="DS55" s="106"/>
      <c r="DT55" s="107"/>
      <c r="DU55" s="107"/>
      <c r="DV55" s="107"/>
      <c r="DW55" s="340"/>
      <c r="DX55" s="106"/>
      <c r="DY55" s="107"/>
      <c r="DZ55" s="107"/>
      <c r="EA55" s="107"/>
      <c r="EB55" s="340"/>
      <c r="EC55" s="106"/>
      <c r="ED55" s="107"/>
      <c r="EE55" s="107"/>
      <c r="EF55" s="107"/>
      <c r="EG55" s="340"/>
      <c r="EH55" s="106"/>
      <c r="EI55" s="107"/>
      <c r="EJ55" s="107"/>
      <c r="EK55" s="107"/>
      <c r="EL55" s="340"/>
      <c r="EM55" s="106"/>
      <c r="EN55" s="107"/>
      <c r="EO55" s="107"/>
      <c r="EP55" s="107"/>
      <c r="EQ55" s="340"/>
      <c r="ER55" s="106"/>
      <c r="ES55" s="107"/>
      <c r="ET55" s="107"/>
      <c r="EU55" s="107"/>
      <c r="EV55" s="340"/>
      <c r="EW55" s="106"/>
      <c r="EX55" s="107"/>
      <c r="EY55" s="107"/>
      <c r="EZ55" s="107"/>
      <c r="FA55" s="340"/>
      <c r="FB55" s="106"/>
      <c r="FC55" s="107"/>
      <c r="FD55" s="107"/>
      <c r="FE55" s="107"/>
      <c r="FF55" s="340"/>
      <c r="FG55" s="106"/>
      <c r="FH55" s="107"/>
      <c r="FI55" s="107"/>
      <c r="FJ55" s="107"/>
      <c r="FK55" s="340"/>
      <c r="FL55" s="106"/>
      <c r="FM55" s="107"/>
      <c r="FN55" s="107"/>
      <c r="FO55" s="107"/>
      <c r="FP55" s="340"/>
      <c r="FQ55" s="106"/>
      <c r="FR55" s="107"/>
      <c r="FS55" s="107"/>
      <c r="FT55" s="107"/>
      <c r="FU55" s="340"/>
      <c r="FV55" s="106"/>
      <c r="FW55" s="107"/>
      <c r="FX55" s="107"/>
      <c r="FY55" s="107"/>
      <c r="FZ55" s="340"/>
      <c r="GA55" s="106"/>
      <c r="GB55" s="107"/>
      <c r="GC55" s="107"/>
      <c r="GD55" s="107"/>
      <c r="GE55" s="340"/>
    </row>
    <row r="56" spans="1:187" s="537" customFormat="1" ht="12.75" customHeight="1" thickBot="1">
      <c r="A56" s="850"/>
      <c r="B56" s="1096" t="s">
        <v>30</v>
      </c>
      <c r="C56" s="1093"/>
      <c r="D56" s="1094"/>
      <c r="E56" s="1094"/>
      <c r="F56" s="1094"/>
      <c r="G56" s="1101"/>
      <c r="H56" s="1093"/>
      <c r="I56" s="1095"/>
      <c r="J56" s="1095"/>
      <c r="K56" s="1095"/>
      <c r="L56" s="1101"/>
      <c r="M56" s="1093"/>
      <c r="N56" s="1095"/>
      <c r="O56" s="1095"/>
      <c r="P56" s="1095"/>
      <c r="Q56" s="1101"/>
      <c r="R56" s="1093"/>
      <c r="S56" s="1095"/>
      <c r="T56" s="1095"/>
      <c r="U56" s="1095"/>
      <c r="V56" s="1101"/>
      <c r="W56" s="1093"/>
      <c r="X56" s="1095"/>
      <c r="Y56" s="1095"/>
      <c r="Z56" s="1095"/>
      <c r="AA56" s="1101"/>
      <c r="AB56" s="1093"/>
      <c r="AC56" s="1095"/>
      <c r="AD56" s="1095"/>
      <c r="AE56" s="1095"/>
      <c r="AF56" s="1101"/>
      <c r="AG56" s="1093"/>
      <c r="AH56" s="1095"/>
      <c r="AI56" s="1095"/>
      <c r="AJ56" s="1095"/>
      <c r="AK56" s="1101"/>
      <c r="AL56" s="1093"/>
      <c r="AM56" s="1095"/>
      <c r="AN56" s="1095"/>
      <c r="AO56" s="1095"/>
      <c r="AP56" s="1101"/>
      <c r="AQ56" s="1093"/>
      <c r="AR56" s="1095"/>
      <c r="AS56" s="1095"/>
      <c r="AT56" s="1095"/>
      <c r="AU56" s="1101"/>
      <c r="AV56" s="1093"/>
      <c r="AW56" s="1095"/>
      <c r="AX56" s="1095"/>
      <c r="AY56" s="1095"/>
      <c r="AZ56" s="1101"/>
      <c r="BA56" s="1093"/>
      <c r="BB56" s="1095"/>
      <c r="BC56" s="1095"/>
      <c r="BD56" s="1095"/>
      <c r="BE56" s="1101"/>
      <c r="BF56" s="1093"/>
      <c r="BG56" s="1095"/>
      <c r="BH56" s="1095"/>
      <c r="BI56" s="1095"/>
      <c r="BJ56" s="1101"/>
      <c r="BK56" s="1093"/>
      <c r="BL56" s="1095"/>
      <c r="BM56" s="1095"/>
      <c r="BN56" s="1095"/>
      <c r="BO56" s="1101"/>
      <c r="BP56" s="1093"/>
      <c r="BQ56" s="1095"/>
      <c r="BR56" s="1095"/>
      <c r="BS56" s="1095"/>
      <c r="BT56" s="1101"/>
      <c r="BU56" s="1093"/>
      <c r="BV56" s="1095"/>
      <c r="BW56" s="1095"/>
      <c r="BX56" s="1095"/>
      <c r="BY56" s="1101"/>
      <c r="BZ56" s="1093"/>
      <c r="CA56" s="1095"/>
      <c r="CB56" s="1095"/>
      <c r="CC56" s="1095"/>
      <c r="CD56" s="1101"/>
      <c r="CE56" s="1093"/>
      <c r="CF56" s="1095"/>
      <c r="CG56" s="1095"/>
      <c r="CH56" s="1095"/>
      <c r="CI56" s="1101"/>
      <c r="CJ56" s="1093"/>
      <c r="CK56" s="1095"/>
      <c r="CL56" s="1095"/>
      <c r="CM56" s="1095"/>
      <c r="CN56" s="1101"/>
      <c r="CO56" s="1093"/>
      <c r="CP56" s="1095"/>
      <c r="CQ56" s="1095"/>
      <c r="CR56" s="1095"/>
      <c r="CS56" s="1101"/>
      <c r="CT56" s="1093"/>
      <c r="CU56" s="1095"/>
      <c r="CV56" s="1095"/>
      <c r="CW56" s="1095"/>
      <c r="CX56" s="1101"/>
      <c r="CY56" s="1093"/>
      <c r="CZ56" s="1095"/>
      <c r="DA56" s="1095"/>
      <c r="DB56" s="1095"/>
      <c r="DC56" s="1101"/>
      <c r="DD56" s="1093"/>
      <c r="DE56" s="1095"/>
      <c r="DF56" s="1095"/>
      <c r="DG56" s="1095"/>
      <c r="DH56" s="1101"/>
      <c r="DI56" s="1093"/>
      <c r="DJ56" s="1095"/>
      <c r="DK56" s="1095"/>
      <c r="DL56" s="1095"/>
      <c r="DM56" s="1101"/>
      <c r="DN56" s="1093"/>
      <c r="DO56" s="1095"/>
      <c r="DP56" s="1095"/>
      <c r="DQ56" s="1095"/>
      <c r="DR56" s="1101"/>
      <c r="DS56" s="1093"/>
      <c r="DT56" s="1095"/>
      <c r="DU56" s="1095"/>
      <c r="DV56" s="1095"/>
      <c r="DW56" s="1101"/>
      <c r="DX56" s="1093"/>
      <c r="DY56" s="1095"/>
      <c r="DZ56" s="1095"/>
      <c r="EA56" s="1095"/>
      <c r="EB56" s="1101"/>
      <c r="EC56" s="1093"/>
      <c r="ED56" s="1095"/>
      <c r="EE56" s="1095"/>
      <c r="EF56" s="1095"/>
      <c r="EG56" s="1101"/>
      <c r="EH56" s="1093"/>
      <c r="EI56" s="1095"/>
      <c r="EJ56" s="1095"/>
      <c r="EK56" s="1095"/>
      <c r="EL56" s="1101"/>
      <c r="EM56" s="1093"/>
      <c r="EN56" s="1095"/>
      <c r="EO56" s="1095"/>
      <c r="EP56" s="1095"/>
      <c r="EQ56" s="1101"/>
      <c r="ER56" s="1101"/>
      <c r="ES56" s="1095"/>
      <c r="ET56" s="1095"/>
      <c r="EU56" s="1095"/>
      <c r="EV56" s="1101"/>
      <c r="EW56" s="1093"/>
      <c r="EX56" s="1095"/>
      <c r="EY56" s="1095"/>
      <c r="EZ56" s="1095"/>
      <c r="FA56" s="1101"/>
      <c r="FB56" s="1093"/>
      <c r="FC56" s="1095"/>
      <c r="FD56" s="1095"/>
      <c r="FE56" s="1095"/>
      <c r="FF56" s="1101"/>
      <c r="FG56" s="1093"/>
      <c r="FH56" s="1095"/>
      <c r="FI56" s="1095"/>
      <c r="FJ56" s="1095"/>
      <c r="FK56" s="1101"/>
      <c r="FL56" s="1093"/>
      <c r="FM56" s="1095"/>
      <c r="FN56" s="1095"/>
      <c r="FO56" s="1095"/>
      <c r="FP56" s="1101"/>
      <c r="FQ56" s="1093"/>
      <c r="FR56" s="1095"/>
      <c r="FS56" s="1095"/>
      <c r="FT56" s="1100"/>
      <c r="FU56" s="1101"/>
      <c r="FV56" s="1093"/>
      <c r="FW56" s="1095"/>
      <c r="FX56" s="1095"/>
      <c r="FY56" s="1100"/>
      <c r="FZ56" s="1101"/>
      <c r="GA56" s="1093"/>
      <c r="GB56" s="1095"/>
      <c r="GC56" s="1095"/>
      <c r="GD56" s="1100"/>
      <c r="GE56" s="1099"/>
    </row>
    <row r="57" spans="1:187" s="537" customFormat="1" ht="12.75" customHeight="1">
      <c r="A57" s="850"/>
      <c r="B57" s="1075"/>
      <c r="C57" s="378"/>
      <c r="D57" s="1076"/>
      <c r="E57" s="1076"/>
      <c r="F57" s="1076"/>
      <c r="G57" s="1077"/>
      <c r="H57" s="378"/>
      <c r="I57" s="379"/>
      <c r="J57" s="379"/>
      <c r="K57" s="379"/>
      <c r="L57" s="380"/>
      <c r="M57" s="378"/>
      <c r="N57" s="379"/>
      <c r="O57" s="379"/>
      <c r="P57" s="379"/>
      <c r="Q57" s="380"/>
      <c r="R57" s="378"/>
      <c r="S57" s="379"/>
      <c r="T57" s="379"/>
      <c r="U57" s="379"/>
      <c r="V57" s="380"/>
      <c r="W57" s="378"/>
      <c r="X57" s="379"/>
      <c r="Y57" s="379"/>
      <c r="Z57" s="379"/>
      <c r="AA57" s="380"/>
      <c r="AB57" s="378"/>
      <c r="AC57" s="379"/>
      <c r="AD57" s="379"/>
      <c r="AE57" s="379"/>
      <c r="AF57" s="380"/>
      <c r="AG57" s="378"/>
      <c r="AH57" s="379"/>
      <c r="AI57" s="379"/>
      <c r="AJ57" s="379"/>
      <c r="AK57" s="380"/>
      <c r="AL57" s="378"/>
      <c r="AM57" s="379"/>
      <c r="AN57" s="379"/>
      <c r="AO57" s="379"/>
      <c r="AP57" s="380"/>
      <c r="AQ57" s="378"/>
      <c r="AR57" s="379"/>
      <c r="AS57" s="379"/>
      <c r="AT57" s="379"/>
      <c r="AU57" s="380"/>
      <c r="AV57" s="378"/>
      <c r="AW57" s="379"/>
      <c r="AX57" s="379"/>
      <c r="AY57" s="379"/>
      <c r="AZ57" s="380"/>
      <c r="BA57" s="378"/>
      <c r="BB57" s="379"/>
      <c r="BC57" s="379"/>
      <c r="BD57" s="379"/>
      <c r="BE57" s="380"/>
      <c r="BF57" s="378"/>
      <c r="BG57" s="379"/>
      <c r="BH57" s="379"/>
      <c r="BI57" s="379"/>
      <c r="BJ57" s="380"/>
      <c r="BK57" s="378"/>
      <c r="BL57" s="379"/>
      <c r="BM57" s="379"/>
      <c r="BN57" s="379"/>
      <c r="BO57" s="380"/>
      <c r="BP57" s="378"/>
      <c r="BQ57" s="379"/>
      <c r="BR57" s="379"/>
      <c r="BS57" s="379"/>
      <c r="BT57" s="380"/>
      <c r="BU57" s="378"/>
      <c r="BV57" s="379"/>
      <c r="BW57" s="379"/>
      <c r="BX57" s="379"/>
      <c r="BY57" s="380"/>
      <c r="BZ57" s="378"/>
      <c r="CA57" s="379"/>
      <c r="CB57" s="379"/>
      <c r="CC57" s="379"/>
      <c r="CD57" s="380"/>
      <c r="CE57" s="378"/>
      <c r="CF57" s="379"/>
      <c r="CG57" s="379"/>
      <c r="CH57" s="379"/>
      <c r="CI57" s="380"/>
      <c r="CJ57" s="378"/>
      <c r="CK57" s="379"/>
      <c r="CL57" s="379"/>
      <c r="CM57" s="379"/>
      <c r="CN57" s="380"/>
      <c r="CO57" s="378"/>
      <c r="CP57" s="379"/>
      <c r="CQ57" s="379"/>
      <c r="CR57" s="379"/>
      <c r="CS57" s="380"/>
      <c r="CT57" s="378"/>
      <c r="CU57" s="379"/>
      <c r="CV57" s="379"/>
      <c r="CW57" s="379"/>
      <c r="CX57" s="380"/>
      <c r="CY57" s="378"/>
      <c r="CZ57" s="379"/>
      <c r="DA57" s="379"/>
      <c r="DB57" s="379"/>
      <c r="DC57" s="380"/>
      <c r="DD57" s="378"/>
      <c r="DE57" s="379"/>
      <c r="DF57" s="379"/>
      <c r="DG57" s="379"/>
      <c r="DH57" s="380"/>
      <c r="DI57" s="378"/>
      <c r="DJ57" s="379"/>
      <c r="DK57" s="379"/>
      <c r="DL57" s="379"/>
      <c r="DM57" s="380"/>
      <c r="DN57" s="378"/>
      <c r="DO57" s="379"/>
      <c r="DP57" s="379"/>
      <c r="DQ57" s="379"/>
      <c r="DR57" s="380"/>
      <c r="DS57" s="378"/>
      <c r="DT57" s="379"/>
      <c r="DU57" s="379"/>
      <c r="DV57" s="379"/>
      <c r="DW57" s="380"/>
      <c r="DX57" s="378"/>
      <c r="DY57" s="379"/>
      <c r="DZ57" s="379"/>
      <c r="EA57" s="379"/>
      <c r="EB57" s="380"/>
      <c r="EC57" s="378"/>
      <c r="ED57" s="379"/>
      <c r="EE57" s="379"/>
      <c r="EF57" s="379"/>
      <c r="EG57" s="380"/>
      <c r="EH57" s="378"/>
      <c r="EI57" s="379"/>
      <c r="EJ57" s="379"/>
      <c r="EK57" s="379"/>
      <c r="EL57" s="380"/>
      <c r="EM57" s="378"/>
      <c r="EN57" s="379"/>
      <c r="EO57" s="379"/>
      <c r="EP57" s="379"/>
      <c r="EQ57" s="380"/>
      <c r="ER57" s="378"/>
      <c r="ES57" s="379"/>
      <c r="ET57" s="379"/>
      <c r="EU57" s="379"/>
      <c r="EV57" s="380"/>
      <c r="EW57" s="378"/>
      <c r="EX57" s="379"/>
      <c r="EY57" s="379"/>
      <c r="EZ57" s="379"/>
      <c r="FA57" s="380"/>
      <c r="FB57" s="378"/>
      <c r="FC57" s="379"/>
      <c r="FD57" s="379"/>
      <c r="FE57" s="379"/>
      <c r="FF57" s="380"/>
      <c r="FG57" s="378"/>
      <c r="FH57" s="379"/>
      <c r="FI57" s="379"/>
      <c r="FJ57" s="379"/>
      <c r="FK57" s="380"/>
      <c r="FL57" s="378"/>
      <c r="FM57" s="379"/>
      <c r="FN57" s="379"/>
      <c r="FO57" s="379"/>
      <c r="FP57" s="380"/>
      <c r="FQ57" s="378"/>
      <c r="FR57" s="379"/>
      <c r="FS57" s="379"/>
      <c r="FT57" s="379"/>
      <c r="FU57" s="380"/>
      <c r="FV57" s="378"/>
      <c r="FW57" s="379"/>
      <c r="FX57" s="379"/>
      <c r="FY57" s="379"/>
      <c r="FZ57" s="380"/>
      <c r="GA57" s="378"/>
      <c r="GB57" s="379"/>
      <c r="GC57" s="379"/>
      <c r="GD57" s="379"/>
      <c r="GE57" s="381"/>
    </row>
    <row r="58" spans="1:187" s="537" customFormat="1" ht="12.75" customHeight="1">
      <c r="A58" s="850"/>
      <c r="B58" s="1079" t="s">
        <v>32</v>
      </c>
      <c r="C58" s="291"/>
      <c r="D58" s="137"/>
      <c r="E58" s="137"/>
      <c r="F58" s="137"/>
      <c r="G58" s="538"/>
      <c r="H58" s="291"/>
      <c r="I58" s="107"/>
      <c r="J58" s="107"/>
      <c r="K58" s="107"/>
      <c r="L58" s="293"/>
      <c r="M58" s="291"/>
      <c r="N58" s="107"/>
      <c r="O58" s="107"/>
      <c r="P58" s="107"/>
      <c r="Q58" s="293"/>
      <c r="R58" s="291"/>
      <c r="S58" s="107"/>
      <c r="T58" s="107"/>
      <c r="U58" s="107"/>
      <c r="V58" s="293"/>
      <c r="W58" s="291"/>
      <c r="X58" s="107"/>
      <c r="Y58" s="107"/>
      <c r="Z58" s="107"/>
      <c r="AA58" s="293"/>
      <c r="AB58" s="291"/>
      <c r="AC58" s="107"/>
      <c r="AD58" s="107"/>
      <c r="AE58" s="107"/>
      <c r="AF58" s="293"/>
      <c r="AG58" s="291"/>
      <c r="AH58" s="107"/>
      <c r="AI58" s="107"/>
      <c r="AJ58" s="107"/>
      <c r="AK58" s="293"/>
      <c r="AL58" s="291"/>
      <c r="AM58" s="107"/>
      <c r="AN58" s="107"/>
      <c r="AO58" s="107"/>
      <c r="AP58" s="293"/>
      <c r="AQ58" s="291"/>
      <c r="AR58" s="107"/>
      <c r="AS58" s="107"/>
      <c r="AT58" s="107"/>
      <c r="AU58" s="293"/>
      <c r="AV58" s="291"/>
      <c r="AW58" s="107"/>
      <c r="AX58" s="107"/>
      <c r="AY58" s="107"/>
      <c r="AZ58" s="293"/>
      <c r="BA58" s="291"/>
      <c r="BB58" s="107"/>
      <c r="BC58" s="107"/>
      <c r="BD58" s="107"/>
      <c r="BE58" s="293"/>
      <c r="BF58" s="291"/>
      <c r="BG58" s="107"/>
      <c r="BH58" s="107"/>
      <c r="BI58" s="107"/>
      <c r="BJ58" s="293"/>
      <c r="BK58" s="291"/>
      <c r="BL58" s="107"/>
      <c r="BM58" s="107"/>
      <c r="BN58" s="107"/>
      <c r="BO58" s="293"/>
      <c r="BP58" s="291"/>
      <c r="BQ58" s="107"/>
      <c r="BR58" s="107"/>
      <c r="BS58" s="107"/>
      <c r="BT58" s="293"/>
      <c r="BU58" s="291"/>
      <c r="BV58" s="107"/>
      <c r="BW58" s="107"/>
      <c r="BX58" s="107"/>
      <c r="BY58" s="293"/>
      <c r="BZ58" s="291"/>
      <c r="CA58" s="107"/>
      <c r="CB58" s="107"/>
      <c r="CC58" s="107"/>
      <c r="CD58" s="293"/>
      <c r="CE58" s="291"/>
      <c r="CF58" s="107"/>
      <c r="CG58" s="107"/>
      <c r="CH58" s="107"/>
      <c r="CI58" s="293"/>
      <c r="CJ58" s="291"/>
      <c r="CK58" s="107"/>
      <c r="CL58" s="107"/>
      <c r="CM58" s="107"/>
      <c r="CN58" s="293"/>
      <c r="CO58" s="291"/>
      <c r="CP58" s="107"/>
      <c r="CQ58" s="107"/>
      <c r="CR58" s="107"/>
      <c r="CS58" s="293"/>
      <c r="CT58" s="291"/>
      <c r="CU58" s="107"/>
      <c r="CV58" s="107"/>
      <c r="CW58" s="107"/>
      <c r="CX58" s="293"/>
      <c r="CY58" s="291"/>
      <c r="CZ58" s="107"/>
      <c r="DA58" s="107"/>
      <c r="DB58" s="107"/>
      <c r="DC58" s="293"/>
      <c r="DD58" s="291"/>
      <c r="DE58" s="107"/>
      <c r="DF58" s="107"/>
      <c r="DG58" s="107"/>
      <c r="DH58" s="293"/>
      <c r="DI58" s="291"/>
      <c r="DJ58" s="107"/>
      <c r="DK58" s="107"/>
      <c r="DL58" s="107"/>
      <c r="DM58" s="293"/>
      <c r="DN58" s="291"/>
      <c r="DO58" s="107"/>
      <c r="DP58" s="107"/>
      <c r="DQ58" s="107"/>
      <c r="DR58" s="293"/>
      <c r="DS58" s="291"/>
      <c r="DT58" s="107"/>
      <c r="DU58" s="107"/>
      <c r="DV58" s="107"/>
      <c r="DW58" s="293"/>
      <c r="DX58" s="291"/>
      <c r="DY58" s="107"/>
      <c r="DZ58" s="107"/>
      <c r="EA58" s="107"/>
      <c r="EB58" s="293"/>
      <c r="EC58" s="291"/>
      <c r="ED58" s="107"/>
      <c r="EE58" s="107"/>
      <c r="EF58" s="107"/>
      <c r="EG58" s="293"/>
      <c r="EH58" s="291"/>
      <c r="EI58" s="107"/>
      <c r="EJ58" s="107"/>
      <c r="EK58" s="107"/>
      <c r="EL58" s="293"/>
      <c r="EM58" s="291"/>
      <c r="EN58" s="107"/>
      <c r="EO58" s="107"/>
      <c r="EP58" s="107"/>
      <c r="EQ58" s="293"/>
      <c r="ER58" s="291"/>
      <c r="ES58" s="107"/>
      <c r="ET58" s="107"/>
      <c r="EU58" s="107"/>
      <c r="EV58" s="293"/>
      <c r="EW58" s="291"/>
      <c r="EX58" s="107"/>
      <c r="EY58" s="107"/>
      <c r="EZ58" s="107"/>
      <c r="FA58" s="293"/>
      <c r="FB58" s="291"/>
      <c r="FC58" s="107"/>
      <c r="FD58" s="107"/>
      <c r="FE58" s="107"/>
      <c r="FF58" s="293"/>
      <c r="FG58" s="291"/>
      <c r="FH58" s="107"/>
      <c r="FI58" s="107"/>
      <c r="FJ58" s="107"/>
      <c r="FK58" s="293"/>
      <c r="FL58" s="291"/>
      <c r="FM58" s="107"/>
      <c r="FN58" s="107"/>
      <c r="FO58" s="107"/>
      <c r="FP58" s="293"/>
      <c r="FQ58" s="291"/>
      <c r="FR58" s="107"/>
      <c r="FS58" s="107"/>
      <c r="FT58" s="107"/>
      <c r="FU58" s="293"/>
      <c r="FV58" s="291"/>
      <c r="FW58" s="107"/>
      <c r="FX58" s="107"/>
      <c r="FY58" s="107"/>
      <c r="FZ58" s="293"/>
      <c r="GA58" s="291"/>
      <c r="GB58" s="107"/>
      <c r="GC58" s="107"/>
      <c r="GD58" s="107"/>
      <c r="GE58" s="382"/>
    </row>
    <row r="59" spans="1:187" s="537" customFormat="1" ht="12.75" customHeight="1">
      <c r="A59" s="850"/>
      <c r="B59" s="1078" t="s">
        <v>377</v>
      </c>
      <c r="C59" s="291"/>
      <c r="D59" s="107"/>
      <c r="E59" s="107"/>
      <c r="F59" s="107"/>
      <c r="G59" s="536"/>
      <c r="H59" s="291"/>
      <c r="I59" s="107"/>
      <c r="J59" s="107"/>
      <c r="K59" s="107"/>
      <c r="L59" s="292"/>
      <c r="M59" s="291"/>
      <c r="N59" s="107"/>
      <c r="O59" s="107"/>
      <c r="P59" s="107"/>
      <c r="Q59" s="292"/>
      <c r="R59" s="291"/>
      <c r="S59" s="107"/>
      <c r="T59" s="107"/>
      <c r="U59" s="107"/>
      <c r="V59" s="292"/>
      <c r="W59" s="291"/>
      <c r="X59" s="107"/>
      <c r="Y59" s="107"/>
      <c r="Z59" s="107"/>
      <c r="AA59" s="292"/>
      <c r="AB59" s="291"/>
      <c r="AC59" s="107"/>
      <c r="AD59" s="107"/>
      <c r="AE59" s="107"/>
      <c r="AF59" s="292"/>
      <c r="AG59" s="291"/>
      <c r="AH59" s="107"/>
      <c r="AI59" s="107"/>
      <c r="AJ59" s="107"/>
      <c r="AK59" s="292"/>
      <c r="AL59" s="291"/>
      <c r="AM59" s="107"/>
      <c r="AN59" s="107"/>
      <c r="AO59" s="107"/>
      <c r="AP59" s="292"/>
      <c r="AQ59" s="291"/>
      <c r="AR59" s="107"/>
      <c r="AS59" s="107"/>
      <c r="AT59" s="107"/>
      <c r="AU59" s="292"/>
      <c r="AV59" s="291"/>
      <c r="AW59" s="107"/>
      <c r="AX59" s="107"/>
      <c r="AY59" s="107"/>
      <c r="AZ59" s="292"/>
      <c r="BA59" s="291"/>
      <c r="BB59" s="107"/>
      <c r="BC59" s="107"/>
      <c r="BD59" s="107"/>
      <c r="BE59" s="292"/>
      <c r="BF59" s="291"/>
      <c r="BG59" s="107"/>
      <c r="BH59" s="107"/>
      <c r="BI59" s="107"/>
      <c r="BJ59" s="292"/>
      <c r="BK59" s="291"/>
      <c r="BL59" s="107"/>
      <c r="BM59" s="107"/>
      <c r="BN59" s="107"/>
      <c r="BO59" s="292"/>
      <c r="BP59" s="291"/>
      <c r="BQ59" s="107"/>
      <c r="BR59" s="107"/>
      <c r="BS59" s="107"/>
      <c r="BT59" s="292"/>
      <c r="BU59" s="291"/>
      <c r="BV59" s="107"/>
      <c r="BW59" s="107"/>
      <c r="BX59" s="107"/>
      <c r="BY59" s="292"/>
      <c r="BZ59" s="291"/>
      <c r="CA59" s="107"/>
      <c r="CB59" s="107"/>
      <c r="CC59" s="107"/>
      <c r="CD59" s="292"/>
      <c r="CE59" s="291"/>
      <c r="CF59" s="107"/>
      <c r="CG59" s="107"/>
      <c r="CH59" s="107"/>
      <c r="CI59" s="292"/>
      <c r="CJ59" s="291"/>
      <c r="CK59" s="107"/>
      <c r="CL59" s="107"/>
      <c r="CM59" s="107"/>
      <c r="CN59" s="292"/>
      <c r="CO59" s="291"/>
      <c r="CP59" s="107"/>
      <c r="CQ59" s="107"/>
      <c r="CR59" s="107"/>
      <c r="CS59" s="292"/>
      <c r="CT59" s="291"/>
      <c r="CU59" s="107"/>
      <c r="CV59" s="107"/>
      <c r="CW59" s="107"/>
      <c r="CX59" s="292"/>
      <c r="CY59" s="291"/>
      <c r="CZ59" s="107"/>
      <c r="DA59" s="107"/>
      <c r="DB59" s="107"/>
      <c r="DC59" s="292"/>
      <c r="DD59" s="291"/>
      <c r="DE59" s="107"/>
      <c r="DF59" s="107"/>
      <c r="DG59" s="107"/>
      <c r="DH59" s="292"/>
      <c r="DI59" s="291"/>
      <c r="DJ59" s="107"/>
      <c r="DK59" s="107"/>
      <c r="DL59" s="107"/>
      <c r="DM59" s="292"/>
      <c r="DN59" s="291"/>
      <c r="DO59" s="107"/>
      <c r="DP59" s="107"/>
      <c r="DQ59" s="107"/>
      <c r="DR59" s="292"/>
      <c r="DS59" s="291"/>
      <c r="DT59" s="107"/>
      <c r="DU59" s="107"/>
      <c r="DV59" s="107"/>
      <c r="DW59" s="292"/>
      <c r="DX59" s="463">
        <f t="shared" ref="DX59:EA60" si="0">DX13+DX27+DX41</f>
      </c>
      <c r="DY59" s="463">
        <f t="shared" si="0"/>
      </c>
      <c r="DZ59" s="463">
        <f t="shared" si="0"/>
      </c>
      <c r="EA59" s="463">
        <f t="shared" si="0"/>
      </c>
      <c r="EB59" s="292"/>
      <c r="EC59" s="463">
        <f t="shared" ref="EC59:EF60" si="1">EC13+EC27+EC41</f>
      </c>
      <c r="ED59" s="463">
        <f t="shared" si="1"/>
      </c>
      <c r="EE59" s="463">
        <f t="shared" si="1"/>
      </c>
      <c r="EF59" s="463">
        <f t="shared" si="1"/>
      </c>
      <c r="EG59" s="292"/>
      <c r="EH59" s="463">
        <f t="shared" ref="EH59:EK60" si="2">EH13+EH27+EH41</f>
      </c>
      <c r="EI59" s="463">
        <f t="shared" si="2"/>
      </c>
      <c r="EJ59" s="463">
        <f t="shared" si="2"/>
      </c>
      <c r="EK59" s="463">
        <f t="shared" si="2"/>
      </c>
      <c r="EL59" s="292"/>
      <c r="EM59" s="463">
        <f t="shared" ref="EM59:EP60" si="3">EM13+EM27+EM41</f>
      </c>
      <c r="EN59" s="463">
        <f t="shared" si="3"/>
      </c>
      <c r="EO59" s="463">
        <f t="shared" si="3"/>
      </c>
      <c r="EP59" s="463">
        <f t="shared" si="3"/>
      </c>
      <c r="EQ59" s="292"/>
      <c r="ER59" s="463">
        <f t="shared" ref="ER59:EU60" si="4">ER13+ER27+ER41</f>
      </c>
      <c r="ES59" s="463">
        <f t="shared" si="4"/>
      </c>
      <c r="ET59" s="463">
        <f t="shared" si="4"/>
      </c>
      <c r="EU59" s="463">
        <f t="shared" si="4"/>
      </c>
      <c r="EV59" s="292"/>
      <c r="EW59" s="463">
        <f t="shared" ref="EW59:EX59" si="5">EW13+EW27+EW41</f>
      </c>
      <c r="EX59" s="463">
        <f t="shared" si="5"/>
      </c>
      <c r="EY59" s="463">
        <f t="shared" ref="EY59:EZ59" si="6">EY13+EY27+EY41</f>
      </c>
      <c r="EZ59" s="463">
        <f t="shared" si="6"/>
      </c>
      <c r="FA59" s="292"/>
      <c r="FB59" s="463">
        <f t="shared" ref="FB59" si="7">FB13+FB27+FB41</f>
      </c>
      <c r="FC59" s="463"/>
      <c r="FD59" s="463"/>
      <c r="FE59" s="463"/>
      <c r="FF59" s="292"/>
      <c r="FG59" s="291"/>
      <c r="FH59" s="107"/>
      <c r="FI59" s="107"/>
      <c r="FJ59" s="107"/>
      <c r="FK59" s="292"/>
      <c r="FL59" s="291"/>
      <c r="FM59" s="107"/>
      <c r="FN59" s="107"/>
      <c r="FO59" s="107"/>
      <c r="FP59" s="292"/>
      <c r="FQ59" s="291"/>
      <c r="FR59" s="107"/>
      <c r="FS59" s="107"/>
      <c r="FT59" s="107"/>
      <c r="FU59" s="292"/>
      <c r="FV59" s="291"/>
      <c r="FW59" s="107"/>
      <c r="FX59" s="107"/>
      <c r="FY59" s="107"/>
      <c r="FZ59" s="292"/>
      <c r="GA59" s="291"/>
      <c r="GB59" s="107"/>
      <c r="GC59" s="107"/>
      <c r="GD59" s="107"/>
      <c r="GE59" s="384"/>
    </row>
    <row r="60" spans="1:187" s="537" customFormat="1" ht="12.75" customHeight="1">
      <c r="A60" s="850"/>
      <c r="B60" s="1078" t="s">
        <v>378</v>
      </c>
      <c r="C60" s="291"/>
      <c r="D60" s="137"/>
      <c r="E60" s="137"/>
      <c r="F60" s="137"/>
      <c r="G60" s="538"/>
      <c r="H60" s="291"/>
      <c r="I60" s="107"/>
      <c r="J60" s="107"/>
      <c r="K60" s="107"/>
      <c r="L60" s="293"/>
      <c r="M60" s="291"/>
      <c r="N60" s="107"/>
      <c r="O60" s="107"/>
      <c r="P60" s="107"/>
      <c r="Q60" s="293"/>
      <c r="R60" s="291"/>
      <c r="S60" s="107"/>
      <c r="T60" s="107"/>
      <c r="U60" s="107"/>
      <c r="V60" s="293"/>
      <c r="W60" s="291"/>
      <c r="X60" s="107"/>
      <c r="Y60" s="107"/>
      <c r="Z60" s="107"/>
      <c r="AA60" s="293"/>
      <c r="AB60" s="291"/>
      <c r="AC60" s="107"/>
      <c r="AD60" s="107"/>
      <c r="AE60" s="107"/>
      <c r="AF60" s="293"/>
      <c r="AG60" s="291"/>
      <c r="AH60" s="107"/>
      <c r="AI60" s="107"/>
      <c r="AJ60" s="107"/>
      <c r="AK60" s="293"/>
      <c r="AL60" s="291"/>
      <c r="AM60" s="107"/>
      <c r="AN60" s="107"/>
      <c r="AO60" s="107"/>
      <c r="AP60" s="293"/>
      <c r="AQ60" s="291"/>
      <c r="AR60" s="107"/>
      <c r="AS60" s="107"/>
      <c r="AT60" s="107"/>
      <c r="AU60" s="293"/>
      <c r="AV60" s="291"/>
      <c r="AW60" s="107"/>
      <c r="AX60" s="107"/>
      <c r="AY60" s="107"/>
      <c r="AZ60" s="293"/>
      <c r="BA60" s="291"/>
      <c r="BB60" s="107"/>
      <c r="BC60" s="107"/>
      <c r="BD60" s="107"/>
      <c r="BE60" s="293"/>
      <c r="BF60" s="291"/>
      <c r="BG60" s="107"/>
      <c r="BH60" s="107"/>
      <c r="BI60" s="107"/>
      <c r="BJ60" s="293"/>
      <c r="BK60" s="291"/>
      <c r="BL60" s="107"/>
      <c r="BM60" s="107"/>
      <c r="BN60" s="107"/>
      <c r="BO60" s="293"/>
      <c r="BP60" s="291"/>
      <c r="BQ60" s="107"/>
      <c r="BR60" s="107"/>
      <c r="BS60" s="107"/>
      <c r="BT60" s="293"/>
      <c r="BU60" s="291"/>
      <c r="BV60" s="107"/>
      <c r="BW60" s="107"/>
      <c r="BX60" s="107"/>
      <c r="BY60" s="293"/>
      <c r="BZ60" s="291"/>
      <c r="CA60" s="107"/>
      <c r="CB60" s="107"/>
      <c r="CC60" s="107"/>
      <c r="CD60" s="293"/>
      <c r="CE60" s="291"/>
      <c r="CF60" s="107"/>
      <c r="CG60" s="107"/>
      <c r="CH60" s="107"/>
      <c r="CI60" s="293"/>
      <c r="CJ60" s="291"/>
      <c r="CK60" s="107"/>
      <c r="CL60" s="107"/>
      <c r="CM60" s="107"/>
      <c r="CN60" s="293"/>
      <c r="CO60" s="291"/>
      <c r="CP60" s="107"/>
      <c r="CQ60" s="107"/>
      <c r="CR60" s="107"/>
      <c r="CS60" s="293"/>
      <c r="CT60" s="291"/>
      <c r="CU60" s="107"/>
      <c r="CV60" s="107"/>
      <c r="CW60" s="107"/>
      <c r="CX60" s="293"/>
      <c r="CY60" s="291"/>
      <c r="CZ60" s="107"/>
      <c r="DA60" s="107"/>
      <c r="DB60" s="107"/>
      <c r="DC60" s="293"/>
      <c r="DD60" s="291"/>
      <c r="DE60" s="107"/>
      <c r="DF60" s="107"/>
      <c r="DG60" s="107"/>
      <c r="DH60" s="293"/>
      <c r="DI60" s="291"/>
      <c r="DJ60" s="107"/>
      <c r="DK60" s="107"/>
      <c r="DL60" s="107"/>
      <c r="DM60" s="293"/>
      <c r="DN60" s="291"/>
      <c r="DO60" s="107"/>
      <c r="DP60" s="107"/>
      <c r="DQ60" s="107"/>
      <c r="DR60" s="293"/>
      <c r="DS60" s="291"/>
      <c r="DT60" s="107"/>
      <c r="DU60" s="107"/>
      <c r="DV60" s="107"/>
      <c r="DW60" s="293"/>
      <c r="DX60" s="463">
        <f t="shared" si="0"/>
      </c>
      <c r="DY60" s="463">
        <f t="shared" si="0"/>
      </c>
      <c r="DZ60" s="463">
        <f t="shared" si="0"/>
      </c>
      <c r="EA60" s="463">
        <f t="shared" si="0"/>
      </c>
      <c r="EB60" s="293"/>
      <c r="EC60" s="463">
        <f t="shared" si="1"/>
      </c>
      <c r="ED60" s="463">
        <f t="shared" si="1"/>
      </c>
      <c r="EE60" s="463">
        <f t="shared" si="1"/>
      </c>
      <c r="EF60" s="463">
        <f t="shared" si="1"/>
      </c>
      <c r="EG60" s="293"/>
      <c r="EH60" s="463">
        <f t="shared" si="2"/>
      </c>
      <c r="EI60" s="463">
        <f t="shared" si="2"/>
      </c>
      <c r="EJ60" s="463">
        <f t="shared" si="2"/>
      </c>
      <c r="EK60" s="463">
        <f t="shared" si="2"/>
      </c>
      <c r="EL60" s="293"/>
      <c r="EM60" s="463">
        <f t="shared" si="3"/>
      </c>
      <c r="EN60" s="463">
        <f t="shared" si="3"/>
      </c>
      <c r="EO60" s="463">
        <f t="shared" si="3"/>
      </c>
      <c r="EP60" s="463">
        <f t="shared" si="3"/>
      </c>
      <c r="EQ60" s="293"/>
      <c r="ER60" s="463">
        <f t="shared" si="4"/>
      </c>
      <c r="ES60" s="463">
        <f t="shared" si="4"/>
      </c>
      <c r="ET60" s="463">
        <f t="shared" si="4"/>
      </c>
      <c r="EU60" s="463">
        <f t="shared" si="4"/>
      </c>
      <c r="EV60" s="293"/>
      <c r="EW60" s="463">
        <f t="shared" ref="EW60:EX60" si="8">EW14+EW28+EW42</f>
      </c>
      <c r="EX60" s="463">
        <f t="shared" si="8"/>
      </c>
      <c r="EY60" s="463">
        <f t="shared" ref="EY60:EZ60" si="9">EY14+EY28+EY42</f>
      </c>
      <c r="EZ60" s="463">
        <f t="shared" si="9"/>
      </c>
      <c r="FA60" s="293"/>
      <c r="FB60" s="463">
        <f t="shared" ref="FB60" si="10">FB14+FB28+FB42</f>
      </c>
      <c r="FC60" s="463"/>
      <c r="FD60" s="463"/>
      <c r="FE60" s="463"/>
      <c r="FF60" s="293"/>
      <c r="FG60" s="291"/>
      <c r="FH60" s="107"/>
      <c r="FI60" s="107"/>
      <c r="FJ60" s="107"/>
      <c r="FK60" s="293"/>
      <c r="FL60" s="291"/>
      <c r="FM60" s="107"/>
      <c r="FN60" s="107"/>
      <c r="FO60" s="107"/>
      <c r="FP60" s="293"/>
      <c r="FQ60" s="291"/>
      <c r="FR60" s="107"/>
      <c r="FS60" s="107"/>
      <c r="FT60" s="107"/>
      <c r="FU60" s="293"/>
      <c r="FV60" s="291"/>
      <c r="FW60" s="107"/>
      <c r="FX60" s="107"/>
      <c r="FY60" s="107"/>
      <c r="FZ60" s="293"/>
      <c r="GA60" s="291"/>
      <c r="GB60" s="107"/>
      <c r="GC60" s="107"/>
      <c r="GD60" s="107"/>
      <c r="GE60" s="382"/>
    </row>
    <row r="61" spans="1:187" s="537" customFormat="1" ht="12.75" customHeight="1">
      <c r="A61" s="850" t="s">
        <v>467</v>
      </c>
      <c r="B61" s="1078" t="s">
        <v>401</v>
      </c>
      <c r="C61" s="291"/>
      <c r="D61" s="137"/>
      <c r="E61" s="137"/>
      <c r="F61" s="137"/>
      <c r="G61" s="538"/>
      <c r="H61" s="291"/>
      <c r="I61" s="107"/>
      <c r="J61" s="107"/>
      <c r="K61" s="107"/>
      <c r="L61" s="293"/>
      <c r="M61" s="291"/>
      <c r="N61" s="107"/>
      <c r="O61" s="107"/>
      <c r="P61" s="107"/>
      <c r="Q61" s="293"/>
      <c r="R61" s="291"/>
      <c r="S61" s="107"/>
      <c r="T61" s="107"/>
      <c r="U61" s="107"/>
      <c r="V61" s="293"/>
      <c r="W61" s="291"/>
      <c r="X61" s="107"/>
      <c r="Y61" s="107"/>
      <c r="Z61" s="107"/>
      <c r="AA61" s="293"/>
      <c r="AB61" s="291"/>
      <c r="AC61" s="107"/>
      <c r="AD61" s="107"/>
      <c r="AE61" s="107"/>
      <c r="AF61" s="293"/>
      <c r="AG61" s="291"/>
      <c r="AH61" s="107"/>
      <c r="AI61" s="107"/>
      <c r="AJ61" s="107"/>
      <c r="AK61" s="293"/>
      <c r="AL61" s="291"/>
      <c r="AM61" s="107"/>
      <c r="AN61" s="107"/>
      <c r="AO61" s="107"/>
      <c r="AP61" s="293"/>
      <c r="AQ61" s="291"/>
      <c r="AR61" s="107"/>
      <c r="AS61" s="107"/>
      <c r="AT61" s="107"/>
      <c r="AU61" s="293"/>
      <c r="AV61" s="291"/>
      <c r="AW61" s="107"/>
      <c r="AX61" s="107"/>
      <c r="AY61" s="107"/>
      <c r="AZ61" s="293"/>
      <c r="BA61" s="291"/>
      <c r="BB61" s="107"/>
      <c r="BC61" s="107"/>
      <c r="BD61" s="107"/>
      <c r="BE61" s="293"/>
      <c r="BF61" s="291"/>
      <c r="BG61" s="107"/>
      <c r="BH61" s="107"/>
      <c r="BI61" s="107"/>
      <c r="BJ61" s="293"/>
      <c r="BK61" s="291"/>
      <c r="BL61" s="107"/>
      <c r="BM61" s="107"/>
      <c r="BN61" s="107"/>
      <c r="BO61" s="293"/>
      <c r="BP61" s="291"/>
      <c r="BQ61" s="107"/>
      <c r="BR61" s="107"/>
      <c r="BS61" s="107"/>
      <c r="BT61" s="293"/>
      <c r="BU61" s="291"/>
      <c r="BV61" s="107"/>
      <c r="BW61" s="107"/>
      <c r="BX61" s="107"/>
      <c r="BY61" s="293"/>
      <c r="BZ61" s="291"/>
      <c r="CA61" s="107"/>
      <c r="CB61" s="107"/>
      <c r="CC61" s="107"/>
      <c r="CD61" s="293"/>
      <c r="CE61" s="291"/>
      <c r="CF61" s="107"/>
      <c r="CG61" s="107"/>
      <c r="CH61" s="107"/>
      <c r="CI61" s="293"/>
      <c r="CJ61" s="291"/>
      <c r="CK61" s="107"/>
      <c r="CL61" s="107"/>
      <c r="CM61" s="107"/>
      <c r="CN61" s="293"/>
      <c r="CO61" s="291"/>
      <c r="CP61" s="107"/>
      <c r="CQ61" s="107"/>
      <c r="CR61" s="107"/>
      <c r="CS61" s="293"/>
      <c r="CT61" s="291"/>
      <c r="CU61" s="107"/>
      <c r="CV61" s="107"/>
      <c r="CW61" s="107"/>
      <c r="CX61" s="293"/>
      <c r="CY61" s="291"/>
      <c r="CZ61" s="107"/>
      <c r="DA61" s="107"/>
      <c r="DB61" s="107"/>
      <c r="DC61" s="293"/>
      <c r="DD61" s="291"/>
      <c r="DE61" s="107"/>
      <c r="DF61" s="107"/>
      <c r="DG61" s="107"/>
      <c r="DH61" s="293"/>
      <c r="DI61" s="291"/>
      <c r="DJ61" s="107"/>
      <c r="DK61" s="107"/>
      <c r="DL61" s="107"/>
      <c r="DM61" s="293"/>
      <c r="DN61" s="291"/>
      <c r="DO61" s="107"/>
      <c r="DP61" s="107"/>
      <c r="DQ61" s="107"/>
      <c r="DR61" s="293"/>
      <c r="DS61" s="291"/>
      <c r="DT61" s="107"/>
      <c r="DU61" s="107"/>
      <c r="DV61" s="107"/>
      <c r="DW61" s="293"/>
      <c r="DX61" s="458">
        <f>IFERROR(AVERAGE(DX59:DX60),"--")</f>
      </c>
      <c r="DY61" s="458">
        <f>IFERROR(AVERAGE(DY59:DY60),"--")</f>
      </c>
      <c r="DZ61" s="458">
        <f>IFERROR(AVERAGE(DZ59:DZ60),"--")</f>
      </c>
      <c r="EA61" s="458">
        <f>IFERROR(AVERAGE(EA59:EA60),"--")</f>
      </c>
      <c r="EB61" s="459"/>
      <c r="EC61" s="458">
        <f>IFERROR(AVERAGE(EC59:EC60),"--")</f>
      </c>
      <c r="ED61" s="458">
        <f>IFERROR(AVERAGE(ED59:ED60),"--")</f>
      </c>
      <c r="EE61" s="458">
        <f>IFERROR(AVERAGE(EE59:EE60),"--")</f>
      </c>
      <c r="EF61" s="458">
        <f>IFERROR(AVERAGE(EF59:EF60),"--")</f>
      </c>
      <c r="EG61" s="459"/>
      <c r="EH61" s="458">
        <f>IFERROR(AVERAGE(EH59:EH60),"--")</f>
      </c>
      <c r="EI61" s="458">
        <f>IFERROR(AVERAGE(EI59:EI60),"--")</f>
      </c>
      <c r="EJ61" s="458">
        <f>IFERROR(AVERAGE(EJ59:EJ60),"--")</f>
      </c>
      <c r="EK61" s="458">
        <f>IFERROR(AVERAGE(EK59:EK60),"--")</f>
      </c>
      <c r="EL61" s="459"/>
      <c r="EM61" s="458">
        <f>IFERROR(AVERAGE(EM59:EM60),"--")</f>
      </c>
      <c r="EN61" s="458">
        <f>IFERROR(AVERAGE(EN59:EN60),"--")</f>
      </c>
      <c r="EO61" s="458">
        <f>IFERROR(AVERAGE(EO59:EO60),"--")</f>
      </c>
      <c r="EP61" s="458">
        <f>IFERROR(AVERAGE(EP59:EP60),"--")</f>
      </c>
      <c r="EQ61" s="459"/>
      <c r="ER61" s="458">
        <f>IFERROR(AVERAGE(ER59:ER60),"--")</f>
      </c>
      <c r="ES61" s="458">
        <f>IFERROR(AVERAGE(ES59:ES60),"--")</f>
      </c>
      <c r="ET61" s="458">
        <f>IFERROR(AVERAGE(ET59:ET60),"--")</f>
      </c>
      <c r="EU61" s="458">
        <f>IFERROR(AVERAGE(EU59:EU60),"--")</f>
      </c>
      <c r="EV61" s="293"/>
      <c r="EW61" s="458">
        <f>IFERROR(AVERAGE(EW59:EW60),"--")</f>
      </c>
      <c r="EX61" s="458">
        <f>IFERROR(AVERAGE(EX59:EX60),"--")</f>
      </c>
      <c r="EY61" s="458">
        <f>IFERROR(AVERAGE(EY59:EY60),"--")</f>
      </c>
      <c r="EZ61" s="458">
        <f>IFERROR(AVERAGE(EZ59:EZ60),"--")</f>
      </c>
      <c r="FA61" s="293"/>
      <c r="FB61" s="458">
        <f>IFERROR(AVERAGE(FB59:FB60),"--")</f>
      </c>
      <c r="FC61" s="458"/>
      <c r="FD61" s="458"/>
      <c r="FE61" s="458"/>
      <c r="FF61" s="293"/>
      <c r="FG61" s="291"/>
      <c r="FH61" s="107"/>
      <c r="FI61" s="107"/>
      <c r="FJ61" s="107"/>
      <c r="FK61" s="293"/>
      <c r="FL61" s="291"/>
      <c r="FM61" s="107"/>
      <c r="FN61" s="107"/>
      <c r="FO61" s="107"/>
      <c r="FP61" s="293"/>
      <c r="FQ61" s="291"/>
      <c r="FR61" s="107"/>
      <c r="FS61" s="107"/>
      <c r="FT61" s="107"/>
      <c r="FU61" s="293"/>
      <c r="FV61" s="291"/>
      <c r="FW61" s="107"/>
      <c r="FX61" s="107"/>
      <c r="FY61" s="107"/>
      <c r="FZ61" s="293"/>
      <c r="GA61" s="291"/>
      <c r="GB61" s="107"/>
      <c r="GC61" s="107"/>
      <c r="GD61" s="107"/>
      <c r="GE61" s="382"/>
    </row>
    <row r="62" spans="1:187" s="537" customFormat="1" ht="12.75" customHeight="1">
      <c r="A62" s="850"/>
      <c r="B62" s="1078"/>
      <c r="C62" s="291"/>
      <c r="D62" s="137"/>
      <c r="E62" s="137"/>
      <c r="F62" s="137"/>
      <c r="G62" s="538"/>
      <c r="H62" s="291"/>
      <c r="I62" s="107"/>
      <c r="J62" s="107"/>
      <c r="K62" s="107"/>
      <c r="L62" s="293"/>
      <c r="M62" s="291"/>
      <c r="N62" s="107"/>
      <c r="O62" s="107"/>
      <c r="P62" s="107"/>
      <c r="Q62" s="293"/>
      <c r="R62" s="291"/>
      <c r="S62" s="107"/>
      <c r="T62" s="107"/>
      <c r="U62" s="107"/>
      <c r="V62" s="293"/>
      <c r="W62" s="291"/>
      <c r="X62" s="107"/>
      <c r="Y62" s="107"/>
      <c r="Z62" s="107"/>
      <c r="AA62" s="293"/>
      <c r="AB62" s="291"/>
      <c r="AC62" s="107"/>
      <c r="AD62" s="107"/>
      <c r="AE62" s="107"/>
      <c r="AF62" s="293"/>
      <c r="AG62" s="291"/>
      <c r="AH62" s="107"/>
      <c r="AI62" s="107"/>
      <c r="AJ62" s="107"/>
      <c r="AK62" s="293"/>
      <c r="AL62" s="291"/>
      <c r="AM62" s="107"/>
      <c r="AN62" s="107"/>
      <c r="AO62" s="107"/>
      <c r="AP62" s="293"/>
      <c r="AQ62" s="291"/>
      <c r="AR62" s="107"/>
      <c r="AS62" s="107"/>
      <c r="AT62" s="107"/>
      <c r="AU62" s="293"/>
      <c r="AV62" s="291"/>
      <c r="AW62" s="107"/>
      <c r="AX62" s="107"/>
      <c r="AY62" s="107"/>
      <c r="AZ62" s="293"/>
      <c r="BA62" s="291"/>
      <c r="BB62" s="107"/>
      <c r="BC62" s="107"/>
      <c r="BD62" s="107"/>
      <c r="BE62" s="293"/>
      <c r="BF62" s="291"/>
      <c r="BG62" s="107"/>
      <c r="BH62" s="107"/>
      <c r="BI62" s="107"/>
      <c r="BJ62" s="293"/>
      <c r="BK62" s="291"/>
      <c r="BL62" s="107"/>
      <c r="BM62" s="107"/>
      <c r="BN62" s="107"/>
      <c r="BO62" s="293"/>
      <c r="BP62" s="291"/>
      <c r="BQ62" s="107"/>
      <c r="BR62" s="107"/>
      <c r="BS62" s="107"/>
      <c r="BT62" s="293"/>
      <c r="BU62" s="291"/>
      <c r="BV62" s="107"/>
      <c r="BW62" s="107"/>
      <c r="BX62" s="107"/>
      <c r="BY62" s="293"/>
      <c r="BZ62" s="291"/>
      <c r="CA62" s="107"/>
      <c r="CB62" s="107"/>
      <c r="CC62" s="107"/>
      <c r="CD62" s="293"/>
      <c r="CE62" s="291"/>
      <c r="CF62" s="107"/>
      <c r="CG62" s="107"/>
      <c r="CH62" s="107"/>
      <c r="CI62" s="293"/>
      <c r="CJ62" s="291"/>
      <c r="CK62" s="107"/>
      <c r="CL62" s="107"/>
      <c r="CM62" s="107"/>
      <c r="CN62" s="293"/>
      <c r="CO62" s="291"/>
      <c r="CP62" s="107"/>
      <c r="CQ62" s="107"/>
      <c r="CR62" s="107"/>
      <c r="CS62" s="293"/>
      <c r="CT62" s="291"/>
      <c r="CU62" s="107"/>
      <c r="CV62" s="107"/>
      <c r="CW62" s="107"/>
      <c r="CX62" s="293"/>
      <c r="CY62" s="291"/>
      <c r="CZ62" s="107"/>
      <c r="DA62" s="107"/>
      <c r="DB62" s="107"/>
      <c r="DC62" s="293"/>
      <c r="DD62" s="291"/>
      <c r="DE62" s="107"/>
      <c r="DF62" s="107"/>
      <c r="DG62" s="107"/>
      <c r="DH62" s="293"/>
      <c r="DI62" s="291"/>
      <c r="DJ62" s="107"/>
      <c r="DK62" s="107"/>
      <c r="DL62" s="107"/>
      <c r="DM62" s="293"/>
      <c r="DN62" s="291"/>
      <c r="DO62" s="107"/>
      <c r="DP62" s="107"/>
      <c r="DQ62" s="107"/>
      <c r="DR62" s="293"/>
      <c r="DS62" s="291"/>
      <c r="DT62" s="107"/>
      <c r="DU62" s="107"/>
      <c r="DV62" s="107"/>
      <c r="DW62" s="293"/>
      <c r="DX62" s="291"/>
      <c r="DY62" s="107"/>
      <c r="DZ62" s="107"/>
      <c r="EA62" s="107"/>
      <c r="EB62" s="293"/>
      <c r="EC62" s="291"/>
      <c r="ED62" s="107"/>
      <c r="EE62" s="107"/>
      <c r="EF62" s="107"/>
      <c r="EG62" s="293"/>
      <c r="EH62" s="291"/>
      <c r="EI62" s="107"/>
      <c r="EJ62" s="107"/>
      <c r="EK62" s="107"/>
      <c r="EL62" s="293"/>
      <c r="EM62" s="291"/>
      <c r="EN62" s="107"/>
      <c r="EO62" s="107"/>
      <c r="EP62" s="107"/>
      <c r="EQ62" s="293"/>
      <c r="ER62" s="291"/>
      <c r="ES62" s="107"/>
      <c r="ET62" s="107"/>
      <c r="EU62" s="107"/>
      <c r="EV62" s="293"/>
      <c r="EW62" s="291"/>
      <c r="EX62" s="107"/>
      <c r="EY62" s="107"/>
      <c r="EZ62" s="291"/>
      <c r="FA62" s="293"/>
      <c r="FB62" s="291"/>
      <c r="FC62" s="107"/>
      <c r="FD62" s="107"/>
      <c r="FE62" s="107"/>
      <c r="FF62" s="293"/>
      <c r="FG62" s="291"/>
      <c r="FH62" s="107"/>
      <c r="FI62" s="107"/>
      <c r="FJ62" s="107"/>
      <c r="FK62" s="293"/>
      <c r="FL62" s="291"/>
      <c r="FM62" s="107"/>
      <c r="FN62" s="107"/>
      <c r="FO62" s="107"/>
      <c r="FP62" s="293"/>
      <c r="FQ62" s="291"/>
      <c r="FR62" s="107"/>
      <c r="FS62" s="107"/>
      <c r="FT62" s="107"/>
      <c r="FU62" s="293"/>
      <c r="FV62" s="291"/>
      <c r="FW62" s="107"/>
      <c r="FX62" s="107"/>
      <c r="FY62" s="107"/>
      <c r="FZ62" s="293"/>
      <c r="GA62" s="291"/>
      <c r="GB62" s="107"/>
      <c r="GC62" s="107"/>
      <c r="GD62" s="107"/>
      <c r="GE62" s="382"/>
    </row>
    <row r="63" spans="1:187" s="537" customFormat="1" ht="12.75" customHeight="1">
      <c r="A63" s="850" t="s">
        <v>31</v>
      </c>
      <c r="B63" s="1080" t="s">
        <v>317</v>
      </c>
      <c r="C63" s="825">
        <f>IS!C24</f>
      </c>
      <c r="D63" s="1068">
        <f>IS!D24</f>
      </c>
      <c r="E63" s="1068">
        <f>IS!E24</f>
      </c>
      <c r="F63" s="1068">
        <f>IS!F24</f>
      </c>
      <c r="G63" s="1069">
        <f>IS!G24</f>
      </c>
      <c r="H63" s="825">
        <f>IS!H24</f>
      </c>
      <c r="I63" s="826">
        <f>IS!I24</f>
      </c>
      <c r="J63" s="826">
        <f>IS!J24</f>
      </c>
      <c r="K63" s="826">
        <f>IS!K24</f>
      </c>
      <c r="L63" s="1067">
        <f>IS!L24</f>
      </c>
      <c r="M63" s="825">
        <f>IS!M24</f>
      </c>
      <c r="N63" s="826">
        <f>IS!N24</f>
      </c>
      <c r="O63" s="826">
        <f>IS!O24</f>
      </c>
      <c r="P63" s="826">
        <f>IS!P24</f>
      </c>
      <c r="Q63" s="1067">
        <f>IS!Q24</f>
      </c>
      <c r="R63" s="825">
        <f>IS!R24</f>
      </c>
      <c r="S63" s="826">
        <f>IS!S24</f>
      </c>
      <c r="T63" s="826">
        <f>IS!T24</f>
      </c>
      <c r="U63" s="826">
        <f>IS!U24</f>
      </c>
      <c r="V63" s="1067">
        <f>IS!V24</f>
      </c>
      <c r="W63" s="825">
        <f>IS!W24</f>
      </c>
      <c r="X63" s="826">
        <f>IS!X24</f>
      </c>
      <c r="Y63" s="826">
        <f>IS!Y24</f>
      </c>
      <c r="Z63" s="826">
        <f>IS!Z24</f>
      </c>
      <c r="AA63" s="1067">
        <f>IS!AA24</f>
      </c>
      <c r="AB63" s="825">
        <f>IS!AB24</f>
      </c>
      <c r="AC63" s="826">
        <f>IS!AC24</f>
      </c>
      <c r="AD63" s="826">
        <f>IS!AD24</f>
      </c>
      <c r="AE63" s="826">
        <f>IS!AE24</f>
      </c>
      <c r="AF63" s="1067">
        <f>IS!AF24</f>
      </c>
      <c r="AG63" s="825">
        <f>IS!AG24</f>
      </c>
      <c r="AH63" s="826">
        <f>IS!AH24</f>
      </c>
      <c r="AI63" s="826">
        <f>IS!AI24</f>
      </c>
      <c r="AJ63" s="826">
        <f>IS!AJ24</f>
      </c>
      <c r="AK63" s="1067">
        <f>IS!AK24</f>
      </c>
      <c r="AL63" s="825">
        <f>IS!AL24</f>
      </c>
      <c r="AM63" s="826">
        <f>IS!AM24</f>
      </c>
      <c r="AN63" s="826">
        <f>IS!AN24</f>
      </c>
      <c r="AO63" s="826">
        <f>IS!AO24</f>
      </c>
      <c r="AP63" s="1067">
        <f>IS!AP24</f>
      </c>
      <c r="AQ63" s="825">
        <f>IS!AQ24</f>
      </c>
      <c r="AR63" s="826">
        <f>IS!AR24</f>
      </c>
      <c r="AS63" s="826">
        <f>IS!AS24</f>
      </c>
      <c r="AT63" s="826">
        <f>IS!AT24</f>
      </c>
      <c r="AU63" s="1067">
        <f>IS!AU24</f>
      </c>
      <c r="AV63" s="825">
        <f>IS!AV24</f>
      </c>
      <c r="AW63" s="826">
        <f>IS!AW24</f>
      </c>
      <c r="AX63" s="826">
        <f>IS!AX24</f>
      </c>
      <c r="AY63" s="826">
        <f>IS!AY24</f>
      </c>
      <c r="AZ63" s="1067">
        <f>IS!AZ24</f>
      </c>
      <c r="BA63" s="825">
        <f>IS!BA24</f>
      </c>
      <c r="BB63" s="826">
        <f>IS!BB24</f>
      </c>
      <c r="BC63" s="826">
        <f>IS!BC24</f>
      </c>
      <c r="BD63" s="826">
        <f>IS!BD24</f>
      </c>
      <c r="BE63" s="1067">
        <f>IS!BE24</f>
      </c>
      <c r="BF63" s="825">
        <f>IS!BF24</f>
      </c>
      <c r="BG63" s="826">
        <f>IS!BG24</f>
      </c>
      <c r="BH63" s="826">
        <f>IS!BH24</f>
      </c>
      <c r="BI63" s="826">
        <f>IS!BI24</f>
      </c>
      <c r="BJ63" s="1067">
        <f>IS!BJ24</f>
      </c>
      <c r="BK63" s="825">
        <f>IS!BK24</f>
      </c>
      <c r="BL63" s="826">
        <f>IS!BL24</f>
      </c>
      <c r="BM63" s="826">
        <f>IS!BM24</f>
      </c>
      <c r="BN63" s="826">
        <f>IS!BN24</f>
      </c>
      <c r="BO63" s="1067">
        <f>IS!BO24</f>
      </c>
      <c r="BP63" s="825">
        <f>IS!BP24</f>
      </c>
      <c r="BQ63" s="826">
        <f>IS!BQ24</f>
      </c>
      <c r="BR63" s="826">
        <f>IS!BR24</f>
      </c>
      <c r="BS63" s="826">
        <f>IS!BS24</f>
      </c>
      <c r="BT63" s="1067">
        <f>IS!BT24</f>
      </c>
      <c r="BU63" s="825">
        <f>IS!BU24</f>
      </c>
      <c r="BV63" s="826">
        <f>IS!BV24</f>
      </c>
      <c r="BW63" s="826">
        <f>IS!BW24</f>
      </c>
      <c r="BX63" s="826">
        <f>IS!BX24</f>
      </c>
      <c r="BY63" s="1067">
        <f>IS!BY24</f>
      </c>
      <c r="BZ63" s="825">
        <f>IS!BZ24</f>
      </c>
      <c r="CA63" s="826">
        <f>IS!CA24</f>
      </c>
      <c r="CB63" s="826">
        <f>IS!CB24</f>
      </c>
      <c r="CC63" s="826">
        <f>IS!CC24</f>
      </c>
      <c r="CD63" s="1067">
        <f>IS!CD24</f>
      </c>
      <c r="CE63" s="825">
        <f>IS!CE24</f>
      </c>
      <c r="CF63" s="826">
        <f>IS!CF24</f>
      </c>
      <c r="CG63" s="826">
        <f>IS!CG24</f>
      </c>
      <c r="CH63" s="826">
        <f>IS!CH24</f>
      </c>
      <c r="CI63" s="1067">
        <f>IS!CI24</f>
      </c>
      <c r="CJ63" s="825">
        <f>IS!CJ24</f>
      </c>
      <c r="CK63" s="826">
        <f>IS!CK24</f>
      </c>
      <c r="CL63" s="826">
        <f>IS!CL24</f>
      </c>
      <c r="CM63" s="826">
        <f>IS!CM24</f>
      </c>
      <c r="CN63" s="1067">
        <f>IS!CN24</f>
      </c>
      <c r="CO63" s="825">
        <f>IS!CO24</f>
      </c>
      <c r="CP63" s="826">
        <f>IS!CP24</f>
      </c>
      <c r="CQ63" s="826">
        <f>IS!CQ24</f>
      </c>
      <c r="CR63" s="826">
        <f>IS!CR24</f>
      </c>
      <c r="CS63" s="1067">
        <f>IS!CS24</f>
      </c>
      <c r="CT63" s="825">
        <f>IS!CT24</f>
      </c>
      <c r="CU63" s="826">
        <f>IS!CU24</f>
      </c>
      <c r="CV63" s="826">
        <f>IS!CV24</f>
      </c>
      <c r="CW63" s="826">
        <f>IS!CW24</f>
      </c>
      <c r="CX63" s="1067">
        <f>IS!CX24</f>
      </c>
      <c r="CY63" s="825">
        <f>IS!CY24</f>
      </c>
      <c r="CZ63" s="826">
        <f>IS!CZ24</f>
      </c>
      <c r="DA63" s="826">
        <f>IS!DA24</f>
      </c>
      <c r="DB63" s="826">
        <f>IS!DB24</f>
      </c>
      <c r="DC63" s="1067">
        <f>IS!DC24</f>
      </c>
      <c r="DD63" s="825">
        <f>IS!DD24</f>
      </c>
      <c r="DE63" s="826">
        <f>IS!DE24</f>
      </c>
      <c r="DF63" s="826">
        <f>IS!DF24</f>
      </c>
      <c r="DG63" s="826">
        <f>IS!DG24</f>
      </c>
      <c r="DH63" s="1067">
        <f>IS!DH24</f>
      </c>
      <c r="DI63" s="825">
        <f>IS!DI24</f>
      </c>
      <c r="DJ63" s="826">
        <f>IS!DJ24</f>
      </c>
      <c r="DK63" s="826">
        <f>IS!DK24</f>
      </c>
      <c r="DL63" s="826">
        <f>IS!DL24</f>
      </c>
      <c r="DM63" s="1067">
        <f>IS!DM24</f>
      </c>
      <c r="DN63" s="825">
        <f>IS!DN24</f>
      </c>
      <c r="DO63" s="826">
        <f>IS!DO24</f>
      </c>
      <c r="DP63" s="826">
        <f>IS!DP24</f>
      </c>
      <c r="DQ63" s="826">
        <f>IS!DQ24</f>
      </c>
      <c r="DR63" s="1067">
        <f>IS!DR24</f>
      </c>
      <c r="DS63" s="825">
        <f>IS!DS24</f>
      </c>
      <c r="DT63" s="826">
        <f>IS!DT24</f>
      </c>
      <c r="DU63" s="826">
        <f>IS!DU24</f>
      </c>
      <c r="DV63" s="826">
        <f>IS!DV24</f>
      </c>
      <c r="DW63" s="1067">
        <f>IS!DW24</f>
      </c>
      <c r="DX63" s="825">
        <f>IS!DX24</f>
      </c>
      <c r="DY63" s="826">
        <f>IS!DY24</f>
      </c>
      <c r="DZ63" s="826">
        <f>IS!DZ24</f>
      </c>
      <c r="EA63" s="826">
        <f>IS!EA24</f>
      </c>
      <c r="EB63" s="1067">
        <f>IS!EB24</f>
      </c>
      <c r="EC63" s="825">
        <f>IS!EC24</f>
      </c>
      <c r="ED63" s="826">
        <f>IS!ED24</f>
      </c>
      <c r="EE63" s="826">
        <f>IS!EE24</f>
      </c>
      <c r="EF63" s="826">
        <f>IS!EF24</f>
      </c>
      <c r="EG63" s="1067">
        <f>IS!EG24</f>
      </c>
      <c r="EH63" s="825">
        <f>IS!EH24</f>
      </c>
      <c r="EI63" s="826">
        <f>IS!EI24</f>
      </c>
      <c r="EJ63" s="826">
        <f>IS!EJ24</f>
      </c>
      <c r="EK63" s="826">
        <f>IS!EK24</f>
      </c>
      <c r="EL63" s="1067">
        <f>IS!EL24</f>
      </c>
      <c r="EM63" s="825">
        <f>IS!EM24</f>
      </c>
      <c r="EN63" s="826">
        <f>IS!EN24</f>
      </c>
      <c r="EO63" s="826">
        <f>IS!EO24</f>
      </c>
      <c r="EP63" s="826">
        <f>IS!EP24</f>
      </c>
      <c r="EQ63" s="1067">
        <f>IS!EQ24</f>
      </c>
      <c r="ER63" s="825">
        <f>IS!ER24</f>
      </c>
      <c r="ES63" s="826">
        <f>IS!ES24</f>
      </c>
      <c r="ET63" s="826">
        <f>IS!ET24</f>
      </c>
      <c r="EU63" s="826">
        <f>IS!EU24</f>
      </c>
      <c r="EV63" s="891"/>
      <c r="EW63" s="825">
        <f>IS!EW24</f>
      </c>
      <c r="EX63" s="826">
        <f>IS!EX24</f>
      </c>
      <c r="EY63" s="826">
        <f>IS!EY24</f>
      </c>
      <c r="EZ63" s="825">
        <f>IS!EZ24</f>
      </c>
      <c r="FA63" s="891"/>
      <c r="FB63" s="825"/>
      <c r="FC63" s="826"/>
      <c r="FD63" s="826"/>
      <c r="FE63" s="826"/>
      <c r="FF63" s="891"/>
      <c r="FG63" s="399"/>
      <c r="FH63" s="129"/>
      <c r="FI63" s="129"/>
      <c r="FJ63" s="129"/>
      <c r="FK63" s="891"/>
      <c r="FL63" s="399"/>
      <c r="FM63" s="129"/>
      <c r="FN63" s="129"/>
      <c r="FO63" s="129"/>
      <c r="FP63" s="891"/>
      <c r="FQ63" s="399"/>
      <c r="FR63" s="129"/>
      <c r="FS63" s="129"/>
      <c r="FT63" s="129"/>
      <c r="FU63" s="891"/>
      <c r="FV63" s="399"/>
      <c r="FW63" s="129"/>
      <c r="FX63" s="129"/>
      <c r="FY63" s="129"/>
      <c r="FZ63" s="891"/>
      <c r="GA63" s="399"/>
      <c r="GB63" s="129"/>
      <c r="GC63" s="129"/>
      <c r="GD63" s="129"/>
      <c r="GE63" s="1081"/>
    </row>
    <row r="64" spans="1:187" s="537" customFormat="1" ht="12.75" customHeight="1">
      <c r="A64" s="850"/>
      <c r="B64" s="1078" t="s">
        <v>402</v>
      </c>
      <c r="C64" s="291"/>
      <c r="D64" s="137"/>
      <c r="E64" s="137"/>
      <c r="F64" s="137"/>
      <c r="G64" s="538"/>
      <c r="H64" s="291"/>
      <c r="I64" s="107"/>
      <c r="J64" s="107"/>
      <c r="K64" s="107"/>
      <c r="L64" s="293"/>
      <c r="M64" s="291"/>
      <c r="N64" s="107"/>
      <c r="O64" s="107"/>
      <c r="P64" s="107"/>
      <c r="Q64" s="293"/>
      <c r="R64" s="291"/>
      <c r="S64" s="107"/>
      <c r="T64" s="107"/>
      <c r="U64" s="107"/>
      <c r="V64" s="293"/>
      <c r="W64" s="291"/>
      <c r="X64" s="107"/>
      <c r="Y64" s="107"/>
      <c r="Z64" s="107"/>
      <c r="AA64" s="293"/>
      <c r="AB64" s="291"/>
      <c r="AC64" s="107"/>
      <c r="AD64" s="107"/>
      <c r="AE64" s="107"/>
      <c r="AF64" s="293"/>
      <c r="AG64" s="291"/>
      <c r="AH64" s="107"/>
      <c r="AI64" s="107"/>
      <c r="AJ64" s="107"/>
      <c r="AK64" s="293"/>
      <c r="AL64" s="291"/>
      <c r="AM64" s="107"/>
      <c r="AN64" s="107"/>
      <c r="AO64" s="107"/>
      <c r="AP64" s="293"/>
      <c r="AQ64" s="291"/>
      <c r="AR64" s="107"/>
      <c r="AS64" s="107"/>
      <c r="AT64" s="107"/>
      <c r="AU64" s="293"/>
      <c r="AV64" s="291"/>
      <c r="AW64" s="107"/>
      <c r="AX64" s="107"/>
      <c r="AY64" s="107"/>
      <c r="AZ64" s="293"/>
      <c r="BA64" s="291"/>
      <c r="BB64" s="107"/>
      <c r="BC64" s="107"/>
      <c r="BD64" s="107"/>
      <c r="BE64" s="293"/>
      <c r="BF64" s="291"/>
      <c r="BG64" s="107"/>
      <c r="BH64" s="107"/>
      <c r="BI64" s="107"/>
      <c r="BJ64" s="293"/>
      <c r="BK64" s="291"/>
      <c r="BL64" s="107"/>
      <c r="BM64" s="107"/>
      <c r="BN64" s="107"/>
      <c r="BO64" s="293"/>
      <c r="BP64" s="291"/>
      <c r="BQ64" s="107"/>
      <c r="BR64" s="107"/>
      <c r="BS64" s="107"/>
      <c r="BT64" s="293"/>
      <c r="BU64" s="291"/>
      <c r="BV64" s="107"/>
      <c r="BW64" s="107"/>
      <c r="BX64" s="107"/>
      <c r="BY64" s="293"/>
      <c r="BZ64" s="291"/>
      <c r="CA64" s="107"/>
      <c r="CB64" s="107"/>
      <c r="CC64" s="107"/>
      <c r="CD64" s="293"/>
      <c r="CE64" s="291"/>
      <c r="CF64" s="107"/>
      <c r="CG64" s="107"/>
      <c r="CH64" s="107"/>
      <c r="CI64" s="293"/>
      <c r="CJ64" s="291"/>
      <c r="CK64" s="107"/>
      <c r="CL64" s="107"/>
      <c r="CM64" s="107"/>
      <c r="CN64" s="293"/>
      <c r="CO64" s="291"/>
      <c r="CP64" s="107"/>
      <c r="CQ64" s="107"/>
      <c r="CR64" s="107"/>
      <c r="CS64" s="293"/>
      <c r="CT64" s="291"/>
      <c r="CU64" s="107"/>
      <c r="CV64" s="107"/>
      <c r="CW64" s="107"/>
      <c r="CX64" s="293"/>
      <c r="CY64" s="291"/>
      <c r="CZ64" s="107"/>
      <c r="DA64" s="107"/>
      <c r="DB64" s="107"/>
      <c r="DC64" s="293"/>
      <c r="DD64" s="291"/>
      <c r="DE64" s="107"/>
      <c r="DF64" s="107"/>
      <c r="DG64" s="107"/>
      <c r="DH64" s="293"/>
      <c r="DI64" s="291"/>
      <c r="DJ64" s="107"/>
      <c r="DK64" s="107"/>
      <c r="DL64" s="107"/>
      <c r="DM64" s="293"/>
      <c r="DN64" s="291"/>
      <c r="DO64" s="107"/>
      <c r="DP64" s="107"/>
      <c r="DQ64" s="107"/>
      <c r="DR64" s="293"/>
      <c r="DS64" s="291"/>
      <c r="DT64" s="107"/>
      <c r="DU64" s="107"/>
      <c r="DV64" s="107"/>
      <c r="DW64" s="293"/>
      <c r="DX64" s="291">
        <f>IFERROR(DX63/DX61-1,"")</f>
      </c>
      <c r="DY64" s="291">
        <f>IFERROR(DY63/DY61-1,"")</f>
      </c>
      <c r="DZ64" s="291">
        <f>IFERROR(DZ63/DZ61-1,"")</f>
      </c>
      <c r="EA64" s="291">
        <f>IFERROR(EA63/EA61-1,"")</f>
      </c>
      <c r="EB64" s="293"/>
      <c r="EC64" s="291">
        <f>EC63/EC61-1</f>
      </c>
      <c r="ED64" s="291">
        <f>ED63/ED61-1</f>
      </c>
      <c r="EE64" s="291">
        <f>EE63/EE61-1</f>
      </c>
      <c r="EF64" s="291">
        <f>EF63/EF61-1</f>
      </c>
      <c r="EG64" s="293"/>
      <c r="EH64" s="291">
        <f>EH63/EH61-1</f>
      </c>
      <c r="EI64" s="291">
        <f>EI63/EI61-1</f>
      </c>
      <c r="EJ64" s="291">
        <f>EJ63/EJ61-1</f>
      </c>
      <c r="EK64" s="291">
        <f>EK63/EK61-1</f>
      </c>
      <c r="EL64" s="293"/>
      <c r="EM64" s="291">
        <f>EM63/EM61-1</f>
      </c>
      <c r="EN64" s="291">
        <f>EN63/EN61-1</f>
      </c>
      <c r="EO64" s="291">
        <f>EO63/EO61-1</f>
      </c>
      <c r="EP64" s="291">
        <f>EP63/EP61-1</f>
      </c>
      <c r="EQ64" s="293"/>
      <c r="ER64" s="291">
        <f>ER63/ER61-1</f>
      </c>
      <c r="ES64" s="291">
        <f>ES63/ES61-1</f>
      </c>
      <c r="ET64" s="291">
        <f>ET63/ET61-1</f>
      </c>
      <c r="EU64" s="291">
        <f>EU63/EU61-1</f>
      </c>
      <c r="EV64" s="293"/>
      <c r="EW64" s="291">
        <f>EW63/EW61-1</f>
      </c>
      <c r="EX64" s="291">
        <f>EX63/EX61-1</f>
      </c>
      <c r="EY64" s="291">
        <f>EY63/EY61-1</f>
      </c>
      <c r="EZ64" s="291">
        <f>EZ63/EZ61-1</f>
      </c>
      <c r="FA64" s="293"/>
      <c r="FB64" s="291"/>
      <c r="FC64" s="291"/>
      <c r="FD64" s="291"/>
      <c r="FE64" s="291"/>
      <c r="FF64" s="293"/>
      <c r="FG64" s="291"/>
      <c r="FH64" s="107"/>
      <c r="FI64" s="107"/>
      <c r="FJ64" s="107"/>
      <c r="FK64" s="293"/>
      <c r="FL64" s="291"/>
      <c r="FM64" s="107"/>
      <c r="FN64" s="107"/>
      <c r="FO64" s="107"/>
      <c r="FP64" s="293"/>
      <c r="FQ64" s="291"/>
      <c r="FR64" s="107"/>
      <c r="FS64" s="107"/>
      <c r="FT64" s="107"/>
      <c r="FU64" s="293"/>
      <c r="FV64" s="291"/>
      <c r="FW64" s="107"/>
      <c r="FX64" s="107"/>
      <c r="FY64" s="107"/>
      <c r="FZ64" s="293"/>
      <c r="GA64" s="291"/>
      <c r="GB64" s="107"/>
      <c r="GC64" s="107"/>
      <c r="GD64" s="107"/>
      <c r="GE64" s="382"/>
    </row>
    <row r="65" spans="1:187" s="537" customFormat="1" ht="12.75" customHeight="1">
      <c r="A65" s="850"/>
      <c r="B65" s="1078" t="s">
        <v>403</v>
      </c>
      <c r="C65" s="291"/>
      <c r="D65" s="137"/>
      <c r="E65" s="137"/>
      <c r="F65" s="137"/>
      <c r="G65" s="538"/>
      <c r="H65" s="291"/>
      <c r="I65" s="107"/>
      <c r="J65" s="107"/>
      <c r="K65" s="107"/>
      <c r="L65" s="293"/>
      <c r="M65" s="291"/>
      <c r="N65" s="107"/>
      <c r="O65" s="107"/>
      <c r="P65" s="107"/>
      <c r="Q65" s="293"/>
      <c r="R65" s="291"/>
      <c r="S65" s="107"/>
      <c r="T65" s="107"/>
      <c r="U65" s="107"/>
      <c r="V65" s="293"/>
      <c r="W65" s="291"/>
      <c r="X65" s="107"/>
      <c r="Y65" s="107"/>
      <c r="Z65" s="107"/>
      <c r="AA65" s="293"/>
      <c r="AB65" s="291"/>
      <c r="AC65" s="107"/>
      <c r="AD65" s="107"/>
      <c r="AE65" s="107"/>
      <c r="AF65" s="293"/>
      <c r="AG65" s="291"/>
      <c r="AH65" s="107"/>
      <c r="AI65" s="107"/>
      <c r="AJ65" s="107"/>
      <c r="AK65" s="293"/>
      <c r="AL65" s="291"/>
      <c r="AM65" s="107"/>
      <c r="AN65" s="107"/>
      <c r="AO65" s="107"/>
      <c r="AP65" s="293"/>
      <c r="AQ65" s="291"/>
      <c r="AR65" s="107"/>
      <c r="AS65" s="107"/>
      <c r="AT65" s="107"/>
      <c r="AU65" s="293"/>
      <c r="AV65" s="291"/>
      <c r="AW65" s="107"/>
      <c r="AX65" s="107"/>
      <c r="AY65" s="107"/>
      <c r="AZ65" s="293"/>
      <c r="BA65" s="291"/>
      <c r="BB65" s="107"/>
      <c r="BC65" s="107"/>
      <c r="BD65" s="107"/>
      <c r="BE65" s="293"/>
      <c r="BF65" s="291"/>
      <c r="BG65" s="107"/>
      <c r="BH65" s="107"/>
      <c r="BI65" s="107"/>
      <c r="BJ65" s="293"/>
      <c r="BK65" s="291"/>
      <c r="BL65" s="107"/>
      <c r="BM65" s="107"/>
      <c r="BN65" s="107"/>
      <c r="BO65" s="293"/>
      <c r="BP65" s="291"/>
      <c r="BQ65" s="107"/>
      <c r="BR65" s="107"/>
      <c r="BS65" s="107"/>
      <c r="BT65" s="293"/>
      <c r="BU65" s="291"/>
      <c r="BV65" s="107"/>
      <c r="BW65" s="107"/>
      <c r="BX65" s="107"/>
      <c r="BY65" s="293"/>
      <c r="BZ65" s="291"/>
      <c r="CA65" s="107"/>
      <c r="CB65" s="107"/>
      <c r="CC65" s="107"/>
      <c r="CD65" s="293"/>
      <c r="CE65" s="291"/>
      <c r="CF65" s="107"/>
      <c r="CG65" s="107"/>
      <c r="CH65" s="107"/>
      <c r="CI65" s="293"/>
      <c r="CJ65" s="291"/>
      <c r="CK65" s="107"/>
      <c r="CL65" s="107"/>
      <c r="CM65" s="107"/>
      <c r="CN65" s="293"/>
      <c r="CO65" s="291"/>
      <c r="CP65" s="107"/>
      <c r="CQ65" s="107"/>
      <c r="CR65" s="107"/>
      <c r="CS65" s="293"/>
      <c r="CT65" s="291"/>
      <c r="CU65" s="107"/>
      <c r="CV65" s="107"/>
      <c r="CW65" s="107"/>
      <c r="CX65" s="293"/>
      <c r="CY65" s="291"/>
      <c r="CZ65" s="107"/>
      <c r="DA65" s="107"/>
      <c r="DB65" s="107"/>
      <c r="DC65" s="293"/>
      <c r="DD65" s="291"/>
      <c r="DE65" s="107"/>
      <c r="DF65" s="107"/>
      <c r="DG65" s="107"/>
      <c r="DH65" s="293"/>
      <c r="DI65" s="291"/>
      <c r="DJ65" s="107"/>
      <c r="DK65" s="107"/>
      <c r="DL65" s="107"/>
      <c r="DM65" s="293"/>
      <c r="DN65" s="291"/>
      <c r="DO65" s="107"/>
      <c r="DP65" s="107"/>
      <c r="DQ65" s="107"/>
      <c r="DR65" s="293"/>
      <c r="DS65" s="291"/>
      <c r="DT65" s="107"/>
      <c r="DU65" s="107"/>
      <c r="DV65" s="107"/>
      <c r="DW65" s="293"/>
      <c r="DX65" s="470">
        <f>DX63-DX61</f>
      </c>
      <c r="DY65" s="470">
        <f>DY63-DY61</f>
      </c>
      <c r="DZ65" s="470">
        <f>DZ63-DZ61</f>
      </c>
      <c r="EA65" s="470">
        <f>EA63-EA61</f>
      </c>
      <c r="EB65" s="293"/>
      <c r="EC65" s="470">
        <f>EC63-EC61</f>
      </c>
      <c r="ED65" s="470">
        <f>ED63-ED61</f>
      </c>
      <c r="EE65" s="470">
        <f>EE63-EE61</f>
      </c>
      <c r="EF65" s="470">
        <f>EF63-EF61</f>
      </c>
      <c r="EG65" s="293"/>
      <c r="EH65" s="470">
        <f>EH63-EH61</f>
      </c>
      <c r="EI65" s="470">
        <f>EI63-EI61</f>
      </c>
      <c r="EJ65" s="470">
        <f>EJ63-EJ61</f>
      </c>
      <c r="EK65" s="470">
        <f>EK63-EK61</f>
      </c>
      <c r="EL65" s="293"/>
      <c r="EM65" s="470">
        <f>EM63-EM61</f>
      </c>
      <c r="EN65" s="470">
        <f>EN63-EN61</f>
      </c>
      <c r="EO65" s="470">
        <f>EO63-EO61</f>
      </c>
      <c r="EP65" s="470">
        <f>EP63-EP61</f>
      </c>
      <c r="EQ65" s="293"/>
      <c r="ER65" s="470">
        <f>ER63-ER61</f>
      </c>
      <c r="ES65" s="470">
        <f>ES63-ES61</f>
      </c>
      <c r="ET65" s="470">
        <f>ET63-ET61</f>
      </c>
      <c r="EU65" s="470">
        <f>EU63-EU61</f>
      </c>
      <c r="EV65" s="293"/>
      <c r="EW65" s="470">
        <f>EW63-EW61</f>
      </c>
      <c r="EX65" s="470">
        <f>EX63-EX61</f>
      </c>
      <c r="EY65" s="470">
        <f>EY63-EY61</f>
      </c>
      <c r="EZ65" s="470">
        <f>EZ63-EZ61</f>
      </c>
      <c r="FA65" s="293"/>
      <c r="FB65" s="470"/>
      <c r="FC65" s="470"/>
      <c r="FD65" s="470"/>
      <c r="FE65" s="470"/>
      <c r="FF65" s="293"/>
      <c r="FG65" s="291"/>
      <c r="FH65" s="107"/>
      <c r="FI65" s="107"/>
      <c r="FJ65" s="107"/>
      <c r="FK65" s="293"/>
      <c r="FL65" s="291"/>
      <c r="FM65" s="107"/>
      <c r="FN65" s="107"/>
      <c r="FO65" s="107"/>
      <c r="FP65" s="293"/>
      <c r="FQ65" s="291"/>
      <c r="FR65" s="107"/>
      <c r="FS65" s="107"/>
      <c r="FT65" s="107"/>
      <c r="FU65" s="293"/>
      <c r="FV65" s="291"/>
      <c r="FW65" s="107"/>
      <c r="FX65" s="107"/>
      <c r="FY65" s="107"/>
      <c r="FZ65" s="293"/>
      <c r="GA65" s="291"/>
      <c r="GB65" s="107"/>
      <c r="GC65" s="107"/>
      <c r="GD65" s="107"/>
      <c r="GE65" s="382"/>
    </row>
    <row r="66" spans="1:187" s="537" customFormat="1" ht="12.75" customHeight="1">
      <c r="A66" s="850"/>
      <c r="B66" s="1078"/>
      <c r="C66" s="291"/>
      <c r="D66" s="137"/>
      <c r="E66" s="137"/>
      <c r="F66" s="137"/>
      <c r="G66" s="538"/>
      <c r="H66" s="291"/>
      <c r="I66" s="107"/>
      <c r="J66" s="107"/>
      <c r="K66" s="107"/>
      <c r="L66" s="293"/>
      <c r="M66" s="291"/>
      <c r="N66" s="107"/>
      <c r="O66" s="107"/>
      <c r="P66" s="107"/>
      <c r="Q66" s="293"/>
      <c r="R66" s="291"/>
      <c r="S66" s="107"/>
      <c r="T66" s="107"/>
      <c r="U66" s="107"/>
      <c r="V66" s="293"/>
      <c r="W66" s="291"/>
      <c r="X66" s="107"/>
      <c r="Y66" s="107"/>
      <c r="Z66" s="107"/>
      <c r="AA66" s="293"/>
      <c r="AB66" s="291"/>
      <c r="AC66" s="107"/>
      <c r="AD66" s="107"/>
      <c r="AE66" s="107"/>
      <c r="AF66" s="293"/>
      <c r="AG66" s="291"/>
      <c r="AH66" s="107"/>
      <c r="AI66" s="107"/>
      <c r="AJ66" s="107"/>
      <c r="AK66" s="293"/>
      <c r="AL66" s="291"/>
      <c r="AM66" s="107"/>
      <c r="AN66" s="107"/>
      <c r="AO66" s="107"/>
      <c r="AP66" s="293"/>
      <c r="AQ66" s="291"/>
      <c r="AR66" s="107"/>
      <c r="AS66" s="107"/>
      <c r="AT66" s="107"/>
      <c r="AU66" s="293"/>
      <c r="AV66" s="291"/>
      <c r="AW66" s="107"/>
      <c r="AX66" s="107"/>
      <c r="AY66" s="107"/>
      <c r="AZ66" s="293"/>
      <c r="BA66" s="291"/>
      <c r="BB66" s="107"/>
      <c r="BC66" s="107"/>
      <c r="BD66" s="107"/>
      <c r="BE66" s="293"/>
      <c r="BF66" s="291"/>
      <c r="BG66" s="107"/>
      <c r="BH66" s="107"/>
      <c r="BI66" s="107"/>
      <c r="BJ66" s="293"/>
      <c r="BK66" s="291"/>
      <c r="BL66" s="107"/>
      <c r="BM66" s="107"/>
      <c r="BN66" s="107"/>
      <c r="BO66" s="293"/>
      <c r="BP66" s="291"/>
      <c r="BQ66" s="107"/>
      <c r="BR66" s="107"/>
      <c r="BS66" s="107"/>
      <c r="BT66" s="293"/>
      <c r="BU66" s="291"/>
      <c r="BV66" s="107"/>
      <c r="BW66" s="107"/>
      <c r="BX66" s="107"/>
      <c r="BY66" s="293"/>
      <c r="BZ66" s="291"/>
      <c r="CA66" s="107"/>
      <c r="CB66" s="107"/>
      <c r="CC66" s="107"/>
      <c r="CD66" s="293"/>
      <c r="CE66" s="291"/>
      <c r="CF66" s="107"/>
      <c r="CG66" s="107"/>
      <c r="CH66" s="107"/>
      <c r="CI66" s="293"/>
      <c r="CJ66" s="291"/>
      <c r="CK66" s="107"/>
      <c r="CL66" s="107"/>
      <c r="CM66" s="107"/>
      <c r="CN66" s="293"/>
      <c r="CO66" s="291"/>
      <c r="CP66" s="107"/>
      <c r="CQ66" s="107"/>
      <c r="CR66" s="107"/>
      <c r="CS66" s="293"/>
      <c r="CT66" s="291"/>
      <c r="CU66" s="107"/>
      <c r="CV66" s="107"/>
      <c r="CW66" s="107"/>
      <c r="CX66" s="293"/>
      <c r="CY66" s="291"/>
      <c r="CZ66" s="107"/>
      <c r="DA66" s="107"/>
      <c r="DB66" s="107"/>
      <c r="DC66" s="293"/>
      <c r="DD66" s="291"/>
      <c r="DE66" s="107"/>
      <c r="DF66" s="107"/>
      <c r="DG66" s="107"/>
      <c r="DH66" s="293"/>
      <c r="DI66" s="291"/>
      <c r="DJ66" s="107"/>
      <c r="DK66" s="107"/>
      <c r="DL66" s="107"/>
      <c r="DM66" s="293"/>
      <c r="DN66" s="291"/>
      <c r="DO66" s="107"/>
      <c r="DP66" s="107"/>
      <c r="DQ66" s="107"/>
      <c r="DR66" s="293"/>
      <c r="DS66" s="291"/>
      <c r="DT66" s="107"/>
      <c r="DU66" s="107"/>
      <c r="DV66" s="107"/>
      <c r="DW66" s="293"/>
      <c r="DX66" s="291"/>
      <c r="DY66" s="107"/>
      <c r="DZ66" s="107"/>
      <c r="EA66" s="107"/>
      <c r="EB66" s="293"/>
      <c r="EC66" s="291"/>
      <c r="ED66" s="107"/>
      <c r="EE66" s="107"/>
      <c r="EF66" s="107"/>
      <c r="EG66" s="293"/>
      <c r="EH66" s="291"/>
      <c r="EI66" s="107"/>
      <c r="EJ66" s="107"/>
      <c r="EK66" s="107"/>
      <c r="EL66" s="293"/>
      <c r="EM66" s="291"/>
      <c r="EN66" s="107"/>
      <c r="EO66" s="107"/>
      <c r="EP66" s="107"/>
      <c r="EQ66" s="293"/>
      <c r="ER66" s="291"/>
      <c r="ES66" s="107"/>
      <c r="ET66" s="107"/>
      <c r="EU66" s="107"/>
      <c r="EV66" s="293"/>
      <c r="EW66" s="291"/>
      <c r="EX66" s="107"/>
      <c r="EY66" s="107"/>
      <c r="EZ66" s="107"/>
      <c r="FA66" s="293"/>
      <c r="FB66" s="291"/>
      <c r="FC66" s="107"/>
      <c r="FD66" s="107"/>
      <c r="FE66" s="107"/>
      <c r="FF66" s="293"/>
      <c r="FG66" s="291"/>
      <c r="FH66" s="107"/>
      <c r="FI66" s="107"/>
      <c r="FJ66" s="107"/>
      <c r="FK66" s="293"/>
      <c r="FL66" s="291"/>
      <c r="FM66" s="107"/>
      <c r="FN66" s="107"/>
      <c r="FO66" s="107"/>
      <c r="FP66" s="293"/>
      <c r="FQ66" s="291"/>
      <c r="FR66" s="107"/>
      <c r="FS66" s="107"/>
      <c r="FT66" s="107"/>
      <c r="FU66" s="293"/>
      <c r="FV66" s="291"/>
      <c r="FW66" s="107"/>
      <c r="FX66" s="107"/>
      <c r="FY66" s="107"/>
      <c r="FZ66" s="293"/>
      <c r="GA66" s="291"/>
      <c r="GB66" s="107"/>
      <c r="GC66" s="107"/>
      <c r="GD66" s="107"/>
      <c r="GE66" s="382"/>
    </row>
    <row r="67" spans="1:187" s="537" customFormat="1" ht="12.75" customHeight="1">
      <c r="A67" s="850"/>
      <c r="B67" s="1078" t="s">
        <v>409</v>
      </c>
      <c r="C67" s="412"/>
      <c r="D67" s="758"/>
      <c r="E67" s="758"/>
      <c r="F67" s="758"/>
      <c r="G67" s="1113"/>
      <c r="H67" s="412"/>
      <c r="I67" s="114"/>
      <c r="J67" s="114"/>
      <c r="K67" s="114"/>
      <c r="L67" s="414"/>
      <c r="M67" s="412"/>
      <c r="N67" s="114"/>
      <c r="O67" s="114"/>
      <c r="P67" s="114"/>
      <c r="Q67" s="414"/>
      <c r="R67" s="412"/>
      <c r="S67" s="114"/>
      <c r="T67" s="114"/>
      <c r="U67" s="114"/>
      <c r="V67" s="414"/>
      <c r="W67" s="412"/>
      <c r="X67" s="114"/>
      <c r="Y67" s="114"/>
      <c r="Z67" s="114"/>
      <c r="AA67" s="414"/>
      <c r="AB67" s="412"/>
      <c r="AC67" s="114"/>
      <c r="AD67" s="114"/>
      <c r="AE67" s="114"/>
      <c r="AF67" s="414"/>
      <c r="AG67" s="412"/>
      <c r="AH67" s="114"/>
      <c r="AI67" s="114"/>
      <c r="AJ67" s="114"/>
      <c r="AK67" s="414"/>
      <c r="AL67" s="412"/>
      <c r="AM67" s="114"/>
      <c r="AN67" s="114"/>
      <c r="AO67" s="114"/>
      <c r="AP67" s="414"/>
      <c r="AQ67" s="412"/>
      <c r="AR67" s="114"/>
      <c r="AS67" s="114"/>
      <c r="AT67" s="114"/>
      <c r="AU67" s="414"/>
      <c r="AV67" s="412"/>
      <c r="AW67" s="114"/>
      <c r="AX67" s="114"/>
      <c r="AY67" s="114"/>
      <c r="AZ67" s="414"/>
      <c r="BA67" s="412"/>
      <c r="BB67" s="114"/>
      <c r="BC67" s="114"/>
      <c r="BD67" s="114"/>
      <c r="BE67" s="414"/>
      <c r="BF67" s="412"/>
      <c r="BG67" s="114"/>
      <c r="BH67" s="114"/>
      <c r="BI67" s="114"/>
      <c r="BJ67" s="414"/>
      <c r="BK67" s="412"/>
      <c r="BL67" s="114"/>
      <c r="BM67" s="114"/>
      <c r="BN67" s="114"/>
      <c r="BO67" s="414"/>
      <c r="BP67" s="412"/>
      <c r="BQ67" s="114"/>
      <c r="BR67" s="114"/>
      <c r="BS67" s="114"/>
      <c r="BT67" s="414"/>
      <c r="BU67" s="412"/>
      <c r="BV67" s="114"/>
      <c r="BW67" s="114"/>
      <c r="BX67" s="114"/>
      <c r="BY67" s="414"/>
      <c r="BZ67" s="412"/>
      <c r="CA67" s="114"/>
      <c r="CB67" s="114"/>
      <c r="CC67" s="114"/>
      <c r="CD67" s="414"/>
      <c r="CE67" s="412"/>
      <c r="CF67" s="114"/>
      <c r="CG67" s="114"/>
      <c r="CH67" s="114"/>
      <c r="CI67" s="414"/>
      <c r="CJ67" s="412"/>
      <c r="CK67" s="114"/>
      <c r="CL67" s="114"/>
      <c r="CM67" s="114"/>
      <c r="CN67" s="414"/>
      <c r="CO67" s="412"/>
      <c r="CP67" s="114"/>
      <c r="CQ67" s="114"/>
      <c r="CR67" s="114"/>
      <c r="CS67" s="414"/>
      <c r="CT67" s="412"/>
      <c r="CU67" s="114"/>
      <c r="CV67" s="114"/>
      <c r="CW67" s="114"/>
      <c r="CX67" s="414"/>
      <c r="CY67" s="412"/>
      <c r="CZ67" s="114"/>
      <c r="DA67" s="114"/>
      <c r="DB67" s="114"/>
      <c r="DC67" s="414"/>
      <c r="DD67" s="412"/>
      <c r="DE67" s="114"/>
      <c r="DF67" s="114"/>
      <c r="DG67" s="114"/>
      <c r="DH67" s="414"/>
      <c r="DI67" s="412"/>
      <c r="DJ67" s="114"/>
      <c r="DK67" s="114"/>
      <c r="DL67" s="114"/>
      <c r="DM67" s="414"/>
      <c r="DN67" s="412"/>
      <c r="DO67" s="114"/>
      <c r="DP67" s="114"/>
      <c r="DQ67" s="114"/>
      <c r="DR67" s="414"/>
      <c r="DS67" s="412"/>
      <c r="DT67" s="114"/>
      <c r="DU67" s="114"/>
      <c r="DV67" s="114"/>
      <c r="DW67" s="414"/>
      <c r="DX67" s="412">
        <v>-0.02</v>
      </c>
      <c r="DY67" s="114">
        <v>-0.01</v>
      </c>
      <c r="DZ67" s="114">
        <v>-0.01</v>
      </c>
      <c r="EA67" s="114">
        <v>-0.02</v>
      </c>
      <c r="EB67" s="414"/>
      <c r="EC67" s="412">
        <v>-0.01</v>
      </c>
      <c r="ED67" s="114">
        <v>0.01</v>
      </c>
      <c r="EE67" s="114">
        <v>0.02</v>
      </c>
      <c r="EF67" s="114">
        <v>0.03</v>
      </c>
      <c r="EG67" s="414"/>
      <c r="EH67" s="412">
        <v>0.02</v>
      </c>
      <c r="EI67" s="114">
        <v>0.01</v>
      </c>
      <c r="EJ67" s="114">
        <v>-0.02</v>
      </c>
      <c r="EK67" s="114">
        <v>-0.02</v>
      </c>
      <c r="EL67" s="414"/>
      <c r="EM67" s="412">
        <v>-0.05</v>
      </c>
      <c r="EN67" s="114">
        <v>-0.05</v>
      </c>
      <c r="EO67" s="114">
        <v>-0.03</v>
      </c>
      <c r="EP67" s="114">
        <v>-0.02</v>
      </c>
      <c r="EQ67" s="414"/>
      <c r="ER67" s="412">
        <v>0.01</v>
      </c>
      <c r="ES67" s="114">
        <v>0.01</v>
      </c>
      <c r="ET67" s="114">
        <v>0</v>
      </c>
      <c r="EU67" s="107"/>
      <c r="EV67" s="293"/>
      <c r="EW67" s="441">
        <v>0</v>
      </c>
      <c r="EX67" s="114"/>
      <c r="EY67" s="114"/>
      <c r="EZ67" s="107"/>
      <c r="FA67" s="293"/>
      <c r="FB67" s="441"/>
      <c r="FC67" s="114"/>
      <c r="FD67" s="114"/>
      <c r="FE67" s="107"/>
      <c r="FF67" s="293"/>
      <c r="FG67" s="291"/>
      <c r="FH67" s="107"/>
      <c r="FI67" s="107"/>
      <c r="FJ67" s="107"/>
      <c r="FK67" s="293"/>
      <c r="FL67" s="291"/>
      <c r="FM67" s="107"/>
      <c r="FN67" s="107"/>
      <c r="FO67" s="107"/>
      <c r="FP67" s="293"/>
      <c r="FQ67" s="291"/>
      <c r="FR67" s="107"/>
      <c r="FS67" s="107"/>
      <c r="FT67" s="107"/>
      <c r="FU67" s="293"/>
      <c r="FV67" s="291"/>
      <c r="FW67" s="107"/>
      <c r="FX67" s="107"/>
      <c r="FY67" s="107"/>
      <c r="FZ67" s="293"/>
      <c r="GA67" s="291"/>
      <c r="GB67" s="107"/>
      <c r="GC67" s="107"/>
      <c r="GD67" s="107"/>
      <c r="GE67" s="382"/>
    </row>
    <row r="68" spans="1:187" s="537" customFormat="1" ht="12.75" customHeight="1">
      <c r="A68" s="850"/>
      <c r="B68" s="1078"/>
      <c r="C68" s="291"/>
      <c r="D68" s="137"/>
      <c r="E68" s="137"/>
      <c r="F68" s="137"/>
      <c r="G68" s="538"/>
      <c r="H68" s="291"/>
      <c r="I68" s="107"/>
      <c r="J68" s="107"/>
      <c r="K68" s="107"/>
      <c r="L68" s="293"/>
      <c r="M68" s="291"/>
      <c r="N68" s="107"/>
      <c r="O68" s="107"/>
      <c r="P68" s="107"/>
      <c r="Q68" s="293"/>
      <c r="R68" s="291"/>
      <c r="S68" s="107"/>
      <c r="T68" s="107"/>
      <c r="U68" s="107"/>
      <c r="V68" s="293"/>
      <c r="W68" s="291"/>
      <c r="X68" s="107"/>
      <c r="Y68" s="107"/>
      <c r="Z68" s="107"/>
      <c r="AA68" s="293"/>
      <c r="AB68" s="291"/>
      <c r="AC68" s="107"/>
      <c r="AD68" s="107"/>
      <c r="AE68" s="107"/>
      <c r="AF68" s="293"/>
      <c r="AG68" s="291"/>
      <c r="AH68" s="107"/>
      <c r="AI68" s="107"/>
      <c r="AJ68" s="107"/>
      <c r="AK68" s="293"/>
      <c r="AL68" s="291"/>
      <c r="AM68" s="107"/>
      <c r="AN68" s="107"/>
      <c r="AO68" s="107"/>
      <c r="AP68" s="293"/>
      <c r="AQ68" s="291"/>
      <c r="AR68" s="107"/>
      <c r="AS68" s="107"/>
      <c r="AT68" s="107"/>
      <c r="AU68" s="293"/>
      <c r="AV68" s="291"/>
      <c r="AW68" s="107"/>
      <c r="AX68" s="107"/>
      <c r="AY68" s="107"/>
      <c r="AZ68" s="293"/>
      <c r="BA68" s="291"/>
      <c r="BB68" s="107"/>
      <c r="BC68" s="107"/>
      <c r="BD68" s="107"/>
      <c r="BE68" s="293"/>
      <c r="BF68" s="291"/>
      <c r="BG68" s="107"/>
      <c r="BH68" s="107"/>
      <c r="BI68" s="107"/>
      <c r="BJ68" s="293"/>
      <c r="BK68" s="291"/>
      <c r="BL68" s="107"/>
      <c r="BM68" s="107"/>
      <c r="BN68" s="107"/>
      <c r="BO68" s="293"/>
      <c r="BP68" s="291"/>
      <c r="BQ68" s="107"/>
      <c r="BR68" s="107"/>
      <c r="BS68" s="107"/>
      <c r="BT68" s="293"/>
      <c r="BU68" s="291"/>
      <c r="BV68" s="107"/>
      <c r="BW68" s="107"/>
      <c r="BX68" s="107"/>
      <c r="BY68" s="293"/>
      <c r="BZ68" s="291"/>
      <c r="CA68" s="107"/>
      <c r="CB68" s="107"/>
      <c r="CC68" s="107"/>
      <c r="CD68" s="293"/>
      <c r="CE68" s="291"/>
      <c r="CF68" s="107"/>
      <c r="CG68" s="107"/>
      <c r="CH68" s="107"/>
      <c r="CI68" s="293"/>
      <c r="CJ68" s="291"/>
      <c r="CK68" s="107"/>
      <c r="CL68" s="107"/>
      <c r="CM68" s="107"/>
      <c r="CN68" s="293"/>
      <c r="CO68" s="291"/>
      <c r="CP68" s="107"/>
      <c r="CQ68" s="107"/>
      <c r="CR68" s="107"/>
      <c r="CS68" s="293"/>
      <c r="CT68" s="291"/>
      <c r="CU68" s="107"/>
      <c r="CV68" s="107"/>
      <c r="CW68" s="107"/>
      <c r="CX68" s="293"/>
      <c r="CY68" s="291"/>
      <c r="CZ68" s="107"/>
      <c r="DA68" s="107"/>
      <c r="DB68" s="107"/>
      <c r="DC68" s="293"/>
      <c r="DD68" s="291"/>
      <c r="DE68" s="107"/>
      <c r="DF68" s="107"/>
      <c r="DG68" s="107"/>
      <c r="DH68" s="293"/>
      <c r="DI68" s="291"/>
      <c r="DJ68" s="107"/>
      <c r="DK68" s="107"/>
      <c r="DL68" s="107"/>
      <c r="DM68" s="293"/>
      <c r="DN68" s="291"/>
      <c r="DO68" s="107"/>
      <c r="DP68" s="107"/>
      <c r="DQ68" s="107"/>
      <c r="DR68" s="293"/>
      <c r="DS68" s="291"/>
      <c r="DT68" s="107"/>
      <c r="DU68" s="107"/>
      <c r="DV68" s="107"/>
      <c r="DW68" s="293"/>
      <c r="DX68" s="291"/>
      <c r="DY68" s="107"/>
      <c r="DZ68" s="107"/>
      <c r="EA68" s="107"/>
      <c r="EB68" s="293"/>
      <c r="EC68" s="291"/>
      <c r="ED68" s="107"/>
      <c r="EE68" s="107"/>
      <c r="EF68" s="107"/>
      <c r="EG68" s="293"/>
      <c r="EH68" s="291"/>
      <c r="EI68" s="107"/>
      <c r="EJ68" s="107"/>
      <c r="EK68" s="107"/>
      <c r="EL68" s="293"/>
      <c r="EM68" s="291"/>
      <c r="EN68" s="107"/>
      <c r="EO68" s="107"/>
      <c r="EP68" s="107"/>
      <c r="EQ68" s="293"/>
      <c r="ER68" s="291"/>
      <c r="ES68" s="107"/>
      <c r="ET68" s="107"/>
      <c r="EU68" s="107"/>
      <c r="EV68" s="293"/>
      <c r="EW68" s="291"/>
      <c r="EX68" s="107"/>
      <c r="EY68" s="107"/>
      <c r="EZ68" s="107"/>
      <c r="FA68" s="293"/>
      <c r="FB68" s="291"/>
      <c r="FC68" s="107"/>
      <c r="FD68" s="107"/>
      <c r="FE68" s="107"/>
      <c r="FF68" s="293"/>
      <c r="FG68" s="291"/>
      <c r="FH68" s="107"/>
      <c r="FI68" s="107"/>
      <c r="FJ68" s="107"/>
      <c r="FK68" s="293"/>
      <c r="FL68" s="291"/>
      <c r="FM68" s="107"/>
      <c r="FN68" s="107"/>
      <c r="FO68" s="107"/>
      <c r="FP68" s="293"/>
      <c r="FQ68" s="291"/>
      <c r="FR68" s="107"/>
      <c r="FS68" s="107"/>
      <c r="FT68" s="107"/>
      <c r="FU68" s="293"/>
      <c r="FV68" s="291"/>
      <c r="FW68" s="107"/>
      <c r="FX68" s="107"/>
      <c r="FY68" s="107"/>
      <c r="FZ68" s="293"/>
      <c r="GA68" s="291"/>
      <c r="GB68" s="107"/>
      <c r="GC68" s="107"/>
      <c r="GD68" s="107"/>
      <c r="GE68" s="382"/>
    </row>
    <row r="69" spans="1:187" s="1123" customFormat="1" ht="12.75" customHeight="1">
      <c r="A69" s="850"/>
      <c r="B69" s="1080" t="s">
        <v>407</v>
      </c>
      <c r="C69" s="399"/>
      <c r="D69" s="889"/>
      <c r="E69" s="889"/>
      <c r="F69" s="889"/>
      <c r="G69" s="890"/>
      <c r="H69" s="399"/>
      <c r="I69" s="129"/>
      <c r="J69" s="129"/>
      <c r="K69" s="129"/>
      <c r="L69" s="891"/>
      <c r="M69" s="399"/>
      <c r="N69" s="129"/>
      <c r="O69" s="129"/>
      <c r="P69" s="129"/>
      <c r="Q69" s="891"/>
      <c r="R69" s="399"/>
      <c r="S69" s="129"/>
      <c r="T69" s="129"/>
      <c r="U69" s="129"/>
      <c r="V69" s="891"/>
      <c r="W69" s="399"/>
      <c r="X69" s="129"/>
      <c r="Y69" s="129"/>
      <c r="Z69" s="129"/>
      <c r="AA69" s="891"/>
      <c r="AB69" s="399"/>
      <c r="AC69" s="129"/>
      <c r="AD69" s="129"/>
      <c r="AE69" s="129"/>
      <c r="AF69" s="891"/>
      <c r="AG69" s="399"/>
      <c r="AH69" s="129"/>
      <c r="AI69" s="129"/>
      <c r="AJ69" s="129"/>
      <c r="AK69" s="891"/>
      <c r="AL69" s="399"/>
      <c r="AM69" s="129"/>
      <c r="AN69" s="129"/>
      <c r="AO69" s="129"/>
      <c r="AP69" s="891"/>
      <c r="AQ69" s="399"/>
      <c r="AR69" s="129"/>
      <c r="AS69" s="129"/>
      <c r="AT69" s="129"/>
      <c r="AU69" s="891"/>
      <c r="AV69" s="399"/>
      <c r="AW69" s="129"/>
      <c r="AX69" s="129"/>
      <c r="AY69" s="129"/>
      <c r="AZ69" s="891"/>
      <c r="BA69" s="399"/>
      <c r="BB69" s="129"/>
      <c r="BC69" s="129"/>
      <c r="BD69" s="129"/>
      <c r="BE69" s="891"/>
      <c r="BF69" s="399"/>
      <c r="BG69" s="129"/>
      <c r="BH69" s="129"/>
      <c r="BI69" s="129"/>
      <c r="BJ69" s="891"/>
      <c r="BK69" s="399"/>
      <c r="BL69" s="129"/>
      <c r="BM69" s="129"/>
      <c r="BN69" s="129"/>
      <c r="BO69" s="891"/>
      <c r="BP69" s="399"/>
      <c r="BQ69" s="129"/>
      <c r="BR69" s="129"/>
      <c r="BS69" s="129"/>
      <c r="BT69" s="891"/>
      <c r="BU69" s="399"/>
      <c r="BV69" s="129"/>
      <c r="BW69" s="129"/>
      <c r="BX69" s="129"/>
      <c r="BY69" s="891"/>
      <c r="BZ69" s="399"/>
      <c r="CA69" s="129"/>
      <c r="CB69" s="129"/>
      <c r="CC69" s="129"/>
      <c r="CD69" s="891"/>
      <c r="CE69" s="399"/>
      <c r="CF69" s="129"/>
      <c r="CG69" s="129"/>
      <c r="CH69" s="129"/>
      <c r="CI69" s="891"/>
      <c r="CJ69" s="399"/>
      <c r="CK69" s="129"/>
      <c r="CL69" s="129"/>
      <c r="CM69" s="129"/>
      <c r="CN69" s="891"/>
      <c r="CO69" s="399"/>
      <c r="CP69" s="129"/>
      <c r="CQ69" s="129"/>
      <c r="CR69" s="129"/>
      <c r="CS69" s="891"/>
      <c r="CT69" s="399"/>
      <c r="CU69" s="129"/>
      <c r="CV69" s="129"/>
      <c r="CW69" s="129"/>
      <c r="CX69" s="891"/>
      <c r="CY69" s="399"/>
      <c r="CZ69" s="129"/>
      <c r="DA69" s="129"/>
      <c r="DB69" s="129"/>
      <c r="DC69" s="891"/>
      <c r="DD69" s="399"/>
      <c r="DE69" s="129"/>
      <c r="DF69" s="129"/>
      <c r="DG69" s="129"/>
      <c r="DH69" s="891"/>
      <c r="DI69" s="399"/>
      <c r="DJ69" s="129"/>
      <c r="DK69" s="129"/>
      <c r="DL69" s="129"/>
      <c r="DM69" s="891"/>
      <c r="DN69" s="399"/>
      <c r="DO69" s="129"/>
      <c r="DP69" s="129"/>
      <c r="DQ69" s="129"/>
      <c r="DR69" s="891"/>
      <c r="DS69" s="399"/>
      <c r="DT69" s="129"/>
      <c r="DU69" s="129"/>
      <c r="DV69" s="129"/>
      <c r="DW69" s="891"/>
      <c r="DX69" s="1073">
        <f>IS!DX26-IS!DX25</f>
      </c>
      <c r="DY69" s="1073">
        <f>IS!DY26-IS!DY25</f>
      </c>
      <c r="DZ69" s="1073">
        <f>IS!DZ26-IS!DZ25</f>
      </c>
      <c r="EA69" s="1073">
        <f>IS!EA26-IS!EA25</f>
      </c>
      <c r="EB69" s="1074"/>
      <c r="EC69" s="1073">
        <f>IS!EC26-IS!EC25</f>
      </c>
      <c r="ED69" s="1073">
        <f>IS!ED26-IS!ED25</f>
      </c>
      <c r="EE69" s="1073">
        <f>IS!EE26-IS!EE25</f>
      </c>
      <c r="EF69" s="1073">
        <f>IS!EF26-IS!EF25</f>
      </c>
      <c r="EG69" s="1074"/>
      <c r="EH69" s="1073">
        <f>IS!EH26-IS!EH25</f>
      </c>
      <c r="EI69" s="1073">
        <f>IS!EI26-IS!EI25</f>
      </c>
      <c r="EJ69" s="1073">
        <f>IS!EJ26-IS!EJ25</f>
      </c>
      <c r="EK69" s="1073">
        <f>IS!EK26-IS!EK25</f>
      </c>
      <c r="EL69" s="1074"/>
      <c r="EM69" s="1073">
        <f>IS!EM26-IS!EM25</f>
      </c>
      <c r="EN69" s="1073">
        <f>IS!EN26-IS!EN25</f>
      </c>
      <c r="EO69" s="1073">
        <f>IS!EO26-IS!EO25</f>
      </c>
      <c r="EP69" s="1073">
        <f>IS!EP26-IS!EP25</f>
      </c>
      <c r="EQ69" s="1074"/>
      <c r="ER69" s="1073">
        <f>IS!ER26-IS!ER25</f>
      </c>
      <c r="ES69" s="1073">
        <f>IS!ES26-IS!ES25</f>
      </c>
      <c r="ET69" s="1073">
        <f>IS!ET26-IS!ET25</f>
      </c>
      <c r="EU69" s="1073">
        <f>IS!EU26-IS!EU25</f>
      </c>
      <c r="EV69" s="1074"/>
      <c r="EW69" s="1073">
        <f>IS!EW26-IS!EW25</f>
      </c>
      <c r="EX69" s="1073">
        <f>IS!EX26-IS!EX25</f>
      </c>
      <c r="EY69" s="1073">
        <f>IS!EY26-IS!EY25</f>
      </c>
      <c r="EZ69" s="1073">
        <f>IS!EZ26-IS!EZ25</f>
      </c>
      <c r="FA69" s="1074"/>
      <c r="FB69" s="1073"/>
      <c r="FC69" s="1073"/>
      <c r="FD69" s="1073"/>
      <c r="FE69" s="1073"/>
      <c r="FF69" s="1074"/>
      <c r="FG69" s="1070"/>
      <c r="FH69" s="1073"/>
      <c r="FI69" s="1073"/>
      <c r="FJ69" s="1073"/>
      <c r="FK69" s="1074"/>
      <c r="FL69" s="1070"/>
      <c r="FM69" s="1073"/>
      <c r="FN69" s="1073"/>
      <c r="FO69" s="1073"/>
      <c r="FP69" s="1074"/>
      <c r="FQ69" s="1070"/>
      <c r="FR69" s="1073"/>
      <c r="FS69" s="1073"/>
      <c r="FT69" s="1073"/>
      <c r="FU69" s="1074"/>
      <c r="FV69" s="1070"/>
      <c r="FW69" s="1073"/>
      <c r="FX69" s="1073"/>
      <c r="FY69" s="1073"/>
      <c r="FZ69" s="1074"/>
      <c r="GA69" s="1070"/>
      <c r="GB69" s="1073"/>
      <c r="GC69" s="1073"/>
      <c r="GD69" s="1073"/>
      <c r="GE69" s="1122"/>
    </row>
    <row r="70" spans="1:187" s="537" customFormat="1" ht="12.75" customHeight="1">
      <c r="A70" s="850"/>
      <c r="B70" s="1078" t="s">
        <v>405</v>
      </c>
      <c r="C70" s="291"/>
      <c r="D70" s="137"/>
      <c r="E70" s="137"/>
      <c r="F70" s="137"/>
      <c r="G70" s="538"/>
      <c r="H70" s="291"/>
      <c r="I70" s="107"/>
      <c r="J70" s="107"/>
      <c r="K70" s="107"/>
      <c r="L70" s="293"/>
      <c r="M70" s="291"/>
      <c r="N70" s="107"/>
      <c r="O70" s="107"/>
      <c r="P70" s="107"/>
      <c r="Q70" s="293"/>
      <c r="R70" s="291"/>
      <c r="S70" s="107"/>
      <c r="T70" s="107"/>
      <c r="U70" s="107"/>
      <c r="V70" s="293"/>
      <c r="W70" s="291"/>
      <c r="X70" s="107"/>
      <c r="Y70" s="107"/>
      <c r="Z70" s="107"/>
      <c r="AA70" s="293"/>
      <c r="AB70" s="291"/>
      <c r="AC70" s="107"/>
      <c r="AD70" s="107"/>
      <c r="AE70" s="107"/>
      <c r="AF70" s="293"/>
      <c r="AG70" s="291"/>
      <c r="AH70" s="107"/>
      <c r="AI70" s="107"/>
      <c r="AJ70" s="107"/>
      <c r="AK70" s="293"/>
      <c r="AL70" s="291"/>
      <c r="AM70" s="107"/>
      <c r="AN70" s="107"/>
      <c r="AO70" s="107"/>
      <c r="AP70" s="293"/>
      <c r="AQ70" s="291"/>
      <c r="AR70" s="107"/>
      <c r="AS70" s="107"/>
      <c r="AT70" s="107"/>
      <c r="AU70" s="293"/>
      <c r="AV70" s="291"/>
      <c r="AW70" s="107"/>
      <c r="AX70" s="107"/>
      <c r="AY70" s="107"/>
      <c r="AZ70" s="293"/>
      <c r="BA70" s="291"/>
      <c r="BB70" s="107"/>
      <c r="BC70" s="107"/>
      <c r="BD70" s="107"/>
      <c r="BE70" s="293"/>
      <c r="BF70" s="291"/>
      <c r="BG70" s="107"/>
      <c r="BH70" s="107"/>
      <c r="BI70" s="107"/>
      <c r="BJ70" s="293"/>
      <c r="BK70" s="291"/>
      <c r="BL70" s="107"/>
      <c r="BM70" s="107"/>
      <c r="BN70" s="107"/>
      <c r="BO70" s="293"/>
      <c r="BP70" s="291"/>
      <c r="BQ70" s="107"/>
      <c r="BR70" s="107"/>
      <c r="BS70" s="107"/>
      <c r="BT70" s="293"/>
      <c r="BU70" s="291"/>
      <c r="BV70" s="107"/>
      <c r="BW70" s="107"/>
      <c r="BX70" s="107"/>
      <c r="BY70" s="293"/>
      <c r="BZ70" s="291"/>
      <c r="CA70" s="107"/>
      <c r="CB70" s="107"/>
      <c r="CC70" s="107"/>
      <c r="CD70" s="293"/>
      <c r="CE70" s="291"/>
      <c r="CF70" s="107"/>
      <c r="CG70" s="107"/>
      <c r="CH70" s="107"/>
      <c r="CI70" s="293"/>
      <c r="CJ70" s="291"/>
      <c r="CK70" s="107"/>
      <c r="CL70" s="107"/>
      <c r="CM70" s="107"/>
      <c r="CN70" s="293"/>
      <c r="CO70" s="291"/>
      <c r="CP70" s="107"/>
      <c r="CQ70" s="107"/>
      <c r="CR70" s="107"/>
      <c r="CS70" s="293"/>
      <c r="CT70" s="291"/>
      <c r="CU70" s="107"/>
      <c r="CV70" s="107"/>
      <c r="CW70" s="107"/>
      <c r="CX70" s="293"/>
      <c r="CY70" s="291"/>
      <c r="CZ70" s="107"/>
      <c r="DA70" s="107"/>
      <c r="DB70" s="107"/>
      <c r="DC70" s="293"/>
      <c r="DD70" s="291"/>
      <c r="DE70" s="107"/>
      <c r="DF70" s="107"/>
      <c r="DG70" s="107"/>
      <c r="DH70" s="293"/>
      <c r="DI70" s="291"/>
      <c r="DJ70" s="107"/>
      <c r="DK70" s="107"/>
      <c r="DL70" s="107"/>
      <c r="DM70" s="293"/>
      <c r="DN70" s="291"/>
      <c r="DO70" s="107"/>
      <c r="DP70" s="107"/>
      <c r="DQ70" s="107"/>
      <c r="DR70" s="293"/>
      <c r="DS70" s="291"/>
      <c r="DT70" s="107"/>
      <c r="DU70" s="107"/>
      <c r="DV70" s="107"/>
      <c r="DW70" s="293"/>
      <c r="DX70" s="1120">
        <f>(DX69-DX67)*10000</f>
      </c>
      <c r="DY70" s="1120">
        <f>(DY69-DY67)*10000</f>
      </c>
      <c r="DZ70" s="1120">
        <f>(DZ69-DZ67)*10000</f>
      </c>
      <c r="EA70" s="1120">
        <f>(EA69-EA67)*10000</f>
      </c>
      <c r="EB70" s="293"/>
      <c r="EC70" s="1120">
        <f>(EC69-EC67)*10000</f>
      </c>
      <c r="ED70" s="1120">
        <f>(ED69-ED67)*10000</f>
      </c>
      <c r="EE70" s="1120">
        <f>(EE69-EE67)*10000</f>
      </c>
      <c r="EF70" s="1120">
        <f>(EF69-EF67)*10000</f>
      </c>
      <c r="EG70" s="293"/>
      <c r="EH70" s="1120">
        <f>(EH69-EH67)*10000</f>
      </c>
      <c r="EI70" s="1120">
        <f>(EI69-EI67)*10000</f>
      </c>
      <c r="EJ70" s="1120">
        <f>(EJ69-EJ67)*10000</f>
      </c>
      <c r="EK70" s="1120">
        <f>(EK69-EK67)*10000</f>
      </c>
      <c r="EL70" s="293"/>
      <c r="EM70" s="1120">
        <f>(EM69-EM67)*10000</f>
      </c>
      <c r="EN70" s="1120">
        <f>(EN69-EN67)*10000</f>
      </c>
      <c r="EO70" s="1120">
        <f>(EO69-EO67)*10000</f>
      </c>
      <c r="EP70" s="1120">
        <f>(EP69-EP67)*10000</f>
      </c>
      <c r="EQ70" s="293"/>
      <c r="ER70" s="1120">
        <f>(ER69-ER67)*10000</f>
      </c>
      <c r="ES70" s="1120">
        <f>(ES69-ES67)*10000</f>
      </c>
      <c r="ET70" s="1120">
        <f>(ET69-ET67)*10000</f>
      </c>
      <c r="EU70" s="1120">
        <f>(EU69-EU67)*10000</f>
      </c>
      <c r="EV70" s="293"/>
      <c r="EW70" s="1120">
        <f>(EW69-EW67)*10000</f>
      </c>
      <c r="EX70" s="1120">
        <f>(EX69-EX67)*10000</f>
      </c>
      <c r="EY70" s="1120">
        <f>(EY69-EY67)*10000</f>
      </c>
      <c r="EZ70" s="1120">
        <f>(EZ69-EZ67)*10000</f>
      </c>
      <c r="FA70" s="293"/>
      <c r="FB70" s="1120"/>
      <c r="FC70" s="1120"/>
      <c r="FD70" s="1120"/>
      <c r="FE70" s="1120"/>
      <c r="FF70" s="293"/>
      <c r="FG70" s="291"/>
      <c r="FH70" s="107"/>
      <c r="FI70" s="107"/>
      <c r="FJ70" s="107"/>
      <c r="FK70" s="293"/>
      <c r="FL70" s="291"/>
      <c r="FM70" s="107"/>
      <c r="FN70" s="107"/>
      <c r="FO70" s="107"/>
      <c r="FP70" s="293"/>
      <c r="FQ70" s="291"/>
      <c r="FR70" s="107"/>
      <c r="FS70" s="107"/>
      <c r="FT70" s="107"/>
      <c r="FU70" s="293"/>
      <c r="FV70" s="291"/>
      <c r="FW70" s="107"/>
      <c r="FX70" s="107"/>
      <c r="FY70" s="107"/>
      <c r="FZ70" s="293"/>
      <c r="GA70" s="291"/>
      <c r="GB70" s="107"/>
      <c r="GC70" s="107"/>
      <c r="GD70" s="107"/>
      <c r="GE70" s="382"/>
    </row>
    <row r="71" spans="1:187" s="537" customFormat="1" ht="12.75" customHeight="1">
      <c r="A71" s="850"/>
      <c r="B71" s="1078"/>
      <c r="C71" s="291"/>
      <c r="D71" s="137"/>
      <c r="E71" s="137"/>
      <c r="F71" s="137"/>
      <c r="G71" s="538"/>
      <c r="H71" s="291"/>
      <c r="I71" s="107"/>
      <c r="J71" s="107"/>
      <c r="K71" s="107"/>
      <c r="L71" s="293"/>
      <c r="M71" s="291"/>
      <c r="N71" s="107"/>
      <c r="O71" s="107"/>
      <c r="P71" s="107"/>
      <c r="Q71" s="293"/>
      <c r="R71" s="291"/>
      <c r="S71" s="107"/>
      <c r="T71" s="107"/>
      <c r="U71" s="107"/>
      <c r="V71" s="293"/>
      <c r="W71" s="291"/>
      <c r="X71" s="107"/>
      <c r="Y71" s="107"/>
      <c r="Z71" s="107"/>
      <c r="AA71" s="293"/>
      <c r="AB71" s="291"/>
      <c r="AC71" s="107"/>
      <c r="AD71" s="107"/>
      <c r="AE71" s="107"/>
      <c r="AF71" s="293"/>
      <c r="AG71" s="291"/>
      <c r="AH71" s="107"/>
      <c r="AI71" s="107"/>
      <c r="AJ71" s="107"/>
      <c r="AK71" s="293"/>
      <c r="AL71" s="291"/>
      <c r="AM71" s="107"/>
      <c r="AN71" s="107"/>
      <c r="AO71" s="107"/>
      <c r="AP71" s="293"/>
      <c r="AQ71" s="291"/>
      <c r="AR71" s="107"/>
      <c r="AS71" s="107"/>
      <c r="AT71" s="107"/>
      <c r="AU71" s="293"/>
      <c r="AV71" s="291"/>
      <c r="AW71" s="107"/>
      <c r="AX71" s="107"/>
      <c r="AY71" s="107"/>
      <c r="AZ71" s="293"/>
      <c r="BA71" s="291"/>
      <c r="BB71" s="107"/>
      <c r="BC71" s="107"/>
      <c r="BD71" s="107"/>
      <c r="BE71" s="293"/>
      <c r="BF71" s="291"/>
      <c r="BG71" s="107"/>
      <c r="BH71" s="107"/>
      <c r="BI71" s="107"/>
      <c r="BJ71" s="293"/>
      <c r="BK71" s="291"/>
      <c r="BL71" s="107"/>
      <c r="BM71" s="107"/>
      <c r="BN71" s="107"/>
      <c r="BO71" s="293"/>
      <c r="BP71" s="291"/>
      <c r="BQ71" s="107"/>
      <c r="BR71" s="107"/>
      <c r="BS71" s="107"/>
      <c r="BT71" s="293"/>
      <c r="BU71" s="291"/>
      <c r="BV71" s="107"/>
      <c r="BW71" s="107"/>
      <c r="BX71" s="107"/>
      <c r="BY71" s="293"/>
      <c r="BZ71" s="291"/>
      <c r="CA71" s="107"/>
      <c r="CB71" s="107"/>
      <c r="CC71" s="107"/>
      <c r="CD71" s="293"/>
      <c r="CE71" s="291"/>
      <c r="CF71" s="107"/>
      <c r="CG71" s="107"/>
      <c r="CH71" s="107"/>
      <c r="CI71" s="293"/>
      <c r="CJ71" s="291"/>
      <c r="CK71" s="107"/>
      <c r="CL71" s="107"/>
      <c r="CM71" s="107"/>
      <c r="CN71" s="293"/>
      <c r="CO71" s="291"/>
      <c r="CP71" s="107"/>
      <c r="CQ71" s="107"/>
      <c r="CR71" s="107"/>
      <c r="CS71" s="293"/>
      <c r="CT71" s="291"/>
      <c r="CU71" s="107"/>
      <c r="CV71" s="107"/>
      <c r="CW71" s="107"/>
      <c r="CX71" s="293"/>
      <c r="CY71" s="291"/>
      <c r="CZ71" s="107"/>
      <c r="DA71" s="107"/>
      <c r="DB71" s="107"/>
      <c r="DC71" s="293"/>
      <c r="DD71" s="291"/>
      <c r="DE71" s="107"/>
      <c r="DF71" s="107"/>
      <c r="DG71" s="107"/>
      <c r="DH71" s="293"/>
      <c r="DI71" s="291"/>
      <c r="DJ71" s="107"/>
      <c r="DK71" s="107"/>
      <c r="DL71" s="107"/>
      <c r="DM71" s="293"/>
      <c r="DN71" s="291"/>
      <c r="DO71" s="107"/>
      <c r="DP71" s="107"/>
      <c r="DQ71" s="107"/>
      <c r="DR71" s="293"/>
      <c r="DS71" s="291"/>
      <c r="DT71" s="107"/>
      <c r="DU71" s="107"/>
      <c r="DV71" s="107"/>
      <c r="DW71" s="293"/>
      <c r="DX71" s="291"/>
      <c r="DY71" s="107"/>
      <c r="DZ71" s="107"/>
      <c r="EA71" s="107"/>
      <c r="EB71" s="293"/>
      <c r="EC71" s="291"/>
      <c r="ED71" s="107"/>
      <c r="EE71" s="107"/>
      <c r="EF71" s="107"/>
      <c r="EG71" s="293"/>
      <c r="EH71" s="291"/>
      <c r="EI71" s="107"/>
      <c r="EJ71" s="107"/>
      <c r="EK71" s="107"/>
      <c r="EL71" s="293"/>
      <c r="EM71" s="291"/>
      <c r="EN71" s="107"/>
      <c r="EO71" s="107"/>
      <c r="EP71" s="107"/>
      <c r="EQ71" s="293"/>
      <c r="ER71" s="291"/>
      <c r="ES71" s="107"/>
      <c r="ET71" s="107"/>
      <c r="EU71" s="468"/>
      <c r="EV71" s="293"/>
      <c r="EW71" s="291"/>
      <c r="EX71" s="107"/>
      <c r="EY71" s="107"/>
      <c r="EZ71" s="468"/>
      <c r="FA71" s="293"/>
      <c r="FB71" s="291"/>
      <c r="FC71" s="107"/>
      <c r="FD71" s="107"/>
      <c r="FE71" s="468"/>
      <c r="FF71" s="293"/>
      <c r="FG71" s="291"/>
      <c r="FH71" s="107"/>
      <c r="FI71" s="107"/>
      <c r="FJ71" s="107"/>
      <c r="FK71" s="293"/>
      <c r="FL71" s="291"/>
      <c r="FM71" s="107"/>
      <c r="FN71" s="107"/>
      <c r="FO71" s="107"/>
      <c r="FP71" s="293"/>
      <c r="FQ71" s="291"/>
      <c r="FR71" s="107"/>
      <c r="FS71" s="107"/>
      <c r="FT71" s="107"/>
      <c r="FU71" s="293"/>
      <c r="FV71" s="291"/>
      <c r="FW71" s="107"/>
      <c r="FX71" s="107"/>
      <c r="FY71" s="107"/>
      <c r="FZ71" s="293"/>
      <c r="GA71" s="291"/>
      <c r="GB71" s="107"/>
      <c r="GC71" s="107"/>
      <c r="GD71" s="107"/>
      <c r="GE71" s="382"/>
    </row>
    <row r="72" spans="1:187" s="542" customFormat="1" ht="12.75" customHeight="1">
      <c r="A72" s="850"/>
      <c r="B72" s="1079" t="s">
        <v>381</v>
      </c>
      <c r="C72" s="98"/>
      <c r="D72" s="98"/>
      <c r="E72" s="98"/>
      <c r="F72" s="98"/>
      <c r="G72" s="99"/>
      <c r="H72" s="98"/>
      <c r="I72" s="98"/>
      <c r="J72" s="98"/>
      <c r="K72" s="98"/>
      <c r="L72" s="99"/>
      <c r="M72" s="1084"/>
      <c r="N72" s="1084"/>
      <c r="O72" s="1084"/>
      <c r="P72" s="1084"/>
      <c r="Q72" s="99"/>
      <c r="R72" s="1084"/>
      <c r="S72" s="1084"/>
      <c r="T72" s="1084"/>
      <c r="U72" s="1084"/>
      <c r="V72" s="99"/>
      <c r="W72" s="1084"/>
      <c r="X72" s="1084"/>
      <c r="Y72" s="1084"/>
      <c r="Z72" s="1084"/>
      <c r="AA72" s="99"/>
      <c r="AB72" s="1084"/>
      <c r="AC72" s="1084"/>
      <c r="AD72" s="1084"/>
      <c r="AE72" s="1084"/>
      <c r="AF72" s="99"/>
      <c r="AG72" s="1084"/>
      <c r="AH72" s="1084"/>
      <c r="AI72" s="1084"/>
      <c r="AJ72" s="1084"/>
      <c r="AK72" s="99"/>
      <c r="AL72" s="1084"/>
      <c r="AM72" s="1084"/>
      <c r="AN72" s="1084"/>
      <c r="AO72" s="1084"/>
      <c r="AP72" s="99"/>
      <c r="AQ72" s="1084"/>
      <c r="AR72" s="1084"/>
      <c r="AS72" s="1084"/>
      <c r="AT72" s="1084"/>
      <c r="AU72" s="99"/>
      <c r="AV72" s="1084"/>
      <c r="AW72" s="1084"/>
      <c r="AX72" s="1084"/>
      <c r="AY72" s="1084"/>
      <c r="AZ72" s="99"/>
      <c r="BA72" s="1084"/>
      <c r="BB72" s="1084"/>
      <c r="BC72" s="1084"/>
      <c r="BD72" s="1084"/>
      <c r="BE72" s="99"/>
      <c r="BF72" s="1084"/>
      <c r="BG72" s="1084"/>
      <c r="BH72" s="1084"/>
      <c r="BI72" s="1084"/>
      <c r="BJ72" s="99"/>
      <c r="BK72" s="1084"/>
      <c r="BL72" s="1084"/>
      <c r="BM72" s="1084"/>
      <c r="BN72" s="1084"/>
      <c r="BO72" s="99"/>
      <c r="BP72" s="1084"/>
      <c r="BQ72" s="1084"/>
      <c r="BR72" s="1084"/>
      <c r="BS72" s="1084"/>
      <c r="BT72" s="99"/>
      <c r="BU72" s="1084"/>
      <c r="BV72" s="1084"/>
      <c r="BW72" s="1084"/>
      <c r="BX72" s="1084"/>
      <c r="BY72" s="99"/>
      <c r="BZ72" s="1084"/>
      <c r="CA72" s="1084"/>
      <c r="CB72" s="1084"/>
      <c r="CC72" s="1084"/>
      <c r="CD72" s="99"/>
      <c r="CE72" s="1084"/>
      <c r="CF72" s="1084"/>
      <c r="CG72" s="1084"/>
      <c r="CH72" s="1084"/>
      <c r="CI72" s="99"/>
      <c r="CJ72" s="1084"/>
      <c r="CK72" s="1084"/>
      <c r="CL72" s="1084"/>
      <c r="CM72" s="1084"/>
      <c r="CN72" s="99"/>
      <c r="CO72" s="1084"/>
      <c r="CP72" s="1084"/>
      <c r="CQ72" s="1084"/>
      <c r="CR72" s="1084"/>
      <c r="CS72" s="99"/>
      <c r="CT72" s="1084"/>
      <c r="CU72" s="1084"/>
      <c r="CV72" s="1084"/>
      <c r="CW72" s="1084"/>
      <c r="CX72" s="99"/>
      <c r="CY72" s="1084"/>
      <c r="CZ72" s="1084"/>
      <c r="DA72" s="1084"/>
      <c r="DB72" s="1084"/>
      <c r="DC72" s="99"/>
      <c r="DD72" s="1084"/>
      <c r="DE72" s="1084"/>
      <c r="DF72" s="1084"/>
      <c r="DG72" s="1084"/>
      <c r="DH72" s="99"/>
      <c r="DI72" s="1084"/>
      <c r="DJ72" s="1084"/>
      <c r="DK72" s="1084"/>
      <c r="DL72" s="1084"/>
      <c r="DM72" s="99"/>
      <c r="DN72" s="1084"/>
      <c r="DO72" s="1084"/>
      <c r="DP72" s="1084"/>
      <c r="DQ72" s="1084"/>
      <c r="DR72" s="99"/>
      <c r="DS72" s="1084"/>
      <c r="DT72" s="1084"/>
      <c r="DU72" s="1084"/>
      <c r="DV72" s="1084"/>
      <c r="DW72" s="99"/>
      <c r="DX72" s="1084"/>
      <c r="DY72" s="1084"/>
      <c r="DZ72" s="1084"/>
      <c r="EA72" s="1084"/>
      <c r="EB72" s="99"/>
      <c r="EC72" s="1084"/>
      <c r="ED72" s="1084"/>
      <c r="EE72" s="1084"/>
      <c r="EF72" s="1084"/>
      <c r="EG72" s="99"/>
      <c r="EH72" s="1084"/>
      <c r="EI72" s="1084"/>
      <c r="EJ72" s="1084"/>
      <c r="EK72" s="1084"/>
      <c r="EL72" s="99"/>
      <c r="EM72" s="1084"/>
      <c r="EN72" s="1084"/>
      <c r="EO72" s="1084"/>
      <c r="EP72" s="1084"/>
      <c r="EQ72" s="99"/>
      <c r="ER72" s="1084"/>
      <c r="ES72" s="1084"/>
      <c r="ET72" s="1084"/>
      <c r="EU72" s="1423"/>
      <c r="EV72" s="99"/>
      <c r="EW72" s="1084"/>
      <c r="EX72" s="1084"/>
      <c r="EY72" s="1084"/>
      <c r="EZ72" s="1423"/>
      <c r="FA72" s="99"/>
      <c r="FB72" s="1084"/>
      <c r="FC72" s="1084"/>
      <c r="FD72" s="1084"/>
      <c r="FE72" s="1423"/>
      <c r="FF72" s="99"/>
      <c r="FG72" s="1084"/>
      <c r="FH72" s="1084"/>
      <c r="FI72" s="1084"/>
      <c r="FJ72" s="1084"/>
      <c r="FK72" s="99"/>
      <c r="FL72" s="1084"/>
      <c r="FM72" s="1084"/>
      <c r="FN72" s="1084"/>
      <c r="FO72" s="1084"/>
      <c r="FP72" s="99"/>
      <c r="FQ72" s="1084"/>
      <c r="FR72" s="1084"/>
      <c r="FS72" s="1084"/>
      <c r="FT72" s="1084"/>
      <c r="FU72" s="99"/>
      <c r="FV72" s="1084"/>
      <c r="FW72" s="1084"/>
      <c r="FX72" s="1084"/>
      <c r="FY72" s="1084"/>
      <c r="FZ72" s="99"/>
      <c r="GA72" s="1084"/>
      <c r="GB72" s="1084"/>
      <c r="GC72" s="1084"/>
      <c r="GD72" s="1084"/>
      <c r="GE72" s="1085"/>
    </row>
    <row r="73" spans="1:187" s="1066" customFormat="1" ht="12.75" customHeight="1">
      <c r="A73" s="370" t="s">
        <v>1891</v>
      </c>
      <c r="B73" s="1110" t="s">
        <v>377</v>
      </c>
      <c r="C73" s="448"/>
      <c r="D73" s="493"/>
      <c r="E73" s="493"/>
      <c r="F73" s="493"/>
      <c r="G73" s="1116"/>
      <c r="H73" s="448"/>
      <c r="I73" s="493"/>
      <c r="J73" s="493"/>
      <c r="K73" s="493"/>
      <c r="L73" s="494"/>
      <c r="M73" s="448"/>
      <c r="N73" s="493"/>
      <c r="O73" s="493"/>
      <c r="P73" s="493"/>
      <c r="Q73" s="494"/>
      <c r="R73" s="448"/>
      <c r="S73" s="493"/>
      <c r="T73" s="493"/>
      <c r="U73" s="493"/>
      <c r="V73" s="494"/>
      <c r="W73" s="448"/>
      <c r="X73" s="493"/>
      <c r="Y73" s="493"/>
      <c r="Z73" s="493"/>
      <c r="AA73" s="494"/>
      <c r="AB73" s="448"/>
      <c r="AC73" s="493"/>
      <c r="AD73" s="493"/>
      <c r="AE73" s="493"/>
      <c r="AF73" s="494"/>
      <c r="AG73" s="448"/>
      <c r="AH73" s="493"/>
      <c r="AI73" s="493"/>
      <c r="AJ73" s="493"/>
      <c r="AK73" s="494"/>
      <c r="AL73" s="448"/>
      <c r="AM73" s="493"/>
      <c r="AN73" s="493"/>
      <c r="AO73" s="493"/>
      <c r="AP73" s="494"/>
      <c r="AQ73" s="448"/>
      <c r="AR73" s="493"/>
      <c r="AS73" s="493"/>
      <c r="AT73" s="493"/>
      <c r="AU73" s="494"/>
      <c r="AV73" s="448"/>
      <c r="AW73" s="493"/>
      <c r="AX73" s="493"/>
      <c r="AY73" s="493"/>
      <c r="AZ73" s="494"/>
      <c r="BA73" s="448"/>
      <c r="BB73" s="493"/>
      <c r="BC73" s="493"/>
      <c r="BD73" s="493"/>
      <c r="BE73" s="494"/>
      <c r="BF73" s="448"/>
      <c r="BG73" s="493"/>
      <c r="BH73" s="493"/>
      <c r="BI73" s="493"/>
      <c r="BJ73" s="494"/>
      <c r="BK73" s="448"/>
      <c r="BL73" s="493"/>
      <c r="BM73" s="493"/>
      <c r="BN73" s="493"/>
      <c r="BO73" s="494"/>
      <c r="BP73" s="448"/>
      <c r="BQ73" s="493"/>
      <c r="BR73" s="493"/>
      <c r="BS73" s="493"/>
      <c r="BT73" s="494"/>
      <c r="BU73" s="448"/>
      <c r="BV73" s="493"/>
      <c r="BW73" s="493"/>
      <c r="BX73" s="493"/>
      <c r="BY73" s="494"/>
      <c r="BZ73" s="448"/>
      <c r="CA73" s="493"/>
      <c r="CB73" s="493"/>
      <c r="CC73" s="493"/>
      <c r="CD73" s="494"/>
      <c r="CE73" s="448"/>
      <c r="CF73" s="493"/>
      <c r="CG73" s="493"/>
      <c r="CH73" s="493"/>
      <c r="CI73" s="494"/>
      <c r="CJ73" s="448"/>
      <c r="CK73" s="493"/>
      <c r="CL73" s="493"/>
      <c r="CM73" s="493"/>
      <c r="CN73" s="494"/>
      <c r="CO73" s="448"/>
      <c r="CP73" s="493"/>
      <c r="CQ73" s="493"/>
      <c r="CR73" s="493"/>
      <c r="CS73" s="494"/>
      <c r="CT73" s="448"/>
      <c r="CU73" s="493"/>
      <c r="CV73" s="493"/>
      <c r="CW73" s="493"/>
      <c r="CX73" s="494"/>
      <c r="CY73" s="448"/>
      <c r="CZ73" s="493"/>
      <c r="DA73" s="493"/>
      <c r="DB73" s="493"/>
      <c r="DC73" s="494"/>
      <c r="DD73" s="448"/>
      <c r="DE73" s="493"/>
      <c r="DF73" s="493"/>
      <c r="DG73" s="493"/>
      <c r="DH73" s="494"/>
      <c r="DI73" s="448"/>
      <c r="DJ73" s="493"/>
      <c r="DK73" s="493"/>
      <c r="DL73" s="493"/>
      <c r="DM73" s="494"/>
      <c r="DN73" s="448"/>
      <c r="DO73" s="493"/>
      <c r="DP73" s="493"/>
      <c r="DQ73" s="493"/>
      <c r="DR73" s="494"/>
      <c r="DS73" s="448"/>
      <c r="DT73" s="493"/>
      <c r="DU73" s="493"/>
      <c r="DV73" s="493"/>
      <c r="DW73" s="494"/>
      <c r="DX73" s="448">
        <v>10550</v>
      </c>
      <c r="DY73" s="493">
        <v>12450</v>
      </c>
      <c r="DZ73" s="493">
        <v>11050</v>
      </c>
      <c r="EA73" s="493">
        <v>11550</v>
      </c>
      <c r="EB73" s="494"/>
      <c r="EC73" s="448">
        <v>10750</v>
      </c>
      <c r="ED73" s="493">
        <v>13750</v>
      </c>
      <c r="EE73" s="493">
        <v>13100</v>
      </c>
      <c r="EF73" s="493">
        <v>13700</v>
      </c>
      <c r="EG73" s="494"/>
      <c r="EH73" s="448">
        <v>13550</v>
      </c>
      <c r="EI73" s="493">
        <v>17000</v>
      </c>
      <c r="EJ73" s="493">
        <v>15500</v>
      </c>
      <c r="EK73" s="493">
        <v>16600</v>
      </c>
      <c r="EL73" s="494"/>
      <c r="EM73" s="448">
        <v>14900</v>
      </c>
      <c r="EN73" s="493">
        <v>17400</v>
      </c>
      <c r="EO73" s="493">
        <v>15650</v>
      </c>
      <c r="EP73" s="493">
        <v>16800</v>
      </c>
      <c r="EQ73" s="494"/>
      <c r="ER73" s="448">
        <v>16600</v>
      </c>
      <c r="ES73" s="493">
        <v>19400</v>
      </c>
      <c r="ET73" s="493">
        <v>18600</v>
      </c>
      <c r="EU73" s="1422">
        <v>19600</v>
      </c>
      <c r="EV73" s="462"/>
      <c r="EW73" s="496">
        <v>19950</v>
      </c>
      <c r="EX73" s="493">
        <v>21900</v>
      </c>
      <c r="EY73" s="493">
        <v>21650</v>
      </c>
      <c r="EZ73" s="1422">
        <v>23600</v>
      </c>
      <c r="FA73" s="462"/>
      <c r="FB73" s="496"/>
      <c r="FC73" s="493"/>
      <c r="FD73" s="493"/>
      <c r="FE73" s="1422"/>
      <c r="FF73" s="462"/>
      <c r="FG73" s="447"/>
      <c r="FH73" s="458"/>
      <c r="FI73" s="458"/>
      <c r="FJ73" s="458"/>
      <c r="FK73" s="462"/>
      <c r="FL73" s="447"/>
      <c r="FM73" s="458"/>
      <c r="FN73" s="458"/>
      <c r="FO73" s="458"/>
      <c r="FP73" s="462"/>
      <c r="FQ73" s="447"/>
      <c r="FR73" s="458"/>
      <c r="FS73" s="458"/>
      <c r="FT73" s="458"/>
      <c r="FU73" s="462"/>
      <c r="FV73" s="447"/>
      <c r="FW73" s="458"/>
      <c r="FX73" s="458"/>
      <c r="FY73" s="458"/>
      <c r="FZ73" s="462"/>
      <c r="GA73" s="447"/>
      <c r="GB73" s="458"/>
      <c r="GC73" s="458"/>
      <c r="GD73" s="458"/>
      <c r="GE73" s="497"/>
    </row>
    <row r="74" spans="1:187" s="1066" customFormat="1" ht="12.75" customHeight="1">
      <c r="A74" s="370" t="s">
        <v>1892</v>
      </c>
      <c r="B74" s="1110" t="s">
        <v>378</v>
      </c>
      <c r="C74" s="448"/>
      <c r="D74" s="1114"/>
      <c r="E74" s="1114"/>
      <c r="F74" s="1114"/>
      <c r="G74" s="1115"/>
      <c r="H74" s="448"/>
      <c r="I74" s="493"/>
      <c r="J74" s="493"/>
      <c r="K74" s="493"/>
      <c r="L74" s="812"/>
      <c r="M74" s="448"/>
      <c r="N74" s="493"/>
      <c r="O74" s="493"/>
      <c r="P74" s="493"/>
      <c r="Q74" s="812"/>
      <c r="R74" s="448"/>
      <c r="S74" s="493"/>
      <c r="T74" s="493"/>
      <c r="U74" s="493"/>
      <c r="V74" s="812"/>
      <c r="W74" s="448"/>
      <c r="X74" s="493"/>
      <c r="Y74" s="493"/>
      <c r="Z74" s="493"/>
      <c r="AA74" s="812"/>
      <c r="AB74" s="448"/>
      <c r="AC74" s="493"/>
      <c r="AD74" s="493"/>
      <c r="AE74" s="493"/>
      <c r="AF74" s="812"/>
      <c r="AG74" s="448"/>
      <c r="AH74" s="493"/>
      <c r="AI74" s="493"/>
      <c r="AJ74" s="493"/>
      <c r="AK74" s="812"/>
      <c r="AL74" s="448"/>
      <c r="AM74" s="493"/>
      <c r="AN74" s="493"/>
      <c r="AO74" s="493"/>
      <c r="AP74" s="812"/>
      <c r="AQ74" s="448"/>
      <c r="AR74" s="493"/>
      <c r="AS74" s="493"/>
      <c r="AT74" s="493"/>
      <c r="AU74" s="812"/>
      <c r="AV74" s="448"/>
      <c r="AW74" s="493"/>
      <c r="AX74" s="493"/>
      <c r="AY74" s="493"/>
      <c r="AZ74" s="812"/>
      <c r="BA74" s="448"/>
      <c r="BB74" s="493"/>
      <c r="BC74" s="493"/>
      <c r="BD74" s="493"/>
      <c r="BE74" s="812"/>
      <c r="BF74" s="448"/>
      <c r="BG74" s="493"/>
      <c r="BH74" s="493"/>
      <c r="BI74" s="493"/>
      <c r="BJ74" s="812"/>
      <c r="BK74" s="448"/>
      <c r="BL74" s="493"/>
      <c r="BM74" s="493"/>
      <c r="BN74" s="493"/>
      <c r="BO74" s="812"/>
      <c r="BP74" s="448"/>
      <c r="BQ74" s="493"/>
      <c r="BR74" s="493"/>
      <c r="BS74" s="493"/>
      <c r="BT74" s="812"/>
      <c r="BU74" s="448"/>
      <c r="BV74" s="493"/>
      <c r="BW74" s="493"/>
      <c r="BX74" s="493"/>
      <c r="BY74" s="812"/>
      <c r="BZ74" s="448"/>
      <c r="CA74" s="493"/>
      <c r="CB74" s="493"/>
      <c r="CC74" s="493"/>
      <c r="CD74" s="812"/>
      <c r="CE74" s="448"/>
      <c r="CF74" s="493"/>
      <c r="CG74" s="493"/>
      <c r="CH74" s="493"/>
      <c r="CI74" s="812"/>
      <c r="CJ74" s="448"/>
      <c r="CK74" s="493"/>
      <c r="CL74" s="493"/>
      <c r="CM74" s="493"/>
      <c r="CN74" s="812"/>
      <c r="CO74" s="448"/>
      <c r="CP74" s="493"/>
      <c r="CQ74" s="493"/>
      <c r="CR74" s="493"/>
      <c r="CS74" s="812"/>
      <c r="CT74" s="448"/>
      <c r="CU74" s="493"/>
      <c r="CV74" s="493"/>
      <c r="CW74" s="493"/>
      <c r="CX74" s="812"/>
      <c r="CY74" s="448"/>
      <c r="CZ74" s="493"/>
      <c r="DA74" s="493"/>
      <c r="DB74" s="493"/>
      <c r="DC74" s="812"/>
      <c r="DD74" s="448"/>
      <c r="DE74" s="493"/>
      <c r="DF74" s="493"/>
      <c r="DG74" s="493"/>
      <c r="DH74" s="812"/>
      <c r="DI74" s="448"/>
      <c r="DJ74" s="493"/>
      <c r="DK74" s="493"/>
      <c r="DL74" s="493"/>
      <c r="DM74" s="812"/>
      <c r="DN74" s="448"/>
      <c r="DO74" s="493"/>
      <c r="DP74" s="493"/>
      <c r="DQ74" s="493"/>
      <c r="DR74" s="812"/>
      <c r="DS74" s="448"/>
      <c r="DT74" s="493"/>
      <c r="DU74" s="493"/>
      <c r="DV74" s="493"/>
      <c r="DW74" s="812"/>
      <c r="DX74" s="448">
        <v>10750</v>
      </c>
      <c r="DY74" s="493">
        <v>12650</v>
      </c>
      <c r="DZ74" s="493">
        <v>12250</v>
      </c>
      <c r="EA74" s="493">
        <v>11750</v>
      </c>
      <c r="EB74" s="812"/>
      <c r="EC74" s="448">
        <v>10950</v>
      </c>
      <c r="ED74" s="493">
        <v>13950</v>
      </c>
      <c r="EE74" s="493">
        <v>13300</v>
      </c>
      <c r="EF74" s="493">
        <v>13900</v>
      </c>
      <c r="EG74" s="812"/>
      <c r="EH74" s="448">
        <v>13750</v>
      </c>
      <c r="EI74" s="493">
        <v>17200</v>
      </c>
      <c r="EJ74" s="493">
        <v>15700</v>
      </c>
      <c r="EK74" s="493">
        <v>16800</v>
      </c>
      <c r="EL74" s="812"/>
      <c r="EM74" s="448">
        <v>15100</v>
      </c>
      <c r="EN74" s="493">
        <v>17600</v>
      </c>
      <c r="EO74" s="493">
        <v>15850</v>
      </c>
      <c r="EP74" s="493">
        <v>17000</v>
      </c>
      <c r="EQ74" s="812"/>
      <c r="ER74" s="448">
        <v>16800</v>
      </c>
      <c r="ES74" s="493">
        <v>19600</v>
      </c>
      <c r="ET74" s="493">
        <v>18800</v>
      </c>
      <c r="EU74" s="1422">
        <v>19800</v>
      </c>
      <c r="EV74" s="459"/>
      <c r="EW74" s="496">
        <v>20150</v>
      </c>
      <c r="EX74" s="493">
        <v>22100</v>
      </c>
      <c r="EY74" s="493">
        <v>21850</v>
      </c>
      <c r="EZ74" s="1422">
        <v>23800</v>
      </c>
      <c r="FA74" s="459"/>
      <c r="FB74" s="496"/>
      <c r="FC74" s="493"/>
      <c r="FD74" s="493"/>
      <c r="FE74" s="1422"/>
      <c r="FF74" s="459"/>
      <c r="FG74" s="447"/>
      <c r="FH74" s="458"/>
      <c r="FI74" s="458"/>
      <c r="FJ74" s="458"/>
      <c r="FK74" s="459"/>
      <c r="FL74" s="447"/>
      <c r="FM74" s="458"/>
      <c r="FN74" s="458"/>
      <c r="FO74" s="458"/>
      <c r="FP74" s="459"/>
      <c r="FQ74" s="447"/>
      <c r="FR74" s="458"/>
      <c r="FS74" s="458"/>
      <c r="FT74" s="458"/>
      <c r="FU74" s="459"/>
      <c r="FV74" s="447"/>
      <c r="FW74" s="458"/>
      <c r="FX74" s="458"/>
      <c r="FY74" s="458"/>
      <c r="FZ74" s="459"/>
      <c r="GA74" s="447"/>
      <c r="GB74" s="458"/>
      <c r="GC74" s="458"/>
      <c r="GD74" s="458"/>
      <c r="GE74" s="460"/>
    </row>
    <row r="75" spans="1:187" s="1066" customFormat="1" ht="12.75" customHeight="1">
      <c r="A75" s="370" t="s">
        <v>477</v>
      </c>
      <c r="B75" s="1110" t="s">
        <v>401</v>
      </c>
      <c r="C75" s="447"/>
      <c r="D75" s="1111"/>
      <c r="E75" s="1111"/>
      <c r="F75" s="1111"/>
      <c r="G75" s="614"/>
      <c r="H75" s="447"/>
      <c r="I75" s="458"/>
      <c r="J75" s="458"/>
      <c r="K75" s="458"/>
      <c r="L75" s="459"/>
      <c r="M75" s="447"/>
      <c r="N75" s="458"/>
      <c r="O75" s="458"/>
      <c r="P75" s="458"/>
      <c r="Q75" s="459"/>
      <c r="R75" s="447"/>
      <c r="S75" s="458"/>
      <c r="T75" s="458"/>
      <c r="U75" s="458"/>
      <c r="V75" s="459"/>
      <c r="W75" s="447"/>
      <c r="X75" s="458"/>
      <c r="Y75" s="458"/>
      <c r="Z75" s="458"/>
      <c r="AA75" s="459"/>
      <c r="AB75" s="447"/>
      <c r="AC75" s="458"/>
      <c r="AD75" s="458"/>
      <c r="AE75" s="458"/>
      <c r="AF75" s="459"/>
      <c r="AG75" s="447"/>
      <c r="AH75" s="458"/>
      <c r="AI75" s="458"/>
      <c r="AJ75" s="458"/>
      <c r="AK75" s="459"/>
      <c r="AL75" s="447"/>
      <c r="AM75" s="458"/>
      <c r="AN75" s="458"/>
      <c r="AO75" s="458"/>
      <c r="AP75" s="459"/>
      <c r="AQ75" s="447"/>
      <c r="AR75" s="458"/>
      <c r="AS75" s="458"/>
      <c r="AT75" s="458"/>
      <c r="AU75" s="459"/>
      <c r="AV75" s="447"/>
      <c r="AW75" s="458"/>
      <c r="AX75" s="458"/>
      <c r="AY75" s="458"/>
      <c r="AZ75" s="459"/>
      <c r="BA75" s="447"/>
      <c r="BB75" s="458"/>
      <c r="BC75" s="458"/>
      <c r="BD75" s="458"/>
      <c r="BE75" s="459"/>
      <c r="BF75" s="447"/>
      <c r="BG75" s="458"/>
      <c r="BH75" s="458"/>
      <c r="BI75" s="458"/>
      <c r="BJ75" s="459"/>
      <c r="BK75" s="447"/>
      <c r="BL75" s="458"/>
      <c r="BM75" s="458"/>
      <c r="BN75" s="458"/>
      <c r="BO75" s="459"/>
      <c r="BP75" s="447"/>
      <c r="BQ75" s="458"/>
      <c r="BR75" s="458"/>
      <c r="BS75" s="458"/>
      <c r="BT75" s="459"/>
      <c r="BU75" s="447"/>
      <c r="BV75" s="458"/>
      <c r="BW75" s="458"/>
      <c r="BX75" s="458"/>
      <c r="BY75" s="459"/>
      <c r="BZ75" s="447"/>
      <c r="CA75" s="458"/>
      <c r="CB75" s="458"/>
      <c r="CC75" s="458"/>
      <c r="CD75" s="459"/>
      <c r="CE75" s="447"/>
      <c r="CF75" s="458"/>
      <c r="CG75" s="458"/>
      <c r="CH75" s="458"/>
      <c r="CI75" s="459"/>
      <c r="CJ75" s="447"/>
      <c r="CK75" s="458"/>
      <c r="CL75" s="458"/>
      <c r="CM75" s="458"/>
      <c r="CN75" s="459"/>
      <c r="CO75" s="447"/>
      <c r="CP75" s="458"/>
      <c r="CQ75" s="458"/>
      <c r="CR75" s="458"/>
      <c r="CS75" s="459"/>
      <c r="CT75" s="447"/>
      <c r="CU75" s="458"/>
      <c r="CV75" s="458"/>
      <c r="CW75" s="458"/>
      <c r="CX75" s="459"/>
      <c r="CY75" s="447"/>
      <c r="CZ75" s="458"/>
      <c r="DA75" s="458"/>
      <c r="DB75" s="458"/>
      <c r="DC75" s="459"/>
      <c r="DD75" s="447"/>
      <c r="DE75" s="458"/>
      <c r="DF75" s="458"/>
      <c r="DG75" s="458"/>
      <c r="DH75" s="459"/>
      <c r="DI75" s="447"/>
      <c r="DJ75" s="458"/>
      <c r="DK75" s="458"/>
      <c r="DL75" s="458"/>
      <c r="DM75" s="459"/>
      <c r="DN75" s="447"/>
      <c r="DO75" s="458"/>
      <c r="DP75" s="458"/>
      <c r="DQ75" s="458"/>
      <c r="DR75" s="459"/>
      <c r="DS75" s="447"/>
      <c r="DT75" s="458"/>
      <c r="DU75" s="458"/>
      <c r="DV75" s="458"/>
      <c r="DW75" s="459"/>
      <c r="DX75" s="458">
        <f>IFERROR(AVERAGE(DX73:DX74),"--")</f>
      </c>
      <c r="DY75" s="458">
        <f>IFERROR(AVERAGE(DY73:DY74),"--")</f>
      </c>
      <c r="DZ75" s="458">
        <f>IFERROR(AVERAGE(DZ73:DZ74),"--")</f>
      </c>
      <c r="EA75" s="458">
        <f>IFERROR(AVERAGE(EA73:EA74),"--")</f>
      </c>
      <c r="EB75" s="459"/>
      <c r="EC75" s="458">
        <f>IFERROR(AVERAGE(EC73:EC74),"--")</f>
      </c>
      <c r="ED75" s="458">
        <f>IFERROR(AVERAGE(ED73:ED74),"--")</f>
      </c>
      <c r="EE75" s="458">
        <f>IFERROR(AVERAGE(EE73:EE74),"--")</f>
      </c>
      <c r="EF75" s="458">
        <f>IFERROR(AVERAGE(EF73:EF74),"--")</f>
      </c>
      <c r="EG75" s="459"/>
      <c r="EH75" s="458">
        <f>IFERROR(AVERAGE(EH73:EH74),"--")</f>
      </c>
      <c r="EI75" s="458">
        <f>IFERROR(AVERAGE(EI73:EI74),"--")</f>
      </c>
      <c r="EJ75" s="458">
        <f>IFERROR(AVERAGE(EJ73:EJ74),"--")</f>
      </c>
      <c r="EK75" s="458">
        <f>IFERROR(AVERAGE(EK73:EK74),"--")</f>
      </c>
      <c r="EL75" s="459"/>
      <c r="EM75" s="458">
        <f>IFERROR(AVERAGE(EM73:EM74),"--")</f>
      </c>
      <c r="EN75" s="458">
        <f>IFERROR(AVERAGE(EN73:EN74),"--")</f>
      </c>
      <c r="EO75" s="458">
        <f>IFERROR(AVERAGE(EO73:EO74),"--")</f>
      </c>
      <c r="EP75" s="458">
        <f>IFERROR(AVERAGE(EP73:EP74),"--")</f>
      </c>
      <c r="EQ75" s="459"/>
      <c r="ER75" s="458">
        <f>IFERROR(AVERAGE(ER73:ER74),"--")</f>
      </c>
      <c r="ES75" s="458">
        <f>IFERROR(AVERAGE(ES73:ES74),"--")</f>
      </c>
      <c r="ET75" s="458">
        <f>IFERROR(AVERAGE(ET73:ET74),"--")</f>
      </c>
      <c r="EU75" s="679">
        <f>IFERROR(AVERAGE(EU73:EU74),"--")</f>
      </c>
      <c r="EV75" s="459"/>
      <c r="EW75" s="458">
        <f>IFERROR(AVERAGE(EW73:EW74),"--")</f>
      </c>
      <c r="EX75" s="458">
        <f>IFERROR(AVERAGE(EX73:EX74),"--")</f>
      </c>
      <c r="EY75" s="458">
        <f>IFERROR(AVERAGE(EY73:EY74),"--")</f>
      </c>
      <c r="EZ75" s="458">
        <f>IFERROR(AVERAGE(EZ73:EZ74),"--")</f>
      </c>
      <c r="FA75" s="459"/>
      <c r="FB75" s="458" t="str">
        <f>IFERROR(AVERAGE(FB73:FB74),"--")</f>
      </c>
      <c r="FC75" s="458"/>
      <c r="FD75" s="458"/>
      <c r="FE75" s="458"/>
      <c r="FF75" s="459"/>
      <c r="FG75" s="447"/>
      <c r="FH75" s="458"/>
      <c r="FI75" s="458"/>
      <c r="FJ75" s="458"/>
      <c r="FK75" s="459"/>
      <c r="FL75" s="447"/>
      <c r="FM75" s="458"/>
      <c r="FN75" s="458"/>
      <c r="FO75" s="458"/>
      <c r="FP75" s="459"/>
      <c r="FQ75" s="447"/>
      <c r="FR75" s="458"/>
      <c r="FS75" s="458"/>
      <c r="FT75" s="458"/>
      <c r="FU75" s="459"/>
      <c r="FV75" s="447"/>
      <c r="FW75" s="458"/>
      <c r="FX75" s="458"/>
      <c r="FY75" s="458"/>
      <c r="FZ75" s="459"/>
      <c r="GA75" s="447"/>
      <c r="GB75" s="458"/>
      <c r="GC75" s="458"/>
      <c r="GD75" s="458"/>
      <c r="GE75" s="460"/>
    </row>
    <row r="76" spans="1:187" s="537" customFormat="1" ht="12.75" customHeight="1">
      <c r="A76" s="850"/>
      <c r="B76" s="1078"/>
      <c r="C76" s="291"/>
      <c r="D76" s="137"/>
      <c r="E76" s="137"/>
      <c r="F76" s="137"/>
      <c r="G76" s="538"/>
      <c r="H76" s="291"/>
      <c r="I76" s="107"/>
      <c r="J76" s="107"/>
      <c r="K76" s="107"/>
      <c r="L76" s="293"/>
      <c r="M76" s="291"/>
      <c r="N76" s="107"/>
      <c r="O76" s="107"/>
      <c r="P76" s="107"/>
      <c r="Q76" s="293"/>
      <c r="R76" s="291"/>
      <c r="S76" s="107"/>
      <c r="T76" s="107"/>
      <c r="U76" s="107"/>
      <c r="V76" s="293"/>
      <c r="W76" s="291"/>
      <c r="X76" s="107"/>
      <c r="Y76" s="107"/>
      <c r="Z76" s="107"/>
      <c r="AA76" s="293"/>
      <c r="AB76" s="291"/>
      <c r="AC76" s="107"/>
      <c r="AD76" s="107"/>
      <c r="AE76" s="107"/>
      <c r="AF76" s="293"/>
      <c r="AG76" s="291"/>
      <c r="AH76" s="107"/>
      <c r="AI76" s="107"/>
      <c r="AJ76" s="107"/>
      <c r="AK76" s="293"/>
      <c r="AL76" s="291"/>
      <c r="AM76" s="107"/>
      <c r="AN76" s="107"/>
      <c r="AO76" s="107"/>
      <c r="AP76" s="293"/>
      <c r="AQ76" s="291"/>
      <c r="AR76" s="107"/>
      <c r="AS76" s="107"/>
      <c r="AT76" s="107"/>
      <c r="AU76" s="293"/>
      <c r="AV76" s="291"/>
      <c r="AW76" s="107"/>
      <c r="AX76" s="107"/>
      <c r="AY76" s="107"/>
      <c r="AZ76" s="293"/>
      <c r="BA76" s="291"/>
      <c r="BB76" s="107"/>
      <c r="BC76" s="107"/>
      <c r="BD76" s="107"/>
      <c r="BE76" s="293"/>
      <c r="BF76" s="291"/>
      <c r="BG76" s="107"/>
      <c r="BH76" s="107"/>
      <c r="BI76" s="107"/>
      <c r="BJ76" s="293"/>
      <c r="BK76" s="291"/>
      <c r="BL76" s="107"/>
      <c r="BM76" s="107"/>
      <c r="BN76" s="107"/>
      <c r="BO76" s="293"/>
      <c r="BP76" s="291"/>
      <c r="BQ76" s="107"/>
      <c r="BR76" s="107"/>
      <c r="BS76" s="107"/>
      <c r="BT76" s="293"/>
      <c r="BU76" s="291"/>
      <c r="BV76" s="107"/>
      <c r="BW76" s="107"/>
      <c r="BX76" s="107"/>
      <c r="BY76" s="293"/>
      <c r="BZ76" s="291"/>
      <c r="CA76" s="107"/>
      <c r="CB76" s="107"/>
      <c r="CC76" s="107"/>
      <c r="CD76" s="293"/>
      <c r="CE76" s="291"/>
      <c r="CF76" s="107"/>
      <c r="CG76" s="107"/>
      <c r="CH76" s="107"/>
      <c r="CI76" s="293"/>
      <c r="CJ76" s="291"/>
      <c r="CK76" s="107"/>
      <c r="CL76" s="107"/>
      <c r="CM76" s="107"/>
      <c r="CN76" s="293"/>
      <c r="CO76" s="291"/>
      <c r="CP76" s="107"/>
      <c r="CQ76" s="107"/>
      <c r="CR76" s="107"/>
      <c r="CS76" s="293"/>
      <c r="CT76" s="291"/>
      <c r="CU76" s="107"/>
      <c r="CV76" s="107"/>
      <c r="CW76" s="107"/>
      <c r="CX76" s="293"/>
      <c r="CY76" s="291"/>
      <c r="CZ76" s="107"/>
      <c r="DA76" s="107"/>
      <c r="DB76" s="107"/>
      <c r="DC76" s="293"/>
      <c r="DD76" s="291"/>
      <c r="DE76" s="107"/>
      <c r="DF76" s="107"/>
      <c r="DG76" s="107"/>
      <c r="DH76" s="293"/>
      <c r="DI76" s="291"/>
      <c r="DJ76" s="107"/>
      <c r="DK76" s="107"/>
      <c r="DL76" s="107"/>
      <c r="DM76" s="293"/>
      <c r="DN76" s="291"/>
      <c r="DO76" s="107"/>
      <c r="DP76" s="107"/>
      <c r="DQ76" s="107"/>
      <c r="DR76" s="293"/>
      <c r="DS76" s="291"/>
      <c r="DT76" s="107"/>
      <c r="DU76" s="107"/>
      <c r="DV76" s="107"/>
      <c r="DW76" s="293"/>
      <c r="DX76" s="291"/>
      <c r="DY76" s="107"/>
      <c r="DZ76" s="107"/>
      <c r="EA76" s="107"/>
      <c r="EB76" s="293"/>
      <c r="EC76" s="291"/>
      <c r="ED76" s="107"/>
      <c r="EE76" s="107"/>
      <c r="EF76" s="107"/>
      <c r="EG76" s="293"/>
      <c r="EH76" s="291"/>
      <c r="EI76" s="107"/>
      <c r="EJ76" s="107"/>
      <c r="EK76" s="107"/>
      <c r="EL76" s="293"/>
      <c r="EM76" s="291"/>
      <c r="EN76" s="107"/>
      <c r="EO76" s="107"/>
      <c r="EP76" s="107"/>
      <c r="EQ76" s="293"/>
      <c r="ER76" s="291"/>
      <c r="ES76" s="107"/>
      <c r="ET76" s="107"/>
      <c r="EU76" s="468"/>
      <c r="EV76" s="293"/>
      <c r="EW76" s="291"/>
      <c r="EX76" s="291"/>
      <c r="EY76" s="107"/>
      <c r="EZ76" s="291"/>
      <c r="FA76" s="293"/>
      <c r="FB76" s="291"/>
      <c r="FC76" s="291"/>
      <c r="FD76" s="107"/>
      <c r="FE76" s="468"/>
      <c r="FF76" s="293"/>
      <c r="FG76" s="291"/>
      <c r="FH76" s="107"/>
      <c r="FI76" s="107"/>
      <c r="FJ76" s="107"/>
      <c r="FK76" s="293"/>
      <c r="FL76" s="291"/>
      <c r="FM76" s="107"/>
      <c r="FN76" s="107"/>
      <c r="FO76" s="107"/>
      <c r="FP76" s="293"/>
      <c r="FQ76" s="291"/>
      <c r="FR76" s="107"/>
      <c r="FS76" s="107"/>
      <c r="FT76" s="107"/>
      <c r="FU76" s="293"/>
      <c r="FV76" s="291"/>
      <c r="FW76" s="107"/>
      <c r="FX76" s="107"/>
      <c r="FY76" s="107"/>
      <c r="FZ76" s="293"/>
      <c r="GA76" s="291"/>
      <c r="GB76" s="107"/>
      <c r="GC76" s="107"/>
      <c r="GD76" s="107"/>
      <c r="GE76" s="382"/>
    </row>
    <row r="77" spans="1:187" s="537" customFormat="1" ht="12.75" customHeight="1">
      <c r="A77" s="850" t="s">
        <v>381</v>
      </c>
      <c r="B77" s="1080" t="s">
        <v>317</v>
      </c>
      <c r="C77" s="825">
        <f>IS!C45</f>
      </c>
      <c r="D77" s="1068">
        <f>IS!D45</f>
      </c>
      <c r="E77" s="1068">
        <f>IS!E45</f>
      </c>
      <c r="F77" s="1068">
        <f>IS!F45</f>
      </c>
      <c r="G77" s="1069">
        <f>IS!G45</f>
      </c>
      <c r="H77" s="825">
        <f>IS!H45</f>
      </c>
      <c r="I77" s="826">
        <f>IS!I45</f>
      </c>
      <c r="J77" s="826">
        <f>IS!J45</f>
      </c>
      <c r="K77" s="826">
        <f>IS!K45</f>
      </c>
      <c r="L77" s="1067">
        <f>IS!L45</f>
      </c>
      <c r="M77" s="825">
        <f>IS!M45</f>
      </c>
      <c r="N77" s="826">
        <f>IS!N45</f>
      </c>
      <c r="O77" s="826">
        <f>IS!O45</f>
      </c>
      <c r="P77" s="826">
        <f>IS!P45</f>
      </c>
      <c r="Q77" s="1067">
        <f>IS!Q45</f>
      </c>
      <c r="R77" s="825">
        <f>IS!R45</f>
      </c>
      <c r="S77" s="826">
        <f>IS!S45</f>
      </c>
      <c r="T77" s="826">
        <f>IS!T45</f>
      </c>
      <c r="U77" s="826">
        <f>IS!U45</f>
      </c>
      <c r="V77" s="1067">
        <f>IS!V45</f>
      </c>
      <c r="W77" s="825">
        <f>IS!W45</f>
      </c>
      <c r="X77" s="826">
        <f>IS!X45</f>
      </c>
      <c r="Y77" s="826">
        <f>IS!Y45</f>
      </c>
      <c r="Z77" s="826">
        <f>IS!Z45</f>
      </c>
      <c r="AA77" s="1067">
        <f>IS!AA45</f>
      </c>
      <c r="AB77" s="825">
        <f>IS!AB45</f>
      </c>
      <c r="AC77" s="826">
        <f>IS!AC45</f>
      </c>
      <c r="AD77" s="826">
        <f>IS!AD45</f>
      </c>
      <c r="AE77" s="826">
        <f>IS!AE45</f>
      </c>
      <c r="AF77" s="1067">
        <f>IS!AF45</f>
      </c>
      <c r="AG77" s="825">
        <f>IS!AG45</f>
      </c>
      <c r="AH77" s="826">
        <f>IS!AH45</f>
      </c>
      <c r="AI77" s="826">
        <f>IS!AI45</f>
      </c>
      <c r="AJ77" s="826">
        <f>IS!AJ45</f>
      </c>
      <c r="AK77" s="1067">
        <f>IS!AK45</f>
      </c>
      <c r="AL77" s="825">
        <f>IS!AL45</f>
      </c>
      <c r="AM77" s="826">
        <f>IS!AM45</f>
      </c>
      <c r="AN77" s="826">
        <f>IS!AN45</f>
      </c>
      <c r="AO77" s="826">
        <f>IS!AO45</f>
      </c>
      <c r="AP77" s="1067">
        <f>IS!AP45</f>
      </c>
      <c r="AQ77" s="825">
        <f>IS!AQ45</f>
      </c>
      <c r="AR77" s="826">
        <f>IS!AR45</f>
      </c>
      <c r="AS77" s="826">
        <f>IS!AS45</f>
      </c>
      <c r="AT77" s="826">
        <f>IS!AT45</f>
      </c>
      <c r="AU77" s="1067">
        <f>IS!AU45</f>
      </c>
      <c r="AV77" s="825">
        <f>IS!AV45</f>
      </c>
      <c r="AW77" s="826">
        <f>IS!AW45</f>
      </c>
      <c r="AX77" s="826">
        <f>IS!AX45</f>
      </c>
      <c r="AY77" s="826">
        <f>IS!AY45</f>
      </c>
      <c r="AZ77" s="1067">
        <f>IS!AZ45</f>
      </c>
      <c r="BA77" s="825">
        <f>IS!BA45</f>
      </c>
      <c r="BB77" s="826">
        <f>IS!BB45</f>
      </c>
      <c r="BC77" s="826">
        <f>IS!BC45</f>
      </c>
      <c r="BD77" s="826">
        <f>IS!BD45</f>
      </c>
      <c r="BE77" s="1067">
        <f>IS!BE45</f>
      </c>
      <c r="BF77" s="825">
        <f>IS!BF45</f>
      </c>
      <c r="BG77" s="826">
        <f>IS!BG45</f>
      </c>
      <c r="BH77" s="826">
        <f>IS!BH45</f>
      </c>
      <c r="BI77" s="826">
        <f>IS!BI45</f>
      </c>
      <c r="BJ77" s="1067">
        <f>IS!BJ45</f>
      </c>
      <c r="BK77" s="825">
        <f>IS!BK45</f>
      </c>
      <c r="BL77" s="826">
        <f>IS!BL45</f>
      </c>
      <c r="BM77" s="826">
        <f>IS!BM45</f>
      </c>
      <c r="BN77" s="826">
        <f>IS!BN45</f>
      </c>
      <c r="BO77" s="1067">
        <f>IS!BO45</f>
      </c>
      <c r="BP77" s="825">
        <f>IS!BP45</f>
      </c>
      <c r="BQ77" s="826">
        <f>IS!BQ45</f>
      </c>
      <c r="BR77" s="826">
        <f>IS!BR45</f>
      </c>
      <c r="BS77" s="826">
        <f>IS!BS45</f>
      </c>
      <c r="BT77" s="1067">
        <f>IS!BT45</f>
      </c>
      <c r="BU77" s="825">
        <f>IS!BU45</f>
      </c>
      <c r="BV77" s="826">
        <f>IS!BV45</f>
      </c>
      <c r="BW77" s="826">
        <f>IS!BW45</f>
      </c>
      <c r="BX77" s="826">
        <f>IS!BX45</f>
      </c>
      <c r="BY77" s="1067">
        <f>IS!BY45</f>
      </c>
      <c r="BZ77" s="825">
        <f>IS!BZ45</f>
      </c>
      <c r="CA77" s="826">
        <f>IS!CA45</f>
      </c>
      <c r="CB77" s="826">
        <f>IS!CB45</f>
      </c>
      <c r="CC77" s="826">
        <f>IS!CC45</f>
      </c>
      <c r="CD77" s="1067">
        <f>IS!CD45</f>
      </c>
      <c r="CE77" s="825">
        <f>IS!CE45</f>
      </c>
      <c r="CF77" s="826">
        <f>IS!CF45</f>
      </c>
      <c r="CG77" s="826">
        <f>IS!CG45</f>
      </c>
      <c r="CH77" s="826">
        <f>IS!CH45</f>
      </c>
      <c r="CI77" s="1067">
        <f>IS!CI45</f>
      </c>
      <c r="CJ77" s="825">
        <f>IS!CJ45</f>
      </c>
      <c r="CK77" s="826">
        <f>IS!CK45</f>
      </c>
      <c r="CL77" s="826">
        <f>IS!CL45</f>
      </c>
      <c r="CM77" s="826">
        <f>IS!CM45</f>
      </c>
      <c r="CN77" s="1067">
        <f>IS!CN45</f>
      </c>
      <c r="CO77" s="825">
        <f>IS!CO45</f>
      </c>
      <c r="CP77" s="826">
        <f>IS!CP45</f>
      </c>
      <c r="CQ77" s="826">
        <f>IS!CQ45</f>
      </c>
      <c r="CR77" s="826">
        <f>IS!CR45</f>
      </c>
      <c r="CS77" s="1067">
        <f>IS!CS45</f>
      </c>
      <c r="CT77" s="825">
        <f>IS!CT45</f>
      </c>
      <c r="CU77" s="826">
        <f>IS!CU45</f>
      </c>
      <c r="CV77" s="826">
        <f>IS!CV45</f>
      </c>
      <c r="CW77" s="826">
        <f>IS!CW45</f>
      </c>
      <c r="CX77" s="1067">
        <f>IS!CX45</f>
      </c>
      <c r="CY77" s="825">
        <f>IS!CY45</f>
      </c>
      <c r="CZ77" s="826">
        <f>IS!CZ45</f>
      </c>
      <c r="DA77" s="826">
        <f>IS!DA45</f>
      </c>
      <c r="DB77" s="826">
        <f>IS!DB45</f>
      </c>
      <c r="DC77" s="1067">
        <f>IS!DC45</f>
      </c>
      <c r="DD77" s="825">
        <f>IS!DD45</f>
      </c>
      <c r="DE77" s="826">
        <f>IS!DE45</f>
      </c>
      <c r="DF77" s="826">
        <f>IS!DF45</f>
      </c>
      <c r="DG77" s="826">
        <f>IS!DG45</f>
      </c>
      <c r="DH77" s="1067">
        <f>IS!DH45</f>
      </c>
      <c r="DI77" s="825">
        <f>IS!DI45</f>
      </c>
      <c r="DJ77" s="826">
        <f>IS!DJ45</f>
      </c>
      <c r="DK77" s="826">
        <f>IS!DK45</f>
      </c>
      <c r="DL77" s="826">
        <f>IS!DL45</f>
      </c>
      <c r="DM77" s="1067">
        <f>IS!DM45</f>
      </c>
      <c r="DN77" s="825">
        <f>IS!DN45</f>
      </c>
      <c r="DO77" s="826">
        <f>IS!DO45</f>
      </c>
      <c r="DP77" s="826">
        <f>IS!DP45</f>
      </c>
      <c r="DQ77" s="826">
        <f>IS!DQ45</f>
      </c>
      <c r="DR77" s="1067">
        <f>IS!DR45</f>
      </c>
      <c r="DS77" s="825">
        <f>IS!DS45</f>
      </c>
      <c r="DT77" s="826">
        <f>IS!DT45</f>
      </c>
      <c r="DU77" s="826">
        <f>IS!DU45</f>
      </c>
      <c r="DV77" s="826">
        <f>IS!DV45</f>
      </c>
      <c r="DW77" s="1067">
        <f>IS!DW45</f>
      </c>
      <c r="DX77" s="825">
        <f>IS!DX45</f>
      </c>
      <c r="DY77" s="826">
        <f>IS!DY45</f>
      </c>
      <c r="DZ77" s="826">
        <f>IS!DZ45</f>
      </c>
      <c r="EA77" s="826">
        <f>IS!EA45</f>
      </c>
      <c r="EB77" s="1067">
        <f>IS!EB45</f>
      </c>
      <c r="EC77" s="825">
        <f>IS!EC45</f>
      </c>
      <c r="ED77" s="826">
        <f>IS!ED45</f>
      </c>
      <c r="EE77" s="826">
        <f>IS!EE45</f>
      </c>
      <c r="EF77" s="826">
        <f>IS!EF45</f>
      </c>
      <c r="EG77" s="1067">
        <f>IS!EG45</f>
      </c>
      <c r="EH77" s="825">
        <f>IS!EH45</f>
      </c>
      <c r="EI77" s="826">
        <f>IS!EI45</f>
      </c>
      <c r="EJ77" s="826">
        <f>IS!EJ45</f>
      </c>
      <c r="EK77" s="826">
        <f>IS!EK45</f>
      </c>
      <c r="EL77" s="1067">
        <f>IS!EL45</f>
      </c>
      <c r="EM77" s="825">
        <f>IS!EM45</f>
      </c>
      <c r="EN77" s="826">
        <f>IS!EN45</f>
      </c>
      <c r="EO77" s="826">
        <f>IS!EO45</f>
      </c>
      <c r="EP77" s="826">
        <f>IS!EP45</f>
      </c>
      <c r="EQ77" s="1067">
        <f>IS!EQ45</f>
      </c>
      <c r="ER77" s="825">
        <f>IS!ER45</f>
      </c>
      <c r="ES77" s="826">
        <f>IS!ES45</f>
      </c>
      <c r="ET77" s="826">
        <f>IS!ET45</f>
      </c>
      <c r="EU77" s="826">
        <f>IS!EU45</f>
      </c>
      <c r="EV77" s="1067">
        <f>IS!EV45</f>
      </c>
      <c r="EW77" s="825">
        <f>IS!EW45</f>
      </c>
      <c r="EX77" s="825">
        <f>IS!EX45</f>
      </c>
      <c r="EY77" s="825">
        <f>IS!EY45</f>
      </c>
      <c r="EZ77" s="825">
        <f>IS!EZ45</f>
      </c>
      <c r="FA77" s="891"/>
      <c r="FB77" s="825"/>
      <c r="FC77" s="825"/>
      <c r="FD77" s="825"/>
      <c r="FE77" s="826"/>
      <c r="FF77" s="891"/>
      <c r="FG77" s="399"/>
      <c r="FH77" s="129"/>
      <c r="FI77" s="129"/>
      <c r="FJ77" s="129"/>
      <c r="FK77" s="891"/>
      <c r="FL77" s="399"/>
      <c r="FM77" s="129"/>
      <c r="FN77" s="129"/>
      <c r="FO77" s="129"/>
      <c r="FP77" s="891"/>
      <c r="FQ77" s="399"/>
      <c r="FR77" s="129"/>
      <c r="FS77" s="129"/>
      <c r="FT77" s="129"/>
      <c r="FU77" s="891"/>
      <c r="FV77" s="399"/>
      <c r="FW77" s="129"/>
      <c r="FX77" s="129"/>
      <c r="FY77" s="129"/>
      <c r="FZ77" s="891"/>
      <c r="GA77" s="399"/>
      <c r="GB77" s="129"/>
      <c r="GC77" s="129"/>
      <c r="GD77" s="129"/>
      <c r="GE77" s="1081"/>
    </row>
    <row r="78" spans="1:187" s="537" customFormat="1" ht="12.75" customHeight="1">
      <c r="A78" s="850"/>
      <c r="B78" s="1078" t="s">
        <v>402</v>
      </c>
      <c r="C78" s="291"/>
      <c r="D78" s="137"/>
      <c r="E78" s="137"/>
      <c r="F78" s="137"/>
      <c r="G78" s="538"/>
      <c r="H78" s="291"/>
      <c r="I78" s="107"/>
      <c r="J78" s="107"/>
      <c r="K78" s="107"/>
      <c r="L78" s="293"/>
      <c r="M78" s="291"/>
      <c r="N78" s="107"/>
      <c r="O78" s="107"/>
      <c r="P78" s="107"/>
      <c r="Q78" s="293"/>
      <c r="R78" s="291"/>
      <c r="S78" s="107"/>
      <c r="T78" s="107"/>
      <c r="U78" s="107"/>
      <c r="V78" s="293"/>
      <c r="W78" s="291"/>
      <c r="X78" s="107"/>
      <c r="Y78" s="107"/>
      <c r="Z78" s="107"/>
      <c r="AA78" s="293"/>
      <c r="AB78" s="291"/>
      <c r="AC78" s="107"/>
      <c r="AD78" s="107"/>
      <c r="AE78" s="107"/>
      <c r="AF78" s="293"/>
      <c r="AG78" s="291"/>
      <c r="AH78" s="107"/>
      <c r="AI78" s="107"/>
      <c r="AJ78" s="107"/>
      <c r="AK78" s="293"/>
      <c r="AL78" s="291"/>
      <c r="AM78" s="107"/>
      <c r="AN78" s="107"/>
      <c r="AO78" s="107"/>
      <c r="AP78" s="293"/>
      <c r="AQ78" s="291"/>
      <c r="AR78" s="107"/>
      <c r="AS78" s="107"/>
      <c r="AT78" s="107"/>
      <c r="AU78" s="293"/>
      <c r="AV78" s="291"/>
      <c r="AW78" s="107"/>
      <c r="AX78" s="107"/>
      <c r="AY78" s="107"/>
      <c r="AZ78" s="293"/>
      <c r="BA78" s="291"/>
      <c r="BB78" s="107"/>
      <c r="BC78" s="107"/>
      <c r="BD78" s="107"/>
      <c r="BE78" s="293"/>
      <c r="BF78" s="291"/>
      <c r="BG78" s="107"/>
      <c r="BH78" s="107"/>
      <c r="BI78" s="107"/>
      <c r="BJ78" s="293"/>
      <c r="BK78" s="291"/>
      <c r="BL78" s="107"/>
      <c r="BM78" s="107"/>
      <c r="BN78" s="107"/>
      <c r="BO78" s="293"/>
      <c r="BP78" s="291"/>
      <c r="BQ78" s="107"/>
      <c r="BR78" s="107"/>
      <c r="BS78" s="107"/>
      <c r="BT78" s="293"/>
      <c r="BU78" s="291"/>
      <c r="BV78" s="107"/>
      <c r="BW78" s="107"/>
      <c r="BX78" s="107"/>
      <c r="BY78" s="293"/>
      <c r="BZ78" s="291"/>
      <c r="CA78" s="107"/>
      <c r="CB78" s="107"/>
      <c r="CC78" s="107"/>
      <c r="CD78" s="293"/>
      <c r="CE78" s="291"/>
      <c r="CF78" s="107"/>
      <c r="CG78" s="107"/>
      <c r="CH78" s="107"/>
      <c r="CI78" s="293"/>
      <c r="CJ78" s="291"/>
      <c r="CK78" s="107"/>
      <c r="CL78" s="107"/>
      <c r="CM78" s="107"/>
      <c r="CN78" s="293"/>
      <c r="CO78" s="291"/>
      <c r="CP78" s="107"/>
      <c r="CQ78" s="107"/>
      <c r="CR78" s="107"/>
      <c r="CS78" s="293"/>
      <c r="CT78" s="291"/>
      <c r="CU78" s="107"/>
      <c r="CV78" s="107"/>
      <c r="CW78" s="107"/>
      <c r="CX78" s="293"/>
      <c r="CY78" s="291"/>
      <c r="CZ78" s="107"/>
      <c r="DA78" s="107"/>
      <c r="DB78" s="107"/>
      <c r="DC78" s="293"/>
      <c r="DD78" s="291"/>
      <c r="DE78" s="107"/>
      <c r="DF78" s="107"/>
      <c r="DG78" s="107"/>
      <c r="DH78" s="293"/>
      <c r="DI78" s="291"/>
      <c r="DJ78" s="107"/>
      <c r="DK78" s="107"/>
      <c r="DL78" s="107"/>
      <c r="DM78" s="293"/>
      <c r="DN78" s="291"/>
      <c r="DO78" s="107"/>
      <c r="DP78" s="107"/>
      <c r="DQ78" s="107"/>
      <c r="DR78" s="293"/>
      <c r="DS78" s="291"/>
      <c r="DT78" s="107"/>
      <c r="DU78" s="107"/>
      <c r="DV78" s="107"/>
      <c r="DW78" s="293"/>
      <c r="DX78" s="291">
        <f>IFERROR(DX77/DX75-1,"")</f>
      </c>
      <c r="DY78" s="291">
        <f>IFERROR(DY77/DY75-1,"")</f>
      </c>
      <c r="DZ78" s="291">
        <f>IFERROR(DZ77/DZ75-1,"")</f>
      </c>
      <c r="EA78" s="291">
        <f>IFERROR(EA77/EA75-1,"")</f>
      </c>
      <c r="EB78" s="293"/>
      <c r="EC78" s="291">
        <f>EC77/EC75-1</f>
      </c>
      <c r="ED78" s="291">
        <f>ED77/ED75-1</f>
      </c>
      <c r="EE78" s="291">
        <f>EE77/EE75-1</f>
      </c>
      <c r="EF78" s="291">
        <f>EF77/EF75-1</f>
      </c>
      <c r="EG78" s="293"/>
      <c r="EH78" s="291">
        <f>EH77/EH75-1</f>
      </c>
      <c r="EI78" s="291">
        <f>EI77/EI75-1</f>
      </c>
      <c r="EJ78" s="291">
        <f>EJ77/EJ75-1</f>
      </c>
      <c r="EK78" s="291">
        <f>EK77/EK75-1</f>
      </c>
      <c r="EL78" s="293"/>
      <c r="EM78" s="291">
        <f>EM77/EM75-1</f>
      </c>
      <c r="EN78" s="291">
        <f>EN77/EN75-1</f>
      </c>
      <c r="EO78" s="291">
        <f>EO77/EO75-1</f>
      </c>
      <c r="EP78" s="291">
        <f>EP77/EP75-1</f>
      </c>
      <c r="EQ78" s="293"/>
      <c r="ER78" s="291">
        <f>ER77/ER75-1</f>
      </c>
      <c r="ES78" s="291">
        <f>ES77/ES75-1</f>
      </c>
      <c r="ET78" s="291">
        <f>ET77/ET75-1</f>
      </c>
      <c r="EU78" s="291">
        <f>EU77/EU75-1</f>
      </c>
      <c r="EV78" s="293"/>
      <c r="EW78" s="291">
        <f>EW77/EW75-1</f>
      </c>
      <c r="EX78" s="291">
        <f>EX77/EX75-1</f>
      </c>
      <c r="EY78" s="291">
        <f>EY77/EY75-1</f>
      </c>
      <c r="EZ78" s="291">
        <f>EZ77/EZ75-1</f>
      </c>
      <c r="FA78" s="293"/>
      <c r="FB78" s="291"/>
      <c r="FC78" s="291"/>
      <c r="FD78" s="291"/>
      <c r="FE78" s="291"/>
      <c r="FF78" s="293"/>
      <c r="FG78" s="291"/>
      <c r="FH78" s="107"/>
      <c r="FI78" s="107"/>
      <c r="FJ78" s="107"/>
      <c r="FK78" s="293"/>
      <c r="FL78" s="291"/>
      <c r="FM78" s="107"/>
      <c r="FN78" s="107"/>
      <c r="FO78" s="107"/>
      <c r="FP78" s="293"/>
      <c r="FQ78" s="291"/>
      <c r="FR78" s="107"/>
      <c r="FS78" s="107"/>
      <c r="FT78" s="107"/>
      <c r="FU78" s="293"/>
      <c r="FV78" s="291"/>
      <c r="FW78" s="107"/>
      <c r="FX78" s="107"/>
      <c r="FY78" s="107"/>
      <c r="FZ78" s="293"/>
      <c r="GA78" s="291"/>
      <c r="GB78" s="107"/>
      <c r="GC78" s="107"/>
      <c r="GD78" s="107"/>
      <c r="GE78" s="382"/>
    </row>
    <row r="79" spans="1:187" s="537" customFormat="1" ht="12.75" customHeight="1">
      <c r="A79" s="850"/>
      <c r="B79" s="1078" t="s">
        <v>403</v>
      </c>
      <c r="C79" s="291"/>
      <c r="D79" s="137"/>
      <c r="E79" s="137"/>
      <c r="F79" s="137"/>
      <c r="G79" s="538"/>
      <c r="H79" s="291"/>
      <c r="I79" s="107"/>
      <c r="J79" s="107"/>
      <c r="K79" s="107"/>
      <c r="L79" s="293"/>
      <c r="M79" s="291"/>
      <c r="N79" s="107"/>
      <c r="O79" s="107"/>
      <c r="P79" s="107"/>
      <c r="Q79" s="293"/>
      <c r="R79" s="291"/>
      <c r="S79" s="107"/>
      <c r="T79" s="107"/>
      <c r="U79" s="107"/>
      <c r="V79" s="293"/>
      <c r="W79" s="291"/>
      <c r="X79" s="107"/>
      <c r="Y79" s="107"/>
      <c r="Z79" s="107"/>
      <c r="AA79" s="293"/>
      <c r="AB79" s="291"/>
      <c r="AC79" s="107"/>
      <c r="AD79" s="107"/>
      <c r="AE79" s="107"/>
      <c r="AF79" s="293"/>
      <c r="AG79" s="291"/>
      <c r="AH79" s="107"/>
      <c r="AI79" s="107"/>
      <c r="AJ79" s="107"/>
      <c r="AK79" s="293"/>
      <c r="AL79" s="291"/>
      <c r="AM79" s="107"/>
      <c r="AN79" s="107"/>
      <c r="AO79" s="107"/>
      <c r="AP79" s="293"/>
      <c r="AQ79" s="291"/>
      <c r="AR79" s="107"/>
      <c r="AS79" s="107"/>
      <c r="AT79" s="107"/>
      <c r="AU79" s="293"/>
      <c r="AV79" s="291"/>
      <c r="AW79" s="107"/>
      <c r="AX79" s="107"/>
      <c r="AY79" s="107"/>
      <c r="AZ79" s="293"/>
      <c r="BA79" s="291"/>
      <c r="BB79" s="107"/>
      <c r="BC79" s="107"/>
      <c r="BD79" s="107"/>
      <c r="BE79" s="293"/>
      <c r="BF79" s="291"/>
      <c r="BG79" s="107"/>
      <c r="BH79" s="107"/>
      <c r="BI79" s="107"/>
      <c r="BJ79" s="293"/>
      <c r="BK79" s="291"/>
      <c r="BL79" s="107"/>
      <c r="BM79" s="107"/>
      <c r="BN79" s="107"/>
      <c r="BO79" s="293"/>
      <c r="BP79" s="291"/>
      <c r="BQ79" s="107"/>
      <c r="BR79" s="107"/>
      <c r="BS79" s="107"/>
      <c r="BT79" s="293"/>
      <c r="BU79" s="291"/>
      <c r="BV79" s="107"/>
      <c r="BW79" s="107"/>
      <c r="BX79" s="107"/>
      <c r="BY79" s="293"/>
      <c r="BZ79" s="291"/>
      <c r="CA79" s="107"/>
      <c r="CB79" s="107"/>
      <c r="CC79" s="107"/>
      <c r="CD79" s="293"/>
      <c r="CE79" s="291"/>
      <c r="CF79" s="107"/>
      <c r="CG79" s="107"/>
      <c r="CH79" s="107"/>
      <c r="CI79" s="293"/>
      <c r="CJ79" s="291"/>
      <c r="CK79" s="107"/>
      <c r="CL79" s="107"/>
      <c r="CM79" s="107"/>
      <c r="CN79" s="293"/>
      <c r="CO79" s="291"/>
      <c r="CP79" s="107"/>
      <c r="CQ79" s="107"/>
      <c r="CR79" s="107"/>
      <c r="CS79" s="293"/>
      <c r="CT79" s="291"/>
      <c r="CU79" s="107"/>
      <c r="CV79" s="107"/>
      <c r="CW79" s="107"/>
      <c r="CX79" s="293"/>
      <c r="CY79" s="291"/>
      <c r="CZ79" s="107"/>
      <c r="DA79" s="107"/>
      <c r="DB79" s="107"/>
      <c r="DC79" s="293"/>
      <c r="DD79" s="291"/>
      <c r="DE79" s="107"/>
      <c r="DF79" s="107"/>
      <c r="DG79" s="107"/>
      <c r="DH79" s="293"/>
      <c r="DI79" s="291"/>
      <c r="DJ79" s="107"/>
      <c r="DK79" s="107"/>
      <c r="DL79" s="107"/>
      <c r="DM79" s="293"/>
      <c r="DN79" s="291"/>
      <c r="DO79" s="107"/>
      <c r="DP79" s="107"/>
      <c r="DQ79" s="107"/>
      <c r="DR79" s="293"/>
      <c r="DS79" s="291"/>
      <c r="DT79" s="107"/>
      <c r="DU79" s="107"/>
      <c r="DV79" s="107"/>
      <c r="DW79" s="293"/>
      <c r="DX79" s="470">
        <f>DX77-DX75</f>
      </c>
      <c r="DY79" s="470">
        <f>DY77-DY75</f>
      </c>
      <c r="DZ79" s="470">
        <f>DZ77-DZ75</f>
      </c>
      <c r="EA79" s="470">
        <f>EA77-EA75</f>
      </c>
      <c r="EB79" s="293"/>
      <c r="EC79" s="470">
        <f>EC77-EC75</f>
      </c>
      <c r="ED79" s="470">
        <f>ED77-ED75</f>
      </c>
      <c r="EE79" s="470">
        <f>EE77-EE75</f>
      </c>
      <c r="EF79" s="470">
        <f>EF77-EF75</f>
      </c>
      <c r="EG79" s="293"/>
      <c r="EH79" s="470">
        <f>EH77-EH75</f>
      </c>
      <c r="EI79" s="470">
        <f>EI77-EI75</f>
      </c>
      <c r="EJ79" s="470">
        <f>EJ77-EJ75</f>
      </c>
      <c r="EK79" s="470">
        <f>EK77-EK75</f>
      </c>
      <c r="EL79" s="293"/>
      <c r="EM79" s="470">
        <f>EM77-EM75</f>
      </c>
      <c r="EN79" s="470">
        <f>EN77-EN75</f>
      </c>
      <c r="EO79" s="470">
        <f>EO77-EO75</f>
      </c>
      <c r="EP79" s="470">
        <f>EP77-EP75</f>
      </c>
      <c r="EQ79" s="293"/>
      <c r="ER79" s="470">
        <f>ER77-ER75</f>
      </c>
      <c r="ES79" s="470">
        <f>ES77-ES75</f>
      </c>
      <c r="ET79" s="470">
        <f>ET77-ET75</f>
      </c>
      <c r="EU79" s="470">
        <f>EU77-EU75</f>
      </c>
      <c r="EV79" s="293"/>
      <c r="EW79" s="470">
        <f>EW77-EW75</f>
      </c>
      <c r="EX79" s="470">
        <f>EX77-EX75</f>
      </c>
      <c r="EY79" s="470">
        <f>EY77-EY75</f>
      </c>
      <c r="EZ79" s="470">
        <f>EZ77-EZ75</f>
      </c>
      <c r="FA79" s="293"/>
      <c r="FB79" s="470"/>
      <c r="FC79" s="470"/>
      <c r="FD79" s="470"/>
      <c r="FE79" s="470"/>
      <c r="FF79" s="293"/>
      <c r="FG79" s="291"/>
      <c r="FH79" s="107"/>
      <c r="FI79" s="107"/>
      <c r="FJ79" s="107"/>
      <c r="FK79" s="293"/>
      <c r="FL79" s="291"/>
      <c r="FM79" s="107"/>
      <c r="FN79" s="107"/>
      <c r="FO79" s="107"/>
      <c r="FP79" s="293"/>
      <c r="FQ79" s="291"/>
      <c r="FR79" s="107"/>
      <c r="FS79" s="107"/>
      <c r="FT79" s="107"/>
      <c r="FU79" s="293"/>
      <c r="FV79" s="291"/>
      <c r="FW79" s="107"/>
      <c r="FX79" s="107"/>
      <c r="FY79" s="107"/>
      <c r="FZ79" s="293"/>
      <c r="GA79" s="291"/>
      <c r="GB79" s="107"/>
      <c r="GC79" s="107"/>
      <c r="GD79" s="107"/>
      <c r="GE79" s="382"/>
    </row>
    <row r="80" spans="1:187" s="537" customFormat="1" ht="12.75" customHeight="1">
      <c r="A80" s="850"/>
      <c r="B80" s="1082"/>
      <c r="C80" s="539"/>
      <c r="D80" s="539"/>
      <c r="E80" s="539"/>
      <c r="F80" s="539"/>
      <c r="G80" s="540"/>
      <c r="H80" s="539"/>
      <c r="I80" s="539"/>
      <c r="J80" s="539"/>
      <c r="K80" s="539"/>
      <c r="L80" s="540"/>
      <c r="M80" s="539"/>
      <c r="N80" s="539"/>
      <c r="O80" s="539"/>
      <c r="P80" s="539"/>
      <c r="Q80" s="540"/>
      <c r="R80" s="539"/>
      <c r="S80" s="539"/>
      <c r="T80" s="539"/>
      <c r="U80" s="539"/>
      <c r="V80" s="540"/>
      <c r="W80" s="539"/>
      <c r="X80" s="539"/>
      <c r="Y80" s="539"/>
      <c r="Z80" s="539"/>
      <c r="AA80" s="540"/>
      <c r="AB80" s="539"/>
      <c r="AC80" s="539"/>
      <c r="AD80" s="539"/>
      <c r="AE80" s="539"/>
      <c r="AF80" s="540"/>
      <c r="AG80" s="539"/>
      <c r="AH80" s="539"/>
      <c r="AI80" s="539"/>
      <c r="AJ80" s="539"/>
      <c r="AK80" s="540"/>
      <c r="AL80" s="539"/>
      <c r="AM80" s="539"/>
      <c r="AN80" s="539"/>
      <c r="AO80" s="539"/>
      <c r="AP80" s="540"/>
      <c r="AQ80" s="539"/>
      <c r="AR80" s="539"/>
      <c r="AS80" s="539"/>
      <c r="AT80" s="539"/>
      <c r="AU80" s="540"/>
      <c r="AV80" s="539"/>
      <c r="AW80" s="539"/>
      <c r="AX80" s="539"/>
      <c r="AY80" s="539"/>
      <c r="AZ80" s="540"/>
      <c r="BA80" s="539"/>
      <c r="BB80" s="539"/>
      <c r="BC80" s="539"/>
      <c r="BD80" s="539"/>
      <c r="BE80" s="540"/>
      <c r="BF80" s="539"/>
      <c r="BG80" s="539"/>
      <c r="BH80" s="539"/>
      <c r="BI80" s="539"/>
      <c r="BJ80" s="540"/>
      <c r="BK80" s="539"/>
      <c r="BL80" s="539"/>
      <c r="BM80" s="539"/>
      <c r="BN80" s="539"/>
      <c r="BO80" s="540"/>
      <c r="BP80" s="539"/>
      <c r="BQ80" s="539"/>
      <c r="BR80" s="539"/>
      <c r="BS80" s="539"/>
      <c r="BT80" s="540"/>
      <c r="BU80" s="539"/>
      <c r="BV80" s="539"/>
      <c r="BW80" s="539"/>
      <c r="BX80" s="539"/>
      <c r="BY80" s="540"/>
      <c r="BZ80" s="539"/>
      <c r="CA80" s="539"/>
      <c r="CB80" s="539"/>
      <c r="CC80" s="539"/>
      <c r="CD80" s="540"/>
      <c r="CE80" s="539"/>
      <c r="CF80" s="539"/>
      <c r="CG80" s="539"/>
      <c r="CH80" s="539"/>
      <c r="CI80" s="540"/>
      <c r="CJ80" s="539"/>
      <c r="CK80" s="539"/>
      <c r="CL80" s="539"/>
      <c r="CM80" s="539"/>
      <c r="CN80" s="540"/>
      <c r="CO80" s="539"/>
      <c r="CP80" s="539"/>
      <c r="CQ80" s="539"/>
      <c r="CR80" s="539"/>
      <c r="CS80" s="540"/>
      <c r="CT80" s="539"/>
      <c r="CU80" s="539"/>
      <c r="CV80" s="539"/>
      <c r="CW80" s="539"/>
      <c r="CX80" s="540"/>
      <c r="CY80" s="539"/>
      <c r="CZ80" s="539"/>
      <c r="DA80" s="539"/>
      <c r="DB80" s="539"/>
      <c r="DC80" s="540"/>
      <c r="DD80" s="539"/>
      <c r="DE80" s="539"/>
      <c r="DF80" s="539"/>
      <c r="DG80" s="539"/>
      <c r="DH80" s="540"/>
      <c r="DI80" s="539"/>
      <c r="DJ80" s="539"/>
      <c r="DK80" s="539"/>
      <c r="DL80" s="539"/>
      <c r="DM80" s="540"/>
      <c r="DN80" s="539"/>
      <c r="DO80" s="539"/>
      <c r="DP80" s="539"/>
      <c r="DQ80" s="539"/>
      <c r="DR80" s="540"/>
      <c r="DS80" s="539"/>
      <c r="DT80" s="539"/>
      <c r="DU80" s="539"/>
      <c r="DV80" s="539"/>
      <c r="DW80" s="540"/>
      <c r="DX80" s="291"/>
      <c r="DY80" s="107"/>
      <c r="DZ80" s="107"/>
      <c r="EA80" s="107"/>
      <c r="EB80" s="540"/>
      <c r="EC80" s="539"/>
      <c r="ED80" s="539"/>
      <c r="EE80" s="539"/>
      <c r="EF80" s="539"/>
      <c r="EG80" s="540"/>
      <c r="EH80" s="539"/>
      <c r="EI80" s="539"/>
      <c r="EJ80" s="539"/>
      <c r="EK80" s="539"/>
      <c r="EL80" s="540"/>
      <c r="EM80" s="539"/>
      <c r="EN80" s="539"/>
      <c r="EO80" s="539"/>
      <c r="EP80" s="539"/>
      <c r="EQ80" s="540"/>
      <c r="ER80" s="539"/>
      <c r="ES80" s="539"/>
      <c r="ET80" s="539"/>
      <c r="EU80" s="539"/>
      <c r="EV80" s="540"/>
      <c r="EW80" s="539"/>
      <c r="EX80" s="539"/>
      <c r="EY80" s="539"/>
      <c r="EZ80" s="539"/>
      <c r="FA80" s="540"/>
      <c r="FB80" s="539"/>
      <c r="FC80" s="539"/>
      <c r="FD80" s="539"/>
      <c r="FE80" s="539"/>
      <c r="FF80" s="540"/>
      <c r="FG80" s="539"/>
      <c r="FH80" s="539"/>
      <c r="FI80" s="539"/>
      <c r="FJ80" s="539"/>
      <c r="FK80" s="540"/>
      <c r="FL80" s="539"/>
      <c r="FM80" s="539"/>
      <c r="FN80" s="539"/>
      <c r="FO80" s="539"/>
      <c r="FP80" s="540"/>
      <c r="FQ80" s="539"/>
      <c r="FR80" s="539"/>
      <c r="FS80" s="539"/>
      <c r="FT80" s="539"/>
      <c r="FU80" s="540"/>
      <c r="FV80" s="539"/>
      <c r="FW80" s="539"/>
      <c r="FX80" s="539"/>
      <c r="FY80" s="539"/>
      <c r="FZ80" s="540"/>
      <c r="GA80" s="539"/>
      <c r="GB80" s="539"/>
      <c r="GC80" s="539"/>
      <c r="GD80" s="539"/>
      <c r="GE80" s="1083"/>
    </row>
    <row r="81" spans="1:187" s="542" customFormat="1" ht="12.75" customHeight="1">
      <c r="A81" s="850"/>
      <c r="B81" s="1079" t="s">
        <v>40</v>
      </c>
      <c r="C81" s="98"/>
      <c r="D81" s="98"/>
      <c r="E81" s="98"/>
      <c r="F81" s="98"/>
      <c r="G81" s="99"/>
      <c r="H81" s="98"/>
      <c r="I81" s="98"/>
      <c r="J81" s="98"/>
      <c r="K81" s="98"/>
      <c r="L81" s="99"/>
      <c r="M81" s="1084"/>
      <c r="N81" s="1084"/>
      <c r="O81" s="1084"/>
      <c r="P81" s="1084"/>
      <c r="Q81" s="99"/>
      <c r="R81" s="1084"/>
      <c r="S81" s="1084"/>
      <c r="T81" s="1084"/>
      <c r="U81" s="1084"/>
      <c r="V81" s="99"/>
      <c r="W81" s="1084"/>
      <c r="X81" s="1084"/>
      <c r="Y81" s="1084"/>
      <c r="Z81" s="1084"/>
      <c r="AA81" s="99"/>
      <c r="AB81" s="1084"/>
      <c r="AC81" s="1084"/>
      <c r="AD81" s="1084"/>
      <c r="AE81" s="1084"/>
      <c r="AF81" s="99"/>
      <c r="AG81" s="1084"/>
      <c r="AH81" s="1084"/>
      <c r="AI81" s="1084"/>
      <c r="AJ81" s="1084"/>
      <c r="AK81" s="99"/>
      <c r="AL81" s="1084"/>
      <c r="AM81" s="1084"/>
      <c r="AN81" s="1084"/>
      <c r="AO81" s="1084"/>
      <c r="AP81" s="99"/>
      <c r="AQ81" s="1084"/>
      <c r="AR81" s="1084"/>
      <c r="AS81" s="1084"/>
      <c r="AT81" s="1084"/>
      <c r="AU81" s="99"/>
      <c r="AV81" s="1084"/>
      <c r="AW81" s="1084"/>
      <c r="AX81" s="1084"/>
      <c r="AY81" s="1084"/>
      <c r="AZ81" s="99"/>
      <c r="BA81" s="1084"/>
      <c r="BB81" s="1084"/>
      <c r="BC81" s="1084"/>
      <c r="BD81" s="1084"/>
      <c r="BE81" s="99"/>
      <c r="BF81" s="1084"/>
      <c r="BG81" s="1084"/>
      <c r="BH81" s="1084"/>
      <c r="BI81" s="1084"/>
      <c r="BJ81" s="99"/>
      <c r="BK81" s="1084"/>
      <c r="BL81" s="1084"/>
      <c r="BM81" s="1084"/>
      <c r="BN81" s="1084"/>
      <c r="BO81" s="99"/>
      <c r="BP81" s="1084"/>
      <c r="BQ81" s="1084"/>
      <c r="BR81" s="1084"/>
      <c r="BS81" s="1084"/>
      <c r="BT81" s="99"/>
      <c r="BU81" s="1084"/>
      <c r="BV81" s="1084"/>
      <c r="BW81" s="1084"/>
      <c r="BX81" s="1084"/>
      <c r="BY81" s="99"/>
      <c r="BZ81" s="1084"/>
      <c r="CA81" s="1084"/>
      <c r="CB81" s="1084"/>
      <c r="CC81" s="1084"/>
      <c r="CD81" s="99"/>
      <c r="CE81" s="1084"/>
      <c r="CF81" s="1084"/>
      <c r="CG81" s="1084"/>
      <c r="CH81" s="1084"/>
      <c r="CI81" s="99"/>
      <c r="CJ81" s="1084"/>
      <c r="CK81" s="1084"/>
      <c r="CL81" s="1084"/>
      <c r="CM81" s="1084"/>
      <c r="CN81" s="99"/>
      <c r="CO81" s="1084"/>
      <c r="CP81" s="1084"/>
      <c r="CQ81" s="1084"/>
      <c r="CR81" s="1084"/>
      <c r="CS81" s="99"/>
      <c r="CT81" s="1084"/>
      <c r="CU81" s="1084"/>
      <c r="CV81" s="1084"/>
      <c r="CW81" s="1084"/>
      <c r="CX81" s="99"/>
      <c r="CY81" s="1084"/>
      <c r="CZ81" s="1084"/>
      <c r="DA81" s="1084"/>
      <c r="DB81" s="1084"/>
      <c r="DC81" s="99"/>
      <c r="DD81" s="1084"/>
      <c r="DE81" s="1084"/>
      <c r="DF81" s="1084"/>
      <c r="DG81" s="1084"/>
      <c r="DH81" s="99"/>
      <c r="DI81" s="1084"/>
      <c r="DJ81" s="1084"/>
      <c r="DK81" s="1084"/>
      <c r="DL81" s="1084"/>
      <c r="DM81" s="99"/>
      <c r="DN81" s="1084"/>
      <c r="DO81" s="1084"/>
      <c r="DP81" s="1084"/>
      <c r="DQ81" s="1084"/>
      <c r="DR81" s="99"/>
      <c r="DS81" s="1084"/>
      <c r="DT81" s="1084"/>
      <c r="DU81" s="1084"/>
      <c r="DV81" s="1084"/>
      <c r="DW81" s="99"/>
      <c r="DX81" s="1084"/>
      <c r="DY81" s="1084"/>
      <c r="DZ81" s="1084"/>
      <c r="EA81" s="1084"/>
      <c r="EB81" s="99"/>
      <c r="EC81" s="1084"/>
      <c r="ED81" s="1084"/>
      <c r="EE81" s="1084"/>
      <c r="EF81" s="1084"/>
      <c r="EG81" s="99"/>
      <c r="EH81" s="1084"/>
      <c r="EI81" s="1084"/>
      <c r="EJ81" s="1084"/>
      <c r="EK81" s="1084"/>
      <c r="EL81" s="99"/>
      <c r="EM81" s="1084"/>
      <c r="EN81" s="1084"/>
      <c r="EO81" s="1084"/>
      <c r="EP81" s="1084"/>
      <c r="EQ81" s="99"/>
      <c r="ER81" s="1084"/>
      <c r="ES81" s="1084"/>
      <c r="ET81" s="1084"/>
      <c r="EU81" s="1423"/>
      <c r="EV81" s="99"/>
      <c r="EW81" s="1084"/>
      <c r="EX81" s="1084"/>
      <c r="EY81" s="1084"/>
      <c r="EZ81" s="1423"/>
      <c r="FA81" s="99"/>
      <c r="FB81" s="1084"/>
      <c r="FC81" s="1084"/>
      <c r="FD81" s="1084"/>
      <c r="FE81" s="1423"/>
      <c r="FF81" s="99"/>
      <c r="FG81" s="1084"/>
      <c r="FH81" s="1084"/>
      <c r="FI81" s="1084"/>
      <c r="FJ81" s="1084"/>
      <c r="FK81" s="99"/>
      <c r="FL81" s="1084"/>
      <c r="FM81" s="1084"/>
      <c r="FN81" s="1084"/>
      <c r="FO81" s="1084"/>
      <c r="FP81" s="99"/>
      <c r="FQ81" s="1084"/>
      <c r="FR81" s="1084"/>
      <c r="FS81" s="1084"/>
      <c r="FT81" s="1084"/>
      <c r="FU81" s="99"/>
      <c r="FV81" s="1084"/>
      <c r="FW81" s="1084"/>
      <c r="FX81" s="1084"/>
      <c r="FY81" s="1084"/>
      <c r="FZ81" s="99"/>
      <c r="GA81" s="1084"/>
      <c r="GB81" s="1084"/>
      <c r="GC81" s="1084"/>
      <c r="GD81" s="1084"/>
      <c r="GE81" s="1085"/>
    </row>
    <row r="82" spans="1:187" s="1066" customFormat="1" ht="12.75" customHeight="1">
      <c r="A82" s="370" t="s">
        <v>1893</v>
      </c>
      <c r="B82" s="1110" t="s">
        <v>377</v>
      </c>
      <c r="C82" s="448"/>
      <c r="D82" s="493"/>
      <c r="E82" s="493"/>
      <c r="F82" s="493"/>
      <c r="G82" s="1116"/>
      <c r="H82" s="448"/>
      <c r="I82" s="493"/>
      <c r="J82" s="493"/>
      <c r="K82" s="493"/>
      <c r="L82" s="494"/>
      <c r="M82" s="448"/>
      <c r="N82" s="493"/>
      <c r="O82" s="493"/>
      <c r="P82" s="493"/>
      <c r="Q82" s="494"/>
      <c r="R82" s="448"/>
      <c r="S82" s="493"/>
      <c r="T82" s="493"/>
      <c r="U82" s="493"/>
      <c r="V82" s="494"/>
      <c r="W82" s="448"/>
      <c r="X82" s="493"/>
      <c r="Y82" s="493"/>
      <c r="Z82" s="493"/>
      <c r="AA82" s="494"/>
      <c r="AB82" s="448"/>
      <c r="AC82" s="493"/>
      <c r="AD82" s="493"/>
      <c r="AE82" s="493"/>
      <c r="AF82" s="494"/>
      <c r="AG82" s="448"/>
      <c r="AH82" s="493"/>
      <c r="AI82" s="493"/>
      <c r="AJ82" s="493"/>
      <c r="AK82" s="494"/>
      <c r="AL82" s="448"/>
      <c r="AM82" s="493"/>
      <c r="AN82" s="493"/>
      <c r="AO82" s="493"/>
      <c r="AP82" s="494"/>
      <c r="AQ82" s="448"/>
      <c r="AR82" s="493"/>
      <c r="AS82" s="493"/>
      <c r="AT82" s="493"/>
      <c r="AU82" s="494"/>
      <c r="AV82" s="448"/>
      <c r="AW82" s="493"/>
      <c r="AX82" s="493"/>
      <c r="AY82" s="493"/>
      <c r="AZ82" s="494"/>
      <c r="BA82" s="448"/>
      <c r="BB82" s="493"/>
      <c r="BC82" s="493"/>
      <c r="BD82" s="493"/>
      <c r="BE82" s="494"/>
      <c r="BF82" s="448"/>
      <c r="BG82" s="493"/>
      <c r="BH82" s="493"/>
      <c r="BI82" s="493"/>
      <c r="BJ82" s="494"/>
      <c r="BK82" s="448"/>
      <c r="BL82" s="493"/>
      <c r="BM82" s="493"/>
      <c r="BN82" s="493"/>
      <c r="BO82" s="494"/>
      <c r="BP82" s="448"/>
      <c r="BQ82" s="493"/>
      <c r="BR82" s="493"/>
      <c r="BS82" s="493"/>
      <c r="BT82" s="494"/>
      <c r="BU82" s="448"/>
      <c r="BV82" s="493"/>
      <c r="BW82" s="493"/>
      <c r="BX82" s="493"/>
      <c r="BY82" s="494"/>
      <c r="BZ82" s="448"/>
      <c r="CA82" s="493"/>
      <c r="CB82" s="493"/>
      <c r="CC82" s="493"/>
      <c r="CD82" s="494"/>
      <c r="CE82" s="448"/>
      <c r="CF82" s="493"/>
      <c r="CG82" s="493"/>
      <c r="CH82" s="493"/>
      <c r="CI82" s="494"/>
      <c r="CJ82" s="448"/>
      <c r="CK82" s="493"/>
      <c r="CL82" s="493"/>
      <c r="CM82" s="493"/>
      <c r="CN82" s="494"/>
      <c r="CO82" s="448"/>
      <c r="CP82" s="493"/>
      <c r="CQ82" s="493"/>
      <c r="CR82" s="493"/>
      <c r="CS82" s="494"/>
      <c r="CT82" s="448"/>
      <c r="CU82" s="493"/>
      <c r="CV82" s="493"/>
      <c r="CW82" s="493"/>
      <c r="CX82" s="494"/>
      <c r="CY82" s="448"/>
      <c r="CZ82" s="493"/>
      <c r="DA82" s="493"/>
      <c r="DB82" s="493"/>
      <c r="DC82" s="494"/>
      <c r="DD82" s="448"/>
      <c r="DE82" s="493"/>
      <c r="DF82" s="493"/>
      <c r="DG82" s="493"/>
      <c r="DH82" s="494"/>
      <c r="DI82" s="448"/>
      <c r="DJ82" s="493"/>
      <c r="DK82" s="493"/>
      <c r="DL82" s="493"/>
      <c r="DM82" s="494"/>
      <c r="DN82" s="448"/>
      <c r="DO82" s="493"/>
      <c r="DP82" s="493"/>
      <c r="DQ82" s="493"/>
      <c r="DR82" s="494"/>
      <c r="DS82" s="448"/>
      <c r="DT82" s="493"/>
      <c r="DU82" s="493"/>
      <c r="DV82" s="493"/>
      <c r="DW82" s="494"/>
      <c r="DX82" s="448">
        <v>10100</v>
      </c>
      <c r="DY82" s="493">
        <v>10800</v>
      </c>
      <c r="DZ82" s="493">
        <v>11200</v>
      </c>
      <c r="EA82" s="493">
        <v>11800</v>
      </c>
      <c r="EB82" s="494"/>
      <c r="EC82" s="448">
        <v>10700</v>
      </c>
      <c r="ED82" s="493">
        <v>11400</v>
      </c>
      <c r="EE82" s="493">
        <v>11900</v>
      </c>
      <c r="EF82" s="493">
        <v>13100</v>
      </c>
      <c r="EG82" s="494"/>
      <c r="EH82" s="448">
        <v>11600</v>
      </c>
      <c r="EI82" s="493">
        <v>12700</v>
      </c>
      <c r="EJ82" s="493">
        <v>13400</v>
      </c>
      <c r="EK82" s="493">
        <v>14800</v>
      </c>
      <c r="EL82" s="494"/>
      <c r="EM82" s="448">
        <v>13300</v>
      </c>
      <c r="EN82" s="493">
        <v>14300</v>
      </c>
      <c r="EO82" s="493">
        <v>14700</v>
      </c>
      <c r="EP82" s="493">
        <v>15100</v>
      </c>
      <c r="EQ82" s="494"/>
      <c r="ER82" s="448">
        <v>13500</v>
      </c>
      <c r="ES82" s="493">
        <v>15500</v>
      </c>
      <c r="ET82" s="493">
        <v>15800</v>
      </c>
      <c r="EU82" s="1422">
        <v>17150</v>
      </c>
      <c r="EV82" s="462"/>
      <c r="EW82" s="496">
        <v>15200</v>
      </c>
      <c r="EX82" s="493">
        <v>16400</v>
      </c>
      <c r="EY82" s="493">
        <v>16400</v>
      </c>
      <c r="EZ82" s="1422">
        <v>18000</v>
      </c>
      <c r="FA82" s="462"/>
      <c r="FB82" s="496"/>
      <c r="FC82" s="493"/>
      <c r="FD82" s="493"/>
      <c r="FE82" s="1422"/>
      <c r="FF82" s="462"/>
      <c r="FG82" s="447"/>
      <c r="FH82" s="458"/>
      <c r="FI82" s="458"/>
      <c r="FJ82" s="458"/>
      <c r="FK82" s="462"/>
      <c r="FL82" s="447"/>
      <c r="FM82" s="458"/>
      <c r="FN82" s="458"/>
      <c r="FO82" s="458"/>
      <c r="FP82" s="462"/>
      <c r="FQ82" s="447"/>
      <c r="FR82" s="458"/>
      <c r="FS82" s="458"/>
      <c r="FT82" s="458"/>
      <c r="FU82" s="462"/>
      <c r="FV82" s="447"/>
      <c r="FW82" s="458"/>
      <c r="FX82" s="458"/>
      <c r="FY82" s="458"/>
      <c r="FZ82" s="462"/>
      <c r="GA82" s="447"/>
      <c r="GB82" s="458"/>
      <c r="GC82" s="458"/>
      <c r="GD82" s="458"/>
      <c r="GE82" s="497"/>
    </row>
    <row r="83" spans="1:187" s="1066" customFormat="1" ht="12.75" customHeight="1">
      <c r="A83" s="370" t="s">
        <v>1894</v>
      </c>
      <c r="B83" s="1110" t="s">
        <v>378</v>
      </c>
      <c r="C83" s="448"/>
      <c r="D83" s="1114"/>
      <c r="E83" s="1114"/>
      <c r="F83" s="1114"/>
      <c r="G83" s="1115"/>
      <c r="H83" s="448"/>
      <c r="I83" s="493"/>
      <c r="J83" s="493"/>
      <c r="K83" s="493"/>
      <c r="L83" s="812"/>
      <c r="M83" s="448"/>
      <c r="N83" s="493"/>
      <c r="O83" s="493"/>
      <c r="P83" s="493"/>
      <c r="Q83" s="812"/>
      <c r="R83" s="448"/>
      <c r="S83" s="493"/>
      <c r="T83" s="493"/>
      <c r="U83" s="493"/>
      <c r="V83" s="812"/>
      <c r="W83" s="448"/>
      <c r="X83" s="493"/>
      <c r="Y83" s="493"/>
      <c r="Z83" s="493"/>
      <c r="AA83" s="812"/>
      <c r="AB83" s="448"/>
      <c r="AC83" s="493"/>
      <c r="AD83" s="493"/>
      <c r="AE83" s="493"/>
      <c r="AF83" s="812"/>
      <c r="AG83" s="448"/>
      <c r="AH83" s="493"/>
      <c r="AI83" s="493"/>
      <c r="AJ83" s="493"/>
      <c r="AK83" s="812"/>
      <c r="AL83" s="448"/>
      <c r="AM83" s="493"/>
      <c r="AN83" s="493"/>
      <c r="AO83" s="493"/>
      <c r="AP83" s="812"/>
      <c r="AQ83" s="448"/>
      <c r="AR83" s="493"/>
      <c r="AS83" s="493"/>
      <c r="AT83" s="493"/>
      <c r="AU83" s="812"/>
      <c r="AV83" s="448"/>
      <c r="AW83" s="493"/>
      <c r="AX83" s="493"/>
      <c r="AY83" s="493"/>
      <c r="AZ83" s="812"/>
      <c r="BA83" s="448"/>
      <c r="BB83" s="493"/>
      <c r="BC83" s="493"/>
      <c r="BD83" s="493"/>
      <c r="BE83" s="812"/>
      <c r="BF83" s="448"/>
      <c r="BG83" s="493"/>
      <c r="BH83" s="493"/>
      <c r="BI83" s="493"/>
      <c r="BJ83" s="812"/>
      <c r="BK83" s="448"/>
      <c r="BL83" s="493"/>
      <c r="BM83" s="493"/>
      <c r="BN83" s="493"/>
      <c r="BO83" s="812"/>
      <c r="BP83" s="448"/>
      <c r="BQ83" s="493"/>
      <c r="BR83" s="493"/>
      <c r="BS83" s="493"/>
      <c r="BT83" s="812"/>
      <c r="BU83" s="448"/>
      <c r="BV83" s="493"/>
      <c r="BW83" s="493"/>
      <c r="BX83" s="493"/>
      <c r="BY83" s="812"/>
      <c r="BZ83" s="448"/>
      <c r="CA83" s="493"/>
      <c r="CB83" s="493"/>
      <c r="CC83" s="493"/>
      <c r="CD83" s="812"/>
      <c r="CE83" s="448"/>
      <c r="CF83" s="493"/>
      <c r="CG83" s="493"/>
      <c r="CH83" s="493"/>
      <c r="CI83" s="812"/>
      <c r="CJ83" s="448"/>
      <c r="CK83" s="493"/>
      <c r="CL83" s="493"/>
      <c r="CM83" s="493"/>
      <c r="CN83" s="812"/>
      <c r="CO83" s="448"/>
      <c r="CP83" s="493"/>
      <c r="CQ83" s="493"/>
      <c r="CR83" s="493"/>
      <c r="CS83" s="812"/>
      <c r="CT83" s="448"/>
      <c r="CU83" s="493"/>
      <c r="CV83" s="493"/>
      <c r="CW83" s="493"/>
      <c r="CX83" s="812"/>
      <c r="CY83" s="448"/>
      <c r="CZ83" s="493"/>
      <c r="DA83" s="493"/>
      <c r="DB83" s="493"/>
      <c r="DC83" s="812"/>
      <c r="DD83" s="448"/>
      <c r="DE83" s="493"/>
      <c r="DF83" s="493"/>
      <c r="DG83" s="493"/>
      <c r="DH83" s="812"/>
      <c r="DI83" s="448"/>
      <c r="DJ83" s="493"/>
      <c r="DK83" s="493"/>
      <c r="DL83" s="493"/>
      <c r="DM83" s="812"/>
      <c r="DN83" s="448"/>
      <c r="DO83" s="493"/>
      <c r="DP83" s="493"/>
      <c r="DQ83" s="493"/>
      <c r="DR83" s="812"/>
      <c r="DS83" s="448"/>
      <c r="DT83" s="493"/>
      <c r="DU83" s="493"/>
      <c r="DV83" s="493"/>
      <c r="DW83" s="812"/>
      <c r="DX83" s="448">
        <v>10200</v>
      </c>
      <c r="DY83" s="493">
        <v>10900</v>
      </c>
      <c r="DZ83" s="493">
        <v>11300</v>
      </c>
      <c r="EA83" s="493">
        <v>11900</v>
      </c>
      <c r="EB83" s="812"/>
      <c r="EC83" s="448">
        <v>10800</v>
      </c>
      <c r="ED83" s="493">
        <v>11500</v>
      </c>
      <c r="EE83" s="493">
        <v>12000</v>
      </c>
      <c r="EF83" s="493">
        <v>13200</v>
      </c>
      <c r="EG83" s="812"/>
      <c r="EH83" s="448">
        <v>11700</v>
      </c>
      <c r="EI83" s="493">
        <v>12800</v>
      </c>
      <c r="EJ83" s="493">
        <v>13500</v>
      </c>
      <c r="EK83" s="493">
        <v>14900</v>
      </c>
      <c r="EL83" s="812"/>
      <c r="EM83" s="448">
        <v>13400</v>
      </c>
      <c r="EN83" s="493">
        <v>14400</v>
      </c>
      <c r="EO83" s="493">
        <v>14800</v>
      </c>
      <c r="EP83" s="493">
        <v>15200</v>
      </c>
      <c r="EQ83" s="812"/>
      <c r="ER83" s="448">
        <v>13600</v>
      </c>
      <c r="ES83" s="493">
        <v>15600</v>
      </c>
      <c r="ET83" s="493">
        <v>15900</v>
      </c>
      <c r="EU83" s="1422">
        <v>17250</v>
      </c>
      <c r="EV83" s="459"/>
      <c r="EW83" s="496">
        <v>15300</v>
      </c>
      <c r="EX83" s="493">
        <v>16500</v>
      </c>
      <c r="EY83" s="493">
        <v>16500</v>
      </c>
      <c r="EZ83" s="1422">
        <v>18100</v>
      </c>
      <c r="FA83" s="459"/>
      <c r="FB83" s="496"/>
      <c r="FC83" s="493"/>
      <c r="FD83" s="493"/>
      <c r="FE83" s="1422"/>
      <c r="FF83" s="459"/>
      <c r="FG83" s="447"/>
      <c r="FH83" s="458"/>
      <c r="FI83" s="458"/>
      <c r="FJ83" s="458"/>
      <c r="FK83" s="459"/>
      <c r="FL83" s="447"/>
      <c r="FM83" s="458"/>
      <c r="FN83" s="458"/>
      <c r="FO83" s="458"/>
      <c r="FP83" s="459"/>
      <c r="FQ83" s="447"/>
      <c r="FR83" s="458"/>
      <c r="FS83" s="458"/>
      <c r="FT83" s="458"/>
      <c r="FU83" s="459"/>
      <c r="FV83" s="447"/>
      <c r="FW83" s="458"/>
      <c r="FX83" s="458"/>
      <c r="FY83" s="458"/>
      <c r="FZ83" s="459"/>
      <c r="GA83" s="447"/>
      <c r="GB83" s="458"/>
      <c r="GC83" s="458"/>
      <c r="GD83" s="458"/>
      <c r="GE83" s="460"/>
    </row>
    <row r="84" spans="1:187" s="1066" customFormat="1" ht="12.75" customHeight="1">
      <c r="A84" s="370" t="s">
        <v>468</v>
      </c>
      <c r="B84" s="1110" t="s">
        <v>401</v>
      </c>
      <c r="C84" s="447"/>
      <c r="D84" s="1111"/>
      <c r="E84" s="1111"/>
      <c r="F84" s="1111"/>
      <c r="G84" s="614"/>
      <c r="H84" s="447"/>
      <c r="I84" s="458"/>
      <c r="J84" s="458"/>
      <c r="K84" s="458"/>
      <c r="L84" s="459"/>
      <c r="M84" s="447"/>
      <c r="N84" s="458"/>
      <c r="O84" s="458"/>
      <c r="P84" s="458"/>
      <c r="Q84" s="459"/>
      <c r="R84" s="447"/>
      <c r="S84" s="458"/>
      <c r="T84" s="458"/>
      <c r="U84" s="458"/>
      <c r="V84" s="459"/>
      <c r="W84" s="447"/>
      <c r="X84" s="458"/>
      <c r="Y84" s="458"/>
      <c r="Z84" s="458"/>
      <c r="AA84" s="459"/>
      <c r="AB84" s="447"/>
      <c r="AC84" s="458"/>
      <c r="AD84" s="458"/>
      <c r="AE84" s="458"/>
      <c r="AF84" s="459"/>
      <c r="AG84" s="447"/>
      <c r="AH84" s="458"/>
      <c r="AI84" s="458"/>
      <c r="AJ84" s="458"/>
      <c r="AK84" s="459"/>
      <c r="AL84" s="447"/>
      <c r="AM84" s="458"/>
      <c r="AN84" s="458"/>
      <c r="AO84" s="458"/>
      <c r="AP84" s="459"/>
      <c r="AQ84" s="447"/>
      <c r="AR84" s="458"/>
      <c r="AS84" s="458"/>
      <c r="AT84" s="458"/>
      <c r="AU84" s="459"/>
      <c r="AV84" s="447"/>
      <c r="AW84" s="458"/>
      <c r="AX84" s="458"/>
      <c r="AY84" s="458"/>
      <c r="AZ84" s="459"/>
      <c r="BA84" s="447"/>
      <c r="BB84" s="458"/>
      <c r="BC84" s="458"/>
      <c r="BD84" s="458"/>
      <c r="BE84" s="459"/>
      <c r="BF84" s="447"/>
      <c r="BG84" s="458"/>
      <c r="BH84" s="458"/>
      <c r="BI84" s="458"/>
      <c r="BJ84" s="459"/>
      <c r="BK84" s="447"/>
      <c r="BL84" s="458"/>
      <c r="BM84" s="458"/>
      <c r="BN84" s="458"/>
      <c r="BO84" s="459"/>
      <c r="BP84" s="447"/>
      <c r="BQ84" s="458"/>
      <c r="BR84" s="458"/>
      <c r="BS84" s="458"/>
      <c r="BT84" s="459"/>
      <c r="BU84" s="447"/>
      <c r="BV84" s="458"/>
      <c r="BW84" s="458"/>
      <c r="BX84" s="458"/>
      <c r="BY84" s="459"/>
      <c r="BZ84" s="447"/>
      <c r="CA84" s="458"/>
      <c r="CB84" s="458"/>
      <c r="CC84" s="458"/>
      <c r="CD84" s="459"/>
      <c r="CE84" s="447"/>
      <c r="CF84" s="458"/>
      <c r="CG84" s="458"/>
      <c r="CH84" s="458"/>
      <c r="CI84" s="459"/>
      <c r="CJ84" s="447"/>
      <c r="CK84" s="458"/>
      <c r="CL84" s="458"/>
      <c r="CM84" s="458"/>
      <c r="CN84" s="459"/>
      <c r="CO84" s="447"/>
      <c r="CP84" s="458"/>
      <c r="CQ84" s="458"/>
      <c r="CR84" s="458"/>
      <c r="CS84" s="459"/>
      <c r="CT84" s="447"/>
      <c r="CU84" s="458"/>
      <c r="CV84" s="458"/>
      <c r="CW84" s="458"/>
      <c r="CX84" s="459"/>
      <c r="CY84" s="447"/>
      <c r="CZ84" s="458"/>
      <c r="DA84" s="458"/>
      <c r="DB84" s="458"/>
      <c r="DC84" s="459"/>
      <c r="DD84" s="447"/>
      <c r="DE84" s="458"/>
      <c r="DF84" s="458"/>
      <c r="DG84" s="458"/>
      <c r="DH84" s="459"/>
      <c r="DI84" s="447"/>
      <c r="DJ84" s="458"/>
      <c r="DK84" s="458"/>
      <c r="DL84" s="458"/>
      <c r="DM84" s="459"/>
      <c r="DN84" s="447"/>
      <c r="DO84" s="458"/>
      <c r="DP84" s="458"/>
      <c r="DQ84" s="458"/>
      <c r="DR84" s="459"/>
      <c r="DS84" s="447"/>
      <c r="DT84" s="458"/>
      <c r="DU84" s="458"/>
      <c r="DV84" s="458"/>
      <c r="DW84" s="459"/>
      <c r="DX84" s="458">
        <f>IFERROR(AVERAGE(DX82:DX83),"--")</f>
      </c>
      <c r="DY84" s="458">
        <f>IFERROR(AVERAGE(DY82:DY83),"--")</f>
      </c>
      <c r="DZ84" s="458">
        <f>IFERROR(AVERAGE(DZ82:DZ83),"--")</f>
      </c>
      <c r="EA84" s="458">
        <f>IFERROR(AVERAGE(EA82:EA83),"--")</f>
      </c>
      <c r="EB84" s="459"/>
      <c r="EC84" s="458">
        <f>IFERROR(AVERAGE(EC82:EC83),"--")</f>
      </c>
      <c r="ED84" s="458">
        <f>IFERROR(AVERAGE(ED82:ED83),"--")</f>
      </c>
      <c r="EE84" s="458">
        <f>IFERROR(AVERAGE(EE82:EE83),"--")</f>
      </c>
      <c r="EF84" s="458">
        <f>IFERROR(AVERAGE(EF82:EF83),"--")</f>
      </c>
      <c r="EG84" s="459"/>
      <c r="EH84" s="458">
        <f>IFERROR(AVERAGE(EH82:EH83),"--")</f>
      </c>
      <c r="EI84" s="458">
        <f>IFERROR(AVERAGE(EI82:EI83),"--")</f>
      </c>
      <c r="EJ84" s="458">
        <f>IFERROR(AVERAGE(EJ82:EJ83),"--")</f>
      </c>
      <c r="EK84" s="458">
        <f>IFERROR(AVERAGE(EK82:EK83),"--")</f>
      </c>
      <c r="EL84" s="459"/>
      <c r="EM84" s="458">
        <f>IFERROR(AVERAGE(EM82:EM83),"--")</f>
      </c>
      <c r="EN84" s="458">
        <f>IFERROR(AVERAGE(EN82:EN83),"--")</f>
      </c>
      <c r="EO84" s="458">
        <f>IFERROR(AVERAGE(EO82:EO83),"--")</f>
      </c>
      <c r="EP84" s="458">
        <f>IFERROR(AVERAGE(EP82:EP83),"--")</f>
      </c>
      <c r="EQ84" s="459"/>
      <c r="ER84" s="458">
        <f>IFERROR(AVERAGE(ER82:ER83),"--")</f>
      </c>
      <c r="ES84" s="458">
        <f>IFERROR(AVERAGE(ES82:ES83),"--")</f>
      </c>
      <c r="ET84" s="458">
        <f>IFERROR(AVERAGE(ET82:ET83),"--")</f>
      </c>
      <c r="EU84" s="458">
        <f>IFERROR(AVERAGE(EU82:EU83),"--")</f>
      </c>
      <c r="EV84" s="459"/>
      <c r="EW84" s="458">
        <f>IFERROR(AVERAGE(EW82:EW83),"--")</f>
      </c>
      <c r="EX84" s="458">
        <f>IFERROR(AVERAGE(EX82:EX83),"--")</f>
      </c>
      <c r="EY84" s="458">
        <f>IFERROR(AVERAGE(EY82:EY83),"--")</f>
      </c>
      <c r="EZ84" s="458">
        <f>IFERROR(AVERAGE(EZ82:EZ83),"--")</f>
      </c>
      <c r="FA84" s="459"/>
      <c r="FB84" s="458" t="str">
        <f>IFERROR(AVERAGE(FB82:FB83),"--")</f>
      </c>
      <c r="FC84" s="458"/>
      <c r="FD84" s="458"/>
      <c r="FE84" s="458"/>
      <c r="FF84" s="459"/>
      <c r="FG84" s="447"/>
      <c r="FH84" s="458"/>
      <c r="FI84" s="458"/>
      <c r="FJ84" s="458"/>
      <c r="FK84" s="459"/>
      <c r="FL84" s="447"/>
      <c r="FM84" s="458"/>
      <c r="FN84" s="458"/>
      <c r="FO84" s="458"/>
      <c r="FP84" s="459"/>
      <c r="FQ84" s="447"/>
      <c r="FR84" s="458"/>
      <c r="FS84" s="458"/>
      <c r="FT84" s="458"/>
      <c r="FU84" s="459"/>
      <c r="FV84" s="447"/>
      <c r="FW84" s="458"/>
      <c r="FX84" s="458"/>
      <c r="FY84" s="458"/>
      <c r="FZ84" s="459"/>
      <c r="GA84" s="447"/>
      <c r="GB84" s="458"/>
      <c r="GC84" s="458"/>
      <c r="GD84" s="458"/>
      <c r="GE84" s="460"/>
    </row>
    <row r="85" spans="1:187" s="537" customFormat="1" ht="12.75" customHeight="1">
      <c r="A85" s="850"/>
      <c r="B85" s="1078"/>
      <c r="C85" s="291"/>
      <c r="D85" s="137"/>
      <c r="E85" s="137"/>
      <c r="F85" s="137"/>
      <c r="G85" s="538"/>
      <c r="H85" s="291"/>
      <c r="I85" s="107"/>
      <c r="J85" s="107"/>
      <c r="K85" s="107"/>
      <c r="L85" s="293"/>
      <c r="M85" s="291"/>
      <c r="N85" s="107"/>
      <c r="O85" s="107"/>
      <c r="P85" s="107"/>
      <c r="Q85" s="293"/>
      <c r="R85" s="291"/>
      <c r="S85" s="107"/>
      <c r="T85" s="107"/>
      <c r="U85" s="107"/>
      <c r="V85" s="293"/>
      <c r="W85" s="291"/>
      <c r="X85" s="107"/>
      <c r="Y85" s="107"/>
      <c r="Z85" s="107"/>
      <c r="AA85" s="293"/>
      <c r="AB85" s="291"/>
      <c r="AC85" s="107"/>
      <c r="AD85" s="107"/>
      <c r="AE85" s="107"/>
      <c r="AF85" s="293"/>
      <c r="AG85" s="291"/>
      <c r="AH85" s="107"/>
      <c r="AI85" s="107"/>
      <c r="AJ85" s="107"/>
      <c r="AK85" s="293"/>
      <c r="AL85" s="291"/>
      <c r="AM85" s="107"/>
      <c r="AN85" s="107"/>
      <c r="AO85" s="107"/>
      <c r="AP85" s="293"/>
      <c r="AQ85" s="291"/>
      <c r="AR85" s="107"/>
      <c r="AS85" s="107"/>
      <c r="AT85" s="107"/>
      <c r="AU85" s="293"/>
      <c r="AV85" s="291"/>
      <c r="AW85" s="107"/>
      <c r="AX85" s="107"/>
      <c r="AY85" s="107"/>
      <c r="AZ85" s="293"/>
      <c r="BA85" s="291"/>
      <c r="BB85" s="107"/>
      <c r="BC85" s="107"/>
      <c r="BD85" s="107"/>
      <c r="BE85" s="293"/>
      <c r="BF85" s="291"/>
      <c r="BG85" s="107"/>
      <c r="BH85" s="107"/>
      <c r="BI85" s="107"/>
      <c r="BJ85" s="293"/>
      <c r="BK85" s="291"/>
      <c r="BL85" s="107"/>
      <c r="BM85" s="107"/>
      <c r="BN85" s="107"/>
      <c r="BO85" s="293"/>
      <c r="BP85" s="291"/>
      <c r="BQ85" s="107"/>
      <c r="BR85" s="107"/>
      <c r="BS85" s="107"/>
      <c r="BT85" s="293"/>
      <c r="BU85" s="291"/>
      <c r="BV85" s="107"/>
      <c r="BW85" s="107"/>
      <c r="BX85" s="107"/>
      <c r="BY85" s="293"/>
      <c r="BZ85" s="291"/>
      <c r="CA85" s="107"/>
      <c r="CB85" s="107"/>
      <c r="CC85" s="107"/>
      <c r="CD85" s="293"/>
      <c r="CE85" s="291"/>
      <c r="CF85" s="107"/>
      <c r="CG85" s="107"/>
      <c r="CH85" s="107"/>
      <c r="CI85" s="293"/>
      <c r="CJ85" s="291"/>
      <c r="CK85" s="107"/>
      <c r="CL85" s="107"/>
      <c r="CM85" s="107"/>
      <c r="CN85" s="293"/>
      <c r="CO85" s="291"/>
      <c r="CP85" s="107"/>
      <c r="CQ85" s="107"/>
      <c r="CR85" s="107"/>
      <c r="CS85" s="293"/>
      <c r="CT85" s="291"/>
      <c r="CU85" s="107"/>
      <c r="CV85" s="107"/>
      <c r="CW85" s="107"/>
      <c r="CX85" s="293"/>
      <c r="CY85" s="291"/>
      <c r="CZ85" s="107"/>
      <c r="DA85" s="107"/>
      <c r="DB85" s="107"/>
      <c r="DC85" s="293"/>
      <c r="DD85" s="291"/>
      <c r="DE85" s="107"/>
      <c r="DF85" s="107"/>
      <c r="DG85" s="107"/>
      <c r="DH85" s="293"/>
      <c r="DI85" s="291"/>
      <c r="DJ85" s="107"/>
      <c r="DK85" s="107"/>
      <c r="DL85" s="107"/>
      <c r="DM85" s="293"/>
      <c r="DN85" s="291"/>
      <c r="DO85" s="107"/>
      <c r="DP85" s="107"/>
      <c r="DQ85" s="107"/>
      <c r="DR85" s="293"/>
      <c r="DS85" s="291"/>
      <c r="DT85" s="107"/>
      <c r="DU85" s="107"/>
      <c r="DV85" s="107"/>
      <c r="DW85" s="293"/>
      <c r="DX85" s="291"/>
      <c r="DY85" s="107"/>
      <c r="DZ85" s="107"/>
      <c r="EA85" s="107"/>
      <c r="EB85" s="293"/>
      <c r="EC85" s="291"/>
      <c r="ED85" s="107"/>
      <c r="EE85" s="107"/>
      <c r="EF85" s="107"/>
      <c r="EG85" s="293"/>
      <c r="EH85" s="291"/>
      <c r="EI85" s="107"/>
      <c r="EJ85" s="107"/>
      <c r="EK85" s="107"/>
      <c r="EL85" s="293"/>
      <c r="EM85" s="291"/>
      <c r="EN85" s="107"/>
      <c r="EO85" s="107"/>
      <c r="EP85" s="107"/>
      <c r="EQ85" s="293"/>
      <c r="ER85" s="291"/>
      <c r="ES85" s="107"/>
      <c r="ET85" s="107"/>
      <c r="EU85" s="107"/>
      <c r="EV85" s="293"/>
      <c r="EW85" s="291"/>
      <c r="EX85" s="291"/>
      <c r="EY85" s="107"/>
      <c r="EZ85" s="291"/>
      <c r="FA85" s="293"/>
      <c r="FB85" s="291"/>
      <c r="FC85" s="291"/>
      <c r="FD85" s="107"/>
      <c r="FE85" s="107"/>
      <c r="FF85" s="293"/>
      <c r="FG85" s="291"/>
      <c r="FH85" s="107"/>
      <c r="FI85" s="107"/>
      <c r="FJ85" s="107"/>
      <c r="FK85" s="293"/>
      <c r="FL85" s="291"/>
      <c r="FM85" s="107"/>
      <c r="FN85" s="107"/>
      <c r="FO85" s="107"/>
      <c r="FP85" s="293"/>
      <c r="FQ85" s="291"/>
      <c r="FR85" s="107"/>
      <c r="FS85" s="107"/>
      <c r="FT85" s="107"/>
      <c r="FU85" s="293"/>
      <c r="FV85" s="291"/>
      <c r="FW85" s="107"/>
      <c r="FX85" s="107"/>
      <c r="FY85" s="107"/>
      <c r="FZ85" s="293"/>
      <c r="GA85" s="291"/>
      <c r="GB85" s="107"/>
      <c r="GC85" s="107"/>
      <c r="GD85" s="107"/>
      <c r="GE85" s="382"/>
    </row>
    <row r="86" spans="1:187" s="537" customFormat="1" ht="12.75" customHeight="1">
      <c r="A86" s="850" t="s">
        <v>365</v>
      </c>
      <c r="B86" s="1080" t="s">
        <v>317</v>
      </c>
      <c r="C86" s="825">
        <f>IS!C112</f>
      </c>
      <c r="D86" s="1068">
        <f>IS!D112</f>
      </c>
      <c r="E86" s="1068">
        <f>IS!E112</f>
      </c>
      <c r="F86" s="1068">
        <f>IS!F112</f>
      </c>
      <c r="G86" s="1069">
        <f>IS!G112</f>
      </c>
      <c r="H86" s="825">
        <f>IS!H112</f>
      </c>
      <c r="I86" s="826">
        <f>IS!I112</f>
      </c>
      <c r="J86" s="826">
        <f>IS!J112</f>
      </c>
      <c r="K86" s="826">
        <f>IS!K112</f>
      </c>
      <c r="L86" s="1067">
        <f>IS!L112</f>
      </c>
      <c r="M86" s="825">
        <f>IS!M112</f>
      </c>
      <c r="N86" s="826">
        <f>IS!N112</f>
      </c>
      <c r="O86" s="826">
        <f>IS!O112</f>
      </c>
      <c r="P86" s="826">
        <f>IS!P112</f>
      </c>
      <c r="Q86" s="1067">
        <f>IS!Q112</f>
      </c>
      <c r="R86" s="825">
        <f>IS!R112</f>
      </c>
      <c r="S86" s="826">
        <f>IS!S112</f>
      </c>
      <c r="T86" s="826">
        <f>IS!T112</f>
      </c>
      <c r="U86" s="826">
        <f>IS!U112</f>
      </c>
      <c r="V86" s="1067">
        <f>IS!V112</f>
      </c>
      <c r="W86" s="825">
        <f>IS!W112</f>
      </c>
      <c r="X86" s="826">
        <f>IS!X112</f>
      </c>
      <c r="Y86" s="826">
        <f>IS!Y112</f>
      </c>
      <c r="Z86" s="826">
        <f>IS!Z112</f>
      </c>
      <c r="AA86" s="1067">
        <f>IS!AA112</f>
      </c>
      <c r="AB86" s="825">
        <f>IS!AB112</f>
      </c>
      <c r="AC86" s="826">
        <f>IS!AC112</f>
      </c>
      <c r="AD86" s="826">
        <f>IS!AD112</f>
      </c>
      <c r="AE86" s="826">
        <f>IS!AE112</f>
      </c>
      <c r="AF86" s="1067">
        <f>IS!AF112</f>
      </c>
      <c r="AG86" s="825">
        <f>IS!AG112</f>
      </c>
      <c r="AH86" s="826">
        <f>IS!AH112</f>
      </c>
      <c r="AI86" s="826">
        <f>IS!AI112</f>
      </c>
      <c r="AJ86" s="826">
        <f>IS!AJ112</f>
      </c>
      <c r="AK86" s="1067">
        <f>IS!AK112</f>
      </c>
      <c r="AL86" s="825">
        <f>IS!AL112</f>
      </c>
      <c r="AM86" s="826">
        <f>IS!AM112</f>
      </c>
      <c r="AN86" s="826">
        <f>IS!AN112</f>
      </c>
      <c r="AO86" s="826">
        <f>IS!AO112</f>
      </c>
      <c r="AP86" s="1067">
        <f>IS!AP112</f>
      </c>
      <c r="AQ86" s="825">
        <f>IS!AQ112</f>
      </c>
      <c r="AR86" s="826">
        <f>IS!AR112</f>
      </c>
      <c r="AS86" s="826">
        <f>IS!AS112</f>
      </c>
      <c r="AT86" s="826">
        <f>IS!AT112</f>
      </c>
      <c r="AU86" s="1067">
        <f>IS!AU112</f>
      </c>
      <c r="AV86" s="825">
        <f>IS!AV112</f>
      </c>
      <c r="AW86" s="826">
        <f>IS!AW112</f>
      </c>
      <c r="AX86" s="826">
        <f>IS!AX112</f>
      </c>
      <c r="AY86" s="826">
        <f>IS!AY112</f>
      </c>
      <c r="AZ86" s="1067">
        <f>IS!AZ112</f>
      </c>
      <c r="BA86" s="825">
        <f>IS!BA112</f>
      </c>
      <c r="BB86" s="826">
        <f>IS!BB112</f>
      </c>
      <c r="BC86" s="826">
        <f>IS!BC112</f>
      </c>
      <c r="BD86" s="826">
        <f>IS!BD112</f>
      </c>
      <c r="BE86" s="1067">
        <f>IS!BE112</f>
      </c>
      <c r="BF86" s="825">
        <f>IS!BF112</f>
      </c>
      <c r="BG86" s="826">
        <f>IS!BG112</f>
      </c>
      <c r="BH86" s="826">
        <f>IS!BH112</f>
      </c>
      <c r="BI86" s="826">
        <f>IS!BI112</f>
      </c>
      <c r="BJ86" s="1067">
        <f>IS!BJ112</f>
      </c>
      <c r="BK86" s="825">
        <f>IS!BK112</f>
      </c>
      <c r="BL86" s="826">
        <f>IS!BL112</f>
      </c>
      <c r="BM86" s="826">
        <f>IS!BM112</f>
      </c>
      <c r="BN86" s="826">
        <f>IS!BN112</f>
      </c>
      <c r="BO86" s="1067">
        <f>IS!BO112</f>
      </c>
      <c r="BP86" s="825">
        <f>IS!BP112</f>
      </c>
      <c r="BQ86" s="826">
        <f>IS!BQ112</f>
      </c>
      <c r="BR86" s="826">
        <f>IS!BR112</f>
      </c>
      <c r="BS86" s="826">
        <f>IS!BS112</f>
      </c>
      <c r="BT86" s="1067">
        <f>IS!BT112</f>
      </c>
      <c r="BU86" s="825">
        <f>IS!BU112</f>
      </c>
      <c r="BV86" s="826">
        <f>IS!BV112</f>
      </c>
      <c r="BW86" s="826">
        <f>IS!BW112</f>
      </c>
      <c r="BX86" s="826">
        <f>IS!BX112</f>
      </c>
      <c r="BY86" s="1067">
        <f>IS!BY112</f>
      </c>
      <c r="BZ86" s="825">
        <f>IS!BZ112</f>
      </c>
      <c r="CA86" s="826">
        <f>IS!CA112</f>
      </c>
      <c r="CB86" s="826">
        <f>IS!CB112</f>
      </c>
      <c r="CC86" s="826">
        <f>IS!CC112</f>
      </c>
      <c r="CD86" s="1067">
        <f>IS!CD112</f>
      </c>
      <c r="CE86" s="825">
        <f>IS!CE112</f>
      </c>
      <c r="CF86" s="826">
        <f>IS!CF112</f>
      </c>
      <c r="CG86" s="826">
        <f>IS!CG112</f>
      </c>
      <c r="CH86" s="826">
        <f>IS!CH112</f>
      </c>
      <c r="CI86" s="1067">
        <f>IS!CI112</f>
      </c>
      <c r="CJ86" s="825">
        <f>IS!CJ112</f>
      </c>
      <c r="CK86" s="826">
        <f>IS!CK112</f>
      </c>
      <c r="CL86" s="826">
        <f>IS!CL112</f>
      </c>
      <c r="CM86" s="826">
        <f>IS!CM112</f>
      </c>
      <c r="CN86" s="1067">
        <f>IS!CN112</f>
      </c>
      <c r="CO86" s="825">
        <f>IS!CO112</f>
      </c>
      <c r="CP86" s="826">
        <f>IS!CP112</f>
      </c>
      <c r="CQ86" s="826">
        <f>IS!CQ112</f>
      </c>
      <c r="CR86" s="826">
        <f>IS!CR112</f>
      </c>
      <c r="CS86" s="1067">
        <f>IS!CS112</f>
      </c>
      <c r="CT86" s="825">
        <f>IS!CT112</f>
      </c>
      <c r="CU86" s="826">
        <f>IS!CU112</f>
      </c>
      <c r="CV86" s="826">
        <f>IS!CV112</f>
      </c>
      <c r="CW86" s="826">
        <f>IS!CW112</f>
      </c>
      <c r="CX86" s="1067">
        <f>IS!CX112</f>
      </c>
      <c r="CY86" s="825">
        <f>IS!CY112</f>
      </c>
      <c r="CZ86" s="826">
        <f>IS!CZ112</f>
      </c>
      <c r="DA86" s="826">
        <f>IS!DA112</f>
      </c>
      <c r="DB86" s="826">
        <f>IS!DB112</f>
      </c>
      <c r="DC86" s="1067">
        <f>IS!DC112</f>
      </c>
      <c r="DD86" s="825">
        <f>IS!DD112</f>
      </c>
      <c r="DE86" s="826">
        <f>IS!DE112</f>
      </c>
      <c r="DF86" s="826">
        <f>IS!DF112</f>
      </c>
      <c r="DG86" s="826">
        <f>IS!DG112</f>
      </c>
      <c r="DH86" s="1067">
        <f>IS!DH112</f>
      </c>
      <c r="DI86" s="825">
        <f>IS!DI112</f>
      </c>
      <c r="DJ86" s="826">
        <f>IS!DJ112</f>
      </c>
      <c r="DK86" s="826">
        <f>IS!DK112</f>
      </c>
      <c r="DL86" s="826">
        <f>IS!DL112</f>
      </c>
      <c r="DM86" s="1067">
        <f>IS!DM112</f>
      </c>
      <c r="DN86" s="825">
        <f>IS!DN112</f>
      </c>
      <c r="DO86" s="826">
        <f>IS!DO112</f>
      </c>
      <c r="DP86" s="826">
        <f>IS!DP112</f>
      </c>
      <c r="DQ86" s="826">
        <f>IS!DQ112</f>
      </c>
      <c r="DR86" s="1067">
        <f>IS!DR112</f>
      </c>
      <c r="DS86" s="825">
        <f>IS!DS112</f>
      </c>
      <c r="DT86" s="826">
        <f>IS!DT112</f>
      </c>
      <c r="DU86" s="826">
        <f>IS!DU112</f>
      </c>
      <c r="DV86" s="826">
        <f>IS!DV112</f>
      </c>
      <c r="DW86" s="1067">
        <f>IS!DW112</f>
      </c>
      <c r="DX86" s="825">
        <f>IS!DX112</f>
      </c>
      <c r="DY86" s="826">
        <f>IS!DY112</f>
      </c>
      <c r="DZ86" s="826">
        <f>IS!DZ112</f>
      </c>
      <c r="EA86" s="826">
        <f>IS!EA112</f>
      </c>
      <c r="EB86" s="1067">
        <f>IS!EB112</f>
      </c>
      <c r="EC86" s="825">
        <f>IS!EC112</f>
      </c>
      <c r="ED86" s="826">
        <f>IS!ED112</f>
      </c>
      <c r="EE86" s="826">
        <f>IS!EE112</f>
      </c>
      <c r="EF86" s="826">
        <f>IS!EF112</f>
      </c>
      <c r="EG86" s="1067">
        <f>IS!EG112</f>
      </c>
      <c r="EH86" s="825">
        <f>IS!EH112</f>
      </c>
      <c r="EI86" s="826">
        <f>IS!EI112</f>
      </c>
      <c r="EJ86" s="826">
        <f>IS!EJ112</f>
      </c>
      <c r="EK86" s="826">
        <f>IS!EK112</f>
      </c>
      <c r="EL86" s="1067">
        <f>IS!EL112</f>
      </c>
      <c r="EM86" s="825">
        <f>IS!EM112</f>
      </c>
      <c r="EN86" s="826">
        <f>IS!EN112</f>
      </c>
      <c r="EO86" s="826">
        <f>IS!EO112</f>
      </c>
      <c r="EP86" s="826">
        <f>IS!EP112</f>
      </c>
      <c r="EQ86" s="1067">
        <f>IS!EQ112</f>
      </c>
      <c r="ER86" s="825">
        <f>IS!ER112</f>
      </c>
      <c r="ES86" s="826">
        <f>IS!ES112</f>
      </c>
      <c r="ET86" s="826">
        <f>IS!ET112</f>
      </c>
      <c r="EU86" s="826">
        <f>IS!EU112</f>
      </c>
      <c r="EV86" s="1067">
        <f>IS!EV112</f>
      </c>
      <c r="EW86" s="825">
        <f>IS!EW112</f>
      </c>
      <c r="EX86" s="825">
        <f>IS!EX112</f>
      </c>
      <c r="EY86" s="825">
        <f>IS!EY112</f>
      </c>
      <c r="EZ86" s="825">
        <f>IS!EZ112</f>
      </c>
      <c r="FA86" s="891"/>
      <c r="FB86" s="825"/>
      <c r="FC86" s="825"/>
      <c r="FD86" s="825"/>
      <c r="FE86" s="826"/>
      <c r="FF86" s="891"/>
      <c r="FG86" s="399"/>
      <c r="FH86" s="129"/>
      <c r="FI86" s="129"/>
      <c r="FJ86" s="129"/>
      <c r="FK86" s="891"/>
      <c r="FL86" s="399"/>
      <c r="FM86" s="129"/>
      <c r="FN86" s="129"/>
      <c r="FO86" s="129"/>
      <c r="FP86" s="891"/>
      <c r="FQ86" s="399"/>
      <c r="FR86" s="129"/>
      <c r="FS86" s="129"/>
      <c r="FT86" s="129"/>
      <c r="FU86" s="891"/>
      <c r="FV86" s="399"/>
      <c r="FW86" s="129"/>
      <c r="FX86" s="129"/>
      <c r="FY86" s="129"/>
      <c r="FZ86" s="891"/>
      <c r="GA86" s="399"/>
      <c r="GB86" s="129"/>
      <c r="GC86" s="129"/>
      <c r="GD86" s="129"/>
      <c r="GE86" s="1081"/>
    </row>
    <row r="87" spans="1:187" s="537" customFormat="1" ht="12.75" customHeight="1">
      <c r="A87" s="850"/>
      <c r="B87" s="1078" t="s">
        <v>402</v>
      </c>
      <c r="C87" s="291"/>
      <c r="D87" s="137"/>
      <c r="E87" s="137"/>
      <c r="F87" s="137"/>
      <c r="G87" s="538"/>
      <c r="H87" s="291"/>
      <c r="I87" s="107"/>
      <c r="J87" s="107"/>
      <c r="K87" s="107"/>
      <c r="L87" s="293"/>
      <c r="M87" s="291"/>
      <c r="N87" s="107"/>
      <c r="O87" s="107"/>
      <c r="P87" s="107"/>
      <c r="Q87" s="293"/>
      <c r="R87" s="291"/>
      <c r="S87" s="107"/>
      <c r="T87" s="107"/>
      <c r="U87" s="107"/>
      <c r="V87" s="293"/>
      <c r="W87" s="291"/>
      <c r="X87" s="107"/>
      <c r="Y87" s="107"/>
      <c r="Z87" s="107"/>
      <c r="AA87" s="293"/>
      <c r="AB87" s="291"/>
      <c r="AC87" s="107"/>
      <c r="AD87" s="107"/>
      <c r="AE87" s="107"/>
      <c r="AF87" s="293"/>
      <c r="AG87" s="291"/>
      <c r="AH87" s="107"/>
      <c r="AI87" s="107"/>
      <c r="AJ87" s="107"/>
      <c r="AK87" s="293"/>
      <c r="AL87" s="291"/>
      <c r="AM87" s="107"/>
      <c r="AN87" s="107"/>
      <c r="AO87" s="107"/>
      <c r="AP87" s="293"/>
      <c r="AQ87" s="291"/>
      <c r="AR87" s="107"/>
      <c r="AS87" s="107"/>
      <c r="AT87" s="107"/>
      <c r="AU87" s="293"/>
      <c r="AV87" s="291"/>
      <c r="AW87" s="107"/>
      <c r="AX87" s="107"/>
      <c r="AY87" s="107"/>
      <c r="AZ87" s="293"/>
      <c r="BA87" s="291"/>
      <c r="BB87" s="107"/>
      <c r="BC87" s="107"/>
      <c r="BD87" s="107"/>
      <c r="BE87" s="293"/>
      <c r="BF87" s="291"/>
      <c r="BG87" s="107"/>
      <c r="BH87" s="107"/>
      <c r="BI87" s="107"/>
      <c r="BJ87" s="293"/>
      <c r="BK87" s="291"/>
      <c r="BL87" s="107"/>
      <c r="BM87" s="107"/>
      <c r="BN87" s="107"/>
      <c r="BO87" s="293"/>
      <c r="BP87" s="291"/>
      <c r="BQ87" s="107"/>
      <c r="BR87" s="107"/>
      <c r="BS87" s="107"/>
      <c r="BT87" s="293"/>
      <c r="BU87" s="291"/>
      <c r="BV87" s="107"/>
      <c r="BW87" s="107"/>
      <c r="BX87" s="107"/>
      <c r="BY87" s="293"/>
      <c r="BZ87" s="291"/>
      <c r="CA87" s="107"/>
      <c r="CB87" s="107"/>
      <c r="CC87" s="107"/>
      <c r="CD87" s="293"/>
      <c r="CE87" s="291"/>
      <c r="CF87" s="107"/>
      <c r="CG87" s="107"/>
      <c r="CH87" s="107"/>
      <c r="CI87" s="293"/>
      <c r="CJ87" s="291"/>
      <c r="CK87" s="107"/>
      <c r="CL87" s="107"/>
      <c r="CM87" s="107"/>
      <c r="CN87" s="293"/>
      <c r="CO87" s="291"/>
      <c r="CP87" s="107"/>
      <c r="CQ87" s="107"/>
      <c r="CR87" s="107"/>
      <c r="CS87" s="293"/>
      <c r="CT87" s="291"/>
      <c r="CU87" s="107"/>
      <c r="CV87" s="107"/>
      <c r="CW87" s="107"/>
      <c r="CX87" s="293"/>
      <c r="CY87" s="291"/>
      <c r="CZ87" s="107"/>
      <c r="DA87" s="107"/>
      <c r="DB87" s="107"/>
      <c r="DC87" s="293"/>
      <c r="DD87" s="291"/>
      <c r="DE87" s="107"/>
      <c r="DF87" s="107"/>
      <c r="DG87" s="107"/>
      <c r="DH87" s="293"/>
      <c r="DI87" s="291"/>
      <c r="DJ87" s="107"/>
      <c r="DK87" s="107"/>
      <c r="DL87" s="107"/>
      <c r="DM87" s="293"/>
      <c r="DN87" s="291"/>
      <c r="DO87" s="107"/>
      <c r="DP87" s="107"/>
      <c r="DQ87" s="107"/>
      <c r="DR87" s="293"/>
      <c r="DS87" s="291"/>
      <c r="DT87" s="107"/>
      <c r="DU87" s="107"/>
      <c r="DV87" s="107"/>
      <c r="DW87" s="293"/>
      <c r="DX87" s="291">
        <f>IFERROR(DX86/DX84-1,"")</f>
      </c>
      <c r="DY87" s="291">
        <f>IFERROR(DY86/DY84-1,"")</f>
      </c>
      <c r="DZ87" s="291">
        <f>IFERROR(DZ86/DZ84-1,"")</f>
      </c>
      <c r="EA87" s="291">
        <f>IFERROR(EA86/EA84-1,"")</f>
      </c>
      <c r="EB87" s="293"/>
      <c r="EC87" s="291">
        <f>EC86/EC84-1</f>
      </c>
      <c r="ED87" s="291">
        <f>ED86/ED84-1</f>
      </c>
      <c r="EE87" s="291">
        <f>EE86/EE84-1</f>
      </c>
      <c r="EF87" s="291">
        <f>EF86/EF84-1</f>
      </c>
      <c r="EG87" s="293"/>
      <c r="EH87" s="291">
        <f>EH86/EH84-1</f>
      </c>
      <c r="EI87" s="291">
        <f>EI86/EI84-1</f>
      </c>
      <c r="EJ87" s="291">
        <f>EJ86/EJ84-1</f>
      </c>
      <c r="EK87" s="291">
        <f>EK86/EK84-1</f>
      </c>
      <c r="EL87" s="293"/>
      <c r="EM87" s="291">
        <f>EM86/EM84-1</f>
      </c>
      <c r="EN87" s="291">
        <f>EN86/EN84-1</f>
      </c>
      <c r="EO87" s="291">
        <f>EO86/EO84-1</f>
      </c>
      <c r="EP87" s="291">
        <f>EP86/EP84-1</f>
      </c>
      <c r="EQ87" s="293"/>
      <c r="ER87" s="291">
        <f>ER86/ER84-1</f>
      </c>
      <c r="ES87" s="291">
        <f>ES86/ES84-1</f>
      </c>
      <c r="ET87" s="291">
        <f>ET86/ET84-1</f>
      </c>
      <c r="EU87" s="291">
        <f>EU86/EU84-1</f>
      </c>
      <c r="EV87" s="293"/>
      <c r="EW87" s="291">
        <f>EW86/EW84-1</f>
      </c>
      <c r="EX87" s="291">
        <f>EX86/EX84-1</f>
      </c>
      <c r="EY87" s="291">
        <f>EY86/EY84-1</f>
      </c>
      <c r="EZ87" s="291">
        <f>EZ86/EZ84-1</f>
      </c>
      <c r="FA87" s="293"/>
      <c r="FB87" s="291"/>
      <c r="FC87" s="291"/>
      <c r="FD87" s="291"/>
      <c r="FE87" s="291"/>
      <c r="FF87" s="293"/>
      <c r="FG87" s="291"/>
      <c r="FH87" s="107"/>
      <c r="FI87" s="107"/>
      <c r="FJ87" s="107"/>
      <c r="FK87" s="293"/>
      <c r="FL87" s="291"/>
      <c r="FM87" s="107"/>
      <c r="FN87" s="107"/>
      <c r="FO87" s="107"/>
      <c r="FP87" s="293"/>
      <c r="FQ87" s="291"/>
      <c r="FR87" s="107"/>
      <c r="FS87" s="107"/>
      <c r="FT87" s="107"/>
      <c r="FU87" s="293"/>
      <c r="FV87" s="291"/>
      <c r="FW87" s="107"/>
      <c r="FX87" s="107"/>
      <c r="FY87" s="107"/>
      <c r="FZ87" s="293"/>
      <c r="GA87" s="291"/>
      <c r="GB87" s="107"/>
      <c r="GC87" s="107"/>
      <c r="GD87" s="107"/>
      <c r="GE87" s="382"/>
    </row>
    <row r="88" spans="1:187" s="537" customFormat="1" ht="12.75" customHeight="1">
      <c r="A88" s="850"/>
      <c r="B88" s="1078" t="s">
        <v>403</v>
      </c>
      <c r="C88" s="291"/>
      <c r="D88" s="137"/>
      <c r="E88" s="137"/>
      <c r="F88" s="137"/>
      <c r="G88" s="538"/>
      <c r="H88" s="291"/>
      <c r="I88" s="107"/>
      <c r="J88" s="107"/>
      <c r="K88" s="107"/>
      <c r="L88" s="293"/>
      <c r="M88" s="291"/>
      <c r="N88" s="107"/>
      <c r="O88" s="107"/>
      <c r="P88" s="107"/>
      <c r="Q88" s="293"/>
      <c r="R88" s="291"/>
      <c r="S88" s="107"/>
      <c r="T88" s="107"/>
      <c r="U88" s="107"/>
      <c r="V88" s="293"/>
      <c r="W88" s="291"/>
      <c r="X88" s="107"/>
      <c r="Y88" s="107"/>
      <c r="Z88" s="107"/>
      <c r="AA88" s="293"/>
      <c r="AB88" s="291"/>
      <c r="AC88" s="107"/>
      <c r="AD88" s="107"/>
      <c r="AE88" s="107"/>
      <c r="AF88" s="293"/>
      <c r="AG88" s="291"/>
      <c r="AH88" s="107"/>
      <c r="AI88" s="107"/>
      <c r="AJ88" s="107"/>
      <c r="AK88" s="293"/>
      <c r="AL88" s="291"/>
      <c r="AM88" s="107"/>
      <c r="AN88" s="107"/>
      <c r="AO88" s="107"/>
      <c r="AP88" s="293"/>
      <c r="AQ88" s="291"/>
      <c r="AR88" s="107"/>
      <c r="AS88" s="107"/>
      <c r="AT88" s="107"/>
      <c r="AU88" s="293"/>
      <c r="AV88" s="291"/>
      <c r="AW88" s="107"/>
      <c r="AX88" s="107"/>
      <c r="AY88" s="107"/>
      <c r="AZ88" s="293"/>
      <c r="BA88" s="291"/>
      <c r="BB88" s="107"/>
      <c r="BC88" s="107"/>
      <c r="BD88" s="107"/>
      <c r="BE88" s="293"/>
      <c r="BF88" s="291"/>
      <c r="BG88" s="107"/>
      <c r="BH88" s="107"/>
      <c r="BI88" s="107"/>
      <c r="BJ88" s="293"/>
      <c r="BK88" s="291"/>
      <c r="BL88" s="107"/>
      <c r="BM88" s="107"/>
      <c r="BN88" s="107"/>
      <c r="BO88" s="293"/>
      <c r="BP88" s="291"/>
      <c r="BQ88" s="107"/>
      <c r="BR88" s="107"/>
      <c r="BS88" s="107"/>
      <c r="BT88" s="293"/>
      <c r="BU88" s="291"/>
      <c r="BV88" s="107"/>
      <c r="BW88" s="107"/>
      <c r="BX88" s="107"/>
      <c r="BY88" s="293"/>
      <c r="BZ88" s="291"/>
      <c r="CA88" s="107"/>
      <c r="CB88" s="107"/>
      <c r="CC88" s="107"/>
      <c r="CD88" s="293"/>
      <c r="CE88" s="291"/>
      <c r="CF88" s="107"/>
      <c r="CG88" s="107"/>
      <c r="CH88" s="107"/>
      <c r="CI88" s="293"/>
      <c r="CJ88" s="291"/>
      <c r="CK88" s="107"/>
      <c r="CL88" s="107"/>
      <c r="CM88" s="107"/>
      <c r="CN88" s="293"/>
      <c r="CO88" s="291"/>
      <c r="CP88" s="107"/>
      <c r="CQ88" s="107"/>
      <c r="CR88" s="107"/>
      <c r="CS88" s="293"/>
      <c r="CT88" s="291"/>
      <c r="CU88" s="107"/>
      <c r="CV88" s="107"/>
      <c r="CW88" s="107"/>
      <c r="CX88" s="293"/>
      <c r="CY88" s="291"/>
      <c r="CZ88" s="107"/>
      <c r="DA88" s="107"/>
      <c r="DB88" s="107"/>
      <c r="DC88" s="293"/>
      <c r="DD88" s="291"/>
      <c r="DE88" s="107"/>
      <c r="DF88" s="107"/>
      <c r="DG88" s="107"/>
      <c r="DH88" s="293"/>
      <c r="DI88" s="291"/>
      <c r="DJ88" s="107"/>
      <c r="DK88" s="107"/>
      <c r="DL88" s="107"/>
      <c r="DM88" s="293"/>
      <c r="DN88" s="291"/>
      <c r="DO88" s="107"/>
      <c r="DP88" s="107"/>
      <c r="DQ88" s="107"/>
      <c r="DR88" s="293"/>
      <c r="DS88" s="291"/>
      <c r="DT88" s="107"/>
      <c r="DU88" s="107"/>
      <c r="DV88" s="107"/>
      <c r="DW88" s="293"/>
      <c r="DX88" s="470">
        <f>DX86-DX84</f>
      </c>
      <c r="DY88" s="470">
        <f>DY86-DY84</f>
      </c>
      <c r="DZ88" s="470">
        <f>DZ86-DZ84</f>
      </c>
      <c r="EA88" s="470">
        <f>EA86-EA84</f>
      </c>
      <c r="EB88" s="293"/>
      <c r="EC88" s="470">
        <f>EC86-EC84</f>
      </c>
      <c r="ED88" s="470">
        <f>ED86-ED84</f>
      </c>
      <c r="EE88" s="470">
        <f>EE86-EE84</f>
      </c>
      <c r="EF88" s="470">
        <f>EF86-EF84</f>
      </c>
      <c r="EG88" s="293"/>
      <c r="EH88" s="470">
        <f>EH86-EH84</f>
      </c>
      <c r="EI88" s="470">
        <f>EI86-EI84</f>
      </c>
      <c r="EJ88" s="470">
        <f>EJ86-EJ84</f>
      </c>
      <c r="EK88" s="470">
        <f>EK86-EK84</f>
      </c>
      <c r="EL88" s="293"/>
      <c r="EM88" s="470">
        <f>EM86-EM84</f>
      </c>
      <c r="EN88" s="470">
        <f>EN86-EN84</f>
      </c>
      <c r="EO88" s="470">
        <f>EO86-EO84</f>
      </c>
      <c r="EP88" s="470">
        <f>EP86-EP84</f>
      </c>
      <c r="EQ88" s="293"/>
      <c r="ER88" s="470">
        <f>ER86-ER84</f>
      </c>
      <c r="ES88" s="470">
        <f>ES86-ES84</f>
      </c>
      <c r="ET88" s="470">
        <f>ET86-ET84</f>
      </c>
      <c r="EU88" s="470">
        <f>EU86-EU84</f>
      </c>
      <c r="EV88" s="293"/>
      <c r="EW88" s="470">
        <f>EW86-EW84</f>
      </c>
      <c r="EX88" s="470">
        <f>EX86-EX84</f>
      </c>
      <c r="EY88" s="470">
        <f>EY86-EY84</f>
      </c>
      <c r="EZ88" s="470">
        <f>EZ86-EZ84</f>
      </c>
      <c r="FA88" s="293"/>
      <c r="FB88" s="470"/>
      <c r="FC88" s="470"/>
      <c r="FD88" s="470"/>
      <c r="FE88" s="470"/>
      <c r="FF88" s="293"/>
      <c r="FG88" s="291"/>
      <c r="FH88" s="107"/>
      <c r="FI88" s="107"/>
      <c r="FJ88" s="107"/>
      <c r="FK88" s="293"/>
      <c r="FL88" s="291"/>
      <c r="FM88" s="107"/>
      <c r="FN88" s="107"/>
      <c r="FO88" s="107"/>
      <c r="FP88" s="293"/>
      <c r="FQ88" s="291"/>
      <c r="FR88" s="107"/>
      <c r="FS88" s="107"/>
      <c r="FT88" s="107"/>
      <c r="FU88" s="293"/>
      <c r="FV88" s="291"/>
      <c r="FW88" s="107"/>
      <c r="FX88" s="107"/>
      <c r="FY88" s="107"/>
      <c r="FZ88" s="293"/>
      <c r="GA88" s="291"/>
      <c r="GB88" s="107"/>
      <c r="GC88" s="107"/>
      <c r="GD88" s="107"/>
      <c r="GE88" s="382"/>
    </row>
    <row r="89" spans="1:187" s="537" customFormat="1" ht="12.75" customHeight="1">
      <c r="A89" s="850"/>
      <c r="B89" s="1078"/>
      <c r="C89" s="291"/>
      <c r="D89" s="137"/>
      <c r="E89" s="137"/>
      <c r="F89" s="137"/>
      <c r="G89" s="538"/>
      <c r="H89" s="291"/>
      <c r="I89" s="107"/>
      <c r="J89" s="107"/>
      <c r="K89" s="107"/>
      <c r="L89" s="293"/>
      <c r="M89" s="291"/>
      <c r="N89" s="107"/>
      <c r="O89" s="107"/>
      <c r="P89" s="107"/>
      <c r="Q89" s="293"/>
      <c r="R89" s="291"/>
      <c r="S89" s="107"/>
      <c r="T89" s="107"/>
      <c r="U89" s="107"/>
      <c r="V89" s="293"/>
      <c r="W89" s="291"/>
      <c r="X89" s="107"/>
      <c r="Y89" s="107"/>
      <c r="Z89" s="107"/>
      <c r="AA89" s="293"/>
      <c r="AB89" s="291"/>
      <c r="AC89" s="107"/>
      <c r="AD89" s="107"/>
      <c r="AE89" s="107"/>
      <c r="AF89" s="293"/>
      <c r="AG89" s="291"/>
      <c r="AH89" s="107"/>
      <c r="AI89" s="107"/>
      <c r="AJ89" s="107"/>
      <c r="AK89" s="293"/>
      <c r="AL89" s="291"/>
      <c r="AM89" s="107"/>
      <c r="AN89" s="107"/>
      <c r="AO89" s="107"/>
      <c r="AP89" s="293"/>
      <c r="AQ89" s="291"/>
      <c r="AR89" s="107"/>
      <c r="AS89" s="107"/>
      <c r="AT89" s="107"/>
      <c r="AU89" s="293"/>
      <c r="AV89" s="291"/>
      <c r="AW89" s="107"/>
      <c r="AX89" s="107"/>
      <c r="AY89" s="107"/>
      <c r="AZ89" s="293"/>
      <c r="BA89" s="291"/>
      <c r="BB89" s="107"/>
      <c r="BC89" s="107"/>
      <c r="BD89" s="107"/>
      <c r="BE89" s="293"/>
      <c r="BF89" s="291"/>
      <c r="BG89" s="107"/>
      <c r="BH89" s="107"/>
      <c r="BI89" s="107"/>
      <c r="BJ89" s="293"/>
      <c r="BK89" s="291"/>
      <c r="BL89" s="107"/>
      <c r="BM89" s="107"/>
      <c r="BN89" s="107"/>
      <c r="BO89" s="293"/>
      <c r="BP89" s="291"/>
      <c r="BQ89" s="107"/>
      <c r="BR89" s="107"/>
      <c r="BS89" s="107"/>
      <c r="BT89" s="293"/>
      <c r="BU89" s="291"/>
      <c r="BV89" s="107"/>
      <c r="BW89" s="107"/>
      <c r="BX89" s="107"/>
      <c r="BY89" s="293"/>
      <c r="BZ89" s="291"/>
      <c r="CA89" s="107"/>
      <c r="CB89" s="107"/>
      <c r="CC89" s="107"/>
      <c r="CD89" s="293"/>
      <c r="CE89" s="291"/>
      <c r="CF89" s="107"/>
      <c r="CG89" s="107"/>
      <c r="CH89" s="107"/>
      <c r="CI89" s="293"/>
      <c r="CJ89" s="291"/>
      <c r="CK89" s="107"/>
      <c r="CL89" s="107"/>
      <c r="CM89" s="107"/>
      <c r="CN89" s="293"/>
      <c r="CO89" s="291"/>
      <c r="CP89" s="107"/>
      <c r="CQ89" s="107"/>
      <c r="CR89" s="107"/>
      <c r="CS89" s="293"/>
      <c r="CT89" s="291"/>
      <c r="CU89" s="107"/>
      <c r="CV89" s="107"/>
      <c r="CW89" s="107"/>
      <c r="CX89" s="293"/>
      <c r="CY89" s="291"/>
      <c r="CZ89" s="107"/>
      <c r="DA89" s="107"/>
      <c r="DB89" s="107"/>
      <c r="DC89" s="293"/>
      <c r="DD89" s="291"/>
      <c r="DE89" s="107"/>
      <c r="DF89" s="107"/>
      <c r="DG89" s="107"/>
      <c r="DH89" s="293"/>
      <c r="DI89" s="291"/>
      <c r="DJ89" s="107"/>
      <c r="DK89" s="107"/>
      <c r="DL89" s="107"/>
      <c r="DM89" s="293"/>
      <c r="DN89" s="291"/>
      <c r="DO89" s="107"/>
      <c r="DP89" s="107"/>
      <c r="DQ89" s="107"/>
      <c r="DR89" s="293"/>
      <c r="DS89" s="291"/>
      <c r="DT89" s="107"/>
      <c r="DU89" s="107"/>
      <c r="DV89" s="107"/>
      <c r="DW89" s="293"/>
      <c r="DX89" s="291"/>
      <c r="DY89" s="107"/>
      <c r="DZ89" s="107"/>
      <c r="EA89" s="107"/>
      <c r="EB89" s="293"/>
      <c r="EC89" s="291"/>
      <c r="ED89" s="107"/>
      <c r="EE89" s="107"/>
      <c r="EF89" s="107"/>
      <c r="EG89" s="293"/>
      <c r="EH89" s="291"/>
      <c r="EI89" s="107"/>
      <c r="EJ89" s="107"/>
      <c r="EK89" s="107"/>
      <c r="EL89" s="293"/>
      <c r="EM89" s="291"/>
      <c r="EN89" s="107"/>
      <c r="EO89" s="107"/>
      <c r="EP89" s="107"/>
      <c r="EQ89" s="293"/>
      <c r="ER89" s="291"/>
      <c r="ES89" s="107"/>
      <c r="ET89" s="107"/>
      <c r="EU89" s="468"/>
      <c r="EV89" s="293"/>
      <c r="EW89" s="291"/>
      <c r="EX89" s="107"/>
      <c r="EY89" s="107"/>
      <c r="EZ89" s="468"/>
      <c r="FA89" s="293"/>
      <c r="FB89" s="291"/>
      <c r="FC89" s="107"/>
      <c r="FD89" s="107"/>
      <c r="FE89" s="468"/>
      <c r="FF89" s="293"/>
      <c r="FG89" s="291"/>
      <c r="FH89" s="107"/>
      <c r="FI89" s="107"/>
      <c r="FJ89" s="107"/>
      <c r="FK89" s="293"/>
      <c r="FL89" s="291"/>
      <c r="FM89" s="107"/>
      <c r="FN89" s="107"/>
      <c r="FO89" s="107"/>
      <c r="FP89" s="293"/>
      <c r="FQ89" s="291"/>
      <c r="FR89" s="107"/>
      <c r="FS89" s="107"/>
      <c r="FT89" s="107"/>
      <c r="FU89" s="293"/>
      <c r="FV89" s="291"/>
      <c r="FW89" s="107"/>
      <c r="FX89" s="107"/>
      <c r="FY89" s="107"/>
      <c r="FZ89" s="293"/>
      <c r="GA89" s="291"/>
      <c r="GB89" s="107"/>
      <c r="GC89" s="107"/>
      <c r="GD89" s="107"/>
      <c r="GE89" s="382"/>
    </row>
    <row r="90" spans="1:187" s="542" customFormat="1" ht="12.75" customHeight="1">
      <c r="A90" s="850"/>
      <c r="B90" s="1079" t="s">
        <v>404</v>
      </c>
      <c r="C90" s="98"/>
      <c r="D90" s="98"/>
      <c r="E90" s="98"/>
      <c r="F90" s="98"/>
      <c r="G90" s="99"/>
      <c r="H90" s="98"/>
      <c r="I90" s="98"/>
      <c r="J90" s="98"/>
      <c r="K90" s="98"/>
      <c r="L90" s="99"/>
      <c r="M90" s="1084"/>
      <c r="N90" s="1084"/>
      <c r="O90" s="1084"/>
      <c r="P90" s="1084"/>
      <c r="Q90" s="99"/>
      <c r="R90" s="1084"/>
      <c r="S90" s="1084"/>
      <c r="T90" s="1084"/>
      <c r="U90" s="1084"/>
      <c r="V90" s="99"/>
      <c r="W90" s="1084"/>
      <c r="X90" s="1084"/>
      <c r="Y90" s="1084"/>
      <c r="Z90" s="1084"/>
      <c r="AA90" s="99"/>
      <c r="AB90" s="1084"/>
      <c r="AC90" s="1084"/>
      <c r="AD90" s="1084"/>
      <c r="AE90" s="1084"/>
      <c r="AF90" s="99"/>
      <c r="AG90" s="1084"/>
      <c r="AH90" s="1084"/>
      <c r="AI90" s="1084"/>
      <c r="AJ90" s="1084"/>
      <c r="AK90" s="99"/>
      <c r="AL90" s="1084"/>
      <c r="AM90" s="1084"/>
      <c r="AN90" s="1084"/>
      <c r="AO90" s="1084"/>
      <c r="AP90" s="99"/>
      <c r="AQ90" s="1084"/>
      <c r="AR90" s="1084"/>
      <c r="AS90" s="1084"/>
      <c r="AT90" s="1084"/>
      <c r="AU90" s="99"/>
      <c r="AV90" s="1084"/>
      <c r="AW90" s="1084"/>
      <c r="AX90" s="1084"/>
      <c r="AY90" s="1084"/>
      <c r="AZ90" s="99"/>
      <c r="BA90" s="1084"/>
      <c r="BB90" s="1084"/>
      <c r="BC90" s="1084"/>
      <c r="BD90" s="1084"/>
      <c r="BE90" s="99"/>
      <c r="BF90" s="1084"/>
      <c r="BG90" s="1084"/>
      <c r="BH90" s="1084"/>
      <c r="BI90" s="1084"/>
      <c r="BJ90" s="99"/>
      <c r="BK90" s="1084"/>
      <c r="BL90" s="1084"/>
      <c r="BM90" s="1084"/>
      <c r="BN90" s="1084"/>
      <c r="BO90" s="99"/>
      <c r="BP90" s="1084"/>
      <c r="BQ90" s="1084"/>
      <c r="BR90" s="1084"/>
      <c r="BS90" s="1084"/>
      <c r="BT90" s="99"/>
      <c r="BU90" s="1084"/>
      <c r="BV90" s="1084"/>
      <c r="BW90" s="1084"/>
      <c r="BX90" s="1084"/>
      <c r="BY90" s="99"/>
      <c r="BZ90" s="1084"/>
      <c r="CA90" s="1084"/>
      <c r="CB90" s="1084"/>
      <c r="CC90" s="1084"/>
      <c r="CD90" s="99"/>
      <c r="CE90" s="1084"/>
      <c r="CF90" s="1084"/>
      <c r="CG90" s="1084"/>
      <c r="CH90" s="1084"/>
      <c r="CI90" s="99"/>
      <c r="CJ90" s="1084"/>
      <c r="CK90" s="1084"/>
      <c r="CL90" s="1084"/>
      <c r="CM90" s="1084"/>
      <c r="CN90" s="99"/>
      <c r="CO90" s="1084"/>
      <c r="CP90" s="1084"/>
      <c r="CQ90" s="1084"/>
      <c r="CR90" s="1084"/>
      <c r="CS90" s="99"/>
      <c r="CT90" s="1084"/>
      <c r="CU90" s="1084"/>
      <c r="CV90" s="1084"/>
      <c r="CW90" s="1084"/>
      <c r="CX90" s="99"/>
      <c r="CY90" s="1084"/>
      <c r="CZ90" s="1084"/>
      <c r="DA90" s="1084"/>
      <c r="DB90" s="1084"/>
      <c r="DC90" s="99"/>
      <c r="DD90" s="1084"/>
      <c r="DE90" s="1084"/>
      <c r="DF90" s="1084"/>
      <c r="DG90" s="1084"/>
      <c r="DH90" s="99"/>
      <c r="DI90" s="1084"/>
      <c r="DJ90" s="1084"/>
      <c r="DK90" s="1084"/>
      <c r="DL90" s="1084"/>
      <c r="DM90" s="99"/>
      <c r="DN90" s="1084"/>
      <c r="DO90" s="1084"/>
      <c r="DP90" s="1084"/>
      <c r="DQ90" s="1084"/>
      <c r="DR90" s="99"/>
      <c r="DS90" s="1084"/>
      <c r="DT90" s="1084"/>
      <c r="DU90" s="1084"/>
      <c r="DV90" s="1084"/>
      <c r="DW90" s="99"/>
      <c r="DX90" s="1084"/>
      <c r="DY90" s="1084"/>
      <c r="DZ90" s="1084"/>
      <c r="EA90" s="1084"/>
      <c r="EB90" s="99"/>
      <c r="EC90" s="1084"/>
      <c r="ED90" s="1084"/>
      <c r="EE90" s="1084"/>
      <c r="EF90" s="1084"/>
      <c r="EG90" s="99"/>
      <c r="EH90" s="1084"/>
      <c r="EI90" s="1084"/>
      <c r="EJ90" s="1084"/>
      <c r="EK90" s="1084"/>
      <c r="EL90" s="99"/>
      <c r="EM90" s="1084"/>
      <c r="EN90" s="1084"/>
      <c r="EO90" s="1084"/>
      <c r="EP90" s="1084"/>
      <c r="EQ90" s="99"/>
      <c r="ER90" s="1084"/>
      <c r="ES90" s="1084"/>
      <c r="ET90" s="1084"/>
      <c r="EU90" s="1423"/>
      <c r="EV90" s="99"/>
      <c r="EW90" s="1084"/>
      <c r="EX90" s="1084"/>
      <c r="EY90" s="1084"/>
      <c r="EZ90" s="1423"/>
      <c r="FA90" s="99"/>
      <c r="FB90" s="1084"/>
      <c r="FC90" s="1084"/>
      <c r="FD90" s="1084"/>
      <c r="FE90" s="1423"/>
      <c r="FF90" s="99"/>
      <c r="FG90" s="1084"/>
      <c r="FH90" s="1084"/>
      <c r="FI90" s="1084"/>
      <c r="FJ90" s="1084"/>
      <c r="FK90" s="99"/>
      <c r="FL90" s="1084"/>
      <c r="FM90" s="1084"/>
      <c r="FN90" s="1084"/>
      <c r="FO90" s="1084"/>
      <c r="FP90" s="99"/>
      <c r="FQ90" s="1084"/>
      <c r="FR90" s="1084"/>
      <c r="FS90" s="1084"/>
      <c r="FT90" s="1084"/>
      <c r="FU90" s="99"/>
      <c r="FV90" s="1084"/>
      <c r="FW90" s="1084"/>
      <c r="FX90" s="1084"/>
      <c r="FY90" s="1084"/>
      <c r="FZ90" s="99"/>
      <c r="GA90" s="1084"/>
      <c r="GB90" s="1084"/>
      <c r="GC90" s="1084"/>
      <c r="GD90" s="1084"/>
      <c r="GE90" s="1085"/>
    </row>
    <row r="91" spans="1:187" s="1066" customFormat="1" ht="12.75" customHeight="1">
      <c r="A91" s="370" t="s">
        <v>469</v>
      </c>
      <c r="B91" s="1110" t="s">
        <v>401</v>
      </c>
      <c r="C91" s="448"/>
      <c r="D91" s="1114"/>
      <c r="E91" s="1114"/>
      <c r="F91" s="1114"/>
      <c r="G91" s="1115"/>
      <c r="H91" s="448"/>
      <c r="I91" s="493"/>
      <c r="J91" s="493"/>
      <c r="K91" s="493"/>
      <c r="L91" s="812"/>
      <c r="M91" s="448"/>
      <c r="N91" s="493"/>
      <c r="O91" s="493"/>
      <c r="P91" s="493"/>
      <c r="Q91" s="812"/>
      <c r="R91" s="448"/>
      <c r="S91" s="493"/>
      <c r="T91" s="493"/>
      <c r="U91" s="493"/>
      <c r="V91" s="812"/>
      <c r="W91" s="448"/>
      <c r="X91" s="493"/>
      <c r="Y91" s="493"/>
      <c r="Z91" s="493"/>
      <c r="AA91" s="812"/>
      <c r="AB91" s="448"/>
      <c r="AC91" s="493"/>
      <c r="AD91" s="493"/>
      <c r="AE91" s="493"/>
      <c r="AF91" s="812"/>
      <c r="AG91" s="448"/>
      <c r="AH91" s="493"/>
      <c r="AI91" s="493"/>
      <c r="AJ91" s="493"/>
      <c r="AK91" s="812"/>
      <c r="AL91" s="448"/>
      <c r="AM91" s="493"/>
      <c r="AN91" s="493"/>
      <c r="AO91" s="493"/>
      <c r="AP91" s="812"/>
      <c r="AQ91" s="448"/>
      <c r="AR91" s="493"/>
      <c r="AS91" s="493"/>
      <c r="AT91" s="493"/>
      <c r="AU91" s="812"/>
      <c r="AV91" s="448"/>
      <c r="AW91" s="493"/>
      <c r="AX91" s="493"/>
      <c r="AY91" s="493"/>
      <c r="AZ91" s="812"/>
      <c r="BA91" s="448"/>
      <c r="BB91" s="493"/>
      <c r="BC91" s="493"/>
      <c r="BD91" s="493"/>
      <c r="BE91" s="812"/>
      <c r="BF91" s="448"/>
      <c r="BG91" s="493"/>
      <c r="BH91" s="493"/>
      <c r="BI91" s="493"/>
      <c r="BJ91" s="812"/>
      <c r="BK91" s="448"/>
      <c r="BL91" s="493"/>
      <c r="BM91" s="493"/>
      <c r="BN91" s="493"/>
      <c r="BO91" s="812"/>
      <c r="BP91" s="448"/>
      <c r="BQ91" s="493"/>
      <c r="BR91" s="493"/>
      <c r="BS91" s="493"/>
      <c r="BT91" s="812"/>
      <c r="BU91" s="448"/>
      <c r="BV91" s="493"/>
      <c r="BW91" s="493"/>
      <c r="BX91" s="493"/>
      <c r="BY91" s="812"/>
      <c r="BZ91" s="448"/>
      <c r="CA91" s="493"/>
      <c r="CB91" s="493"/>
      <c r="CC91" s="493"/>
      <c r="CD91" s="812"/>
      <c r="CE91" s="448"/>
      <c r="CF91" s="493"/>
      <c r="CG91" s="493"/>
      <c r="CH91" s="493"/>
      <c r="CI91" s="812"/>
      <c r="CJ91" s="448"/>
      <c r="CK91" s="493"/>
      <c r="CL91" s="493"/>
      <c r="CM91" s="493"/>
      <c r="CN91" s="812"/>
      <c r="CO91" s="448"/>
      <c r="CP91" s="493"/>
      <c r="CQ91" s="493"/>
      <c r="CR91" s="493"/>
      <c r="CS91" s="812"/>
      <c r="CT91" s="448"/>
      <c r="CU91" s="493"/>
      <c r="CV91" s="493"/>
      <c r="CW91" s="493"/>
      <c r="CX91" s="812"/>
      <c r="CY91" s="448"/>
      <c r="CZ91" s="493"/>
      <c r="DA91" s="493"/>
      <c r="DB91" s="493"/>
      <c r="DC91" s="812"/>
      <c r="DD91" s="448"/>
      <c r="DE91" s="493"/>
      <c r="DF91" s="493"/>
      <c r="DG91" s="493"/>
      <c r="DH91" s="812"/>
      <c r="DI91" s="448"/>
      <c r="DJ91" s="493"/>
      <c r="DK91" s="493"/>
      <c r="DL91" s="493"/>
      <c r="DM91" s="812"/>
      <c r="DN91" s="448"/>
      <c r="DO91" s="493"/>
      <c r="DP91" s="493"/>
      <c r="DQ91" s="493"/>
      <c r="DR91" s="812"/>
      <c r="DS91" s="448"/>
      <c r="DT91" s="493"/>
      <c r="DU91" s="493"/>
      <c r="DV91" s="493"/>
      <c r="DW91" s="812"/>
      <c r="DX91" s="448">
        <v>0</v>
      </c>
      <c r="DY91" s="493">
        <v>50</v>
      </c>
      <c r="DZ91" s="493">
        <v>0</v>
      </c>
      <c r="EA91" s="493">
        <v>-100</v>
      </c>
      <c r="EB91" s="812"/>
      <c r="EC91" s="448">
        <v>-50</v>
      </c>
      <c r="ED91" s="493">
        <v>0</v>
      </c>
      <c r="EE91" s="493">
        <v>0</v>
      </c>
      <c r="EF91" s="493">
        <v>0</v>
      </c>
      <c r="EG91" s="812"/>
      <c r="EH91" s="448">
        <v>0</v>
      </c>
      <c r="EI91" s="493">
        <v>0</v>
      </c>
      <c r="EJ91" s="493">
        <v>0</v>
      </c>
      <c r="EK91" s="493">
        <v>-50</v>
      </c>
      <c r="EL91" s="812"/>
      <c r="EM91" s="448">
        <v>0</v>
      </c>
      <c r="EN91" s="493">
        <v>100</v>
      </c>
      <c r="EO91" s="493">
        <v>200</v>
      </c>
      <c r="EP91" s="493">
        <v>300</v>
      </c>
      <c r="EQ91" s="812"/>
      <c r="ER91" s="448">
        <v>300</v>
      </c>
      <c r="ES91" s="493">
        <v>-500</v>
      </c>
      <c r="ET91" s="493">
        <v>-600</v>
      </c>
      <c r="EU91" s="815">
        <v>-850</v>
      </c>
      <c r="EV91" s="459"/>
      <c r="EW91" s="496">
        <v>-650</v>
      </c>
      <c r="EX91" s="493">
        <v>-1500</v>
      </c>
      <c r="EY91" s="493">
        <v>-1000</v>
      </c>
      <c r="EZ91" s="815">
        <v>-1200</v>
      </c>
      <c r="FA91" s="459"/>
      <c r="FB91" s="496"/>
      <c r="FC91" s="493"/>
      <c r="FD91" s="493"/>
      <c r="FE91" s="815"/>
      <c r="FF91" s="459"/>
      <c r="FG91" s="447"/>
      <c r="FH91" s="458"/>
      <c r="FI91" s="458"/>
      <c r="FJ91" s="458"/>
      <c r="FK91" s="459"/>
      <c r="FL91" s="447"/>
      <c r="FM91" s="458"/>
      <c r="FN91" s="458"/>
      <c r="FO91" s="458"/>
      <c r="FP91" s="459"/>
      <c r="FQ91" s="447"/>
      <c r="FR91" s="458"/>
      <c r="FS91" s="458"/>
      <c r="FT91" s="458"/>
      <c r="FU91" s="459"/>
      <c r="FV91" s="447"/>
      <c r="FW91" s="458"/>
      <c r="FX91" s="458"/>
      <c r="FY91" s="458"/>
      <c r="FZ91" s="459"/>
      <c r="GA91" s="447"/>
      <c r="GB91" s="458"/>
      <c r="GC91" s="458"/>
      <c r="GD91" s="458"/>
      <c r="GE91" s="460"/>
    </row>
    <row r="92" spans="1:187" s="537" customFormat="1" ht="12.75" customHeight="1">
      <c r="A92" s="850"/>
      <c r="B92" s="1078"/>
      <c r="C92" s="291"/>
      <c r="D92" s="137"/>
      <c r="E92" s="137"/>
      <c r="F92" s="137"/>
      <c r="G92" s="538"/>
      <c r="H92" s="291"/>
      <c r="I92" s="107"/>
      <c r="J92" s="107"/>
      <c r="K92" s="107"/>
      <c r="L92" s="293"/>
      <c r="M92" s="291"/>
      <c r="N92" s="107"/>
      <c r="O92" s="107"/>
      <c r="P92" s="107"/>
      <c r="Q92" s="293"/>
      <c r="R92" s="291"/>
      <c r="S92" s="107"/>
      <c r="T92" s="107"/>
      <c r="U92" s="107"/>
      <c r="V92" s="293"/>
      <c r="W92" s="291"/>
      <c r="X92" s="107"/>
      <c r="Y92" s="107"/>
      <c r="Z92" s="107"/>
      <c r="AA92" s="293"/>
      <c r="AB92" s="291"/>
      <c r="AC92" s="107"/>
      <c r="AD92" s="107"/>
      <c r="AE92" s="107"/>
      <c r="AF92" s="293"/>
      <c r="AG92" s="291"/>
      <c r="AH92" s="107"/>
      <c r="AI92" s="107"/>
      <c r="AJ92" s="107"/>
      <c r="AK92" s="293"/>
      <c r="AL92" s="291"/>
      <c r="AM92" s="107"/>
      <c r="AN92" s="107"/>
      <c r="AO92" s="107"/>
      <c r="AP92" s="293"/>
      <c r="AQ92" s="291"/>
      <c r="AR92" s="107"/>
      <c r="AS92" s="107"/>
      <c r="AT92" s="107"/>
      <c r="AU92" s="293"/>
      <c r="AV92" s="291"/>
      <c r="AW92" s="107"/>
      <c r="AX92" s="107"/>
      <c r="AY92" s="107"/>
      <c r="AZ92" s="293"/>
      <c r="BA92" s="291"/>
      <c r="BB92" s="107"/>
      <c r="BC92" s="107"/>
      <c r="BD92" s="107"/>
      <c r="BE92" s="293"/>
      <c r="BF92" s="291"/>
      <c r="BG92" s="107"/>
      <c r="BH92" s="107"/>
      <c r="BI92" s="107"/>
      <c r="BJ92" s="293"/>
      <c r="BK92" s="291"/>
      <c r="BL92" s="107"/>
      <c r="BM92" s="107"/>
      <c r="BN92" s="107"/>
      <c r="BO92" s="293"/>
      <c r="BP92" s="291"/>
      <c r="BQ92" s="107"/>
      <c r="BR92" s="107"/>
      <c r="BS92" s="107"/>
      <c r="BT92" s="293"/>
      <c r="BU92" s="291"/>
      <c r="BV92" s="107"/>
      <c r="BW92" s="107"/>
      <c r="BX92" s="107"/>
      <c r="BY92" s="293"/>
      <c r="BZ92" s="291"/>
      <c r="CA92" s="107"/>
      <c r="CB92" s="107"/>
      <c r="CC92" s="107"/>
      <c r="CD92" s="293"/>
      <c r="CE92" s="291"/>
      <c r="CF92" s="107"/>
      <c r="CG92" s="107"/>
      <c r="CH92" s="107"/>
      <c r="CI92" s="293"/>
      <c r="CJ92" s="291"/>
      <c r="CK92" s="107"/>
      <c r="CL92" s="107"/>
      <c r="CM92" s="107"/>
      <c r="CN92" s="293"/>
      <c r="CO92" s="291"/>
      <c r="CP92" s="107"/>
      <c r="CQ92" s="107"/>
      <c r="CR92" s="107"/>
      <c r="CS92" s="293"/>
      <c r="CT92" s="291"/>
      <c r="CU92" s="107"/>
      <c r="CV92" s="107"/>
      <c r="CW92" s="107"/>
      <c r="CX92" s="293"/>
      <c r="CY92" s="291"/>
      <c r="CZ92" s="107"/>
      <c r="DA92" s="107"/>
      <c r="DB92" s="107"/>
      <c r="DC92" s="293"/>
      <c r="DD92" s="291"/>
      <c r="DE92" s="107"/>
      <c r="DF92" s="107"/>
      <c r="DG92" s="107"/>
      <c r="DH92" s="293"/>
      <c r="DI92" s="291"/>
      <c r="DJ92" s="107"/>
      <c r="DK92" s="107"/>
      <c r="DL92" s="107"/>
      <c r="DM92" s="293"/>
      <c r="DN92" s="291"/>
      <c r="DO92" s="107"/>
      <c r="DP92" s="107"/>
      <c r="DQ92" s="107"/>
      <c r="DR92" s="293"/>
      <c r="DS92" s="291"/>
      <c r="DT92" s="107"/>
      <c r="DU92" s="107"/>
      <c r="DV92" s="107"/>
      <c r="DW92" s="293"/>
      <c r="DX92" s="291"/>
      <c r="DY92" s="107"/>
      <c r="DZ92" s="107"/>
      <c r="EA92" s="107"/>
      <c r="EB92" s="293"/>
      <c r="EC92" s="291"/>
      <c r="ED92" s="107"/>
      <c r="EE92" s="107"/>
      <c r="EF92" s="107"/>
      <c r="EG92" s="293"/>
      <c r="EH92" s="291"/>
      <c r="EI92" s="107"/>
      <c r="EJ92" s="107"/>
      <c r="EK92" s="107"/>
      <c r="EL92" s="293"/>
      <c r="EM92" s="291"/>
      <c r="EN92" s="107"/>
      <c r="EO92" s="107"/>
      <c r="EP92" s="107"/>
      <c r="EQ92" s="293"/>
      <c r="ER92" s="291"/>
      <c r="ES92" s="107"/>
      <c r="ET92" s="107"/>
      <c r="EU92" s="468"/>
      <c r="EV92" s="293"/>
      <c r="EW92" s="291"/>
      <c r="EX92" s="107"/>
      <c r="EY92" s="107"/>
      <c r="EZ92" s="291"/>
      <c r="FA92" s="293"/>
      <c r="FB92" s="291"/>
      <c r="FC92" s="107"/>
      <c r="FD92" s="107"/>
      <c r="FE92" s="468"/>
      <c r="FF92" s="293"/>
      <c r="FG92" s="291"/>
      <c r="FH92" s="107"/>
      <c r="FI92" s="107"/>
      <c r="FJ92" s="107"/>
      <c r="FK92" s="293"/>
      <c r="FL92" s="291"/>
      <c r="FM92" s="107"/>
      <c r="FN92" s="107"/>
      <c r="FO92" s="107"/>
      <c r="FP92" s="293"/>
      <c r="FQ92" s="291"/>
      <c r="FR92" s="107"/>
      <c r="FS92" s="107"/>
      <c r="FT92" s="107"/>
      <c r="FU92" s="293"/>
      <c r="FV92" s="291"/>
      <c r="FW92" s="107"/>
      <c r="FX92" s="107"/>
      <c r="FY92" s="107"/>
      <c r="FZ92" s="293"/>
      <c r="GA92" s="291"/>
      <c r="GB92" s="107"/>
      <c r="GC92" s="107"/>
      <c r="GD92" s="107"/>
      <c r="GE92" s="382"/>
    </row>
    <row r="93" spans="1:187" s="537" customFormat="1" ht="12.75" customHeight="1">
      <c r="A93" s="850" t="s">
        <v>472</v>
      </c>
      <c r="B93" s="1080" t="s">
        <v>317</v>
      </c>
      <c r="C93" s="825">
        <f>IS!C132</f>
      </c>
      <c r="D93" s="1068">
        <f>IS!D132</f>
      </c>
      <c r="E93" s="1068">
        <f>IS!E132</f>
      </c>
      <c r="F93" s="1068">
        <f>IS!F132</f>
      </c>
      <c r="G93" s="1069">
        <f>IS!G132</f>
      </c>
      <c r="H93" s="825">
        <f>IS!H132</f>
      </c>
      <c r="I93" s="826">
        <f>IS!I132</f>
      </c>
      <c r="J93" s="826">
        <f>IS!J132</f>
      </c>
      <c r="K93" s="826">
        <f>IS!K132</f>
      </c>
      <c r="L93" s="1067">
        <f>IS!L132</f>
      </c>
      <c r="M93" s="825">
        <f>IS!M132</f>
      </c>
      <c r="N93" s="826">
        <f>IS!N132</f>
      </c>
      <c r="O93" s="826">
        <f>IS!O132</f>
      </c>
      <c r="P93" s="826">
        <f>IS!P132</f>
      </c>
      <c r="Q93" s="1067">
        <f>IS!Q132</f>
      </c>
      <c r="R93" s="825">
        <f>IS!R132</f>
      </c>
      <c r="S93" s="826">
        <f>IS!S132</f>
      </c>
      <c r="T93" s="826">
        <f>IS!T132</f>
      </c>
      <c r="U93" s="826">
        <f>IS!U132</f>
      </c>
      <c r="V93" s="1067">
        <f>IS!V132</f>
      </c>
      <c r="W93" s="825">
        <f>IS!W132</f>
      </c>
      <c r="X93" s="826">
        <f>IS!X132</f>
      </c>
      <c r="Y93" s="826">
        <f>IS!Y132</f>
      </c>
      <c r="Z93" s="826">
        <f>IS!Z132</f>
      </c>
      <c r="AA93" s="1067">
        <f>IS!AA132</f>
      </c>
      <c r="AB93" s="825">
        <f>IS!AB132</f>
      </c>
      <c r="AC93" s="826">
        <f>IS!AC132</f>
      </c>
      <c r="AD93" s="826">
        <f>IS!AD132</f>
      </c>
      <c r="AE93" s="826">
        <f>IS!AE132</f>
      </c>
      <c r="AF93" s="1067">
        <f>IS!AF132</f>
      </c>
      <c r="AG93" s="825">
        <f>IS!AG132</f>
      </c>
      <c r="AH93" s="826">
        <f>IS!AH132</f>
      </c>
      <c r="AI93" s="826">
        <f>IS!AI132</f>
      </c>
      <c r="AJ93" s="826">
        <f>IS!AJ132</f>
      </c>
      <c r="AK93" s="1067">
        <f>IS!AK132</f>
      </c>
      <c r="AL93" s="825">
        <f>IS!AL132</f>
      </c>
      <c r="AM93" s="826">
        <f>IS!AM132</f>
      </c>
      <c r="AN93" s="826">
        <f>IS!AN132</f>
      </c>
      <c r="AO93" s="826">
        <f>IS!AO132</f>
      </c>
      <c r="AP93" s="1067">
        <f>IS!AP132</f>
      </c>
      <c r="AQ93" s="825">
        <f>IS!AQ132</f>
      </c>
      <c r="AR93" s="826">
        <f>IS!AR132</f>
      </c>
      <c r="AS93" s="826">
        <f>IS!AS132</f>
      </c>
      <c r="AT93" s="826">
        <f>IS!AT132</f>
      </c>
      <c r="AU93" s="1067">
        <f>IS!AU132</f>
      </c>
      <c r="AV93" s="825">
        <f>IS!AV132</f>
      </c>
      <c r="AW93" s="826">
        <f>IS!AW132</f>
      </c>
      <c r="AX93" s="826">
        <f>IS!AX132</f>
      </c>
      <c r="AY93" s="826">
        <f>IS!AY132</f>
      </c>
      <c r="AZ93" s="1067">
        <f>IS!AZ132</f>
      </c>
      <c r="BA93" s="825">
        <f>IS!BA132</f>
      </c>
      <c r="BB93" s="826">
        <f>IS!BB132</f>
      </c>
      <c r="BC93" s="826">
        <f>IS!BC132</f>
      </c>
      <c r="BD93" s="826">
        <f>IS!BD132</f>
      </c>
      <c r="BE93" s="1067">
        <f>IS!BE132</f>
      </c>
      <c r="BF93" s="825">
        <f>IS!BF132</f>
      </c>
      <c r="BG93" s="826">
        <f>IS!BG132</f>
      </c>
      <c r="BH93" s="826">
        <f>IS!BH132</f>
      </c>
      <c r="BI93" s="826">
        <f>IS!BI132</f>
      </c>
      <c r="BJ93" s="1067">
        <f>IS!BJ132</f>
      </c>
      <c r="BK93" s="825">
        <f>IS!BK132</f>
      </c>
      <c r="BL93" s="826">
        <f>IS!BL132</f>
      </c>
      <c r="BM93" s="826">
        <f>IS!BM132</f>
      </c>
      <c r="BN93" s="826">
        <f>IS!BN132</f>
      </c>
      <c r="BO93" s="1067">
        <f>IS!BO132</f>
      </c>
      <c r="BP93" s="825">
        <f>IS!BP132</f>
      </c>
      <c r="BQ93" s="826">
        <f>IS!BQ132</f>
      </c>
      <c r="BR93" s="826">
        <f>IS!BR132</f>
      </c>
      <c r="BS93" s="826">
        <f>IS!BS132</f>
      </c>
      <c r="BT93" s="1067">
        <f>IS!BT132</f>
      </c>
      <c r="BU93" s="825">
        <f>IS!BU132</f>
      </c>
      <c r="BV93" s="826">
        <f>IS!BV132</f>
      </c>
      <c r="BW93" s="826">
        <f>IS!BW132</f>
      </c>
      <c r="BX93" s="826">
        <f>IS!BX132</f>
      </c>
      <c r="BY93" s="1067">
        <f>IS!BY132</f>
      </c>
      <c r="BZ93" s="825">
        <f>IS!BZ132</f>
      </c>
      <c r="CA93" s="826">
        <f>IS!CA132</f>
      </c>
      <c r="CB93" s="826">
        <f>IS!CB132</f>
      </c>
      <c r="CC93" s="826">
        <f>IS!CC132</f>
      </c>
      <c r="CD93" s="1067">
        <f>IS!CD132</f>
      </c>
      <c r="CE93" s="825">
        <f>IS!CE132</f>
      </c>
      <c r="CF93" s="826">
        <f>IS!CF132</f>
      </c>
      <c r="CG93" s="826">
        <f>IS!CG132</f>
      </c>
      <c r="CH93" s="826">
        <f>IS!CH132</f>
      </c>
      <c r="CI93" s="1067">
        <f>IS!CI132</f>
      </c>
      <c r="CJ93" s="825">
        <f>IS!CJ132</f>
      </c>
      <c r="CK93" s="826">
        <f>IS!CK132</f>
      </c>
      <c r="CL93" s="826">
        <f>IS!CL132</f>
      </c>
      <c r="CM93" s="826">
        <f>IS!CM132</f>
      </c>
      <c r="CN93" s="1067">
        <f>IS!CN132</f>
      </c>
      <c r="CO93" s="825">
        <f>IS!CO132</f>
      </c>
      <c r="CP93" s="826">
        <f>IS!CP132</f>
      </c>
      <c r="CQ93" s="826">
        <f>IS!CQ132</f>
      </c>
      <c r="CR93" s="826">
        <f>IS!CR132</f>
      </c>
      <c r="CS93" s="1067">
        <f>IS!CS132</f>
      </c>
      <c r="CT93" s="825">
        <f>IS!CT132</f>
      </c>
      <c r="CU93" s="826">
        <f>IS!CU132</f>
      </c>
      <c r="CV93" s="826">
        <f>IS!CV132</f>
      </c>
      <c r="CW93" s="826">
        <f>IS!CW132</f>
      </c>
      <c r="CX93" s="1067">
        <f>IS!CX132</f>
      </c>
      <c r="CY93" s="825">
        <f>IS!CY132</f>
      </c>
      <c r="CZ93" s="826">
        <f>IS!CZ132</f>
      </c>
      <c r="DA93" s="826">
        <f>IS!DA132</f>
      </c>
      <c r="DB93" s="826">
        <f>IS!DB132</f>
      </c>
      <c r="DC93" s="1067">
        <f>IS!DC132</f>
      </c>
      <c r="DD93" s="825">
        <f>IS!DD132</f>
      </c>
      <c r="DE93" s="826">
        <f>IS!DE132</f>
      </c>
      <c r="DF93" s="826">
        <f>IS!DF132</f>
      </c>
      <c r="DG93" s="826">
        <f>IS!DG132</f>
      </c>
      <c r="DH93" s="1067">
        <f>IS!DH132</f>
      </c>
      <c r="DI93" s="825">
        <f>IS!DI132</f>
      </c>
      <c r="DJ93" s="826">
        <f>IS!DJ132</f>
      </c>
      <c r="DK93" s="826">
        <f>IS!DK132</f>
      </c>
      <c r="DL93" s="826">
        <f>IS!DL132</f>
      </c>
      <c r="DM93" s="1067">
        <f>IS!DM132</f>
      </c>
      <c r="DN93" s="825">
        <f>IS!DN132</f>
      </c>
      <c r="DO93" s="826">
        <f>IS!DO132</f>
      </c>
      <c r="DP93" s="826">
        <f>IS!DP132</f>
      </c>
      <c r="DQ93" s="826">
        <f>IS!DQ132</f>
      </c>
      <c r="DR93" s="1067">
        <f>IS!DR132</f>
      </c>
      <c r="DS93" s="825">
        <f>IS!DS132</f>
      </c>
      <c r="DT93" s="826">
        <f>IS!DT132</f>
      </c>
      <c r="DU93" s="826">
        <f>IS!DU132</f>
      </c>
      <c r="DV93" s="826">
        <f>IS!DV132</f>
      </c>
      <c r="DW93" s="1067">
        <f>IS!DW132</f>
      </c>
      <c r="DX93" s="825">
        <f>IS!DX132</f>
      </c>
      <c r="DY93" s="826">
        <f>IS!DY132</f>
      </c>
      <c r="DZ93" s="826">
        <f>IS!DZ132</f>
      </c>
      <c r="EA93" s="826">
        <f>IS!EA132</f>
      </c>
      <c r="EB93" s="1067">
        <f>IS!EB132</f>
      </c>
      <c r="EC93" s="825">
        <f>IS!EC132</f>
      </c>
      <c r="ED93" s="826">
        <f>IS!ED132</f>
      </c>
      <c r="EE93" s="826">
        <f>IS!EE132</f>
      </c>
      <c r="EF93" s="826">
        <f>IS!EF132</f>
      </c>
      <c r="EG93" s="1067">
        <f>IS!EG132</f>
      </c>
      <c r="EH93" s="825">
        <f>IS!EH132</f>
      </c>
      <c r="EI93" s="826">
        <f>IS!EI132</f>
      </c>
      <c r="EJ93" s="826">
        <f>IS!EJ132</f>
      </c>
      <c r="EK93" s="826">
        <f>IS!EK132</f>
      </c>
      <c r="EL93" s="1067">
        <f>IS!EL132</f>
      </c>
      <c r="EM93" s="825">
        <f>IS!EM132</f>
      </c>
      <c r="EN93" s="826">
        <f>IS!EN132</f>
      </c>
      <c r="EO93" s="826">
        <f>IS!EO132</f>
      </c>
      <c r="EP93" s="826">
        <f>IS!EP132</f>
      </c>
      <c r="EQ93" s="1067">
        <f>IS!EQ132</f>
      </c>
      <c r="ER93" s="825">
        <f>IS!ER132</f>
      </c>
      <c r="ES93" s="826">
        <f>IS!ES132</f>
      </c>
      <c r="ET93" s="826">
        <f>IS!ET132</f>
      </c>
      <c r="EU93" s="826">
        <f>IS!EU132</f>
      </c>
      <c r="EV93" s="1067">
        <f>IS!EV132</f>
      </c>
      <c r="EW93" s="825">
        <f>IS!EW132</f>
      </c>
      <c r="EX93" s="825">
        <f>IS!EX132</f>
      </c>
      <c r="EY93" s="825">
        <f>IS!EY132</f>
      </c>
      <c r="EZ93" s="825">
        <f>IS!EZ132</f>
      </c>
      <c r="FA93" s="891"/>
      <c r="FB93" s="825"/>
      <c r="FC93" s="825"/>
      <c r="FD93" s="825"/>
      <c r="FE93" s="826"/>
      <c r="FF93" s="891"/>
      <c r="FG93" s="399"/>
      <c r="FH93" s="129"/>
      <c r="FI93" s="129"/>
      <c r="FJ93" s="129"/>
      <c r="FK93" s="891"/>
      <c r="FL93" s="399"/>
      <c r="FM93" s="129"/>
      <c r="FN93" s="129"/>
      <c r="FO93" s="129"/>
      <c r="FP93" s="891"/>
      <c r="FQ93" s="399"/>
      <c r="FR93" s="129"/>
      <c r="FS93" s="129"/>
      <c r="FT93" s="129"/>
      <c r="FU93" s="891"/>
      <c r="FV93" s="399"/>
      <c r="FW93" s="129"/>
      <c r="FX93" s="129"/>
      <c r="FY93" s="129"/>
      <c r="FZ93" s="891"/>
      <c r="GA93" s="399"/>
      <c r="GB93" s="129"/>
      <c r="GC93" s="129"/>
      <c r="GD93" s="129"/>
      <c r="GE93" s="1081"/>
    </row>
    <row r="94" spans="1:187" s="537" customFormat="1" ht="12.75" customHeight="1">
      <c r="A94" s="850"/>
      <c r="B94" s="1078" t="s">
        <v>402</v>
      </c>
      <c r="C94" s="291"/>
      <c r="D94" s="137"/>
      <c r="E94" s="137"/>
      <c r="F94" s="137"/>
      <c r="G94" s="538"/>
      <c r="H94" s="291"/>
      <c r="I94" s="107"/>
      <c r="J94" s="107"/>
      <c r="K94" s="107"/>
      <c r="L94" s="293"/>
      <c r="M94" s="291"/>
      <c r="N94" s="107"/>
      <c r="O94" s="107"/>
      <c r="P94" s="107"/>
      <c r="Q94" s="293"/>
      <c r="R94" s="291"/>
      <c r="S94" s="107"/>
      <c r="T94" s="107"/>
      <c r="U94" s="107"/>
      <c r="V94" s="293"/>
      <c r="W94" s="291"/>
      <c r="X94" s="107"/>
      <c r="Y94" s="107"/>
      <c r="Z94" s="107"/>
      <c r="AA94" s="293"/>
      <c r="AB94" s="291"/>
      <c r="AC94" s="107"/>
      <c r="AD94" s="107"/>
      <c r="AE94" s="107"/>
      <c r="AF94" s="293"/>
      <c r="AG94" s="291"/>
      <c r="AH94" s="107"/>
      <c r="AI94" s="107"/>
      <c r="AJ94" s="107"/>
      <c r="AK94" s="293"/>
      <c r="AL94" s="291"/>
      <c r="AM94" s="107"/>
      <c r="AN94" s="107"/>
      <c r="AO94" s="107"/>
      <c r="AP94" s="293"/>
      <c r="AQ94" s="291"/>
      <c r="AR94" s="107"/>
      <c r="AS94" s="107"/>
      <c r="AT94" s="107"/>
      <c r="AU94" s="293"/>
      <c r="AV94" s="291"/>
      <c r="AW94" s="107"/>
      <c r="AX94" s="107"/>
      <c r="AY94" s="107"/>
      <c r="AZ94" s="293"/>
      <c r="BA94" s="291"/>
      <c r="BB94" s="107"/>
      <c r="BC94" s="107"/>
      <c r="BD94" s="107"/>
      <c r="BE94" s="293"/>
      <c r="BF94" s="291"/>
      <c r="BG94" s="107"/>
      <c r="BH94" s="107"/>
      <c r="BI94" s="107"/>
      <c r="BJ94" s="293"/>
      <c r="BK94" s="291"/>
      <c r="BL94" s="107"/>
      <c r="BM94" s="107"/>
      <c r="BN94" s="107"/>
      <c r="BO94" s="293"/>
      <c r="BP94" s="291"/>
      <c r="BQ94" s="107"/>
      <c r="BR94" s="107"/>
      <c r="BS94" s="107"/>
      <c r="BT94" s="293"/>
      <c r="BU94" s="291"/>
      <c r="BV94" s="107"/>
      <c r="BW94" s="107"/>
      <c r="BX94" s="107"/>
      <c r="BY94" s="293"/>
      <c r="BZ94" s="291"/>
      <c r="CA94" s="107"/>
      <c r="CB94" s="107"/>
      <c r="CC94" s="107"/>
      <c r="CD94" s="293"/>
      <c r="CE94" s="291"/>
      <c r="CF94" s="107"/>
      <c r="CG94" s="107"/>
      <c r="CH94" s="107"/>
      <c r="CI94" s="293"/>
      <c r="CJ94" s="291"/>
      <c r="CK94" s="107"/>
      <c r="CL94" s="107"/>
      <c r="CM94" s="107"/>
      <c r="CN94" s="293"/>
      <c r="CO94" s="291"/>
      <c r="CP94" s="107"/>
      <c r="CQ94" s="107"/>
      <c r="CR94" s="107"/>
      <c r="CS94" s="293"/>
      <c r="CT94" s="291"/>
      <c r="CU94" s="107"/>
      <c r="CV94" s="107"/>
      <c r="CW94" s="107"/>
      <c r="CX94" s="293"/>
      <c r="CY94" s="291"/>
      <c r="CZ94" s="107"/>
      <c r="DA94" s="107"/>
      <c r="DB94" s="107"/>
      <c r="DC94" s="293"/>
      <c r="DD94" s="291"/>
      <c r="DE94" s="107"/>
      <c r="DF94" s="107"/>
      <c r="DG94" s="107"/>
      <c r="DH94" s="293"/>
      <c r="DI94" s="291"/>
      <c r="DJ94" s="107"/>
      <c r="DK94" s="107"/>
      <c r="DL94" s="107"/>
      <c r="DM94" s="293"/>
      <c r="DN94" s="291"/>
      <c r="DO94" s="107"/>
      <c r="DP94" s="107"/>
      <c r="DQ94" s="107"/>
      <c r="DR94" s="293"/>
      <c r="DS94" s="291"/>
      <c r="DT94" s="107"/>
      <c r="DU94" s="107"/>
      <c r="DV94" s="107"/>
      <c r="DW94" s="293"/>
      <c r="DX94" s="291" t="str">
        <f>IFERROR(DX93/DX91-1,"")</f>
      </c>
      <c r="DY94" s="291">
        <f>IFERROR(DY93/DY91-1,"")</f>
      </c>
      <c r="DZ94" s="291" t="str">
        <f>IFERROR(DZ93/DZ91-1,"")</f>
      </c>
      <c r="EA94" s="291">
        <f>IFERROR(EA93/EA91-1,"")</f>
      </c>
      <c r="EB94" s="293"/>
      <c r="EC94" s="291">
        <f>IFERROR(EC93/EC91-1,"")</f>
      </c>
      <c r="ED94" s="291" t="str">
        <f>IFERROR(ED93/ED91-1,"")</f>
      </c>
      <c r="EE94" s="291" t="str">
        <f>IFERROR(EE93/EE91-1,"")</f>
      </c>
      <c r="EF94" s="291" t="str">
        <f>IFERROR(EF93/EF91-1,"")</f>
      </c>
      <c r="EG94" s="293"/>
      <c r="EH94" s="291" t="str">
        <f>IFERROR(EH93/EH91-1,"")</f>
      </c>
      <c r="EI94" s="291" t="str">
        <f>IFERROR(EI93/EI91-1,"")</f>
      </c>
      <c r="EJ94" s="291" t="str">
        <f>IFERROR(EJ93/EJ91-1,"")</f>
      </c>
      <c r="EK94" s="291">
        <f>IFERROR(EK93/EK91-1,"")</f>
      </c>
      <c r="EL94" s="293"/>
      <c r="EM94" s="291" t="str">
        <f>IFERROR(EM93/EM91-1,"")</f>
      </c>
      <c r="EN94" s="291">
        <f>IFERROR(EN93/EN91-1,"")</f>
      </c>
      <c r="EO94" s="291">
        <f>IFERROR(EO93/EO91-1,"")</f>
      </c>
      <c r="EP94" s="291">
        <f>IFERROR(EP93/EP91-1,"")</f>
      </c>
      <c r="EQ94" s="293"/>
      <c r="ER94" s="291">
        <f>IFERROR(ER93/ER91-1,"")</f>
      </c>
      <c r="ES94" s="291">
        <f>IFERROR(ES93/ES91-1,"")</f>
      </c>
      <c r="ET94" s="291">
        <f>IFERROR(ET93/ET91-1,"")</f>
      </c>
      <c r="EU94" s="291">
        <f>IFERROR(EU93/EU91-1,"")</f>
      </c>
      <c r="EV94" s="293"/>
      <c r="EW94" s="291">
        <f>IFERROR(EW93/EW91-1,"")</f>
      </c>
      <c r="EX94" s="291">
        <f>IFERROR(EX93/EX91-1,"")</f>
      </c>
      <c r="EY94" s="291">
        <f>IFERROR(EY93/EY91-1,"")</f>
      </c>
      <c r="EZ94" s="291">
        <f>IFERROR(EZ93/EZ91-1,"")</f>
      </c>
      <c r="FA94" s="293"/>
      <c r="FB94" s="291"/>
      <c r="FC94" s="291"/>
      <c r="FD94" s="291"/>
      <c r="FE94" s="291"/>
      <c r="FF94" s="293"/>
      <c r="FG94" s="291"/>
      <c r="FH94" s="107"/>
      <c r="FI94" s="107"/>
      <c r="FJ94" s="107"/>
      <c r="FK94" s="293"/>
      <c r="FL94" s="291"/>
      <c r="FM94" s="107"/>
      <c r="FN94" s="107"/>
      <c r="FO94" s="107"/>
      <c r="FP94" s="293"/>
      <c r="FQ94" s="291"/>
      <c r="FR94" s="107"/>
      <c r="FS94" s="107"/>
      <c r="FT94" s="107"/>
      <c r="FU94" s="293"/>
      <c r="FV94" s="291"/>
      <c r="FW94" s="107"/>
      <c r="FX94" s="107"/>
      <c r="FY94" s="107"/>
      <c r="FZ94" s="293"/>
      <c r="GA94" s="291"/>
      <c r="GB94" s="107"/>
      <c r="GC94" s="107"/>
      <c r="GD94" s="107"/>
      <c r="GE94" s="382"/>
    </row>
    <row r="95" spans="1:187" s="537" customFormat="1" ht="12.75" customHeight="1">
      <c r="A95" s="850"/>
      <c r="B95" s="1078" t="s">
        <v>403</v>
      </c>
      <c r="C95" s="291"/>
      <c r="D95" s="137"/>
      <c r="E95" s="137"/>
      <c r="F95" s="137"/>
      <c r="G95" s="538"/>
      <c r="H95" s="291"/>
      <c r="I95" s="107"/>
      <c r="J95" s="107"/>
      <c r="K95" s="107"/>
      <c r="L95" s="293"/>
      <c r="M95" s="291"/>
      <c r="N95" s="107"/>
      <c r="O95" s="107"/>
      <c r="P95" s="107"/>
      <c r="Q95" s="293"/>
      <c r="R95" s="291"/>
      <c r="S95" s="107"/>
      <c r="T95" s="107"/>
      <c r="U95" s="107"/>
      <c r="V95" s="293"/>
      <c r="W95" s="291"/>
      <c r="X95" s="107"/>
      <c r="Y95" s="107"/>
      <c r="Z95" s="107"/>
      <c r="AA95" s="293"/>
      <c r="AB95" s="291"/>
      <c r="AC95" s="107"/>
      <c r="AD95" s="107"/>
      <c r="AE95" s="107"/>
      <c r="AF95" s="293"/>
      <c r="AG95" s="291"/>
      <c r="AH95" s="107"/>
      <c r="AI95" s="107"/>
      <c r="AJ95" s="107"/>
      <c r="AK95" s="293"/>
      <c r="AL95" s="291"/>
      <c r="AM95" s="107"/>
      <c r="AN95" s="107"/>
      <c r="AO95" s="107"/>
      <c r="AP95" s="293"/>
      <c r="AQ95" s="291"/>
      <c r="AR95" s="107"/>
      <c r="AS95" s="107"/>
      <c r="AT95" s="107"/>
      <c r="AU95" s="293"/>
      <c r="AV95" s="291"/>
      <c r="AW95" s="107"/>
      <c r="AX95" s="107"/>
      <c r="AY95" s="107"/>
      <c r="AZ95" s="293"/>
      <c r="BA95" s="291"/>
      <c r="BB95" s="107"/>
      <c r="BC95" s="107"/>
      <c r="BD95" s="107"/>
      <c r="BE95" s="293"/>
      <c r="BF95" s="291"/>
      <c r="BG95" s="107"/>
      <c r="BH95" s="107"/>
      <c r="BI95" s="107"/>
      <c r="BJ95" s="293"/>
      <c r="BK95" s="291"/>
      <c r="BL95" s="107"/>
      <c r="BM95" s="107"/>
      <c r="BN95" s="107"/>
      <c r="BO95" s="293"/>
      <c r="BP95" s="291"/>
      <c r="BQ95" s="107"/>
      <c r="BR95" s="107"/>
      <c r="BS95" s="107"/>
      <c r="BT95" s="293"/>
      <c r="BU95" s="291"/>
      <c r="BV95" s="107"/>
      <c r="BW95" s="107"/>
      <c r="BX95" s="107"/>
      <c r="BY95" s="293"/>
      <c r="BZ95" s="291"/>
      <c r="CA95" s="107"/>
      <c r="CB95" s="107"/>
      <c r="CC95" s="107"/>
      <c r="CD95" s="293"/>
      <c r="CE95" s="291"/>
      <c r="CF95" s="107"/>
      <c r="CG95" s="107"/>
      <c r="CH95" s="107"/>
      <c r="CI95" s="293"/>
      <c r="CJ95" s="291"/>
      <c r="CK95" s="107"/>
      <c r="CL95" s="107"/>
      <c r="CM95" s="107"/>
      <c r="CN95" s="293"/>
      <c r="CO95" s="291"/>
      <c r="CP95" s="107"/>
      <c r="CQ95" s="107"/>
      <c r="CR95" s="107"/>
      <c r="CS95" s="293"/>
      <c r="CT95" s="291"/>
      <c r="CU95" s="107"/>
      <c r="CV95" s="107"/>
      <c r="CW95" s="107"/>
      <c r="CX95" s="293"/>
      <c r="CY95" s="291"/>
      <c r="CZ95" s="107"/>
      <c r="DA95" s="107"/>
      <c r="DB95" s="107"/>
      <c r="DC95" s="293"/>
      <c r="DD95" s="291"/>
      <c r="DE95" s="107"/>
      <c r="DF95" s="107"/>
      <c r="DG95" s="107"/>
      <c r="DH95" s="293"/>
      <c r="DI95" s="291"/>
      <c r="DJ95" s="107"/>
      <c r="DK95" s="107"/>
      <c r="DL95" s="107"/>
      <c r="DM95" s="293"/>
      <c r="DN95" s="291"/>
      <c r="DO95" s="107"/>
      <c r="DP95" s="107"/>
      <c r="DQ95" s="107"/>
      <c r="DR95" s="293"/>
      <c r="DS95" s="291"/>
      <c r="DT95" s="107"/>
      <c r="DU95" s="107"/>
      <c r="DV95" s="107"/>
      <c r="DW95" s="293"/>
      <c r="DX95" s="470">
        <f>DX93-DX91</f>
      </c>
      <c r="DY95" s="470">
        <f>DY93-DY91</f>
      </c>
      <c r="DZ95" s="470">
        <f>DZ93-DZ91</f>
      </c>
      <c r="EA95" s="470">
        <f>EA93-EA91</f>
      </c>
      <c r="EB95" s="293"/>
      <c r="EC95" s="470">
        <f>EC93-EC91</f>
      </c>
      <c r="ED95" s="470">
        <f>ED93-ED91</f>
      </c>
      <c r="EE95" s="470">
        <f>EE93-EE91</f>
      </c>
      <c r="EF95" s="470">
        <f>EF93-EF91</f>
      </c>
      <c r="EG95" s="293"/>
      <c r="EH95" s="470">
        <f>EH93-EH91</f>
      </c>
      <c r="EI95" s="470">
        <f>EI93-EI91</f>
      </c>
      <c r="EJ95" s="470">
        <f>EJ93-EJ91</f>
      </c>
      <c r="EK95" s="470">
        <f>EK93-EK91</f>
      </c>
      <c r="EL95" s="293"/>
      <c r="EM95" s="470">
        <f>EM93-EM91</f>
      </c>
      <c r="EN95" s="470">
        <f>EN93-EN91</f>
      </c>
      <c r="EO95" s="470">
        <f>EO93-EO91</f>
      </c>
      <c r="EP95" s="470">
        <f>EP93-EP91</f>
      </c>
      <c r="EQ95" s="293"/>
      <c r="ER95" s="470">
        <f>ER93-ER91</f>
      </c>
      <c r="ES95" s="470">
        <f>ES93-ES91</f>
      </c>
      <c r="ET95" s="470">
        <f>ET93-ET91</f>
      </c>
      <c r="EU95" s="470">
        <f>EU93-EU91</f>
      </c>
      <c r="EV95" s="293"/>
      <c r="EW95" s="470">
        <f>EW93-EW91</f>
      </c>
      <c r="EX95" s="470">
        <f>EX93-EX91</f>
      </c>
      <c r="EY95" s="470">
        <f>EY93-EY91</f>
      </c>
      <c r="EZ95" s="470">
        <f>EZ93-EZ91</f>
      </c>
      <c r="FA95" s="293"/>
      <c r="FB95" s="470"/>
      <c r="FC95" s="470"/>
      <c r="FD95" s="470"/>
      <c r="FE95" s="470"/>
      <c r="FF95" s="293"/>
      <c r="FG95" s="291"/>
      <c r="FH95" s="107"/>
      <c r="FI95" s="107"/>
      <c r="FJ95" s="107"/>
      <c r="FK95" s="293"/>
      <c r="FL95" s="291"/>
      <c r="FM95" s="107"/>
      <c r="FN95" s="107"/>
      <c r="FO95" s="107"/>
      <c r="FP95" s="293"/>
      <c r="FQ95" s="291"/>
      <c r="FR95" s="107"/>
      <c r="FS95" s="107"/>
      <c r="FT95" s="107"/>
      <c r="FU95" s="293"/>
      <c r="FV95" s="291"/>
      <c r="FW95" s="107"/>
      <c r="FX95" s="107"/>
      <c r="FY95" s="107"/>
      <c r="FZ95" s="293"/>
      <c r="GA95" s="291"/>
      <c r="GB95" s="107"/>
      <c r="GC95" s="107"/>
      <c r="GD95" s="107"/>
      <c r="GE95" s="382"/>
    </row>
    <row r="96" spans="1:187" s="537" customFormat="1" ht="12.75" customHeight="1">
      <c r="A96" s="850"/>
      <c r="B96" s="1078"/>
      <c r="C96" s="291"/>
      <c r="D96" s="137"/>
      <c r="E96" s="137"/>
      <c r="F96" s="137"/>
      <c r="G96" s="538"/>
      <c r="H96" s="291"/>
      <c r="I96" s="107"/>
      <c r="J96" s="107"/>
      <c r="K96" s="107"/>
      <c r="L96" s="293"/>
      <c r="M96" s="291"/>
      <c r="N96" s="107"/>
      <c r="O96" s="107"/>
      <c r="P96" s="107"/>
      <c r="Q96" s="293"/>
      <c r="R96" s="291"/>
      <c r="S96" s="107"/>
      <c r="T96" s="107"/>
      <c r="U96" s="107"/>
      <c r="V96" s="293"/>
      <c r="W96" s="291"/>
      <c r="X96" s="107"/>
      <c r="Y96" s="107"/>
      <c r="Z96" s="107"/>
      <c r="AA96" s="293"/>
      <c r="AB96" s="291"/>
      <c r="AC96" s="107"/>
      <c r="AD96" s="107"/>
      <c r="AE96" s="107"/>
      <c r="AF96" s="293"/>
      <c r="AG96" s="291"/>
      <c r="AH96" s="107"/>
      <c r="AI96" s="107"/>
      <c r="AJ96" s="107"/>
      <c r="AK96" s="293"/>
      <c r="AL96" s="291"/>
      <c r="AM96" s="107"/>
      <c r="AN96" s="107"/>
      <c r="AO96" s="107"/>
      <c r="AP96" s="293"/>
      <c r="AQ96" s="291"/>
      <c r="AR96" s="107"/>
      <c r="AS96" s="107"/>
      <c r="AT96" s="107"/>
      <c r="AU96" s="293"/>
      <c r="AV96" s="291"/>
      <c r="AW96" s="107"/>
      <c r="AX96" s="107"/>
      <c r="AY96" s="107"/>
      <c r="AZ96" s="293"/>
      <c r="BA96" s="291"/>
      <c r="BB96" s="107"/>
      <c r="BC96" s="107"/>
      <c r="BD96" s="107"/>
      <c r="BE96" s="293"/>
      <c r="BF96" s="291"/>
      <c r="BG96" s="107"/>
      <c r="BH96" s="107"/>
      <c r="BI96" s="107"/>
      <c r="BJ96" s="293"/>
      <c r="BK96" s="291"/>
      <c r="BL96" s="107"/>
      <c r="BM96" s="107"/>
      <c r="BN96" s="107"/>
      <c r="BO96" s="293"/>
      <c r="BP96" s="291"/>
      <c r="BQ96" s="107"/>
      <c r="BR96" s="107"/>
      <c r="BS96" s="107"/>
      <c r="BT96" s="293"/>
      <c r="BU96" s="291"/>
      <c r="BV96" s="107"/>
      <c r="BW96" s="107"/>
      <c r="BX96" s="107"/>
      <c r="BY96" s="293"/>
      <c r="BZ96" s="291"/>
      <c r="CA96" s="107"/>
      <c r="CB96" s="107"/>
      <c r="CC96" s="107"/>
      <c r="CD96" s="293"/>
      <c r="CE96" s="291"/>
      <c r="CF96" s="107"/>
      <c r="CG96" s="107"/>
      <c r="CH96" s="107"/>
      <c r="CI96" s="293"/>
      <c r="CJ96" s="291"/>
      <c r="CK96" s="107"/>
      <c r="CL96" s="107"/>
      <c r="CM96" s="107"/>
      <c r="CN96" s="293"/>
      <c r="CO96" s="291"/>
      <c r="CP96" s="107"/>
      <c r="CQ96" s="107"/>
      <c r="CR96" s="107"/>
      <c r="CS96" s="293"/>
      <c r="CT96" s="291"/>
      <c r="CU96" s="107"/>
      <c r="CV96" s="107"/>
      <c r="CW96" s="107"/>
      <c r="CX96" s="293"/>
      <c r="CY96" s="291"/>
      <c r="CZ96" s="107"/>
      <c r="DA96" s="107"/>
      <c r="DB96" s="107"/>
      <c r="DC96" s="293"/>
      <c r="DD96" s="291"/>
      <c r="DE96" s="107"/>
      <c r="DF96" s="107"/>
      <c r="DG96" s="107"/>
      <c r="DH96" s="293"/>
      <c r="DI96" s="291"/>
      <c r="DJ96" s="107"/>
      <c r="DK96" s="107"/>
      <c r="DL96" s="107"/>
      <c r="DM96" s="293"/>
      <c r="DN96" s="291"/>
      <c r="DO96" s="107"/>
      <c r="DP96" s="107"/>
      <c r="DQ96" s="107"/>
      <c r="DR96" s="293"/>
      <c r="DS96" s="291"/>
      <c r="DT96" s="107"/>
      <c r="DU96" s="107"/>
      <c r="DV96" s="107"/>
      <c r="DW96" s="293"/>
      <c r="DX96" s="291"/>
      <c r="DY96" s="107"/>
      <c r="DZ96" s="107"/>
      <c r="EA96" s="107"/>
      <c r="EB96" s="293"/>
      <c r="EC96" s="291"/>
      <c r="ED96" s="107"/>
      <c r="EE96" s="107"/>
      <c r="EF96" s="107"/>
      <c r="EG96" s="293"/>
      <c r="EH96" s="291"/>
      <c r="EI96" s="107"/>
      <c r="EJ96" s="107"/>
      <c r="EK96" s="107"/>
      <c r="EL96" s="293"/>
      <c r="EM96" s="291"/>
      <c r="EN96" s="107"/>
      <c r="EO96" s="107"/>
      <c r="EP96" s="107"/>
      <c r="EQ96" s="293"/>
      <c r="ER96" s="291"/>
      <c r="ES96" s="107"/>
      <c r="ET96" s="107"/>
      <c r="EU96" s="468"/>
      <c r="EV96" s="293"/>
      <c r="EW96" s="291"/>
      <c r="EX96" s="107"/>
      <c r="EY96" s="107"/>
      <c r="EZ96" s="468"/>
      <c r="FA96" s="293"/>
      <c r="FB96" s="291"/>
      <c r="FC96" s="107"/>
      <c r="FD96" s="107"/>
      <c r="FE96" s="468"/>
      <c r="FF96" s="293"/>
      <c r="FG96" s="291"/>
      <c r="FH96" s="107"/>
      <c r="FI96" s="107"/>
      <c r="FJ96" s="107"/>
      <c r="FK96" s="293"/>
      <c r="FL96" s="291"/>
      <c r="FM96" s="107"/>
      <c r="FN96" s="107"/>
      <c r="FO96" s="107"/>
      <c r="FP96" s="293"/>
      <c r="FQ96" s="291"/>
      <c r="FR96" s="107"/>
      <c r="FS96" s="107"/>
      <c r="FT96" s="107"/>
      <c r="FU96" s="293"/>
      <c r="FV96" s="291"/>
      <c r="FW96" s="107"/>
      <c r="FX96" s="107"/>
      <c r="FY96" s="107"/>
      <c r="FZ96" s="293"/>
      <c r="GA96" s="291"/>
      <c r="GB96" s="107"/>
      <c r="GC96" s="107"/>
      <c r="GD96" s="107"/>
      <c r="GE96" s="382"/>
    </row>
    <row r="97" spans="1:187" s="542" customFormat="1" ht="12.75" customHeight="1">
      <c r="A97" s="850"/>
      <c r="B97" s="1079" t="s">
        <v>189</v>
      </c>
      <c r="C97" s="98"/>
      <c r="D97" s="98"/>
      <c r="E97" s="98"/>
      <c r="F97" s="98"/>
      <c r="G97" s="99"/>
      <c r="H97" s="98"/>
      <c r="I97" s="98"/>
      <c r="J97" s="98"/>
      <c r="K97" s="98"/>
      <c r="L97" s="99"/>
      <c r="M97" s="1084"/>
      <c r="N97" s="1084"/>
      <c r="O97" s="1084"/>
      <c r="P97" s="1084"/>
      <c r="Q97" s="99"/>
      <c r="R97" s="1084"/>
      <c r="S97" s="1084"/>
      <c r="T97" s="1084"/>
      <c r="U97" s="1084"/>
      <c r="V97" s="99"/>
      <c r="W97" s="1084"/>
      <c r="X97" s="1084"/>
      <c r="Y97" s="1084"/>
      <c r="Z97" s="1084"/>
      <c r="AA97" s="99"/>
      <c r="AB97" s="1084"/>
      <c r="AC97" s="1084"/>
      <c r="AD97" s="1084"/>
      <c r="AE97" s="1084"/>
      <c r="AF97" s="99"/>
      <c r="AG97" s="1084"/>
      <c r="AH97" s="1084"/>
      <c r="AI97" s="1084"/>
      <c r="AJ97" s="1084"/>
      <c r="AK97" s="99"/>
      <c r="AL97" s="1084"/>
      <c r="AM97" s="1084"/>
      <c r="AN97" s="1084"/>
      <c r="AO97" s="1084"/>
      <c r="AP97" s="99"/>
      <c r="AQ97" s="1084"/>
      <c r="AR97" s="1084"/>
      <c r="AS97" s="1084"/>
      <c r="AT97" s="1084"/>
      <c r="AU97" s="99"/>
      <c r="AV97" s="1084"/>
      <c r="AW97" s="1084"/>
      <c r="AX97" s="1084"/>
      <c r="AY97" s="1084"/>
      <c r="AZ97" s="99"/>
      <c r="BA97" s="1084"/>
      <c r="BB97" s="1084"/>
      <c r="BC97" s="1084"/>
      <c r="BD97" s="1084"/>
      <c r="BE97" s="99"/>
      <c r="BF97" s="1084"/>
      <c r="BG97" s="1084"/>
      <c r="BH97" s="1084"/>
      <c r="BI97" s="1084"/>
      <c r="BJ97" s="99"/>
      <c r="BK97" s="1084"/>
      <c r="BL97" s="1084"/>
      <c r="BM97" s="1084"/>
      <c r="BN97" s="1084"/>
      <c r="BO97" s="99"/>
      <c r="BP97" s="1084"/>
      <c r="BQ97" s="1084"/>
      <c r="BR97" s="1084"/>
      <c r="BS97" s="1084"/>
      <c r="BT97" s="99"/>
      <c r="BU97" s="1084"/>
      <c r="BV97" s="1084"/>
      <c r="BW97" s="1084"/>
      <c r="BX97" s="1084"/>
      <c r="BY97" s="99"/>
      <c r="BZ97" s="1084"/>
      <c r="CA97" s="1084"/>
      <c r="CB97" s="1084"/>
      <c r="CC97" s="1084"/>
      <c r="CD97" s="99"/>
      <c r="CE97" s="1084"/>
      <c r="CF97" s="1084"/>
      <c r="CG97" s="1084"/>
      <c r="CH97" s="1084"/>
      <c r="CI97" s="99"/>
      <c r="CJ97" s="1084"/>
      <c r="CK97" s="1084"/>
      <c r="CL97" s="1084"/>
      <c r="CM97" s="1084"/>
      <c r="CN97" s="99"/>
      <c r="CO97" s="1084"/>
      <c r="CP97" s="1084"/>
      <c r="CQ97" s="1084"/>
      <c r="CR97" s="1084"/>
      <c r="CS97" s="99"/>
      <c r="CT97" s="1084"/>
      <c r="CU97" s="1084"/>
      <c r="CV97" s="1084"/>
      <c r="CW97" s="1084"/>
      <c r="CX97" s="99"/>
      <c r="CY97" s="1084"/>
      <c r="CZ97" s="1084"/>
      <c r="DA97" s="1084"/>
      <c r="DB97" s="1084"/>
      <c r="DC97" s="99"/>
      <c r="DD97" s="1084"/>
      <c r="DE97" s="1084"/>
      <c r="DF97" s="1084"/>
      <c r="DG97" s="1084"/>
      <c r="DH97" s="99"/>
      <c r="DI97" s="1084"/>
      <c r="DJ97" s="1084"/>
      <c r="DK97" s="1084"/>
      <c r="DL97" s="1084"/>
      <c r="DM97" s="99"/>
      <c r="DN97" s="1084"/>
      <c r="DO97" s="1084"/>
      <c r="DP97" s="1084"/>
      <c r="DQ97" s="1084"/>
      <c r="DR97" s="99"/>
      <c r="DS97" s="1084"/>
      <c r="DT97" s="1084"/>
      <c r="DU97" s="1084"/>
      <c r="DV97" s="1084"/>
      <c r="DW97" s="99"/>
      <c r="DX97" s="1084"/>
      <c r="DY97" s="1084"/>
      <c r="DZ97" s="1084"/>
      <c r="EA97" s="1084"/>
      <c r="EB97" s="99"/>
      <c r="EC97" s="1084"/>
      <c r="ED97" s="1084"/>
      <c r="EE97" s="1084"/>
      <c r="EF97" s="1084"/>
      <c r="EG97" s="99"/>
      <c r="EH97" s="1084"/>
      <c r="EI97" s="1084"/>
      <c r="EJ97" s="1084"/>
      <c r="EK97" s="1084"/>
      <c r="EL97" s="99"/>
      <c r="EM97" s="1084"/>
      <c r="EN97" s="1084"/>
      <c r="EO97" s="1084"/>
      <c r="EP97" s="1084"/>
      <c r="EQ97" s="99"/>
      <c r="ER97" s="1084"/>
      <c r="ES97" s="1084"/>
      <c r="ET97" s="1084"/>
      <c r="EU97" s="1423"/>
      <c r="EV97" s="99"/>
      <c r="EW97" s="1084"/>
      <c r="EX97" s="1084"/>
      <c r="EY97" s="1084"/>
      <c r="EZ97" s="1423"/>
      <c r="FA97" s="99"/>
      <c r="FB97" s="1084"/>
      <c r="FC97" s="1084"/>
      <c r="FD97" s="1084"/>
      <c r="FE97" s="1423"/>
      <c r="FF97" s="99"/>
      <c r="FG97" s="1084"/>
      <c r="FH97" s="1084"/>
      <c r="FI97" s="1084"/>
      <c r="FJ97" s="1084"/>
      <c r="FK97" s="99"/>
      <c r="FL97" s="1084"/>
      <c r="FM97" s="1084"/>
      <c r="FN97" s="1084"/>
      <c r="FO97" s="1084"/>
      <c r="FP97" s="99"/>
      <c r="FQ97" s="1084"/>
      <c r="FR97" s="1084"/>
      <c r="FS97" s="1084"/>
      <c r="FT97" s="1084"/>
      <c r="FU97" s="99"/>
      <c r="FV97" s="1084"/>
      <c r="FW97" s="1084"/>
      <c r="FX97" s="1084"/>
      <c r="FY97" s="1084"/>
      <c r="FZ97" s="99"/>
      <c r="GA97" s="1084"/>
      <c r="GB97" s="1084"/>
      <c r="GC97" s="1084"/>
      <c r="GD97" s="1084"/>
      <c r="GE97" s="1085"/>
    </row>
    <row r="98" spans="1:187" s="537" customFormat="1" ht="12.75" customHeight="1">
      <c r="A98" s="850" t="s">
        <v>1895</v>
      </c>
      <c r="B98" s="1078" t="s">
        <v>377</v>
      </c>
      <c r="C98" s="412"/>
      <c r="D98" s="758"/>
      <c r="E98" s="758"/>
      <c r="F98" s="758"/>
      <c r="G98" s="1113"/>
      <c r="H98" s="412"/>
      <c r="I98" s="114"/>
      <c r="J98" s="114"/>
      <c r="K98" s="114"/>
      <c r="L98" s="414"/>
      <c r="M98" s="412"/>
      <c r="N98" s="114"/>
      <c r="O98" s="114"/>
      <c r="P98" s="114"/>
      <c r="Q98" s="414"/>
      <c r="R98" s="412"/>
      <c r="S98" s="114"/>
      <c r="T98" s="114"/>
      <c r="U98" s="114"/>
      <c r="V98" s="414"/>
      <c r="W98" s="412"/>
      <c r="X98" s="114"/>
      <c r="Y98" s="114"/>
      <c r="Z98" s="114"/>
      <c r="AA98" s="414"/>
      <c r="AB98" s="412"/>
      <c r="AC98" s="114"/>
      <c r="AD98" s="114"/>
      <c r="AE98" s="114"/>
      <c r="AF98" s="414"/>
      <c r="AG98" s="412"/>
      <c r="AH98" s="114"/>
      <c r="AI98" s="114"/>
      <c r="AJ98" s="114"/>
      <c r="AK98" s="414"/>
      <c r="AL98" s="412"/>
      <c r="AM98" s="114"/>
      <c r="AN98" s="114"/>
      <c r="AO98" s="114"/>
      <c r="AP98" s="414"/>
      <c r="AQ98" s="412"/>
      <c r="AR98" s="114"/>
      <c r="AS98" s="114"/>
      <c r="AT98" s="114"/>
      <c r="AU98" s="414"/>
      <c r="AV98" s="412"/>
      <c r="AW98" s="114"/>
      <c r="AX98" s="114"/>
      <c r="AY98" s="114"/>
      <c r="AZ98" s="414"/>
      <c r="BA98" s="412"/>
      <c r="BB98" s="114"/>
      <c r="BC98" s="114"/>
      <c r="BD98" s="114"/>
      <c r="BE98" s="414"/>
      <c r="BF98" s="412"/>
      <c r="BG98" s="114"/>
      <c r="BH98" s="114"/>
      <c r="BI98" s="114"/>
      <c r="BJ98" s="414"/>
      <c r="BK98" s="412"/>
      <c r="BL98" s="114"/>
      <c r="BM98" s="114"/>
      <c r="BN98" s="114"/>
      <c r="BO98" s="414"/>
      <c r="BP98" s="412"/>
      <c r="BQ98" s="114"/>
      <c r="BR98" s="114"/>
      <c r="BS98" s="114"/>
      <c r="BT98" s="414"/>
      <c r="BU98" s="412"/>
      <c r="BV98" s="114"/>
      <c r="BW98" s="114"/>
      <c r="BX98" s="114"/>
      <c r="BY98" s="414"/>
      <c r="BZ98" s="412"/>
      <c r="CA98" s="114"/>
      <c r="CB98" s="114"/>
      <c r="CC98" s="114"/>
      <c r="CD98" s="414"/>
      <c r="CE98" s="412"/>
      <c r="CF98" s="114"/>
      <c r="CG98" s="114"/>
      <c r="CH98" s="114"/>
      <c r="CI98" s="414"/>
      <c r="CJ98" s="412"/>
      <c r="CK98" s="114"/>
      <c r="CL98" s="114"/>
      <c r="CM98" s="114"/>
      <c r="CN98" s="414"/>
      <c r="CO98" s="412"/>
      <c r="CP98" s="114"/>
      <c r="CQ98" s="114"/>
      <c r="CR98" s="114"/>
      <c r="CS98" s="414"/>
      <c r="CT98" s="412"/>
      <c r="CU98" s="114"/>
      <c r="CV98" s="114"/>
      <c r="CW98" s="114"/>
      <c r="CX98" s="414"/>
      <c r="CY98" s="412"/>
      <c r="CZ98" s="114"/>
      <c r="DA98" s="114"/>
      <c r="DB98" s="114"/>
      <c r="DC98" s="414"/>
      <c r="DD98" s="412"/>
      <c r="DE98" s="114"/>
      <c r="DF98" s="114"/>
      <c r="DG98" s="114"/>
      <c r="DH98" s="414"/>
      <c r="DI98" s="412"/>
      <c r="DJ98" s="114"/>
      <c r="DK98" s="114"/>
      <c r="DL98" s="114"/>
      <c r="DM98" s="414"/>
      <c r="DN98" s="412"/>
      <c r="DO98" s="114"/>
      <c r="DP98" s="114"/>
      <c r="DQ98" s="114"/>
      <c r="DR98" s="414"/>
      <c r="DS98" s="412"/>
      <c r="DT98" s="114"/>
      <c r="DU98" s="114"/>
      <c r="DV98" s="114"/>
      <c r="DW98" s="414"/>
      <c r="DX98" s="412">
        <v>0.16</v>
      </c>
      <c r="DY98" s="114">
        <v>0.18</v>
      </c>
      <c r="DZ98" s="114">
        <v>0.16</v>
      </c>
      <c r="EA98" s="114">
        <v>0.18</v>
      </c>
      <c r="EB98" s="414"/>
      <c r="EC98" s="412">
        <v>0.16</v>
      </c>
      <c r="ED98" s="114">
        <v>0.16</v>
      </c>
      <c r="EE98" s="114">
        <v>0.15</v>
      </c>
      <c r="EF98" s="114">
        <v>0.16</v>
      </c>
      <c r="EG98" s="414"/>
      <c r="EH98" s="412">
        <v>0.16</v>
      </c>
      <c r="EI98" s="114">
        <v>0.17</v>
      </c>
      <c r="EJ98" s="114">
        <v>0.18</v>
      </c>
      <c r="EK98" s="114">
        <v>0.18</v>
      </c>
      <c r="EL98" s="414"/>
      <c r="EM98" s="412">
        <v>0.19</v>
      </c>
      <c r="EN98" s="114">
        <v>0.19</v>
      </c>
      <c r="EO98" s="114">
        <v>0.19</v>
      </c>
      <c r="EP98" s="114">
        <v>0.19</v>
      </c>
      <c r="EQ98" s="414"/>
      <c r="ER98" s="412">
        <v>0.19</v>
      </c>
      <c r="ES98" s="114">
        <v>0.19</v>
      </c>
      <c r="ET98" s="114">
        <v>0.18</v>
      </c>
      <c r="EU98" s="439">
        <v>0.18</v>
      </c>
      <c r="EV98" s="293"/>
      <c r="EW98" s="441">
        <v>0.19</v>
      </c>
      <c r="EX98" s="114">
        <v>0.19</v>
      </c>
      <c r="EY98" s="114">
        <v>0.18</v>
      </c>
      <c r="EZ98" s="439">
        <v>0.19</v>
      </c>
      <c r="FA98" s="293"/>
      <c r="FB98" s="441"/>
      <c r="FC98" s="114"/>
      <c r="FD98" s="114"/>
      <c r="FE98" s="439"/>
      <c r="FF98" s="293"/>
      <c r="FG98" s="291"/>
      <c r="FH98" s="107"/>
      <c r="FI98" s="107"/>
      <c r="FJ98" s="107"/>
      <c r="FK98" s="293"/>
      <c r="FL98" s="291"/>
      <c r="FM98" s="107"/>
      <c r="FN98" s="107"/>
      <c r="FO98" s="107"/>
      <c r="FP98" s="293"/>
      <c r="FQ98" s="291"/>
      <c r="FR98" s="107"/>
      <c r="FS98" s="107"/>
      <c r="FT98" s="107"/>
      <c r="FU98" s="293"/>
      <c r="FV98" s="291"/>
      <c r="FW98" s="107"/>
      <c r="FX98" s="107"/>
      <c r="FY98" s="107"/>
      <c r="FZ98" s="293"/>
      <c r="GA98" s="291"/>
      <c r="GB98" s="107"/>
      <c r="GC98" s="107"/>
      <c r="GD98" s="107"/>
      <c r="GE98" s="382"/>
    </row>
    <row r="99" spans="1:187" s="537" customFormat="1" ht="12.75" customHeight="1">
      <c r="A99" s="850" t="s">
        <v>1896</v>
      </c>
      <c r="B99" s="1078" t="s">
        <v>378</v>
      </c>
      <c r="C99" s="412"/>
      <c r="D99" s="758"/>
      <c r="E99" s="758"/>
      <c r="F99" s="758"/>
      <c r="G99" s="1113"/>
      <c r="H99" s="412"/>
      <c r="I99" s="114"/>
      <c r="J99" s="114"/>
      <c r="K99" s="114"/>
      <c r="L99" s="414"/>
      <c r="M99" s="412"/>
      <c r="N99" s="114"/>
      <c r="O99" s="114"/>
      <c r="P99" s="114"/>
      <c r="Q99" s="414"/>
      <c r="R99" s="412"/>
      <c r="S99" s="114"/>
      <c r="T99" s="114"/>
      <c r="U99" s="114"/>
      <c r="V99" s="414"/>
      <c r="W99" s="412"/>
      <c r="X99" s="114"/>
      <c r="Y99" s="114"/>
      <c r="Z99" s="114"/>
      <c r="AA99" s="414"/>
      <c r="AB99" s="412"/>
      <c r="AC99" s="114"/>
      <c r="AD99" s="114"/>
      <c r="AE99" s="114"/>
      <c r="AF99" s="414"/>
      <c r="AG99" s="412"/>
      <c r="AH99" s="114"/>
      <c r="AI99" s="114"/>
      <c r="AJ99" s="114"/>
      <c r="AK99" s="414"/>
      <c r="AL99" s="412"/>
      <c r="AM99" s="114"/>
      <c r="AN99" s="114"/>
      <c r="AO99" s="114"/>
      <c r="AP99" s="414"/>
      <c r="AQ99" s="412"/>
      <c r="AR99" s="114"/>
      <c r="AS99" s="114"/>
      <c r="AT99" s="114"/>
      <c r="AU99" s="414"/>
      <c r="AV99" s="412"/>
      <c r="AW99" s="114"/>
      <c r="AX99" s="114"/>
      <c r="AY99" s="114"/>
      <c r="AZ99" s="414"/>
      <c r="BA99" s="412"/>
      <c r="BB99" s="114"/>
      <c r="BC99" s="114"/>
      <c r="BD99" s="114"/>
      <c r="BE99" s="414"/>
      <c r="BF99" s="412"/>
      <c r="BG99" s="114"/>
      <c r="BH99" s="114"/>
      <c r="BI99" s="114"/>
      <c r="BJ99" s="414"/>
      <c r="BK99" s="412"/>
      <c r="BL99" s="114"/>
      <c r="BM99" s="114"/>
      <c r="BN99" s="114"/>
      <c r="BO99" s="414"/>
      <c r="BP99" s="412"/>
      <c r="BQ99" s="114"/>
      <c r="BR99" s="114"/>
      <c r="BS99" s="114"/>
      <c r="BT99" s="414"/>
      <c r="BU99" s="412"/>
      <c r="BV99" s="114"/>
      <c r="BW99" s="114"/>
      <c r="BX99" s="114"/>
      <c r="BY99" s="414"/>
      <c r="BZ99" s="412"/>
      <c r="CA99" s="114"/>
      <c r="CB99" s="114"/>
      <c r="CC99" s="114"/>
      <c r="CD99" s="414"/>
      <c r="CE99" s="412"/>
      <c r="CF99" s="114"/>
      <c r="CG99" s="114"/>
      <c r="CH99" s="114"/>
      <c r="CI99" s="414"/>
      <c r="CJ99" s="412"/>
      <c r="CK99" s="114"/>
      <c r="CL99" s="114"/>
      <c r="CM99" s="114"/>
      <c r="CN99" s="414"/>
      <c r="CO99" s="412"/>
      <c r="CP99" s="114"/>
      <c r="CQ99" s="114"/>
      <c r="CR99" s="114"/>
      <c r="CS99" s="414"/>
      <c r="CT99" s="412"/>
      <c r="CU99" s="114"/>
      <c r="CV99" s="114"/>
      <c r="CW99" s="114"/>
      <c r="CX99" s="414"/>
      <c r="CY99" s="412"/>
      <c r="CZ99" s="114"/>
      <c r="DA99" s="114"/>
      <c r="DB99" s="114"/>
      <c r="DC99" s="414"/>
      <c r="DD99" s="412"/>
      <c r="DE99" s="114"/>
      <c r="DF99" s="114"/>
      <c r="DG99" s="114"/>
      <c r="DH99" s="414"/>
      <c r="DI99" s="412"/>
      <c r="DJ99" s="114"/>
      <c r="DK99" s="114"/>
      <c r="DL99" s="114"/>
      <c r="DM99" s="414"/>
      <c r="DN99" s="412"/>
      <c r="DO99" s="114"/>
      <c r="DP99" s="114"/>
      <c r="DQ99" s="114"/>
      <c r="DR99" s="414"/>
      <c r="DS99" s="412"/>
      <c r="DT99" s="114"/>
      <c r="DU99" s="114"/>
      <c r="DV99" s="114"/>
      <c r="DW99" s="414"/>
      <c r="DX99" s="412">
        <v>0.16</v>
      </c>
      <c r="DY99" s="114">
        <v>0.18</v>
      </c>
      <c r="DZ99" s="114">
        <v>0.16</v>
      </c>
      <c r="EA99" s="114">
        <v>0.18</v>
      </c>
      <c r="EB99" s="414"/>
      <c r="EC99" s="412">
        <v>0.16</v>
      </c>
      <c r="ED99" s="114">
        <v>0.16</v>
      </c>
      <c r="EE99" s="114">
        <v>0.15</v>
      </c>
      <c r="EF99" s="114">
        <v>0.16</v>
      </c>
      <c r="EG99" s="414"/>
      <c r="EH99" s="412">
        <v>0.16</v>
      </c>
      <c r="EI99" s="114">
        <v>0.17</v>
      </c>
      <c r="EJ99" s="114">
        <v>0.18</v>
      </c>
      <c r="EK99" s="114">
        <v>0.18</v>
      </c>
      <c r="EL99" s="414"/>
      <c r="EM99" s="412">
        <v>0.19</v>
      </c>
      <c r="EN99" s="114">
        <v>0.2</v>
      </c>
      <c r="EO99" s="114">
        <v>0.2</v>
      </c>
      <c r="EP99" s="114">
        <v>0.19</v>
      </c>
      <c r="EQ99" s="414"/>
      <c r="ER99" s="412">
        <v>0.19</v>
      </c>
      <c r="ES99" s="114">
        <v>0.2</v>
      </c>
      <c r="ET99" s="114">
        <v>0.18</v>
      </c>
      <c r="EU99" s="439">
        <v>0.18</v>
      </c>
      <c r="EV99" s="293"/>
      <c r="EW99" s="441">
        <v>0.19</v>
      </c>
      <c r="EX99" s="114">
        <v>0.19</v>
      </c>
      <c r="EY99" s="114">
        <v>0.18</v>
      </c>
      <c r="EZ99" s="439">
        <v>0.19</v>
      </c>
      <c r="FA99" s="293"/>
      <c r="FB99" s="441"/>
      <c r="FC99" s="114"/>
      <c r="FD99" s="114"/>
      <c r="FE99" s="439"/>
      <c r="FF99" s="293"/>
      <c r="FG99" s="291"/>
      <c r="FH99" s="107"/>
      <c r="FI99" s="107"/>
      <c r="FJ99" s="107"/>
      <c r="FK99" s="293"/>
      <c r="FL99" s="291"/>
      <c r="FM99" s="107"/>
      <c r="FN99" s="107"/>
      <c r="FO99" s="107"/>
      <c r="FP99" s="293"/>
      <c r="FQ99" s="291"/>
      <c r="FR99" s="107"/>
      <c r="FS99" s="107"/>
      <c r="FT99" s="107"/>
      <c r="FU99" s="293"/>
      <c r="FV99" s="291"/>
      <c r="FW99" s="107"/>
      <c r="FX99" s="107"/>
      <c r="FY99" s="107"/>
      <c r="FZ99" s="293"/>
      <c r="GA99" s="291"/>
      <c r="GB99" s="107"/>
      <c r="GC99" s="107"/>
      <c r="GD99" s="107"/>
      <c r="GE99" s="382"/>
    </row>
    <row r="100" spans="1:187" s="537" customFormat="1" ht="12.75" customHeight="1">
      <c r="A100" s="850" t="s">
        <v>470</v>
      </c>
      <c r="B100" s="1078" t="s">
        <v>401</v>
      </c>
      <c r="C100" s="291"/>
      <c r="D100" s="137"/>
      <c r="E100" s="137"/>
      <c r="F100" s="137"/>
      <c r="G100" s="538"/>
      <c r="H100" s="291"/>
      <c r="I100" s="107"/>
      <c r="J100" s="107"/>
      <c r="K100" s="107"/>
      <c r="L100" s="293"/>
      <c r="M100" s="291"/>
      <c r="N100" s="107"/>
      <c r="O100" s="107"/>
      <c r="P100" s="107"/>
      <c r="Q100" s="293"/>
      <c r="R100" s="291"/>
      <c r="S100" s="107"/>
      <c r="T100" s="107"/>
      <c r="U100" s="107"/>
      <c r="V100" s="293"/>
      <c r="W100" s="291"/>
      <c r="X100" s="107"/>
      <c r="Y100" s="107"/>
      <c r="Z100" s="107"/>
      <c r="AA100" s="293"/>
      <c r="AB100" s="291"/>
      <c r="AC100" s="107"/>
      <c r="AD100" s="107"/>
      <c r="AE100" s="107"/>
      <c r="AF100" s="293"/>
      <c r="AG100" s="291"/>
      <c r="AH100" s="107"/>
      <c r="AI100" s="107"/>
      <c r="AJ100" s="107"/>
      <c r="AK100" s="293"/>
      <c r="AL100" s="291"/>
      <c r="AM100" s="107"/>
      <c r="AN100" s="107"/>
      <c r="AO100" s="107"/>
      <c r="AP100" s="293"/>
      <c r="AQ100" s="291"/>
      <c r="AR100" s="107"/>
      <c r="AS100" s="107"/>
      <c r="AT100" s="107"/>
      <c r="AU100" s="293"/>
      <c r="AV100" s="291"/>
      <c r="AW100" s="107"/>
      <c r="AX100" s="107"/>
      <c r="AY100" s="107"/>
      <c r="AZ100" s="293"/>
      <c r="BA100" s="291"/>
      <c r="BB100" s="107"/>
      <c r="BC100" s="107"/>
      <c r="BD100" s="107"/>
      <c r="BE100" s="293"/>
      <c r="BF100" s="291"/>
      <c r="BG100" s="107"/>
      <c r="BH100" s="107"/>
      <c r="BI100" s="107"/>
      <c r="BJ100" s="293"/>
      <c r="BK100" s="291"/>
      <c r="BL100" s="107"/>
      <c r="BM100" s="107"/>
      <c r="BN100" s="107"/>
      <c r="BO100" s="293"/>
      <c r="BP100" s="291"/>
      <c r="BQ100" s="107"/>
      <c r="BR100" s="107"/>
      <c r="BS100" s="107"/>
      <c r="BT100" s="293"/>
      <c r="BU100" s="291"/>
      <c r="BV100" s="107"/>
      <c r="BW100" s="107"/>
      <c r="BX100" s="107"/>
      <c r="BY100" s="293"/>
      <c r="BZ100" s="291"/>
      <c r="CA100" s="107"/>
      <c r="CB100" s="107"/>
      <c r="CC100" s="107"/>
      <c r="CD100" s="293"/>
      <c r="CE100" s="291"/>
      <c r="CF100" s="107"/>
      <c r="CG100" s="107"/>
      <c r="CH100" s="107"/>
      <c r="CI100" s="293"/>
      <c r="CJ100" s="291"/>
      <c r="CK100" s="107"/>
      <c r="CL100" s="107"/>
      <c r="CM100" s="107"/>
      <c r="CN100" s="293"/>
      <c r="CO100" s="291"/>
      <c r="CP100" s="107"/>
      <c r="CQ100" s="107"/>
      <c r="CR100" s="107"/>
      <c r="CS100" s="293"/>
      <c r="CT100" s="291"/>
      <c r="CU100" s="107"/>
      <c r="CV100" s="107"/>
      <c r="CW100" s="107"/>
      <c r="CX100" s="293"/>
      <c r="CY100" s="291"/>
      <c r="CZ100" s="107"/>
      <c r="DA100" s="107"/>
      <c r="DB100" s="107"/>
      <c r="DC100" s="293"/>
      <c r="DD100" s="291"/>
      <c r="DE100" s="107"/>
      <c r="DF100" s="107"/>
      <c r="DG100" s="107"/>
      <c r="DH100" s="293"/>
      <c r="DI100" s="291"/>
      <c r="DJ100" s="107"/>
      <c r="DK100" s="107"/>
      <c r="DL100" s="107"/>
      <c r="DM100" s="293"/>
      <c r="DN100" s="291"/>
      <c r="DO100" s="107"/>
      <c r="DP100" s="107"/>
      <c r="DQ100" s="107"/>
      <c r="DR100" s="293"/>
      <c r="DS100" s="291"/>
      <c r="DT100" s="107"/>
      <c r="DU100" s="107"/>
      <c r="DV100" s="107"/>
      <c r="DW100" s="293"/>
      <c r="DX100" s="107">
        <f>IFERROR(AVERAGE(DX98:DX99),"--")</f>
      </c>
      <c r="DY100" s="107">
        <f>IFERROR(AVERAGE(DY98:DY99),"--")</f>
      </c>
      <c r="DZ100" s="107">
        <f>IFERROR(AVERAGE(DZ98:DZ99),"--")</f>
      </c>
      <c r="EA100" s="107">
        <f>IFERROR(AVERAGE(EA98:EA99),"--")</f>
      </c>
      <c r="EB100" s="293"/>
      <c r="EC100" s="107">
        <f>IFERROR(AVERAGE(EC98:EC99),"--")</f>
      </c>
      <c r="ED100" s="107">
        <f>IFERROR(AVERAGE(ED98:ED99),"--")</f>
      </c>
      <c r="EE100" s="107">
        <f>IFERROR(AVERAGE(EE98:EE99),"--")</f>
      </c>
      <c r="EF100" s="107">
        <f>IFERROR(AVERAGE(EF98:EF99),"--")</f>
      </c>
      <c r="EG100" s="293"/>
      <c r="EH100" s="107">
        <f>IFERROR(AVERAGE(EH98:EH99),"--")</f>
      </c>
      <c r="EI100" s="107">
        <f>IFERROR(AVERAGE(EI98:EI99),"--")</f>
      </c>
      <c r="EJ100" s="107">
        <f>IFERROR(AVERAGE(EJ98:EJ99),"--")</f>
      </c>
      <c r="EK100" s="107">
        <f>IFERROR(AVERAGE(EK98:EK99),"--")</f>
      </c>
      <c r="EL100" s="293"/>
      <c r="EM100" s="107">
        <f>IFERROR(AVERAGE(EM98:EM99),"--")</f>
      </c>
      <c r="EN100" s="107">
        <f>IFERROR(AVERAGE(EN98:EN99),"--")</f>
      </c>
      <c r="EO100" s="107">
        <f>IFERROR(AVERAGE(EO98:EO99),"--")</f>
      </c>
      <c r="EP100" s="107">
        <f>IFERROR(AVERAGE(EP98:EP99),"--")</f>
      </c>
      <c r="EQ100" s="293"/>
      <c r="ER100" s="107">
        <f>IFERROR(AVERAGE(ER98:ER99),"--")</f>
      </c>
      <c r="ES100" s="107">
        <f>IFERROR(AVERAGE(ES98:ES99),"--")</f>
      </c>
      <c r="ET100" s="107">
        <f>IFERROR(AVERAGE(ET98:ET99),"--")</f>
      </c>
      <c r="EU100" s="468">
        <f>IFERROR(AVERAGE(EU98:EU99),"--")</f>
      </c>
      <c r="EV100" s="293"/>
      <c r="EW100" s="107">
        <f>IFERROR(AVERAGE(EW98:EW99),"--")</f>
      </c>
      <c r="EX100" s="107">
        <f>IFERROR(AVERAGE(EX98:EX99),"--")</f>
      </c>
      <c r="EY100" s="107">
        <f>IFERROR(AVERAGE(EY98:EY99),"--")</f>
      </c>
      <c r="EZ100" s="107">
        <f>IFERROR(AVERAGE(EZ98:EZ99),"--")</f>
      </c>
      <c r="FA100" s="293"/>
      <c r="FB100" s="107" t="str">
        <f>IFERROR(AVERAGE(FB98:FB99),"--")</f>
      </c>
      <c r="FC100" s="107"/>
      <c r="FD100" s="107"/>
      <c r="FE100" s="107"/>
      <c r="FF100" s="293"/>
      <c r="FG100" s="291"/>
      <c r="FH100" s="107"/>
      <c r="FI100" s="107"/>
      <c r="FJ100" s="107"/>
      <c r="FK100" s="293"/>
      <c r="FL100" s="291"/>
      <c r="FM100" s="107"/>
      <c r="FN100" s="107"/>
      <c r="FO100" s="107"/>
      <c r="FP100" s="293"/>
      <c r="FQ100" s="291"/>
      <c r="FR100" s="107"/>
      <c r="FS100" s="107"/>
      <c r="FT100" s="107"/>
      <c r="FU100" s="293"/>
      <c r="FV100" s="291"/>
      <c r="FW100" s="107"/>
      <c r="FX100" s="107"/>
      <c r="FY100" s="107"/>
      <c r="FZ100" s="293"/>
      <c r="GA100" s="291"/>
      <c r="GB100" s="107"/>
      <c r="GC100" s="107"/>
      <c r="GD100" s="107"/>
      <c r="GE100" s="382"/>
    </row>
    <row r="101" spans="1:187" s="537" customFormat="1" ht="12.75" customHeight="1">
      <c r="A101" s="850"/>
      <c r="B101" s="1078"/>
      <c r="C101" s="291"/>
      <c r="D101" s="137"/>
      <c r="E101" s="137"/>
      <c r="F101" s="137"/>
      <c r="G101" s="538"/>
      <c r="H101" s="291"/>
      <c r="I101" s="107"/>
      <c r="J101" s="107"/>
      <c r="K101" s="107"/>
      <c r="L101" s="293"/>
      <c r="M101" s="291"/>
      <c r="N101" s="107"/>
      <c r="O101" s="107"/>
      <c r="P101" s="107"/>
      <c r="Q101" s="293"/>
      <c r="R101" s="291"/>
      <c r="S101" s="107"/>
      <c r="T101" s="107"/>
      <c r="U101" s="107"/>
      <c r="V101" s="293"/>
      <c r="W101" s="291"/>
      <c r="X101" s="107"/>
      <c r="Y101" s="107"/>
      <c r="Z101" s="107"/>
      <c r="AA101" s="293"/>
      <c r="AB101" s="291"/>
      <c r="AC101" s="107"/>
      <c r="AD101" s="107"/>
      <c r="AE101" s="107"/>
      <c r="AF101" s="293"/>
      <c r="AG101" s="291"/>
      <c r="AH101" s="107"/>
      <c r="AI101" s="107"/>
      <c r="AJ101" s="107"/>
      <c r="AK101" s="293"/>
      <c r="AL101" s="291"/>
      <c r="AM101" s="107"/>
      <c r="AN101" s="107"/>
      <c r="AO101" s="107"/>
      <c r="AP101" s="293"/>
      <c r="AQ101" s="291"/>
      <c r="AR101" s="107"/>
      <c r="AS101" s="107"/>
      <c r="AT101" s="107"/>
      <c r="AU101" s="293"/>
      <c r="AV101" s="291"/>
      <c r="AW101" s="107"/>
      <c r="AX101" s="107"/>
      <c r="AY101" s="107"/>
      <c r="AZ101" s="293"/>
      <c r="BA101" s="291"/>
      <c r="BB101" s="107"/>
      <c r="BC101" s="107"/>
      <c r="BD101" s="107"/>
      <c r="BE101" s="293"/>
      <c r="BF101" s="291"/>
      <c r="BG101" s="107"/>
      <c r="BH101" s="107"/>
      <c r="BI101" s="107"/>
      <c r="BJ101" s="293"/>
      <c r="BK101" s="291"/>
      <c r="BL101" s="107"/>
      <c r="BM101" s="107"/>
      <c r="BN101" s="107"/>
      <c r="BO101" s="293"/>
      <c r="BP101" s="291"/>
      <c r="BQ101" s="107"/>
      <c r="BR101" s="107"/>
      <c r="BS101" s="107"/>
      <c r="BT101" s="293"/>
      <c r="BU101" s="291"/>
      <c r="BV101" s="107"/>
      <c r="BW101" s="107"/>
      <c r="BX101" s="107"/>
      <c r="BY101" s="293"/>
      <c r="BZ101" s="291"/>
      <c r="CA101" s="107"/>
      <c r="CB101" s="107"/>
      <c r="CC101" s="107"/>
      <c r="CD101" s="293"/>
      <c r="CE101" s="291"/>
      <c r="CF101" s="107"/>
      <c r="CG101" s="107"/>
      <c r="CH101" s="107"/>
      <c r="CI101" s="293"/>
      <c r="CJ101" s="291"/>
      <c r="CK101" s="107"/>
      <c r="CL101" s="107"/>
      <c r="CM101" s="107"/>
      <c r="CN101" s="293"/>
      <c r="CO101" s="291"/>
      <c r="CP101" s="107"/>
      <c r="CQ101" s="107"/>
      <c r="CR101" s="107"/>
      <c r="CS101" s="293"/>
      <c r="CT101" s="291"/>
      <c r="CU101" s="107"/>
      <c r="CV101" s="107"/>
      <c r="CW101" s="107"/>
      <c r="CX101" s="293"/>
      <c r="CY101" s="291"/>
      <c r="CZ101" s="107"/>
      <c r="DA101" s="107"/>
      <c r="DB101" s="107"/>
      <c r="DC101" s="293"/>
      <c r="DD101" s="291"/>
      <c r="DE101" s="107"/>
      <c r="DF101" s="107"/>
      <c r="DG101" s="107"/>
      <c r="DH101" s="293"/>
      <c r="DI101" s="291"/>
      <c r="DJ101" s="107"/>
      <c r="DK101" s="107"/>
      <c r="DL101" s="107"/>
      <c r="DM101" s="293"/>
      <c r="DN101" s="291"/>
      <c r="DO101" s="107"/>
      <c r="DP101" s="107"/>
      <c r="DQ101" s="107"/>
      <c r="DR101" s="293"/>
      <c r="DS101" s="291"/>
      <c r="DT101" s="107"/>
      <c r="DU101" s="107"/>
      <c r="DV101" s="107"/>
      <c r="DW101" s="293"/>
      <c r="DX101" s="291"/>
      <c r="DY101" s="107"/>
      <c r="DZ101" s="107"/>
      <c r="EA101" s="107"/>
      <c r="EB101" s="293"/>
      <c r="EC101" s="291"/>
      <c r="ED101" s="107"/>
      <c r="EE101" s="107"/>
      <c r="EF101" s="107"/>
      <c r="EG101" s="293"/>
      <c r="EH101" s="291"/>
      <c r="EI101" s="107"/>
      <c r="EJ101" s="107"/>
      <c r="EK101" s="107"/>
      <c r="EL101" s="293"/>
      <c r="EM101" s="291"/>
      <c r="EN101" s="107"/>
      <c r="EO101" s="107"/>
      <c r="EP101" s="107"/>
      <c r="EQ101" s="293"/>
      <c r="ER101" s="291"/>
      <c r="ES101" s="107"/>
      <c r="ET101" s="107"/>
      <c r="EU101" s="468"/>
      <c r="EV101" s="293"/>
      <c r="EW101" s="291"/>
      <c r="EX101" s="291"/>
      <c r="EY101" s="107"/>
      <c r="EZ101" s="291"/>
      <c r="FA101" s="293"/>
      <c r="FB101" s="291"/>
      <c r="FC101" s="291"/>
      <c r="FD101" s="107"/>
      <c r="FE101" s="468"/>
      <c r="FF101" s="293"/>
      <c r="FG101" s="291"/>
      <c r="FH101" s="107"/>
      <c r="FI101" s="107"/>
      <c r="FJ101" s="107"/>
      <c r="FK101" s="293"/>
      <c r="FL101" s="291"/>
      <c r="FM101" s="107"/>
      <c r="FN101" s="107"/>
      <c r="FO101" s="107"/>
      <c r="FP101" s="293"/>
      <c r="FQ101" s="291"/>
      <c r="FR101" s="107"/>
      <c r="FS101" s="107"/>
      <c r="FT101" s="107"/>
      <c r="FU101" s="293"/>
      <c r="FV101" s="291"/>
      <c r="FW101" s="107"/>
      <c r="FX101" s="107"/>
      <c r="FY101" s="107"/>
      <c r="FZ101" s="293"/>
      <c r="GA101" s="291"/>
      <c r="GB101" s="107"/>
      <c r="GC101" s="107"/>
      <c r="GD101" s="107"/>
      <c r="GE101" s="382"/>
    </row>
    <row r="102" spans="1:187" s="537" customFormat="1" ht="12.75" customHeight="1">
      <c r="A102" s="850" t="s">
        <v>473</v>
      </c>
      <c r="B102" s="1080" t="s">
        <v>317</v>
      </c>
      <c r="C102" s="1070">
        <f>IS!C137</f>
      </c>
      <c r="D102" s="1071">
        <f>IS!D137</f>
      </c>
      <c r="E102" s="1071">
        <f>IS!E137</f>
      </c>
      <c r="F102" s="1071">
        <f>IS!F137</f>
      </c>
      <c r="G102" s="1072">
        <f>IS!G137</f>
      </c>
      <c r="H102" s="1070">
        <f>IS!H137</f>
      </c>
      <c r="I102" s="1073">
        <f>IS!I137</f>
      </c>
      <c r="J102" s="1073">
        <f>IS!J137</f>
      </c>
      <c r="K102" s="1073">
        <f>IS!K137</f>
      </c>
      <c r="L102" s="1074">
        <f>IS!L137</f>
      </c>
      <c r="M102" s="1070">
        <f>IS!M137</f>
      </c>
      <c r="N102" s="1073">
        <f>IS!N137</f>
      </c>
      <c r="O102" s="1073">
        <f>IS!O137</f>
      </c>
      <c r="P102" s="1073">
        <f>IS!P137</f>
      </c>
      <c r="Q102" s="1074">
        <f>IS!Q137</f>
      </c>
      <c r="R102" s="1070">
        <f>IS!R137</f>
      </c>
      <c r="S102" s="1073">
        <f>IS!S137</f>
      </c>
      <c r="T102" s="1073">
        <f>IS!T137</f>
      </c>
      <c r="U102" s="1073">
        <f>IS!U137</f>
      </c>
      <c r="V102" s="1074">
        <f>IS!V137</f>
      </c>
      <c r="W102" s="1070">
        <f>IS!W137</f>
      </c>
      <c r="X102" s="1073">
        <f>IS!X137</f>
      </c>
      <c r="Y102" s="1073">
        <f>IS!Y137</f>
      </c>
      <c r="Z102" s="1073">
        <f>IS!Z137</f>
      </c>
      <c r="AA102" s="1074">
        <f>IS!AA137</f>
      </c>
      <c r="AB102" s="1070">
        <f>IS!AB137</f>
      </c>
      <c r="AC102" s="1073">
        <f>IS!AC137</f>
      </c>
      <c r="AD102" s="1073">
        <f>IS!AD137</f>
      </c>
      <c r="AE102" s="1073">
        <f>IS!AE137</f>
      </c>
      <c r="AF102" s="1074">
        <f>IS!AF137</f>
      </c>
      <c r="AG102" s="1070">
        <f>IS!AG137</f>
      </c>
      <c r="AH102" s="1073">
        <f>IS!AH137</f>
      </c>
      <c r="AI102" s="1073">
        <f>IS!AI137</f>
      </c>
      <c r="AJ102" s="1073">
        <f>IS!AJ137</f>
      </c>
      <c r="AK102" s="1074">
        <f>IS!AK137</f>
      </c>
      <c r="AL102" s="1070">
        <f>IS!AL137</f>
      </c>
      <c r="AM102" s="1073">
        <f>IS!AM137</f>
      </c>
      <c r="AN102" s="1073">
        <f>IS!AN137</f>
      </c>
      <c r="AO102" s="1073">
        <f>IS!AO137</f>
      </c>
      <c r="AP102" s="1074">
        <f>IS!AP137</f>
      </c>
      <c r="AQ102" s="1070">
        <f>IS!AQ137</f>
      </c>
      <c r="AR102" s="1073">
        <f>IS!AR137</f>
      </c>
      <c r="AS102" s="1073">
        <f>IS!AS137</f>
      </c>
      <c r="AT102" s="1073">
        <f>IS!AT137</f>
      </c>
      <c r="AU102" s="1074">
        <f>IS!AU137</f>
      </c>
      <c r="AV102" s="1070">
        <f>IS!AV137</f>
      </c>
      <c r="AW102" s="1073">
        <f>IS!AW137</f>
      </c>
      <c r="AX102" s="1073">
        <f>IS!AX137</f>
      </c>
      <c r="AY102" s="1073">
        <f>IS!AY137</f>
      </c>
      <c r="AZ102" s="1074">
        <f>IS!AZ137</f>
      </c>
      <c r="BA102" s="1070">
        <f>IS!BA137</f>
      </c>
      <c r="BB102" s="1073">
        <f>IS!BB137</f>
      </c>
      <c r="BC102" s="1073">
        <f>IS!BC137</f>
      </c>
      <c r="BD102" s="1073">
        <f>IS!BD137</f>
      </c>
      <c r="BE102" s="1074">
        <f>IS!BE137</f>
      </c>
      <c r="BF102" s="1070">
        <f>IS!BF137</f>
      </c>
      <c r="BG102" s="1073">
        <f>IS!BG137</f>
      </c>
      <c r="BH102" s="1073">
        <f>IS!BH137</f>
      </c>
      <c r="BI102" s="1073">
        <f>IS!BI137</f>
      </c>
      <c r="BJ102" s="1074">
        <f>IS!BJ137</f>
      </c>
      <c r="BK102" s="1070">
        <f>IS!BK137</f>
      </c>
      <c r="BL102" s="1073">
        <f>IS!BL137</f>
      </c>
      <c r="BM102" s="1073">
        <f>IS!BM137</f>
      </c>
      <c r="BN102" s="1073">
        <f>IS!BN137</f>
      </c>
      <c r="BO102" s="1074">
        <f>IS!BO137</f>
      </c>
      <c r="BP102" s="1070">
        <f>IS!BP137</f>
      </c>
      <c r="BQ102" s="1073">
        <f>IS!BQ137</f>
      </c>
      <c r="BR102" s="1073">
        <f>IS!BR137</f>
      </c>
      <c r="BS102" s="1073">
        <f>IS!BS137</f>
      </c>
      <c r="BT102" s="1074">
        <f>IS!BT137</f>
      </c>
      <c r="BU102" s="1070">
        <f>IS!BU137</f>
      </c>
      <c r="BV102" s="1073">
        <f>IS!BV137</f>
      </c>
      <c r="BW102" s="1073">
        <f>IS!BW137</f>
      </c>
      <c r="BX102" s="1073">
        <f>IS!BX137</f>
      </c>
      <c r="BY102" s="1074">
        <f>IS!BY137</f>
      </c>
      <c r="BZ102" s="1070">
        <f>IS!BZ137</f>
      </c>
      <c r="CA102" s="1073">
        <f>IS!CA137</f>
      </c>
      <c r="CB102" s="1073">
        <f>IS!CB137</f>
      </c>
      <c r="CC102" s="1073">
        <f>IS!CC137</f>
      </c>
      <c r="CD102" s="1074">
        <f>IS!CD137</f>
      </c>
      <c r="CE102" s="1070">
        <f>IS!CE137</f>
      </c>
      <c r="CF102" s="1073">
        <f>IS!CF137</f>
      </c>
      <c r="CG102" s="1073">
        <f>IS!CG137</f>
      </c>
      <c r="CH102" s="1073">
        <f>IS!CH137</f>
      </c>
      <c r="CI102" s="1074">
        <f>IS!CI137</f>
      </c>
      <c r="CJ102" s="1070">
        <f>IS!CJ137</f>
      </c>
      <c r="CK102" s="1073">
        <f>IS!CK137</f>
      </c>
      <c r="CL102" s="1073">
        <f>IS!CL137</f>
      </c>
      <c r="CM102" s="1073">
        <f>IS!CM137</f>
      </c>
      <c r="CN102" s="1074">
        <f>IS!CN137</f>
      </c>
      <c r="CO102" s="1070">
        <f>IS!CO137</f>
      </c>
      <c r="CP102" s="1073">
        <f>IS!CP137</f>
      </c>
      <c r="CQ102" s="1073">
        <f>IS!CQ137</f>
      </c>
      <c r="CR102" s="1073">
        <f>IS!CR137</f>
      </c>
      <c r="CS102" s="1074">
        <f>IS!CS137</f>
      </c>
      <c r="CT102" s="1070">
        <f>IS!CT137</f>
      </c>
      <c r="CU102" s="1073">
        <f>IS!CU137</f>
      </c>
      <c r="CV102" s="1073">
        <f>IS!CV137</f>
      </c>
      <c r="CW102" s="1073">
        <f>IS!CW137</f>
      </c>
      <c r="CX102" s="1074">
        <f>IS!CX137</f>
      </c>
      <c r="CY102" s="1070">
        <f>IS!CY137</f>
      </c>
      <c r="CZ102" s="1073">
        <f>IS!CZ137</f>
      </c>
      <c r="DA102" s="1073">
        <f>IS!DA137</f>
      </c>
      <c r="DB102" s="1073">
        <f>IS!DB137</f>
      </c>
      <c r="DC102" s="1074">
        <f>IS!DC137</f>
      </c>
      <c r="DD102" s="1070">
        <f>IS!DD137</f>
      </c>
      <c r="DE102" s="1073">
        <f>IS!DE137</f>
      </c>
      <c r="DF102" s="1073">
        <f>IS!DF137</f>
      </c>
      <c r="DG102" s="1073">
        <f>IS!DG137</f>
      </c>
      <c r="DH102" s="1074">
        <f>IS!DH137</f>
      </c>
      <c r="DI102" s="1070">
        <f>IS!DI137</f>
      </c>
      <c r="DJ102" s="1073">
        <f>IS!DJ137</f>
      </c>
      <c r="DK102" s="1073">
        <f>IS!DK137</f>
      </c>
      <c r="DL102" s="1073">
        <f>IS!DL137</f>
      </c>
      <c r="DM102" s="1074">
        <f>IS!DM137</f>
      </c>
      <c r="DN102" s="1070">
        <f>IS!DN137</f>
      </c>
      <c r="DO102" s="1073">
        <f>IS!DO137</f>
      </c>
      <c r="DP102" s="1073">
        <f>IS!DP137</f>
      </c>
      <c r="DQ102" s="1073">
        <f>IS!DQ137</f>
      </c>
      <c r="DR102" s="1074">
        <f>IS!DR137</f>
      </c>
      <c r="DS102" s="1070">
        <f>IS!DS137</f>
      </c>
      <c r="DT102" s="1073">
        <f>IS!DT137</f>
      </c>
      <c r="DU102" s="1073">
        <f>IS!DU137</f>
      </c>
      <c r="DV102" s="1073">
        <f>IS!DV137</f>
      </c>
      <c r="DW102" s="1074">
        <f>IS!DW137</f>
      </c>
      <c r="DX102" s="1070">
        <f>IS!DX137</f>
      </c>
      <c r="DY102" s="1073">
        <f>IS!DY137</f>
      </c>
      <c r="DZ102" s="1073">
        <f>IS!DZ137</f>
      </c>
      <c r="EA102" s="1073">
        <f>IS!EA137</f>
      </c>
      <c r="EB102" s="1074">
        <f>IS!EB137</f>
      </c>
      <c r="EC102" s="1070">
        <f>IS!EC137</f>
      </c>
      <c r="ED102" s="1073">
        <f>IS!ED137</f>
      </c>
      <c r="EE102" s="1073">
        <f>IS!EE137</f>
      </c>
      <c r="EF102" s="1073">
        <f>IS!EF137</f>
      </c>
      <c r="EG102" s="1074">
        <f>IS!EG137</f>
      </c>
      <c r="EH102" s="1070">
        <f>IS!EH137</f>
      </c>
      <c r="EI102" s="1073">
        <f>IS!EI137</f>
      </c>
      <c r="EJ102" s="1073">
        <f>IS!EJ137</f>
      </c>
      <c r="EK102" s="1073">
        <f>IS!EK137</f>
      </c>
      <c r="EL102" s="1074">
        <f>IS!EL137</f>
      </c>
      <c r="EM102" s="1070">
        <f>IS!EM137</f>
      </c>
      <c r="EN102" s="1073">
        <f>IS!EN137</f>
      </c>
      <c r="EO102" s="1073">
        <f>IS!EO137</f>
      </c>
      <c r="EP102" s="1073">
        <f>IS!EP137</f>
      </c>
      <c r="EQ102" s="1074">
        <f>IS!EQ137</f>
      </c>
      <c r="ER102" s="1070">
        <f>IS!ER137</f>
      </c>
      <c r="ES102" s="1073">
        <f>IS!ES137</f>
      </c>
      <c r="ET102" s="1073">
        <f>IS!ET137</f>
      </c>
      <c r="EU102" s="1073">
        <f>IS!EU137</f>
      </c>
      <c r="EV102" s="1074">
        <f>IS!EV137</f>
      </c>
      <c r="EW102" s="1070">
        <f>IS!EW137</f>
      </c>
      <c r="EX102" s="1070">
        <f>IS!EX137</f>
      </c>
      <c r="EY102" s="1070">
        <f>IS!EY137</f>
      </c>
      <c r="EZ102" s="1070">
        <f>IS!EZ137</f>
      </c>
      <c r="FA102" s="891"/>
      <c r="FB102" s="1070"/>
      <c r="FC102" s="1070"/>
      <c r="FD102" s="1070"/>
      <c r="FE102" s="1073"/>
      <c r="FF102" s="891"/>
      <c r="FG102" s="399"/>
      <c r="FH102" s="129"/>
      <c r="FI102" s="129"/>
      <c r="FJ102" s="129"/>
      <c r="FK102" s="891"/>
      <c r="FL102" s="399"/>
      <c r="FM102" s="129"/>
      <c r="FN102" s="129"/>
      <c r="FO102" s="129"/>
      <c r="FP102" s="891"/>
      <c r="FQ102" s="399"/>
      <c r="FR102" s="129"/>
      <c r="FS102" s="129"/>
      <c r="FT102" s="129"/>
      <c r="FU102" s="891"/>
      <c r="FV102" s="399"/>
      <c r="FW102" s="129"/>
      <c r="FX102" s="129"/>
      <c r="FY102" s="129"/>
      <c r="FZ102" s="891"/>
      <c r="GA102" s="399"/>
      <c r="GB102" s="129"/>
      <c r="GC102" s="129"/>
      <c r="GD102" s="129"/>
      <c r="GE102" s="1081"/>
    </row>
    <row r="103" spans="1:187" s="537" customFormat="1" ht="12.75" customHeight="1">
      <c r="A103" s="850"/>
      <c r="B103" s="1078" t="s">
        <v>405</v>
      </c>
      <c r="C103" s="291"/>
      <c r="D103" s="137"/>
      <c r="E103" s="137"/>
      <c r="F103" s="137"/>
      <c r="G103" s="538"/>
      <c r="H103" s="291"/>
      <c r="I103" s="107"/>
      <c r="J103" s="107"/>
      <c r="K103" s="107"/>
      <c r="L103" s="293"/>
      <c r="M103" s="291"/>
      <c r="N103" s="107"/>
      <c r="O103" s="107"/>
      <c r="P103" s="107"/>
      <c r="Q103" s="293"/>
      <c r="R103" s="291"/>
      <c r="S103" s="107"/>
      <c r="T103" s="107"/>
      <c r="U103" s="107"/>
      <c r="V103" s="293"/>
      <c r="W103" s="291"/>
      <c r="X103" s="107"/>
      <c r="Y103" s="107"/>
      <c r="Z103" s="107"/>
      <c r="AA103" s="293"/>
      <c r="AB103" s="291"/>
      <c r="AC103" s="107"/>
      <c r="AD103" s="107"/>
      <c r="AE103" s="107"/>
      <c r="AF103" s="293"/>
      <c r="AG103" s="291"/>
      <c r="AH103" s="107"/>
      <c r="AI103" s="107"/>
      <c r="AJ103" s="107"/>
      <c r="AK103" s="293"/>
      <c r="AL103" s="291"/>
      <c r="AM103" s="107"/>
      <c r="AN103" s="107"/>
      <c r="AO103" s="107"/>
      <c r="AP103" s="293"/>
      <c r="AQ103" s="291"/>
      <c r="AR103" s="107"/>
      <c r="AS103" s="107"/>
      <c r="AT103" s="107"/>
      <c r="AU103" s="293"/>
      <c r="AV103" s="291"/>
      <c r="AW103" s="107"/>
      <c r="AX103" s="107"/>
      <c r="AY103" s="107"/>
      <c r="AZ103" s="293"/>
      <c r="BA103" s="291"/>
      <c r="BB103" s="107"/>
      <c r="BC103" s="107"/>
      <c r="BD103" s="107"/>
      <c r="BE103" s="293"/>
      <c r="BF103" s="291"/>
      <c r="BG103" s="107"/>
      <c r="BH103" s="107"/>
      <c r="BI103" s="107"/>
      <c r="BJ103" s="293"/>
      <c r="BK103" s="291"/>
      <c r="BL103" s="107"/>
      <c r="BM103" s="107"/>
      <c r="BN103" s="107"/>
      <c r="BO103" s="293"/>
      <c r="BP103" s="291"/>
      <c r="BQ103" s="107"/>
      <c r="BR103" s="107"/>
      <c r="BS103" s="107"/>
      <c r="BT103" s="293"/>
      <c r="BU103" s="291"/>
      <c r="BV103" s="107"/>
      <c r="BW103" s="107"/>
      <c r="BX103" s="107"/>
      <c r="BY103" s="293"/>
      <c r="BZ103" s="291"/>
      <c r="CA103" s="107"/>
      <c r="CB103" s="107"/>
      <c r="CC103" s="107"/>
      <c r="CD103" s="293"/>
      <c r="CE103" s="291"/>
      <c r="CF103" s="107"/>
      <c r="CG103" s="107"/>
      <c r="CH103" s="107"/>
      <c r="CI103" s="293"/>
      <c r="CJ103" s="291"/>
      <c r="CK103" s="107"/>
      <c r="CL103" s="107"/>
      <c r="CM103" s="107"/>
      <c r="CN103" s="293"/>
      <c r="CO103" s="291"/>
      <c r="CP103" s="107"/>
      <c r="CQ103" s="107"/>
      <c r="CR103" s="107"/>
      <c r="CS103" s="293"/>
      <c r="CT103" s="291"/>
      <c r="CU103" s="107"/>
      <c r="CV103" s="107"/>
      <c r="CW103" s="107"/>
      <c r="CX103" s="293"/>
      <c r="CY103" s="291"/>
      <c r="CZ103" s="107"/>
      <c r="DA103" s="107"/>
      <c r="DB103" s="107"/>
      <c r="DC103" s="293"/>
      <c r="DD103" s="291"/>
      <c r="DE103" s="107"/>
      <c r="DF103" s="107"/>
      <c r="DG103" s="107"/>
      <c r="DH103" s="293"/>
      <c r="DI103" s="291"/>
      <c r="DJ103" s="107"/>
      <c r="DK103" s="107"/>
      <c r="DL103" s="107"/>
      <c r="DM103" s="293"/>
      <c r="DN103" s="291"/>
      <c r="DO103" s="107"/>
      <c r="DP103" s="107"/>
      <c r="DQ103" s="107"/>
      <c r="DR103" s="293"/>
      <c r="DS103" s="291"/>
      <c r="DT103" s="107"/>
      <c r="DU103" s="107"/>
      <c r="DV103" s="107"/>
      <c r="DW103" s="293"/>
      <c r="DX103" s="1120">
        <f>(DX102-DX100)*10000</f>
      </c>
      <c r="DY103" s="1120">
        <f>(DY102-DY100)*10000</f>
      </c>
      <c r="DZ103" s="1120">
        <f>(DZ102-DZ100)*10000</f>
      </c>
      <c r="EA103" s="1120">
        <f>(EA102-EA100)*10000</f>
      </c>
      <c r="EB103" s="293"/>
      <c r="EC103" s="1120">
        <f>(EC102-EC100)*10000</f>
      </c>
      <c r="ED103" s="1120">
        <f>(ED102-ED100)*10000</f>
      </c>
      <c r="EE103" s="1120">
        <f>(EE102-EE100)*10000</f>
      </c>
      <c r="EF103" s="1120">
        <f>(EF102-EF100)*10000</f>
      </c>
      <c r="EG103" s="293"/>
      <c r="EH103" s="1120">
        <f>(EH102-EH100)*10000</f>
      </c>
      <c r="EI103" s="1120">
        <f>(EI102-EI100)*10000</f>
      </c>
      <c r="EJ103" s="1120">
        <f>(EJ102-EJ100)*10000</f>
      </c>
      <c r="EK103" s="1120">
        <f>(EK102-EK100)*10000</f>
      </c>
      <c r="EL103" s="293"/>
      <c r="EM103" s="1120">
        <f>(EM102-EM100)*10000</f>
      </c>
      <c r="EN103" s="1120">
        <f>(EN102-EN100)*10000</f>
      </c>
      <c r="EO103" s="1120">
        <f>(EO102-EO100)*10000</f>
      </c>
      <c r="EP103" s="1120">
        <f>(EP102-EP100)*10000</f>
      </c>
      <c r="EQ103" s="293"/>
      <c r="ER103" s="1120">
        <f>(ER102-ER100)*10000</f>
      </c>
      <c r="ES103" s="1120">
        <f>(ES102-ES100)*10000</f>
      </c>
      <c r="ET103" s="1120">
        <f>(ET102-ET100)*10000</f>
      </c>
      <c r="EU103" s="1120">
        <f>(EU102-EU100)*10000</f>
      </c>
      <c r="EV103" s="293"/>
      <c r="EW103" s="1120">
        <f>(EW102-EW100)*10000</f>
      </c>
      <c r="EX103" s="1120">
        <f>(EX102-EX100)*10000</f>
      </c>
      <c r="EY103" s="1120">
        <f>(EY102-EY100)*10000</f>
      </c>
      <c r="EZ103" s="1120">
        <f>(EZ102-EZ100)*10000</f>
      </c>
      <c r="FA103" s="293"/>
      <c r="FB103" s="1120"/>
      <c r="FC103" s="1120"/>
      <c r="FD103" s="1120"/>
      <c r="FE103" s="1120"/>
      <c r="FF103" s="293"/>
      <c r="FG103" s="291"/>
      <c r="FH103" s="107"/>
      <c r="FI103" s="107"/>
      <c r="FJ103" s="107"/>
      <c r="FK103" s="293"/>
      <c r="FL103" s="291"/>
      <c r="FM103" s="107"/>
      <c r="FN103" s="107"/>
      <c r="FO103" s="107"/>
      <c r="FP103" s="293"/>
      <c r="FQ103" s="291"/>
      <c r="FR103" s="107"/>
      <c r="FS103" s="107"/>
      <c r="FT103" s="107"/>
      <c r="FU103" s="293"/>
      <c r="FV103" s="291"/>
      <c r="FW103" s="107"/>
      <c r="FX103" s="107"/>
      <c r="FY103" s="107"/>
      <c r="FZ103" s="293"/>
      <c r="GA103" s="291"/>
      <c r="GB103" s="107"/>
      <c r="GC103" s="107"/>
      <c r="GD103" s="107"/>
      <c r="GE103" s="382"/>
    </row>
    <row r="104" spans="1:187" s="551" customFormat="1" ht="12.75" customHeight="1" thickBot="1">
      <c r="A104" s="1425"/>
      <c r="B104" s="1086"/>
      <c r="C104" s="1087"/>
      <c r="D104" s="1088"/>
      <c r="E104" s="1088"/>
      <c r="F104" s="1088"/>
      <c r="G104" s="1089"/>
      <c r="H104" s="1090"/>
      <c r="I104" s="1091"/>
      <c r="J104" s="1091"/>
      <c r="K104" s="1091"/>
      <c r="L104" s="1089"/>
      <c r="M104" s="1090"/>
      <c r="N104" s="1091"/>
      <c r="O104" s="1091"/>
      <c r="P104" s="1091"/>
      <c r="Q104" s="1089"/>
      <c r="R104" s="1090"/>
      <c r="S104" s="1091"/>
      <c r="T104" s="1091"/>
      <c r="U104" s="1091"/>
      <c r="V104" s="1089"/>
      <c r="W104" s="1090"/>
      <c r="X104" s="1091"/>
      <c r="Y104" s="1091"/>
      <c r="Z104" s="1091"/>
      <c r="AA104" s="1089"/>
      <c r="AB104" s="1090"/>
      <c r="AC104" s="1091"/>
      <c r="AD104" s="1091"/>
      <c r="AE104" s="1091"/>
      <c r="AF104" s="1089"/>
      <c r="AG104" s="1090"/>
      <c r="AH104" s="1091"/>
      <c r="AI104" s="1091"/>
      <c r="AJ104" s="1091"/>
      <c r="AK104" s="1089"/>
      <c r="AL104" s="1090"/>
      <c r="AM104" s="1091"/>
      <c r="AN104" s="1091"/>
      <c r="AO104" s="1091"/>
      <c r="AP104" s="1089"/>
      <c r="AQ104" s="1090"/>
      <c r="AR104" s="1091"/>
      <c r="AS104" s="1091"/>
      <c r="AT104" s="1091"/>
      <c r="AU104" s="1089"/>
      <c r="AV104" s="1090"/>
      <c r="AW104" s="1091"/>
      <c r="AX104" s="1091"/>
      <c r="AY104" s="1091"/>
      <c r="AZ104" s="1089"/>
      <c r="BA104" s="1090"/>
      <c r="BB104" s="1091"/>
      <c r="BC104" s="1091"/>
      <c r="BD104" s="1091"/>
      <c r="BE104" s="1089"/>
      <c r="BF104" s="1090"/>
      <c r="BG104" s="1091"/>
      <c r="BH104" s="1091"/>
      <c r="BI104" s="1091"/>
      <c r="BJ104" s="1089"/>
      <c r="BK104" s="1090"/>
      <c r="BL104" s="1091"/>
      <c r="BM104" s="1091"/>
      <c r="BN104" s="1091"/>
      <c r="BO104" s="1089"/>
      <c r="BP104" s="1090"/>
      <c r="BQ104" s="1091"/>
      <c r="BR104" s="1091"/>
      <c r="BS104" s="1091"/>
      <c r="BT104" s="1089"/>
      <c r="BU104" s="1090"/>
      <c r="BV104" s="1091"/>
      <c r="BW104" s="1091"/>
      <c r="BX104" s="1091"/>
      <c r="BY104" s="1089"/>
      <c r="BZ104" s="1090"/>
      <c r="CA104" s="1091"/>
      <c r="CB104" s="1091"/>
      <c r="CC104" s="1091"/>
      <c r="CD104" s="1089"/>
      <c r="CE104" s="1090"/>
      <c r="CF104" s="1091"/>
      <c r="CG104" s="1091"/>
      <c r="CH104" s="1091"/>
      <c r="CI104" s="1089"/>
      <c r="CJ104" s="1090"/>
      <c r="CK104" s="1091"/>
      <c r="CL104" s="1091"/>
      <c r="CM104" s="1091"/>
      <c r="CN104" s="1089"/>
      <c r="CO104" s="1090"/>
      <c r="CP104" s="1091"/>
      <c r="CQ104" s="1091"/>
      <c r="CR104" s="1091"/>
      <c r="CS104" s="1089"/>
      <c r="CT104" s="1090"/>
      <c r="CU104" s="1091"/>
      <c r="CV104" s="1091"/>
      <c r="CW104" s="1091"/>
      <c r="CX104" s="1089"/>
      <c r="CY104" s="1090"/>
      <c r="CZ104" s="1091"/>
      <c r="DA104" s="1091"/>
      <c r="DB104" s="1091"/>
      <c r="DC104" s="1089"/>
      <c r="DD104" s="1090"/>
      <c r="DE104" s="1091"/>
      <c r="DF104" s="1091"/>
      <c r="DG104" s="1091"/>
      <c r="DH104" s="1089"/>
      <c r="DI104" s="1090"/>
      <c r="DJ104" s="1091"/>
      <c r="DK104" s="1091"/>
      <c r="DL104" s="1091"/>
      <c r="DM104" s="1089"/>
      <c r="DN104" s="1090"/>
      <c r="DO104" s="1091"/>
      <c r="DP104" s="1091"/>
      <c r="DQ104" s="1091"/>
      <c r="DR104" s="1089"/>
      <c r="DS104" s="1090"/>
      <c r="DT104" s="1091"/>
      <c r="DU104" s="1091"/>
      <c r="DV104" s="1091"/>
      <c r="DW104" s="1089"/>
      <c r="DX104" s="1090"/>
      <c r="DY104" s="1091"/>
      <c r="DZ104" s="1091"/>
      <c r="EA104" s="1091"/>
      <c r="EB104" s="1089"/>
      <c r="EC104" s="1090"/>
      <c r="ED104" s="1091"/>
      <c r="EE104" s="1091"/>
      <c r="EF104" s="1091"/>
      <c r="EG104" s="1089"/>
      <c r="EH104" s="1090"/>
      <c r="EI104" s="1091"/>
      <c r="EJ104" s="1091"/>
      <c r="EK104" s="1091"/>
      <c r="EL104" s="1089"/>
      <c r="EM104" s="1090"/>
      <c r="EN104" s="1091"/>
      <c r="EO104" s="1091"/>
      <c r="EP104" s="1091"/>
      <c r="EQ104" s="1089"/>
      <c r="ER104" s="1090"/>
      <c r="ES104" s="1091"/>
      <c r="ET104" s="1091"/>
      <c r="EU104" s="1091"/>
      <c r="EV104" s="1089"/>
      <c r="EW104" s="1090"/>
      <c r="EX104" s="1091"/>
      <c r="EY104" s="1091"/>
      <c r="EZ104" s="1091"/>
      <c r="FA104" s="1089"/>
      <c r="FB104" s="1090"/>
      <c r="FC104" s="1091"/>
      <c r="FD104" s="1091"/>
      <c r="FE104" s="1091"/>
      <c r="FF104" s="1089"/>
      <c r="FG104" s="1090"/>
      <c r="FH104" s="1091"/>
      <c r="FI104" s="1091"/>
      <c r="FJ104" s="1091"/>
      <c r="FK104" s="1089"/>
      <c r="FL104" s="1090"/>
      <c r="FM104" s="1091"/>
      <c r="FN104" s="1091"/>
      <c r="FO104" s="1091"/>
      <c r="FP104" s="1089"/>
      <c r="FQ104" s="1090"/>
      <c r="FR104" s="1091"/>
      <c r="FS104" s="1091"/>
      <c r="FT104" s="1091"/>
      <c r="FU104" s="1089"/>
      <c r="FV104" s="1090"/>
      <c r="FW104" s="1091"/>
      <c r="FX104" s="1091"/>
      <c r="FY104" s="1091"/>
      <c r="FZ104" s="1089"/>
      <c r="GA104" s="1090"/>
      <c r="GB104" s="1091"/>
      <c r="GC104" s="1091"/>
      <c r="GD104" s="1091"/>
      <c r="GE104" s="1092"/>
    </row>
    <row r="105" spans="1:187" ht="12.75" customHeight="1">
      <c r="B105" s="100"/>
      <c r="C105" s="253"/>
      <c r="D105" s="253"/>
      <c r="E105" s="253"/>
      <c r="F105" s="253"/>
      <c r="G105" s="253"/>
      <c r="H105" s="250"/>
      <c r="I105" s="250"/>
      <c r="J105" s="250"/>
      <c r="K105" s="250"/>
      <c r="L105" s="253"/>
      <c r="M105" s="250"/>
      <c r="N105" s="250"/>
      <c r="O105" s="250"/>
      <c r="P105" s="250"/>
      <c r="Q105" s="253"/>
      <c r="R105" s="250"/>
      <c r="S105" s="250"/>
      <c r="T105" s="250"/>
      <c r="U105" s="250"/>
      <c r="V105" s="253"/>
      <c r="W105" s="250"/>
      <c r="X105" s="250"/>
      <c r="Y105" s="250"/>
      <c r="Z105" s="250"/>
      <c r="AA105" s="253"/>
      <c r="AB105" s="250"/>
      <c r="AC105" s="250"/>
      <c r="AD105" s="250"/>
      <c r="AE105" s="250"/>
      <c r="AF105" s="253"/>
      <c r="AG105" s="250"/>
      <c r="AH105" s="250"/>
      <c r="AI105" s="250"/>
      <c r="AJ105" s="250"/>
      <c r="AK105" s="253"/>
      <c r="AL105" s="250"/>
      <c r="AM105" s="250"/>
      <c r="AN105" s="250"/>
      <c r="AO105" s="250"/>
      <c r="AP105" s="253"/>
      <c r="AQ105" s="250"/>
      <c r="AR105" s="250"/>
      <c r="AS105" s="250"/>
      <c r="AT105" s="250"/>
      <c r="AU105" s="253"/>
      <c r="AV105" s="250"/>
      <c r="AW105" s="250"/>
      <c r="AX105" s="250"/>
      <c r="AY105" s="250"/>
      <c r="AZ105" s="253"/>
      <c r="BA105" s="250"/>
      <c r="BB105" s="250"/>
      <c r="BC105" s="250"/>
      <c r="BD105" s="250"/>
      <c r="BE105" s="253"/>
      <c r="BF105" s="250"/>
      <c r="BG105" s="250"/>
      <c r="BH105" s="250"/>
      <c r="BI105" s="250"/>
      <c r="BJ105" s="253"/>
      <c r="BK105" s="250"/>
      <c r="BL105" s="250"/>
      <c r="BM105" s="250"/>
      <c r="BN105" s="250"/>
      <c r="BO105" s="253"/>
      <c r="BP105" s="250"/>
      <c r="BQ105" s="250"/>
      <c r="BR105" s="250"/>
      <c r="BS105" s="250"/>
      <c r="BT105" s="253"/>
      <c r="BU105" s="250"/>
      <c r="BV105" s="250"/>
      <c r="BW105" s="250"/>
      <c r="BX105" s="250"/>
      <c r="BY105" s="253"/>
      <c r="BZ105" s="250"/>
      <c r="CA105" s="250"/>
      <c r="CB105" s="250"/>
      <c r="CC105" s="250"/>
      <c r="CD105" s="253"/>
      <c r="CE105" s="250"/>
      <c r="CF105" s="250"/>
      <c r="CG105" s="250"/>
      <c r="CH105" s="250"/>
      <c r="CI105" s="253"/>
      <c r="CJ105" s="250"/>
      <c r="CK105" s="250"/>
      <c r="CL105" s="250"/>
      <c r="CM105" s="250"/>
      <c r="CN105" s="253"/>
      <c r="CO105" s="250"/>
      <c r="CP105" s="250"/>
      <c r="CQ105" s="250"/>
      <c r="CR105" s="250"/>
      <c r="CS105" s="253"/>
      <c r="CT105" s="250"/>
      <c r="CU105" s="250"/>
      <c r="CV105" s="250"/>
      <c r="CW105" s="250"/>
      <c r="CX105" s="253"/>
      <c r="CY105" s="250"/>
      <c r="CZ105" s="250"/>
      <c r="DA105" s="250"/>
      <c r="DB105" s="250"/>
      <c r="DC105" s="253"/>
      <c r="DD105" s="250"/>
      <c r="DE105" s="250"/>
      <c r="DF105" s="250"/>
      <c r="DG105" s="250"/>
      <c r="DH105" s="253"/>
      <c r="DI105" s="250"/>
      <c r="DJ105" s="250"/>
      <c r="DK105" s="250"/>
      <c r="DL105" s="250"/>
      <c r="DM105" s="253"/>
      <c r="DN105" s="250"/>
      <c r="DO105" s="250"/>
      <c r="DP105" s="250"/>
      <c r="DQ105" s="250"/>
      <c r="DR105" s="253"/>
      <c r="DS105" s="250"/>
      <c r="DT105" s="250"/>
      <c r="DU105" s="250"/>
      <c r="DV105" s="250"/>
      <c r="DW105" s="253"/>
      <c r="DX105" s="250"/>
      <c r="DY105" s="250"/>
      <c r="DZ105" s="250"/>
      <c r="EA105" s="250"/>
      <c r="EB105" s="253"/>
      <c r="EC105" s="250"/>
      <c r="ED105" s="250"/>
      <c r="EE105" s="250"/>
      <c r="EF105" s="250"/>
      <c r="EG105" s="253"/>
      <c r="EH105" s="250"/>
      <c r="EI105" s="250"/>
      <c r="EJ105" s="250"/>
      <c r="EK105" s="250"/>
      <c r="EL105" s="253"/>
      <c r="EM105" s="250"/>
      <c r="EN105" s="250"/>
      <c r="EO105" s="250"/>
      <c r="EP105" s="250"/>
      <c r="EQ105" s="253"/>
      <c r="ER105" s="250"/>
      <c r="ES105" s="250"/>
      <c r="ET105" s="250"/>
      <c r="EU105" s="250"/>
      <c r="EV105" s="253"/>
      <c r="EW105" s="250"/>
      <c r="EX105" s="250"/>
      <c r="EY105" s="250"/>
      <c r="EZ105" s="250"/>
      <c r="FA105" s="253"/>
      <c r="FB105" s="250"/>
      <c r="FC105" s="250"/>
      <c r="FD105" s="250"/>
      <c r="FE105" s="250"/>
      <c r="FF105" s="253"/>
      <c r="FG105" s="250"/>
      <c r="FH105" s="250"/>
      <c r="FI105" s="250"/>
      <c r="FJ105" s="250"/>
      <c r="FK105" s="253"/>
      <c r="FL105" s="250"/>
      <c r="FM105" s="250"/>
      <c r="FN105" s="250"/>
      <c r="FO105" s="250"/>
      <c r="FP105" s="253"/>
      <c r="FQ105" s="250"/>
      <c r="FR105" s="250"/>
      <c r="FS105" s="250"/>
      <c r="FT105" s="250"/>
      <c r="FU105" s="253"/>
      <c r="FV105" s="250"/>
      <c r="FW105" s="250"/>
      <c r="FX105" s="250"/>
      <c r="FY105" s="250"/>
      <c r="FZ105" s="253"/>
      <c r="GA105" s="250"/>
      <c r="GB105" s="250"/>
      <c r="GC105" s="250"/>
      <c r="GD105" s="250"/>
      <c r="GE105" s="253"/>
    </row>
    <row r="106" spans="1:187" s="256" customFormat="1" ht="12.75" customHeight="1" thickBot="1">
      <c r="A106" s="1027"/>
      <c r="C106" s="257"/>
      <c r="D106" s="257"/>
      <c r="E106" s="257"/>
      <c r="F106" s="257"/>
      <c r="G106" s="257"/>
      <c r="H106" s="258"/>
      <c r="I106" s="258"/>
      <c r="J106" s="258"/>
      <c r="K106" s="258"/>
      <c r="L106" s="257"/>
      <c r="M106" s="258"/>
      <c r="N106" s="258"/>
      <c r="O106" s="258"/>
      <c r="P106" s="258"/>
      <c r="Q106" s="257"/>
      <c r="R106" s="258"/>
      <c r="S106" s="258"/>
      <c r="T106" s="258"/>
      <c r="U106" s="258"/>
      <c r="V106" s="257"/>
      <c r="W106" s="258"/>
      <c r="X106" s="258"/>
      <c r="Y106" s="258"/>
      <c r="Z106" s="258"/>
      <c r="AA106" s="257"/>
      <c r="AB106" s="258"/>
      <c r="AC106" s="258"/>
      <c r="AD106" s="258"/>
      <c r="AE106" s="258"/>
      <c r="AF106" s="257"/>
      <c r="AG106" s="258"/>
      <c r="AH106" s="258"/>
      <c r="AI106" s="258"/>
      <c r="AJ106" s="258"/>
      <c r="AK106" s="257"/>
      <c r="AL106" s="258"/>
      <c r="AM106" s="258"/>
      <c r="AN106" s="258"/>
      <c r="AO106" s="258"/>
      <c r="AP106" s="257"/>
      <c r="AQ106" s="258"/>
      <c r="AR106" s="258"/>
      <c r="AS106" s="258"/>
      <c r="AT106" s="258"/>
      <c r="AU106" s="257"/>
      <c r="AV106" s="258"/>
      <c r="AW106" s="258"/>
      <c r="AX106" s="258"/>
      <c r="AY106" s="258"/>
      <c r="AZ106" s="257"/>
      <c r="BA106" s="258"/>
      <c r="BB106" s="258"/>
      <c r="BC106" s="258"/>
      <c r="BD106" s="258"/>
      <c r="BE106" s="257"/>
      <c r="BF106" s="258"/>
      <c r="BG106" s="258"/>
      <c r="BH106" s="258"/>
      <c r="BI106" s="258"/>
      <c r="BJ106" s="257"/>
      <c r="BK106" s="258"/>
      <c r="BL106" s="258"/>
      <c r="BM106" s="258"/>
      <c r="BN106" s="258"/>
      <c r="BO106" s="257"/>
      <c r="BP106" s="258"/>
      <c r="BQ106" s="258"/>
      <c r="BR106" s="258"/>
      <c r="BS106" s="258"/>
      <c r="BT106" s="257"/>
      <c r="BU106" s="258"/>
      <c r="BV106" s="258"/>
      <c r="BW106" s="258"/>
      <c r="BX106" s="258"/>
      <c r="BY106" s="257"/>
      <c r="BZ106" s="258"/>
      <c r="CA106" s="258"/>
      <c r="CB106" s="258"/>
      <c r="CC106" s="258"/>
      <c r="CD106" s="257"/>
      <c r="CE106" s="258"/>
      <c r="CF106" s="258"/>
      <c r="CG106" s="258"/>
      <c r="CH106" s="258"/>
      <c r="CI106" s="257"/>
      <c r="CJ106" s="258"/>
      <c r="CK106" s="258"/>
      <c r="CL106" s="258"/>
      <c r="CM106" s="258"/>
      <c r="CN106" s="257"/>
      <c r="CO106" s="258"/>
      <c r="CP106" s="258"/>
      <c r="CQ106" s="258"/>
      <c r="CR106" s="258"/>
      <c r="CS106" s="257"/>
      <c r="CT106" s="258"/>
      <c r="CU106" s="258"/>
      <c r="CV106" s="258"/>
      <c r="CW106" s="258"/>
      <c r="CX106" s="257"/>
      <c r="CY106" s="258"/>
      <c r="CZ106" s="258"/>
      <c r="DA106" s="258"/>
      <c r="DB106" s="258"/>
      <c r="DC106" s="257"/>
      <c r="DD106" s="258"/>
      <c r="DE106" s="258"/>
      <c r="DF106" s="258"/>
      <c r="DG106" s="258"/>
      <c r="DH106" s="257"/>
      <c r="DI106" s="258"/>
      <c r="DJ106" s="258"/>
      <c r="DK106" s="258"/>
      <c r="DL106" s="258"/>
      <c r="DM106" s="257"/>
      <c r="DN106" s="258"/>
      <c r="DO106" s="258"/>
      <c r="DP106" s="258"/>
      <c r="DQ106" s="258"/>
      <c r="DR106" s="257"/>
      <c r="DS106" s="258"/>
      <c r="DT106" s="258"/>
      <c r="DU106" s="258"/>
      <c r="DV106" s="258"/>
      <c r="DW106" s="257"/>
      <c r="DX106" s="258"/>
      <c r="DY106" s="258"/>
      <c r="DZ106" s="258"/>
      <c r="EA106" s="258"/>
      <c r="EB106" s="257"/>
      <c r="EC106" s="258"/>
      <c r="ED106" s="258"/>
      <c r="EE106" s="258"/>
      <c r="EF106" s="258"/>
      <c r="EG106" s="257"/>
      <c r="EH106" s="258"/>
      <c r="EI106" s="258"/>
      <c r="EJ106" s="258"/>
      <c r="EK106" s="258"/>
      <c r="EL106" s="257"/>
      <c r="EM106" s="258"/>
      <c r="EN106" s="258"/>
      <c r="EO106" s="258"/>
      <c r="EP106" s="258"/>
      <c r="EQ106" s="257"/>
      <c r="ER106" s="258"/>
      <c r="ES106" s="258"/>
      <c r="ET106" s="258"/>
      <c r="EU106" s="258"/>
      <c r="EV106" s="257"/>
      <c r="EW106" s="258"/>
      <c r="EX106" s="258"/>
      <c r="EY106" s="258"/>
      <c r="EZ106" s="258"/>
      <c r="FA106" s="257"/>
      <c r="FB106" s="258"/>
      <c r="FC106" s="258"/>
      <c r="FD106" s="258"/>
      <c r="FE106" s="258"/>
      <c r="FF106" s="257"/>
      <c r="FG106" s="258"/>
      <c r="FH106" s="258"/>
      <c r="FI106" s="258"/>
      <c r="FJ106" s="258"/>
      <c r="FK106" s="257"/>
      <c r="FL106" s="258"/>
      <c r="FM106" s="258"/>
      <c r="FN106" s="258"/>
      <c r="FO106" s="258"/>
      <c r="FP106" s="257"/>
      <c r="FQ106" s="258"/>
      <c r="FR106" s="258"/>
      <c r="FS106" s="258"/>
      <c r="FT106" s="258"/>
      <c r="FU106" s="257"/>
      <c r="FV106" s="258"/>
      <c r="FW106" s="258"/>
      <c r="FX106" s="258"/>
      <c r="FY106" s="258"/>
      <c r="FZ106" s="257"/>
      <c r="GA106" s="258"/>
      <c r="GB106" s="258"/>
      <c r="GC106" s="258"/>
      <c r="GD106" s="258"/>
      <c r="GE106" s="257"/>
    </row>
    <row r="107" spans="1:187" s="553" customFormat="1" ht="12.75" customHeight="1" thickBot="1">
      <c r="A107" s="1427"/>
      <c r="B107" s="1096" t="s">
        <v>471</v>
      </c>
      <c r="C107" s="1093"/>
      <c r="D107" s="1094"/>
      <c r="E107" s="1094"/>
      <c r="F107" s="1094"/>
      <c r="G107" s="1101"/>
      <c r="H107" s="1093"/>
      <c r="I107" s="1095"/>
      <c r="J107" s="1095"/>
      <c r="K107" s="1095"/>
      <c r="L107" s="1101"/>
      <c r="M107" s="1093"/>
      <c r="N107" s="1095"/>
      <c r="O107" s="1095"/>
      <c r="P107" s="1095"/>
      <c r="Q107" s="1101"/>
      <c r="R107" s="1093"/>
      <c r="S107" s="1095"/>
      <c r="T107" s="1095"/>
      <c r="U107" s="1095"/>
      <c r="V107" s="1101"/>
      <c r="W107" s="1093"/>
      <c r="X107" s="1095"/>
      <c r="Y107" s="1095"/>
      <c r="Z107" s="1095"/>
      <c r="AA107" s="1101"/>
      <c r="AB107" s="1093"/>
      <c r="AC107" s="1095"/>
      <c r="AD107" s="1095"/>
      <c r="AE107" s="1095"/>
      <c r="AF107" s="1101"/>
      <c r="AG107" s="1093"/>
      <c r="AH107" s="1095"/>
      <c r="AI107" s="1095"/>
      <c r="AJ107" s="1095"/>
      <c r="AK107" s="1101"/>
      <c r="AL107" s="1093"/>
      <c r="AM107" s="1095"/>
      <c r="AN107" s="1095"/>
      <c r="AO107" s="1095"/>
      <c r="AP107" s="1101"/>
      <c r="AQ107" s="1093"/>
      <c r="AR107" s="1095"/>
      <c r="AS107" s="1095"/>
      <c r="AT107" s="1095"/>
      <c r="AU107" s="1101"/>
      <c r="AV107" s="1093"/>
      <c r="AW107" s="1095"/>
      <c r="AX107" s="1095"/>
      <c r="AY107" s="1095"/>
      <c r="AZ107" s="1101"/>
      <c r="BA107" s="1093"/>
      <c r="BB107" s="1095"/>
      <c r="BC107" s="1095"/>
      <c r="BD107" s="1095"/>
      <c r="BE107" s="1101"/>
      <c r="BF107" s="1093"/>
      <c r="BG107" s="1095"/>
      <c r="BH107" s="1095"/>
      <c r="BI107" s="1095"/>
      <c r="BJ107" s="1101"/>
      <c r="BK107" s="1093"/>
      <c r="BL107" s="1095"/>
      <c r="BM107" s="1095"/>
      <c r="BN107" s="1095"/>
      <c r="BO107" s="1101"/>
      <c r="BP107" s="1093"/>
      <c r="BQ107" s="1095"/>
      <c r="BR107" s="1095"/>
      <c r="BS107" s="1095"/>
      <c r="BT107" s="1101"/>
      <c r="BU107" s="1093"/>
      <c r="BV107" s="1095"/>
      <c r="BW107" s="1095"/>
      <c r="BX107" s="1095"/>
      <c r="BY107" s="1101"/>
      <c r="BZ107" s="1093"/>
      <c r="CA107" s="1095"/>
      <c r="CB107" s="1095"/>
      <c r="CC107" s="1095"/>
      <c r="CD107" s="1101"/>
      <c r="CE107" s="1093"/>
      <c r="CF107" s="1095"/>
      <c r="CG107" s="1095"/>
      <c r="CH107" s="1095"/>
      <c r="CI107" s="1101"/>
      <c r="CJ107" s="1093"/>
      <c r="CK107" s="1095"/>
      <c r="CL107" s="1095"/>
      <c r="CM107" s="1095"/>
      <c r="CN107" s="1101"/>
      <c r="CO107" s="1093"/>
      <c r="CP107" s="1095"/>
      <c r="CQ107" s="1095"/>
      <c r="CR107" s="1095"/>
      <c r="CS107" s="1101"/>
      <c r="CT107" s="1093"/>
      <c r="CU107" s="1095"/>
      <c r="CV107" s="1095"/>
      <c r="CW107" s="1095"/>
      <c r="CX107" s="1101"/>
      <c r="CY107" s="1093"/>
      <c r="CZ107" s="1095"/>
      <c r="DA107" s="1095"/>
      <c r="DB107" s="1095"/>
      <c r="DC107" s="1101"/>
      <c r="DD107" s="1093"/>
      <c r="DE107" s="1095"/>
      <c r="DF107" s="1095"/>
      <c r="DG107" s="1095"/>
      <c r="DH107" s="1101"/>
      <c r="DI107" s="1093"/>
      <c r="DJ107" s="1095"/>
      <c r="DK107" s="1095"/>
      <c r="DL107" s="1095"/>
      <c r="DM107" s="1101"/>
      <c r="DN107" s="1093"/>
      <c r="DO107" s="1095"/>
      <c r="DP107" s="1095"/>
      <c r="DQ107" s="1095"/>
      <c r="DR107" s="1101"/>
      <c r="DS107" s="1093"/>
      <c r="DT107" s="1095"/>
      <c r="DU107" s="1095"/>
      <c r="DV107" s="1095"/>
      <c r="DW107" s="1101"/>
      <c r="DX107" s="1093"/>
      <c r="DY107" s="1095"/>
      <c r="DZ107" s="1095"/>
      <c r="EA107" s="1095"/>
      <c r="EB107" s="1101"/>
      <c r="EC107" s="1093"/>
      <c r="ED107" s="1095"/>
      <c r="EE107" s="1095"/>
      <c r="EF107" s="1095"/>
      <c r="EG107" s="1101"/>
      <c r="EH107" s="1093"/>
      <c r="EI107" s="1095"/>
      <c r="EJ107" s="1095"/>
      <c r="EK107" s="1095"/>
      <c r="EL107" s="1101"/>
      <c r="EM107" s="1093"/>
      <c r="EN107" s="1095"/>
      <c r="EO107" s="1095"/>
      <c r="EP107" s="1095"/>
      <c r="EQ107" s="1101"/>
      <c r="ER107" s="1101"/>
      <c r="ES107" s="1095"/>
      <c r="ET107" s="1095"/>
      <c r="EU107" s="1095"/>
      <c r="EV107" s="1101"/>
      <c r="EW107" s="1093"/>
      <c r="EX107" s="1095"/>
      <c r="EY107" s="1095"/>
      <c r="EZ107" s="1095"/>
      <c r="FA107" s="1101"/>
      <c r="FB107" s="1093"/>
      <c r="FC107" s="1095"/>
      <c r="FD107" s="1095"/>
      <c r="FE107" s="1095"/>
      <c r="FF107" s="1101"/>
      <c r="FG107" s="1093"/>
      <c r="FH107" s="1095"/>
      <c r="FI107" s="1095"/>
      <c r="FJ107" s="1095"/>
      <c r="FK107" s="1101"/>
      <c r="FL107" s="1093"/>
      <c r="FM107" s="1095"/>
      <c r="FN107" s="1095"/>
      <c r="FO107" s="1095"/>
      <c r="FP107" s="1101"/>
      <c r="FQ107" s="1093"/>
      <c r="FR107" s="1095"/>
      <c r="FS107" s="1095"/>
      <c r="FT107" s="1100"/>
      <c r="FU107" s="1101"/>
      <c r="FV107" s="1093"/>
      <c r="FW107" s="1095"/>
      <c r="FX107" s="1095"/>
      <c r="FY107" s="1100"/>
      <c r="FZ107" s="1101"/>
      <c r="GA107" s="1093"/>
      <c r="GB107" s="1095"/>
      <c r="GC107" s="1095"/>
      <c r="GD107" s="1100"/>
      <c r="GE107" s="1099"/>
    </row>
    <row r="108" spans="1:187" s="556" customFormat="1" ht="12.75" customHeight="1">
      <c r="A108" s="1428"/>
      <c r="B108" s="1075"/>
      <c r="C108" s="378"/>
      <c r="D108" s="1076"/>
      <c r="E108" s="1076"/>
      <c r="F108" s="1076"/>
      <c r="G108" s="1077"/>
      <c r="H108" s="378"/>
      <c r="I108" s="379"/>
      <c r="J108" s="379"/>
      <c r="K108" s="379"/>
      <c r="L108" s="380"/>
      <c r="M108" s="378"/>
      <c r="N108" s="379"/>
      <c r="O108" s="379"/>
      <c r="P108" s="379"/>
      <c r="Q108" s="380"/>
      <c r="R108" s="378"/>
      <c r="S108" s="379"/>
      <c r="T108" s="379"/>
      <c r="U108" s="379"/>
      <c r="V108" s="380"/>
      <c r="W108" s="378"/>
      <c r="X108" s="379"/>
      <c r="Y108" s="379"/>
      <c r="Z108" s="379"/>
      <c r="AA108" s="380"/>
      <c r="AB108" s="378"/>
      <c r="AC108" s="379"/>
      <c r="AD108" s="379"/>
      <c r="AE108" s="379"/>
      <c r="AF108" s="380"/>
      <c r="AG108" s="378"/>
      <c r="AH108" s="379"/>
      <c r="AI108" s="379"/>
      <c r="AJ108" s="379"/>
      <c r="AK108" s="380"/>
      <c r="AL108" s="378"/>
      <c r="AM108" s="379"/>
      <c r="AN108" s="379"/>
      <c r="AO108" s="379"/>
      <c r="AP108" s="380"/>
      <c r="AQ108" s="378"/>
      <c r="AR108" s="379"/>
      <c r="AS108" s="379"/>
      <c r="AT108" s="379"/>
      <c r="AU108" s="380"/>
      <c r="AV108" s="378"/>
      <c r="AW108" s="379"/>
      <c r="AX108" s="379"/>
      <c r="AY108" s="379"/>
      <c r="AZ108" s="380"/>
      <c r="BA108" s="378"/>
      <c r="BB108" s="379"/>
      <c r="BC108" s="379"/>
      <c r="BD108" s="379"/>
      <c r="BE108" s="380"/>
      <c r="BF108" s="378"/>
      <c r="BG108" s="379"/>
      <c r="BH108" s="379"/>
      <c r="BI108" s="379"/>
      <c r="BJ108" s="380"/>
      <c r="BK108" s="378"/>
      <c r="BL108" s="379"/>
      <c r="BM108" s="379"/>
      <c r="BN108" s="379"/>
      <c r="BO108" s="380"/>
      <c r="BP108" s="378"/>
      <c r="BQ108" s="379"/>
      <c r="BR108" s="379"/>
      <c r="BS108" s="379"/>
      <c r="BT108" s="380"/>
      <c r="BU108" s="378"/>
      <c r="BV108" s="379"/>
      <c r="BW108" s="379"/>
      <c r="BX108" s="379"/>
      <c r="BY108" s="380"/>
      <c r="BZ108" s="378"/>
      <c r="CA108" s="379"/>
      <c r="CB108" s="379"/>
      <c r="CC108" s="379"/>
      <c r="CD108" s="380"/>
      <c r="CE108" s="378"/>
      <c r="CF108" s="379"/>
      <c r="CG108" s="379"/>
      <c r="CH108" s="379"/>
      <c r="CI108" s="380"/>
      <c r="CJ108" s="378"/>
      <c r="CK108" s="379"/>
      <c r="CL108" s="379"/>
      <c r="CM108" s="379"/>
      <c r="CN108" s="380"/>
      <c r="CO108" s="378"/>
      <c r="CP108" s="379"/>
      <c r="CQ108" s="379"/>
      <c r="CR108" s="379"/>
      <c r="CS108" s="380"/>
      <c r="CT108" s="378"/>
      <c r="CU108" s="379"/>
      <c r="CV108" s="379"/>
      <c r="CW108" s="379"/>
      <c r="CX108" s="380"/>
      <c r="CY108" s="378"/>
      <c r="CZ108" s="379"/>
      <c r="DA108" s="379"/>
      <c r="DB108" s="379"/>
      <c r="DC108" s="380"/>
      <c r="DD108" s="378"/>
      <c r="DE108" s="379"/>
      <c r="DF108" s="379"/>
      <c r="DG108" s="379"/>
      <c r="DH108" s="380"/>
      <c r="DI108" s="378"/>
      <c r="DJ108" s="379"/>
      <c r="DK108" s="379"/>
      <c r="DL108" s="379"/>
      <c r="DM108" s="380"/>
      <c r="DN108" s="378"/>
      <c r="DO108" s="379"/>
      <c r="DP108" s="379"/>
      <c r="DQ108" s="379"/>
      <c r="DR108" s="380"/>
      <c r="DS108" s="378"/>
      <c r="DT108" s="379"/>
      <c r="DU108" s="379"/>
      <c r="DV108" s="379"/>
      <c r="DW108" s="380"/>
      <c r="DX108" s="378"/>
      <c r="DY108" s="379"/>
      <c r="DZ108" s="379"/>
      <c r="EA108" s="379"/>
      <c r="EB108" s="380"/>
      <c r="EC108" s="378"/>
      <c r="ED108" s="379"/>
      <c r="EE108" s="379"/>
      <c r="EF108" s="379"/>
      <c r="EG108" s="380"/>
      <c r="EH108" s="378"/>
      <c r="EI108" s="379"/>
      <c r="EJ108" s="379"/>
      <c r="EK108" s="379"/>
      <c r="EL108" s="380"/>
      <c r="EM108" s="378"/>
      <c r="EN108" s="379"/>
      <c r="EO108" s="379"/>
      <c r="EP108" s="379"/>
      <c r="EQ108" s="380"/>
      <c r="ER108" s="378"/>
      <c r="ES108" s="379"/>
      <c r="ET108" s="379"/>
      <c r="EU108" s="379"/>
      <c r="EV108" s="380"/>
      <c r="EW108" s="378"/>
      <c r="EX108" s="379"/>
      <c r="EY108" s="379"/>
      <c r="EZ108" s="379"/>
      <c r="FA108" s="380"/>
      <c r="FB108" s="378"/>
      <c r="FC108" s="379"/>
      <c r="FD108" s="379"/>
      <c r="FE108" s="379"/>
      <c r="FF108" s="380"/>
      <c r="FG108" s="378"/>
      <c r="FH108" s="379"/>
      <c r="FI108" s="379"/>
      <c r="FJ108" s="379"/>
      <c r="FK108" s="380"/>
      <c r="FL108" s="378"/>
      <c r="FM108" s="379"/>
      <c r="FN108" s="379"/>
      <c r="FO108" s="379"/>
      <c r="FP108" s="380"/>
      <c r="FQ108" s="378"/>
      <c r="FR108" s="379"/>
      <c r="FS108" s="379"/>
      <c r="FT108" s="379"/>
      <c r="FU108" s="380"/>
      <c r="FV108" s="378"/>
      <c r="FW108" s="379"/>
      <c r="FX108" s="379"/>
      <c r="FY108" s="379"/>
      <c r="FZ108" s="380"/>
      <c r="GA108" s="378"/>
      <c r="GB108" s="379"/>
      <c r="GC108" s="379"/>
      <c r="GD108" s="379"/>
      <c r="GE108" s="381"/>
    </row>
    <row r="109" spans="1:187" s="561" customFormat="1" ht="12.75" customHeight="1">
      <c r="A109" s="850"/>
      <c r="B109" s="1079" t="s">
        <v>474</v>
      </c>
      <c r="C109" s="291"/>
      <c r="D109" s="137"/>
      <c r="E109" s="137"/>
      <c r="F109" s="137"/>
      <c r="G109" s="538"/>
      <c r="H109" s="291"/>
      <c r="I109" s="107"/>
      <c r="J109" s="107"/>
      <c r="K109" s="107"/>
      <c r="L109" s="293"/>
      <c r="M109" s="291"/>
      <c r="N109" s="107"/>
      <c r="O109" s="107"/>
      <c r="P109" s="107"/>
      <c r="Q109" s="293"/>
      <c r="R109" s="291"/>
      <c r="S109" s="107"/>
      <c r="T109" s="107"/>
      <c r="U109" s="107"/>
      <c r="V109" s="293"/>
      <c r="W109" s="291"/>
      <c r="X109" s="107"/>
      <c r="Y109" s="107"/>
      <c r="Z109" s="107"/>
      <c r="AA109" s="293"/>
      <c r="AB109" s="291"/>
      <c r="AC109" s="107"/>
      <c r="AD109" s="107"/>
      <c r="AE109" s="107"/>
      <c r="AF109" s="293"/>
      <c r="AG109" s="291"/>
      <c r="AH109" s="107"/>
      <c r="AI109" s="107"/>
      <c r="AJ109" s="107"/>
      <c r="AK109" s="293"/>
      <c r="AL109" s="291"/>
      <c r="AM109" s="107"/>
      <c r="AN109" s="107"/>
      <c r="AO109" s="107"/>
      <c r="AP109" s="293"/>
      <c r="AQ109" s="291"/>
      <c r="AR109" s="107"/>
      <c r="AS109" s="107"/>
      <c r="AT109" s="107"/>
      <c r="AU109" s="293"/>
      <c r="AV109" s="291"/>
      <c r="AW109" s="107"/>
      <c r="AX109" s="107"/>
      <c r="AY109" s="107"/>
      <c r="AZ109" s="293"/>
      <c r="BA109" s="291"/>
      <c r="BB109" s="107"/>
      <c r="BC109" s="107"/>
      <c r="BD109" s="107"/>
      <c r="BE109" s="293"/>
      <c r="BF109" s="291"/>
      <c r="BG109" s="107"/>
      <c r="BH109" s="107"/>
      <c r="BI109" s="107"/>
      <c r="BJ109" s="293"/>
      <c r="BK109" s="291"/>
      <c r="BL109" s="107"/>
      <c r="BM109" s="107"/>
      <c r="BN109" s="107"/>
      <c r="BO109" s="293"/>
      <c r="BP109" s="291"/>
      <c r="BQ109" s="107"/>
      <c r="BR109" s="107"/>
      <c r="BS109" s="107"/>
      <c r="BT109" s="293"/>
      <c r="BU109" s="291"/>
      <c r="BV109" s="107"/>
      <c r="BW109" s="107"/>
      <c r="BX109" s="107"/>
      <c r="BY109" s="293"/>
      <c r="BZ109" s="291"/>
      <c r="CA109" s="107"/>
      <c r="CB109" s="107"/>
      <c r="CC109" s="107"/>
      <c r="CD109" s="293"/>
      <c r="CE109" s="291"/>
      <c r="CF109" s="107"/>
      <c r="CG109" s="107"/>
      <c r="CH109" s="107"/>
      <c r="CI109" s="293"/>
      <c r="CJ109" s="291"/>
      <c r="CK109" s="107"/>
      <c r="CL109" s="107"/>
      <c r="CM109" s="107"/>
      <c r="CN109" s="293"/>
      <c r="CO109" s="291"/>
      <c r="CP109" s="107"/>
      <c r="CQ109" s="107"/>
      <c r="CR109" s="107"/>
      <c r="CS109" s="293"/>
      <c r="CT109" s="291"/>
      <c r="CU109" s="107"/>
      <c r="CV109" s="107"/>
      <c r="CW109" s="107"/>
      <c r="CX109" s="293"/>
      <c r="CY109" s="291"/>
      <c r="CZ109" s="107"/>
      <c r="DA109" s="107"/>
      <c r="DB109" s="107"/>
      <c r="DC109" s="293"/>
      <c r="DD109" s="291"/>
      <c r="DE109" s="107"/>
      <c r="DF109" s="107"/>
      <c r="DG109" s="107"/>
      <c r="DH109" s="293"/>
      <c r="DI109" s="291"/>
      <c r="DJ109" s="107"/>
      <c r="DK109" s="107"/>
      <c r="DL109" s="107"/>
      <c r="DM109" s="293"/>
      <c r="DN109" s="291"/>
      <c r="DO109" s="107"/>
      <c r="DP109" s="107"/>
      <c r="DQ109" s="107"/>
      <c r="DR109" s="293"/>
      <c r="DS109" s="291"/>
      <c r="DT109" s="107"/>
      <c r="DU109" s="107"/>
      <c r="DV109" s="107"/>
      <c r="DW109" s="293"/>
      <c r="DX109" s="291"/>
      <c r="DY109" s="107"/>
      <c r="DZ109" s="107"/>
      <c r="EA109" s="107"/>
      <c r="EB109" s="293"/>
      <c r="EC109" s="291"/>
      <c r="ED109" s="107"/>
      <c r="EE109" s="107"/>
      <c r="EF109" s="107"/>
      <c r="EG109" s="293"/>
      <c r="EH109" s="291"/>
      <c r="EI109" s="107"/>
      <c r="EJ109" s="107"/>
      <c r="EK109" s="107"/>
      <c r="EL109" s="293"/>
      <c r="EM109" s="291"/>
      <c r="EN109" s="107"/>
      <c r="EO109" s="107"/>
      <c r="EP109" s="107"/>
      <c r="EQ109" s="293"/>
      <c r="ER109" s="291"/>
      <c r="ES109" s="107"/>
      <c r="ET109" s="107"/>
      <c r="EU109" s="107"/>
      <c r="EV109" s="293"/>
      <c r="EW109" s="349"/>
      <c r="EX109" s="107"/>
      <c r="EY109" s="107"/>
      <c r="EZ109" s="107"/>
      <c r="FA109" s="293"/>
      <c r="FB109" s="349"/>
      <c r="FC109" s="107"/>
      <c r="FD109" s="107"/>
      <c r="FE109" s="107"/>
      <c r="FF109" s="293"/>
      <c r="FG109" s="291"/>
      <c r="FH109" s="107"/>
      <c r="FI109" s="107"/>
      <c r="FJ109" s="107"/>
      <c r="FK109" s="293"/>
      <c r="FL109" s="291"/>
      <c r="FM109" s="107"/>
      <c r="FN109" s="107"/>
      <c r="FO109" s="107"/>
      <c r="FP109" s="293"/>
      <c r="FQ109" s="291"/>
      <c r="FR109" s="107"/>
      <c r="FS109" s="107"/>
      <c r="FT109" s="107"/>
      <c r="FU109" s="293"/>
      <c r="FV109" s="291"/>
      <c r="FW109" s="107"/>
      <c r="FX109" s="107"/>
      <c r="FY109" s="107"/>
      <c r="FZ109" s="293"/>
      <c r="GA109" s="291"/>
      <c r="GB109" s="107"/>
      <c r="GC109" s="107"/>
      <c r="GD109" s="107"/>
      <c r="GE109" s="382"/>
    </row>
    <row r="110" spans="1:187" s="564" customFormat="1" ht="12.75" customHeight="1">
      <c r="A110" s="1427" t="s">
        <v>1898</v>
      </c>
      <c r="B110" s="1078" t="s">
        <v>377</v>
      </c>
      <c r="C110" s="412"/>
      <c r="D110" s="114"/>
      <c r="E110" s="114"/>
      <c r="F110" s="114"/>
      <c r="G110" s="1112"/>
      <c r="H110" s="412"/>
      <c r="I110" s="114"/>
      <c r="J110" s="114"/>
      <c r="K110" s="114"/>
      <c r="L110" s="413"/>
      <c r="M110" s="412"/>
      <c r="N110" s="114"/>
      <c r="O110" s="114"/>
      <c r="P110" s="114"/>
      <c r="Q110" s="413"/>
      <c r="R110" s="412"/>
      <c r="S110" s="114"/>
      <c r="T110" s="114"/>
      <c r="U110" s="114"/>
      <c r="V110" s="413"/>
      <c r="W110" s="412"/>
      <c r="X110" s="114"/>
      <c r="Y110" s="114"/>
      <c r="Z110" s="114"/>
      <c r="AA110" s="413"/>
      <c r="AB110" s="412"/>
      <c r="AC110" s="114"/>
      <c r="AD110" s="114"/>
      <c r="AE110" s="114"/>
      <c r="AF110" s="413"/>
      <c r="AG110" s="412"/>
      <c r="AH110" s="114"/>
      <c r="AI110" s="114"/>
      <c r="AJ110" s="114"/>
      <c r="AK110" s="413"/>
      <c r="AL110" s="412"/>
      <c r="AM110" s="114"/>
      <c r="AN110" s="114"/>
      <c r="AO110" s="114"/>
      <c r="AP110" s="413"/>
      <c r="AQ110" s="412"/>
      <c r="AR110" s="114"/>
      <c r="AS110" s="114"/>
      <c r="AT110" s="114"/>
      <c r="AU110" s="413"/>
      <c r="AV110" s="412"/>
      <c r="AW110" s="114"/>
      <c r="AX110" s="114"/>
      <c r="AY110" s="114"/>
      <c r="AZ110" s="413"/>
      <c r="BA110" s="412"/>
      <c r="BB110" s="114"/>
      <c r="BC110" s="114"/>
      <c r="BD110" s="114"/>
      <c r="BE110" s="413"/>
      <c r="BF110" s="412"/>
      <c r="BG110" s="114"/>
      <c r="BH110" s="114"/>
      <c r="BI110" s="114"/>
      <c r="BJ110" s="413"/>
      <c r="BK110" s="412"/>
      <c r="BL110" s="114"/>
      <c r="BM110" s="114"/>
      <c r="BN110" s="114"/>
      <c r="BO110" s="413"/>
      <c r="BP110" s="412"/>
      <c r="BQ110" s="114"/>
      <c r="BR110" s="114"/>
      <c r="BS110" s="114"/>
      <c r="BT110" s="413"/>
      <c r="BU110" s="412"/>
      <c r="BV110" s="114"/>
      <c r="BW110" s="114"/>
      <c r="BX110" s="114"/>
      <c r="BY110" s="413"/>
      <c r="BZ110" s="412"/>
      <c r="CA110" s="114"/>
      <c r="CB110" s="114"/>
      <c r="CC110" s="114"/>
      <c r="CD110" s="413"/>
      <c r="CE110" s="412"/>
      <c r="CF110" s="114"/>
      <c r="CG110" s="114"/>
      <c r="CH110" s="114"/>
      <c r="CI110" s="413"/>
      <c r="CJ110" s="412"/>
      <c r="CK110" s="114"/>
      <c r="CL110" s="114"/>
      <c r="CM110" s="114"/>
      <c r="CN110" s="413"/>
      <c r="CO110" s="412"/>
      <c r="CP110" s="114"/>
      <c r="CQ110" s="114"/>
      <c r="CR110" s="114"/>
      <c r="CS110" s="413"/>
      <c r="CT110" s="412"/>
      <c r="CU110" s="114"/>
      <c r="CV110" s="114"/>
      <c r="CW110" s="114"/>
      <c r="CX110" s="413"/>
      <c r="CY110" s="412"/>
      <c r="CZ110" s="114"/>
      <c r="DA110" s="114"/>
      <c r="DB110" s="114"/>
      <c r="DC110" s="413"/>
      <c r="DD110" s="412"/>
      <c r="DE110" s="114"/>
      <c r="DF110" s="114"/>
      <c r="DG110" s="114"/>
      <c r="DH110" s="413"/>
      <c r="DI110" s="412"/>
      <c r="DJ110" s="114"/>
      <c r="DK110" s="114"/>
      <c r="DL110" s="114"/>
      <c r="DM110" s="413"/>
      <c r="DN110" s="412"/>
      <c r="DO110" s="114"/>
      <c r="DP110" s="114"/>
      <c r="DQ110" s="114"/>
      <c r="DR110" s="413"/>
      <c r="DS110" s="412"/>
      <c r="DT110" s="114"/>
      <c r="DU110" s="114"/>
      <c r="DV110" s="114"/>
      <c r="DW110" s="413"/>
      <c r="DX110" s="412"/>
      <c r="DY110" s="114"/>
      <c r="DZ110" s="114"/>
      <c r="EA110" s="114"/>
      <c r="EB110" s="413"/>
      <c r="EC110" s="412"/>
      <c r="ED110" s="114"/>
      <c r="EE110" s="114"/>
      <c r="EF110" s="114"/>
      <c r="EG110" s="413"/>
      <c r="EH110" s="412">
        <f>EF114</f>
      </c>
      <c r="EI110" s="114"/>
      <c r="EJ110" s="114">
        <f>+EI114+1%</f>
      </c>
      <c r="EK110" s="114">
        <f>EJ114-2%</f>
      </c>
      <c r="EL110" s="413"/>
      <c r="EM110" s="412">
        <f>EK114-3%</f>
      </c>
      <c r="EN110" s="114">
        <f>EM114-5%</f>
      </c>
      <c r="EO110" s="114">
        <f>EN114-5%</f>
      </c>
      <c r="EP110" s="114">
        <v>0.26</v>
      </c>
      <c r="EQ110" s="413"/>
      <c r="ER110" s="412">
        <v>0.25</v>
      </c>
      <c r="ES110" s="114">
        <v>0.26</v>
      </c>
      <c r="ET110" s="114">
        <v>0.28000000000000003</v>
      </c>
      <c r="EU110" s="439">
        <v>0.3</v>
      </c>
      <c r="EV110" s="292"/>
      <c r="EW110" s="441">
        <v>0.33</v>
      </c>
      <c r="EX110" s="114">
        <v>0.31</v>
      </c>
      <c r="EY110" s="114">
        <v>0.31</v>
      </c>
      <c r="EZ110" s="439">
        <v>0.34</v>
      </c>
      <c r="FA110" s="292"/>
      <c r="FB110" s="441"/>
      <c r="FC110" s="114"/>
      <c r="FD110" s="114"/>
      <c r="FE110" s="439"/>
      <c r="FF110" s="292"/>
      <c r="FG110" s="291"/>
      <c r="FH110" s="107"/>
      <c r="FI110" s="107"/>
      <c r="FJ110" s="107"/>
      <c r="FK110" s="292"/>
      <c r="FL110" s="291"/>
      <c r="FM110" s="107"/>
      <c r="FN110" s="107"/>
      <c r="FO110" s="107"/>
      <c r="FP110" s="292"/>
      <c r="FQ110" s="291"/>
      <c r="FR110" s="107"/>
      <c r="FS110" s="107"/>
      <c r="FT110" s="107"/>
      <c r="FU110" s="292"/>
      <c r="FV110" s="291"/>
      <c r="FW110" s="107"/>
      <c r="FX110" s="107"/>
      <c r="FY110" s="107"/>
      <c r="FZ110" s="292"/>
      <c r="GA110" s="291"/>
      <c r="GB110" s="107"/>
      <c r="GC110" s="107"/>
      <c r="GD110" s="107"/>
      <c r="GE110" s="384"/>
    </row>
    <row r="111" spans="1:187" s="542" customFormat="1" ht="12.75" customHeight="1">
      <c r="A111" s="850" t="s">
        <v>1899</v>
      </c>
      <c r="B111" s="1078" t="s">
        <v>378</v>
      </c>
      <c r="C111" s="412"/>
      <c r="D111" s="758"/>
      <c r="E111" s="758"/>
      <c r="F111" s="758"/>
      <c r="G111" s="1113"/>
      <c r="H111" s="412"/>
      <c r="I111" s="114"/>
      <c r="J111" s="114"/>
      <c r="K111" s="114"/>
      <c r="L111" s="414"/>
      <c r="M111" s="412"/>
      <c r="N111" s="114"/>
      <c r="O111" s="114"/>
      <c r="P111" s="114"/>
      <c r="Q111" s="414"/>
      <c r="R111" s="412"/>
      <c r="S111" s="114"/>
      <c r="T111" s="114"/>
      <c r="U111" s="114"/>
      <c r="V111" s="414"/>
      <c r="W111" s="412"/>
      <c r="X111" s="114"/>
      <c r="Y111" s="114"/>
      <c r="Z111" s="114"/>
      <c r="AA111" s="414"/>
      <c r="AB111" s="412"/>
      <c r="AC111" s="114"/>
      <c r="AD111" s="114"/>
      <c r="AE111" s="114"/>
      <c r="AF111" s="414"/>
      <c r="AG111" s="412"/>
      <c r="AH111" s="114"/>
      <c r="AI111" s="114"/>
      <c r="AJ111" s="114"/>
      <c r="AK111" s="414"/>
      <c r="AL111" s="412"/>
      <c r="AM111" s="114"/>
      <c r="AN111" s="114"/>
      <c r="AO111" s="114"/>
      <c r="AP111" s="414"/>
      <c r="AQ111" s="412"/>
      <c r="AR111" s="114"/>
      <c r="AS111" s="114"/>
      <c r="AT111" s="114"/>
      <c r="AU111" s="414"/>
      <c r="AV111" s="412"/>
      <c r="AW111" s="114"/>
      <c r="AX111" s="114"/>
      <c r="AY111" s="114"/>
      <c r="AZ111" s="414"/>
      <c r="BA111" s="412"/>
      <c r="BB111" s="114"/>
      <c r="BC111" s="114"/>
      <c r="BD111" s="114"/>
      <c r="BE111" s="414"/>
      <c r="BF111" s="412"/>
      <c r="BG111" s="114"/>
      <c r="BH111" s="114"/>
      <c r="BI111" s="114"/>
      <c r="BJ111" s="414"/>
      <c r="BK111" s="412"/>
      <c r="BL111" s="114"/>
      <c r="BM111" s="114"/>
      <c r="BN111" s="114"/>
      <c r="BO111" s="414"/>
      <c r="BP111" s="412"/>
      <c r="BQ111" s="114"/>
      <c r="BR111" s="114"/>
      <c r="BS111" s="114"/>
      <c r="BT111" s="414"/>
      <c r="BU111" s="412"/>
      <c r="BV111" s="114"/>
      <c r="BW111" s="114"/>
      <c r="BX111" s="114"/>
      <c r="BY111" s="414"/>
      <c r="BZ111" s="412"/>
      <c r="CA111" s="114"/>
      <c r="CB111" s="114"/>
      <c r="CC111" s="114"/>
      <c r="CD111" s="414"/>
      <c r="CE111" s="412"/>
      <c r="CF111" s="114"/>
      <c r="CG111" s="114"/>
      <c r="CH111" s="114"/>
      <c r="CI111" s="414"/>
      <c r="CJ111" s="412"/>
      <c r="CK111" s="114"/>
      <c r="CL111" s="114"/>
      <c r="CM111" s="114"/>
      <c r="CN111" s="414"/>
      <c r="CO111" s="412"/>
      <c r="CP111" s="114"/>
      <c r="CQ111" s="114"/>
      <c r="CR111" s="114"/>
      <c r="CS111" s="414"/>
      <c r="CT111" s="412"/>
      <c r="CU111" s="114"/>
      <c r="CV111" s="114"/>
      <c r="CW111" s="114"/>
      <c r="CX111" s="414"/>
      <c r="CY111" s="412"/>
      <c r="CZ111" s="114"/>
      <c r="DA111" s="114"/>
      <c r="DB111" s="114"/>
      <c r="DC111" s="414"/>
      <c r="DD111" s="412"/>
      <c r="DE111" s="114"/>
      <c r="DF111" s="114"/>
      <c r="DG111" s="114"/>
      <c r="DH111" s="414"/>
      <c r="DI111" s="412"/>
      <c r="DJ111" s="114"/>
      <c r="DK111" s="114"/>
      <c r="DL111" s="114"/>
      <c r="DM111" s="414"/>
      <c r="DN111" s="412"/>
      <c r="DO111" s="114"/>
      <c r="DP111" s="114"/>
      <c r="DQ111" s="114"/>
      <c r="DR111" s="414"/>
      <c r="DS111" s="412"/>
      <c r="DT111" s="114"/>
      <c r="DU111" s="114"/>
      <c r="DV111" s="114"/>
      <c r="DW111" s="414"/>
      <c r="DX111" s="412"/>
      <c r="DY111" s="114"/>
      <c r="DZ111" s="114"/>
      <c r="EA111" s="114"/>
      <c r="EB111" s="414"/>
      <c r="EC111" s="412"/>
      <c r="ED111" s="114"/>
      <c r="EE111" s="114"/>
      <c r="EF111" s="114"/>
      <c r="EG111" s="414"/>
      <c r="EH111" s="412">
        <f>+EH110</f>
      </c>
      <c r="EI111" s="114"/>
      <c r="EJ111" s="114">
        <f>+EI114+2%</f>
      </c>
      <c r="EK111" s="114">
        <f>+EK110</f>
      </c>
      <c r="EL111" s="414"/>
      <c r="EM111" s="412">
        <f>+EM110</f>
      </c>
      <c r="EN111" s="114">
        <f>+EN110</f>
      </c>
      <c r="EO111" s="114">
        <f>EN114-4%</f>
      </c>
      <c r="EP111" s="114">
        <v>0.27</v>
      </c>
      <c r="EQ111" s="414"/>
      <c r="ER111" s="412">
        <v>0.26</v>
      </c>
      <c r="ES111" s="114">
        <v>0.27</v>
      </c>
      <c r="ET111" s="114">
        <v>0.28000000000000003</v>
      </c>
      <c r="EU111" s="439">
        <v>0.31</v>
      </c>
      <c r="EV111" s="293"/>
      <c r="EW111" s="441">
        <v>0.33</v>
      </c>
      <c r="EX111" s="114">
        <v>0.32</v>
      </c>
      <c r="EY111" s="114">
        <v>0.32</v>
      </c>
      <c r="EZ111" s="439">
        <v>0.35</v>
      </c>
      <c r="FA111" s="293"/>
      <c r="FB111" s="441"/>
      <c r="FC111" s="114"/>
      <c r="FD111" s="114"/>
      <c r="FE111" s="439"/>
      <c r="FF111" s="293"/>
      <c r="FG111" s="291"/>
      <c r="FH111" s="107"/>
      <c r="FI111" s="107"/>
      <c r="FJ111" s="107"/>
      <c r="FK111" s="293"/>
      <c r="FL111" s="291"/>
      <c r="FM111" s="107"/>
      <c r="FN111" s="107"/>
      <c r="FO111" s="107"/>
      <c r="FP111" s="293"/>
      <c r="FQ111" s="291"/>
      <c r="FR111" s="107"/>
      <c r="FS111" s="107"/>
      <c r="FT111" s="107"/>
      <c r="FU111" s="293"/>
      <c r="FV111" s="291"/>
      <c r="FW111" s="107"/>
      <c r="FX111" s="107"/>
      <c r="FY111" s="107"/>
      <c r="FZ111" s="293"/>
      <c r="GA111" s="291"/>
      <c r="GB111" s="107"/>
      <c r="GC111" s="107"/>
      <c r="GD111" s="107"/>
      <c r="GE111" s="382"/>
    </row>
    <row r="112" spans="1:187" s="542" customFormat="1" ht="12.75" customHeight="1">
      <c r="A112" s="850" t="s">
        <v>475</v>
      </c>
      <c r="B112" s="1078" t="s">
        <v>401</v>
      </c>
      <c r="C112" s="291"/>
      <c r="D112" s="137"/>
      <c r="E112" s="137"/>
      <c r="F112" s="137"/>
      <c r="G112" s="538"/>
      <c r="H112" s="291"/>
      <c r="I112" s="107"/>
      <c r="J112" s="107"/>
      <c r="K112" s="107"/>
      <c r="L112" s="293"/>
      <c r="M112" s="291"/>
      <c r="N112" s="107"/>
      <c r="O112" s="107"/>
      <c r="P112" s="107"/>
      <c r="Q112" s="293"/>
      <c r="R112" s="291"/>
      <c r="S112" s="107"/>
      <c r="T112" s="107"/>
      <c r="U112" s="107"/>
      <c r="V112" s="293"/>
      <c r="W112" s="291"/>
      <c r="X112" s="107"/>
      <c r="Y112" s="107"/>
      <c r="Z112" s="107"/>
      <c r="AA112" s="293"/>
      <c r="AB112" s="291"/>
      <c r="AC112" s="107"/>
      <c r="AD112" s="107"/>
      <c r="AE112" s="107"/>
      <c r="AF112" s="293"/>
      <c r="AG112" s="291"/>
      <c r="AH112" s="107"/>
      <c r="AI112" s="107"/>
      <c r="AJ112" s="107"/>
      <c r="AK112" s="293"/>
      <c r="AL112" s="291"/>
      <c r="AM112" s="107"/>
      <c r="AN112" s="107"/>
      <c r="AO112" s="107"/>
      <c r="AP112" s="293"/>
      <c r="AQ112" s="291"/>
      <c r="AR112" s="107"/>
      <c r="AS112" s="107"/>
      <c r="AT112" s="107"/>
      <c r="AU112" s="293"/>
      <c r="AV112" s="291"/>
      <c r="AW112" s="107"/>
      <c r="AX112" s="107"/>
      <c r="AY112" s="107"/>
      <c r="AZ112" s="293"/>
      <c r="BA112" s="291"/>
      <c r="BB112" s="107"/>
      <c r="BC112" s="107"/>
      <c r="BD112" s="107"/>
      <c r="BE112" s="293"/>
      <c r="BF112" s="291"/>
      <c r="BG112" s="107"/>
      <c r="BH112" s="107"/>
      <c r="BI112" s="107"/>
      <c r="BJ112" s="293"/>
      <c r="BK112" s="291"/>
      <c r="BL112" s="107"/>
      <c r="BM112" s="107"/>
      <c r="BN112" s="107"/>
      <c r="BO112" s="293"/>
      <c r="BP112" s="291"/>
      <c r="BQ112" s="107"/>
      <c r="BR112" s="107"/>
      <c r="BS112" s="107"/>
      <c r="BT112" s="293"/>
      <c r="BU112" s="291"/>
      <c r="BV112" s="107"/>
      <c r="BW112" s="107"/>
      <c r="BX112" s="107"/>
      <c r="BY112" s="293"/>
      <c r="BZ112" s="291"/>
      <c r="CA112" s="107"/>
      <c r="CB112" s="107"/>
      <c r="CC112" s="107"/>
      <c r="CD112" s="293"/>
      <c r="CE112" s="291"/>
      <c r="CF112" s="107"/>
      <c r="CG112" s="107"/>
      <c r="CH112" s="107"/>
      <c r="CI112" s="293"/>
      <c r="CJ112" s="291"/>
      <c r="CK112" s="107"/>
      <c r="CL112" s="107"/>
      <c r="CM112" s="107"/>
      <c r="CN112" s="293"/>
      <c r="CO112" s="291"/>
      <c r="CP112" s="107"/>
      <c r="CQ112" s="107"/>
      <c r="CR112" s="107"/>
      <c r="CS112" s="293"/>
      <c r="CT112" s="291"/>
      <c r="CU112" s="107"/>
      <c r="CV112" s="107"/>
      <c r="CW112" s="107"/>
      <c r="CX112" s="293"/>
      <c r="CY112" s="291"/>
      <c r="CZ112" s="107"/>
      <c r="DA112" s="107"/>
      <c r="DB112" s="107"/>
      <c r="DC112" s="293"/>
      <c r="DD112" s="291"/>
      <c r="DE112" s="107"/>
      <c r="DF112" s="107"/>
      <c r="DG112" s="107"/>
      <c r="DH112" s="293"/>
      <c r="DI112" s="291"/>
      <c r="DJ112" s="107"/>
      <c r="DK112" s="107"/>
      <c r="DL112" s="107"/>
      <c r="DM112" s="293"/>
      <c r="DN112" s="291"/>
      <c r="DO112" s="107"/>
      <c r="DP112" s="107"/>
      <c r="DQ112" s="107"/>
      <c r="DR112" s="293"/>
      <c r="DS112" s="291"/>
      <c r="DT112" s="107"/>
      <c r="DU112" s="107"/>
      <c r="DV112" s="107"/>
      <c r="DW112" s="293"/>
      <c r="DX112" s="291"/>
      <c r="DY112" s="107"/>
      <c r="DZ112" s="107"/>
      <c r="EA112" s="107"/>
      <c r="EB112" s="293"/>
      <c r="EC112" s="291"/>
      <c r="ED112" s="107"/>
      <c r="EE112" s="107"/>
      <c r="EF112" s="107"/>
      <c r="EG112" s="293"/>
      <c r="EH112" s="291"/>
      <c r="EI112" s="107"/>
      <c r="EJ112" s="107"/>
      <c r="EK112" s="107"/>
      <c r="EL112" s="293"/>
      <c r="EM112" s="107">
        <f>IFERROR(AVERAGE(EM110:EM111),"--")</f>
      </c>
      <c r="EN112" s="107">
        <f>IFERROR(AVERAGE(EN110:EN111),"--")</f>
      </c>
      <c r="EO112" s="107">
        <f>IFERROR(AVERAGE(EO110:EO111),"--")</f>
      </c>
      <c r="EP112" s="107">
        <f>IFERROR(AVERAGE(EP110:EP111),"--")</f>
      </c>
      <c r="EQ112" s="293"/>
      <c r="ER112" s="107">
        <f>IFERROR(AVERAGE(ER110:ER111),"--")</f>
      </c>
      <c r="ES112" s="107">
        <f>IFERROR(AVERAGE(ES110:ES111),"--")</f>
      </c>
      <c r="ET112" s="107">
        <f>IFERROR(AVERAGE(ET110:ET111),"--")</f>
      </c>
      <c r="EU112" s="107">
        <f>IFERROR(AVERAGE(EU110:EU111),"--")</f>
      </c>
      <c r="EV112" s="293"/>
      <c r="EW112" s="107">
        <f>IFERROR(AVERAGE(EW110:EW111),"--")</f>
      </c>
      <c r="EX112" s="107">
        <f>IFERROR(AVERAGE(EX110:EX111),"--")</f>
      </c>
      <c r="EY112" s="107">
        <f>IFERROR(AVERAGE(EY110:EY111),"--")</f>
      </c>
      <c r="EZ112" s="107">
        <f>IFERROR(AVERAGE(EZ110:EZ111),"--")</f>
      </c>
      <c r="FA112" s="293"/>
      <c r="FB112" s="107" t="str">
        <f>IFERROR(AVERAGE(FB110:FB111),"--")</f>
      </c>
      <c r="FC112" s="107"/>
      <c r="FD112" s="107"/>
      <c r="FE112" s="107"/>
      <c r="FF112" s="293"/>
      <c r="FG112" s="291"/>
      <c r="FH112" s="107"/>
      <c r="FI112" s="107"/>
      <c r="FJ112" s="107"/>
      <c r="FK112" s="293"/>
      <c r="FL112" s="291"/>
      <c r="FM112" s="107"/>
      <c r="FN112" s="107"/>
      <c r="FO112" s="107"/>
      <c r="FP112" s="293"/>
      <c r="FQ112" s="291"/>
      <c r="FR112" s="107"/>
      <c r="FS112" s="107"/>
      <c r="FT112" s="107"/>
      <c r="FU112" s="293"/>
      <c r="FV112" s="291"/>
      <c r="FW112" s="107"/>
      <c r="FX112" s="107"/>
      <c r="FY112" s="107"/>
      <c r="FZ112" s="293"/>
      <c r="GA112" s="291"/>
      <c r="GB112" s="107"/>
      <c r="GC112" s="107"/>
      <c r="GD112" s="107"/>
      <c r="GE112" s="382"/>
    </row>
    <row r="113" spans="1:187" s="542" customFormat="1" ht="12.75" customHeight="1">
      <c r="A113" s="850"/>
      <c r="B113" s="1078"/>
      <c r="C113" s="291"/>
      <c r="D113" s="137"/>
      <c r="E113" s="137"/>
      <c r="F113" s="137"/>
      <c r="G113" s="538"/>
      <c r="H113" s="291"/>
      <c r="I113" s="107"/>
      <c r="J113" s="107"/>
      <c r="K113" s="107"/>
      <c r="L113" s="293"/>
      <c r="M113" s="291"/>
      <c r="N113" s="107"/>
      <c r="O113" s="107"/>
      <c r="P113" s="107"/>
      <c r="Q113" s="293"/>
      <c r="R113" s="291"/>
      <c r="S113" s="107"/>
      <c r="T113" s="107"/>
      <c r="U113" s="107"/>
      <c r="V113" s="293"/>
      <c r="W113" s="291"/>
      <c r="X113" s="107"/>
      <c r="Y113" s="107"/>
      <c r="Z113" s="107"/>
      <c r="AA113" s="293"/>
      <c r="AB113" s="291"/>
      <c r="AC113" s="107"/>
      <c r="AD113" s="107"/>
      <c r="AE113" s="107"/>
      <c r="AF113" s="293"/>
      <c r="AG113" s="291"/>
      <c r="AH113" s="107"/>
      <c r="AI113" s="107"/>
      <c r="AJ113" s="107"/>
      <c r="AK113" s="293"/>
      <c r="AL113" s="291"/>
      <c r="AM113" s="107"/>
      <c r="AN113" s="107"/>
      <c r="AO113" s="107"/>
      <c r="AP113" s="293"/>
      <c r="AQ113" s="291"/>
      <c r="AR113" s="107"/>
      <c r="AS113" s="107"/>
      <c r="AT113" s="107"/>
      <c r="AU113" s="293"/>
      <c r="AV113" s="291"/>
      <c r="AW113" s="107"/>
      <c r="AX113" s="107"/>
      <c r="AY113" s="107"/>
      <c r="AZ113" s="293"/>
      <c r="BA113" s="291"/>
      <c r="BB113" s="107"/>
      <c r="BC113" s="107"/>
      <c r="BD113" s="107"/>
      <c r="BE113" s="293"/>
      <c r="BF113" s="291"/>
      <c r="BG113" s="107"/>
      <c r="BH113" s="107"/>
      <c r="BI113" s="107"/>
      <c r="BJ113" s="293"/>
      <c r="BK113" s="291"/>
      <c r="BL113" s="107"/>
      <c r="BM113" s="107"/>
      <c r="BN113" s="107"/>
      <c r="BO113" s="293"/>
      <c r="BP113" s="291"/>
      <c r="BQ113" s="107"/>
      <c r="BR113" s="107"/>
      <c r="BS113" s="107"/>
      <c r="BT113" s="293"/>
      <c r="BU113" s="291"/>
      <c r="BV113" s="107"/>
      <c r="BW113" s="107"/>
      <c r="BX113" s="107"/>
      <c r="BY113" s="293"/>
      <c r="BZ113" s="291"/>
      <c r="CA113" s="107"/>
      <c r="CB113" s="107"/>
      <c r="CC113" s="107"/>
      <c r="CD113" s="293"/>
      <c r="CE113" s="291"/>
      <c r="CF113" s="107"/>
      <c r="CG113" s="107"/>
      <c r="CH113" s="107"/>
      <c r="CI113" s="293"/>
      <c r="CJ113" s="291"/>
      <c r="CK113" s="107"/>
      <c r="CL113" s="107"/>
      <c r="CM113" s="107"/>
      <c r="CN113" s="293"/>
      <c r="CO113" s="291"/>
      <c r="CP113" s="107"/>
      <c r="CQ113" s="107"/>
      <c r="CR113" s="107"/>
      <c r="CS113" s="293"/>
      <c r="CT113" s="291"/>
      <c r="CU113" s="107"/>
      <c r="CV113" s="107"/>
      <c r="CW113" s="107"/>
      <c r="CX113" s="293"/>
      <c r="CY113" s="291"/>
      <c r="CZ113" s="107"/>
      <c r="DA113" s="107"/>
      <c r="DB113" s="107"/>
      <c r="DC113" s="293"/>
      <c r="DD113" s="291"/>
      <c r="DE113" s="107"/>
      <c r="DF113" s="107"/>
      <c r="DG113" s="107"/>
      <c r="DH113" s="293"/>
      <c r="DI113" s="291"/>
      <c r="DJ113" s="107"/>
      <c r="DK113" s="107"/>
      <c r="DL113" s="107"/>
      <c r="DM113" s="293"/>
      <c r="DN113" s="291"/>
      <c r="DO113" s="107"/>
      <c r="DP113" s="107"/>
      <c r="DQ113" s="107"/>
      <c r="DR113" s="293"/>
      <c r="DS113" s="291"/>
      <c r="DT113" s="107"/>
      <c r="DU113" s="107"/>
      <c r="DV113" s="107"/>
      <c r="DW113" s="293"/>
      <c r="DX113" s="291"/>
      <c r="DY113" s="107"/>
      <c r="DZ113" s="107"/>
      <c r="EA113" s="107"/>
      <c r="EB113" s="293"/>
      <c r="EC113" s="291"/>
      <c r="ED113" s="107"/>
      <c r="EE113" s="107"/>
      <c r="EF113" s="107"/>
      <c r="EG113" s="293"/>
      <c r="EH113" s="291"/>
      <c r="EI113" s="107"/>
      <c r="EJ113" s="107"/>
      <c r="EK113" s="107"/>
      <c r="EL113" s="293"/>
      <c r="EM113" s="291"/>
      <c r="EN113" s="107"/>
      <c r="EO113" s="107"/>
      <c r="EP113" s="107"/>
      <c r="EQ113" s="293"/>
      <c r="ER113" s="291"/>
      <c r="ES113" s="107"/>
      <c r="ET113" s="107"/>
      <c r="EU113" s="107"/>
      <c r="EV113" s="293"/>
      <c r="EW113" s="291"/>
      <c r="EX113" s="291"/>
      <c r="EY113" s="107"/>
      <c r="EZ113" s="291"/>
      <c r="FA113" s="293"/>
      <c r="FB113" s="291"/>
      <c r="FC113" s="291"/>
      <c r="FD113" s="107"/>
      <c r="FE113" s="107"/>
      <c r="FF113" s="293"/>
      <c r="FG113" s="291"/>
      <c r="FH113" s="107"/>
      <c r="FI113" s="107"/>
      <c r="FJ113" s="107"/>
      <c r="FK113" s="293"/>
      <c r="FL113" s="291"/>
      <c r="FM113" s="107"/>
      <c r="FN113" s="107"/>
      <c r="FO113" s="107"/>
      <c r="FP113" s="293"/>
      <c r="FQ113" s="291"/>
      <c r="FR113" s="107"/>
      <c r="FS113" s="107"/>
      <c r="FT113" s="107"/>
      <c r="FU113" s="293"/>
      <c r="FV113" s="291"/>
      <c r="FW113" s="107"/>
      <c r="FX113" s="107"/>
      <c r="FY113" s="107"/>
      <c r="FZ113" s="293"/>
      <c r="GA113" s="291"/>
      <c r="GB113" s="107"/>
      <c r="GC113" s="107"/>
      <c r="GD113" s="107"/>
      <c r="GE113" s="382"/>
    </row>
    <row r="114" spans="1:187" s="564" customFormat="1" ht="12.75" customHeight="1">
      <c r="A114" s="1427" t="s">
        <v>337</v>
      </c>
      <c r="B114" s="1080" t="s">
        <v>317</v>
      </c>
      <c r="C114" s="825"/>
      <c r="D114" s="1068"/>
      <c r="E114" s="1068"/>
      <c r="F114" s="1068"/>
      <c r="G114" s="1069"/>
      <c r="H114" s="825"/>
      <c r="I114" s="826"/>
      <c r="J114" s="826"/>
      <c r="K114" s="826"/>
      <c r="L114" s="1067"/>
      <c r="M114" s="825"/>
      <c r="N114" s="826"/>
      <c r="O114" s="826"/>
      <c r="P114" s="826"/>
      <c r="Q114" s="1067"/>
      <c r="R114" s="825"/>
      <c r="S114" s="826"/>
      <c r="T114" s="826"/>
      <c r="U114" s="826"/>
      <c r="V114" s="1067"/>
      <c r="W114" s="825"/>
      <c r="X114" s="826"/>
      <c r="Y114" s="826"/>
      <c r="Z114" s="826"/>
      <c r="AA114" s="1067"/>
      <c r="AB114" s="825"/>
      <c r="AC114" s="826"/>
      <c r="AD114" s="826"/>
      <c r="AE114" s="826"/>
      <c r="AF114" s="1067"/>
      <c r="AG114" s="825"/>
      <c r="AH114" s="826"/>
      <c r="AI114" s="826"/>
      <c r="AJ114" s="826"/>
      <c r="AK114" s="1067"/>
      <c r="AL114" s="825"/>
      <c r="AM114" s="826"/>
      <c r="AN114" s="826"/>
      <c r="AO114" s="826"/>
      <c r="AP114" s="1067"/>
      <c r="AQ114" s="825"/>
      <c r="AR114" s="826"/>
      <c r="AS114" s="826"/>
      <c r="AT114" s="826"/>
      <c r="AU114" s="1067"/>
      <c r="AV114" s="825"/>
      <c r="AW114" s="826"/>
      <c r="AX114" s="826"/>
      <c r="AY114" s="826"/>
      <c r="AZ114" s="1067"/>
      <c r="BA114" s="825"/>
      <c r="BB114" s="826"/>
      <c r="BC114" s="826"/>
      <c r="BD114" s="826"/>
      <c r="BE114" s="1067"/>
      <c r="BF114" s="825"/>
      <c r="BG114" s="826"/>
      <c r="BH114" s="826"/>
      <c r="BI114" s="826"/>
      <c r="BJ114" s="1067"/>
      <c r="BK114" s="825"/>
      <c r="BL114" s="826"/>
      <c r="BM114" s="826"/>
      <c r="BN114" s="826"/>
      <c r="BO114" s="1067"/>
      <c r="BP114" s="825"/>
      <c r="BQ114" s="826"/>
      <c r="BR114" s="826"/>
      <c r="BS114" s="826"/>
      <c r="BT114" s="1067"/>
      <c r="BU114" s="825"/>
      <c r="BV114" s="826"/>
      <c r="BW114" s="826"/>
      <c r="BX114" s="826"/>
      <c r="BY114" s="1067"/>
      <c r="BZ114" s="825"/>
      <c r="CA114" s="826"/>
      <c r="CB114" s="826"/>
      <c r="CC114" s="826"/>
      <c r="CD114" s="1067"/>
      <c r="CE114" s="825"/>
      <c r="CF114" s="826"/>
      <c r="CG114" s="826"/>
      <c r="CH114" s="826"/>
      <c r="CI114" s="1067"/>
      <c r="CJ114" s="825"/>
      <c r="CK114" s="826"/>
      <c r="CL114" s="826"/>
      <c r="CM114" s="826"/>
      <c r="CN114" s="1067"/>
      <c r="CO114" s="825"/>
      <c r="CP114" s="826"/>
      <c r="CQ114" s="826"/>
      <c r="CR114" s="826"/>
      <c r="CS114" s="1067"/>
      <c r="CT114" s="825"/>
      <c r="CU114" s="826"/>
      <c r="CV114" s="826"/>
      <c r="CW114" s="826"/>
      <c r="CX114" s="1067"/>
      <c r="CY114" s="825"/>
      <c r="CZ114" s="826"/>
      <c r="DA114" s="826"/>
      <c r="DB114" s="826"/>
      <c r="DC114" s="1067"/>
      <c r="DD114" s="1107">
        <f>IC!DD179</f>
      </c>
      <c r="DE114" s="1108">
        <f>IC!DE179</f>
      </c>
      <c r="DF114" s="1108">
        <f>IC!DF179</f>
      </c>
      <c r="DG114" s="1108">
        <f>IC!DG179</f>
      </c>
      <c r="DH114" s="1109"/>
      <c r="DI114" s="1107">
        <f>IC!DI179</f>
      </c>
      <c r="DJ114" s="1108">
        <f>IC!DJ179</f>
      </c>
      <c r="DK114" s="1108">
        <f>IC!DK179</f>
      </c>
      <c r="DL114" s="1108">
        <f>IC!DL179</f>
      </c>
      <c r="DM114" s="1109"/>
      <c r="DN114" s="1107">
        <f>IC!DN179</f>
      </c>
      <c r="DO114" s="1108">
        <f>IC!DO179</f>
      </c>
      <c r="DP114" s="1108">
        <f>IC!DP179</f>
      </c>
      <c r="DQ114" s="1108">
        <f>IC!DQ179</f>
      </c>
      <c r="DR114" s="1109"/>
      <c r="DS114" s="1107">
        <f>IC!DS179</f>
      </c>
      <c r="DT114" s="1108">
        <f>IC!DT179</f>
      </c>
      <c r="DU114" s="1108">
        <f>IC!DU179</f>
      </c>
      <c r="DV114" s="1108">
        <f>IC!DV179</f>
      </c>
      <c r="DW114" s="1109"/>
      <c r="DX114" s="1107">
        <f>IC!DX179</f>
      </c>
      <c r="DY114" s="1108">
        <f>IC!DY179</f>
      </c>
      <c r="DZ114" s="1108">
        <f>IC!DZ179</f>
      </c>
      <c r="EA114" s="1108">
        <f>IC!EA179</f>
      </c>
      <c r="EB114" s="1109"/>
      <c r="EC114" s="1107">
        <f>IC!EC179</f>
      </c>
      <c r="ED114" s="1108">
        <f>IC!ED179</f>
      </c>
      <c r="EE114" s="1108">
        <f>IC!EE179</f>
      </c>
      <c r="EF114" s="1108">
        <f>IC!EF179</f>
      </c>
      <c r="EG114" s="1109"/>
      <c r="EH114" s="1107">
        <f>IC!EH179</f>
      </c>
      <c r="EI114" s="1108">
        <f>IC!EI179</f>
      </c>
      <c r="EJ114" s="1108">
        <f>IC!EJ179</f>
      </c>
      <c r="EK114" s="1108">
        <f>IC!EK179</f>
      </c>
      <c r="EL114" s="1109"/>
      <c r="EM114" s="1107">
        <f>IC!EM179</f>
      </c>
      <c r="EN114" s="1108">
        <f>IC!EN179</f>
      </c>
      <c r="EO114" s="1108">
        <f>IC!EO179</f>
      </c>
      <c r="EP114" s="1108">
        <f>IC!EP179</f>
      </c>
      <c r="EQ114" s="1109"/>
      <c r="ER114" s="1107">
        <f>IC!ER179</f>
      </c>
      <c r="ES114" s="1108">
        <f>IC!ES179</f>
      </c>
      <c r="ET114" s="1108">
        <f>IC!ET179</f>
      </c>
      <c r="EU114" s="1108">
        <f>IC!EU179</f>
      </c>
      <c r="EV114" s="891"/>
      <c r="EW114" s="1107">
        <f>IC!EW110</f>
      </c>
      <c r="EX114" s="1107">
        <f>IC!EX110</f>
      </c>
      <c r="EY114" s="1107">
        <f>IC!EY110</f>
      </c>
      <c r="EZ114" s="1107">
        <f>IC!EZ110</f>
      </c>
      <c r="FA114" s="891"/>
      <c r="FB114" s="1107"/>
      <c r="FC114" s="1107"/>
      <c r="FD114" s="1107"/>
      <c r="FE114" s="1108"/>
      <c r="FF114" s="891"/>
      <c r="FG114" s="399"/>
      <c r="FH114" s="129"/>
      <c r="FI114" s="129"/>
      <c r="FJ114" s="129"/>
      <c r="FK114" s="891"/>
      <c r="FL114" s="399"/>
      <c r="FM114" s="129"/>
      <c r="FN114" s="129"/>
      <c r="FO114" s="129"/>
      <c r="FP114" s="891"/>
      <c r="FQ114" s="399"/>
      <c r="FR114" s="129"/>
      <c r="FS114" s="129"/>
      <c r="FT114" s="129"/>
      <c r="FU114" s="891"/>
      <c r="FV114" s="399"/>
      <c r="FW114" s="129"/>
      <c r="FX114" s="129"/>
      <c r="FY114" s="129"/>
      <c r="FZ114" s="891"/>
      <c r="GA114" s="399"/>
      <c r="GB114" s="129"/>
      <c r="GC114" s="129"/>
      <c r="GD114" s="129"/>
      <c r="GE114" s="1081"/>
    </row>
    <row r="115" spans="1:187" s="537" customFormat="1" ht="12.75" customHeight="1">
      <c r="A115" s="850"/>
      <c r="B115" s="1078" t="s">
        <v>405</v>
      </c>
      <c r="C115" s="291"/>
      <c r="D115" s="137"/>
      <c r="E115" s="137"/>
      <c r="F115" s="137"/>
      <c r="G115" s="538"/>
      <c r="H115" s="291"/>
      <c r="I115" s="107"/>
      <c r="J115" s="107"/>
      <c r="K115" s="107"/>
      <c r="L115" s="293"/>
      <c r="M115" s="291"/>
      <c r="N115" s="107"/>
      <c r="O115" s="107"/>
      <c r="P115" s="107"/>
      <c r="Q115" s="293"/>
      <c r="R115" s="291"/>
      <c r="S115" s="107"/>
      <c r="T115" s="107"/>
      <c r="U115" s="107"/>
      <c r="V115" s="293"/>
      <c r="W115" s="291"/>
      <c r="X115" s="107"/>
      <c r="Y115" s="107"/>
      <c r="Z115" s="107"/>
      <c r="AA115" s="293"/>
      <c r="AB115" s="291"/>
      <c r="AC115" s="107"/>
      <c r="AD115" s="107"/>
      <c r="AE115" s="107"/>
      <c r="AF115" s="293"/>
      <c r="AG115" s="291"/>
      <c r="AH115" s="107"/>
      <c r="AI115" s="107"/>
      <c r="AJ115" s="107"/>
      <c r="AK115" s="293"/>
      <c r="AL115" s="291"/>
      <c r="AM115" s="107"/>
      <c r="AN115" s="107"/>
      <c r="AO115" s="107"/>
      <c r="AP115" s="293"/>
      <c r="AQ115" s="291"/>
      <c r="AR115" s="107"/>
      <c r="AS115" s="107"/>
      <c r="AT115" s="107"/>
      <c r="AU115" s="293"/>
      <c r="AV115" s="291"/>
      <c r="AW115" s="107"/>
      <c r="AX115" s="107"/>
      <c r="AY115" s="107"/>
      <c r="AZ115" s="293"/>
      <c r="BA115" s="291"/>
      <c r="BB115" s="107"/>
      <c r="BC115" s="107"/>
      <c r="BD115" s="107"/>
      <c r="BE115" s="293"/>
      <c r="BF115" s="291"/>
      <c r="BG115" s="107"/>
      <c r="BH115" s="107"/>
      <c r="BI115" s="107"/>
      <c r="BJ115" s="293"/>
      <c r="BK115" s="291"/>
      <c r="BL115" s="107"/>
      <c r="BM115" s="107"/>
      <c r="BN115" s="107"/>
      <c r="BO115" s="293"/>
      <c r="BP115" s="291"/>
      <c r="BQ115" s="107"/>
      <c r="BR115" s="107"/>
      <c r="BS115" s="107"/>
      <c r="BT115" s="293"/>
      <c r="BU115" s="291"/>
      <c r="BV115" s="107"/>
      <c r="BW115" s="107"/>
      <c r="BX115" s="107"/>
      <c r="BY115" s="293"/>
      <c r="BZ115" s="291"/>
      <c r="CA115" s="107"/>
      <c r="CB115" s="107"/>
      <c r="CC115" s="107"/>
      <c r="CD115" s="293"/>
      <c r="CE115" s="291"/>
      <c r="CF115" s="107"/>
      <c r="CG115" s="107"/>
      <c r="CH115" s="107"/>
      <c r="CI115" s="293"/>
      <c r="CJ115" s="291"/>
      <c r="CK115" s="107"/>
      <c r="CL115" s="107"/>
      <c r="CM115" s="107"/>
      <c r="CN115" s="293"/>
      <c r="CO115" s="291"/>
      <c r="CP115" s="107"/>
      <c r="CQ115" s="107"/>
      <c r="CR115" s="107"/>
      <c r="CS115" s="293"/>
      <c r="CT115" s="291"/>
      <c r="CU115" s="107"/>
      <c r="CV115" s="107"/>
      <c r="CW115" s="107"/>
      <c r="CX115" s="293"/>
      <c r="CY115" s="291"/>
      <c r="CZ115" s="107"/>
      <c r="DA115" s="107"/>
      <c r="DB115" s="107"/>
      <c r="DC115" s="293"/>
      <c r="DD115" s="291"/>
      <c r="DE115" s="107"/>
      <c r="DF115" s="107"/>
      <c r="DG115" s="107"/>
      <c r="DH115" s="293"/>
      <c r="DI115" s="291"/>
      <c r="DJ115" s="107"/>
      <c r="DK115" s="107"/>
      <c r="DL115" s="107"/>
      <c r="DM115" s="293"/>
      <c r="DN115" s="291"/>
      <c r="DO115" s="107"/>
      <c r="DP115" s="107"/>
      <c r="DQ115" s="107"/>
      <c r="DR115" s="293"/>
      <c r="DS115" s="291"/>
      <c r="DT115" s="107"/>
      <c r="DU115" s="107"/>
      <c r="DV115" s="107"/>
      <c r="DW115" s="293"/>
      <c r="DX115" s="291"/>
      <c r="DY115" s="107"/>
      <c r="DZ115" s="107"/>
      <c r="EA115" s="107"/>
      <c r="EB115" s="293"/>
      <c r="EC115" s="291"/>
      <c r="ED115" s="107"/>
      <c r="EE115" s="107"/>
      <c r="EF115" s="107"/>
      <c r="EG115" s="293"/>
      <c r="EH115" s="291"/>
      <c r="EI115" s="107"/>
      <c r="EJ115" s="107"/>
      <c r="EK115" s="107"/>
      <c r="EL115" s="293"/>
      <c r="EM115" s="1120">
        <f>(EM114-EM112)*10000</f>
      </c>
      <c r="EN115" s="1120">
        <f>(EN114-EN112)*10000</f>
      </c>
      <c r="EO115" s="1120">
        <f>(EO114-EO112)*10000</f>
      </c>
      <c r="EP115" s="1120">
        <f>(EP114-EP112)*10000</f>
      </c>
      <c r="EQ115" s="293"/>
      <c r="ER115" s="1120">
        <f>(ER114-ER112)*10000</f>
      </c>
      <c r="ES115" s="1120">
        <f>(ES114-ES112)*10000</f>
      </c>
      <c r="ET115" s="1120">
        <f>(ET114-ET112)*10000</f>
      </c>
      <c r="EU115" s="1120">
        <f>(EU114-EU112)*10000</f>
      </c>
      <c r="EV115" s="293"/>
      <c r="EW115" s="1120">
        <f>(EW114-EW112)*10000</f>
      </c>
      <c r="EX115" s="1120">
        <f>(EX114-EX112)*10000</f>
      </c>
      <c r="EY115" s="1120">
        <f>(EY114-EY112)*10000</f>
      </c>
      <c r="EZ115" s="1120">
        <f>(EZ114-EZ112)*10000</f>
      </c>
      <c r="FA115" s="293"/>
      <c r="FB115" s="1120"/>
      <c r="FC115" s="1120"/>
      <c r="FD115" s="1120"/>
      <c r="FE115" s="1120"/>
      <c r="FF115" s="293"/>
      <c r="FG115" s="291"/>
      <c r="FH115" s="107"/>
      <c r="FI115" s="107"/>
      <c r="FJ115" s="107"/>
      <c r="FK115" s="293"/>
      <c r="FL115" s="291"/>
      <c r="FM115" s="107"/>
      <c r="FN115" s="107"/>
      <c r="FO115" s="107"/>
      <c r="FP115" s="293"/>
      <c r="FQ115" s="291"/>
      <c r="FR115" s="107"/>
      <c r="FS115" s="107"/>
      <c r="FT115" s="107"/>
      <c r="FU115" s="293"/>
      <c r="FV115" s="291"/>
      <c r="FW115" s="107"/>
      <c r="FX115" s="107"/>
      <c r="FY115" s="107"/>
      <c r="FZ115" s="293"/>
      <c r="GA115" s="291"/>
      <c r="GB115" s="107"/>
      <c r="GC115" s="107"/>
      <c r="GD115" s="107"/>
      <c r="GE115" s="382"/>
    </row>
    <row r="116" spans="1:187" s="542" customFormat="1" ht="12.75" customHeight="1">
      <c r="A116" s="850"/>
      <c r="B116" s="1082"/>
      <c r="C116" s="539"/>
      <c r="D116" s="539"/>
      <c r="E116" s="539"/>
      <c r="F116" s="539"/>
      <c r="G116" s="540"/>
      <c r="H116" s="539"/>
      <c r="I116" s="539"/>
      <c r="J116" s="539"/>
      <c r="K116" s="539"/>
      <c r="L116" s="540"/>
      <c r="M116" s="539"/>
      <c r="N116" s="539"/>
      <c r="O116" s="539"/>
      <c r="P116" s="539"/>
      <c r="Q116" s="540"/>
      <c r="R116" s="539"/>
      <c r="S116" s="539"/>
      <c r="T116" s="539"/>
      <c r="U116" s="539"/>
      <c r="V116" s="540"/>
      <c r="W116" s="539"/>
      <c r="X116" s="539"/>
      <c r="Y116" s="539"/>
      <c r="Z116" s="539"/>
      <c r="AA116" s="540"/>
      <c r="AB116" s="539"/>
      <c r="AC116" s="539"/>
      <c r="AD116" s="539"/>
      <c r="AE116" s="539"/>
      <c r="AF116" s="540"/>
      <c r="AG116" s="539"/>
      <c r="AH116" s="539"/>
      <c r="AI116" s="539"/>
      <c r="AJ116" s="539"/>
      <c r="AK116" s="540"/>
      <c r="AL116" s="539"/>
      <c r="AM116" s="539"/>
      <c r="AN116" s="539"/>
      <c r="AO116" s="539"/>
      <c r="AP116" s="540"/>
      <c r="AQ116" s="539"/>
      <c r="AR116" s="539"/>
      <c r="AS116" s="539"/>
      <c r="AT116" s="539"/>
      <c r="AU116" s="540"/>
      <c r="AV116" s="539"/>
      <c r="AW116" s="539"/>
      <c r="AX116" s="539"/>
      <c r="AY116" s="539"/>
      <c r="AZ116" s="540"/>
      <c r="BA116" s="539"/>
      <c r="BB116" s="539"/>
      <c r="BC116" s="539"/>
      <c r="BD116" s="539"/>
      <c r="BE116" s="540"/>
      <c r="BF116" s="539"/>
      <c r="BG116" s="539"/>
      <c r="BH116" s="539"/>
      <c r="BI116" s="539"/>
      <c r="BJ116" s="540"/>
      <c r="BK116" s="539"/>
      <c r="BL116" s="539"/>
      <c r="BM116" s="539"/>
      <c r="BN116" s="539"/>
      <c r="BO116" s="540"/>
      <c r="BP116" s="539"/>
      <c r="BQ116" s="539"/>
      <c r="BR116" s="539"/>
      <c r="BS116" s="539"/>
      <c r="BT116" s="540"/>
      <c r="BU116" s="539"/>
      <c r="BV116" s="539"/>
      <c r="BW116" s="539"/>
      <c r="BX116" s="539"/>
      <c r="BY116" s="540"/>
      <c r="BZ116" s="539"/>
      <c r="CA116" s="539"/>
      <c r="CB116" s="539"/>
      <c r="CC116" s="539"/>
      <c r="CD116" s="540"/>
      <c r="CE116" s="539"/>
      <c r="CF116" s="539"/>
      <c r="CG116" s="539"/>
      <c r="CH116" s="539"/>
      <c r="CI116" s="540"/>
      <c r="CJ116" s="539"/>
      <c r="CK116" s="539"/>
      <c r="CL116" s="539"/>
      <c r="CM116" s="539"/>
      <c r="CN116" s="540"/>
      <c r="CO116" s="539"/>
      <c r="CP116" s="539"/>
      <c r="CQ116" s="539"/>
      <c r="CR116" s="539"/>
      <c r="CS116" s="540"/>
      <c r="CT116" s="539"/>
      <c r="CU116" s="539"/>
      <c r="CV116" s="539"/>
      <c r="CW116" s="539"/>
      <c r="CX116" s="540"/>
      <c r="CY116" s="539"/>
      <c r="CZ116" s="539"/>
      <c r="DA116" s="539"/>
      <c r="DB116" s="539"/>
      <c r="DC116" s="540"/>
      <c r="DD116" s="539"/>
      <c r="DE116" s="539"/>
      <c r="DF116" s="539"/>
      <c r="DG116" s="539"/>
      <c r="DH116" s="540"/>
      <c r="DI116" s="539"/>
      <c r="DJ116" s="539"/>
      <c r="DK116" s="539"/>
      <c r="DL116" s="539"/>
      <c r="DM116" s="540"/>
      <c r="DN116" s="539"/>
      <c r="DO116" s="539"/>
      <c r="DP116" s="539"/>
      <c r="DQ116" s="539"/>
      <c r="DR116" s="540"/>
      <c r="DS116" s="539"/>
      <c r="DT116" s="539"/>
      <c r="DU116" s="539"/>
      <c r="DV116" s="539"/>
      <c r="DW116" s="540"/>
      <c r="DX116" s="539"/>
      <c r="DY116" s="539"/>
      <c r="DZ116" s="539"/>
      <c r="EA116" s="539"/>
      <c r="EB116" s="540"/>
      <c r="EC116" s="539"/>
      <c r="ED116" s="539"/>
      <c r="EE116" s="539"/>
      <c r="EF116" s="539"/>
      <c r="EG116" s="540"/>
      <c r="EH116" s="539"/>
      <c r="EI116" s="539"/>
      <c r="EJ116" s="539"/>
      <c r="EK116" s="539"/>
      <c r="EL116" s="540"/>
      <c r="EM116" s="539"/>
      <c r="EN116" s="539"/>
      <c r="EO116" s="539"/>
      <c r="EP116" s="539"/>
      <c r="EQ116" s="540"/>
      <c r="ER116" s="539"/>
      <c r="ES116" s="539"/>
      <c r="ET116" s="539"/>
      <c r="EU116" s="1424"/>
      <c r="EV116" s="540"/>
      <c r="EW116" s="539"/>
      <c r="EX116" s="539"/>
      <c r="EY116" s="539"/>
      <c r="EZ116" s="1424"/>
      <c r="FA116" s="540"/>
      <c r="FB116" s="539"/>
      <c r="FC116" s="539"/>
      <c r="FD116" s="539"/>
      <c r="FE116" s="1424"/>
      <c r="FF116" s="540"/>
      <c r="FG116" s="539"/>
      <c r="FH116" s="539"/>
      <c r="FI116" s="539"/>
      <c r="FJ116" s="539"/>
      <c r="FK116" s="540"/>
      <c r="FL116" s="539"/>
      <c r="FM116" s="539"/>
      <c r="FN116" s="539"/>
      <c r="FO116" s="539"/>
      <c r="FP116" s="540"/>
      <c r="FQ116" s="539"/>
      <c r="FR116" s="539"/>
      <c r="FS116" s="539"/>
      <c r="FT116" s="539"/>
      <c r="FU116" s="540"/>
      <c r="FV116" s="539"/>
      <c r="FW116" s="539"/>
      <c r="FX116" s="539"/>
      <c r="FY116" s="539"/>
      <c r="FZ116" s="540"/>
      <c r="GA116" s="539"/>
      <c r="GB116" s="539"/>
      <c r="GC116" s="539"/>
      <c r="GD116" s="539"/>
      <c r="GE116" s="1083"/>
    </row>
    <row r="117" spans="1:187" s="542" customFormat="1" ht="12.75" customHeight="1">
      <c r="A117" s="850"/>
      <c r="B117" s="1079" t="s">
        <v>2013</v>
      </c>
      <c r="C117" s="98"/>
      <c r="D117" s="98"/>
      <c r="E117" s="98"/>
      <c r="F117" s="98"/>
      <c r="G117" s="99"/>
      <c r="H117" s="98"/>
      <c r="I117" s="98"/>
      <c r="J117" s="98"/>
      <c r="K117" s="98"/>
      <c r="L117" s="99"/>
      <c r="M117" s="1084"/>
      <c r="N117" s="1084"/>
      <c r="O117" s="1084"/>
      <c r="P117" s="1084"/>
      <c r="Q117" s="99"/>
      <c r="R117" s="1084"/>
      <c r="S117" s="1084"/>
      <c r="T117" s="1084"/>
      <c r="U117" s="1084"/>
      <c r="V117" s="99"/>
      <c r="W117" s="1084"/>
      <c r="X117" s="1084"/>
      <c r="Y117" s="1084"/>
      <c r="Z117" s="1084"/>
      <c r="AA117" s="99"/>
      <c r="AB117" s="1084"/>
      <c r="AC117" s="1084"/>
      <c r="AD117" s="1084"/>
      <c r="AE117" s="1084"/>
      <c r="AF117" s="99"/>
      <c r="AG117" s="1084"/>
      <c r="AH117" s="1084"/>
      <c r="AI117" s="1084"/>
      <c r="AJ117" s="1084"/>
      <c r="AK117" s="99"/>
      <c r="AL117" s="1084"/>
      <c r="AM117" s="1084"/>
      <c r="AN117" s="1084"/>
      <c r="AO117" s="1084"/>
      <c r="AP117" s="99"/>
      <c r="AQ117" s="1084"/>
      <c r="AR117" s="1084"/>
      <c r="AS117" s="1084"/>
      <c r="AT117" s="1084"/>
      <c r="AU117" s="99"/>
      <c r="AV117" s="1084"/>
      <c r="AW117" s="1084"/>
      <c r="AX117" s="1084"/>
      <c r="AY117" s="1084"/>
      <c r="AZ117" s="99"/>
      <c r="BA117" s="1084"/>
      <c r="BB117" s="1084"/>
      <c r="BC117" s="1084"/>
      <c r="BD117" s="1084"/>
      <c r="BE117" s="99"/>
      <c r="BF117" s="1084"/>
      <c r="BG117" s="1084"/>
      <c r="BH117" s="1084"/>
      <c r="BI117" s="1084"/>
      <c r="BJ117" s="99"/>
      <c r="BK117" s="1084"/>
      <c r="BL117" s="1084"/>
      <c r="BM117" s="1084"/>
      <c r="BN117" s="1084"/>
      <c r="BO117" s="99"/>
      <c r="BP117" s="1084"/>
      <c r="BQ117" s="1084"/>
      <c r="BR117" s="1084"/>
      <c r="BS117" s="1084"/>
      <c r="BT117" s="99"/>
      <c r="BU117" s="1084"/>
      <c r="BV117" s="1084"/>
      <c r="BW117" s="1084"/>
      <c r="BX117" s="1084"/>
      <c r="BY117" s="99"/>
      <c r="BZ117" s="1084"/>
      <c r="CA117" s="1084"/>
      <c r="CB117" s="1084"/>
      <c r="CC117" s="1084"/>
      <c r="CD117" s="99"/>
      <c r="CE117" s="1084"/>
      <c r="CF117" s="1084"/>
      <c r="CG117" s="1084"/>
      <c r="CH117" s="1084"/>
      <c r="CI117" s="99"/>
      <c r="CJ117" s="1084"/>
      <c r="CK117" s="1084"/>
      <c r="CL117" s="1084"/>
      <c r="CM117" s="1084"/>
      <c r="CN117" s="99"/>
      <c r="CO117" s="1084"/>
      <c r="CP117" s="1084"/>
      <c r="CQ117" s="1084"/>
      <c r="CR117" s="1084"/>
      <c r="CS117" s="99"/>
      <c r="CT117" s="1084"/>
      <c r="CU117" s="1084"/>
      <c r="CV117" s="1084"/>
      <c r="CW117" s="1084"/>
      <c r="CX117" s="99"/>
      <c r="CY117" s="1084"/>
      <c r="CZ117" s="1084"/>
      <c r="DA117" s="1084"/>
      <c r="DB117" s="1084"/>
      <c r="DC117" s="99"/>
      <c r="DD117" s="1084"/>
      <c r="DE117" s="1084"/>
      <c r="DF117" s="1084"/>
      <c r="DG117" s="1084"/>
      <c r="DH117" s="99"/>
      <c r="DI117" s="1084"/>
      <c r="DJ117" s="1084"/>
      <c r="DK117" s="1084"/>
      <c r="DL117" s="1084"/>
      <c r="DM117" s="99"/>
      <c r="DN117" s="1084"/>
      <c r="DO117" s="1084"/>
      <c r="DP117" s="1084"/>
      <c r="DQ117" s="1084"/>
      <c r="DR117" s="99"/>
      <c r="DS117" s="1084"/>
      <c r="DT117" s="1084"/>
      <c r="DU117" s="1084"/>
      <c r="DV117" s="1084"/>
      <c r="DW117" s="99"/>
      <c r="DX117" s="1084"/>
      <c r="DY117" s="1084"/>
      <c r="DZ117" s="1084"/>
      <c r="EA117" s="1084"/>
      <c r="EB117" s="99"/>
      <c r="EC117" s="1084"/>
      <c r="ED117" s="1084"/>
      <c r="EE117" s="1084"/>
      <c r="EF117" s="1084"/>
      <c r="EG117" s="99"/>
      <c r="EH117" s="1084"/>
      <c r="EI117" s="1084"/>
      <c r="EJ117" s="1084"/>
      <c r="EK117" s="1084"/>
      <c r="EL117" s="99"/>
      <c r="EM117" s="1084"/>
      <c r="EN117" s="1084"/>
      <c r="EO117" s="1084"/>
      <c r="EP117" s="1084"/>
      <c r="EQ117" s="99"/>
      <c r="ER117" s="1084"/>
      <c r="ES117" s="1084"/>
      <c r="ET117" s="1084"/>
      <c r="EU117" s="1423"/>
      <c r="EV117" s="99"/>
      <c r="EW117" s="1084"/>
      <c r="EX117" s="1084"/>
      <c r="EY117" s="1084"/>
      <c r="EZ117" s="1423"/>
      <c r="FA117" s="99"/>
      <c r="FB117" s="1084"/>
      <c r="FC117" s="1084"/>
      <c r="FD117" s="1084"/>
      <c r="FE117" s="1423"/>
      <c r="FF117" s="99"/>
      <c r="FG117" s="1084"/>
      <c r="FH117" s="1084"/>
      <c r="FI117" s="1084"/>
      <c r="FJ117" s="1084"/>
      <c r="FK117" s="99"/>
      <c r="FL117" s="1084"/>
      <c r="FM117" s="1084"/>
      <c r="FN117" s="1084"/>
      <c r="FO117" s="1084"/>
      <c r="FP117" s="99"/>
      <c r="FQ117" s="1084"/>
      <c r="FR117" s="1084"/>
      <c r="FS117" s="1084"/>
      <c r="FT117" s="1084"/>
      <c r="FU117" s="99"/>
      <c r="FV117" s="1084"/>
      <c r="FW117" s="1084"/>
      <c r="FX117" s="1084"/>
      <c r="FY117" s="1084"/>
      <c r="FZ117" s="99"/>
      <c r="GA117" s="1084"/>
      <c r="GB117" s="1084"/>
      <c r="GC117" s="1084"/>
      <c r="GD117" s="1084"/>
      <c r="GE117" s="1085"/>
    </row>
    <row r="118" spans="1:187" s="542" customFormat="1" ht="12.75" customHeight="1">
      <c r="A118" s="850"/>
      <c r="B118" s="1078" t="s">
        <v>377</v>
      </c>
      <c r="C118" s="412"/>
      <c r="D118" s="114"/>
      <c r="E118" s="114"/>
      <c r="F118" s="114"/>
      <c r="G118" s="1112"/>
      <c r="H118" s="412"/>
      <c r="I118" s="114"/>
      <c r="J118" s="114"/>
      <c r="K118" s="114"/>
      <c r="L118" s="413"/>
      <c r="M118" s="412"/>
      <c r="N118" s="114"/>
      <c r="O118" s="114"/>
      <c r="P118" s="114"/>
      <c r="Q118" s="413"/>
      <c r="R118" s="412"/>
      <c r="S118" s="114"/>
      <c r="T118" s="114"/>
      <c r="U118" s="114"/>
      <c r="V118" s="413"/>
      <c r="W118" s="412"/>
      <c r="X118" s="114"/>
      <c r="Y118" s="114"/>
      <c r="Z118" s="114"/>
      <c r="AA118" s="413"/>
      <c r="AB118" s="412"/>
      <c r="AC118" s="114"/>
      <c r="AD118" s="114"/>
      <c r="AE118" s="114"/>
      <c r="AF118" s="413"/>
      <c r="AG118" s="412"/>
      <c r="AH118" s="114"/>
      <c r="AI118" s="114"/>
      <c r="AJ118" s="114"/>
      <c r="AK118" s="413"/>
      <c r="AL118" s="412"/>
      <c r="AM118" s="114"/>
      <c r="AN118" s="114"/>
      <c r="AO118" s="114"/>
      <c r="AP118" s="413"/>
      <c r="AQ118" s="412"/>
      <c r="AR118" s="114"/>
      <c r="AS118" s="114"/>
      <c r="AT118" s="114"/>
      <c r="AU118" s="413"/>
      <c r="AV118" s="412"/>
      <c r="AW118" s="114"/>
      <c r="AX118" s="114"/>
      <c r="AY118" s="114"/>
      <c r="AZ118" s="413"/>
      <c r="BA118" s="412"/>
      <c r="BB118" s="114"/>
      <c r="BC118" s="114"/>
      <c r="BD118" s="114"/>
      <c r="BE118" s="413"/>
      <c r="BF118" s="412"/>
      <c r="BG118" s="114"/>
      <c r="BH118" s="114"/>
      <c r="BI118" s="114"/>
      <c r="BJ118" s="413"/>
      <c r="BK118" s="412"/>
      <c r="BL118" s="114"/>
      <c r="BM118" s="114"/>
      <c r="BN118" s="114"/>
      <c r="BO118" s="413"/>
      <c r="BP118" s="412"/>
      <c r="BQ118" s="114"/>
      <c r="BR118" s="114"/>
      <c r="BS118" s="114"/>
      <c r="BT118" s="413"/>
      <c r="BU118" s="412"/>
      <c r="BV118" s="114"/>
      <c r="BW118" s="114"/>
      <c r="BX118" s="114"/>
      <c r="BY118" s="413"/>
      <c r="BZ118" s="412"/>
      <c r="CA118" s="114"/>
      <c r="CB118" s="114"/>
      <c r="CC118" s="114"/>
      <c r="CD118" s="413"/>
      <c r="CE118" s="412"/>
      <c r="CF118" s="114"/>
      <c r="CG118" s="114"/>
      <c r="CH118" s="114"/>
      <c r="CI118" s="413"/>
      <c r="CJ118" s="412"/>
      <c r="CK118" s="114"/>
      <c r="CL118" s="114"/>
      <c r="CM118" s="114"/>
      <c r="CN118" s="413"/>
      <c r="CO118" s="412"/>
      <c r="CP118" s="114"/>
      <c r="CQ118" s="114"/>
      <c r="CR118" s="114"/>
      <c r="CS118" s="413"/>
      <c r="CT118" s="412"/>
      <c r="CU118" s="114"/>
      <c r="CV118" s="114"/>
      <c r="CW118" s="114"/>
      <c r="CX118" s="413"/>
      <c r="CY118" s="412"/>
      <c r="CZ118" s="114"/>
      <c r="DA118" s="114"/>
      <c r="DB118" s="114"/>
      <c r="DC118" s="413"/>
      <c r="DD118" s="412"/>
      <c r="DE118" s="114"/>
      <c r="DF118" s="114"/>
      <c r="DG118" s="114"/>
      <c r="DH118" s="413"/>
      <c r="DI118" s="412"/>
      <c r="DJ118" s="114"/>
      <c r="DK118" s="114"/>
      <c r="DL118" s="114"/>
      <c r="DM118" s="413"/>
      <c r="DN118" s="412"/>
      <c r="DO118" s="114"/>
      <c r="DP118" s="114"/>
      <c r="DQ118" s="114"/>
      <c r="DR118" s="413"/>
      <c r="DS118" s="412"/>
      <c r="DT118" s="114"/>
      <c r="DU118" s="114"/>
      <c r="DV118" s="114"/>
      <c r="DW118" s="413"/>
      <c r="DX118" s="412"/>
      <c r="DY118" s="114"/>
      <c r="DZ118" s="114"/>
      <c r="EA118" s="114"/>
      <c r="EB118" s="413"/>
      <c r="EC118" s="412"/>
      <c r="ED118" s="114"/>
      <c r="EE118" s="114"/>
      <c r="EF118" s="114"/>
      <c r="EG118" s="413"/>
      <c r="EH118" s="412"/>
      <c r="EI118" s="114"/>
      <c r="EJ118" s="114"/>
      <c r="EK118" s="114"/>
      <c r="EL118" s="413"/>
      <c r="EM118" s="412"/>
      <c r="EN118" s="114"/>
      <c r="EO118" s="114"/>
      <c r="EP118" s="114"/>
      <c r="EQ118" s="413"/>
      <c r="ER118" s="412"/>
      <c r="ES118" s="114"/>
      <c r="ET118" s="114"/>
      <c r="EU118" s="439"/>
      <c r="EV118" s="292"/>
      <c r="EW118" s="441">
        <v>0.15</v>
      </c>
      <c r="EX118" s="114">
        <v>0.14000000000000001</v>
      </c>
      <c r="EY118" s="114">
        <v>0.14000000000000001</v>
      </c>
      <c r="EZ118" s="439">
        <v>0.14000000000000001</v>
      </c>
      <c r="FA118" s="292"/>
      <c r="FB118" s="441"/>
      <c r="FC118" s="114"/>
      <c r="FD118" s="114"/>
      <c r="FE118" s="439"/>
      <c r="FF118" s="292"/>
      <c r="FG118" s="291"/>
      <c r="FH118" s="107"/>
      <c r="FI118" s="107"/>
      <c r="FJ118" s="107"/>
      <c r="FK118" s="292"/>
      <c r="FL118" s="291"/>
      <c r="FM118" s="107"/>
      <c r="FN118" s="107"/>
      <c r="FO118" s="107"/>
      <c r="FP118" s="292"/>
      <c r="FQ118" s="291"/>
      <c r="FR118" s="107"/>
      <c r="FS118" s="107"/>
      <c r="FT118" s="107"/>
      <c r="FU118" s="292"/>
      <c r="FV118" s="291"/>
      <c r="FW118" s="107"/>
      <c r="FX118" s="107"/>
      <c r="FY118" s="107"/>
      <c r="FZ118" s="292"/>
      <c r="GA118" s="291"/>
      <c r="GB118" s="107"/>
      <c r="GC118" s="107"/>
      <c r="GD118" s="107"/>
      <c r="GE118" s="384"/>
    </row>
    <row r="119" spans="1:187" s="564" customFormat="1" ht="12.75" customHeight="1">
      <c r="A119" s="1427"/>
      <c r="B119" s="1078" t="s">
        <v>378</v>
      </c>
      <c r="C119" s="412"/>
      <c r="D119" s="758"/>
      <c r="E119" s="758"/>
      <c r="F119" s="758"/>
      <c r="G119" s="1113"/>
      <c r="H119" s="412"/>
      <c r="I119" s="114"/>
      <c r="J119" s="114"/>
      <c r="K119" s="114"/>
      <c r="L119" s="414"/>
      <c r="M119" s="412"/>
      <c r="N119" s="114"/>
      <c r="O119" s="114"/>
      <c r="P119" s="114"/>
      <c r="Q119" s="414"/>
      <c r="R119" s="412"/>
      <c r="S119" s="114"/>
      <c r="T119" s="114"/>
      <c r="U119" s="114"/>
      <c r="V119" s="414"/>
      <c r="W119" s="412"/>
      <c r="X119" s="114"/>
      <c r="Y119" s="114"/>
      <c r="Z119" s="114"/>
      <c r="AA119" s="414"/>
      <c r="AB119" s="412"/>
      <c r="AC119" s="114"/>
      <c r="AD119" s="114"/>
      <c r="AE119" s="114"/>
      <c r="AF119" s="414"/>
      <c r="AG119" s="412"/>
      <c r="AH119" s="114"/>
      <c r="AI119" s="114"/>
      <c r="AJ119" s="114"/>
      <c r="AK119" s="414"/>
      <c r="AL119" s="412"/>
      <c r="AM119" s="114"/>
      <c r="AN119" s="114"/>
      <c r="AO119" s="114"/>
      <c r="AP119" s="414"/>
      <c r="AQ119" s="412"/>
      <c r="AR119" s="114"/>
      <c r="AS119" s="114"/>
      <c r="AT119" s="114"/>
      <c r="AU119" s="414"/>
      <c r="AV119" s="412"/>
      <c r="AW119" s="114"/>
      <c r="AX119" s="114"/>
      <c r="AY119" s="114"/>
      <c r="AZ119" s="414"/>
      <c r="BA119" s="412"/>
      <c r="BB119" s="114"/>
      <c r="BC119" s="114"/>
      <c r="BD119" s="114"/>
      <c r="BE119" s="414"/>
      <c r="BF119" s="412"/>
      <c r="BG119" s="114"/>
      <c r="BH119" s="114"/>
      <c r="BI119" s="114"/>
      <c r="BJ119" s="414"/>
      <c r="BK119" s="412"/>
      <c r="BL119" s="114"/>
      <c r="BM119" s="114"/>
      <c r="BN119" s="114"/>
      <c r="BO119" s="414"/>
      <c r="BP119" s="412"/>
      <c r="BQ119" s="114"/>
      <c r="BR119" s="114"/>
      <c r="BS119" s="114"/>
      <c r="BT119" s="414"/>
      <c r="BU119" s="412"/>
      <c r="BV119" s="114"/>
      <c r="BW119" s="114"/>
      <c r="BX119" s="114"/>
      <c r="BY119" s="414"/>
      <c r="BZ119" s="412"/>
      <c r="CA119" s="114"/>
      <c r="CB119" s="114"/>
      <c r="CC119" s="114"/>
      <c r="CD119" s="414"/>
      <c r="CE119" s="412"/>
      <c r="CF119" s="114"/>
      <c r="CG119" s="114"/>
      <c r="CH119" s="114"/>
      <c r="CI119" s="414"/>
      <c r="CJ119" s="412"/>
      <c r="CK119" s="114"/>
      <c r="CL119" s="114"/>
      <c r="CM119" s="114"/>
      <c r="CN119" s="414"/>
      <c r="CO119" s="412"/>
      <c r="CP119" s="114"/>
      <c r="CQ119" s="114"/>
      <c r="CR119" s="114"/>
      <c r="CS119" s="414"/>
      <c r="CT119" s="412"/>
      <c r="CU119" s="114"/>
      <c r="CV119" s="114"/>
      <c r="CW119" s="114"/>
      <c r="CX119" s="414"/>
      <c r="CY119" s="412"/>
      <c r="CZ119" s="114"/>
      <c r="DA119" s="114"/>
      <c r="DB119" s="114"/>
      <c r="DC119" s="414"/>
      <c r="DD119" s="412"/>
      <c r="DE119" s="114"/>
      <c r="DF119" s="114"/>
      <c r="DG119" s="114"/>
      <c r="DH119" s="414"/>
      <c r="DI119" s="412"/>
      <c r="DJ119" s="114"/>
      <c r="DK119" s="114"/>
      <c r="DL119" s="114"/>
      <c r="DM119" s="414"/>
      <c r="DN119" s="412"/>
      <c r="DO119" s="114"/>
      <c r="DP119" s="114"/>
      <c r="DQ119" s="114"/>
      <c r="DR119" s="414"/>
      <c r="DS119" s="412"/>
      <c r="DT119" s="114"/>
      <c r="DU119" s="114"/>
      <c r="DV119" s="114"/>
      <c r="DW119" s="414"/>
      <c r="DX119" s="412"/>
      <c r="DY119" s="114"/>
      <c r="DZ119" s="114"/>
      <c r="EA119" s="114"/>
      <c r="EB119" s="414"/>
      <c r="EC119" s="412"/>
      <c r="ED119" s="114"/>
      <c r="EE119" s="114"/>
      <c r="EF119" s="114"/>
      <c r="EG119" s="414"/>
      <c r="EH119" s="412"/>
      <c r="EI119" s="114"/>
      <c r="EJ119" s="114"/>
      <c r="EK119" s="114"/>
      <c r="EL119" s="414"/>
      <c r="EM119" s="412"/>
      <c r="EN119" s="114"/>
      <c r="EO119" s="114"/>
      <c r="EP119" s="114"/>
      <c r="EQ119" s="414"/>
      <c r="ER119" s="412"/>
      <c r="ES119" s="114"/>
      <c r="ET119" s="114"/>
      <c r="EU119" s="439"/>
      <c r="EV119" s="293"/>
      <c r="EW119" s="441">
        <v>0.15</v>
      </c>
      <c r="EX119" s="114">
        <v>0.14000000000000001</v>
      </c>
      <c r="EY119" s="114">
        <v>0.15</v>
      </c>
      <c r="EZ119" s="439">
        <v>0.14000000000000001</v>
      </c>
      <c r="FA119" s="293"/>
      <c r="FB119" s="441"/>
      <c r="FC119" s="114"/>
      <c r="FD119" s="114"/>
      <c r="FE119" s="439"/>
      <c r="FF119" s="293"/>
      <c r="FG119" s="291"/>
      <c r="FH119" s="107"/>
      <c r="FI119" s="107"/>
      <c r="FJ119" s="107"/>
      <c r="FK119" s="293"/>
      <c r="FL119" s="291"/>
      <c r="FM119" s="107"/>
      <c r="FN119" s="107"/>
      <c r="FO119" s="107"/>
      <c r="FP119" s="293"/>
      <c r="FQ119" s="291"/>
      <c r="FR119" s="107"/>
      <c r="FS119" s="107"/>
      <c r="FT119" s="107"/>
      <c r="FU119" s="293"/>
      <c r="FV119" s="291"/>
      <c r="FW119" s="107"/>
      <c r="FX119" s="107"/>
      <c r="FY119" s="107"/>
      <c r="FZ119" s="293"/>
      <c r="GA119" s="291"/>
      <c r="GB119" s="107"/>
      <c r="GC119" s="107"/>
      <c r="GD119" s="107"/>
      <c r="GE119" s="382"/>
    </row>
    <row r="120" spans="1:187" s="542" customFormat="1" ht="12.75" customHeight="1">
      <c r="A120" s="850" t="s">
        <v>476</v>
      </c>
      <c r="B120" s="1078" t="s">
        <v>401</v>
      </c>
      <c r="C120" s="291"/>
      <c r="D120" s="137"/>
      <c r="E120" s="137"/>
      <c r="F120" s="137"/>
      <c r="G120" s="538"/>
      <c r="H120" s="291"/>
      <c r="I120" s="107"/>
      <c r="J120" s="107"/>
      <c r="K120" s="107"/>
      <c r="L120" s="293"/>
      <c r="M120" s="291"/>
      <c r="N120" s="107"/>
      <c r="O120" s="107"/>
      <c r="P120" s="107"/>
      <c r="Q120" s="293"/>
      <c r="R120" s="291"/>
      <c r="S120" s="107"/>
      <c r="T120" s="107"/>
      <c r="U120" s="107"/>
      <c r="V120" s="293"/>
      <c r="W120" s="291"/>
      <c r="X120" s="107"/>
      <c r="Y120" s="107"/>
      <c r="Z120" s="107"/>
      <c r="AA120" s="293"/>
      <c r="AB120" s="291"/>
      <c r="AC120" s="107"/>
      <c r="AD120" s="107"/>
      <c r="AE120" s="107"/>
      <c r="AF120" s="293"/>
      <c r="AG120" s="291"/>
      <c r="AH120" s="107"/>
      <c r="AI120" s="107"/>
      <c r="AJ120" s="107"/>
      <c r="AK120" s="293"/>
      <c r="AL120" s="291"/>
      <c r="AM120" s="107"/>
      <c r="AN120" s="107"/>
      <c r="AO120" s="107"/>
      <c r="AP120" s="293"/>
      <c r="AQ120" s="291"/>
      <c r="AR120" s="107"/>
      <c r="AS120" s="107"/>
      <c r="AT120" s="107"/>
      <c r="AU120" s="293"/>
      <c r="AV120" s="291"/>
      <c r="AW120" s="107"/>
      <c r="AX120" s="107"/>
      <c r="AY120" s="107"/>
      <c r="AZ120" s="293"/>
      <c r="BA120" s="291"/>
      <c r="BB120" s="107"/>
      <c r="BC120" s="107"/>
      <c r="BD120" s="107"/>
      <c r="BE120" s="293"/>
      <c r="BF120" s="291"/>
      <c r="BG120" s="107"/>
      <c r="BH120" s="107"/>
      <c r="BI120" s="107"/>
      <c r="BJ120" s="293"/>
      <c r="BK120" s="291"/>
      <c r="BL120" s="107"/>
      <c r="BM120" s="107"/>
      <c r="BN120" s="107"/>
      <c r="BO120" s="293"/>
      <c r="BP120" s="291"/>
      <c r="BQ120" s="107"/>
      <c r="BR120" s="107"/>
      <c r="BS120" s="107"/>
      <c r="BT120" s="293"/>
      <c r="BU120" s="291"/>
      <c r="BV120" s="107"/>
      <c r="BW120" s="107"/>
      <c r="BX120" s="107"/>
      <c r="BY120" s="293"/>
      <c r="BZ120" s="291"/>
      <c r="CA120" s="107"/>
      <c r="CB120" s="107"/>
      <c r="CC120" s="107"/>
      <c r="CD120" s="293"/>
      <c r="CE120" s="291"/>
      <c r="CF120" s="107"/>
      <c r="CG120" s="107"/>
      <c r="CH120" s="107"/>
      <c r="CI120" s="293"/>
      <c r="CJ120" s="291"/>
      <c r="CK120" s="107"/>
      <c r="CL120" s="107"/>
      <c r="CM120" s="107"/>
      <c r="CN120" s="293"/>
      <c r="CO120" s="291"/>
      <c r="CP120" s="107"/>
      <c r="CQ120" s="107"/>
      <c r="CR120" s="107"/>
      <c r="CS120" s="293"/>
      <c r="CT120" s="291"/>
      <c r="CU120" s="107"/>
      <c r="CV120" s="107"/>
      <c r="CW120" s="107"/>
      <c r="CX120" s="293"/>
      <c r="CY120" s="291"/>
      <c r="CZ120" s="107"/>
      <c r="DA120" s="107"/>
      <c r="DB120" s="107"/>
      <c r="DC120" s="293"/>
      <c r="DD120" s="291"/>
      <c r="DE120" s="107"/>
      <c r="DF120" s="107"/>
      <c r="DG120" s="107"/>
      <c r="DH120" s="293"/>
      <c r="DI120" s="291"/>
      <c r="DJ120" s="107"/>
      <c r="DK120" s="107"/>
      <c r="DL120" s="107"/>
      <c r="DM120" s="293"/>
      <c r="DN120" s="291"/>
      <c r="DO120" s="107"/>
      <c r="DP120" s="107"/>
      <c r="DQ120" s="107"/>
      <c r="DR120" s="293"/>
      <c r="DS120" s="291"/>
      <c r="DT120" s="107"/>
      <c r="DU120" s="107"/>
      <c r="DV120" s="107"/>
      <c r="DW120" s="293"/>
      <c r="DX120" s="291"/>
      <c r="DY120" s="107"/>
      <c r="DZ120" s="107"/>
      <c r="EA120" s="107"/>
      <c r="EB120" s="293"/>
      <c r="EC120" s="291"/>
      <c r="ED120" s="107"/>
      <c r="EE120" s="107"/>
      <c r="EF120" s="107"/>
      <c r="EG120" s="293"/>
      <c r="EH120" s="291"/>
      <c r="EI120" s="107"/>
      <c r="EJ120" s="107"/>
      <c r="EK120" s="107"/>
      <c r="EL120" s="293"/>
      <c r="EM120" s="107"/>
      <c r="EN120" s="107"/>
      <c r="EO120" s="107"/>
      <c r="EP120" s="107"/>
      <c r="EQ120" s="293"/>
      <c r="ER120" s="107"/>
      <c r="ES120" s="107"/>
      <c r="ET120" s="107"/>
      <c r="EU120" s="107"/>
      <c r="EV120" s="293"/>
      <c r="EW120" s="107">
        <f>IFERROR(AVERAGE(EW118:EW119),"--")</f>
      </c>
      <c r="EX120" s="107">
        <f>IFERROR(AVERAGE(EX118:EX119),"--")</f>
      </c>
      <c r="EY120" s="107">
        <f>IFERROR(AVERAGE(EY118:EY119),"--")</f>
      </c>
      <c r="EZ120" s="107">
        <f>IFERROR(AVERAGE(EZ118:EZ119),"--")</f>
      </c>
      <c r="FA120" s="293"/>
      <c r="FB120" s="107" t="str">
        <f>IFERROR(AVERAGE(FB118:FB119),"--")</f>
      </c>
      <c r="FC120" s="107"/>
      <c r="FD120" s="107"/>
      <c r="FE120" s="107"/>
      <c r="FF120" s="293"/>
      <c r="FG120" s="291"/>
      <c r="FH120" s="107"/>
      <c r="FI120" s="107"/>
      <c r="FJ120" s="107"/>
      <c r="FK120" s="293"/>
      <c r="FL120" s="291"/>
      <c r="FM120" s="107"/>
      <c r="FN120" s="107"/>
      <c r="FO120" s="107"/>
      <c r="FP120" s="293"/>
      <c r="FQ120" s="291"/>
      <c r="FR120" s="107"/>
      <c r="FS120" s="107"/>
      <c r="FT120" s="107"/>
      <c r="FU120" s="293"/>
      <c r="FV120" s="291"/>
      <c r="FW120" s="107"/>
      <c r="FX120" s="107"/>
      <c r="FY120" s="107"/>
      <c r="FZ120" s="293"/>
      <c r="GA120" s="291"/>
      <c r="GB120" s="107"/>
      <c r="GC120" s="107"/>
      <c r="GD120" s="107"/>
      <c r="GE120" s="382"/>
    </row>
    <row r="121" spans="1:187" s="564" customFormat="1" ht="12.75" customHeight="1">
      <c r="A121" s="1427"/>
      <c r="B121" s="1078"/>
      <c r="C121" s="291"/>
      <c r="D121" s="137"/>
      <c r="E121" s="137"/>
      <c r="F121" s="137"/>
      <c r="G121" s="538"/>
      <c r="H121" s="291"/>
      <c r="I121" s="107"/>
      <c r="J121" s="107"/>
      <c r="K121" s="107"/>
      <c r="L121" s="293"/>
      <c r="M121" s="291"/>
      <c r="N121" s="107"/>
      <c r="O121" s="107"/>
      <c r="P121" s="107"/>
      <c r="Q121" s="293"/>
      <c r="R121" s="291"/>
      <c r="S121" s="107"/>
      <c r="T121" s="107"/>
      <c r="U121" s="107"/>
      <c r="V121" s="293"/>
      <c r="W121" s="291"/>
      <c r="X121" s="107"/>
      <c r="Y121" s="107"/>
      <c r="Z121" s="107"/>
      <c r="AA121" s="293"/>
      <c r="AB121" s="291"/>
      <c r="AC121" s="107"/>
      <c r="AD121" s="107"/>
      <c r="AE121" s="107"/>
      <c r="AF121" s="293"/>
      <c r="AG121" s="291"/>
      <c r="AH121" s="107"/>
      <c r="AI121" s="107"/>
      <c r="AJ121" s="107"/>
      <c r="AK121" s="293"/>
      <c r="AL121" s="291"/>
      <c r="AM121" s="107"/>
      <c r="AN121" s="107"/>
      <c r="AO121" s="107"/>
      <c r="AP121" s="293"/>
      <c r="AQ121" s="291"/>
      <c r="AR121" s="107"/>
      <c r="AS121" s="107"/>
      <c r="AT121" s="107"/>
      <c r="AU121" s="293"/>
      <c r="AV121" s="291"/>
      <c r="AW121" s="107"/>
      <c r="AX121" s="107"/>
      <c r="AY121" s="107"/>
      <c r="AZ121" s="293"/>
      <c r="BA121" s="291"/>
      <c r="BB121" s="107"/>
      <c r="BC121" s="107"/>
      <c r="BD121" s="107"/>
      <c r="BE121" s="293"/>
      <c r="BF121" s="291"/>
      <c r="BG121" s="107"/>
      <c r="BH121" s="107"/>
      <c r="BI121" s="107"/>
      <c r="BJ121" s="293"/>
      <c r="BK121" s="291"/>
      <c r="BL121" s="107"/>
      <c r="BM121" s="107"/>
      <c r="BN121" s="107"/>
      <c r="BO121" s="293"/>
      <c r="BP121" s="291"/>
      <c r="BQ121" s="107"/>
      <c r="BR121" s="107"/>
      <c r="BS121" s="107"/>
      <c r="BT121" s="293"/>
      <c r="BU121" s="291"/>
      <c r="BV121" s="107"/>
      <c r="BW121" s="107"/>
      <c r="BX121" s="107"/>
      <c r="BY121" s="293"/>
      <c r="BZ121" s="291"/>
      <c r="CA121" s="107"/>
      <c r="CB121" s="107"/>
      <c r="CC121" s="107"/>
      <c r="CD121" s="293"/>
      <c r="CE121" s="291"/>
      <c r="CF121" s="107"/>
      <c r="CG121" s="107"/>
      <c r="CH121" s="107"/>
      <c r="CI121" s="293"/>
      <c r="CJ121" s="291"/>
      <c r="CK121" s="107"/>
      <c r="CL121" s="107"/>
      <c r="CM121" s="107"/>
      <c r="CN121" s="293"/>
      <c r="CO121" s="291"/>
      <c r="CP121" s="107"/>
      <c r="CQ121" s="107"/>
      <c r="CR121" s="107"/>
      <c r="CS121" s="293"/>
      <c r="CT121" s="291"/>
      <c r="CU121" s="107"/>
      <c r="CV121" s="107"/>
      <c r="CW121" s="107"/>
      <c r="CX121" s="293"/>
      <c r="CY121" s="291"/>
      <c r="CZ121" s="107"/>
      <c r="DA121" s="107"/>
      <c r="DB121" s="107"/>
      <c r="DC121" s="293"/>
      <c r="DD121" s="291"/>
      <c r="DE121" s="107"/>
      <c r="DF121" s="107"/>
      <c r="DG121" s="107"/>
      <c r="DH121" s="293"/>
      <c r="DI121" s="291"/>
      <c r="DJ121" s="107"/>
      <c r="DK121" s="107"/>
      <c r="DL121" s="107"/>
      <c r="DM121" s="293"/>
      <c r="DN121" s="291"/>
      <c r="DO121" s="107"/>
      <c r="DP121" s="107"/>
      <c r="DQ121" s="107"/>
      <c r="DR121" s="293"/>
      <c r="DS121" s="291"/>
      <c r="DT121" s="107"/>
      <c r="DU121" s="107"/>
      <c r="DV121" s="107"/>
      <c r="DW121" s="293"/>
      <c r="DX121" s="291"/>
      <c r="DY121" s="107"/>
      <c r="DZ121" s="107"/>
      <c r="EA121" s="107"/>
      <c r="EB121" s="293"/>
      <c r="EC121" s="291"/>
      <c r="ED121" s="107"/>
      <c r="EE121" s="107"/>
      <c r="EF121" s="107"/>
      <c r="EG121" s="293"/>
      <c r="EH121" s="291"/>
      <c r="EI121" s="107"/>
      <c r="EJ121" s="107"/>
      <c r="EK121" s="107"/>
      <c r="EL121" s="293"/>
      <c r="EM121" s="291"/>
      <c r="EN121" s="107"/>
      <c r="EO121" s="107"/>
      <c r="EP121" s="107"/>
      <c r="EQ121" s="293"/>
      <c r="ER121" s="291"/>
      <c r="ES121" s="107"/>
      <c r="ET121" s="107"/>
      <c r="EU121" s="107"/>
      <c r="EV121" s="293"/>
      <c r="EW121" s="291"/>
      <c r="EX121" s="291"/>
      <c r="EY121" s="107"/>
      <c r="EZ121" s="291"/>
      <c r="FA121" s="293"/>
      <c r="FB121" s="291"/>
      <c r="FC121" s="291"/>
      <c r="FD121" s="107"/>
      <c r="FE121" s="107"/>
      <c r="FF121" s="293"/>
      <c r="FG121" s="291"/>
      <c r="FH121" s="107"/>
      <c r="FI121" s="107"/>
      <c r="FJ121" s="107"/>
      <c r="FK121" s="293"/>
      <c r="FL121" s="291"/>
      <c r="FM121" s="107"/>
      <c r="FN121" s="107"/>
      <c r="FO121" s="107"/>
      <c r="FP121" s="293"/>
      <c r="FQ121" s="291"/>
      <c r="FR121" s="107"/>
      <c r="FS121" s="107"/>
      <c r="FT121" s="107"/>
      <c r="FU121" s="293"/>
      <c r="FV121" s="291"/>
      <c r="FW121" s="107"/>
      <c r="FX121" s="107"/>
      <c r="FY121" s="107"/>
      <c r="FZ121" s="293"/>
      <c r="GA121" s="291"/>
      <c r="GB121" s="107"/>
      <c r="GC121" s="107"/>
      <c r="GD121" s="107"/>
      <c r="GE121" s="382"/>
    </row>
    <row r="122" spans="1:187" s="542" customFormat="1" ht="12.75" customHeight="1">
      <c r="A122" s="850" t="s">
        <v>360</v>
      </c>
      <c r="B122" s="1080" t="s">
        <v>317</v>
      </c>
      <c r="C122" s="825"/>
      <c r="D122" s="1068"/>
      <c r="E122" s="1068"/>
      <c r="F122" s="1068"/>
      <c r="G122" s="1069"/>
      <c r="H122" s="825"/>
      <c r="I122" s="826"/>
      <c r="J122" s="826"/>
      <c r="K122" s="826"/>
      <c r="L122" s="1067"/>
      <c r="M122" s="825"/>
      <c r="N122" s="826"/>
      <c r="O122" s="826"/>
      <c r="P122" s="826"/>
      <c r="Q122" s="1067"/>
      <c r="R122" s="825"/>
      <c r="S122" s="826"/>
      <c r="T122" s="826"/>
      <c r="U122" s="826"/>
      <c r="V122" s="1067"/>
      <c r="W122" s="825"/>
      <c r="X122" s="826"/>
      <c r="Y122" s="826"/>
      <c r="Z122" s="826"/>
      <c r="AA122" s="1067"/>
      <c r="AB122" s="825"/>
      <c r="AC122" s="826"/>
      <c r="AD122" s="826"/>
      <c r="AE122" s="826"/>
      <c r="AF122" s="1067"/>
      <c r="AG122" s="825"/>
      <c r="AH122" s="826"/>
      <c r="AI122" s="826"/>
      <c r="AJ122" s="826"/>
      <c r="AK122" s="1067"/>
      <c r="AL122" s="825"/>
      <c r="AM122" s="826"/>
      <c r="AN122" s="826"/>
      <c r="AO122" s="826"/>
      <c r="AP122" s="1067"/>
      <c r="AQ122" s="825"/>
      <c r="AR122" s="826"/>
      <c r="AS122" s="826"/>
      <c r="AT122" s="826"/>
      <c r="AU122" s="1067"/>
      <c r="AV122" s="825"/>
      <c r="AW122" s="826"/>
      <c r="AX122" s="826"/>
      <c r="AY122" s="826"/>
      <c r="AZ122" s="1067"/>
      <c r="BA122" s="825"/>
      <c r="BB122" s="826"/>
      <c r="BC122" s="826"/>
      <c r="BD122" s="826"/>
      <c r="BE122" s="1067"/>
      <c r="BF122" s="825"/>
      <c r="BG122" s="826"/>
      <c r="BH122" s="826"/>
      <c r="BI122" s="826"/>
      <c r="BJ122" s="1067"/>
      <c r="BK122" s="825"/>
      <c r="BL122" s="826"/>
      <c r="BM122" s="826"/>
      <c r="BN122" s="826"/>
      <c r="BO122" s="1067"/>
      <c r="BP122" s="825"/>
      <c r="BQ122" s="826"/>
      <c r="BR122" s="826"/>
      <c r="BS122" s="826"/>
      <c r="BT122" s="1067"/>
      <c r="BU122" s="825"/>
      <c r="BV122" s="826"/>
      <c r="BW122" s="826"/>
      <c r="BX122" s="826"/>
      <c r="BY122" s="1067"/>
      <c r="BZ122" s="825"/>
      <c r="CA122" s="826"/>
      <c r="CB122" s="826"/>
      <c r="CC122" s="826"/>
      <c r="CD122" s="1067"/>
      <c r="CE122" s="825"/>
      <c r="CF122" s="826"/>
      <c r="CG122" s="826"/>
      <c r="CH122" s="826"/>
      <c r="CI122" s="1067"/>
      <c r="CJ122" s="825"/>
      <c r="CK122" s="826"/>
      <c r="CL122" s="826"/>
      <c r="CM122" s="826"/>
      <c r="CN122" s="1067"/>
      <c r="CO122" s="825"/>
      <c r="CP122" s="826"/>
      <c r="CQ122" s="826"/>
      <c r="CR122" s="826"/>
      <c r="CS122" s="1067"/>
      <c r="CT122" s="825"/>
      <c r="CU122" s="826"/>
      <c r="CV122" s="826"/>
      <c r="CW122" s="826"/>
      <c r="CX122" s="1067"/>
      <c r="CY122" s="825"/>
      <c r="CZ122" s="826"/>
      <c r="DA122" s="826"/>
      <c r="DB122" s="826"/>
      <c r="DC122" s="1067"/>
      <c r="DD122" s="1107"/>
      <c r="DE122" s="1108"/>
      <c r="DF122" s="1108"/>
      <c r="DG122" s="1108"/>
      <c r="DH122" s="1109"/>
      <c r="DI122" s="1107"/>
      <c r="DJ122" s="1108"/>
      <c r="DK122" s="1108"/>
      <c r="DL122" s="1108"/>
      <c r="DM122" s="1109"/>
      <c r="DN122" s="1107"/>
      <c r="DO122" s="1108"/>
      <c r="DP122" s="1108"/>
      <c r="DQ122" s="1108"/>
      <c r="DR122" s="1109"/>
      <c r="DS122" s="1107"/>
      <c r="DT122" s="1108"/>
      <c r="DU122" s="1108"/>
      <c r="DV122" s="1108"/>
      <c r="DW122" s="1109"/>
      <c r="DX122" s="1107"/>
      <c r="DY122" s="1108"/>
      <c r="DZ122" s="1108"/>
      <c r="EA122" s="1108"/>
      <c r="EB122" s="1109"/>
      <c r="EC122" s="1107"/>
      <c r="ED122" s="1108"/>
      <c r="EE122" s="1108"/>
      <c r="EF122" s="1108"/>
      <c r="EG122" s="1109"/>
      <c r="EH122" s="1107"/>
      <c r="EI122" s="1108"/>
      <c r="EJ122" s="1108"/>
      <c r="EK122" s="1108"/>
      <c r="EL122" s="1109"/>
      <c r="EM122" s="1107"/>
      <c r="EN122" s="1108"/>
      <c r="EO122" s="1108"/>
      <c r="EP122" s="1108"/>
      <c r="EQ122" s="1109"/>
      <c r="ER122" s="1107"/>
      <c r="ES122" s="1108"/>
      <c r="ET122" s="1108"/>
      <c r="EU122" s="1108"/>
      <c r="EV122" s="891"/>
      <c r="EW122" s="1070">
        <f>PBP!EW197</f>
      </c>
      <c r="EX122" s="1070">
        <f>PBP!EX197</f>
      </c>
      <c r="EY122" s="1070">
        <f>PBP!EY197</f>
      </c>
      <c r="EZ122" s="1070">
        <f>PBP!EZ197</f>
      </c>
      <c r="FA122" s="891"/>
      <c r="FB122" s="1070"/>
      <c r="FC122" s="1070"/>
      <c r="FD122" s="1070"/>
      <c r="FE122" s="1108"/>
      <c r="FF122" s="891"/>
      <c r="FG122" s="399"/>
      <c r="FH122" s="129"/>
      <c r="FI122" s="129"/>
      <c r="FJ122" s="129"/>
      <c r="FK122" s="891"/>
      <c r="FL122" s="399"/>
      <c r="FM122" s="129"/>
      <c r="FN122" s="129"/>
      <c r="FO122" s="129"/>
      <c r="FP122" s="891"/>
      <c r="FQ122" s="399"/>
      <c r="FR122" s="129"/>
      <c r="FS122" s="129"/>
      <c r="FT122" s="129"/>
      <c r="FU122" s="891"/>
      <c r="FV122" s="399"/>
      <c r="FW122" s="129"/>
      <c r="FX122" s="129"/>
      <c r="FY122" s="129"/>
      <c r="FZ122" s="891"/>
      <c r="GA122" s="399"/>
      <c r="GB122" s="129"/>
      <c r="GC122" s="129"/>
      <c r="GD122" s="129"/>
      <c r="GE122" s="1081"/>
    </row>
    <row r="123" spans="1:187" s="537" customFormat="1" ht="12.75" customHeight="1">
      <c r="A123" s="850"/>
      <c r="B123" s="1078" t="s">
        <v>405</v>
      </c>
      <c r="C123" s="291"/>
      <c r="D123" s="137"/>
      <c r="E123" s="137"/>
      <c r="F123" s="137"/>
      <c r="G123" s="538"/>
      <c r="H123" s="291"/>
      <c r="I123" s="107"/>
      <c r="J123" s="107"/>
      <c r="K123" s="107"/>
      <c r="L123" s="293"/>
      <c r="M123" s="291"/>
      <c r="N123" s="107"/>
      <c r="O123" s="107"/>
      <c r="P123" s="107"/>
      <c r="Q123" s="293"/>
      <c r="R123" s="291"/>
      <c r="S123" s="107"/>
      <c r="T123" s="107"/>
      <c r="U123" s="107"/>
      <c r="V123" s="293"/>
      <c r="W123" s="291"/>
      <c r="X123" s="107"/>
      <c r="Y123" s="107"/>
      <c r="Z123" s="107"/>
      <c r="AA123" s="293"/>
      <c r="AB123" s="291"/>
      <c r="AC123" s="107"/>
      <c r="AD123" s="107"/>
      <c r="AE123" s="107"/>
      <c r="AF123" s="293"/>
      <c r="AG123" s="291"/>
      <c r="AH123" s="107"/>
      <c r="AI123" s="107"/>
      <c r="AJ123" s="107"/>
      <c r="AK123" s="293"/>
      <c r="AL123" s="291"/>
      <c r="AM123" s="107"/>
      <c r="AN123" s="107"/>
      <c r="AO123" s="107"/>
      <c r="AP123" s="293"/>
      <c r="AQ123" s="291"/>
      <c r="AR123" s="107"/>
      <c r="AS123" s="107"/>
      <c r="AT123" s="107"/>
      <c r="AU123" s="293"/>
      <c r="AV123" s="291"/>
      <c r="AW123" s="107"/>
      <c r="AX123" s="107"/>
      <c r="AY123" s="107"/>
      <c r="AZ123" s="293"/>
      <c r="BA123" s="291"/>
      <c r="BB123" s="107"/>
      <c r="BC123" s="107"/>
      <c r="BD123" s="107"/>
      <c r="BE123" s="293"/>
      <c r="BF123" s="291"/>
      <c r="BG123" s="107"/>
      <c r="BH123" s="107"/>
      <c r="BI123" s="107"/>
      <c r="BJ123" s="293"/>
      <c r="BK123" s="291"/>
      <c r="BL123" s="107"/>
      <c r="BM123" s="107"/>
      <c r="BN123" s="107"/>
      <c r="BO123" s="293"/>
      <c r="BP123" s="291"/>
      <c r="BQ123" s="107"/>
      <c r="BR123" s="107"/>
      <c r="BS123" s="107"/>
      <c r="BT123" s="293"/>
      <c r="BU123" s="291"/>
      <c r="BV123" s="107"/>
      <c r="BW123" s="107"/>
      <c r="BX123" s="107"/>
      <c r="BY123" s="293"/>
      <c r="BZ123" s="291"/>
      <c r="CA123" s="107"/>
      <c r="CB123" s="107"/>
      <c r="CC123" s="107"/>
      <c r="CD123" s="293"/>
      <c r="CE123" s="291"/>
      <c r="CF123" s="107"/>
      <c r="CG123" s="107"/>
      <c r="CH123" s="107"/>
      <c r="CI123" s="293"/>
      <c r="CJ123" s="291"/>
      <c r="CK123" s="107"/>
      <c r="CL123" s="107"/>
      <c r="CM123" s="107"/>
      <c r="CN123" s="293"/>
      <c r="CO123" s="291"/>
      <c r="CP123" s="107"/>
      <c r="CQ123" s="107"/>
      <c r="CR123" s="107"/>
      <c r="CS123" s="293"/>
      <c r="CT123" s="291"/>
      <c r="CU123" s="107"/>
      <c r="CV123" s="107"/>
      <c r="CW123" s="107"/>
      <c r="CX123" s="293"/>
      <c r="CY123" s="291"/>
      <c r="CZ123" s="107"/>
      <c r="DA123" s="107"/>
      <c r="DB123" s="107"/>
      <c r="DC123" s="293"/>
      <c r="DD123" s="291"/>
      <c r="DE123" s="107"/>
      <c r="DF123" s="107"/>
      <c r="DG123" s="107"/>
      <c r="DH123" s="293"/>
      <c r="DI123" s="291"/>
      <c r="DJ123" s="107"/>
      <c r="DK123" s="107"/>
      <c r="DL123" s="107"/>
      <c r="DM123" s="293"/>
      <c r="DN123" s="291"/>
      <c r="DO123" s="107"/>
      <c r="DP123" s="107"/>
      <c r="DQ123" s="107"/>
      <c r="DR123" s="293"/>
      <c r="DS123" s="291"/>
      <c r="DT123" s="107"/>
      <c r="DU123" s="107"/>
      <c r="DV123" s="107"/>
      <c r="DW123" s="293"/>
      <c r="DX123" s="291"/>
      <c r="DY123" s="107"/>
      <c r="DZ123" s="107"/>
      <c r="EA123" s="107"/>
      <c r="EB123" s="293"/>
      <c r="EC123" s="291"/>
      <c r="ED123" s="107"/>
      <c r="EE123" s="107"/>
      <c r="EF123" s="107"/>
      <c r="EG123" s="293"/>
      <c r="EH123" s="291"/>
      <c r="EI123" s="107"/>
      <c r="EJ123" s="107"/>
      <c r="EK123" s="107"/>
      <c r="EL123" s="293"/>
      <c r="EM123" s="1120"/>
      <c r="EN123" s="1120"/>
      <c r="EO123" s="1120"/>
      <c r="EP123" s="1120"/>
      <c r="EQ123" s="293"/>
      <c r="ER123" s="1120"/>
      <c r="ES123" s="1120"/>
      <c r="ET123" s="1120"/>
      <c r="EU123" s="1120"/>
      <c r="EV123" s="293"/>
      <c r="EW123" s="1120">
        <f>(EW122-EW120)*10000</f>
      </c>
      <c r="EX123" s="1120">
        <f>(EX122-EX120)*10000</f>
      </c>
      <c r="EY123" s="1120">
        <f>(EY122-EY120)*10000</f>
      </c>
      <c r="EZ123" s="1120">
        <f>(EZ122-EZ120)*10000</f>
      </c>
      <c r="FA123" s="293"/>
      <c r="FB123" s="1120"/>
      <c r="FC123" s="1120"/>
      <c r="FD123" s="1120"/>
      <c r="FE123" s="1120"/>
      <c r="FF123" s="293"/>
      <c r="FG123" s="291"/>
      <c r="FH123" s="107"/>
      <c r="FI123" s="107"/>
      <c r="FJ123" s="107"/>
      <c r="FK123" s="293"/>
      <c r="FL123" s="291"/>
      <c r="FM123" s="107"/>
      <c r="FN123" s="107"/>
      <c r="FO123" s="107"/>
      <c r="FP123" s="293"/>
      <c r="FQ123" s="291"/>
      <c r="FR123" s="107"/>
      <c r="FS123" s="107"/>
      <c r="FT123" s="107"/>
      <c r="FU123" s="293"/>
      <c r="FV123" s="291"/>
      <c r="FW123" s="107"/>
      <c r="FX123" s="107"/>
      <c r="FY123" s="107"/>
      <c r="FZ123" s="293"/>
      <c r="GA123" s="291"/>
      <c r="GB123" s="107"/>
      <c r="GC123" s="107"/>
      <c r="GD123" s="107"/>
      <c r="GE123" s="382"/>
    </row>
    <row r="124" spans="1:187" s="537" customFormat="1" ht="12.75" customHeight="1">
      <c r="A124" s="850"/>
      <c r="B124" s="1078"/>
      <c r="C124" s="291"/>
      <c r="D124" s="137"/>
      <c r="E124" s="137"/>
      <c r="F124" s="137"/>
      <c r="G124" s="538"/>
      <c r="H124" s="291"/>
      <c r="I124" s="107"/>
      <c r="J124" s="107"/>
      <c r="K124" s="107"/>
      <c r="L124" s="293"/>
      <c r="M124" s="291"/>
      <c r="N124" s="107"/>
      <c r="O124" s="107"/>
      <c r="P124" s="107"/>
      <c r="Q124" s="293"/>
      <c r="R124" s="291"/>
      <c r="S124" s="107"/>
      <c r="T124" s="107"/>
      <c r="U124" s="107"/>
      <c r="V124" s="293"/>
      <c r="W124" s="291"/>
      <c r="X124" s="107"/>
      <c r="Y124" s="107"/>
      <c r="Z124" s="107"/>
      <c r="AA124" s="293"/>
      <c r="AB124" s="291"/>
      <c r="AC124" s="107"/>
      <c r="AD124" s="107"/>
      <c r="AE124" s="107"/>
      <c r="AF124" s="293"/>
      <c r="AG124" s="291"/>
      <c r="AH124" s="107"/>
      <c r="AI124" s="107"/>
      <c r="AJ124" s="107"/>
      <c r="AK124" s="293"/>
      <c r="AL124" s="291"/>
      <c r="AM124" s="107"/>
      <c r="AN124" s="107"/>
      <c r="AO124" s="107"/>
      <c r="AP124" s="293"/>
      <c r="AQ124" s="291"/>
      <c r="AR124" s="107"/>
      <c r="AS124" s="107"/>
      <c r="AT124" s="107"/>
      <c r="AU124" s="293"/>
      <c r="AV124" s="291"/>
      <c r="AW124" s="107"/>
      <c r="AX124" s="107"/>
      <c r="AY124" s="107"/>
      <c r="AZ124" s="293"/>
      <c r="BA124" s="291"/>
      <c r="BB124" s="107"/>
      <c r="BC124" s="107"/>
      <c r="BD124" s="107"/>
      <c r="BE124" s="293"/>
      <c r="BF124" s="291"/>
      <c r="BG124" s="107"/>
      <c r="BH124" s="107"/>
      <c r="BI124" s="107"/>
      <c r="BJ124" s="293"/>
      <c r="BK124" s="291"/>
      <c r="BL124" s="107"/>
      <c r="BM124" s="107"/>
      <c r="BN124" s="107"/>
      <c r="BO124" s="293"/>
      <c r="BP124" s="291"/>
      <c r="BQ124" s="107"/>
      <c r="BR124" s="107"/>
      <c r="BS124" s="107"/>
      <c r="BT124" s="293"/>
      <c r="BU124" s="291"/>
      <c r="BV124" s="107"/>
      <c r="BW124" s="107"/>
      <c r="BX124" s="107"/>
      <c r="BY124" s="293"/>
      <c r="BZ124" s="291"/>
      <c r="CA124" s="107"/>
      <c r="CB124" s="107"/>
      <c r="CC124" s="107"/>
      <c r="CD124" s="293"/>
      <c r="CE124" s="291"/>
      <c r="CF124" s="107"/>
      <c r="CG124" s="107"/>
      <c r="CH124" s="107"/>
      <c r="CI124" s="293"/>
      <c r="CJ124" s="291"/>
      <c r="CK124" s="107"/>
      <c r="CL124" s="107"/>
      <c r="CM124" s="107"/>
      <c r="CN124" s="293"/>
      <c r="CO124" s="291"/>
      <c r="CP124" s="107"/>
      <c r="CQ124" s="107"/>
      <c r="CR124" s="107"/>
      <c r="CS124" s="293"/>
      <c r="CT124" s="291"/>
      <c r="CU124" s="107"/>
      <c r="CV124" s="107"/>
      <c r="CW124" s="107"/>
      <c r="CX124" s="293"/>
      <c r="CY124" s="291"/>
      <c r="CZ124" s="107"/>
      <c r="DA124" s="107"/>
      <c r="DB124" s="107"/>
      <c r="DC124" s="293"/>
      <c r="DD124" s="291"/>
      <c r="DE124" s="107"/>
      <c r="DF124" s="107"/>
      <c r="DG124" s="107"/>
      <c r="DH124" s="293"/>
      <c r="DI124" s="291"/>
      <c r="DJ124" s="107"/>
      <c r="DK124" s="107"/>
      <c r="DL124" s="107"/>
      <c r="DM124" s="293"/>
      <c r="DN124" s="291"/>
      <c r="DO124" s="107"/>
      <c r="DP124" s="107"/>
      <c r="DQ124" s="107"/>
      <c r="DR124" s="293"/>
      <c r="DS124" s="291"/>
      <c r="DT124" s="107"/>
      <c r="DU124" s="107"/>
      <c r="DV124" s="107"/>
      <c r="DW124" s="293"/>
      <c r="DX124" s="291"/>
      <c r="DY124" s="107"/>
      <c r="DZ124" s="107"/>
      <c r="EA124" s="107"/>
      <c r="EB124" s="293"/>
      <c r="EC124" s="291"/>
      <c r="ED124" s="107"/>
      <c r="EE124" s="107"/>
      <c r="EF124" s="107"/>
      <c r="EG124" s="293"/>
      <c r="EH124" s="291"/>
      <c r="EI124" s="107"/>
      <c r="EJ124" s="107"/>
      <c r="EK124" s="107"/>
      <c r="EL124" s="293"/>
      <c r="EM124" s="1120"/>
      <c r="EN124" s="1120"/>
      <c r="EO124" s="1120"/>
      <c r="EP124" s="1120"/>
      <c r="EQ124" s="293"/>
      <c r="ER124" s="1120"/>
      <c r="ES124" s="1120"/>
      <c r="ET124" s="1120"/>
      <c r="EU124" s="1120"/>
      <c r="EV124" s="293"/>
      <c r="EW124" s="291"/>
      <c r="EX124" s="1120"/>
      <c r="EY124" s="1120"/>
      <c r="EZ124" s="1120"/>
      <c r="FA124" s="293"/>
      <c r="FB124" s="291"/>
      <c r="FC124" s="1120"/>
      <c r="FD124" s="1120"/>
      <c r="FE124" s="1120"/>
      <c r="FF124" s="293"/>
      <c r="FG124" s="291"/>
      <c r="FH124" s="107"/>
      <c r="FI124" s="107"/>
      <c r="FJ124" s="107"/>
      <c r="FK124" s="293"/>
      <c r="FL124" s="291"/>
      <c r="FM124" s="107"/>
      <c r="FN124" s="107"/>
      <c r="FO124" s="107"/>
      <c r="FP124" s="293"/>
      <c r="FQ124" s="291"/>
      <c r="FR124" s="107"/>
      <c r="FS124" s="107"/>
      <c r="FT124" s="107"/>
      <c r="FU124" s="293"/>
      <c r="FV124" s="291"/>
      <c r="FW124" s="107"/>
      <c r="FX124" s="107"/>
      <c r="FY124" s="107"/>
      <c r="FZ124" s="293"/>
      <c r="GA124" s="291"/>
      <c r="GB124" s="107"/>
      <c r="GC124" s="107"/>
      <c r="GD124" s="107"/>
      <c r="GE124" s="382"/>
    </row>
    <row r="125" spans="1:187" s="542" customFormat="1" ht="12.75" customHeight="1">
      <c r="A125" s="850"/>
      <c r="B125" s="1079" t="s">
        <v>2012</v>
      </c>
      <c r="C125" s="98"/>
      <c r="D125" s="98"/>
      <c r="E125" s="98"/>
      <c r="F125" s="98"/>
      <c r="G125" s="99"/>
      <c r="H125" s="98"/>
      <c r="I125" s="98"/>
      <c r="J125" s="98"/>
      <c r="K125" s="98"/>
      <c r="L125" s="99"/>
      <c r="M125" s="1084"/>
      <c r="N125" s="1084"/>
      <c r="O125" s="1084"/>
      <c r="P125" s="1084"/>
      <c r="Q125" s="99"/>
      <c r="R125" s="1084"/>
      <c r="S125" s="1084"/>
      <c r="T125" s="1084"/>
      <c r="U125" s="1084"/>
      <c r="V125" s="99"/>
      <c r="W125" s="1084"/>
      <c r="X125" s="1084"/>
      <c r="Y125" s="1084"/>
      <c r="Z125" s="1084"/>
      <c r="AA125" s="99"/>
      <c r="AB125" s="1084"/>
      <c r="AC125" s="1084"/>
      <c r="AD125" s="1084"/>
      <c r="AE125" s="1084"/>
      <c r="AF125" s="99"/>
      <c r="AG125" s="1084"/>
      <c r="AH125" s="1084"/>
      <c r="AI125" s="1084"/>
      <c r="AJ125" s="1084"/>
      <c r="AK125" s="99"/>
      <c r="AL125" s="1084"/>
      <c r="AM125" s="1084"/>
      <c r="AN125" s="1084"/>
      <c r="AO125" s="1084"/>
      <c r="AP125" s="99"/>
      <c r="AQ125" s="1084"/>
      <c r="AR125" s="1084"/>
      <c r="AS125" s="1084"/>
      <c r="AT125" s="1084"/>
      <c r="AU125" s="99"/>
      <c r="AV125" s="1084"/>
      <c r="AW125" s="1084"/>
      <c r="AX125" s="1084"/>
      <c r="AY125" s="1084"/>
      <c r="AZ125" s="99"/>
      <c r="BA125" s="1084"/>
      <c r="BB125" s="1084"/>
      <c r="BC125" s="1084"/>
      <c r="BD125" s="1084"/>
      <c r="BE125" s="99"/>
      <c r="BF125" s="1084"/>
      <c r="BG125" s="1084"/>
      <c r="BH125" s="1084"/>
      <c r="BI125" s="1084"/>
      <c r="BJ125" s="99"/>
      <c r="BK125" s="1084"/>
      <c r="BL125" s="1084"/>
      <c r="BM125" s="1084"/>
      <c r="BN125" s="1084"/>
      <c r="BO125" s="99"/>
      <c r="BP125" s="1084"/>
      <c r="BQ125" s="1084"/>
      <c r="BR125" s="1084"/>
      <c r="BS125" s="1084"/>
      <c r="BT125" s="99"/>
      <c r="BU125" s="1084"/>
      <c r="BV125" s="1084"/>
      <c r="BW125" s="1084"/>
      <c r="BX125" s="1084"/>
      <c r="BY125" s="99"/>
      <c r="BZ125" s="1084"/>
      <c r="CA125" s="1084"/>
      <c r="CB125" s="1084"/>
      <c r="CC125" s="1084"/>
      <c r="CD125" s="99"/>
      <c r="CE125" s="1084"/>
      <c r="CF125" s="1084"/>
      <c r="CG125" s="1084"/>
      <c r="CH125" s="1084"/>
      <c r="CI125" s="99"/>
      <c r="CJ125" s="1084"/>
      <c r="CK125" s="1084"/>
      <c r="CL125" s="1084"/>
      <c r="CM125" s="1084"/>
      <c r="CN125" s="99"/>
      <c r="CO125" s="1084"/>
      <c r="CP125" s="1084"/>
      <c r="CQ125" s="1084"/>
      <c r="CR125" s="1084"/>
      <c r="CS125" s="99"/>
      <c r="CT125" s="1084"/>
      <c r="CU125" s="1084"/>
      <c r="CV125" s="1084"/>
      <c r="CW125" s="1084"/>
      <c r="CX125" s="99"/>
      <c r="CY125" s="1084"/>
      <c r="CZ125" s="1084"/>
      <c r="DA125" s="1084"/>
      <c r="DB125" s="1084"/>
      <c r="DC125" s="99"/>
      <c r="DD125" s="1084"/>
      <c r="DE125" s="1084"/>
      <c r="DF125" s="1084"/>
      <c r="DG125" s="1084"/>
      <c r="DH125" s="99"/>
      <c r="DI125" s="1084"/>
      <c r="DJ125" s="1084"/>
      <c r="DK125" s="1084"/>
      <c r="DL125" s="1084"/>
      <c r="DM125" s="99"/>
      <c r="DN125" s="1084"/>
      <c r="DO125" s="1084"/>
      <c r="DP125" s="1084"/>
      <c r="DQ125" s="1084"/>
      <c r="DR125" s="99"/>
      <c r="DS125" s="1084"/>
      <c r="DT125" s="1084"/>
      <c r="DU125" s="1084"/>
      <c r="DV125" s="1084"/>
      <c r="DW125" s="99"/>
      <c r="DX125" s="1084"/>
      <c r="DY125" s="1084"/>
      <c r="DZ125" s="1084"/>
      <c r="EA125" s="1084"/>
      <c r="EB125" s="99"/>
      <c r="EC125" s="1084"/>
      <c r="ED125" s="1084"/>
      <c r="EE125" s="1084"/>
      <c r="EF125" s="1084"/>
      <c r="EG125" s="99"/>
      <c r="EH125" s="1084"/>
      <c r="EI125" s="1084"/>
      <c r="EJ125" s="1084"/>
      <c r="EK125" s="1084"/>
      <c r="EL125" s="99"/>
      <c r="EM125" s="1084"/>
      <c r="EN125" s="1084"/>
      <c r="EO125" s="1084"/>
      <c r="EP125" s="1084"/>
      <c r="EQ125" s="99"/>
      <c r="ER125" s="1084"/>
      <c r="ES125" s="1084"/>
      <c r="ET125" s="1084"/>
      <c r="EU125" s="1423"/>
      <c r="EV125" s="99"/>
      <c r="EW125" s="1084"/>
      <c r="EX125" s="1084"/>
      <c r="EY125" s="1084"/>
      <c r="EZ125" s="1423"/>
      <c r="FA125" s="99"/>
      <c r="FB125" s="1084"/>
      <c r="FC125" s="1084"/>
      <c r="FD125" s="1084"/>
      <c r="FE125" s="1423"/>
      <c r="FF125" s="99"/>
      <c r="FG125" s="1084"/>
      <c r="FH125" s="1084"/>
      <c r="FI125" s="1084"/>
      <c r="FJ125" s="1084"/>
      <c r="FK125" s="99"/>
      <c r="FL125" s="1084"/>
      <c r="FM125" s="1084"/>
      <c r="FN125" s="1084"/>
      <c r="FO125" s="1084"/>
      <c r="FP125" s="99"/>
      <c r="FQ125" s="1084"/>
      <c r="FR125" s="1084"/>
      <c r="FS125" s="1084"/>
      <c r="FT125" s="1084"/>
      <c r="FU125" s="99"/>
      <c r="FV125" s="1084"/>
      <c r="FW125" s="1084"/>
      <c r="FX125" s="1084"/>
      <c r="FY125" s="1084"/>
      <c r="FZ125" s="99"/>
      <c r="GA125" s="1084"/>
      <c r="GB125" s="1084"/>
      <c r="GC125" s="1084"/>
      <c r="GD125" s="1084"/>
      <c r="GE125" s="1085"/>
    </row>
    <row r="126" spans="1:187" s="542" customFormat="1" ht="12.75" hidden="1" customHeight="1" outlineLevel="1">
      <c r="A126" s="850"/>
      <c r="B126" s="1078" t="s">
        <v>377</v>
      </c>
      <c r="C126" s="412"/>
      <c r="D126" s="114"/>
      <c r="E126" s="114"/>
      <c r="F126" s="114"/>
      <c r="G126" s="1112"/>
      <c r="H126" s="412"/>
      <c r="I126" s="114"/>
      <c r="J126" s="114"/>
      <c r="K126" s="114"/>
      <c r="L126" s="413"/>
      <c r="M126" s="412"/>
      <c r="N126" s="114"/>
      <c r="O126" s="114"/>
      <c r="P126" s="114"/>
      <c r="Q126" s="413"/>
      <c r="R126" s="412"/>
      <c r="S126" s="114"/>
      <c r="T126" s="114"/>
      <c r="U126" s="114"/>
      <c r="V126" s="413"/>
      <c r="W126" s="412"/>
      <c r="X126" s="114"/>
      <c r="Y126" s="114"/>
      <c r="Z126" s="114"/>
      <c r="AA126" s="413"/>
      <c r="AB126" s="412"/>
      <c r="AC126" s="114"/>
      <c r="AD126" s="114"/>
      <c r="AE126" s="114"/>
      <c r="AF126" s="413"/>
      <c r="AG126" s="412"/>
      <c r="AH126" s="114"/>
      <c r="AI126" s="114"/>
      <c r="AJ126" s="114"/>
      <c r="AK126" s="413"/>
      <c r="AL126" s="412"/>
      <c r="AM126" s="114"/>
      <c r="AN126" s="114"/>
      <c r="AO126" s="114"/>
      <c r="AP126" s="413"/>
      <c r="AQ126" s="412"/>
      <c r="AR126" s="114"/>
      <c r="AS126" s="114"/>
      <c r="AT126" s="114"/>
      <c r="AU126" s="413"/>
      <c r="AV126" s="412"/>
      <c r="AW126" s="114"/>
      <c r="AX126" s="114"/>
      <c r="AY126" s="114"/>
      <c r="AZ126" s="413"/>
      <c r="BA126" s="412"/>
      <c r="BB126" s="114"/>
      <c r="BC126" s="114"/>
      <c r="BD126" s="114"/>
      <c r="BE126" s="413"/>
      <c r="BF126" s="412"/>
      <c r="BG126" s="114"/>
      <c r="BH126" s="114"/>
      <c r="BI126" s="114"/>
      <c r="BJ126" s="413"/>
      <c r="BK126" s="412"/>
      <c r="BL126" s="114"/>
      <c r="BM126" s="114"/>
      <c r="BN126" s="114"/>
      <c r="BO126" s="413"/>
      <c r="BP126" s="412"/>
      <c r="BQ126" s="114"/>
      <c r="BR126" s="114"/>
      <c r="BS126" s="114"/>
      <c r="BT126" s="413"/>
      <c r="BU126" s="412"/>
      <c r="BV126" s="114"/>
      <c r="BW126" s="114"/>
      <c r="BX126" s="114"/>
      <c r="BY126" s="413"/>
      <c r="BZ126" s="412"/>
      <c r="CA126" s="114"/>
      <c r="CB126" s="114"/>
      <c r="CC126" s="114"/>
      <c r="CD126" s="413"/>
      <c r="CE126" s="412"/>
      <c r="CF126" s="114"/>
      <c r="CG126" s="114"/>
      <c r="CH126" s="114"/>
      <c r="CI126" s="413"/>
      <c r="CJ126" s="412"/>
      <c r="CK126" s="114"/>
      <c r="CL126" s="114"/>
      <c r="CM126" s="114"/>
      <c r="CN126" s="413"/>
      <c r="CO126" s="412"/>
      <c r="CP126" s="114"/>
      <c r="CQ126" s="114"/>
      <c r="CR126" s="114"/>
      <c r="CS126" s="413"/>
      <c r="CT126" s="412"/>
      <c r="CU126" s="114"/>
      <c r="CV126" s="114"/>
      <c r="CW126" s="114"/>
      <c r="CX126" s="413"/>
      <c r="CY126" s="412"/>
      <c r="CZ126" s="114"/>
      <c r="DA126" s="114"/>
      <c r="DB126" s="114"/>
      <c r="DC126" s="413"/>
      <c r="DD126" s="412"/>
      <c r="DE126" s="114"/>
      <c r="DF126" s="114"/>
      <c r="DG126" s="114"/>
      <c r="DH126" s="413"/>
      <c r="DI126" s="412"/>
      <c r="DJ126" s="114"/>
      <c r="DK126" s="114"/>
      <c r="DL126" s="114"/>
      <c r="DM126" s="413"/>
      <c r="DN126" s="412"/>
      <c r="DO126" s="114"/>
      <c r="DP126" s="114"/>
      <c r="DQ126" s="114"/>
      <c r="DR126" s="413"/>
      <c r="DS126" s="412"/>
      <c r="DT126" s="114"/>
      <c r="DU126" s="114"/>
      <c r="DV126" s="114"/>
      <c r="DW126" s="413"/>
      <c r="DX126" s="412"/>
      <c r="DY126" s="114"/>
      <c r="DZ126" s="114"/>
      <c r="EA126" s="114"/>
      <c r="EB126" s="413"/>
      <c r="EC126" s="412"/>
      <c r="ED126" s="114"/>
      <c r="EE126" s="114"/>
      <c r="EF126" s="114"/>
      <c r="EG126" s="413"/>
      <c r="EH126" s="412"/>
      <c r="EI126" s="114"/>
      <c r="EJ126" s="114"/>
      <c r="EK126" s="114">
        <v>0.18</v>
      </c>
      <c r="EL126" s="413"/>
      <c r="EM126" s="412">
        <v>0.17</v>
      </c>
      <c r="EN126" s="114">
        <f>EM130</f>
      </c>
      <c r="EO126" s="114">
        <f>EN130-1%</f>
      </c>
      <c r="EP126" s="114">
        <v>0.16</v>
      </c>
      <c r="EQ126" s="413"/>
      <c r="ER126" s="412">
        <v>0.16</v>
      </c>
      <c r="ES126" s="114">
        <v>0.16</v>
      </c>
      <c r="ET126" s="114">
        <v>0.15</v>
      </c>
      <c r="EU126" s="439">
        <v>0.14000000000000001</v>
      </c>
      <c r="EV126" s="292"/>
      <c r="EW126" s="441">
        <v>0.14000000000000001</v>
      </c>
      <c r="EX126" s="114"/>
      <c r="EY126" s="114"/>
      <c r="EZ126" s="439"/>
      <c r="FA126" s="292"/>
      <c r="FB126" s="441"/>
      <c r="FC126" s="114"/>
      <c r="FD126" s="114"/>
      <c r="FE126" s="439"/>
      <c r="FF126" s="292"/>
      <c r="FG126" s="291"/>
      <c r="FH126" s="107"/>
      <c r="FI126" s="107"/>
      <c r="FJ126" s="107"/>
      <c r="FK126" s="292"/>
      <c r="FL126" s="291"/>
      <c r="FM126" s="107"/>
      <c r="FN126" s="107"/>
      <c r="FO126" s="107"/>
      <c r="FP126" s="292"/>
      <c r="FQ126" s="291"/>
      <c r="FR126" s="107"/>
      <c r="FS126" s="107"/>
      <c r="FT126" s="107"/>
      <c r="FU126" s="292"/>
      <c r="FV126" s="291"/>
      <c r="FW126" s="107"/>
      <c r="FX126" s="107"/>
      <c r="FY126" s="107"/>
      <c r="FZ126" s="292"/>
      <c r="GA126" s="291"/>
      <c r="GB126" s="107"/>
      <c r="GC126" s="107"/>
      <c r="GD126" s="107"/>
      <c r="GE126" s="384"/>
    </row>
    <row r="127" spans="1:187" s="564" customFormat="1" ht="12.75" hidden="1" customHeight="1" outlineLevel="1">
      <c r="A127" s="1427"/>
      <c r="B127" s="1078" t="s">
        <v>378</v>
      </c>
      <c r="C127" s="412"/>
      <c r="D127" s="758"/>
      <c r="E127" s="758"/>
      <c r="F127" s="758"/>
      <c r="G127" s="1113"/>
      <c r="H127" s="412"/>
      <c r="I127" s="114"/>
      <c r="J127" s="114"/>
      <c r="K127" s="114"/>
      <c r="L127" s="414"/>
      <c r="M127" s="412"/>
      <c r="N127" s="114"/>
      <c r="O127" s="114"/>
      <c r="P127" s="114"/>
      <c r="Q127" s="414"/>
      <c r="R127" s="412"/>
      <c r="S127" s="114"/>
      <c r="T127" s="114"/>
      <c r="U127" s="114"/>
      <c r="V127" s="414"/>
      <c r="W127" s="412"/>
      <c r="X127" s="114"/>
      <c r="Y127" s="114"/>
      <c r="Z127" s="114"/>
      <c r="AA127" s="414"/>
      <c r="AB127" s="412"/>
      <c r="AC127" s="114"/>
      <c r="AD127" s="114"/>
      <c r="AE127" s="114"/>
      <c r="AF127" s="414"/>
      <c r="AG127" s="412"/>
      <c r="AH127" s="114"/>
      <c r="AI127" s="114"/>
      <c r="AJ127" s="114"/>
      <c r="AK127" s="414"/>
      <c r="AL127" s="412"/>
      <c r="AM127" s="114"/>
      <c r="AN127" s="114"/>
      <c r="AO127" s="114"/>
      <c r="AP127" s="414"/>
      <c r="AQ127" s="412"/>
      <c r="AR127" s="114"/>
      <c r="AS127" s="114"/>
      <c r="AT127" s="114"/>
      <c r="AU127" s="414"/>
      <c r="AV127" s="412"/>
      <c r="AW127" s="114"/>
      <c r="AX127" s="114"/>
      <c r="AY127" s="114"/>
      <c r="AZ127" s="414"/>
      <c r="BA127" s="412"/>
      <c r="BB127" s="114"/>
      <c r="BC127" s="114"/>
      <c r="BD127" s="114"/>
      <c r="BE127" s="414"/>
      <c r="BF127" s="412"/>
      <c r="BG127" s="114"/>
      <c r="BH127" s="114"/>
      <c r="BI127" s="114"/>
      <c r="BJ127" s="414"/>
      <c r="BK127" s="412"/>
      <c r="BL127" s="114"/>
      <c r="BM127" s="114"/>
      <c r="BN127" s="114"/>
      <c r="BO127" s="414"/>
      <c r="BP127" s="412"/>
      <c r="BQ127" s="114"/>
      <c r="BR127" s="114"/>
      <c r="BS127" s="114"/>
      <c r="BT127" s="414"/>
      <c r="BU127" s="412"/>
      <c r="BV127" s="114"/>
      <c r="BW127" s="114"/>
      <c r="BX127" s="114"/>
      <c r="BY127" s="414"/>
      <c r="BZ127" s="412"/>
      <c r="CA127" s="114"/>
      <c r="CB127" s="114"/>
      <c r="CC127" s="114"/>
      <c r="CD127" s="414"/>
      <c r="CE127" s="412"/>
      <c r="CF127" s="114"/>
      <c r="CG127" s="114"/>
      <c r="CH127" s="114"/>
      <c r="CI127" s="414"/>
      <c r="CJ127" s="412"/>
      <c r="CK127" s="114"/>
      <c r="CL127" s="114"/>
      <c r="CM127" s="114"/>
      <c r="CN127" s="414"/>
      <c r="CO127" s="412"/>
      <c r="CP127" s="114"/>
      <c r="CQ127" s="114"/>
      <c r="CR127" s="114"/>
      <c r="CS127" s="414"/>
      <c r="CT127" s="412"/>
      <c r="CU127" s="114"/>
      <c r="CV127" s="114"/>
      <c r="CW127" s="114"/>
      <c r="CX127" s="414"/>
      <c r="CY127" s="412"/>
      <c r="CZ127" s="114"/>
      <c r="DA127" s="114"/>
      <c r="DB127" s="114"/>
      <c r="DC127" s="414"/>
      <c r="DD127" s="412"/>
      <c r="DE127" s="114"/>
      <c r="DF127" s="114"/>
      <c r="DG127" s="114"/>
      <c r="DH127" s="414"/>
      <c r="DI127" s="412"/>
      <c r="DJ127" s="114"/>
      <c r="DK127" s="114"/>
      <c r="DL127" s="114"/>
      <c r="DM127" s="414"/>
      <c r="DN127" s="412"/>
      <c r="DO127" s="114"/>
      <c r="DP127" s="114"/>
      <c r="DQ127" s="114"/>
      <c r="DR127" s="414"/>
      <c r="DS127" s="412"/>
      <c r="DT127" s="114"/>
      <c r="DU127" s="114"/>
      <c r="DV127" s="114"/>
      <c r="DW127" s="414"/>
      <c r="DX127" s="412"/>
      <c r="DY127" s="114"/>
      <c r="DZ127" s="114"/>
      <c r="EA127" s="114"/>
      <c r="EB127" s="414"/>
      <c r="EC127" s="412"/>
      <c r="ED127" s="114"/>
      <c r="EE127" s="114"/>
      <c r="EF127" s="114"/>
      <c r="EG127" s="414"/>
      <c r="EH127" s="412"/>
      <c r="EI127" s="114"/>
      <c r="EJ127" s="114"/>
      <c r="EK127" s="114">
        <v>0.19</v>
      </c>
      <c r="EL127" s="414"/>
      <c r="EM127" s="412">
        <v>0.17</v>
      </c>
      <c r="EN127" s="114">
        <f>+EN126</f>
      </c>
      <c r="EO127" s="114">
        <f>+EO126</f>
      </c>
      <c r="EP127" s="114">
        <v>0.16</v>
      </c>
      <c r="EQ127" s="414"/>
      <c r="ER127" s="412">
        <v>0.16</v>
      </c>
      <c r="ES127" s="114">
        <v>0.16</v>
      </c>
      <c r="ET127" s="114">
        <v>0.15</v>
      </c>
      <c r="EU127" s="439">
        <v>0.14000000000000001</v>
      </c>
      <c r="EV127" s="293"/>
      <c r="EW127" s="441">
        <v>0.14000000000000001</v>
      </c>
      <c r="EX127" s="114"/>
      <c r="EY127" s="114"/>
      <c r="EZ127" s="439"/>
      <c r="FA127" s="293"/>
      <c r="FB127" s="441"/>
      <c r="FC127" s="114"/>
      <c r="FD127" s="114"/>
      <c r="FE127" s="439"/>
      <c r="FF127" s="293"/>
      <c r="FG127" s="291"/>
      <c r="FH127" s="107"/>
      <c r="FI127" s="107"/>
      <c r="FJ127" s="107"/>
      <c r="FK127" s="293"/>
      <c r="FL127" s="291"/>
      <c r="FM127" s="107"/>
      <c r="FN127" s="107"/>
      <c r="FO127" s="107"/>
      <c r="FP127" s="293"/>
      <c r="FQ127" s="291"/>
      <c r="FR127" s="107"/>
      <c r="FS127" s="107"/>
      <c r="FT127" s="107"/>
      <c r="FU127" s="293"/>
      <c r="FV127" s="291"/>
      <c r="FW127" s="107"/>
      <c r="FX127" s="107"/>
      <c r="FY127" s="107"/>
      <c r="FZ127" s="293"/>
      <c r="GA127" s="291"/>
      <c r="GB127" s="107"/>
      <c r="GC127" s="107"/>
      <c r="GD127" s="107"/>
      <c r="GE127" s="382"/>
    </row>
    <row r="128" spans="1:187" s="542" customFormat="1" ht="12.75" hidden="1" customHeight="1" outlineLevel="1">
      <c r="A128" s="850" t="s">
        <v>476</v>
      </c>
      <c r="B128" s="1078" t="s">
        <v>401</v>
      </c>
      <c r="C128" s="291"/>
      <c r="D128" s="137"/>
      <c r="E128" s="137"/>
      <c r="F128" s="137"/>
      <c r="G128" s="538"/>
      <c r="H128" s="291"/>
      <c r="I128" s="107"/>
      <c r="J128" s="107"/>
      <c r="K128" s="107"/>
      <c r="L128" s="293"/>
      <c r="M128" s="291"/>
      <c r="N128" s="107"/>
      <c r="O128" s="107"/>
      <c r="P128" s="107"/>
      <c r="Q128" s="293"/>
      <c r="R128" s="291"/>
      <c r="S128" s="107"/>
      <c r="T128" s="107"/>
      <c r="U128" s="107"/>
      <c r="V128" s="293"/>
      <c r="W128" s="291"/>
      <c r="X128" s="107"/>
      <c r="Y128" s="107"/>
      <c r="Z128" s="107"/>
      <c r="AA128" s="293"/>
      <c r="AB128" s="291"/>
      <c r="AC128" s="107"/>
      <c r="AD128" s="107"/>
      <c r="AE128" s="107"/>
      <c r="AF128" s="293"/>
      <c r="AG128" s="291"/>
      <c r="AH128" s="107"/>
      <c r="AI128" s="107"/>
      <c r="AJ128" s="107"/>
      <c r="AK128" s="293"/>
      <c r="AL128" s="291"/>
      <c r="AM128" s="107"/>
      <c r="AN128" s="107"/>
      <c r="AO128" s="107"/>
      <c r="AP128" s="293"/>
      <c r="AQ128" s="291"/>
      <c r="AR128" s="107"/>
      <c r="AS128" s="107"/>
      <c r="AT128" s="107"/>
      <c r="AU128" s="293"/>
      <c r="AV128" s="291"/>
      <c r="AW128" s="107"/>
      <c r="AX128" s="107"/>
      <c r="AY128" s="107"/>
      <c r="AZ128" s="293"/>
      <c r="BA128" s="291"/>
      <c r="BB128" s="107"/>
      <c r="BC128" s="107"/>
      <c r="BD128" s="107"/>
      <c r="BE128" s="293"/>
      <c r="BF128" s="291"/>
      <c r="BG128" s="107"/>
      <c r="BH128" s="107"/>
      <c r="BI128" s="107"/>
      <c r="BJ128" s="293"/>
      <c r="BK128" s="291"/>
      <c r="BL128" s="107"/>
      <c r="BM128" s="107"/>
      <c r="BN128" s="107"/>
      <c r="BO128" s="293"/>
      <c r="BP128" s="291"/>
      <c r="BQ128" s="107"/>
      <c r="BR128" s="107"/>
      <c r="BS128" s="107"/>
      <c r="BT128" s="293"/>
      <c r="BU128" s="291"/>
      <c r="BV128" s="107"/>
      <c r="BW128" s="107"/>
      <c r="BX128" s="107"/>
      <c r="BY128" s="293"/>
      <c r="BZ128" s="291"/>
      <c r="CA128" s="107"/>
      <c r="CB128" s="107"/>
      <c r="CC128" s="107"/>
      <c r="CD128" s="293"/>
      <c r="CE128" s="291"/>
      <c r="CF128" s="107"/>
      <c r="CG128" s="107"/>
      <c r="CH128" s="107"/>
      <c r="CI128" s="293"/>
      <c r="CJ128" s="291"/>
      <c r="CK128" s="107"/>
      <c r="CL128" s="107"/>
      <c r="CM128" s="107"/>
      <c r="CN128" s="293"/>
      <c r="CO128" s="291"/>
      <c r="CP128" s="107"/>
      <c r="CQ128" s="107"/>
      <c r="CR128" s="107"/>
      <c r="CS128" s="293"/>
      <c r="CT128" s="291"/>
      <c r="CU128" s="107"/>
      <c r="CV128" s="107"/>
      <c r="CW128" s="107"/>
      <c r="CX128" s="293"/>
      <c r="CY128" s="291"/>
      <c r="CZ128" s="107"/>
      <c r="DA128" s="107"/>
      <c r="DB128" s="107"/>
      <c r="DC128" s="293"/>
      <c r="DD128" s="291"/>
      <c r="DE128" s="107"/>
      <c r="DF128" s="107"/>
      <c r="DG128" s="107"/>
      <c r="DH128" s="293"/>
      <c r="DI128" s="291"/>
      <c r="DJ128" s="107"/>
      <c r="DK128" s="107"/>
      <c r="DL128" s="107"/>
      <c r="DM128" s="293"/>
      <c r="DN128" s="291"/>
      <c r="DO128" s="107"/>
      <c r="DP128" s="107"/>
      <c r="DQ128" s="107"/>
      <c r="DR128" s="293"/>
      <c r="DS128" s="291"/>
      <c r="DT128" s="107"/>
      <c r="DU128" s="107"/>
      <c r="DV128" s="107"/>
      <c r="DW128" s="293"/>
      <c r="DX128" s="291"/>
      <c r="DY128" s="107"/>
      <c r="DZ128" s="107"/>
      <c r="EA128" s="107"/>
      <c r="EB128" s="293"/>
      <c r="EC128" s="291"/>
      <c r="ED128" s="107"/>
      <c r="EE128" s="107"/>
      <c r="EF128" s="107"/>
      <c r="EG128" s="293"/>
      <c r="EH128" s="291"/>
      <c r="EI128" s="107"/>
      <c r="EJ128" s="107"/>
      <c r="EK128" s="107"/>
      <c r="EL128" s="293"/>
      <c r="EM128" s="107">
        <f>IFERROR(AVERAGE(EM126:EM127),"--")</f>
      </c>
      <c r="EN128" s="107">
        <f>IFERROR(AVERAGE(EN126:EN127),"--")</f>
      </c>
      <c r="EO128" s="107">
        <f>IFERROR(AVERAGE(EO126:EO127),"--")</f>
      </c>
      <c r="EP128" s="107">
        <f>IFERROR(AVERAGE(EP126:EP127),"--")</f>
      </c>
      <c r="EQ128" s="293"/>
      <c r="ER128" s="107">
        <f>IFERROR(AVERAGE(ER126:ER127),"--")</f>
      </c>
      <c r="ES128" s="107">
        <f>IFERROR(AVERAGE(ES126:ES127),"--")</f>
      </c>
      <c r="ET128" s="107">
        <f>IFERROR(AVERAGE(ET126:ET127),"--")</f>
      </c>
      <c r="EU128" s="107">
        <f>IFERROR(AVERAGE(EU126:EU127),"--")</f>
      </c>
      <c r="EV128" s="293"/>
      <c r="EW128" s="107">
        <f>IFERROR(AVERAGE(EW126:EW127),"--")</f>
      </c>
      <c r="EX128" s="107"/>
      <c r="EY128" s="107"/>
      <c r="EZ128" s="107"/>
      <c r="FA128" s="293"/>
      <c r="FB128" s="107"/>
      <c r="FC128" s="107"/>
      <c r="FD128" s="107"/>
      <c r="FE128" s="107"/>
      <c r="FF128" s="293"/>
      <c r="FG128" s="291"/>
      <c r="FH128" s="107"/>
      <c r="FI128" s="107"/>
      <c r="FJ128" s="107"/>
      <c r="FK128" s="293"/>
      <c r="FL128" s="291"/>
      <c r="FM128" s="107"/>
      <c r="FN128" s="107"/>
      <c r="FO128" s="107"/>
      <c r="FP128" s="293"/>
      <c r="FQ128" s="291"/>
      <c r="FR128" s="107"/>
      <c r="FS128" s="107"/>
      <c r="FT128" s="107"/>
      <c r="FU128" s="293"/>
      <c r="FV128" s="291"/>
      <c r="FW128" s="107"/>
      <c r="FX128" s="107"/>
      <c r="FY128" s="107"/>
      <c r="FZ128" s="293"/>
      <c r="GA128" s="291"/>
      <c r="GB128" s="107"/>
      <c r="GC128" s="107"/>
      <c r="GD128" s="107"/>
      <c r="GE128" s="382"/>
    </row>
    <row r="129" spans="1:187" s="564" customFormat="1" ht="12.75" hidden="1" customHeight="1" outlineLevel="1">
      <c r="A129" s="1427"/>
      <c r="B129" s="1078"/>
      <c r="C129" s="291"/>
      <c r="D129" s="137"/>
      <c r="E129" s="137"/>
      <c r="F129" s="137"/>
      <c r="G129" s="538"/>
      <c r="H129" s="291"/>
      <c r="I129" s="107"/>
      <c r="J129" s="107"/>
      <c r="K129" s="107"/>
      <c r="L129" s="293"/>
      <c r="M129" s="291"/>
      <c r="N129" s="107"/>
      <c r="O129" s="107"/>
      <c r="P129" s="107"/>
      <c r="Q129" s="293"/>
      <c r="R129" s="291"/>
      <c r="S129" s="107"/>
      <c r="T129" s="107"/>
      <c r="U129" s="107"/>
      <c r="V129" s="293"/>
      <c r="W129" s="291"/>
      <c r="X129" s="107"/>
      <c r="Y129" s="107"/>
      <c r="Z129" s="107"/>
      <c r="AA129" s="293"/>
      <c r="AB129" s="291"/>
      <c r="AC129" s="107"/>
      <c r="AD129" s="107"/>
      <c r="AE129" s="107"/>
      <c r="AF129" s="293"/>
      <c r="AG129" s="291"/>
      <c r="AH129" s="107"/>
      <c r="AI129" s="107"/>
      <c r="AJ129" s="107"/>
      <c r="AK129" s="293"/>
      <c r="AL129" s="291"/>
      <c r="AM129" s="107"/>
      <c r="AN129" s="107"/>
      <c r="AO129" s="107"/>
      <c r="AP129" s="293"/>
      <c r="AQ129" s="291"/>
      <c r="AR129" s="107"/>
      <c r="AS129" s="107"/>
      <c r="AT129" s="107"/>
      <c r="AU129" s="293"/>
      <c r="AV129" s="291"/>
      <c r="AW129" s="107"/>
      <c r="AX129" s="107"/>
      <c r="AY129" s="107"/>
      <c r="AZ129" s="293"/>
      <c r="BA129" s="291"/>
      <c r="BB129" s="107"/>
      <c r="BC129" s="107"/>
      <c r="BD129" s="107"/>
      <c r="BE129" s="293"/>
      <c r="BF129" s="291"/>
      <c r="BG129" s="107"/>
      <c r="BH129" s="107"/>
      <c r="BI129" s="107"/>
      <c r="BJ129" s="293"/>
      <c r="BK129" s="291"/>
      <c r="BL129" s="107"/>
      <c r="BM129" s="107"/>
      <c r="BN129" s="107"/>
      <c r="BO129" s="293"/>
      <c r="BP129" s="291"/>
      <c r="BQ129" s="107"/>
      <c r="BR129" s="107"/>
      <c r="BS129" s="107"/>
      <c r="BT129" s="293"/>
      <c r="BU129" s="291"/>
      <c r="BV129" s="107"/>
      <c r="BW129" s="107"/>
      <c r="BX129" s="107"/>
      <c r="BY129" s="293"/>
      <c r="BZ129" s="291"/>
      <c r="CA129" s="107"/>
      <c r="CB129" s="107"/>
      <c r="CC129" s="107"/>
      <c r="CD129" s="293"/>
      <c r="CE129" s="291"/>
      <c r="CF129" s="107"/>
      <c r="CG129" s="107"/>
      <c r="CH129" s="107"/>
      <c r="CI129" s="293"/>
      <c r="CJ129" s="291"/>
      <c r="CK129" s="107"/>
      <c r="CL129" s="107"/>
      <c r="CM129" s="107"/>
      <c r="CN129" s="293"/>
      <c r="CO129" s="291"/>
      <c r="CP129" s="107"/>
      <c r="CQ129" s="107"/>
      <c r="CR129" s="107"/>
      <c r="CS129" s="293"/>
      <c r="CT129" s="291"/>
      <c r="CU129" s="107"/>
      <c r="CV129" s="107"/>
      <c r="CW129" s="107"/>
      <c r="CX129" s="293"/>
      <c r="CY129" s="291"/>
      <c r="CZ129" s="107"/>
      <c r="DA129" s="107"/>
      <c r="DB129" s="107"/>
      <c r="DC129" s="293"/>
      <c r="DD129" s="291"/>
      <c r="DE129" s="107"/>
      <c r="DF129" s="107"/>
      <c r="DG129" s="107"/>
      <c r="DH129" s="293"/>
      <c r="DI129" s="291"/>
      <c r="DJ129" s="107"/>
      <c r="DK129" s="107"/>
      <c r="DL129" s="107"/>
      <c r="DM129" s="293"/>
      <c r="DN129" s="291"/>
      <c r="DO129" s="107"/>
      <c r="DP129" s="107"/>
      <c r="DQ129" s="107"/>
      <c r="DR129" s="293"/>
      <c r="DS129" s="291"/>
      <c r="DT129" s="107"/>
      <c r="DU129" s="107"/>
      <c r="DV129" s="107"/>
      <c r="DW129" s="293"/>
      <c r="DX129" s="291"/>
      <c r="DY129" s="107"/>
      <c r="DZ129" s="107"/>
      <c r="EA129" s="107"/>
      <c r="EB129" s="293"/>
      <c r="EC129" s="291"/>
      <c r="ED129" s="107"/>
      <c r="EE129" s="107"/>
      <c r="EF129" s="107"/>
      <c r="EG129" s="293"/>
      <c r="EH129" s="291"/>
      <c r="EI129" s="107"/>
      <c r="EJ129" s="107"/>
      <c r="EK129" s="107"/>
      <c r="EL129" s="293"/>
      <c r="EM129" s="291"/>
      <c r="EN129" s="107"/>
      <c r="EO129" s="107"/>
      <c r="EP129" s="107"/>
      <c r="EQ129" s="293"/>
      <c r="ER129" s="291"/>
      <c r="ES129" s="107"/>
      <c r="ET129" s="107"/>
      <c r="EU129" s="107"/>
      <c r="EV129" s="293"/>
      <c r="EW129" s="291"/>
      <c r="EX129" s="107"/>
      <c r="EY129" s="107"/>
      <c r="EZ129" s="107"/>
      <c r="FA129" s="293"/>
      <c r="FB129" s="291"/>
      <c r="FC129" s="107"/>
      <c r="FD129" s="107"/>
      <c r="FE129" s="107"/>
      <c r="FF129" s="293"/>
      <c r="FG129" s="291"/>
      <c r="FH129" s="107"/>
      <c r="FI129" s="107"/>
      <c r="FJ129" s="107"/>
      <c r="FK129" s="293"/>
      <c r="FL129" s="291"/>
      <c r="FM129" s="107"/>
      <c r="FN129" s="107"/>
      <c r="FO129" s="107"/>
      <c r="FP129" s="293"/>
      <c r="FQ129" s="291"/>
      <c r="FR129" s="107"/>
      <c r="FS129" s="107"/>
      <c r="FT129" s="107"/>
      <c r="FU129" s="293"/>
      <c r="FV129" s="291"/>
      <c r="FW129" s="107"/>
      <c r="FX129" s="107"/>
      <c r="FY129" s="107"/>
      <c r="FZ129" s="293"/>
      <c r="GA129" s="291"/>
      <c r="GB129" s="107"/>
      <c r="GC129" s="107"/>
      <c r="GD129" s="107"/>
      <c r="GE129" s="382"/>
    </row>
    <row r="130" spans="1:187" s="542" customFormat="1" ht="12.75" hidden="1" customHeight="1" outlineLevel="1">
      <c r="A130" s="850" t="s">
        <v>360</v>
      </c>
      <c r="B130" s="1080" t="s">
        <v>317</v>
      </c>
      <c r="C130" s="825"/>
      <c r="D130" s="1068"/>
      <c r="E130" s="1068"/>
      <c r="F130" s="1068"/>
      <c r="G130" s="1069"/>
      <c r="H130" s="825"/>
      <c r="I130" s="826"/>
      <c r="J130" s="826"/>
      <c r="K130" s="826"/>
      <c r="L130" s="1067"/>
      <c r="M130" s="825"/>
      <c r="N130" s="826"/>
      <c r="O130" s="826"/>
      <c r="P130" s="826"/>
      <c r="Q130" s="1067"/>
      <c r="R130" s="825"/>
      <c r="S130" s="826"/>
      <c r="T130" s="826"/>
      <c r="U130" s="826"/>
      <c r="V130" s="1067"/>
      <c r="W130" s="825"/>
      <c r="X130" s="826"/>
      <c r="Y130" s="826"/>
      <c r="Z130" s="826"/>
      <c r="AA130" s="1067"/>
      <c r="AB130" s="825"/>
      <c r="AC130" s="826"/>
      <c r="AD130" s="826"/>
      <c r="AE130" s="826"/>
      <c r="AF130" s="1067"/>
      <c r="AG130" s="825"/>
      <c r="AH130" s="826"/>
      <c r="AI130" s="826"/>
      <c r="AJ130" s="826"/>
      <c r="AK130" s="1067"/>
      <c r="AL130" s="825"/>
      <c r="AM130" s="826"/>
      <c r="AN130" s="826"/>
      <c r="AO130" s="826"/>
      <c r="AP130" s="1067"/>
      <c r="AQ130" s="825"/>
      <c r="AR130" s="826"/>
      <c r="AS130" s="826"/>
      <c r="AT130" s="826"/>
      <c r="AU130" s="1067"/>
      <c r="AV130" s="825"/>
      <c r="AW130" s="826"/>
      <c r="AX130" s="826"/>
      <c r="AY130" s="826"/>
      <c r="AZ130" s="1067"/>
      <c r="BA130" s="825"/>
      <c r="BB130" s="826"/>
      <c r="BC130" s="826"/>
      <c r="BD130" s="826"/>
      <c r="BE130" s="1067"/>
      <c r="BF130" s="825"/>
      <c r="BG130" s="826"/>
      <c r="BH130" s="826"/>
      <c r="BI130" s="826"/>
      <c r="BJ130" s="1067"/>
      <c r="BK130" s="825"/>
      <c r="BL130" s="826"/>
      <c r="BM130" s="826"/>
      <c r="BN130" s="826"/>
      <c r="BO130" s="1067"/>
      <c r="BP130" s="825"/>
      <c r="BQ130" s="826"/>
      <c r="BR130" s="826"/>
      <c r="BS130" s="826"/>
      <c r="BT130" s="1067"/>
      <c r="BU130" s="825"/>
      <c r="BV130" s="826"/>
      <c r="BW130" s="826"/>
      <c r="BX130" s="826"/>
      <c r="BY130" s="1067"/>
      <c r="BZ130" s="825"/>
      <c r="CA130" s="826"/>
      <c r="CB130" s="826"/>
      <c r="CC130" s="826"/>
      <c r="CD130" s="1067"/>
      <c r="CE130" s="825"/>
      <c r="CF130" s="826"/>
      <c r="CG130" s="826"/>
      <c r="CH130" s="826"/>
      <c r="CI130" s="1067"/>
      <c r="CJ130" s="825"/>
      <c r="CK130" s="826"/>
      <c r="CL130" s="826"/>
      <c r="CM130" s="826"/>
      <c r="CN130" s="1067"/>
      <c r="CO130" s="825"/>
      <c r="CP130" s="826"/>
      <c r="CQ130" s="826"/>
      <c r="CR130" s="826"/>
      <c r="CS130" s="1067"/>
      <c r="CT130" s="825"/>
      <c r="CU130" s="826"/>
      <c r="CV130" s="826"/>
      <c r="CW130" s="826"/>
      <c r="CX130" s="1067"/>
      <c r="CY130" s="825"/>
      <c r="CZ130" s="826"/>
      <c r="DA130" s="826"/>
      <c r="DB130" s="826"/>
      <c r="DC130" s="1067"/>
      <c r="DD130" s="1107">
        <f>PBP!DD155</f>
      </c>
      <c r="DE130" s="1108">
        <f>PBP!DE155</f>
      </c>
      <c r="DF130" s="1108">
        <f>PBP!DF155</f>
      </c>
      <c r="DG130" s="1108">
        <f>PBP!DG155</f>
      </c>
      <c r="DH130" s="1109"/>
      <c r="DI130" s="1107">
        <f>PBP!DI155</f>
      </c>
      <c r="DJ130" s="1108">
        <f>PBP!DJ155</f>
      </c>
      <c r="DK130" s="1108">
        <f>PBP!DK155</f>
      </c>
      <c r="DL130" s="1108">
        <f>PBP!DL155</f>
      </c>
      <c r="DM130" s="1109"/>
      <c r="DN130" s="1107">
        <f>PBP!DN155</f>
      </c>
      <c r="DO130" s="1108">
        <f>PBP!DO155</f>
      </c>
      <c r="DP130" s="1108">
        <f>PBP!DP155</f>
      </c>
      <c r="DQ130" s="1108">
        <f>PBP!DQ155</f>
      </c>
      <c r="DR130" s="1109"/>
      <c r="DS130" s="1107">
        <f>PBP!DS155</f>
      </c>
      <c r="DT130" s="1108">
        <f>PBP!DT155</f>
      </c>
      <c r="DU130" s="1108">
        <f>PBP!DU155</f>
      </c>
      <c r="DV130" s="1108">
        <f>PBP!DV155</f>
      </c>
      <c r="DW130" s="1109"/>
      <c r="DX130" s="1107">
        <f>PBP!DX155</f>
      </c>
      <c r="DY130" s="1108">
        <f>PBP!DY155</f>
      </c>
      <c r="DZ130" s="1108">
        <f>PBP!DZ155</f>
      </c>
      <c r="EA130" s="1108">
        <f>PBP!EA155</f>
      </c>
      <c r="EB130" s="1109"/>
      <c r="EC130" s="1107">
        <f>PBP!EC155</f>
      </c>
      <c r="ED130" s="1108">
        <f>PBP!ED155</f>
      </c>
      <c r="EE130" s="1108">
        <f>PBP!EE155</f>
      </c>
      <c r="EF130" s="1108">
        <f>PBP!EF155</f>
      </c>
      <c r="EG130" s="1109"/>
      <c r="EH130" s="1107">
        <f>PBP!EH155</f>
      </c>
      <c r="EI130" s="1108">
        <f>PBP!EI155</f>
      </c>
      <c r="EJ130" s="1108">
        <f>PBP!EJ155</f>
      </c>
      <c r="EK130" s="1108">
        <f>PBP!EK155</f>
      </c>
      <c r="EL130" s="1109"/>
      <c r="EM130" s="1107">
        <f>PBP!EM155</f>
      </c>
      <c r="EN130" s="1108">
        <f>PBP!EN155</f>
      </c>
      <c r="EO130" s="1108">
        <f>PBP!EO155</f>
      </c>
      <c r="EP130" s="1108">
        <f>PBP!EP155</f>
      </c>
      <c r="EQ130" s="1109"/>
      <c r="ER130" s="1107">
        <f>PBP!ER155</f>
      </c>
      <c r="ES130" s="1108">
        <f>PBP!ES155</f>
      </c>
      <c r="ET130" s="1108">
        <f>PBP!ET155</f>
      </c>
      <c r="EU130" s="1108">
        <f>PBP!EU155</f>
      </c>
      <c r="EV130" s="891"/>
      <c r="EW130" s="399"/>
      <c r="EX130" s="1108"/>
      <c r="EY130" s="1108"/>
      <c r="EZ130" s="1108"/>
      <c r="FA130" s="891"/>
      <c r="FB130" s="399"/>
      <c r="FC130" s="1108"/>
      <c r="FD130" s="1108"/>
      <c r="FE130" s="1108"/>
      <c r="FF130" s="891"/>
      <c r="FG130" s="399"/>
      <c r="FH130" s="129"/>
      <c r="FI130" s="129"/>
      <c r="FJ130" s="129"/>
      <c r="FK130" s="891"/>
      <c r="FL130" s="399"/>
      <c r="FM130" s="129"/>
      <c r="FN130" s="129"/>
      <c r="FO130" s="129"/>
      <c r="FP130" s="891"/>
      <c r="FQ130" s="399"/>
      <c r="FR130" s="129"/>
      <c r="FS130" s="129"/>
      <c r="FT130" s="129"/>
      <c r="FU130" s="891"/>
      <c r="FV130" s="399"/>
      <c r="FW130" s="129"/>
      <c r="FX130" s="129"/>
      <c r="FY130" s="129"/>
      <c r="FZ130" s="891"/>
      <c r="GA130" s="399"/>
      <c r="GB130" s="129"/>
      <c r="GC130" s="129"/>
      <c r="GD130" s="129"/>
      <c r="GE130" s="1081"/>
    </row>
    <row r="131" spans="1:187" s="537" customFormat="1" ht="12.75" hidden="1" customHeight="1" outlineLevel="1">
      <c r="A131" s="850"/>
      <c r="B131" s="1078" t="s">
        <v>405</v>
      </c>
      <c r="C131" s="291"/>
      <c r="D131" s="137"/>
      <c r="E131" s="137"/>
      <c r="F131" s="137"/>
      <c r="G131" s="538"/>
      <c r="H131" s="291"/>
      <c r="I131" s="107"/>
      <c r="J131" s="107"/>
      <c r="K131" s="107"/>
      <c r="L131" s="293"/>
      <c r="M131" s="291"/>
      <c r="N131" s="107"/>
      <c r="O131" s="107"/>
      <c r="P131" s="107"/>
      <c r="Q131" s="293"/>
      <c r="R131" s="291"/>
      <c r="S131" s="107"/>
      <c r="T131" s="107"/>
      <c r="U131" s="107"/>
      <c r="V131" s="293"/>
      <c r="W131" s="291"/>
      <c r="X131" s="107"/>
      <c r="Y131" s="107"/>
      <c r="Z131" s="107"/>
      <c r="AA131" s="293"/>
      <c r="AB131" s="291"/>
      <c r="AC131" s="107"/>
      <c r="AD131" s="107"/>
      <c r="AE131" s="107"/>
      <c r="AF131" s="293"/>
      <c r="AG131" s="291"/>
      <c r="AH131" s="107"/>
      <c r="AI131" s="107"/>
      <c r="AJ131" s="107"/>
      <c r="AK131" s="293"/>
      <c r="AL131" s="291"/>
      <c r="AM131" s="107"/>
      <c r="AN131" s="107"/>
      <c r="AO131" s="107"/>
      <c r="AP131" s="293"/>
      <c r="AQ131" s="291"/>
      <c r="AR131" s="107"/>
      <c r="AS131" s="107"/>
      <c r="AT131" s="107"/>
      <c r="AU131" s="293"/>
      <c r="AV131" s="291"/>
      <c r="AW131" s="107"/>
      <c r="AX131" s="107"/>
      <c r="AY131" s="107"/>
      <c r="AZ131" s="293"/>
      <c r="BA131" s="291"/>
      <c r="BB131" s="107"/>
      <c r="BC131" s="107"/>
      <c r="BD131" s="107"/>
      <c r="BE131" s="293"/>
      <c r="BF131" s="291"/>
      <c r="BG131" s="107"/>
      <c r="BH131" s="107"/>
      <c r="BI131" s="107"/>
      <c r="BJ131" s="293"/>
      <c r="BK131" s="291"/>
      <c r="BL131" s="107"/>
      <c r="BM131" s="107"/>
      <c r="BN131" s="107"/>
      <c r="BO131" s="293"/>
      <c r="BP131" s="291"/>
      <c r="BQ131" s="107"/>
      <c r="BR131" s="107"/>
      <c r="BS131" s="107"/>
      <c r="BT131" s="293"/>
      <c r="BU131" s="291"/>
      <c r="BV131" s="107"/>
      <c r="BW131" s="107"/>
      <c r="BX131" s="107"/>
      <c r="BY131" s="293"/>
      <c r="BZ131" s="291"/>
      <c r="CA131" s="107"/>
      <c r="CB131" s="107"/>
      <c r="CC131" s="107"/>
      <c r="CD131" s="293"/>
      <c r="CE131" s="291"/>
      <c r="CF131" s="107"/>
      <c r="CG131" s="107"/>
      <c r="CH131" s="107"/>
      <c r="CI131" s="293"/>
      <c r="CJ131" s="291"/>
      <c r="CK131" s="107"/>
      <c r="CL131" s="107"/>
      <c r="CM131" s="107"/>
      <c r="CN131" s="293"/>
      <c r="CO131" s="291"/>
      <c r="CP131" s="107"/>
      <c r="CQ131" s="107"/>
      <c r="CR131" s="107"/>
      <c r="CS131" s="293"/>
      <c r="CT131" s="291"/>
      <c r="CU131" s="107"/>
      <c r="CV131" s="107"/>
      <c r="CW131" s="107"/>
      <c r="CX131" s="293"/>
      <c r="CY131" s="291"/>
      <c r="CZ131" s="107"/>
      <c r="DA131" s="107"/>
      <c r="DB131" s="107"/>
      <c r="DC131" s="293"/>
      <c r="DD131" s="291"/>
      <c r="DE131" s="107"/>
      <c r="DF131" s="107"/>
      <c r="DG131" s="107"/>
      <c r="DH131" s="293"/>
      <c r="DI131" s="291"/>
      <c r="DJ131" s="107"/>
      <c r="DK131" s="107"/>
      <c r="DL131" s="107"/>
      <c r="DM131" s="293"/>
      <c r="DN131" s="291"/>
      <c r="DO131" s="107"/>
      <c r="DP131" s="107"/>
      <c r="DQ131" s="107"/>
      <c r="DR131" s="293"/>
      <c r="DS131" s="291"/>
      <c r="DT131" s="107"/>
      <c r="DU131" s="107"/>
      <c r="DV131" s="107"/>
      <c r="DW131" s="293"/>
      <c r="DX131" s="291"/>
      <c r="DY131" s="107"/>
      <c r="DZ131" s="107"/>
      <c r="EA131" s="107"/>
      <c r="EB131" s="293"/>
      <c r="EC131" s="291"/>
      <c r="ED131" s="107"/>
      <c r="EE131" s="107"/>
      <c r="EF131" s="107"/>
      <c r="EG131" s="293"/>
      <c r="EH131" s="291"/>
      <c r="EI131" s="107"/>
      <c r="EJ131" s="107"/>
      <c r="EK131" s="107"/>
      <c r="EL131" s="293"/>
      <c r="EM131" s="1120">
        <f>(EM130-EM128)*10000</f>
      </c>
      <c r="EN131" s="1120">
        <f>(EN130-EN128)*10000</f>
      </c>
      <c r="EO131" s="1120">
        <f>(EO130-EO128)*10000</f>
      </c>
      <c r="EP131" s="1120">
        <f>(EP130-EP128)*10000</f>
      </c>
      <c r="EQ131" s="293"/>
      <c r="ER131" s="1120">
        <f>(ER130-ER128)*10000</f>
      </c>
      <c r="ES131" s="1120">
        <f>(ES130-ES128)*10000</f>
      </c>
      <c r="ET131" s="1120">
        <f>(ET130-ET128)*10000</f>
      </c>
      <c r="EU131" s="1120">
        <f>(EU130-EU128)*10000</f>
      </c>
      <c r="EV131" s="293"/>
      <c r="EW131" s="291"/>
      <c r="EX131" s="1120"/>
      <c r="EY131" s="1120"/>
      <c r="EZ131" s="1120"/>
      <c r="FA131" s="293"/>
      <c r="FB131" s="291"/>
      <c r="FC131" s="1120"/>
      <c r="FD131" s="1120"/>
      <c r="FE131" s="1120"/>
      <c r="FF131" s="293"/>
      <c r="FG131" s="291"/>
      <c r="FH131" s="107"/>
      <c r="FI131" s="107"/>
      <c r="FJ131" s="107"/>
      <c r="FK131" s="293"/>
      <c r="FL131" s="291"/>
      <c r="FM131" s="107"/>
      <c r="FN131" s="107"/>
      <c r="FO131" s="107"/>
      <c r="FP131" s="293"/>
      <c r="FQ131" s="291"/>
      <c r="FR131" s="107"/>
      <c r="FS131" s="107"/>
      <c r="FT131" s="107"/>
      <c r="FU131" s="293"/>
      <c r="FV131" s="291"/>
      <c r="FW131" s="107"/>
      <c r="FX131" s="107"/>
      <c r="FY131" s="107"/>
      <c r="FZ131" s="293"/>
      <c r="GA131" s="291"/>
      <c r="GB131" s="107"/>
      <c r="GC131" s="107"/>
      <c r="GD131" s="107"/>
      <c r="GE131" s="382"/>
    </row>
    <row r="132" spans="1:187" ht="12.75" customHeight="1" collapsed="1" thickBot="1">
      <c r="B132" s="1086"/>
      <c r="C132" s="1087"/>
      <c r="D132" s="1088"/>
      <c r="E132" s="1088"/>
      <c r="F132" s="1088"/>
      <c r="G132" s="1089"/>
      <c r="H132" s="1090"/>
      <c r="I132" s="1091"/>
      <c r="J132" s="1091"/>
      <c r="K132" s="1091"/>
      <c r="L132" s="1089"/>
      <c r="M132" s="1090"/>
      <c r="N132" s="1091"/>
      <c r="O132" s="1091"/>
      <c r="P132" s="1091"/>
      <c r="Q132" s="1089"/>
      <c r="R132" s="1090"/>
      <c r="S132" s="1091"/>
      <c r="T132" s="1091"/>
      <c r="U132" s="1091"/>
      <c r="V132" s="1089"/>
      <c r="W132" s="1090"/>
      <c r="X132" s="1091"/>
      <c r="Y132" s="1091"/>
      <c r="Z132" s="1091"/>
      <c r="AA132" s="1089"/>
      <c r="AB132" s="1090"/>
      <c r="AC132" s="1091"/>
      <c r="AD132" s="1091"/>
      <c r="AE132" s="1091"/>
      <c r="AF132" s="1089"/>
      <c r="AG132" s="1090"/>
      <c r="AH132" s="1091"/>
      <c r="AI132" s="1091"/>
      <c r="AJ132" s="1091"/>
      <c r="AK132" s="1089"/>
      <c r="AL132" s="1090"/>
      <c r="AM132" s="1091"/>
      <c r="AN132" s="1091"/>
      <c r="AO132" s="1091"/>
      <c r="AP132" s="1089"/>
      <c r="AQ132" s="1090"/>
      <c r="AR132" s="1091"/>
      <c r="AS132" s="1091"/>
      <c r="AT132" s="1091"/>
      <c r="AU132" s="1089"/>
      <c r="AV132" s="1090"/>
      <c r="AW132" s="1091"/>
      <c r="AX132" s="1091"/>
      <c r="AY132" s="1091"/>
      <c r="AZ132" s="1089"/>
      <c r="BA132" s="1090"/>
      <c r="BB132" s="1091"/>
      <c r="BC132" s="1091"/>
      <c r="BD132" s="1091"/>
      <c r="BE132" s="1089"/>
      <c r="BF132" s="1090"/>
      <c r="BG132" s="1091"/>
      <c r="BH132" s="1091"/>
      <c r="BI132" s="1091"/>
      <c r="BJ132" s="1089"/>
      <c r="BK132" s="1090"/>
      <c r="BL132" s="1091"/>
      <c r="BM132" s="1091"/>
      <c r="BN132" s="1091"/>
      <c r="BO132" s="1089"/>
      <c r="BP132" s="1090"/>
      <c r="BQ132" s="1091"/>
      <c r="BR132" s="1091"/>
      <c r="BS132" s="1091"/>
      <c r="BT132" s="1089"/>
      <c r="BU132" s="1090"/>
      <c r="BV132" s="1091"/>
      <c r="BW132" s="1091"/>
      <c r="BX132" s="1091"/>
      <c r="BY132" s="1089"/>
      <c r="BZ132" s="1090"/>
      <c r="CA132" s="1091"/>
      <c r="CB132" s="1091"/>
      <c r="CC132" s="1091"/>
      <c r="CD132" s="1089"/>
      <c r="CE132" s="1090"/>
      <c r="CF132" s="1091"/>
      <c r="CG132" s="1091"/>
      <c r="CH132" s="1091"/>
      <c r="CI132" s="1089"/>
      <c r="CJ132" s="1090"/>
      <c r="CK132" s="1091"/>
      <c r="CL132" s="1091"/>
      <c r="CM132" s="1091"/>
      <c r="CN132" s="1089"/>
      <c r="CO132" s="1090"/>
      <c r="CP132" s="1091"/>
      <c r="CQ132" s="1091"/>
      <c r="CR132" s="1091"/>
      <c r="CS132" s="1089"/>
      <c r="CT132" s="1090"/>
      <c r="CU132" s="1091"/>
      <c r="CV132" s="1091"/>
      <c r="CW132" s="1091"/>
      <c r="CX132" s="1089"/>
      <c r="CY132" s="1090"/>
      <c r="CZ132" s="1091"/>
      <c r="DA132" s="1091"/>
      <c r="DB132" s="1091"/>
      <c r="DC132" s="1089"/>
      <c r="DD132" s="1090"/>
      <c r="DE132" s="1091"/>
      <c r="DF132" s="1091"/>
      <c r="DG132" s="1091"/>
      <c r="DH132" s="1089"/>
      <c r="DI132" s="1090"/>
      <c r="DJ132" s="1091"/>
      <c r="DK132" s="1091"/>
      <c r="DL132" s="1091"/>
      <c r="DM132" s="1089"/>
      <c r="DN132" s="1090"/>
      <c r="DO132" s="1091"/>
      <c r="DP132" s="1091"/>
      <c r="DQ132" s="1091"/>
      <c r="DR132" s="1089"/>
      <c r="DS132" s="1090"/>
      <c r="DT132" s="1091"/>
      <c r="DU132" s="1091"/>
      <c r="DV132" s="1091"/>
      <c r="DW132" s="1089"/>
      <c r="DX132" s="1090"/>
      <c r="DY132" s="1091"/>
      <c r="DZ132" s="1091"/>
      <c r="EA132" s="1091"/>
      <c r="EB132" s="1089"/>
      <c r="EC132" s="1090"/>
      <c r="ED132" s="1091"/>
      <c r="EE132" s="1091"/>
      <c r="EF132" s="1091"/>
      <c r="EG132" s="1089"/>
      <c r="EH132" s="1090"/>
      <c r="EI132" s="1091"/>
      <c r="EJ132" s="1091"/>
      <c r="EK132" s="1091"/>
      <c r="EL132" s="1089"/>
      <c r="EM132" s="1090"/>
      <c r="EN132" s="1091"/>
      <c r="EO132" s="1091"/>
      <c r="EP132" s="1091"/>
      <c r="EQ132" s="1089"/>
      <c r="ER132" s="1090"/>
      <c r="ES132" s="1091"/>
      <c r="ET132" s="1091"/>
      <c r="EU132" s="1091"/>
      <c r="EV132" s="1089"/>
      <c r="EW132" s="1090"/>
      <c r="EX132" s="1091"/>
      <c r="EY132" s="1091"/>
      <c r="EZ132" s="1091"/>
      <c r="FA132" s="1089"/>
      <c r="FB132" s="1090"/>
      <c r="FC132" s="1091"/>
      <c r="FD132" s="1091"/>
      <c r="FE132" s="1091"/>
      <c r="FF132" s="1089"/>
      <c r="FG132" s="1090"/>
      <c r="FH132" s="1091"/>
      <c r="FI132" s="1091"/>
      <c r="FJ132" s="1091"/>
      <c r="FK132" s="1089"/>
      <c r="FL132" s="1090"/>
      <c r="FM132" s="1091"/>
      <c r="FN132" s="1091"/>
      <c r="FO132" s="1091"/>
      <c r="FP132" s="1089"/>
      <c r="FQ132" s="1090"/>
      <c r="FR132" s="1091"/>
      <c r="FS132" s="1091"/>
      <c r="FT132" s="1091"/>
      <c r="FU132" s="1089"/>
      <c r="FV132" s="1090"/>
      <c r="FW132" s="1091"/>
      <c r="FX132" s="1091"/>
      <c r="FY132" s="1091"/>
      <c r="FZ132" s="1089"/>
      <c r="GA132" s="1090"/>
      <c r="GB132" s="1091"/>
      <c r="GC132" s="1091"/>
      <c r="GD132" s="1091"/>
      <c r="GE132" s="1092"/>
    </row>
    <row r="133" spans="1:187" ht="12.75" customHeight="1">
      <c r="C133" s="246"/>
      <c r="G133" s="100"/>
      <c r="H133" s="246"/>
      <c r="L133" s="100"/>
      <c r="M133" s="246"/>
      <c r="Q133" s="100"/>
      <c r="R133" s="246"/>
      <c r="V133" s="100"/>
      <c r="W133" s="246"/>
      <c r="AA133" s="100"/>
      <c r="AB133" s="246"/>
      <c r="AF133" s="100"/>
      <c r="AG133" s="246"/>
      <c r="AK133" s="100"/>
      <c r="AL133" s="246"/>
      <c r="AP133" s="100"/>
      <c r="AQ133" s="246"/>
      <c r="AU133" s="100"/>
      <c r="AV133" s="246"/>
      <c r="AZ133" s="100"/>
      <c r="BA133" s="246"/>
      <c r="BE133" s="100"/>
      <c r="BF133" s="246"/>
      <c r="BJ133" s="100"/>
      <c r="BK133" s="246"/>
      <c r="BO133" s="100"/>
      <c r="BP133" s="246"/>
      <c r="BT133" s="100"/>
      <c r="BU133" s="246"/>
      <c r="BY133" s="100"/>
      <c r="BZ133" s="246"/>
      <c r="CD133" s="100"/>
      <c r="CE133" s="246"/>
      <c r="CI133" s="100"/>
      <c r="CJ133" s="246"/>
      <c r="CN133" s="100"/>
      <c r="CO133" s="246"/>
      <c r="CS133" s="100"/>
      <c r="CT133" s="246"/>
      <c r="CX133" s="100"/>
      <c r="CY133" s="246"/>
      <c r="DC133" s="100"/>
      <c r="DD133" s="246"/>
      <c r="DH133" s="100"/>
      <c r="DI133" s="246"/>
      <c r="DM133" s="100"/>
      <c r="DN133" s="246"/>
      <c r="DR133" s="100"/>
      <c r="DS133" s="246"/>
      <c r="DW133" s="100"/>
      <c r="DX133" s="246"/>
      <c r="EB133" s="100"/>
      <c r="EC133" s="246"/>
      <c r="EG133" s="100"/>
      <c r="EH133" s="246"/>
      <c r="EL133" s="100"/>
      <c r="EM133" s="246"/>
      <c r="EQ133" s="100"/>
      <c r="ER133" s="246"/>
      <c r="EV133" s="100"/>
      <c r="EW133" s="246"/>
      <c r="FA133" s="100"/>
      <c r="FB133" s="246"/>
      <c r="FF133" s="100"/>
      <c r="FG133" s="246"/>
      <c r="FK133" s="100"/>
      <c r="FL133" s="246"/>
      <c r="FP133" s="100"/>
      <c r="FQ133" s="246"/>
      <c r="FU133" s="100"/>
      <c r="FV133" s="246"/>
      <c r="FZ133" s="100"/>
      <c r="GA133" s="246"/>
      <c r="GE133" s="100"/>
    </row>
  </sheetData>
  <pageMargins left="0.7" right="0.7" top="0.75" bottom="0.75" header="0.3" footer="0.3"/>
  <customProperties>
    <customPr name="Qube.Worksheet.Visibility" r:id="rId1"/>
  </customPropertie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C9A333-97C1-4F78-9394-90BC2FCB7836}">
  <sheetPr>
    <tabColor rgb="FF00B050"/>
  </sheetPr>
  <dimension ref="A1:GT19"/>
  <sheetViews>
    <sheetView showGridLines="0" workbookViewId="0">
      <pane xSplit="2" ySplit="5" topLeftCell="DY6" activePane="bottomRight" state="frozen"/>
      <selection activeCell="EV49" sqref="EV49"/>
      <selection pane="topRight" activeCell="EV49" sqref="EV49"/>
      <selection pane="bottomLeft" activeCell="EV49" sqref="EV49"/>
      <selection pane="bottomRight" activeCell="EV49" sqref="EV49"/>
    </sheetView>
  </sheetViews>
  <sheetFormatPr defaultColWidth="9.109375" defaultRowHeight="12.75" customHeight="1" outlineLevelCol="1"/>
  <cols>
    <col min="1" max="1" width="2.5546875" style="7" customWidth="1"/>
    <col min="2" max="2" width="39.109375" style="7" customWidth="1"/>
    <col min="3" max="6" width="9.109375" style="7" customWidth="1" outlineLevel="1"/>
    <col min="7" max="7" width="11.44140625" style="7" customWidth="1"/>
    <col min="8" max="11" width="0" style="7" hidden="1" customWidth="1" outlineLevel="1"/>
    <col min="12" max="12" width="9.109375" style="7" collapsed="1"/>
    <col min="13" max="16" width="0" style="7" hidden="1" customWidth="1" outlineLevel="1"/>
    <col min="17" max="17" width="9.109375" style="7" collapsed="1"/>
    <col min="18" max="21" width="0" style="7" hidden="1" customWidth="1" outlineLevel="1"/>
    <col min="22" max="22" width="9.109375" style="7" collapsed="1"/>
    <col min="23" max="26" width="0" style="7" hidden="1" customWidth="1" outlineLevel="1"/>
    <col min="27" max="27" width="9.109375" style="7" collapsed="1"/>
    <col min="28" max="31" width="0" style="7" hidden="1" customWidth="1" outlineLevel="1"/>
    <col min="32" max="32" width="9.109375" style="7" collapsed="1"/>
    <col min="33" max="36" width="0" style="7" hidden="1" customWidth="1" outlineLevel="1"/>
    <col min="37" max="37" width="9.109375" style="7" collapsed="1"/>
    <col min="38" max="41" width="0" style="7" hidden="1" customWidth="1" outlineLevel="1"/>
    <col min="42" max="42" width="9.109375" style="7" collapsed="1"/>
    <col min="43" max="46" width="0" style="7" hidden="1" customWidth="1" outlineLevel="1"/>
    <col min="47" max="47" width="9.109375" style="7" collapsed="1"/>
    <col min="48" max="51" width="0" style="7" hidden="1" customWidth="1" outlineLevel="1"/>
    <col min="52" max="52" width="9.109375" style="7" collapsed="1"/>
    <col min="53" max="56" width="9.109375" style="7" customWidth="1" outlineLevel="1"/>
    <col min="57" max="57" width="9.109375" style="7"/>
    <col min="58" max="61" width="0" style="7" hidden="1" customWidth="1" outlineLevel="1"/>
    <col min="62" max="62" width="9.109375" style="7" collapsed="1"/>
    <col min="63" max="66" width="0" style="7" hidden="1" customWidth="1" outlineLevel="1"/>
    <col min="67" max="67" width="9.109375" style="7" collapsed="1"/>
    <col min="68" max="71" width="0" style="7" hidden="1" customWidth="1" outlineLevel="1"/>
    <col min="72" max="72" width="9.109375" style="7" collapsed="1"/>
    <col min="73" max="76" width="0" style="7" hidden="1" customWidth="1" outlineLevel="1"/>
    <col min="77" max="77" width="9.109375" style="7" collapsed="1"/>
    <col min="78" max="81" width="0" style="7" hidden="1" customWidth="1" outlineLevel="1"/>
    <col min="82" max="82" width="9.109375" style="7" collapsed="1"/>
    <col min="83" max="86" width="0" style="7" hidden="1" customWidth="1" outlineLevel="1"/>
    <col min="87" max="87" width="9.109375" style="7" collapsed="1"/>
    <col min="88" max="91" width="0" style="7" hidden="1" customWidth="1" outlineLevel="1"/>
    <col min="92" max="92" width="9.109375" style="7" collapsed="1"/>
    <col min="93" max="96" width="0" style="7" hidden="1" customWidth="1" outlineLevel="1"/>
    <col min="97" max="97" width="9.109375" style="7" collapsed="1"/>
    <col min="98" max="101" width="0" style="7" hidden="1" customWidth="1" outlineLevel="1"/>
    <col min="102" max="102" width="9.109375" style="7" collapsed="1"/>
    <col min="103" max="106" width="0" style="7" hidden="1" customWidth="1" outlineLevel="1"/>
    <col min="107" max="107" width="9.109375" style="7" collapsed="1"/>
    <col min="108" max="111" width="0" style="7" hidden="1" customWidth="1" outlineLevel="1"/>
    <col min="112" max="112" width="9.109375" style="7" collapsed="1"/>
    <col min="113" max="116" width="0" style="7" hidden="1" customWidth="1" outlineLevel="1"/>
    <col min="117" max="117" width="9.109375" style="7" collapsed="1"/>
    <col min="118" max="121" width="0" style="7" hidden="1" customWidth="1" outlineLevel="1"/>
    <col min="122" max="122" width="9.109375" style="7" collapsed="1"/>
    <col min="123" max="126" width="0" style="7" hidden="1" customWidth="1" outlineLevel="1"/>
    <col min="127" max="127" width="9.109375" style="7" collapsed="1"/>
    <col min="128" max="131" width="9.109375" style="7" customWidth="1" outlineLevel="1"/>
    <col min="132" max="132" width="9.109375" style="7"/>
    <col min="133" max="136" width="0" style="7" hidden="1" customWidth="1" outlineLevel="1"/>
    <col min="137" max="137" width="9.109375" style="7" collapsed="1"/>
    <col min="138" max="141" width="9.109375" style="7" hidden="1" customWidth="1" outlineLevel="1"/>
    <col min="142" max="142" width="9.109375" style="7" collapsed="1"/>
    <col min="143" max="146" width="9.109375" style="7" customWidth="1" outlineLevel="1"/>
    <col min="147" max="147" width="9.109375" style="7"/>
    <col min="148" max="151" width="9.109375" style="7" customWidth="1" outlineLevel="1"/>
    <col min="152" max="152" width="9.109375" style="7"/>
    <col min="153" max="156" width="9.109375" style="7" customWidth="1" outlineLevel="1"/>
    <col min="157" max="157" width="9.109375" style="7"/>
    <col min="158" max="161" width="0" style="7" hidden="1" customWidth="1" outlineLevel="1"/>
    <col min="162" max="162" width="9.109375" style="7" collapsed="1"/>
    <col min="163" max="166" width="0" style="7" hidden="1" customWidth="1" outlineLevel="1"/>
    <col min="167" max="167" width="9.109375" style="7" collapsed="1"/>
    <col min="168" max="171" width="0" style="7" hidden="1" customWidth="1" outlineLevel="1"/>
    <col min="172" max="172" width="9.109375" style="7" collapsed="1"/>
    <col min="173" max="176" width="0" style="7" hidden="1" customWidth="1" outlineLevel="1"/>
    <col min="177" max="177" width="9.109375" style="7" collapsed="1"/>
    <col min="178" max="181" width="0" style="7" hidden="1" customWidth="1" outlineLevel="1"/>
    <col min="182" max="182" width="9.109375" style="7" collapsed="1"/>
    <col min="183" max="186" width="9.109375" style="7" customWidth="1" outlineLevel="1"/>
    <col min="187" max="187" width="9.109375" style="7"/>
    <col min="188" max="191" width="9.109375" style="7" outlineLevel="1"/>
    <col min="192" max="192" width="9.109375" style="7"/>
    <col min="193" max="196" width="9.109375" style="7" outlineLevel="1"/>
    <col min="197" max="197" width="9.109375" style="7"/>
    <col min="198" max="201" width="9.109375" style="7" outlineLevel="1"/>
    <col min="202" max="16384" width="9.109375" style="7"/>
  </cols>
  <sheetData>
    <row r="1" spans="1:202" ht="12.75" customHeight="1">
      <c r="A1" s="1"/>
      <c r="B1" s="2"/>
      <c r="C1" s="3"/>
      <c r="D1" s="3"/>
      <c r="E1" s="4"/>
      <c r="F1" s="3"/>
      <c r="G1" s="3"/>
      <c r="H1" s="3"/>
      <c r="I1" s="3"/>
      <c r="J1" s="3"/>
      <c r="K1" s="3"/>
      <c r="L1" s="5"/>
      <c r="M1" s="3"/>
      <c r="N1" s="3"/>
      <c r="O1" s="3"/>
      <c r="P1" s="3"/>
      <c r="Q1" s="5"/>
      <c r="R1" s="3"/>
      <c r="S1" s="3"/>
      <c r="T1" s="3"/>
      <c r="U1" s="3"/>
      <c r="V1" s="5"/>
      <c r="W1" s="3"/>
      <c r="X1" s="3"/>
      <c r="Y1" s="3"/>
      <c r="Z1" s="3"/>
      <c r="AA1" s="5"/>
      <c r="AB1" s="3"/>
      <c r="AC1" s="3"/>
      <c r="AD1" s="3"/>
      <c r="AE1" s="3"/>
      <c r="AF1" s="5"/>
      <c r="AG1" s="3"/>
      <c r="AH1" s="3"/>
      <c r="AI1" s="3"/>
      <c r="AJ1" s="3"/>
      <c r="AK1" s="5"/>
      <c r="AL1" s="3"/>
      <c r="AM1" s="3"/>
      <c r="AN1" s="3"/>
      <c r="AO1" s="3"/>
      <c r="AP1" s="5"/>
      <c r="AQ1" s="3"/>
      <c r="AR1" s="3"/>
      <c r="AS1" s="3"/>
      <c r="AT1" s="3"/>
      <c r="AU1" s="5"/>
      <c r="AV1" s="3"/>
      <c r="AW1" s="3"/>
      <c r="AX1" s="3"/>
      <c r="AY1" s="3"/>
      <c r="AZ1" s="5"/>
      <c r="BA1" s="3"/>
      <c r="BB1" s="3"/>
      <c r="BC1" s="3"/>
      <c r="BD1" s="3"/>
      <c r="BE1" s="5"/>
      <c r="BF1" s="3"/>
      <c r="BG1" s="3"/>
      <c r="BH1" s="3"/>
      <c r="BI1" s="3"/>
      <c r="BJ1" s="5"/>
      <c r="BK1" s="3"/>
      <c r="BL1" s="3"/>
      <c r="BM1" s="3"/>
      <c r="BN1" s="3"/>
      <c r="BO1" s="5"/>
      <c r="BP1" s="3"/>
      <c r="BQ1" s="3"/>
      <c r="BR1" s="3"/>
      <c r="BS1" s="3"/>
      <c r="BT1" s="5"/>
      <c r="BU1" s="3"/>
      <c r="BV1" s="3"/>
      <c r="BW1" s="3"/>
      <c r="BX1" s="3"/>
      <c r="BY1" s="5"/>
      <c r="BZ1" s="3"/>
      <c r="CA1" s="3"/>
      <c r="CB1" s="3"/>
      <c r="CC1" s="3"/>
      <c r="CD1" s="5"/>
      <c r="CE1" s="3"/>
      <c r="CF1" s="3"/>
      <c r="CG1" s="3"/>
      <c r="CH1" s="3"/>
      <c r="CI1" s="5"/>
      <c r="CJ1" s="3"/>
      <c r="CK1" s="3"/>
      <c r="CL1" s="3"/>
      <c r="CM1" s="3"/>
      <c r="CN1" s="5"/>
      <c r="CO1" s="3"/>
      <c r="CP1" s="3"/>
      <c r="CQ1" s="3"/>
      <c r="CR1" s="3"/>
      <c r="CS1" s="5"/>
      <c r="CT1" s="3"/>
      <c r="CU1" s="3"/>
      <c r="CV1" s="3"/>
      <c r="CW1" s="3"/>
      <c r="CX1" s="5"/>
      <c r="CY1" s="3"/>
      <c r="CZ1" s="3"/>
      <c r="DA1" s="3"/>
      <c r="DB1" s="3"/>
      <c r="DC1" s="5"/>
      <c r="DD1" s="3"/>
      <c r="DE1" s="3"/>
      <c r="DF1" s="3"/>
      <c r="DG1" s="3"/>
      <c r="DH1" s="5"/>
      <c r="DI1" s="3"/>
      <c r="DJ1" s="3"/>
      <c r="DK1" s="3"/>
      <c r="DL1" s="3"/>
      <c r="DM1" s="5"/>
      <c r="DN1" s="3"/>
      <c r="DO1" s="3"/>
      <c r="DP1" s="3"/>
      <c r="DQ1" s="3"/>
      <c r="DR1" s="5"/>
      <c r="DS1" s="3"/>
      <c r="DT1" s="3"/>
      <c r="DU1" s="3"/>
      <c r="DV1" s="3"/>
      <c r="DW1" s="5"/>
      <c r="DX1" s="3"/>
      <c r="DY1" s="3"/>
      <c r="DZ1" s="3"/>
      <c r="EA1" s="3"/>
      <c r="EB1" s="5"/>
      <c r="EC1" s="3"/>
      <c r="ED1" s="3"/>
      <c r="EE1" s="3"/>
      <c r="EF1" s="3"/>
      <c r="EG1" s="5"/>
      <c r="EH1" s="3"/>
      <c r="EI1" s="3"/>
      <c r="EJ1" s="3"/>
      <c r="EK1" s="3"/>
      <c r="EL1" s="5"/>
      <c r="EM1" s="3"/>
      <c r="EN1" s="3"/>
      <c r="EO1" s="3"/>
      <c r="EP1" s="3"/>
      <c r="EQ1" s="5"/>
      <c r="ER1" s="3"/>
      <c r="ES1" s="3"/>
      <c r="ET1" s="3"/>
      <c r="EU1" s="3"/>
      <c r="EV1" s="5"/>
      <c r="EW1" s="3"/>
      <c r="EX1" s="3"/>
      <c r="EY1" s="3"/>
      <c r="EZ1" s="3"/>
      <c r="FA1" s="5"/>
      <c r="FB1" s="3"/>
      <c r="FC1" s="3"/>
      <c r="FD1" s="3"/>
      <c r="FE1" s="3"/>
      <c r="FF1" s="5"/>
      <c r="FG1" s="3"/>
      <c r="FH1" s="3"/>
      <c r="FI1" s="3"/>
      <c r="FJ1" s="3"/>
      <c r="FK1" s="5"/>
      <c r="FL1" s="3"/>
      <c r="FM1" s="3"/>
      <c r="FN1" s="3"/>
      <c r="FO1" s="3"/>
      <c r="FP1" s="5"/>
      <c r="FQ1" s="3"/>
      <c r="FR1" s="3"/>
      <c r="FS1" s="3"/>
      <c r="FT1" s="3"/>
      <c r="FU1" s="5"/>
      <c r="FV1" s="3"/>
      <c r="FW1" s="3"/>
      <c r="FX1" s="3"/>
      <c r="FY1" s="3"/>
      <c r="FZ1" s="5"/>
      <c r="GA1" s="3"/>
      <c r="GB1" s="3"/>
      <c r="GC1" s="3"/>
      <c r="GD1" s="3"/>
      <c r="GE1" s="5"/>
      <c r="GF1" s="3"/>
      <c r="GG1" s="3"/>
      <c r="GH1" s="3"/>
      <c r="GI1" s="3"/>
      <c r="GJ1" s="5"/>
      <c r="GK1" s="3"/>
      <c r="GL1" s="3"/>
      <c r="GM1" s="3"/>
      <c r="GN1" s="3"/>
      <c r="GO1" s="5"/>
      <c r="GP1" s="3"/>
      <c r="GQ1" s="3"/>
      <c r="GR1" s="3"/>
      <c r="GS1" s="3"/>
      <c r="GT1" s="5"/>
    </row>
    <row r="2" spans="1:202" ht="12.75" customHeight="1">
      <c r="A2" s="1"/>
      <c r="B2" s="8"/>
      <c r="C2" s="3"/>
      <c r="D2" s="3"/>
      <c r="E2" s="4"/>
      <c r="F2" s="3"/>
      <c r="G2" s="3"/>
      <c r="H2" s="3"/>
      <c r="I2" s="3"/>
      <c r="J2" s="3"/>
      <c r="K2" s="3"/>
      <c r="L2" s="3"/>
      <c r="M2" s="3"/>
      <c r="N2" s="3"/>
      <c r="O2" s="3"/>
      <c r="P2" s="3"/>
      <c r="Q2" s="3"/>
      <c r="R2" s="3"/>
      <c r="S2" s="3"/>
      <c r="T2" s="3"/>
      <c r="U2" s="3"/>
      <c r="V2" s="3"/>
      <c r="W2" s="3"/>
      <c r="X2" s="3"/>
      <c r="Y2" s="3"/>
      <c r="Z2" s="3"/>
      <c r="AA2" s="3"/>
      <c r="AB2" s="3"/>
      <c r="AC2" s="3"/>
      <c r="AD2" s="3"/>
      <c r="AE2" s="3"/>
      <c r="AF2" s="3"/>
      <c r="AG2" s="3"/>
      <c r="AH2" s="3"/>
      <c r="AI2" s="3"/>
      <c r="AJ2" s="3"/>
      <c r="AK2" s="3"/>
      <c r="AL2" s="3"/>
      <c r="AM2" s="3"/>
      <c r="AN2" s="3"/>
      <c r="AO2" s="3"/>
      <c r="AP2" s="3"/>
      <c r="AQ2" s="3"/>
      <c r="AR2" s="3"/>
      <c r="AS2" s="3"/>
      <c r="AT2" s="3"/>
      <c r="AU2" s="3"/>
      <c r="AV2" s="3"/>
      <c r="AW2" s="3"/>
      <c r="AX2" s="3"/>
      <c r="AY2" s="3"/>
      <c r="AZ2" s="3"/>
      <c r="BA2" s="3"/>
      <c r="BB2" s="3"/>
      <c r="BC2" s="3"/>
      <c r="BD2" s="3"/>
      <c r="BE2" s="3"/>
      <c r="BF2" s="3"/>
      <c r="BG2" s="3"/>
      <c r="BH2" s="3"/>
      <c r="BI2" s="3"/>
      <c r="BJ2" s="3"/>
      <c r="BK2" s="3"/>
      <c r="BL2" s="3"/>
      <c r="BM2" s="3"/>
      <c r="BN2" s="3"/>
      <c r="BO2" s="3"/>
      <c r="BP2" s="3"/>
      <c r="BQ2" s="3"/>
      <c r="BR2" s="3"/>
      <c r="BS2" s="3"/>
      <c r="BT2" s="3"/>
      <c r="BU2" s="3"/>
      <c r="BV2" s="3"/>
      <c r="BW2" s="3"/>
      <c r="BX2" s="3"/>
      <c r="BY2" s="3"/>
      <c r="BZ2" s="3"/>
      <c r="CA2" s="3"/>
      <c r="CB2" s="3"/>
      <c r="CC2" s="3"/>
      <c r="CD2" s="3"/>
      <c r="CE2" s="3"/>
      <c r="CF2" s="3"/>
      <c r="CG2" s="3"/>
      <c r="CH2" s="3"/>
      <c r="CI2" s="3"/>
      <c r="CJ2" s="3"/>
      <c r="CK2" s="3"/>
      <c r="CL2" s="3"/>
      <c r="CM2" s="3"/>
      <c r="CN2" s="3"/>
      <c r="CO2" s="3"/>
      <c r="CP2" s="3"/>
      <c r="CQ2" s="3"/>
      <c r="CR2" s="3"/>
      <c r="CS2" s="3"/>
      <c r="CT2" s="3"/>
      <c r="CU2" s="3"/>
      <c r="CV2" s="3"/>
      <c r="CW2" s="3"/>
      <c r="CX2" s="3"/>
      <c r="CY2" s="3"/>
      <c r="CZ2" s="3"/>
      <c r="DA2" s="3"/>
      <c r="DB2" s="3"/>
      <c r="DC2" s="3"/>
      <c r="DD2" s="3"/>
      <c r="DE2" s="3"/>
      <c r="DF2" s="3"/>
      <c r="DG2" s="3"/>
      <c r="DH2" s="3"/>
      <c r="DI2" s="3"/>
      <c r="DJ2" s="3"/>
      <c r="DK2" s="3"/>
      <c r="DL2" s="3"/>
      <c r="DM2" s="3"/>
      <c r="DN2" s="3"/>
      <c r="DO2" s="3"/>
      <c r="DP2" s="3"/>
      <c r="DQ2" s="3"/>
      <c r="DR2" s="3"/>
      <c r="DS2" s="3"/>
      <c r="DT2" s="3"/>
      <c r="DU2" s="3"/>
      <c r="DV2" s="3"/>
      <c r="DW2" s="3"/>
      <c r="DX2" s="3"/>
      <c r="DY2" s="3"/>
      <c r="DZ2" s="3"/>
      <c r="EA2" s="3"/>
      <c r="EB2" s="3"/>
      <c r="EC2" s="3"/>
      <c r="ED2" s="3"/>
      <c r="EE2" s="3"/>
      <c r="EF2" s="3"/>
      <c r="EG2" s="3"/>
      <c r="EH2" s="3"/>
      <c r="EI2" s="3"/>
      <c r="EJ2" s="3"/>
      <c r="EK2" s="3"/>
      <c r="EL2" s="3"/>
      <c r="EM2" s="3"/>
      <c r="EN2" s="3"/>
      <c r="EO2" s="3"/>
      <c r="EP2" s="3"/>
      <c r="EQ2" s="3"/>
      <c r="ER2" s="3"/>
      <c r="ES2" s="3"/>
      <c r="ET2" s="3"/>
      <c r="EU2" s="3"/>
      <c r="EV2" s="3"/>
      <c r="EW2" s="3"/>
      <c r="EX2" s="3"/>
      <c r="EY2" s="3"/>
      <c r="EZ2" s="3"/>
      <c r="FA2" s="3"/>
      <c r="FB2" s="3"/>
      <c r="FC2" s="3"/>
      <c r="FD2" s="3"/>
      <c r="FE2" s="3"/>
      <c r="FF2" s="3"/>
      <c r="FG2" s="3"/>
      <c r="FH2" s="3"/>
      <c r="FI2" s="3"/>
      <c r="FJ2" s="3"/>
      <c r="FK2" s="3"/>
      <c r="FL2" s="3"/>
      <c r="FM2" s="3"/>
      <c r="FN2" s="3"/>
      <c r="FO2" s="3"/>
      <c r="FP2" s="3"/>
      <c r="FQ2" s="3"/>
      <c r="FR2" s="3"/>
      <c r="FS2" s="3"/>
      <c r="FT2" s="3"/>
      <c r="FU2" s="3"/>
      <c r="FV2" s="3"/>
      <c r="FW2" s="3"/>
      <c r="FX2" s="3"/>
      <c r="FY2" s="3"/>
      <c r="FZ2" s="3"/>
      <c r="GA2" s="3"/>
      <c r="GB2" s="3"/>
      <c r="GC2" s="3"/>
      <c r="GD2" s="3"/>
      <c r="GE2" s="3"/>
      <c r="GF2" s="3"/>
      <c r="GG2" s="3"/>
      <c r="GH2" s="3"/>
      <c r="GI2" s="3"/>
      <c r="GJ2" s="3"/>
      <c r="GK2" s="3"/>
      <c r="GL2" s="3"/>
      <c r="GM2" s="3"/>
      <c r="GN2" s="3"/>
      <c r="GO2" s="3"/>
      <c r="GP2" s="3"/>
      <c r="GQ2" s="3"/>
      <c r="GR2" s="3"/>
      <c r="GS2" s="3"/>
      <c r="GT2" s="3"/>
    </row>
    <row r="3" spans="1:202" ht="12.75" customHeight="1">
      <c r="A3" s="1"/>
      <c r="B3" s="1"/>
      <c r="C3" s="10" t="str">
        <f>IF(G13="Estimate", TEXT(G11, "yyyy") &amp; " (E)", TEXT(G11, "yyyy") &amp; " (A)")</f>
      </c>
      <c r="D3" s="9"/>
      <c r="E3" s="9"/>
      <c r="F3" s="9"/>
      <c r="G3" s="38"/>
      <c r="H3" s="10" t="str">
        <f>IF(L13="Estimate", TEXT(L11, "yyyy") &amp; " (E)", TEXT(L11, "yyyy") &amp; " (A)")</f>
      </c>
      <c r="I3" s="9"/>
      <c r="J3" s="9"/>
      <c r="K3" s="9"/>
      <c r="L3" s="38"/>
      <c r="M3" s="10" t="str">
        <f>IF(Q13="Estimate", TEXT(Q11, "yyyy") &amp; " (E)", TEXT(Q11, "yyyy") &amp; " (A)")</f>
      </c>
      <c r="N3" s="9"/>
      <c r="O3" s="9"/>
      <c r="P3" s="9"/>
      <c r="Q3" s="38"/>
      <c r="R3" s="10" t="str">
        <f>IF(V13="Estimate", TEXT(V11, "yyyy") &amp; " (E)", TEXT(V11, "yyyy") &amp; " (A)")</f>
      </c>
      <c r="S3" s="9"/>
      <c r="T3" s="9"/>
      <c r="U3" s="9"/>
      <c r="V3" s="38"/>
      <c r="W3" s="10" t="str">
        <f>IF(AA13="Estimate", TEXT(AA11, "yyyy") &amp; " (E)", TEXT(AA11, "yyyy") &amp; " (A)")</f>
      </c>
      <c r="X3" s="9"/>
      <c r="Y3" s="9"/>
      <c r="Z3" s="9"/>
      <c r="AA3" s="38"/>
      <c r="AB3" s="10" t="str">
        <f>IF(AF13="Estimate", TEXT(AF11, "yyyy") &amp; " (E)", TEXT(AF11, "yyyy") &amp; " (A)")</f>
      </c>
      <c r="AC3" s="9"/>
      <c r="AD3" s="9"/>
      <c r="AE3" s="9"/>
      <c r="AF3" s="38"/>
      <c r="AG3" s="10" t="str">
        <f>IF(AK13="Estimate", TEXT(AK11, "yyyy") &amp; " (E)", TEXT(AK11, "yyyy") &amp; " (A)")</f>
      </c>
      <c r="AH3" s="9"/>
      <c r="AI3" s="9"/>
      <c r="AJ3" s="9"/>
      <c r="AK3" s="38"/>
      <c r="AL3" s="10" t="str">
        <f>IF(AP13="Estimate", TEXT(AP11, "yyyy") &amp; " (E)", TEXT(AP11, "yyyy") &amp; " (A)")</f>
      </c>
      <c r="AM3" s="9"/>
      <c r="AN3" s="9"/>
      <c r="AO3" s="9"/>
      <c r="AP3" s="38"/>
      <c r="AQ3" s="10" t="str">
        <f>IF(AU13="Estimate", TEXT(AU11, "yyyy") &amp; " (E)", TEXT(AU11, "yyyy") &amp; " (A)")</f>
      </c>
      <c r="AR3" s="9"/>
      <c r="AS3" s="9"/>
      <c r="AT3" s="9"/>
      <c r="AU3" s="38"/>
      <c r="AV3" s="10" t="str">
        <f>IF(AZ13="Estimate", TEXT(AZ11, "yyyy") &amp; " (E)", TEXT(AZ11, "yyyy") &amp; " (A)")</f>
      </c>
      <c r="AW3" s="9"/>
      <c r="AX3" s="9"/>
      <c r="AY3" s="9"/>
      <c r="AZ3" s="38"/>
      <c r="BA3" s="10" t="str">
        <f>IF(BE13="Estimate", TEXT(BE11, "yyyy") &amp; " (E)", TEXT(BE11, "yyyy") &amp; " (A)")</f>
      </c>
      <c r="BB3" s="9"/>
      <c r="BC3" s="9"/>
      <c r="BD3" s="9"/>
      <c r="BE3" s="38"/>
      <c r="BF3" s="10" t="str">
        <f>IF(BJ13="Estimate", TEXT(BJ11, "yyyy") &amp; " (E)", TEXT(BJ11, "yyyy") &amp; " (A)")</f>
      </c>
      <c r="BG3" s="9"/>
      <c r="BH3" s="9"/>
      <c r="BI3" s="9"/>
      <c r="BJ3" s="38"/>
      <c r="BK3" s="10" t="str">
        <f>IF(BO13="Estimate", TEXT(BO11, "yyyy") &amp; " (E)", TEXT(BO11, "yyyy") &amp; " (A)")</f>
      </c>
      <c r="BL3" s="9"/>
      <c r="BM3" s="9"/>
      <c r="BN3" s="9"/>
      <c r="BO3" s="38"/>
      <c r="BP3" s="10" t="str">
        <f>IF(BT13="Estimate", TEXT(BT11, "yyyy") &amp; " (E)", TEXT(BT11, "yyyy") &amp; " (A)")</f>
      </c>
      <c r="BQ3" s="9"/>
      <c r="BR3" s="9"/>
      <c r="BS3" s="9"/>
      <c r="BT3" s="38"/>
      <c r="BU3" s="10" t="str">
        <f>IF(BY13="Estimate", TEXT(BY11, "yyyy") &amp; " (E)", TEXT(BY11, "yyyy") &amp; " (A)")</f>
      </c>
      <c r="BV3" s="9"/>
      <c r="BW3" s="9"/>
      <c r="BX3" s="9"/>
      <c r="BY3" s="38"/>
      <c r="BZ3" s="10" t="str">
        <f>IF(CD13="Estimate", TEXT(CD11, "yyyy") &amp; " (E)", TEXT(CD11, "yyyy") &amp; " (A)")</f>
      </c>
      <c r="CA3" s="9"/>
      <c r="CB3" s="9"/>
      <c r="CC3" s="9"/>
      <c r="CD3" s="38"/>
      <c r="CE3" s="10" t="str">
        <f>IF(CI13="Estimate", TEXT(CI11, "yyyy") &amp; " (E)", TEXT(CI11, "yyyy") &amp; " (A)")</f>
      </c>
      <c r="CF3" s="9"/>
      <c r="CG3" s="9"/>
      <c r="CH3" s="9"/>
      <c r="CI3" s="38"/>
      <c r="CJ3" s="10" t="str">
        <f>IF(CN13="Estimate", TEXT(CN11, "yyyy") &amp; " (E)", TEXT(CN11, "yyyy") &amp; " (A)")</f>
      </c>
      <c r="CK3" s="9"/>
      <c r="CL3" s="9"/>
      <c r="CM3" s="9"/>
      <c r="CN3" s="38"/>
      <c r="CO3" s="10" t="str">
        <f>IF(CS13="Estimate", TEXT(CS11, "yyyy") &amp; " (E)", TEXT(CS11, "yyyy") &amp; " (A)")</f>
      </c>
      <c r="CP3" s="9"/>
      <c r="CQ3" s="9"/>
      <c r="CR3" s="9"/>
      <c r="CS3" s="38"/>
      <c r="CT3" s="10" t="str">
        <f>IF(CX13="Estimate", TEXT(CX11, "yyyy") &amp; " (E)", TEXT(CX11, "yyyy") &amp; " (A)")</f>
      </c>
      <c r="CU3" s="9"/>
      <c r="CV3" s="9"/>
      <c r="CW3" s="9"/>
      <c r="CX3" s="38"/>
      <c r="CY3" s="10" t="str">
        <f>IF(DC13="Estimate", TEXT(DC11, "yyyy") &amp; " (E)", TEXT(DC11, "yyyy") &amp; " (A)")</f>
      </c>
      <c r="CZ3" s="9"/>
      <c r="DA3" s="9"/>
      <c r="DB3" s="9"/>
      <c r="DC3" s="38"/>
      <c r="DD3" s="10" t="str">
        <f>IF(DH13="Estimate", TEXT(DH11, "yyyy") &amp; " (E)", TEXT(DH11, "yyyy") &amp; " (A)")</f>
      </c>
      <c r="DE3" s="9"/>
      <c r="DF3" s="9"/>
      <c r="DG3" s="9"/>
      <c r="DH3" s="38"/>
      <c r="DI3" s="10" t="str">
        <f>IF(DM13="Estimate", TEXT(DM11, "yyyy") &amp; " (E)", TEXT(DM11, "yyyy") &amp; " (A)")</f>
      </c>
      <c r="DJ3" s="9"/>
      <c r="DK3" s="9"/>
      <c r="DL3" s="9"/>
      <c r="DM3" s="38"/>
      <c r="DN3" s="10" t="str">
        <f>IF(DR13="Estimate", TEXT(DR11, "yyyy") &amp; " (E)", TEXT(DR11, "yyyy") &amp; " (A)")</f>
      </c>
      <c r="DO3" s="9"/>
      <c r="DP3" s="9"/>
      <c r="DQ3" s="9"/>
      <c r="DR3" s="38"/>
      <c r="DS3" s="10" t="str">
        <f>IF(DW13="Estimate", TEXT(DW11, "yyyy") &amp; " (E)", TEXT(DW11, "yyyy") &amp; " (A)")</f>
      </c>
      <c r="DT3" s="9"/>
      <c r="DU3" s="9"/>
      <c r="DV3" s="9"/>
      <c r="DW3" s="38"/>
      <c r="DX3" s="10" t="str">
        <f>IF(EB13="Estimate", TEXT(EB11, "yyyy") &amp; " (E)", TEXT(EB11, "yyyy") &amp; " (A)")</f>
      </c>
      <c r="DY3" s="9"/>
      <c r="DZ3" s="9"/>
      <c r="EA3" s="9"/>
      <c r="EB3" s="38"/>
      <c r="EC3" s="10" t="str">
        <f>IF(EG13="Estimate", TEXT(EG11, "yyyy") &amp; " (E)", TEXT(EG11, "yyyy") &amp; " (A)")</f>
      </c>
      <c r="ED3" s="9"/>
      <c r="EE3" s="9"/>
      <c r="EF3" s="9"/>
      <c r="EG3" s="38"/>
      <c r="EH3" s="10" t="str">
        <f>IF(EL13="Estimate", TEXT(EL11, "yyyy") &amp; " (E)", TEXT(EL11, "yyyy") &amp; " (A)")</f>
      </c>
      <c r="EI3" s="9"/>
      <c r="EJ3" s="9"/>
      <c r="EK3" s="9"/>
      <c r="EL3" s="38"/>
      <c r="EM3" s="10" t="str">
        <f>IF(EQ13="Estimate", TEXT(EQ11, "yyyy") &amp; " (E)", TEXT(EQ11, "yyyy") &amp; " (A)")</f>
      </c>
      <c r="EN3" s="9"/>
      <c r="EO3" s="9"/>
      <c r="EP3" s="9"/>
      <c r="EQ3" s="38"/>
      <c r="ER3" s="10" t="str">
        <f>IF(EV13="Estimate", TEXT(EV11, "yyyy") &amp; " (E)", TEXT(EV11, "yyyy") &amp; " (A)")</f>
      </c>
      <c r="ES3" s="9"/>
      <c r="ET3" s="9"/>
      <c r="EU3" s="9"/>
      <c r="EV3" s="38"/>
      <c r="EW3" s="10" t="str">
        <f>IF(FA13="Estimate", TEXT(FA11, "yyyy") &amp; " (E)", TEXT(FA11, "yyyy") &amp; " (A)")</f>
      </c>
      <c r="EX3" s="9"/>
      <c r="EY3" s="9"/>
      <c r="EZ3" s="9"/>
      <c r="FA3" s="38"/>
      <c r="FB3" s="10" t="str">
        <f>IF(FF13="Estimate", TEXT(FF11, "yyyy") &amp; " (E)", TEXT(FF11, "yyyy") &amp; " (A)")</f>
      </c>
      <c r="FC3" s="9"/>
      <c r="FD3" s="9"/>
      <c r="FE3" s="9"/>
      <c r="FF3" s="38"/>
      <c r="FG3" s="10" t="str">
        <f>IF(FK13="Estimate", TEXT(FK11, "yyyy") &amp; " (E)", TEXT(FK11, "yyyy") &amp; " (A)")</f>
      </c>
      <c r="FH3" s="9"/>
      <c r="FI3" s="9"/>
      <c r="FJ3" s="9"/>
      <c r="FK3" s="38"/>
      <c r="FL3" s="10" t="str">
        <f>IF(FP13="Estimate", TEXT(FP11, "yyyy") &amp; " (E)", TEXT(FP11, "yyyy") &amp; " (A)")</f>
      </c>
      <c r="FM3" s="9"/>
      <c r="FN3" s="9"/>
      <c r="FO3" s="9"/>
      <c r="FP3" s="38"/>
      <c r="FQ3" s="10" t="str">
        <f>IF(FU13="Estimate", TEXT(FU11, "yyyy") &amp; " (E)", TEXT(FU11, "yyyy") &amp; " (A)")</f>
      </c>
      <c r="FR3" s="9"/>
      <c r="FS3" s="9"/>
      <c r="FT3" s="9"/>
      <c r="FU3" s="38"/>
      <c r="FV3" s="10" t="str">
        <f>IF(FZ13="Estimate", TEXT(FZ11, "yyyy") &amp; " (E)", TEXT(FZ11, "yyyy") &amp; " (A)")</f>
      </c>
      <c r="FW3" s="9"/>
      <c r="FX3" s="9"/>
      <c r="FY3" s="9"/>
      <c r="FZ3" s="38"/>
      <c r="GA3" s="10" t="str">
        <f>IF(GE13="Estimate", TEXT(GE11, "yyyy") &amp; " (E)", TEXT(GE11, "yyyy") &amp; " (A)")</f>
      </c>
      <c r="GB3" s="9"/>
      <c r="GC3" s="9"/>
      <c r="GD3" s="9"/>
      <c r="GE3" s="38"/>
      <c r="GF3" s="10" t="str">
        <f>IF(GJ13="Estimate", TEXT(GJ11, "yyyy") &amp; " (E)", TEXT(GJ11, "yyyy") &amp; " (A)")</f>
      </c>
      <c r="GG3" s="9"/>
      <c r="GH3" s="9"/>
      <c r="GI3" s="9"/>
      <c r="GJ3" s="38"/>
      <c r="GK3" s="10" t="str">
        <f>IF(GO13="Estimate", TEXT(GO11, "yyyy") &amp; " (E)", TEXT(GO11, "yyyy") &amp; " (A)")</f>
      </c>
      <c r="GL3" s="9"/>
      <c r="GM3" s="9"/>
      <c r="GN3" s="9"/>
      <c r="GO3" s="38"/>
      <c r="GP3" s="10" t="str">
        <f>IF(GT13="Estimate", TEXT(GT11, "yyyy") &amp; " (E)", TEXT(GT11, "yyyy") &amp; " (A)")</f>
      </c>
      <c r="GQ3" s="9"/>
      <c r="GR3" s="9"/>
      <c r="GS3" s="9"/>
      <c r="GT3" s="38"/>
    </row>
    <row r="4" spans="1:202" ht="12.75" customHeight="1">
      <c r="A4" s="1"/>
      <c r="B4" s="1"/>
      <c r="C4" s="11" t="str">
        <f>IF(C13="Estimate", C12 &amp; TEXT(G11, "yy") &amp; " (E)", C12 &amp; TEXT(G11, "yy") &amp; " (A)")</f>
      </c>
      <c r="D4" s="11" t="str">
        <f>IF(D13="Estimate", D12 &amp; TEXT(G11, "yy") &amp; " (E)", D12 &amp; TEXT(G11, "yy") &amp; " (A)")</f>
      </c>
      <c r="E4" s="11" t="str">
        <f>IF(E13="Estimate", E12 &amp; TEXT(G11, "yy") &amp; " (E)", E12 &amp; TEXT(G11, "yy") &amp; " (A)")</f>
      </c>
      <c r="F4" s="11" t="str">
        <f>IF(F13="Estimate", F12 &amp; TEXT(G11, "yy") &amp; " (E)", F12 &amp; TEXT(G11, "yy") &amp; " (A)")</f>
      </c>
      <c r="G4" s="12" t="str">
        <f>IF(G13="Estimate", G12 &amp; TEXT(G11, "yy") &amp; " (E)", G12 &amp; TEXT(G11, "yy") &amp; " (A)")</f>
      </c>
      <c r="H4" s="11" t="str">
        <f>IF(H13="Estimate", H12 &amp; TEXT(L11, "yy") &amp; " (E)", H12 &amp; TEXT(L11, "yy") &amp; " (A)")</f>
      </c>
      <c r="I4" s="11" t="str">
        <f>IF(I13="Estimate", I12 &amp; TEXT(L11, "yy") &amp; " (E)", I12 &amp; TEXT(L11, "yy") &amp; " (A)")</f>
      </c>
      <c r="J4" s="11" t="str">
        <f>IF(J13="Estimate", J12 &amp; TEXT(L11, "yy") &amp; " (E)", J12 &amp; TEXT(L11, "yy") &amp; " (A)")</f>
      </c>
      <c r="K4" s="11" t="str">
        <f>IF(K13="Estimate", K12 &amp; TEXT(L11, "yy") &amp; " (E)", K12 &amp; TEXT(L11, "yy") &amp; " (A)")</f>
      </c>
      <c r="L4" s="12" t="str">
        <f>IF(L13="Estimate", L12 &amp; TEXT(L11, "yy") &amp; " (E)", L12 &amp; TEXT(L11, "yy") &amp; " (A)")</f>
      </c>
      <c r="M4" s="11" t="str">
        <f>IF(M13="Estimate", M12 &amp; TEXT(Q11, "yy") &amp; " (E)", M12 &amp; TEXT(Q11, "yy") &amp; " (A)")</f>
      </c>
      <c r="N4" s="11" t="str">
        <f>IF(N13="Estimate", N12 &amp; TEXT(Q11, "yy") &amp; " (E)", N12 &amp; TEXT(Q11, "yy") &amp; " (A)")</f>
      </c>
      <c r="O4" s="11" t="str">
        <f>IF(O13="Estimate", O12 &amp; TEXT(Q11, "yy") &amp; " (E)", O12 &amp; TEXT(Q11, "yy") &amp; " (A)")</f>
      </c>
      <c r="P4" s="11" t="str">
        <f>IF(P13="Estimate", P12 &amp; TEXT(Q11, "yy") &amp; " (E)", P12 &amp; TEXT(Q11, "yy") &amp; " (A)")</f>
      </c>
      <c r="Q4" s="12" t="str">
        <f>IF(Q13="Estimate", Q12 &amp; TEXT(Q11, "yy") &amp; " (E)", Q12 &amp; TEXT(Q11, "yy") &amp; " (A)")</f>
      </c>
      <c r="R4" s="11" t="str">
        <f>IF(R13="Estimate", R12 &amp; TEXT(V11, "yy") &amp; " (E)", R12 &amp; TEXT(V11, "yy") &amp; " (A)")</f>
      </c>
      <c r="S4" s="11" t="str">
        <f>IF(S13="Estimate", S12 &amp; TEXT(V11, "yy") &amp; " (E)", S12 &amp; TEXT(V11, "yy") &amp; " (A)")</f>
      </c>
      <c r="T4" s="11" t="str">
        <f>IF(T13="Estimate", T12 &amp; TEXT(V11, "yy") &amp; " (E)", T12 &amp; TEXT(V11, "yy") &amp; " (A)")</f>
      </c>
      <c r="U4" s="11" t="str">
        <f>IF(U13="Estimate", U12 &amp; TEXT(V11, "yy") &amp; " (E)", U12 &amp; TEXT(V11, "yy") &amp; " (A)")</f>
      </c>
      <c r="V4" s="12" t="str">
        <f>IF(V13="Estimate", V12 &amp; TEXT(V11, "yy") &amp; " (E)", V12 &amp; TEXT(V11, "yy") &amp; " (A)")</f>
      </c>
      <c r="W4" s="11" t="str">
        <f>IF(W13="Estimate", W12 &amp; TEXT(AA11, "yy") &amp; " (E)", W12 &amp; TEXT(AA11, "yy") &amp; " (A)")</f>
      </c>
      <c r="X4" s="11" t="str">
        <f>IF(X13="Estimate", X12 &amp; TEXT(AA11, "yy") &amp; " (E)", X12 &amp; TEXT(AA11, "yy") &amp; " (A)")</f>
      </c>
      <c r="Y4" s="11" t="str">
        <f>IF(Y13="Estimate", Y12 &amp; TEXT(AA11, "yy") &amp; " (E)", Y12 &amp; TEXT(AA11, "yy") &amp; " (A)")</f>
      </c>
      <c r="Z4" s="11" t="str">
        <f>IF(Z13="Estimate", Z12 &amp; TEXT(AA11, "yy") &amp; " (E)", Z12 &amp; TEXT(AA11, "yy") &amp; " (A)")</f>
      </c>
      <c r="AA4" s="12" t="str">
        <f>IF(AA13="Estimate", AA12 &amp; TEXT(AA11, "yy") &amp; " (E)", AA12 &amp; TEXT(AA11, "yy") &amp; " (A)")</f>
      </c>
      <c r="AB4" s="11" t="str">
        <f>IF(AB13="Estimate", AB12 &amp; TEXT(AF11, "yy") &amp; " (E)", AB12 &amp; TEXT(AF11, "yy") &amp; " (A)")</f>
      </c>
      <c r="AC4" s="11" t="str">
        <f>IF(AC13="Estimate", AC12 &amp; TEXT(AF11, "yy") &amp; " (E)", AC12 &amp; TEXT(AF11, "yy") &amp; " (A)")</f>
      </c>
      <c r="AD4" s="11" t="str">
        <f>IF(AD13="Estimate", AD12 &amp; TEXT(AF11, "yy") &amp; " (E)", AD12 &amp; TEXT(AF11, "yy") &amp; " (A)")</f>
      </c>
      <c r="AE4" s="11" t="str">
        <f>IF(AE13="Estimate", AE12 &amp; TEXT(AF11, "yy") &amp; " (E)", AE12 &amp; TEXT(AF11, "yy") &amp; " (A)")</f>
      </c>
      <c r="AF4" s="12" t="str">
        <f>IF(AF13="Estimate", AF12 &amp; TEXT(AF11, "yy") &amp; " (E)", AF12 &amp; TEXT(AF11, "yy") &amp; " (A)")</f>
      </c>
      <c r="AG4" s="11" t="str">
        <f>IF(AG13="Estimate", AG12 &amp; TEXT(AK11, "yy") &amp; " (E)", AG12 &amp; TEXT(AK11, "yy") &amp; " (A)")</f>
      </c>
      <c r="AH4" s="11" t="str">
        <f>IF(AH13="Estimate", AH12 &amp; TEXT(AK11, "yy") &amp; " (E)", AH12 &amp; TEXT(AK11, "yy") &amp; " (A)")</f>
      </c>
      <c r="AI4" s="11" t="str">
        <f>IF(AI13="Estimate", AI12 &amp; TEXT(AK11, "yy") &amp; " (E)", AI12 &amp; TEXT(AK11, "yy") &amp; " (A)")</f>
      </c>
      <c r="AJ4" s="11" t="str">
        <f>IF(AJ13="Estimate", AJ12 &amp; TEXT(AK11, "yy") &amp; " (E)", AJ12 &amp; TEXT(AK11, "yy") &amp; " (A)")</f>
      </c>
      <c r="AK4" s="12" t="str">
        <f>IF(AK13="Estimate", AK12 &amp; TEXT(AK11, "yy") &amp; " (E)", AK12 &amp; TEXT(AK11, "yy") &amp; " (A)")</f>
      </c>
      <c r="AL4" s="11" t="str">
        <f>IF(AL13="Estimate", AL12 &amp; TEXT(AP11, "yy") &amp; " (E)", AL12 &amp; TEXT(AP11, "yy") &amp; " (A)")</f>
      </c>
      <c r="AM4" s="11" t="str">
        <f>IF(AM13="Estimate", AM12 &amp; TEXT(AP11, "yy") &amp; " (E)", AM12 &amp; TEXT(AP11, "yy") &amp; " (A)")</f>
      </c>
      <c r="AN4" s="11" t="str">
        <f>IF(AN13="Estimate", AN12 &amp; TEXT(AP11, "yy") &amp; " (E)", AN12 &amp; TEXT(AP11, "yy") &amp; " (A)")</f>
      </c>
      <c r="AO4" s="11" t="str">
        <f>IF(AO13="Estimate", AO12 &amp; TEXT(AP11, "yy") &amp; " (E)", AO12 &amp; TEXT(AP11, "yy") &amp; " (A)")</f>
      </c>
      <c r="AP4" s="12" t="str">
        <f>IF(AP13="Estimate", AP12 &amp; TEXT(AP11, "yy") &amp; " (E)", AP12 &amp; TEXT(AP11, "yy") &amp; " (A)")</f>
      </c>
      <c r="AQ4" s="11" t="str">
        <f>IF(AQ13="Estimate", AQ12 &amp; TEXT(AU11, "yy") &amp; " (E)", AQ12 &amp; TEXT(AU11, "yy") &amp; " (A)")</f>
      </c>
      <c r="AR4" s="11" t="str">
        <f>IF(AR13="Estimate", AR12 &amp; TEXT(AU11, "yy") &amp; " (E)", AR12 &amp; TEXT(AU11, "yy") &amp; " (A)")</f>
      </c>
      <c r="AS4" s="11" t="str">
        <f>IF(AS13="Estimate", AS12 &amp; TEXT(AU11, "yy") &amp; " (E)", AS12 &amp; TEXT(AU11, "yy") &amp; " (A)")</f>
      </c>
      <c r="AT4" s="11" t="str">
        <f>IF(AT13="Estimate", AT12 &amp; TEXT(AU11, "yy") &amp; " (E)", AT12 &amp; TEXT(AU11, "yy") &amp; " (A)")</f>
      </c>
      <c r="AU4" s="12" t="str">
        <f>IF(AU13="Estimate", AU12 &amp; TEXT(AU11, "yy") &amp; " (E)", AU12 &amp; TEXT(AU11, "yy") &amp; " (A)")</f>
      </c>
      <c r="AV4" s="11" t="str">
        <f>IF(AV13="Estimate", AV12 &amp; TEXT(AZ11, "yy") &amp; " (E)", AV12 &amp; TEXT(AZ11, "yy") &amp; " (A)")</f>
      </c>
      <c r="AW4" s="11" t="str">
        <f>IF(AW13="Estimate", AW12 &amp; TEXT(AZ11, "yy") &amp; " (E)", AW12 &amp; TEXT(AZ11, "yy") &amp; " (A)")</f>
      </c>
      <c r="AX4" s="11" t="str">
        <f>IF(AX13="Estimate", AX12 &amp; TEXT(AZ11, "yy") &amp; " (E)", AX12 &amp; TEXT(AZ11, "yy") &amp; " (A)")</f>
      </c>
      <c r="AY4" s="11" t="str">
        <f>IF(AY13="Estimate", AY12 &amp; TEXT(AZ11, "yy") &amp; " (E)", AY12 &amp; TEXT(AZ11, "yy") &amp; " (A)")</f>
      </c>
      <c r="AZ4" s="12" t="str">
        <f>IF(AZ13="Estimate", AZ12 &amp; TEXT(AZ11, "yy") &amp; " (E)", AZ12 &amp; TEXT(AZ11, "yy") &amp; " (A)")</f>
      </c>
      <c r="BA4" s="11" t="str">
        <f>IF(BA13="Estimate", BA12 &amp; TEXT(BE11, "yy") &amp; " (E)", BA12 &amp; TEXT(BE11, "yy") &amp; " (A)")</f>
      </c>
      <c r="BB4" s="11" t="str">
        <f>IF(BB13="Estimate", BB12 &amp; TEXT(BE11, "yy") &amp; " (E)", BB12 &amp; TEXT(BE11, "yy") &amp; " (A)")</f>
      </c>
      <c r="BC4" s="11" t="str">
        <f>IF(BC13="Estimate", BC12 &amp; TEXT(BE11, "yy") &amp; " (E)", BC12 &amp; TEXT(BE11, "yy") &amp; " (A)")</f>
      </c>
      <c r="BD4" s="11" t="str">
        <f>IF(BD13="Estimate", BD12 &amp; TEXT(BE11, "yy") &amp; " (E)", BD12 &amp; TEXT(BE11, "yy") &amp; " (A)")</f>
      </c>
      <c r="BE4" s="12" t="str">
        <f>IF(BE13="Estimate", BE12 &amp; TEXT(BE11, "yy") &amp; " (E)", BE12 &amp; TEXT(BE11, "yy") &amp; " (A)")</f>
      </c>
      <c r="BF4" s="11" t="str">
        <f>IF(BF13="Estimate", BF12 &amp; TEXT(BJ11, "yy") &amp; " (E)", BF12 &amp; TEXT(BJ11, "yy") &amp; " (A)")</f>
      </c>
      <c r="BG4" s="11" t="str">
        <f>IF(BG13="Estimate", BG12 &amp; TEXT(BJ11, "yy") &amp; " (E)", BG12 &amp; TEXT(BJ11, "yy") &amp; " (A)")</f>
      </c>
      <c r="BH4" s="11" t="str">
        <f>IF(BH13="Estimate", BH12 &amp; TEXT(BJ11, "yy") &amp; " (E)", BH12 &amp; TEXT(BJ11, "yy") &amp; " (A)")</f>
      </c>
      <c r="BI4" s="11" t="str">
        <f>IF(BI13="Estimate", BI12 &amp; TEXT(BJ11, "yy") &amp; " (E)", BI12 &amp; TEXT(BJ11, "yy") &amp; " (A)")</f>
      </c>
      <c r="BJ4" s="12" t="str">
        <f>IF(BJ13="Estimate", BJ12 &amp; TEXT(BJ11, "yy") &amp; " (E)", BJ12 &amp; TEXT(BJ11, "yy") &amp; " (A)")</f>
      </c>
      <c r="BK4" s="11" t="str">
        <f>IF(BK13="Estimate", BK12 &amp; TEXT(BO11, "yy") &amp; " (E)", BK12 &amp; TEXT(BO11, "yy") &amp; " (A)")</f>
      </c>
      <c r="BL4" s="11" t="str">
        <f>IF(BL13="Estimate", BL12 &amp; TEXT(BO11, "yy") &amp; " (E)", BL12 &amp; TEXT(BO11, "yy") &amp; " (A)")</f>
      </c>
      <c r="BM4" s="11" t="str">
        <f>IF(BM13="Estimate", BM12 &amp; TEXT(BO11, "yy") &amp; " (E)", BM12 &amp; TEXT(BO11, "yy") &amp; " (A)")</f>
      </c>
      <c r="BN4" s="11" t="str">
        <f>IF(BN13="Estimate", BN12 &amp; TEXT(BO11, "yy") &amp; " (E)", BN12 &amp; TEXT(BO11, "yy") &amp; " (A)")</f>
      </c>
      <c r="BO4" s="12" t="str">
        <f>IF(BO13="Estimate", BO12 &amp; TEXT(BO11, "yy") &amp; " (E)", BO12 &amp; TEXT(BO11, "yy") &amp; " (A)")</f>
      </c>
      <c r="BP4" s="11" t="str">
        <f>IF(BP13="Estimate", BP12 &amp; TEXT(BT11, "yy") &amp; " (E)", BP12 &amp; TEXT(BT11, "yy") &amp; " (A)")</f>
      </c>
      <c r="BQ4" s="11" t="str">
        <f>IF(BQ13="Estimate", BQ12 &amp; TEXT(BT11, "yy") &amp; " (E)", BQ12 &amp; TEXT(BT11, "yy") &amp; " (A)")</f>
      </c>
      <c r="BR4" s="11" t="str">
        <f>IF(BR13="Estimate", BR12 &amp; TEXT(BT11, "yy") &amp; " (E)", BR12 &amp; TEXT(BT11, "yy") &amp; " (A)")</f>
      </c>
      <c r="BS4" s="11" t="str">
        <f>IF(BS13="Estimate", BS12 &amp; TEXT(BT11, "yy") &amp; " (E)", BS12 &amp; TEXT(BT11, "yy") &amp; " (A)")</f>
      </c>
      <c r="BT4" s="12" t="str">
        <f>IF(BT13="Estimate", BT12 &amp; TEXT(BT11, "yy") &amp; " (E)", BT12 &amp; TEXT(BT11, "yy") &amp; " (A)")</f>
      </c>
      <c r="BU4" s="11" t="str">
        <f>IF(BU13="Estimate", BU12 &amp; TEXT(BY11, "yy") &amp; " (E)", BU12 &amp; TEXT(BY11, "yy") &amp; " (A)")</f>
      </c>
      <c r="BV4" s="11" t="str">
        <f>IF(BV13="Estimate", BV12 &amp; TEXT(BY11, "yy") &amp; " (E)", BV12 &amp; TEXT(BY11, "yy") &amp; " (A)")</f>
      </c>
      <c r="BW4" s="11" t="str">
        <f>IF(BW13="Estimate", BW12 &amp; TEXT(BY11, "yy") &amp; " (E)", BW12 &amp; TEXT(BY11, "yy") &amp; " (A)")</f>
      </c>
      <c r="BX4" s="11" t="str">
        <f>IF(BX13="Estimate", BX12 &amp; TEXT(BY11, "yy") &amp; " (E)", BX12 &amp; TEXT(BY11, "yy") &amp; " (A)")</f>
      </c>
      <c r="BY4" s="12" t="str">
        <f>IF(BY13="Estimate", BY12 &amp; TEXT(BY11, "yy") &amp; " (E)", BY12 &amp; TEXT(BY11, "yy") &amp; " (A)")</f>
      </c>
      <c r="BZ4" s="11" t="str">
        <f>IF(BZ13="Estimate", BZ12 &amp; TEXT(CD11, "yy") &amp; " (E)", BZ12 &amp; TEXT(CD11, "yy") &amp; " (A)")</f>
      </c>
      <c r="CA4" s="11" t="str">
        <f>IF(CA13="Estimate", CA12 &amp; TEXT(CD11, "yy") &amp; " (E)", CA12 &amp; TEXT(CD11, "yy") &amp; " (A)")</f>
      </c>
      <c r="CB4" s="11" t="str">
        <f>IF(CB13="Estimate", CB12 &amp; TEXT(CD11, "yy") &amp; " (E)", CB12 &amp; TEXT(CD11, "yy") &amp; " (A)")</f>
      </c>
      <c r="CC4" s="11" t="str">
        <f>IF(CC13="Estimate", CC12 &amp; TEXT(CD11, "yy") &amp; " (E)", CC12 &amp; TEXT(CD11, "yy") &amp; " (A)")</f>
      </c>
      <c r="CD4" s="12" t="str">
        <f>IF(CD13="Estimate", CD12 &amp; TEXT(CD11, "yy") &amp; " (E)", CD12 &amp; TEXT(CD11, "yy") &amp; " (A)")</f>
      </c>
      <c r="CE4" s="11" t="str">
        <f>IF(CE13="Estimate", CE12 &amp; TEXT(CI11, "yy") &amp; " (E)", CE12 &amp; TEXT(CI11, "yy") &amp; " (A)")</f>
      </c>
      <c r="CF4" s="11" t="str">
        <f>IF(CF13="Estimate", CF12 &amp; TEXT(CI11, "yy") &amp; " (E)", CF12 &amp; TEXT(CI11, "yy") &amp; " (A)")</f>
      </c>
      <c r="CG4" s="11" t="str">
        <f>IF(CG13="Estimate", CG12 &amp; TEXT(CI11, "yy") &amp; " (E)", CG12 &amp; TEXT(CI11, "yy") &amp; " (A)")</f>
      </c>
      <c r="CH4" s="11" t="str">
        <f>IF(CH13="Estimate", CH12 &amp; TEXT(CI11, "yy") &amp; " (E)", CH12 &amp; TEXT(CI11, "yy") &amp; " (A)")</f>
      </c>
      <c r="CI4" s="12" t="str">
        <f>IF(CI13="Estimate", CI12 &amp; TEXT(CI11, "yy") &amp; " (E)", CI12 &amp; TEXT(CI11, "yy") &amp; " (A)")</f>
      </c>
      <c r="CJ4" s="11" t="str">
        <f>IF(CJ13="Estimate", CJ12 &amp; TEXT(CN11, "yy") &amp; " (E)", CJ12 &amp; TEXT(CN11, "yy") &amp; " (A)")</f>
      </c>
      <c r="CK4" s="11" t="str">
        <f>IF(CK13="Estimate", CK12 &amp; TEXT(CN11, "yy") &amp; " (E)", CK12 &amp; TEXT(CN11, "yy") &amp; " (A)")</f>
      </c>
      <c r="CL4" s="11" t="str">
        <f>IF(CL13="Estimate", CL12 &amp; TEXT(CN11, "yy") &amp; " (E)", CL12 &amp; TEXT(CN11, "yy") &amp; " (A)")</f>
      </c>
      <c r="CM4" s="11" t="str">
        <f>IF(CM13="Estimate", CM12 &amp; TEXT(CN11, "yy") &amp; " (E)", CM12 &amp; TEXT(CN11, "yy") &amp; " (A)")</f>
      </c>
      <c r="CN4" s="12" t="str">
        <f>IF(CN13="Estimate", CN12 &amp; TEXT(CN11, "yy") &amp; " (E)", CN12 &amp; TEXT(CN11, "yy") &amp; " (A)")</f>
      </c>
      <c r="CO4" s="11" t="str">
        <f>IF(CO13="Estimate", CO12 &amp; TEXT(CS11, "yy") &amp; " (E)", CO12 &amp; TEXT(CS11, "yy") &amp; " (A)")</f>
      </c>
      <c r="CP4" s="11" t="str">
        <f>IF(CP13="Estimate", CP12 &amp; TEXT(CS11, "yy") &amp; " (E)", CP12 &amp; TEXT(CS11, "yy") &amp; " (A)")</f>
      </c>
      <c r="CQ4" s="11" t="str">
        <f>IF(CQ13="Estimate", CQ12 &amp; TEXT(CS11, "yy") &amp; " (E)", CQ12 &amp; TEXT(CS11, "yy") &amp; " (A)")</f>
      </c>
      <c r="CR4" s="11" t="str">
        <f>IF(CR13="Estimate", CR12 &amp; TEXT(CS11, "yy") &amp; " (E)", CR12 &amp; TEXT(CS11, "yy") &amp; " (A)")</f>
      </c>
      <c r="CS4" s="12" t="str">
        <f>IF(CS13="Estimate", CS12 &amp; TEXT(CS11, "yy") &amp; " (E)", CS12 &amp; TEXT(CS11, "yy") &amp; " (A)")</f>
      </c>
      <c r="CT4" s="11" t="str">
        <f>IF(CT13="Estimate", CT12 &amp; TEXT(CX11, "yy") &amp; " (E)", CT12 &amp; TEXT(CX11, "yy") &amp; " (A)")</f>
      </c>
      <c r="CU4" s="11" t="str">
        <f>IF(CU13="Estimate", CU12 &amp; TEXT(CX11, "yy") &amp; " (E)", CU12 &amp; TEXT(CX11, "yy") &amp; " (A)")</f>
      </c>
      <c r="CV4" s="11" t="str">
        <f>IF(CV13="Estimate", CV12 &amp; TEXT(CX11, "yy") &amp; " (E)", CV12 &amp; TEXT(CX11, "yy") &amp; " (A)")</f>
      </c>
      <c r="CW4" s="11" t="str">
        <f>IF(CW13="Estimate", CW12 &amp; TEXT(CX11, "yy") &amp; " (E)", CW12 &amp; TEXT(CX11, "yy") &amp; " (A)")</f>
      </c>
      <c r="CX4" s="12" t="str">
        <f>IF(CX13="Estimate", CX12 &amp; TEXT(CX11, "yy") &amp; " (E)", CX12 &amp; TEXT(CX11, "yy") &amp; " (A)")</f>
      </c>
      <c r="CY4" s="11" t="str">
        <f>IF(CY13="Estimate", CY12 &amp; TEXT(DC11, "yy") &amp; " (E)", CY12 &amp; TEXT(DC11, "yy") &amp; " (A)")</f>
      </c>
      <c r="CZ4" s="11" t="str">
        <f>IF(CZ13="Estimate", CZ12 &amp; TEXT(DC11, "yy") &amp; " (E)", CZ12 &amp; TEXT(DC11, "yy") &amp; " (A)")</f>
      </c>
      <c r="DA4" s="11" t="str">
        <f>IF(DA13="Estimate", DA12 &amp; TEXT(DC11, "yy") &amp; " (E)", DA12 &amp; TEXT(DC11, "yy") &amp; " (A)")</f>
      </c>
      <c r="DB4" s="11" t="str">
        <f>IF(DB13="Estimate", DB12 &amp; TEXT(DC11, "yy") &amp; " (E)", DB12 &amp; TEXT(DC11, "yy") &amp; " (A)")</f>
      </c>
      <c r="DC4" s="12" t="str">
        <f>IF(DC13="Estimate", DC12 &amp; TEXT(DC11, "yy") &amp; " (E)", DC12 &amp; TEXT(DC11, "yy") &amp; " (A)")</f>
      </c>
      <c r="DD4" s="11" t="str">
        <f>IF(DD13="Estimate", DD12 &amp; TEXT(DH11, "yy") &amp; " (E)", DD12 &amp; TEXT(DH11, "yy") &amp; " (A)")</f>
      </c>
      <c r="DE4" s="11" t="str">
        <f>IF(DE13="Estimate", DE12 &amp; TEXT(DH11, "yy") &amp; " (E)", DE12 &amp; TEXT(DH11, "yy") &amp; " (A)")</f>
      </c>
      <c r="DF4" s="11" t="str">
        <f>IF(DF13="Estimate", DF12 &amp; TEXT(DH11, "yy") &amp; " (E)", DF12 &amp; TEXT(DH11, "yy") &amp; " (A)")</f>
      </c>
      <c r="DG4" s="11" t="str">
        <f>IF(DG13="Estimate", DG12 &amp; TEXT(DH11, "yy") &amp; " (E)", DG12 &amp; TEXT(DH11, "yy") &amp; " (A)")</f>
      </c>
      <c r="DH4" s="12" t="str">
        <f>IF(DH13="Estimate", DH12 &amp; TEXT(DH11, "yy") &amp; " (E)", DH12 &amp; TEXT(DH11, "yy") &amp; " (A)")</f>
      </c>
      <c r="DI4" s="11" t="str">
        <f>IF(DI13="Estimate", DI12 &amp; TEXT(DM11, "yy") &amp; " (E)", DI12 &amp; TEXT(DM11, "yy") &amp; " (A)")</f>
      </c>
      <c r="DJ4" s="11" t="str">
        <f>IF(DJ13="Estimate", DJ12 &amp; TEXT(DM11, "yy") &amp; " (E)", DJ12 &amp; TEXT(DM11, "yy") &amp; " (A)")</f>
      </c>
      <c r="DK4" s="11" t="str">
        <f>IF(DK13="Estimate", DK12 &amp; TEXT(DM11, "yy") &amp; " (E)", DK12 &amp; TEXT(DM11, "yy") &amp; " (A)")</f>
      </c>
      <c r="DL4" s="11" t="str">
        <f>IF(DL13="Estimate", DL12 &amp; TEXT(DM11, "yy") &amp; " (E)", DL12 &amp; TEXT(DM11, "yy") &amp; " (A)")</f>
      </c>
      <c r="DM4" s="12" t="str">
        <f>IF(DM13="Estimate", DM12 &amp; TEXT(DM11, "yy") &amp; " (E)", DM12 &amp; TEXT(DM11, "yy") &amp; " (A)")</f>
      </c>
      <c r="DN4" s="11" t="str">
        <f>IF(DN13="Estimate", DN12 &amp; TEXT(DR11, "yy") &amp; " (E)", DN12 &amp; TEXT(DR11, "yy") &amp; " (A)")</f>
      </c>
      <c r="DO4" s="11" t="str">
        <f>IF(DO13="Estimate", DO12 &amp; TEXT(DR11, "yy") &amp; " (E)", DO12 &amp; TEXT(DR11, "yy") &amp; " (A)")</f>
      </c>
      <c r="DP4" s="11" t="str">
        <f>IF(DP13="Estimate", DP12 &amp; TEXT(DR11, "yy") &amp; " (E)", DP12 &amp; TEXT(DR11, "yy") &amp; " (A)")</f>
      </c>
      <c r="DQ4" s="11" t="str">
        <f>IF(DQ13="Estimate", DQ12 &amp; TEXT(DR11, "yy") &amp; " (E)", DQ12 &amp; TEXT(DR11, "yy") &amp; " (A)")</f>
      </c>
      <c r="DR4" s="12" t="str">
        <f>IF(DR13="Estimate", DR12 &amp; TEXT(DR11, "yy") &amp; " (E)", DR12 &amp; TEXT(DR11, "yy") &amp; " (A)")</f>
      </c>
      <c r="DS4" s="11" t="str">
        <f>IF(DS13="Estimate", DS12 &amp; TEXT(DW11, "yy") &amp; " (E)", DS12 &amp; TEXT(DW11, "yy") &amp; " (A)")</f>
      </c>
      <c r="DT4" s="11" t="str">
        <f>IF(DT13="Estimate", DT12 &amp; TEXT(DW11, "yy") &amp; " (E)", DT12 &amp; TEXT(DW11, "yy") &amp; " (A)")</f>
      </c>
      <c r="DU4" s="11" t="str">
        <f>IF(DU13="Estimate", DU12 &amp; TEXT(DW11, "yy") &amp; " (E)", DU12 &amp; TEXT(DW11, "yy") &amp; " (A)")</f>
      </c>
      <c r="DV4" s="11" t="str">
        <f>IF(DV13="Estimate", DV12 &amp; TEXT(DW11, "yy") &amp; " (E)", DV12 &amp; TEXT(DW11, "yy") &amp; " (A)")</f>
      </c>
      <c r="DW4" s="12" t="str">
        <f>IF(DW13="Estimate", DW12 &amp; TEXT(DW11, "yy") &amp; " (E)", DW12 &amp; TEXT(DW11, "yy") &amp; " (A)")</f>
      </c>
      <c r="DX4" s="11" t="str">
        <f>IF(DX13="Estimate", DX12 &amp; TEXT(EB11, "yy") &amp; " (E)", DX12 &amp; TEXT(EB11, "yy") &amp; " (A)")</f>
      </c>
      <c r="DY4" s="11" t="str">
        <f>IF(DY13="Estimate", DY12 &amp; TEXT(EB11, "yy") &amp; " (E)", DY12 &amp; TEXT(EB11, "yy") &amp; " (A)")</f>
      </c>
      <c r="DZ4" s="11" t="str">
        <f>IF(DZ13="Estimate", DZ12 &amp; TEXT(EB11, "yy") &amp; " (E)", DZ12 &amp; TEXT(EB11, "yy") &amp; " (A)")</f>
      </c>
      <c r="EA4" s="11" t="str">
        <f>IF(EA13="Estimate", EA12 &amp; TEXT(EB11, "yy") &amp; " (E)", EA12 &amp; TEXT(EB11, "yy") &amp; " (A)")</f>
      </c>
      <c r="EB4" s="12" t="str">
        <f>IF(EB13="Estimate", EB12 &amp; TEXT(EB11, "yy") &amp; " (E)", EB12 &amp; TEXT(EB11, "yy") &amp; " (A)")</f>
      </c>
      <c r="EC4" s="11" t="str">
        <f>IF(EC13="Estimate", EC12 &amp; TEXT(EG11, "yy") &amp; " (E)", EC12 &amp; TEXT(EG11, "yy") &amp; " (A)")</f>
      </c>
      <c r="ED4" s="11" t="str">
        <f>IF(ED13="Estimate", ED12 &amp; TEXT(EG11, "yy") &amp; " (E)", ED12 &amp; TEXT(EG11, "yy") &amp; " (A)")</f>
      </c>
      <c r="EE4" s="11" t="str">
        <f>IF(EE13="Estimate", EE12 &amp; TEXT(EG11, "yy") &amp; " (E)", EE12 &amp; TEXT(EG11, "yy") &amp; " (A)")</f>
      </c>
      <c r="EF4" s="11" t="str">
        <f>IF(EF13="Estimate", EF12 &amp; TEXT(EG11, "yy") &amp; " (E)", EF12 &amp; TEXT(EG11, "yy") &amp; " (A)")</f>
      </c>
      <c r="EG4" s="12" t="str">
        <f>IF(EG13="Estimate", EG12 &amp; TEXT(EG11, "yy") &amp; " (E)", EG12 &amp; TEXT(EG11, "yy") &amp; " (A)")</f>
      </c>
      <c r="EH4" s="11" t="str">
        <f>IF(EH13="Estimate", EH12 &amp; TEXT(EL11, "yy") &amp; " (E)", EH12 &amp; TEXT(EL11, "yy") &amp; " (A)")</f>
      </c>
      <c r="EI4" s="11" t="str">
        <f>IF(EI13="Estimate", EI12 &amp; TEXT(EL11, "yy") &amp; " (E)", EI12 &amp; TEXT(EL11, "yy") &amp; " (A)")</f>
      </c>
      <c r="EJ4" s="11" t="str">
        <f>IF(EJ13="Estimate", EJ12 &amp; TEXT(EL11, "yy") &amp; " (E)", EJ12 &amp; TEXT(EL11, "yy") &amp; " (A)")</f>
      </c>
      <c r="EK4" s="11" t="str">
        <f>IF(EK13="Estimate", EK12 &amp; TEXT(EL11, "yy") &amp; " (E)", EK12 &amp; TEXT(EL11, "yy") &amp; " (A)")</f>
      </c>
      <c r="EL4" s="12" t="str">
        <f>IF(EL13="Estimate", EL12 &amp; TEXT(EL11, "yy") &amp; " (E)", EL12 &amp; TEXT(EL11, "yy") &amp; " (A)")</f>
      </c>
      <c r="EM4" s="11" t="str">
        <f>IF(EM13="Estimate", EM12 &amp; TEXT(EQ11, "yy") &amp; " (E)", EM12 &amp; TEXT(EQ11, "yy") &amp; " (A)")</f>
      </c>
      <c r="EN4" s="11" t="str">
        <f>IF(EN13="Estimate", EN12 &amp; TEXT(EQ11, "yy") &amp; " (E)", EN12 &amp; TEXT(EQ11, "yy") &amp; " (A)")</f>
      </c>
      <c r="EO4" s="11" t="str">
        <f>IF(EO13="Estimate", EO12 &amp; TEXT(EQ11, "yy") &amp; " (E)", EO12 &amp; TEXT(EQ11, "yy") &amp; " (A)")</f>
      </c>
      <c r="EP4" s="11" t="str">
        <f>IF(EP13="Estimate", EP12 &amp; TEXT(EQ11, "yy") &amp; " (E)", EP12 &amp; TEXT(EQ11, "yy") &amp; " (A)")</f>
      </c>
      <c r="EQ4" s="12" t="str">
        <f>IF(EQ13="Estimate", EQ12 &amp; TEXT(EQ11, "yy") &amp; " (E)", EQ12 &amp; TEXT(EQ11, "yy") &amp; " (A)")</f>
      </c>
      <c r="ER4" s="11" t="str">
        <f>IF(ER13="Estimate", ER12 &amp; TEXT(EV11, "yy") &amp; " (E)", ER12 &amp; TEXT(EV11, "yy") &amp; " (A)")</f>
      </c>
      <c r="ES4" s="11" t="str">
        <f>IF(ES13="Estimate", ES12 &amp; TEXT(EV11, "yy") &amp; " (E)", ES12 &amp; TEXT(EV11, "yy") &amp; " (A)")</f>
      </c>
      <c r="ET4" s="11" t="str">
        <f>IF(ET13="Estimate", ET12 &amp; TEXT(EV11, "yy") &amp; " (E)", ET12 &amp; TEXT(EV11, "yy") &amp; " (A)")</f>
      </c>
      <c r="EU4" s="11" t="str">
        <f>IF(EU13="Estimate", EU12 &amp; TEXT(EV11, "yy") &amp; " (E)", EU12 &amp; TEXT(EV11, "yy") &amp; " (A)")</f>
      </c>
      <c r="EV4" s="12" t="str">
        <f>IF(EV13="Estimate", EV12 &amp; TEXT(EV11, "yy") &amp; " (E)", EV12 &amp; TEXT(EV11, "yy") &amp; " (A)")</f>
      </c>
      <c r="EW4" s="11" t="str">
        <f>IF(EW13="Estimate", EW12 &amp; TEXT(FA11, "yy") &amp; " (E)", EW12 &amp; TEXT(FA11, "yy") &amp; " (A)")</f>
      </c>
      <c r="EX4" s="11" t="str">
        <f>IF(EX13="Estimate", EX12 &amp; TEXT(FA11, "yy") &amp; " (E)", EX12 &amp; TEXT(FA11, "yy") &amp; " (A)")</f>
      </c>
      <c r="EY4" s="11" t="str">
        <f>IF(EY13="Estimate", EY12 &amp; TEXT(FA11, "yy") &amp; " (E)", EY12 &amp; TEXT(FA11, "yy") &amp; " (A)")</f>
      </c>
      <c r="EZ4" s="11" t="str">
        <f>IF(EZ13="Estimate", EZ12 &amp; TEXT(FA11, "yy") &amp; " (E)", EZ12 &amp; TEXT(FA11, "yy") &amp; " (A)")</f>
      </c>
      <c r="FA4" s="12" t="str">
        <f>IF(FA13="Estimate", FA12 &amp; TEXT(FA11, "yy") &amp; " (E)", FA12 &amp; TEXT(FA11, "yy") &amp; " (A)")</f>
      </c>
      <c r="FB4" s="11" t="str">
        <f>IF(FB13="Estimate", FB12 &amp; TEXT(FF11, "yy") &amp; " (E)", FB12 &amp; TEXT(FF11, "yy") &amp; " (A)")</f>
      </c>
      <c r="FC4" s="11" t="str">
        <f>IF(FC13="Estimate", FC12 &amp; TEXT(FF11, "yy") &amp; " (E)", FC12 &amp; TEXT(FF11, "yy") &amp; " (A)")</f>
      </c>
      <c r="FD4" s="11" t="str">
        <f>IF(FD13="Estimate", FD12 &amp; TEXT(FF11, "yy") &amp; " (E)", FD12 &amp; TEXT(FF11, "yy") &amp; " (A)")</f>
      </c>
      <c r="FE4" s="11" t="str">
        <f>IF(FE13="Estimate", FE12 &amp; TEXT(FF11, "yy") &amp; " (E)", FE12 &amp; TEXT(FF11, "yy") &amp; " (A)")</f>
      </c>
      <c r="FF4" s="12" t="str">
        <f>IF(FF13="Estimate", FF12 &amp; TEXT(FF11, "yy") &amp; " (E)", FF12 &amp; TEXT(FF11, "yy") &amp; " (A)")</f>
      </c>
      <c r="FG4" s="11" t="str">
        <f>IF(FG13="Estimate", FG12 &amp; TEXT(FK11, "yy") &amp; " (E)", FG12 &amp; TEXT(FK11, "yy") &amp; " (A)")</f>
      </c>
      <c r="FH4" s="11" t="str">
        <f>IF(FH13="Estimate", FH12 &amp; TEXT(FK11, "yy") &amp; " (E)", FH12 &amp; TEXT(FK11, "yy") &amp; " (A)")</f>
      </c>
      <c r="FI4" s="11" t="str">
        <f>IF(FI13="Estimate", FI12 &amp; TEXT(FK11, "yy") &amp; " (E)", FI12 &amp; TEXT(FK11, "yy") &amp; " (A)")</f>
      </c>
      <c r="FJ4" s="11" t="str">
        <f>IF(FJ13="Estimate", FJ12 &amp; TEXT(FK11, "yy") &amp; " (E)", FJ12 &amp; TEXT(FK11, "yy") &amp; " (A)")</f>
      </c>
      <c r="FK4" s="12" t="str">
        <f>IF(FK13="Estimate", FK12 &amp; TEXT(FK11, "yy") &amp; " (E)", FK12 &amp; TEXT(FK11, "yy") &amp; " (A)")</f>
      </c>
      <c r="FL4" s="11" t="str">
        <f>IF(FL13="Estimate", FL12 &amp; TEXT(FP11, "yy") &amp; " (E)", FL12 &amp; TEXT(FP11, "yy") &amp; " (A)")</f>
      </c>
      <c r="FM4" s="11" t="str">
        <f>IF(FM13="Estimate", FM12 &amp; TEXT(FP11, "yy") &amp; " (E)", FM12 &amp; TEXT(FP11, "yy") &amp; " (A)")</f>
      </c>
      <c r="FN4" s="11" t="str">
        <f>IF(FN13="Estimate", FN12 &amp; TEXT(FP11, "yy") &amp; " (E)", FN12 &amp; TEXT(FP11, "yy") &amp; " (A)")</f>
      </c>
      <c r="FO4" s="11" t="str">
        <f>IF(FO13="Estimate", FO12 &amp; TEXT(FP11, "yy") &amp; " (E)", FO12 &amp; TEXT(FP11, "yy") &amp; " (A)")</f>
      </c>
      <c r="FP4" s="12" t="str">
        <f>IF(FP13="Estimate", FP12 &amp; TEXT(FP11, "yy") &amp; " (E)", FP12 &amp; TEXT(FP11, "yy") &amp; " (A)")</f>
      </c>
      <c r="FQ4" s="11" t="str">
        <f>IF(FQ13="Estimate", FQ12 &amp; TEXT(FU11, "yy") &amp; " (E)", FQ12 &amp; TEXT(FU11, "yy") &amp; " (A)")</f>
      </c>
      <c r="FR4" s="11" t="str">
        <f>IF(FR13="Estimate", FR12 &amp; TEXT(FU11, "yy") &amp; " (E)", FR12 &amp; TEXT(FU11, "yy") &amp; " (A)")</f>
      </c>
      <c r="FS4" s="11" t="str">
        <f>IF(FS13="Estimate", FS12 &amp; TEXT(FU11, "yy") &amp; " (E)", FS12 &amp; TEXT(FU11, "yy") &amp; " (A)")</f>
      </c>
      <c r="FT4" s="11" t="str">
        <f>IF(FT13="Estimate", FT12 &amp; TEXT(FU11, "yy") &amp; " (E)", FT12 &amp; TEXT(FU11, "yy") &amp; " (A)")</f>
      </c>
      <c r="FU4" s="12" t="str">
        <f>IF(FU13="Estimate", FU12 &amp; TEXT(FU11, "yy") &amp; " (E)", FU12 &amp; TEXT(FU11, "yy") &amp; " (A)")</f>
      </c>
      <c r="FV4" s="11" t="str">
        <f>IF(FV13="Estimate", FV12 &amp; TEXT(FZ11, "yy") &amp; " (E)", FV12 &amp; TEXT(FZ11, "yy") &amp; " (A)")</f>
      </c>
      <c r="FW4" s="11" t="str">
        <f>IF(FW13="Estimate", FW12 &amp; TEXT(FZ11, "yy") &amp; " (E)", FW12 &amp; TEXT(FZ11, "yy") &amp; " (A)")</f>
      </c>
      <c r="FX4" s="11" t="str">
        <f>IF(FX13="Estimate", FX12 &amp; TEXT(FZ11, "yy") &amp; " (E)", FX12 &amp; TEXT(FZ11, "yy") &amp; " (A)")</f>
      </c>
      <c r="FY4" s="11" t="str">
        <f>IF(FY13="Estimate", FY12 &amp; TEXT(FZ11, "yy") &amp; " (E)", FY12 &amp; TEXT(FZ11, "yy") &amp; " (A)")</f>
      </c>
      <c r="FZ4" s="12" t="str">
        <f>IF(FZ13="Estimate", FZ12 &amp; TEXT(FZ11, "yy") &amp; " (E)", FZ12 &amp; TEXT(FZ11, "yy") &amp; " (A)")</f>
      </c>
      <c r="GA4" s="11" t="str">
        <f>IF(GA13="Estimate", GA12 &amp; TEXT(GE11, "yy") &amp; " (E)", GA12 &amp; TEXT(GE11, "yy") &amp; " (A)")</f>
      </c>
      <c r="GB4" s="11" t="str">
        <f>IF(GB13="Estimate", GB12 &amp; TEXT(GE11, "yy") &amp; " (E)", GB12 &amp; TEXT(GE11, "yy") &amp; " (A)")</f>
      </c>
      <c r="GC4" s="11" t="str">
        <f>IF(GC13="Estimate", GC12 &amp; TEXT(GE11, "yy") &amp; " (E)", GC12 &amp; TEXT(GE11, "yy") &amp; " (A)")</f>
      </c>
      <c r="GD4" s="11" t="str">
        <f>IF(GD13="Estimate", GD12 &amp; TEXT(GE11, "yy") &amp; " (E)", GD12 &amp; TEXT(GE11, "yy") &amp; " (A)")</f>
      </c>
      <c r="GE4" s="12" t="str">
        <f>IF(GE13="Estimate", GE12 &amp; TEXT(GE11, "yy") &amp; " (E)", GE12 &amp; TEXT(GE11, "yy") &amp; " (A)")</f>
      </c>
      <c r="GF4" s="11" t="str">
        <f>IF(GF13="Estimate", GF12 &amp; TEXT(GJ11, "yy") &amp; " (E)", GF12 &amp; TEXT(GJ11, "yy") &amp; " (A)")</f>
      </c>
      <c r="GG4" s="11" t="str">
        <f>IF(GG13="Estimate", GG12 &amp; TEXT(GJ11, "yy") &amp; " (E)", GG12 &amp; TEXT(GJ11, "yy") &amp; " (A)")</f>
      </c>
      <c r="GH4" s="11" t="str">
        <f>IF(GH13="Estimate", GH12 &amp; TEXT(GJ11, "yy") &amp; " (E)", GH12 &amp; TEXT(GJ11, "yy") &amp; " (A)")</f>
      </c>
      <c r="GI4" s="11" t="str">
        <f>IF(GI13="Estimate", GI12 &amp; TEXT(GJ11, "yy") &amp; " (E)", GI12 &amp; TEXT(GJ11, "yy") &amp; " (A)")</f>
      </c>
      <c r="GJ4" s="12" t="str">
        <f>IF(GJ13="Estimate", GJ12 &amp; TEXT(GJ11, "yy") &amp; " (E)", GJ12 &amp; TEXT(GJ11, "yy") &amp; " (A)")</f>
      </c>
      <c r="GK4" s="11" t="str">
        <f>IF(GK13="Estimate", GK12 &amp; TEXT(GO11, "yy") &amp; " (E)", GK12 &amp; TEXT(GO11, "yy") &amp; " (A)")</f>
      </c>
      <c r="GL4" s="11" t="str">
        <f>IF(GL13="Estimate", GL12 &amp; TEXT(GO11, "yy") &amp; " (E)", GL12 &amp; TEXT(GO11, "yy") &amp; " (A)")</f>
      </c>
      <c r="GM4" s="11" t="str">
        <f>IF(GM13="Estimate", GM12 &amp; TEXT(GO11, "yy") &amp; " (E)", GM12 &amp; TEXT(GO11, "yy") &amp; " (A)")</f>
      </c>
      <c r="GN4" s="11" t="str">
        <f>IF(GN13="Estimate", GN12 &amp; TEXT(GO11, "yy") &amp; " (E)", GN12 &amp; TEXT(GO11, "yy") &amp; " (A)")</f>
      </c>
      <c r="GO4" s="12" t="str">
        <f>IF(GO13="Estimate", GO12 &amp; TEXT(GO11, "yy") &amp; " (E)", GO12 &amp; TEXT(GO11, "yy") &amp; " (A)")</f>
      </c>
      <c r="GP4" s="11" t="str">
        <f>IF(GP13="Estimate", GP12 &amp; TEXT(GT11, "yy") &amp; " (E)", GP12 &amp; TEXT(GT11, "yy") &amp; " (A)")</f>
      </c>
      <c r="GQ4" s="11" t="str">
        <f>IF(GQ13="Estimate", GQ12 &amp; TEXT(GT11, "yy") &amp; " (E)", GQ12 &amp; TEXT(GT11, "yy") &amp; " (A)")</f>
      </c>
      <c r="GR4" s="11" t="str">
        <f>IF(GR13="Estimate", GR12 &amp; TEXT(GT11, "yy") &amp; " (E)", GR12 &amp; TEXT(GT11, "yy") &amp; " (A)")</f>
      </c>
      <c r="GS4" s="11" t="str">
        <f>IF(GS13="Estimate", GS12 &amp; TEXT(GT11, "yy") &amp; " (E)", GS12 &amp; TEXT(GT11, "yy") &amp; " (A)")</f>
      </c>
      <c r="GT4" s="12" t="str">
        <f>IF(GT13="Estimate", GT12 &amp; TEXT(GT11, "yy") &amp; " (E)", GT12 &amp; TEXT(GT11, "yy") &amp; " (A)")</f>
      </c>
    </row>
    <row r="5" spans="1:202" s="17" customFormat="1" ht="12.75" customHeight="1">
      <c r="A5" s="13"/>
      <c r="B5" s="13"/>
      <c r="C5" s="15">
        <f t="shared" ref="C5:AU5" si="0">C11</f>
      </c>
      <c r="D5" s="15">
        <f t="shared" si="0"/>
      </c>
      <c r="E5" s="15">
        <f t="shared" si="0"/>
      </c>
      <c r="F5" s="15">
        <f t="shared" si="0"/>
      </c>
      <c r="G5" s="16">
        <f t="shared" si="0"/>
      </c>
      <c r="H5" s="15">
        <f t="shared" si="0"/>
      </c>
      <c r="I5" s="15">
        <f t="shared" si="0"/>
      </c>
      <c r="J5" s="15">
        <f t="shared" si="0"/>
      </c>
      <c r="K5" s="15">
        <f t="shared" si="0"/>
      </c>
      <c r="L5" s="16">
        <f t="shared" si="0"/>
      </c>
      <c r="M5" s="15">
        <f t="shared" si="0"/>
      </c>
      <c r="N5" s="15">
        <f t="shared" si="0"/>
      </c>
      <c r="O5" s="15">
        <f t="shared" si="0"/>
      </c>
      <c r="P5" s="15">
        <f t="shared" si="0"/>
      </c>
      <c r="Q5" s="16">
        <f t="shared" si="0"/>
      </c>
      <c r="R5" s="15">
        <f t="shared" si="0"/>
      </c>
      <c r="S5" s="15">
        <f t="shared" si="0"/>
      </c>
      <c r="T5" s="15">
        <f t="shared" si="0"/>
      </c>
      <c r="U5" s="15">
        <f t="shared" si="0"/>
      </c>
      <c r="V5" s="16">
        <f t="shared" si="0"/>
      </c>
      <c r="W5" s="15">
        <f t="shared" si="0"/>
      </c>
      <c r="X5" s="15">
        <f t="shared" si="0"/>
      </c>
      <c r="Y5" s="15">
        <f t="shared" si="0"/>
      </c>
      <c r="Z5" s="15">
        <f t="shared" si="0"/>
      </c>
      <c r="AA5" s="16">
        <f t="shared" si="0"/>
      </c>
      <c r="AB5" s="15">
        <f t="shared" si="0"/>
      </c>
      <c r="AC5" s="15">
        <f t="shared" si="0"/>
      </c>
      <c r="AD5" s="15">
        <f t="shared" si="0"/>
      </c>
      <c r="AE5" s="15">
        <f t="shared" si="0"/>
      </c>
      <c r="AF5" s="16">
        <f t="shared" si="0"/>
      </c>
      <c r="AG5" s="15">
        <f t="shared" si="0"/>
      </c>
      <c r="AH5" s="15">
        <f t="shared" si="0"/>
      </c>
      <c r="AI5" s="15">
        <f t="shared" si="0"/>
      </c>
      <c r="AJ5" s="15">
        <f t="shared" si="0"/>
      </c>
      <c r="AK5" s="16">
        <f t="shared" si="0"/>
      </c>
      <c r="AL5" s="15">
        <f t="shared" si="0"/>
      </c>
      <c r="AM5" s="15">
        <f t="shared" si="0"/>
      </c>
      <c r="AN5" s="15">
        <f t="shared" si="0"/>
      </c>
      <c r="AO5" s="15">
        <f t="shared" si="0"/>
      </c>
      <c r="AP5" s="16">
        <f t="shared" si="0"/>
      </c>
      <c r="AQ5" s="15">
        <f t="shared" si="0"/>
      </c>
      <c r="AR5" s="15">
        <f t="shared" si="0"/>
      </c>
      <c r="AS5" s="15">
        <f t="shared" si="0"/>
      </c>
      <c r="AT5" s="15">
        <f t="shared" si="0"/>
      </c>
      <c r="AU5" s="16">
        <f t="shared" si="0"/>
      </c>
      <c r="AV5" s="15">
        <f t="shared" ref="AV5:DH5" si="1">AV11</f>
      </c>
      <c r="AW5" s="15">
        <f t="shared" si="1"/>
      </c>
      <c r="AX5" s="15">
        <f t="shared" si="1"/>
      </c>
      <c r="AY5" s="15">
        <f t="shared" si="1"/>
      </c>
      <c r="AZ5" s="16">
        <f t="shared" si="1"/>
      </c>
      <c r="BA5" s="15">
        <f t="shared" si="1"/>
      </c>
      <c r="BB5" s="15">
        <f t="shared" si="1"/>
      </c>
      <c r="BC5" s="15">
        <f t="shared" si="1"/>
      </c>
      <c r="BD5" s="15">
        <f t="shared" si="1"/>
      </c>
      <c r="BE5" s="16">
        <f t="shared" si="1"/>
      </c>
      <c r="BF5" s="15">
        <f t="shared" si="1"/>
      </c>
      <c r="BG5" s="15">
        <f t="shared" si="1"/>
      </c>
      <c r="BH5" s="15">
        <f t="shared" si="1"/>
      </c>
      <c r="BI5" s="15">
        <f t="shared" si="1"/>
      </c>
      <c r="BJ5" s="16">
        <f t="shared" si="1"/>
      </c>
      <c r="BK5" s="15">
        <f t="shared" si="1"/>
      </c>
      <c r="BL5" s="15">
        <f t="shared" si="1"/>
      </c>
      <c r="BM5" s="15">
        <f t="shared" si="1"/>
      </c>
      <c r="BN5" s="15">
        <f t="shared" si="1"/>
      </c>
      <c r="BO5" s="16">
        <f t="shared" si="1"/>
      </c>
      <c r="BP5" s="15">
        <f t="shared" si="1"/>
      </c>
      <c r="BQ5" s="15">
        <f t="shared" si="1"/>
      </c>
      <c r="BR5" s="15">
        <f t="shared" si="1"/>
      </c>
      <c r="BS5" s="15">
        <f t="shared" si="1"/>
      </c>
      <c r="BT5" s="16">
        <f t="shared" si="1"/>
      </c>
      <c r="BU5" s="15">
        <f t="shared" si="1"/>
      </c>
      <c r="BV5" s="15">
        <f t="shared" si="1"/>
      </c>
      <c r="BW5" s="15">
        <f t="shared" si="1"/>
      </c>
      <c r="BX5" s="15">
        <f t="shared" si="1"/>
      </c>
      <c r="BY5" s="16">
        <f t="shared" si="1"/>
      </c>
      <c r="BZ5" s="15">
        <f t="shared" si="1"/>
      </c>
      <c r="CA5" s="15">
        <f t="shared" si="1"/>
      </c>
      <c r="CB5" s="15">
        <f t="shared" si="1"/>
      </c>
      <c r="CC5" s="15">
        <f t="shared" si="1"/>
      </c>
      <c r="CD5" s="16">
        <f t="shared" si="1"/>
      </c>
      <c r="CE5" s="15">
        <f t="shared" si="1"/>
      </c>
      <c r="CF5" s="15">
        <f t="shared" si="1"/>
      </c>
      <c r="CG5" s="15">
        <f t="shared" si="1"/>
      </c>
      <c r="CH5" s="15">
        <f t="shared" si="1"/>
      </c>
      <c r="CI5" s="16">
        <f t="shared" si="1"/>
      </c>
      <c r="CJ5" s="15">
        <f t="shared" si="1"/>
      </c>
      <c r="CK5" s="15">
        <f t="shared" si="1"/>
      </c>
      <c r="CL5" s="15">
        <f t="shared" si="1"/>
      </c>
      <c r="CM5" s="15">
        <f t="shared" si="1"/>
      </c>
      <c r="CN5" s="16">
        <f t="shared" si="1"/>
      </c>
      <c r="CO5" s="15">
        <f t="shared" si="1"/>
      </c>
      <c r="CP5" s="15">
        <f t="shared" si="1"/>
      </c>
      <c r="CQ5" s="15">
        <f t="shared" si="1"/>
      </c>
      <c r="CR5" s="15">
        <f t="shared" si="1"/>
      </c>
      <c r="CS5" s="16">
        <f t="shared" si="1"/>
      </c>
      <c r="CT5" s="15">
        <f t="shared" si="1"/>
      </c>
      <c r="CU5" s="15">
        <f t="shared" si="1"/>
      </c>
      <c r="CV5" s="15">
        <f t="shared" si="1"/>
      </c>
      <c r="CW5" s="15">
        <f t="shared" si="1"/>
      </c>
      <c r="CX5" s="16">
        <f t="shared" si="1"/>
      </c>
      <c r="CY5" s="15">
        <f t="shared" si="1"/>
      </c>
      <c r="CZ5" s="15">
        <f t="shared" si="1"/>
      </c>
      <c r="DA5" s="15">
        <f t="shared" si="1"/>
      </c>
      <c r="DB5" s="15">
        <f t="shared" si="1"/>
      </c>
      <c r="DC5" s="16">
        <f t="shared" si="1"/>
      </c>
      <c r="DD5" s="15">
        <f t="shared" si="1"/>
      </c>
      <c r="DE5" s="15">
        <f t="shared" si="1"/>
      </c>
      <c r="DF5" s="15">
        <f t="shared" si="1"/>
      </c>
      <c r="DG5" s="15">
        <f t="shared" si="1"/>
      </c>
      <c r="DH5" s="16">
        <f t="shared" si="1"/>
      </c>
      <c r="DI5" s="15">
        <f t="shared" ref="DI5:EQ5" si="2">DI11</f>
      </c>
      <c r="DJ5" s="15">
        <f t="shared" si="2"/>
      </c>
      <c r="DK5" s="15">
        <f t="shared" si="2"/>
      </c>
      <c r="DL5" s="15">
        <f t="shared" si="2"/>
      </c>
      <c r="DM5" s="16">
        <f t="shared" si="2"/>
      </c>
      <c r="DN5" s="15">
        <f t="shared" si="2"/>
      </c>
      <c r="DO5" s="15">
        <f t="shared" si="2"/>
      </c>
      <c r="DP5" s="15">
        <f t="shared" si="2"/>
      </c>
      <c r="DQ5" s="15">
        <f t="shared" si="2"/>
      </c>
      <c r="DR5" s="16">
        <f t="shared" si="2"/>
      </c>
      <c r="DS5" s="15">
        <f t="shared" si="2"/>
      </c>
      <c r="DT5" s="15">
        <f t="shared" si="2"/>
      </c>
      <c r="DU5" s="15">
        <f t="shared" si="2"/>
      </c>
      <c r="DV5" s="15">
        <f t="shared" si="2"/>
      </c>
      <c r="DW5" s="16">
        <f t="shared" si="2"/>
      </c>
      <c r="DX5" s="15">
        <f t="shared" si="2"/>
      </c>
      <c r="DY5" s="15">
        <f t="shared" si="2"/>
      </c>
      <c r="DZ5" s="15">
        <f t="shared" si="2"/>
      </c>
      <c r="EA5" s="15">
        <f t="shared" si="2"/>
      </c>
      <c r="EB5" s="16">
        <f t="shared" si="2"/>
      </c>
      <c r="EC5" s="15">
        <f t="shared" si="2"/>
      </c>
      <c r="ED5" s="15">
        <f t="shared" si="2"/>
      </c>
      <c r="EE5" s="15">
        <f t="shared" si="2"/>
      </c>
      <c r="EF5" s="15">
        <f t="shared" si="2"/>
      </c>
      <c r="EG5" s="16">
        <f t="shared" si="2"/>
      </c>
      <c r="EH5" s="15">
        <f t="shared" si="2"/>
      </c>
      <c r="EI5" s="15">
        <f t="shared" si="2"/>
      </c>
      <c r="EJ5" s="15">
        <f t="shared" si="2"/>
      </c>
      <c r="EK5" s="15">
        <f t="shared" si="2"/>
      </c>
      <c r="EL5" s="16">
        <f t="shared" si="2"/>
      </c>
      <c r="EM5" s="15">
        <f t="shared" si="2"/>
      </c>
      <c r="EN5" s="15">
        <f t="shared" si="2"/>
      </c>
      <c r="EO5" s="15">
        <f t="shared" si="2"/>
      </c>
      <c r="EP5" s="15">
        <f t="shared" si="2"/>
      </c>
      <c r="EQ5" s="16">
        <f t="shared" si="2"/>
      </c>
      <c r="ER5" s="15">
        <f t="shared" ref="ER5:GE5" si="3">ER11</f>
      </c>
      <c r="ES5" s="15">
        <f t="shared" si="3"/>
      </c>
      <c r="ET5" s="15">
        <f t="shared" si="3"/>
      </c>
      <c r="EU5" s="15">
        <f t="shared" si="3"/>
      </c>
      <c r="EV5" s="16">
        <f t="shared" si="3"/>
      </c>
      <c r="EW5" s="15">
        <f t="shared" si="3"/>
      </c>
      <c r="EX5" s="15">
        <f t="shared" si="3"/>
      </c>
      <c r="EY5" s="15">
        <f t="shared" si="3"/>
      </c>
      <c r="EZ5" s="15">
        <f t="shared" si="3"/>
      </c>
      <c r="FA5" s="16">
        <f t="shared" si="3"/>
      </c>
      <c r="FB5" s="15">
        <f t="shared" si="3"/>
      </c>
      <c r="FC5" s="15">
        <f t="shared" si="3"/>
      </c>
      <c r="FD5" s="15">
        <f t="shared" si="3"/>
      </c>
      <c r="FE5" s="15">
        <f t="shared" si="3"/>
      </c>
      <c r="FF5" s="16">
        <f t="shared" si="3"/>
      </c>
      <c r="FG5" s="15">
        <f t="shared" si="3"/>
      </c>
      <c r="FH5" s="15">
        <f t="shared" si="3"/>
      </c>
      <c r="FI5" s="15">
        <f t="shared" si="3"/>
      </c>
      <c r="FJ5" s="15">
        <f t="shared" si="3"/>
      </c>
      <c r="FK5" s="16">
        <f t="shared" si="3"/>
      </c>
      <c r="FL5" s="15">
        <f t="shared" si="3"/>
      </c>
      <c r="FM5" s="15">
        <f t="shared" si="3"/>
      </c>
      <c r="FN5" s="15">
        <f t="shared" si="3"/>
      </c>
      <c r="FO5" s="15">
        <f t="shared" si="3"/>
      </c>
      <c r="FP5" s="16">
        <f t="shared" si="3"/>
      </c>
      <c r="FQ5" s="15">
        <f t="shared" si="3"/>
      </c>
      <c r="FR5" s="15">
        <f t="shared" si="3"/>
      </c>
      <c r="FS5" s="15">
        <f t="shared" si="3"/>
      </c>
      <c r="FT5" s="15">
        <f t="shared" si="3"/>
      </c>
      <c r="FU5" s="16">
        <f t="shared" si="3"/>
      </c>
      <c r="FV5" s="15">
        <f t="shared" si="3"/>
      </c>
      <c r="FW5" s="15">
        <f t="shared" si="3"/>
      </c>
      <c r="FX5" s="15">
        <f t="shared" si="3"/>
      </c>
      <c r="FY5" s="15">
        <f t="shared" si="3"/>
      </c>
      <c r="FZ5" s="16">
        <f t="shared" si="3"/>
      </c>
      <c r="GA5" s="15">
        <f t="shared" si="3"/>
      </c>
      <c r="GB5" s="15">
        <f t="shared" si="3"/>
      </c>
      <c r="GC5" s="15">
        <f t="shared" si="3"/>
      </c>
      <c r="GD5" s="15">
        <f t="shared" si="3"/>
      </c>
      <c r="GE5" s="16">
        <f t="shared" si="3"/>
      </c>
      <c r="GF5" s="15">
        <f t="shared" ref="GF5:GT5" si="4">GF11</f>
      </c>
      <c r="GG5" s="15">
        <f t="shared" si="4"/>
      </c>
      <c r="GH5" s="15">
        <f t="shared" si="4"/>
      </c>
      <c r="GI5" s="15">
        <f t="shared" si="4"/>
      </c>
      <c r="GJ5" s="16">
        <f t="shared" si="4"/>
      </c>
      <c r="GK5" s="15">
        <f t="shared" si="4"/>
      </c>
      <c r="GL5" s="15">
        <f t="shared" si="4"/>
      </c>
      <c r="GM5" s="15">
        <f t="shared" si="4"/>
      </c>
      <c r="GN5" s="15">
        <f t="shared" si="4"/>
      </c>
      <c r="GO5" s="16">
        <f t="shared" si="4"/>
      </c>
      <c r="GP5" s="15">
        <f t="shared" si="4"/>
      </c>
      <c r="GQ5" s="15">
        <f t="shared" si="4"/>
      </c>
      <c r="GR5" s="15">
        <f t="shared" si="4"/>
      </c>
      <c r="GS5" s="15">
        <f t="shared" si="4"/>
      </c>
      <c r="GT5" s="16">
        <f t="shared" si="4"/>
      </c>
    </row>
    <row r="6" spans="1:202" ht="12.75" customHeight="1">
      <c r="A6" s="1"/>
      <c r="B6" s="1"/>
      <c r="C6" s="18"/>
      <c r="D6" s="14"/>
      <c r="E6" s="14"/>
      <c r="F6" s="14"/>
      <c r="G6" s="11"/>
      <c r="H6" s="14"/>
      <c r="I6" s="14"/>
      <c r="J6" s="14"/>
      <c r="K6" s="14"/>
      <c r="L6" s="11"/>
      <c r="M6" s="14"/>
      <c r="N6" s="14"/>
      <c r="O6" s="14"/>
      <c r="P6" s="14"/>
      <c r="Q6" s="11"/>
      <c r="R6" s="14"/>
      <c r="S6" s="14"/>
      <c r="T6" s="14"/>
      <c r="U6" s="14"/>
      <c r="V6" s="11"/>
      <c r="W6" s="14"/>
      <c r="X6" s="14"/>
      <c r="Y6" s="14"/>
      <c r="Z6" s="14"/>
      <c r="AA6" s="11"/>
      <c r="AB6" s="14"/>
      <c r="AC6" s="14"/>
      <c r="AD6" s="14"/>
      <c r="AE6" s="14"/>
      <c r="AF6" s="11"/>
      <c r="AG6" s="14"/>
      <c r="AH6" s="14"/>
      <c r="AI6" s="14"/>
      <c r="AJ6" s="14"/>
      <c r="AK6" s="11"/>
      <c r="AL6" s="14"/>
      <c r="AM6" s="14"/>
      <c r="AN6" s="14"/>
      <c r="AO6" s="14"/>
      <c r="AP6" s="11"/>
      <c r="AQ6" s="14"/>
      <c r="AR6" s="14"/>
      <c r="AS6" s="14"/>
      <c r="AT6" s="14"/>
      <c r="AU6" s="11"/>
      <c r="AV6" s="14"/>
      <c r="AW6" s="14"/>
      <c r="AX6" s="14"/>
      <c r="AY6" s="14"/>
      <c r="AZ6" s="11"/>
      <c r="BA6" s="14"/>
      <c r="BB6" s="14"/>
      <c r="BC6" s="14"/>
      <c r="BD6" s="14"/>
      <c r="BE6" s="11"/>
      <c r="BF6" s="14"/>
      <c r="BG6" s="14"/>
      <c r="BH6" s="14"/>
      <c r="BI6" s="14"/>
      <c r="BJ6" s="11"/>
      <c r="BK6" s="14"/>
      <c r="BL6" s="14"/>
      <c r="BM6" s="14"/>
      <c r="BN6" s="14"/>
      <c r="BO6" s="11"/>
      <c r="BP6" s="14"/>
      <c r="BQ6" s="14"/>
      <c r="BR6" s="14"/>
      <c r="BS6" s="14"/>
      <c r="BT6" s="11"/>
      <c r="BU6" s="14"/>
      <c r="BV6" s="14"/>
      <c r="BW6" s="14"/>
      <c r="BX6" s="14"/>
      <c r="BY6" s="11"/>
      <c r="BZ6" s="14"/>
      <c r="CA6" s="14"/>
      <c r="CB6" s="14"/>
      <c r="CC6" s="14"/>
      <c r="CD6" s="11"/>
      <c r="CE6" s="14"/>
      <c r="CF6" s="14"/>
      <c r="CG6" s="14"/>
      <c r="CH6" s="14"/>
      <c r="CI6" s="11"/>
      <c r="CJ6" s="14"/>
      <c r="CK6" s="14"/>
      <c r="CL6" s="14"/>
      <c r="CM6" s="14"/>
      <c r="CN6" s="11"/>
      <c r="CO6" s="14"/>
      <c r="CP6" s="14"/>
      <c r="CQ6" s="14"/>
      <c r="CR6" s="14"/>
      <c r="CS6" s="11"/>
      <c r="CT6" s="14"/>
      <c r="CU6" s="14"/>
      <c r="CV6" s="14"/>
      <c r="CW6" s="14"/>
      <c r="CX6" s="11"/>
      <c r="CY6" s="14"/>
      <c r="CZ6" s="14"/>
      <c r="DA6" s="14"/>
      <c r="DB6" s="14"/>
      <c r="DC6" s="11"/>
      <c r="DD6" s="14"/>
      <c r="DE6" s="14"/>
      <c r="DF6" s="14"/>
      <c r="DG6" s="14"/>
      <c r="DH6" s="11"/>
      <c r="DI6" s="14"/>
      <c r="DJ6" s="14"/>
      <c r="DK6" s="14"/>
      <c r="DL6" s="14"/>
      <c r="DM6" s="11"/>
      <c r="DN6" s="14"/>
      <c r="DO6" s="14"/>
      <c r="DP6" s="14"/>
      <c r="DQ6" s="14"/>
      <c r="DR6" s="11"/>
      <c r="DS6" s="14"/>
      <c r="DT6" s="14"/>
      <c r="DU6" s="14"/>
      <c r="DV6" s="14"/>
      <c r="DW6" s="11"/>
      <c r="DX6" s="14"/>
      <c r="DY6" s="14"/>
      <c r="DZ6" s="14"/>
      <c r="EA6" s="14"/>
      <c r="EB6" s="11"/>
      <c r="EC6" s="14"/>
      <c r="ED6" s="14"/>
      <c r="EE6" s="14"/>
      <c r="EF6" s="14"/>
      <c r="EG6" s="11"/>
      <c r="EH6" s="14"/>
      <c r="EI6" s="14"/>
      <c r="EJ6" s="14"/>
      <c r="EK6" s="14"/>
      <c r="EL6" s="11"/>
      <c r="EM6" s="14"/>
      <c r="EN6" s="14"/>
      <c r="EO6" s="14"/>
      <c r="EP6" s="14"/>
      <c r="EQ6" s="11"/>
      <c r="ER6" s="14"/>
      <c r="ES6" s="14"/>
      <c r="ET6" s="14"/>
      <c r="EU6" s="14"/>
      <c r="EV6" s="11"/>
      <c r="EW6" s="14"/>
      <c r="EX6" s="14"/>
      <c r="EY6" s="14"/>
      <c r="EZ6" s="14"/>
      <c r="FA6" s="11"/>
      <c r="FB6" s="14"/>
      <c r="FC6" s="14"/>
      <c r="FD6" s="14"/>
      <c r="FE6" s="14"/>
      <c r="FF6" s="11"/>
      <c r="FG6" s="14"/>
      <c r="FH6" s="14"/>
      <c r="FI6" s="14"/>
      <c r="FJ6" s="14"/>
      <c r="FK6" s="11"/>
      <c r="FL6" s="14"/>
      <c r="FM6" s="14"/>
      <c r="FN6" s="14"/>
      <c r="FO6" s="14"/>
      <c r="FP6" s="11"/>
      <c r="FQ6" s="14"/>
      <c r="FR6" s="14"/>
      <c r="FS6" s="14"/>
      <c r="FT6" s="14"/>
      <c r="FU6" s="11"/>
      <c r="FV6" s="14"/>
      <c r="FW6" s="14"/>
      <c r="FX6" s="14"/>
      <c r="FY6" s="14"/>
      <c r="FZ6" s="11"/>
      <c r="GA6" s="14"/>
      <c r="GB6" s="14"/>
      <c r="GC6" s="14"/>
      <c r="GD6" s="14"/>
      <c r="GE6" s="11"/>
      <c r="GF6" s="14"/>
      <c r="GG6" s="14"/>
      <c r="GH6" s="14"/>
      <c r="GI6" s="14"/>
      <c r="GJ6" s="11"/>
      <c r="GK6" s="14"/>
      <c r="GL6" s="14"/>
      <c r="GM6" s="14"/>
      <c r="GN6" s="14"/>
      <c r="GO6" s="11"/>
      <c r="GP6" s="14"/>
      <c r="GQ6" s="14"/>
      <c r="GR6" s="14"/>
      <c r="GS6" s="14"/>
      <c r="GT6" s="11"/>
    </row>
    <row r="7" spans="1:202" ht="12.75" customHeight="1">
      <c r="A7" s="1"/>
      <c r="B7" s="19" t="s">
        <v>12</v>
      </c>
      <c r="C7" s="21"/>
      <c r="D7" s="21"/>
      <c r="E7" s="21"/>
      <c r="F7" s="21"/>
      <c r="G7" s="22"/>
      <c r="H7" s="21"/>
      <c r="I7" s="21"/>
      <c r="J7" s="21"/>
      <c r="K7" s="21"/>
      <c r="L7" s="22"/>
      <c r="M7" s="21"/>
      <c r="N7" s="21"/>
      <c r="O7" s="21"/>
      <c r="P7" s="21"/>
      <c r="Q7" s="22"/>
      <c r="R7" s="21"/>
      <c r="S7" s="21"/>
      <c r="T7" s="21"/>
      <c r="U7" s="21"/>
      <c r="V7" s="22"/>
      <c r="W7" s="21"/>
      <c r="X7" s="21"/>
      <c r="Y7" s="21"/>
      <c r="Z7" s="21"/>
      <c r="AA7" s="22"/>
      <c r="AB7" s="21"/>
      <c r="AC7" s="21"/>
      <c r="AD7" s="21"/>
      <c r="AE7" s="21"/>
      <c r="AF7" s="22"/>
      <c r="AG7" s="21"/>
      <c r="AH7" s="21"/>
      <c r="AI7" s="21"/>
      <c r="AJ7" s="21"/>
      <c r="AK7" s="22"/>
      <c r="AL7" s="21"/>
      <c r="AM7" s="21"/>
      <c r="AN7" s="21"/>
      <c r="AO7" s="21"/>
      <c r="AP7" s="22"/>
      <c r="AQ7" s="21"/>
      <c r="AR7" s="21"/>
      <c r="AS7" s="21"/>
      <c r="AT7" s="21"/>
      <c r="AU7" s="22"/>
      <c r="AV7" s="21"/>
      <c r="AW7" s="21"/>
      <c r="AX7" s="21"/>
      <c r="AY7" s="21"/>
      <c r="AZ7" s="22"/>
      <c r="BA7" s="21"/>
      <c r="BB7" s="21"/>
      <c r="BC7" s="21"/>
      <c r="BD7" s="21"/>
      <c r="BE7" s="22"/>
      <c r="BF7" s="21"/>
      <c r="BG7" s="21"/>
      <c r="BH7" s="21"/>
      <c r="BI7" s="21"/>
      <c r="BJ7" s="22"/>
      <c r="BK7" s="21"/>
      <c r="BL7" s="21"/>
      <c r="BM7" s="21"/>
      <c r="BN7" s="21"/>
      <c r="BO7" s="22"/>
      <c r="BP7" s="21"/>
      <c r="BQ7" s="21"/>
      <c r="BR7" s="21"/>
      <c r="BS7" s="21"/>
      <c r="BT7" s="22"/>
      <c r="BU7" s="21"/>
      <c r="BV7" s="21"/>
      <c r="BW7" s="21"/>
      <c r="BX7" s="21"/>
      <c r="BY7" s="22"/>
      <c r="BZ7" s="21"/>
      <c r="CA7" s="21"/>
      <c r="CB7" s="21"/>
      <c r="CC7" s="21"/>
      <c r="CD7" s="22"/>
      <c r="CE7" s="21"/>
      <c r="CF7" s="21"/>
      <c r="CG7" s="21"/>
      <c r="CH7" s="21"/>
      <c r="CI7" s="22"/>
      <c r="CJ7" s="21"/>
      <c r="CK7" s="21"/>
      <c r="CL7" s="21"/>
      <c r="CM7" s="21"/>
      <c r="CN7" s="22"/>
      <c r="CO7" s="21"/>
      <c r="CP7" s="21"/>
      <c r="CQ7" s="21"/>
      <c r="CR7" s="21"/>
      <c r="CS7" s="22"/>
      <c r="CT7" s="21"/>
      <c r="CU7" s="21"/>
      <c r="CV7" s="21"/>
      <c r="CW7" s="21"/>
      <c r="CX7" s="22"/>
      <c r="CY7" s="21"/>
      <c r="CZ7" s="21"/>
      <c r="DA7" s="21"/>
      <c r="DB7" s="21"/>
      <c r="DC7" s="22"/>
      <c r="DD7" s="21"/>
      <c r="DE7" s="21"/>
      <c r="DF7" s="21"/>
      <c r="DG7" s="21"/>
      <c r="DH7" s="22"/>
      <c r="DI7" s="21"/>
      <c r="DJ7" s="21"/>
      <c r="DK7" s="21"/>
      <c r="DL7" s="21"/>
      <c r="DM7" s="22"/>
      <c r="DN7" s="21"/>
      <c r="DO7" s="21"/>
      <c r="DP7" s="21"/>
      <c r="DQ7" s="21"/>
      <c r="DR7" s="22"/>
      <c r="DS7" s="21"/>
      <c r="DT7" s="21"/>
      <c r="DU7" s="21"/>
      <c r="DV7" s="21"/>
      <c r="DW7" s="22"/>
      <c r="DX7" s="21"/>
      <c r="DY7" s="21"/>
      <c r="DZ7" s="21"/>
      <c r="EA7" s="21"/>
      <c r="EB7" s="22"/>
      <c r="EC7" s="21"/>
      <c r="ED7" s="21"/>
      <c r="EE7" s="21"/>
      <c r="EF7" s="21"/>
      <c r="EG7" s="22"/>
      <c r="EH7" s="21"/>
      <c r="EI7" s="21"/>
      <c r="EJ7" s="21"/>
      <c r="EK7" s="21"/>
      <c r="EL7" s="22"/>
      <c r="EM7" s="21"/>
      <c r="EN7" s="21"/>
      <c r="EO7" s="21"/>
      <c r="EP7" s="21"/>
      <c r="EQ7" s="22"/>
      <c r="ER7" s="21"/>
      <c r="ES7" s="21"/>
      <c r="ET7" s="21"/>
      <c r="EU7" s="21"/>
      <c r="EV7" s="22"/>
      <c r="EW7" s="21"/>
      <c r="EX7" s="21"/>
      <c r="EY7" s="21"/>
      <c r="EZ7" s="21" t="s">
        <v>13</v>
      </c>
      <c r="FA7" s="22"/>
      <c r="FB7" s="21"/>
      <c r="FC7" s="21"/>
      <c r="FD7" s="21"/>
      <c r="FE7" s="21"/>
      <c r="FF7" s="22"/>
      <c r="FG7" s="21"/>
      <c r="FH7" s="21"/>
      <c r="FI7" s="21"/>
      <c r="FJ7" s="21"/>
      <c r="FK7" s="22"/>
      <c r="FL7" s="21"/>
      <c r="FM7" s="21"/>
      <c r="FN7" s="21"/>
      <c r="FO7" s="21"/>
      <c r="FP7" s="22"/>
      <c r="FQ7" s="21"/>
      <c r="FR7" s="21"/>
      <c r="FS7" s="21"/>
      <c r="FT7" s="21"/>
      <c r="FU7" s="22"/>
      <c r="FV7" s="21"/>
      <c r="FW7" s="21"/>
      <c r="FX7" s="21"/>
      <c r="FY7" s="21"/>
      <c r="FZ7" s="22"/>
      <c r="GA7" s="21"/>
      <c r="GB7" s="21"/>
      <c r="GC7" s="21"/>
      <c r="GD7" s="21"/>
      <c r="GE7" s="22"/>
      <c r="GF7" s="21"/>
      <c r="GG7" s="21"/>
      <c r="GH7" s="21"/>
      <c r="GI7" s="21"/>
      <c r="GJ7" s="22"/>
      <c r="GK7" s="21"/>
      <c r="GL7" s="21"/>
      <c r="GM7" s="21"/>
      <c r="GN7" s="21"/>
      <c r="GO7" s="22"/>
      <c r="GP7" s="21"/>
      <c r="GQ7" s="21"/>
      <c r="GR7" s="21"/>
      <c r="GS7" s="21"/>
      <c r="GT7" s="22"/>
    </row>
    <row r="8" spans="1:202" ht="12.75" customHeight="1">
      <c r="A8" s="1"/>
      <c r="B8" s="23" t="s">
        <v>14</v>
      </c>
      <c r="C8" s="24"/>
      <c r="D8" s="24"/>
      <c r="E8" s="24"/>
      <c r="F8" s="24"/>
      <c r="G8" s="25"/>
      <c r="H8" s="24"/>
      <c r="I8" s="24"/>
      <c r="J8" s="24"/>
      <c r="K8" s="24"/>
      <c r="L8" s="25"/>
      <c r="M8" s="24"/>
      <c r="N8" s="24"/>
      <c r="O8" s="24"/>
      <c r="P8" s="24"/>
      <c r="Q8" s="25"/>
      <c r="R8" s="24"/>
      <c r="S8" s="24"/>
      <c r="T8" s="24"/>
      <c r="U8" s="24"/>
      <c r="V8" s="25"/>
      <c r="W8" s="24"/>
      <c r="X8" s="24"/>
      <c r="Y8" s="24"/>
      <c r="Z8" s="24"/>
      <c r="AA8" s="25"/>
      <c r="AB8" s="24"/>
      <c r="AC8" s="24"/>
      <c r="AD8" s="24"/>
      <c r="AE8" s="24"/>
      <c r="AF8" s="25"/>
      <c r="AG8" s="24"/>
      <c r="AH8" s="24"/>
      <c r="AI8" s="24"/>
      <c r="AJ8" s="24"/>
      <c r="AK8" s="25"/>
      <c r="AL8" s="24"/>
      <c r="AM8" s="24"/>
      <c r="AN8" s="24"/>
      <c r="AO8" s="24"/>
      <c r="AP8" s="25"/>
      <c r="AQ8" s="24"/>
      <c r="AR8" s="24"/>
      <c r="AS8" s="24"/>
      <c r="AT8" s="24"/>
      <c r="AU8" s="25"/>
      <c r="AV8" s="24"/>
      <c r="AW8" s="24"/>
      <c r="AX8" s="24"/>
      <c r="AY8" s="24"/>
      <c r="AZ8" s="25"/>
      <c r="BA8" s="24"/>
      <c r="BB8" s="24"/>
      <c r="BC8" s="24"/>
      <c r="BD8" s="24"/>
      <c r="BE8" s="25"/>
      <c r="BF8" s="24"/>
      <c r="BG8" s="24"/>
      <c r="BH8" s="24"/>
      <c r="BI8" s="24"/>
      <c r="BJ8" s="25"/>
      <c r="BK8" s="24"/>
      <c r="BL8" s="24"/>
      <c r="BM8" s="24"/>
      <c r="BN8" s="24"/>
      <c r="BO8" s="25"/>
      <c r="BP8" s="24"/>
      <c r="BQ8" s="24"/>
      <c r="BR8" s="24"/>
      <c r="BS8" s="24"/>
      <c r="BT8" s="25"/>
      <c r="BU8" s="24"/>
      <c r="BV8" s="24"/>
      <c r="BW8" s="24"/>
      <c r="BX8" s="24"/>
      <c r="BY8" s="25"/>
      <c r="BZ8" s="24"/>
      <c r="CA8" s="24"/>
      <c r="CB8" s="24"/>
      <c r="CC8" s="24"/>
      <c r="CD8" s="25"/>
      <c r="CE8" s="24"/>
      <c r="CF8" s="24"/>
      <c r="CG8" s="24"/>
      <c r="CH8" s="24"/>
      <c r="CI8" s="25"/>
      <c r="CJ8" s="24"/>
      <c r="CK8" s="24"/>
      <c r="CL8" s="24"/>
      <c r="CM8" s="24"/>
      <c r="CN8" s="25"/>
      <c r="CO8" s="24"/>
      <c r="CP8" s="24"/>
      <c r="CQ8" s="24"/>
      <c r="CR8" s="24"/>
      <c r="CS8" s="25"/>
      <c r="CT8" s="24"/>
      <c r="CU8" s="24"/>
      <c r="CV8" s="24"/>
      <c r="CW8" s="24"/>
      <c r="CX8" s="25"/>
      <c r="CY8" s="24"/>
      <c r="CZ8" s="24"/>
      <c r="DA8" s="24"/>
      <c r="DB8" s="24"/>
      <c r="DC8" s="25"/>
      <c r="DD8" s="24"/>
      <c r="DE8" s="24"/>
      <c r="DF8" s="24"/>
      <c r="DG8" s="24"/>
      <c r="DH8" s="25"/>
      <c r="DI8" s="24"/>
      <c r="DJ8" s="24"/>
      <c r="DK8" s="24"/>
      <c r="DL8" s="24"/>
      <c r="DM8" s="25"/>
      <c r="DN8" s="24"/>
      <c r="DO8" s="24"/>
      <c r="DP8" s="24"/>
      <c r="DQ8" s="24"/>
      <c r="DR8" s="25"/>
      <c r="DS8" s="24"/>
      <c r="DT8" s="24"/>
      <c r="DU8" s="24"/>
      <c r="DV8" s="24"/>
      <c r="DW8" s="25"/>
      <c r="DX8" s="24"/>
      <c r="DY8" s="24"/>
      <c r="DZ8" s="24"/>
      <c r="EA8" s="24"/>
      <c r="EB8" s="25"/>
      <c r="EC8" s="24"/>
      <c r="ED8" s="24"/>
      <c r="EE8" s="24"/>
      <c r="EF8" s="24"/>
      <c r="EG8" s="25"/>
      <c r="EH8" s="24"/>
      <c r="EI8" s="24"/>
      <c r="EJ8" s="24"/>
      <c r="EK8" s="24"/>
      <c r="EL8" s="25"/>
      <c r="EM8" s="24"/>
      <c r="EN8" s="24"/>
      <c r="EO8" s="24"/>
      <c r="EP8" s="24"/>
      <c r="EQ8" s="25"/>
      <c r="ER8" s="24"/>
      <c r="ES8" s="24"/>
      <c r="ET8" s="24"/>
      <c r="EU8" s="24"/>
      <c r="EV8" s="25"/>
      <c r="EW8" s="24"/>
      <c r="EX8" s="24"/>
      <c r="EY8" s="24"/>
      <c r="EZ8" s="24"/>
      <c r="FA8" s="25" t="s">
        <v>13</v>
      </c>
      <c r="FB8" s="24"/>
      <c r="FC8" s="24"/>
      <c r="FD8" s="24"/>
      <c r="FE8" s="24"/>
      <c r="FF8" s="25"/>
      <c r="FG8" s="24"/>
      <c r="FH8" s="24"/>
      <c r="FI8" s="24"/>
      <c r="FJ8" s="24"/>
      <c r="FK8" s="25"/>
      <c r="FL8" s="24"/>
      <c r="FM8" s="24"/>
      <c r="FN8" s="24"/>
      <c r="FO8" s="24"/>
      <c r="FP8" s="25"/>
      <c r="FQ8" s="24"/>
      <c r="FR8" s="24"/>
      <c r="FS8" s="24"/>
      <c r="FT8" s="24"/>
      <c r="FU8" s="25"/>
      <c r="FV8" s="24"/>
      <c r="FW8" s="24"/>
      <c r="FX8" s="24"/>
      <c r="FY8" s="24"/>
      <c r="FZ8" s="25"/>
      <c r="GA8" s="24"/>
      <c r="GB8" s="24"/>
      <c r="GC8" s="24"/>
      <c r="GD8" s="24"/>
      <c r="GE8" s="25"/>
      <c r="GF8" s="24"/>
      <c r="GG8" s="24"/>
      <c r="GH8" s="24"/>
      <c r="GI8" s="24"/>
      <c r="GJ8" s="25"/>
      <c r="GK8" s="24"/>
      <c r="GL8" s="24"/>
      <c r="GM8" s="24"/>
      <c r="GN8" s="24"/>
      <c r="GO8" s="25"/>
      <c r="GP8" s="24"/>
      <c r="GQ8" s="24"/>
      <c r="GR8" s="24"/>
      <c r="GS8" s="24"/>
      <c r="GT8" s="25"/>
    </row>
    <row r="9" spans="1:202" ht="12.75" customHeight="1">
      <c r="A9" s="1"/>
      <c r="B9" s="26" t="s">
        <v>15</v>
      </c>
      <c r="C9" s="27"/>
      <c r="D9" s="27"/>
      <c r="E9" s="27"/>
      <c r="F9" s="27"/>
      <c r="G9" s="28"/>
      <c r="H9" s="27"/>
      <c r="I9" s="27"/>
      <c r="J9" s="27"/>
      <c r="K9" s="27"/>
      <c r="L9" s="28"/>
      <c r="M9" s="27"/>
      <c r="N9" s="27"/>
      <c r="O9" s="27"/>
      <c r="P9" s="27"/>
      <c r="Q9" s="28"/>
      <c r="R9" s="27"/>
      <c r="S9" s="27"/>
      <c r="T9" s="27"/>
      <c r="U9" s="27"/>
      <c r="V9" s="28"/>
      <c r="W9" s="27"/>
      <c r="X9" s="27"/>
      <c r="Y9" s="27"/>
      <c r="Z9" s="27"/>
      <c r="AA9" s="28"/>
      <c r="AB9" s="27"/>
      <c r="AC9" s="27"/>
      <c r="AD9" s="27"/>
      <c r="AE9" s="27"/>
      <c r="AF9" s="28"/>
      <c r="AG9" s="27"/>
      <c r="AH9" s="27"/>
      <c r="AI9" s="27"/>
      <c r="AJ9" s="27"/>
      <c r="AK9" s="28"/>
      <c r="AL9" s="27"/>
      <c r="AM9" s="27"/>
      <c r="AN9" s="27"/>
      <c r="AO9" s="27"/>
      <c r="AP9" s="28"/>
      <c r="AQ9" s="27"/>
      <c r="AR9" s="27"/>
      <c r="AS9" s="27"/>
      <c r="AT9" s="27"/>
      <c r="AU9" s="28"/>
      <c r="AV9" s="27"/>
      <c r="AW9" s="27"/>
      <c r="AX9" s="27"/>
      <c r="AY9" s="27"/>
      <c r="AZ9" s="28"/>
      <c r="BA9" s="27"/>
      <c r="BB9" s="27"/>
      <c r="BC9" s="27"/>
      <c r="BD9" s="27"/>
      <c r="BE9" s="28"/>
      <c r="BF9" s="27"/>
      <c r="BG9" s="27"/>
      <c r="BH9" s="27"/>
      <c r="BI9" s="27"/>
      <c r="BJ9" s="28"/>
      <c r="BK9" s="27"/>
      <c r="BL9" s="27"/>
      <c r="BM9" s="27"/>
      <c r="BN9" s="27"/>
      <c r="BO9" s="28"/>
      <c r="BP9" s="27"/>
      <c r="BQ9" s="27"/>
      <c r="BR9" s="27"/>
      <c r="BS9" s="27"/>
      <c r="BT9" s="28"/>
      <c r="BU9" s="27"/>
      <c r="BV9" s="27"/>
      <c r="BW9" s="27"/>
      <c r="BX9" s="27"/>
      <c r="BY9" s="28"/>
      <c r="BZ9" s="27"/>
      <c r="CA9" s="27"/>
      <c r="CB9" s="27"/>
      <c r="CC9" s="27"/>
      <c r="CD9" s="28"/>
      <c r="CE9" s="27"/>
      <c r="CF9" s="27"/>
      <c r="CG9" s="27"/>
      <c r="CH9" s="27"/>
      <c r="CI9" s="28"/>
      <c r="CJ9" s="27"/>
      <c r="CK9" s="27"/>
      <c r="CL9" s="27"/>
      <c r="CM9" s="27"/>
      <c r="CN9" s="28"/>
      <c r="CO9" s="27"/>
      <c r="CP9" s="27"/>
      <c r="CQ9" s="27"/>
      <c r="CR9" s="27"/>
      <c r="CS9" s="28"/>
      <c r="CT9" s="27"/>
      <c r="CU9" s="27"/>
      <c r="CV9" s="27"/>
      <c r="CW9" s="27"/>
      <c r="CX9" s="28"/>
      <c r="CY9" s="27"/>
      <c r="CZ9" s="27"/>
      <c r="DA9" s="27"/>
      <c r="DB9" s="27"/>
      <c r="DC9" s="28"/>
      <c r="DD9" s="27"/>
      <c r="DE9" s="27"/>
      <c r="DF9" s="27"/>
      <c r="DG9" s="27"/>
      <c r="DH9" s="28"/>
      <c r="DI9" s="27"/>
      <c r="DJ9" s="27"/>
      <c r="DK9" s="27"/>
      <c r="DL9" s="27"/>
      <c r="DM9" s="28"/>
      <c r="DN9" s="27"/>
      <c r="DO9" s="27"/>
      <c r="DP9" s="27"/>
      <c r="DQ9" s="27"/>
      <c r="DR9" s="28"/>
      <c r="DS9" s="27"/>
      <c r="DT9" s="27"/>
      <c r="DU9" s="27"/>
      <c r="DV9" s="27"/>
      <c r="DW9" s="28"/>
      <c r="DX9" s="27"/>
      <c r="DY9" s="27"/>
      <c r="DZ9" s="27"/>
      <c r="EA9" s="27"/>
      <c r="EB9" s="28"/>
      <c r="EC9" s="27"/>
      <c r="ED9" s="27"/>
      <c r="EE9" s="27"/>
      <c r="EF9" s="27"/>
      <c r="EG9" s="28"/>
      <c r="EH9" s="27"/>
      <c r="EI9" s="27"/>
      <c r="EJ9" s="27"/>
      <c r="EK9" s="27"/>
      <c r="EL9" s="28"/>
      <c r="EM9" s="27"/>
      <c r="EN9" s="27"/>
      <c r="EO9" s="27"/>
      <c r="EP9" s="27"/>
      <c r="EQ9" s="28"/>
      <c r="ER9" s="27"/>
      <c r="ES9" s="27"/>
      <c r="ET9" s="27"/>
      <c r="EU9" s="27"/>
      <c r="EV9" s="28"/>
      <c r="EW9" s="27"/>
      <c r="EX9" s="27"/>
      <c r="EY9" s="27"/>
      <c r="EZ9" s="27"/>
      <c r="FA9" s="28"/>
      <c r="FB9" s="27"/>
      <c r="FC9" s="27"/>
      <c r="FD9" s="27"/>
      <c r="FE9" s="27"/>
      <c r="FF9" s="28"/>
      <c r="FG9" s="27"/>
      <c r="FH9" s="27"/>
      <c r="FI9" s="27"/>
      <c r="FJ9" s="27"/>
      <c r="FK9" s="28"/>
      <c r="FL9" s="27"/>
      <c r="FM9" s="27"/>
      <c r="FN9" s="27"/>
      <c r="FO9" s="27"/>
      <c r="FP9" s="28"/>
      <c r="FQ9" s="27"/>
      <c r="FR9" s="27"/>
      <c r="FS9" s="27"/>
      <c r="FT9" s="27"/>
      <c r="FU9" s="28"/>
      <c r="FV9" s="27"/>
      <c r="FW9" s="27"/>
      <c r="FX9" s="27"/>
      <c r="FY9" s="27"/>
      <c r="FZ9" s="28"/>
      <c r="GA9" s="27"/>
      <c r="GB9" s="27"/>
      <c r="GC9" s="27"/>
      <c r="GD9" s="27"/>
      <c r="GE9" s="28"/>
      <c r="GF9" s="27"/>
      <c r="GG9" s="27"/>
      <c r="GH9" s="27"/>
      <c r="GI9" s="27"/>
      <c r="GJ9" s="28"/>
      <c r="GK9" s="27"/>
      <c r="GL9" s="27"/>
      <c r="GM9" s="27"/>
      <c r="GN9" s="27"/>
      <c r="GO9" s="28"/>
      <c r="GP9" s="27"/>
      <c r="GQ9" s="27"/>
      <c r="GR9" s="27"/>
      <c r="GS9" s="27"/>
      <c r="GT9" s="28"/>
    </row>
    <row r="10" spans="1:202" ht="12.75" customHeight="1">
      <c r="A10" s="1"/>
      <c r="B10" s="29"/>
      <c r="C10" s="20"/>
      <c r="D10" s="20"/>
      <c r="E10" s="20"/>
      <c r="F10" s="20"/>
      <c r="G10" s="20"/>
      <c r="H10" s="20"/>
      <c r="I10" s="20"/>
      <c r="J10" s="20"/>
      <c r="K10" s="20"/>
      <c r="L10" s="20"/>
      <c r="M10" s="20"/>
      <c r="N10" s="20"/>
      <c r="O10" s="20"/>
      <c r="P10" s="20"/>
      <c r="Q10" s="20"/>
      <c r="R10" s="20"/>
      <c r="S10" s="20"/>
      <c r="T10" s="20"/>
      <c r="U10" s="20"/>
      <c r="V10" s="20"/>
      <c r="W10" s="20"/>
      <c r="X10" s="20"/>
      <c r="Y10" s="20"/>
      <c r="Z10" s="20"/>
      <c r="AA10" s="20"/>
      <c r="AB10" s="20"/>
      <c r="AC10" s="20"/>
      <c r="AD10" s="20"/>
      <c r="AE10" s="20"/>
      <c r="AF10" s="20"/>
      <c r="AG10" s="20"/>
      <c r="AH10" s="20"/>
      <c r="AI10" s="20"/>
      <c r="AJ10" s="20"/>
      <c r="AK10" s="20"/>
      <c r="AL10" s="20"/>
      <c r="AM10" s="20"/>
      <c r="AN10" s="20"/>
      <c r="AO10" s="20"/>
      <c r="AP10" s="20"/>
      <c r="AQ10" s="20"/>
      <c r="AR10" s="20"/>
      <c r="AS10" s="20"/>
      <c r="AT10" s="20"/>
      <c r="AU10" s="20"/>
      <c r="AV10" s="20"/>
      <c r="AW10" s="20"/>
      <c r="AX10" s="20"/>
      <c r="AY10" s="20"/>
      <c r="AZ10" s="20"/>
      <c r="BA10" s="20"/>
      <c r="BB10" s="20"/>
      <c r="BC10" s="20"/>
      <c r="BD10" s="20"/>
      <c r="BE10" s="20"/>
      <c r="BF10" s="20"/>
      <c r="BG10" s="20"/>
      <c r="BH10" s="20"/>
      <c r="BI10" s="20"/>
      <c r="BJ10" s="20"/>
      <c r="BK10" s="20"/>
      <c r="BL10" s="20"/>
      <c r="BM10" s="20"/>
      <c r="BN10" s="20"/>
      <c r="BO10" s="20"/>
      <c r="BP10" s="20"/>
      <c r="BQ10" s="20"/>
      <c r="BR10" s="20"/>
      <c r="BS10" s="20"/>
      <c r="BT10" s="20"/>
      <c r="BU10" s="20"/>
      <c r="BV10" s="20"/>
      <c r="BW10" s="20"/>
      <c r="BX10" s="20"/>
      <c r="BY10" s="20"/>
      <c r="BZ10" s="20"/>
      <c r="CA10" s="20"/>
      <c r="CB10" s="20"/>
      <c r="CC10" s="20"/>
      <c r="CD10" s="20"/>
      <c r="CE10" s="20"/>
      <c r="CF10" s="20"/>
      <c r="CG10" s="20"/>
      <c r="CH10" s="20"/>
      <c r="CI10" s="20"/>
      <c r="CJ10" s="20"/>
      <c r="CK10" s="20"/>
      <c r="CL10" s="20"/>
      <c r="CM10" s="20"/>
      <c r="CN10" s="20"/>
      <c r="CO10" s="20"/>
      <c r="CP10" s="20"/>
      <c r="CQ10" s="20"/>
      <c r="CR10" s="20"/>
      <c r="CS10" s="20"/>
      <c r="CT10" s="20"/>
      <c r="CU10" s="20"/>
      <c r="CV10" s="20"/>
      <c r="CW10" s="20"/>
      <c r="CX10" s="20"/>
      <c r="CY10" s="20"/>
      <c r="CZ10" s="20"/>
      <c r="DA10" s="20"/>
      <c r="DB10" s="20"/>
      <c r="DC10" s="20"/>
      <c r="DD10" s="20"/>
      <c r="DE10" s="20"/>
      <c r="DF10" s="20"/>
      <c r="DG10" s="20"/>
      <c r="DH10" s="20"/>
      <c r="DI10" s="20"/>
      <c r="DJ10" s="20"/>
      <c r="DK10" s="20"/>
      <c r="DL10" s="20"/>
      <c r="DM10" s="20"/>
      <c r="DN10" s="20"/>
      <c r="DO10" s="20"/>
      <c r="DP10" s="20"/>
      <c r="DQ10" s="20"/>
      <c r="DR10" s="20"/>
      <c r="DS10" s="20"/>
      <c r="DT10" s="20"/>
      <c r="DU10" s="20"/>
      <c r="DV10" s="20"/>
      <c r="DW10" s="20"/>
      <c r="DX10" s="20"/>
      <c r="DY10" s="20"/>
      <c r="DZ10" s="20"/>
      <c r="EA10" s="20"/>
      <c r="EB10" s="20"/>
      <c r="EC10" s="20"/>
      <c r="ED10" s="20"/>
      <c r="EE10" s="20"/>
      <c r="EF10" s="20"/>
      <c r="EG10" s="20"/>
      <c r="EH10" s="20"/>
      <c r="EI10" s="20"/>
      <c r="EJ10" s="20"/>
      <c r="EK10" s="20"/>
      <c r="EL10" s="20"/>
      <c r="EM10" s="20"/>
      <c r="EN10" s="20"/>
      <c r="EO10" s="20"/>
      <c r="EP10" s="20"/>
      <c r="EQ10" s="20"/>
      <c r="ER10" s="20"/>
      <c r="ES10" s="20"/>
      <c r="ET10" s="20"/>
      <c r="EU10" s="20"/>
      <c r="EV10" s="20"/>
      <c r="EW10" s="20"/>
      <c r="EX10" s="20"/>
      <c r="EY10" s="20"/>
      <c r="EZ10" s="20"/>
      <c r="FA10" s="20"/>
      <c r="FB10" s="20"/>
      <c r="FC10" s="20"/>
      <c r="FD10" s="20"/>
      <c r="FE10" s="20"/>
      <c r="FF10" s="20"/>
      <c r="FG10" s="20"/>
      <c r="FH10" s="20"/>
      <c r="FI10" s="20"/>
      <c r="FJ10" s="20"/>
      <c r="FK10" s="20"/>
      <c r="FL10" s="20"/>
      <c r="FM10" s="20"/>
      <c r="FN10" s="20"/>
      <c r="FO10" s="20"/>
      <c r="FP10" s="20"/>
      <c r="FQ10" s="20"/>
      <c r="FR10" s="20"/>
      <c r="FS10" s="20"/>
      <c r="FT10" s="20"/>
      <c r="FU10" s="20"/>
      <c r="FV10" s="20"/>
      <c r="FW10" s="20"/>
      <c r="FX10" s="20"/>
      <c r="FY10" s="20"/>
      <c r="FZ10" s="20"/>
      <c r="GA10" s="20"/>
      <c r="GB10" s="20"/>
      <c r="GC10" s="20"/>
      <c r="GD10" s="20"/>
      <c r="GE10" s="20"/>
      <c r="GF10" s="20"/>
      <c r="GG10" s="20"/>
      <c r="GH10" s="20"/>
      <c r="GI10" s="20"/>
      <c r="GJ10" s="20"/>
      <c r="GK10" s="20"/>
      <c r="GL10" s="20"/>
      <c r="GM10" s="20"/>
      <c r="GN10" s="20"/>
      <c r="GO10" s="20"/>
      <c r="GP10" s="20"/>
      <c r="GQ10" s="20"/>
      <c r="GR10" s="20"/>
      <c r="GS10" s="20"/>
      <c r="GT10" s="20"/>
    </row>
    <row r="11" spans="1:202" s="17" customFormat="1" ht="12.75" customHeight="1">
      <c r="A11" s="13"/>
      <c r="B11" s="30"/>
      <c r="C11" s="32">
        <v>34607</v>
      </c>
      <c r="D11" s="31">
        <f>EOMONTH(C11, 3)</f>
      </c>
      <c r="E11" s="31">
        <f>EOMONTH(D11, 3)</f>
      </c>
      <c r="F11" s="31">
        <f>EOMONTH(E11, 3)</f>
      </c>
      <c r="G11" s="31">
        <f>F11</f>
      </c>
      <c r="H11" s="31">
        <f>EOMONTH(F11, 3)</f>
      </c>
      <c r="I11" s="31">
        <f>EOMONTH(H11, 3)</f>
      </c>
      <c r="J11" s="31">
        <f>EOMONTH(I11, 3)</f>
      </c>
      <c r="K11" s="31">
        <f>EOMONTH(J11, 3)</f>
      </c>
      <c r="L11" s="31">
        <f>K11</f>
      </c>
      <c r="M11" s="31">
        <f>EOMONTH(K11, 3)</f>
      </c>
      <c r="N11" s="31">
        <f>EOMONTH(M11, 3)</f>
      </c>
      <c r="O11" s="31">
        <f>EOMONTH(N11, 3)</f>
      </c>
      <c r="P11" s="31">
        <f>EOMONTH(O11, 3)</f>
      </c>
      <c r="Q11" s="31">
        <f>P11</f>
      </c>
      <c r="R11" s="31">
        <f>EOMONTH(P11, 3)</f>
      </c>
      <c r="S11" s="31">
        <f>EOMONTH(R11, 3)</f>
      </c>
      <c r="T11" s="31">
        <f>EOMONTH(S11, 3)</f>
      </c>
      <c r="U11" s="31">
        <f>EOMONTH(T11, 3)</f>
      </c>
      <c r="V11" s="31">
        <f>U11</f>
      </c>
      <c r="W11" s="31">
        <f>EOMONTH(U11, 3)</f>
      </c>
      <c r="X11" s="31">
        <f>EOMONTH(W11, 3)</f>
      </c>
      <c r="Y11" s="31">
        <f>EOMONTH(X11, 3)</f>
      </c>
      <c r="Z11" s="31">
        <f>EOMONTH(Y11, 3)</f>
      </c>
      <c r="AA11" s="31">
        <f>Z11</f>
      </c>
      <c r="AB11" s="31">
        <f>EOMONTH(Z11, 3)</f>
      </c>
      <c r="AC11" s="31">
        <f>EOMONTH(AB11, 3)</f>
      </c>
      <c r="AD11" s="31">
        <f>EOMONTH(AC11, 3)</f>
      </c>
      <c r="AE11" s="31">
        <f>EOMONTH(AD11, 3)</f>
      </c>
      <c r="AF11" s="31">
        <f>AE11</f>
      </c>
      <c r="AG11" s="31">
        <f>EOMONTH(AE11, 3)</f>
      </c>
      <c r="AH11" s="31">
        <f>EOMONTH(AG11, 3)</f>
      </c>
      <c r="AI11" s="31">
        <f>EOMONTH(AH11, 3)</f>
      </c>
      <c r="AJ11" s="31">
        <f>EOMONTH(AI11, 3)</f>
      </c>
      <c r="AK11" s="31">
        <f>AJ11</f>
      </c>
      <c r="AL11" s="31">
        <f>EOMONTH(AJ11, 3)</f>
      </c>
      <c r="AM11" s="31">
        <f>EOMONTH(AL11, 3)</f>
      </c>
      <c r="AN11" s="31">
        <f>EOMONTH(AM11, 3)</f>
      </c>
      <c r="AO11" s="31">
        <f>EOMONTH(AN11, 3)</f>
      </c>
      <c r="AP11" s="31">
        <f>AO11</f>
      </c>
      <c r="AQ11" s="31">
        <f>EOMONTH(AO11, 3)</f>
      </c>
      <c r="AR11" s="31">
        <f>EOMONTH(AQ11, 3)</f>
      </c>
      <c r="AS11" s="31">
        <f>EOMONTH(AR11, 3)</f>
      </c>
      <c r="AT11" s="31">
        <f>EOMONTH(AS11, 3)</f>
      </c>
      <c r="AU11" s="31">
        <f>AT11</f>
      </c>
      <c r="AV11" s="31">
        <f>EOMONTH(AT11, 3)</f>
      </c>
      <c r="AW11" s="31">
        <f>EOMONTH(AV11, 3)</f>
      </c>
      <c r="AX11" s="31">
        <f>EOMONTH(AW11, 3)</f>
      </c>
      <c r="AY11" s="31">
        <f>EOMONTH(AX11, 3)</f>
      </c>
      <c r="AZ11" s="31">
        <f>AY11</f>
      </c>
      <c r="BA11" s="31">
        <f>EOMONTH(AY11, 3)</f>
      </c>
      <c r="BB11" s="31">
        <f>EOMONTH(BA11, 3)</f>
      </c>
      <c r="BC11" s="31">
        <f>EOMONTH(BB11, 3)</f>
      </c>
      <c r="BD11" s="31">
        <f>EOMONTH(BC11, 3)</f>
      </c>
      <c r="BE11" s="31">
        <f>BD11</f>
      </c>
      <c r="BF11" s="31">
        <f>EOMONTH(BD11, 3)</f>
      </c>
      <c r="BG11" s="31">
        <f>EOMONTH(BF11, 3)</f>
      </c>
      <c r="BH11" s="31">
        <f>EOMONTH(BG11, 3)</f>
      </c>
      <c r="BI11" s="31">
        <f>EOMONTH(BH11, 3)</f>
      </c>
      <c r="BJ11" s="31">
        <f>BI11</f>
      </c>
      <c r="BK11" s="31">
        <f>EOMONTH(BI11, 3)</f>
      </c>
      <c r="BL11" s="31">
        <f>EOMONTH(BK11, 3)</f>
      </c>
      <c r="BM11" s="31">
        <f>EOMONTH(BL11, 3)</f>
      </c>
      <c r="BN11" s="31">
        <f>EOMONTH(BM11, 3)</f>
      </c>
      <c r="BO11" s="31">
        <f>BN11</f>
      </c>
      <c r="BP11" s="31">
        <f>EOMONTH(BN11, 3)</f>
      </c>
      <c r="BQ11" s="31">
        <f>EOMONTH(BP11, 3)</f>
      </c>
      <c r="BR11" s="31">
        <f>EOMONTH(BQ11, 3)</f>
      </c>
      <c r="BS11" s="31">
        <f>EOMONTH(BR11, 3)</f>
      </c>
      <c r="BT11" s="31">
        <f>BS11</f>
      </c>
      <c r="BU11" s="31">
        <f>EOMONTH(BS11, 3)</f>
      </c>
      <c r="BV11" s="31">
        <f>EOMONTH(BU11, 3)</f>
      </c>
      <c r="BW11" s="31">
        <f>EOMONTH(BV11, 3)</f>
      </c>
      <c r="BX11" s="31">
        <f>EOMONTH(BW11, 3)</f>
      </c>
      <c r="BY11" s="31">
        <f>BX11</f>
      </c>
      <c r="BZ11" s="31">
        <f>EOMONTH(BX11, 3)</f>
      </c>
      <c r="CA11" s="31">
        <f>EOMONTH(BZ11, 3)</f>
      </c>
      <c r="CB11" s="31">
        <f>EOMONTH(CA11, 3)</f>
      </c>
      <c r="CC11" s="31">
        <f>EOMONTH(CB11, 3)</f>
      </c>
      <c r="CD11" s="31">
        <f>CC11</f>
      </c>
      <c r="CE11" s="31">
        <f>EOMONTH(CC11, 3)</f>
      </c>
      <c r="CF11" s="31">
        <f>EOMONTH(CE11, 3)</f>
      </c>
      <c r="CG11" s="31">
        <f>EOMONTH(CF11, 3)</f>
      </c>
      <c r="CH11" s="31">
        <f>EOMONTH(CG11, 3)</f>
      </c>
      <c r="CI11" s="31">
        <f>CH11</f>
      </c>
      <c r="CJ11" s="31">
        <f>EOMONTH(CH11, 3)</f>
      </c>
      <c r="CK11" s="31">
        <f>EOMONTH(CJ11, 3)</f>
      </c>
      <c r="CL11" s="31">
        <f>EOMONTH(CK11, 3)</f>
      </c>
      <c r="CM11" s="31">
        <f>EOMONTH(CL11, 3)</f>
      </c>
      <c r="CN11" s="31">
        <f>CM11</f>
      </c>
      <c r="CO11" s="31">
        <f>EOMONTH(CM11, 3)</f>
      </c>
      <c r="CP11" s="31">
        <f>EOMONTH(CO11, 3)</f>
      </c>
      <c r="CQ11" s="31">
        <f>EOMONTH(CP11, 3)</f>
      </c>
      <c r="CR11" s="31">
        <f>EOMONTH(CQ11, 3)</f>
      </c>
      <c r="CS11" s="31">
        <f>CR11</f>
      </c>
      <c r="CT11" s="31">
        <f>EOMONTH(CR11, 3)</f>
      </c>
      <c r="CU11" s="31">
        <f>EOMONTH(CT11, 3)</f>
      </c>
      <c r="CV11" s="31">
        <f>EOMONTH(CU11, 3)</f>
      </c>
      <c r="CW11" s="31">
        <f>EOMONTH(CV11, 3)</f>
      </c>
      <c r="CX11" s="31">
        <f>CW11</f>
      </c>
      <c r="CY11" s="31">
        <f>EOMONTH(CW11, 3)</f>
      </c>
      <c r="CZ11" s="31">
        <f>EOMONTH(CY11, 3)</f>
      </c>
      <c r="DA11" s="31">
        <f>EOMONTH(CZ11, 3)</f>
      </c>
      <c r="DB11" s="31">
        <f>EOMONTH(DA11, 3)</f>
      </c>
      <c r="DC11" s="31">
        <f>DB11</f>
      </c>
      <c r="DD11" s="31">
        <f>EOMONTH(DB11, 3)</f>
      </c>
      <c r="DE11" s="31">
        <f>EOMONTH(DD11, 3)</f>
      </c>
      <c r="DF11" s="31">
        <f>EOMONTH(DE11, 3)</f>
      </c>
      <c r="DG11" s="31">
        <f>EOMONTH(DF11, 3)</f>
      </c>
      <c r="DH11" s="31">
        <f>DG11</f>
      </c>
      <c r="DI11" s="31">
        <f>EOMONTH(DG11, 3)</f>
      </c>
      <c r="DJ11" s="31">
        <f>EOMONTH(DI11, 3)</f>
      </c>
      <c r="DK11" s="31">
        <f>EOMONTH(DJ11, 3)</f>
      </c>
      <c r="DL11" s="31">
        <f>EOMONTH(DK11, 3)</f>
      </c>
      <c r="DM11" s="31">
        <f>DL11</f>
      </c>
      <c r="DN11" s="31">
        <f>EOMONTH(DL11, 3)</f>
      </c>
      <c r="DO11" s="31">
        <f>EOMONTH(DN11, 3)</f>
      </c>
      <c r="DP11" s="31">
        <f>EOMONTH(DO11, 3)</f>
      </c>
      <c r="DQ11" s="31">
        <f>EOMONTH(DP11, 3)</f>
      </c>
      <c r="DR11" s="31">
        <f>DQ11</f>
      </c>
      <c r="DS11" s="31">
        <f>EOMONTH(DQ11, 3)</f>
      </c>
      <c r="DT11" s="31">
        <f>EOMONTH(DS11, 3)</f>
      </c>
      <c r="DU11" s="31">
        <f>EOMONTH(DT11, 3)</f>
      </c>
      <c r="DV11" s="31">
        <f>EOMONTH(DU11, 3)</f>
      </c>
      <c r="DW11" s="31">
        <f>DV11</f>
      </c>
      <c r="DX11" s="31">
        <f>EOMONTH(DV11, 3)</f>
      </c>
      <c r="DY11" s="31">
        <f>EOMONTH(DX11, 3)</f>
      </c>
      <c r="DZ11" s="31">
        <f>EOMONTH(DY11, 3)</f>
      </c>
      <c r="EA11" s="31">
        <f>EOMONTH(DZ11, 3)</f>
      </c>
      <c r="EB11" s="31">
        <f>EA11</f>
      </c>
      <c r="EC11" s="31">
        <f>EOMONTH(EA11, 3)</f>
      </c>
      <c r="ED11" s="31">
        <f>EOMONTH(EC11, 3)</f>
      </c>
      <c r="EE11" s="31">
        <f>EOMONTH(ED11, 3)</f>
      </c>
      <c r="EF11" s="31">
        <f>EOMONTH(EE11, 3)</f>
      </c>
      <c r="EG11" s="31">
        <f>EF11</f>
      </c>
      <c r="EH11" s="31">
        <f>EOMONTH(EF11, 3)</f>
      </c>
      <c r="EI11" s="31">
        <f>EOMONTH(EH11, 3)</f>
      </c>
      <c r="EJ11" s="31">
        <f>EOMONTH(EI11, 3)</f>
      </c>
      <c r="EK11" s="31">
        <f>EOMONTH(EJ11, 3)</f>
      </c>
      <c r="EL11" s="31">
        <f>EK11</f>
      </c>
      <c r="EM11" s="31">
        <f>EOMONTH(EK11, 3)</f>
      </c>
      <c r="EN11" s="31">
        <f>EOMONTH(EM11, 3)</f>
      </c>
      <c r="EO11" s="31">
        <f>EOMONTH(EN11, 3)</f>
      </c>
      <c r="EP11" s="31">
        <f>EOMONTH(EO11, 3)</f>
      </c>
      <c r="EQ11" s="31">
        <f>EP11</f>
      </c>
      <c r="ER11" s="31">
        <f>EOMONTH(EP11, 3)</f>
      </c>
      <c r="ES11" s="31">
        <f>EOMONTH(ER11, 3)</f>
      </c>
      <c r="ET11" s="31">
        <f>EOMONTH(ES11, 3)</f>
      </c>
      <c r="EU11" s="31">
        <f>EOMONTH(ET11, 3)</f>
      </c>
      <c r="EV11" s="31">
        <f>EU11</f>
      </c>
      <c r="EW11" s="31">
        <f>EOMONTH(EU11, 3)</f>
      </c>
      <c r="EX11" s="31">
        <f>EOMONTH(EW11, 3)</f>
      </c>
      <c r="EY11" s="31">
        <f>EOMONTH(EX11, 3)</f>
      </c>
      <c r="EZ11" s="31">
        <f>EOMONTH(EY11, 3)</f>
      </c>
      <c r="FA11" s="31">
        <f>EZ11</f>
      </c>
      <c r="FB11" s="31">
        <f>EOMONTH(EZ11, 3)</f>
      </c>
      <c r="FC11" s="31">
        <f>EOMONTH(FB11, 3)</f>
      </c>
      <c r="FD11" s="31">
        <f>EOMONTH(FC11, 3)</f>
      </c>
      <c r="FE11" s="31">
        <f>EOMONTH(FD11, 3)</f>
      </c>
      <c r="FF11" s="31">
        <f>FE11</f>
      </c>
      <c r="FG11" s="31">
        <f>EOMONTH(FE11, 3)</f>
      </c>
      <c r="FH11" s="31">
        <f>EOMONTH(FG11, 3)</f>
      </c>
      <c r="FI11" s="31">
        <f>EOMONTH(FH11, 3)</f>
      </c>
      <c r="FJ11" s="31">
        <f>EOMONTH(FI11, 3)</f>
      </c>
      <c r="FK11" s="31">
        <f>FJ11</f>
      </c>
      <c r="FL11" s="31">
        <f>EOMONTH(FJ11, 3)</f>
      </c>
      <c r="FM11" s="31">
        <f>EOMONTH(FL11, 3)</f>
      </c>
      <c r="FN11" s="31">
        <f>EOMONTH(FM11, 3)</f>
      </c>
      <c r="FO11" s="31">
        <f>EOMONTH(FN11, 3)</f>
      </c>
      <c r="FP11" s="31">
        <f>FO11</f>
      </c>
      <c r="FQ11" s="31">
        <f>EOMONTH(FO11, 3)</f>
      </c>
      <c r="FR11" s="31">
        <f>EOMONTH(FQ11, 3)</f>
      </c>
      <c r="FS11" s="31">
        <f>EOMONTH(FR11, 3)</f>
      </c>
      <c r="FT11" s="31">
        <f>EOMONTH(FS11, 3)</f>
      </c>
      <c r="FU11" s="31">
        <f>FT11</f>
      </c>
      <c r="FV11" s="31">
        <f>EOMONTH(FT11, 3)</f>
      </c>
      <c r="FW11" s="31">
        <f>EOMONTH(FV11, 3)</f>
      </c>
      <c r="FX11" s="31">
        <f>EOMONTH(FW11, 3)</f>
      </c>
      <c r="FY11" s="31">
        <f>EOMONTH(FX11, 3)</f>
      </c>
      <c r="FZ11" s="31">
        <f>FY11</f>
      </c>
      <c r="GA11" s="31">
        <f>EOMONTH(FY11, 3)</f>
      </c>
      <c r="GB11" s="31">
        <f>EOMONTH(GA11, 3)</f>
      </c>
      <c r="GC11" s="31">
        <f>EOMONTH(GB11, 3)</f>
      </c>
      <c r="GD11" s="31">
        <f>EOMONTH(GC11, 3)</f>
      </c>
      <c r="GE11" s="31">
        <f>GD11</f>
      </c>
      <c r="GF11" s="31">
        <f>EOMONTH(GD11, 3)</f>
      </c>
      <c r="GG11" s="31">
        <f>EOMONTH(GF11, 3)</f>
      </c>
      <c r="GH11" s="31">
        <f>EOMONTH(GG11, 3)</f>
      </c>
      <c r="GI11" s="31">
        <f>EOMONTH(GH11, 3)</f>
      </c>
      <c r="GJ11" s="31">
        <f>GI11</f>
      </c>
      <c r="GK11" s="31">
        <f>EOMONTH(GI11, 3)</f>
      </c>
      <c r="GL11" s="31">
        <f>EOMONTH(GK11, 3)</f>
      </c>
      <c r="GM11" s="31">
        <f>EOMONTH(GL11, 3)</f>
      </c>
      <c r="GN11" s="31">
        <f>EOMONTH(GM11, 3)</f>
      </c>
      <c r="GO11" s="31">
        <f>GN11</f>
      </c>
      <c r="GP11" s="31">
        <f>EOMONTH(GN11, 3)</f>
      </c>
      <c r="GQ11" s="31">
        <f>EOMONTH(GP11, 3)</f>
      </c>
      <c r="GR11" s="31">
        <f>EOMONTH(GQ11, 3)</f>
      </c>
      <c r="GS11" s="31">
        <f>EOMONTH(GR11, 3)</f>
      </c>
      <c r="GT11" s="31">
        <f>GS11</f>
      </c>
    </row>
    <row r="12" spans="1:202" ht="12.75" customHeight="1">
      <c r="A12" s="1"/>
      <c r="B12" s="1" t="s">
        <v>16</v>
      </c>
      <c r="C12" s="15" t="s">
        <v>17</v>
      </c>
      <c r="D12" s="14" t="s">
        <v>18</v>
      </c>
      <c r="E12" s="14" t="s">
        <v>19</v>
      </c>
      <c r="F12" s="14" t="s">
        <v>20</v>
      </c>
      <c r="G12" s="11" t="s">
        <v>21</v>
      </c>
      <c r="H12" s="15" t="s">
        <v>17</v>
      </c>
      <c r="I12" s="14" t="s">
        <v>18</v>
      </c>
      <c r="J12" s="14" t="s">
        <v>19</v>
      </c>
      <c r="K12" s="14" t="s">
        <v>20</v>
      </c>
      <c r="L12" s="11" t="s">
        <v>21</v>
      </c>
      <c r="M12" s="15" t="s">
        <v>17</v>
      </c>
      <c r="N12" s="14" t="s">
        <v>18</v>
      </c>
      <c r="O12" s="14" t="s">
        <v>19</v>
      </c>
      <c r="P12" s="14" t="s">
        <v>20</v>
      </c>
      <c r="Q12" s="11" t="s">
        <v>21</v>
      </c>
      <c r="R12" s="15" t="s">
        <v>17</v>
      </c>
      <c r="S12" s="14" t="s">
        <v>18</v>
      </c>
      <c r="T12" s="14" t="s">
        <v>19</v>
      </c>
      <c r="U12" s="14" t="s">
        <v>20</v>
      </c>
      <c r="V12" s="11" t="s">
        <v>21</v>
      </c>
      <c r="W12" s="15" t="s">
        <v>17</v>
      </c>
      <c r="X12" s="14" t="s">
        <v>18</v>
      </c>
      <c r="Y12" s="14" t="s">
        <v>19</v>
      </c>
      <c r="Z12" s="14" t="s">
        <v>20</v>
      </c>
      <c r="AA12" s="11" t="s">
        <v>21</v>
      </c>
      <c r="AB12" s="15" t="s">
        <v>17</v>
      </c>
      <c r="AC12" s="14" t="s">
        <v>18</v>
      </c>
      <c r="AD12" s="14" t="s">
        <v>19</v>
      </c>
      <c r="AE12" s="14" t="s">
        <v>20</v>
      </c>
      <c r="AF12" s="11" t="s">
        <v>21</v>
      </c>
      <c r="AG12" s="15" t="s">
        <v>17</v>
      </c>
      <c r="AH12" s="14" t="s">
        <v>18</v>
      </c>
      <c r="AI12" s="14" t="s">
        <v>19</v>
      </c>
      <c r="AJ12" s="14" t="s">
        <v>20</v>
      </c>
      <c r="AK12" s="11" t="s">
        <v>21</v>
      </c>
      <c r="AL12" s="15" t="s">
        <v>17</v>
      </c>
      <c r="AM12" s="14" t="s">
        <v>18</v>
      </c>
      <c r="AN12" s="14" t="s">
        <v>19</v>
      </c>
      <c r="AO12" s="14" t="s">
        <v>20</v>
      </c>
      <c r="AP12" s="11" t="s">
        <v>21</v>
      </c>
      <c r="AQ12" s="15" t="s">
        <v>17</v>
      </c>
      <c r="AR12" s="14" t="s">
        <v>18</v>
      </c>
      <c r="AS12" s="14" t="s">
        <v>19</v>
      </c>
      <c r="AT12" s="14" t="s">
        <v>20</v>
      </c>
      <c r="AU12" s="11" t="s">
        <v>21</v>
      </c>
      <c r="AV12" s="15" t="s">
        <v>17</v>
      </c>
      <c r="AW12" s="14" t="s">
        <v>18</v>
      </c>
      <c r="AX12" s="14" t="s">
        <v>19</v>
      </c>
      <c r="AY12" s="14" t="s">
        <v>20</v>
      </c>
      <c r="AZ12" s="11" t="s">
        <v>21</v>
      </c>
      <c r="BA12" s="15" t="s">
        <v>17</v>
      </c>
      <c r="BB12" s="14" t="s">
        <v>18</v>
      </c>
      <c r="BC12" s="14" t="s">
        <v>19</v>
      </c>
      <c r="BD12" s="14" t="s">
        <v>20</v>
      </c>
      <c r="BE12" s="11" t="s">
        <v>21</v>
      </c>
      <c r="BF12" s="15" t="s">
        <v>17</v>
      </c>
      <c r="BG12" s="14" t="s">
        <v>18</v>
      </c>
      <c r="BH12" s="14" t="s">
        <v>19</v>
      </c>
      <c r="BI12" s="14" t="s">
        <v>20</v>
      </c>
      <c r="BJ12" s="11" t="s">
        <v>21</v>
      </c>
      <c r="BK12" s="15" t="s">
        <v>17</v>
      </c>
      <c r="BL12" s="14" t="s">
        <v>18</v>
      </c>
      <c r="BM12" s="14" t="s">
        <v>19</v>
      </c>
      <c r="BN12" s="14" t="s">
        <v>20</v>
      </c>
      <c r="BO12" s="11" t="s">
        <v>21</v>
      </c>
      <c r="BP12" s="15" t="s">
        <v>17</v>
      </c>
      <c r="BQ12" s="14" t="s">
        <v>18</v>
      </c>
      <c r="BR12" s="14" t="s">
        <v>19</v>
      </c>
      <c r="BS12" s="14" t="s">
        <v>20</v>
      </c>
      <c r="BT12" s="11" t="s">
        <v>21</v>
      </c>
      <c r="BU12" s="15" t="s">
        <v>17</v>
      </c>
      <c r="BV12" s="14" t="s">
        <v>18</v>
      </c>
      <c r="BW12" s="14" t="s">
        <v>19</v>
      </c>
      <c r="BX12" s="14" t="s">
        <v>20</v>
      </c>
      <c r="BY12" s="11" t="s">
        <v>21</v>
      </c>
      <c r="BZ12" s="15" t="s">
        <v>17</v>
      </c>
      <c r="CA12" s="14" t="s">
        <v>18</v>
      </c>
      <c r="CB12" s="14" t="s">
        <v>19</v>
      </c>
      <c r="CC12" s="14" t="s">
        <v>20</v>
      </c>
      <c r="CD12" s="11" t="s">
        <v>21</v>
      </c>
      <c r="CE12" s="15" t="s">
        <v>17</v>
      </c>
      <c r="CF12" s="14" t="s">
        <v>18</v>
      </c>
      <c r="CG12" s="14" t="s">
        <v>19</v>
      </c>
      <c r="CH12" s="14" t="s">
        <v>20</v>
      </c>
      <c r="CI12" s="11" t="s">
        <v>21</v>
      </c>
      <c r="CJ12" s="15" t="s">
        <v>17</v>
      </c>
      <c r="CK12" s="14" t="s">
        <v>18</v>
      </c>
      <c r="CL12" s="14" t="s">
        <v>19</v>
      </c>
      <c r="CM12" s="14" t="s">
        <v>20</v>
      </c>
      <c r="CN12" s="11" t="s">
        <v>21</v>
      </c>
      <c r="CO12" s="15" t="s">
        <v>17</v>
      </c>
      <c r="CP12" s="14" t="s">
        <v>18</v>
      </c>
      <c r="CQ12" s="14" t="s">
        <v>19</v>
      </c>
      <c r="CR12" s="14" t="s">
        <v>20</v>
      </c>
      <c r="CS12" s="11" t="s">
        <v>21</v>
      </c>
      <c r="CT12" s="15" t="s">
        <v>17</v>
      </c>
      <c r="CU12" s="14" t="s">
        <v>18</v>
      </c>
      <c r="CV12" s="14" t="s">
        <v>19</v>
      </c>
      <c r="CW12" s="14" t="s">
        <v>20</v>
      </c>
      <c r="CX12" s="11" t="s">
        <v>21</v>
      </c>
      <c r="CY12" s="15" t="s">
        <v>17</v>
      </c>
      <c r="CZ12" s="14" t="s">
        <v>18</v>
      </c>
      <c r="DA12" s="14" t="s">
        <v>19</v>
      </c>
      <c r="DB12" s="14" t="s">
        <v>20</v>
      </c>
      <c r="DC12" s="11" t="s">
        <v>21</v>
      </c>
      <c r="DD12" s="15" t="s">
        <v>17</v>
      </c>
      <c r="DE12" s="14" t="s">
        <v>18</v>
      </c>
      <c r="DF12" s="14" t="s">
        <v>19</v>
      </c>
      <c r="DG12" s="14" t="s">
        <v>20</v>
      </c>
      <c r="DH12" s="11" t="s">
        <v>21</v>
      </c>
      <c r="DI12" s="15" t="s">
        <v>17</v>
      </c>
      <c r="DJ12" s="14" t="s">
        <v>18</v>
      </c>
      <c r="DK12" s="14" t="s">
        <v>19</v>
      </c>
      <c r="DL12" s="14" t="s">
        <v>20</v>
      </c>
      <c r="DM12" s="11" t="s">
        <v>21</v>
      </c>
      <c r="DN12" s="15" t="s">
        <v>17</v>
      </c>
      <c r="DO12" s="14" t="s">
        <v>18</v>
      </c>
      <c r="DP12" s="14" t="s">
        <v>19</v>
      </c>
      <c r="DQ12" s="14" t="s">
        <v>20</v>
      </c>
      <c r="DR12" s="11" t="s">
        <v>21</v>
      </c>
      <c r="DS12" s="15" t="s">
        <v>17</v>
      </c>
      <c r="DT12" s="14" t="s">
        <v>18</v>
      </c>
      <c r="DU12" s="14" t="s">
        <v>19</v>
      </c>
      <c r="DV12" s="14" t="s">
        <v>20</v>
      </c>
      <c r="DW12" s="11" t="s">
        <v>21</v>
      </c>
      <c r="DX12" s="15" t="s">
        <v>17</v>
      </c>
      <c r="DY12" s="14" t="s">
        <v>18</v>
      </c>
      <c r="DZ12" s="14" t="s">
        <v>19</v>
      </c>
      <c r="EA12" s="14" t="s">
        <v>20</v>
      </c>
      <c r="EB12" s="11" t="s">
        <v>21</v>
      </c>
      <c r="EC12" s="15" t="s">
        <v>17</v>
      </c>
      <c r="ED12" s="14" t="s">
        <v>18</v>
      </c>
      <c r="EE12" s="14" t="s">
        <v>19</v>
      </c>
      <c r="EF12" s="14" t="s">
        <v>20</v>
      </c>
      <c r="EG12" s="11" t="s">
        <v>21</v>
      </c>
      <c r="EH12" s="15" t="s">
        <v>17</v>
      </c>
      <c r="EI12" s="14" t="s">
        <v>18</v>
      </c>
      <c r="EJ12" s="14" t="s">
        <v>19</v>
      </c>
      <c r="EK12" s="14" t="s">
        <v>20</v>
      </c>
      <c r="EL12" s="11" t="s">
        <v>21</v>
      </c>
      <c r="EM12" s="15" t="s">
        <v>17</v>
      </c>
      <c r="EN12" s="14" t="s">
        <v>18</v>
      </c>
      <c r="EO12" s="14" t="s">
        <v>19</v>
      </c>
      <c r="EP12" s="14" t="s">
        <v>20</v>
      </c>
      <c r="EQ12" s="11" t="s">
        <v>21</v>
      </c>
      <c r="ER12" s="15" t="s">
        <v>17</v>
      </c>
      <c r="ES12" s="14" t="s">
        <v>18</v>
      </c>
      <c r="ET12" s="14" t="s">
        <v>19</v>
      </c>
      <c r="EU12" s="14" t="s">
        <v>20</v>
      </c>
      <c r="EV12" s="11" t="s">
        <v>21</v>
      </c>
      <c r="EW12" s="15" t="s">
        <v>17</v>
      </c>
      <c r="EX12" s="14" t="s">
        <v>18</v>
      </c>
      <c r="EY12" s="14" t="s">
        <v>19</v>
      </c>
      <c r="EZ12" s="14" t="s">
        <v>20</v>
      </c>
      <c r="FA12" s="11" t="s">
        <v>21</v>
      </c>
      <c r="FB12" s="15" t="s">
        <v>17</v>
      </c>
      <c r="FC12" s="14" t="s">
        <v>18</v>
      </c>
      <c r="FD12" s="14" t="s">
        <v>19</v>
      </c>
      <c r="FE12" s="14" t="s">
        <v>20</v>
      </c>
      <c r="FF12" s="11" t="s">
        <v>21</v>
      </c>
      <c r="FG12" s="15" t="s">
        <v>17</v>
      </c>
      <c r="FH12" s="14" t="s">
        <v>18</v>
      </c>
      <c r="FI12" s="14" t="s">
        <v>19</v>
      </c>
      <c r="FJ12" s="14" t="s">
        <v>20</v>
      </c>
      <c r="FK12" s="11" t="s">
        <v>21</v>
      </c>
      <c r="FL12" s="15" t="s">
        <v>17</v>
      </c>
      <c r="FM12" s="14" t="s">
        <v>18</v>
      </c>
      <c r="FN12" s="14" t="s">
        <v>19</v>
      </c>
      <c r="FO12" s="14" t="s">
        <v>20</v>
      </c>
      <c r="FP12" s="11" t="s">
        <v>21</v>
      </c>
      <c r="FQ12" s="15" t="s">
        <v>17</v>
      </c>
      <c r="FR12" s="14" t="s">
        <v>18</v>
      </c>
      <c r="FS12" s="14" t="s">
        <v>19</v>
      </c>
      <c r="FT12" s="14" t="s">
        <v>20</v>
      </c>
      <c r="FU12" s="11" t="s">
        <v>21</v>
      </c>
      <c r="FV12" s="15" t="s">
        <v>17</v>
      </c>
      <c r="FW12" s="14" t="s">
        <v>18</v>
      </c>
      <c r="FX12" s="14" t="s">
        <v>19</v>
      </c>
      <c r="FY12" s="14" t="s">
        <v>20</v>
      </c>
      <c r="FZ12" s="11" t="s">
        <v>21</v>
      </c>
      <c r="GA12" s="15" t="s">
        <v>17</v>
      </c>
      <c r="GB12" s="14" t="s">
        <v>18</v>
      </c>
      <c r="GC12" s="14" t="s">
        <v>19</v>
      </c>
      <c r="GD12" s="14" t="s">
        <v>20</v>
      </c>
      <c r="GE12" s="11" t="s">
        <v>21</v>
      </c>
      <c r="GF12" s="15" t="s">
        <v>17</v>
      </c>
      <c r="GG12" s="14" t="s">
        <v>18</v>
      </c>
      <c r="GH12" s="14" t="s">
        <v>19</v>
      </c>
      <c r="GI12" s="14" t="s">
        <v>20</v>
      </c>
      <c r="GJ12" s="11" t="s">
        <v>21</v>
      </c>
      <c r="GK12" s="15" t="s">
        <v>17</v>
      </c>
      <c r="GL12" s="14" t="s">
        <v>18</v>
      </c>
      <c r="GM12" s="14" t="s">
        <v>19</v>
      </c>
      <c r="GN12" s="14" t="s">
        <v>20</v>
      </c>
      <c r="GO12" s="11" t="s">
        <v>21</v>
      </c>
      <c r="GP12" s="15" t="s">
        <v>17</v>
      </c>
      <c r="GQ12" s="14" t="s">
        <v>18</v>
      </c>
      <c r="GR12" s="14" t="s">
        <v>19</v>
      </c>
      <c r="GS12" s="14" t="s">
        <v>20</v>
      </c>
      <c r="GT12" s="11" t="s">
        <v>21</v>
      </c>
    </row>
    <row r="13" spans="1:202" ht="12.75" customHeight="1">
      <c r="A13" s="33"/>
      <c r="B13" s="33"/>
      <c r="C13" s="34" t="str">
        <f t="shared" ref="C13:AH13" si="5">IF(OR(COLUMN(C$12)&lt;=MATCH("X", $A$7:$GE$7, 0),COLUMN(C$12)&lt;=MATCH("X", $A$8:$GE$8, 0)), "Actual","Estimate")</f>
      </c>
      <c r="D13" s="34" t="str">
        <f t="shared" si="5"/>
      </c>
      <c r="E13" s="34" t="str">
        <f t="shared" si="5"/>
      </c>
      <c r="F13" s="34" t="str">
        <f t="shared" si="5"/>
      </c>
      <c r="G13" s="34" t="str">
        <f t="shared" si="5"/>
      </c>
      <c r="H13" s="34" t="str">
        <f t="shared" si="5"/>
      </c>
      <c r="I13" s="34" t="str">
        <f t="shared" si="5"/>
      </c>
      <c r="J13" s="34" t="str">
        <f t="shared" si="5"/>
      </c>
      <c r="K13" s="34" t="str">
        <f t="shared" si="5"/>
      </c>
      <c r="L13" s="34" t="str">
        <f t="shared" si="5"/>
      </c>
      <c r="M13" s="34" t="str">
        <f t="shared" si="5"/>
      </c>
      <c r="N13" s="34" t="str">
        <f t="shared" si="5"/>
      </c>
      <c r="O13" s="34" t="str">
        <f t="shared" si="5"/>
      </c>
      <c r="P13" s="34" t="str">
        <f t="shared" si="5"/>
      </c>
      <c r="Q13" s="34" t="str">
        <f t="shared" si="5"/>
      </c>
      <c r="R13" s="34" t="str">
        <f t="shared" si="5"/>
      </c>
      <c r="S13" s="34" t="str">
        <f t="shared" si="5"/>
      </c>
      <c r="T13" s="34" t="str">
        <f t="shared" si="5"/>
      </c>
      <c r="U13" s="34" t="str">
        <f t="shared" si="5"/>
      </c>
      <c r="V13" s="34" t="str">
        <f t="shared" si="5"/>
      </c>
      <c r="W13" s="34" t="str">
        <f t="shared" si="5"/>
      </c>
      <c r="X13" s="34" t="str">
        <f t="shared" si="5"/>
      </c>
      <c r="Y13" s="34" t="str">
        <f t="shared" si="5"/>
      </c>
      <c r="Z13" s="34" t="str">
        <f t="shared" si="5"/>
      </c>
      <c r="AA13" s="34" t="str">
        <f t="shared" si="5"/>
      </c>
      <c r="AB13" s="34" t="str">
        <f t="shared" si="5"/>
      </c>
      <c r="AC13" s="34" t="str">
        <f t="shared" si="5"/>
      </c>
      <c r="AD13" s="34" t="str">
        <f t="shared" si="5"/>
      </c>
      <c r="AE13" s="34" t="str">
        <f t="shared" si="5"/>
      </c>
      <c r="AF13" s="34" t="str">
        <f t="shared" si="5"/>
      </c>
      <c r="AG13" s="34" t="str">
        <f t="shared" si="5"/>
      </c>
      <c r="AH13" s="34" t="str">
        <f t="shared" si="5"/>
      </c>
      <c r="AI13" s="34" t="str">
        <f t="shared" ref="AI13:BN13" si="6">IF(OR(COLUMN(AI$12)&lt;=MATCH("X", $A$7:$GE$7, 0),COLUMN(AI$12)&lt;=MATCH("X", $A$8:$GE$8, 0)), "Actual","Estimate")</f>
      </c>
      <c r="AJ13" s="34" t="str">
        <f t="shared" si="6"/>
      </c>
      <c r="AK13" s="34" t="str">
        <f t="shared" si="6"/>
      </c>
      <c r="AL13" s="34" t="str">
        <f t="shared" si="6"/>
      </c>
      <c r="AM13" s="34" t="str">
        <f t="shared" si="6"/>
      </c>
      <c r="AN13" s="34" t="str">
        <f t="shared" si="6"/>
      </c>
      <c r="AO13" s="34" t="str">
        <f t="shared" si="6"/>
      </c>
      <c r="AP13" s="34" t="str">
        <f t="shared" si="6"/>
      </c>
      <c r="AQ13" s="34" t="str">
        <f t="shared" si="6"/>
      </c>
      <c r="AR13" s="34" t="str">
        <f t="shared" si="6"/>
      </c>
      <c r="AS13" s="34" t="str">
        <f t="shared" si="6"/>
      </c>
      <c r="AT13" s="34" t="str">
        <f t="shared" si="6"/>
      </c>
      <c r="AU13" s="34" t="str">
        <f t="shared" si="6"/>
      </c>
      <c r="AV13" s="34" t="str">
        <f t="shared" si="6"/>
      </c>
      <c r="AW13" s="34" t="str">
        <f t="shared" si="6"/>
      </c>
      <c r="AX13" s="34" t="str">
        <f t="shared" si="6"/>
      </c>
      <c r="AY13" s="34" t="str">
        <f t="shared" si="6"/>
      </c>
      <c r="AZ13" s="34" t="str">
        <f t="shared" si="6"/>
      </c>
      <c r="BA13" s="34" t="str">
        <f t="shared" si="6"/>
      </c>
      <c r="BB13" s="34" t="str">
        <f t="shared" si="6"/>
      </c>
      <c r="BC13" s="34" t="str">
        <f t="shared" si="6"/>
      </c>
      <c r="BD13" s="34" t="str">
        <f t="shared" si="6"/>
      </c>
      <c r="BE13" s="34" t="str">
        <f t="shared" si="6"/>
      </c>
      <c r="BF13" s="34" t="str">
        <f t="shared" si="6"/>
      </c>
      <c r="BG13" s="34" t="str">
        <f t="shared" si="6"/>
      </c>
      <c r="BH13" s="34" t="str">
        <f t="shared" si="6"/>
      </c>
      <c r="BI13" s="34" t="str">
        <f t="shared" si="6"/>
      </c>
      <c r="BJ13" s="34" t="str">
        <f t="shared" si="6"/>
      </c>
      <c r="BK13" s="34" t="str">
        <f t="shared" si="6"/>
      </c>
      <c r="BL13" s="34" t="str">
        <f t="shared" si="6"/>
      </c>
      <c r="BM13" s="34" t="str">
        <f t="shared" si="6"/>
      </c>
      <c r="BN13" s="34" t="str">
        <f t="shared" si="6"/>
      </c>
      <c r="BO13" s="34" t="str">
        <f t="shared" ref="BO13:CT13" si="7">IF(OR(COLUMN(BO$12)&lt;=MATCH("X", $A$7:$GE$7, 0),COLUMN(BO$12)&lt;=MATCH("X", $A$8:$GE$8, 0)), "Actual","Estimate")</f>
      </c>
      <c r="BP13" s="34" t="str">
        <f t="shared" si="7"/>
      </c>
      <c r="BQ13" s="34" t="str">
        <f t="shared" si="7"/>
      </c>
      <c r="BR13" s="34" t="str">
        <f t="shared" si="7"/>
      </c>
      <c r="BS13" s="34" t="str">
        <f t="shared" si="7"/>
      </c>
      <c r="BT13" s="34" t="str">
        <f t="shared" si="7"/>
      </c>
      <c r="BU13" s="34" t="str">
        <f t="shared" si="7"/>
      </c>
      <c r="BV13" s="34" t="str">
        <f t="shared" si="7"/>
      </c>
      <c r="BW13" s="34" t="str">
        <f t="shared" si="7"/>
      </c>
      <c r="BX13" s="34" t="str">
        <f t="shared" si="7"/>
      </c>
      <c r="BY13" s="34" t="str">
        <f t="shared" si="7"/>
      </c>
      <c r="BZ13" s="34" t="str">
        <f t="shared" si="7"/>
      </c>
      <c r="CA13" s="34" t="str">
        <f t="shared" si="7"/>
      </c>
      <c r="CB13" s="34" t="str">
        <f t="shared" si="7"/>
      </c>
      <c r="CC13" s="34" t="str">
        <f t="shared" si="7"/>
      </c>
      <c r="CD13" s="34" t="str">
        <f t="shared" si="7"/>
      </c>
      <c r="CE13" s="34" t="str">
        <f t="shared" si="7"/>
      </c>
      <c r="CF13" s="34" t="str">
        <f t="shared" si="7"/>
      </c>
      <c r="CG13" s="34" t="str">
        <f t="shared" si="7"/>
      </c>
      <c r="CH13" s="34" t="str">
        <f t="shared" si="7"/>
      </c>
      <c r="CI13" s="34" t="str">
        <f t="shared" si="7"/>
      </c>
      <c r="CJ13" s="34" t="str">
        <f t="shared" si="7"/>
      </c>
      <c r="CK13" s="34" t="str">
        <f t="shared" si="7"/>
      </c>
      <c r="CL13" s="34" t="str">
        <f t="shared" si="7"/>
      </c>
      <c r="CM13" s="34" t="str">
        <f t="shared" si="7"/>
      </c>
      <c r="CN13" s="34" t="str">
        <f t="shared" si="7"/>
      </c>
      <c r="CO13" s="34" t="str">
        <f t="shared" si="7"/>
      </c>
      <c r="CP13" s="34" t="str">
        <f t="shared" si="7"/>
      </c>
      <c r="CQ13" s="34" t="str">
        <f t="shared" si="7"/>
      </c>
      <c r="CR13" s="34" t="str">
        <f t="shared" si="7"/>
      </c>
      <c r="CS13" s="34" t="str">
        <f t="shared" si="7"/>
      </c>
      <c r="CT13" s="34" t="str">
        <f t="shared" si="7"/>
      </c>
      <c r="CU13" s="34" t="str">
        <f t="shared" ref="CU13:DZ13" si="8">IF(OR(COLUMN(CU$12)&lt;=MATCH("X", $A$7:$GE$7, 0),COLUMN(CU$12)&lt;=MATCH("X", $A$8:$GE$8, 0)), "Actual","Estimate")</f>
      </c>
      <c r="CV13" s="34" t="str">
        <f t="shared" si="8"/>
      </c>
      <c r="CW13" s="34" t="str">
        <f t="shared" si="8"/>
      </c>
      <c r="CX13" s="34" t="str">
        <f t="shared" si="8"/>
      </c>
      <c r="CY13" s="34" t="str">
        <f t="shared" si="8"/>
      </c>
      <c r="CZ13" s="34" t="str">
        <f t="shared" si="8"/>
      </c>
      <c r="DA13" s="34" t="str">
        <f t="shared" si="8"/>
      </c>
      <c r="DB13" s="34" t="str">
        <f t="shared" si="8"/>
      </c>
      <c r="DC13" s="34" t="str">
        <f t="shared" si="8"/>
      </c>
      <c r="DD13" s="34" t="str">
        <f t="shared" si="8"/>
      </c>
      <c r="DE13" s="34" t="str">
        <f t="shared" si="8"/>
      </c>
      <c r="DF13" s="34" t="str">
        <f t="shared" si="8"/>
      </c>
      <c r="DG13" s="34" t="str">
        <f t="shared" si="8"/>
      </c>
      <c r="DH13" s="34" t="str">
        <f t="shared" si="8"/>
      </c>
      <c r="DI13" s="34" t="str">
        <f t="shared" si="8"/>
      </c>
      <c r="DJ13" s="34" t="str">
        <f t="shared" si="8"/>
      </c>
      <c r="DK13" s="34" t="str">
        <f t="shared" si="8"/>
      </c>
      <c r="DL13" s="34" t="str">
        <f t="shared" si="8"/>
      </c>
      <c r="DM13" s="34" t="str">
        <f t="shared" si="8"/>
      </c>
      <c r="DN13" s="34" t="str">
        <f t="shared" si="8"/>
      </c>
      <c r="DO13" s="34" t="str">
        <f t="shared" si="8"/>
      </c>
      <c r="DP13" s="34" t="str">
        <f t="shared" si="8"/>
      </c>
      <c r="DQ13" s="34" t="str">
        <f t="shared" si="8"/>
      </c>
      <c r="DR13" s="34" t="str">
        <f t="shared" si="8"/>
      </c>
      <c r="DS13" s="34" t="str">
        <f t="shared" si="8"/>
      </c>
      <c r="DT13" s="34" t="str">
        <f t="shared" si="8"/>
      </c>
      <c r="DU13" s="34" t="str">
        <f t="shared" si="8"/>
      </c>
      <c r="DV13" s="34" t="str">
        <f t="shared" si="8"/>
      </c>
      <c r="DW13" s="34" t="str">
        <f t="shared" si="8"/>
      </c>
      <c r="DX13" s="34" t="str">
        <f t="shared" si="8"/>
      </c>
      <c r="DY13" s="34" t="str">
        <f t="shared" si="8"/>
      </c>
      <c r="DZ13" s="34" t="str">
        <f t="shared" si="8"/>
      </c>
      <c r="EA13" s="34" t="str">
        <f t="shared" ref="EA13:FF13" si="9">IF(OR(COLUMN(EA$12)&lt;=MATCH("X", $A$7:$GE$7, 0),COLUMN(EA$12)&lt;=MATCH("X", $A$8:$GE$8, 0)), "Actual","Estimate")</f>
      </c>
      <c r="EB13" s="34" t="str">
        <f t="shared" si="9"/>
      </c>
      <c r="EC13" s="34" t="str">
        <f t="shared" si="9"/>
      </c>
      <c r="ED13" s="34" t="str">
        <f t="shared" si="9"/>
      </c>
      <c r="EE13" s="34" t="str">
        <f t="shared" si="9"/>
      </c>
      <c r="EF13" s="34" t="str">
        <f t="shared" si="9"/>
      </c>
      <c r="EG13" s="34" t="str">
        <f t="shared" si="9"/>
      </c>
      <c r="EH13" s="34" t="str">
        <f t="shared" si="9"/>
      </c>
      <c r="EI13" s="34" t="str">
        <f t="shared" si="9"/>
      </c>
      <c r="EJ13" s="34" t="str">
        <f t="shared" si="9"/>
      </c>
      <c r="EK13" s="34" t="str">
        <f t="shared" si="9"/>
      </c>
      <c r="EL13" s="34" t="str">
        <f t="shared" si="9"/>
      </c>
      <c r="EM13" s="34" t="str">
        <f t="shared" si="9"/>
      </c>
      <c r="EN13" s="34" t="str">
        <f t="shared" si="9"/>
      </c>
      <c r="EO13" s="34" t="str">
        <f t="shared" si="9"/>
      </c>
      <c r="EP13" s="34" t="str">
        <f t="shared" si="9"/>
      </c>
      <c r="EQ13" s="34" t="str">
        <f t="shared" si="9"/>
      </c>
      <c r="ER13" s="34" t="str">
        <f t="shared" si="9"/>
      </c>
      <c r="ES13" s="34" t="str">
        <f t="shared" si="9"/>
      </c>
      <c r="ET13" s="34" t="str">
        <f t="shared" si="9"/>
      </c>
      <c r="EU13" s="34" t="str">
        <f t="shared" si="9"/>
      </c>
      <c r="EV13" s="34" t="str">
        <f t="shared" si="9"/>
      </c>
      <c r="EW13" s="34" t="str">
        <f t="shared" si="9"/>
      </c>
      <c r="EX13" s="34" t="str">
        <f t="shared" si="9"/>
      </c>
      <c r="EY13" s="34" t="str">
        <f t="shared" si="9"/>
      </c>
      <c r="EZ13" s="34" t="str">
        <f t="shared" si="9"/>
      </c>
      <c r="FA13" s="34" t="str">
        <f t="shared" si="9"/>
      </c>
      <c r="FB13" s="34" t="str">
        <f t="shared" si="9"/>
      </c>
      <c r="FC13" s="34" t="str">
        <f t="shared" si="9"/>
      </c>
      <c r="FD13" s="34" t="str">
        <f t="shared" si="9"/>
      </c>
      <c r="FE13" s="34" t="str">
        <f t="shared" si="9"/>
      </c>
      <c r="FF13" s="34" t="str">
        <f t="shared" si="9"/>
      </c>
      <c r="FG13" s="34" t="str">
        <f t="shared" ref="FG13:GL13" si="10">IF(OR(COLUMN(FG$12)&lt;=MATCH("X", $A$7:$GE$7, 0),COLUMN(FG$12)&lt;=MATCH("X", $A$8:$GE$8, 0)), "Actual","Estimate")</f>
      </c>
      <c r="FH13" s="34" t="str">
        <f t="shared" si="10"/>
      </c>
      <c r="FI13" s="34" t="str">
        <f t="shared" si="10"/>
      </c>
      <c r="FJ13" s="34" t="str">
        <f t="shared" si="10"/>
      </c>
      <c r="FK13" s="34" t="str">
        <f t="shared" si="10"/>
      </c>
      <c r="FL13" s="34" t="str">
        <f t="shared" si="10"/>
      </c>
      <c r="FM13" s="34" t="str">
        <f t="shared" si="10"/>
      </c>
      <c r="FN13" s="34" t="str">
        <f t="shared" si="10"/>
      </c>
      <c r="FO13" s="34" t="str">
        <f t="shared" si="10"/>
      </c>
      <c r="FP13" s="34" t="str">
        <f t="shared" si="10"/>
      </c>
      <c r="FQ13" s="34" t="str">
        <f t="shared" si="10"/>
      </c>
      <c r="FR13" s="34" t="str">
        <f t="shared" si="10"/>
      </c>
      <c r="FS13" s="34" t="str">
        <f t="shared" si="10"/>
      </c>
      <c r="FT13" s="34" t="str">
        <f t="shared" si="10"/>
      </c>
      <c r="FU13" s="34" t="str">
        <f t="shared" si="10"/>
      </c>
      <c r="FV13" s="34" t="str">
        <f t="shared" si="10"/>
      </c>
      <c r="FW13" s="34" t="str">
        <f t="shared" si="10"/>
      </c>
      <c r="FX13" s="34" t="str">
        <f t="shared" si="10"/>
      </c>
      <c r="FY13" s="34" t="str">
        <f t="shared" si="10"/>
      </c>
      <c r="FZ13" s="34" t="str">
        <f t="shared" si="10"/>
      </c>
      <c r="GA13" s="34" t="str">
        <f t="shared" si="10"/>
      </c>
      <c r="GB13" s="34" t="str">
        <f t="shared" si="10"/>
      </c>
      <c r="GC13" s="34" t="str">
        <f t="shared" si="10"/>
      </c>
      <c r="GD13" s="34" t="str">
        <f t="shared" si="10"/>
      </c>
      <c r="GE13" s="34" t="str">
        <f t="shared" si="10"/>
      </c>
      <c r="GF13" s="34" t="str">
        <f t="shared" si="10"/>
      </c>
      <c r="GG13" s="34" t="str">
        <f t="shared" si="10"/>
      </c>
      <c r="GH13" s="34" t="str">
        <f t="shared" si="10"/>
      </c>
      <c r="GI13" s="34" t="str">
        <f t="shared" si="10"/>
      </c>
      <c r="GJ13" s="34" t="str">
        <f t="shared" si="10"/>
      </c>
      <c r="GK13" s="34" t="str">
        <f t="shared" si="10"/>
      </c>
      <c r="GL13" s="34" t="str">
        <f t="shared" si="10"/>
      </c>
      <c r="GM13" s="34" t="str">
        <f t="shared" ref="GM13:GT13" si="11">IF(OR(COLUMN(GM$12)&lt;=MATCH("X", $A$7:$GE$7, 0),COLUMN(GM$12)&lt;=MATCH("X", $A$8:$GE$8, 0)), "Actual","Estimate")</f>
      </c>
      <c r="GN13" s="34" t="str">
        <f t="shared" si="11"/>
      </c>
      <c r="GO13" s="34" t="str">
        <f t="shared" si="11"/>
      </c>
      <c r="GP13" s="34" t="str">
        <f t="shared" si="11"/>
      </c>
      <c r="GQ13" s="34" t="str">
        <f t="shared" si="11"/>
      </c>
      <c r="GR13" s="34" t="str">
        <f t="shared" si="11"/>
      </c>
      <c r="GS13" s="34" t="str">
        <f t="shared" si="11"/>
      </c>
      <c r="GT13" s="34" t="str">
        <f t="shared" si="11"/>
      </c>
    </row>
    <row r="14" spans="1:202" ht="12.75" customHeight="1">
      <c r="A14" s="1"/>
      <c r="B14" s="1" t="s">
        <v>22</v>
      </c>
      <c r="C14" s="35">
        <v>90</v>
      </c>
      <c r="D14" s="33">
        <f>D11-C11</f>
      </c>
      <c r="E14" s="33">
        <f>E11-D11</f>
      </c>
      <c r="F14" s="33">
        <f>F11-E11</f>
      </c>
      <c r="G14" s="35">
        <v>365</v>
      </c>
      <c r="H14" s="33">
        <f>H11-F11</f>
      </c>
      <c r="I14" s="33">
        <f>I11-H11</f>
      </c>
      <c r="J14" s="33">
        <f>J11-I11</f>
      </c>
      <c r="K14" s="33">
        <f>K11-J11</f>
      </c>
      <c r="L14" s="33">
        <f>L11-G11</f>
      </c>
      <c r="M14" s="33">
        <f>M11-K11</f>
      </c>
      <c r="N14" s="33">
        <f>N11-M11</f>
      </c>
      <c r="O14" s="33">
        <f>O11-N11</f>
      </c>
      <c r="P14" s="33">
        <f>P11-O11</f>
      </c>
      <c r="Q14" s="33">
        <f>Q11-L11</f>
      </c>
      <c r="R14" s="33">
        <f>R11-P11</f>
      </c>
      <c r="S14" s="33">
        <f>S11-R11</f>
      </c>
      <c r="T14" s="33">
        <f>T11-S11</f>
      </c>
      <c r="U14" s="33">
        <f>U11-T11</f>
      </c>
      <c r="V14" s="33">
        <f>V11-Q11</f>
      </c>
      <c r="W14" s="33">
        <f>W11-U11</f>
      </c>
      <c r="X14" s="33">
        <f>X11-W11</f>
      </c>
      <c r="Y14" s="33">
        <f>Y11-X11</f>
      </c>
      <c r="Z14" s="33">
        <f>Z11-Y11</f>
      </c>
      <c r="AA14" s="33">
        <f>AA11-V11</f>
      </c>
      <c r="AB14" s="33">
        <f>AB11-Z11</f>
      </c>
      <c r="AC14" s="33">
        <f>AC11-AB11</f>
      </c>
      <c r="AD14" s="33">
        <f>AD11-AC11</f>
      </c>
      <c r="AE14" s="33">
        <f>AE11-AD11</f>
      </c>
      <c r="AF14" s="33">
        <f>AF11-AA11</f>
      </c>
      <c r="AG14" s="33">
        <f>AG11-AE11</f>
      </c>
      <c r="AH14" s="33">
        <f>AH11-AG11</f>
      </c>
      <c r="AI14" s="33">
        <f>AI11-AH11</f>
      </c>
      <c r="AJ14" s="33">
        <f>AJ11-AI11</f>
      </c>
      <c r="AK14" s="33">
        <f>AK11-AF11</f>
      </c>
      <c r="AL14" s="33">
        <f>AL11-AJ11</f>
      </c>
      <c r="AM14" s="33">
        <f>AM11-AL11</f>
      </c>
      <c r="AN14" s="33">
        <f>AN11-AM11</f>
      </c>
      <c r="AO14" s="33">
        <f>AO11-AN11</f>
      </c>
      <c r="AP14" s="33">
        <f>AP11-AK11</f>
      </c>
      <c r="AQ14" s="33">
        <f>AQ11-AO11</f>
      </c>
      <c r="AR14" s="33">
        <f>AR11-AQ11</f>
      </c>
      <c r="AS14" s="33">
        <f>AS11-AR11</f>
      </c>
      <c r="AT14" s="33">
        <f>AT11-AS11</f>
      </c>
      <c r="AU14" s="33">
        <f>AU11-AP11</f>
      </c>
      <c r="AV14" s="33">
        <f>AV11-AT11</f>
      </c>
      <c r="AW14" s="33">
        <f>AW11-AV11</f>
      </c>
      <c r="AX14" s="33">
        <f>AX11-AW11</f>
      </c>
      <c r="AY14" s="33">
        <f>AY11-AX11</f>
      </c>
      <c r="AZ14" s="33">
        <f>AZ11-AU11</f>
      </c>
      <c r="BA14" s="33">
        <f>BA11-AY11</f>
      </c>
      <c r="BB14" s="33">
        <f>BB11-BA11</f>
      </c>
      <c r="BC14" s="33">
        <f>BC11-BB11</f>
      </c>
      <c r="BD14" s="33">
        <f>BD11-BC11</f>
      </c>
      <c r="BE14" s="33">
        <f>BE11-AZ11</f>
      </c>
      <c r="BF14" s="33">
        <f>BF11-BD11</f>
      </c>
      <c r="BG14" s="33">
        <f>BG11-BF11</f>
      </c>
      <c r="BH14" s="33">
        <f>BH11-BG11</f>
      </c>
      <c r="BI14" s="33">
        <f>BI11-BH11</f>
      </c>
      <c r="BJ14" s="33">
        <f>BJ11-BE11</f>
      </c>
      <c r="BK14" s="33">
        <f>BK11-BI11</f>
      </c>
      <c r="BL14" s="33">
        <f>BL11-BK11</f>
      </c>
      <c r="BM14" s="33">
        <f>BM11-BL11</f>
      </c>
      <c r="BN14" s="33">
        <f>BN11-BM11</f>
      </c>
      <c r="BO14" s="33">
        <f>BO11-BJ11</f>
      </c>
      <c r="BP14" s="33">
        <f>BP11-BN11</f>
      </c>
      <c r="BQ14" s="33">
        <f>BQ11-BP11</f>
      </c>
      <c r="BR14" s="33">
        <f>BR11-BQ11</f>
      </c>
      <c r="BS14" s="33">
        <f>BS11-BR11</f>
      </c>
      <c r="BT14" s="33">
        <f>BT11-BO11</f>
      </c>
      <c r="BU14" s="33">
        <f>BU11-BS11</f>
      </c>
      <c r="BV14" s="33">
        <f>BV11-BU11</f>
      </c>
      <c r="BW14" s="33">
        <f>BW11-BV11</f>
      </c>
      <c r="BX14" s="33">
        <f>BX11-BW11</f>
      </c>
      <c r="BY14" s="33">
        <f>BY11-BT11</f>
      </c>
      <c r="BZ14" s="33">
        <f>BZ11-BX11</f>
      </c>
      <c r="CA14" s="33">
        <f>CA11-BZ11</f>
      </c>
      <c r="CB14" s="33">
        <f>CB11-CA11</f>
      </c>
      <c r="CC14" s="33">
        <f>CC11-CB11</f>
      </c>
      <c r="CD14" s="33">
        <f>CD11-BY11</f>
      </c>
      <c r="CE14" s="33">
        <f>CE11-CC11</f>
      </c>
      <c r="CF14" s="33">
        <f>CF11-CE11</f>
      </c>
      <c r="CG14" s="33">
        <f>CG11-CF11</f>
      </c>
      <c r="CH14" s="33">
        <f>CH11-CG11</f>
      </c>
      <c r="CI14" s="33">
        <f>CI11-CD11</f>
      </c>
      <c r="CJ14" s="33">
        <f>CJ11-CH11</f>
      </c>
      <c r="CK14" s="33">
        <f>CK11-CJ11</f>
      </c>
      <c r="CL14" s="33">
        <f>CL11-CK11</f>
      </c>
      <c r="CM14" s="33">
        <f>CM11-CL11</f>
      </c>
      <c r="CN14" s="33">
        <f>CN11-CI11</f>
      </c>
      <c r="CO14" s="33">
        <f>CO11-CM11</f>
      </c>
      <c r="CP14" s="33">
        <f>CP11-CO11</f>
      </c>
      <c r="CQ14" s="33">
        <f>CQ11-CP11</f>
      </c>
      <c r="CR14" s="33">
        <f>CR11-CQ11</f>
      </c>
      <c r="CS14" s="33">
        <f>CS11-CN11</f>
      </c>
      <c r="CT14" s="33">
        <f>CT11-CR11</f>
      </c>
      <c r="CU14" s="33">
        <f>CU11-CT11</f>
      </c>
      <c r="CV14" s="33">
        <f>CV11-CU11</f>
      </c>
      <c r="CW14" s="33">
        <f>CW11-CV11</f>
      </c>
      <c r="CX14" s="33">
        <f>CX11-CS11</f>
      </c>
      <c r="CY14" s="33">
        <f>CY11-CW11</f>
      </c>
      <c r="CZ14" s="33">
        <f>CZ11-CY11</f>
      </c>
      <c r="DA14" s="33">
        <f>DA11-CZ11</f>
      </c>
      <c r="DB14" s="33">
        <f>DB11-DA11</f>
      </c>
      <c r="DC14" s="33">
        <f>DC11-CX11</f>
      </c>
      <c r="DD14" s="33">
        <f>DD11-DB11</f>
      </c>
      <c r="DE14" s="33">
        <f>DE11-DD11</f>
      </c>
      <c r="DF14" s="33">
        <f>DF11-DE11</f>
      </c>
      <c r="DG14" s="33">
        <f>DG11-DF11</f>
      </c>
      <c r="DH14" s="33">
        <f>DH11-DC11</f>
      </c>
      <c r="DI14" s="33">
        <f>DI11-DG11</f>
      </c>
      <c r="DJ14" s="33">
        <f>DJ11-DI11</f>
      </c>
      <c r="DK14" s="33">
        <f>DK11-DJ11</f>
      </c>
      <c r="DL14" s="33">
        <f>DL11-DK11</f>
      </c>
      <c r="DM14" s="33">
        <f>DM11-DH11</f>
      </c>
      <c r="DN14" s="33">
        <f>DN11-DL11</f>
      </c>
      <c r="DO14" s="33">
        <f>DO11-DN11</f>
      </c>
      <c r="DP14" s="33">
        <f>DP11-DO11</f>
      </c>
      <c r="DQ14" s="33">
        <f>DQ11-DP11</f>
      </c>
      <c r="DR14" s="33">
        <f>DR11-DM11</f>
      </c>
      <c r="DS14" s="33">
        <f>DS11-DQ11</f>
      </c>
      <c r="DT14" s="33">
        <f>DT11-DS11</f>
      </c>
      <c r="DU14" s="33">
        <f>DU11-DT11</f>
      </c>
      <c r="DV14" s="33">
        <f>DV11-DU11</f>
      </c>
      <c r="DW14" s="33">
        <f>DW11-DR11</f>
      </c>
      <c r="DX14" s="33">
        <f>DX11-DV11</f>
      </c>
      <c r="DY14" s="33">
        <f>DY11-DX11</f>
      </c>
      <c r="DZ14" s="33">
        <f>DZ11-DY11</f>
      </c>
      <c r="EA14" s="33">
        <f>EA11-DZ11</f>
      </c>
      <c r="EB14" s="33">
        <f>EB11-DW11</f>
      </c>
      <c r="EC14" s="33">
        <f>EC11-EA11</f>
      </c>
      <c r="ED14" s="33">
        <f>ED11-EC11</f>
      </c>
      <c r="EE14" s="33">
        <f>EE11-ED11</f>
      </c>
      <c r="EF14" s="33">
        <f>EF11-EE11</f>
      </c>
      <c r="EG14" s="33">
        <f>EG11-EB11</f>
      </c>
      <c r="EH14" s="33">
        <f>EH11-EF11</f>
      </c>
      <c r="EI14" s="33">
        <f>EI11-EH11</f>
      </c>
      <c r="EJ14" s="33">
        <f>EJ11-EI11</f>
      </c>
      <c r="EK14" s="33">
        <f>EK11-EJ11</f>
      </c>
      <c r="EL14" s="33">
        <f>EL11-EG11</f>
      </c>
      <c r="EM14" s="33">
        <f>EM11-EK11</f>
      </c>
      <c r="EN14" s="33">
        <f>EN11-EM11</f>
      </c>
      <c r="EO14" s="33">
        <f>EO11-EN11</f>
      </c>
      <c r="EP14" s="33">
        <f>EP11-EO11</f>
      </c>
      <c r="EQ14" s="33">
        <f>EQ11-EL11</f>
      </c>
      <c r="ER14" s="33">
        <f>ER11-EP11</f>
      </c>
      <c r="ES14" s="33">
        <f>ES11-ER11</f>
      </c>
      <c r="ET14" s="33">
        <f>ET11-ES11</f>
      </c>
      <c r="EU14" s="33">
        <f>EU11-ET11</f>
      </c>
      <c r="EV14" s="33">
        <f>EV11-EQ11</f>
      </c>
      <c r="EW14" s="33">
        <f>EW11-EU11</f>
      </c>
      <c r="EX14" s="33">
        <f>EX11-EW11</f>
      </c>
      <c r="EY14" s="33">
        <f>EY11-EX11</f>
      </c>
      <c r="EZ14" s="33">
        <f>EZ11-EY11</f>
      </c>
      <c r="FA14" s="33">
        <f>FA11-EV11</f>
      </c>
      <c r="FB14" s="33">
        <f>FB11-EZ11</f>
      </c>
      <c r="FC14" s="33">
        <f>FC11-FB11</f>
      </c>
      <c r="FD14" s="33">
        <f>FD11-FC11</f>
      </c>
      <c r="FE14" s="33">
        <f>FE11-FD11</f>
      </c>
      <c r="FF14" s="33">
        <f>FF11-FA11</f>
      </c>
      <c r="FG14" s="33">
        <f>FG11-FE11</f>
      </c>
      <c r="FH14" s="33">
        <f>FH11-FG11</f>
      </c>
      <c r="FI14" s="33">
        <f>FI11-FH11</f>
      </c>
      <c r="FJ14" s="33">
        <f>FJ11-FI11</f>
      </c>
      <c r="FK14" s="33">
        <f>FK11-FF11</f>
      </c>
      <c r="FL14" s="33">
        <f>FL11-FJ11</f>
      </c>
      <c r="FM14" s="33">
        <f>FM11-FL11</f>
      </c>
      <c r="FN14" s="33">
        <f>FN11-FM11</f>
      </c>
      <c r="FO14" s="33">
        <f>FO11-FN11</f>
      </c>
      <c r="FP14" s="33">
        <f>FP11-FK11</f>
      </c>
      <c r="FQ14" s="33">
        <f>FQ11-FO11</f>
      </c>
      <c r="FR14" s="33">
        <f>FR11-FQ11</f>
      </c>
      <c r="FS14" s="33">
        <f>FS11-FR11</f>
      </c>
      <c r="FT14" s="33">
        <f>FT11-FS11</f>
      </c>
      <c r="FU14" s="33">
        <f>FU11-FP11</f>
      </c>
      <c r="FV14" s="33">
        <f>FV11-FT11</f>
      </c>
      <c r="FW14" s="33">
        <f>FW11-FV11</f>
      </c>
      <c r="FX14" s="33">
        <f>FX11-FW11</f>
      </c>
      <c r="FY14" s="33">
        <f>FY11-FX11</f>
      </c>
      <c r="FZ14" s="33">
        <f>FZ11-FU11</f>
      </c>
      <c r="GA14" s="33">
        <f>GA11-FY11</f>
      </c>
      <c r="GB14" s="33">
        <f>GB11-GA11</f>
      </c>
      <c r="GC14" s="33">
        <f>GC11-GB11</f>
      </c>
      <c r="GD14" s="33">
        <f>GD11-GC11</f>
      </c>
      <c r="GE14" s="33">
        <f>GE11-FZ11</f>
      </c>
      <c r="GF14" s="33">
        <f>GF11-GD11</f>
      </c>
      <c r="GG14" s="33">
        <f>GG11-GF11</f>
      </c>
      <c r="GH14" s="33">
        <f>GH11-GG11</f>
      </c>
      <c r="GI14" s="33">
        <f>GI11-GH11</f>
      </c>
      <c r="GJ14" s="33">
        <f>GJ11-GE11</f>
      </c>
      <c r="GK14" s="33">
        <f>GK11-GI11</f>
      </c>
      <c r="GL14" s="33">
        <f>GL11-GK11</f>
      </c>
      <c r="GM14" s="33">
        <f>GM11-GL11</f>
      </c>
      <c r="GN14" s="33">
        <f>GN11-GM11</f>
      </c>
      <c r="GO14" s="33">
        <f>GO11-GJ11</f>
      </c>
      <c r="GP14" s="33">
        <f>GP11-GN11</f>
      </c>
      <c r="GQ14" s="33">
        <f>GQ11-GP11</f>
      </c>
      <c r="GR14" s="33">
        <f>GR11-GQ11</f>
      </c>
      <c r="GS14" s="33">
        <f>GS11-GR11</f>
      </c>
      <c r="GT14" s="33">
        <f>GT11-GO11</f>
      </c>
    </row>
    <row r="15" spans="1:202" ht="12.75" customHeight="1">
      <c r="A15" s="1"/>
      <c r="B15" s="1" t="s">
        <v>23</v>
      </c>
      <c r="C15" s="33">
        <f>G14</f>
      </c>
      <c r="D15" s="33">
        <f>G14</f>
      </c>
      <c r="E15" s="33">
        <f>G14</f>
      </c>
      <c r="F15" s="33">
        <f>G14</f>
      </c>
      <c r="G15" s="33">
        <f>G14</f>
      </c>
      <c r="H15" s="33">
        <f>L14</f>
      </c>
      <c r="I15" s="33">
        <f>L14</f>
      </c>
      <c r="J15" s="33">
        <f>L14</f>
      </c>
      <c r="K15" s="33">
        <f>L14</f>
      </c>
      <c r="L15" s="33">
        <f>L14</f>
      </c>
      <c r="M15" s="33">
        <f>Q14</f>
      </c>
      <c r="N15" s="33">
        <f>Q14</f>
      </c>
      <c r="O15" s="33">
        <f>Q14</f>
      </c>
      <c r="P15" s="33">
        <f>Q14</f>
      </c>
      <c r="Q15" s="33">
        <f>Q14</f>
      </c>
      <c r="R15" s="33">
        <f>V14</f>
      </c>
      <c r="S15" s="33">
        <f>V14</f>
      </c>
      <c r="T15" s="33">
        <f>V14</f>
      </c>
      <c r="U15" s="33">
        <f>V14</f>
      </c>
      <c r="V15" s="33">
        <f>V14</f>
      </c>
      <c r="W15" s="33">
        <f>AA14</f>
      </c>
      <c r="X15" s="33">
        <f>AA14</f>
      </c>
      <c r="Y15" s="33">
        <f>AA14</f>
      </c>
      <c r="Z15" s="33">
        <f>AA14</f>
      </c>
      <c r="AA15" s="33">
        <f>AA14</f>
      </c>
      <c r="AB15" s="33">
        <f>AF14</f>
      </c>
      <c r="AC15" s="33">
        <f>AF14</f>
      </c>
      <c r="AD15" s="33">
        <f>AF14</f>
      </c>
      <c r="AE15" s="33">
        <f>AF14</f>
      </c>
      <c r="AF15" s="33">
        <f>AF14</f>
      </c>
      <c r="AG15" s="33">
        <f>AK14</f>
      </c>
      <c r="AH15" s="33">
        <f>AK14</f>
      </c>
      <c r="AI15" s="33">
        <f>AK14</f>
      </c>
      <c r="AJ15" s="33">
        <f>AK14</f>
      </c>
      <c r="AK15" s="33">
        <f>AK14</f>
      </c>
      <c r="AL15" s="33">
        <f>AP14</f>
      </c>
      <c r="AM15" s="33">
        <f>AP14</f>
      </c>
      <c r="AN15" s="33">
        <f>AP14</f>
      </c>
      <c r="AO15" s="33">
        <f>AP14</f>
      </c>
      <c r="AP15" s="33">
        <f>AP14</f>
      </c>
      <c r="AQ15" s="33">
        <f>AU14</f>
      </c>
      <c r="AR15" s="33">
        <f>AU14</f>
      </c>
      <c r="AS15" s="33">
        <f>AU14</f>
      </c>
      <c r="AT15" s="33">
        <f>AU14</f>
      </c>
      <c r="AU15" s="33">
        <f>AU14</f>
      </c>
      <c r="AV15" s="33">
        <f>AZ14</f>
      </c>
      <c r="AW15" s="33">
        <f>AZ14</f>
      </c>
      <c r="AX15" s="33">
        <f>AZ14</f>
      </c>
      <c r="AY15" s="33">
        <f>AZ14</f>
      </c>
      <c r="AZ15" s="33">
        <f>AZ14</f>
      </c>
      <c r="BA15" s="33">
        <f>BE14</f>
      </c>
      <c r="BB15" s="33">
        <f>BE14</f>
      </c>
      <c r="BC15" s="33">
        <f>BE14</f>
      </c>
      <c r="BD15" s="33">
        <f>BE14</f>
      </c>
      <c r="BE15" s="33">
        <f>BE14</f>
      </c>
      <c r="BF15" s="33">
        <f>BJ14</f>
      </c>
      <c r="BG15" s="33">
        <f>BJ14</f>
      </c>
      <c r="BH15" s="33">
        <f>BJ14</f>
      </c>
      <c r="BI15" s="33">
        <f>BJ14</f>
      </c>
      <c r="BJ15" s="33">
        <f>BJ14</f>
      </c>
      <c r="BK15" s="33">
        <f>BO14</f>
      </c>
      <c r="BL15" s="33">
        <f>BO14</f>
      </c>
      <c r="BM15" s="33">
        <f>BO14</f>
      </c>
      <c r="BN15" s="33">
        <f>BO14</f>
      </c>
      <c r="BO15" s="33">
        <f>BO14</f>
      </c>
      <c r="BP15" s="33">
        <f>BT14</f>
      </c>
      <c r="BQ15" s="33">
        <f>BT14</f>
      </c>
      <c r="BR15" s="33">
        <f>BT14</f>
      </c>
      <c r="BS15" s="33">
        <f>BT14</f>
      </c>
      <c r="BT15" s="33">
        <f>BT14</f>
      </c>
      <c r="BU15" s="33">
        <f>BY14</f>
      </c>
      <c r="BV15" s="33">
        <f>BY14</f>
      </c>
      <c r="BW15" s="33">
        <f>BY14</f>
      </c>
      <c r="BX15" s="33">
        <f>BY14</f>
      </c>
      <c r="BY15" s="33">
        <f>BY14</f>
      </c>
      <c r="BZ15" s="33">
        <f>CD14</f>
      </c>
      <c r="CA15" s="33">
        <f>CD14</f>
      </c>
      <c r="CB15" s="33">
        <f>CD14</f>
      </c>
      <c r="CC15" s="33">
        <f>CD14</f>
      </c>
      <c r="CD15" s="33">
        <f>CD14</f>
      </c>
      <c r="CE15" s="33">
        <f>CI14</f>
      </c>
      <c r="CF15" s="33">
        <f>CI14</f>
      </c>
      <c r="CG15" s="33">
        <f>CI14</f>
      </c>
      <c r="CH15" s="33">
        <f>CI14</f>
      </c>
      <c r="CI15" s="33">
        <f>CI14</f>
      </c>
      <c r="CJ15" s="33">
        <f>CN14</f>
      </c>
      <c r="CK15" s="33">
        <f>CN14</f>
      </c>
      <c r="CL15" s="33">
        <f>CN14</f>
      </c>
      <c r="CM15" s="33">
        <f>CN14</f>
      </c>
      <c r="CN15" s="33">
        <f>CN14</f>
      </c>
      <c r="CO15" s="33">
        <f>CS14</f>
      </c>
      <c r="CP15" s="33">
        <f>CS14</f>
      </c>
      <c r="CQ15" s="33">
        <f>CS14</f>
      </c>
      <c r="CR15" s="33">
        <f>CS14</f>
      </c>
      <c r="CS15" s="33">
        <f>CS14</f>
      </c>
      <c r="CT15" s="33">
        <f>CX14</f>
      </c>
      <c r="CU15" s="33">
        <f>CX14</f>
      </c>
      <c r="CV15" s="33">
        <f>CX14</f>
      </c>
      <c r="CW15" s="33">
        <f>CX14</f>
      </c>
      <c r="CX15" s="33">
        <f>CX14</f>
      </c>
      <c r="CY15" s="33">
        <f>DC14</f>
      </c>
      <c r="CZ15" s="33">
        <f>DC14</f>
      </c>
      <c r="DA15" s="33">
        <f>DC14</f>
      </c>
      <c r="DB15" s="33">
        <f>DC14</f>
      </c>
      <c r="DC15" s="33">
        <f>DC14</f>
      </c>
      <c r="DD15" s="33">
        <f>DH14</f>
      </c>
      <c r="DE15" s="33">
        <f>DH14</f>
      </c>
      <c r="DF15" s="33">
        <f>DH14</f>
      </c>
      <c r="DG15" s="33">
        <f>DH14</f>
      </c>
      <c r="DH15" s="33">
        <f>DH14</f>
      </c>
      <c r="DI15" s="33">
        <f>DM14</f>
      </c>
      <c r="DJ15" s="33">
        <f>DM14</f>
      </c>
      <c r="DK15" s="33">
        <f>DM14</f>
      </c>
      <c r="DL15" s="33">
        <f>DM14</f>
      </c>
      <c r="DM15" s="33">
        <f>DM14</f>
      </c>
      <c r="DN15" s="33">
        <f>DR14</f>
      </c>
      <c r="DO15" s="33">
        <f>DR14</f>
      </c>
      <c r="DP15" s="33">
        <f>DR14</f>
      </c>
      <c r="DQ15" s="33">
        <f>DR14</f>
      </c>
      <c r="DR15" s="33">
        <f>DR14</f>
      </c>
      <c r="DS15" s="33">
        <f>DW14</f>
      </c>
      <c r="DT15" s="33">
        <f>DW14</f>
      </c>
      <c r="DU15" s="33">
        <f>DW14</f>
      </c>
      <c r="DV15" s="33">
        <f>DW14</f>
      </c>
      <c r="DW15" s="33">
        <f>DW14</f>
      </c>
      <c r="DX15" s="33">
        <f>EB14</f>
      </c>
      <c r="DY15" s="33">
        <f>EB14</f>
      </c>
      <c r="DZ15" s="33">
        <f>EB14</f>
      </c>
      <c r="EA15" s="33">
        <f>EB14</f>
      </c>
      <c r="EB15" s="33">
        <f>EB14</f>
      </c>
      <c r="EC15" s="33">
        <f>EG14</f>
      </c>
      <c r="ED15" s="33">
        <f>EG14</f>
      </c>
      <c r="EE15" s="33">
        <f>EG14</f>
      </c>
      <c r="EF15" s="33">
        <f>EG14</f>
      </c>
      <c r="EG15" s="33">
        <f>EG14</f>
      </c>
      <c r="EH15" s="33">
        <f>EL14</f>
      </c>
      <c r="EI15" s="33">
        <f>EL14</f>
      </c>
      <c r="EJ15" s="33">
        <f>EL14</f>
      </c>
      <c r="EK15" s="33">
        <f>EL14</f>
      </c>
      <c r="EL15" s="33">
        <f>EL14</f>
      </c>
      <c r="EM15" s="33">
        <f>EQ14</f>
      </c>
      <c r="EN15" s="33">
        <f>EQ14</f>
      </c>
      <c r="EO15" s="33">
        <f>EQ14</f>
      </c>
      <c r="EP15" s="33">
        <f>EQ14</f>
      </c>
      <c r="EQ15" s="33">
        <f>EQ14</f>
      </c>
      <c r="ER15" s="33">
        <f>EV14</f>
      </c>
      <c r="ES15" s="33">
        <f>EV14</f>
      </c>
      <c r="ET15" s="33">
        <f>EV14</f>
      </c>
      <c r="EU15" s="33">
        <f>EV14</f>
      </c>
      <c r="EV15" s="33">
        <f>EV14</f>
      </c>
      <c r="EW15" s="33">
        <f>FA14</f>
      </c>
      <c r="EX15" s="33">
        <f>FA14</f>
      </c>
      <c r="EY15" s="33">
        <f>FA14</f>
      </c>
      <c r="EZ15" s="33">
        <f>FA14</f>
      </c>
      <c r="FA15" s="33">
        <f>FA14</f>
      </c>
      <c r="FB15" s="33">
        <f>FF14</f>
      </c>
      <c r="FC15" s="33">
        <f>FF14</f>
      </c>
      <c r="FD15" s="33">
        <f>FF14</f>
      </c>
      <c r="FE15" s="33">
        <f>FF14</f>
      </c>
      <c r="FF15" s="33">
        <f>FF14</f>
      </c>
      <c r="FG15" s="33">
        <f>FK14</f>
      </c>
      <c r="FH15" s="33">
        <f>FK14</f>
      </c>
      <c r="FI15" s="33">
        <f>FK14</f>
      </c>
      <c r="FJ15" s="33">
        <f>FK14</f>
      </c>
      <c r="FK15" s="33">
        <f>FK14</f>
      </c>
      <c r="FL15" s="33">
        <f>FP14</f>
      </c>
      <c r="FM15" s="33">
        <f>FP14</f>
      </c>
      <c r="FN15" s="33">
        <f>FP14</f>
      </c>
      <c r="FO15" s="33">
        <f>FP14</f>
      </c>
      <c r="FP15" s="33">
        <f>FP14</f>
      </c>
      <c r="FQ15" s="33">
        <f>FU14</f>
      </c>
      <c r="FR15" s="33">
        <f>FU14</f>
      </c>
      <c r="FS15" s="33">
        <f>FU14</f>
      </c>
      <c r="FT15" s="33">
        <f>FU14</f>
      </c>
      <c r="FU15" s="33">
        <f>FU14</f>
      </c>
      <c r="FV15" s="33">
        <f>FZ14</f>
      </c>
      <c r="FW15" s="33">
        <f>FZ14</f>
      </c>
      <c r="FX15" s="33">
        <f>FZ14</f>
      </c>
      <c r="FY15" s="33">
        <f>FZ14</f>
      </c>
      <c r="FZ15" s="33">
        <f>FZ14</f>
      </c>
      <c r="GA15" s="33">
        <f>GE14</f>
      </c>
      <c r="GB15" s="33">
        <f>GE14</f>
      </c>
      <c r="GC15" s="33">
        <f>GE14</f>
      </c>
      <c r="GD15" s="33">
        <f>GE14</f>
      </c>
      <c r="GE15" s="33">
        <f>GE14</f>
      </c>
      <c r="GF15" s="33">
        <f>GJ14</f>
      </c>
      <c r="GG15" s="33">
        <f>GJ14</f>
      </c>
      <c r="GH15" s="33">
        <f>GJ14</f>
      </c>
      <c r="GI15" s="33">
        <f>GJ14</f>
      </c>
      <c r="GJ15" s="33">
        <f>GJ14</f>
      </c>
      <c r="GK15" s="33">
        <f>GO14</f>
      </c>
      <c r="GL15" s="33">
        <f>GO14</f>
      </c>
      <c r="GM15" s="33">
        <f>GO14</f>
      </c>
      <c r="GN15" s="33">
        <f>GO14</f>
      </c>
      <c r="GO15" s="33">
        <f>GO14</f>
      </c>
      <c r="GP15" s="33">
        <f>GT14</f>
      </c>
      <c r="GQ15" s="33">
        <f>GT14</f>
      </c>
      <c r="GR15" s="33">
        <f>GT14</f>
      </c>
      <c r="GS15" s="33">
        <f>GT14</f>
      </c>
      <c r="GT15" s="33">
        <f>GT14</f>
      </c>
    </row>
    <row r="16" spans="1:202" ht="12.75" customHeight="1">
      <c r="A16" s="1"/>
      <c r="B16" s="1"/>
      <c r="C16" s="6"/>
      <c r="D16" s="6"/>
      <c r="E16" s="6"/>
      <c r="F16" s="6"/>
      <c r="G16" s="6"/>
      <c r="H16" s="6"/>
      <c r="I16" s="6"/>
      <c r="J16" s="6"/>
      <c r="K16" s="6"/>
      <c r="L16" s="6"/>
      <c r="M16" s="6"/>
      <c r="N16" s="6"/>
      <c r="O16" s="6"/>
      <c r="P16" s="6"/>
      <c r="Q16" s="6"/>
      <c r="R16" s="6"/>
      <c r="S16" s="6"/>
      <c r="T16" s="6"/>
      <c r="U16" s="6"/>
      <c r="V16" s="6"/>
      <c r="W16" s="6"/>
      <c r="X16" s="6"/>
      <c r="Y16" s="6"/>
      <c r="Z16" s="6"/>
      <c r="AA16" s="6"/>
      <c r="AB16" s="6"/>
      <c r="AC16" s="6"/>
      <c r="AD16" s="6"/>
      <c r="AE16" s="6"/>
      <c r="AF16" s="6"/>
      <c r="AG16" s="6"/>
      <c r="AH16" s="6"/>
      <c r="AI16" s="6"/>
      <c r="AJ16" s="6"/>
      <c r="AK16" s="6"/>
      <c r="AL16" s="6"/>
      <c r="AM16" s="6"/>
      <c r="AN16" s="6"/>
      <c r="AO16" s="6"/>
      <c r="AP16" s="6"/>
      <c r="AQ16" s="6"/>
      <c r="AR16" s="6"/>
      <c r="AS16" s="6"/>
      <c r="AT16" s="6"/>
      <c r="AU16" s="6"/>
      <c r="AV16" s="6"/>
      <c r="AW16" s="6"/>
      <c r="AX16" s="6"/>
      <c r="AY16" s="6"/>
      <c r="AZ16" s="6"/>
      <c r="BA16" s="6"/>
      <c r="BB16" s="6"/>
      <c r="BC16" s="6"/>
      <c r="BD16" s="6"/>
      <c r="BE16" s="6"/>
      <c r="BF16" s="6"/>
      <c r="BG16" s="6"/>
      <c r="BH16" s="6"/>
      <c r="BI16" s="6"/>
      <c r="BJ16" s="6"/>
      <c r="BK16" s="6"/>
      <c r="BL16" s="6"/>
      <c r="BM16" s="6"/>
      <c r="BN16" s="6"/>
      <c r="BO16" s="6"/>
      <c r="BP16" s="6"/>
      <c r="BQ16" s="6"/>
      <c r="BR16" s="6"/>
      <c r="BS16" s="6"/>
      <c r="BT16" s="6"/>
      <c r="BU16" s="6"/>
      <c r="BV16" s="6"/>
      <c r="BW16" s="6"/>
      <c r="BX16" s="6"/>
      <c r="BY16" s="6"/>
      <c r="BZ16" s="6"/>
      <c r="CA16" s="6"/>
      <c r="CB16" s="6"/>
      <c r="CC16" s="6"/>
      <c r="CD16" s="6"/>
      <c r="CE16" s="6"/>
      <c r="CF16" s="6"/>
      <c r="CG16" s="6"/>
      <c r="CH16" s="6"/>
      <c r="CI16" s="6"/>
      <c r="CJ16" s="6"/>
      <c r="CK16" s="6"/>
      <c r="CL16" s="6"/>
      <c r="CM16" s="6"/>
      <c r="CN16" s="6"/>
      <c r="CO16" s="6"/>
      <c r="CP16" s="6"/>
      <c r="CQ16" s="6"/>
      <c r="CR16" s="6"/>
      <c r="CS16" s="6"/>
      <c r="CT16" s="6"/>
      <c r="CU16" s="6"/>
      <c r="CV16" s="6"/>
      <c r="CW16" s="6"/>
      <c r="CX16" s="6"/>
      <c r="CY16" s="6"/>
      <c r="CZ16" s="6"/>
      <c r="DA16" s="6"/>
      <c r="DB16" s="6"/>
      <c r="DC16" s="6"/>
      <c r="DD16" s="6"/>
      <c r="DE16" s="6"/>
      <c r="DF16" s="6"/>
      <c r="DG16" s="6"/>
      <c r="DH16" s="6"/>
      <c r="DI16" s="6"/>
      <c r="DJ16" s="6"/>
      <c r="DK16" s="6"/>
      <c r="DL16" s="6"/>
      <c r="DM16" s="6"/>
      <c r="DN16" s="6"/>
      <c r="DO16" s="6"/>
      <c r="DP16" s="6"/>
      <c r="DQ16" s="6"/>
      <c r="DR16" s="6"/>
      <c r="DS16" s="6"/>
      <c r="DT16" s="6"/>
      <c r="DU16" s="6"/>
      <c r="DV16" s="6"/>
      <c r="DW16" s="6"/>
      <c r="DX16" s="6"/>
      <c r="DY16" s="6"/>
      <c r="DZ16" s="6"/>
      <c r="EA16" s="6"/>
      <c r="EB16" s="6"/>
      <c r="EC16" s="6"/>
      <c r="ED16" s="6"/>
      <c r="EE16" s="6"/>
      <c r="EF16" s="6"/>
      <c r="EG16" s="6"/>
      <c r="EH16" s="6"/>
      <c r="EI16" s="6"/>
      <c r="EJ16" s="6"/>
      <c r="EK16" s="6"/>
      <c r="EL16" s="6"/>
      <c r="EM16" s="6"/>
      <c r="EN16" s="6"/>
      <c r="EO16" s="6"/>
      <c r="EP16" s="6"/>
      <c r="EQ16" s="6"/>
      <c r="ER16" s="6"/>
      <c r="ES16" s="6"/>
      <c r="ET16" s="6"/>
      <c r="EU16" s="6"/>
      <c r="EV16" s="6"/>
      <c r="EW16" s="6"/>
      <c r="EX16" s="6"/>
      <c r="EY16" s="6"/>
      <c r="EZ16" s="6"/>
      <c r="FA16" s="6"/>
      <c r="FB16" s="6"/>
      <c r="FC16" s="6"/>
      <c r="FD16" s="6"/>
      <c r="FE16" s="6"/>
      <c r="FF16" s="6"/>
      <c r="FG16" s="6"/>
      <c r="FH16" s="6"/>
      <c r="FI16" s="6"/>
      <c r="FJ16" s="6"/>
      <c r="FK16" s="6"/>
      <c r="FL16" s="6"/>
      <c r="FM16" s="6"/>
      <c r="FN16" s="6"/>
      <c r="FO16" s="6"/>
      <c r="FP16" s="6"/>
      <c r="FQ16" s="6"/>
      <c r="FR16" s="6"/>
      <c r="FS16" s="6"/>
      <c r="FT16" s="6"/>
      <c r="FU16" s="6"/>
      <c r="FV16" s="6"/>
      <c r="FW16" s="6"/>
      <c r="FX16" s="6"/>
      <c r="FY16" s="6"/>
      <c r="FZ16" s="6"/>
      <c r="GA16" s="6"/>
      <c r="GB16" s="6"/>
      <c r="GC16" s="6"/>
      <c r="GD16" s="6"/>
      <c r="GE16" s="6"/>
      <c r="GF16" s="6"/>
      <c r="GG16" s="6"/>
      <c r="GH16" s="6"/>
      <c r="GI16" s="6"/>
      <c r="GJ16" s="6"/>
      <c r="GK16" s="6"/>
      <c r="GL16" s="6"/>
      <c r="GM16" s="6"/>
      <c r="GN16" s="6"/>
      <c r="GO16" s="6"/>
      <c r="GP16" s="6"/>
      <c r="GQ16" s="6"/>
      <c r="GR16" s="6"/>
      <c r="GS16" s="6"/>
      <c r="GT16" s="6"/>
    </row>
    <row r="17" spans="1:202" ht="12.75" customHeight="1">
      <c r="A17" s="1"/>
      <c r="B17" s="1" t="s">
        <v>24</v>
      </c>
      <c r="C17" s="34"/>
      <c r="D17" s="6"/>
      <c r="E17" s="6"/>
      <c r="F17" s="6"/>
      <c r="G17" s="6"/>
      <c r="H17" s="6"/>
      <c r="I17" s="6"/>
      <c r="J17" s="6"/>
      <c r="K17" s="6"/>
      <c r="L17" s="6"/>
      <c r="M17" s="6"/>
      <c r="N17" s="6"/>
      <c r="O17" s="6"/>
      <c r="P17" s="6"/>
      <c r="Q17" s="6"/>
      <c r="R17" s="6"/>
      <c r="S17" s="6"/>
      <c r="T17" s="6"/>
      <c r="U17" s="6"/>
      <c r="V17" s="6"/>
      <c r="W17" s="6"/>
      <c r="X17" s="6"/>
      <c r="Y17" s="6"/>
      <c r="Z17" s="6"/>
      <c r="AA17" s="6"/>
      <c r="AB17" s="6"/>
      <c r="AC17" s="6"/>
      <c r="AD17" s="6"/>
      <c r="AE17" s="6"/>
      <c r="AF17" s="6"/>
      <c r="AG17" s="6"/>
      <c r="AH17" s="6"/>
      <c r="AI17" s="6"/>
      <c r="AJ17" s="6"/>
      <c r="AK17" s="6"/>
      <c r="AL17" s="6"/>
      <c r="AM17" s="6"/>
      <c r="AN17" s="6"/>
      <c r="AO17" s="6"/>
      <c r="AP17" s="6"/>
      <c r="AQ17" s="6"/>
      <c r="AR17" s="6"/>
      <c r="AS17" s="6"/>
      <c r="AT17" s="6"/>
      <c r="AU17" s="6"/>
      <c r="AV17" s="6"/>
      <c r="AW17" s="6"/>
      <c r="AX17" s="6"/>
      <c r="AY17" s="6"/>
      <c r="AZ17" s="6"/>
      <c r="BA17" s="6"/>
      <c r="BB17" s="6"/>
      <c r="BC17" s="6"/>
      <c r="BD17" s="6"/>
      <c r="BE17" s="6"/>
      <c r="BF17" s="6"/>
      <c r="BG17" s="6"/>
      <c r="BH17" s="6"/>
      <c r="BI17" s="6"/>
      <c r="BJ17" s="6"/>
      <c r="BK17" s="6"/>
      <c r="BL17" s="6"/>
      <c r="BM17" s="6"/>
      <c r="BN17" s="6"/>
      <c r="BO17" s="6"/>
      <c r="BP17" s="6"/>
      <c r="BQ17" s="6"/>
      <c r="BR17" s="6"/>
      <c r="BS17" s="6"/>
      <c r="BT17" s="6"/>
      <c r="BU17" s="6"/>
      <c r="BV17" s="6"/>
      <c r="BW17" s="6"/>
      <c r="BX17" s="6"/>
      <c r="BY17" s="6"/>
      <c r="BZ17" s="6"/>
      <c r="CA17" s="6"/>
      <c r="CB17" s="6"/>
      <c r="CC17" s="6"/>
      <c r="CD17" s="6"/>
      <c r="CE17" s="6"/>
      <c r="CF17" s="6"/>
      <c r="CG17" s="6"/>
      <c r="CH17" s="6"/>
      <c r="CI17" s="6"/>
      <c r="CJ17" s="6"/>
      <c r="CK17" s="6"/>
      <c r="CL17" s="6"/>
      <c r="CM17" s="6"/>
      <c r="CN17" s="6"/>
      <c r="CO17" s="6">
        <v>41200</v>
      </c>
      <c r="CP17" s="6">
        <v>41298</v>
      </c>
      <c r="CQ17" s="6">
        <v>41382</v>
      </c>
      <c r="CR17" s="6">
        <v>41473</v>
      </c>
      <c r="CS17" s="6"/>
      <c r="CT17" s="6">
        <v>41571</v>
      </c>
      <c r="CU17" s="6">
        <v>41662</v>
      </c>
      <c r="CV17" s="6">
        <v>41743</v>
      </c>
      <c r="CW17" s="6">
        <v>41842</v>
      </c>
      <c r="CX17" s="6"/>
      <c r="CY17" s="6">
        <v>41935</v>
      </c>
      <c r="CZ17" s="6">
        <v>42030</v>
      </c>
      <c r="DA17" s="6">
        <v>42117</v>
      </c>
      <c r="DB17" s="6">
        <v>42206</v>
      </c>
      <c r="DC17" s="6"/>
      <c r="DD17" s="6">
        <v>42299</v>
      </c>
      <c r="DE17" s="6">
        <v>42397</v>
      </c>
      <c r="DF17" s="6">
        <v>42481</v>
      </c>
      <c r="DG17" s="6">
        <v>42570</v>
      </c>
      <c r="DH17" s="6"/>
      <c r="DI17" s="6">
        <v>42663</v>
      </c>
      <c r="DJ17" s="6">
        <v>42761</v>
      </c>
      <c r="DK17" s="6">
        <v>42821</v>
      </c>
      <c r="DL17" s="6"/>
      <c r="DM17" s="6"/>
      <c r="DN17" s="6"/>
      <c r="DO17" s="6"/>
      <c r="DP17" s="6"/>
      <c r="DQ17" s="6"/>
      <c r="DR17" s="6"/>
      <c r="DS17" s="6"/>
      <c r="DT17" s="6"/>
      <c r="DU17" s="6"/>
      <c r="DV17" s="6"/>
      <c r="DW17" s="6"/>
      <c r="DX17" s="6"/>
      <c r="DY17" s="6"/>
      <c r="DZ17" s="6"/>
      <c r="EA17" s="6"/>
      <c r="EB17" s="6"/>
      <c r="EC17" s="6"/>
      <c r="ED17" s="6"/>
      <c r="EE17" s="6"/>
      <c r="EF17" s="6"/>
      <c r="EG17" s="6"/>
      <c r="EH17" s="6"/>
      <c r="EI17" s="6"/>
      <c r="EJ17" s="6"/>
      <c r="EK17" s="6"/>
      <c r="EL17" s="6"/>
      <c r="EM17" s="6"/>
      <c r="EN17" s="6"/>
      <c r="EO17" s="6"/>
      <c r="EP17" s="6"/>
      <c r="EQ17" s="6"/>
      <c r="ER17" s="6"/>
      <c r="ES17" s="6"/>
      <c r="ET17" s="6"/>
      <c r="EU17" s="6"/>
      <c r="EV17" s="6"/>
      <c r="EW17" s="6"/>
      <c r="EX17" s="6"/>
      <c r="EY17" s="6"/>
      <c r="EZ17" s="6"/>
      <c r="FA17" s="6"/>
      <c r="FB17" s="6"/>
      <c r="FC17" s="6"/>
      <c r="FD17" s="6"/>
      <c r="FE17" s="6"/>
      <c r="FF17" s="6"/>
      <c r="FG17" s="6"/>
      <c r="FH17" s="6"/>
      <c r="FI17" s="6"/>
      <c r="FJ17" s="6"/>
      <c r="FK17" s="6"/>
      <c r="FL17" s="6"/>
      <c r="FM17" s="6"/>
      <c r="FN17" s="6"/>
      <c r="FO17" s="6"/>
      <c r="FP17" s="6"/>
      <c r="FQ17" s="6"/>
      <c r="FR17" s="6"/>
      <c r="FS17" s="6"/>
      <c r="FT17" s="6"/>
      <c r="FU17" s="6"/>
      <c r="FV17" s="6"/>
      <c r="FW17" s="6"/>
      <c r="FX17" s="6"/>
      <c r="FY17" s="6"/>
      <c r="FZ17" s="6"/>
      <c r="GA17" s="6"/>
      <c r="GB17" s="6"/>
      <c r="GC17" s="6"/>
      <c r="GD17" s="6"/>
      <c r="GE17" s="6"/>
      <c r="GF17" s="6"/>
      <c r="GG17" s="6"/>
      <c r="GH17" s="6"/>
      <c r="GI17" s="6"/>
      <c r="GJ17" s="6"/>
      <c r="GK17" s="6"/>
      <c r="GL17" s="6"/>
      <c r="GM17" s="6"/>
      <c r="GN17" s="6"/>
      <c r="GO17" s="6"/>
      <c r="GP17" s="6"/>
      <c r="GQ17" s="6"/>
      <c r="GR17" s="6"/>
      <c r="GS17" s="6"/>
      <c r="GT17" s="6"/>
    </row>
    <row r="18" spans="1:202" ht="12.75" customHeight="1">
      <c r="A18" s="1"/>
      <c r="B18" s="1" t="s">
        <v>25</v>
      </c>
      <c r="C18" s="6"/>
      <c r="D18" s="6"/>
      <c r="E18" s="6"/>
      <c r="F18" s="6"/>
      <c r="G18" s="6"/>
      <c r="H18" s="6"/>
      <c r="I18" s="6"/>
      <c r="J18" s="6"/>
      <c r="K18" s="6"/>
      <c r="L18" s="6"/>
      <c r="M18" s="6"/>
      <c r="N18" s="6"/>
      <c r="O18" s="6"/>
      <c r="P18" s="6"/>
      <c r="Q18" s="6"/>
      <c r="R18" s="6"/>
      <c r="S18" s="6"/>
      <c r="T18" s="6"/>
      <c r="U18" s="6"/>
      <c r="V18" s="6"/>
      <c r="W18" s="6"/>
      <c r="X18" s="6"/>
      <c r="Y18" s="6"/>
      <c r="Z18" s="6"/>
      <c r="AA18" s="6"/>
      <c r="AB18" s="6"/>
      <c r="AC18" s="6"/>
      <c r="AD18" s="6"/>
      <c r="AE18" s="6"/>
      <c r="AF18" s="6"/>
      <c r="AG18" s="6"/>
      <c r="AH18" s="6"/>
      <c r="AI18" s="6"/>
      <c r="AJ18" s="6"/>
      <c r="AK18" s="6"/>
      <c r="AL18" s="6"/>
      <c r="AM18" s="6"/>
      <c r="AN18" s="6"/>
      <c r="AO18" s="6"/>
      <c r="AP18" s="6"/>
      <c r="AQ18" s="6"/>
      <c r="AR18" s="6"/>
      <c r="AS18" s="6"/>
      <c r="AT18" s="6"/>
      <c r="AU18" s="6"/>
      <c r="AV18" s="6"/>
      <c r="AW18" s="6"/>
      <c r="AX18" s="6"/>
      <c r="AY18" s="6"/>
      <c r="AZ18" s="6"/>
      <c r="BA18" s="6"/>
      <c r="BB18" s="6"/>
      <c r="BC18" s="6"/>
      <c r="BD18" s="6"/>
      <c r="BE18" s="6"/>
      <c r="BF18" s="6"/>
      <c r="BG18" s="6"/>
      <c r="BH18" s="6"/>
      <c r="BI18" s="6"/>
      <c r="BJ18" s="6"/>
      <c r="BK18" s="6"/>
      <c r="BL18" s="6"/>
      <c r="BM18" s="6"/>
      <c r="BN18" s="6"/>
      <c r="BO18" s="6"/>
      <c r="BP18" s="6"/>
      <c r="BQ18" s="6"/>
      <c r="BR18" s="6"/>
      <c r="BS18" s="6"/>
      <c r="BT18" s="6"/>
      <c r="BU18" s="6"/>
      <c r="BV18" s="6"/>
      <c r="BW18" s="6"/>
      <c r="BX18" s="6"/>
      <c r="BY18" s="6"/>
      <c r="BZ18" s="6"/>
      <c r="CA18" s="6"/>
      <c r="CB18" s="6"/>
      <c r="CC18" s="6"/>
      <c r="CD18" s="6"/>
      <c r="CE18" s="6"/>
      <c r="CF18" s="6"/>
      <c r="CG18" s="6"/>
      <c r="CH18" s="6"/>
      <c r="CI18" s="6"/>
      <c r="CJ18" s="6"/>
      <c r="CK18" s="6"/>
      <c r="CL18" s="6"/>
      <c r="CM18" s="6"/>
      <c r="CN18" s="6"/>
      <c r="CO18" s="6">
        <f>CO17-1</f>
      </c>
      <c r="CP18" s="6">
        <f>CP17-1</f>
      </c>
      <c r="CQ18" s="6">
        <f>CQ17-1</f>
      </c>
      <c r="CR18" s="6">
        <f>CR17-1</f>
      </c>
      <c r="CS18" s="6"/>
      <c r="CT18" s="6">
        <f>CT17-1</f>
      </c>
      <c r="CU18" s="6">
        <f>CU17-1</f>
      </c>
      <c r="CV18" s="6">
        <f>CV17-1</f>
      </c>
      <c r="CW18" s="6">
        <f>CW17-1</f>
      </c>
      <c r="CX18" s="6"/>
      <c r="CY18" s="6">
        <f>CY17-1</f>
      </c>
      <c r="CZ18" s="6">
        <f>CZ17-1</f>
      </c>
      <c r="DA18" s="6">
        <f>DA17-1</f>
      </c>
      <c r="DB18" s="6">
        <f>DB17-1</f>
      </c>
      <c r="DC18" s="6"/>
      <c r="DD18" s="6">
        <f>DD17-1</f>
      </c>
      <c r="DE18" s="6">
        <f>DE17-1</f>
      </c>
      <c r="DF18" s="6">
        <f>DF17-1</f>
      </c>
      <c r="DG18" s="6">
        <f>DG17-1</f>
      </c>
      <c r="DH18" s="6"/>
      <c r="DI18" s="6">
        <f>DI17-1</f>
      </c>
      <c r="DJ18" s="6">
        <f>DJ17-1</f>
      </c>
      <c r="DK18" s="6">
        <f>DK17-1</f>
      </c>
      <c r="DL18" s="6"/>
      <c r="DM18" s="6"/>
      <c r="DN18" s="6"/>
      <c r="DO18" s="6"/>
      <c r="DP18" s="6"/>
      <c r="DQ18" s="6"/>
      <c r="DR18" s="6"/>
      <c r="DS18" s="6"/>
      <c r="DT18" s="6"/>
      <c r="DU18" s="6"/>
      <c r="DV18" s="6"/>
      <c r="DW18" s="6"/>
      <c r="DX18" s="6"/>
      <c r="DY18" s="6"/>
      <c r="DZ18" s="6"/>
      <c r="EA18" s="6"/>
      <c r="EB18" s="6"/>
      <c r="EC18" s="6"/>
      <c r="ED18" s="6"/>
      <c r="EE18" s="6"/>
      <c r="EF18" s="6"/>
      <c r="EG18" s="6"/>
      <c r="EH18" s="6"/>
      <c r="EI18" s="6"/>
      <c r="EJ18" s="6"/>
      <c r="EK18" s="6"/>
      <c r="EL18" s="6"/>
      <c r="EM18" s="6"/>
      <c r="EN18" s="6"/>
      <c r="EO18" s="6"/>
      <c r="EP18" s="6"/>
      <c r="EQ18" s="6"/>
      <c r="ER18" s="6"/>
      <c r="ES18" s="6"/>
      <c r="ET18" s="6"/>
      <c r="EU18" s="6"/>
      <c r="EV18" s="6"/>
      <c r="EW18" s="6"/>
      <c r="EX18" s="6"/>
      <c r="EY18" s="6"/>
      <c r="EZ18" s="6"/>
      <c r="FA18" s="6"/>
      <c r="FB18" s="6"/>
      <c r="FC18" s="6"/>
      <c r="FD18" s="6"/>
      <c r="FE18" s="6"/>
      <c r="FF18" s="6"/>
      <c r="FG18" s="6"/>
      <c r="FH18" s="6"/>
      <c r="FI18" s="6"/>
      <c r="FJ18" s="6"/>
      <c r="FK18" s="6"/>
      <c r="FL18" s="6"/>
      <c r="FM18" s="6"/>
      <c r="FN18" s="6"/>
      <c r="FO18" s="6"/>
      <c r="FP18" s="6"/>
      <c r="FQ18" s="6"/>
      <c r="FR18" s="6"/>
      <c r="FS18" s="6"/>
      <c r="FT18" s="6"/>
      <c r="FU18" s="6"/>
      <c r="FV18" s="6"/>
      <c r="FW18" s="6"/>
      <c r="FX18" s="6"/>
      <c r="FY18" s="6"/>
      <c r="FZ18" s="6"/>
      <c r="GA18" s="6"/>
      <c r="GB18" s="6"/>
      <c r="GC18" s="6"/>
      <c r="GD18" s="6"/>
      <c r="GE18" s="6"/>
      <c r="GF18" s="6"/>
      <c r="GG18" s="6"/>
      <c r="GH18" s="6"/>
      <c r="GI18" s="6"/>
      <c r="GJ18" s="6"/>
      <c r="GK18" s="6"/>
      <c r="GL18" s="6"/>
      <c r="GM18" s="6"/>
      <c r="GN18" s="6"/>
      <c r="GO18" s="6"/>
      <c r="GP18" s="6"/>
      <c r="GQ18" s="6"/>
      <c r="GR18" s="6"/>
      <c r="GS18" s="6"/>
      <c r="GT18" s="6"/>
    </row>
    <row r="19" spans="1:202" s="36" customFormat="1" ht="12.75" customHeight="1">
      <c r="B19" s="37" t="s">
        <v>26</v>
      </c>
      <c r="DC19" s="36">
        <v>2015</v>
      </c>
      <c r="DH19" s="36">
        <f>DC19+1</f>
      </c>
      <c r="DM19" s="36">
        <f>DH19+1</f>
      </c>
      <c r="DR19" s="36">
        <f>DM19+1</f>
      </c>
      <c r="DW19" s="36">
        <f>DR19+1</f>
      </c>
      <c r="EB19" s="36">
        <f>DW19+1</f>
      </c>
      <c r="EG19" s="36">
        <f>EB19+1</f>
      </c>
      <c r="EL19" s="36">
        <f>EG19+1</f>
      </c>
      <c r="EQ19" s="36">
        <f>EL19+1</f>
      </c>
      <c r="EV19" s="36">
        <f>EQ19+1</f>
      </c>
      <c r="FA19" s="36">
        <f>EV19+1</f>
      </c>
      <c r="FF19" s="36">
        <f>FA19+1</f>
      </c>
      <c r="FK19" s="36">
        <f>FF19+1</f>
      </c>
      <c r="FP19" s="36">
        <f>FK19+1</f>
      </c>
      <c r="FU19" s="36">
        <f>FP19+1</f>
      </c>
      <c r="FZ19" s="36">
        <f>FU19+1</f>
      </c>
      <c r="GE19" s="36">
        <f>FZ19+1</f>
      </c>
      <c r="GJ19" s="36">
        <f>GE19+1</f>
      </c>
      <c r="GO19" s="36">
        <f>GJ19+1</f>
      </c>
      <c r="GT19" s="36">
        <f>GO19+1</f>
      </c>
    </row>
  </sheetData>
  <pageMargins left="0.7" right="0.7" top="0.75" bottom="0.75" header="0.3" footer="0.3"/>
  <pageSetup orientation="portrait" r:id="rId1"/>
  <customProperties>
    <customPr name="Qube.Worksheet.Visibility" r:id="rId2"/>
  </customProperties>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AAE053-9938-49EF-A609-B77513A18C82}">
  <sheetPr>
    <tabColor rgb="FF00B050"/>
  </sheetPr>
  <dimension ref="A2:GA133"/>
  <sheetViews>
    <sheetView showGridLines="0" zoomScaleNormal="100" workbookViewId="0">
      <pane xSplit="3" ySplit="9" topLeftCell="EQ87" activePane="bottomRight" state="frozen"/>
      <selection activeCell="EV49" sqref="EV49"/>
      <selection pane="topRight" activeCell="EV49" sqref="EV49"/>
      <selection pane="bottomLeft" activeCell="EV49" sqref="EV49"/>
      <selection pane="bottomRight" activeCell="A2" sqref="A2:GA133"/>
    </sheetView>
  </sheetViews>
  <sheetFormatPr defaultColWidth="9.109375" defaultRowHeight="12.75" customHeight="1" outlineLevelRow="1" outlineLevelCol="1"/>
  <cols>
    <col min="1" max="1" width="3.5546875" style="39" customWidth="1"/>
    <col min="2" max="2" width="36.44140625" style="1546" bestFit="1" customWidth="1"/>
    <col min="3" max="3" width="9.88671875" style="42" bestFit="1" customWidth="1"/>
    <col min="4" max="7" width="10.44140625" style="42" customWidth="1" outlineLevel="1"/>
    <col min="8" max="8" width="10.109375" style="42" customWidth="1"/>
    <col min="9" max="12" width="10.44140625" style="42" customWidth="1" outlineLevel="1"/>
    <col min="13" max="13" width="9.44140625" style="42" bestFit="1" customWidth="1"/>
    <col min="14" max="17" width="10.44140625" style="42" customWidth="1" outlineLevel="1"/>
    <col min="18" max="18" width="9.44140625" style="42" bestFit="1" customWidth="1"/>
    <col min="19" max="22" width="10.44140625" style="42" customWidth="1" outlineLevel="1"/>
    <col min="23" max="23" width="9.44140625" style="42" bestFit="1" customWidth="1"/>
    <col min="24" max="27" width="10.44140625" style="42" customWidth="1" outlineLevel="1"/>
    <col min="28" max="28" width="9.44140625" style="42" bestFit="1" customWidth="1"/>
    <col min="29" max="32" width="10.44140625" style="42" customWidth="1" outlineLevel="1"/>
    <col min="33" max="33" width="9.44140625" style="42" bestFit="1" customWidth="1"/>
    <col min="34" max="37" width="10.44140625" style="42" customWidth="1" outlineLevel="1"/>
    <col min="38" max="38" width="9.44140625" style="42" bestFit="1" customWidth="1"/>
    <col min="39" max="42" width="10.44140625" style="42" customWidth="1" outlineLevel="1"/>
    <col min="43" max="43" width="9.44140625" style="42" bestFit="1" customWidth="1"/>
    <col min="44" max="47" width="10.44140625" style="42" customWidth="1" outlineLevel="1"/>
    <col min="48" max="48" width="9.44140625" style="42" bestFit="1" customWidth="1"/>
    <col min="49" max="52" width="10.44140625" style="42" customWidth="1" outlineLevel="1"/>
    <col min="53" max="53" width="9.44140625" style="42" bestFit="1" customWidth="1"/>
    <col min="54" max="57" width="10.44140625" style="42" customWidth="1" outlineLevel="1"/>
    <col min="58" max="58" width="9.44140625" style="42" bestFit="1" customWidth="1"/>
    <col min="59" max="62" width="10.44140625" style="42" customWidth="1" outlineLevel="1"/>
    <col min="63" max="63" width="9.44140625" style="42" bestFit="1" customWidth="1"/>
    <col min="64" max="67" width="10.44140625" style="42" customWidth="1" outlineLevel="1"/>
    <col min="68" max="68" width="9.44140625" style="42" bestFit="1" customWidth="1"/>
    <col min="69" max="72" width="10.44140625" style="42" customWidth="1" outlineLevel="1"/>
    <col min="73" max="73" width="9.44140625" style="42" bestFit="1" customWidth="1"/>
    <col min="74" max="77" width="10.44140625" style="42" customWidth="1" outlineLevel="1"/>
    <col min="78" max="78" width="9.44140625" style="42" bestFit="1" customWidth="1"/>
    <col min="79" max="82" width="10.44140625" style="42" customWidth="1" outlineLevel="1"/>
    <col min="83" max="83" width="9.44140625" style="42" bestFit="1" customWidth="1"/>
    <col min="84" max="87" width="10.44140625" style="42" customWidth="1" outlineLevel="1"/>
    <col min="88" max="88" width="9.44140625" style="42" bestFit="1" customWidth="1"/>
    <col min="89" max="92" width="10.44140625" style="42" customWidth="1" outlineLevel="1"/>
    <col min="93" max="93" width="9.44140625" style="42" bestFit="1" customWidth="1"/>
    <col min="94" max="97" width="10.44140625" style="42" customWidth="1" outlineLevel="1"/>
    <col min="98" max="98" width="9.44140625" style="42" bestFit="1" customWidth="1"/>
    <col min="99" max="102" width="10.44140625" style="42" customWidth="1" outlineLevel="1"/>
    <col min="103" max="103" width="9.44140625" style="42" bestFit="1" customWidth="1"/>
    <col min="104" max="107" width="10.44140625" style="42" customWidth="1" outlineLevel="1"/>
    <col min="108" max="108" width="11.44140625" style="42" bestFit="1" customWidth="1"/>
    <col min="109" max="112" width="10.44140625" style="42" customWidth="1" outlineLevel="1"/>
    <col min="113" max="113" width="10.44140625" style="42" bestFit="1" customWidth="1"/>
    <col min="114" max="117" width="10.44140625" style="42" customWidth="1" outlineLevel="1"/>
    <col min="118" max="118" width="11.44140625" style="42" bestFit="1" customWidth="1"/>
    <col min="119" max="122" width="10.44140625" style="42" customWidth="1" outlineLevel="1"/>
    <col min="123" max="123" width="11.44140625" style="42" bestFit="1" customWidth="1"/>
    <col min="124" max="127" width="10.44140625" style="42" customWidth="1" outlineLevel="1"/>
    <col min="128" max="128" width="11.44140625" style="42" bestFit="1" customWidth="1"/>
    <col min="129" max="132" width="10.44140625" style="42" customWidth="1" outlineLevel="1"/>
    <col min="133" max="133" width="11.44140625" style="42" bestFit="1" customWidth="1"/>
    <col min="134" max="137" width="10.44140625" style="42" customWidth="1" outlineLevel="1"/>
    <col min="138" max="138" width="11.44140625" style="42" bestFit="1" customWidth="1"/>
    <col min="139" max="142" width="10.44140625" style="42" customWidth="1" outlineLevel="1"/>
    <col min="143" max="143" width="11.44140625" style="42" bestFit="1" customWidth="1"/>
    <col min="144" max="147" width="10.44140625" style="42" customWidth="1" outlineLevel="1"/>
    <col min="148" max="148" width="11.44140625" style="42" bestFit="1" customWidth="1"/>
    <col min="149" max="152" width="10.44140625" style="42" customWidth="1" outlineLevel="1"/>
    <col min="153" max="153" width="11.44140625" style="42" bestFit="1" customWidth="1"/>
    <col min="154" max="157" width="10.44140625" style="42" customWidth="1" outlineLevel="1"/>
    <col min="158" max="158" width="11.44140625" style="42" bestFit="1" customWidth="1"/>
    <col min="159" max="162" width="10.44140625" style="42" customWidth="1" outlineLevel="1"/>
    <col min="163" max="163" width="11.44140625" style="42" bestFit="1" customWidth="1"/>
    <col min="164" max="167" width="10.44140625" style="42" customWidth="1" outlineLevel="1"/>
    <col min="168" max="168" width="11.44140625" style="42" bestFit="1" customWidth="1"/>
    <col min="169" max="172" width="10.44140625" style="42" customWidth="1" outlineLevel="1"/>
    <col min="173" max="173" width="9.44140625" style="42" bestFit="1" customWidth="1"/>
    <col min="174" max="177" width="10.44140625" style="42" customWidth="1" outlineLevel="1"/>
    <col min="178" max="178" width="9.44140625" style="42" bestFit="1" customWidth="1"/>
    <col min="179" max="182" width="10.44140625" style="42" customWidth="1" outlineLevel="1"/>
    <col min="183" max="183" width="9.44140625" style="42" bestFit="1" customWidth="1"/>
    <col min="184" max="16384" width="9.109375" style="42"/>
  </cols>
  <sheetData>
    <row r="2" spans="1:183" ht="12.75" customHeight="1">
      <c r="B2" s="1434" t="s">
        <v>63</v>
      </c>
      <c r="C2" s="41" t="s">
        <v>9</v>
      </c>
    </row>
    <row r="3" spans="1:183" ht="12.75" customHeight="1">
      <c r="B3" s="1434" t="s">
        <v>64</v>
      </c>
      <c r="C3" s="40"/>
    </row>
    <row r="4" spans="1:183" ht="12.75" customHeight="1">
      <c r="B4" s="1434" t="s">
        <v>27</v>
      </c>
      <c r="C4" s="40"/>
    </row>
    <row r="5" spans="1:183" ht="12.75" customHeight="1">
      <c r="B5" s="1535" t="s">
        <v>28</v>
      </c>
      <c r="C5" s="44">
        <v>45868</v>
      </c>
      <c r="G5" s="45"/>
    </row>
    <row r="6" spans="1:183" ht="12.75" customHeight="1">
      <c r="B6" s="1536"/>
      <c r="C6" s="46"/>
      <c r="D6" s="47" t="s">
        <v>2091</v>
      </c>
      <c r="E6" s="47"/>
      <c r="F6" s="47"/>
      <c r="G6" s="47"/>
      <c r="I6" s="47" t="s">
        <v>2092</v>
      </c>
      <c r="J6" s="47"/>
      <c r="K6" s="47"/>
      <c r="L6" s="47"/>
      <c r="N6" s="47" t="s">
        <v>2093</v>
      </c>
      <c r="O6" s="47"/>
      <c r="P6" s="47"/>
      <c r="Q6" s="47"/>
      <c r="S6" s="47" t="s">
        <v>2094</v>
      </c>
      <c r="T6" s="47"/>
      <c r="U6" s="47"/>
      <c r="V6" s="47"/>
      <c r="X6" s="47" t="s">
        <v>2095</v>
      </c>
      <c r="Y6" s="47"/>
      <c r="Z6" s="47"/>
      <c r="AA6" s="47"/>
      <c r="AC6" s="47" t="s">
        <v>2096</v>
      </c>
      <c r="AD6" s="47"/>
      <c r="AE6" s="47"/>
      <c r="AF6" s="47"/>
      <c r="AH6" s="47" t="s">
        <v>2097</v>
      </c>
      <c r="AI6" s="47"/>
      <c r="AJ6" s="47"/>
      <c r="AK6" s="47"/>
      <c r="AM6" s="47" t="s">
        <v>2098</v>
      </c>
      <c r="AN6" s="47"/>
      <c r="AO6" s="47"/>
      <c r="AP6" s="47"/>
      <c r="AR6" s="47" t="s">
        <v>2099</v>
      </c>
      <c r="AS6" s="47"/>
      <c r="AT6" s="47"/>
      <c r="AU6" s="47"/>
      <c r="AW6" s="47" t="s">
        <v>2100</v>
      </c>
      <c r="AX6" s="47"/>
      <c r="AY6" s="47"/>
      <c r="AZ6" s="47"/>
      <c r="BB6" s="47" t="s">
        <v>2101</v>
      </c>
      <c r="BC6" s="47"/>
      <c r="BD6" s="47"/>
      <c r="BE6" s="47"/>
      <c r="BG6" s="47" t="s">
        <v>2102</v>
      </c>
      <c r="BH6" s="47"/>
      <c r="BI6" s="47"/>
      <c r="BJ6" s="47"/>
      <c r="BL6" s="47" t="s">
        <v>2103</v>
      </c>
      <c r="BM6" s="47"/>
      <c r="BN6" s="47"/>
      <c r="BO6" s="47"/>
      <c r="BQ6" s="47" t="s">
        <v>2104</v>
      </c>
      <c r="BR6" s="47"/>
      <c r="BS6" s="47"/>
      <c r="BT6" s="47"/>
      <c r="BV6" s="47" t="s">
        <v>2105</v>
      </c>
      <c r="BW6" s="47"/>
      <c r="BX6" s="47"/>
      <c r="BY6" s="47"/>
      <c r="CA6" s="47" t="s">
        <v>2106</v>
      </c>
      <c r="CB6" s="47"/>
      <c r="CC6" s="47"/>
      <c r="CD6" s="47"/>
      <c r="CF6" s="47" t="s">
        <v>2107</v>
      </c>
      <c r="CG6" s="47"/>
      <c r="CH6" s="47"/>
      <c r="CI6" s="47"/>
      <c r="CK6" s="47" t="s">
        <v>2108</v>
      </c>
      <c r="CL6" s="47"/>
      <c r="CM6" s="47"/>
      <c r="CN6" s="47"/>
      <c r="CP6" s="47" t="s">
        <v>2109</v>
      </c>
      <c r="CQ6" s="47"/>
      <c r="CR6" s="47"/>
      <c r="CS6" s="47"/>
      <c r="CU6" s="47" t="s">
        <v>2110</v>
      </c>
      <c r="CV6" s="47"/>
      <c r="CW6" s="47"/>
      <c r="CX6" s="47"/>
      <c r="CZ6" s="47" t="s">
        <v>2111</v>
      </c>
      <c r="DA6" s="47"/>
      <c r="DB6" s="47"/>
      <c r="DC6" s="47"/>
      <c r="DE6" s="47" t="s">
        <v>2112</v>
      </c>
      <c r="DF6" s="47"/>
      <c r="DG6" s="47"/>
      <c r="DH6" s="47"/>
      <c r="DJ6" s="47" t="s">
        <v>2113</v>
      </c>
      <c r="DK6" s="47"/>
      <c r="DL6" s="47"/>
      <c r="DM6" s="47"/>
      <c r="DO6" s="47" t="s">
        <v>2114</v>
      </c>
      <c r="DP6" s="47"/>
      <c r="DQ6" s="47"/>
      <c r="DR6" s="47"/>
      <c r="DT6" s="47" t="s">
        <v>2115</v>
      </c>
      <c r="DU6" s="47"/>
      <c r="DV6" s="47"/>
      <c r="DW6" s="47"/>
      <c r="DY6" s="47" t="s">
        <v>2116</v>
      </c>
      <c r="DZ6" s="47"/>
      <c r="EA6" s="47"/>
      <c r="EB6" s="47"/>
      <c r="ED6" s="47" t="s">
        <v>2117</v>
      </c>
      <c r="EE6" s="47"/>
      <c r="EF6" s="47"/>
      <c r="EG6" s="47"/>
      <c r="EI6" s="47" t="s">
        <v>2118</v>
      </c>
      <c r="EJ6" s="47"/>
      <c r="EK6" s="47"/>
      <c r="EL6" s="47"/>
      <c r="EN6" s="47" t="s">
        <v>2119</v>
      </c>
      <c r="EO6" s="47"/>
      <c r="EP6" s="47"/>
      <c r="EQ6" s="47"/>
      <c r="ES6" s="47" t="s">
        <v>2120</v>
      </c>
      <c r="ET6" s="47"/>
      <c r="EU6" s="47"/>
      <c r="EV6" s="47"/>
      <c r="EX6" s="47" t="s">
        <v>2121</v>
      </c>
      <c r="EY6" s="47"/>
      <c r="EZ6" s="47"/>
      <c r="FA6" s="47"/>
      <c r="FC6" s="47" t="s">
        <v>2122</v>
      </c>
      <c r="FD6" s="47"/>
      <c r="FE6" s="47"/>
      <c r="FF6" s="47"/>
      <c r="FH6" s="47" t="s">
        <v>2123</v>
      </c>
      <c r="FI6" s="47"/>
      <c r="FJ6" s="47"/>
      <c r="FK6" s="47"/>
      <c r="FM6" s="47" t="s">
        <v>2124</v>
      </c>
      <c r="FN6" s="47"/>
      <c r="FO6" s="47"/>
      <c r="FP6" s="47"/>
      <c r="FR6" s="47" t="s">
        <v>2125</v>
      </c>
      <c r="FS6" s="47"/>
      <c r="FT6" s="47"/>
      <c r="FU6" s="47"/>
      <c r="FW6" s="47" t="s">
        <v>2126</v>
      </c>
      <c r="FX6" s="47"/>
      <c r="FY6" s="47"/>
      <c r="FZ6" s="47"/>
    </row>
    <row r="7" spans="1:183" ht="12.75" customHeight="1">
      <c r="B7" s="1537"/>
      <c r="C7" s="48"/>
      <c r="D7" s="49" t="s">
        <v>2127</v>
      </c>
      <c r="E7" s="49" t="s">
        <v>2128</v>
      </c>
      <c r="F7" s="49" t="s">
        <v>2129</v>
      </c>
      <c r="G7" s="49" t="s">
        <v>2130</v>
      </c>
      <c r="H7" s="50" t="s">
        <v>2131</v>
      </c>
      <c r="I7" s="49" t="s">
        <v>2132</v>
      </c>
      <c r="J7" s="49" t="s">
        <v>2133</v>
      </c>
      <c r="K7" s="49" t="s">
        <v>2134</v>
      </c>
      <c r="L7" s="49" t="s">
        <v>2135</v>
      </c>
      <c r="M7" s="50" t="s">
        <v>2136</v>
      </c>
      <c r="N7" s="49" t="s">
        <v>2137</v>
      </c>
      <c r="O7" s="49" t="s">
        <v>2138</v>
      </c>
      <c r="P7" s="49" t="s">
        <v>2139</v>
      </c>
      <c r="Q7" s="49" t="s">
        <v>2140</v>
      </c>
      <c r="R7" s="50" t="s">
        <v>2141</v>
      </c>
      <c r="S7" s="49" t="s">
        <v>2142</v>
      </c>
      <c r="T7" s="49" t="s">
        <v>2143</v>
      </c>
      <c r="U7" s="49" t="s">
        <v>2144</v>
      </c>
      <c r="V7" s="49" t="s">
        <v>2145</v>
      </c>
      <c r="W7" s="50" t="s">
        <v>2146</v>
      </c>
      <c r="X7" s="49" t="s">
        <v>2147</v>
      </c>
      <c r="Y7" s="49" t="s">
        <v>2148</v>
      </c>
      <c r="Z7" s="49" t="s">
        <v>2149</v>
      </c>
      <c r="AA7" s="49" t="s">
        <v>2150</v>
      </c>
      <c r="AB7" s="50" t="s">
        <v>2151</v>
      </c>
      <c r="AC7" s="49" t="s">
        <v>2152</v>
      </c>
      <c r="AD7" s="49" t="s">
        <v>2153</v>
      </c>
      <c r="AE7" s="49" t="s">
        <v>2154</v>
      </c>
      <c r="AF7" s="49" t="s">
        <v>2155</v>
      </c>
      <c r="AG7" s="50" t="s">
        <v>2156</v>
      </c>
      <c r="AH7" s="49" t="s">
        <v>2157</v>
      </c>
      <c r="AI7" s="49" t="s">
        <v>2158</v>
      </c>
      <c r="AJ7" s="49" t="s">
        <v>2159</v>
      </c>
      <c r="AK7" s="49" t="s">
        <v>2160</v>
      </c>
      <c r="AL7" s="50" t="s">
        <v>2161</v>
      </c>
      <c r="AM7" s="49" t="s">
        <v>2162</v>
      </c>
      <c r="AN7" s="49" t="s">
        <v>2163</v>
      </c>
      <c r="AO7" s="49" t="s">
        <v>2164</v>
      </c>
      <c r="AP7" s="49" t="s">
        <v>2165</v>
      </c>
      <c r="AQ7" s="50" t="s">
        <v>2166</v>
      </c>
      <c r="AR7" s="49" t="s">
        <v>2167</v>
      </c>
      <c r="AS7" s="49" t="s">
        <v>2168</v>
      </c>
      <c r="AT7" s="49" t="s">
        <v>2169</v>
      </c>
      <c r="AU7" s="49" t="s">
        <v>2170</v>
      </c>
      <c r="AV7" s="50" t="s">
        <v>2171</v>
      </c>
      <c r="AW7" s="49" t="s">
        <v>2172</v>
      </c>
      <c r="AX7" s="49" t="s">
        <v>2173</v>
      </c>
      <c r="AY7" s="49" t="s">
        <v>2174</v>
      </c>
      <c r="AZ7" s="49" t="s">
        <v>2175</v>
      </c>
      <c r="BA7" s="50" t="s">
        <v>2176</v>
      </c>
      <c r="BB7" s="49" t="s">
        <v>2177</v>
      </c>
      <c r="BC7" s="49" t="s">
        <v>2178</v>
      </c>
      <c r="BD7" s="49" t="s">
        <v>2179</v>
      </c>
      <c r="BE7" s="49" t="s">
        <v>2180</v>
      </c>
      <c r="BF7" s="50" t="s">
        <v>2181</v>
      </c>
      <c r="BG7" s="49" t="s">
        <v>2182</v>
      </c>
      <c r="BH7" s="49" t="s">
        <v>2183</v>
      </c>
      <c r="BI7" s="49" t="s">
        <v>2184</v>
      </c>
      <c r="BJ7" s="49" t="s">
        <v>2185</v>
      </c>
      <c r="BK7" s="50" t="s">
        <v>2186</v>
      </c>
      <c r="BL7" s="49" t="s">
        <v>2187</v>
      </c>
      <c r="BM7" s="49" t="s">
        <v>2188</v>
      </c>
      <c r="BN7" s="49" t="s">
        <v>2189</v>
      </c>
      <c r="BO7" s="49" t="s">
        <v>2190</v>
      </c>
      <c r="BP7" s="50" t="s">
        <v>2191</v>
      </c>
      <c r="BQ7" s="49" t="s">
        <v>2192</v>
      </c>
      <c r="BR7" s="49" t="s">
        <v>2193</v>
      </c>
      <c r="BS7" s="49" t="s">
        <v>2194</v>
      </c>
      <c r="BT7" s="49" t="s">
        <v>2195</v>
      </c>
      <c r="BU7" s="50" t="s">
        <v>2196</v>
      </c>
      <c r="BV7" s="49" t="s">
        <v>2197</v>
      </c>
      <c r="BW7" s="49" t="s">
        <v>2198</v>
      </c>
      <c r="BX7" s="49" t="s">
        <v>2199</v>
      </c>
      <c r="BY7" s="49" t="s">
        <v>2200</v>
      </c>
      <c r="BZ7" s="50" t="s">
        <v>2201</v>
      </c>
      <c r="CA7" s="49" t="s">
        <v>2202</v>
      </c>
      <c r="CB7" s="49" t="s">
        <v>2203</v>
      </c>
      <c r="CC7" s="49" t="s">
        <v>2204</v>
      </c>
      <c r="CD7" s="49" t="s">
        <v>2205</v>
      </c>
      <c r="CE7" s="50" t="s">
        <v>2206</v>
      </c>
      <c r="CF7" s="49" t="s">
        <v>2207</v>
      </c>
      <c r="CG7" s="49" t="s">
        <v>2208</v>
      </c>
      <c r="CH7" s="49" t="s">
        <v>2209</v>
      </c>
      <c r="CI7" s="49" t="s">
        <v>2210</v>
      </c>
      <c r="CJ7" s="50" t="s">
        <v>2211</v>
      </c>
      <c r="CK7" s="49" t="s">
        <v>2212</v>
      </c>
      <c r="CL7" s="49" t="s">
        <v>2213</v>
      </c>
      <c r="CM7" s="49" t="s">
        <v>2214</v>
      </c>
      <c r="CN7" s="49" t="s">
        <v>2215</v>
      </c>
      <c r="CO7" s="50" t="s">
        <v>2216</v>
      </c>
      <c r="CP7" s="49" t="s">
        <v>2217</v>
      </c>
      <c r="CQ7" s="49" t="s">
        <v>2218</v>
      </c>
      <c r="CR7" s="49" t="s">
        <v>2219</v>
      </c>
      <c r="CS7" s="49" t="s">
        <v>2220</v>
      </c>
      <c r="CT7" s="50" t="s">
        <v>2221</v>
      </c>
      <c r="CU7" s="49" t="s">
        <v>2222</v>
      </c>
      <c r="CV7" s="49" t="s">
        <v>2223</v>
      </c>
      <c r="CW7" s="49" t="s">
        <v>2224</v>
      </c>
      <c r="CX7" s="49" t="s">
        <v>2225</v>
      </c>
      <c r="CY7" s="50" t="s">
        <v>2226</v>
      </c>
      <c r="CZ7" s="49" t="s">
        <v>2227</v>
      </c>
      <c r="DA7" s="49" t="s">
        <v>2228</v>
      </c>
      <c r="DB7" s="49" t="s">
        <v>2229</v>
      </c>
      <c r="DC7" s="49" t="s">
        <v>2230</v>
      </c>
      <c r="DD7" s="50" t="s">
        <v>2231</v>
      </c>
      <c r="DE7" s="49" t="s">
        <v>2232</v>
      </c>
      <c r="DF7" s="49" t="s">
        <v>2233</v>
      </c>
      <c r="DG7" s="49" t="s">
        <v>2234</v>
      </c>
      <c r="DH7" s="49" t="s">
        <v>2235</v>
      </c>
      <c r="DI7" s="50" t="s">
        <v>2236</v>
      </c>
      <c r="DJ7" s="49" t="s">
        <v>2237</v>
      </c>
      <c r="DK7" s="49" t="s">
        <v>2238</v>
      </c>
      <c r="DL7" s="49" t="s">
        <v>2239</v>
      </c>
      <c r="DM7" s="49" t="s">
        <v>2240</v>
      </c>
      <c r="DN7" s="50" t="s">
        <v>2241</v>
      </c>
      <c r="DO7" s="49" t="s">
        <v>2242</v>
      </c>
      <c r="DP7" s="49" t="s">
        <v>2243</v>
      </c>
      <c r="DQ7" s="49" t="s">
        <v>2244</v>
      </c>
      <c r="DR7" s="49" t="s">
        <v>2245</v>
      </c>
      <c r="DS7" s="50" t="s">
        <v>2246</v>
      </c>
      <c r="DT7" s="49" t="s">
        <v>2247</v>
      </c>
      <c r="DU7" s="49" t="s">
        <v>2248</v>
      </c>
      <c r="DV7" s="49" t="s">
        <v>2249</v>
      </c>
      <c r="DW7" s="49" t="s">
        <v>2250</v>
      </c>
      <c r="DX7" s="50" t="s">
        <v>2251</v>
      </c>
      <c r="DY7" s="49" t="s">
        <v>2252</v>
      </c>
      <c r="DZ7" s="49" t="s">
        <v>2253</v>
      </c>
      <c r="EA7" s="49" t="s">
        <v>2254</v>
      </c>
      <c r="EB7" s="49" t="s">
        <v>2255</v>
      </c>
      <c r="EC7" s="50" t="s">
        <v>2256</v>
      </c>
      <c r="ED7" s="49" t="s">
        <v>2257</v>
      </c>
      <c r="EE7" s="49" t="s">
        <v>2258</v>
      </c>
      <c r="EF7" s="49" t="s">
        <v>2259</v>
      </c>
      <c r="EG7" s="49" t="s">
        <v>2260</v>
      </c>
      <c r="EH7" s="50" t="s">
        <v>2261</v>
      </c>
      <c r="EI7" s="49" t="s">
        <v>2262</v>
      </c>
      <c r="EJ7" s="49" t="s">
        <v>2263</v>
      </c>
      <c r="EK7" s="49" t="s">
        <v>2264</v>
      </c>
      <c r="EL7" s="49" t="s">
        <v>2265</v>
      </c>
      <c r="EM7" s="50" t="s">
        <v>2266</v>
      </c>
      <c r="EN7" s="49" t="s">
        <v>2267</v>
      </c>
      <c r="EO7" s="49" t="s">
        <v>2268</v>
      </c>
      <c r="EP7" s="49" t="s">
        <v>2269</v>
      </c>
      <c r="EQ7" s="49" t="s">
        <v>2270</v>
      </c>
      <c r="ER7" s="50" t="s">
        <v>2271</v>
      </c>
      <c r="ES7" s="49" t="s">
        <v>2272</v>
      </c>
      <c r="ET7" s="49" t="s">
        <v>2273</v>
      </c>
      <c r="EU7" s="49" t="s">
        <v>2274</v>
      </c>
      <c r="EV7" s="49" t="s">
        <v>2275</v>
      </c>
      <c r="EW7" s="50" t="s">
        <v>2276</v>
      </c>
      <c r="EX7" s="49" t="s">
        <v>2277</v>
      </c>
      <c r="EY7" s="49" t="s">
        <v>2278</v>
      </c>
      <c r="EZ7" s="49" t="s">
        <v>2279</v>
      </c>
      <c r="FA7" s="49" t="s">
        <v>2280</v>
      </c>
      <c r="FB7" s="50" t="s">
        <v>2281</v>
      </c>
      <c r="FC7" s="49" t="s">
        <v>2282</v>
      </c>
      <c r="FD7" s="49" t="s">
        <v>2283</v>
      </c>
      <c r="FE7" s="49" t="s">
        <v>2284</v>
      </c>
      <c r="FF7" s="49" t="s">
        <v>2285</v>
      </c>
      <c r="FG7" s="50" t="s">
        <v>2286</v>
      </c>
      <c r="FH7" s="49" t="s">
        <v>2287</v>
      </c>
      <c r="FI7" s="49" t="s">
        <v>2288</v>
      </c>
      <c r="FJ7" s="49" t="s">
        <v>2289</v>
      </c>
      <c r="FK7" s="49" t="s">
        <v>2290</v>
      </c>
      <c r="FL7" s="50" t="s">
        <v>2291</v>
      </c>
      <c r="FM7" s="49" t="s">
        <v>2292</v>
      </c>
      <c r="FN7" s="49" t="s">
        <v>2293</v>
      </c>
      <c r="FO7" s="49" t="s">
        <v>2294</v>
      </c>
      <c r="FP7" s="49" t="s">
        <v>2295</v>
      </c>
      <c r="FQ7" s="50" t="s">
        <v>2296</v>
      </c>
      <c r="FR7" s="49" t="s">
        <v>2297</v>
      </c>
      <c r="FS7" s="49" t="s">
        <v>2298</v>
      </c>
      <c r="FT7" s="49" t="s">
        <v>2299</v>
      </c>
      <c r="FU7" s="49" t="s">
        <v>2300</v>
      </c>
      <c r="FV7" s="50" t="s">
        <v>2301</v>
      </c>
      <c r="FW7" s="49" t="s">
        <v>2302</v>
      </c>
      <c r="FX7" s="49" t="s">
        <v>2303</v>
      </c>
      <c r="FY7" s="49" t="s">
        <v>2304</v>
      </c>
      <c r="FZ7" s="49" t="s">
        <v>2305</v>
      </c>
      <c r="GA7" s="50" t="s">
        <v>2306</v>
      </c>
    </row>
    <row r="8" spans="1:183" ht="12.75" customHeight="1">
      <c r="B8" s="1538"/>
      <c r="C8" s="51"/>
      <c r="D8" s="52">
        <v>34607</v>
      </c>
      <c r="E8" s="52">
        <v>34699</v>
      </c>
      <c r="F8" s="52">
        <v>34789</v>
      </c>
      <c r="G8" s="52">
        <v>34880</v>
      </c>
      <c r="H8" s="53">
        <v>34880</v>
      </c>
      <c r="I8" s="52">
        <v>34972</v>
      </c>
      <c r="J8" s="52">
        <v>35064</v>
      </c>
      <c r="K8" s="52">
        <v>35155</v>
      </c>
      <c r="L8" s="52">
        <v>35246</v>
      </c>
      <c r="M8" s="53">
        <v>35246</v>
      </c>
      <c r="N8" s="52">
        <v>35338</v>
      </c>
      <c r="O8" s="52">
        <v>35430</v>
      </c>
      <c r="P8" s="52">
        <v>35520</v>
      </c>
      <c r="Q8" s="52">
        <v>35611</v>
      </c>
      <c r="R8" s="53">
        <v>35611</v>
      </c>
      <c r="S8" s="52">
        <v>35703</v>
      </c>
      <c r="T8" s="52">
        <v>35795</v>
      </c>
      <c r="U8" s="52">
        <v>35885</v>
      </c>
      <c r="V8" s="52">
        <v>35976</v>
      </c>
      <c r="W8" s="53">
        <v>35976</v>
      </c>
      <c r="X8" s="52">
        <v>36068</v>
      </c>
      <c r="Y8" s="52">
        <v>36160</v>
      </c>
      <c r="Z8" s="52">
        <v>36250</v>
      </c>
      <c r="AA8" s="52">
        <v>36341</v>
      </c>
      <c r="AB8" s="53">
        <v>36341</v>
      </c>
      <c r="AC8" s="52">
        <v>36433</v>
      </c>
      <c r="AD8" s="52">
        <v>36525</v>
      </c>
      <c r="AE8" s="52">
        <v>36616</v>
      </c>
      <c r="AF8" s="52">
        <v>36707</v>
      </c>
      <c r="AG8" s="53">
        <v>36707</v>
      </c>
      <c r="AH8" s="52">
        <v>36799</v>
      </c>
      <c r="AI8" s="52">
        <v>36891</v>
      </c>
      <c r="AJ8" s="52">
        <v>36981</v>
      </c>
      <c r="AK8" s="52">
        <v>37072</v>
      </c>
      <c r="AL8" s="53">
        <v>37072</v>
      </c>
      <c r="AM8" s="52">
        <v>37164</v>
      </c>
      <c r="AN8" s="52">
        <v>37256</v>
      </c>
      <c r="AO8" s="52">
        <v>37346</v>
      </c>
      <c r="AP8" s="52">
        <v>37437</v>
      </c>
      <c r="AQ8" s="53">
        <v>37437</v>
      </c>
      <c r="AR8" s="52">
        <v>37529</v>
      </c>
      <c r="AS8" s="52">
        <v>37621</v>
      </c>
      <c r="AT8" s="52">
        <v>37711</v>
      </c>
      <c r="AU8" s="52">
        <v>37802</v>
      </c>
      <c r="AV8" s="53">
        <v>37802</v>
      </c>
      <c r="AW8" s="52">
        <v>37894</v>
      </c>
      <c r="AX8" s="52">
        <v>37986</v>
      </c>
      <c r="AY8" s="52">
        <v>38077</v>
      </c>
      <c r="AZ8" s="52">
        <v>38168</v>
      </c>
      <c r="BA8" s="53">
        <v>38168</v>
      </c>
      <c r="BB8" s="52">
        <v>38260</v>
      </c>
      <c r="BC8" s="52">
        <v>38352</v>
      </c>
      <c r="BD8" s="52">
        <v>38442</v>
      </c>
      <c r="BE8" s="52">
        <v>38533</v>
      </c>
      <c r="BF8" s="53">
        <v>38533</v>
      </c>
      <c r="BG8" s="52">
        <v>38625</v>
      </c>
      <c r="BH8" s="52">
        <v>38717</v>
      </c>
      <c r="BI8" s="52">
        <v>38807</v>
      </c>
      <c r="BJ8" s="52">
        <v>38898</v>
      </c>
      <c r="BK8" s="53">
        <v>38898</v>
      </c>
      <c r="BL8" s="52">
        <v>38990</v>
      </c>
      <c r="BM8" s="52">
        <v>39082</v>
      </c>
      <c r="BN8" s="52">
        <v>39172</v>
      </c>
      <c r="BO8" s="52">
        <v>39263</v>
      </c>
      <c r="BP8" s="53">
        <v>39263</v>
      </c>
      <c r="BQ8" s="52">
        <v>39355</v>
      </c>
      <c r="BR8" s="52">
        <v>39447</v>
      </c>
      <c r="BS8" s="52">
        <v>39538</v>
      </c>
      <c r="BT8" s="52">
        <v>39629</v>
      </c>
      <c r="BU8" s="53">
        <v>39629</v>
      </c>
      <c r="BV8" s="52">
        <v>39721</v>
      </c>
      <c r="BW8" s="52">
        <v>39813</v>
      </c>
      <c r="BX8" s="52">
        <v>39903</v>
      </c>
      <c r="BY8" s="52">
        <v>39994</v>
      </c>
      <c r="BZ8" s="53">
        <v>39994</v>
      </c>
      <c r="CA8" s="52">
        <v>40086</v>
      </c>
      <c r="CB8" s="52">
        <v>40178</v>
      </c>
      <c r="CC8" s="52">
        <v>40268</v>
      </c>
      <c r="CD8" s="52">
        <v>40359</v>
      </c>
      <c r="CE8" s="53">
        <v>40359</v>
      </c>
      <c r="CF8" s="52">
        <v>40451</v>
      </c>
      <c r="CG8" s="52">
        <v>40543</v>
      </c>
      <c r="CH8" s="52">
        <v>40633</v>
      </c>
      <c r="CI8" s="52">
        <v>40724</v>
      </c>
      <c r="CJ8" s="53">
        <v>40724</v>
      </c>
      <c r="CK8" s="52">
        <v>40816</v>
      </c>
      <c r="CL8" s="52">
        <v>40908</v>
      </c>
      <c r="CM8" s="52">
        <v>40999</v>
      </c>
      <c r="CN8" s="52">
        <v>41090</v>
      </c>
      <c r="CO8" s="53">
        <v>41090</v>
      </c>
      <c r="CP8" s="52">
        <v>41182</v>
      </c>
      <c r="CQ8" s="52">
        <v>41274</v>
      </c>
      <c r="CR8" s="52">
        <v>41364</v>
      </c>
      <c r="CS8" s="52">
        <v>41455</v>
      </c>
      <c r="CT8" s="53">
        <v>41455</v>
      </c>
      <c r="CU8" s="52">
        <v>41547</v>
      </c>
      <c r="CV8" s="52">
        <v>41639</v>
      </c>
      <c r="CW8" s="52">
        <v>41729</v>
      </c>
      <c r="CX8" s="52">
        <v>41820</v>
      </c>
      <c r="CY8" s="53">
        <v>41820</v>
      </c>
      <c r="CZ8" s="52">
        <v>41912</v>
      </c>
      <c r="DA8" s="52">
        <v>42004</v>
      </c>
      <c r="DB8" s="52">
        <v>42094</v>
      </c>
      <c r="DC8" s="52">
        <v>42185</v>
      </c>
      <c r="DD8" s="53">
        <v>42185</v>
      </c>
      <c r="DE8" s="52">
        <v>42277</v>
      </c>
      <c r="DF8" s="52">
        <v>42369</v>
      </c>
      <c r="DG8" s="52">
        <v>42460</v>
      </c>
      <c r="DH8" s="52">
        <v>42551</v>
      </c>
      <c r="DI8" s="53">
        <v>42551</v>
      </c>
      <c r="DJ8" s="52">
        <v>42643</v>
      </c>
      <c r="DK8" s="52">
        <v>42735</v>
      </c>
      <c r="DL8" s="52">
        <v>42825</v>
      </c>
      <c r="DM8" s="52">
        <v>42916</v>
      </c>
      <c r="DN8" s="53">
        <v>42916</v>
      </c>
      <c r="DO8" s="52">
        <v>43008</v>
      </c>
      <c r="DP8" s="52">
        <v>43100</v>
      </c>
      <c r="DQ8" s="52">
        <v>43190</v>
      </c>
      <c r="DR8" s="52">
        <v>43281</v>
      </c>
      <c r="DS8" s="53">
        <v>43281</v>
      </c>
      <c r="DT8" s="52">
        <v>43373</v>
      </c>
      <c r="DU8" s="52">
        <v>43465</v>
      </c>
      <c r="DV8" s="52">
        <v>43555</v>
      </c>
      <c r="DW8" s="52">
        <v>43646</v>
      </c>
      <c r="DX8" s="53">
        <v>43646</v>
      </c>
      <c r="DY8" s="52">
        <v>43738</v>
      </c>
      <c r="DZ8" s="52">
        <v>43830</v>
      </c>
      <c r="EA8" s="52">
        <v>43921</v>
      </c>
      <c r="EB8" s="52">
        <v>44012</v>
      </c>
      <c r="EC8" s="53">
        <v>44012</v>
      </c>
      <c r="ED8" s="52">
        <v>44104</v>
      </c>
      <c r="EE8" s="52">
        <v>44196</v>
      </c>
      <c r="EF8" s="52">
        <v>44286</v>
      </c>
      <c r="EG8" s="52">
        <v>44377</v>
      </c>
      <c r="EH8" s="53">
        <v>44377</v>
      </c>
      <c r="EI8" s="52">
        <v>44469</v>
      </c>
      <c r="EJ8" s="52">
        <v>44561</v>
      </c>
      <c r="EK8" s="52">
        <v>44651</v>
      </c>
      <c r="EL8" s="52">
        <v>44742</v>
      </c>
      <c r="EM8" s="53">
        <v>44742</v>
      </c>
      <c r="EN8" s="52">
        <v>44834</v>
      </c>
      <c r="EO8" s="52">
        <v>44926</v>
      </c>
      <c r="EP8" s="52">
        <v>45016</v>
      </c>
      <c r="EQ8" s="52">
        <v>45107</v>
      </c>
      <c r="ER8" s="53">
        <v>45107</v>
      </c>
      <c r="ES8" s="52">
        <v>45199</v>
      </c>
      <c r="ET8" s="52">
        <v>45291</v>
      </c>
      <c r="EU8" s="52">
        <v>45382</v>
      </c>
      <c r="EV8" s="52">
        <v>45473</v>
      </c>
      <c r="EW8" s="53">
        <v>45473</v>
      </c>
      <c r="EX8" s="52">
        <v>45565</v>
      </c>
      <c r="EY8" s="52">
        <v>45657</v>
      </c>
      <c r="EZ8" s="52">
        <v>45747</v>
      </c>
      <c r="FA8" s="52">
        <v>45838</v>
      </c>
      <c r="FB8" s="53">
        <v>45838</v>
      </c>
      <c r="FC8" s="52">
        <v>45930</v>
      </c>
      <c r="FD8" s="52">
        <v>46022</v>
      </c>
      <c r="FE8" s="52">
        <v>46112</v>
      </c>
      <c r="FF8" s="52">
        <v>46203</v>
      </c>
      <c r="FG8" s="53">
        <v>46203</v>
      </c>
      <c r="FH8" s="52">
        <v>46295</v>
      </c>
      <c r="FI8" s="52">
        <v>46387</v>
      </c>
      <c r="FJ8" s="52">
        <v>46477</v>
      </c>
      <c r="FK8" s="52">
        <v>46568</v>
      </c>
      <c r="FL8" s="53">
        <v>46568</v>
      </c>
      <c r="FM8" s="52">
        <v>46660</v>
      </c>
      <c r="FN8" s="52">
        <v>46752</v>
      </c>
      <c r="FO8" s="52">
        <v>46843</v>
      </c>
      <c r="FP8" s="52">
        <v>46934</v>
      </c>
      <c r="FQ8" s="53">
        <v>46934</v>
      </c>
      <c r="FR8" s="52">
        <v>47026</v>
      </c>
      <c r="FS8" s="52">
        <v>47118</v>
      </c>
      <c r="FT8" s="52">
        <v>47208</v>
      </c>
      <c r="FU8" s="52">
        <v>47299</v>
      </c>
      <c r="FV8" s="53">
        <v>47299</v>
      </c>
      <c r="FW8" s="52">
        <v>47391</v>
      </c>
      <c r="FX8" s="52">
        <v>47483</v>
      </c>
      <c r="FY8" s="52">
        <v>47573</v>
      </c>
      <c r="FZ8" s="52">
        <v>47664</v>
      </c>
      <c r="GA8" s="53">
        <v>47664</v>
      </c>
    </row>
    <row r="9" spans="1:183" s="55" customFormat="1" ht="12.75" customHeight="1" outlineLevel="1">
      <c r="A9" s="54"/>
      <c r="B9" s="1539" t="s">
        <v>29</v>
      </c>
      <c r="D9" s="56" t="s">
        <v>2307</v>
      </c>
      <c r="E9" s="56" t="s">
        <v>2308</v>
      </c>
      <c r="F9" s="56" t="s">
        <v>2309</v>
      </c>
      <c r="G9" s="56" t="s">
        <v>2310</v>
      </c>
      <c r="H9" s="57">
        <v>1995</v>
      </c>
      <c r="I9" s="56" t="s">
        <v>2311</v>
      </c>
      <c r="J9" s="56" t="s">
        <v>2312</v>
      </c>
      <c r="K9" s="56" t="s">
        <v>2313</v>
      </c>
      <c r="L9" s="56" t="s">
        <v>2314</v>
      </c>
      <c r="M9" s="57">
        <v>1996</v>
      </c>
      <c r="N9" s="56" t="s">
        <v>2315</v>
      </c>
      <c r="O9" s="56" t="s">
        <v>2316</v>
      </c>
      <c r="P9" s="56" t="s">
        <v>2317</v>
      </c>
      <c r="Q9" s="56" t="s">
        <v>2318</v>
      </c>
      <c r="R9" s="57">
        <v>1997</v>
      </c>
      <c r="S9" s="56" t="s">
        <v>2319</v>
      </c>
      <c r="T9" s="56" t="s">
        <v>2320</v>
      </c>
      <c r="U9" s="56" t="s">
        <v>2321</v>
      </c>
      <c r="V9" s="56" t="s">
        <v>2322</v>
      </c>
      <c r="W9" s="57">
        <v>1998</v>
      </c>
      <c r="X9" s="56" t="s">
        <v>2323</v>
      </c>
      <c r="Y9" s="56" t="s">
        <v>2324</v>
      </c>
      <c r="Z9" s="56" t="s">
        <v>2325</v>
      </c>
      <c r="AA9" s="56" t="s">
        <v>2326</v>
      </c>
      <c r="AB9" s="57">
        <v>1999</v>
      </c>
      <c r="AC9" s="56" t="s">
        <v>2327</v>
      </c>
      <c r="AD9" s="56" t="s">
        <v>2328</v>
      </c>
      <c r="AE9" s="56" t="s">
        <v>2329</v>
      </c>
      <c r="AF9" s="56" t="s">
        <v>2330</v>
      </c>
      <c r="AG9" s="57">
        <v>2000</v>
      </c>
      <c r="AH9" s="56" t="s">
        <v>2331</v>
      </c>
      <c r="AI9" s="56" t="s">
        <v>2332</v>
      </c>
      <c r="AJ9" s="56" t="s">
        <v>2333</v>
      </c>
      <c r="AK9" s="56" t="s">
        <v>2334</v>
      </c>
      <c r="AL9" s="57">
        <v>2001</v>
      </c>
      <c r="AM9" s="56" t="s">
        <v>2335</v>
      </c>
      <c r="AN9" s="56" t="s">
        <v>2336</v>
      </c>
      <c r="AO9" s="56" t="s">
        <v>2337</v>
      </c>
      <c r="AP9" s="56" t="s">
        <v>2338</v>
      </c>
      <c r="AQ9" s="57">
        <v>2002</v>
      </c>
      <c r="AR9" s="56" t="s">
        <v>2339</v>
      </c>
      <c r="AS9" s="56" t="s">
        <v>2340</v>
      </c>
      <c r="AT9" s="56" t="s">
        <v>2341</v>
      </c>
      <c r="AU9" s="56" t="s">
        <v>2342</v>
      </c>
      <c r="AV9" s="57">
        <v>2003</v>
      </c>
      <c r="AW9" s="56" t="s">
        <v>2343</v>
      </c>
      <c r="AX9" s="56" t="s">
        <v>2344</v>
      </c>
      <c r="AY9" s="56" t="s">
        <v>2345</v>
      </c>
      <c r="AZ9" s="56" t="s">
        <v>2346</v>
      </c>
      <c r="BA9" s="57">
        <v>2004</v>
      </c>
      <c r="BB9" s="56" t="s">
        <v>2347</v>
      </c>
      <c r="BC9" s="56" t="s">
        <v>2348</v>
      </c>
      <c r="BD9" s="56" t="s">
        <v>2349</v>
      </c>
      <c r="BE9" s="56" t="s">
        <v>2350</v>
      </c>
      <c r="BF9" s="57">
        <v>2005</v>
      </c>
      <c r="BG9" s="56" t="s">
        <v>2351</v>
      </c>
      <c r="BH9" s="56" t="s">
        <v>2352</v>
      </c>
      <c r="BI9" s="56" t="s">
        <v>2353</v>
      </c>
      <c r="BJ9" s="56" t="s">
        <v>2354</v>
      </c>
      <c r="BK9" s="57">
        <v>2006</v>
      </c>
      <c r="BL9" s="56" t="s">
        <v>2355</v>
      </c>
      <c r="BM9" s="56" t="s">
        <v>2356</v>
      </c>
      <c r="BN9" s="56" t="s">
        <v>2357</v>
      </c>
      <c r="BO9" s="56" t="s">
        <v>2358</v>
      </c>
      <c r="BP9" s="57">
        <v>2007</v>
      </c>
      <c r="BQ9" s="56" t="s">
        <v>2359</v>
      </c>
      <c r="BR9" s="56" t="s">
        <v>2360</v>
      </c>
      <c r="BS9" s="56" t="s">
        <v>2361</v>
      </c>
      <c r="BT9" s="56" t="s">
        <v>2362</v>
      </c>
      <c r="BU9" s="57">
        <v>2008</v>
      </c>
      <c r="BV9" s="56" t="s">
        <v>2363</v>
      </c>
      <c r="BW9" s="56" t="s">
        <v>2364</v>
      </c>
      <c r="BX9" s="56" t="s">
        <v>2365</v>
      </c>
      <c r="BY9" s="56" t="s">
        <v>2366</v>
      </c>
      <c r="BZ9" s="57">
        <v>2009</v>
      </c>
      <c r="CA9" s="56" t="s">
        <v>2367</v>
      </c>
      <c r="CB9" s="56" t="s">
        <v>2368</v>
      </c>
      <c r="CC9" s="56" t="s">
        <v>2369</v>
      </c>
      <c r="CD9" s="56" t="s">
        <v>2370</v>
      </c>
      <c r="CE9" s="57">
        <v>2010</v>
      </c>
      <c r="CF9" s="56" t="s">
        <v>2371</v>
      </c>
      <c r="CG9" s="56" t="s">
        <v>2372</v>
      </c>
      <c r="CH9" s="56" t="s">
        <v>2373</v>
      </c>
      <c r="CI9" s="56" t="s">
        <v>2374</v>
      </c>
      <c r="CJ9" s="57">
        <v>2011</v>
      </c>
      <c r="CK9" s="56" t="s">
        <v>2375</v>
      </c>
      <c r="CL9" s="56" t="s">
        <v>2376</v>
      </c>
      <c r="CM9" s="56" t="s">
        <v>2377</v>
      </c>
      <c r="CN9" s="56" t="s">
        <v>2378</v>
      </c>
      <c r="CO9" s="57">
        <v>2012</v>
      </c>
      <c r="CP9" s="56" t="s">
        <v>2379</v>
      </c>
      <c r="CQ9" s="56" t="s">
        <v>2380</v>
      </c>
      <c r="CR9" s="56" t="s">
        <v>2381</v>
      </c>
      <c r="CS9" s="56" t="s">
        <v>2382</v>
      </c>
      <c r="CT9" s="57">
        <v>2013</v>
      </c>
      <c r="CU9" s="56" t="s">
        <v>2383</v>
      </c>
      <c r="CV9" s="56" t="s">
        <v>2384</v>
      </c>
      <c r="CW9" s="56" t="s">
        <v>2385</v>
      </c>
      <c r="CX9" s="56" t="s">
        <v>2386</v>
      </c>
      <c r="CY9" s="57">
        <v>2014</v>
      </c>
      <c r="CZ9" s="56" t="s">
        <v>2387</v>
      </c>
      <c r="DA9" s="56" t="s">
        <v>2388</v>
      </c>
      <c r="DB9" s="56" t="s">
        <v>2389</v>
      </c>
      <c r="DC9" s="56" t="s">
        <v>2390</v>
      </c>
      <c r="DD9" s="57">
        <v>2015</v>
      </c>
      <c r="DE9" s="56" t="s">
        <v>2391</v>
      </c>
      <c r="DF9" s="56" t="s">
        <v>2392</v>
      </c>
      <c r="DG9" s="56" t="s">
        <v>2393</v>
      </c>
      <c r="DH9" s="56" t="s">
        <v>2394</v>
      </c>
      <c r="DI9" s="57">
        <v>2016</v>
      </c>
      <c r="DJ9" s="56" t="s">
        <v>2395</v>
      </c>
      <c r="DK9" s="56" t="s">
        <v>2396</v>
      </c>
      <c r="DL9" s="56" t="s">
        <v>2397</v>
      </c>
      <c r="DM9" s="56" t="s">
        <v>2398</v>
      </c>
      <c r="DN9" s="57">
        <v>2017</v>
      </c>
      <c r="DO9" s="56" t="s">
        <v>2399</v>
      </c>
      <c r="DP9" s="56" t="s">
        <v>2400</v>
      </c>
      <c r="DQ9" s="56" t="s">
        <v>2401</v>
      </c>
      <c r="DR9" s="56" t="s">
        <v>2402</v>
      </c>
      <c r="DS9" s="57">
        <v>2018</v>
      </c>
      <c r="DT9" s="56" t="s">
        <v>2403</v>
      </c>
      <c r="DU9" s="56" t="s">
        <v>2404</v>
      </c>
      <c r="DV9" s="56" t="s">
        <v>2405</v>
      </c>
      <c r="DW9" s="56" t="s">
        <v>2406</v>
      </c>
      <c r="DX9" s="57">
        <v>2019</v>
      </c>
      <c r="DY9" s="56" t="s">
        <v>2407</v>
      </c>
      <c r="DZ9" s="56" t="s">
        <v>2408</v>
      </c>
      <c r="EA9" s="56" t="s">
        <v>2409</v>
      </c>
      <c r="EB9" s="56" t="s">
        <v>2410</v>
      </c>
      <c r="EC9" s="57">
        <v>2020</v>
      </c>
      <c r="ED9" s="56" t="s">
        <v>2411</v>
      </c>
      <c r="EE9" s="56" t="s">
        <v>2412</v>
      </c>
      <c r="EF9" s="56" t="s">
        <v>2413</v>
      </c>
      <c r="EG9" s="56" t="s">
        <v>2414</v>
      </c>
      <c r="EH9" s="57">
        <v>2021</v>
      </c>
      <c r="EI9" s="56" t="s">
        <v>2415</v>
      </c>
      <c r="EJ9" s="56" t="s">
        <v>2416</v>
      </c>
      <c r="EK9" s="56" t="s">
        <v>2417</v>
      </c>
      <c r="EL9" s="56" t="s">
        <v>2418</v>
      </c>
      <c r="EM9" s="57">
        <v>2022</v>
      </c>
      <c r="EN9" s="56" t="s">
        <v>2419</v>
      </c>
      <c r="EO9" s="56" t="s">
        <v>2420</v>
      </c>
      <c r="EP9" s="56" t="s">
        <v>2421</v>
      </c>
      <c r="EQ9" s="56" t="s">
        <v>2422</v>
      </c>
      <c r="ER9" s="57">
        <v>2023</v>
      </c>
      <c r="ES9" s="56" t="s">
        <v>2423</v>
      </c>
      <c r="ET9" s="56" t="s">
        <v>2424</v>
      </c>
      <c r="EU9" s="56" t="s">
        <v>2425</v>
      </c>
      <c r="EV9" s="56" t="s">
        <v>2426</v>
      </c>
      <c r="EW9" s="57">
        <v>2024</v>
      </c>
      <c r="EX9" s="56" t="s">
        <v>2427</v>
      </c>
      <c r="EY9" s="56" t="s">
        <v>2428</v>
      </c>
      <c r="EZ9" s="56" t="s">
        <v>2429</v>
      </c>
      <c r="FA9" s="56" t="s">
        <v>2430</v>
      </c>
      <c r="FB9" s="57">
        <v>2025</v>
      </c>
      <c r="FC9" s="56" t="s">
        <v>2431</v>
      </c>
      <c r="FD9" s="56" t="s">
        <v>2432</v>
      </c>
      <c r="FE9" s="56" t="s">
        <v>2433</v>
      </c>
      <c r="FF9" s="56" t="s">
        <v>2434</v>
      </c>
      <c r="FG9" s="57">
        <v>2026</v>
      </c>
      <c r="FH9" s="56" t="s">
        <v>2435</v>
      </c>
      <c r="FI9" s="56" t="s">
        <v>2436</v>
      </c>
      <c r="FJ9" s="56" t="s">
        <v>2437</v>
      </c>
      <c r="FK9" s="56" t="s">
        <v>2438</v>
      </c>
      <c r="FL9" s="57">
        <v>2027</v>
      </c>
      <c r="FM9" s="56" t="s">
        <v>2439</v>
      </c>
      <c r="FN9" s="56" t="s">
        <v>2440</v>
      </c>
      <c r="FO9" s="56" t="s">
        <v>2441</v>
      </c>
      <c r="FP9" s="56" t="s">
        <v>2442</v>
      </c>
      <c r="FQ9" s="57">
        <v>2028</v>
      </c>
      <c r="FR9" s="56" t="s">
        <v>2443</v>
      </c>
      <c r="FS9" s="56" t="s">
        <v>2444</v>
      </c>
      <c r="FT9" s="56" t="s">
        <v>2445</v>
      </c>
      <c r="FU9" s="56" t="s">
        <v>2446</v>
      </c>
      <c r="FV9" s="57">
        <v>2029</v>
      </c>
      <c r="FW9" s="56" t="s">
        <v>2447</v>
      </c>
      <c r="FX9" s="56" t="s">
        <v>2448</v>
      </c>
      <c r="FY9" s="56" t="s">
        <v>2449</v>
      </c>
      <c r="FZ9" s="56" t="s">
        <v>2450</v>
      </c>
      <c r="GA9" s="57">
        <v>2030</v>
      </c>
    </row>
    <row r="10" spans="1:183" ht="12.75" customHeight="1">
      <c r="B10" s="1540"/>
      <c r="C10" s="58"/>
      <c r="D10" s="59"/>
      <c r="E10" s="59"/>
      <c r="F10" s="59"/>
      <c r="G10" s="59"/>
      <c r="H10" s="60"/>
      <c r="I10" s="61"/>
      <c r="J10" s="61"/>
      <c r="K10" s="61"/>
      <c r="L10" s="61"/>
      <c r="M10" s="62"/>
      <c r="N10" s="61"/>
      <c r="O10" s="61"/>
      <c r="P10" s="61"/>
      <c r="Q10" s="61"/>
      <c r="R10" s="62"/>
      <c r="S10" s="61"/>
      <c r="T10" s="61"/>
      <c r="U10" s="61"/>
      <c r="V10" s="61"/>
      <c r="W10" s="62"/>
      <c r="X10" s="61"/>
      <c r="Y10" s="61"/>
      <c r="Z10" s="61"/>
      <c r="AA10" s="61"/>
      <c r="AB10" s="62"/>
      <c r="AC10" s="61"/>
      <c r="AD10" s="61"/>
      <c r="AE10" s="61"/>
      <c r="AF10" s="61"/>
      <c r="AG10" s="62"/>
      <c r="AH10" s="61"/>
      <c r="AI10" s="61"/>
      <c r="AJ10" s="61"/>
      <c r="AK10" s="61"/>
      <c r="AL10" s="62"/>
      <c r="AM10" s="61"/>
      <c r="AN10" s="61"/>
      <c r="AO10" s="61"/>
      <c r="AP10" s="61"/>
      <c r="AQ10" s="62"/>
      <c r="AR10" s="61"/>
      <c r="AS10" s="61"/>
      <c r="AT10" s="61"/>
      <c r="AU10" s="61"/>
      <c r="AV10" s="62"/>
      <c r="AW10" s="61"/>
      <c r="AX10" s="61"/>
      <c r="AY10" s="61"/>
      <c r="AZ10" s="61"/>
      <c r="BA10" s="62"/>
      <c r="BB10" s="61"/>
      <c r="BC10" s="61"/>
      <c r="BD10" s="61"/>
      <c r="BE10" s="61"/>
      <c r="BF10" s="62"/>
      <c r="BG10" s="61"/>
      <c r="BH10" s="61"/>
      <c r="BI10" s="61"/>
      <c r="BJ10" s="61"/>
      <c r="BK10" s="62"/>
      <c r="BL10" s="61"/>
      <c r="BM10" s="61"/>
      <c r="BN10" s="61"/>
      <c r="BO10" s="61"/>
      <c r="BP10" s="62"/>
      <c r="BQ10" s="61"/>
      <c r="BR10" s="61"/>
      <c r="BS10" s="61"/>
      <c r="BT10" s="61"/>
      <c r="BU10" s="62"/>
      <c r="BV10" s="61"/>
      <c r="BW10" s="61"/>
      <c r="BX10" s="61"/>
      <c r="BY10" s="61"/>
      <c r="BZ10" s="62"/>
      <c r="CA10" s="61"/>
      <c r="CB10" s="61"/>
      <c r="CC10" s="61"/>
      <c r="CD10" s="61"/>
      <c r="CE10" s="62"/>
      <c r="CF10" s="61"/>
      <c r="CG10" s="61"/>
      <c r="CH10" s="61"/>
      <c r="CI10" s="61"/>
      <c r="CJ10" s="62"/>
      <c r="CK10" s="61"/>
      <c r="CL10" s="61"/>
      <c r="CM10" s="61"/>
      <c r="CN10" s="61"/>
      <c r="CO10" s="62"/>
      <c r="CP10" s="61"/>
      <c r="CQ10" s="61"/>
      <c r="CR10" s="61"/>
      <c r="CS10" s="61"/>
      <c r="CT10" s="62"/>
      <c r="CU10" s="61"/>
      <c r="CV10" s="61"/>
      <c r="CW10" s="61"/>
      <c r="CX10" s="61"/>
      <c r="CY10" s="62"/>
      <c r="CZ10" s="61"/>
      <c r="DA10" s="61"/>
      <c r="DB10" s="61"/>
      <c r="DC10" s="61"/>
      <c r="DD10" s="62"/>
      <c r="DE10" s="61"/>
      <c r="DF10" s="61"/>
      <c r="DG10" s="61"/>
      <c r="DH10" s="61"/>
      <c r="DI10" s="62"/>
      <c r="DJ10" s="61"/>
      <c r="DK10" s="61"/>
      <c r="DL10" s="61"/>
      <c r="DM10" s="61"/>
      <c r="DN10" s="62"/>
      <c r="DO10" s="61"/>
      <c r="DP10" s="61"/>
      <c r="DQ10" s="61"/>
      <c r="DR10" s="61"/>
      <c r="DS10" s="62"/>
      <c r="DT10" s="61"/>
      <c r="DU10" s="61"/>
      <c r="DV10" s="61"/>
      <c r="DW10" s="61"/>
      <c r="DX10" s="62"/>
      <c r="DY10" s="61"/>
      <c r="DZ10" s="61"/>
      <c r="EA10" s="61"/>
      <c r="EB10" s="61"/>
      <c r="EC10" s="62"/>
      <c r="ED10" s="61"/>
      <c r="EE10" s="61"/>
      <c r="EF10" s="61"/>
      <c r="EG10" s="61"/>
      <c r="EH10" s="62"/>
      <c r="EI10" s="61"/>
      <c r="EJ10" s="61"/>
      <c r="EK10" s="61"/>
      <c r="EL10" s="61"/>
      <c r="EM10" s="62"/>
      <c r="EN10" s="61"/>
      <c r="EO10" s="61"/>
      <c r="EP10" s="61"/>
      <c r="EQ10" s="61"/>
      <c r="ER10" s="62"/>
      <c r="ES10" s="61"/>
      <c r="ET10" s="61"/>
      <c r="EU10" s="61"/>
      <c r="EV10" s="61"/>
      <c r="EW10" s="62"/>
      <c r="EX10" s="61"/>
      <c r="EY10" s="61"/>
      <c r="EZ10" s="61"/>
      <c r="FA10" s="61"/>
      <c r="FB10" s="62"/>
      <c r="FC10" s="61"/>
      <c r="FD10" s="61"/>
      <c r="FE10" s="61"/>
      <c r="FF10" s="61"/>
      <c r="FG10" s="62"/>
      <c r="FH10" s="61"/>
      <c r="FI10" s="61"/>
      <c r="FJ10" s="61"/>
      <c r="FK10" s="61"/>
      <c r="FL10" s="62"/>
      <c r="FM10" s="61"/>
      <c r="FN10" s="61"/>
      <c r="FO10" s="61"/>
      <c r="FP10" s="61"/>
      <c r="FQ10" s="62"/>
      <c r="FR10" s="61"/>
      <c r="FS10" s="61"/>
      <c r="FT10" s="61"/>
      <c r="FU10" s="61"/>
      <c r="FV10" s="62"/>
      <c r="FW10" s="61"/>
      <c r="FX10" s="61"/>
      <c r="FY10" s="61"/>
      <c r="FZ10" s="61"/>
      <c r="GA10" s="62"/>
    </row>
    <row r="11" spans="1:183" ht="12.75" customHeight="1">
      <c r="B11" s="1535" t="s">
        <v>30</v>
      </c>
      <c r="C11" s="43"/>
      <c r="D11" s="59"/>
      <c r="E11" s="59"/>
      <c r="F11" s="59"/>
      <c r="G11" s="59"/>
      <c r="H11" s="60"/>
      <c r="I11" s="61"/>
      <c r="J11" s="61"/>
      <c r="K11" s="61"/>
      <c r="L11" s="61"/>
      <c r="M11" s="62"/>
      <c r="N11" s="61"/>
      <c r="O11" s="61"/>
      <c r="P11" s="61"/>
      <c r="Q11" s="61"/>
      <c r="R11" s="62"/>
      <c r="S11" s="61"/>
      <c r="T11" s="61"/>
      <c r="U11" s="61"/>
      <c r="V11" s="61"/>
      <c r="W11" s="62"/>
      <c r="X11" s="61"/>
      <c r="Y11" s="61"/>
      <c r="Z11" s="61"/>
      <c r="AA11" s="61"/>
      <c r="AB11" s="62"/>
      <c r="AC11" s="61"/>
      <c r="AD11" s="61"/>
      <c r="AE11" s="61"/>
      <c r="AF11" s="61"/>
      <c r="AG11" s="62"/>
      <c r="AH11" s="61"/>
      <c r="AI11" s="61"/>
      <c r="AJ11" s="61"/>
      <c r="AK11" s="61"/>
      <c r="AL11" s="62"/>
      <c r="AM11" s="61"/>
      <c r="AN11" s="61"/>
      <c r="AO11" s="61"/>
      <c r="AP11" s="61"/>
      <c r="AQ11" s="62"/>
      <c r="AR11" s="61"/>
      <c r="AS11" s="61"/>
      <c r="AT11" s="61"/>
      <c r="AU11" s="61"/>
      <c r="AV11" s="62"/>
      <c r="AW11" s="61"/>
      <c r="AX11" s="61"/>
      <c r="AY11" s="61"/>
      <c r="AZ11" s="61"/>
      <c r="BA11" s="62"/>
      <c r="BB11" s="61"/>
      <c r="BC11" s="61"/>
      <c r="BD11" s="61"/>
      <c r="BE11" s="61"/>
      <c r="BF11" s="62"/>
      <c r="BG11" s="61"/>
      <c r="BH11" s="61"/>
      <c r="BI11" s="61"/>
      <c r="BJ11" s="61"/>
      <c r="BK11" s="62"/>
      <c r="BL11" s="61"/>
      <c r="BM11" s="61"/>
      <c r="BN11" s="61"/>
      <c r="BO11" s="61"/>
      <c r="BP11" s="62"/>
      <c r="BQ11" s="61"/>
      <c r="BR11" s="61"/>
      <c r="BS11" s="61"/>
      <c r="BT11" s="61"/>
      <c r="BU11" s="62"/>
      <c r="BV11" s="61"/>
      <c r="BW11" s="61"/>
      <c r="BX11" s="61"/>
      <c r="BY11" s="61"/>
      <c r="BZ11" s="62"/>
      <c r="CA11" s="61"/>
      <c r="CB11" s="61"/>
      <c r="CC11" s="61"/>
      <c r="CD11" s="61"/>
      <c r="CE11" s="62"/>
      <c r="CF11" s="61"/>
      <c r="CG11" s="61"/>
      <c r="CH11" s="61"/>
      <c r="CI11" s="61"/>
      <c r="CJ11" s="62"/>
      <c r="CK11" s="61"/>
      <c r="CL11" s="61"/>
      <c r="CM11" s="61"/>
      <c r="CN11" s="61"/>
      <c r="CO11" s="62"/>
      <c r="CP11" s="61"/>
      <c r="CQ11" s="61"/>
      <c r="CR11" s="61"/>
      <c r="CS11" s="61"/>
      <c r="CT11" s="62"/>
      <c r="CU11" s="61"/>
      <c r="CV11" s="61"/>
      <c r="CW11" s="61"/>
      <c r="CX11" s="61"/>
      <c r="CY11" s="62"/>
      <c r="CZ11" s="61"/>
      <c r="DA11" s="61"/>
      <c r="DB11" s="61"/>
      <c r="DC11" s="61"/>
      <c r="DD11" s="62"/>
      <c r="DE11" s="61"/>
      <c r="DF11" s="61"/>
      <c r="DG11" s="61"/>
      <c r="DH11" s="61"/>
      <c r="DI11" s="62"/>
      <c r="DJ11" s="61"/>
      <c r="DK11" s="61"/>
      <c r="DL11" s="61"/>
      <c r="DM11" s="61"/>
      <c r="DN11" s="62"/>
      <c r="DO11" s="61"/>
      <c r="DP11" s="61"/>
      <c r="DQ11" s="61"/>
      <c r="DR11" s="61"/>
      <c r="DS11" s="62"/>
      <c r="DT11" s="61"/>
      <c r="DU11" s="61"/>
      <c r="DV11" s="61"/>
      <c r="DW11" s="61"/>
      <c r="DX11" s="62"/>
      <c r="DY11" s="61"/>
      <c r="DZ11" s="61"/>
      <c r="EA11" s="61"/>
      <c r="EB11" s="61"/>
      <c r="EC11" s="62"/>
      <c r="ED11" s="61"/>
      <c r="EE11" s="61"/>
      <c r="EF11" s="61"/>
      <c r="EG11" s="61"/>
      <c r="EH11" s="62"/>
      <c r="EI11" s="61"/>
      <c r="EJ11" s="61"/>
      <c r="EK11" s="61"/>
      <c r="EL11" s="61"/>
      <c r="EM11" s="62"/>
      <c r="EN11" s="61"/>
      <c r="EO11" s="61"/>
      <c r="EP11" s="61"/>
      <c r="EQ11" s="61"/>
      <c r="ER11" s="62"/>
      <c r="ES11" s="61"/>
      <c r="ET11" s="61"/>
      <c r="EU11" s="61"/>
      <c r="EV11" s="61"/>
      <c r="EW11" s="62"/>
      <c r="EX11" s="61"/>
      <c r="EY11" s="61"/>
      <c r="EZ11" s="61"/>
      <c r="FA11" s="61"/>
      <c r="FB11" s="62"/>
      <c r="FC11" s="61"/>
      <c r="FD11" s="61"/>
      <c r="FE11" s="61"/>
      <c r="FF11" s="61"/>
      <c r="FG11" s="62"/>
      <c r="FH11" s="61"/>
      <c r="FI11" s="61"/>
      <c r="FJ11" s="61"/>
      <c r="FK11" s="61"/>
      <c r="FL11" s="62"/>
      <c r="FM11" s="61"/>
      <c r="FN11" s="61"/>
      <c r="FO11" s="61"/>
      <c r="FP11" s="61"/>
      <c r="FQ11" s="62"/>
      <c r="FR11" s="61"/>
      <c r="FS11" s="61"/>
      <c r="FT11" s="61"/>
      <c r="FU11" s="61"/>
      <c r="FV11" s="62"/>
      <c r="FW11" s="61"/>
      <c r="FX11" s="61"/>
      <c r="FY11" s="61"/>
      <c r="FZ11" s="61"/>
      <c r="GA11" s="62"/>
    </row>
    <row r="12" spans="1:183" s="67" customFormat="1" ht="12.75" customHeight="1" outlineLevel="1">
      <c r="A12" s="63" t="s">
        <v>320</v>
      </c>
      <c r="B12" s="1541" t="s">
        <v>65</v>
      </c>
      <c r="C12" s="64"/>
      <c r="D12" s="65"/>
      <c r="E12" s="65"/>
      <c r="F12" s="65"/>
      <c r="G12" s="65"/>
      <c r="H12" s="66"/>
      <c r="I12" s="65"/>
      <c r="J12" s="65"/>
      <c r="K12" s="65"/>
      <c r="L12" s="65"/>
      <c r="M12" s="66"/>
      <c r="N12" s="65"/>
      <c r="O12" s="65"/>
      <c r="P12" s="65"/>
      <c r="Q12" s="65"/>
      <c r="R12" s="66"/>
      <c r="S12" s="65"/>
      <c r="T12" s="65"/>
      <c r="U12" s="65"/>
      <c r="V12" s="65"/>
      <c r="W12" s="66"/>
      <c r="X12" s="65"/>
      <c r="Y12" s="65"/>
      <c r="Z12" s="65"/>
      <c r="AA12" s="65"/>
      <c r="AB12" s="66"/>
      <c r="AC12" s="65"/>
      <c r="AD12" s="65"/>
      <c r="AE12" s="65"/>
      <c r="AF12" s="65"/>
      <c r="AG12" s="66"/>
      <c r="AH12" s="65"/>
      <c r="AI12" s="65"/>
      <c r="AJ12" s="65"/>
      <c r="AK12" s="65"/>
      <c r="AL12" s="66"/>
      <c r="AM12" s="65"/>
      <c r="AN12" s="65"/>
      <c r="AO12" s="65"/>
      <c r="AP12" s="65"/>
      <c r="AQ12" s="66"/>
      <c r="AR12" s="65"/>
      <c r="AS12" s="65"/>
      <c r="AT12" s="65"/>
      <c r="AU12" s="65"/>
      <c r="AV12" s="66"/>
      <c r="AW12" s="65"/>
      <c r="AX12" s="65"/>
      <c r="AY12" s="65"/>
      <c r="AZ12" s="65"/>
      <c r="BA12" s="66"/>
      <c r="BB12" s="65"/>
      <c r="BC12" s="65"/>
      <c r="BD12" s="65"/>
      <c r="BE12" s="65"/>
      <c r="BF12" s="66"/>
      <c r="BG12" s="65"/>
      <c r="BH12" s="65"/>
      <c r="BI12" s="65"/>
      <c r="BJ12" s="65"/>
      <c r="BK12" s="66"/>
      <c r="BL12" s="65"/>
      <c r="BM12" s="65"/>
      <c r="BN12" s="65"/>
      <c r="BO12" s="65"/>
      <c r="BP12" s="66"/>
      <c r="BQ12" s="65"/>
      <c r="BR12" s="65"/>
      <c r="BS12" s="65"/>
      <c r="BT12" s="65"/>
      <c r="BU12" s="66"/>
      <c r="BV12" s="65"/>
      <c r="BW12" s="65"/>
      <c r="BX12" s="65"/>
      <c r="BY12" s="65"/>
      <c r="BZ12" s="66"/>
      <c r="CA12" s="65"/>
      <c r="CB12" s="65"/>
      <c r="CC12" s="65"/>
      <c r="CD12" s="65"/>
      <c r="CE12" s="66"/>
      <c r="CF12" s="65"/>
      <c r="CG12" s="65"/>
      <c r="CH12" s="65"/>
      <c r="CI12" s="65"/>
      <c r="CJ12" s="66"/>
      <c r="CK12" s="65"/>
      <c r="CL12" s="65"/>
      <c r="CM12" s="65"/>
      <c r="CN12" s="65"/>
      <c r="CO12" s="66"/>
      <c r="CP12" s="65"/>
      <c r="CQ12" s="65"/>
      <c r="CR12" s="65"/>
      <c r="CS12" s="65"/>
      <c r="CT12" s="66"/>
      <c r="CU12" s="65"/>
      <c r="CV12" s="65"/>
      <c r="CW12" s="65"/>
      <c r="CX12" s="65"/>
      <c r="CY12" s="66"/>
      <c r="CZ12" s="65"/>
      <c r="DA12" s="65"/>
      <c r="DB12" s="65"/>
      <c r="DC12" s="65"/>
      <c r="DD12" s="66"/>
      <c r="DE12" s="65"/>
      <c r="DF12" s="65"/>
      <c r="DG12" s="65"/>
      <c r="DH12" s="65"/>
      <c r="DI12" s="66"/>
      <c r="DJ12" s="65"/>
      <c r="DK12" s="65"/>
      <c r="DL12" s="65"/>
      <c r="DM12" s="65"/>
      <c r="DN12" s="66"/>
      <c r="DO12" s="65"/>
      <c r="DP12" s="65"/>
      <c r="DQ12" s="65"/>
      <c r="DR12" s="65"/>
      <c r="DS12" s="66"/>
      <c r="DT12" s="65"/>
      <c r="DU12" s="65"/>
      <c r="DV12" s="65"/>
      <c r="DW12" s="65"/>
      <c r="DX12" s="66"/>
      <c r="DY12" s="65">
        <v>11077</v>
      </c>
      <c r="DZ12" s="65">
        <v>11826</v>
      </c>
      <c r="EA12" s="65">
        <v>11743</v>
      </c>
      <c r="EB12" s="65">
        <v>11752</v>
      </c>
      <c r="EC12" s="66">
        <v>46398</v>
      </c>
      <c r="ED12" s="65">
        <v>12319</v>
      </c>
      <c r="EE12" s="65">
        <v>13353</v>
      </c>
      <c r="EF12" s="65">
        <v>13552</v>
      </c>
      <c r="EG12" s="65">
        <v>14691</v>
      </c>
      <c r="EH12" s="66">
        <v>53915</v>
      </c>
      <c r="EI12" s="65">
        <v>15039</v>
      </c>
      <c r="EJ12" s="65">
        <v>15936</v>
      </c>
      <c r="EK12" s="65">
        <v>15789</v>
      </c>
      <c r="EL12" s="65">
        <v>16600</v>
      </c>
      <c r="EM12" s="66">
        <v>63364</v>
      </c>
      <c r="EN12" s="65">
        <v>16465</v>
      </c>
      <c r="EO12" s="65">
        <v>17002</v>
      </c>
      <c r="EP12" s="65">
        <v>17516</v>
      </c>
      <c r="EQ12" s="65">
        <v>18291</v>
      </c>
      <c r="ER12" s="66">
        <v>69275</v>
      </c>
      <c r="ES12" s="65">
        <v>18592</v>
      </c>
      <c r="ET12" s="65">
        <v>19249</v>
      </c>
      <c r="EU12" s="65">
        <v>19570</v>
      </c>
      <c r="EV12" s="65">
        <v>20317</v>
      </c>
      <c r="EW12" s="66">
        <v>77728</v>
      </c>
      <c r="EX12" s="65">
        <v>28317</v>
      </c>
      <c r="EY12" s="65">
        <v>29437</v>
      </c>
      <c r="EZ12" s="65">
        <v>29944</v>
      </c>
      <c r="FA12" s="65">
        <v>32158.111000000001</v>
      </c>
      <c r="FB12" s="66">
        <v>119886.734</v>
      </c>
      <c r="FC12" s="65">
        <v>31332.63</v>
      </c>
      <c r="FD12" s="65">
        <v>32380.437999999998</v>
      </c>
      <c r="FE12" s="65">
        <v>32956.866999999998</v>
      </c>
      <c r="FF12" s="65">
        <v>35161.332000000002</v>
      </c>
      <c r="FG12" s="66">
        <v>131986.4</v>
      </c>
      <c r="FH12" s="65">
        <v>34546.75</v>
      </c>
      <c r="FI12" s="65">
        <v>35598.5</v>
      </c>
      <c r="FJ12" s="65">
        <v>36705.332000000002</v>
      </c>
      <c r="FK12" s="65">
        <v>38714</v>
      </c>
      <c r="FL12" s="66">
        <v>146102.14000000001</v>
      </c>
      <c r="FM12" s="65" t="s">
        <v>2451</v>
      </c>
      <c r="FN12" s="65" t="s">
        <v>2451</v>
      </c>
      <c r="FO12" s="65" t="s">
        <v>2451</v>
      </c>
      <c r="FP12" s="65" t="s">
        <v>2451</v>
      </c>
      <c r="FQ12" s="66">
        <v>161292</v>
      </c>
      <c r="FR12" s="65" t="s">
        <v>2451</v>
      </c>
      <c r="FS12" s="65" t="s">
        <v>2451</v>
      </c>
      <c r="FT12" s="65" t="s">
        <v>2451</v>
      </c>
      <c r="FU12" s="65" t="s">
        <v>2451</v>
      </c>
      <c r="FV12" s="66" t="s">
        <v>2451</v>
      </c>
      <c r="FW12" s="65" t="s">
        <v>2451</v>
      </c>
      <c r="FX12" s="65" t="s">
        <v>2451</v>
      </c>
      <c r="FY12" s="65" t="s">
        <v>2451</v>
      </c>
      <c r="FZ12" s="65" t="s">
        <v>2451</v>
      </c>
      <c r="GA12" s="66" t="s">
        <v>2451</v>
      </c>
    </row>
    <row r="13" spans="1:183" s="72" customFormat="1" ht="12.75" customHeight="1" outlineLevel="1">
      <c r="A13" s="68" t="s">
        <v>321</v>
      </c>
      <c r="B13" s="753" t="s">
        <v>34</v>
      </c>
      <c r="C13" s="69"/>
      <c r="D13" s="70"/>
      <c r="E13" s="70"/>
      <c r="F13" s="70"/>
      <c r="G13" s="70"/>
      <c r="H13" s="71"/>
      <c r="I13" s="70"/>
      <c r="J13" s="70"/>
      <c r="K13" s="70"/>
      <c r="L13" s="70"/>
      <c r="M13" s="71"/>
      <c r="N13" s="70"/>
      <c r="O13" s="70"/>
      <c r="P13" s="70"/>
      <c r="Q13" s="70"/>
      <c r="R13" s="71"/>
      <c r="S13" s="70"/>
      <c r="T13" s="70"/>
      <c r="U13" s="70"/>
      <c r="V13" s="70"/>
      <c r="W13" s="71"/>
      <c r="X13" s="70"/>
      <c r="Y13" s="70"/>
      <c r="Z13" s="70"/>
      <c r="AA13" s="70"/>
      <c r="AB13" s="71"/>
      <c r="AC13" s="70"/>
      <c r="AD13" s="70"/>
      <c r="AE13" s="70"/>
      <c r="AF13" s="70"/>
      <c r="AG13" s="71"/>
      <c r="AH13" s="70"/>
      <c r="AI13" s="70"/>
      <c r="AJ13" s="70"/>
      <c r="AK13" s="70"/>
      <c r="AL13" s="71"/>
      <c r="AM13" s="70"/>
      <c r="AN13" s="70"/>
      <c r="AO13" s="70"/>
      <c r="AP13" s="70"/>
      <c r="AQ13" s="71"/>
      <c r="AR13" s="70"/>
      <c r="AS13" s="70"/>
      <c r="AT13" s="70"/>
      <c r="AU13" s="70"/>
      <c r="AV13" s="71"/>
      <c r="AW13" s="70"/>
      <c r="AX13" s="70"/>
      <c r="AY13" s="70"/>
      <c r="AZ13" s="70"/>
      <c r="BA13" s="71"/>
      <c r="BB13" s="70"/>
      <c r="BC13" s="70"/>
      <c r="BD13" s="70"/>
      <c r="BE13" s="70"/>
      <c r="BF13" s="71"/>
      <c r="BG13" s="70"/>
      <c r="BH13" s="70"/>
      <c r="BI13" s="70"/>
      <c r="BJ13" s="70"/>
      <c r="BK13" s="71"/>
      <c r="BL13" s="70"/>
      <c r="BM13" s="70"/>
      <c r="BN13" s="70"/>
      <c r="BO13" s="70"/>
      <c r="BP13" s="71"/>
      <c r="BQ13" s="70"/>
      <c r="BR13" s="70"/>
      <c r="BS13" s="70"/>
      <c r="BT13" s="70"/>
      <c r="BU13" s="71"/>
      <c r="BV13" s="70"/>
      <c r="BW13" s="70"/>
      <c r="BX13" s="70"/>
      <c r="BY13" s="70"/>
      <c r="BZ13" s="71"/>
      <c r="CA13" s="70"/>
      <c r="CB13" s="70"/>
      <c r="CC13" s="70"/>
      <c r="CD13" s="70"/>
      <c r="CE13" s="71"/>
      <c r="CF13" s="70"/>
      <c r="CG13" s="70"/>
      <c r="CH13" s="70"/>
      <c r="CI13" s="70"/>
      <c r="CJ13" s="71"/>
      <c r="CK13" s="70"/>
      <c r="CL13" s="70"/>
      <c r="CM13" s="70"/>
      <c r="CN13" s="70"/>
      <c r="CO13" s="71"/>
      <c r="CP13" s="70"/>
      <c r="CQ13" s="70"/>
      <c r="CR13" s="70"/>
      <c r="CS13" s="70"/>
      <c r="CT13" s="71"/>
      <c r="CU13" s="70"/>
      <c r="CV13" s="70"/>
      <c r="CW13" s="70"/>
      <c r="CX13" s="70"/>
      <c r="CY13" s="71"/>
      <c r="CZ13" s="70"/>
      <c r="DA13" s="70"/>
      <c r="DB13" s="70"/>
      <c r="DC13" s="70"/>
      <c r="DD13" s="71"/>
      <c r="DE13" s="70"/>
      <c r="DF13" s="70"/>
      <c r="DG13" s="70"/>
      <c r="DH13" s="70"/>
      <c r="DI13" s="71"/>
      <c r="DJ13" s="70"/>
      <c r="DK13" s="70"/>
      <c r="DL13" s="70"/>
      <c r="DM13" s="70"/>
      <c r="DN13" s="71"/>
      <c r="DO13" s="70"/>
      <c r="DP13" s="70"/>
      <c r="DQ13" s="70"/>
      <c r="DR13" s="70"/>
      <c r="DS13" s="71"/>
      <c r="DT13" s="70"/>
      <c r="DU13" s="70"/>
      <c r="DV13" s="70"/>
      <c r="DW13" s="70"/>
      <c r="DX13" s="71"/>
      <c r="DY13" s="70" t="s">
        <v>2451</v>
      </c>
      <c r="DZ13" s="70" t="s">
        <v>2451</v>
      </c>
      <c r="EA13" s="70" t="s">
        <v>2451</v>
      </c>
      <c r="EB13" s="70" t="s">
        <v>2451</v>
      </c>
      <c r="EC13" s="71" t="s">
        <v>2451</v>
      </c>
      <c r="ED13" s="70">
        <v>0.11212422135957389</v>
      </c>
      <c r="EE13" s="70">
        <v>0.12912227295788936</v>
      </c>
      <c r="EF13" s="70">
        <v>0.15404922081239891</v>
      </c>
      <c r="EG13" s="70">
        <v>0.25008509189925121</v>
      </c>
      <c r="EH13" s="71">
        <v>0.16201129359024091</v>
      </c>
      <c r="EI13" s="70">
        <v>0.22079714262521311</v>
      </c>
      <c r="EJ13" s="70">
        <v>0.19343967647719618</v>
      </c>
      <c r="EK13" s="70">
        <v>0.16506788665879579</v>
      </c>
      <c r="EL13" s="70">
        <v>0.12994350282485878</v>
      </c>
      <c r="EM13" s="71">
        <v>0.17525734953167027</v>
      </c>
      <c r="EN13" s="70">
        <v>9.4820134317441296E-2</v>
      </c>
      <c r="EO13" s="70">
        <v>6.6892570281124497E-2</v>
      </c>
      <c r="EP13" s="70">
        <v>0.10937994806510853</v>
      </c>
      <c r="EQ13" s="70">
        <v>0.10186746987951811</v>
      </c>
      <c r="ER13" s="71">
        <v>9.3286408686320321E-2</v>
      </c>
      <c r="ES13" s="70">
        <v>0.12918311569996965</v>
      </c>
      <c r="ET13" s="70">
        <v>0.13216092224444176</v>
      </c>
      <c r="EU13" s="70">
        <v>0.11726421557433198</v>
      </c>
      <c r="EV13" s="70">
        <v>0.1107648570335138</v>
      </c>
      <c r="EW13" s="71">
        <v>0.12202093107181522</v>
      </c>
      <c r="EX13" s="70">
        <v>0.52307444061962127</v>
      </c>
      <c r="EY13" s="70">
        <v>0.52927424801288381</v>
      </c>
      <c r="EZ13" s="70">
        <v>0.53009708737864081</v>
      </c>
      <c r="FA13" s="70">
        <v>0.58281788649899102</v>
      </c>
      <c r="FB13" s="71">
        <v>0.54238799403046523</v>
      </c>
      <c r="FC13" s="70">
        <v>0.10649539146095988</v>
      </c>
      <c r="FD13" s="70">
        <v>9.9991099636511871E-2</v>
      </c>
      <c r="FE13" s="70">
        <v>0.10061671787336346</v>
      </c>
      <c r="FF13" s="70">
        <v>9.338922301748398E-2</v>
      </c>
      <c r="FG13" s="71">
        <v>0.10092581219203112</v>
      </c>
      <c r="FH13" s="70">
        <v>0.10258060047943629</v>
      </c>
      <c r="FI13" s="70">
        <v>9.9382905197267668E-2</v>
      </c>
      <c r="FJ13" s="70">
        <v>0.1137385116127696</v>
      </c>
      <c r="FK13" s="70">
        <v>0.101039061887644</v>
      </c>
      <c r="FL13" s="71">
        <v>0.10694844317293306</v>
      </c>
      <c r="FM13" s="70" t="s">
        <v>2451</v>
      </c>
      <c r="FN13" s="70" t="s">
        <v>2451</v>
      </c>
      <c r="FO13" s="70" t="s">
        <v>2451</v>
      </c>
      <c r="FP13" s="70" t="s">
        <v>2451</v>
      </c>
      <c r="FQ13" s="71">
        <v>0.10396740253085945</v>
      </c>
      <c r="FR13" s="70" t="s">
        <v>2451</v>
      </c>
      <c r="FS13" s="70" t="s">
        <v>2451</v>
      </c>
      <c r="FT13" s="70" t="s">
        <v>2451</v>
      </c>
      <c r="FU13" s="70" t="s">
        <v>2451</v>
      </c>
      <c r="FV13" s="71" t="s">
        <v>2451</v>
      </c>
      <c r="FW13" s="70" t="s">
        <v>2451</v>
      </c>
      <c r="FX13" s="70" t="s">
        <v>2451</v>
      </c>
      <c r="FY13" s="70" t="s">
        <v>2451</v>
      </c>
      <c r="FZ13" s="70" t="s">
        <v>2451</v>
      </c>
      <c r="GA13" s="71" t="s">
        <v>2451</v>
      </c>
    </row>
    <row r="14" spans="1:183" s="72" customFormat="1" ht="12.75" customHeight="1" outlineLevel="1">
      <c r="A14" s="68" t="s">
        <v>343</v>
      </c>
      <c r="B14" s="753" t="s">
        <v>36</v>
      </c>
      <c r="C14" s="69"/>
      <c r="D14" s="70"/>
      <c r="E14" s="70"/>
      <c r="F14" s="70"/>
      <c r="G14" s="70"/>
      <c r="H14" s="73"/>
      <c r="I14" s="70"/>
      <c r="J14" s="70"/>
      <c r="K14" s="70"/>
      <c r="L14" s="70"/>
      <c r="M14" s="73"/>
      <c r="N14" s="70"/>
      <c r="O14" s="70"/>
      <c r="P14" s="70"/>
      <c r="Q14" s="70"/>
      <c r="R14" s="73"/>
      <c r="S14" s="70"/>
      <c r="T14" s="70"/>
      <c r="U14" s="70"/>
      <c r="V14" s="70"/>
      <c r="W14" s="73"/>
      <c r="X14" s="70"/>
      <c r="Y14" s="70"/>
      <c r="Z14" s="70"/>
      <c r="AA14" s="70"/>
      <c r="AB14" s="73"/>
      <c r="AC14" s="70"/>
      <c r="AD14" s="70"/>
      <c r="AE14" s="70"/>
      <c r="AF14" s="70"/>
      <c r="AG14" s="73"/>
      <c r="AH14" s="70"/>
      <c r="AI14" s="70"/>
      <c r="AJ14" s="70"/>
      <c r="AK14" s="70"/>
      <c r="AL14" s="73"/>
      <c r="AM14" s="70"/>
      <c r="AN14" s="70"/>
      <c r="AO14" s="70"/>
      <c r="AP14" s="70"/>
      <c r="AQ14" s="73"/>
      <c r="AR14" s="70"/>
      <c r="AS14" s="70"/>
      <c r="AT14" s="70"/>
      <c r="AU14" s="70"/>
      <c r="AV14" s="73"/>
      <c r="AW14" s="70"/>
      <c r="AX14" s="70"/>
      <c r="AY14" s="70"/>
      <c r="AZ14" s="70"/>
      <c r="BA14" s="73"/>
      <c r="BB14" s="70"/>
      <c r="BC14" s="70"/>
      <c r="BD14" s="70"/>
      <c r="BE14" s="70"/>
      <c r="BF14" s="73"/>
      <c r="BG14" s="70"/>
      <c r="BH14" s="70"/>
      <c r="BI14" s="70"/>
      <c r="BJ14" s="70"/>
      <c r="BK14" s="73"/>
      <c r="BL14" s="70"/>
      <c r="BM14" s="70"/>
      <c r="BN14" s="70"/>
      <c r="BO14" s="70"/>
      <c r="BP14" s="73"/>
      <c r="BQ14" s="70"/>
      <c r="BR14" s="70"/>
      <c r="BS14" s="70"/>
      <c r="BT14" s="70"/>
      <c r="BU14" s="73"/>
      <c r="BV14" s="70"/>
      <c r="BW14" s="70"/>
      <c r="BX14" s="70"/>
      <c r="BY14" s="70"/>
      <c r="BZ14" s="73"/>
      <c r="CA14" s="70"/>
      <c r="CB14" s="70"/>
      <c r="CC14" s="70"/>
      <c r="CD14" s="70"/>
      <c r="CE14" s="73"/>
      <c r="CF14" s="70"/>
      <c r="CG14" s="70"/>
      <c r="CH14" s="70"/>
      <c r="CI14" s="70"/>
      <c r="CJ14" s="73"/>
      <c r="CK14" s="70"/>
      <c r="CL14" s="70"/>
      <c r="CM14" s="70"/>
      <c r="CN14" s="70"/>
      <c r="CO14" s="73"/>
      <c r="CP14" s="70"/>
      <c r="CQ14" s="70"/>
      <c r="CR14" s="70"/>
      <c r="CS14" s="70"/>
      <c r="CT14" s="73"/>
      <c r="CU14" s="70"/>
      <c r="CV14" s="70"/>
      <c r="CW14" s="70"/>
      <c r="CX14" s="70"/>
      <c r="CY14" s="73"/>
      <c r="CZ14" s="70"/>
      <c r="DA14" s="70"/>
      <c r="DB14" s="70"/>
      <c r="DC14" s="70"/>
      <c r="DD14" s="73"/>
      <c r="DE14" s="70"/>
      <c r="DF14" s="70"/>
      <c r="DG14" s="70"/>
      <c r="DH14" s="70"/>
      <c r="DI14" s="73"/>
      <c r="DJ14" s="70"/>
      <c r="DK14" s="70"/>
      <c r="DL14" s="70"/>
      <c r="DM14" s="70"/>
      <c r="DN14" s="73"/>
      <c r="DO14" s="70"/>
      <c r="DP14" s="70"/>
      <c r="DQ14" s="70"/>
      <c r="DR14" s="70"/>
      <c r="DS14" s="73"/>
      <c r="DT14" s="70"/>
      <c r="DU14" s="70"/>
      <c r="DV14" s="70"/>
      <c r="DW14" s="70"/>
      <c r="DX14" s="73"/>
      <c r="DY14" s="70" t="s">
        <v>2451</v>
      </c>
      <c r="DZ14" s="70">
        <v>6.7617585988986262E-2</v>
      </c>
      <c r="EA14" s="70">
        <v>-7.0184339590732003E-3</v>
      </c>
      <c r="EB14" s="70">
        <v>7.6641403389254847E-4</v>
      </c>
      <c r="EC14" s="73"/>
      <c r="ED14" s="70">
        <v>4.8247106875425549E-2</v>
      </c>
      <c r="EE14" s="70">
        <v>8.3935384365614096E-2</v>
      </c>
      <c r="EF14" s="70">
        <v>1.490301804837868E-2</v>
      </c>
      <c r="EG14" s="70">
        <v>8.404663518299893E-2</v>
      </c>
      <c r="EH14" s="73"/>
      <c r="EI14" s="70">
        <v>2.3687972227894649E-2</v>
      </c>
      <c r="EJ14" s="70">
        <v>5.9644923199680733E-2</v>
      </c>
      <c r="EK14" s="70">
        <v>-9.2243975903614217E-3</v>
      </c>
      <c r="EL14" s="70">
        <v>5.1364874279561823E-2</v>
      </c>
      <c r="EM14" s="73"/>
      <c r="EN14" s="70">
        <v>-8.1325301204818734E-3</v>
      </c>
      <c r="EO14" s="70">
        <v>3.261463710901924E-2</v>
      </c>
      <c r="EP14" s="70">
        <v>3.0231737442653728E-2</v>
      </c>
      <c r="EQ14" s="70">
        <v>4.4245261475222675E-2</v>
      </c>
      <c r="ER14" s="73"/>
      <c r="ES14" s="70">
        <v>1.64561806352852E-2</v>
      </c>
      <c r="ET14" s="70">
        <v>3.5337779690189253E-2</v>
      </c>
      <c r="EU14" s="70">
        <v>1.6676190970959626E-2</v>
      </c>
      <c r="EV14" s="70">
        <v>3.8170669391926371E-2</v>
      </c>
      <c r="EW14" s="73"/>
      <c r="EX14" s="70">
        <v>0.3937589211005561</v>
      </c>
      <c r="EY14" s="70">
        <v>3.9552212451884117E-2</v>
      </c>
      <c r="EZ14" s="70">
        <v>1.7223222475116318E-2</v>
      </c>
      <c r="FA14" s="70">
        <v>7.3941724552498034E-2</v>
      </c>
      <c r="FB14" s="73"/>
      <c r="FC14" s="70">
        <v>-2.5669449303163394E-2</v>
      </c>
      <c r="FD14" s="70">
        <v>3.3441431504473096E-2</v>
      </c>
      <c r="FE14" s="70">
        <v>1.7801766609827796E-2</v>
      </c>
      <c r="FF14" s="70">
        <v>6.688939819431261E-2</v>
      </c>
      <c r="FG14" s="73"/>
      <c r="FH14" s="70">
        <v>-1.7478916896549901E-2</v>
      </c>
      <c r="FI14" s="70">
        <v>3.0444253077351657E-2</v>
      </c>
      <c r="FJ14" s="70">
        <v>3.1092096577103101E-2</v>
      </c>
      <c r="FK14" s="70">
        <v>5.4724147434492609E-2</v>
      </c>
      <c r="FL14" s="73"/>
      <c r="FM14" s="70" t="s">
        <v>2451</v>
      </c>
      <c r="FN14" s="70" t="s">
        <v>2451</v>
      </c>
      <c r="FO14" s="70" t="s">
        <v>2451</v>
      </c>
      <c r="FP14" s="70" t="s">
        <v>2451</v>
      </c>
      <c r="FQ14" s="73"/>
      <c r="FR14" s="70" t="s">
        <v>2451</v>
      </c>
      <c r="FS14" s="70" t="s">
        <v>2451</v>
      </c>
      <c r="FT14" s="70" t="s">
        <v>2451</v>
      </c>
      <c r="FU14" s="70" t="s">
        <v>2451</v>
      </c>
      <c r="FV14" s="73"/>
      <c r="FW14" s="70" t="s">
        <v>2451</v>
      </c>
      <c r="FX14" s="70" t="s">
        <v>2451</v>
      </c>
      <c r="FY14" s="70" t="s">
        <v>2451</v>
      </c>
      <c r="FZ14" s="70" t="s">
        <v>2451</v>
      </c>
      <c r="GA14" s="73"/>
    </row>
    <row r="15" spans="1:183" s="92" customFormat="1" ht="12.75" customHeight="1" outlineLevel="1">
      <c r="A15" s="81"/>
      <c r="B15" s="753" t="s">
        <v>66</v>
      </c>
      <c r="C15" s="69"/>
      <c r="D15" s="70"/>
      <c r="E15" s="70"/>
      <c r="F15" s="70"/>
      <c r="G15" s="70"/>
      <c r="H15" s="71"/>
      <c r="I15" s="70"/>
      <c r="J15" s="70"/>
      <c r="K15" s="70"/>
      <c r="L15" s="70"/>
      <c r="M15" s="71"/>
      <c r="N15" s="70"/>
      <c r="O15" s="70"/>
      <c r="P15" s="70"/>
      <c r="Q15" s="70"/>
      <c r="R15" s="71"/>
      <c r="S15" s="70"/>
      <c r="T15" s="70"/>
      <c r="U15" s="70"/>
      <c r="V15" s="70"/>
      <c r="W15" s="71"/>
      <c r="X15" s="70"/>
      <c r="Y15" s="70"/>
      <c r="Z15" s="70"/>
      <c r="AA15" s="70"/>
      <c r="AB15" s="71"/>
      <c r="AC15" s="70"/>
      <c r="AD15" s="70"/>
      <c r="AE15" s="70"/>
      <c r="AF15" s="70"/>
      <c r="AG15" s="71"/>
      <c r="AH15" s="70"/>
      <c r="AI15" s="70"/>
      <c r="AJ15" s="70"/>
      <c r="AK15" s="70"/>
      <c r="AL15" s="71"/>
      <c r="AM15" s="70"/>
      <c r="AN15" s="70"/>
      <c r="AO15" s="70"/>
      <c r="AP15" s="70"/>
      <c r="AQ15" s="71"/>
      <c r="AR15" s="70"/>
      <c r="AS15" s="70"/>
      <c r="AT15" s="70"/>
      <c r="AU15" s="70"/>
      <c r="AV15" s="71"/>
      <c r="AW15" s="70"/>
      <c r="AX15" s="70"/>
      <c r="AY15" s="70"/>
      <c r="AZ15" s="70"/>
      <c r="BA15" s="71"/>
      <c r="BB15" s="70"/>
      <c r="BC15" s="70"/>
      <c r="BD15" s="70"/>
      <c r="BE15" s="70"/>
      <c r="BF15" s="71"/>
      <c r="BG15" s="70"/>
      <c r="BH15" s="70"/>
      <c r="BI15" s="70"/>
      <c r="BJ15" s="70"/>
      <c r="BK15" s="71"/>
      <c r="BL15" s="70"/>
      <c r="BM15" s="70"/>
      <c r="BN15" s="70"/>
      <c r="BO15" s="70"/>
      <c r="BP15" s="71"/>
      <c r="BQ15" s="70"/>
      <c r="BR15" s="70"/>
      <c r="BS15" s="70"/>
      <c r="BT15" s="70"/>
      <c r="BU15" s="71"/>
      <c r="BV15" s="70"/>
      <c r="BW15" s="70"/>
      <c r="BX15" s="70"/>
      <c r="BY15" s="70"/>
      <c r="BZ15" s="71"/>
      <c r="CA15" s="70"/>
      <c r="CB15" s="70"/>
      <c r="CC15" s="70"/>
      <c r="CD15" s="70"/>
      <c r="CE15" s="71"/>
      <c r="CF15" s="70"/>
      <c r="CG15" s="70"/>
      <c r="CH15" s="70"/>
      <c r="CI15" s="70"/>
      <c r="CJ15" s="71"/>
      <c r="CK15" s="70"/>
      <c r="CL15" s="70"/>
      <c r="CM15" s="70"/>
      <c r="CN15" s="70"/>
      <c r="CO15" s="71"/>
      <c r="CP15" s="70"/>
      <c r="CQ15" s="70"/>
      <c r="CR15" s="70"/>
      <c r="CS15" s="70"/>
      <c r="CT15" s="71"/>
      <c r="CU15" s="70"/>
      <c r="CV15" s="70"/>
      <c r="CW15" s="70"/>
      <c r="CX15" s="70"/>
      <c r="CY15" s="71"/>
      <c r="CZ15" s="70"/>
      <c r="DA15" s="70"/>
      <c r="DB15" s="70"/>
      <c r="DC15" s="70"/>
      <c r="DD15" s="71"/>
      <c r="DE15" s="70"/>
      <c r="DF15" s="70"/>
      <c r="DG15" s="70"/>
      <c r="DH15" s="70"/>
      <c r="DI15" s="71"/>
      <c r="DJ15" s="70"/>
      <c r="DK15" s="70"/>
      <c r="DL15" s="70"/>
      <c r="DM15" s="70"/>
      <c r="DN15" s="71"/>
      <c r="DO15" s="70"/>
      <c r="DP15" s="70"/>
      <c r="DQ15" s="70"/>
      <c r="DR15" s="70"/>
      <c r="DS15" s="71"/>
      <c r="DT15" s="70"/>
      <c r="DU15" s="70"/>
      <c r="DV15" s="70"/>
      <c r="DW15" s="70"/>
      <c r="DX15" s="71"/>
      <c r="DY15" s="70">
        <v>0.33510815307820302</v>
      </c>
      <c r="DZ15" s="70">
        <v>0.32043570151194928</v>
      </c>
      <c r="EA15" s="70">
        <v>0.3353130978555724</v>
      </c>
      <c r="EB15" s="70">
        <v>0.30899482028764497</v>
      </c>
      <c r="EC15" s="71">
        <v>0.3244275076040975</v>
      </c>
      <c r="ED15" s="70">
        <v>0.33156591484093234</v>
      </c>
      <c r="EE15" s="70">
        <v>0.30998699972142263</v>
      </c>
      <c r="EF15" s="70">
        <v>0.32494125545485064</v>
      </c>
      <c r="EG15" s="70">
        <v>0.31831773270930835</v>
      </c>
      <c r="EH15" s="71">
        <v>0.32075460473085526</v>
      </c>
      <c r="EI15" s="70">
        <v>0.33186221506277996</v>
      </c>
      <c r="EJ15" s="70">
        <v>0.30807299721620784</v>
      </c>
      <c r="EK15" s="70">
        <v>0.31987439222042141</v>
      </c>
      <c r="EL15" s="70">
        <v>0.32006169864070183</v>
      </c>
      <c r="EM15" s="71">
        <v>0.31958440510415093</v>
      </c>
      <c r="EN15" s="70">
        <v>0.32849846374845376</v>
      </c>
      <c r="EO15" s="70">
        <v>0.32233112783665424</v>
      </c>
      <c r="EP15" s="70">
        <v>0.3313846794180525</v>
      </c>
      <c r="EQ15" s="70">
        <v>0.32552634857356422</v>
      </c>
      <c r="ER15" s="71">
        <v>0.32689993629521269</v>
      </c>
      <c r="ES15" s="70">
        <v>0.32896296689491655</v>
      </c>
      <c r="ET15" s="70">
        <v>0.31036762334730733</v>
      </c>
      <c r="EU15" s="70">
        <v>0.31636975007274726</v>
      </c>
      <c r="EV15" s="70">
        <v>0.31388755851499373</v>
      </c>
      <c r="EW15" s="71">
        <v>0.31709924037826059</v>
      </c>
      <c r="EX15" s="70">
        <v>0.43176031104673324</v>
      </c>
      <c r="EY15" s="70">
        <v>0.42275103400735292</v>
      </c>
      <c r="EZ15" s="70">
        <v>0.42736848114634773</v>
      </c>
      <c r="FA15" s="70">
        <v>0.435402746150027</v>
      </c>
      <c r="FB15" s="71">
        <v>0.42937652214524341</v>
      </c>
      <c r="FC15" s="70">
        <v>0.42257767196914647</v>
      </c>
      <c r="FD15" s="70">
        <v>0.41133396480753981</v>
      </c>
      <c r="FE15" s="70">
        <v>0.41509770491241654</v>
      </c>
      <c r="FF15" s="70">
        <v>0.42120512571406604</v>
      </c>
      <c r="FG15" s="71">
        <v>0.4162981759056798</v>
      </c>
      <c r="FH15" s="70">
        <v>0.40873236207179481</v>
      </c>
      <c r="FI15" s="70">
        <v>0.39795195457754912</v>
      </c>
      <c r="FJ15" s="70">
        <v>0.40440635325944385</v>
      </c>
      <c r="FK15" s="70">
        <v>0.40612798601998246</v>
      </c>
      <c r="FL15" s="71">
        <v>0.40263469703974136</v>
      </c>
      <c r="FM15" s="70" t="s">
        <v>2451</v>
      </c>
      <c r="FN15" s="70" t="s">
        <v>2451</v>
      </c>
      <c r="FO15" s="70" t="s">
        <v>2451</v>
      </c>
      <c r="FP15" s="70" t="s">
        <v>2451</v>
      </c>
      <c r="FQ15" s="71">
        <v>0.38449018851800049</v>
      </c>
      <c r="FR15" s="70" t="s">
        <v>2451</v>
      </c>
      <c r="FS15" s="70" t="s">
        <v>2451</v>
      </c>
      <c r="FT15" s="70" t="s">
        <v>2451</v>
      </c>
      <c r="FU15" s="70" t="s">
        <v>2451</v>
      </c>
      <c r="FV15" s="71" t="s">
        <v>2451</v>
      </c>
      <c r="FW15" s="70" t="s">
        <v>2451</v>
      </c>
      <c r="FX15" s="70" t="s">
        <v>2451</v>
      </c>
      <c r="FY15" s="70" t="s">
        <v>2451</v>
      </c>
      <c r="FZ15" s="70" t="s">
        <v>2451</v>
      </c>
      <c r="GA15" s="71" t="s">
        <v>2451</v>
      </c>
    </row>
    <row r="16" spans="1:183" ht="12.75" customHeight="1" outlineLevel="1">
      <c r="B16" s="1535"/>
      <c r="C16" s="43"/>
      <c r="D16" s="59"/>
      <c r="E16" s="59"/>
      <c r="F16" s="59"/>
      <c r="G16" s="59"/>
      <c r="H16" s="60"/>
      <c r="I16" s="61"/>
      <c r="J16" s="61"/>
      <c r="K16" s="61"/>
      <c r="L16" s="61"/>
      <c r="M16" s="62"/>
      <c r="N16" s="61"/>
      <c r="O16" s="61"/>
      <c r="P16" s="61"/>
      <c r="Q16" s="61"/>
      <c r="R16" s="62"/>
      <c r="S16" s="61"/>
      <c r="T16" s="61"/>
      <c r="U16" s="61"/>
      <c r="V16" s="61"/>
      <c r="W16" s="62"/>
      <c r="X16" s="61"/>
      <c r="Y16" s="61"/>
      <c r="Z16" s="61"/>
      <c r="AA16" s="61"/>
      <c r="AB16" s="62"/>
      <c r="AC16" s="61"/>
      <c r="AD16" s="61"/>
      <c r="AE16" s="61"/>
      <c r="AF16" s="61"/>
      <c r="AG16" s="62"/>
      <c r="AH16" s="61"/>
      <c r="AI16" s="61"/>
      <c r="AJ16" s="61"/>
      <c r="AK16" s="61"/>
      <c r="AL16" s="62"/>
      <c r="AM16" s="61"/>
      <c r="AN16" s="61"/>
      <c r="AO16" s="61"/>
      <c r="AP16" s="61"/>
      <c r="AQ16" s="62"/>
      <c r="AR16" s="61"/>
      <c r="AS16" s="61"/>
      <c r="AT16" s="61"/>
      <c r="AU16" s="61"/>
      <c r="AV16" s="62"/>
      <c r="AW16" s="61"/>
      <c r="AX16" s="61"/>
      <c r="AY16" s="61"/>
      <c r="AZ16" s="61"/>
      <c r="BA16" s="62"/>
      <c r="BB16" s="61"/>
      <c r="BC16" s="61"/>
      <c r="BD16" s="61"/>
      <c r="BE16" s="61"/>
      <c r="BF16" s="62"/>
      <c r="BG16" s="61"/>
      <c r="BH16" s="61"/>
      <c r="BI16" s="61"/>
      <c r="BJ16" s="61"/>
      <c r="BK16" s="62"/>
      <c r="BL16" s="61"/>
      <c r="BM16" s="61"/>
      <c r="BN16" s="61"/>
      <c r="BO16" s="61"/>
      <c r="BP16" s="62"/>
      <c r="BQ16" s="61"/>
      <c r="BR16" s="61"/>
      <c r="BS16" s="61"/>
      <c r="BT16" s="61"/>
      <c r="BU16" s="62"/>
      <c r="BV16" s="61"/>
      <c r="BW16" s="61"/>
      <c r="BX16" s="61"/>
      <c r="BY16" s="61"/>
      <c r="BZ16" s="62"/>
      <c r="CA16" s="61"/>
      <c r="CB16" s="61"/>
      <c r="CC16" s="61"/>
      <c r="CD16" s="61"/>
      <c r="CE16" s="62"/>
      <c r="CF16" s="61"/>
      <c r="CG16" s="61"/>
      <c r="CH16" s="61"/>
      <c r="CI16" s="61"/>
      <c r="CJ16" s="62"/>
      <c r="CK16" s="61"/>
      <c r="CL16" s="61"/>
      <c r="CM16" s="61"/>
      <c r="CN16" s="61"/>
      <c r="CO16" s="62"/>
      <c r="CP16" s="61"/>
      <c r="CQ16" s="61"/>
      <c r="CR16" s="61"/>
      <c r="CS16" s="61"/>
      <c r="CT16" s="62"/>
      <c r="CU16" s="61"/>
      <c r="CV16" s="61"/>
      <c r="CW16" s="61"/>
      <c r="CX16" s="61"/>
      <c r="CY16" s="62"/>
      <c r="CZ16" s="61"/>
      <c r="DA16" s="61"/>
      <c r="DB16" s="61"/>
      <c r="DC16" s="61"/>
      <c r="DD16" s="62"/>
      <c r="DE16" s="61"/>
      <c r="DF16" s="61"/>
      <c r="DG16" s="61"/>
      <c r="DH16" s="61"/>
      <c r="DI16" s="62"/>
      <c r="DJ16" s="61"/>
      <c r="DK16" s="61"/>
      <c r="DL16" s="61"/>
      <c r="DM16" s="61"/>
      <c r="DN16" s="62"/>
      <c r="DO16" s="61"/>
      <c r="DP16" s="61"/>
      <c r="DQ16" s="61"/>
      <c r="DR16" s="61"/>
      <c r="DS16" s="62"/>
      <c r="DT16" s="61"/>
      <c r="DU16" s="61"/>
      <c r="DV16" s="61"/>
      <c r="DW16" s="61"/>
      <c r="DX16" s="62"/>
      <c r="DY16" s="61"/>
      <c r="DZ16" s="61"/>
      <c r="EA16" s="61"/>
      <c r="EB16" s="61"/>
      <c r="EC16" s="62"/>
      <c r="ED16" s="61"/>
      <c r="EE16" s="61"/>
      <c r="EF16" s="61"/>
      <c r="EG16" s="61"/>
      <c r="EH16" s="62"/>
      <c r="EI16" s="61"/>
      <c r="EJ16" s="61"/>
      <c r="EK16" s="61"/>
      <c r="EL16" s="61"/>
      <c r="EM16" s="62"/>
      <c r="EN16" s="61"/>
      <c r="EO16" s="61"/>
      <c r="EP16" s="61"/>
      <c r="EQ16" s="61"/>
      <c r="ER16" s="62"/>
      <c r="ES16" s="61"/>
      <c r="ET16" s="61"/>
      <c r="EU16" s="61"/>
      <c r="EV16" s="61"/>
      <c r="EW16" s="62"/>
      <c r="EX16" s="61"/>
      <c r="EY16" s="61"/>
      <c r="EZ16" s="61"/>
      <c r="FA16" s="61"/>
      <c r="FB16" s="62"/>
      <c r="FC16" s="61"/>
      <c r="FD16" s="61"/>
      <c r="FE16" s="61"/>
      <c r="FF16" s="61"/>
      <c r="FG16" s="62"/>
      <c r="FH16" s="61"/>
      <c r="FI16" s="61"/>
      <c r="FJ16" s="61"/>
      <c r="FK16" s="61"/>
      <c r="FL16" s="62"/>
      <c r="FM16" s="61"/>
      <c r="FN16" s="61"/>
      <c r="FO16" s="61"/>
      <c r="FP16" s="61"/>
      <c r="FQ16" s="62"/>
      <c r="FR16" s="61"/>
      <c r="FS16" s="61"/>
      <c r="FT16" s="61"/>
      <c r="FU16" s="61"/>
      <c r="FV16" s="62"/>
      <c r="FW16" s="61"/>
      <c r="FX16" s="61"/>
      <c r="FY16" s="61"/>
      <c r="FZ16" s="61"/>
      <c r="GA16" s="62"/>
    </row>
    <row r="17" spans="1:183" s="67" customFormat="1" ht="12.75" customHeight="1" outlineLevel="1">
      <c r="A17" s="63" t="s">
        <v>323</v>
      </c>
      <c r="B17" s="1541" t="s">
        <v>67</v>
      </c>
      <c r="C17" s="64"/>
      <c r="D17" s="65"/>
      <c r="E17" s="65"/>
      <c r="F17" s="65"/>
      <c r="G17" s="65"/>
      <c r="H17" s="66"/>
      <c r="I17" s="65"/>
      <c r="J17" s="65"/>
      <c r="K17" s="65"/>
      <c r="L17" s="65"/>
      <c r="M17" s="66"/>
      <c r="N17" s="65"/>
      <c r="O17" s="65"/>
      <c r="P17" s="65"/>
      <c r="Q17" s="65"/>
      <c r="R17" s="66"/>
      <c r="S17" s="65"/>
      <c r="T17" s="65"/>
      <c r="U17" s="65"/>
      <c r="V17" s="65"/>
      <c r="W17" s="66"/>
      <c r="X17" s="65"/>
      <c r="Y17" s="65"/>
      <c r="Z17" s="65"/>
      <c r="AA17" s="65"/>
      <c r="AB17" s="66"/>
      <c r="AC17" s="65"/>
      <c r="AD17" s="65"/>
      <c r="AE17" s="65"/>
      <c r="AF17" s="65"/>
      <c r="AG17" s="66"/>
      <c r="AH17" s="65"/>
      <c r="AI17" s="65"/>
      <c r="AJ17" s="65"/>
      <c r="AK17" s="65"/>
      <c r="AL17" s="66"/>
      <c r="AM17" s="65"/>
      <c r="AN17" s="65"/>
      <c r="AO17" s="65"/>
      <c r="AP17" s="65"/>
      <c r="AQ17" s="66"/>
      <c r="AR17" s="65"/>
      <c r="AS17" s="65"/>
      <c r="AT17" s="65"/>
      <c r="AU17" s="65"/>
      <c r="AV17" s="66"/>
      <c r="AW17" s="65"/>
      <c r="AX17" s="65"/>
      <c r="AY17" s="65"/>
      <c r="AZ17" s="65"/>
      <c r="BA17" s="66"/>
      <c r="BB17" s="65"/>
      <c r="BC17" s="65"/>
      <c r="BD17" s="65"/>
      <c r="BE17" s="65"/>
      <c r="BF17" s="66"/>
      <c r="BG17" s="65"/>
      <c r="BH17" s="65"/>
      <c r="BI17" s="65"/>
      <c r="BJ17" s="65"/>
      <c r="BK17" s="66"/>
      <c r="BL17" s="65"/>
      <c r="BM17" s="65"/>
      <c r="BN17" s="65"/>
      <c r="BO17" s="65"/>
      <c r="BP17" s="66"/>
      <c r="BQ17" s="65"/>
      <c r="BR17" s="65"/>
      <c r="BS17" s="65"/>
      <c r="BT17" s="65"/>
      <c r="BU17" s="66"/>
      <c r="BV17" s="65"/>
      <c r="BW17" s="65"/>
      <c r="BX17" s="65"/>
      <c r="BY17" s="65"/>
      <c r="BZ17" s="66"/>
      <c r="CA17" s="65"/>
      <c r="CB17" s="65"/>
      <c r="CC17" s="65"/>
      <c r="CD17" s="65"/>
      <c r="CE17" s="66"/>
      <c r="CF17" s="65"/>
      <c r="CG17" s="65"/>
      <c r="CH17" s="65"/>
      <c r="CI17" s="65"/>
      <c r="CJ17" s="66"/>
      <c r="CK17" s="65"/>
      <c r="CL17" s="65"/>
      <c r="CM17" s="65"/>
      <c r="CN17" s="65"/>
      <c r="CO17" s="66"/>
      <c r="CP17" s="65"/>
      <c r="CQ17" s="65"/>
      <c r="CR17" s="65"/>
      <c r="CS17" s="65"/>
      <c r="CT17" s="66"/>
      <c r="CU17" s="65"/>
      <c r="CV17" s="65"/>
      <c r="CW17" s="65"/>
      <c r="CX17" s="65"/>
      <c r="CY17" s="66"/>
      <c r="CZ17" s="65"/>
      <c r="DA17" s="65"/>
      <c r="DB17" s="65"/>
      <c r="DC17" s="65"/>
      <c r="DD17" s="66"/>
      <c r="DE17" s="65"/>
      <c r="DF17" s="65"/>
      <c r="DG17" s="65"/>
      <c r="DH17" s="65"/>
      <c r="DI17" s="66"/>
      <c r="DJ17" s="65"/>
      <c r="DK17" s="65"/>
      <c r="DL17" s="65"/>
      <c r="DM17" s="65"/>
      <c r="DN17" s="66"/>
      <c r="DO17" s="65"/>
      <c r="DP17" s="65"/>
      <c r="DQ17" s="65"/>
      <c r="DR17" s="65"/>
      <c r="DS17" s="66"/>
      <c r="DT17" s="65"/>
      <c r="DU17" s="65"/>
      <c r="DV17" s="65"/>
      <c r="DW17" s="65"/>
      <c r="DX17" s="66"/>
      <c r="DY17" s="65">
        <v>10845</v>
      </c>
      <c r="DZ17" s="65">
        <v>11869</v>
      </c>
      <c r="EA17" s="65">
        <v>12281</v>
      </c>
      <c r="EB17" s="65">
        <v>13371</v>
      </c>
      <c r="EC17" s="66">
        <v>48366</v>
      </c>
      <c r="ED17" s="65">
        <v>12986</v>
      </c>
      <c r="EE17" s="65">
        <v>14601</v>
      </c>
      <c r="EF17" s="65">
        <v>15118</v>
      </c>
      <c r="EG17" s="65">
        <v>17375</v>
      </c>
      <c r="EH17" s="66">
        <v>60080</v>
      </c>
      <c r="EI17" s="65">
        <v>16964</v>
      </c>
      <c r="EJ17" s="65">
        <v>18327</v>
      </c>
      <c r="EK17" s="65">
        <v>19051</v>
      </c>
      <c r="EL17" s="65">
        <v>20909</v>
      </c>
      <c r="EM17" s="66">
        <v>75251</v>
      </c>
      <c r="EN17" s="65">
        <v>20325</v>
      </c>
      <c r="EO17" s="65">
        <v>21508</v>
      </c>
      <c r="EP17" s="65">
        <v>22081</v>
      </c>
      <c r="EQ17" s="65">
        <v>23993</v>
      </c>
      <c r="ER17" s="66">
        <v>87906.82</v>
      </c>
      <c r="ES17" s="65">
        <v>24259</v>
      </c>
      <c r="ET17" s="65">
        <v>25880</v>
      </c>
      <c r="EU17" s="65">
        <v>26708</v>
      </c>
      <c r="EV17" s="65">
        <v>28515</v>
      </c>
      <c r="EW17" s="66">
        <v>105362</v>
      </c>
      <c r="EX17" s="65">
        <v>24092</v>
      </c>
      <c r="EY17" s="65">
        <v>25544</v>
      </c>
      <c r="EZ17" s="65">
        <v>26751</v>
      </c>
      <c r="FA17" s="65">
        <v>28944.280999999999</v>
      </c>
      <c r="FB17" s="66">
        <v>105362.69</v>
      </c>
      <c r="FC17" s="65">
        <v>29391.243999999999</v>
      </c>
      <c r="FD17" s="65">
        <v>31119.812999999998</v>
      </c>
      <c r="FE17" s="65">
        <v>32394.6</v>
      </c>
      <c r="FF17" s="65">
        <v>34945.332000000002</v>
      </c>
      <c r="FG17" s="66">
        <v>128259.85</v>
      </c>
      <c r="FH17" s="65">
        <v>35781.25</v>
      </c>
      <c r="FI17" s="65">
        <v>38095.25</v>
      </c>
      <c r="FJ17" s="65">
        <v>39880</v>
      </c>
      <c r="FK17" s="65">
        <v>43616.332000000002</v>
      </c>
      <c r="FL17" s="66">
        <v>157598.17000000001</v>
      </c>
      <c r="FM17" s="65" t="s">
        <v>2451</v>
      </c>
      <c r="FN17" s="65" t="s">
        <v>2451</v>
      </c>
      <c r="FO17" s="65" t="s">
        <v>2451</v>
      </c>
      <c r="FP17" s="65" t="s">
        <v>2451</v>
      </c>
      <c r="FQ17" s="66">
        <v>196151</v>
      </c>
      <c r="FR17" s="65" t="s">
        <v>2451</v>
      </c>
      <c r="FS17" s="65" t="s">
        <v>2451</v>
      </c>
      <c r="FT17" s="65" t="s">
        <v>2451</v>
      </c>
      <c r="FU17" s="65" t="s">
        <v>2451</v>
      </c>
      <c r="FV17" s="66" t="s">
        <v>2451</v>
      </c>
      <c r="FW17" s="65" t="s">
        <v>2451</v>
      </c>
      <c r="FX17" s="65" t="s">
        <v>2451</v>
      </c>
      <c r="FY17" s="65" t="s">
        <v>2451</v>
      </c>
      <c r="FZ17" s="65" t="s">
        <v>2451</v>
      </c>
      <c r="GA17" s="66" t="s">
        <v>2451</v>
      </c>
    </row>
    <row r="18" spans="1:183" s="72" customFormat="1" ht="12.75" customHeight="1" outlineLevel="1">
      <c r="A18" s="68" t="s">
        <v>324</v>
      </c>
      <c r="B18" s="753" t="s">
        <v>34</v>
      </c>
      <c r="C18" s="69"/>
      <c r="D18" s="70"/>
      <c r="E18" s="70"/>
      <c r="F18" s="70"/>
      <c r="G18" s="70"/>
      <c r="H18" s="71"/>
      <c r="I18" s="70"/>
      <c r="J18" s="70"/>
      <c r="K18" s="70"/>
      <c r="L18" s="70"/>
      <c r="M18" s="71"/>
      <c r="N18" s="70"/>
      <c r="O18" s="70"/>
      <c r="P18" s="70"/>
      <c r="Q18" s="70"/>
      <c r="R18" s="71"/>
      <c r="S18" s="70"/>
      <c r="T18" s="70"/>
      <c r="U18" s="70"/>
      <c r="V18" s="70"/>
      <c r="W18" s="71"/>
      <c r="X18" s="70"/>
      <c r="Y18" s="70"/>
      <c r="Z18" s="70"/>
      <c r="AA18" s="70"/>
      <c r="AB18" s="71"/>
      <c r="AC18" s="70"/>
      <c r="AD18" s="70"/>
      <c r="AE18" s="70"/>
      <c r="AF18" s="70"/>
      <c r="AG18" s="71"/>
      <c r="AH18" s="70"/>
      <c r="AI18" s="70"/>
      <c r="AJ18" s="70"/>
      <c r="AK18" s="70"/>
      <c r="AL18" s="71"/>
      <c r="AM18" s="70"/>
      <c r="AN18" s="70"/>
      <c r="AO18" s="70"/>
      <c r="AP18" s="70"/>
      <c r="AQ18" s="71"/>
      <c r="AR18" s="70"/>
      <c r="AS18" s="70"/>
      <c r="AT18" s="70"/>
      <c r="AU18" s="70"/>
      <c r="AV18" s="71"/>
      <c r="AW18" s="70"/>
      <c r="AX18" s="70"/>
      <c r="AY18" s="70"/>
      <c r="AZ18" s="70"/>
      <c r="BA18" s="71"/>
      <c r="BB18" s="70"/>
      <c r="BC18" s="70"/>
      <c r="BD18" s="70"/>
      <c r="BE18" s="70"/>
      <c r="BF18" s="71"/>
      <c r="BG18" s="70"/>
      <c r="BH18" s="70"/>
      <c r="BI18" s="70"/>
      <c r="BJ18" s="70"/>
      <c r="BK18" s="71"/>
      <c r="BL18" s="70"/>
      <c r="BM18" s="70"/>
      <c r="BN18" s="70"/>
      <c r="BO18" s="70"/>
      <c r="BP18" s="71"/>
      <c r="BQ18" s="70"/>
      <c r="BR18" s="70"/>
      <c r="BS18" s="70"/>
      <c r="BT18" s="70"/>
      <c r="BU18" s="71"/>
      <c r="BV18" s="70"/>
      <c r="BW18" s="70"/>
      <c r="BX18" s="70"/>
      <c r="BY18" s="70"/>
      <c r="BZ18" s="71"/>
      <c r="CA18" s="70"/>
      <c r="CB18" s="70"/>
      <c r="CC18" s="70"/>
      <c r="CD18" s="70"/>
      <c r="CE18" s="71"/>
      <c r="CF18" s="70"/>
      <c r="CG18" s="70"/>
      <c r="CH18" s="70"/>
      <c r="CI18" s="70"/>
      <c r="CJ18" s="71"/>
      <c r="CK18" s="70"/>
      <c r="CL18" s="70"/>
      <c r="CM18" s="70"/>
      <c r="CN18" s="70"/>
      <c r="CO18" s="71"/>
      <c r="CP18" s="70"/>
      <c r="CQ18" s="70"/>
      <c r="CR18" s="70"/>
      <c r="CS18" s="70"/>
      <c r="CT18" s="71"/>
      <c r="CU18" s="70"/>
      <c r="CV18" s="70"/>
      <c r="CW18" s="70"/>
      <c r="CX18" s="70"/>
      <c r="CY18" s="71"/>
      <c r="CZ18" s="70"/>
      <c r="DA18" s="70"/>
      <c r="DB18" s="70"/>
      <c r="DC18" s="70"/>
      <c r="DD18" s="71"/>
      <c r="DE18" s="70"/>
      <c r="DF18" s="70"/>
      <c r="DG18" s="70"/>
      <c r="DH18" s="70"/>
      <c r="DI18" s="71"/>
      <c r="DJ18" s="70"/>
      <c r="DK18" s="70"/>
      <c r="DL18" s="70"/>
      <c r="DM18" s="70"/>
      <c r="DN18" s="71"/>
      <c r="DO18" s="70"/>
      <c r="DP18" s="70"/>
      <c r="DQ18" s="70"/>
      <c r="DR18" s="70"/>
      <c r="DS18" s="71"/>
      <c r="DT18" s="70"/>
      <c r="DU18" s="70"/>
      <c r="DV18" s="70"/>
      <c r="DW18" s="70"/>
      <c r="DX18" s="71"/>
      <c r="DY18" s="70" t="s">
        <v>2451</v>
      </c>
      <c r="DZ18" s="70" t="s">
        <v>2451</v>
      </c>
      <c r="EA18" s="70" t="s">
        <v>2451</v>
      </c>
      <c r="EB18" s="70" t="s">
        <v>2451</v>
      </c>
      <c r="EC18" s="71" t="s">
        <v>2451</v>
      </c>
      <c r="ED18" s="70">
        <v>0.19741816505301979</v>
      </c>
      <c r="EE18" s="70">
        <v>0.23017945909512183</v>
      </c>
      <c r="EF18" s="70">
        <v>0.23100724696685937</v>
      </c>
      <c r="EG18" s="70">
        <v>0.29945404233041661</v>
      </c>
      <c r="EH18" s="71">
        <v>0.24219493032295425</v>
      </c>
      <c r="EI18" s="70">
        <v>0.30632989373171116</v>
      </c>
      <c r="EJ18" s="70">
        <v>0.25518800082186144</v>
      </c>
      <c r="EK18" s="70">
        <v>0.2601534594523085</v>
      </c>
      <c r="EL18" s="70">
        <v>0.20339568345323733</v>
      </c>
      <c r="EM18" s="71">
        <v>0.25251331557922763</v>
      </c>
      <c r="EN18" s="70">
        <v>0.19812544211270922</v>
      </c>
      <c r="EO18" s="70">
        <v>0.17356905112675292</v>
      </c>
      <c r="EP18" s="70">
        <v>0.15904676919846716</v>
      </c>
      <c r="EQ18" s="70">
        <v>0.14749629346214554</v>
      </c>
      <c r="ER18" s="71">
        <v>0.16818141951601984</v>
      </c>
      <c r="ES18" s="70">
        <v>0.19355473554735547</v>
      </c>
      <c r="ET18" s="70">
        <v>0.20327320066951837</v>
      </c>
      <c r="EU18" s="70">
        <v>0.20954666908201625</v>
      </c>
      <c r="EV18" s="70">
        <v>0.1884716375609552</v>
      </c>
      <c r="EW18" s="71">
        <v>0.19856457098550484</v>
      </c>
      <c r="EX18" s="70">
        <v>-6.8840430355744386E-3</v>
      </c>
      <c r="EY18" s="70">
        <v>-1.2982998454404981E-2</v>
      </c>
      <c r="EZ18" s="70">
        <v>1.6100044930358326E-3</v>
      </c>
      <c r="FA18" s="70">
        <v>1.5054567771348282E-2</v>
      </c>
      <c r="FB18" s="71">
        <v>6.548850629339853E-6</v>
      </c>
      <c r="FC18" s="70">
        <v>0.21995865847584262</v>
      </c>
      <c r="FD18" s="70">
        <v>0.21828268869401812</v>
      </c>
      <c r="FE18" s="70">
        <v>0.21096781428731637</v>
      </c>
      <c r="FF18" s="70">
        <v>0.20733114773174033</v>
      </c>
      <c r="FG18" s="71">
        <v>0.21731753431883716</v>
      </c>
      <c r="FH18" s="70">
        <v>0.21741189314749665</v>
      </c>
      <c r="FI18" s="70">
        <v>0.22414778006538794</v>
      </c>
      <c r="FJ18" s="70">
        <v>0.23106937576015762</v>
      </c>
      <c r="FK18" s="70">
        <v>0.24813042268420848</v>
      </c>
      <c r="FL18" s="71">
        <v>0.228741262366984</v>
      </c>
      <c r="FM18" s="70" t="s">
        <v>2451</v>
      </c>
      <c r="FN18" s="70" t="s">
        <v>2451</v>
      </c>
      <c r="FO18" s="70" t="s">
        <v>2451</v>
      </c>
      <c r="FP18" s="70" t="s">
        <v>2451</v>
      </c>
      <c r="FQ18" s="71">
        <v>0.24462739637141717</v>
      </c>
      <c r="FR18" s="70" t="s">
        <v>2451</v>
      </c>
      <c r="FS18" s="70" t="s">
        <v>2451</v>
      </c>
      <c r="FT18" s="70" t="s">
        <v>2451</v>
      </c>
      <c r="FU18" s="70" t="s">
        <v>2451</v>
      </c>
      <c r="FV18" s="71" t="s">
        <v>2451</v>
      </c>
      <c r="FW18" s="70" t="s">
        <v>2451</v>
      </c>
      <c r="FX18" s="70" t="s">
        <v>2451</v>
      </c>
      <c r="FY18" s="70" t="s">
        <v>2451</v>
      </c>
      <c r="FZ18" s="70" t="s">
        <v>2451</v>
      </c>
      <c r="GA18" s="71" t="s">
        <v>2451</v>
      </c>
    </row>
    <row r="19" spans="1:183" s="72" customFormat="1" ht="12.75" customHeight="1" outlineLevel="1">
      <c r="A19" s="68" t="s">
        <v>326</v>
      </c>
      <c r="B19" s="753" t="s">
        <v>36</v>
      </c>
      <c r="C19" s="69"/>
      <c r="D19" s="70"/>
      <c r="E19" s="70"/>
      <c r="F19" s="70"/>
      <c r="G19" s="70"/>
      <c r="H19" s="73"/>
      <c r="I19" s="70"/>
      <c r="J19" s="70"/>
      <c r="K19" s="70"/>
      <c r="L19" s="70"/>
      <c r="M19" s="73"/>
      <c r="N19" s="70"/>
      <c r="O19" s="70"/>
      <c r="P19" s="70"/>
      <c r="Q19" s="70"/>
      <c r="R19" s="73"/>
      <c r="S19" s="70"/>
      <c r="T19" s="70"/>
      <c r="U19" s="70"/>
      <c r="V19" s="70"/>
      <c r="W19" s="73"/>
      <c r="X19" s="70"/>
      <c r="Y19" s="70"/>
      <c r="Z19" s="70"/>
      <c r="AA19" s="70"/>
      <c r="AB19" s="73"/>
      <c r="AC19" s="70"/>
      <c r="AD19" s="70"/>
      <c r="AE19" s="70"/>
      <c r="AF19" s="70"/>
      <c r="AG19" s="73"/>
      <c r="AH19" s="70"/>
      <c r="AI19" s="70"/>
      <c r="AJ19" s="70"/>
      <c r="AK19" s="70"/>
      <c r="AL19" s="73"/>
      <c r="AM19" s="70"/>
      <c r="AN19" s="70"/>
      <c r="AO19" s="70"/>
      <c r="AP19" s="70"/>
      <c r="AQ19" s="73"/>
      <c r="AR19" s="70"/>
      <c r="AS19" s="70"/>
      <c r="AT19" s="70"/>
      <c r="AU19" s="70"/>
      <c r="AV19" s="73"/>
      <c r="AW19" s="70"/>
      <c r="AX19" s="70"/>
      <c r="AY19" s="70"/>
      <c r="AZ19" s="70"/>
      <c r="BA19" s="73"/>
      <c r="BB19" s="70"/>
      <c r="BC19" s="70"/>
      <c r="BD19" s="70"/>
      <c r="BE19" s="70"/>
      <c r="BF19" s="73"/>
      <c r="BG19" s="70"/>
      <c r="BH19" s="70"/>
      <c r="BI19" s="70"/>
      <c r="BJ19" s="70"/>
      <c r="BK19" s="73"/>
      <c r="BL19" s="70"/>
      <c r="BM19" s="70"/>
      <c r="BN19" s="70"/>
      <c r="BO19" s="70"/>
      <c r="BP19" s="73"/>
      <c r="BQ19" s="70"/>
      <c r="BR19" s="70"/>
      <c r="BS19" s="70"/>
      <c r="BT19" s="70"/>
      <c r="BU19" s="73"/>
      <c r="BV19" s="70"/>
      <c r="BW19" s="70"/>
      <c r="BX19" s="70"/>
      <c r="BY19" s="70"/>
      <c r="BZ19" s="73"/>
      <c r="CA19" s="70"/>
      <c r="CB19" s="70"/>
      <c r="CC19" s="70"/>
      <c r="CD19" s="70"/>
      <c r="CE19" s="73"/>
      <c r="CF19" s="70"/>
      <c r="CG19" s="70"/>
      <c r="CH19" s="70"/>
      <c r="CI19" s="70"/>
      <c r="CJ19" s="73"/>
      <c r="CK19" s="70"/>
      <c r="CL19" s="70"/>
      <c r="CM19" s="70"/>
      <c r="CN19" s="70"/>
      <c r="CO19" s="73"/>
      <c r="CP19" s="70"/>
      <c r="CQ19" s="70"/>
      <c r="CR19" s="70"/>
      <c r="CS19" s="70"/>
      <c r="CT19" s="73"/>
      <c r="CU19" s="70"/>
      <c r="CV19" s="70"/>
      <c r="CW19" s="70"/>
      <c r="CX19" s="70"/>
      <c r="CY19" s="73"/>
      <c r="CZ19" s="70"/>
      <c r="DA19" s="70"/>
      <c r="DB19" s="70"/>
      <c r="DC19" s="70"/>
      <c r="DD19" s="73"/>
      <c r="DE19" s="70"/>
      <c r="DF19" s="70"/>
      <c r="DG19" s="70"/>
      <c r="DH19" s="70"/>
      <c r="DI19" s="73"/>
      <c r="DJ19" s="70"/>
      <c r="DK19" s="70"/>
      <c r="DL19" s="70"/>
      <c r="DM19" s="70"/>
      <c r="DN19" s="73"/>
      <c r="DO19" s="70"/>
      <c r="DP19" s="70"/>
      <c r="DQ19" s="70"/>
      <c r="DR19" s="70"/>
      <c r="DS19" s="73"/>
      <c r="DT19" s="70"/>
      <c r="DU19" s="70"/>
      <c r="DV19" s="70"/>
      <c r="DW19" s="70"/>
      <c r="DX19" s="73"/>
      <c r="DY19" s="70" t="s">
        <v>2451</v>
      </c>
      <c r="DZ19" s="70">
        <v>9.4421392346703659E-2</v>
      </c>
      <c r="EA19" s="70">
        <v>3.471227567613111E-2</v>
      </c>
      <c r="EB19" s="70">
        <v>8.8754987378877992E-2</v>
      </c>
      <c r="EC19" s="73"/>
      <c r="ED19" s="70">
        <v>-2.8793657916386217E-2</v>
      </c>
      <c r="EE19" s="70">
        <v>0.12436470044663483</v>
      </c>
      <c r="EF19" s="70">
        <v>3.5408533662077968E-2</v>
      </c>
      <c r="EG19" s="70">
        <v>0.14929223442254269</v>
      </c>
      <c r="EH19" s="73"/>
      <c r="EI19" s="70">
        <v>-2.3654676258992757E-2</v>
      </c>
      <c r="EJ19" s="70">
        <v>8.0346616364065149E-2</v>
      </c>
      <c r="EK19" s="70">
        <v>3.9504556119386747E-2</v>
      </c>
      <c r="EL19" s="70">
        <v>9.7527688835231663E-2</v>
      </c>
      <c r="EM19" s="73"/>
      <c r="EN19" s="70">
        <v>-2.7930556219809666E-2</v>
      </c>
      <c r="EO19" s="70">
        <v>5.8204182041820429E-2</v>
      </c>
      <c r="EP19" s="70">
        <v>2.6641249767528352E-2</v>
      </c>
      <c r="EQ19" s="70">
        <v>8.6590281237262756E-2</v>
      </c>
      <c r="ER19" s="73"/>
      <c r="ES19" s="70">
        <v>1.1086566915350371E-2</v>
      </c>
      <c r="ET19" s="70">
        <v>6.682056144111459E-2</v>
      </c>
      <c r="EU19" s="70">
        <v>3.1993817619783593E-2</v>
      </c>
      <c r="EV19" s="70">
        <v>6.7657630672457669E-2</v>
      </c>
      <c r="EW19" s="73"/>
      <c r="EX19" s="70">
        <v>-0.15511134490618972</v>
      </c>
      <c r="EY19" s="70">
        <v>6.0268968952349233E-2</v>
      </c>
      <c r="EZ19" s="70">
        <v>4.7251800814281264E-2</v>
      </c>
      <c r="FA19" s="70">
        <v>8.198874808418366E-2</v>
      </c>
      <c r="FB19" s="73"/>
      <c r="FC19" s="70">
        <v>1.5442187007512764E-2</v>
      </c>
      <c r="FD19" s="70">
        <v>5.8812379632519063E-2</v>
      </c>
      <c r="FE19" s="70">
        <v>4.0963838696588484E-2</v>
      </c>
      <c r="FF19" s="70">
        <v>7.8739419532885213E-2</v>
      </c>
      <c r="FG19" s="73"/>
      <c r="FH19" s="70">
        <v>2.3920734248568554E-2</v>
      </c>
      <c r="FI19" s="70">
        <v>6.467074235807857E-2</v>
      </c>
      <c r="FJ19" s="70">
        <v>4.6849672859477165E-2</v>
      </c>
      <c r="FK19" s="70">
        <v>9.3689368104312942E-2</v>
      </c>
      <c r="FL19" s="73"/>
      <c r="FM19" s="70" t="s">
        <v>2451</v>
      </c>
      <c r="FN19" s="70" t="s">
        <v>2451</v>
      </c>
      <c r="FO19" s="70" t="s">
        <v>2451</v>
      </c>
      <c r="FP19" s="70" t="s">
        <v>2451</v>
      </c>
      <c r="FQ19" s="73"/>
      <c r="FR19" s="70" t="s">
        <v>2451</v>
      </c>
      <c r="FS19" s="70" t="s">
        <v>2451</v>
      </c>
      <c r="FT19" s="70" t="s">
        <v>2451</v>
      </c>
      <c r="FU19" s="70" t="s">
        <v>2451</v>
      </c>
      <c r="FV19" s="73"/>
      <c r="FW19" s="70" t="s">
        <v>2451</v>
      </c>
      <c r="FX19" s="70" t="s">
        <v>2451</v>
      </c>
      <c r="FY19" s="70" t="s">
        <v>2451</v>
      </c>
      <c r="FZ19" s="70" t="s">
        <v>2451</v>
      </c>
      <c r="GA19" s="73"/>
    </row>
    <row r="20" spans="1:183" s="92" customFormat="1" ht="12.75" customHeight="1" outlineLevel="1">
      <c r="A20" s="81"/>
      <c r="B20" s="753" t="s">
        <v>66</v>
      </c>
      <c r="C20" s="69"/>
      <c r="D20" s="70"/>
      <c r="E20" s="70"/>
      <c r="F20" s="70"/>
      <c r="G20" s="70"/>
      <c r="H20" s="71"/>
      <c r="I20" s="70"/>
      <c r="J20" s="70"/>
      <c r="K20" s="70"/>
      <c r="L20" s="70"/>
      <c r="M20" s="71"/>
      <c r="N20" s="70"/>
      <c r="O20" s="70"/>
      <c r="P20" s="70"/>
      <c r="Q20" s="70"/>
      <c r="R20" s="71"/>
      <c r="S20" s="70"/>
      <c r="T20" s="70"/>
      <c r="U20" s="70"/>
      <c r="V20" s="70"/>
      <c r="W20" s="71"/>
      <c r="X20" s="70"/>
      <c r="Y20" s="70"/>
      <c r="Z20" s="70"/>
      <c r="AA20" s="70"/>
      <c r="AB20" s="71"/>
      <c r="AC20" s="70"/>
      <c r="AD20" s="70"/>
      <c r="AE20" s="70"/>
      <c r="AF20" s="70"/>
      <c r="AG20" s="71"/>
      <c r="AH20" s="70"/>
      <c r="AI20" s="70"/>
      <c r="AJ20" s="70"/>
      <c r="AK20" s="70"/>
      <c r="AL20" s="71"/>
      <c r="AM20" s="70"/>
      <c r="AN20" s="70"/>
      <c r="AO20" s="70"/>
      <c r="AP20" s="70"/>
      <c r="AQ20" s="71"/>
      <c r="AR20" s="70"/>
      <c r="AS20" s="70"/>
      <c r="AT20" s="70"/>
      <c r="AU20" s="70"/>
      <c r="AV20" s="71"/>
      <c r="AW20" s="70"/>
      <c r="AX20" s="70"/>
      <c r="AY20" s="70"/>
      <c r="AZ20" s="70"/>
      <c r="BA20" s="71"/>
      <c r="BB20" s="70"/>
      <c r="BC20" s="70"/>
      <c r="BD20" s="70"/>
      <c r="BE20" s="70"/>
      <c r="BF20" s="71"/>
      <c r="BG20" s="70"/>
      <c r="BH20" s="70"/>
      <c r="BI20" s="70"/>
      <c r="BJ20" s="70"/>
      <c r="BK20" s="71"/>
      <c r="BL20" s="70"/>
      <c r="BM20" s="70"/>
      <c r="BN20" s="70"/>
      <c r="BO20" s="70"/>
      <c r="BP20" s="71"/>
      <c r="BQ20" s="70"/>
      <c r="BR20" s="70"/>
      <c r="BS20" s="70"/>
      <c r="BT20" s="70"/>
      <c r="BU20" s="71"/>
      <c r="BV20" s="70"/>
      <c r="BW20" s="70"/>
      <c r="BX20" s="70"/>
      <c r="BY20" s="70"/>
      <c r="BZ20" s="71"/>
      <c r="CA20" s="70"/>
      <c r="CB20" s="70"/>
      <c r="CC20" s="70"/>
      <c r="CD20" s="70"/>
      <c r="CE20" s="71"/>
      <c r="CF20" s="70"/>
      <c r="CG20" s="70"/>
      <c r="CH20" s="70"/>
      <c r="CI20" s="70"/>
      <c r="CJ20" s="71"/>
      <c r="CK20" s="70"/>
      <c r="CL20" s="70"/>
      <c r="CM20" s="70"/>
      <c r="CN20" s="70"/>
      <c r="CO20" s="71"/>
      <c r="CP20" s="70"/>
      <c r="CQ20" s="70"/>
      <c r="CR20" s="70"/>
      <c r="CS20" s="70"/>
      <c r="CT20" s="71"/>
      <c r="CU20" s="70"/>
      <c r="CV20" s="70"/>
      <c r="CW20" s="70"/>
      <c r="CX20" s="70"/>
      <c r="CY20" s="71"/>
      <c r="CZ20" s="70"/>
      <c r="DA20" s="70"/>
      <c r="DB20" s="70"/>
      <c r="DC20" s="70"/>
      <c r="DD20" s="71"/>
      <c r="DE20" s="70"/>
      <c r="DF20" s="70"/>
      <c r="DG20" s="70"/>
      <c r="DH20" s="70"/>
      <c r="DI20" s="71"/>
      <c r="DJ20" s="70"/>
      <c r="DK20" s="70"/>
      <c r="DL20" s="70"/>
      <c r="DM20" s="70"/>
      <c r="DN20" s="71"/>
      <c r="DO20" s="70"/>
      <c r="DP20" s="70"/>
      <c r="DQ20" s="70"/>
      <c r="DR20" s="70"/>
      <c r="DS20" s="71"/>
      <c r="DT20" s="70"/>
      <c r="DU20" s="70"/>
      <c r="DV20" s="70"/>
      <c r="DW20" s="70"/>
      <c r="DX20" s="71"/>
      <c r="DY20" s="70">
        <v>0.32808954772349114</v>
      </c>
      <c r="DZ20" s="70">
        <v>0.32160082371430121</v>
      </c>
      <c r="EA20" s="70">
        <v>0.35067530910025413</v>
      </c>
      <c r="EB20" s="70">
        <v>0.35156311624115899</v>
      </c>
      <c r="EC20" s="71">
        <v>0.33818830192637134</v>
      </c>
      <c r="ED20" s="70">
        <v>0.34951822145663991</v>
      </c>
      <c r="EE20" s="70">
        <v>0.3389590491224812</v>
      </c>
      <c r="EF20" s="70">
        <v>0.36248980961971899</v>
      </c>
      <c r="EG20" s="70">
        <v>0.3764733922690241</v>
      </c>
      <c r="EH20" s="71">
        <v>0.35743182142687163</v>
      </c>
      <c r="EI20" s="70">
        <v>0.37434075512500825</v>
      </c>
      <c r="EJ20" s="70">
        <v>0.35429554593257034</v>
      </c>
      <c r="EK20" s="70">
        <v>0.38596029173419771</v>
      </c>
      <c r="EL20" s="70">
        <v>0.40314277451074904</v>
      </c>
      <c r="EM20" s="71">
        <v>0.37953800373228425</v>
      </c>
      <c r="EN20" s="70">
        <v>0.40551055424763577</v>
      </c>
      <c r="EO20" s="70">
        <v>0.4077577871727302</v>
      </c>
      <c r="EP20" s="70">
        <v>0.41774977770210192</v>
      </c>
      <c r="EQ20" s="70">
        <v>0.4270052857320828</v>
      </c>
      <c r="ER20" s="71">
        <v>0.41482113111389002</v>
      </c>
      <c r="ES20" s="70">
        <v>0.42923368190102096</v>
      </c>
      <c r="ET20" s="70">
        <v>0.41728474685585293</v>
      </c>
      <c r="EU20" s="70">
        <v>0.43176307025768695</v>
      </c>
      <c r="EV20" s="70">
        <v>0.44054258655584222</v>
      </c>
      <c r="EW20" s="71">
        <v>0.42983493933633049</v>
      </c>
      <c r="EX20" s="70">
        <v>0.36734009300907222</v>
      </c>
      <c r="EY20" s="70">
        <v>0.36684283088235292</v>
      </c>
      <c r="EZ20" s="70">
        <v>0.38179716267519198</v>
      </c>
      <c r="FA20" s="70">
        <v>0.39188929451540389</v>
      </c>
      <c r="FB20" s="71">
        <v>0.37735839393262161</v>
      </c>
      <c r="FC20" s="70">
        <v>0.39639454031778193</v>
      </c>
      <c r="FD20" s="70">
        <v>0.39532004061709169</v>
      </c>
      <c r="FE20" s="70">
        <v>0.40801585027957205</v>
      </c>
      <c r="FF20" s="70">
        <v>0.41861761545836135</v>
      </c>
      <c r="FG20" s="71">
        <v>0.40454426817411576</v>
      </c>
      <c r="FH20" s="70">
        <v>0.42333808043828747</v>
      </c>
      <c r="FI20" s="70">
        <v>0.42586286494151099</v>
      </c>
      <c r="FJ20" s="70">
        <v>0.43938372136197051</v>
      </c>
      <c r="FK20" s="70">
        <v>0.45755574398767662</v>
      </c>
      <c r="FL20" s="71">
        <v>0.43431596164140823</v>
      </c>
      <c r="FM20" s="70" t="s">
        <v>2451</v>
      </c>
      <c r="FN20" s="70" t="s">
        <v>2451</v>
      </c>
      <c r="FO20" s="70" t="s">
        <v>2451</v>
      </c>
      <c r="FP20" s="70" t="s">
        <v>2451</v>
      </c>
      <c r="FQ20" s="71">
        <v>0.46758757389079625</v>
      </c>
      <c r="FR20" s="70" t="s">
        <v>2451</v>
      </c>
      <c r="FS20" s="70" t="s">
        <v>2451</v>
      </c>
      <c r="FT20" s="70" t="s">
        <v>2451</v>
      </c>
      <c r="FU20" s="70" t="s">
        <v>2451</v>
      </c>
      <c r="FV20" s="71" t="s">
        <v>2451</v>
      </c>
      <c r="FW20" s="70" t="s">
        <v>2451</v>
      </c>
      <c r="FX20" s="70" t="s">
        <v>2451</v>
      </c>
      <c r="FY20" s="70" t="s">
        <v>2451</v>
      </c>
      <c r="FZ20" s="70" t="s">
        <v>2451</v>
      </c>
      <c r="GA20" s="71" t="s">
        <v>2451</v>
      </c>
    </row>
    <row r="21" spans="1:183" ht="12.75" customHeight="1" outlineLevel="1">
      <c r="B21" s="1535"/>
      <c r="C21" s="43"/>
      <c r="D21" s="59"/>
      <c r="E21" s="59"/>
      <c r="F21" s="59"/>
      <c r="G21" s="59"/>
      <c r="H21" s="60"/>
      <c r="I21" s="61"/>
      <c r="J21" s="61"/>
      <c r="K21" s="61"/>
      <c r="L21" s="61"/>
      <c r="M21" s="62"/>
      <c r="N21" s="61"/>
      <c r="O21" s="61"/>
      <c r="P21" s="61"/>
      <c r="Q21" s="61"/>
      <c r="R21" s="62"/>
      <c r="S21" s="61"/>
      <c r="T21" s="61"/>
      <c r="U21" s="61"/>
      <c r="V21" s="61"/>
      <c r="W21" s="62"/>
      <c r="X21" s="61"/>
      <c r="Y21" s="61"/>
      <c r="Z21" s="61"/>
      <c r="AA21" s="61"/>
      <c r="AB21" s="62"/>
      <c r="AC21" s="61"/>
      <c r="AD21" s="61"/>
      <c r="AE21" s="61"/>
      <c r="AF21" s="61"/>
      <c r="AG21" s="62"/>
      <c r="AH21" s="61"/>
      <c r="AI21" s="61"/>
      <c r="AJ21" s="61"/>
      <c r="AK21" s="61"/>
      <c r="AL21" s="62"/>
      <c r="AM21" s="61"/>
      <c r="AN21" s="61"/>
      <c r="AO21" s="61"/>
      <c r="AP21" s="61"/>
      <c r="AQ21" s="62"/>
      <c r="AR21" s="61"/>
      <c r="AS21" s="61"/>
      <c r="AT21" s="61"/>
      <c r="AU21" s="61"/>
      <c r="AV21" s="62"/>
      <c r="AW21" s="61"/>
      <c r="AX21" s="61"/>
      <c r="AY21" s="61"/>
      <c r="AZ21" s="61"/>
      <c r="BA21" s="62"/>
      <c r="BB21" s="61"/>
      <c r="BC21" s="61"/>
      <c r="BD21" s="61"/>
      <c r="BE21" s="61"/>
      <c r="BF21" s="62"/>
      <c r="BG21" s="61"/>
      <c r="BH21" s="61"/>
      <c r="BI21" s="61"/>
      <c r="BJ21" s="61"/>
      <c r="BK21" s="62"/>
      <c r="BL21" s="61"/>
      <c r="BM21" s="61"/>
      <c r="BN21" s="61"/>
      <c r="BO21" s="61"/>
      <c r="BP21" s="62"/>
      <c r="BQ21" s="61"/>
      <c r="BR21" s="61"/>
      <c r="BS21" s="61"/>
      <c r="BT21" s="61"/>
      <c r="BU21" s="62"/>
      <c r="BV21" s="61"/>
      <c r="BW21" s="61"/>
      <c r="BX21" s="61"/>
      <c r="BY21" s="61"/>
      <c r="BZ21" s="62"/>
      <c r="CA21" s="61"/>
      <c r="CB21" s="61"/>
      <c r="CC21" s="61"/>
      <c r="CD21" s="61"/>
      <c r="CE21" s="62"/>
      <c r="CF21" s="61"/>
      <c r="CG21" s="61"/>
      <c r="CH21" s="61"/>
      <c r="CI21" s="61"/>
      <c r="CJ21" s="62"/>
      <c r="CK21" s="61"/>
      <c r="CL21" s="61"/>
      <c r="CM21" s="61"/>
      <c r="CN21" s="61"/>
      <c r="CO21" s="62"/>
      <c r="CP21" s="61"/>
      <c r="CQ21" s="61"/>
      <c r="CR21" s="61"/>
      <c r="CS21" s="61"/>
      <c r="CT21" s="62"/>
      <c r="CU21" s="61"/>
      <c r="CV21" s="61"/>
      <c r="CW21" s="61"/>
      <c r="CX21" s="61"/>
      <c r="CY21" s="62"/>
      <c r="CZ21" s="61"/>
      <c r="DA21" s="61"/>
      <c r="DB21" s="61"/>
      <c r="DC21" s="61"/>
      <c r="DD21" s="62"/>
      <c r="DE21" s="61"/>
      <c r="DF21" s="61"/>
      <c r="DG21" s="61"/>
      <c r="DH21" s="61"/>
      <c r="DI21" s="62"/>
      <c r="DJ21" s="61"/>
      <c r="DK21" s="61"/>
      <c r="DL21" s="61"/>
      <c r="DM21" s="61"/>
      <c r="DN21" s="62"/>
      <c r="DO21" s="61"/>
      <c r="DP21" s="61"/>
      <c r="DQ21" s="61"/>
      <c r="DR21" s="61"/>
      <c r="DS21" s="62"/>
      <c r="DT21" s="61"/>
      <c r="DU21" s="61"/>
      <c r="DV21" s="61"/>
      <c r="DW21" s="61"/>
      <c r="DX21" s="62"/>
      <c r="DY21" s="61"/>
      <c r="DZ21" s="61"/>
      <c r="EA21" s="61"/>
      <c r="EB21" s="61"/>
      <c r="EC21" s="62"/>
      <c r="ED21" s="61"/>
      <c r="EE21" s="61"/>
      <c r="EF21" s="61"/>
      <c r="EG21" s="61"/>
      <c r="EH21" s="62"/>
      <c r="EI21" s="61"/>
      <c r="EJ21" s="61"/>
      <c r="EK21" s="61"/>
      <c r="EL21" s="61"/>
      <c r="EM21" s="62"/>
      <c r="EN21" s="61"/>
      <c r="EO21" s="61"/>
      <c r="EP21" s="61"/>
      <c r="EQ21" s="61"/>
      <c r="ER21" s="62"/>
      <c r="ES21" s="61"/>
      <c r="ET21" s="61"/>
      <c r="EU21" s="61"/>
      <c r="EV21" s="61"/>
      <c r="EW21" s="62"/>
      <c r="EX21" s="61"/>
      <c r="EY21" s="61"/>
      <c r="EZ21" s="61"/>
      <c r="FA21" s="61"/>
      <c r="FB21" s="62"/>
      <c r="FC21" s="61"/>
      <c r="FD21" s="61"/>
      <c r="FE21" s="61"/>
      <c r="FF21" s="61"/>
      <c r="FG21" s="62"/>
      <c r="FH21" s="61"/>
      <c r="FI21" s="61"/>
      <c r="FJ21" s="61"/>
      <c r="FK21" s="61"/>
      <c r="FL21" s="62"/>
      <c r="FM21" s="61"/>
      <c r="FN21" s="61"/>
      <c r="FO21" s="61"/>
      <c r="FP21" s="61"/>
      <c r="FQ21" s="62"/>
      <c r="FR21" s="61"/>
      <c r="FS21" s="61"/>
      <c r="FT21" s="61"/>
      <c r="FU21" s="61"/>
      <c r="FV21" s="62"/>
      <c r="FW21" s="61"/>
      <c r="FX21" s="61"/>
      <c r="FY21" s="61"/>
      <c r="FZ21" s="61"/>
      <c r="GA21" s="62"/>
    </row>
    <row r="22" spans="1:183" s="1558" customFormat="1" ht="12.75" customHeight="1" outlineLevel="1">
      <c r="A22" s="1401" t="s">
        <v>327</v>
      </c>
      <c r="B22" s="1560" t="s">
        <v>68</v>
      </c>
      <c r="C22" s="1555"/>
      <c r="D22" s="1556"/>
      <c r="E22" s="1556"/>
      <c r="F22" s="1556"/>
      <c r="G22" s="1556"/>
      <c r="H22" s="1557"/>
      <c r="I22" s="1556"/>
      <c r="J22" s="1556"/>
      <c r="K22" s="1556"/>
      <c r="L22" s="1556"/>
      <c r="M22" s="1557"/>
      <c r="N22" s="1556"/>
      <c r="O22" s="1556"/>
      <c r="P22" s="1556"/>
      <c r="Q22" s="1556"/>
      <c r="R22" s="1557"/>
      <c r="S22" s="1556"/>
      <c r="T22" s="1556"/>
      <c r="U22" s="1556"/>
      <c r="V22" s="1556"/>
      <c r="W22" s="1557"/>
      <c r="X22" s="1556"/>
      <c r="Y22" s="1556"/>
      <c r="Z22" s="1556"/>
      <c r="AA22" s="1556"/>
      <c r="AB22" s="1557"/>
      <c r="AC22" s="1556"/>
      <c r="AD22" s="1556"/>
      <c r="AE22" s="1556"/>
      <c r="AF22" s="1556"/>
      <c r="AG22" s="1557"/>
      <c r="AH22" s="1556"/>
      <c r="AI22" s="1556"/>
      <c r="AJ22" s="1556"/>
      <c r="AK22" s="1556"/>
      <c r="AL22" s="1557"/>
      <c r="AM22" s="1556"/>
      <c r="AN22" s="1556"/>
      <c r="AO22" s="1556"/>
      <c r="AP22" s="1556"/>
      <c r="AQ22" s="1557"/>
      <c r="AR22" s="1556"/>
      <c r="AS22" s="1556"/>
      <c r="AT22" s="1556"/>
      <c r="AU22" s="1556"/>
      <c r="AV22" s="1557"/>
      <c r="AW22" s="1556"/>
      <c r="AX22" s="1556"/>
      <c r="AY22" s="1556"/>
      <c r="AZ22" s="1556"/>
      <c r="BA22" s="1557"/>
      <c r="BB22" s="1556"/>
      <c r="BC22" s="1556"/>
      <c r="BD22" s="1556"/>
      <c r="BE22" s="1556"/>
      <c r="BF22" s="1557"/>
      <c r="BG22" s="1556"/>
      <c r="BH22" s="1556"/>
      <c r="BI22" s="1556"/>
      <c r="BJ22" s="1556"/>
      <c r="BK22" s="1557"/>
      <c r="BL22" s="1556"/>
      <c r="BM22" s="1556"/>
      <c r="BN22" s="1556"/>
      <c r="BO22" s="1556"/>
      <c r="BP22" s="1557"/>
      <c r="BQ22" s="1556"/>
      <c r="BR22" s="1556"/>
      <c r="BS22" s="1556"/>
      <c r="BT22" s="1556"/>
      <c r="BU22" s="1557"/>
      <c r="BV22" s="1556"/>
      <c r="BW22" s="1556"/>
      <c r="BX22" s="1556"/>
      <c r="BY22" s="1556"/>
      <c r="BZ22" s="1557"/>
      <c r="CA22" s="1556"/>
      <c r="CB22" s="1556"/>
      <c r="CC22" s="1556"/>
      <c r="CD22" s="1556"/>
      <c r="CE22" s="1557"/>
      <c r="CF22" s="1556"/>
      <c r="CG22" s="1556"/>
      <c r="CH22" s="1556"/>
      <c r="CI22" s="1556"/>
      <c r="CJ22" s="1557"/>
      <c r="CK22" s="1556"/>
      <c r="CL22" s="1556"/>
      <c r="CM22" s="1556"/>
      <c r="CN22" s="1556"/>
      <c r="CO22" s="1557"/>
      <c r="CP22" s="1556"/>
      <c r="CQ22" s="1556"/>
      <c r="CR22" s="1556"/>
      <c r="CS22" s="1556"/>
      <c r="CT22" s="1557"/>
      <c r="CU22" s="1556"/>
      <c r="CV22" s="1556"/>
      <c r="CW22" s="1556"/>
      <c r="CX22" s="1556"/>
      <c r="CY22" s="1557"/>
      <c r="CZ22" s="1556"/>
      <c r="DA22" s="1556"/>
      <c r="DB22" s="1556"/>
      <c r="DC22" s="1556"/>
      <c r="DD22" s="1557"/>
      <c r="DE22" s="1556"/>
      <c r="DF22" s="1556"/>
      <c r="DG22" s="1556"/>
      <c r="DH22" s="1556"/>
      <c r="DI22" s="1557"/>
      <c r="DJ22" s="1556"/>
      <c r="DK22" s="1556"/>
      <c r="DL22" s="1556"/>
      <c r="DM22" s="1556"/>
      <c r="DN22" s="1557"/>
      <c r="DO22" s="1556"/>
      <c r="DP22" s="1556"/>
      <c r="DQ22" s="1556"/>
      <c r="DR22" s="1556"/>
      <c r="DS22" s="1557"/>
      <c r="DT22" s="1556"/>
      <c r="DU22" s="1556"/>
      <c r="DV22" s="1556"/>
      <c r="DW22" s="1556"/>
      <c r="DX22" s="1557"/>
      <c r="DY22" s="1556">
        <v>11133</v>
      </c>
      <c r="DZ22" s="1556">
        <v>13211</v>
      </c>
      <c r="EA22" s="1556">
        <v>10997</v>
      </c>
      <c r="EB22" s="1556">
        <v>12910</v>
      </c>
      <c r="EC22" s="1557">
        <v>48251</v>
      </c>
      <c r="ED22" s="1556">
        <v>11849</v>
      </c>
      <c r="EE22" s="1556">
        <v>15122</v>
      </c>
      <c r="EF22" s="1556">
        <v>13036</v>
      </c>
      <c r="EG22" s="1556">
        <v>14086</v>
      </c>
      <c r="EH22" s="1557">
        <v>54093</v>
      </c>
      <c r="EI22" s="1556">
        <v>13314</v>
      </c>
      <c r="EJ22" s="1556">
        <v>17465</v>
      </c>
      <c r="EK22" s="1556">
        <v>14520</v>
      </c>
      <c r="EL22" s="1556">
        <v>14356</v>
      </c>
      <c r="EM22" s="1557">
        <v>59655</v>
      </c>
      <c r="EN22" s="1556">
        <v>13332</v>
      </c>
      <c r="EO22" s="1556">
        <v>14237</v>
      </c>
      <c r="EP22" s="1556">
        <v>13260</v>
      </c>
      <c r="EQ22" s="1556">
        <v>13905</v>
      </c>
      <c r="ER22" s="1557">
        <v>54732.273000000001</v>
      </c>
      <c r="ES22" s="1556">
        <v>13666</v>
      </c>
      <c r="ET22" s="1556">
        <v>16891</v>
      </c>
      <c r="EU22" s="1556">
        <v>15580</v>
      </c>
      <c r="EV22" s="1556">
        <v>15895</v>
      </c>
      <c r="EW22" s="1557">
        <v>62032</v>
      </c>
      <c r="EX22" s="1556">
        <v>13176</v>
      </c>
      <c r="EY22" s="1556">
        <v>14651</v>
      </c>
      <c r="EZ22" s="1556">
        <v>13371</v>
      </c>
      <c r="FA22" s="1556">
        <v>12678.424999999999</v>
      </c>
      <c r="FB22" s="1557">
        <v>53883.957000000002</v>
      </c>
      <c r="FC22" s="1556">
        <v>13450.594999999999</v>
      </c>
      <c r="FD22" s="1556">
        <v>15179.8125</v>
      </c>
      <c r="FE22" s="1556">
        <v>14019.066000000001</v>
      </c>
      <c r="FF22" s="1556">
        <v>13377.4</v>
      </c>
      <c r="FG22" s="1557">
        <v>55902.824000000001</v>
      </c>
      <c r="FH22" s="1556">
        <v>14580.5</v>
      </c>
      <c r="FI22" s="1556">
        <v>16374.75</v>
      </c>
      <c r="FJ22" s="1556">
        <v>15151.333000000001</v>
      </c>
      <c r="FK22" s="1556">
        <v>14741.333000000001</v>
      </c>
      <c r="FL22" s="1557">
        <v>58441.285000000003</v>
      </c>
      <c r="FM22" s="1556" t="s">
        <v>2451</v>
      </c>
      <c r="FN22" s="1556" t="s">
        <v>2451</v>
      </c>
      <c r="FO22" s="1556" t="s">
        <v>2451</v>
      </c>
      <c r="FP22" s="1556" t="s">
        <v>2451</v>
      </c>
      <c r="FQ22" s="1557">
        <v>60609</v>
      </c>
      <c r="FR22" s="1556" t="s">
        <v>2451</v>
      </c>
      <c r="FS22" s="1556" t="s">
        <v>2451</v>
      </c>
      <c r="FT22" s="1556" t="s">
        <v>2451</v>
      </c>
      <c r="FU22" s="1556" t="s">
        <v>2451</v>
      </c>
      <c r="FV22" s="1557" t="s">
        <v>2451</v>
      </c>
      <c r="FW22" s="1556" t="s">
        <v>2451</v>
      </c>
      <c r="FX22" s="1556" t="s">
        <v>2451</v>
      </c>
      <c r="FY22" s="1556" t="s">
        <v>2451</v>
      </c>
      <c r="FZ22" s="1556" t="s">
        <v>2451</v>
      </c>
      <c r="GA22" s="1557" t="s">
        <v>2451</v>
      </c>
    </row>
    <row r="23" spans="1:183" s="72" customFormat="1" ht="12.75" customHeight="1" outlineLevel="1">
      <c r="A23" s="68" t="s">
        <v>328</v>
      </c>
      <c r="B23" s="753" t="s">
        <v>34</v>
      </c>
      <c r="C23" s="69"/>
      <c r="D23" s="70"/>
      <c r="E23" s="70"/>
      <c r="F23" s="70"/>
      <c r="G23" s="70"/>
      <c r="H23" s="71"/>
      <c r="I23" s="70"/>
      <c r="J23" s="70"/>
      <c r="K23" s="70"/>
      <c r="L23" s="70"/>
      <c r="M23" s="71"/>
      <c r="N23" s="70"/>
      <c r="O23" s="70"/>
      <c r="P23" s="70"/>
      <c r="Q23" s="70"/>
      <c r="R23" s="71"/>
      <c r="S23" s="70"/>
      <c r="T23" s="70"/>
      <c r="U23" s="70"/>
      <c r="V23" s="70"/>
      <c r="W23" s="71"/>
      <c r="X23" s="70"/>
      <c r="Y23" s="70"/>
      <c r="Z23" s="70"/>
      <c r="AA23" s="70"/>
      <c r="AB23" s="71"/>
      <c r="AC23" s="70"/>
      <c r="AD23" s="70"/>
      <c r="AE23" s="70"/>
      <c r="AF23" s="70"/>
      <c r="AG23" s="71"/>
      <c r="AH23" s="70"/>
      <c r="AI23" s="70"/>
      <c r="AJ23" s="70"/>
      <c r="AK23" s="70"/>
      <c r="AL23" s="71"/>
      <c r="AM23" s="70"/>
      <c r="AN23" s="70"/>
      <c r="AO23" s="70"/>
      <c r="AP23" s="70"/>
      <c r="AQ23" s="71"/>
      <c r="AR23" s="70"/>
      <c r="AS23" s="70"/>
      <c r="AT23" s="70"/>
      <c r="AU23" s="70"/>
      <c r="AV23" s="71"/>
      <c r="AW23" s="70"/>
      <c r="AX23" s="70"/>
      <c r="AY23" s="70"/>
      <c r="AZ23" s="70"/>
      <c r="BA23" s="71"/>
      <c r="BB23" s="70"/>
      <c r="BC23" s="70"/>
      <c r="BD23" s="70"/>
      <c r="BE23" s="70"/>
      <c r="BF23" s="71"/>
      <c r="BG23" s="70"/>
      <c r="BH23" s="70"/>
      <c r="BI23" s="70"/>
      <c r="BJ23" s="70"/>
      <c r="BK23" s="71"/>
      <c r="BL23" s="70"/>
      <c r="BM23" s="70"/>
      <c r="BN23" s="70"/>
      <c r="BO23" s="70"/>
      <c r="BP23" s="71"/>
      <c r="BQ23" s="70"/>
      <c r="BR23" s="70"/>
      <c r="BS23" s="70"/>
      <c r="BT23" s="70"/>
      <c r="BU23" s="71"/>
      <c r="BV23" s="70"/>
      <c r="BW23" s="70"/>
      <c r="BX23" s="70"/>
      <c r="BY23" s="70"/>
      <c r="BZ23" s="71"/>
      <c r="CA23" s="70"/>
      <c r="CB23" s="70"/>
      <c r="CC23" s="70"/>
      <c r="CD23" s="70"/>
      <c r="CE23" s="71"/>
      <c r="CF23" s="70"/>
      <c r="CG23" s="70"/>
      <c r="CH23" s="70"/>
      <c r="CI23" s="70"/>
      <c r="CJ23" s="71"/>
      <c r="CK23" s="70"/>
      <c r="CL23" s="70"/>
      <c r="CM23" s="70"/>
      <c r="CN23" s="70"/>
      <c r="CO23" s="71"/>
      <c r="CP23" s="70"/>
      <c r="CQ23" s="70"/>
      <c r="CR23" s="70"/>
      <c r="CS23" s="70"/>
      <c r="CT23" s="71"/>
      <c r="CU23" s="70"/>
      <c r="CV23" s="70"/>
      <c r="CW23" s="70"/>
      <c r="CX23" s="70"/>
      <c r="CY23" s="71"/>
      <c r="CZ23" s="70"/>
      <c r="DA23" s="70"/>
      <c r="DB23" s="70"/>
      <c r="DC23" s="70"/>
      <c r="DD23" s="71"/>
      <c r="DE23" s="70"/>
      <c r="DF23" s="70"/>
      <c r="DG23" s="70"/>
      <c r="DH23" s="70"/>
      <c r="DI23" s="71"/>
      <c r="DJ23" s="70"/>
      <c r="DK23" s="70"/>
      <c r="DL23" s="70"/>
      <c r="DM23" s="70"/>
      <c r="DN23" s="71"/>
      <c r="DO23" s="70"/>
      <c r="DP23" s="70"/>
      <c r="DQ23" s="70"/>
      <c r="DR23" s="70"/>
      <c r="DS23" s="71"/>
      <c r="DT23" s="70"/>
      <c r="DU23" s="70"/>
      <c r="DV23" s="70"/>
      <c r="DW23" s="70"/>
      <c r="DX23" s="71"/>
      <c r="DY23" s="70" t="s">
        <v>2451</v>
      </c>
      <c r="DZ23" s="70" t="s">
        <v>2451</v>
      </c>
      <c r="EA23" s="70" t="s">
        <v>2451</v>
      </c>
      <c r="EB23" s="70" t="s">
        <v>2451</v>
      </c>
      <c r="EC23" s="71" t="s">
        <v>2451</v>
      </c>
      <c r="ED23" s="70">
        <v>6.4313302793496785E-2</v>
      </c>
      <c r="EE23" s="70">
        <v>0.14465218378623868</v>
      </c>
      <c r="EF23" s="70">
        <v>0.18541420387378382</v>
      </c>
      <c r="EG23" s="70">
        <v>9.1092176607281194E-2</v>
      </c>
      <c r="EH23" s="71">
        <v>0.12107521087645856</v>
      </c>
      <c r="EI23" s="70">
        <v>0.12363912566461299</v>
      </c>
      <c r="EJ23" s="70">
        <v>0.15493982277476515</v>
      </c>
      <c r="EK23" s="70">
        <v>0.11383860079779073</v>
      </c>
      <c r="EL23" s="70">
        <v>1.9167968195371365E-2</v>
      </c>
      <c r="EM23" s="71">
        <v>0.10282291608895799</v>
      </c>
      <c r="EN23" s="70">
        <v>1.3519603424965165E-3</v>
      </c>
      <c r="EO23" s="70">
        <v>-0.18482679645004296</v>
      </c>
      <c r="EP23" s="70">
        <v>-8.6776859504132275E-2</v>
      </c>
      <c r="EQ23" s="70">
        <v>-3.1415436054611279E-2</v>
      </c>
      <c r="ER23" s="71">
        <v>-8.2519939653004748E-2</v>
      </c>
      <c r="ES23" s="70">
        <v>2.5052505250525048E-2</v>
      </c>
      <c r="ET23" s="70">
        <v>0.1864156774601391</v>
      </c>
      <c r="EU23" s="70">
        <v>0.17496229260935148</v>
      </c>
      <c r="EV23" s="70">
        <v>0.14311398777418205</v>
      </c>
      <c r="EW23" s="71">
        <v>0.1333715301756242</v>
      </c>
      <c r="EX23" s="70">
        <v>-3.585540758085759E-2</v>
      </c>
      <c r="EY23" s="70">
        <v>-0.13261500207210941</v>
      </c>
      <c r="EZ23" s="70">
        <v>-0.14178433889602049</v>
      </c>
      <c r="FA23" s="70">
        <v>-0.20236395092796478</v>
      </c>
      <c r="FB23" s="71">
        <v>-0.13135225367552228</v>
      </c>
      <c r="FC23" s="70">
        <v>2.0840543412264712E-2</v>
      </c>
      <c r="FD23" s="70">
        <v>3.6093952631219617E-2</v>
      </c>
      <c r="FE23" s="70">
        <v>4.8468027821404691E-2</v>
      </c>
      <c r="FF23" s="70">
        <v>5.5131059260121074E-2</v>
      </c>
      <c r="FG23" s="71">
        <v>3.7466940299132112E-2</v>
      </c>
      <c r="FH23" s="70">
        <v>8.4004090525363395E-2</v>
      </c>
      <c r="FI23" s="70">
        <v>7.8718857693400368E-2</v>
      </c>
      <c r="FJ23" s="70">
        <v>8.0766222229069928E-2</v>
      </c>
      <c r="FK23" s="70">
        <v>0.10195800379744946</v>
      </c>
      <c r="FL23" s="71">
        <v>4.540845736165311E-2</v>
      </c>
      <c r="FM23" s="70" t="s">
        <v>2451</v>
      </c>
      <c r="FN23" s="70" t="s">
        <v>2451</v>
      </c>
      <c r="FO23" s="70" t="s">
        <v>2451</v>
      </c>
      <c r="FP23" s="70" t="s">
        <v>2451</v>
      </c>
      <c r="FQ23" s="71">
        <v>3.7092185772438002E-2</v>
      </c>
      <c r="FR23" s="70" t="s">
        <v>2451</v>
      </c>
      <c r="FS23" s="70" t="s">
        <v>2451</v>
      </c>
      <c r="FT23" s="70" t="s">
        <v>2451</v>
      </c>
      <c r="FU23" s="70" t="s">
        <v>2451</v>
      </c>
      <c r="FV23" s="71" t="s">
        <v>2451</v>
      </c>
      <c r="FW23" s="70" t="s">
        <v>2451</v>
      </c>
      <c r="FX23" s="70" t="s">
        <v>2451</v>
      </c>
      <c r="FY23" s="70" t="s">
        <v>2451</v>
      </c>
      <c r="FZ23" s="70" t="s">
        <v>2451</v>
      </c>
      <c r="GA23" s="71" t="s">
        <v>2451</v>
      </c>
    </row>
    <row r="24" spans="1:183" s="72" customFormat="1" ht="12.75" customHeight="1" outlineLevel="1">
      <c r="A24" s="68" t="s">
        <v>329</v>
      </c>
      <c r="B24" s="753" t="s">
        <v>36</v>
      </c>
      <c r="C24" s="69"/>
      <c r="D24" s="70"/>
      <c r="E24" s="70"/>
      <c r="F24" s="70"/>
      <c r="G24" s="70"/>
      <c r="H24" s="73"/>
      <c r="I24" s="70"/>
      <c r="J24" s="70"/>
      <c r="K24" s="70"/>
      <c r="L24" s="70"/>
      <c r="M24" s="73"/>
      <c r="N24" s="70"/>
      <c r="O24" s="70"/>
      <c r="P24" s="70"/>
      <c r="Q24" s="70"/>
      <c r="R24" s="73"/>
      <c r="S24" s="70"/>
      <c r="T24" s="70"/>
      <c r="U24" s="70"/>
      <c r="V24" s="70"/>
      <c r="W24" s="73"/>
      <c r="X24" s="70"/>
      <c r="Y24" s="70"/>
      <c r="Z24" s="70"/>
      <c r="AA24" s="70"/>
      <c r="AB24" s="73"/>
      <c r="AC24" s="70"/>
      <c r="AD24" s="70"/>
      <c r="AE24" s="70"/>
      <c r="AF24" s="70"/>
      <c r="AG24" s="73"/>
      <c r="AH24" s="70"/>
      <c r="AI24" s="70"/>
      <c r="AJ24" s="70"/>
      <c r="AK24" s="70"/>
      <c r="AL24" s="73"/>
      <c r="AM24" s="70"/>
      <c r="AN24" s="70"/>
      <c r="AO24" s="70"/>
      <c r="AP24" s="70"/>
      <c r="AQ24" s="73"/>
      <c r="AR24" s="70"/>
      <c r="AS24" s="70"/>
      <c r="AT24" s="70"/>
      <c r="AU24" s="70"/>
      <c r="AV24" s="73"/>
      <c r="AW24" s="70"/>
      <c r="AX24" s="70"/>
      <c r="AY24" s="70"/>
      <c r="AZ24" s="70"/>
      <c r="BA24" s="73"/>
      <c r="BB24" s="70"/>
      <c r="BC24" s="70"/>
      <c r="BD24" s="70"/>
      <c r="BE24" s="70"/>
      <c r="BF24" s="73"/>
      <c r="BG24" s="70"/>
      <c r="BH24" s="70"/>
      <c r="BI24" s="70"/>
      <c r="BJ24" s="70"/>
      <c r="BK24" s="73"/>
      <c r="BL24" s="70"/>
      <c r="BM24" s="70"/>
      <c r="BN24" s="70"/>
      <c r="BO24" s="70"/>
      <c r="BP24" s="73"/>
      <c r="BQ24" s="70"/>
      <c r="BR24" s="70"/>
      <c r="BS24" s="70"/>
      <c r="BT24" s="70"/>
      <c r="BU24" s="73"/>
      <c r="BV24" s="70"/>
      <c r="BW24" s="70"/>
      <c r="BX24" s="70"/>
      <c r="BY24" s="70"/>
      <c r="BZ24" s="73"/>
      <c r="CA24" s="70"/>
      <c r="CB24" s="70"/>
      <c r="CC24" s="70"/>
      <c r="CD24" s="70"/>
      <c r="CE24" s="73"/>
      <c r="CF24" s="70"/>
      <c r="CG24" s="70"/>
      <c r="CH24" s="70"/>
      <c r="CI24" s="70"/>
      <c r="CJ24" s="73"/>
      <c r="CK24" s="70"/>
      <c r="CL24" s="70"/>
      <c r="CM24" s="70"/>
      <c r="CN24" s="70"/>
      <c r="CO24" s="73"/>
      <c r="CP24" s="70"/>
      <c r="CQ24" s="70"/>
      <c r="CR24" s="70"/>
      <c r="CS24" s="70"/>
      <c r="CT24" s="73"/>
      <c r="CU24" s="70"/>
      <c r="CV24" s="70"/>
      <c r="CW24" s="70"/>
      <c r="CX24" s="70"/>
      <c r="CY24" s="73"/>
      <c r="CZ24" s="70"/>
      <c r="DA24" s="70"/>
      <c r="DB24" s="70"/>
      <c r="DC24" s="70"/>
      <c r="DD24" s="73"/>
      <c r="DE24" s="70"/>
      <c r="DF24" s="70"/>
      <c r="DG24" s="70"/>
      <c r="DH24" s="70"/>
      <c r="DI24" s="73"/>
      <c r="DJ24" s="70"/>
      <c r="DK24" s="70"/>
      <c r="DL24" s="70"/>
      <c r="DM24" s="70"/>
      <c r="DN24" s="73"/>
      <c r="DO24" s="70"/>
      <c r="DP24" s="70"/>
      <c r="DQ24" s="70"/>
      <c r="DR24" s="70"/>
      <c r="DS24" s="73"/>
      <c r="DT24" s="70"/>
      <c r="DU24" s="70"/>
      <c r="DV24" s="70"/>
      <c r="DW24" s="70"/>
      <c r="DX24" s="73"/>
      <c r="DY24" s="70" t="s">
        <v>2451</v>
      </c>
      <c r="DZ24" s="70">
        <v>0.18665229497889158</v>
      </c>
      <c r="EA24" s="70">
        <v>-0.16758761638028918</v>
      </c>
      <c r="EB24" s="70">
        <v>0.17395653360007279</v>
      </c>
      <c r="EC24" s="73"/>
      <c r="ED24" s="70">
        <v>-8.21843532145623E-2</v>
      </c>
      <c r="EE24" s="70">
        <v>0.27622584184319354</v>
      </c>
      <c r="EF24" s="70">
        <v>-0.13794471630736671</v>
      </c>
      <c r="EG24" s="70">
        <v>8.0546179809757534E-2</v>
      </c>
      <c r="EH24" s="73"/>
      <c r="EI24" s="70">
        <v>-5.4806190543802313E-2</v>
      </c>
      <c r="EJ24" s="70">
        <v>0.31177707676130395</v>
      </c>
      <c r="EK24" s="70">
        <v>-0.16862296020612655</v>
      </c>
      <c r="EL24" s="70">
        <v>-1.1294765840220378E-2</v>
      </c>
      <c r="EM24" s="73"/>
      <c r="EN24" s="70">
        <v>-7.1329061019782647E-2</v>
      </c>
      <c r="EO24" s="70">
        <v>6.7881788178817848E-2</v>
      </c>
      <c r="EP24" s="70">
        <v>-6.8624007866825876E-2</v>
      </c>
      <c r="EQ24" s="70">
        <v>4.8642533936651633E-2</v>
      </c>
      <c r="ER24" s="73"/>
      <c r="ES24" s="70">
        <v>-1.7188061848256053E-2</v>
      </c>
      <c r="ET24" s="70">
        <v>0.23598712132299138</v>
      </c>
      <c r="EU24" s="70">
        <v>-7.7615298087739037E-2</v>
      </c>
      <c r="EV24" s="70">
        <v>2.0218228498074531E-2</v>
      </c>
      <c r="EW24" s="73"/>
      <c r="EX24" s="70">
        <v>-0.17106008178672538</v>
      </c>
      <c r="EY24" s="70">
        <v>0.11194596235579835</v>
      </c>
      <c r="EZ24" s="70">
        <v>-8.7366050098969361E-2</v>
      </c>
      <c r="FA24" s="70">
        <v>-5.17967990427044E-2</v>
      </c>
      <c r="FB24" s="73"/>
      <c r="FC24" s="70">
        <v>6.0904252697002947E-2</v>
      </c>
      <c r="FD24" s="70">
        <v>0.12856066962093493</v>
      </c>
      <c r="FE24" s="70">
        <v>-7.6466458330759934E-2</v>
      </c>
      <c r="FF24" s="70">
        <v>-4.5770952216074967E-2</v>
      </c>
      <c r="FG24" s="73"/>
      <c r="FH24" s="70">
        <v>8.9935263952636513E-2</v>
      </c>
      <c r="FI24" s="70">
        <v>0.12305819416343744</v>
      </c>
      <c r="FJ24" s="70">
        <v>-7.4713629215713229E-2</v>
      </c>
      <c r="FK24" s="70">
        <v>-2.7060325319230971E-2</v>
      </c>
      <c r="FL24" s="73"/>
      <c r="FM24" s="70" t="s">
        <v>2451</v>
      </c>
      <c r="FN24" s="70" t="s">
        <v>2451</v>
      </c>
      <c r="FO24" s="70" t="s">
        <v>2451</v>
      </c>
      <c r="FP24" s="70" t="s">
        <v>2451</v>
      </c>
      <c r="FQ24" s="73"/>
      <c r="FR24" s="70" t="s">
        <v>2451</v>
      </c>
      <c r="FS24" s="70" t="s">
        <v>2451</v>
      </c>
      <c r="FT24" s="70" t="s">
        <v>2451</v>
      </c>
      <c r="FU24" s="70" t="s">
        <v>2451</v>
      </c>
      <c r="FV24" s="73"/>
      <c r="FW24" s="70" t="s">
        <v>2451</v>
      </c>
      <c r="FX24" s="70" t="s">
        <v>2451</v>
      </c>
      <c r="FY24" s="70" t="s">
        <v>2451</v>
      </c>
      <c r="FZ24" s="70" t="s">
        <v>2451</v>
      </c>
      <c r="GA24" s="73"/>
    </row>
    <row r="25" spans="1:183" s="92" customFormat="1" ht="12.75" customHeight="1" outlineLevel="1">
      <c r="A25" s="81"/>
      <c r="B25" s="753" t="s">
        <v>66</v>
      </c>
      <c r="C25" s="69"/>
      <c r="D25" s="70"/>
      <c r="E25" s="70"/>
      <c r="F25" s="70"/>
      <c r="G25" s="70"/>
      <c r="H25" s="71"/>
      <c r="I25" s="70"/>
      <c r="J25" s="70"/>
      <c r="K25" s="70"/>
      <c r="L25" s="70"/>
      <c r="M25" s="71"/>
      <c r="N25" s="70"/>
      <c r="O25" s="70"/>
      <c r="P25" s="70"/>
      <c r="Q25" s="70"/>
      <c r="R25" s="71"/>
      <c r="S25" s="70"/>
      <c r="T25" s="70"/>
      <c r="U25" s="70"/>
      <c r="V25" s="70"/>
      <c r="W25" s="71"/>
      <c r="X25" s="70"/>
      <c r="Y25" s="70"/>
      <c r="Z25" s="70"/>
      <c r="AA25" s="70"/>
      <c r="AB25" s="71"/>
      <c r="AC25" s="70"/>
      <c r="AD25" s="70"/>
      <c r="AE25" s="70"/>
      <c r="AF25" s="70"/>
      <c r="AG25" s="71"/>
      <c r="AH25" s="70"/>
      <c r="AI25" s="70"/>
      <c r="AJ25" s="70"/>
      <c r="AK25" s="70"/>
      <c r="AL25" s="71"/>
      <c r="AM25" s="70"/>
      <c r="AN25" s="70"/>
      <c r="AO25" s="70"/>
      <c r="AP25" s="70"/>
      <c r="AQ25" s="71"/>
      <c r="AR25" s="70"/>
      <c r="AS25" s="70"/>
      <c r="AT25" s="70"/>
      <c r="AU25" s="70"/>
      <c r="AV25" s="71"/>
      <c r="AW25" s="70"/>
      <c r="AX25" s="70"/>
      <c r="AY25" s="70"/>
      <c r="AZ25" s="70"/>
      <c r="BA25" s="71"/>
      <c r="BB25" s="70"/>
      <c r="BC25" s="70"/>
      <c r="BD25" s="70"/>
      <c r="BE25" s="70"/>
      <c r="BF25" s="71"/>
      <c r="BG25" s="70"/>
      <c r="BH25" s="70"/>
      <c r="BI25" s="70"/>
      <c r="BJ25" s="70"/>
      <c r="BK25" s="71"/>
      <c r="BL25" s="70"/>
      <c r="BM25" s="70"/>
      <c r="BN25" s="70"/>
      <c r="BO25" s="70"/>
      <c r="BP25" s="71"/>
      <c r="BQ25" s="70"/>
      <c r="BR25" s="70"/>
      <c r="BS25" s="70"/>
      <c r="BT25" s="70"/>
      <c r="BU25" s="71"/>
      <c r="BV25" s="70"/>
      <c r="BW25" s="70"/>
      <c r="BX25" s="70"/>
      <c r="BY25" s="70"/>
      <c r="BZ25" s="71"/>
      <c r="CA25" s="70"/>
      <c r="CB25" s="70"/>
      <c r="CC25" s="70"/>
      <c r="CD25" s="70"/>
      <c r="CE25" s="71"/>
      <c r="CF25" s="70"/>
      <c r="CG25" s="70"/>
      <c r="CH25" s="70"/>
      <c r="CI25" s="70"/>
      <c r="CJ25" s="71"/>
      <c r="CK25" s="70"/>
      <c r="CL25" s="70"/>
      <c r="CM25" s="70"/>
      <c r="CN25" s="70"/>
      <c r="CO25" s="71"/>
      <c r="CP25" s="70"/>
      <c r="CQ25" s="70"/>
      <c r="CR25" s="70"/>
      <c r="CS25" s="70"/>
      <c r="CT25" s="71"/>
      <c r="CU25" s="70"/>
      <c r="CV25" s="70"/>
      <c r="CW25" s="70"/>
      <c r="CX25" s="70"/>
      <c r="CY25" s="71"/>
      <c r="CZ25" s="70"/>
      <c r="DA25" s="70"/>
      <c r="DB25" s="70"/>
      <c r="DC25" s="70"/>
      <c r="DD25" s="71"/>
      <c r="DE25" s="70"/>
      <c r="DF25" s="70"/>
      <c r="DG25" s="70"/>
      <c r="DH25" s="70"/>
      <c r="DI25" s="71"/>
      <c r="DJ25" s="70"/>
      <c r="DK25" s="70"/>
      <c r="DL25" s="70"/>
      <c r="DM25" s="70"/>
      <c r="DN25" s="71"/>
      <c r="DO25" s="70"/>
      <c r="DP25" s="70"/>
      <c r="DQ25" s="70"/>
      <c r="DR25" s="70"/>
      <c r="DS25" s="71"/>
      <c r="DT25" s="70"/>
      <c r="DU25" s="70"/>
      <c r="DV25" s="70"/>
      <c r="DW25" s="70"/>
      <c r="DX25" s="71"/>
      <c r="DY25" s="70">
        <v>0.33680229919830584</v>
      </c>
      <c r="DZ25" s="70">
        <v>0.35796347477374951</v>
      </c>
      <c r="EA25" s="70">
        <v>0.31401159304417348</v>
      </c>
      <c r="EB25" s="70">
        <v>0.33944206347119604</v>
      </c>
      <c r="EC25" s="71">
        <v>0.33738419046953116</v>
      </c>
      <c r="ED25" s="70">
        <v>0.31891586370242775</v>
      </c>
      <c r="EE25" s="70">
        <v>0.35105395115609622</v>
      </c>
      <c r="EF25" s="70">
        <v>0.31256893492543042</v>
      </c>
      <c r="EG25" s="70">
        <v>0.30520887502166755</v>
      </c>
      <c r="EH25" s="71">
        <v>0.3218135738422731</v>
      </c>
      <c r="EI25" s="70">
        <v>0.29379702981221173</v>
      </c>
      <c r="EJ25" s="70">
        <v>0.33763145685122176</v>
      </c>
      <c r="EK25" s="70">
        <v>0.29416531604538088</v>
      </c>
      <c r="EL25" s="70">
        <v>0.27679552684854913</v>
      </c>
      <c r="EM25" s="71">
        <v>0.30087759116356483</v>
      </c>
      <c r="EN25" s="70">
        <v>0.26599098200391047</v>
      </c>
      <c r="EO25" s="70">
        <v>0.26991108499061556</v>
      </c>
      <c r="EP25" s="70">
        <v>0.25086554287984564</v>
      </c>
      <c r="EQ25" s="70">
        <v>0.24746836569435299</v>
      </c>
      <c r="ER25" s="71">
        <v>0.25827465257296556</v>
      </c>
      <c r="ES25" s="70">
        <v>0.24180335120406249</v>
      </c>
      <c r="ET25" s="70">
        <v>0.27234762979683974</v>
      </c>
      <c r="EU25" s="70">
        <v>0.25186717966956579</v>
      </c>
      <c r="EV25" s="70">
        <v>0.24556985492916403</v>
      </c>
      <c r="EW25" s="71">
        <v>0.25306582028540892</v>
      </c>
      <c r="EX25" s="70">
        <v>0.20089959594419457</v>
      </c>
      <c r="EY25" s="70">
        <v>0.21040613511029413</v>
      </c>
      <c r="EZ25" s="70">
        <v>0.19083435617846031</v>
      </c>
      <c r="FA25" s="70">
        <v>0.17165874767510927</v>
      </c>
      <c r="FB25" s="71">
        <v>0.19298637375578057</v>
      </c>
      <c r="FC25" s="70">
        <v>0.1814058099080684</v>
      </c>
      <c r="FD25" s="70">
        <v>0.19283162447215979</v>
      </c>
      <c r="FE25" s="70">
        <v>0.17657267365904933</v>
      </c>
      <c r="FF25" s="70">
        <v>0.16025073932714912</v>
      </c>
      <c r="FG25" s="71">
        <v>0.17632304282241398</v>
      </c>
      <c r="FH25" s="70">
        <v>0.1725060159114187</v>
      </c>
      <c r="FI25" s="70">
        <v>0.18305163892351428</v>
      </c>
      <c r="FJ25" s="70">
        <v>0.1669320229973528</v>
      </c>
      <c r="FK25" s="70">
        <v>0.15464348510977699</v>
      </c>
      <c r="FL25" s="71">
        <v>0.16105506107294651</v>
      </c>
      <c r="FM25" s="70" t="s">
        <v>2451</v>
      </c>
      <c r="FN25" s="70" t="s">
        <v>2451</v>
      </c>
      <c r="FO25" s="70" t="s">
        <v>2451</v>
      </c>
      <c r="FP25" s="70" t="s">
        <v>2451</v>
      </c>
      <c r="FQ25" s="71">
        <v>0.14448060558420436</v>
      </c>
      <c r="FR25" s="70" t="s">
        <v>2451</v>
      </c>
      <c r="FS25" s="70" t="s">
        <v>2451</v>
      </c>
      <c r="FT25" s="70" t="s">
        <v>2451</v>
      </c>
      <c r="FU25" s="70" t="s">
        <v>2451</v>
      </c>
      <c r="FV25" s="71" t="s">
        <v>2451</v>
      </c>
      <c r="FW25" s="70" t="s">
        <v>2451</v>
      </c>
      <c r="FX25" s="70" t="s">
        <v>2451</v>
      </c>
      <c r="FY25" s="70" t="s">
        <v>2451</v>
      </c>
      <c r="FZ25" s="70" t="s">
        <v>2451</v>
      </c>
      <c r="GA25" s="71" t="s">
        <v>2451</v>
      </c>
    </row>
    <row r="26" spans="1:183" ht="12.75" customHeight="1" outlineLevel="1">
      <c r="B26" s="1535"/>
      <c r="C26" s="43"/>
      <c r="D26" s="59"/>
      <c r="E26" s="59"/>
      <c r="F26" s="59"/>
      <c r="G26" s="59"/>
      <c r="H26" s="60"/>
      <c r="I26" s="61"/>
      <c r="J26" s="61"/>
      <c r="K26" s="61"/>
      <c r="L26" s="61"/>
      <c r="M26" s="62"/>
      <c r="N26" s="61"/>
      <c r="O26" s="61"/>
      <c r="P26" s="61"/>
      <c r="Q26" s="61"/>
      <c r="R26" s="62"/>
      <c r="S26" s="61"/>
      <c r="T26" s="61"/>
      <c r="U26" s="61"/>
      <c r="V26" s="61"/>
      <c r="W26" s="62"/>
      <c r="X26" s="61"/>
      <c r="Y26" s="61"/>
      <c r="Z26" s="61"/>
      <c r="AA26" s="61"/>
      <c r="AB26" s="62"/>
      <c r="AC26" s="61"/>
      <c r="AD26" s="61"/>
      <c r="AE26" s="61"/>
      <c r="AF26" s="61"/>
      <c r="AG26" s="62"/>
      <c r="AH26" s="61"/>
      <c r="AI26" s="61"/>
      <c r="AJ26" s="61"/>
      <c r="AK26" s="61"/>
      <c r="AL26" s="62"/>
      <c r="AM26" s="61"/>
      <c r="AN26" s="61"/>
      <c r="AO26" s="61"/>
      <c r="AP26" s="61"/>
      <c r="AQ26" s="62"/>
      <c r="AR26" s="61"/>
      <c r="AS26" s="61"/>
      <c r="AT26" s="61"/>
      <c r="AU26" s="61"/>
      <c r="AV26" s="62"/>
      <c r="AW26" s="61"/>
      <c r="AX26" s="61"/>
      <c r="AY26" s="61"/>
      <c r="AZ26" s="61"/>
      <c r="BA26" s="62"/>
      <c r="BB26" s="61"/>
      <c r="BC26" s="61"/>
      <c r="BD26" s="61"/>
      <c r="BE26" s="61"/>
      <c r="BF26" s="62"/>
      <c r="BG26" s="61"/>
      <c r="BH26" s="61"/>
      <c r="BI26" s="61"/>
      <c r="BJ26" s="61"/>
      <c r="BK26" s="62"/>
      <c r="BL26" s="61"/>
      <c r="BM26" s="61"/>
      <c r="BN26" s="61"/>
      <c r="BO26" s="61"/>
      <c r="BP26" s="62"/>
      <c r="BQ26" s="61"/>
      <c r="BR26" s="61"/>
      <c r="BS26" s="61"/>
      <c r="BT26" s="61"/>
      <c r="BU26" s="62"/>
      <c r="BV26" s="61"/>
      <c r="BW26" s="61"/>
      <c r="BX26" s="61"/>
      <c r="BY26" s="61"/>
      <c r="BZ26" s="62"/>
      <c r="CA26" s="61"/>
      <c r="CB26" s="61"/>
      <c r="CC26" s="61"/>
      <c r="CD26" s="61"/>
      <c r="CE26" s="62"/>
      <c r="CF26" s="61"/>
      <c r="CG26" s="61"/>
      <c r="CH26" s="61"/>
      <c r="CI26" s="61"/>
      <c r="CJ26" s="62"/>
      <c r="CK26" s="61"/>
      <c r="CL26" s="61"/>
      <c r="CM26" s="61"/>
      <c r="CN26" s="61"/>
      <c r="CO26" s="62"/>
      <c r="CP26" s="61"/>
      <c r="CQ26" s="61"/>
      <c r="CR26" s="61"/>
      <c r="CS26" s="61"/>
      <c r="CT26" s="62"/>
      <c r="CU26" s="61"/>
      <c r="CV26" s="61"/>
      <c r="CW26" s="61"/>
      <c r="CX26" s="61"/>
      <c r="CY26" s="62"/>
      <c r="CZ26" s="61"/>
      <c r="DA26" s="61"/>
      <c r="DB26" s="61"/>
      <c r="DC26" s="61"/>
      <c r="DD26" s="62"/>
      <c r="DE26" s="61"/>
      <c r="DF26" s="61"/>
      <c r="DG26" s="61"/>
      <c r="DH26" s="61"/>
      <c r="DI26" s="62"/>
      <c r="DJ26" s="61"/>
      <c r="DK26" s="61"/>
      <c r="DL26" s="61"/>
      <c r="DM26" s="61"/>
      <c r="DN26" s="62"/>
      <c r="DO26" s="61"/>
      <c r="DP26" s="61"/>
      <c r="DQ26" s="61"/>
      <c r="DR26" s="61"/>
      <c r="DS26" s="62"/>
      <c r="DT26" s="61"/>
      <c r="DU26" s="61"/>
      <c r="DV26" s="61"/>
      <c r="DW26" s="61"/>
      <c r="DX26" s="62"/>
      <c r="DY26" s="61"/>
      <c r="DZ26" s="61"/>
      <c r="EA26" s="61"/>
      <c r="EB26" s="61"/>
      <c r="EC26" s="62"/>
      <c r="ED26" s="61"/>
      <c r="EE26" s="61"/>
      <c r="EF26" s="61"/>
      <c r="EG26" s="61"/>
      <c r="EH26" s="62"/>
      <c r="EI26" s="61"/>
      <c r="EJ26" s="61"/>
      <c r="EK26" s="61"/>
      <c r="EL26" s="61"/>
      <c r="EM26" s="62"/>
      <c r="EN26" s="61"/>
      <c r="EO26" s="61"/>
      <c r="EP26" s="61"/>
      <c r="EQ26" s="61"/>
      <c r="ER26" s="62"/>
      <c r="ES26" s="61"/>
      <c r="ET26" s="61"/>
      <c r="EU26" s="61"/>
      <c r="EV26" s="61"/>
      <c r="EW26" s="62"/>
      <c r="EX26" s="61"/>
      <c r="EY26" s="61"/>
      <c r="EZ26" s="61"/>
      <c r="FA26" s="61"/>
      <c r="FB26" s="62"/>
      <c r="FC26" s="61"/>
      <c r="FD26" s="61"/>
      <c r="FE26" s="61"/>
      <c r="FF26" s="61"/>
      <c r="FG26" s="62"/>
      <c r="FH26" s="61"/>
      <c r="FI26" s="61"/>
      <c r="FJ26" s="61"/>
      <c r="FK26" s="61"/>
      <c r="FL26" s="62"/>
      <c r="FM26" s="61"/>
      <c r="FN26" s="61"/>
      <c r="FO26" s="61"/>
      <c r="FP26" s="61"/>
      <c r="FQ26" s="62"/>
      <c r="FR26" s="61"/>
      <c r="FS26" s="61"/>
      <c r="FT26" s="61"/>
      <c r="FU26" s="61"/>
      <c r="FV26" s="62"/>
      <c r="FW26" s="61"/>
      <c r="FX26" s="61"/>
      <c r="FY26" s="61"/>
      <c r="FZ26" s="61"/>
      <c r="GA26" s="62"/>
    </row>
    <row r="27" spans="1:183" s="1558" customFormat="1" ht="12.75" customHeight="1" outlineLevel="1">
      <c r="A27" s="1401" t="s">
        <v>31</v>
      </c>
      <c r="B27" s="1549" t="s">
        <v>32</v>
      </c>
      <c r="C27" s="1555"/>
      <c r="D27" s="1556"/>
      <c r="E27" s="1556"/>
      <c r="F27" s="1556"/>
      <c r="G27" s="1556"/>
      <c r="H27" s="1557"/>
      <c r="I27" s="1556"/>
      <c r="J27" s="1556"/>
      <c r="K27" s="1556"/>
      <c r="L27" s="1556"/>
      <c r="M27" s="1557"/>
      <c r="N27" s="1556"/>
      <c r="O27" s="1556"/>
      <c r="P27" s="1556"/>
      <c r="Q27" s="1556"/>
      <c r="R27" s="1557"/>
      <c r="S27" s="1556"/>
      <c r="T27" s="1556"/>
      <c r="U27" s="1556"/>
      <c r="V27" s="1556"/>
      <c r="W27" s="1557"/>
      <c r="X27" s="1556"/>
      <c r="Y27" s="1556"/>
      <c r="Z27" s="1556"/>
      <c r="AA27" s="1556"/>
      <c r="AB27" s="1557"/>
      <c r="AC27" s="1556"/>
      <c r="AD27" s="1556"/>
      <c r="AE27" s="1556"/>
      <c r="AF27" s="1556"/>
      <c r="AG27" s="1557"/>
      <c r="AH27" s="1556"/>
      <c r="AI27" s="1556"/>
      <c r="AJ27" s="1556"/>
      <c r="AK27" s="1556"/>
      <c r="AL27" s="1557"/>
      <c r="AM27" s="1556"/>
      <c r="AN27" s="1556"/>
      <c r="AO27" s="1556"/>
      <c r="AP27" s="1556"/>
      <c r="AQ27" s="1557"/>
      <c r="AR27" s="1556"/>
      <c r="AS27" s="1556"/>
      <c r="AT27" s="1556"/>
      <c r="AU27" s="1556"/>
      <c r="AV27" s="1557"/>
      <c r="AW27" s="1556"/>
      <c r="AX27" s="1556"/>
      <c r="AY27" s="1556"/>
      <c r="AZ27" s="1556"/>
      <c r="BA27" s="1557"/>
      <c r="BB27" s="1556"/>
      <c r="BC27" s="1556"/>
      <c r="BD27" s="1556"/>
      <c r="BE27" s="1556"/>
      <c r="BF27" s="1557"/>
      <c r="BG27" s="1556"/>
      <c r="BH27" s="1556"/>
      <c r="BI27" s="1556"/>
      <c r="BJ27" s="1556"/>
      <c r="BK27" s="1557"/>
      <c r="BL27" s="1556"/>
      <c r="BM27" s="1556"/>
      <c r="BN27" s="1556"/>
      <c r="BO27" s="1556"/>
      <c r="BP27" s="1557"/>
      <c r="BQ27" s="1556"/>
      <c r="BR27" s="1556"/>
      <c r="BS27" s="1556"/>
      <c r="BT27" s="1556"/>
      <c r="BU27" s="1557"/>
      <c r="BV27" s="1556"/>
      <c r="BW27" s="1556"/>
      <c r="BX27" s="1556"/>
      <c r="BY27" s="1556"/>
      <c r="BZ27" s="1557"/>
      <c r="CA27" s="1556"/>
      <c r="CB27" s="1556"/>
      <c r="CC27" s="1556"/>
      <c r="CD27" s="1556"/>
      <c r="CE27" s="1557"/>
      <c r="CF27" s="1556"/>
      <c r="CG27" s="1556"/>
      <c r="CH27" s="1556"/>
      <c r="CI27" s="1556"/>
      <c r="CJ27" s="1557"/>
      <c r="CK27" s="1556"/>
      <c r="CL27" s="1556"/>
      <c r="CM27" s="1556"/>
      <c r="CN27" s="1556"/>
      <c r="CO27" s="1557"/>
      <c r="CP27" s="1556"/>
      <c r="CQ27" s="1556"/>
      <c r="CR27" s="1556"/>
      <c r="CS27" s="1556"/>
      <c r="CT27" s="1557"/>
      <c r="CU27" s="1556"/>
      <c r="CV27" s="1556"/>
      <c r="CW27" s="1556"/>
      <c r="CX27" s="1556"/>
      <c r="CY27" s="1557"/>
      <c r="CZ27" s="1556"/>
      <c r="DA27" s="1556"/>
      <c r="DB27" s="1556"/>
      <c r="DC27" s="1556"/>
      <c r="DD27" s="1557"/>
      <c r="DE27" s="1556"/>
      <c r="DF27" s="1556"/>
      <c r="DG27" s="1556"/>
      <c r="DH27" s="1556"/>
      <c r="DI27" s="1557"/>
      <c r="DJ27" s="1556"/>
      <c r="DK27" s="1556"/>
      <c r="DL27" s="1556"/>
      <c r="DM27" s="1556"/>
      <c r="DN27" s="1557"/>
      <c r="DO27" s="1556"/>
      <c r="DP27" s="1556"/>
      <c r="DQ27" s="1556"/>
      <c r="DR27" s="1556"/>
      <c r="DS27" s="1557"/>
      <c r="DT27" s="1556"/>
      <c r="DU27" s="1556"/>
      <c r="DV27" s="1556"/>
      <c r="DW27" s="1556"/>
      <c r="DX27" s="1557"/>
      <c r="DY27" s="1556">
        <v>33055</v>
      </c>
      <c r="DZ27" s="1556">
        <v>36906</v>
      </c>
      <c r="EA27" s="1556">
        <v>35021</v>
      </c>
      <c r="EB27" s="1556">
        <v>38033</v>
      </c>
      <c r="EC27" s="1557">
        <v>143015</v>
      </c>
      <c r="ED27" s="1556">
        <v>37154</v>
      </c>
      <c r="EE27" s="1556">
        <v>43076</v>
      </c>
      <c r="EF27" s="1556">
        <v>41706</v>
      </c>
      <c r="EG27" s="1556">
        <v>46152</v>
      </c>
      <c r="EH27" s="1557">
        <v>168088</v>
      </c>
      <c r="EI27" s="1556">
        <v>45317</v>
      </c>
      <c r="EJ27" s="1556">
        <v>51728</v>
      </c>
      <c r="EK27" s="1556">
        <v>49360</v>
      </c>
      <c r="EL27" s="1556">
        <v>51865</v>
      </c>
      <c r="EM27" s="1557">
        <v>198270</v>
      </c>
      <c r="EN27" s="1556">
        <v>50122</v>
      </c>
      <c r="EO27" s="1556">
        <v>52747</v>
      </c>
      <c r="EP27" s="1556">
        <v>52857</v>
      </c>
      <c r="EQ27" s="1556">
        <v>56189</v>
      </c>
      <c r="ER27" s="1557">
        <v>211915</v>
      </c>
      <c r="ES27" s="1556">
        <v>56517</v>
      </c>
      <c r="ET27" s="1556">
        <v>62020</v>
      </c>
      <c r="EU27" s="1556">
        <v>61858</v>
      </c>
      <c r="EV27" s="1556">
        <v>64727</v>
      </c>
      <c r="EW27" s="1557">
        <v>245122</v>
      </c>
      <c r="EX27" s="1556">
        <v>65585</v>
      </c>
      <c r="EY27" s="1556">
        <v>69632</v>
      </c>
      <c r="EZ27" s="1556">
        <v>70066</v>
      </c>
      <c r="FA27" s="1556">
        <v>73858.31</v>
      </c>
      <c r="FB27" s="1557">
        <v>279211.2</v>
      </c>
      <c r="FC27" s="1556">
        <v>74146.44</v>
      </c>
      <c r="FD27" s="1556">
        <v>78720.554999999993</v>
      </c>
      <c r="FE27" s="1556">
        <v>79395.445000000007</v>
      </c>
      <c r="FF27" s="1556">
        <v>83477.929999999993</v>
      </c>
      <c r="FG27" s="1557">
        <v>317047.75</v>
      </c>
      <c r="FH27" s="1556">
        <v>84521.69</v>
      </c>
      <c r="FI27" s="1556">
        <v>89454.266000000003</v>
      </c>
      <c r="FJ27" s="1556">
        <v>90763.49</v>
      </c>
      <c r="FK27" s="1556">
        <v>95324.63</v>
      </c>
      <c r="FL27" s="1557">
        <v>362865.25</v>
      </c>
      <c r="FM27" s="1556">
        <v>96445.89</v>
      </c>
      <c r="FN27" s="1556">
        <v>101948.69</v>
      </c>
      <c r="FO27" s="1556">
        <v>104511.42</v>
      </c>
      <c r="FP27" s="1556">
        <v>108800.07</v>
      </c>
      <c r="FQ27" s="1557">
        <v>419495.75</v>
      </c>
      <c r="FR27" s="1556" t="s">
        <v>2451</v>
      </c>
      <c r="FS27" s="1556" t="s">
        <v>2451</v>
      </c>
      <c r="FT27" s="1556" t="s">
        <v>2451</v>
      </c>
      <c r="FU27" s="1556" t="s">
        <v>2451</v>
      </c>
      <c r="FV27" s="1557">
        <v>477048.3</v>
      </c>
      <c r="FW27" s="1556" t="s">
        <v>2451</v>
      </c>
      <c r="FX27" s="1556" t="s">
        <v>2451</v>
      </c>
      <c r="FY27" s="1556" t="s">
        <v>2451</v>
      </c>
      <c r="FZ27" s="1556" t="s">
        <v>2451</v>
      </c>
      <c r="GA27" s="1557">
        <v>557339</v>
      </c>
    </row>
    <row r="28" spans="1:183" s="72" customFormat="1" ht="12.75" customHeight="1" outlineLevel="1">
      <c r="A28" s="68" t="s">
        <v>33</v>
      </c>
      <c r="B28" s="753" t="s">
        <v>34</v>
      </c>
      <c r="C28" s="69"/>
      <c r="D28" s="70"/>
      <c r="E28" s="70"/>
      <c r="F28" s="70"/>
      <c r="G28" s="70"/>
      <c r="H28" s="71"/>
      <c r="I28" s="70"/>
      <c r="J28" s="70"/>
      <c r="K28" s="70"/>
      <c r="L28" s="70"/>
      <c r="M28" s="71"/>
      <c r="N28" s="70"/>
      <c r="O28" s="70"/>
      <c r="P28" s="70"/>
      <c r="Q28" s="70"/>
      <c r="R28" s="71"/>
      <c r="S28" s="70"/>
      <c r="T28" s="70"/>
      <c r="U28" s="70"/>
      <c r="V28" s="70"/>
      <c r="W28" s="71"/>
      <c r="X28" s="70"/>
      <c r="Y28" s="70"/>
      <c r="Z28" s="70"/>
      <c r="AA28" s="70"/>
      <c r="AB28" s="71"/>
      <c r="AC28" s="70"/>
      <c r="AD28" s="70"/>
      <c r="AE28" s="70"/>
      <c r="AF28" s="70"/>
      <c r="AG28" s="71"/>
      <c r="AH28" s="70"/>
      <c r="AI28" s="70"/>
      <c r="AJ28" s="70"/>
      <c r="AK28" s="70"/>
      <c r="AL28" s="71"/>
      <c r="AM28" s="70"/>
      <c r="AN28" s="70"/>
      <c r="AO28" s="70"/>
      <c r="AP28" s="70"/>
      <c r="AQ28" s="71"/>
      <c r="AR28" s="70"/>
      <c r="AS28" s="70"/>
      <c r="AT28" s="70"/>
      <c r="AU28" s="70"/>
      <c r="AV28" s="71"/>
      <c r="AW28" s="70"/>
      <c r="AX28" s="70"/>
      <c r="AY28" s="70"/>
      <c r="AZ28" s="70"/>
      <c r="BA28" s="71"/>
      <c r="BB28" s="70"/>
      <c r="BC28" s="70"/>
      <c r="BD28" s="70"/>
      <c r="BE28" s="70"/>
      <c r="BF28" s="71"/>
      <c r="BG28" s="70"/>
      <c r="BH28" s="70"/>
      <c r="BI28" s="70"/>
      <c r="BJ28" s="70"/>
      <c r="BK28" s="71"/>
      <c r="BL28" s="70"/>
      <c r="BM28" s="70"/>
      <c r="BN28" s="70"/>
      <c r="BO28" s="70"/>
      <c r="BP28" s="71"/>
      <c r="BQ28" s="70"/>
      <c r="BR28" s="70"/>
      <c r="BS28" s="70"/>
      <c r="BT28" s="70"/>
      <c r="BU28" s="71"/>
      <c r="BV28" s="70"/>
      <c r="BW28" s="70"/>
      <c r="BX28" s="70"/>
      <c r="BY28" s="70"/>
      <c r="BZ28" s="71"/>
      <c r="CA28" s="70"/>
      <c r="CB28" s="70"/>
      <c r="CC28" s="70"/>
      <c r="CD28" s="70"/>
      <c r="CE28" s="71"/>
      <c r="CF28" s="70"/>
      <c r="CG28" s="70"/>
      <c r="CH28" s="70"/>
      <c r="CI28" s="70"/>
      <c r="CJ28" s="71"/>
      <c r="CK28" s="70"/>
      <c r="CL28" s="70"/>
      <c r="CM28" s="70"/>
      <c r="CN28" s="70"/>
      <c r="CO28" s="71"/>
      <c r="CP28" s="70"/>
      <c r="CQ28" s="70"/>
      <c r="CR28" s="70"/>
      <c r="CS28" s="70"/>
      <c r="CT28" s="71"/>
      <c r="CU28" s="70"/>
      <c r="CV28" s="70"/>
      <c r="CW28" s="70"/>
      <c r="CX28" s="70"/>
      <c r="CY28" s="71"/>
      <c r="CZ28" s="70"/>
      <c r="DA28" s="70"/>
      <c r="DB28" s="70"/>
      <c r="DC28" s="70"/>
      <c r="DD28" s="71"/>
      <c r="DE28" s="70"/>
      <c r="DF28" s="70"/>
      <c r="DG28" s="70"/>
      <c r="DH28" s="70"/>
      <c r="DI28" s="71"/>
      <c r="DJ28" s="70"/>
      <c r="DK28" s="70"/>
      <c r="DL28" s="70"/>
      <c r="DM28" s="70"/>
      <c r="DN28" s="71"/>
      <c r="DO28" s="70"/>
      <c r="DP28" s="70"/>
      <c r="DQ28" s="70"/>
      <c r="DR28" s="70"/>
      <c r="DS28" s="71"/>
      <c r="DT28" s="70"/>
      <c r="DU28" s="70"/>
      <c r="DV28" s="70"/>
      <c r="DW28" s="70"/>
      <c r="DX28" s="71"/>
      <c r="DY28" s="70" t="s">
        <v>2451</v>
      </c>
      <c r="DZ28" s="70" t="s">
        <v>2451</v>
      </c>
      <c r="EA28" s="70" t="s">
        <v>2451</v>
      </c>
      <c r="EB28" s="70" t="s">
        <v>2451</v>
      </c>
      <c r="EC28" s="71" t="s">
        <v>2451</v>
      </c>
      <c r="ED28" s="70">
        <v>0.12400544546967174</v>
      </c>
      <c r="EE28" s="70">
        <v>0.16718148810491518</v>
      </c>
      <c r="EF28" s="70">
        <v>0.19088546871876866</v>
      </c>
      <c r="EG28" s="70">
        <v>0.21347251071437956</v>
      </c>
      <c r="EH28" s="71">
        <v>0.17531727441177503</v>
      </c>
      <c r="EI28" s="70">
        <v>0.21970716477364483</v>
      </c>
      <c r="EJ28" s="70">
        <v>0.2008543040208004</v>
      </c>
      <c r="EK28" s="70">
        <v>0.18352275451973332</v>
      </c>
      <c r="EL28" s="70">
        <v>0.12378661813139202</v>
      </c>
      <c r="EM28" s="71">
        <v>0.17956070629670173</v>
      </c>
      <c r="EN28" s="70">
        <v>0.1060308493501334</v>
      </c>
      <c r="EO28" s="70">
        <v>1.9699195793380753E-2</v>
      </c>
      <c r="EP28" s="70">
        <v>7.0846839546191198E-2</v>
      </c>
      <c r="EQ28" s="70">
        <v>8.3370288248336921E-2</v>
      </c>
      <c r="ER28" s="71">
        <v>6.8820295556564215E-2</v>
      </c>
      <c r="ES28" s="70">
        <v>0.12758868361198683</v>
      </c>
      <c r="ET28" s="70">
        <v>0.17580146738203117</v>
      </c>
      <c r="EU28" s="70">
        <v>0.17028964943148495</v>
      </c>
      <c r="EV28" s="70">
        <v>0.15195144957198026</v>
      </c>
      <c r="EW28" s="71">
        <v>0.1566996201307127</v>
      </c>
      <c r="EX28" s="70">
        <v>0.16044729904276589</v>
      </c>
      <c r="EY28" s="70">
        <v>0.12273460174137374</v>
      </c>
      <c r="EZ28" s="70">
        <v>0.13269100197225914</v>
      </c>
      <c r="FA28" s="70">
        <v>0.14107420396434245</v>
      </c>
      <c r="FB28" s="71">
        <v>0.1390703404835143</v>
      </c>
      <c r="FC28" s="70">
        <v>0.13053960509262796</v>
      </c>
      <c r="FD28" s="70">
        <v>0.13052267635569836</v>
      </c>
      <c r="FE28" s="70">
        <v>0.13315224217166688</v>
      </c>
      <c r="FF28" s="70">
        <v>0.13024424739748297</v>
      </c>
      <c r="FG28" s="71">
        <v>0.13551229320313785</v>
      </c>
      <c r="FH28" s="70">
        <v>0.13992917259412585</v>
      </c>
      <c r="FI28" s="70">
        <v>0.13635207475353806</v>
      </c>
      <c r="FJ28" s="70">
        <v>0.1431825843409531</v>
      </c>
      <c r="FK28" s="70">
        <v>0.14191415623267156</v>
      </c>
      <c r="FL28" s="71">
        <v>0.14451293220027583</v>
      </c>
      <c r="FM28" s="70">
        <v>0.14107857994793993</v>
      </c>
      <c r="FN28" s="70">
        <v>0.13967387536330578</v>
      </c>
      <c r="FO28" s="70">
        <v>0.15146982558735878</v>
      </c>
      <c r="FP28" s="70">
        <v>0.14136367484458101</v>
      </c>
      <c r="FQ28" s="71">
        <v>0.15606482020529655</v>
      </c>
      <c r="FR28" s="70" t="s">
        <v>2451</v>
      </c>
      <c r="FS28" s="70" t="s">
        <v>2451</v>
      </c>
      <c r="FT28" s="70" t="s">
        <v>2451</v>
      </c>
      <c r="FU28" s="70" t="s">
        <v>2451</v>
      </c>
      <c r="FV28" s="71">
        <v>0.13719459613118845</v>
      </c>
      <c r="FW28" s="70" t="s">
        <v>2451</v>
      </c>
      <c r="FX28" s="70" t="s">
        <v>2451</v>
      </c>
      <c r="FY28" s="70" t="s">
        <v>2451</v>
      </c>
      <c r="FZ28" s="70" t="s">
        <v>2451</v>
      </c>
      <c r="GA28" s="71">
        <v>0.16830727622339303</v>
      </c>
    </row>
    <row r="29" spans="1:183" s="72" customFormat="1" ht="12.75" customHeight="1" outlineLevel="1">
      <c r="A29" s="68" t="s">
        <v>35</v>
      </c>
      <c r="B29" s="753" t="s">
        <v>36</v>
      </c>
      <c r="C29" s="69"/>
      <c r="D29" s="70"/>
      <c r="E29" s="70"/>
      <c r="F29" s="70"/>
      <c r="G29" s="70"/>
      <c r="H29" s="73"/>
      <c r="I29" s="70"/>
      <c r="J29" s="70"/>
      <c r="K29" s="70"/>
      <c r="L29" s="70"/>
      <c r="M29" s="73"/>
      <c r="N29" s="70"/>
      <c r="O29" s="70"/>
      <c r="P29" s="70"/>
      <c r="Q29" s="70"/>
      <c r="R29" s="73"/>
      <c r="S29" s="70"/>
      <c r="T29" s="70"/>
      <c r="U29" s="70"/>
      <c r="V29" s="70"/>
      <c r="W29" s="73"/>
      <c r="X29" s="70"/>
      <c r="Y29" s="70"/>
      <c r="Z29" s="70"/>
      <c r="AA29" s="70"/>
      <c r="AB29" s="73"/>
      <c r="AC29" s="70"/>
      <c r="AD29" s="70"/>
      <c r="AE29" s="70"/>
      <c r="AF29" s="70"/>
      <c r="AG29" s="73"/>
      <c r="AH29" s="70"/>
      <c r="AI29" s="70"/>
      <c r="AJ29" s="70"/>
      <c r="AK29" s="70"/>
      <c r="AL29" s="73"/>
      <c r="AM29" s="70"/>
      <c r="AN29" s="70"/>
      <c r="AO29" s="70"/>
      <c r="AP29" s="70"/>
      <c r="AQ29" s="73"/>
      <c r="AR29" s="70"/>
      <c r="AS29" s="70"/>
      <c r="AT29" s="70"/>
      <c r="AU29" s="70"/>
      <c r="AV29" s="73"/>
      <c r="AW29" s="70"/>
      <c r="AX29" s="70"/>
      <c r="AY29" s="70"/>
      <c r="AZ29" s="70"/>
      <c r="BA29" s="73"/>
      <c r="BB29" s="70"/>
      <c r="BC29" s="70"/>
      <c r="BD29" s="70"/>
      <c r="BE29" s="70"/>
      <c r="BF29" s="73"/>
      <c r="BG29" s="70"/>
      <c r="BH29" s="70"/>
      <c r="BI29" s="70"/>
      <c r="BJ29" s="70"/>
      <c r="BK29" s="73"/>
      <c r="BL29" s="70"/>
      <c r="BM29" s="70"/>
      <c r="BN29" s="70"/>
      <c r="BO29" s="70"/>
      <c r="BP29" s="73"/>
      <c r="BQ29" s="70"/>
      <c r="BR29" s="70"/>
      <c r="BS29" s="70"/>
      <c r="BT29" s="70"/>
      <c r="BU29" s="73"/>
      <c r="BV29" s="70"/>
      <c r="BW29" s="70"/>
      <c r="BX29" s="70"/>
      <c r="BY29" s="70"/>
      <c r="BZ29" s="73"/>
      <c r="CA29" s="70"/>
      <c r="CB29" s="70"/>
      <c r="CC29" s="70"/>
      <c r="CD29" s="70"/>
      <c r="CE29" s="73"/>
      <c r="CF29" s="70"/>
      <c r="CG29" s="70"/>
      <c r="CH29" s="70"/>
      <c r="CI29" s="70"/>
      <c r="CJ29" s="73"/>
      <c r="CK29" s="70"/>
      <c r="CL29" s="70"/>
      <c r="CM29" s="70"/>
      <c r="CN29" s="70"/>
      <c r="CO29" s="73"/>
      <c r="CP29" s="70"/>
      <c r="CQ29" s="70"/>
      <c r="CR29" s="70"/>
      <c r="CS29" s="70"/>
      <c r="CT29" s="73"/>
      <c r="CU29" s="70"/>
      <c r="CV29" s="70"/>
      <c r="CW29" s="70"/>
      <c r="CX29" s="70"/>
      <c r="CY29" s="73"/>
      <c r="CZ29" s="70"/>
      <c r="DA29" s="70"/>
      <c r="DB29" s="70"/>
      <c r="DC29" s="70"/>
      <c r="DD29" s="73"/>
      <c r="DE29" s="70"/>
      <c r="DF29" s="70"/>
      <c r="DG29" s="70"/>
      <c r="DH29" s="70"/>
      <c r="DI29" s="73"/>
      <c r="DJ29" s="70"/>
      <c r="DK29" s="70"/>
      <c r="DL29" s="70"/>
      <c r="DM29" s="70"/>
      <c r="DN29" s="73"/>
      <c r="DO29" s="70"/>
      <c r="DP29" s="70"/>
      <c r="DQ29" s="70"/>
      <c r="DR29" s="70"/>
      <c r="DS29" s="73"/>
      <c r="DT29" s="70"/>
      <c r="DU29" s="70"/>
      <c r="DV29" s="70"/>
      <c r="DW29" s="70"/>
      <c r="DX29" s="73"/>
      <c r="DY29" s="70" t="s">
        <v>2451</v>
      </c>
      <c r="DZ29" s="70">
        <v>0.11650279836635913</v>
      </c>
      <c r="EA29" s="70">
        <v>-5.1075705847287711E-2</v>
      </c>
      <c r="EB29" s="70">
        <v>8.6005539533422715E-2</v>
      </c>
      <c r="EC29" s="73"/>
      <c r="ED29" s="70">
        <v>-2.3111508426892469E-2</v>
      </c>
      <c r="EE29" s="70">
        <v>0.15939064434515804</v>
      </c>
      <c r="EF29" s="70">
        <v>-3.1804252948277489E-2</v>
      </c>
      <c r="EG29" s="70">
        <v>0.10660336642209756</v>
      </c>
      <c r="EH29" s="73"/>
      <c r="EI29" s="70">
        <v>-1.8092390362281163E-2</v>
      </c>
      <c r="EJ29" s="70">
        <v>0.14147008848776399</v>
      </c>
      <c r="EK29" s="70">
        <v>-4.5777915248994772E-2</v>
      </c>
      <c r="EL29" s="70">
        <v>5.0749594813614296E-2</v>
      </c>
      <c r="EM29" s="73"/>
      <c r="EN29" s="70">
        <v>-3.3606478357273706E-2</v>
      </c>
      <c r="EO29" s="70">
        <v>5.2372211803200175E-2</v>
      </c>
      <c r="EP29" s="70">
        <v>2.085426659335976E-3</v>
      </c>
      <c r="EQ29" s="70">
        <v>6.3038008210833052E-2</v>
      </c>
      <c r="ER29" s="73"/>
      <c r="ES29" s="70">
        <v>5.8374414921069651E-3</v>
      </c>
      <c r="ET29" s="70">
        <v>9.7368933241325673E-2</v>
      </c>
      <c r="EU29" s="70">
        <v>-2.6120606256045953E-3</v>
      </c>
      <c r="EV29" s="70">
        <v>4.6380419670859041E-2</v>
      </c>
      <c r="EW29" s="73"/>
      <c r="EX29" s="70">
        <v>1.3255673830086412E-2</v>
      </c>
      <c r="EY29" s="70">
        <v>6.1706182816192667E-2</v>
      </c>
      <c r="EZ29" s="70">
        <v>6.2327665441177516E-3</v>
      </c>
      <c r="FA29" s="70">
        <v>5.4124825164844514E-2</v>
      </c>
      <c r="FB29" s="73"/>
      <c r="FC29" s="70">
        <v>3.9011182357138185E-3</v>
      </c>
      <c r="FD29" s="70">
        <v>6.1690284793173955E-2</v>
      </c>
      <c r="FE29" s="70">
        <v>8.5732373202909162E-3</v>
      </c>
      <c r="FF29" s="70">
        <v>5.1419637486759928E-2</v>
      </c>
      <c r="FG29" s="73"/>
      <c r="FH29" s="70">
        <v>1.2503424557844367E-2</v>
      </c>
      <c r="FI29" s="70">
        <v>5.8358700589162371E-2</v>
      </c>
      <c r="FJ29" s="70">
        <v>1.4635679867967433E-2</v>
      </c>
      <c r="FK29" s="70">
        <v>5.0253025748569158E-2</v>
      </c>
      <c r="FL29" s="73"/>
      <c r="FM29" s="70">
        <v>1.1762542377557583E-2</v>
      </c>
      <c r="FN29" s="70">
        <v>5.7055826847572266E-2</v>
      </c>
      <c r="FO29" s="70">
        <v>2.5137449044220217E-2</v>
      </c>
      <c r="FP29" s="70">
        <v>4.1035228494646914E-2</v>
      </c>
      <c r="FQ29" s="73"/>
      <c r="FR29" s="70" t="s">
        <v>2451</v>
      </c>
      <c r="FS29" s="70" t="s">
        <v>2451</v>
      </c>
      <c r="FT29" s="70" t="s">
        <v>2451</v>
      </c>
      <c r="FU29" s="70" t="s">
        <v>2451</v>
      </c>
      <c r="FV29" s="73"/>
      <c r="FW29" s="70" t="s">
        <v>2451</v>
      </c>
      <c r="FX29" s="70" t="s">
        <v>2451</v>
      </c>
      <c r="FY29" s="70" t="s">
        <v>2451</v>
      </c>
      <c r="FZ29" s="70" t="s">
        <v>2451</v>
      </c>
      <c r="GA29" s="73"/>
    </row>
    <row r="30" spans="1:183" s="72" customFormat="1" ht="12.75" customHeight="1" outlineLevel="1">
      <c r="A30" s="54"/>
      <c r="B30" s="753"/>
      <c r="C30" s="69"/>
      <c r="D30" s="70"/>
      <c r="E30" s="70"/>
      <c r="F30" s="70"/>
      <c r="G30" s="70"/>
      <c r="H30" s="73"/>
      <c r="I30" s="70"/>
      <c r="J30" s="70"/>
      <c r="K30" s="70"/>
      <c r="L30" s="70"/>
      <c r="M30" s="73"/>
      <c r="N30" s="70"/>
      <c r="O30" s="70"/>
      <c r="P30" s="70"/>
      <c r="Q30" s="70"/>
      <c r="R30" s="73"/>
      <c r="S30" s="70"/>
      <c r="T30" s="70"/>
      <c r="U30" s="70"/>
      <c r="V30" s="70"/>
      <c r="W30" s="73"/>
      <c r="X30" s="70"/>
      <c r="Y30" s="70"/>
      <c r="Z30" s="70"/>
      <c r="AA30" s="70"/>
      <c r="AB30" s="73"/>
      <c r="AC30" s="70"/>
      <c r="AD30" s="70"/>
      <c r="AE30" s="70"/>
      <c r="AF30" s="70"/>
      <c r="AG30" s="73"/>
      <c r="AH30" s="70"/>
      <c r="AI30" s="70"/>
      <c r="AJ30" s="70"/>
      <c r="AK30" s="70"/>
      <c r="AL30" s="73"/>
      <c r="AM30" s="70"/>
      <c r="AN30" s="70"/>
      <c r="AO30" s="70"/>
      <c r="AP30" s="70"/>
      <c r="AQ30" s="73"/>
      <c r="AR30" s="70"/>
      <c r="AS30" s="70"/>
      <c r="AT30" s="70"/>
      <c r="AU30" s="70"/>
      <c r="AV30" s="73"/>
      <c r="AW30" s="70"/>
      <c r="AX30" s="70"/>
      <c r="AY30" s="70"/>
      <c r="AZ30" s="70"/>
      <c r="BA30" s="73"/>
      <c r="BB30" s="70"/>
      <c r="BC30" s="70"/>
      <c r="BD30" s="70"/>
      <c r="BE30" s="70"/>
      <c r="BF30" s="73"/>
      <c r="BG30" s="70"/>
      <c r="BH30" s="70"/>
      <c r="BI30" s="70"/>
      <c r="BJ30" s="70"/>
      <c r="BK30" s="73"/>
      <c r="BL30" s="70"/>
      <c r="BM30" s="70"/>
      <c r="BN30" s="70"/>
      <c r="BO30" s="70"/>
      <c r="BP30" s="73"/>
      <c r="BQ30" s="70"/>
      <c r="BR30" s="70"/>
      <c r="BS30" s="70"/>
      <c r="BT30" s="70"/>
      <c r="BU30" s="73"/>
      <c r="BV30" s="70"/>
      <c r="BW30" s="70"/>
      <c r="BX30" s="70"/>
      <c r="BY30" s="70"/>
      <c r="BZ30" s="73"/>
      <c r="CA30" s="70"/>
      <c r="CB30" s="70"/>
      <c r="CC30" s="70"/>
      <c r="CD30" s="70"/>
      <c r="CE30" s="73"/>
      <c r="CF30" s="70"/>
      <c r="CG30" s="70"/>
      <c r="CH30" s="70"/>
      <c r="CI30" s="70"/>
      <c r="CJ30" s="73"/>
      <c r="CK30" s="70"/>
      <c r="CL30" s="70"/>
      <c r="CM30" s="70"/>
      <c r="CN30" s="70"/>
      <c r="CO30" s="73"/>
      <c r="CP30" s="70"/>
      <c r="CQ30" s="70"/>
      <c r="CR30" s="70"/>
      <c r="CS30" s="70"/>
      <c r="CT30" s="73"/>
      <c r="CU30" s="70"/>
      <c r="CV30" s="70"/>
      <c r="CW30" s="70"/>
      <c r="CX30" s="70"/>
      <c r="CY30" s="73"/>
      <c r="CZ30" s="70"/>
      <c r="DA30" s="70"/>
      <c r="DB30" s="70"/>
      <c r="DC30" s="70"/>
      <c r="DD30" s="73"/>
      <c r="DE30" s="70"/>
      <c r="DF30" s="70"/>
      <c r="DG30" s="70"/>
      <c r="DH30" s="70"/>
      <c r="DI30" s="73"/>
      <c r="DJ30" s="70"/>
      <c r="DK30" s="70"/>
      <c r="DL30" s="70"/>
      <c r="DM30" s="70"/>
      <c r="DN30" s="73"/>
      <c r="DO30" s="70"/>
      <c r="DP30" s="70"/>
      <c r="DQ30" s="70"/>
      <c r="DR30" s="70"/>
      <c r="DS30" s="73"/>
      <c r="DT30" s="70"/>
      <c r="DU30" s="70"/>
      <c r="DV30" s="70"/>
      <c r="DW30" s="70"/>
      <c r="DX30" s="73"/>
      <c r="DY30" s="70"/>
      <c r="DZ30" s="70"/>
      <c r="EA30" s="70"/>
      <c r="EB30" s="70"/>
      <c r="EC30" s="73"/>
      <c r="ED30" s="70"/>
      <c r="EE30" s="70"/>
      <c r="EF30" s="70"/>
      <c r="EG30" s="70"/>
      <c r="EH30" s="73"/>
      <c r="EI30" s="70"/>
      <c r="EJ30" s="70"/>
      <c r="EK30" s="70"/>
      <c r="EL30" s="70"/>
      <c r="EM30" s="73"/>
      <c r="EN30" s="70"/>
      <c r="EO30" s="70"/>
      <c r="EP30" s="70"/>
      <c r="EQ30" s="70"/>
      <c r="ER30" s="73"/>
      <c r="ES30" s="70"/>
      <c r="ET30" s="70"/>
      <c r="EU30" s="70"/>
      <c r="EV30" s="70"/>
      <c r="EW30" s="73"/>
      <c r="EX30" s="70"/>
      <c r="EY30" s="70"/>
      <c r="EZ30" s="70"/>
      <c r="FA30" s="70"/>
      <c r="FB30" s="73"/>
      <c r="FC30" s="70"/>
      <c r="FD30" s="70"/>
      <c r="FE30" s="70"/>
      <c r="FF30" s="70"/>
      <c r="FG30" s="73"/>
      <c r="FH30" s="70"/>
      <c r="FI30" s="70"/>
      <c r="FJ30" s="70"/>
      <c r="FK30" s="70"/>
      <c r="FL30" s="73"/>
      <c r="FM30" s="70"/>
      <c r="FN30" s="70"/>
      <c r="FO30" s="70"/>
      <c r="FP30" s="70"/>
      <c r="FQ30" s="73"/>
      <c r="FR30" s="70"/>
      <c r="FS30" s="70"/>
      <c r="FT30" s="70"/>
      <c r="FU30" s="70"/>
      <c r="FV30" s="73"/>
      <c r="FW30" s="70"/>
      <c r="FX30" s="70"/>
      <c r="FY30" s="70"/>
      <c r="FZ30" s="70"/>
      <c r="GA30" s="73"/>
    </row>
    <row r="31" spans="1:183" s="1558" customFormat="1" ht="12.75" customHeight="1" outlineLevel="1">
      <c r="A31" s="1554" t="s">
        <v>381</v>
      </c>
      <c r="B31" s="1549" t="s">
        <v>37</v>
      </c>
      <c r="C31" s="1555"/>
      <c r="D31" s="1556"/>
      <c r="E31" s="1556"/>
      <c r="F31" s="1556"/>
      <c r="G31" s="1556"/>
      <c r="H31" s="1557"/>
      <c r="I31" s="1556"/>
      <c r="J31" s="1556"/>
      <c r="K31" s="1556"/>
      <c r="L31" s="1556"/>
      <c r="M31" s="1557"/>
      <c r="N31" s="1556"/>
      <c r="O31" s="1556"/>
      <c r="P31" s="1556"/>
      <c r="Q31" s="1556"/>
      <c r="R31" s="1557"/>
      <c r="S31" s="1556"/>
      <c r="T31" s="1556"/>
      <c r="U31" s="1556"/>
      <c r="V31" s="1556"/>
      <c r="W31" s="1557"/>
      <c r="X31" s="1556"/>
      <c r="Y31" s="1556"/>
      <c r="Z31" s="1556"/>
      <c r="AA31" s="1556"/>
      <c r="AB31" s="1557"/>
      <c r="AC31" s="1556"/>
      <c r="AD31" s="1556"/>
      <c r="AE31" s="1556"/>
      <c r="AF31" s="1556"/>
      <c r="AG31" s="1557"/>
      <c r="AH31" s="1556"/>
      <c r="AI31" s="1556"/>
      <c r="AJ31" s="1556"/>
      <c r="AK31" s="1556"/>
      <c r="AL31" s="1557"/>
      <c r="AM31" s="1556"/>
      <c r="AN31" s="1556"/>
      <c r="AO31" s="1556"/>
      <c r="AP31" s="1556"/>
      <c r="AQ31" s="1557"/>
      <c r="AR31" s="1556"/>
      <c r="AS31" s="1556"/>
      <c r="AT31" s="1556"/>
      <c r="AU31" s="1556"/>
      <c r="AV31" s="1557"/>
      <c r="AW31" s="1556"/>
      <c r="AX31" s="1556"/>
      <c r="AY31" s="1556"/>
      <c r="AZ31" s="1556"/>
      <c r="BA31" s="1557"/>
      <c r="BB31" s="1556"/>
      <c r="BC31" s="1556"/>
      <c r="BD31" s="1556"/>
      <c r="BE31" s="1556"/>
      <c r="BF31" s="1557"/>
      <c r="BG31" s="1556"/>
      <c r="BH31" s="1556"/>
      <c r="BI31" s="1556"/>
      <c r="BJ31" s="1556"/>
      <c r="BK31" s="1557"/>
      <c r="BL31" s="1556"/>
      <c r="BM31" s="1556"/>
      <c r="BN31" s="1556"/>
      <c r="BO31" s="1556"/>
      <c r="BP31" s="1557"/>
      <c r="BQ31" s="1556"/>
      <c r="BR31" s="1556"/>
      <c r="BS31" s="1556"/>
      <c r="BT31" s="1556"/>
      <c r="BU31" s="1557"/>
      <c r="BV31" s="1556"/>
      <c r="BW31" s="1556"/>
      <c r="BX31" s="1556"/>
      <c r="BY31" s="1556"/>
      <c r="BZ31" s="1557"/>
      <c r="CA31" s="1556"/>
      <c r="CB31" s="1556"/>
      <c r="CC31" s="1556"/>
      <c r="CD31" s="1556"/>
      <c r="CE31" s="1557"/>
      <c r="CF31" s="1556"/>
      <c r="CG31" s="1556"/>
      <c r="CH31" s="1556"/>
      <c r="CI31" s="1556"/>
      <c r="CJ31" s="1557"/>
      <c r="CK31" s="1556"/>
      <c r="CL31" s="1556"/>
      <c r="CM31" s="1556"/>
      <c r="CN31" s="1556"/>
      <c r="CO31" s="1557"/>
      <c r="CP31" s="1556"/>
      <c r="CQ31" s="1556"/>
      <c r="CR31" s="1556"/>
      <c r="CS31" s="1556"/>
      <c r="CT31" s="1557"/>
      <c r="CU31" s="1556"/>
      <c r="CV31" s="1556"/>
      <c r="CW31" s="1556"/>
      <c r="CX31" s="1556"/>
      <c r="CY31" s="1557"/>
      <c r="CZ31" s="1556"/>
      <c r="DA31" s="1556"/>
      <c r="DB31" s="1556"/>
      <c r="DC31" s="1556"/>
      <c r="DD31" s="1557"/>
      <c r="DE31" s="1556"/>
      <c r="DF31" s="1556"/>
      <c r="DG31" s="1556"/>
      <c r="DH31" s="1556"/>
      <c r="DI31" s="1557"/>
      <c r="DJ31" s="1556"/>
      <c r="DK31" s="1556"/>
      <c r="DL31" s="1556"/>
      <c r="DM31" s="1556"/>
      <c r="DN31" s="1557"/>
      <c r="DO31" s="1556"/>
      <c r="DP31" s="1556"/>
      <c r="DQ31" s="1556"/>
      <c r="DR31" s="1556"/>
      <c r="DS31" s="1557"/>
      <c r="DT31" s="1556"/>
      <c r="DU31" s="1556"/>
      <c r="DV31" s="1556"/>
      <c r="DW31" s="1556"/>
      <c r="DX31" s="1557"/>
      <c r="DY31" s="1556">
        <v>10406</v>
      </c>
      <c r="DZ31" s="1556">
        <v>12358</v>
      </c>
      <c r="EA31" s="1556">
        <v>10975</v>
      </c>
      <c r="EB31" s="1556">
        <v>12334.705000000002</v>
      </c>
      <c r="EC31" s="1557">
        <v>46074.600000000006</v>
      </c>
      <c r="ED31" s="1556">
        <v>11002</v>
      </c>
      <c r="EE31" s="1556">
        <v>14194</v>
      </c>
      <c r="EF31" s="1556">
        <v>13045</v>
      </c>
      <c r="EG31" s="1556">
        <v>13991</v>
      </c>
      <c r="EH31" s="1557">
        <v>52231.41</v>
      </c>
      <c r="EI31" s="1556">
        <v>13646</v>
      </c>
      <c r="EJ31" s="1556">
        <v>16960</v>
      </c>
      <c r="EK31" s="1556">
        <v>15615.042999999998</v>
      </c>
      <c r="EL31" s="1556">
        <v>16429</v>
      </c>
      <c r="EM31" s="1557">
        <v>62664.47</v>
      </c>
      <c r="EN31" s="1556">
        <v>15452</v>
      </c>
      <c r="EO31" s="1556">
        <v>17452.883000000002</v>
      </c>
      <c r="EP31" s="1556">
        <v>16127.964999999997</v>
      </c>
      <c r="EQ31" s="1556">
        <v>16801</v>
      </c>
      <c r="ER31" s="1557">
        <v>65832.109999999986</v>
      </c>
      <c r="ES31" s="1556">
        <v>16301.830000000002</v>
      </c>
      <c r="ET31" s="1556">
        <v>19622.900000000001</v>
      </c>
      <c r="EU31" s="1556">
        <v>18503.707000000002</v>
      </c>
      <c r="EV31" s="1556">
        <v>19685.644999999997</v>
      </c>
      <c r="EW31" s="1557">
        <v>74113.94</v>
      </c>
      <c r="EX31" s="1556">
        <v>20108.964999999997</v>
      </c>
      <c r="EY31" s="1556">
        <v>21800.160000000003</v>
      </c>
      <c r="EZ31" s="1556">
        <v>21920.387000000002</v>
      </c>
      <c r="FA31" s="1556">
        <v>23722.317999999999</v>
      </c>
      <c r="FB31" s="1557">
        <v>87517.06</v>
      </c>
      <c r="FC31" s="1556">
        <v>23618.725000000006</v>
      </c>
      <c r="FD31" s="1556">
        <v>25438.93499999999</v>
      </c>
      <c r="FE31" s="1556">
        <v>25489.865000000005</v>
      </c>
      <c r="FF31" s="1556">
        <v>27011.109999999993</v>
      </c>
      <c r="FG31" s="1557">
        <v>102143.09</v>
      </c>
      <c r="FH31" s="1556">
        <v>27370.940000000002</v>
      </c>
      <c r="FI31" s="1556">
        <v>29056.266000000003</v>
      </c>
      <c r="FJ31" s="1556">
        <v>29292.490000000005</v>
      </c>
      <c r="FK31" s="1556">
        <v>31159.298000000003</v>
      </c>
      <c r="FL31" s="1557">
        <v>118379.98000000001</v>
      </c>
      <c r="FM31" s="1556" t="s">
        <v>2451</v>
      </c>
      <c r="FN31" s="1556" t="s">
        <v>2451</v>
      </c>
      <c r="FO31" s="1556" t="s">
        <v>2451</v>
      </c>
      <c r="FP31" s="1556" t="s">
        <v>2451</v>
      </c>
      <c r="FQ31" s="1557">
        <v>139274.90999999997</v>
      </c>
      <c r="FR31" s="1556" t="s">
        <v>2451</v>
      </c>
      <c r="FS31" s="1556" t="s">
        <v>2451</v>
      </c>
      <c r="FT31" s="1556" t="s">
        <v>2451</v>
      </c>
      <c r="FU31" s="1556" t="s">
        <v>2451</v>
      </c>
      <c r="FV31" s="1557">
        <v>153003.09999999998</v>
      </c>
      <c r="FW31" s="1556" t="s">
        <v>2451</v>
      </c>
      <c r="FX31" s="1556" t="s">
        <v>2451</v>
      </c>
      <c r="FY31" s="1556" t="s">
        <v>2451</v>
      </c>
      <c r="FZ31" s="1556" t="s">
        <v>2451</v>
      </c>
      <c r="GA31" s="1557" t="s">
        <v>2451</v>
      </c>
    </row>
    <row r="32" spans="1:183" s="55" customFormat="1" ht="12.75" customHeight="1" outlineLevel="1">
      <c r="A32" s="54" t="s">
        <v>382</v>
      </c>
      <c r="B32" s="753" t="s">
        <v>34</v>
      </c>
      <c r="C32" s="74"/>
      <c r="D32" s="70"/>
      <c r="E32" s="70"/>
      <c r="F32" s="70"/>
      <c r="G32" s="70"/>
      <c r="H32" s="71"/>
      <c r="I32" s="70"/>
      <c r="J32" s="70"/>
      <c r="K32" s="70"/>
      <c r="L32" s="70"/>
      <c r="M32" s="71"/>
      <c r="N32" s="70"/>
      <c r="O32" s="70"/>
      <c r="P32" s="70"/>
      <c r="Q32" s="70"/>
      <c r="R32" s="71"/>
      <c r="S32" s="70"/>
      <c r="T32" s="70"/>
      <c r="U32" s="70"/>
      <c r="V32" s="70"/>
      <c r="W32" s="71"/>
      <c r="X32" s="70"/>
      <c r="Y32" s="70"/>
      <c r="Z32" s="70"/>
      <c r="AA32" s="70"/>
      <c r="AB32" s="71"/>
      <c r="AC32" s="70"/>
      <c r="AD32" s="70"/>
      <c r="AE32" s="70"/>
      <c r="AF32" s="70"/>
      <c r="AG32" s="71"/>
      <c r="AH32" s="70"/>
      <c r="AI32" s="70"/>
      <c r="AJ32" s="70"/>
      <c r="AK32" s="70"/>
      <c r="AL32" s="71"/>
      <c r="AM32" s="70"/>
      <c r="AN32" s="70"/>
      <c r="AO32" s="70"/>
      <c r="AP32" s="70"/>
      <c r="AQ32" s="71"/>
      <c r="AR32" s="70"/>
      <c r="AS32" s="70"/>
      <c r="AT32" s="70"/>
      <c r="AU32" s="70"/>
      <c r="AV32" s="71"/>
      <c r="AW32" s="70"/>
      <c r="AX32" s="70"/>
      <c r="AY32" s="70"/>
      <c r="AZ32" s="70"/>
      <c r="BA32" s="71"/>
      <c r="BB32" s="70"/>
      <c r="BC32" s="70"/>
      <c r="BD32" s="70"/>
      <c r="BE32" s="70"/>
      <c r="BF32" s="71"/>
      <c r="BG32" s="70"/>
      <c r="BH32" s="70"/>
      <c r="BI32" s="70"/>
      <c r="BJ32" s="70"/>
      <c r="BK32" s="71"/>
      <c r="BL32" s="70"/>
      <c r="BM32" s="70"/>
      <c r="BN32" s="70"/>
      <c r="BO32" s="70"/>
      <c r="BP32" s="71"/>
      <c r="BQ32" s="70"/>
      <c r="BR32" s="70"/>
      <c r="BS32" s="70"/>
      <c r="BT32" s="70"/>
      <c r="BU32" s="71"/>
      <c r="BV32" s="70"/>
      <c r="BW32" s="70"/>
      <c r="BX32" s="70"/>
      <c r="BY32" s="70"/>
      <c r="BZ32" s="71"/>
      <c r="CA32" s="70"/>
      <c r="CB32" s="70"/>
      <c r="CC32" s="70"/>
      <c r="CD32" s="70"/>
      <c r="CE32" s="71"/>
      <c r="CF32" s="70"/>
      <c r="CG32" s="70"/>
      <c r="CH32" s="70"/>
      <c r="CI32" s="70"/>
      <c r="CJ32" s="71"/>
      <c r="CK32" s="70"/>
      <c r="CL32" s="70"/>
      <c r="CM32" s="70"/>
      <c r="CN32" s="70"/>
      <c r="CO32" s="71"/>
      <c r="CP32" s="70"/>
      <c r="CQ32" s="70"/>
      <c r="CR32" s="70"/>
      <c r="CS32" s="70"/>
      <c r="CT32" s="71"/>
      <c r="CU32" s="70"/>
      <c r="CV32" s="70"/>
      <c r="CW32" s="70"/>
      <c r="CX32" s="70"/>
      <c r="CY32" s="71"/>
      <c r="CZ32" s="70"/>
      <c r="DA32" s="70"/>
      <c r="DB32" s="70"/>
      <c r="DC32" s="70"/>
      <c r="DD32" s="71"/>
      <c r="DE32" s="70"/>
      <c r="DF32" s="70"/>
      <c r="DG32" s="70"/>
      <c r="DH32" s="70"/>
      <c r="DI32" s="71"/>
      <c r="DJ32" s="70"/>
      <c r="DK32" s="70"/>
      <c r="DL32" s="70"/>
      <c r="DM32" s="70"/>
      <c r="DN32" s="71"/>
      <c r="DO32" s="70"/>
      <c r="DP32" s="70"/>
      <c r="DQ32" s="70"/>
      <c r="DR32" s="70"/>
      <c r="DS32" s="71"/>
      <c r="DT32" s="70"/>
      <c r="DU32" s="70"/>
      <c r="DV32" s="70"/>
      <c r="DW32" s="70"/>
      <c r="DX32" s="71"/>
      <c r="DY32" s="70" t="s">
        <v>2451</v>
      </c>
      <c r="DZ32" s="70" t="s">
        <v>2451</v>
      </c>
      <c r="EA32" s="70" t="s">
        <v>2451</v>
      </c>
      <c r="EB32" s="70" t="s">
        <v>2451</v>
      </c>
      <c r="EC32" s="71" t="s">
        <v>2451</v>
      </c>
      <c r="ED32" s="70">
        <v>5.7274649240822706E-2</v>
      </c>
      <c r="EE32" s="70">
        <v>0.14856772940605278</v>
      </c>
      <c r="EF32" s="70">
        <v>0.18861047835990896</v>
      </c>
      <c r="EG32" s="70">
        <v>0.13427925515851391</v>
      </c>
      <c r="EH32" s="71">
        <v>0.13362698753760194</v>
      </c>
      <c r="EI32" s="70">
        <v>0.24031994182875849</v>
      </c>
      <c r="EJ32" s="70">
        <v>0.19487107228406364</v>
      </c>
      <c r="EK32" s="70">
        <v>0.19701364507474106</v>
      </c>
      <c r="EL32" s="70">
        <v>0.17425487813594454</v>
      </c>
      <c r="EM32" s="71">
        <v>0.19974685730291397</v>
      </c>
      <c r="EN32" s="70">
        <v>0.13234647515755538</v>
      </c>
      <c r="EO32" s="70">
        <v>2.9061497641509559E-2</v>
      </c>
      <c r="EP32" s="70">
        <v>3.2847940284250088E-2</v>
      </c>
      <c r="EQ32" s="70">
        <v>2.2642887576845849E-2</v>
      </c>
      <c r="ER32" s="71">
        <v>5.0549218719953881E-2</v>
      </c>
      <c r="ES32" s="70">
        <v>5.4998058503753722E-2</v>
      </c>
      <c r="ET32" s="70">
        <v>0.12433573295598199</v>
      </c>
      <c r="EU32" s="70">
        <v>0.14730575122155876</v>
      </c>
      <c r="EV32" s="70">
        <v>0.17169483959288123</v>
      </c>
      <c r="EW32" s="71">
        <v>0.12580228706022067</v>
      </c>
      <c r="EX32" s="70">
        <v>0.23354034485698816</v>
      </c>
      <c r="EY32" s="70">
        <v>0.11095505761126034</v>
      </c>
      <c r="EZ32" s="70">
        <v>0.18464840585726949</v>
      </c>
      <c r="FA32" s="70">
        <v>0.20505667962619478</v>
      </c>
      <c r="FB32" s="71">
        <v>0.18084479114185537</v>
      </c>
      <c r="FC32" s="70">
        <v>0.1745370783628104</v>
      </c>
      <c r="FD32" s="70">
        <v>0.16691505933901341</v>
      </c>
      <c r="FE32" s="70">
        <v>0.1628382747074677</v>
      </c>
      <c r="FF32" s="70">
        <v>0.13863704213053696</v>
      </c>
      <c r="FG32" s="71">
        <v>0.16712204454765733</v>
      </c>
      <c r="FH32" s="70">
        <v>0.1588661115280352</v>
      </c>
      <c r="FI32" s="70">
        <v>0.14219663676958239</v>
      </c>
      <c r="FJ32" s="70">
        <v>0.14918184148876423</v>
      </c>
      <c r="FK32" s="70">
        <v>0.15357339998245201</v>
      </c>
      <c r="FL32" s="71">
        <v>0.15896219705121517</v>
      </c>
      <c r="FM32" s="70" t="s">
        <v>2451</v>
      </c>
      <c r="FN32" s="70" t="s">
        <v>2451</v>
      </c>
      <c r="FO32" s="70" t="s">
        <v>2451</v>
      </c>
      <c r="FP32" s="70" t="s">
        <v>2451</v>
      </c>
      <c r="FQ32" s="71">
        <v>0.17650729456112391</v>
      </c>
      <c r="FR32" s="70" t="s">
        <v>2451</v>
      </c>
      <c r="FS32" s="70" t="s">
        <v>2451</v>
      </c>
      <c r="FT32" s="70" t="s">
        <v>2451</v>
      </c>
      <c r="FU32" s="70" t="s">
        <v>2451</v>
      </c>
      <c r="FV32" s="71">
        <v>9.8569010024849524E-2</v>
      </c>
      <c r="FW32" s="70" t="s">
        <v>2451</v>
      </c>
      <c r="FX32" s="70" t="s">
        <v>2451</v>
      </c>
      <c r="FY32" s="70" t="s">
        <v>2451</v>
      </c>
      <c r="FZ32" s="70" t="s">
        <v>2451</v>
      </c>
      <c r="GA32" s="71" t="s">
        <v>2451</v>
      </c>
    </row>
    <row r="33" spans="1:183" s="55" customFormat="1" ht="12.75" customHeight="1" outlineLevel="1">
      <c r="A33" s="54" t="s">
        <v>383</v>
      </c>
      <c r="B33" s="753" t="s">
        <v>36</v>
      </c>
      <c r="C33" s="74"/>
      <c r="D33" s="70"/>
      <c r="E33" s="70"/>
      <c r="F33" s="70"/>
      <c r="G33" s="70"/>
      <c r="H33" s="75"/>
      <c r="I33" s="70"/>
      <c r="J33" s="70"/>
      <c r="K33" s="70"/>
      <c r="L33" s="70"/>
      <c r="M33" s="73"/>
      <c r="N33" s="70"/>
      <c r="O33" s="70"/>
      <c r="P33" s="70"/>
      <c r="Q33" s="70"/>
      <c r="R33" s="73"/>
      <c r="S33" s="70"/>
      <c r="T33" s="70"/>
      <c r="U33" s="70"/>
      <c r="V33" s="70"/>
      <c r="W33" s="73"/>
      <c r="X33" s="70"/>
      <c r="Y33" s="70"/>
      <c r="Z33" s="70"/>
      <c r="AA33" s="70"/>
      <c r="AB33" s="73"/>
      <c r="AC33" s="70"/>
      <c r="AD33" s="70"/>
      <c r="AE33" s="70"/>
      <c r="AF33" s="70"/>
      <c r="AG33" s="73"/>
      <c r="AH33" s="70"/>
      <c r="AI33" s="70"/>
      <c r="AJ33" s="70"/>
      <c r="AK33" s="70"/>
      <c r="AL33" s="73"/>
      <c r="AM33" s="70"/>
      <c r="AN33" s="70"/>
      <c r="AO33" s="70"/>
      <c r="AP33" s="70"/>
      <c r="AQ33" s="73"/>
      <c r="AR33" s="70"/>
      <c r="AS33" s="70"/>
      <c r="AT33" s="70"/>
      <c r="AU33" s="70"/>
      <c r="AV33" s="73"/>
      <c r="AW33" s="70"/>
      <c r="AX33" s="70"/>
      <c r="AY33" s="70"/>
      <c r="AZ33" s="70"/>
      <c r="BA33" s="73"/>
      <c r="BB33" s="70"/>
      <c r="BC33" s="70"/>
      <c r="BD33" s="70"/>
      <c r="BE33" s="70"/>
      <c r="BF33" s="73"/>
      <c r="BG33" s="70"/>
      <c r="BH33" s="70"/>
      <c r="BI33" s="70"/>
      <c r="BJ33" s="70"/>
      <c r="BK33" s="73"/>
      <c r="BL33" s="70"/>
      <c r="BM33" s="70"/>
      <c r="BN33" s="70"/>
      <c r="BO33" s="70"/>
      <c r="BP33" s="73"/>
      <c r="BQ33" s="70"/>
      <c r="BR33" s="70"/>
      <c r="BS33" s="70"/>
      <c r="BT33" s="70"/>
      <c r="BU33" s="73"/>
      <c r="BV33" s="70"/>
      <c r="BW33" s="70"/>
      <c r="BX33" s="70"/>
      <c r="BY33" s="70"/>
      <c r="BZ33" s="73"/>
      <c r="CA33" s="70"/>
      <c r="CB33" s="70"/>
      <c r="CC33" s="70"/>
      <c r="CD33" s="70"/>
      <c r="CE33" s="73"/>
      <c r="CF33" s="70"/>
      <c r="CG33" s="70"/>
      <c r="CH33" s="70"/>
      <c r="CI33" s="70"/>
      <c r="CJ33" s="73"/>
      <c r="CK33" s="70"/>
      <c r="CL33" s="70"/>
      <c r="CM33" s="70"/>
      <c r="CN33" s="70"/>
      <c r="CO33" s="73"/>
      <c r="CP33" s="70"/>
      <c r="CQ33" s="70"/>
      <c r="CR33" s="70"/>
      <c r="CS33" s="70"/>
      <c r="CT33" s="73"/>
      <c r="CU33" s="70"/>
      <c r="CV33" s="70"/>
      <c r="CW33" s="70"/>
      <c r="CX33" s="70"/>
      <c r="CY33" s="73"/>
      <c r="CZ33" s="70"/>
      <c r="DA33" s="70"/>
      <c r="DB33" s="70"/>
      <c r="DC33" s="70"/>
      <c r="DD33" s="73"/>
      <c r="DE33" s="70"/>
      <c r="DF33" s="70"/>
      <c r="DG33" s="70"/>
      <c r="DH33" s="70"/>
      <c r="DI33" s="73"/>
      <c r="DJ33" s="70"/>
      <c r="DK33" s="70"/>
      <c r="DL33" s="70"/>
      <c r="DM33" s="70"/>
      <c r="DN33" s="73"/>
      <c r="DO33" s="70"/>
      <c r="DP33" s="70"/>
      <c r="DQ33" s="70"/>
      <c r="DR33" s="70"/>
      <c r="DS33" s="73"/>
      <c r="DT33" s="70"/>
      <c r="DU33" s="70"/>
      <c r="DV33" s="70"/>
      <c r="DW33" s="70"/>
      <c r="DX33" s="73"/>
      <c r="DY33" s="70" t="s">
        <v>2451</v>
      </c>
      <c r="DZ33" s="70">
        <v>0.18758408610417066</v>
      </c>
      <c r="EA33" s="70">
        <v>-0.11191131251011488</v>
      </c>
      <c r="EB33" s="70">
        <v>0.12389111617312087</v>
      </c>
      <c r="EC33" s="73"/>
      <c r="ED33" s="70">
        <v>-0.10804514578986701</v>
      </c>
      <c r="EE33" s="70">
        <v>0.29012906744228317</v>
      </c>
      <c r="EF33" s="70">
        <v>-8.0949697055093695E-2</v>
      </c>
      <c r="EG33" s="70">
        <v>7.2518206209275515E-2</v>
      </c>
      <c r="EH33" s="73"/>
      <c r="EI33" s="70">
        <v>-2.465870917018087E-2</v>
      </c>
      <c r="EJ33" s="70">
        <v>0.24285504909863698</v>
      </c>
      <c r="EK33" s="70">
        <v>-7.9301709905660545E-2</v>
      </c>
      <c r="EL33" s="70">
        <v>5.2126465485878182E-2</v>
      </c>
      <c r="EM33" s="73"/>
      <c r="EN33" s="70">
        <v>-5.9468013877898795E-2</v>
      </c>
      <c r="EO33" s="70">
        <v>0.1294902278022263</v>
      </c>
      <c r="EP33" s="70">
        <v>-7.591399082890804E-2</v>
      </c>
      <c r="EQ33" s="70">
        <v>4.1730931335726806E-2</v>
      </c>
      <c r="ER33" s="73"/>
      <c r="ES33" s="70">
        <v>-2.9710731504076993E-2</v>
      </c>
      <c r="ET33" s="70">
        <v>0.20372375371354012</v>
      </c>
      <c r="EU33" s="70">
        <v>-5.7035045788339067E-2</v>
      </c>
      <c r="EV33" s="70">
        <v>6.3875741223096139E-2</v>
      </c>
      <c r="EW33" s="73"/>
      <c r="EX33" s="70">
        <v>2.1503994408108129E-2</v>
      </c>
      <c r="EY33" s="70">
        <v>8.4101543764187214E-2</v>
      </c>
      <c r="EZ33" s="70">
        <v>5.5149595232328874E-3</v>
      </c>
      <c r="FA33" s="70">
        <v>8.2203430076302819E-2</v>
      </c>
      <c r="FB33" s="73"/>
      <c r="FC33" s="70">
        <v>-4.3669004015540747E-3</v>
      </c>
      <c r="FD33" s="70">
        <v>7.7066395412960897E-2</v>
      </c>
      <c r="FE33" s="70">
        <v>2.0020492210077734E-3</v>
      </c>
      <c r="FF33" s="70">
        <v>5.9680386694868304E-2</v>
      </c>
      <c r="FG33" s="73"/>
      <c r="FH33" s="70">
        <v>1.3321555463659651E-2</v>
      </c>
      <c r="FI33" s="70">
        <v>6.1573552095762984E-2</v>
      </c>
      <c r="FJ33" s="70">
        <v>8.1298815202202057E-3</v>
      </c>
      <c r="FK33" s="70">
        <v>6.3729918487639647E-2</v>
      </c>
      <c r="FL33" s="73"/>
      <c r="FM33" s="70" t="s">
        <v>2451</v>
      </c>
      <c r="FN33" s="70" t="s">
        <v>2451</v>
      </c>
      <c r="FO33" s="70" t="s">
        <v>2451</v>
      </c>
      <c r="FP33" s="70" t="s">
        <v>2451</v>
      </c>
      <c r="FQ33" s="73"/>
      <c r="FR33" s="70" t="s">
        <v>2451</v>
      </c>
      <c r="FS33" s="70" t="s">
        <v>2451</v>
      </c>
      <c r="FT33" s="70" t="s">
        <v>2451</v>
      </c>
      <c r="FU33" s="70" t="s">
        <v>2451</v>
      </c>
      <c r="FV33" s="73"/>
      <c r="FW33" s="70" t="s">
        <v>2451</v>
      </c>
      <c r="FX33" s="70" t="s">
        <v>2451</v>
      </c>
      <c r="FY33" s="70" t="s">
        <v>2451</v>
      </c>
      <c r="FZ33" s="70" t="s">
        <v>2451</v>
      </c>
      <c r="GA33" s="73"/>
    </row>
    <row r="34" spans="1:183" s="55" customFormat="1" ht="12.75" customHeight="1" outlineLevel="1">
      <c r="A34" s="54"/>
      <c r="B34" s="1542"/>
      <c r="C34" s="74"/>
      <c r="D34" s="70"/>
      <c r="E34" s="70"/>
      <c r="F34" s="70"/>
      <c r="G34" s="70"/>
      <c r="H34" s="75"/>
      <c r="I34" s="70"/>
      <c r="J34" s="70"/>
      <c r="K34" s="70"/>
      <c r="L34" s="70"/>
      <c r="M34" s="75"/>
      <c r="N34" s="70"/>
      <c r="O34" s="70"/>
      <c r="P34" s="70"/>
      <c r="Q34" s="70"/>
      <c r="R34" s="75"/>
      <c r="S34" s="70"/>
      <c r="T34" s="70"/>
      <c r="U34" s="70"/>
      <c r="V34" s="70"/>
      <c r="W34" s="75"/>
      <c r="X34" s="70"/>
      <c r="Y34" s="70"/>
      <c r="Z34" s="70"/>
      <c r="AA34" s="70"/>
      <c r="AB34" s="75"/>
      <c r="AC34" s="70"/>
      <c r="AD34" s="70"/>
      <c r="AE34" s="70"/>
      <c r="AF34" s="70"/>
      <c r="AG34" s="75"/>
      <c r="AH34" s="70"/>
      <c r="AI34" s="70"/>
      <c r="AJ34" s="70"/>
      <c r="AK34" s="70"/>
      <c r="AL34" s="75"/>
      <c r="AM34" s="70"/>
      <c r="AN34" s="70"/>
      <c r="AO34" s="70"/>
      <c r="AP34" s="70"/>
      <c r="AQ34" s="75"/>
      <c r="AR34" s="70"/>
      <c r="AS34" s="70"/>
      <c r="AT34" s="70"/>
      <c r="AU34" s="70"/>
      <c r="AV34" s="75"/>
      <c r="AW34" s="70"/>
      <c r="AX34" s="70"/>
      <c r="AY34" s="70"/>
      <c r="AZ34" s="70"/>
      <c r="BA34" s="75"/>
      <c r="BB34" s="70"/>
      <c r="BC34" s="70"/>
      <c r="BD34" s="70"/>
      <c r="BE34" s="70"/>
      <c r="BF34" s="75"/>
      <c r="BG34" s="70"/>
      <c r="BH34" s="70"/>
      <c r="BI34" s="70"/>
      <c r="BJ34" s="70"/>
      <c r="BK34" s="75"/>
      <c r="BL34" s="70"/>
      <c r="BM34" s="70"/>
      <c r="BN34" s="70"/>
      <c r="BO34" s="70"/>
      <c r="BP34" s="75"/>
      <c r="BQ34" s="70"/>
      <c r="BR34" s="70"/>
      <c r="BS34" s="70"/>
      <c r="BT34" s="70"/>
      <c r="BU34" s="75"/>
      <c r="BV34" s="70"/>
      <c r="BW34" s="70"/>
      <c r="BX34" s="70"/>
      <c r="BY34" s="70"/>
      <c r="BZ34" s="75"/>
      <c r="CA34" s="70"/>
      <c r="CB34" s="70"/>
      <c r="CC34" s="70"/>
      <c r="CD34" s="70"/>
      <c r="CE34" s="75"/>
      <c r="CF34" s="70"/>
      <c r="CG34" s="70"/>
      <c r="CH34" s="70"/>
      <c r="CI34" s="70"/>
      <c r="CJ34" s="75"/>
      <c r="CK34" s="70"/>
      <c r="CL34" s="70"/>
      <c r="CM34" s="70"/>
      <c r="CN34" s="70"/>
      <c r="CO34" s="75"/>
      <c r="CP34" s="70"/>
      <c r="CQ34" s="70"/>
      <c r="CR34" s="70"/>
      <c r="CS34" s="70"/>
      <c r="CT34" s="75"/>
      <c r="CU34" s="70"/>
      <c r="CV34" s="70"/>
      <c r="CW34" s="70"/>
      <c r="CX34" s="70"/>
      <c r="CY34" s="75"/>
      <c r="CZ34" s="70"/>
      <c r="DA34" s="70"/>
      <c r="DB34" s="70"/>
      <c r="DC34" s="70"/>
      <c r="DD34" s="75"/>
      <c r="DE34" s="70"/>
      <c r="DF34" s="70"/>
      <c r="DG34" s="70"/>
      <c r="DH34" s="70"/>
      <c r="DI34" s="75"/>
      <c r="DJ34" s="70"/>
      <c r="DK34" s="70"/>
      <c r="DL34" s="70"/>
      <c r="DM34" s="70"/>
      <c r="DN34" s="75"/>
      <c r="DO34" s="70"/>
      <c r="DP34" s="70"/>
      <c r="DQ34" s="70"/>
      <c r="DR34" s="70"/>
      <c r="DS34" s="75"/>
      <c r="DT34" s="70"/>
      <c r="DU34" s="70"/>
      <c r="DV34" s="70"/>
      <c r="DW34" s="70"/>
      <c r="DX34" s="75"/>
      <c r="DY34" s="70"/>
      <c r="DZ34" s="70"/>
      <c r="EA34" s="70"/>
      <c r="EB34" s="70"/>
      <c r="EC34" s="75"/>
      <c r="ED34" s="70"/>
      <c r="EE34" s="70"/>
      <c r="EF34" s="70"/>
      <c r="EG34" s="70"/>
      <c r="EH34" s="75"/>
      <c r="EI34" s="70"/>
      <c r="EJ34" s="70"/>
      <c r="EK34" s="70"/>
      <c r="EL34" s="70"/>
      <c r="EM34" s="75"/>
      <c r="EN34" s="70"/>
      <c r="EO34" s="70"/>
      <c r="EP34" s="70"/>
      <c r="EQ34" s="70"/>
      <c r="ER34" s="75"/>
      <c r="ES34" s="70"/>
      <c r="ET34" s="70"/>
      <c r="EU34" s="70"/>
      <c r="EV34" s="70"/>
      <c r="EW34" s="75"/>
      <c r="EX34" s="70"/>
      <c r="EY34" s="70"/>
      <c r="EZ34" s="70"/>
      <c r="FA34" s="70"/>
      <c r="FB34" s="75"/>
      <c r="FC34" s="70"/>
      <c r="FD34" s="70"/>
      <c r="FE34" s="70"/>
      <c r="FF34" s="70"/>
      <c r="FG34" s="75"/>
      <c r="FH34" s="70"/>
      <c r="FI34" s="70"/>
      <c r="FJ34" s="70"/>
      <c r="FK34" s="70"/>
      <c r="FL34" s="75"/>
      <c r="FM34" s="70"/>
      <c r="FN34" s="70"/>
      <c r="FO34" s="70"/>
      <c r="FP34" s="70"/>
      <c r="FQ34" s="75"/>
      <c r="FR34" s="70"/>
      <c r="FS34" s="70"/>
      <c r="FT34" s="70"/>
      <c r="FU34" s="70"/>
      <c r="FV34" s="75"/>
      <c r="FW34" s="70"/>
      <c r="FX34" s="70"/>
      <c r="FY34" s="70"/>
      <c r="FZ34" s="70"/>
      <c r="GA34" s="75"/>
    </row>
    <row r="35" spans="1:183" s="1558" customFormat="1" ht="12.75" customHeight="1" outlineLevel="1">
      <c r="A35" s="1401" t="s">
        <v>344</v>
      </c>
      <c r="B35" s="1549" t="s">
        <v>38</v>
      </c>
      <c r="C35" s="1555"/>
      <c r="D35" s="1556"/>
      <c r="E35" s="1556"/>
      <c r="F35" s="1556"/>
      <c r="G35" s="1556"/>
      <c r="H35" s="1557"/>
      <c r="I35" s="1556"/>
      <c r="J35" s="1556"/>
      <c r="K35" s="1556"/>
      <c r="L35" s="1556"/>
      <c r="M35" s="1557"/>
      <c r="N35" s="1556"/>
      <c r="O35" s="1556"/>
      <c r="P35" s="1556"/>
      <c r="Q35" s="1556"/>
      <c r="R35" s="1557"/>
      <c r="S35" s="1556"/>
      <c r="T35" s="1556"/>
      <c r="U35" s="1556"/>
      <c r="V35" s="1556"/>
      <c r="W35" s="1557"/>
      <c r="X35" s="1556"/>
      <c r="Y35" s="1556"/>
      <c r="Z35" s="1556"/>
      <c r="AA35" s="1556"/>
      <c r="AB35" s="1557"/>
      <c r="AC35" s="1556"/>
      <c r="AD35" s="1556"/>
      <c r="AE35" s="1556"/>
      <c r="AF35" s="1556"/>
      <c r="AG35" s="1557"/>
      <c r="AH35" s="1556"/>
      <c r="AI35" s="1556"/>
      <c r="AJ35" s="1556"/>
      <c r="AK35" s="1556"/>
      <c r="AL35" s="1557"/>
      <c r="AM35" s="1556"/>
      <c r="AN35" s="1556"/>
      <c r="AO35" s="1556"/>
      <c r="AP35" s="1556"/>
      <c r="AQ35" s="1557"/>
      <c r="AR35" s="1556"/>
      <c r="AS35" s="1556"/>
      <c r="AT35" s="1556"/>
      <c r="AU35" s="1556"/>
      <c r="AV35" s="1557"/>
      <c r="AW35" s="1556"/>
      <c r="AX35" s="1556"/>
      <c r="AY35" s="1556"/>
      <c r="AZ35" s="1556"/>
      <c r="BA35" s="1557"/>
      <c r="BB35" s="1556"/>
      <c r="BC35" s="1556"/>
      <c r="BD35" s="1556"/>
      <c r="BE35" s="1556"/>
      <c r="BF35" s="1557"/>
      <c r="BG35" s="1556"/>
      <c r="BH35" s="1556"/>
      <c r="BI35" s="1556"/>
      <c r="BJ35" s="1556"/>
      <c r="BK35" s="1557"/>
      <c r="BL35" s="1556"/>
      <c r="BM35" s="1556"/>
      <c r="BN35" s="1556"/>
      <c r="BO35" s="1556"/>
      <c r="BP35" s="1557"/>
      <c r="BQ35" s="1556"/>
      <c r="BR35" s="1556"/>
      <c r="BS35" s="1556"/>
      <c r="BT35" s="1556"/>
      <c r="BU35" s="1557"/>
      <c r="BV35" s="1556"/>
      <c r="BW35" s="1556"/>
      <c r="BX35" s="1556"/>
      <c r="BY35" s="1556"/>
      <c r="BZ35" s="1557"/>
      <c r="CA35" s="1556"/>
      <c r="CB35" s="1556"/>
      <c r="CC35" s="1556"/>
      <c r="CD35" s="1556"/>
      <c r="CE35" s="1557"/>
      <c r="CF35" s="1556"/>
      <c r="CG35" s="1556"/>
      <c r="CH35" s="1556"/>
      <c r="CI35" s="1556"/>
      <c r="CJ35" s="1557"/>
      <c r="CK35" s="1556"/>
      <c r="CL35" s="1556"/>
      <c r="CM35" s="1556"/>
      <c r="CN35" s="1556"/>
      <c r="CO35" s="1557"/>
      <c r="CP35" s="1556"/>
      <c r="CQ35" s="1556"/>
      <c r="CR35" s="1556"/>
      <c r="CS35" s="1556"/>
      <c r="CT35" s="1557"/>
      <c r="CU35" s="1556"/>
      <c r="CV35" s="1556"/>
      <c r="CW35" s="1556"/>
      <c r="CX35" s="1556"/>
      <c r="CY35" s="1557"/>
      <c r="CZ35" s="1556"/>
      <c r="DA35" s="1556"/>
      <c r="DB35" s="1556"/>
      <c r="DC35" s="1556"/>
      <c r="DD35" s="1557"/>
      <c r="DE35" s="1556"/>
      <c r="DF35" s="1556"/>
      <c r="DG35" s="1556"/>
      <c r="DH35" s="1556"/>
      <c r="DI35" s="1557"/>
      <c r="DJ35" s="1556"/>
      <c r="DK35" s="1556"/>
      <c r="DL35" s="1556"/>
      <c r="DM35" s="1556"/>
      <c r="DN35" s="1557"/>
      <c r="DO35" s="1556"/>
      <c r="DP35" s="1556"/>
      <c r="DQ35" s="1556"/>
      <c r="DR35" s="1556"/>
      <c r="DS35" s="1557"/>
      <c r="DT35" s="1556"/>
      <c r="DU35" s="1556"/>
      <c r="DV35" s="1556"/>
      <c r="DW35" s="1556"/>
      <c r="DX35" s="1557"/>
      <c r="DY35" s="1556">
        <v>22649</v>
      </c>
      <c r="DZ35" s="1556">
        <v>24548</v>
      </c>
      <c r="EA35" s="1556">
        <v>24046</v>
      </c>
      <c r="EB35" s="1556">
        <v>25698.294999999998</v>
      </c>
      <c r="EC35" s="1557">
        <v>96940.4</v>
      </c>
      <c r="ED35" s="1556">
        <v>26152</v>
      </c>
      <c r="EE35" s="1556">
        <v>28882</v>
      </c>
      <c r="EF35" s="1556">
        <v>28661</v>
      </c>
      <c r="EG35" s="1556">
        <v>32161</v>
      </c>
      <c r="EH35" s="1557">
        <v>115856.59</v>
      </c>
      <c r="EI35" s="1556">
        <v>31671</v>
      </c>
      <c r="EJ35" s="1556">
        <v>34768</v>
      </c>
      <c r="EK35" s="1556">
        <v>33744.957000000002</v>
      </c>
      <c r="EL35" s="1556">
        <v>35436</v>
      </c>
      <c r="EM35" s="1557">
        <v>135605.53</v>
      </c>
      <c r="EN35" s="1556">
        <v>34670</v>
      </c>
      <c r="EO35" s="1556">
        <v>35294.116999999998</v>
      </c>
      <c r="EP35" s="1556">
        <v>36729.035000000003</v>
      </c>
      <c r="EQ35" s="1556">
        <v>39388</v>
      </c>
      <c r="ER35" s="1557">
        <v>146082.89000000001</v>
      </c>
      <c r="ES35" s="1556">
        <v>40215.17</v>
      </c>
      <c r="ET35" s="1556">
        <v>42397.1</v>
      </c>
      <c r="EU35" s="1556">
        <v>43354.292999999998</v>
      </c>
      <c r="EV35" s="1556">
        <v>45041.355000000003</v>
      </c>
      <c r="EW35" s="1557">
        <v>171008.06</v>
      </c>
      <c r="EX35" s="1556">
        <v>45476.035000000003</v>
      </c>
      <c r="EY35" s="1556">
        <v>47831.839999999997</v>
      </c>
      <c r="EZ35" s="1556">
        <v>48145.612999999998</v>
      </c>
      <c r="FA35" s="1556">
        <v>50135.991999999998</v>
      </c>
      <c r="FB35" s="1557">
        <v>191694.14</v>
      </c>
      <c r="FC35" s="1556">
        <v>50527.714999999997</v>
      </c>
      <c r="FD35" s="1556">
        <v>53281.62</v>
      </c>
      <c r="FE35" s="1556">
        <v>53905.58</v>
      </c>
      <c r="FF35" s="1556">
        <v>56466.82</v>
      </c>
      <c r="FG35" s="1557">
        <v>214904.66</v>
      </c>
      <c r="FH35" s="1556">
        <v>57150.75</v>
      </c>
      <c r="FI35" s="1556">
        <v>60398</v>
      </c>
      <c r="FJ35" s="1556">
        <v>61471</v>
      </c>
      <c r="FK35" s="1556">
        <v>64165.332000000002</v>
      </c>
      <c r="FL35" s="1557">
        <v>244485.27</v>
      </c>
      <c r="FM35" s="1556" t="s">
        <v>2451</v>
      </c>
      <c r="FN35" s="1556" t="s">
        <v>2451</v>
      </c>
      <c r="FO35" s="1556" t="s">
        <v>2451</v>
      </c>
      <c r="FP35" s="1556" t="s">
        <v>2451</v>
      </c>
      <c r="FQ35" s="1557">
        <v>280220.84000000003</v>
      </c>
      <c r="FR35" s="1556" t="s">
        <v>2451</v>
      </c>
      <c r="FS35" s="1556" t="s">
        <v>2451</v>
      </c>
      <c r="FT35" s="1556" t="s">
        <v>2451</v>
      </c>
      <c r="FU35" s="1556" t="s">
        <v>2451</v>
      </c>
      <c r="FV35" s="1557">
        <v>324045.2</v>
      </c>
      <c r="FW35" s="1556" t="s">
        <v>2451</v>
      </c>
      <c r="FX35" s="1556" t="s">
        <v>2451</v>
      </c>
      <c r="FY35" s="1556" t="s">
        <v>2451</v>
      </c>
      <c r="FZ35" s="1556" t="s">
        <v>2451</v>
      </c>
      <c r="GA35" s="1557" t="s">
        <v>2451</v>
      </c>
    </row>
    <row r="36" spans="1:183" s="72" customFormat="1" ht="12.75" customHeight="1" outlineLevel="1">
      <c r="A36" s="68" t="s">
        <v>345</v>
      </c>
      <c r="B36" s="753" t="s">
        <v>34</v>
      </c>
      <c r="C36" s="69"/>
      <c r="D36" s="70"/>
      <c r="E36" s="70"/>
      <c r="F36" s="70"/>
      <c r="G36" s="70"/>
      <c r="H36" s="71"/>
      <c r="I36" s="70"/>
      <c r="J36" s="70"/>
      <c r="K36" s="70"/>
      <c r="L36" s="70"/>
      <c r="M36" s="71"/>
      <c r="N36" s="70"/>
      <c r="O36" s="70"/>
      <c r="P36" s="70"/>
      <c r="Q36" s="70"/>
      <c r="R36" s="71"/>
      <c r="S36" s="70"/>
      <c r="T36" s="70"/>
      <c r="U36" s="70"/>
      <c r="V36" s="70"/>
      <c r="W36" s="71"/>
      <c r="X36" s="70"/>
      <c r="Y36" s="70"/>
      <c r="Z36" s="70"/>
      <c r="AA36" s="70"/>
      <c r="AB36" s="71"/>
      <c r="AC36" s="70"/>
      <c r="AD36" s="70"/>
      <c r="AE36" s="70"/>
      <c r="AF36" s="70"/>
      <c r="AG36" s="71"/>
      <c r="AH36" s="70"/>
      <c r="AI36" s="70"/>
      <c r="AJ36" s="70"/>
      <c r="AK36" s="70"/>
      <c r="AL36" s="71"/>
      <c r="AM36" s="70"/>
      <c r="AN36" s="70"/>
      <c r="AO36" s="70"/>
      <c r="AP36" s="70"/>
      <c r="AQ36" s="71"/>
      <c r="AR36" s="70"/>
      <c r="AS36" s="70"/>
      <c r="AT36" s="70"/>
      <c r="AU36" s="70"/>
      <c r="AV36" s="71"/>
      <c r="AW36" s="70"/>
      <c r="AX36" s="70"/>
      <c r="AY36" s="70"/>
      <c r="AZ36" s="70"/>
      <c r="BA36" s="71"/>
      <c r="BB36" s="70"/>
      <c r="BC36" s="70"/>
      <c r="BD36" s="70"/>
      <c r="BE36" s="70"/>
      <c r="BF36" s="71"/>
      <c r="BG36" s="70"/>
      <c r="BH36" s="70"/>
      <c r="BI36" s="70"/>
      <c r="BJ36" s="70"/>
      <c r="BK36" s="71"/>
      <c r="BL36" s="70"/>
      <c r="BM36" s="70"/>
      <c r="BN36" s="70"/>
      <c r="BO36" s="70"/>
      <c r="BP36" s="71"/>
      <c r="BQ36" s="70"/>
      <c r="BR36" s="70"/>
      <c r="BS36" s="70"/>
      <c r="BT36" s="70"/>
      <c r="BU36" s="71"/>
      <c r="BV36" s="70"/>
      <c r="BW36" s="70"/>
      <c r="BX36" s="70"/>
      <c r="BY36" s="70"/>
      <c r="BZ36" s="71"/>
      <c r="CA36" s="70"/>
      <c r="CB36" s="70"/>
      <c r="CC36" s="70"/>
      <c r="CD36" s="70"/>
      <c r="CE36" s="71"/>
      <c r="CF36" s="70"/>
      <c r="CG36" s="70"/>
      <c r="CH36" s="70"/>
      <c r="CI36" s="70"/>
      <c r="CJ36" s="71"/>
      <c r="CK36" s="70"/>
      <c r="CL36" s="70"/>
      <c r="CM36" s="70"/>
      <c r="CN36" s="70"/>
      <c r="CO36" s="71"/>
      <c r="CP36" s="70"/>
      <c r="CQ36" s="70"/>
      <c r="CR36" s="70"/>
      <c r="CS36" s="70"/>
      <c r="CT36" s="71"/>
      <c r="CU36" s="70"/>
      <c r="CV36" s="70"/>
      <c r="CW36" s="70"/>
      <c r="CX36" s="70"/>
      <c r="CY36" s="71"/>
      <c r="CZ36" s="70"/>
      <c r="DA36" s="70"/>
      <c r="DB36" s="70"/>
      <c r="DC36" s="70"/>
      <c r="DD36" s="71"/>
      <c r="DE36" s="70"/>
      <c r="DF36" s="70"/>
      <c r="DG36" s="70"/>
      <c r="DH36" s="70"/>
      <c r="DI36" s="71"/>
      <c r="DJ36" s="70"/>
      <c r="DK36" s="70"/>
      <c r="DL36" s="70"/>
      <c r="DM36" s="70"/>
      <c r="DN36" s="71"/>
      <c r="DO36" s="70"/>
      <c r="DP36" s="70"/>
      <c r="DQ36" s="70"/>
      <c r="DR36" s="70"/>
      <c r="DS36" s="71"/>
      <c r="DT36" s="70"/>
      <c r="DU36" s="70"/>
      <c r="DV36" s="70"/>
      <c r="DW36" s="70"/>
      <c r="DX36" s="71"/>
      <c r="DY36" s="70" t="s">
        <v>2451</v>
      </c>
      <c r="DZ36" s="70" t="s">
        <v>2451</v>
      </c>
      <c r="EA36" s="70" t="s">
        <v>2451</v>
      </c>
      <c r="EB36" s="70" t="s">
        <v>2451</v>
      </c>
      <c r="EC36" s="71" t="s">
        <v>2451</v>
      </c>
      <c r="ED36" s="70">
        <v>0.15466466510662724</v>
      </c>
      <c r="EE36" s="70">
        <v>0.17655206126772049</v>
      </c>
      <c r="EF36" s="70">
        <v>0.19192381269233971</v>
      </c>
      <c r="EG36" s="70">
        <v>0.2514838046648622</v>
      </c>
      <c r="EH36" s="71">
        <v>0.1951321636799519</v>
      </c>
      <c r="EI36" s="70">
        <v>0.2110354848577547</v>
      </c>
      <c r="EJ36" s="70">
        <v>0.20379475105602096</v>
      </c>
      <c r="EK36" s="70">
        <v>0.17738240117232484</v>
      </c>
      <c r="EL36" s="70">
        <v>0.10183141071484103</v>
      </c>
      <c r="EM36" s="71">
        <v>0.17046022155494134</v>
      </c>
      <c r="EN36" s="70">
        <v>9.4692305263490262E-2</v>
      </c>
      <c r="EO36" s="70">
        <v>1.5132219282098403E-2</v>
      </c>
      <c r="EP36" s="70">
        <v>8.8430339383748446E-2</v>
      </c>
      <c r="EQ36" s="70">
        <v>0.11152500282198896</v>
      </c>
      <c r="ER36" s="71">
        <v>7.7263515728304144E-2</v>
      </c>
      <c r="ES36" s="70">
        <v>0.15994144793769816</v>
      </c>
      <c r="ET36" s="70">
        <v>0.20125118868960512</v>
      </c>
      <c r="EU36" s="70">
        <v>0.18038203290666344</v>
      </c>
      <c r="EV36" s="70">
        <v>0.14352988219762364</v>
      </c>
      <c r="EW36" s="71">
        <v>0.17062347274208478</v>
      </c>
      <c r="EX36" s="70">
        <v>0.13081792268937331</v>
      </c>
      <c r="EY36" s="70">
        <v>0.12818659766823659</v>
      </c>
      <c r="EZ36" s="70">
        <v>0.11051546844507421</v>
      </c>
      <c r="FA36" s="70">
        <v>0.1131102072750696</v>
      </c>
      <c r="FB36" s="71">
        <v>0.12096552642021674</v>
      </c>
      <c r="FC36" s="70">
        <v>0.11108444260806793</v>
      </c>
      <c r="FD36" s="70">
        <v>0.11393623996066227</v>
      </c>
      <c r="FE36" s="70">
        <v>0.1196363830698346</v>
      </c>
      <c r="FF36" s="70">
        <v>0.12627311732457591</v>
      </c>
      <c r="FG36" s="71">
        <v>0.12108100957076728</v>
      </c>
      <c r="FH36" s="70">
        <v>0.13107727115702739</v>
      </c>
      <c r="FI36" s="70">
        <v>0.13356162969519314</v>
      </c>
      <c r="FJ36" s="70">
        <v>0.14034576754391659</v>
      </c>
      <c r="FK36" s="70">
        <v>0.13633691431534478</v>
      </c>
      <c r="FL36" s="71">
        <v>0.13764527023285567</v>
      </c>
      <c r="FM36" s="70" t="s">
        <v>2451</v>
      </c>
      <c r="FN36" s="70" t="s">
        <v>2451</v>
      </c>
      <c r="FO36" s="70" t="s">
        <v>2451</v>
      </c>
      <c r="FP36" s="70" t="s">
        <v>2451</v>
      </c>
      <c r="FQ36" s="71">
        <v>0.14616655637372356</v>
      </c>
      <c r="FR36" s="70" t="s">
        <v>2451</v>
      </c>
      <c r="FS36" s="70" t="s">
        <v>2451</v>
      </c>
      <c r="FT36" s="70" t="s">
        <v>2451</v>
      </c>
      <c r="FU36" s="70" t="s">
        <v>2451</v>
      </c>
      <c r="FV36" s="71">
        <v>0.15639222264839403</v>
      </c>
      <c r="FW36" s="70" t="s">
        <v>2451</v>
      </c>
      <c r="FX36" s="70" t="s">
        <v>2451</v>
      </c>
      <c r="FY36" s="70" t="s">
        <v>2451</v>
      </c>
      <c r="FZ36" s="70" t="s">
        <v>2451</v>
      </c>
      <c r="GA36" s="71" t="s">
        <v>2451</v>
      </c>
    </row>
    <row r="37" spans="1:183" s="72" customFormat="1" ht="12.75" customHeight="1" outlineLevel="1">
      <c r="A37" s="68" t="s">
        <v>346</v>
      </c>
      <c r="B37" s="753" t="s">
        <v>36</v>
      </c>
      <c r="C37" s="69"/>
      <c r="D37" s="70"/>
      <c r="E37" s="70"/>
      <c r="F37" s="70"/>
      <c r="G37" s="70"/>
      <c r="H37" s="76"/>
      <c r="I37" s="70"/>
      <c r="J37" s="70"/>
      <c r="K37" s="70"/>
      <c r="L37" s="70"/>
      <c r="M37" s="73"/>
      <c r="N37" s="70"/>
      <c r="O37" s="70"/>
      <c r="P37" s="70"/>
      <c r="Q37" s="70"/>
      <c r="R37" s="73"/>
      <c r="S37" s="70"/>
      <c r="T37" s="70"/>
      <c r="U37" s="70"/>
      <c r="V37" s="70"/>
      <c r="W37" s="73"/>
      <c r="X37" s="70"/>
      <c r="Y37" s="70"/>
      <c r="Z37" s="70"/>
      <c r="AA37" s="70"/>
      <c r="AB37" s="73"/>
      <c r="AC37" s="70"/>
      <c r="AD37" s="70"/>
      <c r="AE37" s="70"/>
      <c r="AF37" s="70"/>
      <c r="AG37" s="73"/>
      <c r="AH37" s="70"/>
      <c r="AI37" s="70"/>
      <c r="AJ37" s="70"/>
      <c r="AK37" s="70"/>
      <c r="AL37" s="73"/>
      <c r="AM37" s="70"/>
      <c r="AN37" s="70"/>
      <c r="AO37" s="70"/>
      <c r="AP37" s="70"/>
      <c r="AQ37" s="73"/>
      <c r="AR37" s="70"/>
      <c r="AS37" s="70"/>
      <c r="AT37" s="70"/>
      <c r="AU37" s="70"/>
      <c r="AV37" s="73"/>
      <c r="AW37" s="70"/>
      <c r="AX37" s="70"/>
      <c r="AY37" s="70"/>
      <c r="AZ37" s="70"/>
      <c r="BA37" s="73"/>
      <c r="BB37" s="70"/>
      <c r="BC37" s="70"/>
      <c r="BD37" s="70"/>
      <c r="BE37" s="70"/>
      <c r="BF37" s="73"/>
      <c r="BG37" s="70"/>
      <c r="BH37" s="70"/>
      <c r="BI37" s="70"/>
      <c r="BJ37" s="70"/>
      <c r="BK37" s="73"/>
      <c r="BL37" s="70"/>
      <c r="BM37" s="70"/>
      <c r="BN37" s="70"/>
      <c r="BO37" s="70"/>
      <c r="BP37" s="73"/>
      <c r="BQ37" s="70"/>
      <c r="BR37" s="70"/>
      <c r="BS37" s="70"/>
      <c r="BT37" s="70"/>
      <c r="BU37" s="73"/>
      <c r="BV37" s="70"/>
      <c r="BW37" s="70"/>
      <c r="BX37" s="70"/>
      <c r="BY37" s="70"/>
      <c r="BZ37" s="73"/>
      <c r="CA37" s="70"/>
      <c r="CB37" s="70"/>
      <c r="CC37" s="70"/>
      <c r="CD37" s="70"/>
      <c r="CE37" s="73"/>
      <c r="CF37" s="70"/>
      <c r="CG37" s="70"/>
      <c r="CH37" s="70"/>
      <c r="CI37" s="70"/>
      <c r="CJ37" s="73"/>
      <c r="CK37" s="70"/>
      <c r="CL37" s="70"/>
      <c r="CM37" s="70"/>
      <c r="CN37" s="70"/>
      <c r="CO37" s="73"/>
      <c r="CP37" s="70"/>
      <c r="CQ37" s="70"/>
      <c r="CR37" s="70"/>
      <c r="CS37" s="70"/>
      <c r="CT37" s="73"/>
      <c r="CU37" s="70"/>
      <c r="CV37" s="70"/>
      <c r="CW37" s="70"/>
      <c r="CX37" s="70"/>
      <c r="CY37" s="73"/>
      <c r="CZ37" s="70"/>
      <c r="DA37" s="70"/>
      <c r="DB37" s="70"/>
      <c r="DC37" s="70"/>
      <c r="DD37" s="73"/>
      <c r="DE37" s="70"/>
      <c r="DF37" s="70"/>
      <c r="DG37" s="70"/>
      <c r="DH37" s="70"/>
      <c r="DI37" s="73"/>
      <c r="DJ37" s="70"/>
      <c r="DK37" s="70"/>
      <c r="DL37" s="70"/>
      <c r="DM37" s="70"/>
      <c r="DN37" s="73"/>
      <c r="DO37" s="70"/>
      <c r="DP37" s="70"/>
      <c r="DQ37" s="70"/>
      <c r="DR37" s="70"/>
      <c r="DS37" s="73"/>
      <c r="DT37" s="70"/>
      <c r="DU37" s="70"/>
      <c r="DV37" s="70"/>
      <c r="DW37" s="70"/>
      <c r="DX37" s="73"/>
      <c r="DY37" s="70" t="s">
        <v>2451</v>
      </c>
      <c r="DZ37" s="70">
        <v>8.3844761358117248E-2</v>
      </c>
      <c r="EA37" s="70">
        <v>-2.0449731138992955E-2</v>
      </c>
      <c r="EB37" s="70">
        <v>6.8713923313648673E-2</v>
      </c>
      <c r="EC37" s="73"/>
      <c r="ED37" s="70">
        <v>1.7655062330010685E-2</v>
      </c>
      <c r="EE37" s="70">
        <v>0.104389721627409</v>
      </c>
      <c r="EF37" s="70">
        <v>-7.6518246658818789E-3</v>
      </c>
      <c r="EG37" s="70">
        <v>0.12211716269495132</v>
      </c>
      <c r="EH37" s="73"/>
      <c r="EI37" s="70">
        <v>-1.5235844656571573E-2</v>
      </c>
      <c r="EJ37" s="70">
        <v>9.7786618673234127E-2</v>
      </c>
      <c r="EK37" s="70">
        <v>-2.9424844684767582E-2</v>
      </c>
      <c r="EL37" s="70">
        <v>5.0112465693762598E-2</v>
      </c>
      <c r="EM37" s="73"/>
      <c r="EN37" s="70">
        <v>-2.1616435263573819E-2</v>
      </c>
      <c r="EO37" s="70">
        <v>1.8001644072685341E-2</v>
      </c>
      <c r="EP37" s="70">
        <v>4.0656010745360405E-2</v>
      </c>
      <c r="EQ37" s="70">
        <v>7.2394088219306596E-2</v>
      </c>
      <c r="ER37" s="73"/>
      <c r="ES37" s="70">
        <v>2.1000558545750003E-2</v>
      </c>
      <c r="ET37" s="70">
        <v>5.4256391307061502E-2</v>
      </c>
      <c r="EU37" s="70">
        <v>2.2576850775170909E-2</v>
      </c>
      <c r="EV37" s="70">
        <v>3.8913378197633186E-2</v>
      </c>
      <c r="EW37" s="73"/>
      <c r="EX37" s="70">
        <v>9.6506865745935588E-3</v>
      </c>
      <c r="EY37" s="70">
        <v>5.1803218992156896E-2</v>
      </c>
      <c r="EZ37" s="70">
        <v>6.5599190831882037E-3</v>
      </c>
      <c r="FA37" s="70">
        <v>4.1340817490474135E-2</v>
      </c>
      <c r="FB37" s="73"/>
      <c r="FC37" s="70">
        <v>7.8132093207610165E-3</v>
      </c>
      <c r="FD37" s="70">
        <v>5.4502860459848756E-2</v>
      </c>
      <c r="FE37" s="70">
        <v>1.1710604895271537E-2</v>
      </c>
      <c r="FF37" s="70">
        <v>4.7513448514977519E-2</v>
      </c>
      <c r="FG37" s="73"/>
      <c r="FH37" s="70">
        <v>1.2112068644913876E-2</v>
      </c>
      <c r="FI37" s="70">
        <v>5.6819026871913314E-2</v>
      </c>
      <c r="FJ37" s="70">
        <v>1.7765488923474182E-2</v>
      </c>
      <c r="FK37" s="70">
        <v>4.3830944673098005E-2</v>
      </c>
      <c r="FL37" s="73"/>
      <c r="FM37" s="70" t="s">
        <v>2451</v>
      </c>
      <c r="FN37" s="70" t="s">
        <v>2451</v>
      </c>
      <c r="FO37" s="70" t="s">
        <v>2451</v>
      </c>
      <c r="FP37" s="70" t="s">
        <v>2451</v>
      </c>
      <c r="FQ37" s="73"/>
      <c r="FR37" s="70" t="s">
        <v>2451</v>
      </c>
      <c r="FS37" s="70" t="s">
        <v>2451</v>
      </c>
      <c r="FT37" s="70" t="s">
        <v>2451</v>
      </c>
      <c r="FU37" s="70" t="s">
        <v>2451</v>
      </c>
      <c r="FV37" s="73"/>
      <c r="FW37" s="70" t="s">
        <v>2451</v>
      </c>
      <c r="FX37" s="70" t="s">
        <v>2451</v>
      </c>
      <c r="FY37" s="70" t="s">
        <v>2451</v>
      </c>
      <c r="FZ37" s="70" t="s">
        <v>2451</v>
      </c>
      <c r="GA37" s="73"/>
    </row>
    <row r="38" spans="1:183" s="1253" customFormat="1" ht="12.75" customHeight="1" outlineLevel="1">
      <c r="A38" s="1237" t="s">
        <v>350</v>
      </c>
      <c r="B38" s="753" t="s">
        <v>39</v>
      </c>
      <c r="C38" s="1249"/>
      <c r="D38" s="1250"/>
      <c r="E38" s="1250"/>
      <c r="F38" s="1250"/>
      <c r="G38" s="1250"/>
      <c r="H38" s="1251"/>
      <c r="I38" s="1250"/>
      <c r="J38" s="1250"/>
      <c r="K38" s="1250"/>
      <c r="L38" s="1250"/>
      <c r="M38" s="1252"/>
      <c r="N38" s="1250"/>
      <c r="O38" s="1250"/>
      <c r="P38" s="1250"/>
      <c r="Q38" s="1250"/>
      <c r="R38" s="1252"/>
      <c r="S38" s="1250"/>
      <c r="T38" s="1250"/>
      <c r="U38" s="1250"/>
      <c r="V38" s="1250"/>
      <c r="W38" s="1252"/>
      <c r="X38" s="1250"/>
      <c r="Y38" s="1250"/>
      <c r="Z38" s="1250"/>
      <c r="AA38" s="1250"/>
      <c r="AB38" s="1252"/>
      <c r="AC38" s="1250"/>
      <c r="AD38" s="1250"/>
      <c r="AE38" s="1250"/>
      <c r="AF38" s="1250"/>
      <c r="AG38" s="1252"/>
      <c r="AH38" s="1250"/>
      <c r="AI38" s="1250"/>
      <c r="AJ38" s="1250"/>
      <c r="AK38" s="1250"/>
      <c r="AL38" s="1252"/>
      <c r="AM38" s="1250"/>
      <c r="AN38" s="1250"/>
      <c r="AO38" s="1250"/>
      <c r="AP38" s="1250"/>
      <c r="AQ38" s="1252"/>
      <c r="AR38" s="1250"/>
      <c r="AS38" s="1250"/>
      <c r="AT38" s="1250"/>
      <c r="AU38" s="1250"/>
      <c r="AV38" s="1252"/>
      <c r="AW38" s="1250"/>
      <c r="AX38" s="1250"/>
      <c r="AY38" s="1250"/>
      <c r="AZ38" s="1250"/>
      <c r="BA38" s="1252"/>
      <c r="BB38" s="1250"/>
      <c r="BC38" s="1250"/>
      <c r="BD38" s="1250"/>
      <c r="BE38" s="1250"/>
      <c r="BF38" s="1252"/>
      <c r="BG38" s="1250"/>
      <c r="BH38" s="1250"/>
      <c r="BI38" s="1250"/>
      <c r="BJ38" s="1250"/>
      <c r="BK38" s="1252"/>
      <c r="BL38" s="1250"/>
      <c r="BM38" s="1250"/>
      <c r="BN38" s="1250"/>
      <c r="BO38" s="1250"/>
      <c r="BP38" s="1252"/>
      <c r="BQ38" s="1250"/>
      <c r="BR38" s="1250"/>
      <c r="BS38" s="1250"/>
      <c r="BT38" s="1250"/>
      <c r="BU38" s="1252"/>
      <c r="BV38" s="1250"/>
      <c r="BW38" s="1250"/>
      <c r="BX38" s="1250"/>
      <c r="BY38" s="1250"/>
      <c r="BZ38" s="1252"/>
      <c r="CA38" s="1250"/>
      <c r="CB38" s="1250"/>
      <c r="CC38" s="1250"/>
      <c r="CD38" s="1250"/>
      <c r="CE38" s="1252"/>
      <c r="CF38" s="1250"/>
      <c r="CG38" s="1250"/>
      <c r="CH38" s="1250"/>
      <c r="CI38" s="1250"/>
      <c r="CJ38" s="1252"/>
      <c r="CK38" s="1250"/>
      <c r="CL38" s="1250"/>
      <c r="CM38" s="1250"/>
      <c r="CN38" s="1250"/>
      <c r="CO38" s="1252"/>
      <c r="CP38" s="1250"/>
      <c r="CQ38" s="1250"/>
      <c r="CR38" s="1250"/>
      <c r="CS38" s="1250"/>
      <c r="CT38" s="1252"/>
      <c r="CU38" s="1250"/>
      <c r="CV38" s="1250"/>
      <c r="CW38" s="1250"/>
      <c r="CX38" s="1250"/>
      <c r="CY38" s="1252"/>
      <c r="CZ38" s="1250"/>
      <c r="DA38" s="1250"/>
      <c r="DB38" s="1250"/>
      <c r="DC38" s="1250"/>
      <c r="DD38" s="1252"/>
      <c r="DE38" s="1250"/>
      <c r="DF38" s="1250"/>
      <c r="DG38" s="1250"/>
      <c r="DH38" s="1250"/>
      <c r="DI38" s="1252"/>
      <c r="DJ38" s="1250"/>
      <c r="DK38" s="1250"/>
      <c r="DL38" s="1250"/>
      <c r="DM38" s="1250"/>
      <c r="DN38" s="1252"/>
      <c r="DO38" s="1250"/>
      <c r="DP38" s="1250"/>
      <c r="DQ38" s="1250"/>
      <c r="DR38" s="1250"/>
      <c r="DS38" s="1252"/>
      <c r="DT38" s="1250"/>
      <c r="DU38" s="1250"/>
      <c r="DV38" s="1250"/>
      <c r="DW38" s="1250"/>
      <c r="DX38" s="1252"/>
      <c r="DY38" s="1250">
        <v>0.6851913477537438</v>
      </c>
      <c r="DZ38" s="1250">
        <v>0.66514929821709212</v>
      </c>
      <c r="EA38" s="1250">
        <v>0.68661660146769077</v>
      </c>
      <c r="EB38" s="1250">
        <v>0.67568414271816579</v>
      </c>
      <c r="EC38" s="1252">
        <v>0.67783379365800789</v>
      </c>
      <c r="ED38" s="1250">
        <v>0.70388114334930285</v>
      </c>
      <c r="EE38" s="1250">
        <v>0.67048936762930633</v>
      </c>
      <c r="EF38" s="1250">
        <v>0.68721526878626582</v>
      </c>
      <c r="EG38" s="1250">
        <v>0.69684954064829263</v>
      </c>
      <c r="EH38" s="1252">
        <v>0.68926151777640277</v>
      </c>
      <c r="EI38" s="1250">
        <v>0.6988768012004325</v>
      </c>
      <c r="EJ38" s="1250">
        <v>0.67213114754098358</v>
      </c>
      <c r="EK38" s="1250">
        <v>0.68364985818476498</v>
      </c>
      <c r="EL38" s="1250">
        <v>0.68323532247180174</v>
      </c>
      <c r="EM38" s="1252">
        <v>0.68394376355474862</v>
      </c>
      <c r="EN38" s="1250">
        <v>0.69171222217788597</v>
      </c>
      <c r="EO38" s="1250">
        <v>0.66912084099569635</v>
      </c>
      <c r="EP38" s="1250">
        <v>0.69487551317706275</v>
      </c>
      <c r="EQ38" s="1250">
        <v>0.700991297228995</v>
      </c>
      <c r="ER38" s="1252">
        <v>0.68934662482599163</v>
      </c>
      <c r="ES38" s="1250">
        <v>0.71155882300900608</v>
      </c>
      <c r="ET38" s="1250">
        <v>0.68360367623347307</v>
      </c>
      <c r="EU38" s="1250">
        <v>0.7008680041385108</v>
      </c>
      <c r="EV38" s="1250">
        <v>0.69586656264001112</v>
      </c>
      <c r="EW38" s="1252">
        <v>0.69764468305578442</v>
      </c>
      <c r="EX38" s="1250">
        <v>0.69339079057711372</v>
      </c>
      <c r="EY38" s="1250">
        <v>0.68692325367647056</v>
      </c>
      <c r="EZ38" s="1250">
        <v>0.68714659035766279</v>
      </c>
      <c r="FA38" s="1250">
        <v>0.67881314912296264</v>
      </c>
      <c r="FB38" s="1252">
        <v>0.68655605505796335</v>
      </c>
      <c r="FC38" s="1250">
        <v>0.68145840852237805</v>
      </c>
      <c r="FD38" s="1250">
        <v>0.67684507559683749</v>
      </c>
      <c r="FE38" s="1250">
        <v>0.67895053677197725</v>
      </c>
      <c r="FF38" s="1250">
        <v>0.67642812896774041</v>
      </c>
      <c r="FG38" s="1252">
        <v>0.67783057914777822</v>
      </c>
      <c r="FH38" s="1250">
        <v>0.67616667390346785</v>
      </c>
      <c r="FI38" s="1250">
        <v>0.67518300356966765</v>
      </c>
      <c r="FJ38" s="1250">
        <v>0.67726571554267023</v>
      </c>
      <c r="FK38" s="1250">
        <v>0.67312437509592216</v>
      </c>
      <c r="FL38" s="1252">
        <v>0.67376324958093947</v>
      </c>
      <c r="FM38" s="1250" t="s">
        <v>2451</v>
      </c>
      <c r="FN38" s="1250" t="s">
        <v>2451</v>
      </c>
      <c r="FO38" s="1250" t="s">
        <v>2451</v>
      </c>
      <c r="FP38" s="1250" t="s">
        <v>2451</v>
      </c>
      <c r="FQ38" s="1252">
        <v>0.66799446716683075</v>
      </c>
      <c r="FR38" s="1250" t="s">
        <v>2451</v>
      </c>
      <c r="FS38" s="1250" t="s">
        <v>2451</v>
      </c>
      <c r="FT38" s="1250" t="s">
        <v>2451</v>
      </c>
      <c r="FU38" s="1250" t="s">
        <v>2451</v>
      </c>
      <c r="FV38" s="1252">
        <v>0.67927126037342556</v>
      </c>
      <c r="FW38" s="1250" t="s">
        <v>2451</v>
      </c>
      <c r="FX38" s="1250" t="s">
        <v>2451</v>
      </c>
      <c r="FY38" s="1250" t="s">
        <v>2451</v>
      </c>
      <c r="FZ38" s="1250" t="s">
        <v>2451</v>
      </c>
      <c r="GA38" s="1252" t="s">
        <v>2451</v>
      </c>
    </row>
    <row r="39" spans="1:183" s="72" customFormat="1" ht="12.75" customHeight="1" outlineLevel="1">
      <c r="A39" s="54"/>
      <c r="B39" s="753"/>
      <c r="C39" s="69"/>
      <c r="D39" s="70"/>
      <c r="E39" s="70"/>
      <c r="F39" s="70"/>
      <c r="G39" s="70"/>
      <c r="H39" s="76"/>
      <c r="I39" s="70"/>
      <c r="J39" s="70"/>
      <c r="K39" s="70"/>
      <c r="L39" s="70"/>
      <c r="M39" s="76"/>
      <c r="N39" s="70"/>
      <c r="O39" s="70"/>
      <c r="P39" s="70"/>
      <c r="Q39" s="70"/>
      <c r="R39" s="76"/>
      <c r="S39" s="70"/>
      <c r="T39" s="70"/>
      <c r="U39" s="70"/>
      <c r="V39" s="70"/>
      <c r="W39" s="76"/>
      <c r="X39" s="70"/>
      <c r="Y39" s="70"/>
      <c r="Z39" s="70"/>
      <c r="AA39" s="70"/>
      <c r="AB39" s="76"/>
      <c r="AC39" s="70"/>
      <c r="AD39" s="70"/>
      <c r="AE39" s="70"/>
      <c r="AF39" s="70"/>
      <c r="AG39" s="76"/>
      <c r="AH39" s="70"/>
      <c r="AI39" s="70"/>
      <c r="AJ39" s="70"/>
      <c r="AK39" s="70"/>
      <c r="AL39" s="76"/>
      <c r="AM39" s="70"/>
      <c r="AN39" s="70"/>
      <c r="AO39" s="70"/>
      <c r="AP39" s="70"/>
      <c r="AQ39" s="76"/>
      <c r="AR39" s="70"/>
      <c r="AS39" s="70"/>
      <c r="AT39" s="70"/>
      <c r="AU39" s="70"/>
      <c r="AV39" s="76"/>
      <c r="AW39" s="70"/>
      <c r="AX39" s="70"/>
      <c r="AY39" s="70"/>
      <c r="AZ39" s="70"/>
      <c r="BA39" s="76"/>
      <c r="BB39" s="70"/>
      <c r="BC39" s="70"/>
      <c r="BD39" s="70"/>
      <c r="BE39" s="70"/>
      <c r="BF39" s="76"/>
      <c r="BG39" s="70"/>
      <c r="BH39" s="70"/>
      <c r="BI39" s="70"/>
      <c r="BJ39" s="70"/>
      <c r="BK39" s="76"/>
      <c r="BL39" s="70"/>
      <c r="BM39" s="70"/>
      <c r="BN39" s="70"/>
      <c r="BO39" s="70"/>
      <c r="BP39" s="76"/>
      <c r="BQ39" s="70"/>
      <c r="BR39" s="70"/>
      <c r="BS39" s="70"/>
      <c r="BT39" s="70"/>
      <c r="BU39" s="76"/>
      <c r="BV39" s="70"/>
      <c r="BW39" s="70"/>
      <c r="BX39" s="70"/>
      <c r="BY39" s="70"/>
      <c r="BZ39" s="76"/>
      <c r="CA39" s="70"/>
      <c r="CB39" s="70"/>
      <c r="CC39" s="70"/>
      <c r="CD39" s="70"/>
      <c r="CE39" s="76"/>
      <c r="CF39" s="70"/>
      <c r="CG39" s="70"/>
      <c r="CH39" s="70"/>
      <c r="CI39" s="70"/>
      <c r="CJ39" s="76"/>
      <c r="CK39" s="70"/>
      <c r="CL39" s="70"/>
      <c r="CM39" s="70"/>
      <c r="CN39" s="70"/>
      <c r="CO39" s="76"/>
      <c r="CP39" s="70"/>
      <c r="CQ39" s="70"/>
      <c r="CR39" s="70"/>
      <c r="CS39" s="70"/>
      <c r="CT39" s="76"/>
      <c r="CU39" s="70"/>
      <c r="CV39" s="70"/>
      <c r="CW39" s="70"/>
      <c r="CX39" s="70"/>
      <c r="CY39" s="76"/>
      <c r="CZ39" s="70"/>
      <c r="DA39" s="70"/>
      <c r="DB39" s="70"/>
      <c r="DC39" s="70"/>
      <c r="DD39" s="76"/>
      <c r="DE39" s="70"/>
      <c r="DF39" s="70"/>
      <c r="DG39" s="70"/>
      <c r="DH39" s="70"/>
      <c r="DI39" s="76"/>
      <c r="DJ39" s="70"/>
      <c r="DK39" s="70"/>
      <c r="DL39" s="70"/>
      <c r="DM39" s="70"/>
      <c r="DN39" s="76"/>
      <c r="DO39" s="70"/>
      <c r="DP39" s="70"/>
      <c r="DQ39" s="70"/>
      <c r="DR39" s="70"/>
      <c r="DS39" s="76"/>
      <c r="DT39" s="70"/>
      <c r="DU39" s="70"/>
      <c r="DV39" s="70"/>
      <c r="DW39" s="70"/>
      <c r="DX39" s="76"/>
      <c r="DY39" s="70"/>
      <c r="DZ39" s="70"/>
      <c r="EA39" s="70"/>
      <c r="EB39" s="70"/>
      <c r="EC39" s="76"/>
      <c r="ED39" s="70"/>
      <c r="EE39" s="70"/>
      <c r="EF39" s="70"/>
      <c r="EG39" s="70"/>
      <c r="EH39" s="76"/>
      <c r="EI39" s="70"/>
      <c r="EJ39" s="70"/>
      <c r="EK39" s="70"/>
      <c r="EL39" s="70"/>
      <c r="EM39" s="76"/>
      <c r="EN39" s="70"/>
      <c r="EO39" s="70"/>
      <c r="EP39" s="70"/>
      <c r="EQ39" s="70"/>
      <c r="ER39" s="76"/>
      <c r="ES39" s="70"/>
      <c r="ET39" s="70"/>
      <c r="EU39" s="70"/>
      <c r="EV39" s="70"/>
      <c r="EW39" s="76"/>
      <c r="EX39" s="70"/>
      <c r="EY39" s="70"/>
      <c r="EZ39" s="70"/>
      <c r="FA39" s="70"/>
      <c r="FB39" s="76"/>
      <c r="FC39" s="70"/>
      <c r="FD39" s="70"/>
      <c r="FE39" s="70"/>
      <c r="FF39" s="70"/>
      <c r="FG39" s="76"/>
      <c r="FH39" s="70"/>
      <c r="FI39" s="70"/>
      <c r="FJ39" s="70"/>
      <c r="FK39" s="70"/>
      <c r="FL39" s="76"/>
      <c r="FM39" s="70"/>
      <c r="FN39" s="70"/>
      <c r="FO39" s="70"/>
      <c r="FP39" s="70"/>
      <c r="FQ39" s="76"/>
      <c r="FR39" s="70"/>
      <c r="FS39" s="70"/>
      <c r="FT39" s="70"/>
      <c r="FU39" s="70"/>
      <c r="FV39" s="76"/>
      <c r="FW39" s="70"/>
      <c r="FX39" s="70"/>
      <c r="FY39" s="70"/>
      <c r="FZ39" s="70"/>
      <c r="GA39" s="76"/>
    </row>
    <row r="40" spans="1:183" s="1558" customFormat="1" ht="12.75" customHeight="1" outlineLevel="1">
      <c r="A40" s="1401" t="s">
        <v>365</v>
      </c>
      <c r="B40" s="1549" t="s">
        <v>40</v>
      </c>
      <c r="C40" s="1555"/>
      <c r="D40" s="1556"/>
      <c r="E40" s="1556"/>
      <c r="F40" s="1556"/>
      <c r="G40" s="1556"/>
      <c r="H40" s="1557"/>
      <c r="I40" s="1556"/>
      <c r="J40" s="1556"/>
      <c r="K40" s="1556"/>
      <c r="L40" s="1556"/>
      <c r="M40" s="1557"/>
      <c r="N40" s="1556"/>
      <c r="O40" s="1556"/>
      <c r="P40" s="1556"/>
      <c r="Q40" s="1556"/>
      <c r="R40" s="1557"/>
      <c r="S40" s="1556"/>
      <c r="T40" s="1556"/>
      <c r="U40" s="1556"/>
      <c r="V40" s="1556"/>
      <c r="W40" s="1557"/>
      <c r="X40" s="1556"/>
      <c r="Y40" s="1556"/>
      <c r="Z40" s="1556"/>
      <c r="AA40" s="1556"/>
      <c r="AB40" s="1557"/>
      <c r="AC40" s="1556"/>
      <c r="AD40" s="1556"/>
      <c r="AE40" s="1556"/>
      <c r="AF40" s="1556"/>
      <c r="AG40" s="1557"/>
      <c r="AH40" s="1556"/>
      <c r="AI40" s="1556"/>
      <c r="AJ40" s="1556"/>
      <c r="AK40" s="1556"/>
      <c r="AL40" s="1557"/>
      <c r="AM40" s="1556"/>
      <c r="AN40" s="1556"/>
      <c r="AO40" s="1556"/>
      <c r="AP40" s="1556"/>
      <c r="AQ40" s="1557"/>
      <c r="AR40" s="1556"/>
      <c r="AS40" s="1556"/>
      <c r="AT40" s="1556"/>
      <c r="AU40" s="1556"/>
      <c r="AV40" s="1557"/>
      <c r="AW40" s="1556"/>
      <c r="AX40" s="1556"/>
      <c r="AY40" s="1556"/>
      <c r="AZ40" s="1556"/>
      <c r="BA40" s="1557"/>
      <c r="BB40" s="1556"/>
      <c r="BC40" s="1556"/>
      <c r="BD40" s="1556"/>
      <c r="BE40" s="1556"/>
      <c r="BF40" s="1557"/>
      <c r="BG40" s="1556"/>
      <c r="BH40" s="1556"/>
      <c r="BI40" s="1556"/>
      <c r="BJ40" s="1556"/>
      <c r="BK40" s="1557"/>
      <c r="BL40" s="1556"/>
      <c r="BM40" s="1556"/>
      <c r="BN40" s="1556"/>
      <c r="BO40" s="1556"/>
      <c r="BP40" s="1557"/>
      <c r="BQ40" s="1556"/>
      <c r="BR40" s="1556"/>
      <c r="BS40" s="1556"/>
      <c r="BT40" s="1556"/>
      <c r="BU40" s="1557"/>
      <c r="BV40" s="1556"/>
      <c r="BW40" s="1556"/>
      <c r="BX40" s="1556"/>
      <c r="BY40" s="1556"/>
      <c r="BZ40" s="1557"/>
      <c r="CA40" s="1556"/>
      <c r="CB40" s="1556"/>
      <c r="CC40" s="1556"/>
      <c r="CD40" s="1556"/>
      <c r="CE40" s="1557"/>
      <c r="CF40" s="1556"/>
      <c r="CG40" s="1556"/>
      <c r="CH40" s="1556"/>
      <c r="CI40" s="1556"/>
      <c r="CJ40" s="1557"/>
      <c r="CK40" s="1556"/>
      <c r="CL40" s="1556"/>
      <c r="CM40" s="1556"/>
      <c r="CN40" s="1556"/>
      <c r="CO40" s="1557"/>
      <c r="CP40" s="1556"/>
      <c r="CQ40" s="1556"/>
      <c r="CR40" s="1556"/>
      <c r="CS40" s="1556"/>
      <c r="CT40" s="1557"/>
      <c r="CU40" s="1556"/>
      <c r="CV40" s="1556"/>
      <c r="CW40" s="1556"/>
      <c r="CX40" s="1556"/>
      <c r="CY40" s="1557"/>
      <c r="CZ40" s="1556"/>
      <c r="DA40" s="1556"/>
      <c r="DB40" s="1556"/>
      <c r="DC40" s="1556"/>
      <c r="DD40" s="1557"/>
      <c r="DE40" s="1556"/>
      <c r="DF40" s="1556"/>
      <c r="DG40" s="1556"/>
      <c r="DH40" s="1556"/>
      <c r="DI40" s="1557"/>
      <c r="DJ40" s="1556"/>
      <c r="DK40" s="1556"/>
      <c r="DL40" s="1556"/>
      <c r="DM40" s="1556"/>
      <c r="DN40" s="1557"/>
      <c r="DO40" s="1556"/>
      <c r="DP40" s="1556"/>
      <c r="DQ40" s="1556"/>
      <c r="DR40" s="1556"/>
      <c r="DS40" s="1557"/>
      <c r="DT40" s="1556"/>
      <c r="DU40" s="1556"/>
      <c r="DV40" s="1556"/>
      <c r="DW40" s="1556"/>
      <c r="DX40" s="1557"/>
      <c r="DY40" s="1556">
        <v>9963</v>
      </c>
      <c r="DZ40" s="1556">
        <v>10657</v>
      </c>
      <c r="EA40" s="1556">
        <v>11071</v>
      </c>
      <c r="EB40" s="1556">
        <v>12265.844999999998</v>
      </c>
      <c r="EC40" s="1557">
        <v>43961.524999999994</v>
      </c>
      <c r="ED40" s="1556">
        <v>10276.261</v>
      </c>
      <c r="EE40" s="1556">
        <v>10985.173999999999</v>
      </c>
      <c r="EF40" s="1556">
        <v>11613</v>
      </c>
      <c r="EG40" s="1556">
        <v>13066</v>
      </c>
      <c r="EH40" s="1557">
        <v>45940.160000000003</v>
      </c>
      <c r="EI40" s="1556">
        <v>11433.103999999999</v>
      </c>
      <c r="EJ40" s="1556">
        <v>12521.190999999999</v>
      </c>
      <c r="EK40" s="1556">
        <v>13382.881000000001</v>
      </c>
      <c r="EL40" s="1556">
        <v>14904.215</v>
      </c>
      <c r="EM40" s="1557">
        <v>52225.05</v>
      </c>
      <c r="EN40" s="1556">
        <v>13151.937000000002</v>
      </c>
      <c r="EO40" s="1556">
        <v>14895.057999999997</v>
      </c>
      <c r="EP40" s="1556">
        <v>14377.099000000002</v>
      </c>
      <c r="EQ40" s="1556">
        <v>15214.18</v>
      </c>
      <c r="ER40" s="1557">
        <v>57482.124000000011</v>
      </c>
      <c r="ES40" s="1556">
        <v>13320.023999999998</v>
      </c>
      <c r="ET40" s="1556">
        <v>15366.044999999998</v>
      </c>
      <c r="EU40" s="1556">
        <v>15771.892999999996</v>
      </c>
      <c r="EV40" s="1556">
        <v>17114.386000000002</v>
      </c>
      <c r="EW40" s="1557">
        <v>61278.099999999991</v>
      </c>
      <c r="EX40" s="1556">
        <v>14940.889000000003</v>
      </c>
      <c r="EY40" s="1556">
        <v>16177.763999999996</v>
      </c>
      <c r="EZ40" s="1556">
        <v>16145.612999999998</v>
      </c>
      <c r="FA40" s="1556">
        <v>17915.899999999998</v>
      </c>
      <c r="FB40" s="1557">
        <v>65447.554000000018</v>
      </c>
      <c r="FC40" s="1556">
        <v>16602.546999999999</v>
      </c>
      <c r="FD40" s="1556">
        <v>17806.14</v>
      </c>
      <c r="FE40" s="1556">
        <v>17859.063999999998</v>
      </c>
      <c r="FF40" s="1556">
        <v>19498.042999999998</v>
      </c>
      <c r="FG40" s="1557">
        <v>71899.580000000016</v>
      </c>
      <c r="FH40" s="1556">
        <v>18545.305</v>
      </c>
      <c r="FI40" s="1556">
        <v>20009.919999999998</v>
      </c>
      <c r="FJ40" s="1556">
        <v>20583.599999999999</v>
      </c>
      <c r="FK40" s="1556">
        <v>22276.675999999999</v>
      </c>
      <c r="FL40" s="1557">
        <v>79325.599999999977</v>
      </c>
      <c r="FM40" s="1556" t="s">
        <v>2451</v>
      </c>
      <c r="FN40" s="1556" t="s">
        <v>2451</v>
      </c>
      <c r="FO40" s="1556" t="s">
        <v>2451</v>
      </c>
      <c r="FP40" s="1556" t="s">
        <v>2451</v>
      </c>
      <c r="FQ40" s="1557">
        <v>88964.950000000012</v>
      </c>
      <c r="FR40" s="1556" t="s">
        <v>2451</v>
      </c>
      <c r="FS40" s="1556" t="s">
        <v>2451</v>
      </c>
      <c r="FT40" s="1556" t="s">
        <v>2451</v>
      </c>
      <c r="FU40" s="1556" t="s">
        <v>2451</v>
      </c>
      <c r="FV40" s="1557">
        <v>105613</v>
      </c>
      <c r="FW40" s="1556" t="s">
        <v>2451</v>
      </c>
      <c r="FX40" s="1556" t="s">
        <v>2451</v>
      </c>
      <c r="FY40" s="1556" t="s">
        <v>2451</v>
      </c>
      <c r="FZ40" s="1556" t="s">
        <v>2451</v>
      </c>
      <c r="GA40" s="1557" t="s">
        <v>2451</v>
      </c>
    </row>
    <row r="41" spans="1:183" s="72" customFormat="1" ht="12.75" customHeight="1" outlineLevel="1">
      <c r="A41" s="68" t="s">
        <v>367</v>
      </c>
      <c r="B41" s="753" t="s">
        <v>34</v>
      </c>
      <c r="C41" s="69"/>
      <c r="D41" s="70"/>
      <c r="E41" s="70"/>
      <c r="F41" s="70"/>
      <c r="G41" s="70"/>
      <c r="H41" s="71"/>
      <c r="I41" s="70"/>
      <c r="J41" s="70"/>
      <c r="K41" s="70"/>
      <c r="L41" s="70"/>
      <c r="M41" s="71"/>
      <c r="N41" s="70"/>
      <c r="O41" s="70"/>
      <c r="P41" s="70"/>
      <c r="Q41" s="70"/>
      <c r="R41" s="71"/>
      <c r="S41" s="70"/>
      <c r="T41" s="70"/>
      <c r="U41" s="70"/>
      <c r="V41" s="70"/>
      <c r="W41" s="71"/>
      <c r="X41" s="70"/>
      <c r="Y41" s="70"/>
      <c r="Z41" s="70"/>
      <c r="AA41" s="70"/>
      <c r="AB41" s="71"/>
      <c r="AC41" s="70"/>
      <c r="AD41" s="70"/>
      <c r="AE41" s="70"/>
      <c r="AF41" s="70"/>
      <c r="AG41" s="71"/>
      <c r="AH41" s="70"/>
      <c r="AI41" s="70"/>
      <c r="AJ41" s="70"/>
      <c r="AK41" s="70"/>
      <c r="AL41" s="71"/>
      <c r="AM41" s="70"/>
      <c r="AN41" s="70"/>
      <c r="AO41" s="70"/>
      <c r="AP41" s="70"/>
      <c r="AQ41" s="71"/>
      <c r="AR41" s="70"/>
      <c r="AS41" s="70"/>
      <c r="AT41" s="70"/>
      <c r="AU41" s="70"/>
      <c r="AV41" s="71"/>
      <c r="AW41" s="70"/>
      <c r="AX41" s="70"/>
      <c r="AY41" s="70"/>
      <c r="AZ41" s="70"/>
      <c r="BA41" s="71"/>
      <c r="BB41" s="70"/>
      <c r="BC41" s="70"/>
      <c r="BD41" s="70"/>
      <c r="BE41" s="70"/>
      <c r="BF41" s="71"/>
      <c r="BG41" s="70"/>
      <c r="BH41" s="70"/>
      <c r="BI41" s="70"/>
      <c r="BJ41" s="70"/>
      <c r="BK41" s="71"/>
      <c r="BL41" s="70"/>
      <c r="BM41" s="70"/>
      <c r="BN41" s="70"/>
      <c r="BO41" s="70"/>
      <c r="BP41" s="71"/>
      <c r="BQ41" s="70"/>
      <c r="BR41" s="70"/>
      <c r="BS41" s="70"/>
      <c r="BT41" s="70"/>
      <c r="BU41" s="71"/>
      <c r="BV41" s="70"/>
      <c r="BW41" s="70"/>
      <c r="BX41" s="70"/>
      <c r="BY41" s="70"/>
      <c r="BZ41" s="71"/>
      <c r="CA41" s="70"/>
      <c r="CB41" s="70"/>
      <c r="CC41" s="70"/>
      <c r="CD41" s="70"/>
      <c r="CE41" s="71"/>
      <c r="CF41" s="70"/>
      <c r="CG41" s="70"/>
      <c r="CH41" s="70"/>
      <c r="CI41" s="70"/>
      <c r="CJ41" s="71"/>
      <c r="CK41" s="70"/>
      <c r="CL41" s="70"/>
      <c r="CM41" s="70"/>
      <c r="CN41" s="70"/>
      <c r="CO41" s="71"/>
      <c r="CP41" s="70"/>
      <c r="CQ41" s="70"/>
      <c r="CR41" s="70"/>
      <c r="CS41" s="70"/>
      <c r="CT41" s="71"/>
      <c r="CU41" s="70"/>
      <c r="CV41" s="70"/>
      <c r="CW41" s="70"/>
      <c r="CX41" s="70"/>
      <c r="CY41" s="71"/>
      <c r="CZ41" s="70"/>
      <c r="DA41" s="70"/>
      <c r="DB41" s="70"/>
      <c r="DC41" s="70"/>
      <c r="DD41" s="71"/>
      <c r="DE41" s="70"/>
      <c r="DF41" s="70"/>
      <c r="DG41" s="70"/>
      <c r="DH41" s="70"/>
      <c r="DI41" s="71"/>
      <c r="DJ41" s="70"/>
      <c r="DK41" s="70"/>
      <c r="DL41" s="70"/>
      <c r="DM41" s="70"/>
      <c r="DN41" s="71"/>
      <c r="DO41" s="70"/>
      <c r="DP41" s="70"/>
      <c r="DQ41" s="70"/>
      <c r="DR41" s="70"/>
      <c r="DS41" s="71"/>
      <c r="DT41" s="70"/>
      <c r="DU41" s="70"/>
      <c r="DV41" s="70"/>
      <c r="DW41" s="70"/>
      <c r="DX41" s="71"/>
      <c r="DY41" s="70" t="s">
        <v>2451</v>
      </c>
      <c r="DZ41" s="70" t="s">
        <v>2451</v>
      </c>
      <c r="EA41" s="70" t="s">
        <v>2451</v>
      </c>
      <c r="EB41" s="70" t="s">
        <v>2451</v>
      </c>
      <c r="EC41" s="71" t="s">
        <v>2451</v>
      </c>
      <c r="ED41" s="70">
        <v>3.144243701696281E-2</v>
      </c>
      <c r="EE41" s="70">
        <v>3.0794219761658859E-2</v>
      </c>
      <c r="EF41" s="70">
        <v>4.8956733809050634E-2</v>
      </c>
      <c r="EG41" s="70">
        <v>6.5234396814895623E-2</v>
      </c>
      <c r="EH41" s="71">
        <v>4.5008333992053506E-2</v>
      </c>
      <c r="EI41" s="70">
        <v>0.11257431083153668</v>
      </c>
      <c r="EJ41" s="70">
        <v>0.13982636961417261</v>
      </c>
      <c r="EK41" s="70">
        <v>0.15240514940153282</v>
      </c>
      <c r="EL41" s="70">
        <v>0.14068689729067807</v>
      </c>
      <c r="EM41" s="71">
        <v>0.13680601025333816</v>
      </c>
      <c r="EN41" s="70">
        <v>0.15033826334475764</v>
      </c>
      <c r="EO41" s="70">
        <v>0.18958795533108619</v>
      </c>
      <c r="EP41" s="70">
        <v>7.4290281741278275E-2</v>
      </c>
      <c r="EQ41" s="70">
        <v>2.0797136917308334E-2</v>
      </c>
      <c r="ER41" s="71">
        <v>0.10066192373200233</v>
      </c>
      <c r="ES41" s="70">
        <v>1.2780398811216509E-2</v>
      </c>
      <c r="ET41" s="70">
        <v>3.1620353542765711E-2</v>
      </c>
      <c r="EU41" s="70">
        <v>9.7014981951504486E-2</v>
      </c>
      <c r="EV41" s="70">
        <v>0.12489703684326092</v>
      </c>
      <c r="EW41" s="71">
        <v>6.6037504111712719E-2</v>
      </c>
      <c r="EX41" s="70">
        <v>0.12168634230689124</v>
      </c>
      <c r="EY41" s="70">
        <v>5.2825499339615112E-2</v>
      </c>
      <c r="EZ41" s="70">
        <v>2.3695316725772964E-2</v>
      </c>
      <c r="FA41" s="70">
        <v>4.6832763968277735E-2</v>
      </c>
      <c r="FB41" s="71">
        <v>6.8041502592280478E-2</v>
      </c>
      <c r="FC41" s="70">
        <v>0.11121547051182801</v>
      </c>
      <c r="FD41" s="70">
        <v>0.10065519561294156</v>
      </c>
      <c r="FE41" s="70">
        <v>0.10612486500202878</v>
      </c>
      <c r="FF41" s="70">
        <v>8.8309434636272721E-2</v>
      </c>
      <c r="FG41" s="71">
        <v>9.8583149494020805E-2</v>
      </c>
      <c r="FH41" s="70">
        <v>0.11701566030802391</v>
      </c>
      <c r="FI41" s="70">
        <v>0.12376517313690671</v>
      </c>
      <c r="FJ41" s="70">
        <v>0.15255760324281264</v>
      </c>
      <c r="FK41" s="70">
        <v>0.14250830198702524</v>
      </c>
      <c r="FL41" s="71">
        <v>0.10328321806608542</v>
      </c>
      <c r="FM41" s="70" t="s">
        <v>2451</v>
      </c>
      <c r="FN41" s="70" t="s">
        <v>2451</v>
      </c>
      <c r="FO41" s="70" t="s">
        <v>2451</v>
      </c>
      <c r="FP41" s="70" t="s">
        <v>2451</v>
      </c>
      <c r="FQ41" s="71">
        <v>0.12151625704690594</v>
      </c>
      <c r="FR41" s="70" t="s">
        <v>2451</v>
      </c>
      <c r="FS41" s="70" t="s">
        <v>2451</v>
      </c>
      <c r="FT41" s="70" t="s">
        <v>2451</v>
      </c>
      <c r="FU41" s="70" t="s">
        <v>2451</v>
      </c>
      <c r="FV41" s="71">
        <v>0.18713043732391221</v>
      </c>
      <c r="FW41" s="70" t="s">
        <v>2451</v>
      </c>
      <c r="FX41" s="70" t="s">
        <v>2451</v>
      </c>
      <c r="FY41" s="70" t="s">
        <v>2451</v>
      </c>
      <c r="FZ41" s="70" t="s">
        <v>2451</v>
      </c>
      <c r="GA41" s="71" t="s">
        <v>2451</v>
      </c>
    </row>
    <row r="42" spans="1:183" s="72" customFormat="1" ht="12.75" customHeight="1" outlineLevel="1">
      <c r="A42" s="68" t="s">
        <v>366</v>
      </c>
      <c r="B42" s="753" t="s">
        <v>36</v>
      </c>
      <c r="C42" s="69"/>
      <c r="D42" s="70"/>
      <c r="E42" s="70"/>
      <c r="F42" s="70"/>
      <c r="G42" s="70"/>
      <c r="H42" s="76"/>
      <c r="I42" s="70"/>
      <c r="J42" s="70"/>
      <c r="K42" s="70"/>
      <c r="L42" s="70"/>
      <c r="M42" s="73"/>
      <c r="N42" s="70"/>
      <c r="O42" s="70"/>
      <c r="P42" s="70"/>
      <c r="Q42" s="70"/>
      <c r="R42" s="73"/>
      <c r="S42" s="70"/>
      <c r="T42" s="70"/>
      <c r="U42" s="70"/>
      <c r="V42" s="70"/>
      <c r="W42" s="73"/>
      <c r="X42" s="70"/>
      <c r="Y42" s="70"/>
      <c r="Z42" s="70"/>
      <c r="AA42" s="70"/>
      <c r="AB42" s="73"/>
      <c r="AC42" s="70"/>
      <c r="AD42" s="70"/>
      <c r="AE42" s="70"/>
      <c r="AF42" s="70"/>
      <c r="AG42" s="73"/>
      <c r="AH42" s="70"/>
      <c r="AI42" s="70"/>
      <c r="AJ42" s="70"/>
      <c r="AK42" s="70"/>
      <c r="AL42" s="73"/>
      <c r="AM42" s="70"/>
      <c r="AN42" s="70"/>
      <c r="AO42" s="70"/>
      <c r="AP42" s="70"/>
      <c r="AQ42" s="73"/>
      <c r="AR42" s="70"/>
      <c r="AS42" s="70"/>
      <c r="AT42" s="70"/>
      <c r="AU42" s="70"/>
      <c r="AV42" s="73"/>
      <c r="AW42" s="70"/>
      <c r="AX42" s="70"/>
      <c r="AY42" s="70"/>
      <c r="AZ42" s="70"/>
      <c r="BA42" s="73"/>
      <c r="BB42" s="70"/>
      <c r="BC42" s="70"/>
      <c r="BD42" s="70"/>
      <c r="BE42" s="70"/>
      <c r="BF42" s="73"/>
      <c r="BG42" s="70"/>
      <c r="BH42" s="70"/>
      <c r="BI42" s="70"/>
      <c r="BJ42" s="70"/>
      <c r="BK42" s="73"/>
      <c r="BL42" s="70"/>
      <c r="BM42" s="70"/>
      <c r="BN42" s="70"/>
      <c r="BO42" s="70"/>
      <c r="BP42" s="73"/>
      <c r="BQ42" s="70"/>
      <c r="BR42" s="70"/>
      <c r="BS42" s="70"/>
      <c r="BT42" s="70"/>
      <c r="BU42" s="73"/>
      <c r="BV42" s="70"/>
      <c r="BW42" s="70"/>
      <c r="BX42" s="70"/>
      <c r="BY42" s="70"/>
      <c r="BZ42" s="73"/>
      <c r="CA42" s="70"/>
      <c r="CB42" s="70"/>
      <c r="CC42" s="70"/>
      <c r="CD42" s="70"/>
      <c r="CE42" s="73"/>
      <c r="CF42" s="70"/>
      <c r="CG42" s="70"/>
      <c r="CH42" s="70"/>
      <c r="CI42" s="70"/>
      <c r="CJ42" s="73"/>
      <c r="CK42" s="70"/>
      <c r="CL42" s="70"/>
      <c r="CM42" s="70"/>
      <c r="CN42" s="70"/>
      <c r="CO42" s="73"/>
      <c r="CP42" s="70"/>
      <c r="CQ42" s="70"/>
      <c r="CR42" s="70"/>
      <c r="CS42" s="70"/>
      <c r="CT42" s="73"/>
      <c r="CU42" s="70"/>
      <c r="CV42" s="70"/>
      <c r="CW42" s="70"/>
      <c r="CX42" s="70"/>
      <c r="CY42" s="73"/>
      <c r="CZ42" s="70"/>
      <c r="DA42" s="70"/>
      <c r="DB42" s="70"/>
      <c r="DC42" s="70"/>
      <c r="DD42" s="73"/>
      <c r="DE42" s="70"/>
      <c r="DF42" s="70"/>
      <c r="DG42" s="70"/>
      <c r="DH42" s="70"/>
      <c r="DI42" s="73"/>
      <c r="DJ42" s="70"/>
      <c r="DK42" s="70"/>
      <c r="DL42" s="70"/>
      <c r="DM42" s="70"/>
      <c r="DN42" s="73"/>
      <c r="DO42" s="70"/>
      <c r="DP42" s="70"/>
      <c r="DQ42" s="70"/>
      <c r="DR42" s="70"/>
      <c r="DS42" s="73"/>
      <c r="DT42" s="70"/>
      <c r="DU42" s="70"/>
      <c r="DV42" s="70"/>
      <c r="DW42" s="70"/>
      <c r="DX42" s="73"/>
      <c r="DY42" s="70" t="s">
        <v>2451</v>
      </c>
      <c r="DZ42" s="70">
        <v>6.9657733614373107E-2</v>
      </c>
      <c r="EA42" s="70">
        <v>3.8847705733320748E-2</v>
      </c>
      <c r="EB42" s="70">
        <v>0.10792566163851491</v>
      </c>
      <c r="EC42" s="73"/>
      <c r="ED42" s="70">
        <v>-0.16220521293070289</v>
      </c>
      <c r="EE42" s="70">
        <v>6.8985499687094221E-2</v>
      </c>
      <c r="EF42" s="70">
        <v>5.7152121577682902E-2</v>
      </c>
      <c r="EG42" s="70">
        <v>0.12511840179109623</v>
      </c>
      <c r="EH42" s="73"/>
      <c r="EI42" s="70">
        <v>-0.12497290678095829</v>
      </c>
      <c r="EJ42" s="70">
        <v>9.5169868130299484E-2</v>
      </c>
      <c r="EK42" s="70">
        <v>6.8818533316838737E-2</v>
      </c>
      <c r="EL42" s="70">
        <v>0.11367761545514732</v>
      </c>
      <c r="EM42" s="73"/>
      <c r="EN42" s="70">
        <v>-0.11756929163998231</v>
      </c>
      <c r="EO42" s="70">
        <v>0.13253720725699902</v>
      </c>
      <c r="EP42" s="70">
        <v>-3.4773882720026683E-2</v>
      </c>
      <c r="EQ42" s="70">
        <v>5.8223220136412568E-2</v>
      </c>
      <c r="ER42" s="73"/>
      <c r="ES42" s="70">
        <v>-0.12449938149805007</v>
      </c>
      <c r="ET42" s="70">
        <v>0.15360490341458855</v>
      </c>
      <c r="EU42" s="70">
        <v>2.641200126642862E-2</v>
      </c>
      <c r="EV42" s="70">
        <v>8.5119332219664834E-2</v>
      </c>
      <c r="EW42" s="73"/>
      <c r="EX42" s="70">
        <v>-0.12699824580326746</v>
      </c>
      <c r="EY42" s="70">
        <v>8.2784565229016227E-2</v>
      </c>
      <c r="EZ42" s="70">
        <v>-1.9873574617603751E-3</v>
      </c>
      <c r="FA42" s="70">
        <v>0.10964507820173819</v>
      </c>
      <c r="FB42" s="73"/>
      <c r="FC42" s="70">
        <v>-7.3306560094664519E-2</v>
      </c>
      <c r="FD42" s="70">
        <v>7.2494479310915461E-2</v>
      </c>
      <c r="FE42" s="70">
        <v>2.9722331735007046E-3</v>
      </c>
      <c r="FF42" s="70">
        <v>9.1772950698872036E-2</v>
      </c>
      <c r="FG42" s="73"/>
      <c r="FH42" s="70">
        <v>-4.8863262841301491E-2</v>
      </c>
      <c r="FI42" s="70">
        <v>7.897497506781348E-2</v>
      </c>
      <c r="FJ42" s="70">
        <v>2.8669779789224581E-2</v>
      </c>
      <c r="FK42" s="70">
        <v>8.2253638819254293E-2</v>
      </c>
      <c r="FL42" s="73"/>
      <c r="FM42" s="70" t="s">
        <v>2451</v>
      </c>
      <c r="FN42" s="70" t="s">
        <v>2451</v>
      </c>
      <c r="FO42" s="70" t="s">
        <v>2451</v>
      </c>
      <c r="FP42" s="70" t="s">
        <v>2451</v>
      </c>
      <c r="FQ42" s="73"/>
      <c r="FR42" s="70" t="s">
        <v>2451</v>
      </c>
      <c r="FS42" s="70" t="s">
        <v>2451</v>
      </c>
      <c r="FT42" s="70" t="s">
        <v>2451</v>
      </c>
      <c r="FU42" s="70" t="s">
        <v>2451</v>
      </c>
      <c r="FV42" s="73"/>
      <c r="FW42" s="70" t="s">
        <v>2451</v>
      </c>
      <c r="FX42" s="70" t="s">
        <v>2451</v>
      </c>
      <c r="FY42" s="70" t="s">
        <v>2451</v>
      </c>
      <c r="FZ42" s="70" t="s">
        <v>2451</v>
      </c>
      <c r="GA42" s="73"/>
    </row>
    <row r="43" spans="1:183" s="72" customFormat="1" ht="12.75" customHeight="1" outlineLevel="1">
      <c r="A43" s="54"/>
      <c r="B43" s="753"/>
      <c r="C43" s="69"/>
      <c r="D43" s="70"/>
      <c r="E43" s="70"/>
      <c r="F43" s="70"/>
      <c r="G43" s="70"/>
      <c r="H43" s="76"/>
      <c r="I43" s="70"/>
      <c r="J43" s="70"/>
      <c r="K43" s="70"/>
      <c r="L43" s="70"/>
      <c r="M43" s="76"/>
      <c r="N43" s="70"/>
      <c r="O43" s="70"/>
      <c r="P43" s="70"/>
      <c r="Q43" s="70"/>
      <c r="R43" s="76"/>
      <c r="S43" s="70"/>
      <c r="T43" s="70"/>
      <c r="U43" s="70"/>
      <c r="V43" s="70"/>
      <c r="W43" s="76"/>
      <c r="X43" s="70"/>
      <c r="Y43" s="70"/>
      <c r="Z43" s="70"/>
      <c r="AA43" s="70"/>
      <c r="AB43" s="76"/>
      <c r="AC43" s="70"/>
      <c r="AD43" s="70"/>
      <c r="AE43" s="70"/>
      <c r="AF43" s="70"/>
      <c r="AG43" s="76"/>
      <c r="AH43" s="70"/>
      <c r="AI43" s="70"/>
      <c r="AJ43" s="70"/>
      <c r="AK43" s="70"/>
      <c r="AL43" s="76"/>
      <c r="AM43" s="70"/>
      <c r="AN43" s="70"/>
      <c r="AO43" s="70"/>
      <c r="AP43" s="70"/>
      <c r="AQ43" s="76"/>
      <c r="AR43" s="70"/>
      <c r="AS43" s="70"/>
      <c r="AT43" s="70"/>
      <c r="AU43" s="70"/>
      <c r="AV43" s="76"/>
      <c r="AW43" s="70"/>
      <c r="AX43" s="70"/>
      <c r="AY43" s="70"/>
      <c r="AZ43" s="70"/>
      <c r="BA43" s="76"/>
      <c r="BB43" s="70"/>
      <c r="BC43" s="70"/>
      <c r="BD43" s="70"/>
      <c r="BE43" s="70"/>
      <c r="BF43" s="76"/>
      <c r="BG43" s="70"/>
      <c r="BH43" s="70"/>
      <c r="BI43" s="70"/>
      <c r="BJ43" s="70"/>
      <c r="BK43" s="76"/>
      <c r="BL43" s="70"/>
      <c r="BM43" s="70"/>
      <c r="BN43" s="70"/>
      <c r="BO43" s="70"/>
      <c r="BP43" s="76"/>
      <c r="BQ43" s="70"/>
      <c r="BR43" s="70"/>
      <c r="BS43" s="70"/>
      <c r="BT43" s="70"/>
      <c r="BU43" s="76"/>
      <c r="BV43" s="70"/>
      <c r="BW43" s="70"/>
      <c r="BX43" s="70"/>
      <c r="BY43" s="70"/>
      <c r="BZ43" s="76"/>
      <c r="CA43" s="70"/>
      <c r="CB43" s="70"/>
      <c r="CC43" s="70"/>
      <c r="CD43" s="70"/>
      <c r="CE43" s="76"/>
      <c r="CF43" s="70"/>
      <c r="CG43" s="70"/>
      <c r="CH43" s="70"/>
      <c r="CI43" s="70"/>
      <c r="CJ43" s="76"/>
      <c r="CK43" s="70"/>
      <c r="CL43" s="70"/>
      <c r="CM43" s="70"/>
      <c r="CN43" s="70"/>
      <c r="CO43" s="76"/>
      <c r="CP43" s="70"/>
      <c r="CQ43" s="70"/>
      <c r="CR43" s="70"/>
      <c r="CS43" s="70"/>
      <c r="CT43" s="76"/>
      <c r="CU43" s="70"/>
      <c r="CV43" s="70"/>
      <c r="CW43" s="70"/>
      <c r="CX43" s="70"/>
      <c r="CY43" s="76"/>
      <c r="CZ43" s="70"/>
      <c r="DA43" s="70"/>
      <c r="DB43" s="70"/>
      <c r="DC43" s="70"/>
      <c r="DD43" s="76"/>
      <c r="DE43" s="70"/>
      <c r="DF43" s="70"/>
      <c r="DG43" s="70"/>
      <c r="DH43" s="70"/>
      <c r="DI43" s="76"/>
      <c r="DJ43" s="70"/>
      <c r="DK43" s="70"/>
      <c r="DL43" s="70"/>
      <c r="DM43" s="70"/>
      <c r="DN43" s="76"/>
      <c r="DO43" s="70"/>
      <c r="DP43" s="70"/>
      <c r="DQ43" s="70"/>
      <c r="DR43" s="70"/>
      <c r="DS43" s="76"/>
      <c r="DT43" s="70"/>
      <c r="DU43" s="70"/>
      <c r="DV43" s="70"/>
      <c r="DW43" s="70"/>
      <c r="DX43" s="76"/>
      <c r="DY43" s="70"/>
      <c r="DZ43" s="70"/>
      <c r="EA43" s="70"/>
      <c r="EB43" s="70"/>
      <c r="EC43" s="76"/>
      <c r="ED43" s="70"/>
      <c r="EE43" s="70"/>
      <c r="EF43" s="70"/>
      <c r="EG43" s="70"/>
      <c r="EH43" s="76"/>
      <c r="EI43" s="70"/>
      <c r="EJ43" s="70"/>
      <c r="EK43" s="70"/>
      <c r="EL43" s="70"/>
      <c r="EM43" s="76"/>
      <c r="EN43" s="70"/>
      <c r="EO43" s="70"/>
      <c r="EP43" s="70"/>
      <c r="EQ43" s="70"/>
      <c r="ER43" s="76"/>
      <c r="ES43" s="70"/>
      <c r="ET43" s="70"/>
      <c r="EU43" s="70"/>
      <c r="EV43" s="70"/>
      <c r="EW43" s="76"/>
      <c r="EX43" s="70"/>
      <c r="EY43" s="70"/>
      <c r="EZ43" s="70"/>
      <c r="FA43" s="70"/>
      <c r="FB43" s="76"/>
      <c r="FC43" s="70"/>
      <c r="FD43" s="70"/>
      <c r="FE43" s="70"/>
      <c r="FF43" s="70"/>
      <c r="FG43" s="76"/>
      <c r="FH43" s="70"/>
      <c r="FI43" s="70"/>
      <c r="FJ43" s="70"/>
      <c r="FK43" s="70"/>
      <c r="FL43" s="76"/>
      <c r="FM43" s="70"/>
      <c r="FN43" s="70"/>
      <c r="FO43" s="70"/>
      <c r="FP43" s="70"/>
      <c r="FQ43" s="76"/>
      <c r="FR43" s="70"/>
      <c r="FS43" s="70"/>
      <c r="FT43" s="70"/>
      <c r="FU43" s="70"/>
      <c r="FV43" s="76"/>
      <c r="FW43" s="70"/>
      <c r="FX43" s="70"/>
      <c r="FY43" s="70"/>
      <c r="FZ43" s="70"/>
      <c r="GA43" s="76"/>
    </row>
    <row r="44" spans="1:183" s="1558" customFormat="1" ht="12.75" customHeight="1" outlineLevel="1">
      <c r="A44" s="1401"/>
      <c r="B44" s="1560" t="s">
        <v>65</v>
      </c>
      <c r="C44" s="1555"/>
      <c r="D44" s="1556"/>
      <c r="E44" s="1556"/>
      <c r="F44" s="1556"/>
      <c r="G44" s="1556"/>
      <c r="H44" s="1557"/>
      <c r="I44" s="1556"/>
      <c r="J44" s="1556"/>
      <c r="K44" s="1556"/>
      <c r="L44" s="1556"/>
      <c r="M44" s="1557"/>
      <c r="N44" s="1556"/>
      <c r="O44" s="1556"/>
      <c r="P44" s="1556"/>
      <c r="Q44" s="1556"/>
      <c r="R44" s="1557"/>
      <c r="S44" s="1556"/>
      <c r="T44" s="1556"/>
      <c r="U44" s="1556"/>
      <c r="V44" s="1556"/>
      <c r="W44" s="1557"/>
      <c r="X44" s="1556"/>
      <c r="Y44" s="1556"/>
      <c r="Z44" s="1556"/>
      <c r="AA44" s="1556"/>
      <c r="AB44" s="1557"/>
      <c r="AC44" s="1556"/>
      <c r="AD44" s="1556"/>
      <c r="AE44" s="1556"/>
      <c r="AF44" s="1556"/>
      <c r="AG44" s="1557"/>
      <c r="AH44" s="1556"/>
      <c r="AI44" s="1556"/>
      <c r="AJ44" s="1556"/>
      <c r="AK44" s="1556"/>
      <c r="AL44" s="1557"/>
      <c r="AM44" s="1556"/>
      <c r="AN44" s="1556"/>
      <c r="AO44" s="1556"/>
      <c r="AP44" s="1556"/>
      <c r="AQ44" s="1557"/>
      <c r="AR44" s="1556"/>
      <c r="AS44" s="1556"/>
      <c r="AT44" s="1556"/>
      <c r="AU44" s="1556"/>
      <c r="AV44" s="1557"/>
      <c r="AW44" s="1556"/>
      <c r="AX44" s="1556"/>
      <c r="AY44" s="1556"/>
      <c r="AZ44" s="1556"/>
      <c r="BA44" s="1557"/>
      <c r="BB44" s="1556"/>
      <c r="BC44" s="1556"/>
      <c r="BD44" s="1556"/>
      <c r="BE44" s="1556"/>
      <c r="BF44" s="1557"/>
      <c r="BG44" s="1556"/>
      <c r="BH44" s="1556"/>
      <c r="BI44" s="1556"/>
      <c r="BJ44" s="1556"/>
      <c r="BK44" s="1557"/>
      <c r="BL44" s="1556"/>
      <c r="BM44" s="1556"/>
      <c r="BN44" s="1556"/>
      <c r="BO44" s="1556"/>
      <c r="BP44" s="1557"/>
      <c r="BQ44" s="1556"/>
      <c r="BR44" s="1556"/>
      <c r="BS44" s="1556"/>
      <c r="BT44" s="1556"/>
      <c r="BU44" s="1557"/>
      <c r="BV44" s="1556"/>
      <c r="BW44" s="1556"/>
      <c r="BX44" s="1556"/>
      <c r="BY44" s="1556"/>
      <c r="BZ44" s="1557"/>
      <c r="CA44" s="1556"/>
      <c r="CB44" s="1556"/>
      <c r="CC44" s="1556"/>
      <c r="CD44" s="1556"/>
      <c r="CE44" s="1557"/>
      <c r="CF44" s="1556"/>
      <c r="CG44" s="1556"/>
      <c r="CH44" s="1556"/>
      <c r="CI44" s="1556"/>
      <c r="CJ44" s="1557"/>
      <c r="CK44" s="1556"/>
      <c r="CL44" s="1556"/>
      <c r="CM44" s="1556"/>
      <c r="CN44" s="1556"/>
      <c r="CO44" s="1557"/>
      <c r="CP44" s="1556"/>
      <c r="CQ44" s="1556"/>
      <c r="CR44" s="1556"/>
      <c r="CS44" s="1556"/>
      <c r="CT44" s="1557"/>
      <c r="CU44" s="1556"/>
      <c r="CV44" s="1556"/>
      <c r="CW44" s="1556"/>
      <c r="CX44" s="1556"/>
      <c r="CY44" s="1557"/>
      <c r="CZ44" s="1556"/>
      <c r="DA44" s="1556"/>
      <c r="DB44" s="1556"/>
      <c r="DC44" s="1556"/>
      <c r="DD44" s="1557"/>
      <c r="DE44" s="1556"/>
      <c r="DF44" s="1556"/>
      <c r="DG44" s="1556"/>
      <c r="DH44" s="1556"/>
      <c r="DI44" s="1557"/>
      <c r="DJ44" s="1556"/>
      <c r="DK44" s="1556"/>
      <c r="DL44" s="1556"/>
      <c r="DM44" s="1556"/>
      <c r="DN44" s="1557"/>
      <c r="DO44" s="1556"/>
      <c r="DP44" s="1556"/>
      <c r="DQ44" s="1556"/>
      <c r="DR44" s="1556"/>
      <c r="DS44" s="1557"/>
      <c r="DT44" s="1556"/>
      <c r="DU44" s="1556"/>
      <c r="DV44" s="1556"/>
      <c r="DW44" s="1556"/>
      <c r="DX44" s="1557"/>
      <c r="DY44" s="1556">
        <v>4782</v>
      </c>
      <c r="DZ44" s="1556">
        <v>5182</v>
      </c>
      <c r="EA44" s="1556">
        <v>4788</v>
      </c>
      <c r="EB44" s="1556">
        <v>4029</v>
      </c>
      <c r="EC44" s="1557">
        <v>18781</v>
      </c>
      <c r="ED44" s="1556">
        <v>5706</v>
      </c>
      <c r="EE44" s="1556">
        <v>6179.6665000000003</v>
      </c>
      <c r="EF44" s="1556">
        <v>6029</v>
      </c>
      <c r="EG44" s="1556">
        <v>6435</v>
      </c>
      <c r="EH44" s="1557">
        <v>24351</v>
      </c>
      <c r="EI44" s="1556">
        <v>7581</v>
      </c>
      <c r="EJ44" s="1556">
        <v>7688</v>
      </c>
      <c r="EK44" s="1556">
        <v>7184</v>
      </c>
      <c r="EL44" s="1556">
        <v>7232</v>
      </c>
      <c r="EM44" s="1557">
        <v>29685</v>
      </c>
      <c r="EN44" s="1556">
        <v>8322.4</v>
      </c>
      <c r="EO44" s="1556">
        <v>8176</v>
      </c>
      <c r="EP44" s="1556">
        <v>8639.2000000000007</v>
      </c>
      <c r="EQ44" s="1556">
        <v>9051.6</v>
      </c>
      <c r="ER44" s="1557">
        <v>34189.4</v>
      </c>
      <c r="ES44" s="1556">
        <v>9970</v>
      </c>
      <c r="ET44" s="1556">
        <v>10283.333000000001</v>
      </c>
      <c r="EU44" s="1556">
        <v>10142.571</v>
      </c>
      <c r="EV44" s="1556">
        <v>10142.4</v>
      </c>
      <c r="EW44" s="1557">
        <v>40540</v>
      </c>
      <c r="EX44" s="1556">
        <v>15451.8</v>
      </c>
      <c r="EY44" s="1556">
        <v>15766.4</v>
      </c>
      <c r="EZ44" s="1556">
        <v>15823.25</v>
      </c>
      <c r="FA44" s="1556">
        <v>16534.2</v>
      </c>
      <c r="FB44" s="1557">
        <v>63884.800000000003</v>
      </c>
      <c r="FC44" s="1556">
        <v>16697</v>
      </c>
      <c r="FD44" s="1556">
        <v>17261.5</v>
      </c>
      <c r="FE44" s="1556">
        <v>17482.25</v>
      </c>
      <c r="FF44" s="1556">
        <v>18193.5</v>
      </c>
      <c r="FG44" s="1557">
        <v>69634.5</v>
      </c>
      <c r="FH44" s="1556" t="s">
        <v>2451</v>
      </c>
      <c r="FI44" s="1556" t="s">
        <v>2451</v>
      </c>
      <c r="FJ44" s="1556" t="s">
        <v>2451</v>
      </c>
      <c r="FK44" s="1556" t="s">
        <v>2451</v>
      </c>
      <c r="FL44" s="1557">
        <v>85813.335999999996</v>
      </c>
      <c r="FM44" s="1556" t="s">
        <v>2451</v>
      </c>
      <c r="FN44" s="1556" t="s">
        <v>2451</v>
      </c>
      <c r="FO44" s="1556" t="s">
        <v>2451</v>
      </c>
      <c r="FP44" s="1556" t="s">
        <v>2451</v>
      </c>
      <c r="FQ44" s="1557" t="s">
        <v>2451</v>
      </c>
      <c r="FR44" s="1556" t="s">
        <v>2451</v>
      </c>
      <c r="FS44" s="1556" t="s">
        <v>2451</v>
      </c>
      <c r="FT44" s="1556" t="s">
        <v>2451</v>
      </c>
      <c r="FU44" s="1556" t="s">
        <v>2451</v>
      </c>
      <c r="FV44" s="1557" t="s">
        <v>2451</v>
      </c>
      <c r="FW44" s="1556" t="s">
        <v>2451</v>
      </c>
      <c r="FX44" s="1556" t="s">
        <v>2451</v>
      </c>
      <c r="FY44" s="1556" t="s">
        <v>2451</v>
      </c>
      <c r="FZ44" s="1556" t="s">
        <v>2451</v>
      </c>
      <c r="GA44" s="1557" t="s">
        <v>2451</v>
      </c>
    </row>
    <row r="45" spans="1:183" s="67" customFormat="1" ht="12.75" customHeight="1" outlineLevel="1">
      <c r="A45" s="68"/>
      <c r="B45" s="753" t="s">
        <v>34</v>
      </c>
      <c r="C45" s="69"/>
      <c r="D45" s="70"/>
      <c r="E45" s="70"/>
      <c r="F45" s="70"/>
      <c r="G45" s="70"/>
      <c r="H45" s="71"/>
      <c r="I45" s="70"/>
      <c r="J45" s="70"/>
      <c r="K45" s="70"/>
      <c r="L45" s="70"/>
      <c r="M45" s="71"/>
      <c r="N45" s="70"/>
      <c r="O45" s="70"/>
      <c r="P45" s="70"/>
      <c r="Q45" s="70"/>
      <c r="R45" s="71"/>
      <c r="S45" s="70"/>
      <c r="T45" s="70"/>
      <c r="U45" s="70"/>
      <c r="V45" s="70"/>
      <c r="W45" s="71"/>
      <c r="X45" s="70"/>
      <c r="Y45" s="70"/>
      <c r="Z45" s="70"/>
      <c r="AA45" s="70"/>
      <c r="AB45" s="71"/>
      <c r="AC45" s="70"/>
      <c r="AD45" s="70"/>
      <c r="AE45" s="70"/>
      <c r="AF45" s="70"/>
      <c r="AG45" s="71"/>
      <c r="AH45" s="70"/>
      <c r="AI45" s="70"/>
      <c r="AJ45" s="70"/>
      <c r="AK45" s="70"/>
      <c r="AL45" s="71"/>
      <c r="AM45" s="70"/>
      <c r="AN45" s="70"/>
      <c r="AO45" s="70"/>
      <c r="AP45" s="70"/>
      <c r="AQ45" s="71"/>
      <c r="AR45" s="70"/>
      <c r="AS45" s="70"/>
      <c r="AT45" s="70"/>
      <c r="AU45" s="70"/>
      <c r="AV45" s="71"/>
      <c r="AW45" s="70"/>
      <c r="AX45" s="70"/>
      <c r="AY45" s="70"/>
      <c r="AZ45" s="70"/>
      <c r="BA45" s="71"/>
      <c r="BB45" s="70"/>
      <c r="BC45" s="70"/>
      <c r="BD45" s="70"/>
      <c r="BE45" s="70"/>
      <c r="BF45" s="71"/>
      <c r="BG45" s="70"/>
      <c r="BH45" s="70"/>
      <c r="BI45" s="70"/>
      <c r="BJ45" s="70"/>
      <c r="BK45" s="71"/>
      <c r="BL45" s="70"/>
      <c r="BM45" s="70"/>
      <c r="BN45" s="70"/>
      <c r="BO45" s="70"/>
      <c r="BP45" s="71"/>
      <c r="BQ45" s="70"/>
      <c r="BR45" s="70"/>
      <c r="BS45" s="70"/>
      <c r="BT45" s="70"/>
      <c r="BU45" s="71"/>
      <c r="BV45" s="70"/>
      <c r="BW45" s="70"/>
      <c r="BX45" s="70"/>
      <c r="BY45" s="70"/>
      <c r="BZ45" s="71"/>
      <c r="CA45" s="70"/>
      <c r="CB45" s="70"/>
      <c r="CC45" s="70"/>
      <c r="CD45" s="70"/>
      <c r="CE45" s="71"/>
      <c r="CF45" s="70"/>
      <c r="CG45" s="70"/>
      <c r="CH45" s="70"/>
      <c r="CI45" s="70"/>
      <c r="CJ45" s="71"/>
      <c r="CK45" s="70"/>
      <c r="CL45" s="70"/>
      <c r="CM45" s="70"/>
      <c r="CN45" s="70"/>
      <c r="CO45" s="71"/>
      <c r="CP45" s="70"/>
      <c r="CQ45" s="70"/>
      <c r="CR45" s="70"/>
      <c r="CS45" s="70"/>
      <c r="CT45" s="71"/>
      <c r="CU45" s="70"/>
      <c r="CV45" s="70"/>
      <c r="CW45" s="70"/>
      <c r="CX45" s="70"/>
      <c r="CY45" s="71"/>
      <c r="CZ45" s="70"/>
      <c r="DA45" s="70"/>
      <c r="DB45" s="70"/>
      <c r="DC45" s="70"/>
      <c r="DD45" s="71"/>
      <c r="DE45" s="70"/>
      <c r="DF45" s="70"/>
      <c r="DG45" s="70"/>
      <c r="DH45" s="70"/>
      <c r="DI45" s="71"/>
      <c r="DJ45" s="70"/>
      <c r="DK45" s="70"/>
      <c r="DL45" s="70"/>
      <c r="DM45" s="70"/>
      <c r="DN45" s="71"/>
      <c r="DO45" s="70"/>
      <c r="DP45" s="70"/>
      <c r="DQ45" s="70"/>
      <c r="DR45" s="70"/>
      <c r="DS45" s="71"/>
      <c r="DT45" s="70"/>
      <c r="DU45" s="70"/>
      <c r="DV45" s="70"/>
      <c r="DW45" s="70"/>
      <c r="DX45" s="71"/>
      <c r="DY45" s="70" t="s">
        <v>2451</v>
      </c>
      <c r="DZ45" s="70" t="s">
        <v>2451</v>
      </c>
      <c r="EA45" s="70" t="s">
        <v>2451</v>
      </c>
      <c r="EB45" s="70" t="s">
        <v>2451</v>
      </c>
      <c r="EC45" s="71" t="s">
        <v>2451</v>
      </c>
      <c r="ED45" s="70">
        <v>0.193224592220828</v>
      </c>
      <c r="EE45" s="70">
        <v>0.19252537630258582</v>
      </c>
      <c r="EF45" s="70">
        <v>0.25918964076858808</v>
      </c>
      <c r="EG45" s="70">
        <v>0.5971705137751302</v>
      </c>
      <c r="EH45" s="71">
        <v>0.29657632713912996</v>
      </c>
      <c r="EI45" s="70">
        <v>0.32860147213459512</v>
      </c>
      <c r="EJ45" s="70">
        <v>0.24408008102055345</v>
      </c>
      <c r="EK45" s="70">
        <v>0.19157405871620492</v>
      </c>
      <c r="EL45" s="70">
        <v>0.1238539238539238</v>
      </c>
      <c r="EM45" s="71">
        <v>0.21904644573118137</v>
      </c>
      <c r="EN45" s="70">
        <v>9.7797124389922052E-2</v>
      </c>
      <c r="EO45" s="70">
        <v>6.347554630593133E-2</v>
      </c>
      <c r="EP45" s="70">
        <v>0.20256124721603563</v>
      </c>
      <c r="EQ45" s="70">
        <v>0.2516039823008851</v>
      </c>
      <c r="ER45" s="71">
        <v>0.15173993599461011</v>
      </c>
      <c r="ES45" s="70">
        <v>0.19797173892146502</v>
      </c>
      <c r="ET45" s="70">
        <v>0.25774620841487295</v>
      </c>
      <c r="EU45" s="70">
        <v>0.1740173858690619</v>
      </c>
      <c r="EV45" s="70">
        <v>0.12050908126740012</v>
      </c>
      <c r="EW45" s="71">
        <v>0.18574762938220624</v>
      </c>
      <c r="EX45" s="70">
        <v>0.54982948846539603</v>
      </c>
      <c r="EY45" s="70">
        <v>0.53319940140030453</v>
      </c>
      <c r="EZ45" s="70">
        <v>0.56008274430615268</v>
      </c>
      <c r="FA45" s="70">
        <v>0.63020586843350701</v>
      </c>
      <c r="FB45" s="71">
        <v>0.57584607794770615</v>
      </c>
      <c r="FC45" s="70">
        <v>8.0586080586080744E-2</v>
      </c>
      <c r="FD45" s="70">
        <v>9.4828242338136803E-2</v>
      </c>
      <c r="FE45" s="70">
        <v>0.10484571753590455</v>
      </c>
      <c r="FF45" s="70">
        <v>0.10035562651957752</v>
      </c>
      <c r="FG45" s="71">
        <v>9.0001064415948573E-2</v>
      </c>
      <c r="FH45" s="70" t="s">
        <v>2451</v>
      </c>
      <c r="FI45" s="70" t="s">
        <v>2451</v>
      </c>
      <c r="FJ45" s="70" t="s">
        <v>2451</v>
      </c>
      <c r="FK45" s="70" t="s">
        <v>2451</v>
      </c>
      <c r="FL45" s="71">
        <v>0.23233937200669197</v>
      </c>
      <c r="FM45" s="70" t="s">
        <v>2451</v>
      </c>
      <c r="FN45" s="70" t="s">
        <v>2451</v>
      </c>
      <c r="FO45" s="70" t="s">
        <v>2451</v>
      </c>
      <c r="FP45" s="70" t="s">
        <v>2451</v>
      </c>
      <c r="FQ45" s="71" t="s">
        <v>2451</v>
      </c>
      <c r="FR45" s="70" t="s">
        <v>2451</v>
      </c>
      <c r="FS45" s="70" t="s">
        <v>2451</v>
      </c>
      <c r="FT45" s="70" t="s">
        <v>2451</v>
      </c>
      <c r="FU45" s="70" t="s">
        <v>2451</v>
      </c>
      <c r="FV45" s="71" t="s">
        <v>2451</v>
      </c>
      <c r="FW45" s="70" t="s">
        <v>2451</v>
      </c>
      <c r="FX45" s="70" t="s">
        <v>2451</v>
      </c>
      <c r="FY45" s="70" t="s">
        <v>2451</v>
      </c>
      <c r="FZ45" s="70" t="s">
        <v>2451</v>
      </c>
      <c r="GA45" s="71" t="s">
        <v>2451</v>
      </c>
    </row>
    <row r="46" spans="1:183" s="67" customFormat="1" ht="12.75" customHeight="1" outlineLevel="1">
      <c r="A46" s="68"/>
      <c r="B46" s="753" t="s">
        <v>36</v>
      </c>
      <c r="C46" s="69"/>
      <c r="D46" s="70"/>
      <c r="E46" s="70"/>
      <c r="F46" s="70"/>
      <c r="G46" s="70"/>
      <c r="H46" s="77"/>
      <c r="I46" s="70"/>
      <c r="J46" s="70"/>
      <c r="K46" s="70"/>
      <c r="L46" s="70"/>
      <c r="M46" s="73"/>
      <c r="N46" s="70"/>
      <c r="O46" s="70"/>
      <c r="P46" s="70"/>
      <c r="Q46" s="70"/>
      <c r="R46" s="73"/>
      <c r="S46" s="70"/>
      <c r="T46" s="70"/>
      <c r="U46" s="70"/>
      <c r="V46" s="70"/>
      <c r="W46" s="73"/>
      <c r="X46" s="70"/>
      <c r="Y46" s="70"/>
      <c r="Z46" s="70"/>
      <c r="AA46" s="70"/>
      <c r="AB46" s="73"/>
      <c r="AC46" s="70"/>
      <c r="AD46" s="70"/>
      <c r="AE46" s="70"/>
      <c r="AF46" s="70"/>
      <c r="AG46" s="73"/>
      <c r="AH46" s="70"/>
      <c r="AI46" s="70"/>
      <c r="AJ46" s="70"/>
      <c r="AK46" s="70"/>
      <c r="AL46" s="73"/>
      <c r="AM46" s="70"/>
      <c r="AN46" s="70"/>
      <c r="AO46" s="70"/>
      <c r="AP46" s="70"/>
      <c r="AQ46" s="73"/>
      <c r="AR46" s="70"/>
      <c r="AS46" s="70"/>
      <c r="AT46" s="70"/>
      <c r="AU46" s="70"/>
      <c r="AV46" s="73"/>
      <c r="AW46" s="70"/>
      <c r="AX46" s="70"/>
      <c r="AY46" s="70"/>
      <c r="AZ46" s="70"/>
      <c r="BA46" s="73"/>
      <c r="BB46" s="70"/>
      <c r="BC46" s="70"/>
      <c r="BD46" s="70"/>
      <c r="BE46" s="70"/>
      <c r="BF46" s="73"/>
      <c r="BG46" s="70"/>
      <c r="BH46" s="70"/>
      <c r="BI46" s="70"/>
      <c r="BJ46" s="70"/>
      <c r="BK46" s="73"/>
      <c r="BL46" s="70"/>
      <c r="BM46" s="70"/>
      <c r="BN46" s="70"/>
      <c r="BO46" s="70"/>
      <c r="BP46" s="73"/>
      <c r="BQ46" s="70"/>
      <c r="BR46" s="70"/>
      <c r="BS46" s="70"/>
      <c r="BT46" s="70"/>
      <c r="BU46" s="73"/>
      <c r="BV46" s="70"/>
      <c r="BW46" s="70"/>
      <c r="BX46" s="70"/>
      <c r="BY46" s="70"/>
      <c r="BZ46" s="73"/>
      <c r="CA46" s="70"/>
      <c r="CB46" s="70"/>
      <c r="CC46" s="70"/>
      <c r="CD46" s="70"/>
      <c r="CE46" s="73"/>
      <c r="CF46" s="70"/>
      <c r="CG46" s="70"/>
      <c r="CH46" s="70"/>
      <c r="CI46" s="70"/>
      <c r="CJ46" s="73"/>
      <c r="CK46" s="70"/>
      <c r="CL46" s="70"/>
      <c r="CM46" s="70"/>
      <c r="CN46" s="70"/>
      <c r="CO46" s="73"/>
      <c r="CP46" s="70"/>
      <c r="CQ46" s="70"/>
      <c r="CR46" s="70"/>
      <c r="CS46" s="70"/>
      <c r="CT46" s="73"/>
      <c r="CU46" s="70"/>
      <c r="CV46" s="70"/>
      <c r="CW46" s="70"/>
      <c r="CX46" s="70"/>
      <c r="CY46" s="73"/>
      <c r="CZ46" s="70"/>
      <c r="DA46" s="70"/>
      <c r="DB46" s="70"/>
      <c r="DC46" s="70"/>
      <c r="DD46" s="73"/>
      <c r="DE46" s="70"/>
      <c r="DF46" s="70"/>
      <c r="DG46" s="70"/>
      <c r="DH46" s="70"/>
      <c r="DI46" s="73"/>
      <c r="DJ46" s="70"/>
      <c r="DK46" s="70"/>
      <c r="DL46" s="70"/>
      <c r="DM46" s="70"/>
      <c r="DN46" s="73"/>
      <c r="DO46" s="70"/>
      <c r="DP46" s="70"/>
      <c r="DQ46" s="70"/>
      <c r="DR46" s="70"/>
      <c r="DS46" s="73"/>
      <c r="DT46" s="70"/>
      <c r="DU46" s="70"/>
      <c r="DV46" s="70"/>
      <c r="DW46" s="70"/>
      <c r="DX46" s="73"/>
      <c r="DY46" s="70" t="s">
        <v>2451</v>
      </c>
      <c r="DZ46" s="70">
        <v>8.3647009619406187E-2</v>
      </c>
      <c r="EA46" s="70">
        <v>-7.6032419915090688E-2</v>
      </c>
      <c r="EB46" s="70">
        <v>-0.1585213032581454</v>
      </c>
      <c r="EC46" s="73"/>
      <c r="ED46" s="70">
        <v>0.41623231571109454</v>
      </c>
      <c r="EE46" s="70">
        <v>8.3012004907115466E-2</v>
      </c>
      <c r="EF46" s="70">
        <v>-2.4381008263148263E-2</v>
      </c>
      <c r="EG46" s="70">
        <v>6.7341184275999444E-2</v>
      </c>
      <c r="EH46" s="73"/>
      <c r="EI46" s="70">
        <v>0.17808857808857814</v>
      </c>
      <c r="EJ46" s="70">
        <v>1.4114232950797945E-2</v>
      </c>
      <c r="EK46" s="70">
        <v>-6.5556711758584796E-2</v>
      </c>
      <c r="EL46" s="70">
        <v>6.6815144766148027E-3</v>
      </c>
      <c r="EM46" s="73"/>
      <c r="EN46" s="70">
        <v>0.15077433628318571</v>
      </c>
      <c r="EO46" s="70">
        <v>-1.7591079496299122E-2</v>
      </c>
      <c r="EP46" s="70">
        <v>5.6653620352250522E-2</v>
      </c>
      <c r="EQ46" s="70">
        <v>4.77359014723584E-2</v>
      </c>
      <c r="ER46" s="73"/>
      <c r="ES46" s="70">
        <v>0.10146272482213092</v>
      </c>
      <c r="ET46" s="70">
        <v>3.1427582748244864E-2</v>
      </c>
      <c r="EU46" s="70">
        <v>-1.3688363490708788E-2</v>
      </c>
      <c r="EV46" s="70">
        <v>-1.685963056119455E-5</v>
      </c>
      <c r="EW46" s="73"/>
      <c r="EX46" s="70">
        <v>0.52348556554661618</v>
      </c>
      <c r="EY46" s="70">
        <v>2.036008749789664E-2</v>
      </c>
      <c r="EZ46" s="70">
        <v>3.6057692307691624E-3</v>
      </c>
      <c r="FA46" s="70">
        <v>4.4930719036860411E-2</v>
      </c>
      <c r="FB46" s="73"/>
      <c r="FC46" s="70">
        <v>9.8462580590532589E-3</v>
      </c>
      <c r="FD46" s="70">
        <v>3.3808468587171348E-2</v>
      </c>
      <c r="FE46" s="70">
        <v>1.2788575732120666E-2</v>
      </c>
      <c r="FF46" s="70">
        <v>4.0684122467073758E-2</v>
      </c>
      <c r="FG46" s="73"/>
      <c r="FH46" s="70" t="s">
        <v>2451</v>
      </c>
      <c r="FI46" s="70" t="s">
        <v>2451</v>
      </c>
      <c r="FJ46" s="70" t="s">
        <v>2451</v>
      </c>
      <c r="FK46" s="70" t="s">
        <v>2451</v>
      </c>
      <c r="FL46" s="73"/>
      <c r="FM46" s="70" t="s">
        <v>2451</v>
      </c>
      <c r="FN46" s="70" t="s">
        <v>2451</v>
      </c>
      <c r="FO46" s="70" t="s">
        <v>2451</v>
      </c>
      <c r="FP46" s="70" t="s">
        <v>2451</v>
      </c>
      <c r="FQ46" s="73"/>
      <c r="FR46" s="70" t="s">
        <v>2451</v>
      </c>
      <c r="FS46" s="70" t="s">
        <v>2451</v>
      </c>
      <c r="FT46" s="70" t="s">
        <v>2451</v>
      </c>
      <c r="FU46" s="70" t="s">
        <v>2451</v>
      </c>
      <c r="FV46" s="73"/>
      <c r="FW46" s="70" t="s">
        <v>2451</v>
      </c>
      <c r="FX46" s="70" t="s">
        <v>2451</v>
      </c>
      <c r="FY46" s="70" t="s">
        <v>2451</v>
      </c>
      <c r="FZ46" s="70" t="s">
        <v>2451</v>
      </c>
      <c r="GA46" s="73"/>
    </row>
    <row r="47" spans="1:183" s="72" customFormat="1" ht="12.75" customHeight="1" outlineLevel="1">
      <c r="A47" s="78"/>
      <c r="B47" s="753" t="s">
        <v>42</v>
      </c>
      <c r="C47" s="69"/>
      <c r="D47" s="70"/>
      <c r="E47" s="70"/>
      <c r="F47" s="70"/>
      <c r="G47" s="70"/>
      <c r="H47" s="71"/>
      <c r="I47" s="70"/>
      <c r="J47" s="70"/>
      <c r="K47" s="70"/>
      <c r="L47" s="70"/>
      <c r="M47" s="71"/>
      <c r="N47" s="70"/>
      <c r="O47" s="70"/>
      <c r="P47" s="70"/>
      <c r="Q47" s="70"/>
      <c r="R47" s="71"/>
      <c r="S47" s="70"/>
      <c r="T47" s="70"/>
      <c r="U47" s="70"/>
      <c r="V47" s="70"/>
      <c r="W47" s="71"/>
      <c r="X47" s="70"/>
      <c r="Y47" s="70"/>
      <c r="Z47" s="70"/>
      <c r="AA47" s="70"/>
      <c r="AB47" s="71"/>
      <c r="AC47" s="70"/>
      <c r="AD47" s="70"/>
      <c r="AE47" s="70"/>
      <c r="AF47" s="70"/>
      <c r="AG47" s="71"/>
      <c r="AH47" s="70"/>
      <c r="AI47" s="70"/>
      <c r="AJ47" s="70"/>
      <c r="AK47" s="70"/>
      <c r="AL47" s="71"/>
      <c r="AM47" s="70"/>
      <c r="AN47" s="70"/>
      <c r="AO47" s="70"/>
      <c r="AP47" s="70"/>
      <c r="AQ47" s="71"/>
      <c r="AR47" s="70"/>
      <c r="AS47" s="70"/>
      <c r="AT47" s="70"/>
      <c r="AU47" s="70"/>
      <c r="AV47" s="71"/>
      <c r="AW47" s="70"/>
      <c r="AX47" s="70"/>
      <c r="AY47" s="70"/>
      <c r="AZ47" s="70"/>
      <c r="BA47" s="71"/>
      <c r="BB47" s="70"/>
      <c r="BC47" s="70"/>
      <c r="BD47" s="70"/>
      <c r="BE47" s="70"/>
      <c r="BF47" s="71"/>
      <c r="BG47" s="70"/>
      <c r="BH47" s="70"/>
      <c r="BI47" s="70"/>
      <c r="BJ47" s="70"/>
      <c r="BK47" s="71"/>
      <c r="BL47" s="70"/>
      <c r="BM47" s="70"/>
      <c r="BN47" s="70"/>
      <c r="BO47" s="70"/>
      <c r="BP47" s="71"/>
      <c r="BQ47" s="70"/>
      <c r="BR47" s="70"/>
      <c r="BS47" s="70"/>
      <c r="BT47" s="70"/>
      <c r="BU47" s="71"/>
      <c r="BV47" s="70"/>
      <c r="BW47" s="70"/>
      <c r="BX47" s="70"/>
      <c r="BY47" s="70"/>
      <c r="BZ47" s="71"/>
      <c r="CA47" s="70"/>
      <c r="CB47" s="70"/>
      <c r="CC47" s="70"/>
      <c r="CD47" s="70"/>
      <c r="CE47" s="71"/>
      <c r="CF47" s="70"/>
      <c r="CG47" s="70"/>
      <c r="CH47" s="70"/>
      <c r="CI47" s="70"/>
      <c r="CJ47" s="71"/>
      <c r="CK47" s="70"/>
      <c r="CL47" s="70"/>
      <c r="CM47" s="70"/>
      <c r="CN47" s="70"/>
      <c r="CO47" s="71"/>
      <c r="CP47" s="70"/>
      <c r="CQ47" s="70"/>
      <c r="CR47" s="70"/>
      <c r="CS47" s="70"/>
      <c r="CT47" s="71"/>
      <c r="CU47" s="70"/>
      <c r="CV47" s="70"/>
      <c r="CW47" s="70"/>
      <c r="CX47" s="70"/>
      <c r="CY47" s="71"/>
      <c r="CZ47" s="70"/>
      <c r="DA47" s="70"/>
      <c r="DB47" s="70"/>
      <c r="DC47" s="70"/>
      <c r="DD47" s="71"/>
      <c r="DE47" s="70"/>
      <c r="DF47" s="70"/>
      <c r="DG47" s="70"/>
      <c r="DH47" s="70"/>
      <c r="DI47" s="71"/>
      <c r="DJ47" s="70"/>
      <c r="DK47" s="70"/>
      <c r="DL47" s="70"/>
      <c r="DM47" s="70"/>
      <c r="DN47" s="71"/>
      <c r="DO47" s="70"/>
      <c r="DP47" s="70"/>
      <c r="DQ47" s="70"/>
      <c r="DR47" s="70"/>
      <c r="DS47" s="71"/>
      <c r="DT47" s="70"/>
      <c r="DU47" s="70"/>
      <c r="DV47" s="70"/>
      <c r="DW47" s="70"/>
      <c r="DX47" s="71"/>
      <c r="DY47" s="70">
        <v>0.43170533537961542</v>
      </c>
      <c r="DZ47" s="70">
        <v>0.43818704549298154</v>
      </c>
      <c r="EA47" s="70">
        <v>0.40773226603082685</v>
      </c>
      <c r="EB47" s="70">
        <v>0.34283526208304971</v>
      </c>
      <c r="EC47" s="71">
        <v>0.40478037846458897</v>
      </c>
      <c r="ED47" s="70">
        <v>0.46318694699245067</v>
      </c>
      <c r="EE47" s="70">
        <v>0.46279236875608482</v>
      </c>
      <c r="EF47" s="70">
        <v>0.44487898465171194</v>
      </c>
      <c r="EG47" s="70">
        <v>0.43802327955891363</v>
      </c>
      <c r="EH47" s="71">
        <v>0.45165538347398682</v>
      </c>
      <c r="EI47" s="70">
        <v>0.50408936764412526</v>
      </c>
      <c r="EJ47" s="70">
        <v>0.48242971887550201</v>
      </c>
      <c r="EK47" s="70">
        <v>0.45500031667616697</v>
      </c>
      <c r="EL47" s="70">
        <v>0.43566265060240966</v>
      </c>
      <c r="EM47" s="71">
        <v>0.46848368158575848</v>
      </c>
      <c r="EN47" s="70">
        <v>0.5054600668083814</v>
      </c>
      <c r="EO47" s="70">
        <v>0.48088460181155157</v>
      </c>
      <c r="EP47" s="70">
        <v>0.49321762959579818</v>
      </c>
      <c r="EQ47" s="70">
        <v>0.49486632770214861</v>
      </c>
      <c r="ER47" s="71">
        <v>0.49353157704799716</v>
      </c>
      <c r="ES47" s="70">
        <v>0.53625215146299487</v>
      </c>
      <c r="ET47" s="70">
        <v>0.53422686892825599</v>
      </c>
      <c r="EU47" s="70">
        <v>0.51827138477261114</v>
      </c>
      <c r="EV47" s="70">
        <v>0.49920756017128509</v>
      </c>
      <c r="EW47" s="71">
        <v>0.52156237134623307</v>
      </c>
      <c r="EX47" s="70">
        <v>0.54567221103930497</v>
      </c>
      <c r="EY47" s="70">
        <v>0.53559805686720796</v>
      </c>
      <c r="EZ47" s="70">
        <v>0.52842806572268231</v>
      </c>
      <c r="FA47" s="70">
        <v>0.51415333444181466</v>
      </c>
      <c r="FB47" s="71">
        <v>0.53287630639767036</v>
      </c>
      <c r="FC47" s="70">
        <v>0.53289494051409025</v>
      </c>
      <c r="FD47" s="70">
        <v>0.53308420349347962</v>
      </c>
      <c r="FE47" s="70">
        <v>0.53045849291439018</v>
      </c>
      <c r="FF47" s="70">
        <v>0.51742920319400865</v>
      </c>
      <c r="FG47" s="71">
        <v>0.52758844850681585</v>
      </c>
      <c r="FH47" s="70" t="s">
        <v>2451</v>
      </c>
      <c r="FI47" s="70" t="s">
        <v>2451</v>
      </c>
      <c r="FJ47" s="70" t="s">
        <v>2451</v>
      </c>
      <c r="FK47" s="70" t="s">
        <v>2451</v>
      </c>
      <c r="FL47" s="71">
        <v>0.58735167055047921</v>
      </c>
      <c r="FM47" s="70" t="s">
        <v>2451</v>
      </c>
      <c r="FN47" s="70" t="s">
        <v>2451</v>
      </c>
      <c r="FO47" s="70" t="s">
        <v>2451</v>
      </c>
      <c r="FP47" s="70" t="s">
        <v>2451</v>
      </c>
      <c r="FQ47" s="71" t="s">
        <v>2451</v>
      </c>
      <c r="FR47" s="70" t="s">
        <v>2451</v>
      </c>
      <c r="FS47" s="70" t="s">
        <v>2451</v>
      </c>
      <c r="FT47" s="70" t="s">
        <v>2451</v>
      </c>
      <c r="FU47" s="70" t="s">
        <v>2451</v>
      </c>
      <c r="FV47" s="71" t="s">
        <v>2451</v>
      </c>
      <c r="FW47" s="70" t="s">
        <v>2451</v>
      </c>
      <c r="FX47" s="70" t="s">
        <v>2451</v>
      </c>
      <c r="FY47" s="70" t="s">
        <v>2451</v>
      </c>
      <c r="FZ47" s="70" t="s">
        <v>2451</v>
      </c>
      <c r="GA47" s="71" t="s">
        <v>2451</v>
      </c>
    </row>
    <row r="48" spans="1:183" s="72" customFormat="1" ht="12.75" customHeight="1" outlineLevel="1">
      <c r="A48" s="54"/>
      <c r="B48" s="753"/>
      <c r="C48" s="69"/>
      <c r="D48" s="70"/>
      <c r="E48" s="70"/>
      <c r="F48" s="70"/>
      <c r="G48" s="70"/>
      <c r="H48" s="76"/>
      <c r="I48" s="70"/>
      <c r="J48" s="70"/>
      <c r="K48" s="70"/>
      <c r="L48" s="70"/>
      <c r="M48" s="76"/>
      <c r="N48" s="70"/>
      <c r="O48" s="70"/>
      <c r="P48" s="70"/>
      <c r="Q48" s="70"/>
      <c r="R48" s="76"/>
      <c r="S48" s="70"/>
      <c r="T48" s="70"/>
      <c r="U48" s="70"/>
      <c r="V48" s="70"/>
      <c r="W48" s="76"/>
      <c r="X48" s="70"/>
      <c r="Y48" s="70"/>
      <c r="Z48" s="70"/>
      <c r="AA48" s="70"/>
      <c r="AB48" s="76"/>
      <c r="AC48" s="70"/>
      <c r="AD48" s="70"/>
      <c r="AE48" s="70"/>
      <c r="AF48" s="70"/>
      <c r="AG48" s="76"/>
      <c r="AH48" s="70"/>
      <c r="AI48" s="70"/>
      <c r="AJ48" s="70"/>
      <c r="AK48" s="70"/>
      <c r="AL48" s="76"/>
      <c r="AM48" s="70"/>
      <c r="AN48" s="70"/>
      <c r="AO48" s="70"/>
      <c r="AP48" s="70"/>
      <c r="AQ48" s="76"/>
      <c r="AR48" s="70"/>
      <c r="AS48" s="70"/>
      <c r="AT48" s="70"/>
      <c r="AU48" s="70"/>
      <c r="AV48" s="76"/>
      <c r="AW48" s="70"/>
      <c r="AX48" s="70"/>
      <c r="AY48" s="70"/>
      <c r="AZ48" s="70"/>
      <c r="BA48" s="76"/>
      <c r="BB48" s="70"/>
      <c r="BC48" s="70"/>
      <c r="BD48" s="70"/>
      <c r="BE48" s="70"/>
      <c r="BF48" s="76"/>
      <c r="BG48" s="70"/>
      <c r="BH48" s="70"/>
      <c r="BI48" s="70"/>
      <c r="BJ48" s="70"/>
      <c r="BK48" s="76"/>
      <c r="BL48" s="70"/>
      <c r="BM48" s="70"/>
      <c r="BN48" s="70"/>
      <c r="BO48" s="70"/>
      <c r="BP48" s="76"/>
      <c r="BQ48" s="70"/>
      <c r="BR48" s="70"/>
      <c r="BS48" s="70"/>
      <c r="BT48" s="70"/>
      <c r="BU48" s="76"/>
      <c r="BV48" s="70"/>
      <c r="BW48" s="70"/>
      <c r="BX48" s="70"/>
      <c r="BY48" s="70"/>
      <c r="BZ48" s="76"/>
      <c r="CA48" s="70"/>
      <c r="CB48" s="70"/>
      <c r="CC48" s="70"/>
      <c r="CD48" s="70"/>
      <c r="CE48" s="76"/>
      <c r="CF48" s="70"/>
      <c r="CG48" s="70"/>
      <c r="CH48" s="70"/>
      <c r="CI48" s="70"/>
      <c r="CJ48" s="76"/>
      <c r="CK48" s="70"/>
      <c r="CL48" s="70"/>
      <c r="CM48" s="70"/>
      <c r="CN48" s="70"/>
      <c r="CO48" s="76"/>
      <c r="CP48" s="70"/>
      <c r="CQ48" s="70"/>
      <c r="CR48" s="70"/>
      <c r="CS48" s="70"/>
      <c r="CT48" s="76"/>
      <c r="CU48" s="70"/>
      <c r="CV48" s="70"/>
      <c r="CW48" s="70"/>
      <c r="CX48" s="70"/>
      <c r="CY48" s="76"/>
      <c r="CZ48" s="70"/>
      <c r="DA48" s="70"/>
      <c r="DB48" s="70"/>
      <c r="DC48" s="70"/>
      <c r="DD48" s="76"/>
      <c r="DE48" s="70"/>
      <c r="DF48" s="70"/>
      <c r="DG48" s="70"/>
      <c r="DH48" s="70"/>
      <c r="DI48" s="76"/>
      <c r="DJ48" s="70"/>
      <c r="DK48" s="70"/>
      <c r="DL48" s="70"/>
      <c r="DM48" s="70"/>
      <c r="DN48" s="76"/>
      <c r="DO48" s="70"/>
      <c r="DP48" s="70"/>
      <c r="DQ48" s="70"/>
      <c r="DR48" s="70"/>
      <c r="DS48" s="76"/>
      <c r="DT48" s="70"/>
      <c r="DU48" s="70"/>
      <c r="DV48" s="70"/>
      <c r="DW48" s="70"/>
      <c r="DX48" s="76"/>
      <c r="DY48" s="70"/>
      <c r="DZ48" s="70"/>
      <c r="EA48" s="70"/>
      <c r="EB48" s="70"/>
      <c r="EC48" s="76"/>
      <c r="ED48" s="70"/>
      <c r="EE48" s="70"/>
      <c r="EF48" s="70"/>
      <c r="EG48" s="70"/>
      <c r="EH48" s="76"/>
      <c r="EI48" s="70"/>
      <c r="EJ48" s="70"/>
      <c r="EK48" s="70"/>
      <c r="EL48" s="70"/>
      <c r="EM48" s="76"/>
      <c r="EN48" s="70"/>
      <c r="EO48" s="70"/>
      <c r="EP48" s="70"/>
      <c r="EQ48" s="70"/>
      <c r="ER48" s="76"/>
      <c r="ES48" s="70"/>
      <c r="ET48" s="70"/>
      <c r="EU48" s="70"/>
      <c r="EV48" s="70"/>
      <c r="EW48" s="76"/>
      <c r="EX48" s="70"/>
      <c r="EY48" s="70"/>
      <c r="EZ48" s="70"/>
      <c r="FA48" s="70"/>
      <c r="FB48" s="76"/>
      <c r="FC48" s="70"/>
      <c r="FD48" s="70"/>
      <c r="FE48" s="70"/>
      <c r="FF48" s="70"/>
      <c r="FG48" s="76"/>
      <c r="FH48" s="70"/>
      <c r="FI48" s="70"/>
      <c r="FJ48" s="70"/>
      <c r="FK48" s="70"/>
      <c r="FL48" s="76"/>
      <c r="FM48" s="70"/>
      <c r="FN48" s="70"/>
      <c r="FO48" s="70"/>
      <c r="FP48" s="70"/>
      <c r="FQ48" s="76"/>
      <c r="FR48" s="70"/>
      <c r="FS48" s="70"/>
      <c r="FT48" s="70"/>
      <c r="FU48" s="70"/>
      <c r="FV48" s="76"/>
      <c r="FW48" s="70"/>
      <c r="FX48" s="70"/>
      <c r="FY48" s="70"/>
      <c r="FZ48" s="70"/>
      <c r="GA48" s="76"/>
    </row>
    <row r="49" spans="1:183" s="1558" customFormat="1" ht="12.75" customHeight="1" outlineLevel="1">
      <c r="A49" s="1401"/>
      <c r="B49" s="1560" t="s">
        <v>67</v>
      </c>
      <c r="C49" s="1555"/>
      <c r="D49" s="1556"/>
      <c r="E49" s="1556"/>
      <c r="F49" s="1556"/>
      <c r="G49" s="1556"/>
      <c r="H49" s="1557"/>
      <c r="I49" s="1556"/>
      <c r="J49" s="1556"/>
      <c r="K49" s="1556"/>
      <c r="L49" s="1556"/>
      <c r="M49" s="1557"/>
      <c r="N49" s="1556"/>
      <c r="O49" s="1556"/>
      <c r="P49" s="1556"/>
      <c r="Q49" s="1556"/>
      <c r="R49" s="1557"/>
      <c r="S49" s="1556"/>
      <c r="T49" s="1556"/>
      <c r="U49" s="1556"/>
      <c r="V49" s="1556"/>
      <c r="W49" s="1557"/>
      <c r="X49" s="1556"/>
      <c r="Y49" s="1556"/>
      <c r="Z49" s="1556"/>
      <c r="AA49" s="1556"/>
      <c r="AB49" s="1557"/>
      <c r="AC49" s="1556"/>
      <c r="AD49" s="1556"/>
      <c r="AE49" s="1556"/>
      <c r="AF49" s="1556"/>
      <c r="AG49" s="1557"/>
      <c r="AH49" s="1556"/>
      <c r="AI49" s="1556"/>
      <c r="AJ49" s="1556"/>
      <c r="AK49" s="1556"/>
      <c r="AL49" s="1557"/>
      <c r="AM49" s="1556"/>
      <c r="AN49" s="1556"/>
      <c r="AO49" s="1556"/>
      <c r="AP49" s="1556"/>
      <c r="AQ49" s="1557"/>
      <c r="AR49" s="1556"/>
      <c r="AS49" s="1556"/>
      <c r="AT49" s="1556"/>
      <c r="AU49" s="1556"/>
      <c r="AV49" s="1557"/>
      <c r="AW49" s="1556"/>
      <c r="AX49" s="1556"/>
      <c r="AY49" s="1556"/>
      <c r="AZ49" s="1556"/>
      <c r="BA49" s="1557"/>
      <c r="BB49" s="1556"/>
      <c r="BC49" s="1556"/>
      <c r="BD49" s="1556"/>
      <c r="BE49" s="1556"/>
      <c r="BF49" s="1557"/>
      <c r="BG49" s="1556"/>
      <c r="BH49" s="1556"/>
      <c r="BI49" s="1556"/>
      <c r="BJ49" s="1556"/>
      <c r="BK49" s="1557"/>
      <c r="BL49" s="1556"/>
      <c r="BM49" s="1556"/>
      <c r="BN49" s="1556"/>
      <c r="BO49" s="1556"/>
      <c r="BP49" s="1557"/>
      <c r="BQ49" s="1556"/>
      <c r="BR49" s="1556"/>
      <c r="BS49" s="1556"/>
      <c r="BT49" s="1556"/>
      <c r="BU49" s="1557"/>
      <c r="BV49" s="1556"/>
      <c r="BW49" s="1556"/>
      <c r="BX49" s="1556"/>
      <c r="BY49" s="1556"/>
      <c r="BZ49" s="1557"/>
      <c r="CA49" s="1556"/>
      <c r="CB49" s="1556"/>
      <c r="CC49" s="1556"/>
      <c r="CD49" s="1556"/>
      <c r="CE49" s="1557"/>
      <c r="CF49" s="1556"/>
      <c r="CG49" s="1556"/>
      <c r="CH49" s="1556"/>
      <c r="CI49" s="1556"/>
      <c r="CJ49" s="1557"/>
      <c r="CK49" s="1556"/>
      <c r="CL49" s="1556"/>
      <c r="CM49" s="1556"/>
      <c r="CN49" s="1556"/>
      <c r="CO49" s="1557"/>
      <c r="CP49" s="1556"/>
      <c r="CQ49" s="1556"/>
      <c r="CR49" s="1556"/>
      <c r="CS49" s="1556"/>
      <c r="CT49" s="1557"/>
      <c r="CU49" s="1556"/>
      <c r="CV49" s="1556"/>
      <c r="CW49" s="1556"/>
      <c r="CX49" s="1556"/>
      <c r="CY49" s="1557"/>
      <c r="CZ49" s="1556"/>
      <c r="DA49" s="1556"/>
      <c r="DB49" s="1556"/>
      <c r="DC49" s="1556"/>
      <c r="DD49" s="1557"/>
      <c r="DE49" s="1556"/>
      <c r="DF49" s="1556"/>
      <c r="DG49" s="1556"/>
      <c r="DH49" s="1556"/>
      <c r="DI49" s="1557"/>
      <c r="DJ49" s="1556"/>
      <c r="DK49" s="1556"/>
      <c r="DL49" s="1556"/>
      <c r="DM49" s="1556"/>
      <c r="DN49" s="1557"/>
      <c r="DO49" s="1556"/>
      <c r="DP49" s="1556"/>
      <c r="DQ49" s="1556"/>
      <c r="DR49" s="1556"/>
      <c r="DS49" s="1557"/>
      <c r="DT49" s="1556"/>
      <c r="DU49" s="1556"/>
      <c r="DV49" s="1556"/>
      <c r="DW49" s="1556"/>
      <c r="DX49" s="1557"/>
      <c r="DY49" s="1556">
        <v>3889</v>
      </c>
      <c r="DZ49" s="1556">
        <v>4531</v>
      </c>
      <c r="EA49" s="1556">
        <v>4560</v>
      </c>
      <c r="EB49" s="1556">
        <v>5208.3334999999997</v>
      </c>
      <c r="EC49" s="1557">
        <v>18188.333999999999</v>
      </c>
      <c r="ED49" s="1556">
        <v>5422</v>
      </c>
      <c r="EE49" s="1556">
        <v>6492</v>
      </c>
      <c r="EF49" s="1556">
        <v>6425</v>
      </c>
      <c r="EG49" s="1556">
        <v>7787</v>
      </c>
      <c r="EH49" s="1557">
        <v>26126</v>
      </c>
      <c r="EI49" s="1556">
        <v>7562</v>
      </c>
      <c r="EJ49" s="1556">
        <v>8197</v>
      </c>
      <c r="EK49" s="1556">
        <v>8281</v>
      </c>
      <c r="EL49" s="1556">
        <v>8668.7999999999993</v>
      </c>
      <c r="EM49" s="1557">
        <v>32708.6</v>
      </c>
      <c r="EN49" s="1556">
        <v>8954.6</v>
      </c>
      <c r="EO49" s="1556">
        <v>8903.2000000000007</v>
      </c>
      <c r="EP49" s="1556">
        <v>9476.7999999999993</v>
      </c>
      <c r="EQ49" s="1556">
        <v>10526.8</v>
      </c>
      <c r="ER49" s="1557">
        <v>37883.199999999997</v>
      </c>
      <c r="ES49" s="1556">
        <v>11750.8</v>
      </c>
      <c r="ET49" s="1556">
        <v>12460.833000000001</v>
      </c>
      <c r="EU49" s="1556">
        <v>12512.571</v>
      </c>
      <c r="EV49" s="1556">
        <v>12859.2</v>
      </c>
      <c r="EW49" s="1557">
        <v>49583.199999999997</v>
      </c>
      <c r="EX49" s="1556">
        <v>11013</v>
      </c>
      <c r="EY49" s="1556">
        <v>11386.8</v>
      </c>
      <c r="EZ49" s="1556">
        <v>11635.25</v>
      </c>
      <c r="FA49" s="1556">
        <v>12480</v>
      </c>
      <c r="FB49" s="1557">
        <v>46405.599999999999</v>
      </c>
      <c r="FC49" s="1556">
        <v>13170.5</v>
      </c>
      <c r="FD49" s="1556">
        <v>13459.5</v>
      </c>
      <c r="FE49" s="1556">
        <v>14092.75</v>
      </c>
      <c r="FF49" s="1556">
        <v>14957.75</v>
      </c>
      <c r="FG49" s="1557">
        <v>55680.75</v>
      </c>
      <c r="FH49" s="1556" t="s">
        <v>2451</v>
      </c>
      <c r="FI49" s="1556" t="s">
        <v>2451</v>
      </c>
      <c r="FJ49" s="1556" t="s">
        <v>2451</v>
      </c>
      <c r="FK49" s="1556" t="s">
        <v>2451</v>
      </c>
      <c r="FL49" s="1557">
        <v>65097</v>
      </c>
      <c r="FM49" s="1556" t="s">
        <v>2451</v>
      </c>
      <c r="FN49" s="1556" t="s">
        <v>2451</v>
      </c>
      <c r="FO49" s="1556" t="s">
        <v>2451</v>
      </c>
      <c r="FP49" s="1556" t="s">
        <v>2451</v>
      </c>
      <c r="FQ49" s="1557" t="s">
        <v>2451</v>
      </c>
      <c r="FR49" s="1556" t="s">
        <v>2451</v>
      </c>
      <c r="FS49" s="1556" t="s">
        <v>2451</v>
      </c>
      <c r="FT49" s="1556" t="s">
        <v>2451</v>
      </c>
      <c r="FU49" s="1556" t="s">
        <v>2451</v>
      </c>
      <c r="FV49" s="1557" t="s">
        <v>2451</v>
      </c>
      <c r="FW49" s="1556" t="s">
        <v>2451</v>
      </c>
      <c r="FX49" s="1556" t="s">
        <v>2451</v>
      </c>
      <c r="FY49" s="1556" t="s">
        <v>2451</v>
      </c>
      <c r="FZ49" s="1556" t="s">
        <v>2451</v>
      </c>
      <c r="GA49" s="1557" t="s">
        <v>2451</v>
      </c>
    </row>
    <row r="50" spans="1:183" s="67" customFormat="1" ht="12.75" customHeight="1" outlineLevel="1">
      <c r="A50" s="68"/>
      <c r="B50" s="753" t="s">
        <v>34</v>
      </c>
      <c r="C50" s="69"/>
      <c r="D50" s="70"/>
      <c r="E50" s="70"/>
      <c r="F50" s="70"/>
      <c r="G50" s="70"/>
      <c r="H50" s="71"/>
      <c r="I50" s="70"/>
      <c r="J50" s="70"/>
      <c r="K50" s="70"/>
      <c r="L50" s="70"/>
      <c r="M50" s="71"/>
      <c r="N50" s="70"/>
      <c r="O50" s="70"/>
      <c r="P50" s="70"/>
      <c r="Q50" s="70"/>
      <c r="R50" s="71"/>
      <c r="S50" s="70"/>
      <c r="T50" s="70"/>
      <c r="U50" s="70"/>
      <c r="V50" s="70"/>
      <c r="W50" s="71"/>
      <c r="X50" s="70"/>
      <c r="Y50" s="70"/>
      <c r="Z50" s="70"/>
      <c r="AA50" s="70"/>
      <c r="AB50" s="71"/>
      <c r="AC50" s="70"/>
      <c r="AD50" s="70"/>
      <c r="AE50" s="70"/>
      <c r="AF50" s="70"/>
      <c r="AG50" s="71"/>
      <c r="AH50" s="70"/>
      <c r="AI50" s="70"/>
      <c r="AJ50" s="70"/>
      <c r="AK50" s="70"/>
      <c r="AL50" s="71"/>
      <c r="AM50" s="70"/>
      <c r="AN50" s="70"/>
      <c r="AO50" s="70"/>
      <c r="AP50" s="70"/>
      <c r="AQ50" s="71"/>
      <c r="AR50" s="70"/>
      <c r="AS50" s="70"/>
      <c r="AT50" s="70"/>
      <c r="AU50" s="70"/>
      <c r="AV50" s="71"/>
      <c r="AW50" s="70"/>
      <c r="AX50" s="70"/>
      <c r="AY50" s="70"/>
      <c r="AZ50" s="70"/>
      <c r="BA50" s="71"/>
      <c r="BB50" s="70"/>
      <c r="BC50" s="70"/>
      <c r="BD50" s="70"/>
      <c r="BE50" s="70"/>
      <c r="BF50" s="71"/>
      <c r="BG50" s="70"/>
      <c r="BH50" s="70"/>
      <c r="BI50" s="70"/>
      <c r="BJ50" s="70"/>
      <c r="BK50" s="71"/>
      <c r="BL50" s="70"/>
      <c r="BM50" s="70"/>
      <c r="BN50" s="70"/>
      <c r="BO50" s="70"/>
      <c r="BP50" s="71"/>
      <c r="BQ50" s="70"/>
      <c r="BR50" s="70"/>
      <c r="BS50" s="70"/>
      <c r="BT50" s="70"/>
      <c r="BU50" s="71"/>
      <c r="BV50" s="70"/>
      <c r="BW50" s="70"/>
      <c r="BX50" s="70"/>
      <c r="BY50" s="70"/>
      <c r="BZ50" s="71"/>
      <c r="CA50" s="70"/>
      <c r="CB50" s="70"/>
      <c r="CC50" s="70"/>
      <c r="CD50" s="70"/>
      <c r="CE50" s="71"/>
      <c r="CF50" s="70"/>
      <c r="CG50" s="70"/>
      <c r="CH50" s="70"/>
      <c r="CI50" s="70"/>
      <c r="CJ50" s="71"/>
      <c r="CK50" s="70"/>
      <c r="CL50" s="70"/>
      <c r="CM50" s="70"/>
      <c r="CN50" s="70"/>
      <c r="CO50" s="71"/>
      <c r="CP50" s="70"/>
      <c r="CQ50" s="70"/>
      <c r="CR50" s="70"/>
      <c r="CS50" s="70"/>
      <c r="CT50" s="71"/>
      <c r="CU50" s="70"/>
      <c r="CV50" s="70"/>
      <c r="CW50" s="70"/>
      <c r="CX50" s="70"/>
      <c r="CY50" s="71"/>
      <c r="CZ50" s="70"/>
      <c r="DA50" s="70"/>
      <c r="DB50" s="70"/>
      <c r="DC50" s="70"/>
      <c r="DD50" s="71"/>
      <c r="DE50" s="70"/>
      <c r="DF50" s="70"/>
      <c r="DG50" s="70"/>
      <c r="DH50" s="70"/>
      <c r="DI50" s="71"/>
      <c r="DJ50" s="70"/>
      <c r="DK50" s="70"/>
      <c r="DL50" s="70"/>
      <c r="DM50" s="70"/>
      <c r="DN50" s="71"/>
      <c r="DO50" s="70"/>
      <c r="DP50" s="70"/>
      <c r="DQ50" s="70"/>
      <c r="DR50" s="70"/>
      <c r="DS50" s="71"/>
      <c r="DT50" s="70"/>
      <c r="DU50" s="70"/>
      <c r="DV50" s="70"/>
      <c r="DW50" s="70"/>
      <c r="DX50" s="71"/>
      <c r="DY50" s="70" t="s">
        <v>2451</v>
      </c>
      <c r="DZ50" s="70" t="s">
        <v>2451</v>
      </c>
      <c r="EA50" s="70" t="s">
        <v>2451</v>
      </c>
      <c r="EB50" s="70" t="s">
        <v>2451</v>
      </c>
      <c r="EC50" s="71" t="s">
        <v>2451</v>
      </c>
      <c r="ED50" s="70">
        <v>0.39418873746464378</v>
      </c>
      <c r="EE50" s="70">
        <v>0.43279629220922544</v>
      </c>
      <c r="EF50" s="70">
        <v>0.40899122807017552</v>
      </c>
      <c r="EG50" s="70">
        <v>0.49510395215667358</v>
      </c>
      <c r="EH50" s="71">
        <v>0.43641523187335363</v>
      </c>
      <c r="EI50" s="70">
        <v>0.39468830689782375</v>
      </c>
      <c r="EJ50" s="70">
        <v>0.26263093037584717</v>
      </c>
      <c r="EK50" s="70">
        <v>0.28887159533073925</v>
      </c>
      <c r="EL50" s="70">
        <v>0.11324001541029904</v>
      </c>
      <c r="EM50" s="71">
        <v>0.25195590599402884</v>
      </c>
      <c r="EN50" s="70">
        <v>0.18415763025654597</v>
      </c>
      <c r="EO50" s="70">
        <v>8.6153470781993535E-2</v>
      </c>
      <c r="EP50" s="70">
        <v>0.1444028498973553</v>
      </c>
      <c r="EQ50" s="70">
        <v>0.21433185677371736</v>
      </c>
      <c r="ER50" s="71">
        <v>0.15820304140195551</v>
      </c>
      <c r="ES50" s="70">
        <v>0.31226408773144509</v>
      </c>
      <c r="ET50" s="70">
        <v>0.39959037200107828</v>
      </c>
      <c r="EU50" s="70">
        <v>0.32033713911869</v>
      </c>
      <c r="EV50" s="70">
        <v>0.22156780788083763</v>
      </c>
      <c r="EW50" s="71">
        <v>0.3088440258478693</v>
      </c>
      <c r="EX50" s="70">
        <v>-6.2787214487524223E-2</v>
      </c>
      <c r="EY50" s="70">
        <v>-8.6192712798574656E-2</v>
      </c>
      <c r="EZ50" s="70">
        <v>-7.0115166579274524E-2</v>
      </c>
      <c r="FA50" s="70">
        <v>-2.9488615154908637E-2</v>
      </c>
      <c r="FB50" s="71">
        <v>-6.4086222752867905E-2</v>
      </c>
      <c r="FC50" s="70">
        <v>0.19590483973485884</v>
      </c>
      <c r="FD50" s="70">
        <v>0.18202655706607662</v>
      </c>
      <c r="FE50" s="70">
        <v>0.21121161986205705</v>
      </c>
      <c r="FF50" s="70">
        <v>0.19853766025641018</v>
      </c>
      <c r="FG50" s="71">
        <v>0.19987135173341142</v>
      </c>
      <c r="FH50" s="70" t="s">
        <v>2451</v>
      </c>
      <c r="FI50" s="70" t="s">
        <v>2451</v>
      </c>
      <c r="FJ50" s="70" t="s">
        <v>2451</v>
      </c>
      <c r="FK50" s="70" t="s">
        <v>2451</v>
      </c>
      <c r="FL50" s="71">
        <v>0.16911140744332642</v>
      </c>
      <c r="FM50" s="70" t="s">
        <v>2451</v>
      </c>
      <c r="FN50" s="70" t="s">
        <v>2451</v>
      </c>
      <c r="FO50" s="70" t="s">
        <v>2451</v>
      </c>
      <c r="FP50" s="70" t="s">
        <v>2451</v>
      </c>
      <c r="FQ50" s="71" t="s">
        <v>2451</v>
      </c>
      <c r="FR50" s="70" t="s">
        <v>2451</v>
      </c>
      <c r="FS50" s="70" t="s">
        <v>2451</v>
      </c>
      <c r="FT50" s="70" t="s">
        <v>2451</v>
      </c>
      <c r="FU50" s="70" t="s">
        <v>2451</v>
      </c>
      <c r="FV50" s="71" t="s">
        <v>2451</v>
      </c>
      <c r="FW50" s="70" t="s">
        <v>2451</v>
      </c>
      <c r="FX50" s="70" t="s">
        <v>2451</v>
      </c>
      <c r="FY50" s="70" t="s">
        <v>2451</v>
      </c>
      <c r="FZ50" s="70" t="s">
        <v>2451</v>
      </c>
      <c r="GA50" s="71" t="s">
        <v>2451</v>
      </c>
    </row>
    <row r="51" spans="1:183" s="67" customFormat="1" ht="12.75" customHeight="1" outlineLevel="1">
      <c r="A51" s="68"/>
      <c r="B51" s="753" t="s">
        <v>36</v>
      </c>
      <c r="C51" s="69"/>
      <c r="D51" s="70"/>
      <c r="E51" s="70"/>
      <c r="F51" s="70"/>
      <c r="G51" s="70"/>
      <c r="H51" s="77"/>
      <c r="I51" s="70"/>
      <c r="J51" s="70"/>
      <c r="K51" s="70"/>
      <c r="L51" s="70"/>
      <c r="M51" s="73"/>
      <c r="N51" s="70"/>
      <c r="O51" s="70"/>
      <c r="P51" s="70"/>
      <c r="Q51" s="70"/>
      <c r="R51" s="73"/>
      <c r="S51" s="70"/>
      <c r="T51" s="70"/>
      <c r="U51" s="70"/>
      <c r="V51" s="70"/>
      <c r="W51" s="73"/>
      <c r="X51" s="70"/>
      <c r="Y51" s="70"/>
      <c r="Z51" s="70"/>
      <c r="AA51" s="70"/>
      <c r="AB51" s="73"/>
      <c r="AC51" s="70"/>
      <c r="AD51" s="70"/>
      <c r="AE51" s="70"/>
      <c r="AF51" s="70"/>
      <c r="AG51" s="73"/>
      <c r="AH51" s="70"/>
      <c r="AI51" s="70"/>
      <c r="AJ51" s="70"/>
      <c r="AK51" s="70"/>
      <c r="AL51" s="73"/>
      <c r="AM51" s="70"/>
      <c r="AN51" s="70"/>
      <c r="AO51" s="70"/>
      <c r="AP51" s="70"/>
      <c r="AQ51" s="73"/>
      <c r="AR51" s="70"/>
      <c r="AS51" s="70"/>
      <c r="AT51" s="70"/>
      <c r="AU51" s="70"/>
      <c r="AV51" s="73"/>
      <c r="AW51" s="70"/>
      <c r="AX51" s="70"/>
      <c r="AY51" s="70"/>
      <c r="AZ51" s="70"/>
      <c r="BA51" s="73"/>
      <c r="BB51" s="70"/>
      <c r="BC51" s="70"/>
      <c r="BD51" s="70"/>
      <c r="BE51" s="70"/>
      <c r="BF51" s="73"/>
      <c r="BG51" s="70"/>
      <c r="BH51" s="70"/>
      <c r="BI51" s="70"/>
      <c r="BJ51" s="70"/>
      <c r="BK51" s="73"/>
      <c r="BL51" s="70"/>
      <c r="BM51" s="70"/>
      <c r="BN51" s="70"/>
      <c r="BO51" s="70"/>
      <c r="BP51" s="73"/>
      <c r="BQ51" s="70"/>
      <c r="BR51" s="70"/>
      <c r="BS51" s="70"/>
      <c r="BT51" s="70"/>
      <c r="BU51" s="73"/>
      <c r="BV51" s="70"/>
      <c r="BW51" s="70"/>
      <c r="BX51" s="70"/>
      <c r="BY51" s="70"/>
      <c r="BZ51" s="73"/>
      <c r="CA51" s="70"/>
      <c r="CB51" s="70"/>
      <c r="CC51" s="70"/>
      <c r="CD51" s="70"/>
      <c r="CE51" s="73"/>
      <c r="CF51" s="70"/>
      <c r="CG51" s="70"/>
      <c r="CH51" s="70"/>
      <c r="CI51" s="70"/>
      <c r="CJ51" s="73"/>
      <c r="CK51" s="70"/>
      <c r="CL51" s="70"/>
      <c r="CM51" s="70"/>
      <c r="CN51" s="70"/>
      <c r="CO51" s="73"/>
      <c r="CP51" s="70"/>
      <c r="CQ51" s="70"/>
      <c r="CR51" s="70"/>
      <c r="CS51" s="70"/>
      <c r="CT51" s="73"/>
      <c r="CU51" s="70"/>
      <c r="CV51" s="70"/>
      <c r="CW51" s="70"/>
      <c r="CX51" s="70"/>
      <c r="CY51" s="73"/>
      <c r="CZ51" s="70"/>
      <c r="DA51" s="70"/>
      <c r="DB51" s="70"/>
      <c r="DC51" s="70"/>
      <c r="DD51" s="73"/>
      <c r="DE51" s="70"/>
      <c r="DF51" s="70"/>
      <c r="DG51" s="70"/>
      <c r="DH51" s="70"/>
      <c r="DI51" s="73"/>
      <c r="DJ51" s="70"/>
      <c r="DK51" s="70"/>
      <c r="DL51" s="70"/>
      <c r="DM51" s="70"/>
      <c r="DN51" s="73"/>
      <c r="DO51" s="70"/>
      <c r="DP51" s="70"/>
      <c r="DQ51" s="70"/>
      <c r="DR51" s="70"/>
      <c r="DS51" s="73"/>
      <c r="DT51" s="70"/>
      <c r="DU51" s="70"/>
      <c r="DV51" s="70"/>
      <c r="DW51" s="70"/>
      <c r="DX51" s="73"/>
      <c r="DY51" s="70" t="s">
        <v>2451</v>
      </c>
      <c r="DZ51" s="70">
        <v>0.16508099768578033</v>
      </c>
      <c r="EA51" s="70">
        <v>6.4003531229308575E-3</v>
      </c>
      <c r="EB51" s="70">
        <v>0.14217839912280694</v>
      </c>
      <c r="EC51" s="73"/>
      <c r="ED51" s="70">
        <v>4.1023966687233182E-2</v>
      </c>
      <c r="EE51" s="70">
        <v>0.19734415344891176</v>
      </c>
      <c r="EF51" s="70">
        <v>-1.0320394331484906E-2</v>
      </c>
      <c r="EG51" s="70">
        <v>0.21198443579766546</v>
      </c>
      <c r="EH51" s="73"/>
      <c r="EI51" s="70">
        <v>-2.8894311031205877E-2</v>
      </c>
      <c r="EJ51" s="70">
        <v>8.3972494049193269E-2</v>
      </c>
      <c r="EK51" s="70">
        <v>1.0247651579846195E-2</v>
      </c>
      <c r="EL51" s="70">
        <v>4.6830092983939142E-2</v>
      </c>
      <c r="EM51" s="73"/>
      <c r="EN51" s="70">
        <v>3.2968807678110057E-2</v>
      </c>
      <c r="EO51" s="70">
        <v>-5.7400665579702137E-3</v>
      </c>
      <c r="EP51" s="70">
        <v>6.442627369934395E-2</v>
      </c>
      <c r="EQ51" s="70">
        <v>0.11079689346614896</v>
      </c>
      <c r="ER51" s="73"/>
      <c r="ES51" s="70">
        <v>0.1162746513660371</v>
      </c>
      <c r="ET51" s="70">
        <v>6.0424226435647155E-2</v>
      </c>
      <c r="EU51" s="70">
        <v>4.1520498669711525E-3</v>
      </c>
      <c r="EV51" s="70">
        <v>2.7702460189836353E-2</v>
      </c>
      <c r="EW51" s="73"/>
      <c r="EX51" s="70">
        <v>-0.1435703620754013</v>
      </c>
      <c r="EY51" s="70">
        <v>3.3941705257422905E-2</v>
      </c>
      <c r="EZ51" s="70">
        <v>2.1819123897846682E-2</v>
      </c>
      <c r="FA51" s="70">
        <v>7.2602651425624609E-2</v>
      </c>
      <c r="FB51" s="73"/>
      <c r="FC51" s="70">
        <v>5.5328525641025639E-2</v>
      </c>
      <c r="FD51" s="70">
        <v>2.1942978626475762E-2</v>
      </c>
      <c r="FE51" s="70">
        <v>4.7048553066607157E-2</v>
      </c>
      <c r="FF51" s="70">
        <v>6.1379077894662126E-2</v>
      </c>
      <c r="FG51" s="73"/>
      <c r="FH51" s="70" t="s">
        <v>2451</v>
      </c>
      <c r="FI51" s="70" t="s">
        <v>2451</v>
      </c>
      <c r="FJ51" s="70" t="s">
        <v>2451</v>
      </c>
      <c r="FK51" s="70" t="s">
        <v>2451</v>
      </c>
      <c r="FL51" s="73"/>
      <c r="FM51" s="70" t="s">
        <v>2451</v>
      </c>
      <c r="FN51" s="70" t="s">
        <v>2451</v>
      </c>
      <c r="FO51" s="70" t="s">
        <v>2451</v>
      </c>
      <c r="FP51" s="70" t="s">
        <v>2451</v>
      </c>
      <c r="FQ51" s="73"/>
      <c r="FR51" s="70" t="s">
        <v>2451</v>
      </c>
      <c r="FS51" s="70" t="s">
        <v>2451</v>
      </c>
      <c r="FT51" s="70" t="s">
        <v>2451</v>
      </c>
      <c r="FU51" s="70" t="s">
        <v>2451</v>
      </c>
      <c r="FV51" s="73"/>
      <c r="FW51" s="70" t="s">
        <v>2451</v>
      </c>
      <c r="FX51" s="70" t="s">
        <v>2451</v>
      </c>
      <c r="FY51" s="70" t="s">
        <v>2451</v>
      </c>
      <c r="FZ51" s="70" t="s">
        <v>2451</v>
      </c>
      <c r="GA51" s="73"/>
    </row>
    <row r="52" spans="1:183" s="72" customFormat="1" ht="12.75" customHeight="1" outlineLevel="1">
      <c r="A52" s="78"/>
      <c r="B52" s="753" t="s">
        <v>42</v>
      </c>
      <c r="C52" s="69"/>
      <c r="D52" s="70"/>
      <c r="E52" s="70"/>
      <c r="F52" s="70"/>
      <c r="G52" s="70"/>
      <c r="H52" s="71"/>
      <c r="I52" s="70"/>
      <c r="J52" s="70"/>
      <c r="K52" s="70"/>
      <c r="L52" s="70"/>
      <c r="M52" s="71"/>
      <c r="N52" s="70"/>
      <c r="O52" s="70"/>
      <c r="P52" s="70"/>
      <c r="Q52" s="70"/>
      <c r="R52" s="71"/>
      <c r="S52" s="70"/>
      <c r="T52" s="70"/>
      <c r="U52" s="70"/>
      <c r="V52" s="70"/>
      <c r="W52" s="71"/>
      <c r="X52" s="70"/>
      <c r="Y52" s="70"/>
      <c r="Z52" s="70"/>
      <c r="AA52" s="70"/>
      <c r="AB52" s="71"/>
      <c r="AC52" s="70"/>
      <c r="AD52" s="70"/>
      <c r="AE52" s="70"/>
      <c r="AF52" s="70"/>
      <c r="AG52" s="71"/>
      <c r="AH52" s="70"/>
      <c r="AI52" s="70"/>
      <c r="AJ52" s="70"/>
      <c r="AK52" s="70"/>
      <c r="AL52" s="71"/>
      <c r="AM52" s="70"/>
      <c r="AN52" s="70"/>
      <c r="AO52" s="70"/>
      <c r="AP52" s="70"/>
      <c r="AQ52" s="71"/>
      <c r="AR52" s="70"/>
      <c r="AS52" s="70"/>
      <c r="AT52" s="70"/>
      <c r="AU52" s="70"/>
      <c r="AV52" s="71"/>
      <c r="AW52" s="70"/>
      <c r="AX52" s="70"/>
      <c r="AY52" s="70"/>
      <c r="AZ52" s="70"/>
      <c r="BA52" s="71"/>
      <c r="BB52" s="70"/>
      <c r="BC52" s="70"/>
      <c r="BD52" s="70"/>
      <c r="BE52" s="70"/>
      <c r="BF52" s="71"/>
      <c r="BG52" s="70"/>
      <c r="BH52" s="70"/>
      <c r="BI52" s="70"/>
      <c r="BJ52" s="70"/>
      <c r="BK52" s="71"/>
      <c r="BL52" s="70"/>
      <c r="BM52" s="70"/>
      <c r="BN52" s="70"/>
      <c r="BO52" s="70"/>
      <c r="BP52" s="71"/>
      <c r="BQ52" s="70"/>
      <c r="BR52" s="70"/>
      <c r="BS52" s="70"/>
      <c r="BT52" s="70"/>
      <c r="BU52" s="71"/>
      <c r="BV52" s="70"/>
      <c r="BW52" s="70"/>
      <c r="BX52" s="70"/>
      <c r="BY52" s="70"/>
      <c r="BZ52" s="71"/>
      <c r="CA52" s="70"/>
      <c r="CB52" s="70"/>
      <c r="CC52" s="70"/>
      <c r="CD52" s="70"/>
      <c r="CE52" s="71"/>
      <c r="CF52" s="70"/>
      <c r="CG52" s="70"/>
      <c r="CH52" s="70"/>
      <c r="CI52" s="70"/>
      <c r="CJ52" s="71"/>
      <c r="CK52" s="70"/>
      <c r="CL52" s="70"/>
      <c r="CM52" s="70"/>
      <c r="CN52" s="70"/>
      <c r="CO52" s="71"/>
      <c r="CP52" s="70"/>
      <c r="CQ52" s="70"/>
      <c r="CR52" s="70"/>
      <c r="CS52" s="70"/>
      <c r="CT52" s="71"/>
      <c r="CU52" s="70"/>
      <c r="CV52" s="70"/>
      <c r="CW52" s="70"/>
      <c r="CX52" s="70"/>
      <c r="CY52" s="71"/>
      <c r="CZ52" s="70"/>
      <c r="DA52" s="70"/>
      <c r="DB52" s="70"/>
      <c r="DC52" s="70"/>
      <c r="DD52" s="71"/>
      <c r="DE52" s="70"/>
      <c r="DF52" s="70"/>
      <c r="DG52" s="70"/>
      <c r="DH52" s="70"/>
      <c r="DI52" s="71"/>
      <c r="DJ52" s="70"/>
      <c r="DK52" s="70"/>
      <c r="DL52" s="70"/>
      <c r="DM52" s="70"/>
      <c r="DN52" s="71"/>
      <c r="DO52" s="70"/>
      <c r="DP52" s="70"/>
      <c r="DQ52" s="70"/>
      <c r="DR52" s="70"/>
      <c r="DS52" s="71"/>
      <c r="DT52" s="70"/>
      <c r="DU52" s="70"/>
      <c r="DV52" s="70"/>
      <c r="DW52" s="70"/>
      <c r="DX52" s="71"/>
      <c r="DY52" s="70">
        <v>0.35859843245735362</v>
      </c>
      <c r="DZ52" s="70">
        <v>0.38175077934114077</v>
      </c>
      <c r="EA52" s="70">
        <v>0.37130526830062699</v>
      </c>
      <c r="EB52" s="70">
        <v>0.38952460548949214</v>
      </c>
      <c r="EC52" s="71">
        <v>0.37605619650167471</v>
      </c>
      <c r="ED52" s="70">
        <v>0.41752656707223162</v>
      </c>
      <c r="EE52" s="70">
        <v>0.44462708033696324</v>
      </c>
      <c r="EF52" s="70">
        <v>0.42499007805265249</v>
      </c>
      <c r="EG52" s="70">
        <v>0.44817266187050359</v>
      </c>
      <c r="EH52" s="71">
        <v>0.43485352862849536</v>
      </c>
      <c r="EI52" s="70">
        <v>0.44576750766328699</v>
      </c>
      <c r="EJ52" s="70">
        <v>0.44726360015278005</v>
      </c>
      <c r="EK52" s="70">
        <v>0.43467534512624006</v>
      </c>
      <c r="EL52" s="70">
        <v>0.41459658520254433</v>
      </c>
      <c r="EM52" s="71">
        <v>0.43466000451821235</v>
      </c>
      <c r="EN52" s="70">
        <v>0.44057072570725708</v>
      </c>
      <c r="EO52" s="70">
        <v>0.41394829830760649</v>
      </c>
      <c r="EP52" s="70">
        <v>0.42918346089398124</v>
      </c>
      <c r="EQ52" s="70">
        <v>0.43874463385154</v>
      </c>
      <c r="ER52" s="71">
        <v>0.4309472234349962</v>
      </c>
      <c r="ES52" s="70">
        <v>0.48438929881693388</v>
      </c>
      <c r="ET52" s="70">
        <v>0.48148504636785167</v>
      </c>
      <c r="EU52" s="70">
        <v>0.4684952448704508</v>
      </c>
      <c r="EV52" s="70">
        <v>0.4509626512361915</v>
      </c>
      <c r="EW52" s="71">
        <v>0.47059850800098707</v>
      </c>
      <c r="EX52" s="70">
        <v>0.45712269633073221</v>
      </c>
      <c r="EY52" s="70">
        <v>0.44577200125274036</v>
      </c>
      <c r="EZ52" s="70">
        <v>0.43494635714552726</v>
      </c>
      <c r="FA52" s="70">
        <v>0.43117326009929219</v>
      </c>
      <c r="FB52" s="71">
        <v>0.44043674283562806</v>
      </c>
      <c r="FC52" s="70">
        <v>0.44810964789377411</v>
      </c>
      <c r="FD52" s="70">
        <v>0.43250581229392349</v>
      </c>
      <c r="FE52" s="70">
        <v>0.435033925407321</v>
      </c>
      <c r="FF52" s="70">
        <v>0.42803284856472384</v>
      </c>
      <c r="FG52" s="71">
        <v>0.43412455261720639</v>
      </c>
      <c r="FH52" s="70" t="s">
        <v>2451</v>
      </c>
      <c r="FI52" s="70" t="s">
        <v>2451</v>
      </c>
      <c r="FJ52" s="70" t="s">
        <v>2451</v>
      </c>
      <c r="FK52" s="70" t="s">
        <v>2451</v>
      </c>
      <c r="FL52" s="71">
        <v>0.41305682673853378</v>
      </c>
      <c r="FM52" s="70" t="s">
        <v>2451</v>
      </c>
      <c r="FN52" s="70" t="s">
        <v>2451</v>
      </c>
      <c r="FO52" s="70" t="s">
        <v>2451</v>
      </c>
      <c r="FP52" s="70" t="s">
        <v>2451</v>
      </c>
      <c r="FQ52" s="71" t="s">
        <v>2451</v>
      </c>
      <c r="FR52" s="70" t="s">
        <v>2451</v>
      </c>
      <c r="FS52" s="70" t="s">
        <v>2451</v>
      </c>
      <c r="FT52" s="70" t="s">
        <v>2451</v>
      </c>
      <c r="FU52" s="70" t="s">
        <v>2451</v>
      </c>
      <c r="FV52" s="71" t="s">
        <v>2451</v>
      </c>
      <c r="FW52" s="70" t="s">
        <v>2451</v>
      </c>
      <c r="FX52" s="70" t="s">
        <v>2451</v>
      </c>
      <c r="FY52" s="70" t="s">
        <v>2451</v>
      </c>
      <c r="FZ52" s="70" t="s">
        <v>2451</v>
      </c>
      <c r="GA52" s="71" t="s">
        <v>2451</v>
      </c>
    </row>
    <row r="53" spans="1:183" s="72" customFormat="1" ht="12.75" customHeight="1" outlineLevel="1">
      <c r="A53" s="54"/>
      <c r="B53" s="753"/>
      <c r="C53" s="69"/>
      <c r="D53" s="70"/>
      <c r="E53" s="70"/>
      <c r="F53" s="70"/>
      <c r="G53" s="70"/>
      <c r="H53" s="76"/>
      <c r="I53" s="70"/>
      <c r="J53" s="70"/>
      <c r="K53" s="70"/>
      <c r="L53" s="70"/>
      <c r="M53" s="76"/>
      <c r="N53" s="70"/>
      <c r="O53" s="70"/>
      <c r="P53" s="70"/>
      <c r="Q53" s="70"/>
      <c r="R53" s="76"/>
      <c r="S53" s="70"/>
      <c r="T53" s="70"/>
      <c r="U53" s="70"/>
      <c r="V53" s="70"/>
      <c r="W53" s="76"/>
      <c r="X53" s="70"/>
      <c r="Y53" s="70"/>
      <c r="Z53" s="70"/>
      <c r="AA53" s="70"/>
      <c r="AB53" s="76"/>
      <c r="AC53" s="70"/>
      <c r="AD53" s="70"/>
      <c r="AE53" s="70"/>
      <c r="AF53" s="70"/>
      <c r="AG53" s="76"/>
      <c r="AH53" s="70"/>
      <c r="AI53" s="70"/>
      <c r="AJ53" s="70"/>
      <c r="AK53" s="70"/>
      <c r="AL53" s="76"/>
      <c r="AM53" s="70"/>
      <c r="AN53" s="70"/>
      <c r="AO53" s="70"/>
      <c r="AP53" s="70"/>
      <c r="AQ53" s="76"/>
      <c r="AR53" s="70"/>
      <c r="AS53" s="70"/>
      <c r="AT53" s="70"/>
      <c r="AU53" s="70"/>
      <c r="AV53" s="76"/>
      <c r="AW53" s="70"/>
      <c r="AX53" s="70"/>
      <c r="AY53" s="70"/>
      <c r="AZ53" s="70"/>
      <c r="BA53" s="76"/>
      <c r="BB53" s="70"/>
      <c r="BC53" s="70"/>
      <c r="BD53" s="70"/>
      <c r="BE53" s="70"/>
      <c r="BF53" s="76"/>
      <c r="BG53" s="70"/>
      <c r="BH53" s="70"/>
      <c r="BI53" s="70"/>
      <c r="BJ53" s="70"/>
      <c r="BK53" s="76"/>
      <c r="BL53" s="70"/>
      <c r="BM53" s="70"/>
      <c r="BN53" s="70"/>
      <c r="BO53" s="70"/>
      <c r="BP53" s="76"/>
      <c r="BQ53" s="70"/>
      <c r="BR53" s="70"/>
      <c r="BS53" s="70"/>
      <c r="BT53" s="70"/>
      <c r="BU53" s="76"/>
      <c r="BV53" s="70"/>
      <c r="BW53" s="70"/>
      <c r="BX53" s="70"/>
      <c r="BY53" s="70"/>
      <c r="BZ53" s="76"/>
      <c r="CA53" s="70"/>
      <c r="CB53" s="70"/>
      <c r="CC53" s="70"/>
      <c r="CD53" s="70"/>
      <c r="CE53" s="76"/>
      <c r="CF53" s="70"/>
      <c r="CG53" s="70"/>
      <c r="CH53" s="70"/>
      <c r="CI53" s="70"/>
      <c r="CJ53" s="76"/>
      <c r="CK53" s="70"/>
      <c r="CL53" s="70"/>
      <c r="CM53" s="70"/>
      <c r="CN53" s="70"/>
      <c r="CO53" s="76"/>
      <c r="CP53" s="70"/>
      <c r="CQ53" s="70"/>
      <c r="CR53" s="70"/>
      <c r="CS53" s="70"/>
      <c r="CT53" s="76"/>
      <c r="CU53" s="70"/>
      <c r="CV53" s="70"/>
      <c r="CW53" s="70"/>
      <c r="CX53" s="70"/>
      <c r="CY53" s="76"/>
      <c r="CZ53" s="70"/>
      <c r="DA53" s="70"/>
      <c r="DB53" s="70"/>
      <c r="DC53" s="70"/>
      <c r="DD53" s="76"/>
      <c r="DE53" s="70"/>
      <c r="DF53" s="70"/>
      <c r="DG53" s="70"/>
      <c r="DH53" s="70"/>
      <c r="DI53" s="76"/>
      <c r="DJ53" s="70"/>
      <c r="DK53" s="70"/>
      <c r="DL53" s="70"/>
      <c r="DM53" s="70"/>
      <c r="DN53" s="76"/>
      <c r="DO53" s="70"/>
      <c r="DP53" s="70"/>
      <c r="DQ53" s="70"/>
      <c r="DR53" s="70"/>
      <c r="DS53" s="76"/>
      <c r="DT53" s="70"/>
      <c r="DU53" s="70"/>
      <c r="DV53" s="70"/>
      <c r="DW53" s="70"/>
      <c r="DX53" s="76"/>
      <c r="DY53" s="70"/>
      <c r="DZ53" s="70"/>
      <c r="EA53" s="70"/>
      <c r="EB53" s="70"/>
      <c r="EC53" s="76"/>
      <c r="ED53" s="70"/>
      <c r="EE53" s="70"/>
      <c r="EF53" s="70"/>
      <c r="EG53" s="70"/>
      <c r="EH53" s="76"/>
      <c r="EI53" s="70"/>
      <c r="EJ53" s="70"/>
      <c r="EK53" s="70"/>
      <c r="EL53" s="70"/>
      <c r="EM53" s="76"/>
      <c r="EN53" s="70"/>
      <c r="EO53" s="70"/>
      <c r="EP53" s="70"/>
      <c r="EQ53" s="70"/>
      <c r="ER53" s="76"/>
      <c r="ES53" s="70"/>
      <c r="ET53" s="70"/>
      <c r="EU53" s="70"/>
      <c r="EV53" s="70"/>
      <c r="EW53" s="76"/>
      <c r="EX53" s="70"/>
      <c r="EY53" s="70"/>
      <c r="EZ53" s="70"/>
      <c r="FA53" s="70"/>
      <c r="FB53" s="76"/>
      <c r="FC53" s="70"/>
      <c r="FD53" s="70"/>
      <c r="FE53" s="70"/>
      <c r="FF53" s="70"/>
      <c r="FG53" s="76"/>
      <c r="FH53" s="70"/>
      <c r="FI53" s="70"/>
      <c r="FJ53" s="70"/>
      <c r="FK53" s="70"/>
      <c r="FL53" s="76"/>
      <c r="FM53" s="70"/>
      <c r="FN53" s="70"/>
      <c r="FO53" s="70"/>
      <c r="FP53" s="70"/>
      <c r="FQ53" s="76"/>
      <c r="FR53" s="70"/>
      <c r="FS53" s="70"/>
      <c r="FT53" s="70"/>
      <c r="FU53" s="70"/>
      <c r="FV53" s="76"/>
      <c r="FW53" s="70"/>
      <c r="FX53" s="70"/>
      <c r="FY53" s="70"/>
      <c r="FZ53" s="70"/>
      <c r="GA53" s="76"/>
    </row>
    <row r="54" spans="1:183" s="1558" customFormat="1" ht="12.75" customHeight="1" outlineLevel="1">
      <c r="A54" s="1401"/>
      <c r="B54" s="1560" t="s">
        <v>68</v>
      </c>
      <c r="C54" s="1555"/>
      <c r="D54" s="1556"/>
      <c r="E54" s="1556"/>
      <c r="F54" s="1556"/>
      <c r="G54" s="1556"/>
      <c r="H54" s="1557"/>
      <c r="I54" s="1556"/>
      <c r="J54" s="1556"/>
      <c r="K54" s="1556"/>
      <c r="L54" s="1556"/>
      <c r="M54" s="1557"/>
      <c r="N54" s="1556"/>
      <c r="O54" s="1556"/>
      <c r="P54" s="1556"/>
      <c r="Q54" s="1556"/>
      <c r="R54" s="1557"/>
      <c r="S54" s="1556"/>
      <c r="T54" s="1556"/>
      <c r="U54" s="1556"/>
      <c r="V54" s="1556"/>
      <c r="W54" s="1557"/>
      <c r="X54" s="1556"/>
      <c r="Y54" s="1556"/>
      <c r="Z54" s="1556"/>
      <c r="AA54" s="1556"/>
      <c r="AB54" s="1557"/>
      <c r="AC54" s="1556"/>
      <c r="AD54" s="1556"/>
      <c r="AE54" s="1556"/>
      <c r="AF54" s="1556"/>
      <c r="AG54" s="1557"/>
      <c r="AH54" s="1556"/>
      <c r="AI54" s="1556"/>
      <c r="AJ54" s="1556"/>
      <c r="AK54" s="1556"/>
      <c r="AL54" s="1557"/>
      <c r="AM54" s="1556"/>
      <c r="AN54" s="1556"/>
      <c r="AO54" s="1556"/>
      <c r="AP54" s="1556"/>
      <c r="AQ54" s="1557"/>
      <c r="AR54" s="1556"/>
      <c r="AS54" s="1556"/>
      <c r="AT54" s="1556"/>
      <c r="AU54" s="1556"/>
      <c r="AV54" s="1557"/>
      <c r="AW54" s="1556"/>
      <c r="AX54" s="1556"/>
      <c r="AY54" s="1556"/>
      <c r="AZ54" s="1556"/>
      <c r="BA54" s="1557"/>
      <c r="BB54" s="1556"/>
      <c r="BC54" s="1556"/>
      <c r="BD54" s="1556"/>
      <c r="BE54" s="1556"/>
      <c r="BF54" s="1557"/>
      <c r="BG54" s="1556"/>
      <c r="BH54" s="1556"/>
      <c r="BI54" s="1556"/>
      <c r="BJ54" s="1556"/>
      <c r="BK54" s="1557"/>
      <c r="BL54" s="1556"/>
      <c r="BM54" s="1556"/>
      <c r="BN54" s="1556"/>
      <c r="BO54" s="1556"/>
      <c r="BP54" s="1557"/>
      <c r="BQ54" s="1556"/>
      <c r="BR54" s="1556"/>
      <c r="BS54" s="1556"/>
      <c r="BT54" s="1556"/>
      <c r="BU54" s="1557"/>
      <c r="BV54" s="1556"/>
      <c r="BW54" s="1556"/>
      <c r="BX54" s="1556"/>
      <c r="BY54" s="1556"/>
      <c r="BZ54" s="1557"/>
      <c r="CA54" s="1556"/>
      <c r="CB54" s="1556"/>
      <c r="CC54" s="1556"/>
      <c r="CD54" s="1556"/>
      <c r="CE54" s="1557"/>
      <c r="CF54" s="1556"/>
      <c r="CG54" s="1556"/>
      <c r="CH54" s="1556"/>
      <c r="CI54" s="1556"/>
      <c r="CJ54" s="1557"/>
      <c r="CK54" s="1556"/>
      <c r="CL54" s="1556"/>
      <c r="CM54" s="1556"/>
      <c r="CN54" s="1556"/>
      <c r="CO54" s="1557"/>
      <c r="CP54" s="1556"/>
      <c r="CQ54" s="1556"/>
      <c r="CR54" s="1556"/>
      <c r="CS54" s="1556"/>
      <c r="CT54" s="1557"/>
      <c r="CU54" s="1556"/>
      <c r="CV54" s="1556"/>
      <c r="CW54" s="1556"/>
      <c r="CX54" s="1556"/>
      <c r="CY54" s="1557"/>
      <c r="CZ54" s="1556"/>
      <c r="DA54" s="1556"/>
      <c r="DB54" s="1556"/>
      <c r="DC54" s="1556"/>
      <c r="DD54" s="1557"/>
      <c r="DE54" s="1556"/>
      <c r="DF54" s="1556"/>
      <c r="DG54" s="1556"/>
      <c r="DH54" s="1556"/>
      <c r="DI54" s="1557"/>
      <c r="DJ54" s="1556"/>
      <c r="DK54" s="1556"/>
      <c r="DL54" s="1556"/>
      <c r="DM54" s="1556"/>
      <c r="DN54" s="1557"/>
      <c r="DO54" s="1556"/>
      <c r="DP54" s="1556"/>
      <c r="DQ54" s="1556"/>
      <c r="DR54" s="1556"/>
      <c r="DS54" s="1557"/>
      <c r="DT54" s="1556"/>
      <c r="DU54" s="1556"/>
      <c r="DV54" s="1556"/>
      <c r="DW54" s="1556"/>
      <c r="DX54" s="1557"/>
      <c r="DY54" s="1556">
        <v>4015</v>
      </c>
      <c r="DZ54" s="1556">
        <v>4178</v>
      </c>
      <c r="EA54" s="1556">
        <v>3627</v>
      </c>
      <c r="EB54" s="1556">
        <v>4075.3332999999998</v>
      </c>
      <c r="EC54" s="1557">
        <v>15895.666999999999</v>
      </c>
      <c r="ED54" s="1556">
        <v>4748</v>
      </c>
      <c r="EE54" s="1556">
        <v>5224</v>
      </c>
      <c r="EF54" s="1556">
        <v>4594</v>
      </c>
      <c r="EG54" s="1556">
        <v>4873</v>
      </c>
      <c r="EH54" s="1557">
        <v>19439.25</v>
      </c>
      <c r="EI54" s="1556">
        <v>5095</v>
      </c>
      <c r="EJ54" s="1556">
        <v>6360</v>
      </c>
      <c r="EK54" s="1556">
        <v>4899</v>
      </c>
      <c r="EL54" s="1556">
        <v>4619.2</v>
      </c>
      <c r="EM54" s="1557">
        <v>20975.200000000001</v>
      </c>
      <c r="EN54" s="1556">
        <v>4241.3999999999996</v>
      </c>
      <c r="EO54" s="1556">
        <v>3345</v>
      </c>
      <c r="EP54" s="1556">
        <v>4237.6000000000004</v>
      </c>
      <c r="EQ54" s="1556">
        <v>4676.8</v>
      </c>
      <c r="ER54" s="1557">
        <v>16450</v>
      </c>
      <c r="ES54" s="1556">
        <v>5197</v>
      </c>
      <c r="ET54" s="1556">
        <v>4308.3334999999997</v>
      </c>
      <c r="EU54" s="1556">
        <v>4925.7143999999998</v>
      </c>
      <c r="EV54" s="1556">
        <v>4922.3999999999996</v>
      </c>
      <c r="EW54" s="1557">
        <v>19332.8</v>
      </c>
      <c r="EX54" s="1556">
        <v>3822.2</v>
      </c>
      <c r="EY54" s="1556">
        <v>4253.8</v>
      </c>
      <c r="EZ54" s="1556">
        <v>4058.75</v>
      </c>
      <c r="FA54" s="1556">
        <v>3426.6</v>
      </c>
      <c r="FB54" s="1557">
        <v>15455.2</v>
      </c>
      <c r="FC54" s="1556">
        <v>3797.5</v>
      </c>
      <c r="FD54" s="1556">
        <v>4237.5</v>
      </c>
      <c r="FE54" s="1556">
        <v>3878.5</v>
      </c>
      <c r="FF54" s="1556">
        <v>3510</v>
      </c>
      <c r="FG54" s="1557">
        <v>15423.5</v>
      </c>
      <c r="FH54" s="1556" t="s">
        <v>2451</v>
      </c>
      <c r="FI54" s="1556" t="s">
        <v>2451</v>
      </c>
      <c r="FJ54" s="1556" t="s">
        <v>2451</v>
      </c>
      <c r="FK54" s="1556" t="s">
        <v>2451</v>
      </c>
      <c r="FL54" s="1557">
        <v>13646.666999999999</v>
      </c>
      <c r="FM54" s="1556" t="s">
        <v>2451</v>
      </c>
      <c r="FN54" s="1556" t="s">
        <v>2451</v>
      </c>
      <c r="FO54" s="1556" t="s">
        <v>2451</v>
      </c>
      <c r="FP54" s="1556" t="s">
        <v>2451</v>
      </c>
      <c r="FQ54" s="1557" t="s">
        <v>2451</v>
      </c>
      <c r="FR54" s="1556" t="s">
        <v>2451</v>
      </c>
      <c r="FS54" s="1556" t="s">
        <v>2451</v>
      </c>
      <c r="FT54" s="1556" t="s">
        <v>2451</v>
      </c>
      <c r="FU54" s="1556" t="s">
        <v>2451</v>
      </c>
      <c r="FV54" s="1557" t="s">
        <v>2451</v>
      </c>
      <c r="FW54" s="1556" t="s">
        <v>2451</v>
      </c>
      <c r="FX54" s="1556" t="s">
        <v>2451</v>
      </c>
      <c r="FY54" s="1556" t="s">
        <v>2451</v>
      </c>
      <c r="FZ54" s="1556" t="s">
        <v>2451</v>
      </c>
      <c r="GA54" s="1557" t="s">
        <v>2451</v>
      </c>
    </row>
    <row r="55" spans="1:183" s="67" customFormat="1" ht="12.75" customHeight="1" outlineLevel="1">
      <c r="A55" s="68"/>
      <c r="B55" s="753" t="s">
        <v>34</v>
      </c>
      <c r="C55" s="69"/>
      <c r="D55" s="70"/>
      <c r="E55" s="70"/>
      <c r="F55" s="70"/>
      <c r="G55" s="70"/>
      <c r="H55" s="71"/>
      <c r="I55" s="70"/>
      <c r="J55" s="70"/>
      <c r="K55" s="70"/>
      <c r="L55" s="70"/>
      <c r="M55" s="71"/>
      <c r="N55" s="70"/>
      <c r="O55" s="70"/>
      <c r="P55" s="70"/>
      <c r="Q55" s="70"/>
      <c r="R55" s="71"/>
      <c r="S55" s="70"/>
      <c r="T55" s="70"/>
      <c r="U55" s="70"/>
      <c r="V55" s="70"/>
      <c r="W55" s="71"/>
      <c r="X55" s="70"/>
      <c r="Y55" s="70"/>
      <c r="Z55" s="70"/>
      <c r="AA55" s="70"/>
      <c r="AB55" s="71"/>
      <c r="AC55" s="70"/>
      <c r="AD55" s="70"/>
      <c r="AE55" s="70"/>
      <c r="AF55" s="70"/>
      <c r="AG55" s="71"/>
      <c r="AH55" s="70"/>
      <c r="AI55" s="70"/>
      <c r="AJ55" s="70"/>
      <c r="AK55" s="70"/>
      <c r="AL55" s="71"/>
      <c r="AM55" s="70"/>
      <c r="AN55" s="70"/>
      <c r="AO55" s="70"/>
      <c r="AP55" s="70"/>
      <c r="AQ55" s="71"/>
      <c r="AR55" s="70"/>
      <c r="AS55" s="70"/>
      <c r="AT55" s="70"/>
      <c r="AU55" s="70"/>
      <c r="AV55" s="71"/>
      <c r="AW55" s="70"/>
      <c r="AX55" s="70"/>
      <c r="AY55" s="70"/>
      <c r="AZ55" s="70"/>
      <c r="BA55" s="71"/>
      <c r="BB55" s="70"/>
      <c r="BC55" s="70"/>
      <c r="BD55" s="70"/>
      <c r="BE55" s="70"/>
      <c r="BF55" s="71"/>
      <c r="BG55" s="70"/>
      <c r="BH55" s="70"/>
      <c r="BI55" s="70"/>
      <c r="BJ55" s="70"/>
      <c r="BK55" s="71"/>
      <c r="BL55" s="70"/>
      <c r="BM55" s="70"/>
      <c r="BN55" s="70"/>
      <c r="BO55" s="70"/>
      <c r="BP55" s="71"/>
      <c r="BQ55" s="70"/>
      <c r="BR55" s="70"/>
      <c r="BS55" s="70"/>
      <c r="BT55" s="70"/>
      <c r="BU55" s="71"/>
      <c r="BV55" s="70"/>
      <c r="BW55" s="70"/>
      <c r="BX55" s="70"/>
      <c r="BY55" s="70"/>
      <c r="BZ55" s="71"/>
      <c r="CA55" s="70"/>
      <c r="CB55" s="70"/>
      <c r="CC55" s="70"/>
      <c r="CD55" s="70"/>
      <c r="CE55" s="71"/>
      <c r="CF55" s="70"/>
      <c r="CG55" s="70"/>
      <c r="CH55" s="70"/>
      <c r="CI55" s="70"/>
      <c r="CJ55" s="71"/>
      <c r="CK55" s="70"/>
      <c r="CL55" s="70"/>
      <c r="CM55" s="70"/>
      <c r="CN55" s="70"/>
      <c r="CO55" s="71"/>
      <c r="CP55" s="70"/>
      <c r="CQ55" s="70"/>
      <c r="CR55" s="70"/>
      <c r="CS55" s="70"/>
      <c r="CT55" s="71"/>
      <c r="CU55" s="70"/>
      <c r="CV55" s="70"/>
      <c r="CW55" s="70"/>
      <c r="CX55" s="70"/>
      <c r="CY55" s="71"/>
      <c r="CZ55" s="70"/>
      <c r="DA55" s="70"/>
      <c r="DB55" s="70"/>
      <c r="DC55" s="70"/>
      <c r="DD55" s="71"/>
      <c r="DE55" s="70"/>
      <c r="DF55" s="70"/>
      <c r="DG55" s="70"/>
      <c r="DH55" s="70"/>
      <c r="DI55" s="71"/>
      <c r="DJ55" s="70"/>
      <c r="DK55" s="70"/>
      <c r="DL55" s="70"/>
      <c r="DM55" s="70"/>
      <c r="DN55" s="71"/>
      <c r="DO55" s="70"/>
      <c r="DP55" s="70"/>
      <c r="DQ55" s="70"/>
      <c r="DR55" s="70"/>
      <c r="DS55" s="71"/>
      <c r="DT55" s="70"/>
      <c r="DU55" s="70"/>
      <c r="DV55" s="70"/>
      <c r="DW55" s="70"/>
      <c r="DX55" s="71"/>
      <c r="DY55" s="70" t="s">
        <v>2451</v>
      </c>
      <c r="DZ55" s="70" t="s">
        <v>2451</v>
      </c>
      <c r="EA55" s="70" t="s">
        <v>2451</v>
      </c>
      <c r="EB55" s="70" t="s">
        <v>2451</v>
      </c>
      <c r="EC55" s="71" t="s">
        <v>2451</v>
      </c>
      <c r="ED55" s="70">
        <v>0.18256537982565391</v>
      </c>
      <c r="EE55" s="70">
        <v>0.2503590234561992</v>
      </c>
      <c r="EF55" s="70">
        <v>0.26661152467604077</v>
      </c>
      <c r="EG55" s="70">
        <v>0.19573042038058586</v>
      </c>
      <c r="EH55" s="71">
        <v>0.22292760662386812</v>
      </c>
      <c r="EI55" s="70">
        <v>7.308340353833187E-2</v>
      </c>
      <c r="EJ55" s="70">
        <v>0.21745788667687593</v>
      </c>
      <c r="EK55" s="70">
        <v>6.6390944710492006E-2</v>
      </c>
      <c r="EL55" s="70">
        <v>-5.2082905807510849E-2</v>
      </c>
      <c r="EM55" s="71">
        <v>7.9012821996733429E-2</v>
      </c>
      <c r="EN55" s="70">
        <v>-0.16753680078508348</v>
      </c>
      <c r="EO55" s="70">
        <v>-0.47405660377358494</v>
      </c>
      <c r="EP55" s="70">
        <v>-0.13500714431516625</v>
      </c>
      <c r="EQ55" s="70">
        <v>1.2469691721510356E-2</v>
      </c>
      <c r="ER55" s="71">
        <v>-0.21574049353522262</v>
      </c>
      <c r="ES55" s="70">
        <v>0.225302966001792</v>
      </c>
      <c r="ET55" s="70">
        <v>0.2879920777279521</v>
      </c>
      <c r="EU55" s="70">
        <v>0.16238304700774009</v>
      </c>
      <c r="EV55" s="70">
        <v>5.2514539856311826E-2</v>
      </c>
      <c r="EW55" s="71">
        <v>0.17524620060790275</v>
      </c>
      <c r="EX55" s="70">
        <v>-0.26453723301904952</v>
      </c>
      <c r="EY55" s="70">
        <v>-1.2657678427169028E-2</v>
      </c>
      <c r="EZ55" s="70">
        <v>-0.17600784974459738</v>
      </c>
      <c r="FA55" s="70">
        <v>-0.30387615797172107</v>
      </c>
      <c r="FB55" s="71">
        <v>-0.20057105023586852</v>
      </c>
      <c r="FC55" s="70">
        <v>-6.4622468735282546E-3</v>
      </c>
      <c r="FD55" s="70">
        <v>-3.8318679768677422E-3</v>
      </c>
      <c r="FE55" s="70">
        <v>-4.4410224822913458E-2</v>
      </c>
      <c r="FF55" s="70">
        <v>2.4338994922080248E-2</v>
      </c>
      <c r="FG55" s="71">
        <v>-2.0510896009110491E-3</v>
      </c>
      <c r="FH55" s="70" t="s">
        <v>2451</v>
      </c>
      <c r="FI55" s="70" t="s">
        <v>2451</v>
      </c>
      <c r="FJ55" s="70" t="s">
        <v>2451</v>
      </c>
      <c r="FK55" s="70" t="s">
        <v>2451</v>
      </c>
      <c r="FL55" s="71">
        <v>-0.1152029694946024</v>
      </c>
      <c r="FM55" s="70" t="s">
        <v>2451</v>
      </c>
      <c r="FN55" s="70" t="s">
        <v>2451</v>
      </c>
      <c r="FO55" s="70" t="s">
        <v>2451</v>
      </c>
      <c r="FP55" s="70" t="s">
        <v>2451</v>
      </c>
      <c r="FQ55" s="71" t="s">
        <v>2451</v>
      </c>
      <c r="FR55" s="70" t="s">
        <v>2451</v>
      </c>
      <c r="FS55" s="70" t="s">
        <v>2451</v>
      </c>
      <c r="FT55" s="70" t="s">
        <v>2451</v>
      </c>
      <c r="FU55" s="70" t="s">
        <v>2451</v>
      </c>
      <c r="FV55" s="71" t="s">
        <v>2451</v>
      </c>
      <c r="FW55" s="70" t="s">
        <v>2451</v>
      </c>
      <c r="FX55" s="70" t="s">
        <v>2451</v>
      </c>
      <c r="FY55" s="70" t="s">
        <v>2451</v>
      </c>
      <c r="FZ55" s="70" t="s">
        <v>2451</v>
      </c>
      <c r="GA55" s="71" t="s">
        <v>2451</v>
      </c>
    </row>
    <row r="56" spans="1:183" s="67" customFormat="1" ht="12.75" customHeight="1" outlineLevel="1">
      <c r="A56" s="68"/>
      <c r="B56" s="753" t="s">
        <v>36</v>
      </c>
      <c r="C56" s="69"/>
      <c r="D56" s="70"/>
      <c r="E56" s="70"/>
      <c r="F56" s="70"/>
      <c r="G56" s="70"/>
      <c r="H56" s="77"/>
      <c r="I56" s="70"/>
      <c r="J56" s="70"/>
      <c r="K56" s="70"/>
      <c r="L56" s="70"/>
      <c r="M56" s="73"/>
      <c r="N56" s="70"/>
      <c r="O56" s="70"/>
      <c r="P56" s="70"/>
      <c r="Q56" s="70"/>
      <c r="R56" s="73"/>
      <c r="S56" s="70"/>
      <c r="T56" s="70"/>
      <c r="U56" s="70"/>
      <c r="V56" s="70"/>
      <c r="W56" s="73"/>
      <c r="X56" s="70"/>
      <c r="Y56" s="70"/>
      <c r="Z56" s="70"/>
      <c r="AA56" s="70"/>
      <c r="AB56" s="73"/>
      <c r="AC56" s="70"/>
      <c r="AD56" s="70"/>
      <c r="AE56" s="70"/>
      <c r="AF56" s="70"/>
      <c r="AG56" s="73"/>
      <c r="AH56" s="70"/>
      <c r="AI56" s="70"/>
      <c r="AJ56" s="70"/>
      <c r="AK56" s="70"/>
      <c r="AL56" s="73"/>
      <c r="AM56" s="70"/>
      <c r="AN56" s="70"/>
      <c r="AO56" s="70"/>
      <c r="AP56" s="70"/>
      <c r="AQ56" s="73"/>
      <c r="AR56" s="70"/>
      <c r="AS56" s="70"/>
      <c r="AT56" s="70"/>
      <c r="AU56" s="70"/>
      <c r="AV56" s="73"/>
      <c r="AW56" s="70"/>
      <c r="AX56" s="70"/>
      <c r="AY56" s="70"/>
      <c r="AZ56" s="70"/>
      <c r="BA56" s="73"/>
      <c r="BB56" s="70"/>
      <c r="BC56" s="70"/>
      <c r="BD56" s="70"/>
      <c r="BE56" s="70"/>
      <c r="BF56" s="73"/>
      <c r="BG56" s="70"/>
      <c r="BH56" s="70"/>
      <c r="BI56" s="70"/>
      <c r="BJ56" s="70"/>
      <c r="BK56" s="73"/>
      <c r="BL56" s="70"/>
      <c r="BM56" s="70"/>
      <c r="BN56" s="70"/>
      <c r="BO56" s="70"/>
      <c r="BP56" s="73"/>
      <c r="BQ56" s="70"/>
      <c r="BR56" s="70"/>
      <c r="BS56" s="70"/>
      <c r="BT56" s="70"/>
      <c r="BU56" s="73"/>
      <c r="BV56" s="70"/>
      <c r="BW56" s="70"/>
      <c r="BX56" s="70"/>
      <c r="BY56" s="70"/>
      <c r="BZ56" s="73"/>
      <c r="CA56" s="70"/>
      <c r="CB56" s="70"/>
      <c r="CC56" s="70"/>
      <c r="CD56" s="70"/>
      <c r="CE56" s="73"/>
      <c r="CF56" s="70"/>
      <c r="CG56" s="70"/>
      <c r="CH56" s="70"/>
      <c r="CI56" s="70"/>
      <c r="CJ56" s="73"/>
      <c r="CK56" s="70"/>
      <c r="CL56" s="70"/>
      <c r="CM56" s="70"/>
      <c r="CN56" s="70"/>
      <c r="CO56" s="73"/>
      <c r="CP56" s="70"/>
      <c r="CQ56" s="70"/>
      <c r="CR56" s="70"/>
      <c r="CS56" s="70"/>
      <c r="CT56" s="73"/>
      <c r="CU56" s="70"/>
      <c r="CV56" s="70"/>
      <c r="CW56" s="70"/>
      <c r="CX56" s="70"/>
      <c r="CY56" s="73"/>
      <c r="CZ56" s="70"/>
      <c r="DA56" s="70"/>
      <c r="DB56" s="70"/>
      <c r="DC56" s="70"/>
      <c r="DD56" s="73"/>
      <c r="DE56" s="70"/>
      <c r="DF56" s="70"/>
      <c r="DG56" s="70"/>
      <c r="DH56" s="70"/>
      <c r="DI56" s="73"/>
      <c r="DJ56" s="70"/>
      <c r="DK56" s="70"/>
      <c r="DL56" s="70"/>
      <c r="DM56" s="70"/>
      <c r="DN56" s="73"/>
      <c r="DO56" s="70"/>
      <c r="DP56" s="70"/>
      <c r="DQ56" s="70"/>
      <c r="DR56" s="70"/>
      <c r="DS56" s="73"/>
      <c r="DT56" s="70"/>
      <c r="DU56" s="70"/>
      <c r="DV56" s="70"/>
      <c r="DW56" s="70"/>
      <c r="DX56" s="73"/>
      <c r="DY56" s="70" t="s">
        <v>2451</v>
      </c>
      <c r="DZ56" s="70">
        <v>4.0597758405977569E-2</v>
      </c>
      <c r="EA56" s="70">
        <v>-0.13188128291048351</v>
      </c>
      <c r="EB56" s="70">
        <v>0.123609953129308</v>
      </c>
      <c r="EC56" s="73"/>
      <c r="ED56" s="70">
        <v>0.1650580824886152</v>
      </c>
      <c r="EE56" s="70">
        <v>0.10025273799494516</v>
      </c>
      <c r="EF56" s="70">
        <v>-0.1205972434915773</v>
      </c>
      <c r="EG56" s="70">
        <v>6.0731388767958139E-2</v>
      </c>
      <c r="EH56" s="73"/>
      <c r="EI56" s="70">
        <v>4.5557151651959726E-2</v>
      </c>
      <c r="EJ56" s="70">
        <v>0.24828263002944073</v>
      </c>
      <c r="EK56" s="70">
        <v>-0.2297169811320755</v>
      </c>
      <c r="EL56" s="70">
        <v>-5.7113696672790426E-2</v>
      </c>
      <c r="EM56" s="73"/>
      <c r="EN56" s="70">
        <v>-8.1789054381711135E-2</v>
      </c>
      <c r="EO56" s="70">
        <v>-0.2113453105106804</v>
      </c>
      <c r="EP56" s="70">
        <v>0.26684603886397618</v>
      </c>
      <c r="EQ56" s="70">
        <v>0.10364357183311301</v>
      </c>
      <c r="ER56" s="73"/>
      <c r="ES56" s="70">
        <v>0.11122990078686268</v>
      </c>
      <c r="ET56" s="70">
        <v>-0.17099605541658658</v>
      </c>
      <c r="EU56" s="70">
        <v>0.14329923623600638</v>
      </c>
      <c r="EV56" s="70">
        <v>-6.7287701455043258E-4</v>
      </c>
      <c r="EW56" s="73"/>
      <c r="EX56" s="70">
        <v>-0.22350885746790183</v>
      </c>
      <c r="EY56" s="70">
        <v>0.11291926115849527</v>
      </c>
      <c r="EZ56" s="70">
        <v>-4.5853119563684319E-2</v>
      </c>
      <c r="FA56" s="70">
        <v>-0.15574992300585155</v>
      </c>
      <c r="FB56" s="73"/>
      <c r="FC56" s="70">
        <v>0.10824140547481464</v>
      </c>
      <c r="FD56" s="70">
        <v>0.11586570111915728</v>
      </c>
      <c r="FE56" s="70">
        <v>-8.471976401179937E-2</v>
      </c>
      <c r="FF56" s="70">
        <v>-9.501095784452751E-2</v>
      </c>
      <c r="FG56" s="73"/>
      <c r="FH56" s="70" t="s">
        <v>2451</v>
      </c>
      <c r="FI56" s="70" t="s">
        <v>2451</v>
      </c>
      <c r="FJ56" s="70" t="s">
        <v>2451</v>
      </c>
      <c r="FK56" s="70" t="s">
        <v>2451</v>
      </c>
      <c r="FL56" s="73"/>
      <c r="FM56" s="70" t="s">
        <v>2451</v>
      </c>
      <c r="FN56" s="70" t="s">
        <v>2451</v>
      </c>
      <c r="FO56" s="70" t="s">
        <v>2451</v>
      </c>
      <c r="FP56" s="70" t="s">
        <v>2451</v>
      </c>
      <c r="FQ56" s="73"/>
      <c r="FR56" s="70" t="s">
        <v>2451</v>
      </c>
      <c r="FS56" s="70" t="s">
        <v>2451</v>
      </c>
      <c r="FT56" s="70" t="s">
        <v>2451</v>
      </c>
      <c r="FU56" s="70" t="s">
        <v>2451</v>
      </c>
      <c r="FV56" s="73"/>
      <c r="FW56" s="70" t="s">
        <v>2451</v>
      </c>
      <c r="FX56" s="70" t="s">
        <v>2451</v>
      </c>
      <c r="FY56" s="70" t="s">
        <v>2451</v>
      </c>
      <c r="FZ56" s="70" t="s">
        <v>2451</v>
      </c>
      <c r="GA56" s="73"/>
    </row>
    <row r="57" spans="1:183" s="72" customFormat="1" ht="12.75" customHeight="1" outlineLevel="1">
      <c r="A57" s="78"/>
      <c r="B57" s="753" t="s">
        <v>42</v>
      </c>
      <c r="C57" s="69"/>
      <c r="D57" s="70"/>
      <c r="E57" s="70"/>
      <c r="F57" s="70"/>
      <c r="G57" s="70"/>
      <c r="H57" s="71"/>
      <c r="I57" s="70"/>
      <c r="J57" s="70"/>
      <c r="K57" s="70"/>
      <c r="L57" s="70"/>
      <c r="M57" s="71"/>
      <c r="N57" s="70"/>
      <c r="O57" s="70"/>
      <c r="P57" s="70"/>
      <c r="Q57" s="70"/>
      <c r="R57" s="71"/>
      <c r="S57" s="70"/>
      <c r="T57" s="70"/>
      <c r="U57" s="70"/>
      <c r="V57" s="70"/>
      <c r="W57" s="71"/>
      <c r="X57" s="70"/>
      <c r="Y57" s="70"/>
      <c r="Z57" s="70"/>
      <c r="AA57" s="70"/>
      <c r="AB57" s="71"/>
      <c r="AC57" s="70"/>
      <c r="AD57" s="70"/>
      <c r="AE57" s="70"/>
      <c r="AF57" s="70"/>
      <c r="AG57" s="71"/>
      <c r="AH57" s="70"/>
      <c r="AI57" s="70"/>
      <c r="AJ57" s="70"/>
      <c r="AK57" s="70"/>
      <c r="AL57" s="71"/>
      <c r="AM57" s="70"/>
      <c r="AN57" s="70"/>
      <c r="AO57" s="70"/>
      <c r="AP57" s="70"/>
      <c r="AQ57" s="71"/>
      <c r="AR57" s="70"/>
      <c r="AS57" s="70"/>
      <c r="AT57" s="70"/>
      <c r="AU57" s="70"/>
      <c r="AV57" s="71"/>
      <c r="AW57" s="70"/>
      <c r="AX57" s="70"/>
      <c r="AY57" s="70"/>
      <c r="AZ57" s="70"/>
      <c r="BA57" s="71"/>
      <c r="BB57" s="70"/>
      <c r="BC57" s="70"/>
      <c r="BD57" s="70"/>
      <c r="BE57" s="70"/>
      <c r="BF57" s="71"/>
      <c r="BG57" s="70"/>
      <c r="BH57" s="70"/>
      <c r="BI57" s="70"/>
      <c r="BJ57" s="70"/>
      <c r="BK57" s="71"/>
      <c r="BL57" s="70"/>
      <c r="BM57" s="70"/>
      <c r="BN57" s="70"/>
      <c r="BO57" s="70"/>
      <c r="BP57" s="71"/>
      <c r="BQ57" s="70"/>
      <c r="BR57" s="70"/>
      <c r="BS57" s="70"/>
      <c r="BT57" s="70"/>
      <c r="BU57" s="71"/>
      <c r="BV57" s="70"/>
      <c r="BW57" s="70"/>
      <c r="BX57" s="70"/>
      <c r="BY57" s="70"/>
      <c r="BZ57" s="71"/>
      <c r="CA57" s="70"/>
      <c r="CB57" s="70"/>
      <c r="CC57" s="70"/>
      <c r="CD57" s="70"/>
      <c r="CE57" s="71"/>
      <c r="CF57" s="70"/>
      <c r="CG57" s="70"/>
      <c r="CH57" s="70"/>
      <c r="CI57" s="70"/>
      <c r="CJ57" s="71"/>
      <c r="CK57" s="70"/>
      <c r="CL57" s="70"/>
      <c r="CM57" s="70"/>
      <c r="CN57" s="70"/>
      <c r="CO57" s="71"/>
      <c r="CP57" s="70"/>
      <c r="CQ57" s="70"/>
      <c r="CR57" s="70"/>
      <c r="CS57" s="70"/>
      <c r="CT57" s="71"/>
      <c r="CU57" s="70"/>
      <c r="CV57" s="70"/>
      <c r="CW57" s="70"/>
      <c r="CX57" s="70"/>
      <c r="CY57" s="71"/>
      <c r="CZ57" s="70"/>
      <c r="DA57" s="70"/>
      <c r="DB57" s="70"/>
      <c r="DC57" s="70"/>
      <c r="DD57" s="71"/>
      <c r="DE57" s="70"/>
      <c r="DF57" s="70"/>
      <c r="DG57" s="70"/>
      <c r="DH57" s="70"/>
      <c r="DI57" s="71"/>
      <c r="DJ57" s="70"/>
      <c r="DK57" s="70"/>
      <c r="DL57" s="70"/>
      <c r="DM57" s="70"/>
      <c r="DN57" s="71"/>
      <c r="DO57" s="70"/>
      <c r="DP57" s="70"/>
      <c r="DQ57" s="70"/>
      <c r="DR57" s="70"/>
      <c r="DS57" s="71"/>
      <c r="DT57" s="70"/>
      <c r="DU57" s="70"/>
      <c r="DV57" s="70"/>
      <c r="DW57" s="70"/>
      <c r="DX57" s="71"/>
      <c r="DY57" s="70">
        <v>0.3606395401059912</v>
      </c>
      <c r="DZ57" s="70">
        <v>0.31625160850806144</v>
      </c>
      <c r="EA57" s="70">
        <v>0.32981722287896698</v>
      </c>
      <c r="EB57" s="70">
        <v>0.31567260263361735</v>
      </c>
      <c r="EC57" s="71">
        <v>0.32943704793683032</v>
      </c>
      <c r="ED57" s="70">
        <v>0.40070892058401553</v>
      </c>
      <c r="EE57" s="70">
        <v>0.34545695013887051</v>
      </c>
      <c r="EF57" s="70">
        <v>0.35240871432954896</v>
      </c>
      <c r="EG57" s="70">
        <v>0.34594632968905298</v>
      </c>
      <c r="EH57" s="71">
        <v>0.35936720093172869</v>
      </c>
      <c r="EI57" s="70">
        <v>0.38267988583445994</v>
      </c>
      <c r="EJ57" s="70">
        <v>0.36415688519896938</v>
      </c>
      <c r="EK57" s="70">
        <v>0.33739669421487606</v>
      </c>
      <c r="EL57" s="70">
        <v>0.32176093619392587</v>
      </c>
      <c r="EM57" s="71">
        <v>0.35160841505322271</v>
      </c>
      <c r="EN57" s="70">
        <v>0.31813681368136809</v>
      </c>
      <c r="EO57" s="70">
        <v>0.23495118353585728</v>
      </c>
      <c r="EP57" s="70">
        <v>0.31957767722473607</v>
      </c>
      <c r="EQ57" s="70">
        <v>0.3363394462423589</v>
      </c>
      <c r="ER57" s="71">
        <v>0.3005539346045431</v>
      </c>
      <c r="ES57" s="70">
        <v>0.38028684326064688</v>
      </c>
      <c r="ET57" s="70">
        <v>0.2550668107276064</v>
      </c>
      <c r="EU57" s="70">
        <v>0.3161562516046213</v>
      </c>
      <c r="EV57" s="70">
        <v>0.30968229002831077</v>
      </c>
      <c r="EW57" s="71">
        <v>0.31165849883930874</v>
      </c>
      <c r="EX57" s="70">
        <v>0.29008803885853063</v>
      </c>
      <c r="EY57" s="70">
        <v>0.29034195618046549</v>
      </c>
      <c r="EZ57" s="70">
        <v>0.30354872485229228</v>
      </c>
      <c r="FA57" s="70">
        <v>0.27027016368358059</v>
      </c>
      <c r="FB57" s="71">
        <v>0.28682377576687623</v>
      </c>
      <c r="FC57" s="70">
        <v>0.28232951776482751</v>
      </c>
      <c r="FD57" s="70">
        <v>0.27915364567250089</v>
      </c>
      <c r="FE57" s="70">
        <v>0.27665894432624827</v>
      </c>
      <c r="FF57" s="70">
        <v>0.26238282476415448</v>
      </c>
      <c r="FG57" s="71">
        <v>0.27589840541866006</v>
      </c>
      <c r="FH57" s="70" t="s">
        <v>2451</v>
      </c>
      <c r="FI57" s="70" t="s">
        <v>2451</v>
      </c>
      <c r="FJ57" s="70" t="s">
        <v>2451</v>
      </c>
      <c r="FK57" s="70" t="s">
        <v>2451</v>
      </c>
      <c r="FL57" s="71">
        <v>0.23351072790408353</v>
      </c>
      <c r="FM57" s="70" t="s">
        <v>2451</v>
      </c>
      <c r="FN57" s="70" t="s">
        <v>2451</v>
      </c>
      <c r="FO57" s="70" t="s">
        <v>2451</v>
      </c>
      <c r="FP57" s="70" t="s">
        <v>2451</v>
      </c>
      <c r="FQ57" s="71" t="s">
        <v>2451</v>
      </c>
      <c r="FR57" s="70" t="s">
        <v>2451</v>
      </c>
      <c r="FS57" s="70" t="s">
        <v>2451</v>
      </c>
      <c r="FT57" s="70" t="s">
        <v>2451</v>
      </c>
      <c r="FU57" s="70" t="s">
        <v>2451</v>
      </c>
      <c r="FV57" s="71" t="s">
        <v>2451</v>
      </c>
      <c r="FW57" s="70" t="s">
        <v>2451</v>
      </c>
      <c r="FX57" s="70" t="s">
        <v>2451</v>
      </c>
      <c r="FY57" s="70" t="s">
        <v>2451</v>
      </c>
      <c r="FZ57" s="70" t="s">
        <v>2451</v>
      </c>
      <c r="GA57" s="71" t="s">
        <v>2451</v>
      </c>
    </row>
    <row r="58" spans="1:183" s="72" customFormat="1" ht="12.75" customHeight="1" outlineLevel="1">
      <c r="A58" s="54"/>
      <c r="B58" s="753"/>
      <c r="C58" s="69"/>
      <c r="D58" s="70"/>
      <c r="E58" s="70"/>
      <c r="F58" s="70"/>
      <c r="G58" s="70"/>
      <c r="H58" s="76"/>
      <c r="I58" s="70"/>
      <c r="J58" s="70"/>
      <c r="K58" s="70"/>
      <c r="L58" s="70"/>
      <c r="M58" s="76"/>
      <c r="N58" s="70"/>
      <c r="O58" s="70"/>
      <c r="P58" s="70"/>
      <c r="Q58" s="70"/>
      <c r="R58" s="76"/>
      <c r="S58" s="70"/>
      <c r="T58" s="70"/>
      <c r="U58" s="70"/>
      <c r="V58" s="70"/>
      <c r="W58" s="76"/>
      <c r="X58" s="70"/>
      <c r="Y58" s="70"/>
      <c r="Z58" s="70"/>
      <c r="AA58" s="70"/>
      <c r="AB58" s="76"/>
      <c r="AC58" s="70"/>
      <c r="AD58" s="70"/>
      <c r="AE58" s="70"/>
      <c r="AF58" s="70"/>
      <c r="AG58" s="76"/>
      <c r="AH58" s="70"/>
      <c r="AI58" s="70"/>
      <c r="AJ58" s="70"/>
      <c r="AK58" s="70"/>
      <c r="AL58" s="76"/>
      <c r="AM58" s="70"/>
      <c r="AN58" s="70"/>
      <c r="AO58" s="70"/>
      <c r="AP58" s="70"/>
      <c r="AQ58" s="76"/>
      <c r="AR58" s="70"/>
      <c r="AS58" s="70"/>
      <c r="AT58" s="70"/>
      <c r="AU58" s="70"/>
      <c r="AV58" s="76"/>
      <c r="AW58" s="70"/>
      <c r="AX58" s="70"/>
      <c r="AY58" s="70"/>
      <c r="AZ58" s="70"/>
      <c r="BA58" s="76"/>
      <c r="BB58" s="70"/>
      <c r="BC58" s="70"/>
      <c r="BD58" s="70"/>
      <c r="BE58" s="70"/>
      <c r="BF58" s="76"/>
      <c r="BG58" s="70"/>
      <c r="BH58" s="70"/>
      <c r="BI58" s="70"/>
      <c r="BJ58" s="70"/>
      <c r="BK58" s="76"/>
      <c r="BL58" s="70"/>
      <c r="BM58" s="70"/>
      <c r="BN58" s="70"/>
      <c r="BO58" s="70"/>
      <c r="BP58" s="76"/>
      <c r="BQ58" s="70"/>
      <c r="BR58" s="70"/>
      <c r="BS58" s="70"/>
      <c r="BT58" s="70"/>
      <c r="BU58" s="76"/>
      <c r="BV58" s="70"/>
      <c r="BW58" s="70"/>
      <c r="BX58" s="70"/>
      <c r="BY58" s="70"/>
      <c r="BZ58" s="76"/>
      <c r="CA58" s="70"/>
      <c r="CB58" s="70"/>
      <c r="CC58" s="70"/>
      <c r="CD58" s="70"/>
      <c r="CE58" s="76"/>
      <c r="CF58" s="70"/>
      <c r="CG58" s="70"/>
      <c r="CH58" s="70"/>
      <c r="CI58" s="70"/>
      <c r="CJ58" s="76"/>
      <c r="CK58" s="70"/>
      <c r="CL58" s="70"/>
      <c r="CM58" s="70"/>
      <c r="CN58" s="70"/>
      <c r="CO58" s="76"/>
      <c r="CP58" s="70"/>
      <c r="CQ58" s="70"/>
      <c r="CR58" s="70"/>
      <c r="CS58" s="70"/>
      <c r="CT58" s="76"/>
      <c r="CU58" s="70"/>
      <c r="CV58" s="70"/>
      <c r="CW58" s="70"/>
      <c r="CX58" s="70"/>
      <c r="CY58" s="76"/>
      <c r="CZ58" s="70"/>
      <c r="DA58" s="70"/>
      <c r="DB58" s="70"/>
      <c r="DC58" s="70"/>
      <c r="DD58" s="76"/>
      <c r="DE58" s="70"/>
      <c r="DF58" s="70"/>
      <c r="DG58" s="70"/>
      <c r="DH58" s="70"/>
      <c r="DI58" s="76"/>
      <c r="DJ58" s="70"/>
      <c r="DK58" s="70"/>
      <c r="DL58" s="70"/>
      <c r="DM58" s="70"/>
      <c r="DN58" s="76"/>
      <c r="DO58" s="70"/>
      <c r="DP58" s="70"/>
      <c r="DQ58" s="70"/>
      <c r="DR58" s="70"/>
      <c r="DS58" s="76"/>
      <c r="DT58" s="70"/>
      <c r="DU58" s="70"/>
      <c r="DV58" s="70"/>
      <c r="DW58" s="70"/>
      <c r="DX58" s="76"/>
      <c r="DY58" s="70"/>
      <c r="DZ58" s="70"/>
      <c r="EA58" s="70"/>
      <c r="EB58" s="70"/>
      <c r="EC58" s="76"/>
      <c r="ED58" s="70"/>
      <c r="EE58" s="70"/>
      <c r="EF58" s="70"/>
      <c r="EG58" s="70"/>
      <c r="EH58" s="76"/>
      <c r="EI58" s="70"/>
      <c r="EJ58" s="70"/>
      <c r="EK58" s="70"/>
      <c r="EL58" s="70"/>
      <c r="EM58" s="76"/>
      <c r="EN58" s="70"/>
      <c r="EO58" s="70"/>
      <c r="EP58" s="70"/>
      <c r="EQ58" s="70"/>
      <c r="ER58" s="76"/>
      <c r="ES58" s="70"/>
      <c r="ET58" s="70"/>
      <c r="EU58" s="70"/>
      <c r="EV58" s="70"/>
      <c r="EW58" s="76"/>
      <c r="EX58" s="70"/>
      <c r="EY58" s="70"/>
      <c r="EZ58" s="70"/>
      <c r="FA58" s="70"/>
      <c r="FB58" s="76"/>
      <c r="FC58" s="70"/>
      <c r="FD58" s="70"/>
      <c r="FE58" s="70"/>
      <c r="FF58" s="70"/>
      <c r="FG58" s="76"/>
      <c r="FH58" s="70"/>
      <c r="FI58" s="70"/>
      <c r="FJ58" s="70"/>
      <c r="FK58" s="70"/>
      <c r="FL58" s="76"/>
      <c r="FM58" s="70"/>
      <c r="FN58" s="70"/>
      <c r="FO58" s="70"/>
      <c r="FP58" s="70"/>
      <c r="FQ58" s="76"/>
      <c r="FR58" s="70"/>
      <c r="FS58" s="70"/>
      <c r="FT58" s="70"/>
      <c r="FU58" s="70"/>
      <c r="FV58" s="76"/>
      <c r="FW58" s="70"/>
      <c r="FX58" s="70"/>
      <c r="FY58" s="70"/>
      <c r="FZ58" s="70"/>
      <c r="GA58" s="76"/>
    </row>
    <row r="59" spans="1:183" s="1558" customFormat="1" ht="12.75" customHeight="1" outlineLevel="1">
      <c r="A59" s="1401" t="s">
        <v>347</v>
      </c>
      <c r="B59" s="1549" t="s">
        <v>41</v>
      </c>
      <c r="C59" s="1555"/>
      <c r="D59" s="1556"/>
      <c r="E59" s="1556"/>
      <c r="F59" s="1556"/>
      <c r="G59" s="1556"/>
      <c r="H59" s="1557"/>
      <c r="I59" s="1556"/>
      <c r="J59" s="1556"/>
      <c r="K59" s="1556"/>
      <c r="L59" s="1556"/>
      <c r="M59" s="1557"/>
      <c r="N59" s="1556"/>
      <c r="O59" s="1556"/>
      <c r="P59" s="1556"/>
      <c r="Q59" s="1556"/>
      <c r="R59" s="1557"/>
      <c r="S59" s="1556"/>
      <c r="T59" s="1556"/>
      <c r="U59" s="1556"/>
      <c r="V59" s="1556"/>
      <c r="W59" s="1557"/>
      <c r="X59" s="1556"/>
      <c r="Y59" s="1556"/>
      <c r="Z59" s="1556"/>
      <c r="AA59" s="1556"/>
      <c r="AB59" s="1557"/>
      <c r="AC59" s="1556"/>
      <c r="AD59" s="1556"/>
      <c r="AE59" s="1556"/>
      <c r="AF59" s="1556"/>
      <c r="AG59" s="1557"/>
      <c r="AH59" s="1556"/>
      <c r="AI59" s="1556"/>
      <c r="AJ59" s="1556"/>
      <c r="AK59" s="1556"/>
      <c r="AL59" s="1557"/>
      <c r="AM59" s="1556"/>
      <c r="AN59" s="1556"/>
      <c r="AO59" s="1556"/>
      <c r="AP59" s="1556"/>
      <c r="AQ59" s="1557"/>
      <c r="AR59" s="1556"/>
      <c r="AS59" s="1556"/>
      <c r="AT59" s="1556"/>
      <c r="AU59" s="1556"/>
      <c r="AV59" s="1557"/>
      <c r="AW59" s="1556"/>
      <c r="AX59" s="1556"/>
      <c r="AY59" s="1556"/>
      <c r="AZ59" s="1556"/>
      <c r="BA59" s="1557"/>
      <c r="BB59" s="1556"/>
      <c r="BC59" s="1556"/>
      <c r="BD59" s="1556"/>
      <c r="BE59" s="1556"/>
      <c r="BF59" s="1557"/>
      <c r="BG59" s="1556"/>
      <c r="BH59" s="1556"/>
      <c r="BI59" s="1556"/>
      <c r="BJ59" s="1556"/>
      <c r="BK59" s="1557"/>
      <c r="BL59" s="1556"/>
      <c r="BM59" s="1556"/>
      <c r="BN59" s="1556"/>
      <c r="BO59" s="1556"/>
      <c r="BP59" s="1557"/>
      <c r="BQ59" s="1556"/>
      <c r="BR59" s="1556"/>
      <c r="BS59" s="1556"/>
      <c r="BT59" s="1556"/>
      <c r="BU59" s="1557"/>
      <c r="BV59" s="1556"/>
      <c r="BW59" s="1556"/>
      <c r="BX59" s="1556"/>
      <c r="BY59" s="1556"/>
      <c r="BZ59" s="1557"/>
      <c r="CA59" s="1556"/>
      <c r="CB59" s="1556"/>
      <c r="CC59" s="1556"/>
      <c r="CD59" s="1556"/>
      <c r="CE59" s="1557"/>
      <c r="CF59" s="1556"/>
      <c r="CG59" s="1556"/>
      <c r="CH59" s="1556"/>
      <c r="CI59" s="1556"/>
      <c r="CJ59" s="1557"/>
      <c r="CK59" s="1556"/>
      <c r="CL59" s="1556"/>
      <c r="CM59" s="1556"/>
      <c r="CN59" s="1556"/>
      <c r="CO59" s="1557"/>
      <c r="CP59" s="1556"/>
      <c r="CQ59" s="1556"/>
      <c r="CR59" s="1556"/>
      <c r="CS59" s="1556"/>
      <c r="CT59" s="1557"/>
      <c r="CU59" s="1556"/>
      <c r="CV59" s="1556"/>
      <c r="CW59" s="1556"/>
      <c r="CX59" s="1556"/>
      <c r="CY59" s="1557"/>
      <c r="CZ59" s="1556"/>
      <c r="DA59" s="1556"/>
      <c r="DB59" s="1556"/>
      <c r="DC59" s="1556"/>
      <c r="DD59" s="1557"/>
      <c r="DE59" s="1556"/>
      <c r="DF59" s="1556"/>
      <c r="DG59" s="1556"/>
      <c r="DH59" s="1556"/>
      <c r="DI59" s="1557"/>
      <c r="DJ59" s="1556"/>
      <c r="DK59" s="1556"/>
      <c r="DL59" s="1556"/>
      <c r="DM59" s="1556"/>
      <c r="DN59" s="1557"/>
      <c r="DO59" s="1556"/>
      <c r="DP59" s="1556"/>
      <c r="DQ59" s="1556"/>
      <c r="DR59" s="1556"/>
      <c r="DS59" s="1557"/>
      <c r="DT59" s="1556"/>
      <c r="DU59" s="1556"/>
      <c r="DV59" s="1556"/>
      <c r="DW59" s="1556"/>
      <c r="DX59" s="1557"/>
      <c r="DY59" s="1556">
        <v>12686</v>
      </c>
      <c r="DZ59" s="1556">
        <v>13891</v>
      </c>
      <c r="EA59" s="1556">
        <v>12975</v>
      </c>
      <c r="EB59" s="1556">
        <v>13432.45</v>
      </c>
      <c r="EC59" s="1557">
        <v>52978.875</v>
      </c>
      <c r="ED59" s="1556">
        <v>15875.739</v>
      </c>
      <c r="EE59" s="1556">
        <v>17896.826000000001</v>
      </c>
      <c r="EF59" s="1556">
        <v>17048</v>
      </c>
      <c r="EG59" s="1556">
        <v>19095</v>
      </c>
      <c r="EH59" s="1557">
        <v>69916.429999999993</v>
      </c>
      <c r="EI59" s="1556">
        <v>20237.896000000001</v>
      </c>
      <c r="EJ59" s="1556">
        <v>22246.809000000001</v>
      </c>
      <c r="EK59" s="1556">
        <v>20362.076000000001</v>
      </c>
      <c r="EL59" s="1556">
        <v>20531.785</v>
      </c>
      <c r="EM59" s="1557">
        <v>83380.479999999996</v>
      </c>
      <c r="EN59" s="1556">
        <v>21518.062999999998</v>
      </c>
      <c r="EO59" s="1556">
        <v>20399.059000000001</v>
      </c>
      <c r="EP59" s="1556">
        <v>22351.936000000002</v>
      </c>
      <c r="EQ59" s="1556">
        <v>24173.82</v>
      </c>
      <c r="ER59" s="1557">
        <v>88600.766000000003</v>
      </c>
      <c r="ES59" s="1556">
        <v>26895.146000000001</v>
      </c>
      <c r="ET59" s="1556">
        <v>27031.055</v>
      </c>
      <c r="EU59" s="1556">
        <v>27582.400000000001</v>
      </c>
      <c r="EV59" s="1556">
        <v>27926.969000000001</v>
      </c>
      <c r="EW59" s="1557">
        <v>109729.96</v>
      </c>
      <c r="EX59" s="1556">
        <v>30535.146000000001</v>
      </c>
      <c r="EY59" s="1556">
        <v>31654.076000000001</v>
      </c>
      <c r="EZ59" s="1556">
        <v>32000</v>
      </c>
      <c r="FA59" s="1556">
        <v>32220.092000000001</v>
      </c>
      <c r="FB59" s="1557">
        <v>126246.586</v>
      </c>
      <c r="FC59" s="1556">
        <v>33925.167999999998</v>
      </c>
      <c r="FD59" s="1556">
        <v>35475.480000000003</v>
      </c>
      <c r="FE59" s="1556">
        <v>36046.516000000003</v>
      </c>
      <c r="FF59" s="1556">
        <v>36968.777000000002</v>
      </c>
      <c r="FG59" s="1557">
        <v>143005.07999999999</v>
      </c>
      <c r="FH59" s="1556">
        <v>38605.445</v>
      </c>
      <c r="FI59" s="1556">
        <v>40388.080000000002</v>
      </c>
      <c r="FJ59" s="1556">
        <v>40887.4</v>
      </c>
      <c r="FK59" s="1556">
        <v>41888.656000000003</v>
      </c>
      <c r="FL59" s="1557">
        <v>165159.67000000001</v>
      </c>
      <c r="FM59" s="1556" t="s">
        <v>2451</v>
      </c>
      <c r="FN59" s="1556" t="s">
        <v>2451</v>
      </c>
      <c r="FO59" s="1556" t="s">
        <v>2451</v>
      </c>
      <c r="FP59" s="1556" t="s">
        <v>2451</v>
      </c>
      <c r="FQ59" s="1557">
        <v>191255.89</v>
      </c>
      <c r="FR59" s="1556" t="s">
        <v>2451</v>
      </c>
      <c r="FS59" s="1556" t="s">
        <v>2451</v>
      </c>
      <c r="FT59" s="1556" t="s">
        <v>2451</v>
      </c>
      <c r="FU59" s="1556" t="s">
        <v>2451</v>
      </c>
      <c r="FV59" s="1557">
        <v>218432.2</v>
      </c>
      <c r="FW59" s="1556" t="s">
        <v>2451</v>
      </c>
      <c r="FX59" s="1556" t="s">
        <v>2451</v>
      </c>
      <c r="FY59" s="1556" t="s">
        <v>2451</v>
      </c>
      <c r="FZ59" s="1556" t="s">
        <v>2451</v>
      </c>
      <c r="GA59" s="1557" t="s">
        <v>2451</v>
      </c>
    </row>
    <row r="60" spans="1:183" s="67" customFormat="1" ht="12.75" customHeight="1" outlineLevel="1">
      <c r="A60" s="68" t="s">
        <v>349</v>
      </c>
      <c r="B60" s="753" t="s">
        <v>34</v>
      </c>
      <c r="C60" s="69"/>
      <c r="D60" s="70"/>
      <c r="E60" s="70"/>
      <c r="F60" s="70"/>
      <c r="G60" s="70"/>
      <c r="H60" s="71"/>
      <c r="I60" s="70"/>
      <c r="J60" s="70"/>
      <c r="K60" s="70"/>
      <c r="L60" s="70"/>
      <c r="M60" s="71"/>
      <c r="N60" s="70"/>
      <c r="O60" s="70"/>
      <c r="P60" s="70"/>
      <c r="Q60" s="70"/>
      <c r="R60" s="71"/>
      <c r="S60" s="70"/>
      <c r="T60" s="70"/>
      <c r="U60" s="70"/>
      <c r="V60" s="70"/>
      <c r="W60" s="71"/>
      <c r="X60" s="70"/>
      <c r="Y60" s="70"/>
      <c r="Z60" s="70"/>
      <c r="AA60" s="70"/>
      <c r="AB60" s="71"/>
      <c r="AC60" s="70"/>
      <c r="AD60" s="70"/>
      <c r="AE60" s="70"/>
      <c r="AF60" s="70"/>
      <c r="AG60" s="71"/>
      <c r="AH60" s="70"/>
      <c r="AI60" s="70"/>
      <c r="AJ60" s="70"/>
      <c r="AK60" s="70"/>
      <c r="AL60" s="71"/>
      <c r="AM60" s="70"/>
      <c r="AN60" s="70"/>
      <c r="AO60" s="70"/>
      <c r="AP60" s="70"/>
      <c r="AQ60" s="71"/>
      <c r="AR60" s="70"/>
      <c r="AS60" s="70"/>
      <c r="AT60" s="70"/>
      <c r="AU60" s="70"/>
      <c r="AV60" s="71"/>
      <c r="AW60" s="70"/>
      <c r="AX60" s="70"/>
      <c r="AY60" s="70"/>
      <c r="AZ60" s="70"/>
      <c r="BA60" s="71"/>
      <c r="BB60" s="70"/>
      <c r="BC60" s="70"/>
      <c r="BD60" s="70"/>
      <c r="BE60" s="70"/>
      <c r="BF60" s="71"/>
      <c r="BG60" s="70"/>
      <c r="BH60" s="70"/>
      <c r="BI60" s="70"/>
      <c r="BJ60" s="70"/>
      <c r="BK60" s="71"/>
      <c r="BL60" s="70"/>
      <c r="BM60" s="70"/>
      <c r="BN60" s="70"/>
      <c r="BO60" s="70"/>
      <c r="BP60" s="71"/>
      <c r="BQ60" s="70"/>
      <c r="BR60" s="70"/>
      <c r="BS60" s="70"/>
      <c r="BT60" s="70"/>
      <c r="BU60" s="71"/>
      <c r="BV60" s="70"/>
      <c r="BW60" s="70"/>
      <c r="BX60" s="70"/>
      <c r="BY60" s="70"/>
      <c r="BZ60" s="71"/>
      <c r="CA60" s="70"/>
      <c r="CB60" s="70"/>
      <c r="CC60" s="70"/>
      <c r="CD60" s="70"/>
      <c r="CE60" s="71"/>
      <c r="CF60" s="70"/>
      <c r="CG60" s="70"/>
      <c r="CH60" s="70"/>
      <c r="CI60" s="70"/>
      <c r="CJ60" s="71"/>
      <c r="CK60" s="70"/>
      <c r="CL60" s="70"/>
      <c r="CM60" s="70"/>
      <c r="CN60" s="70"/>
      <c r="CO60" s="71"/>
      <c r="CP60" s="70"/>
      <c r="CQ60" s="70"/>
      <c r="CR60" s="70"/>
      <c r="CS60" s="70"/>
      <c r="CT60" s="71"/>
      <c r="CU60" s="70"/>
      <c r="CV60" s="70"/>
      <c r="CW60" s="70"/>
      <c r="CX60" s="70"/>
      <c r="CY60" s="71"/>
      <c r="CZ60" s="70"/>
      <c r="DA60" s="70"/>
      <c r="DB60" s="70"/>
      <c r="DC60" s="70"/>
      <c r="DD60" s="71"/>
      <c r="DE60" s="70"/>
      <c r="DF60" s="70"/>
      <c r="DG60" s="70"/>
      <c r="DH60" s="70"/>
      <c r="DI60" s="71"/>
      <c r="DJ60" s="70"/>
      <c r="DK60" s="70"/>
      <c r="DL60" s="70"/>
      <c r="DM60" s="70"/>
      <c r="DN60" s="71"/>
      <c r="DO60" s="70"/>
      <c r="DP60" s="70"/>
      <c r="DQ60" s="70"/>
      <c r="DR60" s="70"/>
      <c r="DS60" s="71"/>
      <c r="DT60" s="70"/>
      <c r="DU60" s="70"/>
      <c r="DV60" s="70"/>
      <c r="DW60" s="70"/>
      <c r="DX60" s="71"/>
      <c r="DY60" s="70" t="s">
        <v>2451</v>
      </c>
      <c r="DZ60" s="70" t="s">
        <v>2451</v>
      </c>
      <c r="EA60" s="70" t="s">
        <v>2451</v>
      </c>
      <c r="EB60" s="70" t="s">
        <v>2451</v>
      </c>
      <c r="EC60" s="71" t="s">
        <v>2451</v>
      </c>
      <c r="ED60" s="70">
        <v>0.25143772662777852</v>
      </c>
      <c r="EE60" s="70">
        <v>0.28837563890288687</v>
      </c>
      <c r="EF60" s="70">
        <v>0.31391136801541419</v>
      </c>
      <c r="EG60" s="70">
        <v>0.42155749695699596</v>
      </c>
      <c r="EH60" s="71">
        <v>0.31970393859816748</v>
      </c>
      <c r="EI60" s="70">
        <v>0.27476875249712784</v>
      </c>
      <c r="EJ60" s="70">
        <v>0.24305890888138482</v>
      </c>
      <c r="EK60" s="70">
        <v>0.19439676208352896</v>
      </c>
      <c r="EL60" s="70">
        <v>7.5244042943178879E-2</v>
      </c>
      <c r="EM60" s="71">
        <v>0.192573476649194</v>
      </c>
      <c r="EN60" s="70">
        <v>6.3255933324294134E-2</v>
      </c>
      <c r="EO60" s="70">
        <v>-8.3056855479812897E-2</v>
      </c>
      <c r="EP60" s="70">
        <v>9.7723827373986882E-2</v>
      </c>
      <c r="EQ60" s="70">
        <v>0.17738521029710763</v>
      </c>
      <c r="ER60" s="71">
        <v>6.2608010891757937E-2</v>
      </c>
      <c r="ES60" s="70">
        <v>0.24988694382017584</v>
      </c>
      <c r="ET60" s="70">
        <v>0.32511283976383409</v>
      </c>
      <c r="EU60" s="70">
        <v>0.23400496493905498</v>
      </c>
      <c r="EV60" s="70">
        <v>0.15525676124005239</v>
      </c>
      <c r="EW60" s="71">
        <v>0.23847642581329387</v>
      </c>
      <c r="EX60" s="70">
        <v>0.13534040677823422</v>
      </c>
      <c r="EY60" s="70">
        <v>0.17102628809715337</v>
      </c>
      <c r="EZ60" s="70">
        <v>0.16016010209408882</v>
      </c>
      <c r="FA60" s="70">
        <v>0.15372677930068246</v>
      </c>
      <c r="FB60" s="71">
        <v>0.15052065999112729</v>
      </c>
      <c r="FC60" s="70">
        <v>0.11102033047426718</v>
      </c>
      <c r="FD60" s="70">
        <v>0.12072391561832352</v>
      </c>
      <c r="FE60" s="70">
        <v>0.12645362500000012</v>
      </c>
      <c r="FF60" s="70">
        <v>0.14738272628147686</v>
      </c>
      <c r="FG60" s="71">
        <v>0.13274413614638259</v>
      </c>
      <c r="FH60" s="70">
        <v>0.13795884518537993</v>
      </c>
      <c r="FI60" s="70">
        <v>0.13847874644684155</v>
      </c>
      <c r="FJ60" s="70">
        <v>0.13429547532416164</v>
      </c>
      <c r="FK60" s="70">
        <v>0.1330820059316542</v>
      </c>
      <c r="FL60" s="71">
        <v>0.15492169928508859</v>
      </c>
      <c r="FM60" s="70" t="s">
        <v>2451</v>
      </c>
      <c r="FN60" s="70" t="s">
        <v>2451</v>
      </c>
      <c r="FO60" s="70" t="s">
        <v>2451</v>
      </c>
      <c r="FP60" s="70" t="s">
        <v>2451</v>
      </c>
      <c r="FQ60" s="71">
        <v>0.15800600715658963</v>
      </c>
      <c r="FR60" s="70" t="s">
        <v>2451</v>
      </c>
      <c r="FS60" s="70" t="s">
        <v>2451</v>
      </c>
      <c r="FT60" s="70" t="s">
        <v>2451</v>
      </c>
      <c r="FU60" s="70" t="s">
        <v>2451</v>
      </c>
      <c r="FV60" s="71">
        <v>0.14209397681817793</v>
      </c>
      <c r="FW60" s="70" t="s">
        <v>2451</v>
      </c>
      <c r="FX60" s="70" t="s">
        <v>2451</v>
      </c>
      <c r="FY60" s="70" t="s">
        <v>2451</v>
      </c>
      <c r="FZ60" s="70" t="s">
        <v>2451</v>
      </c>
      <c r="GA60" s="71" t="s">
        <v>2451</v>
      </c>
    </row>
    <row r="61" spans="1:183" s="67" customFormat="1" ht="12.75" customHeight="1" outlineLevel="1">
      <c r="A61" s="68" t="s">
        <v>348</v>
      </c>
      <c r="B61" s="753" t="s">
        <v>36</v>
      </c>
      <c r="C61" s="69"/>
      <c r="D61" s="70"/>
      <c r="E61" s="70"/>
      <c r="F61" s="70"/>
      <c r="G61" s="70"/>
      <c r="H61" s="77"/>
      <c r="I61" s="70"/>
      <c r="J61" s="70"/>
      <c r="K61" s="70"/>
      <c r="L61" s="70"/>
      <c r="M61" s="73"/>
      <c r="N61" s="70"/>
      <c r="O61" s="70"/>
      <c r="P61" s="70"/>
      <c r="Q61" s="70"/>
      <c r="R61" s="73"/>
      <c r="S61" s="70"/>
      <c r="T61" s="70"/>
      <c r="U61" s="70"/>
      <c r="V61" s="70"/>
      <c r="W61" s="73"/>
      <c r="X61" s="70"/>
      <c r="Y61" s="70"/>
      <c r="Z61" s="70"/>
      <c r="AA61" s="70"/>
      <c r="AB61" s="73"/>
      <c r="AC61" s="70"/>
      <c r="AD61" s="70"/>
      <c r="AE61" s="70"/>
      <c r="AF61" s="70"/>
      <c r="AG61" s="73"/>
      <c r="AH61" s="70"/>
      <c r="AI61" s="70"/>
      <c r="AJ61" s="70"/>
      <c r="AK61" s="70"/>
      <c r="AL61" s="73"/>
      <c r="AM61" s="70"/>
      <c r="AN61" s="70"/>
      <c r="AO61" s="70"/>
      <c r="AP61" s="70"/>
      <c r="AQ61" s="73"/>
      <c r="AR61" s="70"/>
      <c r="AS61" s="70"/>
      <c r="AT61" s="70"/>
      <c r="AU61" s="70"/>
      <c r="AV61" s="73"/>
      <c r="AW61" s="70"/>
      <c r="AX61" s="70"/>
      <c r="AY61" s="70"/>
      <c r="AZ61" s="70"/>
      <c r="BA61" s="73"/>
      <c r="BB61" s="70"/>
      <c r="BC61" s="70"/>
      <c r="BD61" s="70"/>
      <c r="BE61" s="70"/>
      <c r="BF61" s="73"/>
      <c r="BG61" s="70"/>
      <c r="BH61" s="70"/>
      <c r="BI61" s="70"/>
      <c r="BJ61" s="70"/>
      <c r="BK61" s="73"/>
      <c r="BL61" s="70"/>
      <c r="BM61" s="70"/>
      <c r="BN61" s="70"/>
      <c r="BO61" s="70"/>
      <c r="BP61" s="73"/>
      <c r="BQ61" s="70"/>
      <c r="BR61" s="70"/>
      <c r="BS61" s="70"/>
      <c r="BT61" s="70"/>
      <c r="BU61" s="73"/>
      <c r="BV61" s="70"/>
      <c r="BW61" s="70"/>
      <c r="BX61" s="70"/>
      <c r="BY61" s="70"/>
      <c r="BZ61" s="73"/>
      <c r="CA61" s="70"/>
      <c r="CB61" s="70"/>
      <c r="CC61" s="70"/>
      <c r="CD61" s="70"/>
      <c r="CE61" s="73"/>
      <c r="CF61" s="70"/>
      <c r="CG61" s="70"/>
      <c r="CH61" s="70"/>
      <c r="CI61" s="70"/>
      <c r="CJ61" s="73"/>
      <c r="CK61" s="70"/>
      <c r="CL61" s="70"/>
      <c r="CM61" s="70"/>
      <c r="CN61" s="70"/>
      <c r="CO61" s="73"/>
      <c r="CP61" s="70"/>
      <c r="CQ61" s="70"/>
      <c r="CR61" s="70"/>
      <c r="CS61" s="70"/>
      <c r="CT61" s="73"/>
      <c r="CU61" s="70"/>
      <c r="CV61" s="70"/>
      <c r="CW61" s="70"/>
      <c r="CX61" s="70"/>
      <c r="CY61" s="73"/>
      <c r="CZ61" s="70"/>
      <c r="DA61" s="70"/>
      <c r="DB61" s="70"/>
      <c r="DC61" s="70"/>
      <c r="DD61" s="73"/>
      <c r="DE61" s="70"/>
      <c r="DF61" s="70"/>
      <c r="DG61" s="70"/>
      <c r="DH61" s="70"/>
      <c r="DI61" s="73"/>
      <c r="DJ61" s="70"/>
      <c r="DK61" s="70"/>
      <c r="DL61" s="70"/>
      <c r="DM61" s="70"/>
      <c r="DN61" s="73"/>
      <c r="DO61" s="70"/>
      <c r="DP61" s="70"/>
      <c r="DQ61" s="70"/>
      <c r="DR61" s="70"/>
      <c r="DS61" s="73"/>
      <c r="DT61" s="70"/>
      <c r="DU61" s="70"/>
      <c r="DV61" s="70"/>
      <c r="DW61" s="70"/>
      <c r="DX61" s="73"/>
      <c r="DY61" s="70" t="s">
        <v>2451</v>
      </c>
      <c r="DZ61" s="70">
        <v>9.4986599400914473E-2</v>
      </c>
      <c r="EA61" s="70">
        <v>-6.5941976819523407E-2</v>
      </c>
      <c r="EB61" s="70">
        <v>3.5256262042389297E-2</v>
      </c>
      <c r="EC61" s="73"/>
      <c r="ED61" s="70">
        <v>0.18189451663694989</v>
      </c>
      <c r="EE61" s="70">
        <v>0.12730664065464925</v>
      </c>
      <c r="EF61" s="70">
        <v>-4.7428856938096176E-2</v>
      </c>
      <c r="EG61" s="70">
        <v>0.12007273580478639</v>
      </c>
      <c r="EH61" s="73"/>
      <c r="EI61" s="70">
        <v>5.9853155276250458E-2</v>
      </c>
      <c r="EJ61" s="70">
        <v>9.9264913704468105E-2</v>
      </c>
      <c r="EK61" s="70">
        <v>-8.4719251196879508E-2</v>
      </c>
      <c r="EL61" s="70">
        <v>8.3345627430129188E-3</v>
      </c>
      <c r="EM61" s="73"/>
      <c r="EN61" s="70">
        <v>4.8036641724038986E-2</v>
      </c>
      <c r="EO61" s="70">
        <v>-5.2003007891555875E-2</v>
      </c>
      <c r="EP61" s="70">
        <v>9.5733680656544085E-2</v>
      </c>
      <c r="EQ61" s="70">
        <v>8.1509002173234535E-2</v>
      </c>
      <c r="ER61" s="73"/>
      <c r="ES61" s="70">
        <v>0.11257327141510953</v>
      </c>
      <c r="ET61" s="70">
        <v>5.0532910287974797E-3</v>
      </c>
      <c r="EU61" s="70">
        <v>2.0396725174063768E-2</v>
      </c>
      <c r="EV61" s="70">
        <v>1.2492350194326818E-2</v>
      </c>
      <c r="EW61" s="73"/>
      <c r="EX61" s="70">
        <v>9.3392770264470792E-2</v>
      </c>
      <c r="EY61" s="70">
        <v>3.6644003601620234E-2</v>
      </c>
      <c r="EZ61" s="70">
        <v>1.0928260865993966E-2</v>
      </c>
      <c r="FA61" s="70">
        <v>6.8778750000000333E-3</v>
      </c>
      <c r="FB61" s="73"/>
      <c r="FC61" s="70">
        <v>5.2919650260464746E-2</v>
      </c>
      <c r="FD61" s="70">
        <v>4.5697990353356754E-2</v>
      </c>
      <c r="FE61" s="70">
        <v>1.6096639143430957E-2</v>
      </c>
      <c r="FF61" s="70">
        <v>2.5585302058040771E-2</v>
      </c>
      <c r="FG61" s="73"/>
      <c r="FH61" s="70">
        <v>4.4271629542951718E-2</v>
      </c>
      <c r="FI61" s="70">
        <v>4.6175740235606666E-2</v>
      </c>
      <c r="FJ61" s="70">
        <v>1.2363053653454248E-2</v>
      </c>
      <c r="FK61" s="70">
        <v>2.4488130817806875E-2</v>
      </c>
      <c r="FL61" s="73"/>
      <c r="FM61" s="70" t="s">
        <v>2451</v>
      </c>
      <c r="FN61" s="70" t="s">
        <v>2451</v>
      </c>
      <c r="FO61" s="70" t="s">
        <v>2451</v>
      </c>
      <c r="FP61" s="70" t="s">
        <v>2451</v>
      </c>
      <c r="FQ61" s="73"/>
      <c r="FR61" s="70" t="s">
        <v>2451</v>
      </c>
      <c r="FS61" s="70" t="s">
        <v>2451</v>
      </c>
      <c r="FT61" s="70" t="s">
        <v>2451</v>
      </c>
      <c r="FU61" s="70" t="s">
        <v>2451</v>
      </c>
      <c r="FV61" s="73"/>
      <c r="FW61" s="70" t="s">
        <v>2451</v>
      </c>
      <c r="FX61" s="70" t="s">
        <v>2451</v>
      </c>
      <c r="FY61" s="70" t="s">
        <v>2451</v>
      </c>
      <c r="FZ61" s="70" t="s">
        <v>2451</v>
      </c>
      <c r="GA61" s="73"/>
    </row>
    <row r="62" spans="1:183" s="1445" customFormat="1" ht="12.75" customHeight="1" outlineLevel="1">
      <c r="A62" s="1272" t="s">
        <v>351</v>
      </c>
      <c r="B62" s="753" t="s">
        <v>42</v>
      </c>
      <c r="C62" s="1249"/>
      <c r="D62" s="1250"/>
      <c r="E62" s="1250"/>
      <c r="F62" s="1250"/>
      <c r="G62" s="1250"/>
      <c r="H62" s="1252"/>
      <c r="I62" s="1250"/>
      <c r="J62" s="1250"/>
      <c r="K62" s="1250"/>
      <c r="L62" s="1250"/>
      <c r="M62" s="1252"/>
      <c r="N62" s="1250"/>
      <c r="O62" s="1250"/>
      <c r="P62" s="1250"/>
      <c r="Q62" s="1250"/>
      <c r="R62" s="1252"/>
      <c r="S62" s="1250"/>
      <c r="T62" s="1250"/>
      <c r="U62" s="1250"/>
      <c r="V62" s="1250"/>
      <c r="W62" s="1252"/>
      <c r="X62" s="1250"/>
      <c r="Y62" s="1250"/>
      <c r="Z62" s="1250"/>
      <c r="AA62" s="1250"/>
      <c r="AB62" s="1252"/>
      <c r="AC62" s="1250"/>
      <c r="AD62" s="1250"/>
      <c r="AE62" s="1250"/>
      <c r="AF62" s="1250"/>
      <c r="AG62" s="1252"/>
      <c r="AH62" s="1250"/>
      <c r="AI62" s="1250"/>
      <c r="AJ62" s="1250"/>
      <c r="AK62" s="1250"/>
      <c r="AL62" s="1252"/>
      <c r="AM62" s="1250"/>
      <c r="AN62" s="1250"/>
      <c r="AO62" s="1250"/>
      <c r="AP62" s="1250"/>
      <c r="AQ62" s="1252"/>
      <c r="AR62" s="1250"/>
      <c r="AS62" s="1250"/>
      <c r="AT62" s="1250"/>
      <c r="AU62" s="1250"/>
      <c r="AV62" s="1252"/>
      <c r="AW62" s="1250"/>
      <c r="AX62" s="1250"/>
      <c r="AY62" s="1250"/>
      <c r="AZ62" s="1250"/>
      <c r="BA62" s="1252"/>
      <c r="BB62" s="1250"/>
      <c r="BC62" s="1250"/>
      <c r="BD62" s="1250"/>
      <c r="BE62" s="1250"/>
      <c r="BF62" s="1252"/>
      <c r="BG62" s="1250"/>
      <c r="BH62" s="1250"/>
      <c r="BI62" s="1250"/>
      <c r="BJ62" s="1250"/>
      <c r="BK62" s="1252"/>
      <c r="BL62" s="1250"/>
      <c r="BM62" s="1250"/>
      <c r="BN62" s="1250"/>
      <c r="BO62" s="1250"/>
      <c r="BP62" s="1252"/>
      <c r="BQ62" s="1250"/>
      <c r="BR62" s="1250"/>
      <c r="BS62" s="1250"/>
      <c r="BT62" s="1250"/>
      <c r="BU62" s="1252"/>
      <c r="BV62" s="1250"/>
      <c r="BW62" s="1250"/>
      <c r="BX62" s="1250"/>
      <c r="BY62" s="1250"/>
      <c r="BZ62" s="1252"/>
      <c r="CA62" s="1250"/>
      <c r="CB62" s="1250"/>
      <c r="CC62" s="1250"/>
      <c r="CD62" s="1250"/>
      <c r="CE62" s="1252"/>
      <c r="CF62" s="1250"/>
      <c r="CG62" s="1250"/>
      <c r="CH62" s="1250"/>
      <c r="CI62" s="1250"/>
      <c r="CJ62" s="1252"/>
      <c r="CK62" s="1250"/>
      <c r="CL62" s="1250"/>
      <c r="CM62" s="1250"/>
      <c r="CN62" s="1250"/>
      <c r="CO62" s="1252"/>
      <c r="CP62" s="1250"/>
      <c r="CQ62" s="1250"/>
      <c r="CR62" s="1250"/>
      <c r="CS62" s="1250"/>
      <c r="CT62" s="1252"/>
      <c r="CU62" s="1250"/>
      <c r="CV62" s="1250"/>
      <c r="CW62" s="1250"/>
      <c r="CX62" s="1250"/>
      <c r="CY62" s="1252"/>
      <c r="CZ62" s="1250"/>
      <c r="DA62" s="1250"/>
      <c r="DB62" s="1250"/>
      <c r="DC62" s="1250"/>
      <c r="DD62" s="1252"/>
      <c r="DE62" s="1250"/>
      <c r="DF62" s="1250"/>
      <c r="DG62" s="1250"/>
      <c r="DH62" s="1250"/>
      <c r="DI62" s="1252"/>
      <c r="DJ62" s="1250"/>
      <c r="DK62" s="1250"/>
      <c r="DL62" s="1250"/>
      <c r="DM62" s="1250"/>
      <c r="DN62" s="1252"/>
      <c r="DO62" s="1250"/>
      <c r="DP62" s="1250"/>
      <c r="DQ62" s="1250"/>
      <c r="DR62" s="1250"/>
      <c r="DS62" s="1252"/>
      <c r="DT62" s="1250"/>
      <c r="DU62" s="1250"/>
      <c r="DV62" s="1250"/>
      <c r="DW62" s="1250"/>
      <c r="DX62" s="1252"/>
      <c r="DY62" s="1250">
        <v>0.38378460142187265</v>
      </c>
      <c r="DZ62" s="1250">
        <v>0.37638866309001245</v>
      </c>
      <c r="EA62" s="1250">
        <v>0.37049199051997372</v>
      </c>
      <c r="EB62" s="1250">
        <v>0.35317881839455212</v>
      </c>
      <c r="EC62" s="1252">
        <v>0.37044278572177741</v>
      </c>
      <c r="ED62" s="1250">
        <v>0.42729555364159982</v>
      </c>
      <c r="EE62" s="1250">
        <v>0.41547093509146626</v>
      </c>
      <c r="EF62" s="1250">
        <v>0.40876612477820939</v>
      </c>
      <c r="EG62" s="1250">
        <v>0.41374154966198645</v>
      </c>
      <c r="EH62" s="1252">
        <v>0.41595134691352142</v>
      </c>
      <c r="EI62" s="1250">
        <v>0.44658507844738177</v>
      </c>
      <c r="EJ62" s="1250">
        <v>0.43007286189297866</v>
      </c>
      <c r="EK62" s="1250">
        <v>0.4125217990275527</v>
      </c>
      <c r="EL62" s="1250">
        <v>0.3958697580256435</v>
      </c>
      <c r="EM62" s="1252">
        <v>0.42054007161950874</v>
      </c>
      <c r="EN62" s="1250">
        <v>0.4293137344878496</v>
      </c>
      <c r="EO62" s="1250">
        <v>0.3867340133088138</v>
      </c>
      <c r="EP62" s="1250">
        <v>0.42287560777191291</v>
      </c>
      <c r="EQ62" s="1250">
        <v>0.43022335332538397</v>
      </c>
      <c r="ER62" s="1252">
        <v>0.41809577424910932</v>
      </c>
      <c r="ES62" s="1250">
        <v>0.4758770989259869</v>
      </c>
      <c r="ET62" s="1250">
        <v>0.43584416317316993</v>
      </c>
      <c r="EU62" s="1250">
        <v>0.44589867115005338</v>
      </c>
      <c r="EV62" s="1250">
        <v>0.43145779968174025</v>
      </c>
      <c r="EW62" s="1252">
        <v>0.44765447409861214</v>
      </c>
      <c r="EX62" s="1250">
        <v>0.46558124571167187</v>
      </c>
      <c r="EY62" s="1250">
        <v>0.45459093520220589</v>
      </c>
      <c r="EZ62" s="1250">
        <v>0.45671224274255701</v>
      </c>
      <c r="FA62" s="1250">
        <v>0.43624193404912731</v>
      </c>
      <c r="FB62" s="1252">
        <v>0.45215444795910764</v>
      </c>
      <c r="FC62" s="1250">
        <v>0.45754277616025796</v>
      </c>
      <c r="FD62" s="1250">
        <v>0.45065078618919807</v>
      </c>
      <c r="FE62" s="1250">
        <v>0.45401239328024423</v>
      </c>
      <c r="FF62" s="1250">
        <v>0.44285689642759474</v>
      </c>
      <c r="FG62" s="1252">
        <v>0.45105218377988798</v>
      </c>
      <c r="FH62" s="1250">
        <v>0.45675192959345701</v>
      </c>
      <c r="FI62" s="1250">
        <v>0.45149417468810266</v>
      </c>
      <c r="FJ62" s="1250">
        <v>0.45048289791412821</v>
      </c>
      <c r="FK62" s="1250">
        <v>0.439431613844187</v>
      </c>
      <c r="FL62" s="1252">
        <v>0.45515427558852772</v>
      </c>
      <c r="FM62" s="1250" t="s">
        <v>2451</v>
      </c>
      <c r="FN62" s="1250" t="s">
        <v>2451</v>
      </c>
      <c r="FO62" s="1250" t="s">
        <v>2451</v>
      </c>
      <c r="FP62" s="1250" t="s">
        <v>2451</v>
      </c>
      <c r="FQ62" s="1252">
        <v>0.45591854029510431</v>
      </c>
      <c r="FR62" s="1250" t="s">
        <v>2451</v>
      </c>
      <c r="FS62" s="1250" t="s">
        <v>2451</v>
      </c>
      <c r="FT62" s="1250" t="s">
        <v>2451</v>
      </c>
      <c r="FU62" s="1250" t="s">
        <v>2451</v>
      </c>
      <c r="FV62" s="1252">
        <v>0.45788277623041529</v>
      </c>
      <c r="FW62" s="1250" t="s">
        <v>2451</v>
      </c>
      <c r="FX62" s="1250" t="s">
        <v>2451</v>
      </c>
      <c r="FY62" s="1250" t="s">
        <v>2451</v>
      </c>
      <c r="FZ62" s="1250" t="s">
        <v>2451</v>
      </c>
      <c r="GA62" s="1252" t="s">
        <v>2451</v>
      </c>
    </row>
    <row r="63" spans="1:183" s="72" customFormat="1" ht="12.75" customHeight="1" outlineLevel="1">
      <c r="A63" s="68"/>
      <c r="B63" s="753"/>
      <c r="C63" s="69"/>
      <c r="D63" s="70"/>
      <c r="E63" s="70"/>
      <c r="F63" s="70"/>
      <c r="G63" s="70"/>
      <c r="H63" s="71"/>
      <c r="I63" s="70"/>
      <c r="J63" s="70"/>
      <c r="K63" s="70"/>
      <c r="L63" s="70"/>
      <c r="M63" s="71"/>
      <c r="N63" s="70"/>
      <c r="O63" s="70"/>
      <c r="P63" s="70"/>
      <c r="Q63" s="70"/>
      <c r="R63" s="71"/>
      <c r="S63" s="70"/>
      <c r="T63" s="70"/>
      <c r="U63" s="70"/>
      <c r="V63" s="70"/>
      <c r="W63" s="71"/>
      <c r="X63" s="70"/>
      <c r="Y63" s="70"/>
      <c r="Z63" s="70"/>
      <c r="AA63" s="70"/>
      <c r="AB63" s="71"/>
      <c r="AC63" s="70"/>
      <c r="AD63" s="70"/>
      <c r="AE63" s="70"/>
      <c r="AF63" s="70"/>
      <c r="AG63" s="71"/>
      <c r="AH63" s="70"/>
      <c r="AI63" s="70"/>
      <c r="AJ63" s="70"/>
      <c r="AK63" s="70"/>
      <c r="AL63" s="71"/>
      <c r="AM63" s="70"/>
      <c r="AN63" s="70"/>
      <c r="AO63" s="70"/>
      <c r="AP63" s="70"/>
      <c r="AQ63" s="71"/>
      <c r="AR63" s="70"/>
      <c r="AS63" s="70"/>
      <c r="AT63" s="70"/>
      <c r="AU63" s="70"/>
      <c r="AV63" s="71"/>
      <c r="AW63" s="70"/>
      <c r="AX63" s="70"/>
      <c r="AY63" s="70"/>
      <c r="AZ63" s="70"/>
      <c r="BA63" s="71"/>
      <c r="BB63" s="70"/>
      <c r="BC63" s="70"/>
      <c r="BD63" s="70"/>
      <c r="BE63" s="70"/>
      <c r="BF63" s="71"/>
      <c r="BG63" s="70"/>
      <c r="BH63" s="70"/>
      <c r="BI63" s="70"/>
      <c r="BJ63" s="70"/>
      <c r="BK63" s="71"/>
      <c r="BL63" s="70"/>
      <c r="BM63" s="70"/>
      <c r="BN63" s="70"/>
      <c r="BO63" s="70"/>
      <c r="BP63" s="71"/>
      <c r="BQ63" s="70"/>
      <c r="BR63" s="70"/>
      <c r="BS63" s="70"/>
      <c r="BT63" s="70"/>
      <c r="BU63" s="71"/>
      <c r="BV63" s="70"/>
      <c r="BW63" s="70"/>
      <c r="BX63" s="70"/>
      <c r="BY63" s="70"/>
      <c r="BZ63" s="71"/>
      <c r="CA63" s="70"/>
      <c r="CB63" s="70"/>
      <c r="CC63" s="70"/>
      <c r="CD63" s="70"/>
      <c r="CE63" s="71"/>
      <c r="CF63" s="70"/>
      <c r="CG63" s="70"/>
      <c r="CH63" s="70"/>
      <c r="CI63" s="70"/>
      <c r="CJ63" s="71"/>
      <c r="CK63" s="70"/>
      <c r="CL63" s="70"/>
      <c r="CM63" s="70"/>
      <c r="CN63" s="70"/>
      <c r="CO63" s="71"/>
      <c r="CP63" s="70"/>
      <c r="CQ63" s="70"/>
      <c r="CR63" s="70"/>
      <c r="CS63" s="70"/>
      <c r="CT63" s="71"/>
      <c r="CU63" s="70"/>
      <c r="CV63" s="70"/>
      <c r="CW63" s="70"/>
      <c r="CX63" s="70"/>
      <c r="CY63" s="71"/>
      <c r="CZ63" s="70"/>
      <c r="DA63" s="70"/>
      <c r="DB63" s="70"/>
      <c r="DC63" s="70"/>
      <c r="DD63" s="71"/>
      <c r="DE63" s="70"/>
      <c r="DF63" s="70"/>
      <c r="DG63" s="70"/>
      <c r="DH63" s="70"/>
      <c r="DI63" s="71"/>
      <c r="DJ63" s="70"/>
      <c r="DK63" s="70"/>
      <c r="DL63" s="70"/>
      <c r="DM63" s="70"/>
      <c r="DN63" s="71"/>
      <c r="DO63" s="70"/>
      <c r="DP63" s="70"/>
      <c r="DQ63" s="70"/>
      <c r="DR63" s="70"/>
      <c r="DS63" s="71"/>
      <c r="DT63" s="70"/>
      <c r="DU63" s="70"/>
      <c r="DV63" s="70"/>
      <c r="DW63" s="70"/>
      <c r="DX63" s="71"/>
      <c r="DY63" s="70"/>
      <c r="DZ63" s="70"/>
      <c r="EA63" s="70"/>
      <c r="EB63" s="70"/>
      <c r="EC63" s="71"/>
      <c r="ED63" s="70"/>
      <c r="EE63" s="70"/>
      <c r="EF63" s="70"/>
      <c r="EG63" s="70"/>
      <c r="EH63" s="71"/>
      <c r="EI63" s="70"/>
      <c r="EJ63" s="70"/>
      <c r="EK63" s="70"/>
      <c r="EL63" s="70"/>
      <c r="EM63" s="71"/>
      <c r="EN63" s="70"/>
      <c r="EO63" s="70"/>
      <c r="EP63" s="70"/>
      <c r="EQ63" s="70"/>
      <c r="ER63" s="71"/>
      <c r="ES63" s="70"/>
      <c r="ET63" s="70"/>
      <c r="EU63" s="70"/>
      <c r="EV63" s="70"/>
      <c r="EW63" s="71"/>
      <c r="EX63" s="70"/>
      <c r="EY63" s="70"/>
      <c r="EZ63" s="70"/>
      <c r="FA63" s="70"/>
      <c r="FB63" s="71"/>
      <c r="FC63" s="70"/>
      <c r="FD63" s="70"/>
      <c r="FE63" s="70"/>
      <c r="FF63" s="70"/>
      <c r="FG63" s="71"/>
      <c r="FH63" s="70"/>
      <c r="FI63" s="70"/>
      <c r="FJ63" s="70"/>
      <c r="FK63" s="70"/>
      <c r="FL63" s="71"/>
      <c r="FM63" s="70"/>
      <c r="FN63" s="70"/>
      <c r="FO63" s="70"/>
      <c r="FP63" s="70"/>
      <c r="FQ63" s="71"/>
      <c r="FR63" s="70"/>
      <c r="FS63" s="70"/>
      <c r="FT63" s="70"/>
      <c r="FU63" s="70"/>
      <c r="FV63" s="71"/>
      <c r="FW63" s="70"/>
      <c r="FX63" s="70"/>
      <c r="FY63" s="70"/>
      <c r="FZ63" s="70"/>
      <c r="GA63" s="71"/>
    </row>
    <row r="64" spans="1:183" s="67" customFormat="1" ht="12.75" customHeight="1" outlineLevel="1">
      <c r="A64" s="63" t="s">
        <v>1879</v>
      </c>
      <c r="B64" s="1543" t="s">
        <v>1878</v>
      </c>
      <c r="C64" s="64"/>
      <c r="D64" s="65"/>
      <c r="E64" s="65"/>
      <c r="F64" s="65"/>
      <c r="G64" s="65"/>
      <c r="H64" s="66"/>
      <c r="I64" s="79"/>
      <c r="J64" s="79"/>
      <c r="K64" s="79"/>
      <c r="L64" s="79"/>
      <c r="M64" s="80"/>
      <c r="N64" s="79"/>
      <c r="O64" s="79"/>
      <c r="P64" s="79"/>
      <c r="Q64" s="79"/>
      <c r="R64" s="80"/>
      <c r="S64" s="79"/>
      <c r="T64" s="79"/>
      <c r="U64" s="79"/>
      <c r="V64" s="79"/>
      <c r="W64" s="80"/>
      <c r="X64" s="79"/>
      <c r="Y64" s="79"/>
      <c r="Z64" s="79"/>
      <c r="AA64" s="79"/>
      <c r="AB64" s="80"/>
      <c r="AC64" s="79"/>
      <c r="AD64" s="79"/>
      <c r="AE64" s="79"/>
      <c r="AF64" s="79"/>
      <c r="AG64" s="80"/>
      <c r="AH64" s="79"/>
      <c r="AI64" s="79"/>
      <c r="AJ64" s="79"/>
      <c r="AK64" s="79"/>
      <c r="AL64" s="80"/>
      <c r="AM64" s="79"/>
      <c r="AN64" s="79"/>
      <c r="AO64" s="79"/>
      <c r="AP64" s="79"/>
      <c r="AQ64" s="80"/>
      <c r="AR64" s="79"/>
      <c r="AS64" s="79"/>
      <c r="AT64" s="79"/>
      <c r="AU64" s="79"/>
      <c r="AV64" s="80"/>
      <c r="AW64" s="79"/>
      <c r="AX64" s="79"/>
      <c r="AY64" s="79"/>
      <c r="AZ64" s="79"/>
      <c r="BA64" s="80"/>
      <c r="BB64" s="79"/>
      <c r="BC64" s="79"/>
      <c r="BD64" s="79"/>
      <c r="BE64" s="79"/>
      <c r="BF64" s="80"/>
      <c r="BG64" s="79"/>
      <c r="BH64" s="79"/>
      <c r="BI64" s="79"/>
      <c r="BJ64" s="79"/>
      <c r="BK64" s="80"/>
      <c r="BL64" s="79"/>
      <c r="BM64" s="79"/>
      <c r="BN64" s="79"/>
      <c r="BO64" s="79"/>
      <c r="BP64" s="80"/>
      <c r="BQ64" s="79"/>
      <c r="BR64" s="79"/>
      <c r="BS64" s="79"/>
      <c r="BT64" s="79"/>
      <c r="BU64" s="80"/>
      <c r="BV64" s="79"/>
      <c r="BW64" s="79"/>
      <c r="BX64" s="79"/>
      <c r="BY64" s="79"/>
      <c r="BZ64" s="80"/>
      <c r="CA64" s="79"/>
      <c r="CB64" s="79"/>
      <c r="CC64" s="79"/>
      <c r="CD64" s="79"/>
      <c r="CE64" s="80"/>
      <c r="CF64" s="79"/>
      <c r="CG64" s="79"/>
      <c r="CH64" s="79"/>
      <c r="CI64" s="79"/>
      <c r="CJ64" s="80"/>
      <c r="CK64" s="79"/>
      <c r="CL64" s="79"/>
      <c r="CM64" s="79"/>
      <c r="CN64" s="79"/>
      <c r="CO64" s="80"/>
      <c r="CP64" s="79"/>
      <c r="CQ64" s="79"/>
      <c r="CR64" s="79"/>
      <c r="CS64" s="79"/>
      <c r="CT64" s="80"/>
      <c r="CU64" s="79"/>
      <c r="CV64" s="79"/>
      <c r="CW64" s="79"/>
      <c r="CX64" s="79"/>
      <c r="CY64" s="80"/>
      <c r="CZ64" s="79"/>
      <c r="DA64" s="79"/>
      <c r="DB64" s="79"/>
      <c r="DC64" s="79"/>
      <c r="DD64" s="80"/>
      <c r="DE64" s="79"/>
      <c r="DF64" s="79"/>
      <c r="DG64" s="79"/>
      <c r="DH64" s="79"/>
      <c r="DI64" s="80"/>
      <c r="DJ64" s="79"/>
      <c r="DK64" s="79"/>
      <c r="DL64" s="79"/>
      <c r="DM64" s="79"/>
      <c r="DN64" s="80"/>
      <c r="DO64" s="79"/>
      <c r="DP64" s="79"/>
      <c r="DQ64" s="79"/>
      <c r="DR64" s="79"/>
      <c r="DS64" s="80"/>
      <c r="DT64" s="79"/>
      <c r="DU64" s="79"/>
      <c r="DV64" s="79"/>
      <c r="DW64" s="79"/>
      <c r="DX64" s="80"/>
      <c r="DY64" s="79">
        <v>1.38</v>
      </c>
      <c r="DZ64" s="79">
        <v>1.51</v>
      </c>
      <c r="EA64" s="79">
        <v>1.4</v>
      </c>
      <c r="EB64" s="79">
        <v>1.46</v>
      </c>
      <c r="EC64" s="80">
        <v>5.76</v>
      </c>
      <c r="ED64" s="79">
        <v>1.82</v>
      </c>
      <c r="EE64" s="79">
        <v>2.0299999999999998</v>
      </c>
      <c r="EF64" s="79">
        <v>2.0299999999999998</v>
      </c>
      <c r="EG64" s="79">
        <v>2.17</v>
      </c>
      <c r="EH64" s="80">
        <v>8.0500000000000007</v>
      </c>
      <c r="EI64" s="79">
        <v>2.71</v>
      </c>
      <c r="EJ64" s="79">
        <v>2.48</v>
      </c>
      <c r="EK64" s="79">
        <v>2.2200000000000002</v>
      </c>
      <c r="EL64" s="79">
        <v>2.23</v>
      </c>
      <c r="EM64" s="80">
        <v>9.65</v>
      </c>
      <c r="EN64" s="79">
        <v>2.35</v>
      </c>
      <c r="EO64" s="79">
        <v>2.2000000000000002</v>
      </c>
      <c r="EP64" s="79">
        <v>2.4501362000000002</v>
      </c>
      <c r="EQ64" s="79">
        <v>2.69</v>
      </c>
      <c r="ER64" s="80">
        <v>9.68</v>
      </c>
      <c r="ES64" s="79">
        <v>2.99</v>
      </c>
      <c r="ET64" s="79">
        <v>2.93</v>
      </c>
      <c r="EU64" s="79">
        <v>2.94</v>
      </c>
      <c r="EV64" s="79">
        <v>2.95</v>
      </c>
      <c r="EW64" s="80">
        <v>11.8</v>
      </c>
      <c r="EX64" s="79">
        <v>3.3</v>
      </c>
      <c r="EY64" s="79">
        <v>3.23</v>
      </c>
      <c r="EZ64" s="79">
        <v>3.46</v>
      </c>
      <c r="FA64" s="79">
        <v>3.3761268000000002</v>
      </c>
      <c r="FB64" s="80">
        <v>13.395293000000001</v>
      </c>
      <c r="FC64" s="79">
        <v>3.5626660000000001</v>
      </c>
      <c r="FD64" s="79">
        <v>3.7768640000000002</v>
      </c>
      <c r="FE64" s="79">
        <v>3.8110727999999998</v>
      </c>
      <c r="FF64" s="79">
        <v>3.9100695000000001</v>
      </c>
      <c r="FG64" s="80">
        <v>15.266956</v>
      </c>
      <c r="FH64" s="79">
        <v>4.1410169999999997</v>
      </c>
      <c r="FI64" s="79">
        <v>4.3304105000000002</v>
      </c>
      <c r="FJ64" s="79">
        <v>4.3987183999999999</v>
      </c>
      <c r="FK64" s="79">
        <v>4.5109750000000002</v>
      </c>
      <c r="FL64" s="80">
        <v>17.808706000000001</v>
      </c>
      <c r="FM64" s="79" t="s">
        <v>2451</v>
      </c>
      <c r="FN64" s="79" t="s">
        <v>2451</v>
      </c>
      <c r="FO64" s="79" t="s">
        <v>2451</v>
      </c>
      <c r="FP64" s="79" t="s">
        <v>2451</v>
      </c>
      <c r="FQ64" s="80">
        <v>21.365824</v>
      </c>
      <c r="FR64" s="79" t="s">
        <v>2451</v>
      </c>
      <c r="FS64" s="79" t="s">
        <v>2451</v>
      </c>
      <c r="FT64" s="79" t="s">
        <v>2451</v>
      </c>
      <c r="FU64" s="79" t="s">
        <v>2451</v>
      </c>
      <c r="FV64" s="80">
        <v>23.75</v>
      </c>
      <c r="FW64" s="79" t="s">
        <v>2451</v>
      </c>
      <c r="FX64" s="79" t="s">
        <v>2451</v>
      </c>
      <c r="FY64" s="79" t="s">
        <v>2451</v>
      </c>
      <c r="FZ64" s="79" t="s">
        <v>2451</v>
      </c>
      <c r="GA64" s="80">
        <v>27.53</v>
      </c>
    </row>
    <row r="65" spans="1:183" s="67" customFormat="1" ht="12.75" customHeight="1" outlineLevel="1">
      <c r="A65" s="81" t="s">
        <v>1880</v>
      </c>
      <c r="B65" s="753" t="s">
        <v>34</v>
      </c>
      <c r="C65" s="69"/>
      <c r="D65" s="70"/>
      <c r="E65" s="70"/>
      <c r="F65" s="70"/>
      <c r="G65" s="70"/>
      <c r="H65" s="71"/>
      <c r="I65" s="70"/>
      <c r="J65" s="70"/>
      <c r="K65" s="70"/>
      <c r="L65" s="70"/>
      <c r="M65" s="71"/>
      <c r="N65" s="70"/>
      <c r="O65" s="70"/>
      <c r="P65" s="70"/>
      <c r="Q65" s="70"/>
      <c r="R65" s="71"/>
      <c r="S65" s="70"/>
      <c r="T65" s="70"/>
      <c r="U65" s="70"/>
      <c r="V65" s="70"/>
      <c r="W65" s="71"/>
      <c r="X65" s="70"/>
      <c r="Y65" s="70"/>
      <c r="Z65" s="70"/>
      <c r="AA65" s="70"/>
      <c r="AB65" s="71"/>
      <c r="AC65" s="70"/>
      <c r="AD65" s="70"/>
      <c r="AE65" s="70"/>
      <c r="AF65" s="70"/>
      <c r="AG65" s="71"/>
      <c r="AH65" s="70"/>
      <c r="AI65" s="70"/>
      <c r="AJ65" s="70"/>
      <c r="AK65" s="70"/>
      <c r="AL65" s="71"/>
      <c r="AM65" s="70"/>
      <c r="AN65" s="70"/>
      <c r="AO65" s="70"/>
      <c r="AP65" s="70"/>
      <c r="AQ65" s="71"/>
      <c r="AR65" s="70"/>
      <c r="AS65" s="70"/>
      <c r="AT65" s="70"/>
      <c r="AU65" s="70"/>
      <c r="AV65" s="71"/>
      <c r="AW65" s="70"/>
      <c r="AX65" s="70"/>
      <c r="AY65" s="70"/>
      <c r="AZ65" s="70"/>
      <c r="BA65" s="71"/>
      <c r="BB65" s="70"/>
      <c r="BC65" s="70"/>
      <c r="BD65" s="70"/>
      <c r="BE65" s="70"/>
      <c r="BF65" s="71"/>
      <c r="BG65" s="70"/>
      <c r="BH65" s="70"/>
      <c r="BI65" s="70"/>
      <c r="BJ65" s="70"/>
      <c r="BK65" s="71"/>
      <c r="BL65" s="70"/>
      <c r="BM65" s="70"/>
      <c r="BN65" s="70"/>
      <c r="BO65" s="70"/>
      <c r="BP65" s="71"/>
      <c r="BQ65" s="70"/>
      <c r="BR65" s="70"/>
      <c r="BS65" s="70"/>
      <c r="BT65" s="70"/>
      <c r="BU65" s="71"/>
      <c r="BV65" s="70"/>
      <c r="BW65" s="70"/>
      <c r="BX65" s="70"/>
      <c r="BY65" s="70"/>
      <c r="BZ65" s="71"/>
      <c r="CA65" s="70"/>
      <c r="CB65" s="70"/>
      <c r="CC65" s="70"/>
      <c r="CD65" s="70"/>
      <c r="CE65" s="71"/>
      <c r="CF65" s="70"/>
      <c r="CG65" s="70"/>
      <c r="CH65" s="70"/>
      <c r="CI65" s="70"/>
      <c r="CJ65" s="71"/>
      <c r="CK65" s="70"/>
      <c r="CL65" s="70"/>
      <c r="CM65" s="70"/>
      <c r="CN65" s="70"/>
      <c r="CO65" s="71"/>
      <c r="CP65" s="70"/>
      <c r="CQ65" s="70"/>
      <c r="CR65" s="70"/>
      <c r="CS65" s="70"/>
      <c r="CT65" s="71"/>
      <c r="CU65" s="70"/>
      <c r="CV65" s="70"/>
      <c r="CW65" s="70"/>
      <c r="CX65" s="70"/>
      <c r="CY65" s="71"/>
      <c r="CZ65" s="70"/>
      <c r="DA65" s="70"/>
      <c r="DB65" s="70"/>
      <c r="DC65" s="70"/>
      <c r="DD65" s="71"/>
      <c r="DE65" s="70"/>
      <c r="DF65" s="70"/>
      <c r="DG65" s="70"/>
      <c r="DH65" s="70"/>
      <c r="DI65" s="71"/>
      <c r="DJ65" s="70"/>
      <c r="DK65" s="70"/>
      <c r="DL65" s="70"/>
      <c r="DM65" s="70"/>
      <c r="DN65" s="71"/>
      <c r="DO65" s="70"/>
      <c r="DP65" s="70"/>
      <c r="DQ65" s="70"/>
      <c r="DR65" s="70"/>
      <c r="DS65" s="71"/>
      <c r="DT65" s="70"/>
      <c r="DU65" s="70"/>
      <c r="DV65" s="70"/>
      <c r="DW65" s="70"/>
      <c r="DX65" s="71"/>
      <c r="DY65" s="70" t="s">
        <v>2451</v>
      </c>
      <c r="DZ65" s="70" t="s">
        <v>2451</v>
      </c>
      <c r="EA65" s="70" t="s">
        <v>2451</v>
      </c>
      <c r="EB65" s="70" t="s">
        <v>2451</v>
      </c>
      <c r="EC65" s="71" t="s">
        <v>2451</v>
      </c>
      <c r="ED65" s="70">
        <v>0.31884057971014501</v>
      </c>
      <c r="EE65" s="70">
        <v>0.34437086092715208</v>
      </c>
      <c r="EF65" s="70">
        <v>0.44999999999999996</v>
      </c>
      <c r="EG65" s="70">
        <v>0.48630136986301364</v>
      </c>
      <c r="EH65" s="71">
        <v>0.39756944444444464</v>
      </c>
      <c r="EI65" s="70">
        <v>0.48901098901098905</v>
      </c>
      <c r="EJ65" s="70">
        <v>0.2216748768472907</v>
      </c>
      <c r="EK65" s="70">
        <v>9.3596059113300711E-2</v>
      </c>
      <c r="EL65" s="70">
        <v>2.7649769585253559E-2</v>
      </c>
      <c r="EM65" s="71">
        <v>0.19875776397515521</v>
      </c>
      <c r="EN65" s="70">
        <v>-0.13284132841328411</v>
      </c>
      <c r="EO65" s="70">
        <v>-0.11290322580645151</v>
      </c>
      <c r="EP65" s="70">
        <v>0.10366495495495487</v>
      </c>
      <c r="EQ65" s="70">
        <v>0.20627802690582953</v>
      </c>
      <c r="ER65" s="71">
        <v>3.1088082901553626E-3</v>
      </c>
      <c r="ES65" s="70">
        <v>0.27234042553191484</v>
      </c>
      <c r="ET65" s="70">
        <v>0.33181818181818179</v>
      </c>
      <c r="EU65" s="70">
        <v>0.19993329350425482</v>
      </c>
      <c r="EV65" s="70">
        <v>9.6654275092936892E-2</v>
      </c>
      <c r="EW65" s="71">
        <v>0.21900826446280997</v>
      </c>
      <c r="EX65" s="70">
        <v>0.10367892976588622</v>
      </c>
      <c r="EY65" s="70">
        <v>0.10238907849829348</v>
      </c>
      <c r="EZ65" s="70">
        <v>0.1768707482993197</v>
      </c>
      <c r="FA65" s="70">
        <v>0.14444976271186438</v>
      </c>
      <c r="FB65" s="71">
        <v>0.13519432203389825</v>
      </c>
      <c r="FC65" s="70">
        <v>7.9595757575757764E-2</v>
      </c>
      <c r="FD65" s="70">
        <v>0.16930773993808046</v>
      </c>
      <c r="FE65" s="70">
        <v>0.10146612716763004</v>
      </c>
      <c r="FF65" s="70">
        <v>0.15815244261560313</v>
      </c>
      <c r="FG65" s="71">
        <v>0.13972542444573621</v>
      </c>
      <c r="FH65" s="70">
        <v>0.1623365760360358</v>
      </c>
      <c r="FI65" s="70">
        <v>0.1465624655799096</v>
      </c>
      <c r="FJ65" s="70">
        <v>0.15419427306662836</v>
      </c>
      <c r="FK65" s="70">
        <v>0.15368153942020735</v>
      </c>
      <c r="FL65" s="71">
        <v>0.16648701941631328</v>
      </c>
      <c r="FM65" s="70" t="s">
        <v>2451</v>
      </c>
      <c r="FN65" s="70" t="s">
        <v>2451</v>
      </c>
      <c r="FO65" s="70" t="s">
        <v>2451</v>
      </c>
      <c r="FP65" s="70" t="s">
        <v>2451</v>
      </c>
      <c r="FQ65" s="71">
        <v>0.1997403966352187</v>
      </c>
      <c r="FR65" s="70" t="s">
        <v>2451</v>
      </c>
      <c r="FS65" s="70" t="s">
        <v>2451</v>
      </c>
      <c r="FT65" s="70" t="s">
        <v>2451</v>
      </c>
      <c r="FU65" s="70" t="s">
        <v>2451</v>
      </c>
      <c r="FV65" s="71">
        <v>0.11158830101755024</v>
      </c>
      <c r="FW65" s="70" t="s">
        <v>2451</v>
      </c>
      <c r="FX65" s="70" t="s">
        <v>2451</v>
      </c>
      <c r="FY65" s="70" t="s">
        <v>2451</v>
      </c>
      <c r="FZ65" s="70" t="s">
        <v>2451</v>
      </c>
      <c r="GA65" s="71">
        <v>0.15915789473684216</v>
      </c>
    </row>
    <row r="66" spans="1:183" s="67" customFormat="1" ht="12.75" customHeight="1" outlineLevel="1">
      <c r="A66" s="68" t="s">
        <v>1881</v>
      </c>
      <c r="B66" s="753" t="s">
        <v>36</v>
      </c>
      <c r="C66" s="69"/>
      <c r="D66" s="70"/>
      <c r="E66" s="70"/>
      <c r="F66" s="70"/>
      <c r="G66" s="70"/>
      <c r="H66" s="77"/>
      <c r="I66" s="70"/>
      <c r="J66" s="70"/>
      <c r="K66" s="70"/>
      <c r="L66" s="70"/>
      <c r="M66" s="73"/>
      <c r="N66" s="70"/>
      <c r="O66" s="70"/>
      <c r="P66" s="70"/>
      <c r="Q66" s="70"/>
      <c r="R66" s="73"/>
      <c r="S66" s="70"/>
      <c r="T66" s="70"/>
      <c r="U66" s="70"/>
      <c r="V66" s="70"/>
      <c r="W66" s="73"/>
      <c r="X66" s="70"/>
      <c r="Y66" s="70"/>
      <c r="Z66" s="70"/>
      <c r="AA66" s="70"/>
      <c r="AB66" s="73"/>
      <c r="AC66" s="70"/>
      <c r="AD66" s="70"/>
      <c r="AE66" s="70"/>
      <c r="AF66" s="70"/>
      <c r="AG66" s="73"/>
      <c r="AH66" s="70"/>
      <c r="AI66" s="70"/>
      <c r="AJ66" s="70"/>
      <c r="AK66" s="70"/>
      <c r="AL66" s="73"/>
      <c r="AM66" s="70"/>
      <c r="AN66" s="70"/>
      <c r="AO66" s="70"/>
      <c r="AP66" s="70"/>
      <c r="AQ66" s="73"/>
      <c r="AR66" s="70"/>
      <c r="AS66" s="70"/>
      <c r="AT66" s="70"/>
      <c r="AU66" s="70"/>
      <c r="AV66" s="73"/>
      <c r="AW66" s="70"/>
      <c r="AX66" s="70"/>
      <c r="AY66" s="70"/>
      <c r="AZ66" s="70"/>
      <c r="BA66" s="73"/>
      <c r="BB66" s="70"/>
      <c r="BC66" s="70"/>
      <c r="BD66" s="70"/>
      <c r="BE66" s="70"/>
      <c r="BF66" s="73"/>
      <c r="BG66" s="70"/>
      <c r="BH66" s="70"/>
      <c r="BI66" s="70"/>
      <c r="BJ66" s="70"/>
      <c r="BK66" s="73"/>
      <c r="BL66" s="70"/>
      <c r="BM66" s="70"/>
      <c r="BN66" s="70"/>
      <c r="BO66" s="70"/>
      <c r="BP66" s="73"/>
      <c r="BQ66" s="70"/>
      <c r="BR66" s="70"/>
      <c r="BS66" s="70"/>
      <c r="BT66" s="70"/>
      <c r="BU66" s="73"/>
      <c r="BV66" s="70"/>
      <c r="BW66" s="70"/>
      <c r="BX66" s="70"/>
      <c r="BY66" s="70"/>
      <c r="BZ66" s="73"/>
      <c r="CA66" s="70"/>
      <c r="CB66" s="70"/>
      <c r="CC66" s="70"/>
      <c r="CD66" s="70"/>
      <c r="CE66" s="73"/>
      <c r="CF66" s="70"/>
      <c r="CG66" s="70"/>
      <c r="CH66" s="70"/>
      <c r="CI66" s="70"/>
      <c r="CJ66" s="73"/>
      <c r="CK66" s="70"/>
      <c r="CL66" s="70"/>
      <c r="CM66" s="70"/>
      <c r="CN66" s="70"/>
      <c r="CO66" s="73"/>
      <c r="CP66" s="70"/>
      <c r="CQ66" s="70"/>
      <c r="CR66" s="70"/>
      <c r="CS66" s="70"/>
      <c r="CT66" s="73"/>
      <c r="CU66" s="70"/>
      <c r="CV66" s="70"/>
      <c r="CW66" s="70"/>
      <c r="CX66" s="70"/>
      <c r="CY66" s="73"/>
      <c r="CZ66" s="70"/>
      <c r="DA66" s="70"/>
      <c r="DB66" s="70"/>
      <c r="DC66" s="70"/>
      <c r="DD66" s="73"/>
      <c r="DE66" s="70"/>
      <c r="DF66" s="70"/>
      <c r="DG66" s="70"/>
      <c r="DH66" s="70"/>
      <c r="DI66" s="73"/>
      <c r="DJ66" s="70"/>
      <c r="DK66" s="70"/>
      <c r="DL66" s="70"/>
      <c r="DM66" s="70"/>
      <c r="DN66" s="73"/>
      <c r="DO66" s="70"/>
      <c r="DP66" s="70"/>
      <c r="DQ66" s="70"/>
      <c r="DR66" s="70"/>
      <c r="DS66" s="73"/>
      <c r="DT66" s="70"/>
      <c r="DU66" s="70"/>
      <c r="DV66" s="70"/>
      <c r="DW66" s="70"/>
      <c r="DX66" s="73"/>
      <c r="DY66" s="70" t="s">
        <v>2451</v>
      </c>
      <c r="DZ66" s="70">
        <v>9.4202898550724834E-2</v>
      </c>
      <c r="EA66" s="70">
        <v>-7.2847682119205337E-2</v>
      </c>
      <c r="EB66" s="70">
        <v>4.2857142857142927E-2</v>
      </c>
      <c r="EC66" s="73"/>
      <c r="ED66" s="70">
        <v>0.24657534246575352</v>
      </c>
      <c r="EE66" s="70">
        <v>0.1153846153846152</v>
      </c>
      <c r="EF66" s="70">
        <v>0</v>
      </c>
      <c r="EG66" s="70">
        <v>6.8965517241379448E-2</v>
      </c>
      <c r="EH66" s="73"/>
      <c r="EI66" s="70">
        <v>0.24884792626728114</v>
      </c>
      <c r="EJ66" s="70">
        <v>-8.4870848708487046E-2</v>
      </c>
      <c r="EK66" s="70">
        <v>-0.10483870967741926</v>
      </c>
      <c r="EL66" s="70">
        <v>4.5045045045044585E-3</v>
      </c>
      <c r="EM66" s="73"/>
      <c r="EN66" s="70">
        <v>5.3811659192825267E-2</v>
      </c>
      <c r="EO66" s="70">
        <v>-6.3829787234042534E-2</v>
      </c>
      <c r="EP66" s="70">
        <v>0.11369827272727284</v>
      </c>
      <c r="EQ66" s="70">
        <v>9.7898149498790943E-2</v>
      </c>
      <c r="ER66" s="73"/>
      <c r="ES66" s="70">
        <v>0.11152416356877337</v>
      </c>
      <c r="ET66" s="70">
        <v>-2.006688963210701E-2</v>
      </c>
      <c r="EU66" s="70">
        <v>3.4129692832762792E-3</v>
      </c>
      <c r="EV66" s="70">
        <v>3.4013605442178019E-3</v>
      </c>
      <c r="EW66" s="73"/>
      <c r="EX66" s="70">
        <v>0.11864406779661008</v>
      </c>
      <c r="EY66" s="70">
        <v>-2.1212121212121127E-2</v>
      </c>
      <c r="EZ66" s="70">
        <v>7.120743034055721E-2</v>
      </c>
      <c r="FA66" s="70">
        <v>-2.4240809248554873E-2</v>
      </c>
      <c r="FB66" s="73"/>
      <c r="FC66" s="70">
        <v>5.5252427130402681E-2</v>
      </c>
      <c r="FD66" s="70">
        <v>6.0122952867319057E-2</v>
      </c>
      <c r="FE66" s="70">
        <v>9.0574614283172039E-3</v>
      </c>
      <c r="FF66" s="70">
        <v>2.5976071619518759E-2</v>
      </c>
      <c r="FG66" s="73"/>
      <c r="FH66" s="70">
        <v>5.906480690432736E-2</v>
      </c>
      <c r="FI66" s="70">
        <v>4.573598707757065E-2</v>
      </c>
      <c r="FJ66" s="70">
        <v>1.5774001102204949E-2</v>
      </c>
      <c r="FK66" s="70">
        <v>2.5520297002872505E-2</v>
      </c>
      <c r="FL66" s="73"/>
      <c r="FM66" s="70" t="s">
        <v>2451</v>
      </c>
      <c r="FN66" s="70" t="s">
        <v>2451</v>
      </c>
      <c r="FO66" s="70" t="s">
        <v>2451</v>
      </c>
      <c r="FP66" s="70" t="s">
        <v>2451</v>
      </c>
      <c r="FQ66" s="73"/>
      <c r="FR66" s="70" t="s">
        <v>2451</v>
      </c>
      <c r="FS66" s="70" t="s">
        <v>2451</v>
      </c>
      <c r="FT66" s="70" t="s">
        <v>2451</v>
      </c>
      <c r="FU66" s="70" t="s">
        <v>2451</v>
      </c>
      <c r="FV66" s="73"/>
      <c r="FW66" s="70" t="s">
        <v>2451</v>
      </c>
      <c r="FX66" s="70" t="s">
        <v>2451</v>
      </c>
      <c r="FY66" s="70" t="s">
        <v>2451</v>
      </c>
      <c r="FZ66" s="70" t="s">
        <v>2451</v>
      </c>
      <c r="GA66" s="73"/>
    </row>
    <row r="67" spans="1:183" s="72" customFormat="1" ht="12.75" customHeight="1" outlineLevel="1">
      <c r="A67" s="54"/>
      <c r="B67" s="753"/>
      <c r="C67" s="69"/>
      <c r="D67" s="70"/>
      <c r="E67" s="70"/>
      <c r="F67" s="70"/>
      <c r="G67" s="70"/>
      <c r="H67" s="76"/>
      <c r="I67" s="70"/>
      <c r="J67" s="70"/>
      <c r="K67" s="70"/>
      <c r="L67" s="70"/>
      <c r="M67" s="76"/>
      <c r="N67" s="70"/>
      <c r="O67" s="70"/>
      <c r="P67" s="70"/>
      <c r="Q67" s="70"/>
      <c r="R67" s="76"/>
      <c r="S67" s="70"/>
      <c r="T67" s="70"/>
      <c r="U67" s="70"/>
      <c r="V67" s="70"/>
      <c r="W67" s="76"/>
      <c r="X67" s="70"/>
      <c r="Y67" s="70"/>
      <c r="Z67" s="70"/>
      <c r="AA67" s="70"/>
      <c r="AB67" s="76"/>
      <c r="AC67" s="70"/>
      <c r="AD67" s="70"/>
      <c r="AE67" s="70"/>
      <c r="AF67" s="70"/>
      <c r="AG67" s="76"/>
      <c r="AH67" s="70"/>
      <c r="AI67" s="70"/>
      <c r="AJ67" s="70"/>
      <c r="AK67" s="70"/>
      <c r="AL67" s="76"/>
      <c r="AM67" s="70"/>
      <c r="AN67" s="70"/>
      <c r="AO67" s="70"/>
      <c r="AP67" s="70"/>
      <c r="AQ67" s="76"/>
      <c r="AR67" s="70"/>
      <c r="AS67" s="70"/>
      <c r="AT67" s="70"/>
      <c r="AU67" s="70"/>
      <c r="AV67" s="76"/>
      <c r="AW67" s="70"/>
      <c r="AX67" s="70"/>
      <c r="AY67" s="70"/>
      <c r="AZ67" s="70"/>
      <c r="BA67" s="76"/>
      <c r="BB67" s="70"/>
      <c r="BC67" s="70"/>
      <c r="BD67" s="70"/>
      <c r="BE67" s="70"/>
      <c r="BF67" s="76"/>
      <c r="BG67" s="70"/>
      <c r="BH67" s="70"/>
      <c r="BI67" s="70"/>
      <c r="BJ67" s="70"/>
      <c r="BK67" s="76"/>
      <c r="BL67" s="70"/>
      <c r="BM67" s="70"/>
      <c r="BN67" s="70"/>
      <c r="BO67" s="70"/>
      <c r="BP67" s="76"/>
      <c r="BQ67" s="70"/>
      <c r="BR67" s="70"/>
      <c r="BS67" s="70"/>
      <c r="BT67" s="70"/>
      <c r="BU67" s="76"/>
      <c r="BV67" s="70"/>
      <c r="BW67" s="70"/>
      <c r="BX67" s="70"/>
      <c r="BY67" s="70"/>
      <c r="BZ67" s="76"/>
      <c r="CA67" s="70"/>
      <c r="CB67" s="70"/>
      <c r="CC67" s="70"/>
      <c r="CD67" s="70"/>
      <c r="CE67" s="76"/>
      <c r="CF67" s="70"/>
      <c r="CG67" s="70"/>
      <c r="CH67" s="70"/>
      <c r="CI67" s="70"/>
      <c r="CJ67" s="76"/>
      <c r="CK67" s="70"/>
      <c r="CL67" s="70"/>
      <c r="CM67" s="70"/>
      <c r="CN67" s="70"/>
      <c r="CO67" s="76"/>
      <c r="CP67" s="70"/>
      <c r="CQ67" s="70"/>
      <c r="CR67" s="70"/>
      <c r="CS67" s="70"/>
      <c r="CT67" s="76"/>
      <c r="CU67" s="70"/>
      <c r="CV67" s="70"/>
      <c r="CW67" s="70"/>
      <c r="CX67" s="70"/>
      <c r="CY67" s="76"/>
      <c r="CZ67" s="70"/>
      <c r="DA67" s="70"/>
      <c r="DB67" s="70"/>
      <c r="DC67" s="70"/>
      <c r="DD67" s="76"/>
      <c r="DE67" s="70"/>
      <c r="DF67" s="70"/>
      <c r="DG67" s="70"/>
      <c r="DH67" s="70"/>
      <c r="DI67" s="76"/>
      <c r="DJ67" s="70"/>
      <c r="DK67" s="70"/>
      <c r="DL67" s="70"/>
      <c r="DM67" s="70"/>
      <c r="DN67" s="76"/>
      <c r="DO67" s="70"/>
      <c r="DP67" s="70"/>
      <c r="DQ67" s="70"/>
      <c r="DR67" s="70"/>
      <c r="DS67" s="76"/>
      <c r="DT67" s="70"/>
      <c r="DU67" s="70"/>
      <c r="DV67" s="70"/>
      <c r="DW67" s="70"/>
      <c r="DX67" s="76"/>
      <c r="DY67" s="70"/>
      <c r="DZ67" s="70"/>
      <c r="EA67" s="70"/>
      <c r="EB67" s="70"/>
      <c r="EC67" s="76"/>
      <c r="ED67" s="70"/>
      <c r="EE67" s="70"/>
      <c r="EF67" s="70"/>
      <c r="EG67" s="70"/>
      <c r="EH67" s="76"/>
      <c r="EI67" s="70"/>
      <c r="EJ67" s="70"/>
      <c r="EK67" s="70"/>
      <c r="EL67" s="70"/>
      <c r="EM67" s="76"/>
      <c r="EN67" s="70"/>
      <c r="EO67" s="70"/>
      <c r="EP67" s="70"/>
      <c r="EQ67" s="70"/>
      <c r="ER67" s="76"/>
      <c r="ES67" s="70"/>
      <c r="ET67" s="70"/>
      <c r="EU67" s="70"/>
      <c r="EV67" s="70"/>
      <c r="EW67" s="76"/>
      <c r="EX67" s="70"/>
      <c r="EY67" s="70"/>
      <c r="EZ67" s="70"/>
      <c r="FA67" s="70"/>
      <c r="FB67" s="76"/>
      <c r="FC67" s="70"/>
      <c r="FD67" s="70"/>
      <c r="FE67" s="70"/>
      <c r="FF67" s="70"/>
      <c r="FG67" s="76"/>
      <c r="FH67" s="70"/>
      <c r="FI67" s="70"/>
      <c r="FJ67" s="70"/>
      <c r="FK67" s="70"/>
      <c r="FL67" s="76"/>
      <c r="FM67" s="70"/>
      <c r="FN67" s="70"/>
      <c r="FO67" s="70"/>
      <c r="FP67" s="70"/>
      <c r="FQ67" s="76"/>
      <c r="FR67" s="70"/>
      <c r="FS67" s="70"/>
      <c r="FT67" s="70"/>
      <c r="FU67" s="70"/>
      <c r="FV67" s="76"/>
      <c r="FW67" s="70"/>
      <c r="FX67" s="70"/>
      <c r="FY67" s="70"/>
      <c r="FZ67" s="70"/>
      <c r="GA67" s="76"/>
    </row>
    <row r="68" spans="1:183" s="67" customFormat="1" ht="12.75" customHeight="1" outlineLevel="1">
      <c r="A68" s="63" t="s">
        <v>319</v>
      </c>
      <c r="B68" s="1543" t="s">
        <v>1877</v>
      </c>
      <c r="C68" s="64"/>
      <c r="D68" s="65"/>
      <c r="E68" s="65"/>
      <c r="F68" s="65"/>
      <c r="G68" s="65"/>
      <c r="H68" s="66"/>
      <c r="I68" s="79"/>
      <c r="J68" s="79"/>
      <c r="K68" s="79"/>
      <c r="L68" s="79"/>
      <c r="M68" s="80"/>
      <c r="N68" s="79"/>
      <c r="O68" s="79"/>
      <c r="P68" s="79"/>
      <c r="Q68" s="79"/>
      <c r="R68" s="80"/>
      <c r="S68" s="79"/>
      <c r="T68" s="79"/>
      <c r="U68" s="79"/>
      <c r="V68" s="79"/>
      <c r="W68" s="80"/>
      <c r="X68" s="79"/>
      <c r="Y68" s="79"/>
      <c r="Z68" s="79"/>
      <c r="AA68" s="79"/>
      <c r="AB68" s="80"/>
      <c r="AC68" s="79"/>
      <c r="AD68" s="79"/>
      <c r="AE68" s="79"/>
      <c r="AF68" s="79"/>
      <c r="AG68" s="80"/>
      <c r="AH68" s="79"/>
      <c r="AI68" s="79"/>
      <c r="AJ68" s="79"/>
      <c r="AK68" s="79"/>
      <c r="AL68" s="80"/>
      <c r="AM68" s="79"/>
      <c r="AN68" s="79"/>
      <c r="AO68" s="79"/>
      <c r="AP68" s="79"/>
      <c r="AQ68" s="80"/>
      <c r="AR68" s="79"/>
      <c r="AS68" s="79"/>
      <c r="AT68" s="79"/>
      <c r="AU68" s="79"/>
      <c r="AV68" s="80"/>
      <c r="AW68" s="79"/>
      <c r="AX68" s="79"/>
      <c r="AY68" s="79"/>
      <c r="AZ68" s="79"/>
      <c r="BA68" s="80"/>
      <c r="BB68" s="79"/>
      <c r="BC68" s="79"/>
      <c r="BD68" s="79"/>
      <c r="BE68" s="79"/>
      <c r="BF68" s="80"/>
      <c r="BG68" s="79"/>
      <c r="BH68" s="79"/>
      <c r="BI68" s="79"/>
      <c r="BJ68" s="79"/>
      <c r="BK68" s="80"/>
      <c r="BL68" s="79"/>
      <c r="BM68" s="79"/>
      <c r="BN68" s="79"/>
      <c r="BO68" s="79"/>
      <c r="BP68" s="80"/>
      <c r="BQ68" s="79"/>
      <c r="BR68" s="79"/>
      <c r="BS68" s="79"/>
      <c r="BT68" s="79"/>
      <c r="BU68" s="80"/>
      <c r="BV68" s="79"/>
      <c r="BW68" s="79"/>
      <c r="BX68" s="79"/>
      <c r="BY68" s="79"/>
      <c r="BZ68" s="80"/>
      <c r="CA68" s="79"/>
      <c r="CB68" s="79"/>
      <c r="CC68" s="79"/>
      <c r="CD68" s="79"/>
      <c r="CE68" s="80"/>
      <c r="CF68" s="79"/>
      <c r="CG68" s="79"/>
      <c r="CH68" s="79"/>
      <c r="CI68" s="79"/>
      <c r="CJ68" s="80"/>
      <c r="CK68" s="79"/>
      <c r="CL68" s="79"/>
      <c r="CM68" s="79"/>
      <c r="CN68" s="79"/>
      <c r="CO68" s="80"/>
      <c r="CP68" s="79"/>
      <c r="CQ68" s="79"/>
      <c r="CR68" s="79"/>
      <c r="CS68" s="79"/>
      <c r="CT68" s="80"/>
      <c r="CU68" s="79"/>
      <c r="CV68" s="79"/>
      <c r="CW68" s="79"/>
      <c r="CX68" s="79"/>
      <c r="CY68" s="80"/>
      <c r="CZ68" s="79"/>
      <c r="DA68" s="79"/>
      <c r="DB68" s="79"/>
      <c r="DC68" s="79"/>
      <c r="DD68" s="80"/>
      <c r="DE68" s="79"/>
      <c r="DF68" s="79"/>
      <c r="DG68" s="79"/>
      <c r="DH68" s="79"/>
      <c r="DI68" s="80"/>
      <c r="DJ68" s="79"/>
      <c r="DK68" s="79"/>
      <c r="DL68" s="79"/>
      <c r="DM68" s="79"/>
      <c r="DN68" s="80"/>
      <c r="DO68" s="79"/>
      <c r="DP68" s="79"/>
      <c r="DQ68" s="79"/>
      <c r="DR68" s="79"/>
      <c r="DS68" s="80"/>
      <c r="DT68" s="79"/>
      <c r="DU68" s="79"/>
      <c r="DV68" s="79"/>
      <c r="DW68" s="79"/>
      <c r="DX68" s="80"/>
      <c r="DY68" s="79">
        <v>1.38</v>
      </c>
      <c r="DZ68" s="79">
        <v>1.51</v>
      </c>
      <c r="EA68" s="79">
        <v>1.4</v>
      </c>
      <c r="EB68" s="79">
        <v>1.46</v>
      </c>
      <c r="EC68" s="80">
        <v>5.76</v>
      </c>
      <c r="ED68" s="79">
        <v>1.82</v>
      </c>
      <c r="EE68" s="79">
        <v>2.0299999999999998</v>
      </c>
      <c r="EF68" s="79">
        <v>1.95</v>
      </c>
      <c r="EG68" s="79">
        <v>2.17</v>
      </c>
      <c r="EH68" s="80">
        <v>7.97</v>
      </c>
      <c r="EI68" s="79">
        <v>2.27</v>
      </c>
      <c r="EJ68" s="79">
        <v>2.48</v>
      </c>
      <c r="EK68" s="79">
        <v>2.2200000000000002</v>
      </c>
      <c r="EL68" s="79">
        <v>2.23</v>
      </c>
      <c r="EM68" s="80">
        <v>9.2100000000000009</v>
      </c>
      <c r="EN68" s="79">
        <v>2.35</v>
      </c>
      <c r="EO68" s="79">
        <v>2.3199999999999998</v>
      </c>
      <c r="EP68" s="79">
        <v>2.4500000000000002</v>
      </c>
      <c r="EQ68" s="79">
        <v>2.69</v>
      </c>
      <c r="ER68" s="80">
        <v>9.81</v>
      </c>
      <c r="ES68" s="79">
        <v>2.99</v>
      </c>
      <c r="ET68" s="79">
        <v>2.93</v>
      </c>
      <c r="EU68" s="79">
        <v>2.94</v>
      </c>
      <c r="EV68" s="79">
        <v>2.95</v>
      </c>
      <c r="EW68" s="80">
        <v>11.8</v>
      </c>
      <c r="EX68" s="79">
        <v>3.3</v>
      </c>
      <c r="EY68" s="79">
        <v>3.23</v>
      </c>
      <c r="EZ68" s="79">
        <v>3.46</v>
      </c>
      <c r="FA68" s="79">
        <v>3.3747098000000002</v>
      </c>
      <c r="FB68" s="80">
        <v>13.419155999999999</v>
      </c>
      <c r="FC68" s="79">
        <v>3.5600944000000001</v>
      </c>
      <c r="FD68" s="79">
        <v>3.7189700000000001</v>
      </c>
      <c r="FE68" s="79">
        <v>3.7858808000000002</v>
      </c>
      <c r="FF68" s="79">
        <v>3.9094346</v>
      </c>
      <c r="FG68" s="80">
        <v>15.211989000000001</v>
      </c>
      <c r="FH68" s="79">
        <v>4.1516580000000003</v>
      </c>
      <c r="FI68" s="79">
        <v>4.330387</v>
      </c>
      <c r="FJ68" s="79">
        <v>4.4194769999999997</v>
      </c>
      <c r="FK68" s="79">
        <v>4.5458635999999997</v>
      </c>
      <c r="FL68" s="80">
        <v>17.928650000000001</v>
      </c>
      <c r="FM68" s="79" t="s">
        <v>2451</v>
      </c>
      <c r="FN68" s="79" t="s">
        <v>2451</v>
      </c>
      <c r="FO68" s="79" t="s">
        <v>2451</v>
      </c>
      <c r="FP68" s="79" t="s">
        <v>2451</v>
      </c>
      <c r="FQ68" s="80">
        <v>21.073533999999999</v>
      </c>
      <c r="FR68" s="79" t="s">
        <v>2451</v>
      </c>
      <c r="FS68" s="79" t="s">
        <v>2451</v>
      </c>
      <c r="FT68" s="79" t="s">
        <v>2451</v>
      </c>
      <c r="FU68" s="79" t="s">
        <v>2451</v>
      </c>
      <c r="FV68" s="80">
        <v>24.42</v>
      </c>
      <c r="FW68" s="79" t="s">
        <v>2451</v>
      </c>
      <c r="FX68" s="79" t="s">
        <v>2451</v>
      </c>
      <c r="FY68" s="79" t="s">
        <v>2451</v>
      </c>
      <c r="FZ68" s="79" t="s">
        <v>2451</v>
      </c>
      <c r="GA68" s="80" t="s">
        <v>2451</v>
      </c>
    </row>
    <row r="69" spans="1:183" s="67" customFormat="1" ht="12.75" customHeight="1" outlineLevel="1">
      <c r="A69" s="81" t="s">
        <v>352</v>
      </c>
      <c r="B69" s="753" t="s">
        <v>34</v>
      </c>
      <c r="C69" s="69"/>
      <c r="D69" s="70"/>
      <c r="E69" s="70"/>
      <c r="F69" s="70"/>
      <c r="G69" s="70"/>
      <c r="H69" s="71"/>
      <c r="I69" s="70"/>
      <c r="J69" s="70"/>
      <c r="K69" s="70"/>
      <c r="L69" s="70"/>
      <c r="M69" s="71"/>
      <c r="N69" s="70"/>
      <c r="O69" s="70"/>
      <c r="P69" s="70"/>
      <c r="Q69" s="70"/>
      <c r="R69" s="71"/>
      <c r="S69" s="70"/>
      <c r="T69" s="70"/>
      <c r="U69" s="70"/>
      <c r="V69" s="70"/>
      <c r="W69" s="71"/>
      <c r="X69" s="70"/>
      <c r="Y69" s="70"/>
      <c r="Z69" s="70"/>
      <c r="AA69" s="70"/>
      <c r="AB69" s="71"/>
      <c r="AC69" s="70"/>
      <c r="AD69" s="70"/>
      <c r="AE69" s="70"/>
      <c r="AF69" s="70"/>
      <c r="AG69" s="71"/>
      <c r="AH69" s="70"/>
      <c r="AI69" s="70"/>
      <c r="AJ69" s="70"/>
      <c r="AK69" s="70"/>
      <c r="AL69" s="71"/>
      <c r="AM69" s="70"/>
      <c r="AN69" s="70"/>
      <c r="AO69" s="70"/>
      <c r="AP69" s="70"/>
      <c r="AQ69" s="71"/>
      <c r="AR69" s="70"/>
      <c r="AS69" s="70"/>
      <c r="AT69" s="70"/>
      <c r="AU69" s="70"/>
      <c r="AV69" s="71"/>
      <c r="AW69" s="70"/>
      <c r="AX69" s="70"/>
      <c r="AY69" s="70"/>
      <c r="AZ69" s="70"/>
      <c r="BA69" s="71"/>
      <c r="BB69" s="70"/>
      <c r="BC69" s="70"/>
      <c r="BD69" s="70"/>
      <c r="BE69" s="70"/>
      <c r="BF69" s="71"/>
      <c r="BG69" s="70"/>
      <c r="BH69" s="70"/>
      <c r="BI69" s="70"/>
      <c r="BJ69" s="70"/>
      <c r="BK69" s="71"/>
      <c r="BL69" s="70"/>
      <c r="BM69" s="70"/>
      <c r="BN69" s="70"/>
      <c r="BO69" s="70"/>
      <c r="BP69" s="71"/>
      <c r="BQ69" s="70"/>
      <c r="BR69" s="70"/>
      <c r="BS69" s="70"/>
      <c r="BT69" s="70"/>
      <c r="BU69" s="71"/>
      <c r="BV69" s="70"/>
      <c r="BW69" s="70"/>
      <c r="BX69" s="70"/>
      <c r="BY69" s="70"/>
      <c r="BZ69" s="71"/>
      <c r="CA69" s="70"/>
      <c r="CB69" s="70"/>
      <c r="CC69" s="70"/>
      <c r="CD69" s="70"/>
      <c r="CE69" s="71"/>
      <c r="CF69" s="70"/>
      <c r="CG69" s="70"/>
      <c r="CH69" s="70"/>
      <c r="CI69" s="70"/>
      <c r="CJ69" s="71"/>
      <c r="CK69" s="70"/>
      <c r="CL69" s="70"/>
      <c r="CM69" s="70"/>
      <c r="CN69" s="70"/>
      <c r="CO69" s="71"/>
      <c r="CP69" s="70"/>
      <c r="CQ69" s="70"/>
      <c r="CR69" s="70"/>
      <c r="CS69" s="70"/>
      <c r="CT69" s="71"/>
      <c r="CU69" s="70"/>
      <c r="CV69" s="70"/>
      <c r="CW69" s="70"/>
      <c r="CX69" s="70"/>
      <c r="CY69" s="71"/>
      <c r="CZ69" s="70"/>
      <c r="DA69" s="70"/>
      <c r="DB69" s="70"/>
      <c r="DC69" s="70"/>
      <c r="DD69" s="71"/>
      <c r="DE69" s="70"/>
      <c r="DF69" s="70"/>
      <c r="DG69" s="70"/>
      <c r="DH69" s="70"/>
      <c r="DI69" s="71"/>
      <c r="DJ69" s="70"/>
      <c r="DK69" s="70"/>
      <c r="DL69" s="70"/>
      <c r="DM69" s="70"/>
      <c r="DN69" s="71"/>
      <c r="DO69" s="70"/>
      <c r="DP69" s="70"/>
      <c r="DQ69" s="70"/>
      <c r="DR69" s="70"/>
      <c r="DS69" s="71"/>
      <c r="DT69" s="70"/>
      <c r="DU69" s="70"/>
      <c r="DV69" s="70"/>
      <c r="DW69" s="70"/>
      <c r="DX69" s="71"/>
      <c r="DY69" s="70" t="s">
        <v>2451</v>
      </c>
      <c r="DZ69" s="70" t="s">
        <v>2451</v>
      </c>
      <c r="EA69" s="70" t="s">
        <v>2451</v>
      </c>
      <c r="EB69" s="70" t="s">
        <v>2451</v>
      </c>
      <c r="EC69" s="71" t="s">
        <v>2451</v>
      </c>
      <c r="ED69" s="70">
        <v>0.31884057971014501</v>
      </c>
      <c r="EE69" s="70">
        <v>0.34437086092715208</v>
      </c>
      <c r="EF69" s="70">
        <v>0.39285714285714302</v>
      </c>
      <c r="EG69" s="70">
        <v>0.48630136986301364</v>
      </c>
      <c r="EH69" s="71">
        <v>0.38368055555555558</v>
      </c>
      <c r="EI69" s="70">
        <v>0.24725274725274726</v>
      </c>
      <c r="EJ69" s="70">
        <v>0.2216748768472907</v>
      </c>
      <c r="EK69" s="70">
        <v>0.13846153846153864</v>
      </c>
      <c r="EL69" s="70">
        <v>2.7649769585253559E-2</v>
      </c>
      <c r="EM69" s="71">
        <v>0.1555834378920955</v>
      </c>
      <c r="EN69" s="70">
        <v>3.524229074889873E-2</v>
      </c>
      <c r="EO69" s="70">
        <v>-6.4516129032258118E-2</v>
      </c>
      <c r="EP69" s="70">
        <v>0.10360360360360366</v>
      </c>
      <c r="EQ69" s="70">
        <v>0.20627802690582953</v>
      </c>
      <c r="ER69" s="71">
        <v>6.514657980456029E-2</v>
      </c>
      <c r="ES69" s="70">
        <v>0.27234042553191484</v>
      </c>
      <c r="ET69" s="70">
        <v>0.26293103448275867</v>
      </c>
      <c r="EU69" s="70">
        <v>0.19999999999999996</v>
      </c>
      <c r="EV69" s="70">
        <v>9.6654275092936892E-2</v>
      </c>
      <c r="EW69" s="71">
        <v>0.2028542303771661</v>
      </c>
      <c r="EX69" s="70">
        <v>0.10367892976588622</v>
      </c>
      <c r="EY69" s="70">
        <v>0.10238907849829348</v>
      </c>
      <c r="EZ69" s="70">
        <v>0.1768707482993197</v>
      </c>
      <c r="FA69" s="70">
        <v>0.14396942372881361</v>
      </c>
      <c r="FB69" s="71">
        <v>0.13721661016949138</v>
      </c>
      <c r="FC69" s="70">
        <v>7.8816484848484913E-2</v>
      </c>
      <c r="FD69" s="70">
        <v>0.1513839009287925</v>
      </c>
      <c r="FE69" s="70">
        <v>9.4185202312138783E-2</v>
      </c>
      <c r="FF69" s="70">
        <v>0.15845060218214901</v>
      </c>
      <c r="FG69" s="71">
        <v>0.13360251568727577</v>
      </c>
      <c r="FH69" s="70">
        <v>0.16616514438493546</v>
      </c>
      <c r="FI69" s="70">
        <v>0.16440492932182837</v>
      </c>
      <c r="FJ69" s="70">
        <v>0.16735767275081659</v>
      </c>
      <c r="FK69" s="70">
        <v>0.16279310568336403</v>
      </c>
      <c r="FL69" s="71">
        <v>0.17858683700073663</v>
      </c>
      <c r="FM69" s="70" t="s">
        <v>2451</v>
      </c>
      <c r="FN69" s="70" t="s">
        <v>2451</v>
      </c>
      <c r="FO69" s="70" t="s">
        <v>2451</v>
      </c>
      <c r="FP69" s="70" t="s">
        <v>2451</v>
      </c>
      <c r="FQ69" s="71">
        <v>0.17541108783985404</v>
      </c>
      <c r="FR69" s="70" t="s">
        <v>2451</v>
      </c>
      <c r="FS69" s="70" t="s">
        <v>2451</v>
      </c>
      <c r="FT69" s="70" t="s">
        <v>2451</v>
      </c>
      <c r="FU69" s="70" t="s">
        <v>2451</v>
      </c>
      <c r="FV69" s="71">
        <v>0.15879946856564264</v>
      </c>
      <c r="FW69" s="70" t="s">
        <v>2451</v>
      </c>
      <c r="FX69" s="70" t="s">
        <v>2451</v>
      </c>
      <c r="FY69" s="70" t="s">
        <v>2451</v>
      </c>
      <c r="FZ69" s="70" t="s">
        <v>2451</v>
      </c>
      <c r="GA69" s="71" t="s">
        <v>2451</v>
      </c>
    </row>
    <row r="70" spans="1:183" s="67" customFormat="1" ht="12.75" customHeight="1" outlineLevel="1">
      <c r="A70" s="68" t="s">
        <v>357</v>
      </c>
      <c r="B70" s="753" t="s">
        <v>36</v>
      </c>
      <c r="C70" s="69"/>
      <c r="D70" s="70"/>
      <c r="E70" s="70"/>
      <c r="F70" s="70"/>
      <c r="G70" s="70"/>
      <c r="H70" s="77"/>
      <c r="I70" s="70"/>
      <c r="J70" s="70"/>
      <c r="K70" s="70"/>
      <c r="L70" s="70"/>
      <c r="M70" s="73"/>
      <c r="N70" s="70"/>
      <c r="O70" s="70"/>
      <c r="P70" s="70"/>
      <c r="Q70" s="70"/>
      <c r="R70" s="73"/>
      <c r="S70" s="70"/>
      <c r="T70" s="70"/>
      <c r="U70" s="70"/>
      <c r="V70" s="70"/>
      <c r="W70" s="73"/>
      <c r="X70" s="70"/>
      <c r="Y70" s="70"/>
      <c r="Z70" s="70"/>
      <c r="AA70" s="70"/>
      <c r="AB70" s="73"/>
      <c r="AC70" s="70"/>
      <c r="AD70" s="70"/>
      <c r="AE70" s="70"/>
      <c r="AF70" s="70"/>
      <c r="AG70" s="73"/>
      <c r="AH70" s="70"/>
      <c r="AI70" s="70"/>
      <c r="AJ70" s="70"/>
      <c r="AK70" s="70"/>
      <c r="AL70" s="73"/>
      <c r="AM70" s="70"/>
      <c r="AN70" s="70"/>
      <c r="AO70" s="70"/>
      <c r="AP70" s="70"/>
      <c r="AQ70" s="73"/>
      <c r="AR70" s="70"/>
      <c r="AS70" s="70"/>
      <c r="AT70" s="70"/>
      <c r="AU70" s="70"/>
      <c r="AV70" s="73"/>
      <c r="AW70" s="70"/>
      <c r="AX70" s="70"/>
      <c r="AY70" s="70"/>
      <c r="AZ70" s="70"/>
      <c r="BA70" s="73"/>
      <c r="BB70" s="70"/>
      <c r="BC70" s="70"/>
      <c r="BD70" s="70"/>
      <c r="BE70" s="70"/>
      <c r="BF70" s="73"/>
      <c r="BG70" s="70"/>
      <c r="BH70" s="70"/>
      <c r="BI70" s="70"/>
      <c r="BJ70" s="70"/>
      <c r="BK70" s="73"/>
      <c r="BL70" s="70"/>
      <c r="BM70" s="70"/>
      <c r="BN70" s="70"/>
      <c r="BO70" s="70"/>
      <c r="BP70" s="73"/>
      <c r="BQ70" s="70"/>
      <c r="BR70" s="70"/>
      <c r="BS70" s="70"/>
      <c r="BT70" s="70"/>
      <c r="BU70" s="73"/>
      <c r="BV70" s="70"/>
      <c r="BW70" s="70"/>
      <c r="BX70" s="70"/>
      <c r="BY70" s="70"/>
      <c r="BZ70" s="73"/>
      <c r="CA70" s="70"/>
      <c r="CB70" s="70"/>
      <c r="CC70" s="70"/>
      <c r="CD70" s="70"/>
      <c r="CE70" s="73"/>
      <c r="CF70" s="70"/>
      <c r="CG70" s="70"/>
      <c r="CH70" s="70"/>
      <c r="CI70" s="70"/>
      <c r="CJ70" s="73"/>
      <c r="CK70" s="70"/>
      <c r="CL70" s="70"/>
      <c r="CM70" s="70"/>
      <c r="CN70" s="70"/>
      <c r="CO70" s="73"/>
      <c r="CP70" s="70"/>
      <c r="CQ70" s="70"/>
      <c r="CR70" s="70"/>
      <c r="CS70" s="70"/>
      <c r="CT70" s="73"/>
      <c r="CU70" s="70"/>
      <c r="CV70" s="70"/>
      <c r="CW70" s="70"/>
      <c r="CX70" s="70"/>
      <c r="CY70" s="73"/>
      <c r="CZ70" s="70"/>
      <c r="DA70" s="70"/>
      <c r="DB70" s="70"/>
      <c r="DC70" s="70"/>
      <c r="DD70" s="73"/>
      <c r="DE70" s="70"/>
      <c r="DF70" s="70"/>
      <c r="DG70" s="70"/>
      <c r="DH70" s="70"/>
      <c r="DI70" s="73"/>
      <c r="DJ70" s="70"/>
      <c r="DK70" s="70"/>
      <c r="DL70" s="70"/>
      <c r="DM70" s="70"/>
      <c r="DN70" s="73"/>
      <c r="DO70" s="70"/>
      <c r="DP70" s="70"/>
      <c r="DQ70" s="70"/>
      <c r="DR70" s="70"/>
      <c r="DS70" s="73"/>
      <c r="DT70" s="70"/>
      <c r="DU70" s="70"/>
      <c r="DV70" s="70"/>
      <c r="DW70" s="70"/>
      <c r="DX70" s="73"/>
      <c r="DY70" s="70" t="s">
        <v>2451</v>
      </c>
      <c r="DZ70" s="70">
        <v>9.4202898550724834E-2</v>
      </c>
      <c r="EA70" s="70">
        <v>-7.2847682119205337E-2</v>
      </c>
      <c r="EB70" s="70">
        <v>4.2857142857142927E-2</v>
      </c>
      <c r="EC70" s="73"/>
      <c r="ED70" s="70">
        <v>0.24657534246575352</v>
      </c>
      <c r="EE70" s="70">
        <v>0.1153846153846152</v>
      </c>
      <c r="EF70" s="70">
        <v>-3.9408866995073843E-2</v>
      </c>
      <c r="EG70" s="70">
        <v>0.11282051282051286</v>
      </c>
      <c r="EH70" s="73"/>
      <c r="EI70" s="70">
        <v>4.6082949308755783E-2</v>
      </c>
      <c r="EJ70" s="70">
        <v>9.2511013215859084E-2</v>
      </c>
      <c r="EK70" s="70">
        <v>-0.10483870967741926</v>
      </c>
      <c r="EL70" s="70">
        <v>4.5045045045044585E-3</v>
      </c>
      <c r="EM70" s="73"/>
      <c r="EN70" s="70">
        <v>5.3811659192825267E-2</v>
      </c>
      <c r="EO70" s="70">
        <v>-1.276595744680864E-2</v>
      </c>
      <c r="EP70" s="70">
        <v>5.6034482758620774E-2</v>
      </c>
      <c r="EQ70" s="70">
        <v>9.795918367346923E-2</v>
      </c>
      <c r="ER70" s="73"/>
      <c r="ES70" s="70">
        <v>0.11152416356877337</v>
      </c>
      <c r="ET70" s="70">
        <v>-2.006688963210701E-2</v>
      </c>
      <c r="EU70" s="70">
        <v>3.4129692832762792E-3</v>
      </c>
      <c r="EV70" s="70">
        <v>3.4013605442178019E-3</v>
      </c>
      <c r="EW70" s="73"/>
      <c r="EX70" s="70">
        <v>0.11864406779661008</v>
      </c>
      <c r="EY70" s="70">
        <v>-2.1212121212121127E-2</v>
      </c>
      <c r="EZ70" s="70">
        <v>7.120743034055721E-2</v>
      </c>
      <c r="FA70" s="70">
        <v>-2.4650346820809133E-2</v>
      </c>
      <c r="FB70" s="73"/>
      <c r="FC70" s="70">
        <v>5.4933493837010738E-2</v>
      </c>
      <c r="FD70" s="70">
        <v>4.4626794165907535E-2</v>
      </c>
      <c r="FE70" s="70">
        <v>1.7991755781842755E-2</v>
      </c>
      <c r="FF70" s="70">
        <v>3.263541736443476E-2</v>
      </c>
      <c r="FG70" s="73"/>
      <c r="FH70" s="70">
        <v>6.1958678116779353E-2</v>
      </c>
      <c r="FI70" s="70">
        <v>4.3050029650804511E-2</v>
      </c>
      <c r="FJ70" s="70">
        <v>2.0573218975578733E-2</v>
      </c>
      <c r="FK70" s="70">
        <v>2.8597637231735806E-2</v>
      </c>
      <c r="FL70" s="73"/>
      <c r="FM70" s="70" t="s">
        <v>2451</v>
      </c>
      <c r="FN70" s="70" t="s">
        <v>2451</v>
      </c>
      <c r="FO70" s="70" t="s">
        <v>2451</v>
      </c>
      <c r="FP70" s="70" t="s">
        <v>2451</v>
      </c>
      <c r="FQ70" s="73"/>
      <c r="FR70" s="70" t="s">
        <v>2451</v>
      </c>
      <c r="FS70" s="70" t="s">
        <v>2451</v>
      </c>
      <c r="FT70" s="70" t="s">
        <v>2451</v>
      </c>
      <c r="FU70" s="70" t="s">
        <v>2451</v>
      </c>
      <c r="FV70" s="73"/>
      <c r="FW70" s="70" t="s">
        <v>2451</v>
      </c>
      <c r="FX70" s="70" t="s">
        <v>2451</v>
      </c>
      <c r="FY70" s="70" t="s">
        <v>2451</v>
      </c>
      <c r="FZ70" s="70" t="s">
        <v>2451</v>
      </c>
      <c r="GA70" s="73"/>
    </row>
    <row r="71" spans="1:183" s="72" customFormat="1" ht="12.75" customHeight="1">
      <c r="A71" s="82"/>
      <c r="B71" s="753"/>
      <c r="C71" s="69"/>
      <c r="D71" s="70"/>
      <c r="E71" s="70"/>
      <c r="F71" s="70"/>
      <c r="G71" s="70"/>
      <c r="H71" s="71"/>
      <c r="I71" s="70"/>
      <c r="J71" s="70"/>
      <c r="K71" s="70"/>
      <c r="L71" s="70"/>
      <c r="M71" s="71"/>
      <c r="N71" s="70"/>
      <c r="O71" s="70"/>
      <c r="P71" s="70"/>
      <c r="Q71" s="70"/>
      <c r="R71" s="71"/>
      <c r="S71" s="70"/>
      <c r="T71" s="70"/>
      <c r="U71" s="70"/>
      <c r="V71" s="70"/>
      <c r="W71" s="71"/>
      <c r="X71" s="70"/>
      <c r="Y71" s="70"/>
      <c r="Z71" s="70"/>
      <c r="AA71" s="70"/>
      <c r="AB71" s="71"/>
      <c r="AC71" s="70"/>
      <c r="AD71" s="70"/>
      <c r="AE71" s="70"/>
      <c r="AF71" s="70"/>
      <c r="AG71" s="71"/>
      <c r="AH71" s="70"/>
      <c r="AI71" s="70"/>
      <c r="AJ71" s="70"/>
      <c r="AK71" s="70"/>
      <c r="AL71" s="71"/>
      <c r="AM71" s="70"/>
      <c r="AN71" s="70"/>
      <c r="AO71" s="70"/>
      <c r="AP71" s="70"/>
      <c r="AQ71" s="71"/>
      <c r="AR71" s="70"/>
      <c r="AS71" s="70"/>
      <c r="AT71" s="70"/>
      <c r="AU71" s="70"/>
      <c r="AV71" s="71"/>
      <c r="AW71" s="70"/>
      <c r="AX71" s="70"/>
      <c r="AY71" s="70"/>
      <c r="AZ71" s="70"/>
      <c r="BA71" s="71"/>
      <c r="BB71" s="70"/>
      <c r="BC71" s="70"/>
      <c r="BD71" s="70"/>
      <c r="BE71" s="70"/>
      <c r="BF71" s="71"/>
      <c r="BG71" s="70"/>
      <c r="BH71" s="70"/>
      <c r="BI71" s="70"/>
      <c r="BJ71" s="70"/>
      <c r="BK71" s="71"/>
      <c r="BL71" s="70"/>
      <c r="BM71" s="70"/>
      <c r="BN71" s="70"/>
      <c r="BO71" s="70"/>
      <c r="BP71" s="71"/>
      <c r="BQ71" s="70"/>
      <c r="BR71" s="70"/>
      <c r="BS71" s="70"/>
      <c r="BT71" s="70"/>
      <c r="BU71" s="71"/>
      <c r="BV71" s="70"/>
      <c r="BW71" s="70"/>
      <c r="BX71" s="70"/>
      <c r="BY71" s="70"/>
      <c r="BZ71" s="71"/>
      <c r="CA71" s="70"/>
      <c r="CB71" s="70"/>
      <c r="CC71" s="70"/>
      <c r="CD71" s="70"/>
      <c r="CE71" s="71"/>
      <c r="CF71" s="70"/>
      <c r="CG71" s="70"/>
      <c r="CH71" s="70"/>
      <c r="CI71" s="70"/>
      <c r="CJ71" s="71"/>
      <c r="CK71" s="70"/>
      <c r="CL71" s="70"/>
      <c r="CM71" s="70"/>
      <c r="CN71" s="70"/>
      <c r="CO71" s="71"/>
      <c r="CP71" s="70"/>
      <c r="CQ71" s="70"/>
      <c r="CR71" s="70"/>
      <c r="CS71" s="70"/>
      <c r="CT71" s="71"/>
      <c r="CU71" s="70"/>
      <c r="CV71" s="70"/>
      <c r="CW71" s="70"/>
      <c r="CX71" s="70"/>
      <c r="CY71" s="71"/>
      <c r="CZ71" s="70"/>
      <c r="DA71" s="70"/>
      <c r="DB71" s="70"/>
      <c r="DC71" s="70"/>
      <c r="DD71" s="71"/>
      <c r="DE71" s="70"/>
      <c r="DF71" s="70"/>
      <c r="DG71" s="70"/>
      <c r="DH71" s="70"/>
      <c r="DI71" s="71"/>
      <c r="DJ71" s="70"/>
      <c r="DK71" s="70"/>
      <c r="DL71" s="70"/>
      <c r="DM71" s="70"/>
      <c r="DN71" s="71"/>
      <c r="DO71" s="70"/>
      <c r="DP71" s="70"/>
      <c r="DQ71" s="70"/>
      <c r="DR71" s="70"/>
      <c r="DS71" s="71"/>
      <c r="DT71" s="70"/>
      <c r="DU71" s="70"/>
      <c r="DV71" s="70"/>
      <c r="DW71" s="70"/>
      <c r="DX71" s="71"/>
      <c r="DY71" s="70"/>
      <c r="DZ71" s="70"/>
      <c r="EA71" s="70"/>
      <c r="EB71" s="70"/>
      <c r="EC71" s="71"/>
      <c r="ED71" s="70"/>
      <c r="EE71" s="70"/>
      <c r="EF71" s="70"/>
      <c r="EG71" s="70"/>
      <c r="EH71" s="71"/>
      <c r="EI71" s="70"/>
      <c r="EJ71" s="70"/>
      <c r="EK71" s="70"/>
      <c r="EL71" s="70"/>
      <c r="EM71" s="71"/>
      <c r="EN71" s="70"/>
      <c r="EO71" s="70"/>
      <c r="EP71" s="70"/>
      <c r="EQ71" s="70"/>
      <c r="ER71" s="71"/>
      <c r="ES71" s="70"/>
      <c r="ET71" s="70"/>
      <c r="EU71" s="70"/>
      <c r="EV71" s="70"/>
      <c r="EW71" s="71"/>
      <c r="EX71" s="70"/>
      <c r="EY71" s="70"/>
      <c r="EZ71" s="70"/>
      <c r="FA71" s="70"/>
      <c r="FB71" s="71"/>
      <c r="FC71" s="70"/>
      <c r="FD71" s="70"/>
      <c r="FE71" s="70"/>
      <c r="FF71" s="70"/>
      <c r="FG71" s="71"/>
      <c r="FH71" s="70"/>
      <c r="FI71" s="70"/>
      <c r="FJ71" s="70"/>
      <c r="FK71" s="70"/>
      <c r="FL71" s="71"/>
      <c r="FM71" s="70"/>
      <c r="FN71" s="70"/>
      <c r="FO71" s="70"/>
      <c r="FP71" s="70"/>
      <c r="FQ71" s="71"/>
      <c r="FR71" s="70"/>
      <c r="FS71" s="70"/>
      <c r="FT71" s="70"/>
      <c r="FU71" s="70"/>
      <c r="FV71" s="71"/>
      <c r="FW71" s="70"/>
      <c r="FX71" s="70"/>
      <c r="FY71" s="70"/>
      <c r="FZ71" s="70"/>
      <c r="GA71" s="71"/>
    </row>
    <row r="72" spans="1:183" s="72" customFormat="1" ht="12.75" customHeight="1">
      <c r="A72" s="54"/>
      <c r="B72" s="1535" t="s">
        <v>43</v>
      </c>
      <c r="C72" s="69"/>
      <c r="D72" s="70"/>
      <c r="E72" s="70"/>
      <c r="F72" s="70"/>
      <c r="G72" s="70"/>
      <c r="H72" s="71"/>
      <c r="I72" s="70"/>
      <c r="J72" s="70"/>
      <c r="K72" s="70"/>
      <c r="L72" s="70"/>
      <c r="M72" s="71"/>
      <c r="N72" s="70"/>
      <c r="O72" s="70"/>
      <c r="P72" s="70"/>
      <c r="Q72" s="70"/>
      <c r="R72" s="71"/>
      <c r="S72" s="70"/>
      <c r="T72" s="70"/>
      <c r="U72" s="70"/>
      <c r="V72" s="70"/>
      <c r="W72" s="71"/>
      <c r="X72" s="70"/>
      <c r="Y72" s="70"/>
      <c r="Z72" s="70"/>
      <c r="AA72" s="70"/>
      <c r="AB72" s="71"/>
      <c r="AC72" s="70"/>
      <c r="AD72" s="70"/>
      <c r="AE72" s="70"/>
      <c r="AF72" s="70"/>
      <c r="AG72" s="71"/>
      <c r="AH72" s="70"/>
      <c r="AI72" s="70"/>
      <c r="AJ72" s="70"/>
      <c r="AK72" s="70"/>
      <c r="AL72" s="71"/>
      <c r="AM72" s="70"/>
      <c r="AN72" s="70"/>
      <c r="AO72" s="70"/>
      <c r="AP72" s="70"/>
      <c r="AQ72" s="71"/>
      <c r="AR72" s="70"/>
      <c r="AS72" s="70"/>
      <c r="AT72" s="70"/>
      <c r="AU72" s="70"/>
      <c r="AV72" s="71"/>
      <c r="AW72" s="70"/>
      <c r="AX72" s="70"/>
      <c r="AY72" s="70"/>
      <c r="AZ72" s="70"/>
      <c r="BA72" s="71"/>
      <c r="BB72" s="70"/>
      <c r="BC72" s="70"/>
      <c r="BD72" s="70"/>
      <c r="BE72" s="70"/>
      <c r="BF72" s="71"/>
      <c r="BG72" s="70"/>
      <c r="BH72" s="70"/>
      <c r="BI72" s="70"/>
      <c r="BJ72" s="70"/>
      <c r="BK72" s="71"/>
      <c r="BL72" s="70"/>
      <c r="BM72" s="70"/>
      <c r="BN72" s="70"/>
      <c r="BO72" s="70"/>
      <c r="BP72" s="71"/>
      <c r="BQ72" s="70"/>
      <c r="BR72" s="70"/>
      <c r="BS72" s="70"/>
      <c r="BT72" s="70"/>
      <c r="BU72" s="71"/>
      <c r="BV72" s="70"/>
      <c r="BW72" s="70"/>
      <c r="BX72" s="70"/>
      <c r="BY72" s="70"/>
      <c r="BZ72" s="71"/>
      <c r="CA72" s="70"/>
      <c r="CB72" s="70"/>
      <c r="CC72" s="70"/>
      <c r="CD72" s="70"/>
      <c r="CE72" s="71"/>
      <c r="CF72" s="70"/>
      <c r="CG72" s="70"/>
      <c r="CH72" s="70"/>
      <c r="CI72" s="70"/>
      <c r="CJ72" s="71"/>
      <c r="CK72" s="70"/>
      <c r="CL72" s="70"/>
      <c r="CM72" s="70"/>
      <c r="CN72" s="70"/>
      <c r="CO72" s="71"/>
      <c r="CP72" s="70"/>
      <c r="CQ72" s="70"/>
      <c r="CR72" s="70"/>
      <c r="CS72" s="70"/>
      <c r="CT72" s="71"/>
      <c r="CU72" s="70"/>
      <c r="CV72" s="70"/>
      <c r="CW72" s="70"/>
      <c r="CX72" s="70"/>
      <c r="CY72" s="71"/>
      <c r="CZ72" s="70"/>
      <c r="DA72" s="70"/>
      <c r="DB72" s="70"/>
      <c r="DC72" s="70"/>
      <c r="DD72" s="71"/>
      <c r="DE72" s="70"/>
      <c r="DF72" s="70"/>
      <c r="DG72" s="70"/>
      <c r="DH72" s="70"/>
      <c r="DI72" s="71"/>
      <c r="DJ72" s="70"/>
      <c r="DK72" s="70"/>
      <c r="DL72" s="70"/>
      <c r="DM72" s="70"/>
      <c r="DN72" s="71"/>
      <c r="DO72" s="70"/>
      <c r="DP72" s="70"/>
      <c r="DQ72" s="70"/>
      <c r="DR72" s="70"/>
      <c r="DS72" s="71"/>
      <c r="DT72" s="70"/>
      <c r="DU72" s="70"/>
      <c r="DV72" s="70"/>
      <c r="DW72" s="70"/>
      <c r="DX72" s="71"/>
      <c r="DY72" s="70"/>
      <c r="DZ72" s="70"/>
      <c r="EA72" s="70"/>
      <c r="EB72" s="70"/>
      <c r="EC72" s="71"/>
      <c r="ED72" s="70"/>
      <c r="EE72" s="70"/>
      <c r="EF72" s="70"/>
      <c r="EG72" s="70"/>
      <c r="EH72" s="71"/>
      <c r="EI72" s="70"/>
      <c r="EJ72" s="70"/>
      <c r="EK72" s="70"/>
      <c r="EL72" s="70"/>
      <c r="EM72" s="71"/>
      <c r="EN72" s="70"/>
      <c r="EO72" s="70"/>
      <c r="EP72" s="70"/>
      <c r="EQ72" s="70"/>
      <c r="ER72" s="71"/>
      <c r="ES72" s="70"/>
      <c r="ET72" s="70"/>
      <c r="EU72" s="70"/>
      <c r="EV72" s="70"/>
      <c r="EW72" s="71"/>
      <c r="EX72" s="70"/>
      <c r="EY72" s="70"/>
      <c r="EZ72" s="70"/>
      <c r="FA72" s="70"/>
      <c r="FB72" s="71"/>
      <c r="FC72" s="70"/>
      <c r="FD72" s="70"/>
      <c r="FE72" s="70"/>
      <c r="FF72" s="70"/>
      <c r="FG72" s="71"/>
      <c r="FH72" s="70"/>
      <c r="FI72" s="70"/>
      <c r="FJ72" s="70"/>
      <c r="FK72" s="70"/>
      <c r="FL72" s="71"/>
      <c r="FM72" s="70"/>
      <c r="FN72" s="70"/>
      <c r="FO72" s="70"/>
      <c r="FP72" s="70"/>
      <c r="FQ72" s="71"/>
      <c r="FR72" s="70"/>
      <c r="FS72" s="70"/>
      <c r="FT72" s="70"/>
      <c r="FU72" s="70"/>
      <c r="FV72" s="71"/>
      <c r="FW72" s="70"/>
      <c r="FX72" s="70"/>
      <c r="FY72" s="70"/>
      <c r="FZ72" s="70"/>
      <c r="GA72" s="71"/>
    </row>
    <row r="73" spans="1:183" s="1558" customFormat="1" ht="12.75" customHeight="1" outlineLevel="1">
      <c r="A73" s="1401" t="s">
        <v>44</v>
      </c>
      <c r="B73" s="1549" t="s">
        <v>45</v>
      </c>
      <c r="C73" s="1555"/>
      <c r="D73" s="1556"/>
      <c r="E73" s="1556"/>
      <c r="F73" s="1556"/>
      <c r="G73" s="1556"/>
      <c r="H73" s="1557"/>
      <c r="I73" s="1556"/>
      <c r="J73" s="1556"/>
      <c r="K73" s="1556"/>
      <c r="L73" s="1556"/>
      <c r="M73" s="1557"/>
      <c r="N73" s="1556"/>
      <c r="O73" s="1556"/>
      <c r="P73" s="1556"/>
      <c r="Q73" s="1556"/>
      <c r="R73" s="1557"/>
      <c r="S73" s="1556"/>
      <c r="T73" s="1556"/>
      <c r="U73" s="1556"/>
      <c r="V73" s="1556"/>
      <c r="W73" s="1557"/>
      <c r="X73" s="1556"/>
      <c r="Y73" s="1556"/>
      <c r="Z73" s="1556"/>
      <c r="AA73" s="1556"/>
      <c r="AB73" s="1557"/>
      <c r="AC73" s="1556"/>
      <c r="AD73" s="1556"/>
      <c r="AE73" s="1556"/>
      <c r="AF73" s="1556"/>
      <c r="AG73" s="1557"/>
      <c r="AH73" s="1556"/>
      <c r="AI73" s="1556"/>
      <c r="AJ73" s="1556"/>
      <c r="AK73" s="1556"/>
      <c r="AL73" s="1557"/>
      <c r="AM73" s="1556"/>
      <c r="AN73" s="1556"/>
      <c r="AO73" s="1556"/>
      <c r="AP73" s="1556"/>
      <c r="AQ73" s="1557"/>
      <c r="AR73" s="1556"/>
      <c r="AS73" s="1556"/>
      <c r="AT73" s="1556"/>
      <c r="AU73" s="1556"/>
      <c r="AV73" s="1557"/>
      <c r="AW73" s="1556"/>
      <c r="AX73" s="1556"/>
      <c r="AY73" s="1556"/>
      <c r="AZ73" s="1556"/>
      <c r="BA73" s="1557"/>
      <c r="BB73" s="1556"/>
      <c r="BC73" s="1556"/>
      <c r="BD73" s="1556"/>
      <c r="BE73" s="1556"/>
      <c r="BF73" s="1557"/>
      <c r="BG73" s="1556"/>
      <c r="BH73" s="1556"/>
      <c r="BI73" s="1556"/>
      <c r="BJ73" s="1556"/>
      <c r="BK73" s="1557"/>
      <c r="BL73" s="1556"/>
      <c r="BM73" s="1556"/>
      <c r="BN73" s="1556"/>
      <c r="BO73" s="1556"/>
      <c r="BP73" s="1557"/>
      <c r="BQ73" s="1556"/>
      <c r="BR73" s="1556"/>
      <c r="BS73" s="1556"/>
      <c r="BT73" s="1556"/>
      <c r="BU73" s="1557"/>
      <c r="BV73" s="1556"/>
      <c r="BW73" s="1556"/>
      <c r="BX73" s="1556"/>
      <c r="BY73" s="1556"/>
      <c r="BZ73" s="1557"/>
      <c r="CA73" s="1556"/>
      <c r="CB73" s="1556"/>
      <c r="CC73" s="1556"/>
      <c r="CD73" s="1556"/>
      <c r="CE73" s="1557"/>
      <c r="CF73" s="1556"/>
      <c r="CG73" s="1556"/>
      <c r="CH73" s="1556"/>
      <c r="CI73" s="1556"/>
      <c r="CJ73" s="1557"/>
      <c r="CK73" s="1556"/>
      <c r="CL73" s="1556"/>
      <c r="CM73" s="1556"/>
      <c r="CN73" s="1556"/>
      <c r="CO73" s="1557"/>
      <c r="CP73" s="1556"/>
      <c r="CQ73" s="1556"/>
      <c r="CR73" s="1556"/>
      <c r="CS73" s="1556"/>
      <c r="CT73" s="1557"/>
      <c r="CU73" s="1556"/>
      <c r="CV73" s="1556"/>
      <c r="CW73" s="1556"/>
      <c r="CX73" s="1556"/>
      <c r="CY73" s="1557"/>
      <c r="CZ73" s="1556"/>
      <c r="DA73" s="1556"/>
      <c r="DB73" s="1556"/>
      <c r="DC73" s="1556"/>
      <c r="DD73" s="1557"/>
      <c r="DE73" s="1556"/>
      <c r="DF73" s="1556"/>
      <c r="DG73" s="1556"/>
      <c r="DH73" s="1556"/>
      <c r="DI73" s="1557"/>
      <c r="DJ73" s="1556"/>
      <c r="DK73" s="1556"/>
      <c r="DL73" s="1556"/>
      <c r="DM73" s="1556"/>
      <c r="DN73" s="1557"/>
      <c r="DO73" s="1556"/>
      <c r="DP73" s="1556"/>
      <c r="DQ73" s="1556"/>
      <c r="DR73" s="1556"/>
      <c r="DS73" s="1557"/>
      <c r="DT73" s="1556"/>
      <c r="DU73" s="1556"/>
      <c r="DV73" s="1556"/>
      <c r="DW73" s="1556"/>
      <c r="DX73" s="1557"/>
      <c r="DY73" s="1556">
        <v>13818</v>
      </c>
      <c r="DZ73" s="1556">
        <v>10680</v>
      </c>
      <c r="EA73" s="1556">
        <v>17507.223000000002</v>
      </c>
      <c r="EB73" s="1556">
        <v>18673</v>
      </c>
      <c r="EC73" s="1557">
        <v>60473.91</v>
      </c>
      <c r="ED73" s="1556">
        <v>19151.900000000001</v>
      </c>
      <c r="EE73" s="1556">
        <v>12516</v>
      </c>
      <c r="EF73" s="1556">
        <v>21909</v>
      </c>
      <c r="EG73" s="1556">
        <v>22710</v>
      </c>
      <c r="EH73" s="1557">
        <v>77615.55</v>
      </c>
      <c r="EI73" s="1556">
        <v>24540</v>
      </c>
      <c r="EJ73" s="1556">
        <v>14480</v>
      </c>
      <c r="EK73" s="1556">
        <v>25386</v>
      </c>
      <c r="EL73" s="1556">
        <v>24629</v>
      </c>
      <c r="EM73" s="1557">
        <v>89044.74</v>
      </c>
      <c r="EN73" s="1556">
        <v>23330.53</v>
      </c>
      <c r="EO73" s="1556">
        <v>11172.8</v>
      </c>
      <c r="EP73" s="1556">
        <v>24325.75</v>
      </c>
      <c r="EQ73" s="1556">
        <v>28504.812999999998</v>
      </c>
      <c r="ER73" s="1557">
        <v>87714</v>
      </c>
      <c r="ES73" s="1556">
        <v>30578.588</v>
      </c>
      <c r="ET73" s="1556">
        <v>18855.445</v>
      </c>
      <c r="EU73" s="1556">
        <v>31917.175999999999</v>
      </c>
      <c r="EV73" s="1556">
        <v>37195.355000000003</v>
      </c>
      <c r="EW73" s="1557">
        <v>119091</v>
      </c>
      <c r="EX73" s="1556">
        <v>34180</v>
      </c>
      <c r="EY73" s="1556">
        <v>22290.937999999998</v>
      </c>
      <c r="EZ73" s="1556">
        <v>37043.733999999997</v>
      </c>
      <c r="FA73" s="1556">
        <v>38300.245999999999</v>
      </c>
      <c r="FB73" s="1557">
        <v>133119.89000000001</v>
      </c>
      <c r="FC73" s="1556">
        <v>41894.400000000001</v>
      </c>
      <c r="FD73" s="1556">
        <v>26900.690999999999</v>
      </c>
      <c r="FE73" s="1556">
        <v>39161.476999999999</v>
      </c>
      <c r="FF73" s="1556">
        <v>43318.722999999998</v>
      </c>
      <c r="FG73" s="1557">
        <v>152835.13</v>
      </c>
      <c r="FH73" s="1556">
        <v>47123</v>
      </c>
      <c r="FI73" s="1556">
        <v>31122.666000000001</v>
      </c>
      <c r="FJ73" s="1556">
        <v>45014.667999999998</v>
      </c>
      <c r="FK73" s="1556">
        <v>49788</v>
      </c>
      <c r="FL73" s="1557">
        <v>177910.64</v>
      </c>
      <c r="FM73" s="1556" t="s">
        <v>2451</v>
      </c>
      <c r="FN73" s="1556" t="s">
        <v>2451</v>
      </c>
      <c r="FO73" s="1556" t="s">
        <v>2451</v>
      </c>
      <c r="FP73" s="1556" t="s">
        <v>2451</v>
      </c>
      <c r="FQ73" s="1557">
        <v>232022.33</v>
      </c>
      <c r="FR73" s="1556" t="s">
        <v>2451</v>
      </c>
      <c r="FS73" s="1556" t="s">
        <v>2451</v>
      </c>
      <c r="FT73" s="1556" t="s">
        <v>2451</v>
      </c>
      <c r="FU73" s="1556" t="s">
        <v>2451</v>
      </c>
      <c r="FV73" s="1557">
        <v>235428</v>
      </c>
      <c r="FW73" s="1556" t="s">
        <v>2451</v>
      </c>
      <c r="FX73" s="1556" t="s">
        <v>2451</v>
      </c>
      <c r="FY73" s="1556" t="s">
        <v>2451</v>
      </c>
      <c r="FZ73" s="1556" t="s">
        <v>2451</v>
      </c>
      <c r="GA73" s="1557">
        <v>274490</v>
      </c>
    </row>
    <row r="74" spans="1:183" ht="12.75" customHeight="1" outlineLevel="1">
      <c r="A74" s="68" t="s">
        <v>341</v>
      </c>
      <c r="B74" s="753" t="s">
        <v>34</v>
      </c>
      <c r="C74" s="69"/>
      <c r="D74" s="70"/>
      <c r="E74" s="70"/>
      <c r="F74" s="70"/>
      <c r="G74" s="70"/>
      <c r="H74" s="83"/>
      <c r="I74" s="70"/>
      <c r="J74" s="70"/>
      <c r="K74" s="70"/>
      <c r="L74" s="70"/>
      <c r="M74" s="71"/>
      <c r="N74" s="70"/>
      <c r="O74" s="70"/>
      <c r="P74" s="70"/>
      <c r="Q74" s="70"/>
      <c r="R74" s="71"/>
      <c r="S74" s="70"/>
      <c r="T74" s="70"/>
      <c r="U74" s="70"/>
      <c r="V74" s="70"/>
      <c r="W74" s="71"/>
      <c r="X74" s="70"/>
      <c r="Y74" s="70"/>
      <c r="Z74" s="70"/>
      <c r="AA74" s="70"/>
      <c r="AB74" s="71"/>
      <c r="AC74" s="70"/>
      <c r="AD74" s="70"/>
      <c r="AE74" s="70"/>
      <c r="AF74" s="70"/>
      <c r="AG74" s="71"/>
      <c r="AH74" s="70"/>
      <c r="AI74" s="70"/>
      <c r="AJ74" s="70"/>
      <c r="AK74" s="70"/>
      <c r="AL74" s="71"/>
      <c r="AM74" s="70"/>
      <c r="AN74" s="70"/>
      <c r="AO74" s="70"/>
      <c r="AP74" s="70"/>
      <c r="AQ74" s="71"/>
      <c r="AR74" s="70"/>
      <c r="AS74" s="70"/>
      <c r="AT74" s="70"/>
      <c r="AU74" s="70"/>
      <c r="AV74" s="71"/>
      <c r="AW74" s="70"/>
      <c r="AX74" s="70"/>
      <c r="AY74" s="70"/>
      <c r="AZ74" s="70"/>
      <c r="BA74" s="71"/>
      <c r="BB74" s="70"/>
      <c r="BC74" s="70"/>
      <c r="BD74" s="70"/>
      <c r="BE74" s="70"/>
      <c r="BF74" s="71"/>
      <c r="BG74" s="70"/>
      <c r="BH74" s="70"/>
      <c r="BI74" s="70"/>
      <c r="BJ74" s="70"/>
      <c r="BK74" s="71"/>
      <c r="BL74" s="70"/>
      <c r="BM74" s="70"/>
      <c r="BN74" s="70"/>
      <c r="BO74" s="70"/>
      <c r="BP74" s="71"/>
      <c r="BQ74" s="70"/>
      <c r="BR74" s="70"/>
      <c r="BS74" s="70"/>
      <c r="BT74" s="70"/>
      <c r="BU74" s="71"/>
      <c r="BV74" s="70"/>
      <c r="BW74" s="70"/>
      <c r="BX74" s="70"/>
      <c r="BY74" s="70"/>
      <c r="BZ74" s="71"/>
      <c r="CA74" s="70"/>
      <c r="CB74" s="70"/>
      <c r="CC74" s="70"/>
      <c r="CD74" s="70"/>
      <c r="CE74" s="71"/>
      <c r="CF74" s="70"/>
      <c r="CG74" s="70"/>
      <c r="CH74" s="70"/>
      <c r="CI74" s="70"/>
      <c r="CJ74" s="71"/>
      <c r="CK74" s="70"/>
      <c r="CL74" s="70"/>
      <c r="CM74" s="70"/>
      <c r="CN74" s="70"/>
      <c r="CO74" s="71"/>
      <c r="CP74" s="70"/>
      <c r="CQ74" s="70"/>
      <c r="CR74" s="70"/>
      <c r="CS74" s="70"/>
      <c r="CT74" s="71"/>
      <c r="CU74" s="70"/>
      <c r="CV74" s="70"/>
      <c r="CW74" s="70"/>
      <c r="CX74" s="70"/>
      <c r="CY74" s="71"/>
      <c r="CZ74" s="70"/>
      <c r="DA74" s="70"/>
      <c r="DB74" s="70"/>
      <c r="DC74" s="70"/>
      <c r="DD74" s="71"/>
      <c r="DE74" s="70"/>
      <c r="DF74" s="70"/>
      <c r="DG74" s="70"/>
      <c r="DH74" s="70"/>
      <c r="DI74" s="71"/>
      <c r="DJ74" s="70"/>
      <c r="DK74" s="70"/>
      <c r="DL74" s="70"/>
      <c r="DM74" s="70"/>
      <c r="DN74" s="71"/>
      <c r="DO74" s="70"/>
      <c r="DP74" s="70"/>
      <c r="DQ74" s="70"/>
      <c r="DR74" s="70"/>
      <c r="DS74" s="71"/>
      <c r="DT74" s="70"/>
      <c r="DU74" s="70"/>
      <c r="DV74" s="70"/>
      <c r="DW74" s="70"/>
      <c r="DX74" s="71"/>
      <c r="DY74" s="70" t="s">
        <v>2451</v>
      </c>
      <c r="DZ74" s="70" t="s">
        <v>2451</v>
      </c>
      <c r="EA74" s="70" t="s">
        <v>2451</v>
      </c>
      <c r="EB74" s="70" t="s">
        <v>2451</v>
      </c>
      <c r="EC74" s="71" t="s">
        <v>2451</v>
      </c>
      <c r="ED74" s="70">
        <v>0.38601100014473877</v>
      </c>
      <c r="EE74" s="70">
        <v>0.17191011235955056</v>
      </c>
      <c r="EF74" s="70">
        <v>0.25142633985983953</v>
      </c>
      <c r="EG74" s="70">
        <v>0.21619450543565577</v>
      </c>
      <c r="EH74" s="71">
        <v>0.28345512965839315</v>
      </c>
      <c r="EI74" s="70">
        <v>0.28133501114771886</v>
      </c>
      <c r="EJ74" s="70">
        <v>0.15691914349632463</v>
      </c>
      <c r="EK74" s="70">
        <v>0.15870190332739975</v>
      </c>
      <c r="EL74" s="70">
        <v>8.4500220167327278E-2</v>
      </c>
      <c r="EM74" s="71">
        <v>0.14725386858690048</v>
      </c>
      <c r="EN74" s="70">
        <v>-4.9285656071719641E-2</v>
      </c>
      <c r="EO74" s="70">
        <v>-0.22839779005524863</v>
      </c>
      <c r="EP74" s="70">
        <v>-4.1765146143543652E-2</v>
      </c>
      <c r="EQ74" s="70">
        <v>0.15736785902797501</v>
      </c>
      <c r="ER74" s="71">
        <v>-1.4944622220245729E-2</v>
      </c>
      <c r="ES74" s="70">
        <v>0.31066838172986211</v>
      </c>
      <c r="ET74" s="70">
        <v>0.6876203816411286</v>
      </c>
      <c r="EU74" s="70">
        <v>0.31207366679341852</v>
      </c>
      <c r="EV74" s="70">
        <v>0.30487981099893569</v>
      </c>
      <c r="EW74" s="71">
        <v>0.35771940625213761</v>
      </c>
      <c r="EX74" s="70">
        <v>0.11777561475369636</v>
      </c>
      <c r="EY74" s="70">
        <v>0.18220163989765292</v>
      </c>
      <c r="EZ74" s="70">
        <v>0.16062066393342556</v>
      </c>
      <c r="FA74" s="70">
        <v>2.9705080110137283E-2</v>
      </c>
      <c r="FB74" s="71">
        <v>0.11779974977118357</v>
      </c>
      <c r="FC74" s="70">
        <v>0.22569923932124047</v>
      </c>
      <c r="FD74" s="70">
        <v>0.20679941777237021</v>
      </c>
      <c r="FE74" s="70">
        <v>5.7168723865688165E-2</v>
      </c>
      <c r="FF74" s="70">
        <v>0.13102988946859506</v>
      </c>
      <c r="FG74" s="71">
        <v>0.14810138439868004</v>
      </c>
      <c r="FH74" s="70">
        <v>0.12480426978307357</v>
      </c>
      <c r="FI74" s="70">
        <v>0.15694671188929687</v>
      </c>
      <c r="FJ74" s="70">
        <v>0.14946297863075997</v>
      </c>
      <c r="FK74" s="70">
        <v>0.14934135985495245</v>
      </c>
      <c r="FL74" s="71">
        <v>0.1640690199955992</v>
      </c>
      <c r="FM74" s="70" t="s">
        <v>2451</v>
      </c>
      <c r="FN74" s="70" t="s">
        <v>2451</v>
      </c>
      <c r="FO74" s="70" t="s">
        <v>2451</v>
      </c>
      <c r="FP74" s="70" t="s">
        <v>2451</v>
      </c>
      <c r="FQ74" s="71">
        <v>0.30415094903823614</v>
      </c>
      <c r="FR74" s="70" t="s">
        <v>2451</v>
      </c>
      <c r="FS74" s="70" t="s">
        <v>2451</v>
      </c>
      <c r="FT74" s="70" t="s">
        <v>2451</v>
      </c>
      <c r="FU74" s="70" t="s">
        <v>2451</v>
      </c>
      <c r="FV74" s="71">
        <v>1.4678199292283756E-2</v>
      </c>
      <c r="FW74" s="70" t="s">
        <v>2451</v>
      </c>
      <c r="FX74" s="70" t="s">
        <v>2451</v>
      </c>
      <c r="FY74" s="70" t="s">
        <v>2451</v>
      </c>
      <c r="FZ74" s="70" t="s">
        <v>2451</v>
      </c>
      <c r="GA74" s="71">
        <v>0.16591909203663113</v>
      </c>
    </row>
    <row r="75" spans="1:183" ht="12.75" customHeight="1" outlineLevel="1">
      <c r="A75" s="68" t="s">
        <v>358</v>
      </c>
      <c r="B75" s="753" t="s">
        <v>36</v>
      </c>
      <c r="C75" s="69"/>
      <c r="D75" s="70"/>
      <c r="E75" s="70"/>
      <c r="F75" s="70"/>
      <c r="G75" s="70"/>
      <c r="H75" s="83"/>
      <c r="I75" s="70"/>
      <c r="J75" s="70"/>
      <c r="K75" s="70"/>
      <c r="L75" s="70"/>
      <c r="M75" s="73"/>
      <c r="N75" s="70"/>
      <c r="O75" s="70"/>
      <c r="P75" s="70"/>
      <c r="Q75" s="70"/>
      <c r="R75" s="73"/>
      <c r="S75" s="70"/>
      <c r="T75" s="70"/>
      <c r="U75" s="70"/>
      <c r="V75" s="70"/>
      <c r="W75" s="73"/>
      <c r="X75" s="70"/>
      <c r="Y75" s="70"/>
      <c r="Z75" s="70"/>
      <c r="AA75" s="70"/>
      <c r="AB75" s="73"/>
      <c r="AC75" s="70"/>
      <c r="AD75" s="70"/>
      <c r="AE75" s="70"/>
      <c r="AF75" s="70"/>
      <c r="AG75" s="73"/>
      <c r="AH75" s="70"/>
      <c r="AI75" s="70"/>
      <c r="AJ75" s="70"/>
      <c r="AK75" s="70"/>
      <c r="AL75" s="73"/>
      <c r="AM75" s="70"/>
      <c r="AN75" s="70"/>
      <c r="AO75" s="70"/>
      <c r="AP75" s="70"/>
      <c r="AQ75" s="73"/>
      <c r="AR75" s="70"/>
      <c r="AS75" s="70"/>
      <c r="AT75" s="70"/>
      <c r="AU75" s="70"/>
      <c r="AV75" s="73"/>
      <c r="AW75" s="70"/>
      <c r="AX75" s="70"/>
      <c r="AY75" s="70"/>
      <c r="AZ75" s="70"/>
      <c r="BA75" s="73"/>
      <c r="BB75" s="70"/>
      <c r="BC75" s="70"/>
      <c r="BD75" s="70"/>
      <c r="BE75" s="70"/>
      <c r="BF75" s="73"/>
      <c r="BG75" s="70"/>
      <c r="BH75" s="70"/>
      <c r="BI75" s="70"/>
      <c r="BJ75" s="70"/>
      <c r="BK75" s="73"/>
      <c r="BL75" s="70"/>
      <c r="BM75" s="70"/>
      <c r="BN75" s="70"/>
      <c r="BO75" s="70"/>
      <c r="BP75" s="73"/>
      <c r="BQ75" s="70"/>
      <c r="BR75" s="70"/>
      <c r="BS75" s="70"/>
      <c r="BT75" s="70"/>
      <c r="BU75" s="73"/>
      <c r="BV75" s="70"/>
      <c r="BW75" s="70"/>
      <c r="BX75" s="70"/>
      <c r="BY75" s="70"/>
      <c r="BZ75" s="73"/>
      <c r="CA75" s="70"/>
      <c r="CB75" s="70"/>
      <c r="CC75" s="70"/>
      <c r="CD75" s="70"/>
      <c r="CE75" s="73"/>
      <c r="CF75" s="70"/>
      <c r="CG75" s="70"/>
      <c r="CH75" s="70"/>
      <c r="CI75" s="70"/>
      <c r="CJ75" s="73"/>
      <c r="CK75" s="70"/>
      <c r="CL75" s="70"/>
      <c r="CM75" s="70"/>
      <c r="CN75" s="70"/>
      <c r="CO75" s="73"/>
      <c r="CP75" s="70"/>
      <c r="CQ75" s="70"/>
      <c r="CR75" s="70"/>
      <c r="CS75" s="70"/>
      <c r="CT75" s="73"/>
      <c r="CU75" s="70"/>
      <c r="CV75" s="70"/>
      <c r="CW75" s="70"/>
      <c r="CX75" s="70"/>
      <c r="CY75" s="73"/>
      <c r="CZ75" s="70"/>
      <c r="DA75" s="70"/>
      <c r="DB75" s="70"/>
      <c r="DC75" s="70"/>
      <c r="DD75" s="73"/>
      <c r="DE75" s="70"/>
      <c r="DF75" s="70"/>
      <c r="DG75" s="70"/>
      <c r="DH75" s="70"/>
      <c r="DI75" s="73"/>
      <c r="DJ75" s="70"/>
      <c r="DK75" s="70"/>
      <c r="DL75" s="70"/>
      <c r="DM75" s="70"/>
      <c r="DN75" s="73"/>
      <c r="DO75" s="70"/>
      <c r="DP75" s="70"/>
      <c r="DQ75" s="70"/>
      <c r="DR75" s="70"/>
      <c r="DS75" s="73"/>
      <c r="DT75" s="70"/>
      <c r="DU75" s="70"/>
      <c r="DV75" s="70"/>
      <c r="DW75" s="70"/>
      <c r="DX75" s="73"/>
      <c r="DY75" s="70" t="s">
        <v>2451</v>
      </c>
      <c r="DZ75" s="70">
        <v>-0.22709509335649158</v>
      </c>
      <c r="EA75" s="70">
        <v>0.63925308988764051</v>
      </c>
      <c r="EB75" s="70">
        <v>6.65883447077813E-2</v>
      </c>
      <c r="EC75" s="73"/>
      <c r="ED75" s="70">
        <v>2.5646655598993373E-2</v>
      </c>
      <c r="EE75" s="70">
        <v>-0.34648781583028321</v>
      </c>
      <c r="EF75" s="70">
        <v>0.75047938638542666</v>
      </c>
      <c r="EG75" s="70">
        <v>3.6560317677666765E-2</v>
      </c>
      <c r="EH75" s="73"/>
      <c r="EI75" s="70">
        <v>8.0581241743725274E-2</v>
      </c>
      <c r="EJ75" s="70">
        <v>-0.40994295028524852</v>
      </c>
      <c r="EK75" s="70">
        <v>0.75317679558011053</v>
      </c>
      <c r="EL75" s="70">
        <v>-2.9819585598361287E-2</v>
      </c>
      <c r="EM75" s="73"/>
      <c r="EN75" s="70">
        <v>-5.2721182346014861E-2</v>
      </c>
      <c r="EO75" s="70">
        <v>-0.52110817885405947</v>
      </c>
      <c r="EP75" s="70">
        <v>1.1772295216955464</v>
      </c>
      <c r="EQ75" s="70">
        <v>0.17179585418743515</v>
      </c>
      <c r="ER75" s="73"/>
      <c r="ES75" s="70">
        <v>7.2751748976567665E-2</v>
      </c>
      <c r="ET75" s="70">
        <v>-0.38337751239527473</v>
      </c>
      <c r="EU75" s="70">
        <v>0.69272992496331964</v>
      </c>
      <c r="EV75" s="70">
        <v>0.16537111553979589</v>
      </c>
      <c r="EW75" s="73"/>
      <c r="EX75" s="70">
        <v>-8.1068052717873096E-2</v>
      </c>
      <c r="EY75" s="70">
        <v>-0.34783680514921012</v>
      </c>
      <c r="EZ75" s="70">
        <v>0.66182930480538782</v>
      </c>
      <c r="FA75" s="70">
        <v>3.3919690709365291E-2</v>
      </c>
      <c r="FB75" s="73"/>
      <c r="FC75" s="70">
        <v>9.3841538250172052E-2</v>
      </c>
      <c r="FD75" s="70">
        <v>-0.35789291647571042</v>
      </c>
      <c r="FE75" s="70">
        <v>0.45577959317104533</v>
      </c>
      <c r="FF75" s="70">
        <v>0.10615651702820084</v>
      </c>
      <c r="FG75" s="73"/>
      <c r="FH75" s="70">
        <v>8.7820617426787928E-2</v>
      </c>
      <c r="FI75" s="70">
        <v>-0.33954404430957275</v>
      </c>
      <c r="FJ75" s="70">
        <v>0.4463628533622408</v>
      </c>
      <c r="FK75" s="70">
        <v>0.10603948028673682</v>
      </c>
      <c r="FL75" s="73"/>
      <c r="FM75" s="70" t="s">
        <v>2451</v>
      </c>
      <c r="FN75" s="70" t="s">
        <v>2451</v>
      </c>
      <c r="FO75" s="70" t="s">
        <v>2451</v>
      </c>
      <c r="FP75" s="70" t="s">
        <v>2451</v>
      </c>
      <c r="FQ75" s="73"/>
      <c r="FR75" s="70" t="s">
        <v>2451</v>
      </c>
      <c r="FS75" s="70" t="s">
        <v>2451</v>
      </c>
      <c r="FT75" s="70" t="s">
        <v>2451</v>
      </c>
      <c r="FU75" s="70" t="s">
        <v>2451</v>
      </c>
      <c r="FV75" s="73"/>
      <c r="FW75" s="70" t="s">
        <v>2451</v>
      </c>
      <c r="FX75" s="70" t="s">
        <v>2451</v>
      </c>
      <c r="FY75" s="70" t="s">
        <v>2451</v>
      </c>
      <c r="FZ75" s="70" t="s">
        <v>2451</v>
      </c>
      <c r="GA75" s="73"/>
    </row>
    <row r="76" spans="1:183" ht="12.75" customHeight="1" outlineLevel="1">
      <c r="A76" s="68" t="s">
        <v>353</v>
      </c>
      <c r="B76" s="753" t="s">
        <v>354</v>
      </c>
      <c r="C76" s="69"/>
      <c r="D76" s="70"/>
      <c r="E76" s="70"/>
      <c r="F76" s="70"/>
      <c r="G76" s="70"/>
      <c r="H76" s="778"/>
      <c r="I76" s="70"/>
      <c r="J76" s="70"/>
      <c r="K76" s="70"/>
      <c r="L76" s="70"/>
      <c r="M76" s="779"/>
      <c r="N76" s="70"/>
      <c r="O76" s="70"/>
      <c r="P76" s="70"/>
      <c r="Q76" s="70"/>
      <c r="R76" s="779"/>
      <c r="S76" s="70"/>
      <c r="T76" s="70"/>
      <c r="U76" s="70"/>
      <c r="V76" s="70"/>
      <c r="W76" s="779"/>
      <c r="X76" s="70"/>
      <c r="Y76" s="70"/>
      <c r="Z76" s="70"/>
      <c r="AA76" s="70"/>
      <c r="AB76" s="779"/>
      <c r="AC76" s="70"/>
      <c r="AD76" s="70"/>
      <c r="AE76" s="70"/>
      <c r="AF76" s="70"/>
      <c r="AG76" s="779"/>
      <c r="AH76" s="70"/>
      <c r="AI76" s="70"/>
      <c r="AJ76" s="70"/>
      <c r="AK76" s="70"/>
      <c r="AL76" s="779"/>
      <c r="AM76" s="70"/>
      <c r="AN76" s="70"/>
      <c r="AO76" s="70"/>
      <c r="AP76" s="70"/>
      <c r="AQ76" s="779"/>
      <c r="AR76" s="70"/>
      <c r="AS76" s="70"/>
      <c r="AT76" s="70"/>
      <c r="AU76" s="70"/>
      <c r="AV76" s="779"/>
      <c r="AW76" s="70"/>
      <c r="AX76" s="70"/>
      <c r="AY76" s="70"/>
      <c r="AZ76" s="70"/>
      <c r="BA76" s="779"/>
      <c r="BB76" s="70"/>
      <c r="BC76" s="70"/>
      <c r="BD76" s="70"/>
      <c r="BE76" s="70"/>
      <c r="BF76" s="779"/>
      <c r="BG76" s="70"/>
      <c r="BH76" s="70"/>
      <c r="BI76" s="70"/>
      <c r="BJ76" s="70"/>
      <c r="BK76" s="779"/>
      <c r="BL76" s="70"/>
      <c r="BM76" s="70"/>
      <c r="BN76" s="70"/>
      <c r="BO76" s="70"/>
      <c r="BP76" s="779"/>
      <c r="BQ76" s="70"/>
      <c r="BR76" s="70"/>
      <c r="BS76" s="70"/>
      <c r="BT76" s="70"/>
      <c r="BU76" s="779"/>
      <c r="BV76" s="70"/>
      <c r="BW76" s="70"/>
      <c r="BX76" s="70"/>
      <c r="BY76" s="70"/>
      <c r="BZ76" s="779"/>
      <c r="CA76" s="70"/>
      <c r="CB76" s="70"/>
      <c r="CC76" s="70"/>
      <c r="CD76" s="70"/>
      <c r="CE76" s="779"/>
      <c r="CF76" s="70"/>
      <c r="CG76" s="70"/>
      <c r="CH76" s="70"/>
      <c r="CI76" s="70"/>
      <c r="CJ76" s="779"/>
      <c r="CK76" s="70"/>
      <c r="CL76" s="70"/>
      <c r="CM76" s="70"/>
      <c r="CN76" s="70"/>
      <c r="CO76" s="779"/>
      <c r="CP76" s="70"/>
      <c r="CQ76" s="70"/>
      <c r="CR76" s="70"/>
      <c r="CS76" s="70"/>
      <c r="CT76" s="779"/>
      <c r="CU76" s="70"/>
      <c r="CV76" s="70"/>
      <c r="CW76" s="70"/>
      <c r="CX76" s="70"/>
      <c r="CY76" s="779"/>
      <c r="CZ76" s="70"/>
      <c r="DA76" s="70"/>
      <c r="DB76" s="70"/>
      <c r="DC76" s="70"/>
      <c r="DD76" s="779"/>
      <c r="DE76" s="70"/>
      <c r="DF76" s="70"/>
      <c r="DG76" s="70"/>
      <c r="DH76" s="70"/>
      <c r="DI76" s="779"/>
      <c r="DJ76" s="70"/>
      <c r="DK76" s="70"/>
      <c r="DL76" s="70"/>
      <c r="DM76" s="70"/>
      <c r="DN76" s="779"/>
      <c r="DO76" s="70"/>
      <c r="DP76" s="70"/>
      <c r="DQ76" s="70"/>
      <c r="DR76" s="70"/>
      <c r="DS76" s="779"/>
      <c r="DT76" s="70"/>
      <c r="DU76" s="70"/>
      <c r="DV76" s="70"/>
      <c r="DW76" s="70"/>
      <c r="DX76" s="779"/>
      <c r="DY76" s="70">
        <v>0.4180305551353804</v>
      </c>
      <c r="DZ76" s="70">
        <v>0.28938384002601203</v>
      </c>
      <c r="EA76" s="70">
        <v>0.49990642757202824</v>
      </c>
      <c r="EB76" s="70">
        <v>0.4909683695737912</v>
      </c>
      <c r="EC76" s="779">
        <v>0.42285012061671856</v>
      </c>
      <c r="ED76" s="70">
        <v>0.51547343489260922</v>
      </c>
      <c r="EE76" s="70">
        <v>0.29055622620484722</v>
      </c>
      <c r="EF76" s="70">
        <v>0.52532009782765066</v>
      </c>
      <c r="EG76" s="70">
        <v>0.4920696827873115</v>
      </c>
      <c r="EH76" s="779">
        <v>0.46175544952643854</v>
      </c>
      <c r="EI76" s="70">
        <v>0.54151863539069223</v>
      </c>
      <c r="EJ76" s="70">
        <v>0.27992576554283949</v>
      </c>
      <c r="EK76" s="70">
        <v>0.51430307941653164</v>
      </c>
      <c r="EL76" s="70">
        <v>0.47486744432661721</v>
      </c>
      <c r="EM76" s="779">
        <v>0.44910848842487522</v>
      </c>
      <c r="EN76" s="70">
        <v>0.46547484138701567</v>
      </c>
      <c r="EO76" s="70">
        <v>0.21181868163118281</v>
      </c>
      <c r="EP76" s="70">
        <v>0.46021813572469117</v>
      </c>
      <c r="EQ76" s="70">
        <v>0.50730237235046005</v>
      </c>
      <c r="ER76" s="779">
        <v>0.41391123799636648</v>
      </c>
      <c r="ES76" s="70">
        <v>0.54105115275049986</v>
      </c>
      <c r="ET76" s="70">
        <v>0.30402200902934534</v>
      </c>
      <c r="EU76" s="70">
        <v>0.51597491027837949</v>
      </c>
      <c r="EV76" s="70">
        <v>0.57464975976022381</v>
      </c>
      <c r="EW76" s="779">
        <v>0.48584378391168481</v>
      </c>
      <c r="EX76" s="70">
        <v>0.52115575207745679</v>
      </c>
      <c r="EY76" s="70">
        <v>0.32012491383272057</v>
      </c>
      <c r="EZ76" s="70">
        <v>0.52869771358433471</v>
      </c>
      <c r="FA76" s="70">
        <v>0.51856380141923097</v>
      </c>
      <c r="FB76" s="779">
        <v>0.4767713114660157</v>
      </c>
      <c r="FC76" s="70">
        <v>0.56502240700969597</v>
      </c>
      <c r="FD76" s="70">
        <v>0.34172384836463615</v>
      </c>
      <c r="FE76" s="70">
        <v>0.49324589086943205</v>
      </c>
      <c r="FF76" s="70">
        <v>0.51892425938209064</v>
      </c>
      <c r="FG76" s="779">
        <v>0.48205713492683677</v>
      </c>
      <c r="FH76" s="70">
        <v>0.55752552983737069</v>
      </c>
      <c r="FI76" s="70">
        <v>0.34791706859458216</v>
      </c>
      <c r="FJ76" s="70">
        <v>0.49595567556954889</v>
      </c>
      <c r="FK76" s="70">
        <v>0.52229943090259046</v>
      </c>
      <c r="FL76" s="779">
        <v>0.49029395898339678</v>
      </c>
      <c r="FM76" s="70" t="s">
        <v>2451</v>
      </c>
      <c r="FN76" s="70" t="s">
        <v>2451</v>
      </c>
      <c r="FO76" s="70" t="s">
        <v>2451</v>
      </c>
      <c r="FP76" s="70" t="s">
        <v>2451</v>
      </c>
      <c r="FQ76" s="779">
        <v>0.55309816607200424</v>
      </c>
      <c r="FR76" s="70" t="s">
        <v>2451</v>
      </c>
      <c r="FS76" s="70" t="s">
        <v>2451</v>
      </c>
      <c r="FT76" s="70" t="s">
        <v>2451</v>
      </c>
      <c r="FU76" s="70" t="s">
        <v>2451</v>
      </c>
      <c r="FV76" s="779">
        <v>0.49350977668298995</v>
      </c>
      <c r="FW76" s="70" t="s">
        <v>2451</v>
      </c>
      <c r="FX76" s="70" t="s">
        <v>2451</v>
      </c>
      <c r="FY76" s="70" t="s">
        <v>2451</v>
      </c>
      <c r="FZ76" s="70" t="s">
        <v>2451</v>
      </c>
      <c r="GA76" s="779">
        <v>0.49250097337527071</v>
      </c>
    </row>
    <row r="77" spans="1:183" ht="12.75" customHeight="1" outlineLevel="1">
      <c r="B77" s="1535"/>
      <c r="C77" s="43"/>
      <c r="D77" s="84"/>
      <c r="E77" s="84"/>
      <c r="F77" s="84"/>
      <c r="G77" s="84"/>
      <c r="H77" s="83"/>
      <c r="I77" s="84"/>
      <c r="J77" s="84"/>
      <c r="K77" s="84"/>
      <c r="L77" s="84"/>
      <c r="M77" s="83"/>
      <c r="N77" s="84"/>
      <c r="O77" s="84"/>
      <c r="P77" s="84"/>
      <c r="Q77" s="84"/>
      <c r="R77" s="83"/>
      <c r="S77" s="84"/>
      <c r="T77" s="84"/>
      <c r="U77" s="84"/>
      <c r="V77" s="84"/>
      <c r="W77" s="83"/>
      <c r="X77" s="84"/>
      <c r="Y77" s="84"/>
      <c r="Z77" s="84"/>
      <c r="AA77" s="84"/>
      <c r="AB77" s="83"/>
      <c r="AC77" s="84"/>
      <c r="AD77" s="84"/>
      <c r="AE77" s="84"/>
      <c r="AF77" s="84"/>
      <c r="AG77" s="83"/>
      <c r="AH77" s="84"/>
      <c r="AI77" s="84"/>
      <c r="AJ77" s="84"/>
      <c r="AK77" s="84"/>
      <c r="AL77" s="83"/>
      <c r="AM77" s="84"/>
      <c r="AN77" s="84"/>
      <c r="AO77" s="84"/>
      <c r="AP77" s="84"/>
      <c r="AQ77" s="83"/>
      <c r="AR77" s="84"/>
      <c r="AS77" s="84"/>
      <c r="AT77" s="84"/>
      <c r="AU77" s="84"/>
      <c r="AV77" s="83"/>
      <c r="AW77" s="84"/>
      <c r="AX77" s="84"/>
      <c r="AY77" s="84"/>
      <c r="AZ77" s="84"/>
      <c r="BA77" s="83"/>
      <c r="BB77" s="84"/>
      <c r="BC77" s="84"/>
      <c r="BD77" s="84"/>
      <c r="BE77" s="84"/>
      <c r="BF77" s="83"/>
      <c r="BG77" s="84"/>
      <c r="BH77" s="84"/>
      <c r="BI77" s="84"/>
      <c r="BJ77" s="84"/>
      <c r="BK77" s="83"/>
      <c r="BL77" s="84"/>
      <c r="BM77" s="84"/>
      <c r="BN77" s="84"/>
      <c r="BO77" s="84"/>
      <c r="BP77" s="83"/>
      <c r="BQ77" s="84"/>
      <c r="BR77" s="84"/>
      <c r="BS77" s="84"/>
      <c r="BT77" s="84"/>
      <c r="BU77" s="83"/>
      <c r="BV77" s="84"/>
      <c r="BW77" s="84"/>
      <c r="BX77" s="84"/>
      <c r="BY77" s="84"/>
      <c r="BZ77" s="83"/>
      <c r="CA77" s="84"/>
      <c r="CB77" s="84"/>
      <c r="CC77" s="84"/>
      <c r="CD77" s="84"/>
      <c r="CE77" s="83"/>
      <c r="CF77" s="84"/>
      <c r="CG77" s="84"/>
      <c r="CH77" s="84"/>
      <c r="CI77" s="84"/>
      <c r="CJ77" s="83"/>
      <c r="CK77" s="84"/>
      <c r="CL77" s="84"/>
      <c r="CM77" s="84"/>
      <c r="CN77" s="84"/>
      <c r="CO77" s="83"/>
      <c r="CP77" s="84"/>
      <c r="CQ77" s="84"/>
      <c r="CR77" s="84"/>
      <c r="CS77" s="84"/>
      <c r="CT77" s="83"/>
      <c r="CU77" s="84"/>
      <c r="CV77" s="84"/>
      <c r="CW77" s="84"/>
      <c r="CX77" s="84"/>
      <c r="CY77" s="83"/>
      <c r="CZ77" s="84"/>
      <c r="DA77" s="84"/>
      <c r="DB77" s="84"/>
      <c r="DC77" s="84"/>
      <c r="DD77" s="83"/>
      <c r="DE77" s="84"/>
      <c r="DF77" s="84"/>
      <c r="DG77" s="84"/>
      <c r="DH77" s="84"/>
      <c r="DI77" s="83"/>
      <c r="DJ77" s="84"/>
      <c r="DK77" s="84"/>
      <c r="DL77" s="84"/>
      <c r="DM77" s="84"/>
      <c r="DN77" s="83"/>
      <c r="DO77" s="84"/>
      <c r="DP77" s="84"/>
      <c r="DQ77" s="84"/>
      <c r="DR77" s="84"/>
      <c r="DS77" s="83"/>
      <c r="DT77" s="84"/>
      <c r="DU77" s="84"/>
      <c r="DV77" s="84"/>
      <c r="DW77" s="84"/>
      <c r="DX77" s="83"/>
      <c r="DY77" s="84"/>
      <c r="DZ77" s="84"/>
      <c r="EA77" s="84"/>
      <c r="EB77" s="84"/>
      <c r="EC77" s="83"/>
      <c r="ED77" s="84"/>
      <c r="EE77" s="84"/>
      <c r="EF77" s="84"/>
      <c r="EG77" s="84"/>
      <c r="EH77" s="83"/>
      <c r="EI77" s="84"/>
      <c r="EJ77" s="84"/>
      <c r="EK77" s="84"/>
      <c r="EL77" s="84"/>
      <c r="EM77" s="83"/>
      <c r="EN77" s="84"/>
      <c r="EO77" s="84"/>
      <c r="EP77" s="84"/>
      <c r="EQ77" s="84"/>
      <c r="ER77" s="83"/>
      <c r="ES77" s="84"/>
      <c r="ET77" s="84"/>
      <c r="EU77" s="84"/>
      <c r="EV77" s="84"/>
      <c r="EW77" s="83"/>
      <c r="EX77" s="84"/>
      <c r="EY77" s="84"/>
      <c r="EZ77" s="84"/>
      <c r="FA77" s="84"/>
      <c r="FB77" s="83"/>
      <c r="FC77" s="84"/>
      <c r="FD77" s="84"/>
      <c r="FE77" s="84"/>
      <c r="FF77" s="84"/>
      <c r="FG77" s="83"/>
      <c r="FH77" s="84"/>
      <c r="FI77" s="84"/>
      <c r="FJ77" s="84"/>
      <c r="FK77" s="84"/>
      <c r="FL77" s="83"/>
      <c r="FM77" s="84"/>
      <c r="FN77" s="84"/>
      <c r="FO77" s="84"/>
      <c r="FP77" s="84"/>
      <c r="FQ77" s="83"/>
      <c r="FR77" s="84"/>
      <c r="FS77" s="84"/>
      <c r="FT77" s="84"/>
      <c r="FU77" s="84"/>
      <c r="FV77" s="83"/>
      <c r="FW77" s="84"/>
      <c r="FX77" s="84"/>
      <c r="FY77" s="84"/>
      <c r="FZ77" s="84"/>
      <c r="GA77" s="83"/>
    </row>
    <row r="78" spans="1:183" s="1558" customFormat="1" ht="12.75" customHeight="1" outlineLevel="1">
      <c r="A78" s="1401" t="s">
        <v>362</v>
      </c>
      <c r="B78" s="1549" t="s">
        <v>1858</v>
      </c>
      <c r="C78" s="1555"/>
      <c r="D78" s="1556"/>
      <c r="E78" s="1556"/>
      <c r="F78" s="1556"/>
      <c r="G78" s="1556"/>
      <c r="H78" s="1557"/>
      <c r="I78" s="1556"/>
      <c r="J78" s="1556"/>
      <c r="K78" s="1556"/>
      <c r="L78" s="1556"/>
      <c r="M78" s="1557"/>
      <c r="N78" s="1556"/>
      <c r="O78" s="1556"/>
      <c r="P78" s="1556"/>
      <c r="Q78" s="1556"/>
      <c r="R78" s="1557"/>
      <c r="S78" s="1556"/>
      <c r="T78" s="1556"/>
      <c r="U78" s="1556"/>
      <c r="V78" s="1556"/>
      <c r="W78" s="1557"/>
      <c r="X78" s="1556"/>
      <c r="Y78" s="1556"/>
      <c r="Z78" s="1556"/>
      <c r="AA78" s="1556"/>
      <c r="AB78" s="1557"/>
      <c r="AC78" s="1556"/>
      <c r="AD78" s="1556"/>
      <c r="AE78" s="1556"/>
      <c r="AF78" s="1556"/>
      <c r="AG78" s="1557"/>
      <c r="AH78" s="1556"/>
      <c r="AI78" s="1556"/>
      <c r="AJ78" s="1556"/>
      <c r="AK78" s="1556"/>
      <c r="AL78" s="1557"/>
      <c r="AM78" s="1556"/>
      <c r="AN78" s="1556"/>
      <c r="AO78" s="1556"/>
      <c r="AP78" s="1556"/>
      <c r="AQ78" s="1557"/>
      <c r="AR78" s="1556"/>
      <c r="AS78" s="1556"/>
      <c r="AT78" s="1556"/>
      <c r="AU78" s="1556"/>
      <c r="AV78" s="1557"/>
      <c r="AW78" s="1556"/>
      <c r="AX78" s="1556"/>
      <c r="AY78" s="1556"/>
      <c r="AZ78" s="1556"/>
      <c r="BA78" s="1557"/>
      <c r="BB78" s="1556"/>
      <c r="BC78" s="1556"/>
      <c r="BD78" s="1556"/>
      <c r="BE78" s="1556"/>
      <c r="BF78" s="1557"/>
      <c r="BG78" s="1556"/>
      <c r="BH78" s="1556"/>
      <c r="BI78" s="1556"/>
      <c r="BJ78" s="1556"/>
      <c r="BK78" s="1557"/>
      <c r="BL78" s="1556"/>
      <c r="BM78" s="1556"/>
      <c r="BN78" s="1556"/>
      <c r="BO78" s="1556"/>
      <c r="BP78" s="1557"/>
      <c r="BQ78" s="1556"/>
      <c r="BR78" s="1556"/>
      <c r="BS78" s="1556"/>
      <c r="BT78" s="1556"/>
      <c r="BU78" s="1557"/>
      <c r="BV78" s="1556"/>
      <c r="BW78" s="1556"/>
      <c r="BX78" s="1556"/>
      <c r="BY78" s="1556"/>
      <c r="BZ78" s="1557"/>
      <c r="CA78" s="1556"/>
      <c r="CB78" s="1556"/>
      <c r="CC78" s="1556"/>
      <c r="CD78" s="1556"/>
      <c r="CE78" s="1557"/>
      <c r="CF78" s="1556"/>
      <c r="CG78" s="1556"/>
      <c r="CH78" s="1556"/>
      <c r="CI78" s="1556"/>
      <c r="CJ78" s="1557"/>
      <c r="CK78" s="1556"/>
      <c r="CL78" s="1556"/>
      <c r="CM78" s="1556"/>
      <c r="CN78" s="1556"/>
      <c r="CO78" s="1557"/>
      <c r="CP78" s="1556"/>
      <c r="CQ78" s="1556"/>
      <c r="CR78" s="1556"/>
      <c r="CS78" s="1556"/>
      <c r="CT78" s="1557"/>
      <c r="CU78" s="1556"/>
      <c r="CV78" s="1556"/>
      <c r="CW78" s="1556"/>
      <c r="CX78" s="1556"/>
      <c r="CY78" s="1557"/>
      <c r="CZ78" s="1556"/>
      <c r="DA78" s="1556"/>
      <c r="DB78" s="1556"/>
      <c r="DC78" s="1556"/>
      <c r="DD78" s="1557"/>
      <c r="DE78" s="1556"/>
      <c r="DF78" s="1556"/>
      <c r="DG78" s="1556"/>
      <c r="DH78" s="1556"/>
      <c r="DI78" s="1557"/>
      <c r="DJ78" s="1556"/>
      <c r="DK78" s="1556"/>
      <c r="DL78" s="1556"/>
      <c r="DM78" s="1556"/>
      <c r="DN78" s="1557"/>
      <c r="DO78" s="1556"/>
      <c r="DP78" s="1556"/>
      <c r="DQ78" s="1556"/>
      <c r="DR78" s="1556"/>
      <c r="DS78" s="1557"/>
      <c r="DT78" s="1556"/>
      <c r="DU78" s="1556"/>
      <c r="DV78" s="1556"/>
      <c r="DW78" s="1556"/>
      <c r="DX78" s="1557"/>
      <c r="DY78" s="1556">
        <v>3526.5</v>
      </c>
      <c r="DZ78" s="1556">
        <v>3640.5</v>
      </c>
      <c r="EA78" s="1556">
        <v>3781.7777999999998</v>
      </c>
      <c r="EB78" s="1556">
        <v>4876</v>
      </c>
      <c r="EC78" s="1557">
        <v>15737.583000000001</v>
      </c>
      <c r="ED78" s="1556">
        <v>4951.2</v>
      </c>
      <c r="EE78" s="1556">
        <v>4310.2219999999998</v>
      </c>
      <c r="EF78" s="1556">
        <v>5190.2219999999998</v>
      </c>
      <c r="EG78" s="1556">
        <v>6558</v>
      </c>
      <c r="EH78" s="1557">
        <v>20901.076000000001</v>
      </c>
      <c r="EI78" s="1556">
        <v>5954.5454</v>
      </c>
      <c r="EJ78" s="1556">
        <v>5958.5</v>
      </c>
      <c r="EK78" s="1556">
        <v>5436</v>
      </c>
      <c r="EL78" s="1556">
        <v>7023.4165000000003</v>
      </c>
      <c r="EM78" s="1557">
        <v>24090.384999999998</v>
      </c>
      <c r="EN78" s="1556">
        <v>6283</v>
      </c>
      <c r="EO78" s="1556">
        <v>6273.6360000000004</v>
      </c>
      <c r="EP78" s="1556">
        <v>6607.25</v>
      </c>
      <c r="EQ78" s="1556">
        <v>8942.77</v>
      </c>
      <c r="ER78" s="1557">
        <v>28107.125</v>
      </c>
      <c r="ES78" s="1556">
        <v>10002.733</v>
      </c>
      <c r="ET78" s="1556">
        <v>10013.947</v>
      </c>
      <c r="EU78" s="1556">
        <v>10951.875</v>
      </c>
      <c r="EV78" s="1556">
        <v>13874.714</v>
      </c>
      <c r="EW78" s="1557">
        <v>44477.120000000003</v>
      </c>
      <c r="EX78" s="1556">
        <v>14922.786</v>
      </c>
      <c r="EY78" s="1556">
        <v>15788.9375</v>
      </c>
      <c r="EZ78" s="1556">
        <v>16745.312999999998</v>
      </c>
      <c r="FA78" s="1556">
        <v>17841.842000000001</v>
      </c>
      <c r="FB78" s="1557">
        <v>66330.44</v>
      </c>
      <c r="FC78" s="1556">
        <v>17955.925999999999</v>
      </c>
      <c r="FD78" s="1556">
        <v>18920.734</v>
      </c>
      <c r="FE78" s="1556">
        <v>19307.945</v>
      </c>
      <c r="FF78" s="1556">
        <v>21073.127</v>
      </c>
      <c r="FG78" s="1557">
        <v>73921.73</v>
      </c>
      <c r="FH78" s="1556">
        <v>18816.761999999999</v>
      </c>
      <c r="FI78" s="1556">
        <v>19868.708999999999</v>
      </c>
      <c r="FJ78" s="1556">
        <v>20195.736000000001</v>
      </c>
      <c r="FK78" s="1556">
        <v>21006.055</v>
      </c>
      <c r="FL78" s="1557">
        <v>79713.210000000006</v>
      </c>
      <c r="FM78" s="1556" t="s">
        <v>2451</v>
      </c>
      <c r="FN78" s="1556" t="s">
        <v>2451</v>
      </c>
      <c r="FO78" s="1556" t="s">
        <v>2451</v>
      </c>
      <c r="FP78" s="1556" t="s">
        <v>2451</v>
      </c>
      <c r="FQ78" s="1557">
        <v>82544.56</v>
      </c>
      <c r="FR78" s="1556" t="s">
        <v>2451</v>
      </c>
      <c r="FS78" s="1556" t="s">
        <v>2451</v>
      </c>
      <c r="FT78" s="1556" t="s">
        <v>2451</v>
      </c>
      <c r="FU78" s="1556" t="s">
        <v>2451</v>
      </c>
      <c r="FV78" s="1557">
        <v>100054</v>
      </c>
      <c r="FW78" s="1556" t="s">
        <v>2451</v>
      </c>
      <c r="FX78" s="1556" t="s">
        <v>2451</v>
      </c>
      <c r="FY78" s="1556" t="s">
        <v>2451</v>
      </c>
      <c r="FZ78" s="1556" t="s">
        <v>2451</v>
      </c>
      <c r="GA78" s="1557">
        <v>110059</v>
      </c>
    </row>
    <row r="79" spans="1:183" s="72" customFormat="1" ht="12.75" customHeight="1" outlineLevel="1">
      <c r="A79" s="63" t="s">
        <v>363</v>
      </c>
      <c r="B79" s="753" t="s">
        <v>34</v>
      </c>
      <c r="C79" s="69"/>
      <c r="D79" s="70"/>
      <c r="E79" s="70"/>
      <c r="F79" s="70"/>
      <c r="G79" s="70"/>
      <c r="H79" s="71"/>
      <c r="I79" s="70"/>
      <c r="J79" s="70"/>
      <c r="K79" s="70"/>
      <c r="L79" s="70"/>
      <c r="M79" s="71"/>
      <c r="N79" s="70"/>
      <c r="O79" s="70"/>
      <c r="P79" s="70"/>
      <c r="Q79" s="70"/>
      <c r="R79" s="71"/>
      <c r="S79" s="70"/>
      <c r="T79" s="70"/>
      <c r="U79" s="70"/>
      <c r="V79" s="70"/>
      <c r="W79" s="71"/>
      <c r="X79" s="70"/>
      <c r="Y79" s="70"/>
      <c r="Z79" s="70"/>
      <c r="AA79" s="70"/>
      <c r="AB79" s="71"/>
      <c r="AC79" s="70"/>
      <c r="AD79" s="70"/>
      <c r="AE79" s="70"/>
      <c r="AF79" s="70"/>
      <c r="AG79" s="71"/>
      <c r="AH79" s="70"/>
      <c r="AI79" s="70"/>
      <c r="AJ79" s="70"/>
      <c r="AK79" s="70"/>
      <c r="AL79" s="71"/>
      <c r="AM79" s="70"/>
      <c r="AN79" s="70"/>
      <c r="AO79" s="70"/>
      <c r="AP79" s="70"/>
      <c r="AQ79" s="71"/>
      <c r="AR79" s="70"/>
      <c r="AS79" s="70"/>
      <c r="AT79" s="70"/>
      <c r="AU79" s="70"/>
      <c r="AV79" s="71"/>
      <c r="AW79" s="70"/>
      <c r="AX79" s="70"/>
      <c r="AY79" s="70"/>
      <c r="AZ79" s="70"/>
      <c r="BA79" s="71"/>
      <c r="BB79" s="70"/>
      <c r="BC79" s="70"/>
      <c r="BD79" s="70"/>
      <c r="BE79" s="70"/>
      <c r="BF79" s="71"/>
      <c r="BG79" s="70"/>
      <c r="BH79" s="70"/>
      <c r="BI79" s="70"/>
      <c r="BJ79" s="70"/>
      <c r="BK79" s="71"/>
      <c r="BL79" s="70"/>
      <c r="BM79" s="70"/>
      <c r="BN79" s="70"/>
      <c r="BO79" s="70"/>
      <c r="BP79" s="71"/>
      <c r="BQ79" s="70"/>
      <c r="BR79" s="70"/>
      <c r="BS79" s="70"/>
      <c r="BT79" s="70"/>
      <c r="BU79" s="71"/>
      <c r="BV79" s="70"/>
      <c r="BW79" s="70"/>
      <c r="BX79" s="70"/>
      <c r="BY79" s="70"/>
      <c r="BZ79" s="71"/>
      <c r="CA79" s="70"/>
      <c r="CB79" s="70"/>
      <c r="CC79" s="70"/>
      <c r="CD79" s="70"/>
      <c r="CE79" s="71"/>
      <c r="CF79" s="70"/>
      <c r="CG79" s="70"/>
      <c r="CH79" s="70"/>
      <c r="CI79" s="70"/>
      <c r="CJ79" s="71"/>
      <c r="CK79" s="70"/>
      <c r="CL79" s="70"/>
      <c r="CM79" s="70"/>
      <c r="CN79" s="70"/>
      <c r="CO79" s="71"/>
      <c r="CP79" s="70"/>
      <c r="CQ79" s="70"/>
      <c r="CR79" s="70"/>
      <c r="CS79" s="70"/>
      <c r="CT79" s="71"/>
      <c r="CU79" s="70"/>
      <c r="CV79" s="70"/>
      <c r="CW79" s="70"/>
      <c r="CX79" s="70"/>
      <c r="CY79" s="71"/>
      <c r="CZ79" s="70"/>
      <c r="DA79" s="70"/>
      <c r="DB79" s="70"/>
      <c r="DC79" s="70"/>
      <c r="DD79" s="71"/>
      <c r="DE79" s="70"/>
      <c r="DF79" s="70"/>
      <c r="DG79" s="70"/>
      <c r="DH79" s="70"/>
      <c r="DI79" s="71"/>
      <c r="DJ79" s="70"/>
      <c r="DK79" s="70"/>
      <c r="DL79" s="70"/>
      <c r="DM79" s="70"/>
      <c r="DN79" s="71"/>
      <c r="DO79" s="70"/>
      <c r="DP79" s="70"/>
      <c r="DQ79" s="70"/>
      <c r="DR79" s="70"/>
      <c r="DS79" s="71"/>
      <c r="DT79" s="70"/>
      <c r="DU79" s="70"/>
      <c r="DV79" s="70"/>
      <c r="DW79" s="70"/>
      <c r="DX79" s="71"/>
      <c r="DY79" s="70" t="s">
        <v>2451</v>
      </c>
      <c r="DZ79" s="70" t="s">
        <v>2451</v>
      </c>
      <c r="EA79" s="70" t="s">
        <v>2451</v>
      </c>
      <c r="EB79" s="70" t="s">
        <v>2451</v>
      </c>
      <c r="EC79" s="71" t="s">
        <v>2451</v>
      </c>
      <c r="ED79" s="70">
        <v>0.40399829859634195</v>
      </c>
      <c r="EE79" s="70">
        <v>0.18396429061942032</v>
      </c>
      <c r="EF79" s="70">
        <v>0.37242912579369425</v>
      </c>
      <c r="EG79" s="70">
        <v>0.34495488105004091</v>
      </c>
      <c r="EH79" s="71">
        <v>0.32809949278742478</v>
      </c>
      <c r="EI79" s="70">
        <v>0.20264691387946354</v>
      </c>
      <c r="EJ79" s="70">
        <v>0.38241139319506057</v>
      </c>
      <c r="EK79" s="70">
        <v>4.7354043815466929E-2</v>
      </c>
      <c r="EL79" s="70">
        <v>7.0969274168954044E-2</v>
      </c>
      <c r="EM79" s="71">
        <v>0.15259066088272188</v>
      </c>
      <c r="EN79" s="70">
        <v>5.5160315009102234E-2</v>
      </c>
      <c r="EO79" s="70">
        <v>5.2888478643954073E-2</v>
      </c>
      <c r="EP79" s="70">
        <v>0.21546173657100809</v>
      </c>
      <c r="EQ79" s="70">
        <v>0.27327917972684657</v>
      </c>
      <c r="ER79" s="71">
        <v>0.16673623107310243</v>
      </c>
      <c r="ES79" s="70">
        <v>0.59203135444851185</v>
      </c>
      <c r="ET79" s="70">
        <v>0.59619509324417286</v>
      </c>
      <c r="EU79" s="70">
        <v>0.65755420182375413</v>
      </c>
      <c r="EV79" s="70">
        <v>0.55150070951170593</v>
      </c>
      <c r="EW79" s="71">
        <v>0.58241442338908733</v>
      </c>
      <c r="EX79" s="70">
        <v>0.49187087169076693</v>
      </c>
      <c r="EY79" s="70">
        <v>0.57669473385469283</v>
      </c>
      <c r="EZ79" s="70">
        <v>0.52899051532271857</v>
      </c>
      <c r="FA79" s="70">
        <v>0.28592502879699011</v>
      </c>
      <c r="FB79" s="71">
        <v>0.49133846795835701</v>
      </c>
      <c r="FC79" s="70">
        <v>0.20325561192125918</v>
      </c>
      <c r="FD79" s="70">
        <v>0.19835384743273576</v>
      </c>
      <c r="FE79" s="70">
        <v>0.15303577783228062</v>
      </c>
      <c r="FF79" s="70">
        <v>0.1811071412918015</v>
      </c>
      <c r="FG79" s="71">
        <v>0.11444654972890267</v>
      </c>
      <c r="FH79" s="70">
        <v>4.794160991752805E-2</v>
      </c>
      <c r="FI79" s="70">
        <v>5.0102443171601951E-2</v>
      </c>
      <c r="FJ79" s="70">
        <v>4.5980605393272089E-2</v>
      </c>
      <c r="FK79" s="70">
        <v>-3.1828214199060012E-3</v>
      </c>
      <c r="FL79" s="71">
        <v>7.8346110135680158E-2</v>
      </c>
      <c r="FM79" s="70" t="s">
        <v>2451</v>
      </c>
      <c r="FN79" s="70" t="s">
        <v>2451</v>
      </c>
      <c r="FO79" s="70" t="s">
        <v>2451</v>
      </c>
      <c r="FP79" s="70" t="s">
        <v>2451</v>
      </c>
      <c r="FQ79" s="71">
        <v>3.551920691689614E-2</v>
      </c>
      <c r="FR79" s="70" t="s">
        <v>2451</v>
      </c>
      <c r="FS79" s="70" t="s">
        <v>2451</v>
      </c>
      <c r="FT79" s="70" t="s">
        <v>2451</v>
      </c>
      <c r="FU79" s="70" t="s">
        <v>2451</v>
      </c>
      <c r="FV79" s="71">
        <v>0.21212106527674268</v>
      </c>
      <c r="FW79" s="70" t="s">
        <v>2451</v>
      </c>
      <c r="FX79" s="70" t="s">
        <v>2451</v>
      </c>
      <c r="FY79" s="70" t="s">
        <v>2451</v>
      </c>
      <c r="FZ79" s="70" t="s">
        <v>2451</v>
      </c>
      <c r="GA79" s="71">
        <v>9.9996002158834196E-2</v>
      </c>
    </row>
    <row r="80" spans="1:183" s="72" customFormat="1" ht="12.75" customHeight="1" outlineLevel="1">
      <c r="A80" s="63" t="s">
        <v>364</v>
      </c>
      <c r="B80" s="753" t="s">
        <v>36</v>
      </c>
      <c r="C80" s="69"/>
      <c r="D80" s="70"/>
      <c r="E80" s="70"/>
      <c r="F80" s="70"/>
      <c r="G80" s="70"/>
      <c r="H80" s="73"/>
      <c r="I80" s="70"/>
      <c r="J80" s="70"/>
      <c r="K80" s="70"/>
      <c r="L80" s="70"/>
      <c r="M80" s="73"/>
      <c r="N80" s="70"/>
      <c r="O80" s="70"/>
      <c r="P80" s="70"/>
      <c r="Q80" s="70"/>
      <c r="R80" s="73"/>
      <c r="S80" s="70"/>
      <c r="T80" s="70"/>
      <c r="U80" s="70"/>
      <c r="V80" s="70"/>
      <c r="W80" s="73"/>
      <c r="X80" s="70"/>
      <c r="Y80" s="70"/>
      <c r="Z80" s="70"/>
      <c r="AA80" s="70"/>
      <c r="AB80" s="73"/>
      <c r="AC80" s="70"/>
      <c r="AD80" s="70"/>
      <c r="AE80" s="70"/>
      <c r="AF80" s="70"/>
      <c r="AG80" s="73"/>
      <c r="AH80" s="70"/>
      <c r="AI80" s="70"/>
      <c r="AJ80" s="70"/>
      <c r="AK80" s="70"/>
      <c r="AL80" s="73"/>
      <c r="AM80" s="70"/>
      <c r="AN80" s="70"/>
      <c r="AO80" s="70"/>
      <c r="AP80" s="70"/>
      <c r="AQ80" s="73"/>
      <c r="AR80" s="70"/>
      <c r="AS80" s="70"/>
      <c r="AT80" s="70"/>
      <c r="AU80" s="70"/>
      <c r="AV80" s="73"/>
      <c r="AW80" s="70"/>
      <c r="AX80" s="70"/>
      <c r="AY80" s="70"/>
      <c r="AZ80" s="70"/>
      <c r="BA80" s="73"/>
      <c r="BB80" s="70"/>
      <c r="BC80" s="70"/>
      <c r="BD80" s="70"/>
      <c r="BE80" s="70"/>
      <c r="BF80" s="73"/>
      <c r="BG80" s="70"/>
      <c r="BH80" s="70"/>
      <c r="BI80" s="70"/>
      <c r="BJ80" s="70"/>
      <c r="BK80" s="73"/>
      <c r="BL80" s="70"/>
      <c r="BM80" s="70"/>
      <c r="BN80" s="70"/>
      <c r="BO80" s="70"/>
      <c r="BP80" s="73"/>
      <c r="BQ80" s="70"/>
      <c r="BR80" s="70"/>
      <c r="BS80" s="70"/>
      <c r="BT80" s="70"/>
      <c r="BU80" s="73"/>
      <c r="BV80" s="70"/>
      <c r="BW80" s="70"/>
      <c r="BX80" s="70"/>
      <c r="BY80" s="70"/>
      <c r="BZ80" s="73"/>
      <c r="CA80" s="70"/>
      <c r="CB80" s="70"/>
      <c r="CC80" s="70"/>
      <c r="CD80" s="70"/>
      <c r="CE80" s="73"/>
      <c r="CF80" s="70"/>
      <c r="CG80" s="70"/>
      <c r="CH80" s="70"/>
      <c r="CI80" s="70"/>
      <c r="CJ80" s="73"/>
      <c r="CK80" s="70"/>
      <c r="CL80" s="70"/>
      <c r="CM80" s="70"/>
      <c r="CN80" s="70"/>
      <c r="CO80" s="73"/>
      <c r="CP80" s="70"/>
      <c r="CQ80" s="70"/>
      <c r="CR80" s="70"/>
      <c r="CS80" s="70"/>
      <c r="CT80" s="73"/>
      <c r="CU80" s="70"/>
      <c r="CV80" s="70"/>
      <c r="CW80" s="70"/>
      <c r="CX80" s="70"/>
      <c r="CY80" s="73"/>
      <c r="CZ80" s="70"/>
      <c r="DA80" s="70"/>
      <c r="DB80" s="70"/>
      <c r="DC80" s="70"/>
      <c r="DD80" s="73"/>
      <c r="DE80" s="70"/>
      <c r="DF80" s="70"/>
      <c r="DG80" s="70"/>
      <c r="DH80" s="70"/>
      <c r="DI80" s="73"/>
      <c r="DJ80" s="70"/>
      <c r="DK80" s="70"/>
      <c r="DL80" s="70"/>
      <c r="DM80" s="70"/>
      <c r="DN80" s="73"/>
      <c r="DO80" s="70"/>
      <c r="DP80" s="70"/>
      <c r="DQ80" s="70"/>
      <c r="DR80" s="70"/>
      <c r="DS80" s="73"/>
      <c r="DT80" s="70"/>
      <c r="DU80" s="70"/>
      <c r="DV80" s="70"/>
      <c r="DW80" s="70"/>
      <c r="DX80" s="73"/>
      <c r="DY80" s="70" t="s">
        <v>2451</v>
      </c>
      <c r="DZ80" s="70">
        <v>3.2326669502339422E-2</v>
      </c>
      <c r="EA80" s="70">
        <v>3.8807251751133087E-2</v>
      </c>
      <c r="EB80" s="70">
        <v>0.28934069050804623</v>
      </c>
      <c r="EC80" s="73"/>
      <c r="ED80" s="70">
        <v>1.542247744052494E-2</v>
      </c>
      <c r="EE80" s="70">
        <v>-0.12945912102116663</v>
      </c>
      <c r="EF80" s="70">
        <v>0.20416581790914723</v>
      </c>
      <c r="EG80" s="70">
        <v>0.26352976809084483</v>
      </c>
      <c r="EH80" s="73"/>
      <c r="EI80" s="70">
        <v>-9.201808478194573E-2</v>
      </c>
      <c r="EJ80" s="70">
        <v>6.6413130379361363E-4</v>
      </c>
      <c r="EK80" s="70">
        <v>-8.7689854829235525E-2</v>
      </c>
      <c r="EL80" s="70">
        <v>0.29201922369389255</v>
      </c>
      <c r="EM80" s="73"/>
      <c r="EN80" s="70">
        <v>-0.10542112944604665</v>
      </c>
      <c r="EO80" s="70">
        <v>-1.4903708419543582E-3</v>
      </c>
      <c r="EP80" s="70">
        <v>5.3177136831017879E-2</v>
      </c>
      <c r="EQ80" s="70">
        <v>0.3534783760263347</v>
      </c>
      <c r="ER80" s="73"/>
      <c r="ES80" s="70">
        <v>0.11852736903666306</v>
      </c>
      <c r="ET80" s="70">
        <v>1.1210936051178066E-3</v>
      </c>
      <c r="EU80" s="70">
        <v>9.3662169372376258E-2</v>
      </c>
      <c r="EV80" s="70">
        <v>0.2668802374022714</v>
      </c>
      <c r="EW80" s="73"/>
      <c r="EX80" s="70">
        <v>7.5538277761977746E-2</v>
      </c>
      <c r="EY80" s="70">
        <v>5.8042211420843204E-2</v>
      </c>
      <c r="EZ80" s="70">
        <v>6.0572505274658184E-2</v>
      </c>
      <c r="FA80" s="70">
        <v>6.548274134977361E-2</v>
      </c>
      <c r="FB80" s="73"/>
      <c r="FC80" s="70">
        <v>6.3941828427804825E-3</v>
      </c>
      <c r="FD80" s="70">
        <v>5.3732010256669627E-2</v>
      </c>
      <c r="FE80" s="70">
        <v>2.0464903739992213E-2</v>
      </c>
      <c r="FF80" s="70">
        <v>9.1422572417727554E-2</v>
      </c>
      <c r="FG80" s="73"/>
      <c r="FH80" s="70">
        <v>-0.10707309835887202</v>
      </c>
      <c r="FI80" s="70">
        <v>5.5904783192772589E-2</v>
      </c>
      <c r="FJ80" s="70">
        <v>1.6459398544716786E-2</v>
      </c>
      <c r="FK80" s="70">
        <v>4.0123271565839502E-2</v>
      </c>
      <c r="FL80" s="73"/>
      <c r="FM80" s="70" t="s">
        <v>2451</v>
      </c>
      <c r="FN80" s="70" t="s">
        <v>2451</v>
      </c>
      <c r="FO80" s="70" t="s">
        <v>2451</v>
      </c>
      <c r="FP80" s="70" t="s">
        <v>2451</v>
      </c>
      <c r="FQ80" s="73"/>
      <c r="FR80" s="70" t="s">
        <v>2451</v>
      </c>
      <c r="FS80" s="70" t="s">
        <v>2451</v>
      </c>
      <c r="FT80" s="70" t="s">
        <v>2451</v>
      </c>
      <c r="FU80" s="70" t="s">
        <v>2451</v>
      </c>
      <c r="FV80" s="73"/>
      <c r="FW80" s="70" t="s">
        <v>2451</v>
      </c>
      <c r="FX80" s="70" t="s">
        <v>2451</v>
      </c>
      <c r="FY80" s="70" t="s">
        <v>2451</v>
      </c>
      <c r="FZ80" s="70" t="s">
        <v>2451</v>
      </c>
      <c r="GA80" s="73"/>
    </row>
    <row r="81" spans="1:183" s="72" customFormat="1" ht="12.75" customHeight="1" outlineLevel="1">
      <c r="A81" s="54"/>
      <c r="B81" s="753"/>
      <c r="C81" s="69"/>
      <c r="D81" s="70"/>
      <c r="E81" s="70"/>
      <c r="F81" s="70"/>
      <c r="G81" s="70"/>
      <c r="H81" s="73"/>
      <c r="I81" s="70"/>
      <c r="J81" s="70"/>
      <c r="K81" s="70"/>
      <c r="L81" s="70"/>
      <c r="M81" s="73"/>
      <c r="N81" s="70"/>
      <c r="O81" s="70"/>
      <c r="P81" s="70"/>
      <c r="Q81" s="70"/>
      <c r="R81" s="73"/>
      <c r="S81" s="70"/>
      <c r="T81" s="70"/>
      <c r="U81" s="70"/>
      <c r="V81" s="70"/>
      <c r="W81" s="73"/>
      <c r="X81" s="70"/>
      <c r="Y81" s="70"/>
      <c r="Z81" s="70"/>
      <c r="AA81" s="70"/>
      <c r="AB81" s="73"/>
      <c r="AC81" s="70"/>
      <c r="AD81" s="70"/>
      <c r="AE81" s="70"/>
      <c r="AF81" s="70"/>
      <c r="AG81" s="73"/>
      <c r="AH81" s="70"/>
      <c r="AI81" s="70"/>
      <c r="AJ81" s="70"/>
      <c r="AK81" s="70"/>
      <c r="AL81" s="73"/>
      <c r="AM81" s="70"/>
      <c r="AN81" s="70"/>
      <c r="AO81" s="70"/>
      <c r="AP81" s="70"/>
      <c r="AQ81" s="73"/>
      <c r="AR81" s="70"/>
      <c r="AS81" s="70"/>
      <c r="AT81" s="70"/>
      <c r="AU81" s="70"/>
      <c r="AV81" s="73"/>
      <c r="AW81" s="70"/>
      <c r="AX81" s="70"/>
      <c r="AY81" s="70"/>
      <c r="AZ81" s="70"/>
      <c r="BA81" s="73"/>
      <c r="BB81" s="70"/>
      <c r="BC81" s="70"/>
      <c r="BD81" s="70"/>
      <c r="BE81" s="70"/>
      <c r="BF81" s="73"/>
      <c r="BG81" s="70"/>
      <c r="BH81" s="70"/>
      <c r="BI81" s="70"/>
      <c r="BJ81" s="70"/>
      <c r="BK81" s="73"/>
      <c r="BL81" s="70"/>
      <c r="BM81" s="70"/>
      <c r="BN81" s="70"/>
      <c r="BO81" s="70"/>
      <c r="BP81" s="73"/>
      <c r="BQ81" s="70"/>
      <c r="BR81" s="70"/>
      <c r="BS81" s="70"/>
      <c r="BT81" s="70"/>
      <c r="BU81" s="73"/>
      <c r="BV81" s="70"/>
      <c r="BW81" s="70"/>
      <c r="BX81" s="70"/>
      <c r="BY81" s="70"/>
      <c r="BZ81" s="73"/>
      <c r="CA81" s="70"/>
      <c r="CB81" s="70"/>
      <c r="CC81" s="70"/>
      <c r="CD81" s="70"/>
      <c r="CE81" s="73"/>
      <c r="CF81" s="70"/>
      <c r="CG81" s="70"/>
      <c r="CH81" s="70"/>
      <c r="CI81" s="70"/>
      <c r="CJ81" s="73"/>
      <c r="CK81" s="70"/>
      <c r="CL81" s="70"/>
      <c r="CM81" s="70"/>
      <c r="CN81" s="70"/>
      <c r="CO81" s="73"/>
      <c r="CP81" s="70"/>
      <c r="CQ81" s="70"/>
      <c r="CR81" s="70"/>
      <c r="CS81" s="70"/>
      <c r="CT81" s="73"/>
      <c r="CU81" s="70"/>
      <c r="CV81" s="70"/>
      <c r="CW81" s="70"/>
      <c r="CX81" s="70"/>
      <c r="CY81" s="73"/>
      <c r="CZ81" s="70"/>
      <c r="DA81" s="70"/>
      <c r="DB81" s="70"/>
      <c r="DC81" s="70"/>
      <c r="DD81" s="73"/>
      <c r="DE81" s="70"/>
      <c r="DF81" s="70"/>
      <c r="DG81" s="70"/>
      <c r="DH81" s="70"/>
      <c r="DI81" s="73"/>
      <c r="DJ81" s="70"/>
      <c r="DK81" s="70"/>
      <c r="DL81" s="70"/>
      <c r="DM81" s="70"/>
      <c r="DN81" s="73"/>
      <c r="DO81" s="70"/>
      <c r="DP81" s="70"/>
      <c r="DQ81" s="70"/>
      <c r="DR81" s="70"/>
      <c r="DS81" s="73"/>
      <c r="DT81" s="70"/>
      <c r="DU81" s="70"/>
      <c r="DV81" s="70"/>
      <c r="DW81" s="70"/>
      <c r="DX81" s="73"/>
      <c r="DY81" s="70"/>
      <c r="DZ81" s="70"/>
      <c r="EA81" s="70"/>
      <c r="EB81" s="70"/>
      <c r="EC81" s="73"/>
      <c r="ED81" s="70"/>
      <c r="EE81" s="70"/>
      <c r="EF81" s="70"/>
      <c r="EG81" s="70"/>
      <c r="EH81" s="73"/>
      <c r="EI81" s="70"/>
      <c r="EJ81" s="70"/>
      <c r="EK81" s="70"/>
      <c r="EL81" s="70"/>
      <c r="EM81" s="73"/>
      <c r="EN81" s="70"/>
      <c r="EO81" s="70"/>
      <c r="EP81" s="70"/>
      <c r="EQ81" s="70"/>
      <c r="ER81" s="73"/>
      <c r="ES81" s="70"/>
      <c r="ET81" s="70"/>
      <c r="EU81" s="70"/>
      <c r="EV81" s="70"/>
      <c r="EW81" s="73"/>
      <c r="EX81" s="70"/>
      <c r="EY81" s="70"/>
      <c r="EZ81" s="70"/>
      <c r="FA81" s="70"/>
      <c r="FB81" s="73"/>
      <c r="FC81" s="70"/>
      <c r="FD81" s="70"/>
      <c r="FE81" s="70"/>
      <c r="FF81" s="70"/>
      <c r="FG81" s="73"/>
      <c r="FH81" s="70"/>
      <c r="FI81" s="70"/>
      <c r="FJ81" s="70"/>
      <c r="FK81" s="70"/>
      <c r="FL81" s="73"/>
      <c r="FM81" s="70"/>
      <c r="FN81" s="70"/>
      <c r="FO81" s="70"/>
      <c r="FP81" s="70"/>
      <c r="FQ81" s="73"/>
      <c r="FR81" s="70"/>
      <c r="FS81" s="70"/>
      <c r="FT81" s="70"/>
      <c r="FU81" s="70"/>
      <c r="FV81" s="73"/>
      <c r="FW81" s="70"/>
      <c r="FX81" s="70"/>
      <c r="FY81" s="70"/>
      <c r="FZ81" s="70"/>
      <c r="GA81" s="73"/>
    </row>
    <row r="82" spans="1:183" s="1558" customFormat="1" ht="12.75" customHeight="1" outlineLevel="1">
      <c r="A82" s="1401" t="s">
        <v>46</v>
      </c>
      <c r="B82" s="1549" t="s">
        <v>1883</v>
      </c>
      <c r="C82" s="1555"/>
      <c r="D82" s="1556"/>
      <c r="E82" s="1556"/>
      <c r="F82" s="1556"/>
      <c r="G82" s="1556"/>
      <c r="H82" s="1557"/>
      <c r="I82" s="1556"/>
      <c r="J82" s="1556"/>
      <c r="K82" s="1556"/>
      <c r="L82" s="1556"/>
      <c r="M82" s="1557"/>
      <c r="N82" s="1556"/>
      <c r="O82" s="1556"/>
      <c r="P82" s="1556"/>
      <c r="Q82" s="1556"/>
      <c r="R82" s="1557"/>
      <c r="S82" s="1556"/>
      <c r="T82" s="1556"/>
      <c r="U82" s="1556"/>
      <c r="V82" s="1556"/>
      <c r="W82" s="1557"/>
      <c r="X82" s="1556"/>
      <c r="Y82" s="1556"/>
      <c r="Z82" s="1556"/>
      <c r="AA82" s="1556"/>
      <c r="AB82" s="1557"/>
      <c r="AC82" s="1556"/>
      <c r="AD82" s="1556"/>
      <c r="AE82" s="1556"/>
      <c r="AF82" s="1556"/>
      <c r="AG82" s="1557"/>
      <c r="AH82" s="1556"/>
      <c r="AI82" s="1556"/>
      <c r="AJ82" s="1556"/>
      <c r="AK82" s="1556"/>
      <c r="AL82" s="1557"/>
      <c r="AM82" s="1556"/>
      <c r="AN82" s="1556"/>
      <c r="AO82" s="1556"/>
      <c r="AP82" s="1556"/>
      <c r="AQ82" s="1557"/>
      <c r="AR82" s="1556"/>
      <c r="AS82" s="1556"/>
      <c r="AT82" s="1556"/>
      <c r="AU82" s="1556"/>
      <c r="AV82" s="1557"/>
      <c r="AW82" s="1556"/>
      <c r="AX82" s="1556"/>
      <c r="AY82" s="1556"/>
      <c r="AZ82" s="1556"/>
      <c r="BA82" s="1557"/>
      <c r="BB82" s="1556"/>
      <c r="BC82" s="1556"/>
      <c r="BD82" s="1556"/>
      <c r="BE82" s="1556"/>
      <c r="BF82" s="1557"/>
      <c r="BG82" s="1556"/>
      <c r="BH82" s="1556"/>
      <c r="BI82" s="1556"/>
      <c r="BJ82" s="1556"/>
      <c r="BK82" s="1557"/>
      <c r="BL82" s="1556"/>
      <c r="BM82" s="1556"/>
      <c r="BN82" s="1556"/>
      <c r="BO82" s="1556"/>
      <c r="BP82" s="1557"/>
      <c r="BQ82" s="1556"/>
      <c r="BR82" s="1556"/>
      <c r="BS82" s="1556"/>
      <c r="BT82" s="1556"/>
      <c r="BU82" s="1557"/>
      <c r="BV82" s="1556"/>
      <c r="BW82" s="1556"/>
      <c r="BX82" s="1556"/>
      <c r="BY82" s="1556"/>
      <c r="BZ82" s="1557"/>
      <c r="CA82" s="1556"/>
      <c r="CB82" s="1556"/>
      <c r="CC82" s="1556"/>
      <c r="CD82" s="1556"/>
      <c r="CE82" s="1557"/>
      <c r="CF82" s="1556"/>
      <c r="CG82" s="1556"/>
      <c r="CH82" s="1556"/>
      <c r="CI82" s="1556"/>
      <c r="CJ82" s="1557"/>
      <c r="CK82" s="1556"/>
      <c r="CL82" s="1556"/>
      <c r="CM82" s="1556"/>
      <c r="CN82" s="1556"/>
      <c r="CO82" s="1557"/>
      <c r="CP82" s="1556"/>
      <c r="CQ82" s="1556"/>
      <c r="CR82" s="1556"/>
      <c r="CS82" s="1556"/>
      <c r="CT82" s="1557"/>
      <c r="CU82" s="1556"/>
      <c r="CV82" s="1556"/>
      <c r="CW82" s="1556"/>
      <c r="CX82" s="1556"/>
      <c r="CY82" s="1557"/>
      <c r="CZ82" s="1556"/>
      <c r="DA82" s="1556"/>
      <c r="DB82" s="1556"/>
      <c r="DC82" s="1556"/>
      <c r="DD82" s="1557"/>
      <c r="DE82" s="1556"/>
      <c r="DF82" s="1556"/>
      <c r="DG82" s="1556"/>
      <c r="DH82" s="1556"/>
      <c r="DI82" s="1557"/>
      <c r="DJ82" s="1556"/>
      <c r="DK82" s="1556"/>
      <c r="DL82" s="1556"/>
      <c r="DM82" s="1556"/>
      <c r="DN82" s="1557"/>
      <c r="DO82" s="1556"/>
      <c r="DP82" s="1556"/>
      <c r="DQ82" s="1556"/>
      <c r="DR82" s="1556"/>
      <c r="DS82" s="1557"/>
      <c r="DT82" s="1556"/>
      <c r="DU82" s="1556"/>
      <c r="DV82" s="1556"/>
      <c r="DW82" s="1556"/>
      <c r="DX82" s="1557"/>
      <c r="DY82" s="1556">
        <v>10215.875</v>
      </c>
      <c r="DZ82" s="1556">
        <v>7641.3334999999997</v>
      </c>
      <c r="EA82" s="1556">
        <v>13437</v>
      </c>
      <c r="EB82" s="1556">
        <v>13391.666999999999</v>
      </c>
      <c r="EC82" s="1557">
        <v>45095.453000000001</v>
      </c>
      <c r="ED82" s="1556">
        <v>13974.333000000001</v>
      </c>
      <c r="EE82" s="1556">
        <v>9098</v>
      </c>
      <c r="EF82" s="1556">
        <v>16693.5</v>
      </c>
      <c r="EG82" s="1556">
        <v>15893.833000000001</v>
      </c>
      <c r="EH82" s="1557">
        <v>55483.777000000002</v>
      </c>
      <c r="EI82" s="1556">
        <v>18285.333999999999</v>
      </c>
      <c r="EJ82" s="1556">
        <v>9409.8179999999993</v>
      </c>
      <c r="EK82" s="1556">
        <v>19608.333999999999</v>
      </c>
      <c r="EL82" s="1556">
        <v>17158</v>
      </c>
      <c r="EM82" s="1557">
        <v>65067.133000000002</v>
      </c>
      <c r="EN82" s="1556">
        <v>17698</v>
      </c>
      <c r="EO82" s="1556">
        <v>5507.5330000000004</v>
      </c>
      <c r="EP82" s="1556">
        <v>17765.25</v>
      </c>
      <c r="EQ82" s="1556">
        <v>19492.357</v>
      </c>
      <c r="ER82" s="1557">
        <v>60085.832000000002</v>
      </c>
      <c r="ES82" s="1556">
        <v>21096.059000000001</v>
      </c>
      <c r="ET82" s="1556">
        <v>6218.2219999999998</v>
      </c>
      <c r="EU82" s="1556">
        <v>20634.766</v>
      </c>
      <c r="EV82" s="1556">
        <v>22275.833999999999</v>
      </c>
      <c r="EW82" s="1557">
        <v>72678.899999999994</v>
      </c>
      <c r="EX82" s="1556">
        <v>18738.583999999999</v>
      </c>
      <c r="EY82" s="1556">
        <v>6393.5330000000004</v>
      </c>
      <c r="EZ82" s="1556">
        <v>20237.75</v>
      </c>
      <c r="FA82" s="1556">
        <v>20565.775000000001</v>
      </c>
      <c r="FB82" s="1557">
        <v>66958.25</v>
      </c>
      <c r="FC82" s="1556">
        <v>25058.578000000001</v>
      </c>
      <c r="FD82" s="1556">
        <v>9030.9230000000007</v>
      </c>
      <c r="FE82" s="1556">
        <v>19646.223000000002</v>
      </c>
      <c r="FF82" s="1556">
        <v>19064.201000000001</v>
      </c>
      <c r="FG82" s="1557">
        <v>76553.740000000005</v>
      </c>
      <c r="FH82" s="1556">
        <v>27258.5</v>
      </c>
      <c r="FI82" s="1556">
        <v>10321</v>
      </c>
      <c r="FJ82" s="1556">
        <v>25369</v>
      </c>
      <c r="FK82" s="1556">
        <v>27945</v>
      </c>
      <c r="FL82" s="1557">
        <v>97117.695000000007</v>
      </c>
      <c r="FM82" s="1556" t="s">
        <v>2451</v>
      </c>
      <c r="FN82" s="1556" t="s">
        <v>2451</v>
      </c>
      <c r="FO82" s="1556" t="s">
        <v>2451</v>
      </c>
      <c r="FP82" s="1556" t="s">
        <v>2451</v>
      </c>
      <c r="FQ82" s="1557">
        <v>135562.9</v>
      </c>
      <c r="FR82" s="1556" t="s">
        <v>2451</v>
      </c>
      <c r="FS82" s="1556" t="s">
        <v>2451</v>
      </c>
      <c r="FT82" s="1556" t="s">
        <v>2451</v>
      </c>
      <c r="FU82" s="1556" t="s">
        <v>2451</v>
      </c>
      <c r="FV82" s="1557">
        <v>135374</v>
      </c>
      <c r="FW82" s="1556" t="s">
        <v>2451</v>
      </c>
      <c r="FX82" s="1556" t="s">
        <v>2451</v>
      </c>
      <c r="FY82" s="1556" t="s">
        <v>2451</v>
      </c>
      <c r="FZ82" s="1556" t="s">
        <v>2451</v>
      </c>
      <c r="GA82" s="1557">
        <v>164430</v>
      </c>
    </row>
    <row r="83" spans="1:183" s="55" customFormat="1" ht="12.75" customHeight="1" outlineLevel="1">
      <c r="A83" s="63" t="s">
        <v>342</v>
      </c>
      <c r="B83" s="753" t="s">
        <v>34</v>
      </c>
      <c r="C83" s="74"/>
      <c r="D83" s="70"/>
      <c r="E83" s="70"/>
      <c r="F83" s="70"/>
      <c r="G83" s="70"/>
      <c r="H83" s="71"/>
      <c r="I83" s="70"/>
      <c r="J83" s="70"/>
      <c r="K83" s="70"/>
      <c r="L83" s="70"/>
      <c r="M83" s="71"/>
      <c r="N83" s="70"/>
      <c r="O83" s="70"/>
      <c r="P83" s="70"/>
      <c r="Q83" s="70"/>
      <c r="R83" s="71"/>
      <c r="S83" s="70"/>
      <c r="T83" s="70"/>
      <c r="U83" s="70"/>
      <c r="V83" s="70"/>
      <c r="W83" s="71"/>
      <c r="X83" s="70"/>
      <c r="Y83" s="70"/>
      <c r="Z83" s="70"/>
      <c r="AA83" s="70"/>
      <c r="AB83" s="71"/>
      <c r="AC83" s="70"/>
      <c r="AD83" s="70"/>
      <c r="AE83" s="70"/>
      <c r="AF83" s="70"/>
      <c r="AG83" s="71"/>
      <c r="AH83" s="70"/>
      <c r="AI83" s="70"/>
      <c r="AJ83" s="70"/>
      <c r="AK83" s="70"/>
      <c r="AL83" s="71"/>
      <c r="AM83" s="70"/>
      <c r="AN83" s="70"/>
      <c r="AO83" s="70"/>
      <c r="AP83" s="70"/>
      <c r="AQ83" s="71"/>
      <c r="AR83" s="70"/>
      <c r="AS83" s="70"/>
      <c r="AT83" s="70"/>
      <c r="AU83" s="70"/>
      <c r="AV83" s="71"/>
      <c r="AW83" s="70"/>
      <c r="AX83" s="70"/>
      <c r="AY83" s="70"/>
      <c r="AZ83" s="70"/>
      <c r="BA83" s="71"/>
      <c r="BB83" s="70"/>
      <c r="BC83" s="70"/>
      <c r="BD83" s="70"/>
      <c r="BE83" s="70"/>
      <c r="BF83" s="71"/>
      <c r="BG83" s="70"/>
      <c r="BH83" s="70"/>
      <c r="BI83" s="70"/>
      <c r="BJ83" s="70"/>
      <c r="BK83" s="71"/>
      <c r="BL83" s="70"/>
      <c r="BM83" s="70"/>
      <c r="BN83" s="70"/>
      <c r="BO83" s="70"/>
      <c r="BP83" s="71"/>
      <c r="BQ83" s="70"/>
      <c r="BR83" s="70"/>
      <c r="BS83" s="70"/>
      <c r="BT83" s="70"/>
      <c r="BU83" s="71"/>
      <c r="BV83" s="70"/>
      <c r="BW83" s="70"/>
      <c r="BX83" s="70"/>
      <c r="BY83" s="70"/>
      <c r="BZ83" s="71"/>
      <c r="CA83" s="70"/>
      <c r="CB83" s="70"/>
      <c r="CC83" s="70"/>
      <c r="CD83" s="70"/>
      <c r="CE83" s="71"/>
      <c r="CF83" s="70"/>
      <c r="CG83" s="70"/>
      <c r="CH83" s="70"/>
      <c r="CI83" s="70"/>
      <c r="CJ83" s="71"/>
      <c r="CK83" s="70"/>
      <c r="CL83" s="70"/>
      <c r="CM83" s="70"/>
      <c r="CN83" s="70"/>
      <c r="CO83" s="71"/>
      <c r="CP83" s="70"/>
      <c r="CQ83" s="70"/>
      <c r="CR83" s="70"/>
      <c r="CS83" s="70"/>
      <c r="CT83" s="71"/>
      <c r="CU83" s="70"/>
      <c r="CV83" s="70"/>
      <c r="CW83" s="70"/>
      <c r="CX83" s="70"/>
      <c r="CY83" s="71"/>
      <c r="CZ83" s="70"/>
      <c r="DA83" s="70"/>
      <c r="DB83" s="70"/>
      <c r="DC83" s="70"/>
      <c r="DD83" s="71"/>
      <c r="DE83" s="70"/>
      <c r="DF83" s="70"/>
      <c r="DG83" s="70"/>
      <c r="DH83" s="70"/>
      <c r="DI83" s="71"/>
      <c r="DJ83" s="70"/>
      <c r="DK83" s="70"/>
      <c r="DL83" s="70"/>
      <c r="DM83" s="70"/>
      <c r="DN83" s="71"/>
      <c r="DO83" s="70"/>
      <c r="DP83" s="70"/>
      <c r="DQ83" s="70"/>
      <c r="DR83" s="70"/>
      <c r="DS83" s="71"/>
      <c r="DT83" s="70"/>
      <c r="DU83" s="70"/>
      <c r="DV83" s="70"/>
      <c r="DW83" s="70"/>
      <c r="DX83" s="71"/>
      <c r="DY83" s="70" t="s">
        <v>2451</v>
      </c>
      <c r="DZ83" s="70" t="s">
        <v>2451</v>
      </c>
      <c r="EA83" s="70" t="s">
        <v>2451</v>
      </c>
      <c r="EB83" s="70" t="s">
        <v>2451</v>
      </c>
      <c r="EC83" s="71" t="s">
        <v>2451</v>
      </c>
      <c r="ED83" s="70">
        <v>0.36790367932262291</v>
      </c>
      <c r="EE83" s="70">
        <v>0.19062988155143334</v>
      </c>
      <c r="EF83" s="70">
        <v>0.24235320384014281</v>
      </c>
      <c r="EG83" s="70">
        <v>0.18684499846060998</v>
      </c>
      <c r="EH83" s="71">
        <v>0.23036300356046979</v>
      </c>
      <c r="EI83" s="70">
        <v>0.30849422294430795</v>
      </c>
      <c r="EJ83" s="70">
        <v>3.4273246867443374E-2</v>
      </c>
      <c r="EK83" s="70">
        <v>0.17460891963938052</v>
      </c>
      <c r="EL83" s="70">
        <v>7.953820831010372E-2</v>
      </c>
      <c r="EM83" s="71">
        <v>0.17272356926962629</v>
      </c>
      <c r="EN83" s="70">
        <v>-3.2120496130942922E-2</v>
      </c>
      <c r="EO83" s="70">
        <v>-0.41470355749707377</v>
      </c>
      <c r="EP83" s="70">
        <v>-9.3994930930899057E-2</v>
      </c>
      <c r="EQ83" s="70">
        <v>0.13605064692854651</v>
      </c>
      <c r="ER83" s="71">
        <v>-7.6556331443095815E-2</v>
      </c>
      <c r="ES83" s="70">
        <v>0.19200242965306824</v>
      </c>
      <c r="ET83" s="70">
        <v>0.12903944470237394</v>
      </c>
      <c r="EU83" s="70">
        <v>0.1615240990135236</v>
      </c>
      <c r="EV83" s="70">
        <v>0.14279837989833655</v>
      </c>
      <c r="EW83" s="71">
        <v>0.20958464884034544</v>
      </c>
      <c r="EX83" s="70">
        <v>-0.11174954525866665</v>
      </c>
      <c r="EY83" s="70">
        <v>2.8193107290154673E-2</v>
      </c>
      <c r="EZ83" s="70">
        <v>-1.9240150336572781E-2</v>
      </c>
      <c r="FA83" s="70">
        <v>-7.6767451220905891E-2</v>
      </c>
      <c r="FB83" s="71">
        <v>-7.871129034699198E-2</v>
      </c>
      <c r="FC83" s="70">
        <v>0.33727169566281012</v>
      </c>
      <c r="FD83" s="70">
        <v>0.41250901496871917</v>
      </c>
      <c r="FE83" s="70">
        <v>-2.9228891551679292E-2</v>
      </c>
      <c r="FF83" s="70">
        <v>-7.3013246522438346E-2</v>
      </c>
      <c r="FG83" s="71">
        <v>0.14330556727513044</v>
      </c>
      <c r="FH83" s="70">
        <v>8.7791174742636979E-2</v>
      </c>
      <c r="FI83" s="70">
        <v>0.14285106848989848</v>
      </c>
      <c r="FJ83" s="70">
        <v>0.2912914609591879</v>
      </c>
      <c r="FK83" s="70">
        <v>0.46583641244655349</v>
      </c>
      <c r="FL83" s="71">
        <v>0.26862116730025209</v>
      </c>
      <c r="FM83" s="70" t="s">
        <v>2451</v>
      </c>
      <c r="FN83" s="70" t="s">
        <v>2451</v>
      </c>
      <c r="FO83" s="70" t="s">
        <v>2451</v>
      </c>
      <c r="FP83" s="70" t="s">
        <v>2451</v>
      </c>
      <c r="FQ83" s="71">
        <v>0.39586200022560236</v>
      </c>
      <c r="FR83" s="70" t="s">
        <v>2451</v>
      </c>
      <c r="FS83" s="70" t="s">
        <v>2451</v>
      </c>
      <c r="FT83" s="70" t="s">
        <v>2451</v>
      </c>
      <c r="FU83" s="70" t="s">
        <v>2451</v>
      </c>
      <c r="FV83" s="71">
        <v>-1.3934490926351684E-3</v>
      </c>
      <c r="FW83" s="70" t="s">
        <v>2451</v>
      </c>
      <c r="FX83" s="70" t="s">
        <v>2451</v>
      </c>
      <c r="FY83" s="70" t="s">
        <v>2451</v>
      </c>
      <c r="FZ83" s="70" t="s">
        <v>2451</v>
      </c>
      <c r="GA83" s="71">
        <v>0.21463501115428363</v>
      </c>
    </row>
    <row r="84" spans="1:183" s="55" customFormat="1" ht="12.75" customHeight="1" outlineLevel="1">
      <c r="A84" s="63" t="s">
        <v>359</v>
      </c>
      <c r="B84" s="753" t="s">
        <v>36</v>
      </c>
      <c r="C84" s="74"/>
      <c r="D84" s="70"/>
      <c r="E84" s="70"/>
      <c r="F84" s="70"/>
      <c r="G84" s="70"/>
      <c r="H84" s="75"/>
      <c r="I84" s="70"/>
      <c r="J84" s="70"/>
      <c r="K84" s="70"/>
      <c r="L84" s="70"/>
      <c r="M84" s="73"/>
      <c r="N84" s="70"/>
      <c r="O84" s="70"/>
      <c r="P84" s="70"/>
      <c r="Q84" s="70"/>
      <c r="R84" s="73"/>
      <c r="S84" s="70"/>
      <c r="T84" s="70"/>
      <c r="U84" s="70"/>
      <c r="V84" s="70"/>
      <c r="W84" s="73"/>
      <c r="X84" s="70"/>
      <c r="Y84" s="70"/>
      <c r="Z84" s="70"/>
      <c r="AA84" s="70"/>
      <c r="AB84" s="73"/>
      <c r="AC84" s="70"/>
      <c r="AD84" s="70"/>
      <c r="AE84" s="70"/>
      <c r="AF84" s="70"/>
      <c r="AG84" s="73"/>
      <c r="AH84" s="70"/>
      <c r="AI84" s="70"/>
      <c r="AJ84" s="70"/>
      <c r="AK84" s="70"/>
      <c r="AL84" s="73"/>
      <c r="AM84" s="70"/>
      <c r="AN84" s="70"/>
      <c r="AO84" s="70"/>
      <c r="AP84" s="70"/>
      <c r="AQ84" s="73"/>
      <c r="AR84" s="70"/>
      <c r="AS84" s="70"/>
      <c r="AT84" s="70"/>
      <c r="AU84" s="70"/>
      <c r="AV84" s="73"/>
      <c r="AW84" s="70"/>
      <c r="AX84" s="70"/>
      <c r="AY84" s="70"/>
      <c r="AZ84" s="70"/>
      <c r="BA84" s="73"/>
      <c r="BB84" s="70"/>
      <c r="BC84" s="70"/>
      <c r="BD84" s="70"/>
      <c r="BE84" s="70"/>
      <c r="BF84" s="73"/>
      <c r="BG84" s="70"/>
      <c r="BH84" s="70"/>
      <c r="BI84" s="70"/>
      <c r="BJ84" s="70"/>
      <c r="BK84" s="73"/>
      <c r="BL84" s="70"/>
      <c r="BM84" s="70"/>
      <c r="BN84" s="70"/>
      <c r="BO84" s="70"/>
      <c r="BP84" s="73"/>
      <c r="BQ84" s="70"/>
      <c r="BR84" s="70"/>
      <c r="BS84" s="70"/>
      <c r="BT84" s="70"/>
      <c r="BU84" s="73"/>
      <c r="BV84" s="70"/>
      <c r="BW84" s="70"/>
      <c r="BX84" s="70"/>
      <c r="BY84" s="70"/>
      <c r="BZ84" s="73"/>
      <c r="CA84" s="70"/>
      <c r="CB84" s="70"/>
      <c r="CC84" s="70"/>
      <c r="CD84" s="70"/>
      <c r="CE84" s="73"/>
      <c r="CF84" s="70"/>
      <c r="CG84" s="70"/>
      <c r="CH84" s="70"/>
      <c r="CI84" s="70"/>
      <c r="CJ84" s="73"/>
      <c r="CK84" s="70"/>
      <c r="CL84" s="70"/>
      <c r="CM84" s="70"/>
      <c r="CN84" s="70"/>
      <c r="CO84" s="73"/>
      <c r="CP84" s="70"/>
      <c r="CQ84" s="70"/>
      <c r="CR84" s="70"/>
      <c r="CS84" s="70"/>
      <c r="CT84" s="73"/>
      <c r="CU84" s="70"/>
      <c r="CV84" s="70"/>
      <c r="CW84" s="70"/>
      <c r="CX84" s="70"/>
      <c r="CY84" s="73"/>
      <c r="CZ84" s="70"/>
      <c r="DA84" s="70"/>
      <c r="DB84" s="70"/>
      <c r="DC84" s="70"/>
      <c r="DD84" s="73"/>
      <c r="DE84" s="70"/>
      <c r="DF84" s="70"/>
      <c r="DG84" s="70"/>
      <c r="DH84" s="70"/>
      <c r="DI84" s="73"/>
      <c r="DJ84" s="70"/>
      <c r="DK84" s="70"/>
      <c r="DL84" s="70"/>
      <c r="DM84" s="70"/>
      <c r="DN84" s="73"/>
      <c r="DO84" s="70"/>
      <c r="DP84" s="70"/>
      <c r="DQ84" s="70"/>
      <c r="DR84" s="70"/>
      <c r="DS84" s="73"/>
      <c r="DT84" s="70"/>
      <c r="DU84" s="70"/>
      <c r="DV84" s="70"/>
      <c r="DW84" s="70"/>
      <c r="DX84" s="73"/>
      <c r="DY84" s="70" t="s">
        <v>2451</v>
      </c>
      <c r="DZ84" s="70">
        <v>-0.25201380204828272</v>
      </c>
      <c r="EA84" s="70">
        <v>0.75846270811239958</v>
      </c>
      <c r="EB84" s="70">
        <v>-3.3737441393169032E-3</v>
      </c>
      <c r="EC84" s="73"/>
      <c r="ED84" s="70">
        <v>4.3509594436600185E-2</v>
      </c>
      <c r="EE84" s="70">
        <v>-0.34894924859741072</v>
      </c>
      <c r="EF84" s="70">
        <v>0.83485381402506054</v>
      </c>
      <c r="EG84" s="70">
        <v>-4.7902896336897594E-2</v>
      </c>
      <c r="EH84" s="73"/>
      <c r="EI84" s="70">
        <v>0.15046722838977855</v>
      </c>
      <c r="EJ84" s="70">
        <v>-0.4853898758425742</v>
      </c>
      <c r="EK84" s="70">
        <v>1.0838164988950902</v>
      </c>
      <c r="EL84" s="70">
        <v>-0.12496390565358584</v>
      </c>
      <c r="EM84" s="73"/>
      <c r="EN84" s="70">
        <v>3.1472199557057934E-2</v>
      </c>
      <c r="EO84" s="70">
        <v>-0.68880478020115266</v>
      </c>
      <c r="EP84" s="70">
        <v>2.2256275178015272</v>
      </c>
      <c r="EQ84" s="70">
        <v>9.7218277254752961E-2</v>
      </c>
      <c r="ER84" s="73"/>
      <c r="ES84" s="70">
        <v>8.2273375149039207E-2</v>
      </c>
      <c r="ET84" s="70">
        <v>-0.70524248154596081</v>
      </c>
      <c r="EU84" s="70">
        <v>2.3184350767791821</v>
      </c>
      <c r="EV84" s="70">
        <v>7.9529275980158909E-2</v>
      </c>
      <c r="EW84" s="73"/>
      <c r="EX84" s="70">
        <v>-0.15879315674555661</v>
      </c>
      <c r="EY84" s="70">
        <v>-0.65880383491089822</v>
      </c>
      <c r="EZ84" s="70">
        <v>2.1653469216472332</v>
      </c>
      <c r="FA84" s="70">
        <v>1.6208570616792928E-2</v>
      </c>
      <c r="FB84" s="73"/>
      <c r="FC84" s="70">
        <v>0.2184601844569436</v>
      </c>
      <c r="FD84" s="70">
        <v>-0.63960752282112732</v>
      </c>
      <c r="FE84" s="70">
        <v>1.1754390996357738</v>
      </c>
      <c r="FF84" s="70">
        <v>-2.9625134561487965E-2</v>
      </c>
      <c r="FG84" s="73"/>
      <c r="FH84" s="70">
        <v>0.42982651095632063</v>
      </c>
      <c r="FI84" s="70">
        <v>-0.62136581249885359</v>
      </c>
      <c r="FJ84" s="70">
        <v>1.4579982559829472</v>
      </c>
      <c r="FK84" s="70">
        <v>0.10154125113327295</v>
      </c>
      <c r="FL84" s="73"/>
      <c r="FM84" s="70" t="s">
        <v>2451</v>
      </c>
      <c r="FN84" s="70" t="s">
        <v>2451</v>
      </c>
      <c r="FO84" s="70" t="s">
        <v>2451</v>
      </c>
      <c r="FP84" s="70" t="s">
        <v>2451</v>
      </c>
      <c r="FQ84" s="73"/>
      <c r="FR84" s="70" t="s">
        <v>2451</v>
      </c>
      <c r="FS84" s="70" t="s">
        <v>2451</v>
      </c>
      <c r="FT84" s="70" t="s">
        <v>2451</v>
      </c>
      <c r="FU84" s="70" t="s">
        <v>2451</v>
      </c>
      <c r="FV84" s="73"/>
      <c r="FW84" s="70" t="s">
        <v>2451</v>
      </c>
      <c r="FX84" s="70" t="s">
        <v>2451</v>
      </c>
      <c r="FY84" s="70" t="s">
        <v>2451</v>
      </c>
      <c r="FZ84" s="70" t="s">
        <v>2451</v>
      </c>
      <c r="GA84" s="73"/>
    </row>
    <row r="85" spans="1:183" s="55" customFormat="1" ht="12.75" customHeight="1" outlineLevel="1">
      <c r="A85" s="63" t="s">
        <v>318</v>
      </c>
      <c r="B85" s="753" t="s">
        <v>355</v>
      </c>
      <c r="C85" s="74"/>
      <c r="D85" s="70"/>
      <c r="E85" s="70"/>
      <c r="F85" s="70"/>
      <c r="G85" s="70"/>
      <c r="H85" s="75"/>
      <c r="I85" s="70"/>
      <c r="J85" s="70"/>
      <c r="K85" s="70"/>
      <c r="L85" s="70"/>
      <c r="M85" s="71"/>
      <c r="N85" s="70"/>
      <c r="O85" s="70"/>
      <c r="P85" s="70"/>
      <c r="Q85" s="70"/>
      <c r="R85" s="71"/>
      <c r="S85" s="70"/>
      <c r="T85" s="70"/>
      <c r="U85" s="70"/>
      <c r="V85" s="70"/>
      <c r="W85" s="71"/>
      <c r="X85" s="70"/>
      <c r="Y85" s="70"/>
      <c r="Z85" s="70"/>
      <c r="AA85" s="70"/>
      <c r="AB85" s="71"/>
      <c r="AC85" s="70"/>
      <c r="AD85" s="70"/>
      <c r="AE85" s="70"/>
      <c r="AF85" s="70"/>
      <c r="AG85" s="71"/>
      <c r="AH85" s="70"/>
      <c r="AI85" s="70"/>
      <c r="AJ85" s="70"/>
      <c r="AK85" s="70"/>
      <c r="AL85" s="71"/>
      <c r="AM85" s="70"/>
      <c r="AN85" s="70"/>
      <c r="AO85" s="70"/>
      <c r="AP85" s="70"/>
      <c r="AQ85" s="71"/>
      <c r="AR85" s="70"/>
      <c r="AS85" s="70"/>
      <c r="AT85" s="70"/>
      <c r="AU85" s="70"/>
      <c r="AV85" s="71"/>
      <c r="AW85" s="70"/>
      <c r="AX85" s="70"/>
      <c r="AY85" s="70"/>
      <c r="AZ85" s="70"/>
      <c r="BA85" s="71"/>
      <c r="BB85" s="70"/>
      <c r="BC85" s="70"/>
      <c r="BD85" s="70"/>
      <c r="BE85" s="70"/>
      <c r="BF85" s="71"/>
      <c r="BG85" s="70"/>
      <c r="BH85" s="70"/>
      <c r="BI85" s="70"/>
      <c r="BJ85" s="70"/>
      <c r="BK85" s="71"/>
      <c r="BL85" s="70"/>
      <c r="BM85" s="70"/>
      <c r="BN85" s="70"/>
      <c r="BO85" s="70"/>
      <c r="BP85" s="71"/>
      <c r="BQ85" s="70"/>
      <c r="BR85" s="70"/>
      <c r="BS85" s="70"/>
      <c r="BT85" s="70"/>
      <c r="BU85" s="71"/>
      <c r="BV85" s="70"/>
      <c r="BW85" s="70"/>
      <c r="BX85" s="70"/>
      <c r="BY85" s="70"/>
      <c r="BZ85" s="71"/>
      <c r="CA85" s="70"/>
      <c r="CB85" s="70"/>
      <c r="CC85" s="70"/>
      <c r="CD85" s="70"/>
      <c r="CE85" s="71"/>
      <c r="CF85" s="70"/>
      <c r="CG85" s="70"/>
      <c r="CH85" s="70"/>
      <c r="CI85" s="70"/>
      <c r="CJ85" s="71"/>
      <c r="CK85" s="70"/>
      <c r="CL85" s="70"/>
      <c r="CM85" s="70"/>
      <c r="CN85" s="70"/>
      <c r="CO85" s="71"/>
      <c r="CP85" s="70"/>
      <c r="CQ85" s="70"/>
      <c r="CR85" s="70"/>
      <c r="CS85" s="70"/>
      <c r="CT85" s="71"/>
      <c r="CU85" s="70"/>
      <c r="CV85" s="70"/>
      <c r="CW85" s="70"/>
      <c r="CX85" s="70"/>
      <c r="CY85" s="71"/>
      <c r="CZ85" s="70"/>
      <c r="DA85" s="70"/>
      <c r="DB85" s="70"/>
      <c r="DC85" s="70"/>
      <c r="DD85" s="71"/>
      <c r="DE85" s="70"/>
      <c r="DF85" s="70"/>
      <c r="DG85" s="70"/>
      <c r="DH85" s="70"/>
      <c r="DI85" s="71"/>
      <c r="DJ85" s="70"/>
      <c r="DK85" s="70"/>
      <c r="DL85" s="70"/>
      <c r="DM85" s="70"/>
      <c r="DN85" s="71"/>
      <c r="DO85" s="70"/>
      <c r="DP85" s="70"/>
      <c r="DQ85" s="70"/>
      <c r="DR85" s="70"/>
      <c r="DS85" s="71"/>
      <c r="DT85" s="70"/>
      <c r="DU85" s="70"/>
      <c r="DV85" s="70"/>
      <c r="DW85" s="70"/>
      <c r="DX85" s="71"/>
      <c r="DY85" s="70">
        <v>0.30905687490546058</v>
      </c>
      <c r="DZ85" s="70">
        <v>0.20704854224245378</v>
      </c>
      <c r="EA85" s="70">
        <v>0.38368407526912424</v>
      </c>
      <c r="EB85" s="70">
        <v>0.3521065127652302</v>
      </c>
      <c r="EC85" s="71">
        <v>0.31531974268433383</v>
      </c>
      <c r="ED85" s="70">
        <v>0.37611920654572861</v>
      </c>
      <c r="EE85" s="70">
        <v>0.21120809731637105</v>
      </c>
      <c r="EF85" s="70">
        <v>0.40026614875557476</v>
      </c>
      <c r="EG85" s="70">
        <v>0.3443801568729416</v>
      </c>
      <c r="EH85" s="71">
        <v>0.33008767431345487</v>
      </c>
      <c r="EI85" s="70">
        <v>0.40349833395855855</v>
      </c>
      <c r="EJ85" s="70">
        <v>0.18190956541911535</v>
      </c>
      <c r="EK85" s="70">
        <v>0.39725149918962721</v>
      </c>
      <c r="EL85" s="70">
        <v>0.33082039911308203</v>
      </c>
      <c r="EM85" s="71">
        <v>0.32817437332929844</v>
      </c>
      <c r="EN85" s="70">
        <v>0.35309843980687122</v>
      </c>
      <c r="EO85" s="70">
        <v>0.10441414677611997</v>
      </c>
      <c r="EP85" s="70">
        <v>0.33610023270333161</v>
      </c>
      <c r="EQ85" s="70">
        <v>0.34690699247183615</v>
      </c>
      <c r="ER85" s="71">
        <v>0.2835374183045089</v>
      </c>
      <c r="ES85" s="70">
        <v>0.37326926411522199</v>
      </c>
      <c r="ET85" s="70">
        <v>0.10026156078684295</v>
      </c>
      <c r="EU85" s="70">
        <v>0.33358281871382844</v>
      </c>
      <c r="EV85" s="70">
        <v>0.34415057085914685</v>
      </c>
      <c r="EW85" s="71">
        <v>0.29650092606946743</v>
      </c>
      <c r="EX85" s="70">
        <v>0.28571447739574596</v>
      </c>
      <c r="EY85" s="70">
        <v>9.1818890739889705E-2</v>
      </c>
      <c r="EZ85" s="70">
        <v>0.28883838095509951</v>
      </c>
      <c r="FA85" s="70">
        <v>0.27844903302011653</v>
      </c>
      <c r="FB85" s="71">
        <v>0.23981219234758491</v>
      </c>
      <c r="FC85" s="70">
        <v>0.33796063573652357</v>
      </c>
      <c r="FD85" s="70">
        <v>0.11472128213526951</v>
      </c>
      <c r="FE85" s="70">
        <v>0.24744773456462144</v>
      </c>
      <c r="FF85" s="70">
        <v>0.22837414631627787</v>
      </c>
      <c r="FG85" s="71">
        <v>0.24145807689851137</v>
      </c>
      <c r="FH85" s="70">
        <v>0.32250301668128029</v>
      </c>
      <c r="FI85" s="70">
        <v>0.11537739295742475</v>
      </c>
      <c r="FJ85" s="70">
        <v>0.27950666066278412</v>
      </c>
      <c r="FK85" s="70">
        <v>0.29315613393936069</v>
      </c>
      <c r="FL85" s="71">
        <v>0.26764121116585293</v>
      </c>
      <c r="FM85" s="70" t="s">
        <v>2451</v>
      </c>
      <c r="FN85" s="70" t="s">
        <v>2451</v>
      </c>
      <c r="FO85" s="70" t="s">
        <v>2451</v>
      </c>
      <c r="FP85" s="70" t="s">
        <v>2451</v>
      </c>
      <c r="FQ85" s="71">
        <v>0.32315679002707415</v>
      </c>
      <c r="FR85" s="70" t="s">
        <v>2451</v>
      </c>
      <c r="FS85" s="70" t="s">
        <v>2451</v>
      </c>
      <c r="FT85" s="70" t="s">
        <v>2451</v>
      </c>
      <c r="FU85" s="70" t="s">
        <v>2451</v>
      </c>
      <c r="FV85" s="71">
        <v>0.28377420064173797</v>
      </c>
      <c r="FW85" s="70" t="s">
        <v>2451</v>
      </c>
      <c r="FX85" s="70" t="s">
        <v>2451</v>
      </c>
      <c r="FY85" s="70" t="s">
        <v>2451</v>
      </c>
      <c r="FZ85" s="70" t="s">
        <v>2451</v>
      </c>
      <c r="GA85" s="71">
        <v>0.29502690463075437</v>
      </c>
    </row>
    <row r="86" spans="1:183" s="55" customFormat="1" ht="12.75" customHeight="1">
      <c r="A86" s="54"/>
      <c r="B86" s="753"/>
      <c r="C86" s="74"/>
      <c r="D86" s="70"/>
      <c r="E86" s="70"/>
      <c r="F86" s="70"/>
      <c r="G86" s="70"/>
      <c r="H86" s="75"/>
      <c r="I86" s="70"/>
      <c r="J86" s="70"/>
      <c r="K86" s="70"/>
      <c r="L86" s="70"/>
      <c r="M86" s="71"/>
      <c r="N86" s="70"/>
      <c r="O86" s="70"/>
      <c r="P86" s="70"/>
      <c r="Q86" s="70"/>
      <c r="R86" s="71"/>
      <c r="S86" s="70"/>
      <c r="T86" s="70"/>
      <c r="U86" s="70"/>
      <c r="V86" s="70"/>
      <c r="W86" s="71"/>
      <c r="X86" s="70"/>
      <c r="Y86" s="70"/>
      <c r="Z86" s="70"/>
      <c r="AA86" s="70"/>
      <c r="AB86" s="71"/>
      <c r="AC86" s="70"/>
      <c r="AD86" s="70"/>
      <c r="AE86" s="70"/>
      <c r="AF86" s="70"/>
      <c r="AG86" s="71"/>
      <c r="AH86" s="70"/>
      <c r="AI86" s="70"/>
      <c r="AJ86" s="70"/>
      <c r="AK86" s="70"/>
      <c r="AL86" s="71"/>
      <c r="AM86" s="70"/>
      <c r="AN86" s="70"/>
      <c r="AO86" s="70"/>
      <c r="AP86" s="70"/>
      <c r="AQ86" s="71"/>
      <c r="AR86" s="70"/>
      <c r="AS86" s="70"/>
      <c r="AT86" s="70"/>
      <c r="AU86" s="70"/>
      <c r="AV86" s="71"/>
      <c r="AW86" s="70"/>
      <c r="AX86" s="70"/>
      <c r="AY86" s="70"/>
      <c r="AZ86" s="70"/>
      <c r="BA86" s="71"/>
      <c r="BB86" s="70"/>
      <c r="BC86" s="70"/>
      <c r="BD86" s="70"/>
      <c r="BE86" s="70"/>
      <c r="BF86" s="71"/>
      <c r="BG86" s="70"/>
      <c r="BH86" s="70"/>
      <c r="BI86" s="70"/>
      <c r="BJ86" s="70"/>
      <c r="BK86" s="71"/>
      <c r="BL86" s="70"/>
      <c r="BM86" s="70"/>
      <c r="BN86" s="70"/>
      <c r="BO86" s="70"/>
      <c r="BP86" s="71"/>
      <c r="BQ86" s="70"/>
      <c r="BR86" s="70"/>
      <c r="BS86" s="70"/>
      <c r="BT86" s="70"/>
      <c r="BU86" s="71"/>
      <c r="BV86" s="70"/>
      <c r="BW86" s="70"/>
      <c r="BX86" s="70"/>
      <c r="BY86" s="70"/>
      <c r="BZ86" s="71"/>
      <c r="CA86" s="70"/>
      <c r="CB86" s="70"/>
      <c r="CC86" s="70"/>
      <c r="CD86" s="70"/>
      <c r="CE86" s="71"/>
      <c r="CF86" s="70"/>
      <c r="CG86" s="70"/>
      <c r="CH86" s="70"/>
      <c r="CI86" s="70"/>
      <c r="CJ86" s="71"/>
      <c r="CK86" s="70"/>
      <c r="CL86" s="70"/>
      <c r="CM86" s="70"/>
      <c r="CN86" s="70"/>
      <c r="CO86" s="71"/>
      <c r="CP86" s="70"/>
      <c r="CQ86" s="70"/>
      <c r="CR86" s="70"/>
      <c r="CS86" s="70"/>
      <c r="CT86" s="71"/>
      <c r="CU86" s="70"/>
      <c r="CV86" s="70"/>
      <c r="CW86" s="70"/>
      <c r="CX86" s="70"/>
      <c r="CY86" s="71"/>
      <c r="CZ86" s="70"/>
      <c r="DA86" s="70"/>
      <c r="DB86" s="70"/>
      <c r="DC86" s="70"/>
      <c r="DD86" s="71"/>
      <c r="DE86" s="70"/>
      <c r="DF86" s="70"/>
      <c r="DG86" s="70"/>
      <c r="DH86" s="70"/>
      <c r="DI86" s="71"/>
      <c r="DJ86" s="70"/>
      <c r="DK86" s="70"/>
      <c r="DL86" s="70"/>
      <c r="DM86" s="70"/>
      <c r="DN86" s="71"/>
      <c r="DO86" s="70"/>
      <c r="DP86" s="70"/>
      <c r="DQ86" s="70"/>
      <c r="DR86" s="70"/>
      <c r="DS86" s="71"/>
      <c r="DT86" s="70"/>
      <c r="DU86" s="70"/>
      <c r="DV86" s="70"/>
      <c r="DW86" s="70"/>
      <c r="DX86" s="71"/>
      <c r="DY86" s="70"/>
      <c r="DZ86" s="70"/>
      <c r="EA86" s="70"/>
      <c r="EB86" s="70"/>
      <c r="EC86" s="71"/>
      <c r="ED86" s="70"/>
      <c r="EE86" s="70"/>
      <c r="EF86" s="70"/>
      <c r="EG86" s="70"/>
      <c r="EH86" s="71"/>
      <c r="EI86" s="70"/>
      <c r="EJ86" s="70"/>
      <c r="EK86" s="70"/>
      <c r="EL86" s="70"/>
      <c r="EM86" s="71"/>
      <c r="EN86" s="70"/>
      <c r="EO86" s="70"/>
      <c r="EP86" s="70"/>
      <c r="EQ86" s="70"/>
      <c r="ER86" s="71"/>
      <c r="ES86" s="70"/>
      <c r="ET86" s="70"/>
      <c r="EU86" s="70"/>
      <c r="EV86" s="70"/>
      <c r="EW86" s="71"/>
      <c r="EX86" s="70"/>
      <c r="EY86" s="70"/>
      <c r="EZ86" s="70"/>
      <c r="FA86" s="70"/>
      <c r="FB86" s="71"/>
      <c r="FC86" s="70"/>
      <c r="FD86" s="70"/>
      <c r="FE86" s="70"/>
      <c r="FF86" s="70"/>
      <c r="FG86" s="71"/>
      <c r="FH86" s="70"/>
      <c r="FI86" s="70"/>
      <c r="FJ86" s="70"/>
      <c r="FK86" s="70"/>
      <c r="FL86" s="71"/>
      <c r="FM86" s="70"/>
      <c r="FN86" s="70"/>
      <c r="FO86" s="70"/>
      <c r="FP86" s="70"/>
      <c r="FQ86" s="71"/>
      <c r="FR86" s="70"/>
      <c r="FS86" s="70"/>
      <c r="FT86" s="70"/>
      <c r="FU86" s="70"/>
      <c r="FV86" s="71"/>
      <c r="FW86" s="70"/>
      <c r="FX86" s="70"/>
      <c r="FY86" s="70"/>
      <c r="FZ86" s="70"/>
      <c r="GA86" s="71"/>
    </row>
    <row r="87" spans="1:183" s="55" customFormat="1" ht="12.75" customHeight="1">
      <c r="A87" s="54"/>
      <c r="B87" s="1535" t="s">
        <v>47</v>
      </c>
      <c r="C87" s="74"/>
      <c r="D87" s="70"/>
      <c r="E87" s="70"/>
      <c r="F87" s="70"/>
      <c r="G87" s="70"/>
      <c r="H87" s="75"/>
      <c r="I87" s="70"/>
      <c r="J87" s="70"/>
      <c r="K87" s="70"/>
      <c r="L87" s="70"/>
      <c r="M87" s="75"/>
      <c r="N87" s="70"/>
      <c r="O87" s="70"/>
      <c r="P87" s="70"/>
      <c r="Q87" s="70"/>
      <c r="R87" s="75"/>
      <c r="S87" s="70"/>
      <c r="T87" s="70"/>
      <c r="U87" s="70"/>
      <c r="V87" s="70"/>
      <c r="W87" s="75"/>
      <c r="X87" s="70"/>
      <c r="Y87" s="70"/>
      <c r="Z87" s="70"/>
      <c r="AA87" s="70"/>
      <c r="AB87" s="75"/>
      <c r="AC87" s="70"/>
      <c r="AD87" s="70"/>
      <c r="AE87" s="70"/>
      <c r="AF87" s="70"/>
      <c r="AG87" s="75"/>
      <c r="AH87" s="70"/>
      <c r="AI87" s="70"/>
      <c r="AJ87" s="70"/>
      <c r="AK87" s="70"/>
      <c r="AL87" s="75"/>
      <c r="AM87" s="70"/>
      <c r="AN87" s="70"/>
      <c r="AO87" s="70"/>
      <c r="AP87" s="70"/>
      <c r="AQ87" s="75"/>
      <c r="AR87" s="70"/>
      <c r="AS87" s="70"/>
      <c r="AT87" s="70"/>
      <c r="AU87" s="70"/>
      <c r="AV87" s="75"/>
      <c r="AW87" s="70"/>
      <c r="AX87" s="70"/>
      <c r="AY87" s="70"/>
      <c r="AZ87" s="70"/>
      <c r="BA87" s="75"/>
      <c r="BB87" s="70"/>
      <c r="BC87" s="70"/>
      <c r="BD87" s="70"/>
      <c r="BE87" s="70"/>
      <c r="BF87" s="75"/>
      <c r="BG87" s="70"/>
      <c r="BH87" s="70"/>
      <c r="BI87" s="70"/>
      <c r="BJ87" s="70"/>
      <c r="BK87" s="75"/>
      <c r="BL87" s="70"/>
      <c r="BM87" s="70"/>
      <c r="BN87" s="70"/>
      <c r="BO87" s="70"/>
      <c r="BP87" s="75"/>
      <c r="BQ87" s="70"/>
      <c r="BR87" s="70"/>
      <c r="BS87" s="70"/>
      <c r="BT87" s="70"/>
      <c r="BU87" s="75"/>
      <c r="BV87" s="70"/>
      <c r="BW87" s="70"/>
      <c r="BX87" s="70"/>
      <c r="BY87" s="70"/>
      <c r="BZ87" s="75"/>
      <c r="CA87" s="70"/>
      <c r="CB87" s="70"/>
      <c r="CC87" s="70"/>
      <c r="CD87" s="70"/>
      <c r="CE87" s="75"/>
      <c r="CF87" s="70"/>
      <c r="CG87" s="70"/>
      <c r="CH87" s="70"/>
      <c r="CI87" s="70"/>
      <c r="CJ87" s="75"/>
      <c r="CK87" s="70"/>
      <c r="CL87" s="70"/>
      <c r="CM87" s="70"/>
      <c r="CN87" s="70"/>
      <c r="CO87" s="75"/>
      <c r="CP87" s="70"/>
      <c r="CQ87" s="70"/>
      <c r="CR87" s="70"/>
      <c r="CS87" s="70"/>
      <c r="CT87" s="75"/>
      <c r="CU87" s="70"/>
      <c r="CV87" s="70"/>
      <c r="CW87" s="70"/>
      <c r="CX87" s="70"/>
      <c r="CY87" s="75"/>
      <c r="CZ87" s="70"/>
      <c r="DA87" s="70"/>
      <c r="DB87" s="70"/>
      <c r="DC87" s="70"/>
      <c r="DD87" s="75"/>
      <c r="DE87" s="70"/>
      <c r="DF87" s="70"/>
      <c r="DG87" s="70"/>
      <c r="DH87" s="70"/>
      <c r="DI87" s="75"/>
      <c r="DJ87" s="70"/>
      <c r="DK87" s="70"/>
      <c r="DL87" s="70"/>
      <c r="DM87" s="70"/>
      <c r="DN87" s="75"/>
      <c r="DO87" s="70"/>
      <c r="DP87" s="70"/>
      <c r="DQ87" s="70"/>
      <c r="DR87" s="70"/>
      <c r="DS87" s="75"/>
      <c r="DT87" s="70"/>
      <c r="DU87" s="70"/>
      <c r="DV87" s="70"/>
      <c r="DW87" s="70"/>
      <c r="DX87" s="75"/>
      <c r="DY87" s="70"/>
      <c r="DZ87" s="70"/>
      <c r="EA87" s="70"/>
      <c r="EB87" s="70"/>
      <c r="EC87" s="75"/>
      <c r="ED87" s="70"/>
      <c r="EE87" s="70"/>
      <c r="EF87" s="70"/>
      <c r="EG87" s="70"/>
      <c r="EH87" s="75"/>
      <c r="EI87" s="70"/>
      <c r="EJ87" s="70"/>
      <c r="EK87" s="70"/>
      <c r="EL87" s="70"/>
      <c r="EM87" s="75"/>
      <c r="EN87" s="70"/>
      <c r="EO87" s="70"/>
      <c r="EP87" s="70"/>
      <c r="EQ87" s="70"/>
      <c r="ER87" s="75"/>
      <c r="ES87" s="70"/>
      <c r="ET87" s="70"/>
      <c r="EU87" s="70"/>
      <c r="EV87" s="70"/>
      <c r="EW87" s="75"/>
      <c r="EX87" s="70"/>
      <c r="EY87" s="70"/>
      <c r="EZ87" s="70"/>
      <c r="FA87" s="70"/>
      <c r="FB87" s="75"/>
      <c r="FC87" s="70"/>
      <c r="FD87" s="70"/>
      <c r="FE87" s="70"/>
      <c r="FF87" s="70"/>
      <c r="FG87" s="75"/>
      <c r="FH87" s="70"/>
      <c r="FI87" s="70"/>
      <c r="FJ87" s="70"/>
      <c r="FK87" s="70"/>
      <c r="FL87" s="75"/>
      <c r="FM87" s="70"/>
      <c r="FN87" s="70"/>
      <c r="FO87" s="70"/>
      <c r="FP87" s="70"/>
      <c r="FQ87" s="75"/>
      <c r="FR87" s="70"/>
      <c r="FS87" s="70"/>
      <c r="FT87" s="70"/>
      <c r="FU87" s="70"/>
      <c r="FV87" s="75"/>
      <c r="FW87" s="70"/>
      <c r="FX87" s="70"/>
      <c r="FY87" s="70"/>
      <c r="FZ87" s="70"/>
      <c r="GA87" s="75"/>
    </row>
    <row r="88" spans="1:183" s="1558" customFormat="1" ht="12.75" customHeight="1" outlineLevel="1">
      <c r="A88" s="1554"/>
      <c r="B88" s="1549" t="s">
        <v>48</v>
      </c>
      <c r="C88" s="1555"/>
      <c r="D88" s="1556"/>
      <c r="E88" s="1556"/>
      <c r="F88" s="1556"/>
      <c r="G88" s="1556"/>
      <c r="H88" s="1557"/>
      <c r="I88" s="1556"/>
      <c r="J88" s="1556"/>
      <c r="K88" s="1556"/>
      <c r="L88" s="1556"/>
      <c r="M88" s="1557"/>
      <c r="N88" s="1556"/>
      <c r="O88" s="1556"/>
      <c r="P88" s="1556"/>
      <c r="Q88" s="1556"/>
      <c r="R88" s="1557"/>
      <c r="S88" s="1556"/>
      <c r="T88" s="1556"/>
      <c r="U88" s="1556"/>
      <c r="V88" s="1556"/>
      <c r="W88" s="1557"/>
      <c r="X88" s="1556"/>
      <c r="Y88" s="1556"/>
      <c r="Z88" s="1556"/>
      <c r="AA88" s="1556"/>
      <c r="AB88" s="1557"/>
      <c r="AC88" s="1556"/>
      <c r="AD88" s="1556"/>
      <c r="AE88" s="1556"/>
      <c r="AF88" s="1556"/>
      <c r="AG88" s="1557"/>
      <c r="AH88" s="1556"/>
      <c r="AI88" s="1556"/>
      <c r="AJ88" s="1556"/>
      <c r="AK88" s="1556"/>
      <c r="AL88" s="1557"/>
      <c r="AM88" s="1556"/>
      <c r="AN88" s="1556"/>
      <c r="AO88" s="1556"/>
      <c r="AP88" s="1556"/>
      <c r="AQ88" s="1557"/>
      <c r="AR88" s="1556"/>
      <c r="AS88" s="1556"/>
      <c r="AT88" s="1556"/>
      <c r="AU88" s="1556"/>
      <c r="AV88" s="1557"/>
      <c r="AW88" s="1556"/>
      <c r="AX88" s="1556"/>
      <c r="AY88" s="1556"/>
      <c r="AZ88" s="1556"/>
      <c r="BA88" s="1557"/>
      <c r="BB88" s="1556"/>
      <c r="BC88" s="1556"/>
      <c r="BD88" s="1556"/>
      <c r="BE88" s="1556"/>
      <c r="BF88" s="1557"/>
      <c r="BG88" s="1556"/>
      <c r="BH88" s="1556"/>
      <c r="BI88" s="1556"/>
      <c r="BJ88" s="1556"/>
      <c r="BK88" s="1557"/>
      <c r="BL88" s="1556"/>
      <c r="BM88" s="1556"/>
      <c r="BN88" s="1556"/>
      <c r="BO88" s="1556"/>
      <c r="BP88" s="1557"/>
      <c r="BQ88" s="1556"/>
      <c r="BR88" s="1556"/>
      <c r="BS88" s="1556"/>
      <c r="BT88" s="1556"/>
      <c r="BU88" s="1557"/>
      <c r="BV88" s="1556"/>
      <c r="BW88" s="1556"/>
      <c r="BX88" s="1556"/>
      <c r="BY88" s="1556"/>
      <c r="BZ88" s="1557"/>
      <c r="CA88" s="1556"/>
      <c r="CB88" s="1556"/>
      <c r="CC88" s="1556"/>
      <c r="CD88" s="1556"/>
      <c r="CE88" s="1557"/>
      <c r="CF88" s="1556"/>
      <c r="CG88" s="1556"/>
      <c r="CH88" s="1556"/>
      <c r="CI88" s="1556"/>
      <c r="CJ88" s="1557"/>
      <c r="CK88" s="1556"/>
      <c r="CL88" s="1556"/>
      <c r="CM88" s="1556"/>
      <c r="CN88" s="1556"/>
      <c r="CO88" s="1557"/>
      <c r="CP88" s="1556"/>
      <c r="CQ88" s="1556"/>
      <c r="CR88" s="1556"/>
      <c r="CS88" s="1556"/>
      <c r="CT88" s="1557"/>
      <c r="CU88" s="1556"/>
      <c r="CV88" s="1556"/>
      <c r="CW88" s="1556"/>
      <c r="CX88" s="1556"/>
      <c r="CY88" s="1557"/>
      <c r="CZ88" s="1556"/>
      <c r="DA88" s="1556"/>
      <c r="DB88" s="1556"/>
      <c r="DC88" s="1556"/>
      <c r="DD88" s="1557"/>
      <c r="DE88" s="1556"/>
      <c r="DF88" s="1556"/>
      <c r="DG88" s="1556"/>
      <c r="DH88" s="1556"/>
      <c r="DI88" s="1557"/>
      <c r="DJ88" s="1556"/>
      <c r="DK88" s="1556"/>
      <c r="DL88" s="1556"/>
      <c r="DM88" s="1556"/>
      <c r="DN88" s="1557"/>
      <c r="DO88" s="1556"/>
      <c r="DP88" s="1556"/>
      <c r="DQ88" s="1556"/>
      <c r="DR88" s="1556"/>
      <c r="DS88" s="1557"/>
      <c r="DT88" s="1556"/>
      <c r="DU88" s="1556"/>
      <c r="DV88" s="1556"/>
      <c r="DW88" s="1556"/>
      <c r="DX88" s="1557"/>
      <c r="DY88" s="1556">
        <v>29904</v>
      </c>
      <c r="DZ88" s="1556">
        <v>27343</v>
      </c>
      <c r="EA88" s="1556">
        <v>27012</v>
      </c>
      <c r="EB88" s="1556">
        <v>36000</v>
      </c>
      <c r="EC88" s="1557">
        <v>36000</v>
      </c>
      <c r="ED88" s="1556">
        <v>33476</v>
      </c>
      <c r="EE88" s="1556">
        <v>30402</v>
      </c>
      <c r="EF88" s="1556">
        <v>30083</v>
      </c>
      <c r="EG88" s="1556">
        <v>41525</v>
      </c>
      <c r="EH88" s="1557">
        <v>41525</v>
      </c>
      <c r="EI88" s="1556">
        <v>38465</v>
      </c>
      <c r="EJ88" s="1556">
        <v>34001</v>
      </c>
      <c r="EK88" s="1556">
        <v>34027</v>
      </c>
      <c r="EL88" s="1556">
        <v>45538</v>
      </c>
      <c r="EM88" s="1557">
        <v>45538</v>
      </c>
      <c r="EN88" s="1556">
        <v>41340</v>
      </c>
      <c r="EO88" s="1556">
        <v>36981.667999999998</v>
      </c>
      <c r="EP88" s="1556">
        <v>36902.5</v>
      </c>
      <c r="EQ88" s="1556">
        <v>50900.855000000003</v>
      </c>
      <c r="ER88" s="1557">
        <v>50900.875</v>
      </c>
      <c r="ES88" s="1556">
        <v>46429.167999999998</v>
      </c>
      <c r="ET88" s="1556">
        <v>43068.285000000003</v>
      </c>
      <c r="EU88" s="1556">
        <v>41888.285000000003</v>
      </c>
      <c r="EV88" s="1556">
        <v>57581.75</v>
      </c>
      <c r="EW88" s="1557">
        <v>57725</v>
      </c>
      <c r="EX88" s="1556">
        <v>53026.5</v>
      </c>
      <c r="EY88" s="1556">
        <v>45508.332000000002</v>
      </c>
      <c r="EZ88" s="1556">
        <v>44636.667999999998</v>
      </c>
      <c r="FA88" s="1556">
        <v>60842.983999999997</v>
      </c>
      <c r="FB88" s="1557">
        <v>61514.7</v>
      </c>
      <c r="FC88" s="1556">
        <v>57084.25</v>
      </c>
      <c r="FD88" s="1556">
        <v>50700.25</v>
      </c>
      <c r="FE88" s="1556">
        <v>49667</v>
      </c>
      <c r="FF88" s="1556">
        <v>68173.5</v>
      </c>
      <c r="FG88" s="1557">
        <v>65050.75</v>
      </c>
      <c r="FH88" s="1556">
        <v>65414</v>
      </c>
      <c r="FI88" s="1556">
        <v>58954</v>
      </c>
      <c r="FJ88" s="1556">
        <v>57828.5</v>
      </c>
      <c r="FK88" s="1556">
        <v>78321</v>
      </c>
      <c r="FL88" s="1557">
        <v>67290.53</v>
      </c>
      <c r="FM88" s="1556" t="s">
        <v>2451</v>
      </c>
      <c r="FN88" s="1556" t="s">
        <v>2451</v>
      </c>
      <c r="FO88" s="1556" t="s">
        <v>2451</v>
      </c>
      <c r="FP88" s="1556" t="s">
        <v>2451</v>
      </c>
      <c r="FQ88" s="1557" t="s">
        <v>2451</v>
      </c>
      <c r="FR88" s="1556" t="s">
        <v>2451</v>
      </c>
      <c r="FS88" s="1556" t="s">
        <v>2451</v>
      </c>
      <c r="FT88" s="1556" t="s">
        <v>2451</v>
      </c>
      <c r="FU88" s="1556" t="s">
        <v>2451</v>
      </c>
      <c r="FV88" s="1557" t="s">
        <v>2451</v>
      </c>
      <c r="FW88" s="1556" t="s">
        <v>2451</v>
      </c>
      <c r="FX88" s="1556" t="s">
        <v>2451</v>
      </c>
      <c r="FY88" s="1556" t="s">
        <v>2451</v>
      </c>
      <c r="FZ88" s="1556" t="s">
        <v>2451</v>
      </c>
      <c r="GA88" s="1557" t="s">
        <v>2451</v>
      </c>
    </row>
    <row r="89" spans="1:183" s="72" customFormat="1" ht="12.75" customHeight="1" outlineLevel="1">
      <c r="A89" s="54"/>
      <c r="B89" s="753" t="s">
        <v>49</v>
      </c>
      <c r="C89" s="69"/>
      <c r="D89" s="85"/>
      <c r="E89" s="85"/>
      <c r="F89" s="85"/>
      <c r="G89" s="85"/>
      <c r="H89" s="71"/>
      <c r="I89" s="70"/>
      <c r="J89" s="70"/>
      <c r="K89" s="70"/>
      <c r="L89" s="70"/>
      <c r="M89" s="71"/>
      <c r="N89" s="70"/>
      <c r="O89" s="70"/>
      <c r="P89" s="70"/>
      <c r="Q89" s="70"/>
      <c r="R89" s="71"/>
      <c r="S89" s="70"/>
      <c r="T89" s="70"/>
      <c r="U89" s="70"/>
      <c r="V89" s="70"/>
      <c r="W89" s="71"/>
      <c r="X89" s="70"/>
      <c r="Y89" s="70"/>
      <c r="Z89" s="70"/>
      <c r="AA89" s="70"/>
      <c r="AB89" s="71"/>
      <c r="AC89" s="70"/>
      <c r="AD89" s="70"/>
      <c r="AE89" s="70"/>
      <c r="AF89" s="70"/>
      <c r="AG89" s="71"/>
      <c r="AH89" s="70"/>
      <c r="AI89" s="70"/>
      <c r="AJ89" s="70"/>
      <c r="AK89" s="70"/>
      <c r="AL89" s="71"/>
      <c r="AM89" s="70"/>
      <c r="AN89" s="70"/>
      <c r="AO89" s="70"/>
      <c r="AP89" s="70"/>
      <c r="AQ89" s="71"/>
      <c r="AR89" s="70"/>
      <c r="AS89" s="70"/>
      <c r="AT89" s="70"/>
      <c r="AU89" s="70"/>
      <c r="AV89" s="71"/>
      <c r="AW89" s="70"/>
      <c r="AX89" s="70"/>
      <c r="AY89" s="70"/>
      <c r="AZ89" s="70"/>
      <c r="BA89" s="71"/>
      <c r="BB89" s="70"/>
      <c r="BC89" s="70"/>
      <c r="BD89" s="70"/>
      <c r="BE89" s="70"/>
      <c r="BF89" s="71"/>
      <c r="BG89" s="70"/>
      <c r="BH89" s="70"/>
      <c r="BI89" s="70"/>
      <c r="BJ89" s="70"/>
      <c r="BK89" s="71"/>
      <c r="BL89" s="70"/>
      <c r="BM89" s="70"/>
      <c r="BN89" s="70"/>
      <c r="BO89" s="70"/>
      <c r="BP89" s="71"/>
      <c r="BQ89" s="70"/>
      <c r="BR89" s="70"/>
      <c r="BS89" s="70"/>
      <c r="BT89" s="70"/>
      <c r="BU89" s="71"/>
      <c r="BV89" s="70"/>
      <c r="BW89" s="70"/>
      <c r="BX89" s="70"/>
      <c r="BY89" s="70"/>
      <c r="BZ89" s="71"/>
      <c r="CA89" s="70"/>
      <c r="CB89" s="70"/>
      <c r="CC89" s="70"/>
      <c r="CD89" s="70"/>
      <c r="CE89" s="71"/>
      <c r="CF89" s="70"/>
      <c r="CG89" s="70"/>
      <c r="CH89" s="70"/>
      <c r="CI89" s="70"/>
      <c r="CJ89" s="71"/>
      <c r="CK89" s="70"/>
      <c r="CL89" s="70"/>
      <c r="CM89" s="70"/>
      <c r="CN89" s="70"/>
      <c r="CO89" s="71"/>
      <c r="CP89" s="70"/>
      <c r="CQ89" s="70"/>
      <c r="CR89" s="70"/>
      <c r="CS89" s="70"/>
      <c r="CT89" s="71"/>
      <c r="CU89" s="70"/>
      <c r="CV89" s="70"/>
      <c r="CW89" s="70"/>
      <c r="CX89" s="70"/>
      <c r="CY89" s="71"/>
      <c r="CZ89" s="70"/>
      <c r="DA89" s="70"/>
      <c r="DB89" s="70"/>
      <c r="DC89" s="70"/>
      <c r="DD89" s="71"/>
      <c r="DE89" s="70"/>
      <c r="DF89" s="70"/>
      <c r="DG89" s="70"/>
      <c r="DH89" s="70"/>
      <c r="DI89" s="71"/>
      <c r="DJ89" s="70"/>
      <c r="DK89" s="70"/>
      <c r="DL89" s="70"/>
      <c r="DM89" s="70"/>
      <c r="DN89" s="71"/>
      <c r="DO89" s="70"/>
      <c r="DP89" s="70"/>
      <c r="DQ89" s="70"/>
      <c r="DR89" s="70"/>
      <c r="DS89" s="71"/>
      <c r="DT89" s="70"/>
      <c r="DU89" s="70"/>
      <c r="DV89" s="70"/>
      <c r="DW89" s="70"/>
      <c r="DX89" s="71"/>
      <c r="DY89" s="70" t="s">
        <v>2451</v>
      </c>
      <c r="DZ89" s="70" t="s">
        <v>2451</v>
      </c>
      <c r="EA89" s="70" t="s">
        <v>2451</v>
      </c>
      <c r="EB89" s="70" t="s">
        <v>2451</v>
      </c>
      <c r="EC89" s="71" t="s">
        <v>2451</v>
      </c>
      <c r="ED89" s="70">
        <v>0.11944890315676826</v>
      </c>
      <c r="EE89" s="70">
        <v>0.11187506857330942</v>
      </c>
      <c r="EF89" s="70">
        <v>0.11369021175773719</v>
      </c>
      <c r="EG89" s="70">
        <v>0.15347222222222223</v>
      </c>
      <c r="EH89" s="71">
        <v>0.15347222222222223</v>
      </c>
      <c r="EI89" s="70">
        <v>0.14903214243039797</v>
      </c>
      <c r="EJ89" s="70">
        <v>0.11838036971251897</v>
      </c>
      <c r="EK89" s="70">
        <v>0.13110394575009132</v>
      </c>
      <c r="EL89" s="70">
        <v>9.6640577965081187E-2</v>
      </c>
      <c r="EM89" s="71">
        <v>9.6640577965081187E-2</v>
      </c>
      <c r="EN89" s="70">
        <v>7.4743273105420505E-2</v>
      </c>
      <c r="EO89" s="70">
        <v>8.7664127525660884E-2</v>
      </c>
      <c r="EP89" s="70">
        <v>8.4506421371264073E-2</v>
      </c>
      <c r="EQ89" s="70">
        <v>0.11776659053976912</v>
      </c>
      <c r="ER89" s="71">
        <v>0.11776702973340947</v>
      </c>
      <c r="ES89" s="70">
        <v>0.12310517658442177</v>
      </c>
      <c r="ET89" s="70">
        <v>0.16458470721223306</v>
      </c>
      <c r="EU89" s="70">
        <v>0.13510697107242065</v>
      </c>
      <c r="EV89" s="70">
        <v>0.13125309977602528</v>
      </c>
      <c r="EW89" s="71">
        <v>0.13406694875088099</v>
      </c>
      <c r="EX89" s="70">
        <v>0.142094555732724</v>
      </c>
      <c r="EY89" s="70">
        <v>5.6655309121317332E-2</v>
      </c>
      <c r="EZ89" s="70">
        <v>6.5612211146863553E-2</v>
      </c>
      <c r="FA89" s="70">
        <v>5.6636590586427005E-2</v>
      </c>
      <c r="FB89" s="71">
        <v>6.5650931139021207E-2</v>
      </c>
      <c r="FC89" s="70">
        <v>7.6523059225104495E-2</v>
      </c>
      <c r="FD89" s="70">
        <v>0.11408719616442986</v>
      </c>
      <c r="FE89" s="70">
        <v>0.11269506048256117</v>
      </c>
      <c r="FF89" s="70">
        <v>0.12048251939779941</v>
      </c>
      <c r="FG89" s="71">
        <v>5.7483008126512969E-2</v>
      </c>
      <c r="FH89" s="70">
        <v>0.14592028449178196</v>
      </c>
      <c r="FI89" s="70">
        <v>0.16279505525120674</v>
      </c>
      <c r="FJ89" s="70">
        <v>0.16432440050737918</v>
      </c>
      <c r="FK89" s="70">
        <v>0.14884815947545604</v>
      </c>
      <c r="FL89" s="71">
        <v>3.443127096920473E-2</v>
      </c>
      <c r="FM89" s="70" t="s">
        <v>2451</v>
      </c>
      <c r="FN89" s="70" t="s">
        <v>2451</v>
      </c>
      <c r="FO89" s="70" t="s">
        <v>2451</v>
      </c>
      <c r="FP89" s="70" t="s">
        <v>2451</v>
      </c>
      <c r="FQ89" s="71" t="s">
        <v>2451</v>
      </c>
      <c r="FR89" s="70" t="s">
        <v>2451</v>
      </c>
      <c r="FS89" s="70" t="s">
        <v>2451</v>
      </c>
      <c r="FT89" s="70" t="s">
        <v>2451</v>
      </c>
      <c r="FU89" s="70" t="s">
        <v>2451</v>
      </c>
      <c r="FV89" s="71" t="s">
        <v>2451</v>
      </c>
      <c r="FW89" s="70" t="s">
        <v>2451</v>
      </c>
      <c r="FX89" s="70" t="s">
        <v>2451</v>
      </c>
      <c r="FY89" s="70" t="s">
        <v>2451</v>
      </c>
      <c r="FZ89" s="70" t="s">
        <v>2451</v>
      </c>
      <c r="GA89" s="71" t="s">
        <v>2451</v>
      </c>
    </row>
    <row r="90" spans="1:183" s="72" customFormat="1" ht="12.75" customHeight="1" outlineLevel="1">
      <c r="A90" s="54"/>
      <c r="B90" s="753" t="s">
        <v>50</v>
      </c>
      <c r="C90" s="69"/>
      <c r="D90" s="85"/>
      <c r="E90" s="70"/>
      <c r="F90" s="70"/>
      <c r="G90" s="70"/>
      <c r="H90" s="71"/>
      <c r="I90" s="70"/>
      <c r="J90" s="70"/>
      <c r="K90" s="70"/>
      <c r="L90" s="70"/>
      <c r="M90" s="73"/>
      <c r="N90" s="70"/>
      <c r="O90" s="70"/>
      <c r="P90" s="70"/>
      <c r="Q90" s="70"/>
      <c r="R90" s="73"/>
      <c r="S90" s="70"/>
      <c r="T90" s="70"/>
      <c r="U90" s="70"/>
      <c r="V90" s="70"/>
      <c r="W90" s="73"/>
      <c r="X90" s="70"/>
      <c r="Y90" s="70"/>
      <c r="Z90" s="70"/>
      <c r="AA90" s="70"/>
      <c r="AB90" s="73"/>
      <c r="AC90" s="70"/>
      <c r="AD90" s="70"/>
      <c r="AE90" s="70"/>
      <c r="AF90" s="70"/>
      <c r="AG90" s="73"/>
      <c r="AH90" s="70"/>
      <c r="AI90" s="70"/>
      <c r="AJ90" s="70"/>
      <c r="AK90" s="70"/>
      <c r="AL90" s="73"/>
      <c r="AM90" s="70"/>
      <c r="AN90" s="70"/>
      <c r="AO90" s="70"/>
      <c r="AP90" s="70"/>
      <c r="AQ90" s="73"/>
      <c r="AR90" s="70"/>
      <c r="AS90" s="70"/>
      <c r="AT90" s="70"/>
      <c r="AU90" s="70"/>
      <c r="AV90" s="73"/>
      <c r="AW90" s="70"/>
      <c r="AX90" s="70"/>
      <c r="AY90" s="70"/>
      <c r="AZ90" s="70"/>
      <c r="BA90" s="73"/>
      <c r="BB90" s="70"/>
      <c r="BC90" s="70"/>
      <c r="BD90" s="70"/>
      <c r="BE90" s="70"/>
      <c r="BF90" s="73"/>
      <c r="BG90" s="70"/>
      <c r="BH90" s="70"/>
      <c r="BI90" s="70"/>
      <c r="BJ90" s="70"/>
      <c r="BK90" s="73"/>
      <c r="BL90" s="70"/>
      <c r="BM90" s="70"/>
      <c r="BN90" s="70"/>
      <c r="BO90" s="70"/>
      <c r="BP90" s="73"/>
      <c r="BQ90" s="70"/>
      <c r="BR90" s="70"/>
      <c r="BS90" s="70"/>
      <c r="BT90" s="70"/>
      <c r="BU90" s="73"/>
      <c r="BV90" s="70"/>
      <c r="BW90" s="70"/>
      <c r="BX90" s="70"/>
      <c r="BY90" s="70"/>
      <c r="BZ90" s="73"/>
      <c r="CA90" s="70"/>
      <c r="CB90" s="70"/>
      <c r="CC90" s="70"/>
      <c r="CD90" s="70"/>
      <c r="CE90" s="73"/>
      <c r="CF90" s="70"/>
      <c r="CG90" s="70"/>
      <c r="CH90" s="70"/>
      <c r="CI90" s="70"/>
      <c r="CJ90" s="73"/>
      <c r="CK90" s="70"/>
      <c r="CL90" s="70"/>
      <c r="CM90" s="70"/>
      <c r="CN90" s="70"/>
      <c r="CO90" s="73"/>
      <c r="CP90" s="70"/>
      <c r="CQ90" s="70"/>
      <c r="CR90" s="70"/>
      <c r="CS90" s="70"/>
      <c r="CT90" s="73"/>
      <c r="CU90" s="70"/>
      <c r="CV90" s="70"/>
      <c r="CW90" s="70"/>
      <c r="CX90" s="70"/>
      <c r="CY90" s="73"/>
      <c r="CZ90" s="70"/>
      <c r="DA90" s="70"/>
      <c r="DB90" s="70"/>
      <c r="DC90" s="70"/>
      <c r="DD90" s="73"/>
      <c r="DE90" s="70"/>
      <c r="DF90" s="70"/>
      <c r="DG90" s="70"/>
      <c r="DH90" s="70"/>
      <c r="DI90" s="73"/>
      <c r="DJ90" s="70"/>
      <c r="DK90" s="70"/>
      <c r="DL90" s="70"/>
      <c r="DM90" s="70"/>
      <c r="DN90" s="73"/>
      <c r="DO90" s="70"/>
      <c r="DP90" s="70"/>
      <c r="DQ90" s="70"/>
      <c r="DR90" s="70"/>
      <c r="DS90" s="73"/>
      <c r="DT90" s="70"/>
      <c r="DU90" s="70"/>
      <c r="DV90" s="70"/>
      <c r="DW90" s="70"/>
      <c r="DX90" s="73"/>
      <c r="DY90" s="70" t="s">
        <v>2451</v>
      </c>
      <c r="DZ90" s="70">
        <v>-8.5640716960941665E-2</v>
      </c>
      <c r="EA90" s="70">
        <v>-1.2105474893025603E-2</v>
      </c>
      <c r="EB90" s="70">
        <v>0.33274100399822304</v>
      </c>
      <c r="EC90" s="73"/>
      <c r="ED90" s="70">
        <v>-7.0111111111111124E-2</v>
      </c>
      <c r="EE90" s="70">
        <v>-9.1826980523360024E-2</v>
      </c>
      <c r="EF90" s="70">
        <v>-1.0492730741398559E-2</v>
      </c>
      <c r="EG90" s="70">
        <v>0.38034770468370849</v>
      </c>
      <c r="EH90" s="73"/>
      <c r="EI90" s="70">
        <v>-7.3690547862733324E-2</v>
      </c>
      <c r="EJ90" s="70">
        <v>-0.1160535551800338</v>
      </c>
      <c r="EK90" s="70">
        <v>7.6468339166502197E-4</v>
      </c>
      <c r="EL90" s="70">
        <v>0.3382901813265935</v>
      </c>
      <c r="EM90" s="73"/>
      <c r="EN90" s="70">
        <v>-9.2186745135930392E-2</v>
      </c>
      <c r="EO90" s="70">
        <v>-0.10542651185292695</v>
      </c>
      <c r="EP90" s="70">
        <v>-2.1407363237374577E-3</v>
      </c>
      <c r="EQ90" s="70">
        <v>0.37933351398956727</v>
      </c>
      <c r="ER90" s="73"/>
      <c r="ES90" s="70">
        <v>-8.7850921168220131E-2</v>
      </c>
      <c r="ET90" s="70">
        <v>-7.2387319109401105E-2</v>
      </c>
      <c r="EU90" s="70">
        <v>-2.7398351246166408E-2</v>
      </c>
      <c r="EV90" s="70">
        <v>0.37465045417829823</v>
      </c>
      <c r="EW90" s="73"/>
      <c r="EX90" s="70">
        <v>-7.9109266390826938E-2</v>
      </c>
      <c r="EY90" s="70">
        <v>-0.14178133574722074</v>
      </c>
      <c r="EZ90" s="70">
        <v>-1.9153943062558354E-2</v>
      </c>
      <c r="FA90" s="70">
        <v>0.36307181351439577</v>
      </c>
      <c r="FB90" s="73"/>
      <c r="FC90" s="70">
        <v>-6.1777607751782759E-2</v>
      </c>
      <c r="FD90" s="70">
        <v>-0.11183470046466404</v>
      </c>
      <c r="FE90" s="70">
        <v>-2.037958392710093E-2</v>
      </c>
      <c r="FF90" s="70">
        <v>0.37261159321078385</v>
      </c>
      <c r="FG90" s="73"/>
      <c r="FH90" s="70">
        <v>-4.0477604934468725E-2</v>
      </c>
      <c r="FI90" s="70">
        <v>-9.8755618063411488E-2</v>
      </c>
      <c r="FJ90" s="70">
        <v>-1.9091155816399197E-2</v>
      </c>
      <c r="FK90" s="70">
        <v>0.35436679146095784</v>
      </c>
      <c r="FL90" s="73"/>
      <c r="FM90" s="70" t="s">
        <v>2451</v>
      </c>
      <c r="FN90" s="70" t="s">
        <v>2451</v>
      </c>
      <c r="FO90" s="70" t="s">
        <v>2451</v>
      </c>
      <c r="FP90" s="70" t="s">
        <v>2451</v>
      </c>
      <c r="FQ90" s="73"/>
      <c r="FR90" s="70" t="s">
        <v>2451</v>
      </c>
      <c r="FS90" s="70" t="s">
        <v>2451</v>
      </c>
      <c r="FT90" s="70" t="s">
        <v>2451</v>
      </c>
      <c r="FU90" s="70" t="s">
        <v>2451</v>
      </c>
      <c r="FV90" s="73"/>
      <c r="FW90" s="70" t="s">
        <v>2451</v>
      </c>
      <c r="FX90" s="70" t="s">
        <v>2451</v>
      </c>
      <c r="FY90" s="70" t="s">
        <v>2451</v>
      </c>
      <c r="FZ90" s="70" t="s">
        <v>2451</v>
      </c>
      <c r="GA90" s="73"/>
    </row>
    <row r="91" spans="1:183" s="72" customFormat="1" ht="12.75" customHeight="1" outlineLevel="1">
      <c r="A91" s="54"/>
      <c r="B91" s="1544"/>
      <c r="C91" s="69"/>
      <c r="D91" s="87"/>
      <c r="E91" s="70"/>
      <c r="F91" s="70"/>
      <c r="G91" s="70"/>
      <c r="H91" s="73"/>
      <c r="I91" s="84"/>
      <c r="J91" s="84"/>
      <c r="K91" s="84"/>
      <c r="L91" s="84"/>
      <c r="M91" s="83"/>
      <c r="N91" s="84"/>
      <c r="O91" s="84"/>
      <c r="P91" s="84"/>
      <c r="Q91" s="84"/>
      <c r="R91" s="83"/>
      <c r="S91" s="84"/>
      <c r="T91" s="84"/>
      <c r="U91" s="84"/>
      <c r="V91" s="84"/>
      <c r="W91" s="83"/>
      <c r="X91" s="84"/>
      <c r="Y91" s="84"/>
      <c r="Z91" s="84"/>
      <c r="AA91" s="84"/>
      <c r="AB91" s="83"/>
      <c r="AC91" s="84"/>
      <c r="AD91" s="84"/>
      <c r="AE91" s="84"/>
      <c r="AF91" s="84"/>
      <c r="AG91" s="83"/>
      <c r="AH91" s="84"/>
      <c r="AI91" s="84"/>
      <c r="AJ91" s="84"/>
      <c r="AK91" s="84"/>
      <c r="AL91" s="83"/>
      <c r="AM91" s="84"/>
      <c r="AN91" s="84"/>
      <c r="AO91" s="84"/>
      <c r="AP91" s="84"/>
      <c r="AQ91" s="83"/>
      <c r="AR91" s="84"/>
      <c r="AS91" s="84"/>
      <c r="AT91" s="84"/>
      <c r="AU91" s="84"/>
      <c r="AV91" s="83"/>
      <c r="AW91" s="84"/>
      <c r="AX91" s="84"/>
      <c r="AY91" s="84"/>
      <c r="AZ91" s="84"/>
      <c r="BA91" s="83"/>
      <c r="BB91" s="84"/>
      <c r="BC91" s="84"/>
      <c r="BD91" s="84"/>
      <c r="BE91" s="84"/>
      <c r="BF91" s="83"/>
      <c r="BG91" s="84"/>
      <c r="BH91" s="84"/>
      <c r="BI91" s="84"/>
      <c r="BJ91" s="84"/>
      <c r="BK91" s="83"/>
      <c r="BL91" s="84"/>
      <c r="BM91" s="84"/>
      <c r="BN91" s="84"/>
      <c r="BO91" s="84"/>
      <c r="BP91" s="83"/>
      <c r="BQ91" s="84"/>
      <c r="BR91" s="84"/>
      <c r="BS91" s="84"/>
      <c r="BT91" s="84"/>
      <c r="BU91" s="83"/>
      <c r="BV91" s="84"/>
      <c r="BW91" s="84"/>
      <c r="BX91" s="84"/>
      <c r="BY91" s="84"/>
      <c r="BZ91" s="83"/>
      <c r="CA91" s="84"/>
      <c r="CB91" s="84"/>
      <c r="CC91" s="84"/>
      <c r="CD91" s="84"/>
      <c r="CE91" s="83"/>
      <c r="CF91" s="84"/>
      <c r="CG91" s="84"/>
      <c r="CH91" s="84"/>
      <c r="CI91" s="84"/>
      <c r="CJ91" s="83"/>
      <c r="CK91" s="84"/>
      <c r="CL91" s="84"/>
      <c r="CM91" s="84"/>
      <c r="CN91" s="84"/>
      <c r="CO91" s="83"/>
      <c r="CP91" s="84"/>
      <c r="CQ91" s="84"/>
      <c r="CR91" s="84"/>
      <c r="CS91" s="84"/>
      <c r="CT91" s="83"/>
      <c r="CU91" s="84"/>
      <c r="CV91" s="84"/>
      <c r="CW91" s="84"/>
      <c r="CX91" s="84"/>
      <c r="CY91" s="83"/>
      <c r="CZ91" s="84"/>
      <c r="DA91" s="84"/>
      <c r="DB91" s="84"/>
      <c r="DC91" s="84"/>
      <c r="DD91" s="83"/>
      <c r="DE91" s="84"/>
      <c r="DF91" s="84"/>
      <c r="DG91" s="84"/>
      <c r="DH91" s="84"/>
      <c r="DI91" s="83"/>
      <c r="DJ91" s="84"/>
      <c r="DK91" s="84"/>
      <c r="DL91" s="84"/>
      <c r="DM91" s="84"/>
      <c r="DN91" s="83"/>
      <c r="DO91" s="84"/>
      <c r="DP91" s="84"/>
      <c r="DQ91" s="84"/>
      <c r="DR91" s="84"/>
      <c r="DS91" s="83"/>
      <c r="DT91" s="84"/>
      <c r="DU91" s="84"/>
      <c r="DV91" s="84"/>
      <c r="DW91" s="84"/>
      <c r="DX91" s="83"/>
      <c r="DY91" s="84"/>
      <c r="DZ91" s="84"/>
      <c r="EA91" s="84"/>
      <c r="EB91" s="84"/>
      <c r="EC91" s="83"/>
      <c r="ED91" s="84"/>
      <c r="EE91" s="84"/>
      <c r="EF91" s="84"/>
      <c r="EG91" s="84"/>
      <c r="EH91" s="83"/>
      <c r="EI91" s="84"/>
      <c r="EJ91" s="84"/>
      <c r="EK91" s="84"/>
      <c r="EL91" s="84"/>
      <c r="EM91" s="83"/>
      <c r="EN91" s="84"/>
      <c r="EO91" s="84"/>
      <c r="EP91" s="84"/>
      <c r="EQ91" s="84"/>
      <c r="ER91" s="83"/>
      <c r="ES91" s="84"/>
      <c r="ET91" s="84"/>
      <c r="EU91" s="84"/>
      <c r="EV91" s="84"/>
      <c r="EW91" s="83"/>
      <c r="EX91" s="84"/>
      <c r="EY91" s="84"/>
      <c r="EZ91" s="84"/>
      <c r="FA91" s="84"/>
      <c r="FB91" s="83"/>
      <c r="FC91" s="84"/>
      <c r="FD91" s="84"/>
      <c r="FE91" s="84"/>
      <c r="FF91" s="84"/>
      <c r="FG91" s="83"/>
      <c r="FH91" s="84"/>
      <c r="FI91" s="84"/>
      <c r="FJ91" s="84"/>
      <c r="FK91" s="84"/>
      <c r="FL91" s="83"/>
      <c r="FM91" s="84"/>
      <c r="FN91" s="84"/>
      <c r="FO91" s="84"/>
      <c r="FP91" s="84"/>
      <c r="FQ91" s="83"/>
      <c r="FR91" s="84"/>
      <c r="FS91" s="84"/>
      <c r="FT91" s="84"/>
      <c r="FU91" s="84"/>
      <c r="FV91" s="83"/>
      <c r="FW91" s="84"/>
      <c r="FX91" s="84"/>
      <c r="FY91" s="84"/>
      <c r="FZ91" s="84"/>
      <c r="GA91" s="83"/>
    </row>
    <row r="92" spans="1:183" s="1558" customFormat="1" ht="12.75" customHeight="1" outlineLevel="1">
      <c r="A92" s="1554"/>
      <c r="B92" s="1549" t="s">
        <v>51</v>
      </c>
      <c r="C92" s="1555"/>
      <c r="D92" s="1556"/>
      <c r="E92" s="1556"/>
      <c r="F92" s="1556"/>
      <c r="G92" s="1556"/>
      <c r="H92" s="1557"/>
      <c r="I92" s="1556"/>
      <c r="J92" s="1556"/>
      <c r="K92" s="1556"/>
      <c r="L92" s="1556"/>
      <c r="M92" s="1557"/>
      <c r="N92" s="1556"/>
      <c r="O92" s="1556"/>
      <c r="P92" s="1556"/>
      <c r="Q92" s="1556"/>
      <c r="R92" s="1557"/>
      <c r="S92" s="1556"/>
      <c r="T92" s="1556"/>
      <c r="U92" s="1556"/>
      <c r="V92" s="1556"/>
      <c r="W92" s="1557"/>
      <c r="X92" s="1556"/>
      <c r="Y92" s="1556"/>
      <c r="Z92" s="1556"/>
      <c r="AA92" s="1556"/>
      <c r="AB92" s="1557"/>
      <c r="AC92" s="1556"/>
      <c r="AD92" s="1556"/>
      <c r="AE92" s="1556"/>
      <c r="AF92" s="1556"/>
      <c r="AG92" s="1557"/>
      <c r="AH92" s="1556"/>
      <c r="AI92" s="1556"/>
      <c r="AJ92" s="1556"/>
      <c r="AK92" s="1556"/>
      <c r="AL92" s="1557"/>
      <c r="AM92" s="1556"/>
      <c r="AN92" s="1556"/>
      <c r="AO92" s="1556"/>
      <c r="AP92" s="1556"/>
      <c r="AQ92" s="1557"/>
      <c r="AR92" s="1556"/>
      <c r="AS92" s="1556"/>
      <c r="AT92" s="1556"/>
      <c r="AU92" s="1556"/>
      <c r="AV92" s="1557"/>
      <c r="AW92" s="1556"/>
      <c r="AX92" s="1556"/>
      <c r="AY92" s="1556"/>
      <c r="AZ92" s="1556"/>
      <c r="BA92" s="1557"/>
      <c r="BB92" s="1556"/>
      <c r="BC92" s="1556"/>
      <c r="BD92" s="1556"/>
      <c r="BE92" s="1556"/>
      <c r="BF92" s="1557"/>
      <c r="BG92" s="1556"/>
      <c r="BH92" s="1556"/>
      <c r="BI92" s="1556"/>
      <c r="BJ92" s="1556"/>
      <c r="BK92" s="1557"/>
      <c r="BL92" s="1556"/>
      <c r="BM92" s="1556"/>
      <c r="BN92" s="1556"/>
      <c r="BO92" s="1556"/>
      <c r="BP92" s="1557"/>
      <c r="BQ92" s="1556"/>
      <c r="BR92" s="1556"/>
      <c r="BS92" s="1556"/>
      <c r="BT92" s="1556"/>
      <c r="BU92" s="1557"/>
      <c r="BV92" s="1556"/>
      <c r="BW92" s="1556"/>
      <c r="BX92" s="1556"/>
      <c r="BY92" s="1556"/>
      <c r="BZ92" s="1557"/>
      <c r="CA92" s="1556"/>
      <c r="CB92" s="1556"/>
      <c r="CC92" s="1556"/>
      <c r="CD92" s="1556"/>
      <c r="CE92" s="1557"/>
      <c r="CF92" s="1556"/>
      <c r="CG92" s="1556"/>
      <c r="CH92" s="1556"/>
      <c r="CI92" s="1556"/>
      <c r="CJ92" s="1557"/>
      <c r="CK92" s="1556"/>
      <c r="CL92" s="1556"/>
      <c r="CM92" s="1556"/>
      <c r="CN92" s="1556"/>
      <c r="CO92" s="1557"/>
      <c r="CP92" s="1556"/>
      <c r="CQ92" s="1556"/>
      <c r="CR92" s="1556"/>
      <c r="CS92" s="1556"/>
      <c r="CT92" s="1557"/>
      <c r="CU92" s="1556"/>
      <c r="CV92" s="1556"/>
      <c r="CW92" s="1556"/>
      <c r="CX92" s="1556"/>
      <c r="CY92" s="1557"/>
      <c r="CZ92" s="1556"/>
      <c r="DA92" s="1556"/>
      <c r="DB92" s="1556"/>
      <c r="DC92" s="1556"/>
      <c r="DD92" s="1557"/>
      <c r="DE92" s="1556"/>
      <c r="DF92" s="1556"/>
      <c r="DG92" s="1556"/>
      <c r="DH92" s="1556"/>
      <c r="DI92" s="1557"/>
      <c r="DJ92" s="1556"/>
      <c r="DK92" s="1556"/>
      <c r="DL92" s="1556"/>
      <c r="DM92" s="1556"/>
      <c r="DN92" s="1557"/>
      <c r="DO92" s="1556"/>
      <c r="DP92" s="1556"/>
      <c r="DQ92" s="1556"/>
      <c r="DR92" s="1556"/>
      <c r="DS92" s="1557"/>
      <c r="DT92" s="1556"/>
      <c r="DU92" s="1556"/>
      <c r="DV92" s="1556"/>
      <c r="DW92" s="1556"/>
      <c r="DX92" s="1557"/>
      <c r="DY92" s="1556">
        <v>4122</v>
      </c>
      <c r="DZ92" s="1556">
        <v>3878</v>
      </c>
      <c r="EA92" s="1556">
        <v>3385</v>
      </c>
      <c r="EB92" s="1556">
        <v>3180</v>
      </c>
      <c r="EC92" s="1557">
        <v>3180</v>
      </c>
      <c r="ED92" s="1556">
        <v>2829</v>
      </c>
      <c r="EE92" s="1556">
        <v>2985</v>
      </c>
      <c r="EF92" s="1556">
        <v>2631</v>
      </c>
      <c r="EG92" s="1556">
        <v>2616</v>
      </c>
      <c r="EH92" s="1557">
        <v>2616</v>
      </c>
      <c r="EI92" s="1556">
        <v>2550</v>
      </c>
      <c r="EJ92" s="1556">
        <v>2768</v>
      </c>
      <c r="EK92" s="1556">
        <v>2769</v>
      </c>
      <c r="EL92" s="1556">
        <v>2870</v>
      </c>
      <c r="EM92" s="1557">
        <v>2870</v>
      </c>
      <c r="EN92" s="1556">
        <v>2549.1428000000001</v>
      </c>
      <c r="EO92" s="1556">
        <v>2643.3332999999998</v>
      </c>
      <c r="EP92" s="1556">
        <v>2698.3332999999998</v>
      </c>
      <c r="EQ92" s="1556">
        <v>2911.7143999999998</v>
      </c>
      <c r="ER92" s="1557">
        <v>2911.75</v>
      </c>
      <c r="ES92" s="1556">
        <v>2759.1428000000001</v>
      </c>
      <c r="ET92" s="1556">
        <v>2966.5715</v>
      </c>
      <c r="EU92" s="1556">
        <v>2945.7143999999998</v>
      </c>
      <c r="EV92" s="1556">
        <v>2601.75</v>
      </c>
      <c r="EW92" s="1557">
        <v>2601.75</v>
      </c>
      <c r="EX92" s="1556">
        <v>2662.6667000000002</v>
      </c>
      <c r="EY92" s="1556">
        <v>2537.4285</v>
      </c>
      <c r="EZ92" s="1556">
        <v>2840</v>
      </c>
      <c r="FA92" s="1556">
        <v>2994.05</v>
      </c>
      <c r="FB92" s="1557">
        <v>2994.05</v>
      </c>
      <c r="FC92" s="1556">
        <v>2813.25</v>
      </c>
      <c r="FD92" s="1556">
        <v>2735.5</v>
      </c>
      <c r="FE92" s="1556">
        <v>2868.75</v>
      </c>
      <c r="FF92" s="1556">
        <v>2937</v>
      </c>
      <c r="FG92" s="1557">
        <v>3005.8</v>
      </c>
      <c r="FH92" s="1556">
        <v>2778.5</v>
      </c>
      <c r="FI92" s="1556">
        <v>2621.5</v>
      </c>
      <c r="FJ92" s="1556">
        <v>2575.5</v>
      </c>
      <c r="FK92" s="1556">
        <v>3060</v>
      </c>
      <c r="FL92" s="1557">
        <v>2651.86</v>
      </c>
      <c r="FM92" s="1556" t="s">
        <v>2451</v>
      </c>
      <c r="FN92" s="1556" t="s">
        <v>2451</v>
      </c>
      <c r="FO92" s="1556" t="s">
        <v>2451</v>
      </c>
      <c r="FP92" s="1556" t="s">
        <v>2451</v>
      </c>
      <c r="FQ92" s="1557" t="s">
        <v>2451</v>
      </c>
      <c r="FR92" s="1556" t="s">
        <v>2451</v>
      </c>
      <c r="FS92" s="1556" t="s">
        <v>2451</v>
      </c>
      <c r="FT92" s="1556" t="s">
        <v>2451</v>
      </c>
      <c r="FU92" s="1556" t="s">
        <v>2451</v>
      </c>
      <c r="FV92" s="1557" t="s">
        <v>2451</v>
      </c>
      <c r="FW92" s="1556" t="s">
        <v>2451</v>
      </c>
      <c r="FX92" s="1556" t="s">
        <v>2451</v>
      </c>
      <c r="FY92" s="1556" t="s">
        <v>2451</v>
      </c>
      <c r="FZ92" s="1556" t="s">
        <v>2451</v>
      </c>
      <c r="GA92" s="1557" t="s">
        <v>2451</v>
      </c>
    </row>
    <row r="93" spans="1:183" s="55" customFormat="1" ht="12.75" customHeight="1" outlineLevel="1">
      <c r="A93" s="54"/>
      <c r="B93" s="753" t="s">
        <v>49</v>
      </c>
      <c r="C93" s="74"/>
      <c r="D93" s="85"/>
      <c r="E93" s="85"/>
      <c r="F93" s="85"/>
      <c r="G93" s="85"/>
      <c r="H93" s="71"/>
      <c r="I93" s="70"/>
      <c r="J93" s="70"/>
      <c r="K93" s="70"/>
      <c r="L93" s="70"/>
      <c r="M93" s="71"/>
      <c r="N93" s="70"/>
      <c r="O93" s="70"/>
      <c r="P93" s="70"/>
      <c r="Q93" s="70"/>
      <c r="R93" s="71"/>
      <c r="S93" s="70"/>
      <c r="T93" s="70"/>
      <c r="U93" s="70"/>
      <c r="V93" s="70"/>
      <c r="W93" s="71"/>
      <c r="X93" s="70"/>
      <c r="Y93" s="70"/>
      <c r="Z93" s="70"/>
      <c r="AA93" s="70"/>
      <c r="AB93" s="71"/>
      <c r="AC93" s="70"/>
      <c r="AD93" s="70"/>
      <c r="AE93" s="70"/>
      <c r="AF93" s="70"/>
      <c r="AG93" s="71"/>
      <c r="AH93" s="70"/>
      <c r="AI93" s="70"/>
      <c r="AJ93" s="70"/>
      <c r="AK93" s="70"/>
      <c r="AL93" s="71"/>
      <c r="AM93" s="70"/>
      <c r="AN93" s="70"/>
      <c r="AO93" s="70"/>
      <c r="AP93" s="70"/>
      <c r="AQ93" s="71"/>
      <c r="AR93" s="70"/>
      <c r="AS93" s="70"/>
      <c r="AT93" s="70"/>
      <c r="AU93" s="70"/>
      <c r="AV93" s="71"/>
      <c r="AW93" s="70"/>
      <c r="AX93" s="70"/>
      <c r="AY93" s="70"/>
      <c r="AZ93" s="70"/>
      <c r="BA93" s="71"/>
      <c r="BB93" s="70"/>
      <c r="BC93" s="70"/>
      <c r="BD93" s="70"/>
      <c r="BE93" s="70"/>
      <c r="BF93" s="71"/>
      <c r="BG93" s="70"/>
      <c r="BH93" s="70"/>
      <c r="BI93" s="70"/>
      <c r="BJ93" s="70"/>
      <c r="BK93" s="71"/>
      <c r="BL93" s="70"/>
      <c r="BM93" s="70"/>
      <c r="BN93" s="70"/>
      <c r="BO93" s="70"/>
      <c r="BP93" s="71"/>
      <c r="BQ93" s="70"/>
      <c r="BR93" s="70"/>
      <c r="BS93" s="70"/>
      <c r="BT93" s="70"/>
      <c r="BU93" s="71"/>
      <c r="BV93" s="70"/>
      <c r="BW93" s="70"/>
      <c r="BX93" s="70"/>
      <c r="BY93" s="70"/>
      <c r="BZ93" s="71"/>
      <c r="CA93" s="70"/>
      <c r="CB93" s="70"/>
      <c r="CC93" s="70"/>
      <c r="CD93" s="70"/>
      <c r="CE93" s="71"/>
      <c r="CF93" s="70"/>
      <c r="CG93" s="70"/>
      <c r="CH93" s="70"/>
      <c r="CI93" s="70"/>
      <c r="CJ93" s="71"/>
      <c r="CK93" s="70"/>
      <c r="CL93" s="70"/>
      <c r="CM93" s="70"/>
      <c r="CN93" s="70"/>
      <c r="CO93" s="71"/>
      <c r="CP93" s="70"/>
      <c r="CQ93" s="70"/>
      <c r="CR93" s="70"/>
      <c r="CS93" s="70"/>
      <c r="CT93" s="71"/>
      <c r="CU93" s="70"/>
      <c r="CV93" s="70"/>
      <c r="CW93" s="70"/>
      <c r="CX93" s="70"/>
      <c r="CY93" s="71"/>
      <c r="CZ93" s="70"/>
      <c r="DA93" s="70"/>
      <c r="DB93" s="70"/>
      <c r="DC93" s="70"/>
      <c r="DD93" s="71"/>
      <c r="DE93" s="70"/>
      <c r="DF93" s="70"/>
      <c r="DG93" s="70"/>
      <c r="DH93" s="70"/>
      <c r="DI93" s="71"/>
      <c r="DJ93" s="70"/>
      <c r="DK93" s="70"/>
      <c r="DL93" s="70"/>
      <c r="DM93" s="70"/>
      <c r="DN93" s="71"/>
      <c r="DO93" s="70"/>
      <c r="DP93" s="70"/>
      <c r="DQ93" s="70"/>
      <c r="DR93" s="70"/>
      <c r="DS93" s="71"/>
      <c r="DT93" s="70"/>
      <c r="DU93" s="70"/>
      <c r="DV93" s="70"/>
      <c r="DW93" s="70"/>
      <c r="DX93" s="71"/>
      <c r="DY93" s="70" t="s">
        <v>2451</v>
      </c>
      <c r="DZ93" s="70" t="s">
        <v>2451</v>
      </c>
      <c r="EA93" s="70" t="s">
        <v>2451</v>
      </c>
      <c r="EB93" s="70" t="s">
        <v>2451</v>
      </c>
      <c r="EC93" s="71" t="s">
        <v>2451</v>
      </c>
      <c r="ED93" s="70">
        <v>-0.31368267831149932</v>
      </c>
      <c r="EE93" s="70">
        <v>-0.23027333677153172</v>
      </c>
      <c r="EF93" s="70">
        <v>-0.22274741506646967</v>
      </c>
      <c r="EG93" s="70">
        <v>-0.1773584905660377</v>
      </c>
      <c r="EH93" s="71">
        <v>-0.1773584905660377</v>
      </c>
      <c r="EI93" s="70">
        <v>-9.8621420996818698E-2</v>
      </c>
      <c r="EJ93" s="70">
        <v>-7.2696817420435544E-2</v>
      </c>
      <c r="EK93" s="70">
        <v>5.2451539338654429E-2</v>
      </c>
      <c r="EL93" s="70">
        <v>9.7094801223241545E-2</v>
      </c>
      <c r="EM93" s="71">
        <v>9.7094801223241545E-2</v>
      </c>
      <c r="EN93" s="70">
        <v>-3.3615686274501844E-4</v>
      </c>
      <c r="EO93" s="70">
        <v>-4.5038547687861308E-2</v>
      </c>
      <c r="EP93" s="70">
        <v>-2.5520657276995373E-2</v>
      </c>
      <c r="EQ93" s="70">
        <v>1.4534634146341485E-2</v>
      </c>
      <c r="ER93" s="71">
        <v>1.4547038327526129E-2</v>
      </c>
      <c r="ES93" s="70">
        <v>8.2380633991944174E-2</v>
      </c>
      <c r="ET93" s="70">
        <v>0.12228431427849085</v>
      </c>
      <c r="EU93" s="70">
        <v>9.1679222874357258E-2</v>
      </c>
      <c r="EV93" s="70">
        <v>-0.10645425938752784</v>
      </c>
      <c r="EW93" s="71">
        <v>-0.10646518416759676</v>
      </c>
      <c r="EX93" s="70">
        <v>-3.4965968415987647E-2</v>
      </c>
      <c r="EY93" s="70">
        <v>-0.14465958430464254</v>
      </c>
      <c r="EZ93" s="70">
        <v>-3.5887525280794308E-2</v>
      </c>
      <c r="FA93" s="70">
        <v>0.1507831267416162</v>
      </c>
      <c r="FB93" s="71">
        <v>0.1507831267416162</v>
      </c>
      <c r="FC93" s="70">
        <v>5.6553567143796002E-2</v>
      </c>
      <c r="FD93" s="70">
        <v>7.8059933511426927E-2</v>
      </c>
      <c r="FE93" s="70">
        <v>1.0123239436619746E-2</v>
      </c>
      <c r="FF93" s="70">
        <v>-1.9054458008383346E-2</v>
      </c>
      <c r="FG93" s="71">
        <v>3.9244501594830616E-3</v>
      </c>
      <c r="FH93" s="70">
        <v>-1.2352261619123839E-2</v>
      </c>
      <c r="FI93" s="70">
        <v>-4.1674282580881017E-2</v>
      </c>
      <c r="FJ93" s="70">
        <v>-0.10222222222222221</v>
      </c>
      <c r="FK93" s="70">
        <v>4.1879468845760881E-2</v>
      </c>
      <c r="FL93" s="71">
        <v>-0.11775234546543356</v>
      </c>
      <c r="FM93" s="70" t="s">
        <v>2451</v>
      </c>
      <c r="FN93" s="70" t="s">
        <v>2451</v>
      </c>
      <c r="FO93" s="70" t="s">
        <v>2451</v>
      </c>
      <c r="FP93" s="70" t="s">
        <v>2451</v>
      </c>
      <c r="FQ93" s="71" t="s">
        <v>2451</v>
      </c>
      <c r="FR93" s="70" t="s">
        <v>2451</v>
      </c>
      <c r="FS93" s="70" t="s">
        <v>2451</v>
      </c>
      <c r="FT93" s="70" t="s">
        <v>2451</v>
      </c>
      <c r="FU93" s="70" t="s">
        <v>2451</v>
      </c>
      <c r="FV93" s="71" t="s">
        <v>2451</v>
      </c>
      <c r="FW93" s="70" t="s">
        <v>2451</v>
      </c>
      <c r="FX93" s="70" t="s">
        <v>2451</v>
      </c>
      <c r="FY93" s="70" t="s">
        <v>2451</v>
      </c>
      <c r="FZ93" s="70" t="s">
        <v>2451</v>
      </c>
      <c r="GA93" s="71" t="s">
        <v>2451</v>
      </c>
    </row>
    <row r="94" spans="1:183" s="55" customFormat="1" ht="12.75" customHeight="1" outlineLevel="1">
      <c r="A94" s="54"/>
      <c r="B94" s="753" t="s">
        <v>50</v>
      </c>
      <c r="C94" s="74"/>
      <c r="D94" s="85"/>
      <c r="E94" s="70"/>
      <c r="F94" s="70"/>
      <c r="G94" s="70"/>
      <c r="H94" s="71"/>
      <c r="I94" s="70"/>
      <c r="J94" s="70"/>
      <c r="K94" s="70"/>
      <c r="L94" s="70"/>
      <c r="M94" s="73"/>
      <c r="N94" s="70"/>
      <c r="O94" s="70"/>
      <c r="P94" s="70"/>
      <c r="Q94" s="70"/>
      <c r="R94" s="73"/>
      <c r="S94" s="70"/>
      <c r="T94" s="70"/>
      <c r="U94" s="70"/>
      <c r="V94" s="70"/>
      <c r="W94" s="73"/>
      <c r="X94" s="70"/>
      <c r="Y94" s="70"/>
      <c r="Z94" s="70"/>
      <c r="AA94" s="70"/>
      <c r="AB94" s="73"/>
      <c r="AC94" s="70"/>
      <c r="AD94" s="70"/>
      <c r="AE94" s="70"/>
      <c r="AF94" s="70"/>
      <c r="AG94" s="73"/>
      <c r="AH94" s="70"/>
      <c r="AI94" s="70"/>
      <c r="AJ94" s="70"/>
      <c r="AK94" s="70"/>
      <c r="AL94" s="73"/>
      <c r="AM94" s="70"/>
      <c r="AN94" s="70"/>
      <c r="AO94" s="70"/>
      <c r="AP94" s="70"/>
      <c r="AQ94" s="73"/>
      <c r="AR94" s="70"/>
      <c r="AS94" s="70"/>
      <c r="AT94" s="70"/>
      <c r="AU94" s="70"/>
      <c r="AV94" s="73"/>
      <c r="AW94" s="70"/>
      <c r="AX94" s="70"/>
      <c r="AY94" s="70"/>
      <c r="AZ94" s="70"/>
      <c r="BA94" s="73"/>
      <c r="BB94" s="70"/>
      <c r="BC94" s="70"/>
      <c r="BD94" s="70"/>
      <c r="BE94" s="70"/>
      <c r="BF94" s="73"/>
      <c r="BG94" s="70"/>
      <c r="BH94" s="70"/>
      <c r="BI94" s="70"/>
      <c r="BJ94" s="70"/>
      <c r="BK94" s="73"/>
      <c r="BL94" s="70"/>
      <c r="BM94" s="70"/>
      <c r="BN94" s="70"/>
      <c r="BO94" s="70"/>
      <c r="BP94" s="73"/>
      <c r="BQ94" s="70"/>
      <c r="BR94" s="70"/>
      <c r="BS94" s="70"/>
      <c r="BT94" s="70"/>
      <c r="BU94" s="73"/>
      <c r="BV94" s="70"/>
      <c r="BW94" s="70"/>
      <c r="BX94" s="70"/>
      <c r="BY94" s="70"/>
      <c r="BZ94" s="73"/>
      <c r="CA94" s="70"/>
      <c r="CB94" s="70"/>
      <c r="CC94" s="70"/>
      <c r="CD94" s="70"/>
      <c r="CE94" s="73"/>
      <c r="CF94" s="70"/>
      <c r="CG94" s="70"/>
      <c r="CH94" s="70"/>
      <c r="CI94" s="70"/>
      <c r="CJ94" s="73"/>
      <c r="CK94" s="70"/>
      <c r="CL94" s="70"/>
      <c r="CM94" s="70"/>
      <c r="CN94" s="70"/>
      <c r="CO94" s="73"/>
      <c r="CP94" s="70"/>
      <c r="CQ94" s="70"/>
      <c r="CR94" s="70"/>
      <c r="CS94" s="70"/>
      <c r="CT94" s="73"/>
      <c r="CU94" s="70"/>
      <c r="CV94" s="70"/>
      <c r="CW94" s="70"/>
      <c r="CX94" s="70"/>
      <c r="CY94" s="73"/>
      <c r="CZ94" s="70"/>
      <c r="DA94" s="70"/>
      <c r="DB94" s="70"/>
      <c r="DC94" s="70"/>
      <c r="DD94" s="73"/>
      <c r="DE94" s="70"/>
      <c r="DF94" s="70"/>
      <c r="DG94" s="70"/>
      <c r="DH94" s="70"/>
      <c r="DI94" s="73"/>
      <c r="DJ94" s="70"/>
      <c r="DK94" s="70"/>
      <c r="DL94" s="70"/>
      <c r="DM94" s="70"/>
      <c r="DN94" s="73"/>
      <c r="DO94" s="70"/>
      <c r="DP94" s="70"/>
      <c r="DQ94" s="70"/>
      <c r="DR94" s="70"/>
      <c r="DS94" s="73"/>
      <c r="DT94" s="70"/>
      <c r="DU94" s="70"/>
      <c r="DV94" s="70"/>
      <c r="DW94" s="70"/>
      <c r="DX94" s="73"/>
      <c r="DY94" s="70" t="s">
        <v>2451</v>
      </c>
      <c r="DZ94" s="70">
        <v>-5.91945657447841E-2</v>
      </c>
      <c r="EA94" s="70">
        <v>-0.1271273852501289</v>
      </c>
      <c r="EB94" s="70">
        <v>-6.056129985228953E-2</v>
      </c>
      <c r="EC94" s="73"/>
      <c r="ED94" s="70">
        <v>-0.11037735849056607</v>
      </c>
      <c r="EE94" s="70">
        <v>5.5143160127253399E-2</v>
      </c>
      <c r="EF94" s="70">
        <v>-0.11859296482412063</v>
      </c>
      <c r="EG94" s="70">
        <v>-5.7012542759407037E-3</v>
      </c>
      <c r="EH94" s="73"/>
      <c r="EI94" s="70">
        <v>-2.5229357798165153E-2</v>
      </c>
      <c r="EJ94" s="70">
        <v>8.5490196078431335E-2</v>
      </c>
      <c r="EK94" s="70">
        <v>3.6127167630062296E-4</v>
      </c>
      <c r="EL94" s="70">
        <v>3.6475261827374483E-2</v>
      </c>
      <c r="EM94" s="73"/>
      <c r="EN94" s="70">
        <v>-0.11179693379790934</v>
      </c>
      <c r="EO94" s="70">
        <v>3.6949871933420031E-2</v>
      </c>
      <c r="EP94" s="70">
        <v>2.0807062053052494E-2</v>
      </c>
      <c r="EQ94" s="70">
        <v>7.9078852119565779E-2</v>
      </c>
      <c r="ER94" s="73"/>
      <c r="ES94" s="70">
        <v>-5.2399232562094555E-2</v>
      </c>
      <c r="ET94" s="70">
        <v>7.5178675058065192E-2</v>
      </c>
      <c r="EU94" s="70">
        <v>-7.0307086817223974E-3</v>
      </c>
      <c r="EV94" s="70">
        <v>-0.11676773552792485</v>
      </c>
      <c r="EW94" s="73"/>
      <c r="EX94" s="70">
        <v>2.3413740751417444E-2</v>
      </c>
      <c r="EY94" s="70">
        <v>-4.7034876727154895E-2</v>
      </c>
      <c r="EZ94" s="70">
        <v>0.11924335996068458</v>
      </c>
      <c r="FA94" s="70">
        <v>5.4242957746478915E-2</v>
      </c>
      <c r="FB94" s="73"/>
      <c r="FC94" s="70">
        <v>-6.0386433092299741E-2</v>
      </c>
      <c r="FD94" s="70">
        <v>-2.7637074557895658E-2</v>
      </c>
      <c r="FE94" s="70">
        <v>4.8711387314933186E-2</v>
      </c>
      <c r="FF94" s="70">
        <v>2.3790849673202663E-2</v>
      </c>
      <c r="FG94" s="73"/>
      <c r="FH94" s="70">
        <v>-5.3966632618318022E-2</v>
      </c>
      <c r="FI94" s="70">
        <v>-5.6505308619758887E-2</v>
      </c>
      <c r="FJ94" s="70">
        <v>-1.7547205798207122E-2</v>
      </c>
      <c r="FK94" s="70">
        <v>0.18811881188118806</v>
      </c>
      <c r="FL94" s="73"/>
      <c r="FM94" s="70" t="s">
        <v>2451</v>
      </c>
      <c r="FN94" s="70" t="s">
        <v>2451</v>
      </c>
      <c r="FO94" s="70" t="s">
        <v>2451</v>
      </c>
      <c r="FP94" s="70" t="s">
        <v>2451</v>
      </c>
      <c r="FQ94" s="73"/>
      <c r="FR94" s="70" t="s">
        <v>2451</v>
      </c>
      <c r="FS94" s="70" t="s">
        <v>2451</v>
      </c>
      <c r="FT94" s="70" t="s">
        <v>2451</v>
      </c>
      <c r="FU94" s="70" t="s">
        <v>2451</v>
      </c>
      <c r="FV94" s="73"/>
      <c r="FW94" s="70" t="s">
        <v>2451</v>
      </c>
      <c r="FX94" s="70" t="s">
        <v>2451</v>
      </c>
      <c r="FY94" s="70" t="s">
        <v>2451</v>
      </c>
      <c r="FZ94" s="70" t="s">
        <v>2451</v>
      </c>
      <c r="GA94" s="73"/>
    </row>
    <row r="95" spans="1:183" s="55" customFormat="1" ht="12.75" customHeight="1" outlineLevel="1">
      <c r="A95" s="54"/>
      <c r="B95" s="1545"/>
      <c r="C95" s="74"/>
      <c r="D95" s="87"/>
      <c r="E95" s="70"/>
      <c r="F95" s="70"/>
      <c r="G95" s="70"/>
      <c r="H95" s="88"/>
      <c r="I95" s="70"/>
      <c r="J95" s="70"/>
      <c r="K95" s="70"/>
      <c r="L95" s="70"/>
      <c r="M95" s="73"/>
      <c r="N95" s="70"/>
      <c r="O95" s="70"/>
      <c r="P95" s="70"/>
      <c r="Q95" s="70"/>
      <c r="R95" s="73"/>
      <c r="S95" s="70"/>
      <c r="T95" s="70"/>
      <c r="U95" s="70"/>
      <c r="V95" s="70"/>
      <c r="W95" s="73"/>
      <c r="X95" s="70"/>
      <c r="Y95" s="70"/>
      <c r="Z95" s="70"/>
      <c r="AA95" s="70"/>
      <c r="AB95" s="73"/>
      <c r="AC95" s="70"/>
      <c r="AD95" s="70"/>
      <c r="AE95" s="70"/>
      <c r="AF95" s="70"/>
      <c r="AG95" s="73"/>
      <c r="AH95" s="70"/>
      <c r="AI95" s="70"/>
      <c r="AJ95" s="70"/>
      <c r="AK95" s="70"/>
      <c r="AL95" s="73"/>
      <c r="AM95" s="70"/>
      <c r="AN95" s="70"/>
      <c r="AO95" s="70"/>
      <c r="AP95" s="70"/>
      <c r="AQ95" s="73"/>
      <c r="AR95" s="70"/>
      <c r="AS95" s="70"/>
      <c r="AT95" s="70"/>
      <c r="AU95" s="70"/>
      <c r="AV95" s="73"/>
      <c r="AW95" s="70"/>
      <c r="AX95" s="70"/>
      <c r="AY95" s="70"/>
      <c r="AZ95" s="70"/>
      <c r="BA95" s="73"/>
      <c r="BB95" s="70"/>
      <c r="BC95" s="70"/>
      <c r="BD95" s="70"/>
      <c r="BE95" s="70"/>
      <c r="BF95" s="73"/>
      <c r="BG95" s="70"/>
      <c r="BH95" s="70"/>
      <c r="BI95" s="70"/>
      <c r="BJ95" s="70"/>
      <c r="BK95" s="73"/>
      <c r="BL95" s="70"/>
      <c r="BM95" s="70"/>
      <c r="BN95" s="70"/>
      <c r="BO95" s="70"/>
      <c r="BP95" s="73"/>
      <c r="BQ95" s="70"/>
      <c r="BR95" s="70"/>
      <c r="BS95" s="70"/>
      <c r="BT95" s="70"/>
      <c r="BU95" s="73"/>
      <c r="BV95" s="70"/>
      <c r="BW95" s="70"/>
      <c r="BX95" s="70"/>
      <c r="BY95" s="70"/>
      <c r="BZ95" s="73"/>
      <c r="CA95" s="70"/>
      <c r="CB95" s="70"/>
      <c r="CC95" s="70"/>
      <c r="CD95" s="70"/>
      <c r="CE95" s="73"/>
      <c r="CF95" s="70"/>
      <c r="CG95" s="70"/>
      <c r="CH95" s="70"/>
      <c r="CI95" s="70"/>
      <c r="CJ95" s="73"/>
      <c r="CK95" s="70"/>
      <c r="CL95" s="70"/>
      <c r="CM95" s="70"/>
      <c r="CN95" s="70"/>
      <c r="CO95" s="73"/>
      <c r="CP95" s="70"/>
      <c r="CQ95" s="70"/>
      <c r="CR95" s="70"/>
      <c r="CS95" s="70"/>
      <c r="CT95" s="73"/>
      <c r="CU95" s="70"/>
      <c r="CV95" s="70"/>
      <c r="CW95" s="70"/>
      <c r="CX95" s="70"/>
      <c r="CY95" s="73"/>
      <c r="CZ95" s="70"/>
      <c r="DA95" s="70"/>
      <c r="DB95" s="70"/>
      <c r="DC95" s="70"/>
      <c r="DD95" s="73"/>
      <c r="DE95" s="70"/>
      <c r="DF95" s="70"/>
      <c r="DG95" s="70"/>
      <c r="DH95" s="70"/>
      <c r="DI95" s="73"/>
      <c r="DJ95" s="70"/>
      <c r="DK95" s="70"/>
      <c r="DL95" s="70"/>
      <c r="DM95" s="70"/>
      <c r="DN95" s="73"/>
      <c r="DO95" s="70"/>
      <c r="DP95" s="70"/>
      <c r="DQ95" s="70"/>
      <c r="DR95" s="70"/>
      <c r="DS95" s="73"/>
      <c r="DT95" s="70"/>
      <c r="DU95" s="70"/>
      <c r="DV95" s="70"/>
      <c r="DW95" s="70"/>
      <c r="DX95" s="73"/>
      <c r="DY95" s="70"/>
      <c r="DZ95" s="70"/>
      <c r="EA95" s="70"/>
      <c r="EB95" s="70"/>
      <c r="EC95" s="73"/>
      <c r="ED95" s="70"/>
      <c r="EE95" s="70"/>
      <c r="EF95" s="70"/>
      <c r="EG95" s="70"/>
      <c r="EH95" s="73"/>
      <c r="EI95" s="70"/>
      <c r="EJ95" s="70"/>
      <c r="EK95" s="70"/>
      <c r="EL95" s="70"/>
      <c r="EM95" s="73"/>
      <c r="EN95" s="70"/>
      <c r="EO95" s="70"/>
      <c r="EP95" s="70"/>
      <c r="EQ95" s="70"/>
      <c r="ER95" s="73"/>
      <c r="ES95" s="70"/>
      <c r="ET95" s="70"/>
      <c r="EU95" s="70"/>
      <c r="EV95" s="70"/>
      <c r="EW95" s="73"/>
      <c r="EX95" s="70"/>
      <c r="EY95" s="70"/>
      <c r="EZ95" s="70"/>
      <c r="FA95" s="70"/>
      <c r="FB95" s="73"/>
      <c r="FC95" s="70"/>
      <c r="FD95" s="70"/>
      <c r="FE95" s="70"/>
      <c r="FF95" s="70"/>
      <c r="FG95" s="73"/>
      <c r="FH95" s="70"/>
      <c r="FI95" s="70"/>
      <c r="FJ95" s="70"/>
      <c r="FK95" s="70"/>
      <c r="FL95" s="73"/>
      <c r="FM95" s="70"/>
      <c r="FN95" s="70"/>
      <c r="FO95" s="70"/>
      <c r="FP95" s="70"/>
      <c r="FQ95" s="73"/>
      <c r="FR95" s="70"/>
      <c r="FS95" s="70"/>
      <c r="FT95" s="70"/>
      <c r="FU95" s="70"/>
      <c r="FV95" s="73"/>
      <c r="FW95" s="70"/>
      <c r="FX95" s="70"/>
      <c r="FY95" s="70"/>
      <c r="FZ95" s="70"/>
      <c r="GA95" s="73"/>
    </row>
    <row r="96" spans="1:183" s="1558" customFormat="1" ht="12.75" customHeight="1" outlineLevel="1">
      <c r="A96" s="1401" t="s">
        <v>52</v>
      </c>
      <c r="B96" s="1549" t="s">
        <v>53</v>
      </c>
      <c r="C96" s="1555"/>
      <c r="D96" s="1556"/>
      <c r="E96" s="1556"/>
      <c r="F96" s="1556"/>
      <c r="G96" s="1556"/>
      <c r="H96" s="1557"/>
      <c r="I96" s="1556"/>
      <c r="J96" s="1556"/>
      <c r="K96" s="1556"/>
      <c r="L96" s="1556"/>
      <c r="M96" s="1557"/>
      <c r="N96" s="1556"/>
      <c r="O96" s="1556"/>
      <c r="P96" s="1556"/>
      <c r="Q96" s="1556"/>
      <c r="R96" s="1557"/>
      <c r="S96" s="1556"/>
      <c r="T96" s="1556"/>
      <c r="U96" s="1556"/>
      <c r="V96" s="1556"/>
      <c r="W96" s="1557"/>
      <c r="X96" s="1556"/>
      <c r="Y96" s="1556"/>
      <c r="Z96" s="1556"/>
      <c r="AA96" s="1556"/>
      <c r="AB96" s="1557"/>
      <c r="AC96" s="1556"/>
      <c r="AD96" s="1556"/>
      <c r="AE96" s="1556"/>
      <c r="AF96" s="1556"/>
      <c r="AG96" s="1557"/>
      <c r="AH96" s="1556"/>
      <c r="AI96" s="1556"/>
      <c r="AJ96" s="1556"/>
      <c r="AK96" s="1556"/>
      <c r="AL96" s="1557"/>
      <c r="AM96" s="1556"/>
      <c r="AN96" s="1556"/>
      <c r="AO96" s="1556"/>
      <c r="AP96" s="1556"/>
      <c r="AQ96" s="1557"/>
      <c r="AR96" s="1556"/>
      <c r="AS96" s="1556"/>
      <c r="AT96" s="1556"/>
      <c r="AU96" s="1556"/>
      <c r="AV96" s="1557"/>
      <c r="AW96" s="1556"/>
      <c r="AX96" s="1556"/>
      <c r="AY96" s="1556"/>
      <c r="AZ96" s="1556"/>
      <c r="BA96" s="1557"/>
      <c r="BB96" s="1556"/>
      <c r="BC96" s="1556"/>
      <c r="BD96" s="1556"/>
      <c r="BE96" s="1556"/>
      <c r="BF96" s="1557"/>
      <c r="BG96" s="1556"/>
      <c r="BH96" s="1556"/>
      <c r="BI96" s="1556"/>
      <c r="BJ96" s="1556"/>
      <c r="BK96" s="1557"/>
      <c r="BL96" s="1556"/>
      <c r="BM96" s="1556"/>
      <c r="BN96" s="1556"/>
      <c r="BO96" s="1556"/>
      <c r="BP96" s="1557"/>
      <c r="BQ96" s="1556"/>
      <c r="BR96" s="1556"/>
      <c r="BS96" s="1556"/>
      <c r="BT96" s="1556"/>
      <c r="BU96" s="1557"/>
      <c r="BV96" s="1556"/>
      <c r="BW96" s="1556"/>
      <c r="BX96" s="1556"/>
      <c r="BY96" s="1556"/>
      <c r="BZ96" s="1557"/>
      <c r="CA96" s="1556"/>
      <c r="CB96" s="1556"/>
      <c r="CC96" s="1556"/>
      <c r="CD96" s="1556"/>
      <c r="CE96" s="1557"/>
      <c r="CF96" s="1556"/>
      <c r="CG96" s="1556"/>
      <c r="CH96" s="1556"/>
      <c r="CI96" s="1556"/>
      <c r="CJ96" s="1557"/>
      <c r="CK96" s="1556"/>
      <c r="CL96" s="1556"/>
      <c r="CM96" s="1556"/>
      <c r="CN96" s="1556"/>
      <c r="CO96" s="1557"/>
      <c r="CP96" s="1556"/>
      <c r="CQ96" s="1556"/>
      <c r="CR96" s="1556"/>
      <c r="CS96" s="1556"/>
      <c r="CT96" s="1557"/>
      <c r="CU96" s="1556"/>
      <c r="CV96" s="1556"/>
      <c r="CW96" s="1556"/>
      <c r="CX96" s="1556"/>
      <c r="CY96" s="1557"/>
      <c r="CZ96" s="1556"/>
      <c r="DA96" s="1556"/>
      <c r="DB96" s="1556"/>
      <c r="DC96" s="1556"/>
      <c r="DD96" s="1557"/>
      <c r="DE96" s="1556"/>
      <c r="DF96" s="1556"/>
      <c r="DG96" s="1556"/>
      <c r="DH96" s="1556"/>
      <c r="DI96" s="1557"/>
      <c r="DJ96" s="1556"/>
      <c r="DK96" s="1556"/>
      <c r="DL96" s="1556"/>
      <c r="DM96" s="1556"/>
      <c r="DN96" s="1557"/>
      <c r="DO96" s="1556"/>
      <c r="DP96" s="1556"/>
      <c r="DQ96" s="1556"/>
      <c r="DR96" s="1556"/>
      <c r="DS96" s="1557"/>
      <c r="DT96" s="1556"/>
      <c r="DU96" s="1556"/>
      <c r="DV96" s="1556"/>
      <c r="DW96" s="1556"/>
      <c r="DX96" s="1557"/>
      <c r="DY96" s="1556">
        <v>34026</v>
      </c>
      <c r="DZ96" s="1556">
        <v>31221</v>
      </c>
      <c r="EA96" s="1556">
        <v>30397</v>
      </c>
      <c r="EB96" s="1556">
        <v>39180</v>
      </c>
      <c r="EC96" s="1557">
        <v>39180</v>
      </c>
      <c r="ED96" s="1556">
        <v>36305</v>
      </c>
      <c r="EE96" s="1556">
        <v>33387</v>
      </c>
      <c r="EF96" s="1556">
        <v>32714</v>
      </c>
      <c r="EG96" s="1556">
        <v>44141</v>
      </c>
      <c r="EH96" s="1557">
        <v>44141</v>
      </c>
      <c r="EI96" s="1556">
        <v>41015</v>
      </c>
      <c r="EJ96" s="1556">
        <v>36769</v>
      </c>
      <c r="EK96" s="1556">
        <v>36796</v>
      </c>
      <c r="EL96" s="1556">
        <v>48408</v>
      </c>
      <c r="EM96" s="1557">
        <v>48121</v>
      </c>
      <c r="EN96" s="1556">
        <v>43889.144999999997</v>
      </c>
      <c r="EO96" s="1556">
        <v>39625</v>
      </c>
      <c r="EP96" s="1556">
        <v>39600.832000000002</v>
      </c>
      <c r="EQ96" s="1556">
        <v>53812.625</v>
      </c>
      <c r="ER96" s="1557">
        <v>53548</v>
      </c>
      <c r="ES96" s="1556">
        <v>49188.332000000002</v>
      </c>
      <c r="ET96" s="1556">
        <v>46034.855000000003</v>
      </c>
      <c r="EU96" s="1556">
        <v>44834</v>
      </c>
      <c r="EV96" s="1556">
        <v>60183.555</v>
      </c>
      <c r="EW96" s="1557">
        <v>60183.6</v>
      </c>
      <c r="EX96" s="1556">
        <v>55689.125</v>
      </c>
      <c r="EY96" s="1556">
        <v>48045.714999999997</v>
      </c>
      <c r="EZ96" s="1556">
        <v>47476.57</v>
      </c>
      <c r="FA96" s="1556">
        <v>63671.027000000002</v>
      </c>
      <c r="FB96" s="1557">
        <v>64225.464999999997</v>
      </c>
      <c r="FC96" s="1556">
        <v>59902</v>
      </c>
      <c r="FD96" s="1556">
        <v>53443.25</v>
      </c>
      <c r="FE96" s="1556">
        <v>52546.5</v>
      </c>
      <c r="FF96" s="1556">
        <v>71119.25</v>
      </c>
      <c r="FG96" s="1557">
        <v>68426.5</v>
      </c>
      <c r="FH96" s="1556">
        <v>68192.5</v>
      </c>
      <c r="FI96" s="1556">
        <v>61575.5</v>
      </c>
      <c r="FJ96" s="1556">
        <v>60404</v>
      </c>
      <c r="FK96" s="1556">
        <v>81381</v>
      </c>
      <c r="FL96" s="1557">
        <v>66609.3</v>
      </c>
      <c r="FM96" s="1556" t="s">
        <v>2451</v>
      </c>
      <c r="FN96" s="1556" t="s">
        <v>2451</v>
      </c>
      <c r="FO96" s="1556" t="s">
        <v>2451</v>
      </c>
      <c r="FP96" s="1556" t="s">
        <v>2451</v>
      </c>
      <c r="FQ96" s="1557" t="s">
        <v>2451</v>
      </c>
      <c r="FR96" s="1556" t="s">
        <v>2451</v>
      </c>
      <c r="FS96" s="1556" t="s">
        <v>2451</v>
      </c>
      <c r="FT96" s="1556" t="s">
        <v>2451</v>
      </c>
      <c r="FU96" s="1556" t="s">
        <v>2451</v>
      </c>
      <c r="FV96" s="1557" t="s">
        <v>2451</v>
      </c>
      <c r="FW96" s="1556" t="s">
        <v>2451</v>
      </c>
      <c r="FX96" s="1556" t="s">
        <v>2451</v>
      </c>
      <c r="FY96" s="1556" t="s">
        <v>2451</v>
      </c>
      <c r="FZ96" s="1556" t="s">
        <v>2451</v>
      </c>
      <c r="GA96" s="1557" t="s">
        <v>2451</v>
      </c>
    </row>
    <row r="97" spans="1:183" s="67" customFormat="1" ht="12.75" customHeight="1" outlineLevel="1">
      <c r="A97" s="68" t="s">
        <v>54</v>
      </c>
      <c r="B97" s="753" t="s">
        <v>49</v>
      </c>
      <c r="C97" s="89"/>
      <c r="D97" s="85"/>
      <c r="E97" s="85"/>
      <c r="F97" s="85"/>
      <c r="G97" s="85"/>
      <c r="H97" s="71"/>
      <c r="I97" s="70"/>
      <c r="J97" s="70"/>
      <c r="K97" s="70"/>
      <c r="L97" s="70"/>
      <c r="M97" s="71"/>
      <c r="N97" s="70"/>
      <c r="O97" s="70"/>
      <c r="P97" s="70"/>
      <c r="Q97" s="70"/>
      <c r="R97" s="71"/>
      <c r="S97" s="70"/>
      <c r="T97" s="70"/>
      <c r="U97" s="70"/>
      <c r="V97" s="70"/>
      <c r="W97" s="71"/>
      <c r="X97" s="70"/>
      <c r="Y97" s="70"/>
      <c r="Z97" s="70"/>
      <c r="AA97" s="70"/>
      <c r="AB97" s="71"/>
      <c r="AC97" s="70"/>
      <c r="AD97" s="70"/>
      <c r="AE97" s="70"/>
      <c r="AF97" s="70"/>
      <c r="AG97" s="71"/>
      <c r="AH97" s="70"/>
      <c r="AI97" s="70"/>
      <c r="AJ97" s="70"/>
      <c r="AK97" s="70"/>
      <c r="AL97" s="71"/>
      <c r="AM97" s="70"/>
      <c r="AN97" s="70"/>
      <c r="AO97" s="70"/>
      <c r="AP97" s="70"/>
      <c r="AQ97" s="71"/>
      <c r="AR97" s="70"/>
      <c r="AS97" s="70"/>
      <c r="AT97" s="70"/>
      <c r="AU97" s="70"/>
      <c r="AV97" s="71"/>
      <c r="AW97" s="70"/>
      <c r="AX97" s="70"/>
      <c r="AY97" s="70"/>
      <c r="AZ97" s="70"/>
      <c r="BA97" s="71"/>
      <c r="BB97" s="70"/>
      <c r="BC97" s="70"/>
      <c r="BD97" s="70"/>
      <c r="BE97" s="70"/>
      <c r="BF97" s="71"/>
      <c r="BG97" s="70"/>
      <c r="BH97" s="70"/>
      <c r="BI97" s="70"/>
      <c r="BJ97" s="70"/>
      <c r="BK97" s="71"/>
      <c r="BL97" s="70"/>
      <c r="BM97" s="70"/>
      <c r="BN97" s="70"/>
      <c r="BO97" s="70"/>
      <c r="BP97" s="71"/>
      <c r="BQ97" s="70"/>
      <c r="BR97" s="70"/>
      <c r="BS97" s="70"/>
      <c r="BT97" s="70"/>
      <c r="BU97" s="71"/>
      <c r="BV97" s="70"/>
      <c r="BW97" s="70"/>
      <c r="BX97" s="70"/>
      <c r="BY97" s="70"/>
      <c r="BZ97" s="71"/>
      <c r="CA97" s="70"/>
      <c r="CB97" s="70"/>
      <c r="CC97" s="70"/>
      <c r="CD97" s="70"/>
      <c r="CE97" s="71"/>
      <c r="CF97" s="70"/>
      <c r="CG97" s="70"/>
      <c r="CH97" s="70"/>
      <c r="CI97" s="70"/>
      <c r="CJ97" s="71"/>
      <c r="CK97" s="70"/>
      <c r="CL97" s="70"/>
      <c r="CM97" s="70"/>
      <c r="CN97" s="70"/>
      <c r="CO97" s="71"/>
      <c r="CP97" s="70"/>
      <c r="CQ97" s="70"/>
      <c r="CR97" s="70"/>
      <c r="CS97" s="70"/>
      <c r="CT97" s="71"/>
      <c r="CU97" s="70"/>
      <c r="CV97" s="70"/>
      <c r="CW97" s="70"/>
      <c r="CX97" s="70"/>
      <c r="CY97" s="71"/>
      <c r="CZ97" s="70"/>
      <c r="DA97" s="70"/>
      <c r="DB97" s="70"/>
      <c r="DC97" s="70"/>
      <c r="DD97" s="71"/>
      <c r="DE97" s="70"/>
      <c r="DF97" s="70"/>
      <c r="DG97" s="70"/>
      <c r="DH97" s="70"/>
      <c r="DI97" s="71"/>
      <c r="DJ97" s="70"/>
      <c r="DK97" s="70"/>
      <c r="DL97" s="70"/>
      <c r="DM97" s="70"/>
      <c r="DN97" s="71"/>
      <c r="DO97" s="70"/>
      <c r="DP97" s="70"/>
      <c r="DQ97" s="70"/>
      <c r="DR97" s="70"/>
      <c r="DS97" s="71"/>
      <c r="DT97" s="70"/>
      <c r="DU97" s="70"/>
      <c r="DV97" s="70"/>
      <c r="DW97" s="70"/>
      <c r="DX97" s="71"/>
      <c r="DY97" s="70" t="s">
        <v>2451</v>
      </c>
      <c r="DZ97" s="70" t="s">
        <v>2451</v>
      </c>
      <c r="EA97" s="70" t="s">
        <v>2451</v>
      </c>
      <c r="EB97" s="70" t="s">
        <v>2451</v>
      </c>
      <c r="EC97" s="71" t="s">
        <v>2451</v>
      </c>
      <c r="ED97" s="70">
        <v>6.6978193146417508E-2</v>
      </c>
      <c r="EE97" s="70">
        <v>6.9376381281829547E-2</v>
      </c>
      <c r="EF97" s="70">
        <v>7.6224627430338421E-2</v>
      </c>
      <c r="EG97" s="70">
        <v>0.12662072485962228</v>
      </c>
      <c r="EH97" s="71">
        <v>0.12662072485962228</v>
      </c>
      <c r="EI97" s="70">
        <v>0.1297341963916816</v>
      </c>
      <c r="EJ97" s="70">
        <v>0.10129691197172552</v>
      </c>
      <c r="EK97" s="70">
        <v>0.12477838234395056</v>
      </c>
      <c r="EL97" s="70">
        <v>9.666749733807567E-2</v>
      </c>
      <c r="EM97" s="71">
        <v>9.0165605672730464E-2</v>
      </c>
      <c r="EN97" s="70">
        <v>7.007546019748867E-2</v>
      </c>
      <c r="EO97" s="70">
        <v>7.7674127661889081E-2</v>
      </c>
      <c r="EP97" s="70">
        <v>7.622654636373527E-2</v>
      </c>
      <c r="EQ97" s="70">
        <v>0.1116473516774088</v>
      </c>
      <c r="ER97" s="71">
        <v>0.11277820494170943</v>
      </c>
      <c r="ES97" s="70">
        <v>0.12074026504731417</v>
      </c>
      <c r="ET97" s="70">
        <v>0.16176290220820189</v>
      </c>
      <c r="EU97" s="70">
        <v>0.13214793062933627</v>
      </c>
      <c r="EV97" s="70">
        <v>0.11839099096169337</v>
      </c>
      <c r="EW97" s="71">
        <v>0.12391872712332863</v>
      </c>
      <c r="EX97" s="70">
        <v>0.13216128166330177</v>
      </c>
      <c r="EY97" s="70">
        <v>4.3681249783452003E-2</v>
      </c>
      <c r="EZ97" s="70">
        <v>5.8941205335236724E-2</v>
      </c>
      <c r="FA97" s="70">
        <v>5.7947258183734807E-2</v>
      </c>
      <c r="FB97" s="71">
        <v>6.7158910400840099E-2</v>
      </c>
      <c r="FC97" s="70">
        <v>7.5649868802930564E-2</v>
      </c>
      <c r="FD97" s="70">
        <v>0.11234165211195224</v>
      </c>
      <c r="FE97" s="70">
        <v>0.1067880430283823</v>
      </c>
      <c r="FF97" s="70">
        <v>0.11697978422744781</v>
      </c>
      <c r="FG97" s="71">
        <v>6.5410737002838504E-2</v>
      </c>
      <c r="FH97" s="70">
        <v>0.13840105505659239</v>
      </c>
      <c r="FI97" s="70">
        <v>0.15216608271390686</v>
      </c>
      <c r="FJ97" s="70">
        <v>0.14953422206997602</v>
      </c>
      <c r="FK97" s="70">
        <v>0.14428934500855961</v>
      </c>
      <c r="FL97" s="71">
        <v>-2.6556962580286836E-2</v>
      </c>
      <c r="FM97" s="70" t="s">
        <v>2451</v>
      </c>
      <c r="FN97" s="70" t="s">
        <v>2451</v>
      </c>
      <c r="FO97" s="70" t="s">
        <v>2451</v>
      </c>
      <c r="FP97" s="70" t="s">
        <v>2451</v>
      </c>
      <c r="FQ97" s="71" t="s">
        <v>2451</v>
      </c>
      <c r="FR97" s="70" t="s">
        <v>2451</v>
      </c>
      <c r="FS97" s="70" t="s">
        <v>2451</v>
      </c>
      <c r="FT97" s="70" t="s">
        <v>2451</v>
      </c>
      <c r="FU97" s="70" t="s">
        <v>2451</v>
      </c>
      <c r="FV97" s="71" t="s">
        <v>2451</v>
      </c>
      <c r="FW97" s="70" t="s">
        <v>2451</v>
      </c>
      <c r="FX97" s="70" t="s">
        <v>2451</v>
      </c>
      <c r="FY97" s="70" t="s">
        <v>2451</v>
      </c>
      <c r="FZ97" s="70" t="s">
        <v>2451</v>
      </c>
      <c r="GA97" s="71" t="s">
        <v>2451</v>
      </c>
    </row>
    <row r="98" spans="1:183" ht="12.75" customHeight="1" outlineLevel="1">
      <c r="A98" s="68" t="s">
        <v>55</v>
      </c>
      <c r="B98" s="753" t="s">
        <v>50</v>
      </c>
      <c r="D98" s="85"/>
      <c r="E98" s="70"/>
      <c r="F98" s="70"/>
      <c r="G98" s="70"/>
      <c r="H98" s="71"/>
      <c r="I98" s="70"/>
      <c r="J98" s="70"/>
      <c r="K98" s="70"/>
      <c r="L98" s="70"/>
      <c r="M98" s="73"/>
      <c r="N98" s="70"/>
      <c r="O98" s="70"/>
      <c r="P98" s="70"/>
      <c r="Q98" s="70"/>
      <c r="R98" s="73"/>
      <c r="S98" s="70"/>
      <c r="T98" s="70"/>
      <c r="U98" s="70"/>
      <c r="V98" s="70"/>
      <c r="W98" s="73"/>
      <c r="X98" s="70"/>
      <c r="Y98" s="70"/>
      <c r="Z98" s="70"/>
      <c r="AA98" s="70"/>
      <c r="AB98" s="73"/>
      <c r="AC98" s="70"/>
      <c r="AD98" s="70"/>
      <c r="AE98" s="70"/>
      <c r="AF98" s="70"/>
      <c r="AG98" s="73"/>
      <c r="AH98" s="70"/>
      <c r="AI98" s="70"/>
      <c r="AJ98" s="70"/>
      <c r="AK98" s="70"/>
      <c r="AL98" s="73"/>
      <c r="AM98" s="70"/>
      <c r="AN98" s="70"/>
      <c r="AO98" s="70"/>
      <c r="AP98" s="70"/>
      <c r="AQ98" s="73"/>
      <c r="AR98" s="70"/>
      <c r="AS98" s="70"/>
      <c r="AT98" s="70"/>
      <c r="AU98" s="70"/>
      <c r="AV98" s="73"/>
      <c r="AW98" s="70"/>
      <c r="AX98" s="70"/>
      <c r="AY98" s="70"/>
      <c r="AZ98" s="70"/>
      <c r="BA98" s="73"/>
      <c r="BB98" s="70"/>
      <c r="BC98" s="70"/>
      <c r="BD98" s="70"/>
      <c r="BE98" s="70"/>
      <c r="BF98" s="73"/>
      <c r="BG98" s="70"/>
      <c r="BH98" s="70"/>
      <c r="BI98" s="70"/>
      <c r="BJ98" s="70"/>
      <c r="BK98" s="73"/>
      <c r="BL98" s="70"/>
      <c r="BM98" s="70"/>
      <c r="BN98" s="70"/>
      <c r="BO98" s="70"/>
      <c r="BP98" s="73"/>
      <c r="BQ98" s="70"/>
      <c r="BR98" s="70"/>
      <c r="BS98" s="70"/>
      <c r="BT98" s="70"/>
      <c r="BU98" s="73"/>
      <c r="BV98" s="70"/>
      <c r="BW98" s="70"/>
      <c r="BX98" s="70"/>
      <c r="BY98" s="70"/>
      <c r="BZ98" s="73"/>
      <c r="CA98" s="70"/>
      <c r="CB98" s="70"/>
      <c r="CC98" s="70"/>
      <c r="CD98" s="70"/>
      <c r="CE98" s="73"/>
      <c r="CF98" s="70"/>
      <c r="CG98" s="70"/>
      <c r="CH98" s="70"/>
      <c r="CI98" s="70"/>
      <c r="CJ98" s="73"/>
      <c r="CK98" s="70"/>
      <c r="CL98" s="70"/>
      <c r="CM98" s="70"/>
      <c r="CN98" s="70"/>
      <c r="CO98" s="73"/>
      <c r="CP98" s="70"/>
      <c r="CQ98" s="70"/>
      <c r="CR98" s="70"/>
      <c r="CS98" s="70"/>
      <c r="CT98" s="73"/>
      <c r="CU98" s="70"/>
      <c r="CV98" s="70"/>
      <c r="CW98" s="70"/>
      <c r="CX98" s="70"/>
      <c r="CY98" s="73"/>
      <c r="CZ98" s="70"/>
      <c r="DA98" s="70"/>
      <c r="DB98" s="70"/>
      <c r="DC98" s="70"/>
      <c r="DD98" s="73"/>
      <c r="DE98" s="70"/>
      <c r="DF98" s="70"/>
      <c r="DG98" s="70"/>
      <c r="DH98" s="70"/>
      <c r="DI98" s="73"/>
      <c r="DJ98" s="70"/>
      <c r="DK98" s="70"/>
      <c r="DL98" s="70"/>
      <c r="DM98" s="70"/>
      <c r="DN98" s="73"/>
      <c r="DO98" s="70"/>
      <c r="DP98" s="70"/>
      <c r="DQ98" s="70"/>
      <c r="DR98" s="70"/>
      <c r="DS98" s="73"/>
      <c r="DT98" s="70"/>
      <c r="DU98" s="70"/>
      <c r="DV98" s="70"/>
      <c r="DW98" s="70"/>
      <c r="DX98" s="73"/>
      <c r="DY98" s="70" t="s">
        <v>2451</v>
      </c>
      <c r="DZ98" s="70">
        <v>-8.2436959971786239E-2</v>
      </c>
      <c r="EA98" s="70">
        <v>-2.6392492232792053E-2</v>
      </c>
      <c r="EB98" s="70">
        <v>0.28894298779484817</v>
      </c>
      <c r="EC98" s="73"/>
      <c r="ED98" s="70">
        <v>-7.3379275140377787E-2</v>
      </c>
      <c r="EE98" s="70">
        <v>-8.0374604049029075E-2</v>
      </c>
      <c r="EF98" s="70">
        <v>-2.0157546350375921E-2</v>
      </c>
      <c r="EG98" s="70">
        <v>0.34929999388640942</v>
      </c>
      <c r="EH98" s="73"/>
      <c r="EI98" s="70">
        <v>-7.0818513400240146E-2</v>
      </c>
      <c r="EJ98" s="70">
        <v>-0.10352310130440079</v>
      </c>
      <c r="EK98" s="70">
        <v>7.3431423209768809E-4</v>
      </c>
      <c r="EL98" s="70">
        <v>0.31557778019349936</v>
      </c>
      <c r="EM98" s="73"/>
      <c r="EN98" s="70">
        <v>-9.3349343083787839E-2</v>
      </c>
      <c r="EO98" s="70">
        <v>-9.7157167222100105E-2</v>
      </c>
      <c r="EP98" s="70">
        <v>-6.0991798107246087E-4</v>
      </c>
      <c r="EQ98" s="70">
        <v>0.35887612159259685</v>
      </c>
      <c r="ER98" s="73"/>
      <c r="ES98" s="70">
        <v>-8.5933235927442619E-2</v>
      </c>
      <c r="ET98" s="70">
        <v>-6.4110265011629197E-2</v>
      </c>
      <c r="EU98" s="70">
        <v>-2.6085777830732848E-2</v>
      </c>
      <c r="EV98" s="70">
        <v>0.34236416558861582</v>
      </c>
      <c r="EW98" s="73"/>
      <c r="EX98" s="70">
        <v>-7.4678705835838355E-2</v>
      </c>
      <c r="EY98" s="70">
        <v>-0.13725139333756819</v>
      </c>
      <c r="EZ98" s="70">
        <v>-1.1845905508951149E-2</v>
      </c>
      <c r="FA98" s="70">
        <v>0.34110419097251565</v>
      </c>
      <c r="FB98" s="73"/>
      <c r="FC98" s="70">
        <v>-5.9195322858542898E-2</v>
      </c>
      <c r="FD98" s="70">
        <v>-0.10782194250609334</v>
      </c>
      <c r="FE98" s="70">
        <v>-1.6779481038297628E-2</v>
      </c>
      <c r="FF98" s="70">
        <v>0.35345360775693901</v>
      </c>
      <c r="FG98" s="73"/>
      <c r="FH98" s="70">
        <v>-4.1152711818530197E-2</v>
      </c>
      <c r="FI98" s="70">
        <v>-9.703413131942662E-2</v>
      </c>
      <c r="FJ98" s="70">
        <v>-1.9025424072886099E-2</v>
      </c>
      <c r="FK98" s="70">
        <v>0.34727832593867958</v>
      </c>
      <c r="FL98" s="73"/>
      <c r="FM98" s="70" t="s">
        <v>2451</v>
      </c>
      <c r="FN98" s="70" t="s">
        <v>2451</v>
      </c>
      <c r="FO98" s="70" t="s">
        <v>2451</v>
      </c>
      <c r="FP98" s="70" t="s">
        <v>2451</v>
      </c>
      <c r="FQ98" s="73"/>
      <c r="FR98" s="70" t="s">
        <v>2451</v>
      </c>
      <c r="FS98" s="70" t="s">
        <v>2451</v>
      </c>
      <c r="FT98" s="70" t="s">
        <v>2451</v>
      </c>
      <c r="FU98" s="70" t="s">
        <v>2451</v>
      </c>
      <c r="FV98" s="73"/>
      <c r="FW98" s="70" t="s">
        <v>2451</v>
      </c>
      <c r="FX98" s="70" t="s">
        <v>2451</v>
      </c>
      <c r="FY98" s="70" t="s">
        <v>2451</v>
      </c>
      <c r="FZ98" s="70" t="s">
        <v>2451</v>
      </c>
      <c r="GA98" s="73"/>
    </row>
    <row r="99" spans="1:183" ht="12.75" customHeight="1">
      <c r="B99" s="753"/>
      <c r="D99" s="85"/>
      <c r="E99" s="70"/>
      <c r="F99" s="70"/>
      <c r="G99" s="70"/>
      <c r="H99" s="71"/>
      <c r="I99" s="70"/>
      <c r="J99" s="70"/>
      <c r="K99" s="70"/>
      <c r="L99" s="70"/>
      <c r="M99" s="71"/>
      <c r="N99" s="70"/>
      <c r="O99" s="70"/>
      <c r="P99" s="70"/>
      <c r="Q99" s="70"/>
      <c r="R99" s="71"/>
      <c r="S99" s="70"/>
      <c r="T99" s="70"/>
      <c r="U99" s="70"/>
      <c r="V99" s="70"/>
      <c r="W99" s="71"/>
      <c r="X99" s="70"/>
      <c r="Y99" s="70"/>
      <c r="Z99" s="70"/>
      <c r="AA99" s="70"/>
      <c r="AB99" s="71"/>
      <c r="AC99" s="70"/>
      <c r="AD99" s="70"/>
      <c r="AE99" s="70"/>
      <c r="AF99" s="70"/>
      <c r="AG99" s="71"/>
      <c r="AH99" s="70"/>
      <c r="AI99" s="70"/>
      <c r="AJ99" s="70"/>
      <c r="AK99" s="70"/>
      <c r="AL99" s="71"/>
      <c r="AM99" s="70"/>
      <c r="AN99" s="70"/>
      <c r="AO99" s="70"/>
      <c r="AP99" s="70"/>
      <c r="AQ99" s="71"/>
      <c r="AR99" s="70"/>
      <c r="AS99" s="70"/>
      <c r="AT99" s="70"/>
      <c r="AU99" s="70"/>
      <c r="AV99" s="71"/>
      <c r="AW99" s="70"/>
      <c r="AX99" s="70"/>
      <c r="AY99" s="70"/>
      <c r="AZ99" s="70"/>
      <c r="BA99" s="71"/>
      <c r="BB99" s="70"/>
      <c r="BC99" s="70"/>
      <c r="BD99" s="70"/>
      <c r="BE99" s="70"/>
      <c r="BF99" s="71"/>
      <c r="BG99" s="70"/>
      <c r="BH99" s="70"/>
      <c r="BI99" s="70"/>
      <c r="BJ99" s="70"/>
      <c r="BK99" s="71"/>
      <c r="BL99" s="70"/>
      <c r="BM99" s="70"/>
      <c r="BN99" s="70"/>
      <c r="BO99" s="70"/>
      <c r="BP99" s="71"/>
      <c r="BQ99" s="70"/>
      <c r="BR99" s="70"/>
      <c r="BS99" s="70"/>
      <c r="BT99" s="70"/>
      <c r="BU99" s="71"/>
      <c r="BV99" s="70"/>
      <c r="BW99" s="70"/>
      <c r="BX99" s="70"/>
      <c r="BY99" s="70"/>
      <c r="BZ99" s="71"/>
      <c r="CA99" s="70"/>
      <c r="CB99" s="70"/>
      <c r="CC99" s="70"/>
      <c r="CD99" s="70"/>
      <c r="CE99" s="71"/>
      <c r="CF99" s="70"/>
      <c r="CG99" s="70"/>
      <c r="CH99" s="70"/>
      <c r="CI99" s="70"/>
      <c r="CJ99" s="71"/>
      <c r="CK99" s="70"/>
      <c r="CL99" s="70"/>
      <c r="CM99" s="70"/>
      <c r="CN99" s="70"/>
      <c r="CO99" s="71"/>
      <c r="CP99" s="70"/>
      <c r="CQ99" s="70"/>
      <c r="CR99" s="70"/>
      <c r="CS99" s="70"/>
      <c r="CT99" s="71"/>
      <c r="CU99" s="70"/>
      <c r="CV99" s="70"/>
      <c r="CW99" s="70"/>
      <c r="CX99" s="70"/>
      <c r="CY99" s="71"/>
      <c r="CZ99" s="70"/>
      <c r="DA99" s="70"/>
      <c r="DB99" s="70"/>
      <c r="DC99" s="70"/>
      <c r="DD99" s="71"/>
      <c r="DE99" s="70"/>
      <c r="DF99" s="70"/>
      <c r="DG99" s="70"/>
      <c r="DH99" s="70"/>
      <c r="DI99" s="71"/>
      <c r="DJ99" s="70"/>
      <c r="DK99" s="70"/>
      <c r="DL99" s="70"/>
      <c r="DM99" s="70"/>
      <c r="DN99" s="71"/>
      <c r="DO99" s="70"/>
      <c r="DP99" s="70"/>
      <c r="DQ99" s="70"/>
      <c r="DR99" s="70"/>
      <c r="DS99" s="71"/>
      <c r="DT99" s="70"/>
      <c r="DU99" s="70"/>
      <c r="DV99" s="70"/>
      <c r="DW99" s="70"/>
      <c r="DX99" s="71"/>
      <c r="DY99" s="70"/>
      <c r="DZ99" s="70"/>
      <c r="EA99" s="70"/>
      <c r="EB99" s="70"/>
      <c r="EC99" s="71"/>
      <c r="ED99" s="70"/>
      <c r="EE99" s="70"/>
      <c r="EF99" s="70"/>
      <c r="EG99" s="70"/>
      <c r="EH99" s="71"/>
      <c r="EI99" s="70"/>
      <c r="EJ99" s="70"/>
      <c r="EK99" s="70"/>
      <c r="EL99" s="70"/>
      <c r="EM99" s="71"/>
      <c r="EN99" s="70"/>
      <c r="EO99" s="70"/>
      <c r="EP99" s="70"/>
      <c r="EQ99" s="70"/>
      <c r="ER99" s="71"/>
      <c r="ES99" s="70"/>
      <c r="ET99" s="70"/>
      <c r="EU99" s="70"/>
      <c r="EV99" s="70"/>
      <c r="EW99" s="71"/>
      <c r="EX99" s="70"/>
      <c r="EY99" s="70"/>
      <c r="EZ99" s="70"/>
      <c r="FA99" s="70"/>
      <c r="FB99" s="71"/>
      <c r="FC99" s="70"/>
      <c r="FD99" s="70"/>
      <c r="FE99" s="70"/>
      <c r="FF99" s="70"/>
      <c r="FG99" s="71"/>
      <c r="FH99" s="70"/>
      <c r="FI99" s="70"/>
      <c r="FJ99" s="70"/>
      <c r="FK99" s="70"/>
      <c r="FL99" s="71"/>
      <c r="FM99" s="70"/>
      <c r="FN99" s="70"/>
      <c r="FO99" s="70"/>
      <c r="FP99" s="70"/>
      <c r="FQ99" s="71"/>
      <c r="FR99" s="70"/>
      <c r="FS99" s="70"/>
      <c r="FT99" s="70"/>
      <c r="FU99" s="70"/>
      <c r="FV99" s="71"/>
      <c r="FW99" s="70"/>
      <c r="FX99" s="70"/>
      <c r="FY99" s="70"/>
      <c r="FZ99" s="70"/>
      <c r="GA99" s="71"/>
    </row>
    <row r="100" spans="1:183" ht="12.75" customHeight="1">
      <c r="B100" s="1537" t="s">
        <v>56</v>
      </c>
      <c r="H100" s="90"/>
      <c r="M100" s="90"/>
      <c r="R100" s="90"/>
      <c r="W100" s="90"/>
      <c r="AB100" s="90"/>
      <c r="AG100" s="90"/>
      <c r="AL100" s="90"/>
      <c r="AQ100" s="90"/>
      <c r="AV100" s="90"/>
      <c r="BA100" s="90"/>
      <c r="BF100" s="90"/>
      <c r="BK100" s="90"/>
      <c r="BP100" s="90"/>
      <c r="BU100" s="90"/>
      <c r="BZ100" s="90"/>
      <c r="CE100" s="90"/>
      <c r="CJ100" s="90"/>
      <c r="CO100" s="90"/>
      <c r="CT100" s="90"/>
      <c r="CY100" s="90"/>
      <c r="DD100" s="90"/>
      <c r="DI100" s="90"/>
      <c r="DN100" s="90"/>
      <c r="DS100" s="90"/>
      <c r="DX100" s="90"/>
      <c r="EC100" s="90"/>
      <c r="EH100" s="90"/>
      <c r="EM100" s="90"/>
      <c r="ER100" s="90"/>
      <c r="EW100" s="90"/>
      <c r="FB100" s="90"/>
      <c r="FG100" s="90"/>
      <c r="FL100" s="90"/>
      <c r="FQ100" s="90"/>
      <c r="FV100" s="90"/>
      <c r="GA100" s="90"/>
    </row>
    <row r="101" spans="1:183" s="1558" customFormat="1" ht="12.75" customHeight="1" outlineLevel="1">
      <c r="A101" s="1554"/>
      <c r="B101" s="1549" t="s">
        <v>57</v>
      </c>
      <c r="C101" s="1555"/>
      <c r="D101" s="1556"/>
      <c r="E101" s="1556"/>
      <c r="F101" s="1556"/>
      <c r="G101" s="1556"/>
      <c r="H101" s="1557"/>
      <c r="I101" s="1556"/>
      <c r="J101" s="1556"/>
      <c r="K101" s="1556"/>
      <c r="L101" s="1556"/>
      <c r="M101" s="1557"/>
      <c r="N101" s="1556"/>
      <c r="O101" s="1556"/>
      <c r="P101" s="1556"/>
      <c r="Q101" s="1556"/>
      <c r="R101" s="1557"/>
      <c r="S101" s="1556"/>
      <c r="T101" s="1556"/>
      <c r="U101" s="1556"/>
      <c r="V101" s="1556"/>
      <c r="W101" s="1557"/>
      <c r="X101" s="1556"/>
      <c r="Y101" s="1556"/>
      <c r="Z101" s="1556"/>
      <c r="AA101" s="1556"/>
      <c r="AB101" s="1557"/>
      <c r="AC101" s="1556"/>
      <c r="AD101" s="1556"/>
      <c r="AE101" s="1556"/>
      <c r="AF101" s="1556"/>
      <c r="AG101" s="1557"/>
      <c r="AH101" s="1556"/>
      <c r="AI101" s="1556"/>
      <c r="AJ101" s="1556"/>
      <c r="AK101" s="1556"/>
      <c r="AL101" s="1557"/>
      <c r="AM101" s="1556"/>
      <c r="AN101" s="1556"/>
      <c r="AO101" s="1556"/>
      <c r="AP101" s="1556"/>
      <c r="AQ101" s="1557"/>
      <c r="AR101" s="1556"/>
      <c r="AS101" s="1556"/>
      <c r="AT101" s="1556"/>
      <c r="AU101" s="1556"/>
      <c r="AV101" s="1557"/>
      <c r="AW101" s="1556"/>
      <c r="AX101" s="1556"/>
      <c r="AY101" s="1556"/>
      <c r="AZ101" s="1556"/>
      <c r="BA101" s="1557"/>
      <c r="BB101" s="1556"/>
      <c r="BC101" s="1556"/>
      <c r="BD101" s="1556"/>
      <c r="BE101" s="1556"/>
      <c r="BF101" s="1557"/>
      <c r="BG101" s="1556"/>
      <c r="BH101" s="1556"/>
      <c r="BI101" s="1556"/>
      <c r="BJ101" s="1556"/>
      <c r="BK101" s="1557"/>
      <c r="BL101" s="1556"/>
      <c r="BM101" s="1556"/>
      <c r="BN101" s="1556"/>
      <c r="BO101" s="1556"/>
      <c r="BP101" s="1557"/>
      <c r="BQ101" s="1556"/>
      <c r="BR101" s="1556"/>
      <c r="BS101" s="1556"/>
      <c r="BT101" s="1556"/>
      <c r="BU101" s="1557"/>
      <c r="BV101" s="1556"/>
      <c r="BW101" s="1556"/>
      <c r="BX101" s="1556"/>
      <c r="BY101" s="1556"/>
      <c r="BZ101" s="1557"/>
      <c r="CA101" s="1556"/>
      <c r="CB101" s="1556"/>
      <c r="CC101" s="1556"/>
      <c r="CD101" s="1556"/>
      <c r="CE101" s="1557"/>
      <c r="CF101" s="1556"/>
      <c r="CG101" s="1556"/>
      <c r="CH101" s="1556"/>
      <c r="CI101" s="1556"/>
      <c r="CJ101" s="1557"/>
      <c r="CK101" s="1556"/>
      <c r="CL101" s="1556"/>
      <c r="CM101" s="1556"/>
      <c r="CN101" s="1556"/>
      <c r="CO101" s="1557"/>
      <c r="CP101" s="1556"/>
      <c r="CQ101" s="1556"/>
      <c r="CR101" s="1556"/>
      <c r="CS101" s="1556"/>
      <c r="CT101" s="1557"/>
      <c r="CU101" s="1556"/>
      <c r="CV101" s="1556"/>
      <c r="CW101" s="1556"/>
      <c r="CX101" s="1556"/>
      <c r="CY101" s="1557"/>
      <c r="CZ101" s="1556"/>
      <c r="DA101" s="1556"/>
      <c r="DB101" s="1556"/>
      <c r="DC101" s="1556"/>
      <c r="DD101" s="1557"/>
      <c r="DE101" s="1556"/>
      <c r="DF101" s="1556"/>
      <c r="DG101" s="1556"/>
      <c r="DH101" s="1556"/>
      <c r="DI101" s="1557"/>
      <c r="DJ101" s="1556"/>
      <c r="DK101" s="1556"/>
      <c r="DL101" s="1556"/>
      <c r="DM101" s="1556"/>
      <c r="DN101" s="1557"/>
      <c r="DO101" s="1556"/>
      <c r="DP101" s="1556"/>
      <c r="DQ101" s="1556"/>
      <c r="DR101" s="1556"/>
      <c r="DS101" s="1557"/>
      <c r="DT101" s="1556"/>
      <c r="DU101" s="1556"/>
      <c r="DV101" s="1556"/>
      <c r="DW101" s="1556"/>
      <c r="DX101" s="1557"/>
      <c r="DY101" s="1556">
        <v>29904</v>
      </c>
      <c r="DZ101" s="1556">
        <v>-2561</v>
      </c>
      <c r="EA101" s="1556">
        <v>-331</v>
      </c>
      <c r="EB101" s="1556">
        <v>8988</v>
      </c>
      <c r="EC101" s="1557">
        <v>36000</v>
      </c>
      <c r="ED101" s="1556">
        <v>-2524</v>
      </c>
      <c r="EE101" s="1556">
        <v>-3074</v>
      </c>
      <c r="EF101" s="1556">
        <v>-319</v>
      </c>
      <c r="EG101" s="1556">
        <v>11442</v>
      </c>
      <c r="EH101" s="1557">
        <v>5525</v>
      </c>
      <c r="EI101" s="1556">
        <v>-3060</v>
      </c>
      <c r="EJ101" s="1556">
        <v>-4464</v>
      </c>
      <c r="EK101" s="1556">
        <v>26</v>
      </c>
      <c r="EL101" s="1556">
        <v>11511</v>
      </c>
      <c r="EM101" s="1557">
        <v>4013</v>
      </c>
      <c r="EN101" s="1556">
        <v>-4198</v>
      </c>
      <c r="EO101" s="1556">
        <v>-4358.3320000000022</v>
      </c>
      <c r="EP101" s="1556">
        <v>-79.167999999997846</v>
      </c>
      <c r="EQ101" s="1556">
        <v>13998.355000000003</v>
      </c>
      <c r="ER101" s="1557">
        <v>5362.875</v>
      </c>
      <c r="ES101" s="1556">
        <v>-4471.6870000000054</v>
      </c>
      <c r="ET101" s="1556">
        <v>-3360.8829999999944</v>
      </c>
      <c r="EU101" s="1556">
        <v>-1180</v>
      </c>
      <c r="EV101" s="1556">
        <v>15693.464999999997</v>
      </c>
      <c r="EW101" s="1557">
        <v>6824.125</v>
      </c>
      <c r="EX101" s="1556">
        <v>-4555.25</v>
      </c>
      <c r="EY101" s="1556">
        <v>-7518.1679999999978</v>
      </c>
      <c r="EZ101" s="1556">
        <v>-871.66400000000431</v>
      </c>
      <c r="FA101" s="1556">
        <v>16206.315999999999</v>
      </c>
      <c r="FB101" s="1557">
        <v>3789.6999999999971</v>
      </c>
      <c r="FC101" s="1556">
        <v>-3758.7339999999967</v>
      </c>
      <c r="FD101" s="1556">
        <v>-6384</v>
      </c>
      <c r="FE101" s="1556">
        <v>-1033.25</v>
      </c>
      <c r="FF101" s="1556">
        <v>18506.5</v>
      </c>
      <c r="FG101" s="1557">
        <v>3536.0500000000029</v>
      </c>
      <c r="FH101" s="1556">
        <v>-2759.5</v>
      </c>
      <c r="FI101" s="1556">
        <v>-6460</v>
      </c>
      <c r="FJ101" s="1556">
        <v>-1125.5</v>
      </c>
      <c r="FK101" s="1556">
        <v>20492.5</v>
      </c>
      <c r="FL101" s="1557">
        <v>2239.7799999999988</v>
      </c>
      <c r="FM101" s="1556" t="s">
        <v>2451</v>
      </c>
      <c r="FN101" s="1556" t="s">
        <v>2451</v>
      </c>
      <c r="FO101" s="1556" t="s">
        <v>2451</v>
      </c>
      <c r="FP101" s="1556" t="s">
        <v>2451</v>
      </c>
      <c r="FQ101" s="1557" t="s">
        <v>2451</v>
      </c>
      <c r="FR101" s="1556" t="s">
        <v>2451</v>
      </c>
      <c r="FS101" s="1556" t="s">
        <v>2451</v>
      </c>
      <c r="FT101" s="1556" t="s">
        <v>2451</v>
      </c>
      <c r="FU101" s="1556" t="s">
        <v>2451</v>
      </c>
      <c r="FV101" s="1557" t="s">
        <v>2451</v>
      </c>
      <c r="FW101" s="1556" t="s">
        <v>2451</v>
      </c>
      <c r="FX101" s="1556" t="s">
        <v>2451</v>
      </c>
      <c r="FY101" s="1556" t="s">
        <v>2451</v>
      </c>
      <c r="FZ101" s="1556" t="s">
        <v>2451</v>
      </c>
      <c r="GA101" s="1557" t="s">
        <v>2451</v>
      </c>
    </row>
    <row r="102" spans="1:183" s="72" customFormat="1" ht="12.75" customHeight="1" outlineLevel="1">
      <c r="A102" s="54"/>
      <c r="B102" s="753" t="s">
        <v>49</v>
      </c>
      <c r="C102" s="69"/>
      <c r="D102" s="85"/>
      <c r="E102" s="85"/>
      <c r="F102" s="85"/>
      <c r="G102" s="85"/>
      <c r="H102" s="71"/>
      <c r="I102" s="70"/>
      <c r="J102" s="70"/>
      <c r="K102" s="70"/>
      <c r="L102" s="70"/>
      <c r="M102" s="71"/>
      <c r="N102" s="70"/>
      <c r="O102" s="70"/>
      <c r="P102" s="70"/>
      <c r="Q102" s="70"/>
      <c r="R102" s="71"/>
      <c r="S102" s="70"/>
      <c r="T102" s="70"/>
      <c r="U102" s="70"/>
      <c r="V102" s="70"/>
      <c r="W102" s="71"/>
      <c r="X102" s="70"/>
      <c r="Y102" s="70"/>
      <c r="Z102" s="70"/>
      <c r="AA102" s="70"/>
      <c r="AB102" s="71"/>
      <c r="AC102" s="70"/>
      <c r="AD102" s="70"/>
      <c r="AE102" s="70"/>
      <c r="AF102" s="70"/>
      <c r="AG102" s="71"/>
      <c r="AH102" s="70"/>
      <c r="AI102" s="70"/>
      <c r="AJ102" s="70"/>
      <c r="AK102" s="70"/>
      <c r="AL102" s="71"/>
      <c r="AM102" s="70"/>
      <c r="AN102" s="70"/>
      <c r="AO102" s="70"/>
      <c r="AP102" s="70"/>
      <c r="AQ102" s="71"/>
      <c r="AR102" s="70"/>
      <c r="AS102" s="70"/>
      <c r="AT102" s="70"/>
      <c r="AU102" s="70"/>
      <c r="AV102" s="71"/>
      <c r="AW102" s="70"/>
      <c r="AX102" s="70"/>
      <c r="AY102" s="70"/>
      <c r="AZ102" s="70"/>
      <c r="BA102" s="71"/>
      <c r="BB102" s="70"/>
      <c r="BC102" s="70"/>
      <c r="BD102" s="70"/>
      <c r="BE102" s="70"/>
      <c r="BF102" s="71"/>
      <c r="BG102" s="70"/>
      <c r="BH102" s="70"/>
      <c r="BI102" s="70"/>
      <c r="BJ102" s="70"/>
      <c r="BK102" s="71"/>
      <c r="BL102" s="70"/>
      <c r="BM102" s="70"/>
      <c r="BN102" s="70"/>
      <c r="BO102" s="70"/>
      <c r="BP102" s="71"/>
      <c r="BQ102" s="70"/>
      <c r="BR102" s="70"/>
      <c r="BS102" s="70"/>
      <c r="BT102" s="70"/>
      <c r="BU102" s="71"/>
      <c r="BV102" s="70"/>
      <c r="BW102" s="70"/>
      <c r="BX102" s="70"/>
      <c r="BY102" s="70"/>
      <c r="BZ102" s="71"/>
      <c r="CA102" s="70"/>
      <c r="CB102" s="70"/>
      <c r="CC102" s="70"/>
      <c r="CD102" s="70"/>
      <c r="CE102" s="71"/>
      <c r="CF102" s="70"/>
      <c r="CG102" s="70"/>
      <c r="CH102" s="70"/>
      <c r="CI102" s="70"/>
      <c r="CJ102" s="71"/>
      <c r="CK102" s="70"/>
      <c r="CL102" s="70"/>
      <c r="CM102" s="70"/>
      <c r="CN102" s="70"/>
      <c r="CO102" s="71"/>
      <c r="CP102" s="70"/>
      <c r="CQ102" s="70"/>
      <c r="CR102" s="70"/>
      <c r="CS102" s="70"/>
      <c r="CT102" s="71"/>
      <c r="CU102" s="70"/>
      <c r="CV102" s="70"/>
      <c r="CW102" s="70"/>
      <c r="CX102" s="70"/>
      <c r="CY102" s="71"/>
      <c r="CZ102" s="70"/>
      <c r="DA102" s="70"/>
      <c r="DB102" s="70"/>
      <c r="DC102" s="70"/>
      <c r="DD102" s="71"/>
      <c r="DE102" s="70"/>
      <c r="DF102" s="70"/>
      <c r="DG102" s="70"/>
      <c r="DH102" s="70"/>
      <c r="DI102" s="71"/>
      <c r="DJ102" s="70"/>
      <c r="DK102" s="70"/>
      <c r="DL102" s="70"/>
      <c r="DM102" s="70"/>
      <c r="DN102" s="71"/>
      <c r="DO102" s="70"/>
      <c r="DP102" s="70"/>
      <c r="DQ102" s="70"/>
      <c r="DR102" s="70"/>
      <c r="DS102" s="71"/>
      <c r="DT102" s="70"/>
      <c r="DU102" s="70"/>
      <c r="DV102" s="70"/>
      <c r="DW102" s="70"/>
      <c r="DX102" s="71"/>
      <c r="DY102" s="70" t="s">
        <v>2451</v>
      </c>
      <c r="DZ102" s="70" t="s">
        <v>2451</v>
      </c>
      <c r="EA102" s="70" t="s">
        <v>2451</v>
      </c>
      <c r="EB102" s="70" t="s">
        <v>2451</v>
      </c>
      <c r="EC102" s="71" t="s">
        <v>2451</v>
      </c>
      <c r="ED102" s="70">
        <v>-1.0844034242910647</v>
      </c>
      <c r="EE102" s="70">
        <v>0.20031237797735257</v>
      </c>
      <c r="EF102" s="70">
        <v>-3.6253776435045348E-2</v>
      </c>
      <c r="EG102" s="70">
        <v>0.27303070761014681</v>
      </c>
      <c r="EH102" s="71">
        <v>-0.84652777777777777</v>
      </c>
      <c r="EI102" s="70">
        <v>0.21236133122028522</v>
      </c>
      <c r="EJ102" s="70">
        <v>0.45217957059206237</v>
      </c>
      <c r="EK102" s="70">
        <v>-1.0815047021943573</v>
      </c>
      <c r="EL102" s="70">
        <v>6.030414263240802E-3</v>
      </c>
      <c r="EM102" s="71">
        <v>-0.27366515837104077</v>
      </c>
      <c r="EN102" s="70">
        <v>0.37189542483660132</v>
      </c>
      <c r="EO102" s="70">
        <v>-2.3671146953404554E-2</v>
      </c>
      <c r="EP102" s="70">
        <v>-4.044923076922994</v>
      </c>
      <c r="EQ102" s="70">
        <v>0.21608504908348558</v>
      </c>
      <c r="ER102" s="71">
        <v>0.33637552952903071</v>
      </c>
      <c r="ES102" s="70">
        <v>6.5194616484041346E-2</v>
      </c>
      <c r="ET102" s="70">
        <v>-0.228860261219202</v>
      </c>
      <c r="EU102" s="70">
        <v>13.905012126111966</v>
      </c>
      <c r="EV102" s="70">
        <v>0.12109351420220404</v>
      </c>
      <c r="EW102" s="71">
        <v>0.27247511829009619</v>
      </c>
      <c r="EX102" s="70">
        <v>1.8687130830041143E-2</v>
      </c>
      <c r="EY102" s="70">
        <v>1.2369621316778985</v>
      </c>
      <c r="EZ102" s="70">
        <v>-0.26130169491525057</v>
      </c>
      <c r="FA102" s="70">
        <v>3.2679271276292443E-2</v>
      </c>
      <c r="FB102" s="71">
        <v>-0.44466140347663663</v>
      </c>
      <c r="FC102" s="70">
        <v>-0.17485670380330465</v>
      </c>
      <c r="FD102" s="70">
        <v>-0.15085696409018767</v>
      </c>
      <c r="FE102" s="70">
        <v>0.18537647533911561</v>
      </c>
      <c r="FF102" s="70">
        <v>0.14193133096997501</v>
      </c>
      <c r="FG102" s="71">
        <v>-6.6931419373563728E-2</v>
      </c>
      <c r="FH102" s="70">
        <v>-0.2658432333865598</v>
      </c>
      <c r="FI102" s="70">
        <v>1.1904761904761862E-2</v>
      </c>
      <c r="FJ102" s="70">
        <v>8.9281393660779029E-2</v>
      </c>
      <c r="FK102" s="70">
        <v>0.10731364655661535</v>
      </c>
      <c r="FL102" s="71">
        <v>-0.36658701093027612</v>
      </c>
      <c r="FM102" s="70" t="s">
        <v>2451</v>
      </c>
      <c r="FN102" s="70" t="s">
        <v>2451</v>
      </c>
      <c r="FO102" s="70" t="s">
        <v>2451</v>
      </c>
      <c r="FP102" s="70" t="s">
        <v>2451</v>
      </c>
      <c r="FQ102" s="71" t="s">
        <v>2451</v>
      </c>
      <c r="FR102" s="70" t="s">
        <v>2451</v>
      </c>
      <c r="FS102" s="70" t="s">
        <v>2451</v>
      </c>
      <c r="FT102" s="70" t="s">
        <v>2451</v>
      </c>
      <c r="FU102" s="70" t="s">
        <v>2451</v>
      </c>
      <c r="FV102" s="71" t="s">
        <v>2451</v>
      </c>
      <c r="FW102" s="70" t="s">
        <v>2451</v>
      </c>
      <c r="FX102" s="70" t="s">
        <v>2451</v>
      </c>
      <c r="FY102" s="70" t="s">
        <v>2451</v>
      </c>
      <c r="FZ102" s="70" t="s">
        <v>2451</v>
      </c>
      <c r="GA102" s="71" t="s">
        <v>2451</v>
      </c>
    </row>
    <row r="103" spans="1:183" s="72" customFormat="1" ht="12.75" customHeight="1" outlineLevel="1">
      <c r="A103" s="54"/>
      <c r="B103" s="753" t="s">
        <v>50</v>
      </c>
      <c r="C103" s="69"/>
      <c r="D103" s="85"/>
      <c r="E103" s="70"/>
      <c r="F103" s="70"/>
      <c r="G103" s="70"/>
      <c r="H103" s="71"/>
      <c r="I103" s="70"/>
      <c r="J103" s="70"/>
      <c r="K103" s="70"/>
      <c r="L103" s="70"/>
      <c r="M103" s="73"/>
      <c r="N103" s="70"/>
      <c r="O103" s="70"/>
      <c r="P103" s="70"/>
      <c r="Q103" s="70"/>
      <c r="R103" s="73"/>
      <c r="S103" s="70"/>
      <c r="T103" s="70"/>
      <c r="U103" s="70"/>
      <c r="V103" s="70"/>
      <c r="W103" s="73"/>
      <c r="X103" s="70"/>
      <c r="Y103" s="70"/>
      <c r="Z103" s="70"/>
      <c r="AA103" s="70"/>
      <c r="AB103" s="73"/>
      <c r="AC103" s="70"/>
      <c r="AD103" s="70"/>
      <c r="AE103" s="70"/>
      <c r="AF103" s="70"/>
      <c r="AG103" s="73"/>
      <c r="AH103" s="70"/>
      <c r="AI103" s="70"/>
      <c r="AJ103" s="70"/>
      <c r="AK103" s="70"/>
      <c r="AL103" s="73"/>
      <c r="AM103" s="70"/>
      <c r="AN103" s="70"/>
      <c r="AO103" s="70"/>
      <c r="AP103" s="70"/>
      <c r="AQ103" s="73"/>
      <c r="AR103" s="70"/>
      <c r="AS103" s="70"/>
      <c r="AT103" s="70"/>
      <c r="AU103" s="70"/>
      <c r="AV103" s="73"/>
      <c r="AW103" s="70"/>
      <c r="AX103" s="70"/>
      <c r="AY103" s="70"/>
      <c r="AZ103" s="70"/>
      <c r="BA103" s="73"/>
      <c r="BB103" s="70"/>
      <c r="BC103" s="70"/>
      <c r="BD103" s="70"/>
      <c r="BE103" s="70"/>
      <c r="BF103" s="73"/>
      <c r="BG103" s="70"/>
      <c r="BH103" s="70"/>
      <c r="BI103" s="70"/>
      <c r="BJ103" s="70"/>
      <c r="BK103" s="73"/>
      <c r="BL103" s="70"/>
      <c r="BM103" s="70"/>
      <c r="BN103" s="70"/>
      <c r="BO103" s="70"/>
      <c r="BP103" s="73"/>
      <c r="BQ103" s="70"/>
      <c r="BR103" s="70"/>
      <c r="BS103" s="70"/>
      <c r="BT103" s="70"/>
      <c r="BU103" s="73"/>
      <c r="BV103" s="70"/>
      <c r="BW103" s="70"/>
      <c r="BX103" s="70"/>
      <c r="BY103" s="70"/>
      <c r="BZ103" s="73"/>
      <c r="CA103" s="70"/>
      <c r="CB103" s="70"/>
      <c r="CC103" s="70"/>
      <c r="CD103" s="70"/>
      <c r="CE103" s="73"/>
      <c r="CF103" s="70"/>
      <c r="CG103" s="70"/>
      <c r="CH103" s="70"/>
      <c r="CI103" s="70"/>
      <c r="CJ103" s="73"/>
      <c r="CK103" s="70"/>
      <c r="CL103" s="70"/>
      <c r="CM103" s="70"/>
      <c r="CN103" s="70"/>
      <c r="CO103" s="73"/>
      <c r="CP103" s="70"/>
      <c r="CQ103" s="70"/>
      <c r="CR103" s="70"/>
      <c r="CS103" s="70"/>
      <c r="CT103" s="73"/>
      <c r="CU103" s="70"/>
      <c r="CV103" s="70"/>
      <c r="CW103" s="70"/>
      <c r="CX103" s="70"/>
      <c r="CY103" s="73"/>
      <c r="CZ103" s="70"/>
      <c r="DA103" s="70"/>
      <c r="DB103" s="70"/>
      <c r="DC103" s="70"/>
      <c r="DD103" s="73"/>
      <c r="DE103" s="70"/>
      <c r="DF103" s="70"/>
      <c r="DG103" s="70"/>
      <c r="DH103" s="70"/>
      <c r="DI103" s="73"/>
      <c r="DJ103" s="70"/>
      <c r="DK103" s="70"/>
      <c r="DL103" s="70"/>
      <c r="DM103" s="70"/>
      <c r="DN103" s="73"/>
      <c r="DO103" s="70"/>
      <c r="DP103" s="70"/>
      <c r="DQ103" s="70"/>
      <c r="DR103" s="70"/>
      <c r="DS103" s="73"/>
      <c r="DT103" s="70"/>
      <c r="DU103" s="70"/>
      <c r="DV103" s="70"/>
      <c r="DW103" s="70"/>
      <c r="DX103" s="73"/>
      <c r="DY103" s="70" t="s">
        <v>2451</v>
      </c>
      <c r="DZ103" s="70">
        <v>-1.0856407169609417</v>
      </c>
      <c r="EA103" s="70">
        <v>-0.87075361187036315</v>
      </c>
      <c r="EB103" s="70">
        <v>-28.154078549848943</v>
      </c>
      <c r="EC103" s="73"/>
      <c r="ED103" s="70">
        <v>-1.2808188696039164</v>
      </c>
      <c r="EE103" s="70">
        <v>0.21790808240887483</v>
      </c>
      <c r="EF103" s="70">
        <v>-0.89622641509433965</v>
      </c>
      <c r="EG103" s="70">
        <v>-36.868338557993731</v>
      </c>
      <c r="EH103" s="73"/>
      <c r="EI103" s="70">
        <v>-1.2674357629785002</v>
      </c>
      <c r="EJ103" s="70">
        <v>0.45882352941176463</v>
      </c>
      <c r="EK103" s="70">
        <v>-1.0058243727598566</v>
      </c>
      <c r="EL103" s="70">
        <v>441.73076923076923</v>
      </c>
      <c r="EM103" s="73"/>
      <c r="EN103" s="70">
        <v>-1.3646946399096516</v>
      </c>
      <c r="EO103" s="70">
        <v>3.8192472606003447E-2</v>
      </c>
      <c r="EP103" s="70">
        <v>-0.98183525256910265</v>
      </c>
      <c r="EQ103" s="70">
        <v>-177.81834832255942</v>
      </c>
      <c r="ER103" s="73"/>
      <c r="ES103" s="70">
        <v>-1.3194437489262134</v>
      </c>
      <c r="ET103" s="70">
        <v>-0.24840826292180329</v>
      </c>
      <c r="EU103" s="70">
        <v>-0.64890179158274708</v>
      </c>
      <c r="EV103" s="70">
        <v>-14.299546610169488</v>
      </c>
      <c r="EW103" s="73"/>
      <c r="EX103" s="70">
        <v>-1.2902641322359338</v>
      </c>
      <c r="EY103" s="70">
        <v>0.65044026123703369</v>
      </c>
      <c r="EZ103" s="70">
        <v>-0.88405898883876965</v>
      </c>
      <c r="FA103" s="70">
        <v>-19.592388810367204</v>
      </c>
      <c r="FB103" s="73"/>
      <c r="FC103" s="70">
        <v>-1.2319301931419822</v>
      </c>
      <c r="FD103" s="70">
        <v>0.6984442102048205</v>
      </c>
      <c r="FE103" s="70">
        <v>-0.8381500626566416</v>
      </c>
      <c r="FF103" s="70">
        <v>-18.910960561335592</v>
      </c>
      <c r="FG103" s="73"/>
      <c r="FH103" s="70">
        <v>-1.1491097722421852</v>
      </c>
      <c r="FI103" s="70">
        <v>1.3410038050371442</v>
      </c>
      <c r="FJ103" s="70">
        <v>-0.8257739938080495</v>
      </c>
      <c r="FK103" s="70">
        <v>-19.20746334962239</v>
      </c>
      <c r="FL103" s="73"/>
      <c r="FM103" s="70" t="s">
        <v>2451</v>
      </c>
      <c r="FN103" s="70" t="s">
        <v>2451</v>
      </c>
      <c r="FO103" s="70" t="s">
        <v>2451</v>
      </c>
      <c r="FP103" s="70" t="s">
        <v>2451</v>
      </c>
      <c r="FQ103" s="73"/>
      <c r="FR103" s="70" t="s">
        <v>2451</v>
      </c>
      <c r="FS103" s="70" t="s">
        <v>2451</v>
      </c>
      <c r="FT103" s="70" t="s">
        <v>2451</v>
      </c>
      <c r="FU103" s="70" t="s">
        <v>2451</v>
      </c>
      <c r="FV103" s="73"/>
      <c r="FW103" s="70" t="s">
        <v>2451</v>
      </c>
      <c r="FX103" s="70" t="s">
        <v>2451</v>
      </c>
      <c r="FY103" s="70" t="s">
        <v>2451</v>
      </c>
      <c r="FZ103" s="70" t="s">
        <v>2451</v>
      </c>
      <c r="GA103" s="73"/>
    </row>
    <row r="104" spans="1:183" s="72" customFormat="1" ht="12.75" customHeight="1" outlineLevel="1">
      <c r="A104" s="54"/>
      <c r="B104" s="1544"/>
      <c r="C104" s="69"/>
      <c r="D104" s="87"/>
      <c r="E104" s="70"/>
      <c r="F104" s="70"/>
      <c r="G104" s="70"/>
      <c r="H104" s="73"/>
      <c r="I104" s="84"/>
      <c r="J104" s="84"/>
      <c r="K104" s="84"/>
      <c r="L104" s="84"/>
      <c r="M104" s="83"/>
      <c r="N104" s="84"/>
      <c r="O104" s="84"/>
      <c r="P104" s="84"/>
      <c r="Q104" s="84"/>
      <c r="R104" s="83"/>
      <c r="S104" s="84"/>
      <c r="T104" s="84"/>
      <c r="U104" s="84"/>
      <c r="V104" s="84"/>
      <c r="W104" s="83"/>
      <c r="X104" s="84"/>
      <c r="Y104" s="84"/>
      <c r="Z104" s="84"/>
      <c r="AA104" s="84"/>
      <c r="AB104" s="83"/>
      <c r="AC104" s="84"/>
      <c r="AD104" s="84"/>
      <c r="AE104" s="84"/>
      <c r="AF104" s="84"/>
      <c r="AG104" s="83"/>
      <c r="AH104" s="84"/>
      <c r="AI104" s="84"/>
      <c r="AJ104" s="84"/>
      <c r="AK104" s="84"/>
      <c r="AL104" s="83"/>
      <c r="AM104" s="84"/>
      <c r="AN104" s="84"/>
      <c r="AO104" s="84"/>
      <c r="AP104" s="84"/>
      <c r="AQ104" s="83"/>
      <c r="AR104" s="84"/>
      <c r="AS104" s="84"/>
      <c r="AT104" s="84"/>
      <c r="AU104" s="84"/>
      <c r="AV104" s="83"/>
      <c r="AW104" s="84"/>
      <c r="AX104" s="84"/>
      <c r="AY104" s="84"/>
      <c r="AZ104" s="84"/>
      <c r="BA104" s="83"/>
      <c r="BB104" s="84"/>
      <c r="BC104" s="84"/>
      <c r="BD104" s="84"/>
      <c r="BE104" s="84"/>
      <c r="BF104" s="83"/>
      <c r="BG104" s="84"/>
      <c r="BH104" s="84"/>
      <c r="BI104" s="84"/>
      <c r="BJ104" s="84"/>
      <c r="BK104" s="83"/>
      <c r="BL104" s="84"/>
      <c r="BM104" s="84"/>
      <c r="BN104" s="84"/>
      <c r="BO104" s="84"/>
      <c r="BP104" s="83"/>
      <c r="BQ104" s="84"/>
      <c r="BR104" s="84"/>
      <c r="BS104" s="84"/>
      <c r="BT104" s="84"/>
      <c r="BU104" s="83"/>
      <c r="BV104" s="84"/>
      <c r="BW104" s="84"/>
      <c r="BX104" s="84"/>
      <c r="BY104" s="84"/>
      <c r="BZ104" s="83"/>
      <c r="CA104" s="84"/>
      <c r="CB104" s="84"/>
      <c r="CC104" s="84"/>
      <c r="CD104" s="84"/>
      <c r="CE104" s="83"/>
      <c r="CF104" s="84"/>
      <c r="CG104" s="84"/>
      <c r="CH104" s="84"/>
      <c r="CI104" s="84"/>
      <c r="CJ104" s="83"/>
      <c r="CK104" s="84"/>
      <c r="CL104" s="84"/>
      <c r="CM104" s="84"/>
      <c r="CN104" s="84"/>
      <c r="CO104" s="83"/>
      <c r="CP104" s="84"/>
      <c r="CQ104" s="84"/>
      <c r="CR104" s="84"/>
      <c r="CS104" s="84"/>
      <c r="CT104" s="83"/>
      <c r="CU104" s="84"/>
      <c r="CV104" s="84"/>
      <c r="CW104" s="84"/>
      <c r="CX104" s="84"/>
      <c r="CY104" s="83"/>
      <c r="CZ104" s="84"/>
      <c r="DA104" s="84"/>
      <c r="DB104" s="84"/>
      <c r="DC104" s="84"/>
      <c r="DD104" s="83"/>
      <c r="DE104" s="84"/>
      <c r="DF104" s="84"/>
      <c r="DG104" s="84"/>
      <c r="DH104" s="84"/>
      <c r="DI104" s="83"/>
      <c r="DJ104" s="84"/>
      <c r="DK104" s="84"/>
      <c r="DL104" s="84"/>
      <c r="DM104" s="84"/>
      <c r="DN104" s="83"/>
      <c r="DO104" s="84"/>
      <c r="DP104" s="84"/>
      <c r="DQ104" s="84"/>
      <c r="DR104" s="84"/>
      <c r="DS104" s="83"/>
      <c r="DT104" s="84"/>
      <c r="DU104" s="84"/>
      <c r="DV104" s="84"/>
      <c r="DW104" s="84"/>
      <c r="DX104" s="83"/>
      <c r="DY104" s="84"/>
      <c r="DZ104" s="84"/>
      <c r="EA104" s="84"/>
      <c r="EB104" s="84"/>
      <c r="EC104" s="83"/>
      <c r="ED104" s="84"/>
      <c r="EE104" s="84"/>
      <c r="EF104" s="84"/>
      <c r="EG104" s="84"/>
      <c r="EH104" s="83"/>
      <c r="EI104" s="84"/>
      <c r="EJ104" s="84"/>
      <c r="EK104" s="84"/>
      <c r="EL104" s="84"/>
      <c r="EM104" s="83"/>
      <c r="EN104" s="84"/>
      <c r="EO104" s="84"/>
      <c r="EP104" s="84"/>
      <c r="EQ104" s="84"/>
      <c r="ER104" s="83"/>
      <c r="ES104" s="84"/>
      <c r="ET104" s="84"/>
      <c r="EU104" s="84"/>
      <c r="EV104" s="84"/>
      <c r="EW104" s="83"/>
      <c r="EX104" s="84"/>
      <c r="EY104" s="84"/>
      <c r="EZ104" s="84"/>
      <c r="FA104" s="84"/>
      <c r="FB104" s="83"/>
      <c r="FC104" s="84"/>
      <c r="FD104" s="84"/>
      <c r="FE104" s="84"/>
      <c r="FF104" s="84"/>
      <c r="FG104" s="83"/>
      <c r="FH104" s="84"/>
      <c r="FI104" s="84"/>
      <c r="FJ104" s="84"/>
      <c r="FK104" s="84"/>
      <c r="FL104" s="83"/>
      <c r="FM104" s="84"/>
      <c r="FN104" s="84"/>
      <c r="FO104" s="84"/>
      <c r="FP104" s="84"/>
      <c r="FQ104" s="83"/>
      <c r="FR104" s="84"/>
      <c r="FS104" s="84"/>
      <c r="FT104" s="84"/>
      <c r="FU104" s="84"/>
      <c r="FV104" s="83"/>
      <c r="FW104" s="84"/>
      <c r="FX104" s="84"/>
      <c r="FY104" s="84"/>
      <c r="FZ104" s="84"/>
      <c r="GA104" s="83"/>
    </row>
    <row r="105" spans="1:183" s="1558" customFormat="1" ht="12.75" customHeight="1" outlineLevel="1">
      <c r="A105" s="1554"/>
      <c r="B105" s="1549" t="s">
        <v>58</v>
      </c>
      <c r="C105" s="1555"/>
      <c r="D105" s="1556"/>
      <c r="E105" s="1556"/>
      <c r="F105" s="1556"/>
      <c r="G105" s="1556"/>
      <c r="H105" s="1557"/>
      <c r="I105" s="1556"/>
      <c r="J105" s="1556"/>
      <c r="K105" s="1556"/>
      <c r="L105" s="1556"/>
      <c r="M105" s="1557"/>
      <c r="N105" s="1556"/>
      <c r="O105" s="1556"/>
      <c r="P105" s="1556"/>
      <c r="Q105" s="1556"/>
      <c r="R105" s="1557"/>
      <c r="S105" s="1556"/>
      <c r="T105" s="1556"/>
      <c r="U105" s="1556"/>
      <c r="V105" s="1556"/>
      <c r="W105" s="1557"/>
      <c r="X105" s="1556"/>
      <c r="Y105" s="1556"/>
      <c r="Z105" s="1556"/>
      <c r="AA105" s="1556"/>
      <c r="AB105" s="1557"/>
      <c r="AC105" s="1556"/>
      <c r="AD105" s="1556"/>
      <c r="AE105" s="1556"/>
      <c r="AF105" s="1556"/>
      <c r="AG105" s="1557"/>
      <c r="AH105" s="1556"/>
      <c r="AI105" s="1556"/>
      <c r="AJ105" s="1556"/>
      <c r="AK105" s="1556"/>
      <c r="AL105" s="1557"/>
      <c r="AM105" s="1556"/>
      <c r="AN105" s="1556"/>
      <c r="AO105" s="1556"/>
      <c r="AP105" s="1556"/>
      <c r="AQ105" s="1557"/>
      <c r="AR105" s="1556"/>
      <c r="AS105" s="1556"/>
      <c r="AT105" s="1556"/>
      <c r="AU105" s="1556"/>
      <c r="AV105" s="1557"/>
      <c r="AW105" s="1556"/>
      <c r="AX105" s="1556"/>
      <c r="AY105" s="1556"/>
      <c r="AZ105" s="1556"/>
      <c r="BA105" s="1557"/>
      <c r="BB105" s="1556"/>
      <c r="BC105" s="1556"/>
      <c r="BD105" s="1556"/>
      <c r="BE105" s="1556"/>
      <c r="BF105" s="1557"/>
      <c r="BG105" s="1556"/>
      <c r="BH105" s="1556"/>
      <c r="BI105" s="1556"/>
      <c r="BJ105" s="1556"/>
      <c r="BK105" s="1557"/>
      <c r="BL105" s="1556"/>
      <c r="BM105" s="1556"/>
      <c r="BN105" s="1556"/>
      <c r="BO105" s="1556"/>
      <c r="BP105" s="1557"/>
      <c r="BQ105" s="1556"/>
      <c r="BR105" s="1556"/>
      <c r="BS105" s="1556"/>
      <c r="BT105" s="1556"/>
      <c r="BU105" s="1557"/>
      <c r="BV105" s="1556"/>
      <c r="BW105" s="1556"/>
      <c r="BX105" s="1556"/>
      <c r="BY105" s="1556"/>
      <c r="BZ105" s="1557"/>
      <c r="CA105" s="1556"/>
      <c r="CB105" s="1556"/>
      <c r="CC105" s="1556"/>
      <c r="CD105" s="1556"/>
      <c r="CE105" s="1557"/>
      <c r="CF105" s="1556"/>
      <c r="CG105" s="1556"/>
      <c r="CH105" s="1556"/>
      <c r="CI105" s="1556"/>
      <c r="CJ105" s="1557"/>
      <c r="CK105" s="1556"/>
      <c r="CL105" s="1556"/>
      <c r="CM105" s="1556"/>
      <c r="CN105" s="1556"/>
      <c r="CO105" s="1557"/>
      <c r="CP105" s="1556"/>
      <c r="CQ105" s="1556"/>
      <c r="CR105" s="1556"/>
      <c r="CS105" s="1556"/>
      <c r="CT105" s="1557"/>
      <c r="CU105" s="1556"/>
      <c r="CV105" s="1556"/>
      <c r="CW105" s="1556"/>
      <c r="CX105" s="1556"/>
      <c r="CY105" s="1557"/>
      <c r="CZ105" s="1556"/>
      <c r="DA105" s="1556"/>
      <c r="DB105" s="1556"/>
      <c r="DC105" s="1556"/>
      <c r="DD105" s="1557"/>
      <c r="DE105" s="1556"/>
      <c r="DF105" s="1556"/>
      <c r="DG105" s="1556"/>
      <c r="DH105" s="1556"/>
      <c r="DI105" s="1557"/>
      <c r="DJ105" s="1556"/>
      <c r="DK105" s="1556"/>
      <c r="DL105" s="1556"/>
      <c r="DM105" s="1556"/>
      <c r="DN105" s="1557"/>
      <c r="DO105" s="1556"/>
      <c r="DP105" s="1556"/>
      <c r="DQ105" s="1556"/>
      <c r="DR105" s="1556"/>
      <c r="DS105" s="1557"/>
      <c r="DT105" s="1556"/>
      <c r="DU105" s="1556"/>
      <c r="DV105" s="1556"/>
      <c r="DW105" s="1556"/>
      <c r="DX105" s="1557"/>
      <c r="DY105" s="1556">
        <v>-3180</v>
      </c>
      <c r="DZ105" s="1556">
        <v>-2805</v>
      </c>
      <c r="EA105" s="1556" t="s">
        <v>2451</v>
      </c>
      <c r="EB105" s="1556" t="s">
        <v>2451</v>
      </c>
      <c r="EC105" s="1557" t="s">
        <v>2451</v>
      </c>
      <c r="ED105" s="1556">
        <v>-2993.5</v>
      </c>
      <c r="EE105" s="1556">
        <v>-2918</v>
      </c>
      <c r="EF105" s="1556">
        <v>-995.5</v>
      </c>
      <c r="EG105" s="1556">
        <v>11427</v>
      </c>
      <c r="EH105" s="1557">
        <v>4961</v>
      </c>
      <c r="EI105" s="1556">
        <v>-3126</v>
      </c>
      <c r="EJ105" s="1556">
        <v>-4246</v>
      </c>
      <c r="EK105" s="1556">
        <v>27</v>
      </c>
      <c r="EL105" s="1556">
        <v>11612</v>
      </c>
      <c r="EM105" s="1557">
        <v>4267</v>
      </c>
      <c r="EN105" s="1556">
        <v>-4519</v>
      </c>
      <c r="EO105" s="1556">
        <v>-4263</v>
      </c>
      <c r="EP105" s="1556">
        <v>-25</v>
      </c>
      <c r="EQ105" s="1556">
        <v>14212</v>
      </c>
      <c r="ER105" s="1557">
        <v>5405</v>
      </c>
      <c r="ES105" s="1556" t="s">
        <v>2451</v>
      </c>
      <c r="ET105" s="1556" t="s">
        <v>2451</v>
      </c>
      <c r="EU105" s="1556" t="s">
        <v>2451</v>
      </c>
      <c r="EV105" s="1556" t="s">
        <v>2451</v>
      </c>
      <c r="EW105" s="1557" t="s">
        <v>2451</v>
      </c>
      <c r="EX105" s="1556" t="s">
        <v>2451</v>
      </c>
      <c r="EY105" s="1556">
        <v>-7644</v>
      </c>
      <c r="EZ105" s="1556">
        <v>-569</v>
      </c>
      <c r="FA105" s="1556">
        <v>21158.690000000002</v>
      </c>
      <c r="FB105" s="1557">
        <v>8380.7999999999884</v>
      </c>
      <c r="FC105" s="1556" t="s">
        <v>2451</v>
      </c>
      <c r="FD105" s="1556" t="s">
        <v>2451</v>
      </c>
      <c r="FE105" s="1556" t="s">
        <v>2451</v>
      </c>
      <c r="FF105" s="1556" t="s">
        <v>2451</v>
      </c>
      <c r="FG105" s="1557">
        <v>2769.25</v>
      </c>
      <c r="FH105" s="1556" t="s">
        <v>2451</v>
      </c>
      <c r="FI105" s="1556" t="s">
        <v>2451</v>
      </c>
      <c r="FJ105" s="1556" t="s">
        <v>2451</v>
      </c>
      <c r="FK105" s="1556" t="s">
        <v>2451</v>
      </c>
      <c r="FL105" s="1557" t="s">
        <v>2451</v>
      </c>
      <c r="FM105" s="1556" t="s">
        <v>2451</v>
      </c>
      <c r="FN105" s="1556" t="s">
        <v>2451</v>
      </c>
      <c r="FO105" s="1556" t="s">
        <v>2451</v>
      </c>
      <c r="FP105" s="1556" t="s">
        <v>2451</v>
      </c>
      <c r="FQ105" s="1557" t="s">
        <v>2451</v>
      </c>
      <c r="FR105" s="1556" t="s">
        <v>2451</v>
      </c>
      <c r="FS105" s="1556" t="s">
        <v>2451</v>
      </c>
      <c r="FT105" s="1556" t="s">
        <v>2451</v>
      </c>
      <c r="FU105" s="1556" t="s">
        <v>2451</v>
      </c>
      <c r="FV105" s="1557" t="s">
        <v>2451</v>
      </c>
      <c r="FW105" s="1556" t="s">
        <v>2451</v>
      </c>
      <c r="FX105" s="1556" t="s">
        <v>2451</v>
      </c>
      <c r="FY105" s="1556" t="s">
        <v>2451</v>
      </c>
      <c r="FZ105" s="1556" t="s">
        <v>2451</v>
      </c>
      <c r="GA105" s="1557" t="s">
        <v>2451</v>
      </c>
    </row>
    <row r="106" spans="1:183" s="55" customFormat="1" ht="12.75" customHeight="1" outlineLevel="1">
      <c r="A106" s="54"/>
      <c r="B106" s="753" t="s">
        <v>49</v>
      </c>
      <c r="C106" s="74"/>
      <c r="D106" s="85"/>
      <c r="E106" s="85"/>
      <c r="F106" s="85"/>
      <c r="G106" s="85"/>
      <c r="H106" s="71"/>
      <c r="I106" s="70"/>
      <c r="J106" s="70"/>
      <c r="K106" s="70"/>
      <c r="L106" s="70"/>
      <c r="M106" s="71"/>
      <c r="N106" s="70"/>
      <c r="O106" s="70"/>
      <c r="P106" s="70"/>
      <c r="Q106" s="70"/>
      <c r="R106" s="71"/>
      <c r="S106" s="70"/>
      <c r="T106" s="70"/>
      <c r="U106" s="70"/>
      <c r="V106" s="70"/>
      <c r="W106" s="71"/>
      <c r="X106" s="70"/>
      <c r="Y106" s="70"/>
      <c r="Z106" s="70"/>
      <c r="AA106" s="70"/>
      <c r="AB106" s="71"/>
      <c r="AC106" s="70"/>
      <c r="AD106" s="70"/>
      <c r="AE106" s="70"/>
      <c r="AF106" s="70"/>
      <c r="AG106" s="71"/>
      <c r="AH106" s="70"/>
      <c r="AI106" s="70"/>
      <c r="AJ106" s="70"/>
      <c r="AK106" s="70"/>
      <c r="AL106" s="71"/>
      <c r="AM106" s="70"/>
      <c r="AN106" s="70"/>
      <c r="AO106" s="70"/>
      <c r="AP106" s="70"/>
      <c r="AQ106" s="71"/>
      <c r="AR106" s="70"/>
      <c r="AS106" s="70"/>
      <c r="AT106" s="70"/>
      <c r="AU106" s="70"/>
      <c r="AV106" s="71"/>
      <c r="AW106" s="70"/>
      <c r="AX106" s="70"/>
      <c r="AY106" s="70"/>
      <c r="AZ106" s="70"/>
      <c r="BA106" s="71"/>
      <c r="BB106" s="70"/>
      <c r="BC106" s="70"/>
      <c r="BD106" s="70"/>
      <c r="BE106" s="70"/>
      <c r="BF106" s="71"/>
      <c r="BG106" s="70"/>
      <c r="BH106" s="70"/>
      <c r="BI106" s="70"/>
      <c r="BJ106" s="70"/>
      <c r="BK106" s="71"/>
      <c r="BL106" s="70"/>
      <c r="BM106" s="70"/>
      <c r="BN106" s="70"/>
      <c r="BO106" s="70"/>
      <c r="BP106" s="71"/>
      <c r="BQ106" s="70"/>
      <c r="BR106" s="70"/>
      <c r="BS106" s="70"/>
      <c r="BT106" s="70"/>
      <c r="BU106" s="71"/>
      <c r="BV106" s="70"/>
      <c r="BW106" s="70"/>
      <c r="BX106" s="70"/>
      <c r="BY106" s="70"/>
      <c r="BZ106" s="71"/>
      <c r="CA106" s="70"/>
      <c r="CB106" s="70"/>
      <c r="CC106" s="70"/>
      <c r="CD106" s="70"/>
      <c r="CE106" s="71"/>
      <c r="CF106" s="70"/>
      <c r="CG106" s="70"/>
      <c r="CH106" s="70"/>
      <c r="CI106" s="70"/>
      <c r="CJ106" s="71"/>
      <c r="CK106" s="70"/>
      <c r="CL106" s="70"/>
      <c r="CM106" s="70"/>
      <c r="CN106" s="70"/>
      <c r="CO106" s="71"/>
      <c r="CP106" s="70"/>
      <c r="CQ106" s="70"/>
      <c r="CR106" s="70"/>
      <c r="CS106" s="70"/>
      <c r="CT106" s="71"/>
      <c r="CU106" s="70"/>
      <c r="CV106" s="70"/>
      <c r="CW106" s="70"/>
      <c r="CX106" s="70"/>
      <c r="CY106" s="71"/>
      <c r="CZ106" s="70"/>
      <c r="DA106" s="70"/>
      <c r="DB106" s="70"/>
      <c r="DC106" s="70"/>
      <c r="DD106" s="71"/>
      <c r="DE106" s="70"/>
      <c r="DF106" s="70"/>
      <c r="DG106" s="70"/>
      <c r="DH106" s="70"/>
      <c r="DI106" s="71"/>
      <c r="DJ106" s="70"/>
      <c r="DK106" s="70"/>
      <c r="DL106" s="70"/>
      <c r="DM106" s="70"/>
      <c r="DN106" s="71"/>
      <c r="DO106" s="70"/>
      <c r="DP106" s="70"/>
      <c r="DQ106" s="70"/>
      <c r="DR106" s="70"/>
      <c r="DS106" s="71"/>
      <c r="DT106" s="70"/>
      <c r="DU106" s="70"/>
      <c r="DV106" s="70"/>
      <c r="DW106" s="70"/>
      <c r="DX106" s="71"/>
      <c r="DY106" s="70" t="s">
        <v>2451</v>
      </c>
      <c r="DZ106" s="70" t="s">
        <v>2451</v>
      </c>
      <c r="EA106" s="70" t="s">
        <v>2451</v>
      </c>
      <c r="EB106" s="70" t="s">
        <v>2451</v>
      </c>
      <c r="EC106" s="71" t="s">
        <v>2451</v>
      </c>
      <c r="ED106" s="70">
        <v>-5.8647798742138324E-2</v>
      </c>
      <c r="EE106" s="70">
        <v>4.0285204991087342E-2</v>
      </c>
      <c r="EF106" s="70" t="s">
        <v>2451</v>
      </c>
      <c r="EG106" s="70" t="s">
        <v>2451</v>
      </c>
      <c r="EH106" s="71" t="s">
        <v>2451</v>
      </c>
      <c r="EI106" s="70">
        <v>4.4262568899281707E-2</v>
      </c>
      <c r="EJ106" s="70">
        <v>0.455106237148732</v>
      </c>
      <c r="EK106" s="70">
        <v>-1.0271220492214967</v>
      </c>
      <c r="EL106" s="70">
        <v>1.6189726087336931E-2</v>
      </c>
      <c r="EM106" s="71">
        <v>-0.1398911509776255</v>
      </c>
      <c r="EN106" s="70">
        <v>0.44561740243122205</v>
      </c>
      <c r="EO106" s="70">
        <v>4.0037682524729501E-3</v>
      </c>
      <c r="EP106" s="70">
        <v>-1.925925925925926</v>
      </c>
      <c r="EQ106" s="70">
        <v>0.22390630382363064</v>
      </c>
      <c r="ER106" s="71">
        <v>0.26669791422545108</v>
      </c>
      <c r="ES106" s="70" t="s">
        <v>2451</v>
      </c>
      <c r="ET106" s="70" t="s">
        <v>2451</v>
      </c>
      <c r="EU106" s="70" t="s">
        <v>2451</v>
      </c>
      <c r="EV106" s="70" t="s">
        <v>2451</v>
      </c>
      <c r="EW106" s="71" t="s">
        <v>2451</v>
      </c>
      <c r="EX106" s="70" t="s">
        <v>2451</v>
      </c>
      <c r="EY106" s="70" t="s">
        <v>2451</v>
      </c>
      <c r="EZ106" s="70" t="s">
        <v>2451</v>
      </c>
      <c r="FA106" s="70" t="s">
        <v>2451</v>
      </c>
      <c r="FB106" s="71" t="s">
        <v>2451</v>
      </c>
      <c r="FC106" s="70" t="s">
        <v>2451</v>
      </c>
      <c r="FD106" s="70" t="s">
        <v>2451</v>
      </c>
      <c r="FE106" s="70" t="s">
        <v>2451</v>
      </c>
      <c r="FF106" s="70" t="s">
        <v>2451</v>
      </c>
      <c r="FG106" s="71">
        <v>-0.66957211722031262</v>
      </c>
      <c r="FH106" s="70" t="s">
        <v>2451</v>
      </c>
      <c r="FI106" s="70" t="s">
        <v>2451</v>
      </c>
      <c r="FJ106" s="70" t="s">
        <v>2451</v>
      </c>
      <c r="FK106" s="70" t="s">
        <v>2451</v>
      </c>
      <c r="FL106" s="71" t="s">
        <v>2451</v>
      </c>
      <c r="FM106" s="70" t="s">
        <v>2451</v>
      </c>
      <c r="FN106" s="70" t="s">
        <v>2451</v>
      </c>
      <c r="FO106" s="70" t="s">
        <v>2451</v>
      </c>
      <c r="FP106" s="70" t="s">
        <v>2451</v>
      </c>
      <c r="FQ106" s="71" t="s">
        <v>2451</v>
      </c>
      <c r="FR106" s="70" t="s">
        <v>2451</v>
      </c>
      <c r="FS106" s="70" t="s">
        <v>2451</v>
      </c>
      <c r="FT106" s="70" t="s">
        <v>2451</v>
      </c>
      <c r="FU106" s="70" t="s">
        <v>2451</v>
      </c>
      <c r="FV106" s="71" t="s">
        <v>2451</v>
      </c>
      <c r="FW106" s="70" t="s">
        <v>2451</v>
      </c>
      <c r="FX106" s="70" t="s">
        <v>2451</v>
      </c>
      <c r="FY106" s="70" t="s">
        <v>2451</v>
      </c>
      <c r="FZ106" s="70" t="s">
        <v>2451</v>
      </c>
      <c r="GA106" s="71" t="s">
        <v>2451</v>
      </c>
    </row>
    <row r="107" spans="1:183" s="55" customFormat="1" ht="12.75" customHeight="1" outlineLevel="1">
      <c r="A107" s="54"/>
      <c r="B107" s="753" t="s">
        <v>50</v>
      </c>
      <c r="C107" s="74"/>
      <c r="D107" s="85"/>
      <c r="E107" s="70"/>
      <c r="F107" s="70"/>
      <c r="G107" s="70"/>
      <c r="H107" s="71"/>
      <c r="I107" s="70"/>
      <c r="J107" s="70"/>
      <c r="K107" s="70"/>
      <c r="L107" s="70"/>
      <c r="M107" s="73"/>
      <c r="N107" s="70"/>
      <c r="O107" s="70"/>
      <c r="P107" s="70"/>
      <c r="Q107" s="70"/>
      <c r="R107" s="73"/>
      <c r="S107" s="70"/>
      <c r="T107" s="70"/>
      <c r="U107" s="70"/>
      <c r="V107" s="70"/>
      <c r="W107" s="73"/>
      <c r="X107" s="70"/>
      <c r="Y107" s="70"/>
      <c r="Z107" s="70"/>
      <c r="AA107" s="70"/>
      <c r="AB107" s="73"/>
      <c r="AC107" s="70"/>
      <c r="AD107" s="70"/>
      <c r="AE107" s="70"/>
      <c r="AF107" s="70"/>
      <c r="AG107" s="73"/>
      <c r="AH107" s="70"/>
      <c r="AI107" s="70"/>
      <c r="AJ107" s="70"/>
      <c r="AK107" s="70"/>
      <c r="AL107" s="73"/>
      <c r="AM107" s="70"/>
      <c r="AN107" s="70"/>
      <c r="AO107" s="70"/>
      <c r="AP107" s="70"/>
      <c r="AQ107" s="73"/>
      <c r="AR107" s="70"/>
      <c r="AS107" s="70"/>
      <c r="AT107" s="70"/>
      <c r="AU107" s="70"/>
      <c r="AV107" s="73"/>
      <c r="AW107" s="70"/>
      <c r="AX107" s="70"/>
      <c r="AY107" s="70"/>
      <c r="AZ107" s="70"/>
      <c r="BA107" s="73"/>
      <c r="BB107" s="70"/>
      <c r="BC107" s="70"/>
      <c r="BD107" s="70"/>
      <c r="BE107" s="70"/>
      <c r="BF107" s="73"/>
      <c r="BG107" s="70"/>
      <c r="BH107" s="70"/>
      <c r="BI107" s="70"/>
      <c r="BJ107" s="70"/>
      <c r="BK107" s="73"/>
      <c r="BL107" s="70"/>
      <c r="BM107" s="70"/>
      <c r="BN107" s="70"/>
      <c r="BO107" s="70"/>
      <c r="BP107" s="73"/>
      <c r="BQ107" s="70"/>
      <c r="BR107" s="70"/>
      <c r="BS107" s="70"/>
      <c r="BT107" s="70"/>
      <c r="BU107" s="73"/>
      <c r="BV107" s="70"/>
      <c r="BW107" s="70"/>
      <c r="BX107" s="70"/>
      <c r="BY107" s="70"/>
      <c r="BZ107" s="73"/>
      <c r="CA107" s="70"/>
      <c r="CB107" s="70"/>
      <c r="CC107" s="70"/>
      <c r="CD107" s="70"/>
      <c r="CE107" s="73"/>
      <c r="CF107" s="70"/>
      <c r="CG107" s="70"/>
      <c r="CH107" s="70"/>
      <c r="CI107" s="70"/>
      <c r="CJ107" s="73"/>
      <c r="CK107" s="70"/>
      <c r="CL107" s="70"/>
      <c r="CM107" s="70"/>
      <c r="CN107" s="70"/>
      <c r="CO107" s="73"/>
      <c r="CP107" s="70"/>
      <c r="CQ107" s="70"/>
      <c r="CR107" s="70"/>
      <c r="CS107" s="70"/>
      <c r="CT107" s="73"/>
      <c r="CU107" s="70"/>
      <c r="CV107" s="70"/>
      <c r="CW107" s="70"/>
      <c r="CX107" s="70"/>
      <c r="CY107" s="73"/>
      <c r="CZ107" s="70"/>
      <c r="DA107" s="70"/>
      <c r="DB107" s="70"/>
      <c r="DC107" s="70"/>
      <c r="DD107" s="73"/>
      <c r="DE107" s="70"/>
      <c r="DF107" s="70"/>
      <c r="DG107" s="70"/>
      <c r="DH107" s="70"/>
      <c r="DI107" s="73"/>
      <c r="DJ107" s="70"/>
      <c r="DK107" s="70"/>
      <c r="DL107" s="70"/>
      <c r="DM107" s="70"/>
      <c r="DN107" s="73"/>
      <c r="DO107" s="70"/>
      <c r="DP107" s="70"/>
      <c r="DQ107" s="70"/>
      <c r="DR107" s="70"/>
      <c r="DS107" s="73"/>
      <c r="DT107" s="70"/>
      <c r="DU107" s="70"/>
      <c r="DV107" s="70"/>
      <c r="DW107" s="70"/>
      <c r="DX107" s="73"/>
      <c r="DY107" s="70" t="s">
        <v>2451</v>
      </c>
      <c r="DZ107" s="70">
        <v>-0.11792452830188682</v>
      </c>
      <c r="EA107" s="70" t="s">
        <v>2451</v>
      </c>
      <c r="EB107" s="70" t="s">
        <v>2451</v>
      </c>
      <c r="EC107" s="73"/>
      <c r="ED107" s="70" t="s">
        <v>2451</v>
      </c>
      <c r="EE107" s="70">
        <v>-2.5221312844496357E-2</v>
      </c>
      <c r="EF107" s="70">
        <v>-0.65884167237834135</v>
      </c>
      <c r="EG107" s="70">
        <v>-12.478653942742341</v>
      </c>
      <c r="EH107" s="73"/>
      <c r="EI107" s="70">
        <v>-1.2735626148595431</v>
      </c>
      <c r="EJ107" s="70">
        <v>0.35828534868841966</v>
      </c>
      <c r="EK107" s="70">
        <v>-1.0063589260480452</v>
      </c>
      <c r="EL107" s="70">
        <v>429.07407407407408</v>
      </c>
      <c r="EM107" s="73"/>
      <c r="EN107" s="70">
        <v>-1.3891663796073028</v>
      </c>
      <c r="EO107" s="70">
        <v>-5.6649701261341057E-2</v>
      </c>
      <c r="EP107" s="70">
        <v>-0.99413558526859025</v>
      </c>
      <c r="EQ107" s="70">
        <v>-569.48</v>
      </c>
      <c r="ER107" s="73"/>
      <c r="ES107" s="70" t="s">
        <v>2451</v>
      </c>
      <c r="ET107" s="70" t="s">
        <v>2451</v>
      </c>
      <c r="EU107" s="70" t="s">
        <v>2451</v>
      </c>
      <c r="EV107" s="70" t="s">
        <v>2451</v>
      </c>
      <c r="EW107" s="73"/>
      <c r="EX107" s="70" t="s">
        <v>2451</v>
      </c>
      <c r="EY107" s="70" t="s">
        <v>2451</v>
      </c>
      <c r="EZ107" s="70">
        <v>-0.9255625327053898</v>
      </c>
      <c r="FA107" s="70">
        <v>-38.185746924428827</v>
      </c>
      <c r="FB107" s="73"/>
      <c r="FC107" s="70" t="s">
        <v>2451</v>
      </c>
      <c r="FD107" s="70" t="s">
        <v>2451</v>
      </c>
      <c r="FE107" s="70" t="s">
        <v>2451</v>
      </c>
      <c r="FF107" s="70" t="s">
        <v>2451</v>
      </c>
      <c r="FG107" s="73"/>
      <c r="FH107" s="70" t="s">
        <v>2451</v>
      </c>
      <c r="FI107" s="70" t="s">
        <v>2451</v>
      </c>
      <c r="FJ107" s="70" t="s">
        <v>2451</v>
      </c>
      <c r="FK107" s="70" t="s">
        <v>2451</v>
      </c>
      <c r="FL107" s="73"/>
      <c r="FM107" s="70" t="s">
        <v>2451</v>
      </c>
      <c r="FN107" s="70" t="s">
        <v>2451</v>
      </c>
      <c r="FO107" s="70" t="s">
        <v>2451</v>
      </c>
      <c r="FP107" s="70" t="s">
        <v>2451</v>
      </c>
      <c r="FQ107" s="73"/>
      <c r="FR107" s="70" t="s">
        <v>2451</v>
      </c>
      <c r="FS107" s="70" t="s">
        <v>2451</v>
      </c>
      <c r="FT107" s="70" t="s">
        <v>2451</v>
      </c>
      <c r="FU107" s="70" t="s">
        <v>2451</v>
      </c>
      <c r="FV107" s="73"/>
      <c r="FW107" s="70" t="s">
        <v>2451</v>
      </c>
      <c r="FX107" s="70" t="s">
        <v>2451</v>
      </c>
      <c r="FY107" s="70" t="s">
        <v>2451</v>
      </c>
      <c r="FZ107" s="70" t="s">
        <v>2451</v>
      </c>
      <c r="GA107" s="73"/>
    </row>
    <row r="108" spans="1:183" s="55" customFormat="1" ht="12.75" customHeight="1" outlineLevel="1">
      <c r="A108" s="54"/>
      <c r="B108" s="1545"/>
      <c r="C108" s="74"/>
      <c r="D108" s="87"/>
      <c r="E108" s="70"/>
      <c r="F108" s="70"/>
      <c r="G108" s="70"/>
      <c r="H108" s="88"/>
      <c r="I108" s="70"/>
      <c r="J108" s="70"/>
      <c r="K108" s="70"/>
      <c r="L108" s="70"/>
      <c r="M108" s="73"/>
      <c r="N108" s="70"/>
      <c r="O108" s="70"/>
      <c r="P108" s="70"/>
      <c r="Q108" s="70"/>
      <c r="R108" s="73"/>
      <c r="S108" s="70"/>
      <c r="T108" s="70"/>
      <c r="U108" s="70"/>
      <c r="V108" s="70"/>
      <c r="W108" s="73"/>
      <c r="X108" s="70"/>
      <c r="Y108" s="70"/>
      <c r="Z108" s="70"/>
      <c r="AA108" s="70"/>
      <c r="AB108" s="73"/>
      <c r="AC108" s="70"/>
      <c r="AD108" s="70"/>
      <c r="AE108" s="70"/>
      <c r="AF108" s="70"/>
      <c r="AG108" s="73"/>
      <c r="AH108" s="70"/>
      <c r="AI108" s="70"/>
      <c r="AJ108" s="70"/>
      <c r="AK108" s="70"/>
      <c r="AL108" s="73"/>
      <c r="AM108" s="70"/>
      <c r="AN108" s="70"/>
      <c r="AO108" s="70"/>
      <c r="AP108" s="70"/>
      <c r="AQ108" s="73"/>
      <c r="AR108" s="70"/>
      <c r="AS108" s="70"/>
      <c r="AT108" s="70"/>
      <c r="AU108" s="70"/>
      <c r="AV108" s="73"/>
      <c r="AW108" s="70"/>
      <c r="AX108" s="70"/>
      <c r="AY108" s="70"/>
      <c r="AZ108" s="70"/>
      <c r="BA108" s="73"/>
      <c r="BB108" s="70"/>
      <c r="BC108" s="70"/>
      <c r="BD108" s="70"/>
      <c r="BE108" s="70"/>
      <c r="BF108" s="73"/>
      <c r="BG108" s="70"/>
      <c r="BH108" s="70"/>
      <c r="BI108" s="70"/>
      <c r="BJ108" s="70"/>
      <c r="BK108" s="73"/>
      <c r="BL108" s="70"/>
      <c r="BM108" s="70"/>
      <c r="BN108" s="70"/>
      <c r="BO108" s="70"/>
      <c r="BP108" s="73"/>
      <c r="BQ108" s="70"/>
      <c r="BR108" s="70"/>
      <c r="BS108" s="70"/>
      <c r="BT108" s="70"/>
      <c r="BU108" s="73"/>
      <c r="BV108" s="70"/>
      <c r="BW108" s="70"/>
      <c r="BX108" s="70"/>
      <c r="BY108" s="70"/>
      <c r="BZ108" s="73"/>
      <c r="CA108" s="70"/>
      <c r="CB108" s="70"/>
      <c r="CC108" s="70"/>
      <c r="CD108" s="70"/>
      <c r="CE108" s="73"/>
      <c r="CF108" s="70"/>
      <c r="CG108" s="70"/>
      <c r="CH108" s="70"/>
      <c r="CI108" s="70"/>
      <c r="CJ108" s="73"/>
      <c r="CK108" s="70"/>
      <c r="CL108" s="70"/>
      <c r="CM108" s="70"/>
      <c r="CN108" s="70"/>
      <c r="CO108" s="73"/>
      <c r="CP108" s="70"/>
      <c r="CQ108" s="70"/>
      <c r="CR108" s="70"/>
      <c r="CS108" s="70"/>
      <c r="CT108" s="73"/>
      <c r="CU108" s="70"/>
      <c r="CV108" s="70"/>
      <c r="CW108" s="70"/>
      <c r="CX108" s="70"/>
      <c r="CY108" s="73"/>
      <c r="CZ108" s="70"/>
      <c r="DA108" s="70"/>
      <c r="DB108" s="70"/>
      <c r="DC108" s="70"/>
      <c r="DD108" s="73"/>
      <c r="DE108" s="70"/>
      <c r="DF108" s="70"/>
      <c r="DG108" s="70"/>
      <c r="DH108" s="70"/>
      <c r="DI108" s="73"/>
      <c r="DJ108" s="70"/>
      <c r="DK108" s="70"/>
      <c r="DL108" s="70"/>
      <c r="DM108" s="70"/>
      <c r="DN108" s="73"/>
      <c r="DO108" s="70"/>
      <c r="DP108" s="70"/>
      <c r="DQ108" s="70"/>
      <c r="DR108" s="70"/>
      <c r="DS108" s="73"/>
      <c r="DT108" s="70"/>
      <c r="DU108" s="70"/>
      <c r="DV108" s="70"/>
      <c r="DW108" s="70"/>
      <c r="DX108" s="73"/>
      <c r="DY108" s="70"/>
      <c r="DZ108" s="70"/>
      <c r="EA108" s="70"/>
      <c r="EB108" s="70"/>
      <c r="EC108" s="73"/>
      <c r="ED108" s="70"/>
      <c r="EE108" s="70"/>
      <c r="EF108" s="70"/>
      <c r="EG108" s="70"/>
      <c r="EH108" s="73"/>
      <c r="EI108" s="70"/>
      <c r="EJ108" s="70"/>
      <c r="EK108" s="70"/>
      <c r="EL108" s="70"/>
      <c r="EM108" s="73"/>
      <c r="EN108" s="70"/>
      <c r="EO108" s="70"/>
      <c r="EP108" s="70"/>
      <c r="EQ108" s="70"/>
      <c r="ER108" s="73"/>
      <c r="ES108" s="70"/>
      <c r="ET108" s="70"/>
      <c r="EU108" s="70"/>
      <c r="EV108" s="70"/>
      <c r="EW108" s="73"/>
      <c r="EX108" s="70"/>
      <c r="EY108" s="70"/>
      <c r="EZ108" s="70"/>
      <c r="FA108" s="70"/>
      <c r="FB108" s="73"/>
      <c r="FC108" s="70"/>
      <c r="FD108" s="70"/>
      <c r="FE108" s="70"/>
      <c r="FF108" s="70"/>
      <c r="FG108" s="73"/>
      <c r="FH108" s="70"/>
      <c r="FI108" s="70"/>
      <c r="FJ108" s="70"/>
      <c r="FK108" s="70"/>
      <c r="FL108" s="73"/>
      <c r="FM108" s="70"/>
      <c r="FN108" s="70"/>
      <c r="FO108" s="70"/>
      <c r="FP108" s="70"/>
      <c r="FQ108" s="73"/>
      <c r="FR108" s="70"/>
      <c r="FS108" s="70"/>
      <c r="FT108" s="70"/>
      <c r="FU108" s="70"/>
      <c r="FV108" s="73"/>
      <c r="FW108" s="70"/>
      <c r="FX108" s="70"/>
      <c r="FY108" s="70"/>
      <c r="FZ108" s="70"/>
      <c r="GA108" s="73"/>
    </row>
    <row r="109" spans="1:183" s="1558" customFormat="1" ht="12.75" customHeight="1" outlineLevel="1">
      <c r="A109" s="1554"/>
      <c r="B109" s="1549" t="s">
        <v>59</v>
      </c>
      <c r="C109" s="1555"/>
      <c r="D109" s="1556"/>
      <c r="E109" s="1556"/>
      <c r="F109" s="1556"/>
      <c r="G109" s="1556"/>
      <c r="H109" s="1557"/>
      <c r="I109" s="1556"/>
      <c r="J109" s="1556"/>
      <c r="K109" s="1556"/>
      <c r="L109" s="1556"/>
      <c r="M109" s="1557"/>
      <c r="N109" s="1556"/>
      <c r="O109" s="1556"/>
      <c r="P109" s="1556"/>
      <c r="Q109" s="1556"/>
      <c r="R109" s="1557"/>
      <c r="S109" s="1556"/>
      <c r="T109" s="1556"/>
      <c r="U109" s="1556"/>
      <c r="V109" s="1556"/>
      <c r="W109" s="1557"/>
      <c r="X109" s="1556"/>
      <c r="Y109" s="1556"/>
      <c r="Z109" s="1556"/>
      <c r="AA109" s="1556"/>
      <c r="AB109" s="1557"/>
      <c r="AC109" s="1556"/>
      <c r="AD109" s="1556"/>
      <c r="AE109" s="1556"/>
      <c r="AF109" s="1556"/>
      <c r="AG109" s="1557"/>
      <c r="AH109" s="1556"/>
      <c r="AI109" s="1556"/>
      <c r="AJ109" s="1556"/>
      <c r="AK109" s="1556"/>
      <c r="AL109" s="1557"/>
      <c r="AM109" s="1556"/>
      <c r="AN109" s="1556"/>
      <c r="AO109" s="1556"/>
      <c r="AP109" s="1556"/>
      <c r="AQ109" s="1557"/>
      <c r="AR109" s="1556"/>
      <c r="AS109" s="1556"/>
      <c r="AT109" s="1556"/>
      <c r="AU109" s="1556"/>
      <c r="AV109" s="1557"/>
      <c r="AW109" s="1556"/>
      <c r="AX109" s="1556"/>
      <c r="AY109" s="1556"/>
      <c r="AZ109" s="1556"/>
      <c r="BA109" s="1557"/>
      <c r="BB109" s="1556"/>
      <c r="BC109" s="1556"/>
      <c r="BD109" s="1556"/>
      <c r="BE109" s="1556"/>
      <c r="BF109" s="1557"/>
      <c r="BG109" s="1556"/>
      <c r="BH109" s="1556"/>
      <c r="BI109" s="1556"/>
      <c r="BJ109" s="1556"/>
      <c r="BK109" s="1557"/>
      <c r="BL109" s="1556"/>
      <c r="BM109" s="1556"/>
      <c r="BN109" s="1556"/>
      <c r="BO109" s="1556"/>
      <c r="BP109" s="1557"/>
      <c r="BQ109" s="1556"/>
      <c r="BR109" s="1556"/>
      <c r="BS109" s="1556"/>
      <c r="BT109" s="1556"/>
      <c r="BU109" s="1557"/>
      <c r="BV109" s="1556"/>
      <c r="BW109" s="1556"/>
      <c r="BX109" s="1556"/>
      <c r="BY109" s="1556"/>
      <c r="BZ109" s="1557"/>
      <c r="CA109" s="1556"/>
      <c r="CB109" s="1556"/>
      <c r="CC109" s="1556"/>
      <c r="CD109" s="1556"/>
      <c r="CE109" s="1557"/>
      <c r="CF109" s="1556"/>
      <c r="CG109" s="1556"/>
      <c r="CH109" s="1556"/>
      <c r="CI109" s="1556"/>
      <c r="CJ109" s="1557"/>
      <c r="CK109" s="1556"/>
      <c r="CL109" s="1556"/>
      <c r="CM109" s="1556"/>
      <c r="CN109" s="1556"/>
      <c r="CO109" s="1557"/>
      <c r="CP109" s="1556"/>
      <c r="CQ109" s="1556"/>
      <c r="CR109" s="1556"/>
      <c r="CS109" s="1556"/>
      <c r="CT109" s="1557"/>
      <c r="CU109" s="1556"/>
      <c r="CV109" s="1556"/>
      <c r="CW109" s="1556"/>
      <c r="CX109" s="1556"/>
      <c r="CY109" s="1557"/>
      <c r="CZ109" s="1556"/>
      <c r="DA109" s="1556"/>
      <c r="DB109" s="1556"/>
      <c r="DC109" s="1556"/>
      <c r="DD109" s="1557"/>
      <c r="DE109" s="1556"/>
      <c r="DF109" s="1556"/>
      <c r="DG109" s="1556"/>
      <c r="DH109" s="1556"/>
      <c r="DI109" s="1557"/>
      <c r="DJ109" s="1556"/>
      <c r="DK109" s="1556"/>
      <c r="DL109" s="1556"/>
      <c r="DM109" s="1556"/>
      <c r="DN109" s="1557"/>
      <c r="DO109" s="1556"/>
      <c r="DP109" s="1556"/>
      <c r="DQ109" s="1556"/>
      <c r="DR109" s="1556"/>
      <c r="DS109" s="1557"/>
      <c r="DT109" s="1556"/>
      <c r="DU109" s="1556"/>
      <c r="DV109" s="1556"/>
      <c r="DW109" s="1556"/>
      <c r="DX109" s="1557"/>
      <c r="DY109" s="1556">
        <v>34026</v>
      </c>
      <c r="DZ109" s="1556">
        <v>-2805</v>
      </c>
      <c r="EA109" s="1556">
        <v>-824</v>
      </c>
      <c r="EB109" s="1556">
        <v>8783</v>
      </c>
      <c r="EC109" s="1557">
        <v>39180</v>
      </c>
      <c r="ED109" s="1556">
        <v>-2875</v>
      </c>
      <c r="EE109" s="1556">
        <v>-2918</v>
      </c>
      <c r="EF109" s="1556">
        <v>-673</v>
      </c>
      <c r="EG109" s="1556">
        <v>11427</v>
      </c>
      <c r="EH109" s="1557">
        <v>4961</v>
      </c>
      <c r="EI109" s="1556">
        <v>-3126</v>
      </c>
      <c r="EJ109" s="1556">
        <v>-4246</v>
      </c>
      <c r="EK109" s="1556">
        <v>27</v>
      </c>
      <c r="EL109" s="1556">
        <v>11612</v>
      </c>
      <c r="EM109" s="1557">
        <v>3980</v>
      </c>
      <c r="EN109" s="1556">
        <v>-4518.8550000000032</v>
      </c>
      <c r="EO109" s="1556">
        <v>-4264.1449999999968</v>
      </c>
      <c r="EP109" s="1556">
        <v>-24.167999999997846</v>
      </c>
      <c r="EQ109" s="1556">
        <v>14211.792999999998</v>
      </c>
      <c r="ER109" s="1557">
        <v>5427</v>
      </c>
      <c r="ES109" s="1556">
        <v>-4624.2929999999978</v>
      </c>
      <c r="ET109" s="1556">
        <v>-3153.476999999999</v>
      </c>
      <c r="EU109" s="1556">
        <v>-1200.8550000000032</v>
      </c>
      <c r="EV109" s="1556">
        <v>15349.555</v>
      </c>
      <c r="EW109" s="1557">
        <v>6635.5999999999985</v>
      </c>
      <c r="EX109" s="1556">
        <v>-4494.43</v>
      </c>
      <c r="EY109" s="1556">
        <v>-7643.4100000000035</v>
      </c>
      <c r="EZ109" s="1556">
        <v>-569.1449999999968</v>
      </c>
      <c r="FA109" s="1556">
        <v>16194.457000000002</v>
      </c>
      <c r="FB109" s="1557">
        <v>4041.864999999998</v>
      </c>
      <c r="FC109" s="1556">
        <v>-3769.0270000000019</v>
      </c>
      <c r="FD109" s="1556">
        <v>-6458.75</v>
      </c>
      <c r="FE109" s="1556">
        <v>-896.75</v>
      </c>
      <c r="FF109" s="1556">
        <v>18572.75</v>
      </c>
      <c r="FG109" s="1557">
        <v>4201.0350000000035</v>
      </c>
      <c r="FH109" s="1556">
        <v>-2926.75</v>
      </c>
      <c r="FI109" s="1556">
        <v>-6617</v>
      </c>
      <c r="FJ109" s="1556">
        <v>-1171.5</v>
      </c>
      <c r="FK109" s="1556">
        <v>20977</v>
      </c>
      <c r="FL109" s="1557">
        <v>-1817.1999999999971</v>
      </c>
      <c r="FM109" s="1556" t="s">
        <v>2451</v>
      </c>
      <c r="FN109" s="1556" t="s">
        <v>2451</v>
      </c>
      <c r="FO109" s="1556" t="s">
        <v>2451</v>
      </c>
      <c r="FP109" s="1556" t="s">
        <v>2451</v>
      </c>
      <c r="FQ109" s="1557" t="s">
        <v>2451</v>
      </c>
      <c r="FR109" s="1556" t="s">
        <v>2451</v>
      </c>
      <c r="FS109" s="1556" t="s">
        <v>2451</v>
      </c>
      <c r="FT109" s="1556" t="s">
        <v>2451</v>
      </c>
      <c r="FU109" s="1556" t="s">
        <v>2451</v>
      </c>
      <c r="FV109" s="1557" t="s">
        <v>2451</v>
      </c>
      <c r="FW109" s="1556" t="s">
        <v>2451</v>
      </c>
      <c r="FX109" s="1556" t="s">
        <v>2451</v>
      </c>
      <c r="FY109" s="1556" t="s">
        <v>2451</v>
      </c>
      <c r="FZ109" s="1556" t="s">
        <v>2451</v>
      </c>
      <c r="GA109" s="1557" t="s">
        <v>2451</v>
      </c>
    </row>
    <row r="110" spans="1:183" ht="12.75" customHeight="1" outlineLevel="1">
      <c r="B110" s="753" t="s">
        <v>49</v>
      </c>
      <c r="D110" s="85"/>
      <c r="E110" s="85"/>
      <c r="F110" s="85"/>
      <c r="G110" s="85"/>
      <c r="H110" s="71"/>
      <c r="I110" s="70"/>
      <c r="J110" s="70"/>
      <c r="K110" s="70"/>
      <c r="L110" s="70"/>
      <c r="M110" s="71"/>
      <c r="N110" s="70"/>
      <c r="O110" s="70"/>
      <c r="P110" s="70"/>
      <c r="Q110" s="70"/>
      <c r="R110" s="71"/>
      <c r="S110" s="70"/>
      <c r="T110" s="70"/>
      <c r="U110" s="70"/>
      <c r="V110" s="70"/>
      <c r="W110" s="71"/>
      <c r="X110" s="70"/>
      <c r="Y110" s="70"/>
      <c r="Z110" s="70"/>
      <c r="AA110" s="70"/>
      <c r="AB110" s="71"/>
      <c r="AC110" s="70"/>
      <c r="AD110" s="70"/>
      <c r="AE110" s="70"/>
      <c r="AF110" s="70"/>
      <c r="AG110" s="71"/>
      <c r="AH110" s="70"/>
      <c r="AI110" s="70"/>
      <c r="AJ110" s="70"/>
      <c r="AK110" s="70"/>
      <c r="AL110" s="71"/>
      <c r="AM110" s="70"/>
      <c r="AN110" s="70"/>
      <c r="AO110" s="70"/>
      <c r="AP110" s="70"/>
      <c r="AQ110" s="71"/>
      <c r="AR110" s="70"/>
      <c r="AS110" s="70"/>
      <c r="AT110" s="70"/>
      <c r="AU110" s="70"/>
      <c r="AV110" s="71"/>
      <c r="AW110" s="70"/>
      <c r="AX110" s="70"/>
      <c r="AY110" s="70"/>
      <c r="AZ110" s="70"/>
      <c r="BA110" s="71"/>
      <c r="BB110" s="70"/>
      <c r="BC110" s="70"/>
      <c r="BD110" s="70"/>
      <c r="BE110" s="70"/>
      <c r="BF110" s="71"/>
      <c r="BG110" s="70"/>
      <c r="BH110" s="70"/>
      <c r="BI110" s="70"/>
      <c r="BJ110" s="70"/>
      <c r="BK110" s="71"/>
      <c r="BL110" s="70"/>
      <c r="BM110" s="70"/>
      <c r="BN110" s="70"/>
      <c r="BO110" s="70"/>
      <c r="BP110" s="71"/>
      <c r="BQ110" s="70"/>
      <c r="BR110" s="70"/>
      <c r="BS110" s="70"/>
      <c r="BT110" s="70"/>
      <c r="BU110" s="71"/>
      <c r="BV110" s="70"/>
      <c r="BW110" s="70"/>
      <c r="BX110" s="70"/>
      <c r="BY110" s="70"/>
      <c r="BZ110" s="71"/>
      <c r="CA110" s="70"/>
      <c r="CB110" s="70"/>
      <c r="CC110" s="70"/>
      <c r="CD110" s="70"/>
      <c r="CE110" s="71"/>
      <c r="CF110" s="70"/>
      <c r="CG110" s="70"/>
      <c r="CH110" s="70"/>
      <c r="CI110" s="70"/>
      <c r="CJ110" s="71"/>
      <c r="CK110" s="70"/>
      <c r="CL110" s="70"/>
      <c r="CM110" s="70"/>
      <c r="CN110" s="70"/>
      <c r="CO110" s="71"/>
      <c r="CP110" s="70"/>
      <c r="CQ110" s="70"/>
      <c r="CR110" s="70"/>
      <c r="CS110" s="70"/>
      <c r="CT110" s="71"/>
      <c r="CU110" s="70"/>
      <c r="CV110" s="70"/>
      <c r="CW110" s="70"/>
      <c r="CX110" s="70"/>
      <c r="CY110" s="71"/>
      <c r="CZ110" s="70"/>
      <c r="DA110" s="70"/>
      <c r="DB110" s="70"/>
      <c r="DC110" s="70"/>
      <c r="DD110" s="71"/>
      <c r="DE110" s="70"/>
      <c r="DF110" s="70"/>
      <c r="DG110" s="70"/>
      <c r="DH110" s="70"/>
      <c r="DI110" s="71"/>
      <c r="DJ110" s="70"/>
      <c r="DK110" s="70"/>
      <c r="DL110" s="70"/>
      <c r="DM110" s="70"/>
      <c r="DN110" s="71"/>
      <c r="DO110" s="70"/>
      <c r="DP110" s="70"/>
      <c r="DQ110" s="70"/>
      <c r="DR110" s="70"/>
      <c r="DS110" s="71"/>
      <c r="DT110" s="70"/>
      <c r="DU110" s="70"/>
      <c r="DV110" s="70"/>
      <c r="DW110" s="70"/>
      <c r="DX110" s="71"/>
      <c r="DY110" s="70" t="s">
        <v>2451</v>
      </c>
      <c r="DZ110" s="70" t="s">
        <v>2451</v>
      </c>
      <c r="EA110" s="70" t="s">
        <v>2451</v>
      </c>
      <c r="EB110" s="70" t="s">
        <v>2451</v>
      </c>
      <c r="EC110" s="71" t="s">
        <v>2451</v>
      </c>
      <c r="ED110" s="70">
        <v>-1.0844942103097632</v>
      </c>
      <c r="EE110" s="70">
        <v>4.0285204991087342E-2</v>
      </c>
      <c r="EF110" s="70">
        <v>-0.18325242718446599</v>
      </c>
      <c r="EG110" s="70">
        <v>0.30103609245132645</v>
      </c>
      <c r="EH110" s="71">
        <v>-0.87337927514037772</v>
      </c>
      <c r="EI110" s="70">
        <v>8.730434782608687E-2</v>
      </c>
      <c r="EJ110" s="70">
        <v>0.455106237148732</v>
      </c>
      <c r="EK110" s="70">
        <v>-1.0401188707280833</v>
      </c>
      <c r="EL110" s="70">
        <v>1.6189726087336931E-2</v>
      </c>
      <c r="EM110" s="71">
        <v>-0.19774239064704702</v>
      </c>
      <c r="EN110" s="70">
        <v>0.44557101727447312</v>
      </c>
      <c r="EO110" s="70">
        <v>4.2734338200651756E-3</v>
      </c>
      <c r="EP110" s="70">
        <v>-1.8951111111110315</v>
      </c>
      <c r="EQ110" s="70">
        <v>0.22388847743713391</v>
      </c>
      <c r="ER110" s="71">
        <v>0.36356783919597979</v>
      </c>
      <c r="ES110" s="70">
        <v>2.3332901808089668E-2</v>
      </c>
      <c r="ET110" s="70">
        <v>-0.26046675242047324</v>
      </c>
      <c r="EU110" s="70">
        <v>48.687810327710615</v>
      </c>
      <c r="EV110" s="70">
        <v>8.0057597236323552E-2</v>
      </c>
      <c r="EW110" s="71">
        <v>0.22270130827344725</v>
      </c>
      <c r="EX110" s="70">
        <v>-2.8082779356757404E-2</v>
      </c>
      <c r="EY110" s="70">
        <v>1.4238039471986021</v>
      </c>
      <c r="EZ110" s="70">
        <v>-0.52605018924017033</v>
      </c>
      <c r="FA110" s="70">
        <v>5.5044071310210718E-2</v>
      </c>
      <c r="FB110" s="71">
        <v>-0.3908817589969259</v>
      </c>
      <c r="FC110" s="70">
        <v>-0.16140044455025404</v>
      </c>
      <c r="FD110" s="70">
        <v>-0.15499103148987203</v>
      </c>
      <c r="FE110" s="70">
        <v>0.57560902757646115</v>
      </c>
      <c r="FF110" s="70">
        <v>0.14685845903941064</v>
      </c>
      <c r="FG110" s="71">
        <v>3.9380335562916091E-2</v>
      </c>
      <c r="FH110" s="70">
        <v>-0.22347332613961146</v>
      </c>
      <c r="FI110" s="70">
        <v>2.4501645055157839E-2</v>
      </c>
      <c r="FJ110" s="70">
        <v>0.30638416504042376</v>
      </c>
      <c r="FK110" s="70">
        <v>0.12945040449044964</v>
      </c>
      <c r="FL110" s="71">
        <v>-1.4325600715061872</v>
      </c>
      <c r="FM110" s="70" t="s">
        <v>2451</v>
      </c>
      <c r="FN110" s="70" t="s">
        <v>2451</v>
      </c>
      <c r="FO110" s="70" t="s">
        <v>2451</v>
      </c>
      <c r="FP110" s="70" t="s">
        <v>2451</v>
      </c>
      <c r="FQ110" s="71" t="s">
        <v>2451</v>
      </c>
      <c r="FR110" s="70" t="s">
        <v>2451</v>
      </c>
      <c r="FS110" s="70" t="s">
        <v>2451</v>
      </c>
      <c r="FT110" s="70" t="s">
        <v>2451</v>
      </c>
      <c r="FU110" s="70" t="s">
        <v>2451</v>
      </c>
      <c r="FV110" s="71" t="s">
        <v>2451</v>
      </c>
      <c r="FW110" s="70" t="s">
        <v>2451</v>
      </c>
      <c r="FX110" s="70" t="s">
        <v>2451</v>
      </c>
      <c r="FY110" s="70" t="s">
        <v>2451</v>
      </c>
      <c r="FZ110" s="70" t="s">
        <v>2451</v>
      </c>
      <c r="GA110" s="71" t="s">
        <v>2451</v>
      </c>
    </row>
    <row r="111" spans="1:183" ht="12.75" customHeight="1" outlineLevel="1">
      <c r="B111" s="753" t="s">
        <v>50</v>
      </c>
      <c r="D111" s="85"/>
      <c r="E111" s="70"/>
      <c r="F111" s="70"/>
      <c r="G111" s="70"/>
      <c r="H111" s="71"/>
      <c r="I111" s="70"/>
      <c r="J111" s="70"/>
      <c r="K111" s="70"/>
      <c r="L111" s="70"/>
      <c r="M111" s="73"/>
      <c r="N111" s="70"/>
      <c r="O111" s="70"/>
      <c r="P111" s="70"/>
      <c r="Q111" s="70"/>
      <c r="R111" s="73"/>
      <c r="S111" s="70"/>
      <c r="T111" s="70"/>
      <c r="U111" s="70"/>
      <c r="V111" s="70"/>
      <c r="W111" s="73"/>
      <c r="X111" s="70"/>
      <c r="Y111" s="70"/>
      <c r="Z111" s="70"/>
      <c r="AA111" s="70"/>
      <c r="AB111" s="73"/>
      <c r="AC111" s="70"/>
      <c r="AD111" s="70"/>
      <c r="AE111" s="70"/>
      <c r="AF111" s="70"/>
      <c r="AG111" s="73"/>
      <c r="AH111" s="70"/>
      <c r="AI111" s="70"/>
      <c r="AJ111" s="70"/>
      <c r="AK111" s="70"/>
      <c r="AL111" s="73"/>
      <c r="AM111" s="70"/>
      <c r="AN111" s="70"/>
      <c r="AO111" s="70"/>
      <c r="AP111" s="70"/>
      <c r="AQ111" s="73"/>
      <c r="AR111" s="70"/>
      <c r="AS111" s="70"/>
      <c r="AT111" s="70"/>
      <c r="AU111" s="70"/>
      <c r="AV111" s="73"/>
      <c r="AW111" s="70"/>
      <c r="AX111" s="70"/>
      <c r="AY111" s="70"/>
      <c r="AZ111" s="70"/>
      <c r="BA111" s="73"/>
      <c r="BB111" s="70"/>
      <c r="BC111" s="70"/>
      <c r="BD111" s="70"/>
      <c r="BE111" s="70"/>
      <c r="BF111" s="73"/>
      <c r="BG111" s="70"/>
      <c r="BH111" s="70"/>
      <c r="BI111" s="70"/>
      <c r="BJ111" s="70"/>
      <c r="BK111" s="73"/>
      <c r="BL111" s="70"/>
      <c r="BM111" s="70"/>
      <c r="BN111" s="70"/>
      <c r="BO111" s="70"/>
      <c r="BP111" s="73"/>
      <c r="BQ111" s="70"/>
      <c r="BR111" s="70"/>
      <c r="BS111" s="70"/>
      <c r="BT111" s="70"/>
      <c r="BU111" s="73"/>
      <c r="BV111" s="70"/>
      <c r="BW111" s="70"/>
      <c r="BX111" s="70"/>
      <c r="BY111" s="70"/>
      <c r="BZ111" s="73"/>
      <c r="CA111" s="70"/>
      <c r="CB111" s="70"/>
      <c r="CC111" s="70"/>
      <c r="CD111" s="70"/>
      <c r="CE111" s="73"/>
      <c r="CF111" s="70"/>
      <c r="CG111" s="70"/>
      <c r="CH111" s="70"/>
      <c r="CI111" s="70"/>
      <c r="CJ111" s="73"/>
      <c r="CK111" s="70"/>
      <c r="CL111" s="70"/>
      <c r="CM111" s="70"/>
      <c r="CN111" s="70"/>
      <c r="CO111" s="73"/>
      <c r="CP111" s="70"/>
      <c r="CQ111" s="70"/>
      <c r="CR111" s="70"/>
      <c r="CS111" s="70"/>
      <c r="CT111" s="73"/>
      <c r="CU111" s="70"/>
      <c r="CV111" s="70"/>
      <c r="CW111" s="70"/>
      <c r="CX111" s="70"/>
      <c r="CY111" s="73"/>
      <c r="CZ111" s="70"/>
      <c r="DA111" s="70"/>
      <c r="DB111" s="70"/>
      <c r="DC111" s="70"/>
      <c r="DD111" s="73"/>
      <c r="DE111" s="70"/>
      <c r="DF111" s="70"/>
      <c r="DG111" s="70"/>
      <c r="DH111" s="70"/>
      <c r="DI111" s="73"/>
      <c r="DJ111" s="70"/>
      <c r="DK111" s="70"/>
      <c r="DL111" s="70"/>
      <c r="DM111" s="70"/>
      <c r="DN111" s="73"/>
      <c r="DO111" s="70"/>
      <c r="DP111" s="70"/>
      <c r="DQ111" s="70"/>
      <c r="DR111" s="70"/>
      <c r="DS111" s="73"/>
      <c r="DT111" s="70"/>
      <c r="DU111" s="70"/>
      <c r="DV111" s="70"/>
      <c r="DW111" s="70"/>
      <c r="DX111" s="73"/>
      <c r="DY111" s="70" t="s">
        <v>2451</v>
      </c>
      <c r="DZ111" s="70">
        <v>-1.0824369599717862</v>
      </c>
      <c r="EA111" s="70">
        <v>-0.70623885918003571</v>
      </c>
      <c r="EB111" s="70">
        <v>-11.658980582524272</v>
      </c>
      <c r="EC111" s="73"/>
      <c r="ED111" s="70">
        <v>-1.3273369008311511</v>
      </c>
      <c r="EE111" s="70">
        <v>1.4956521739130535E-2</v>
      </c>
      <c r="EF111" s="70">
        <v>-0.76936257710760791</v>
      </c>
      <c r="EG111" s="70">
        <v>-17.979197622585438</v>
      </c>
      <c r="EH111" s="73"/>
      <c r="EI111" s="70">
        <v>-1.2735626148595431</v>
      </c>
      <c r="EJ111" s="70">
        <v>0.35828534868841966</v>
      </c>
      <c r="EK111" s="70">
        <v>-1.0063589260480452</v>
      </c>
      <c r="EL111" s="70">
        <v>429.07407407407408</v>
      </c>
      <c r="EM111" s="73"/>
      <c r="EN111" s="70">
        <v>-1.3891538925249745</v>
      </c>
      <c r="EO111" s="70">
        <v>-5.6366048479096209E-2</v>
      </c>
      <c r="EP111" s="70">
        <v>-0.99433227528613644</v>
      </c>
      <c r="EQ111" s="70">
        <v>-589.04174942077395</v>
      </c>
      <c r="ER111" s="73"/>
      <c r="ES111" s="70">
        <v>-1.3253842073269713</v>
      </c>
      <c r="ET111" s="70">
        <v>-0.31806289091110784</v>
      </c>
      <c r="EU111" s="70">
        <v>-0.61919652497861777</v>
      </c>
      <c r="EV111" s="70">
        <v>-13.782188524009943</v>
      </c>
      <c r="EW111" s="73"/>
      <c r="EX111" s="70">
        <v>-1.2928052311614247</v>
      </c>
      <c r="EY111" s="70">
        <v>0.70064057066190877</v>
      </c>
      <c r="EZ111" s="70">
        <v>-0.9255378162364708</v>
      </c>
      <c r="FA111" s="70">
        <v>-29.454009083801303</v>
      </c>
      <c r="FB111" s="73"/>
      <c r="FC111" s="70">
        <v>-1.2327356205891931</v>
      </c>
      <c r="FD111" s="70">
        <v>0.71363855976622004</v>
      </c>
      <c r="FE111" s="70">
        <v>-0.86115734468743954</v>
      </c>
      <c r="FF111" s="70">
        <v>-21.71117925843323</v>
      </c>
      <c r="FG111" s="73"/>
      <c r="FH111" s="70">
        <v>-1.1575830181314022</v>
      </c>
      <c r="FI111" s="70">
        <v>1.2608695652173911</v>
      </c>
      <c r="FJ111" s="70">
        <v>-0.82295602236663146</v>
      </c>
      <c r="FK111" s="70">
        <v>-18.906103286384976</v>
      </c>
      <c r="FL111" s="73"/>
      <c r="FM111" s="70" t="s">
        <v>2451</v>
      </c>
      <c r="FN111" s="70" t="s">
        <v>2451</v>
      </c>
      <c r="FO111" s="70" t="s">
        <v>2451</v>
      </c>
      <c r="FP111" s="70" t="s">
        <v>2451</v>
      </c>
      <c r="FQ111" s="73"/>
      <c r="FR111" s="70" t="s">
        <v>2451</v>
      </c>
      <c r="FS111" s="70" t="s">
        <v>2451</v>
      </c>
      <c r="FT111" s="70" t="s">
        <v>2451</v>
      </c>
      <c r="FU111" s="70" t="s">
        <v>2451</v>
      </c>
      <c r="FV111" s="73"/>
      <c r="FW111" s="70" t="s">
        <v>2451</v>
      </c>
      <c r="FX111" s="70" t="s">
        <v>2451</v>
      </c>
      <c r="FY111" s="70" t="s">
        <v>2451</v>
      </c>
      <c r="FZ111" s="70" t="s">
        <v>2451</v>
      </c>
      <c r="GA111" s="73"/>
    </row>
    <row r="112" spans="1:183" ht="12.75" customHeight="1" outlineLevel="1">
      <c r="H112" s="71"/>
      <c r="I112" s="70"/>
      <c r="J112" s="70"/>
      <c r="K112" s="70"/>
      <c r="L112" s="70"/>
      <c r="M112" s="71"/>
      <c r="N112" s="70"/>
      <c r="O112" s="70"/>
      <c r="P112" s="70"/>
      <c r="Q112" s="70"/>
      <c r="R112" s="71"/>
      <c r="S112" s="70"/>
      <c r="T112" s="70"/>
      <c r="U112" s="70"/>
      <c r="V112" s="70"/>
      <c r="W112" s="71"/>
      <c r="X112" s="70"/>
      <c r="Y112" s="70"/>
      <c r="Z112" s="70"/>
      <c r="AA112" s="70"/>
      <c r="AB112" s="71"/>
      <c r="AC112" s="70"/>
      <c r="AD112" s="70"/>
      <c r="AE112" s="70"/>
      <c r="AF112" s="70"/>
      <c r="AG112" s="71"/>
      <c r="AH112" s="70"/>
      <c r="AI112" s="70"/>
      <c r="AJ112" s="70"/>
      <c r="AK112" s="70"/>
      <c r="AL112" s="71"/>
      <c r="AM112" s="70"/>
      <c r="AN112" s="70"/>
      <c r="AO112" s="70"/>
      <c r="AP112" s="70"/>
      <c r="AQ112" s="71"/>
      <c r="AR112" s="70"/>
      <c r="AS112" s="70"/>
      <c r="AT112" s="70"/>
      <c r="AU112" s="70"/>
      <c r="AV112" s="71"/>
      <c r="AW112" s="70"/>
      <c r="AX112" s="70"/>
      <c r="AY112" s="70"/>
      <c r="AZ112" s="70"/>
      <c r="BA112" s="71"/>
      <c r="BB112" s="70"/>
      <c r="BC112" s="70"/>
      <c r="BD112" s="70"/>
      <c r="BE112" s="70"/>
      <c r="BF112" s="71"/>
      <c r="BG112" s="70"/>
      <c r="BH112" s="70"/>
      <c r="BI112" s="70"/>
      <c r="BJ112" s="70"/>
      <c r="BK112" s="71"/>
      <c r="BL112" s="70"/>
      <c r="BM112" s="70"/>
      <c r="BN112" s="70"/>
      <c r="BO112" s="70"/>
      <c r="BP112" s="71"/>
      <c r="BQ112" s="70"/>
      <c r="BR112" s="70"/>
      <c r="BS112" s="70"/>
      <c r="BT112" s="70"/>
      <c r="BU112" s="71"/>
      <c r="BV112" s="70"/>
      <c r="BW112" s="70"/>
      <c r="BX112" s="70"/>
      <c r="BY112" s="70"/>
      <c r="BZ112" s="71"/>
      <c r="CA112" s="70"/>
      <c r="CB112" s="70"/>
      <c r="CC112" s="70"/>
      <c r="CD112" s="70"/>
      <c r="CE112" s="71"/>
      <c r="CF112" s="70"/>
      <c r="CG112" s="70"/>
      <c r="CH112" s="70"/>
      <c r="CI112" s="70"/>
      <c r="CJ112" s="71"/>
      <c r="CK112" s="70"/>
      <c r="CL112" s="70"/>
      <c r="CM112" s="70"/>
      <c r="CN112" s="70"/>
      <c r="CO112" s="71"/>
      <c r="CP112" s="70"/>
      <c r="CQ112" s="70"/>
      <c r="CR112" s="70"/>
      <c r="CS112" s="70"/>
      <c r="CT112" s="71"/>
      <c r="CU112" s="70"/>
      <c r="CV112" s="70"/>
      <c r="CW112" s="70"/>
      <c r="CX112" s="70"/>
      <c r="CY112" s="71"/>
      <c r="CZ112" s="70"/>
      <c r="DA112" s="70"/>
      <c r="DB112" s="70"/>
      <c r="DC112" s="70"/>
      <c r="DD112" s="71"/>
      <c r="DE112" s="70"/>
      <c r="DF112" s="70"/>
      <c r="DG112" s="70"/>
      <c r="DH112" s="70"/>
      <c r="DI112" s="71"/>
      <c r="DJ112" s="70"/>
      <c r="DK112" s="70"/>
      <c r="DL112" s="70"/>
      <c r="DM112" s="70"/>
      <c r="DN112" s="71"/>
      <c r="DO112" s="70"/>
      <c r="DP112" s="70"/>
      <c r="DQ112" s="70"/>
      <c r="DR112" s="70"/>
      <c r="DS112" s="71"/>
      <c r="DT112" s="70"/>
      <c r="DU112" s="70"/>
      <c r="DV112" s="70"/>
      <c r="DW112" s="70"/>
      <c r="DX112" s="71"/>
      <c r="DY112" s="70"/>
      <c r="DZ112" s="70"/>
      <c r="EA112" s="70"/>
      <c r="EB112" s="70"/>
      <c r="EC112" s="71"/>
      <c r="ED112" s="70"/>
      <c r="EE112" s="70"/>
      <c r="EF112" s="70"/>
      <c r="EG112" s="70"/>
      <c r="EH112" s="71"/>
      <c r="EI112" s="70"/>
      <c r="EJ112" s="70"/>
      <c r="EK112" s="70"/>
      <c r="EL112" s="70"/>
      <c r="EM112" s="71"/>
      <c r="EN112" s="70"/>
      <c r="EO112" s="70"/>
      <c r="EP112" s="70"/>
      <c r="EQ112" s="70"/>
      <c r="ER112" s="71"/>
      <c r="ES112" s="70"/>
      <c r="ET112" s="70"/>
      <c r="EU112" s="70"/>
      <c r="EV112" s="70"/>
      <c r="EW112" s="71"/>
      <c r="EX112" s="70"/>
      <c r="EY112" s="70"/>
      <c r="EZ112" s="70"/>
      <c r="FA112" s="70"/>
      <c r="FB112" s="71"/>
      <c r="FC112" s="70"/>
      <c r="FD112" s="70"/>
      <c r="FE112" s="70"/>
      <c r="FF112" s="70"/>
      <c r="FG112" s="71"/>
      <c r="FH112" s="70"/>
      <c r="FI112" s="70"/>
      <c r="FJ112" s="70"/>
      <c r="FK112" s="70"/>
      <c r="FL112" s="71"/>
      <c r="FM112" s="70"/>
      <c r="FN112" s="70"/>
      <c r="FO112" s="70"/>
      <c r="FP112" s="70"/>
      <c r="FQ112" s="71"/>
      <c r="FR112" s="70"/>
      <c r="FS112" s="70"/>
      <c r="FT112" s="70"/>
      <c r="FU112" s="70"/>
      <c r="FV112" s="71"/>
      <c r="FW112" s="70"/>
      <c r="FX112" s="70"/>
      <c r="FY112" s="70"/>
      <c r="FZ112" s="70"/>
      <c r="GA112" s="71"/>
    </row>
    <row r="113" spans="1:183" s="1558" customFormat="1" ht="12.75" customHeight="1" outlineLevel="1">
      <c r="A113" s="1401" t="s">
        <v>338</v>
      </c>
      <c r="B113" s="1559" t="s">
        <v>60</v>
      </c>
      <c r="C113" s="1555"/>
      <c r="D113" s="1556"/>
      <c r="E113" s="1556"/>
      <c r="F113" s="1556"/>
      <c r="G113" s="1556"/>
      <c r="H113" s="1557"/>
      <c r="I113" s="1556"/>
      <c r="J113" s="1556"/>
      <c r="K113" s="1556"/>
      <c r="L113" s="1556"/>
      <c r="M113" s="1557"/>
      <c r="N113" s="1556"/>
      <c r="O113" s="1556"/>
      <c r="P113" s="1556"/>
      <c r="Q113" s="1556"/>
      <c r="R113" s="1557"/>
      <c r="S113" s="1556"/>
      <c r="T113" s="1556"/>
      <c r="U113" s="1556"/>
      <c r="V113" s="1556"/>
      <c r="W113" s="1557"/>
      <c r="X113" s="1556"/>
      <c r="Y113" s="1556"/>
      <c r="Z113" s="1556"/>
      <c r="AA113" s="1556"/>
      <c r="AB113" s="1557"/>
      <c r="AC113" s="1556"/>
      <c r="AD113" s="1556"/>
      <c r="AE113" s="1556"/>
      <c r="AF113" s="1556"/>
      <c r="AG113" s="1557"/>
      <c r="AH113" s="1556"/>
      <c r="AI113" s="1556"/>
      <c r="AJ113" s="1556"/>
      <c r="AK113" s="1556"/>
      <c r="AL113" s="1557"/>
      <c r="AM113" s="1556"/>
      <c r="AN113" s="1556"/>
      <c r="AO113" s="1556"/>
      <c r="AP113" s="1556"/>
      <c r="AQ113" s="1557"/>
      <c r="AR113" s="1556"/>
      <c r="AS113" s="1556"/>
      <c r="AT113" s="1556"/>
      <c r="AU113" s="1556"/>
      <c r="AV113" s="1557"/>
      <c r="AW113" s="1556"/>
      <c r="AX113" s="1556"/>
      <c r="AY113" s="1556"/>
      <c r="AZ113" s="1556"/>
      <c r="BA113" s="1557"/>
      <c r="BB113" s="1556"/>
      <c r="BC113" s="1556"/>
      <c r="BD113" s="1556"/>
      <c r="BE113" s="1556"/>
      <c r="BF113" s="1557"/>
      <c r="BG113" s="1556"/>
      <c r="BH113" s="1556"/>
      <c r="BI113" s="1556"/>
      <c r="BJ113" s="1556"/>
      <c r="BK113" s="1557"/>
      <c r="BL113" s="1556"/>
      <c r="BM113" s="1556"/>
      <c r="BN113" s="1556"/>
      <c r="BO113" s="1556"/>
      <c r="BP113" s="1557"/>
      <c r="BQ113" s="1556"/>
      <c r="BR113" s="1556"/>
      <c r="BS113" s="1556"/>
      <c r="BT113" s="1556"/>
      <c r="BU113" s="1557"/>
      <c r="BV113" s="1556"/>
      <c r="BW113" s="1556"/>
      <c r="BX113" s="1556"/>
      <c r="BY113" s="1556"/>
      <c r="BZ113" s="1557"/>
      <c r="CA113" s="1556"/>
      <c r="CB113" s="1556"/>
      <c r="CC113" s="1556"/>
      <c r="CD113" s="1556"/>
      <c r="CE113" s="1557"/>
      <c r="CF113" s="1556"/>
      <c r="CG113" s="1556"/>
      <c r="CH113" s="1556"/>
      <c r="CI113" s="1556"/>
      <c r="CJ113" s="1557"/>
      <c r="CK113" s="1556"/>
      <c r="CL113" s="1556"/>
      <c r="CM113" s="1556"/>
      <c r="CN113" s="1556"/>
      <c r="CO113" s="1557"/>
      <c r="CP113" s="1556"/>
      <c r="CQ113" s="1556"/>
      <c r="CR113" s="1556"/>
      <c r="CS113" s="1556"/>
      <c r="CT113" s="1557"/>
      <c r="CU113" s="1556"/>
      <c r="CV113" s="1556"/>
      <c r="CW113" s="1556"/>
      <c r="CX113" s="1556"/>
      <c r="CY113" s="1557"/>
      <c r="CZ113" s="1556"/>
      <c r="DA113" s="1556"/>
      <c r="DB113" s="1556"/>
      <c r="DC113" s="1556"/>
      <c r="DD113" s="1557"/>
      <c r="DE113" s="1556"/>
      <c r="DF113" s="1556"/>
      <c r="DG113" s="1556"/>
      <c r="DH113" s="1556"/>
      <c r="DI113" s="1557"/>
      <c r="DJ113" s="1556"/>
      <c r="DK113" s="1556"/>
      <c r="DL113" s="1556"/>
      <c r="DM113" s="1556"/>
      <c r="DN113" s="1557"/>
      <c r="DO113" s="1556"/>
      <c r="DP113" s="1556"/>
      <c r="DQ113" s="1556"/>
      <c r="DR113" s="1556"/>
      <c r="DS113" s="1557"/>
      <c r="DT113" s="1556"/>
      <c r="DU113" s="1556"/>
      <c r="DV113" s="1556"/>
      <c r="DW113" s="1556"/>
      <c r="DX113" s="1557"/>
      <c r="DY113" s="1556">
        <v>29875</v>
      </c>
      <c r="DZ113" s="1556">
        <v>34101</v>
      </c>
      <c r="EA113" s="1556" t="s">
        <v>2451</v>
      </c>
      <c r="EB113" s="1556" t="s">
        <v>2451</v>
      </c>
      <c r="EC113" s="1557" t="s">
        <v>2451</v>
      </c>
      <c r="ED113" s="1556">
        <v>34160.5</v>
      </c>
      <c r="EE113" s="1556">
        <v>40158</v>
      </c>
      <c r="EF113" s="1556">
        <v>40710.5</v>
      </c>
      <c r="EG113" s="1556">
        <v>57579</v>
      </c>
      <c r="EH113" s="1557">
        <v>173049</v>
      </c>
      <c r="EI113" s="1556">
        <v>42191</v>
      </c>
      <c r="EJ113" s="1556">
        <v>47482</v>
      </c>
      <c r="EK113" s="1556">
        <v>49387</v>
      </c>
      <c r="EL113" s="1556">
        <v>63477</v>
      </c>
      <c r="EM113" s="1557">
        <v>202537</v>
      </c>
      <c r="EN113" s="1556">
        <v>45603</v>
      </c>
      <c r="EO113" s="1556">
        <v>48484</v>
      </c>
      <c r="EP113" s="1556">
        <v>52832</v>
      </c>
      <c r="EQ113" s="1556">
        <v>70401</v>
      </c>
      <c r="ER113" s="1557">
        <v>217320</v>
      </c>
      <c r="ES113" s="1556" t="s">
        <v>2451</v>
      </c>
      <c r="ET113" s="1556" t="s">
        <v>2451</v>
      </c>
      <c r="EU113" s="1556" t="s">
        <v>2451</v>
      </c>
      <c r="EV113" s="1556" t="s">
        <v>2451</v>
      </c>
      <c r="EW113" s="1557" t="s">
        <v>2451</v>
      </c>
      <c r="EX113" s="1556" t="s">
        <v>2451</v>
      </c>
      <c r="EY113" s="1556">
        <v>61988</v>
      </c>
      <c r="EZ113" s="1556">
        <v>69497</v>
      </c>
      <c r="FA113" s="1556">
        <v>95017</v>
      </c>
      <c r="FB113" s="1557">
        <v>287592</v>
      </c>
      <c r="FC113" s="1556" t="s">
        <v>2451</v>
      </c>
      <c r="FD113" s="1556" t="s">
        <v>2451</v>
      </c>
      <c r="FE113" s="1556" t="s">
        <v>2451</v>
      </c>
      <c r="FF113" s="1556" t="s">
        <v>2451</v>
      </c>
      <c r="FG113" s="1557">
        <v>319817</v>
      </c>
      <c r="FH113" s="1556" t="s">
        <v>2451</v>
      </c>
      <c r="FI113" s="1556" t="s">
        <v>2451</v>
      </c>
      <c r="FJ113" s="1556" t="s">
        <v>2451</v>
      </c>
      <c r="FK113" s="1556" t="s">
        <v>2451</v>
      </c>
      <c r="FL113" s="1557" t="s">
        <v>2451</v>
      </c>
      <c r="FM113" s="1556" t="s">
        <v>2451</v>
      </c>
      <c r="FN113" s="1556" t="s">
        <v>2451</v>
      </c>
      <c r="FO113" s="1556" t="s">
        <v>2451</v>
      </c>
      <c r="FP113" s="1556" t="s">
        <v>2451</v>
      </c>
      <c r="FQ113" s="1557" t="s">
        <v>2451</v>
      </c>
      <c r="FR113" s="1556" t="s">
        <v>2451</v>
      </c>
      <c r="FS113" s="1556" t="s">
        <v>2451</v>
      </c>
      <c r="FT113" s="1556" t="s">
        <v>2451</v>
      </c>
      <c r="FU113" s="1556" t="s">
        <v>2451</v>
      </c>
      <c r="FV113" s="1557" t="s">
        <v>2451</v>
      </c>
      <c r="FW113" s="1556" t="s">
        <v>2451</v>
      </c>
      <c r="FX113" s="1556" t="s">
        <v>2451</v>
      </c>
      <c r="FY113" s="1556" t="s">
        <v>2451</v>
      </c>
      <c r="FZ113" s="1556" t="s">
        <v>2451</v>
      </c>
      <c r="GA113" s="1557" t="s">
        <v>2451</v>
      </c>
    </row>
    <row r="114" spans="1:183" s="72" customFormat="1" ht="12.75" customHeight="1" outlineLevel="1">
      <c r="A114" s="68" t="s">
        <v>339</v>
      </c>
      <c r="B114" s="753" t="s">
        <v>49</v>
      </c>
      <c r="C114" s="69"/>
      <c r="D114" s="85"/>
      <c r="E114" s="85"/>
      <c r="F114" s="85"/>
      <c r="G114" s="85"/>
      <c r="H114" s="71"/>
      <c r="I114" s="70"/>
      <c r="J114" s="70"/>
      <c r="K114" s="70"/>
      <c r="L114" s="70"/>
      <c r="M114" s="71"/>
      <c r="N114" s="70"/>
      <c r="O114" s="70"/>
      <c r="P114" s="70"/>
      <c r="Q114" s="70"/>
      <c r="R114" s="71"/>
      <c r="S114" s="70"/>
      <c r="T114" s="70"/>
      <c r="U114" s="70"/>
      <c r="V114" s="70"/>
      <c r="W114" s="71"/>
      <c r="X114" s="70"/>
      <c r="Y114" s="70"/>
      <c r="Z114" s="70"/>
      <c r="AA114" s="70"/>
      <c r="AB114" s="71"/>
      <c r="AC114" s="70"/>
      <c r="AD114" s="70"/>
      <c r="AE114" s="70"/>
      <c r="AF114" s="70"/>
      <c r="AG114" s="71"/>
      <c r="AH114" s="70"/>
      <c r="AI114" s="70"/>
      <c r="AJ114" s="70"/>
      <c r="AK114" s="70"/>
      <c r="AL114" s="71"/>
      <c r="AM114" s="70"/>
      <c r="AN114" s="70"/>
      <c r="AO114" s="70"/>
      <c r="AP114" s="70"/>
      <c r="AQ114" s="71"/>
      <c r="AR114" s="70"/>
      <c r="AS114" s="70"/>
      <c r="AT114" s="70"/>
      <c r="AU114" s="70"/>
      <c r="AV114" s="71"/>
      <c r="AW114" s="70"/>
      <c r="AX114" s="70"/>
      <c r="AY114" s="70"/>
      <c r="AZ114" s="70"/>
      <c r="BA114" s="71"/>
      <c r="BB114" s="70"/>
      <c r="BC114" s="70"/>
      <c r="BD114" s="70"/>
      <c r="BE114" s="70"/>
      <c r="BF114" s="71"/>
      <c r="BG114" s="70"/>
      <c r="BH114" s="70"/>
      <c r="BI114" s="70"/>
      <c r="BJ114" s="70"/>
      <c r="BK114" s="71"/>
      <c r="BL114" s="70"/>
      <c r="BM114" s="70"/>
      <c r="BN114" s="70"/>
      <c r="BO114" s="70"/>
      <c r="BP114" s="71"/>
      <c r="BQ114" s="70"/>
      <c r="BR114" s="70"/>
      <c r="BS114" s="70"/>
      <c r="BT114" s="70"/>
      <c r="BU114" s="71"/>
      <c r="BV114" s="70"/>
      <c r="BW114" s="70"/>
      <c r="BX114" s="70"/>
      <c r="BY114" s="70"/>
      <c r="BZ114" s="71"/>
      <c r="CA114" s="70"/>
      <c r="CB114" s="70"/>
      <c r="CC114" s="70"/>
      <c r="CD114" s="70"/>
      <c r="CE114" s="71"/>
      <c r="CF114" s="70"/>
      <c r="CG114" s="70"/>
      <c r="CH114" s="70"/>
      <c r="CI114" s="70"/>
      <c r="CJ114" s="71"/>
      <c r="CK114" s="70"/>
      <c r="CL114" s="70"/>
      <c r="CM114" s="70"/>
      <c r="CN114" s="70"/>
      <c r="CO114" s="71"/>
      <c r="CP114" s="70"/>
      <c r="CQ114" s="70"/>
      <c r="CR114" s="70"/>
      <c r="CS114" s="70"/>
      <c r="CT114" s="71"/>
      <c r="CU114" s="70"/>
      <c r="CV114" s="70"/>
      <c r="CW114" s="70"/>
      <c r="CX114" s="70"/>
      <c r="CY114" s="71"/>
      <c r="CZ114" s="70"/>
      <c r="DA114" s="70"/>
      <c r="DB114" s="70"/>
      <c r="DC114" s="70"/>
      <c r="DD114" s="71"/>
      <c r="DE114" s="70"/>
      <c r="DF114" s="70"/>
      <c r="DG114" s="70"/>
      <c r="DH114" s="70"/>
      <c r="DI114" s="71"/>
      <c r="DJ114" s="70"/>
      <c r="DK114" s="70"/>
      <c r="DL114" s="70"/>
      <c r="DM114" s="70"/>
      <c r="DN114" s="71"/>
      <c r="DO114" s="70"/>
      <c r="DP114" s="70"/>
      <c r="DQ114" s="70"/>
      <c r="DR114" s="70"/>
      <c r="DS114" s="71"/>
      <c r="DT114" s="70"/>
      <c r="DU114" s="70"/>
      <c r="DV114" s="70"/>
      <c r="DW114" s="70"/>
      <c r="DX114" s="71"/>
      <c r="DY114" s="70" t="s">
        <v>2451</v>
      </c>
      <c r="DZ114" s="70" t="s">
        <v>2451</v>
      </c>
      <c r="EA114" s="70" t="s">
        <v>2451</v>
      </c>
      <c r="EB114" s="70" t="s">
        <v>2451</v>
      </c>
      <c r="EC114" s="71" t="s">
        <v>2451</v>
      </c>
      <c r="ED114" s="70">
        <v>0.14344769874476992</v>
      </c>
      <c r="EE114" s="70">
        <v>0.17761942465030356</v>
      </c>
      <c r="EF114" s="70" t="s">
        <v>2451</v>
      </c>
      <c r="EG114" s="70" t="s">
        <v>2451</v>
      </c>
      <c r="EH114" s="71" t="s">
        <v>2451</v>
      </c>
      <c r="EI114" s="70">
        <v>0.23508145372579436</v>
      </c>
      <c r="EJ114" s="70">
        <v>0.18237960057771807</v>
      </c>
      <c r="EK114" s="70">
        <v>0.21312683460041026</v>
      </c>
      <c r="EL114" s="70">
        <v>0.10243317876309077</v>
      </c>
      <c r="EM114" s="71">
        <v>0.17040260273101837</v>
      </c>
      <c r="EN114" s="70">
        <v>8.0870327795027341E-2</v>
      </c>
      <c r="EO114" s="70">
        <v>2.1102733667495155E-2</v>
      </c>
      <c r="EP114" s="70">
        <v>6.9755198736509705E-2</v>
      </c>
      <c r="EQ114" s="70">
        <v>0.10907887896403423</v>
      </c>
      <c r="ER114" s="71">
        <v>7.2989132849800242E-2</v>
      </c>
      <c r="ES114" s="70" t="s">
        <v>2451</v>
      </c>
      <c r="ET114" s="70" t="s">
        <v>2451</v>
      </c>
      <c r="EU114" s="70" t="s">
        <v>2451</v>
      </c>
      <c r="EV114" s="70" t="s">
        <v>2451</v>
      </c>
      <c r="EW114" s="71" t="s">
        <v>2451</v>
      </c>
      <c r="EX114" s="70" t="s">
        <v>2451</v>
      </c>
      <c r="EY114" s="70" t="s">
        <v>2451</v>
      </c>
      <c r="EZ114" s="70" t="s">
        <v>2451</v>
      </c>
      <c r="FA114" s="70" t="s">
        <v>2451</v>
      </c>
      <c r="FB114" s="71" t="s">
        <v>2451</v>
      </c>
      <c r="FC114" s="70" t="s">
        <v>2451</v>
      </c>
      <c r="FD114" s="70" t="s">
        <v>2451</v>
      </c>
      <c r="FE114" s="70" t="s">
        <v>2451</v>
      </c>
      <c r="FF114" s="70" t="s">
        <v>2451</v>
      </c>
      <c r="FG114" s="71">
        <v>0.11205110016968489</v>
      </c>
      <c r="FH114" s="70" t="s">
        <v>2451</v>
      </c>
      <c r="FI114" s="70" t="s">
        <v>2451</v>
      </c>
      <c r="FJ114" s="70" t="s">
        <v>2451</v>
      </c>
      <c r="FK114" s="70" t="s">
        <v>2451</v>
      </c>
      <c r="FL114" s="71" t="s">
        <v>2451</v>
      </c>
      <c r="FM114" s="70" t="s">
        <v>2451</v>
      </c>
      <c r="FN114" s="70" t="s">
        <v>2451</v>
      </c>
      <c r="FO114" s="70" t="s">
        <v>2451</v>
      </c>
      <c r="FP114" s="70" t="s">
        <v>2451</v>
      </c>
      <c r="FQ114" s="71" t="s">
        <v>2451</v>
      </c>
      <c r="FR114" s="70" t="s">
        <v>2451</v>
      </c>
      <c r="FS114" s="70" t="s">
        <v>2451</v>
      </c>
      <c r="FT114" s="70" t="s">
        <v>2451</v>
      </c>
      <c r="FU114" s="70" t="s">
        <v>2451</v>
      </c>
      <c r="FV114" s="71" t="s">
        <v>2451</v>
      </c>
      <c r="FW114" s="70" t="s">
        <v>2451</v>
      </c>
      <c r="FX114" s="70" t="s">
        <v>2451</v>
      </c>
      <c r="FY114" s="70" t="s">
        <v>2451</v>
      </c>
      <c r="FZ114" s="70" t="s">
        <v>2451</v>
      </c>
      <c r="GA114" s="71" t="s">
        <v>2451</v>
      </c>
    </row>
    <row r="115" spans="1:183" s="72" customFormat="1" ht="12.75" customHeight="1" outlineLevel="1">
      <c r="A115" s="68" t="s">
        <v>340</v>
      </c>
      <c r="B115" s="753" t="s">
        <v>50</v>
      </c>
      <c r="C115" s="69"/>
      <c r="D115" s="85"/>
      <c r="E115" s="70"/>
      <c r="F115" s="70"/>
      <c r="G115" s="70"/>
      <c r="H115" s="71"/>
      <c r="I115" s="70"/>
      <c r="J115" s="70"/>
      <c r="K115" s="70"/>
      <c r="L115" s="70"/>
      <c r="M115" s="73"/>
      <c r="N115" s="70"/>
      <c r="O115" s="70"/>
      <c r="P115" s="70"/>
      <c r="Q115" s="70"/>
      <c r="R115" s="73"/>
      <c r="S115" s="70"/>
      <c r="T115" s="70"/>
      <c r="U115" s="70"/>
      <c r="V115" s="70"/>
      <c r="W115" s="73"/>
      <c r="X115" s="70"/>
      <c r="Y115" s="70"/>
      <c r="Z115" s="70"/>
      <c r="AA115" s="70"/>
      <c r="AB115" s="73"/>
      <c r="AC115" s="70"/>
      <c r="AD115" s="70"/>
      <c r="AE115" s="70"/>
      <c r="AF115" s="70"/>
      <c r="AG115" s="73"/>
      <c r="AH115" s="70"/>
      <c r="AI115" s="70"/>
      <c r="AJ115" s="70"/>
      <c r="AK115" s="70"/>
      <c r="AL115" s="73"/>
      <c r="AM115" s="70"/>
      <c r="AN115" s="70"/>
      <c r="AO115" s="70"/>
      <c r="AP115" s="70"/>
      <c r="AQ115" s="73"/>
      <c r="AR115" s="70"/>
      <c r="AS115" s="70"/>
      <c r="AT115" s="70"/>
      <c r="AU115" s="70"/>
      <c r="AV115" s="73"/>
      <c r="AW115" s="70"/>
      <c r="AX115" s="70"/>
      <c r="AY115" s="70"/>
      <c r="AZ115" s="70"/>
      <c r="BA115" s="73"/>
      <c r="BB115" s="70"/>
      <c r="BC115" s="70"/>
      <c r="BD115" s="70"/>
      <c r="BE115" s="70"/>
      <c r="BF115" s="73"/>
      <c r="BG115" s="70"/>
      <c r="BH115" s="70"/>
      <c r="BI115" s="70"/>
      <c r="BJ115" s="70"/>
      <c r="BK115" s="73"/>
      <c r="BL115" s="70"/>
      <c r="BM115" s="70"/>
      <c r="BN115" s="70"/>
      <c r="BO115" s="70"/>
      <c r="BP115" s="73"/>
      <c r="BQ115" s="70"/>
      <c r="BR115" s="70"/>
      <c r="BS115" s="70"/>
      <c r="BT115" s="70"/>
      <c r="BU115" s="73"/>
      <c r="BV115" s="70"/>
      <c r="BW115" s="70"/>
      <c r="BX115" s="70"/>
      <c r="BY115" s="70"/>
      <c r="BZ115" s="73"/>
      <c r="CA115" s="70"/>
      <c r="CB115" s="70"/>
      <c r="CC115" s="70"/>
      <c r="CD115" s="70"/>
      <c r="CE115" s="73"/>
      <c r="CF115" s="70"/>
      <c r="CG115" s="70"/>
      <c r="CH115" s="70"/>
      <c r="CI115" s="70"/>
      <c r="CJ115" s="73"/>
      <c r="CK115" s="70"/>
      <c r="CL115" s="70"/>
      <c r="CM115" s="70"/>
      <c r="CN115" s="70"/>
      <c r="CO115" s="73"/>
      <c r="CP115" s="70"/>
      <c r="CQ115" s="70"/>
      <c r="CR115" s="70"/>
      <c r="CS115" s="70"/>
      <c r="CT115" s="73"/>
      <c r="CU115" s="70"/>
      <c r="CV115" s="70"/>
      <c r="CW115" s="70"/>
      <c r="CX115" s="70"/>
      <c r="CY115" s="73"/>
      <c r="CZ115" s="70"/>
      <c r="DA115" s="70"/>
      <c r="DB115" s="70"/>
      <c r="DC115" s="70"/>
      <c r="DD115" s="73"/>
      <c r="DE115" s="70"/>
      <c r="DF115" s="70"/>
      <c r="DG115" s="70"/>
      <c r="DH115" s="70"/>
      <c r="DI115" s="73"/>
      <c r="DJ115" s="70"/>
      <c r="DK115" s="70"/>
      <c r="DL115" s="70"/>
      <c r="DM115" s="70"/>
      <c r="DN115" s="73"/>
      <c r="DO115" s="70"/>
      <c r="DP115" s="70"/>
      <c r="DQ115" s="70"/>
      <c r="DR115" s="70"/>
      <c r="DS115" s="73"/>
      <c r="DT115" s="70"/>
      <c r="DU115" s="70"/>
      <c r="DV115" s="70"/>
      <c r="DW115" s="70"/>
      <c r="DX115" s="73"/>
      <c r="DY115" s="70" t="s">
        <v>2451</v>
      </c>
      <c r="DZ115" s="70">
        <v>0.14145606694560664</v>
      </c>
      <c r="EA115" s="70" t="s">
        <v>2451</v>
      </c>
      <c r="EB115" s="70" t="s">
        <v>2451</v>
      </c>
      <c r="EC115" s="73"/>
      <c r="ED115" s="70" t="s">
        <v>2451</v>
      </c>
      <c r="EE115" s="70">
        <v>0.17556827329810742</v>
      </c>
      <c r="EF115" s="70">
        <v>1.3758155286617946E-2</v>
      </c>
      <c r="EG115" s="70">
        <v>0.41435256260669862</v>
      </c>
      <c r="EH115" s="73"/>
      <c r="EI115" s="70">
        <v>-0.26725021275117666</v>
      </c>
      <c r="EJ115" s="70">
        <v>0.12540589225190213</v>
      </c>
      <c r="EK115" s="70">
        <v>4.012046670317182E-2</v>
      </c>
      <c r="EL115" s="70">
        <v>0.28529775042015104</v>
      </c>
      <c r="EM115" s="73"/>
      <c r="EN115" s="70">
        <v>-0.28158230540195661</v>
      </c>
      <c r="EO115" s="70">
        <v>6.3175668267438478E-2</v>
      </c>
      <c r="EP115" s="70">
        <v>8.9679069383714172E-2</v>
      </c>
      <c r="EQ115" s="70">
        <v>0.33254466989703202</v>
      </c>
      <c r="ER115" s="73"/>
      <c r="ES115" s="70" t="s">
        <v>2451</v>
      </c>
      <c r="ET115" s="70" t="s">
        <v>2451</v>
      </c>
      <c r="EU115" s="70" t="s">
        <v>2451</v>
      </c>
      <c r="EV115" s="70" t="s">
        <v>2451</v>
      </c>
      <c r="EW115" s="73"/>
      <c r="EX115" s="70" t="s">
        <v>2451</v>
      </c>
      <c r="EY115" s="70" t="s">
        <v>2451</v>
      </c>
      <c r="EZ115" s="70">
        <v>0.12113634897076864</v>
      </c>
      <c r="FA115" s="70">
        <v>0.36721009539980143</v>
      </c>
      <c r="FB115" s="73"/>
      <c r="FC115" s="70" t="s">
        <v>2451</v>
      </c>
      <c r="FD115" s="70" t="s">
        <v>2451</v>
      </c>
      <c r="FE115" s="70" t="s">
        <v>2451</v>
      </c>
      <c r="FF115" s="70" t="s">
        <v>2451</v>
      </c>
      <c r="FG115" s="73"/>
      <c r="FH115" s="70" t="s">
        <v>2451</v>
      </c>
      <c r="FI115" s="70" t="s">
        <v>2451</v>
      </c>
      <c r="FJ115" s="70" t="s">
        <v>2451</v>
      </c>
      <c r="FK115" s="70" t="s">
        <v>2451</v>
      </c>
      <c r="FL115" s="73"/>
      <c r="FM115" s="70" t="s">
        <v>2451</v>
      </c>
      <c r="FN115" s="70" t="s">
        <v>2451</v>
      </c>
      <c r="FO115" s="70" t="s">
        <v>2451</v>
      </c>
      <c r="FP115" s="70" t="s">
        <v>2451</v>
      </c>
      <c r="FQ115" s="73"/>
      <c r="FR115" s="70" t="s">
        <v>2451</v>
      </c>
      <c r="FS115" s="70" t="s">
        <v>2451</v>
      </c>
      <c r="FT115" s="70" t="s">
        <v>2451</v>
      </c>
      <c r="FU115" s="70" t="s">
        <v>2451</v>
      </c>
      <c r="FV115" s="73"/>
      <c r="FW115" s="70" t="s">
        <v>2451</v>
      </c>
      <c r="FX115" s="70" t="s">
        <v>2451</v>
      </c>
      <c r="FY115" s="70" t="s">
        <v>2451</v>
      </c>
      <c r="FZ115" s="70" t="s">
        <v>2451</v>
      </c>
      <c r="GA115" s="73"/>
    </row>
    <row r="116" spans="1:183" ht="12.75" customHeight="1" outlineLevel="1">
      <c r="H116" s="71"/>
      <c r="I116" s="84"/>
      <c r="J116" s="84"/>
      <c r="K116" s="84"/>
      <c r="L116" s="84"/>
      <c r="M116" s="83"/>
      <c r="N116" s="84"/>
      <c r="O116" s="84"/>
      <c r="P116" s="84"/>
      <c r="Q116" s="84"/>
      <c r="R116" s="83"/>
      <c r="S116" s="84"/>
      <c r="T116" s="84"/>
      <c r="U116" s="84"/>
      <c r="V116" s="84"/>
      <c r="W116" s="83"/>
      <c r="X116" s="84"/>
      <c r="Y116" s="84"/>
      <c r="Z116" s="84"/>
      <c r="AA116" s="84"/>
      <c r="AB116" s="83"/>
      <c r="AC116" s="84"/>
      <c r="AD116" s="84"/>
      <c r="AE116" s="84"/>
      <c r="AF116" s="84"/>
      <c r="AG116" s="83"/>
      <c r="AH116" s="84"/>
      <c r="AI116" s="84"/>
      <c r="AJ116" s="84"/>
      <c r="AK116" s="84"/>
      <c r="AL116" s="83"/>
      <c r="AM116" s="84"/>
      <c r="AN116" s="84"/>
      <c r="AO116" s="84"/>
      <c r="AP116" s="84"/>
      <c r="AQ116" s="83"/>
      <c r="AR116" s="84"/>
      <c r="AS116" s="84"/>
      <c r="AT116" s="84"/>
      <c r="AU116" s="84"/>
      <c r="AV116" s="83"/>
      <c r="AW116" s="84"/>
      <c r="AX116" s="84"/>
      <c r="AY116" s="84"/>
      <c r="AZ116" s="84"/>
      <c r="BA116" s="83"/>
      <c r="BB116" s="84"/>
      <c r="BC116" s="84"/>
      <c r="BD116" s="84"/>
      <c r="BE116" s="84"/>
      <c r="BF116" s="83"/>
      <c r="BG116" s="84"/>
      <c r="BH116" s="84"/>
      <c r="BI116" s="84"/>
      <c r="BJ116" s="84"/>
      <c r="BK116" s="83"/>
      <c r="BL116" s="84"/>
      <c r="BM116" s="84"/>
      <c r="BN116" s="84"/>
      <c r="BO116" s="84"/>
      <c r="BP116" s="83"/>
      <c r="BQ116" s="84"/>
      <c r="BR116" s="84"/>
      <c r="BS116" s="84"/>
      <c r="BT116" s="84"/>
      <c r="BU116" s="83"/>
      <c r="BV116" s="84"/>
      <c r="BW116" s="84"/>
      <c r="BX116" s="84"/>
      <c r="BY116" s="84"/>
      <c r="BZ116" s="83"/>
      <c r="CA116" s="84"/>
      <c r="CB116" s="84"/>
      <c r="CC116" s="84"/>
      <c r="CD116" s="84"/>
      <c r="CE116" s="83"/>
      <c r="CF116" s="84"/>
      <c r="CG116" s="84"/>
      <c r="CH116" s="84"/>
      <c r="CI116" s="84"/>
      <c r="CJ116" s="83"/>
      <c r="CK116" s="84"/>
      <c r="CL116" s="84"/>
      <c r="CM116" s="84"/>
      <c r="CN116" s="84"/>
      <c r="CO116" s="83"/>
      <c r="CP116" s="84"/>
      <c r="CQ116" s="84"/>
      <c r="CR116" s="84"/>
      <c r="CS116" s="84"/>
      <c r="CT116" s="83"/>
      <c r="CU116" s="84"/>
      <c r="CV116" s="84"/>
      <c r="CW116" s="84"/>
      <c r="CX116" s="84"/>
      <c r="CY116" s="83"/>
      <c r="CZ116" s="84"/>
      <c r="DA116" s="84"/>
      <c r="DB116" s="84"/>
      <c r="DC116" s="84"/>
      <c r="DD116" s="83"/>
      <c r="DE116" s="84"/>
      <c r="DF116" s="84"/>
      <c r="DG116" s="84"/>
      <c r="DH116" s="84"/>
      <c r="DI116" s="83"/>
      <c r="DJ116" s="84"/>
      <c r="DK116" s="84"/>
      <c r="DL116" s="84"/>
      <c r="DM116" s="84"/>
      <c r="DN116" s="83"/>
      <c r="DO116" s="84"/>
      <c r="DP116" s="84"/>
      <c r="DQ116" s="84"/>
      <c r="DR116" s="84"/>
      <c r="DS116" s="83"/>
      <c r="DT116" s="84"/>
      <c r="DU116" s="84"/>
      <c r="DV116" s="84"/>
      <c r="DW116" s="84"/>
      <c r="DX116" s="83"/>
      <c r="DY116" s="84"/>
      <c r="DZ116" s="84"/>
      <c r="EA116" s="84"/>
      <c r="EB116" s="84"/>
      <c r="EC116" s="83"/>
      <c r="ED116" s="84"/>
      <c r="EE116" s="84"/>
      <c r="EF116" s="84"/>
      <c r="EG116" s="84"/>
      <c r="EH116" s="83"/>
      <c r="EI116" s="84"/>
      <c r="EJ116" s="84"/>
      <c r="EK116" s="84"/>
      <c r="EL116" s="84"/>
      <c r="EM116" s="83"/>
      <c r="EN116" s="84"/>
      <c r="EO116" s="84"/>
      <c r="EP116" s="84"/>
      <c r="EQ116" s="84"/>
      <c r="ER116" s="83"/>
      <c r="ES116" s="84"/>
      <c r="ET116" s="84"/>
      <c r="EU116" s="84"/>
      <c r="EV116" s="84"/>
      <c r="EW116" s="83"/>
      <c r="EX116" s="84"/>
      <c r="EY116" s="84"/>
      <c r="EZ116" s="84"/>
      <c r="FA116" s="84"/>
      <c r="FB116" s="83"/>
      <c r="FC116" s="84"/>
      <c r="FD116" s="84"/>
      <c r="FE116" s="84"/>
      <c r="FF116" s="84"/>
      <c r="FG116" s="83"/>
      <c r="FH116" s="84"/>
      <c r="FI116" s="84"/>
      <c r="FJ116" s="84"/>
      <c r="FK116" s="84"/>
      <c r="FL116" s="83"/>
      <c r="FM116" s="84"/>
      <c r="FN116" s="84"/>
      <c r="FO116" s="84"/>
      <c r="FP116" s="84"/>
      <c r="FQ116" s="83"/>
      <c r="FR116" s="84"/>
      <c r="FS116" s="84"/>
      <c r="FT116" s="84"/>
      <c r="FU116" s="84"/>
      <c r="FV116" s="83"/>
      <c r="FW116" s="84"/>
      <c r="FX116" s="84"/>
      <c r="FY116" s="84"/>
      <c r="FZ116" s="84"/>
      <c r="GA116" s="83"/>
    </row>
    <row r="117" spans="1:183" s="1558" customFormat="1" ht="12.75" customHeight="1" outlineLevel="1">
      <c r="A117" s="1554"/>
      <c r="B117" s="1549" t="s">
        <v>61</v>
      </c>
      <c r="C117" s="1555"/>
      <c r="D117" s="1556"/>
      <c r="E117" s="1556"/>
      <c r="F117" s="1556"/>
      <c r="G117" s="1556"/>
      <c r="H117" s="1557"/>
      <c r="I117" s="1556"/>
      <c r="J117" s="1556"/>
      <c r="K117" s="1556"/>
      <c r="L117" s="1556"/>
      <c r="M117" s="1557"/>
      <c r="N117" s="1556"/>
      <c r="O117" s="1556"/>
      <c r="P117" s="1556"/>
      <c r="Q117" s="1556"/>
      <c r="R117" s="1557"/>
      <c r="S117" s="1556"/>
      <c r="T117" s="1556"/>
      <c r="U117" s="1556"/>
      <c r="V117" s="1556"/>
      <c r="W117" s="1557"/>
      <c r="X117" s="1556"/>
      <c r="Y117" s="1556"/>
      <c r="Z117" s="1556"/>
      <c r="AA117" s="1556"/>
      <c r="AB117" s="1557"/>
      <c r="AC117" s="1556"/>
      <c r="AD117" s="1556"/>
      <c r="AE117" s="1556"/>
      <c r="AF117" s="1556"/>
      <c r="AG117" s="1557"/>
      <c r="AH117" s="1556"/>
      <c r="AI117" s="1556"/>
      <c r="AJ117" s="1556"/>
      <c r="AK117" s="1556"/>
      <c r="AL117" s="1557"/>
      <c r="AM117" s="1556"/>
      <c r="AN117" s="1556"/>
      <c r="AO117" s="1556"/>
      <c r="AP117" s="1556"/>
      <c r="AQ117" s="1557"/>
      <c r="AR117" s="1556"/>
      <c r="AS117" s="1556"/>
      <c r="AT117" s="1556"/>
      <c r="AU117" s="1556"/>
      <c r="AV117" s="1557"/>
      <c r="AW117" s="1556"/>
      <c r="AX117" s="1556"/>
      <c r="AY117" s="1556"/>
      <c r="AZ117" s="1556"/>
      <c r="BA117" s="1557"/>
      <c r="BB117" s="1556"/>
      <c r="BC117" s="1556"/>
      <c r="BD117" s="1556"/>
      <c r="BE117" s="1556"/>
      <c r="BF117" s="1557"/>
      <c r="BG117" s="1556"/>
      <c r="BH117" s="1556"/>
      <c r="BI117" s="1556"/>
      <c r="BJ117" s="1556"/>
      <c r="BK117" s="1557"/>
      <c r="BL117" s="1556"/>
      <c r="BM117" s="1556"/>
      <c r="BN117" s="1556"/>
      <c r="BO117" s="1556"/>
      <c r="BP117" s="1557"/>
      <c r="BQ117" s="1556"/>
      <c r="BR117" s="1556"/>
      <c r="BS117" s="1556"/>
      <c r="BT117" s="1556"/>
      <c r="BU117" s="1557"/>
      <c r="BV117" s="1556"/>
      <c r="BW117" s="1556"/>
      <c r="BX117" s="1556"/>
      <c r="BY117" s="1556"/>
      <c r="BZ117" s="1557"/>
      <c r="CA117" s="1556"/>
      <c r="CB117" s="1556"/>
      <c r="CC117" s="1556"/>
      <c r="CD117" s="1556"/>
      <c r="CE117" s="1557"/>
      <c r="CF117" s="1556"/>
      <c r="CG117" s="1556"/>
      <c r="CH117" s="1556"/>
      <c r="CI117" s="1556"/>
      <c r="CJ117" s="1557"/>
      <c r="CK117" s="1556"/>
      <c r="CL117" s="1556"/>
      <c r="CM117" s="1556"/>
      <c r="CN117" s="1556"/>
      <c r="CO117" s="1557"/>
      <c r="CP117" s="1556"/>
      <c r="CQ117" s="1556"/>
      <c r="CR117" s="1556"/>
      <c r="CS117" s="1556"/>
      <c r="CT117" s="1557"/>
      <c r="CU117" s="1556"/>
      <c r="CV117" s="1556"/>
      <c r="CW117" s="1556"/>
      <c r="CX117" s="1556"/>
      <c r="CY117" s="1557"/>
      <c r="CZ117" s="1556"/>
      <c r="DA117" s="1556"/>
      <c r="DB117" s="1556"/>
      <c r="DC117" s="1556"/>
      <c r="DD117" s="1557"/>
      <c r="DE117" s="1556"/>
      <c r="DF117" s="1556"/>
      <c r="DG117" s="1556"/>
      <c r="DH117" s="1556"/>
      <c r="DI117" s="1557"/>
      <c r="DJ117" s="1556"/>
      <c r="DK117" s="1556"/>
      <c r="DL117" s="1556"/>
      <c r="DM117" s="1556"/>
      <c r="DN117" s="1557"/>
      <c r="DO117" s="1556"/>
      <c r="DP117" s="1556"/>
      <c r="DQ117" s="1556"/>
      <c r="DR117" s="1556"/>
      <c r="DS117" s="1557"/>
      <c r="DT117" s="1556"/>
      <c r="DU117" s="1556"/>
      <c r="DV117" s="1556"/>
      <c r="DW117" s="1556"/>
      <c r="DX117" s="1557"/>
      <c r="DY117" s="1556">
        <v>67081</v>
      </c>
      <c r="DZ117" s="1556">
        <v>34101</v>
      </c>
      <c r="EA117" s="1556">
        <v>34197</v>
      </c>
      <c r="EB117" s="1556">
        <v>46816</v>
      </c>
      <c r="EC117" s="1557">
        <v>182195</v>
      </c>
      <c r="ED117" s="1556">
        <v>34279</v>
      </c>
      <c r="EE117" s="1556">
        <v>40158</v>
      </c>
      <c r="EF117" s="1556">
        <v>41033</v>
      </c>
      <c r="EG117" s="1556">
        <v>57579</v>
      </c>
      <c r="EH117" s="1557">
        <v>173049</v>
      </c>
      <c r="EI117" s="1556">
        <v>42191</v>
      </c>
      <c r="EJ117" s="1556">
        <v>47482</v>
      </c>
      <c r="EK117" s="1556">
        <v>49387</v>
      </c>
      <c r="EL117" s="1556">
        <v>63477</v>
      </c>
      <c r="EM117" s="1557">
        <v>202250</v>
      </c>
      <c r="EN117" s="1556">
        <v>45603.144999999997</v>
      </c>
      <c r="EO117" s="1556">
        <v>48482.855000000003</v>
      </c>
      <c r="EP117" s="1556">
        <v>52832.832000000002</v>
      </c>
      <c r="EQ117" s="1556">
        <v>70400.793000000005</v>
      </c>
      <c r="ER117" s="1557">
        <v>217342</v>
      </c>
      <c r="ES117" s="1556">
        <v>51892.707000000002</v>
      </c>
      <c r="ET117" s="1556">
        <v>58866.523000000001</v>
      </c>
      <c r="EU117" s="1556">
        <v>60657.144999999997</v>
      </c>
      <c r="EV117" s="1556">
        <v>80076.554999999993</v>
      </c>
      <c r="EW117" s="1557">
        <v>251757.6</v>
      </c>
      <c r="EX117" s="1556">
        <v>61090.57</v>
      </c>
      <c r="EY117" s="1556">
        <v>61988.59</v>
      </c>
      <c r="EZ117" s="1556">
        <v>69496.85500000001</v>
      </c>
      <c r="FA117" s="1556">
        <v>90052.766999999993</v>
      </c>
      <c r="FB117" s="1557">
        <v>283253.065</v>
      </c>
      <c r="FC117" s="1556">
        <v>70377.413</v>
      </c>
      <c r="FD117" s="1556">
        <v>72261.804999999993</v>
      </c>
      <c r="FE117" s="1556">
        <v>78498.695000000007</v>
      </c>
      <c r="FF117" s="1556">
        <v>102050.68</v>
      </c>
      <c r="FG117" s="1557">
        <v>321248.78500000003</v>
      </c>
      <c r="FH117" s="1556">
        <v>81594.94</v>
      </c>
      <c r="FI117" s="1556">
        <v>82837.266000000003</v>
      </c>
      <c r="FJ117" s="1556">
        <v>89591.99</v>
      </c>
      <c r="FK117" s="1556">
        <v>116301.63</v>
      </c>
      <c r="FL117" s="1557">
        <v>361048.05</v>
      </c>
      <c r="FM117" s="1556" t="s">
        <v>2451</v>
      </c>
      <c r="FN117" s="1556" t="s">
        <v>2451</v>
      </c>
      <c r="FO117" s="1556" t="s">
        <v>2451</v>
      </c>
      <c r="FP117" s="1556" t="s">
        <v>2451</v>
      </c>
      <c r="FQ117" s="1557" t="s">
        <v>2451</v>
      </c>
      <c r="FR117" s="1556" t="s">
        <v>2451</v>
      </c>
      <c r="FS117" s="1556" t="s">
        <v>2451</v>
      </c>
      <c r="FT117" s="1556" t="s">
        <v>2451</v>
      </c>
      <c r="FU117" s="1556" t="s">
        <v>2451</v>
      </c>
      <c r="FV117" s="1557" t="s">
        <v>2451</v>
      </c>
      <c r="FW117" s="1556" t="s">
        <v>2451</v>
      </c>
      <c r="FX117" s="1556" t="s">
        <v>2451</v>
      </c>
      <c r="FY117" s="1556" t="s">
        <v>2451</v>
      </c>
      <c r="FZ117" s="1556" t="s">
        <v>2451</v>
      </c>
      <c r="GA117" s="1557" t="s">
        <v>2451</v>
      </c>
    </row>
    <row r="118" spans="1:183" s="72" customFormat="1" ht="12.75" customHeight="1" outlineLevel="1">
      <c r="A118" s="799"/>
      <c r="B118" s="753" t="s">
        <v>49</v>
      </c>
      <c r="C118" s="69"/>
      <c r="D118" s="85"/>
      <c r="E118" s="85"/>
      <c r="F118" s="85"/>
      <c r="G118" s="85"/>
      <c r="H118" s="71"/>
      <c r="I118" s="70"/>
      <c r="J118" s="70"/>
      <c r="K118" s="70"/>
      <c r="L118" s="70"/>
      <c r="M118" s="71"/>
      <c r="N118" s="70"/>
      <c r="O118" s="70"/>
      <c r="P118" s="70"/>
      <c r="Q118" s="70"/>
      <c r="R118" s="71"/>
      <c r="S118" s="70"/>
      <c r="T118" s="70"/>
      <c r="U118" s="70"/>
      <c r="V118" s="70"/>
      <c r="W118" s="71"/>
      <c r="X118" s="70"/>
      <c r="Y118" s="70"/>
      <c r="Z118" s="70"/>
      <c r="AA118" s="70"/>
      <c r="AB118" s="71"/>
      <c r="AC118" s="70"/>
      <c r="AD118" s="70"/>
      <c r="AE118" s="70"/>
      <c r="AF118" s="70"/>
      <c r="AG118" s="71"/>
      <c r="AH118" s="70"/>
      <c r="AI118" s="70"/>
      <c r="AJ118" s="70"/>
      <c r="AK118" s="70"/>
      <c r="AL118" s="71"/>
      <c r="AM118" s="70"/>
      <c r="AN118" s="70"/>
      <c r="AO118" s="70"/>
      <c r="AP118" s="70"/>
      <c r="AQ118" s="71"/>
      <c r="AR118" s="70"/>
      <c r="AS118" s="70"/>
      <c r="AT118" s="70"/>
      <c r="AU118" s="70"/>
      <c r="AV118" s="71"/>
      <c r="AW118" s="70"/>
      <c r="AX118" s="70"/>
      <c r="AY118" s="70"/>
      <c r="AZ118" s="70"/>
      <c r="BA118" s="71"/>
      <c r="BB118" s="70"/>
      <c r="BC118" s="70"/>
      <c r="BD118" s="70"/>
      <c r="BE118" s="70"/>
      <c r="BF118" s="71"/>
      <c r="BG118" s="70"/>
      <c r="BH118" s="70"/>
      <c r="BI118" s="70"/>
      <c r="BJ118" s="70"/>
      <c r="BK118" s="71"/>
      <c r="BL118" s="70"/>
      <c r="BM118" s="70"/>
      <c r="BN118" s="70"/>
      <c r="BO118" s="70"/>
      <c r="BP118" s="71"/>
      <c r="BQ118" s="70"/>
      <c r="BR118" s="70"/>
      <c r="BS118" s="70"/>
      <c r="BT118" s="70"/>
      <c r="BU118" s="71"/>
      <c r="BV118" s="70"/>
      <c r="BW118" s="70"/>
      <c r="BX118" s="70"/>
      <c r="BY118" s="70"/>
      <c r="BZ118" s="71"/>
      <c r="CA118" s="70"/>
      <c r="CB118" s="70"/>
      <c r="CC118" s="70"/>
      <c r="CD118" s="70"/>
      <c r="CE118" s="71"/>
      <c r="CF118" s="70"/>
      <c r="CG118" s="70"/>
      <c r="CH118" s="70"/>
      <c r="CI118" s="70"/>
      <c r="CJ118" s="71"/>
      <c r="CK118" s="70"/>
      <c r="CL118" s="70"/>
      <c r="CM118" s="70"/>
      <c r="CN118" s="70"/>
      <c r="CO118" s="71"/>
      <c r="CP118" s="70"/>
      <c r="CQ118" s="70"/>
      <c r="CR118" s="70"/>
      <c r="CS118" s="70"/>
      <c r="CT118" s="71"/>
      <c r="CU118" s="70"/>
      <c r="CV118" s="70"/>
      <c r="CW118" s="70"/>
      <c r="CX118" s="70"/>
      <c r="CY118" s="71"/>
      <c r="CZ118" s="70"/>
      <c r="DA118" s="70"/>
      <c r="DB118" s="70"/>
      <c r="DC118" s="70"/>
      <c r="DD118" s="71"/>
      <c r="DE118" s="70"/>
      <c r="DF118" s="70"/>
      <c r="DG118" s="70"/>
      <c r="DH118" s="70"/>
      <c r="DI118" s="71"/>
      <c r="DJ118" s="70"/>
      <c r="DK118" s="70"/>
      <c r="DL118" s="70"/>
      <c r="DM118" s="70"/>
      <c r="DN118" s="71"/>
      <c r="DO118" s="70"/>
      <c r="DP118" s="70"/>
      <c r="DQ118" s="70"/>
      <c r="DR118" s="70"/>
      <c r="DS118" s="71"/>
      <c r="DT118" s="70"/>
      <c r="DU118" s="70"/>
      <c r="DV118" s="70"/>
      <c r="DW118" s="70"/>
      <c r="DX118" s="71"/>
      <c r="DY118" s="70" t="s">
        <v>2451</v>
      </c>
      <c r="DZ118" s="70" t="s">
        <v>2451</v>
      </c>
      <c r="EA118" s="70" t="s">
        <v>2451</v>
      </c>
      <c r="EB118" s="70" t="s">
        <v>2451</v>
      </c>
      <c r="EC118" s="71" t="s">
        <v>2451</v>
      </c>
      <c r="ED118" s="70">
        <v>-0.48899092142335387</v>
      </c>
      <c r="EE118" s="70">
        <v>0.17761942465030356</v>
      </c>
      <c r="EF118" s="70">
        <v>0.19990057607392453</v>
      </c>
      <c r="EG118" s="70">
        <v>0.22990003417634997</v>
      </c>
      <c r="EH118" s="71">
        <v>-5.0198962649908085E-2</v>
      </c>
      <c r="EI118" s="70">
        <v>0.23081186732401759</v>
      </c>
      <c r="EJ118" s="70">
        <v>0.18237960057771807</v>
      </c>
      <c r="EK118" s="70">
        <v>0.20359223064362819</v>
      </c>
      <c r="EL118" s="70">
        <v>0.10243317876309077</v>
      </c>
      <c r="EM118" s="71">
        <v>0.16874411293910963</v>
      </c>
      <c r="EN118" s="70">
        <v>8.0873764546941285E-2</v>
      </c>
      <c r="EO118" s="70">
        <v>2.1078619266248433E-2</v>
      </c>
      <c r="EP118" s="70">
        <v>6.9772045275072525E-2</v>
      </c>
      <c r="EQ118" s="70">
        <v>0.10907561794035647</v>
      </c>
      <c r="ER118" s="71">
        <v>7.4620519159456222E-2</v>
      </c>
      <c r="ES118" s="70">
        <v>0.13791947901838797</v>
      </c>
      <c r="ET118" s="70">
        <v>0.21417195831392344</v>
      </c>
      <c r="EU118" s="70">
        <v>0.14809565763955246</v>
      </c>
      <c r="EV118" s="70">
        <v>0.13743825300376922</v>
      </c>
      <c r="EW118" s="71">
        <v>0.15834767325229371</v>
      </c>
      <c r="EX118" s="70">
        <v>0.17724770072218421</v>
      </c>
      <c r="EY118" s="70">
        <v>5.3036375190700369E-2</v>
      </c>
      <c r="EZ118" s="70">
        <v>0.14573237827134822</v>
      </c>
      <c r="FA118" s="70">
        <v>0.124583431442574</v>
      </c>
      <c r="FB118" s="71">
        <v>0.12510234050531155</v>
      </c>
      <c r="FC118" s="70">
        <v>0.15201761908589173</v>
      </c>
      <c r="FD118" s="70">
        <v>0.1657275153379032</v>
      </c>
      <c r="FE118" s="70">
        <v>0.12952873910625162</v>
      </c>
      <c r="FF118" s="70">
        <v>0.13323203050495946</v>
      </c>
      <c r="FG118" s="71">
        <v>0.13414054319235702</v>
      </c>
      <c r="FH118" s="70">
        <v>0.15939101086310181</v>
      </c>
      <c r="FI118" s="70">
        <v>0.1463492504788666</v>
      </c>
      <c r="FJ118" s="70">
        <v>0.14131820917532445</v>
      </c>
      <c r="FK118" s="70">
        <v>0.13964581127729891</v>
      </c>
      <c r="FL118" s="71">
        <v>0.12388923120752016</v>
      </c>
      <c r="FM118" s="70" t="s">
        <v>2451</v>
      </c>
      <c r="FN118" s="70" t="s">
        <v>2451</v>
      </c>
      <c r="FO118" s="70" t="s">
        <v>2451</v>
      </c>
      <c r="FP118" s="70" t="s">
        <v>2451</v>
      </c>
      <c r="FQ118" s="71" t="s">
        <v>2451</v>
      </c>
      <c r="FR118" s="70" t="s">
        <v>2451</v>
      </c>
      <c r="FS118" s="70" t="s">
        <v>2451</v>
      </c>
      <c r="FT118" s="70" t="s">
        <v>2451</v>
      </c>
      <c r="FU118" s="70" t="s">
        <v>2451</v>
      </c>
      <c r="FV118" s="71" t="s">
        <v>2451</v>
      </c>
      <c r="FW118" s="70" t="s">
        <v>2451</v>
      </c>
      <c r="FX118" s="70" t="s">
        <v>2451</v>
      </c>
      <c r="FY118" s="70" t="s">
        <v>2451</v>
      </c>
      <c r="FZ118" s="70" t="s">
        <v>2451</v>
      </c>
      <c r="GA118" s="71" t="s">
        <v>2451</v>
      </c>
    </row>
    <row r="119" spans="1:183" s="72" customFormat="1" ht="12.75" customHeight="1" outlineLevel="1">
      <c r="A119" s="799"/>
      <c r="B119" s="753" t="s">
        <v>50</v>
      </c>
      <c r="C119" s="69"/>
      <c r="D119" s="85"/>
      <c r="E119" s="70"/>
      <c r="F119" s="70"/>
      <c r="G119" s="70"/>
      <c r="H119" s="71"/>
      <c r="I119" s="70"/>
      <c r="J119" s="70"/>
      <c r="K119" s="70"/>
      <c r="L119" s="70"/>
      <c r="M119" s="73"/>
      <c r="N119" s="70"/>
      <c r="O119" s="70"/>
      <c r="P119" s="70"/>
      <c r="Q119" s="70"/>
      <c r="R119" s="73"/>
      <c r="S119" s="70"/>
      <c r="T119" s="70"/>
      <c r="U119" s="70"/>
      <c r="V119" s="70"/>
      <c r="W119" s="73"/>
      <c r="X119" s="70"/>
      <c r="Y119" s="70"/>
      <c r="Z119" s="70"/>
      <c r="AA119" s="70"/>
      <c r="AB119" s="73"/>
      <c r="AC119" s="70"/>
      <c r="AD119" s="70"/>
      <c r="AE119" s="70"/>
      <c r="AF119" s="70"/>
      <c r="AG119" s="73"/>
      <c r="AH119" s="70"/>
      <c r="AI119" s="70"/>
      <c r="AJ119" s="70"/>
      <c r="AK119" s="70"/>
      <c r="AL119" s="73"/>
      <c r="AM119" s="70"/>
      <c r="AN119" s="70"/>
      <c r="AO119" s="70"/>
      <c r="AP119" s="70"/>
      <c r="AQ119" s="73"/>
      <c r="AR119" s="70"/>
      <c r="AS119" s="70"/>
      <c r="AT119" s="70"/>
      <c r="AU119" s="70"/>
      <c r="AV119" s="73"/>
      <c r="AW119" s="70"/>
      <c r="AX119" s="70"/>
      <c r="AY119" s="70"/>
      <c r="AZ119" s="70"/>
      <c r="BA119" s="73"/>
      <c r="BB119" s="70"/>
      <c r="BC119" s="70"/>
      <c r="BD119" s="70"/>
      <c r="BE119" s="70"/>
      <c r="BF119" s="73"/>
      <c r="BG119" s="70"/>
      <c r="BH119" s="70"/>
      <c r="BI119" s="70"/>
      <c r="BJ119" s="70"/>
      <c r="BK119" s="73"/>
      <c r="BL119" s="70"/>
      <c r="BM119" s="70"/>
      <c r="BN119" s="70"/>
      <c r="BO119" s="70"/>
      <c r="BP119" s="73"/>
      <c r="BQ119" s="70"/>
      <c r="BR119" s="70"/>
      <c r="BS119" s="70"/>
      <c r="BT119" s="70"/>
      <c r="BU119" s="73"/>
      <c r="BV119" s="70"/>
      <c r="BW119" s="70"/>
      <c r="BX119" s="70"/>
      <c r="BY119" s="70"/>
      <c r="BZ119" s="73"/>
      <c r="CA119" s="70"/>
      <c r="CB119" s="70"/>
      <c r="CC119" s="70"/>
      <c r="CD119" s="70"/>
      <c r="CE119" s="73"/>
      <c r="CF119" s="70"/>
      <c r="CG119" s="70"/>
      <c r="CH119" s="70"/>
      <c r="CI119" s="70"/>
      <c r="CJ119" s="73"/>
      <c r="CK119" s="70"/>
      <c r="CL119" s="70"/>
      <c r="CM119" s="70"/>
      <c r="CN119" s="70"/>
      <c r="CO119" s="73"/>
      <c r="CP119" s="70"/>
      <c r="CQ119" s="70"/>
      <c r="CR119" s="70"/>
      <c r="CS119" s="70"/>
      <c r="CT119" s="73"/>
      <c r="CU119" s="70"/>
      <c r="CV119" s="70"/>
      <c r="CW119" s="70"/>
      <c r="CX119" s="70"/>
      <c r="CY119" s="73"/>
      <c r="CZ119" s="70"/>
      <c r="DA119" s="70"/>
      <c r="DB119" s="70"/>
      <c r="DC119" s="70"/>
      <c r="DD119" s="73"/>
      <c r="DE119" s="70"/>
      <c r="DF119" s="70"/>
      <c r="DG119" s="70"/>
      <c r="DH119" s="70"/>
      <c r="DI119" s="73"/>
      <c r="DJ119" s="70"/>
      <c r="DK119" s="70"/>
      <c r="DL119" s="70"/>
      <c r="DM119" s="70"/>
      <c r="DN119" s="73"/>
      <c r="DO119" s="70"/>
      <c r="DP119" s="70"/>
      <c r="DQ119" s="70"/>
      <c r="DR119" s="70"/>
      <c r="DS119" s="73"/>
      <c r="DT119" s="70"/>
      <c r="DU119" s="70"/>
      <c r="DV119" s="70"/>
      <c r="DW119" s="70"/>
      <c r="DX119" s="73"/>
      <c r="DY119" s="70" t="s">
        <v>2451</v>
      </c>
      <c r="DZ119" s="70">
        <v>-0.49164442986836809</v>
      </c>
      <c r="EA119" s="70">
        <v>2.8151667106537381E-3</v>
      </c>
      <c r="EB119" s="70">
        <v>0.36900897739567795</v>
      </c>
      <c r="EC119" s="73"/>
      <c r="ED119" s="70">
        <v>-0.26779306220095689</v>
      </c>
      <c r="EE119" s="70">
        <v>0.171504419615508</v>
      </c>
      <c r="EF119" s="70">
        <v>2.178893371183821E-2</v>
      </c>
      <c r="EG119" s="70">
        <v>0.40323641946725797</v>
      </c>
      <c r="EH119" s="73"/>
      <c r="EI119" s="70">
        <v>-0.26725021275117666</v>
      </c>
      <c r="EJ119" s="70">
        <v>0.12540589225190213</v>
      </c>
      <c r="EK119" s="70">
        <v>4.012046670317182E-2</v>
      </c>
      <c r="EL119" s="70">
        <v>0.28529775042015104</v>
      </c>
      <c r="EM119" s="73"/>
      <c r="EN119" s="70">
        <v>-0.28158002111000835</v>
      </c>
      <c r="EO119" s="70">
        <v>6.3147179871037462E-2</v>
      </c>
      <c r="EP119" s="70">
        <v>8.9721964599650761E-2</v>
      </c>
      <c r="EQ119" s="70">
        <v>0.33251976725381671</v>
      </c>
      <c r="ER119" s="73"/>
      <c r="ES119" s="70">
        <v>-0.26289598754945842</v>
      </c>
      <c r="ET119" s="70">
        <v>0.13438913487400073</v>
      </c>
      <c r="EU119" s="70">
        <v>3.0418341507956859E-2</v>
      </c>
      <c r="EV119" s="70">
        <v>0.3201504126183321</v>
      </c>
      <c r="EW119" s="73"/>
      <c r="EX119" s="70">
        <v>-0.23709792460477341</v>
      </c>
      <c r="EY119" s="70">
        <v>1.4699813735573164E-2</v>
      </c>
      <c r="EZ119" s="70">
        <v>0.12112333898867544</v>
      </c>
      <c r="FA119" s="70">
        <v>0.29578190264868787</v>
      </c>
      <c r="FB119" s="73"/>
      <c r="FC119" s="70">
        <v>-0.21848694554826942</v>
      </c>
      <c r="FD119" s="70">
        <v>2.6775522425071197E-2</v>
      </c>
      <c r="FE119" s="70">
        <v>8.6309634806382318E-2</v>
      </c>
      <c r="FF119" s="70">
        <v>0.30003027438863783</v>
      </c>
      <c r="FG119" s="73"/>
      <c r="FH119" s="70">
        <v>-0.2004468760031779</v>
      </c>
      <c r="FI119" s="70">
        <v>1.5225527465306143E-2</v>
      </c>
      <c r="FJ119" s="70">
        <v>8.1542092420095136E-2</v>
      </c>
      <c r="FK119" s="70">
        <v>0.29812531231865713</v>
      </c>
      <c r="FL119" s="73"/>
      <c r="FM119" s="70" t="s">
        <v>2451</v>
      </c>
      <c r="FN119" s="70" t="s">
        <v>2451</v>
      </c>
      <c r="FO119" s="70" t="s">
        <v>2451</v>
      </c>
      <c r="FP119" s="70" t="s">
        <v>2451</v>
      </c>
      <c r="FQ119" s="73"/>
      <c r="FR119" s="70" t="s">
        <v>2451</v>
      </c>
      <c r="FS119" s="70" t="s">
        <v>2451</v>
      </c>
      <c r="FT119" s="70" t="s">
        <v>2451</v>
      </c>
      <c r="FU119" s="70" t="s">
        <v>2451</v>
      </c>
      <c r="FV119" s="73"/>
      <c r="FW119" s="70" t="s">
        <v>2451</v>
      </c>
      <c r="FX119" s="70" t="s">
        <v>2451</v>
      </c>
      <c r="FY119" s="70" t="s">
        <v>2451</v>
      </c>
      <c r="FZ119" s="70" t="s">
        <v>2451</v>
      </c>
      <c r="GA119" s="73"/>
    </row>
    <row r="120" spans="1:183" s="72" customFormat="1" ht="12.75" customHeight="1" outlineLevel="1">
      <c r="A120" s="54"/>
      <c r="B120" s="753"/>
      <c r="C120" s="69"/>
      <c r="D120" s="85"/>
      <c r="E120" s="70"/>
      <c r="F120" s="70"/>
      <c r="G120" s="70"/>
      <c r="H120" s="71"/>
      <c r="I120" s="70"/>
      <c r="J120" s="70"/>
      <c r="K120" s="70"/>
      <c r="L120" s="70"/>
      <c r="M120" s="73"/>
      <c r="N120" s="70"/>
      <c r="O120" s="70"/>
      <c r="P120" s="70"/>
      <c r="Q120" s="70"/>
      <c r="R120" s="73"/>
      <c r="S120" s="70"/>
      <c r="T120" s="70"/>
      <c r="U120" s="70"/>
      <c r="V120" s="70"/>
      <c r="W120" s="73"/>
      <c r="X120" s="70"/>
      <c r="Y120" s="70"/>
      <c r="Z120" s="70"/>
      <c r="AA120" s="70"/>
      <c r="AB120" s="73"/>
      <c r="AC120" s="70"/>
      <c r="AD120" s="70"/>
      <c r="AE120" s="70"/>
      <c r="AF120" s="70"/>
      <c r="AG120" s="73"/>
      <c r="AH120" s="70"/>
      <c r="AI120" s="70"/>
      <c r="AJ120" s="70"/>
      <c r="AK120" s="70"/>
      <c r="AL120" s="73"/>
      <c r="AM120" s="70"/>
      <c r="AN120" s="70"/>
      <c r="AO120" s="70"/>
      <c r="AP120" s="70"/>
      <c r="AQ120" s="73"/>
      <c r="AR120" s="70"/>
      <c r="AS120" s="70"/>
      <c r="AT120" s="70"/>
      <c r="AU120" s="70"/>
      <c r="AV120" s="73"/>
      <c r="AW120" s="70"/>
      <c r="AX120" s="70"/>
      <c r="AY120" s="70"/>
      <c r="AZ120" s="70"/>
      <c r="BA120" s="73"/>
      <c r="BB120" s="70"/>
      <c r="BC120" s="70"/>
      <c r="BD120" s="70"/>
      <c r="BE120" s="70"/>
      <c r="BF120" s="73"/>
      <c r="BG120" s="70"/>
      <c r="BH120" s="70"/>
      <c r="BI120" s="70"/>
      <c r="BJ120" s="70"/>
      <c r="BK120" s="73"/>
      <c r="BL120" s="70"/>
      <c r="BM120" s="70"/>
      <c r="BN120" s="70"/>
      <c r="BO120" s="70"/>
      <c r="BP120" s="73"/>
      <c r="BQ120" s="70"/>
      <c r="BR120" s="70"/>
      <c r="BS120" s="70"/>
      <c r="BT120" s="70"/>
      <c r="BU120" s="73"/>
      <c r="BV120" s="70"/>
      <c r="BW120" s="70"/>
      <c r="BX120" s="70"/>
      <c r="BY120" s="70"/>
      <c r="BZ120" s="73"/>
      <c r="CA120" s="70"/>
      <c r="CB120" s="70"/>
      <c r="CC120" s="70"/>
      <c r="CD120" s="70"/>
      <c r="CE120" s="73"/>
      <c r="CF120" s="70"/>
      <c r="CG120" s="70"/>
      <c r="CH120" s="70"/>
      <c r="CI120" s="70"/>
      <c r="CJ120" s="73"/>
      <c r="CK120" s="70"/>
      <c r="CL120" s="70"/>
      <c r="CM120" s="70"/>
      <c r="CN120" s="70"/>
      <c r="CO120" s="73"/>
      <c r="CP120" s="70"/>
      <c r="CQ120" s="70"/>
      <c r="CR120" s="70"/>
      <c r="CS120" s="70"/>
      <c r="CT120" s="73"/>
      <c r="CU120" s="70"/>
      <c r="CV120" s="70"/>
      <c r="CW120" s="70"/>
      <c r="CX120" s="70"/>
      <c r="CY120" s="73"/>
      <c r="CZ120" s="70"/>
      <c r="DA120" s="70"/>
      <c r="DB120" s="70"/>
      <c r="DC120" s="70"/>
      <c r="DD120" s="73"/>
      <c r="DE120" s="70"/>
      <c r="DF120" s="70"/>
      <c r="DG120" s="70"/>
      <c r="DH120" s="70"/>
      <c r="DI120" s="73"/>
      <c r="DJ120" s="70"/>
      <c r="DK120" s="70"/>
      <c r="DL120" s="70"/>
      <c r="DM120" s="70"/>
      <c r="DN120" s="73"/>
      <c r="DO120" s="70"/>
      <c r="DP120" s="70"/>
      <c r="DQ120" s="70"/>
      <c r="DR120" s="70"/>
      <c r="DS120" s="73"/>
      <c r="DT120" s="70"/>
      <c r="DU120" s="70"/>
      <c r="DV120" s="70"/>
      <c r="DW120" s="70"/>
      <c r="DX120" s="73"/>
      <c r="DY120" s="70"/>
      <c r="DZ120" s="70"/>
      <c r="EA120" s="70"/>
      <c r="EB120" s="70"/>
      <c r="EC120" s="73"/>
      <c r="ED120" s="70"/>
      <c r="EE120" s="70"/>
      <c r="EF120" s="70"/>
      <c r="EG120" s="70"/>
      <c r="EH120" s="73"/>
      <c r="EI120" s="70"/>
      <c r="EJ120" s="70"/>
      <c r="EK120" s="70"/>
      <c r="EL120" s="70"/>
      <c r="EM120" s="73"/>
      <c r="EN120" s="70"/>
      <c r="EO120" s="70"/>
      <c r="EP120" s="70"/>
      <c r="EQ120" s="70"/>
      <c r="ER120" s="73"/>
      <c r="ES120" s="70"/>
      <c r="ET120" s="70"/>
      <c r="EU120" s="70"/>
      <c r="EV120" s="70"/>
      <c r="EW120" s="73"/>
      <c r="EX120" s="70"/>
      <c r="EY120" s="70"/>
      <c r="EZ120" s="70"/>
      <c r="FA120" s="70"/>
      <c r="FB120" s="73"/>
      <c r="FC120" s="70"/>
      <c r="FD120" s="70"/>
      <c r="FE120" s="70"/>
      <c r="FF120" s="70"/>
      <c r="FG120" s="73"/>
      <c r="FH120" s="70"/>
      <c r="FI120" s="70"/>
      <c r="FJ120" s="70"/>
      <c r="FK120" s="70"/>
      <c r="FL120" s="73"/>
      <c r="FM120" s="70"/>
      <c r="FN120" s="70"/>
      <c r="FO120" s="70"/>
      <c r="FP120" s="70"/>
      <c r="FQ120" s="73"/>
      <c r="FR120" s="70"/>
      <c r="FS120" s="70"/>
      <c r="FT120" s="70"/>
      <c r="FU120" s="70"/>
      <c r="FV120" s="73"/>
      <c r="FW120" s="70"/>
      <c r="FX120" s="70"/>
      <c r="FY120" s="70"/>
      <c r="FZ120" s="70"/>
      <c r="GA120" s="73"/>
    </row>
    <row r="121" spans="1:183" s="1553" customFormat="1" ht="12.75" customHeight="1" outlineLevel="1">
      <c r="A121" s="1548"/>
      <c r="B121" s="1549" t="s">
        <v>62</v>
      </c>
      <c r="C121" s="1550"/>
      <c r="D121" s="1551"/>
      <c r="E121" s="1551"/>
      <c r="F121" s="1551"/>
      <c r="G121" s="1551"/>
      <c r="H121" s="1552"/>
      <c r="I121" s="1551"/>
      <c r="J121" s="1551"/>
      <c r="K121" s="1551"/>
      <c r="L121" s="1551"/>
      <c r="M121" s="1552"/>
      <c r="N121" s="1551"/>
      <c r="O121" s="1551"/>
      <c r="P121" s="1551"/>
      <c r="Q121" s="1551"/>
      <c r="R121" s="1552"/>
      <c r="S121" s="1551"/>
      <c r="T121" s="1551"/>
      <c r="U121" s="1551"/>
      <c r="V121" s="1551"/>
      <c r="W121" s="1552"/>
      <c r="X121" s="1551"/>
      <c r="Y121" s="1551"/>
      <c r="Z121" s="1551"/>
      <c r="AA121" s="1551"/>
      <c r="AB121" s="1552"/>
      <c r="AC121" s="1551"/>
      <c r="AD121" s="1551"/>
      <c r="AE121" s="1551"/>
      <c r="AF121" s="1551"/>
      <c r="AG121" s="1552"/>
      <c r="AH121" s="1551"/>
      <c r="AI121" s="1551"/>
      <c r="AJ121" s="1551"/>
      <c r="AK121" s="1551"/>
      <c r="AL121" s="1552"/>
      <c r="AM121" s="1551"/>
      <c r="AN121" s="1551"/>
      <c r="AO121" s="1551"/>
      <c r="AP121" s="1551"/>
      <c r="AQ121" s="1552"/>
      <c r="AR121" s="1551"/>
      <c r="AS121" s="1551"/>
      <c r="AT121" s="1551"/>
      <c r="AU121" s="1551"/>
      <c r="AV121" s="1552"/>
      <c r="AW121" s="1551"/>
      <c r="AX121" s="1551"/>
      <c r="AY121" s="1551"/>
      <c r="AZ121" s="1551"/>
      <c r="BA121" s="1552"/>
      <c r="BB121" s="1551"/>
      <c r="BC121" s="1551"/>
      <c r="BD121" s="1551"/>
      <c r="BE121" s="1551"/>
      <c r="BF121" s="1552"/>
      <c r="BG121" s="1551"/>
      <c r="BH121" s="1551"/>
      <c r="BI121" s="1551"/>
      <c r="BJ121" s="1551"/>
      <c r="BK121" s="1552"/>
      <c r="BL121" s="1551"/>
      <c r="BM121" s="1551"/>
      <c r="BN121" s="1551"/>
      <c r="BO121" s="1551"/>
      <c r="BP121" s="1552"/>
      <c r="BQ121" s="1551"/>
      <c r="BR121" s="1551"/>
      <c r="BS121" s="1551"/>
      <c r="BT121" s="1551"/>
      <c r="BU121" s="1552"/>
      <c r="BV121" s="1551"/>
      <c r="BW121" s="1551"/>
      <c r="BX121" s="1551"/>
      <c r="BY121" s="1551"/>
      <c r="BZ121" s="1552"/>
      <c r="CA121" s="1551"/>
      <c r="CB121" s="1551"/>
      <c r="CC121" s="1551"/>
      <c r="CD121" s="1551"/>
      <c r="CE121" s="1552"/>
      <c r="CF121" s="1551"/>
      <c r="CG121" s="1551"/>
      <c r="CH121" s="1551"/>
      <c r="CI121" s="1551"/>
      <c r="CJ121" s="1552"/>
      <c r="CK121" s="1551"/>
      <c r="CL121" s="1551"/>
      <c r="CM121" s="1551"/>
      <c r="CN121" s="1551"/>
      <c r="CO121" s="1552"/>
      <c r="CP121" s="1551"/>
      <c r="CQ121" s="1551"/>
      <c r="CR121" s="1551"/>
      <c r="CS121" s="1551"/>
      <c r="CT121" s="1552"/>
      <c r="CU121" s="1551"/>
      <c r="CV121" s="1551"/>
      <c r="CW121" s="1551"/>
      <c r="CX121" s="1551"/>
      <c r="CY121" s="1552"/>
      <c r="CZ121" s="1551"/>
      <c r="DA121" s="1551"/>
      <c r="DB121" s="1551"/>
      <c r="DC121" s="1551"/>
      <c r="DD121" s="1552"/>
      <c r="DE121" s="1551"/>
      <c r="DF121" s="1551"/>
      <c r="DG121" s="1551"/>
      <c r="DH121" s="1551"/>
      <c r="DI121" s="1552"/>
      <c r="DJ121" s="1551"/>
      <c r="DK121" s="1551"/>
      <c r="DL121" s="1551"/>
      <c r="DM121" s="1551"/>
      <c r="DN121" s="1552"/>
      <c r="DO121" s="1551"/>
      <c r="DP121" s="1551"/>
      <c r="DQ121" s="1551"/>
      <c r="DR121" s="1551"/>
      <c r="DS121" s="1552"/>
      <c r="DT121" s="1551"/>
      <c r="DU121" s="1551"/>
      <c r="DV121" s="1551"/>
      <c r="DW121" s="1551"/>
      <c r="DX121" s="1552"/>
      <c r="DY121" s="1551">
        <v>62959</v>
      </c>
      <c r="DZ121" s="1551">
        <v>34345</v>
      </c>
      <c r="EA121" s="1551">
        <v>34690</v>
      </c>
      <c r="EB121" s="1551">
        <v>47021</v>
      </c>
      <c r="EC121" s="1552">
        <v>179015</v>
      </c>
      <c r="ED121" s="1551">
        <v>34630</v>
      </c>
      <c r="EE121" s="1551">
        <v>40002</v>
      </c>
      <c r="EF121" s="1551">
        <v>41387</v>
      </c>
      <c r="EG121" s="1551">
        <v>57594</v>
      </c>
      <c r="EH121" s="1552">
        <v>173613</v>
      </c>
      <c r="EI121" s="1551">
        <v>42257</v>
      </c>
      <c r="EJ121" s="1551">
        <v>47264</v>
      </c>
      <c r="EK121" s="1551">
        <v>49386</v>
      </c>
      <c r="EL121" s="1551">
        <v>63376</v>
      </c>
      <c r="EM121" s="1552">
        <v>202283</v>
      </c>
      <c r="EN121" s="1551">
        <v>45924</v>
      </c>
      <c r="EO121" s="1551">
        <v>48388.667999999998</v>
      </c>
      <c r="EP121" s="1551">
        <v>52777.832000000002</v>
      </c>
      <c r="EQ121" s="1551">
        <v>70187.35500000001</v>
      </c>
      <c r="ER121" s="1552">
        <v>217277.875</v>
      </c>
      <c r="ES121" s="1551">
        <v>52045.312999999995</v>
      </c>
      <c r="ET121" s="1551">
        <v>58659.117000000006</v>
      </c>
      <c r="EU121" s="1551">
        <v>60678</v>
      </c>
      <c r="EV121" s="1551">
        <v>80420.464999999997</v>
      </c>
      <c r="EW121" s="1552">
        <v>251946.125</v>
      </c>
      <c r="EX121" s="1551">
        <v>61029.75</v>
      </c>
      <c r="EY121" s="1551">
        <v>62113.832000000002</v>
      </c>
      <c r="EZ121" s="1551">
        <v>69194.335999999996</v>
      </c>
      <c r="FA121" s="1551">
        <v>90064.625999999989</v>
      </c>
      <c r="FB121" s="1552">
        <v>283000.90000000002</v>
      </c>
      <c r="FC121" s="1551">
        <v>70387.706000000006</v>
      </c>
      <c r="FD121" s="1551">
        <v>72336.554999999993</v>
      </c>
      <c r="FE121" s="1551">
        <v>78362.195000000007</v>
      </c>
      <c r="FF121" s="1551">
        <v>101984.43</v>
      </c>
      <c r="FG121" s="1552">
        <v>320583.8</v>
      </c>
      <c r="FH121" s="1551">
        <v>81762.19</v>
      </c>
      <c r="FI121" s="1551">
        <v>82994.266000000003</v>
      </c>
      <c r="FJ121" s="1551">
        <v>89637.99</v>
      </c>
      <c r="FK121" s="1551">
        <v>115817.13</v>
      </c>
      <c r="FL121" s="1552">
        <v>365105.03</v>
      </c>
      <c r="FM121" s="1551" t="s">
        <v>2451</v>
      </c>
      <c r="FN121" s="1551" t="s">
        <v>2451</v>
      </c>
      <c r="FO121" s="1551" t="s">
        <v>2451</v>
      </c>
      <c r="FP121" s="1551" t="s">
        <v>2451</v>
      </c>
      <c r="FQ121" s="1552" t="s">
        <v>2451</v>
      </c>
      <c r="FR121" s="1551" t="s">
        <v>2451</v>
      </c>
      <c r="FS121" s="1551" t="s">
        <v>2451</v>
      </c>
      <c r="FT121" s="1551" t="s">
        <v>2451</v>
      </c>
      <c r="FU121" s="1551" t="s">
        <v>2451</v>
      </c>
      <c r="FV121" s="1552" t="s">
        <v>2451</v>
      </c>
      <c r="FW121" s="1551" t="s">
        <v>2451</v>
      </c>
      <c r="FX121" s="1551" t="s">
        <v>2451</v>
      </c>
      <c r="FY121" s="1551" t="s">
        <v>2451</v>
      </c>
      <c r="FZ121" s="1551" t="s">
        <v>2451</v>
      </c>
      <c r="GA121" s="1552" t="s">
        <v>2451</v>
      </c>
    </row>
    <row r="122" spans="1:183" s="72" customFormat="1" ht="12.75" customHeight="1" outlineLevel="1">
      <c r="A122" s="54"/>
      <c r="B122" s="753" t="s">
        <v>49</v>
      </c>
      <c r="C122" s="69"/>
      <c r="D122" s="85"/>
      <c r="E122" s="85"/>
      <c r="F122" s="85"/>
      <c r="G122" s="85"/>
      <c r="H122" s="71"/>
      <c r="I122" s="70"/>
      <c r="J122" s="70"/>
      <c r="K122" s="70"/>
      <c r="L122" s="70"/>
      <c r="M122" s="71"/>
      <c r="N122" s="70"/>
      <c r="O122" s="70"/>
      <c r="P122" s="70"/>
      <c r="Q122" s="70"/>
      <c r="R122" s="71"/>
      <c r="S122" s="70"/>
      <c r="T122" s="70"/>
      <c r="U122" s="70"/>
      <c r="V122" s="70"/>
      <c r="W122" s="71"/>
      <c r="X122" s="70"/>
      <c r="Y122" s="70"/>
      <c r="Z122" s="70"/>
      <c r="AA122" s="70"/>
      <c r="AB122" s="71"/>
      <c r="AC122" s="70"/>
      <c r="AD122" s="70"/>
      <c r="AE122" s="70"/>
      <c r="AF122" s="70"/>
      <c r="AG122" s="71"/>
      <c r="AH122" s="70"/>
      <c r="AI122" s="70"/>
      <c r="AJ122" s="70"/>
      <c r="AK122" s="70"/>
      <c r="AL122" s="71"/>
      <c r="AM122" s="70"/>
      <c r="AN122" s="70"/>
      <c r="AO122" s="70"/>
      <c r="AP122" s="70"/>
      <c r="AQ122" s="71"/>
      <c r="AR122" s="70"/>
      <c r="AS122" s="70"/>
      <c r="AT122" s="70"/>
      <c r="AU122" s="70"/>
      <c r="AV122" s="71"/>
      <c r="AW122" s="70"/>
      <c r="AX122" s="70"/>
      <c r="AY122" s="70"/>
      <c r="AZ122" s="70"/>
      <c r="BA122" s="71"/>
      <c r="BB122" s="70"/>
      <c r="BC122" s="70"/>
      <c r="BD122" s="70"/>
      <c r="BE122" s="70"/>
      <c r="BF122" s="71"/>
      <c r="BG122" s="70"/>
      <c r="BH122" s="70"/>
      <c r="BI122" s="70"/>
      <c r="BJ122" s="70"/>
      <c r="BK122" s="71"/>
      <c r="BL122" s="70"/>
      <c r="BM122" s="70"/>
      <c r="BN122" s="70"/>
      <c r="BO122" s="70"/>
      <c r="BP122" s="71"/>
      <c r="BQ122" s="70"/>
      <c r="BR122" s="70"/>
      <c r="BS122" s="70"/>
      <c r="BT122" s="70"/>
      <c r="BU122" s="71"/>
      <c r="BV122" s="70"/>
      <c r="BW122" s="70"/>
      <c r="BX122" s="70"/>
      <c r="BY122" s="70"/>
      <c r="BZ122" s="71"/>
      <c r="CA122" s="70"/>
      <c r="CB122" s="70"/>
      <c r="CC122" s="70"/>
      <c r="CD122" s="70"/>
      <c r="CE122" s="71"/>
      <c r="CF122" s="70"/>
      <c r="CG122" s="70"/>
      <c r="CH122" s="70"/>
      <c r="CI122" s="70"/>
      <c r="CJ122" s="71"/>
      <c r="CK122" s="70"/>
      <c r="CL122" s="70"/>
      <c r="CM122" s="70"/>
      <c r="CN122" s="70"/>
      <c r="CO122" s="71"/>
      <c r="CP122" s="70"/>
      <c r="CQ122" s="70"/>
      <c r="CR122" s="70"/>
      <c r="CS122" s="70"/>
      <c r="CT122" s="71"/>
      <c r="CU122" s="70"/>
      <c r="CV122" s="70"/>
      <c r="CW122" s="70"/>
      <c r="CX122" s="70"/>
      <c r="CY122" s="71"/>
      <c r="CZ122" s="70"/>
      <c r="DA122" s="70"/>
      <c r="DB122" s="70"/>
      <c r="DC122" s="70"/>
      <c r="DD122" s="71"/>
      <c r="DE122" s="70"/>
      <c r="DF122" s="70"/>
      <c r="DG122" s="70"/>
      <c r="DH122" s="70"/>
      <c r="DI122" s="71"/>
      <c r="DJ122" s="70"/>
      <c r="DK122" s="70"/>
      <c r="DL122" s="70"/>
      <c r="DM122" s="70"/>
      <c r="DN122" s="71"/>
      <c r="DO122" s="70"/>
      <c r="DP122" s="70"/>
      <c r="DQ122" s="70"/>
      <c r="DR122" s="70"/>
      <c r="DS122" s="71"/>
      <c r="DT122" s="70"/>
      <c r="DU122" s="70"/>
      <c r="DV122" s="70"/>
      <c r="DW122" s="70"/>
      <c r="DX122" s="71"/>
      <c r="DY122" s="70" t="s">
        <v>2451</v>
      </c>
      <c r="DZ122" s="70" t="s">
        <v>2451</v>
      </c>
      <c r="EA122" s="70" t="s">
        <v>2451</v>
      </c>
      <c r="EB122" s="70" t="s">
        <v>2451</v>
      </c>
      <c r="EC122" s="71" t="s">
        <v>2451</v>
      </c>
      <c r="ED122" s="70">
        <v>-0.44995949745072195</v>
      </c>
      <c r="EE122" s="70">
        <v>0.16471102052700548</v>
      </c>
      <c r="EF122" s="70">
        <v>0.19305275295474189</v>
      </c>
      <c r="EG122" s="70">
        <v>0.22485697879670785</v>
      </c>
      <c r="EH122" s="71">
        <v>-3.0176242214339566E-2</v>
      </c>
      <c r="EI122" s="70">
        <v>0.22024256425064981</v>
      </c>
      <c r="EJ122" s="70">
        <v>0.18154092295385227</v>
      </c>
      <c r="EK122" s="70">
        <v>0.1932732500543648</v>
      </c>
      <c r="EL122" s="70">
        <v>0.10039240198631805</v>
      </c>
      <c r="EM122" s="71">
        <v>0.16513740330505211</v>
      </c>
      <c r="EN122" s="70">
        <v>8.677852190169677E-2</v>
      </c>
      <c r="EO122" s="70">
        <v>2.3795446851726521E-2</v>
      </c>
      <c r="EP122" s="70">
        <v>6.8680030777953371E-2</v>
      </c>
      <c r="EQ122" s="70">
        <v>0.10747530610956835</v>
      </c>
      <c r="ER122" s="71">
        <v>7.4128201578975927E-2</v>
      </c>
      <c r="ES122" s="70">
        <v>0.13329224370699411</v>
      </c>
      <c r="ET122" s="70">
        <v>0.21224905384872361</v>
      </c>
      <c r="EU122" s="70">
        <v>0.14968723990026711</v>
      </c>
      <c r="EV122" s="70">
        <v>0.14579705988350722</v>
      </c>
      <c r="EW122" s="71">
        <v>0.15955720295957421</v>
      </c>
      <c r="EX122" s="70">
        <v>0.17262720660359965</v>
      </c>
      <c r="EY122" s="70">
        <v>5.8894766520266595E-2</v>
      </c>
      <c r="EZ122" s="70">
        <v>0.14035294505422047</v>
      </c>
      <c r="FA122" s="70">
        <v>0.1199217263914103</v>
      </c>
      <c r="FB122" s="71">
        <v>0.12325958575469276</v>
      </c>
      <c r="FC122" s="70">
        <v>0.15333433284586628</v>
      </c>
      <c r="FD122" s="70">
        <v>0.16458045930896659</v>
      </c>
      <c r="FE122" s="70">
        <v>0.13249435618545435</v>
      </c>
      <c r="FF122" s="70">
        <v>0.13234723253056102</v>
      </c>
      <c r="FG122" s="71">
        <v>0.13280134444802116</v>
      </c>
      <c r="FH122" s="70">
        <v>0.16159759489817715</v>
      </c>
      <c r="FI122" s="70">
        <v>0.14733506454654921</v>
      </c>
      <c r="FJ122" s="70">
        <v>0.1438933021210036</v>
      </c>
      <c r="FK122" s="70">
        <v>0.13563541022879688</v>
      </c>
      <c r="FL122" s="71">
        <v>0.13887548279108319</v>
      </c>
      <c r="FM122" s="70" t="s">
        <v>2451</v>
      </c>
      <c r="FN122" s="70" t="s">
        <v>2451</v>
      </c>
      <c r="FO122" s="70" t="s">
        <v>2451</v>
      </c>
      <c r="FP122" s="70" t="s">
        <v>2451</v>
      </c>
      <c r="FQ122" s="71" t="s">
        <v>2451</v>
      </c>
      <c r="FR122" s="70" t="s">
        <v>2451</v>
      </c>
      <c r="FS122" s="70" t="s">
        <v>2451</v>
      </c>
      <c r="FT122" s="70" t="s">
        <v>2451</v>
      </c>
      <c r="FU122" s="70" t="s">
        <v>2451</v>
      </c>
      <c r="FV122" s="71" t="s">
        <v>2451</v>
      </c>
      <c r="FW122" s="70" t="s">
        <v>2451</v>
      </c>
      <c r="FX122" s="70" t="s">
        <v>2451</v>
      </c>
      <c r="FY122" s="70" t="s">
        <v>2451</v>
      </c>
      <c r="FZ122" s="70" t="s">
        <v>2451</v>
      </c>
      <c r="GA122" s="71" t="s">
        <v>2451</v>
      </c>
    </row>
    <row r="123" spans="1:183" s="72" customFormat="1" ht="12.75" customHeight="1" outlineLevel="1">
      <c r="A123" s="54"/>
      <c r="B123" s="753" t="s">
        <v>50</v>
      </c>
      <c r="C123" s="69"/>
      <c r="D123" s="85"/>
      <c r="E123" s="70"/>
      <c r="F123" s="70"/>
      <c r="G123" s="70"/>
      <c r="H123" s="71"/>
      <c r="I123" s="70"/>
      <c r="J123" s="70"/>
      <c r="K123" s="70"/>
      <c r="L123" s="70"/>
      <c r="M123" s="73"/>
      <c r="N123" s="70"/>
      <c r="O123" s="70"/>
      <c r="P123" s="70"/>
      <c r="Q123" s="70"/>
      <c r="R123" s="73"/>
      <c r="S123" s="70"/>
      <c r="T123" s="70"/>
      <c r="U123" s="70"/>
      <c r="V123" s="70"/>
      <c r="W123" s="73"/>
      <c r="X123" s="70"/>
      <c r="Y123" s="70"/>
      <c r="Z123" s="70"/>
      <c r="AA123" s="70"/>
      <c r="AB123" s="73"/>
      <c r="AC123" s="70"/>
      <c r="AD123" s="70"/>
      <c r="AE123" s="70"/>
      <c r="AF123" s="70"/>
      <c r="AG123" s="73"/>
      <c r="AH123" s="70"/>
      <c r="AI123" s="70"/>
      <c r="AJ123" s="70"/>
      <c r="AK123" s="70"/>
      <c r="AL123" s="73"/>
      <c r="AM123" s="70"/>
      <c r="AN123" s="70"/>
      <c r="AO123" s="70"/>
      <c r="AP123" s="70"/>
      <c r="AQ123" s="73"/>
      <c r="AR123" s="70"/>
      <c r="AS123" s="70"/>
      <c r="AT123" s="70"/>
      <c r="AU123" s="70"/>
      <c r="AV123" s="73"/>
      <c r="AW123" s="70"/>
      <c r="AX123" s="70"/>
      <c r="AY123" s="70"/>
      <c r="AZ123" s="70"/>
      <c r="BA123" s="73"/>
      <c r="BB123" s="70"/>
      <c r="BC123" s="70"/>
      <c r="BD123" s="70"/>
      <c r="BE123" s="70"/>
      <c r="BF123" s="73"/>
      <c r="BG123" s="70"/>
      <c r="BH123" s="70"/>
      <c r="BI123" s="70"/>
      <c r="BJ123" s="70"/>
      <c r="BK123" s="73"/>
      <c r="BL123" s="70"/>
      <c r="BM123" s="70"/>
      <c r="BN123" s="70"/>
      <c r="BO123" s="70"/>
      <c r="BP123" s="73"/>
      <c r="BQ123" s="70"/>
      <c r="BR123" s="70"/>
      <c r="BS123" s="70"/>
      <c r="BT123" s="70"/>
      <c r="BU123" s="73"/>
      <c r="BV123" s="70"/>
      <c r="BW123" s="70"/>
      <c r="BX123" s="70"/>
      <c r="BY123" s="70"/>
      <c r="BZ123" s="73"/>
      <c r="CA123" s="70"/>
      <c r="CB123" s="70"/>
      <c r="CC123" s="70"/>
      <c r="CD123" s="70"/>
      <c r="CE123" s="73"/>
      <c r="CF123" s="70"/>
      <c r="CG123" s="70"/>
      <c r="CH123" s="70"/>
      <c r="CI123" s="70"/>
      <c r="CJ123" s="73"/>
      <c r="CK123" s="70"/>
      <c r="CL123" s="70"/>
      <c r="CM123" s="70"/>
      <c r="CN123" s="70"/>
      <c r="CO123" s="73"/>
      <c r="CP123" s="70"/>
      <c r="CQ123" s="70"/>
      <c r="CR123" s="70"/>
      <c r="CS123" s="70"/>
      <c r="CT123" s="73"/>
      <c r="CU123" s="70"/>
      <c r="CV123" s="70"/>
      <c r="CW123" s="70"/>
      <c r="CX123" s="70"/>
      <c r="CY123" s="73"/>
      <c r="CZ123" s="70"/>
      <c r="DA123" s="70"/>
      <c r="DB123" s="70"/>
      <c r="DC123" s="70"/>
      <c r="DD123" s="73"/>
      <c r="DE123" s="70"/>
      <c r="DF123" s="70"/>
      <c r="DG123" s="70"/>
      <c r="DH123" s="70"/>
      <c r="DI123" s="73"/>
      <c r="DJ123" s="70"/>
      <c r="DK123" s="70"/>
      <c r="DL123" s="70"/>
      <c r="DM123" s="70"/>
      <c r="DN123" s="73"/>
      <c r="DO123" s="70"/>
      <c r="DP123" s="70"/>
      <c r="DQ123" s="70"/>
      <c r="DR123" s="70"/>
      <c r="DS123" s="73"/>
      <c r="DT123" s="70"/>
      <c r="DU123" s="70"/>
      <c r="DV123" s="70"/>
      <c r="DW123" s="70"/>
      <c r="DX123" s="73"/>
      <c r="DY123" s="70" t="s">
        <v>2451</v>
      </c>
      <c r="DZ123" s="70">
        <v>-0.45448625295827438</v>
      </c>
      <c r="EA123" s="70">
        <v>1.0045130295530669E-2</v>
      </c>
      <c r="EB123" s="70">
        <v>0.35546266935716342</v>
      </c>
      <c r="EC123" s="73"/>
      <c r="ED123" s="70">
        <v>-0.2635205546457966</v>
      </c>
      <c r="EE123" s="70">
        <v>0.15512561362980071</v>
      </c>
      <c r="EF123" s="70">
        <v>3.4623268836558196E-2</v>
      </c>
      <c r="EG123" s="70">
        <v>0.39159639500326193</v>
      </c>
      <c r="EH123" s="73"/>
      <c r="EI123" s="70">
        <v>-0.2662951001840469</v>
      </c>
      <c r="EJ123" s="70">
        <v>0.11848924438554564</v>
      </c>
      <c r="EK123" s="70">
        <v>4.489675016926209E-2</v>
      </c>
      <c r="EL123" s="70">
        <v>0.28327866196897911</v>
      </c>
      <c r="EM123" s="73"/>
      <c r="EN123" s="70">
        <v>-0.27537238071194148</v>
      </c>
      <c r="EO123" s="70">
        <v>5.3668408675202395E-2</v>
      </c>
      <c r="EP123" s="70">
        <v>9.0706443913686652E-2</v>
      </c>
      <c r="EQ123" s="70">
        <v>0.32986430742361694</v>
      </c>
      <c r="ER123" s="73"/>
      <c r="ES123" s="70">
        <v>-0.25848020629926871</v>
      </c>
      <c r="ET123" s="70">
        <v>0.1270778023757877</v>
      </c>
      <c r="EU123" s="70">
        <v>3.4417207473477651E-2</v>
      </c>
      <c r="EV123" s="70">
        <v>0.32536446488018722</v>
      </c>
      <c r="EW123" s="73"/>
      <c r="EX123" s="70">
        <v>-0.241116673473599</v>
      </c>
      <c r="EY123" s="70">
        <v>1.7763172878801026E-2</v>
      </c>
      <c r="EZ123" s="70">
        <v>0.11399238739609552</v>
      </c>
      <c r="FA123" s="70">
        <v>0.30161847351205151</v>
      </c>
      <c r="FB123" s="73"/>
      <c r="FC123" s="70">
        <v>-0.21847556442415017</v>
      </c>
      <c r="FD123" s="70">
        <v>2.7687349265225203E-2</v>
      </c>
      <c r="FE123" s="70">
        <v>8.3300068685881135E-2</v>
      </c>
      <c r="FF123" s="70">
        <v>0.30144937874698363</v>
      </c>
      <c r="FG123" s="73"/>
      <c r="FH123" s="70">
        <v>-0.19828752290913421</v>
      </c>
      <c r="FI123" s="70">
        <v>1.5069019066147771E-2</v>
      </c>
      <c r="FJ123" s="70">
        <v>8.005039769855915E-2</v>
      </c>
      <c r="FK123" s="70">
        <v>0.29205407216293011</v>
      </c>
      <c r="FL123" s="73"/>
      <c r="FM123" s="70" t="s">
        <v>2451</v>
      </c>
      <c r="FN123" s="70" t="s">
        <v>2451</v>
      </c>
      <c r="FO123" s="70" t="s">
        <v>2451</v>
      </c>
      <c r="FP123" s="70" t="s">
        <v>2451</v>
      </c>
      <c r="FQ123" s="73"/>
      <c r="FR123" s="70" t="s">
        <v>2451</v>
      </c>
      <c r="FS123" s="70" t="s">
        <v>2451</v>
      </c>
      <c r="FT123" s="70" t="s">
        <v>2451</v>
      </c>
      <c r="FU123" s="70" t="s">
        <v>2451</v>
      </c>
      <c r="FV123" s="73"/>
      <c r="FW123" s="70" t="s">
        <v>2451</v>
      </c>
      <c r="FX123" s="70" t="s">
        <v>2451</v>
      </c>
      <c r="FY123" s="70" t="s">
        <v>2451</v>
      </c>
      <c r="FZ123" s="70" t="s">
        <v>2451</v>
      </c>
      <c r="GA123" s="73"/>
    </row>
    <row r="124" spans="1:183" s="72" customFormat="1" ht="12.75" customHeight="1" outlineLevel="1">
      <c r="A124" s="54"/>
      <c r="B124" s="753"/>
      <c r="C124" s="69"/>
      <c r="D124" s="85"/>
      <c r="E124" s="70"/>
      <c r="F124" s="70"/>
      <c r="G124" s="70"/>
      <c r="H124" s="71"/>
      <c r="I124" s="70"/>
      <c r="J124" s="70"/>
      <c r="K124" s="70"/>
      <c r="L124" s="70"/>
      <c r="M124" s="73"/>
      <c r="N124" s="70"/>
      <c r="O124" s="70"/>
      <c r="P124" s="70"/>
      <c r="Q124" s="70"/>
      <c r="R124" s="73"/>
      <c r="S124" s="70"/>
      <c r="T124" s="70"/>
      <c r="U124" s="70"/>
      <c r="V124" s="70"/>
      <c r="W124" s="73"/>
      <c r="X124" s="70"/>
      <c r="Y124" s="70"/>
      <c r="Z124" s="70"/>
      <c r="AA124" s="70"/>
      <c r="AB124" s="73"/>
      <c r="AC124" s="70"/>
      <c r="AD124" s="70"/>
      <c r="AE124" s="70"/>
      <c r="AF124" s="70"/>
      <c r="AG124" s="73"/>
      <c r="AH124" s="70"/>
      <c r="AI124" s="70"/>
      <c r="AJ124" s="70"/>
      <c r="AK124" s="70"/>
      <c r="AL124" s="73"/>
      <c r="AM124" s="70"/>
      <c r="AN124" s="70"/>
      <c r="AO124" s="70"/>
      <c r="AP124" s="70"/>
      <c r="AQ124" s="73"/>
      <c r="AR124" s="70"/>
      <c r="AS124" s="70"/>
      <c r="AT124" s="70"/>
      <c r="AU124" s="70"/>
      <c r="AV124" s="73"/>
      <c r="AW124" s="70"/>
      <c r="AX124" s="70"/>
      <c r="AY124" s="70"/>
      <c r="AZ124" s="70"/>
      <c r="BA124" s="73"/>
      <c r="BB124" s="70"/>
      <c r="BC124" s="70"/>
      <c r="BD124" s="70"/>
      <c r="BE124" s="70"/>
      <c r="BF124" s="73"/>
      <c r="BG124" s="70"/>
      <c r="BH124" s="70"/>
      <c r="BI124" s="70"/>
      <c r="BJ124" s="70"/>
      <c r="BK124" s="73"/>
      <c r="BL124" s="70"/>
      <c r="BM124" s="70"/>
      <c r="BN124" s="70"/>
      <c r="BO124" s="70"/>
      <c r="BP124" s="73"/>
      <c r="BQ124" s="70"/>
      <c r="BR124" s="70"/>
      <c r="BS124" s="70"/>
      <c r="BT124" s="70"/>
      <c r="BU124" s="73"/>
      <c r="BV124" s="70"/>
      <c r="BW124" s="70"/>
      <c r="BX124" s="70"/>
      <c r="BY124" s="70"/>
      <c r="BZ124" s="73"/>
      <c r="CA124" s="70"/>
      <c r="CB124" s="70"/>
      <c r="CC124" s="70"/>
      <c r="CD124" s="70"/>
      <c r="CE124" s="73"/>
      <c r="CF124" s="70"/>
      <c r="CG124" s="70"/>
      <c r="CH124" s="70"/>
      <c r="CI124" s="70"/>
      <c r="CJ124" s="73"/>
      <c r="CK124" s="70"/>
      <c r="CL124" s="70"/>
      <c r="CM124" s="70"/>
      <c r="CN124" s="70"/>
      <c r="CO124" s="73"/>
      <c r="CP124" s="70"/>
      <c r="CQ124" s="70"/>
      <c r="CR124" s="70"/>
      <c r="CS124" s="70"/>
      <c r="CT124" s="73"/>
      <c r="CU124" s="70"/>
      <c r="CV124" s="70"/>
      <c r="CW124" s="70"/>
      <c r="CX124" s="70"/>
      <c r="CY124" s="73"/>
      <c r="CZ124" s="70"/>
      <c r="DA124" s="70"/>
      <c r="DB124" s="70"/>
      <c r="DC124" s="70"/>
      <c r="DD124" s="73"/>
      <c r="DE124" s="70"/>
      <c r="DF124" s="70"/>
      <c r="DG124" s="70"/>
      <c r="DH124" s="70"/>
      <c r="DI124" s="73"/>
      <c r="DJ124" s="70"/>
      <c r="DK124" s="70"/>
      <c r="DL124" s="70"/>
      <c r="DM124" s="70"/>
      <c r="DN124" s="73"/>
      <c r="DO124" s="70"/>
      <c r="DP124" s="70"/>
      <c r="DQ124" s="70"/>
      <c r="DR124" s="70"/>
      <c r="DS124" s="73"/>
      <c r="DT124" s="70"/>
      <c r="DU124" s="70"/>
      <c r="DV124" s="70"/>
      <c r="DW124" s="70"/>
      <c r="DX124" s="73"/>
      <c r="DY124" s="70"/>
      <c r="DZ124" s="70"/>
      <c r="EA124" s="70"/>
      <c r="EB124" s="70"/>
      <c r="EC124" s="73"/>
      <c r="ED124" s="70"/>
      <c r="EE124" s="70"/>
      <c r="EF124" s="70"/>
      <c r="EG124" s="70"/>
      <c r="EH124" s="73"/>
      <c r="EI124" s="70"/>
      <c r="EJ124" s="70"/>
      <c r="EK124" s="70"/>
      <c r="EL124" s="70"/>
      <c r="EM124" s="73"/>
      <c r="EN124" s="70"/>
      <c r="EO124" s="70"/>
      <c r="EP124" s="70"/>
      <c r="EQ124" s="70"/>
      <c r="ER124" s="73"/>
      <c r="ES124" s="70"/>
      <c r="ET124" s="70"/>
      <c r="EU124" s="70"/>
      <c r="EV124" s="70"/>
      <c r="EW124" s="73"/>
      <c r="EX124" s="70"/>
      <c r="EY124" s="70"/>
      <c r="EZ124" s="70"/>
      <c r="FA124" s="70"/>
      <c r="FB124" s="73"/>
      <c r="FC124" s="70"/>
      <c r="FD124" s="70"/>
      <c r="FE124" s="70"/>
      <c r="FF124" s="70"/>
      <c r="FG124" s="73"/>
      <c r="FH124" s="70"/>
      <c r="FI124" s="70"/>
      <c r="FJ124" s="70"/>
      <c r="FK124" s="70"/>
      <c r="FL124" s="73"/>
      <c r="FM124" s="70"/>
      <c r="FN124" s="70"/>
      <c r="FO124" s="70"/>
      <c r="FP124" s="70"/>
      <c r="FQ124" s="73"/>
      <c r="FR124" s="70"/>
      <c r="FS124" s="70"/>
      <c r="FT124" s="70"/>
      <c r="FU124" s="70"/>
      <c r="FV124" s="73"/>
      <c r="FW124" s="70"/>
      <c r="FX124" s="70"/>
      <c r="FY124" s="70"/>
      <c r="FZ124" s="70"/>
      <c r="GA124" s="73"/>
    </row>
    <row r="125" spans="1:183" s="67" customFormat="1" ht="12.75" customHeight="1" outlineLevel="1">
      <c r="A125" s="63" t="s">
        <v>1941</v>
      </c>
      <c r="B125" s="1716" t="s">
        <v>2081</v>
      </c>
      <c r="C125" s="64"/>
      <c r="D125" s="65"/>
      <c r="E125" s="65"/>
      <c r="F125" s="65"/>
      <c r="G125" s="65"/>
      <c r="H125" s="66"/>
      <c r="I125" s="65"/>
      <c r="J125" s="65"/>
      <c r="K125" s="65"/>
      <c r="L125" s="65"/>
      <c r="M125" s="66"/>
      <c r="N125" s="65"/>
      <c r="O125" s="65"/>
      <c r="P125" s="65"/>
      <c r="Q125" s="65"/>
      <c r="R125" s="66"/>
      <c r="S125" s="65"/>
      <c r="T125" s="65"/>
      <c r="U125" s="65"/>
      <c r="V125" s="65"/>
      <c r="W125" s="66"/>
      <c r="X125" s="65"/>
      <c r="Y125" s="65"/>
      <c r="Z125" s="65"/>
      <c r="AA125" s="65"/>
      <c r="AB125" s="66"/>
      <c r="AC125" s="65"/>
      <c r="AD125" s="65"/>
      <c r="AE125" s="65"/>
      <c r="AF125" s="65"/>
      <c r="AG125" s="66"/>
      <c r="AH125" s="65"/>
      <c r="AI125" s="65"/>
      <c r="AJ125" s="65"/>
      <c r="AK125" s="65"/>
      <c r="AL125" s="66"/>
      <c r="AM125" s="65"/>
      <c r="AN125" s="65"/>
      <c r="AO125" s="65"/>
      <c r="AP125" s="65"/>
      <c r="AQ125" s="66"/>
      <c r="AR125" s="65"/>
      <c r="AS125" s="65"/>
      <c r="AT125" s="65"/>
      <c r="AU125" s="65"/>
      <c r="AV125" s="66"/>
      <c r="AW125" s="65"/>
      <c r="AX125" s="65"/>
      <c r="AY125" s="65"/>
      <c r="AZ125" s="65"/>
      <c r="BA125" s="66"/>
      <c r="BB125" s="65"/>
      <c r="BC125" s="65"/>
      <c r="BD125" s="65"/>
      <c r="BE125" s="65"/>
      <c r="BF125" s="66"/>
      <c r="BG125" s="65"/>
      <c r="BH125" s="65"/>
      <c r="BI125" s="65"/>
      <c r="BJ125" s="65"/>
      <c r="BK125" s="66"/>
      <c r="BL125" s="65"/>
      <c r="BM125" s="65"/>
      <c r="BN125" s="65"/>
      <c r="BO125" s="65"/>
      <c r="BP125" s="66"/>
      <c r="BQ125" s="65"/>
      <c r="BR125" s="65"/>
      <c r="BS125" s="65"/>
      <c r="BT125" s="65"/>
      <c r="BU125" s="66"/>
      <c r="BV125" s="65"/>
      <c r="BW125" s="65"/>
      <c r="BX125" s="65"/>
      <c r="BY125" s="65"/>
      <c r="BZ125" s="66"/>
      <c r="CA125" s="65"/>
      <c r="CB125" s="65"/>
      <c r="CC125" s="65"/>
      <c r="CD125" s="65"/>
      <c r="CE125" s="66"/>
      <c r="CF125" s="65"/>
      <c r="CG125" s="65"/>
      <c r="CH125" s="65"/>
      <c r="CI125" s="65"/>
      <c r="CJ125" s="66"/>
      <c r="CK125" s="65"/>
      <c r="CL125" s="65"/>
      <c r="CM125" s="65"/>
      <c r="CN125" s="65"/>
      <c r="CO125" s="66"/>
      <c r="CP125" s="65"/>
      <c r="CQ125" s="65"/>
      <c r="CR125" s="65"/>
      <c r="CS125" s="65"/>
      <c r="CT125" s="66"/>
      <c r="CU125" s="65"/>
      <c r="CV125" s="65"/>
      <c r="CW125" s="65"/>
      <c r="CX125" s="65"/>
      <c r="CY125" s="66"/>
      <c r="CZ125" s="65"/>
      <c r="DA125" s="65"/>
      <c r="DB125" s="65"/>
      <c r="DC125" s="65"/>
      <c r="DD125" s="66"/>
      <c r="DE125" s="65"/>
      <c r="DF125" s="65"/>
      <c r="DG125" s="65"/>
      <c r="DH125" s="65"/>
      <c r="DI125" s="66"/>
      <c r="DJ125" s="65"/>
      <c r="DK125" s="65"/>
      <c r="DL125" s="65"/>
      <c r="DM125" s="65"/>
      <c r="DN125" s="66"/>
      <c r="DO125" s="65"/>
      <c r="DP125" s="65"/>
      <c r="DQ125" s="65"/>
      <c r="DR125" s="65"/>
      <c r="DS125" s="66"/>
      <c r="DT125" s="65"/>
      <c r="DU125" s="65"/>
      <c r="DV125" s="65"/>
      <c r="DW125" s="65"/>
      <c r="DX125" s="66"/>
      <c r="DY125" s="65" t="s">
        <v>2451</v>
      </c>
      <c r="DZ125" s="65" t="s">
        <v>2451</v>
      </c>
      <c r="EA125" s="65" t="s">
        <v>2451</v>
      </c>
      <c r="EB125" s="65" t="s">
        <v>2451</v>
      </c>
      <c r="EC125" s="66" t="s">
        <v>2451</v>
      </c>
      <c r="ED125" s="65" t="s">
        <v>2451</v>
      </c>
      <c r="EE125" s="65" t="s">
        <v>2451</v>
      </c>
      <c r="EF125" s="65" t="s">
        <v>2451</v>
      </c>
      <c r="EG125" s="65" t="s">
        <v>2451</v>
      </c>
      <c r="EH125" s="66" t="s">
        <v>2451</v>
      </c>
      <c r="EI125" s="65" t="s">
        <v>2451</v>
      </c>
      <c r="EJ125" s="65" t="s">
        <v>2451</v>
      </c>
      <c r="EK125" s="65" t="s">
        <v>2451</v>
      </c>
      <c r="EL125" s="65" t="s">
        <v>2451</v>
      </c>
      <c r="EM125" s="66" t="s">
        <v>2451</v>
      </c>
      <c r="EN125" s="65" t="s">
        <v>2451</v>
      </c>
      <c r="EO125" s="65">
        <v>6800</v>
      </c>
      <c r="EP125" s="65">
        <v>7800</v>
      </c>
      <c r="EQ125" s="65">
        <v>10700</v>
      </c>
      <c r="ER125" s="66">
        <v>31900</v>
      </c>
      <c r="ES125" s="65">
        <v>11200</v>
      </c>
      <c r="ET125" s="65">
        <v>11500</v>
      </c>
      <c r="EU125" s="65">
        <v>14000</v>
      </c>
      <c r="EV125" s="65">
        <v>19000</v>
      </c>
      <c r="EW125" s="66">
        <v>57879</v>
      </c>
      <c r="EX125" s="65">
        <v>20000</v>
      </c>
      <c r="EY125" s="65">
        <v>22600</v>
      </c>
      <c r="EZ125" s="65">
        <v>21400</v>
      </c>
      <c r="FA125" s="65">
        <v>21355</v>
      </c>
      <c r="FB125" s="66">
        <v>85635</v>
      </c>
      <c r="FC125" s="65" t="s">
        <v>2451</v>
      </c>
      <c r="FD125" s="65" t="s">
        <v>2451</v>
      </c>
      <c r="FE125" s="65" t="s">
        <v>2451</v>
      </c>
      <c r="FF125" s="65" t="s">
        <v>2451</v>
      </c>
      <c r="FG125" s="66">
        <v>90698</v>
      </c>
      <c r="FH125" s="65" t="s">
        <v>2451</v>
      </c>
      <c r="FI125" s="65" t="s">
        <v>2451</v>
      </c>
      <c r="FJ125" s="65" t="s">
        <v>2451</v>
      </c>
      <c r="FK125" s="65" t="s">
        <v>2451</v>
      </c>
      <c r="FL125" s="66">
        <v>80594</v>
      </c>
      <c r="FM125" s="65" t="s">
        <v>2451</v>
      </c>
      <c r="FN125" s="65" t="s">
        <v>2451</v>
      </c>
      <c r="FO125" s="65" t="s">
        <v>2451</v>
      </c>
      <c r="FP125" s="65" t="s">
        <v>2451</v>
      </c>
      <c r="FQ125" s="66" t="s">
        <v>2451</v>
      </c>
      <c r="FR125" s="65" t="s">
        <v>2451</v>
      </c>
      <c r="FS125" s="65" t="s">
        <v>2451</v>
      </c>
      <c r="FT125" s="65" t="s">
        <v>2451</v>
      </c>
      <c r="FU125" s="65" t="s">
        <v>2451</v>
      </c>
      <c r="FV125" s="66" t="s">
        <v>2451</v>
      </c>
      <c r="FW125" s="65" t="s">
        <v>2451</v>
      </c>
      <c r="FX125" s="65" t="s">
        <v>2451</v>
      </c>
      <c r="FY125" s="65" t="s">
        <v>2451</v>
      </c>
      <c r="FZ125" s="65" t="s">
        <v>2451</v>
      </c>
      <c r="GA125" s="66" t="s">
        <v>2451</v>
      </c>
    </row>
    <row r="126" spans="1:183" s="72" customFormat="1" ht="12.75" customHeight="1" outlineLevel="1">
      <c r="A126" s="68" t="s">
        <v>1942</v>
      </c>
      <c r="B126" s="753" t="s">
        <v>34</v>
      </c>
      <c r="C126" s="69"/>
      <c r="D126" s="70"/>
      <c r="E126" s="70"/>
      <c r="F126" s="70"/>
      <c r="G126" s="70"/>
      <c r="H126" s="71"/>
      <c r="I126" s="70"/>
      <c r="J126" s="70"/>
      <c r="K126" s="70"/>
      <c r="L126" s="70"/>
      <c r="M126" s="71"/>
      <c r="N126" s="70"/>
      <c r="O126" s="70"/>
      <c r="P126" s="70"/>
      <c r="Q126" s="70"/>
      <c r="R126" s="71"/>
      <c r="S126" s="70"/>
      <c r="T126" s="70"/>
      <c r="U126" s="70"/>
      <c r="V126" s="70"/>
      <c r="W126" s="71"/>
      <c r="X126" s="70"/>
      <c r="Y126" s="70"/>
      <c r="Z126" s="70"/>
      <c r="AA126" s="70"/>
      <c r="AB126" s="71"/>
      <c r="AC126" s="70"/>
      <c r="AD126" s="70"/>
      <c r="AE126" s="70"/>
      <c r="AF126" s="70"/>
      <c r="AG126" s="71"/>
      <c r="AH126" s="70"/>
      <c r="AI126" s="70"/>
      <c r="AJ126" s="70"/>
      <c r="AK126" s="70"/>
      <c r="AL126" s="71"/>
      <c r="AM126" s="70"/>
      <c r="AN126" s="70"/>
      <c r="AO126" s="70"/>
      <c r="AP126" s="70"/>
      <c r="AQ126" s="71"/>
      <c r="AR126" s="70"/>
      <c r="AS126" s="70"/>
      <c r="AT126" s="70"/>
      <c r="AU126" s="70"/>
      <c r="AV126" s="71"/>
      <c r="AW126" s="70"/>
      <c r="AX126" s="70"/>
      <c r="AY126" s="70"/>
      <c r="AZ126" s="70"/>
      <c r="BA126" s="71"/>
      <c r="BB126" s="70"/>
      <c r="BC126" s="70"/>
      <c r="BD126" s="70"/>
      <c r="BE126" s="70"/>
      <c r="BF126" s="71"/>
      <c r="BG126" s="70"/>
      <c r="BH126" s="70"/>
      <c r="BI126" s="70"/>
      <c r="BJ126" s="70"/>
      <c r="BK126" s="71"/>
      <c r="BL126" s="70"/>
      <c r="BM126" s="70"/>
      <c r="BN126" s="70"/>
      <c r="BO126" s="70"/>
      <c r="BP126" s="71"/>
      <c r="BQ126" s="70"/>
      <c r="BR126" s="70"/>
      <c r="BS126" s="70"/>
      <c r="BT126" s="70"/>
      <c r="BU126" s="71"/>
      <c r="BV126" s="70"/>
      <c r="BW126" s="70"/>
      <c r="BX126" s="70"/>
      <c r="BY126" s="70"/>
      <c r="BZ126" s="71"/>
      <c r="CA126" s="70"/>
      <c r="CB126" s="70"/>
      <c r="CC126" s="70"/>
      <c r="CD126" s="70"/>
      <c r="CE126" s="71"/>
      <c r="CF126" s="70"/>
      <c r="CG126" s="70"/>
      <c r="CH126" s="70"/>
      <c r="CI126" s="70"/>
      <c r="CJ126" s="71"/>
      <c r="CK126" s="70"/>
      <c r="CL126" s="70"/>
      <c r="CM126" s="70"/>
      <c r="CN126" s="70"/>
      <c r="CO126" s="71"/>
      <c r="CP126" s="70"/>
      <c r="CQ126" s="70"/>
      <c r="CR126" s="70"/>
      <c r="CS126" s="70"/>
      <c r="CT126" s="71"/>
      <c r="CU126" s="70"/>
      <c r="CV126" s="70"/>
      <c r="CW126" s="70"/>
      <c r="CX126" s="70"/>
      <c r="CY126" s="71"/>
      <c r="CZ126" s="70"/>
      <c r="DA126" s="70"/>
      <c r="DB126" s="70"/>
      <c r="DC126" s="70"/>
      <c r="DD126" s="71"/>
      <c r="DE126" s="70"/>
      <c r="DF126" s="70"/>
      <c r="DG126" s="70"/>
      <c r="DH126" s="70"/>
      <c r="DI126" s="71"/>
      <c r="DJ126" s="70"/>
      <c r="DK126" s="70"/>
      <c r="DL126" s="70"/>
      <c r="DM126" s="70"/>
      <c r="DN126" s="71"/>
      <c r="DO126" s="70"/>
      <c r="DP126" s="70"/>
      <c r="DQ126" s="70"/>
      <c r="DR126" s="70"/>
      <c r="DS126" s="71"/>
      <c r="DT126" s="70"/>
      <c r="DU126" s="70"/>
      <c r="DV126" s="70"/>
      <c r="DW126" s="70"/>
      <c r="DX126" s="71"/>
      <c r="DY126" s="70" t="s">
        <v>2451</v>
      </c>
      <c r="DZ126" s="70" t="s">
        <v>2451</v>
      </c>
      <c r="EA126" s="70" t="s">
        <v>2451</v>
      </c>
      <c r="EB126" s="70" t="s">
        <v>2451</v>
      </c>
      <c r="EC126" s="71" t="s">
        <v>2451</v>
      </c>
      <c r="ED126" s="70" t="s">
        <v>2451</v>
      </c>
      <c r="EE126" s="70" t="s">
        <v>2451</v>
      </c>
      <c r="EF126" s="70" t="s">
        <v>2451</v>
      </c>
      <c r="EG126" s="70" t="s">
        <v>2451</v>
      </c>
      <c r="EH126" s="71" t="s">
        <v>2451</v>
      </c>
      <c r="EI126" s="70" t="s">
        <v>2451</v>
      </c>
      <c r="EJ126" s="70" t="s">
        <v>2451</v>
      </c>
      <c r="EK126" s="70" t="s">
        <v>2451</v>
      </c>
      <c r="EL126" s="70" t="s">
        <v>2451</v>
      </c>
      <c r="EM126" s="71" t="s">
        <v>2451</v>
      </c>
      <c r="EN126" s="70" t="s">
        <v>2451</v>
      </c>
      <c r="EO126" s="70" t="s">
        <v>2451</v>
      </c>
      <c r="EP126" s="70" t="s">
        <v>2451</v>
      </c>
      <c r="EQ126" s="70" t="s">
        <v>2451</v>
      </c>
      <c r="ER126" s="71" t="s">
        <v>2451</v>
      </c>
      <c r="ES126" s="70" t="s">
        <v>2451</v>
      </c>
      <c r="ET126" s="70">
        <v>0.69117647058823528</v>
      </c>
      <c r="EU126" s="70">
        <v>0.79487179487179493</v>
      </c>
      <c r="EV126" s="70">
        <v>0.77570093457943923</v>
      </c>
      <c r="EW126" s="71">
        <v>0.81438871473354224</v>
      </c>
      <c r="EX126" s="70">
        <v>0.78571428571428581</v>
      </c>
      <c r="EY126" s="70">
        <v>0.9652173913043478</v>
      </c>
      <c r="EZ126" s="70">
        <v>0.52857142857142847</v>
      </c>
      <c r="FA126" s="70">
        <v>0.12394736842105258</v>
      </c>
      <c r="FB126" s="71">
        <v>0.47955216918053178</v>
      </c>
      <c r="FC126" s="70" t="s">
        <v>2451</v>
      </c>
      <c r="FD126" s="70" t="s">
        <v>2451</v>
      </c>
      <c r="FE126" s="70" t="s">
        <v>2451</v>
      </c>
      <c r="FF126" s="70" t="s">
        <v>2451</v>
      </c>
      <c r="FG126" s="71">
        <v>5.9123022128802383E-2</v>
      </c>
      <c r="FH126" s="70" t="s">
        <v>2451</v>
      </c>
      <c r="FI126" s="70" t="s">
        <v>2451</v>
      </c>
      <c r="FJ126" s="70" t="s">
        <v>2451</v>
      </c>
      <c r="FK126" s="70" t="s">
        <v>2451</v>
      </c>
      <c r="FL126" s="71">
        <v>-0.11140267701603124</v>
      </c>
      <c r="FM126" s="70" t="s">
        <v>2451</v>
      </c>
      <c r="FN126" s="70" t="s">
        <v>2451</v>
      </c>
      <c r="FO126" s="70" t="s">
        <v>2451</v>
      </c>
      <c r="FP126" s="70" t="s">
        <v>2451</v>
      </c>
      <c r="FQ126" s="71" t="s">
        <v>2451</v>
      </c>
      <c r="FR126" s="70" t="s">
        <v>2451</v>
      </c>
      <c r="FS126" s="70" t="s">
        <v>2451</v>
      </c>
      <c r="FT126" s="70" t="s">
        <v>2451</v>
      </c>
      <c r="FU126" s="70" t="s">
        <v>2451</v>
      </c>
      <c r="FV126" s="71" t="s">
        <v>2451</v>
      </c>
      <c r="FW126" s="70" t="s">
        <v>2451</v>
      </c>
      <c r="FX126" s="70" t="s">
        <v>2451</v>
      </c>
      <c r="FY126" s="70" t="s">
        <v>2451</v>
      </c>
      <c r="FZ126" s="70" t="s">
        <v>2451</v>
      </c>
      <c r="GA126" s="71" t="s">
        <v>2451</v>
      </c>
    </row>
    <row r="127" spans="1:183" s="72" customFormat="1" ht="12.75" customHeight="1" outlineLevel="1">
      <c r="A127" s="68" t="s">
        <v>1943</v>
      </c>
      <c r="B127" s="753" t="s">
        <v>36</v>
      </c>
      <c r="C127" s="69"/>
      <c r="D127" s="70"/>
      <c r="E127" s="70"/>
      <c r="F127" s="70"/>
      <c r="G127" s="70"/>
      <c r="H127" s="73"/>
      <c r="I127" s="70"/>
      <c r="J127" s="70"/>
      <c r="K127" s="70"/>
      <c r="L127" s="70"/>
      <c r="M127" s="73"/>
      <c r="N127" s="70"/>
      <c r="O127" s="70"/>
      <c r="P127" s="70"/>
      <c r="Q127" s="70"/>
      <c r="R127" s="73"/>
      <c r="S127" s="70"/>
      <c r="T127" s="70"/>
      <c r="U127" s="70"/>
      <c r="V127" s="70"/>
      <c r="W127" s="73"/>
      <c r="X127" s="70"/>
      <c r="Y127" s="70"/>
      <c r="Z127" s="70"/>
      <c r="AA127" s="70"/>
      <c r="AB127" s="73"/>
      <c r="AC127" s="70"/>
      <c r="AD127" s="70"/>
      <c r="AE127" s="70"/>
      <c r="AF127" s="70"/>
      <c r="AG127" s="73"/>
      <c r="AH127" s="70"/>
      <c r="AI127" s="70"/>
      <c r="AJ127" s="70"/>
      <c r="AK127" s="70"/>
      <c r="AL127" s="73"/>
      <c r="AM127" s="70"/>
      <c r="AN127" s="70"/>
      <c r="AO127" s="70"/>
      <c r="AP127" s="70"/>
      <c r="AQ127" s="73"/>
      <c r="AR127" s="70"/>
      <c r="AS127" s="70"/>
      <c r="AT127" s="70"/>
      <c r="AU127" s="70"/>
      <c r="AV127" s="73"/>
      <c r="AW127" s="70"/>
      <c r="AX127" s="70"/>
      <c r="AY127" s="70"/>
      <c r="AZ127" s="70"/>
      <c r="BA127" s="73"/>
      <c r="BB127" s="70"/>
      <c r="BC127" s="70"/>
      <c r="BD127" s="70"/>
      <c r="BE127" s="70"/>
      <c r="BF127" s="73"/>
      <c r="BG127" s="70"/>
      <c r="BH127" s="70"/>
      <c r="BI127" s="70"/>
      <c r="BJ127" s="70"/>
      <c r="BK127" s="73"/>
      <c r="BL127" s="70"/>
      <c r="BM127" s="70"/>
      <c r="BN127" s="70"/>
      <c r="BO127" s="70"/>
      <c r="BP127" s="73"/>
      <c r="BQ127" s="70"/>
      <c r="BR127" s="70"/>
      <c r="BS127" s="70"/>
      <c r="BT127" s="70"/>
      <c r="BU127" s="73"/>
      <c r="BV127" s="70"/>
      <c r="BW127" s="70"/>
      <c r="BX127" s="70"/>
      <c r="BY127" s="70"/>
      <c r="BZ127" s="73"/>
      <c r="CA127" s="70"/>
      <c r="CB127" s="70"/>
      <c r="CC127" s="70"/>
      <c r="CD127" s="70"/>
      <c r="CE127" s="73"/>
      <c r="CF127" s="70"/>
      <c r="CG127" s="70"/>
      <c r="CH127" s="70"/>
      <c r="CI127" s="70"/>
      <c r="CJ127" s="73"/>
      <c r="CK127" s="70"/>
      <c r="CL127" s="70"/>
      <c r="CM127" s="70"/>
      <c r="CN127" s="70"/>
      <c r="CO127" s="73"/>
      <c r="CP127" s="70"/>
      <c r="CQ127" s="70"/>
      <c r="CR127" s="70"/>
      <c r="CS127" s="70"/>
      <c r="CT127" s="73"/>
      <c r="CU127" s="70"/>
      <c r="CV127" s="70"/>
      <c r="CW127" s="70"/>
      <c r="CX127" s="70"/>
      <c r="CY127" s="73"/>
      <c r="CZ127" s="70"/>
      <c r="DA127" s="70"/>
      <c r="DB127" s="70"/>
      <c r="DC127" s="70"/>
      <c r="DD127" s="73"/>
      <c r="DE127" s="70"/>
      <c r="DF127" s="70"/>
      <c r="DG127" s="70"/>
      <c r="DH127" s="70"/>
      <c r="DI127" s="73"/>
      <c r="DJ127" s="70"/>
      <c r="DK127" s="70"/>
      <c r="DL127" s="70"/>
      <c r="DM127" s="70"/>
      <c r="DN127" s="73"/>
      <c r="DO127" s="70"/>
      <c r="DP127" s="70"/>
      <c r="DQ127" s="70"/>
      <c r="DR127" s="70"/>
      <c r="DS127" s="73"/>
      <c r="DT127" s="70"/>
      <c r="DU127" s="70"/>
      <c r="DV127" s="70"/>
      <c r="DW127" s="70"/>
      <c r="DX127" s="73"/>
      <c r="DY127" s="70" t="s">
        <v>2451</v>
      </c>
      <c r="DZ127" s="70" t="s">
        <v>2451</v>
      </c>
      <c r="EA127" s="70" t="s">
        <v>2451</v>
      </c>
      <c r="EB127" s="70" t="s">
        <v>2451</v>
      </c>
      <c r="EC127" s="73"/>
      <c r="ED127" s="70" t="s">
        <v>2451</v>
      </c>
      <c r="EE127" s="70" t="s">
        <v>2451</v>
      </c>
      <c r="EF127" s="70" t="s">
        <v>2451</v>
      </c>
      <c r="EG127" s="70" t="s">
        <v>2451</v>
      </c>
      <c r="EH127" s="73"/>
      <c r="EI127" s="70" t="s">
        <v>2451</v>
      </c>
      <c r="EJ127" s="70" t="s">
        <v>2451</v>
      </c>
      <c r="EK127" s="70" t="s">
        <v>2451</v>
      </c>
      <c r="EL127" s="70" t="s">
        <v>2451</v>
      </c>
      <c r="EM127" s="73"/>
      <c r="EN127" s="70" t="s">
        <v>2451</v>
      </c>
      <c r="EO127" s="70" t="s">
        <v>2451</v>
      </c>
      <c r="EP127" s="70">
        <v>0.14705882352941169</v>
      </c>
      <c r="EQ127" s="70">
        <v>0.37179487179487181</v>
      </c>
      <c r="ER127" s="73"/>
      <c r="ES127" s="70">
        <v>4.6728971962616717E-2</v>
      </c>
      <c r="ET127" s="70">
        <v>2.6785714285714191E-2</v>
      </c>
      <c r="EU127" s="70">
        <v>0.21739130434782616</v>
      </c>
      <c r="EV127" s="70">
        <v>0.35714285714285721</v>
      </c>
      <c r="EW127" s="73"/>
      <c r="EX127" s="70">
        <v>5.2631578947368363E-2</v>
      </c>
      <c r="EY127" s="70">
        <v>0.12999999999999989</v>
      </c>
      <c r="EZ127" s="70">
        <v>-5.3097345132743334E-2</v>
      </c>
      <c r="FA127" s="70">
        <v>-2.1028037383177267E-3</v>
      </c>
      <c r="FB127" s="73"/>
      <c r="FC127" s="70" t="s">
        <v>2451</v>
      </c>
      <c r="FD127" s="70" t="s">
        <v>2451</v>
      </c>
      <c r="FE127" s="70" t="s">
        <v>2451</v>
      </c>
      <c r="FF127" s="70" t="s">
        <v>2451</v>
      </c>
      <c r="FG127" s="73"/>
      <c r="FH127" s="70" t="s">
        <v>2451</v>
      </c>
      <c r="FI127" s="70" t="s">
        <v>2451</v>
      </c>
      <c r="FJ127" s="70" t="s">
        <v>2451</v>
      </c>
      <c r="FK127" s="70" t="s">
        <v>2451</v>
      </c>
      <c r="FL127" s="73"/>
      <c r="FM127" s="70" t="s">
        <v>2451</v>
      </c>
      <c r="FN127" s="70" t="s">
        <v>2451</v>
      </c>
      <c r="FO127" s="70" t="s">
        <v>2451</v>
      </c>
      <c r="FP127" s="70" t="s">
        <v>2451</v>
      </c>
      <c r="FQ127" s="73"/>
      <c r="FR127" s="70" t="s">
        <v>2451</v>
      </c>
      <c r="FS127" s="70" t="s">
        <v>2451</v>
      </c>
      <c r="FT127" s="70" t="s">
        <v>2451</v>
      </c>
      <c r="FU127" s="70" t="s">
        <v>2451</v>
      </c>
      <c r="FV127" s="73"/>
      <c r="FW127" s="70" t="s">
        <v>2451</v>
      </c>
      <c r="FX127" s="70" t="s">
        <v>2451</v>
      </c>
      <c r="FY127" s="70" t="s">
        <v>2451</v>
      </c>
      <c r="FZ127" s="70" t="s">
        <v>2451</v>
      </c>
      <c r="GA127" s="73"/>
    </row>
    <row r="128" spans="1:183" ht="12.75" customHeight="1" outlineLevel="1">
      <c r="B128" s="1535"/>
      <c r="C128" s="43"/>
      <c r="D128" s="59"/>
      <c r="E128" s="59"/>
      <c r="F128" s="59"/>
      <c r="G128" s="59"/>
      <c r="H128" s="60"/>
      <c r="I128" s="61"/>
      <c r="J128" s="61"/>
      <c r="K128" s="61"/>
      <c r="L128" s="61"/>
      <c r="M128" s="62"/>
      <c r="N128" s="61"/>
      <c r="O128" s="61"/>
      <c r="P128" s="61"/>
      <c r="Q128" s="61"/>
      <c r="R128" s="62"/>
      <c r="S128" s="61"/>
      <c r="T128" s="61"/>
      <c r="U128" s="61"/>
      <c r="V128" s="61"/>
      <c r="W128" s="62"/>
      <c r="X128" s="61"/>
      <c r="Y128" s="61"/>
      <c r="Z128" s="61"/>
      <c r="AA128" s="61"/>
      <c r="AB128" s="62"/>
      <c r="AC128" s="61"/>
      <c r="AD128" s="61"/>
      <c r="AE128" s="61"/>
      <c r="AF128" s="61"/>
      <c r="AG128" s="62"/>
      <c r="AH128" s="61"/>
      <c r="AI128" s="61"/>
      <c r="AJ128" s="61"/>
      <c r="AK128" s="61"/>
      <c r="AL128" s="62"/>
      <c r="AM128" s="61"/>
      <c r="AN128" s="61"/>
      <c r="AO128" s="61"/>
      <c r="AP128" s="61"/>
      <c r="AQ128" s="62"/>
      <c r="AR128" s="61"/>
      <c r="AS128" s="61"/>
      <c r="AT128" s="61"/>
      <c r="AU128" s="61"/>
      <c r="AV128" s="62"/>
      <c r="AW128" s="61"/>
      <c r="AX128" s="61"/>
      <c r="AY128" s="61"/>
      <c r="AZ128" s="61"/>
      <c r="BA128" s="62"/>
      <c r="BB128" s="61"/>
      <c r="BC128" s="61"/>
      <c r="BD128" s="61"/>
      <c r="BE128" s="61"/>
      <c r="BF128" s="62"/>
      <c r="BG128" s="61"/>
      <c r="BH128" s="61"/>
      <c r="BI128" s="61"/>
      <c r="BJ128" s="61"/>
      <c r="BK128" s="62"/>
      <c r="BL128" s="61"/>
      <c r="BM128" s="61"/>
      <c r="BN128" s="61"/>
      <c r="BO128" s="61"/>
      <c r="BP128" s="62"/>
      <c r="BQ128" s="61"/>
      <c r="BR128" s="61"/>
      <c r="BS128" s="61"/>
      <c r="BT128" s="61"/>
      <c r="BU128" s="62"/>
      <c r="BV128" s="61"/>
      <c r="BW128" s="61"/>
      <c r="BX128" s="61"/>
      <c r="BY128" s="61"/>
      <c r="BZ128" s="62"/>
      <c r="CA128" s="61"/>
      <c r="CB128" s="61"/>
      <c r="CC128" s="61"/>
      <c r="CD128" s="61"/>
      <c r="CE128" s="62"/>
      <c r="CF128" s="61"/>
      <c r="CG128" s="61"/>
      <c r="CH128" s="61"/>
      <c r="CI128" s="61"/>
      <c r="CJ128" s="62"/>
      <c r="CK128" s="61"/>
      <c r="CL128" s="61"/>
      <c r="CM128" s="61"/>
      <c r="CN128" s="61"/>
      <c r="CO128" s="62"/>
      <c r="CP128" s="61"/>
      <c r="CQ128" s="61"/>
      <c r="CR128" s="61"/>
      <c r="CS128" s="61"/>
      <c r="CT128" s="62"/>
      <c r="CU128" s="61"/>
      <c r="CV128" s="61"/>
      <c r="CW128" s="61"/>
      <c r="CX128" s="61"/>
      <c r="CY128" s="62"/>
      <c r="CZ128" s="61"/>
      <c r="DA128" s="61"/>
      <c r="DB128" s="61"/>
      <c r="DC128" s="61"/>
      <c r="DD128" s="62"/>
      <c r="DE128" s="61"/>
      <c r="DF128" s="61"/>
      <c r="DG128" s="61"/>
      <c r="DH128" s="61"/>
      <c r="DI128" s="62"/>
      <c r="DJ128" s="61"/>
      <c r="DK128" s="61"/>
      <c r="DL128" s="61"/>
      <c r="DM128" s="61"/>
      <c r="DN128" s="62"/>
      <c r="DO128" s="61"/>
      <c r="DP128" s="61"/>
      <c r="DQ128" s="61"/>
      <c r="DR128" s="61"/>
      <c r="DS128" s="62"/>
      <c r="DT128" s="61"/>
      <c r="DU128" s="61"/>
      <c r="DV128" s="61"/>
      <c r="DW128" s="61"/>
      <c r="DX128" s="62"/>
      <c r="DY128" s="61"/>
      <c r="DZ128" s="61"/>
      <c r="EA128" s="61"/>
      <c r="EB128" s="61"/>
      <c r="EC128" s="62"/>
      <c r="ED128" s="61"/>
      <c r="EE128" s="61"/>
      <c r="EF128" s="61"/>
      <c r="EG128" s="61"/>
      <c r="EH128" s="62"/>
      <c r="EI128" s="61"/>
      <c r="EJ128" s="61"/>
      <c r="EK128" s="61"/>
      <c r="EL128" s="61"/>
      <c r="EM128" s="62"/>
      <c r="EN128" s="61"/>
      <c r="EO128" s="61"/>
      <c r="EP128" s="61"/>
      <c r="EQ128" s="61"/>
      <c r="ER128" s="62"/>
      <c r="ES128" s="61"/>
      <c r="ET128" s="61"/>
      <c r="EU128" s="61"/>
      <c r="EV128" s="61"/>
      <c r="EW128" s="62"/>
      <c r="EX128" s="61"/>
      <c r="EY128" s="61"/>
      <c r="EZ128" s="61"/>
      <c r="FA128" s="61"/>
      <c r="FB128" s="62"/>
      <c r="FC128" s="61"/>
      <c r="FD128" s="61"/>
      <c r="FE128" s="61"/>
      <c r="FF128" s="61"/>
      <c r="FG128" s="62"/>
      <c r="FH128" s="61"/>
      <c r="FI128" s="61"/>
      <c r="FJ128" s="61"/>
      <c r="FK128" s="61"/>
      <c r="FL128" s="62"/>
      <c r="FM128" s="61"/>
      <c r="FN128" s="61"/>
      <c r="FO128" s="61"/>
      <c r="FP128" s="61"/>
      <c r="FQ128" s="62"/>
      <c r="FR128" s="61"/>
      <c r="FS128" s="61"/>
      <c r="FT128" s="61"/>
      <c r="FU128" s="61"/>
      <c r="FV128" s="62"/>
      <c r="FW128" s="61"/>
      <c r="FX128" s="61"/>
      <c r="FY128" s="61"/>
      <c r="FZ128" s="61"/>
      <c r="GA128" s="62"/>
    </row>
    <row r="129" spans="1:183" s="1190" customFormat="1" ht="12.75" customHeight="1" outlineLevel="1">
      <c r="A129" s="1186" t="s">
        <v>337</v>
      </c>
      <c r="B129" s="1543" t="s">
        <v>1836</v>
      </c>
      <c r="C129" s="1187"/>
      <c r="D129" s="1188"/>
      <c r="E129" s="1188"/>
      <c r="F129" s="1188"/>
      <c r="G129" s="1188"/>
      <c r="H129" s="1189"/>
      <c r="I129" s="1188"/>
      <c r="J129" s="1188"/>
      <c r="K129" s="1188"/>
      <c r="L129" s="1188"/>
      <c r="M129" s="1189"/>
      <c r="N129" s="1188"/>
      <c r="O129" s="1188"/>
      <c r="P129" s="1188"/>
      <c r="Q129" s="1188"/>
      <c r="R129" s="1189"/>
      <c r="S129" s="1188"/>
      <c r="T129" s="1188"/>
      <c r="U129" s="1188"/>
      <c r="V129" s="1188"/>
      <c r="W129" s="1189"/>
      <c r="X129" s="1188"/>
      <c r="Y129" s="1188"/>
      <c r="Z129" s="1188"/>
      <c r="AA129" s="1188"/>
      <c r="AB129" s="1189"/>
      <c r="AC129" s="1188"/>
      <c r="AD129" s="1188"/>
      <c r="AE129" s="1188"/>
      <c r="AF129" s="1188"/>
      <c r="AG129" s="1189"/>
      <c r="AH129" s="1188"/>
      <c r="AI129" s="1188"/>
      <c r="AJ129" s="1188"/>
      <c r="AK129" s="1188"/>
      <c r="AL129" s="1189"/>
      <c r="AM129" s="1188"/>
      <c r="AN129" s="1188"/>
      <c r="AO129" s="1188"/>
      <c r="AP129" s="1188"/>
      <c r="AQ129" s="1189"/>
      <c r="AR129" s="1188"/>
      <c r="AS129" s="1188"/>
      <c r="AT129" s="1188"/>
      <c r="AU129" s="1188"/>
      <c r="AV129" s="1189"/>
      <c r="AW129" s="1188"/>
      <c r="AX129" s="1188"/>
      <c r="AY129" s="1188"/>
      <c r="AZ129" s="1188"/>
      <c r="BA129" s="1189"/>
      <c r="BB129" s="1188"/>
      <c r="BC129" s="1188"/>
      <c r="BD129" s="1188"/>
      <c r="BE129" s="1188"/>
      <c r="BF129" s="1189"/>
      <c r="BG129" s="1188"/>
      <c r="BH129" s="1188"/>
      <c r="BI129" s="1188"/>
      <c r="BJ129" s="1188"/>
      <c r="BK129" s="1189"/>
      <c r="BL129" s="1188"/>
      <c r="BM129" s="1188"/>
      <c r="BN129" s="1188"/>
      <c r="BO129" s="1188"/>
      <c r="BP129" s="1189"/>
      <c r="BQ129" s="1188"/>
      <c r="BR129" s="1188"/>
      <c r="BS129" s="1188"/>
      <c r="BT129" s="1188"/>
      <c r="BU129" s="1189"/>
      <c r="BV129" s="1188"/>
      <c r="BW129" s="1188"/>
      <c r="BX129" s="1188"/>
      <c r="BY129" s="1188"/>
      <c r="BZ129" s="1189"/>
      <c r="CA129" s="1188"/>
      <c r="CB129" s="1188"/>
      <c r="CC129" s="1188"/>
      <c r="CD129" s="1188"/>
      <c r="CE129" s="1189"/>
      <c r="CF129" s="1188"/>
      <c r="CG129" s="1188"/>
      <c r="CH129" s="1188"/>
      <c r="CI129" s="1188"/>
      <c r="CJ129" s="1189"/>
      <c r="CK129" s="1188"/>
      <c r="CL129" s="1188"/>
      <c r="CM129" s="1188"/>
      <c r="CN129" s="1188"/>
      <c r="CO129" s="1189"/>
      <c r="CP129" s="1188"/>
      <c r="CQ129" s="1188"/>
      <c r="CR129" s="1188"/>
      <c r="CS129" s="1188"/>
      <c r="CT129" s="1189"/>
      <c r="CU129" s="1188"/>
      <c r="CV129" s="1188"/>
      <c r="CW129" s="1188"/>
      <c r="CX129" s="1188"/>
      <c r="CY129" s="1189"/>
      <c r="CZ129" s="1188"/>
      <c r="DA129" s="1188"/>
      <c r="DB129" s="1188"/>
      <c r="DC129" s="1188"/>
      <c r="DD129" s="1189"/>
      <c r="DE129" s="1188"/>
      <c r="DF129" s="1188"/>
      <c r="DG129" s="1188"/>
      <c r="DH129" s="1188"/>
      <c r="DI129" s="1189"/>
      <c r="DJ129" s="1188"/>
      <c r="DK129" s="1188"/>
      <c r="DL129" s="1188"/>
      <c r="DM129" s="1188"/>
      <c r="DN129" s="1189"/>
      <c r="DO129" s="1188"/>
      <c r="DP129" s="1188"/>
      <c r="DQ129" s="1188"/>
      <c r="DR129" s="1188"/>
      <c r="DS129" s="1189"/>
      <c r="DT129" s="1188"/>
      <c r="DU129" s="1188"/>
      <c r="DV129" s="1188"/>
      <c r="DW129" s="1188"/>
      <c r="DX129" s="1189"/>
      <c r="DY129" s="1188" t="s">
        <v>2451</v>
      </c>
      <c r="DZ129" s="1188" t="s">
        <v>2451</v>
      </c>
      <c r="EA129" s="1188" t="s">
        <v>2451</v>
      </c>
      <c r="EB129" s="1188" t="s">
        <v>2451</v>
      </c>
      <c r="EC129" s="1189" t="s">
        <v>2451</v>
      </c>
      <c r="ED129" s="1188">
        <v>48</v>
      </c>
      <c r="EE129" s="1188">
        <v>50</v>
      </c>
      <c r="EF129" s="1188">
        <v>50</v>
      </c>
      <c r="EG129" s="1188">
        <v>51</v>
      </c>
      <c r="EH129" s="1189">
        <v>49.8</v>
      </c>
      <c r="EI129" s="1188">
        <v>50</v>
      </c>
      <c r="EJ129" s="1188">
        <v>46</v>
      </c>
      <c r="EK129" s="1188">
        <v>46</v>
      </c>
      <c r="EL129" s="1188">
        <v>40</v>
      </c>
      <c r="EM129" s="1189">
        <v>45.05</v>
      </c>
      <c r="EN129" s="1188">
        <v>35</v>
      </c>
      <c r="EO129" s="1188">
        <v>31</v>
      </c>
      <c r="EP129" s="1188">
        <v>27.766666000000001</v>
      </c>
      <c r="EQ129" s="1188">
        <v>25.916665999999999</v>
      </c>
      <c r="ER129" s="1189">
        <v>29.166665999999999</v>
      </c>
      <c r="ES129" s="1188">
        <v>29.066668</v>
      </c>
      <c r="ET129" s="1188">
        <v>30.06</v>
      </c>
      <c r="EU129" s="1188">
        <v>31.02</v>
      </c>
      <c r="EV129" s="1188">
        <v>28.933332</v>
      </c>
      <c r="EW129" s="1189">
        <v>29.966667000000001</v>
      </c>
      <c r="EX129" s="1188">
        <v>31.05</v>
      </c>
      <c r="EY129" s="1188">
        <v>31</v>
      </c>
      <c r="EZ129" s="1188" t="s">
        <v>2451</v>
      </c>
      <c r="FA129" s="1188">
        <v>34.6</v>
      </c>
      <c r="FB129" s="1189">
        <v>32.833331999999999</v>
      </c>
      <c r="FC129" s="1188">
        <v>33</v>
      </c>
      <c r="FD129" s="1188">
        <v>33</v>
      </c>
      <c r="FE129" s="1188">
        <v>32</v>
      </c>
      <c r="FF129" s="1188">
        <v>32</v>
      </c>
      <c r="FG129" s="1189">
        <v>32.5</v>
      </c>
      <c r="FH129" s="1188" t="s">
        <v>2451</v>
      </c>
      <c r="FI129" s="1188" t="s">
        <v>2451</v>
      </c>
      <c r="FJ129" s="1188" t="s">
        <v>2451</v>
      </c>
      <c r="FK129" s="1188" t="s">
        <v>2451</v>
      </c>
      <c r="FL129" s="1189">
        <v>33</v>
      </c>
      <c r="FM129" s="1188" t="s">
        <v>2451</v>
      </c>
      <c r="FN129" s="1188" t="s">
        <v>2451</v>
      </c>
      <c r="FO129" s="1188" t="s">
        <v>2451</v>
      </c>
      <c r="FP129" s="1188" t="s">
        <v>2451</v>
      </c>
      <c r="FQ129" s="1189" t="s">
        <v>2451</v>
      </c>
      <c r="FR129" s="1188" t="s">
        <v>2451</v>
      </c>
      <c r="FS129" s="1188" t="s">
        <v>2451</v>
      </c>
      <c r="FT129" s="1188" t="s">
        <v>2451</v>
      </c>
      <c r="FU129" s="1188" t="s">
        <v>2451</v>
      </c>
      <c r="FV129" s="1189" t="s">
        <v>2451</v>
      </c>
      <c r="FW129" s="1188" t="s">
        <v>2451</v>
      </c>
      <c r="FX129" s="1188" t="s">
        <v>2451</v>
      </c>
      <c r="FY129" s="1188" t="s">
        <v>2451</v>
      </c>
      <c r="FZ129" s="1188" t="s">
        <v>2451</v>
      </c>
      <c r="GA129" s="1189" t="s">
        <v>2451</v>
      </c>
    </row>
    <row r="130" spans="1:183" s="1196" customFormat="1" ht="12.75" customHeight="1" outlineLevel="1">
      <c r="A130" s="1191"/>
      <c r="B130" s="1547"/>
      <c r="C130" s="1192"/>
      <c r="D130" s="1193"/>
      <c r="E130" s="1194"/>
      <c r="F130" s="1194"/>
      <c r="G130" s="1194"/>
      <c r="H130" s="1195"/>
      <c r="I130" s="1194"/>
      <c r="J130" s="1194"/>
      <c r="K130" s="1194"/>
      <c r="L130" s="1194"/>
      <c r="M130" s="1195"/>
      <c r="N130" s="1194"/>
      <c r="O130" s="1194"/>
      <c r="P130" s="1194"/>
      <c r="Q130" s="1194"/>
      <c r="R130" s="1195"/>
      <c r="S130" s="1194"/>
      <c r="T130" s="1194"/>
      <c r="U130" s="1194"/>
      <c r="V130" s="1194"/>
      <c r="W130" s="1195"/>
      <c r="X130" s="1194"/>
      <c r="Y130" s="1194"/>
      <c r="Z130" s="1194"/>
      <c r="AA130" s="1194"/>
      <c r="AB130" s="1195"/>
      <c r="AC130" s="1194"/>
      <c r="AD130" s="1194"/>
      <c r="AE130" s="1194"/>
      <c r="AF130" s="1194"/>
      <c r="AG130" s="1195"/>
      <c r="AH130" s="1194"/>
      <c r="AI130" s="1194"/>
      <c r="AJ130" s="1194"/>
      <c r="AK130" s="1194"/>
      <c r="AL130" s="1195"/>
      <c r="AM130" s="1194"/>
      <c r="AN130" s="1194"/>
      <c r="AO130" s="1194"/>
      <c r="AP130" s="1194"/>
      <c r="AQ130" s="1195"/>
      <c r="AR130" s="1194"/>
      <c r="AS130" s="1194"/>
      <c r="AT130" s="1194"/>
      <c r="AU130" s="1194"/>
      <c r="AV130" s="1195"/>
      <c r="AW130" s="1194"/>
      <c r="AX130" s="1194"/>
      <c r="AY130" s="1194"/>
      <c r="AZ130" s="1194"/>
      <c r="BA130" s="1195"/>
      <c r="BB130" s="1194"/>
      <c r="BC130" s="1194"/>
      <c r="BD130" s="1194"/>
      <c r="BE130" s="1194"/>
      <c r="BF130" s="1195"/>
      <c r="BG130" s="1194"/>
      <c r="BH130" s="1194"/>
      <c r="BI130" s="1194"/>
      <c r="BJ130" s="1194"/>
      <c r="BK130" s="1195"/>
      <c r="BL130" s="1194"/>
      <c r="BM130" s="1194"/>
      <c r="BN130" s="1194"/>
      <c r="BO130" s="1194"/>
      <c r="BP130" s="1195"/>
      <c r="BQ130" s="1194"/>
      <c r="BR130" s="1194"/>
      <c r="BS130" s="1194"/>
      <c r="BT130" s="1194"/>
      <c r="BU130" s="1195"/>
      <c r="BV130" s="1194"/>
      <c r="BW130" s="1194"/>
      <c r="BX130" s="1194"/>
      <c r="BY130" s="1194"/>
      <c r="BZ130" s="1195"/>
      <c r="CA130" s="1194"/>
      <c r="CB130" s="1194"/>
      <c r="CC130" s="1194"/>
      <c r="CD130" s="1194"/>
      <c r="CE130" s="1195"/>
      <c r="CF130" s="1194"/>
      <c r="CG130" s="1194"/>
      <c r="CH130" s="1194"/>
      <c r="CI130" s="1194"/>
      <c r="CJ130" s="1195"/>
      <c r="CK130" s="1194"/>
      <c r="CL130" s="1194"/>
      <c r="CM130" s="1194"/>
      <c r="CN130" s="1194"/>
      <c r="CO130" s="1195"/>
      <c r="CP130" s="1194"/>
      <c r="CQ130" s="1194"/>
      <c r="CR130" s="1194"/>
      <c r="CS130" s="1194"/>
      <c r="CT130" s="1195"/>
      <c r="CU130" s="1194"/>
      <c r="CV130" s="1194"/>
      <c r="CW130" s="1194"/>
      <c r="CX130" s="1194"/>
      <c r="CY130" s="1195"/>
      <c r="CZ130" s="1194"/>
      <c r="DA130" s="1194"/>
      <c r="DB130" s="1194"/>
      <c r="DC130" s="1194"/>
      <c r="DD130" s="1195"/>
      <c r="DE130" s="1194"/>
      <c r="DF130" s="1194"/>
      <c r="DG130" s="1194"/>
      <c r="DH130" s="1194"/>
      <c r="DI130" s="1195"/>
      <c r="DJ130" s="1194"/>
      <c r="DK130" s="1194"/>
      <c r="DL130" s="1194"/>
      <c r="DM130" s="1194"/>
      <c r="DN130" s="1195"/>
      <c r="DO130" s="1194"/>
      <c r="DP130" s="1194"/>
      <c r="DQ130" s="1194"/>
      <c r="DR130" s="1194"/>
      <c r="DS130" s="1195"/>
      <c r="DT130" s="1194"/>
      <c r="DU130" s="1194"/>
      <c r="DV130" s="1194"/>
      <c r="DW130" s="1194"/>
      <c r="DX130" s="1195"/>
      <c r="DY130" s="1194"/>
      <c r="DZ130" s="1194"/>
      <c r="EA130" s="1194"/>
      <c r="EB130" s="1194"/>
      <c r="EC130" s="1195"/>
      <c r="ED130" s="1194"/>
      <c r="EE130" s="1194"/>
      <c r="EF130" s="1194"/>
      <c r="EG130" s="1194"/>
      <c r="EH130" s="1195"/>
      <c r="EI130" s="1194"/>
      <c r="EJ130" s="1194"/>
      <c r="EK130" s="1194"/>
      <c r="EL130" s="1194"/>
      <c r="EM130" s="1195"/>
      <c r="EN130" s="1194"/>
      <c r="EO130" s="1194"/>
      <c r="EP130" s="1194"/>
      <c r="EQ130" s="1194"/>
      <c r="ER130" s="1195"/>
      <c r="ES130" s="1194"/>
      <c r="ET130" s="1194"/>
      <c r="EU130" s="1194"/>
      <c r="EV130" s="1194"/>
      <c r="EW130" s="1195"/>
      <c r="EX130" s="1194"/>
      <c r="EY130" s="1194"/>
      <c r="EZ130" s="1194"/>
      <c r="FA130" s="1194"/>
      <c r="FB130" s="1195"/>
      <c r="FC130" s="1194"/>
      <c r="FD130" s="1194"/>
      <c r="FE130" s="1194"/>
      <c r="FF130" s="1194"/>
      <c r="FG130" s="1195"/>
      <c r="FH130" s="1194"/>
      <c r="FI130" s="1194"/>
      <c r="FJ130" s="1194"/>
      <c r="FK130" s="1194"/>
      <c r="FL130" s="1195"/>
      <c r="FM130" s="1194"/>
      <c r="FN130" s="1194"/>
      <c r="FO130" s="1194"/>
      <c r="FP130" s="1194"/>
      <c r="FQ130" s="1195"/>
      <c r="FR130" s="1194"/>
      <c r="FS130" s="1194"/>
      <c r="FT130" s="1194"/>
      <c r="FU130" s="1194"/>
      <c r="FV130" s="1195"/>
      <c r="FW130" s="1194"/>
      <c r="FX130" s="1194"/>
      <c r="FY130" s="1194"/>
      <c r="FZ130" s="1194"/>
      <c r="GA130" s="1195"/>
    </row>
    <row r="131" spans="1:183" s="1190" customFormat="1" ht="12.75" customHeight="1" outlineLevel="1">
      <c r="A131" s="1186" t="s">
        <v>336</v>
      </c>
      <c r="B131" s="1543" t="s">
        <v>1837</v>
      </c>
      <c r="C131" s="1187"/>
      <c r="D131" s="1188"/>
      <c r="E131" s="1188"/>
      <c r="F131" s="1188"/>
      <c r="G131" s="1188"/>
      <c r="H131" s="1189"/>
      <c r="I131" s="1188"/>
      <c r="J131" s="1188"/>
      <c r="K131" s="1188"/>
      <c r="L131" s="1188"/>
      <c r="M131" s="1189"/>
      <c r="N131" s="1188"/>
      <c r="O131" s="1188"/>
      <c r="P131" s="1188"/>
      <c r="Q131" s="1188"/>
      <c r="R131" s="1189"/>
      <c r="S131" s="1188"/>
      <c r="T131" s="1188"/>
      <c r="U131" s="1188"/>
      <c r="V131" s="1188"/>
      <c r="W131" s="1189"/>
      <c r="X131" s="1188"/>
      <c r="Y131" s="1188"/>
      <c r="Z131" s="1188"/>
      <c r="AA131" s="1188"/>
      <c r="AB131" s="1189"/>
      <c r="AC131" s="1188"/>
      <c r="AD131" s="1188"/>
      <c r="AE131" s="1188"/>
      <c r="AF131" s="1188"/>
      <c r="AG131" s="1189"/>
      <c r="AH131" s="1188"/>
      <c r="AI131" s="1188"/>
      <c r="AJ131" s="1188"/>
      <c r="AK131" s="1188"/>
      <c r="AL131" s="1189"/>
      <c r="AM131" s="1188"/>
      <c r="AN131" s="1188"/>
      <c r="AO131" s="1188"/>
      <c r="AP131" s="1188"/>
      <c r="AQ131" s="1189"/>
      <c r="AR131" s="1188"/>
      <c r="AS131" s="1188"/>
      <c r="AT131" s="1188"/>
      <c r="AU131" s="1188"/>
      <c r="AV131" s="1189"/>
      <c r="AW131" s="1188"/>
      <c r="AX131" s="1188"/>
      <c r="AY131" s="1188"/>
      <c r="AZ131" s="1188"/>
      <c r="BA131" s="1189"/>
      <c r="BB131" s="1188"/>
      <c r="BC131" s="1188"/>
      <c r="BD131" s="1188"/>
      <c r="BE131" s="1188"/>
      <c r="BF131" s="1189"/>
      <c r="BG131" s="1188"/>
      <c r="BH131" s="1188"/>
      <c r="BI131" s="1188"/>
      <c r="BJ131" s="1188"/>
      <c r="BK131" s="1189"/>
      <c r="BL131" s="1188"/>
      <c r="BM131" s="1188"/>
      <c r="BN131" s="1188"/>
      <c r="BO131" s="1188"/>
      <c r="BP131" s="1189"/>
      <c r="BQ131" s="1188"/>
      <c r="BR131" s="1188"/>
      <c r="BS131" s="1188"/>
      <c r="BT131" s="1188"/>
      <c r="BU131" s="1189"/>
      <c r="BV131" s="1188"/>
      <c r="BW131" s="1188"/>
      <c r="BX131" s="1188"/>
      <c r="BY131" s="1188"/>
      <c r="BZ131" s="1189"/>
      <c r="CA131" s="1188"/>
      <c r="CB131" s="1188"/>
      <c r="CC131" s="1188"/>
      <c r="CD131" s="1188"/>
      <c r="CE131" s="1189"/>
      <c r="CF131" s="1188"/>
      <c r="CG131" s="1188"/>
      <c r="CH131" s="1188"/>
      <c r="CI131" s="1188"/>
      <c r="CJ131" s="1189"/>
      <c r="CK131" s="1188"/>
      <c r="CL131" s="1188"/>
      <c r="CM131" s="1188"/>
      <c r="CN131" s="1188"/>
      <c r="CO131" s="1189"/>
      <c r="CP131" s="1188"/>
      <c r="CQ131" s="1188"/>
      <c r="CR131" s="1188"/>
      <c r="CS131" s="1188"/>
      <c r="CT131" s="1189"/>
      <c r="CU131" s="1188"/>
      <c r="CV131" s="1188"/>
      <c r="CW131" s="1188"/>
      <c r="CX131" s="1188"/>
      <c r="CY131" s="1189"/>
      <c r="CZ131" s="1188"/>
      <c r="DA131" s="1188"/>
      <c r="DB131" s="1188"/>
      <c r="DC131" s="1188"/>
      <c r="DD131" s="1189"/>
      <c r="DE131" s="1188"/>
      <c r="DF131" s="1188"/>
      <c r="DG131" s="1188"/>
      <c r="DH131" s="1188"/>
      <c r="DI131" s="1189"/>
      <c r="DJ131" s="1188"/>
      <c r="DK131" s="1188"/>
      <c r="DL131" s="1188"/>
      <c r="DM131" s="1188"/>
      <c r="DN131" s="1189"/>
      <c r="DO131" s="1188"/>
      <c r="DP131" s="1188"/>
      <c r="DQ131" s="1188"/>
      <c r="DR131" s="1188"/>
      <c r="DS131" s="1189"/>
      <c r="DT131" s="1188"/>
      <c r="DU131" s="1188"/>
      <c r="DV131" s="1188"/>
      <c r="DW131" s="1188"/>
      <c r="DX131" s="1189"/>
      <c r="DY131" s="1188" t="s">
        <v>2451</v>
      </c>
      <c r="DZ131" s="1188" t="s">
        <v>2451</v>
      </c>
      <c r="EA131" s="1188" t="s">
        <v>2451</v>
      </c>
      <c r="EB131" s="1188" t="s">
        <v>2451</v>
      </c>
      <c r="EC131" s="1189" t="s">
        <v>2451</v>
      </c>
      <c r="ED131" s="1188" t="s">
        <v>2451</v>
      </c>
      <c r="EE131" s="1188" t="s">
        <v>2451</v>
      </c>
      <c r="EF131" s="1188">
        <v>46</v>
      </c>
      <c r="EG131" s="1188" t="s">
        <v>2451</v>
      </c>
      <c r="EH131" s="1189" t="s">
        <v>2451</v>
      </c>
      <c r="EI131" s="1188" t="s">
        <v>2451</v>
      </c>
      <c r="EJ131" s="1188" t="s">
        <v>2451</v>
      </c>
      <c r="EK131" s="1188" t="s">
        <v>2451</v>
      </c>
      <c r="EL131" s="1188">
        <v>46</v>
      </c>
      <c r="EM131" s="1189">
        <v>47.05</v>
      </c>
      <c r="EN131" s="1188">
        <v>42</v>
      </c>
      <c r="EO131" s="1188">
        <v>38</v>
      </c>
      <c r="EP131" s="1188">
        <v>31</v>
      </c>
      <c r="EQ131" s="1188">
        <v>27</v>
      </c>
      <c r="ER131" s="1189">
        <v>34</v>
      </c>
      <c r="ES131" s="1188">
        <v>28.1</v>
      </c>
      <c r="ET131" s="1188">
        <v>28</v>
      </c>
      <c r="EU131" s="1188">
        <v>31</v>
      </c>
      <c r="EV131" s="1188">
        <v>30</v>
      </c>
      <c r="EW131" s="1189">
        <v>29.14</v>
      </c>
      <c r="EX131" s="1188">
        <v>34</v>
      </c>
      <c r="EY131" s="1188">
        <v>31</v>
      </c>
      <c r="EZ131" s="1188">
        <v>34</v>
      </c>
      <c r="FA131" s="1188">
        <v>34.4</v>
      </c>
      <c r="FB131" s="1189">
        <v>33.18</v>
      </c>
      <c r="FC131" s="1188">
        <v>33.700000000000003</v>
      </c>
      <c r="FD131" s="1188">
        <v>33.6</v>
      </c>
      <c r="FE131" s="1188">
        <v>32</v>
      </c>
      <c r="FF131" s="1188">
        <v>32</v>
      </c>
      <c r="FG131" s="1189">
        <v>33.1</v>
      </c>
      <c r="FH131" s="1188" t="s">
        <v>2451</v>
      </c>
      <c r="FI131" s="1188" t="s">
        <v>2451</v>
      </c>
      <c r="FJ131" s="1188" t="s">
        <v>2451</v>
      </c>
      <c r="FK131" s="1188" t="s">
        <v>2451</v>
      </c>
      <c r="FL131" s="1189">
        <v>31.333334000000001</v>
      </c>
      <c r="FM131" s="1188" t="s">
        <v>2451</v>
      </c>
      <c r="FN131" s="1188" t="s">
        <v>2451</v>
      </c>
      <c r="FO131" s="1188" t="s">
        <v>2451</v>
      </c>
      <c r="FP131" s="1188" t="s">
        <v>2451</v>
      </c>
      <c r="FQ131" s="1189" t="s">
        <v>2451</v>
      </c>
      <c r="FR131" s="1188" t="s">
        <v>2451</v>
      </c>
      <c r="FS131" s="1188" t="s">
        <v>2451</v>
      </c>
      <c r="FT131" s="1188" t="s">
        <v>2451</v>
      </c>
      <c r="FU131" s="1188" t="s">
        <v>2451</v>
      </c>
      <c r="FV131" s="1189" t="s">
        <v>2451</v>
      </c>
      <c r="FW131" s="1188" t="s">
        <v>2451</v>
      </c>
      <c r="FX131" s="1188" t="s">
        <v>2451</v>
      </c>
      <c r="FY131" s="1188" t="s">
        <v>2451</v>
      </c>
      <c r="FZ131" s="1188" t="s">
        <v>2451</v>
      </c>
      <c r="GA131" s="1189" t="s">
        <v>2451</v>
      </c>
    </row>
    <row r="132" spans="1:183" s="72" customFormat="1" ht="12.75" customHeight="1" outlineLevel="1">
      <c r="A132" s="54"/>
      <c r="B132" s="753"/>
      <c r="C132" s="69"/>
      <c r="D132" s="85"/>
      <c r="E132" s="70"/>
      <c r="F132" s="70"/>
      <c r="G132" s="70"/>
      <c r="H132" s="71"/>
      <c r="I132" s="70"/>
      <c r="J132" s="70"/>
      <c r="K132" s="70"/>
      <c r="L132" s="70"/>
      <c r="M132" s="73"/>
      <c r="N132" s="70"/>
      <c r="O132" s="70"/>
      <c r="P132" s="70"/>
      <c r="Q132" s="70"/>
      <c r="R132" s="73"/>
      <c r="S132" s="70"/>
      <c r="T132" s="70"/>
      <c r="U132" s="70"/>
      <c r="V132" s="70"/>
      <c r="W132" s="73"/>
      <c r="X132" s="70"/>
      <c r="Y132" s="70"/>
      <c r="Z132" s="70"/>
      <c r="AA132" s="70"/>
      <c r="AB132" s="73"/>
      <c r="AC132" s="70"/>
      <c r="AD132" s="70"/>
      <c r="AE132" s="70"/>
      <c r="AF132" s="70"/>
      <c r="AG132" s="73"/>
      <c r="AH132" s="70"/>
      <c r="AI132" s="70"/>
      <c r="AJ132" s="70"/>
      <c r="AK132" s="70"/>
      <c r="AL132" s="73"/>
      <c r="AM132" s="70"/>
      <c r="AN132" s="70"/>
      <c r="AO132" s="70"/>
      <c r="AP132" s="70"/>
      <c r="AQ132" s="73"/>
      <c r="AR132" s="70"/>
      <c r="AS132" s="70"/>
      <c r="AT132" s="70"/>
      <c r="AU132" s="70"/>
      <c r="AV132" s="73"/>
      <c r="AW132" s="70"/>
      <c r="AX132" s="70"/>
      <c r="AY132" s="70"/>
      <c r="AZ132" s="70"/>
      <c r="BA132" s="73"/>
      <c r="BB132" s="70"/>
      <c r="BC132" s="70"/>
      <c r="BD132" s="70"/>
      <c r="BE132" s="70"/>
      <c r="BF132" s="73"/>
      <c r="BG132" s="70"/>
      <c r="BH132" s="70"/>
      <c r="BI132" s="70"/>
      <c r="BJ132" s="70"/>
      <c r="BK132" s="73"/>
      <c r="BL132" s="70"/>
      <c r="BM132" s="70"/>
      <c r="BN132" s="70"/>
      <c r="BO132" s="70"/>
      <c r="BP132" s="73"/>
      <c r="BQ132" s="70"/>
      <c r="BR132" s="70"/>
      <c r="BS132" s="70"/>
      <c r="BT132" s="70"/>
      <c r="BU132" s="73"/>
      <c r="BV132" s="70"/>
      <c r="BW132" s="70"/>
      <c r="BX132" s="70"/>
      <c r="BY132" s="70"/>
      <c r="BZ132" s="73"/>
      <c r="CA132" s="70"/>
      <c r="CB132" s="70"/>
      <c r="CC132" s="70"/>
      <c r="CD132" s="70"/>
      <c r="CE132" s="73"/>
      <c r="CF132" s="70"/>
      <c r="CG132" s="70"/>
      <c r="CH132" s="70"/>
      <c r="CI132" s="70"/>
      <c r="CJ132" s="73"/>
      <c r="CK132" s="70"/>
      <c r="CL132" s="70"/>
      <c r="CM132" s="70"/>
      <c r="CN132" s="70"/>
      <c r="CO132" s="73"/>
      <c r="CP132" s="70"/>
      <c r="CQ132" s="70"/>
      <c r="CR132" s="70"/>
      <c r="CS132" s="70"/>
      <c r="CT132" s="73"/>
      <c r="CU132" s="70"/>
      <c r="CV132" s="70"/>
      <c r="CW132" s="70"/>
      <c r="CX132" s="70"/>
      <c r="CY132" s="73"/>
      <c r="CZ132" s="70"/>
      <c r="DA132" s="70"/>
      <c r="DB132" s="70"/>
      <c r="DC132" s="70"/>
      <c r="DD132" s="73"/>
      <c r="DE132" s="70"/>
      <c r="DF132" s="70"/>
      <c r="DG132" s="70"/>
      <c r="DH132" s="70"/>
      <c r="DI132" s="73"/>
      <c r="DJ132" s="70"/>
      <c r="DK132" s="70"/>
      <c r="DL132" s="70"/>
      <c r="DM132" s="70"/>
      <c r="DN132" s="73"/>
      <c r="DO132" s="70"/>
      <c r="DP132" s="70"/>
      <c r="DQ132" s="70"/>
      <c r="DR132" s="70"/>
      <c r="DS132" s="73"/>
      <c r="DT132" s="70"/>
      <c r="DU132" s="70"/>
      <c r="DV132" s="70"/>
      <c r="DW132" s="70"/>
      <c r="DX132" s="73"/>
      <c r="DY132" s="70"/>
      <c r="DZ132" s="70"/>
      <c r="EA132" s="70"/>
      <c r="EB132" s="70"/>
      <c r="EC132" s="73"/>
      <c r="ED132" s="70"/>
      <c r="EE132" s="70"/>
      <c r="EF132" s="70"/>
      <c r="EG132" s="70"/>
      <c r="EH132" s="73"/>
      <c r="EI132" s="70"/>
      <c r="EJ132" s="70"/>
      <c r="EK132" s="70"/>
      <c r="EL132" s="70"/>
      <c r="EM132" s="73"/>
      <c r="EN132" s="70"/>
      <c r="EO132" s="70"/>
      <c r="EP132" s="70"/>
      <c r="EQ132" s="70"/>
      <c r="ER132" s="73"/>
      <c r="ES132" s="70"/>
      <c r="ET132" s="70"/>
      <c r="EU132" s="70"/>
      <c r="EV132" s="70"/>
      <c r="EW132" s="73"/>
      <c r="EX132" s="70"/>
      <c r="EY132" s="70"/>
      <c r="EZ132" s="70"/>
      <c r="FA132" s="70"/>
      <c r="FB132" s="73"/>
      <c r="FC132" s="70"/>
      <c r="FD132" s="70"/>
      <c r="FE132" s="70"/>
      <c r="FF132" s="70"/>
      <c r="FG132" s="73"/>
      <c r="FH132" s="70"/>
      <c r="FI132" s="70"/>
      <c r="FJ132" s="70"/>
      <c r="FK132" s="70"/>
      <c r="FL132" s="73"/>
      <c r="FM132" s="70"/>
      <c r="FN132" s="70"/>
      <c r="FO132" s="70"/>
      <c r="FP132" s="70"/>
      <c r="FQ132" s="73"/>
      <c r="FR132" s="70"/>
      <c r="FS132" s="70"/>
      <c r="FT132" s="70"/>
      <c r="FU132" s="70"/>
      <c r="FV132" s="73"/>
      <c r="FW132" s="70"/>
      <c r="FX132" s="70"/>
      <c r="FY132" s="70"/>
      <c r="FZ132" s="70"/>
      <c r="GA132" s="73"/>
    </row>
    <row r="133" spans="1:183" ht="12.75" customHeight="1">
      <c r="I133" s="91"/>
      <c r="J133" s="91"/>
      <c r="K133" s="91"/>
      <c r="L133" s="91"/>
      <c r="M133" s="91"/>
      <c r="N133" s="91"/>
      <c r="O133" s="91"/>
      <c r="P133" s="91"/>
      <c r="Q133" s="91"/>
      <c r="R133" s="91"/>
      <c r="S133" s="91"/>
      <c r="T133" s="91"/>
      <c r="U133" s="91"/>
      <c r="V133" s="91"/>
      <c r="W133" s="91"/>
      <c r="X133" s="91"/>
      <c r="Y133" s="91"/>
      <c r="Z133" s="91"/>
      <c r="AA133" s="91"/>
      <c r="AB133" s="91"/>
      <c r="AC133" s="91"/>
      <c r="AD133" s="91"/>
      <c r="AE133" s="91"/>
      <c r="AF133" s="91"/>
      <c r="AG133" s="91"/>
      <c r="AH133" s="91"/>
      <c r="AI133" s="91"/>
      <c r="AJ133" s="91"/>
      <c r="AK133" s="91"/>
      <c r="AL133" s="91"/>
      <c r="AM133" s="91"/>
      <c r="AN133" s="91"/>
      <c r="AO133" s="91"/>
      <c r="AP133" s="91"/>
      <c r="AQ133" s="91"/>
      <c r="AR133" s="91"/>
      <c r="AS133" s="91"/>
      <c r="AT133" s="91"/>
      <c r="AU133" s="91"/>
      <c r="AV133" s="91"/>
      <c r="AW133" s="91"/>
      <c r="AX133" s="91"/>
      <c r="AY133" s="91"/>
      <c r="AZ133" s="91"/>
      <c r="BA133" s="91"/>
      <c r="BB133" s="91"/>
      <c r="BC133" s="91"/>
      <c r="BD133" s="91"/>
      <c r="BE133" s="91"/>
      <c r="BF133" s="91"/>
      <c r="BG133" s="91"/>
      <c r="BH133" s="91"/>
      <c r="BI133" s="91"/>
      <c r="BJ133" s="91"/>
      <c r="BK133" s="91"/>
      <c r="BL133" s="91"/>
      <c r="BM133" s="91"/>
      <c r="BN133" s="91"/>
      <c r="BO133" s="91"/>
      <c r="BP133" s="91"/>
      <c r="BQ133" s="91"/>
      <c r="BR133" s="91"/>
      <c r="BS133" s="91"/>
      <c r="BT133" s="91"/>
      <c r="BU133" s="91"/>
      <c r="BV133" s="91"/>
      <c r="BW133" s="91"/>
      <c r="BX133" s="91"/>
      <c r="BY133" s="91"/>
      <c r="BZ133" s="91"/>
      <c r="CA133" s="91"/>
      <c r="CB133" s="91"/>
      <c r="CC133" s="91"/>
      <c r="CD133" s="91"/>
      <c r="CE133" s="91"/>
      <c r="CF133" s="91"/>
      <c r="CG133" s="91"/>
      <c r="CH133" s="91"/>
      <c r="CI133" s="91"/>
      <c r="CJ133" s="91"/>
      <c r="CK133" s="91"/>
      <c r="CL133" s="91"/>
      <c r="CM133" s="91"/>
      <c r="CN133" s="91"/>
      <c r="CO133" s="91"/>
      <c r="CP133" s="91"/>
      <c r="CQ133" s="91"/>
      <c r="CR133" s="91"/>
      <c r="CS133" s="91"/>
      <c r="CT133" s="91"/>
      <c r="CU133" s="91"/>
      <c r="CV133" s="91"/>
      <c r="CW133" s="91"/>
      <c r="CX133" s="91"/>
      <c r="CY133" s="91"/>
      <c r="CZ133" s="91"/>
      <c r="DA133" s="91"/>
      <c r="DB133" s="91"/>
      <c r="DC133" s="91"/>
      <c r="DD133" s="91"/>
      <c r="DE133" s="91"/>
      <c r="DF133" s="91"/>
      <c r="DG133" s="91"/>
      <c r="DH133" s="91"/>
      <c r="DI133" s="91"/>
      <c r="DJ133" s="91"/>
      <c r="DK133" s="91"/>
      <c r="DL133" s="91"/>
      <c r="DM133" s="91"/>
      <c r="DN133" s="91"/>
      <c r="DO133" s="91"/>
      <c r="DP133" s="91"/>
      <c r="DQ133" s="91"/>
      <c r="DR133" s="91"/>
      <c r="DS133" s="91"/>
      <c r="DT133" s="91"/>
      <c r="DU133" s="91"/>
      <c r="DV133" s="91"/>
      <c r="DW133" s="91"/>
      <c r="DX133" s="91"/>
      <c r="DY133" s="91"/>
      <c r="DZ133" s="91"/>
      <c r="EA133" s="91"/>
      <c r="EB133" s="91"/>
      <c r="EC133" s="91"/>
      <c r="ED133" s="91"/>
      <c r="EE133" s="91"/>
      <c r="EF133" s="91"/>
      <c r="EG133" s="91"/>
      <c r="EH133" s="91"/>
      <c r="EI133" s="91"/>
      <c r="EJ133" s="91"/>
      <c r="EK133" s="91"/>
      <c r="EL133" s="91"/>
      <c r="EM133" s="91"/>
      <c r="EN133" s="91"/>
      <c r="EO133" s="91"/>
      <c r="EP133" s="91"/>
      <c r="EQ133" s="91"/>
      <c r="ER133" s="91"/>
      <c r="ES133" s="91"/>
      <c r="ET133" s="91"/>
      <c r="EU133" s="91"/>
      <c r="EV133" s="91"/>
      <c r="EW133" s="91"/>
      <c r="EX133" s="91"/>
      <c r="EY133" s="91"/>
      <c r="EZ133" s="91"/>
      <c r="FA133" s="91"/>
      <c r="FB133" s="91"/>
      <c r="FC133" s="91"/>
      <c r="FD133" s="91"/>
      <c r="FE133" s="91"/>
      <c r="FF133" s="91"/>
      <c r="FG133" s="91"/>
      <c r="FH133" s="91"/>
      <c r="FI133" s="91"/>
      <c r="FJ133" s="91"/>
      <c r="FK133" s="91"/>
      <c r="FL133" s="91"/>
      <c r="FM133" s="91"/>
      <c r="FN133" s="91"/>
      <c r="FO133" s="91"/>
      <c r="FP133" s="91"/>
      <c r="FQ133" s="91"/>
      <c r="FR133" s="91"/>
      <c r="FS133" s="91"/>
      <c r="FT133" s="91"/>
      <c r="FU133" s="91"/>
      <c r="FV133" s="91"/>
      <c r="FW133" s="91"/>
      <c r="FX133" s="91"/>
      <c r="FY133" s="91"/>
      <c r="FZ133" s="91"/>
      <c r="GA133" s="91"/>
    </row>
  </sheetData>
  <pageMargins left="0.7" right="0.7" top="0.75" bottom="0.75" header="0.3" footer="0.3"/>
  <customProperties>
    <customPr name="Qube.Worksheet.Visibility" r:id="rId1"/>
  </customProperties>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19</vt:i4>
      </vt:variant>
      <vt:variant>
        <vt:lpstr>Named Ranges</vt:lpstr>
      </vt:variant>
      <vt:variant>
        <vt:i4>1623</vt:i4>
      </vt:variant>
    </vt:vector>
  </HeadingPairs>
  <TitlesOfParts>
    <vt:vector size="1642" baseType="lpstr">
      <vt:lpstr>Cover</vt:lpstr>
      <vt:lpstr>Rev. Summary</vt:lpstr>
      <vt:lpstr>Leading Indicators</vt:lpstr>
      <vt:lpstr>IS</vt:lpstr>
      <vt:lpstr>BS</vt:lpstr>
      <vt:lpstr>CF</vt:lpstr>
      <vt:lpstr>PBP</vt:lpstr>
      <vt:lpstr>IC</vt:lpstr>
      <vt:lpstr>Company1738</vt:lpstr>
      <vt:lpstr>Ticker0024_Live_Sheet</vt:lpstr>
      <vt:lpstr>Ticker0024_Validation_Sheet</vt:lpstr>
      <vt:lpstr>Ticker0024_Annotation_Sheet</vt:lpstr>
      <vt:lpstr>Share Count</vt:lpstr>
      <vt:lpstr>Def. Rev. &amp; Billings</vt:lpstr>
      <vt:lpstr>Ticker0024 Cloud</vt:lpstr>
      <vt:lpstr>CapEx Breakdown</vt:lpstr>
      <vt:lpstr>Guidance</vt:lpstr>
      <vt:lpstr>Dates</vt:lpstr>
      <vt:lpstr>Consensus</vt:lpstr>
      <vt:lpstr>Ticker0024_Annotation_Sheet!A_ALL_KEYWORDS_TYPE_ScalarContributed_EQTY_200001320</vt:lpstr>
      <vt:lpstr>Ticker0024_Annotation_Sheet!A_ALL_KEYWORDS_TYPE_ScalarContributed_ISSR_208000430</vt:lpstr>
      <vt:lpstr>Ticker0024_Annotation_Sheet!A_ALL_KEYWORDS_TYPE_ScalarReference_EQTY_200001320</vt:lpstr>
      <vt:lpstr>Ticker0024_Annotation_Sheet!A_ALL_KEYWORDS_TYPE_ScalarReference_ISSR_208000430</vt:lpstr>
      <vt:lpstr>Ticker0024_Annotation_Sheet!A_ALL_KEYWORDS_TYPE_Vector_EQTY_200001320</vt:lpstr>
      <vt:lpstr>Ticker0024_Annotation_Sheet!A_ALL_KEYWORDS_TYPE_Vector_ISSR_208000430</vt:lpstr>
      <vt:lpstr>A_ALL_Ticker0024</vt:lpstr>
      <vt:lpstr>Ticker0024_Annotation_Sheet!A_ALL_PERIODS_Ticker0024</vt:lpstr>
      <vt:lpstr>Ticker0024_Annotation_Sheet!A_ALL_SECTION_KEYWORDS_EQTY_200001320_1314</vt:lpstr>
      <vt:lpstr>Ticker0024_Annotation_Sheet!A_ALL_SECTION_KEYWORDS_EQTY_200001320_1319</vt:lpstr>
      <vt:lpstr>Ticker0024_Annotation_Sheet!A_ALL_SECTION_KEYWORDS_EQTY_200001320_131E</vt:lpstr>
      <vt:lpstr>Ticker0024_Annotation_Sheet!A_ALL_SECTION_KEYWORDS_EQTY_200001320_131O</vt:lpstr>
      <vt:lpstr>Ticker0024_Annotation_Sheet!A_ALL_SECTION_KEYWORDS_EQTY_200001320_13A</vt:lpstr>
      <vt:lpstr>Ticker0024_Annotation_Sheet!A_ALL_SECTION_KEYWORDS_EQTY_200001320_13K</vt:lpstr>
      <vt:lpstr>Ticker0024_Annotation_Sheet!A_ALL_SECTION_KEYWORDS_EQTY_200001320_13U</vt:lpstr>
      <vt:lpstr>Ticker0024_Annotation_Sheet!A_ALL_SECTION_KEYWORDS_EQTY_200001320_13V</vt:lpstr>
      <vt:lpstr>Ticker0024_Annotation_Sheet!A_ALL_SECTION_KEYWORDS_EQTY_200001320_13W</vt:lpstr>
      <vt:lpstr>Ticker0024_Annotation_Sheet!A_ALL_SECTION_KEYWORDS_EQTY_200001320_Reference_Data</vt:lpstr>
      <vt:lpstr>Ticker0024_Annotation_Sheet!A_ALL_SECTION_KEYWORDS_ISSR_208000430_1314</vt:lpstr>
      <vt:lpstr>Ticker0024_Annotation_Sheet!A_ALL_SECTION_KEYWORDS_ISSR_208000430_13168</vt:lpstr>
      <vt:lpstr>Ticker0024_Annotation_Sheet!A_ALL_SECTION_KEYWORDS_ISSR_208000430_1316T</vt:lpstr>
      <vt:lpstr>Ticker0024_Annotation_Sheet!A_ALL_SECTION_KEYWORDS_ISSR_208000430_1316U</vt:lpstr>
      <vt:lpstr>Ticker0024_Annotation_Sheet!A_ALL_SECTION_KEYWORDS_ISSR_208000430_1319</vt:lpstr>
      <vt:lpstr>Ticker0024_Annotation_Sheet!A_ALL_SECTION_KEYWORDS_ISSR_208000430_131E</vt:lpstr>
      <vt:lpstr>Ticker0024_Annotation_Sheet!A_ALL_SECTION_KEYWORDS_ISSR_208000430_131J</vt:lpstr>
      <vt:lpstr>Ticker0024_Annotation_Sheet!A_ALL_SECTION_KEYWORDS_ISSR_208000430_131O</vt:lpstr>
      <vt:lpstr>Ticker0024_Annotation_Sheet!A_ALL_SECTION_KEYWORDS_ISSR_208000430_136E</vt:lpstr>
      <vt:lpstr>Ticker0024_Annotation_Sheet!A_ALL_SECTION_KEYWORDS_ISSR_208000430_13A</vt:lpstr>
      <vt:lpstr>Ticker0024_Annotation_Sheet!A_ALL_SECTION_KEYWORDS_ISSR_208000430_13U</vt:lpstr>
      <vt:lpstr>Ticker0024_Annotation_Sheet!A_ALL_SECTION_KEYWORDS_ISSR_208000430_13V</vt:lpstr>
      <vt:lpstr>Ticker0024_Annotation_Sheet!A_ALL_SECTION_KEYWORDS_ISSR_208000430_Reference_Data</vt:lpstr>
      <vt:lpstr>Ticker0024_Annotation_Sheet!A_ALL_SECTIONS_EQTY_200001320</vt:lpstr>
      <vt:lpstr>Ticker0024_Annotation_Sheet!A_ALL_SECTIONS_ISSR_208000430</vt:lpstr>
      <vt:lpstr>Ticker0024_Annotation_Sheet!A_CURRENCY_EQTY_200001320_PRI</vt:lpstr>
      <vt:lpstr>Ticker0024_Annotation_Sheet!A_CURRENCY_EQTY_200001320_PUB</vt:lpstr>
      <vt:lpstr>Ticker0024_Annotation_Sheet!A_CURRENCY_EQTY_200001320_REP</vt:lpstr>
      <vt:lpstr>Ticker0024_Annotation_Sheet!A_CURRENCY_ISSR_208000430_REP</vt:lpstr>
      <vt:lpstr>Ticker0024_Annotation_Sheet!A_ENTITY_DATA_EQTY_200001320</vt:lpstr>
      <vt:lpstr>Ticker0024_Annotation_Sheet!A_ENTITY_DATA_ISSR_208000430</vt:lpstr>
      <vt:lpstr>Ticker0024_Annotation_Sheet!A_KEYWORD_EQTY_200001320_AMER_LIST</vt:lpstr>
      <vt:lpstr>Ticker0024_Annotation_Sheet!A_KEYWORD_EQTY_200001320_BETA_ANALYST</vt:lpstr>
      <vt:lpstr>Ticker0024_Annotation_Sheet!A_KEYWORD_EQTY_200001320_BVPS</vt:lpstr>
      <vt:lpstr>Ticker0024_Annotation_Sheet!A_KEYWORD_EQTY_200001320_BVPS_PUB</vt:lpstr>
      <vt:lpstr>Ticker0024_Annotation_Sheet!A_KEYWORD_EQTY_200001320_CEEE_EPS</vt:lpstr>
      <vt:lpstr>Ticker0024_Annotation_Sheet!A_KEYWORD_EQTY_200001320_CEEE_NDEBT</vt:lpstr>
      <vt:lpstr>Ticker0024_Annotation_Sheet!A_KEYWORD_EQTY_200001320_CF_NI_PRE_PREF</vt:lpstr>
      <vt:lpstr>Ticker0024_Annotation_Sheet!A_KEYWORD_EQTY_200001320_COMMON_DIV_PAID</vt:lpstr>
      <vt:lpstr>Ticker0024_Annotation_Sheet!A_KEYWORD_EQTY_200001320_CURRENCY_ISO</vt:lpstr>
      <vt:lpstr>Ticker0024_Annotation_Sheet!A_KEYWORD_EQTY_200001320_DILUTE_SHARES</vt:lpstr>
      <vt:lpstr>Ticker0024_Annotation_Sheet!A_KEYWORD_EQTY_200001320_DPS</vt:lpstr>
      <vt:lpstr>Ticker0024_Annotation_Sheet!A_KEYWORD_EQTY_200001320_DPS_PUB</vt:lpstr>
      <vt:lpstr>Ticker0024_Annotation_Sheet!A_KEYWORD_EQTY_200001320_DPS_SPECIAL_PUB</vt:lpstr>
      <vt:lpstr>Ticker0024_Annotation_Sheet!A_KEYWORD_EQTY_200001320_EBIT_PUB</vt:lpstr>
      <vt:lpstr>Ticker0024_Annotation_Sheet!A_KEYWORD_EQTY_200001320_EBITDA_PUB</vt:lpstr>
      <vt:lpstr>Ticker0024_Annotation_Sheet!A_KEYWORD_EQTY_200001320_EPS</vt:lpstr>
      <vt:lpstr>Ticker0024_Annotation_Sheet!A_KEYWORD_EQTY_200001320_EPS_EX_ESO_B</vt:lpstr>
      <vt:lpstr>Ticker0024_Annotation_Sheet!A_KEYWORD_EQTY_200001320_EPS_EX_ESO_D</vt:lpstr>
      <vt:lpstr>Ticker0024_Annotation_Sheet!A_KEYWORD_EQTY_200001320_EPS_FUL_DIL</vt:lpstr>
      <vt:lpstr>Ticker0024_Annotation_Sheet!A_KEYWORD_EQTY_200001320_EPS_POST_BASIC</vt:lpstr>
      <vt:lpstr>Ticker0024_Annotation_Sheet!A_KEYWORD_EQTY_200001320_EPS_PUB</vt:lpstr>
      <vt:lpstr>Ticker0024_Annotation_Sheet!A_KEYWORD_EQTY_200001320_EPS_PUB_EX_ESO</vt:lpstr>
      <vt:lpstr>Ticker0024_Annotation_Sheet!A_KEYWORD_EQTY_200001320_EQ_PUB</vt:lpstr>
      <vt:lpstr>Ticker0024_Annotation_Sheet!A_KEYWORD_EQTY_200001320_ESO_POST_TAX</vt:lpstr>
      <vt:lpstr>Ticker0024_Annotation_Sheet!A_KEYWORD_EQTY_200001320_ESO_YEAR</vt:lpstr>
      <vt:lpstr>Ticker0024_Annotation_Sheet!A_KEYWORD_EQTY_200001320_EV_ADJ_PUB</vt:lpstr>
      <vt:lpstr>Ticker0024_Annotation_Sheet!A_KEYWORD_EQTY_200001320_FREE_FLOAT</vt:lpstr>
      <vt:lpstr>Ticker0024_Annotation_Sheet!A_KEYWORD_EQTY_200001320_FULLY_DIL_EPS</vt:lpstr>
      <vt:lpstr>Ticker0024_Annotation_Sheet!A_KEYWORD_EQTY_200001320_FV_GRANT</vt:lpstr>
      <vt:lpstr>Ticker0024_Annotation_Sheet!A_KEYWORD_EQTY_200001320_INC_MINORITY</vt:lpstr>
      <vt:lpstr>Ticker0024_Annotation_Sheet!A_KEYWORD_EQTY_200001320_Interim_Type</vt:lpstr>
      <vt:lpstr>Ticker0024_Annotation_Sheet!A_KEYWORD_EQTY_200001320_LEGAL_RATING</vt:lpstr>
      <vt:lpstr>Ticker0024_Annotation_Sheet!A_KEYWORD_EQTY_200001320_MARGIN_TAX_RATE</vt:lpstr>
      <vt:lpstr>Ticker0024_Annotation_Sheet!A_KEYWORD_EQTY_200001320_MKT_EQ_RISK_PREM</vt:lpstr>
      <vt:lpstr>Ticker0024_Annotation_Sheet!A_KEYWORD_EQTY_200001320_NET_DEBT_EX_LEASES_PUB</vt:lpstr>
      <vt:lpstr>Ticker0024_Annotation_Sheet!A_KEYWORD_EQTY_200001320_NET_DEBT_PUB</vt:lpstr>
      <vt:lpstr>Ticker0024_Annotation_Sheet!A_KEYWORD_EQTY_200001320_NET_EARNING</vt:lpstr>
      <vt:lpstr>Ticker0024_Annotation_Sheet!A_KEYWORD_EQTY_200001320_NET_INC</vt:lpstr>
      <vt:lpstr>Ticker0024_Annotation_Sheet!A_KEYWORD_EQTY_200001320_NI_PRE_PREF</vt:lpstr>
      <vt:lpstr>Ticker0024_Annotation_Sheet!A_KEYWORD_EQTY_200001320_NI_PUB</vt:lpstr>
      <vt:lpstr>Ticker0024_Annotation_Sheet!A_KEYWORD_EQTY_200001320_NON_OP_ADD</vt:lpstr>
      <vt:lpstr>Ticker0024_Annotation_Sheet!A_KEYWORD_EQTY_200001320_NOT_IN_USE</vt:lpstr>
      <vt:lpstr>Ticker0024_Annotation_Sheet!A_KEYWORD_EQTY_200001320_NUM_SH</vt:lpstr>
      <vt:lpstr>Ticker0024_Annotation_Sheet!A_KEYWORD_EQTY_200001320_PREF_DIV</vt:lpstr>
      <vt:lpstr>Ticker0024_Annotation_Sheet!A_KEYWORD_EQTY_200001320_PRICE_CURRENCY_ISO</vt:lpstr>
      <vt:lpstr>Ticker0024_Annotation_Sheet!A_KEYWORD_EQTY_200001320_PROV_INC_TAX</vt:lpstr>
      <vt:lpstr>Ticker0024_Annotation_Sheet!A_KEYWORD_EQTY_200001320_PTP_PUB</vt:lpstr>
      <vt:lpstr>Ticker0024_Annotation_Sheet!A_KEYWORD_EQTY_200001320_PUB_CURRENCY_ISO</vt:lpstr>
      <vt:lpstr>Ticker0024_Annotation_Sheet!A_KEYWORD_EQTY_200001320_REPUR_ACTUAL</vt:lpstr>
      <vt:lpstr>Ticker0024_Annotation_Sheet!A_KEYWORD_EQTY_200001320_REPUR_REMAINING</vt:lpstr>
      <vt:lpstr>Ticker0024_Annotation_Sheet!A_KEYWORD_EQTY_200001320_REPUR_SUSPENDED</vt:lpstr>
      <vt:lpstr>Ticker0024_Annotation_Sheet!A_KEYWORD_EQTY_200001320_REPUR_TOT_AUTH</vt:lpstr>
      <vt:lpstr>Ticker0024_Annotation_Sheet!A_KEYWORD_EQTY_200001320_REVS_PUB</vt:lpstr>
      <vt:lpstr>Ticker0024_Annotation_Sheet!A_KEYWORD_EQTY_200001320_RISK_FR_RATE</vt:lpstr>
      <vt:lpstr>Ticker0024_Annotation_Sheet!A_KEYWORD_EQTY_200001320_Security_Name</vt:lpstr>
      <vt:lpstr>Ticker0024_Annotation_Sheet!A_KEYWORD_EQTY_200001320_SH</vt:lpstr>
      <vt:lpstr>Ticker0024_Annotation_Sheet!A_KEYWORD_EQTY_200001320_TARGET_PRICE</vt:lpstr>
      <vt:lpstr>Ticker0024_Annotation_Sheet!A_KEYWORD_EQTY_200001320_TARGET_PRICE_FUNDAMENTAL</vt:lpstr>
      <vt:lpstr>Ticker0024_Annotation_Sheet!A_KEYWORD_EQTY_200001320_TARGET_PRICE_MA</vt:lpstr>
      <vt:lpstr>Ticker0024_Annotation_Sheet!A_KEYWORD_EQTY_200001320_TAX_EXC</vt:lpstr>
      <vt:lpstr>Ticker0024_Annotation_Sheet!A_KEYWORD_EQTY_200001320_Ticker</vt:lpstr>
      <vt:lpstr>Ticker0024_Annotation_Sheet!A_KEYWORD_EQTY_200001320_TP_PERIOD</vt:lpstr>
      <vt:lpstr>Ticker0024_Annotation_Sheet!A_KEYWORD_ISSR_208000430_ACC_AMORT</vt:lpstr>
      <vt:lpstr>Ticker0024_Annotation_Sheet!A_KEYWORD_ISSR_208000430_ACC_DDA</vt:lpstr>
      <vt:lpstr>Ticker0024_Annotation_Sheet!A_KEYWORD_ISSR_208000430_ACC_END_DATE</vt:lpstr>
      <vt:lpstr>Ticker0024_Annotation_Sheet!A_KEYWORD_ISSR_208000430_ACC_PAY_GQ</vt:lpstr>
      <vt:lpstr>Ticker0024_Annotation_Sheet!A_KEYWORD_ISSR_208000430_ACQ</vt:lpstr>
      <vt:lpstr>Ticker0024_Annotation_Sheet!A_KEYWORD_ISSR_208000430_ADJ_UNF_PENS_GOOD</vt:lpstr>
      <vt:lpstr>Ticker0024_Annotation_Sheet!A_KEYWORD_ISSR_208000430_ASSOC_JV_ADDBK</vt:lpstr>
      <vt:lpstr>Ticker0024_Annotation_Sheet!A_KEYWORD_ISSR_208000430_ASSOCIATE</vt:lpstr>
      <vt:lpstr>Ticker0024_Annotation_Sheet!A_KEYWORD_ISSR_208000430_ASSOCIATE_OP</vt:lpstr>
      <vt:lpstr>Ticker0024_Annotation_Sheet!A_KEYWORD_ISSR_208000430_BAL_MINO_INT</vt:lpstr>
      <vt:lpstr>Ticker0024_Annotation_Sheet!A_KEYWORD_ISSR_208000430_CAP_LEASES</vt:lpstr>
      <vt:lpstr>Ticker0024_Annotation_Sheet!A_KEYWORD_ISSR_208000430_CAPEX</vt:lpstr>
      <vt:lpstr>Ticker0024_Annotation_Sheet!A_KEYWORD_ISSR_208000430_CAPEX_EXPANSION</vt:lpstr>
      <vt:lpstr>Ticker0024_Annotation_Sheet!A_KEYWORD_ISSR_208000430_CAPEX_MAINTENANCE</vt:lpstr>
      <vt:lpstr>Ticker0024_Annotation_Sheet!A_KEYWORD_ISSR_208000430_CASH_EQ</vt:lpstr>
      <vt:lpstr>Ticker0024_Annotation_Sheet!A_KEYWORD_ISSR_208000430_CASH_INT_EXP</vt:lpstr>
      <vt:lpstr>Ticker0024_Annotation_Sheet!A_KEYWORD_ISSR_208000430_CASH_PCT_OS_US</vt:lpstr>
      <vt:lpstr>Ticker0024_Annotation_Sheet!A_KEYWORD_ISSR_208000430_CASH_TAX_EXP</vt:lpstr>
      <vt:lpstr>Ticker0024_Annotation_Sheet!A_KEYWORD_ISSR_208000430_CF_FIN</vt:lpstr>
      <vt:lpstr>Ticker0024_Annotation_Sheet!A_KEYWORD_ISSR_208000430_CF_INC_MINORITY</vt:lpstr>
      <vt:lpstr>Ticker0024_Annotation_Sheet!A_KEYWORD_ISSR_208000430_CF_INV</vt:lpstr>
      <vt:lpstr>Ticker0024_Annotation_Sheet!A_KEYWORD_ISSR_208000430_CF_OPS</vt:lpstr>
      <vt:lpstr>Ticker0024_Annotation_Sheet!A_KEYWORD_ISSR_208000430_CHG_DEF_TAX_CF</vt:lpstr>
      <vt:lpstr>Ticker0024_Annotation_Sheet!A_KEYWORD_ISSR_208000430_CHG_LT_DEBT</vt:lpstr>
      <vt:lpstr>Ticker0024_Annotation_Sheet!A_KEYWORD_ISSR_208000430_CO_BOR_MARGIN</vt:lpstr>
      <vt:lpstr>Ticker0024_Annotation_Sheet!A_KEYWORD_ISSR_208000430_COGS_N_GAAP</vt:lpstr>
      <vt:lpstr>Ticker0024_Annotation_Sheet!A_KEYWORD_ISSR_208000430_COGS_PCT_ROW</vt:lpstr>
      <vt:lpstr>Ticker0024_Annotation_Sheet!A_KEYWORD_ISSR_208000430_COGS_PCT_US</vt:lpstr>
      <vt:lpstr>Ticker0024_Annotation_Sheet!A_KEYWORD_ISSR_208000430_COST_GD_SD</vt:lpstr>
      <vt:lpstr>Ticker0024_Annotation_Sheet!A_KEYWORD_ISSR_208000430_CUR_ASS</vt:lpstr>
      <vt:lpstr>Ticker0024_Annotation_Sheet!A_KEYWORD_ISSR_208000430_CUR_REM_PERF_OBLIG</vt:lpstr>
      <vt:lpstr>Ticker0024_Annotation_Sheet!A_KEYWORD_ISSR_208000430_CURRENCY_ISO</vt:lpstr>
      <vt:lpstr>Ticker0024_Annotation_Sheet!A_KEYWORD_ISSR_208000430_DEBTORS</vt:lpstr>
      <vt:lpstr>Ticker0024_Annotation_Sheet!A_KEYWORD_ISSR_208000430_DEF_INC_TAX</vt:lpstr>
      <vt:lpstr>Ticker0024_Annotation_Sheet!A_KEYWORD_ISSR_208000430_DEPR_AMORT</vt:lpstr>
      <vt:lpstr>Ticker0024_Annotation_Sheet!A_KEYWORD_ISSR_208000430_DEPR_ROU_ASSETS</vt:lpstr>
      <vt:lpstr>Ticker0024_Annotation_Sheet!A_KEYWORD_ISSR_208000430_DEPREC</vt:lpstr>
      <vt:lpstr>Ticker0024_Annotation_Sheet!A_KEYWORD_ISSR_208000430_DIV_PAID</vt:lpstr>
      <vt:lpstr>Ticker0024_Annotation_Sheet!A_KEYWORD_ISSR_208000430_DIVDS_ASSOC_JV</vt:lpstr>
      <vt:lpstr>Ticker0024_Annotation_Sheet!A_KEYWORD_ISSR_208000430_DIVDS_PD_MINORITIES</vt:lpstr>
      <vt:lpstr>Ticker0024_Annotation_Sheet!A_KEYWORD_ISSR_208000430_DIVEST</vt:lpstr>
      <vt:lpstr>Ticker0024_Annotation_Sheet!A_KEYWORD_ISSR_208000430_EBIT</vt:lpstr>
      <vt:lpstr>Ticker0024_Annotation_Sheet!A_KEYWORD_ISSR_208000430_EBIT_FIN_SEGMENT</vt:lpstr>
      <vt:lpstr>Ticker0024_Annotation_Sheet!A_KEYWORD_ISSR_208000430_EBITDA_CALC</vt:lpstr>
      <vt:lpstr>Ticker0024_Annotation_Sheet!A_KEYWORD_ISSR_208000430_EMPLOYEES</vt:lpstr>
      <vt:lpstr>Ticker0024_Annotation_Sheet!A_KEYWORD_ISSR_208000430_EQ</vt:lpstr>
      <vt:lpstr>Ticker0024_Annotation_Sheet!A_KEYWORD_ISSR_208000430_ESO_PRE_TAX</vt:lpstr>
      <vt:lpstr>Ticker0024_Annotation_Sheet!A_KEYWORD_ISSR_208000430_EXP_OIL_DERIV_NGLS_PLASTICS</vt:lpstr>
      <vt:lpstr>Ticker0024_Annotation_Sheet!A_KEYWORD_ISSR_208000430_EXP_OIL_PETRO_FUEL</vt:lpstr>
      <vt:lpstr>Ticker0024_Annotation_Sheet!A_KEYWORD_ISSR_208000430_FCF_UNLEVERED</vt:lpstr>
      <vt:lpstr>Ticker0024_Annotation_Sheet!A_KEYWORD_ISSR_208000430_FIX_ASS_INV</vt:lpstr>
      <vt:lpstr>Ticker0024_Annotation_Sheet!A_KEYWORD_ISSR_208000430_FLOATING_PCT_LOCAL_DEBT</vt:lpstr>
      <vt:lpstr>Ticker0024_Annotation_Sheet!A_KEYWORD_ISSR_208000430_FLOATING_PCT_LOCAL_DEBT_HEDGED</vt:lpstr>
      <vt:lpstr>Ticker0024_Annotation_Sheet!A_KEYWORD_ISSR_208000430_GCI_INFL</vt:lpstr>
      <vt:lpstr>Ticker0024_Annotation_Sheet!A_KEYWORD_ISSR_208000430_GEN_ADMIN_N_GAAP</vt:lpstr>
      <vt:lpstr>Ticker0024_Annotation_Sheet!A_KEYWORD_ISSR_208000430_GOODWILL_AMORT</vt:lpstr>
      <vt:lpstr>Ticker0024_Annotation_Sheet!A_KEYWORD_ISSR_208000430_GR_FIX_ASS</vt:lpstr>
      <vt:lpstr>Ticker0024_Annotation_Sheet!A_KEYWORD_ISSR_208000430_GR_INTANG</vt:lpstr>
      <vt:lpstr>Ticker0024_Annotation_Sheet!A_KEYWORD_ISSR_208000430_GROSS_PROFIT_N_GAAP</vt:lpstr>
      <vt:lpstr>Ticker0024_Annotation_Sheet!A_KEYWORD_ISSR_208000430_INT_EXP_IND</vt:lpstr>
      <vt:lpstr>Ticker0024_Annotation_Sheet!A_KEYWORD_ISSR_208000430_INT_INC_IND</vt:lpstr>
      <vt:lpstr>Ticker0024_Annotation_Sheet!A_KEYWORD_ISSR_208000430_INV_SECUR</vt:lpstr>
      <vt:lpstr>Ticker0024_Annotation_Sheet!A_KEYWORD_ISSR_208000430_Issuer_Name</vt:lpstr>
      <vt:lpstr>Ticker0024_Annotation_Sheet!A_KEYWORD_ISSR_208000430_LEASE_ADOPT</vt:lpstr>
      <vt:lpstr>Ticker0024_Annotation_Sheet!A_KEYWORD_ISSR_208000430_LEASE_DEEM_DEPR</vt:lpstr>
      <vt:lpstr>Ticker0024_Annotation_Sheet!A_KEYWORD_ISSR_208000430_LEASE_DEEM_INT</vt:lpstr>
      <vt:lpstr>Ticker0024_Annotation_Sheet!A_KEYWORD_ISSR_208000430_LEASE_INT_CHG</vt:lpstr>
      <vt:lpstr>Ticker0024_Annotation_Sheet!A_KEYWORD_ISSR_208000430_LEASE_PAY</vt:lpstr>
      <vt:lpstr>Ticker0024_Annotation_Sheet!A_KEYWORD_ISSR_208000430_LEASE_PRINCIPAL_CASH</vt:lpstr>
      <vt:lpstr>Ticker0024_Annotation_Sheet!A_KEYWORD_ISSR_208000430_LICENSE_REV</vt:lpstr>
      <vt:lpstr>Ticker0024_Annotation_Sheet!A_KEYWORD_ISSR_208000430_LT_DEBT</vt:lpstr>
      <vt:lpstr>Ticker0024_Annotation_Sheet!A_KEYWORD_ISSR_208000430_LT_LEASE_LIAB</vt:lpstr>
      <vt:lpstr>Ticker0024_Annotation_Sheet!A_KEYWORD_ISSR_208000430_MA_PROB</vt:lpstr>
      <vt:lpstr>Ticker0024_Annotation_Sheet!A_KEYWORD_ISSR_208000430_MAINTEN_REV</vt:lpstr>
      <vt:lpstr>Ticker0024_Annotation_Sheet!A_KEYWORD_ISSR_208000430_MINORITIES</vt:lpstr>
      <vt:lpstr>Ticker0024_Annotation_Sheet!A_KEYWORD_ISSR_208000430_MV_ASSOCIATES</vt:lpstr>
      <vt:lpstr>Ticker0024_Annotation_Sheet!A_KEYWORD_ISSR_208000430_NET_DEBT</vt:lpstr>
      <vt:lpstr>Ticker0024_Annotation_Sheet!A_KEYWORD_ISSR_208000430_NET_DEBT_ADJ</vt:lpstr>
      <vt:lpstr>Ticker0024_Annotation_Sheet!A_KEYWORD_ISSR_208000430_NET_FIX_ASS</vt:lpstr>
      <vt:lpstr>Ticker0024_Annotation_Sheet!A_KEYWORD_ISSR_208000430_NET_INC_N_GAAP</vt:lpstr>
      <vt:lpstr>Ticker0024_Annotation_Sheet!A_KEYWORD_ISSR_208000430_NET_INT_CH</vt:lpstr>
      <vt:lpstr>Ticker0024_Annotation_Sheet!A_KEYWORD_ISSR_208000430_NET_INT_EXP</vt:lpstr>
      <vt:lpstr>Ticker0024_Annotation_Sheet!A_KEYWORD_ISSR_208000430_NET_INTANG</vt:lpstr>
      <vt:lpstr>Ticker0024_Annotation_Sheet!A_KEYWORD_ISSR_208000430_NET_OP_LOSS_CFWD</vt:lpstr>
      <vt:lpstr>Ticker0024_Annotation_Sheet!A_KEYWORD_ISSR_208000430_NONPPE_CAPEX</vt:lpstr>
      <vt:lpstr>Ticker0024_Annotation_Sheet!A_KEYWORD_ISSR_208000430_OP_COST</vt:lpstr>
      <vt:lpstr>Ticker0024_Annotation_Sheet!A_KEYWORD_ISSR_208000430_OP_INC_N_GAAP</vt:lpstr>
      <vt:lpstr>Ticker0024_Annotation_Sheet!A_KEYWORD_ISSR_208000430_OPS_EXP_N_GAAP</vt:lpstr>
      <vt:lpstr>Ticker0024_Annotation_Sheet!A_KEYWORD_ISSR_208000430_ORD_SH_FUND</vt:lpstr>
      <vt:lpstr>Ticker0024_Annotation_Sheet!A_KEYWORD_ISSR_208000430_OTH_ADJ_CASH_TAX</vt:lpstr>
      <vt:lpstr>Ticker0024_Annotation_Sheet!A_KEYWORD_ISSR_208000430_OTH_COST_INC</vt:lpstr>
      <vt:lpstr>Ticker0024_Annotation_Sheet!A_KEYWORD_ISSR_208000430_OTH_CUR_ASS</vt:lpstr>
      <vt:lpstr>Ticker0024_Annotation_Sheet!A_KEYWORD_ISSR_208000430_OTH_CUR_LIABS</vt:lpstr>
      <vt:lpstr>Ticker0024_Annotation_Sheet!A_KEYWORD_ISSR_208000430_OTH_DACF_ADJ</vt:lpstr>
      <vt:lpstr>Ticker0024_Annotation_Sheet!A_KEYWORD_ISSR_208000430_OTH_FIN_CF</vt:lpstr>
      <vt:lpstr>Ticker0024_Annotation_Sheet!A_KEYWORD_ISSR_208000430_OTH_GCI_ADJ</vt:lpstr>
      <vt:lpstr>Ticker0024_Annotation_Sheet!A_KEYWORD_ISSR_208000430_OTH_INV_CF</vt:lpstr>
      <vt:lpstr>Ticker0024_Annotation_Sheet!A_KEYWORD_ISSR_208000430_OTH_LT_ASS</vt:lpstr>
      <vt:lpstr>Ticker0024_Annotation_Sheet!A_KEYWORD_ISSR_208000430_OTH_LT_CRED_GQ</vt:lpstr>
      <vt:lpstr>Ticker0024_Annotation_Sheet!A_KEYWORD_ISSR_208000430_OTH_NONCASH_ADJ</vt:lpstr>
      <vt:lpstr>Ticker0024_Annotation_Sheet!A_KEYWORD_ISSR_208000430_OTH_OP_CF</vt:lpstr>
      <vt:lpstr>Ticker0024_Annotation_Sheet!A_KEYWORD_ISSR_208000430_OTH_OP_INC_EXP</vt:lpstr>
      <vt:lpstr>Ticker0024_Annotation_Sheet!A_KEYWORD_ISSR_208000430_PERIOD_MILESTONE</vt:lpstr>
      <vt:lpstr>Ticker0024_Annotation_Sheet!A_KEYWORD_ISSR_208000430_PL_SALE_ASSETS</vt:lpstr>
      <vt:lpstr>Ticker0024_Annotation_Sheet!A_KEYWORD_ISSR_208000430_PREF_SH</vt:lpstr>
      <vt:lpstr>Ticker0024_Annotation_Sheet!A_KEYWORD_ISSR_208000430_PROFIT_ON_DISP</vt:lpstr>
      <vt:lpstr>Ticker0024_Annotation_Sheet!A_KEYWORD_ISSR_208000430_PT_PROF</vt:lpstr>
      <vt:lpstr>Ticker0024_Annotation_Sheet!A_KEYWORD_ISSR_208000430_RD_EXP</vt:lpstr>
      <vt:lpstr>Ticker0024_Annotation_Sheet!A_KEYWORD_ISSR_208000430_RD_N_GAAP</vt:lpstr>
      <vt:lpstr>Ticker0024_Annotation_Sheet!A_KEYWORD_ISSR_208000430_REM_PERF_OBLIG</vt:lpstr>
      <vt:lpstr>Ticker0024_Annotation_Sheet!A_KEYWORD_ISSR_208000430_REV_FIN_SEGMENT</vt:lpstr>
      <vt:lpstr>Ticker0024_Annotation_Sheet!A_KEYWORD_ISSR_208000430_ROU_ASSET</vt:lpstr>
      <vt:lpstr>Ticker0024_Annotation_Sheet!A_KEYWORD_ISSR_208000430_SALES</vt:lpstr>
      <vt:lpstr>Ticker0024_Annotation_Sheet!A_KEYWORD_ISSR_208000430_SALES_ARGENTINA</vt:lpstr>
      <vt:lpstr>Ticker0024_Annotation_Sheet!A_KEYWORD_ISSR_208000430_SALES_AUSTRA</vt:lpstr>
      <vt:lpstr>Ticker0024_Annotation_Sheet!A_KEYWORD_ISSR_208000430_SALES_AUSTRIA</vt:lpstr>
      <vt:lpstr>Ticker0024_Annotation_Sheet!A_KEYWORD_ISSR_208000430_SALES_COMPANY0377</vt:lpstr>
      <vt:lpstr>Ticker0024_Annotation_Sheet!A_KEYWORD_ISSR_208000430_SALES_BRAZIL</vt:lpstr>
      <vt:lpstr>Ticker0024_Annotation_Sheet!A_KEYWORD_ISSR_208000430_SALES_CANADA</vt:lpstr>
      <vt:lpstr>Ticker0024_Annotation_Sheet!A_KEYWORD_ISSR_208000430_SALES_CEE</vt:lpstr>
      <vt:lpstr>Ticker0024_Annotation_Sheet!A_KEYWORD_ISSR_208000430_SALES_CHILE</vt:lpstr>
      <vt:lpstr>Ticker0024_Annotation_Sheet!A_KEYWORD_ISSR_208000430_SALES_CHINA</vt:lpstr>
      <vt:lpstr>Ticker0024_Annotation_Sheet!A_KEYWORD_ISSR_208000430_SALES_COLOMBIA</vt:lpstr>
      <vt:lpstr>Ticker0024_Annotation_Sheet!A_KEYWORD_ISSR_208000430_SALES_CONS</vt:lpstr>
      <vt:lpstr>Ticker0024_Annotation_Sheet!A_KEYWORD_ISSR_208000430_SALES_EU_EX_UK</vt:lpstr>
      <vt:lpstr>Ticker0024_Annotation_Sheet!A_KEYWORD_ISSR_208000430_SALES_FINAN</vt:lpstr>
      <vt:lpstr>Ticker0024_Annotation_Sheet!A_KEYWORD_ISSR_208000430_SALES_FRA</vt:lpstr>
      <vt:lpstr>Ticker0024_Annotation_Sheet!A_KEYWORD_ISSR_208000430_SALES_FX_ARS</vt:lpstr>
      <vt:lpstr>Ticker0024_Annotation_Sheet!A_KEYWORD_ISSR_208000430_SALES_FX_BRL</vt:lpstr>
      <vt:lpstr>Ticker0024_Annotation_Sheet!A_KEYWORD_ISSR_208000430_SALES_FX_CAD</vt:lpstr>
      <vt:lpstr>Ticker0024_Annotation_Sheet!A_KEYWORD_ISSR_208000430_SALES_FX_CLP</vt:lpstr>
      <vt:lpstr>Ticker0024_Annotation_Sheet!A_KEYWORD_ISSR_208000430_SALES_FX_CNY</vt:lpstr>
      <vt:lpstr>Ticker0024_Annotation_Sheet!A_KEYWORD_ISSR_208000430_SALES_FX_COP</vt:lpstr>
      <vt:lpstr>Ticker0024_Annotation_Sheet!A_KEYWORD_ISSR_208000430_SALES_FX_EUR</vt:lpstr>
      <vt:lpstr>Ticker0024_Annotation_Sheet!A_KEYWORD_ISSR_208000430_SALES_FX_GPB</vt:lpstr>
      <vt:lpstr>Ticker0024_Annotation_Sheet!A_KEYWORD_ISSR_208000430_SALES_FX_INR</vt:lpstr>
      <vt:lpstr>Ticker0024_Annotation_Sheet!A_KEYWORD_ISSR_208000430_SALES_FX_MXN</vt:lpstr>
      <vt:lpstr>Ticker0024_Annotation_Sheet!A_KEYWORD_ISSR_208000430_SALES_FX_OTH</vt:lpstr>
      <vt:lpstr>Ticker0024_Annotation_Sheet!A_KEYWORD_ISSR_208000430_SALES_FX_RUB</vt:lpstr>
      <vt:lpstr>Ticker0024_Annotation_Sheet!A_KEYWORD_ISSR_208000430_SALES_FX_USD</vt:lpstr>
      <vt:lpstr>Ticker0024_Annotation_Sheet!A_KEYWORD_ISSR_208000430_SALES_FX_VEF</vt:lpstr>
      <vt:lpstr>Ticker0024_Annotation_Sheet!A_KEYWORD_ISSR_208000430_SALES_FX_YEN</vt:lpstr>
      <vt:lpstr>Ticker0024_Annotation_Sheet!A_KEYWORD_ISSR_208000430_SALES_GER</vt:lpstr>
      <vt:lpstr>Ticker0024_Annotation_Sheet!A_KEYWORD_ISSR_208000430_SALES_GOV</vt:lpstr>
      <vt:lpstr>Ticker0024_Annotation_Sheet!A_KEYWORD_ISSR_208000430_SALES_GRE</vt:lpstr>
      <vt:lpstr>Ticker0024_Annotation_Sheet!A_KEYWORD_ISSR_208000430_SALES_HONG_KONG</vt:lpstr>
      <vt:lpstr>Ticker0024_Annotation_Sheet!A_KEYWORD_ISSR_208000430_SALES_IND</vt:lpstr>
      <vt:lpstr>Ticker0024_Annotation_Sheet!A_KEYWORD_ISSR_208000430_SALES_INDIA</vt:lpstr>
      <vt:lpstr>Ticker0024_Annotation_Sheet!A_KEYWORD_ISSR_208000430_SALES_INDONESIA</vt:lpstr>
      <vt:lpstr>Ticker0024_Annotation_Sheet!A_KEYWORD_ISSR_208000430_SALES_IRE</vt:lpstr>
      <vt:lpstr>Ticker0024_Annotation_Sheet!A_KEYWORD_ISSR_208000430_SALES_ITA</vt:lpstr>
      <vt:lpstr>Ticker0024_Annotation_Sheet!A_KEYWORD_ISSR_208000430_SALES_JAPAN</vt:lpstr>
      <vt:lpstr>Ticker0024_Annotation_Sheet!A_KEYWORD_ISSR_208000430_SALES_MARKETING_N_GAAP</vt:lpstr>
      <vt:lpstr>Ticker0024_Annotation_Sheet!A_KEYWORD_ISSR_208000430_SALES_ME</vt:lpstr>
      <vt:lpstr>Ticker0024_Annotation_Sheet!A_KEYWORD_ISSR_208000430_SALES_MEXICO</vt:lpstr>
      <vt:lpstr>Ticker0024_Annotation_Sheet!A_KEYWORD_ISSR_208000430_SALES_NETH</vt:lpstr>
      <vt:lpstr>Ticker0024_Annotation_Sheet!A_KEYWORD_ISSR_208000430_SALES_NIGERIA</vt:lpstr>
      <vt:lpstr>Ticker0024_Annotation_Sheet!A_KEYWORD_ISSR_208000430_SALES_NOR</vt:lpstr>
      <vt:lpstr>Ticker0024_Annotation_Sheet!A_KEYWORD_ISSR_208000430_SALES_NZ</vt:lpstr>
      <vt:lpstr>Ticker0024_Annotation_Sheet!A_KEYWORD_ISSR_208000430_SALES_OIL_GAS</vt:lpstr>
      <vt:lpstr>Ticker0024_Annotation_Sheet!A_KEYWORD_ISSR_208000430_SALES_OTH_AEJ</vt:lpstr>
      <vt:lpstr>Ticker0024_Annotation_Sheet!A_KEYWORD_ISSR_208000430_SALES_OTH_AFRICA</vt:lpstr>
      <vt:lpstr>Ticker0024_Annotation_Sheet!A_KEYWORD_ISSR_208000430_SALES_OTH_AM</vt:lpstr>
      <vt:lpstr>Ticker0024_Annotation_Sheet!A_KEYWORD_ISSR_208000430_SALES_OTH_CEE</vt:lpstr>
      <vt:lpstr>Ticker0024_Annotation_Sheet!A_KEYWORD_ISSR_208000430_SALES_OTH_DEV_ASIA</vt:lpstr>
      <vt:lpstr>Ticker0024_Annotation_Sheet!A_KEYWORD_ISSR_208000430_SALES_OTH_EMEA</vt:lpstr>
      <vt:lpstr>Ticker0024_Annotation_Sheet!A_KEYWORD_ISSR_208000430_SALES_OTH_EMERG_ASIA</vt:lpstr>
      <vt:lpstr>Ticker0024_Annotation_Sheet!A_KEYWORD_ISSR_208000430_SALES_OTH_LATAM</vt:lpstr>
      <vt:lpstr>Ticker0024_Annotation_Sheet!A_KEYWORD_ISSR_208000430_SALES_OTH_ME</vt:lpstr>
      <vt:lpstr>Ticker0024_Annotation_Sheet!A_KEYWORD_ISSR_208000430_SALES_OTH_NO_AMER</vt:lpstr>
      <vt:lpstr>Ticker0024_Annotation_Sheet!A_KEYWORD_ISSR_208000430_SALES_OTH_WEST_EURO</vt:lpstr>
      <vt:lpstr>Ticker0024_Annotation_Sheet!A_KEYWORD_ISSR_208000430_SALES_OTHER</vt:lpstr>
      <vt:lpstr>Ticker0024_Annotation_Sheet!A_KEYWORD_ISSR_208000430_SALES_POLAND</vt:lpstr>
      <vt:lpstr>Ticker0024_Annotation_Sheet!A_KEYWORD_ISSR_208000430_SALES_POR</vt:lpstr>
      <vt:lpstr>Ticker0024_Annotation_Sheet!A_KEYWORD_ISSR_208000430_SALES_RUSSIA</vt:lpstr>
      <vt:lpstr>Ticker0024_Annotation_Sheet!A_KEYWORD_ISSR_208000430_SALES_SAUDI_ARABIA</vt:lpstr>
      <vt:lpstr>Ticker0024_Annotation_Sheet!A_KEYWORD_ISSR_208000430_SALES_SINGAPORE</vt:lpstr>
      <vt:lpstr>Ticker0024_Annotation_Sheet!A_KEYWORD_ISSR_208000430_SALES_SK</vt:lpstr>
      <vt:lpstr>Ticker0024_Annotation_Sheet!A_KEYWORD_ISSR_208000430_SALES_SMB</vt:lpstr>
      <vt:lpstr>Ticker0024_Annotation_Sheet!A_KEYWORD_ISSR_208000430_SALES_SO_AFRICA</vt:lpstr>
      <vt:lpstr>Ticker0024_Annotation_Sheet!A_KEYWORD_ISSR_208000430_SALES_SPA</vt:lpstr>
      <vt:lpstr>Ticker0024_Annotation_Sheet!A_KEYWORD_ISSR_208000430_SALES_SWE</vt:lpstr>
      <vt:lpstr>Ticker0024_Annotation_Sheet!A_KEYWORD_ISSR_208000430_SALES_SWIT</vt:lpstr>
      <vt:lpstr>Ticker0024_Annotation_Sheet!A_KEYWORD_ISSR_208000430_SALES_TAIWAN</vt:lpstr>
      <vt:lpstr>Ticker0024_Annotation_Sheet!A_KEYWORD_ISSR_208000430_SALES_THAILAND</vt:lpstr>
      <vt:lpstr>Ticker0024_Annotation_Sheet!A_KEYWORD_ISSR_208000430_SALES_TOT_AFRICA</vt:lpstr>
      <vt:lpstr>Ticker0024_Annotation_Sheet!A_KEYWORD_ISSR_208000430_SALES_TOT_AM</vt:lpstr>
      <vt:lpstr>Ticker0024_Annotation_Sheet!A_KEYWORD_ISSR_208000430_SALES_TOT_ASIA</vt:lpstr>
      <vt:lpstr>Ticker0024_Annotation_Sheet!A_KEYWORD_ISSR_208000430_SALES_TOT_EMEA</vt:lpstr>
      <vt:lpstr>Ticker0024_Annotation_Sheet!A_KEYWORD_ISSR_208000430_SALES_TURKEY</vt:lpstr>
      <vt:lpstr>Ticker0024_Annotation_Sheet!A_KEYWORD_ISSR_208000430_SALES_UAE</vt:lpstr>
      <vt:lpstr>Ticker0024_Annotation_Sheet!A_KEYWORD_ISSR_208000430_SALES_UK</vt:lpstr>
      <vt:lpstr>Ticker0024_Annotation_Sheet!A_KEYWORD_ISSR_208000430_SALES_US</vt:lpstr>
      <vt:lpstr>Ticker0024_Annotation_Sheet!A_KEYWORD_ISSR_208000430_SALES_VENEZUELA</vt:lpstr>
      <vt:lpstr>Ticker0024_Annotation_Sheet!A_KEYWORD_ISSR_208000430_SBC_COST_OF_GOODS_SOLD</vt:lpstr>
      <vt:lpstr>Ticker0024_Annotation_Sheet!A_KEYWORD_ISSR_208000430_SBC_GEN_ADMINISTRATIVE</vt:lpstr>
      <vt:lpstr>Ticker0024_Annotation_Sheet!A_KEYWORD_ISSR_208000430_SBC_RESEARCH_DEVELOPMENT</vt:lpstr>
      <vt:lpstr>Ticker0024_Annotation_Sheet!A_KEYWORD_ISSR_208000430_SBC_SALES_MARKETING</vt:lpstr>
      <vt:lpstr>Ticker0024_Annotation_Sheet!A_KEYWORD_ISSR_208000430_SBC_TOTAL</vt:lpstr>
      <vt:lpstr>Ticker0024_Annotation_Sheet!A_KEYWORD_ISSR_208000430_SEGMENT1_REV_NAME</vt:lpstr>
      <vt:lpstr>Ticker0024_Annotation_Sheet!A_KEYWORD_ISSR_208000430_SEGMENT1_REV_VALUE</vt:lpstr>
      <vt:lpstr>Ticker0024_Annotation_Sheet!A_KEYWORD_ISSR_208000430_SEGMENT10_REV_NAME</vt:lpstr>
      <vt:lpstr>Ticker0024_Annotation_Sheet!A_KEYWORD_ISSR_208000430_SEGMENT10_REV_VALUE</vt:lpstr>
      <vt:lpstr>Ticker0024_Annotation_Sheet!A_KEYWORD_ISSR_208000430_SEGMENT2_REV_NAME</vt:lpstr>
      <vt:lpstr>Ticker0024_Annotation_Sheet!A_KEYWORD_ISSR_208000430_SEGMENT2_REV_VALUE</vt:lpstr>
      <vt:lpstr>Ticker0024_Annotation_Sheet!A_KEYWORD_ISSR_208000430_SEGMENT3_REV_NAME</vt:lpstr>
      <vt:lpstr>Ticker0024_Annotation_Sheet!A_KEYWORD_ISSR_208000430_SEGMENT3_REV_VALUE</vt:lpstr>
      <vt:lpstr>Ticker0024_Annotation_Sheet!A_KEYWORD_ISSR_208000430_SEGMENT4_REV_NAME</vt:lpstr>
      <vt:lpstr>Ticker0024_Annotation_Sheet!A_KEYWORD_ISSR_208000430_SEGMENT4_REV_VALUE</vt:lpstr>
      <vt:lpstr>Ticker0024_Annotation_Sheet!A_KEYWORD_ISSR_208000430_SEGMENT5_REV_NAME</vt:lpstr>
      <vt:lpstr>Ticker0024_Annotation_Sheet!A_KEYWORD_ISSR_208000430_SEGMENT5_REV_VALUE</vt:lpstr>
      <vt:lpstr>Ticker0024_Annotation_Sheet!A_KEYWORD_ISSR_208000430_SEGMENT6_REV_NAME</vt:lpstr>
      <vt:lpstr>Ticker0024_Annotation_Sheet!A_KEYWORD_ISSR_208000430_SEGMENT6_REV_VALUE</vt:lpstr>
      <vt:lpstr>Ticker0024_Annotation_Sheet!A_KEYWORD_ISSR_208000430_SEGMENT7_REV_NAME</vt:lpstr>
      <vt:lpstr>Ticker0024_Annotation_Sheet!A_KEYWORD_ISSR_208000430_SEGMENT7_REV_VALUE</vt:lpstr>
      <vt:lpstr>Ticker0024_Annotation_Sheet!A_KEYWORD_ISSR_208000430_SEGMENT8_REV_NAME</vt:lpstr>
      <vt:lpstr>Ticker0024_Annotation_Sheet!A_KEYWORD_ISSR_208000430_SEGMENT8_REV_VALUE</vt:lpstr>
      <vt:lpstr>Ticker0024_Annotation_Sheet!A_KEYWORD_ISSR_208000430_SEGMENT9_REV_NAME</vt:lpstr>
      <vt:lpstr>Ticker0024_Annotation_Sheet!A_KEYWORD_ISSR_208000430_SEGMENT9_REV_VALUE</vt:lpstr>
      <vt:lpstr>Ticker0024_Annotation_Sheet!A_KEYWORD_ISSR_208000430_SEL_GL_AD</vt:lpstr>
      <vt:lpstr>Ticker0024_Annotation_Sheet!A_KEYWORD_ISSR_208000430_SGA_PCT_ROW</vt:lpstr>
      <vt:lpstr>Ticker0024_Annotation_Sheet!A_KEYWORD_ISSR_208000430_SGA_PCT_US</vt:lpstr>
      <vt:lpstr>Ticker0024_Annotation_Sheet!A_KEYWORD_ISSR_208000430_SH_REPUR</vt:lpstr>
      <vt:lpstr>Ticker0024_Annotation_Sheet!A_KEYWORD_ISSR_208000430_SHORT_T_DEBT</vt:lpstr>
      <vt:lpstr>Ticker0024_Annotation_Sheet!A_KEYWORD_ISSR_208000430_SHORT_TERM_LIABS</vt:lpstr>
      <vt:lpstr>Ticker0024_Annotation_Sheet!A_KEYWORD_ISSR_208000430_ST_BILLINGS</vt:lpstr>
      <vt:lpstr>Ticker0024_Annotation_Sheet!A_KEYWORD_ISSR_208000430_ST_LEASE_LIAB</vt:lpstr>
      <vt:lpstr>Ticker0024_Annotation_Sheet!A_KEYWORD_ISSR_208000430_STOCKS</vt:lpstr>
      <vt:lpstr>Ticker0024_Annotation_Sheet!A_KEYWORD_ISSR_208000430_TOT_ASSET</vt:lpstr>
      <vt:lpstr>Ticker0024_Annotation_Sheet!A_KEYWORD_ISSR_208000430_TOT_BILLINGS</vt:lpstr>
      <vt:lpstr>Ticker0024_Annotation_Sheet!A_KEYWORD_ISSR_208000430_TOT_CF</vt:lpstr>
      <vt:lpstr>Ticker0024_Annotation_Sheet!A_KEYWORD_ISSR_208000430_TOT_DEF_REV</vt:lpstr>
      <vt:lpstr>Ticker0024_Annotation_Sheet!A_KEYWORD_ISSR_208000430_TOT_LIAB</vt:lpstr>
      <vt:lpstr>Ticker0024_Annotation_Sheet!A_KEYWORD_ISSR_208000430_TOT_LIAB_EQ</vt:lpstr>
      <vt:lpstr>Ticker0024_Annotation_Sheet!A_KEYWORD_ISSR_208000430_TOT_LT_LIAB</vt:lpstr>
      <vt:lpstr>Ticker0024_Annotation_Sheet!A_KEYWORD_ISSR_208000430_TOT_OPS_EXP</vt:lpstr>
      <vt:lpstr>Ticker0024_Annotation_Sheet!A_KEYWORD_ISSR_208000430_TOT_OPS_EXP_DDA</vt:lpstr>
      <vt:lpstr>Ticker0024_Annotation_Sheet!A_KEYWORD_ISSR_208000430_TOT_PCT_USD_DEBT_HEDGED</vt:lpstr>
      <vt:lpstr>Ticker0024_Annotation_Sheet!A_KEYWORD_ISSR_208000430_TOT_USD_DEBT</vt:lpstr>
      <vt:lpstr>Ticker0024_Annotation_Sheet!A_KEYWORD_ISSR_208000430_UNF_PENS</vt:lpstr>
      <vt:lpstr>Ticker0024_Annotation_Sheet!A_KEYWORD_ISSR_208000430_UNF_PENS_LIAB_OTH</vt:lpstr>
      <vt:lpstr>Ticker0024_Annotation_Sheet!A_KEYWORD_ISSR_208000430_UNF_PENS_OFF</vt:lpstr>
      <vt:lpstr>Ticker0024_Annotation_Sheet!A_KEYWORD_ISSR_208000430_WORK_CAP</vt:lpstr>
      <vt:lpstr>Ticker0024_Annotation_Sheet!A_LIVEDATA_EQTY_200001320</vt:lpstr>
      <vt:lpstr>Ticker0024_Annotation_Sheet!A_LIVEDATA_ISSR_208000430</vt:lpstr>
      <vt:lpstr>Ticker0024_Annotation_Sheet!A_PERIOD_1995</vt:lpstr>
      <vt:lpstr>Ticker0024_Annotation_Sheet!A_PERIOD_1996</vt:lpstr>
      <vt:lpstr>Ticker0024_Annotation_Sheet!A_PERIOD_1996_Q1</vt:lpstr>
      <vt:lpstr>Ticker0024_Annotation_Sheet!A_PERIOD_1996_Q2</vt:lpstr>
      <vt:lpstr>Ticker0024_Annotation_Sheet!A_PERIOD_1996_Q3</vt:lpstr>
      <vt:lpstr>Ticker0024_Annotation_Sheet!A_PERIOD_1996_Q4</vt:lpstr>
      <vt:lpstr>Ticker0024_Annotation_Sheet!A_PERIOD_1997</vt:lpstr>
      <vt:lpstr>Ticker0024_Annotation_Sheet!A_PERIOD_1997_Q1</vt:lpstr>
      <vt:lpstr>Ticker0024_Annotation_Sheet!A_PERIOD_1997_Q2</vt:lpstr>
      <vt:lpstr>Ticker0024_Annotation_Sheet!A_PERIOD_1997_Q3</vt:lpstr>
      <vt:lpstr>Ticker0024_Annotation_Sheet!A_PERIOD_1997_Q4</vt:lpstr>
      <vt:lpstr>Ticker0024_Annotation_Sheet!A_PERIOD_1998</vt:lpstr>
      <vt:lpstr>Ticker0024_Annotation_Sheet!A_PERIOD_1998_Q1</vt:lpstr>
      <vt:lpstr>Ticker0024_Annotation_Sheet!A_PERIOD_1998_Q2</vt:lpstr>
      <vt:lpstr>Ticker0024_Annotation_Sheet!A_PERIOD_1998_Q3</vt:lpstr>
      <vt:lpstr>Ticker0024_Annotation_Sheet!A_PERIOD_1998_Q4</vt:lpstr>
      <vt:lpstr>Ticker0024_Annotation_Sheet!A_PERIOD_1999</vt:lpstr>
      <vt:lpstr>Ticker0024_Annotation_Sheet!A_PERIOD_1999_Q1</vt:lpstr>
      <vt:lpstr>Ticker0024_Annotation_Sheet!A_PERIOD_1999_Q2</vt:lpstr>
      <vt:lpstr>Ticker0024_Annotation_Sheet!A_PERIOD_1999_Q3</vt:lpstr>
      <vt:lpstr>Ticker0024_Annotation_Sheet!A_PERIOD_1999_Q4</vt:lpstr>
      <vt:lpstr>Ticker0024_Annotation_Sheet!A_PERIOD_2000</vt:lpstr>
      <vt:lpstr>Ticker0024_Annotation_Sheet!A_PERIOD_2000_Q1</vt:lpstr>
      <vt:lpstr>Ticker0024_Annotation_Sheet!A_PERIOD_2000_Q2</vt:lpstr>
      <vt:lpstr>Ticker0024_Annotation_Sheet!A_PERIOD_2000_Q3</vt:lpstr>
      <vt:lpstr>Ticker0024_Annotation_Sheet!A_PERIOD_2000_Q4</vt:lpstr>
      <vt:lpstr>Ticker0024_Annotation_Sheet!A_PERIOD_2001</vt:lpstr>
      <vt:lpstr>Ticker0024_Annotation_Sheet!A_PERIOD_2001_Q1</vt:lpstr>
      <vt:lpstr>Ticker0024_Annotation_Sheet!A_PERIOD_2001_Q2</vt:lpstr>
      <vt:lpstr>Ticker0024_Annotation_Sheet!A_PERIOD_2001_Q3</vt:lpstr>
      <vt:lpstr>Ticker0024_Annotation_Sheet!A_PERIOD_2001_Q4</vt:lpstr>
      <vt:lpstr>Ticker0024_Annotation_Sheet!A_PERIOD_2002</vt:lpstr>
      <vt:lpstr>Ticker0024_Annotation_Sheet!A_PERIOD_2002_Q1</vt:lpstr>
      <vt:lpstr>Ticker0024_Annotation_Sheet!A_PERIOD_2002_Q2</vt:lpstr>
      <vt:lpstr>Ticker0024_Annotation_Sheet!A_PERIOD_2002_Q3</vt:lpstr>
      <vt:lpstr>Ticker0024_Annotation_Sheet!A_PERIOD_2002_Q4</vt:lpstr>
      <vt:lpstr>Ticker0024_Annotation_Sheet!A_PERIOD_2003</vt:lpstr>
      <vt:lpstr>Ticker0024_Annotation_Sheet!A_PERIOD_2003_Q1</vt:lpstr>
      <vt:lpstr>Ticker0024_Annotation_Sheet!A_PERIOD_2003_Q2</vt:lpstr>
      <vt:lpstr>Ticker0024_Annotation_Sheet!A_PERIOD_2003_Q3</vt:lpstr>
      <vt:lpstr>Ticker0024_Annotation_Sheet!A_PERIOD_2003_Q4</vt:lpstr>
      <vt:lpstr>Ticker0024_Annotation_Sheet!A_PERIOD_2004</vt:lpstr>
      <vt:lpstr>Ticker0024_Annotation_Sheet!A_PERIOD_2004_Q1</vt:lpstr>
      <vt:lpstr>Ticker0024_Annotation_Sheet!A_PERIOD_2004_Q2</vt:lpstr>
      <vt:lpstr>Ticker0024_Annotation_Sheet!A_PERIOD_2004_Q3</vt:lpstr>
      <vt:lpstr>Ticker0024_Annotation_Sheet!A_PERIOD_2004_Q4</vt:lpstr>
      <vt:lpstr>Ticker0024_Annotation_Sheet!A_PERIOD_2005</vt:lpstr>
      <vt:lpstr>Ticker0024_Annotation_Sheet!A_PERIOD_2005_Q1</vt:lpstr>
      <vt:lpstr>Ticker0024_Annotation_Sheet!A_PERIOD_2005_Q2</vt:lpstr>
      <vt:lpstr>Ticker0024_Annotation_Sheet!A_PERIOD_2005_Q3</vt:lpstr>
      <vt:lpstr>Ticker0024_Annotation_Sheet!A_PERIOD_2005_Q4</vt:lpstr>
      <vt:lpstr>Ticker0024_Annotation_Sheet!A_PERIOD_2006</vt:lpstr>
      <vt:lpstr>Ticker0024_Annotation_Sheet!A_PERIOD_2006_Q1</vt:lpstr>
      <vt:lpstr>Ticker0024_Annotation_Sheet!A_PERIOD_2006_Q2</vt:lpstr>
      <vt:lpstr>Ticker0024_Annotation_Sheet!A_PERIOD_2006_Q3</vt:lpstr>
      <vt:lpstr>Ticker0024_Annotation_Sheet!A_PERIOD_2006_Q4</vt:lpstr>
      <vt:lpstr>Ticker0024_Annotation_Sheet!A_PERIOD_2007</vt:lpstr>
      <vt:lpstr>Ticker0024_Annotation_Sheet!A_PERIOD_2007_Q1</vt:lpstr>
      <vt:lpstr>Ticker0024_Annotation_Sheet!A_PERIOD_2007_Q2</vt:lpstr>
      <vt:lpstr>Ticker0024_Annotation_Sheet!A_PERIOD_2007_Q3</vt:lpstr>
      <vt:lpstr>Ticker0024_Annotation_Sheet!A_PERIOD_2007_Q4</vt:lpstr>
      <vt:lpstr>Ticker0024_Annotation_Sheet!A_PERIOD_2008</vt:lpstr>
      <vt:lpstr>Ticker0024_Annotation_Sheet!A_PERIOD_2008_Q1</vt:lpstr>
      <vt:lpstr>Ticker0024_Annotation_Sheet!A_PERIOD_2008_Q2</vt:lpstr>
      <vt:lpstr>Ticker0024_Annotation_Sheet!A_PERIOD_2008_Q3</vt:lpstr>
      <vt:lpstr>Ticker0024_Annotation_Sheet!A_PERIOD_2008_Q4</vt:lpstr>
      <vt:lpstr>Ticker0024_Annotation_Sheet!A_PERIOD_2009</vt:lpstr>
      <vt:lpstr>Ticker0024_Annotation_Sheet!A_PERIOD_2009_Q1</vt:lpstr>
      <vt:lpstr>Ticker0024_Annotation_Sheet!A_PERIOD_2009_Q2</vt:lpstr>
      <vt:lpstr>Ticker0024_Annotation_Sheet!A_PERIOD_2009_Q3</vt:lpstr>
      <vt:lpstr>Ticker0024_Annotation_Sheet!A_PERIOD_2009_Q4</vt:lpstr>
      <vt:lpstr>Ticker0024_Annotation_Sheet!A_PERIOD_2010</vt:lpstr>
      <vt:lpstr>Ticker0024_Annotation_Sheet!A_PERIOD_2010_Q1</vt:lpstr>
      <vt:lpstr>Ticker0024_Annotation_Sheet!A_PERIOD_2010_Q2</vt:lpstr>
      <vt:lpstr>Ticker0024_Annotation_Sheet!A_PERIOD_2010_Q3</vt:lpstr>
      <vt:lpstr>Ticker0024_Annotation_Sheet!A_PERIOD_2010_Q4</vt:lpstr>
      <vt:lpstr>Ticker0024_Annotation_Sheet!A_PERIOD_2011</vt:lpstr>
      <vt:lpstr>Ticker0024_Annotation_Sheet!A_PERIOD_2011_Q1</vt:lpstr>
      <vt:lpstr>Ticker0024_Annotation_Sheet!A_PERIOD_2011_Q2</vt:lpstr>
      <vt:lpstr>Ticker0024_Annotation_Sheet!A_PERIOD_2011_Q3</vt:lpstr>
      <vt:lpstr>Ticker0024_Annotation_Sheet!A_PERIOD_2011_Q4</vt:lpstr>
      <vt:lpstr>Ticker0024_Annotation_Sheet!A_PERIOD_2012</vt:lpstr>
      <vt:lpstr>Ticker0024_Annotation_Sheet!A_PERIOD_2012_Q1</vt:lpstr>
      <vt:lpstr>Ticker0024_Annotation_Sheet!A_PERIOD_2012_Q2</vt:lpstr>
      <vt:lpstr>Ticker0024_Annotation_Sheet!A_PERIOD_2012_Q3</vt:lpstr>
      <vt:lpstr>Ticker0024_Annotation_Sheet!A_PERIOD_2012_Q4</vt:lpstr>
      <vt:lpstr>Ticker0024_Annotation_Sheet!A_PERIOD_2013</vt:lpstr>
      <vt:lpstr>Ticker0024_Annotation_Sheet!A_PERIOD_2013_Q1</vt:lpstr>
      <vt:lpstr>Ticker0024_Annotation_Sheet!A_PERIOD_2013_Q2</vt:lpstr>
      <vt:lpstr>Ticker0024_Annotation_Sheet!A_PERIOD_2013_Q3</vt:lpstr>
      <vt:lpstr>Ticker0024_Annotation_Sheet!A_PERIOD_2013_Q4</vt:lpstr>
      <vt:lpstr>Ticker0024_Annotation_Sheet!A_PERIOD_2014</vt:lpstr>
      <vt:lpstr>Ticker0024_Annotation_Sheet!A_PERIOD_2014_Q1</vt:lpstr>
      <vt:lpstr>Ticker0024_Annotation_Sheet!A_PERIOD_2014_Q2</vt:lpstr>
      <vt:lpstr>Ticker0024_Annotation_Sheet!A_PERIOD_2014_Q3</vt:lpstr>
      <vt:lpstr>Ticker0024_Annotation_Sheet!A_PERIOD_2014_Q4</vt:lpstr>
      <vt:lpstr>Ticker0024_Annotation_Sheet!A_PERIOD_2015</vt:lpstr>
      <vt:lpstr>Ticker0024_Annotation_Sheet!A_PERIOD_2015_Q1</vt:lpstr>
      <vt:lpstr>Ticker0024_Annotation_Sheet!A_PERIOD_2015_Q2</vt:lpstr>
      <vt:lpstr>Ticker0024_Annotation_Sheet!A_PERIOD_2015_Q3</vt:lpstr>
      <vt:lpstr>Ticker0024_Annotation_Sheet!A_PERIOD_2015_Q4</vt:lpstr>
      <vt:lpstr>Ticker0024_Annotation_Sheet!A_PERIOD_2016</vt:lpstr>
      <vt:lpstr>Ticker0024_Annotation_Sheet!A_PERIOD_2016_Q1</vt:lpstr>
      <vt:lpstr>Ticker0024_Annotation_Sheet!A_PERIOD_2016_Q2</vt:lpstr>
      <vt:lpstr>Ticker0024_Annotation_Sheet!A_PERIOD_2016_Q3</vt:lpstr>
      <vt:lpstr>Ticker0024_Annotation_Sheet!A_PERIOD_2016_Q4</vt:lpstr>
      <vt:lpstr>Ticker0024_Annotation_Sheet!A_PERIOD_2017</vt:lpstr>
      <vt:lpstr>Ticker0024_Annotation_Sheet!A_PERIOD_2017_Q1</vt:lpstr>
      <vt:lpstr>Ticker0024_Annotation_Sheet!A_PERIOD_2017_Q2</vt:lpstr>
      <vt:lpstr>Ticker0024_Annotation_Sheet!A_PERIOD_2017_Q3</vt:lpstr>
      <vt:lpstr>Ticker0024_Annotation_Sheet!A_PERIOD_2017_Q4</vt:lpstr>
      <vt:lpstr>Ticker0024_Annotation_Sheet!A_PERIOD_2018</vt:lpstr>
      <vt:lpstr>Ticker0024_Annotation_Sheet!A_PERIOD_2018_Q1</vt:lpstr>
      <vt:lpstr>Ticker0024_Annotation_Sheet!A_PERIOD_2018_Q2</vt:lpstr>
      <vt:lpstr>Ticker0024_Annotation_Sheet!A_PERIOD_2018_Q3</vt:lpstr>
      <vt:lpstr>Ticker0024_Annotation_Sheet!A_PERIOD_2018_Q4</vt:lpstr>
      <vt:lpstr>Ticker0024_Annotation_Sheet!A_PERIOD_2019</vt:lpstr>
      <vt:lpstr>Ticker0024_Annotation_Sheet!A_PERIOD_2019_Q1</vt:lpstr>
      <vt:lpstr>Ticker0024_Annotation_Sheet!A_PERIOD_2019_Q2</vt:lpstr>
      <vt:lpstr>Ticker0024_Annotation_Sheet!A_PERIOD_2019_Q3</vt:lpstr>
      <vt:lpstr>Ticker0024_Annotation_Sheet!A_PERIOD_2019_Q4</vt:lpstr>
      <vt:lpstr>Ticker0024_Annotation_Sheet!A_PERIOD_2020</vt:lpstr>
      <vt:lpstr>Ticker0024_Annotation_Sheet!A_PERIOD_2020_Q1</vt:lpstr>
      <vt:lpstr>Ticker0024_Annotation_Sheet!A_PERIOD_2020_Q2</vt:lpstr>
      <vt:lpstr>Ticker0024_Annotation_Sheet!A_PERIOD_2020_Q3</vt:lpstr>
      <vt:lpstr>Ticker0024_Annotation_Sheet!A_PERIOD_2020_Q4</vt:lpstr>
      <vt:lpstr>Ticker0024_Annotation_Sheet!A_PERIOD_2021</vt:lpstr>
      <vt:lpstr>Ticker0024_Annotation_Sheet!A_PERIOD_2021_Q1</vt:lpstr>
      <vt:lpstr>Ticker0024_Annotation_Sheet!A_PERIOD_2021_Q2</vt:lpstr>
      <vt:lpstr>Ticker0024_Annotation_Sheet!A_PERIOD_2021_Q3</vt:lpstr>
      <vt:lpstr>Ticker0024_Annotation_Sheet!A_PERIOD_2021_Q4</vt:lpstr>
      <vt:lpstr>Ticker0024_Annotation_Sheet!A_PERIOD_2022</vt:lpstr>
      <vt:lpstr>Ticker0024_Annotation_Sheet!A_PERIOD_2022_Q1</vt:lpstr>
      <vt:lpstr>Ticker0024_Annotation_Sheet!A_PERIOD_2022_Q2</vt:lpstr>
      <vt:lpstr>Ticker0024_Annotation_Sheet!A_PERIOD_2022_Q3</vt:lpstr>
      <vt:lpstr>Ticker0024_Annotation_Sheet!A_PERIOD_2022_Q4</vt:lpstr>
      <vt:lpstr>Ticker0024_Annotation_Sheet!A_PERIOD_2023</vt:lpstr>
      <vt:lpstr>Ticker0024_Annotation_Sheet!A_PERIOD_2023_Q1</vt:lpstr>
      <vt:lpstr>Ticker0024_Annotation_Sheet!A_PERIOD_2023_Q2</vt:lpstr>
      <vt:lpstr>Ticker0024_Annotation_Sheet!A_PERIOD_2023_Q3</vt:lpstr>
      <vt:lpstr>Ticker0024_Annotation_Sheet!A_PERIOD_2023_Q4</vt:lpstr>
      <vt:lpstr>Ticker0024_Annotation_Sheet!A_PERIOD_2024</vt:lpstr>
      <vt:lpstr>Ticker0024_Annotation_Sheet!A_PERIOD_2024_Q1</vt:lpstr>
      <vt:lpstr>Ticker0024_Annotation_Sheet!A_PERIOD_2024_Q2</vt:lpstr>
      <vt:lpstr>Ticker0024_Annotation_Sheet!A_PERIOD_2024_Q3</vt:lpstr>
      <vt:lpstr>Ticker0024_Annotation_Sheet!A_PERIOD_2024_Q4</vt:lpstr>
      <vt:lpstr>Ticker0024_Annotation_Sheet!A_PERIOD_2025</vt:lpstr>
      <vt:lpstr>Ticker0024_Annotation_Sheet!A_PERIOD_2025_Q1</vt:lpstr>
      <vt:lpstr>Ticker0024_Annotation_Sheet!A_PERIOD_2025_Q2</vt:lpstr>
      <vt:lpstr>Ticker0024_Annotation_Sheet!A_PERIOD_2025_Q3</vt:lpstr>
      <vt:lpstr>Ticker0024_Annotation_Sheet!A_PERIOD_2025_Q4</vt:lpstr>
      <vt:lpstr>Ticker0024_Annotation_Sheet!A_PERIOD_2026</vt:lpstr>
      <vt:lpstr>Ticker0024_Annotation_Sheet!A_PERIOD_2026_Q1</vt:lpstr>
      <vt:lpstr>Ticker0024_Annotation_Sheet!A_PERIOD_2026_Q2</vt:lpstr>
      <vt:lpstr>Ticker0024_Annotation_Sheet!A_PERIOD_2026_Q3</vt:lpstr>
      <vt:lpstr>Ticker0024_Annotation_Sheet!A_PERIOD_2026_Q4</vt:lpstr>
      <vt:lpstr>Ticker0024_Annotation_Sheet!A_PERIOD_2027</vt:lpstr>
      <vt:lpstr>Ticker0024_Annotation_Sheet!A_PERIOD_2027_Q1</vt:lpstr>
      <vt:lpstr>Ticker0024_Annotation_Sheet!A_PERIOD_2027_Q2</vt:lpstr>
      <vt:lpstr>Ticker0024_Annotation_Sheet!A_PERIOD_2027_Q3</vt:lpstr>
      <vt:lpstr>Ticker0024_Annotation_Sheet!A_PERIOD_2027_Q4</vt:lpstr>
      <vt:lpstr>Ticker0024_Annotation_Sheet!A_PERIOD_2028</vt:lpstr>
      <vt:lpstr>Ticker0024_Annotation_Sheet!A_PERIOD_2028_Q1</vt:lpstr>
      <vt:lpstr>Ticker0024_Annotation_Sheet!A_PERIOD_2028_Q2</vt:lpstr>
      <vt:lpstr>Ticker0024_Annotation_Sheet!A_PERIOD_2028_Q3</vt:lpstr>
      <vt:lpstr>Ticker0024_Annotation_Sheet!A_PERIOD_2028_Q4</vt:lpstr>
      <vt:lpstr>Ticker0024_Annotation_Sheet!A_PERIOD_2029</vt:lpstr>
      <vt:lpstr>Ticker0024_Annotation_Sheet!A_PERIOD_2029_Q1</vt:lpstr>
      <vt:lpstr>Ticker0024_Annotation_Sheet!A_PERIOD_2029_Q2</vt:lpstr>
      <vt:lpstr>Ticker0024_Annotation_Sheet!A_PERIOD_2029_Q3</vt:lpstr>
      <vt:lpstr>Ticker0024_Annotation_Sheet!A_PERIOD_2029_Q4</vt:lpstr>
      <vt:lpstr>Ticker0024_Annotation_Sheet!A_SECTION_EQTY_200001320_1314</vt:lpstr>
      <vt:lpstr>Ticker0024_Annotation_Sheet!A_SECTION_EQTY_200001320_1319</vt:lpstr>
      <vt:lpstr>Ticker0024_Annotation_Sheet!A_SECTION_EQTY_200001320_131E</vt:lpstr>
      <vt:lpstr>Ticker0024_Annotation_Sheet!A_SECTION_EQTY_200001320_131O</vt:lpstr>
      <vt:lpstr>Ticker0024_Annotation_Sheet!A_SECTION_EQTY_200001320_13A</vt:lpstr>
      <vt:lpstr>Ticker0024_Annotation_Sheet!A_SECTION_EQTY_200001320_13K</vt:lpstr>
      <vt:lpstr>Ticker0024_Annotation_Sheet!A_SECTION_EQTY_200001320_13U</vt:lpstr>
      <vt:lpstr>Ticker0024_Annotation_Sheet!A_SECTION_EQTY_200001320_13V</vt:lpstr>
      <vt:lpstr>Ticker0024_Annotation_Sheet!A_SECTION_EQTY_200001320_13W</vt:lpstr>
      <vt:lpstr>Ticker0024_Annotation_Sheet!A_SECTION_EQTY_200001320_Reference_Data</vt:lpstr>
      <vt:lpstr>Ticker0024_Annotation_Sheet!A_SECTION_ISSR_208000430_1314</vt:lpstr>
      <vt:lpstr>Ticker0024_Annotation_Sheet!A_SECTION_ISSR_208000430_13168</vt:lpstr>
      <vt:lpstr>Ticker0024_Annotation_Sheet!A_SECTION_ISSR_208000430_1316T</vt:lpstr>
      <vt:lpstr>Ticker0024_Annotation_Sheet!A_SECTION_ISSR_208000430_1316U</vt:lpstr>
      <vt:lpstr>Ticker0024_Annotation_Sheet!A_SECTION_ISSR_208000430_1319</vt:lpstr>
      <vt:lpstr>Ticker0024_Annotation_Sheet!A_SECTION_ISSR_208000430_131E</vt:lpstr>
      <vt:lpstr>Ticker0024_Annotation_Sheet!A_SECTION_ISSR_208000430_131J</vt:lpstr>
      <vt:lpstr>Ticker0024_Annotation_Sheet!A_SECTION_ISSR_208000430_131O</vt:lpstr>
      <vt:lpstr>Ticker0024_Annotation_Sheet!A_SECTION_ISSR_208000430_136E</vt:lpstr>
      <vt:lpstr>Ticker0024_Annotation_Sheet!A_SECTION_ISSR_208000430_13A</vt:lpstr>
      <vt:lpstr>Ticker0024_Annotation_Sheet!A_SECTION_ISSR_208000430_13U</vt:lpstr>
      <vt:lpstr>Ticker0024_Annotation_Sheet!A_SECTION_ISSR_208000430_13V</vt:lpstr>
      <vt:lpstr>Ticker0024_Annotation_Sheet!A_SECTION_ISSR_208000430_Reference_Data</vt:lpstr>
      <vt:lpstr>Ticker0024_Annotation_Sheet!A_TEMPLATEHASH</vt:lpstr>
      <vt:lpstr>Ticker0024_Live_Sheet!L_ALL_KEYWORDS_TYPE_ScalarContributed_EQTY_200001320</vt:lpstr>
      <vt:lpstr>Ticker0024_Live_Sheet!L_ALL_KEYWORDS_TYPE_ScalarContributed_ISSR_208000430</vt:lpstr>
      <vt:lpstr>Ticker0024_Live_Sheet!L_ALL_KEYWORDS_TYPE_ScalarReference_EQTY_200001320</vt:lpstr>
      <vt:lpstr>Ticker0024_Live_Sheet!L_ALL_KEYWORDS_TYPE_ScalarReference_ISSR_208000430</vt:lpstr>
      <vt:lpstr>Ticker0024_Live_Sheet!L_ALL_KEYWORDS_TYPE_Vector_EQTY_200001320</vt:lpstr>
      <vt:lpstr>Ticker0024_Live_Sheet!L_ALL_KEYWORDS_TYPE_Vector_ISSR_208000430</vt:lpstr>
      <vt:lpstr>L_ALL_Ticker0024</vt:lpstr>
      <vt:lpstr>Ticker0024_Live_Sheet!L_ALL_PERIODS_Ticker0024</vt:lpstr>
      <vt:lpstr>Ticker0024_Live_Sheet!L_ALL_SECTION_KEYWORDS_EQTY_200001320_1314</vt:lpstr>
      <vt:lpstr>Ticker0024_Live_Sheet!L_ALL_SECTION_KEYWORDS_EQTY_200001320_1319</vt:lpstr>
      <vt:lpstr>Ticker0024_Live_Sheet!L_ALL_SECTION_KEYWORDS_EQTY_200001320_131E</vt:lpstr>
      <vt:lpstr>Ticker0024_Live_Sheet!L_ALL_SECTION_KEYWORDS_EQTY_200001320_131O</vt:lpstr>
      <vt:lpstr>Ticker0024_Live_Sheet!L_ALL_SECTION_KEYWORDS_EQTY_200001320_13A</vt:lpstr>
      <vt:lpstr>Ticker0024_Live_Sheet!L_ALL_SECTION_KEYWORDS_EQTY_200001320_13K</vt:lpstr>
      <vt:lpstr>Ticker0024_Live_Sheet!L_ALL_SECTION_KEYWORDS_EQTY_200001320_13U</vt:lpstr>
      <vt:lpstr>Ticker0024_Live_Sheet!L_ALL_SECTION_KEYWORDS_EQTY_200001320_13V</vt:lpstr>
      <vt:lpstr>Ticker0024_Live_Sheet!L_ALL_SECTION_KEYWORDS_EQTY_200001320_13W</vt:lpstr>
      <vt:lpstr>Ticker0024_Live_Sheet!L_ALL_SECTION_KEYWORDS_EQTY_200001320_Reference_Data</vt:lpstr>
      <vt:lpstr>Ticker0024_Live_Sheet!L_ALL_SECTION_KEYWORDS_ISSR_208000430_1314</vt:lpstr>
      <vt:lpstr>Ticker0024_Live_Sheet!L_ALL_SECTION_KEYWORDS_ISSR_208000430_13168</vt:lpstr>
      <vt:lpstr>Ticker0024_Live_Sheet!L_ALL_SECTION_KEYWORDS_ISSR_208000430_1316T</vt:lpstr>
      <vt:lpstr>Ticker0024_Live_Sheet!L_ALL_SECTION_KEYWORDS_ISSR_208000430_1316U</vt:lpstr>
      <vt:lpstr>Ticker0024_Live_Sheet!L_ALL_SECTION_KEYWORDS_ISSR_208000430_1319</vt:lpstr>
      <vt:lpstr>Ticker0024_Live_Sheet!L_ALL_SECTION_KEYWORDS_ISSR_208000430_131E</vt:lpstr>
      <vt:lpstr>Ticker0024_Live_Sheet!L_ALL_SECTION_KEYWORDS_ISSR_208000430_131J</vt:lpstr>
      <vt:lpstr>Ticker0024_Live_Sheet!L_ALL_SECTION_KEYWORDS_ISSR_208000430_131O</vt:lpstr>
      <vt:lpstr>Ticker0024_Live_Sheet!L_ALL_SECTION_KEYWORDS_ISSR_208000430_136E</vt:lpstr>
      <vt:lpstr>Ticker0024_Live_Sheet!L_ALL_SECTION_KEYWORDS_ISSR_208000430_13A</vt:lpstr>
      <vt:lpstr>Ticker0024_Live_Sheet!L_ALL_SECTION_KEYWORDS_ISSR_208000430_13U</vt:lpstr>
      <vt:lpstr>Ticker0024_Live_Sheet!L_ALL_SECTION_KEYWORDS_ISSR_208000430_13V</vt:lpstr>
      <vt:lpstr>Ticker0024_Live_Sheet!L_ALL_SECTION_KEYWORDS_ISSR_208000430_Reference_Data</vt:lpstr>
      <vt:lpstr>Ticker0024_Live_Sheet!L_ALL_SECTIONS_EQTY_200001320</vt:lpstr>
      <vt:lpstr>Ticker0024_Live_Sheet!L_ALL_SECTIONS_ISSR_208000430</vt:lpstr>
      <vt:lpstr>Ticker0024_Live_Sheet!L_CURRENCY_EQTY_200001320_PRI</vt:lpstr>
      <vt:lpstr>Ticker0024_Live_Sheet!L_CURRENCY_EQTY_200001320_PUB</vt:lpstr>
      <vt:lpstr>Ticker0024_Live_Sheet!L_CURRENCY_EQTY_200001320_REP</vt:lpstr>
      <vt:lpstr>Ticker0024_Live_Sheet!L_CURRENCY_ISSR_208000430_REP</vt:lpstr>
      <vt:lpstr>Ticker0024_Live_Sheet!L_ENTITY_DATA_EQTY_200001320</vt:lpstr>
      <vt:lpstr>Ticker0024_Live_Sheet!L_ENTITY_DATA_ISSR_208000430</vt:lpstr>
      <vt:lpstr>Ticker0024_Live_Sheet!L_KEYWORD_EQTY_200001320_AMER_LIST</vt:lpstr>
      <vt:lpstr>Ticker0024_Live_Sheet!L_KEYWORD_EQTY_200001320_BETA_ANALYST</vt:lpstr>
      <vt:lpstr>Ticker0024_Live_Sheet!L_KEYWORD_EQTY_200001320_BVPS</vt:lpstr>
      <vt:lpstr>Ticker0024_Live_Sheet!L_KEYWORD_EQTY_200001320_BVPS_PUB</vt:lpstr>
      <vt:lpstr>Ticker0024_Live_Sheet!L_KEYWORD_EQTY_200001320_CEEE_EPS</vt:lpstr>
      <vt:lpstr>Ticker0024_Live_Sheet!L_KEYWORD_EQTY_200001320_CEEE_NDEBT</vt:lpstr>
      <vt:lpstr>Ticker0024_Live_Sheet!L_KEYWORD_EQTY_200001320_CF_NI_PRE_PREF</vt:lpstr>
      <vt:lpstr>Ticker0024_Live_Sheet!L_KEYWORD_EQTY_200001320_COMMON_DIV_PAID</vt:lpstr>
      <vt:lpstr>Ticker0024_Live_Sheet!L_KEYWORD_EQTY_200001320_CURRENCY_ISO</vt:lpstr>
      <vt:lpstr>Ticker0024_Live_Sheet!L_KEYWORD_EQTY_200001320_DILUTE_SHARES</vt:lpstr>
      <vt:lpstr>Ticker0024_Live_Sheet!L_KEYWORD_EQTY_200001320_DPS</vt:lpstr>
      <vt:lpstr>Ticker0024_Live_Sheet!L_KEYWORD_EQTY_200001320_DPS_PUB</vt:lpstr>
      <vt:lpstr>Ticker0024_Live_Sheet!L_KEYWORD_EQTY_200001320_DPS_SPECIAL_PUB</vt:lpstr>
      <vt:lpstr>Ticker0024_Live_Sheet!L_KEYWORD_EQTY_200001320_EBIT_PUB</vt:lpstr>
      <vt:lpstr>Ticker0024_Live_Sheet!L_KEYWORD_EQTY_200001320_EBITDA_PUB</vt:lpstr>
      <vt:lpstr>Ticker0024_Live_Sheet!L_KEYWORD_EQTY_200001320_EPS</vt:lpstr>
      <vt:lpstr>Ticker0024_Live_Sheet!L_KEYWORD_EQTY_200001320_EPS_EX_ESO_B</vt:lpstr>
      <vt:lpstr>Ticker0024_Live_Sheet!L_KEYWORD_EQTY_200001320_EPS_EX_ESO_D</vt:lpstr>
      <vt:lpstr>Ticker0024_Live_Sheet!L_KEYWORD_EQTY_200001320_EPS_FUL_DIL</vt:lpstr>
      <vt:lpstr>Ticker0024_Live_Sheet!L_KEYWORD_EQTY_200001320_EPS_POST_BASIC</vt:lpstr>
      <vt:lpstr>Ticker0024_Live_Sheet!L_KEYWORD_EQTY_200001320_EPS_PUB</vt:lpstr>
      <vt:lpstr>Ticker0024_Live_Sheet!L_KEYWORD_EQTY_200001320_EPS_PUB_EX_ESO</vt:lpstr>
      <vt:lpstr>Ticker0024_Live_Sheet!L_KEYWORD_EQTY_200001320_EQ_PUB</vt:lpstr>
      <vt:lpstr>Ticker0024_Live_Sheet!L_KEYWORD_EQTY_200001320_ESO_POST_TAX</vt:lpstr>
      <vt:lpstr>Ticker0024_Live_Sheet!L_KEYWORD_EQTY_200001320_ESO_YEAR</vt:lpstr>
      <vt:lpstr>Ticker0024_Live_Sheet!L_KEYWORD_EQTY_200001320_EV_ADJ_PUB</vt:lpstr>
      <vt:lpstr>Ticker0024_Live_Sheet!L_KEYWORD_EQTY_200001320_FREE_FLOAT</vt:lpstr>
      <vt:lpstr>Ticker0024_Live_Sheet!L_KEYWORD_EQTY_200001320_FULLY_DIL_EPS</vt:lpstr>
      <vt:lpstr>Ticker0024_Live_Sheet!L_KEYWORD_EQTY_200001320_FV_GRANT</vt:lpstr>
      <vt:lpstr>Ticker0024_Live_Sheet!L_KEYWORD_EQTY_200001320_INC_MINORITY</vt:lpstr>
      <vt:lpstr>Ticker0024_Live_Sheet!L_KEYWORD_EQTY_200001320_Interim_Type</vt:lpstr>
      <vt:lpstr>Ticker0024_Live_Sheet!L_KEYWORD_EQTY_200001320_LEGAL_RATING</vt:lpstr>
      <vt:lpstr>Ticker0024_Live_Sheet!L_KEYWORD_EQTY_200001320_MARGIN_TAX_RATE</vt:lpstr>
      <vt:lpstr>Ticker0024_Live_Sheet!L_KEYWORD_EQTY_200001320_MKT_EQ_RISK_PREM</vt:lpstr>
      <vt:lpstr>Ticker0024_Live_Sheet!L_KEYWORD_EQTY_200001320_NET_DEBT_EX_LEASES_PUB</vt:lpstr>
      <vt:lpstr>Ticker0024_Live_Sheet!L_KEYWORD_EQTY_200001320_NET_DEBT_PUB</vt:lpstr>
      <vt:lpstr>Ticker0024_Live_Sheet!L_KEYWORD_EQTY_200001320_NET_EARNING</vt:lpstr>
      <vt:lpstr>Ticker0024_Live_Sheet!L_KEYWORD_EQTY_200001320_NET_INC</vt:lpstr>
      <vt:lpstr>Ticker0024_Live_Sheet!L_KEYWORD_EQTY_200001320_NI_PRE_PREF</vt:lpstr>
      <vt:lpstr>Ticker0024_Live_Sheet!L_KEYWORD_EQTY_200001320_NI_PUB</vt:lpstr>
      <vt:lpstr>Ticker0024_Live_Sheet!L_KEYWORD_EQTY_200001320_NON_OP_ADD</vt:lpstr>
      <vt:lpstr>Ticker0024_Live_Sheet!L_KEYWORD_EQTY_200001320_NOT_IN_USE</vt:lpstr>
      <vt:lpstr>Ticker0024_Live_Sheet!L_KEYWORD_EQTY_200001320_NUM_SH</vt:lpstr>
      <vt:lpstr>Ticker0024_Live_Sheet!L_KEYWORD_EQTY_200001320_PREF_DIV</vt:lpstr>
      <vt:lpstr>Ticker0024_Live_Sheet!L_KEYWORD_EQTY_200001320_PRICE_CURRENCY_ISO</vt:lpstr>
      <vt:lpstr>Ticker0024_Live_Sheet!L_KEYWORD_EQTY_200001320_PROV_INC_TAX</vt:lpstr>
      <vt:lpstr>Ticker0024_Live_Sheet!L_KEYWORD_EQTY_200001320_PTP_PUB</vt:lpstr>
      <vt:lpstr>Ticker0024_Live_Sheet!L_KEYWORD_EQTY_200001320_PUB_CURRENCY_ISO</vt:lpstr>
      <vt:lpstr>Ticker0024_Live_Sheet!L_KEYWORD_EQTY_200001320_REPUR_ACTUAL</vt:lpstr>
      <vt:lpstr>Ticker0024_Live_Sheet!L_KEYWORD_EQTY_200001320_REPUR_REMAINING</vt:lpstr>
      <vt:lpstr>Ticker0024_Live_Sheet!L_KEYWORD_EQTY_200001320_REPUR_SUSPENDED</vt:lpstr>
      <vt:lpstr>Ticker0024_Live_Sheet!L_KEYWORD_EQTY_200001320_REPUR_TOT_AUTH</vt:lpstr>
      <vt:lpstr>Ticker0024_Live_Sheet!L_KEYWORD_EQTY_200001320_REVS_PUB</vt:lpstr>
      <vt:lpstr>Ticker0024_Live_Sheet!L_KEYWORD_EQTY_200001320_RISK_FR_RATE</vt:lpstr>
      <vt:lpstr>Ticker0024_Live_Sheet!L_KEYWORD_EQTY_200001320_Security_Name</vt:lpstr>
      <vt:lpstr>Ticker0024_Live_Sheet!L_KEYWORD_EQTY_200001320_SH</vt:lpstr>
      <vt:lpstr>Ticker0024_Live_Sheet!L_KEYWORD_EQTY_200001320_TARGET_PRICE</vt:lpstr>
      <vt:lpstr>Ticker0024_Live_Sheet!L_KEYWORD_EQTY_200001320_TARGET_PRICE_FUNDAMENTAL</vt:lpstr>
      <vt:lpstr>Ticker0024_Live_Sheet!L_KEYWORD_EQTY_200001320_TARGET_PRICE_MA</vt:lpstr>
      <vt:lpstr>Ticker0024_Live_Sheet!L_KEYWORD_EQTY_200001320_TAX_EXC</vt:lpstr>
      <vt:lpstr>Ticker0024_Live_Sheet!L_KEYWORD_EQTY_200001320_Ticker</vt:lpstr>
      <vt:lpstr>Ticker0024_Live_Sheet!L_KEYWORD_EQTY_200001320_TP_PERIOD</vt:lpstr>
      <vt:lpstr>Ticker0024_Live_Sheet!L_KEYWORD_ISSR_208000430_ACC_AMORT</vt:lpstr>
      <vt:lpstr>Ticker0024_Live_Sheet!L_KEYWORD_ISSR_208000430_ACC_DDA</vt:lpstr>
      <vt:lpstr>Ticker0024_Live_Sheet!L_KEYWORD_ISSR_208000430_ACC_END_DATE</vt:lpstr>
      <vt:lpstr>Ticker0024_Live_Sheet!L_KEYWORD_ISSR_208000430_ACC_PAY_GQ</vt:lpstr>
      <vt:lpstr>Ticker0024_Live_Sheet!L_KEYWORD_ISSR_208000430_ACQ</vt:lpstr>
      <vt:lpstr>Ticker0024_Live_Sheet!L_KEYWORD_ISSR_208000430_ADJ_UNF_PENS_GOOD</vt:lpstr>
      <vt:lpstr>Ticker0024_Live_Sheet!L_KEYWORD_ISSR_208000430_ASSOC_JV_ADDBK</vt:lpstr>
      <vt:lpstr>Ticker0024_Live_Sheet!L_KEYWORD_ISSR_208000430_ASSOCIATE</vt:lpstr>
      <vt:lpstr>Ticker0024_Live_Sheet!L_KEYWORD_ISSR_208000430_ASSOCIATE_OP</vt:lpstr>
      <vt:lpstr>Ticker0024_Live_Sheet!L_KEYWORD_ISSR_208000430_BAL_MINO_INT</vt:lpstr>
      <vt:lpstr>Ticker0024_Live_Sheet!L_KEYWORD_ISSR_208000430_CAP_LEASES</vt:lpstr>
      <vt:lpstr>Ticker0024_Live_Sheet!L_KEYWORD_ISSR_208000430_CAPEX</vt:lpstr>
      <vt:lpstr>Ticker0024_Live_Sheet!L_KEYWORD_ISSR_208000430_CAPEX_EXPANSION</vt:lpstr>
      <vt:lpstr>Ticker0024_Live_Sheet!L_KEYWORD_ISSR_208000430_CAPEX_MAINTENANCE</vt:lpstr>
      <vt:lpstr>Ticker0024_Live_Sheet!L_KEYWORD_ISSR_208000430_CASH_EQ</vt:lpstr>
      <vt:lpstr>Ticker0024_Live_Sheet!L_KEYWORD_ISSR_208000430_CASH_INT_EXP</vt:lpstr>
      <vt:lpstr>Ticker0024_Live_Sheet!L_KEYWORD_ISSR_208000430_CASH_PCT_OS_US</vt:lpstr>
      <vt:lpstr>Ticker0024_Live_Sheet!L_KEYWORD_ISSR_208000430_CASH_TAX_EXP</vt:lpstr>
      <vt:lpstr>Ticker0024_Live_Sheet!L_KEYWORD_ISSR_208000430_CF_FIN</vt:lpstr>
      <vt:lpstr>Ticker0024_Live_Sheet!L_KEYWORD_ISSR_208000430_CF_INC_MINORITY</vt:lpstr>
      <vt:lpstr>Ticker0024_Live_Sheet!L_KEYWORD_ISSR_208000430_CF_INV</vt:lpstr>
      <vt:lpstr>Ticker0024_Live_Sheet!L_KEYWORD_ISSR_208000430_CF_OPS</vt:lpstr>
      <vt:lpstr>Ticker0024_Live_Sheet!L_KEYWORD_ISSR_208000430_CHG_DEF_TAX_CF</vt:lpstr>
      <vt:lpstr>Ticker0024_Live_Sheet!L_KEYWORD_ISSR_208000430_CHG_LT_DEBT</vt:lpstr>
      <vt:lpstr>Ticker0024_Live_Sheet!L_KEYWORD_ISSR_208000430_CO_BOR_MARGIN</vt:lpstr>
      <vt:lpstr>Ticker0024_Live_Sheet!L_KEYWORD_ISSR_208000430_COGS_N_GAAP</vt:lpstr>
      <vt:lpstr>Ticker0024_Live_Sheet!L_KEYWORD_ISSR_208000430_COGS_PCT_ROW</vt:lpstr>
      <vt:lpstr>Ticker0024_Live_Sheet!L_KEYWORD_ISSR_208000430_COGS_PCT_US</vt:lpstr>
      <vt:lpstr>Ticker0024_Live_Sheet!L_KEYWORD_ISSR_208000430_COST_GD_SD</vt:lpstr>
      <vt:lpstr>Ticker0024_Live_Sheet!L_KEYWORD_ISSR_208000430_CUR_ASS</vt:lpstr>
      <vt:lpstr>Ticker0024_Live_Sheet!L_KEYWORD_ISSR_208000430_CUR_REM_PERF_OBLIG</vt:lpstr>
      <vt:lpstr>Ticker0024_Live_Sheet!L_KEYWORD_ISSR_208000430_CURRENCY_ISO</vt:lpstr>
      <vt:lpstr>Ticker0024_Live_Sheet!L_KEYWORD_ISSR_208000430_DEBTORS</vt:lpstr>
      <vt:lpstr>Ticker0024_Live_Sheet!L_KEYWORD_ISSR_208000430_DEF_INC_TAX</vt:lpstr>
      <vt:lpstr>Ticker0024_Live_Sheet!L_KEYWORD_ISSR_208000430_DEPR_AMORT</vt:lpstr>
      <vt:lpstr>Ticker0024_Live_Sheet!L_KEYWORD_ISSR_208000430_DEPR_ROU_ASSETS</vt:lpstr>
      <vt:lpstr>Ticker0024_Live_Sheet!L_KEYWORD_ISSR_208000430_DEPREC</vt:lpstr>
      <vt:lpstr>Ticker0024_Live_Sheet!L_KEYWORD_ISSR_208000430_DIV_PAID</vt:lpstr>
      <vt:lpstr>Ticker0024_Live_Sheet!L_KEYWORD_ISSR_208000430_DIVDS_ASSOC_JV</vt:lpstr>
      <vt:lpstr>Ticker0024_Live_Sheet!L_KEYWORD_ISSR_208000430_DIVDS_PD_MINORITIES</vt:lpstr>
      <vt:lpstr>Ticker0024_Live_Sheet!L_KEYWORD_ISSR_208000430_DIVEST</vt:lpstr>
      <vt:lpstr>Ticker0024_Live_Sheet!L_KEYWORD_ISSR_208000430_EBIT</vt:lpstr>
      <vt:lpstr>Ticker0024_Live_Sheet!L_KEYWORD_ISSR_208000430_EBIT_FIN_SEGMENT</vt:lpstr>
      <vt:lpstr>Ticker0024_Live_Sheet!L_KEYWORD_ISSR_208000430_EBITDA_CALC</vt:lpstr>
      <vt:lpstr>Ticker0024_Live_Sheet!L_KEYWORD_ISSR_208000430_EMPLOYEES</vt:lpstr>
      <vt:lpstr>Ticker0024_Live_Sheet!L_KEYWORD_ISSR_208000430_EQ</vt:lpstr>
      <vt:lpstr>Ticker0024_Live_Sheet!L_KEYWORD_ISSR_208000430_ESO_PRE_TAX</vt:lpstr>
      <vt:lpstr>Ticker0024_Live_Sheet!L_KEYWORD_ISSR_208000430_EXP_OIL_DERIV_NGLS_PLASTICS</vt:lpstr>
      <vt:lpstr>Ticker0024_Live_Sheet!L_KEYWORD_ISSR_208000430_EXP_OIL_PETRO_FUEL</vt:lpstr>
      <vt:lpstr>Ticker0024_Live_Sheet!L_KEYWORD_ISSR_208000430_FCF_UNLEVERED</vt:lpstr>
      <vt:lpstr>Ticker0024_Live_Sheet!L_KEYWORD_ISSR_208000430_FIX_ASS_INV</vt:lpstr>
      <vt:lpstr>Ticker0024_Live_Sheet!L_KEYWORD_ISSR_208000430_FLOATING_PCT_LOCAL_DEBT</vt:lpstr>
      <vt:lpstr>Ticker0024_Live_Sheet!L_KEYWORD_ISSR_208000430_FLOATING_PCT_LOCAL_DEBT_HEDGED</vt:lpstr>
      <vt:lpstr>Ticker0024_Live_Sheet!L_KEYWORD_ISSR_208000430_GCI_INFL</vt:lpstr>
      <vt:lpstr>Ticker0024_Live_Sheet!L_KEYWORD_ISSR_208000430_GEN_ADMIN_N_GAAP</vt:lpstr>
      <vt:lpstr>Ticker0024_Live_Sheet!L_KEYWORD_ISSR_208000430_GOODWILL_AMORT</vt:lpstr>
      <vt:lpstr>Ticker0024_Live_Sheet!L_KEYWORD_ISSR_208000430_GR_FIX_ASS</vt:lpstr>
      <vt:lpstr>Ticker0024_Live_Sheet!L_KEYWORD_ISSR_208000430_GR_INTANG</vt:lpstr>
      <vt:lpstr>Ticker0024_Live_Sheet!L_KEYWORD_ISSR_208000430_GROSS_PROFIT_N_GAAP</vt:lpstr>
      <vt:lpstr>Ticker0024_Live_Sheet!L_KEYWORD_ISSR_208000430_INT_EXP_IND</vt:lpstr>
      <vt:lpstr>Ticker0024_Live_Sheet!L_KEYWORD_ISSR_208000430_INT_INC_IND</vt:lpstr>
      <vt:lpstr>Ticker0024_Live_Sheet!L_KEYWORD_ISSR_208000430_INV_SECUR</vt:lpstr>
      <vt:lpstr>Ticker0024_Live_Sheet!L_KEYWORD_ISSR_208000430_Issuer_Name</vt:lpstr>
      <vt:lpstr>Ticker0024_Live_Sheet!L_KEYWORD_ISSR_208000430_LEASE_ADOPT</vt:lpstr>
      <vt:lpstr>Ticker0024_Live_Sheet!L_KEYWORD_ISSR_208000430_LEASE_DEEM_DEPR</vt:lpstr>
      <vt:lpstr>Ticker0024_Live_Sheet!L_KEYWORD_ISSR_208000430_LEASE_DEEM_INT</vt:lpstr>
      <vt:lpstr>Ticker0024_Live_Sheet!L_KEYWORD_ISSR_208000430_LEASE_INT_CHG</vt:lpstr>
      <vt:lpstr>Ticker0024_Live_Sheet!L_KEYWORD_ISSR_208000430_LEASE_PAY</vt:lpstr>
      <vt:lpstr>Ticker0024_Live_Sheet!L_KEYWORD_ISSR_208000430_LEASE_PRINCIPAL_CASH</vt:lpstr>
      <vt:lpstr>Ticker0024_Live_Sheet!L_KEYWORD_ISSR_208000430_LICENSE_REV</vt:lpstr>
      <vt:lpstr>Ticker0024_Live_Sheet!L_KEYWORD_ISSR_208000430_LT_DEBT</vt:lpstr>
      <vt:lpstr>Ticker0024_Live_Sheet!L_KEYWORD_ISSR_208000430_LT_LEASE_LIAB</vt:lpstr>
      <vt:lpstr>Ticker0024_Live_Sheet!L_KEYWORD_ISSR_208000430_MA_PROB</vt:lpstr>
      <vt:lpstr>Ticker0024_Live_Sheet!L_KEYWORD_ISSR_208000430_MAINTEN_REV</vt:lpstr>
      <vt:lpstr>Ticker0024_Live_Sheet!L_KEYWORD_ISSR_208000430_MINORITIES</vt:lpstr>
      <vt:lpstr>Ticker0024_Live_Sheet!L_KEYWORD_ISSR_208000430_MV_ASSOCIATES</vt:lpstr>
      <vt:lpstr>Ticker0024_Live_Sheet!L_KEYWORD_ISSR_208000430_NET_DEBT</vt:lpstr>
      <vt:lpstr>Ticker0024_Live_Sheet!L_KEYWORD_ISSR_208000430_NET_DEBT_ADJ</vt:lpstr>
      <vt:lpstr>Ticker0024_Live_Sheet!L_KEYWORD_ISSR_208000430_NET_FIX_ASS</vt:lpstr>
      <vt:lpstr>Ticker0024_Live_Sheet!L_KEYWORD_ISSR_208000430_NET_INC_N_GAAP</vt:lpstr>
      <vt:lpstr>Ticker0024_Live_Sheet!L_KEYWORD_ISSR_208000430_NET_INT_CH</vt:lpstr>
      <vt:lpstr>Ticker0024_Live_Sheet!L_KEYWORD_ISSR_208000430_NET_INT_EXP</vt:lpstr>
      <vt:lpstr>Ticker0024_Live_Sheet!L_KEYWORD_ISSR_208000430_NET_INTANG</vt:lpstr>
      <vt:lpstr>Ticker0024_Live_Sheet!L_KEYWORD_ISSR_208000430_NET_OP_LOSS_CFWD</vt:lpstr>
      <vt:lpstr>Ticker0024_Live_Sheet!L_KEYWORD_ISSR_208000430_NONPPE_CAPEX</vt:lpstr>
      <vt:lpstr>Ticker0024_Live_Sheet!L_KEYWORD_ISSR_208000430_OP_COST</vt:lpstr>
      <vt:lpstr>Ticker0024_Live_Sheet!L_KEYWORD_ISSR_208000430_OP_INC_N_GAAP</vt:lpstr>
      <vt:lpstr>Ticker0024_Live_Sheet!L_KEYWORD_ISSR_208000430_OPS_EXP_N_GAAP</vt:lpstr>
      <vt:lpstr>Ticker0024_Live_Sheet!L_KEYWORD_ISSR_208000430_ORD_SH_FUND</vt:lpstr>
      <vt:lpstr>Ticker0024_Live_Sheet!L_KEYWORD_ISSR_208000430_OTH_ADJ_CASH_TAX</vt:lpstr>
      <vt:lpstr>Ticker0024_Live_Sheet!L_KEYWORD_ISSR_208000430_OTH_COST_INC</vt:lpstr>
      <vt:lpstr>Ticker0024_Live_Sheet!L_KEYWORD_ISSR_208000430_OTH_CUR_ASS</vt:lpstr>
      <vt:lpstr>Ticker0024_Live_Sheet!L_KEYWORD_ISSR_208000430_OTH_CUR_LIABS</vt:lpstr>
      <vt:lpstr>Ticker0024_Live_Sheet!L_KEYWORD_ISSR_208000430_OTH_DACF_ADJ</vt:lpstr>
      <vt:lpstr>Ticker0024_Live_Sheet!L_KEYWORD_ISSR_208000430_OTH_FIN_CF</vt:lpstr>
      <vt:lpstr>Ticker0024_Live_Sheet!L_KEYWORD_ISSR_208000430_OTH_GCI_ADJ</vt:lpstr>
      <vt:lpstr>Ticker0024_Live_Sheet!L_KEYWORD_ISSR_208000430_OTH_INV_CF</vt:lpstr>
      <vt:lpstr>Ticker0024_Live_Sheet!L_KEYWORD_ISSR_208000430_OTH_LT_ASS</vt:lpstr>
      <vt:lpstr>Ticker0024_Live_Sheet!L_KEYWORD_ISSR_208000430_OTH_LT_CRED_GQ</vt:lpstr>
      <vt:lpstr>Ticker0024_Live_Sheet!L_KEYWORD_ISSR_208000430_OTH_NONCASH_ADJ</vt:lpstr>
      <vt:lpstr>Ticker0024_Live_Sheet!L_KEYWORD_ISSR_208000430_OTH_OP_CF</vt:lpstr>
      <vt:lpstr>Ticker0024_Live_Sheet!L_KEYWORD_ISSR_208000430_OTH_OP_INC_EXP</vt:lpstr>
      <vt:lpstr>Ticker0024_Live_Sheet!L_KEYWORD_ISSR_208000430_PERIOD_MILESTONE</vt:lpstr>
      <vt:lpstr>Ticker0024_Live_Sheet!L_KEYWORD_ISSR_208000430_PL_SALE_ASSETS</vt:lpstr>
      <vt:lpstr>Ticker0024_Live_Sheet!L_KEYWORD_ISSR_208000430_PREF_SH</vt:lpstr>
      <vt:lpstr>Ticker0024_Live_Sheet!L_KEYWORD_ISSR_208000430_PROFIT_ON_DISP</vt:lpstr>
      <vt:lpstr>Ticker0024_Live_Sheet!L_KEYWORD_ISSR_208000430_PT_PROF</vt:lpstr>
      <vt:lpstr>Ticker0024_Live_Sheet!L_KEYWORD_ISSR_208000430_RD_EXP</vt:lpstr>
      <vt:lpstr>Ticker0024_Live_Sheet!L_KEYWORD_ISSR_208000430_RD_N_GAAP</vt:lpstr>
      <vt:lpstr>Ticker0024_Live_Sheet!L_KEYWORD_ISSR_208000430_REM_PERF_OBLIG</vt:lpstr>
      <vt:lpstr>Ticker0024_Live_Sheet!L_KEYWORD_ISSR_208000430_REV_FIN_SEGMENT</vt:lpstr>
      <vt:lpstr>Ticker0024_Live_Sheet!L_KEYWORD_ISSR_208000430_ROU_ASSET</vt:lpstr>
      <vt:lpstr>Ticker0024_Live_Sheet!L_KEYWORD_ISSR_208000430_SALES</vt:lpstr>
      <vt:lpstr>Ticker0024_Live_Sheet!L_KEYWORD_ISSR_208000430_SALES_ARGENTINA</vt:lpstr>
      <vt:lpstr>Ticker0024_Live_Sheet!L_KEYWORD_ISSR_208000430_SALES_AUSTRA</vt:lpstr>
      <vt:lpstr>Ticker0024_Live_Sheet!L_KEYWORD_ISSR_208000430_SALES_AUSTRIA</vt:lpstr>
      <vt:lpstr>Ticker0024_Live_Sheet!L_KEYWORD_ISSR_208000430_SALES_COMPANY0377</vt:lpstr>
      <vt:lpstr>Ticker0024_Live_Sheet!L_KEYWORD_ISSR_208000430_SALES_BRAZIL</vt:lpstr>
      <vt:lpstr>Ticker0024_Live_Sheet!L_KEYWORD_ISSR_208000430_SALES_CANADA</vt:lpstr>
      <vt:lpstr>Ticker0024_Live_Sheet!L_KEYWORD_ISSR_208000430_SALES_CEE</vt:lpstr>
      <vt:lpstr>Ticker0024_Live_Sheet!L_KEYWORD_ISSR_208000430_SALES_CHILE</vt:lpstr>
      <vt:lpstr>Ticker0024_Live_Sheet!L_KEYWORD_ISSR_208000430_SALES_CHINA</vt:lpstr>
      <vt:lpstr>Ticker0024_Live_Sheet!L_KEYWORD_ISSR_208000430_SALES_COLOMBIA</vt:lpstr>
      <vt:lpstr>Ticker0024_Live_Sheet!L_KEYWORD_ISSR_208000430_SALES_CONS</vt:lpstr>
      <vt:lpstr>Ticker0024_Live_Sheet!L_KEYWORD_ISSR_208000430_SALES_EU_EX_UK</vt:lpstr>
      <vt:lpstr>Ticker0024_Live_Sheet!L_KEYWORD_ISSR_208000430_SALES_FINAN</vt:lpstr>
      <vt:lpstr>Ticker0024_Live_Sheet!L_KEYWORD_ISSR_208000430_SALES_FRA</vt:lpstr>
      <vt:lpstr>Ticker0024_Live_Sheet!L_KEYWORD_ISSR_208000430_SALES_FX_ARS</vt:lpstr>
      <vt:lpstr>Ticker0024_Live_Sheet!L_KEYWORD_ISSR_208000430_SALES_FX_BRL</vt:lpstr>
      <vt:lpstr>Ticker0024_Live_Sheet!L_KEYWORD_ISSR_208000430_SALES_FX_CAD</vt:lpstr>
      <vt:lpstr>Ticker0024_Live_Sheet!L_KEYWORD_ISSR_208000430_SALES_FX_CLP</vt:lpstr>
      <vt:lpstr>Ticker0024_Live_Sheet!L_KEYWORD_ISSR_208000430_SALES_FX_CNY</vt:lpstr>
      <vt:lpstr>Ticker0024_Live_Sheet!L_KEYWORD_ISSR_208000430_SALES_FX_COP</vt:lpstr>
      <vt:lpstr>Ticker0024_Live_Sheet!L_KEYWORD_ISSR_208000430_SALES_FX_EUR</vt:lpstr>
      <vt:lpstr>Ticker0024_Live_Sheet!L_KEYWORD_ISSR_208000430_SALES_FX_GPB</vt:lpstr>
      <vt:lpstr>Ticker0024_Live_Sheet!L_KEYWORD_ISSR_208000430_SALES_FX_INR</vt:lpstr>
      <vt:lpstr>Ticker0024_Live_Sheet!L_KEYWORD_ISSR_208000430_SALES_FX_MXN</vt:lpstr>
      <vt:lpstr>Ticker0024_Live_Sheet!L_KEYWORD_ISSR_208000430_SALES_FX_OTH</vt:lpstr>
      <vt:lpstr>Ticker0024_Live_Sheet!L_KEYWORD_ISSR_208000430_SALES_FX_RUB</vt:lpstr>
      <vt:lpstr>Ticker0024_Live_Sheet!L_KEYWORD_ISSR_208000430_SALES_FX_USD</vt:lpstr>
      <vt:lpstr>Ticker0024_Live_Sheet!L_KEYWORD_ISSR_208000430_SALES_FX_VEF</vt:lpstr>
      <vt:lpstr>Ticker0024_Live_Sheet!L_KEYWORD_ISSR_208000430_SALES_FX_YEN</vt:lpstr>
      <vt:lpstr>Ticker0024_Live_Sheet!L_KEYWORD_ISSR_208000430_SALES_GER</vt:lpstr>
      <vt:lpstr>Ticker0024_Live_Sheet!L_KEYWORD_ISSR_208000430_SALES_GOV</vt:lpstr>
      <vt:lpstr>Ticker0024_Live_Sheet!L_KEYWORD_ISSR_208000430_SALES_GRE</vt:lpstr>
      <vt:lpstr>Ticker0024_Live_Sheet!L_KEYWORD_ISSR_208000430_SALES_HONG_KONG</vt:lpstr>
      <vt:lpstr>Ticker0024_Live_Sheet!L_KEYWORD_ISSR_208000430_SALES_IND</vt:lpstr>
      <vt:lpstr>Ticker0024_Live_Sheet!L_KEYWORD_ISSR_208000430_SALES_INDIA</vt:lpstr>
      <vt:lpstr>Ticker0024_Live_Sheet!L_KEYWORD_ISSR_208000430_SALES_INDONESIA</vt:lpstr>
      <vt:lpstr>Ticker0024_Live_Sheet!L_KEYWORD_ISSR_208000430_SALES_IRE</vt:lpstr>
      <vt:lpstr>Ticker0024_Live_Sheet!L_KEYWORD_ISSR_208000430_SALES_ITA</vt:lpstr>
      <vt:lpstr>Ticker0024_Live_Sheet!L_KEYWORD_ISSR_208000430_SALES_JAPAN</vt:lpstr>
      <vt:lpstr>Ticker0024_Live_Sheet!L_KEYWORD_ISSR_208000430_SALES_MARKETING_N_GAAP</vt:lpstr>
      <vt:lpstr>Ticker0024_Live_Sheet!L_KEYWORD_ISSR_208000430_SALES_ME</vt:lpstr>
      <vt:lpstr>Ticker0024_Live_Sheet!L_KEYWORD_ISSR_208000430_SALES_MEXICO</vt:lpstr>
      <vt:lpstr>Ticker0024_Live_Sheet!L_KEYWORD_ISSR_208000430_SALES_NETH</vt:lpstr>
      <vt:lpstr>Ticker0024_Live_Sheet!L_KEYWORD_ISSR_208000430_SALES_NIGERIA</vt:lpstr>
      <vt:lpstr>Ticker0024_Live_Sheet!L_KEYWORD_ISSR_208000430_SALES_NOR</vt:lpstr>
      <vt:lpstr>Ticker0024_Live_Sheet!L_KEYWORD_ISSR_208000430_SALES_NZ</vt:lpstr>
      <vt:lpstr>Ticker0024_Live_Sheet!L_KEYWORD_ISSR_208000430_SALES_OIL_GAS</vt:lpstr>
      <vt:lpstr>Ticker0024_Live_Sheet!L_KEYWORD_ISSR_208000430_SALES_OTH_AEJ</vt:lpstr>
      <vt:lpstr>Ticker0024_Live_Sheet!L_KEYWORD_ISSR_208000430_SALES_OTH_AFRICA</vt:lpstr>
      <vt:lpstr>Ticker0024_Live_Sheet!L_KEYWORD_ISSR_208000430_SALES_OTH_AM</vt:lpstr>
      <vt:lpstr>Ticker0024_Live_Sheet!L_KEYWORD_ISSR_208000430_SALES_OTH_CEE</vt:lpstr>
      <vt:lpstr>Ticker0024_Live_Sheet!L_KEYWORD_ISSR_208000430_SALES_OTH_DEV_ASIA</vt:lpstr>
      <vt:lpstr>Ticker0024_Live_Sheet!L_KEYWORD_ISSR_208000430_SALES_OTH_EMEA</vt:lpstr>
      <vt:lpstr>Ticker0024_Live_Sheet!L_KEYWORD_ISSR_208000430_SALES_OTH_EMERG_ASIA</vt:lpstr>
      <vt:lpstr>Ticker0024_Live_Sheet!L_KEYWORD_ISSR_208000430_SALES_OTH_LATAM</vt:lpstr>
      <vt:lpstr>Ticker0024_Live_Sheet!L_KEYWORD_ISSR_208000430_SALES_OTH_ME</vt:lpstr>
      <vt:lpstr>Ticker0024_Live_Sheet!L_KEYWORD_ISSR_208000430_SALES_OTH_NO_AMER</vt:lpstr>
      <vt:lpstr>Ticker0024_Live_Sheet!L_KEYWORD_ISSR_208000430_SALES_OTH_WEST_EURO</vt:lpstr>
      <vt:lpstr>Ticker0024_Live_Sheet!L_KEYWORD_ISSR_208000430_SALES_OTHER</vt:lpstr>
      <vt:lpstr>Ticker0024_Live_Sheet!L_KEYWORD_ISSR_208000430_SALES_POLAND</vt:lpstr>
      <vt:lpstr>Ticker0024_Live_Sheet!L_KEYWORD_ISSR_208000430_SALES_POR</vt:lpstr>
      <vt:lpstr>Ticker0024_Live_Sheet!L_KEYWORD_ISSR_208000430_SALES_RUSSIA</vt:lpstr>
      <vt:lpstr>Ticker0024_Live_Sheet!L_KEYWORD_ISSR_208000430_SALES_SAUDI_ARABIA</vt:lpstr>
      <vt:lpstr>Ticker0024_Live_Sheet!L_KEYWORD_ISSR_208000430_SALES_SINGAPORE</vt:lpstr>
      <vt:lpstr>Ticker0024_Live_Sheet!L_KEYWORD_ISSR_208000430_SALES_SK</vt:lpstr>
      <vt:lpstr>Ticker0024_Live_Sheet!L_KEYWORD_ISSR_208000430_SALES_SMB</vt:lpstr>
      <vt:lpstr>Ticker0024_Live_Sheet!L_KEYWORD_ISSR_208000430_SALES_SO_AFRICA</vt:lpstr>
      <vt:lpstr>Ticker0024_Live_Sheet!L_KEYWORD_ISSR_208000430_SALES_SPA</vt:lpstr>
      <vt:lpstr>Ticker0024_Live_Sheet!L_KEYWORD_ISSR_208000430_SALES_SWE</vt:lpstr>
      <vt:lpstr>Ticker0024_Live_Sheet!L_KEYWORD_ISSR_208000430_SALES_SWIT</vt:lpstr>
      <vt:lpstr>Ticker0024_Live_Sheet!L_KEYWORD_ISSR_208000430_SALES_TAIWAN</vt:lpstr>
      <vt:lpstr>Ticker0024_Live_Sheet!L_KEYWORD_ISSR_208000430_SALES_THAILAND</vt:lpstr>
      <vt:lpstr>Ticker0024_Live_Sheet!L_KEYWORD_ISSR_208000430_SALES_TOT_AFRICA</vt:lpstr>
      <vt:lpstr>Ticker0024_Live_Sheet!L_KEYWORD_ISSR_208000430_SALES_TOT_AM</vt:lpstr>
      <vt:lpstr>Ticker0024_Live_Sheet!L_KEYWORD_ISSR_208000430_SALES_TOT_ASIA</vt:lpstr>
      <vt:lpstr>Ticker0024_Live_Sheet!L_KEYWORD_ISSR_208000430_SALES_TOT_EMEA</vt:lpstr>
      <vt:lpstr>Ticker0024_Live_Sheet!L_KEYWORD_ISSR_208000430_SALES_TURKEY</vt:lpstr>
      <vt:lpstr>Ticker0024_Live_Sheet!L_KEYWORD_ISSR_208000430_SALES_UAE</vt:lpstr>
      <vt:lpstr>Ticker0024_Live_Sheet!L_KEYWORD_ISSR_208000430_SALES_UK</vt:lpstr>
      <vt:lpstr>Ticker0024_Live_Sheet!L_KEYWORD_ISSR_208000430_SALES_US</vt:lpstr>
      <vt:lpstr>Ticker0024_Live_Sheet!L_KEYWORD_ISSR_208000430_SALES_VENEZUELA</vt:lpstr>
      <vt:lpstr>Ticker0024_Live_Sheet!L_KEYWORD_ISSR_208000430_SBC_COST_OF_GOODS_SOLD</vt:lpstr>
      <vt:lpstr>Ticker0024_Live_Sheet!L_KEYWORD_ISSR_208000430_SBC_GEN_ADMINISTRATIVE</vt:lpstr>
      <vt:lpstr>Ticker0024_Live_Sheet!L_KEYWORD_ISSR_208000430_SBC_RESEARCH_DEVELOPMENT</vt:lpstr>
      <vt:lpstr>Ticker0024_Live_Sheet!L_KEYWORD_ISSR_208000430_SBC_SALES_MARKETING</vt:lpstr>
      <vt:lpstr>Ticker0024_Live_Sheet!L_KEYWORD_ISSR_208000430_SBC_TOTAL</vt:lpstr>
      <vt:lpstr>Ticker0024_Live_Sheet!L_KEYWORD_ISSR_208000430_SEGMENT1_REV_NAME</vt:lpstr>
      <vt:lpstr>Ticker0024_Live_Sheet!L_KEYWORD_ISSR_208000430_SEGMENT1_REV_VALUE</vt:lpstr>
      <vt:lpstr>Ticker0024_Live_Sheet!L_KEYWORD_ISSR_208000430_SEGMENT10_REV_NAME</vt:lpstr>
      <vt:lpstr>Ticker0024_Live_Sheet!L_KEYWORD_ISSR_208000430_SEGMENT10_REV_VALUE</vt:lpstr>
      <vt:lpstr>Ticker0024_Live_Sheet!L_KEYWORD_ISSR_208000430_SEGMENT2_REV_NAME</vt:lpstr>
      <vt:lpstr>Ticker0024_Live_Sheet!L_KEYWORD_ISSR_208000430_SEGMENT2_REV_VALUE</vt:lpstr>
      <vt:lpstr>Ticker0024_Live_Sheet!L_KEYWORD_ISSR_208000430_SEGMENT3_REV_NAME</vt:lpstr>
      <vt:lpstr>Ticker0024_Live_Sheet!L_KEYWORD_ISSR_208000430_SEGMENT3_REV_VALUE</vt:lpstr>
      <vt:lpstr>Ticker0024_Live_Sheet!L_KEYWORD_ISSR_208000430_SEGMENT4_REV_NAME</vt:lpstr>
      <vt:lpstr>Ticker0024_Live_Sheet!L_KEYWORD_ISSR_208000430_SEGMENT4_REV_VALUE</vt:lpstr>
      <vt:lpstr>Ticker0024_Live_Sheet!L_KEYWORD_ISSR_208000430_SEGMENT5_REV_NAME</vt:lpstr>
      <vt:lpstr>Ticker0024_Live_Sheet!L_KEYWORD_ISSR_208000430_SEGMENT5_REV_VALUE</vt:lpstr>
      <vt:lpstr>Ticker0024_Live_Sheet!L_KEYWORD_ISSR_208000430_SEGMENT6_REV_NAME</vt:lpstr>
      <vt:lpstr>Ticker0024_Live_Sheet!L_KEYWORD_ISSR_208000430_SEGMENT6_REV_VALUE</vt:lpstr>
      <vt:lpstr>Ticker0024_Live_Sheet!L_KEYWORD_ISSR_208000430_SEGMENT7_REV_NAME</vt:lpstr>
      <vt:lpstr>Ticker0024_Live_Sheet!L_KEYWORD_ISSR_208000430_SEGMENT7_REV_VALUE</vt:lpstr>
      <vt:lpstr>Ticker0024_Live_Sheet!L_KEYWORD_ISSR_208000430_SEGMENT8_REV_NAME</vt:lpstr>
      <vt:lpstr>Ticker0024_Live_Sheet!L_KEYWORD_ISSR_208000430_SEGMENT8_REV_VALUE</vt:lpstr>
      <vt:lpstr>Ticker0024_Live_Sheet!L_KEYWORD_ISSR_208000430_SEGMENT9_REV_NAME</vt:lpstr>
      <vt:lpstr>Ticker0024_Live_Sheet!L_KEYWORD_ISSR_208000430_SEGMENT9_REV_VALUE</vt:lpstr>
      <vt:lpstr>Ticker0024_Live_Sheet!L_KEYWORD_ISSR_208000430_SEL_GL_AD</vt:lpstr>
      <vt:lpstr>Ticker0024_Live_Sheet!L_KEYWORD_ISSR_208000430_SGA_PCT_ROW</vt:lpstr>
      <vt:lpstr>Ticker0024_Live_Sheet!L_KEYWORD_ISSR_208000430_SGA_PCT_US</vt:lpstr>
      <vt:lpstr>Ticker0024_Live_Sheet!L_KEYWORD_ISSR_208000430_SH_REPUR</vt:lpstr>
      <vt:lpstr>Ticker0024_Live_Sheet!L_KEYWORD_ISSR_208000430_SHORT_T_DEBT</vt:lpstr>
      <vt:lpstr>Ticker0024_Live_Sheet!L_KEYWORD_ISSR_208000430_SHORT_TERM_LIABS</vt:lpstr>
      <vt:lpstr>Ticker0024_Live_Sheet!L_KEYWORD_ISSR_208000430_ST_BILLINGS</vt:lpstr>
      <vt:lpstr>Ticker0024_Live_Sheet!L_KEYWORD_ISSR_208000430_ST_LEASE_LIAB</vt:lpstr>
      <vt:lpstr>Ticker0024_Live_Sheet!L_KEYWORD_ISSR_208000430_STOCKS</vt:lpstr>
      <vt:lpstr>Ticker0024_Live_Sheet!L_KEYWORD_ISSR_208000430_TOT_ASSET</vt:lpstr>
      <vt:lpstr>Ticker0024_Live_Sheet!L_KEYWORD_ISSR_208000430_TOT_BILLINGS</vt:lpstr>
      <vt:lpstr>Ticker0024_Live_Sheet!L_KEYWORD_ISSR_208000430_TOT_CF</vt:lpstr>
      <vt:lpstr>Ticker0024_Live_Sheet!L_KEYWORD_ISSR_208000430_TOT_DEF_REV</vt:lpstr>
      <vt:lpstr>Ticker0024_Live_Sheet!L_KEYWORD_ISSR_208000430_TOT_LIAB</vt:lpstr>
      <vt:lpstr>Ticker0024_Live_Sheet!L_KEYWORD_ISSR_208000430_TOT_LIAB_EQ</vt:lpstr>
      <vt:lpstr>Ticker0024_Live_Sheet!L_KEYWORD_ISSR_208000430_TOT_LT_LIAB</vt:lpstr>
      <vt:lpstr>Ticker0024_Live_Sheet!L_KEYWORD_ISSR_208000430_TOT_OPS_EXP</vt:lpstr>
      <vt:lpstr>Ticker0024_Live_Sheet!L_KEYWORD_ISSR_208000430_TOT_OPS_EXP_DDA</vt:lpstr>
      <vt:lpstr>Ticker0024_Live_Sheet!L_KEYWORD_ISSR_208000430_TOT_PCT_USD_DEBT_HEDGED</vt:lpstr>
      <vt:lpstr>Ticker0024_Live_Sheet!L_KEYWORD_ISSR_208000430_TOT_USD_DEBT</vt:lpstr>
      <vt:lpstr>Ticker0024_Live_Sheet!L_KEYWORD_ISSR_208000430_UNF_PENS</vt:lpstr>
      <vt:lpstr>Ticker0024_Live_Sheet!L_KEYWORD_ISSR_208000430_UNF_PENS_LIAB_OTH</vt:lpstr>
      <vt:lpstr>Ticker0024_Live_Sheet!L_KEYWORD_ISSR_208000430_UNF_PENS_OFF</vt:lpstr>
      <vt:lpstr>Ticker0024_Live_Sheet!L_KEYWORD_ISSR_208000430_WORK_CAP</vt:lpstr>
      <vt:lpstr>Ticker0024_Live_Sheet!L_LIVEDATA_EQTY_200001320</vt:lpstr>
      <vt:lpstr>Ticker0024_Live_Sheet!L_LIVEDATA_ISSR_208000430</vt:lpstr>
      <vt:lpstr>Ticker0024_Live_Sheet!L_PERIOD_1995</vt:lpstr>
      <vt:lpstr>Ticker0024_Live_Sheet!L_PERIOD_1996</vt:lpstr>
      <vt:lpstr>Ticker0024_Live_Sheet!L_PERIOD_1996_Q1</vt:lpstr>
      <vt:lpstr>Ticker0024_Live_Sheet!L_PERIOD_1996_Q2</vt:lpstr>
      <vt:lpstr>Ticker0024_Live_Sheet!L_PERIOD_1996_Q3</vt:lpstr>
      <vt:lpstr>Ticker0024_Live_Sheet!L_PERIOD_1996_Q4</vt:lpstr>
      <vt:lpstr>Ticker0024_Live_Sheet!L_PERIOD_1997</vt:lpstr>
      <vt:lpstr>Ticker0024_Live_Sheet!L_PERIOD_1997_Q1</vt:lpstr>
      <vt:lpstr>Ticker0024_Live_Sheet!L_PERIOD_1997_Q2</vt:lpstr>
      <vt:lpstr>Ticker0024_Live_Sheet!L_PERIOD_1997_Q3</vt:lpstr>
      <vt:lpstr>Ticker0024_Live_Sheet!L_PERIOD_1997_Q4</vt:lpstr>
      <vt:lpstr>Ticker0024_Live_Sheet!L_PERIOD_1998</vt:lpstr>
      <vt:lpstr>Ticker0024_Live_Sheet!L_PERIOD_1998_Q1</vt:lpstr>
      <vt:lpstr>Ticker0024_Live_Sheet!L_PERIOD_1998_Q2</vt:lpstr>
      <vt:lpstr>Ticker0024_Live_Sheet!L_PERIOD_1998_Q3</vt:lpstr>
      <vt:lpstr>Ticker0024_Live_Sheet!L_PERIOD_1998_Q4</vt:lpstr>
      <vt:lpstr>Ticker0024_Live_Sheet!L_PERIOD_1999</vt:lpstr>
      <vt:lpstr>Ticker0024_Live_Sheet!L_PERIOD_1999_Q1</vt:lpstr>
      <vt:lpstr>Ticker0024_Live_Sheet!L_PERIOD_1999_Q2</vt:lpstr>
      <vt:lpstr>Ticker0024_Live_Sheet!L_PERIOD_1999_Q3</vt:lpstr>
      <vt:lpstr>Ticker0024_Live_Sheet!L_PERIOD_1999_Q4</vt:lpstr>
      <vt:lpstr>Ticker0024_Live_Sheet!L_PERIOD_2000</vt:lpstr>
      <vt:lpstr>Ticker0024_Live_Sheet!L_PERIOD_2000_Q1</vt:lpstr>
      <vt:lpstr>Ticker0024_Live_Sheet!L_PERIOD_2000_Q2</vt:lpstr>
      <vt:lpstr>Ticker0024_Live_Sheet!L_PERIOD_2000_Q3</vt:lpstr>
      <vt:lpstr>Ticker0024_Live_Sheet!L_PERIOD_2000_Q4</vt:lpstr>
      <vt:lpstr>Ticker0024_Live_Sheet!L_PERIOD_2001</vt:lpstr>
      <vt:lpstr>Ticker0024_Live_Sheet!L_PERIOD_2001_Q1</vt:lpstr>
      <vt:lpstr>Ticker0024_Live_Sheet!L_PERIOD_2001_Q2</vt:lpstr>
      <vt:lpstr>Ticker0024_Live_Sheet!L_PERIOD_2001_Q3</vt:lpstr>
      <vt:lpstr>Ticker0024_Live_Sheet!L_PERIOD_2001_Q4</vt:lpstr>
      <vt:lpstr>Ticker0024_Live_Sheet!L_PERIOD_2002</vt:lpstr>
      <vt:lpstr>Ticker0024_Live_Sheet!L_PERIOD_2002_Q1</vt:lpstr>
      <vt:lpstr>Ticker0024_Live_Sheet!L_PERIOD_2002_Q2</vt:lpstr>
      <vt:lpstr>Ticker0024_Live_Sheet!L_PERIOD_2002_Q3</vt:lpstr>
      <vt:lpstr>Ticker0024_Live_Sheet!L_PERIOD_2002_Q4</vt:lpstr>
      <vt:lpstr>Ticker0024_Live_Sheet!L_PERIOD_2003</vt:lpstr>
      <vt:lpstr>Ticker0024_Live_Sheet!L_PERIOD_2003_Q1</vt:lpstr>
      <vt:lpstr>Ticker0024_Live_Sheet!L_PERIOD_2003_Q2</vt:lpstr>
      <vt:lpstr>Ticker0024_Live_Sheet!L_PERIOD_2003_Q3</vt:lpstr>
      <vt:lpstr>Ticker0024_Live_Sheet!L_PERIOD_2003_Q4</vt:lpstr>
      <vt:lpstr>Ticker0024_Live_Sheet!L_PERIOD_2004</vt:lpstr>
      <vt:lpstr>Ticker0024_Live_Sheet!L_PERIOD_2004_Q1</vt:lpstr>
      <vt:lpstr>Ticker0024_Live_Sheet!L_PERIOD_2004_Q2</vt:lpstr>
      <vt:lpstr>Ticker0024_Live_Sheet!L_PERIOD_2004_Q3</vt:lpstr>
      <vt:lpstr>Ticker0024_Live_Sheet!L_PERIOD_2004_Q4</vt:lpstr>
      <vt:lpstr>Ticker0024_Live_Sheet!L_PERIOD_2005</vt:lpstr>
      <vt:lpstr>Ticker0024_Live_Sheet!L_PERIOD_2005_Q1</vt:lpstr>
      <vt:lpstr>Ticker0024_Live_Sheet!L_PERIOD_2005_Q2</vt:lpstr>
      <vt:lpstr>Ticker0024_Live_Sheet!L_PERIOD_2005_Q3</vt:lpstr>
      <vt:lpstr>Ticker0024_Live_Sheet!L_PERIOD_2005_Q4</vt:lpstr>
      <vt:lpstr>Ticker0024_Live_Sheet!L_PERIOD_2006</vt:lpstr>
      <vt:lpstr>Ticker0024_Live_Sheet!L_PERIOD_2006_Q1</vt:lpstr>
      <vt:lpstr>Ticker0024_Live_Sheet!L_PERIOD_2006_Q2</vt:lpstr>
      <vt:lpstr>Ticker0024_Live_Sheet!L_PERIOD_2006_Q3</vt:lpstr>
      <vt:lpstr>Ticker0024_Live_Sheet!L_PERIOD_2006_Q4</vt:lpstr>
      <vt:lpstr>Ticker0024_Live_Sheet!L_PERIOD_2007</vt:lpstr>
      <vt:lpstr>Ticker0024_Live_Sheet!L_PERIOD_2007_Q1</vt:lpstr>
      <vt:lpstr>Ticker0024_Live_Sheet!L_PERIOD_2007_Q2</vt:lpstr>
      <vt:lpstr>Ticker0024_Live_Sheet!L_PERIOD_2007_Q3</vt:lpstr>
      <vt:lpstr>Ticker0024_Live_Sheet!L_PERIOD_2007_Q4</vt:lpstr>
      <vt:lpstr>Ticker0024_Live_Sheet!L_PERIOD_2008</vt:lpstr>
      <vt:lpstr>Ticker0024_Live_Sheet!L_PERIOD_2008_Q1</vt:lpstr>
      <vt:lpstr>Ticker0024_Live_Sheet!L_PERIOD_2008_Q2</vt:lpstr>
      <vt:lpstr>Ticker0024_Live_Sheet!L_PERIOD_2008_Q3</vt:lpstr>
      <vt:lpstr>Ticker0024_Live_Sheet!L_PERIOD_2008_Q4</vt:lpstr>
      <vt:lpstr>Ticker0024_Live_Sheet!L_PERIOD_2009</vt:lpstr>
      <vt:lpstr>Ticker0024_Live_Sheet!L_PERIOD_2009_Q1</vt:lpstr>
      <vt:lpstr>Ticker0024_Live_Sheet!L_PERIOD_2009_Q2</vt:lpstr>
      <vt:lpstr>Ticker0024_Live_Sheet!L_PERIOD_2009_Q3</vt:lpstr>
      <vt:lpstr>Ticker0024_Live_Sheet!L_PERIOD_2009_Q4</vt:lpstr>
      <vt:lpstr>Ticker0024_Live_Sheet!L_PERIOD_2010</vt:lpstr>
      <vt:lpstr>Ticker0024_Live_Sheet!L_PERIOD_2010_Q1</vt:lpstr>
      <vt:lpstr>Ticker0024_Live_Sheet!L_PERIOD_2010_Q2</vt:lpstr>
      <vt:lpstr>Ticker0024_Live_Sheet!L_PERIOD_2010_Q3</vt:lpstr>
      <vt:lpstr>Ticker0024_Live_Sheet!L_PERIOD_2010_Q4</vt:lpstr>
      <vt:lpstr>Ticker0024_Live_Sheet!L_PERIOD_2011</vt:lpstr>
      <vt:lpstr>Ticker0024_Live_Sheet!L_PERIOD_2011_Q1</vt:lpstr>
      <vt:lpstr>Ticker0024_Live_Sheet!L_PERIOD_2011_Q2</vt:lpstr>
      <vt:lpstr>Ticker0024_Live_Sheet!L_PERIOD_2011_Q3</vt:lpstr>
      <vt:lpstr>Ticker0024_Live_Sheet!L_PERIOD_2011_Q4</vt:lpstr>
      <vt:lpstr>Ticker0024_Live_Sheet!L_PERIOD_2012</vt:lpstr>
      <vt:lpstr>Ticker0024_Live_Sheet!L_PERIOD_2012_Q1</vt:lpstr>
      <vt:lpstr>Ticker0024_Live_Sheet!L_PERIOD_2012_Q2</vt:lpstr>
      <vt:lpstr>Ticker0024_Live_Sheet!L_PERIOD_2012_Q3</vt:lpstr>
      <vt:lpstr>Ticker0024_Live_Sheet!L_PERIOD_2012_Q4</vt:lpstr>
      <vt:lpstr>Ticker0024_Live_Sheet!L_PERIOD_2013</vt:lpstr>
      <vt:lpstr>Ticker0024_Live_Sheet!L_PERIOD_2013_Q1</vt:lpstr>
      <vt:lpstr>Ticker0024_Live_Sheet!L_PERIOD_2013_Q2</vt:lpstr>
      <vt:lpstr>Ticker0024_Live_Sheet!L_PERIOD_2013_Q3</vt:lpstr>
      <vt:lpstr>Ticker0024_Live_Sheet!L_PERIOD_2013_Q4</vt:lpstr>
      <vt:lpstr>Ticker0024_Live_Sheet!L_PERIOD_2014</vt:lpstr>
      <vt:lpstr>Ticker0024_Live_Sheet!L_PERIOD_2014_Q1</vt:lpstr>
      <vt:lpstr>Ticker0024_Live_Sheet!L_PERIOD_2014_Q2</vt:lpstr>
      <vt:lpstr>Ticker0024_Live_Sheet!L_PERIOD_2014_Q3</vt:lpstr>
      <vt:lpstr>Ticker0024_Live_Sheet!L_PERIOD_2014_Q4</vt:lpstr>
      <vt:lpstr>Ticker0024_Live_Sheet!L_PERIOD_2015</vt:lpstr>
      <vt:lpstr>Ticker0024_Live_Sheet!L_PERIOD_2015_Q1</vt:lpstr>
      <vt:lpstr>Ticker0024_Live_Sheet!L_PERIOD_2015_Q2</vt:lpstr>
      <vt:lpstr>Ticker0024_Live_Sheet!L_PERIOD_2015_Q3</vt:lpstr>
      <vt:lpstr>Ticker0024_Live_Sheet!L_PERIOD_2015_Q4</vt:lpstr>
      <vt:lpstr>Ticker0024_Live_Sheet!L_PERIOD_2016</vt:lpstr>
      <vt:lpstr>Ticker0024_Live_Sheet!L_PERIOD_2016_Q1</vt:lpstr>
      <vt:lpstr>Ticker0024_Live_Sheet!L_PERIOD_2016_Q2</vt:lpstr>
      <vt:lpstr>Ticker0024_Live_Sheet!L_PERIOD_2016_Q3</vt:lpstr>
      <vt:lpstr>Ticker0024_Live_Sheet!L_PERIOD_2016_Q4</vt:lpstr>
      <vt:lpstr>Ticker0024_Live_Sheet!L_PERIOD_2017</vt:lpstr>
      <vt:lpstr>Ticker0024_Live_Sheet!L_PERIOD_2017_Q1</vt:lpstr>
      <vt:lpstr>Ticker0024_Live_Sheet!L_PERIOD_2017_Q2</vt:lpstr>
      <vt:lpstr>Ticker0024_Live_Sheet!L_PERIOD_2017_Q3</vt:lpstr>
      <vt:lpstr>Ticker0024_Live_Sheet!L_PERIOD_2017_Q4</vt:lpstr>
      <vt:lpstr>Ticker0024_Live_Sheet!L_PERIOD_2018</vt:lpstr>
      <vt:lpstr>Ticker0024_Live_Sheet!L_PERIOD_2018_Q1</vt:lpstr>
      <vt:lpstr>Ticker0024_Live_Sheet!L_PERIOD_2018_Q2</vt:lpstr>
      <vt:lpstr>Ticker0024_Live_Sheet!L_PERIOD_2018_Q3</vt:lpstr>
      <vt:lpstr>Ticker0024_Live_Sheet!L_PERIOD_2018_Q4</vt:lpstr>
      <vt:lpstr>Ticker0024_Live_Sheet!L_PERIOD_2019</vt:lpstr>
      <vt:lpstr>Ticker0024_Live_Sheet!L_PERIOD_2019_Q1</vt:lpstr>
      <vt:lpstr>Ticker0024_Live_Sheet!L_PERIOD_2019_Q2</vt:lpstr>
      <vt:lpstr>Ticker0024_Live_Sheet!L_PERIOD_2019_Q3</vt:lpstr>
      <vt:lpstr>Ticker0024_Live_Sheet!L_PERIOD_2019_Q4</vt:lpstr>
      <vt:lpstr>Ticker0024_Live_Sheet!L_PERIOD_2020</vt:lpstr>
      <vt:lpstr>Ticker0024_Live_Sheet!L_PERIOD_2020_Q1</vt:lpstr>
      <vt:lpstr>Ticker0024_Live_Sheet!L_PERIOD_2020_Q2</vt:lpstr>
      <vt:lpstr>Ticker0024_Live_Sheet!L_PERIOD_2020_Q3</vt:lpstr>
      <vt:lpstr>Ticker0024_Live_Sheet!L_PERIOD_2020_Q4</vt:lpstr>
      <vt:lpstr>Ticker0024_Live_Sheet!L_PERIOD_2021</vt:lpstr>
      <vt:lpstr>Ticker0024_Live_Sheet!L_PERIOD_2021_Q1</vt:lpstr>
      <vt:lpstr>Ticker0024_Live_Sheet!L_PERIOD_2021_Q2</vt:lpstr>
      <vt:lpstr>Ticker0024_Live_Sheet!L_PERIOD_2021_Q3</vt:lpstr>
      <vt:lpstr>Ticker0024_Live_Sheet!L_PERIOD_2021_Q4</vt:lpstr>
      <vt:lpstr>Ticker0024_Live_Sheet!L_PERIOD_2022</vt:lpstr>
      <vt:lpstr>Ticker0024_Live_Sheet!L_PERIOD_2022_Q1</vt:lpstr>
      <vt:lpstr>Ticker0024_Live_Sheet!L_PERIOD_2022_Q2</vt:lpstr>
      <vt:lpstr>Ticker0024_Live_Sheet!L_PERIOD_2022_Q3</vt:lpstr>
      <vt:lpstr>Ticker0024_Live_Sheet!L_PERIOD_2022_Q4</vt:lpstr>
      <vt:lpstr>Ticker0024_Live_Sheet!L_PERIOD_2023</vt:lpstr>
      <vt:lpstr>Ticker0024_Live_Sheet!L_PERIOD_2023_Q1</vt:lpstr>
      <vt:lpstr>Ticker0024_Live_Sheet!L_PERIOD_2023_Q2</vt:lpstr>
      <vt:lpstr>Ticker0024_Live_Sheet!L_PERIOD_2023_Q3</vt:lpstr>
      <vt:lpstr>Ticker0024_Live_Sheet!L_PERIOD_2023_Q4</vt:lpstr>
      <vt:lpstr>Ticker0024_Live_Sheet!L_PERIOD_2024</vt:lpstr>
      <vt:lpstr>Ticker0024_Live_Sheet!L_PERIOD_2024_Q1</vt:lpstr>
      <vt:lpstr>Ticker0024_Live_Sheet!L_PERIOD_2024_Q2</vt:lpstr>
      <vt:lpstr>Ticker0024_Live_Sheet!L_PERIOD_2024_Q3</vt:lpstr>
      <vt:lpstr>Ticker0024_Live_Sheet!L_PERIOD_2024_Q4</vt:lpstr>
      <vt:lpstr>Ticker0024_Live_Sheet!L_PERIOD_2025</vt:lpstr>
      <vt:lpstr>Ticker0024_Live_Sheet!L_PERIOD_2025_Q1</vt:lpstr>
      <vt:lpstr>Ticker0024_Live_Sheet!L_PERIOD_2025_Q2</vt:lpstr>
      <vt:lpstr>Ticker0024_Live_Sheet!L_PERIOD_2025_Q3</vt:lpstr>
      <vt:lpstr>Ticker0024_Live_Sheet!L_PERIOD_2025_Q4</vt:lpstr>
      <vt:lpstr>Ticker0024_Live_Sheet!L_PERIOD_2026</vt:lpstr>
      <vt:lpstr>Ticker0024_Live_Sheet!L_PERIOD_2026_Q1</vt:lpstr>
      <vt:lpstr>Ticker0024_Live_Sheet!L_PERIOD_2026_Q2</vt:lpstr>
      <vt:lpstr>Ticker0024_Live_Sheet!L_PERIOD_2026_Q3</vt:lpstr>
      <vt:lpstr>Ticker0024_Live_Sheet!L_PERIOD_2026_Q4</vt:lpstr>
      <vt:lpstr>Ticker0024_Live_Sheet!L_PERIOD_2027</vt:lpstr>
      <vt:lpstr>Ticker0024_Live_Sheet!L_PERIOD_2027_Q1</vt:lpstr>
      <vt:lpstr>Ticker0024_Live_Sheet!L_PERIOD_2027_Q2</vt:lpstr>
      <vt:lpstr>Ticker0024_Live_Sheet!L_PERIOD_2027_Q3</vt:lpstr>
      <vt:lpstr>Ticker0024_Live_Sheet!L_PERIOD_2027_Q4</vt:lpstr>
      <vt:lpstr>Ticker0024_Live_Sheet!L_PERIOD_2028</vt:lpstr>
      <vt:lpstr>Ticker0024_Live_Sheet!L_PERIOD_2028_Q1</vt:lpstr>
      <vt:lpstr>Ticker0024_Live_Sheet!L_PERIOD_2028_Q2</vt:lpstr>
      <vt:lpstr>Ticker0024_Live_Sheet!L_PERIOD_2028_Q3</vt:lpstr>
      <vt:lpstr>Ticker0024_Live_Sheet!L_PERIOD_2028_Q4</vt:lpstr>
      <vt:lpstr>Ticker0024_Live_Sheet!L_PERIOD_2029</vt:lpstr>
      <vt:lpstr>Ticker0024_Live_Sheet!L_PERIOD_2029_Q1</vt:lpstr>
      <vt:lpstr>Ticker0024_Live_Sheet!L_PERIOD_2029_Q2</vt:lpstr>
      <vt:lpstr>Ticker0024_Live_Sheet!L_PERIOD_2029_Q3</vt:lpstr>
      <vt:lpstr>Ticker0024_Live_Sheet!L_PERIOD_2029_Q4</vt:lpstr>
      <vt:lpstr>Ticker0024_Live_Sheet!L_SECTION_EQTY_200001320_1314</vt:lpstr>
      <vt:lpstr>Ticker0024_Live_Sheet!L_SECTION_EQTY_200001320_1319</vt:lpstr>
      <vt:lpstr>Ticker0024_Live_Sheet!L_SECTION_EQTY_200001320_131E</vt:lpstr>
      <vt:lpstr>Ticker0024_Live_Sheet!L_SECTION_EQTY_200001320_131O</vt:lpstr>
      <vt:lpstr>Ticker0024_Live_Sheet!L_SECTION_EQTY_200001320_13A</vt:lpstr>
      <vt:lpstr>Ticker0024_Live_Sheet!L_SECTION_EQTY_200001320_13K</vt:lpstr>
      <vt:lpstr>Ticker0024_Live_Sheet!L_SECTION_EQTY_200001320_13U</vt:lpstr>
      <vt:lpstr>Ticker0024_Live_Sheet!L_SECTION_EQTY_200001320_13V</vt:lpstr>
      <vt:lpstr>Ticker0024_Live_Sheet!L_SECTION_EQTY_200001320_13W</vt:lpstr>
      <vt:lpstr>Ticker0024_Live_Sheet!L_SECTION_EQTY_200001320_Reference_Data</vt:lpstr>
      <vt:lpstr>Ticker0024_Live_Sheet!L_SECTION_ISSR_208000430_1314</vt:lpstr>
      <vt:lpstr>Ticker0024_Live_Sheet!L_SECTION_ISSR_208000430_13168</vt:lpstr>
      <vt:lpstr>Ticker0024_Live_Sheet!L_SECTION_ISSR_208000430_1316T</vt:lpstr>
      <vt:lpstr>Ticker0024_Live_Sheet!L_SECTION_ISSR_208000430_1316U</vt:lpstr>
      <vt:lpstr>Ticker0024_Live_Sheet!L_SECTION_ISSR_208000430_1319</vt:lpstr>
      <vt:lpstr>Ticker0024_Live_Sheet!L_SECTION_ISSR_208000430_131E</vt:lpstr>
      <vt:lpstr>Ticker0024_Live_Sheet!L_SECTION_ISSR_208000430_131J</vt:lpstr>
      <vt:lpstr>Ticker0024_Live_Sheet!L_SECTION_ISSR_208000430_131O</vt:lpstr>
      <vt:lpstr>Ticker0024_Live_Sheet!L_SECTION_ISSR_208000430_136E</vt:lpstr>
      <vt:lpstr>Ticker0024_Live_Sheet!L_SECTION_ISSR_208000430_13A</vt:lpstr>
      <vt:lpstr>Ticker0024_Live_Sheet!L_SECTION_ISSR_208000430_13U</vt:lpstr>
      <vt:lpstr>Ticker0024_Live_Sheet!L_SECTION_ISSR_208000430_13V</vt:lpstr>
      <vt:lpstr>Ticker0024_Live_Sheet!L_SECTION_ISSR_208000430_Reference_Data</vt:lpstr>
      <vt:lpstr>Ticker0024_Live_Sheet!L_TEMPLATEHASH</vt:lpstr>
      <vt:lpstr>Ticker0024_Validation_Sheet!V_ALL_KEYWORDS_TYPE_ScalarContributed_EQTY_200001320</vt:lpstr>
      <vt:lpstr>Ticker0024_Validation_Sheet!V_ALL_KEYWORDS_TYPE_ScalarContributed_ISSR_208000430</vt:lpstr>
      <vt:lpstr>Ticker0024_Validation_Sheet!V_ALL_KEYWORDS_TYPE_ScalarReference_EQTY_200001320</vt:lpstr>
      <vt:lpstr>Ticker0024_Validation_Sheet!V_ALL_KEYWORDS_TYPE_ScalarReference_ISSR_208000430</vt:lpstr>
      <vt:lpstr>Ticker0024_Validation_Sheet!V_ALL_KEYWORDS_TYPE_Vector_EQTY_200001320</vt:lpstr>
      <vt:lpstr>Ticker0024_Validation_Sheet!V_ALL_KEYWORDS_TYPE_Vector_ISSR_208000430</vt:lpstr>
      <vt:lpstr>V_ALL_Ticker0024</vt:lpstr>
      <vt:lpstr>Ticker0024_Validation_Sheet!V_ALL_PERIODS_Ticker0024</vt:lpstr>
      <vt:lpstr>Ticker0024_Validation_Sheet!V_ALL_SECTION_KEYWORDS_EQTY_200001320_1314</vt:lpstr>
      <vt:lpstr>Ticker0024_Validation_Sheet!V_ALL_SECTION_KEYWORDS_EQTY_200001320_1319</vt:lpstr>
      <vt:lpstr>Ticker0024_Validation_Sheet!V_ALL_SECTION_KEYWORDS_EQTY_200001320_131E</vt:lpstr>
      <vt:lpstr>Ticker0024_Validation_Sheet!V_ALL_SECTION_KEYWORDS_EQTY_200001320_131O</vt:lpstr>
      <vt:lpstr>Ticker0024_Validation_Sheet!V_ALL_SECTION_KEYWORDS_EQTY_200001320_13A</vt:lpstr>
      <vt:lpstr>Ticker0024_Validation_Sheet!V_ALL_SECTION_KEYWORDS_EQTY_200001320_13K</vt:lpstr>
      <vt:lpstr>Ticker0024_Validation_Sheet!V_ALL_SECTION_KEYWORDS_EQTY_200001320_13U</vt:lpstr>
      <vt:lpstr>Ticker0024_Validation_Sheet!V_ALL_SECTION_KEYWORDS_EQTY_200001320_13V</vt:lpstr>
      <vt:lpstr>Ticker0024_Validation_Sheet!V_ALL_SECTION_KEYWORDS_EQTY_200001320_13W</vt:lpstr>
      <vt:lpstr>Ticker0024_Validation_Sheet!V_ALL_SECTION_KEYWORDS_EQTY_200001320_Reference_Data</vt:lpstr>
      <vt:lpstr>Ticker0024_Validation_Sheet!V_ALL_SECTION_KEYWORDS_ISSR_208000430_1314</vt:lpstr>
      <vt:lpstr>Ticker0024_Validation_Sheet!V_ALL_SECTION_KEYWORDS_ISSR_208000430_13168</vt:lpstr>
      <vt:lpstr>Ticker0024_Validation_Sheet!V_ALL_SECTION_KEYWORDS_ISSR_208000430_1316T</vt:lpstr>
      <vt:lpstr>Ticker0024_Validation_Sheet!V_ALL_SECTION_KEYWORDS_ISSR_208000430_1316U</vt:lpstr>
      <vt:lpstr>Ticker0024_Validation_Sheet!V_ALL_SECTION_KEYWORDS_ISSR_208000430_1319</vt:lpstr>
      <vt:lpstr>Ticker0024_Validation_Sheet!V_ALL_SECTION_KEYWORDS_ISSR_208000430_131E</vt:lpstr>
      <vt:lpstr>Ticker0024_Validation_Sheet!V_ALL_SECTION_KEYWORDS_ISSR_208000430_131J</vt:lpstr>
      <vt:lpstr>Ticker0024_Validation_Sheet!V_ALL_SECTION_KEYWORDS_ISSR_208000430_131O</vt:lpstr>
      <vt:lpstr>Ticker0024_Validation_Sheet!V_ALL_SECTION_KEYWORDS_ISSR_208000430_136E</vt:lpstr>
      <vt:lpstr>Ticker0024_Validation_Sheet!V_ALL_SECTION_KEYWORDS_ISSR_208000430_13A</vt:lpstr>
      <vt:lpstr>Ticker0024_Validation_Sheet!V_ALL_SECTION_KEYWORDS_ISSR_208000430_13U</vt:lpstr>
      <vt:lpstr>Ticker0024_Validation_Sheet!V_ALL_SECTION_KEYWORDS_ISSR_208000430_13V</vt:lpstr>
      <vt:lpstr>Ticker0024_Validation_Sheet!V_ALL_SECTION_KEYWORDS_ISSR_208000430_Reference_Data</vt:lpstr>
      <vt:lpstr>Ticker0024_Validation_Sheet!V_ALL_SECTIONS_EQTY_200001320</vt:lpstr>
      <vt:lpstr>Ticker0024_Validation_Sheet!V_ALL_SECTIONS_ISSR_208000430</vt:lpstr>
      <vt:lpstr>Ticker0024_Validation_Sheet!V_CURRENCY_EQTY_200001320_PRI</vt:lpstr>
      <vt:lpstr>Ticker0024_Validation_Sheet!V_CURRENCY_EQTY_200001320_PUB</vt:lpstr>
      <vt:lpstr>Ticker0024_Validation_Sheet!V_CURRENCY_EQTY_200001320_REP</vt:lpstr>
      <vt:lpstr>Ticker0024_Validation_Sheet!V_CURRENCY_ISSR_208000430_REP</vt:lpstr>
      <vt:lpstr>Ticker0024_Validation_Sheet!V_ENTITY_DATA_EQTY_200001320</vt:lpstr>
      <vt:lpstr>Ticker0024_Validation_Sheet!V_ENTITY_DATA_ISSR_208000430</vt:lpstr>
      <vt:lpstr>Ticker0024_Validation_Sheet!V_KEYWORD_EQTY_200001320_AMER_LIST</vt:lpstr>
      <vt:lpstr>Ticker0024_Validation_Sheet!V_KEYWORD_EQTY_200001320_BETA_ANALYST</vt:lpstr>
      <vt:lpstr>Ticker0024_Validation_Sheet!V_KEYWORD_EQTY_200001320_BVPS</vt:lpstr>
      <vt:lpstr>Ticker0024_Validation_Sheet!V_KEYWORD_EQTY_200001320_BVPS_PUB</vt:lpstr>
      <vt:lpstr>Ticker0024_Validation_Sheet!V_KEYWORD_EQTY_200001320_CEEE_EPS</vt:lpstr>
      <vt:lpstr>Ticker0024_Validation_Sheet!V_KEYWORD_EQTY_200001320_CEEE_NDEBT</vt:lpstr>
      <vt:lpstr>Ticker0024_Validation_Sheet!V_KEYWORD_EQTY_200001320_CF_NI_PRE_PREF</vt:lpstr>
      <vt:lpstr>Ticker0024_Validation_Sheet!V_KEYWORD_EQTY_200001320_COMMON_DIV_PAID</vt:lpstr>
      <vt:lpstr>Ticker0024_Validation_Sheet!V_KEYWORD_EQTY_200001320_CURRENCY_ISO</vt:lpstr>
      <vt:lpstr>Ticker0024_Validation_Sheet!V_KEYWORD_EQTY_200001320_DILUTE_SHARES</vt:lpstr>
      <vt:lpstr>Ticker0024_Validation_Sheet!V_KEYWORD_EQTY_200001320_DPS</vt:lpstr>
      <vt:lpstr>Ticker0024_Validation_Sheet!V_KEYWORD_EQTY_200001320_DPS_PUB</vt:lpstr>
      <vt:lpstr>Ticker0024_Validation_Sheet!V_KEYWORD_EQTY_200001320_DPS_SPECIAL_PUB</vt:lpstr>
      <vt:lpstr>Ticker0024_Validation_Sheet!V_KEYWORD_EQTY_200001320_EBIT_PUB</vt:lpstr>
      <vt:lpstr>Ticker0024_Validation_Sheet!V_KEYWORD_EQTY_200001320_EBITDA_PUB</vt:lpstr>
      <vt:lpstr>Ticker0024_Validation_Sheet!V_KEYWORD_EQTY_200001320_EPS</vt:lpstr>
      <vt:lpstr>Ticker0024_Validation_Sheet!V_KEYWORD_EQTY_200001320_EPS_EX_ESO_B</vt:lpstr>
      <vt:lpstr>Ticker0024_Validation_Sheet!V_KEYWORD_EQTY_200001320_EPS_EX_ESO_D</vt:lpstr>
      <vt:lpstr>Ticker0024_Validation_Sheet!V_KEYWORD_EQTY_200001320_EPS_FUL_DIL</vt:lpstr>
      <vt:lpstr>Ticker0024_Validation_Sheet!V_KEYWORD_EQTY_200001320_EPS_POST_BASIC</vt:lpstr>
      <vt:lpstr>Ticker0024_Validation_Sheet!V_KEYWORD_EQTY_200001320_EPS_PUB</vt:lpstr>
      <vt:lpstr>Ticker0024_Validation_Sheet!V_KEYWORD_EQTY_200001320_EPS_PUB_EX_ESO</vt:lpstr>
      <vt:lpstr>Ticker0024_Validation_Sheet!V_KEYWORD_EQTY_200001320_EQ_PUB</vt:lpstr>
      <vt:lpstr>Ticker0024_Validation_Sheet!V_KEYWORD_EQTY_200001320_ESO_POST_TAX</vt:lpstr>
      <vt:lpstr>Ticker0024_Validation_Sheet!V_KEYWORD_EQTY_200001320_ESO_YEAR</vt:lpstr>
      <vt:lpstr>Ticker0024_Validation_Sheet!V_KEYWORD_EQTY_200001320_EV_ADJ_PUB</vt:lpstr>
      <vt:lpstr>Ticker0024_Validation_Sheet!V_KEYWORD_EQTY_200001320_FREE_FLOAT</vt:lpstr>
      <vt:lpstr>Ticker0024_Validation_Sheet!V_KEYWORD_EQTY_200001320_FULLY_DIL_EPS</vt:lpstr>
      <vt:lpstr>Ticker0024_Validation_Sheet!V_KEYWORD_EQTY_200001320_FV_GRANT</vt:lpstr>
      <vt:lpstr>Ticker0024_Validation_Sheet!V_KEYWORD_EQTY_200001320_INC_MINORITY</vt:lpstr>
      <vt:lpstr>Ticker0024_Validation_Sheet!V_KEYWORD_EQTY_200001320_Interim_Type</vt:lpstr>
      <vt:lpstr>Ticker0024_Validation_Sheet!V_KEYWORD_EQTY_200001320_LEGAL_RATING</vt:lpstr>
      <vt:lpstr>Ticker0024_Validation_Sheet!V_KEYWORD_EQTY_200001320_MARGIN_TAX_RATE</vt:lpstr>
      <vt:lpstr>Ticker0024_Validation_Sheet!V_KEYWORD_EQTY_200001320_MKT_EQ_RISK_PREM</vt:lpstr>
      <vt:lpstr>Ticker0024_Validation_Sheet!V_KEYWORD_EQTY_200001320_NET_DEBT_EX_LEASES_PUB</vt:lpstr>
      <vt:lpstr>Ticker0024_Validation_Sheet!V_KEYWORD_EQTY_200001320_NET_DEBT_PUB</vt:lpstr>
      <vt:lpstr>Ticker0024_Validation_Sheet!V_KEYWORD_EQTY_200001320_NET_EARNING</vt:lpstr>
      <vt:lpstr>Ticker0024_Validation_Sheet!V_KEYWORD_EQTY_200001320_NET_INC</vt:lpstr>
      <vt:lpstr>Ticker0024_Validation_Sheet!V_KEYWORD_EQTY_200001320_NI_PRE_PREF</vt:lpstr>
      <vt:lpstr>Ticker0024_Validation_Sheet!V_KEYWORD_EQTY_200001320_NI_PUB</vt:lpstr>
      <vt:lpstr>Ticker0024_Validation_Sheet!V_KEYWORD_EQTY_200001320_NON_OP_ADD</vt:lpstr>
      <vt:lpstr>Ticker0024_Validation_Sheet!V_KEYWORD_EQTY_200001320_NOT_IN_USE</vt:lpstr>
      <vt:lpstr>Ticker0024_Validation_Sheet!V_KEYWORD_EQTY_200001320_NUM_SH</vt:lpstr>
      <vt:lpstr>Ticker0024_Validation_Sheet!V_KEYWORD_EQTY_200001320_PREF_DIV</vt:lpstr>
      <vt:lpstr>Ticker0024_Validation_Sheet!V_KEYWORD_EQTY_200001320_PRICE_CURRENCY_ISO</vt:lpstr>
      <vt:lpstr>Ticker0024_Validation_Sheet!V_KEYWORD_EQTY_200001320_PROV_INC_TAX</vt:lpstr>
      <vt:lpstr>Ticker0024_Validation_Sheet!V_KEYWORD_EQTY_200001320_PTP_PUB</vt:lpstr>
      <vt:lpstr>Ticker0024_Validation_Sheet!V_KEYWORD_EQTY_200001320_PUB_CURRENCY_ISO</vt:lpstr>
      <vt:lpstr>Ticker0024_Validation_Sheet!V_KEYWORD_EQTY_200001320_REPUR_ACTUAL</vt:lpstr>
      <vt:lpstr>Ticker0024_Validation_Sheet!V_KEYWORD_EQTY_200001320_REPUR_REMAINING</vt:lpstr>
      <vt:lpstr>Ticker0024_Validation_Sheet!V_KEYWORD_EQTY_200001320_REPUR_SUSPENDED</vt:lpstr>
      <vt:lpstr>Ticker0024_Validation_Sheet!V_KEYWORD_EQTY_200001320_REPUR_TOT_AUTH</vt:lpstr>
      <vt:lpstr>Ticker0024_Validation_Sheet!V_KEYWORD_EQTY_200001320_REVS_PUB</vt:lpstr>
      <vt:lpstr>Ticker0024_Validation_Sheet!V_KEYWORD_EQTY_200001320_RISK_FR_RATE</vt:lpstr>
      <vt:lpstr>Ticker0024_Validation_Sheet!V_KEYWORD_EQTY_200001320_Security_Name</vt:lpstr>
      <vt:lpstr>Ticker0024_Validation_Sheet!V_KEYWORD_EQTY_200001320_SH</vt:lpstr>
      <vt:lpstr>Ticker0024_Validation_Sheet!V_KEYWORD_EQTY_200001320_TARGET_PRICE</vt:lpstr>
      <vt:lpstr>Ticker0024_Validation_Sheet!V_KEYWORD_EQTY_200001320_TARGET_PRICE_FUNDAMENTAL</vt:lpstr>
      <vt:lpstr>Ticker0024_Validation_Sheet!V_KEYWORD_EQTY_200001320_TARGET_PRICE_MA</vt:lpstr>
      <vt:lpstr>Ticker0024_Validation_Sheet!V_KEYWORD_EQTY_200001320_TAX_EXC</vt:lpstr>
      <vt:lpstr>Ticker0024_Validation_Sheet!V_KEYWORD_EQTY_200001320_Ticker</vt:lpstr>
      <vt:lpstr>Ticker0024_Validation_Sheet!V_KEYWORD_EQTY_200001320_TP_PERIOD</vt:lpstr>
      <vt:lpstr>Ticker0024_Validation_Sheet!V_KEYWORD_ISSR_208000430_ACC_AMORT</vt:lpstr>
      <vt:lpstr>Ticker0024_Validation_Sheet!V_KEYWORD_ISSR_208000430_ACC_DDA</vt:lpstr>
      <vt:lpstr>Ticker0024_Validation_Sheet!V_KEYWORD_ISSR_208000430_ACC_END_DATE</vt:lpstr>
      <vt:lpstr>Ticker0024_Validation_Sheet!V_KEYWORD_ISSR_208000430_ACC_PAY_GQ</vt:lpstr>
      <vt:lpstr>Ticker0024_Validation_Sheet!V_KEYWORD_ISSR_208000430_ACQ</vt:lpstr>
      <vt:lpstr>Ticker0024_Validation_Sheet!V_KEYWORD_ISSR_208000430_ADJ_UNF_PENS_GOOD</vt:lpstr>
      <vt:lpstr>Ticker0024_Validation_Sheet!V_KEYWORD_ISSR_208000430_ASSOC_JV_ADDBK</vt:lpstr>
      <vt:lpstr>Ticker0024_Validation_Sheet!V_KEYWORD_ISSR_208000430_ASSOCIATE</vt:lpstr>
      <vt:lpstr>Ticker0024_Validation_Sheet!V_KEYWORD_ISSR_208000430_ASSOCIATE_OP</vt:lpstr>
      <vt:lpstr>Ticker0024_Validation_Sheet!V_KEYWORD_ISSR_208000430_BAL_MINO_INT</vt:lpstr>
      <vt:lpstr>Ticker0024_Validation_Sheet!V_KEYWORD_ISSR_208000430_CAP_LEASES</vt:lpstr>
      <vt:lpstr>Ticker0024_Validation_Sheet!V_KEYWORD_ISSR_208000430_CAPEX</vt:lpstr>
      <vt:lpstr>Ticker0024_Validation_Sheet!V_KEYWORD_ISSR_208000430_CAPEX_EXPANSION</vt:lpstr>
      <vt:lpstr>Ticker0024_Validation_Sheet!V_KEYWORD_ISSR_208000430_CAPEX_MAINTENANCE</vt:lpstr>
      <vt:lpstr>Ticker0024_Validation_Sheet!V_KEYWORD_ISSR_208000430_CASH_EQ</vt:lpstr>
      <vt:lpstr>Ticker0024_Validation_Sheet!V_KEYWORD_ISSR_208000430_CASH_INT_EXP</vt:lpstr>
      <vt:lpstr>Ticker0024_Validation_Sheet!V_KEYWORD_ISSR_208000430_CASH_PCT_OS_US</vt:lpstr>
      <vt:lpstr>Ticker0024_Validation_Sheet!V_KEYWORD_ISSR_208000430_CASH_TAX_EXP</vt:lpstr>
      <vt:lpstr>Ticker0024_Validation_Sheet!V_KEYWORD_ISSR_208000430_CF_FIN</vt:lpstr>
      <vt:lpstr>Ticker0024_Validation_Sheet!V_KEYWORD_ISSR_208000430_CF_INC_MINORITY</vt:lpstr>
      <vt:lpstr>Ticker0024_Validation_Sheet!V_KEYWORD_ISSR_208000430_CF_INV</vt:lpstr>
      <vt:lpstr>Ticker0024_Validation_Sheet!V_KEYWORD_ISSR_208000430_CF_OPS</vt:lpstr>
      <vt:lpstr>Ticker0024_Validation_Sheet!V_KEYWORD_ISSR_208000430_CHG_DEF_TAX_CF</vt:lpstr>
      <vt:lpstr>Ticker0024_Validation_Sheet!V_KEYWORD_ISSR_208000430_CHG_LT_DEBT</vt:lpstr>
      <vt:lpstr>Ticker0024_Validation_Sheet!V_KEYWORD_ISSR_208000430_CO_BOR_MARGIN</vt:lpstr>
      <vt:lpstr>Ticker0024_Validation_Sheet!V_KEYWORD_ISSR_208000430_COGS_N_GAAP</vt:lpstr>
      <vt:lpstr>Ticker0024_Validation_Sheet!V_KEYWORD_ISSR_208000430_COGS_PCT_ROW</vt:lpstr>
      <vt:lpstr>Ticker0024_Validation_Sheet!V_KEYWORD_ISSR_208000430_COGS_PCT_US</vt:lpstr>
      <vt:lpstr>Ticker0024_Validation_Sheet!V_KEYWORD_ISSR_208000430_COST_GD_SD</vt:lpstr>
      <vt:lpstr>Ticker0024_Validation_Sheet!V_KEYWORD_ISSR_208000430_CUR_ASS</vt:lpstr>
      <vt:lpstr>Ticker0024_Validation_Sheet!V_KEYWORD_ISSR_208000430_CUR_REM_PERF_OBLIG</vt:lpstr>
      <vt:lpstr>Ticker0024_Validation_Sheet!V_KEYWORD_ISSR_208000430_CURRENCY_ISO</vt:lpstr>
      <vt:lpstr>Ticker0024_Validation_Sheet!V_KEYWORD_ISSR_208000430_DEBTORS</vt:lpstr>
      <vt:lpstr>Ticker0024_Validation_Sheet!V_KEYWORD_ISSR_208000430_DEF_INC_TAX</vt:lpstr>
      <vt:lpstr>Ticker0024_Validation_Sheet!V_KEYWORD_ISSR_208000430_DEPR_AMORT</vt:lpstr>
      <vt:lpstr>Ticker0024_Validation_Sheet!V_KEYWORD_ISSR_208000430_DEPR_ROU_ASSETS</vt:lpstr>
      <vt:lpstr>Ticker0024_Validation_Sheet!V_KEYWORD_ISSR_208000430_DEPREC</vt:lpstr>
      <vt:lpstr>Ticker0024_Validation_Sheet!V_KEYWORD_ISSR_208000430_DIV_PAID</vt:lpstr>
      <vt:lpstr>Ticker0024_Validation_Sheet!V_KEYWORD_ISSR_208000430_DIVDS_ASSOC_JV</vt:lpstr>
      <vt:lpstr>Ticker0024_Validation_Sheet!V_KEYWORD_ISSR_208000430_DIVDS_PD_MINORITIES</vt:lpstr>
      <vt:lpstr>Ticker0024_Validation_Sheet!V_KEYWORD_ISSR_208000430_DIVEST</vt:lpstr>
      <vt:lpstr>Ticker0024_Validation_Sheet!V_KEYWORD_ISSR_208000430_EBIT</vt:lpstr>
      <vt:lpstr>Ticker0024_Validation_Sheet!V_KEYWORD_ISSR_208000430_EBIT_FIN_SEGMENT</vt:lpstr>
      <vt:lpstr>Ticker0024_Validation_Sheet!V_KEYWORD_ISSR_208000430_EBITDA_CALC</vt:lpstr>
      <vt:lpstr>Ticker0024_Validation_Sheet!V_KEYWORD_ISSR_208000430_EMPLOYEES</vt:lpstr>
      <vt:lpstr>Ticker0024_Validation_Sheet!V_KEYWORD_ISSR_208000430_EQ</vt:lpstr>
      <vt:lpstr>Ticker0024_Validation_Sheet!V_KEYWORD_ISSR_208000430_ESO_PRE_TAX</vt:lpstr>
      <vt:lpstr>Ticker0024_Validation_Sheet!V_KEYWORD_ISSR_208000430_EXP_OIL_DERIV_NGLS_PLASTICS</vt:lpstr>
      <vt:lpstr>Ticker0024_Validation_Sheet!V_KEYWORD_ISSR_208000430_EXP_OIL_PETRO_FUEL</vt:lpstr>
      <vt:lpstr>Ticker0024_Validation_Sheet!V_KEYWORD_ISSR_208000430_FCF_UNLEVERED</vt:lpstr>
      <vt:lpstr>Ticker0024_Validation_Sheet!V_KEYWORD_ISSR_208000430_FIX_ASS_INV</vt:lpstr>
      <vt:lpstr>Ticker0024_Validation_Sheet!V_KEYWORD_ISSR_208000430_FLOATING_PCT_LOCAL_DEBT</vt:lpstr>
      <vt:lpstr>Ticker0024_Validation_Sheet!V_KEYWORD_ISSR_208000430_FLOATING_PCT_LOCAL_DEBT_HEDGED</vt:lpstr>
      <vt:lpstr>Ticker0024_Validation_Sheet!V_KEYWORD_ISSR_208000430_GCI_INFL</vt:lpstr>
      <vt:lpstr>Ticker0024_Validation_Sheet!V_KEYWORD_ISSR_208000430_GEN_ADMIN_N_GAAP</vt:lpstr>
      <vt:lpstr>Ticker0024_Validation_Sheet!V_KEYWORD_ISSR_208000430_GOODWILL_AMORT</vt:lpstr>
      <vt:lpstr>Ticker0024_Validation_Sheet!V_KEYWORD_ISSR_208000430_GR_FIX_ASS</vt:lpstr>
      <vt:lpstr>Ticker0024_Validation_Sheet!V_KEYWORD_ISSR_208000430_GR_INTANG</vt:lpstr>
      <vt:lpstr>Ticker0024_Validation_Sheet!V_KEYWORD_ISSR_208000430_GROSS_PROFIT_N_GAAP</vt:lpstr>
      <vt:lpstr>Ticker0024_Validation_Sheet!V_KEYWORD_ISSR_208000430_INT_EXP_IND</vt:lpstr>
      <vt:lpstr>Ticker0024_Validation_Sheet!V_KEYWORD_ISSR_208000430_INT_INC_IND</vt:lpstr>
      <vt:lpstr>Ticker0024_Validation_Sheet!V_KEYWORD_ISSR_208000430_INV_SECUR</vt:lpstr>
      <vt:lpstr>Ticker0024_Validation_Sheet!V_KEYWORD_ISSR_208000430_Issuer_Name</vt:lpstr>
      <vt:lpstr>Ticker0024_Validation_Sheet!V_KEYWORD_ISSR_208000430_LEASE_ADOPT</vt:lpstr>
      <vt:lpstr>Ticker0024_Validation_Sheet!V_KEYWORD_ISSR_208000430_LEASE_DEEM_DEPR</vt:lpstr>
      <vt:lpstr>Ticker0024_Validation_Sheet!V_KEYWORD_ISSR_208000430_LEASE_DEEM_INT</vt:lpstr>
      <vt:lpstr>Ticker0024_Validation_Sheet!V_KEYWORD_ISSR_208000430_LEASE_INT_CHG</vt:lpstr>
      <vt:lpstr>Ticker0024_Validation_Sheet!V_KEYWORD_ISSR_208000430_LEASE_PAY</vt:lpstr>
      <vt:lpstr>Ticker0024_Validation_Sheet!V_KEYWORD_ISSR_208000430_LEASE_PRINCIPAL_CASH</vt:lpstr>
      <vt:lpstr>Ticker0024_Validation_Sheet!V_KEYWORD_ISSR_208000430_LICENSE_REV</vt:lpstr>
      <vt:lpstr>Ticker0024_Validation_Sheet!V_KEYWORD_ISSR_208000430_LT_DEBT</vt:lpstr>
      <vt:lpstr>Ticker0024_Validation_Sheet!V_KEYWORD_ISSR_208000430_LT_LEASE_LIAB</vt:lpstr>
      <vt:lpstr>Ticker0024_Validation_Sheet!V_KEYWORD_ISSR_208000430_MA_PROB</vt:lpstr>
      <vt:lpstr>Ticker0024_Validation_Sheet!V_KEYWORD_ISSR_208000430_MAINTEN_REV</vt:lpstr>
      <vt:lpstr>Ticker0024_Validation_Sheet!V_KEYWORD_ISSR_208000430_MINORITIES</vt:lpstr>
      <vt:lpstr>Ticker0024_Validation_Sheet!V_KEYWORD_ISSR_208000430_MV_ASSOCIATES</vt:lpstr>
      <vt:lpstr>Ticker0024_Validation_Sheet!V_KEYWORD_ISSR_208000430_NET_DEBT</vt:lpstr>
      <vt:lpstr>Ticker0024_Validation_Sheet!V_KEYWORD_ISSR_208000430_NET_DEBT_ADJ</vt:lpstr>
      <vt:lpstr>Ticker0024_Validation_Sheet!V_KEYWORD_ISSR_208000430_NET_FIX_ASS</vt:lpstr>
      <vt:lpstr>Ticker0024_Validation_Sheet!V_KEYWORD_ISSR_208000430_NET_INC_N_GAAP</vt:lpstr>
      <vt:lpstr>Ticker0024_Validation_Sheet!V_KEYWORD_ISSR_208000430_NET_INT_CH</vt:lpstr>
      <vt:lpstr>Ticker0024_Validation_Sheet!V_KEYWORD_ISSR_208000430_NET_INT_EXP</vt:lpstr>
      <vt:lpstr>Ticker0024_Validation_Sheet!V_KEYWORD_ISSR_208000430_NET_INTANG</vt:lpstr>
      <vt:lpstr>Ticker0024_Validation_Sheet!V_KEYWORD_ISSR_208000430_NET_OP_LOSS_CFWD</vt:lpstr>
      <vt:lpstr>Ticker0024_Validation_Sheet!V_KEYWORD_ISSR_208000430_NONPPE_CAPEX</vt:lpstr>
      <vt:lpstr>Ticker0024_Validation_Sheet!V_KEYWORD_ISSR_208000430_OP_COST</vt:lpstr>
      <vt:lpstr>Ticker0024_Validation_Sheet!V_KEYWORD_ISSR_208000430_OP_INC_N_GAAP</vt:lpstr>
      <vt:lpstr>Ticker0024_Validation_Sheet!V_KEYWORD_ISSR_208000430_OPS_EXP_N_GAAP</vt:lpstr>
      <vt:lpstr>Ticker0024_Validation_Sheet!V_KEYWORD_ISSR_208000430_ORD_SH_FUND</vt:lpstr>
      <vt:lpstr>Ticker0024_Validation_Sheet!V_KEYWORD_ISSR_208000430_OTH_ADJ_CASH_TAX</vt:lpstr>
      <vt:lpstr>Ticker0024_Validation_Sheet!V_KEYWORD_ISSR_208000430_OTH_COST_INC</vt:lpstr>
      <vt:lpstr>Ticker0024_Validation_Sheet!V_KEYWORD_ISSR_208000430_OTH_CUR_ASS</vt:lpstr>
      <vt:lpstr>Ticker0024_Validation_Sheet!V_KEYWORD_ISSR_208000430_OTH_CUR_LIABS</vt:lpstr>
      <vt:lpstr>Ticker0024_Validation_Sheet!V_KEYWORD_ISSR_208000430_OTH_DACF_ADJ</vt:lpstr>
      <vt:lpstr>Ticker0024_Validation_Sheet!V_KEYWORD_ISSR_208000430_OTH_FIN_CF</vt:lpstr>
      <vt:lpstr>Ticker0024_Validation_Sheet!V_KEYWORD_ISSR_208000430_OTH_GCI_ADJ</vt:lpstr>
      <vt:lpstr>Ticker0024_Validation_Sheet!V_KEYWORD_ISSR_208000430_OTH_INV_CF</vt:lpstr>
      <vt:lpstr>Ticker0024_Validation_Sheet!V_KEYWORD_ISSR_208000430_OTH_LT_ASS</vt:lpstr>
      <vt:lpstr>Ticker0024_Validation_Sheet!V_KEYWORD_ISSR_208000430_OTH_LT_CRED_GQ</vt:lpstr>
      <vt:lpstr>Ticker0024_Validation_Sheet!V_KEYWORD_ISSR_208000430_OTH_NONCASH_ADJ</vt:lpstr>
      <vt:lpstr>Ticker0024_Validation_Sheet!V_KEYWORD_ISSR_208000430_OTH_OP_CF</vt:lpstr>
      <vt:lpstr>Ticker0024_Validation_Sheet!V_KEYWORD_ISSR_208000430_OTH_OP_INC_EXP</vt:lpstr>
      <vt:lpstr>Ticker0024_Validation_Sheet!V_KEYWORD_ISSR_208000430_PERIOD_MILESTONE</vt:lpstr>
      <vt:lpstr>Ticker0024_Validation_Sheet!V_KEYWORD_ISSR_208000430_PL_SALE_ASSETS</vt:lpstr>
      <vt:lpstr>Ticker0024_Validation_Sheet!V_KEYWORD_ISSR_208000430_PREF_SH</vt:lpstr>
      <vt:lpstr>Ticker0024_Validation_Sheet!V_KEYWORD_ISSR_208000430_PROFIT_ON_DISP</vt:lpstr>
      <vt:lpstr>Ticker0024_Validation_Sheet!V_KEYWORD_ISSR_208000430_PT_PROF</vt:lpstr>
      <vt:lpstr>Ticker0024_Validation_Sheet!V_KEYWORD_ISSR_208000430_RD_EXP</vt:lpstr>
      <vt:lpstr>Ticker0024_Validation_Sheet!V_KEYWORD_ISSR_208000430_RD_N_GAAP</vt:lpstr>
      <vt:lpstr>Ticker0024_Validation_Sheet!V_KEYWORD_ISSR_208000430_REM_PERF_OBLIG</vt:lpstr>
      <vt:lpstr>Ticker0024_Validation_Sheet!V_KEYWORD_ISSR_208000430_REV_FIN_SEGMENT</vt:lpstr>
      <vt:lpstr>Ticker0024_Validation_Sheet!V_KEYWORD_ISSR_208000430_ROU_ASSET</vt:lpstr>
      <vt:lpstr>Ticker0024_Validation_Sheet!V_KEYWORD_ISSR_208000430_SALES</vt:lpstr>
      <vt:lpstr>Ticker0024_Validation_Sheet!V_KEYWORD_ISSR_208000430_SALES_ARGENTINA</vt:lpstr>
      <vt:lpstr>Ticker0024_Validation_Sheet!V_KEYWORD_ISSR_208000430_SALES_AUSTRA</vt:lpstr>
      <vt:lpstr>Ticker0024_Validation_Sheet!V_KEYWORD_ISSR_208000430_SALES_AUSTRIA</vt:lpstr>
      <vt:lpstr>Ticker0024_Validation_Sheet!V_KEYWORD_ISSR_208000430_SALES_COMPANY0377</vt:lpstr>
      <vt:lpstr>Ticker0024_Validation_Sheet!V_KEYWORD_ISSR_208000430_SALES_BRAZIL</vt:lpstr>
      <vt:lpstr>Ticker0024_Validation_Sheet!V_KEYWORD_ISSR_208000430_SALES_CANADA</vt:lpstr>
      <vt:lpstr>Ticker0024_Validation_Sheet!V_KEYWORD_ISSR_208000430_SALES_CEE</vt:lpstr>
      <vt:lpstr>Ticker0024_Validation_Sheet!V_KEYWORD_ISSR_208000430_SALES_CHILE</vt:lpstr>
      <vt:lpstr>Ticker0024_Validation_Sheet!V_KEYWORD_ISSR_208000430_SALES_CHINA</vt:lpstr>
      <vt:lpstr>Ticker0024_Validation_Sheet!V_KEYWORD_ISSR_208000430_SALES_COLOMBIA</vt:lpstr>
      <vt:lpstr>Ticker0024_Validation_Sheet!V_KEYWORD_ISSR_208000430_SALES_CONS</vt:lpstr>
      <vt:lpstr>Ticker0024_Validation_Sheet!V_KEYWORD_ISSR_208000430_SALES_EU_EX_UK</vt:lpstr>
      <vt:lpstr>Ticker0024_Validation_Sheet!V_KEYWORD_ISSR_208000430_SALES_FINAN</vt:lpstr>
      <vt:lpstr>Ticker0024_Validation_Sheet!V_KEYWORD_ISSR_208000430_SALES_FRA</vt:lpstr>
      <vt:lpstr>Ticker0024_Validation_Sheet!V_KEYWORD_ISSR_208000430_SALES_FX_ARS</vt:lpstr>
      <vt:lpstr>Ticker0024_Validation_Sheet!V_KEYWORD_ISSR_208000430_SALES_FX_BRL</vt:lpstr>
      <vt:lpstr>Ticker0024_Validation_Sheet!V_KEYWORD_ISSR_208000430_SALES_FX_CAD</vt:lpstr>
      <vt:lpstr>Ticker0024_Validation_Sheet!V_KEYWORD_ISSR_208000430_SALES_FX_CLP</vt:lpstr>
      <vt:lpstr>Ticker0024_Validation_Sheet!V_KEYWORD_ISSR_208000430_SALES_FX_CNY</vt:lpstr>
      <vt:lpstr>Ticker0024_Validation_Sheet!V_KEYWORD_ISSR_208000430_SALES_FX_COP</vt:lpstr>
      <vt:lpstr>Ticker0024_Validation_Sheet!V_KEYWORD_ISSR_208000430_SALES_FX_EUR</vt:lpstr>
      <vt:lpstr>Ticker0024_Validation_Sheet!V_KEYWORD_ISSR_208000430_SALES_FX_GPB</vt:lpstr>
      <vt:lpstr>Ticker0024_Validation_Sheet!V_KEYWORD_ISSR_208000430_SALES_FX_INR</vt:lpstr>
      <vt:lpstr>Ticker0024_Validation_Sheet!V_KEYWORD_ISSR_208000430_SALES_FX_MXN</vt:lpstr>
      <vt:lpstr>Ticker0024_Validation_Sheet!V_KEYWORD_ISSR_208000430_SALES_FX_OTH</vt:lpstr>
      <vt:lpstr>Ticker0024_Validation_Sheet!V_KEYWORD_ISSR_208000430_SALES_FX_RUB</vt:lpstr>
      <vt:lpstr>Ticker0024_Validation_Sheet!V_KEYWORD_ISSR_208000430_SALES_FX_USD</vt:lpstr>
      <vt:lpstr>Ticker0024_Validation_Sheet!V_KEYWORD_ISSR_208000430_SALES_FX_VEF</vt:lpstr>
      <vt:lpstr>Ticker0024_Validation_Sheet!V_KEYWORD_ISSR_208000430_SALES_FX_YEN</vt:lpstr>
      <vt:lpstr>Ticker0024_Validation_Sheet!V_KEYWORD_ISSR_208000430_SALES_GER</vt:lpstr>
      <vt:lpstr>Ticker0024_Validation_Sheet!V_KEYWORD_ISSR_208000430_SALES_GOV</vt:lpstr>
      <vt:lpstr>Ticker0024_Validation_Sheet!V_KEYWORD_ISSR_208000430_SALES_GRE</vt:lpstr>
      <vt:lpstr>Ticker0024_Validation_Sheet!V_KEYWORD_ISSR_208000430_SALES_HONG_KONG</vt:lpstr>
      <vt:lpstr>Ticker0024_Validation_Sheet!V_KEYWORD_ISSR_208000430_SALES_IND</vt:lpstr>
      <vt:lpstr>Ticker0024_Validation_Sheet!V_KEYWORD_ISSR_208000430_SALES_INDIA</vt:lpstr>
      <vt:lpstr>Ticker0024_Validation_Sheet!V_KEYWORD_ISSR_208000430_SALES_INDONESIA</vt:lpstr>
      <vt:lpstr>Ticker0024_Validation_Sheet!V_KEYWORD_ISSR_208000430_SALES_IRE</vt:lpstr>
      <vt:lpstr>Ticker0024_Validation_Sheet!V_KEYWORD_ISSR_208000430_SALES_ITA</vt:lpstr>
      <vt:lpstr>Ticker0024_Validation_Sheet!V_KEYWORD_ISSR_208000430_SALES_JAPAN</vt:lpstr>
      <vt:lpstr>Ticker0024_Validation_Sheet!V_KEYWORD_ISSR_208000430_SALES_MARKETING_N_GAAP</vt:lpstr>
      <vt:lpstr>Ticker0024_Validation_Sheet!V_KEYWORD_ISSR_208000430_SALES_ME</vt:lpstr>
      <vt:lpstr>Ticker0024_Validation_Sheet!V_KEYWORD_ISSR_208000430_SALES_MEXICO</vt:lpstr>
      <vt:lpstr>Ticker0024_Validation_Sheet!V_KEYWORD_ISSR_208000430_SALES_NETH</vt:lpstr>
      <vt:lpstr>Ticker0024_Validation_Sheet!V_KEYWORD_ISSR_208000430_SALES_NIGERIA</vt:lpstr>
      <vt:lpstr>Ticker0024_Validation_Sheet!V_KEYWORD_ISSR_208000430_SALES_NOR</vt:lpstr>
      <vt:lpstr>Ticker0024_Validation_Sheet!V_KEYWORD_ISSR_208000430_SALES_NZ</vt:lpstr>
      <vt:lpstr>Ticker0024_Validation_Sheet!V_KEYWORD_ISSR_208000430_SALES_OIL_GAS</vt:lpstr>
      <vt:lpstr>Ticker0024_Validation_Sheet!V_KEYWORD_ISSR_208000430_SALES_OTH_AEJ</vt:lpstr>
      <vt:lpstr>Ticker0024_Validation_Sheet!V_KEYWORD_ISSR_208000430_SALES_OTH_AFRICA</vt:lpstr>
      <vt:lpstr>Ticker0024_Validation_Sheet!V_KEYWORD_ISSR_208000430_SALES_OTH_AM</vt:lpstr>
      <vt:lpstr>Ticker0024_Validation_Sheet!V_KEYWORD_ISSR_208000430_SALES_OTH_CEE</vt:lpstr>
      <vt:lpstr>Ticker0024_Validation_Sheet!V_KEYWORD_ISSR_208000430_SALES_OTH_DEV_ASIA</vt:lpstr>
      <vt:lpstr>Ticker0024_Validation_Sheet!V_KEYWORD_ISSR_208000430_SALES_OTH_EMEA</vt:lpstr>
      <vt:lpstr>Ticker0024_Validation_Sheet!V_KEYWORD_ISSR_208000430_SALES_OTH_EMERG_ASIA</vt:lpstr>
      <vt:lpstr>Ticker0024_Validation_Sheet!V_KEYWORD_ISSR_208000430_SALES_OTH_LATAM</vt:lpstr>
      <vt:lpstr>Ticker0024_Validation_Sheet!V_KEYWORD_ISSR_208000430_SALES_OTH_ME</vt:lpstr>
      <vt:lpstr>Ticker0024_Validation_Sheet!V_KEYWORD_ISSR_208000430_SALES_OTH_NO_AMER</vt:lpstr>
      <vt:lpstr>Ticker0024_Validation_Sheet!V_KEYWORD_ISSR_208000430_SALES_OTH_WEST_EURO</vt:lpstr>
      <vt:lpstr>Ticker0024_Validation_Sheet!V_KEYWORD_ISSR_208000430_SALES_OTHER</vt:lpstr>
      <vt:lpstr>Ticker0024_Validation_Sheet!V_KEYWORD_ISSR_208000430_SALES_POLAND</vt:lpstr>
      <vt:lpstr>Ticker0024_Validation_Sheet!V_KEYWORD_ISSR_208000430_SALES_POR</vt:lpstr>
      <vt:lpstr>Ticker0024_Validation_Sheet!V_KEYWORD_ISSR_208000430_SALES_RUSSIA</vt:lpstr>
      <vt:lpstr>Ticker0024_Validation_Sheet!V_KEYWORD_ISSR_208000430_SALES_SAUDI_ARABIA</vt:lpstr>
      <vt:lpstr>Ticker0024_Validation_Sheet!V_KEYWORD_ISSR_208000430_SALES_SINGAPORE</vt:lpstr>
      <vt:lpstr>Ticker0024_Validation_Sheet!V_KEYWORD_ISSR_208000430_SALES_SK</vt:lpstr>
      <vt:lpstr>Ticker0024_Validation_Sheet!V_KEYWORD_ISSR_208000430_SALES_SMB</vt:lpstr>
      <vt:lpstr>Ticker0024_Validation_Sheet!V_KEYWORD_ISSR_208000430_SALES_SO_AFRICA</vt:lpstr>
      <vt:lpstr>Ticker0024_Validation_Sheet!V_KEYWORD_ISSR_208000430_SALES_SPA</vt:lpstr>
      <vt:lpstr>Ticker0024_Validation_Sheet!V_KEYWORD_ISSR_208000430_SALES_SWE</vt:lpstr>
      <vt:lpstr>Ticker0024_Validation_Sheet!V_KEYWORD_ISSR_208000430_SALES_SWIT</vt:lpstr>
      <vt:lpstr>Ticker0024_Validation_Sheet!V_KEYWORD_ISSR_208000430_SALES_TAIWAN</vt:lpstr>
      <vt:lpstr>Ticker0024_Validation_Sheet!V_KEYWORD_ISSR_208000430_SALES_THAILAND</vt:lpstr>
      <vt:lpstr>Ticker0024_Validation_Sheet!V_KEYWORD_ISSR_208000430_SALES_TOT_AFRICA</vt:lpstr>
      <vt:lpstr>Ticker0024_Validation_Sheet!V_KEYWORD_ISSR_208000430_SALES_TOT_AM</vt:lpstr>
      <vt:lpstr>Ticker0024_Validation_Sheet!V_KEYWORD_ISSR_208000430_SALES_TOT_ASIA</vt:lpstr>
      <vt:lpstr>Ticker0024_Validation_Sheet!V_KEYWORD_ISSR_208000430_SALES_TOT_EMEA</vt:lpstr>
      <vt:lpstr>Ticker0024_Validation_Sheet!V_KEYWORD_ISSR_208000430_SALES_TURKEY</vt:lpstr>
      <vt:lpstr>Ticker0024_Validation_Sheet!V_KEYWORD_ISSR_208000430_SALES_UAE</vt:lpstr>
      <vt:lpstr>Ticker0024_Validation_Sheet!V_KEYWORD_ISSR_208000430_SALES_UK</vt:lpstr>
      <vt:lpstr>Ticker0024_Validation_Sheet!V_KEYWORD_ISSR_208000430_SALES_US</vt:lpstr>
      <vt:lpstr>Ticker0024_Validation_Sheet!V_KEYWORD_ISSR_208000430_SALES_VENEZUELA</vt:lpstr>
      <vt:lpstr>Ticker0024_Validation_Sheet!V_KEYWORD_ISSR_208000430_SBC_COST_OF_GOODS_SOLD</vt:lpstr>
      <vt:lpstr>Ticker0024_Validation_Sheet!V_KEYWORD_ISSR_208000430_SBC_GEN_ADMINISTRATIVE</vt:lpstr>
      <vt:lpstr>Ticker0024_Validation_Sheet!V_KEYWORD_ISSR_208000430_SBC_RESEARCH_DEVELOPMENT</vt:lpstr>
      <vt:lpstr>Ticker0024_Validation_Sheet!V_KEYWORD_ISSR_208000430_SBC_SALES_MARKETING</vt:lpstr>
      <vt:lpstr>Ticker0024_Validation_Sheet!V_KEYWORD_ISSR_208000430_SBC_TOTAL</vt:lpstr>
      <vt:lpstr>Ticker0024_Validation_Sheet!V_KEYWORD_ISSR_208000430_SEGMENT1_REV_NAME</vt:lpstr>
      <vt:lpstr>Ticker0024_Validation_Sheet!V_KEYWORD_ISSR_208000430_SEGMENT1_REV_VALUE</vt:lpstr>
      <vt:lpstr>Ticker0024_Validation_Sheet!V_KEYWORD_ISSR_208000430_SEGMENT10_REV_NAME</vt:lpstr>
      <vt:lpstr>Ticker0024_Validation_Sheet!V_KEYWORD_ISSR_208000430_SEGMENT10_REV_VALUE</vt:lpstr>
      <vt:lpstr>Ticker0024_Validation_Sheet!V_KEYWORD_ISSR_208000430_SEGMENT2_REV_NAME</vt:lpstr>
      <vt:lpstr>Ticker0024_Validation_Sheet!V_KEYWORD_ISSR_208000430_SEGMENT2_REV_VALUE</vt:lpstr>
      <vt:lpstr>Ticker0024_Validation_Sheet!V_KEYWORD_ISSR_208000430_SEGMENT3_REV_NAME</vt:lpstr>
      <vt:lpstr>Ticker0024_Validation_Sheet!V_KEYWORD_ISSR_208000430_SEGMENT3_REV_VALUE</vt:lpstr>
      <vt:lpstr>Ticker0024_Validation_Sheet!V_KEYWORD_ISSR_208000430_SEGMENT4_REV_NAME</vt:lpstr>
      <vt:lpstr>Ticker0024_Validation_Sheet!V_KEYWORD_ISSR_208000430_SEGMENT4_REV_VALUE</vt:lpstr>
      <vt:lpstr>Ticker0024_Validation_Sheet!V_KEYWORD_ISSR_208000430_SEGMENT5_REV_NAME</vt:lpstr>
      <vt:lpstr>Ticker0024_Validation_Sheet!V_KEYWORD_ISSR_208000430_SEGMENT5_REV_VALUE</vt:lpstr>
      <vt:lpstr>Ticker0024_Validation_Sheet!V_KEYWORD_ISSR_208000430_SEGMENT6_REV_NAME</vt:lpstr>
      <vt:lpstr>Ticker0024_Validation_Sheet!V_KEYWORD_ISSR_208000430_SEGMENT6_REV_VALUE</vt:lpstr>
      <vt:lpstr>Ticker0024_Validation_Sheet!V_KEYWORD_ISSR_208000430_SEGMENT7_REV_NAME</vt:lpstr>
      <vt:lpstr>Ticker0024_Validation_Sheet!V_KEYWORD_ISSR_208000430_SEGMENT7_REV_VALUE</vt:lpstr>
      <vt:lpstr>Ticker0024_Validation_Sheet!V_KEYWORD_ISSR_208000430_SEGMENT8_REV_NAME</vt:lpstr>
      <vt:lpstr>Ticker0024_Validation_Sheet!V_KEYWORD_ISSR_208000430_SEGMENT8_REV_VALUE</vt:lpstr>
      <vt:lpstr>Ticker0024_Validation_Sheet!V_KEYWORD_ISSR_208000430_SEGMENT9_REV_NAME</vt:lpstr>
      <vt:lpstr>Ticker0024_Validation_Sheet!V_KEYWORD_ISSR_208000430_SEGMENT9_REV_VALUE</vt:lpstr>
      <vt:lpstr>Ticker0024_Validation_Sheet!V_KEYWORD_ISSR_208000430_SEL_GL_AD</vt:lpstr>
      <vt:lpstr>Ticker0024_Validation_Sheet!V_KEYWORD_ISSR_208000430_SGA_PCT_ROW</vt:lpstr>
      <vt:lpstr>Ticker0024_Validation_Sheet!V_KEYWORD_ISSR_208000430_SGA_PCT_US</vt:lpstr>
      <vt:lpstr>Ticker0024_Validation_Sheet!V_KEYWORD_ISSR_208000430_SH_REPUR</vt:lpstr>
      <vt:lpstr>Ticker0024_Validation_Sheet!V_KEYWORD_ISSR_208000430_SHORT_T_DEBT</vt:lpstr>
      <vt:lpstr>Ticker0024_Validation_Sheet!V_KEYWORD_ISSR_208000430_SHORT_TERM_LIABS</vt:lpstr>
      <vt:lpstr>Ticker0024_Validation_Sheet!V_KEYWORD_ISSR_208000430_ST_BILLINGS</vt:lpstr>
      <vt:lpstr>Ticker0024_Validation_Sheet!V_KEYWORD_ISSR_208000430_ST_LEASE_LIAB</vt:lpstr>
      <vt:lpstr>Ticker0024_Validation_Sheet!V_KEYWORD_ISSR_208000430_STOCKS</vt:lpstr>
      <vt:lpstr>Ticker0024_Validation_Sheet!V_KEYWORD_ISSR_208000430_TOT_ASSET</vt:lpstr>
      <vt:lpstr>Ticker0024_Validation_Sheet!V_KEYWORD_ISSR_208000430_TOT_BILLINGS</vt:lpstr>
      <vt:lpstr>Ticker0024_Validation_Sheet!V_KEYWORD_ISSR_208000430_TOT_CF</vt:lpstr>
      <vt:lpstr>Ticker0024_Validation_Sheet!V_KEYWORD_ISSR_208000430_TOT_DEF_REV</vt:lpstr>
      <vt:lpstr>Ticker0024_Validation_Sheet!V_KEYWORD_ISSR_208000430_TOT_LIAB</vt:lpstr>
      <vt:lpstr>Ticker0024_Validation_Sheet!V_KEYWORD_ISSR_208000430_TOT_LIAB_EQ</vt:lpstr>
      <vt:lpstr>Ticker0024_Validation_Sheet!V_KEYWORD_ISSR_208000430_TOT_LT_LIAB</vt:lpstr>
      <vt:lpstr>Ticker0024_Validation_Sheet!V_KEYWORD_ISSR_208000430_TOT_OPS_EXP</vt:lpstr>
      <vt:lpstr>Ticker0024_Validation_Sheet!V_KEYWORD_ISSR_208000430_TOT_OPS_EXP_DDA</vt:lpstr>
      <vt:lpstr>Ticker0024_Validation_Sheet!V_KEYWORD_ISSR_208000430_TOT_PCT_USD_DEBT_HEDGED</vt:lpstr>
      <vt:lpstr>Ticker0024_Validation_Sheet!V_KEYWORD_ISSR_208000430_TOT_USD_DEBT</vt:lpstr>
      <vt:lpstr>Ticker0024_Validation_Sheet!V_KEYWORD_ISSR_208000430_UNF_PENS</vt:lpstr>
      <vt:lpstr>Ticker0024_Validation_Sheet!V_KEYWORD_ISSR_208000430_UNF_PENS_LIAB_OTH</vt:lpstr>
      <vt:lpstr>Ticker0024_Validation_Sheet!V_KEYWORD_ISSR_208000430_UNF_PENS_OFF</vt:lpstr>
      <vt:lpstr>Ticker0024_Validation_Sheet!V_KEYWORD_ISSR_208000430_WORK_CAP</vt:lpstr>
      <vt:lpstr>Ticker0024_Validation_Sheet!V_LIVEDATA_EQTY_200001320</vt:lpstr>
      <vt:lpstr>Ticker0024_Validation_Sheet!V_LIVEDATA_ISSR_208000430</vt:lpstr>
      <vt:lpstr>Ticker0024_Validation_Sheet!V_PERIOD_1995</vt:lpstr>
      <vt:lpstr>Ticker0024_Validation_Sheet!V_PERIOD_1996</vt:lpstr>
      <vt:lpstr>Ticker0024_Validation_Sheet!V_PERIOD_1996_Q1</vt:lpstr>
      <vt:lpstr>Ticker0024_Validation_Sheet!V_PERIOD_1996_Q2</vt:lpstr>
      <vt:lpstr>Ticker0024_Validation_Sheet!V_PERIOD_1996_Q3</vt:lpstr>
      <vt:lpstr>Ticker0024_Validation_Sheet!V_PERIOD_1996_Q4</vt:lpstr>
      <vt:lpstr>Ticker0024_Validation_Sheet!V_PERIOD_1997</vt:lpstr>
      <vt:lpstr>Ticker0024_Validation_Sheet!V_PERIOD_1997_Q1</vt:lpstr>
      <vt:lpstr>Ticker0024_Validation_Sheet!V_PERIOD_1997_Q2</vt:lpstr>
      <vt:lpstr>Ticker0024_Validation_Sheet!V_PERIOD_1997_Q3</vt:lpstr>
      <vt:lpstr>Ticker0024_Validation_Sheet!V_PERIOD_1997_Q4</vt:lpstr>
      <vt:lpstr>Ticker0024_Validation_Sheet!V_PERIOD_1998</vt:lpstr>
      <vt:lpstr>Ticker0024_Validation_Sheet!V_PERIOD_1998_Q1</vt:lpstr>
      <vt:lpstr>Ticker0024_Validation_Sheet!V_PERIOD_1998_Q2</vt:lpstr>
      <vt:lpstr>Ticker0024_Validation_Sheet!V_PERIOD_1998_Q3</vt:lpstr>
      <vt:lpstr>Ticker0024_Validation_Sheet!V_PERIOD_1998_Q4</vt:lpstr>
      <vt:lpstr>Ticker0024_Validation_Sheet!V_PERIOD_1999</vt:lpstr>
      <vt:lpstr>Ticker0024_Validation_Sheet!V_PERIOD_1999_Q1</vt:lpstr>
      <vt:lpstr>Ticker0024_Validation_Sheet!V_PERIOD_1999_Q2</vt:lpstr>
      <vt:lpstr>Ticker0024_Validation_Sheet!V_PERIOD_1999_Q3</vt:lpstr>
      <vt:lpstr>Ticker0024_Validation_Sheet!V_PERIOD_1999_Q4</vt:lpstr>
      <vt:lpstr>Ticker0024_Validation_Sheet!V_PERIOD_2000</vt:lpstr>
      <vt:lpstr>Ticker0024_Validation_Sheet!V_PERIOD_2000_Q1</vt:lpstr>
      <vt:lpstr>Ticker0024_Validation_Sheet!V_PERIOD_2000_Q2</vt:lpstr>
      <vt:lpstr>Ticker0024_Validation_Sheet!V_PERIOD_2000_Q3</vt:lpstr>
      <vt:lpstr>Ticker0024_Validation_Sheet!V_PERIOD_2000_Q4</vt:lpstr>
      <vt:lpstr>Ticker0024_Validation_Sheet!V_PERIOD_2001</vt:lpstr>
      <vt:lpstr>Ticker0024_Validation_Sheet!V_PERIOD_2001_Q1</vt:lpstr>
      <vt:lpstr>Ticker0024_Validation_Sheet!V_PERIOD_2001_Q2</vt:lpstr>
      <vt:lpstr>Ticker0024_Validation_Sheet!V_PERIOD_2001_Q3</vt:lpstr>
      <vt:lpstr>Ticker0024_Validation_Sheet!V_PERIOD_2001_Q4</vt:lpstr>
      <vt:lpstr>Ticker0024_Validation_Sheet!V_PERIOD_2002</vt:lpstr>
      <vt:lpstr>Ticker0024_Validation_Sheet!V_PERIOD_2002_Q1</vt:lpstr>
      <vt:lpstr>Ticker0024_Validation_Sheet!V_PERIOD_2002_Q2</vt:lpstr>
      <vt:lpstr>Ticker0024_Validation_Sheet!V_PERIOD_2002_Q3</vt:lpstr>
      <vt:lpstr>Ticker0024_Validation_Sheet!V_PERIOD_2002_Q4</vt:lpstr>
      <vt:lpstr>Ticker0024_Validation_Sheet!V_PERIOD_2003</vt:lpstr>
      <vt:lpstr>Ticker0024_Validation_Sheet!V_PERIOD_2003_Q1</vt:lpstr>
      <vt:lpstr>Ticker0024_Validation_Sheet!V_PERIOD_2003_Q2</vt:lpstr>
      <vt:lpstr>Ticker0024_Validation_Sheet!V_PERIOD_2003_Q3</vt:lpstr>
      <vt:lpstr>Ticker0024_Validation_Sheet!V_PERIOD_2003_Q4</vt:lpstr>
      <vt:lpstr>Ticker0024_Validation_Sheet!V_PERIOD_2004</vt:lpstr>
      <vt:lpstr>Ticker0024_Validation_Sheet!V_PERIOD_2004_Q1</vt:lpstr>
      <vt:lpstr>Ticker0024_Validation_Sheet!V_PERIOD_2004_Q2</vt:lpstr>
      <vt:lpstr>Ticker0024_Validation_Sheet!V_PERIOD_2004_Q3</vt:lpstr>
      <vt:lpstr>Ticker0024_Validation_Sheet!V_PERIOD_2004_Q4</vt:lpstr>
      <vt:lpstr>Ticker0024_Validation_Sheet!V_PERIOD_2005</vt:lpstr>
      <vt:lpstr>Ticker0024_Validation_Sheet!V_PERIOD_2005_Q1</vt:lpstr>
      <vt:lpstr>Ticker0024_Validation_Sheet!V_PERIOD_2005_Q2</vt:lpstr>
      <vt:lpstr>Ticker0024_Validation_Sheet!V_PERIOD_2005_Q3</vt:lpstr>
      <vt:lpstr>Ticker0024_Validation_Sheet!V_PERIOD_2005_Q4</vt:lpstr>
      <vt:lpstr>Ticker0024_Validation_Sheet!V_PERIOD_2006</vt:lpstr>
      <vt:lpstr>Ticker0024_Validation_Sheet!V_PERIOD_2006_Q1</vt:lpstr>
      <vt:lpstr>Ticker0024_Validation_Sheet!V_PERIOD_2006_Q2</vt:lpstr>
      <vt:lpstr>Ticker0024_Validation_Sheet!V_PERIOD_2006_Q3</vt:lpstr>
      <vt:lpstr>Ticker0024_Validation_Sheet!V_PERIOD_2006_Q4</vt:lpstr>
      <vt:lpstr>Ticker0024_Validation_Sheet!V_PERIOD_2007</vt:lpstr>
      <vt:lpstr>Ticker0024_Validation_Sheet!V_PERIOD_2007_Q1</vt:lpstr>
      <vt:lpstr>Ticker0024_Validation_Sheet!V_PERIOD_2007_Q2</vt:lpstr>
      <vt:lpstr>Ticker0024_Validation_Sheet!V_PERIOD_2007_Q3</vt:lpstr>
      <vt:lpstr>Ticker0024_Validation_Sheet!V_PERIOD_2007_Q4</vt:lpstr>
      <vt:lpstr>Ticker0024_Validation_Sheet!V_PERIOD_2008</vt:lpstr>
      <vt:lpstr>Ticker0024_Validation_Sheet!V_PERIOD_2008_Q1</vt:lpstr>
      <vt:lpstr>Ticker0024_Validation_Sheet!V_PERIOD_2008_Q2</vt:lpstr>
      <vt:lpstr>Ticker0024_Validation_Sheet!V_PERIOD_2008_Q3</vt:lpstr>
      <vt:lpstr>Ticker0024_Validation_Sheet!V_PERIOD_2008_Q4</vt:lpstr>
      <vt:lpstr>Ticker0024_Validation_Sheet!V_PERIOD_2009</vt:lpstr>
      <vt:lpstr>Ticker0024_Validation_Sheet!V_PERIOD_2009_Q1</vt:lpstr>
      <vt:lpstr>Ticker0024_Validation_Sheet!V_PERIOD_2009_Q2</vt:lpstr>
      <vt:lpstr>Ticker0024_Validation_Sheet!V_PERIOD_2009_Q3</vt:lpstr>
      <vt:lpstr>Ticker0024_Validation_Sheet!V_PERIOD_2009_Q4</vt:lpstr>
      <vt:lpstr>Ticker0024_Validation_Sheet!V_PERIOD_2010</vt:lpstr>
      <vt:lpstr>Ticker0024_Validation_Sheet!V_PERIOD_2010_Q1</vt:lpstr>
      <vt:lpstr>Ticker0024_Validation_Sheet!V_PERIOD_2010_Q2</vt:lpstr>
      <vt:lpstr>Ticker0024_Validation_Sheet!V_PERIOD_2010_Q3</vt:lpstr>
      <vt:lpstr>Ticker0024_Validation_Sheet!V_PERIOD_2010_Q4</vt:lpstr>
      <vt:lpstr>Ticker0024_Validation_Sheet!V_PERIOD_2011</vt:lpstr>
      <vt:lpstr>Ticker0024_Validation_Sheet!V_PERIOD_2011_Q1</vt:lpstr>
      <vt:lpstr>Ticker0024_Validation_Sheet!V_PERIOD_2011_Q2</vt:lpstr>
      <vt:lpstr>Ticker0024_Validation_Sheet!V_PERIOD_2011_Q3</vt:lpstr>
      <vt:lpstr>Ticker0024_Validation_Sheet!V_PERIOD_2011_Q4</vt:lpstr>
      <vt:lpstr>Ticker0024_Validation_Sheet!V_PERIOD_2012</vt:lpstr>
      <vt:lpstr>Ticker0024_Validation_Sheet!V_PERIOD_2012_Q1</vt:lpstr>
      <vt:lpstr>Ticker0024_Validation_Sheet!V_PERIOD_2012_Q2</vt:lpstr>
      <vt:lpstr>Ticker0024_Validation_Sheet!V_PERIOD_2012_Q3</vt:lpstr>
      <vt:lpstr>Ticker0024_Validation_Sheet!V_PERIOD_2012_Q4</vt:lpstr>
      <vt:lpstr>Ticker0024_Validation_Sheet!V_PERIOD_2013</vt:lpstr>
      <vt:lpstr>Ticker0024_Validation_Sheet!V_PERIOD_2013_Q1</vt:lpstr>
      <vt:lpstr>Ticker0024_Validation_Sheet!V_PERIOD_2013_Q2</vt:lpstr>
      <vt:lpstr>Ticker0024_Validation_Sheet!V_PERIOD_2013_Q3</vt:lpstr>
      <vt:lpstr>Ticker0024_Validation_Sheet!V_PERIOD_2013_Q4</vt:lpstr>
      <vt:lpstr>Ticker0024_Validation_Sheet!V_PERIOD_2014</vt:lpstr>
      <vt:lpstr>Ticker0024_Validation_Sheet!V_PERIOD_2014_Q1</vt:lpstr>
      <vt:lpstr>Ticker0024_Validation_Sheet!V_PERIOD_2014_Q2</vt:lpstr>
      <vt:lpstr>Ticker0024_Validation_Sheet!V_PERIOD_2014_Q3</vt:lpstr>
      <vt:lpstr>Ticker0024_Validation_Sheet!V_PERIOD_2014_Q4</vt:lpstr>
      <vt:lpstr>Ticker0024_Validation_Sheet!V_PERIOD_2015</vt:lpstr>
      <vt:lpstr>Ticker0024_Validation_Sheet!V_PERIOD_2015_Q1</vt:lpstr>
      <vt:lpstr>Ticker0024_Validation_Sheet!V_PERIOD_2015_Q2</vt:lpstr>
      <vt:lpstr>Ticker0024_Validation_Sheet!V_PERIOD_2015_Q3</vt:lpstr>
      <vt:lpstr>Ticker0024_Validation_Sheet!V_PERIOD_2015_Q4</vt:lpstr>
      <vt:lpstr>Ticker0024_Validation_Sheet!V_PERIOD_2016</vt:lpstr>
      <vt:lpstr>Ticker0024_Validation_Sheet!V_PERIOD_2016_Q1</vt:lpstr>
      <vt:lpstr>Ticker0024_Validation_Sheet!V_PERIOD_2016_Q2</vt:lpstr>
      <vt:lpstr>Ticker0024_Validation_Sheet!V_PERIOD_2016_Q3</vt:lpstr>
      <vt:lpstr>Ticker0024_Validation_Sheet!V_PERIOD_2016_Q4</vt:lpstr>
      <vt:lpstr>Ticker0024_Validation_Sheet!V_PERIOD_2017</vt:lpstr>
      <vt:lpstr>Ticker0024_Validation_Sheet!V_PERIOD_2017_Q1</vt:lpstr>
      <vt:lpstr>Ticker0024_Validation_Sheet!V_PERIOD_2017_Q2</vt:lpstr>
      <vt:lpstr>Ticker0024_Validation_Sheet!V_PERIOD_2017_Q3</vt:lpstr>
      <vt:lpstr>Ticker0024_Validation_Sheet!V_PERIOD_2017_Q4</vt:lpstr>
      <vt:lpstr>Ticker0024_Validation_Sheet!V_PERIOD_2018</vt:lpstr>
      <vt:lpstr>Ticker0024_Validation_Sheet!V_PERIOD_2018_Q1</vt:lpstr>
      <vt:lpstr>Ticker0024_Validation_Sheet!V_PERIOD_2018_Q2</vt:lpstr>
      <vt:lpstr>Ticker0024_Validation_Sheet!V_PERIOD_2018_Q3</vt:lpstr>
      <vt:lpstr>Ticker0024_Validation_Sheet!V_PERIOD_2018_Q4</vt:lpstr>
      <vt:lpstr>Ticker0024_Validation_Sheet!V_PERIOD_2019</vt:lpstr>
      <vt:lpstr>Ticker0024_Validation_Sheet!V_PERIOD_2019_Q1</vt:lpstr>
      <vt:lpstr>Ticker0024_Validation_Sheet!V_PERIOD_2019_Q2</vt:lpstr>
      <vt:lpstr>Ticker0024_Validation_Sheet!V_PERIOD_2019_Q3</vt:lpstr>
      <vt:lpstr>Ticker0024_Validation_Sheet!V_PERIOD_2019_Q4</vt:lpstr>
      <vt:lpstr>Ticker0024_Validation_Sheet!V_PERIOD_2020</vt:lpstr>
      <vt:lpstr>Ticker0024_Validation_Sheet!V_PERIOD_2020_Q1</vt:lpstr>
      <vt:lpstr>Ticker0024_Validation_Sheet!V_PERIOD_2020_Q2</vt:lpstr>
      <vt:lpstr>Ticker0024_Validation_Sheet!V_PERIOD_2020_Q3</vt:lpstr>
      <vt:lpstr>Ticker0024_Validation_Sheet!V_PERIOD_2020_Q4</vt:lpstr>
      <vt:lpstr>Ticker0024_Validation_Sheet!V_PERIOD_2021</vt:lpstr>
      <vt:lpstr>Ticker0024_Validation_Sheet!V_PERIOD_2021_Q1</vt:lpstr>
      <vt:lpstr>Ticker0024_Validation_Sheet!V_PERIOD_2021_Q2</vt:lpstr>
      <vt:lpstr>Ticker0024_Validation_Sheet!V_PERIOD_2021_Q3</vt:lpstr>
      <vt:lpstr>Ticker0024_Validation_Sheet!V_PERIOD_2021_Q4</vt:lpstr>
      <vt:lpstr>Ticker0024_Validation_Sheet!V_PERIOD_2022</vt:lpstr>
      <vt:lpstr>Ticker0024_Validation_Sheet!V_PERIOD_2022_Q1</vt:lpstr>
      <vt:lpstr>Ticker0024_Validation_Sheet!V_PERIOD_2022_Q2</vt:lpstr>
      <vt:lpstr>Ticker0024_Validation_Sheet!V_PERIOD_2022_Q3</vt:lpstr>
      <vt:lpstr>Ticker0024_Validation_Sheet!V_PERIOD_2022_Q4</vt:lpstr>
      <vt:lpstr>Ticker0024_Validation_Sheet!V_PERIOD_2023</vt:lpstr>
      <vt:lpstr>Ticker0024_Validation_Sheet!V_PERIOD_2023_Q1</vt:lpstr>
      <vt:lpstr>Ticker0024_Validation_Sheet!V_PERIOD_2023_Q2</vt:lpstr>
      <vt:lpstr>Ticker0024_Validation_Sheet!V_PERIOD_2023_Q3</vt:lpstr>
      <vt:lpstr>Ticker0024_Validation_Sheet!V_PERIOD_2023_Q4</vt:lpstr>
      <vt:lpstr>Ticker0024_Validation_Sheet!V_PERIOD_2024</vt:lpstr>
      <vt:lpstr>Ticker0024_Validation_Sheet!V_PERIOD_2024_Q1</vt:lpstr>
      <vt:lpstr>Ticker0024_Validation_Sheet!V_PERIOD_2024_Q2</vt:lpstr>
      <vt:lpstr>Ticker0024_Validation_Sheet!V_PERIOD_2024_Q3</vt:lpstr>
      <vt:lpstr>Ticker0024_Validation_Sheet!V_PERIOD_2024_Q4</vt:lpstr>
      <vt:lpstr>Ticker0024_Validation_Sheet!V_PERIOD_2025</vt:lpstr>
      <vt:lpstr>Ticker0024_Validation_Sheet!V_PERIOD_2025_Q1</vt:lpstr>
      <vt:lpstr>Ticker0024_Validation_Sheet!V_PERIOD_2025_Q2</vt:lpstr>
      <vt:lpstr>Ticker0024_Validation_Sheet!V_PERIOD_2025_Q3</vt:lpstr>
      <vt:lpstr>Ticker0024_Validation_Sheet!V_PERIOD_2025_Q4</vt:lpstr>
      <vt:lpstr>Ticker0024_Validation_Sheet!V_PERIOD_2026</vt:lpstr>
      <vt:lpstr>Ticker0024_Validation_Sheet!V_PERIOD_2026_Q1</vt:lpstr>
      <vt:lpstr>Ticker0024_Validation_Sheet!V_PERIOD_2026_Q2</vt:lpstr>
      <vt:lpstr>Ticker0024_Validation_Sheet!V_PERIOD_2026_Q3</vt:lpstr>
      <vt:lpstr>Ticker0024_Validation_Sheet!V_PERIOD_2026_Q4</vt:lpstr>
      <vt:lpstr>Ticker0024_Validation_Sheet!V_PERIOD_2027</vt:lpstr>
      <vt:lpstr>Ticker0024_Validation_Sheet!V_PERIOD_2027_Q1</vt:lpstr>
      <vt:lpstr>Ticker0024_Validation_Sheet!V_PERIOD_2027_Q2</vt:lpstr>
      <vt:lpstr>Ticker0024_Validation_Sheet!V_PERIOD_2027_Q3</vt:lpstr>
      <vt:lpstr>Ticker0024_Validation_Sheet!V_PERIOD_2027_Q4</vt:lpstr>
      <vt:lpstr>Ticker0024_Validation_Sheet!V_PERIOD_2028</vt:lpstr>
      <vt:lpstr>Ticker0024_Validation_Sheet!V_PERIOD_2028_Q1</vt:lpstr>
      <vt:lpstr>Ticker0024_Validation_Sheet!V_PERIOD_2028_Q2</vt:lpstr>
      <vt:lpstr>Ticker0024_Validation_Sheet!V_PERIOD_2028_Q3</vt:lpstr>
      <vt:lpstr>Ticker0024_Validation_Sheet!V_PERIOD_2028_Q4</vt:lpstr>
      <vt:lpstr>Ticker0024_Validation_Sheet!V_PERIOD_2029</vt:lpstr>
      <vt:lpstr>Ticker0024_Validation_Sheet!V_PERIOD_2029_Q1</vt:lpstr>
      <vt:lpstr>Ticker0024_Validation_Sheet!V_PERIOD_2029_Q2</vt:lpstr>
      <vt:lpstr>Ticker0024_Validation_Sheet!V_PERIOD_2029_Q3</vt:lpstr>
      <vt:lpstr>Ticker0024_Validation_Sheet!V_PERIOD_2029_Q4</vt:lpstr>
      <vt:lpstr>Ticker0024_Validation_Sheet!V_SECTION_EQTY_200001320_1314</vt:lpstr>
      <vt:lpstr>Ticker0024_Validation_Sheet!V_SECTION_EQTY_200001320_1319</vt:lpstr>
      <vt:lpstr>Ticker0024_Validation_Sheet!V_SECTION_EQTY_200001320_131E</vt:lpstr>
      <vt:lpstr>Ticker0024_Validation_Sheet!V_SECTION_EQTY_200001320_131O</vt:lpstr>
      <vt:lpstr>Ticker0024_Validation_Sheet!V_SECTION_EQTY_200001320_13A</vt:lpstr>
      <vt:lpstr>Ticker0024_Validation_Sheet!V_SECTION_EQTY_200001320_13K</vt:lpstr>
      <vt:lpstr>Ticker0024_Validation_Sheet!V_SECTION_EQTY_200001320_13U</vt:lpstr>
      <vt:lpstr>Ticker0024_Validation_Sheet!V_SECTION_EQTY_200001320_13V</vt:lpstr>
      <vt:lpstr>Ticker0024_Validation_Sheet!V_SECTION_EQTY_200001320_13W</vt:lpstr>
      <vt:lpstr>Ticker0024_Validation_Sheet!V_SECTION_EQTY_200001320_Reference_Data</vt:lpstr>
      <vt:lpstr>Ticker0024_Validation_Sheet!V_SECTION_ISSR_208000430_1314</vt:lpstr>
      <vt:lpstr>Ticker0024_Validation_Sheet!V_SECTION_ISSR_208000430_13168</vt:lpstr>
      <vt:lpstr>Ticker0024_Validation_Sheet!V_SECTION_ISSR_208000430_1316T</vt:lpstr>
      <vt:lpstr>Ticker0024_Validation_Sheet!V_SECTION_ISSR_208000430_1316U</vt:lpstr>
      <vt:lpstr>Ticker0024_Validation_Sheet!V_SECTION_ISSR_208000430_1319</vt:lpstr>
      <vt:lpstr>Ticker0024_Validation_Sheet!V_SECTION_ISSR_208000430_131E</vt:lpstr>
      <vt:lpstr>Ticker0024_Validation_Sheet!V_SECTION_ISSR_208000430_131J</vt:lpstr>
      <vt:lpstr>Ticker0024_Validation_Sheet!V_SECTION_ISSR_208000430_131O</vt:lpstr>
      <vt:lpstr>Ticker0024_Validation_Sheet!V_SECTION_ISSR_208000430_136E</vt:lpstr>
      <vt:lpstr>Ticker0024_Validation_Sheet!V_SECTION_ISSR_208000430_13A</vt:lpstr>
      <vt:lpstr>Ticker0024_Validation_Sheet!V_SECTION_ISSR_208000430_13U</vt:lpstr>
      <vt:lpstr>Ticker0024_Validation_Sheet!V_SECTION_ISSR_208000430_13V</vt:lpstr>
      <vt:lpstr>Ticker0024_Validation_Sheet!V_SECTION_ISSR_208000430_Reference_Data</vt:lpstr>
      <vt:lpstr>Ticker0024_Validation_Sheet!V_TEMPLATEHASH</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Anonymous</dc:creator>
  <cp:lastModifiedBy>Anonymous</cp:lastModifiedBy>
  <dcterms:created xsi:type="dcterms:W3CDTF">2026-01-01T00:00:00Z</dcterms:created>
  <dcterms:modified xsi:type="dcterms:W3CDTF">2026-01-01T00:00:00Z</dcterms:modified>
</cp:coreProperties>
</file>